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A" sheetId="1" r:id="rId4"/>
    <sheet state="visible" name="CUSTO OPERAÇÃO" sheetId="2" r:id="rId5"/>
    <sheet state="visible" name="DRE ORÇADA" sheetId="3" r:id="rId6"/>
    <sheet state="visible" name="PORTIFÓLIO" sheetId="4" r:id="rId7"/>
    <sheet state="visible" name="ÁREA PLANTIO" sheetId="5" r:id="rId8"/>
    <sheet state="visible" name="TL01" sheetId="6" r:id="rId9"/>
    <sheet state="visible" name="TL02" sheetId="7" r:id="rId10"/>
    <sheet state="visible" name="TL03" sheetId="8" r:id="rId11"/>
    <sheet state="visible" name="TL04" sheetId="9" r:id="rId12"/>
    <sheet state="visible" name="TL05" sheetId="10" r:id="rId13"/>
    <sheet state="visible" name="TL06" sheetId="11" r:id="rId14"/>
    <sheet state="visible" name="TL07" sheetId="12" r:id="rId15"/>
    <sheet state="visible" name="TL08" sheetId="13" r:id="rId16"/>
    <sheet state="visible" name="TL09" sheetId="14" r:id="rId17"/>
    <sheet state="visible" name="TL10" sheetId="15" r:id="rId18"/>
    <sheet state="visible" name="TL11" sheetId="16" r:id="rId19"/>
    <sheet state="visible" name="TL12" sheetId="17" r:id="rId20"/>
    <sheet state="visible" name="TL13" sheetId="18" r:id="rId21"/>
    <sheet state="visible" name="TL14" sheetId="19" r:id="rId22"/>
    <sheet state="visible" name="TL16" sheetId="20" r:id="rId23"/>
    <sheet state="visible" name="TL15" sheetId="21" r:id="rId24"/>
    <sheet state="visible" name="TL17" sheetId="22" r:id="rId25"/>
    <sheet state="visible" name="TL18" sheetId="23" r:id="rId26"/>
    <sheet state="visible" name="TL19" sheetId="24" r:id="rId27"/>
  </sheets>
  <definedNames>
    <definedName name="HERBICIDA">LISTA!$B$2:$B$1000</definedName>
    <definedName name="FUNGICIDA">LISTA!$A$2:$A$1000</definedName>
    <definedName name="TS">LISTA!$D$2:$D$1000</definedName>
    <definedName name="TL01_IMPRESSAO">'TL01'!$A$1:$L$226</definedName>
    <definedName name="CORRETIVOS">LISTA!$I$2:$I$1000</definedName>
    <definedName name="FERTILIZANTES">LISTA!$H$2:$H$1000</definedName>
    <definedName name="INSETICIDA">LISTA!$C$2:$C$1000</definedName>
    <definedName name="SEMENTE">LISTA!$F$2:$F$1000</definedName>
  </definedNames>
  <calcPr/>
  <extLst>
    <ext uri="GoogleSheetsCustomDataVersion2">
      <go:sheetsCustomData xmlns:go="http://customooxmlschemas.google.com/" r:id="rId28" roundtripDataChecksum="Z9eqtpaMnbv3S1UIo79bXHpfoDUamWc8IFj4xVfMJfk="/>
    </ext>
  </extLst>
</workbook>
</file>

<file path=xl/sharedStrings.xml><?xml version="1.0" encoding="utf-8"?>
<sst xmlns="http://schemas.openxmlformats.org/spreadsheetml/2006/main" count="5986" uniqueCount="1213">
  <si>
    <t>FUNGICIDA</t>
  </si>
  <si>
    <t>HERBICIDA</t>
  </si>
  <si>
    <t>INSETICIDA</t>
  </si>
  <si>
    <t>TS</t>
  </si>
  <si>
    <t>BIOLÓGICOS</t>
  </si>
  <si>
    <t>SEMENTE</t>
  </si>
  <si>
    <t>ADJUVANTE</t>
  </si>
  <si>
    <t>FERTILIZANTES</t>
  </si>
  <si>
    <t>CORRETIVOS</t>
  </si>
  <si>
    <t>NUTRIÇÃO</t>
  </si>
  <si>
    <t>MÁQUINAS</t>
  </si>
  <si>
    <t>EMPEENDIMENTO</t>
  </si>
  <si>
    <t>ÁREAS</t>
  </si>
  <si>
    <t>HECTARES</t>
  </si>
  <si>
    <t>FA-SOJA SEQUEIRO-26/27</t>
  </si>
  <si>
    <t>ÁREA 1</t>
  </si>
  <si>
    <t>FA-SOJA-IRRIGADO-26/27</t>
  </si>
  <si>
    <t>ESTEVÃO</t>
  </si>
  <si>
    <t>FA-MILHO SEQUEIRO-26/27</t>
  </si>
  <si>
    <t>ÁREA 2</t>
  </si>
  <si>
    <t>FA-SORGO SEQUEIRO-27/27</t>
  </si>
  <si>
    <t>ÁREA 2 B</t>
  </si>
  <si>
    <t>FA-MILHO SEMENTE-27/27</t>
  </si>
  <si>
    <t>ÁREA 3</t>
  </si>
  <si>
    <t>FE-SOJA IRRIGADO-26/27</t>
  </si>
  <si>
    <t>CAPOEIRINHA</t>
  </si>
  <si>
    <t>FE-BRACHIARIA-26/27</t>
  </si>
  <si>
    <t>RONCADOR</t>
  </si>
  <si>
    <t>FE-SOJA SEQUEIRO-26/27</t>
  </si>
  <si>
    <t>RONCADOR 2</t>
  </si>
  <si>
    <t>FE-SORGO IRRIGADO-26/27</t>
  </si>
  <si>
    <t>P200</t>
  </si>
  <si>
    <t>FE-SORGO SEQUEIRO-26/27</t>
  </si>
  <si>
    <t>P120</t>
  </si>
  <si>
    <t>BARRO BRANCO</t>
  </si>
  <si>
    <t>P 01</t>
  </si>
  <si>
    <t>P 02</t>
  </si>
  <si>
    <t>P 03</t>
  </si>
  <si>
    <t>P 04</t>
  </si>
  <si>
    <t>P 05</t>
  </si>
  <si>
    <t>P 06</t>
  </si>
  <si>
    <t>T01</t>
  </si>
  <si>
    <t>T02</t>
  </si>
  <si>
    <t>Column 11</t>
  </si>
  <si>
    <t xml:space="preserve">MÁQUINA </t>
  </si>
  <si>
    <t>IMPLEMENTO</t>
  </si>
  <si>
    <t>CONJUNTO</t>
  </si>
  <si>
    <t>LARGURA</t>
  </si>
  <si>
    <t>VELOCIDADE</t>
  </si>
  <si>
    <t>EFICIÊNCIA</t>
  </si>
  <si>
    <t>ha/h</t>
  </si>
  <si>
    <t>L/h</t>
  </si>
  <si>
    <t>HM/ha</t>
  </si>
  <si>
    <t>L/ha</t>
  </si>
  <si>
    <t>CUSTO HM/HA</t>
  </si>
  <si>
    <t>HORA MAQ./HA</t>
  </si>
  <si>
    <t>GRUPO</t>
  </si>
  <si>
    <t>MAQUINA</t>
  </si>
  <si>
    <t>CONSUMO HORA</t>
  </si>
  <si>
    <t>LARGURA OPERAÇÃO</t>
  </si>
  <si>
    <t>TRATOR - CASE STEIGER 420</t>
  </si>
  <si>
    <t>PLANTADEIRA HORSCH MAESTRO DUO 36.50</t>
  </si>
  <si>
    <t>AVIÃO AGRICOLA</t>
  </si>
  <si>
    <t>AIR TRATOR AT-502B</t>
  </si>
  <si>
    <t>TRATOR - CASE MAGNUM 340</t>
  </si>
  <si>
    <t>PLANTADEIRA - CASE ASM 1213</t>
  </si>
  <si>
    <t>COLHEITADEIRA CR 8.90 NEW HOLLAND</t>
  </si>
  <si>
    <t>PLATAFORMA 880 CF45</t>
  </si>
  <si>
    <t>COLHETADEIRA - NH-CR9060</t>
  </si>
  <si>
    <t>PLATAFORMA 740 CF30 AGRIDREPER</t>
  </si>
  <si>
    <t>CAMINHÕES</t>
  </si>
  <si>
    <t>CAMINHAO-VOLVO VM260</t>
  </si>
  <si>
    <t>COLHETADEIRA CR7.80</t>
  </si>
  <si>
    <t>PLATAFORMA MACDON 35F</t>
  </si>
  <si>
    <t>CAMINHAO-VOLVO NH380</t>
  </si>
  <si>
    <t>TRATOR-JD 7500</t>
  </si>
  <si>
    <t>DISTRIBUIDOR BRUTUS 12000</t>
  </si>
  <si>
    <t>CAMINHAO-WV 7.100</t>
  </si>
  <si>
    <t>DISTRIBUIDOR ADUBADORA HERCULES 10000</t>
  </si>
  <si>
    <t>CAMINHAO-MB 1313</t>
  </si>
  <si>
    <t>CAÇAMBA 430SC</t>
  </si>
  <si>
    <t>CAMINHÃO MB 1620</t>
  </si>
  <si>
    <t>SUBSOLADOR 11 ASTES</t>
  </si>
  <si>
    <t>CARRETA AGRÍCOLA</t>
  </si>
  <si>
    <t>PULVERIZADOR- JD4730</t>
  </si>
  <si>
    <t>CAMINHÃO-VOLVO FH 540</t>
  </si>
  <si>
    <t>PLATAFORMA MILHO BRAVA 11</t>
  </si>
  <si>
    <t>TRANSBORDO SANTAL</t>
  </si>
  <si>
    <t>TRATOR - NH T7.260</t>
  </si>
  <si>
    <t>DISTRIBUIDOR JAN 20000</t>
  </si>
  <si>
    <t>REBOQUE 3000 KG- FA</t>
  </si>
  <si>
    <t>TRATOR - NH T8.355</t>
  </si>
  <si>
    <t>PLANTADEIRA - JD2122</t>
  </si>
  <si>
    <t>CARRETO ADUBO 20000</t>
  </si>
  <si>
    <t>COLHETADEIRA - CASE 2388</t>
  </si>
  <si>
    <t>PLATAFORMA CASE 30PES</t>
  </si>
  <si>
    <t>CARRETO ADUBO ESPORA</t>
  </si>
  <si>
    <t>JACTO UNIPORT 2000</t>
  </si>
  <si>
    <t>CARRETA PLATAFORMACR7.8</t>
  </si>
  <si>
    <t>PLANTADEIRA CASE 2213</t>
  </si>
  <si>
    <t>COLHEDORAS</t>
  </si>
  <si>
    <t>DISTRIBUIDOR FERTILIZANTES</t>
  </si>
  <si>
    <t>KAMAQ 6000</t>
  </si>
  <si>
    <t>EQUIPAMENTOS</t>
  </si>
  <si>
    <t>BALANÇA CAR. 120/240T/H</t>
  </si>
  <si>
    <t>GUINDASTE HIDRAULICO GRM 14.000</t>
  </si>
  <si>
    <t>HANGAR</t>
  </si>
  <si>
    <t>GERADOR GMG 500 KVA</t>
  </si>
  <si>
    <t>LARANJA</t>
  </si>
  <si>
    <t>IRRIGAÇÃO LARANJA</t>
  </si>
  <si>
    <t>BALANÇA DE FLUXO</t>
  </si>
  <si>
    <t>LÂMINA TRASEIRA STARA 5000</t>
  </si>
  <si>
    <t>MIAC DOBLE IV</t>
  </si>
  <si>
    <t>EMBUTIDORA SILO BOLSA - ESPORA</t>
  </si>
  <si>
    <t>EXTRATORA SILO BOLSA</t>
  </si>
  <si>
    <t>GRUPO GERADOR CAT 130KWA</t>
  </si>
  <si>
    <t>GRUPO GERADOR CUMINS 130KWA</t>
  </si>
  <si>
    <t>PRÉ-LIMPEZA 40 TON</t>
  </si>
  <si>
    <t>PRÉ-LIMPEZA 120TON/H</t>
  </si>
  <si>
    <t>SECADOR PALINI 15 TON 01</t>
  </si>
  <si>
    <t>SECADOR PALINI 15 TON 02</t>
  </si>
  <si>
    <t>MESA DENSIMENTRICA</t>
  </si>
  <si>
    <t>CONJUNTO ELEVADOR/TRASPORTADOR GRÃO</t>
  </si>
  <si>
    <t>CONJUNTO ELEVADOR ESPORA</t>
  </si>
  <si>
    <t>MOTO SERRA</t>
  </si>
  <si>
    <t>SERRARIA PORTATIL 8012</t>
  </si>
  <si>
    <t>EMBUTIDORA SILO BOLSA - AGUA VIVA</t>
  </si>
  <si>
    <t>IMPLEMENTOS</t>
  </si>
  <si>
    <t>GRADE GASPCRC HD 9017</t>
  </si>
  <si>
    <t>TRITON JAN 4600</t>
  </si>
  <si>
    <t>ROÇADEIRA ECOLOGICA</t>
  </si>
  <si>
    <t>CARRETA GRANELEIRA</t>
  </si>
  <si>
    <t>GRADE INTERMEDIÁRIA</t>
  </si>
  <si>
    <t>GRADE NIVELADORA</t>
  </si>
  <si>
    <t>GRADE PESADA32</t>
  </si>
  <si>
    <t>GIRASSOL RAIZ</t>
  </si>
  <si>
    <t>SEMIRREBOQUE FH 540 -1</t>
  </si>
  <si>
    <t>SEMIRREBOQUE FH 540 -2</t>
  </si>
  <si>
    <t>DOLLY FH540</t>
  </si>
  <si>
    <t>ALEIRADOR CONJUNTO DUPLO</t>
  </si>
  <si>
    <t>CEIFADEIRA CONJUNTO DUPLO</t>
  </si>
  <si>
    <t>MAQUINAS GERAIS - OFICINA</t>
  </si>
  <si>
    <t>MAQUINAS GERAIS</t>
  </si>
  <si>
    <t>MAQUINAS PESADAS</t>
  </si>
  <si>
    <t>PA CARREGADEIRA - LG 835 2 - AGUA VIVA</t>
  </si>
  <si>
    <t>PA CARREGADEIRA - LG 835 1</t>
  </si>
  <si>
    <t>PATROLA</t>
  </si>
  <si>
    <t>MOTOCICLETAS</t>
  </si>
  <si>
    <t>QUADRICICLO</t>
  </si>
  <si>
    <t>PIVO AGRICOLA</t>
  </si>
  <si>
    <t>PIVO CENTRAL</t>
  </si>
  <si>
    <t>P01 200</t>
  </si>
  <si>
    <t>P02 120</t>
  </si>
  <si>
    <t>P01 60</t>
  </si>
  <si>
    <t>P02 80</t>
  </si>
  <si>
    <t>P03 118</t>
  </si>
  <si>
    <t>P04 130</t>
  </si>
  <si>
    <t>P05 138</t>
  </si>
  <si>
    <t>P06 40</t>
  </si>
  <si>
    <t>PLATAFORMAS</t>
  </si>
  <si>
    <t>PLATAFORMA COLHE TUDO</t>
  </si>
  <si>
    <t>PULVERIZADORES</t>
  </si>
  <si>
    <t>AVIAO AGRICOLA PAWNEE 260</t>
  </si>
  <si>
    <t>TRATADOR SEMENTE-TREVISAN 1000</t>
  </si>
  <si>
    <t>PULVERIZADOR-JACTO ARBUS 4000</t>
  </si>
  <si>
    <t>SEMEADORAS</t>
  </si>
  <si>
    <t>SEMEADORA DE ARRASTO PAMPEANA</t>
  </si>
  <si>
    <t>TRATORES</t>
  </si>
  <si>
    <t>EMPILHADEIRA CPCD-25</t>
  </si>
  <si>
    <t>TRATOR - VALTRA BH 180</t>
  </si>
  <si>
    <t>EMPILHADEIRA LG35DT - AGUA VIVA</t>
  </si>
  <si>
    <t>TRATOR JARDIM -JD-LA175</t>
  </si>
  <si>
    <t>TRATOR - JD 5600</t>
  </si>
  <si>
    <t>TRATOR - JD-6125J</t>
  </si>
  <si>
    <t>TRATOR - NH 7630</t>
  </si>
  <si>
    <t>TRATOR-JD 7505</t>
  </si>
  <si>
    <t>TRATOR NH-TL 75 E</t>
  </si>
  <si>
    <t>TRATOR MF-290</t>
  </si>
  <si>
    <t>HUSQVARNA Z248F</t>
  </si>
  <si>
    <t>TRATOR-CBT 8060</t>
  </si>
  <si>
    <t>TRATOR NH-TL 75</t>
  </si>
  <si>
    <t>TRATOR MF-65</t>
  </si>
  <si>
    <t>GAFANHOTO</t>
  </si>
  <si>
    <t>VEÍCULOS</t>
  </si>
  <si>
    <t>TOYOTA HILUX - JOAQUIM</t>
  </si>
  <si>
    <t>TOYOTA HILUX - JOVANE</t>
  </si>
  <si>
    <t>S10 - LTZ - FAZENDA</t>
  </si>
  <si>
    <t>S10 LTZ - JOÃO</t>
  </si>
  <si>
    <t>RANGER VITOR</t>
  </si>
  <si>
    <t>TOYOTA COROLLA CROSS XRE 2.0 16V</t>
  </si>
  <si>
    <t>D20</t>
  </si>
  <si>
    <t>D-20</t>
  </si>
  <si>
    <t>TOYOTA HILUX - VITOR</t>
  </si>
  <si>
    <t>TOYOTA HILUX - ELESIO</t>
  </si>
  <si>
    <t>S10 LTZ - JOÃO - 2</t>
  </si>
  <si>
    <t>SOJA - 02 COQ</t>
  </si>
  <si>
    <t>ORÇAMENTO SAFRA 2026/2027</t>
  </si>
  <si>
    <t>TOTAL</t>
  </si>
  <si>
    <t>R$/ Ha</t>
  </si>
  <si>
    <t>ÁREA</t>
  </si>
  <si>
    <t>PRODUÇÃO TOTAL</t>
  </si>
  <si>
    <t>PRODUÇÃO P/HA</t>
  </si>
  <si>
    <t>PREÇO MÉDIO</t>
  </si>
  <si>
    <t>RECEITA ARRENDAMENTO</t>
  </si>
  <si>
    <t>RECEITA BRUTA</t>
  </si>
  <si>
    <t>SAÍDAS TOTAIS</t>
  </si>
  <si>
    <t>CUSTOS DIRETOS</t>
  </si>
  <si>
    <t>CUSTOS INSUMOS</t>
  </si>
  <si>
    <t>FUNGICIDAS</t>
  </si>
  <si>
    <t>INSETICIDAS</t>
  </si>
  <si>
    <t>COMBUSTÍVEL</t>
  </si>
  <si>
    <t>ASSISTENCIA TECNICA</t>
  </si>
  <si>
    <t>PLANTIO TERCEIRIZADO</t>
  </si>
  <si>
    <t>COLHEITA TERCEIRIZADA</t>
  </si>
  <si>
    <t>*COMISSÃO FUNCIONÁRIOS</t>
  </si>
  <si>
    <t>AVIACAO AGRICOLA</t>
  </si>
  <si>
    <t>-</t>
  </si>
  <si>
    <t>(=) MARGEM OPERACIONAL</t>
  </si>
  <si>
    <t>(%) MARGEM OPERACIONAL</t>
  </si>
  <si>
    <t>CUSTOS INDIRETOS</t>
  </si>
  <si>
    <t>DESPESAS OPERACIONAIS</t>
  </si>
  <si>
    <t>COMBUSTIVEIS</t>
  </si>
  <si>
    <t>COMPRA DE LUBRIFICANTES ESTOQUE</t>
  </si>
  <si>
    <t>ABASTECIMENTO POSTO DIESEL/GASOLINA</t>
  </si>
  <si>
    <t>COMPRA DE GAS</t>
  </si>
  <si>
    <t>MANUTENCAO E REPAROS</t>
  </si>
  <si>
    <t>MANUTENÇÃO DE MAQUINAS E EQUIPAMENTOS</t>
  </si>
  <si>
    <t>PNEUS/CAMARAS E BORRACHARIA</t>
  </si>
  <si>
    <t>MANUTENÇÃO DE VEICULOS</t>
  </si>
  <si>
    <t>MANUTENCAO DE BENFEITORIAS</t>
  </si>
  <si>
    <t>DESPESAS PRODUCAO DE GRAOS</t>
  </si>
  <si>
    <t>ANALISE DE SOLOS</t>
  </si>
  <si>
    <t>ASSESSORIA DE PRODUÇÃO</t>
  </si>
  <si>
    <t>COMPRA DE LENHA</t>
  </si>
  <si>
    <t>FRETES</t>
  </si>
  <si>
    <t>FRETES DIVERSOS</t>
  </si>
  <si>
    <t>FRETES PRODUÇÃO</t>
  </si>
  <si>
    <t>SERVICOS DE TERCEIROS</t>
  </si>
  <si>
    <t>ASSESSORIA SISTEMA</t>
  </si>
  <si>
    <t>ASSESSORIA AMBIENTAL</t>
  </si>
  <si>
    <t>DESPESAS NÃO OPERACIONAIS</t>
  </si>
  <si>
    <t>DESPESAS ADMINISTRATIVAS</t>
  </si>
  <si>
    <t>MATERIAL EXPEDIENTE</t>
  </si>
  <si>
    <t>ENERGIA ELETRICA GRANJA</t>
  </si>
  <si>
    <t>TELEFONE</t>
  </si>
  <si>
    <t>DESPESAS DESLOCAMENTO/VIAGEM</t>
  </si>
  <si>
    <t>IPVA/SEGURO OBRIGATORIO</t>
  </si>
  <si>
    <t>INTERNET</t>
  </si>
  <si>
    <t>DESPESAS COM CORREIOS</t>
  </si>
  <si>
    <t>DESPESAS COM CARTORIOS</t>
  </si>
  <si>
    <t>DESPESAS GRANJA</t>
  </si>
  <si>
    <t>DESPESAS FAZENDA 2 COQUEIROS</t>
  </si>
  <si>
    <t xml:space="preserve">ALUGUEIS </t>
  </si>
  <si>
    <t>DESPESAS ESCRITÓRIO</t>
  </si>
  <si>
    <t>CURSOS E TREINAMENTOS</t>
  </si>
  <si>
    <t>ASSESSORIA FINANCEIRA E TRIBUTÁRIA</t>
  </si>
  <si>
    <t>CONSULTORIA</t>
  </si>
  <si>
    <t>HONORARIOS CONTABEIS</t>
  </si>
  <si>
    <t>DESPESAS DIVERSAS</t>
  </si>
  <si>
    <t>DESPESA COPA E COZINHA</t>
  </si>
  <si>
    <t>DESPESA DE LIMPEZA E HIGIENE</t>
  </si>
  <si>
    <t>DESPESAS PECUARIA</t>
  </si>
  <si>
    <t>DESPESAS OVINOS</t>
  </si>
  <si>
    <t>MELHORIAS EM SEGURANÇA -MAQ/EQUIP E BENF</t>
  </si>
  <si>
    <t>AGUA</t>
  </si>
  <si>
    <t>ASSINATURA REVISTAS/JORNAIS</t>
  </si>
  <si>
    <t>IPTU</t>
  </si>
  <si>
    <t>ENDOMARKETING</t>
  </si>
  <si>
    <t>VIGILANCIA E MONITORAMENTO</t>
  </si>
  <si>
    <t>RECURSOS HUMANOS</t>
  </si>
  <si>
    <t>*SALARIOS</t>
  </si>
  <si>
    <t>*FERIAS</t>
  </si>
  <si>
    <t>*13º SALARIO</t>
  </si>
  <si>
    <t>*RESCISAO</t>
  </si>
  <si>
    <t>*FGTS</t>
  </si>
  <si>
    <t>INSS</t>
  </si>
  <si>
    <t>IRPF</t>
  </si>
  <si>
    <t>MEDICINA E SEGURANÇA DO TRABALHO</t>
  </si>
  <si>
    <t>PRO-LABORE</t>
  </si>
  <si>
    <t>ALIMENTAÇÃO</t>
  </si>
  <si>
    <t>UNIFORMES</t>
  </si>
  <si>
    <t>EPIS FINANCEIRO</t>
  </si>
  <si>
    <t>EPI</t>
  </si>
  <si>
    <t>PLANO DE SAÚDE</t>
  </si>
  <si>
    <t>DIARISTAS</t>
  </si>
  <si>
    <t>COMPRAS DOS BRINDES PARA  FUNCIONÁRIOS</t>
  </si>
  <si>
    <t>FESTAS E CONFRATERNIZAÇÕES</t>
  </si>
  <si>
    <t>REFEITORIO</t>
  </si>
  <si>
    <t>HOSPEDAGEM</t>
  </si>
  <si>
    <t>IMPOSTOS, TAXAS E MULTAS</t>
  </si>
  <si>
    <t>IMPOSTOS E TAXAS</t>
  </si>
  <si>
    <t>ITR</t>
  </si>
  <si>
    <t>CCIR</t>
  </si>
  <si>
    <t>CONTR. SOCIAL SOBRE LUCRO LÍQUIDO</t>
  </si>
  <si>
    <t>IR - PESSOA JURIDICA</t>
  </si>
  <si>
    <t>PEDAGIOS</t>
  </si>
  <si>
    <t>SEGUROS</t>
  </si>
  <si>
    <t>SEGUROS MÁQUINAS</t>
  </si>
  <si>
    <t>SEGUROS DE VIDA</t>
  </si>
  <si>
    <t>SEGUROS VEICULOS</t>
  </si>
  <si>
    <t>ARRENDAMENTO</t>
  </si>
  <si>
    <t>*ARRENDAMENTO E PARCERIA RURAL</t>
  </si>
  <si>
    <t>(=) EBITDA</t>
  </si>
  <si>
    <t>(%) EBITDA</t>
  </si>
  <si>
    <t>DEPRECIAÇÕES</t>
  </si>
  <si>
    <t>DEPRECIAÇÃO MÁQUINAS</t>
  </si>
  <si>
    <t>DEPRECIAÇÃO BENFEITORIAS</t>
  </si>
  <si>
    <t>(=) EBIT</t>
  </si>
  <si>
    <t>(%) EBIT</t>
  </si>
  <si>
    <t>IMPOSTOS</t>
  </si>
  <si>
    <t>PARTICIPAÇÃO NOS LUCROS</t>
  </si>
  <si>
    <t>DESPESAS FINANCEIRAS</t>
  </si>
  <si>
    <t>TARIFAS CONTAS BANCARIAS</t>
  </si>
  <si>
    <t>TARIFA DEPOSITO IDENTIFICADO</t>
  </si>
  <si>
    <t>JUROS INVESTIMENTOS</t>
  </si>
  <si>
    <t>JUROS TRIGO</t>
  </si>
  <si>
    <t>JUROS SOJA</t>
  </si>
  <si>
    <t>JUROS AVEIA</t>
  </si>
  <si>
    <t>JUROS</t>
  </si>
  <si>
    <t>DESPESAS ACESSÓRIAS</t>
  </si>
  <si>
    <t>TARIFAS EMPRESTIMOS AGRICOLAS</t>
  </si>
  <si>
    <t>COBRANÇA DE JUROS</t>
  </si>
  <si>
    <t>(=) LUCRO LÍQUIDO</t>
  </si>
  <si>
    <t>(%) LUCRO LÍQUIDO</t>
  </si>
  <si>
    <t>PORTFÓLIO DEFENSIVO SAFRA 26/27</t>
  </si>
  <si>
    <t>https://docs.google.com/spreadsheets/d/1wULbzX32WdYsx-lj2U3uUNBBe2INVIRDtcK0d-Dvl90/edit?gid=942186745#gid=942186745</t>
  </si>
  <si>
    <t>EMPRESA</t>
  </si>
  <si>
    <t>CLASSE</t>
  </si>
  <si>
    <t>PRODUTO</t>
  </si>
  <si>
    <t>ATIVOS</t>
  </si>
  <si>
    <t>CONCENTRAÇÃO</t>
  </si>
  <si>
    <t>UN</t>
  </si>
  <si>
    <t>BULA</t>
  </si>
  <si>
    <t>DOSE</t>
  </si>
  <si>
    <t>EMBALAGEM</t>
  </si>
  <si>
    <t>DEMANDA</t>
  </si>
  <si>
    <t>VALOR R$/L OU KG</t>
  </si>
  <si>
    <t>ESTOQUE</t>
  </si>
  <si>
    <t>VOLUME INDICADO</t>
  </si>
  <si>
    <t>VALOR TOTAL</t>
  </si>
  <si>
    <t>ADAMA</t>
  </si>
  <si>
    <t>RUMBA</t>
  </si>
  <si>
    <t>ESTER METILICO DE SOJA</t>
  </si>
  <si>
    <t>L</t>
  </si>
  <si>
    <t>1x20</t>
  </si>
  <si>
    <t>BASF</t>
  </si>
  <si>
    <t>ASSIST</t>
  </si>
  <si>
    <t>ÓLEO MINERAL</t>
  </si>
  <si>
    <t>MEES</t>
  </si>
  <si>
    <t>METIL ESTER DE SOJA</t>
  </si>
  <si>
    <t>BAYER</t>
  </si>
  <si>
    <t>AUREO</t>
  </si>
  <si>
    <t>ÉSTER METILICO DE OLEO DE SOJA</t>
  </si>
  <si>
    <t>CORTEVA</t>
  </si>
  <si>
    <t>JOINT ULTRA</t>
  </si>
  <si>
    <t>OLEO MINERAL</t>
  </si>
  <si>
    <t>SUMITOMO</t>
  </si>
  <si>
    <t>ADGREEN</t>
  </si>
  <si>
    <t>SYNGENTA</t>
  </si>
  <si>
    <t>ENERGIC</t>
  </si>
  <si>
    <t>ETILENOXI</t>
  </si>
  <si>
    <t>4X5</t>
  </si>
  <si>
    <t>EXTRAVON</t>
  </si>
  <si>
    <t>OCHIMA</t>
  </si>
  <si>
    <t>ALQUIL ÉSTER FOSFATADO</t>
  </si>
  <si>
    <t>UTRISHA N</t>
  </si>
  <si>
    <t>METHYLOBACTERIUM SYMBIOTICUM SB23</t>
  </si>
  <si>
    <t>3x10⁷</t>
  </si>
  <si>
    <t>ENDOFUSE</t>
  </si>
  <si>
    <t>RHIZOGLOMUS INTRARADICES + CLAROIDEOGLOMUS
 CLAROIDEUM</t>
  </si>
  <si>
    <t>12X0,5</t>
  </si>
  <si>
    <t>ENDOMAXX</t>
  </si>
  <si>
    <t>RHIZOGLOMUS INTRARADICES</t>
  </si>
  <si>
    <t>12X1</t>
  </si>
  <si>
    <t>RIZOLIQ LLI</t>
  </si>
  <si>
    <t>BRADYRHIZOBIUM SP.</t>
  </si>
  <si>
    <t>7x10⁹</t>
  </si>
  <si>
    <t>1x10</t>
  </si>
  <si>
    <t>FMC</t>
  </si>
  <si>
    <t>PROVILAR</t>
  </si>
  <si>
    <t>BACILLUS VELEZENSIS, ISOLADO CNPSO 3602 + BACILLUS
 SUBTILIS</t>
  </si>
  <si>
    <t>90 + 30</t>
  </si>
  <si>
    <t>4x5</t>
  </si>
  <si>
    <t>REVERB</t>
  </si>
  <si>
    <t>BACILLUS VELEZENSIS, ISOLADO CNPSO 3602 + BACILLUS
 SUBTILIS + BACILLUS PUMILUS</t>
  </si>
  <si>
    <t>33,3 + 33,3 + 33,3</t>
  </si>
  <si>
    <t>ARVATICO</t>
  </si>
  <si>
    <t>BACILLUS VELEZENSIS, ISOLADO CNPSO 3602</t>
  </si>
  <si>
    <t>BIOLÓGICOs</t>
  </si>
  <si>
    <t>PRESENCE FULL</t>
  </si>
  <si>
    <t>BACILLUS SUBTILIS, LINHAGEM FMCH002(DSM32155) +
 BACILLUS LICHENIFORMIS, LINHAGEM
 FMCH001(DSM32154)</t>
  </si>
  <si>
    <t>200 + 200</t>
  </si>
  <si>
    <t>KG</t>
  </si>
  <si>
    <t>BIOLÓGICO</t>
  </si>
  <si>
    <t>AVEO EZ</t>
  </si>
  <si>
    <t>BACILLUS AMYLOLIQUEFACIENS</t>
  </si>
  <si>
    <t>4X0,5</t>
  </si>
  <si>
    <t>CALCÁRIO DOLOMITICO</t>
  </si>
  <si>
    <t>CaO 38%  MgO 18%</t>
  </si>
  <si>
    <t>Ton</t>
  </si>
  <si>
    <t>GESSO AGRICOLA</t>
  </si>
  <si>
    <t>I-ACTIVE</t>
  </si>
  <si>
    <t>P2O5 12%</t>
  </si>
  <si>
    <t>MAP</t>
  </si>
  <si>
    <t>P2O5 44%</t>
  </si>
  <si>
    <t>KCL 60%</t>
  </si>
  <si>
    <t>K2O 60%</t>
  </si>
  <si>
    <t>05-37-00</t>
  </si>
  <si>
    <t>N 05 P 37 K 0</t>
  </si>
  <si>
    <t>10-46-00 + S</t>
  </si>
  <si>
    <t>N 10 P46</t>
  </si>
  <si>
    <t>08-42-00</t>
  </si>
  <si>
    <t>N 8 P 42</t>
  </si>
  <si>
    <t>SSP 21</t>
  </si>
  <si>
    <t>P 21%</t>
  </si>
  <si>
    <t>03-15-07 +14%CO</t>
  </si>
  <si>
    <t>N 3 P 15 K 07</t>
  </si>
  <si>
    <t>URÉIA</t>
  </si>
  <si>
    <t>N 44</t>
  </si>
  <si>
    <t>SULFATO DE AMÔNIO</t>
  </si>
  <si>
    <t>N 22</t>
  </si>
  <si>
    <t>BOROGRAN</t>
  </si>
  <si>
    <t>B 10</t>
  </si>
  <si>
    <t>SUPER DUO</t>
  </si>
  <si>
    <t>P2O5 14%</t>
  </si>
  <si>
    <t>08-40-00 - 100M</t>
  </si>
  <si>
    <t>P2O5 40</t>
  </si>
  <si>
    <t>AURUS 500</t>
  </si>
  <si>
    <t>S 49%; B 5 %</t>
  </si>
  <si>
    <t xml:space="preserve">00-01-00+Cu2 Mn8 Zn7 </t>
  </si>
  <si>
    <t xml:space="preserve">Cu 2% Mn 8% Zn 7% </t>
  </si>
  <si>
    <t>ACROSS</t>
  </si>
  <si>
    <t>AZOXISTROBINA + DIFENOCONAZOL + CLOROTALONIL</t>
  </si>
  <si>
    <t>40 + 40 + 500</t>
  </si>
  <si>
    <t>AZIMUT</t>
  </si>
  <si>
    <t>AZOXISTROBINA + TEBUCONAZOL</t>
  </si>
  <si>
    <t>120 + 200</t>
  </si>
  <si>
    <t>BLINDADO TOV</t>
  </si>
  <si>
    <t>PICOXISTROBINA + TEBUCONAZOL + MANCOZEBE</t>
  </si>
  <si>
    <t>26,66 + 33,33 + 400</t>
  </si>
  <si>
    <t>ABACUS HC</t>
  </si>
  <si>
    <t>PIRACLOSTROBINA + EPOXICONAZOL</t>
  </si>
  <si>
    <t>260 + 160</t>
  </si>
  <si>
    <t>BELYAN</t>
  </si>
  <si>
    <t>MEFENTRIFLUCONAZOL + PIRACLOSTROBINA +
 FLUXAPIROXADE</t>
  </si>
  <si>
    <t>133,3 + 177,8 + 88,9</t>
  </si>
  <si>
    <t>2X10</t>
  </si>
  <si>
    <t>BLAVITY</t>
  </si>
  <si>
    <t>FLUXAPIROXADE + PROTIOCONAZOL</t>
  </si>
  <si>
    <t>200 + 280</t>
  </si>
  <si>
    <t>CANTUS</t>
  </si>
  <si>
    <t>BOSCALIDA</t>
  </si>
  <si>
    <t>KEYRA</t>
  </si>
  <si>
    <t>FENPROPIMORFE + MEFENTRIFLUCONAZOL</t>
  </si>
  <si>
    <t>400 + 150</t>
  </si>
  <si>
    <t>MELYRA</t>
  </si>
  <si>
    <t>PIRACLOSTROBINA + MEFENTRIFLUCONAZOL</t>
  </si>
  <si>
    <t>ORKESTRA SC</t>
  </si>
  <si>
    <t>PIRACLOSTROBINA + FLUXAPIROXADE</t>
  </si>
  <si>
    <t>333 + 167</t>
  </si>
  <si>
    <t>SPOT SC</t>
  </si>
  <si>
    <t>BOSCALIDA + DIMOXISTROBIN</t>
  </si>
  <si>
    <t>ATTILA</t>
  </si>
  <si>
    <t>FLUOPYRAM</t>
  </si>
  <si>
    <t>FOX SUPRA</t>
  </si>
  <si>
    <t>IMPIRFLUXAM + PROTIOCONAZOL</t>
  </si>
  <si>
    <t>120 + 240</t>
  </si>
  <si>
    <t>FOX XPRO</t>
  </si>
  <si>
    <t>BIXAFEM + PROTIOCONAZOL + TRIFLOXISTROBINA</t>
  </si>
  <si>
    <t>125 + 175 + 150</t>
  </si>
  <si>
    <t>NATIVO</t>
  </si>
  <si>
    <t>TRIFLOXISTROBINA + TEBUCONAZOL</t>
  </si>
  <si>
    <t>100 + 200</t>
  </si>
  <si>
    <t>NATIVO PLUS</t>
  </si>
  <si>
    <t>TEBUCONAZOL + TRIFLOXISTROBINA + OXICLORETO DE
 COBRE</t>
  </si>
  <si>
    <t>90 + 75 + 420</t>
  </si>
  <si>
    <t>SPHERE MAX</t>
  </si>
  <si>
    <t>TRIFLOXISTROBINA + CIPROCONAZOL</t>
  </si>
  <si>
    <t>375 + 160</t>
  </si>
  <si>
    <t>VERANGO PRIME</t>
  </si>
  <si>
    <t>CCAB</t>
  </si>
  <si>
    <t>AZOXISTROBIN 200 + CIPROCONAZOL
 80 SC CCAB</t>
  </si>
  <si>
    <t>AZOXISTROBINA + CIPROCONAZOL</t>
  </si>
  <si>
    <t>200 + 80</t>
  </si>
  <si>
    <t>MANCOZEB CCAB 750 WG</t>
  </si>
  <si>
    <t>MANCOZEBE</t>
  </si>
  <si>
    <t>1x15</t>
  </si>
  <si>
    <t>APROACH POWER</t>
  </si>
  <si>
    <t>PICOXISTROBINA + CIPROCONAZOL</t>
  </si>
  <si>
    <t>90 + 40</t>
  </si>
  <si>
    <t>APROACH PREMIUM</t>
  </si>
  <si>
    <t>CIPROCONAZOL + PICOXISTROBINA + OXICLORETO DE
 COBRE</t>
  </si>
  <si>
    <t>40 + 60 + 420</t>
  </si>
  <si>
    <t>BIM 750 BR</t>
  </si>
  <si>
    <t>TRICICLAZOL</t>
  </si>
  <si>
    <t>10X1</t>
  </si>
  <si>
    <t>BIM MAX</t>
  </si>
  <si>
    <t>TRICICLAZOL + TEBUCONAZOL</t>
  </si>
  <si>
    <t>200 + 160</t>
  </si>
  <si>
    <t>ORANIS</t>
  </si>
  <si>
    <t>PICOXISTROBINA</t>
  </si>
  <si>
    <t>VESSARYA</t>
  </si>
  <si>
    <t>PICOXISTROBINA + BENZOVINDIFLUPYR</t>
  </si>
  <si>
    <t>100 + 50</t>
  </si>
  <si>
    <t>CROPCHEM</t>
  </si>
  <si>
    <t>CHARRUA 430 SC</t>
  </si>
  <si>
    <t>TEBUCONAZOL</t>
  </si>
  <si>
    <t>SEVARE 250 EC</t>
  </si>
  <si>
    <t>DIFENOCONAZOL</t>
  </si>
  <si>
    <t>VENCER DUO</t>
  </si>
  <si>
    <t>PICOXISTROBINA + PROTIOCONAZOL</t>
  </si>
  <si>
    <t>400 + 340</t>
  </si>
  <si>
    <t>ONSUVA</t>
  </si>
  <si>
    <t>FLUINDAPYR + DIFENOCONAZOL</t>
  </si>
  <si>
    <t>240 + 300</t>
  </si>
  <si>
    <t>4X5 ou 10</t>
  </si>
  <si>
    <t>NORTOX</t>
  </si>
  <si>
    <t>BOSCALID NORTOX 500 WG</t>
  </si>
  <si>
    <t>16X1</t>
  </si>
  <si>
    <t>DIFENOCONAZOL NORTOX 250 SC</t>
  </si>
  <si>
    <t>FLUAZINAM NORTOX 500 SC</t>
  </si>
  <si>
    <t>FLUAZINAM</t>
  </si>
  <si>
    <t>FLUTRIAFOL NORTOX</t>
  </si>
  <si>
    <t>FLUTRIAFOL</t>
  </si>
  <si>
    <t>PROPICONAZOLE NORTOX 500 EC</t>
  </si>
  <si>
    <t>PROPICONAZOL</t>
  </si>
  <si>
    <t>PROTECTION NORTOX</t>
  </si>
  <si>
    <t>FLUAZINAM + TIOFANATO-METÍLICO</t>
  </si>
  <si>
    <t>200 + 400</t>
  </si>
  <si>
    <t>TEBUCO 430 SC NORTOX</t>
  </si>
  <si>
    <t>TEBUCO A NORTOX</t>
  </si>
  <si>
    <t>125 + 240</t>
  </si>
  <si>
    <t>TIOFANATO NORTOX</t>
  </si>
  <si>
    <t>TIOFANATO-METÍLICO</t>
  </si>
  <si>
    <t>SIPCAM</t>
  </si>
  <si>
    <t>ACADEMIC</t>
  </si>
  <si>
    <t>CIMOXANIL + MANCOZEBE</t>
  </si>
  <si>
    <t>60 + 700</t>
  </si>
  <si>
    <t>1X25</t>
  </si>
  <si>
    <t>BRISA WG</t>
  </si>
  <si>
    <t>TIOFANATO-METÍLICO + CLOROTALONIL</t>
  </si>
  <si>
    <t>240 + 600</t>
  </si>
  <si>
    <t>10X2</t>
  </si>
  <si>
    <t>CUPROZEB</t>
  </si>
  <si>
    <t>OXICLORETO DE COBRE + MANCOZEBE</t>
  </si>
  <si>
    <t>300 + 440</t>
  </si>
  <si>
    <t>SUPPORT WG</t>
  </si>
  <si>
    <t>VITENE</t>
  </si>
  <si>
    <t>AZOXISTROBINA + DIFENOCONAZOL</t>
  </si>
  <si>
    <t>300 + 200</t>
  </si>
  <si>
    <t>CARTAP BR 500</t>
  </si>
  <si>
    <t>CLORIDRATO DE CARTAPE</t>
  </si>
  <si>
    <t>1x12</t>
  </si>
  <si>
    <t>CURADO</t>
  </si>
  <si>
    <t>EXCALIA MAX</t>
  </si>
  <si>
    <t>IMPIRFLUXAM + TEBUCONAZOL</t>
  </si>
  <si>
    <t>60 + 200</t>
  </si>
  <si>
    <t>PLADIUS</t>
  </si>
  <si>
    <t>IMPIRFLUXAM + DIFENOCONAZOL + PICOXISTROBINA</t>
  </si>
  <si>
    <t>60 + 120 + 120</t>
  </si>
  <si>
    <t>SIALEX 500</t>
  </si>
  <si>
    <t>PROCIMIDONA</t>
  </si>
  <si>
    <t>TAMIZ</t>
  </si>
  <si>
    <t>120 + 160</t>
  </si>
  <si>
    <t>TROIA</t>
  </si>
  <si>
    <t>ALADE</t>
  </si>
  <si>
    <t>BENZOVINDIFLUPYR + CIPROCONAZOL +
 DIFENOCONAZOL</t>
  </si>
  <si>
    <t>60 + 90 + 150</t>
  </si>
  <si>
    <t>AMISTAR TOP</t>
  </si>
  <si>
    <t>200 + 125</t>
  </si>
  <si>
    <t>AUGE</t>
  </si>
  <si>
    <t>HIDRÓXIDO DE COBRE</t>
  </si>
  <si>
    <t>BRAVONIL 720</t>
  </si>
  <si>
    <t>CLOROTALONIL</t>
  </si>
  <si>
    <t>BRAVONIL TOP</t>
  </si>
  <si>
    <t>CLOROTALONIL + DIFENOCONAZOL</t>
  </si>
  <si>
    <t>500 + 50</t>
  </si>
  <si>
    <t>CYPRESS 400 EC</t>
  </si>
  <si>
    <t>DIFENOCONAZOL + CIPROCONAZOL</t>
  </si>
  <si>
    <t>250 + 150</t>
  </si>
  <si>
    <t>ELATUS</t>
  </si>
  <si>
    <t>AZOXISTROBINA + BENZOVINDIFLUPYR</t>
  </si>
  <si>
    <t>300 + 150</t>
  </si>
  <si>
    <t>MERTIN 400</t>
  </si>
  <si>
    <t>HIDRÓXIDO DE FENTINA</t>
  </si>
  <si>
    <t>MIRAVIS</t>
  </si>
  <si>
    <t>PIDIFLUMETOFEN</t>
  </si>
  <si>
    <t>MIRAVIS DUO</t>
  </si>
  <si>
    <t>PIDIFLUMETOFEN + DIFENOCONAZOL</t>
  </si>
  <si>
    <t>75 + 125</t>
  </si>
  <si>
    <t>MIRAVIS PRO</t>
  </si>
  <si>
    <t>PIDIFLUMETOFEN + PROTIOCONAZOL</t>
  </si>
  <si>
    <t>62,5 + 75</t>
  </si>
  <si>
    <t>MITRION EC</t>
  </si>
  <si>
    <t>BENZOVINDIFLUPYR + PROTIOCONAZOL</t>
  </si>
  <si>
    <t>75 + 150</t>
  </si>
  <si>
    <t>PRIORI TOP</t>
  </si>
  <si>
    <t>RIDOMIL GOLD BRAVO</t>
  </si>
  <si>
    <t>METALAXIL-M + CLOROTALONIL</t>
  </si>
  <si>
    <t>40 + 400</t>
  </si>
  <si>
    <t>SCORE FLEXI®</t>
  </si>
  <si>
    <t>PROPICONAZOL + DIFENOCONAZOL</t>
  </si>
  <si>
    <t>250 + 250</t>
  </si>
  <si>
    <t>SEEKER</t>
  </si>
  <si>
    <t>FENPROPIDINA</t>
  </si>
  <si>
    <t>AMINOL 806</t>
  </si>
  <si>
    <t>2,4-D-DIMETILAMINA</t>
  </si>
  <si>
    <t>APRESA</t>
  </si>
  <si>
    <t>FLUMIOXAZINA + S-METOLACLORO</t>
  </si>
  <si>
    <t>42 + 840</t>
  </si>
  <si>
    <t>ARADDO</t>
  </si>
  <si>
    <t>CLETODIM + FLUROXIPIR-MEPTÍLICO</t>
  </si>
  <si>
    <t>140 + 288</t>
  </si>
  <si>
    <t>CHEVAL</t>
  </si>
  <si>
    <t>S-METOLACLORO + GLUFOSINATO - SAL DE AMÔNIO</t>
  </si>
  <si>
    <t>600 + 200</t>
  </si>
  <si>
    <t>POQUER</t>
  </si>
  <si>
    <t>CLETODIM</t>
  </si>
  <si>
    <t>PREMERLIN 600 EC</t>
  </si>
  <si>
    <t>TRIFLURALINA</t>
  </si>
  <si>
    <t>AMPLO</t>
  </si>
  <si>
    <t>BENTAZONA + IMAZAMOXI</t>
  </si>
  <si>
    <t>600 + 28</t>
  </si>
  <si>
    <t>BASAGRAN 600</t>
  </si>
  <si>
    <t>BENTAZONA</t>
  </si>
  <si>
    <t>FINALE</t>
  </si>
  <si>
    <t>GLUFOSINATO - SAL DE AMONIO</t>
  </si>
  <si>
    <t>HEAT</t>
  </si>
  <si>
    <t>SAFLUFENACIL</t>
  </si>
  <si>
    <t>10X0,35</t>
  </si>
  <si>
    <t>LIBERTY</t>
  </si>
  <si>
    <t>PROWL H2O</t>
  </si>
  <si>
    <t>PENDIMETALINA</t>
  </si>
  <si>
    <t>2x10</t>
  </si>
  <si>
    <t>ADENGO</t>
  </si>
  <si>
    <t>ISOXAFLUTOL + TIENCARBAZONA METÍLICA</t>
  </si>
  <si>
    <t>225 + 90</t>
  </si>
  <si>
    <t>ROUNDUP WG</t>
  </si>
  <si>
    <t>GLIFOSATO-SAL DE AMÔNIO</t>
  </si>
  <si>
    <t>SOBERAN</t>
  </si>
  <si>
    <t>TEMBOTRIONA</t>
  </si>
  <si>
    <t>2,4-D 806+PICLORAM 64</t>
  </si>
  <si>
    <t>2,4-D + PICLORAM</t>
  </si>
  <si>
    <t>806 + 64</t>
  </si>
  <si>
    <t>FOMESAFEN CCAB 250 SL</t>
  </si>
  <si>
    <t>FOMESAFEM</t>
  </si>
  <si>
    <t>GLUFOSINATO CCAB 200 SL</t>
  </si>
  <si>
    <t>MESOTRIONA CCAB 480 SC</t>
  </si>
  <si>
    <t>MESOTRIONA</t>
  </si>
  <si>
    <t>TRICLOPIR CCAB 480 EC</t>
  </si>
  <si>
    <t>TRICLOPIR-BUTOTÍLICO</t>
  </si>
  <si>
    <t>ACCENT</t>
  </si>
  <si>
    <t>NICOSSULFUROM</t>
  </si>
  <si>
    <t>12X0,300</t>
  </si>
  <si>
    <t>CLASSIC</t>
  </si>
  <si>
    <t>CLORIMUROM-ETÍLICO</t>
  </si>
  <si>
    <t>6X1,2</t>
  </si>
  <si>
    <t>CLINCHER</t>
  </si>
  <si>
    <t>CIALOFOPE-BUTÍLICO</t>
  </si>
  <si>
    <t>ELEVORE</t>
  </si>
  <si>
    <t>HALAUXIFEN-METIL</t>
  </si>
  <si>
    <t>71.4</t>
  </si>
  <si>
    <t>ENLIST COLEX-D</t>
  </si>
  <si>
    <t>2,4-D SAL DE COLINA + EQUIVALENTE ACIDO 2.4D</t>
  </si>
  <si>
    <t>668,62 + 456</t>
  </si>
  <si>
    <t>GAPPER</t>
  </si>
  <si>
    <t>FLORPIRAUXIFEN-BENZIL</t>
  </si>
  <si>
    <t>PACTO</t>
  </si>
  <si>
    <t>CLORANSULAM-METÍLICO</t>
  </si>
  <si>
    <t>12x0,480</t>
  </si>
  <si>
    <t>PAXEO</t>
  </si>
  <si>
    <t>DICLOSULAM + HALAUXIFEN-METIL</t>
  </si>
  <si>
    <t>580 + 115</t>
  </si>
  <si>
    <t>12x0,220</t>
  </si>
  <si>
    <t>SPIDER 840 WG</t>
  </si>
  <si>
    <t>DICLOSULAM</t>
  </si>
  <si>
    <t>12x0,420</t>
  </si>
  <si>
    <t>VERDICT ULTRA</t>
  </si>
  <si>
    <t>HALOXIFOPE-P-METÍLICO</t>
  </si>
  <si>
    <t>CORTEVA/SOMAX</t>
  </si>
  <si>
    <t>BLOWOUT</t>
  </si>
  <si>
    <t>DIBROMETO DE DIQUATE</t>
  </si>
  <si>
    <t>CLETODIM 240 EC BRILLIANCE</t>
  </si>
  <si>
    <t>GLUFOS-WYN 880</t>
  </si>
  <si>
    <t>GINETE 212 SL</t>
  </si>
  <si>
    <t>IMAZETAPIR</t>
  </si>
  <si>
    <t>AURORA 400 EC</t>
  </si>
  <si>
    <t>CARFENTRAZONA-ETÍLICA</t>
  </si>
  <si>
    <t>AZUGRO</t>
  </si>
  <si>
    <t>BIXLOZONA + IMAZETAPIR</t>
  </si>
  <si>
    <t>400 + 31,77</t>
  </si>
  <si>
    <t>BORAL</t>
  </si>
  <si>
    <t>SULFENTRAZONA</t>
  </si>
  <si>
    <t>REATOR 360 CS</t>
  </si>
  <si>
    <t>CLOMAZONA</t>
  </si>
  <si>
    <t>STONE</t>
  </si>
  <si>
    <t>DIUROM + SULFENTRAZONA</t>
  </si>
  <si>
    <t>350 + 175</t>
  </si>
  <si>
    <t>ARKEIRO NORTOX</t>
  </si>
  <si>
    <t>CLORIMUROM-ETÍLICO + FLUMIOXAZINA + IMAZETAPIR</t>
  </si>
  <si>
    <t>100 + 200 + 400</t>
  </si>
  <si>
    <t>CLETODIM OLEUM NORTOX</t>
  </si>
  <si>
    <t>CLORIMUROM MAX NORTOX</t>
  </si>
  <si>
    <t>2X0,500</t>
  </si>
  <si>
    <t>FLUROXIPIR NORTOX</t>
  </si>
  <si>
    <t>FLUROXIPIR-MEPTÍLICO</t>
  </si>
  <si>
    <t>GLUFOSINATO NORTOX 880 SG</t>
  </si>
  <si>
    <t>IMAZETAPIR NORTOX</t>
  </si>
  <si>
    <t>MESOTRIONA NORTOX</t>
  </si>
  <si>
    <t>TRIFLURALINA NORTOX GOLD</t>
  </si>
  <si>
    <t>CLICK</t>
  </si>
  <si>
    <t>TERBUTILAZINA</t>
  </si>
  <si>
    <t>VOLCANE</t>
  </si>
  <si>
    <t>MSMA</t>
  </si>
  <si>
    <t>CRUCIAL</t>
  </si>
  <si>
    <t>GLIFOSATO-SAL DE ISOPROPILAMINA + GLIFOSATO-SAL
 DE POTÁSSIO</t>
  </si>
  <si>
    <t>SUMYZIN 500 SC</t>
  </si>
  <si>
    <t>FLUMIOXAZINA</t>
  </si>
  <si>
    <t>U 46 BR</t>
  </si>
  <si>
    <t>ZETHAMAXX</t>
  </si>
  <si>
    <t>IMAZETAPIR + FLUMIOXAZINA</t>
  </si>
  <si>
    <t>212 + 100</t>
  </si>
  <si>
    <t>ZETHAMAXX EVO</t>
  </si>
  <si>
    <t>IMAZETAPIR + FLUMIOXAZINA + S-METOLACLORO</t>
  </si>
  <si>
    <t>50 + 25 + 576</t>
  </si>
  <si>
    <t>CALARIS</t>
  </si>
  <si>
    <t>MESOTRIONA + ATRAZINA</t>
  </si>
  <si>
    <t>50 + 500</t>
  </si>
  <si>
    <t>DUAL GOLD</t>
  </si>
  <si>
    <t>S-METOLACLORO</t>
  </si>
  <si>
    <t>EDDUS</t>
  </si>
  <si>
    <t>FOMESAFEM + S-METOLACLORO</t>
  </si>
  <si>
    <t>119,54 + 517,83</t>
  </si>
  <si>
    <t>FLEX</t>
  </si>
  <si>
    <t>FUSILADE</t>
  </si>
  <si>
    <t>FLUAZIFOPE-P-BUTÍLICO</t>
  </si>
  <si>
    <t>GESAPRIM GRDA</t>
  </si>
  <si>
    <t>ATRAZINA</t>
  </si>
  <si>
    <t>PRIMESTRA GOLD</t>
  </si>
  <si>
    <t>ATRAZINA + S-METOLACLORO</t>
  </si>
  <si>
    <t>370 + 290</t>
  </si>
  <si>
    <t>PROOF</t>
  </si>
  <si>
    <t>REGLONE</t>
  </si>
  <si>
    <t>DIQUATE</t>
  </si>
  <si>
    <t>TOPIK 240 EC</t>
  </si>
  <si>
    <t>CLODINAFOPE-PROPARGIL</t>
  </si>
  <si>
    <t>ZAPP QI 620</t>
  </si>
  <si>
    <t>GLIFOSATO-SAL DE POTÁSSIO</t>
  </si>
  <si>
    <t>MINOS CAPS 360 CS</t>
  </si>
  <si>
    <t>GALIL SC</t>
  </si>
  <si>
    <t>IMIDACLOPRIDO + BIFENTRINA</t>
  </si>
  <si>
    <t>250 + 50</t>
  </si>
  <si>
    <t>MAGNUM</t>
  </si>
  <si>
    <t>ACEFATO</t>
  </si>
  <si>
    <t>PLETHORA BR</t>
  </si>
  <si>
    <t>INDOXACARBE + NOVALUROM</t>
  </si>
  <si>
    <t>240 + 80</t>
  </si>
  <si>
    <t>RIMON SUPRA</t>
  </si>
  <si>
    <t>NOVALUROM</t>
  </si>
  <si>
    <t>SQUAD</t>
  </si>
  <si>
    <t>ACETAMIPRIDO + BIFENTRINA</t>
  </si>
  <si>
    <t>375 + 165</t>
  </si>
  <si>
    <t>TRIVOR</t>
  </si>
  <si>
    <t>ACETAMIPRIDO + PIRIPROXIFEM</t>
  </si>
  <si>
    <t>186 + 124</t>
  </si>
  <si>
    <t>EFFICON</t>
  </si>
  <si>
    <t>DIMPROPIRIDAZ</t>
  </si>
  <si>
    <t>NOMOLT 150</t>
  </si>
  <si>
    <t>TEFLUBENZUROM</t>
  </si>
  <si>
    <t>PIRATE</t>
  </si>
  <si>
    <t>CLORFENAPIR</t>
  </si>
  <si>
    <t>BELT</t>
  </si>
  <si>
    <t>FLUBENDIAMIDA</t>
  </si>
  <si>
    <t>BULLDOCK 125 SC</t>
  </si>
  <si>
    <t>BETA-CIFLUTRINA</t>
  </si>
  <si>
    <t>CERTERO</t>
  </si>
  <si>
    <t>TRIFLUMUROM</t>
  </si>
  <si>
    <t>CONNECT</t>
  </si>
  <si>
    <t>IMIDACLOPRIDO + BETA-CIFLUTRINA</t>
  </si>
  <si>
    <t>100 + 12,5</t>
  </si>
  <si>
    <t>CURBIX 200 SC</t>
  </si>
  <si>
    <t>ETIPROLE</t>
  </si>
  <si>
    <t>OBERON</t>
  </si>
  <si>
    <t>ESPIROMESIFENO</t>
  </si>
  <si>
    <t>ACETAMIPRID CCAB 200 SP</t>
  </si>
  <si>
    <t>ACETAMIPRIDO</t>
  </si>
  <si>
    <t>DIFLUBENZURON CCAB 480 SC</t>
  </si>
  <si>
    <t>DIFLUBENZUROM</t>
  </si>
  <si>
    <t>FIPRONIL 800 WG CCAB</t>
  </si>
  <si>
    <t>FIPRONIL</t>
  </si>
  <si>
    <t>INDOXACARB CCAB 150 SC</t>
  </si>
  <si>
    <t>INDOXACARBE</t>
  </si>
  <si>
    <t>EXALT</t>
  </si>
  <si>
    <t>ESPINETORAM</t>
  </si>
  <si>
    <t>EXPEDITION</t>
  </si>
  <si>
    <t>SULFOXAFLOR + LAMBDA-CIALOTRINA</t>
  </si>
  <si>
    <t>100 + 150</t>
  </si>
  <si>
    <t>4X5 ou 1X10</t>
  </si>
  <si>
    <t>INTREPID 240 SC</t>
  </si>
  <si>
    <t>METOXIFENOZIDA</t>
  </si>
  <si>
    <t>INTREPID EDGE</t>
  </si>
  <si>
    <t>ESPINETORAM + METOXIFENOZIDA</t>
  </si>
  <si>
    <t>60 + 300</t>
  </si>
  <si>
    <t>LANNATE BR</t>
  </si>
  <si>
    <t>METOMIL</t>
  </si>
  <si>
    <t>X</t>
  </si>
  <si>
    <t>ACETAMIPRID 250 G/KG + BIFENTHRIN
 250G/KG WG</t>
  </si>
  <si>
    <t>PROTEINAS</t>
  </si>
  <si>
    <t>BAKANA 400 SC</t>
  </si>
  <si>
    <t>KRATON 100 EC</t>
  </si>
  <si>
    <t>LUFENUROM</t>
  </si>
  <si>
    <t>TAURA 200 EC</t>
  </si>
  <si>
    <t>PIRIPROXIFEM</t>
  </si>
  <si>
    <t>BENEVIA</t>
  </si>
  <si>
    <t>CIANTRANILIPROLE</t>
  </si>
  <si>
    <t>HERO</t>
  </si>
  <si>
    <t>ZETA-CIPERMETRINA + BIFENTRINA</t>
  </si>
  <si>
    <t>200 + 180</t>
  </si>
  <si>
    <t>4X5 ou 15X1</t>
  </si>
  <si>
    <t>MALATHION UL</t>
  </si>
  <si>
    <t>MALATIONA</t>
  </si>
  <si>
    <t>10 ou IBC</t>
  </si>
  <si>
    <t>MUSTANG 350 EC</t>
  </si>
  <si>
    <t>ZETA-CIPERMETRINA</t>
  </si>
  <si>
    <t>PREMIO</t>
  </si>
  <si>
    <t>CLORANTRANILIPROLE</t>
  </si>
  <si>
    <t>TALISMAN</t>
  </si>
  <si>
    <t>BIFENTRINA + CARBOSSULFANO</t>
  </si>
  <si>
    <t>50 + 150</t>
  </si>
  <si>
    <t>TALSTAR 400</t>
  </si>
  <si>
    <t>BIFENTRINA</t>
  </si>
  <si>
    <t>VERIMARK</t>
  </si>
  <si>
    <t>ABAMECTIN 72 EC NORTOX</t>
  </si>
  <si>
    <t>ABAMECTINA</t>
  </si>
  <si>
    <t>CIPERMETRINA NORTOX</t>
  </si>
  <si>
    <t>CIPERMETRINA</t>
  </si>
  <si>
    <t>CLORANTRANILIPROLE NORTOX 400 SC</t>
  </si>
  <si>
    <t>CLORFENAPIR NORTOX</t>
  </si>
  <si>
    <t>CLORPIRIFÓS NORTOX EC</t>
  </si>
  <si>
    <t>CLORPIRIFÓS</t>
  </si>
  <si>
    <t>DIAFENTIURON NORTOX</t>
  </si>
  <si>
    <t>DIAFENTIUROM</t>
  </si>
  <si>
    <t>IMIDACLOPRID NORTOX 480 SC</t>
  </si>
  <si>
    <t>IMIDACLOPRIDO</t>
  </si>
  <si>
    <t>METOMIL 215 SL NORTOX</t>
  </si>
  <si>
    <t>PIRIPROXIFEN NORTOX</t>
  </si>
  <si>
    <t>TEMPUS NORTOX</t>
  </si>
  <si>
    <t>CLORANTRANILIPROLE + CLORPIRIFÓS</t>
  </si>
  <si>
    <t>32 + 480</t>
  </si>
  <si>
    <t>TYPHOON NORTOX</t>
  </si>
  <si>
    <t>CLORANTRANILIPROLE + METOMIL</t>
  </si>
  <si>
    <t>21,5 + 215</t>
  </si>
  <si>
    <t>ABADAY</t>
  </si>
  <si>
    <t>TIODICARBE + LUFENUROM</t>
  </si>
  <si>
    <t>300 + 50</t>
  </si>
  <si>
    <t>CARNADINE</t>
  </si>
  <si>
    <t>INSIDE FS</t>
  </si>
  <si>
    <t>CLOTIANIDINA</t>
  </si>
  <si>
    <t>KAISO MAX</t>
  </si>
  <si>
    <t>IMIDACLOPRIDO + LAMBDA-CIALOTRINA</t>
  </si>
  <si>
    <t>350 + 100</t>
  </si>
  <si>
    <t>KLORPAN 480 EC</t>
  </si>
  <si>
    <t>LEGION</t>
  </si>
  <si>
    <t>FENITROTIONA + ESFENVALERATO</t>
  </si>
  <si>
    <t>800 + 40</t>
  </si>
  <si>
    <t>OPTERADUO</t>
  </si>
  <si>
    <t>CLORANTRANILIPROLE + CLORFENAPIR</t>
  </si>
  <si>
    <t>30 + 400</t>
  </si>
  <si>
    <t>SUMIRODY</t>
  </si>
  <si>
    <t>FENPROPATRINA</t>
  </si>
  <si>
    <t>XENTARI</t>
  </si>
  <si>
    <t>BACILLUS THURINGIENSIS</t>
  </si>
  <si>
    <t>ACTARA 250 WG</t>
  </si>
  <si>
    <t>TIAMETOXAM</t>
  </si>
  <si>
    <t>AMPLIGO</t>
  </si>
  <si>
    <t>CLORANTRANILIPROLE + LAMBDA-CIALOTRINA</t>
  </si>
  <si>
    <t>CURYOM 550 EC</t>
  </si>
  <si>
    <t>LUFENUROM + PROFENOFÓS</t>
  </si>
  <si>
    <t>ELESTAL NEO</t>
  </si>
  <si>
    <t>ESPIROPIDION + ACETAMIPRIDO</t>
  </si>
  <si>
    <t>300 + 240</t>
  </si>
  <si>
    <t>ENGEO PLENO S</t>
  </si>
  <si>
    <t>TIAMETOXAM + LAMBDA-CIALOTRINA</t>
  </si>
  <si>
    <t>141 + 106</t>
  </si>
  <si>
    <t>KARATE ZEON 250 CS</t>
  </si>
  <si>
    <t>LAMBDA-CIALOTRINA</t>
  </si>
  <si>
    <t>MINECTO PRO</t>
  </si>
  <si>
    <t>ABAMECTINA + CIANTRANILIPROLE</t>
  </si>
  <si>
    <t>18 + 60</t>
  </si>
  <si>
    <t>POLO 500 SC</t>
  </si>
  <si>
    <t>POLYTRIN</t>
  </si>
  <si>
    <t>PROFENOFÓS + CIPERMETRINA</t>
  </si>
  <si>
    <t>400 + 40</t>
  </si>
  <si>
    <t>PROCLAIM 50</t>
  </si>
  <si>
    <t>BENZOATO DE EMAMECTINA</t>
  </si>
  <si>
    <t>SPONTA</t>
  </si>
  <si>
    <t>ISOCICLOSERAM</t>
  </si>
  <si>
    <t>VERDAVIS</t>
  </si>
  <si>
    <t>ISOCICLOSERAM + LAMBDA-CIALOTRINA</t>
  </si>
  <si>
    <t>VERTIMEC 84 SC</t>
  </si>
  <si>
    <t>RC</t>
  </si>
  <si>
    <t>PIX HC</t>
  </si>
  <si>
    <t>CLORETO DE MEPIQUATE</t>
  </si>
  <si>
    <t>FINISH</t>
  </si>
  <si>
    <t>ETEFOM + CICLANILIDA</t>
  </si>
  <si>
    <t>480 + 60</t>
  </si>
  <si>
    <t>SPONSOR</t>
  </si>
  <si>
    <t>IMPULSE</t>
  </si>
  <si>
    <t>ETEFOM</t>
  </si>
  <si>
    <t>MAXCEL</t>
  </si>
  <si>
    <t>BENZILADENINA</t>
  </si>
  <si>
    <t>1X12 ou 2X5</t>
  </si>
  <si>
    <t>PROGIBB 400</t>
  </si>
  <si>
    <t>ÁCIDO GIBERÉLICO</t>
  </si>
  <si>
    <t>10X0,250</t>
  </si>
  <si>
    <t>PROMALIN</t>
  </si>
  <si>
    <t>BENZILADENINA + ÁCIDO GIBERÉLICO</t>
  </si>
  <si>
    <t>18,8 + 18,8</t>
  </si>
  <si>
    <t>CULTAR 250 SC</t>
  </si>
  <si>
    <t>PACLOBUTRAZOL</t>
  </si>
  <si>
    <t>MODDUS</t>
  </si>
  <si>
    <t>TRINEXAPAQUE-ETÍLICO</t>
  </si>
  <si>
    <t>NEMATICIDA</t>
  </si>
  <si>
    <t>LORMELO</t>
  </si>
  <si>
    <t>FLUAZAINDOLIZINE</t>
  </si>
  <si>
    <t>RADIFARM</t>
  </si>
  <si>
    <t>N + K2O + ZN + C (Ascophylllum nodosum)</t>
  </si>
  <si>
    <t>36,21 + 96,56 + 1,2 + 120,7
 g/L</t>
  </si>
  <si>
    <t>MEGAFOL</t>
  </si>
  <si>
    <t>N + K2O + Carbono Organico</t>
  </si>
  <si>
    <t>3 + 8 + 9</t>
  </si>
  <si>
    <t>OCTABORATO</t>
  </si>
  <si>
    <t>AGROPLACE</t>
  </si>
  <si>
    <t>BOP</t>
  </si>
  <si>
    <t>N1%;B9,5%</t>
  </si>
  <si>
    <t>13,8g/l + 131,1g/l</t>
  </si>
  <si>
    <t>METAL NUTRE</t>
  </si>
  <si>
    <t>N1%;Cu3%;Mn10%;Zn10%</t>
  </si>
  <si>
    <t>14,5g/l + 43,5g/l + 145g/l + 145g/l</t>
  </si>
  <si>
    <t>MONIC</t>
  </si>
  <si>
    <t>N1%;Co0,4%;Mo7,4%;Ni0,8%</t>
  </si>
  <si>
    <t>13,7g/l + 5,48g/l + 101,3g/l + 10,96g/l</t>
  </si>
  <si>
    <t>AP MAGNÉSIO</t>
  </si>
  <si>
    <t>N4%;S4,25%;Mg4%</t>
  </si>
  <si>
    <t>52g/l + 55,2g/l + 52g/l</t>
  </si>
  <si>
    <t>GRANO KMG</t>
  </si>
  <si>
    <t>K2O8%; Mg1,5%; B0,32%</t>
  </si>
  <si>
    <t>92,4g/l + 17,3g/l + 3,7g/l</t>
  </si>
  <si>
    <t>AP MANGANÊS</t>
  </si>
  <si>
    <t>N1%; Mn20%</t>
  </si>
  <si>
    <t>15,4g/l + 308g/l</t>
  </si>
  <si>
    <t>AMINOS Mn</t>
  </si>
  <si>
    <t>N4%; P2O5 4%; S3,6%; Mn6%; Ni0,2%; Zn0,4%</t>
  </si>
  <si>
    <t>54,8g/l + 54,8g/l + 49,32g/l + 82,2g/l + 2,7g/l + 5,4g/l</t>
  </si>
  <si>
    <t>MICROBOX</t>
  </si>
  <si>
    <t>ACRESENTE</t>
  </si>
  <si>
    <t>ACRESECENT ALGA</t>
  </si>
  <si>
    <t>RAIZ F</t>
  </si>
  <si>
    <t>ACRESCENTE SOLUS F</t>
  </si>
  <si>
    <t>SALUT</t>
  </si>
  <si>
    <t>MATRIZ D</t>
  </si>
  <si>
    <t>GRAN7</t>
  </si>
  <si>
    <t>BRAVERO</t>
  </si>
  <si>
    <t>Co1%; Mo10%; Ni1%</t>
  </si>
  <si>
    <t>Glyfort</t>
  </si>
  <si>
    <t>32% Glicina Betaína + 4% Ac. Fúlvicos</t>
  </si>
  <si>
    <t>Fergsum</t>
  </si>
  <si>
    <t>4% Glicina Betaína + 22% Ac. Fúlvicos</t>
  </si>
  <si>
    <t>Spander</t>
  </si>
  <si>
    <t>Precursor de hormônios + 0.08% Giberelina + 0.08% Cinetina + Azospirillum Brasilense</t>
  </si>
  <si>
    <t>Halattus</t>
  </si>
  <si>
    <t>27.5% Ácidos Fúlvicos + 15% Ácidos Húmicos</t>
  </si>
  <si>
    <t>Sallvare Complex</t>
  </si>
  <si>
    <t>Cu 8%, Fe 0,1%,Quelatizado Organicamente</t>
  </si>
  <si>
    <t>Zinctaus Complex</t>
  </si>
  <si>
    <t>Zn 5,8%, S2,8% - Quelatizado Organicamente</t>
  </si>
  <si>
    <t>Emezine Complex</t>
  </si>
  <si>
    <t>Mn 3%, Zn 3%, Cu3,2% - Quelatizado Organicamente</t>
  </si>
  <si>
    <t>Boratus Complex</t>
  </si>
  <si>
    <t>B 10% + Manitol + Sorbitol - Quelatizado Organicamente</t>
  </si>
  <si>
    <t>Magmill Complex</t>
  </si>
  <si>
    <t>N6%; Mg 5%; Mn 0,08%;B 0,05%; Mo 0,015%  Organicamente Quelatizado</t>
  </si>
  <si>
    <t>Brave K</t>
  </si>
  <si>
    <t>N 5%, K2O 28%, 2% Aminoácidos + 2% EDTA</t>
  </si>
  <si>
    <t>Brave Max Up</t>
  </si>
  <si>
    <t>Quelatizados com EDTA</t>
  </si>
  <si>
    <t>MAX RAIZ</t>
  </si>
  <si>
    <t>Co 0,3%, Mo 3%, Ni 0,3% + 15% Ascophyllum nodosum</t>
  </si>
  <si>
    <t>Polyamine</t>
  </si>
  <si>
    <t>Mn 5,6%; S 3%</t>
  </si>
  <si>
    <t>Sulfato de Magnésio</t>
  </si>
  <si>
    <t>Map Purificado</t>
  </si>
  <si>
    <t>Vittia</t>
  </si>
  <si>
    <t>MANGAN 10</t>
  </si>
  <si>
    <t>NHT ZINCO</t>
  </si>
  <si>
    <t>KELLUS CUPPER</t>
  </si>
  <si>
    <t>MOLIBIDENIO 16</t>
  </si>
  <si>
    <t>ZINCO 10</t>
  </si>
  <si>
    <t>FIPRONIL NORTOX MAX</t>
  </si>
  <si>
    <t>MAXIM ADVANCED</t>
  </si>
  <si>
    <t>METALAXIL-M + TIABENDAZOL + FLUDIOXONIL</t>
  </si>
  <si>
    <t>20 + 150 + 25</t>
  </si>
  <si>
    <t>MAXIM XL</t>
  </si>
  <si>
    <t>FLUDIOXONIL + METALAXIL-M</t>
  </si>
  <si>
    <t>25 + 10</t>
  </si>
  <si>
    <t>VICTRATO</t>
  </si>
  <si>
    <t>CICLOBUTRIFLURAM</t>
  </si>
  <si>
    <t>SPECTRO</t>
  </si>
  <si>
    <t>STANDAK TOP</t>
  </si>
  <si>
    <t>PIRACLOSTROBINA + TIOFANATO-METÍLICO + FIPRONIL</t>
  </si>
  <si>
    <t>25 + 225 + 250</t>
  </si>
  <si>
    <t>CRUISER ADVANCED</t>
  </si>
  <si>
    <t>METALAXIL-M + TIABENDAZOL + FLUDIOXONIL +
 TIAMETOXAM</t>
  </si>
  <si>
    <t>20 + 150 + 25 + 350</t>
  </si>
  <si>
    <t>PLUST</t>
  </si>
  <si>
    <t>TIOFANATO-METÍLICO + FLUAZINAM</t>
  </si>
  <si>
    <t>350 + 52,5</t>
  </si>
  <si>
    <t>SOMBRERO</t>
  </si>
  <si>
    <t>CROPSTAR</t>
  </si>
  <si>
    <t>IMIDACLOPRIDO + TIODICARBE</t>
  </si>
  <si>
    <t>150 + 450</t>
  </si>
  <si>
    <t>DERMACOR</t>
  </si>
  <si>
    <t>OPTERASEED</t>
  </si>
  <si>
    <t>AVICTA 500 FS</t>
  </si>
  <si>
    <t>CRUISER 350 FS</t>
  </si>
  <si>
    <t>FORTENZA 600 FS</t>
  </si>
  <si>
    <t>ILEVO</t>
  </si>
  <si>
    <t>PERMIT STAR</t>
  </si>
  <si>
    <t>DIETHOLATE</t>
  </si>
  <si>
    <t>FEIJÃO</t>
  </si>
  <si>
    <t>SEMENTE TRIGO</t>
  </si>
  <si>
    <t>SEMENTE MILHO</t>
  </si>
  <si>
    <t>SC</t>
  </si>
  <si>
    <t>MG540PWU</t>
  </si>
  <si>
    <t>MG711PWU</t>
  </si>
  <si>
    <t>MG616PWU</t>
  </si>
  <si>
    <t>P3707PWU</t>
  </si>
  <si>
    <t>P39209PWU</t>
  </si>
  <si>
    <t>P40537PWU</t>
  </si>
  <si>
    <t>FS650PWU</t>
  </si>
  <si>
    <t>SEMENTE SOJA CV</t>
  </si>
  <si>
    <t>OLIMPO</t>
  </si>
  <si>
    <t>5MM</t>
  </si>
  <si>
    <t>BAG</t>
  </si>
  <si>
    <t>M8349</t>
  </si>
  <si>
    <t>CORDIUS C2795 CE</t>
  </si>
  <si>
    <t>MATURAÇÃO 7.9</t>
  </si>
  <si>
    <t>HERA I2X</t>
  </si>
  <si>
    <t>SPARTA 8.0</t>
  </si>
  <si>
    <t>CORDIUS C2795 CE 7.9</t>
  </si>
  <si>
    <t>IMPETO</t>
  </si>
  <si>
    <t>NEO 790</t>
  </si>
  <si>
    <t>APORÉ 7.3</t>
  </si>
  <si>
    <t>GUAPÓ 7.7</t>
  </si>
  <si>
    <t>MITICA 7.7</t>
  </si>
  <si>
    <t>TMG MURICI I2X 7.6</t>
  </si>
  <si>
    <t>DOMÍNIO 8.4</t>
  </si>
  <si>
    <t>LENDA</t>
  </si>
  <si>
    <t>BRASMAX HERA</t>
  </si>
  <si>
    <t>BRASMAX OLIMPO</t>
  </si>
  <si>
    <t>S6525 I2X</t>
  </si>
  <si>
    <t>TMG ITAÚBA I2X</t>
  </si>
  <si>
    <t>SEMENTE SOJA RR</t>
  </si>
  <si>
    <t>BRACHIARIA RUZIZIENCES</t>
  </si>
  <si>
    <t>CAPIM MIAGE</t>
  </si>
  <si>
    <t>TMG INGÁ I2X 6.9</t>
  </si>
  <si>
    <t>TMG 2383 IPRO 8.3</t>
  </si>
  <si>
    <t>BRACHIARIA BASICA</t>
  </si>
  <si>
    <t>GH 2478 IPRO 8.1</t>
  </si>
  <si>
    <t>HO COCARI I2X 8.2</t>
  </si>
  <si>
    <t>SEMENTE DE SORGO</t>
  </si>
  <si>
    <t>SOLUBIO</t>
  </si>
  <si>
    <t>Now Lock</t>
  </si>
  <si>
    <t>Bacillus amyloliquefaciens</t>
  </si>
  <si>
    <t>Now Guard</t>
  </si>
  <si>
    <t>Bacillus subtilis</t>
  </si>
  <si>
    <t>Now Force</t>
  </si>
  <si>
    <t>Beauveria bassiana</t>
  </si>
  <si>
    <t>Now Raze</t>
  </si>
  <si>
    <t>Cordyceps fumosorosea (Isaria)</t>
  </si>
  <si>
    <t>Now Bolt</t>
  </si>
  <si>
    <t>Metarhizium anisopliae</t>
  </si>
  <si>
    <t>Now Active</t>
  </si>
  <si>
    <t>Priestia megaterium</t>
  </si>
  <si>
    <t>Now React</t>
  </si>
  <si>
    <t>Pseudomonas fluorescens</t>
  </si>
  <si>
    <t>Now Cover</t>
  </si>
  <si>
    <t>Purpureocillium lilacinum</t>
  </si>
  <si>
    <t>Now Pulse</t>
  </si>
  <si>
    <t>Trichoderma harzianum</t>
  </si>
  <si>
    <t>Now Sprint</t>
  </si>
  <si>
    <t>Trichoderma harzianum + Grafite</t>
  </si>
  <si>
    <t>Bio Az</t>
  </si>
  <si>
    <t>Azospirillum brasiliense</t>
  </si>
  <si>
    <t>Bio ND</t>
  </si>
  <si>
    <t>Bradyrhizobium sp.</t>
  </si>
  <si>
    <t>Tec Catp Pro</t>
  </si>
  <si>
    <t>Bacillus thuringiensis kurstaki</t>
  </si>
  <si>
    <t>Bio Elipso</t>
  </si>
  <si>
    <t>Bacilus licheniformis</t>
  </si>
  <si>
    <t>Tec Bug</t>
  </si>
  <si>
    <t>Chromobacterium subtsugae</t>
  </si>
  <si>
    <t>Solu Shield</t>
  </si>
  <si>
    <t>Bacilus pumilus</t>
  </si>
  <si>
    <t>Solu Strong</t>
  </si>
  <si>
    <t>Solu Leaf</t>
  </si>
  <si>
    <t>Bacilus velezensis</t>
  </si>
  <si>
    <t>Bio Hidric</t>
  </si>
  <si>
    <t>Priestia aryabhattai</t>
  </si>
  <si>
    <t>Bio Bokashi</t>
  </si>
  <si>
    <t>Bio Oil</t>
  </si>
  <si>
    <t>Nutrifarm</t>
  </si>
  <si>
    <t>Carbon Pro</t>
  </si>
  <si>
    <t>Essencial Mg</t>
  </si>
  <si>
    <t>Expelir</t>
  </si>
  <si>
    <t>Potenza NiCoMo</t>
  </si>
  <si>
    <t>Primafert</t>
  </si>
  <si>
    <t>Reserva</t>
  </si>
  <si>
    <t>Tec Catp Pro Kit On-farm</t>
  </si>
  <si>
    <t>Kit On-farm</t>
  </si>
  <si>
    <t>Tec Bug Kit On-farm</t>
  </si>
  <si>
    <t>Solu Shield Kit On-farm</t>
  </si>
  <si>
    <t>Solu Strong Kit On-farm</t>
  </si>
  <si>
    <t>Solu Leaf Kit On-farm</t>
  </si>
  <si>
    <t>Bio Hidric Kit On-farm</t>
  </si>
  <si>
    <t>Bio Bokashi Kit On-farm</t>
  </si>
  <si>
    <t>Tec White Kit On-farm</t>
  </si>
  <si>
    <t>Bio Solubilize Kit On-farm</t>
  </si>
  <si>
    <t>Bio Release Kit On-farm</t>
  </si>
  <si>
    <t>Bio Raiz Plus Kit On-farm</t>
  </si>
  <si>
    <t>Bio Balance Kit On-farm</t>
  </si>
  <si>
    <t>SoluBio Raiz Performance Kit On-farm,</t>
  </si>
  <si>
    <t>Tec Isaria Kit On-farm</t>
  </si>
  <si>
    <t>R$/Ha</t>
  </si>
  <si>
    <t>Total</t>
  </si>
  <si>
    <t>TALHÃO</t>
  </si>
  <si>
    <t>NOME</t>
  </si>
  <si>
    <t>EMPREENDIMENTO</t>
  </si>
  <si>
    <t>PRODUTIVIDADE ESPERADA</t>
  </si>
  <si>
    <t>PRODUÇÃO ESPERADA</t>
  </si>
  <si>
    <t>PRODUÇÃO ESPERADA KG</t>
  </si>
  <si>
    <t>EMPREEDIMENTO SAFRINHA</t>
  </si>
  <si>
    <t>PRODUTIVIDADE</t>
  </si>
  <si>
    <t>PRODUTIVIDADE SAFRINHA</t>
  </si>
  <si>
    <t>Column 10</t>
  </si>
  <si>
    <t>TL01</t>
  </si>
  <si>
    <t>TL02</t>
  </si>
  <si>
    <t>TL03</t>
  </si>
  <si>
    <t>TL04</t>
  </si>
  <si>
    <t>TL05</t>
  </si>
  <si>
    <t>TL06</t>
  </si>
  <si>
    <t>TL07</t>
  </si>
  <si>
    <t>TL08</t>
  </si>
  <si>
    <t>TL09</t>
  </si>
  <si>
    <t>TL10</t>
  </si>
  <si>
    <t>TL11</t>
  </si>
  <si>
    <t>TL12</t>
  </si>
  <si>
    <t>TL13</t>
  </si>
  <si>
    <t>TL14</t>
  </si>
  <si>
    <t>TL15</t>
  </si>
  <si>
    <t>TL16</t>
  </si>
  <si>
    <t>TL17</t>
  </si>
  <si>
    <t>TL18</t>
  </si>
  <si>
    <t>TL19</t>
  </si>
  <si>
    <t>TL20</t>
  </si>
  <si>
    <t xml:space="preserve"> </t>
  </si>
  <si>
    <t>Custo estimado R$/há</t>
  </si>
  <si>
    <t>ÁREA PLANTIO</t>
  </si>
  <si>
    <t>Área:</t>
  </si>
  <si>
    <t>Produtividade estimada Sc/há</t>
  </si>
  <si>
    <t>Empreedimento:</t>
  </si>
  <si>
    <t>Custo estimado por SC</t>
  </si>
  <si>
    <t>Data de plantio:</t>
  </si>
  <si>
    <t>DAP da Operação</t>
  </si>
  <si>
    <t>Classe</t>
  </si>
  <si>
    <t>Produto</t>
  </si>
  <si>
    <t>Ingrediente Ativo</t>
  </si>
  <si>
    <t>Concentração</t>
  </si>
  <si>
    <t>Unidade</t>
  </si>
  <si>
    <t>Bula</t>
  </si>
  <si>
    <t>Sugestão</t>
  </si>
  <si>
    <t>Dose</t>
  </si>
  <si>
    <t>CUSTO/HA</t>
  </si>
  <si>
    <t>OPERAÇÃO 1</t>
  </si>
  <si>
    <t>OPERAÇÃO 2</t>
  </si>
  <si>
    <t>OPERAÇÃO 3</t>
  </si>
  <si>
    <t>OPERAÇÃO 4</t>
  </si>
  <si>
    <t>SoluBio Raiz Performance</t>
  </si>
  <si>
    <t>OPERAÇÃO 5</t>
  </si>
  <si>
    <t>OPERAÇÃO 6</t>
  </si>
  <si>
    <t>OPERAÇÃO 7</t>
  </si>
  <si>
    <t>OPERAÇÃO 8</t>
  </si>
  <si>
    <t>OPERAÇÃO 9</t>
  </si>
  <si>
    <t>OPERAÇÃO 10</t>
  </si>
  <si>
    <t>OPERAÇÃO 11</t>
  </si>
  <si>
    <t>TRATOR-JD 7500 + BRUTUS 12000</t>
  </si>
  <si>
    <t>TRATOR-JD 7500 + ADUBADORA HERCULES 10000</t>
  </si>
  <si>
    <t>PULVERIZADOR- JD4730 + PULVERIZADOR- JD4730</t>
  </si>
  <si>
    <t>AIR TRATOR AT-502B + AIR TRATOR AT-502B</t>
  </si>
  <si>
    <t>CASE STEIGER 420 + HORSCH MAESTRO DUO 36.50</t>
  </si>
  <si>
    <t>CR 8.90 NEW HOLLAND + 880 CF45</t>
  </si>
  <si>
    <t>VOLVO NH380 + CAÇAMBA 430SC</t>
  </si>
  <si>
    <t>OPERAÇÃO 12</t>
  </si>
  <si>
    <t>Talhão:</t>
  </si>
  <si>
    <t>Coluna 1</t>
  </si>
  <si>
    <t>Coluna 3</t>
  </si>
  <si>
    <t>Casse</t>
  </si>
  <si>
    <t>CASE MAGNUM 340 + SUBSOLADOR 11 ASTES</t>
  </si>
  <si>
    <t>COLHETADEIRA - NH-CR9060 + MILHO BRAVA 11</t>
  </si>
  <si>
    <t>NH T7.260 + JAN 20000</t>
  </si>
  <si>
    <t>JACTO UNIPORT 2000 + JACTO UNIPORT 2000</t>
  </si>
  <si>
    <t>NH T7.260 + CASE 2213</t>
  </si>
  <si>
    <t>Coluna 2</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</si>
</sst>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0.0"/>
    <numFmt numFmtId="165" formatCode="0.000"/>
    <numFmt numFmtId="166" formatCode="[$R$ -416]#,##0.00"/>
    <numFmt numFmtId="167" formatCode="#,##0.00\ &quot;Ha&quot;"/>
    <numFmt numFmtId="168" formatCode="#,##0\ &quot;Sc&quot;"/>
    <numFmt numFmtId="169" formatCode="#,##0\ &quot;Sc/Ha&quot;"/>
    <numFmt numFmtId="170" formatCode="_-* #,##0.00_-;\-* #,##0.00_-;_-* &quot;-&quot;??_-;_-@"/>
    <numFmt numFmtId="171" formatCode="_-* #,##0_-;\-* #,##0_-;_-* &quot;-&quot;??_-;_-@"/>
    <numFmt numFmtId="172" formatCode="#,##0\ &quot;Ha&quot;"/>
    <numFmt numFmtId="173" formatCode="#,##0\ &quot;Kg&quot;"/>
    <numFmt numFmtId="174" formatCode="0&quot; SC/HA&quot;"/>
    <numFmt numFmtId="175" formatCode="0.00\ &quot; R$/Sc&quot;"/>
    <numFmt numFmtId="176" formatCode="&quot;R$&quot;\ #00.00&quot;/SC&quot;"/>
    <numFmt numFmtId="177" formatCode="_-&quot;R$&quot;\ * #,##0.00_-;\-&quot;R$&quot;\ * #,##0.00_-;_-&quot;R$&quot;\ * &quot;-&quot;??_-;_-@"/>
  </numFmts>
  <fonts count="36">
    <font>
      <sz val="11.0"/>
      <color theme="1"/>
      <name val="Aptos Narrow"/>
      <scheme val="minor"/>
    </font>
    <font>
      <color theme="1"/>
      <name val="Aptos Narrow"/>
    </font>
    <font>
      <color theme="1"/>
      <name val="Arial"/>
    </font>
    <font>
      <color theme="1"/>
      <name val="Aptos Narrow"/>
      <scheme val="minor"/>
    </font>
    <font>
      <b/>
      <color theme="1"/>
      <name val="Arial"/>
    </font>
    <font>
      <b/>
      <color theme="1"/>
      <name val="Aptos Narrow"/>
    </font>
    <font>
      <sz val="8.0"/>
      <color theme="1"/>
      <name val="Arial"/>
    </font>
    <font>
      <sz val="8.0"/>
      <color theme="1"/>
      <name val="Open Sans"/>
    </font>
    <font>
      <sz val="11.0"/>
      <color theme="1"/>
      <name val="Calibri"/>
    </font>
    <font>
      <sz val="11.0"/>
      <color rgb="FFFFFFFF"/>
      <name val="Calibri"/>
    </font>
    <font>
      <sz val="11.0"/>
      <color theme="1"/>
      <name val="Aptos Narrow"/>
    </font>
    <font/>
    <font>
      <i/>
      <sz val="11.0"/>
      <color theme="1"/>
      <name val="Calibri"/>
    </font>
    <font>
      <b/>
      <sz val="11.0"/>
      <color theme="1"/>
      <name val="Calibri"/>
    </font>
    <font>
      <b/>
      <i/>
      <sz val="11.0"/>
      <color theme="1"/>
      <name val="Calibri"/>
    </font>
    <font>
      <sz val="11.0"/>
      <color theme="1"/>
      <name val="Arial"/>
    </font>
    <font>
      <u/>
      <color rgb="FF0000FF"/>
      <name val="Arial"/>
    </font>
    <font>
      <u/>
      <color rgb="FF0000FF"/>
      <name val="Roboto"/>
    </font>
    <font>
      <sz val="12.0"/>
      <color theme="1"/>
      <name val="Aptos Narrow"/>
    </font>
    <font>
      <sz val="11.0"/>
      <color rgb="FF434343"/>
      <name val="Roboto"/>
    </font>
    <font>
      <b/>
      <u/>
      <sz val="14.0"/>
      <color rgb="FF434343"/>
      <name val="Calibri"/>
    </font>
    <font>
      <b/>
      <u/>
      <sz val="14.0"/>
      <color rgb="FF0000FF"/>
      <name val="Calibri"/>
    </font>
    <font>
      <b/>
      <sz val="14.0"/>
      <color theme="1"/>
      <name val="Calibri"/>
    </font>
    <font>
      <b/>
      <sz val="8.0"/>
      <color theme="1"/>
      <name val="Aptos Narrow"/>
    </font>
    <font>
      <sz val="8.0"/>
      <color theme="1"/>
      <name val="Aptos Narrow"/>
    </font>
    <font>
      <u/>
      <sz val="8.0"/>
      <color rgb="FF0000FF"/>
      <name val="Arial"/>
    </font>
    <font>
      <sz val="8.0"/>
      <color rgb="FF999999"/>
      <name val="Arial"/>
    </font>
    <font>
      <sz val="9.0"/>
      <color theme="1"/>
      <name val="Aptos Narrow"/>
    </font>
    <font>
      <sz val="9.0"/>
      <color theme="1"/>
      <name val="Arial"/>
    </font>
    <font>
      <sz val="9.0"/>
      <color rgb="FF999999"/>
      <name val="Arial"/>
    </font>
    <font>
      <sz val="8.0"/>
      <color rgb="FF999999"/>
      <name val="Aptos Narrow"/>
    </font>
    <font>
      <u/>
      <sz val="8.0"/>
      <color theme="1"/>
      <name val="Aptos Narrow"/>
    </font>
    <font>
      <u/>
      <sz val="9.0"/>
      <color theme="1"/>
      <name val="Aptos Narrow"/>
    </font>
    <font>
      <sz val="9.0"/>
      <color rgb="FF999999"/>
      <name val="Aptos Narrow"/>
    </font>
    <font>
      <b/>
      <sz val="9.0"/>
      <color theme="1"/>
      <name val="Aptos Narrow"/>
    </font>
    <font>
      <u/>
      <sz val="9.0"/>
      <color rgb="FF0000FF"/>
      <name val="Arial"/>
    </font>
  </fonts>
  <fills count="13">
    <fill>
      <patternFill patternType="none"/>
    </fill>
    <fill>
      <patternFill patternType="lightGray"/>
    </fill>
    <fill>
      <patternFill patternType="solid">
        <fgColor rgb="FFFFFFFF"/>
        <bgColor rgb="FFFFFFFF"/>
      </patternFill>
    </fill>
    <fill>
      <patternFill patternType="solid">
        <fgColor rgb="FFBFBFBF"/>
        <bgColor rgb="FFBFBFBF"/>
      </patternFill>
    </fill>
    <fill>
      <patternFill patternType="solid">
        <fgColor rgb="FFF2F2F2"/>
        <bgColor rgb="FFF2F2F2"/>
      </patternFill>
    </fill>
    <fill>
      <patternFill patternType="solid">
        <fgColor rgb="FFD8D8D8"/>
        <bgColor rgb="FFD8D8D8"/>
      </patternFill>
    </fill>
    <fill>
      <patternFill patternType="solid">
        <fgColor rgb="FFD9EAD3"/>
        <bgColor rgb="FFD9EAD3"/>
      </patternFill>
    </fill>
    <fill>
      <patternFill patternType="solid">
        <fgColor rgb="FFF6F8F9"/>
        <bgColor rgb="FFF6F8F9"/>
      </patternFill>
    </fill>
    <fill>
      <patternFill patternType="solid">
        <fgColor rgb="FFFF0000"/>
        <bgColor rgb="FFFF0000"/>
      </patternFill>
    </fill>
    <fill>
      <patternFill patternType="solid">
        <fgColor rgb="FFF6B26B"/>
        <bgColor rgb="FFF6B26B"/>
      </patternFill>
    </fill>
    <fill>
      <patternFill patternType="solid">
        <fgColor rgb="FF95B3D7"/>
        <bgColor rgb="FF95B3D7"/>
      </patternFill>
    </fill>
    <fill>
      <patternFill patternType="solid">
        <fgColor rgb="FFEFEFEF"/>
        <bgColor rgb="FFEFEFEF"/>
      </patternFill>
    </fill>
    <fill>
      <patternFill patternType="solid">
        <fgColor rgb="FF38761D"/>
        <bgColor rgb="FF38761D"/>
      </patternFill>
    </fill>
  </fills>
  <borders count="37">
    <border/>
    <border>
      <left/>
      <right/>
      <top/>
      <bottom/>
    </border>
    <border>
      <left style="thin">
        <color theme="0"/>
      </left>
      <right style="thin">
        <color theme="0"/>
      </right>
      <top style="thin">
        <color theme="0"/>
      </top>
    </border>
    <border>
      <left style="thin">
        <color theme="0"/>
      </left>
      <top style="thin">
        <color theme="0"/>
      </top>
    </border>
    <border>
      <right style="thin">
        <color theme="0"/>
      </right>
      <top style="thin">
        <color theme="0"/>
      </top>
    </border>
    <border>
      <left style="thin">
        <color theme="0"/>
      </left>
      <right style="thin">
        <color theme="0"/>
      </right>
      <bottom style="thin">
        <color theme="0"/>
      </bottom>
    </border>
    <border>
      <left style="thin">
        <color theme="0"/>
      </left>
      <right style="thin">
        <color theme="0"/>
      </right>
      <top style="thin">
        <color theme="0"/>
      </top>
      <bottom style="thin">
        <color theme="0"/>
      </bottom>
    </border>
    <border>
      <left/>
      <right/>
      <bottom style="dotted">
        <color rgb="FF000000"/>
      </bottom>
    </border>
    <border>
      <left/>
      <right/>
      <top/>
      <bottom style="dotted">
        <color rgb="FF000000"/>
      </bottom>
    </border>
    <border>
      <left/>
      <right/>
      <top style="dotted">
        <color rgb="FF000000"/>
      </top>
      <bottom style="dotted">
        <color rgb="FF000000"/>
      </bottom>
    </border>
    <border>
      <left/>
      <right/>
      <top/>
      <bottom style="thin">
        <color rgb="FF000000"/>
      </bottom>
    </border>
    <border>
      <bottom style="thin">
        <color rgb="FF000000"/>
      </bottom>
    </border>
    <border>
      <bottom style="dotted">
        <color rgb="FF000000"/>
      </bottom>
    </border>
    <border>
      <left/>
      <right style="thin">
        <color theme="0"/>
      </right>
      <top/>
      <bottom style="thin">
        <color theme="0"/>
      </bottom>
    </border>
    <border>
      <left style="thin">
        <color theme="0"/>
      </left>
      <right style="thin">
        <color theme="0"/>
      </right>
      <top/>
      <bottom style="thin">
        <color theme="0"/>
      </bottom>
    </border>
    <border>
      <left/>
      <right style="thin">
        <color theme="0"/>
      </right>
      <top style="thin">
        <color theme="0"/>
      </top>
      <bottom style="thin">
        <color theme="0"/>
      </bottom>
    </border>
    <border>
      <top style="thin">
        <color rgb="FF000000"/>
      </top>
      <bottom style="dotted">
        <color rgb="FF000000"/>
      </bottom>
    </border>
    <border>
      <top style="dotted">
        <color rgb="FF000000"/>
      </top>
      <bottom style="dotted">
        <color rgb="FF000000"/>
      </bottom>
    </border>
    <border>
      <top style="hair">
        <color rgb="FFD8D8D8"/>
      </top>
      <bottom style="hair">
        <color rgb="FFD8D8D8"/>
      </bottom>
    </border>
    <border>
      <top style="dotted">
        <color rgb="FF000000"/>
      </top>
      <bottom style="thin">
        <color rgb="FF00000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F6F8F9"/>
      </left>
      <right style="thin">
        <color rgb="FFF6F8F9"/>
      </right>
      <top style="thin">
        <color rgb="FFF6F8F9"/>
      </top>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bottom style="double">
        <color rgb="FF000000"/>
      </bottom>
    </border>
    <border>
      <left/>
      <right/>
      <top style="thin">
        <color rgb="FF000000"/>
      </top>
      <bottom style="medium">
        <color rgb="FF000000"/>
      </bottom>
    </border>
    <border>
      <left/>
      <top style="thin">
        <color rgb="FF000000"/>
      </top>
      <bottom style="medium">
        <color rgb="FF000000"/>
      </bottom>
    </border>
    <border>
      <top style="thin">
        <color rgb="FF000000"/>
      </top>
      <bottom style="medium">
        <color rgb="FF000000"/>
      </bottom>
    </border>
    <border>
      <left style="thin">
        <color rgb="FF000000"/>
      </left>
      <right style="thin">
        <color rgb="FF000000"/>
      </right>
      <top style="thin">
        <color rgb="FF000000"/>
      </top>
      <bottom style="medium">
        <color rgb="FF000000"/>
      </bottom>
    </border>
    <border>
      <right/>
      <top style="thin">
        <color rgb="FF000000"/>
      </top>
      <bottom style="medium">
        <color rgb="FF000000"/>
      </bottom>
    </border>
    <border>
      <left style="thin">
        <color rgb="FF000000"/>
      </left>
      <right style="thin">
        <color rgb="FF000000"/>
      </right>
    </border>
  </borders>
  <cellStyleXfs count="1">
    <xf borderId="0" fillId="0" fontId="0" numFmtId="0" applyAlignment="1" applyFont="1"/>
  </cellStyleXfs>
  <cellXfs count="297">
    <xf borderId="0" fillId="0" fontId="0" numFmtId="0" xfId="0" applyAlignment="1" applyFont="1">
      <alignment readingOrder="0" shrinkToFit="0" vertical="bottom" wrapText="0"/>
    </xf>
    <xf borderId="0" fillId="0" fontId="1" numFmtId="0" xfId="0" applyAlignment="1" applyFont="1">
      <alignment horizontal="left" shrinkToFit="0" vertical="center" wrapText="0"/>
    </xf>
    <xf borderId="0" fillId="0" fontId="2" numFmtId="49" xfId="0" applyAlignment="1" applyFont="1" applyNumberFormat="1">
      <alignment horizontal="left" shrinkToFit="0" vertical="center" wrapText="0"/>
    </xf>
    <xf borderId="0" fillId="0" fontId="2" numFmtId="0" xfId="0" applyAlignment="1" applyFont="1">
      <alignment horizontal="left" shrinkToFit="0" vertical="center" wrapText="0"/>
    </xf>
    <xf borderId="0" fillId="0" fontId="1" numFmtId="0" xfId="0" applyAlignment="1" applyFont="1">
      <alignment shrinkToFit="0" vertical="center" wrapText="0"/>
    </xf>
    <xf borderId="0" fillId="0" fontId="1" numFmtId="164" xfId="0" applyAlignment="1" applyFont="1" applyNumberFormat="1">
      <alignment shrinkToFit="0" vertical="center" wrapText="0"/>
    </xf>
    <xf borderId="0" fillId="0" fontId="3" numFmtId="0" xfId="0" applyFont="1"/>
    <xf borderId="0" fillId="0" fontId="4" numFmtId="0" xfId="0" applyAlignment="1" applyFont="1">
      <alignment horizontal="center" shrinkToFit="0" vertical="center" wrapText="0"/>
    </xf>
    <xf borderId="0" fillId="0" fontId="5" numFmtId="0" xfId="0" applyAlignment="1" applyFont="1">
      <alignment horizontal="center" shrinkToFit="0" vertical="center" wrapText="0"/>
    </xf>
    <xf borderId="0" fillId="0" fontId="1" numFmtId="0" xfId="0" applyAlignment="1" applyFont="1">
      <alignment horizontal="center" shrinkToFit="0" vertical="center" wrapText="0"/>
    </xf>
    <xf borderId="0" fillId="0" fontId="1" numFmtId="0" xfId="0" applyAlignment="1" applyFont="1">
      <alignment horizontal="center"/>
    </xf>
    <xf borderId="0" fillId="0" fontId="6" numFmtId="0" xfId="0" applyAlignment="1" applyFont="1">
      <alignment horizontal="center" shrinkToFit="0" vertical="top" wrapText="0"/>
    </xf>
    <xf borderId="0" fillId="0" fontId="7" numFmtId="0" xfId="0" applyAlignment="1" applyFont="1">
      <alignment horizontal="center" shrinkToFit="0" vertical="top" wrapText="0"/>
    </xf>
    <xf borderId="0" fillId="0" fontId="2" numFmtId="0" xfId="0" applyAlignment="1" applyFont="1">
      <alignment horizontal="center" shrinkToFit="0" vertical="center" wrapText="0"/>
    </xf>
    <xf borderId="0" fillId="0" fontId="2" numFmtId="0" xfId="0" applyAlignment="1" applyFont="1">
      <alignment shrinkToFit="0" vertical="center" wrapText="0"/>
    </xf>
    <xf borderId="0" fillId="0" fontId="1" numFmtId="165" xfId="0" applyAlignment="1" applyFont="1" applyNumberFormat="1">
      <alignment horizontal="center" shrinkToFit="0" vertical="center" wrapText="0"/>
    </xf>
    <xf borderId="0" fillId="0" fontId="1" numFmtId="2" xfId="0" applyAlignment="1" applyFont="1" applyNumberFormat="1">
      <alignment horizontal="center" shrinkToFit="0" vertical="center" wrapText="0"/>
    </xf>
    <xf borderId="0" fillId="0" fontId="1" numFmtId="166" xfId="0" applyAlignment="1" applyFont="1" applyNumberFormat="1">
      <alignment shrinkToFit="0" vertical="center" wrapText="0"/>
    </xf>
    <xf borderId="1" fillId="2" fontId="7" numFmtId="0" xfId="0" applyAlignment="1" applyBorder="1" applyFill="1" applyFont="1">
      <alignment horizontal="center" shrinkToFit="0" vertical="top" wrapText="0"/>
    </xf>
    <xf borderId="0" fillId="0" fontId="8" numFmtId="0" xfId="0" applyAlignment="1" applyFont="1">
      <alignment horizontal="center" vertical="bottom"/>
    </xf>
    <xf borderId="0" fillId="0" fontId="3" numFmtId="0" xfId="0" applyFont="1"/>
    <xf borderId="0" fillId="0" fontId="8" numFmtId="0" xfId="0" applyAlignment="1" applyFont="1">
      <alignment horizontal="left" vertical="bottom"/>
    </xf>
    <xf borderId="0" fillId="0" fontId="9" numFmtId="0" xfId="0" applyAlignment="1" applyFont="1">
      <alignment horizontal="right" vertical="bottom"/>
    </xf>
    <xf borderId="0" fillId="0" fontId="10" numFmtId="0" xfId="0" applyFont="1"/>
    <xf borderId="2" fillId="3" fontId="8" numFmtId="0" xfId="0" applyAlignment="1" applyBorder="1" applyFill="1" applyFont="1">
      <alignment horizontal="left" shrinkToFit="0" wrapText="1"/>
    </xf>
    <xf borderId="3" fillId="3" fontId="8" numFmtId="0" xfId="0" applyAlignment="1" applyBorder="1" applyFont="1">
      <alignment horizontal="center" shrinkToFit="0" wrapText="1"/>
    </xf>
    <xf borderId="4" fillId="0" fontId="11" numFmtId="0" xfId="0" applyBorder="1" applyFont="1"/>
    <xf borderId="5" fillId="3" fontId="8" numFmtId="0" xfId="0" applyAlignment="1" applyBorder="1" applyFont="1">
      <alignment horizontal="left" shrinkToFit="0" wrapText="1"/>
    </xf>
    <xf borderId="6" fillId="3" fontId="8" numFmtId="0" xfId="0" applyAlignment="1" applyBorder="1" applyFont="1">
      <alignment horizontal="center" shrinkToFit="0" wrapText="1"/>
    </xf>
    <xf borderId="6" fillId="3" fontId="12" numFmtId="167" xfId="0" applyAlignment="1" applyBorder="1" applyFont="1" applyNumberFormat="1">
      <alignment horizontal="center"/>
    </xf>
    <xf borderId="7" fillId="4" fontId="8" numFmtId="0" xfId="0" applyAlignment="1" applyBorder="1" applyFill="1" applyFont="1">
      <alignment horizontal="left"/>
    </xf>
    <xf borderId="8" fillId="4" fontId="8" numFmtId="167" xfId="0" applyAlignment="1" applyBorder="1" applyFont="1" applyNumberFormat="1">
      <alignment horizontal="right"/>
    </xf>
    <xf borderId="9" fillId="4" fontId="8" numFmtId="0" xfId="0" applyAlignment="1" applyBorder="1" applyFont="1">
      <alignment horizontal="left"/>
    </xf>
    <xf borderId="9" fillId="4" fontId="8" numFmtId="168" xfId="0" applyAlignment="1" applyBorder="1" applyFont="1" applyNumberFormat="1">
      <alignment horizontal="right"/>
    </xf>
    <xf borderId="9" fillId="4" fontId="8" numFmtId="169" xfId="0" applyAlignment="1" applyBorder="1" applyFont="1" applyNumberFormat="1">
      <alignment horizontal="right"/>
    </xf>
    <xf borderId="9" fillId="4" fontId="8" numFmtId="170" xfId="0" applyAlignment="1" applyBorder="1" applyFont="1" applyNumberFormat="1">
      <alignment horizontal="right"/>
    </xf>
    <xf borderId="0" fillId="0" fontId="8" numFmtId="0" xfId="0" applyAlignment="1" applyFont="1">
      <alignment horizontal="left"/>
    </xf>
    <xf borderId="0" fillId="0" fontId="8" numFmtId="171" xfId="0" applyAlignment="1" applyFont="1" applyNumberFormat="1">
      <alignment horizontal="right"/>
    </xf>
    <xf borderId="10" fillId="5" fontId="8" numFmtId="0" xfId="0" applyAlignment="1" applyBorder="1" applyFill="1" applyFont="1">
      <alignment horizontal="left"/>
    </xf>
    <xf borderId="10" fillId="5" fontId="8" numFmtId="171" xfId="0" applyAlignment="1" applyBorder="1" applyFont="1" applyNumberFormat="1">
      <alignment horizontal="right"/>
    </xf>
    <xf borderId="11" fillId="0" fontId="8" numFmtId="0" xfId="0" applyAlignment="1" applyBorder="1" applyFont="1">
      <alignment horizontal="left"/>
    </xf>
    <xf borderId="11" fillId="0" fontId="8" numFmtId="171" xfId="0" applyAlignment="1" applyBorder="1" applyFont="1" applyNumberFormat="1">
      <alignment horizontal="right"/>
    </xf>
    <xf borderId="12" fillId="0" fontId="8" numFmtId="0" xfId="0" applyAlignment="1" applyBorder="1" applyFont="1">
      <alignment horizontal="left"/>
    </xf>
    <xf borderId="12" fillId="0" fontId="8" numFmtId="171" xfId="0" applyAlignment="1" applyBorder="1" applyFont="1" applyNumberFormat="1">
      <alignment horizontal="right"/>
    </xf>
    <xf borderId="12" fillId="6" fontId="13" numFmtId="0" xfId="0" applyAlignment="1" applyBorder="1" applyFill="1" applyFont="1">
      <alignment horizontal="left"/>
    </xf>
    <xf borderId="12" fillId="6" fontId="13" numFmtId="171" xfId="0" applyAlignment="1" applyBorder="1" applyFont="1" applyNumberFormat="1">
      <alignment horizontal="right"/>
    </xf>
    <xf borderId="12" fillId="6" fontId="14" numFmtId="0" xfId="0" applyAlignment="1" applyBorder="1" applyFont="1">
      <alignment horizontal="left"/>
    </xf>
    <xf borderId="12" fillId="6" fontId="12" numFmtId="171" xfId="0" applyAlignment="1" applyBorder="1" applyFont="1" applyNumberFormat="1">
      <alignment horizontal="right"/>
    </xf>
    <xf borderId="12" fillId="6" fontId="8" numFmtId="0" xfId="0" applyAlignment="1" applyBorder="1" applyFont="1">
      <alignment horizontal="left"/>
    </xf>
    <xf borderId="12" fillId="6" fontId="8" numFmtId="171" xfId="0" applyAlignment="1" applyBorder="1" applyFont="1" applyNumberFormat="1">
      <alignment horizontal="right"/>
    </xf>
    <xf borderId="12" fillId="6" fontId="14" numFmtId="171" xfId="0" applyAlignment="1" applyBorder="1" applyFont="1" applyNumberFormat="1">
      <alignment horizontal="right"/>
    </xf>
    <xf borderId="12" fillId="0" fontId="12" numFmtId="171" xfId="0" applyAlignment="1" applyBorder="1" applyFont="1" applyNumberFormat="1">
      <alignment horizontal="right"/>
    </xf>
    <xf borderId="13" fillId="5" fontId="8" numFmtId="0" xfId="0" applyAlignment="1" applyBorder="1" applyFont="1">
      <alignment horizontal="left"/>
    </xf>
    <xf borderId="14" fillId="5" fontId="8" numFmtId="171" xfId="0" applyAlignment="1" applyBorder="1" applyFont="1" applyNumberFormat="1">
      <alignment horizontal="right"/>
    </xf>
    <xf borderId="14" fillId="5" fontId="12" numFmtId="171" xfId="0" applyAlignment="1" applyBorder="1" applyFont="1" applyNumberFormat="1">
      <alignment horizontal="right"/>
    </xf>
    <xf borderId="0" fillId="5" fontId="8" numFmtId="171" xfId="0" applyAlignment="1" applyFont="1" applyNumberFormat="1">
      <alignment horizontal="right"/>
    </xf>
    <xf borderId="0" fillId="6" fontId="8" numFmtId="171" xfId="0" applyAlignment="1" applyFont="1" applyNumberFormat="1">
      <alignment horizontal="right"/>
    </xf>
    <xf borderId="15" fillId="5" fontId="14" numFmtId="0" xfId="0" applyAlignment="1" applyBorder="1" applyFont="1">
      <alignment horizontal="left"/>
    </xf>
    <xf borderId="6" fillId="5" fontId="13" numFmtId="9" xfId="0" applyAlignment="1" applyBorder="1" applyFont="1" applyNumberFormat="1">
      <alignment horizontal="right"/>
    </xf>
    <xf borderId="6" fillId="5" fontId="14" numFmtId="171" xfId="0" applyAlignment="1" applyBorder="1" applyFont="1" applyNumberFormat="1">
      <alignment horizontal="right"/>
    </xf>
    <xf borderId="11" fillId="0" fontId="12" numFmtId="171" xfId="0" applyAlignment="1" applyBorder="1" applyFont="1" applyNumberFormat="1">
      <alignment horizontal="right"/>
    </xf>
    <xf borderId="16" fillId="0" fontId="8" numFmtId="0" xfId="0" applyAlignment="1" applyBorder="1" applyFont="1">
      <alignment horizontal="left"/>
    </xf>
    <xf borderId="16" fillId="0" fontId="8" numFmtId="171" xfId="0" applyAlignment="1" applyBorder="1" applyFont="1" applyNumberFormat="1">
      <alignment horizontal="right"/>
    </xf>
    <xf borderId="16" fillId="0" fontId="12" numFmtId="171" xfId="0" applyAlignment="1" applyBorder="1" applyFont="1" applyNumberFormat="1">
      <alignment horizontal="right"/>
    </xf>
    <xf borderId="17" fillId="0" fontId="8" numFmtId="0" xfId="0" applyAlignment="1" applyBorder="1" applyFont="1">
      <alignment horizontal="left"/>
    </xf>
    <xf borderId="17" fillId="0" fontId="8" numFmtId="171" xfId="0" applyAlignment="1" applyBorder="1" applyFont="1" applyNumberFormat="1">
      <alignment horizontal="right"/>
    </xf>
    <xf borderId="17" fillId="0" fontId="12" numFmtId="171" xfId="0" applyAlignment="1" applyBorder="1" applyFont="1" applyNumberFormat="1">
      <alignment horizontal="right"/>
    </xf>
    <xf borderId="18" fillId="0" fontId="8" numFmtId="0" xfId="0" applyAlignment="1" applyBorder="1" applyFont="1">
      <alignment horizontal="left"/>
    </xf>
    <xf borderId="18" fillId="0" fontId="8" numFmtId="171" xfId="0" applyAlignment="1" applyBorder="1" applyFont="1" applyNumberFormat="1">
      <alignment horizontal="right"/>
    </xf>
    <xf borderId="18" fillId="0" fontId="12" numFmtId="171" xfId="0" applyAlignment="1" applyBorder="1" applyFont="1" applyNumberFormat="1">
      <alignment horizontal="right"/>
    </xf>
    <xf borderId="19" fillId="0" fontId="8" numFmtId="0" xfId="0" applyAlignment="1" applyBorder="1" applyFont="1">
      <alignment horizontal="left"/>
    </xf>
    <xf borderId="19" fillId="0" fontId="8" numFmtId="171" xfId="0" applyAlignment="1" applyBorder="1" applyFont="1" applyNumberFormat="1">
      <alignment horizontal="right"/>
    </xf>
    <xf borderId="19" fillId="0" fontId="12" numFmtId="171" xfId="0" applyAlignment="1" applyBorder="1" applyFont="1" applyNumberFormat="1">
      <alignment horizontal="right"/>
    </xf>
    <xf borderId="15" fillId="5" fontId="8" numFmtId="0" xfId="0" applyAlignment="1" applyBorder="1" applyFont="1">
      <alignment horizontal="left"/>
    </xf>
    <xf borderId="6" fillId="5" fontId="8" numFmtId="171" xfId="0" applyAlignment="1" applyBorder="1" applyFont="1" applyNumberFormat="1">
      <alignment horizontal="right"/>
    </xf>
    <xf borderId="6" fillId="5" fontId="12" numFmtId="171" xfId="0" applyAlignment="1" applyBorder="1" applyFont="1" applyNumberFormat="1">
      <alignment horizontal="right"/>
    </xf>
    <xf borderId="15" fillId="5" fontId="12" numFmtId="0" xfId="0" applyAlignment="1" applyBorder="1" applyFont="1">
      <alignment horizontal="left"/>
    </xf>
    <xf borderId="6" fillId="5" fontId="12" numFmtId="9" xfId="0" applyAlignment="1" applyBorder="1" applyFont="1" applyNumberFormat="1">
      <alignment horizontal="right"/>
    </xf>
    <xf borderId="0" fillId="0" fontId="8" numFmtId="0" xfId="0" applyAlignment="1" applyFont="1">
      <alignment horizontal="right"/>
    </xf>
    <xf borderId="0" fillId="0" fontId="1" numFmtId="0" xfId="0" applyFont="1"/>
    <xf borderId="0" fillId="0" fontId="15" numFmtId="0" xfId="0" applyFont="1"/>
    <xf borderId="0" fillId="0" fontId="1" numFmtId="0" xfId="0" applyAlignment="1" applyFont="1">
      <alignment horizontal="left"/>
    </xf>
    <xf borderId="0" fillId="0" fontId="5" numFmtId="0" xfId="0" applyAlignment="1" applyFont="1">
      <alignment horizontal="center"/>
    </xf>
    <xf borderId="0" fillId="0" fontId="1" numFmtId="1" xfId="0" applyAlignment="1" applyFont="1" applyNumberFormat="1">
      <alignment horizontal="center"/>
    </xf>
    <xf borderId="0" fillId="0" fontId="16" numFmtId="0" xfId="0" applyFont="1"/>
    <xf borderId="0" fillId="0" fontId="15" numFmtId="0" xfId="0" applyAlignment="1" applyFont="1">
      <alignment horizontal="left" shrinkToFit="0" vertical="center" wrapText="0"/>
    </xf>
    <xf borderId="0" fillId="0" fontId="2" numFmtId="0" xfId="0" applyFont="1"/>
    <xf borderId="20" fillId="2" fontId="8" numFmtId="0" xfId="0" applyAlignment="1" applyBorder="1" applyFont="1">
      <alignment shrinkToFit="0" vertical="bottom" wrapText="0"/>
    </xf>
    <xf borderId="21" fillId="2" fontId="15" numFmtId="0" xfId="0" applyAlignment="1" applyBorder="1" applyFont="1">
      <alignment shrinkToFit="0" vertical="bottom" wrapText="0"/>
    </xf>
    <xf borderId="21" fillId="2" fontId="8" numFmtId="0" xfId="0" applyAlignment="1" applyBorder="1" applyFont="1">
      <alignment shrinkToFit="0" vertical="bottom" wrapText="0"/>
    </xf>
    <xf borderId="0" fillId="0" fontId="17" numFmtId="0" xfId="0" applyAlignment="1" applyFont="1">
      <alignment horizontal="center" shrinkToFit="0" vertical="center" wrapText="0"/>
    </xf>
    <xf borderId="22" fillId="2" fontId="8" numFmtId="0" xfId="0" applyAlignment="1" applyBorder="1" applyFont="1">
      <alignment horizontal="left" shrinkToFit="0" vertical="bottom" wrapText="0"/>
    </xf>
    <xf borderId="0" fillId="0" fontId="1" numFmtId="1" xfId="0" applyAlignment="1" applyFont="1" applyNumberFormat="1">
      <alignment horizontal="center" shrinkToFit="0" vertical="center" wrapText="0"/>
    </xf>
    <xf borderId="0" fillId="0" fontId="1" numFmtId="166" xfId="0" applyAlignment="1" applyFont="1" applyNumberFormat="1">
      <alignment horizontal="center" shrinkToFit="0" vertical="center" wrapText="0"/>
    </xf>
    <xf borderId="23" fillId="7" fontId="8" numFmtId="0" xfId="0" applyAlignment="1" applyBorder="1" applyFill="1" applyFont="1">
      <alignment shrinkToFit="0" vertical="bottom" wrapText="0"/>
    </xf>
    <xf borderId="24" fillId="7" fontId="15" numFmtId="0" xfId="0" applyAlignment="1" applyBorder="1" applyFont="1">
      <alignment shrinkToFit="0" vertical="bottom" wrapText="0"/>
    </xf>
    <xf borderId="24" fillId="7" fontId="8" numFmtId="0" xfId="0" applyAlignment="1" applyBorder="1" applyFont="1">
      <alignment shrinkToFit="0" vertical="bottom" wrapText="0"/>
    </xf>
    <xf borderId="25" fillId="7" fontId="8" numFmtId="0" xfId="0" applyAlignment="1" applyBorder="1" applyFont="1">
      <alignment horizontal="left" shrinkToFit="0" vertical="bottom" wrapText="0"/>
    </xf>
    <xf borderId="21" fillId="2" fontId="2" numFmtId="0" xfId="0" applyAlignment="1" applyBorder="1" applyFont="1">
      <alignment shrinkToFit="0" vertical="bottom" wrapText="0"/>
    </xf>
    <xf borderId="24" fillId="7" fontId="2" numFmtId="0" xfId="0" applyAlignment="1" applyBorder="1" applyFont="1">
      <alignment shrinkToFit="0" vertical="bottom" wrapText="0"/>
    </xf>
    <xf borderId="21" fillId="7" fontId="15" numFmtId="0" xfId="0" applyAlignment="1" applyBorder="1" applyFont="1">
      <alignment shrinkToFit="0" vertical="bottom" wrapText="0"/>
    </xf>
    <xf borderId="20" fillId="0" fontId="1" numFmtId="0" xfId="0" applyAlignment="1" applyBorder="1" applyFont="1">
      <alignment shrinkToFit="0" vertical="center" wrapText="0"/>
    </xf>
    <xf borderId="21" fillId="0" fontId="15" numFmtId="0" xfId="0" applyAlignment="1" applyBorder="1" applyFont="1">
      <alignment shrinkToFit="0" vertical="center" wrapText="0"/>
    </xf>
    <xf borderId="21" fillId="0" fontId="1" numFmtId="0" xfId="0" applyAlignment="1" applyBorder="1" applyFont="1">
      <alignment shrinkToFit="0" vertical="center" wrapText="0"/>
    </xf>
    <xf borderId="21" fillId="0" fontId="1" numFmtId="0" xfId="0" applyAlignment="1" applyBorder="1" applyFont="1">
      <alignment horizontal="center" shrinkToFit="0" vertical="center" wrapText="0"/>
    </xf>
    <xf borderId="22" fillId="0" fontId="1" numFmtId="0" xfId="0" applyAlignment="1" applyBorder="1" applyFont="1">
      <alignment horizontal="left" shrinkToFit="0" vertical="center" wrapText="0"/>
    </xf>
    <xf borderId="23" fillId="0" fontId="1" numFmtId="0" xfId="0" applyAlignment="1" applyBorder="1" applyFont="1">
      <alignment shrinkToFit="0" vertical="center" wrapText="0"/>
    </xf>
    <xf borderId="24" fillId="0" fontId="15" numFmtId="0" xfId="0" applyAlignment="1" applyBorder="1" applyFont="1">
      <alignment shrinkToFit="0" vertical="center" wrapText="0"/>
    </xf>
    <xf borderId="24" fillId="0" fontId="1" numFmtId="0" xfId="0" applyAlignment="1" applyBorder="1" applyFont="1">
      <alignment shrinkToFit="0" vertical="center" wrapText="0"/>
    </xf>
    <xf borderId="24" fillId="0" fontId="1" numFmtId="0" xfId="0" applyAlignment="1" applyBorder="1" applyFont="1">
      <alignment horizontal="center" shrinkToFit="0" vertical="center" wrapText="0"/>
    </xf>
    <xf borderId="25" fillId="0" fontId="1" numFmtId="0" xfId="0" applyAlignment="1" applyBorder="1" applyFont="1">
      <alignment horizontal="left" shrinkToFit="0" vertical="center" wrapText="0"/>
    </xf>
    <xf borderId="23" fillId="2" fontId="8" numFmtId="0" xfId="0" applyAlignment="1" applyBorder="1" applyFont="1">
      <alignment shrinkToFit="0" vertical="bottom" wrapText="0"/>
    </xf>
    <xf borderId="24" fillId="2" fontId="15" numFmtId="0" xfId="0" applyAlignment="1" applyBorder="1" applyFont="1">
      <alignment shrinkToFit="0" vertical="bottom" wrapText="0"/>
    </xf>
    <xf borderId="24" fillId="2" fontId="8" numFmtId="0" xfId="0" applyAlignment="1" applyBorder="1" applyFont="1">
      <alignment shrinkToFit="0" vertical="bottom" wrapText="0"/>
    </xf>
    <xf borderId="25" fillId="2" fontId="8" numFmtId="0" xfId="0" applyAlignment="1" applyBorder="1" applyFont="1">
      <alignment horizontal="left" shrinkToFit="0" vertical="bottom" wrapText="0"/>
    </xf>
    <xf borderId="20" fillId="7" fontId="8" numFmtId="0" xfId="0" applyAlignment="1" applyBorder="1" applyFont="1">
      <alignment shrinkToFit="0" vertical="bottom" wrapText="0"/>
    </xf>
    <xf borderId="21" fillId="7" fontId="8" numFmtId="0" xfId="0" applyAlignment="1" applyBorder="1" applyFont="1">
      <alignment shrinkToFit="0" vertical="bottom" wrapText="0"/>
    </xf>
    <xf borderId="22" fillId="7" fontId="8" numFmtId="0" xfId="0" applyAlignment="1" applyBorder="1" applyFont="1">
      <alignment horizontal="left" shrinkToFit="0" vertical="bottom" wrapText="0"/>
    </xf>
    <xf borderId="0" fillId="8" fontId="1" numFmtId="0" xfId="0" applyAlignment="1" applyFill="1" applyFont="1">
      <alignment horizontal="center" shrinkToFit="0" vertical="center" wrapText="0"/>
    </xf>
    <xf borderId="0" fillId="7" fontId="8" numFmtId="0" xfId="0" applyAlignment="1" applyFont="1">
      <alignment shrinkToFit="0" vertical="bottom" wrapText="0"/>
    </xf>
    <xf borderId="0" fillId="7" fontId="15" numFmtId="0" xfId="0" applyAlignment="1" applyFont="1">
      <alignment shrinkToFit="0" vertical="bottom" wrapText="0"/>
    </xf>
    <xf borderId="0" fillId="7" fontId="8" numFmtId="0" xfId="0" applyAlignment="1" applyFont="1">
      <alignment horizontal="left" shrinkToFit="0" vertical="bottom" wrapText="0"/>
    </xf>
    <xf borderId="0" fillId="2" fontId="8" numFmtId="0" xfId="0" applyAlignment="1" applyFont="1">
      <alignment shrinkToFit="0" vertical="bottom" wrapText="0"/>
    </xf>
    <xf borderId="0" fillId="2" fontId="8" numFmtId="0" xfId="0" applyAlignment="1" applyFont="1">
      <alignment horizontal="left" shrinkToFit="0" vertical="bottom" wrapText="0"/>
    </xf>
    <xf borderId="0" fillId="2" fontId="15" numFmtId="0" xfId="0" applyAlignment="1" applyFont="1">
      <alignment shrinkToFit="0" vertical="bottom" wrapText="0"/>
    </xf>
    <xf borderId="0" fillId="0" fontId="15" numFmtId="0" xfId="0" applyAlignment="1" applyFont="1">
      <alignment shrinkToFit="0" vertical="center" wrapText="0"/>
    </xf>
    <xf borderId="21" fillId="2" fontId="18" numFmtId="0" xfId="0" applyAlignment="1" applyBorder="1" applyFont="1">
      <alignment shrinkToFit="0" vertical="center" wrapText="0"/>
    </xf>
    <xf borderId="21" fillId="2" fontId="10" numFmtId="0" xfId="0" applyAlignment="1" applyBorder="1" applyFont="1">
      <alignment shrinkToFit="0" vertical="bottom" wrapText="0"/>
    </xf>
    <xf borderId="24" fillId="7" fontId="18" numFmtId="0" xfId="0" applyAlignment="1" applyBorder="1" applyFont="1">
      <alignment shrinkToFit="0" vertical="center" wrapText="0"/>
    </xf>
    <xf borderId="24" fillId="7" fontId="10" numFmtId="0" xfId="0" applyAlignment="1" applyBorder="1" applyFont="1">
      <alignment shrinkToFit="0" vertical="bottom" wrapText="0"/>
    </xf>
    <xf borderId="24" fillId="7" fontId="19" numFmtId="0" xfId="0" applyAlignment="1" applyBorder="1" applyFont="1">
      <alignment shrinkToFit="0" vertical="center" wrapText="0"/>
    </xf>
    <xf borderId="24" fillId="2" fontId="19" numFmtId="0" xfId="0" applyAlignment="1" applyBorder="1" applyFont="1">
      <alignment shrinkToFit="0" vertical="center" wrapText="0"/>
    </xf>
    <xf borderId="26" fillId="7" fontId="10" numFmtId="0" xfId="0" applyAlignment="1" applyBorder="1" applyFont="1">
      <alignment shrinkToFit="0" vertical="bottom" wrapText="0"/>
    </xf>
    <xf borderId="0" fillId="2" fontId="10" numFmtId="0" xfId="0" applyAlignment="1" applyFont="1">
      <alignment shrinkToFit="0" vertical="bottom" wrapText="0"/>
    </xf>
    <xf borderId="20" fillId="9" fontId="1" numFmtId="0" xfId="0" applyAlignment="1" applyBorder="1" applyFill="1" applyFont="1">
      <alignment shrinkToFit="0" vertical="center" wrapText="0"/>
    </xf>
    <xf borderId="21" fillId="9" fontId="15" numFmtId="0" xfId="0" applyAlignment="1" applyBorder="1" applyFont="1">
      <alignment shrinkToFit="0" vertical="center" wrapText="0"/>
    </xf>
    <xf borderId="21" fillId="9" fontId="1" numFmtId="0" xfId="0" applyAlignment="1" applyBorder="1" applyFont="1">
      <alignment shrinkToFit="0" vertical="center" wrapText="0"/>
    </xf>
    <xf borderId="21" fillId="9" fontId="1" numFmtId="0" xfId="0" applyAlignment="1" applyBorder="1" applyFont="1">
      <alignment horizontal="center" shrinkToFit="0" vertical="center" wrapText="0"/>
    </xf>
    <xf borderId="0" fillId="9" fontId="1" numFmtId="0" xfId="0" applyAlignment="1" applyFont="1">
      <alignment shrinkToFit="0" vertical="center" wrapText="0"/>
    </xf>
    <xf borderId="0" fillId="9" fontId="1" numFmtId="0" xfId="0" applyAlignment="1" applyFont="1">
      <alignment horizontal="center" shrinkToFit="0" vertical="center" wrapText="0"/>
    </xf>
    <xf borderId="0" fillId="9" fontId="1" numFmtId="165" xfId="0" applyAlignment="1" applyFont="1" applyNumberFormat="1">
      <alignment horizontal="center" shrinkToFit="0" vertical="center" wrapText="0"/>
    </xf>
    <xf borderId="22" fillId="9" fontId="1" numFmtId="0" xfId="0" applyAlignment="1" applyBorder="1" applyFont="1">
      <alignment horizontal="left" shrinkToFit="0" vertical="center" wrapText="0"/>
    </xf>
    <xf borderId="0" fillId="9" fontId="1" numFmtId="166" xfId="0" applyAlignment="1" applyFont="1" applyNumberFormat="1">
      <alignment shrinkToFit="0" vertical="center" wrapText="0"/>
    </xf>
    <xf borderId="0" fillId="9" fontId="1" numFmtId="1" xfId="0" applyAlignment="1" applyFont="1" applyNumberFormat="1">
      <alignment horizontal="center" shrinkToFit="0" vertical="center" wrapText="0"/>
    </xf>
    <xf borderId="0" fillId="9" fontId="1" numFmtId="166" xfId="0" applyAlignment="1" applyFont="1" applyNumberFormat="1">
      <alignment horizontal="center" shrinkToFit="0" vertical="center" wrapText="0"/>
    </xf>
    <xf borderId="23" fillId="9" fontId="1" numFmtId="0" xfId="0" applyAlignment="1" applyBorder="1" applyFont="1">
      <alignment shrinkToFit="0" vertical="center" wrapText="0"/>
    </xf>
    <xf borderId="24" fillId="9" fontId="15" numFmtId="0" xfId="0" applyAlignment="1" applyBorder="1" applyFont="1">
      <alignment shrinkToFit="0" vertical="center" wrapText="0"/>
    </xf>
    <xf borderId="24" fillId="9" fontId="1" numFmtId="0" xfId="0" applyAlignment="1" applyBorder="1" applyFont="1">
      <alignment shrinkToFit="0" vertical="center" wrapText="0"/>
    </xf>
    <xf borderId="24" fillId="9" fontId="1" numFmtId="0" xfId="0" applyAlignment="1" applyBorder="1" applyFont="1">
      <alignment horizontal="center" shrinkToFit="0" vertical="center" wrapText="0"/>
    </xf>
    <xf borderId="25" fillId="9" fontId="1" numFmtId="0" xfId="0" applyAlignment="1" applyBorder="1" applyFont="1">
      <alignment horizontal="left" shrinkToFit="0" vertical="center" wrapText="0"/>
    </xf>
    <xf borderId="27" fillId="9" fontId="1" numFmtId="0" xfId="0" applyAlignment="1" applyBorder="1" applyFont="1">
      <alignment shrinkToFit="0" vertical="center" wrapText="0"/>
    </xf>
    <xf borderId="28" fillId="9" fontId="15" numFmtId="0" xfId="0" applyAlignment="1" applyBorder="1" applyFont="1">
      <alignment shrinkToFit="0" vertical="center" wrapText="0"/>
    </xf>
    <xf borderId="28" fillId="9" fontId="1" numFmtId="0" xfId="0" applyAlignment="1" applyBorder="1" applyFont="1">
      <alignment shrinkToFit="0" vertical="center" wrapText="0"/>
    </xf>
    <xf borderId="28" fillId="9" fontId="1" numFmtId="0" xfId="0" applyAlignment="1" applyBorder="1" applyFont="1">
      <alignment horizontal="center" shrinkToFit="0" vertical="center" wrapText="0"/>
    </xf>
    <xf borderId="29" fillId="9" fontId="1" numFmtId="0" xfId="0" applyAlignment="1" applyBorder="1" applyFont="1">
      <alignment horizontal="left" shrinkToFit="0" vertical="center" wrapText="0"/>
    </xf>
    <xf borderId="0" fillId="9" fontId="15" numFmtId="0" xfId="0" applyAlignment="1" applyFont="1">
      <alignment shrinkToFit="0" vertical="center" wrapText="0"/>
    </xf>
    <xf borderId="0" fillId="9" fontId="1" numFmtId="0" xfId="0" applyAlignment="1" applyFont="1">
      <alignment horizontal="left" shrinkToFit="0" vertical="center" wrapText="0"/>
    </xf>
    <xf borderId="0" fillId="0" fontId="8" numFmtId="49" xfId="0" applyAlignment="1" applyFont="1" applyNumberFormat="1">
      <alignment horizontal="center" shrinkToFit="0" vertical="center" wrapText="0"/>
    </xf>
    <xf borderId="0" fillId="0" fontId="8" numFmtId="49" xfId="0" applyAlignment="1" applyFont="1" applyNumberFormat="1">
      <alignment horizontal="left" shrinkToFit="0" vertical="center" wrapText="0"/>
    </xf>
    <xf borderId="0" fillId="0" fontId="8" numFmtId="0" xfId="0" applyFont="1"/>
    <xf borderId="0" fillId="0" fontId="20" numFmtId="0" xfId="0" applyAlignment="1" applyFont="1">
      <alignment horizontal="center" shrinkToFit="0" vertical="center" wrapText="0"/>
    </xf>
    <xf borderId="0" fillId="0" fontId="8" numFmtId="0" xfId="0" applyAlignment="1" applyFont="1">
      <alignment shrinkToFit="0" vertical="center" wrapText="0"/>
    </xf>
    <xf borderId="0" fillId="0" fontId="8" numFmtId="168" xfId="0" applyAlignment="1" applyFont="1" applyNumberFormat="1">
      <alignment horizontal="center" shrinkToFit="0" vertical="center" wrapText="0"/>
    </xf>
    <xf borderId="0" fillId="0" fontId="8" numFmtId="172" xfId="0" applyAlignment="1" applyFont="1" applyNumberFormat="1">
      <alignment horizontal="center" shrinkToFit="0" vertical="center" wrapText="0"/>
    </xf>
    <xf borderId="0" fillId="0" fontId="8" numFmtId="173" xfId="0" applyAlignment="1" applyFont="1" applyNumberFormat="1">
      <alignment shrinkToFit="0" vertical="center" wrapText="0"/>
    </xf>
    <xf borderId="0" fillId="0" fontId="21" numFmtId="0" xfId="0" applyAlignment="1" applyFont="1">
      <alignment horizontal="center" shrinkToFit="0" vertical="center" wrapText="0"/>
    </xf>
    <xf borderId="0" fillId="0" fontId="22" numFmtId="0" xfId="0" applyAlignment="1" applyFont="1">
      <alignment horizontal="center" shrinkToFit="0" vertical="center" wrapText="0"/>
    </xf>
    <xf borderId="0" fillId="0" fontId="8" numFmtId="0" xfId="0" applyAlignment="1" applyFont="1">
      <alignment horizontal="center" shrinkToFit="0" vertical="center" wrapText="0"/>
    </xf>
    <xf borderId="0" fillId="0" fontId="8" numFmtId="0" xfId="0" applyAlignment="1" applyFont="1">
      <alignment horizontal="center"/>
    </xf>
    <xf borderId="0" fillId="0" fontId="6" numFmtId="0" xfId="0" applyAlignment="1" applyFont="1">
      <alignment horizontal="right" vertical="center"/>
    </xf>
    <xf borderId="0" fillId="0" fontId="23" numFmtId="0" xfId="0" applyAlignment="1" applyFont="1">
      <alignment horizontal="center"/>
    </xf>
    <xf borderId="0" fillId="0" fontId="24" numFmtId="0" xfId="0" applyAlignment="1" applyFont="1">
      <alignment horizontal="left" vertical="center"/>
    </xf>
    <xf borderId="0" fillId="0" fontId="23" numFmtId="166" xfId="0" applyAlignment="1" applyFont="1" applyNumberFormat="1">
      <alignment horizontal="right" shrinkToFit="1" vertical="center" wrapText="0"/>
    </xf>
    <xf borderId="0" fillId="0" fontId="24" numFmtId="14" xfId="0" applyAlignment="1" applyFont="1" applyNumberFormat="1">
      <alignment horizontal="center"/>
    </xf>
    <xf borderId="0" fillId="0" fontId="25" numFmtId="0" xfId="0" applyAlignment="1" applyFont="1">
      <alignment horizontal="center"/>
    </xf>
    <xf borderId="0" fillId="0" fontId="24" numFmtId="2" xfId="0" applyAlignment="1" applyFont="1" applyNumberFormat="1">
      <alignment horizontal="center"/>
    </xf>
    <xf borderId="0" fillId="0" fontId="24" numFmtId="0" xfId="0" applyAlignment="1" applyFont="1">
      <alignment horizontal="center"/>
    </xf>
    <xf borderId="0" fillId="0" fontId="24" numFmtId="0" xfId="0" applyFont="1"/>
    <xf borderId="0" fillId="0" fontId="24" numFmtId="0" xfId="0" applyAlignment="1" applyFont="1">
      <alignment horizontal="right" vertical="center"/>
    </xf>
    <xf borderId="0" fillId="0" fontId="24" numFmtId="172" xfId="0" applyAlignment="1" applyFont="1" applyNumberFormat="1">
      <alignment horizontal="center"/>
    </xf>
    <xf borderId="0" fillId="0" fontId="24" numFmtId="0" xfId="0" applyAlignment="1" applyFont="1">
      <alignment horizontal="left"/>
    </xf>
    <xf borderId="0" fillId="0" fontId="23" numFmtId="174" xfId="0" applyAlignment="1" applyFont="1" applyNumberFormat="1">
      <alignment horizontal="right" shrinkToFit="1" vertical="center" wrapText="0"/>
    </xf>
    <xf borderId="0" fillId="0" fontId="23" numFmtId="175" xfId="0" applyAlignment="1" applyFont="1" applyNumberFormat="1">
      <alignment horizontal="right" shrinkToFit="1" vertical="center" wrapText="0"/>
    </xf>
    <xf borderId="30" fillId="0" fontId="24" numFmtId="0" xfId="0" applyAlignment="1" applyBorder="1" applyFont="1">
      <alignment horizontal="right" vertical="center"/>
    </xf>
    <xf borderId="30" fillId="0" fontId="24" numFmtId="14" xfId="0" applyAlignment="1" applyBorder="1" applyFont="1" applyNumberFormat="1">
      <alignment horizontal="center"/>
    </xf>
    <xf borderId="30" fillId="0" fontId="24" numFmtId="0" xfId="0" applyAlignment="1" applyBorder="1" applyFont="1">
      <alignment horizontal="left"/>
    </xf>
    <xf borderId="30" fillId="0" fontId="23" numFmtId="176" xfId="0" applyAlignment="1" applyBorder="1" applyFont="1" applyNumberFormat="1">
      <alignment horizontal="right" shrinkToFit="1" vertical="center" wrapText="0"/>
    </xf>
    <xf borderId="0" fillId="0" fontId="24" numFmtId="170" xfId="0" applyAlignment="1" applyFont="1" applyNumberFormat="1">
      <alignment horizontal="center"/>
    </xf>
    <xf borderId="0" fillId="0" fontId="24" numFmtId="171" xfId="0" applyAlignment="1" applyFont="1" applyNumberFormat="1">
      <alignment horizontal="center"/>
    </xf>
    <xf borderId="0" fillId="0" fontId="6" numFmtId="0" xfId="0" applyFont="1"/>
    <xf borderId="0" fillId="0" fontId="24" numFmtId="0" xfId="0" applyAlignment="1" applyFont="1">
      <alignment horizontal="center" shrinkToFit="0" vertical="center" wrapText="0"/>
    </xf>
    <xf borderId="0" fillId="0" fontId="6" numFmtId="0" xfId="0" applyAlignment="1" applyFont="1">
      <alignment horizontal="center" shrinkToFit="0" vertical="center" wrapText="0"/>
    </xf>
    <xf borderId="0" fillId="0" fontId="6" numFmtId="2" xfId="0" applyAlignment="1" applyFont="1" applyNumberFormat="1">
      <alignment horizontal="center" shrinkToFit="0" vertical="center" wrapText="0"/>
    </xf>
    <xf borderId="0" fillId="0" fontId="24" numFmtId="164" xfId="0" applyAlignment="1" applyFont="1" applyNumberFormat="1">
      <alignment horizontal="center" shrinkToFit="0" vertical="center" wrapText="0"/>
    </xf>
    <xf borderId="0" fillId="0" fontId="6" numFmtId="164" xfId="0" applyAlignment="1" applyFont="1" applyNumberFormat="1">
      <alignment horizontal="center" shrinkToFit="0" vertical="center" wrapText="0"/>
    </xf>
    <xf borderId="0" fillId="0" fontId="6" numFmtId="0" xfId="0" applyAlignment="1" applyFont="1">
      <alignment horizontal="left" shrinkToFit="0" vertical="center" wrapText="0"/>
    </xf>
    <xf borderId="31" fillId="10" fontId="24" numFmtId="0" xfId="0" applyAlignment="1" applyBorder="1" applyFill="1" applyFont="1">
      <alignment horizontal="center" shrinkToFit="0" vertical="center" wrapText="0"/>
    </xf>
    <xf borderId="31" fillId="10" fontId="24" numFmtId="0" xfId="0" applyAlignment="1" applyBorder="1" applyFont="1">
      <alignment shrinkToFit="0" vertical="center" wrapText="0"/>
    </xf>
    <xf borderId="31" fillId="10" fontId="24" numFmtId="0" xfId="0" applyAlignment="1" applyBorder="1" applyFont="1">
      <alignment horizontal="center" shrinkToFit="1" vertical="center" wrapText="0"/>
    </xf>
    <xf borderId="32" fillId="10" fontId="24" numFmtId="2" xfId="0" applyAlignment="1" applyBorder="1" applyFont="1" applyNumberFormat="1">
      <alignment shrinkToFit="0" vertical="center" wrapText="0"/>
    </xf>
    <xf borderId="33" fillId="0" fontId="24" numFmtId="2" xfId="0" applyAlignment="1" applyBorder="1" applyFont="1" applyNumberFormat="1">
      <alignment shrinkToFit="0" vertical="center" wrapText="0"/>
    </xf>
    <xf borderId="34" fillId="11" fontId="24" numFmtId="2" xfId="0" applyAlignment="1" applyBorder="1" applyFill="1" applyFont="1" applyNumberFormat="1">
      <alignment horizontal="center" shrinkToFit="0" vertical="center" wrapText="0"/>
    </xf>
    <xf borderId="35" fillId="10" fontId="24" numFmtId="164" xfId="0" applyAlignment="1" applyBorder="1" applyFont="1" applyNumberFormat="1">
      <alignment shrinkToFit="0" vertical="center" wrapText="0"/>
    </xf>
    <xf borderId="31" fillId="10" fontId="24" numFmtId="177" xfId="0" applyAlignment="1" applyBorder="1" applyFont="1" applyNumberFormat="1">
      <alignment shrinkToFit="0" vertical="center" wrapText="0"/>
    </xf>
    <xf borderId="0" fillId="0" fontId="6" numFmtId="0" xfId="0" applyAlignment="1" applyFont="1">
      <alignment shrinkToFit="0" vertical="center" wrapText="0"/>
    </xf>
    <xf borderId="0" fillId="0" fontId="24" numFmtId="0" xfId="0" applyAlignment="1" applyFont="1">
      <alignment horizontal="center" shrinkToFit="1" vertical="center" wrapText="0"/>
    </xf>
    <xf borderId="0" fillId="0" fontId="24" numFmtId="2" xfId="0" applyAlignment="1" applyFont="1" applyNumberFormat="1">
      <alignment shrinkToFit="0" vertical="center" wrapText="0"/>
    </xf>
    <xf borderId="0" fillId="0" fontId="26" numFmtId="2" xfId="0" applyAlignment="1" applyFont="1" applyNumberFormat="1">
      <alignment shrinkToFit="0" vertical="center" wrapText="0"/>
    </xf>
    <xf borderId="36" fillId="11" fontId="6" numFmtId="2" xfId="0" applyAlignment="1" applyBorder="1" applyFont="1" applyNumberFormat="1">
      <alignment horizontal="center" shrinkToFit="0" vertical="center" wrapText="0"/>
    </xf>
    <xf borderId="0" fillId="0" fontId="24" numFmtId="164" xfId="0" applyAlignment="1" applyFont="1" applyNumberFormat="1">
      <alignment shrinkToFit="0" vertical="center" wrapText="0"/>
    </xf>
    <xf borderId="0" fillId="0" fontId="24" numFmtId="177" xfId="0" applyAlignment="1" applyFont="1" applyNumberFormat="1">
      <alignment shrinkToFit="0" vertical="center" wrapText="0"/>
    </xf>
    <xf borderId="0" fillId="0" fontId="27" numFmtId="0" xfId="0" applyAlignment="1" applyFont="1">
      <alignment horizontal="center" shrinkToFit="0" vertical="center" wrapText="0"/>
    </xf>
    <xf borderId="0" fillId="0" fontId="28" numFmtId="0" xfId="0" applyAlignment="1" applyFont="1">
      <alignment shrinkToFit="0" vertical="center" wrapText="0"/>
    </xf>
    <xf borderId="0" fillId="0" fontId="28" numFmtId="0" xfId="0" applyAlignment="1" applyFont="1">
      <alignment horizontal="center" shrinkToFit="0" vertical="center" wrapText="0"/>
    </xf>
    <xf borderId="0" fillId="0" fontId="27" numFmtId="0" xfId="0" applyAlignment="1" applyFont="1">
      <alignment horizontal="center" shrinkToFit="1" vertical="center" wrapText="0"/>
    </xf>
    <xf borderId="0" fillId="0" fontId="27" numFmtId="2" xfId="0" applyAlignment="1" applyFont="1" applyNumberFormat="1">
      <alignment shrinkToFit="0" vertical="center" wrapText="0"/>
    </xf>
    <xf borderId="0" fillId="0" fontId="29" numFmtId="2" xfId="0" applyAlignment="1" applyFont="1" applyNumberFormat="1">
      <alignment shrinkToFit="0" vertical="center" wrapText="0"/>
    </xf>
    <xf borderId="36" fillId="11" fontId="28" numFmtId="2" xfId="0" applyAlignment="1" applyBorder="1" applyFont="1" applyNumberFormat="1">
      <alignment horizontal="center" shrinkToFit="0" vertical="center" wrapText="0"/>
    </xf>
    <xf borderId="0" fillId="0" fontId="27" numFmtId="164" xfId="0" applyAlignment="1" applyFont="1" applyNumberFormat="1">
      <alignment shrinkToFit="0" vertical="center" wrapText="0"/>
    </xf>
    <xf borderId="0" fillId="0" fontId="27" numFmtId="177" xfId="0" applyAlignment="1" applyFont="1" applyNumberFormat="1">
      <alignment shrinkToFit="0" vertical="center" wrapText="0"/>
    </xf>
    <xf borderId="0" fillId="0" fontId="27" numFmtId="0" xfId="0" applyFont="1"/>
    <xf borderId="31" fillId="10" fontId="6" numFmtId="0" xfId="0" applyAlignment="1" applyBorder="1" applyFont="1">
      <alignment horizontal="center" shrinkToFit="0" vertical="center" wrapText="0"/>
    </xf>
    <xf borderId="32" fillId="10" fontId="30" numFmtId="2" xfId="0" applyAlignment="1" applyBorder="1" applyFont="1" applyNumberFormat="1">
      <alignment shrinkToFit="0" vertical="center" wrapText="0"/>
    </xf>
    <xf borderId="0" fillId="0" fontId="31" numFmtId="2" xfId="0" applyAlignment="1" applyFont="1" applyNumberFormat="1">
      <alignment shrinkToFit="0" vertical="center" wrapText="0"/>
    </xf>
    <xf borderId="36" fillId="11" fontId="27" numFmtId="2" xfId="0" applyAlignment="1" applyBorder="1" applyFont="1" applyNumberFormat="1">
      <alignment horizontal="center" shrinkToFit="0" vertical="center" wrapText="0"/>
    </xf>
    <xf borderId="0" fillId="0" fontId="32" numFmtId="2" xfId="0" applyAlignment="1" applyFont="1" applyNumberFormat="1">
      <alignment shrinkToFit="0" vertical="center" wrapText="0"/>
    </xf>
    <xf borderId="0" fillId="2" fontId="6" numFmtId="0" xfId="0" applyAlignment="1" applyFont="1">
      <alignment horizontal="center" shrinkToFit="0" vertical="center" wrapText="0"/>
    </xf>
    <xf borderId="0" fillId="0" fontId="27" numFmtId="0" xfId="0" applyAlignment="1" applyFont="1">
      <alignment shrinkToFit="0" vertical="center" wrapText="0"/>
    </xf>
    <xf borderId="36" fillId="11" fontId="24" numFmtId="2" xfId="0" applyAlignment="1" applyBorder="1" applyFont="1" applyNumberFormat="1">
      <alignment horizontal="center" shrinkToFit="0" vertical="center" wrapText="0"/>
    </xf>
    <xf borderId="31" fillId="10" fontId="28" numFmtId="0" xfId="0" applyAlignment="1" applyBorder="1" applyFont="1">
      <alignment horizontal="center" shrinkToFit="0" vertical="center" wrapText="0"/>
    </xf>
    <xf borderId="31" fillId="10" fontId="27" numFmtId="0" xfId="0" applyAlignment="1" applyBorder="1" applyFont="1">
      <alignment shrinkToFit="0" vertical="center" wrapText="0"/>
    </xf>
    <xf borderId="31" fillId="10" fontId="27" numFmtId="0" xfId="0" applyAlignment="1" applyBorder="1" applyFont="1">
      <alignment horizontal="center" shrinkToFit="0" vertical="center" wrapText="0"/>
    </xf>
    <xf borderId="31" fillId="10" fontId="27" numFmtId="0" xfId="0" applyAlignment="1" applyBorder="1" applyFont="1">
      <alignment horizontal="center" shrinkToFit="1" vertical="center" wrapText="0"/>
    </xf>
    <xf borderId="32" fillId="10" fontId="27" numFmtId="2" xfId="0" applyAlignment="1" applyBorder="1" applyFont="1" applyNumberFormat="1">
      <alignment shrinkToFit="0" vertical="center" wrapText="0"/>
    </xf>
    <xf borderId="32" fillId="10" fontId="33" numFmtId="2" xfId="0" applyAlignment="1" applyBorder="1" applyFont="1" applyNumberFormat="1">
      <alignment shrinkToFit="0" vertical="center" wrapText="0"/>
    </xf>
    <xf borderId="34" fillId="11" fontId="27" numFmtId="2" xfId="0" applyAlignment="1" applyBorder="1" applyFont="1" applyNumberFormat="1">
      <alignment horizontal="center" shrinkToFit="0" vertical="center" wrapText="0"/>
    </xf>
    <xf borderId="35" fillId="10" fontId="27" numFmtId="164" xfId="0" applyAlignment="1" applyBorder="1" applyFont="1" applyNumberFormat="1">
      <alignment shrinkToFit="0" vertical="center" wrapText="0"/>
    </xf>
    <xf borderId="31" fillId="10" fontId="27" numFmtId="177" xfId="0" applyAlignment="1" applyBorder="1" applyFont="1" applyNumberFormat="1">
      <alignment shrinkToFit="0" vertical="center" wrapText="0"/>
    </xf>
    <xf borderId="0" fillId="0" fontId="24" numFmtId="0" xfId="0" applyAlignment="1" applyFont="1">
      <alignment shrinkToFit="0" vertical="center" wrapText="0"/>
    </xf>
    <xf borderId="0" fillId="6" fontId="23" numFmtId="177" xfId="0" applyAlignment="1" applyFont="1" applyNumberFormat="1">
      <alignment shrinkToFit="0" vertical="center" wrapText="0"/>
    </xf>
    <xf borderId="0" fillId="12" fontId="24" numFmtId="0" xfId="0" applyFill="1" applyFont="1"/>
    <xf borderId="0" fillId="12" fontId="24" numFmtId="2" xfId="0" applyFont="1" applyNumberFormat="1"/>
    <xf borderId="0" fillId="12" fontId="24" numFmtId="0" xfId="0" applyAlignment="1" applyFont="1">
      <alignment horizontal="center"/>
    </xf>
    <xf borderId="0" fillId="0" fontId="6" numFmtId="2" xfId="0" applyAlignment="1" applyFont="1" applyNumberFormat="1">
      <alignment horizontal="center"/>
    </xf>
    <xf borderId="0" fillId="0" fontId="6" numFmtId="0" xfId="0" applyAlignment="1" applyFont="1">
      <alignment horizontal="center"/>
    </xf>
    <xf borderId="0" fillId="0" fontId="24" numFmtId="164" xfId="0" applyAlignment="1" applyFont="1" applyNumberFormat="1">
      <alignment horizontal="center"/>
    </xf>
    <xf borderId="0" fillId="0" fontId="6" numFmtId="164" xfId="0" applyAlignment="1" applyFont="1" applyNumberFormat="1">
      <alignment horizontal="center"/>
    </xf>
    <xf borderId="0" fillId="0" fontId="6" numFmtId="2" xfId="0" applyAlignment="1" applyFont="1" applyNumberFormat="1">
      <alignment shrinkToFit="0" vertical="center" wrapText="0"/>
    </xf>
    <xf borderId="0" fillId="2" fontId="24" numFmtId="177" xfId="0" applyAlignment="1" applyFont="1" applyNumberFormat="1">
      <alignment shrinkToFit="0" vertical="bottom" wrapText="0"/>
    </xf>
    <xf borderId="0" fillId="6" fontId="24" numFmtId="177" xfId="0" applyAlignment="1" applyFont="1" applyNumberFormat="1">
      <alignment shrinkToFit="0" vertical="center" wrapText="0"/>
    </xf>
    <xf borderId="0" fillId="0" fontId="24" numFmtId="2" xfId="0" applyFont="1" applyNumberFormat="1"/>
    <xf borderId="0" fillId="0" fontId="24" numFmtId="0" xfId="0" applyAlignment="1" applyFont="1">
      <alignment horizontal="left" shrinkToFit="0" vertical="center" wrapText="0"/>
    </xf>
    <xf borderId="34" fillId="11" fontId="24" numFmtId="2" xfId="0" applyAlignment="1" applyBorder="1" applyFont="1" applyNumberFormat="1">
      <alignment shrinkToFit="0" vertical="center" wrapText="0"/>
    </xf>
    <xf borderId="36" fillId="11" fontId="6" numFmtId="2" xfId="0" applyAlignment="1" applyBorder="1" applyFont="1" applyNumberFormat="1">
      <alignment shrinkToFit="0" vertical="center" wrapText="0"/>
    </xf>
    <xf borderId="0" fillId="0" fontId="28" numFmtId="2" xfId="0" applyAlignment="1" applyFont="1" applyNumberFormat="1">
      <alignment shrinkToFit="0" vertical="center" wrapText="0"/>
    </xf>
    <xf borderId="36" fillId="11" fontId="28" numFmtId="2" xfId="0" applyAlignment="1" applyBorder="1" applyFont="1" applyNumberFormat="1">
      <alignment shrinkToFit="0" vertical="center" wrapText="0"/>
    </xf>
    <xf borderId="36" fillId="11" fontId="27" numFmtId="2" xfId="0" applyAlignment="1" applyBorder="1" applyFont="1" applyNumberFormat="1">
      <alignment shrinkToFit="0" vertical="center" wrapText="0"/>
    </xf>
    <xf borderId="36" fillId="11" fontId="24" numFmtId="2" xfId="0" applyAlignment="1" applyBorder="1" applyFont="1" applyNumberFormat="1">
      <alignment shrinkToFit="0" vertical="center" wrapText="0"/>
    </xf>
    <xf borderId="34" fillId="11" fontId="27" numFmtId="2" xfId="0" applyAlignment="1" applyBorder="1" applyFont="1" applyNumberFormat="1">
      <alignment shrinkToFit="0" vertical="center" wrapText="0"/>
    </xf>
    <xf borderId="0" fillId="0" fontId="24" numFmtId="2" xfId="0" applyAlignment="1" applyFont="1" applyNumberFormat="1">
      <alignment horizontal="center" shrinkToFit="0" vertical="center" wrapText="0"/>
    </xf>
    <xf borderId="0" fillId="0" fontId="27" numFmtId="0" xfId="0" applyAlignment="1" applyFont="1">
      <alignment horizontal="right" vertical="center"/>
    </xf>
    <xf borderId="0" fillId="0" fontId="34" numFmtId="0" xfId="0" applyAlignment="1" applyFont="1">
      <alignment horizontal="center"/>
    </xf>
    <xf borderId="0" fillId="0" fontId="27" numFmtId="0" xfId="0" applyAlignment="1" applyFont="1">
      <alignment horizontal="left" vertical="center"/>
    </xf>
    <xf borderId="0" fillId="0" fontId="34" numFmtId="166" xfId="0" applyAlignment="1" applyFont="1" applyNumberFormat="1">
      <alignment horizontal="right" shrinkToFit="1" vertical="center" wrapText="0"/>
    </xf>
    <xf borderId="0" fillId="0" fontId="27" numFmtId="14" xfId="0" applyAlignment="1" applyFont="1" applyNumberFormat="1">
      <alignment horizontal="center"/>
    </xf>
    <xf borderId="0" fillId="0" fontId="35" numFmtId="0" xfId="0" applyAlignment="1" applyFont="1">
      <alignment horizontal="center"/>
    </xf>
    <xf borderId="0" fillId="0" fontId="27" numFmtId="2" xfId="0" applyAlignment="1" applyFont="1" applyNumberFormat="1">
      <alignment horizontal="center"/>
    </xf>
    <xf borderId="0" fillId="0" fontId="27" numFmtId="0" xfId="0" applyAlignment="1" applyFont="1">
      <alignment horizontal="center"/>
    </xf>
    <xf borderId="0" fillId="0" fontId="27" numFmtId="172" xfId="0" applyAlignment="1" applyFont="1" applyNumberFormat="1">
      <alignment horizontal="center"/>
    </xf>
    <xf borderId="0" fillId="0" fontId="27" numFmtId="0" xfId="0" applyAlignment="1" applyFont="1">
      <alignment horizontal="left"/>
    </xf>
    <xf borderId="0" fillId="0" fontId="34" numFmtId="174" xfId="0" applyAlignment="1" applyFont="1" applyNumberFormat="1">
      <alignment horizontal="right" shrinkToFit="1" vertical="center" wrapText="0"/>
    </xf>
    <xf borderId="0" fillId="0" fontId="34" numFmtId="175" xfId="0" applyAlignment="1" applyFont="1" applyNumberFormat="1">
      <alignment horizontal="right" shrinkToFit="1" vertical="center" wrapText="0"/>
    </xf>
    <xf borderId="30" fillId="0" fontId="27" numFmtId="0" xfId="0" applyAlignment="1" applyBorder="1" applyFont="1">
      <alignment horizontal="right" vertical="center"/>
    </xf>
    <xf borderId="30" fillId="0" fontId="27" numFmtId="14" xfId="0" applyAlignment="1" applyBorder="1" applyFont="1" applyNumberFormat="1">
      <alignment horizontal="center"/>
    </xf>
    <xf borderId="30" fillId="0" fontId="27" numFmtId="0" xfId="0" applyAlignment="1" applyBorder="1" applyFont="1">
      <alignment horizontal="left"/>
    </xf>
    <xf borderId="30" fillId="0" fontId="34" numFmtId="176" xfId="0" applyAlignment="1" applyBorder="1" applyFont="1" applyNumberFormat="1">
      <alignment horizontal="right" shrinkToFit="1" vertical="center" wrapText="0"/>
    </xf>
    <xf borderId="0" fillId="0" fontId="27" numFmtId="170" xfId="0" applyAlignment="1" applyFont="1" applyNumberFormat="1">
      <alignment horizontal="center"/>
    </xf>
    <xf borderId="0" fillId="0" fontId="27" numFmtId="171" xfId="0" applyAlignment="1" applyFont="1" applyNumberFormat="1">
      <alignment horizontal="center"/>
    </xf>
    <xf borderId="0" fillId="0" fontId="28" numFmtId="2" xfId="0" applyAlignment="1" applyFont="1" applyNumberFormat="1">
      <alignment horizontal="center" shrinkToFit="0" vertical="center" wrapText="0"/>
    </xf>
    <xf borderId="0" fillId="0" fontId="27" numFmtId="164" xfId="0" applyAlignment="1" applyFont="1" applyNumberFormat="1">
      <alignment horizontal="center" shrinkToFit="0" vertical="center" wrapText="0"/>
    </xf>
    <xf borderId="0" fillId="0" fontId="28" numFmtId="164" xfId="0" applyAlignment="1" applyFont="1" applyNumberFormat="1">
      <alignment horizontal="center" shrinkToFit="0" vertical="center" wrapText="0"/>
    </xf>
    <xf borderId="0" fillId="0" fontId="28" numFmtId="0" xfId="0" applyAlignment="1" applyFont="1">
      <alignment horizontal="left" shrinkToFit="0" vertical="center" wrapText="0"/>
    </xf>
    <xf borderId="33" fillId="0" fontId="27" numFmtId="2" xfId="0" applyAlignment="1" applyBorder="1" applyFont="1" applyNumberFormat="1">
      <alignment shrinkToFit="0" vertical="center" wrapText="0"/>
    </xf>
    <xf borderId="0" fillId="2" fontId="28" numFmtId="0" xfId="0" applyAlignment="1" applyFont="1">
      <alignment horizontal="center" shrinkToFit="0" vertical="center" wrapText="0"/>
    </xf>
    <xf borderId="0" fillId="6" fontId="34" numFmtId="177" xfId="0" applyAlignment="1" applyFont="1" applyNumberFormat="1">
      <alignment shrinkToFit="0" vertical="center" wrapText="0"/>
    </xf>
    <xf borderId="0" fillId="12" fontId="27" numFmtId="0" xfId="0" applyFont="1"/>
    <xf borderId="0" fillId="12" fontId="27" numFmtId="2" xfId="0" applyFont="1" applyNumberFormat="1"/>
    <xf borderId="0" fillId="0" fontId="28" numFmtId="2" xfId="0" applyAlignment="1" applyFont="1" applyNumberFormat="1">
      <alignment horizontal="center"/>
    </xf>
    <xf borderId="0" fillId="0" fontId="27" numFmtId="164" xfId="0" applyAlignment="1" applyFont="1" applyNumberFormat="1">
      <alignment horizontal="center"/>
    </xf>
    <xf borderId="0" fillId="0" fontId="28" numFmtId="164" xfId="0" applyAlignment="1" applyFont="1" applyNumberFormat="1">
      <alignment horizontal="center"/>
    </xf>
    <xf borderId="0" fillId="0" fontId="28" numFmtId="0" xfId="0" applyFont="1"/>
    <xf borderId="0" fillId="0" fontId="27" numFmtId="2" xfId="0" applyAlignment="1" applyFont="1" applyNumberFormat="1">
      <alignment horizontal="center" shrinkToFit="0" vertical="center" wrapText="0"/>
    </xf>
    <xf borderId="0" fillId="2" fontId="27" numFmtId="177" xfId="0" applyAlignment="1" applyFont="1" applyNumberFormat="1">
      <alignment shrinkToFit="0" vertical="bottom" wrapText="0"/>
    </xf>
    <xf borderId="0" fillId="6" fontId="27" numFmtId="177" xfId="0" applyAlignment="1" applyFont="1" applyNumberFormat="1">
      <alignment shrinkToFit="0" vertical="center" wrapText="0"/>
    </xf>
    <xf borderId="0" fillId="0" fontId="28" numFmtId="0" xfId="0" applyAlignment="1" applyFont="1">
      <alignment horizontal="center" shrinkToFit="0" vertical="center" wrapText="1"/>
    </xf>
    <xf borderId="0" fillId="0" fontId="27" numFmtId="0" xfId="0" applyAlignment="1" applyFont="1">
      <alignment horizontal="center" shrinkToFit="0" vertical="center" wrapText="1"/>
    </xf>
    <xf borderId="0" fillId="0" fontId="1" numFmtId="2" xfId="0" applyFont="1" applyNumberFormat="1"/>
  </cellXfs>
  <cellStyles count="1">
    <cellStyle xfId="0" name="Normal" builtinId="0"/>
  </cellStyles>
  <dxfs count="11">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373F6B"/>
          <bgColor rgb="FF373F6B"/>
        </patternFill>
      </fill>
      <border/>
    </dxf>
    <dxf>
      <font/>
      <fill>
        <patternFill patternType="solid">
          <fgColor rgb="FFCDC5DA"/>
          <bgColor rgb="FFCDC5DA"/>
        </patternFill>
      </fill>
      <border/>
    </dxf>
    <dxf>
      <font/>
      <fill>
        <patternFill patternType="solid">
          <fgColor rgb="FF49564C"/>
          <bgColor rgb="FF49564C"/>
        </patternFill>
      </fill>
      <border/>
    </dxf>
    <dxf>
      <font/>
      <fill>
        <patternFill patternType="solid">
          <fgColor rgb="FFD2D5D2"/>
          <bgColor rgb="FFD2D5D2"/>
        </patternFill>
      </fill>
      <border/>
    </dxf>
    <dxf>
      <font>
        <color rgb="FF9C0006"/>
      </font>
      <fill>
        <patternFill patternType="solid">
          <fgColor rgb="FFFFC7CE"/>
          <bgColor rgb="FFFFC7CE"/>
        </patternFill>
      </fill>
      <border/>
    </dxf>
    <dxf>
      <font/>
      <fill>
        <patternFill patternType="solid">
          <fgColor rgb="FFFFC7CE"/>
          <bgColor rgb="FFFFC7CE"/>
        </patternFill>
      </fill>
      <border/>
    </dxf>
    <dxf>
      <font/>
      <fill>
        <patternFill patternType="solid">
          <fgColor rgb="FFB7E1CD"/>
          <bgColor rgb="FFB7E1CD"/>
        </patternFill>
      </fill>
      <border/>
    </dxf>
  </dxfs>
  <tableStyles count="43">
    <tableStyle count="3" pivot="0" name="LISTA-style">
      <tableStyleElement dxfId="1" type="headerRow"/>
      <tableStyleElement dxfId="2" type="firstRowStripe"/>
      <tableStyleElement dxfId="3" type="secondRowStripe"/>
    </tableStyle>
    <tableStyle count="3" pivot="0" name="CUSTO OPERAÇÃO-style">
      <tableStyleElement dxfId="1" type="headerRow"/>
      <tableStyleElement dxfId="2" type="firstRowStripe"/>
      <tableStyleElement dxfId="3" type="secondRowStripe"/>
    </tableStyle>
    <tableStyle count="3" pivot="0" name="CUSTO OPERAÇÃO-style 2">
      <tableStyleElement dxfId="1" type="headerRow"/>
      <tableStyleElement dxfId="2" type="firstRowStripe"/>
      <tableStyleElement dxfId="3" type="secondRowStripe"/>
    </tableStyle>
    <tableStyle count="3" pivot="0" name="PORTIFÓLIO-style">
      <tableStyleElement dxfId="1" type="headerRow"/>
      <tableStyleElement dxfId="2" type="firstRowStripe"/>
      <tableStyleElement dxfId="3" type="secondRowStripe"/>
    </tableStyle>
    <tableStyle count="3" pivot="0" name="ÁREA PLANTIO-style">
      <tableStyleElement dxfId="1" type="headerRow"/>
      <tableStyleElement dxfId="2" type="firstRowStripe"/>
      <tableStyleElement dxfId="3" type="secondRowStripe"/>
    </tableStyle>
    <tableStyle count="4" pivot="0" name="TL01-style">
      <tableStyleElement dxfId="4" type="headerRow"/>
      <tableStyleElement dxfId="2" type="firstRowStripe"/>
      <tableStyleElement dxfId="3" type="secondRowStripe"/>
      <tableStyleElement dxfId="5" type="totalRow"/>
    </tableStyle>
    <tableStyle count="4" pivot="0" name="TL01-style 2">
      <tableStyleElement dxfId="6" type="headerRow"/>
      <tableStyleElement dxfId="2" type="firstRowStripe"/>
      <tableStyleElement dxfId="3" type="secondRowStripe"/>
      <tableStyleElement dxfId="7" type="totalRow"/>
    </tableStyle>
    <tableStyle count="4" pivot="0" name="TL02-style">
      <tableStyleElement dxfId="6" type="headerRow"/>
      <tableStyleElement dxfId="2" type="firstRowStripe"/>
      <tableStyleElement dxfId="3" type="secondRowStripe"/>
      <tableStyleElement dxfId="7" type="totalRow"/>
    </tableStyle>
    <tableStyle count="4" pivot="0" name="TL02-style 2">
      <tableStyleElement dxfId="6" type="headerRow"/>
      <tableStyleElement dxfId="2" type="firstRowStripe"/>
      <tableStyleElement dxfId="3" type="secondRowStripe"/>
      <tableStyleElement dxfId="7" type="totalRow"/>
    </tableStyle>
    <tableStyle count="4" pivot="0" name="TL03-style">
      <tableStyleElement dxfId="6" type="headerRow"/>
      <tableStyleElement dxfId="2" type="firstRowStripe"/>
      <tableStyleElement dxfId="3" type="secondRowStripe"/>
      <tableStyleElement dxfId="7" type="totalRow"/>
    </tableStyle>
    <tableStyle count="4" pivot="0" name="TL03-style 2">
      <tableStyleElement dxfId="6" type="headerRow"/>
      <tableStyleElement dxfId="2" type="firstRowStripe"/>
      <tableStyleElement dxfId="3" type="secondRowStripe"/>
      <tableStyleElement dxfId="7" type="totalRow"/>
    </tableStyle>
    <tableStyle count="4" pivot="0" name="TL04-style">
      <tableStyleElement dxfId="6" type="headerRow"/>
      <tableStyleElement dxfId="2" type="firstRowStripe"/>
      <tableStyleElement dxfId="3" type="secondRowStripe"/>
      <tableStyleElement dxfId="7" type="totalRow"/>
    </tableStyle>
    <tableStyle count="4" pivot="0" name="TL04-style 2">
      <tableStyleElement dxfId="6" type="headerRow"/>
      <tableStyleElement dxfId="2" type="firstRowStripe"/>
      <tableStyleElement dxfId="3" type="secondRowStripe"/>
      <tableStyleElement dxfId="7" type="totalRow"/>
    </tableStyle>
    <tableStyle count="4" pivot="0" name="TL05-style">
      <tableStyleElement dxfId="6" type="headerRow"/>
      <tableStyleElement dxfId="2" type="firstRowStripe"/>
      <tableStyleElement dxfId="3" type="secondRowStripe"/>
      <tableStyleElement dxfId="7" type="totalRow"/>
    </tableStyle>
    <tableStyle count="4" pivot="0" name="TL05-style 2">
      <tableStyleElement dxfId="6" type="headerRow"/>
      <tableStyleElement dxfId="2" type="firstRowStripe"/>
      <tableStyleElement dxfId="3" type="secondRowStripe"/>
      <tableStyleElement dxfId="7" type="totalRow"/>
    </tableStyle>
    <tableStyle count="4" pivot="0" name="TL06-style">
      <tableStyleElement dxfId="6" type="headerRow"/>
      <tableStyleElement dxfId="2" type="firstRowStripe"/>
      <tableStyleElement dxfId="3" type="secondRowStripe"/>
      <tableStyleElement dxfId="7" type="totalRow"/>
    </tableStyle>
    <tableStyle count="4" pivot="0" name="TL06-style 2">
      <tableStyleElement dxfId="6" type="headerRow"/>
      <tableStyleElement dxfId="2" type="firstRowStripe"/>
      <tableStyleElement dxfId="3" type="secondRowStripe"/>
      <tableStyleElement dxfId="7" type="totalRow"/>
    </tableStyle>
    <tableStyle count="4" pivot="0" name="TL07-style">
      <tableStyleElement dxfId="6" type="headerRow"/>
      <tableStyleElement dxfId="2" type="firstRowStripe"/>
      <tableStyleElement dxfId="3" type="secondRowStripe"/>
      <tableStyleElement dxfId="7" type="totalRow"/>
    </tableStyle>
    <tableStyle count="4" pivot="0" name="TL07-style 2">
      <tableStyleElement dxfId="6" type="headerRow"/>
      <tableStyleElement dxfId="2" type="firstRowStripe"/>
      <tableStyleElement dxfId="3" type="secondRowStripe"/>
      <tableStyleElement dxfId="7" type="totalRow"/>
    </tableStyle>
    <tableStyle count="4" pivot="0" name="TL08-style">
      <tableStyleElement dxfId="6" type="headerRow"/>
      <tableStyleElement dxfId="2" type="firstRowStripe"/>
      <tableStyleElement dxfId="3" type="secondRowStripe"/>
      <tableStyleElement dxfId="7" type="totalRow"/>
    </tableStyle>
    <tableStyle count="4" pivot="0" name="TL08-style 2">
      <tableStyleElement dxfId="6" type="headerRow"/>
      <tableStyleElement dxfId="2" type="firstRowStripe"/>
      <tableStyleElement dxfId="3" type="secondRowStripe"/>
      <tableStyleElement dxfId="7" type="totalRow"/>
    </tableStyle>
    <tableStyle count="4" pivot="0" name="TL09-style">
      <tableStyleElement dxfId="6" type="headerRow"/>
      <tableStyleElement dxfId="2" type="firstRowStripe"/>
      <tableStyleElement dxfId="3" type="secondRowStripe"/>
      <tableStyleElement dxfId="7" type="totalRow"/>
    </tableStyle>
    <tableStyle count="4" pivot="0" name="TL09-style 2">
      <tableStyleElement dxfId="6" type="headerRow"/>
      <tableStyleElement dxfId="2" type="firstRowStripe"/>
      <tableStyleElement dxfId="3" type="secondRowStripe"/>
      <tableStyleElement dxfId="7" type="totalRow"/>
    </tableStyle>
    <tableStyle count="4" pivot="0" name="TL10-style">
      <tableStyleElement dxfId="6" type="headerRow"/>
      <tableStyleElement dxfId="2" type="firstRowStripe"/>
      <tableStyleElement dxfId="3" type="secondRowStripe"/>
      <tableStyleElement dxfId="7" type="totalRow"/>
    </tableStyle>
    <tableStyle count="4" pivot="0" name="TL10-style 2">
      <tableStyleElement dxfId="6" type="headerRow"/>
      <tableStyleElement dxfId="2" type="firstRowStripe"/>
      <tableStyleElement dxfId="3" type="secondRowStripe"/>
      <tableStyleElement dxfId="7" type="totalRow"/>
    </tableStyle>
    <tableStyle count="4" pivot="0" name="TL11-style">
      <tableStyleElement dxfId="6" type="headerRow"/>
      <tableStyleElement dxfId="2" type="firstRowStripe"/>
      <tableStyleElement dxfId="3" type="secondRowStripe"/>
      <tableStyleElement dxfId="7" type="totalRow"/>
    </tableStyle>
    <tableStyle count="4" pivot="0" name="TL11-style 2">
      <tableStyleElement dxfId="6" type="headerRow"/>
      <tableStyleElement dxfId="2" type="firstRowStripe"/>
      <tableStyleElement dxfId="3" type="secondRowStripe"/>
      <tableStyleElement dxfId="7" type="totalRow"/>
    </tableStyle>
    <tableStyle count="4" pivot="0" name="TL12-style">
      <tableStyleElement dxfId="6" type="headerRow"/>
      <tableStyleElement dxfId="2" type="firstRowStripe"/>
      <tableStyleElement dxfId="3" type="secondRowStripe"/>
      <tableStyleElement dxfId="7" type="totalRow"/>
    </tableStyle>
    <tableStyle count="4" pivot="0" name="TL12-style 2">
      <tableStyleElement dxfId="6" type="headerRow"/>
      <tableStyleElement dxfId="2" type="firstRowStripe"/>
      <tableStyleElement dxfId="3" type="secondRowStripe"/>
      <tableStyleElement dxfId="7" type="totalRow"/>
    </tableStyle>
    <tableStyle count="4" pivot="0" name="TL13-style">
      <tableStyleElement dxfId="6" type="headerRow"/>
      <tableStyleElement dxfId="2" type="firstRowStripe"/>
      <tableStyleElement dxfId="3" type="secondRowStripe"/>
      <tableStyleElement dxfId="7" type="totalRow"/>
    </tableStyle>
    <tableStyle count="4" pivot="0" name="TL13-style 2">
      <tableStyleElement dxfId="6" type="headerRow"/>
      <tableStyleElement dxfId="2" type="firstRowStripe"/>
      <tableStyleElement dxfId="3" type="secondRowStripe"/>
      <tableStyleElement dxfId="7" type="totalRow"/>
    </tableStyle>
    <tableStyle count="4" pivot="0" name="TL14-style">
      <tableStyleElement dxfId="6" type="headerRow"/>
      <tableStyleElement dxfId="2" type="firstRowStripe"/>
      <tableStyleElement dxfId="3" type="secondRowStripe"/>
      <tableStyleElement dxfId="7" type="totalRow"/>
    </tableStyle>
    <tableStyle count="4" pivot="0" name="TL14-style 2">
      <tableStyleElement dxfId="6" type="headerRow"/>
      <tableStyleElement dxfId="2" type="firstRowStripe"/>
      <tableStyleElement dxfId="3" type="secondRowStripe"/>
      <tableStyleElement dxfId="7" type="totalRow"/>
    </tableStyle>
    <tableStyle count="4" pivot="0" name="TL16-style">
      <tableStyleElement dxfId="6" type="headerRow"/>
      <tableStyleElement dxfId="2" type="firstRowStripe"/>
      <tableStyleElement dxfId="3" type="secondRowStripe"/>
      <tableStyleElement dxfId="7" type="totalRow"/>
    </tableStyle>
    <tableStyle count="4" pivot="0" name="TL16-style 2">
      <tableStyleElement dxfId="6" type="headerRow"/>
      <tableStyleElement dxfId="2" type="firstRowStripe"/>
      <tableStyleElement dxfId="3" type="secondRowStripe"/>
      <tableStyleElement dxfId="7" type="totalRow"/>
    </tableStyle>
    <tableStyle count="4" pivot="0" name="TL15-style">
      <tableStyleElement dxfId="6" type="headerRow"/>
      <tableStyleElement dxfId="2" type="firstRowStripe"/>
      <tableStyleElement dxfId="3" type="secondRowStripe"/>
      <tableStyleElement dxfId="7" type="totalRow"/>
    </tableStyle>
    <tableStyle count="4" pivot="0" name="TL15-style 2">
      <tableStyleElement dxfId="6" type="headerRow"/>
      <tableStyleElement dxfId="2" type="firstRowStripe"/>
      <tableStyleElement dxfId="3" type="secondRowStripe"/>
      <tableStyleElement dxfId="7" type="totalRow"/>
    </tableStyle>
    <tableStyle count="4" pivot="0" name="TL17-style">
      <tableStyleElement dxfId="6" type="headerRow"/>
      <tableStyleElement dxfId="2" type="firstRowStripe"/>
      <tableStyleElement dxfId="3" type="secondRowStripe"/>
      <tableStyleElement dxfId="7" type="totalRow"/>
    </tableStyle>
    <tableStyle count="4" pivot="0" name="TL17-style 2">
      <tableStyleElement dxfId="6" type="headerRow"/>
      <tableStyleElement dxfId="2" type="firstRowStripe"/>
      <tableStyleElement dxfId="3" type="secondRowStripe"/>
      <tableStyleElement dxfId="7" type="totalRow"/>
    </tableStyle>
    <tableStyle count="4" pivot="0" name="TL18-style">
      <tableStyleElement dxfId="6" type="headerRow"/>
      <tableStyleElement dxfId="2" type="firstRowStripe"/>
      <tableStyleElement dxfId="3" type="secondRowStripe"/>
      <tableStyleElement dxfId="7" type="totalRow"/>
    </tableStyle>
    <tableStyle count="4" pivot="0" name="TL18-style 2">
      <tableStyleElement dxfId="6" type="headerRow"/>
      <tableStyleElement dxfId="2" type="firstRowStripe"/>
      <tableStyleElement dxfId="3" type="secondRowStripe"/>
      <tableStyleElement dxfId="7" type="totalRow"/>
    </tableStyle>
    <tableStyle count="4" pivot="0" name="TL19-style">
      <tableStyleElement dxfId="6" type="headerRow"/>
      <tableStyleElement dxfId="2" type="firstRowStripe"/>
      <tableStyleElement dxfId="3" type="secondRowStripe"/>
      <tableStyleElement dxfId="7" type="totalRow"/>
    </tableStyle>
    <tableStyle count="4" pivot="0" name="TL19-style 2">
      <tableStyleElement dxfId="6" type="headerRow"/>
      <tableStyleElement dxfId="2" type="firstRowStripe"/>
      <tableStyleElement dxfId="3" type="secondRowStripe"/>
      <tableStyleElement dxfId="7" type="totalRow"/>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customschemas.google.com/relationships/workbookmetadata" Target="metadata"/><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1114425</xdr:colOff>
      <xdr:row>0</xdr:row>
      <xdr:rowOff>0</xdr:rowOff>
    </xdr:from>
    <xdr:ext cx="1533525" cy="419100"/>
    <xdr:grpSp>
      <xdr:nvGrpSpPr>
        <xdr:cNvPr id="2" name="Shape 2"/>
        <xdr:cNvGrpSpPr/>
      </xdr:nvGrpSpPr>
      <xdr:grpSpPr>
        <a:xfrm>
          <a:off x="4579238" y="3570450"/>
          <a:ext cx="1533525" cy="419100"/>
          <a:chOff x="4579238" y="3570450"/>
          <a:chExt cx="1533525" cy="419100"/>
        </a:xfrm>
      </xdr:grpSpPr>
      <xdr:grpSp>
        <xdr:nvGrpSpPr>
          <xdr:cNvPr id="3" name="Shape 3" title="Desenho"/>
          <xdr:cNvGrpSpPr/>
        </xdr:nvGrpSpPr>
        <xdr:grpSpPr>
          <a:xfrm>
            <a:off x="4579238" y="3570450"/>
            <a:ext cx="1533525" cy="419100"/>
            <a:chOff x="2802000" y="950675"/>
            <a:chExt cx="2992200" cy="910800"/>
          </a:xfrm>
        </xdr:grpSpPr>
        <xdr:sp>
          <xdr:nvSpPr>
            <xdr:cNvPr id="4" name="Shape 4"/>
            <xdr:cNvSpPr/>
          </xdr:nvSpPr>
          <xdr:spPr>
            <a:xfrm>
              <a:off x="2802000" y="950675"/>
              <a:ext cx="2992200" cy="910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 name="Shape 5"/>
            <xdr:cNvSpPr/>
          </xdr:nvSpPr>
          <xdr:spPr>
            <a:xfrm>
              <a:off x="2802000" y="950675"/>
              <a:ext cx="2992200" cy="910800"/>
            </a:xfrm>
            <a:prstGeom prst="flowChartAlternateProcess">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sp>
          <xdr:nvSpPr>
            <xdr:cNvPr id="6" name="Shape 6"/>
            <xdr:cNvSpPr/>
          </xdr:nvSpPr>
          <xdr:spPr>
            <a:xfrm>
              <a:off x="3362401" y="1154600"/>
              <a:ext cx="2001429" cy="502950"/>
            </a:xfrm>
            <a:prstGeom prst="rect">
              <a:avLst/>
            </a:prstGeom>
          </xdr:spPr>
          <xdr:txBody>
            <a:bodyPr>
              <a:prstTxWarp prst="textPlain"/>
            </a:bodyPr>
            <a:lstStyle/>
            <a:p>
              <a:pPr lvl="0" algn="ctr"/>
              <a:r>
                <a:rPr b="0" i="0">
                  <a:ln cap="flat" cmpd="sng" w="9525">
                    <a:solidFill>
                      <a:srgbClr val="000000"/>
                    </a:solidFill>
                    <a:prstDash val="solid"/>
                    <a:round/>
                    <a:headEnd len="sm" w="sm" type="none"/>
                    <a:tailEnd len="sm" w="sm" type="none"/>
                  </a:ln>
                  <a:solidFill>
                    <a:srgbClr val="CFE2F3"/>
                  </a:solidFill>
                  <a:latin typeface="Arial"/>
                </a:rPr>
                <a:t>GERAR PDF</a:t>
              </a:r>
            </a:p>
          </xdr:txBody>
        </xdr:sp>
      </xdr:grpSp>
    </xdr:grp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N271" displayName="Table_1" name="Table_1" id="1">
  <tableColumns count="14">
    <tableColumn name="FUNGICIDA" id="1"/>
    <tableColumn name="HERBICIDA" id="2"/>
    <tableColumn name="INSETICIDA" id="3"/>
    <tableColumn name="TS" id="4"/>
    <tableColumn name="BIOLÓGICOS" id="5"/>
    <tableColumn name="SEMENTE" id="6"/>
    <tableColumn name="ADJUVANTE" id="7"/>
    <tableColumn name="FERTILIZANTES" id="8"/>
    <tableColumn name="CORRETIVOS" id="9"/>
    <tableColumn name="NUTRIÇÃO" id="10"/>
    <tableColumn name="MÁQUINAS" id="11"/>
    <tableColumn name="EMPEENDIMENTO" id="12"/>
    <tableColumn name="ÁREAS" id="13"/>
    <tableColumn name="HECTARES" id="14"/>
  </tableColumns>
  <tableStyleInfo name="LISTA-style" showColumnStripes="0" showFirstColumn="1" showLastColumn="1" showRowStripes="1"/>
</table>
</file>

<file path=xl/tables/table2.xml><?xml version="1.0" encoding="utf-8"?>
<table xmlns="http://schemas.openxmlformats.org/spreadsheetml/2006/main" ref="A1:M30" displayName="Table_2" name="Table_2" id="2">
  <tableColumns count="13">
    <tableColumn name="Column 11" id="1"/>
    <tableColumn name="MÁQUINA " id="2"/>
    <tableColumn name="IMPLEMENTO" id="3"/>
    <tableColumn name="CONJUNTO" id="4"/>
    <tableColumn name="LARGURA" id="5"/>
    <tableColumn name="VELOCIDADE" id="6"/>
    <tableColumn name="EFICIÊNCIA" id="7"/>
    <tableColumn name="ha/h" id="8"/>
    <tableColumn name="L/h" id="9"/>
    <tableColumn name="HM/ha" id="10"/>
    <tableColumn name="L/ha" id="11"/>
    <tableColumn name="CUSTO HM/HA" id="12"/>
    <tableColumn name="HORA MAQ./HA" id="13"/>
  </tableColumns>
  <tableStyleInfo name="CUSTO OPERAÇÃO-style" showColumnStripes="0" showFirstColumn="1" showLastColumn="1" showRowStripes="1"/>
</table>
</file>

<file path=xl/tables/table3.xml><?xml version="1.0" encoding="utf-8"?>
<table xmlns="http://schemas.openxmlformats.org/spreadsheetml/2006/main" ref="O1:S125" displayName="Table_3" name="Table_3" id="3">
  <tableColumns count="5">
    <tableColumn name="GRUPO" id="1"/>
    <tableColumn name="MAQUINA" id="2"/>
    <tableColumn name="CONSUMO HORA" id="3"/>
    <tableColumn name="LARGURA OPERAÇÃO" id="4"/>
    <tableColumn name="VELOCIDADE" id="5"/>
  </tableColumns>
  <tableStyleInfo name="CUSTO OPERAÇÃO-style 2" showColumnStripes="0" showFirstColumn="1" showLastColumn="1" showRowStripes="1"/>
</table>
</file>

<file path=xl/tables/table4.xml><?xml version="1.0" encoding="utf-8"?>
<table xmlns="http://schemas.openxmlformats.org/spreadsheetml/2006/main" ref="A3:V433" displayName="Table_4" name="Table_4" id="4">
  <tableColumns count="22">
    <tableColumn name="EMPRESA" id="1"/>
    <tableColumn name="CLASSE" id="2"/>
    <tableColumn name="PRODUTO" id="3"/>
    <tableColumn name="ATIVOS" id="4"/>
    <tableColumn name="CONCENTRAÇÃO" id="5"/>
    <tableColumn name="UN" id="6"/>
    <tableColumn name="BULA" id="7"/>
    <tableColumn name="DOSE" id="8"/>
    <tableColumn name="EMBALAGEM" id="9"/>
    <tableColumn name="FE-BRACHIARIA-26/27" id="10"/>
    <tableColumn name="FE-SOJA IRRIGADO-26/27" id="11"/>
    <tableColumn name="FE-SOJA SEQUEIRO-26/27" id="12"/>
    <tableColumn name="FA-MILHO SEMENTE-27/27" id="13"/>
    <tableColumn name="FA-SORGO SEQUEIRO-27/27" id="14"/>
    <tableColumn name="FA-MILHO SEQUEIRO-26/27" id="15"/>
    <tableColumn name="FA-SOJA SEQUEIRO-26/27" id="16"/>
    <tableColumn name="FA-SOJA-IRRIGADO-26/27" id="17"/>
    <tableColumn name="DEMANDA" id="18"/>
    <tableColumn name="VALOR R$/L OU KG" id="19"/>
    <tableColumn name="ESTOQUE" id="20"/>
    <tableColumn name="VOLUME INDICADO" id="21"/>
    <tableColumn name="VALOR TOTAL" id="22"/>
  </tableColumns>
  <tableStyleInfo name="PORTIFÓLIO-style" showColumnStripes="0" showFirstColumn="1" showLastColumn="1" showRowStripes="1"/>
</table>
</file>

<file path=xl/tables/table5.xml><?xml version="1.0" encoding="utf-8"?>
<table xmlns="http://schemas.openxmlformats.org/spreadsheetml/2006/main" ref="A1:J30" displayName="Table_5" name="Table_5" id="5">
  <tableColumns count="10">
    <tableColumn name="TALHÃO" id="1"/>
    <tableColumn name="NOME" id="2"/>
    <tableColumn name="EMPREENDIMENTO" id="3"/>
    <tableColumn name="PRODUTIVIDADE ESPERADA" id="4"/>
    <tableColumn name="ÁREA" id="5"/>
    <tableColumn name="PRODUÇÃO ESPERADA" id="6"/>
    <tableColumn name="PRODUÇÃO ESPERADA KG" id="7"/>
    <tableColumn name="EMPREEDIMENTO SAFRINHA" id="8"/>
    <tableColumn name="PRODUTIVIDADE" id="9"/>
    <tableColumn name="PRODUTIVIDADE SAFRINHA" id="10"/>
  </tableColumns>
  <tableStyleInfo name="ÁREA PLANTIO-style" showColumnStripes="0" showFirstColumn="1" showLastColumn="1" showRowStripes="1"/>
</table>
</file>

<file path=xl/tables/table6.xml><?xml version="1.0" encoding="utf-8"?>
<table xmlns="http://schemas.openxmlformats.org/spreadsheetml/2006/main" totalsRowCount="1" ref="A9:L225" displayName="Table_6" name="Table_6" id="6">
  <tableColumns count="12">
    <tableColumn name="DAP da Operação" id="1"/>
    <tableColumn name="Classe" id="2"/>
    <tableColumn name="Produto" id="3"/>
    <tableColumn name="Ingrediente Ativo" id="4"/>
    <tableColumn name="Concentração" id="5"/>
    <tableColumn name="Unidade" id="6"/>
    <tableColumn name="Bula" id="7"/>
    <tableColumn totalsRowFunction="custom" name="Sugestão" id="8"/>
    <tableColumn name="Dose" id="9"/>
    <tableColumn name="Total" id="10"/>
    <tableColumn totalsRowFunction="custom" name="CUSTO/HA" id="11"/>
    <tableColumn totalsRowFunction="custom" name="VALOR TOTAL" id="12"/>
  </tableColumns>
  <tableStyleInfo name="TL01-style" showColumnStripes="0" showFirstColumn="1" showLastColumn="1" showRowStripes="1"/>
</table>
</file>

<file path=xl/tables/table7.xml><?xml version="1.0" encoding="utf-8"?>
<table xmlns="http://schemas.openxmlformats.org/spreadsheetml/2006/main" totalsRowCount="1" ref="A236:L452" displayName="Table_7" name="Table_7" id="7">
  <tableColumns count="12">
    <tableColumn name="DAP da Operação" id="1"/>
    <tableColumn name="Classe" id="2"/>
    <tableColumn name="Produto" id="3"/>
    <tableColumn name="Ingrediente Ativo" id="4"/>
    <tableColumn name="Concentração" id="5"/>
    <tableColumn name="Unidade" id="6"/>
    <tableColumn name="Bula" id="7"/>
    <tableColumn name="Sugestão" id="8"/>
    <tableColumn name="Dose" id="9"/>
    <tableColumn name="Total" id="10"/>
    <tableColumn totalsRowFunction="custom" name="CUSTO/HA" id="11"/>
    <tableColumn totalsRowFunction="custom" name="VALOR TOTAL" id="12"/>
  </tableColumns>
  <tableStyleInfo name="TL01-style 2" showColumnStripes="0" showFirstColumn="1" showLastColumn="1" showRowStripes="1"/>
</table>
</file>

<file path=xl/tables/table8.xml><?xml version="1.0" encoding="utf-8"?>
<table xmlns="http://schemas.openxmlformats.org/spreadsheetml/2006/main" totalsRowCount="1" ref="A9:M225" displayName="Table_8" name="Table_8" id="8">
  <tableColumns count="13">
    <tableColumn name="DAP da Operação" id="1"/>
    <tableColumn name="Classe" id="2"/>
    <tableColumn name="Produto" id="3"/>
    <tableColumn name="Ingrediente Ativo" id="4"/>
    <tableColumn name="Concentração" id="5"/>
    <tableColumn name="Unidade" id="6"/>
    <tableColumn name="Bula" id="7"/>
    <tableColumn totalsRowFunction="custom" name="Sugestão" id="8"/>
    <tableColumn name="Dose" id="9"/>
    <tableColumn name="Total" id="10"/>
    <tableColumn totalsRowFunction="custom" name="CUSTO/HA" id="11"/>
    <tableColumn totalsRowFunction="custom" name="VALOR TOTAL" id="12"/>
    <tableColumn name="Coluna 1" id="13"/>
  </tableColumns>
  <tableStyleInfo name="TL02-style" showColumnStripes="0" showFirstColumn="1" showLastColumn="1" showRowStripes="1"/>
</table>
</file>

<file path=xl/tables/table9.xml><?xml version="1.0" encoding="utf-8"?>
<table xmlns="http://schemas.openxmlformats.org/spreadsheetml/2006/main" totalsRowCount="1" ref="A236:M452" displayName="Table_9" name="Table_9" id="9">
  <tableColumns count="13">
    <tableColumn name="DAP da Operação" id="1"/>
    <tableColumn name="Classe" id="2"/>
    <tableColumn name="Produto" id="3"/>
    <tableColumn name="Ingrediente Ativo" id="4"/>
    <tableColumn name="Concentração" id="5"/>
    <tableColumn name="Unidade" id="6"/>
    <tableColumn name="Sugestão" id="7"/>
    <tableColumn name="Bula" id="8"/>
    <tableColumn name="Dose" id="9"/>
    <tableColumn name="Total" id="10"/>
    <tableColumn totalsRowFunction="custom" name="CUSTO/HA" id="11"/>
    <tableColumn totalsRowFunction="custom" name="VALOR TOTAL" id="12"/>
    <tableColumn name="Coluna 3" id="13"/>
  </tableColumns>
  <tableStyleInfo name="TL02-style 2" showColumnStripes="0" showFirstColumn="1" showLastColumn="1" showRowStripes="1"/>
</table>
</file>

<file path=xl/tables/table10.xml><?xml version="1.0" encoding="utf-8"?>
<table xmlns="http://schemas.openxmlformats.org/spreadsheetml/2006/main" totalsRowCount="1" ref="A9:L225" displayName="Table_10" name="Table_10" id="10">
  <tableColumns count="12">
    <tableColumn name="DAP da Operação" id="1"/>
    <tableColumn name="Classe" id="2"/>
    <tableColumn name="Produto" id="3"/>
    <tableColumn name="Ingrediente Ativo" id="4"/>
    <tableColumn name="Concentração" id="5"/>
    <tableColumn name="Unidade" id="6"/>
    <tableColumn name="Bula" id="7"/>
    <tableColumn totalsRowFunction="custom" name="Sugestão" id="8"/>
    <tableColumn name="Dose" id="9"/>
    <tableColumn name="Total" id="10"/>
    <tableColumn totalsRowFunction="custom" name="CUSTO/HA" id="11"/>
    <tableColumn totalsRowFunction="custom" name="VALOR TOTAL" id="12"/>
  </tableColumns>
  <tableStyleInfo name="TL03-style" showColumnStripes="0" showFirstColumn="1" showLastColumn="1" showRowStripes="1"/>
</table>
</file>

<file path=xl/tables/table11.xml><?xml version="1.0" encoding="utf-8"?>
<table xmlns="http://schemas.openxmlformats.org/spreadsheetml/2006/main" totalsRowCount="1" ref="A236:L452" displayName="Table_11" name="Table_11" id="11">
  <tableColumns count="12">
    <tableColumn name="DAP da Operação" id="1"/>
    <tableColumn name="Classe" id="2"/>
    <tableColumn name="Produto" id="3"/>
    <tableColumn name="Ingrediente Ativo" id="4"/>
    <tableColumn name="Concentração" id="5"/>
    <tableColumn name="Unidade" id="6"/>
    <tableColumn name="Sugestão" id="7"/>
    <tableColumn name="Bula" id="8"/>
    <tableColumn name="Dose" id="9"/>
    <tableColumn name="Total" id="10"/>
    <tableColumn totalsRowFunction="custom" name="CUSTO/HA" id="11"/>
    <tableColumn totalsRowFunction="custom" name="VALOR TOTAL" id="12"/>
  </tableColumns>
  <tableStyleInfo name="TL03-style 2" showColumnStripes="0" showFirstColumn="1" showLastColumn="1" showRowStripes="1"/>
</table>
</file>

<file path=xl/tables/table12.xml><?xml version="1.0" encoding="utf-8"?>
<table xmlns="http://schemas.openxmlformats.org/spreadsheetml/2006/main" totalsRowCount="1" ref="A9:L225" displayName="Table_12" name="Table_12" id="12">
  <tableColumns count="12">
    <tableColumn name="DAP da Operação" id="1"/>
    <tableColumn name="Casse" id="2"/>
    <tableColumn name="Produto" id="3"/>
    <tableColumn name="Ingrediente Ativo" id="4"/>
    <tableColumn name="Concentração" id="5"/>
    <tableColumn name="Unidade" id="6"/>
    <tableColumn name="Bula" id="7"/>
    <tableColumn totalsRowFunction="custom" name="Sugestão" id="8"/>
    <tableColumn name="Dose" id="9"/>
    <tableColumn name="Total" id="10"/>
    <tableColumn totalsRowFunction="custom" name="CUSTO/HA" id="11"/>
    <tableColumn totalsRowFunction="custom" name="VALOR TOTAL" id="12"/>
  </tableColumns>
  <tableStyleInfo name="TL04-style" showColumnStripes="0" showFirstColumn="1" showLastColumn="1" showRowStripes="1"/>
</table>
</file>

<file path=xl/tables/table13.xml><?xml version="1.0" encoding="utf-8"?>
<table xmlns="http://schemas.openxmlformats.org/spreadsheetml/2006/main" totalsRowCount="1" ref="A236:L452" displayName="Table_13" name="Table_13" id="13">
  <tableColumns count="12">
    <tableColumn name="DAP da Operação" id="1"/>
    <tableColumn name="Classe" id="2"/>
    <tableColumn name="Produto" id="3"/>
    <tableColumn name="Ingrediente Ativo" id="4"/>
    <tableColumn name="Concentração" id="5"/>
    <tableColumn name="Unidade" id="6"/>
    <tableColumn name="Sugestão" id="7"/>
    <tableColumn name="Bula" id="8"/>
    <tableColumn name="Dose" id="9"/>
    <tableColumn name="Total" id="10"/>
    <tableColumn totalsRowFunction="custom" name="CUSTO/HA" id="11"/>
    <tableColumn totalsRowFunction="custom" name="VALOR TOTAL" id="12"/>
  </tableColumns>
  <tableStyleInfo name="TL04-style 2" showColumnStripes="0" showFirstColumn="1" showLastColumn="1" showRowStripes="1"/>
</table>
</file>

<file path=xl/tables/table14.xml><?xml version="1.0" encoding="utf-8"?>
<table xmlns="http://schemas.openxmlformats.org/spreadsheetml/2006/main" totalsRowCount="1" ref="A9:L225" displayName="Table_14" name="Table_14" id="14">
  <tableColumns count="12">
    <tableColumn name="DAP da Operação" id="1"/>
    <tableColumn name="Classe" id="2"/>
    <tableColumn name="Produto" id="3"/>
    <tableColumn name="Ingrediente Ativo" id="4"/>
    <tableColumn name="Concentração" id="5"/>
    <tableColumn name="Unidade" id="6"/>
    <tableColumn name="Bula" id="7"/>
    <tableColumn totalsRowFunction="custom" name="Sugestão" id="8"/>
    <tableColumn name="Dose" id="9"/>
    <tableColumn name="Total" id="10"/>
    <tableColumn totalsRowFunction="custom" name="CUSTO/HA" id="11"/>
    <tableColumn totalsRowFunction="custom" name="VALOR TOTAL" id="12"/>
  </tableColumns>
  <tableStyleInfo name="TL05-style" showColumnStripes="0" showFirstColumn="1" showLastColumn="1" showRowStripes="1"/>
</table>
</file>

<file path=xl/tables/table15.xml><?xml version="1.0" encoding="utf-8"?>
<table xmlns="http://schemas.openxmlformats.org/spreadsheetml/2006/main" totalsRowCount="1" ref="A236:L452" displayName="Table_15" name="Table_15" id="15">
  <tableColumns count="12">
    <tableColumn name="DAP da Operação" id="1"/>
    <tableColumn name="Classe" id="2"/>
    <tableColumn name="Produto" id="3"/>
    <tableColumn name="Ingrediente Ativo" id="4"/>
    <tableColumn name="Concentração" id="5"/>
    <tableColumn name="Unidade" id="6"/>
    <tableColumn name="Sugestão" id="7"/>
    <tableColumn name="Bula" id="8"/>
    <tableColumn name="Dose" id="9"/>
    <tableColumn name="Total" id="10"/>
    <tableColumn totalsRowFunction="custom" name="CUSTO/HA" id="11"/>
    <tableColumn totalsRowFunction="custom" name="VALOR TOTAL" id="12"/>
  </tableColumns>
  <tableStyleInfo name="TL05-style 2" showColumnStripes="0" showFirstColumn="1" showLastColumn="1" showRowStripes="1"/>
</table>
</file>

<file path=xl/tables/table16.xml><?xml version="1.0" encoding="utf-8"?>
<table xmlns="http://schemas.openxmlformats.org/spreadsheetml/2006/main" totalsRowCount="1" ref="A9:L225" displayName="Table_16" name="Table_16" id="16">
  <tableColumns count="12">
    <tableColumn name="DAP da Operação" id="1"/>
    <tableColumn name="Classe" id="2"/>
    <tableColumn name="Produto" id="3"/>
    <tableColumn name="Ingrediente Ativo" id="4"/>
    <tableColumn name="Concentração" id="5"/>
    <tableColumn name="Unidade" id="6"/>
    <tableColumn name="Bula" id="7"/>
    <tableColumn totalsRowFunction="custom" name="Sugestão" id="8"/>
    <tableColumn name="Dose" id="9"/>
    <tableColumn name="Total" id="10"/>
    <tableColumn totalsRowFunction="custom" name="CUSTO/HA" id="11"/>
    <tableColumn totalsRowFunction="custom" name="VALOR TOTAL" id="12"/>
  </tableColumns>
  <tableStyleInfo name="TL06-style" showColumnStripes="0" showFirstColumn="1" showLastColumn="1" showRowStripes="1"/>
</table>
</file>

<file path=xl/tables/table17.xml><?xml version="1.0" encoding="utf-8"?>
<table xmlns="http://schemas.openxmlformats.org/spreadsheetml/2006/main" totalsRowCount="1" ref="A236:L452" displayName="Table_17" name="Table_17" id="17">
  <tableColumns count="12">
    <tableColumn name="DAP da Operação" id="1"/>
    <tableColumn name="Classe" id="2"/>
    <tableColumn name="Produto" id="3"/>
    <tableColumn name="Ingrediente Ativo" id="4"/>
    <tableColumn name="Concentração" id="5"/>
    <tableColumn name="Unidade" id="6"/>
    <tableColumn name="Sugestão" id="7"/>
    <tableColumn name="Bula" id="8"/>
    <tableColumn name="Dose" id="9"/>
    <tableColumn name="Total" id="10"/>
    <tableColumn totalsRowFunction="custom" name="CUSTO/HA" id="11"/>
    <tableColumn totalsRowFunction="custom" name="VALOR TOTAL" id="12"/>
  </tableColumns>
  <tableStyleInfo name="TL06-style 2" showColumnStripes="0" showFirstColumn="1" showLastColumn="1" showRowStripes="1"/>
</table>
</file>

<file path=xl/tables/table18.xml><?xml version="1.0" encoding="utf-8"?>
<table xmlns="http://schemas.openxmlformats.org/spreadsheetml/2006/main" totalsRowCount="1" ref="A9:L225" displayName="Table_18" name="Table_18" id="18">
  <tableColumns count="12">
    <tableColumn name="DAP da Operação" id="1"/>
    <tableColumn name="CLASSE" id="2"/>
    <tableColumn name="Produto" id="3"/>
    <tableColumn name="Ingrediente Ativo" id="4"/>
    <tableColumn name="Concentração" id="5"/>
    <tableColumn name="Unidade" id="6"/>
    <tableColumn name="Bula" id="7"/>
    <tableColumn totalsRowFunction="custom" name="Sugestão" id="8"/>
    <tableColumn name="Dose" id="9"/>
    <tableColumn name="Total" id="10"/>
    <tableColumn totalsRowFunction="custom" name="CUSTO/HA" id="11"/>
    <tableColumn totalsRowFunction="custom" name="VALOR TOTAL" id="12"/>
  </tableColumns>
  <tableStyleInfo name="TL07-style" showColumnStripes="0" showFirstColumn="1" showLastColumn="1" showRowStripes="1"/>
</table>
</file>

<file path=xl/tables/table19.xml><?xml version="1.0" encoding="utf-8"?>
<table xmlns="http://schemas.openxmlformats.org/spreadsheetml/2006/main" totalsRowCount="1" ref="A236:L452" displayName="Table_19" name="Table_19" id="19">
  <tableColumns count="12">
    <tableColumn name="DAP da Operação" id="1"/>
    <tableColumn name="Classe" id="2"/>
    <tableColumn name="Produto" id="3"/>
    <tableColumn name="Ingrediente Ativo" id="4"/>
    <tableColumn name="Concentração" id="5"/>
    <tableColumn name="Unidade" id="6"/>
    <tableColumn name="Sugestão" id="7"/>
    <tableColumn name="Bula" id="8"/>
    <tableColumn name="Dose" id="9"/>
    <tableColumn name="Total" id="10"/>
    <tableColumn totalsRowFunction="custom" name="CUSTO/HA" id="11"/>
    <tableColumn totalsRowFunction="custom" name="VALOR TOTAL" id="12"/>
  </tableColumns>
  <tableStyleInfo name="TL07-style 2" showColumnStripes="0" showFirstColumn="1" showLastColumn="1" showRowStripes="1"/>
</table>
</file>

<file path=xl/tables/table20.xml><?xml version="1.0" encoding="utf-8"?>
<table xmlns="http://schemas.openxmlformats.org/spreadsheetml/2006/main" totalsRowCount="1" ref="A9:L225" displayName="Table_20" name="Table_20" id="20">
  <tableColumns count="12">
    <tableColumn name="DAP da Operação" id="1"/>
    <tableColumn name="Classe" id="2"/>
    <tableColumn name="Produto" id="3"/>
    <tableColumn name="Ingrediente Ativo" id="4"/>
    <tableColumn name="Concentração" id="5"/>
    <tableColumn name="Unidade" id="6"/>
    <tableColumn name="Bula" id="7"/>
    <tableColumn totalsRowFunction="custom" name="Sugestão" id="8"/>
    <tableColumn name="Dose" id="9"/>
    <tableColumn name="Total" id="10"/>
    <tableColumn totalsRowFunction="custom" name="CUSTO/HA" id="11"/>
    <tableColumn totalsRowFunction="custom" name="VALOR TOTAL" id="12"/>
  </tableColumns>
  <tableStyleInfo name="TL08-style" showColumnStripes="0" showFirstColumn="1" showLastColumn="1" showRowStripes="1"/>
</table>
</file>

<file path=xl/tables/table21.xml><?xml version="1.0" encoding="utf-8"?>
<table xmlns="http://schemas.openxmlformats.org/spreadsheetml/2006/main" totalsRowCount="1" ref="A236:L452" displayName="Table_21" name="Table_21" id="21">
  <tableColumns count="12">
    <tableColumn name="DAP da Operação" id="1"/>
    <tableColumn name="Classe" id="2"/>
    <tableColumn name="Produto" id="3"/>
    <tableColumn name="Ingrediente Ativo" id="4"/>
    <tableColumn name="Concentração" id="5"/>
    <tableColumn name="Unidade" id="6"/>
    <tableColumn name="Sugestão" id="7"/>
    <tableColumn name="Bula" id="8"/>
    <tableColumn name="Dose" id="9"/>
    <tableColumn name="Total" id="10"/>
    <tableColumn totalsRowFunction="custom" name="CUSTO/HA" id="11"/>
    <tableColumn totalsRowFunction="custom" name="VALOR TOTAL" id="12"/>
  </tableColumns>
  <tableStyleInfo name="TL08-style 2" showColumnStripes="0" showFirstColumn="1" showLastColumn="1" showRowStripes="1"/>
</table>
</file>

<file path=xl/tables/table22.xml><?xml version="1.0" encoding="utf-8"?>
<table xmlns="http://schemas.openxmlformats.org/spreadsheetml/2006/main" totalsRowCount="1" ref="A9:L225" displayName="Table_22" name="Table_22" id="22">
  <tableColumns count="12">
    <tableColumn name="DAP da Operação" id="1"/>
    <tableColumn name="Classe" id="2"/>
    <tableColumn name="Produto" id="3"/>
    <tableColumn name="Ingrediente Ativo" id="4"/>
    <tableColumn name="Concentração" id="5"/>
    <tableColumn name="Unidade" id="6"/>
    <tableColumn name="Bula" id="7"/>
    <tableColumn totalsRowFunction="custom" name="Sugestão" id="8"/>
    <tableColumn name="Dose" id="9"/>
    <tableColumn name="Total" id="10"/>
    <tableColumn totalsRowFunction="custom" name="CUSTO/HA" id="11"/>
    <tableColumn totalsRowFunction="custom" name="VALOR TOTAL" id="12"/>
  </tableColumns>
  <tableStyleInfo name="TL09-style" showColumnStripes="0" showFirstColumn="1" showLastColumn="1" showRowStripes="1"/>
</table>
</file>

<file path=xl/tables/table23.xml><?xml version="1.0" encoding="utf-8"?>
<table xmlns="http://schemas.openxmlformats.org/spreadsheetml/2006/main" totalsRowCount="1" ref="A236:L452" displayName="Table_23" name="Table_23" id="23">
  <tableColumns count="12">
    <tableColumn name="DAP da Operação" id="1"/>
    <tableColumn name="Classe" id="2"/>
    <tableColumn name="Produto" id="3"/>
    <tableColumn name="Ingrediente Ativo" id="4"/>
    <tableColumn name="Concentração" id="5"/>
    <tableColumn name="Unidade" id="6"/>
    <tableColumn name="Sugestão" id="7"/>
    <tableColumn name="Bula" id="8"/>
    <tableColumn name="Dose" id="9"/>
    <tableColumn name="Total" id="10"/>
    <tableColumn totalsRowFunction="custom" name="CUSTO/HA" id="11"/>
    <tableColumn totalsRowFunction="custom" name="VALOR TOTAL" id="12"/>
  </tableColumns>
  <tableStyleInfo name="TL09-style 2" showColumnStripes="0" showFirstColumn="1" showLastColumn="1" showRowStripes="1"/>
</table>
</file>

<file path=xl/tables/table24.xml><?xml version="1.0" encoding="utf-8"?>
<table xmlns="http://schemas.openxmlformats.org/spreadsheetml/2006/main" totalsRowCount="1" ref="A9:L225" displayName="Table_24" name="Table_24" id="24">
  <tableColumns count="12">
    <tableColumn name="DAP da Operação" id="1"/>
    <tableColumn name="Classe" id="2"/>
    <tableColumn name="Produto" id="3"/>
    <tableColumn name="Ingrediente Ativo" id="4"/>
    <tableColumn name="Concentração" id="5"/>
    <tableColumn name="Unidade" id="6"/>
    <tableColumn name="Bula" id="7"/>
    <tableColumn totalsRowFunction="custom" name="Sugestão" id="8"/>
    <tableColumn name="Dose" id="9"/>
    <tableColumn name="Total" id="10"/>
    <tableColumn totalsRowFunction="custom" name="CUSTO/HA" id="11"/>
    <tableColumn totalsRowFunction="custom" name="VALOR TOTAL" id="12"/>
  </tableColumns>
  <tableStyleInfo name="TL10-style" showColumnStripes="0" showFirstColumn="1" showLastColumn="1" showRowStripes="1"/>
</table>
</file>

<file path=xl/tables/table25.xml><?xml version="1.0" encoding="utf-8"?>
<table xmlns="http://schemas.openxmlformats.org/spreadsheetml/2006/main" totalsRowCount="1" ref="A236:L452" displayName="Table_25" name="Table_25" id="25">
  <tableColumns count="12">
    <tableColumn name="DAP da Operação" id="1"/>
    <tableColumn name="Classe" id="2"/>
    <tableColumn name="Produto" id="3"/>
    <tableColumn name="Ingrediente Ativo" id="4"/>
    <tableColumn name="Concentração" id="5"/>
    <tableColumn name="Unidade" id="6"/>
    <tableColumn name="Sugestão" id="7"/>
    <tableColumn name="Bula" id="8"/>
    <tableColumn name="Dose" id="9"/>
    <tableColumn name="Total" id="10"/>
    <tableColumn totalsRowFunction="custom" name="CUSTO/HA" id="11"/>
    <tableColumn totalsRowFunction="custom" name="VALOR TOTAL" id="12"/>
  </tableColumns>
  <tableStyleInfo name="TL10-style 2" showColumnStripes="0" showFirstColumn="1" showLastColumn="1" showRowStripes="1"/>
</table>
</file>

<file path=xl/tables/table26.xml><?xml version="1.0" encoding="utf-8"?>
<table xmlns="http://schemas.openxmlformats.org/spreadsheetml/2006/main" totalsRowCount="1" ref="A9:L225" displayName="Table_26" name="Table_26" id="26">
  <tableColumns count="12">
    <tableColumn name="DAP da Operação" id="1"/>
    <tableColumn name="Classe" id="2"/>
    <tableColumn name="Produto" id="3"/>
    <tableColumn name="Ingrediente Ativo" id="4"/>
    <tableColumn name="Concentração" id="5"/>
    <tableColumn name="Unidade" id="6"/>
    <tableColumn name="Bula" id="7"/>
    <tableColumn totalsRowFunction="custom" name="Sugestão" id="8"/>
    <tableColumn name="Dose" id="9"/>
    <tableColumn name="Total" id="10"/>
    <tableColumn totalsRowFunction="custom" name="CUSTO/HA" id="11"/>
    <tableColumn totalsRowFunction="custom" name="VALOR TOTAL" id="12"/>
  </tableColumns>
  <tableStyleInfo name="TL11-style" showColumnStripes="0" showFirstColumn="1" showLastColumn="1" showRowStripes="1"/>
</table>
</file>

<file path=xl/tables/table27.xml><?xml version="1.0" encoding="utf-8"?>
<table xmlns="http://schemas.openxmlformats.org/spreadsheetml/2006/main" totalsRowCount="1" ref="A236:L452" displayName="Table_27" name="Table_27" id="27">
  <tableColumns count="12">
    <tableColumn name="DAP da Operação" id="1"/>
    <tableColumn name="Classe" id="2"/>
    <tableColumn name="Produto" id="3"/>
    <tableColumn name="Ingrediente Ativo" id="4"/>
    <tableColumn name="Concentração" id="5"/>
    <tableColumn name="Unidade" id="6"/>
    <tableColumn name="Sugestão" id="7"/>
    <tableColumn name="Bula" id="8"/>
    <tableColumn name="Dose" id="9"/>
    <tableColumn name="Total" id="10"/>
    <tableColumn totalsRowFunction="custom" name="CUSTO/HA" id="11"/>
    <tableColumn totalsRowFunction="custom" name="VALOR TOTAL" id="12"/>
  </tableColumns>
  <tableStyleInfo name="TL11-style 2" showColumnStripes="0" showFirstColumn="1" showLastColumn="1" showRowStripes="1"/>
</table>
</file>

<file path=xl/tables/table28.xml><?xml version="1.0" encoding="utf-8"?>
<table xmlns="http://schemas.openxmlformats.org/spreadsheetml/2006/main" totalsRowCount="1" ref="A9:L225" displayName="Table_28" name="Table_28" id="28">
  <tableColumns count="12">
    <tableColumn name="DAP da Operação" id="1"/>
    <tableColumn name="Classe" id="2"/>
    <tableColumn name="Produto" id="3"/>
    <tableColumn name="Ingrediente Ativo" id="4"/>
    <tableColumn name="Concentração" id="5"/>
    <tableColumn name="Unidade" id="6"/>
    <tableColumn name="Bula" id="7"/>
    <tableColumn totalsRowFunction="custom" name="Sugestão" id="8"/>
    <tableColumn name="Dose" id="9"/>
    <tableColumn name="Total" id="10"/>
    <tableColumn totalsRowFunction="custom" name="CUSTO/HA" id="11"/>
    <tableColumn totalsRowFunction="custom" name="VALOR TOTAL" id="12"/>
  </tableColumns>
  <tableStyleInfo name="TL12-style" showColumnStripes="0" showFirstColumn="1" showLastColumn="1" showRowStripes="1"/>
</table>
</file>

<file path=xl/tables/table29.xml><?xml version="1.0" encoding="utf-8"?>
<table xmlns="http://schemas.openxmlformats.org/spreadsheetml/2006/main" totalsRowCount="1" ref="A236:L452" displayName="Table_29" name="Table_29" id="29">
  <tableColumns count="12">
    <tableColumn name="DAP da Operação" id="1"/>
    <tableColumn name="Classe" id="2"/>
    <tableColumn name="Produto" id="3"/>
    <tableColumn name="Ingrediente Ativo" id="4"/>
    <tableColumn name="Concentração" id="5"/>
    <tableColumn name="Unidade" id="6"/>
    <tableColumn name="Sugestão" id="7"/>
    <tableColumn name="Bula" id="8"/>
    <tableColumn name="Dose" id="9"/>
    <tableColumn name="Total" id="10"/>
    <tableColumn totalsRowFunction="custom" name="CUSTO/HA" id="11"/>
    <tableColumn totalsRowFunction="custom" name="VALOR TOTAL" id="12"/>
  </tableColumns>
  <tableStyleInfo name="TL12-style 2" showColumnStripes="0" showFirstColumn="1" showLastColumn="1" showRowStripes="1"/>
</table>
</file>

<file path=xl/tables/table30.xml><?xml version="1.0" encoding="utf-8"?>
<table xmlns="http://schemas.openxmlformats.org/spreadsheetml/2006/main" totalsRowCount="1" ref="A9:L225" displayName="Table_30" name="Table_30" id="30">
  <tableColumns count="12">
    <tableColumn name="DAP da Operação" id="1"/>
    <tableColumn name="Classe" id="2"/>
    <tableColumn name="Produto" id="3"/>
    <tableColumn name="Ingrediente Ativo" id="4"/>
    <tableColumn name="Concentração" id="5"/>
    <tableColumn name="Unidade" id="6"/>
    <tableColumn name="Bula" id="7"/>
    <tableColumn totalsRowFunction="custom" name="Sugestão" id="8"/>
    <tableColumn name="Dose" id="9"/>
    <tableColumn name="Total" id="10"/>
    <tableColumn totalsRowFunction="custom" name="CUSTO/HA" id="11"/>
    <tableColumn totalsRowFunction="custom" name="VALOR TOTAL" id="12"/>
  </tableColumns>
  <tableStyleInfo name="TL13-style" showColumnStripes="0" showFirstColumn="1" showLastColumn="1" showRowStripes="1"/>
</table>
</file>

<file path=xl/tables/table31.xml><?xml version="1.0" encoding="utf-8"?>
<table xmlns="http://schemas.openxmlformats.org/spreadsheetml/2006/main" totalsRowCount="1" ref="A236:L452" displayName="Table_31" name="Table_31" id="31">
  <tableColumns count="12">
    <tableColumn name="DAP da Operação" id="1"/>
    <tableColumn name="Classe" id="2"/>
    <tableColumn name="Produto" id="3"/>
    <tableColumn name="Ingrediente Ativo" id="4"/>
    <tableColumn name="Concentração" id="5"/>
    <tableColumn name="Unidade" id="6"/>
    <tableColumn name="Sugestão" id="7"/>
    <tableColumn name="Bula" id="8"/>
    <tableColumn name="Dose" id="9"/>
    <tableColumn name="Total" id="10"/>
    <tableColumn totalsRowFunction="custom" name="CUSTO/HA" id="11"/>
    <tableColumn totalsRowFunction="custom" name="VALOR TOTAL" id="12"/>
  </tableColumns>
  <tableStyleInfo name="TL13-style 2" showColumnStripes="0" showFirstColumn="1" showLastColumn="1" showRowStripes="1"/>
</table>
</file>

<file path=xl/tables/table32.xml><?xml version="1.0" encoding="utf-8"?>
<table xmlns="http://schemas.openxmlformats.org/spreadsheetml/2006/main" totalsRowCount="1" ref="A9:L225" displayName="Table_32" name="Table_32" id="32">
  <tableColumns count="12">
    <tableColumn name="DAP da Operação" id="1"/>
    <tableColumn name="Classe" id="2"/>
    <tableColumn name="Produto" id="3"/>
    <tableColumn name="Ingrediente Ativo" id="4"/>
    <tableColumn name="Concentração" id="5"/>
    <tableColumn name="Unidade" id="6"/>
    <tableColumn name="Bula" id="7"/>
    <tableColumn totalsRowFunction="custom" name="Sugestão" id="8"/>
    <tableColumn name="Dose" id="9"/>
    <tableColumn name="Total" id="10"/>
    <tableColumn totalsRowFunction="custom" name="CUSTO/HA" id="11"/>
    <tableColumn totalsRowFunction="custom" name="VALOR TOTAL" id="12"/>
  </tableColumns>
  <tableStyleInfo name="TL14-style" showColumnStripes="0" showFirstColumn="1" showLastColumn="1" showRowStripes="1"/>
</table>
</file>

<file path=xl/tables/table33.xml><?xml version="1.0" encoding="utf-8"?>
<table xmlns="http://schemas.openxmlformats.org/spreadsheetml/2006/main" totalsRowCount="1" ref="A236:L452" displayName="Table_33" name="Table_33" id="33">
  <tableColumns count="12">
    <tableColumn name="DAP da Operação" id="1"/>
    <tableColumn name="Classe" id="2"/>
    <tableColumn name="Produto" id="3"/>
    <tableColumn name="Ingrediente Ativo" id="4"/>
    <tableColumn name="Concentração" id="5"/>
    <tableColumn name="Unidade" id="6"/>
    <tableColumn name="Sugestão" id="7"/>
    <tableColumn name="Bula" id="8"/>
    <tableColumn name="Dose" id="9"/>
    <tableColumn name="Total" id="10"/>
    <tableColumn totalsRowFunction="custom" name="CUSTO/HA" id="11"/>
    <tableColumn totalsRowFunction="custom" name="VALOR TOTAL" id="12"/>
  </tableColumns>
  <tableStyleInfo name="TL14-style 2" showColumnStripes="0" showFirstColumn="1" showLastColumn="1" showRowStripes="1"/>
</table>
</file>

<file path=xl/tables/table34.xml><?xml version="1.0" encoding="utf-8"?>
<table xmlns="http://schemas.openxmlformats.org/spreadsheetml/2006/main" totalsRowCount="1" ref="A9:L225" displayName="Table_34" name="Table_34" id="34">
  <tableColumns count="12">
    <tableColumn name="DAP da Operação" id="1"/>
    <tableColumn name="Classe" id="2"/>
    <tableColumn name="Produto" id="3"/>
    <tableColumn name="Ingrediente Ativo" id="4"/>
    <tableColumn name="Concentração" id="5"/>
    <tableColumn name="Unidade" id="6"/>
    <tableColumn name="Bula" id="7"/>
    <tableColumn totalsRowFunction="custom" name="Sugestão" id="8"/>
    <tableColumn name="Dose" id="9"/>
    <tableColumn name="Total" id="10"/>
    <tableColumn totalsRowFunction="custom" name="CUSTO/HA" id="11"/>
    <tableColumn totalsRowFunction="custom" name="VALOR TOTAL" id="12"/>
  </tableColumns>
  <tableStyleInfo name="TL16-style" showColumnStripes="0" showFirstColumn="1" showLastColumn="1" showRowStripes="1"/>
</table>
</file>

<file path=xl/tables/table35.xml><?xml version="1.0" encoding="utf-8"?>
<table xmlns="http://schemas.openxmlformats.org/spreadsheetml/2006/main" totalsRowCount="1" ref="A236:L452" displayName="Table_35" name="Table_35" id="35">
  <tableColumns count="12">
    <tableColumn name="DAP da Operação" id="1"/>
    <tableColumn name="Coluna 1" id="2"/>
    <tableColumn name="Coluna 2" id="3"/>
    <tableColumn name="Ingrediente Ativo" id="4"/>
    <tableColumn name="Concentração" id="5"/>
    <tableColumn name="Unidade" id="6"/>
    <tableColumn name="Sugestão" id="7"/>
    <tableColumn name="Bula" id="8"/>
    <tableColumn name="Dose" id="9"/>
    <tableColumn name="Total" id="10"/>
    <tableColumn totalsRowFunction="custom" name="CUSTO/HA" id="11"/>
    <tableColumn totalsRowFunction="custom" name="VALOR TOTAL" id="12"/>
  </tableColumns>
  <tableStyleInfo name="TL16-style 2" showColumnStripes="0" showFirstColumn="1" showLastColumn="1" showRowStripes="1"/>
</table>
</file>

<file path=xl/tables/table36.xml><?xml version="1.0" encoding="utf-8"?>
<table xmlns="http://schemas.openxmlformats.org/spreadsheetml/2006/main" totalsRowCount="1" ref="A9:L225" displayName="Table_36" name="Table_36" id="36">
  <tableColumns count="12">
    <tableColumn name="DAP da Operação" id="1"/>
    <tableColumn name="Classe" id="2"/>
    <tableColumn name="Produto" id="3"/>
    <tableColumn name="Ingrediente Ativo" id="4"/>
    <tableColumn name="Concentração" id="5"/>
    <tableColumn name="Unidade" id="6"/>
    <tableColumn name="Bula" id="7"/>
    <tableColumn totalsRowFunction="custom" name="Sugestão" id="8"/>
    <tableColumn name="Dose" id="9"/>
    <tableColumn name="Total" id="10"/>
    <tableColumn totalsRowFunction="custom" name="CUSTO/HA" id="11"/>
    <tableColumn totalsRowFunction="custom" name="VALOR TOTAL" id="12"/>
  </tableColumns>
  <tableStyleInfo name="TL15-style" showColumnStripes="0" showFirstColumn="1" showLastColumn="1" showRowStripes="1"/>
</table>
</file>

<file path=xl/tables/table37.xml><?xml version="1.0" encoding="utf-8"?>
<table xmlns="http://schemas.openxmlformats.org/spreadsheetml/2006/main" totalsRowCount="1" ref="A236:L452" displayName="Table_37" name="Table_37" id="37">
  <tableColumns count="12">
    <tableColumn name="DAP da Operação" id="1"/>
    <tableColumn name="Classe" id="2"/>
    <tableColumn name="Produto" id="3"/>
    <tableColumn name="Ingrediente Ativo" id="4"/>
    <tableColumn name="Concentração" id="5"/>
    <tableColumn name="Unidade" id="6"/>
    <tableColumn name="Sugestão" id="7"/>
    <tableColumn name="Bula" id="8"/>
    <tableColumn name="Dose" id="9"/>
    <tableColumn name="Total" id="10"/>
    <tableColumn totalsRowFunction="custom" name="CUSTO/HA" id="11"/>
    <tableColumn totalsRowFunction="custom" name="VALOR TOTAL" id="12"/>
  </tableColumns>
  <tableStyleInfo name="TL15-style 2" showColumnStripes="0" showFirstColumn="1" showLastColumn="1" showRowStripes="1"/>
</table>
</file>

<file path=xl/tables/table38.xml><?xml version="1.0" encoding="utf-8"?>
<table xmlns="http://schemas.openxmlformats.org/spreadsheetml/2006/main" totalsRowCount="1" ref="A9:L225" displayName="Table_38" name="Table_38" id="38">
  <tableColumns count="12">
    <tableColumn name="DAP da Operação" id="1"/>
    <tableColumn name="Classe" id="2"/>
    <tableColumn name="Produto" id="3"/>
    <tableColumn name="Ingrediente Ativo" id="4"/>
    <tableColumn name="Concentração" id="5"/>
    <tableColumn name="Unidade" id="6"/>
    <tableColumn name="Bula" id="7"/>
    <tableColumn totalsRowFunction="custom" name="Sugestão" id="8"/>
    <tableColumn name="Dose" id="9"/>
    <tableColumn name="Total" id="10"/>
    <tableColumn totalsRowFunction="custom" name="CUSTO/HA" id="11"/>
    <tableColumn totalsRowFunction="custom" name="VALOR TOTAL" id="12"/>
  </tableColumns>
  <tableStyleInfo name="TL17-style" showColumnStripes="0" showFirstColumn="1" showLastColumn="1" showRowStripes="1"/>
</table>
</file>

<file path=xl/tables/table39.xml><?xml version="1.0" encoding="utf-8"?>
<table xmlns="http://schemas.openxmlformats.org/spreadsheetml/2006/main" totalsRowCount="1" ref="A236:L452" displayName="Table_39" name="Table_39" id="39">
  <tableColumns count="12">
    <tableColumn name="DAP da Operação" id="1"/>
    <tableColumn name="Classe" id="2"/>
    <tableColumn name="Produto" id="3"/>
    <tableColumn name="Ingrediente Ativo" id="4"/>
    <tableColumn name="Concentração" id="5"/>
    <tableColumn name="Unidade" id="6"/>
    <tableColumn name="Sugestão" id="7"/>
    <tableColumn name="Bula" id="8"/>
    <tableColumn name="Dose" id="9"/>
    <tableColumn name="Total" id="10"/>
    <tableColumn totalsRowFunction="custom" name="CUSTO/HA" id="11"/>
    <tableColumn totalsRowFunction="custom" name="VALOR TOTAL" id="12"/>
  </tableColumns>
  <tableStyleInfo name="TL17-style 2" showColumnStripes="0" showFirstColumn="1" showLastColumn="1" showRowStripes="1"/>
</table>
</file>

<file path=xl/tables/table40.xml><?xml version="1.0" encoding="utf-8"?>
<table xmlns="http://schemas.openxmlformats.org/spreadsheetml/2006/main" totalsRowCount="1" ref="A9:L225" displayName="Table_40" name="Table_40" id="40">
  <tableColumns count="12">
    <tableColumn name="DAP da Operação" id="1"/>
    <tableColumn name="Coluna 1" id="2"/>
    <tableColumn name="Coluna 2" id="3"/>
    <tableColumn name="Ingrediente Ativo" id="4"/>
    <tableColumn name="Concentração" id="5"/>
    <tableColumn name="Unidade" id="6"/>
    <tableColumn name="Bula" id="7"/>
    <tableColumn totalsRowFunction="custom" name="Sugestão" id="8"/>
    <tableColumn name="Dose" id="9"/>
    <tableColumn name="Total" id="10"/>
    <tableColumn totalsRowFunction="custom" name="CUSTO/HA" id="11"/>
    <tableColumn totalsRowFunction="custom" name="VALOR TOTAL" id="12"/>
  </tableColumns>
  <tableStyleInfo name="TL18-style" showColumnStripes="0" showFirstColumn="1" showLastColumn="1" showRowStripes="1"/>
</table>
</file>

<file path=xl/tables/table41.xml><?xml version="1.0" encoding="utf-8"?>
<table xmlns="http://schemas.openxmlformats.org/spreadsheetml/2006/main" totalsRowCount="1" ref="A236:L452" displayName="Table_41" name="Table_41" id="41">
  <tableColumns count="12">
    <tableColumn name="DAP da Operação" id="1"/>
    <tableColumn name="Classe" id="2"/>
    <tableColumn name="Produto" id="3"/>
    <tableColumn name="Ingrediente Ativo" id="4"/>
    <tableColumn name="Concentração" id="5"/>
    <tableColumn name="Unidade" id="6"/>
    <tableColumn name="Sugestão" id="7"/>
    <tableColumn name="Bula" id="8"/>
    <tableColumn name="Dose" id="9"/>
    <tableColumn name="Total" id="10"/>
    <tableColumn totalsRowFunction="custom" name="CUSTO/HA" id="11"/>
    <tableColumn totalsRowFunction="custom" name="VALOR TOTAL" id="12"/>
  </tableColumns>
  <tableStyleInfo name="TL18-style 2" showColumnStripes="0" showFirstColumn="1" showLastColumn="1" showRowStripes="1"/>
</table>
</file>

<file path=xl/tables/table42.xml><?xml version="1.0" encoding="utf-8"?>
<table xmlns="http://schemas.openxmlformats.org/spreadsheetml/2006/main" totalsRowCount="1" ref="A9:L225" displayName="Table_42" name="Table_42" id="42">
  <tableColumns count="12">
    <tableColumn name="DAP da Operação" id="1"/>
    <tableColumn name="Classe" id="2"/>
    <tableColumn name="Produto" id="3"/>
    <tableColumn name="Ingrediente Ativo" id="4"/>
    <tableColumn name="Concentração" id="5"/>
    <tableColumn name="Unidade" id="6"/>
    <tableColumn name="Bula" id="7"/>
    <tableColumn totalsRowFunction="custom" name="Sugestão" id="8"/>
    <tableColumn name="Dose" id="9"/>
    <tableColumn name="Total" id="10"/>
    <tableColumn totalsRowFunction="custom" name="CUSTO/HA" id="11"/>
    <tableColumn totalsRowFunction="custom" name="VALOR TOTAL" id="12"/>
  </tableColumns>
  <tableStyleInfo name="TL19-style" showColumnStripes="0" showFirstColumn="1" showLastColumn="1" showRowStripes="1"/>
</table>
</file>

<file path=xl/tables/table43.xml><?xml version="1.0" encoding="utf-8"?>
<table xmlns="http://schemas.openxmlformats.org/spreadsheetml/2006/main" totalsRowCount="1" ref="A236:L452" displayName="Table_43" name="Table_43" id="43">
  <tableColumns count="12">
    <tableColumn name="DAP da Operação" id="1"/>
    <tableColumn name="Classe" id="2"/>
    <tableColumn name="Produto" id="3"/>
    <tableColumn name="Ingrediente Ativo" id="4"/>
    <tableColumn name="Concentração" id="5"/>
    <tableColumn name="Unidade" id="6"/>
    <tableColumn name="Sugestão" id="7"/>
    <tableColumn name="Bula" id="8"/>
    <tableColumn name="Dose" id="9"/>
    <tableColumn name="Total" id="10"/>
    <tableColumn totalsRowFunction="custom" name="CUSTO/HA" id="11"/>
    <tableColumn totalsRowFunction="custom" name="VALOR TOTAL" id="12"/>
  </tableColumns>
  <tableStyleInfo name="TL19-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2.xml"/><Relationship Id="rId5"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wULbzX32WdYsx-lj2U3uUNBBe2INVIRDtcK0d-Dvl90/edit?gid=942186745" TargetMode="External"/><Relationship Id="rId2" Type="http://schemas.openxmlformats.org/officeDocument/2006/relationships/drawing" Target="../drawings/drawing4.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6.xml"/><Relationship Id="rId5"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8.xml"/><Relationship Id="rId5" Type="http://schemas.openxmlformats.org/officeDocument/2006/relationships/table" Target="../tables/table9.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10.xml"/><Relationship Id="rId5" Type="http://schemas.openxmlformats.org/officeDocument/2006/relationships/table" Target="../tables/table1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12.xml"/><Relationship Id="rId5" Type="http://schemas.openxmlformats.org/officeDocument/2006/relationships/table" Target="../tables/table1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4" Type="http://schemas.openxmlformats.org/officeDocument/2006/relationships/table" Target="../tables/table14.xml"/><Relationship Id="rId5" Type="http://schemas.openxmlformats.org/officeDocument/2006/relationships/table" Target="../tables/table1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4" Type="http://schemas.openxmlformats.org/officeDocument/2006/relationships/table" Target="../tables/table16.xml"/><Relationship Id="rId5" Type="http://schemas.openxmlformats.org/officeDocument/2006/relationships/table" Target="../tables/table1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4" Type="http://schemas.openxmlformats.org/officeDocument/2006/relationships/table" Target="../tables/table18.xml"/><Relationship Id="rId5" Type="http://schemas.openxmlformats.org/officeDocument/2006/relationships/table" Target="../tables/table1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4" Type="http://schemas.openxmlformats.org/officeDocument/2006/relationships/table" Target="../tables/table20.xml"/><Relationship Id="rId5" Type="http://schemas.openxmlformats.org/officeDocument/2006/relationships/table" Target="../tables/table2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4" Type="http://schemas.openxmlformats.org/officeDocument/2006/relationships/table" Target="../tables/table22.xml"/><Relationship Id="rId5" Type="http://schemas.openxmlformats.org/officeDocument/2006/relationships/table" Target="../tables/table2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4" Type="http://schemas.openxmlformats.org/officeDocument/2006/relationships/table" Target="../tables/table24.xml"/><Relationship Id="rId5" Type="http://schemas.openxmlformats.org/officeDocument/2006/relationships/table" Target="../tables/table2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4" Type="http://schemas.openxmlformats.org/officeDocument/2006/relationships/table" Target="../tables/table26.xml"/><Relationship Id="rId5" Type="http://schemas.openxmlformats.org/officeDocument/2006/relationships/table" Target="../tables/table2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4" Type="http://schemas.openxmlformats.org/officeDocument/2006/relationships/table" Target="../tables/table28.xml"/><Relationship Id="rId5" Type="http://schemas.openxmlformats.org/officeDocument/2006/relationships/table" Target="../tables/table2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4" Type="http://schemas.openxmlformats.org/officeDocument/2006/relationships/table" Target="../tables/table30.xml"/><Relationship Id="rId5" Type="http://schemas.openxmlformats.org/officeDocument/2006/relationships/table" Target="../tables/table3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4" Type="http://schemas.openxmlformats.org/officeDocument/2006/relationships/table" Target="../tables/table32.xml"/><Relationship Id="rId5" Type="http://schemas.openxmlformats.org/officeDocument/2006/relationships/table" Target="../tables/table33.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4" Type="http://schemas.openxmlformats.org/officeDocument/2006/relationships/table" Target="../tables/table34.xml"/><Relationship Id="rId5" Type="http://schemas.openxmlformats.org/officeDocument/2006/relationships/table" Target="../tables/table3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4" Type="http://schemas.openxmlformats.org/officeDocument/2006/relationships/table" Target="../tables/table36.xml"/><Relationship Id="rId5" Type="http://schemas.openxmlformats.org/officeDocument/2006/relationships/table" Target="../tables/table3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4" Type="http://schemas.openxmlformats.org/officeDocument/2006/relationships/table" Target="../tables/table38.xml"/><Relationship Id="rId5" Type="http://schemas.openxmlformats.org/officeDocument/2006/relationships/table" Target="../tables/table3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4" Type="http://schemas.openxmlformats.org/officeDocument/2006/relationships/table" Target="../tables/table40.xml"/><Relationship Id="rId5" Type="http://schemas.openxmlformats.org/officeDocument/2006/relationships/table" Target="../tables/table4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4" Type="http://schemas.openxmlformats.org/officeDocument/2006/relationships/table" Target="../tables/table42.xml"/><Relationship Id="rId5" Type="http://schemas.openxmlformats.org/officeDocument/2006/relationships/table" Target="../tables/table4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5.13"/>
    <col customWidth="1" min="2" max="2" width="23.88"/>
    <col customWidth="1" min="3" max="3" width="23.13"/>
    <col customWidth="1" min="4" max="4" width="23.0"/>
    <col customWidth="1" min="5" max="7" width="22.63"/>
    <col customWidth="1" min="8" max="8" width="21.88"/>
    <col customWidth="1" min="9" max="9" width="22.5"/>
    <col customWidth="1" min="10" max="10" width="25.75"/>
    <col customWidth="1" min="11" max="11" width="37.38"/>
    <col customWidth="1" min="12" max="12" width="25.75"/>
    <col customWidth="1" min="13" max="14" width="15.75"/>
  </cols>
  <sheetData>
    <row r="1" ht="22.5" customHeight="1">
      <c r="A1" s="1" t="s">
        <v>0</v>
      </c>
      <c r="B1" s="1" t="s">
        <v>1</v>
      </c>
      <c r="C1" s="1" t="s">
        <v>2</v>
      </c>
      <c r="D1" s="1" t="s">
        <v>3</v>
      </c>
      <c r="E1" s="1" t="s">
        <v>4</v>
      </c>
      <c r="F1" s="1" t="s">
        <v>5</v>
      </c>
      <c r="G1" s="1" t="s">
        <v>6</v>
      </c>
      <c r="H1" s="1" t="s">
        <v>7</v>
      </c>
      <c r="I1" s="1" t="s">
        <v>8</v>
      </c>
      <c r="J1" s="2" t="s">
        <v>9</v>
      </c>
      <c r="K1" s="2" t="s">
        <v>10</v>
      </c>
      <c r="L1" s="3" t="s">
        <v>11</v>
      </c>
      <c r="M1" s="1" t="s">
        <v>12</v>
      </c>
      <c r="N1" s="3" t="s">
        <v>13</v>
      </c>
    </row>
    <row r="2" ht="22.5" customHeight="1">
      <c r="A2" s="4" t="str">
        <f>IFERROR(__xludf.DUMMYFUNCTION("UNIQUE(FILTER('PORTIFÓLIO'!C:C, 'PORTIFÓLIO'!B:B=""FUNGICIDA""))"),"ACROSS")</f>
        <v>ACROSS</v>
      </c>
      <c r="B2" s="4" t="str">
        <f>IFERROR(__xludf.DUMMYFUNCTION("UNIQUE(FILTER('PORTIFÓLIO'!C:C, 'PORTIFÓLIO'!B:B=""HERBICIDA""))"),"AMINOL 806")</f>
        <v>AMINOL 806</v>
      </c>
      <c r="C2" s="4" t="str">
        <f>IFERROR(__xludf.DUMMYFUNCTION("UNIQUE(FILTER('PORTIFÓLIO'!C:C, 'PORTIFÓLIO'!B:B=""INSETICIDA""))"),"GALIL SC")</f>
        <v>GALIL SC</v>
      </c>
      <c r="D2" s="4" t="str">
        <f>IFERROR(__xludf.DUMMYFUNCTION("UNIQUE(FILTER('PORTIFÓLIO'!C:C, 'PORTIFÓLIO'!B:B=""TS""))"),"ENDOFUSE")</f>
        <v>ENDOFUSE</v>
      </c>
      <c r="E2" s="4" t="str">
        <f>IFERROR(__xludf.DUMMYFUNCTION("UNIQUE(FILTER('PORTIFÓLIO'!C:C, 'PORTIFÓLIO'!B:B=""biológicos""))"),"UTRISHA N")</f>
        <v>UTRISHA N</v>
      </c>
      <c r="F2" s="4" t="str">
        <f>IFERROR(__xludf.DUMMYFUNCTION("UNIQUE(FILTER('PORTIFÓLIO'!C:C, 'PORTIFÓLIO'!B:B=""SEMENTE""))"),"FEIJÃO")</f>
        <v>FEIJÃO</v>
      </c>
      <c r="G2" s="4" t="str">
        <f>IFERROR(__xludf.DUMMYFUNCTION("UNIQUE(FILTER('PORTIFÓLIO'!C:C, 'PORTIFÓLIO'!B:B=""ADJUVANTE""))"),"RUMBA")</f>
        <v>RUMBA</v>
      </c>
      <c r="H2" s="4" t="str">
        <f>IFERROR(__xludf.DUMMYFUNCTION("UNIQUE(FILTER('PORTIFÓLIO'!C:C, 'PORTIFÓLIO'!B:B=""fertilizantes""))"),"I-ACTIVE")</f>
        <v>I-ACTIVE</v>
      </c>
      <c r="I2" s="4" t="str">
        <f>IFERROR(__xludf.DUMMYFUNCTION("UNIQUE(FILTER('PORTIFÓLIO'!C:C, 'PORTIFÓLIO'!B:B=""corretivos""))"),"CALCÁRIO DOLOMITICO")</f>
        <v>CALCÁRIO DOLOMITICO</v>
      </c>
      <c r="J2" s="4" t="str">
        <f>IFERROR(__xludf.DUMMYFUNCTION("UNIQUE(FILTER('PORTIFÓLIO'!C:C, 'PORTIFÓLIO'!B:B=""NUTRIÇÃO""))"),"RADIFARM")</f>
        <v>RADIFARM</v>
      </c>
      <c r="K2" s="4" t="str">
        <f>IFERROR(__xludf.DUMMYFUNCTION("UNIQUE(FILTER('PORTIFÓLIO'!C:C, 'PORTIFÓLIO'!B:B=""MÁQUINAS""))"),"CASE STEIGER 420 + HORSCH MAESTRO DUO 36.50")</f>
        <v>CASE STEIGER 420 + HORSCH MAESTRO DUO 36.50</v>
      </c>
      <c r="L2" s="4" t="s">
        <v>14</v>
      </c>
      <c r="M2" s="5" t="s">
        <v>15</v>
      </c>
      <c r="N2" s="4">
        <v>273.0</v>
      </c>
    </row>
    <row r="3" ht="22.5" customHeight="1">
      <c r="A3" s="4" t="str">
        <f>IFERROR(__xludf.DUMMYFUNCTION("""COMPUTED_VALUE"""),"AZIMUT")</f>
        <v>AZIMUT</v>
      </c>
      <c r="B3" s="4" t="str">
        <f>IFERROR(__xludf.DUMMYFUNCTION("""COMPUTED_VALUE"""),"APRESA")</f>
        <v>APRESA</v>
      </c>
      <c r="C3" s="4" t="str">
        <f>IFERROR(__xludf.DUMMYFUNCTION("""COMPUTED_VALUE"""),"MAGNUM")</f>
        <v>MAGNUM</v>
      </c>
      <c r="D3" s="4" t="str">
        <f>IFERROR(__xludf.DUMMYFUNCTION("""COMPUTED_VALUE"""),"ENDOMAXX")</f>
        <v>ENDOMAXX</v>
      </c>
      <c r="E3" s="4" t="str">
        <f>IFERROR(__xludf.DUMMYFUNCTION("""COMPUTED_VALUE"""),"PRESENCE FULL")</f>
        <v>PRESENCE FULL</v>
      </c>
      <c r="F3" s="4" t="str">
        <f>IFERROR(__xludf.DUMMYFUNCTION("""COMPUTED_VALUE"""),"SEMENTE TRIGO")</f>
        <v>SEMENTE TRIGO</v>
      </c>
      <c r="G3" s="4" t="str">
        <f>IFERROR(__xludf.DUMMYFUNCTION("""COMPUTED_VALUE"""),"ASSIST")</f>
        <v>ASSIST</v>
      </c>
      <c r="H3" s="4" t="str">
        <f>IFERROR(__xludf.DUMMYFUNCTION("""COMPUTED_VALUE"""),"MAP")</f>
        <v>MAP</v>
      </c>
      <c r="I3" s="4" t="str">
        <f>IFERROR(__xludf.DUMMYFUNCTION("""COMPUTED_VALUE"""),"GESSO AGRICOLA")</f>
        <v>GESSO AGRICOLA</v>
      </c>
      <c r="J3" s="4" t="str">
        <f>IFERROR(__xludf.DUMMYFUNCTION("""COMPUTED_VALUE"""),"MEGAFOL")</f>
        <v>MEGAFOL</v>
      </c>
      <c r="K3" s="4" t="str">
        <f>IFERROR(__xludf.DUMMYFUNCTION("""COMPUTED_VALUE"""),"CASE MAGNUM 340 + - CASE ASM 1213")</f>
        <v>CASE MAGNUM 340 + - CASE ASM 1213</v>
      </c>
      <c r="L3" s="4" t="s">
        <v>16</v>
      </c>
      <c r="M3" s="5" t="s">
        <v>17</v>
      </c>
      <c r="N3" s="4">
        <v>103.0</v>
      </c>
    </row>
    <row r="4" ht="22.5" customHeight="1">
      <c r="A4" s="4" t="str">
        <f>IFERROR(__xludf.DUMMYFUNCTION("""COMPUTED_VALUE"""),"BLINDADO TOV")</f>
        <v>BLINDADO TOV</v>
      </c>
      <c r="B4" s="4" t="str">
        <f>IFERROR(__xludf.DUMMYFUNCTION("""COMPUTED_VALUE"""),"ARADDO")</f>
        <v>ARADDO</v>
      </c>
      <c r="C4" s="4" t="str">
        <f>IFERROR(__xludf.DUMMYFUNCTION("""COMPUTED_VALUE"""),"PLETHORA BR")</f>
        <v>PLETHORA BR</v>
      </c>
      <c r="D4" s="4" t="str">
        <f>IFERROR(__xludf.DUMMYFUNCTION("""COMPUTED_VALUE"""),"RIZOLIQ LLI")</f>
        <v>RIZOLIQ LLI</v>
      </c>
      <c r="E4" s="4" t="str">
        <f>IFERROR(__xludf.DUMMYFUNCTION("""COMPUTED_VALUE"""),"Now Lock")</f>
        <v>Now Lock</v>
      </c>
      <c r="F4" s="4" t="str">
        <f>IFERROR(__xludf.DUMMYFUNCTION("""COMPUTED_VALUE"""),"SEMENTE MILHO")</f>
        <v>SEMENTE MILHO</v>
      </c>
      <c r="G4" s="4" t="str">
        <f>IFERROR(__xludf.DUMMYFUNCTION("""COMPUTED_VALUE"""),"MEES")</f>
        <v>MEES</v>
      </c>
      <c r="H4" s="4" t="str">
        <f>IFERROR(__xludf.DUMMYFUNCTION("""COMPUTED_VALUE"""),"KCL 60%")</f>
        <v>KCL 60%</v>
      </c>
      <c r="I4" s="6"/>
      <c r="J4" s="4" t="str">
        <f>IFERROR(__xludf.DUMMYFUNCTION("""COMPUTED_VALUE"""),"OCTABORATO")</f>
        <v>OCTABORATO</v>
      </c>
      <c r="K4" s="4" t="str">
        <f>IFERROR(__xludf.DUMMYFUNCTION("""COMPUTED_VALUE"""),"CR 8.90 NEW HOLLAND + 880 CF45")</f>
        <v>CR 8.90 NEW HOLLAND + 880 CF45</v>
      </c>
      <c r="L4" s="4" t="s">
        <v>18</v>
      </c>
      <c r="M4" s="5" t="s">
        <v>19</v>
      </c>
      <c r="N4" s="4">
        <v>110.0</v>
      </c>
    </row>
    <row r="5" ht="22.5" customHeight="1">
      <c r="A5" s="4" t="str">
        <f>IFERROR(__xludf.DUMMYFUNCTION("""COMPUTED_VALUE"""),"ABACUS HC")</f>
        <v>ABACUS HC</v>
      </c>
      <c r="B5" s="4" t="str">
        <f>IFERROR(__xludf.DUMMYFUNCTION("""COMPUTED_VALUE"""),"CHEVAL")</f>
        <v>CHEVAL</v>
      </c>
      <c r="C5" s="4" t="str">
        <f>IFERROR(__xludf.DUMMYFUNCTION("""COMPUTED_VALUE"""),"RIMON SUPRA")</f>
        <v>RIMON SUPRA</v>
      </c>
      <c r="D5" s="4" t="str">
        <f>IFERROR(__xludf.DUMMYFUNCTION("""COMPUTED_VALUE"""),"PROVILAR")</f>
        <v>PROVILAR</v>
      </c>
      <c r="E5" s="4" t="str">
        <f>IFERROR(__xludf.DUMMYFUNCTION("""COMPUTED_VALUE"""),"Now Guard")</f>
        <v>Now Guard</v>
      </c>
      <c r="F5" s="4" t="str">
        <f>IFERROR(__xludf.DUMMYFUNCTION("""COMPUTED_VALUE"""),"MG540PWU")</f>
        <v>MG540PWU</v>
      </c>
      <c r="G5" s="4" t="str">
        <f>IFERROR(__xludf.DUMMYFUNCTION("""COMPUTED_VALUE"""),"AUREO")</f>
        <v>AUREO</v>
      </c>
      <c r="H5" s="4" t="str">
        <f>IFERROR(__xludf.DUMMYFUNCTION("""COMPUTED_VALUE"""),"05-37-00")</f>
        <v>05-37-00</v>
      </c>
      <c r="I5" s="6"/>
      <c r="J5" s="4" t="str">
        <f>IFERROR(__xludf.DUMMYFUNCTION("""COMPUTED_VALUE"""),"BOP")</f>
        <v>BOP</v>
      </c>
      <c r="K5" s="4" t="str">
        <f>IFERROR(__xludf.DUMMYFUNCTION("""COMPUTED_VALUE"""),"COLHETADEIRA - NH-CR9060 + 740 CF30 AGRIDREPER")</f>
        <v>COLHETADEIRA - NH-CR9060 + 740 CF30 AGRIDREPER</v>
      </c>
      <c r="L5" s="4" t="s">
        <v>20</v>
      </c>
      <c r="M5" s="5" t="s">
        <v>21</v>
      </c>
      <c r="N5" s="4">
        <v>47.0</v>
      </c>
    </row>
    <row r="6" ht="22.5" customHeight="1">
      <c r="A6" s="4" t="str">
        <f>IFERROR(__xludf.DUMMYFUNCTION("""COMPUTED_VALUE"""),"BELYAN")</f>
        <v>BELYAN</v>
      </c>
      <c r="B6" s="4" t="str">
        <f>IFERROR(__xludf.DUMMYFUNCTION("""COMPUTED_VALUE"""),"POQUER")</f>
        <v>POQUER</v>
      </c>
      <c r="C6" s="4" t="str">
        <f>IFERROR(__xludf.DUMMYFUNCTION("""COMPUTED_VALUE"""),"SQUAD")</f>
        <v>SQUAD</v>
      </c>
      <c r="D6" s="4" t="str">
        <f>IFERROR(__xludf.DUMMYFUNCTION("""COMPUTED_VALUE"""),"REVERB")</f>
        <v>REVERB</v>
      </c>
      <c r="E6" s="4" t="str">
        <f>IFERROR(__xludf.DUMMYFUNCTION("""COMPUTED_VALUE"""),"Now Force")</f>
        <v>Now Force</v>
      </c>
      <c r="F6" s="4" t="str">
        <f>IFERROR(__xludf.DUMMYFUNCTION("""COMPUTED_VALUE"""),"MG711PWU")</f>
        <v>MG711PWU</v>
      </c>
      <c r="G6" s="4" t="str">
        <f>IFERROR(__xludf.DUMMYFUNCTION("""COMPUTED_VALUE"""),"JOINT ULTRA")</f>
        <v>JOINT ULTRA</v>
      </c>
      <c r="H6" s="4" t="str">
        <f>IFERROR(__xludf.DUMMYFUNCTION("""COMPUTED_VALUE"""),"10-46-00 + S")</f>
        <v>10-46-00 + S</v>
      </c>
      <c r="I6" s="6"/>
      <c r="J6" s="4" t="str">
        <f>IFERROR(__xludf.DUMMYFUNCTION("""COMPUTED_VALUE"""),"METAL NUTRE")</f>
        <v>METAL NUTRE</v>
      </c>
      <c r="K6" s="4" t="str">
        <f>IFERROR(__xludf.DUMMYFUNCTION("""COMPUTED_VALUE"""),"COLHETADEIRA CR7.80 + MACDON 35F")</f>
        <v>COLHETADEIRA CR7.80 + MACDON 35F</v>
      </c>
      <c r="L6" s="4" t="s">
        <v>22</v>
      </c>
      <c r="M6" s="5" t="s">
        <v>23</v>
      </c>
      <c r="N6" s="4">
        <v>60.0</v>
      </c>
    </row>
    <row r="7" ht="22.5" customHeight="1">
      <c r="A7" s="4" t="str">
        <f>IFERROR(__xludf.DUMMYFUNCTION("""COMPUTED_VALUE"""),"BLAVITY")</f>
        <v>BLAVITY</v>
      </c>
      <c r="B7" s="4" t="str">
        <f>IFERROR(__xludf.DUMMYFUNCTION("""COMPUTED_VALUE"""),"PREMERLIN 600 EC")</f>
        <v>PREMERLIN 600 EC</v>
      </c>
      <c r="C7" s="4" t="str">
        <f>IFERROR(__xludf.DUMMYFUNCTION("""COMPUTED_VALUE"""),"TRIVOR")</f>
        <v>TRIVOR</v>
      </c>
      <c r="D7" s="4" t="str">
        <f>IFERROR(__xludf.DUMMYFUNCTION("""COMPUTED_VALUE"""),"ARVATICO")</f>
        <v>ARVATICO</v>
      </c>
      <c r="E7" s="4" t="str">
        <f>IFERROR(__xludf.DUMMYFUNCTION("""COMPUTED_VALUE"""),"Now Raze")</f>
        <v>Now Raze</v>
      </c>
      <c r="F7" s="4" t="str">
        <f>IFERROR(__xludf.DUMMYFUNCTION("""COMPUTED_VALUE"""),"MG616PWU")</f>
        <v>MG616PWU</v>
      </c>
      <c r="G7" s="4" t="str">
        <f>IFERROR(__xludf.DUMMYFUNCTION("""COMPUTED_VALUE"""),"ADGREEN")</f>
        <v>ADGREEN</v>
      </c>
      <c r="H7" s="4" t="str">
        <f>IFERROR(__xludf.DUMMYFUNCTION("""COMPUTED_VALUE"""),"08-42-00")</f>
        <v>08-42-00</v>
      </c>
      <c r="I7" s="6"/>
      <c r="J7" s="4" t="str">
        <f>IFERROR(__xludf.DUMMYFUNCTION("""COMPUTED_VALUE"""),"MONIC")</f>
        <v>MONIC</v>
      </c>
      <c r="K7" s="4" t="str">
        <f>IFERROR(__xludf.DUMMYFUNCTION("""COMPUTED_VALUE"""),"TRATOR-JD 7500 + BRUTUS 12000")</f>
        <v>TRATOR-JD 7500 + BRUTUS 12000</v>
      </c>
      <c r="L7" s="4" t="s">
        <v>24</v>
      </c>
      <c r="M7" s="5" t="s">
        <v>25</v>
      </c>
      <c r="N7" s="4">
        <v>312.0</v>
      </c>
    </row>
    <row r="8" ht="22.5" customHeight="1">
      <c r="A8" s="4" t="str">
        <f>IFERROR(__xludf.DUMMYFUNCTION("""COMPUTED_VALUE"""),"CANTUS")</f>
        <v>CANTUS</v>
      </c>
      <c r="B8" s="4" t="str">
        <f>IFERROR(__xludf.DUMMYFUNCTION("""COMPUTED_VALUE"""),"AMPLO")</f>
        <v>AMPLO</v>
      </c>
      <c r="C8" s="4" t="str">
        <f>IFERROR(__xludf.DUMMYFUNCTION("""COMPUTED_VALUE"""),"EFFICON")</f>
        <v>EFFICON</v>
      </c>
      <c r="D8" s="4" t="str">
        <f>IFERROR(__xludf.DUMMYFUNCTION("""COMPUTED_VALUE"""),"VERANGO PRIME")</f>
        <v>VERANGO PRIME</v>
      </c>
      <c r="E8" s="4" t="str">
        <f>IFERROR(__xludf.DUMMYFUNCTION("""COMPUTED_VALUE"""),"Now Bolt")</f>
        <v>Now Bolt</v>
      </c>
      <c r="F8" s="4" t="str">
        <f>IFERROR(__xludf.DUMMYFUNCTION("""COMPUTED_VALUE"""),"P3707PWU")</f>
        <v>P3707PWU</v>
      </c>
      <c r="G8" s="4" t="str">
        <f>IFERROR(__xludf.DUMMYFUNCTION("""COMPUTED_VALUE"""),"ENERGIC")</f>
        <v>ENERGIC</v>
      </c>
      <c r="H8" s="4" t="str">
        <f>IFERROR(__xludf.DUMMYFUNCTION("""COMPUTED_VALUE"""),"SSP 21")</f>
        <v>SSP 21</v>
      </c>
      <c r="I8" s="6"/>
      <c r="J8" s="4" t="str">
        <f>IFERROR(__xludf.DUMMYFUNCTION("""COMPUTED_VALUE"""),"AP MAGNÉSIO")</f>
        <v>AP MAGNÉSIO</v>
      </c>
      <c r="K8" s="4" t="str">
        <f>IFERROR(__xludf.DUMMYFUNCTION("""COMPUTED_VALUE"""),"TRATOR-JD 7500 + ADUBADORA HERCULES 10000")</f>
        <v>TRATOR-JD 7500 + ADUBADORA HERCULES 10000</v>
      </c>
      <c r="L8" s="4" t="s">
        <v>26</v>
      </c>
      <c r="M8" s="5" t="s">
        <v>27</v>
      </c>
      <c r="N8" s="4">
        <v>313.0</v>
      </c>
    </row>
    <row r="9" ht="22.5" customHeight="1">
      <c r="A9" s="4" t="str">
        <f>IFERROR(__xludf.DUMMYFUNCTION("""COMPUTED_VALUE"""),"KEYRA")</f>
        <v>KEYRA</v>
      </c>
      <c r="B9" s="4" t="str">
        <f>IFERROR(__xludf.DUMMYFUNCTION("""COMPUTED_VALUE"""),"BASAGRAN 600")</f>
        <v>BASAGRAN 600</v>
      </c>
      <c r="C9" s="4" t="str">
        <f>IFERROR(__xludf.DUMMYFUNCTION("""COMPUTED_VALUE"""),"NOMOLT 150")</f>
        <v>NOMOLT 150</v>
      </c>
      <c r="D9" s="4" t="str">
        <f>IFERROR(__xludf.DUMMYFUNCTION("""COMPUTED_VALUE"""),"FIPRONIL NORTOX MAX")</f>
        <v>FIPRONIL NORTOX MAX</v>
      </c>
      <c r="E9" s="4" t="str">
        <f>IFERROR(__xludf.DUMMYFUNCTION("""COMPUTED_VALUE"""),"Now Active")</f>
        <v>Now Active</v>
      </c>
      <c r="F9" s="4" t="str">
        <f>IFERROR(__xludf.DUMMYFUNCTION("""COMPUTED_VALUE"""),"P39209PWU")</f>
        <v>P39209PWU</v>
      </c>
      <c r="G9" s="4" t="str">
        <f>IFERROR(__xludf.DUMMYFUNCTION("""COMPUTED_VALUE"""),"EXTRAVON")</f>
        <v>EXTRAVON</v>
      </c>
      <c r="H9" s="4" t="str">
        <f>IFERROR(__xludf.DUMMYFUNCTION("""COMPUTED_VALUE"""),"03-15-07 +14%CO")</f>
        <v>03-15-07 +14%CO</v>
      </c>
      <c r="I9" s="6"/>
      <c r="J9" s="4" t="str">
        <f>IFERROR(__xludf.DUMMYFUNCTION("""COMPUTED_VALUE"""),"GRANO KMG")</f>
        <v>GRANO KMG</v>
      </c>
      <c r="K9" s="4" t="str">
        <f>IFERROR(__xludf.DUMMYFUNCTION("""COMPUTED_VALUE"""),"VOLVO NH380 + CAÇAMBA 430SC")</f>
        <v>VOLVO NH380 + CAÇAMBA 430SC</v>
      </c>
      <c r="L9" s="4" t="s">
        <v>28</v>
      </c>
      <c r="M9" s="5" t="s">
        <v>29</v>
      </c>
      <c r="N9" s="4">
        <v>0.0</v>
      </c>
    </row>
    <row r="10" ht="22.5" customHeight="1">
      <c r="A10" s="4" t="str">
        <f>IFERROR(__xludf.DUMMYFUNCTION("""COMPUTED_VALUE"""),"MELYRA")</f>
        <v>MELYRA</v>
      </c>
      <c r="B10" s="4" t="str">
        <f>IFERROR(__xludf.DUMMYFUNCTION("""COMPUTED_VALUE"""),"FINALE")</f>
        <v>FINALE</v>
      </c>
      <c r="C10" s="4" t="str">
        <f>IFERROR(__xludf.DUMMYFUNCTION("""COMPUTED_VALUE"""),"PIRATE")</f>
        <v>PIRATE</v>
      </c>
      <c r="D10" s="4" t="str">
        <f>IFERROR(__xludf.DUMMYFUNCTION("""COMPUTED_VALUE"""),"MAXIM ADVANCED")</f>
        <v>MAXIM ADVANCED</v>
      </c>
      <c r="E10" s="4" t="str">
        <f>IFERROR(__xludf.DUMMYFUNCTION("""COMPUTED_VALUE"""),"Now React")</f>
        <v>Now React</v>
      </c>
      <c r="F10" s="4" t="str">
        <f>IFERROR(__xludf.DUMMYFUNCTION("""COMPUTED_VALUE"""),"P40537PWU")</f>
        <v>P40537PWU</v>
      </c>
      <c r="G10" s="4" t="str">
        <f>IFERROR(__xludf.DUMMYFUNCTION("""COMPUTED_VALUE"""),"OCHIMA")</f>
        <v>OCHIMA</v>
      </c>
      <c r="H10" s="4" t="str">
        <f>IFERROR(__xludf.DUMMYFUNCTION("""COMPUTED_VALUE"""),"URÉIA")</f>
        <v>URÉIA</v>
      </c>
      <c r="I10" s="6"/>
      <c r="J10" s="4" t="str">
        <f>IFERROR(__xludf.DUMMYFUNCTION("""COMPUTED_VALUE"""),"AP MANGANÊS")</f>
        <v>AP MANGANÊS</v>
      </c>
      <c r="K10" s="4" t="str">
        <f>IFERROR(__xludf.DUMMYFUNCTION("""COMPUTED_VALUE"""),"CASE MAGNUM 340 + SUBSOLADOR 11 ASTES")</f>
        <v>CASE MAGNUM 340 + SUBSOLADOR 11 ASTES</v>
      </c>
      <c r="L10" s="4" t="s">
        <v>30</v>
      </c>
      <c r="M10" s="4" t="s">
        <v>31</v>
      </c>
      <c r="N10" s="4">
        <v>200.0</v>
      </c>
    </row>
    <row r="11" ht="22.5" customHeight="1">
      <c r="A11" s="4" t="str">
        <f>IFERROR(__xludf.DUMMYFUNCTION("""COMPUTED_VALUE"""),"ORKESTRA SC")</f>
        <v>ORKESTRA SC</v>
      </c>
      <c r="B11" s="4" t="str">
        <f>IFERROR(__xludf.DUMMYFUNCTION("""COMPUTED_VALUE"""),"HEAT")</f>
        <v>HEAT</v>
      </c>
      <c r="C11" s="4" t="str">
        <f>IFERROR(__xludf.DUMMYFUNCTION("""COMPUTED_VALUE"""),"BELT")</f>
        <v>BELT</v>
      </c>
      <c r="D11" s="4" t="str">
        <f>IFERROR(__xludf.DUMMYFUNCTION("""COMPUTED_VALUE"""),"MAXIM XL")</f>
        <v>MAXIM XL</v>
      </c>
      <c r="E11" s="4" t="str">
        <f>IFERROR(__xludf.DUMMYFUNCTION("""COMPUTED_VALUE"""),"Now Cover")</f>
        <v>Now Cover</v>
      </c>
      <c r="F11" s="4" t="str">
        <f>IFERROR(__xludf.DUMMYFUNCTION("""COMPUTED_VALUE"""),"FS650PWU")</f>
        <v>FS650PWU</v>
      </c>
      <c r="G11" s="6"/>
      <c r="H11" s="4" t="str">
        <f>IFERROR(__xludf.DUMMYFUNCTION("""COMPUTED_VALUE"""),"SULFATO DE AMÔNIO")</f>
        <v>SULFATO DE AMÔNIO</v>
      </c>
      <c r="I11" s="6"/>
      <c r="J11" s="4" t="str">
        <f>IFERROR(__xludf.DUMMYFUNCTION("""COMPUTED_VALUE"""),"AMINOS Mn")</f>
        <v>AMINOS Mn</v>
      </c>
      <c r="K11" s="4" t="str">
        <f>IFERROR(__xludf.DUMMYFUNCTION("""COMPUTED_VALUE"""),"PULVERIZADOR- JD4730 + PULVERIZADOR- JD4730")</f>
        <v>PULVERIZADOR- JD4730 + PULVERIZADOR- JD4730</v>
      </c>
      <c r="L11" s="4" t="s">
        <v>32</v>
      </c>
      <c r="M11" s="4" t="s">
        <v>33</v>
      </c>
      <c r="N11" s="4">
        <v>120.0</v>
      </c>
    </row>
    <row r="12" ht="22.5" customHeight="1">
      <c r="A12" s="4" t="str">
        <f>IFERROR(__xludf.DUMMYFUNCTION("""COMPUTED_VALUE"""),"SPOT SC")</f>
        <v>SPOT SC</v>
      </c>
      <c r="B12" s="4" t="str">
        <f>IFERROR(__xludf.DUMMYFUNCTION("""COMPUTED_VALUE"""),"LIBERTY")</f>
        <v>LIBERTY</v>
      </c>
      <c r="C12" s="4" t="str">
        <f>IFERROR(__xludf.DUMMYFUNCTION("""COMPUTED_VALUE"""),"BULLDOCK 125 SC")</f>
        <v>BULLDOCK 125 SC</v>
      </c>
      <c r="D12" s="4" t="str">
        <f>IFERROR(__xludf.DUMMYFUNCTION("""COMPUTED_VALUE"""),"VICTRATO")</f>
        <v>VICTRATO</v>
      </c>
      <c r="E12" s="4" t="str">
        <f>IFERROR(__xludf.DUMMYFUNCTION("""COMPUTED_VALUE"""),"Now Pulse")</f>
        <v>Now Pulse</v>
      </c>
      <c r="F12" s="4" t="str">
        <f>IFERROR(__xludf.DUMMYFUNCTION("""COMPUTED_VALUE"""),"SEMENTE SOJA CV")</f>
        <v>SEMENTE SOJA CV</v>
      </c>
      <c r="G12" s="6"/>
      <c r="H12" s="4" t="str">
        <f>IFERROR(__xludf.DUMMYFUNCTION("""COMPUTED_VALUE"""),"BOROGRAN")</f>
        <v>BOROGRAN</v>
      </c>
      <c r="I12" s="6"/>
      <c r="J12" s="4" t="str">
        <f>IFERROR(__xludf.DUMMYFUNCTION("""COMPUTED_VALUE"""),"MICROBOX")</f>
        <v>MICROBOX</v>
      </c>
      <c r="K12" s="4" t="str">
        <f>IFERROR(__xludf.DUMMYFUNCTION("""COMPUTED_VALUE"""),"AIR TRATOR AT-502B + AIR TRATOR AT-502B")</f>
        <v>AIR TRATOR AT-502B + AIR TRATOR AT-502B</v>
      </c>
      <c r="L12" s="6"/>
      <c r="M12" s="4" t="s">
        <v>34</v>
      </c>
      <c r="N12" s="4">
        <v>220.0</v>
      </c>
    </row>
    <row r="13" ht="22.5" customHeight="1">
      <c r="A13" s="4" t="str">
        <f>IFERROR(__xludf.DUMMYFUNCTION("""COMPUTED_VALUE"""),"ATTILA")</f>
        <v>ATTILA</v>
      </c>
      <c r="B13" s="4" t="str">
        <f>IFERROR(__xludf.DUMMYFUNCTION("""COMPUTED_VALUE"""),"PROWL H2O")</f>
        <v>PROWL H2O</v>
      </c>
      <c r="C13" s="4" t="str">
        <f>IFERROR(__xludf.DUMMYFUNCTION("""COMPUTED_VALUE"""),"CERTERO")</f>
        <v>CERTERO</v>
      </c>
      <c r="D13" s="4" t="str">
        <f>IFERROR(__xludf.DUMMYFUNCTION("""COMPUTED_VALUE"""),"SPECTRO")</f>
        <v>SPECTRO</v>
      </c>
      <c r="E13" s="4" t="str">
        <f>IFERROR(__xludf.DUMMYFUNCTION("""COMPUTED_VALUE"""),"Now Sprint")</f>
        <v>Now Sprint</v>
      </c>
      <c r="F13" s="4" t="str">
        <f>IFERROR(__xludf.DUMMYFUNCTION("""COMPUTED_VALUE"""),"OLIMPO")</f>
        <v>OLIMPO</v>
      </c>
      <c r="G13" s="6"/>
      <c r="H13" s="4" t="str">
        <f>IFERROR(__xludf.DUMMYFUNCTION("""COMPUTED_VALUE"""),"SUPER DUO")</f>
        <v>SUPER DUO</v>
      </c>
      <c r="I13" s="6"/>
      <c r="J13" s="4" t="str">
        <f>IFERROR(__xludf.DUMMYFUNCTION("""COMPUTED_VALUE"""),"ACRESECENT ALGA")</f>
        <v>ACRESECENT ALGA</v>
      </c>
      <c r="K13" s="4" t="str">
        <f>IFERROR(__xludf.DUMMYFUNCTION("""COMPUTED_VALUE"""),"COLHETADEIRA - NH-CR9060 + MILHO BRAVA 11")</f>
        <v>COLHETADEIRA - NH-CR9060 + MILHO BRAVA 11</v>
      </c>
      <c r="L13" s="6"/>
      <c r="M13" s="5" t="s">
        <v>35</v>
      </c>
      <c r="N13" s="4">
        <v>60.0</v>
      </c>
    </row>
    <row r="14" ht="22.5" customHeight="1">
      <c r="A14" s="4" t="str">
        <f>IFERROR(__xludf.DUMMYFUNCTION("""COMPUTED_VALUE"""),"FOX SUPRA")</f>
        <v>FOX SUPRA</v>
      </c>
      <c r="B14" s="4" t="str">
        <f>IFERROR(__xludf.DUMMYFUNCTION("""COMPUTED_VALUE"""),"ADENGO")</f>
        <v>ADENGO</v>
      </c>
      <c r="C14" s="4" t="str">
        <f>IFERROR(__xludf.DUMMYFUNCTION("""COMPUTED_VALUE"""),"CONNECT")</f>
        <v>CONNECT</v>
      </c>
      <c r="D14" s="4" t="str">
        <f>IFERROR(__xludf.DUMMYFUNCTION("""COMPUTED_VALUE"""),"STANDAK TOP")</f>
        <v>STANDAK TOP</v>
      </c>
      <c r="E14" s="4" t="str">
        <f>IFERROR(__xludf.DUMMYFUNCTION("""COMPUTED_VALUE"""),"Bio Az")</f>
        <v>Bio Az</v>
      </c>
      <c r="F14" s="4" t="str">
        <f>IFERROR(__xludf.DUMMYFUNCTION("""COMPUTED_VALUE"""),"M8349")</f>
        <v>M8349</v>
      </c>
      <c r="G14" s="6"/>
      <c r="H14" s="4" t="str">
        <f>IFERROR(__xludf.DUMMYFUNCTION("""COMPUTED_VALUE"""),"08-40-00 - 100M")</f>
        <v>08-40-00 - 100M</v>
      </c>
      <c r="I14" s="6"/>
      <c r="J14" s="4" t="str">
        <f>IFERROR(__xludf.DUMMYFUNCTION("""COMPUTED_VALUE"""),"RAIZ F")</f>
        <v>RAIZ F</v>
      </c>
      <c r="K14" s="4" t="str">
        <f>IFERROR(__xludf.DUMMYFUNCTION("""COMPUTED_VALUE"""),"NH T7.260 + JAN 20000")</f>
        <v>NH T7.260 + JAN 20000</v>
      </c>
      <c r="L14" s="6"/>
      <c r="M14" s="5" t="s">
        <v>36</v>
      </c>
      <c r="N14" s="4">
        <v>80.0</v>
      </c>
    </row>
    <row r="15" ht="22.5" customHeight="1">
      <c r="A15" s="4" t="str">
        <f>IFERROR(__xludf.DUMMYFUNCTION("""COMPUTED_VALUE"""),"FOX XPRO")</f>
        <v>FOX XPRO</v>
      </c>
      <c r="B15" s="4" t="str">
        <f>IFERROR(__xludf.DUMMYFUNCTION("""COMPUTED_VALUE"""),"ROUNDUP WG")</f>
        <v>ROUNDUP WG</v>
      </c>
      <c r="C15" s="4" t="str">
        <f>IFERROR(__xludf.DUMMYFUNCTION("""COMPUTED_VALUE"""),"CURBIX 200 SC")</f>
        <v>CURBIX 200 SC</v>
      </c>
      <c r="D15" s="4" t="str">
        <f>IFERROR(__xludf.DUMMYFUNCTION("""COMPUTED_VALUE"""),"CRUISER ADVANCED")</f>
        <v>CRUISER ADVANCED</v>
      </c>
      <c r="E15" s="4" t="str">
        <f>IFERROR(__xludf.DUMMYFUNCTION("""COMPUTED_VALUE"""),"Bio ND")</f>
        <v>Bio ND</v>
      </c>
      <c r="F15" s="4" t="str">
        <f>IFERROR(__xludf.DUMMYFUNCTION("""COMPUTED_VALUE"""),"CORDIUS C2795 CE")</f>
        <v>CORDIUS C2795 CE</v>
      </c>
      <c r="G15" s="6"/>
      <c r="H15" s="4" t="str">
        <f>IFERROR(__xludf.DUMMYFUNCTION("""COMPUTED_VALUE"""),"AURUS 500")</f>
        <v>AURUS 500</v>
      </c>
      <c r="I15" s="6"/>
      <c r="J15" s="4" t="str">
        <f>IFERROR(__xludf.DUMMYFUNCTION("""COMPUTED_VALUE"""),"ACRESCENTE SOLUS F")</f>
        <v>ACRESCENTE SOLUS F</v>
      </c>
      <c r="K15" s="4" t="str">
        <f>IFERROR(__xludf.DUMMYFUNCTION("""COMPUTED_VALUE"""),"NH T8.355 + - JD2122")</f>
        <v>NH T8.355 + - JD2122</v>
      </c>
      <c r="L15" s="6"/>
      <c r="M15" s="5" t="s">
        <v>37</v>
      </c>
      <c r="N15" s="4">
        <v>120.0</v>
      </c>
    </row>
    <row r="16" ht="22.5" customHeight="1">
      <c r="A16" s="4" t="str">
        <f>IFERROR(__xludf.DUMMYFUNCTION("""COMPUTED_VALUE"""),"NATIVO")</f>
        <v>NATIVO</v>
      </c>
      <c r="B16" s="4" t="str">
        <f>IFERROR(__xludf.DUMMYFUNCTION("""COMPUTED_VALUE"""),"SOBERAN")</f>
        <v>SOBERAN</v>
      </c>
      <c r="C16" s="4" t="str">
        <f>IFERROR(__xludf.DUMMYFUNCTION("""COMPUTED_VALUE"""),"OBERON")</f>
        <v>OBERON</v>
      </c>
      <c r="D16" s="4" t="str">
        <f>IFERROR(__xludf.DUMMYFUNCTION("""COMPUTED_VALUE"""),"PLUST")</f>
        <v>PLUST</v>
      </c>
      <c r="E16" s="4" t="str">
        <f>IFERROR(__xludf.DUMMYFUNCTION("""COMPUTED_VALUE"""),"Tec Catp Pro")</f>
        <v>Tec Catp Pro</v>
      </c>
      <c r="F16" s="4" t="str">
        <f>IFERROR(__xludf.DUMMYFUNCTION("""COMPUTED_VALUE"""),"HERA I2X")</f>
        <v>HERA I2X</v>
      </c>
      <c r="G16" s="6"/>
      <c r="H16" s="4" t="str">
        <f>IFERROR(__xludf.DUMMYFUNCTION("""COMPUTED_VALUE"""),"00-01-00+Cu2 Mn8 Zn7 ")</f>
        <v>00-01-00+Cu2 Mn8 Zn7 </v>
      </c>
      <c r="I16" s="6"/>
      <c r="J16" s="4" t="str">
        <f>IFERROR(__xludf.DUMMYFUNCTION("""COMPUTED_VALUE"""),"SALUT")</f>
        <v>SALUT</v>
      </c>
      <c r="K16" s="4" t="str">
        <f>IFERROR(__xludf.DUMMYFUNCTION("""COMPUTED_VALUE"""),"COLHETADEIRA - CASE 2388 + CASE 30PES")</f>
        <v>COLHETADEIRA - CASE 2388 + CASE 30PES</v>
      </c>
      <c r="L16" s="6"/>
      <c r="M16" s="5" t="s">
        <v>38</v>
      </c>
      <c r="N16" s="4">
        <v>130.0</v>
      </c>
    </row>
    <row r="17" ht="22.5" customHeight="1">
      <c r="A17" s="4" t="str">
        <f>IFERROR(__xludf.DUMMYFUNCTION("""COMPUTED_VALUE"""),"NATIVO PLUS")</f>
        <v>NATIVO PLUS</v>
      </c>
      <c r="B17" s="4" t="str">
        <f>IFERROR(__xludf.DUMMYFUNCTION("""COMPUTED_VALUE"""),"2,4-D 806+PICLORAM 64")</f>
        <v>2,4-D 806+PICLORAM 64</v>
      </c>
      <c r="C17" s="4" t="str">
        <f>IFERROR(__xludf.DUMMYFUNCTION("""COMPUTED_VALUE"""),"ACETAMIPRID CCAB 200 SP")</f>
        <v>ACETAMIPRID CCAB 200 SP</v>
      </c>
      <c r="D17" s="4" t="str">
        <f>IFERROR(__xludf.DUMMYFUNCTION("""COMPUTED_VALUE"""),"SOMBRERO")</f>
        <v>SOMBRERO</v>
      </c>
      <c r="E17" s="4" t="str">
        <f>IFERROR(__xludf.DUMMYFUNCTION("""COMPUTED_VALUE"""),"Bio Elipso")</f>
        <v>Bio Elipso</v>
      </c>
      <c r="F17" s="4" t="str">
        <f>IFERROR(__xludf.DUMMYFUNCTION("""COMPUTED_VALUE"""),"SPARTA 8.0")</f>
        <v>SPARTA 8.0</v>
      </c>
      <c r="G17" s="6"/>
      <c r="H17" s="6"/>
      <c r="I17" s="6"/>
      <c r="J17" s="4" t="str">
        <f>IFERROR(__xludf.DUMMYFUNCTION("""COMPUTED_VALUE"""),"MATRIZ D")</f>
        <v>MATRIZ D</v>
      </c>
      <c r="K17" s="4" t="str">
        <f>IFERROR(__xludf.DUMMYFUNCTION("""COMPUTED_VALUE"""),"JACTO UNIPORT 2000 + JACTO UNIPORT 2000")</f>
        <v>JACTO UNIPORT 2000 + JACTO UNIPORT 2000</v>
      </c>
      <c r="L17" s="6"/>
      <c r="M17" s="5" t="s">
        <v>39</v>
      </c>
      <c r="N17" s="4">
        <v>120.0</v>
      </c>
    </row>
    <row r="18" ht="22.5" customHeight="1">
      <c r="A18" s="4" t="str">
        <f>IFERROR(__xludf.DUMMYFUNCTION("""COMPUTED_VALUE"""),"SPHERE MAX")</f>
        <v>SPHERE MAX</v>
      </c>
      <c r="B18" s="4" t="str">
        <f>IFERROR(__xludf.DUMMYFUNCTION("""COMPUTED_VALUE"""),"FOMESAFEN CCAB 250 SL")</f>
        <v>FOMESAFEN CCAB 250 SL</v>
      </c>
      <c r="C18" s="4" t="str">
        <f>IFERROR(__xludf.DUMMYFUNCTION("""COMPUTED_VALUE"""),"DIFLUBENZURON CCAB 480 SC")</f>
        <v>DIFLUBENZURON CCAB 480 SC</v>
      </c>
      <c r="D18" s="4" t="str">
        <f>IFERROR(__xludf.DUMMYFUNCTION("""COMPUTED_VALUE"""),"CROPSTAR")</f>
        <v>CROPSTAR</v>
      </c>
      <c r="E18" s="4" t="str">
        <f>IFERROR(__xludf.DUMMYFUNCTION("""COMPUTED_VALUE"""),"Tec Bug")</f>
        <v>Tec Bug</v>
      </c>
      <c r="F18" s="4" t="str">
        <f>IFERROR(__xludf.DUMMYFUNCTION("""COMPUTED_VALUE"""),"CORDIUS C2795 CE 7.9")</f>
        <v>CORDIUS C2795 CE 7.9</v>
      </c>
      <c r="G18" s="6"/>
      <c r="H18" s="6"/>
      <c r="I18" s="6"/>
      <c r="J18" s="4" t="str">
        <f>IFERROR(__xludf.DUMMYFUNCTION("""COMPUTED_VALUE"""),"BRAVERO")</f>
        <v>BRAVERO</v>
      </c>
      <c r="K18" s="4" t="str">
        <f>IFERROR(__xludf.DUMMYFUNCTION("""COMPUTED_VALUE"""),"NH T7.260 + CASE 2213")</f>
        <v>NH T7.260 + CASE 2213</v>
      </c>
      <c r="L18" s="6"/>
      <c r="M18" s="5" t="s">
        <v>40</v>
      </c>
      <c r="N18" s="4">
        <v>40.0</v>
      </c>
    </row>
    <row r="19" ht="22.5" customHeight="1">
      <c r="A19" s="4" t="str">
        <f>IFERROR(__xludf.DUMMYFUNCTION("""COMPUTED_VALUE"""),"AZOXISTROBIN 200 + CIPROCONAZOL
 80 SC CCAB")</f>
        <v>AZOXISTROBIN 200 + CIPROCONAZOL
 80 SC CCAB</v>
      </c>
      <c r="B19" s="4" t="str">
        <f>IFERROR(__xludf.DUMMYFUNCTION("""COMPUTED_VALUE"""),"GLUFOSINATO CCAB 200 SL")</f>
        <v>GLUFOSINATO CCAB 200 SL</v>
      </c>
      <c r="C19" s="4" t="str">
        <f>IFERROR(__xludf.DUMMYFUNCTION("""COMPUTED_VALUE"""),"FIPRONIL 800 WG CCAB")</f>
        <v>FIPRONIL 800 WG CCAB</v>
      </c>
      <c r="D19" s="4" t="str">
        <f>IFERROR(__xludf.DUMMYFUNCTION("""COMPUTED_VALUE"""),"DERMACOR")</f>
        <v>DERMACOR</v>
      </c>
      <c r="E19" s="4" t="str">
        <f>IFERROR(__xludf.DUMMYFUNCTION("""COMPUTED_VALUE"""),"Solu Shield")</f>
        <v>Solu Shield</v>
      </c>
      <c r="F19" s="4" t="str">
        <f>IFERROR(__xludf.DUMMYFUNCTION("""COMPUTED_VALUE"""),"IMPETO")</f>
        <v>IMPETO</v>
      </c>
      <c r="G19" s="6"/>
      <c r="H19" s="6"/>
      <c r="I19" s="6"/>
      <c r="J19" s="4" t="str">
        <f>IFERROR(__xludf.DUMMYFUNCTION("""COMPUTED_VALUE"""),"Glyfort")</f>
        <v>Glyfort</v>
      </c>
      <c r="K19" s="4" t="str">
        <f>IFERROR(__xludf.DUMMYFUNCTION("""COMPUTED_VALUE""")," + ")</f>
        <v> + </v>
      </c>
      <c r="L19" s="6"/>
      <c r="M19" s="5" t="s">
        <v>41</v>
      </c>
      <c r="N19" s="4">
        <v>220.0</v>
      </c>
    </row>
    <row r="20" ht="22.5" customHeight="1">
      <c r="A20" s="4" t="str">
        <f>IFERROR(__xludf.DUMMYFUNCTION("""COMPUTED_VALUE"""),"MANCOZEB CCAB 750 WG")</f>
        <v>MANCOZEB CCAB 750 WG</v>
      </c>
      <c r="B20" s="4" t="str">
        <f>IFERROR(__xludf.DUMMYFUNCTION("""COMPUTED_VALUE"""),"MESOTRIONA CCAB 480 SC")</f>
        <v>MESOTRIONA CCAB 480 SC</v>
      </c>
      <c r="C20" s="4" t="str">
        <f>IFERROR(__xludf.DUMMYFUNCTION("""COMPUTED_VALUE"""),"INDOXACARB CCAB 150 SC")</f>
        <v>INDOXACARB CCAB 150 SC</v>
      </c>
      <c r="D20" s="4" t="str">
        <f>IFERROR(__xludf.DUMMYFUNCTION("""COMPUTED_VALUE"""),"OPTERASEED")</f>
        <v>OPTERASEED</v>
      </c>
      <c r="E20" s="4" t="str">
        <f>IFERROR(__xludf.DUMMYFUNCTION("""COMPUTED_VALUE"""),"Solu Strong")</f>
        <v>Solu Strong</v>
      </c>
      <c r="F20" s="4" t="str">
        <f>IFERROR(__xludf.DUMMYFUNCTION("""COMPUTED_VALUE"""),"NEO 790")</f>
        <v>NEO 790</v>
      </c>
      <c r="G20" s="6"/>
      <c r="H20" s="6"/>
      <c r="I20" s="6"/>
      <c r="J20" s="4" t="str">
        <f>IFERROR(__xludf.DUMMYFUNCTION("""COMPUTED_VALUE"""),"Fergsum")</f>
        <v>Fergsum</v>
      </c>
      <c r="K20" s="6"/>
      <c r="L20" s="6"/>
      <c r="M20" s="4" t="s">
        <v>42</v>
      </c>
      <c r="N20" s="4">
        <v>220.0</v>
      </c>
    </row>
    <row r="21" ht="15.75" customHeight="1">
      <c r="A21" s="4" t="str">
        <f>IFERROR(__xludf.DUMMYFUNCTION("""COMPUTED_VALUE"""),"APROACH POWER")</f>
        <v>APROACH POWER</v>
      </c>
      <c r="B21" s="4" t="str">
        <f>IFERROR(__xludf.DUMMYFUNCTION("""COMPUTED_VALUE"""),"TRICLOPIR CCAB 480 EC")</f>
        <v>TRICLOPIR CCAB 480 EC</v>
      </c>
      <c r="C21" s="4" t="str">
        <f>IFERROR(__xludf.DUMMYFUNCTION("""COMPUTED_VALUE"""),"EXALT")</f>
        <v>EXALT</v>
      </c>
      <c r="D21" s="4" t="str">
        <f>IFERROR(__xludf.DUMMYFUNCTION("""COMPUTED_VALUE"""),"AVICTA 500 FS")</f>
        <v>AVICTA 500 FS</v>
      </c>
      <c r="E21" s="4" t="str">
        <f>IFERROR(__xludf.DUMMYFUNCTION("""COMPUTED_VALUE"""),"Solu Leaf")</f>
        <v>Solu Leaf</v>
      </c>
      <c r="F21" s="4" t="str">
        <f>IFERROR(__xludf.DUMMYFUNCTION("""COMPUTED_VALUE"""),"APORÉ 7.3")</f>
        <v>APORÉ 7.3</v>
      </c>
      <c r="G21" s="6"/>
      <c r="H21" s="6"/>
      <c r="I21" s="6"/>
      <c r="J21" s="4" t="str">
        <f>IFERROR(__xludf.DUMMYFUNCTION("""COMPUTED_VALUE"""),"Spander")</f>
        <v>Spander</v>
      </c>
      <c r="K21" s="6"/>
      <c r="L21" s="6"/>
      <c r="M21" s="6"/>
      <c r="N21" s="4"/>
    </row>
    <row r="22" ht="15.75" customHeight="1">
      <c r="A22" s="4" t="str">
        <f>IFERROR(__xludf.DUMMYFUNCTION("""COMPUTED_VALUE"""),"APROACH PREMIUM")</f>
        <v>APROACH PREMIUM</v>
      </c>
      <c r="B22" s="4" t="str">
        <f>IFERROR(__xludf.DUMMYFUNCTION("""COMPUTED_VALUE"""),"ACCENT")</f>
        <v>ACCENT</v>
      </c>
      <c r="C22" s="4" t="str">
        <f>IFERROR(__xludf.DUMMYFUNCTION("""COMPUTED_VALUE"""),"EXPEDITION")</f>
        <v>EXPEDITION</v>
      </c>
      <c r="D22" s="4" t="str">
        <f>IFERROR(__xludf.DUMMYFUNCTION("""COMPUTED_VALUE"""),"CRUISER 350 FS")</f>
        <v>CRUISER 350 FS</v>
      </c>
      <c r="E22" s="4" t="str">
        <f>IFERROR(__xludf.DUMMYFUNCTION("""COMPUTED_VALUE"""),"Bio Hidric")</f>
        <v>Bio Hidric</v>
      </c>
      <c r="F22" s="4" t="str">
        <f>IFERROR(__xludf.DUMMYFUNCTION("""COMPUTED_VALUE"""),"GUAPÓ 7.7")</f>
        <v>GUAPÓ 7.7</v>
      </c>
      <c r="G22" s="6"/>
      <c r="H22" s="6"/>
      <c r="I22" s="6"/>
      <c r="J22" s="4" t="str">
        <f>IFERROR(__xludf.DUMMYFUNCTION("""COMPUTED_VALUE"""),"Halattus")</f>
        <v>Halattus</v>
      </c>
      <c r="K22" s="6"/>
      <c r="L22" s="6"/>
      <c r="M22" s="6"/>
      <c r="N22" s="4"/>
    </row>
    <row r="23" ht="15.75" customHeight="1">
      <c r="A23" s="4" t="str">
        <f>IFERROR(__xludf.DUMMYFUNCTION("""COMPUTED_VALUE"""),"BIM 750 BR")</f>
        <v>BIM 750 BR</v>
      </c>
      <c r="B23" s="4" t="str">
        <f>IFERROR(__xludf.DUMMYFUNCTION("""COMPUTED_VALUE"""),"CLASSIC")</f>
        <v>CLASSIC</v>
      </c>
      <c r="C23" s="4" t="str">
        <f>IFERROR(__xludf.DUMMYFUNCTION("""COMPUTED_VALUE"""),"INTREPID 240 SC")</f>
        <v>INTREPID 240 SC</v>
      </c>
      <c r="D23" s="4" t="str">
        <f>IFERROR(__xludf.DUMMYFUNCTION("""COMPUTED_VALUE"""),"FORTENZA 600 FS")</f>
        <v>FORTENZA 600 FS</v>
      </c>
      <c r="E23" s="4" t="str">
        <f>IFERROR(__xludf.DUMMYFUNCTION("""COMPUTED_VALUE"""),"Bio Bokashi")</f>
        <v>Bio Bokashi</v>
      </c>
      <c r="F23" s="4" t="str">
        <f>IFERROR(__xludf.DUMMYFUNCTION("""COMPUTED_VALUE"""),"MITICA 7.7")</f>
        <v>MITICA 7.7</v>
      </c>
      <c r="G23" s="6"/>
      <c r="H23" s="6"/>
      <c r="I23" s="6"/>
      <c r="J23" s="4" t="str">
        <f>IFERROR(__xludf.DUMMYFUNCTION("""COMPUTED_VALUE"""),"Sallvare Complex")</f>
        <v>Sallvare Complex</v>
      </c>
      <c r="K23" s="6"/>
      <c r="L23" s="6"/>
      <c r="M23" s="6"/>
      <c r="N23" s="4"/>
    </row>
    <row r="24" ht="15.75" customHeight="1">
      <c r="A24" s="4" t="str">
        <f>IFERROR(__xludf.DUMMYFUNCTION("""COMPUTED_VALUE"""),"BIM MAX")</f>
        <v>BIM MAX</v>
      </c>
      <c r="B24" s="4" t="str">
        <f>IFERROR(__xludf.DUMMYFUNCTION("""COMPUTED_VALUE"""),"CLINCHER")</f>
        <v>CLINCHER</v>
      </c>
      <c r="C24" s="4" t="str">
        <f>IFERROR(__xludf.DUMMYFUNCTION("""COMPUTED_VALUE"""),"INTREPID EDGE")</f>
        <v>INTREPID EDGE</v>
      </c>
      <c r="D24" s="4" t="str">
        <f>IFERROR(__xludf.DUMMYFUNCTION("""COMPUTED_VALUE"""),"ILEVO")</f>
        <v>ILEVO</v>
      </c>
      <c r="E24" s="4" t="str">
        <f>IFERROR(__xludf.DUMMYFUNCTION("""COMPUTED_VALUE"""),"Bio Oil")</f>
        <v>Bio Oil</v>
      </c>
      <c r="F24" s="4" t="str">
        <f>IFERROR(__xludf.DUMMYFUNCTION("""COMPUTED_VALUE"""),"TMG MURICI I2X 7.6")</f>
        <v>TMG MURICI I2X 7.6</v>
      </c>
      <c r="G24" s="6"/>
      <c r="H24" s="6"/>
      <c r="I24" s="6"/>
      <c r="J24" s="4" t="str">
        <f>IFERROR(__xludf.DUMMYFUNCTION("""COMPUTED_VALUE"""),"Zinctaus Complex")</f>
        <v>Zinctaus Complex</v>
      </c>
      <c r="K24" s="6"/>
      <c r="L24" s="6"/>
      <c r="M24" s="6"/>
      <c r="N24" s="4"/>
    </row>
    <row r="25" ht="15.75" customHeight="1">
      <c r="A25" s="4" t="str">
        <f>IFERROR(__xludf.DUMMYFUNCTION("""COMPUTED_VALUE"""),"ORANIS")</f>
        <v>ORANIS</v>
      </c>
      <c r="B25" s="4" t="str">
        <f>IFERROR(__xludf.DUMMYFUNCTION("""COMPUTED_VALUE"""),"ELEVORE")</f>
        <v>ELEVORE</v>
      </c>
      <c r="C25" s="4" t="str">
        <f>IFERROR(__xludf.DUMMYFUNCTION("""COMPUTED_VALUE"""),"LANNATE BR")</f>
        <v>LANNATE BR</v>
      </c>
      <c r="D25" s="4" t="str">
        <f>IFERROR(__xludf.DUMMYFUNCTION("""COMPUTED_VALUE"""),"PERMIT STAR")</f>
        <v>PERMIT STAR</v>
      </c>
      <c r="E25" s="4" t="str">
        <f>IFERROR(__xludf.DUMMYFUNCTION("""COMPUTED_VALUE"""),"Carbon Pro")</f>
        <v>Carbon Pro</v>
      </c>
      <c r="F25" s="4" t="str">
        <f>IFERROR(__xludf.DUMMYFUNCTION("""COMPUTED_VALUE"""),"DOMÍNIO 8.4")</f>
        <v>DOMÍNIO 8.4</v>
      </c>
      <c r="G25" s="6"/>
      <c r="H25" s="6"/>
      <c r="I25" s="6"/>
      <c r="J25" s="4" t="str">
        <f>IFERROR(__xludf.DUMMYFUNCTION("""COMPUTED_VALUE"""),"Emezine Complex")</f>
        <v>Emezine Complex</v>
      </c>
      <c r="K25" s="6"/>
      <c r="L25" s="6"/>
      <c r="M25" s="6"/>
      <c r="N25" s="4"/>
    </row>
    <row r="26" ht="15.75" customHeight="1">
      <c r="A26" s="4" t="str">
        <f>IFERROR(__xludf.DUMMYFUNCTION("""COMPUTED_VALUE"""),"VESSARYA")</f>
        <v>VESSARYA</v>
      </c>
      <c r="B26" s="4" t="str">
        <f>IFERROR(__xludf.DUMMYFUNCTION("""COMPUTED_VALUE"""),"ENLIST COLEX-D")</f>
        <v>ENLIST COLEX-D</v>
      </c>
      <c r="C26" s="4" t="str">
        <f>IFERROR(__xludf.DUMMYFUNCTION("""COMPUTED_VALUE"""),"ACETAMIPRID 250 G/KG + BIFENTHRIN
 250G/KG WG")</f>
        <v>ACETAMIPRID 250 G/KG + BIFENTHRIN
 250G/KG WG</v>
      </c>
      <c r="D26" s="6"/>
      <c r="E26" s="4" t="str">
        <f>IFERROR(__xludf.DUMMYFUNCTION("""COMPUTED_VALUE"""),"Essencial Mg")</f>
        <v>Essencial Mg</v>
      </c>
      <c r="F26" s="4" t="str">
        <f>IFERROR(__xludf.DUMMYFUNCTION("""COMPUTED_VALUE"""),"LENDA")</f>
        <v>LENDA</v>
      </c>
      <c r="G26" s="6"/>
      <c r="H26" s="6"/>
      <c r="I26" s="6"/>
      <c r="J26" s="4" t="str">
        <f>IFERROR(__xludf.DUMMYFUNCTION("""COMPUTED_VALUE"""),"Boratus Complex")</f>
        <v>Boratus Complex</v>
      </c>
      <c r="K26" s="6"/>
      <c r="L26" s="6"/>
      <c r="M26" s="6"/>
      <c r="N26" s="4"/>
    </row>
    <row r="27" ht="15.75" customHeight="1">
      <c r="A27" s="4" t="str">
        <f>IFERROR(__xludf.DUMMYFUNCTION("""COMPUTED_VALUE"""),"CHARRUA 430 SC")</f>
        <v>CHARRUA 430 SC</v>
      </c>
      <c r="B27" s="4" t="str">
        <f>IFERROR(__xludf.DUMMYFUNCTION("""COMPUTED_VALUE"""),"GAPPER")</f>
        <v>GAPPER</v>
      </c>
      <c r="C27" s="4" t="str">
        <f>IFERROR(__xludf.DUMMYFUNCTION("""COMPUTED_VALUE"""),"BAKANA 400 SC")</f>
        <v>BAKANA 400 SC</v>
      </c>
      <c r="D27" s="6"/>
      <c r="E27" s="4" t="str">
        <f>IFERROR(__xludf.DUMMYFUNCTION("""COMPUTED_VALUE"""),"Expelir")</f>
        <v>Expelir</v>
      </c>
      <c r="F27" s="4" t="str">
        <f>IFERROR(__xludf.DUMMYFUNCTION("""COMPUTED_VALUE"""),"BRASMAX HERA")</f>
        <v>BRASMAX HERA</v>
      </c>
      <c r="G27" s="6"/>
      <c r="H27" s="6"/>
      <c r="I27" s="6"/>
      <c r="J27" s="4" t="str">
        <f>IFERROR(__xludf.DUMMYFUNCTION("""COMPUTED_VALUE"""),"Magmill Complex")</f>
        <v>Magmill Complex</v>
      </c>
      <c r="K27" s="6"/>
      <c r="L27" s="6"/>
      <c r="M27" s="6"/>
      <c r="N27" s="4"/>
    </row>
    <row r="28" ht="15.75" customHeight="1">
      <c r="A28" s="4" t="str">
        <f>IFERROR(__xludf.DUMMYFUNCTION("""COMPUTED_VALUE"""),"SEVARE 250 EC")</f>
        <v>SEVARE 250 EC</v>
      </c>
      <c r="B28" s="4" t="str">
        <f>IFERROR(__xludf.DUMMYFUNCTION("""COMPUTED_VALUE"""),"PACTO")</f>
        <v>PACTO</v>
      </c>
      <c r="C28" s="4" t="str">
        <f>IFERROR(__xludf.DUMMYFUNCTION("""COMPUTED_VALUE"""),"KRATON 100 EC")</f>
        <v>KRATON 100 EC</v>
      </c>
      <c r="D28" s="6"/>
      <c r="E28" s="4" t="str">
        <f>IFERROR(__xludf.DUMMYFUNCTION("""COMPUTED_VALUE"""),"Primafert")</f>
        <v>Primafert</v>
      </c>
      <c r="F28" s="4" t="str">
        <f>IFERROR(__xludf.DUMMYFUNCTION("""COMPUTED_VALUE"""),"BRASMAX OLIMPO")</f>
        <v>BRASMAX OLIMPO</v>
      </c>
      <c r="G28" s="6"/>
      <c r="H28" s="6"/>
      <c r="I28" s="6"/>
      <c r="J28" s="4" t="str">
        <f>IFERROR(__xludf.DUMMYFUNCTION("""COMPUTED_VALUE"""),"Brave K")</f>
        <v>Brave K</v>
      </c>
      <c r="K28" s="6"/>
      <c r="L28" s="6"/>
      <c r="M28" s="6"/>
      <c r="N28" s="4"/>
    </row>
    <row r="29" ht="15.75" customHeight="1">
      <c r="A29" s="4" t="str">
        <f>IFERROR(__xludf.DUMMYFUNCTION("""COMPUTED_VALUE"""),"VENCER DUO")</f>
        <v>VENCER DUO</v>
      </c>
      <c r="B29" s="4" t="str">
        <f>IFERROR(__xludf.DUMMYFUNCTION("""COMPUTED_VALUE"""),"PAXEO")</f>
        <v>PAXEO</v>
      </c>
      <c r="C29" s="4" t="str">
        <f>IFERROR(__xludf.DUMMYFUNCTION("""COMPUTED_VALUE"""),"TAURA 200 EC")</f>
        <v>TAURA 200 EC</v>
      </c>
      <c r="D29" s="6"/>
      <c r="E29" s="4" t="str">
        <f>IFERROR(__xludf.DUMMYFUNCTION("""COMPUTED_VALUE"""),"Reserva")</f>
        <v>Reserva</v>
      </c>
      <c r="F29" s="4" t="str">
        <f>IFERROR(__xludf.DUMMYFUNCTION("""COMPUTED_VALUE"""),"S6525 I2X")</f>
        <v>S6525 I2X</v>
      </c>
      <c r="G29" s="6"/>
      <c r="H29" s="6"/>
      <c r="I29" s="6"/>
      <c r="J29" s="4" t="str">
        <f>IFERROR(__xludf.DUMMYFUNCTION("""COMPUTED_VALUE"""),"Brave Max Up")</f>
        <v>Brave Max Up</v>
      </c>
      <c r="K29" s="6"/>
      <c r="L29" s="6"/>
      <c r="M29" s="6"/>
      <c r="N29" s="4"/>
    </row>
    <row r="30" ht="15.75" customHeight="1">
      <c r="A30" s="4" t="str">
        <f>IFERROR(__xludf.DUMMYFUNCTION("""COMPUTED_VALUE"""),"ONSUVA")</f>
        <v>ONSUVA</v>
      </c>
      <c r="B30" s="4" t="str">
        <f>IFERROR(__xludf.DUMMYFUNCTION("""COMPUTED_VALUE"""),"SPIDER 840 WG")</f>
        <v>SPIDER 840 WG</v>
      </c>
      <c r="C30" s="4" t="str">
        <f>IFERROR(__xludf.DUMMYFUNCTION("""COMPUTED_VALUE"""),"BENEVIA")</f>
        <v>BENEVIA</v>
      </c>
      <c r="D30" s="6"/>
      <c r="E30" s="4" t="str">
        <f>IFERROR(__xludf.DUMMYFUNCTION("""COMPUTED_VALUE"""),"Tec Catp Pro Kit On-farm")</f>
        <v>Tec Catp Pro Kit On-farm</v>
      </c>
      <c r="F30" s="4" t="str">
        <f>IFERROR(__xludf.DUMMYFUNCTION("""COMPUTED_VALUE"""),"TMG ITAÚBA I2X")</f>
        <v>TMG ITAÚBA I2X</v>
      </c>
      <c r="G30" s="6"/>
      <c r="H30" s="6"/>
      <c r="I30" s="6"/>
      <c r="J30" s="4" t="str">
        <f>IFERROR(__xludf.DUMMYFUNCTION("""COMPUTED_VALUE"""),"MAX RAIZ")</f>
        <v>MAX RAIZ</v>
      </c>
      <c r="K30" s="6"/>
      <c r="L30" s="6"/>
      <c r="M30" s="6"/>
      <c r="N30" s="4"/>
    </row>
    <row r="31" ht="15.75" customHeight="1">
      <c r="A31" s="4" t="str">
        <f>IFERROR(__xludf.DUMMYFUNCTION("""COMPUTED_VALUE"""),"BOSCALID NORTOX 500 WG")</f>
        <v>BOSCALID NORTOX 500 WG</v>
      </c>
      <c r="B31" s="4" t="str">
        <f>IFERROR(__xludf.DUMMYFUNCTION("""COMPUTED_VALUE"""),"VERDICT ULTRA")</f>
        <v>VERDICT ULTRA</v>
      </c>
      <c r="C31" s="4" t="str">
        <f>IFERROR(__xludf.DUMMYFUNCTION("""COMPUTED_VALUE"""),"HERO")</f>
        <v>HERO</v>
      </c>
      <c r="D31" s="6"/>
      <c r="E31" s="4" t="str">
        <f>IFERROR(__xludf.DUMMYFUNCTION("""COMPUTED_VALUE"""),"Tec Bug Kit On-farm")</f>
        <v>Tec Bug Kit On-farm</v>
      </c>
      <c r="F31" s="4"/>
      <c r="G31" s="6"/>
      <c r="H31" s="6"/>
      <c r="I31" s="6"/>
      <c r="J31" s="4" t="str">
        <f>IFERROR(__xludf.DUMMYFUNCTION("""COMPUTED_VALUE"""),"Polyamine")</f>
        <v>Polyamine</v>
      </c>
      <c r="K31" s="6"/>
      <c r="L31" s="6"/>
      <c r="M31" s="6"/>
      <c r="N31" s="4"/>
    </row>
    <row r="32" ht="15.75" customHeight="1">
      <c r="A32" s="4" t="str">
        <f>IFERROR(__xludf.DUMMYFUNCTION("""COMPUTED_VALUE"""),"DIFENOCONAZOL NORTOX 250 SC")</f>
        <v>DIFENOCONAZOL NORTOX 250 SC</v>
      </c>
      <c r="B32" s="4" t="str">
        <f>IFERROR(__xludf.DUMMYFUNCTION("""COMPUTED_VALUE"""),"BLOWOUT")</f>
        <v>BLOWOUT</v>
      </c>
      <c r="C32" s="4" t="str">
        <f>IFERROR(__xludf.DUMMYFUNCTION("""COMPUTED_VALUE"""),"MALATHION UL")</f>
        <v>MALATHION UL</v>
      </c>
      <c r="D32" s="6"/>
      <c r="E32" s="4" t="str">
        <f>IFERROR(__xludf.DUMMYFUNCTION("""COMPUTED_VALUE"""),"Solu Shield Kit On-farm")</f>
        <v>Solu Shield Kit On-farm</v>
      </c>
      <c r="F32" s="4" t="str">
        <f>IFERROR(__xludf.DUMMYFUNCTION("""COMPUTED_VALUE"""),"SEMENTE SOJA RR")</f>
        <v>SEMENTE SOJA RR</v>
      </c>
      <c r="G32" s="6"/>
      <c r="H32" s="6"/>
      <c r="I32" s="6"/>
      <c r="J32" s="4" t="str">
        <f>IFERROR(__xludf.DUMMYFUNCTION("""COMPUTED_VALUE"""),"Sulfato de Magnésio")</f>
        <v>Sulfato de Magnésio</v>
      </c>
      <c r="K32" s="6"/>
      <c r="L32" s="6"/>
      <c r="M32" s="6"/>
      <c r="N32" s="4"/>
    </row>
    <row r="33" ht="15.75" customHeight="1">
      <c r="A33" s="4" t="str">
        <f>IFERROR(__xludf.DUMMYFUNCTION("""COMPUTED_VALUE"""),"FLUAZINAM NORTOX 500 SC")</f>
        <v>FLUAZINAM NORTOX 500 SC</v>
      </c>
      <c r="B33" s="4" t="str">
        <f>IFERROR(__xludf.DUMMYFUNCTION("""COMPUTED_VALUE"""),"CLETODIM 240 EC BRILLIANCE")</f>
        <v>CLETODIM 240 EC BRILLIANCE</v>
      </c>
      <c r="C33" s="4" t="str">
        <f>IFERROR(__xludf.DUMMYFUNCTION("""COMPUTED_VALUE"""),"MUSTANG 350 EC")</f>
        <v>MUSTANG 350 EC</v>
      </c>
      <c r="D33" s="6"/>
      <c r="E33" s="4" t="str">
        <f>IFERROR(__xludf.DUMMYFUNCTION("""COMPUTED_VALUE"""),"Solu Strong Kit On-farm")</f>
        <v>Solu Strong Kit On-farm</v>
      </c>
      <c r="F33" s="4" t="str">
        <f>IFERROR(__xludf.DUMMYFUNCTION("""COMPUTED_VALUE"""),"BRACHIARIA RUZIZIENCES")</f>
        <v>BRACHIARIA RUZIZIENCES</v>
      </c>
      <c r="G33" s="6"/>
      <c r="H33" s="6"/>
      <c r="I33" s="6"/>
      <c r="J33" s="4" t="str">
        <f>IFERROR(__xludf.DUMMYFUNCTION("""COMPUTED_VALUE"""),"Map Purificado")</f>
        <v>Map Purificado</v>
      </c>
      <c r="K33" s="6"/>
      <c r="L33" s="6"/>
      <c r="M33" s="6"/>
      <c r="N33" s="4"/>
    </row>
    <row r="34" ht="15.75" customHeight="1">
      <c r="A34" s="4" t="str">
        <f>IFERROR(__xludf.DUMMYFUNCTION("""COMPUTED_VALUE"""),"FLUTRIAFOL NORTOX")</f>
        <v>FLUTRIAFOL NORTOX</v>
      </c>
      <c r="B34" s="4" t="str">
        <f>IFERROR(__xludf.DUMMYFUNCTION("""COMPUTED_VALUE"""),"GLUFOS-WYN 880")</f>
        <v>GLUFOS-WYN 880</v>
      </c>
      <c r="C34" s="4" t="str">
        <f>IFERROR(__xludf.DUMMYFUNCTION("""COMPUTED_VALUE"""),"PREMIO")</f>
        <v>PREMIO</v>
      </c>
      <c r="D34" s="6"/>
      <c r="E34" s="4" t="str">
        <f>IFERROR(__xludf.DUMMYFUNCTION("""COMPUTED_VALUE"""),"Solu Leaf Kit On-farm")</f>
        <v>Solu Leaf Kit On-farm</v>
      </c>
      <c r="F34" s="4" t="str">
        <f>IFERROR(__xludf.DUMMYFUNCTION("""COMPUTED_VALUE"""),"CAPIM MIAGE")</f>
        <v>CAPIM MIAGE</v>
      </c>
      <c r="G34" s="6"/>
      <c r="H34" s="6"/>
      <c r="I34" s="6"/>
      <c r="J34" s="4" t="str">
        <f>IFERROR(__xludf.DUMMYFUNCTION("""COMPUTED_VALUE"""),"MANGAN 10")</f>
        <v>MANGAN 10</v>
      </c>
      <c r="K34" s="6"/>
      <c r="L34" s="6"/>
      <c r="M34" s="6"/>
      <c r="N34" s="4"/>
    </row>
    <row r="35" ht="15.75" customHeight="1">
      <c r="A35" s="4" t="str">
        <f>IFERROR(__xludf.DUMMYFUNCTION("""COMPUTED_VALUE"""),"PROPICONAZOLE NORTOX 500 EC")</f>
        <v>PROPICONAZOLE NORTOX 500 EC</v>
      </c>
      <c r="B35" s="4" t="str">
        <f>IFERROR(__xludf.DUMMYFUNCTION("""COMPUTED_VALUE"""),"GINETE 212 SL")</f>
        <v>GINETE 212 SL</v>
      </c>
      <c r="C35" s="4" t="str">
        <f>IFERROR(__xludf.DUMMYFUNCTION("""COMPUTED_VALUE"""),"TALISMAN")</f>
        <v>TALISMAN</v>
      </c>
      <c r="D35" s="6"/>
      <c r="E35" s="4" t="str">
        <f>IFERROR(__xludf.DUMMYFUNCTION("""COMPUTED_VALUE"""),"Bio Hidric Kit On-farm")</f>
        <v>Bio Hidric Kit On-farm</v>
      </c>
      <c r="F35" s="4" t="str">
        <f>IFERROR(__xludf.DUMMYFUNCTION("""COMPUTED_VALUE"""),"TMG INGÁ I2X 6.9")</f>
        <v>TMG INGÁ I2X 6.9</v>
      </c>
      <c r="G35" s="6"/>
      <c r="H35" s="6"/>
      <c r="I35" s="6"/>
      <c r="J35" s="4" t="str">
        <f>IFERROR(__xludf.DUMMYFUNCTION("""COMPUTED_VALUE"""),"NHT ZINCO")</f>
        <v>NHT ZINCO</v>
      </c>
      <c r="K35" s="6"/>
      <c r="L35" s="6"/>
      <c r="M35" s="6"/>
      <c r="N35" s="4"/>
    </row>
    <row r="36" ht="15.75" customHeight="1">
      <c r="A36" s="4" t="str">
        <f>IFERROR(__xludf.DUMMYFUNCTION("""COMPUTED_VALUE"""),"PROTECTION NORTOX")</f>
        <v>PROTECTION NORTOX</v>
      </c>
      <c r="B36" s="4" t="str">
        <f>IFERROR(__xludf.DUMMYFUNCTION("""COMPUTED_VALUE"""),"AURORA 400 EC")</f>
        <v>AURORA 400 EC</v>
      </c>
      <c r="C36" s="4" t="str">
        <f>IFERROR(__xludf.DUMMYFUNCTION("""COMPUTED_VALUE"""),"TALSTAR 400")</f>
        <v>TALSTAR 400</v>
      </c>
      <c r="D36" s="6"/>
      <c r="E36" s="4" t="str">
        <f>IFERROR(__xludf.DUMMYFUNCTION("""COMPUTED_VALUE"""),"Bio Bokashi Kit On-farm")</f>
        <v>Bio Bokashi Kit On-farm</v>
      </c>
      <c r="F36" s="4" t="str">
        <f>IFERROR(__xludf.DUMMYFUNCTION("""COMPUTED_VALUE"""),"TMG 2383 IPRO 8.3")</f>
        <v>TMG 2383 IPRO 8.3</v>
      </c>
      <c r="G36" s="6"/>
      <c r="H36" s="6"/>
      <c r="I36" s="6"/>
      <c r="J36" s="4" t="str">
        <f>IFERROR(__xludf.DUMMYFUNCTION("""COMPUTED_VALUE"""),"KELLUS CUPPER")</f>
        <v>KELLUS CUPPER</v>
      </c>
      <c r="K36" s="6"/>
      <c r="L36" s="6"/>
      <c r="M36" s="6"/>
      <c r="N36" s="4"/>
    </row>
    <row r="37" ht="15.75" customHeight="1">
      <c r="A37" s="4" t="str">
        <f>IFERROR(__xludf.DUMMYFUNCTION("""COMPUTED_VALUE"""),"TEBUCO 430 SC NORTOX")</f>
        <v>TEBUCO 430 SC NORTOX</v>
      </c>
      <c r="B37" s="4" t="str">
        <f>IFERROR(__xludf.DUMMYFUNCTION("""COMPUTED_VALUE"""),"AZUGRO")</f>
        <v>AZUGRO</v>
      </c>
      <c r="C37" s="4" t="str">
        <f>IFERROR(__xludf.DUMMYFUNCTION("""COMPUTED_VALUE"""),"VERIMARK")</f>
        <v>VERIMARK</v>
      </c>
      <c r="D37" s="6"/>
      <c r="E37" s="4" t="str">
        <f>IFERROR(__xludf.DUMMYFUNCTION("""COMPUTED_VALUE"""),"Tec White Kit On-farm")</f>
        <v>Tec White Kit On-farm</v>
      </c>
      <c r="F37" s="4" t="str">
        <f>IFERROR(__xludf.DUMMYFUNCTION("""COMPUTED_VALUE"""),"BRACHIARIA BASICA")</f>
        <v>BRACHIARIA BASICA</v>
      </c>
      <c r="G37" s="6"/>
      <c r="H37" s="6"/>
      <c r="I37" s="6"/>
      <c r="J37" s="4" t="str">
        <f>IFERROR(__xludf.DUMMYFUNCTION("""COMPUTED_VALUE"""),"MOLIBIDENIO 16")</f>
        <v>MOLIBIDENIO 16</v>
      </c>
      <c r="K37" s="6"/>
      <c r="L37" s="6"/>
      <c r="M37" s="6"/>
      <c r="N37" s="4"/>
    </row>
    <row r="38" ht="15.75" customHeight="1">
      <c r="A38" s="4" t="str">
        <f>IFERROR(__xludf.DUMMYFUNCTION("""COMPUTED_VALUE"""),"TEBUCO A NORTOX")</f>
        <v>TEBUCO A NORTOX</v>
      </c>
      <c r="B38" s="4" t="str">
        <f>IFERROR(__xludf.DUMMYFUNCTION("""COMPUTED_VALUE"""),"BORAL")</f>
        <v>BORAL</v>
      </c>
      <c r="C38" s="4" t="str">
        <f>IFERROR(__xludf.DUMMYFUNCTION("""COMPUTED_VALUE"""),"ABAMECTIN 72 EC NORTOX")</f>
        <v>ABAMECTIN 72 EC NORTOX</v>
      </c>
      <c r="D38" s="6"/>
      <c r="E38" s="4" t="str">
        <f>IFERROR(__xludf.DUMMYFUNCTION("""COMPUTED_VALUE"""),"Bio Solubilize Kit On-farm")</f>
        <v>Bio Solubilize Kit On-farm</v>
      </c>
      <c r="F38" s="4" t="str">
        <f>IFERROR(__xludf.DUMMYFUNCTION("""COMPUTED_VALUE"""),"GH 2478 IPRO 8.1")</f>
        <v>GH 2478 IPRO 8.1</v>
      </c>
      <c r="G38" s="6"/>
      <c r="H38" s="6"/>
      <c r="I38" s="6"/>
      <c r="J38" s="4" t="str">
        <f>IFERROR(__xludf.DUMMYFUNCTION("""COMPUTED_VALUE"""),"ZINCO 10")</f>
        <v>ZINCO 10</v>
      </c>
      <c r="K38" s="6"/>
      <c r="L38" s="6"/>
      <c r="M38" s="6"/>
      <c r="N38" s="4"/>
    </row>
    <row r="39" ht="15.75" customHeight="1">
      <c r="A39" s="4" t="str">
        <f>IFERROR(__xludf.DUMMYFUNCTION("""COMPUTED_VALUE"""),"TIOFANATO NORTOX")</f>
        <v>TIOFANATO NORTOX</v>
      </c>
      <c r="B39" s="4" t="str">
        <f>IFERROR(__xludf.DUMMYFUNCTION("""COMPUTED_VALUE"""),"REATOR 360 CS")</f>
        <v>REATOR 360 CS</v>
      </c>
      <c r="C39" s="4" t="str">
        <f>IFERROR(__xludf.DUMMYFUNCTION("""COMPUTED_VALUE"""),"CIPERMETRINA NORTOX")</f>
        <v>CIPERMETRINA NORTOX</v>
      </c>
      <c r="D39" s="6"/>
      <c r="E39" s="4" t="str">
        <f>IFERROR(__xludf.DUMMYFUNCTION("""COMPUTED_VALUE"""),"Bio Release Kit On-farm")</f>
        <v>Bio Release Kit On-farm</v>
      </c>
      <c r="F39" s="4" t="str">
        <f>IFERROR(__xludf.DUMMYFUNCTION("""COMPUTED_VALUE"""),"HO COCARI I2X 8.2")</f>
        <v>HO COCARI I2X 8.2</v>
      </c>
      <c r="G39" s="6"/>
      <c r="H39" s="6"/>
      <c r="I39" s="6"/>
      <c r="J39" s="4" t="str">
        <f>IFERROR(__xludf.DUMMYFUNCTION("""COMPUTED_VALUE"""),"Potenza NiCoMo")</f>
        <v>Potenza NiCoMo</v>
      </c>
      <c r="K39" s="6"/>
      <c r="L39" s="6"/>
      <c r="M39" s="6"/>
      <c r="N39" s="4"/>
    </row>
    <row r="40" ht="15.75" customHeight="1">
      <c r="A40" s="4" t="str">
        <f>IFERROR(__xludf.DUMMYFUNCTION("""COMPUTED_VALUE"""),"ACADEMIC")</f>
        <v>ACADEMIC</v>
      </c>
      <c r="B40" s="4" t="str">
        <f>IFERROR(__xludf.DUMMYFUNCTION("""COMPUTED_VALUE"""),"STONE")</f>
        <v>STONE</v>
      </c>
      <c r="C40" s="4" t="str">
        <f>IFERROR(__xludf.DUMMYFUNCTION("""COMPUTED_VALUE"""),"CLORANTRANILIPROLE NORTOX 400 SC")</f>
        <v>CLORANTRANILIPROLE NORTOX 400 SC</v>
      </c>
      <c r="D40" s="6"/>
      <c r="E40" s="4" t="str">
        <f>IFERROR(__xludf.DUMMYFUNCTION("""COMPUTED_VALUE"""),"Bio Raiz Plus Kit On-farm")</f>
        <v>Bio Raiz Plus Kit On-farm</v>
      </c>
      <c r="F40" s="4" t="str">
        <f>IFERROR(__xludf.DUMMYFUNCTION("""COMPUTED_VALUE"""),"SEMENTE DE SORGO")</f>
        <v>SEMENTE DE SORGO</v>
      </c>
      <c r="G40" s="6"/>
      <c r="H40" s="6"/>
      <c r="I40" s="6"/>
      <c r="J40" s="6"/>
      <c r="K40" s="6"/>
      <c r="L40" s="6"/>
      <c r="M40" s="6"/>
      <c r="N40" s="4"/>
    </row>
    <row r="41" ht="15.75" customHeight="1">
      <c r="A41" s="4" t="str">
        <f>IFERROR(__xludf.DUMMYFUNCTION("""COMPUTED_VALUE"""),"BRISA WG")</f>
        <v>BRISA WG</v>
      </c>
      <c r="B41" s="4" t="str">
        <f>IFERROR(__xludf.DUMMYFUNCTION("""COMPUTED_VALUE"""),"ARKEIRO NORTOX")</f>
        <v>ARKEIRO NORTOX</v>
      </c>
      <c r="C41" s="4" t="str">
        <f>IFERROR(__xludf.DUMMYFUNCTION("""COMPUTED_VALUE"""),"CLORFENAPIR NORTOX")</f>
        <v>CLORFENAPIR NORTOX</v>
      </c>
      <c r="D41" s="6"/>
      <c r="E41" s="4" t="str">
        <f>IFERROR(__xludf.DUMMYFUNCTION("""COMPUTED_VALUE"""),"Bio Balance Kit On-farm")</f>
        <v>Bio Balance Kit On-farm</v>
      </c>
      <c r="F41" s="6"/>
      <c r="G41" s="6"/>
      <c r="H41" s="6"/>
      <c r="I41" s="6"/>
      <c r="J41" s="6"/>
      <c r="K41" s="6"/>
      <c r="L41" s="6"/>
      <c r="M41" s="6"/>
      <c r="N41" s="4"/>
    </row>
    <row r="42" ht="15.75" customHeight="1">
      <c r="A42" s="4" t="str">
        <f>IFERROR(__xludf.DUMMYFUNCTION("""COMPUTED_VALUE"""),"CUPROZEB")</f>
        <v>CUPROZEB</v>
      </c>
      <c r="B42" s="4" t="str">
        <f>IFERROR(__xludf.DUMMYFUNCTION("""COMPUTED_VALUE"""),"CLETODIM OLEUM NORTOX")</f>
        <v>CLETODIM OLEUM NORTOX</v>
      </c>
      <c r="C42" s="4" t="str">
        <f>IFERROR(__xludf.DUMMYFUNCTION("""COMPUTED_VALUE"""),"CLORPIRIFÓS NORTOX EC")</f>
        <v>CLORPIRIFÓS NORTOX EC</v>
      </c>
      <c r="D42" s="6"/>
      <c r="E42" s="4" t="str">
        <f>IFERROR(__xludf.DUMMYFUNCTION("""COMPUTED_VALUE"""),"SoluBio Raiz Performance Kit On-farm,")</f>
        <v>SoluBio Raiz Performance Kit On-farm,</v>
      </c>
      <c r="F42" s="6"/>
      <c r="G42" s="6"/>
      <c r="H42" s="6"/>
      <c r="I42" s="6"/>
      <c r="J42" s="6"/>
      <c r="K42" s="6"/>
      <c r="L42" s="6"/>
      <c r="M42" s="6"/>
      <c r="N42" s="4"/>
    </row>
    <row r="43" ht="15.75" customHeight="1">
      <c r="A43" s="4" t="str">
        <f>IFERROR(__xludf.DUMMYFUNCTION("""COMPUTED_VALUE"""),"SUPPORT WG")</f>
        <v>SUPPORT WG</v>
      </c>
      <c r="B43" s="4" t="str">
        <f>IFERROR(__xludf.DUMMYFUNCTION("""COMPUTED_VALUE"""),"CLORIMUROM MAX NORTOX")</f>
        <v>CLORIMUROM MAX NORTOX</v>
      </c>
      <c r="C43" s="4" t="str">
        <f>IFERROR(__xludf.DUMMYFUNCTION("""COMPUTED_VALUE"""),"DIAFENTIURON NORTOX")</f>
        <v>DIAFENTIURON NORTOX</v>
      </c>
      <c r="D43" s="6"/>
      <c r="E43" s="4" t="str">
        <f>IFERROR(__xludf.DUMMYFUNCTION("""COMPUTED_VALUE"""),"Tec Isaria Kit On-farm")</f>
        <v>Tec Isaria Kit On-farm</v>
      </c>
      <c r="F43" s="6"/>
      <c r="G43" s="6"/>
      <c r="H43" s="6"/>
      <c r="I43" s="6"/>
      <c r="J43" s="6"/>
      <c r="K43" s="6"/>
      <c r="L43" s="6"/>
      <c r="M43" s="6"/>
      <c r="N43" s="4"/>
    </row>
    <row r="44" ht="15.75" customHeight="1">
      <c r="A44" s="4" t="str">
        <f>IFERROR(__xludf.DUMMYFUNCTION("""COMPUTED_VALUE"""),"VITENE")</f>
        <v>VITENE</v>
      </c>
      <c r="B44" s="4" t="str">
        <f>IFERROR(__xludf.DUMMYFUNCTION("""COMPUTED_VALUE"""),"FLUROXIPIR NORTOX")</f>
        <v>FLUROXIPIR NORTOX</v>
      </c>
      <c r="C44" s="4" t="str">
        <f>IFERROR(__xludf.DUMMYFUNCTION("""COMPUTED_VALUE"""),"IMIDACLOPRID NORTOX 480 SC")</f>
        <v>IMIDACLOPRID NORTOX 480 SC</v>
      </c>
      <c r="D44" s="6"/>
      <c r="E44" s="6"/>
      <c r="F44" s="6"/>
      <c r="G44" s="6"/>
      <c r="H44" s="6"/>
      <c r="I44" s="6"/>
      <c r="J44" s="6"/>
      <c r="K44" s="6"/>
      <c r="L44" s="6"/>
      <c r="M44" s="6"/>
      <c r="N44" s="4"/>
    </row>
    <row r="45" ht="15.75" customHeight="1">
      <c r="A45" s="4" t="str">
        <f>IFERROR(__xludf.DUMMYFUNCTION("""COMPUTED_VALUE"""),"CARTAP BR 500")</f>
        <v>CARTAP BR 500</v>
      </c>
      <c r="B45" s="4" t="str">
        <f>IFERROR(__xludf.DUMMYFUNCTION("""COMPUTED_VALUE"""),"GLUFOSINATO NORTOX 880 SG")</f>
        <v>GLUFOSINATO NORTOX 880 SG</v>
      </c>
      <c r="C45" s="4" t="str">
        <f>IFERROR(__xludf.DUMMYFUNCTION("""COMPUTED_VALUE"""),"METOMIL 215 SL NORTOX")</f>
        <v>METOMIL 215 SL NORTOX</v>
      </c>
      <c r="D45" s="6"/>
      <c r="E45" s="6"/>
      <c r="F45" s="6"/>
      <c r="G45" s="6"/>
      <c r="H45" s="6"/>
      <c r="I45" s="6"/>
      <c r="J45" s="6"/>
      <c r="K45" s="6"/>
      <c r="L45" s="6"/>
      <c r="M45" s="6"/>
      <c r="N45" s="4"/>
    </row>
    <row r="46" ht="15.75" customHeight="1">
      <c r="A46" s="4" t="str">
        <f>IFERROR(__xludf.DUMMYFUNCTION("""COMPUTED_VALUE"""),"CURADO")</f>
        <v>CURADO</v>
      </c>
      <c r="B46" s="4" t="str">
        <f>IFERROR(__xludf.DUMMYFUNCTION("""COMPUTED_VALUE"""),"IMAZETAPIR NORTOX")</f>
        <v>IMAZETAPIR NORTOX</v>
      </c>
      <c r="C46" s="4" t="str">
        <f>IFERROR(__xludf.DUMMYFUNCTION("""COMPUTED_VALUE"""),"PIRIPROXIFEN NORTOX")</f>
        <v>PIRIPROXIFEN NORTOX</v>
      </c>
      <c r="D46" s="6"/>
      <c r="E46" s="6"/>
      <c r="F46" s="6"/>
      <c r="G46" s="6"/>
      <c r="H46" s="6"/>
      <c r="I46" s="6"/>
      <c r="J46" s="6"/>
      <c r="K46" s="6"/>
      <c r="L46" s="6"/>
      <c r="M46" s="6"/>
      <c r="N46" s="4"/>
    </row>
    <row r="47" ht="15.75" customHeight="1">
      <c r="A47" s="4" t="str">
        <f>IFERROR(__xludf.DUMMYFUNCTION("""COMPUTED_VALUE"""),"EXCALIA MAX")</f>
        <v>EXCALIA MAX</v>
      </c>
      <c r="B47" s="4" t="str">
        <f>IFERROR(__xludf.DUMMYFUNCTION("""COMPUTED_VALUE"""),"MESOTRIONA NORTOX")</f>
        <v>MESOTRIONA NORTOX</v>
      </c>
      <c r="C47" s="4" t="str">
        <f>IFERROR(__xludf.DUMMYFUNCTION("""COMPUTED_VALUE"""),"TEMPUS NORTOX")</f>
        <v>TEMPUS NORTOX</v>
      </c>
      <c r="D47" s="6"/>
      <c r="E47" s="6"/>
      <c r="F47" s="6"/>
      <c r="G47" s="6"/>
      <c r="H47" s="6"/>
      <c r="I47" s="6"/>
      <c r="J47" s="6"/>
      <c r="K47" s="6"/>
      <c r="L47" s="6"/>
      <c r="M47" s="6"/>
      <c r="N47" s="4"/>
    </row>
    <row r="48" ht="15.75" customHeight="1">
      <c r="A48" s="4" t="str">
        <f>IFERROR(__xludf.DUMMYFUNCTION("""COMPUTED_VALUE"""),"PLADIUS")</f>
        <v>PLADIUS</v>
      </c>
      <c r="B48" s="4" t="str">
        <f>IFERROR(__xludf.DUMMYFUNCTION("""COMPUTED_VALUE"""),"TRIFLURALINA NORTOX GOLD")</f>
        <v>TRIFLURALINA NORTOX GOLD</v>
      </c>
      <c r="C48" s="4" t="str">
        <f>IFERROR(__xludf.DUMMYFUNCTION("""COMPUTED_VALUE"""),"TYPHOON NORTOX")</f>
        <v>TYPHOON NORTOX</v>
      </c>
      <c r="D48" s="6"/>
      <c r="E48" s="6"/>
      <c r="F48" s="6"/>
      <c r="G48" s="6"/>
      <c r="H48" s="6"/>
      <c r="I48" s="6"/>
      <c r="J48" s="6"/>
      <c r="K48" s="6"/>
      <c r="L48" s="6"/>
      <c r="M48" s="6"/>
      <c r="N48" s="4"/>
    </row>
    <row r="49" ht="15.75" customHeight="1">
      <c r="A49" s="4" t="str">
        <f>IFERROR(__xludf.DUMMYFUNCTION("""COMPUTED_VALUE"""),"SIALEX 500")</f>
        <v>SIALEX 500</v>
      </c>
      <c r="B49" s="4" t="str">
        <f>IFERROR(__xludf.DUMMYFUNCTION("""COMPUTED_VALUE"""),"CLICK")</f>
        <v>CLICK</v>
      </c>
      <c r="C49" s="4" t="str">
        <f>IFERROR(__xludf.DUMMYFUNCTION("""COMPUTED_VALUE"""),"ABADAY")</f>
        <v>ABADAY</v>
      </c>
      <c r="D49" s="6"/>
      <c r="E49" s="6"/>
      <c r="F49" s="6"/>
      <c r="G49" s="6"/>
      <c r="H49" s="6"/>
      <c r="I49" s="6"/>
      <c r="J49" s="6"/>
      <c r="K49" s="6"/>
      <c r="L49" s="6"/>
      <c r="M49" s="6"/>
      <c r="N49" s="4"/>
    </row>
    <row r="50" ht="15.75" customHeight="1">
      <c r="A50" s="4" t="str">
        <f>IFERROR(__xludf.DUMMYFUNCTION("""COMPUTED_VALUE"""),"TAMIZ")</f>
        <v>TAMIZ</v>
      </c>
      <c r="B50" s="4" t="str">
        <f>IFERROR(__xludf.DUMMYFUNCTION("""COMPUTED_VALUE"""),"VOLCANE")</f>
        <v>VOLCANE</v>
      </c>
      <c r="C50" s="4" t="str">
        <f>IFERROR(__xludf.DUMMYFUNCTION("""COMPUTED_VALUE"""),"CARNADINE")</f>
        <v>CARNADINE</v>
      </c>
      <c r="D50" s="6"/>
      <c r="E50" s="6"/>
      <c r="F50" s="6"/>
      <c r="G50" s="6"/>
      <c r="H50" s="6"/>
      <c r="I50" s="6"/>
      <c r="J50" s="6"/>
      <c r="K50" s="6"/>
      <c r="L50" s="6"/>
      <c r="M50" s="6"/>
      <c r="N50" s="4"/>
    </row>
    <row r="51" ht="15.75" customHeight="1">
      <c r="A51" s="4" t="str">
        <f>IFERROR(__xludf.DUMMYFUNCTION("""COMPUTED_VALUE"""),"TROIA")</f>
        <v>TROIA</v>
      </c>
      <c r="B51" s="4" t="str">
        <f>IFERROR(__xludf.DUMMYFUNCTION("""COMPUTED_VALUE"""),"CRUCIAL")</f>
        <v>CRUCIAL</v>
      </c>
      <c r="C51" s="4" t="str">
        <f>IFERROR(__xludf.DUMMYFUNCTION("""COMPUTED_VALUE"""),"CARTAP BR 500")</f>
        <v>CARTAP BR 500</v>
      </c>
      <c r="D51" s="6"/>
      <c r="E51" s="6"/>
      <c r="F51" s="6"/>
      <c r="G51" s="6"/>
      <c r="H51" s="6"/>
      <c r="I51" s="6"/>
      <c r="J51" s="6"/>
      <c r="K51" s="6"/>
      <c r="L51" s="6"/>
      <c r="M51" s="6"/>
      <c r="N51" s="4"/>
    </row>
    <row r="52" ht="15.75" customHeight="1">
      <c r="A52" s="4" t="str">
        <f>IFERROR(__xludf.DUMMYFUNCTION("""COMPUTED_VALUE"""),"ALADE")</f>
        <v>ALADE</v>
      </c>
      <c r="B52" s="4" t="str">
        <f>IFERROR(__xludf.DUMMYFUNCTION("""COMPUTED_VALUE"""),"SUMYZIN 500 SC")</f>
        <v>SUMYZIN 500 SC</v>
      </c>
      <c r="C52" s="4" t="str">
        <f>IFERROR(__xludf.DUMMYFUNCTION("""COMPUTED_VALUE"""),"INSIDE FS")</f>
        <v>INSIDE FS</v>
      </c>
      <c r="D52" s="6"/>
      <c r="E52" s="6"/>
      <c r="F52" s="6"/>
      <c r="G52" s="6"/>
      <c r="H52" s="6"/>
      <c r="I52" s="6"/>
      <c r="J52" s="6"/>
      <c r="K52" s="6"/>
      <c r="L52" s="6"/>
      <c r="M52" s="6"/>
      <c r="N52" s="4"/>
    </row>
    <row r="53" ht="15.75" customHeight="1">
      <c r="A53" s="4" t="str">
        <f>IFERROR(__xludf.DUMMYFUNCTION("""COMPUTED_VALUE"""),"AMISTAR TOP")</f>
        <v>AMISTAR TOP</v>
      </c>
      <c r="B53" s="4" t="str">
        <f>IFERROR(__xludf.DUMMYFUNCTION("""COMPUTED_VALUE"""),"U 46 BR")</f>
        <v>U 46 BR</v>
      </c>
      <c r="C53" s="4" t="str">
        <f>IFERROR(__xludf.DUMMYFUNCTION("""COMPUTED_VALUE"""),"KAISO MAX")</f>
        <v>KAISO MAX</v>
      </c>
      <c r="D53" s="6"/>
      <c r="E53" s="6"/>
      <c r="F53" s="6"/>
      <c r="G53" s="6"/>
      <c r="H53" s="6"/>
      <c r="I53" s="6"/>
      <c r="J53" s="6"/>
      <c r="K53" s="6"/>
      <c r="L53" s="6"/>
      <c r="M53" s="6"/>
      <c r="N53" s="4"/>
    </row>
    <row r="54" ht="15.75" customHeight="1">
      <c r="A54" s="4" t="str">
        <f>IFERROR(__xludf.DUMMYFUNCTION("""COMPUTED_VALUE"""),"AUGE")</f>
        <v>AUGE</v>
      </c>
      <c r="B54" s="4" t="str">
        <f>IFERROR(__xludf.DUMMYFUNCTION("""COMPUTED_VALUE"""),"ZETHAMAXX")</f>
        <v>ZETHAMAXX</v>
      </c>
      <c r="C54" s="4" t="str">
        <f>IFERROR(__xludf.DUMMYFUNCTION("""COMPUTED_VALUE"""),"KLORPAN 480 EC")</f>
        <v>KLORPAN 480 EC</v>
      </c>
      <c r="D54" s="6"/>
      <c r="E54" s="6"/>
      <c r="F54" s="6"/>
      <c r="G54" s="6"/>
      <c r="H54" s="6"/>
      <c r="I54" s="6"/>
      <c r="J54" s="6"/>
      <c r="K54" s="6"/>
      <c r="L54" s="6"/>
      <c r="M54" s="6"/>
      <c r="N54" s="4"/>
    </row>
    <row r="55" ht="15.75" customHeight="1">
      <c r="A55" s="4" t="str">
        <f>IFERROR(__xludf.DUMMYFUNCTION("""COMPUTED_VALUE"""),"BRAVONIL 720")</f>
        <v>BRAVONIL 720</v>
      </c>
      <c r="B55" s="4" t="str">
        <f>IFERROR(__xludf.DUMMYFUNCTION("""COMPUTED_VALUE"""),"ZETHAMAXX EVO")</f>
        <v>ZETHAMAXX EVO</v>
      </c>
      <c r="C55" s="4" t="str">
        <f>IFERROR(__xludf.DUMMYFUNCTION("""COMPUTED_VALUE"""),"LEGION")</f>
        <v>LEGION</v>
      </c>
      <c r="D55" s="6"/>
      <c r="E55" s="6"/>
      <c r="F55" s="6"/>
      <c r="G55" s="6"/>
      <c r="H55" s="6"/>
      <c r="I55" s="6"/>
      <c r="J55" s="6"/>
      <c r="K55" s="6"/>
      <c r="L55" s="6"/>
      <c r="M55" s="6"/>
      <c r="N55" s="4"/>
    </row>
    <row r="56" ht="15.75" customHeight="1">
      <c r="A56" s="4" t="str">
        <f>IFERROR(__xludf.DUMMYFUNCTION("""COMPUTED_VALUE"""),"BRAVONIL TOP")</f>
        <v>BRAVONIL TOP</v>
      </c>
      <c r="B56" s="4" t="str">
        <f>IFERROR(__xludf.DUMMYFUNCTION("""COMPUTED_VALUE"""),"CALARIS")</f>
        <v>CALARIS</v>
      </c>
      <c r="C56" s="4" t="str">
        <f>IFERROR(__xludf.DUMMYFUNCTION("""COMPUTED_VALUE"""),"OPTERADUO")</f>
        <v>OPTERADUO</v>
      </c>
      <c r="D56" s="6"/>
      <c r="E56" s="6"/>
      <c r="F56" s="6"/>
      <c r="G56" s="6"/>
      <c r="H56" s="6"/>
      <c r="I56" s="6"/>
      <c r="J56" s="6"/>
      <c r="K56" s="6"/>
      <c r="L56" s="6"/>
      <c r="M56" s="6"/>
      <c r="N56" s="4"/>
    </row>
    <row r="57" ht="15.75" customHeight="1">
      <c r="A57" s="4" t="str">
        <f>IFERROR(__xludf.DUMMYFUNCTION("""COMPUTED_VALUE"""),"CYPRESS 400 EC")</f>
        <v>CYPRESS 400 EC</v>
      </c>
      <c r="B57" s="4" t="str">
        <f>IFERROR(__xludf.DUMMYFUNCTION("""COMPUTED_VALUE"""),"DUAL GOLD")</f>
        <v>DUAL GOLD</v>
      </c>
      <c r="C57" s="4" t="str">
        <f>IFERROR(__xludf.DUMMYFUNCTION("""COMPUTED_VALUE"""),"SUMIRODY")</f>
        <v>SUMIRODY</v>
      </c>
      <c r="D57" s="6"/>
      <c r="E57" s="6"/>
      <c r="F57" s="6"/>
      <c r="G57" s="6"/>
      <c r="H57" s="6"/>
      <c r="I57" s="6"/>
      <c r="J57" s="6"/>
      <c r="K57" s="6"/>
      <c r="L57" s="6"/>
      <c r="M57" s="6"/>
      <c r="N57" s="4"/>
    </row>
    <row r="58" ht="15.75" customHeight="1">
      <c r="A58" s="4" t="str">
        <f>IFERROR(__xludf.DUMMYFUNCTION("""COMPUTED_VALUE"""),"ELATUS")</f>
        <v>ELATUS</v>
      </c>
      <c r="B58" s="4" t="str">
        <f>IFERROR(__xludf.DUMMYFUNCTION("""COMPUTED_VALUE"""),"EDDUS")</f>
        <v>EDDUS</v>
      </c>
      <c r="C58" s="4" t="str">
        <f>IFERROR(__xludf.DUMMYFUNCTION("""COMPUTED_VALUE"""),"XENTARI")</f>
        <v>XENTARI</v>
      </c>
      <c r="D58" s="6"/>
      <c r="E58" s="6"/>
      <c r="F58" s="6"/>
      <c r="G58" s="6"/>
      <c r="H58" s="6"/>
      <c r="I58" s="6"/>
      <c r="J58" s="6"/>
      <c r="K58" s="6"/>
      <c r="L58" s="6"/>
      <c r="M58" s="6"/>
      <c r="N58" s="4"/>
    </row>
    <row r="59" ht="15.75" customHeight="1">
      <c r="A59" s="4" t="str">
        <f>IFERROR(__xludf.DUMMYFUNCTION("""COMPUTED_VALUE"""),"MERTIN 400")</f>
        <v>MERTIN 400</v>
      </c>
      <c r="B59" s="4" t="str">
        <f>IFERROR(__xludf.DUMMYFUNCTION("""COMPUTED_VALUE"""),"FLEX")</f>
        <v>FLEX</v>
      </c>
      <c r="C59" s="4" t="str">
        <f>IFERROR(__xludf.DUMMYFUNCTION("""COMPUTED_VALUE"""),"ACTARA 250 WG")</f>
        <v>ACTARA 250 WG</v>
      </c>
      <c r="D59" s="6"/>
      <c r="E59" s="6"/>
      <c r="F59" s="6"/>
      <c r="G59" s="6"/>
      <c r="H59" s="6"/>
      <c r="I59" s="6"/>
      <c r="J59" s="6"/>
      <c r="K59" s="6"/>
      <c r="L59" s="6"/>
      <c r="M59" s="6"/>
      <c r="N59" s="4"/>
    </row>
    <row r="60" ht="15.75" customHeight="1">
      <c r="A60" s="4" t="str">
        <f>IFERROR(__xludf.DUMMYFUNCTION("""COMPUTED_VALUE"""),"MIRAVIS")</f>
        <v>MIRAVIS</v>
      </c>
      <c r="B60" s="4" t="str">
        <f>IFERROR(__xludf.DUMMYFUNCTION("""COMPUTED_VALUE"""),"FUSILADE")</f>
        <v>FUSILADE</v>
      </c>
      <c r="C60" s="4" t="str">
        <f>IFERROR(__xludf.DUMMYFUNCTION("""COMPUTED_VALUE"""),"AMPLIGO")</f>
        <v>AMPLIGO</v>
      </c>
      <c r="D60" s="6"/>
      <c r="E60" s="6"/>
      <c r="F60" s="6"/>
      <c r="G60" s="6"/>
      <c r="H60" s="6"/>
      <c r="I60" s="6"/>
      <c r="J60" s="6"/>
      <c r="K60" s="6"/>
      <c r="L60" s="6"/>
      <c r="M60" s="6"/>
      <c r="N60" s="4"/>
    </row>
    <row r="61" ht="15.75" customHeight="1">
      <c r="A61" s="4" t="str">
        <f>IFERROR(__xludf.DUMMYFUNCTION("""COMPUTED_VALUE"""),"MIRAVIS DUO")</f>
        <v>MIRAVIS DUO</v>
      </c>
      <c r="B61" s="4" t="str">
        <f>IFERROR(__xludf.DUMMYFUNCTION("""COMPUTED_VALUE"""),"GESAPRIM GRDA")</f>
        <v>GESAPRIM GRDA</v>
      </c>
      <c r="C61" s="4" t="str">
        <f>IFERROR(__xludf.DUMMYFUNCTION("""COMPUTED_VALUE"""),"CURYOM 550 EC")</f>
        <v>CURYOM 550 EC</v>
      </c>
      <c r="D61" s="6"/>
      <c r="E61" s="6"/>
      <c r="F61" s="6"/>
      <c r="G61" s="6"/>
      <c r="H61" s="6"/>
      <c r="I61" s="6"/>
      <c r="J61" s="6"/>
      <c r="K61" s="6"/>
      <c r="L61" s="6"/>
      <c r="M61" s="6"/>
      <c r="N61" s="4"/>
    </row>
    <row r="62" ht="15.75" customHeight="1">
      <c r="A62" s="4" t="str">
        <f>IFERROR(__xludf.DUMMYFUNCTION("""COMPUTED_VALUE"""),"MIRAVIS PRO")</f>
        <v>MIRAVIS PRO</v>
      </c>
      <c r="B62" s="4" t="str">
        <f>IFERROR(__xludf.DUMMYFUNCTION("""COMPUTED_VALUE"""),"PRIMESTRA GOLD")</f>
        <v>PRIMESTRA GOLD</v>
      </c>
      <c r="C62" s="4" t="str">
        <f>IFERROR(__xludf.DUMMYFUNCTION("""COMPUTED_VALUE"""),"ELESTAL NEO")</f>
        <v>ELESTAL NEO</v>
      </c>
      <c r="D62" s="6"/>
      <c r="E62" s="6"/>
      <c r="F62" s="6"/>
      <c r="G62" s="6"/>
      <c r="H62" s="6"/>
      <c r="I62" s="6"/>
      <c r="J62" s="6"/>
      <c r="K62" s="6"/>
      <c r="L62" s="6"/>
      <c r="M62" s="6"/>
      <c r="N62" s="4"/>
    </row>
    <row r="63" ht="15.75" customHeight="1">
      <c r="A63" s="4" t="str">
        <f>IFERROR(__xludf.DUMMYFUNCTION("""COMPUTED_VALUE"""),"MITRION EC")</f>
        <v>MITRION EC</v>
      </c>
      <c r="B63" s="4" t="str">
        <f>IFERROR(__xludf.DUMMYFUNCTION("""COMPUTED_VALUE"""),"PROOF")</f>
        <v>PROOF</v>
      </c>
      <c r="C63" s="4" t="str">
        <f>IFERROR(__xludf.DUMMYFUNCTION("""COMPUTED_VALUE"""),"ENGEO PLENO S")</f>
        <v>ENGEO PLENO S</v>
      </c>
      <c r="D63" s="6"/>
      <c r="E63" s="6"/>
      <c r="F63" s="6"/>
      <c r="G63" s="6"/>
      <c r="H63" s="6"/>
      <c r="I63" s="6"/>
      <c r="J63" s="6"/>
      <c r="K63" s="6"/>
      <c r="L63" s="6"/>
      <c r="M63" s="6"/>
      <c r="N63" s="4"/>
    </row>
    <row r="64" ht="15.75" customHeight="1">
      <c r="A64" s="4" t="str">
        <f>IFERROR(__xludf.DUMMYFUNCTION("""COMPUTED_VALUE"""),"PRIORI TOP")</f>
        <v>PRIORI TOP</v>
      </c>
      <c r="B64" s="4" t="str">
        <f>IFERROR(__xludf.DUMMYFUNCTION("""COMPUTED_VALUE"""),"REGLONE")</f>
        <v>REGLONE</v>
      </c>
      <c r="C64" s="4" t="str">
        <f>IFERROR(__xludf.DUMMYFUNCTION("""COMPUTED_VALUE"""),"KARATE ZEON 250 CS")</f>
        <v>KARATE ZEON 250 CS</v>
      </c>
      <c r="D64" s="6"/>
      <c r="E64" s="6"/>
      <c r="F64" s="6"/>
      <c r="G64" s="6"/>
      <c r="H64" s="6"/>
      <c r="I64" s="6"/>
      <c r="J64" s="6"/>
      <c r="K64" s="6"/>
      <c r="L64" s="6"/>
      <c r="M64" s="6"/>
      <c r="N64" s="4"/>
    </row>
    <row r="65" ht="15.75" customHeight="1">
      <c r="A65" s="4" t="str">
        <f>IFERROR(__xludf.DUMMYFUNCTION("""COMPUTED_VALUE"""),"RIDOMIL GOLD BRAVO")</f>
        <v>RIDOMIL GOLD BRAVO</v>
      </c>
      <c r="B65" s="4" t="str">
        <f>IFERROR(__xludf.DUMMYFUNCTION("""COMPUTED_VALUE"""),"TOPIK 240 EC")</f>
        <v>TOPIK 240 EC</v>
      </c>
      <c r="C65" s="4" t="str">
        <f>IFERROR(__xludf.DUMMYFUNCTION("""COMPUTED_VALUE"""),"MINECTO PRO")</f>
        <v>MINECTO PRO</v>
      </c>
      <c r="D65" s="6"/>
      <c r="E65" s="6"/>
      <c r="F65" s="6"/>
      <c r="G65" s="6"/>
      <c r="H65" s="6"/>
      <c r="I65" s="6"/>
      <c r="J65" s="6"/>
      <c r="K65" s="6"/>
      <c r="L65" s="6"/>
      <c r="M65" s="6"/>
      <c r="N65" s="4"/>
    </row>
    <row r="66" ht="15.75" customHeight="1">
      <c r="A66" s="4" t="str">
        <f>IFERROR(__xludf.DUMMYFUNCTION("""COMPUTED_VALUE"""),"SCORE FLEXI®")</f>
        <v>SCORE FLEXI®</v>
      </c>
      <c r="B66" s="4" t="str">
        <f>IFERROR(__xludf.DUMMYFUNCTION("""COMPUTED_VALUE"""),"ZAPP QI 620")</f>
        <v>ZAPP QI 620</v>
      </c>
      <c r="C66" s="4" t="str">
        <f>IFERROR(__xludf.DUMMYFUNCTION("""COMPUTED_VALUE"""),"POLO 500 SC")</f>
        <v>POLO 500 SC</v>
      </c>
      <c r="D66" s="6"/>
      <c r="E66" s="6"/>
      <c r="F66" s="6"/>
      <c r="G66" s="6"/>
      <c r="H66" s="6"/>
      <c r="I66" s="6"/>
      <c r="J66" s="6"/>
      <c r="K66" s="6"/>
      <c r="L66" s="6"/>
      <c r="M66" s="6"/>
      <c r="N66" s="4"/>
    </row>
    <row r="67" ht="15.75" customHeight="1">
      <c r="A67" s="4" t="str">
        <f>IFERROR(__xludf.DUMMYFUNCTION("""COMPUTED_VALUE"""),"SEEKER")</f>
        <v>SEEKER</v>
      </c>
      <c r="B67" s="4" t="str">
        <f>IFERROR(__xludf.DUMMYFUNCTION("""COMPUTED_VALUE"""),"MINOS CAPS 360 CS")</f>
        <v>MINOS CAPS 360 CS</v>
      </c>
      <c r="C67" s="4" t="str">
        <f>IFERROR(__xludf.DUMMYFUNCTION("""COMPUTED_VALUE"""),"POLYTRIN")</f>
        <v>POLYTRIN</v>
      </c>
      <c r="D67" s="6"/>
      <c r="E67" s="6"/>
      <c r="F67" s="6"/>
      <c r="G67" s="6"/>
      <c r="H67" s="6"/>
      <c r="I67" s="6"/>
      <c r="J67" s="6"/>
      <c r="K67" s="6"/>
      <c r="L67" s="6"/>
      <c r="M67" s="6"/>
      <c r="N67" s="4"/>
    </row>
    <row r="68" ht="15.75" customHeight="1">
      <c r="A68" s="6"/>
      <c r="B68" s="6"/>
      <c r="C68" s="4" t="str">
        <f>IFERROR(__xludf.DUMMYFUNCTION("""COMPUTED_VALUE"""),"PROCLAIM 50")</f>
        <v>PROCLAIM 50</v>
      </c>
      <c r="D68" s="6"/>
      <c r="E68" s="6"/>
      <c r="F68" s="6"/>
      <c r="G68" s="6"/>
      <c r="H68" s="6"/>
      <c r="I68" s="6"/>
      <c r="J68" s="6"/>
      <c r="K68" s="6"/>
      <c r="L68" s="6"/>
      <c r="M68" s="6"/>
      <c r="N68" s="4"/>
    </row>
    <row r="69" ht="15.75" customHeight="1">
      <c r="A69" s="6"/>
      <c r="B69" s="6"/>
      <c r="C69" s="4" t="str">
        <f>IFERROR(__xludf.DUMMYFUNCTION("""COMPUTED_VALUE"""),"SPONTA")</f>
        <v>SPONTA</v>
      </c>
      <c r="D69" s="6"/>
      <c r="E69" s="6"/>
      <c r="F69" s="6"/>
      <c r="G69" s="6"/>
      <c r="H69" s="6"/>
      <c r="I69" s="6"/>
      <c r="J69" s="6"/>
      <c r="K69" s="6"/>
      <c r="L69" s="6"/>
      <c r="M69" s="6"/>
      <c r="N69" s="4"/>
    </row>
    <row r="70" ht="15.75" customHeight="1">
      <c r="A70" s="6"/>
      <c r="B70" s="6"/>
      <c r="C70" s="4" t="str">
        <f>IFERROR(__xludf.DUMMYFUNCTION("""COMPUTED_VALUE"""),"VERDAVIS")</f>
        <v>VERDAVIS</v>
      </c>
      <c r="D70" s="6"/>
      <c r="E70" s="6"/>
      <c r="F70" s="6"/>
      <c r="G70" s="6"/>
      <c r="H70" s="6"/>
      <c r="I70" s="6"/>
      <c r="J70" s="6"/>
      <c r="K70" s="6"/>
      <c r="L70" s="6"/>
      <c r="M70" s="6"/>
      <c r="N70" s="4"/>
    </row>
    <row r="71" ht="15.75" customHeight="1">
      <c r="A71" s="6"/>
      <c r="B71" s="6"/>
      <c r="C71" s="4" t="str">
        <f>IFERROR(__xludf.DUMMYFUNCTION("""COMPUTED_VALUE"""),"VERTIMEC 84 SC")</f>
        <v>VERTIMEC 84 SC</v>
      </c>
      <c r="D71" s="6"/>
      <c r="E71" s="6"/>
      <c r="F71" s="6"/>
      <c r="G71" s="6"/>
      <c r="H71" s="6"/>
      <c r="I71" s="6"/>
      <c r="J71" s="6"/>
      <c r="K71" s="6"/>
      <c r="L71" s="6"/>
      <c r="M71" s="6"/>
      <c r="N71" s="4"/>
    </row>
    <row r="72" ht="15.75" customHeight="1">
      <c r="A72" s="6"/>
      <c r="B72" s="6"/>
      <c r="C72" s="6"/>
      <c r="D72" s="6"/>
      <c r="E72" s="6"/>
      <c r="F72" s="6"/>
      <c r="G72" s="6"/>
      <c r="H72" s="6"/>
      <c r="I72" s="6"/>
      <c r="J72" s="6"/>
      <c r="K72" s="6"/>
      <c r="L72" s="6"/>
      <c r="M72" s="6"/>
      <c r="N72" s="4"/>
    </row>
    <row r="73" ht="15.75" customHeight="1">
      <c r="A73" s="6"/>
      <c r="B73" s="6"/>
      <c r="C73" s="6"/>
      <c r="D73" s="6"/>
      <c r="E73" s="6"/>
      <c r="F73" s="6"/>
      <c r="G73" s="6"/>
      <c r="H73" s="6"/>
      <c r="I73" s="6"/>
      <c r="J73" s="6"/>
      <c r="K73" s="6"/>
      <c r="L73" s="6"/>
      <c r="M73" s="6"/>
      <c r="N73" s="4"/>
    </row>
    <row r="74" ht="15.75" customHeight="1">
      <c r="A74" s="6"/>
      <c r="B74" s="6"/>
      <c r="C74" s="6"/>
      <c r="D74" s="6"/>
      <c r="E74" s="6"/>
      <c r="F74" s="6"/>
      <c r="G74" s="6"/>
      <c r="H74" s="6"/>
      <c r="I74" s="6"/>
      <c r="J74" s="6"/>
      <c r="K74" s="6"/>
      <c r="L74" s="6"/>
      <c r="M74" s="6"/>
      <c r="N74" s="4"/>
    </row>
    <row r="75" ht="15.75" customHeight="1">
      <c r="A75" s="6"/>
      <c r="B75" s="6"/>
      <c r="C75" s="6"/>
      <c r="D75" s="6"/>
      <c r="E75" s="6"/>
      <c r="F75" s="6"/>
      <c r="G75" s="6"/>
      <c r="H75" s="6"/>
      <c r="I75" s="6"/>
      <c r="J75" s="6"/>
      <c r="K75" s="6"/>
      <c r="L75" s="6"/>
      <c r="M75" s="6"/>
      <c r="N75" s="4"/>
    </row>
    <row r="76" ht="15.75" customHeight="1">
      <c r="A76" s="6"/>
      <c r="B76" s="6"/>
      <c r="C76" s="6"/>
      <c r="D76" s="6"/>
      <c r="E76" s="6"/>
      <c r="F76" s="6"/>
      <c r="G76" s="6"/>
      <c r="H76" s="6"/>
      <c r="I76" s="6"/>
      <c r="J76" s="6"/>
      <c r="K76" s="6"/>
      <c r="L76" s="6"/>
      <c r="M76" s="6"/>
      <c r="N76" s="4"/>
    </row>
    <row r="77" ht="15.75" customHeight="1">
      <c r="A77" s="6"/>
      <c r="B77" s="6"/>
      <c r="C77" s="6"/>
      <c r="D77" s="6"/>
      <c r="E77" s="6"/>
      <c r="F77" s="6"/>
      <c r="G77" s="6"/>
      <c r="H77" s="6"/>
      <c r="I77" s="6"/>
      <c r="J77" s="6"/>
      <c r="K77" s="6"/>
      <c r="L77" s="6"/>
      <c r="M77" s="6"/>
      <c r="N77" s="4"/>
    </row>
    <row r="78" ht="15.75" customHeight="1">
      <c r="A78" s="4"/>
      <c r="B78" s="4"/>
      <c r="C78" s="4"/>
      <c r="D78" s="4"/>
      <c r="E78" s="4"/>
      <c r="F78" s="4"/>
      <c r="G78" s="4"/>
      <c r="H78" s="4"/>
      <c r="I78" s="4"/>
      <c r="J78" s="4"/>
      <c r="K78" s="4"/>
      <c r="L78" s="4"/>
      <c r="M78" s="4"/>
      <c r="N78" s="4"/>
    </row>
    <row r="79" ht="15.75" customHeight="1">
      <c r="A79" s="4"/>
      <c r="B79" s="4"/>
      <c r="C79" s="4"/>
      <c r="D79" s="4"/>
      <c r="E79" s="4"/>
      <c r="F79" s="4"/>
      <c r="G79" s="4"/>
      <c r="H79" s="4"/>
      <c r="I79" s="4"/>
      <c r="J79" s="4"/>
      <c r="K79" s="4"/>
      <c r="L79" s="4"/>
      <c r="M79" s="4"/>
      <c r="N79" s="4"/>
    </row>
    <row r="80" ht="15.75" customHeight="1">
      <c r="A80" s="4"/>
      <c r="B80" s="4"/>
      <c r="C80" s="4"/>
      <c r="D80" s="4"/>
      <c r="E80" s="4"/>
      <c r="F80" s="4"/>
      <c r="G80" s="4"/>
      <c r="H80" s="4"/>
      <c r="I80" s="4"/>
      <c r="J80" s="4"/>
      <c r="K80" s="4"/>
      <c r="L80" s="4"/>
      <c r="M80" s="4"/>
      <c r="N80" s="4"/>
    </row>
    <row r="81" ht="15.75" customHeight="1">
      <c r="A81" s="4"/>
      <c r="B81" s="4"/>
      <c r="C81" s="4"/>
      <c r="D81" s="4"/>
      <c r="E81" s="4"/>
      <c r="F81" s="4"/>
      <c r="G81" s="4"/>
      <c r="H81" s="4"/>
      <c r="I81" s="4"/>
      <c r="J81" s="4"/>
      <c r="K81" s="4"/>
      <c r="L81" s="4"/>
      <c r="M81" s="4"/>
      <c r="N81" s="4"/>
    </row>
    <row r="82" ht="15.75" customHeight="1">
      <c r="A82" s="4"/>
      <c r="B82" s="4"/>
      <c r="C82" s="4"/>
      <c r="D82" s="4"/>
      <c r="E82" s="4"/>
      <c r="F82" s="4"/>
      <c r="G82" s="4"/>
      <c r="H82" s="4"/>
      <c r="I82" s="4"/>
      <c r="J82" s="4"/>
      <c r="K82" s="4"/>
      <c r="L82" s="4"/>
      <c r="M82" s="4"/>
      <c r="N82" s="4"/>
    </row>
    <row r="83" ht="15.75" customHeight="1">
      <c r="A83" s="4"/>
      <c r="B83" s="4"/>
      <c r="C83" s="4"/>
      <c r="D83" s="4"/>
      <c r="E83" s="4"/>
      <c r="F83" s="4"/>
      <c r="G83" s="4"/>
      <c r="H83" s="4"/>
      <c r="I83" s="4"/>
      <c r="J83" s="4"/>
      <c r="K83" s="4"/>
      <c r="L83" s="4"/>
      <c r="M83" s="4"/>
      <c r="N83" s="4"/>
    </row>
    <row r="84" ht="15.75" customHeight="1">
      <c r="A84" s="4"/>
      <c r="B84" s="4"/>
      <c r="C84" s="4"/>
      <c r="D84" s="4"/>
      <c r="E84" s="4"/>
      <c r="F84" s="4"/>
      <c r="G84" s="4"/>
      <c r="H84" s="4"/>
      <c r="I84" s="4"/>
      <c r="J84" s="4"/>
      <c r="K84" s="4"/>
      <c r="L84" s="4"/>
      <c r="M84" s="4"/>
      <c r="N84" s="4"/>
    </row>
    <row r="85" ht="15.75" customHeight="1">
      <c r="A85" s="4"/>
      <c r="B85" s="4"/>
      <c r="C85" s="4"/>
      <c r="D85" s="4"/>
      <c r="E85" s="4"/>
      <c r="F85" s="4"/>
      <c r="G85" s="4"/>
      <c r="H85" s="4"/>
      <c r="I85" s="4"/>
      <c r="J85" s="4"/>
      <c r="K85" s="4"/>
      <c r="L85" s="4"/>
      <c r="M85" s="4"/>
      <c r="N85" s="4"/>
    </row>
    <row r="86" ht="15.75" customHeight="1">
      <c r="A86" s="4"/>
      <c r="B86" s="4"/>
      <c r="C86" s="4"/>
      <c r="D86" s="4"/>
      <c r="E86" s="4"/>
      <c r="F86" s="4"/>
      <c r="G86" s="4"/>
      <c r="H86" s="4"/>
      <c r="I86" s="4"/>
      <c r="J86" s="4"/>
      <c r="K86" s="4"/>
      <c r="L86" s="4"/>
      <c r="M86" s="4"/>
      <c r="N86" s="4"/>
    </row>
    <row r="87" ht="15.75" customHeight="1">
      <c r="A87" s="4"/>
      <c r="B87" s="4"/>
      <c r="C87" s="4"/>
      <c r="D87" s="4"/>
      <c r="E87" s="4"/>
      <c r="F87" s="4"/>
      <c r="G87" s="4"/>
      <c r="H87" s="4"/>
      <c r="I87" s="4"/>
      <c r="J87" s="4"/>
      <c r="K87" s="4"/>
      <c r="L87" s="4"/>
      <c r="M87" s="4"/>
      <c r="N87" s="4"/>
    </row>
    <row r="88" ht="15.75" customHeight="1">
      <c r="A88" s="4"/>
      <c r="B88" s="4"/>
      <c r="C88" s="4"/>
      <c r="D88" s="4"/>
      <c r="E88" s="4"/>
      <c r="F88" s="4"/>
      <c r="G88" s="4"/>
      <c r="H88" s="4"/>
      <c r="I88" s="4"/>
      <c r="J88" s="4"/>
      <c r="K88" s="4"/>
      <c r="L88" s="4"/>
      <c r="M88" s="4"/>
      <c r="N88" s="4"/>
    </row>
    <row r="89" ht="15.75" customHeight="1">
      <c r="A89" s="4"/>
      <c r="B89" s="4"/>
      <c r="C89" s="4"/>
      <c r="D89" s="4"/>
      <c r="E89" s="4"/>
      <c r="F89" s="4"/>
      <c r="G89" s="4"/>
      <c r="H89" s="4"/>
      <c r="I89" s="4"/>
      <c r="J89" s="4"/>
      <c r="K89" s="4"/>
      <c r="L89" s="4"/>
      <c r="M89" s="4"/>
      <c r="N89" s="4"/>
    </row>
    <row r="90" ht="15.75" customHeight="1">
      <c r="A90" s="4"/>
      <c r="B90" s="4"/>
      <c r="C90" s="4"/>
      <c r="D90" s="4"/>
      <c r="E90" s="4"/>
      <c r="F90" s="4"/>
      <c r="G90" s="4"/>
      <c r="H90" s="4"/>
      <c r="I90" s="4"/>
      <c r="J90" s="4"/>
      <c r="K90" s="4"/>
      <c r="L90" s="4"/>
      <c r="M90" s="4"/>
      <c r="N90" s="4"/>
    </row>
    <row r="91" ht="15.75" customHeight="1">
      <c r="A91" s="4"/>
      <c r="B91" s="4"/>
      <c r="C91" s="4"/>
      <c r="D91" s="4"/>
      <c r="E91" s="4"/>
      <c r="F91" s="4"/>
      <c r="G91" s="4"/>
      <c r="H91" s="4"/>
      <c r="I91" s="4"/>
      <c r="J91" s="4"/>
      <c r="K91" s="4"/>
      <c r="L91" s="4"/>
      <c r="M91" s="4"/>
      <c r="N91" s="4"/>
    </row>
    <row r="92" ht="15.75" customHeight="1">
      <c r="A92" s="4"/>
      <c r="B92" s="4"/>
      <c r="C92" s="4"/>
      <c r="D92" s="4"/>
      <c r="E92" s="4"/>
      <c r="F92" s="4"/>
      <c r="G92" s="4"/>
      <c r="H92" s="4"/>
      <c r="I92" s="4"/>
      <c r="J92" s="4"/>
      <c r="K92" s="4"/>
      <c r="L92" s="4"/>
      <c r="M92" s="4"/>
      <c r="N92" s="4"/>
    </row>
    <row r="93" ht="15.75" customHeight="1">
      <c r="A93" s="4"/>
      <c r="B93" s="4"/>
      <c r="C93" s="4"/>
      <c r="D93" s="4"/>
      <c r="E93" s="4"/>
      <c r="F93" s="4"/>
      <c r="G93" s="4"/>
      <c r="H93" s="4"/>
      <c r="I93" s="4"/>
      <c r="J93" s="4"/>
      <c r="K93" s="4"/>
      <c r="L93" s="4"/>
      <c r="M93" s="4"/>
      <c r="N93" s="4"/>
    </row>
    <row r="94" ht="15.75" customHeight="1">
      <c r="A94" s="4"/>
      <c r="B94" s="4"/>
      <c r="C94" s="4"/>
      <c r="D94" s="4"/>
      <c r="E94" s="4"/>
      <c r="F94" s="4"/>
      <c r="G94" s="4"/>
      <c r="H94" s="4"/>
      <c r="I94" s="4"/>
      <c r="J94" s="4"/>
      <c r="K94" s="4"/>
      <c r="L94" s="4"/>
      <c r="M94" s="4"/>
      <c r="N94" s="4"/>
    </row>
    <row r="95" ht="15.75" customHeight="1">
      <c r="A95" s="4"/>
      <c r="B95" s="4"/>
      <c r="C95" s="4"/>
      <c r="D95" s="4"/>
      <c r="E95" s="4"/>
      <c r="F95" s="4"/>
      <c r="G95" s="4"/>
      <c r="H95" s="4"/>
      <c r="I95" s="4"/>
      <c r="J95" s="4"/>
      <c r="K95" s="4"/>
      <c r="L95" s="4"/>
      <c r="M95" s="4"/>
      <c r="N95" s="4"/>
    </row>
    <row r="96" ht="15.75" customHeight="1">
      <c r="A96" s="4"/>
      <c r="B96" s="4"/>
      <c r="C96" s="4"/>
      <c r="D96" s="4"/>
      <c r="E96" s="4"/>
      <c r="F96" s="4"/>
      <c r="G96" s="4"/>
      <c r="H96" s="4"/>
      <c r="I96" s="4"/>
      <c r="J96" s="4"/>
      <c r="K96" s="4"/>
      <c r="L96" s="4"/>
      <c r="M96" s="4"/>
      <c r="N96" s="4"/>
    </row>
    <row r="97" ht="15.75" customHeight="1">
      <c r="A97" s="4"/>
      <c r="B97" s="4"/>
      <c r="C97" s="4"/>
      <c r="D97" s="4"/>
      <c r="E97" s="4"/>
      <c r="F97" s="4"/>
      <c r="G97" s="4"/>
      <c r="H97" s="4"/>
      <c r="I97" s="4"/>
      <c r="J97" s="4"/>
      <c r="K97" s="4"/>
      <c r="L97" s="4"/>
      <c r="M97" s="4"/>
      <c r="N97" s="4"/>
    </row>
    <row r="98" ht="15.75" customHeight="1">
      <c r="A98" s="4"/>
      <c r="B98" s="4"/>
      <c r="C98" s="4"/>
      <c r="D98" s="4"/>
      <c r="E98" s="4"/>
      <c r="F98" s="4"/>
      <c r="G98" s="4"/>
      <c r="H98" s="4"/>
      <c r="I98" s="4"/>
      <c r="J98" s="4"/>
      <c r="K98" s="4"/>
      <c r="L98" s="4"/>
      <c r="M98" s="4"/>
      <c r="N98" s="4"/>
    </row>
    <row r="99" ht="15.75" customHeight="1">
      <c r="A99" s="4"/>
      <c r="B99" s="4"/>
      <c r="C99" s="4"/>
      <c r="D99" s="4"/>
      <c r="E99" s="4"/>
      <c r="F99" s="4"/>
      <c r="G99" s="4"/>
      <c r="H99" s="4"/>
      <c r="I99" s="4"/>
      <c r="J99" s="4"/>
      <c r="K99" s="4"/>
      <c r="L99" s="4"/>
      <c r="M99" s="4"/>
      <c r="N99" s="4"/>
    </row>
    <row r="100" ht="15.75" customHeight="1">
      <c r="A100" s="4"/>
      <c r="B100" s="4"/>
      <c r="C100" s="4"/>
      <c r="D100" s="4"/>
      <c r="E100" s="4"/>
      <c r="F100" s="4"/>
      <c r="G100" s="4"/>
      <c r="H100" s="4"/>
      <c r="I100" s="4"/>
      <c r="J100" s="4"/>
      <c r="K100" s="4"/>
      <c r="L100" s="4"/>
      <c r="M100" s="4"/>
      <c r="N100" s="4"/>
    </row>
    <row r="101" ht="15.75" customHeight="1">
      <c r="A101" s="4"/>
      <c r="B101" s="4"/>
      <c r="C101" s="4"/>
      <c r="D101" s="4"/>
      <c r="E101" s="4"/>
      <c r="F101" s="4"/>
      <c r="G101" s="4"/>
      <c r="H101" s="4"/>
      <c r="I101" s="4"/>
      <c r="J101" s="4"/>
      <c r="K101" s="4"/>
      <c r="L101" s="4"/>
      <c r="M101" s="4"/>
      <c r="N101" s="4"/>
    </row>
    <row r="102" ht="15.75" customHeight="1">
      <c r="A102" s="4"/>
      <c r="B102" s="4"/>
      <c r="C102" s="4"/>
      <c r="D102" s="4"/>
      <c r="E102" s="4"/>
      <c r="F102" s="4"/>
      <c r="G102" s="4"/>
      <c r="H102" s="4"/>
      <c r="I102" s="4"/>
      <c r="J102" s="4"/>
      <c r="K102" s="4"/>
      <c r="L102" s="4"/>
      <c r="M102" s="4"/>
      <c r="N102" s="4"/>
    </row>
    <row r="103" ht="15.75" customHeight="1">
      <c r="A103" s="4"/>
      <c r="B103" s="4"/>
      <c r="C103" s="4"/>
      <c r="D103" s="4"/>
      <c r="E103" s="4"/>
      <c r="F103" s="4"/>
      <c r="G103" s="4"/>
      <c r="H103" s="4"/>
      <c r="I103" s="4"/>
      <c r="J103" s="4"/>
      <c r="K103" s="4"/>
      <c r="L103" s="4"/>
      <c r="M103" s="4"/>
      <c r="N103" s="4"/>
    </row>
    <row r="104" ht="15.75" customHeight="1">
      <c r="A104" s="4"/>
      <c r="B104" s="4"/>
      <c r="C104" s="4"/>
      <c r="D104" s="4"/>
      <c r="E104" s="4"/>
      <c r="F104" s="4"/>
      <c r="G104" s="4"/>
      <c r="H104" s="4"/>
      <c r="I104" s="4"/>
      <c r="J104" s="4"/>
      <c r="K104" s="4"/>
      <c r="L104" s="4"/>
      <c r="M104" s="4"/>
      <c r="N104" s="4"/>
    </row>
    <row r="105" ht="15.75" customHeight="1">
      <c r="A105" s="4"/>
      <c r="B105" s="4"/>
      <c r="C105" s="4"/>
      <c r="D105" s="4"/>
      <c r="E105" s="4"/>
      <c r="F105" s="4"/>
      <c r="G105" s="4"/>
      <c r="H105" s="4"/>
      <c r="I105" s="4"/>
      <c r="J105" s="4"/>
      <c r="K105" s="4"/>
      <c r="L105" s="4"/>
      <c r="M105" s="4"/>
      <c r="N105" s="4"/>
    </row>
    <row r="106" ht="15.75" customHeight="1">
      <c r="A106" s="4"/>
      <c r="B106" s="4"/>
      <c r="C106" s="4"/>
      <c r="D106" s="4"/>
      <c r="E106" s="4"/>
      <c r="F106" s="4"/>
      <c r="G106" s="4"/>
      <c r="H106" s="4"/>
      <c r="I106" s="4"/>
      <c r="J106" s="4"/>
      <c r="K106" s="4"/>
      <c r="L106" s="4"/>
      <c r="M106" s="4"/>
      <c r="N106" s="4"/>
    </row>
    <row r="107" ht="15.75" customHeight="1">
      <c r="A107" s="4"/>
      <c r="B107" s="4"/>
      <c r="C107" s="4"/>
      <c r="D107" s="4"/>
      <c r="E107" s="4"/>
      <c r="F107" s="4"/>
      <c r="G107" s="4"/>
      <c r="H107" s="4"/>
      <c r="I107" s="4"/>
      <c r="J107" s="4"/>
      <c r="K107" s="4"/>
      <c r="L107" s="4"/>
      <c r="M107" s="4"/>
      <c r="N107" s="4"/>
    </row>
    <row r="108" ht="15.75" customHeight="1">
      <c r="A108" s="4"/>
      <c r="B108" s="4"/>
      <c r="C108" s="4"/>
      <c r="D108" s="4"/>
      <c r="E108" s="4"/>
      <c r="F108" s="4"/>
      <c r="G108" s="4"/>
      <c r="H108" s="4"/>
      <c r="I108" s="4"/>
      <c r="J108" s="4"/>
      <c r="K108" s="4"/>
      <c r="L108" s="4"/>
      <c r="M108" s="4"/>
      <c r="N108" s="4"/>
    </row>
    <row r="109" ht="15.75" customHeight="1">
      <c r="A109" s="4"/>
      <c r="B109" s="4"/>
      <c r="C109" s="4"/>
      <c r="D109" s="4"/>
      <c r="E109" s="4"/>
      <c r="F109" s="4"/>
      <c r="G109" s="4"/>
      <c r="H109" s="4"/>
      <c r="I109" s="4"/>
      <c r="J109" s="4"/>
      <c r="K109" s="4"/>
      <c r="L109" s="4"/>
      <c r="M109" s="4"/>
      <c r="N109" s="4"/>
    </row>
    <row r="110" ht="15.75" customHeight="1">
      <c r="A110" s="4"/>
      <c r="B110" s="4"/>
      <c r="C110" s="4"/>
      <c r="D110" s="4"/>
      <c r="E110" s="4"/>
      <c r="F110" s="4"/>
      <c r="G110" s="4"/>
      <c r="H110" s="4"/>
      <c r="I110" s="4"/>
      <c r="J110" s="4"/>
      <c r="K110" s="4"/>
      <c r="L110" s="4"/>
      <c r="M110" s="4"/>
      <c r="N110" s="4"/>
    </row>
    <row r="111" ht="15.75" customHeight="1">
      <c r="A111" s="4"/>
      <c r="B111" s="4"/>
      <c r="C111" s="4"/>
      <c r="D111" s="4"/>
      <c r="E111" s="4"/>
      <c r="F111" s="4"/>
      <c r="G111" s="4"/>
      <c r="H111" s="4"/>
      <c r="I111" s="4"/>
      <c r="J111" s="4"/>
      <c r="K111" s="4"/>
      <c r="L111" s="4"/>
      <c r="M111" s="4"/>
      <c r="N111" s="4"/>
    </row>
    <row r="112" ht="15.75" customHeight="1">
      <c r="A112" s="4"/>
      <c r="B112" s="4"/>
      <c r="C112" s="4"/>
      <c r="D112" s="4"/>
      <c r="E112" s="4"/>
      <c r="F112" s="4"/>
      <c r="G112" s="4"/>
      <c r="H112" s="4"/>
      <c r="I112" s="4"/>
      <c r="J112" s="4"/>
      <c r="K112" s="4"/>
      <c r="L112" s="4"/>
      <c r="M112" s="4"/>
      <c r="N112" s="4"/>
    </row>
    <row r="113" ht="15.75" customHeight="1">
      <c r="A113" s="4"/>
      <c r="B113" s="4"/>
      <c r="C113" s="4"/>
      <c r="D113" s="4"/>
      <c r="E113" s="4"/>
      <c r="F113" s="4"/>
      <c r="G113" s="4"/>
      <c r="H113" s="4"/>
      <c r="I113" s="4"/>
      <c r="J113" s="4"/>
      <c r="K113" s="4"/>
      <c r="L113" s="4"/>
      <c r="M113" s="4"/>
      <c r="N113" s="4"/>
    </row>
    <row r="114" ht="15.75" customHeight="1">
      <c r="A114" s="4"/>
      <c r="B114" s="4"/>
      <c r="C114" s="4"/>
      <c r="D114" s="4"/>
      <c r="E114" s="4"/>
      <c r="F114" s="4"/>
      <c r="G114" s="4"/>
      <c r="H114" s="4"/>
      <c r="I114" s="4"/>
      <c r="J114" s="4"/>
      <c r="K114" s="4"/>
      <c r="L114" s="4"/>
      <c r="M114" s="4"/>
      <c r="N114" s="4"/>
    </row>
    <row r="115" ht="15.75" customHeight="1">
      <c r="A115" s="4"/>
      <c r="B115" s="4"/>
      <c r="C115" s="4"/>
      <c r="D115" s="4"/>
      <c r="E115" s="4"/>
      <c r="F115" s="4"/>
      <c r="G115" s="4"/>
      <c r="H115" s="4"/>
      <c r="I115" s="4"/>
      <c r="J115" s="4"/>
      <c r="K115" s="4"/>
      <c r="L115" s="4"/>
      <c r="M115" s="4"/>
      <c r="N115" s="4"/>
    </row>
    <row r="116" ht="15.75" customHeight="1">
      <c r="A116" s="4"/>
      <c r="B116" s="4"/>
      <c r="C116" s="4"/>
      <c r="D116" s="4"/>
      <c r="E116" s="4"/>
      <c r="F116" s="4"/>
      <c r="G116" s="4"/>
      <c r="H116" s="4"/>
      <c r="I116" s="4"/>
      <c r="J116" s="4"/>
      <c r="K116" s="4"/>
      <c r="L116" s="4"/>
      <c r="M116" s="4"/>
      <c r="N116" s="4"/>
    </row>
    <row r="117" ht="15.75" customHeight="1">
      <c r="A117" s="4"/>
      <c r="B117" s="4"/>
      <c r="C117" s="4"/>
      <c r="D117" s="4"/>
      <c r="E117" s="4"/>
      <c r="F117" s="4"/>
      <c r="G117" s="4"/>
      <c r="H117" s="4"/>
      <c r="I117" s="4"/>
      <c r="J117" s="4"/>
      <c r="K117" s="4"/>
      <c r="L117" s="4"/>
      <c r="M117" s="4"/>
      <c r="N117" s="4"/>
    </row>
    <row r="118" ht="15.75" customHeight="1">
      <c r="A118" s="4"/>
      <c r="B118" s="4"/>
      <c r="C118" s="4"/>
      <c r="D118" s="4"/>
      <c r="E118" s="4"/>
      <c r="F118" s="4"/>
      <c r="G118" s="4"/>
      <c r="H118" s="4"/>
      <c r="I118" s="4"/>
      <c r="J118" s="4"/>
      <c r="K118" s="4"/>
      <c r="L118" s="4"/>
      <c r="M118" s="4"/>
      <c r="N118" s="4"/>
    </row>
    <row r="119" ht="15.75" customHeight="1">
      <c r="A119" s="4"/>
      <c r="B119" s="4"/>
      <c r="C119" s="4"/>
      <c r="D119" s="4"/>
      <c r="E119" s="4"/>
      <c r="F119" s="4"/>
      <c r="G119" s="4"/>
      <c r="H119" s="4"/>
      <c r="I119" s="4"/>
      <c r="J119" s="4"/>
      <c r="K119" s="4"/>
      <c r="L119" s="4"/>
      <c r="M119" s="4"/>
      <c r="N119" s="4"/>
    </row>
    <row r="120" ht="15.75" customHeight="1">
      <c r="A120" s="4"/>
      <c r="B120" s="4"/>
      <c r="C120" s="4"/>
      <c r="D120" s="4"/>
      <c r="E120" s="4"/>
      <c r="F120" s="4"/>
      <c r="G120" s="4"/>
      <c r="H120" s="4"/>
      <c r="I120" s="4"/>
      <c r="J120" s="4"/>
      <c r="K120" s="4"/>
      <c r="L120" s="4"/>
      <c r="M120" s="4"/>
      <c r="N120" s="4"/>
    </row>
    <row r="121" ht="15.75" customHeight="1">
      <c r="A121" s="4"/>
      <c r="B121" s="4"/>
      <c r="C121" s="4"/>
      <c r="D121" s="4"/>
      <c r="E121" s="4"/>
      <c r="F121" s="4"/>
      <c r="G121" s="4"/>
      <c r="H121" s="4"/>
      <c r="I121" s="4"/>
      <c r="J121" s="4"/>
      <c r="K121" s="4"/>
      <c r="L121" s="4"/>
      <c r="M121" s="4"/>
      <c r="N121" s="4"/>
    </row>
    <row r="122" ht="15.75" customHeight="1">
      <c r="A122" s="4"/>
      <c r="B122" s="4"/>
      <c r="C122" s="4"/>
      <c r="D122" s="4"/>
      <c r="E122" s="4"/>
      <c r="F122" s="4"/>
      <c r="G122" s="4"/>
      <c r="H122" s="4"/>
      <c r="I122" s="4"/>
      <c r="J122" s="4"/>
      <c r="K122" s="4"/>
      <c r="L122" s="4"/>
      <c r="M122" s="4"/>
      <c r="N122" s="4"/>
    </row>
    <row r="123" ht="15.75" customHeight="1">
      <c r="A123" s="4"/>
      <c r="B123" s="4"/>
      <c r="C123" s="4"/>
      <c r="D123" s="4"/>
      <c r="E123" s="4"/>
      <c r="F123" s="4"/>
      <c r="G123" s="4"/>
      <c r="H123" s="4"/>
      <c r="I123" s="4"/>
      <c r="J123" s="4"/>
      <c r="K123" s="4"/>
      <c r="L123" s="4"/>
      <c r="M123" s="4"/>
      <c r="N123" s="4"/>
    </row>
    <row r="124" ht="15.75" customHeight="1">
      <c r="A124" s="4"/>
      <c r="B124" s="4"/>
      <c r="C124" s="4"/>
      <c r="D124" s="4"/>
      <c r="E124" s="4"/>
      <c r="F124" s="4"/>
      <c r="G124" s="4"/>
      <c r="H124" s="4"/>
      <c r="I124" s="4"/>
      <c r="J124" s="4"/>
      <c r="K124" s="4"/>
      <c r="L124" s="4"/>
      <c r="M124" s="4"/>
      <c r="N124" s="4"/>
    </row>
    <row r="125" ht="15.75" customHeight="1">
      <c r="A125" s="4"/>
      <c r="B125" s="4"/>
      <c r="C125" s="4"/>
      <c r="D125" s="4"/>
      <c r="E125" s="4"/>
      <c r="F125" s="4"/>
      <c r="G125" s="4"/>
      <c r="H125" s="4"/>
      <c r="I125" s="4"/>
      <c r="J125" s="4"/>
      <c r="K125" s="4"/>
      <c r="L125" s="4"/>
      <c r="M125" s="4"/>
      <c r="N125" s="4"/>
    </row>
    <row r="126" ht="15.75" customHeight="1">
      <c r="A126" s="4"/>
      <c r="B126" s="4"/>
      <c r="C126" s="4"/>
      <c r="D126" s="4"/>
      <c r="E126" s="4"/>
      <c r="F126" s="4"/>
      <c r="G126" s="4"/>
      <c r="H126" s="4"/>
      <c r="I126" s="4"/>
      <c r="J126" s="4"/>
      <c r="K126" s="4"/>
      <c r="L126" s="4"/>
      <c r="M126" s="4"/>
      <c r="N126" s="4"/>
    </row>
    <row r="127" ht="15.75" customHeight="1">
      <c r="A127" s="4"/>
      <c r="B127" s="4"/>
      <c r="C127" s="4"/>
      <c r="D127" s="4"/>
      <c r="E127" s="4"/>
      <c r="F127" s="4"/>
      <c r="G127" s="4"/>
      <c r="H127" s="4"/>
      <c r="I127" s="4"/>
      <c r="J127" s="4"/>
      <c r="K127" s="4"/>
      <c r="L127" s="4"/>
      <c r="M127" s="4"/>
      <c r="N127" s="4"/>
    </row>
    <row r="128" ht="15.75" customHeight="1">
      <c r="A128" s="4"/>
      <c r="B128" s="4"/>
      <c r="C128" s="4"/>
      <c r="D128" s="4"/>
      <c r="E128" s="4"/>
      <c r="F128" s="4"/>
      <c r="G128" s="4"/>
      <c r="H128" s="4"/>
      <c r="I128" s="4"/>
      <c r="J128" s="4"/>
      <c r="K128" s="4"/>
      <c r="L128" s="4"/>
      <c r="M128" s="4"/>
      <c r="N128" s="4"/>
    </row>
    <row r="129" ht="15.75" customHeight="1">
      <c r="A129" s="4"/>
      <c r="B129" s="4"/>
      <c r="C129" s="4"/>
      <c r="D129" s="4"/>
      <c r="E129" s="4"/>
      <c r="F129" s="4"/>
      <c r="G129" s="4"/>
      <c r="H129" s="4"/>
      <c r="I129" s="4"/>
      <c r="J129" s="4"/>
      <c r="K129" s="4"/>
      <c r="L129" s="4"/>
      <c r="M129" s="4"/>
      <c r="N129" s="4"/>
    </row>
    <row r="130" ht="15.75" customHeight="1">
      <c r="A130" s="4"/>
      <c r="B130" s="4"/>
      <c r="C130" s="4"/>
      <c r="D130" s="4"/>
      <c r="E130" s="4"/>
      <c r="F130" s="4"/>
      <c r="G130" s="4"/>
      <c r="H130" s="4"/>
      <c r="I130" s="4"/>
      <c r="J130" s="4"/>
      <c r="K130" s="4"/>
      <c r="L130" s="4"/>
      <c r="M130" s="4"/>
      <c r="N130" s="4"/>
    </row>
    <row r="131" ht="15.75" customHeight="1">
      <c r="A131" s="4"/>
      <c r="B131" s="4"/>
      <c r="C131" s="4"/>
      <c r="D131" s="4"/>
      <c r="E131" s="4"/>
      <c r="F131" s="4"/>
      <c r="G131" s="4"/>
      <c r="H131" s="4"/>
      <c r="I131" s="4"/>
      <c r="J131" s="4"/>
      <c r="K131" s="4"/>
      <c r="L131" s="4"/>
      <c r="M131" s="4"/>
      <c r="N131" s="4"/>
    </row>
    <row r="132" ht="15.75" customHeight="1">
      <c r="A132" s="4"/>
      <c r="B132" s="4"/>
      <c r="C132" s="4"/>
      <c r="D132" s="4"/>
      <c r="E132" s="4"/>
      <c r="F132" s="4"/>
      <c r="G132" s="4"/>
      <c r="H132" s="4"/>
      <c r="I132" s="4"/>
      <c r="J132" s="4"/>
      <c r="K132" s="4"/>
      <c r="L132" s="4"/>
      <c r="M132" s="4"/>
      <c r="N132" s="4"/>
    </row>
    <row r="133" ht="15.75" customHeight="1">
      <c r="A133" s="4"/>
      <c r="B133" s="4"/>
      <c r="C133" s="4"/>
      <c r="D133" s="4"/>
      <c r="E133" s="4"/>
      <c r="F133" s="4"/>
      <c r="G133" s="4"/>
      <c r="H133" s="4"/>
      <c r="I133" s="4"/>
      <c r="J133" s="4"/>
      <c r="K133" s="4"/>
      <c r="L133" s="4"/>
      <c r="M133" s="4"/>
      <c r="N133" s="4"/>
    </row>
    <row r="134" ht="15.75" customHeight="1">
      <c r="A134" s="4"/>
      <c r="B134" s="4"/>
      <c r="C134" s="4"/>
      <c r="D134" s="4"/>
      <c r="E134" s="4"/>
      <c r="F134" s="4"/>
      <c r="G134" s="4"/>
      <c r="H134" s="4"/>
      <c r="I134" s="4"/>
      <c r="J134" s="4"/>
      <c r="K134" s="4"/>
      <c r="L134" s="4"/>
      <c r="M134" s="4"/>
      <c r="N134" s="4"/>
    </row>
    <row r="135" ht="15.75" customHeight="1">
      <c r="A135" s="4"/>
      <c r="B135" s="4"/>
      <c r="C135" s="4"/>
      <c r="D135" s="4"/>
      <c r="E135" s="4"/>
      <c r="F135" s="4"/>
      <c r="G135" s="4"/>
      <c r="H135" s="4"/>
      <c r="I135" s="4"/>
      <c r="J135" s="4"/>
      <c r="K135" s="4"/>
      <c r="L135" s="4"/>
      <c r="M135" s="4"/>
      <c r="N135" s="4"/>
    </row>
    <row r="136" ht="15.75" customHeight="1">
      <c r="A136" s="4"/>
      <c r="B136" s="4"/>
      <c r="C136" s="4"/>
      <c r="D136" s="4"/>
      <c r="E136" s="4"/>
      <c r="F136" s="4"/>
      <c r="G136" s="4"/>
      <c r="H136" s="4"/>
      <c r="I136" s="4"/>
      <c r="J136" s="4"/>
      <c r="K136" s="4"/>
      <c r="L136" s="4"/>
      <c r="M136" s="4"/>
      <c r="N136" s="4"/>
    </row>
    <row r="137" ht="15.75" customHeight="1">
      <c r="A137" s="4"/>
      <c r="B137" s="4"/>
      <c r="C137" s="4"/>
      <c r="D137" s="4"/>
      <c r="E137" s="4"/>
      <c r="F137" s="4"/>
      <c r="G137" s="4"/>
      <c r="H137" s="4"/>
      <c r="I137" s="4"/>
      <c r="J137" s="4"/>
      <c r="K137" s="4"/>
      <c r="L137" s="4"/>
      <c r="M137" s="4"/>
      <c r="N137" s="4"/>
    </row>
    <row r="138" ht="15.75" customHeight="1">
      <c r="A138" s="4"/>
      <c r="B138" s="4"/>
      <c r="C138" s="4"/>
      <c r="D138" s="4"/>
      <c r="E138" s="4"/>
      <c r="F138" s="4"/>
      <c r="G138" s="4"/>
      <c r="H138" s="4"/>
      <c r="I138" s="4"/>
      <c r="J138" s="4"/>
      <c r="K138" s="4"/>
      <c r="L138" s="4"/>
      <c r="M138" s="4"/>
      <c r="N138" s="4"/>
    </row>
    <row r="139" ht="15.75" customHeight="1">
      <c r="A139" s="4"/>
      <c r="B139" s="4"/>
      <c r="C139" s="4"/>
      <c r="D139" s="4"/>
      <c r="E139" s="4"/>
      <c r="F139" s="4"/>
      <c r="G139" s="4"/>
      <c r="H139" s="4"/>
      <c r="I139" s="4"/>
      <c r="J139" s="4"/>
      <c r="K139" s="4"/>
      <c r="L139" s="4"/>
      <c r="M139" s="4"/>
      <c r="N139" s="4"/>
    </row>
    <row r="140" ht="15.75" customHeight="1">
      <c r="A140" s="4"/>
      <c r="B140" s="4"/>
      <c r="C140" s="4"/>
      <c r="D140" s="4"/>
      <c r="E140" s="4"/>
      <c r="F140" s="4"/>
      <c r="G140" s="4"/>
      <c r="H140" s="4"/>
      <c r="I140" s="4"/>
      <c r="J140" s="4"/>
      <c r="K140" s="4"/>
      <c r="L140" s="4"/>
      <c r="M140" s="4"/>
      <c r="N140" s="4"/>
    </row>
    <row r="141" ht="15.75" customHeight="1">
      <c r="A141" s="4"/>
      <c r="B141" s="4"/>
      <c r="C141" s="4"/>
      <c r="D141" s="4"/>
      <c r="E141" s="4"/>
      <c r="F141" s="4"/>
      <c r="G141" s="4"/>
      <c r="H141" s="4"/>
      <c r="I141" s="4"/>
      <c r="J141" s="4"/>
      <c r="K141" s="4"/>
      <c r="L141" s="4"/>
      <c r="M141" s="4"/>
      <c r="N141" s="4"/>
    </row>
    <row r="142" ht="15.75" customHeight="1">
      <c r="A142" s="4"/>
      <c r="B142" s="4"/>
      <c r="C142" s="4"/>
      <c r="D142" s="4"/>
      <c r="E142" s="4"/>
      <c r="F142" s="4"/>
      <c r="G142" s="4"/>
      <c r="H142" s="4"/>
      <c r="I142" s="4"/>
      <c r="J142" s="4"/>
      <c r="K142" s="4"/>
      <c r="L142" s="4"/>
      <c r="M142" s="4"/>
      <c r="N142" s="4"/>
    </row>
    <row r="143" ht="15.75" customHeight="1">
      <c r="A143" s="4"/>
      <c r="B143" s="4"/>
      <c r="C143" s="4"/>
      <c r="D143" s="4"/>
      <c r="E143" s="4"/>
      <c r="F143" s="4"/>
      <c r="G143" s="4"/>
      <c r="H143" s="4"/>
      <c r="I143" s="4"/>
      <c r="J143" s="4"/>
      <c r="K143" s="4"/>
      <c r="L143" s="4"/>
      <c r="M143" s="4"/>
      <c r="N143" s="4"/>
    </row>
    <row r="144" ht="15.75" customHeight="1">
      <c r="A144" s="4"/>
      <c r="B144" s="4"/>
      <c r="C144" s="4"/>
      <c r="D144" s="4"/>
      <c r="E144" s="4"/>
      <c r="F144" s="4"/>
      <c r="G144" s="4"/>
      <c r="H144" s="4"/>
      <c r="I144" s="4"/>
      <c r="J144" s="4"/>
      <c r="K144" s="4"/>
      <c r="L144" s="4"/>
      <c r="M144" s="4"/>
      <c r="N144" s="4"/>
    </row>
    <row r="145" ht="15.75" customHeight="1">
      <c r="A145" s="4"/>
      <c r="B145" s="4"/>
      <c r="C145" s="4"/>
      <c r="D145" s="4"/>
      <c r="E145" s="4"/>
      <c r="F145" s="4"/>
      <c r="G145" s="4"/>
      <c r="H145" s="4"/>
      <c r="I145" s="4"/>
      <c r="J145" s="4"/>
      <c r="K145" s="4"/>
      <c r="L145" s="4"/>
      <c r="M145" s="4"/>
      <c r="N145" s="4"/>
    </row>
    <row r="146" ht="15.75" customHeight="1">
      <c r="A146" s="4"/>
      <c r="B146" s="4"/>
      <c r="C146" s="4"/>
      <c r="D146" s="4"/>
      <c r="E146" s="4"/>
      <c r="F146" s="4"/>
      <c r="G146" s="4"/>
      <c r="H146" s="4"/>
      <c r="I146" s="4"/>
      <c r="J146" s="4"/>
      <c r="K146" s="4"/>
      <c r="L146" s="4"/>
      <c r="M146" s="4"/>
      <c r="N146" s="4"/>
    </row>
    <row r="147" ht="15.75" customHeight="1">
      <c r="A147" s="4"/>
      <c r="B147" s="4"/>
      <c r="C147" s="4"/>
      <c r="D147" s="4"/>
      <c r="E147" s="4"/>
      <c r="F147" s="4"/>
      <c r="G147" s="4"/>
      <c r="H147" s="4"/>
      <c r="I147" s="4"/>
      <c r="J147" s="4"/>
      <c r="K147" s="4"/>
      <c r="L147" s="4"/>
      <c r="M147" s="4"/>
      <c r="N147" s="4"/>
    </row>
    <row r="148" ht="15.75" customHeight="1">
      <c r="A148" s="4"/>
      <c r="B148" s="4"/>
      <c r="C148" s="4"/>
      <c r="D148" s="4"/>
      <c r="E148" s="4"/>
      <c r="F148" s="4"/>
      <c r="G148" s="4"/>
      <c r="H148" s="4"/>
      <c r="I148" s="4"/>
      <c r="J148" s="4"/>
      <c r="K148" s="4"/>
      <c r="L148" s="4"/>
      <c r="M148" s="4"/>
      <c r="N148" s="4"/>
    </row>
    <row r="149" ht="15.75" customHeight="1">
      <c r="A149" s="4"/>
      <c r="B149" s="4"/>
      <c r="C149" s="4"/>
      <c r="D149" s="4"/>
      <c r="E149" s="4"/>
      <c r="F149" s="4"/>
      <c r="G149" s="4"/>
      <c r="H149" s="4"/>
      <c r="I149" s="4"/>
      <c r="J149" s="4"/>
      <c r="K149" s="4"/>
      <c r="L149" s="4"/>
      <c r="M149" s="4"/>
      <c r="N149" s="4"/>
    </row>
    <row r="150" ht="15.75" customHeight="1">
      <c r="A150" s="4"/>
      <c r="B150" s="4"/>
      <c r="C150" s="4"/>
      <c r="D150" s="4"/>
      <c r="E150" s="4"/>
      <c r="F150" s="4"/>
      <c r="G150" s="4"/>
      <c r="H150" s="4"/>
      <c r="I150" s="4"/>
      <c r="J150" s="4"/>
      <c r="K150" s="4"/>
      <c r="L150" s="4"/>
      <c r="M150" s="4"/>
      <c r="N150" s="4"/>
    </row>
    <row r="151" ht="15.75" customHeight="1">
      <c r="A151" s="4"/>
      <c r="B151" s="4"/>
      <c r="C151" s="4"/>
      <c r="D151" s="4"/>
      <c r="E151" s="4"/>
      <c r="F151" s="4"/>
      <c r="G151" s="4"/>
      <c r="H151" s="4"/>
      <c r="I151" s="4"/>
      <c r="J151" s="4"/>
      <c r="K151" s="4"/>
      <c r="L151" s="4"/>
      <c r="M151" s="4"/>
      <c r="N151" s="4"/>
    </row>
    <row r="152" ht="15.75" customHeight="1">
      <c r="A152" s="4"/>
      <c r="B152" s="4"/>
      <c r="C152" s="4"/>
      <c r="D152" s="4"/>
      <c r="E152" s="4"/>
      <c r="F152" s="4"/>
      <c r="G152" s="4"/>
      <c r="H152" s="4"/>
      <c r="I152" s="4"/>
      <c r="J152" s="4"/>
      <c r="K152" s="4"/>
      <c r="L152" s="4"/>
      <c r="M152" s="4"/>
      <c r="N152" s="4"/>
    </row>
    <row r="153" ht="15.75" customHeight="1">
      <c r="A153" s="4"/>
      <c r="B153" s="4"/>
      <c r="C153" s="4"/>
      <c r="D153" s="4"/>
      <c r="E153" s="4"/>
      <c r="F153" s="4"/>
      <c r="G153" s="4"/>
      <c r="H153" s="4"/>
      <c r="I153" s="4"/>
      <c r="J153" s="4"/>
      <c r="K153" s="4"/>
      <c r="L153" s="4"/>
      <c r="M153" s="4"/>
      <c r="N153" s="4"/>
    </row>
    <row r="154" ht="15.75" customHeight="1">
      <c r="A154" s="4"/>
      <c r="B154" s="4"/>
      <c r="C154" s="4"/>
      <c r="D154" s="4"/>
      <c r="E154" s="4"/>
      <c r="F154" s="4"/>
      <c r="G154" s="4"/>
      <c r="H154" s="4"/>
      <c r="I154" s="4"/>
      <c r="J154" s="4"/>
      <c r="K154" s="4"/>
      <c r="L154" s="4"/>
      <c r="M154" s="4"/>
      <c r="N154" s="4"/>
    </row>
    <row r="155" ht="15.75" customHeight="1">
      <c r="A155" s="4"/>
      <c r="B155" s="4"/>
      <c r="C155" s="4"/>
      <c r="D155" s="4"/>
      <c r="E155" s="4"/>
      <c r="F155" s="4"/>
      <c r="G155" s="4"/>
      <c r="H155" s="4"/>
      <c r="I155" s="4"/>
      <c r="J155" s="4"/>
      <c r="K155" s="4"/>
      <c r="L155" s="4"/>
      <c r="M155" s="4"/>
      <c r="N155" s="4"/>
    </row>
    <row r="156" ht="15.75" customHeight="1">
      <c r="A156" s="4"/>
      <c r="B156" s="4"/>
      <c r="C156" s="4"/>
      <c r="D156" s="4"/>
      <c r="E156" s="4"/>
      <c r="F156" s="4"/>
      <c r="G156" s="4"/>
      <c r="H156" s="4"/>
      <c r="I156" s="4"/>
      <c r="J156" s="4"/>
      <c r="K156" s="4"/>
      <c r="L156" s="4"/>
      <c r="M156" s="4"/>
      <c r="N156" s="4"/>
    </row>
    <row r="157" ht="15.75" customHeight="1">
      <c r="A157" s="4"/>
      <c r="B157" s="4"/>
      <c r="C157" s="4"/>
      <c r="D157" s="4"/>
      <c r="E157" s="4"/>
      <c r="F157" s="4"/>
      <c r="G157" s="4"/>
      <c r="H157" s="4"/>
      <c r="I157" s="4"/>
      <c r="J157" s="4"/>
      <c r="K157" s="4"/>
      <c r="L157" s="4"/>
      <c r="M157" s="4"/>
      <c r="N157" s="4"/>
    </row>
    <row r="158" ht="15.75" customHeight="1">
      <c r="A158" s="4"/>
      <c r="B158" s="4"/>
      <c r="C158" s="4"/>
      <c r="D158" s="4"/>
      <c r="E158" s="4"/>
      <c r="F158" s="4"/>
      <c r="G158" s="4"/>
      <c r="H158" s="4"/>
      <c r="I158" s="4"/>
      <c r="J158" s="4"/>
      <c r="K158" s="4"/>
      <c r="L158" s="4"/>
      <c r="M158" s="4"/>
      <c r="N158" s="4"/>
    </row>
    <row r="159" ht="15.75" customHeight="1">
      <c r="A159" s="4"/>
      <c r="B159" s="4"/>
      <c r="C159" s="4"/>
      <c r="D159" s="4"/>
      <c r="E159" s="4"/>
      <c r="F159" s="4"/>
      <c r="G159" s="4"/>
      <c r="H159" s="4"/>
      <c r="I159" s="4"/>
      <c r="J159" s="4"/>
      <c r="K159" s="4"/>
      <c r="L159" s="4"/>
      <c r="M159" s="4"/>
      <c r="N159" s="4"/>
    </row>
    <row r="160" ht="15.75" customHeight="1">
      <c r="A160" s="4"/>
      <c r="B160" s="4"/>
      <c r="C160" s="4"/>
      <c r="D160" s="4"/>
      <c r="E160" s="4"/>
      <c r="F160" s="4"/>
      <c r="G160" s="4"/>
      <c r="H160" s="4"/>
      <c r="I160" s="4"/>
      <c r="J160" s="4"/>
      <c r="K160" s="4"/>
      <c r="L160" s="4"/>
      <c r="M160" s="4"/>
      <c r="N160" s="4"/>
    </row>
    <row r="161" ht="15.75" customHeight="1">
      <c r="A161" s="4"/>
      <c r="B161" s="4"/>
      <c r="C161" s="4"/>
      <c r="D161" s="4"/>
      <c r="E161" s="4"/>
      <c r="F161" s="4"/>
      <c r="G161" s="4"/>
      <c r="H161" s="4"/>
      <c r="I161" s="4"/>
      <c r="J161" s="4"/>
      <c r="K161" s="4"/>
      <c r="L161" s="4"/>
      <c r="M161" s="4"/>
      <c r="N161" s="4"/>
    </row>
    <row r="162" ht="15.75" customHeight="1">
      <c r="A162" s="4"/>
      <c r="B162" s="4"/>
      <c r="C162" s="4"/>
      <c r="D162" s="4"/>
      <c r="E162" s="4"/>
      <c r="F162" s="4"/>
      <c r="G162" s="4"/>
      <c r="H162" s="4"/>
      <c r="I162" s="4"/>
      <c r="J162" s="4"/>
      <c r="K162" s="4"/>
      <c r="L162" s="4"/>
      <c r="M162" s="4"/>
      <c r="N162" s="4"/>
    </row>
    <row r="163" ht="15.75" customHeight="1">
      <c r="A163" s="4"/>
      <c r="B163" s="4"/>
      <c r="C163" s="4"/>
      <c r="D163" s="4"/>
      <c r="E163" s="4"/>
      <c r="F163" s="4"/>
      <c r="G163" s="4"/>
      <c r="H163" s="4"/>
      <c r="I163" s="4"/>
      <c r="J163" s="4"/>
      <c r="K163" s="4"/>
      <c r="L163" s="4"/>
      <c r="M163" s="4"/>
      <c r="N163" s="4"/>
    </row>
    <row r="164" ht="15.75" customHeight="1">
      <c r="A164" s="4"/>
      <c r="B164" s="4"/>
      <c r="C164" s="4"/>
      <c r="D164" s="4"/>
      <c r="E164" s="4"/>
      <c r="F164" s="4"/>
      <c r="G164" s="4"/>
      <c r="H164" s="4"/>
      <c r="I164" s="4"/>
      <c r="J164" s="4"/>
      <c r="K164" s="4"/>
      <c r="L164" s="4"/>
      <c r="M164" s="4"/>
      <c r="N164" s="4"/>
    </row>
    <row r="165" ht="15.75" customHeight="1">
      <c r="A165" s="4"/>
      <c r="B165" s="4"/>
      <c r="C165" s="4"/>
      <c r="D165" s="4"/>
      <c r="E165" s="4"/>
      <c r="F165" s="4"/>
      <c r="G165" s="4"/>
      <c r="H165" s="4"/>
      <c r="I165" s="4"/>
      <c r="J165" s="4"/>
      <c r="K165" s="4"/>
      <c r="L165" s="4"/>
      <c r="M165" s="4"/>
      <c r="N165" s="4"/>
    </row>
    <row r="166" ht="15.75" customHeight="1">
      <c r="A166" s="4"/>
      <c r="B166" s="4"/>
      <c r="C166" s="4"/>
      <c r="D166" s="4"/>
      <c r="E166" s="4"/>
      <c r="F166" s="4"/>
      <c r="G166" s="4"/>
      <c r="H166" s="4"/>
      <c r="I166" s="4"/>
      <c r="J166" s="4"/>
      <c r="K166" s="4"/>
      <c r="L166" s="4"/>
      <c r="M166" s="4"/>
      <c r="N166" s="4"/>
    </row>
    <row r="167" ht="15.75" customHeight="1">
      <c r="A167" s="4"/>
      <c r="B167" s="4"/>
      <c r="C167" s="4"/>
      <c r="D167" s="4"/>
      <c r="E167" s="4"/>
      <c r="F167" s="4"/>
      <c r="G167" s="4"/>
      <c r="H167" s="4"/>
      <c r="I167" s="4"/>
      <c r="J167" s="4"/>
      <c r="K167" s="4"/>
      <c r="L167" s="4"/>
      <c r="M167" s="4"/>
      <c r="N167" s="4"/>
    </row>
    <row r="168" ht="15.75" customHeight="1">
      <c r="A168" s="4"/>
      <c r="B168" s="4"/>
      <c r="C168" s="4"/>
      <c r="D168" s="4"/>
      <c r="E168" s="4"/>
      <c r="F168" s="4"/>
      <c r="G168" s="4"/>
      <c r="H168" s="4"/>
      <c r="I168" s="4"/>
      <c r="J168" s="4"/>
      <c r="K168" s="4"/>
      <c r="L168" s="4"/>
      <c r="M168" s="4"/>
      <c r="N168" s="4"/>
    </row>
    <row r="169" ht="15.75" customHeight="1">
      <c r="A169" s="4"/>
      <c r="B169" s="4"/>
      <c r="C169" s="4"/>
      <c r="D169" s="4"/>
      <c r="E169" s="4"/>
      <c r="F169" s="4"/>
      <c r="G169" s="4"/>
      <c r="H169" s="4"/>
      <c r="I169" s="4"/>
      <c r="J169" s="4"/>
      <c r="K169" s="4"/>
      <c r="L169" s="4"/>
      <c r="M169" s="4"/>
      <c r="N169" s="4"/>
    </row>
    <row r="170" ht="15.75" customHeight="1">
      <c r="A170" s="4"/>
      <c r="B170" s="4"/>
      <c r="C170" s="4"/>
      <c r="D170" s="4"/>
      <c r="E170" s="4"/>
      <c r="F170" s="4"/>
      <c r="G170" s="4"/>
      <c r="H170" s="4"/>
      <c r="I170" s="4"/>
      <c r="J170" s="4"/>
      <c r="K170" s="4"/>
      <c r="L170" s="4"/>
      <c r="M170" s="4"/>
      <c r="N170" s="4"/>
    </row>
    <row r="171" ht="15.75" customHeight="1">
      <c r="A171" s="4"/>
      <c r="B171" s="4"/>
      <c r="C171" s="4"/>
      <c r="D171" s="4"/>
      <c r="E171" s="4"/>
      <c r="F171" s="4"/>
      <c r="G171" s="4"/>
      <c r="H171" s="4"/>
      <c r="I171" s="4"/>
      <c r="J171" s="4"/>
      <c r="K171" s="4"/>
      <c r="L171" s="4"/>
      <c r="M171" s="4"/>
      <c r="N171" s="4"/>
    </row>
    <row r="172" ht="15.75" customHeight="1">
      <c r="A172" s="4"/>
      <c r="B172" s="4"/>
      <c r="C172" s="4"/>
      <c r="D172" s="4"/>
      <c r="E172" s="4"/>
      <c r="F172" s="4"/>
      <c r="G172" s="4"/>
      <c r="H172" s="4"/>
      <c r="I172" s="4"/>
      <c r="J172" s="4"/>
      <c r="K172" s="4"/>
      <c r="L172" s="4"/>
      <c r="M172" s="4"/>
      <c r="N172" s="4"/>
    </row>
    <row r="173" ht="15.75" customHeight="1">
      <c r="A173" s="4"/>
      <c r="B173" s="4"/>
      <c r="C173" s="4"/>
      <c r="D173" s="4"/>
      <c r="E173" s="4"/>
      <c r="F173" s="4"/>
      <c r="G173" s="4"/>
      <c r="H173" s="4"/>
      <c r="I173" s="4"/>
      <c r="J173" s="4"/>
      <c r="K173" s="4"/>
      <c r="L173" s="4"/>
      <c r="M173" s="4"/>
      <c r="N173" s="4"/>
    </row>
    <row r="174" ht="15.75" customHeight="1">
      <c r="A174" s="4"/>
      <c r="B174" s="4"/>
      <c r="C174" s="4"/>
      <c r="D174" s="4"/>
      <c r="E174" s="4"/>
      <c r="F174" s="4"/>
      <c r="G174" s="4"/>
      <c r="H174" s="4"/>
      <c r="I174" s="4"/>
      <c r="J174" s="4"/>
      <c r="K174" s="4"/>
      <c r="L174" s="4"/>
      <c r="M174" s="4"/>
      <c r="N174" s="4"/>
    </row>
    <row r="175" ht="15.75" customHeight="1">
      <c r="A175" s="4"/>
      <c r="B175" s="4"/>
      <c r="C175" s="4"/>
      <c r="D175" s="4"/>
      <c r="E175" s="4"/>
      <c r="F175" s="4"/>
      <c r="G175" s="4"/>
      <c r="H175" s="4"/>
      <c r="I175" s="4"/>
      <c r="J175" s="4"/>
      <c r="K175" s="4"/>
      <c r="L175" s="4"/>
      <c r="M175" s="4"/>
      <c r="N175" s="4"/>
    </row>
    <row r="176" ht="15.75" customHeight="1">
      <c r="A176" s="4"/>
      <c r="B176" s="4"/>
      <c r="C176" s="4"/>
      <c r="D176" s="4"/>
      <c r="E176" s="4"/>
      <c r="F176" s="4"/>
      <c r="G176" s="4"/>
      <c r="H176" s="4"/>
      <c r="I176" s="4"/>
      <c r="J176" s="4"/>
      <c r="K176" s="4"/>
      <c r="L176" s="4"/>
      <c r="M176" s="4"/>
      <c r="N176" s="4"/>
    </row>
    <row r="177" ht="15.75" customHeight="1">
      <c r="A177" s="4"/>
      <c r="B177" s="4"/>
      <c r="C177" s="4"/>
      <c r="D177" s="4"/>
      <c r="E177" s="4"/>
      <c r="F177" s="4"/>
      <c r="G177" s="4"/>
      <c r="H177" s="4"/>
      <c r="I177" s="4"/>
      <c r="J177" s="4"/>
      <c r="K177" s="4"/>
      <c r="L177" s="4"/>
      <c r="M177" s="4"/>
      <c r="N177" s="4"/>
    </row>
    <row r="178" ht="15.75" customHeight="1">
      <c r="A178" s="4"/>
      <c r="B178" s="4"/>
      <c r="C178" s="4"/>
      <c r="D178" s="4"/>
      <c r="E178" s="4"/>
      <c r="F178" s="4"/>
      <c r="G178" s="4"/>
      <c r="H178" s="4"/>
      <c r="I178" s="4"/>
      <c r="J178" s="4"/>
      <c r="K178" s="4"/>
      <c r="L178" s="4"/>
      <c r="M178" s="4"/>
      <c r="N178" s="4"/>
    </row>
    <row r="179" ht="15.75" customHeight="1">
      <c r="A179" s="4"/>
      <c r="B179" s="4"/>
      <c r="C179" s="4"/>
      <c r="D179" s="4"/>
      <c r="E179" s="4"/>
      <c r="F179" s="4"/>
      <c r="G179" s="4"/>
      <c r="H179" s="4"/>
      <c r="I179" s="4"/>
      <c r="J179" s="4"/>
      <c r="K179" s="4"/>
      <c r="L179" s="4"/>
      <c r="M179" s="4"/>
      <c r="N179" s="4"/>
    </row>
    <row r="180" ht="15.75" customHeight="1">
      <c r="A180" s="4"/>
      <c r="B180" s="4"/>
      <c r="C180" s="4"/>
      <c r="D180" s="4"/>
      <c r="E180" s="4"/>
      <c r="F180" s="4"/>
      <c r="G180" s="4"/>
      <c r="H180" s="4"/>
      <c r="I180" s="4"/>
      <c r="J180" s="4"/>
      <c r="K180" s="4"/>
      <c r="L180" s="4"/>
      <c r="M180" s="4"/>
      <c r="N180" s="4"/>
    </row>
    <row r="181" ht="15.75" customHeight="1">
      <c r="A181" s="4"/>
      <c r="B181" s="4"/>
      <c r="C181" s="4"/>
      <c r="D181" s="4"/>
      <c r="E181" s="4"/>
      <c r="F181" s="4"/>
      <c r="G181" s="4"/>
      <c r="H181" s="4"/>
      <c r="I181" s="4"/>
      <c r="J181" s="4"/>
      <c r="K181" s="4"/>
      <c r="L181" s="4"/>
      <c r="M181" s="4"/>
      <c r="N181" s="4"/>
    </row>
    <row r="182" ht="15.75" customHeight="1">
      <c r="A182" s="4"/>
      <c r="B182" s="4"/>
      <c r="C182" s="4"/>
      <c r="D182" s="4"/>
      <c r="E182" s="4"/>
      <c r="F182" s="4"/>
      <c r="G182" s="4"/>
      <c r="H182" s="4"/>
      <c r="I182" s="4"/>
      <c r="J182" s="4"/>
      <c r="K182" s="4"/>
      <c r="L182" s="4"/>
      <c r="M182" s="4"/>
      <c r="N182" s="4"/>
    </row>
    <row r="183" ht="15.75" customHeight="1">
      <c r="A183" s="4"/>
      <c r="B183" s="4"/>
      <c r="C183" s="4"/>
      <c r="D183" s="4"/>
      <c r="E183" s="4"/>
      <c r="F183" s="4"/>
      <c r="G183" s="4"/>
      <c r="H183" s="4"/>
      <c r="I183" s="4"/>
      <c r="J183" s="4"/>
      <c r="K183" s="4"/>
      <c r="L183" s="4"/>
      <c r="M183" s="4"/>
      <c r="N183" s="4"/>
    </row>
    <row r="184" ht="15.75" customHeight="1">
      <c r="A184" s="4"/>
      <c r="B184" s="4"/>
      <c r="C184" s="4"/>
      <c r="D184" s="4"/>
      <c r="E184" s="4"/>
      <c r="F184" s="4"/>
      <c r="G184" s="4"/>
      <c r="H184" s="4"/>
      <c r="I184" s="4"/>
      <c r="J184" s="4"/>
      <c r="K184" s="4"/>
      <c r="L184" s="4"/>
      <c r="M184" s="4"/>
      <c r="N184" s="4"/>
    </row>
    <row r="185" ht="15.75" customHeight="1">
      <c r="A185" s="4"/>
      <c r="B185" s="4"/>
      <c r="C185" s="4"/>
      <c r="D185" s="4"/>
      <c r="E185" s="4"/>
      <c r="F185" s="4"/>
      <c r="G185" s="4"/>
      <c r="H185" s="4"/>
      <c r="I185" s="4"/>
      <c r="J185" s="4"/>
      <c r="K185" s="4"/>
      <c r="L185" s="4"/>
      <c r="M185" s="4"/>
      <c r="N185" s="4"/>
    </row>
    <row r="186" ht="15.75" customHeight="1">
      <c r="A186" s="4"/>
      <c r="B186" s="4"/>
      <c r="C186" s="4"/>
      <c r="D186" s="4"/>
      <c r="E186" s="4"/>
      <c r="F186" s="4"/>
      <c r="G186" s="4"/>
      <c r="H186" s="4"/>
      <c r="I186" s="4"/>
      <c r="J186" s="4"/>
      <c r="K186" s="4"/>
      <c r="L186" s="4"/>
      <c r="M186" s="4"/>
      <c r="N186" s="4"/>
    </row>
    <row r="187" ht="15.75" customHeight="1">
      <c r="A187" s="4"/>
      <c r="B187" s="4"/>
      <c r="C187" s="4"/>
      <c r="D187" s="4"/>
      <c r="E187" s="4"/>
      <c r="F187" s="4"/>
      <c r="G187" s="4"/>
      <c r="H187" s="4"/>
      <c r="I187" s="4"/>
      <c r="J187" s="4"/>
      <c r="K187" s="4"/>
      <c r="L187" s="4"/>
      <c r="M187" s="4"/>
      <c r="N187" s="4"/>
    </row>
    <row r="188" ht="15.75" customHeight="1">
      <c r="A188" s="4"/>
      <c r="B188" s="4"/>
      <c r="C188" s="4"/>
      <c r="D188" s="4"/>
      <c r="E188" s="4"/>
      <c r="F188" s="4"/>
      <c r="G188" s="4"/>
      <c r="H188" s="4"/>
      <c r="I188" s="4"/>
      <c r="J188" s="4"/>
      <c r="K188" s="4"/>
      <c r="L188" s="4"/>
      <c r="M188" s="4"/>
      <c r="N188" s="4"/>
    </row>
    <row r="189" ht="15.75" customHeight="1">
      <c r="A189" s="4"/>
      <c r="B189" s="4"/>
      <c r="C189" s="4"/>
      <c r="D189" s="4"/>
      <c r="E189" s="4"/>
      <c r="F189" s="4"/>
      <c r="G189" s="4"/>
      <c r="H189" s="4"/>
      <c r="I189" s="4"/>
      <c r="J189" s="4"/>
      <c r="K189" s="4"/>
      <c r="L189" s="4"/>
      <c r="M189" s="4"/>
      <c r="N189" s="4"/>
    </row>
    <row r="190" ht="15.75" customHeight="1">
      <c r="A190" s="4"/>
      <c r="B190" s="4"/>
      <c r="C190" s="4"/>
      <c r="D190" s="4"/>
      <c r="E190" s="4"/>
      <c r="F190" s="4"/>
      <c r="G190" s="4"/>
      <c r="H190" s="4"/>
      <c r="I190" s="4"/>
      <c r="J190" s="4"/>
      <c r="K190" s="4"/>
      <c r="L190" s="4"/>
      <c r="M190" s="4"/>
      <c r="N190" s="4"/>
    </row>
    <row r="191" ht="15.75" customHeight="1">
      <c r="A191" s="4"/>
      <c r="B191" s="4"/>
      <c r="C191" s="4"/>
      <c r="D191" s="4"/>
      <c r="E191" s="4"/>
      <c r="F191" s="4"/>
      <c r="G191" s="4"/>
      <c r="H191" s="4"/>
      <c r="I191" s="4"/>
      <c r="J191" s="4"/>
      <c r="K191" s="4"/>
      <c r="L191" s="4"/>
      <c r="M191" s="4"/>
      <c r="N191" s="4"/>
    </row>
    <row r="192" ht="15.75" customHeight="1">
      <c r="A192" s="4"/>
      <c r="B192" s="4"/>
      <c r="C192" s="4"/>
      <c r="D192" s="4"/>
      <c r="E192" s="4"/>
      <c r="F192" s="4"/>
      <c r="G192" s="4"/>
      <c r="H192" s="4"/>
      <c r="I192" s="4"/>
      <c r="J192" s="4"/>
      <c r="K192" s="4"/>
      <c r="L192" s="4"/>
      <c r="M192" s="4"/>
      <c r="N192" s="4"/>
    </row>
    <row r="193" ht="15.75" customHeight="1">
      <c r="A193" s="4"/>
      <c r="B193" s="4"/>
      <c r="C193" s="4"/>
      <c r="D193" s="4"/>
      <c r="E193" s="4"/>
      <c r="F193" s="4"/>
      <c r="G193" s="4"/>
      <c r="H193" s="4"/>
      <c r="I193" s="4"/>
      <c r="J193" s="4"/>
      <c r="K193" s="4"/>
      <c r="L193" s="4"/>
      <c r="M193" s="4"/>
      <c r="N193" s="4"/>
    </row>
    <row r="194" ht="15.75" customHeight="1">
      <c r="A194" s="4"/>
      <c r="B194" s="4"/>
      <c r="C194" s="4"/>
      <c r="D194" s="4"/>
      <c r="E194" s="4"/>
      <c r="F194" s="4"/>
      <c r="G194" s="4"/>
      <c r="H194" s="4"/>
      <c r="I194" s="4"/>
      <c r="J194" s="4"/>
      <c r="K194" s="4"/>
      <c r="L194" s="4"/>
      <c r="M194" s="4"/>
      <c r="N194" s="4"/>
    </row>
    <row r="195" ht="15.75" customHeight="1">
      <c r="A195" s="4"/>
      <c r="B195" s="4"/>
      <c r="C195" s="4"/>
      <c r="D195" s="4"/>
      <c r="E195" s="4"/>
      <c r="F195" s="4"/>
      <c r="G195" s="4"/>
      <c r="H195" s="4"/>
      <c r="I195" s="4"/>
      <c r="J195" s="4"/>
      <c r="K195" s="4"/>
      <c r="L195" s="4"/>
      <c r="M195" s="4"/>
      <c r="N195" s="4"/>
    </row>
    <row r="196" ht="15.75" customHeight="1">
      <c r="A196" s="4"/>
      <c r="B196" s="4"/>
      <c r="C196" s="4"/>
      <c r="D196" s="4"/>
      <c r="E196" s="4"/>
      <c r="F196" s="4"/>
      <c r="G196" s="4"/>
      <c r="H196" s="4"/>
      <c r="I196" s="4"/>
      <c r="J196" s="4"/>
      <c r="K196" s="4"/>
      <c r="L196" s="4"/>
      <c r="M196" s="4"/>
      <c r="N196" s="4"/>
    </row>
    <row r="197" ht="15.75" customHeight="1">
      <c r="A197" s="4"/>
      <c r="B197" s="4"/>
      <c r="C197" s="4"/>
      <c r="D197" s="4"/>
      <c r="E197" s="4"/>
      <c r="F197" s="4"/>
      <c r="G197" s="4"/>
      <c r="H197" s="4"/>
      <c r="I197" s="4"/>
      <c r="J197" s="4"/>
      <c r="K197" s="4"/>
      <c r="L197" s="4"/>
      <c r="M197" s="4"/>
      <c r="N197" s="4"/>
    </row>
    <row r="198" ht="15.75" customHeight="1">
      <c r="A198" s="4"/>
      <c r="B198" s="4"/>
      <c r="C198" s="4"/>
      <c r="D198" s="4"/>
      <c r="E198" s="4"/>
      <c r="F198" s="4"/>
      <c r="G198" s="4"/>
      <c r="H198" s="4"/>
      <c r="I198" s="4"/>
      <c r="J198" s="4"/>
      <c r="K198" s="4"/>
      <c r="L198" s="4"/>
      <c r="M198" s="4"/>
      <c r="N198" s="4"/>
    </row>
    <row r="199" ht="15.75" customHeight="1">
      <c r="A199" s="4"/>
      <c r="B199" s="4"/>
      <c r="C199" s="4"/>
      <c r="D199" s="4"/>
      <c r="E199" s="4"/>
      <c r="F199" s="4"/>
      <c r="G199" s="4"/>
      <c r="H199" s="4"/>
      <c r="I199" s="4"/>
      <c r="J199" s="4"/>
      <c r="K199" s="4"/>
      <c r="L199" s="4"/>
      <c r="M199" s="4"/>
      <c r="N199" s="4"/>
    </row>
    <row r="200" ht="15.75" customHeight="1">
      <c r="A200" s="4"/>
      <c r="B200" s="4"/>
      <c r="C200" s="4"/>
      <c r="D200" s="4"/>
      <c r="E200" s="4"/>
      <c r="F200" s="4"/>
      <c r="G200" s="4"/>
      <c r="H200" s="4"/>
      <c r="I200" s="4"/>
      <c r="J200" s="4"/>
      <c r="K200" s="4"/>
      <c r="L200" s="4"/>
      <c r="M200" s="4"/>
      <c r="N200" s="4"/>
    </row>
    <row r="201" ht="15.75" customHeight="1">
      <c r="A201" s="4"/>
      <c r="B201" s="4"/>
      <c r="C201" s="4"/>
      <c r="D201" s="4"/>
      <c r="E201" s="4"/>
      <c r="F201" s="4"/>
      <c r="G201" s="4"/>
      <c r="H201" s="4"/>
      <c r="I201" s="4"/>
      <c r="J201" s="4"/>
      <c r="K201" s="4"/>
      <c r="L201" s="4"/>
      <c r="M201" s="4"/>
      <c r="N201" s="4"/>
    </row>
    <row r="202" ht="15.75" customHeight="1">
      <c r="A202" s="4"/>
      <c r="B202" s="4"/>
      <c r="C202" s="4"/>
      <c r="D202" s="4"/>
      <c r="E202" s="4"/>
      <c r="F202" s="4"/>
      <c r="G202" s="4"/>
      <c r="H202" s="4"/>
      <c r="I202" s="4"/>
      <c r="J202" s="4"/>
      <c r="K202" s="4"/>
      <c r="L202" s="4"/>
      <c r="M202" s="4"/>
      <c r="N202" s="4"/>
    </row>
    <row r="203" ht="15.75" customHeight="1">
      <c r="A203" s="4"/>
      <c r="B203" s="4"/>
      <c r="C203" s="4"/>
      <c r="D203" s="4"/>
      <c r="E203" s="4"/>
      <c r="F203" s="4"/>
      <c r="G203" s="4"/>
      <c r="H203" s="4"/>
      <c r="I203" s="4"/>
      <c r="J203" s="4"/>
      <c r="K203" s="4"/>
      <c r="L203" s="4"/>
      <c r="M203" s="4"/>
      <c r="N203" s="4"/>
    </row>
    <row r="204" ht="15.75" customHeight="1">
      <c r="A204" s="4"/>
      <c r="B204" s="4"/>
      <c r="C204" s="4"/>
      <c r="D204" s="4"/>
      <c r="E204" s="4"/>
      <c r="F204" s="4"/>
      <c r="G204" s="4"/>
      <c r="H204" s="4"/>
      <c r="I204" s="4"/>
      <c r="J204" s="4"/>
      <c r="K204" s="4"/>
      <c r="L204" s="4"/>
      <c r="M204" s="4"/>
      <c r="N204" s="4"/>
    </row>
    <row r="205" ht="15.75" customHeight="1">
      <c r="A205" s="4"/>
      <c r="B205" s="4"/>
      <c r="C205" s="4"/>
      <c r="D205" s="4"/>
      <c r="E205" s="4"/>
      <c r="F205" s="4"/>
      <c r="G205" s="4"/>
      <c r="H205" s="4"/>
      <c r="I205" s="4"/>
      <c r="J205" s="4"/>
      <c r="K205" s="4"/>
      <c r="L205" s="4"/>
      <c r="M205" s="4"/>
      <c r="N205" s="4"/>
    </row>
    <row r="206" ht="15.75" customHeight="1">
      <c r="A206" s="4"/>
      <c r="B206" s="4"/>
      <c r="C206" s="4"/>
      <c r="D206" s="4"/>
      <c r="E206" s="4"/>
      <c r="F206" s="4"/>
      <c r="G206" s="4"/>
      <c r="H206" s="4"/>
      <c r="I206" s="4"/>
      <c r="J206" s="4"/>
      <c r="K206" s="4"/>
      <c r="L206" s="4"/>
      <c r="M206" s="4"/>
      <c r="N206" s="4"/>
    </row>
    <row r="207" ht="15.75" customHeight="1">
      <c r="A207" s="4"/>
      <c r="B207" s="4"/>
      <c r="C207" s="4"/>
      <c r="D207" s="4"/>
      <c r="E207" s="4"/>
      <c r="F207" s="4"/>
      <c r="G207" s="4"/>
      <c r="H207" s="4"/>
      <c r="I207" s="4"/>
      <c r="J207" s="4"/>
      <c r="K207" s="4"/>
      <c r="L207" s="4"/>
      <c r="M207" s="4"/>
      <c r="N207" s="4"/>
    </row>
    <row r="208" ht="15.75" customHeight="1">
      <c r="A208" s="4"/>
      <c r="B208" s="4"/>
      <c r="C208" s="4"/>
      <c r="D208" s="4"/>
      <c r="E208" s="4"/>
      <c r="F208" s="4"/>
      <c r="G208" s="4"/>
      <c r="H208" s="4"/>
      <c r="I208" s="4"/>
      <c r="J208" s="4"/>
      <c r="K208" s="4"/>
      <c r="L208" s="4"/>
      <c r="M208" s="4"/>
      <c r="N208" s="4"/>
    </row>
    <row r="209" ht="15.75" customHeight="1">
      <c r="A209" s="4"/>
      <c r="B209" s="4"/>
      <c r="C209" s="4"/>
      <c r="D209" s="4"/>
      <c r="E209" s="4"/>
      <c r="F209" s="4"/>
      <c r="G209" s="4"/>
      <c r="H209" s="4"/>
      <c r="I209" s="4"/>
      <c r="J209" s="4"/>
      <c r="K209" s="4"/>
      <c r="L209" s="4"/>
      <c r="M209" s="4"/>
      <c r="N209" s="4"/>
    </row>
    <row r="210" ht="15.75" customHeight="1">
      <c r="A210" s="4"/>
      <c r="B210" s="4"/>
      <c r="C210" s="4"/>
      <c r="D210" s="4"/>
      <c r="E210" s="4"/>
      <c r="F210" s="4"/>
      <c r="G210" s="4"/>
      <c r="H210" s="4"/>
      <c r="I210" s="4"/>
      <c r="J210" s="4"/>
      <c r="K210" s="4"/>
      <c r="L210" s="4"/>
      <c r="M210" s="4"/>
      <c r="N210" s="4"/>
    </row>
    <row r="211" ht="15.75" customHeight="1">
      <c r="A211" s="4"/>
      <c r="B211" s="4"/>
      <c r="C211" s="4"/>
      <c r="D211" s="4"/>
      <c r="E211" s="4"/>
      <c r="F211" s="4"/>
      <c r="G211" s="4"/>
      <c r="H211" s="4"/>
      <c r="I211" s="4"/>
      <c r="J211" s="4"/>
      <c r="K211" s="4"/>
      <c r="L211" s="4"/>
      <c r="M211" s="4"/>
      <c r="N211" s="4"/>
    </row>
    <row r="212" ht="15.75" customHeight="1">
      <c r="A212" s="4"/>
      <c r="B212" s="4"/>
      <c r="C212" s="4"/>
      <c r="D212" s="4"/>
      <c r="E212" s="4"/>
      <c r="F212" s="4"/>
      <c r="G212" s="4"/>
      <c r="H212" s="4"/>
      <c r="I212" s="4"/>
      <c r="J212" s="4"/>
      <c r="K212" s="4"/>
      <c r="L212" s="4"/>
      <c r="M212" s="4"/>
      <c r="N212" s="4"/>
    </row>
    <row r="213" ht="15.75" customHeight="1">
      <c r="A213" s="4"/>
      <c r="B213" s="4"/>
      <c r="C213" s="4"/>
      <c r="D213" s="4"/>
      <c r="E213" s="4"/>
      <c r="F213" s="4"/>
      <c r="G213" s="4"/>
      <c r="H213" s="4"/>
      <c r="I213" s="4"/>
      <c r="J213" s="4"/>
      <c r="K213" s="4"/>
      <c r="L213" s="4"/>
      <c r="M213" s="4"/>
      <c r="N213" s="4"/>
    </row>
    <row r="214" ht="15.75" customHeight="1">
      <c r="A214" s="4"/>
      <c r="B214" s="4"/>
      <c r="C214" s="4"/>
      <c r="D214" s="4"/>
      <c r="E214" s="4"/>
      <c r="F214" s="4"/>
      <c r="G214" s="4"/>
      <c r="H214" s="4"/>
      <c r="I214" s="4"/>
      <c r="J214" s="4"/>
      <c r="K214" s="4"/>
      <c r="L214" s="4"/>
      <c r="M214" s="4"/>
      <c r="N214" s="4"/>
    </row>
    <row r="215" ht="15.75" customHeight="1">
      <c r="A215" s="4"/>
      <c r="B215" s="4"/>
      <c r="C215" s="4"/>
      <c r="D215" s="4"/>
      <c r="E215" s="4"/>
      <c r="F215" s="4"/>
      <c r="G215" s="4"/>
      <c r="H215" s="4"/>
      <c r="I215" s="4"/>
      <c r="J215" s="4"/>
      <c r="K215" s="4"/>
      <c r="L215" s="4"/>
      <c r="M215" s="4"/>
      <c r="N215" s="4"/>
    </row>
    <row r="216" ht="15.75" customHeight="1">
      <c r="A216" s="4"/>
      <c r="B216" s="4"/>
      <c r="C216" s="4"/>
      <c r="D216" s="4"/>
      <c r="E216" s="4"/>
      <c r="F216" s="4"/>
      <c r="G216" s="4"/>
      <c r="H216" s="4"/>
      <c r="I216" s="4"/>
      <c r="J216" s="4"/>
      <c r="K216" s="4"/>
      <c r="L216" s="4"/>
      <c r="M216" s="4"/>
      <c r="N216" s="4"/>
    </row>
    <row r="217" ht="15.75" customHeight="1">
      <c r="A217" s="4"/>
      <c r="B217" s="4"/>
      <c r="C217" s="4"/>
      <c r="D217" s="4"/>
      <c r="E217" s="4"/>
      <c r="F217" s="4"/>
      <c r="G217" s="4"/>
      <c r="H217" s="4"/>
      <c r="I217" s="4"/>
      <c r="J217" s="4"/>
      <c r="K217" s="4"/>
      <c r="L217" s="4"/>
      <c r="M217" s="4"/>
      <c r="N217" s="4"/>
    </row>
    <row r="218" ht="15.75" customHeight="1">
      <c r="A218" s="4"/>
      <c r="B218" s="4"/>
      <c r="C218" s="4"/>
      <c r="D218" s="4"/>
      <c r="E218" s="4"/>
      <c r="F218" s="4"/>
      <c r="G218" s="4"/>
      <c r="H218" s="4"/>
      <c r="I218" s="4"/>
      <c r="J218" s="4"/>
      <c r="K218" s="4"/>
      <c r="L218" s="4"/>
      <c r="M218" s="4"/>
      <c r="N218" s="4"/>
    </row>
    <row r="219" ht="15.75" customHeight="1">
      <c r="A219" s="4"/>
      <c r="B219" s="4"/>
      <c r="C219" s="4"/>
      <c r="D219" s="4"/>
      <c r="E219" s="4"/>
      <c r="F219" s="4"/>
      <c r="G219" s="4"/>
      <c r="H219" s="4"/>
      <c r="I219" s="4"/>
      <c r="J219" s="4"/>
      <c r="K219" s="4"/>
      <c r="L219" s="4"/>
      <c r="M219" s="4"/>
      <c r="N219" s="4"/>
    </row>
    <row r="220" ht="15.75" customHeight="1">
      <c r="A220" s="4"/>
      <c r="B220" s="4"/>
      <c r="C220" s="4"/>
      <c r="D220" s="4"/>
      <c r="E220" s="4"/>
      <c r="F220" s="4"/>
      <c r="G220" s="4"/>
      <c r="H220" s="4"/>
      <c r="I220" s="4"/>
      <c r="J220" s="4"/>
      <c r="K220" s="4"/>
      <c r="L220" s="4"/>
      <c r="M220" s="4"/>
      <c r="N220" s="4"/>
    </row>
    <row r="221" ht="15.75" customHeight="1">
      <c r="A221" s="4"/>
      <c r="B221" s="4"/>
      <c r="C221" s="4"/>
      <c r="D221" s="4"/>
      <c r="E221" s="4"/>
      <c r="F221" s="4"/>
      <c r="G221" s="4"/>
      <c r="H221" s="4"/>
      <c r="I221" s="4"/>
      <c r="J221" s="4"/>
      <c r="K221" s="4"/>
      <c r="L221" s="4"/>
      <c r="M221" s="4"/>
      <c r="N221" s="4"/>
    </row>
    <row r="222" ht="15.75" customHeight="1">
      <c r="A222" s="4"/>
      <c r="B222" s="4"/>
      <c r="C222" s="4"/>
      <c r="D222" s="4"/>
      <c r="E222" s="4"/>
      <c r="F222" s="4"/>
      <c r="G222" s="4"/>
      <c r="H222" s="4"/>
      <c r="I222" s="4"/>
      <c r="J222" s="4"/>
      <c r="K222" s="4"/>
      <c r="L222" s="4"/>
      <c r="M222" s="4"/>
      <c r="N222" s="4"/>
    </row>
    <row r="223" ht="15.75" customHeight="1">
      <c r="A223" s="4"/>
      <c r="B223" s="4"/>
      <c r="C223" s="4"/>
      <c r="D223" s="4"/>
      <c r="E223" s="4"/>
      <c r="F223" s="4"/>
      <c r="G223" s="4"/>
      <c r="H223" s="4"/>
      <c r="I223" s="4"/>
      <c r="J223" s="4"/>
      <c r="K223" s="4"/>
      <c r="L223" s="4"/>
      <c r="M223" s="4"/>
      <c r="N223" s="4"/>
    </row>
    <row r="224" ht="15.75" customHeight="1">
      <c r="A224" s="4"/>
      <c r="B224" s="4"/>
      <c r="C224" s="4"/>
      <c r="D224" s="4"/>
      <c r="E224" s="4"/>
      <c r="F224" s="4"/>
      <c r="G224" s="4"/>
      <c r="H224" s="4"/>
      <c r="I224" s="4"/>
      <c r="J224" s="4"/>
      <c r="K224" s="4"/>
      <c r="L224" s="4"/>
      <c r="M224" s="4"/>
      <c r="N224" s="4"/>
    </row>
    <row r="225" ht="15.75" customHeight="1">
      <c r="A225" s="4"/>
      <c r="B225" s="4"/>
      <c r="C225" s="4"/>
      <c r="D225" s="4"/>
      <c r="E225" s="4"/>
      <c r="F225" s="4"/>
      <c r="G225" s="4"/>
      <c r="H225" s="4"/>
      <c r="I225" s="4"/>
      <c r="J225" s="4"/>
      <c r="K225" s="4"/>
      <c r="L225" s="4"/>
      <c r="M225" s="4"/>
      <c r="N225" s="4"/>
    </row>
    <row r="226" ht="15.75" customHeight="1">
      <c r="A226" s="4"/>
      <c r="B226" s="4"/>
      <c r="C226" s="4"/>
      <c r="D226" s="4"/>
      <c r="E226" s="4"/>
      <c r="F226" s="4"/>
      <c r="G226" s="4"/>
      <c r="H226" s="4"/>
      <c r="I226" s="4"/>
      <c r="J226" s="4"/>
      <c r="K226" s="4"/>
      <c r="L226" s="4"/>
      <c r="M226" s="4"/>
      <c r="N226" s="4"/>
    </row>
    <row r="227" ht="15.75" customHeight="1">
      <c r="A227" s="4"/>
      <c r="B227" s="4"/>
      <c r="C227" s="4"/>
      <c r="D227" s="4"/>
      <c r="E227" s="4"/>
      <c r="F227" s="4"/>
      <c r="G227" s="4"/>
      <c r="H227" s="4"/>
      <c r="I227" s="4"/>
      <c r="J227" s="4"/>
      <c r="K227" s="4"/>
      <c r="L227" s="4"/>
      <c r="M227" s="4"/>
      <c r="N227" s="4"/>
    </row>
    <row r="228" ht="15.75" customHeight="1">
      <c r="A228" s="4"/>
      <c r="B228" s="4"/>
      <c r="C228" s="4"/>
      <c r="D228" s="4"/>
      <c r="E228" s="4"/>
      <c r="F228" s="4"/>
      <c r="G228" s="4"/>
      <c r="H228" s="4"/>
      <c r="I228" s="4"/>
      <c r="J228" s="4"/>
      <c r="K228" s="4"/>
      <c r="L228" s="4"/>
      <c r="M228" s="4"/>
      <c r="N228" s="4"/>
    </row>
    <row r="229" ht="15.75" customHeight="1">
      <c r="A229" s="4"/>
      <c r="B229" s="4"/>
      <c r="C229" s="4"/>
      <c r="D229" s="4"/>
      <c r="E229" s="4"/>
      <c r="F229" s="4"/>
      <c r="G229" s="4"/>
      <c r="H229" s="4"/>
      <c r="I229" s="4"/>
      <c r="J229" s="4"/>
      <c r="K229" s="4"/>
      <c r="L229" s="4"/>
      <c r="M229" s="4"/>
      <c r="N229" s="4"/>
    </row>
    <row r="230" ht="15.75" customHeight="1">
      <c r="A230" s="4"/>
      <c r="B230" s="4"/>
      <c r="C230" s="4"/>
      <c r="D230" s="4"/>
      <c r="E230" s="4"/>
      <c r="F230" s="4"/>
      <c r="G230" s="4"/>
      <c r="H230" s="4"/>
      <c r="I230" s="4"/>
      <c r="J230" s="4"/>
      <c r="K230" s="4"/>
      <c r="L230" s="4"/>
      <c r="M230" s="4"/>
      <c r="N230" s="4"/>
    </row>
    <row r="231" ht="15.75" customHeight="1">
      <c r="A231" s="4"/>
      <c r="B231" s="4"/>
      <c r="C231" s="4"/>
      <c r="D231" s="4"/>
      <c r="E231" s="4"/>
      <c r="F231" s="4"/>
      <c r="G231" s="4"/>
      <c r="H231" s="4"/>
      <c r="I231" s="4"/>
      <c r="J231" s="4"/>
      <c r="K231" s="4"/>
      <c r="L231" s="4"/>
      <c r="M231" s="4"/>
      <c r="N231" s="4"/>
    </row>
    <row r="232" ht="15.75" customHeight="1">
      <c r="A232" s="4"/>
      <c r="B232" s="4"/>
      <c r="C232" s="4"/>
      <c r="D232" s="4"/>
      <c r="E232" s="4"/>
      <c r="F232" s="4"/>
      <c r="G232" s="4"/>
      <c r="H232" s="4"/>
      <c r="I232" s="4"/>
      <c r="J232" s="4"/>
      <c r="K232" s="4"/>
      <c r="L232" s="4"/>
      <c r="M232" s="4"/>
      <c r="N232" s="4"/>
    </row>
    <row r="233" ht="15.75" customHeight="1">
      <c r="A233" s="4"/>
      <c r="B233" s="4"/>
      <c r="C233" s="4"/>
      <c r="D233" s="4"/>
      <c r="E233" s="4"/>
      <c r="F233" s="4"/>
      <c r="G233" s="4"/>
      <c r="H233" s="4"/>
      <c r="I233" s="4"/>
      <c r="J233" s="4"/>
      <c r="K233" s="4"/>
      <c r="L233" s="4"/>
      <c r="M233" s="4"/>
      <c r="N233" s="4"/>
    </row>
    <row r="234" ht="15.75" customHeight="1">
      <c r="A234" s="4"/>
      <c r="B234" s="4"/>
      <c r="C234" s="4"/>
      <c r="D234" s="4"/>
      <c r="E234" s="4"/>
      <c r="F234" s="4"/>
      <c r="G234" s="4"/>
      <c r="H234" s="4"/>
      <c r="I234" s="4"/>
      <c r="J234" s="4"/>
      <c r="K234" s="4"/>
      <c r="L234" s="4"/>
      <c r="M234" s="4"/>
      <c r="N234" s="4"/>
    </row>
    <row r="235" ht="15.75" customHeight="1">
      <c r="A235" s="4"/>
      <c r="B235" s="4"/>
      <c r="C235" s="4"/>
      <c r="D235" s="4"/>
      <c r="E235" s="4"/>
      <c r="F235" s="4"/>
      <c r="G235" s="4"/>
      <c r="H235" s="4"/>
      <c r="I235" s="4"/>
      <c r="J235" s="4"/>
      <c r="K235" s="4"/>
      <c r="L235" s="4"/>
      <c r="M235" s="4"/>
      <c r="N235" s="4"/>
    </row>
    <row r="236" ht="15.75" customHeight="1">
      <c r="A236" s="4"/>
      <c r="B236" s="4"/>
      <c r="C236" s="4"/>
      <c r="D236" s="4"/>
      <c r="E236" s="4"/>
      <c r="F236" s="4"/>
      <c r="G236" s="4"/>
      <c r="H236" s="4"/>
      <c r="I236" s="4"/>
      <c r="J236" s="4"/>
      <c r="K236" s="4"/>
      <c r="L236" s="4"/>
      <c r="M236" s="4"/>
      <c r="N236" s="4"/>
    </row>
    <row r="237" ht="15.75" customHeight="1">
      <c r="A237" s="4"/>
      <c r="B237" s="4"/>
      <c r="C237" s="4"/>
      <c r="D237" s="4"/>
      <c r="E237" s="4"/>
      <c r="F237" s="4"/>
      <c r="G237" s="4"/>
      <c r="H237" s="4"/>
      <c r="I237" s="4"/>
      <c r="J237" s="4"/>
      <c r="K237" s="4"/>
      <c r="L237" s="4"/>
      <c r="M237" s="4"/>
      <c r="N237" s="4"/>
    </row>
    <row r="238" ht="15.75" customHeight="1">
      <c r="A238" s="4"/>
      <c r="B238" s="4"/>
      <c r="C238" s="4"/>
      <c r="D238" s="4"/>
      <c r="E238" s="4"/>
      <c r="F238" s="4"/>
      <c r="G238" s="4"/>
      <c r="H238" s="4"/>
      <c r="I238" s="4"/>
      <c r="J238" s="4"/>
      <c r="K238" s="4"/>
      <c r="L238" s="4"/>
      <c r="M238" s="4"/>
      <c r="N238" s="4"/>
    </row>
    <row r="239" ht="15.75" customHeight="1">
      <c r="A239" s="4"/>
      <c r="B239" s="4"/>
      <c r="C239" s="4"/>
      <c r="D239" s="4"/>
      <c r="E239" s="4"/>
      <c r="F239" s="4"/>
      <c r="G239" s="4"/>
      <c r="H239" s="4"/>
      <c r="I239" s="4"/>
      <c r="J239" s="4"/>
      <c r="K239" s="4"/>
      <c r="L239" s="4"/>
      <c r="M239" s="4"/>
      <c r="N239" s="4"/>
    </row>
    <row r="240" ht="15.75" customHeight="1">
      <c r="A240" s="4"/>
      <c r="B240" s="4"/>
      <c r="C240" s="4"/>
      <c r="D240" s="4"/>
      <c r="E240" s="4"/>
      <c r="F240" s="4"/>
      <c r="G240" s="4"/>
      <c r="H240" s="4"/>
      <c r="I240" s="4"/>
      <c r="J240" s="4"/>
      <c r="K240" s="4"/>
      <c r="L240" s="4"/>
      <c r="M240" s="4"/>
      <c r="N240" s="4"/>
    </row>
    <row r="241" ht="15.75" customHeight="1">
      <c r="A241" s="4"/>
      <c r="B241" s="4"/>
      <c r="C241" s="4"/>
      <c r="D241" s="4"/>
      <c r="E241" s="4"/>
      <c r="F241" s="4"/>
      <c r="G241" s="4"/>
      <c r="H241" s="4"/>
      <c r="I241" s="4"/>
      <c r="J241" s="4"/>
      <c r="K241" s="4"/>
      <c r="L241" s="4"/>
      <c r="M241" s="4"/>
      <c r="N241" s="4"/>
    </row>
    <row r="242" ht="15.75" customHeight="1">
      <c r="A242" s="4"/>
      <c r="B242" s="4"/>
      <c r="C242" s="4"/>
      <c r="D242" s="4"/>
      <c r="E242" s="4"/>
      <c r="F242" s="4"/>
      <c r="G242" s="4"/>
      <c r="H242" s="4"/>
      <c r="I242" s="4"/>
      <c r="J242" s="4"/>
      <c r="K242" s="4"/>
      <c r="L242" s="4"/>
      <c r="M242" s="4"/>
      <c r="N242" s="4"/>
    </row>
    <row r="243" ht="15.75" customHeight="1">
      <c r="A243" s="4"/>
      <c r="B243" s="4"/>
      <c r="C243" s="4"/>
      <c r="D243" s="4"/>
      <c r="E243" s="4"/>
      <c r="F243" s="4"/>
      <c r="G243" s="4"/>
      <c r="H243" s="4"/>
      <c r="I243" s="4"/>
      <c r="J243" s="4"/>
      <c r="K243" s="4"/>
      <c r="L243" s="4"/>
      <c r="M243" s="4"/>
      <c r="N243" s="4"/>
    </row>
    <row r="244" ht="15.75" customHeight="1">
      <c r="A244" s="4"/>
      <c r="B244" s="4"/>
      <c r="C244" s="4"/>
      <c r="D244" s="4"/>
      <c r="E244" s="4"/>
      <c r="F244" s="4"/>
      <c r="G244" s="4"/>
      <c r="H244" s="4"/>
      <c r="I244" s="4"/>
      <c r="J244" s="4"/>
      <c r="K244" s="4"/>
      <c r="L244" s="4"/>
      <c r="M244" s="4"/>
      <c r="N244" s="4"/>
    </row>
    <row r="245" ht="15.75" customHeight="1">
      <c r="A245" s="4"/>
      <c r="B245" s="4"/>
      <c r="C245" s="4"/>
      <c r="D245" s="4"/>
      <c r="E245" s="4"/>
      <c r="F245" s="4"/>
      <c r="G245" s="4"/>
      <c r="H245" s="4"/>
      <c r="I245" s="4"/>
      <c r="J245" s="4"/>
      <c r="K245" s="4"/>
      <c r="L245" s="4"/>
      <c r="M245" s="4"/>
      <c r="N245" s="4"/>
    </row>
    <row r="246" ht="15.75" customHeight="1">
      <c r="A246" s="4"/>
      <c r="B246" s="4"/>
      <c r="C246" s="4"/>
      <c r="D246" s="4"/>
      <c r="E246" s="4"/>
      <c r="F246" s="4"/>
      <c r="G246" s="4"/>
      <c r="H246" s="4"/>
      <c r="I246" s="4"/>
      <c r="J246" s="4"/>
      <c r="K246" s="4"/>
      <c r="L246" s="4"/>
      <c r="M246" s="4"/>
      <c r="N246" s="4"/>
    </row>
    <row r="247" ht="15.75" customHeight="1">
      <c r="A247" s="4"/>
      <c r="B247" s="4"/>
      <c r="C247" s="4"/>
      <c r="D247" s="4"/>
      <c r="E247" s="4"/>
      <c r="F247" s="4"/>
      <c r="G247" s="4"/>
      <c r="H247" s="4"/>
      <c r="I247" s="4"/>
      <c r="J247" s="4"/>
      <c r="K247" s="4"/>
      <c r="L247" s="4"/>
      <c r="M247" s="4"/>
      <c r="N247" s="4"/>
    </row>
    <row r="248" ht="15.75" customHeight="1">
      <c r="A248" s="4"/>
      <c r="B248" s="4"/>
      <c r="C248" s="4"/>
      <c r="D248" s="4"/>
      <c r="E248" s="4"/>
      <c r="F248" s="4"/>
      <c r="G248" s="4"/>
      <c r="H248" s="4"/>
      <c r="I248" s="4"/>
      <c r="J248" s="4"/>
      <c r="K248" s="4"/>
      <c r="L248" s="4"/>
      <c r="M248" s="4"/>
      <c r="N248" s="4"/>
    </row>
    <row r="249" ht="15.75" customHeight="1">
      <c r="A249" s="4"/>
      <c r="B249" s="4"/>
      <c r="C249" s="4"/>
      <c r="D249" s="4"/>
      <c r="E249" s="4"/>
      <c r="F249" s="4"/>
      <c r="G249" s="4"/>
      <c r="H249" s="4"/>
      <c r="I249" s="4"/>
      <c r="J249" s="4"/>
      <c r="K249" s="4"/>
      <c r="L249" s="4"/>
      <c r="M249" s="4"/>
      <c r="N249" s="4"/>
    </row>
    <row r="250" ht="15.75" customHeight="1">
      <c r="A250" s="4"/>
      <c r="B250" s="4"/>
      <c r="C250" s="4"/>
      <c r="D250" s="4"/>
      <c r="E250" s="4"/>
      <c r="F250" s="4"/>
      <c r="G250" s="4"/>
      <c r="H250" s="4"/>
      <c r="I250" s="4"/>
      <c r="J250" s="4"/>
      <c r="K250" s="4"/>
      <c r="L250" s="4"/>
      <c r="M250" s="4"/>
      <c r="N250" s="4"/>
    </row>
    <row r="251" ht="15.75" customHeight="1">
      <c r="A251" s="4"/>
      <c r="B251" s="4"/>
      <c r="C251" s="4"/>
      <c r="D251" s="4"/>
      <c r="E251" s="4"/>
      <c r="F251" s="4"/>
      <c r="G251" s="4"/>
      <c r="H251" s="4"/>
      <c r="I251" s="4"/>
      <c r="J251" s="4"/>
      <c r="K251" s="4"/>
      <c r="L251" s="4"/>
      <c r="M251" s="4"/>
      <c r="N251" s="4"/>
    </row>
    <row r="252" ht="15.75" customHeight="1">
      <c r="A252" s="4"/>
      <c r="B252" s="4"/>
      <c r="C252" s="4"/>
      <c r="D252" s="4"/>
      <c r="E252" s="4"/>
      <c r="F252" s="4"/>
      <c r="G252" s="4"/>
      <c r="H252" s="4"/>
      <c r="I252" s="4"/>
      <c r="J252" s="4"/>
      <c r="K252" s="4"/>
      <c r="L252" s="4"/>
      <c r="M252" s="4"/>
      <c r="N252" s="4"/>
    </row>
    <row r="253" ht="15.75" customHeight="1">
      <c r="A253" s="4"/>
      <c r="B253" s="4"/>
      <c r="C253" s="4"/>
      <c r="D253" s="4"/>
      <c r="E253" s="4"/>
      <c r="F253" s="4"/>
      <c r="G253" s="4"/>
      <c r="H253" s="4"/>
      <c r="I253" s="4"/>
      <c r="J253" s="4"/>
      <c r="K253" s="4"/>
      <c r="L253" s="4"/>
      <c r="M253" s="4"/>
      <c r="N253" s="4"/>
    </row>
    <row r="254" ht="15.75" customHeight="1">
      <c r="A254" s="4"/>
      <c r="B254" s="4"/>
      <c r="C254" s="4"/>
      <c r="D254" s="4"/>
      <c r="E254" s="4"/>
      <c r="F254" s="4"/>
      <c r="G254" s="4"/>
      <c r="H254" s="4"/>
      <c r="I254" s="4"/>
      <c r="J254" s="4"/>
      <c r="K254" s="4"/>
      <c r="L254" s="4"/>
      <c r="M254" s="4"/>
      <c r="N254" s="4"/>
    </row>
    <row r="255" ht="15.75" customHeight="1">
      <c r="A255" s="4"/>
      <c r="B255" s="4"/>
      <c r="C255" s="4"/>
      <c r="D255" s="4"/>
      <c r="E255" s="4"/>
      <c r="F255" s="4"/>
      <c r="G255" s="4"/>
      <c r="H255" s="4"/>
      <c r="I255" s="4"/>
      <c r="J255" s="4"/>
      <c r="K255" s="4"/>
      <c r="L255" s="4"/>
      <c r="M255" s="4"/>
      <c r="N255" s="4"/>
    </row>
    <row r="256" ht="15.75" customHeight="1">
      <c r="A256" s="4"/>
      <c r="B256" s="4"/>
      <c r="C256" s="4"/>
      <c r="D256" s="4"/>
      <c r="E256" s="4"/>
      <c r="F256" s="4"/>
      <c r="G256" s="4"/>
      <c r="H256" s="4"/>
      <c r="I256" s="4"/>
      <c r="J256" s="4"/>
      <c r="K256" s="4"/>
      <c r="L256" s="4"/>
      <c r="M256" s="4"/>
      <c r="N256" s="4"/>
    </row>
    <row r="257" ht="15.75" customHeight="1">
      <c r="A257" s="4"/>
      <c r="B257" s="4"/>
      <c r="C257" s="4"/>
      <c r="D257" s="4"/>
      <c r="E257" s="4"/>
      <c r="F257" s="4"/>
      <c r="G257" s="4"/>
      <c r="H257" s="4"/>
      <c r="I257" s="4"/>
      <c r="J257" s="4"/>
      <c r="K257" s="4"/>
      <c r="L257" s="4"/>
      <c r="M257" s="4"/>
      <c r="N257" s="4"/>
    </row>
    <row r="258" ht="15.75" customHeight="1">
      <c r="A258" s="4"/>
      <c r="B258" s="4"/>
      <c r="C258" s="4"/>
      <c r="D258" s="4"/>
      <c r="E258" s="4"/>
      <c r="F258" s="4"/>
      <c r="G258" s="4"/>
      <c r="H258" s="4"/>
      <c r="I258" s="4"/>
      <c r="J258" s="4"/>
      <c r="K258" s="4"/>
      <c r="L258" s="4"/>
      <c r="M258" s="4"/>
      <c r="N258" s="4"/>
    </row>
    <row r="259" ht="15.75" customHeight="1">
      <c r="A259" s="4"/>
      <c r="B259" s="4"/>
      <c r="C259" s="4"/>
      <c r="D259" s="4"/>
      <c r="E259" s="4"/>
      <c r="F259" s="4"/>
      <c r="G259" s="4"/>
      <c r="H259" s="4"/>
      <c r="I259" s="4"/>
      <c r="J259" s="4"/>
      <c r="K259" s="4"/>
      <c r="L259" s="4"/>
      <c r="M259" s="4"/>
      <c r="N259" s="4"/>
    </row>
    <row r="260" ht="15.75" customHeight="1">
      <c r="A260" s="4"/>
      <c r="B260" s="4"/>
      <c r="C260" s="4"/>
      <c r="D260" s="4"/>
      <c r="E260" s="4"/>
      <c r="F260" s="4"/>
      <c r="G260" s="4"/>
      <c r="H260" s="4"/>
      <c r="I260" s="4"/>
      <c r="J260" s="4"/>
      <c r="K260" s="4"/>
      <c r="L260" s="4"/>
      <c r="M260" s="4"/>
      <c r="N260" s="4"/>
    </row>
    <row r="261" ht="15.75" customHeight="1">
      <c r="A261" s="4"/>
      <c r="B261" s="4"/>
      <c r="C261" s="4"/>
      <c r="D261" s="4"/>
      <c r="E261" s="4"/>
      <c r="F261" s="4"/>
      <c r="G261" s="4"/>
      <c r="H261" s="4"/>
      <c r="I261" s="4"/>
      <c r="J261" s="4"/>
      <c r="K261" s="4"/>
      <c r="L261" s="4"/>
      <c r="M261" s="4"/>
      <c r="N261" s="4"/>
    </row>
    <row r="262" ht="15.75" customHeight="1">
      <c r="A262" s="4"/>
      <c r="B262" s="4"/>
      <c r="C262" s="4"/>
      <c r="D262" s="4"/>
      <c r="E262" s="4"/>
      <c r="F262" s="4"/>
      <c r="G262" s="4"/>
      <c r="H262" s="4"/>
      <c r="I262" s="4"/>
      <c r="J262" s="4"/>
      <c r="K262" s="4"/>
      <c r="L262" s="4"/>
      <c r="M262" s="4"/>
      <c r="N262" s="4"/>
    </row>
    <row r="263" ht="15.75" customHeight="1">
      <c r="A263" s="4"/>
      <c r="B263" s="4"/>
      <c r="C263" s="4"/>
      <c r="D263" s="4"/>
      <c r="E263" s="4"/>
      <c r="F263" s="4"/>
      <c r="G263" s="4"/>
      <c r="H263" s="4"/>
      <c r="I263" s="4"/>
      <c r="J263" s="4"/>
      <c r="K263" s="4"/>
      <c r="L263" s="4"/>
      <c r="M263" s="4"/>
      <c r="N263" s="4"/>
    </row>
    <row r="264" ht="15.75" customHeight="1">
      <c r="A264" s="4"/>
      <c r="B264" s="4"/>
      <c r="C264" s="4"/>
      <c r="D264" s="4"/>
      <c r="E264" s="4"/>
      <c r="F264" s="4"/>
      <c r="G264" s="4"/>
      <c r="H264" s="4"/>
      <c r="I264" s="4"/>
      <c r="J264" s="4"/>
      <c r="K264" s="4"/>
      <c r="L264" s="4"/>
      <c r="M264" s="4"/>
      <c r="N264" s="4"/>
    </row>
    <row r="265" ht="15.75" customHeight="1">
      <c r="A265" s="4"/>
      <c r="B265" s="4"/>
      <c r="C265" s="4"/>
      <c r="D265" s="4"/>
      <c r="E265" s="4"/>
      <c r="F265" s="4"/>
      <c r="G265" s="4"/>
      <c r="H265" s="4"/>
      <c r="I265" s="4"/>
      <c r="J265" s="4"/>
      <c r="K265" s="4"/>
      <c r="L265" s="4"/>
      <c r="M265" s="4"/>
      <c r="N265" s="4"/>
    </row>
    <row r="266" ht="15.75" customHeight="1">
      <c r="A266" s="4"/>
      <c r="B266" s="4"/>
      <c r="C266" s="4"/>
      <c r="D266" s="4"/>
      <c r="E266" s="4"/>
      <c r="F266" s="4"/>
      <c r="G266" s="4"/>
      <c r="H266" s="4"/>
      <c r="I266" s="4"/>
      <c r="J266" s="4"/>
      <c r="K266" s="4"/>
      <c r="L266" s="4"/>
      <c r="M266" s="4"/>
      <c r="N266" s="4"/>
    </row>
    <row r="267" ht="15.75" customHeight="1">
      <c r="A267" s="4"/>
      <c r="B267" s="4"/>
      <c r="C267" s="4"/>
      <c r="D267" s="4"/>
      <c r="E267" s="4"/>
      <c r="F267" s="4"/>
      <c r="G267" s="4"/>
      <c r="H267" s="4"/>
      <c r="I267" s="4"/>
      <c r="J267" s="4"/>
      <c r="K267" s="4"/>
      <c r="L267" s="4"/>
      <c r="M267" s="4"/>
      <c r="N267" s="4"/>
    </row>
    <row r="268" ht="15.75" customHeight="1">
      <c r="A268" s="4"/>
      <c r="B268" s="4"/>
      <c r="C268" s="4"/>
      <c r="D268" s="4"/>
      <c r="E268" s="4"/>
      <c r="F268" s="4"/>
      <c r="G268" s="4"/>
      <c r="H268" s="4"/>
      <c r="I268" s="4"/>
      <c r="J268" s="4"/>
      <c r="K268" s="4"/>
      <c r="L268" s="4"/>
      <c r="M268" s="4"/>
      <c r="N268" s="4"/>
    </row>
    <row r="269" ht="15.75" customHeight="1">
      <c r="A269" s="4"/>
      <c r="B269" s="4"/>
      <c r="C269" s="4"/>
      <c r="D269" s="4"/>
      <c r="E269" s="4"/>
      <c r="F269" s="4"/>
      <c r="G269" s="4"/>
      <c r="H269" s="4"/>
      <c r="I269" s="4"/>
      <c r="J269" s="4"/>
      <c r="K269" s="4"/>
      <c r="L269" s="4"/>
      <c r="M269" s="4"/>
      <c r="N269" s="4"/>
    </row>
    <row r="270" ht="15.75" customHeight="1">
      <c r="A270" s="4"/>
      <c r="B270" s="4"/>
      <c r="C270" s="4"/>
      <c r="D270" s="4"/>
      <c r="E270" s="4"/>
      <c r="F270" s="4"/>
      <c r="G270" s="4"/>
      <c r="H270" s="4"/>
      <c r="I270" s="4"/>
      <c r="J270" s="4"/>
      <c r="K270" s="4"/>
      <c r="L270" s="4"/>
      <c r="M270" s="4"/>
      <c r="N270" s="4"/>
    </row>
    <row r="271" ht="15.75" customHeight="1">
      <c r="A271" s="4"/>
      <c r="B271" s="4"/>
      <c r="C271" s="4"/>
      <c r="D271" s="4"/>
      <c r="E271" s="4"/>
      <c r="F271" s="4"/>
      <c r="G271" s="4"/>
      <c r="H271" s="4"/>
      <c r="I271" s="4"/>
      <c r="J271" s="4"/>
      <c r="K271" s="4"/>
      <c r="L271" s="4"/>
      <c r="M271" s="4"/>
      <c r="N271" s="4"/>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3" width="37.63"/>
    <col customWidth="1" min="4" max="4" width="68.5"/>
    <col customWidth="1" min="5" max="5" width="13.75"/>
    <col customWidth="1" min="6" max="6" width="16.25"/>
    <col customWidth="1" min="7" max="7" width="27.88"/>
    <col customWidth="1" min="8" max="8" width="20.25"/>
    <col customWidth="1" min="9" max="9" width="17.38"/>
    <col customWidth="1" min="10" max="10" width="15.13"/>
    <col customWidth="1" min="12" max="12" width="21.13"/>
    <col customWidth="1" min="13" max="13" width="16.88"/>
    <col customWidth="1" min="15" max="15" width="16.0"/>
    <col customWidth="1" min="16" max="16" width="29.63"/>
    <col customWidth="1" min="17" max="17" width="21.0"/>
    <col customWidth="1" min="18" max="18" width="23.75"/>
    <col customWidth="1" min="19" max="19" width="16.25"/>
  </cols>
  <sheetData>
    <row r="1" ht="22.5" customHeight="1">
      <c r="A1" s="7" t="s">
        <v>43</v>
      </c>
      <c r="B1" s="7" t="s">
        <v>44</v>
      </c>
      <c r="C1" s="7" t="s">
        <v>45</v>
      </c>
      <c r="D1" s="8" t="s">
        <v>46</v>
      </c>
      <c r="E1" s="8" t="s">
        <v>47</v>
      </c>
      <c r="F1" s="8" t="s">
        <v>48</v>
      </c>
      <c r="G1" s="8" t="s">
        <v>49</v>
      </c>
      <c r="H1" s="8" t="s">
        <v>50</v>
      </c>
      <c r="I1" s="8" t="s">
        <v>51</v>
      </c>
      <c r="J1" s="8" t="s">
        <v>52</v>
      </c>
      <c r="K1" s="8" t="s">
        <v>53</v>
      </c>
      <c r="L1" s="9" t="s">
        <v>54</v>
      </c>
      <c r="M1" s="9" t="s">
        <v>55</v>
      </c>
      <c r="N1" s="10"/>
      <c r="O1" s="11" t="s">
        <v>56</v>
      </c>
      <c r="P1" s="12" t="s">
        <v>57</v>
      </c>
      <c r="Q1" s="13" t="s">
        <v>58</v>
      </c>
      <c r="R1" s="9" t="s">
        <v>59</v>
      </c>
      <c r="S1" s="9" t="s">
        <v>48</v>
      </c>
      <c r="T1" s="10"/>
      <c r="U1" s="10"/>
      <c r="V1" s="10"/>
      <c r="W1" s="10"/>
      <c r="X1" s="10"/>
      <c r="Y1" s="10"/>
      <c r="Z1" s="10"/>
      <c r="AA1" s="10"/>
      <c r="AB1" s="10"/>
    </row>
    <row r="2" ht="22.5" customHeight="1">
      <c r="A2" s="14" t="s">
        <v>10</v>
      </c>
      <c r="B2" s="14" t="s">
        <v>60</v>
      </c>
      <c r="C2" s="14" t="s">
        <v>61</v>
      </c>
      <c r="D2" s="9" t="str">
        <f>IFERROR(__xludf.DUMMYFUNCTION("REGEXREPLACE(B2,""TRATOR - |COLHEITADEIRA |PULVERIZADOR |CAMINHAO-"","""")&amp;"" + ""&amp;REGEXREPLACE(C2,""PLANTADEIRA |PLATAFORMA |DISTRIBUIDOR |PULVERIZADOR "", """")"),"CASE STEIGER 420 + HORSCH MAESTRO DUO 36.50")</f>
        <v>CASE STEIGER 420 + HORSCH MAESTRO DUO 36.50</v>
      </c>
      <c r="E2" s="9">
        <f>VLOOKUP(C2,'CUSTO OPERAÇÃO'!$P$1:$S$125,3,0)</f>
        <v>18</v>
      </c>
      <c r="F2" s="9">
        <f>VLOOKUP(C2,'CUSTO OPERAÇÃO'!$P$1:$S$125,4,0)</f>
        <v>8</v>
      </c>
      <c r="G2" s="9">
        <v>85.0</v>
      </c>
      <c r="H2" s="9">
        <f t="shared" ref="H2:H30" si="1">(E2*F2*(G2/100))/10</f>
        <v>12.24</v>
      </c>
      <c r="I2" s="13">
        <f>VLOOKUP(B2,'CUSTO OPERAÇÃO'!$P$1:$Q$125,2,0)</f>
        <v>60</v>
      </c>
      <c r="J2" s="15">
        <f t="shared" ref="J2:J30" si="2">1/H2</f>
        <v>0.08169934641</v>
      </c>
      <c r="K2" s="16">
        <f t="shared" ref="K2:K30" si="3">I2/H2</f>
        <v>4.901960784</v>
      </c>
      <c r="L2" s="17">
        <f t="shared" ref="L2:L30" si="4">K2*7.5</f>
        <v>36.76470588</v>
      </c>
      <c r="M2" s="9">
        <f t="shared" ref="M2:M11" si="5">IFERROR(L2/J2,"")</f>
        <v>450</v>
      </c>
      <c r="N2" s="10"/>
      <c r="O2" s="18" t="s">
        <v>62</v>
      </c>
      <c r="P2" s="18" t="s">
        <v>63</v>
      </c>
      <c r="Q2" s="9">
        <v>120.0</v>
      </c>
      <c r="R2" s="9">
        <v>30.0</v>
      </c>
      <c r="S2" s="9">
        <v>200.0</v>
      </c>
      <c r="T2" s="10"/>
      <c r="U2" s="10"/>
      <c r="V2" s="10"/>
      <c r="W2" s="10"/>
      <c r="X2" s="10"/>
      <c r="Y2" s="10"/>
      <c r="Z2" s="10"/>
      <c r="AA2" s="10"/>
      <c r="AB2" s="10"/>
    </row>
    <row r="3" ht="22.5" customHeight="1">
      <c r="A3" s="14" t="s">
        <v>10</v>
      </c>
      <c r="B3" s="14" t="s">
        <v>64</v>
      </c>
      <c r="C3" s="14" t="s">
        <v>65</v>
      </c>
      <c r="D3" s="9" t="str">
        <f>IFERROR(__xludf.DUMMYFUNCTION("REGEXREPLACE(B3,""TRATOR - |COLHEITADEIRA |PULVERIZADOR |CAMINHAO-"","""")&amp;"" + ""&amp;REGEXREPLACE(C3,""PLANTADEIRA |PLATAFORMA |DISTRIBUIDOR |PULVERIZADOR "", """")"),"CASE MAGNUM 340 + - CASE ASM 1213")</f>
        <v>CASE MAGNUM 340 + - CASE ASM 1213</v>
      </c>
      <c r="E3" s="9">
        <f>VLOOKUP(C3,'CUSTO OPERAÇÃO'!$P$1:$S$125,3,0)</f>
        <v>13</v>
      </c>
      <c r="F3" s="9">
        <f>VLOOKUP(C3,'CUSTO OPERAÇÃO'!$P$1:$S$125,4,0)</f>
        <v>7</v>
      </c>
      <c r="G3" s="9">
        <v>85.0</v>
      </c>
      <c r="H3" s="9">
        <f t="shared" si="1"/>
        <v>7.735</v>
      </c>
      <c r="I3" s="13">
        <f>VLOOKUP(B3,'CUSTO OPERAÇÃO'!$P$1:$Q$125,2,0)</f>
        <v>40</v>
      </c>
      <c r="J3" s="15">
        <f t="shared" si="2"/>
        <v>0.1292824822</v>
      </c>
      <c r="K3" s="16">
        <f t="shared" si="3"/>
        <v>5.171299289</v>
      </c>
      <c r="L3" s="17">
        <f t="shared" si="4"/>
        <v>38.78474467</v>
      </c>
      <c r="M3" s="9">
        <f t="shared" si="5"/>
        <v>300</v>
      </c>
      <c r="N3" s="10"/>
      <c r="O3" s="18"/>
      <c r="P3" s="18"/>
      <c r="Q3" s="9"/>
      <c r="R3" s="9"/>
      <c r="S3" s="9"/>
      <c r="T3" s="10"/>
      <c r="U3" s="10"/>
      <c r="V3" s="10"/>
      <c r="W3" s="10"/>
      <c r="X3" s="10"/>
      <c r="Y3" s="10"/>
      <c r="Z3" s="10"/>
      <c r="AA3" s="10"/>
      <c r="AB3" s="10"/>
    </row>
    <row r="4" ht="22.5" customHeight="1">
      <c r="A4" s="14" t="s">
        <v>10</v>
      </c>
      <c r="B4" s="14" t="s">
        <v>66</v>
      </c>
      <c r="C4" s="14" t="s">
        <v>67</v>
      </c>
      <c r="D4" s="9" t="str">
        <f>IFERROR(__xludf.DUMMYFUNCTION("REGEXREPLACE(B4,""TRATOR - |COLHEITADEIRA |PULVERIZADOR |CAMINHAO-"","""")&amp;"" + ""&amp;REGEXREPLACE(C4,""PLANTADEIRA |PLATAFORMA |DISTRIBUIDOR |PULVERIZADOR "", """")"),"CR 8.90 NEW HOLLAND + 880 CF45")</f>
        <v>CR 8.90 NEW HOLLAND + 880 CF45</v>
      </c>
      <c r="E4" s="9">
        <f>VLOOKUP(C4,'CUSTO OPERAÇÃO'!$P$1:$S$125,3,0)</f>
        <v>13</v>
      </c>
      <c r="F4" s="9">
        <f>VLOOKUP(C4,'CUSTO OPERAÇÃO'!$P$1:$S$125,4,0)</f>
        <v>6</v>
      </c>
      <c r="G4" s="9">
        <v>85.0</v>
      </c>
      <c r="H4" s="9">
        <f t="shared" si="1"/>
        <v>6.63</v>
      </c>
      <c r="I4" s="13">
        <f>VLOOKUP(B4,'CUSTO OPERAÇÃO'!$P$1:$Q$125,2,0)</f>
        <v>50</v>
      </c>
      <c r="J4" s="15">
        <f t="shared" si="2"/>
        <v>0.1508295626</v>
      </c>
      <c r="K4" s="16">
        <f t="shared" si="3"/>
        <v>7.54147813</v>
      </c>
      <c r="L4" s="17">
        <f t="shared" si="4"/>
        <v>56.56108597</v>
      </c>
      <c r="M4" s="9">
        <f t="shared" si="5"/>
        <v>375</v>
      </c>
      <c r="N4" s="10"/>
      <c r="O4" s="18"/>
      <c r="P4" s="18"/>
      <c r="Q4" s="9"/>
      <c r="R4" s="9"/>
      <c r="S4" s="9"/>
      <c r="T4" s="10"/>
      <c r="U4" s="10"/>
      <c r="V4" s="10"/>
      <c r="W4" s="10"/>
      <c r="X4" s="10"/>
      <c r="Y4" s="10"/>
      <c r="Z4" s="10"/>
      <c r="AA4" s="10"/>
      <c r="AB4" s="10"/>
    </row>
    <row r="5" ht="22.5" customHeight="1">
      <c r="A5" s="14" t="s">
        <v>10</v>
      </c>
      <c r="B5" s="14" t="s">
        <v>68</v>
      </c>
      <c r="C5" s="14" t="s">
        <v>69</v>
      </c>
      <c r="D5" s="9" t="str">
        <f>IFERROR(__xludf.DUMMYFUNCTION("REGEXREPLACE(B5,""TRATOR - |COLHEITADEIRA |PULVERIZADOR |CAMINHAO-"","""")&amp;"" + ""&amp;REGEXREPLACE(C5,""PLANTADEIRA |PLATAFORMA |DISTRIBUIDOR |PULVERIZADOR "", """")"),"COLHETADEIRA - NH-CR9060 + 740 CF30 AGRIDREPER")</f>
        <v>COLHETADEIRA - NH-CR9060 + 740 CF30 AGRIDREPER</v>
      </c>
      <c r="E5" s="9">
        <f>VLOOKUP(C5,'CUSTO OPERAÇÃO'!$P$1:$S$125,3,0)</f>
        <v>9</v>
      </c>
      <c r="F5" s="9">
        <f>VLOOKUP(C5,'CUSTO OPERAÇÃO'!$P$1:$S$125,4,0)</f>
        <v>6</v>
      </c>
      <c r="G5" s="9">
        <v>85.0</v>
      </c>
      <c r="H5" s="9">
        <f t="shared" si="1"/>
        <v>4.59</v>
      </c>
      <c r="I5" s="13">
        <f>VLOOKUP(B5,'CUSTO OPERAÇÃO'!$P$1:$Q$125,2,0)</f>
        <v>40</v>
      </c>
      <c r="J5" s="15">
        <f t="shared" si="2"/>
        <v>0.2178649237</v>
      </c>
      <c r="K5" s="16">
        <f t="shared" si="3"/>
        <v>8.71459695</v>
      </c>
      <c r="L5" s="17">
        <f t="shared" si="4"/>
        <v>65.35947712</v>
      </c>
      <c r="M5" s="9">
        <f t="shared" si="5"/>
        <v>300</v>
      </c>
      <c r="N5" s="10"/>
      <c r="O5" s="18" t="s">
        <v>70</v>
      </c>
      <c r="P5" s="18" t="s">
        <v>71</v>
      </c>
      <c r="Q5" s="9">
        <v>20.0</v>
      </c>
      <c r="R5" s="9">
        <v>1.0</v>
      </c>
      <c r="S5" s="9">
        <v>40.0</v>
      </c>
      <c r="T5" s="10"/>
      <c r="U5" s="10"/>
      <c r="V5" s="10"/>
      <c r="W5" s="10"/>
      <c r="X5" s="10"/>
      <c r="Y5" s="10"/>
      <c r="Z5" s="10"/>
      <c r="AA5" s="10"/>
      <c r="AB5" s="10"/>
    </row>
    <row r="6" ht="22.5" customHeight="1">
      <c r="A6" s="14" t="s">
        <v>10</v>
      </c>
      <c r="B6" s="14" t="s">
        <v>72</v>
      </c>
      <c r="C6" s="14" t="s">
        <v>73</v>
      </c>
      <c r="D6" s="9" t="str">
        <f>IFERROR(__xludf.DUMMYFUNCTION("REGEXREPLACE(B6,""TRATOR - |COLHEITADEIRA |PULVERIZADOR |CAMINHAO-"","""")&amp;"" + ""&amp;REGEXREPLACE(C6,""PLANTADEIRA |PLATAFORMA |DISTRIBUIDOR |PULVERIZADOR "", """")"),"COLHETADEIRA CR7.80 + MACDON 35F")</f>
        <v>COLHETADEIRA CR7.80 + MACDON 35F</v>
      </c>
      <c r="E6" s="9">
        <f>VLOOKUP(C6,'CUSTO OPERAÇÃO'!$P$1:$S$125,3,0)</f>
        <v>9</v>
      </c>
      <c r="F6" s="9">
        <f>VLOOKUP(C6,'CUSTO OPERAÇÃO'!$P$1:$S$125,4,0)</f>
        <v>6</v>
      </c>
      <c r="G6" s="9">
        <v>85.0</v>
      </c>
      <c r="H6" s="9">
        <f t="shared" si="1"/>
        <v>4.59</v>
      </c>
      <c r="I6" s="13">
        <f>VLOOKUP(B6,'CUSTO OPERAÇÃO'!$P$1:$Q$125,2,0)</f>
        <v>40</v>
      </c>
      <c r="J6" s="15">
        <f t="shared" si="2"/>
        <v>0.2178649237</v>
      </c>
      <c r="K6" s="16">
        <f t="shared" si="3"/>
        <v>8.71459695</v>
      </c>
      <c r="L6" s="17">
        <f t="shared" si="4"/>
        <v>65.35947712</v>
      </c>
      <c r="M6" s="9">
        <f t="shared" si="5"/>
        <v>300</v>
      </c>
      <c r="N6" s="10"/>
      <c r="O6" s="18" t="s">
        <v>70</v>
      </c>
      <c r="P6" s="18" t="s">
        <v>74</v>
      </c>
      <c r="Q6" s="9">
        <v>20.0</v>
      </c>
      <c r="R6" s="9"/>
      <c r="S6" s="9"/>
      <c r="T6" s="10"/>
      <c r="U6" s="10"/>
      <c r="V6" s="10"/>
      <c r="W6" s="10"/>
      <c r="X6" s="10"/>
      <c r="Y6" s="10"/>
      <c r="Z6" s="10"/>
      <c r="AA6" s="10"/>
      <c r="AB6" s="10"/>
    </row>
    <row r="7" ht="22.5" customHeight="1">
      <c r="A7" s="4" t="s">
        <v>10</v>
      </c>
      <c r="B7" s="4" t="s">
        <v>75</v>
      </c>
      <c r="C7" s="4" t="s">
        <v>76</v>
      </c>
      <c r="D7" s="9" t="str">
        <f>IFERROR(__xludf.DUMMYFUNCTION("REGEXREPLACE(B7,""TRATOR - |COLHEITADEIRA |PULVERIZADOR |CAMINHAO-"","""")&amp;"" + ""&amp;REGEXREPLACE(C7,""PLANTADEIRA |PLATAFORMA |DISTRIBUIDOR |PULVERIZADOR "", """")"),"TRATOR-JD 7500 + BRUTUS 12000")</f>
        <v>TRATOR-JD 7500 + BRUTUS 12000</v>
      </c>
      <c r="E7" s="9">
        <f>VLOOKUP(C7,'CUSTO OPERAÇÃO'!$P$1:$S$125,3,0)</f>
        <v>6</v>
      </c>
      <c r="F7" s="9">
        <f>VLOOKUP(C7,'CUSTO OPERAÇÃO'!$P$1:$S$125,4,0)</f>
        <v>6</v>
      </c>
      <c r="G7" s="9">
        <v>85.0</v>
      </c>
      <c r="H7" s="9">
        <f t="shared" si="1"/>
        <v>3.06</v>
      </c>
      <c r="I7" s="13">
        <f>VLOOKUP(B7,'CUSTO OPERAÇÃO'!$P$1:$Q$125,2,0)</f>
        <v>15</v>
      </c>
      <c r="J7" s="15">
        <f t="shared" si="2"/>
        <v>0.3267973856</v>
      </c>
      <c r="K7" s="16">
        <f t="shared" si="3"/>
        <v>4.901960784</v>
      </c>
      <c r="L7" s="17">
        <f t="shared" si="4"/>
        <v>36.76470588</v>
      </c>
      <c r="M7" s="9">
        <f t="shared" si="5"/>
        <v>112.5</v>
      </c>
      <c r="N7" s="10"/>
      <c r="O7" s="18" t="s">
        <v>70</v>
      </c>
      <c r="P7" s="18" t="s">
        <v>77</v>
      </c>
      <c r="Q7" s="9">
        <v>20.0</v>
      </c>
      <c r="R7" s="9"/>
      <c r="S7" s="9"/>
      <c r="T7" s="10"/>
      <c r="U7" s="10"/>
      <c r="V7" s="10"/>
      <c r="W7" s="10"/>
      <c r="X7" s="10"/>
      <c r="Y7" s="10"/>
      <c r="Z7" s="10"/>
      <c r="AA7" s="10"/>
      <c r="AB7" s="10"/>
    </row>
    <row r="8" ht="22.5" customHeight="1">
      <c r="A8" s="4" t="s">
        <v>10</v>
      </c>
      <c r="B8" s="4" t="s">
        <v>75</v>
      </c>
      <c r="C8" s="4" t="s">
        <v>78</v>
      </c>
      <c r="D8" s="9" t="str">
        <f>IFERROR(__xludf.DUMMYFUNCTION("REGEXREPLACE(B8,""TRATOR - |COLHEITADEIRA |PULVERIZADOR |CAMINHAO-"","""")&amp;"" + ""&amp;REGEXREPLACE(C8,""PLANTADEIRA |PLATAFORMA |DISTRIBUIDOR |PULVERIZADOR "", """")"),"TRATOR-JD 7500 + ADUBADORA HERCULES 10000")</f>
        <v>TRATOR-JD 7500 + ADUBADORA HERCULES 10000</v>
      </c>
      <c r="E8" s="9">
        <f>VLOOKUP(C8,'CUSTO OPERAÇÃO'!$P$1:$S$125,3,0)</f>
        <v>30</v>
      </c>
      <c r="F8" s="9">
        <f>VLOOKUP(C8,'CUSTO OPERAÇÃO'!$P$1:$S$125,4,0)</f>
        <v>8</v>
      </c>
      <c r="G8" s="9">
        <v>85.0</v>
      </c>
      <c r="H8" s="9">
        <f t="shared" si="1"/>
        <v>20.4</v>
      </c>
      <c r="I8" s="13">
        <f>VLOOKUP(B8,'CUSTO OPERAÇÃO'!$P$1:$Q$125,2,0)</f>
        <v>15</v>
      </c>
      <c r="J8" s="15">
        <f t="shared" si="2"/>
        <v>0.04901960784</v>
      </c>
      <c r="K8" s="16">
        <f t="shared" si="3"/>
        <v>0.7352941176</v>
      </c>
      <c r="L8" s="17">
        <f t="shared" si="4"/>
        <v>5.514705882</v>
      </c>
      <c r="M8" s="9">
        <f t="shared" si="5"/>
        <v>112.5</v>
      </c>
      <c r="N8" s="10"/>
      <c r="O8" s="18" t="s">
        <v>70</v>
      </c>
      <c r="P8" s="18" t="s">
        <v>79</v>
      </c>
      <c r="Q8" s="9">
        <v>20.0</v>
      </c>
      <c r="R8" s="9"/>
      <c r="S8" s="9"/>
      <c r="T8" s="10"/>
      <c r="U8" s="10"/>
      <c r="V8" s="10"/>
      <c r="W8" s="10"/>
      <c r="X8" s="10"/>
      <c r="Y8" s="10"/>
      <c r="Z8" s="10"/>
      <c r="AA8" s="10"/>
      <c r="AB8" s="10"/>
    </row>
    <row r="9" ht="22.5" customHeight="1">
      <c r="A9" s="4" t="s">
        <v>10</v>
      </c>
      <c r="B9" s="4" t="s">
        <v>74</v>
      </c>
      <c r="C9" s="4" t="s">
        <v>80</v>
      </c>
      <c r="D9" s="9" t="str">
        <f>IFERROR(__xludf.DUMMYFUNCTION("REGEXREPLACE(B9,""TRATOR - |COLHEITADEIRA |PULVERIZADOR |CAMINHAO-"","""")&amp;"" + ""&amp;REGEXREPLACE(C9,""PLANTADEIRA |PLATAFORMA |DISTRIBUIDOR |PULVERIZADOR "", """")"),"VOLVO NH380 + CAÇAMBA 430SC")</f>
        <v>VOLVO NH380 + CAÇAMBA 430SC</v>
      </c>
      <c r="E9" s="9">
        <v>430.0</v>
      </c>
      <c r="F9" s="9">
        <f>VLOOKUP(C9,'CUSTO OPERAÇÃO'!$P$1:$S$125,4,0)</f>
        <v>20</v>
      </c>
      <c r="G9" s="9">
        <v>85.0</v>
      </c>
      <c r="H9" s="9">
        <f t="shared" si="1"/>
        <v>731</v>
      </c>
      <c r="I9" s="13">
        <f>VLOOKUP(B9,'CUSTO OPERAÇÃO'!$P$1:$Q$125,2,0)</f>
        <v>20</v>
      </c>
      <c r="J9" s="15">
        <f t="shared" si="2"/>
        <v>0.001367989056</v>
      </c>
      <c r="K9" s="16">
        <f t="shared" si="3"/>
        <v>0.02735978112</v>
      </c>
      <c r="L9" s="17">
        <f t="shared" si="4"/>
        <v>0.2051983584</v>
      </c>
      <c r="M9" s="9">
        <f t="shared" si="5"/>
        <v>150</v>
      </c>
      <c r="N9" s="10"/>
      <c r="O9" s="18" t="s">
        <v>70</v>
      </c>
      <c r="P9" s="18" t="s">
        <v>81</v>
      </c>
      <c r="Q9" s="9">
        <v>20.0</v>
      </c>
      <c r="R9" s="9"/>
      <c r="S9" s="9"/>
      <c r="T9" s="10"/>
      <c r="U9" s="10"/>
      <c r="V9" s="10"/>
      <c r="W9" s="10"/>
      <c r="X9" s="10"/>
      <c r="Y9" s="10"/>
      <c r="Z9" s="10"/>
      <c r="AA9" s="10"/>
      <c r="AB9" s="10"/>
    </row>
    <row r="10" ht="22.5" customHeight="1">
      <c r="A10" s="4" t="s">
        <v>10</v>
      </c>
      <c r="B10" s="4" t="s">
        <v>64</v>
      </c>
      <c r="C10" s="4" t="s">
        <v>82</v>
      </c>
      <c r="D10" s="9" t="str">
        <f>IFERROR(__xludf.DUMMYFUNCTION("REGEXREPLACE(B10,""TRATOR - |COLHEITADEIRA |PULVERIZADOR |CAMINHAO-"","""")&amp;"" + ""&amp;REGEXREPLACE(C10,""PLANTADEIRA |PLATAFORMA |DISTRIBUIDOR |PULVERIZADOR "", """")"),"CASE MAGNUM 340 + SUBSOLADOR 11 ASTES")</f>
        <v>CASE MAGNUM 340 + SUBSOLADOR 11 ASTES</v>
      </c>
      <c r="E10" s="9">
        <f>VLOOKUP(C10,'CUSTO OPERAÇÃO'!$P$1:$S$125,3,0)</f>
        <v>5.5</v>
      </c>
      <c r="F10" s="9">
        <v>4.5</v>
      </c>
      <c r="G10" s="9">
        <v>85.0</v>
      </c>
      <c r="H10" s="9">
        <f t="shared" si="1"/>
        <v>2.10375</v>
      </c>
      <c r="I10" s="13">
        <f>VLOOKUP(B10,'CUSTO OPERAÇÃO'!$P$1:$Q$125,2,0)</f>
        <v>40</v>
      </c>
      <c r="J10" s="15">
        <f t="shared" si="2"/>
        <v>0.4753416518</v>
      </c>
      <c r="K10" s="16">
        <f t="shared" si="3"/>
        <v>19.01366607</v>
      </c>
      <c r="L10" s="17">
        <f t="shared" si="4"/>
        <v>142.6024955</v>
      </c>
      <c r="M10" s="9">
        <f t="shared" si="5"/>
        <v>300</v>
      </c>
      <c r="N10" s="10"/>
      <c r="O10" s="18" t="s">
        <v>83</v>
      </c>
      <c r="P10" s="18" t="s">
        <v>80</v>
      </c>
      <c r="Q10" s="9"/>
      <c r="R10" s="9">
        <v>400.0</v>
      </c>
      <c r="S10" s="9">
        <v>20.0</v>
      </c>
      <c r="T10" s="10"/>
      <c r="U10" s="10"/>
      <c r="V10" s="10"/>
      <c r="W10" s="10"/>
      <c r="X10" s="10"/>
      <c r="Y10" s="10"/>
      <c r="Z10" s="10"/>
      <c r="AA10" s="10"/>
      <c r="AB10" s="10"/>
    </row>
    <row r="11" ht="22.5" customHeight="1">
      <c r="A11" s="4" t="s">
        <v>10</v>
      </c>
      <c r="B11" s="4" t="s">
        <v>84</v>
      </c>
      <c r="C11" s="4" t="s">
        <v>84</v>
      </c>
      <c r="D11" s="9" t="str">
        <f>IFERROR(__xludf.DUMMYFUNCTION("REGEXREPLACE(B11,""TRATOR - |COLHEITADEIRA |PULVERIZADOR |CAMINHAO-"","""")&amp;"" + ""&amp;REGEXREPLACE(C11,""PLANTADEIRA |PLATAFORMA |DISTRIBUIDOR |PULVERIZADOR "", """")"),"PULVERIZADOR- JD4730 + PULVERIZADOR- JD4730")</f>
        <v>PULVERIZADOR- JD4730 + PULVERIZADOR- JD4730</v>
      </c>
      <c r="E11" s="9">
        <f>VLOOKUP(C11,'CUSTO OPERAÇÃO'!$P$1:$S$125,3,0)</f>
        <v>30</v>
      </c>
      <c r="F11" s="9">
        <f>VLOOKUP(C11,'CUSTO OPERAÇÃO'!$P$1:$S$125,4,0)</f>
        <v>20</v>
      </c>
      <c r="G11" s="9">
        <v>85.0</v>
      </c>
      <c r="H11" s="9">
        <f t="shared" si="1"/>
        <v>51</v>
      </c>
      <c r="I11" s="13">
        <f>VLOOKUP(B11,'CUSTO OPERAÇÃO'!$P$1:$Q$125,2,0)</f>
        <v>17</v>
      </c>
      <c r="J11" s="15">
        <f t="shared" si="2"/>
        <v>0.01960784314</v>
      </c>
      <c r="K11" s="16">
        <f t="shared" si="3"/>
        <v>0.3333333333</v>
      </c>
      <c r="L11" s="17">
        <f t="shared" si="4"/>
        <v>2.5</v>
      </c>
      <c r="M11" s="9">
        <f t="shared" si="5"/>
        <v>127.5</v>
      </c>
      <c r="N11" s="10"/>
      <c r="O11" s="18"/>
      <c r="P11" s="18"/>
      <c r="Q11" s="9"/>
      <c r="R11" s="9"/>
      <c r="S11" s="9"/>
      <c r="T11" s="10"/>
      <c r="U11" s="10"/>
      <c r="V11" s="10"/>
      <c r="W11" s="10"/>
      <c r="X11" s="10"/>
      <c r="Y11" s="10"/>
      <c r="Z11" s="10"/>
      <c r="AA11" s="10"/>
      <c r="AB11" s="10"/>
    </row>
    <row r="12" ht="22.5" customHeight="1">
      <c r="A12" s="4" t="s">
        <v>10</v>
      </c>
      <c r="B12" s="4" t="s">
        <v>63</v>
      </c>
      <c r="C12" s="4" t="s">
        <v>63</v>
      </c>
      <c r="D12" s="9" t="str">
        <f>IFERROR(__xludf.DUMMYFUNCTION("REGEXREPLACE(B12,""TRATOR - |COLHEITADEIRA |PULVERIZADOR |CAMINHAO-"","""")&amp;"" + ""&amp;REGEXREPLACE(C12,""PLANTADEIRA |PLATAFORMA |DISTRIBUIDOR |PULVERIZADOR "", """")"),"AIR TRATOR AT-502B + AIR TRATOR AT-502B")</f>
        <v>AIR TRATOR AT-502B + AIR TRATOR AT-502B</v>
      </c>
      <c r="E12" s="9">
        <f>VLOOKUP(C12,'CUSTO OPERAÇÃO'!$P$1:$S$125,3,0)</f>
        <v>30</v>
      </c>
      <c r="F12" s="9">
        <f>VLOOKUP(C12,'CUSTO OPERAÇÃO'!$P$1:$S$125,4,0)</f>
        <v>200</v>
      </c>
      <c r="G12" s="9">
        <v>25.0</v>
      </c>
      <c r="H12" s="9">
        <f t="shared" si="1"/>
        <v>150</v>
      </c>
      <c r="I12" s="13">
        <v>135.0</v>
      </c>
      <c r="J12" s="15">
        <f t="shared" si="2"/>
        <v>0.006666666667</v>
      </c>
      <c r="K12" s="16">
        <f t="shared" si="3"/>
        <v>0.9</v>
      </c>
      <c r="L12" s="17">
        <f t="shared" si="4"/>
        <v>6.75</v>
      </c>
      <c r="M12" s="9">
        <v>5000.0</v>
      </c>
      <c r="N12" s="10"/>
      <c r="O12" s="18" t="s">
        <v>70</v>
      </c>
      <c r="P12" s="18" t="s">
        <v>85</v>
      </c>
      <c r="Q12" s="9">
        <v>20.0</v>
      </c>
      <c r="R12" s="9"/>
      <c r="S12" s="9"/>
      <c r="T12" s="10"/>
      <c r="U12" s="10"/>
      <c r="V12" s="10"/>
      <c r="W12" s="10"/>
      <c r="X12" s="10"/>
      <c r="Y12" s="10"/>
      <c r="Z12" s="10"/>
      <c r="AA12" s="10"/>
      <c r="AB12" s="10"/>
    </row>
    <row r="13" ht="22.5" customHeight="1">
      <c r="A13" s="4" t="s">
        <v>10</v>
      </c>
      <c r="B13" s="4" t="s">
        <v>68</v>
      </c>
      <c r="C13" s="4" t="s">
        <v>86</v>
      </c>
      <c r="D13" s="9" t="str">
        <f>IFERROR(__xludf.DUMMYFUNCTION("REGEXREPLACE(B13,""TRATOR - |COLHEITADEIRA |PULVERIZADOR |CAMINHAO-"","""")&amp;"" + ""&amp;REGEXREPLACE(C13,""PLANTADEIRA |PLATAFORMA |DISTRIBUIDOR |PULVERIZADOR "", """")"),"COLHETADEIRA - NH-CR9060 + MILHO BRAVA 11")</f>
        <v>COLHETADEIRA - NH-CR9060 + MILHO BRAVA 11</v>
      </c>
      <c r="E13" s="9">
        <f>VLOOKUP(C13,'CUSTO OPERAÇÃO'!$P$1:$S$125,3,0)</f>
        <v>5.5</v>
      </c>
      <c r="F13" s="9">
        <f>VLOOKUP(C13,'CUSTO OPERAÇÃO'!$P$1:$S$125,4,0)</f>
        <v>10</v>
      </c>
      <c r="G13" s="9">
        <v>85.0</v>
      </c>
      <c r="H13" s="9">
        <f t="shared" si="1"/>
        <v>4.675</v>
      </c>
      <c r="I13" s="13">
        <f>VLOOKUP(B13,'CUSTO OPERAÇÃO'!$P$1:$Q$125,2,0)</f>
        <v>40</v>
      </c>
      <c r="J13" s="15">
        <f t="shared" si="2"/>
        <v>0.2139037433</v>
      </c>
      <c r="K13" s="16">
        <f t="shared" si="3"/>
        <v>8.556149733</v>
      </c>
      <c r="L13" s="17">
        <f t="shared" si="4"/>
        <v>64.17112299</v>
      </c>
      <c r="M13" s="9">
        <f t="shared" ref="M13:M30" si="6">IFERROR(L13/J13,"")</f>
        <v>300</v>
      </c>
      <c r="N13" s="10"/>
      <c r="O13" s="18" t="s">
        <v>83</v>
      </c>
      <c r="P13" s="18" t="s">
        <v>87</v>
      </c>
      <c r="Q13" s="9"/>
      <c r="R13" s="9"/>
      <c r="S13" s="9"/>
      <c r="T13" s="10"/>
      <c r="U13" s="10"/>
      <c r="V13" s="10"/>
      <c r="W13" s="10"/>
      <c r="X13" s="10"/>
      <c r="Y13" s="10"/>
      <c r="Z13" s="10"/>
      <c r="AA13" s="10"/>
      <c r="AB13" s="10"/>
    </row>
    <row r="14" ht="22.5" customHeight="1">
      <c r="A14" s="4" t="s">
        <v>10</v>
      </c>
      <c r="B14" s="4" t="s">
        <v>88</v>
      </c>
      <c r="C14" s="4" t="s">
        <v>89</v>
      </c>
      <c r="D14" s="9" t="str">
        <f>IFERROR(__xludf.DUMMYFUNCTION("REGEXREPLACE(B14,""TRATOR - |COLHEITADEIRA |PULVERIZADOR |CAMINHAO-"","""")&amp;"" + ""&amp;REGEXREPLACE(C14,""PLANTADEIRA |PLATAFORMA |DISTRIBUIDOR |PULVERIZADOR "", """")"),"NH T7.260 + JAN 20000")</f>
        <v>NH T7.260 + JAN 20000</v>
      </c>
      <c r="E14" s="9">
        <f>VLOOKUP(C14,'CUSTO OPERAÇÃO'!$P$1:$S$125,3,0)</f>
        <v>15</v>
      </c>
      <c r="F14" s="9">
        <f>VLOOKUP(C14,'CUSTO OPERAÇÃO'!$P$1:$S$125,4,0)</f>
        <v>8</v>
      </c>
      <c r="G14" s="9">
        <v>85.0</v>
      </c>
      <c r="H14" s="9">
        <f t="shared" si="1"/>
        <v>10.2</v>
      </c>
      <c r="I14" s="13">
        <f>VLOOKUP(B14,'CUSTO OPERAÇÃO'!$P$1:$Q$125,2,0)</f>
        <v>25</v>
      </c>
      <c r="J14" s="15">
        <f t="shared" si="2"/>
        <v>0.09803921569</v>
      </c>
      <c r="K14" s="16">
        <f t="shared" si="3"/>
        <v>2.450980392</v>
      </c>
      <c r="L14" s="17">
        <f t="shared" si="4"/>
        <v>18.38235294</v>
      </c>
      <c r="M14" s="9">
        <f t="shared" si="6"/>
        <v>187.5</v>
      </c>
      <c r="N14" s="10"/>
      <c r="O14" s="18" t="s">
        <v>83</v>
      </c>
      <c r="P14" s="18" t="s">
        <v>90</v>
      </c>
      <c r="Q14" s="9"/>
      <c r="R14" s="9"/>
      <c r="S14" s="9"/>
      <c r="T14" s="10"/>
      <c r="U14" s="10"/>
      <c r="V14" s="10"/>
      <c r="W14" s="10"/>
      <c r="X14" s="10"/>
      <c r="Y14" s="10"/>
      <c r="Z14" s="10"/>
      <c r="AA14" s="10"/>
      <c r="AB14" s="10"/>
    </row>
    <row r="15" ht="22.5" customHeight="1">
      <c r="A15" s="4" t="s">
        <v>10</v>
      </c>
      <c r="B15" s="4" t="s">
        <v>91</v>
      </c>
      <c r="C15" s="4" t="s">
        <v>92</v>
      </c>
      <c r="D15" s="9" t="str">
        <f>IFERROR(__xludf.DUMMYFUNCTION("REGEXREPLACE(B15,""TRATOR - |COLHEITADEIRA |PULVERIZADOR |CAMINHAO-"","""")&amp;"" + ""&amp;REGEXREPLACE(C15,""PLANTADEIRA |PLATAFORMA |DISTRIBUIDOR |PULVERIZADOR "", """")"),"NH T8.355 + - JD2122")</f>
        <v>NH T8.355 + - JD2122</v>
      </c>
      <c r="E15" s="9">
        <f>VLOOKUP(C15,'CUSTO OPERAÇÃO'!$P$1:$S$125,3,0)</f>
        <v>10.5</v>
      </c>
      <c r="F15" s="9">
        <f>VLOOKUP(C15,'CUSTO OPERAÇÃO'!$P$1:$S$125,4,0)</f>
        <v>7</v>
      </c>
      <c r="G15" s="9">
        <v>85.0</v>
      </c>
      <c r="H15" s="9">
        <f t="shared" si="1"/>
        <v>6.2475</v>
      </c>
      <c r="I15" s="13">
        <f>VLOOKUP(B15,'CUSTO OPERAÇÃO'!$P$1:$Q$125,2,0)</f>
        <v>30</v>
      </c>
      <c r="J15" s="15">
        <f t="shared" si="2"/>
        <v>0.1600640256</v>
      </c>
      <c r="K15" s="16">
        <f t="shared" si="3"/>
        <v>4.801920768</v>
      </c>
      <c r="L15" s="17">
        <f t="shared" si="4"/>
        <v>36.01440576</v>
      </c>
      <c r="M15" s="9">
        <f t="shared" si="6"/>
        <v>225</v>
      </c>
      <c r="N15" s="10"/>
      <c r="O15" s="18" t="s">
        <v>83</v>
      </c>
      <c r="P15" s="18" t="s">
        <v>93</v>
      </c>
      <c r="Q15" s="9"/>
      <c r="R15" s="9"/>
      <c r="S15" s="9"/>
      <c r="T15" s="10"/>
      <c r="U15" s="10"/>
      <c r="V15" s="10"/>
      <c r="W15" s="10"/>
      <c r="X15" s="10"/>
      <c r="Y15" s="10"/>
      <c r="Z15" s="10"/>
      <c r="AA15" s="10"/>
      <c r="AB15" s="10"/>
    </row>
    <row r="16" ht="22.5" customHeight="1">
      <c r="A16" s="4" t="s">
        <v>10</v>
      </c>
      <c r="B16" s="4" t="s">
        <v>94</v>
      </c>
      <c r="C16" s="4" t="s">
        <v>95</v>
      </c>
      <c r="D16" s="9" t="str">
        <f>IFERROR(__xludf.DUMMYFUNCTION("REGEXREPLACE(B16,""TRATOR - |COLHEITADEIRA |PULVERIZADOR |CAMINHAO-"","""")&amp;"" + ""&amp;REGEXREPLACE(C16,""PLANTADEIRA |PLATAFORMA |DISTRIBUIDOR |PULVERIZADOR "", """")"),"COLHETADEIRA - CASE 2388 + CASE 30PES")</f>
        <v>COLHETADEIRA - CASE 2388 + CASE 30PES</v>
      </c>
      <c r="E16" s="9">
        <f>VLOOKUP(C16,'CUSTO OPERAÇÃO'!$P$1:$S$125,3,0)</f>
        <v>9</v>
      </c>
      <c r="F16" s="9">
        <f>VLOOKUP(C16,'CUSTO OPERAÇÃO'!$P$1:$S$125,4,0)</f>
        <v>5</v>
      </c>
      <c r="G16" s="9">
        <v>85.0</v>
      </c>
      <c r="H16" s="9">
        <f t="shared" si="1"/>
        <v>3.825</v>
      </c>
      <c r="I16" s="13">
        <f>VLOOKUP(B16,'CUSTO OPERAÇÃO'!$P$1:$Q$125,2,0)</f>
        <v>30</v>
      </c>
      <c r="J16" s="15">
        <f t="shared" si="2"/>
        <v>0.2614379085</v>
      </c>
      <c r="K16" s="16">
        <f t="shared" si="3"/>
        <v>7.843137255</v>
      </c>
      <c r="L16" s="17">
        <f t="shared" si="4"/>
        <v>58.82352941</v>
      </c>
      <c r="M16" s="9">
        <f t="shared" si="6"/>
        <v>225</v>
      </c>
      <c r="N16" s="10"/>
      <c r="O16" s="18" t="s">
        <v>83</v>
      </c>
      <c r="P16" s="18" t="s">
        <v>96</v>
      </c>
      <c r="Q16" s="9"/>
      <c r="R16" s="9"/>
      <c r="S16" s="9"/>
      <c r="T16" s="10"/>
      <c r="U16" s="10"/>
      <c r="V16" s="10"/>
      <c r="W16" s="10"/>
      <c r="X16" s="10"/>
      <c r="Y16" s="10"/>
      <c r="Z16" s="10"/>
      <c r="AA16" s="10"/>
      <c r="AB16" s="10"/>
    </row>
    <row r="17" ht="22.5" customHeight="1">
      <c r="A17" s="4" t="s">
        <v>10</v>
      </c>
      <c r="B17" s="4" t="s">
        <v>97</v>
      </c>
      <c r="C17" s="4" t="s">
        <v>97</v>
      </c>
      <c r="D17" s="9" t="str">
        <f>IFERROR(__xludf.DUMMYFUNCTION("REGEXREPLACE(B17,""TRATOR - |COLHEITADEIRA |PULVERIZADOR |CAMINHAO-"","""")&amp;"" + ""&amp;REGEXREPLACE(C17,""PLANTADEIRA |PLATAFORMA |DISTRIBUIDOR |PULVERIZADOR "", """")"),"JACTO UNIPORT 2000 + JACTO UNIPORT 2000")</f>
        <v>JACTO UNIPORT 2000 + JACTO UNIPORT 2000</v>
      </c>
      <c r="E17" s="9">
        <f>VLOOKUP(C17,'CUSTO OPERAÇÃO'!$P$1:$S$125,3,0)</f>
        <v>24</v>
      </c>
      <c r="F17" s="9">
        <f>VLOOKUP(C17,'CUSTO OPERAÇÃO'!$P$1:$S$125,4,0)</f>
        <v>16</v>
      </c>
      <c r="G17" s="9">
        <v>85.0</v>
      </c>
      <c r="H17" s="9">
        <f t="shared" si="1"/>
        <v>32.64</v>
      </c>
      <c r="I17" s="13">
        <f>VLOOKUP(B17,'CUSTO OPERAÇÃO'!$P$1:$Q$125,2,0)</f>
        <v>7</v>
      </c>
      <c r="J17" s="15">
        <f t="shared" si="2"/>
        <v>0.0306372549</v>
      </c>
      <c r="K17" s="16">
        <f t="shared" si="3"/>
        <v>0.2144607843</v>
      </c>
      <c r="L17" s="17">
        <f t="shared" si="4"/>
        <v>1.608455882</v>
      </c>
      <c r="M17" s="9">
        <f t="shared" si="6"/>
        <v>52.5</v>
      </c>
      <c r="N17" s="10"/>
      <c r="O17" s="18" t="s">
        <v>83</v>
      </c>
      <c r="P17" s="18" t="s">
        <v>98</v>
      </c>
      <c r="Q17" s="9"/>
      <c r="R17" s="9"/>
      <c r="S17" s="9"/>
      <c r="T17" s="10"/>
      <c r="U17" s="10"/>
      <c r="V17" s="10"/>
      <c r="W17" s="10"/>
      <c r="X17" s="10"/>
      <c r="Y17" s="10"/>
      <c r="Z17" s="10"/>
      <c r="AA17" s="10"/>
      <c r="AB17" s="10"/>
    </row>
    <row r="18" ht="22.5" customHeight="1">
      <c r="A18" s="4" t="s">
        <v>10</v>
      </c>
      <c r="B18" s="4" t="s">
        <v>88</v>
      </c>
      <c r="C18" s="4" t="s">
        <v>99</v>
      </c>
      <c r="D18" s="9" t="str">
        <f>IFERROR(__xludf.DUMMYFUNCTION("REGEXREPLACE(B18,""TRATOR - |COLHEITADEIRA |PULVERIZADOR |CAMINHAO-"","""")&amp;"" + ""&amp;REGEXREPLACE(C18,""PLANTADEIRA |PLATAFORMA |DISTRIBUIDOR |PULVERIZADOR "", """")"),"NH T7.260 + CASE 2213")</f>
        <v>NH T7.260 + CASE 2213</v>
      </c>
      <c r="E18" s="9">
        <f>VLOOKUP(C18,'CUSTO OPERAÇÃO'!$P$1:$S$125,3,0)</f>
        <v>6.5</v>
      </c>
      <c r="F18" s="9">
        <f>VLOOKUP(C18,'CUSTO OPERAÇÃO'!$P$1:$S$125,4,0)</f>
        <v>7</v>
      </c>
      <c r="G18" s="9">
        <v>85.0</v>
      </c>
      <c r="H18" s="9">
        <f t="shared" si="1"/>
        <v>3.8675</v>
      </c>
      <c r="I18" s="13">
        <f>VLOOKUP(B18,'CUSTO OPERAÇÃO'!$P$1:$Q$125,2,0)</f>
        <v>25</v>
      </c>
      <c r="J18" s="15">
        <f t="shared" si="2"/>
        <v>0.2585649644</v>
      </c>
      <c r="K18" s="16">
        <f t="shared" si="3"/>
        <v>6.464124111</v>
      </c>
      <c r="L18" s="17">
        <f t="shared" si="4"/>
        <v>48.48093083</v>
      </c>
      <c r="M18" s="9">
        <f t="shared" si="6"/>
        <v>187.5</v>
      </c>
      <c r="N18" s="10"/>
      <c r="O18" s="18" t="s">
        <v>100</v>
      </c>
      <c r="P18" s="18" t="s">
        <v>68</v>
      </c>
      <c r="Q18" s="9">
        <v>40.0</v>
      </c>
      <c r="R18" s="9"/>
      <c r="S18" s="9"/>
      <c r="T18" s="10"/>
      <c r="U18" s="10"/>
      <c r="V18" s="10"/>
      <c r="W18" s="10"/>
      <c r="X18" s="10"/>
      <c r="Y18" s="10"/>
      <c r="Z18" s="10"/>
      <c r="AA18" s="10"/>
      <c r="AB18" s="10"/>
    </row>
    <row r="19" ht="22.5" customHeight="1">
      <c r="A19" s="4"/>
      <c r="B19" s="4"/>
      <c r="C19" s="4"/>
      <c r="D19" s="9" t="str">
        <f>IFERROR(__xludf.DUMMYFUNCTION("REGEXREPLACE(B19,""TRATOR - |COLHEITADEIRA |PULVERIZADOR |CAMINHAO-"","""")&amp;"" + ""&amp;REGEXREPLACE(C19,""PLANTADEIRA |PLATAFORMA |DISTRIBUIDOR |PULVERIZADOR "", """")")," + ")</f>
        <v> + </v>
      </c>
      <c r="E19" s="9" t="str">
        <f>VLOOKUP(C19,'CUSTO OPERAÇÃO'!$P$1:$S$125,3,0)</f>
        <v>#N/A</v>
      </c>
      <c r="F19" s="9" t="str">
        <f>VLOOKUP(C19,'CUSTO OPERAÇÃO'!$P$1:$S$125,4,0)</f>
        <v>#N/A</v>
      </c>
      <c r="G19" s="9">
        <v>85.0</v>
      </c>
      <c r="H19" s="9" t="str">
        <f t="shared" si="1"/>
        <v>#N/A</v>
      </c>
      <c r="I19" s="13" t="str">
        <f>VLOOKUP(B19,'CUSTO OPERAÇÃO'!$P$1:$Q$125,2,0)</f>
        <v>#N/A</v>
      </c>
      <c r="J19" s="15" t="str">
        <f t="shared" si="2"/>
        <v>#N/A</v>
      </c>
      <c r="K19" s="16" t="str">
        <f t="shared" si="3"/>
        <v>#N/A</v>
      </c>
      <c r="L19" s="17" t="str">
        <f t="shared" si="4"/>
        <v>#N/A</v>
      </c>
      <c r="M19" s="9" t="str">
        <f t="shared" si="6"/>
        <v/>
      </c>
      <c r="N19" s="10"/>
      <c r="O19" s="18" t="s">
        <v>100</v>
      </c>
      <c r="P19" s="18" t="s">
        <v>94</v>
      </c>
      <c r="Q19" s="9">
        <v>30.0</v>
      </c>
      <c r="R19" s="9"/>
      <c r="S19" s="9"/>
      <c r="T19" s="10"/>
      <c r="U19" s="10"/>
      <c r="V19" s="10"/>
      <c r="W19" s="10"/>
      <c r="X19" s="10"/>
      <c r="Y19" s="10"/>
      <c r="Z19" s="10"/>
      <c r="AA19" s="10"/>
      <c r="AB19" s="10"/>
    </row>
    <row r="20" ht="22.5" customHeight="1">
      <c r="A20" s="4"/>
      <c r="B20" s="4"/>
      <c r="C20" s="4"/>
      <c r="D20" s="9" t="str">
        <f>IFERROR(__xludf.DUMMYFUNCTION("REGEXREPLACE(B20,""TRATOR - |COLHEITADEIRA |PULVERIZADOR |CAMINHAO-"","""")&amp;"" + ""&amp;REGEXREPLACE(C20,""PLANTADEIRA |PLATAFORMA |DISTRIBUIDOR |PULVERIZADOR "", """")")," + ")</f>
        <v> + </v>
      </c>
      <c r="E20" s="9" t="str">
        <f>VLOOKUP(C20,'CUSTO OPERAÇÃO'!$P$1:$S$125,3,0)</f>
        <v>#N/A</v>
      </c>
      <c r="F20" s="9" t="str">
        <f>VLOOKUP(C20,'CUSTO OPERAÇÃO'!$P$1:$S$125,4,0)</f>
        <v>#N/A</v>
      </c>
      <c r="G20" s="9">
        <v>85.0</v>
      </c>
      <c r="H20" s="9" t="str">
        <f t="shared" si="1"/>
        <v>#N/A</v>
      </c>
      <c r="I20" s="13" t="str">
        <f>VLOOKUP(B20,'CUSTO OPERAÇÃO'!$P$1:$Q$125,2,0)</f>
        <v>#N/A</v>
      </c>
      <c r="J20" s="15" t="str">
        <f t="shared" si="2"/>
        <v>#N/A</v>
      </c>
      <c r="K20" s="16" t="str">
        <f t="shared" si="3"/>
        <v>#N/A</v>
      </c>
      <c r="L20" s="17" t="str">
        <f t="shared" si="4"/>
        <v>#N/A</v>
      </c>
      <c r="M20" s="9" t="str">
        <f t="shared" si="6"/>
        <v/>
      </c>
      <c r="N20" s="10"/>
      <c r="O20" s="18" t="s">
        <v>100</v>
      </c>
      <c r="P20" s="18" t="s">
        <v>66</v>
      </c>
      <c r="Q20" s="9">
        <v>50.0</v>
      </c>
      <c r="R20" s="9"/>
      <c r="S20" s="9"/>
      <c r="T20" s="10"/>
      <c r="U20" s="10"/>
      <c r="V20" s="10"/>
      <c r="W20" s="10"/>
      <c r="X20" s="10"/>
      <c r="Y20" s="10"/>
      <c r="Z20" s="10"/>
      <c r="AA20" s="10"/>
      <c r="AB20" s="10"/>
    </row>
    <row r="21" ht="22.5" customHeight="1">
      <c r="A21" s="4"/>
      <c r="B21" s="4"/>
      <c r="C21" s="4"/>
      <c r="D21" s="9" t="str">
        <f>IFERROR(__xludf.DUMMYFUNCTION("REGEXREPLACE(B21,""TRATOR - |COLHEITADEIRA |PULVERIZADOR |CAMINHAO-"","""")&amp;"" + ""&amp;REGEXREPLACE(C21,""PLANTADEIRA |PLATAFORMA |DISTRIBUIDOR |PULVERIZADOR "", """")")," + ")</f>
        <v> + </v>
      </c>
      <c r="E21" s="9" t="str">
        <f>VLOOKUP(C21,'CUSTO OPERAÇÃO'!$P$1:$S$125,3,0)</f>
        <v>#N/A</v>
      </c>
      <c r="F21" s="9" t="str">
        <f>VLOOKUP(C21,'CUSTO OPERAÇÃO'!$P$1:$S$125,4,0)</f>
        <v>#N/A</v>
      </c>
      <c r="G21" s="9">
        <v>85.0</v>
      </c>
      <c r="H21" s="9" t="str">
        <f t="shared" si="1"/>
        <v>#N/A</v>
      </c>
      <c r="I21" s="13" t="str">
        <f>VLOOKUP(B21,'CUSTO OPERAÇÃO'!$P$1:$Q$125,2,0)</f>
        <v>#N/A</v>
      </c>
      <c r="J21" s="15" t="str">
        <f t="shared" si="2"/>
        <v>#N/A</v>
      </c>
      <c r="K21" s="16" t="str">
        <f t="shared" si="3"/>
        <v>#N/A</v>
      </c>
      <c r="L21" s="17" t="str">
        <f t="shared" si="4"/>
        <v>#N/A</v>
      </c>
      <c r="M21" s="9" t="str">
        <f t="shared" si="6"/>
        <v/>
      </c>
      <c r="N21" s="10"/>
      <c r="O21" s="18" t="s">
        <v>100</v>
      </c>
      <c r="P21" s="18" t="s">
        <v>72</v>
      </c>
      <c r="Q21" s="9">
        <v>40.0</v>
      </c>
      <c r="R21" s="9"/>
      <c r="S21" s="9"/>
      <c r="T21" s="10"/>
      <c r="U21" s="10"/>
      <c r="V21" s="10"/>
      <c r="W21" s="10"/>
      <c r="X21" s="10"/>
      <c r="Y21" s="10"/>
      <c r="Z21" s="10"/>
      <c r="AA21" s="10"/>
      <c r="AB21" s="10"/>
    </row>
    <row r="22" ht="22.5" customHeight="1">
      <c r="A22" s="4"/>
      <c r="B22" s="4"/>
      <c r="C22" s="4"/>
      <c r="D22" s="9" t="str">
        <f>IFERROR(__xludf.DUMMYFUNCTION("REGEXREPLACE(B22,""TRATOR - |COLHEITADEIRA |PULVERIZADOR |CAMINHAO-"","""")&amp;"" + ""&amp;REGEXREPLACE(C22,""PLANTADEIRA |PLATAFORMA |DISTRIBUIDOR |PULVERIZADOR "", """")")," + ")</f>
        <v> + </v>
      </c>
      <c r="E22" s="9" t="str">
        <f>VLOOKUP(C22,'CUSTO OPERAÇÃO'!$P$1:$S$125,3,0)</f>
        <v>#N/A</v>
      </c>
      <c r="F22" s="9" t="str">
        <f>VLOOKUP(C22,'CUSTO OPERAÇÃO'!$P$1:$S$125,4,0)</f>
        <v>#N/A</v>
      </c>
      <c r="G22" s="9">
        <v>85.0</v>
      </c>
      <c r="H22" s="9" t="str">
        <f t="shared" si="1"/>
        <v>#N/A</v>
      </c>
      <c r="I22" s="13" t="str">
        <f>VLOOKUP(B22,'CUSTO OPERAÇÃO'!$P$1:$Q$125,2,0)</f>
        <v>#N/A</v>
      </c>
      <c r="J22" s="15" t="str">
        <f t="shared" si="2"/>
        <v>#N/A</v>
      </c>
      <c r="K22" s="16" t="str">
        <f t="shared" si="3"/>
        <v>#N/A</v>
      </c>
      <c r="L22" s="17" t="str">
        <f t="shared" si="4"/>
        <v>#N/A</v>
      </c>
      <c r="M22" s="9" t="str">
        <f t="shared" si="6"/>
        <v/>
      </c>
      <c r="N22" s="10"/>
      <c r="O22" s="18" t="s">
        <v>101</v>
      </c>
      <c r="P22" s="18" t="s">
        <v>76</v>
      </c>
      <c r="Q22" s="9"/>
      <c r="R22" s="9">
        <v>6.0</v>
      </c>
      <c r="S22" s="9">
        <v>6.0</v>
      </c>
      <c r="T22" s="10"/>
      <c r="U22" s="10"/>
      <c r="V22" s="10"/>
      <c r="W22" s="10"/>
      <c r="X22" s="10"/>
      <c r="Y22" s="10"/>
      <c r="Z22" s="10"/>
      <c r="AA22" s="10"/>
      <c r="AB22" s="10"/>
    </row>
    <row r="23" ht="22.5" customHeight="1">
      <c r="A23" s="4"/>
      <c r="B23" s="4"/>
      <c r="C23" s="4"/>
      <c r="D23" s="9" t="str">
        <f>IFERROR(__xludf.DUMMYFUNCTION("REGEXREPLACE(B23,""TRATOR - |COLHEITADEIRA |PULVERIZADOR |CAMINHAO-"","""")&amp;"" + ""&amp;REGEXREPLACE(C23,""PLANTADEIRA |PLATAFORMA |DISTRIBUIDOR |PULVERIZADOR "", """")")," + ")</f>
        <v> + </v>
      </c>
      <c r="E23" s="9" t="str">
        <f>VLOOKUP(C23,'CUSTO OPERAÇÃO'!$P$1:$S$125,3,0)</f>
        <v>#N/A</v>
      </c>
      <c r="F23" s="9" t="str">
        <f>VLOOKUP(C23,'CUSTO OPERAÇÃO'!$P$1:$S$125,4,0)</f>
        <v>#N/A</v>
      </c>
      <c r="G23" s="9">
        <v>85.0</v>
      </c>
      <c r="H23" s="9" t="str">
        <f t="shared" si="1"/>
        <v>#N/A</v>
      </c>
      <c r="I23" s="13" t="str">
        <f>VLOOKUP(B23,'CUSTO OPERAÇÃO'!$P$1:$Q$125,2,0)</f>
        <v>#N/A</v>
      </c>
      <c r="J23" s="15" t="str">
        <f t="shared" si="2"/>
        <v>#N/A</v>
      </c>
      <c r="K23" s="16" t="str">
        <f t="shared" si="3"/>
        <v>#N/A</v>
      </c>
      <c r="L23" s="17" t="str">
        <f t="shared" si="4"/>
        <v>#N/A</v>
      </c>
      <c r="M23" s="9" t="str">
        <f t="shared" si="6"/>
        <v/>
      </c>
      <c r="N23" s="10"/>
      <c r="O23" s="18" t="s">
        <v>101</v>
      </c>
      <c r="P23" s="18" t="s">
        <v>78</v>
      </c>
      <c r="Q23" s="9"/>
      <c r="R23" s="9">
        <v>30.0</v>
      </c>
      <c r="S23" s="9">
        <v>8.0</v>
      </c>
      <c r="T23" s="10"/>
      <c r="U23" s="10"/>
      <c r="V23" s="10"/>
      <c r="W23" s="10"/>
      <c r="X23" s="10"/>
      <c r="Y23" s="10"/>
      <c r="Z23" s="10"/>
      <c r="AA23" s="10"/>
      <c r="AB23" s="10"/>
    </row>
    <row r="24" ht="22.5" customHeight="1">
      <c r="A24" s="4"/>
      <c r="B24" s="4"/>
      <c r="C24" s="4"/>
      <c r="D24" s="9" t="str">
        <f>IFERROR(__xludf.DUMMYFUNCTION("REGEXREPLACE(B24,""TRATOR - |COLHEITADEIRA |PULVERIZADOR |CAMINHAO-"","""")&amp;"" + ""&amp;REGEXREPLACE(C24,""PLANTADEIRA |PLATAFORMA |DISTRIBUIDOR |PULVERIZADOR "", """")")," + ")</f>
        <v> + </v>
      </c>
      <c r="E24" s="9" t="str">
        <f>VLOOKUP(C24,'CUSTO OPERAÇÃO'!$P$1:$S$125,3,0)</f>
        <v>#N/A</v>
      </c>
      <c r="F24" s="9" t="str">
        <f>VLOOKUP(C24,'CUSTO OPERAÇÃO'!$P$1:$S$125,4,0)</f>
        <v>#N/A</v>
      </c>
      <c r="G24" s="9">
        <v>85.0</v>
      </c>
      <c r="H24" s="9" t="str">
        <f t="shared" si="1"/>
        <v>#N/A</v>
      </c>
      <c r="I24" s="13" t="str">
        <f>VLOOKUP(B24,'CUSTO OPERAÇÃO'!$P$1:$Q$125,2,0)</f>
        <v>#N/A</v>
      </c>
      <c r="J24" s="15" t="str">
        <f t="shared" si="2"/>
        <v>#N/A</v>
      </c>
      <c r="K24" s="16" t="str">
        <f t="shared" si="3"/>
        <v>#N/A</v>
      </c>
      <c r="L24" s="17" t="str">
        <f t="shared" si="4"/>
        <v>#N/A</v>
      </c>
      <c r="M24" s="9" t="str">
        <f t="shared" si="6"/>
        <v/>
      </c>
      <c r="N24" s="10"/>
      <c r="O24" s="18" t="s">
        <v>101</v>
      </c>
      <c r="P24" s="18" t="s">
        <v>89</v>
      </c>
      <c r="Q24" s="9"/>
      <c r="R24" s="9">
        <v>15.0</v>
      </c>
      <c r="S24" s="9">
        <v>8.0</v>
      </c>
      <c r="T24" s="10"/>
      <c r="U24" s="10"/>
      <c r="V24" s="10"/>
      <c r="W24" s="10"/>
      <c r="X24" s="10"/>
      <c r="Y24" s="10"/>
      <c r="Z24" s="10"/>
      <c r="AA24" s="10"/>
      <c r="AB24" s="10"/>
    </row>
    <row r="25" ht="22.5" customHeight="1">
      <c r="A25" s="4"/>
      <c r="B25" s="4"/>
      <c r="C25" s="4"/>
      <c r="D25" s="9" t="str">
        <f>IFERROR(__xludf.DUMMYFUNCTION("REGEXREPLACE(B25,""TRATOR - |COLHEITADEIRA |PULVERIZADOR |CAMINHAO-"","""")&amp;"" + ""&amp;REGEXREPLACE(C25,""PLANTADEIRA |PLATAFORMA |DISTRIBUIDOR |PULVERIZADOR "", """")")," + ")</f>
        <v> + </v>
      </c>
      <c r="E25" s="9" t="str">
        <f>VLOOKUP(C25,'CUSTO OPERAÇÃO'!$P$1:$S$125,3,0)</f>
        <v>#N/A</v>
      </c>
      <c r="F25" s="9" t="str">
        <f>VLOOKUP(C25,'CUSTO OPERAÇÃO'!$P$1:$S$125,4,0)</f>
        <v>#N/A</v>
      </c>
      <c r="G25" s="9">
        <v>85.0</v>
      </c>
      <c r="H25" s="9" t="str">
        <f t="shared" si="1"/>
        <v>#N/A</v>
      </c>
      <c r="I25" s="13" t="str">
        <f>VLOOKUP(B25,'CUSTO OPERAÇÃO'!$P$1:$Q$125,2,0)</f>
        <v>#N/A</v>
      </c>
      <c r="J25" s="15" t="str">
        <f t="shared" si="2"/>
        <v>#N/A</v>
      </c>
      <c r="K25" s="16" t="str">
        <f t="shared" si="3"/>
        <v>#N/A</v>
      </c>
      <c r="L25" s="17" t="str">
        <f t="shared" si="4"/>
        <v>#N/A</v>
      </c>
      <c r="M25" s="9" t="str">
        <f t="shared" si="6"/>
        <v/>
      </c>
      <c r="N25" s="10"/>
      <c r="O25" s="18" t="s">
        <v>101</v>
      </c>
      <c r="P25" s="18" t="s">
        <v>102</v>
      </c>
      <c r="Q25" s="9"/>
      <c r="R25" s="9">
        <v>7.0</v>
      </c>
      <c r="S25" s="9">
        <v>8.0</v>
      </c>
      <c r="T25" s="10"/>
      <c r="U25" s="10"/>
      <c r="V25" s="10"/>
      <c r="W25" s="10"/>
      <c r="X25" s="10"/>
      <c r="Y25" s="10"/>
      <c r="Z25" s="10"/>
      <c r="AA25" s="10"/>
      <c r="AB25" s="10"/>
    </row>
    <row r="26" ht="22.5" customHeight="1">
      <c r="A26" s="4"/>
      <c r="B26" s="4"/>
      <c r="C26" s="4"/>
      <c r="D26" s="9" t="str">
        <f>IFERROR(__xludf.DUMMYFUNCTION("REGEXREPLACE(B26,""TRATOR - |COLHEITADEIRA |PULVERIZADOR |CAMINHAO-"","""")&amp;"" + ""&amp;REGEXREPLACE(C26,""PLANTADEIRA |PLATAFORMA |DISTRIBUIDOR |PULVERIZADOR "", """")")," + ")</f>
        <v> + </v>
      </c>
      <c r="E26" s="9" t="str">
        <f>VLOOKUP(C26,'CUSTO OPERAÇÃO'!$P$1:$S$125,3,0)</f>
        <v>#N/A</v>
      </c>
      <c r="F26" s="9" t="str">
        <f>VLOOKUP(C26,'CUSTO OPERAÇÃO'!$P$1:$S$125,4,0)</f>
        <v>#N/A</v>
      </c>
      <c r="G26" s="9">
        <v>85.0</v>
      </c>
      <c r="H26" s="9" t="str">
        <f t="shared" si="1"/>
        <v>#N/A</v>
      </c>
      <c r="I26" s="13" t="str">
        <f>VLOOKUP(B26,'CUSTO OPERAÇÃO'!$P$1:$Q$125,2,0)</f>
        <v>#N/A</v>
      </c>
      <c r="J26" s="15" t="str">
        <f t="shared" si="2"/>
        <v>#N/A</v>
      </c>
      <c r="K26" s="16" t="str">
        <f t="shared" si="3"/>
        <v>#N/A</v>
      </c>
      <c r="L26" s="17" t="str">
        <f t="shared" si="4"/>
        <v>#N/A</v>
      </c>
      <c r="M26" s="9" t="str">
        <f t="shared" si="6"/>
        <v/>
      </c>
      <c r="N26" s="10"/>
      <c r="O26" s="18" t="s">
        <v>103</v>
      </c>
      <c r="P26" s="18" t="s">
        <v>104</v>
      </c>
      <c r="Q26" s="9"/>
      <c r="R26" s="9"/>
      <c r="S26" s="9"/>
      <c r="T26" s="10"/>
      <c r="U26" s="10"/>
      <c r="V26" s="10"/>
      <c r="W26" s="10"/>
      <c r="X26" s="10"/>
      <c r="Y26" s="10"/>
      <c r="Z26" s="10"/>
      <c r="AA26" s="10"/>
      <c r="AB26" s="10"/>
    </row>
    <row r="27" ht="22.5" customHeight="1">
      <c r="A27" s="4"/>
      <c r="B27" s="4"/>
      <c r="C27" s="4"/>
      <c r="D27" s="9" t="str">
        <f>IFERROR(__xludf.DUMMYFUNCTION("REGEXREPLACE(B27,""TRATOR - |COLHEITADEIRA |PULVERIZADOR |CAMINHAO-"","""")&amp;"" + ""&amp;REGEXREPLACE(C27,""PLANTADEIRA |PLATAFORMA |DISTRIBUIDOR |PULVERIZADOR "", """")")," + ")</f>
        <v> + </v>
      </c>
      <c r="E27" s="9" t="str">
        <f>VLOOKUP(C27,'CUSTO OPERAÇÃO'!$P$1:$S$125,3,0)</f>
        <v>#N/A</v>
      </c>
      <c r="F27" s="9" t="str">
        <f>VLOOKUP(C27,'CUSTO OPERAÇÃO'!$P$1:$S$125,4,0)</f>
        <v>#N/A</v>
      </c>
      <c r="G27" s="9">
        <v>85.0</v>
      </c>
      <c r="H27" s="9" t="str">
        <f t="shared" si="1"/>
        <v>#N/A</v>
      </c>
      <c r="I27" s="13" t="str">
        <f>VLOOKUP(B27,'CUSTO OPERAÇÃO'!$P$1:$Q$125,2,0)</f>
        <v>#N/A</v>
      </c>
      <c r="J27" s="15" t="str">
        <f t="shared" si="2"/>
        <v>#N/A</v>
      </c>
      <c r="K27" s="16" t="str">
        <f t="shared" si="3"/>
        <v>#N/A</v>
      </c>
      <c r="L27" s="17" t="str">
        <f t="shared" si="4"/>
        <v>#N/A</v>
      </c>
      <c r="M27" s="9" t="str">
        <f t="shared" si="6"/>
        <v/>
      </c>
      <c r="N27" s="10"/>
      <c r="O27" s="18" t="s">
        <v>103</v>
      </c>
      <c r="P27" s="18" t="s">
        <v>105</v>
      </c>
      <c r="Q27" s="9"/>
      <c r="R27" s="9"/>
      <c r="S27" s="9"/>
      <c r="T27" s="10"/>
      <c r="U27" s="10"/>
      <c r="V27" s="10"/>
      <c r="W27" s="10"/>
      <c r="X27" s="10"/>
      <c r="Y27" s="10"/>
      <c r="Z27" s="10"/>
      <c r="AA27" s="10"/>
      <c r="AB27" s="10"/>
    </row>
    <row r="28" ht="22.5" customHeight="1">
      <c r="A28" s="4"/>
      <c r="B28" s="4"/>
      <c r="C28" s="4"/>
      <c r="D28" s="9" t="str">
        <f>IFERROR(__xludf.DUMMYFUNCTION("REGEXREPLACE(B28,""TRATOR - |COLHEITADEIRA |PULVERIZADOR |CAMINHAO-"","""")&amp;"" + ""&amp;REGEXREPLACE(C28,""PLANTADEIRA |PLATAFORMA |DISTRIBUIDOR |PULVERIZADOR "", """")")," + ")</f>
        <v> + </v>
      </c>
      <c r="E28" s="9" t="str">
        <f>VLOOKUP(C28,'CUSTO OPERAÇÃO'!$P$1:$S$125,3,0)</f>
        <v>#N/A</v>
      </c>
      <c r="F28" s="9" t="str">
        <f>VLOOKUP(C28,'CUSTO OPERAÇÃO'!$P$1:$S$125,4,0)</f>
        <v>#N/A</v>
      </c>
      <c r="G28" s="9">
        <v>85.0</v>
      </c>
      <c r="H28" s="9" t="str">
        <f t="shared" si="1"/>
        <v>#N/A</v>
      </c>
      <c r="I28" s="13" t="str">
        <f>VLOOKUP(B28,'CUSTO OPERAÇÃO'!$P$1:$Q$125,2,0)</f>
        <v>#N/A</v>
      </c>
      <c r="J28" s="15" t="str">
        <f t="shared" si="2"/>
        <v>#N/A</v>
      </c>
      <c r="K28" s="16" t="str">
        <f t="shared" si="3"/>
        <v>#N/A</v>
      </c>
      <c r="L28" s="17" t="str">
        <f t="shared" si="4"/>
        <v>#N/A</v>
      </c>
      <c r="M28" s="9" t="str">
        <f t="shared" si="6"/>
        <v/>
      </c>
      <c r="N28" s="10"/>
      <c r="O28" s="18" t="s">
        <v>103</v>
      </c>
      <c r="P28" s="18" t="s">
        <v>103</v>
      </c>
      <c r="Q28" s="9"/>
      <c r="R28" s="9"/>
      <c r="S28" s="9"/>
      <c r="T28" s="10"/>
      <c r="U28" s="10"/>
      <c r="V28" s="10"/>
      <c r="W28" s="10"/>
      <c r="X28" s="10"/>
      <c r="Y28" s="10"/>
      <c r="Z28" s="10"/>
      <c r="AA28" s="10"/>
      <c r="AB28" s="10"/>
    </row>
    <row r="29" ht="22.5" customHeight="1">
      <c r="A29" s="4"/>
      <c r="B29" s="4"/>
      <c r="C29" s="4"/>
      <c r="D29" s="9" t="str">
        <f>IFERROR(__xludf.DUMMYFUNCTION("REGEXREPLACE(B29,""TRATOR - |COLHEITADEIRA |PULVERIZADOR |CAMINHAO-"","""")&amp;"" + ""&amp;REGEXREPLACE(C29,""PLANTADEIRA |PLATAFORMA |DISTRIBUIDOR |PULVERIZADOR "", """")")," + ")</f>
        <v> + </v>
      </c>
      <c r="E29" s="9" t="str">
        <f>VLOOKUP(C29,'CUSTO OPERAÇÃO'!$P$1:$S$125,3,0)</f>
        <v>#N/A</v>
      </c>
      <c r="F29" s="9" t="str">
        <f>VLOOKUP(C29,'CUSTO OPERAÇÃO'!$P$1:$S$125,4,0)</f>
        <v>#N/A</v>
      </c>
      <c r="G29" s="9">
        <v>85.0</v>
      </c>
      <c r="H29" s="9" t="str">
        <f t="shared" si="1"/>
        <v>#N/A</v>
      </c>
      <c r="I29" s="13" t="str">
        <f>VLOOKUP(B29,'CUSTO OPERAÇÃO'!$P$1:$Q$125,2,0)</f>
        <v>#N/A</v>
      </c>
      <c r="J29" s="15" t="str">
        <f t="shared" si="2"/>
        <v>#N/A</v>
      </c>
      <c r="K29" s="16" t="str">
        <f t="shared" si="3"/>
        <v>#N/A</v>
      </c>
      <c r="L29" s="17" t="str">
        <f t="shared" si="4"/>
        <v>#N/A</v>
      </c>
      <c r="M29" s="9" t="str">
        <f t="shared" si="6"/>
        <v/>
      </c>
      <c r="N29" s="10"/>
      <c r="O29" s="18" t="s">
        <v>103</v>
      </c>
      <c r="P29" s="18" t="s">
        <v>106</v>
      </c>
      <c r="Q29" s="9"/>
      <c r="R29" s="9"/>
      <c r="S29" s="9"/>
      <c r="T29" s="10"/>
      <c r="U29" s="10"/>
      <c r="V29" s="10"/>
      <c r="W29" s="10"/>
      <c r="X29" s="10"/>
      <c r="Y29" s="10"/>
      <c r="Z29" s="10"/>
      <c r="AA29" s="10"/>
      <c r="AB29" s="10"/>
    </row>
    <row r="30" ht="22.5" customHeight="1">
      <c r="A30" s="4"/>
      <c r="B30" s="4"/>
      <c r="C30" s="4"/>
      <c r="D30" s="9" t="str">
        <f>IFERROR(__xludf.DUMMYFUNCTION("REGEXREPLACE(B30,""TRATOR - |COLHEITADEIRA |PULVERIZADOR |CAMINHAO-"","""")&amp;"" + ""&amp;REGEXREPLACE(C30,""PLANTADEIRA |PLATAFORMA |DISTRIBUIDOR |PULVERIZADOR "", """")")," + ")</f>
        <v> + </v>
      </c>
      <c r="E30" s="9" t="str">
        <f>VLOOKUP(C30,'CUSTO OPERAÇÃO'!$P$1:$S$125,3,0)</f>
        <v>#N/A</v>
      </c>
      <c r="F30" s="9" t="str">
        <f>VLOOKUP(C30,'CUSTO OPERAÇÃO'!$P$1:$S$125,4,0)</f>
        <v>#N/A</v>
      </c>
      <c r="G30" s="9">
        <v>85.0</v>
      </c>
      <c r="H30" s="9" t="str">
        <f t="shared" si="1"/>
        <v>#N/A</v>
      </c>
      <c r="I30" s="13" t="str">
        <f>VLOOKUP(B30,'CUSTO OPERAÇÃO'!$P$1:$Q$125,2,0)</f>
        <v>#N/A</v>
      </c>
      <c r="J30" s="15" t="str">
        <f t="shared" si="2"/>
        <v>#N/A</v>
      </c>
      <c r="K30" s="16" t="str">
        <f t="shared" si="3"/>
        <v>#N/A</v>
      </c>
      <c r="L30" s="17" t="str">
        <f t="shared" si="4"/>
        <v>#N/A</v>
      </c>
      <c r="M30" s="9" t="str">
        <f t="shared" si="6"/>
        <v/>
      </c>
      <c r="N30" s="10"/>
      <c r="O30" s="18" t="s">
        <v>103</v>
      </c>
      <c r="P30" s="18" t="s">
        <v>107</v>
      </c>
      <c r="Q30" s="9"/>
      <c r="R30" s="9"/>
      <c r="S30" s="9"/>
      <c r="T30" s="10"/>
      <c r="U30" s="10"/>
      <c r="V30" s="10"/>
      <c r="W30" s="10"/>
      <c r="X30" s="10"/>
      <c r="Y30" s="10"/>
      <c r="Z30" s="10"/>
      <c r="AA30" s="10"/>
      <c r="AB30" s="10"/>
    </row>
    <row r="31" ht="22.5" customHeight="1">
      <c r="A31" s="10"/>
      <c r="B31" s="10"/>
      <c r="C31" s="10"/>
      <c r="D31" s="10"/>
      <c r="E31" s="10"/>
      <c r="F31" s="10"/>
      <c r="G31" s="10"/>
      <c r="H31" s="10"/>
      <c r="I31" s="10"/>
      <c r="J31" s="10"/>
      <c r="K31" s="10"/>
      <c r="L31" s="10"/>
      <c r="M31" s="10"/>
      <c r="N31" s="10"/>
      <c r="O31" s="18" t="s">
        <v>103</v>
      </c>
      <c r="P31" s="18" t="s">
        <v>108</v>
      </c>
      <c r="Q31" s="9"/>
      <c r="R31" s="9"/>
      <c r="S31" s="9"/>
      <c r="T31" s="10"/>
      <c r="U31" s="10"/>
      <c r="V31" s="10"/>
      <c r="W31" s="10"/>
      <c r="X31" s="10"/>
      <c r="Y31" s="10"/>
      <c r="Z31" s="10"/>
      <c r="AA31" s="10"/>
      <c r="AB31" s="10"/>
    </row>
    <row r="32" ht="22.5" customHeight="1">
      <c r="A32" s="10"/>
      <c r="B32" s="10"/>
      <c r="C32" s="10"/>
      <c r="D32" s="10"/>
      <c r="E32" s="10"/>
      <c r="F32" s="10"/>
      <c r="G32" s="10"/>
      <c r="H32" s="10"/>
      <c r="I32" s="10"/>
      <c r="J32" s="10"/>
      <c r="K32" s="10"/>
      <c r="L32" s="10"/>
      <c r="M32" s="10"/>
      <c r="N32" s="10"/>
      <c r="O32" s="18" t="s">
        <v>103</v>
      </c>
      <c r="P32" s="18" t="s">
        <v>109</v>
      </c>
      <c r="Q32" s="9"/>
      <c r="R32" s="9"/>
      <c r="S32" s="9"/>
      <c r="T32" s="10"/>
      <c r="U32" s="10"/>
      <c r="V32" s="10"/>
      <c r="W32" s="10"/>
      <c r="X32" s="10"/>
      <c r="Y32" s="10"/>
      <c r="Z32" s="10"/>
      <c r="AA32" s="10"/>
      <c r="AB32" s="10"/>
    </row>
    <row r="33" ht="22.5" customHeight="1">
      <c r="A33" s="10"/>
      <c r="B33" s="10"/>
      <c r="C33" s="10"/>
      <c r="D33" s="10"/>
      <c r="E33" s="10"/>
      <c r="F33" s="10"/>
      <c r="G33" s="10"/>
      <c r="H33" s="10"/>
      <c r="I33" s="10"/>
      <c r="J33" s="10"/>
      <c r="K33" s="10"/>
      <c r="L33" s="10"/>
      <c r="M33" s="10"/>
      <c r="N33" s="10"/>
      <c r="O33" s="18" t="s">
        <v>103</v>
      </c>
      <c r="P33" s="18" t="s">
        <v>110</v>
      </c>
      <c r="Q33" s="9"/>
      <c r="R33" s="9"/>
      <c r="S33" s="9"/>
      <c r="T33" s="10"/>
      <c r="U33" s="10"/>
      <c r="V33" s="10"/>
      <c r="W33" s="10"/>
      <c r="X33" s="10"/>
      <c r="Y33" s="10"/>
      <c r="Z33" s="10"/>
      <c r="AA33" s="10"/>
      <c r="AB33" s="10"/>
    </row>
    <row r="34" ht="22.5" customHeight="1">
      <c r="A34" s="10"/>
      <c r="B34" s="10"/>
      <c r="C34" s="10"/>
      <c r="D34" s="10"/>
      <c r="E34" s="10"/>
      <c r="F34" s="10"/>
      <c r="G34" s="10"/>
      <c r="H34" s="10"/>
      <c r="I34" s="10"/>
      <c r="J34" s="10"/>
      <c r="K34" s="10"/>
      <c r="L34" s="10"/>
      <c r="M34" s="10"/>
      <c r="N34" s="10"/>
      <c r="O34" s="18" t="s">
        <v>103</v>
      </c>
      <c r="P34" s="18" t="s">
        <v>111</v>
      </c>
      <c r="Q34" s="9"/>
      <c r="R34" s="9"/>
      <c r="S34" s="9"/>
      <c r="T34" s="10"/>
      <c r="U34" s="10"/>
      <c r="V34" s="10"/>
      <c r="W34" s="10"/>
      <c r="X34" s="10"/>
      <c r="Y34" s="10"/>
      <c r="Z34" s="10"/>
      <c r="AA34" s="10"/>
      <c r="AB34" s="10"/>
    </row>
    <row r="35" ht="22.5" customHeight="1">
      <c r="A35" s="10"/>
      <c r="B35" s="10"/>
      <c r="C35" s="10"/>
      <c r="D35" s="10"/>
      <c r="E35" s="10"/>
      <c r="F35" s="10"/>
      <c r="G35" s="10"/>
      <c r="H35" s="10"/>
      <c r="I35" s="10"/>
      <c r="J35" s="10"/>
      <c r="K35" s="10"/>
      <c r="L35" s="10"/>
      <c r="M35" s="10"/>
      <c r="N35" s="10"/>
      <c r="O35" s="18" t="s">
        <v>103</v>
      </c>
      <c r="P35" s="18" t="s">
        <v>112</v>
      </c>
      <c r="Q35" s="9"/>
      <c r="R35" s="9"/>
      <c r="S35" s="9"/>
      <c r="T35" s="10"/>
      <c r="U35" s="10"/>
      <c r="V35" s="10"/>
      <c r="W35" s="10"/>
      <c r="X35" s="10"/>
      <c r="Y35" s="10"/>
      <c r="Z35" s="10"/>
      <c r="AA35" s="10"/>
      <c r="AB35" s="10"/>
    </row>
    <row r="36" ht="22.5" customHeight="1">
      <c r="A36" s="10"/>
      <c r="B36" s="10"/>
      <c r="C36" s="10"/>
      <c r="D36" s="10"/>
      <c r="E36" s="10"/>
      <c r="F36" s="10"/>
      <c r="G36" s="10"/>
      <c r="H36" s="10"/>
      <c r="I36" s="10"/>
      <c r="J36" s="10"/>
      <c r="K36" s="10"/>
      <c r="L36" s="10"/>
      <c r="M36" s="10"/>
      <c r="N36" s="10"/>
      <c r="O36" s="18" t="s">
        <v>103</v>
      </c>
      <c r="P36" s="18" t="s">
        <v>113</v>
      </c>
      <c r="Q36" s="9"/>
      <c r="R36" s="9"/>
      <c r="S36" s="9"/>
      <c r="T36" s="10"/>
      <c r="U36" s="10"/>
      <c r="V36" s="10"/>
      <c r="W36" s="10"/>
      <c r="X36" s="10"/>
      <c r="Y36" s="10"/>
      <c r="Z36" s="10"/>
      <c r="AA36" s="10"/>
      <c r="AB36" s="10"/>
    </row>
    <row r="37" ht="22.5" customHeight="1">
      <c r="A37" s="10"/>
      <c r="B37" s="10"/>
      <c r="C37" s="10"/>
      <c r="D37" s="10"/>
      <c r="E37" s="10"/>
      <c r="F37" s="10"/>
      <c r="G37" s="10"/>
      <c r="H37" s="10"/>
      <c r="I37" s="10"/>
      <c r="J37" s="10"/>
      <c r="K37" s="10"/>
      <c r="L37" s="10"/>
      <c r="M37" s="10"/>
      <c r="N37" s="10"/>
      <c r="O37" s="18" t="s">
        <v>103</v>
      </c>
      <c r="P37" s="18" t="s">
        <v>114</v>
      </c>
      <c r="Q37" s="9"/>
      <c r="R37" s="9"/>
      <c r="S37" s="9"/>
      <c r="T37" s="10"/>
      <c r="U37" s="10"/>
      <c r="V37" s="10"/>
      <c r="W37" s="10"/>
      <c r="X37" s="10"/>
      <c r="Y37" s="10"/>
      <c r="Z37" s="10"/>
      <c r="AA37" s="10"/>
      <c r="AB37" s="10"/>
    </row>
    <row r="38" ht="22.5" customHeight="1">
      <c r="A38" s="10"/>
      <c r="B38" s="10"/>
      <c r="C38" s="10"/>
      <c r="D38" s="10"/>
      <c r="E38" s="10"/>
      <c r="F38" s="10"/>
      <c r="G38" s="10"/>
      <c r="H38" s="10"/>
      <c r="I38" s="10"/>
      <c r="J38" s="10"/>
      <c r="K38" s="10"/>
      <c r="L38" s="10"/>
      <c r="M38" s="10"/>
      <c r="N38" s="10"/>
      <c r="O38" s="18" t="s">
        <v>103</v>
      </c>
      <c r="P38" s="18" t="s">
        <v>115</v>
      </c>
      <c r="Q38" s="9"/>
      <c r="R38" s="9"/>
      <c r="S38" s="9"/>
      <c r="T38" s="10"/>
      <c r="U38" s="10"/>
      <c r="V38" s="10"/>
      <c r="W38" s="10"/>
      <c r="X38" s="10"/>
      <c r="Y38" s="10"/>
      <c r="Z38" s="10"/>
      <c r="AA38" s="10"/>
      <c r="AB38" s="10"/>
    </row>
    <row r="39" ht="22.5" customHeight="1">
      <c r="A39" s="10"/>
      <c r="B39" s="10"/>
      <c r="C39" s="10"/>
      <c r="D39" s="10"/>
      <c r="E39" s="10"/>
      <c r="F39" s="10"/>
      <c r="G39" s="10"/>
      <c r="H39" s="10"/>
      <c r="I39" s="10"/>
      <c r="J39" s="10"/>
      <c r="K39" s="10"/>
      <c r="L39" s="10"/>
      <c r="M39" s="10"/>
      <c r="N39" s="10"/>
      <c r="O39" s="18" t="s">
        <v>103</v>
      </c>
      <c r="P39" s="18" t="s">
        <v>116</v>
      </c>
      <c r="Q39" s="9"/>
      <c r="R39" s="9"/>
      <c r="S39" s="9"/>
      <c r="T39" s="10"/>
      <c r="U39" s="10"/>
      <c r="V39" s="10"/>
      <c r="W39" s="10"/>
      <c r="X39" s="10"/>
      <c r="Y39" s="10"/>
      <c r="Z39" s="10"/>
      <c r="AA39" s="10"/>
      <c r="AB39" s="10"/>
    </row>
    <row r="40" ht="22.5" customHeight="1">
      <c r="A40" s="10"/>
      <c r="B40" s="10"/>
      <c r="C40" s="10"/>
      <c r="D40" s="10"/>
      <c r="E40" s="10"/>
      <c r="F40" s="10"/>
      <c r="G40" s="10"/>
      <c r="H40" s="10"/>
      <c r="I40" s="10"/>
      <c r="J40" s="10"/>
      <c r="K40" s="10"/>
      <c r="L40" s="10"/>
      <c r="M40" s="10"/>
      <c r="N40" s="10"/>
      <c r="O40" s="18" t="s">
        <v>103</v>
      </c>
      <c r="P40" s="18" t="s">
        <v>117</v>
      </c>
      <c r="Q40" s="9"/>
      <c r="R40" s="9"/>
      <c r="S40" s="9"/>
      <c r="T40" s="10"/>
      <c r="U40" s="10"/>
      <c r="V40" s="10"/>
      <c r="W40" s="10"/>
      <c r="X40" s="10"/>
      <c r="Y40" s="10"/>
      <c r="Z40" s="10"/>
      <c r="AA40" s="10"/>
      <c r="AB40" s="10"/>
    </row>
    <row r="41" ht="22.5" customHeight="1">
      <c r="A41" s="10"/>
      <c r="B41" s="10"/>
      <c r="C41" s="10"/>
      <c r="D41" s="10"/>
      <c r="E41" s="10"/>
      <c r="F41" s="10"/>
      <c r="G41" s="10"/>
      <c r="H41" s="10"/>
      <c r="I41" s="10"/>
      <c r="J41" s="10"/>
      <c r="K41" s="10"/>
      <c r="L41" s="10"/>
      <c r="M41" s="10"/>
      <c r="N41" s="10"/>
      <c r="O41" s="18" t="s">
        <v>103</v>
      </c>
      <c r="P41" s="18" t="s">
        <v>118</v>
      </c>
      <c r="Q41" s="9"/>
      <c r="R41" s="9"/>
      <c r="S41" s="9"/>
      <c r="T41" s="10"/>
      <c r="U41" s="10"/>
      <c r="V41" s="10"/>
      <c r="W41" s="10"/>
      <c r="X41" s="10"/>
      <c r="Y41" s="10"/>
      <c r="Z41" s="10"/>
      <c r="AA41" s="10"/>
      <c r="AB41" s="10"/>
    </row>
    <row r="42" ht="22.5" customHeight="1">
      <c r="A42" s="10"/>
      <c r="B42" s="10"/>
      <c r="C42" s="10"/>
      <c r="D42" s="10"/>
      <c r="E42" s="10"/>
      <c r="F42" s="10"/>
      <c r="G42" s="10"/>
      <c r="H42" s="10"/>
      <c r="I42" s="10"/>
      <c r="J42" s="10"/>
      <c r="K42" s="10"/>
      <c r="L42" s="10"/>
      <c r="M42" s="10"/>
      <c r="N42" s="10"/>
      <c r="O42" s="18" t="s">
        <v>103</v>
      </c>
      <c r="P42" s="18" t="s">
        <v>119</v>
      </c>
      <c r="Q42" s="9"/>
      <c r="R42" s="9"/>
      <c r="S42" s="9"/>
      <c r="T42" s="10"/>
      <c r="U42" s="10"/>
      <c r="V42" s="10"/>
      <c r="W42" s="10"/>
      <c r="X42" s="10"/>
      <c r="Y42" s="10"/>
      <c r="Z42" s="10"/>
      <c r="AA42" s="10"/>
      <c r="AB42" s="10"/>
    </row>
    <row r="43" ht="22.5" customHeight="1">
      <c r="A43" s="10"/>
      <c r="B43" s="10"/>
      <c r="C43" s="10"/>
      <c r="D43" s="10"/>
      <c r="E43" s="10"/>
      <c r="F43" s="10"/>
      <c r="G43" s="10"/>
      <c r="H43" s="10"/>
      <c r="I43" s="10"/>
      <c r="J43" s="10"/>
      <c r="K43" s="10"/>
      <c r="L43" s="10"/>
      <c r="M43" s="10"/>
      <c r="N43" s="10"/>
      <c r="O43" s="18" t="s">
        <v>103</v>
      </c>
      <c r="P43" s="18" t="s">
        <v>120</v>
      </c>
      <c r="Q43" s="9"/>
      <c r="R43" s="9"/>
      <c r="S43" s="9"/>
      <c r="T43" s="10"/>
      <c r="U43" s="10"/>
      <c r="V43" s="10"/>
      <c r="W43" s="10"/>
      <c r="X43" s="10"/>
      <c r="Y43" s="10"/>
      <c r="Z43" s="10"/>
      <c r="AA43" s="10"/>
      <c r="AB43" s="10"/>
    </row>
    <row r="44" ht="22.5" customHeight="1">
      <c r="A44" s="10"/>
      <c r="B44" s="10"/>
      <c r="C44" s="10"/>
      <c r="D44" s="10"/>
      <c r="E44" s="10"/>
      <c r="F44" s="10"/>
      <c r="G44" s="10"/>
      <c r="H44" s="10"/>
      <c r="I44" s="10"/>
      <c r="J44" s="10"/>
      <c r="K44" s="10"/>
      <c r="L44" s="10"/>
      <c r="M44" s="10"/>
      <c r="N44" s="10"/>
      <c r="O44" s="18" t="s">
        <v>103</v>
      </c>
      <c r="P44" s="18" t="s">
        <v>121</v>
      </c>
      <c r="Q44" s="9"/>
      <c r="R44" s="9"/>
      <c r="S44" s="9"/>
      <c r="T44" s="10"/>
      <c r="U44" s="10"/>
      <c r="V44" s="10"/>
      <c r="W44" s="10"/>
      <c r="X44" s="10"/>
      <c r="Y44" s="10"/>
      <c r="Z44" s="10"/>
      <c r="AA44" s="10"/>
      <c r="AB44" s="10"/>
    </row>
    <row r="45" ht="22.5" customHeight="1">
      <c r="A45" s="10"/>
      <c r="B45" s="10"/>
      <c r="C45" s="10"/>
      <c r="D45" s="10"/>
      <c r="E45" s="10"/>
      <c r="F45" s="10"/>
      <c r="G45" s="10"/>
      <c r="H45" s="10"/>
      <c r="I45" s="10"/>
      <c r="J45" s="10"/>
      <c r="K45" s="10"/>
      <c r="L45" s="10"/>
      <c r="M45" s="10"/>
      <c r="N45" s="10"/>
      <c r="O45" s="18" t="s">
        <v>103</v>
      </c>
      <c r="P45" s="18" t="s">
        <v>122</v>
      </c>
      <c r="Q45" s="9"/>
      <c r="R45" s="9"/>
      <c r="S45" s="9"/>
      <c r="T45" s="10"/>
      <c r="U45" s="10"/>
      <c r="V45" s="10"/>
      <c r="W45" s="10"/>
      <c r="X45" s="10"/>
      <c r="Y45" s="10"/>
      <c r="Z45" s="10"/>
      <c r="AA45" s="10"/>
      <c r="AB45" s="10"/>
    </row>
    <row r="46" ht="22.5" customHeight="1">
      <c r="A46" s="10"/>
      <c r="B46" s="10"/>
      <c r="C46" s="10"/>
      <c r="D46" s="10"/>
      <c r="E46" s="10"/>
      <c r="F46" s="10"/>
      <c r="G46" s="10"/>
      <c r="H46" s="10"/>
      <c r="I46" s="10"/>
      <c r="J46" s="10"/>
      <c r="K46" s="10"/>
      <c r="L46" s="10"/>
      <c r="M46" s="10"/>
      <c r="N46" s="10"/>
      <c r="O46" s="18" t="s">
        <v>103</v>
      </c>
      <c r="P46" s="18" t="s">
        <v>123</v>
      </c>
      <c r="Q46" s="9"/>
      <c r="R46" s="9"/>
      <c r="S46" s="9"/>
      <c r="T46" s="10"/>
      <c r="U46" s="10"/>
      <c r="V46" s="10"/>
      <c r="W46" s="10"/>
      <c r="X46" s="10"/>
      <c r="Y46" s="10"/>
      <c r="Z46" s="10"/>
      <c r="AA46" s="10"/>
      <c r="AB46" s="10"/>
    </row>
    <row r="47" ht="22.5" customHeight="1">
      <c r="A47" s="10"/>
      <c r="B47" s="10"/>
      <c r="C47" s="10"/>
      <c r="D47" s="10"/>
      <c r="E47" s="10"/>
      <c r="F47" s="10"/>
      <c r="G47" s="10"/>
      <c r="H47" s="10"/>
      <c r="I47" s="10"/>
      <c r="J47" s="10"/>
      <c r="K47" s="10"/>
      <c r="L47" s="10"/>
      <c r="M47" s="10"/>
      <c r="N47" s="10"/>
      <c r="O47" s="18" t="s">
        <v>103</v>
      </c>
      <c r="P47" s="18" t="s">
        <v>124</v>
      </c>
      <c r="Q47" s="9"/>
      <c r="R47" s="9"/>
      <c r="S47" s="9"/>
      <c r="T47" s="10"/>
      <c r="U47" s="10"/>
      <c r="V47" s="10"/>
      <c r="W47" s="10"/>
      <c r="X47" s="10"/>
      <c r="Y47" s="10"/>
      <c r="Z47" s="10"/>
      <c r="AA47" s="10"/>
      <c r="AB47" s="10"/>
    </row>
    <row r="48" ht="22.5" customHeight="1">
      <c r="A48" s="10"/>
      <c r="B48" s="10"/>
      <c r="C48" s="10"/>
      <c r="D48" s="10"/>
      <c r="E48" s="10"/>
      <c r="F48" s="10"/>
      <c r="G48" s="10"/>
      <c r="H48" s="10"/>
      <c r="I48" s="10"/>
      <c r="J48" s="10"/>
      <c r="K48" s="10"/>
      <c r="L48" s="10"/>
      <c r="M48" s="10"/>
      <c r="N48" s="10"/>
      <c r="O48" s="18" t="s">
        <v>103</v>
      </c>
      <c r="P48" s="18" t="s">
        <v>125</v>
      </c>
      <c r="Q48" s="9"/>
      <c r="R48" s="9"/>
      <c r="S48" s="9"/>
      <c r="T48" s="10"/>
      <c r="U48" s="10"/>
      <c r="V48" s="10"/>
      <c r="W48" s="10"/>
      <c r="X48" s="10"/>
      <c r="Y48" s="10"/>
      <c r="Z48" s="10"/>
      <c r="AA48" s="10"/>
      <c r="AB48" s="10"/>
    </row>
    <row r="49" ht="22.5" customHeight="1">
      <c r="A49" s="10"/>
      <c r="B49" s="10"/>
      <c r="C49" s="10"/>
      <c r="D49" s="10"/>
      <c r="E49" s="10"/>
      <c r="F49" s="10"/>
      <c r="G49" s="10"/>
      <c r="H49" s="10"/>
      <c r="I49" s="10"/>
      <c r="J49" s="10"/>
      <c r="K49" s="10"/>
      <c r="L49" s="10"/>
      <c r="M49" s="10"/>
      <c r="N49" s="10"/>
      <c r="O49" s="18" t="s">
        <v>103</v>
      </c>
      <c r="P49" s="18" t="s">
        <v>126</v>
      </c>
      <c r="Q49" s="9"/>
      <c r="R49" s="9"/>
      <c r="S49" s="9"/>
      <c r="T49" s="10"/>
      <c r="U49" s="10"/>
      <c r="V49" s="10"/>
      <c r="W49" s="10"/>
      <c r="X49" s="10"/>
      <c r="Y49" s="10"/>
      <c r="Z49" s="10"/>
      <c r="AA49" s="10"/>
      <c r="AB49" s="10"/>
    </row>
    <row r="50" ht="22.5" customHeight="1">
      <c r="A50" s="10"/>
      <c r="B50" s="10"/>
      <c r="C50" s="10"/>
      <c r="D50" s="10"/>
      <c r="E50" s="10"/>
      <c r="F50" s="10"/>
      <c r="G50" s="10"/>
      <c r="H50" s="10"/>
      <c r="I50" s="10"/>
      <c r="J50" s="10"/>
      <c r="K50" s="10"/>
      <c r="L50" s="10"/>
      <c r="M50" s="10"/>
      <c r="N50" s="10"/>
      <c r="O50" s="18" t="s">
        <v>127</v>
      </c>
      <c r="P50" s="18" t="s">
        <v>128</v>
      </c>
      <c r="Q50" s="9"/>
      <c r="R50" s="9"/>
      <c r="S50" s="9"/>
      <c r="T50" s="10"/>
      <c r="U50" s="10"/>
      <c r="V50" s="10"/>
      <c r="W50" s="10"/>
      <c r="X50" s="10"/>
      <c r="Y50" s="10"/>
      <c r="Z50" s="10"/>
      <c r="AA50" s="10"/>
      <c r="AB50" s="10"/>
    </row>
    <row r="51" ht="22.5" customHeight="1">
      <c r="A51" s="10"/>
      <c r="B51" s="10"/>
      <c r="C51" s="10"/>
      <c r="D51" s="10"/>
      <c r="E51" s="10"/>
      <c r="F51" s="10"/>
      <c r="G51" s="10"/>
      <c r="H51" s="10"/>
      <c r="I51" s="10"/>
      <c r="J51" s="10"/>
      <c r="K51" s="10"/>
      <c r="L51" s="10"/>
      <c r="M51" s="10"/>
      <c r="N51" s="10"/>
      <c r="O51" s="18" t="s">
        <v>127</v>
      </c>
      <c r="P51" s="18" t="s">
        <v>82</v>
      </c>
      <c r="Q51" s="9"/>
      <c r="R51" s="9">
        <v>5.5</v>
      </c>
      <c r="S51" s="9">
        <v>6.0</v>
      </c>
      <c r="T51" s="10"/>
      <c r="U51" s="10"/>
      <c r="V51" s="10"/>
      <c r="W51" s="10"/>
      <c r="X51" s="10"/>
      <c r="Y51" s="10"/>
      <c r="Z51" s="10"/>
      <c r="AA51" s="10"/>
      <c r="AB51" s="10"/>
    </row>
    <row r="52" ht="22.5" customHeight="1">
      <c r="A52" s="10"/>
      <c r="B52" s="10"/>
      <c r="C52" s="10"/>
      <c r="D52" s="10"/>
      <c r="E52" s="10"/>
      <c r="F52" s="10"/>
      <c r="G52" s="10"/>
      <c r="H52" s="10"/>
      <c r="I52" s="10"/>
      <c r="J52" s="10"/>
      <c r="K52" s="10"/>
      <c r="L52" s="10"/>
      <c r="M52" s="10"/>
      <c r="N52" s="10"/>
      <c r="O52" s="18" t="s">
        <v>127</v>
      </c>
      <c r="P52" s="18" t="s">
        <v>129</v>
      </c>
      <c r="Q52" s="9"/>
      <c r="R52" s="9"/>
      <c r="S52" s="9"/>
      <c r="T52" s="10"/>
      <c r="U52" s="10"/>
      <c r="V52" s="10"/>
      <c r="W52" s="10"/>
      <c r="X52" s="10"/>
      <c r="Y52" s="10"/>
      <c r="Z52" s="10"/>
      <c r="AA52" s="10"/>
      <c r="AB52" s="10"/>
    </row>
    <row r="53" ht="22.5" customHeight="1">
      <c r="A53" s="10"/>
      <c r="B53" s="10"/>
      <c r="C53" s="10"/>
      <c r="D53" s="10"/>
      <c r="E53" s="10"/>
      <c r="F53" s="10"/>
      <c r="G53" s="10"/>
      <c r="H53" s="10"/>
      <c r="I53" s="10"/>
      <c r="J53" s="10"/>
      <c r="K53" s="10"/>
      <c r="L53" s="10"/>
      <c r="M53" s="10"/>
      <c r="N53" s="10"/>
      <c r="O53" s="18" t="s">
        <v>127</v>
      </c>
      <c r="P53" s="18" t="s">
        <v>130</v>
      </c>
      <c r="Q53" s="9"/>
      <c r="R53" s="9"/>
      <c r="S53" s="9"/>
      <c r="T53" s="10"/>
      <c r="U53" s="10"/>
      <c r="V53" s="10"/>
      <c r="W53" s="10"/>
      <c r="X53" s="10"/>
      <c r="Y53" s="10"/>
      <c r="Z53" s="10"/>
      <c r="AA53" s="10"/>
      <c r="AB53" s="10"/>
    </row>
    <row r="54" ht="22.5" customHeight="1">
      <c r="A54" s="10"/>
      <c r="B54" s="10"/>
      <c r="C54" s="10"/>
      <c r="D54" s="10"/>
      <c r="E54" s="10"/>
      <c r="F54" s="10"/>
      <c r="G54" s="10"/>
      <c r="H54" s="10"/>
      <c r="I54" s="10"/>
      <c r="J54" s="10"/>
      <c r="K54" s="10"/>
      <c r="L54" s="10"/>
      <c r="M54" s="10"/>
      <c r="N54" s="10"/>
      <c r="O54" s="18" t="s">
        <v>127</v>
      </c>
      <c r="P54" s="18" t="s">
        <v>131</v>
      </c>
      <c r="Q54" s="9"/>
      <c r="R54" s="9"/>
      <c r="S54" s="9"/>
      <c r="T54" s="10"/>
      <c r="U54" s="10"/>
      <c r="V54" s="10"/>
      <c r="W54" s="10"/>
      <c r="X54" s="10"/>
      <c r="Y54" s="10"/>
      <c r="Z54" s="10"/>
      <c r="AA54" s="10"/>
      <c r="AB54" s="10"/>
    </row>
    <row r="55" ht="22.5" customHeight="1">
      <c r="A55" s="10"/>
      <c r="B55" s="10"/>
      <c r="C55" s="10"/>
      <c r="D55" s="10"/>
      <c r="E55" s="10"/>
      <c r="F55" s="10"/>
      <c r="G55" s="10"/>
      <c r="H55" s="10"/>
      <c r="I55" s="10"/>
      <c r="J55" s="10"/>
      <c r="K55" s="10"/>
      <c r="L55" s="10"/>
      <c r="M55" s="10"/>
      <c r="N55" s="10"/>
      <c r="O55" s="18" t="s">
        <v>127</v>
      </c>
      <c r="P55" s="18" t="s">
        <v>132</v>
      </c>
      <c r="Q55" s="9"/>
      <c r="R55" s="9"/>
      <c r="S55" s="9"/>
      <c r="T55" s="10"/>
      <c r="U55" s="10"/>
      <c r="V55" s="10"/>
      <c r="W55" s="10"/>
      <c r="X55" s="10"/>
      <c r="Y55" s="10"/>
      <c r="Z55" s="10"/>
      <c r="AA55" s="10"/>
      <c r="AB55" s="10"/>
    </row>
    <row r="56" ht="22.5" customHeight="1">
      <c r="A56" s="10"/>
      <c r="B56" s="10"/>
      <c r="C56" s="10"/>
      <c r="D56" s="10"/>
      <c r="E56" s="10"/>
      <c r="F56" s="10"/>
      <c r="G56" s="10"/>
      <c r="H56" s="10"/>
      <c r="I56" s="10"/>
      <c r="J56" s="10"/>
      <c r="K56" s="10"/>
      <c r="L56" s="10"/>
      <c r="M56" s="10"/>
      <c r="N56" s="10"/>
      <c r="O56" s="18" t="s">
        <v>127</v>
      </c>
      <c r="P56" s="18" t="s">
        <v>133</v>
      </c>
      <c r="Q56" s="9"/>
      <c r="R56" s="9"/>
      <c r="S56" s="9"/>
      <c r="T56" s="10"/>
      <c r="U56" s="10"/>
      <c r="V56" s="10"/>
      <c r="W56" s="10"/>
      <c r="X56" s="10"/>
      <c r="Y56" s="10"/>
      <c r="Z56" s="10"/>
      <c r="AA56" s="10"/>
      <c r="AB56" s="10"/>
    </row>
    <row r="57" ht="22.5" customHeight="1">
      <c r="A57" s="10"/>
      <c r="B57" s="10"/>
      <c r="C57" s="10"/>
      <c r="D57" s="10"/>
      <c r="E57" s="10"/>
      <c r="F57" s="10"/>
      <c r="G57" s="10"/>
      <c r="H57" s="10"/>
      <c r="I57" s="10"/>
      <c r="J57" s="10"/>
      <c r="K57" s="10"/>
      <c r="L57" s="10"/>
      <c r="M57" s="10"/>
      <c r="N57" s="10"/>
      <c r="O57" s="18" t="s">
        <v>127</v>
      </c>
      <c r="P57" s="18" t="s">
        <v>134</v>
      </c>
      <c r="Q57" s="9"/>
      <c r="R57" s="9"/>
      <c r="S57" s="9"/>
      <c r="T57" s="10"/>
      <c r="U57" s="10"/>
      <c r="V57" s="10"/>
      <c r="W57" s="10"/>
      <c r="X57" s="10"/>
      <c r="Y57" s="10"/>
      <c r="Z57" s="10"/>
      <c r="AA57" s="10"/>
      <c r="AB57" s="10"/>
    </row>
    <row r="58" ht="22.5" customHeight="1">
      <c r="A58" s="10"/>
      <c r="B58" s="10"/>
      <c r="C58" s="10"/>
      <c r="D58" s="10"/>
      <c r="E58" s="10"/>
      <c r="F58" s="10"/>
      <c r="G58" s="10"/>
      <c r="H58" s="10"/>
      <c r="I58" s="10"/>
      <c r="J58" s="10"/>
      <c r="K58" s="10"/>
      <c r="L58" s="10"/>
      <c r="M58" s="10"/>
      <c r="N58" s="10"/>
      <c r="O58" s="18" t="s">
        <v>127</v>
      </c>
      <c r="P58" s="18" t="s">
        <v>135</v>
      </c>
      <c r="Q58" s="9"/>
      <c r="R58" s="9"/>
      <c r="S58" s="9"/>
      <c r="T58" s="10"/>
      <c r="U58" s="10"/>
      <c r="V58" s="10"/>
      <c r="W58" s="10"/>
      <c r="X58" s="10"/>
      <c r="Y58" s="10"/>
      <c r="Z58" s="10"/>
      <c r="AA58" s="10"/>
      <c r="AB58" s="10"/>
    </row>
    <row r="59" ht="22.5" customHeight="1">
      <c r="A59" s="10"/>
      <c r="B59" s="10"/>
      <c r="C59" s="10"/>
      <c r="D59" s="10"/>
      <c r="E59" s="10"/>
      <c r="F59" s="10"/>
      <c r="G59" s="10"/>
      <c r="H59" s="10"/>
      <c r="I59" s="10"/>
      <c r="J59" s="10"/>
      <c r="K59" s="10"/>
      <c r="L59" s="10"/>
      <c r="M59" s="10"/>
      <c r="N59" s="10"/>
      <c r="O59" s="18" t="s">
        <v>127</v>
      </c>
      <c r="P59" s="18" t="s">
        <v>136</v>
      </c>
      <c r="Q59" s="9"/>
      <c r="R59" s="9"/>
      <c r="S59" s="9"/>
      <c r="T59" s="10"/>
      <c r="U59" s="10"/>
      <c r="V59" s="10"/>
      <c r="W59" s="10"/>
      <c r="X59" s="10"/>
      <c r="Y59" s="10"/>
      <c r="Z59" s="10"/>
      <c r="AA59" s="10"/>
      <c r="AB59" s="10"/>
    </row>
    <row r="60" ht="22.5" customHeight="1">
      <c r="A60" s="10"/>
      <c r="B60" s="10"/>
      <c r="C60" s="10"/>
      <c r="D60" s="10"/>
      <c r="E60" s="10"/>
      <c r="F60" s="10"/>
      <c r="G60" s="10"/>
      <c r="H60" s="10"/>
      <c r="I60" s="10"/>
      <c r="J60" s="10"/>
      <c r="K60" s="10"/>
      <c r="L60" s="10"/>
      <c r="M60" s="10"/>
      <c r="N60" s="10"/>
      <c r="O60" s="18" t="s">
        <v>127</v>
      </c>
      <c r="P60" s="18" t="s">
        <v>137</v>
      </c>
      <c r="Q60" s="9"/>
      <c r="R60" s="9"/>
      <c r="S60" s="9"/>
      <c r="T60" s="10"/>
      <c r="U60" s="10"/>
      <c r="V60" s="10"/>
      <c r="W60" s="10"/>
      <c r="X60" s="10"/>
      <c r="Y60" s="10"/>
      <c r="Z60" s="10"/>
      <c r="AA60" s="10"/>
      <c r="AB60" s="10"/>
    </row>
    <row r="61" ht="22.5" customHeight="1">
      <c r="A61" s="10"/>
      <c r="B61" s="10"/>
      <c r="C61" s="10"/>
      <c r="D61" s="10"/>
      <c r="E61" s="10"/>
      <c r="F61" s="10"/>
      <c r="G61" s="10"/>
      <c r="H61" s="10"/>
      <c r="I61" s="10"/>
      <c r="J61" s="10"/>
      <c r="K61" s="10"/>
      <c r="L61" s="10"/>
      <c r="M61" s="10"/>
      <c r="N61" s="10"/>
      <c r="O61" s="18" t="s">
        <v>127</v>
      </c>
      <c r="P61" s="18" t="s">
        <v>138</v>
      </c>
      <c r="Q61" s="9"/>
      <c r="R61" s="9"/>
      <c r="S61" s="9"/>
      <c r="T61" s="10"/>
      <c r="U61" s="10"/>
      <c r="V61" s="10"/>
      <c r="W61" s="10"/>
      <c r="X61" s="10"/>
      <c r="Y61" s="10"/>
      <c r="Z61" s="10"/>
      <c r="AA61" s="10"/>
      <c r="AB61" s="10"/>
    </row>
    <row r="62" ht="22.5" customHeight="1">
      <c r="A62" s="10"/>
      <c r="B62" s="10"/>
      <c r="C62" s="10"/>
      <c r="D62" s="10"/>
      <c r="E62" s="10"/>
      <c r="F62" s="10"/>
      <c r="G62" s="10"/>
      <c r="H62" s="10"/>
      <c r="I62" s="10"/>
      <c r="J62" s="10"/>
      <c r="K62" s="10"/>
      <c r="L62" s="10"/>
      <c r="M62" s="10"/>
      <c r="N62" s="10"/>
      <c r="O62" s="18" t="s">
        <v>127</v>
      </c>
      <c r="P62" s="18" t="s">
        <v>139</v>
      </c>
      <c r="Q62" s="9"/>
      <c r="R62" s="9"/>
      <c r="S62" s="9"/>
      <c r="T62" s="10"/>
      <c r="U62" s="10"/>
      <c r="V62" s="10"/>
      <c r="W62" s="10"/>
      <c r="X62" s="10"/>
      <c r="Y62" s="10"/>
      <c r="Z62" s="10"/>
      <c r="AA62" s="10"/>
      <c r="AB62" s="10"/>
    </row>
    <row r="63" ht="22.5" customHeight="1">
      <c r="A63" s="10"/>
      <c r="B63" s="10"/>
      <c r="C63" s="10"/>
      <c r="D63" s="10"/>
      <c r="E63" s="10"/>
      <c r="F63" s="10"/>
      <c r="G63" s="10"/>
      <c r="H63" s="10"/>
      <c r="I63" s="10"/>
      <c r="J63" s="10"/>
      <c r="K63" s="10"/>
      <c r="L63" s="10"/>
      <c r="M63" s="10"/>
      <c r="N63" s="10"/>
      <c r="O63" s="18" t="s">
        <v>127</v>
      </c>
      <c r="P63" s="18" t="s">
        <v>140</v>
      </c>
      <c r="Q63" s="9"/>
      <c r="R63" s="9"/>
      <c r="S63" s="9"/>
      <c r="T63" s="10"/>
      <c r="U63" s="10"/>
      <c r="V63" s="10"/>
      <c r="W63" s="10"/>
      <c r="X63" s="10"/>
      <c r="Y63" s="10"/>
      <c r="Z63" s="10"/>
      <c r="AA63" s="10"/>
      <c r="AB63" s="10"/>
    </row>
    <row r="64" ht="22.5" customHeight="1">
      <c r="A64" s="10"/>
      <c r="B64" s="10"/>
      <c r="C64" s="10"/>
      <c r="D64" s="10"/>
      <c r="E64" s="10"/>
      <c r="F64" s="10"/>
      <c r="G64" s="10"/>
      <c r="H64" s="10"/>
      <c r="I64" s="10"/>
      <c r="J64" s="10"/>
      <c r="K64" s="10"/>
      <c r="L64" s="10"/>
      <c r="M64" s="10"/>
      <c r="N64" s="10"/>
      <c r="O64" s="18" t="s">
        <v>141</v>
      </c>
      <c r="P64" s="18" t="s">
        <v>142</v>
      </c>
      <c r="Q64" s="9"/>
      <c r="R64" s="9"/>
      <c r="S64" s="9"/>
      <c r="T64" s="10"/>
      <c r="U64" s="10"/>
      <c r="V64" s="10"/>
      <c r="W64" s="10"/>
      <c r="X64" s="10"/>
      <c r="Y64" s="10"/>
      <c r="Z64" s="10"/>
      <c r="AA64" s="10"/>
      <c r="AB64" s="10"/>
    </row>
    <row r="65" ht="22.5" customHeight="1">
      <c r="A65" s="10"/>
      <c r="B65" s="10"/>
      <c r="C65" s="10"/>
      <c r="D65" s="10"/>
      <c r="E65" s="10"/>
      <c r="F65" s="10"/>
      <c r="G65" s="10"/>
      <c r="H65" s="10"/>
      <c r="I65" s="10"/>
      <c r="J65" s="10"/>
      <c r="K65" s="10"/>
      <c r="L65" s="10"/>
      <c r="M65" s="10"/>
      <c r="N65" s="10"/>
      <c r="O65" s="18" t="s">
        <v>143</v>
      </c>
      <c r="P65" s="18" t="s">
        <v>144</v>
      </c>
      <c r="Q65" s="9"/>
      <c r="R65" s="9"/>
      <c r="S65" s="9"/>
      <c r="T65" s="10"/>
      <c r="U65" s="10"/>
      <c r="V65" s="10"/>
      <c r="W65" s="10"/>
      <c r="X65" s="10"/>
      <c r="Y65" s="10"/>
      <c r="Z65" s="10"/>
      <c r="AA65" s="10"/>
      <c r="AB65" s="10"/>
    </row>
    <row r="66" ht="22.5" customHeight="1">
      <c r="A66" s="10"/>
      <c r="B66" s="10"/>
      <c r="C66" s="10"/>
      <c r="D66" s="10"/>
      <c r="E66" s="10"/>
      <c r="F66" s="10"/>
      <c r="G66" s="10"/>
      <c r="H66" s="10"/>
      <c r="I66" s="10"/>
      <c r="J66" s="10"/>
      <c r="K66" s="10"/>
      <c r="L66" s="10"/>
      <c r="M66" s="10"/>
      <c r="N66" s="10"/>
      <c r="O66" s="18" t="s">
        <v>143</v>
      </c>
      <c r="P66" s="18" t="s">
        <v>145</v>
      </c>
      <c r="Q66" s="9"/>
      <c r="R66" s="9"/>
      <c r="S66" s="9"/>
      <c r="T66" s="10"/>
      <c r="U66" s="10"/>
      <c r="V66" s="10"/>
      <c r="W66" s="10"/>
      <c r="X66" s="10"/>
      <c r="Y66" s="10"/>
      <c r="Z66" s="10"/>
      <c r="AA66" s="10"/>
      <c r="AB66" s="10"/>
    </row>
    <row r="67" ht="22.5" customHeight="1">
      <c r="A67" s="10"/>
      <c r="B67" s="10"/>
      <c r="C67" s="10"/>
      <c r="D67" s="10"/>
      <c r="E67" s="10"/>
      <c r="F67" s="10"/>
      <c r="G67" s="10"/>
      <c r="H67" s="10"/>
      <c r="I67" s="10"/>
      <c r="J67" s="10"/>
      <c r="K67" s="10"/>
      <c r="L67" s="10"/>
      <c r="M67" s="10"/>
      <c r="N67" s="10"/>
      <c r="O67" s="18" t="s">
        <v>143</v>
      </c>
      <c r="P67" s="18" t="s">
        <v>146</v>
      </c>
      <c r="Q67" s="9"/>
      <c r="R67" s="9"/>
      <c r="S67" s="9"/>
      <c r="T67" s="10"/>
      <c r="U67" s="10"/>
      <c r="V67" s="10"/>
      <c r="W67" s="10"/>
      <c r="X67" s="10"/>
      <c r="Y67" s="10"/>
      <c r="Z67" s="10"/>
      <c r="AA67" s="10"/>
      <c r="AB67" s="10"/>
    </row>
    <row r="68" ht="22.5" customHeight="1">
      <c r="A68" s="10"/>
      <c r="B68" s="10"/>
      <c r="C68" s="10"/>
      <c r="D68" s="10"/>
      <c r="E68" s="10"/>
      <c r="F68" s="10"/>
      <c r="G68" s="10"/>
      <c r="H68" s="10"/>
      <c r="I68" s="10"/>
      <c r="J68" s="10"/>
      <c r="K68" s="10"/>
      <c r="L68" s="10"/>
      <c r="M68" s="10"/>
      <c r="N68" s="10"/>
      <c r="O68" s="18" t="s">
        <v>147</v>
      </c>
      <c r="P68" s="18" t="s">
        <v>148</v>
      </c>
      <c r="Q68" s="9"/>
      <c r="R68" s="9"/>
      <c r="S68" s="9"/>
      <c r="T68" s="10"/>
      <c r="U68" s="10"/>
      <c r="V68" s="10"/>
      <c r="W68" s="10"/>
      <c r="X68" s="10"/>
      <c r="Y68" s="10"/>
      <c r="Z68" s="10"/>
      <c r="AA68" s="10"/>
      <c r="AB68" s="10"/>
    </row>
    <row r="69" ht="22.5" customHeight="1">
      <c r="A69" s="10"/>
      <c r="B69" s="10"/>
      <c r="C69" s="10"/>
      <c r="D69" s="10"/>
      <c r="E69" s="10"/>
      <c r="F69" s="10"/>
      <c r="G69" s="10"/>
      <c r="H69" s="10"/>
      <c r="I69" s="10"/>
      <c r="J69" s="10"/>
      <c r="K69" s="10"/>
      <c r="L69" s="10"/>
      <c r="M69" s="10"/>
      <c r="N69" s="10"/>
      <c r="O69" s="18" t="s">
        <v>149</v>
      </c>
      <c r="P69" s="18" t="s">
        <v>150</v>
      </c>
      <c r="Q69" s="9"/>
      <c r="R69" s="9"/>
      <c r="S69" s="9"/>
      <c r="T69" s="10"/>
      <c r="U69" s="10"/>
      <c r="V69" s="10"/>
      <c r="W69" s="10"/>
      <c r="X69" s="10"/>
      <c r="Y69" s="10"/>
      <c r="Z69" s="10"/>
      <c r="AA69" s="10"/>
      <c r="AB69" s="10"/>
    </row>
    <row r="70" ht="22.5" customHeight="1">
      <c r="A70" s="10"/>
      <c r="B70" s="10"/>
      <c r="C70" s="10"/>
      <c r="D70" s="10"/>
      <c r="E70" s="10"/>
      <c r="F70" s="10"/>
      <c r="G70" s="10"/>
      <c r="H70" s="10"/>
      <c r="I70" s="10"/>
      <c r="J70" s="10"/>
      <c r="K70" s="10"/>
      <c r="L70" s="10"/>
      <c r="M70" s="10"/>
      <c r="N70" s="10"/>
      <c r="O70" s="18" t="s">
        <v>149</v>
      </c>
      <c r="P70" s="18" t="s">
        <v>151</v>
      </c>
      <c r="Q70" s="9"/>
      <c r="R70" s="9"/>
      <c r="S70" s="9"/>
      <c r="T70" s="10"/>
      <c r="U70" s="10"/>
      <c r="V70" s="10"/>
      <c r="W70" s="10"/>
      <c r="X70" s="10"/>
      <c r="Y70" s="10"/>
      <c r="Z70" s="10"/>
      <c r="AA70" s="10"/>
      <c r="AB70" s="10"/>
    </row>
    <row r="71" ht="22.5" customHeight="1">
      <c r="A71" s="10"/>
      <c r="B71" s="10"/>
      <c r="C71" s="10"/>
      <c r="D71" s="10"/>
      <c r="E71" s="10"/>
      <c r="F71" s="10"/>
      <c r="G71" s="10"/>
      <c r="H71" s="10"/>
      <c r="I71" s="10"/>
      <c r="J71" s="10"/>
      <c r="K71" s="10"/>
      <c r="L71" s="10"/>
      <c r="M71" s="10"/>
      <c r="N71" s="10"/>
      <c r="O71" s="18" t="s">
        <v>149</v>
      </c>
      <c r="P71" s="18" t="s">
        <v>152</v>
      </c>
      <c r="Q71" s="9"/>
      <c r="R71" s="9"/>
      <c r="S71" s="9"/>
      <c r="T71" s="10"/>
      <c r="U71" s="10"/>
      <c r="V71" s="10"/>
      <c r="W71" s="10"/>
      <c r="X71" s="10"/>
      <c r="Y71" s="10"/>
      <c r="Z71" s="10"/>
      <c r="AA71" s="10"/>
      <c r="AB71" s="10"/>
    </row>
    <row r="72" ht="22.5" customHeight="1">
      <c r="A72" s="10"/>
      <c r="B72" s="10"/>
      <c r="C72" s="10"/>
      <c r="D72" s="10"/>
      <c r="E72" s="10"/>
      <c r="F72" s="10"/>
      <c r="G72" s="10"/>
      <c r="H72" s="10"/>
      <c r="I72" s="10"/>
      <c r="J72" s="10"/>
      <c r="K72" s="10"/>
      <c r="L72" s="10"/>
      <c r="M72" s="10"/>
      <c r="N72" s="10"/>
      <c r="O72" s="18" t="s">
        <v>149</v>
      </c>
      <c r="P72" s="18" t="s">
        <v>153</v>
      </c>
      <c r="Q72" s="9"/>
      <c r="R72" s="9"/>
      <c r="S72" s="9"/>
      <c r="T72" s="10"/>
      <c r="U72" s="10"/>
      <c r="V72" s="10"/>
      <c r="W72" s="10"/>
      <c r="X72" s="10"/>
      <c r="Y72" s="10"/>
      <c r="Z72" s="10"/>
      <c r="AA72" s="10"/>
      <c r="AB72" s="10"/>
    </row>
    <row r="73" ht="22.5" customHeight="1">
      <c r="A73" s="10"/>
      <c r="B73" s="10"/>
      <c r="C73" s="10"/>
      <c r="D73" s="10"/>
      <c r="E73" s="10"/>
      <c r="F73" s="10"/>
      <c r="G73" s="10"/>
      <c r="H73" s="10"/>
      <c r="I73" s="10"/>
      <c r="J73" s="10"/>
      <c r="K73" s="10"/>
      <c r="L73" s="10"/>
      <c r="M73" s="10"/>
      <c r="N73" s="10"/>
      <c r="O73" s="18" t="s">
        <v>149</v>
      </c>
      <c r="P73" s="18" t="s">
        <v>154</v>
      </c>
      <c r="Q73" s="9"/>
      <c r="R73" s="9"/>
      <c r="S73" s="9"/>
      <c r="T73" s="10"/>
      <c r="U73" s="10"/>
      <c r="V73" s="10"/>
      <c r="W73" s="10"/>
      <c r="X73" s="10"/>
      <c r="Y73" s="10"/>
      <c r="Z73" s="10"/>
      <c r="AA73" s="10"/>
      <c r="AB73" s="10"/>
    </row>
    <row r="74" ht="22.5" customHeight="1">
      <c r="A74" s="10"/>
      <c r="B74" s="10"/>
      <c r="C74" s="10"/>
      <c r="D74" s="10"/>
      <c r="E74" s="10"/>
      <c r="F74" s="10"/>
      <c r="G74" s="10"/>
      <c r="H74" s="10"/>
      <c r="I74" s="10"/>
      <c r="J74" s="10"/>
      <c r="K74" s="10"/>
      <c r="L74" s="10"/>
      <c r="M74" s="10"/>
      <c r="N74" s="10"/>
      <c r="O74" s="18" t="s">
        <v>149</v>
      </c>
      <c r="P74" s="18" t="s">
        <v>155</v>
      </c>
      <c r="Q74" s="9"/>
      <c r="R74" s="9"/>
      <c r="S74" s="9"/>
      <c r="T74" s="10"/>
      <c r="U74" s="10"/>
      <c r="V74" s="10"/>
      <c r="W74" s="10"/>
      <c r="X74" s="10"/>
      <c r="Y74" s="10"/>
      <c r="Z74" s="10"/>
      <c r="AA74" s="10"/>
      <c r="AB74" s="10"/>
    </row>
    <row r="75" ht="22.5" customHeight="1">
      <c r="A75" s="10"/>
      <c r="B75" s="10"/>
      <c r="C75" s="10"/>
      <c r="D75" s="10"/>
      <c r="E75" s="10"/>
      <c r="F75" s="10"/>
      <c r="G75" s="10"/>
      <c r="H75" s="10"/>
      <c r="I75" s="10"/>
      <c r="J75" s="10"/>
      <c r="K75" s="10"/>
      <c r="L75" s="10"/>
      <c r="M75" s="10"/>
      <c r="N75" s="10"/>
      <c r="O75" s="18" t="s">
        <v>149</v>
      </c>
      <c r="P75" s="18" t="s">
        <v>156</v>
      </c>
      <c r="Q75" s="9"/>
      <c r="R75" s="9"/>
      <c r="S75" s="9"/>
      <c r="T75" s="10"/>
      <c r="U75" s="10"/>
      <c r="V75" s="10"/>
      <c r="W75" s="10"/>
      <c r="X75" s="10"/>
      <c r="Y75" s="10"/>
      <c r="Z75" s="10"/>
      <c r="AA75" s="10"/>
      <c r="AB75" s="10"/>
    </row>
    <row r="76" ht="22.5" customHeight="1">
      <c r="A76" s="10"/>
      <c r="B76" s="10"/>
      <c r="C76" s="10"/>
      <c r="D76" s="10"/>
      <c r="E76" s="10"/>
      <c r="F76" s="10"/>
      <c r="G76" s="10"/>
      <c r="H76" s="10"/>
      <c r="I76" s="10"/>
      <c r="J76" s="10"/>
      <c r="K76" s="10"/>
      <c r="L76" s="10"/>
      <c r="M76" s="10"/>
      <c r="N76" s="10"/>
      <c r="O76" s="18" t="s">
        <v>149</v>
      </c>
      <c r="P76" s="18" t="s">
        <v>157</v>
      </c>
      <c r="Q76" s="9"/>
      <c r="R76" s="9"/>
      <c r="S76" s="9"/>
      <c r="T76" s="10"/>
      <c r="U76" s="10"/>
      <c r="V76" s="10"/>
      <c r="W76" s="10"/>
      <c r="X76" s="10"/>
      <c r="Y76" s="10"/>
      <c r="Z76" s="10"/>
      <c r="AA76" s="10"/>
      <c r="AB76" s="10"/>
    </row>
    <row r="77" ht="22.5" customHeight="1">
      <c r="A77" s="10"/>
      <c r="B77" s="10"/>
      <c r="C77" s="10"/>
      <c r="D77" s="10"/>
      <c r="E77" s="10"/>
      <c r="F77" s="10"/>
      <c r="G77" s="10"/>
      <c r="H77" s="10"/>
      <c r="I77" s="10"/>
      <c r="J77" s="10"/>
      <c r="K77" s="10"/>
      <c r="L77" s="10"/>
      <c r="M77" s="10"/>
      <c r="N77" s="10"/>
      <c r="O77" s="18" t="s">
        <v>149</v>
      </c>
      <c r="P77" s="18" t="s">
        <v>158</v>
      </c>
      <c r="Q77" s="9"/>
      <c r="R77" s="9"/>
      <c r="S77" s="9"/>
      <c r="T77" s="10"/>
      <c r="U77" s="10"/>
      <c r="V77" s="10"/>
      <c r="W77" s="10"/>
      <c r="X77" s="10"/>
      <c r="Y77" s="10"/>
      <c r="Z77" s="10"/>
      <c r="AA77" s="10"/>
      <c r="AB77" s="10"/>
    </row>
    <row r="78" ht="22.5" customHeight="1">
      <c r="A78" s="10"/>
      <c r="B78" s="10"/>
      <c r="C78" s="10"/>
      <c r="D78" s="10"/>
      <c r="E78" s="10"/>
      <c r="F78" s="10"/>
      <c r="G78" s="10"/>
      <c r="H78" s="10"/>
      <c r="I78" s="10"/>
      <c r="J78" s="10"/>
      <c r="K78" s="10"/>
      <c r="L78" s="10"/>
      <c r="M78" s="10"/>
      <c r="N78" s="10"/>
      <c r="O78" s="18" t="s">
        <v>159</v>
      </c>
      <c r="P78" s="18" t="s">
        <v>69</v>
      </c>
      <c r="Q78" s="9"/>
      <c r="R78" s="9">
        <v>9.0</v>
      </c>
      <c r="S78" s="9">
        <v>6.0</v>
      </c>
      <c r="T78" s="10"/>
      <c r="U78" s="10"/>
      <c r="V78" s="10"/>
      <c r="W78" s="10"/>
      <c r="X78" s="10"/>
      <c r="Y78" s="10"/>
      <c r="Z78" s="10"/>
      <c r="AA78" s="10"/>
      <c r="AB78" s="10"/>
    </row>
    <row r="79" ht="22.5" customHeight="1">
      <c r="A79" s="10"/>
      <c r="B79" s="10"/>
      <c r="C79" s="10"/>
      <c r="D79" s="10"/>
      <c r="E79" s="10"/>
      <c r="F79" s="10"/>
      <c r="G79" s="10"/>
      <c r="H79" s="10"/>
      <c r="I79" s="10"/>
      <c r="J79" s="10"/>
      <c r="K79" s="10"/>
      <c r="L79" s="10"/>
      <c r="M79" s="10"/>
      <c r="N79" s="10"/>
      <c r="O79" s="18" t="s">
        <v>159</v>
      </c>
      <c r="P79" s="18" t="s">
        <v>86</v>
      </c>
      <c r="Q79" s="9"/>
      <c r="R79" s="9">
        <v>5.5</v>
      </c>
      <c r="S79" s="9">
        <v>10.0</v>
      </c>
      <c r="T79" s="10"/>
      <c r="U79" s="10"/>
      <c r="V79" s="10"/>
      <c r="W79" s="10"/>
      <c r="X79" s="10"/>
      <c r="Y79" s="10"/>
      <c r="Z79" s="10"/>
      <c r="AA79" s="10"/>
      <c r="AB79" s="10"/>
    </row>
    <row r="80" ht="22.5" customHeight="1">
      <c r="A80" s="10"/>
      <c r="B80" s="10"/>
      <c r="C80" s="10"/>
      <c r="D80" s="10"/>
      <c r="E80" s="10"/>
      <c r="F80" s="10"/>
      <c r="G80" s="10"/>
      <c r="H80" s="10"/>
      <c r="I80" s="10"/>
      <c r="J80" s="10"/>
      <c r="K80" s="10"/>
      <c r="L80" s="10"/>
      <c r="M80" s="10"/>
      <c r="N80" s="10"/>
      <c r="O80" s="18" t="s">
        <v>159</v>
      </c>
      <c r="P80" s="18" t="s">
        <v>95</v>
      </c>
      <c r="Q80" s="9"/>
      <c r="R80" s="9">
        <v>9.0</v>
      </c>
      <c r="S80" s="9">
        <v>5.0</v>
      </c>
      <c r="T80" s="10"/>
      <c r="U80" s="10"/>
      <c r="V80" s="10"/>
      <c r="W80" s="10"/>
      <c r="X80" s="10"/>
      <c r="Y80" s="10"/>
      <c r="Z80" s="10"/>
      <c r="AA80" s="10"/>
      <c r="AB80" s="10"/>
    </row>
    <row r="81" ht="22.5" customHeight="1">
      <c r="A81" s="10"/>
      <c r="B81" s="10"/>
      <c r="C81" s="10"/>
      <c r="D81" s="10"/>
      <c r="E81" s="10"/>
      <c r="F81" s="10"/>
      <c r="G81" s="10"/>
      <c r="H81" s="10"/>
      <c r="I81" s="10"/>
      <c r="J81" s="10"/>
      <c r="K81" s="10"/>
      <c r="L81" s="10"/>
      <c r="M81" s="10"/>
      <c r="N81" s="10"/>
      <c r="O81" s="18" t="s">
        <v>159</v>
      </c>
      <c r="P81" s="18" t="s">
        <v>160</v>
      </c>
      <c r="Q81" s="9"/>
      <c r="R81" s="9">
        <v>9.0</v>
      </c>
      <c r="S81" s="9">
        <v>4.0</v>
      </c>
      <c r="T81" s="10"/>
      <c r="U81" s="10"/>
      <c r="V81" s="10"/>
      <c r="W81" s="10"/>
      <c r="X81" s="10"/>
      <c r="Y81" s="10"/>
      <c r="Z81" s="10"/>
      <c r="AA81" s="10"/>
      <c r="AB81" s="10"/>
    </row>
    <row r="82" ht="22.5" customHeight="1">
      <c r="A82" s="10"/>
      <c r="B82" s="10"/>
      <c r="C82" s="10"/>
      <c r="D82" s="10"/>
      <c r="E82" s="10"/>
      <c r="F82" s="10"/>
      <c r="G82" s="10"/>
      <c r="H82" s="10"/>
      <c r="I82" s="10"/>
      <c r="J82" s="10"/>
      <c r="K82" s="10"/>
      <c r="L82" s="10"/>
      <c r="M82" s="10"/>
      <c r="N82" s="10"/>
      <c r="O82" s="18" t="s">
        <v>159</v>
      </c>
      <c r="P82" s="18" t="s">
        <v>67</v>
      </c>
      <c r="Q82" s="9"/>
      <c r="R82" s="9">
        <v>13.0</v>
      </c>
      <c r="S82" s="9">
        <v>6.0</v>
      </c>
      <c r="T82" s="10"/>
      <c r="U82" s="10"/>
      <c r="V82" s="10"/>
      <c r="W82" s="10"/>
      <c r="X82" s="10"/>
      <c r="Y82" s="10"/>
      <c r="Z82" s="10"/>
      <c r="AA82" s="10"/>
      <c r="AB82" s="10"/>
    </row>
    <row r="83" ht="22.5" customHeight="1">
      <c r="A83" s="10"/>
      <c r="B83" s="10"/>
      <c r="C83" s="10"/>
      <c r="D83" s="10"/>
      <c r="E83" s="10"/>
      <c r="F83" s="10"/>
      <c r="G83" s="10"/>
      <c r="H83" s="10"/>
      <c r="I83" s="10"/>
      <c r="J83" s="10"/>
      <c r="K83" s="10"/>
      <c r="L83" s="10"/>
      <c r="M83" s="10"/>
      <c r="N83" s="10"/>
      <c r="O83" s="18" t="s">
        <v>159</v>
      </c>
      <c r="P83" s="18" t="s">
        <v>73</v>
      </c>
      <c r="Q83" s="9"/>
      <c r="R83" s="9">
        <v>9.0</v>
      </c>
      <c r="S83" s="9">
        <v>6.0</v>
      </c>
      <c r="T83" s="10"/>
      <c r="U83" s="10"/>
      <c r="V83" s="10"/>
      <c r="W83" s="10"/>
      <c r="X83" s="10"/>
      <c r="Y83" s="10"/>
      <c r="Z83" s="10"/>
      <c r="AA83" s="10"/>
      <c r="AB83" s="10"/>
    </row>
    <row r="84" ht="22.5" customHeight="1">
      <c r="A84" s="10"/>
      <c r="B84" s="10"/>
      <c r="C84" s="10"/>
      <c r="D84" s="10"/>
      <c r="E84" s="10"/>
      <c r="F84" s="10"/>
      <c r="G84" s="10"/>
      <c r="H84" s="10"/>
      <c r="I84" s="10"/>
      <c r="J84" s="10"/>
      <c r="K84" s="10"/>
      <c r="L84" s="10"/>
      <c r="M84" s="10"/>
      <c r="N84" s="10"/>
      <c r="O84" s="18" t="s">
        <v>161</v>
      </c>
      <c r="P84" s="18" t="s">
        <v>84</v>
      </c>
      <c r="Q84" s="9">
        <v>17.0</v>
      </c>
      <c r="R84" s="9">
        <v>30.0</v>
      </c>
      <c r="S84" s="9">
        <v>20.0</v>
      </c>
      <c r="T84" s="10"/>
      <c r="U84" s="10"/>
      <c r="V84" s="10"/>
      <c r="W84" s="10"/>
      <c r="X84" s="10"/>
      <c r="Y84" s="10"/>
      <c r="Z84" s="10"/>
      <c r="AA84" s="10"/>
      <c r="AB84" s="10"/>
    </row>
    <row r="85" ht="22.5" customHeight="1">
      <c r="A85" s="10"/>
      <c r="B85" s="10"/>
      <c r="C85" s="10"/>
      <c r="D85" s="10"/>
      <c r="E85" s="10"/>
      <c r="F85" s="10"/>
      <c r="G85" s="10"/>
      <c r="H85" s="10"/>
      <c r="I85" s="10"/>
      <c r="J85" s="10"/>
      <c r="K85" s="10"/>
      <c r="L85" s="10"/>
      <c r="M85" s="10"/>
      <c r="N85" s="10"/>
      <c r="O85" s="18" t="s">
        <v>161</v>
      </c>
      <c r="P85" s="18" t="s">
        <v>97</v>
      </c>
      <c r="Q85" s="9">
        <v>7.0</v>
      </c>
      <c r="R85" s="9">
        <v>24.0</v>
      </c>
      <c r="S85" s="9">
        <v>16.0</v>
      </c>
      <c r="T85" s="10"/>
      <c r="U85" s="10"/>
      <c r="V85" s="10"/>
      <c r="W85" s="10"/>
      <c r="X85" s="10"/>
      <c r="Y85" s="10"/>
      <c r="Z85" s="10"/>
      <c r="AA85" s="10"/>
      <c r="AB85" s="10"/>
    </row>
    <row r="86" ht="22.5" customHeight="1">
      <c r="A86" s="10"/>
      <c r="B86" s="10"/>
      <c r="C86" s="10"/>
      <c r="D86" s="10"/>
      <c r="E86" s="10"/>
      <c r="F86" s="10"/>
      <c r="G86" s="10"/>
      <c r="H86" s="10"/>
      <c r="I86" s="10"/>
      <c r="J86" s="10"/>
      <c r="K86" s="10"/>
      <c r="L86" s="10"/>
      <c r="M86" s="10"/>
      <c r="N86" s="10"/>
      <c r="O86" s="18" t="s">
        <v>161</v>
      </c>
      <c r="P86" s="18" t="s">
        <v>162</v>
      </c>
      <c r="Q86" s="9"/>
      <c r="R86" s="9"/>
      <c r="S86" s="9"/>
      <c r="T86" s="10"/>
      <c r="U86" s="10"/>
      <c r="V86" s="10"/>
      <c r="W86" s="10"/>
      <c r="X86" s="10"/>
      <c r="Y86" s="10"/>
      <c r="Z86" s="10"/>
      <c r="AA86" s="10"/>
      <c r="AB86" s="10"/>
    </row>
    <row r="87" ht="22.5" customHeight="1">
      <c r="A87" s="10"/>
      <c r="B87" s="10"/>
      <c r="C87" s="10"/>
      <c r="D87" s="10"/>
      <c r="E87" s="10"/>
      <c r="F87" s="10"/>
      <c r="G87" s="10"/>
      <c r="H87" s="10"/>
      <c r="I87" s="10"/>
      <c r="J87" s="10"/>
      <c r="K87" s="10"/>
      <c r="L87" s="10"/>
      <c r="M87" s="10"/>
      <c r="N87" s="10"/>
      <c r="O87" s="18" t="s">
        <v>161</v>
      </c>
      <c r="P87" s="18" t="s">
        <v>163</v>
      </c>
      <c r="Q87" s="9"/>
      <c r="R87" s="9"/>
      <c r="S87" s="9"/>
      <c r="T87" s="10"/>
      <c r="U87" s="10"/>
      <c r="V87" s="10"/>
      <c r="W87" s="10"/>
      <c r="X87" s="10"/>
      <c r="Y87" s="10"/>
      <c r="Z87" s="10"/>
      <c r="AA87" s="10"/>
      <c r="AB87" s="10"/>
    </row>
    <row r="88" ht="22.5" customHeight="1">
      <c r="A88" s="10"/>
      <c r="B88" s="10"/>
      <c r="C88" s="10"/>
      <c r="D88" s="10"/>
      <c r="E88" s="10"/>
      <c r="F88" s="10"/>
      <c r="G88" s="10"/>
      <c r="H88" s="10"/>
      <c r="I88" s="10"/>
      <c r="J88" s="10"/>
      <c r="K88" s="10"/>
      <c r="L88" s="10"/>
      <c r="M88" s="10"/>
      <c r="N88" s="10"/>
      <c r="O88" s="18" t="s">
        <v>161</v>
      </c>
      <c r="P88" s="18" t="s">
        <v>164</v>
      </c>
      <c r="Q88" s="9"/>
      <c r="R88" s="9"/>
      <c r="S88" s="9"/>
      <c r="T88" s="10"/>
      <c r="U88" s="10"/>
      <c r="V88" s="10"/>
      <c r="W88" s="10"/>
      <c r="X88" s="10"/>
      <c r="Y88" s="10"/>
      <c r="Z88" s="10"/>
      <c r="AA88" s="10"/>
      <c r="AB88" s="10"/>
    </row>
    <row r="89" ht="22.5" customHeight="1">
      <c r="A89" s="10"/>
      <c r="B89" s="10"/>
      <c r="C89" s="10"/>
      <c r="D89" s="10"/>
      <c r="E89" s="10"/>
      <c r="F89" s="10"/>
      <c r="G89" s="10"/>
      <c r="H89" s="10"/>
      <c r="I89" s="10"/>
      <c r="J89" s="10"/>
      <c r="K89" s="10"/>
      <c r="L89" s="10"/>
      <c r="M89" s="10"/>
      <c r="N89" s="10"/>
      <c r="O89" s="18" t="s">
        <v>165</v>
      </c>
      <c r="P89" s="18" t="s">
        <v>61</v>
      </c>
      <c r="Q89" s="9"/>
      <c r="R89" s="9">
        <v>18.0</v>
      </c>
      <c r="S89" s="9">
        <v>8.0</v>
      </c>
      <c r="T89" s="10"/>
      <c r="U89" s="10"/>
      <c r="V89" s="10"/>
      <c r="W89" s="10"/>
      <c r="X89" s="10"/>
      <c r="Y89" s="10"/>
      <c r="Z89" s="10"/>
      <c r="AA89" s="10"/>
      <c r="AB89" s="10"/>
    </row>
    <row r="90" ht="22.5" customHeight="1">
      <c r="A90" s="10"/>
      <c r="B90" s="10"/>
      <c r="C90" s="10"/>
      <c r="D90" s="10"/>
      <c r="E90" s="10"/>
      <c r="F90" s="10"/>
      <c r="G90" s="10"/>
      <c r="H90" s="10"/>
      <c r="I90" s="10"/>
      <c r="J90" s="10"/>
      <c r="K90" s="10"/>
      <c r="L90" s="10"/>
      <c r="M90" s="10"/>
      <c r="N90" s="10"/>
      <c r="O90" s="18" t="s">
        <v>165</v>
      </c>
      <c r="P90" s="18" t="s">
        <v>65</v>
      </c>
      <c r="Q90" s="9"/>
      <c r="R90" s="9">
        <v>13.0</v>
      </c>
      <c r="S90" s="9">
        <v>7.0</v>
      </c>
      <c r="T90" s="10"/>
      <c r="U90" s="10"/>
      <c r="V90" s="10"/>
      <c r="W90" s="10"/>
      <c r="X90" s="10"/>
      <c r="Y90" s="10"/>
      <c r="Z90" s="10"/>
      <c r="AA90" s="10"/>
      <c r="AB90" s="10"/>
    </row>
    <row r="91" ht="22.5" customHeight="1">
      <c r="A91" s="10"/>
      <c r="B91" s="10"/>
      <c r="C91" s="10"/>
      <c r="D91" s="10"/>
      <c r="E91" s="10"/>
      <c r="F91" s="10"/>
      <c r="G91" s="10"/>
      <c r="H91" s="10"/>
      <c r="I91" s="10"/>
      <c r="J91" s="10"/>
      <c r="K91" s="10"/>
      <c r="L91" s="10"/>
      <c r="M91" s="10"/>
      <c r="N91" s="10"/>
      <c r="O91" s="18" t="s">
        <v>165</v>
      </c>
      <c r="P91" s="18" t="s">
        <v>92</v>
      </c>
      <c r="Q91" s="9"/>
      <c r="R91" s="9">
        <v>10.5</v>
      </c>
      <c r="S91" s="9">
        <v>7.0</v>
      </c>
      <c r="T91" s="10"/>
      <c r="U91" s="10"/>
      <c r="V91" s="10"/>
      <c r="W91" s="10"/>
      <c r="X91" s="10"/>
      <c r="Y91" s="10"/>
      <c r="Z91" s="10"/>
      <c r="AA91" s="10"/>
      <c r="AB91" s="10"/>
    </row>
    <row r="92" ht="22.5" customHeight="1">
      <c r="A92" s="10"/>
      <c r="B92" s="10"/>
      <c r="C92" s="10"/>
      <c r="D92" s="10"/>
      <c r="E92" s="10"/>
      <c r="F92" s="10"/>
      <c r="G92" s="10"/>
      <c r="H92" s="10"/>
      <c r="I92" s="10"/>
      <c r="J92" s="10"/>
      <c r="K92" s="10"/>
      <c r="L92" s="10"/>
      <c r="M92" s="10"/>
      <c r="N92" s="10"/>
      <c r="O92" s="18" t="s">
        <v>165</v>
      </c>
      <c r="P92" s="18" t="s">
        <v>166</v>
      </c>
      <c r="Q92" s="9"/>
      <c r="R92" s="9">
        <v>4.0</v>
      </c>
      <c r="S92" s="9">
        <v>10.0</v>
      </c>
      <c r="T92" s="10"/>
      <c r="U92" s="10"/>
      <c r="V92" s="10"/>
      <c r="W92" s="10"/>
      <c r="X92" s="10"/>
      <c r="Y92" s="10"/>
      <c r="Z92" s="10"/>
      <c r="AA92" s="10"/>
      <c r="AB92" s="10"/>
    </row>
    <row r="93" ht="22.5" customHeight="1">
      <c r="A93" s="10"/>
      <c r="B93" s="10"/>
      <c r="C93" s="10"/>
      <c r="D93" s="10"/>
      <c r="E93" s="10"/>
      <c r="F93" s="10"/>
      <c r="G93" s="10"/>
      <c r="H93" s="10"/>
      <c r="I93" s="10"/>
      <c r="J93" s="10"/>
      <c r="K93" s="10"/>
      <c r="L93" s="10"/>
      <c r="M93" s="10"/>
      <c r="N93" s="10"/>
      <c r="O93" s="18" t="s">
        <v>165</v>
      </c>
      <c r="P93" s="18" t="s">
        <v>99</v>
      </c>
      <c r="Q93" s="9"/>
      <c r="R93" s="9">
        <v>6.5</v>
      </c>
      <c r="S93" s="9">
        <v>7.0</v>
      </c>
      <c r="T93" s="10"/>
      <c r="U93" s="10"/>
      <c r="V93" s="10"/>
      <c r="W93" s="10"/>
      <c r="X93" s="10"/>
      <c r="Y93" s="10"/>
      <c r="Z93" s="10"/>
      <c r="AA93" s="10"/>
      <c r="AB93" s="10"/>
    </row>
    <row r="94" ht="22.5" customHeight="1">
      <c r="A94" s="10"/>
      <c r="B94" s="10"/>
      <c r="C94" s="10"/>
      <c r="D94" s="10"/>
      <c r="E94" s="10"/>
      <c r="F94" s="10"/>
      <c r="G94" s="10"/>
      <c r="H94" s="10"/>
      <c r="I94" s="10"/>
      <c r="J94" s="10"/>
      <c r="K94" s="10"/>
      <c r="L94" s="10"/>
      <c r="M94" s="10"/>
      <c r="N94" s="10"/>
      <c r="O94" s="18" t="s">
        <v>167</v>
      </c>
      <c r="P94" s="18" t="s">
        <v>60</v>
      </c>
      <c r="Q94" s="9">
        <v>60.0</v>
      </c>
      <c r="R94" s="9"/>
      <c r="S94" s="9"/>
      <c r="T94" s="10"/>
      <c r="U94" s="10"/>
      <c r="V94" s="10"/>
      <c r="W94" s="10"/>
      <c r="X94" s="10"/>
      <c r="Y94" s="10"/>
      <c r="Z94" s="10"/>
      <c r="AA94" s="10"/>
      <c r="AB94" s="10"/>
    </row>
    <row r="95" ht="22.5" customHeight="1">
      <c r="A95" s="10"/>
      <c r="B95" s="10"/>
      <c r="C95" s="10"/>
      <c r="D95" s="10"/>
      <c r="E95" s="10"/>
      <c r="F95" s="10"/>
      <c r="G95" s="10"/>
      <c r="H95" s="10"/>
      <c r="I95" s="10"/>
      <c r="J95" s="10"/>
      <c r="K95" s="10"/>
      <c r="L95" s="10"/>
      <c r="M95" s="10"/>
      <c r="N95" s="10"/>
      <c r="O95" s="18" t="s">
        <v>167</v>
      </c>
      <c r="P95" s="18" t="s">
        <v>64</v>
      </c>
      <c r="Q95" s="9">
        <v>40.0</v>
      </c>
      <c r="R95" s="9"/>
      <c r="S95" s="9"/>
      <c r="T95" s="10"/>
      <c r="U95" s="10"/>
      <c r="V95" s="10"/>
      <c r="W95" s="10"/>
      <c r="X95" s="10"/>
      <c r="Y95" s="10"/>
      <c r="Z95" s="10"/>
      <c r="AA95" s="10"/>
      <c r="AB95" s="10"/>
    </row>
    <row r="96" ht="22.5" customHeight="1">
      <c r="A96" s="10"/>
      <c r="B96" s="10"/>
      <c r="C96" s="10"/>
      <c r="D96" s="10"/>
      <c r="E96" s="10"/>
      <c r="F96" s="10"/>
      <c r="G96" s="10"/>
      <c r="H96" s="10"/>
      <c r="I96" s="10"/>
      <c r="J96" s="10"/>
      <c r="K96" s="10"/>
      <c r="L96" s="10"/>
      <c r="M96" s="10"/>
      <c r="N96" s="10"/>
      <c r="O96" s="18" t="s">
        <v>167</v>
      </c>
      <c r="P96" s="18" t="s">
        <v>168</v>
      </c>
      <c r="Q96" s="9">
        <v>8.0</v>
      </c>
      <c r="R96" s="9"/>
      <c r="S96" s="9"/>
      <c r="T96" s="10"/>
      <c r="U96" s="10"/>
      <c r="V96" s="10"/>
      <c r="W96" s="10"/>
      <c r="X96" s="10"/>
      <c r="Y96" s="10"/>
      <c r="Z96" s="10"/>
      <c r="AA96" s="10"/>
      <c r="AB96" s="10"/>
    </row>
    <row r="97" ht="22.5" customHeight="1">
      <c r="A97" s="10"/>
      <c r="B97" s="10"/>
      <c r="C97" s="10"/>
      <c r="D97" s="10"/>
      <c r="E97" s="10"/>
      <c r="F97" s="10"/>
      <c r="G97" s="10"/>
      <c r="H97" s="10"/>
      <c r="I97" s="10"/>
      <c r="J97" s="10"/>
      <c r="K97" s="10"/>
      <c r="L97" s="10"/>
      <c r="M97" s="10"/>
      <c r="N97" s="10"/>
      <c r="O97" s="18" t="s">
        <v>167</v>
      </c>
      <c r="P97" s="18" t="s">
        <v>88</v>
      </c>
      <c r="Q97" s="9">
        <v>25.0</v>
      </c>
      <c r="R97" s="9"/>
      <c r="S97" s="9"/>
      <c r="T97" s="10"/>
      <c r="U97" s="10"/>
      <c r="V97" s="10"/>
      <c r="W97" s="10"/>
      <c r="X97" s="10"/>
      <c r="Y97" s="10"/>
      <c r="Z97" s="10"/>
      <c r="AA97" s="10"/>
      <c r="AB97" s="10"/>
    </row>
    <row r="98" ht="22.5" customHeight="1">
      <c r="A98" s="10"/>
      <c r="B98" s="10"/>
      <c r="C98" s="10"/>
      <c r="D98" s="10"/>
      <c r="E98" s="10"/>
      <c r="F98" s="10"/>
      <c r="G98" s="10"/>
      <c r="H98" s="10"/>
      <c r="I98" s="10"/>
      <c r="J98" s="10"/>
      <c r="K98" s="10"/>
      <c r="L98" s="10"/>
      <c r="M98" s="10"/>
      <c r="N98" s="10"/>
      <c r="O98" s="18" t="s">
        <v>167</v>
      </c>
      <c r="P98" s="18" t="s">
        <v>169</v>
      </c>
      <c r="Q98" s="9">
        <v>20.0</v>
      </c>
      <c r="R98" s="9"/>
      <c r="S98" s="9"/>
      <c r="T98" s="10"/>
      <c r="U98" s="10"/>
      <c r="V98" s="10"/>
      <c r="W98" s="10"/>
      <c r="X98" s="10"/>
      <c r="Y98" s="10"/>
      <c r="Z98" s="10"/>
      <c r="AA98" s="10"/>
      <c r="AB98" s="10"/>
    </row>
    <row r="99" ht="22.5" customHeight="1">
      <c r="A99" s="10"/>
      <c r="B99" s="10"/>
      <c r="C99" s="10"/>
      <c r="D99" s="10"/>
      <c r="E99" s="10"/>
      <c r="F99" s="10"/>
      <c r="G99" s="10"/>
      <c r="H99" s="10"/>
      <c r="I99" s="10"/>
      <c r="J99" s="10"/>
      <c r="K99" s="10"/>
      <c r="L99" s="10"/>
      <c r="M99" s="10"/>
      <c r="N99" s="10"/>
      <c r="O99" s="18" t="s">
        <v>167</v>
      </c>
      <c r="P99" s="18" t="s">
        <v>170</v>
      </c>
      <c r="Q99" s="9">
        <v>8.0</v>
      </c>
      <c r="R99" s="9"/>
      <c r="S99" s="9"/>
      <c r="T99" s="10"/>
      <c r="U99" s="10"/>
      <c r="V99" s="10"/>
      <c r="W99" s="10"/>
      <c r="X99" s="10"/>
      <c r="Y99" s="10"/>
      <c r="Z99" s="10"/>
      <c r="AA99" s="10"/>
      <c r="AB99" s="10"/>
    </row>
    <row r="100" ht="22.5" customHeight="1">
      <c r="A100" s="10"/>
      <c r="B100" s="10"/>
      <c r="C100" s="10"/>
      <c r="D100" s="10"/>
      <c r="E100" s="10"/>
      <c r="F100" s="10"/>
      <c r="G100" s="10"/>
      <c r="H100" s="10"/>
      <c r="I100" s="10"/>
      <c r="J100" s="10"/>
      <c r="K100" s="10"/>
      <c r="L100" s="10"/>
      <c r="M100" s="10"/>
      <c r="N100" s="10"/>
      <c r="O100" s="18" t="s">
        <v>167</v>
      </c>
      <c r="P100" s="18" t="s">
        <v>171</v>
      </c>
      <c r="Q100" s="9">
        <v>4.0</v>
      </c>
      <c r="R100" s="9"/>
      <c r="S100" s="9"/>
      <c r="T100" s="10"/>
      <c r="U100" s="10"/>
      <c r="V100" s="10"/>
      <c r="W100" s="10"/>
      <c r="X100" s="10"/>
      <c r="Y100" s="10"/>
      <c r="Z100" s="10"/>
      <c r="AA100" s="10"/>
      <c r="AB100" s="10"/>
    </row>
    <row r="101" ht="22.5" customHeight="1">
      <c r="A101" s="10"/>
      <c r="B101" s="10"/>
      <c r="C101" s="10"/>
      <c r="D101" s="10"/>
      <c r="E101" s="10"/>
      <c r="F101" s="10"/>
      <c r="G101" s="10"/>
      <c r="H101" s="10"/>
      <c r="I101" s="10"/>
      <c r="J101" s="10"/>
      <c r="K101" s="10"/>
      <c r="L101" s="10"/>
      <c r="M101" s="10"/>
      <c r="N101" s="10"/>
      <c r="O101" s="18" t="s">
        <v>167</v>
      </c>
      <c r="P101" s="18" t="s">
        <v>172</v>
      </c>
      <c r="Q101" s="9">
        <v>7.0</v>
      </c>
      <c r="R101" s="9"/>
      <c r="S101" s="9"/>
      <c r="T101" s="10"/>
      <c r="U101" s="10"/>
      <c r="V101" s="10"/>
      <c r="W101" s="10"/>
      <c r="X101" s="10"/>
      <c r="Y101" s="10"/>
      <c r="Z101" s="10"/>
      <c r="AA101" s="10"/>
      <c r="AB101" s="10"/>
    </row>
    <row r="102" ht="22.5" customHeight="1">
      <c r="A102" s="10"/>
      <c r="B102" s="10"/>
      <c r="C102" s="10"/>
      <c r="D102" s="10"/>
      <c r="E102" s="10"/>
      <c r="F102" s="10"/>
      <c r="G102" s="10"/>
      <c r="H102" s="10"/>
      <c r="I102" s="10"/>
      <c r="J102" s="10"/>
      <c r="K102" s="10"/>
      <c r="L102" s="10"/>
      <c r="M102" s="10"/>
      <c r="N102" s="10"/>
      <c r="O102" s="18" t="s">
        <v>167</v>
      </c>
      <c r="P102" s="18" t="s">
        <v>173</v>
      </c>
      <c r="Q102" s="9">
        <v>6.0</v>
      </c>
      <c r="R102" s="9"/>
      <c r="S102" s="9"/>
      <c r="T102" s="10"/>
      <c r="U102" s="10"/>
      <c r="V102" s="10"/>
      <c r="W102" s="10"/>
      <c r="X102" s="10"/>
      <c r="Y102" s="10"/>
      <c r="Z102" s="10"/>
      <c r="AA102" s="10"/>
      <c r="AB102" s="10"/>
    </row>
    <row r="103" ht="22.5" customHeight="1">
      <c r="A103" s="10"/>
      <c r="B103" s="10"/>
      <c r="C103" s="10"/>
      <c r="D103" s="10"/>
      <c r="E103" s="10"/>
      <c r="F103" s="10"/>
      <c r="G103" s="10"/>
      <c r="H103" s="10"/>
      <c r="I103" s="10"/>
      <c r="J103" s="10"/>
      <c r="K103" s="10"/>
      <c r="L103" s="10"/>
      <c r="M103" s="10"/>
      <c r="N103" s="10"/>
      <c r="O103" s="18" t="s">
        <v>167</v>
      </c>
      <c r="P103" s="18" t="s">
        <v>174</v>
      </c>
      <c r="Q103" s="9">
        <v>6.0</v>
      </c>
      <c r="R103" s="9"/>
      <c r="S103" s="9"/>
      <c r="T103" s="10"/>
      <c r="U103" s="10"/>
      <c r="V103" s="10"/>
      <c r="W103" s="10"/>
      <c r="X103" s="10"/>
      <c r="Y103" s="10"/>
      <c r="Z103" s="10"/>
      <c r="AA103" s="10"/>
      <c r="AB103" s="10"/>
    </row>
    <row r="104" ht="22.5" customHeight="1">
      <c r="A104" s="10"/>
      <c r="B104" s="10"/>
      <c r="C104" s="10"/>
      <c r="D104" s="10"/>
      <c r="E104" s="10"/>
      <c r="F104" s="10"/>
      <c r="G104" s="10"/>
      <c r="H104" s="10"/>
      <c r="I104" s="10"/>
      <c r="J104" s="10"/>
      <c r="K104" s="10"/>
      <c r="L104" s="10"/>
      <c r="M104" s="10"/>
      <c r="N104" s="10"/>
      <c r="O104" s="18" t="s">
        <v>167</v>
      </c>
      <c r="P104" s="18" t="s">
        <v>91</v>
      </c>
      <c r="Q104" s="9">
        <v>30.0</v>
      </c>
      <c r="R104" s="9"/>
      <c r="S104" s="9"/>
      <c r="T104" s="10"/>
      <c r="U104" s="10"/>
      <c r="V104" s="10"/>
      <c r="W104" s="10"/>
      <c r="X104" s="10"/>
      <c r="Y104" s="10"/>
      <c r="Z104" s="10"/>
      <c r="AA104" s="10"/>
      <c r="AB104" s="10"/>
    </row>
    <row r="105" ht="22.5" customHeight="1">
      <c r="A105" s="10"/>
      <c r="B105" s="10"/>
      <c r="C105" s="10"/>
      <c r="D105" s="10"/>
      <c r="E105" s="10"/>
      <c r="F105" s="10"/>
      <c r="G105" s="10"/>
      <c r="H105" s="10"/>
      <c r="I105" s="10"/>
      <c r="J105" s="10"/>
      <c r="K105" s="10"/>
      <c r="L105" s="10"/>
      <c r="M105" s="10"/>
      <c r="N105" s="10"/>
      <c r="O105" s="18" t="s">
        <v>167</v>
      </c>
      <c r="P105" s="18" t="s">
        <v>175</v>
      </c>
      <c r="Q105" s="9">
        <v>15.0</v>
      </c>
      <c r="R105" s="9"/>
      <c r="S105" s="9"/>
      <c r="T105" s="10"/>
      <c r="U105" s="10"/>
      <c r="V105" s="10"/>
      <c r="W105" s="10"/>
      <c r="X105" s="10"/>
      <c r="Y105" s="10"/>
      <c r="Z105" s="10"/>
      <c r="AA105" s="10"/>
      <c r="AB105" s="10"/>
    </row>
    <row r="106" ht="22.5" customHeight="1">
      <c r="A106" s="10"/>
      <c r="B106" s="10"/>
      <c r="C106" s="10"/>
      <c r="D106" s="10"/>
      <c r="E106" s="10"/>
      <c r="F106" s="10"/>
      <c r="G106" s="10"/>
      <c r="H106" s="10"/>
      <c r="I106" s="10"/>
      <c r="J106" s="10"/>
      <c r="K106" s="10"/>
      <c r="L106" s="10"/>
      <c r="M106" s="10"/>
      <c r="N106" s="10"/>
      <c r="O106" s="18" t="s">
        <v>167</v>
      </c>
      <c r="P106" s="18" t="s">
        <v>75</v>
      </c>
      <c r="Q106" s="9">
        <v>15.0</v>
      </c>
      <c r="R106" s="9"/>
      <c r="S106" s="9"/>
      <c r="T106" s="10"/>
      <c r="U106" s="10"/>
      <c r="V106" s="10"/>
      <c r="W106" s="10"/>
      <c r="X106" s="10"/>
      <c r="Y106" s="10"/>
      <c r="Z106" s="10"/>
      <c r="AA106" s="10"/>
      <c r="AB106" s="10"/>
    </row>
    <row r="107" ht="22.5" customHeight="1">
      <c r="A107" s="10"/>
      <c r="B107" s="10"/>
      <c r="C107" s="10"/>
      <c r="D107" s="10"/>
      <c r="E107" s="10"/>
      <c r="F107" s="10"/>
      <c r="G107" s="10"/>
      <c r="H107" s="10"/>
      <c r="I107" s="10"/>
      <c r="J107" s="10"/>
      <c r="K107" s="10"/>
      <c r="L107" s="10"/>
      <c r="M107" s="10"/>
      <c r="N107" s="10"/>
      <c r="O107" s="18" t="s">
        <v>167</v>
      </c>
      <c r="P107" s="18" t="s">
        <v>176</v>
      </c>
      <c r="Q107" s="9">
        <v>8.0</v>
      </c>
      <c r="R107" s="9"/>
      <c r="S107" s="9"/>
      <c r="T107" s="10"/>
      <c r="U107" s="10"/>
      <c r="V107" s="10"/>
      <c r="W107" s="10"/>
      <c r="X107" s="10"/>
      <c r="Y107" s="10"/>
      <c r="Z107" s="10"/>
      <c r="AA107" s="10"/>
      <c r="AB107" s="10"/>
    </row>
    <row r="108" ht="22.5" customHeight="1">
      <c r="A108" s="10"/>
      <c r="B108" s="10"/>
      <c r="C108" s="10"/>
      <c r="D108" s="10"/>
      <c r="E108" s="10"/>
      <c r="F108" s="10"/>
      <c r="G108" s="10"/>
      <c r="H108" s="10"/>
      <c r="I108" s="10"/>
      <c r="J108" s="10"/>
      <c r="K108" s="10"/>
      <c r="L108" s="10"/>
      <c r="M108" s="10"/>
      <c r="N108" s="10"/>
      <c r="O108" s="18" t="s">
        <v>167</v>
      </c>
      <c r="P108" s="18" t="s">
        <v>177</v>
      </c>
      <c r="Q108" s="9">
        <v>8.0</v>
      </c>
      <c r="R108" s="9"/>
      <c r="S108" s="9"/>
      <c r="T108" s="10"/>
      <c r="U108" s="10"/>
      <c r="V108" s="10"/>
      <c r="W108" s="10"/>
      <c r="X108" s="10"/>
      <c r="Y108" s="10"/>
      <c r="Z108" s="10"/>
      <c r="AA108" s="10"/>
      <c r="AB108" s="10"/>
    </row>
    <row r="109" ht="22.5" customHeight="1">
      <c r="A109" s="10"/>
      <c r="B109" s="10"/>
      <c r="C109" s="10"/>
      <c r="D109" s="10"/>
      <c r="E109" s="10"/>
      <c r="F109" s="10"/>
      <c r="G109" s="10"/>
      <c r="H109" s="10"/>
      <c r="I109" s="10"/>
      <c r="J109" s="10"/>
      <c r="K109" s="10"/>
      <c r="L109" s="10"/>
      <c r="M109" s="10"/>
      <c r="N109" s="10"/>
      <c r="O109" s="18"/>
      <c r="P109" s="18"/>
      <c r="Q109" s="9"/>
      <c r="R109" s="9"/>
      <c r="S109" s="9"/>
      <c r="T109" s="10"/>
      <c r="U109" s="10"/>
      <c r="V109" s="10"/>
      <c r="W109" s="10"/>
      <c r="X109" s="10"/>
      <c r="Y109" s="10"/>
      <c r="Z109" s="10"/>
      <c r="AA109" s="10"/>
      <c r="AB109" s="10"/>
    </row>
    <row r="110" ht="22.5" customHeight="1">
      <c r="A110" s="10"/>
      <c r="B110" s="10"/>
      <c r="C110" s="10"/>
      <c r="D110" s="10"/>
      <c r="E110" s="10"/>
      <c r="F110" s="10"/>
      <c r="G110" s="10"/>
      <c r="H110" s="10"/>
      <c r="I110" s="10"/>
      <c r="J110" s="10"/>
      <c r="K110" s="10"/>
      <c r="L110" s="10"/>
      <c r="M110" s="10"/>
      <c r="N110" s="10"/>
      <c r="O110" s="18" t="s">
        <v>167</v>
      </c>
      <c r="P110" s="18" t="s">
        <v>178</v>
      </c>
      <c r="Q110" s="9">
        <v>4.0</v>
      </c>
      <c r="R110" s="9"/>
      <c r="S110" s="9"/>
      <c r="T110" s="10"/>
      <c r="U110" s="10"/>
      <c r="V110" s="10"/>
      <c r="W110" s="10"/>
      <c r="X110" s="10"/>
      <c r="Y110" s="10"/>
      <c r="Z110" s="10"/>
      <c r="AA110" s="10"/>
      <c r="AB110" s="10"/>
    </row>
    <row r="111" ht="22.5" customHeight="1">
      <c r="A111" s="10"/>
      <c r="B111" s="10"/>
      <c r="C111" s="10"/>
      <c r="D111" s="10"/>
      <c r="E111" s="10"/>
      <c r="F111" s="10"/>
      <c r="G111" s="10"/>
      <c r="H111" s="10"/>
      <c r="I111" s="10"/>
      <c r="J111" s="10"/>
      <c r="K111" s="10"/>
      <c r="L111" s="10"/>
      <c r="M111" s="10"/>
      <c r="N111" s="10"/>
      <c r="O111" s="18" t="s">
        <v>167</v>
      </c>
      <c r="P111" s="18" t="s">
        <v>179</v>
      </c>
      <c r="Q111" s="9">
        <v>10.0</v>
      </c>
      <c r="R111" s="9"/>
      <c r="S111" s="9"/>
      <c r="T111" s="10"/>
      <c r="U111" s="10"/>
      <c r="V111" s="10"/>
      <c r="W111" s="10"/>
      <c r="X111" s="10"/>
      <c r="Y111" s="10"/>
      <c r="Z111" s="10"/>
      <c r="AA111" s="10"/>
      <c r="AB111" s="10"/>
    </row>
    <row r="112" ht="22.5" customHeight="1">
      <c r="A112" s="10"/>
      <c r="B112" s="10"/>
      <c r="C112" s="10"/>
      <c r="D112" s="10"/>
      <c r="E112" s="10"/>
      <c r="F112" s="10"/>
      <c r="G112" s="10"/>
      <c r="H112" s="10"/>
      <c r="I112" s="10"/>
      <c r="J112" s="10"/>
      <c r="K112" s="10"/>
      <c r="L112" s="10"/>
      <c r="M112" s="10"/>
      <c r="N112" s="10"/>
      <c r="O112" s="18" t="s">
        <v>167</v>
      </c>
      <c r="P112" s="18" t="s">
        <v>180</v>
      </c>
      <c r="Q112" s="9">
        <v>7.0</v>
      </c>
      <c r="R112" s="9"/>
      <c r="S112" s="9"/>
      <c r="T112" s="10"/>
      <c r="U112" s="10"/>
      <c r="V112" s="10"/>
      <c r="W112" s="10"/>
      <c r="X112" s="10"/>
      <c r="Y112" s="10"/>
      <c r="Z112" s="10"/>
      <c r="AA112" s="10"/>
      <c r="AB112" s="10"/>
    </row>
    <row r="113" ht="22.5" customHeight="1">
      <c r="A113" s="10"/>
      <c r="B113" s="10"/>
      <c r="C113" s="10"/>
      <c r="D113" s="10"/>
      <c r="E113" s="10"/>
      <c r="F113" s="10"/>
      <c r="G113" s="10"/>
      <c r="H113" s="10"/>
      <c r="I113" s="10"/>
      <c r="J113" s="10"/>
      <c r="K113" s="10"/>
      <c r="L113" s="10"/>
      <c r="M113" s="10"/>
      <c r="N113" s="10"/>
      <c r="O113" s="18" t="s">
        <v>167</v>
      </c>
      <c r="P113" s="18" t="s">
        <v>181</v>
      </c>
      <c r="Q113" s="9">
        <v>3.0</v>
      </c>
      <c r="R113" s="9"/>
      <c r="S113" s="9"/>
      <c r="T113" s="10"/>
      <c r="U113" s="10"/>
      <c r="V113" s="10"/>
      <c r="W113" s="10"/>
      <c r="X113" s="10"/>
      <c r="Y113" s="10"/>
      <c r="Z113" s="10"/>
      <c r="AA113" s="10"/>
      <c r="AB113" s="10"/>
    </row>
    <row r="114" ht="22.5" customHeight="1">
      <c r="A114" s="10"/>
      <c r="B114" s="10"/>
      <c r="C114" s="10"/>
      <c r="D114" s="10"/>
      <c r="E114" s="10"/>
      <c r="F114" s="10"/>
      <c r="G114" s="10"/>
      <c r="H114" s="10"/>
      <c r="I114" s="10"/>
      <c r="J114" s="10"/>
      <c r="K114" s="10"/>
      <c r="L114" s="10"/>
      <c r="M114" s="10"/>
      <c r="N114" s="10"/>
      <c r="O114" s="18" t="s">
        <v>167</v>
      </c>
      <c r="P114" s="18" t="s">
        <v>182</v>
      </c>
      <c r="Q114" s="9">
        <v>5.0</v>
      </c>
      <c r="R114" s="9"/>
      <c r="S114" s="9"/>
      <c r="T114" s="10"/>
      <c r="U114" s="10"/>
      <c r="V114" s="10"/>
      <c r="W114" s="10"/>
      <c r="X114" s="10"/>
      <c r="Y114" s="10"/>
      <c r="Z114" s="10"/>
      <c r="AA114" s="10"/>
      <c r="AB114" s="10"/>
    </row>
    <row r="115" ht="22.5" customHeight="1">
      <c r="A115" s="10"/>
      <c r="B115" s="10"/>
      <c r="C115" s="10"/>
      <c r="D115" s="10"/>
      <c r="E115" s="10"/>
      <c r="F115" s="10"/>
      <c r="G115" s="10"/>
      <c r="H115" s="10"/>
      <c r="I115" s="10"/>
      <c r="J115" s="10"/>
      <c r="K115" s="10"/>
      <c r="L115" s="10"/>
      <c r="M115" s="10"/>
      <c r="N115" s="10"/>
      <c r="O115" s="18" t="s">
        <v>183</v>
      </c>
      <c r="P115" s="18" t="s">
        <v>184</v>
      </c>
      <c r="Q115" s="9"/>
      <c r="R115" s="9"/>
      <c r="S115" s="9"/>
      <c r="T115" s="10"/>
      <c r="U115" s="10"/>
      <c r="V115" s="10"/>
      <c r="W115" s="10"/>
      <c r="X115" s="10"/>
      <c r="Y115" s="10"/>
      <c r="Z115" s="10"/>
      <c r="AA115" s="10"/>
      <c r="AB115" s="10"/>
    </row>
    <row r="116" ht="22.5" customHeight="1">
      <c r="A116" s="10"/>
      <c r="B116" s="10"/>
      <c r="C116" s="10"/>
      <c r="D116" s="10"/>
      <c r="E116" s="10"/>
      <c r="F116" s="10"/>
      <c r="G116" s="10"/>
      <c r="H116" s="10"/>
      <c r="I116" s="10"/>
      <c r="J116" s="10"/>
      <c r="K116" s="10"/>
      <c r="L116" s="10"/>
      <c r="M116" s="10"/>
      <c r="N116" s="10"/>
      <c r="O116" s="18" t="s">
        <v>183</v>
      </c>
      <c r="P116" s="18" t="s">
        <v>185</v>
      </c>
      <c r="Q116" s="9"/>
      <c r="R116" s="9"/>
      <c r="S116" s="9"/>
      <c r="T116" s="10"/>
      <c r="U116" s="10"/>
      <c r="V116" s="10"/>
      <c r="W116" s="10"/>
      <c r="X116" s="10"/>
      <c r="Y116" s="10"/>
      <c r="Z116" s="10"/>
      <c r="AA116" s="10"/>
      <c r="AB116" s="10"/>
    </row>
    <row r="117" ht="22.5" customHeight="1">
      <c r="A117" s="10"/>
      <c r="B117" s="10"/>
      <c r="C117" s="10"/>
      <c r="D117" s="10"/>
      <c r="E117" s="10"/>
      <c r="F117" s="10"/>
      <c r="G117" s="10"/>
      <c r="H117" s="10"/>
      <c r="I117" s="10"/>
      <c r="J117" s="10"/>
      <c r="K117" s="10"/>
      <c r="L117" s="10"/>
      <c r="M117" s="10"/>
      <c r="N117" s="10"/>
      <c r="O117" s="18" t="s">
        <v>183</v>
      </c>
      <c r="P117" s="18" t="s">
        <v>186</v>
      </c>
      <c r="Q117" s="9"/>
      <c r="R117" s="9"/>
      <c r="S117" s="9"/>
      <c r="T117" s="10"/>
      <c r="U117" s="10"/>
      <c r="V117" s="10"/>
      <c r="W117" s="10"/>
      <c r="X117" s="10"/>
      <c r="Y117" s="10"/>
      <c r="Z117" s="10"/>
      <c r="AA117" s="10"/>
      <c r="AB117" s="10"/>
    </row>
    <row r="118" ht="22.5" customHeight="1">
      <c r="A118" s="10"/>
      <c r="B118" s="10"/>
      <c r="C118" s="10"/>
      <c r="D118" s="10"/>
      <c r="E118" s="10"/>
      <c r="F118" s="10"/>
      <c r="G118" s="10"/>
      <c r="H118" s="10"/>
      <c r="I118" s="10"/>
      <c r="J118" s="10"/>
      <c r="K118" s="10"/>
      <c r="L118" s="10"/>
      <c r="M118" s="10"/>
      <c r="N118" s="10"/>
      <c r="O118" s="18" t="s">
        <v>183</v>
      </c>
      <c r="P118" s="18" t="s">
        <v>187</v>
      </c>
      <c r="Q118" s="9"/>
      <c r="R118" s="9"/>
      <c r="S118" s="9"/>
      <c r="T118" s="10"/>
      <c r="U118" s="10"/>
      <c r="V118" s="10"/>
      <c r="W118" s="10"/>
      <c r="X118" s="10"/>
      <c r="Y118" s="10"/>
      <c r="Z118" s="10"/>
      <c r="AA118" s="10"/>
      <c r="AB118" s="10"/>
    </row>
    <row r="119" ht="22.5" customHeight="1">
      <c r="A119" s="10"/>
      <c r="B119" s="10"/>
      <c r="C119" s="10"/>
      <c r="D119" s="10"/>
      <c r="E119" s="10"/>
      <c r="F119" s="10"/>
      <c r="G119" s="10"/>
      <c r="H119" s="10"/>
      <c r="I119" s="10"/>
      <c r="J119" s="10"/>
      <c r="K119" s="10"/>
      <c r="L119" s="10"/>
      <c r="M119" s="10"/>
      <c r="N119" s="10"/>
      <c r="O119" s="18" t="s">
        <v>183</v>
      </c>
      <c r="P119" s="18" t="s">
        <v>188</v>
      </c>
      <c r="Q119" s="9"/>
      <c r="R119" s="9"/>
      <c r="S119" s="9"/>
      <c r="T119" s="10"/>
      <c r="U119" s="10"/>
      <c r="V119" s="10"/>
      <c r="W119" s="10"/>
      <c r="X119" s="10"/>
      <c r="Y119" s="10"/>
      <c r="Z119" s="10"/>
      <c r="AA119" s="10"/>
      <c r="AB119" s="10"/>
    </row>
    <row r="120" ht="22.5" customHeight="1">
      <c r="A120" s="10"/>
      <c r="B120" s="10"/>
      <c r="C120" s="10"/>
      <c r="D120" s="10"/>
      <c r="E120" s="10"/>
      <c r="F120" s="10"/>
      <c r="G120" s="10"/>
      <c r="H120" s="10"/>
      <c r="I120" s="10"/>
      <c r="J120" s="10"/>
      <c r="K120" s="10"/>
      <c r="L120" s="10"/>
      <c r="M120" s="10"/>
      <c r="N120" s="10"/>
      <c r="O120" s="18" t="s">
        <v>183</v>
      </c>
      <c r="P120" s="18" t="s">
        <v>189</v>
      </c>
      <c r="Q120" s="9"/>
      <c r="R120" s="9"/>
      <c r="S120" s="9"/>
      <c r="T120" s="10"/>
      <c r="U120" s="10"/>
      <c r="V120" s="10"/>
      <c r="W120" s="10"/>
      <c r="X120" s="10"/>
      <c r="Y120" s="10"/>
      <c r="Z120" s="10"/>
      <c r="AA120" s="10"/>
      <c r="AB120" s="10"/>
    </row>
    <row r="121" ht="22.5" customHeight="1">
      <c r="A121" s="10"/>
      <c r="B121" s="10"/>
      <c r="C121" s="10"/>
      <c r="D121" s="10"/>
      <c r="E121" s="10"/>
      <c r="F121" s="10"/>
      <c r="G121" s="10"/>
      <c r="H121" s="10"/>
      <c r="I121" s="10"/>
      <c r="J121" s="10"/>
      <c r="K121" s="10"/>
      <c r="L121" s="10"/>
      <c r="M121" s="10"/>
      <c r="N121" s="10"/>
      <c r="O121" s="18" t="s">
        <v>183</v>
      </c>
      <c r="P121" s="18" t="s">
        <v>190</v>
      </c>
      <c r="Q121" s="9"/>
      <c r="R121" s="9"/>
      <c r="S121" s="9"/>
      <c r="T121" s="10"/>
      <c r="U121" s="10"/>
      <c r="V121" s="10"/>
      <c r="W121" s="10"/>
      <c r="X121" s="10"/>
      <c r="Y121" s="10"/>
      <c r="Z121" s="10"/>
      <c r="AA121" s="10"/>
      <c r="AB121" s="10"/>
    </row>
    <row r="122" ht="22.5" customHeight="1">
      <c r="A122" s="10"/>
      <c r="B122" s="10"/>
      <c r="C122" s="10"/>
      <c r="D122" s="10"/>
      <c r="E122" s="10"/>
      <c r="F122" s="10"/>
      <c r="G122" s="10"/>
      <c r="H122" s="10"/>
      <c r="I122" s="10"/>
      <c r="J122" s="10"/>
      <c r="K122" s="10"/>
      <c r="L122" s="10"/>
      <c r="M122" s="10"/>
      <c r="N122" s="10"/>
      <c r="O122" s="18" t="s">
        <v>183</v>
      </c>
      <c r="P122" s="18" t="s">
        <v>191</v>
      </c>
      <c r="Q122" s="9"/>
      <c r="R122" s="9"/>
      <c r="S122" s="9"/>
      <c r="T122" s="10"/>
      <c r="U122" s="10"/>
      <c r="V122" s="10"/>
      <c r="W122" s="10"/>
      <c r="X122" s="10"/>
      <c r="Y122" s="10"/>
      <c r="Z122" s="10"/>
      <c r="AA122" s="10"/>
      <c r="AB122" s="10"/>
    </row>
    <row r="123" ht="22.5" customHeight="1">
      <c r="A123" s="10"/>
      <c r="B123" s="10"/>
      <c r="C123" s="10"/>
      <c r="D123" s="10"/>
      <c r="E123" s="10"/>
      <c r="F123" s="10"/>
      <c r="G123" s="10"/>
      <c r="H123" s="10"/>
      <c r="I123" s="10"/>
      <c r="J123" s="10"/>
      <c r="K123" s="10"/>
      <c r="L123" s="10"/>
      <c r="M123" s="10"/>
      <c r="N123" s="10"/>
      <c r="O123" s="18" t="s">
        <v>183</v>
      </c>
      <c r="P123" s="18" t="s">
        <v>192</v>
      </c>
      <c r="Q123" s="9"/>
      <c r="R123" s="9"/>
      <c r="S123" s="9"/>
      <c r="T123" s="10"/>
      <c r="U123" s="10"/>
      <c r="V123" s="10"/>
      <c r="W123" s="10"/>
      <c r="X123" s="10"/>
      <c r="Y123" s="10"/>
      <c r="Z123" s="10"/>
      <c r="AA123" s="10"/>
      <c r="AB123" s="10"/>
    </row>
    <row r="124" ht="22.5" customHeight="1">
      <c r="A124" s="10"/>
      <c r="B124" s="10"/>
      <c r="C124" s="10"/>
      <c r="D124" s="10"/>
      <c r="E124" s="10"/>
      <c r="F124" s="10"/>
      <c r="G124" s="10"/>
      <c r="H124" s="10"/>
      <c r="I124" s="10"/>
      <c r="J124" s="10"/>
      <c r="K124" s="10"/>
      <c r="L124" s="10"/>
      <c r="M124" s="10"/>
      <c r="N124" s="10"/>
      <c r="O124" s="18" t="s">
        <v>183</v>
      </c>
      <c r="P124" s="18" t="s">
        <v>193</v>
      </c>
      <c r="Q124" s="9"/>
      <c r="R124" s="9"/>
      <c r="S124" s="9"/>
      <c r="T124" s="10"/>
      <c r="U124" s="10"/>
      <c r="V124" s="10"/>
      <c r="W124" s="10"/>
      <c r="X124" s="10"/>
      <c r="Y124" s="10"/>
      <c r="Z124" s="10"/>
      <c r="AA124" s="10"/>
      <c r="AB124" s="10"/>
    </row>
    <row r="125" ht="22.5" customHeight="1">
      <c r="A125" s="10"/>
      <c r="B125" s="10"/>
      <c r="C125" s="10"/>
      <c r="D125" s="10"/>
      <c r="E125" s="10"/>
      <c r="F125" s="10"/>
      <c r="G125" s="10"/>
      <c r="H125" s="10"/>
      <c r="I125" s="10"/>
      <c r="J125" s="10"/>
      <c r="K125" s="10"/>
      <c r="L125" s="10"/>
      <c r="M125" s="10"/>
      <c r="N125" s="10"/>
      <c r="O125" s="18" t="s">
        <v>183</v>
      </c>
      <c r="P125" s="18" t="s">
        <v>194</v>
      </c>
      <c r="Q125" s="9"/>
      <c r="R125" s="9"/>
      <c r="S125" s="9"/>
      <c r="T125" s="10"/>
      <c r="U125" s="10"/>
      <c r="V125" s="10"/>
      <c r="W125" s="10"/>
      <c r="X125" s="10"/>
      <c r="Y125" s="10"/>
      <c r="Z125" s="10"/>
      <c r="AA125" s="10"/>
      <c r="AB125" s="10"/>
    </row>
    <row r="126" ht="15.75" customHeight="1">
      <c r="A126" s="10"/>
      <c r="B126" s="10"/>
      <c r="C126" s="10"/>
      <c r="D126" s="10"/>
      <c r="E126" s="10"/>
      <c r="F126" s="10"/>
      <c r="G126" s="10"/>
      <c r="H126" s="10"/>
      <c r="I126" s="10"/>
      <c r="J126" s="10"/>
      <c r="K126" s="10"/>
      <c r="L126" s="10"/>
      <c r="M126" s="10"/>
      <c r="N126" s="10"/>
      <c r="O126" s="19"/>
      <c r="P126" s="19"/>
      <c r="Q126" s="10"/>
      <c r="R126" s="10"/>
      <c r="S126" s="10"/>
      <c r="T126" s="10"/>
      <c r="U126" s="10"/>
      <c r="V126" s="10"/>
      <c r="W126" s="10"/>
      <c r="X126" s="10"/>
      <c r="Y126" s="10"/>
      <c r="Z126" s="10"/>
      <c r="AA126" s="10"/>
      <c r="AB126" s="10"/>
    </row>
    <row r="127" ht="15.75" customHeight="1">
      <c r="A127" s="10"/>
      <c r="B127" s="10"/>
      <c r="C127" s="10"/>
      <c r="D127" s="10"/>
      <c r="E127" s="10"/>
      <c r="F127" s="10"/>
      <c r="G127" s="10"/>
      <c r="H127" s="10"/>
      <c r="I127" s="10"/>
      <c r="J127" s="10"/>
      <c r="K127" s="10"/>
      <c r="L127" s="10"/>
      <c r="M127" s="10"/>
      <c r="N127" s="10"/>
      <c r="O127" s="19"/>
      <c r="P127" s="19"/>
      <c r="Q127" s="10"/>
      <c r="R127" s="10"/>
      <c r="S127" s="10"/>
      <c r="T127" s="10"/>
      <c r="U127" s="10"/>
      <c r="V127" s="10"/>
      <c r="W127" s="10"/>
      <c r="X127" s="10"/>
      <c r="Y127" s="10"/>
      <c r="Z127" s="10"/>
      <c r="AA127" s="10"/>
      <c r="AB127" s="10"/>
    </row>
    <row r="128" ht="15.75" customHeight="1">
      <c r="A128" s="10"/>
      <c r="B128" s="10"/>
      <c r="C128" s="10"/>
      <c r="D128" s="10"/>
      <c r="E128" s="10"/>
      <c r="F128" s="10"/>
      <c r="G128" s="10"/>
      <c r="H128" s="10"/>
      <c r="I128" s="10"/>
      <c r="J128" s="10"/>
      <c r="K128" s="10"/>
      <c r="L128" s="10"/>
      <c r="M128" s="10"/>
      <c r="N128" s="10"/>
      <c r="O128" s="19"/>
      <c r="P128" s="19"/>
      <c r="Q128" s="10"/>
      <c r="R128" s="10"/>
      <c r="S128" s="10"/>
      <c r="T128" s="10"/>
      <c r="U128" s="10"/>
      <c r="V128" s="10"/>
      <c r="W128" s="10"/>
      <c r="X128" s="10"/>
      <c r="Y128" s="10"/>
      <c r="Z128" s="10"/>
      <c r="AA128" s="10"/>
      <c r="AB128" s="10"/>
    </row>
    <row r="129" ht="15.75" customHeight="1">
      <c r="A129" s="10"/>
      <c r="B129" s="10"/>
      <c r="C129" s="10"/>
      <c r="D129" s="10"/>
      <c r="E129" s="10"/>
      <c r="F129" s="10"/>
      <c r="G129" s="10"/>
      <c r="H129" s="10"/>
      <c r="I129" s="10"/>
      <c r="J129" s="10"/>
      <c r="K129" s="10"/>
      <c r="L129" s="10"/>
      <c r="M129" s="10"/>
      <c r="N129" s="10"/>
      <c r="O129" s="19"/>
      <c r="P129" s="19"/>
      <c r="Q129" s="10"/>
      <c r="R129" s="10"/>
      <c r="S129" s="10"/>
      <c r="T129" s="10"/>
      <c r="U129" s="10"/>
      <c r="V129" s="10"/>
      <c r="W129" s="10"/>
      <c r="X129" s="10"/>
      <c r="Y129" s="10"/>
      <c r="Z129" s="10"/>
      <c r="AA129" s="10"/>
      <c r="AB129" s="10"/>
    </row>
    <row r="130" ht="15.75" customHeight="1">
      <c r="A130" s="10"/>
      <c r="B130" s="10"/>
      <c r="C130" s="10"/>
      <c r="D130" s="10"/>
      <c r="E130" s="10"/>
      <c r="F130" s="10"/>
      <c r="G130" s="10"/>
      <c r="H130" s="10"/>
      <c r="I130" s="10"/>
      <c r="J130" s="10"/>
      <c r="K130" s="10"/>
      <c r="L130" s="10"/>
      <c r="M130" s="10"/>
      <c r="N130" s="10"/>
      <c r="O130" s="19"/>
      <c r="P130" s="19"/>
      <c r="Q130" s="10"/>
      <c r="R130" s="10"/>
      <c r="S130" s="10"/>
      <c r="T130" s="10"/>
      <c r="U130" s="10"/>
      <c r="V130" s="10"/>
      <c r="W130" s="10"/>
      <c r="X130" s="10"/>
      <c r="Y130" s="10"/>
      <c r="Z130" s="10"/>
      <c r="AA130" s="10"/>
      <c r="AB130" s="10"/>
    </row>
    <row r="131" ht="15.75" customHeight="1">
      <c r="A131" s="10"/>
      <c r="B131" s="10"/>
      <c r="C131" s="10"/>
      <c r="D131" s="10"/>
      <c r="E131" s="10"/>
      <c r="F131" s="10"/>
      <c r="G131" s="10"/>
      <c r="H131" s="10"/>
      <c r="I131" s="10"/>
      <c r="J131" s="10"/>
      <c r="K131" s="10"/>
      <c r="L131" s="10"/>
      <c r="M131" s="10"/>
      <c r="N131" s="10"/>
      <c r="O131" s="19"/>
      <c r="P131" s="19"/>
      <c r="Q131" s="10"/>
      <c r="R131" s="10"/>
      <c r="S131" s="10"/>
      <c r="T131" s="10"/>
      <c r="U131" s="10"/>
      <c r="V131" s="10"/>
      <c r="W131" s="10"/>
      <c r="X131" s="10"/>
      <c r="Y131" s="10"/>
      <c r="Z131" s="10"/>
      <c r="AA131" s="10"/>
      <c r="AB131" s="10"/>
    </row>
    <row r="132" ht="15.75" customHeight="1">
      <c r="A132" s="10"/>
      <c r="B132" s="10"/>
      <c r="C132" s="10"/>
      <c r="D132" s="10"/>
      <c r="E132" s="10"/>
      <c r="F132" s="10"/>
      <c r="G132" s="10"/>
      <c r="H132" s="10"/>
      <c r="I132" s="10"/>
      <c r="J132" s="10"/>
      <c r="K132" s="10"/>
      <c r="L132" s="10"/>
      <c r="M132" s="10"/>
      <c r="N132" s="10"/>
      <c r="O132" s="19"/>
      <c r="P132" s="19"/>
      <c r="Q132" s="10"/>
      <c r="R132" s="10"/>
      <c r="S132" s="10"/>
      <c r="T132" s="10"/>
      <c r="U132" s="10"/>
      <c r="V132" s="10"/>
      <c r="W132" s="10"/>
      <c r="X132" s="10"/>
      <c r="Y132" s="10"/>
      <c r="Z132" s="10"/>
      <c r="AA132" s="10"/>
      <c r="AB132" s="10"/>
    </row>
    <row r="133" ht="15.75" customHeight="1">
      <c r="A133" s="10"/>
      <c r="B133" s="10"/>
      <c r="C133" s="10"/>
      <c r="D133" s="10"/>
      <c r="E133" s="10"/>
      <c r="F133" s="10"/>
      <c r="G133" s="10"/>
      <c r="H133" s="10"/>
      <c r="I133" s="10"/>
      <c r="J133" s="10"/>
      <c r="K133" s="10"/>
      <c r="L133" s="10"/>
      <c r="M133" s="10"/>
      <c r="N133" s="10"/>
      <c r="O133" s="19"/>
      <c r="P133" s="19"/>
      <c r="Q133" s="10"/>
      <c r="R133" s="10"/>
      <c r="S133" s="10"/>
      <c r="T133" s="10"/>
      <c r="U133" s="10"/>
      <c r="V133" s="10"/>
      <c r="W133" s="10"/>
      <c r="X133" s="10"/>
      <c r="Y133" s="10"/>
      <c r="Z133" s="10"/>
      <c r="AA133" s="10"/>
      <c r="AB133" s="10"/>
    </row>
    <row r="134" ht="15.75" customHeight="1">
      <c r="A134" s="10"/>
      <c r="B134" s="10"/>
      <c r="C134" s="10"/>
      <c r="D134" s="10"/>
      <c r="E134" s="10"/>
      <c r="F134" s="10"/>
      <c r="G134" s="10"/>
      <c r="H134" s="10"/>
      <c r="I134" s="10"/>
      <c r="J134" s="10"/>
      <c r="K134" s="10"/>
      <c r="L134" s="10"/>
      <c r="M134" s="10"/>
      <c r="N134" s="10"/>
      <c r="O134" s="19"/>
      <c r="P134" s="19"/>
      <c r="Q134" s="10"/>
      <c r="R134" s="10"/>
      <c r="S134" s="10"/>
      <c r="T134" s="10"/>
      <c r="U134" s="10"/>
      <c r="V134" s="10"/>
      <c r="W134" s="10"/>
      <c r="X134" s="10"/>
      <c r="Y134" s="10"/>
      <c r="Z134" s="10"/>
      <c r="AA134" s="10"/>
      <c r="AB134" s="10"/>
    </row>
    <row r="135" ht="15.75" customHeight="1">
      <c r="A135" s="10"/>
      <c r="B135" s="10"/>
      <c r="C135" s="10"/>
      <c r="D135" s="10"/>
      <c r="E135" s="10"/>
      <c r="F135" s="10"/>
      <c r="G135" s="10"/>
      <c r="H135" s="10"/>
      <c r="I135" s="10"/>
      <c r="J135" s="10"/>
      <c r="K135" s="10"/>
      <c r="L135" s="10"/>
      <c r="M135" s="10"/>
      <c r="N135" s="10"/>
      <c r="O135" s="19"/>
      <c r="P135" s="19"/>
      <c r="Q135" s="10"/>
      <c r="R135" s="10"/>
      <c r="S135" s="10"/>
      <c r="T135" s="10"/>
      <c r="U135" s="10"/>
      <c r="V135" s="10"/>
      <c r="W135" s="10"/>
      <c r="X135" s="10"/>
      <c r="Y135" s="10"/>
      <c r="Z135" s="10"/>
      <c r="AA135" s="10"/>
      <c r="AB135" s="10"/>
    </row>
    <row r="136" ht="15.75" customHeight="1">
      <c r="A136" s="10"/>
      <c r="B136" s="10"/>
      <c r="C136" s="10"/>
      <c r="D136" s="10"/>
      <c r="E136" s="10"/>
      <c r="F136" s="10"/>
      <c r="G136" s="10"/>
      <c r="H136" s="10"/>
      <c r="I136" s="10"/>
      <c r="J136" s="10"/>
      <c r="K136" s="10"/>
      <c r="L136" s="10"/>
      <c r="M136" s="10"/>
      <c r="N136" s="10"/>
      <c r="O136" s="19"/>
      <c r="P136" s="19"/>
      <c r="Q136" s="10"/>
      <c r="R136" s="10"/>
      <c r="S136" s="10"/>
      <c r="T136" s="10"/>
      <c r="U136" s="10"/>
      <c r="V136" s="10"/>
      <c r="W136" s="10"/>
      <c r="X136" s="10"/>
      <c r="Y136" s="10"/>
      <c r="Z136" s="10"/>
      <c r="AA136" s="10"/>
      <c r="AB136" s="10"/>
    </row>
    <row r="137" ht="15.75" customHeight="1">
      <c r="A137" s="10"/>
      <c r="B137" s="10"/>
      <c r="C137" s="10"/>
      <c r="D137" s="10"/>
      <c r="E137" s="10"/>
      <c r="F137" s="10"/>
      <c r="G137" s="10"/>
      <c r="H137" s="10"/>
      <c r="I137" s="10"/>
      <c r="J137" s="10"/>
      <c r="K137" s="10"/>
      <c r="L137" s="10"/>
      <c r="M137" s="10"/>
      <c r="N137" s="10"/>
      <c r="O137" s="19"/>
      <c r="P137" s="19"/>
      <c r="Q137" s="10"/>
      <c r="R137" s="10"/>
      <c r="S137" s="10"/>
      <c r="T137" s="10"/>
      <c r="U137" s="10"/>
      <c r="V137" s="10"/>
      <c r="W137" s="10"/>
      <c r="X137" s="10"/>
      <c r="Y137" s="10"/>
      <c r="Z137" s="10"/>
      <c r="AA137" s="10"/>
      <c r="AB137" s="10"/>
    </row>
    <row r="138" ht="15.75" customHeight="1">
      <c r="A138" s="10"/>
      <c r="B138" s="10"/>
      <c r="C138" s="10"/>
      <c r="D138" s="10"/>
      <c r="E138" s="10"/>
      <c r="F138" s="10"/>
      <c r="G138" s="10"/>
      <c r="H138" s="10"/>
      <c r="I138" s="10"/>
      <c r="J138" s="10"/>
      <c r="K138" s="10"/>
      <c r="L138" s="10"/>
      <c r="M138" s="10"/>
      <c r="N138" s="10"/>
      <c r="O138" s="19"/>
      <c r="P138" s="19"/>
      <c r="Q138" s="10"/>
      <c r="R138" s="10"/>
      <c r="S138" s="10"/>
      <c r="T138" s="10"/>
      <c r="U138" s="10"/>
      <c r="V138" s="10"/>
      <c r="W138" s="10"/>
      <c r="X138" s="10"/>
      <c r="Y138" s="10"/>
      <c r="Z138" s="10"/>
      <c r="AA138" s="10"/>
      <c r="AB138" s="10"/>
    </row>
    <row r="139" ht="15.75" customHeight="1">
      <c r="A139" s="10"/>
      <c r="B139" s="10"/>
      <c r="C139" s="10"/>
      <c r="D139" s="10"/>
      <c r="E139" s="10"/>
      <c r="F139" s="10"/>
      <c r="G139" s="10"/>
      <c r="H139" s="10"/>
      <c r="I139" s="10"/>
      <c r="J139" s="10"/>
      <c r="K139" s="10"/>
      <c r="L139" s="10"/>
      <c r="M139" s="10"/>
      <c r="N139" s="10"/>
      <c r="O139" s="19"/>
      <c r="P139" s="19"/>
      <c r="Q139" s="10"/>
      <c r="R139" s="10"/>
      <c r="S139" s="10"/>
      <c r="T139" s="10"/>
      <c r="U139" s="10"/>
      <c r="V139" s="10"/>
      <c r="W139" s="10"/>
      <c r="X139" s="10"/>
      <c r="Y139" s="10"/>
      <c r="Z139" s="10"/>
      <c r="AA139" s="10"/>
      <c r="AB139" s="10"/>
    </row>
    <row r="140" ht="15.75" customHeight="1">
      <c r="A140" s="10"/>
      <c r="B140" s="10"/>
      <c r="C140" s="10"/>
      <c r="D140" s="10"/>
      <c r="E140" s="10"/>
      <c r="F140" s="10"/>
      <c r="G140" s="10"/>
      <c r="H140" s="10"/>
      <c r="I140" s="10"/>
      <c r="J140" s="10"/>
      <c r="K140" s="10"/>
      <c r="L140" s="10"/>
      <c r="M140" s="10"/>
      <c r="N140" s="10"/>
      <c r="O140" s="19"/>
      <c r="P140" s="19"/>
      <c r="Q140" s="10"/>
      <c r="R140" s="10"/>
      <c r="S140" s="10"/>
      <c r="T140" s="10"/>
      <c r="U140" s="10"/>
      <c r="V140" s="10"/>
      <c r="W140" s="10"/>
      <c r="X140" s="10"/>
      <c r="Y140" s="10"/>
      <c r="Z140" s="10"/>
      <c r="AA140" s="10"/>
      <c r="AB140" s="10"/>
    </row>
    <row r="141" ht="15.75" customHeight="1">
      <c r="A141" s="10"/>
      <c r="B141" s="10"/>
      <c r="C141" s="10"/>
      <c r="D141" s="10"/>
      <c r="E141" s="10"/>
      <c r="F141" s="10"/>
      <c r="G141" s="10"/>
      <c r="H141" s="10"/>
      <c r="I141" s="10"/>
      <c r="J141" s="10"/>
      <c r="K141" s="10"/>
      <c r="L141" s="10"/>
      <c r="M141" s="10"/>
      <c r="N141" s="10"/>
      <c r="O141" s="19"/>
      <c r="P141" s="19"/>
      <c r="Q141" s="10"/>
      <c r="R141" s="10"/>
      <c r="S141" s="10"/>
      <c r="T141" s="10"/>
      <c r="U141" s="10"/>
      <c r="V141" s="10"/>
      <c r="W141" s="10"/>
      <c r="X141" s="10"/>
      <c r="Y141" s="10"/>
      <c r="Z141" s="10"/>
      <c r="AA141" s="10"/>
      <c r="AB141" s="10"/>
    </row>
    <row r="142" ht="15.75" customHeight="1">
      <c r="A142" s="10"/>
      <c r="B142" s="10"/>
      <c r="C142" s="10"/>
      <c r="D142" s="10"/>
      <c r="E142" s="10"/>
      <c r="F142" s="10"/>
      <c r="G142" s="10"/>
      <c r="H142" s="10"/>
      <c r="I142" s="10"/>
      <c r="J142" s="10"/>
      <c r="K142" s="10"/>
      <c r="L142" s="10"/>
      <c r="M142" s="10"/>
      <c r="N142" s="10"/>
      <c r="O142" s="19"/>
      <c r="P142" s="19"/>
      <c r="Q142" s="10"/>
      <c r="R142" s="10"/>
      <c r="S142" s="10"/>
      <c r="T142" s="10"/>
      <c r="U142" s="10"/>
      <c r="V142" s="10"/>
      <c r="W142" s="10"/>
      <c r="X142" s="10"/>
      <c r="Y142" s="10"/>
      <c r="Z142" s="10"/>
      <c r="AA142" s="10"/>
      <c r="AB142" s="10"/>
    </row>
    <row r="143" ht="15.75" customHeight="1">
      <c r="A143" s="10"/>
      <c r="B143" s="10"/>
      <c r="C143" s="10"/>
      <c r="D143" s="10"/>
      <c r="E143" s="10"/>
      <c r="F143" s="10"/>
      <c r="G143" s="10"/>
      <c r="H143" s="10"/>
      <c r="I143" s="10"/>
      <c r="J143" s="10"/>
      <c r="K143" s="10"/>
      <c r="L143" s="10"/>
      <c r="M143" s="10"/>
      <c r="N143" s="10"/>
      <c r="O143" s="19"/>
      <c r="P143" s="19"/>
      <c r="Q143" s="10"/>
      <c r="R143" s="10"/>
      <c r="S143" s="10"/>
      <c r="T143" s="10"/>
      <c r="U143" s="10"/>
      <c r="V143" s="10"/>
      <c r="W143" s="10"/>
      <c r="X143" s="10"/>
      <c r="Y143" s="10"/>
      <c r="Z143" s="10"/>
      <c r="AA143" s="10"/>
      <c r="AB143" s="10"/>
    </row>
    <row r="144" ht="15.75" customHeight="1">
      <c r="A144" s="10"/>
      <c r="B144" s="10"/>
      <c r="C144" s="10"/>
      <c r="D144" s="10"/>
      <c r="E144" s="10"/>
      <c r="F144" s="10"/>
      <c r="G144" s="10"/>
      <c r="H144" s="10"/>
      <c r="I144" s="10"/>
      <c r="J144" s="10"/>
      <c r="K144" s="10"/>
      <c r="L144" s="10"/>
      <c r="M144" s="10"/>
      <c r="N144" s="10"/>
      <c r="O144" s="19"/>
      <c r="P144" s="19"/>
      <c r="Q144" s="10"/>
      <c r="R144" s="10"/>
      <c r="S144" s="10"/>
      <c r="T144" s="10"/>
      <c r="U144" s="10"/>
      <c r="V144" s="10"/>
      <c r="W144" s="10"/>
      <c r="X144" s="10"/>
      <c r="Y144" s="10"/>
      <c r="Z144" s="10"/>
      <c r="AA144" s="10"/>
      <c r="AB144" s="10"/>
    </row>
    <row r="145" ht="15.75" customHeight="1">
      <c r="A145" s="10"/>
      <c r="B145" s="10"/>
      <c r="C145" s="10"/>
      <c r="D145" s="10"/>
      <c r="E145" s="10"/>
      <c r="F145" s="10"/>
      <c r="G145" s="10"/>
      <c r="H145" s="10"/>
      <c r="I145" s="10"/>
      <c r="J145" s="10"/>
      <c r="K145" s="10"/>
      <c r="L145" s="10"/>
      <c r="M145" s="10"/>
      <c r="N145" s="10"/>
      <c r="O145" s="19"/>
      <c r="P145" s="19"/>
      <c r="Q145" s="10"/>
      <c r="R145" s="10"/>
      <c r="S145" s="10"/>
      <c r="T145" s="10"/>
      <c r="U145" s="10"/>
      <c r="V145" s="10"/>
      <c r="W145" s="10"/>
      <c r="X145" s="10"/>
      <c r="Y145" s="10"/>
      <c r="Z145" s="10"/>
      <c r="AA145" s="10"/>
      <c r="AB145" s="10"/>
    </row>
    <row r="146" ht="15.75" customHeight="1">
      <c r="A146" s="10"/>
      <c r="B146" s="10"/>
      <c r="C146" s="10"/>
      <c r="D146" s="10"/>
      <c r="E146" s="10"/>
      <c r="F146" s="10"/>
      <c r="G146" s="10"/>
      <c r="H146" s="10"/>
      <c r="I146" s="10"/>
      <c r="J146" s="10"/>
      <c r="K146" s="10"/>
      <c r="L146" s="10"/>
      <c r="M146" s="10"/>
      <c r="N146" s="10"/>
      <c r="O146" s="19"/>
      <c r="P146" s="19"/>
      <c r="Q146" s="10"/>
      <c r="R146" s="10"/>
      <c r="S146" s="10"/>
      <c r="T146" s="10"/>
      <c r="U146" s="10"/>
      <c r="V146" s="10"/>
      <c r="W146" s="10"/>
      <c r="X146" s="10"/>
      <c r="Y146" s="10"/>
      <c r="Z146" s="10"/>
      <c r="AA146" s="10"/>
      <c r="AB146" s="10"/>
    </row>
    <row r="147" ht="15.75" customHeight="1">
      <c r="A147" s="10"/>
      <c r="B147" s="10"/>
      <c r="C147" s="10"/>
      <c r="D147" s="10"/>
      <c r="E147" s="10"/>
      <c r="F147" s="10"/>
      <c r="G147" s="10"/>
      <c r="H147" s="10"/>
      <c r="I147" s="10"/>
      <c r="J147" s="10"/>
      <c r="K147" s="10"/>
      <c r="L147" s="10"/>
      <c r="M147" s="10"/>
      <c r="N147" s="10"/>
      <c r="O147" s="19"/>
      <c r="P147" s="19"/>
      <c r="Q147" s="10"/>
      <c r="R147" s="10"/>
      <c r="S147" s="10"/>
      <c r="T147" s="10"/>
      <c r="U147" s="10"/>
      <c r="V147" s="10"/>
      <c r="W147" s="10"/>
      <c r="X147" s="10"/>
      <c r="Y147" s="10"/>
      <c r="Z147" s="10"/>
      <c r="AA147" s="10"/>
      <c r="AB147" s="10"/>
    </row>
    <row r="148" ht="15.75" customHeight="1">
      <c r="A148" s="10"/>
      <c r="B148" s="10"/>
      <c r="C148" s="10"/>
      <c r="D148" s="10"/>
      <c r="E148" s="10"/>
      <c r="F148" s="10"/>
      <c r="G148" s="10"/>
      <c r="H148" s="10"/>
      <c r="I148" s="10"/>
      <c r="J148" s="10"/>
      <c r="K148" s="10"/>
      <c r="L148" s="10"/>
      <c r="M148" s="10"/>
      <c r="N148" s="10"/>
      <c r="O148" s="19"/>
      <c r="P148" s="19"/>
      <c r="Q148" s="10"/>
      <c r="R148" s="10"/>
      <c r="S148" s="10"/>
      <c r="T148" s="10"/>
      <c r="U148" s="10"/>
      <c r="V148" s="10"/>
      <c r="W148" s="10"/>
      <c r="X148" s="10"/>
      <c r="Y148" s="10"/>
      <c r="Z148" s="10"/>
      <c r="AA148" s="10"/>
      <c r="AB148" s="10"/>
    </row>
    <row r="149" ht="15.75" customHeight="1">
      <c r="A149" s="10"/>
      <c r="B149" s="10"/>
      <c r="C149" s="10"/>
      <c r="D149" s="10"/>
      <c r="E149" s="10"/>
      <c r="F149" s="10"/>
      <c r="G149" s="10"/>
      <c r="H149" s="10"/>
      <c r="I149" s="10"/>
      <c r="J149" s="10"/>
      <c r="K149" s="10"/>
      <c r="L149" s="10"/>
      <c r="M149" s="10"/>
      <c r="N149" s="10"/>
      <c r="O149" s="19"/>
      <c r="P149" s="19"/>
      <c r="Q149" s="10"/>
      <c r="R149" s="10"/>
      <c r="S149" s="10"/>
      <c r="T149" s="10"/>
      <c r="U149" s="10"/>
      <c r="V149" s="10"/>
      <c r="W149" s="10"/>
      <c r="X149" s="10"/>
      <c r="Y149" s="10"/>
      <c r="Z149" s="10"/>
      <c r="AA149" s="10"/>
      <c r="AB149" s="10"/>
    </row>
    <row r="150" ht="15.75" customHeight="1">
      <c r="A150" s="10"/>
      <c r="B150" s="10"/>
      <c r="C150" s="10"/>
      <c r="D150" s="10"/>
      <c r="E150" s="10"/>
      <c r="F150" s="10"/>
      <c r="G150" s="10"/>
      <c r="H150" s="10"/>
      <c r="I150" s="10"/>
      <c r="J150" s="10"/>
      <c r="K150" s="10"/>
      <c r="L150" s="10"/>
      <c r="M150" s="10"/>
      <c r="N150" s="10"/>
      <c r="O150" s="19"/>
      <c r="P150" s="19"/>
      <c r="Q150" s="10"/>
      <c r="R150" s="10"/>
      <c r="S150" s="10"/>
      <c r="T150" s="10"/>
      <c r="U150" s="10"/>
      <c r="V150" s="10"/>
      <c r="W150" s="10"/>
      <c r="X150" s="10"/>
      <c r="Y150" s="10"/>
      <c r="Z150" s="10"/>
      <c r="AA150" s="10"/>
      <c r="AB150" s="10"/>
    </row>
    <row r="151" ht="15.75" customHeight="1">
      <c r="A151" s="10"/>
      <c r="B151" s="10"/>
      <c r="C151" s="10"/>
      <c r="D151" s="10"/>
      <c r="E151" s="10"/>
      <c r="F151" s="10"/>
      <c r="G151" s="10"/>
      <c r="H151" s="10"/>
      <c r="I151" s="10"/>
      <c r="J151" s="10"/>
      <c r="K151" s="10"/>
      <c r="L151" s="10"/>
      <c r="M151" s="10"/>
      <c r="N151" s="10"/>
      <c r="O151" s="19"/>
      <c r="P151" s="19"/>
      <c r="Q151" s="10"/>
      <c r="R151" s="10"/>
      <c r="S151" s="10"/>
      <c r="T151" s="10"/>
      <c r="U151" s="10"/>
      <c r="V151" s="10"/>
      <c r="W151" s="10"/>
      <c r="X151" s="10"/>
      <c r="Y151" s="10"/>
      <c r="Z151" s="10"/>
      <c r="AA151" s="10"/>
      <c r="AB151" s="10"/>
    </row>
    <row r="152" ht="15.75" customHeight="1">
      <c r="A152" s="10"/>
      <c r="B152" s="10"/>
      <c r="C152" s="10"/>
      <c r="D152" s="10"/>
      <c r="E152" s="10"/>
      <c r="F152" s="10"/>
      <c r="G152" s="10"/>
      <c r="H152" s="10"/>
      <c r="I152" s="10"/>
      <c r="J152" s="10"/>
      <c r="K152" s="10"/>
      <c r="L152" s="10"/>
      <c r="M152" s="10"/>
      <c r="N152" s="10"/>
      <c r="O152" s="19"/>
      <c r="P152" s="19"/>
      <c r="Q152" s="10"/>
      <c r="R152" s="10"/>
      <c r="S152" s="10"/>
      <c r="T152" s="10"/>
      <c r="U152" s="10"/>
      <c r="V152" s="10"/>
      <c r="W152" s="10"/>
      <c r="X152" s="10"/>
      <c r="Y152" s="10"/>
      <c r="Z152" s="10"/>
      <c r="AA152" s="10"/>
      <c r="AB152" s="10"/>
    </row>
    <row r="153" ht="15.75" customHeight="1">
      <c r="A153" s="10"/>
      <c r="B153" s="10"/>
      <c r="C153" s="10"/>
      <c r="D153" s="10"/>
      <c r="E153" s="10"/>
      <c r="F153" s="10"/>
      <c r="G153" s="10"/>
      <c r="H153" s="10"/>
      <c r="I153" s="10"/>
      <c r="J153" s="10"/>
      <c r="K153" s="10"/>
      <c r="L153" s="10"/>
      <c r="M153" s="10"/>
      <c r="N153" s="10"/>
      <c r="O153" s="19"/>
      <c r="P153" s="19"/>
      <c r="Q153" s="10"/>
      <c r="R153" s="10"/>
      <c r="S153" s="10"/>
      <c r="T153" s="10"/>
      <c r="U153" s="10"/>
      <c r="V153" s="10"/>
      <c r="W153" s="10"/>
      <c r="X153" s="10"/>
      <c r="Y153" s="10"/>
      <c r="Z153" s="10"/>
      <c r="AA153" s="10"/>
      <c r="AB153" s="10"/>
    </row>
    <row r="154" ht="15.75" customHeight="1">
      <c r="A154" s="10"/>
      <c r="B154" s="10"/>
      <c r="C154" s="10"/>
      <c r="D154" s="10"/>
      <c r="E154" s="10"/>
      <c r="F154" s="10"/>
      <c r="G154" s="10"/>
      <c r="H154" s="10"/>
      <c r="I154" s="10"/>
      <c r="J154" s="10"/>
      <c r="K154" s="10"/>
      <c r="L154" s="10"/>
      <c r="M154" s="10"/>
      <c r="N154" s="10"/>
      <c r="O154" s="19"/>
      <c r="P154" s="19"/>
      <c r="Q154" s="10"/>
      <c r="R154" s="10"/>
      <c r="S154" s="10"/>
      <c r="T154" s="10"/>
      <c r="U154" s="10"/>
      <c r="V154" s="10"/>
      <c r="W154" s="10"/>
      <c r="X154" s="10"/>
      <c r="Y154" s="10"/>
      <c r="Z154" s="10"/>
      <c r="AA154" s="10"/>
      <c r="AB154" s="10"/>
    </row>
    <row r="155" ht="15.75" customHeight="1">
      <c r="A155" s="10"/>
      <c r="B155" s="10"/>
      <c r="C155" s="10"/>
      <c r="D155" s="10"/>
      <c r="E155" s="10"/>
      <c r="F155" s="10"/>
      <c r="G155" s="10"/>
      <c r="H155" s="10"/>
      <c r="I155" s="10"/>
      <c r="J155" s="10"/>
      <c r="K155" s="10"/>
      <c r="L155" s="10"/>
      <c r="M155" s="10"/>
      <c r="N155" s="10"/>
      <c r="O155" s="19"/>
      <c r="P155" s="19"/>
      <c r="Q155" s="10"/>
      <c r="R155" s="10"/>
      <c r="S155" s="10"/>
      <c r="T155" s="10"/>
      <c r="U155" s="10"/>
      <c r="V155" s="10"/>
      <c r="W155" s="10"/>
      <c r="X155" s="10"/>
      <c r="Y155" s="10"/>
      <c r="Z155" s="10"/>
      <c r="AA155" s="10"/>
      <c r="AB155" s="10"/>
    </row>
    <row r="156" ht="15.75" customHeight="1">
      <c r="A156" s="10"/>
      <c r="B156" s="10"/>
      <c r="C156" s="10"/>
      <c r="D156" s="10"/>
      <c r="E156" s="10"/>
      <c r="F156" s="10"/>
      <c r="G156" s="10"/>
      <c r="H156" s="10"/>
      <c r="I156" s="10"/>
      <c r="J156" s="10"/>
      <c r="K156" s="10"/>
      <c r="L156" s="10"/>
      <c r="M156" s="10"/>
      <c r="N156" s="10"/>
      <c r="O156" s="19"/>
      <c r="P156" s="19"/>
      <c r="Q156" s="10"/>
      <c r="R156" s="10"/>
      <c r="S156" s="10"/>
      <c r="T156" s="10"/>
      <c r="U156" s="10"/>
      <c r="V156" s="10"/>
      <c r="W156" s="10"/>
      <c r="X156" s="10"/>
      <c r="Y156" s="10"/>
      <c r="Z156" s="10"/>
      <c r="AA156" s="10"/>
      <c r="AB156" s="10"/>
    </row>
    <row r="157" ht="15.75" customHeight="1">
      <c r="A157" s="10"/>
      <c r="B157" s="10"/>
      <c r="C157" s="10"/>
      <c r="D157" s="10"/>
      <c r="E157" s="10"/>
      <c r="F157" s="10"/>
      <c r="G157" s="10"/>
      <c r="H157" s="10"/>
      <c r="I157" s="10"/>
      <c r="J157" s="10"/>
      <c r="K157" s="10"/>
      <c r="L157" s="10"/>
      <c r="M157" s="10"/>
      <c r="N157" s="10"/>
      <c r="O157" s="19"/>
      <c r="P157" s="19"/>
      <c r="Q157" s="10"/>
      <c r="R157" s="10"/>
      <c r="S157" s="10"/>
      <c r="T157" s="10"/>
      <c r="U157" s="10"/>
      <c r="V157" s="10"/>
      <c r="W157" s="10"/>
      <c r="X157" s="10"/>
      <c r="Y157" s="10"/>
      <c r="Z157" s="10"/>
      <c r="AA157" s="10"/>
      <c r="AB157" s="10"/>
    </row>
    <row r="158" ht="15.75" customHeight="1">
      <c r="A158" s="10"/>
      <c r="B158" s="10"/>
      <c r="C158" s="10"/>
      <c r="D158" s="10"/>
      <c r="E158" s="10"/>
      <c r="F158" s="10"/>
      <c r="G158" s="10"/>
      <c r="H158" s="10"/>
      <c r="I158" s="10"/>
      <c r="J158" s="10"/>
      <c r="K158" s="10"/>
      <c r="L158" s="10"/>
      <c r="M158" s="10"/>
      <c r="N158" s="10"/>
      <c r="O158" s="19"/>
      <c r="P158" s="19"/>
      <c r="Q158" s="10"/>
      <c r="R158" s="10"/>
      <c r="S158" s="10"/>
      <c r="T158" s="10"/>
      <c r="U158" s="10"/>
      <c r="V158" s="10"/>
      <c r="W158" s="10"/>
      <c r="X158" s="10"/>
      <c r="Y158" s="10"/>
      <c r="Z158" s="10"/>
      <c r="AA158" s="10"/>
      <c r="AB158" s="10"/>
    </row>
    <row r="159" ht="15.75" customHeight="1">
      <c r="A159" s="10"/>
      <c r="B159" s="10"/>
      <c r="C159" s="10"/>
      <c r="D159" s="10"/>
      <c r="E159" s="10"/>
      <c r="F159" s="10"/>
      <c r="G159" s="10"/>
      <c r="H159" s="10"/>
      <c r="I159" s="10"/>
      <c r="J159" s="10"/>
      <c r="K159" s="10"/>
      <c r="L159" s="10"/>
      <c r="M159" s="10"/>
      <c r="N159" s="10"/>
      <c r="O159" s="19"/>
      <c r="P159" s="19"/>
      <c r="Q159" s="10"/>
      <c r="R159" s="10"/>
      <c r="S159" s="10"/>
      <c r="T159" s="10"/>
      <c r="U159" s="10"/>
      <c r="V159" s="10"/>
      <c r="W159" s="10"/>
      <c r="X159" s="10"/>
      <c r="Y159" s="10"/>
      <c r="Z159" s="10"/>
      <c r="AA159" s="10"/>
      <c r="AB159" s="10"/>
    </row>
    <row r="160" ht="15.75" customHeight="1">
      <c r="A160" s="10"/>
      <c r="B160" s="10"/>
      <c r="C160" s="10"/>
      <c r="D160" s="10"/>
      <c r="E160" s="10"/>
      <c r="F160" s="10"/>
      <c r="G160" s="10"/>
      <c r="H160" s="10"/>
      <c r="I160" s="10"/>
      <c r="J160" s="10"/>
      <c r="K160" s="10"/>
      <c r="L160" s="10"/>
      <c r="M160" s="10"/>
      <c r="N160" s="10"/>
      <c r="O160" s="19"/>
      <c r="P160" s="19"/>
      <c r="Q160" s="10"/>
      <c r="R160" s="10"/>
      <c r="S160" s="10"/>
      <c r="T160" s="10"/>
      <c r="U160" s="10"/>
      <c r="V160" s="10"/>
      <c r="W160" s="10"/>
      <c r="X160" s="10"/>
      <c r="Y160" s="10"/>
      <c r="Z160" s="10"/>
      <c r="AA160" s="10"/>
      <c r="AB160" s="10"/>
    </row>
    <row r="161" ht="15.75" customHeight="1">
      <c r="A161" s="10"/>
      <c r="B161" s="10"/>
      <c r="C161" s="10"/>
      <c r="D161" s="10"/>
      <c r="E161" s="10"/>
      <c r="F161" s="10"/>
      <c r="G161" s="10"/>
      <c r="H161" s="10"/>
      <c r="I161" s="10"/>
      <c r="J161" s="10"/>
      <c r="K161" s="10"/>
      <c r="L161" s="10"/>
      <c r="M161" s="10"/>
      <c r="N161" s="10"/>
      <c r="O161" s="19"/>
      <c r="P161" s="19"/>
      <c r="Q161" s="10"/>
      <c r="R161" s="10"/>
      <c r="S161" s="10"/>
      <c r="T161" s="10"/>
      <c r="U161" s="10"/>
      <c r="V161" s="10"/>
      <c r="W161" s="10"/>
      <c r="X161" s="10"/>
      <c r="Y161" s="10"/>
      <c r="Z161" s="10"/>
      <c r="AA161" s="10"/>
      <c r="AB161" s="10"/>
    </row>
    <row r="162" ht="15.75" customHeight="1">
      <c r="A162" s="10"/>
      <c r="B162" s="10"/>
      <c r="C162" s="10"/>
      <c r="D162" s="10"/>
      <c r="E162" s="10"/>
      <c r="F162" s="10"/>
      <c r="G162" s="10"/>
      <c r="H162" s="10"/>
      <c r="I162" s="10"/>
      <c r="J162" s="10"/>
      <c r="K162" s="10"/>
      <c r="L162" s="10"/>
      <c r="M162" s="10"/>
      <c r="N162" s="10"/>
      <c r="O162" s="19"/>
      <c r="P162" s="19"/>
      <c r="Q162" s="10"/>
      <c r="R162" s="10"/>
      <c r="S162" s="10"/>
      <c r="T162" s="10"/>
      <c r="U162" s="10"/>
      <c r="V162" s="10"/>
      <c r="W162" s="10"/>
      <c r="X162" s="10"/>
      <c r="Y162" s="10"/>
      <c r="Z162" s="10"/>
      <c r="AA162" s="10"/>
      <c r="AB162" s="10"/>
    </row>
    <row r="163" ht="15.75" customHeight="1">
      <c r="A163" s="10"/>
      <c r="B163" s="10"/>
      <c r="C163" s="10"/>
      <c r="D163" s="10"/>
      <c r="E163" s="10"/>
      <c r="F163" s="10"/>
      <c r="G163" s="10"/>
      <c r="H163" s="10"/>
      <c r="I163" s="10"/>
      <c r="J163" s="10"/>
      <c r="K163" s="10"/>
      <c r="L163" s="10"/>
      <c r="M163" s="10"/>
      <c r="N163" s="10"/>
      <c r="O163" s="19"/>
      <c r="P163" s="19"/>
      <c r="Q163" s="10"/>
      <c r="R163" s="10"/>
      <c r="S163" s="10"/>
      <c r="T163" s="10"/>
      <c r="U163" s="10"/>
      <c r="V163" s="10"/>
      <c r="W163" s="10"/>
      <c r="X163" s="10"/>
      <c r="Y163" s="10"/>
      <c r="Z163" s="10"/>
      <c r="AA163" s="10"/>
      <c r="AB163" s="10"/>
    </row>
    <row r="164" ht="15.75" customHeight="1">
      <c r="A164" s="10"/>
      <c r="B164" s="10"/>
      <c r="C164" s="10"/>
      <c r="D164" s="10"/>
      <c r="E164" s="10"/>
      <c r="F164" s="10"/>
      <c r="G164" s="10"/>
      <c r="H164" s="10"/>
      <c r="I164" s="10"/>
      <c r="J164" s="10"/>
      <c r="K164" s="10"/>
      <c r="L164" s="10"/>
      <c r="M164" s="10"/>
      <c r="N164" s="10"/>
      <c r="O164" s="19"/>
      <c r="P164" s="19"/>
      <c r="Q164" s="10"/>
      <c r="R164" s="10"/>
      <c r="S164" s="10"/>
      <c r="T164" s="10"/>
      <c r="U164" s="10"/>
      <c r="V164" s="10"/>
      <c r="W164" s="10"/>
      <c r="X164" s="10"/>
      <c r="Y164" s="10"/>
      <c r="Z164" s="10"/>
      <c r="AA164" s="10"/>
      <c r="AB164" s="10"/>
    </row>
    <row r="165" ht="15.75" customHeight="1">
      <c r="A165" s="10"/>
      <c r="B165" s="10"/>
      <c r="C165" s="10"/>
      <c r="D165" s="10"/>
      <c r="E165" s="10"/>
      <c r="F165" s="10"/>
      <c r="G165" s="10"/>
      <c r="H165" s="10"/>
      <c r="I165" s="10"/>
      <c r="J165" s="10"/>
      <c r="K165" s="10"/>
      <c r="L165" s="10"/>
      <c r="M165" s="10"/>
      <c r="N165" s="10"/>
      <c r="O165" s="19"/>
      <c r="P165" s="19"/>
      <c r="Q165" s="10"/>
      <c r="R165" s="10"/>
      <c r="S165" s="10"/>
      <c r="T165" s="10"/>
      <c r="U165" s="10"/>
      <c r="V165" s="10"/>
      <c r="W165" s="10"/>
      <c r="X165" s="10"/>
      <c r="Y165" s="10"/>
      <c r="Z165" s="10"/>
      <c r="AA165" s="10"/>
      <c r="AB165" s="10"/>
    </row>
    <row r="166" ht="15.75" customHeight="1">
      <c r="A166" s="10"/>
      <c r="B166" s="10"/>
      <c r="C166" s="10"/>
      <c r="D166" s="10"/>
      <c r="E166" s="10"/>
      <c r="F166" s="10"/>
      <c r="G166" s="10"/>
      <c r="H166" s="10"/>
      <c r="I166" s="10"/>
      <c r="J166" s="10"/>
      <c r="K166" s="10"/>
      <c r="L166" s="10"/>
      <c r="M166" s="10"/>
      <c r="N166" s="10"/>
      <c r="O166" s="19"/>
      <c r="P166" s="19"/>
      <c r="Q166" s="10"/>
      <c r="R166" s="10"/>
      <c r="S166" s="10"/>
      <c r="T166" s="10"/>
      <c r="U166" s="10"/>
      <c r="V166" s="10"/>
      <c r="W166" s="10"/>
      <c r="X166" s="10"/>
      <c r="Y166" s="10"/>
      <c r="Z166" s="10"/>
      <c r="AA166" s="10"/>
      <c r="AB166" s="10"/>
    </row>
    <row r="167" ht="15.75" customHeight="1">
      <c r="A167" s="10"/>
      <c r="B167" s="10"/>
      <c r="C167" s="10"/>
      <c r="D167" s="10"/>
      <c r="E167" s="10"/>
      <c r="F167" s="10"/>
      <c r="G167" s="10"/>
      <c r="H167" s="10"/>
      <c r="I167" s="10"/>
      <c r="J167" s="10"/>
      <c r="K167" s="10"/>
      <c r="L167" s="10"/>
      <c r="M167" s="10"/>
      <c r="N167" s="10"/>
      <c r="O167" s="19"/>
      <c r="P167" s="19"/>
      <c r="Q167" s="10"/>
      <c r="R167" s="10"/>
      <c r="S167" s="10"/>
      <c r="T167" s="10"/>
      <c r="U167" s="10"/>
      <c r="V167" s="10"/>
      <c r="W167" s="10"/>
      <c r="X167" s="10"/>
      <c r="Y167" s="10"/>
      <c r="Z167" s="10"/>
      <c r="AA167" s="10"/>
      <c r="AB167" s="10"/>
    </row>
    <row r="168" ht="15.75" customHeight="1">
      <c r="A168" s="10"/>
      <c r="B168" s="10"/>
      <c r="C168" s="10"/>
      <c r="D168" s="10"/>
      <c r="E168" s="10"/>
      <c r="F168" s="10"/>
      <c r="G168" s="10"/>
      <c r="H168" s="10"/>
      <c r="I168" s="10"/>
      <c r="J168" s="10"/>
      <c r="K168" s="10"/>
      <c r="L168" s="10"/>
      <c r="M168" s="10"/>
      <c r="N168" s="10"/>
      <c r="O168" s="19"/>
      <c r="P168" s="19"/>
      <c r="Q168" s="10"/>
      <c r="R168" s="10"/>
      <c r="S168" s="10"/>
      <c r="T168" s="10"/>
      <c r="U168" s="10"/>
      <c r="V168" s="10"/>
      <c r="W168" s="10"/>
      <c r="X168" s="10"/>
      <c r="Y168" s="10"/>
      <c r="Z168" s="10"/>
      <c r="AA168" s="10"/>
      <c r="AB168" s="10"/>
    </row>
    <row r="169" ht="15.75" customHeight="1">
      <c r="A169" s="10"/>
      <c r="B169" s="10"/>
      <c r="C169" s="10"/>
      <c r="D169" s="10"/>
      <c r="E169" s="10"/>
      <c r="F169" s="10"/>
      <c r="G169" s="10"/>
      <c r="H169" s="10"/>
      <c r="I169" s="10"/>
      <c r="J169" s="10"/>
      <c r="K169" s="10"/>
      <c r="L169" s="10"/>
      <c r="M169" s="10"/>
      <c r="N169" s="10"/>
      <c r="O169" s="19"/>
      <c r="P169" s="19"/>
      <c r="Q169" s="10"/>
      <c r="R169" s="10"/>
      <c r="S169" s="10"/>
      <c r="T169" s="10"/>
      <c r="U169" s="10"/>
      <c r="V169" s="10"/>
      <c r="W169" s="10"/>
      <c r="X169" s="10"/>
      <c r="Y169" s="10"/>
      <c r="Z169" s="10"/>
      <c r="AA169" s="10"/>
      <c r="AB169" s="10"/>
    </row>
    <row r="170" ht="15.75" customHeight="1">
      <c r="A170" s="10"/>
      <c r="B170" s="10"/>
      <c r="C170" s="10"/>
      <c r="D170" s="10"/>
      <c r="E170" s="10"/>
      <c r="F170" s="10"/>
      <c r="G170" s="10"/>
      <c r="H170" s="10"/>
      <c r="I170" s="10"/>
      <c r="J170" s="10"/>
      <c r="K170" s="10"/>
      <c r="L170" s="10"/>
      <c r="M170" s="10"/>
      <c r="N170" s="10"/>
      <c r="O170" s="19"/>
      <c r="P170" s="19"/>
      <c r="Q170" s="10"/>
      <c r="R170" s="10"/>
      <c r="S170" s="10"/>
      <c r="T170" s="10"/>
      <c r="U170" s="10"/>
      <c r="V170" s="10"/>
      <c r="W170" s="10"/>
      <c r="X170" s="10"/>
      <c r="Y170" s="10"/>
      <c r="Z170" s="10"/>
      <c r="AA170" s="10"/>
      <c r="AB170" s="10"/>
    </row>
    <row r="171" ht="15.75" customHeight="1">
      <c r="A171" s="10"/>
      <c r="B171" s="10"/>
      <c r="C171" s="10"/>
      <c r="D171" s="10"/>
      <c r="E171" s="10"/>
      <c r="F171" s="10"/>
      <c r="G171" s="10"/>
      <c r="H171" s="10"/>
      <c r="I171" s="10"/>
      <c r="J171" s="10"/>
      <c r="K171" s="10"/>
      <c r="L171" s="10"/>
      <c r="M171" s="10"/>
      <c r="N171" s="10"/>
      <c r="O171" s="19"/>
      <c r="P171" s="19"/>
      <c r="Q171" s="10"/>
      <c r="R171" s="10"/>
      <c r="S171" s="10"/>
      <c r="T171" s="10"/>
      <c r="U171" s="10"/>
      <c r="V171" s="10"/>
      <c r="W171" s="10"/>
      <c r="X171" s="10"/>
      <c r="Y171" s="10"/>
      <c r="Z171" s="10"/>
      <c r="AA171" s="10"/>
      <c r="AB171" s="10"/>
    </row>
    <row r="172" ht="15.75" customHeight="1">
      <c r="A172" s="10"/>
      <c r="B172" s="10"/>
      <c r="C172" s="10"/>
      <c r="D172" s="10"/>
      <c r="E172" s="10"/>
      <c r="F172" s="10"/>
      <c r="G172" s="10"/>
      <c r="H172" s="10"/>
      <c r="I172" s="10"/>
      <c r="J172" s="10"/>
      <c r="K172" s="10"/>
      <c r="L172" s="10"/>
      <c r="M172" s="10"/>
      <c r="N172" s="10"/>
      <c r="O172" s="19"/>
      <c r="P172" s="19"/>
      <c r="Q172" s="10"/>
      <c r="R172" s="10"/>
      <c r="S172" s="10"/>
      <c r="T172" s="10"/>
      <c r="U172" s="10"/>
      <c r="V172" s="10"/>
      <c r="W172" s="10"/>
      <c r="X172" s="10"/>
      <c r="Y172" s="10"/>
      <c r="Z172" s="10"/>
      <c r="AA172" s="10"/>
      <c r="AB172" s="10"/>
    </row>
    <row r="173" ht="15.75" customHeight="1">
      <c r="A173" s="10"/>
      <c r="B173" s="10"/>
      <c r="C173" s="10"/>
      <c r="D173" s="10"/>
      <c r="E173" s="10"/>
      <c r="F173" s="10"/>
      <c r="G173" s="10"/>
      <c r="H173" s="10"/>
      <c r="I173" s="10"/>
      <c r="J173" s="10"/>
      <c r="K173" s="10"/>
      <c r="L173" s="10"/>
      <c r="M173" s="10"/>
      <c r="N173" s="10"/>
      <c r="O173" s="19"/>
      <c r="P173" s="19"/>
      <c r="Q173" s="10"/>
      <c r="R173" s="10"/>
      <c r="S173" s="10"/>
      <c r="T173" s="10"/>
      <c r="U173" s="10"/>
      <c r="V173" s="10"/>
      <c r="W173" s="10"/>
      <c r="X173" s="10"/>
      <c r="Y173" s="10"/>
      <c r="Z173" s="10"/>
      <c r="AA173" s="10"/>
      <c r="AB173" s="10"/>
    </row>
    <row r="174" ht="15.75" customHeight="1">
      <c r="A174" s="10"/>
      <c r="B174" s="10"/>
      <c r="C174" s="10"/>
      <c r="D174" s="10"/>
      <c r="E174" s="10"/>
      <c r="F174" s="10"/>
      <c r="G174" s="10"/>
      <c r="H174" s="10"/>
      <c r="I174" s="10"/>
      <c r="J174" s="10"/>
      <c r="K174" s="10"/>
      <c r="L174" s="10"/>
      <c r="M174" s="10"/>
      <c r="N174" s="10"/>
      <c r="O174" s="19"/>
      <c r="P174" s="19"/>
      <c r="Q174" s="10"/>
      <c r="R174" s="10"/>
      <c r="S174" s="10"/>
      <c r="T174" s="10"/>
      <c r="U174" s="10"/>
      <c r="V174" s="10"/>
      <c r="W174" s="10"/>
      <c r="X174" s="10"/>
      <c r="Y174" s="10"/>
      <c r="Z174" s="10"/>
      <c r="AA174" s="10"/>
      <c r="AB174" s="10"/>
    </row>
    <row r="175" ht="15.75" customHeight="1">
      <c r="A175" s="10"/>
      <c r="B175" s="10"/>
      <c r="C175" s="10"/>
      <c r="D175" s="10"/>
      <c r="E175" s="10"/>
      <c r="F175" s="10"/>
      <c r="G175" s="10"/>
      <c r="H175" s="10"/>
      <c r="I175" s="10"/>
      <c r="J175" s="10"/>
      <c r="K175" s="10"/>
      <c r="L175" s="10"/>
      <c r="M175" s="10"/>
      <c r="N175" s="10"/>
      <c r="O175" s="19"/>
      <c r="P175" s="19"/>
      <c r="Q175" s="10"/>
      <c r="R175" s="10"/>
      <c r="S175" s="10"/>
      <c r="T175" s="10"/>
      <c r="U175" s="10"/>
      <c r="V175" s="10"/>
      <c r="W175" s="10"/>
      <c r="X175" s="10"/>
      <c r="Y175" s="10"/>
      <c r="Z175" s="10"/>
      <c r="AA175" s="10"/>
      <c r="AB175" s="10"/>
    </row>
    <row r="176" ht="15.75" customHeight="1">
      <c r="A176" s="10"/>
      <c r="B176" s="10"/>
      <c r="C176" s="10"/>
      <c r="D176" s="10"/>
      <c r="E176" s="10"/>
      <c r="F176" s="10"/>
      <c r="G176" s="10"/>
      <c r="H176" s="10"/>
      <c r="I176" s="10"/>
      <c r="J176" s="10"/>
      <c r="K176" s="10"/>
      <c r="L176" s="10"/>
      <c r="M176" s="10"/>
      <c r="N176" s="10"/>
      <c r="O176" s="19"/>
      <c r="P176" s="19"/>
      <c r="Q176" s="10"/>
      <c r="R176" s="10"/>
      <c r="S176" s="10"/>
      <c r="T176" s="10"/>
      <c r="U176" s="10"/>
      <c r="V176" s="10"/>
      <c r="W176" s="10"/>
      <c r="X176" s="10"/>
      <c r="Y176" s="10"/>
      <c r="Z176" s="10"/>
      <c r="AA176" s="10"/>
      <c r="AB176" s="10"/>
    </row>
    <row r="177" ht="15.75" customHeight="1">
      <c r="A177" s="10"/>
      <c r="B177" s="10"/>
      <c r="C177" s="10"/>
      <c r="D177" s="10"/>
      <c r="E177" s="10"/>
      <c r="F177" s="10"/>
      <c r="G177" s="10"/>
      <c r="H177" s="10"/>
      <c r="I177" s="10"/>
      <c r="J177" s="10"/>
      <c r="K177" s="10"/>
      <c r="L177" s="10"/>
      <c r="M177" s="10"/>
      <c r="N177" s="10"/>
      <c r="O177" s="19"/>
      <c r="P177" s="19"/>
      <c r="Q177" s="10"/>
      <c r="R177" s="10"/>
      <c r="S177" s="10"/>
      <c r="T177" s="10"/>
      <c r="U177" s="10"/>
      <c r="V177" s="10"/>
      <c r="W177" s="10"/>
      <c r="X177" s="10"/>
      <c r="Y177" s="10"/>
      <c r="Z177" s="10"/>
      <c r="AA177" s="10"/>
      <c r="AB177" s="10"/>
    </row>
    <row r="178" ht="15.75" customHeight="1">
      <c r="A178" s="10"/>
      <c r="B178" s="10"/>
      <c r="C178" s="10"/>
      <c r="D178" s="10"/>
      <c r="E178" s="10"/>
      <c r="F178" s="10"/>
      <c r="G178" s="10"/>
      <c r="H178" s="10"/>
      <c r="I178" s="10"/>
      <c r="J178" s="10"/>
      <c r="K178" s="10"/>
      <c r="L178" s="10"/>
      <c r="M178" s="10"/>
      <c r="N178" s="10"/>
      <c r="O178" s="19"/>
      <c r="P178" s="19"/>
      <c r="Q178" s="10"/>
      <c r="R178" s="10"/>
      <c r="S178" s="10"/>
      <c r="T178" s="10"/>
      <c r="U178" s="10"/>
      <c r="V178" s="10"/>
      <c r="W178" s="10"/>
      <c r="X178" s="10"/>
      <c r="Y178" s="10"/>
      <c r="Z178" s="10"/>
      <c r="AA178" s="10"/>
      <c r="AB178" s="10"/>
    </row>
    <row r="179" ht="15.75" customHeight="1">
      <c r="A179" s="10"/>
      <c r="B179" s="10"/>
      <c r="C179" s="10"/>
      <c r="D179" s="10"/>
      <c r="E179" s="10"/>
      <c r="F179" s="10"/>
      <c r="G179" s="10"/>
      <c r="H179" s="10"/>
      <c r="I179" s="10"/>
      <c r="J179" s="10"/>
      <c r="K179" s="10"/>
      <c r="L179" s="10"/>
      <c r="M179" s="10"/>
      <c r="N179" s="10"/>
      <c r="O179" s="19"/>
      <c r="P179" s="19"/>
      <c r="Q179" s="10"/>
      <c r="R179" s="10"/>
      <c r="S179" s="10"/>
      <c r="T179" s="10"/>
      <c r="U179" s="10"/>
      <c r="V179" s="10"/>
      <c r="W179" s="10"/>
      <c r="X179" s="10"/>
      <c r="Y179" s="10"/>
      <c r="Z179" s="10"/>
      <c r="AA179" s="10"/>
      <c r="AB179" s="10"/>
    </row>
    <row r="180" ht="15.75" customHeight="1">
      <c r="A180" s="10"/>
      <c r="B180" s="10"/>
      <c r="C180" s="10"/>
      <c r="D180" s="10"/>
      <c r="E180" s="10"/>
      <c r="F180" s="10"/>
      <c r="G180" s="10"/>
      <c r="H180" s="10"/>
      <c r="I180" s="10"/>
      <c r="J180" s="10"/>
      <c r="K180" s="10"/>
      <c r="L180" s="10"/>
      <c r="M180" s="10"/>
      <c r="N180" s="10"/>
      <c r="O180" s="19"/>
      <c r="P180" s="19"/>
      <c r="Q180" s="10"/>
      <c r="R180" s="10"/>
      <c r="S180" s="10"/>
      <c r="T180" s="10"/>
      <c r="U180" s="10"/>
      <c r="V180" s="10"/>
      <c r="W180" s="10"/>
      <c r="X180" s="10"/>
      <c r="Y180" s="10"/>
      <c r="Z180" s="10"/>
      <c r="AA180" s="10"/>
      <c r="AB180" s="10"/>
    </row>
    <row r="181" ht="15.75" customHeight="1">
      <c r="A181" s="10"/>
      <c r="B181" s="10"/>
      <c r="C181" s="10"/>
      <c r="D181" s="10"/>
      <c r="E181" s="10"/>
      <c r="F181" s="10"/>
      <c r="G181" s="10"/>
      <c r="H181" s="10"/>
      <c r="I181" s="10"/>
      <c r="J181" s="10"/>
      <c r="K181" s="10"/>
      <c r="L181" s="10"/>
      <c r="M181" s="10"/>
      <c r="N181" s="10"/>
      <c r="O181" s="19"/>
      <c r="P181" s="19"/>
      <c r="Q181" s="10"/>
      <c r="R181" s="10"/>
      <c r="S181" s="10"/>
      <c r="T181" s="10"/>
      <c r="U181" s="10"/>
      <c r="V181" s="10"/>
      <c r="W181" s="10"/>
      <c r="X181" s="10"/>
      <c r="Y181" s="10"/>
      <c r="Z181" s="10"/>
      <c r="AA181" s="10"/>
      <c r="AB181" s="10"/>
    </row>
    <row r="182" ht="15.75" customHeight="1">
      <c r="A182" s="10"/>
      <c r="B182" s="10"/>
      <c r="C182" s="10"/>
      <c r="D182" s="10"/>
      <c r="E182" s="10"/>
      <c r="F182" s="10"/>
      <c r="G182" s="10"/>
      <c r="H182" s="10"/>
      <c r="I182" s="10"/>
      <c r="J182" s="10"/>
      <c r="K182" s="10"/>
      <c r="L182" s="10"/>
      <c r="M182" s="10"/>
      <c r="N182" s="10"/>
      <c r="O182" s="19"/>
      <c r="P182" s="19"/>
      <c r="Q182" s="10"/>
      <c r="R182" s="10"/>
      <c r="S182" s="10"/>
      <c r="T182" s="10"/>
      <c r="U182" s="10"/>
      <c r="V182" s="10"/>
      <c r="W182" s="10"/>
      <c r="X182" s="10"/>
      <c r="Y182" s="10"/>
      <c r="Z182" s="10"/>
      <c r="AA182" s="10"/>
      <c r="AB182" s="10"/>
    </row>
    <row r="183" ht="15.75" customHeight="1">
      <c r="A183" s="10"/>
      <c r="B183" s="10"/>
      <c r="C183" s="10"/>
      <c r="D183" s="10"/>
      <c r="E183" s="10"/>
      <c r="F183" s="10"/>
      <c r="G183" s="10"/>
      <c r="H183" s="10"/>
      <c r="I183" s="10"/>
      <c r="J183" s="10"/>
      <c r="K183" s="10"/>
      <c r="L183" s="10"/>
      <c r="M183" s="10"/>
      <c r="N183" s="10"/>
      <c r="O183" s="19"/>
      <c r="P183" s="19"/>
      <c r="Q183" s="10"/>
      <c r="R183" s="10"/>
      <c r="S183" s="10"/>
      <c r="T183" s="10"/>
      <c r="U183" s="10"/>
      <c r="V183" s="10"/>
      <c r="W183" s="10"/>
      <c r="X183" s="10"/>
      <c r="Y183" s="10"/>
      <c r="Z183" s="10"/>
      <c r="AA183" s="10"/>
      <c r="AB183" s="10"/>
    </row>
    <row r="184" ht="15.75" customHeight="1">
      <c r="A184" s="10"/>
      <c r="B184" s="10"/>
      <c r="C184" s="10"/>
      <c r="D184" s="10"/>
      <c r="E184" s="10"/>
      <c r="F184" s="10"/>
      <c r="G184" s="10"/>
      <c r="H184" s="10"/>
      <c r="I184" s="10"/>
      <c r="J184" s="10"/>
      <c r="K184" s="10"/>
      <c r="L184" s="10"/>
      <c r="M184" s="10"/>
      <c r="N184" s="10"/>
      <c r="O184" s="19"/>
      <c r="P184" s="19"/>
      <c r="Q184" s="10"/>
      <c r="R184" s="10"/>
      <c r="S184" s="10"/>
      <c r="T184" s="10"/>
      <c r="U184" s="10"/>
      <c r="V184" s="10"/>
      <c r="W184" s="10"/>
      <c r="X184" s="10"/>
      <c r="Y184" s="10"/>
      <c r="Z184" s="10"/>
      <c r="AA184" s="10"/>
      <c r="AB184" s="10"/>
    </row>
    <row r="185" ht="15.75" customHeight="1">
      <c r="A185" s="10"/>
      <c r="B185" s="10"/>
      <c r="C185" s="10"/>
      <c r="D185" s="10"/>
      <c r="E185" s="10"/>
      <c r="F185" s="10"/>
      <c r="G185" s="10"/>
      <c r="H185" s="10"/>
      <c r="I185" s="10"/>
      <c r="J185" s="10"/>
      <c r="K185" s="10"/>
      <c r="L185" s="10"/>
      <c r="M185" s="10"/>
      <c r="N185" s="10"/>
      <c r="O185" s="19"/>
      <c r="P185" s="19"/>
      <c r="Q185" s="10"/>
      <c r="R185" s="10"/>
      <c r="S185" s="10"/>
      <c r="T185" s="10"/>
      <c r="U185" s="10"/>
      <c r="V185" s="10"/>
      <c r="W185" s="10"/>
      <c r="X185" s="10"/>
      <c r="Y185" s="10"/>
      <c r="Z185" s="10"/>
      <c r="AA185" s="10"/>
      <c r="AB185" s="10"/>
    </row>
    <row r="186" ht="15.75" customHeight="1">
      <c r="A186" s="10"/>
      <c r="B186" s="10"/>
      <c r="C186" s="10"/>
      <c r="D186" s="10"/>
      <c r="E186" s="10"/>
      <c r="F186" s="10"/>
      <c r="G186" s="10"/>
      <c r="H186" s="10"/>
      <c r="I186" s="10"/>
      <c r="J186" s="10"/>
      <c r="K186" s="10"/>
      <c r="L186" s="10"/>
      <c r="M186" s="10"/>
      <c r="N186" s="10"/>
      <c r="O186" s="19"/>
      <c r="P186" s="19"/>
      <c r="Q186" s="10"/>
      <c r="R186" s="10"/>
      <c r="S186" s="10"/>
      <c r="T186" s="10"/>
      <c r="U186" s="10"/>
      <c r="V186" s="10"/>
      <c r="W186" s="10"/>
      <c r="X186" s="10"/>
      <c r="Y186" s="10"/>
      <c r="Z186" s="10"/>
      <c r="AA186" s="10"/>
      <c r="AB186" s="10"/>
    </row>
    <row r="187" ht="15.75" customHeight="1">
      <c r="A187" s="10"/>
      <c r="B187" s="10"/>
      <c r="C187" s="10"/>
      <c r="D187" s="10"/>
      <c r="E187" s="10"/>
      <c r="F187" s="10"/>
      <c r="G187" s="10"/>
      <c r="H187" s="10"/>
      <c r="I187" s="10"/>
      <c r="J187" s="10"/>
      <c r="K187" s="10"/>
      <c r="L187" s="10"/>
      <c r="M187" s="10"/>
      <c r="N187" s="10"/>
      <c r="O187" s="19"/>
      <c r="P187" s="19"/>
      <c r="Q187" s="10"/>
      <c r="R187" s="10"/>
      <c r="S187" s="10"/>
      <c r="T187" s="10"/>
      <c r="U187" s="10"/>
      <c r="V187" s="10"/>
      <c r="W187" s="10"/>
      <c r="X187" s="10"/>
      <c r="Y187" s="10"/>
      <c r="Z187" s="10"/>
      <c r="AA187" s="10"/>
      <c r="AB187" s="10"/>
    </row>
    <row r="188" ht="15.75" customHeight="1">
      <c r="A188" s="10"/>
      <c r="B188" s="10"/>
      <c r="C188" s="10"/>
      <c r="D188" s="10"/>
      <c r="E188" s="10"/>
      <c r="F188" s="10"/>
      <c r="G188" s="10"/>
      <c r="H188" s="10"/>
      <c r="I188" s="10"/>
      <c r="J188" s="10"/>
      <c r="K188" s="10"/>
      <c r="L188" s="10"/>
      <c r="M188" s="10"/>
      <c r="N188" s="10"/>
      <c r="O188" s="19"/>
      <c r="P188" s="19"/>
      <c r="Q188" s="10"/>
      <c r="R188" s="10"/>
      <c r="S188" s="10"/>
      <c r="T188" s="10"/>
      <c r="U188" s="10"/>
      <c r="V188" s="10"/>
      <c r="W188" s="10"/>
      <c r="X188" s="10"/>
      <c r="Y188" s="10"/>
      <c r="Z188" s="10"/>
      <c r="AA188" s="10"/>
      <c r="AB188" s="10"/>
    </row>
    <row r="189" ht="15.75" customHeight="1">
      <c r="A189" s="10"/>
      <c r="B189" s="10"/>
      <c r="C189" s="10"/>
      <c r="D189" s="10"/>
      <c r="E189" s="10"/>
      <c r="F189" s="10"/>
      <c r="G189" s="10"/>
      <c r="H189" s="10"/>
      <c r="I189" s="10"/>
      <c r="J189" s="10"/>
      <c r="K189" s="10"/>
      <c r="L189" s="10"/>
      <c r="M189" s="10"/>
      <c r="N189" s="10"/>
      <c r="O189" s="19"/>
      <c r="P189" s="19"/>
      <c r="Q189" s="10"/>
      <c r="R189" s="10"/>
      <c r="S189" s="10"/>
      <c r="T189" s="10"/>
      <c r="U189" s="10"/>
      <c r="V189" s="10"/>
      <c r="W189" s="10"/>
      <c r="X189" s="10"/>
      <c r="Y189" s="10"/>
      <c r="Z189" s="10"/>
      <c r="AA189" s="10"/>
      <c r="AB189" s="10"/>
    </row>
    <row r="190" ht="15.75" customHeight="1">
      <c r="A190" s="10"/>
      <c r="B190" s="10"/>
      <c r="C190" s="10"/>
      <c r="D190" s="10"/>
      <c r="E190" s="10"/>
      <c r="F190" s="10"/>
      <c r="G190" s="10"/>
      <c r="H190" s="10"/>
      <c r="I190" s="10"/>
      <c r="J190" s="10"/>
      <c r="K190" s="10"/>
      <c r="L190" s="10"/>
      <c r="M190" s="10"/>
      <c r="N190" s="10"/>
      <c r="O190" s="19"/>
      <c r="P190" s="19"/>
      <c r="Q190" s="10"/>
      <c r="R190" s="10"/>
      <c r="S190" s="10"/>
      <c r="T190" s="10"/>
      <c r="U190" s="10"/>
      <c r="V190" s="10"/>
      <c r="W190" s="10"/>
      <c r="X190" s="10"/>
      <c r="Y190" s="10"/>
      <c r="Z190" s="10"/>
      <c r="AA190" s="10"/>
      <c r="AB190" s="10"/>
    </row>
    <row r="191" ht="15.75" customHeight="1">
      <c r="A191" s="10"/>
      <c r="B191" s="10"/>
      <c r="C191" s="10"/>
      <c r="D191" s="10"/>
      <c r="E191" s="10"/>
      <c r="F191" s="10"/>
      <c r="G191" s="10"/>
      <c r="H191" s="10"/>
      <c r="I191" s="10"/>
      <c r="J191" s="10"/>
      <c r="K191" s="10"/>
      <c r="L191" s="10"/>
      <c r="M191" s="10"/>
      <c r="N191" s="10"/>
      <c r="O191" s="19"/>
      <c r="P191" s="19"/>
      <c r="Q191" s="10"/>
      <c r="R191" s="10"/>
      <c r="S191" s="10"/>
      <c r="T191" s="10"/>
      <c r="U191" s="10"/>
      <c r="V191" s="10"/>
      <c r="W191" s="10"/>
      <c r="X191" s="10"/>
      <c r="Y191" s="10"/>
      <c r="Z191" s="10"/>
      <c r="AA191" s="10"/>
      <c r="AB191" s="10"/>
    </row>
    <row r="192" ht="15.75" customHeight="1">
      <c r="A192" s="10"/>
      <c r="B192" s="10"/>
      <c r="C192" s="10"/>
      <c r="D192" s="10"/>
      <c r="E192" s="10"/>
      <c r="F192" s="10"/>
      <c r="G192" s="10"/>
      <c r="H192" s="10"/>
      <c r="I192" s="10"/>
      <c r="J192" s="10"/>
      <c r="K192" s="10"/>
      <c r="L192" s="10"/>
      <c r="M192" s="10"/>
      <c r="N192" s="10"/>
      <c r="O192" s="19"/>
      <c r="P192" s="19"/>
      <c r="Q192" s="10"/>
      <c r="R192" s="10"/>
      <c r="S192" s="10"/>
      <c r="T192" s="10"/>
      <c r="U192" s="10"/>
      <c r="V192" s="10"/>
      <c r="W192" s="10"/>
      <c r="X192" s="10"/>
      <c r="Y192" s="10"/>
      <c r="Z192" s="10"/>
      <c r="AA192" s="10"/>
      <c r="AB192" s="10"/>
    </row>
    <row r="193" ht="15.75" customHeight="1">
      <c r="A193" s="10"/>
      <c r="B193" s="10"/>
      <c r="C193" s="10"/>
      <c r="D193" s="10"/>
      <c r="E193" s="10"/>
      <c r="F193" s="10"/>
      <c r="G193" s="10"/>
      <c r="H193" s="10"/>
      <c r="I193" s="10"/>
      <c r="J193" s="10"/>
      <c r="K193" s="10"/>
      <c r="L193" s="10"/>
      <c r="M193" s="10"/>
      <c r="N193" s="10"/>
      <c r="O193" s="19"/>
      <c r="P193" s="19"/>
      <c r="Q193" s="10"/>
      <c r="R193" s="10"/>
      <c r="S193" s="10"/>
      <c r="T193" s="10"/>
      <c r="U193" s="10"/>
      <c r="V193" s="10"/>
      <c r="W193" s="10"/>
      <c r="X193" s="10"/>
      <c r="Y193" s="10"/>
      <c r="Z193" s="10"/>
      <c r="AA193" s="10"/>
      <c r="AB193" s="10"/>
    </row>
    <row r="194" ht="15.75" customHeight="1">
      <c r="A194" s="10"/>
      <c r="B194" s="10"/>
      <c r="C194" s="10"/>
      <c r="D194" s="10"/>
      <c r="E194" s="10"/>
      <c r="F194" s="10"/>
      <c r="G194" s="10"/>
      <c r="H194" s="10"/>
      <c r="I194" s="10"/>
      <c r="J194" s="10"/>
      <c r="K194" s="10"/>
      <c r="L194" s="10"/>
      <c r="M194" s="10"/>
      <c r="N194" s="10"/>
      <c r="O194" s="19"/>
      <c r="P194" s="19"/>
      <c r="Q194" s="10"/>
      <c r="R194" s="10"/>
      <c r="S194" s="10"/>
      <c r="T194" s="10"/>
      <c r="U194" s="10"/>
      <c r="V194" s="10"/>
      <c r="W194" s="10"/>
      <c r="X194" s="10"/>
      <c r="Y194" s="10"/>
      <c r="Z194" s="10"/>
      <c r="AA194" s="10"/>
      <c r="AB194" s="10"/>
    </row>
    <row r="195" ht="15.75" customHeight="1">
      <c r="A195" s="10"/>
      <c r="B195" s="10"/>
      <c r="C195" s="10"/>
      <c r="D195" s="10"/>
      <c r="E195" s="10"/>
      <c r="F195" s="10"/>
      <c r="G195" s="10"/>
      <c r="H195" s="10"/>
      <c r="I195" s="10"/>
      <c r="J195" s="10"/>
      <c r="K195" s="10"/>
      <c r="L195" s="10"/>
      <c r="M195" s="10"/>
      <c r="N195" s="10"/>
      <c r="O195" s="19"/>
      <c r="P195" s="19"/>
      <c r="Q195" s="10"/>
      <c r="R195" s="10"/>
      <c r="S195" s="10"/>
      <c r="T195" s="10"/>
      <c r="U195" s="10"/>
      <c r="V195" s="10"/>
      <c r="W195" s="10"/>
      <c r="X195" s="10"/>
      <c r="Y195" s="10"/>
      <c r="Z195" s="10"/>
      <c r="AA195" s="10"/>
      <c r="AB195" s="10"/>
    </row>
    <row r="196" ht="15.75" customHeight="1">
      <c r="A196" s="10"/>
      <c r="B196" s="10"/>
      <c r="C196" s="10"/>
      <c r="D196" s="10"/>
      <c r="E196" s="10"/>
      <c r="F196" s="10"/>
      <c r="G196" s="10"/>
      <c r="H196" s="10"/>
      <c r="I196" s="10"/>
      <c r="J196" s="10"/>
      <c r="K196" s="10"/>
      <c r="L196" s="10"/>
      <c r="M196" s="10"/>
      <c r="N196" s="10"/>
      <c r="O196" s="19"/>
      <c r="P196" s="19"/>
      <c r="Q196" s="10"/>
      <c r="R196" s="10"/>
      <c r="S196" s="10"/>
      <c r="T196" s="10"/>
      <c r="U196" s="10"/>
      <c r="V196" s="10"/>
      <c r="W196" s="10"/>
      <c r="X196" s="10"/>
      <c r="Y196" s="10"/>
      <c r="Z196" s="10"/>
      <c r="AA196" s="10"/>
      <c r="AB196" s="10"/>
    </row>
    <row r="197" ht="15.75" customHeight="1">
      <c r="A197" s="10"/>
      <c r="B197" s="10"/>
      <c r="C197" s="10"/>
      <c r="D197" s="10"/>
      <c r="E197" s="10"/>
      <c r="F197" s="10"/>
      <c r="G197" s="10"/>
      <c r="H197" s="10"/>
      <c r="I197" s="10"/>
      <c r="J197" s="10"/>
      <c r="K197" s="10"/>
      <c r="L197" s="10"/>
      <c r="M197" s="10"/>
      <c r="N197" s="10"/>
      <c r="O197" s="19"/>
      <c r="P197" s="19"/>
      <c r="Q197" s="10"/>
      <c r="R197" s="10"/>
      <c r="S197" s="10"/>
      <c r="T197" s="10"/>
      <c r="U197" s="10"/>
      <c r="V197" s="10"/>
      <c r="W197" s="10"/>
      <c r="X197" s="10"/>
      <c r="Y197" s="10"/>
      <c r="Z197" s="10"/>
      <c r="AA197" s="10"/>
      <c r="AB197" s="10"/>
    </row>
    <row r="198" ht="15.75" customHeight="1">
      <c r="A198" s="10"/>
      <c r="B198" s="10"/>
      <c r="C198" s="10"/>
      <c r="D198" s="10"/>
      <c r="E198" s="10"/>
      <c r="F198" s="10"/>
      <c r="G198" s="10"/>
      <c r="H198" s="10"/>
      <c r="I198" s="10"/>
      <c r="J198" s="10"/>
      <c r="K198" s="10"/>
      <c r="L198" s="10"/>
      <c r="M198" s="10"/>
      <c r="N198" s="10"/>
      <c r="O198" s="19"/>
      <c r="P198" s="19"/>
      <c r="Q198" s="10"/>
      <c r="R198" s="10"/>
      <c r="S198" s="10"/>
      <c r="T198" s="10"/>
      <c r="U198" s="10"/>
      <c r="V198" s="10"/>
      <c r="W198" s="10"/>
      <c r="X198" s="10"/>
      <c r="Y198" s="10"/>
      <c r="Z198" s="10"/>
      <c r="AA198" s="10"/>
      <c r="AB198" s="10"/>
    </row>
    <row r="199" ht="15.75" customHeight="1">
      <c r="A199" s="10"/>
      <c r="B199" s="10"/>
      <c r="C199" s="10"/>
      <c r="D199" s="10"/>
      <c r="E199" s="10"/>
      <c r="F199" s="10"/>
      <c r="G199" s="10"/>
      <c r="H199" s="10"/>
      <c r="I199" s="10"/>
      <c r="J199" s="10"/>
      <c r="K199" s="10"/>
      <c r="L199" s="10"/>
      <c r="M199" s="10"/>
      <c r="N199" s="10"/>
      <c r="O199" s="19"/>
      <c r="P199" s="19"/>
      <c r="Q199" s="10"/>
      <c r="R199" s="10"/>
      <c r="S199" s="10"/>
      <c r="T199" s="10"/>
      <c r="U199" s="10"/>
      <c r="V199" s="10"/>
      <c r="W199" s="10"/>
      <c r="X199" s="10"/>
      <c r="Y199" s="10"/>
      <c r="Z199" s="10"/>
      <c r="AA199" s="10"/>
      <c r="AB199" s="10"/>
    </row>
    <row r="200" ht="15.75" customHeight="1">
      <c r="A200" s="10"/>
      <c r="B200" s="10"/>
      <c r="C200" s="10"/>
      <c r="D200" s="10"/>
      <c r="E200" s="10"/>
      <c r="F200" s="10"/>
      <c r="G200" s="10"/>
      <c r="H200" s="10"/>
      <c r="I200" s="10"/>
      <c r="J200" s="10"/>
      <c r="K200" s="10"/>
      <c r="L200" s="10"/>
      <c r="M200" s="10"/>
      <c r="N200" s="10"/>
      <c r="O200" s="19"/>
      <c r="P200" s="19"/>
      <c r="Q200" s="10"/>
      <c r="R200" s="10"/>
      <c r="S200" s="10"/>
      <c r="T200" s="10"/>
      <c r="U200" s="10"/>
      <c r="V200" s="10"/>
      <c r="W200" s="10"/>
      <c r="X200" s="10"/>
      <c r="Y200" s="10"/>
      <c r="Z200" s="10"/>
      <c r="AA200" s="10"/>
      <c r="AB200" s="10"/>
    </row>
    <row r="201" ht="15.75" customHeight="1">
      <c r="A201" s="10"/>
      <c r="B201" s="10"/>
      <c r="C201" s="10"/>
      <c r="D201" s="10"/>
      <c r="E201" s="10"/>
      <c r="F201" s="10"/>
      <c r="G201" s="10"/>
      <c r="H201" s="10"/>
      <c r="I201" s="10"/>
      <c r="J201" s="10"/>
      <c r="K201" s="10"/>
      <c r="L201" s="10"/>
      <c r="M201" s="10"/>
      <c r="N201" s="10"/>
      <c r="O201" s="19"/>
      <c r="P201" s="19"/>
      <c r="Q201" s="10"/>
      <c r="R201" s="10"/>
      <c r="S201" s="10"/>
      <c r="T201" s="10"/>
      <c r="U201" s="10"/>
      <c r="V201" s="10"/>
      <c r="W201" s="10"/>
      <c r="X201" s="10"/>
      <c r="Y201" s="10"/>
      <c r="Z201" s="10"/>
      <c r="AA201" s="10"/>
      <c r="AB201" s="10"/>
    </row>
    <row r="202" ht="15.75" customHeight="1">
      <c r="A202" s="10"/>
      <c r="B202" s="10"/>
      <c r="C202" s="10"/>
      <c r="D202" s="10"/>
      <c r="E202" s="10"/>
      <c r="F202" s="10"/>
      <c r="G202" s="10"/>
      <c r="H202" s="10"/>
      <c r="I202" s="10"/>
      <c r="J202" s="10"/>
      <c r="K202" s="10"/>
      <c r="L202" s="10"/>
      <c r="M202" s="10"/>
      <c r="N202" s="10"/>
      <c r="O202" s="19"/>
      <c r="P202" s="19"/>
      <c r="Q202" s="10"/>
      <c r="R202" s="10"/>
      <c r="S202" s="10"/>
      <c r="T202" s="10"/>
      <c r="U202" s="10"/>
      <c r="V202" s="10"/>
      <c r="W202" s="10"/>
      <c r="X202" s="10"/>
      <c r="Y202" s="10"/>
      <c r="Z202" s="10"/>
      <c r="AA202" s="10"/>
      <c r="AB202" s="10"/>
    </row>
    <row r="203" ht="15.75" customHeight="1">
      <c r="A203" s="10"/>
      <c r="B203" s="10"/>
      <c r="C203" s="10"/>
      <c r="D203" s="10"/>
      <c r="E203" s="10"/>
      <c r="F203" s="10"/>
      <c r="G203" s="10"/>
      <c r="H203" s="10"/>
      <c r="I203" s="10"/>
      <c r="J203" s="10"/>
      <c r="K203" s="10"/>
      <c r="L203" s="10"/>
      <c r="M203" s="10"/>
      <c r="N203" s="10"/>
      <c r="O203" s="19"/>
      <c r="P203" s="19"/>
      <c r="Q203" s="10"/>
      <c r="R203" s="10"/>
      <c r="S203" s="10"/>
      <c r="T203" s="10"/>
      <c r="U203" s="10"/>
      <c r="V203" s="10"/>
      <c r="W203" s="10"/>
      <c r="X203" s="10"/>
      <c r="Y203" s="10"/>
      <c r="Z203" s="10"/>
      <c r="AA203" s="10"/>
      <c r="AB203" s="10"/>
    </row>
    <row r="204" ht="15.75" customHeight="1">
      <c r="A204" s="10"/>
      <c r="B204" s="10"/>
      <c r="C204" s="10"/>
      <c r="D204" s="10"/>
      <c r="E204" s="10"/>
      <c r="F204" s="10"/>
      <c r="G204" s="10"/>
      <c r="H204" s="10"/>
      <c r="I204" s="10"/>
      <c r="J204" s="10"/>
      <c r="K204" s="10"/>
      <c r="L204" s="10"/>
      <c r="M204" s="10"/>
      <c r="N204" s="10"/>
      <c r="O204" s="19"/>
      <c r="P204" s="19"/>
      <c r="Q204" s="10"/>
      <c r="R204" s="10"/>
      <c r="S204" s="10"/>
      <c r="T204" s="10"/>
      <c r="U204" s="10"/>
      <c r="V204" s="10"/>
      <c r="W204" s="10"/>
      <c r="X204" s="10"/>
      <c r="Y204" s="10"/>
      <c r="Z204" s="10"/>
      <c r="AA204" s="10"/>
      <c r="AB204" s="10"/>
    </row>
    <row r="205" ht="15.75" customHeight="1">
      <c r="A205" s="10"/>
      <c r="B205" s="10"/>
      <c r="C205" s="10"/>
      <c r="D205" s="10"/>
      <c r="E205" s="10"/>
      <c r="F205" s="10"/>
      <c r="G205" s="10"/>
      <c r="H205" s="10"/>
      <c r="I205" s="10"/>
      <c r="J205" s="10"/>
      <c r="K205" s="10"/>
      <c r="L205" s="10"/>
      <c r="M205" s="10"/>
      <c r="N205" s="10"/>
      <c r="O205" s="19"/>
      <c r="P205" s="19"/>
      <c r="Q205" s="10"/>
      <c r="R205" s="10"/>
      <c r="S205" s="10"/>
      <c r="T205" s="10"/>
      <c r="U205" s="10"/>
      <c r="V205" s="10"/>
      <c r="W205" s="10"/>
      <c r="X205" s="10"/>
      <c r="Y205" s="10"/>
      <c r="Z205" s="10"/>
      <c r="AA205" s="10"/>
      <c r="AB205" s="10"/>
    </row>
    <row r="206" ht="15.75" customHeight="1">
      <c r="A206" s="10"/>
      <c r="B206" s="10"/>
      <c r="C206" s="10"/>
      <c r="D206" s="10"/>
      <c r="E206" s="10"/>
      <c r="F206" s="10"/>
      <c r="G206" s="10"/>
      <c r="H206" s="10"/>
      <c r="I206" s="10"/>
      <c r="J206" s="10"/>
      <c r="K206" s="10"/>
      <c r="L206" s="10"/>
      <c r="M206" s="10"/>
      <c r="N206" s="10"/>
      <c r="O206" s="19"/>
      <c r="P206" s="19"/>
      <c r="Q206" s="10"/>
      <c r="R206" s="10"/>
      <c r="S206" s="10"/>
      <c r="T206" s="10"/>
      <c r="U206" s="10"/>
      <c r="V206" s="10"/>
      <c r="W206" s="10"/>
      <c r="X206" s="10"/>
      <c r="Y206" s="10"/>
      <c r="Z206" s="10"/>
      <c r="AA206" s="10"/>
      <c r="AB206" s="10"/>
    </row>
    <row r="207" ht="15.75" customHeight="1">
      <c r="A207" s="10"/>
      <c r="B207" s="10"/>
      <c r="C207" s="10"/>
      <c r="D207" s="10"/>
      <c r="E207" s="10"/>
      <c r="F207" s="10"/>
      <c r="G207" s="10"/>
      <c r="H207" s="10"/>
      <c r="I207" s="10"/>
      <c r="J207" s="10"/>
      <c r="K207" s="10"/>
      <c r="L207" s="10"/>
      <c r="M207" s="10"/>
      <c r="N207" s="10"/>
      <c r="O207" s="19"/>
      <c r="P207" s="19"/>
      <c r="Q207" s="10"/>
      <c r="R207" s="10"/>
      <c r="S207" s="10"/>
      <c r="T207" s="10"/>
      <c r="U207" s="10"/>
      <c r="V207" s="10"/>
      <c r="W207" s="10"/>
      <c r="X207" s="10"/>
      <c r="Y207" s="10"/>
      <c r="Z207" s="10"/>
      <c r="AA207" s="10"/>
      <c r="AB207" s="10"/>
    </row>
    <row r="208" ht="15.75" customHeight="1">
      <c r="A208" s="10"/>
      <c r="B208" s="10"/>
      <c r="C208" s="10"/>
      <c r="D208" s="10"/>
      <c r="E208" s="10"/>
      <c r="F208" s="10"/>
      <c r="G208" s="10"/>
      <c r="H208" s="10"/>
      <c r="I208" s="10"/>
      <c r="J208" s="10"/>
      <c r="K208" s="10"/>
      <c r="L208" s="10"/>
      <c r="M208" s="10"/>
      <c r="N208" s="10"/>
      <c r="O208" s="19"/>
      <c r="P208" s="19"/>
      <c r="Q208" s="10"/>
      <c r="R208" s="10"/>
      <c r="S208" s="10"/>
      <c r="T208" s="10"/>
      <c r="U208" s="10"/>
      <c r="V208" s="10"/>
      <c r="W208" s="10"/>
      <c r="X208" s="10"/>
      <c r="Y208" s="10"/>
      <c r="Z208" s="10"/>
      <c r="AA208" s="10"/>
      <c r="AB208" s="10"/>
    </row>
    <row r="209" ht="15.75" customHeight="1">
      <c r="A209" s="10"/>
      <c r="B209" s="10"/>
      <c r="C209" s="10"/>
      <c r="D209" s="10"/>
      <c r="E209" s="10"/>
      <c r="F209" s="10"/>
      <c r="G209" s="10"/>
      <c r="H209" s="10"/>
      <c r="I209" s="10"/>
      <c r="J209" s="10"/>
      <c r="K209" s="10"/>
      <c r="L209" s="10"/>
      <c r="M209" s="10"/>
      <c r="N209" s="10"/>
      <c r="O209" s="19"/>
      <c r="P209" s="19"/>
      <c r="Q209" s="10"/>
      <c r="R209" s="10"/>
      <c r="S209" s="10"/>
      <c r="T209" s="10"/>
      <c r="U209" s="10"/>
      <c r="V209" s="10"/>
      <c r="W209" s="10"/>
      <c r="X209" s="10"/>
      <c r="Y209" s="10"/>
      <c r="Z209" s="10"/>
      <c r="AA209" s="10"/>
      <c r="AB209" s="10"/>
    </row>
    <row r="210" ht="15.75" customHeight="1">
      <c r="A210" s="10"/>
      <c r="B210" s="10"/>
      <c r="C210" s="10"/>
      <c r="D210" s="10"/>
      <c r="E210" s="10"/>
      <c r="F210" s="10"/>
      <c r="G210" s="10"/>
      <c r="H210" s="10"/>
      <c r="I210" s="10"/>
      <c r="J210" s="10"/>
      <c r="K210" s="10"/>
      <c r="L210" s="10"/>
      <c r="M210" s="10"/>
      <c r="N210" s="10"/>
      <c r="O210" s="19"/>
      <c r="P210" s="19"/>
      <c r="Q210" s="10"/>
      <c r="R210" s="10"/>
      <c r="S210" s="10"/>
      <c r="T210" s="10"/>
      <c r="U210" s="10"/>
      <c r="V210" s="10"/>
      <c r="W210" s="10"/>
      <c r="X210" s="10"/>
      <c r="Y210" s="10"/>
      <c r="Z210" s="10"/>
      <c r="AA210" s="10"/>
      <c r="AB210" s="10"/>
    </row>
    <row r="211" ht="15.75" customHeight="1">
      <c r="A211" s="10"/>
      <c r="B211" s="10"/>
      <c r="C211" s="10"/>
      <c r="D211" s="10"/>
      <c r="E211" s="10"/>
      <c r="F211" s="10"/>
      <c r="G211" s="10"/>
      <c r="H211" s="10"/>
      <c r="I211" s="10"/>
      <c r="J211" s="10"/>
      <c r="K211" s="10"/>
      <c r="L211" s="10"/>
      <c r="M211" s="10"/>
      <c r="N211" s="10"/>
      <c r="O211" s="19"/>
      <c r="P211" s="19"/>
      <c r="Q211" s="10"/>
      <c r="R211" s="10"/>
      <c r="S211" s="10"/>
      <c r="T211" s="10"/>
      <c r="U211" s="10"/>
      <c r="V211" s="10"/>
      <c r="W211" s="10"/>
      <c r="X211" s="10"/>
      <c r="Y211" s="10"/>
      <c r="Z211" s="10"/>
      <c r="AA211" s="10"/>
      <c r="AB211" s="10"/>
    </row>
    <row r="212" ht="15.75" customHeight="1">
      <c r="A212" s="10"/>
      <c r="B212" s="10"/>
      <c r="C212" s="10"/>
      <c r="D212" s="10"/>
      <c r="E212" s="10"/>
      <c r="F212" s="10"/>
      <c r="G212" s="10"/>
      <c r="H212" s="10"/>
      <c r="I212" s="10"/>
      <c r="J212" s="10"/>
      <c r="K212" s="10"/>
      <c r="L212" s="10"/>
      <c r="M212" s="10"/>
      <c r="N212" s="10"/>
      <c r="O212" s="19"/>
      <c r="P212" s="19"/>
      <c r="Q212" s="10"/>
      <c r="R212" s="10"/>
      <c r="S212" s="10"/>
      <c r="T212" s="10"/>
      <c r="U212" s="10"/>
      <c r="V212" s="10"/>
      <c r="W212" s="10"/>
      <c r="X212" s="10"/>
      <c r="Y212" s="10"/>
      <c r="Z212" s="10"/>
      <c r="AA212" s="10"/>
      <c r="AB212" s="10"/>
    </row>
    <row r="213" ht="15.75" customHeight="1">
      <c r="A213" s="10"/>
      <c r="B213" s="10"/>
      <c r="C213" s="10"/>
      <c r="D213" s="10"/>
      <c r="E213" s="10"/>
      <c r="F213" s="10"/>
      <c r="G213" s="10"/>
      <c r="H213" s="10"/>
      <c r="I213" s="10"/>
      <c r="J213" s="10"/>
      <c r="K213" s="10"/>
      <c r="L213" s="10"/>
      <c r="M213" s="10"/>
      <c r="N213" s="10"/>
      <c r="O213" s="19"/>
      <c r="P213" s="19"/>
      <c r="Q213" s="10"/>
      <c r="R213" s="10"/>
      <c r="S213" s="10"/>
      <c r="T213" s="10"/>
      <c r="U213" s="10"/>
      <c r="V213" s="10"/>
      <c r="W213" s="10"/>
      <c r="X213" s="10"/>
      <c r="Y213" s="10"/>
      <c r="Z213" s="10"/>
      <c r="AA213" s="10"/>
      <c r="AB213" s="10"/>
    </row>
    <row r="214" ht="15.75" customHeight="1">
      <c r="A214" s="10"/>
      <c r="B214" s="10"/>
      <c r="C214" s="10"/>
      <c r="D214" s="10"/>
      <c r="E214" s="10"/>
      <c r="F214" s="10"/>
      <c r="G214" s="10"/>
      <c r="H214" s="10"/>
      <c r="I214" s="10"/>
      <c r="J214" s="10"/>
      <c r="K214" s="10"/>
      <c r="L214" s="10"/>
      <c r="M214" s="10"/>
      <c r="N214" s="10"/>
      <c r="O214" s="19"/>
      <c r="P214" s="19"/>
      <c r="Q214" s="10"/>
      <c r="R214" s="10"/>
      <c r="S214" s="10"/>
      <c r="T214" s="10"/>
      <c r="U214" s="10"/>
      <c r="V214" s="10"/>
      <c r="W214" s="10"/>
      <c r="X214" s="10"/>
      <c r="Y214" s="10"/>
      <c r="Z214" s="10"/>
      <c r="AA214" s="10"/>
      <c r="AB214" s="10"/>
    </row>
    <row r="215" ht="15.75" customHeight="1">
      <c r="A215" s="10"/>
      <c r="B215" s="10"/>
      <c r="C215" s="10"/>
      <c r="D215" s="10"/>
      <c r="E215" s="10"/>
      <c r="F215" s="10"/>
      <c r="G215" s="10"/>
      <c r="H215" s="10"/>
      <c r="I215" s="10"/>
      <c r="J215" s="10"/>
      <c r="K215" s="10"/>
      <c r="L215" s="10"/>
      <c r="M215" s="10"/>
      <c r="N215" s="10"/>
      <c r="O215" s="19"/>
      <c r="P215" s="19"/>
      <c r="Q215" s="10"/>
      <c r="R215" s="10"/>
      <c r="S215" s="10"/>
      <c r="T215" s="10"/>
      <c r="U215" s="10"/>
      <c r="V215" s="10"/>
      <c r="W215" s="10"/>
      <c r="X215" s="10"/>
      <c r="Y215" s="10"/>
      <c r="Z215" s="10"/>
      <c r="AA215" s="10"/>
      <c r="AB215" s="10"/>
    </row>
    <row r="216" ht="15.75" customHeight="1">
      <c r="A216" s="10"/>
      <c r="B216" s="10"/>
      <c r="C216" s="10"/>
      <c r="D216" s="10"/>
      <c r="E216" s="10"/>
      <c r="F216" s="10"/>
      <c r="G216" s="10"/>
      <c r="H216" s="10"/>
      <c r="I216" s="10"/>
      <c r="J216" s="10"/>
      <c r="K216" s="10"/>
      <c r="L216" s="10"/>
      <c r="M216" s="10"/>
      <c r="N216" s="10"/>
      <c r="O216" s="19"/>
      <c r="P216" s="19"/>
      <c r="Q216" s="10"/>
      <c r="R216" s="10"/>
      <c r="S216" s="10"/>
      <c r="T216" s="10"/>
      <c r="U216" s="10"/>
      <c r="V216" s="10"/>
      <c r="W216" s="10"/>
      <c r="X216" s="10"/>
      <c r="Y216" s="10"/>
      <c r="Z216" s="10"/>
      <c r="AA216" s="10"/>
      <c r="AB216" s="10"/>
    </row>
    <row r="217" ht="15.75" customHeight="1">
      <c r="A217" s="10"/>
      <c r="B217" s="10"/>
      <c r="C217" s="10"/>
      <c r="D217" s="10"/>
      <c r="E217" s="10"/>
      <c r="F217" s="10"/>
      <c r="G217" s="10"/>
      <c r="H217" s="10"/>
      <c r="I217" s="10"/>
      <c r="J217" s="10"/>
      <c r="K217" s="10"/>
      <c r="L217" s="10"/>
      <c r="M217" s="10"/>
      <c r="N217" s="10"/>
      <c r="O217" s="19"/>
      <c r="P217" s="19"/>
      <c r="Q217" s="10"/>
      <c r="R217" s="10"/>
      <c r="S217" s="10"/>
      <c r="T217" s="10"/>
      <c r="U217" s="10"/>
      <c r="V217" s="10"/>
      <c r="W217" s="10"/>
      <c r="X217" s="10"/>
      <c r="Y217" s="10"/>
      <c r="Z217" s="10"/>
      <c r="AA217" s="10"/>
      <c r="AB217" s="10"/>
    </row>
    <row r="218" ht="15.75" customHeight="1">
      <c r="A218" s="10"/>
      <c r="B218" s="10"/>
      <c r="C218" s="10"/>
      <c r="D218" s="10"/>
      <c r="E218" s="10"/>
      <c r="F218" s="10"/>
      <c r="G218" s="10"/>
      <c r="H218" s="10"/>
      <c r="I218" s="10"/>
      <c r="J218" s="10"/>
      <c r="K218" s="10"/>
      <c r="L218" s="10"/>
      <c r="M218" s="10"/>
      <c r="N218" s="10"/>
      <c r="O218" s="19"/>
      <c r="P218" s="19"/>
      <c r="Q218" s="10"/>
      <c r="R218" s="10"/>
      <c r="S218" s="10"/>
      <c r="T218" s="10"/>
      <c r="U218" s="10"/>
      <c r="V218" s="10"/>
      <c r="W218" s="10"/>
      <c r="X218" s="10"/>
      <c r="Y218" s="10"/>
      <c r="Z218" s="10"/>
      <c r="AA218" s="10"/>
      <c r="AB218" s="10"/>
    </row>
    <row r="219" ht="15.75" customHeight="1">
      <c r="A219" s="10"/>
      <c r="B219" s="10"/>
      <c r="C219" s="10"/>
      <c r="D219" s="10"/>
      <c r="E219" s="10"/>
      <c r="F219" s="10"/>
      <c r="G219" s="10"/>
      <c r="H219" s="10"/>
      <c r="I219" s="10"/>
      <c r="J219" s="10"/>
      <c r="K219" s="10"/>
      <c r="L219" s="10"/>
      <c r="M219" s="10"/>
      <c r="N219" s="10"/>
      <c r="O219" s="19"/>
      <c r="P219" s="19"/>
      <c r="Q219" s="10"/>
      <c r="R219" s="10"/>
      <c r="S219" s="10"/>
      <c r="T219" s="10"/>
      <c r="U219" s="10"/>
      <c r="V219" s="10"/>
      <c r="W219" s="10"/>
      <c r="X219" s="10"/>
      <c r="Y219" s="10"/>
      <c r="Z219" s="10"/>
      <c r="AA219" s="10"/>
      <c r="AB219" s="10"/>
    </row>
    <row r="220" ht="15.75" customHeight="1">
      <c r="A220" s="10"/>
      <c r="B220" s="10"/>
      <c r="C220" s="10"/>
      <c r="D220" s="10"/>
      <c r="E220" s="10"/>
      <c r="F220" s="10"/>
      <c r="G220" s="10"/>
      <c r="H220" s="10"/>
      <c r="I220" s="10"/>
      <c r="J220" s="10"/>
      <c r="K220" s="10"/>
      <c r="L220" s="10"/>
      <c r="M220" s="10"/>
      <c r="N220" s="10"/>
      <c r="O220" s="19"/>
      <c r="P220" s="19"/>
      <c r="Q220" s="10"/>
      <c r="R220" s="10"/>
      <c r="S220" s="10"/>
      <c r="T220" s="10"/>
      <c r="U220" s="10"/>
      <c r="V220" s="10"/>
      <c r="W220" s="10"/>
      <c r="X220" s="10"/>
      <c r="Y220" s="10"/>
      <c r="Z220" s="10"/>
      <c r="AA220" s="10"/>
      <c r="AB220" s="10"/>
    </row>
    <row r="221" ht="15.75" customHeight="1">
      <c r="A221" s="10"/>
      <c r="B221" s="10"/>
      <c r="C221" s="10"/>
      <c r="D221" s="10"/>
      <c r="E221" s="10"/>
      <c r="F221" s="10"/>
      <c r="G221" s="10"/>
      <c r="H221" s="10"/>
      <c r="I221" s="10"/>
      <c r="J221" s="10"/>
      <c r="K221" s="10"/>
      <c r="L221" s="10"/>
      <c r="M221" s="10"/>
      <c r="N221" s="10"/>
      <c r="O221" s="19"/>
      <c r="P221" s="19"/>
      <c r="Q221" s="10"/>
      <c r="R221" s="10"/>
      <c r="S221" s="10"/>
      <c r="T221" s="10"/>
      <c r="U221" s="10"/>
      <c r="V221" s="10"/>
      <c r="W221" s="10"/>
      <c r="X221" s="10"/>
      <c r="Y221" s="10"/>
      <c r="Z221" s="10"/>
      <c r="AA221" s="10"/>
      <c r="AB221" s="10"/>
    </row>
    <row r="222" ht="15.75" customHeight="1">
      <c r="A222" s="10"/>
      <c r="B222" s="10"/>
      <c r="C222" s="10"/>
      <c r="D222" s="10"/>
      <c r="E222" s="10"/>
      <c r="F222" s="10"/>
      <c r="G222" s="10"/>
      <c r="H222" s="10"/>
      <c r="I222" s="10"/>
      <c r="J222" s="10"/>
      <c r="K222" s="10"/>
      <c r="L222" s="10"/>
      <c r="M222" s="10"/>
      <c r="N222" s="10"/>
      <c r="O222" s="19"/>
      <c r="P222" s="19"/>
      <c r="Q222" s="10"/>
      <c r="R222" s="10"/>
      <c r="S222" s="10"/>
      <c r="T222" s="10"/>
      <c r="U222" s="10"/>
      <c r="V222" s="10"/>
      <c r="W222" s="10"/>
      <c r="X222" s="10"/>
      <c r="Y222" s="10"/>
      <c r="Z222" s="10"/>
      <c r="AA222" s="10"/>
      <c r="AB222" s="10"/>
    </row>
    <row r="223" ht="15.75" customHeight="1">
      <c r="A223" s="10"/>
      <c r="B223" s="10"/>
      <c r="C223" s="10"/>
      <c r="D223" s="10"/>
      <c r="E223" s="10"/>
      <c r="F223" s="10"/>
      <c r="G223" s="10"/>
      <c r="H223" s="10"/>
      <c r="I223" s="10"/>
      <c r="J223" s="10"/>
      <c r="K223" s="10"/>
      <c r="L223" s="10"/>
      <c r="M223" s="10"/>
      <c r="N223" s="10"/>
      <c r="O223" s="19"/>
      <c r="P223" s="19"/>
      <c r="Q223" s="10"/>
      <c r="R223" s="10"/>
      <c r="S223" s="10"/>
      <c r="T223" s="10"/>
      <c r="U223" s="10"/>
      <c r="V223" s="10"/>
      <c r="W223" s="10"/>
      <c r="X223" s="10"/>
      <c r="Y223" s="10"/>
      <c r="Z223" s="10"/>
      <c r="AA223" s="10"/>
      <c r="AB223" s="10"/>
    </row>
    <row r="224" ht="15.75" customHeight="1">
      <c r="A224" s="10"/>
      <c r="B224" s="10"/>
      <c r="C224" s="10"/>
      <c r="D224" s="10"/>
      <c r="E224" s="10"/>
      <c r="F224" s="10"/>
      <c r="G224" s="10"/>
      <c r="H224" s="10"/>
      <c r="I224" s="10"/>
      <c r="J224" s="10"/>
      <c r="K224" s="10"/>
      <c r="L224" s="10"/>
      <c r="M224" s="10"/>
      <c r="N224" s="10"/>
      <c r="O224" s="19"/>
      <c r="P224" s="19"/>
      <c r="Q224" s="10"/>
      <c r="R224" s="10"/>
      <c r="S224" s="10"/>
      <c r="T224" s="10"/>
      <c r="U224" s="10"/>
      <c r="V224" s="10"/>
      <c r="W224" s="10"/>
      <c r="X224" s="10"/>
      <c r="Y224" s="10"/>
      <c r="Z224" s="10"/>
      <c r="AA224" s="10"/>
      <c r="AB224" s="10"/>
    </row>
    <row r="225" ht="15.75" customHeight="1">
      <c r="A225" s="10"/>
      <c r="B225" s="10"/>
      <c r="C225" s="10"/>
      <c r="D225" s="10"/>
      <c r="E225" s="10"/>
      <c r="F225" s="10"/>
      <c r="G225" s="10"/>
      <c r="H225" s="10"/>
      <c r="I225" s="10"/>
      <c r="J225" s="10"/>
      <c r="K225" s="10"/>
      <c r="L225" s="10"/>
      <c r="M225" s="10"/>
      <c r="N225" s="10"/>
      <c r="O225" s="19"/>
      <c r="P225" s="19"/>
      <c r="Q225" s="10"/>
      <c r="R225" s="10"/>
      <c r="S225" s="10"/>
      <c r="T225" s="10"/>
      <c r="U225" s="10"/>
      <c r="V225" s="10"/>
      <c r="W225" s="10"/>
      <c r="X225" s="10"/>
      <c r="Y225" s="10"/>
      <c r="Z225" s="10"/>
      <c r="AA225" s="10"/>
      <c r="AB225" s="10"/>
    </row>
    <row r="226" ht="15.75" customHeight="1">
      <c r="A226" s="10"/>
      <c r="B226" s="10"/>
      <c r="C226" s="10"/>
      <c r="D226" s="10"/>
      <c r="E226" s="10"/>
      <c r="F226" s="10"/>
      <c r="G226" s="10"/>
      <c r="H226" s="10"/>
      <c r="I226" s="10"/>
      <c r="J226" s="10"/>
      <c r="K226" s="10"/>
      <c r="L226" s="10"/>
      <c r="M226" s="10"/>
      <c r="N226" s="10"/>
      <c r="O226" s="19"/>
      <c r="P226" s="19"/>
      <c r="Q226" s="10"/>
      <c r="R226" s="10"/>
      <c r="S226" s="10"/>
      <c r="T226" s="10"/>
      <c r="U226" s="10"/>
      <c r="V226" s="10"/>
      <c r="W226" s="10"/>
      <c r="X226" s="10"/>
      <c r="Y226" s="10"/>
      <c r="Z226" s="10"/>
      <c r="AA226" s="10"/>
      <c r="AB226" s="10"/>
    </row>
    <row r="227" ht="15.75" customHeight="1">
      <c r="A227" s="10"/>
      <c r="B227" s="10"/>
      <c r="C227" s="10"/>
      <c r="D227" s="10"/>
      <c r="E227" s="10"/>
      <c r="F227" s="10"/>
      <c r="G227" s="10"/>
      <c r="H227" s="10"/>
      <c r="I227" s="10"/>
      <c r="J227" s="10"/>
      <c r="K227" s="10"/>
      <c r="L227" s="10"/>
      <c r="M227" s="10"/>
      <c r="N227" s="10"/>
      <c r="O227" s="19"/>
      <c r="P227" s="19"/>
      <c r="Q227" s="10"/>
      <c r="R227" s="10"/>
      <c r="S227" s="10"/>
      <c r="T227" s="10"/>
      <c r="U227" s="10"/>
      <c r="V227" s="10"/>
      <c r="W227" s="10"/>
      <c r="X227" s="10"/>
      <c r="Y227" s="10"/>
      <c r="Z227" s="10"/>
      <c r="AA227" s="10"/>
      <c r="AB227" s="10"/>
    </row>
    <row r="228" ht="15.75" customHeight="1">
      <c r="A228" s="10"/>
      <c r="B228" s="10"/>
      <c r="C228" s="10"/>
      <c r="D228" s="10"/>
      <c r="E228" s="10"/>
      <c r="F228" s="10"/>
      <c r="G228" s="10"/>
      <c r="H228" s="10"/>
      <c r="I228" s="10"/>
      <c r="J228" s="10"/>
      <c r="K228" s="10"/>
      <c r="L228" s="10"/>
      <c r="M228" s="10"/>
      <c r="N228" s="10"/>
      <c r="O228" s="19"/>
      <c r="P228" s="19"/>
      <c r="Q228" s="10"/>
      <c r="R228" s="10"/>
      <c r="S228" s="10"/>
      <c r="T228" s="10"/>
      <c r="U228" s="10"/>
      <c r="V228" s="10"/>
      <c r="W228" s="10"/>
      <c r="X228" s="10"/>
      <c r="Y228" s="10"/>
      <c r="Z228" s="10"/>
      <c r="AA228" s="10"/>
      <c r="AB228" s="10"/>
    </row>
    <row r="229" ht="15.75" customHeight="1">
      <c r="A229" s="10"/>
      <c r="B229" s="10"/>
      <c r="C229" s="10"/>
      <c r="D229" s="10"/>
      <c r="E229" s="10"/>
      <c r="F229" s="10"/>
      <c r="G229" s="10"/>
      <c r="H229" s="10"/>
      <c r="I229" s="10"/>
      <c r="J229" s="10"/>
      <c r="K229" s="10"/>
      <c r="L229" s="10"/>
      <c r="M229" s="10"/>
      <c r="N229" s="10"/>
      <c r="O229" s="19"/>
      <c r="P229" s="19"/>
      <c r="Q229" s="10"/>
      <c r="R229" s="10"/>
      <c r="S229" s="10"/>
      <c r="T229" s="10"/>
      <c r="U229" s="10"/>
      <c r="V229" s="10"/>
      <c r="W229" s="10"/>
      <c r="X229" s="10"/>
      <c r="Y229" s="10"/>
      <c r="Z229" s="10"/>
      <c r="AA229" s="10"/>
      <c r="AB229" s="10"/>
    </row>
    <row r="230" ht="15.75" customHeight="1">
      <c r="A230" s="10"/>
      <c r="B230" s="10"/>
      <c r="C230" s="10"/>
      <c r="D230" s="10"/>
      <c r="E230" s="10"/>
      <c r="F230" s="10"/>
      <c r="G230" s="10"/>
      <c r="H230" s="10"/>
      <c r="I230" s="10"/>
      <c r="J230" s="10"/>
      <c r="K230" s="10"/>
      <c r="L230" s="10"/>
      <c r="M230" s="10"/>
      <c r="N230" s="10"/>
      <c r="O230" s="19"/>
      <c r="P230" s="19"/>
      <c r="Q230" s="10"/>
      <c r="R230" s="10"/>
      <c r="S230" s="10"/>
      <c r="T230" s="10"/>
      <c r="U230" s="10"/>
      <c r="V230" s="10"/>
      <c r="W230" s="10"/>
      <c r="X230" s="10"/>
      <c r="Y230" s="10"/>
      <c r="Z230" s="10"/>
      <c r="AA230" s="10"/>
      <c r="AB230" s="10"/>
    </row>
    <row r="231" ht="15.75" customHeight="1">
      <c r="A231" s="10"/>
      <c r="B231" s="10"/>
      <c r="C231" s="10"/>
      <c r="D231" s="10"/>
      <c r="E231" s="10"/>
      <c r="F231" s="10"/>
      <c r="G231" s="10"/>
      <c r="H231" s="10"/>
      <c r="I231" s="10"/>
      <c r="J231" s="10"/>
      <c r="K231" s="10"/>
      <c r="L231" s="10"/>
      <c r="M231" s="10"/>
      <c r="N231" s="10"/>
      <c r="O231" s="19"/>
      <c r="P231" s="19"/>
      <c r="Q231" s="10"/>
      <c r="R231" s="10"/>
      <c r="S231" s="10"/>
      <c r="T231" s="10"/>
      <c r="U231" s="10"/>
      <c r="V231" s="10"/>
      <c r="W231" s="10"/>
      <c r="X231" s="10"/>
      <c r="Y231" s="10"/>
      <c r="Z231" s="10"/>
      <c r="AA231" s="10"/>
      <c r="AB231" s="10"/>
    </row>
    <row r="232" ht="15.75" customHeight="1">
      <c r="A232" s="10"/>
      <c r="B232" s="10"/>
      <c r="C232" s="10"/>
      <c r="D232" s="10"/>
      <c r="E232" s="10"/>
      <c r="F232" s="10"/>
      <c r="G232" s="10"/>
      <c r="H232" s="10"/>
      <c r="I232" s="10"/>
      <c r="J232" s="10"/>
      <c r="K232" s="10"/>
      <c r="L232" s="10"/>
      <c r="M232" s="10"/>
      <c r="N232" s="10"/>
      <c r="O232" s="19"/>
      <c r="P232" s="19"/>
      <c r="Q232" s="10"/>
      <c r="R232" s="10"/>
      <c r="S232" s="10"/>
      <c r="T232" s="10"/>
      <c r="U232" s="10"/>
      <c r="V232" s="10"/>
      <c r="W232" s="10"/>
      <c r="X232" s="10"/>
      <c r="Y232" s="10"/>
      <c r="Z232" s="10"/>
      <c r="AA232" s="10"/>
      <c r="AB232" s="10"/>
    </row>
    <row r="233" ht="15.75" customHeight="1">
      <c r="A233" s="10"/>
      <c r="B233" s="10"/>
      <c r="C233" s="10"/>
      <c r="D233" s="10"/>
      <c r="E233" s="10"/>
      <c r="F233" s="10"/>
      <c r="G233" s="10"/>
      <c r="H233" s="10"/>
      <c r="I233" s="10"/>
      <c r="J233" s="10"/>
      <c r="K233" s="10"/>
      <c r="L233" s="10"/>
      <c r="M233" s="10"/>
      <c r="N233" s="10"/>
      <c r="O233" s="19"/>
      <c r="P233" s="19"/>
      <c r="Q233" s="10"/>
      <c r="R233" s="10"/>
      <c r="S233" s="10"/>
      <c r="T233" s="10"/>
      <c r="U233" s="10"/>
      <c r="V233" s="10"/>
      <c r="W233" s="10"/>
      <c r="X233" s="10"/>
      <c r="Y233" s="10"/>
      <c r="Z233" s="10"/>
      <c r="AA233" s="10"/>
      <c r="AB233" s="10"/>
    </row>
    <row r="234" ht="15.75" customHeight="1">
      <c r="A234" s="10"/>
      <c r="B234" s="10"/>
      <c r="C234" s="10"/>
      <c r="D234" s="10"/>
      <c r="E234" s="10"/>
      <c r="F234" s="10"/>
      <c r="G234" s="10"/>
      <c r="H234" s="10"/>
      <c r="I234" s="10"/>
      <c r="J234" s="10"/>
      <c r="K234" s="10"/>
      <c r="L234" s="10"/>
      <c r="M234" s="10"/>
      <c r="N234" s="10"/>
      <c r="O234" s="19"/>
      <c r="P234" s="19"/>
      <c r="Q234" s="10"/>
      <c r="R234" s="10"/>
      <c r="S234" s="10"/>
      <c r="T234" s="10"/>
      <c r="U234" s="10"/>
      <c r="V234" s="10"/>
      <c r="W234" s="10"/>
      <c r="X234" s="10"/>
      <c r="Y234" s="10"/>
      <c r="Z234" s="10"/>
      <c r="AA234" s="10"/>
      <c r="AB234" s="10"/>
    </row>
    <row r="235" ht="15.75" customHeight="1">
      <c r="A235" s="10"/>
      <c r="B235" s="10"/>
      <c r="C235" s="10"/>
      <c r="D235" s="10"/>
      <c r="E235" s="10"/>
      <c r="F235" s="10"/>
      <c r="G235" s="10"/>
      <c r="H235" s="10"/>
      <c r="I235" s="10"/>
      <c r="J235" s="10"/>
      <c r="K235" s="10"/>
      <c r="L235" s="10"/>
      <c r="M235" s="10"/>
      <c r="N235" s="10"/>
      <c r="O235" s="19"/>
      <c r="P235" s="19"/>
      <c r="Q235" s="10"/>
      <c r="R235" s="10"/>
      <c r="S235" s="10"/>
      <c r="T235" s="10"/>
      <c r="U235" s="10"/>
      <c r="V235" s="10"/>
      <c r="W235" s="10"/>
      <c r="X235" s="10"/>
      <c r="Y235" s="10"/>
      <c r="Z235" s="10"/>
      <c r="AA235" s="10"/>
      <c r="AB235" s="10"/>
    </row>
    <row r="236" ht="15.75" customHeight="1">
      <c r="A236" s="10"/>
      <c r="B236" s="10"/>
      <c r="C236" s="10"/>
      <c r="D236" s="10"/>
      <c r="E236" s="10"/>
      <c r="F236" s="10"/>
      <c r="G236" s="10"/>
      <c r="H236" s="10"/>
      <c r="I236" s="10"/>
      <c r="J236" s="10"/>
      <c r="K236" s="10"/>
      <c r="L236" s="10"/>
      <c r="M236" s="10"/>
      <c r="N236" s="10"/>
      <c r="O236" s="19"/>
      <c r="P236" s="19"/>
      <c r="Q236" s="10"/>
      <c r="R236" s="10"/>
      <c r="S236" s="10"/>
      <c r="T236" s="10"/>
      <c r="U236" s="10"/>
      <c r="V236" s="10"/>
      <c r="W236" s="10"/>
      <c r="X236" s="10"/>
      <c r="Y236" s="10"/>
      <c r="Z236" s="10"/>
      <c r="AA236" s="10"/>
      <c r="AB236" s="10"/>
    </row>
    <row r="237" ht="15.75" customHeight="1">
      <c r="A237" s="10"/>
      <c r="B237" s="10"/>
      <c r="C237" s="10"/>
      <c r="D237" s="10"/>
      <c r="E237" s="10"/>
      <c r="F237" s="10"/>
      <c r="G237" s="10"/>
      <c r="H237" s="10"/>
      <c r="I237" s="10"/>
      <c r="J237" s="10"/>
      <c r="K237" s="10"/>
      <c r="L237" s="10"/>
      <c r="M237" s="10"/>
      <c r="N237" s="10"/>
      <c r="O237" s="19"/>
      <c r="P237" s="19"/>
      <c r="Q237" s="10"/>
      <c r="R237" s="10"/>
      <c r="S237" s="10"/>
      <c r="T237" s="10"/>
      <c r="U237" s="10"/>
      <c r="V237" s="10"/>
      <c r="W237" s="10"/>
      <c r="X237" s="10"/>
      <c r="Y237" s="10"/>
      <c r="Z237" s="10"/>
      <c r="AA237" s="10"/>
      <c r="AB237" s="10"/>
    </row>
    <row r="238" ht="15.75" customHeight="1">
      <c r="A238" s="10"/>
      <c r="B238" s="10"/>
      <c r="C238" s="10"/>
      <c r="D238" s="10"/>
      <c r="E238" s="10"/>
      <c r="F238" s="10"/>
      <c r="G238" s="10"/>
      <c r="H238" s="10"/>
      <c r="I238" s="10"/>
      <c r="J238" s="10"/>
      <c r="K238" s="10"/>
      <c r="L238" s="10"/>
      <c r="M238" s="10"/>
      <c r="N238" s="10"/>
      <c r="O238" s="19"/>
      <c r="P238" s="19"/>
      <c r="Q238" s="10"/>
      <c r="R238" s="10"/>
      <c r="S238" s="10"/>
      <c r="T238" s="10"/>
      <c r="U238" s="10"/>
      <c r="V238" s="10"/>
      <c r="W238" s="10"/>
      <c r="X238" s="10"/>
      <c r="Y238" s="10"/>
      <c r="Z238" s="10"/>
      <c r="AA238" s="10"/>
      <c r="AB238" s="10"/>
    </row>
    <row r="239" ht="15.75" customHeight="1">
      <c r="A239" s="10"/>
      <c r="B239" s="10"/>
      <c r="C239" s="10"/>
      <c r="D239" s="10"/>
      <c r="E239" s="10"/>
      <c r="F239" s="10"/>
      <c r="G239" s="10"/>
      <c r="H239" s="10"/>
      <c r="I239" s="10"/>
      <c r="J239" s="10"/>
      <c r="K239" s="10"/>
      <c r="L239" s="10"/>
      <c r="M239" s="10"/>
      <c r="N239" s="10"/>
      <c r="O239" s="19"/>
      <c r="P239" s="19"/>
      <c r="Q239" s="10"/>
      <c r="R239" s="10"/>
      <c r="S239" s="10"/>
      <c r="T239" s="10"/>
      <c r="U239" s="10"/>
      <c r="V239" s="10"/>
      <c r="W239" s="10"/>
      <c r="X239" s="10"/>
      <c r="Y239" s="10"/>
      <c r="Z239" s="10"/>
      <c r="AA239" s="10"/>
      <c r="AB239" s="10"/>
    </row>
    <row r="240" ht="15.75" customHeight="1">
      <c r="A240" s="10"/>
      <c r="B240" s="10"/>
      <c r="C240" s="10"/>
      <c r="D240" s="10"/>
      <c r="E240" s="10"/>
      <c r="F240" s="10"/>
      <c r="G240" s="10"/>
      <c r="H240" s="10"/>
      <c r="I240" s="10"/>
      <c r="J240" s="10"/>
      <c r="K240" s="10"/>
      <c r="L240" s="10"/>
      <c r="M240" s="10"/>
      <c r="N240" s="10"/>
      <c r="O240" s="19"/>
      <c r="P240" s="19"/>
      <c r="Q240" s="10"/>
      <c r="R240" s="10"/>
      <c r="S240" s="10"/>
      <c r="T240" s="10"/>
      <c r="U240" s="10"/>
      <c r="V240" s="10"/>
      <c r="W240" s="10"/>
      <c r="X240" s="10"/>
      <c r="Y240" s="10"/>
      <c r="Z240" s="10"/>
      <c r="AA240" s="10"/>
      <c r="AB240" s="10"/>
    </row>
    <row r="241" ht="15.75" customHeight="1">
      <c r="A241" s="10"/>
      <c r="B241" s="10"/>
      <c r="C241" s="10"/>
      <c r="D241" s="10"/>
      <c r="E241" s="10"/>
      <c r="F241" s="10"/>
      <c r="G241" s="10"/>
      <c r="H241" s="10"/>
      <c r="I241" s="10"/>
      <c r="J241" s="10"/>
      <c r="K241" s="10"/>
      <c r="L241" s="10"/>
      <c r="M241" s="10"/>
      <c r="N241" s="10"/>
      <c r="O241" s="19"/>
      <c r="P241" s="19"/>
      <c r="Q241" s="10"/>
      <c r="R241" s="10"/>
      <c r="S241" s="10"/>
      <c r="T241" s="10"/>
      <c r="U241" s="10"/>
      <c r="V241" s="10"/>
      <c r="W241" s="10"/>
      <c r="X241" s="10"/>
      <c r="Y241" s="10"/>
      <c r="Z241" s="10"/>
      <c r="AA241" s="10"/>
      <c r="AB241" s="10"/>
    </row>
    <row r="242" ht="15.75" customHeight="1">
      <c r="A242" s="10"/>
      <c r="B242" s="10"/>
      <c r="C242" s="10"/>
      <c r="D242" s="10"/>
      <c r="E242" s="10"/>
      <c r="F242" s="10"/>
      <c r="G242" s="10"/>
      <c r="H242" s="10"/>
      <c r="I242" s="10"/>
      <c r="J242" s="10"/>
      <c r="K242" s="10"/>
      <c r="L242" s="10"/>
      <c r="M242" s="10"/>
      <c r="N242" s="10"/>
      <c r="O242" s="19"/>
      <c r="P242" s="19"/>
      <c r="Q242" s="10"/>
      <c r="R242" s="10"/>
      <c r="S242" s="10"/>
      <c r="T242" s="10"/>
      <c r="U242" s="10"/>
      <c r="V242" s="10"/>
      <c r="W242" s="10"/>
      <c r="X242" s="10"/>
      <c r="Y242" s="10"/>
      <c r="Z242" s="10"/>
      <c r="AA242" s="10"/>
      <c r="AB242" s="10"/>
    </row>
    <row r="243" ht="15.75" customHeight="1">
      <c r="A243" s="10"/>
      <c r="B243" s="10"/>
      <c r="C243" s="10"/>
      <c r="D243" s="10"/>
      <c r="E243" s="10"/>
      <c r="F243" s="10"/>
      <c r="G243" s="10"/>
      <c r="H243" s="10"/>
      <c r="I243" s="10"/>
      <c r="J243" s="10"/>
      <c r="K243" s="10"/>
      <c r="L243" s="10"/>
      <c r="M243" s="10"/>
      <c r="N243" s="10"/>
      <c r="O243" s="19"/>
      <c r="P243" s="19"/>
      <c r="Q243" s="10"/>
      <c r="R243" s="10"/>
      <c r="S243" s="10"/>
      <c r="T243" s="10"/>
      <c r="U243" s="10"/>
      <c r="V243" s="10"/>
      <c r="W243" s="10"/>
      <c r="X243" s="10"/>
      <c r="Y243" s="10"/>
      <c r="Z243" s="10"/>
      <c r="AA243" s="10"/>
      <c r="AB243" s="10"/>
    </row>
    <row r="244" ht="15.75" customHeight="1">
      <c r="A244" s="10"/>
      <c r="B244" s="10"/>
      <c r="C244" s="10"/>
      <c r="D244" s="10"/>
      <c r="E244" s="10"/>
      <c r="F244" s="10"/>
      <c r="G244" s="10"/>
      <c r="H244" s="10"/>
      <c r="I244" s="10"/>
      <c r="J244" s="10"/>
      <c r="K244" s="10"/>
      <c r="L244" s="10"/>
      <c r="M244" s="10"/>
      <c r="N244" s="10"/>
      <c r="O244" s="19"/>
      <c r="P244" s="19"/>
      <c r="Q244" s="10"/>
      <c r="R244" s="10"/>
      <c r="S244" s="10"/>
      <c r="T244" s="10"/>
      <c r="U244" s="10"/>
      <c r="V244" s="10"/>
      <c r="W244" s="10"/>
      <c r="X244" s="10"/>
      <c r="Y244" s="10"/>
      <c r="Z244" s="10"/>
      <c r="AA244" s="10"/>
      <c r="AB244" s="10"/>
    </row>
    <row r="245" ht="15.75" customHeight="1">
      <c r="A245" s="10"/>
      <c r="B245" s="10"/>
      <c r="C245" s="10"/>
      <c r="D245" s="10"/>
      <c r="E245" s="10"/>
      <c r="F245" s="10"/>
      <c r="G245" s="10"/>
      <c r="H245" s="10"/>
      <c r="I245" s="10"/>
      <c r="J245" s="10"/>
      <c r="K245" s="10"/>
      <c r="L245" s="10"/>
      <c r="M245" s="10"/>
      <c r="N245" s="10"/>
      <c r="O245" s="19"/>
      <c r="P245" s="19"/>
      <c r="Q245" s="10"/>
      <c r="R245" s="10"/>
      <c r="S245" s="10"/>
      <c r="T245" s="10"/>
      <c r="U245" s="10"/>
      <c r="V245" s="10"/>
      <c r="W245" s="10"/>
      <c r="X245" s="10"/>
      <c r="Y245" s="10"/>
      <c r="Z245" s="10"/>
      <c r="AA245" s="10"/>
      <c r="AB245" s="10"/>
    </row>
    <row r="246" ht="15.75" customHeight="1">
      <c r="A246" s="10"/>
      <c r="B246" s="10"/>
      <c r="C246" s="10"/>
      <c r="D246" s="10"/>
      <c r="E246" s="10"/>
      <c r="F246" s="10"/>
      <c r="G246" s="10"/>
      <c r="H246" s="10"/>
      <c r="I246" s="10"/>
      <c r="J246" s="10"/>
      <c r="K246" s="10"/>
      <c r="L246" s="10"/>
      <c r="M246" s="10"/>
      <c r="N246" s="10"/>
      <c r="O246" s="19"/>
      <c r="P246" s="19"/>
      <c r="Q246" s="10"/>
      <c r="R246" s="10"/>
      <c r="S246" s="10"/>
      <c r="T246" s="10"/>
      <c r="U246" s="10"/>
      <c r="V246" s="10"/>
      <c r="W246" s="10"/>
      <c r="X246" s="10"/>
      <c r="Y246" s="10"/>
      <c r="Z246" s="10"/>
      <c r="AA246" s="10"/>
      <c r="AB246" s="10"/>
    </row>
    <row r="247" ht="15.75" customHeight="1">
      <c r="A247" s="10"/>
      <c r="B247" s="10"/>
      <c r="C247" s="10"/>
      <c r="D247" s="10"/>
      <c r="E247" s="10"/>
      <c r="F247" s="10"/>
      <c r="G247" s="10"/>
      <c r="H247" s="10"/>
      <c r="I247" s="10"/>
      <c r="J247" s="10"/>
      <c r="K247" s="10"/>
      <c r="L247" s="10"/>
      <c r="M247" s="10"/>
      <c r="N247" s="10"/>
      <c r="O247" s="19"/>
      <c r="P247" s="19"/>
      <c r="Q247" s="10"/>
      <c r="R247" s="10"/>
      <c r="S247" s="10"/>
      <c r="T247" s="10"/>
      <c r="U247" s="10"/>
      <c r="V247" s="10"/>
      <c r="W247" s="10"/>
      <c r="X247" s="10"/>
      <c r="Y247" s="10"/>
      <c r="Z247" s="10"/>
      <c r="AA247" s="10"/>
      <c r="AB247" s="10"/>
    </row>
    <row r="248" ht="15.75" customHeight="1">
      <c r="A248" s="10"/>
      <c r="B248" s="10"/>
      <c r="C248" s="10"/>
      <c r="D248" s="10"/>
      <c r="E248" s="10"/>
      <c r="F248" s="10"/>
      <c r="G248" s="10"/>
      <c r="H248" s="10"/>
      <c r="I248" s="10"/>
      <c r="J248" s="10"/>
      <c r="K248" s="10"/>
      <c r="L248" s="10"/>
      <c r="M248" s="10"/>
      <c r="N248" s="10"/>
      <c r="O248" s="19"/>
      <c r="P248" s="19"/>
      <c r="Q248" s="10"/>
      <c r="R248" s="10"/>
      <c r="S248" s="10"/>
      <c r="T248" s="10"/>
      <c r="U248" s="10"/>
      <c r="V248" s="10"/>
      <c r="W248" s="10"/>
      <c r="X248" s="10"/>
      <c r="Y248" s="10"/>
      <c r="Z248" s="10"/>
      <c r="AA248" s="10"/>
      <c r="AB248" s="10"/>
    </row>
    <row r="249" ht="15.75" customHeight="1">
      <c r="A249" s="10"/>
      <c r="B249" s="10"/>
      <c r="C249" s="10"/>
      <c r="D249" s="10"/>
      <c r="E249" s="10"/>
      <c r="F249" s="10"/>
      <c r="G249" s="10"/>
      <c r="H249" s="10"/>
      <c r="I249" s="10"/>
      <c r="J249" s="10"/>
      <c r="K249" s="10"/>
      <c r="L249" s="10"/>
      <c r="M249" s="10"/>
      <c r="N249" s="10"/>
      <c r="O249" s="19"/>
      <c r="P249" s="19"/>
      <c r="Q249" s="10"/>
      <c r="R249" s="10"/>
      <c r="S249" s="10"/>
      <c r="T249" s="10"/>
      <c r="U249" s="10"/>
      <c r="V249" s="10"/>
      <c r="W249" s="10"/>
      <c r="X249" s="10"/>
      <c r="Y249" s="10"/>
      <c r="Z249" s="10"/>
      <c r="AA249" s="10"/>
      <c r="AB249" s="10"/>
    </row>
    <row r="250" ht="15.75" customHeight="1">
      <c r="A250" s="10"/>
      <c r="B250" s="10"/>
      <c r="C250" s="10"/>
      <c r="D250" s="10"/>
      <c r="E250" s="10"/>
      <c r="F250" s="10"/>
      <c r="G250" s="10"/>
      <c r="H250" s="10"/>
      <c r="I250" s="10"/>
      <c r="J250" s="10"/>
      <c r="K250" s="10"/>
      <c r="L250" s="10"/>
      <c r="M250" s="10"/>
      <c r="N250" s="10"/>
      <c r="O250" s="19"/>
      <c r="P250" s="19"/>
      <c r="Q250" s="10"/>
      <c r="R250" s="10"/>
      <c r="S250" s="10"/>
      <c r="T250" s="10"/>
      <c r="U250" s="10"/>
      <c r="V250" s="10"/>
      <c r="W250" s="10"/>
      <c r="X250" s="10"/>
      <c r="Y250" s="10"/>
      <c r="Z250" s="10"/>
      <c r="AA250" s="10"/>
      <c r="AB250" s="10"/>
    </row>
    <row r="251" ht="15.75" customHeight="1">
      <c r="A251" s="10"/>
      <c r="B251" s="10"/>
      <c r="C251" s="10"/>
      <c r="D251" s="10"/>
      <c r="E251" s="10"/>
      <c r="F251" s="10"/>
      <c r="G251" s="10"/>
      <c r="H251" s="10"/>
      <c r="I251" s="10"/>
      <c r="J251" s="10"/>
      <c r="K251" s="10"/>
      <c r="L251" s="10"/>
      <c r="M251" s="10"/>
      <c r="N251" s="10"/>
      <c r="O251" s="19"/>
      <c r="P251" s="19"/>
      <c r="Q251" s="10"/>
      <c r="R251" s="10"/>
      <c r="S251" s="10"/>
      <c r="T251" s="10"/>
      <c r="U251" s="10"/>
      <c r="V251" s="10"/>
      <c r="W251" s="10"/>
      <c r="X251" s="10"/>
      <c r="Y251" s="10"/>
      <c r="Z251" s="10"/>
      <c r="AA251" s="10"/>
      <c r="AB251" s="10"/>
    </row>
    <row r="252" ht="15.75" customHeight="1">
      <c r="A252" s="10"/>
      <c r="B252" s="10"/>
      <c r="C252" s="10"/>
      <c r="D252" s="10"/>
      <c r="E252" s="10"/>
      <c r="F252" s="10"/>
      <c r="G252" s="10"/>
      <c r="H252" s="10"/>
      <c r="I252" s="10"/>
      <c r="J252" s="10"/>
      <c r="K252" s="10"/>
      <c r="L252" s="10"/>
      <c r="M252" s="10"/>
      <c r="N252" s="10"/>
      <c r="O252" s="19"/>
      <c r="P252" s="19"/>
      <c r="Q252" s="10"/>
      <c r="R252" s="10"/>
      <c r="S252" s="10"/>
      <c r="T252" s="10"/>
      <c r="U252" s="10"/>
      <c r="V252" s="10"/>
      <c r="W252" s="10"/>
      <c r="X252" s="10"/>
      <c r="Y252" s="10"/>
      <c r="Z252" s="10"/>
      <c r="AA252" s="10"/>
      <c r="AB252" s="10"/>
    </row>
    <row r="253" ht="15.75" customHeight="1">
      <c r="A253" s="10"/>
      <c r="B253" s="10"/>
      <c r="C253" s="10"/>
      <c r="D253" s="10"/>
      <c r="E253" s="10"/>
      <c r="F253" s="10"/>
      <c r="G253" s="10"/>
      <c r="H253" s="10"/>
      <c r="I253" s="10"/>
      <c r="J253" s="10"/>
      <c r="K253" s="10"/>
      <c r="L253" s="10"/>
      <c r="M253" s="10"/>
      <c r="N253" s="10"/>
      <c r="O253" s="19"/>
      <c r="P253" s="19"/>
      <c r="Q253" s="10"/>
      <c r="R253" s="10"/>
      <c r="S253" s="10"/>
      <c r="T253" s="10"/>
      <c r="U253" s="10"/>
      <c r="V253" s="10"/>
      <c r="W253" s="10"/>
      <c r="X253" s="10"/>
      <c r="Y253" s="10"/>
      <c r="Z253" s="10"/>
      <c r="AA253" s="10"/>
      <c r="AB253" s="10"/>
    </row>
    <row r="254" ht="15.75" customHeight="1">
      <c r="A254" s="10"/>
      <c r="B254" s="10"/>
      <c r="C254" s="10"/>
      <c r="D254" s="10"/>
      <c r="E254" s="10"/>
      <c r="F254" s="10"/>
      <c r="G254" s="10"/>
      <c r="H254" s="10"/>
      <c r="I254" s="10"/>
      <c r="J254" s="10"/>
      <c r="K254" s="10"/>
      <c r="L254" s="10"/>
      <c r="M254" s="10"/>
      <c r="N254" s="10"/>
      <c r="O254" s="19"/>
      <c r="P254" s="19"/>
      <c r="Q254" s="10"/>
      <c r="R254" s="10"/>
      <c r="S254" s="10"/>
      <c r="T254" s="10"/>
      <c r="U254" s="10"/>
      <c r="V254" s="10"/>
      <c r="W254" s="10"/>
      <c r="X254" s="10"/>
      <c r="Y254" s="10"/>
      <c r="Z254" s="10"/>
      <c r="AA254" s="10"/>
      <c r="AB254" s="10"/>
    </row>
    <row r="255" ht="15.75" customHeight="1">
      <c r="A255" s="10"/>
      <c r="B255" s="10"/>
      <c r="C255" s="10"/>
      <c r="D255" s="10"/>
      <c r="E255" s="10"/>
      <c r="F255" s="10"/>
      <c r="G255" s="10"/>
      <c r="H255" s="10"/>
      <c r="I255" s="10"/>
      <c r="J255" s="10"/>
      <c r="K255" s="10"/>
      <c r="L255" s="10"/>
      <c r="M255" s="10"/>
      <c r="N255" s="10"/>
      <c r="O255" s="19"/>
      <c r="P255" s="19"/>
      <c r="Q255" s="10"/>
      <c r="R255" s="10"/>
      <c r="S255" s="10"/>
      <c r="T255" s="10"/>
      <c r="U255" s="10"/>
      <c r="V255" s="10"/>
      <c r="W255" s="10"/>
      <c r="X255" s="10"/>
      <c r="Y255" s="10"/>
      <c r="Z255" s="10"/>
      <c r="AA255" s="10"/>
      <c r="AB255" s="10"/>
    </row>
    <row r="256" ht="15.75" customHeight="1">
      <c r="A256" s="10"/>
      <c r="B256" s="10"/>
      <c r="C256" s="10"/>
      <c r="D256" s="10"/>
      <c r="E256" s="10"/>
      <c r="F256" s="10"/>
      <c r="G256" s="10"/>
      <c r="H256" s="10"/>
      <c r="I256" s="10"/>
      <c r="J256" s="10"/>
      <c r="K256" s="10"/>
      <c r="L256" s="10"/>
      <c r="M256" s="10"/>
      <c r="N256" s="10"/>
      <c r="O256" s="19"/>
      <c r="P256" s="19"/>
      <c r="Q256" s="10"/>
      <c r="R256" s="10"/>
      <c r="S256" s="10"/>
      <c r="T256" s="10"/>
      <c r="U256" s="10"/>
      <c r="V256" s="10"/>
      <c r="W256" s="10"/>
      <c r="X256" s="10"/>
      <c r="Y256" s="10"/>
      <c r="Z256" s="10"/>
      <c r="AA256" s="10"/>
      <c r="AB256" s="10"/>
    </row>
    <row r="257" ht="15.75" customHeight="1">
      <c r="A257" s="10"/>
      <c r="B257" s="10"/>
      <c r="C257" s="10"/>
      <c r="D257" s="10"/>
      <c r="E257" s="10"/>
      <c r="F257" s="10"/>
      <c r="G257" s="10"/>
      <c r="H257" s="10"/>
      <c r="I257" s="10"/>
      <c r="J257" s="10"/>
      <c r="K257" s="10"/>
      <c r="L257" s="10"/>
      <c r="M257" s="10"/>
      <c r="N257" s="10"/>
      <c r="O257" s="19"/>
      <c r="P257" s="19"/>
      <c r="Q257" s="10"/>
      <c r="R257" s="10"/>
      <c r="S257" s="10"/>
      <c r="T257" s="10"/>
      <c r="U257" s="10"/>
      <c r="V257" s="10"/>
      <c r="W257" s="10"/>
      <c r="X257" s="10"/>
      <c r="Y257" s="10"/>
      <c r="Z257" s="10"/>
      <c r="AA257" s="10"/>
      <c r="AB257" s="10"/>
    </row>
    <row r="258" ht="15.75" customHeight="1">
      <c r="A258" s="10"/>
      <c r="B258" s="10"/>
      <c r="C258" s="10"/>
      <c r="D258" s="10"/>
      <c r="E258" s="10"/>
      <c r="F258" s="10"/>
      <c r="G258" s="10"/>
      <c r="H258" s="10"/>
      <c r="I258" s="10"/>
      <c r="J258" s="10"/>
      <c r="K258" s="10"/>
      <c r="L258" s="10"/>
      <c r="M258" s="10"/>
      <c r="N258" s="10"/>
      <c r="O258" s="19"/>
      <c r="P258" s="19"/>
      <c r="Q258" s="10"/>
      <c r="R258" s="10"/>
      <c r="S258" s="10"/>
      <c r="T258" s="10"/>
      <c r="U258" s="10"/>
      <c r="V258" s="10"/>
      <c r="W258" s="10"/>
      <c r="X258" s="10"/>
      <c r="Y258" s="10"/>
      <c r="Z258" s="10"/>
      <c r="AA258" s="10"/>
      <c r="AB258" s="10"/>
    </row>
    <row r="259" ht="15.75" customHeight="1">
      <c r="A259" s="10"/>
      <c r="B259" s="10"/>
      <c r="C259" s="10"/>
      <c r="D259" s="10"/>
      <c r="E259" s="10"/>
      <c r="F259" s="10"/>
      <c r="G259" s="10"/>
      <c r="H259" s="10"/>
      <c r="I259" s="10"/>
      <c r="J259" s="10"/>
      <c r="K259" s="10"/>
      <c r="L259" s="10"/>
      <c r="M259" s="10"/>
      <c r="N259" s="10"/>
      <c r="O259" s="19"/>
      <c r="P259" s="19"/>
      <c r="Q259" s="10"/>
      <c r="R259" s="10"/>
      <c r="S259" s="10"/>
      <c r="T259" s="10"/>
      <c r="U259" s="10"/>
      <c r="V259" s="10"/>
      <c r="W259" s="10"/>
      <c r="X259" s="10"/>
      <c r="Y259" s="10"/>
      <c r="Z259" s="10"/>
      <c r="AA259" s="10"/>
      <c r="AB259" s="10"/>
    </row>
    <row r="260" ht="15.75" customHeight="1">
      <c r="A260" s="10"/>
      <c r="B260" s="10"/>
      <c r="C260" s="10"/>
      <c r="D260" s="10"/>
      <c r="E260" s="10"/>
      <c r="F260" s="10"/>
      <c r="G260" s="10"/>
      <c r="H260" s="10"/>
      <c r="I260" s="10"/>
      <c r="J260" s="10"/>
      <c r="K260" s="10"/>
      <c r="L260" s="10"/>
      <c r="M260" s="10"/>
      <c r="N260" s="10"/>
      <c r="O260" s="19"/>
      <c r="P260" s="19"/>
      <c r="Q260" s="10"/>
      <c r="R260" s="10"/>
      <c r="S260" s="10"/>
      <c r="T260" s="10"/>
      <c r="U260" s="10"/>
      <c r="V260" s="10"/>
      <c r="W260" s="10"/>
      <c r="X260" s="10"/>
      <c r="Y260" s="10"/>
      <c r="Z260" s="10"/>
      <c r="AA260" s="10"/>
      <c r="AB260" s="10"/>
    </row>
    <row r="261" ht="15.75" customHeight="1">
      <c r="A261" s="10"/>
      <c r="B261" s="10"/>
      <c r="C261" s="10"/>
      <c r="D261" s="10"/>
      <c r="E261" s="10"/>
      <c r="F261" s="10"/>
      <c r="G261" s="10"/>
      <c r="H261" s="10"/>
      <c r="I261" s="10"/>
      <c r="J261" s="10"/>
      <c r="K261" s="10"/>
      <c r="L261" s="10"/>
      <c r="M261" s="10"/>
      <c r="N261" s="10"/>
      <c r="O261" s="19"/>
      <c r="P261" s="19"/>
      <c r="Q261" s="10"/>
      <c r="R261" s="10"/>
      <c r="S261" s="10"/>
      <c r="T261" s="10"/>
      <c r="U261" s="10"/>
      <c r="V261" s="10"/>
      <c r="W261" s="10"/>
      <c r="X261" s="10"/>
      <c r="Y261" s="10"/>
      <c r="Z261" s="10"/>
      <c r="AA261" s="10"/>
      <c r="AB261" s="10"/>
    </row>
    <row r="262" ht="15.75" customHeight="1">
      <c r="A262" s="10"/>
      <c r="B262" s="10"/>
      <c r="C262" s="10"/>
      <c r="D262" s="10"/>
      <c r="E262" s="10"/>
      <c r="F262" s="10"/>
      <c r="G262" s="10"/>
      <c r="H262" s="10"/>
      <c r="I262" s="10"/>
      <c r="J262" s="10"/>
      <c r="K262" s="10"/>
      <c r="L262" s="10"/>
      <c r="M262" s="10"/>
      <c r="N262" s="10"/>
      <c r="O262" s="19"/>
      <c r="P262" s="19"/>
      <c r="Q262" s="10"/>
      <c r="R262" s="10"/>
      <c r="S262" s="10"/>
      <c r="T262" s="10"/>
      <c r="U262" s="10"/>
      <c r="V262" s="10"/>
      <c r="W262" s="10"/>
      <c r="X262" s="10"/>
      <c r="Y262" s="10"/>
      <c r="Z262" s="10"/>
      <c r="AA262" s="10"/>
      <c r="AB262" s="10"/>
    </row>
    <row r="263" ht="15.75" customHeight="1">
      <c r="A263" s="10"/>
      <c r="B263" s="10"/>
      <c r="C263" s="10"/>
      <c r="D263" s="10"/>
      <c r="E263" s="10"/>
      <c r="F263" s="10"/>
      <c r="G263" s="10"/>
      <c r="H263" s="10"/>
      <c r="I263" s="10"/>
      <c r="J263" s="10"/>
      <c r="K263" s="10"/>
      <c r="L263" s="10"/>
      <c r="M263" s="10"/>
      <c r="N263" s="10"/>
      <c r="O263" s="19"/>
      <c r="P263" s="19"/>
      <c r="Q263" s="10"/>
      <c r="R263" s="10"/>
      <c r="S263" s="10"/>
      <c r="T263" s="10"/>
      <c r="U263" s="10"/>
      <c r="V263" s="10"/>
      <c r="W263" s="10"/>
      <c r="X263" s="10"/>
      <c r="Y263" s="10"/>
      <c r="Z263" s="10"/>
      <c r="AA263" s="10"/>
      <c r="AB263" s="10"/>
    </row>
    <row r="264" ht="15.75" customHeight="1">
      <c r="A264" s="10"/>
      <c r="B264" s="10"/>
      <c r="C264" s="10"/>
      <c r="D264" s="10"/>
      <c r="E264" s="10"/>
      <c r="F264" s="10"/>
      <c r="G264" s="10"/>
      <c r="H264" s="10"/>
      <c r="I264" s="10"/>
      <c r="J264" s="10"/>
      <c r="K264" s="10"/>
      <c r="L264" s="10"/>
      <c r="M264" s="10"/>
      <c r="N264" s="10"/>
      <c r="O264" s="19"/>
      <c r="P264" s="19"/>
      <c r="Q264" s="10"/>
      <c r="R264" s="10"/>
      <c r="S264" s="10"/>
      <c r="T264" s="10"/>
      <c r="U264" s="10"/>
      <c r="V264" s="10"/>
      <c r="W264" s="10"/>
      <c r="X264" s="10"/>
      <c r="Y264" s="10"/>
      <c r="Z264" s="10"/>
      <c r="AA264" s="10"/>
      <c r="AB264" s="10"/>
    </row>
    <row r="265" ht="15.75" customHeight="1">
      <c r="A265" s="10"/>
      <c r="B265" s="10"/>
      <c r="C265" s="10"/>
      <c r="D265" s="10"/>
      <c r="E265" s="10"/>
      <c r="F265" s="10"/>
      <c r="G265" s="10"/>
      <c r="H265" s="10"/>
      <c r="I265" s="10"/>
      <c r="J265" s="10"/>
      <c r="K265" s="10"/>
      <c r="L265" s="10"/>
      <c r="M265" s="10"/>
      <c r="N265" s="10"/>
      <c r="O265" s="19"/>
      <c r="P265" s="19"/>
      <c r="Q265" s="10"/>
      <c r="R265" s="10"/>
      <c r="S265" s="10"/>
      <c r="T265" s="10"/>
      <c r="U265" s="10"/>
      <c r="V265" s="10"/>
      <c r="W265" s="10"/>
      <c r="X265" s="10"/>
      <c r="Y265" s="10"/>
      <c r="Z265" s="10"/>
      <c r="AA265" s="10"/>
      <c r="AB265" s="10"/>
    </row>
    <row r="266" ht="15.75" customHeight="1">
      <c r="A266" s="10"/>
      <c r="B266" s="10"/>
      <c r="C266" s="10"/>
      <c r="D266" s="10"/>
      <c r="E266" s="10"/>
      <c r="F266" s="10"/>
      <c r="G266" s="10"/>
      <c r="H266" s="10"/>
      <c r="I266" s="10"/>
      <c r="J266" s="10"/>
      <c r="K266" s="10"/>
      <c r="L266" s="10"/>
      <c r="M266" s="10"/>
      <c r="N266" s="10"/>
      <c r="O266" s="19"/>
      <c r="P266" s="19"/>
      <c r="Q266" s="10"/>
      <c r="R266" s="10"/>
      <c r="S266" s="10"/>
      <c r="T266" s="10"/>
      <c r="U266" s="10"/>
      <c r="V266" s="10"/>
      <c r="W266" s="10"/>
      <c r="X266" s="10"/>
      <c r="Y266" s="10"/>
      <c r="Z266" s="10"/>
      <c r="AA266" s="10"/>
      <c r="AB266" s="10"/>
    </row>
    <row r="267" ht="15.75" customHeight="1">
      <c r="A267" s="10"/>
      <c r="B267" s="10"/>
      <c r="C267" s="10"/>
      <c r="D267" s="10"/>
      <c r="E267" s="10"/>
      <c r="F267" s="10"/>
      <c r="G267" s="10"/>
      <c r="H267" s="10"/>
      <c r="I267" s="10"/>
      <c r="J267" s="10"/>
      <c r="K267" s="10"/>
      <c r="L267" s="10"/>
      <c r="M267" s="10"/>
      <c r="N267" s="10"/>
      <c r="O267" s="19"/>
      <c r="P267" s="19"/>
      <c r="Q267" s="10"/>
      <c r="R267" s="10"/>
      <c r="S267" s="10"/>
      <c r="T267" s="10"/>
      <c r="U267" s="10"/>
      <c r="V267" s="10"/>
      <c r="W267" s="10"/>
      <c r="X267" s="10"/>
      <c r="Y267" s="10"/>
      <c r="Z267" s="10"/>
      <c r="AA267" s="10"/>
      <c r="AB267" s="10"/>
    </row>
    <row r="268" ht="15.75" customHeight="1">
      <c r="A268" s="10"/>
      <c r="B268" s="10"/>
      <c r="C268" s="10"/>
      <c r="D268" s="10"/>
      <c r="E268" s="10"/>
      <c r="F268" s="10"/>
      <c r="G268" s="10"/>
      <c r="H268" s="10"/>
      <c r="I268" s="10"/>
      <c r="J268" s="10"/>
      <c r="K268" s="10"/>
      <c r="L268" s="10"/>
      <c r="M268" s="10"/>
      <c r="N268" s="10"/>
      <c r="O268" s="19"/>
      <c r="P268" s="19"/>
      <c r="Q268" s="10"/>
      <c r="R268" s="10"/>
      <c r="S268" s="10"/>
      <c r="T268" s="10"/>
      <c r="U268" s="10"/>
      <c r="V268" s="10"/>
      <c r="W268" s="10"/>
      <c r="X268" s="10"/>
      <c r="Y268" s="10"/>
      <c r="Z268" s="10"/>
      <c r="AA268" s="10"/>
      <c r="AB268" s="10"/>
    </row>
    <row r="269" ht="15.75" customHeight="1">
      <c r="A269" s="10"/>
      <c r="B269" s="10"/>
      <c r="C269" s="10"/>
      <c r="D269" s="10"/>
      <c r="E269" s="10"/>
      <c r="F269" s="10"/>
      <c r="G269" s="10"/>
      <c r="H269" s="10"/>
      <c r="I269" s="10"/>
      <c r="J269" s="10"/>
      <c r="K269" s="10"/>
      <c r="L269" s="10"/>
      <c r="M269" s="10"/>
      <c r="N269" s="10"/>
      <c r="O269" s="19"/>
      <c r="P269" s="19"/>
      <c r="Q269" s="10"/>
      <c r="R269" s="10"/>
      <c r="S269" s="10"/>
      <c r="T269" s="10"/>
      <c r="U269" s="10"/>
      <c r="V269" s="10"/>
      <c r="W269" s="10"/>
      <c r="X269" s="10"/>
      <c r="Y269" s="10"/>
      <c r="Z269" s="10"/>
      <c r="AA269" s="10"/>
      <c r="AB269" s="10"/>
    </row>
    <row r="270" ht="15.75" customHeight="1">
      <c r="A270" s="10"/>
      <c r="B270" s="10"/>
      <c r="C270" s="10"/>
      <c r="D270" s="10"/>
      <c r="E270" s="10"/>
      <c r="F270" s="10"/>
      <c r="G270" s="10"/>
      <c r="H270" s="10"/>
      <c r="I270" s="10"/>
      <c r="J270" s="10"/>
      <c r="K270" s="10"/>
      <c r="L270" s="10"/>
      <c r="M270" s="10"/>
      <c r="N270" s="10"/>
      <c r="O270" s="19"/>
      <c r="P270" s="19"/>
      <c r="Q270" s="10"/>
      <c r="R270" s="10"/>
      <c r="S270" s="10"/>
      <c r="T270" s="10"/>
      <c r="U270" s="10"/>
      <c r="V270" s="10"/>
      <c r="W270" s="10"/>
      <c r="X270" s="10"/>
      <c r="Y270" s="10"/>
      <c r="Z270" s="10"/>
      <c r="AA270" s="10"/>
      <c r="AB270" s="10"/>
    </row>
    <row r="271" ht="15.75" customHeight="1">
      <c r="A271" s="10"/>
      <c r="B271" s="10"/>
      <c r="C271" s="10"/>
      <c r="D271" s="10"/>
      <c r="E271" s="10"/>
      <c r="F271" s="10"/>
      <c r="G271" s="10"/>
      <c r="H271" s="10"/>
      <c r="I271" s="10"/>
      <c r="J271" s="10"/>
      <c r="K271" s="10"/>
      <c r="L271" s="10"/>
      <c r="M271" s="10"/>
      <c r="N271" s="10"/>
      <c r="O271" s="19"/>
      <c r="P271" s="19"/>
      <c r="Q271" s="10"/>
      <c r="R271" s="10"/>
      <c r="S271" s="10"/>
      <c r="T271" s="10"/>
      <c r="U271" s="10"/>
      <c r="V271" s="10"/>
      <c r="W271" s="10"/>
      <c r="X271" s="10"/>
      <c r="Y271" s="10"/>
      <c r="Z271" s="10"/>
      <c r="AA271" s="10"/>
      <c r="AB271" s="10"/>
    </row>
    <row r="272" ht="15.75" customHeight="1">
      <c r="A272" s="10"/>
      <c r="B272" s="10"/>
      <c r="C272" s="10"/>
      <c r="D272" s="10"/>
      <c r="E272" s="10"/>
      <c r="F272" s="10"/>
      <c r="G272" s="10"/>
      <c r="H272" s="10"/>
      <c r="I272" s="10"/>
      <c r="J272" s="10"/>
      <c r="K272" s="10"/>
      <c r="L272" s="10"/>
      <c r="M272" s="10"/>
      <c r="N272" s="10"/>
      <c r="O272" s="19"/>
      <c r="P272" s="19"/>
      <c r="Q272" s="10"/>
      <c r="R272" s="10"/>
      <c r="S272" s="10"/>
      <c r="T272" s="10"/>
      <c r="U272" s="10"/>
      <c r="V272" s="10"/>
      <c r="W272" s="10"/>
      <c r="X272" s="10"/>
      <c r="Y272" s="10"/>
      <c r="Z272" s="10"/>
      <c r="AA272" s="10"/>
      <c r="AB272" s="10"/>
    </row>
    <row r="273" ht="15.75" customHeight="1">
      <c r="A273" s="10"/>
      <c r="B273" s="10"/>
      <c r="C273" s="10"/>
      <c r="D273" s="10"/>
      <c r="E273" s="10"/>
      <c r="F273" s="10"/>
      <c r="G273" s="10"/>
      <c r="H273" s="10"/>
      <c r="I273" s="10"/>
      <c r="J273" s="10"/>
      <c r="K273" s="10"/>
      <c r="L273" s="10"/>
      <c r="M273" s="10"/>
      <c r="N273" s="10"/>
      <c r="O273" s="19"/>
      <c r="P273" s="19"/>
      <c r="Q273" s="10"/>
      <c r="R273" s="10"/>
      <c r="S273" s="10"/>
      <c r="T273" s="10"/>
      <c r="U273" s="10"/>
      <c r="V273" s="10"/>
      <c r="W273" s="10"/>
      <c r="X273" s="10"/>
      <c r="Y273" s="10"/>
      <c r="Z273" s="10"/>
      <c r="AA273" s="10"/>
      <c r="AB273" s="10"/>
    </row>
    <row r="274" ht="15.75" customHeight="1">
      <c r="A274" s="10"/>
      <c r="B274" s="10"/>
      <c r="C274" s="10"/>
      <c r="D274" s="10"/>
      <c r="E274" s="10"/>
      <c r="F274" s="10"/>
      <c r="G274" s="10"/>
      <c r="H274" s="10"/>
      <c r="I274" s="10"/>
      <c r="J274" s="10"/>
      <c r="K274" s="10"/>
      <c r="L274" s="10"/>
      <c r="M274" s="10"/>
      <c r="N274" s="10"/>
      <c r="O274" s="19"/>
      <c r="P274" s="19"/>
      <c r="Q274" s="10"/>
      <c r="R274" s="10"/>
      <c r="S274" s="10"/>
      <c r="T274" s="10"/>
      <c r="U274" s="10"/>
      <c r="V274" s="10"/>
      <c r="W274" s="10"/>
      <c r="X274" s="10"/>
      <c r="Y274" s="10"/>
      <c r="Z274" s="10"/>
      <c r="AA274" s="10"/>
      <c r="AB274" s="10"/>
    </row>
    <row r="275" ht="15.75" customHeight="1">
      <c r="A275" s="10"/>
      <c r="B275" s="10"/>
      <c r="C275" s="10"/>
      <c r="D275" s="10"/>
      <c r="E275" s="10"/>
      <c r="F275" s="10"/>
      <c r="G275" s="10"/>
      <c r="H275" s="10"/>
      <c r="I275" s="10"/>
      <c r="J275" s="10"/>
      <c r="K275" s="10"/>
      <c r="L275" s="10"/>
      <c r="M275" s="10"/>
      <c r="N275" s="10"/>
      <c r="O275" s="19"/>
      <c r="P275" s="19"/>
      <c r="Q275" s="10"/>
      <c r="R275" s="10"/>
      <c r="S275" s="10"/>
      <c r="T275" s="10"/>
      <c r="U275" s="10"/>
      <c r="V275" s="10"/>
      <c r="W275" s="10"/>
      <c r="X275" s="10"/>
      <c r="Y275" s="10"/>
      <c r="Z275" s="10"/>
      <c r="AA275" s="10"/>
      <c r="AB275" s="10"/>
    </row>
    <row r="276" ht="15.75" customHeight="1">
      <c r="A276" s="10"/>
      <c r="B276" s="10"/>
      <c r="C276" s="10"/>
      <c r="D276" s="10"/>
      <c r="E276" s="10"/>
      <c r="F276" s="10"/>
      <c r="G276" s="10"/>
      <c r="H276" s="10"/>
      <c r="I276" s="10"/>
      <c r="J276" s="10"/>
      <c r="K276" s="10"/>
      <c r="L276" s="10"/>
      <c r="M276" s="10"/>
      <c r="N276" s="10"/>
      <c r="O276" s="19"/>
      <c r="P276" s="19"/>
      <c r="Q276" s="10"/>
      <c r="R276" s="10"/>
      <c r="S276" s="10"/>
      <c r="T276" s="10"/>
      <c r="U276" s="10"/>
      <c r="V276" s="10"/>
      <c r="W276" s="10"/>
      <c r="X276" s="10"/>
      <c r="Y276" s="10"/>
      <c r="Z276" s="10"/>
      <c r="AA276" s="10"/>
      <c r="AB276" s="10"/>
    </row>
    <row r="277" ht="15.75" customHeight="1">
      <c r="A277" s="10"/>
      <c r="B277" s="10"/>
      <c r="C277" s="10"/>
      <c r="D277" s="10"/>
      <c r="E277" s="10"/>
      <c r="F277" s="10"/>
      <c r="G277" s="10"/>
      <c r="H277" s="10"/>
      <c r="I277" s="10"/>
      <c r="J277" s="10"/>
      <c r="K277" s="10"/>
      <c r="L277" s="10"/>
      <c r="M277" s="10"/>
      <c r="N277" s="10"/>
      <c r="O277" s="19"/>
      <c r="P277" s="19"/>
      <c r="Q277" s="10"/>
      <c r="R277" s="10"/>
      <c r="S277" s="10"/>
      <c r="T277" s="10"/>
      <c r="U277" s="10"/>
      <c r="V277" s="10"/>
      <c r="W277" s="10"/>
      <c r="X277" s="10"/>
      <c r="Y277" s="10"/>
      <c r="Z277" s="10"/>
      <c r="AA277" s="10"/>
      <c r="AB277" s="10"/>
    </row>
    <row r="278" ht="15.75" customHeight="1">
      <c r="A278" s="10"/>
      <c r="B278" s="10"/>
      <c r="C278" s="10"/>
      <c r="D278" s="10"/>
      <c r="E278" s="10"/>
      <c r="F278" s="10"/>
      <c r="G278" s="10"/>
      <c r="H278" s="10"/>
      <c r="I278" s="10"/>
      <c r="J278" s="10"/>
      <c r="K278" s="10"/>
      <c r="L278" s="10"/>
      <c r="M278" s="10"/>
      <c r="N278" s="10"/>
      <c r="O278" s="19"/>
      <c r="P278" s="19"/>
      <c r="Q278" s="10"/>
      <c r="R278" s="10"/>
      <c r="S278" s="10"/>
      <c r="T278" s="10"/>
      <c r="U278" s="10"/>
      <c r="V278" s="10"/>
      <c r="W278" s="10"/>
      <c r="X278" s="10"/>
      <c r="Y278" s="10"/>
      <c r="Z278" s="10"/>
      <c r="AA278" s="10"/>
      <c r="AB278" s="10"/>
    </row>
    <row r="279" ht="15.75" customHeight="1">
      <c r="A279" s="10"/>
      <c r="B279" s="10"/>
      <c r="C279" s="10"/>
      <c r="D279" s="10"/>
      <c r="E279" s="10"/>
      <c r="F279" s="10"/>
      <c r="G279" s="10"/>
      <c r="H279" s="10"/>
      <c r="I279" s="10"/>
      <c r="J279" s="10"/>
      <c r="K279" s="10"/>
      <c r="L279" s="10"/>
      <c r="M279" s="10"/>
      <c r="N279" s="10"/>
      <c r="O279" s="19"/>
      <c r="P279" s="19"/>
      <c r="Q279" s="10"/>
      <c r="R279" s="10"/>
      <c r="S279" s="10"/>
      <c r="T279" s="10"/>
      <c r="U279" s="10"/>
      <c r="V279" s="10"/>
      <c r="W279" s="10"/>
      <c r="X279" s="10"/>
      <c r="Y279" s="10"/>
      <c r="Z279" s="10"/>
      <c r="AA279" s="10"/>
      <c r="AB279" s="10"/>
    </row>
    <row r="280" ht="15.75" customHeight="1">
      <c r="A280" s="10"/>
      <c r="B280" s="10"/>
      <c r="C280" s="10"/>
      <c r="D280" s="10"/>
      <c r="E280" s="10"/>
      <c r="F280" s="10"/>
      <c r="G280" s="10"/>
      <c r="H280" s="10"/>
      <c r="I280" s="10"/>
      <c r="J280" s="10"/>
      <c r="K280" s="10"/>
      <c r="L280" s="10"/>
      <c r="M280" s="10"/>
      <c r="N280" s="10"/>
      <c r="O280" s="19"/>
      <c r="P280" s="19"/>
      <c r="Q280" s="10"/>
      <c r="R280" s="10"/>
      <c r="S280" s="10"/>
      <c r="T280" s="10"/>
      <c r="U280" s="10"/>
      <c r="V280" s="10"/>
      <c r="W280" s="10"/>
      <c r="X280" s="10"/>
      <c r="Y280" s="10"/>
      <c r="Z280" s="10"/>
      <c r="AA280" s="10"/>
      <c r="AB280" s="10"/>
    </row>
    <row r="281" ht="15.75" customHeight="1">
      <c r="A281" s="10"/>
      <c r="B281" s="10"/>
      <c r="C281" s="10"/>
      <c r="D281" s="10"/>
      <c r="E281" s="10"/>
      <c r="F281" s="10"/>
      <c r="G281" s="10"/>
      <c r="H281" s="10"/>
      <c r="I281" s="10"/>
      <c r="J281" s="10"/>
      <c r="K281" s="10"/>
      <c r="L281" s="10"/>
      <c r="M281" s="10"/>
      <c r="N281" s="10"/>
      <c r="O281" s="19"/>
      <c r="P281" s="19"/>
      <c r="Q281" s="10"/>
      <c r="R281" s="10"/>
      <c r="S281" s="10"/>
      <c r="T281" s="10"/>
      <c r="U281" s="10"/>
      <c r="V281" s="10"/>
      <c r="W281" s="10"/>
      <c r="X281" s="10"/>
      <c r="Y281" s="10"/>
      <c r="Z281" s="10"/>
      <c r="AA281" s="10"/>
      <c r="AB281" s="10"/>
    </row>
    <row r="282" ht="15.75" customHeight="1">
      <c r="A282" s="10"/>
      <c r="B282" s="10"/>
      <c r="C282" s="10"/>
      <c r="D282" s="10"/>
      <c r="E282" s="10"/>
      <c r="F282" s="10"/>
      <c r="G282" s="10"/>
      <c r="H282" s="10"/>
      <c r="I282" s="10"/>
      <c r="J282" s="10"/>
      <c r="K282" s="10"/>
      <c r="L282" s="10"/>
      <c r="M282" s="10"/>
      <c r="N282" s="10"/>
      <c r="O282" s="19"/>
      <c r="P282" s="19"/>
      <c r="Q282" s="10"/>
      <c r="R282" s="10"/>
      <c r="S282" s="10"/>
      <c r="T282" s="10"/>
      <c r="U282" s="10"/>
      <c r="V282" s="10"/>
      <c r="W282" s="10"/>
      <c r="X282" s="10"/>
      <c r="Y282" s="10"/>
      <c r="Z282" s="10"/>
      <c r="AA282" s="10"/>
      <c r="AB282" s="10"/>
    </row>
    <row r="283" ht="15.75" customHeight="1">
      <c r="A283" s="10"/>
      <c r="B283" s="10"/>
      <c r="C283" s="10"/>
      <c r="D283" s="10"/>
      <c r="E283" s="10"/>
      <c r="F283" s="10"/>
      <c r="G283" s="10"/>
      <c r="H283" s="10"/>
      <c r="I283" s="10"/>
      <c r="J283" s="10"/>
      <c r="K283" s="10"/>
      <c r="L283" s="10"/>
      <c r="M283" s="10"/>
      <c r="N283" s="10"/>
      <c r="O283" s="19"/>
      <c r="P283" s="19"/>
      <c r="Q283" s="10"/>
      <c r="R283" s="10"/>
      <c r="S283" s="10"/>
      <c r="T283" s="10"/>
      <c r="U283" s="10"/>
      <c r="V283" s="10"/>
      <c r="W283" s="10"/>
      <c r="X283" s="10"/>
      <c r="Y283" s="10"/>
      <c r="Z283" s="10"/>
      <c r="AA283" s="10"/>
      <c r="AB283" s="10"/>
    </row>
    <row r="284" ht="15.75" customHeight="1">
      <c r="A284" s="10"/>
      <c r="B284" s="10"/>
      <c r="C284" s="10"/>
      <c r="D284" s="10"/>
      <c r="E284" s="10"/>
      <c r="F284" s="10"/>
      <c r="G284" s="10"/>
      <c r="H284" s="10"/>
      <c r="I284" s="10"/>
      <c r="J284" s="10"/>
      <c r="K284" s="10"/>
      <c r="L284" s="10"/>
      <c r="M284" s="10"/>
      <c r="N284" s="10"/>
      <c r="O284" s="19"/>
      <c r="P284" s="19"/>
      <c r="Q284" s="10"/>
      <c r="R284" s="10"/>
      <c r="S284" s="10"/>
      <c r="T284" s="10"/>
      <c r="U284" s="10"/>
      <c r="V284" s="10"/>
      <c r="W284" s="10"/>
      <c r="X284" s="10"/>
      <c r="Y284" s="10"/>
      <c r="Z284" s="10"/>
      <c r="AA284" s="10"/>
      <c r="AB284" s="10"/>
    </row>
    <row r="285" ht="15.75" customHeight="1">
      <c r="A285" s="10"/>
      <c r="B285" s="10"/>
      <c r="C285" s="10"/>
      <c r="D285" s="10"/>
      <c r="E285" s="10"/>
      <c r="F285" s="10"/>
      <c r="G285" s="10"/>
      <c r="H285" s="10"/>
      <c r="I285" s="10"/>
      <c r="J285" s="10"/>
      <c r="K285" s="10"/>
      <c r="L285" s="10"/>
      <c r="M285" s="10"/>
      <c r="N285" s="10"/>
      <c r="O285" s="19"/>
      <c r="P285" s="19"/>
      <c r="Q285" s="10"/>
      <c r="R285" s="10"/>
      <c r="S285" s="10"/>
      <c r="T285" s="10"/>
      <c r="U285" s="10"/>
      <c r="V285" s="10"/>
      <c r="W285" s="10"/>
      <c r="X285" s="10"/>
      <c r="Y285" s="10"/>
      <c r="Z285" s="10"/>
      <c r="AA285" s="10"/>
      <c r="AB285" s="10"/>
    </row>
    <row r="286" ht="15.75" customHeight="1">
      <c r="A286" s="10"/>
      <c r="B286" s="10"/>
      <c r="C286" s="10"/>
      <c r="D286" s="10"/>
      <c r="E286" s="10"/>
      <c r="F286" s="10"/>
      <c r="G286" s="10"/>
      <c r="H286" s="10"/>
      <c r="I286" s="10"/>
      <c r="J286" s="10"/>
      <c r="K286" s="10"/>
      <c r="L286" s="10"/>
      <c r="M286" s="10"/>
      <c r="N286" s="10"/>
      <c r="O286" s="19"/>
      <c r="P286" s="19"/>
      <c r="Q286" s="10"/>
      <c r="R286" s="10"/>
      <c r="S286" s="10"/>
      <c r="T286" s="10"/>
      <c r="U286" s="10"/>
      <c r="V286" s="10"/>
      <c r="W286" s="10"/>
      <c r="X286" s="10"/>
      <c r="Y286" s="10"/>
      <c r="Z286" s="10"/>
      <c r="AA286" s="10"/>
      <c r="AB286" s="10"/>
    </row>
    <row r="287" ht="15.75" customHeight="1">
      <c r="A287" s="10"/>
      <c r="B287" s="10"/>
      <c r="C287" s="10"/>
      <c r="D287" s="10"/>
      <c r="E287" s="10"/>
      <c r="F287" s="10"/>
      <c r="G287" s="10"/>
      <c r="H287" s="10"/>
      <c r="I287" s="10"/>
      <c r="J287" s="10"/>
      <c r="K287" s="10"/>
      <c r="L287" s="10"/>
      <c r="M287" s="10"/>
      <c r="N287" s="10"/>
      <c r="O287" s="19"/>
      <c r="P287" s="19"/>
      <c r="Q287" s="10"/>
      <c r="R287" s="10"/>
      <c r="S287" s="10"/>
      <c r="T287" s="10"/>
      <c r="U287" s="10"/>
      <c r="V287" s="10"/>
      <c r="W287" s="10"/>
      <c r="X287" s="10"/>
      <c r="Y287" s="10"/>
      <c r="Z287" s="10"/>
      <c r="AA287" s="10"/>
      <c r="AB287" s="10"/>
    </row>
    <row r="288" ht="15.75" customHeight="1">
      <c r="A288" s="10"/>
      <c r="B288" s="10"/>
      <c r="C288" s="10"/>
      <c r="D288" s="10"/>
      <c r="E288" s="10"/>
      <c r="F288" s="10"/>
      <c r="G288" s="10"/>
      <c r="H288" s="10"/>
      <c r="I288" s="10"/>
      <c r="J288" s="10"/>
      <c r="K288" s="10"/>
      <c r="L288" s="10"/>
      <c r="M288" s="10"/>
      <c r="N288" s="10"/>
      <c r="O288" s="19"/>
      <c r="P288" s="19"/>
      <c r="Q288" s="10"/>
      <c r="R288" s="10"/>
      <c r="S288" s="10"/>
      <c r="T288" s="10"/>
      <c r="U288" s="10"/>
      <c r="V288" s="10"/>
      <c r="W288" s="10"/>
      <c r="X288" s="10"/>
      <c r="Y288" s="10"/>
      <c r="Z288" s="10"/>
      <c r="AA288" s="10"/>
      <c r="AB288" s="10"/>
    </row>
    <row r="289" ht="15.75" customHeight="1">
      <c r="A289" s="10"/>
      <c r="B289" s="10"/>
      <c r="C289" s="10"/>
      <c r="D289" s="10"/>
      <c r="E289" s="10"/>
      <c r="F289" s="10"/>
      <c r="G289" s="10"/>
      <c r="H289" s="10"/>
      <c r="I289" s="10"/>
      <c r="J289" s="10"/>
      <c r="K289" s="10"/>
      <c r="L289" s="10"/>
      <c r="M289" s="10"/>
      <c r="N289" s="10"/>
      <c r="O289" s="19"/>
      <c r="P289" s="19"/>
      <c r="Q289" s="10"/>
      <c r="R289" s="10"/>
      <c r="S289" s="10"/>
      <c r="T289" s="10"/>
      <c r="U289" s="10"/>
      <c r="V289" s="10"/>
      <c r="W289" s="10"/>
      <c r="X289" s="10"/>
      <c r="Y289" s="10"/>
      <c r="Z289" s="10"/>
      <c r="AA289" s="10"/>
      <c r="AB289" s="10"/>
    </row>
    <row r="290" ht="15.75" customHeight="1">
      <c r="A290" s="10"/>
      <c r="B290" s="10"/>
      <c r="C290" s="10"/>
      <c r="D290" s="10"/>
      <c r="E290" s="10"/>
      <c r="F290" s="10"/>
      <c r="G290" s="10"/>
      <c r="H290" s="10"/>
      <c r="I290" s="10"/>
      <c r="J290" s="10"/>
      <c r="K290" s="10"/>
      <c r="L290" s="10"/>
      <c r="M290" s="10"/>
      <c r="N290" s="10"/>
      <c r="O290" s="19"/>
      <c r="P290" s="19"/>
      <c r="Q290" s="10"/>
      <c r="R290" s="10"/>
      <c r="S290" s="10"/>
      <c r="T290" s="10"/>
      <c r="U290" s="10"/>
      <c r="V290" s="10"/>
      <c r="W290" s="10"/>
      <c r="X290" s="10"/>
      <c r="Y290" s="10"/>
      <c r="Z290" s="10"/>
      <c r="AA290" s="10"/>
      <c r="AB290" s="10"/>
    </row>
    <row r="291" ht="15.75" customHeight="1">
      <c r="A291" s="10"/>
      <c r="B291" s="10"/>
      <c r="C291" s="10"/>
      <c r="D291" s="10"/>
      <c r="E291" s="10"/>
      <c r="F291" s="10"/>
      <c r="G291" s="10"/>
      <c r="H291" s="10"/>
      <c r="I291" s="10"/>
      <c r="J291" s="10"/>
      <c r="K291" s="10"/>
      <c r="L291" s="10"/>
      <c r="M291" s="10"/>
      <c r="N291" s="10"/>
      <c r="O291" s="19"/>
      <c r="P291" s="19"/>
      <c r="Q291" s="10"/>
      <c r="R291" s="10"/>
      <c r="S291" s="10"/>
      <c r="T291" s="10"/>
      <c r="U291" s="10"/>
      <c r="V291" s="10"/>
      <c r="W291" s="10"/>
      <c r="X291" s="10"/>
      <c r="Y291" s="10"/>
      <c r="Z291" s="10"/>
      <c r="AA291" s="10"/>
      <c r="AB291" s="10"/>
    </row>
    <row r="292" ht="15.75" customHeight="1">
      <c r="A292" s="10"/>
      <c r="B292" s="10"/>
      <c r="C292" s="10"/>
      <c r="D292" s="10"/>
      <c r="E292" s="10"/>
      <c r="F292" s="10"/>
      <c r="G292" s="10"/>
      <c r="H292" s="10"/>
      <c r="I292" s="10"/>
      <c r="J292" s="10"/>
      <c r="K292" s="10"/>
      <c r="L292" s="10"/>
      <c r="M292" s="10"/>
      <c r="N292" s="10"/>
      <c r="O292" s="19"/>
      <c r="P292" s="19"/>
      <c r="Q292" s="10"/>
      <c r="R292" s="10"/>
      <c r="S292" s="10"/>
      <c r="T292" s="10"/>
      <c r="U292" s="10"/>
      <c r="V292" s="10"/>
      <c r="W292" s="10"/>
      <c r="X292" s="10"/>
      <c r="Y292" s="10"/>
      <c r="Z292" s="10"/>
      <c r="AA292" s="10"/>
      <c r="AB292" s="10"/>
    </row>
    <row r="293" ht="15.75" customHeight="1">
      <c r="A293" s="10"/>
      <c r="B293" s="10"/>
      <c r="C293" s="10"/>
      <c r="D293" s="10"/>
      <c r="E293" s="10"/>
      <c r="F293" s="10"/>
      <c r="G293" s="10"/>
      <c r="H293" s="10"/>
      <c r="I293" s="10"/>
      <c r="J293" s="10"/>
      <c r="K293" s="10"/>
      <c r="L293" s="10"/>
      <c r="M293" s="10"/>
      <c r="N293" s="10"/>
      <c r="O293" s="19"/>
      <c r="P293" s="19"/>
      <c r="Q293" s="10"/>
      <c r="R293" s="10"/>
      <c r="S293" s="10"/>
      <c r="T293" s="10"/>
      <c r="U293" s="10"/>
      <c r="V293" s="10"/>
      <c r="W293" s="10"/>
      <c r="X293" s="10"/>
      <c r="Y293" s="10"/>
      <c r="Z293" s="10"/>
      <c r="AA293" s="10"/>
      <c r="AB293" s="10"/>
    </row>
    <row r="294" ht="15.75" customHeight="1">
      <c r="A294" s="10"/>
      <c r="B294" s="10"/>
      <c r="C294" s="10"/>
      <c r="D294" s="10"/>
      <c r="E294" s="10"/>
      <c r="F294" s="10"/>
      <c r="G294" s="10"/>
      <c r="H294" s="10"/>
      <c r="I294" s="10"/>
      <c r="J294" s="10"/>
      <c r="K294" s="10"/>
      <c r="L294" s="10"/>
      <c r="M294" s="10"/>
      <c r="N294" s="10"/>
      <c r="O294" s="19"/>
      <c r="P294" s="19"/>
      <c r="Q294" s="10"/>
      <c r="R294" s="10"/>
      <c r="S294" s="10"/>
      <c r="T294" s="10"/>
      <c r="U294" s="10"/>
      <c r="V294" s="10"/>
      <c r="W294" s="10"/>
      <c r="X294" s="10"/>
      <c r="Y294" s="10"/>
      <c r="Z294" s="10"/>
      <c r="AA294" s="10"/>
      <c r="AB294" s="10"/>
    </row>
    <row r="295" ht="15.75" customHeight="1">
      <c r="A295" s="10"/>
      <c r="B295" s="10"/>
      <c r="C295" s="10"/>
      <c r="D295" s="10"/>
      <c r="E295" s="10"/>
      <c r="F295" s="10"/>
      <c r="G295" s="10"/>
      <c r="H295" s="10"/>
      <c r="I295" s="10"/>
      <c r="J295" s="10"/>
      <c r="K295" s="10"/>
      <c r="L295" s="10"/>
      <c r="M295" s="10"/>
      <c r="N295" s="10"/>
      <c r="O295" s="19"/>
      <c r="P295" s="19"/>
      <c r="Q295" s="10"/>
      <c r="R295" s="10"/>
      <c r="S295" s="10"/>
      <c r="T295" s="10"/>
      <c r="U295" s="10"/>
      <c r="V295" s="10"/>
      <c r="W295" s="10"/>
      <c r="X295" s="10"/>
      <c r="Y295" s="10"/>
      <c r="Z295" s="10"/>
      <c r="AA295" s="10"/>
      <c r="AB295" s="10"/>
    </row>
    <row r="296" ht="15.75" customHeight="1">
      <c r="A296" s="10"/>
      <c r="B296" s="10"/>
      <c r="C296" s="10"/>
      <c r="D296" s="10"/>
      <c r="E296" s="10"/>
      <c r="F296" s="10"/>
      <c r="G296" s="10"/>
      <c r="H296" s="10"/>
      <c r="I296" s="10"/>
      <c r="J296" s="10"/>
      <c r="K296" s="10"/>
      <c r="L296" s="10"/>
      <c r="M296" s="10"/>
      <c r="N296" s="10"/>
      <c r="O296" s="19"/>
      <c r="P296" s="19"/>
      <c r="Q296" s="10"/>
      <c r="R296" s="10"/>
      <c r="S296" s="10"/>
      <c r="T296" s="10"/>
      <c r="U296" s="10"/>
      <c r="V296" s="10"/>
      <c r="W296" s="10"/>
      <c r="X296" s="10"/>
      <c r="Y296" s="10"/>
      <c r="Z296" s="10"/>
      <c r="AA296" s="10"/>
      <c r="AB296" s="10"/>
    </row>
    <row r="297" ht="15.75" customHeight="1">
      <c r="A297" s="10"/>
      <c r="B297" s="10"/>
      <c r="C297" s="10"/>
      <c r="D297" s="10"/>
      <c r="E297" s="10"/>
      <c r="F297" s="10"/>
      <c r="G297" s="10"/>
      <c r="H297" s="10"/>
      <c r="I297" s="10"/>
      <c r="J297" s="10"/>
      <c r="K297" s="10"/>
      <c r="L297" s="10"/>
      <c r="M297" s="10"/>
      <c r="N297" s="10"/>
      <c r="O297" s="19"/>
      <c r="P297" s="19"/>
      <c r="Q297" s="10"/>
      <c r="R297" s="10"/>
      <c r="S297" s="10"/>
      <c r="T297" s="10"/>
      <c r="U297" s="10"/>
      <c r="V297" s="10"/>
      <c r="W297" s="10"/>
      <c r="X297" s="10"/>
      <c r="Y297" s="10"/>
      <c r="Z297" s="10"/>
      <c r="AA297" s="10"/>
      <c r="AB297" s="10"/>
    </row>
    <row r="298" ht="15.75" customHeight="1">
      <c r="A298" s="10"/>
      <c r="B298" s="10"/>
      <c r="C298" s="10"/>
      <c r="D298" s="10"/>
      <c r="E298" s="10"/>
      <c r="F298" s="10"/>
      <c r="G298" s="10"/>
      <c r="H298" s="10"/>
      <c r="I298" s="10"/>
      <c r="J298" s="10"/>
      <c r="K298" s="10"/>
      <c r="L298" s="10"/>
      <c r="M298" s="10"/>
      <c r="N298" s="10"/>
      <c r="O298" s="19"/>
      <c r="P298" s="19"/>
      <c r="Q298" s="10"/>
      <c r="R298" s="10"/>
      <c r="S298" s="10"/>
      <c r="T298" s="10"/>
      <c r="U298" s="10"/>
      <c r="V298" s="10"/>
      <c r="W298" s="10"/>
      <c r="X298" s="10"/>
      <c r="Y298" s="10"/>
      <c r="Z298" s="10"/>
      <c r="AA298" s="10"/>
      <c r="AB298" s="10"/>
    </row>
    <row r="299" ht="15.75" customHeight="1">
      <c r="A299" s="10"/>
      <c r="B299" s="10"/>
      <c r="C299" s="10"/>
      <c r="D299" s="10"/>
      <c r="E299" s="10"/>
      <c r="F299" s="10"/>
      <c r="G299" s="10"/>
      <c r="H299" s="10"/>
      <c r="I299" s="10"/>
      <c r="J299" s="10"/>
      <c r="K299" s="10"/>
      <c r="L299" s="10"/>
      <c r="M299" s="10"/>
      <c r="N299" s="10"/>
      <c r="O299" s="19"/>
      <c r="P299" s="19"/>
      <c r="Q299" s="10"/>
      <c r="R299" s="10"/>
      <c r="S299" s="10"/>
      <c r="T299" s="10"/>
      <c r="U299" s="10"/>
      <c r="V299" s="10"/>
      <c r="W299" s="10"/>
      <c r="X299" s="10"/>
      <c r="Y299" s="10"/>
      <c r="Z299" s="10"/>
      <c r="AA299" s="10"/>
      <c r="AB299" s="10"/>
    </row>
    <row r="300" ht="15.75" customHeight="1">
      <c r="A300" s="10"/>
      <c r="B300" s="10"/>
      <c r="C300" s="10"/>
      <c r="D300" s="10"/>
      <c r="E300" s="10"/>
      <c r="F300" s="10"/>
      <c r="G300" s="10"/>
      <c r="H300" s="10"/>
      <c r="I300" s="10"/>
      <c r="J300" s="10"/>
      <c r="K300" s="10"/>
      <c r="L300" s="10"/>
      <c r="M300" s="10"/>
      <c r="N300" s="10"/>
      <c r="O300" s="19"/>
      <c r="P300" s="19"/>
      <c r="Q300" s="10"/>
      <c r="R300" s="10"/>
      <c r="S300" s="10"/>
      <c r="T300" s="10"/>
      <c r="U300" s="10"/>
      <c r="V300" s="10"/>
      <c r="W300" s="10"/>
      <c r="X300" s="10"/>
      <c r="Y300" s="10"/>
      <c r="Z300" s="10"/>
      <c r="AA300" s="10"/>
      <c r="AB300" s="10"/>
    </row>
    <row r="301" ht="15.75" customHeight="1">
      <c r="A301" s="10"/>
      <c r="B301" s="10"/>
      <c r="C301" s="10"/>
      <c r="D301" s="10"/>
      <c r="E301" s="10"/>
      <c r="F301" s="10"/>
      <c r="G301" s="10"/>
      <c r="H301" s="10"/>
      <c r="I301" s="10"/>
      <c r="J301" s="10"/>
      <c r="K301" s="10"/>
      <c r="L301" s="10"/>
      <c r="M301" s="10"/>
      <c r="N301" s="10"/>
      <c r="O301" s="19"/>
      <c r="P301" s="19"/>
      <c r="Q301" s="10"/>
      <c r="R301" s="10"/>
      <c r="S301" s="10"/>
      <c r="T301" s="10"/>
      <c r="U301" s="10"/>
      <c r="V301" s="10"/>
      <c r="W301" s="10"/>
      <c r="X301" s="10"/>
      <c r="Y301" s="10"/>
      <c r="Z301" s="10"/>
      <c r="AA301" s="10"/>
      <c r="AB301" s="10"/>
    </row>
    <row r="302" ht="15.75" customHeight="1">
      <c r="A302" s="10"/>
      <c r="B302" s="10"/>
      <c r="C302" s="10"/>
      <c r="D302" s="10"/>
      <c r="E302" s="10"/>
      <c r="F302" s="10"/>
      <c r="G302" s="10"/>
      <c r="H302" s="10"/>
      <c r="I302" s="10"/>
      <c r="J302" s="10"/>
      <c r="K302" s="10"/>
      <c r="L302" s="10"/>
      <c r="M302" s="10"/>
      <c r="N302" s="10"/>
      <c r="O302" s="19"/>
      <c r="P302" s="19"/>
      <c r="Q302" s="10"/>
      <c r="R302" s="10"/>
      <c r="S302" s="10"/>
      <c r="T302" s="10"/>
      <c r="U302" s="10"/>
      <c r="V302" s="10"/>
      <c r="W302" s="10"/>
      <c r="X302" s="10"/>
      <c r="Y302" s="10"/>
      <c r="Z302" s="10"/>
      <c r="AA302" s="10"/>
      <c r="AB302" s="10"/>
    </row>
    <row r="303" ht="15.75" customHeight="1">
      <c r="A303" s="10"/>
      <c r="B303" s="10"/>
      <c r="C303" s="10"/>
      <c r="D303" s="10"/>
      <c r="E303" s="10"/>
      <c r="F303" s="10"/>
      <c r="G303" s="10"/>
      <c r="H303" s="10"/>
      <c r="I303" s="10"/>
      <c r="J303" s="10"/>
      <c r="K303" s="10"/>
      <c r="L303" s="10"/>
      <c r="M303" s="10"/>
      <c r="N303" s="10"/>
      <c r="O303" s="19"/>
      <c r="P303" s="19"/>
      <c r="Q303" s="10"/>
      <c r="R303" s="10"/>
      <c r="S303" s="10"/>
      <c r="T303" s="10"/>
      <c r="U303" s="10"/>
      <c r="V303" s="10"/>
      <c r="W303" s="10"/>
      <c r="X303" s="10"/>
      <c r="Y303" s="10"/>
      <c r="Z303" s="10"/>
      <c r="AA303" s="10"/>
      <c r="AB303" s="10"/>
    </row>
    <row r="304" ht="15.75" customHeight="1">
      <c r="A304" s="10"/>
      <c r="B304" s="10"/>
      <c r="C304" s="10"/>
      <c r="D304" s="10"/>
      <c r="E304" s="10"/>
      <c r="F304" s="10"/>
      <c r="G304" s="10"/>
      <c r="H304" s="10"/>
      <c r="I304" s="10"/>
      <c r="J304" s="10"/>
      <c r="K304" s="10"/>
      <c r="L304" s="10"/>
      <c r="M304" s="10"/>
      <c r="N304" s="10"/>
      <c r="O304" s="19"/>
      <c r="P304" s="19"/>
      <c r="Q304" s="10"/>
      <c r="R304" s="10"/>
      <c r="S304" s="10"/>
      <c r="T304" s="10"/>
      <c r="U304" s="10"/>
      <c r="V304" s="10"/>
      <c r="W304" s="10"/>
      <c r="X304" s="10"/>
      <c r="Y304" s="10"/>
      <c r="Z304" s="10"/>
      <c r="AA304" s="10"/>
      <c r="AB304" s="10"/>
    </row>
    <row r="305" ht="15.75" customHeight="1">
      <c r="A305" s="10"/>
      <c r="B305" s="10"/>
      <c r="C305" s="10"/>
      <c r="D305" s="10"/>
      <c r="E305" s="10"/>
      <c r="F305" s="10"/>
      <c r="G305" s="10"/>
      <c r="H305" s="10"/>
      <c r="I305" s="10"/>
      <c r="J305" s="10"/>
      <c r="K305" s="10"/>
      <c r="L305" s="10"/>
      <c r="M305" s="10"/>
      <c r="N305" s="10"/>
      <c r="O305" s="19"/>
      <c r="P305" s="19"/>
      <c r="Q305" s="10"/>
      <c r="R305" s="10"/>
      <c r="S305" s="10"/>
      <c r="T305" s="10"/>
      <c r="U305" s="10"/>
      <c r="V305" s="10"/>
      <c r="W305" s="10"/>
      <c r="X305" s="10"/>
      <c r="Y305" s="10"/>
      <c r="Z305" s="10"/>
      <c r="AA305" s="10"/>
      <c r="AB305" s="10"/>
    </row>
    <row r="306" ht="15.75" customHeight="1">
      <c r="A306" s="10"/>
      <c r="B306" s="10"/>
      <c r="C306" s="10"/>
      <c r="D306" s="10"/>
      <c r="E306" s="10"/>
      <c r="F306" s="10"/>
      <c r="G306" s="10"/>
      <c r="H306" s="10"/>
      <c r="I306" s="10"/>
      <c r="J306" s="10"/>
      <c r="K306" s="10"/>
      <c r="L306" s="10"/>
      <c r="M306" s="10"/>
      <c r="N306" s="10"/>
      <c r="O306" s="19"/>
      <c r="P306" s="19"/>
      <c r="Q306" s="10"/>
      <c r="R306" s="10"/>
      <c r="S306" s="10"/>
      <c r="T306" s="10"/>
      <c r="U306" s="10"/>
      <c r="V306" s="10"/>
      <c r="W306" s="10"/>
      <c r="X306" s="10"/>
      <c r="Y306" s="10"/>
      <c r="Z306" s="10"/>
      <c r="AA306" s="10"/>
      <c r="AB306" s="10"/>
    </row>
    <row r="307" ht="15.75" customHeight="1">
      <c r="A307" s="10"/>
      <c r="B307" s="10"/>
      <c r="C307" s="10"/>
      <c r="D307" s="10"/>
      <c r="E307" s="10"/>
      <c r="F307" s="10"/>
      <c r="G307" s="10"/>
      <c r="H307" s="10"/>
      <c r="I307" s="10"/>
      <c r="J307" s="10"/>
      <c r="K307" s="10"/>
      <c r="L307" s="10"/>
      <c r="M307" s="10"/>
      <c r="N307" s="10"/>
      <c r="O307" s="19"/>
      <c r="P307" s="19"/>
      <c r="Q307" s="10"/>
      <c r="R307" s="10"/>
      <c r="S307" s="10"/>
      <c r="T307" s="10"/>
      <c r="U307" s="10"/>
      <c r="V307" s="10"/>
      <c r="W307" s="10"/>
      <c r="X307" s="10"/>
      <c r="Y307" s="10"/>
      <c r="Z307" s="10"/>
      <c r="AA307" s="10"/>
      <c r="AB307" s="10"/>
    </row>
    <row r="308" ht="15.75" customHeight="1">
      <c r="A308" s="10"/>
      <c r="B308" s="10"/>
      <c r="C308" s="10"/>
      <c r="D308" s="10"/>
      <c r="E308" s="10"/>
      <c r="F308" s="10"/>
      <c r="G308" s="10"/>
      <c r="H308" s="10"/>
      <c r="I308" s="10"/>
      <c r="J308" s="10"/>
      <c r="K308" s="10"/>
      <c r="L308" s="10"/>
      <c r="M308" s="10"/>
      <c r="N308" s="10"/>
      <c r="O308" s="19"/>
      <c r="P308" s="19"/>
      <c r="Q308" s="10"/>
      <c r="R308" s="10"/>
      <c r="S308" s="10"/>
      <c r="T308" s="10"/>
      <c r="U308" s="10"/>
      <c r="V308" s="10"/>
      <c r="W308" s="10"/>
      <c r="X308" s="10"/>
      <c r="Y308" s="10"/>
      <c r="Z308" s="10"/>
      <c r="AA308" s="10"/>
      <c r="AB308" s="10"/>
    </row>
    <row r="309" ht="15.75" customHeight="1">
      <c r="A309" s="10"/>
      <c r="B309" s="10"/>
      <c r="C309" s="10"/>
      <c r="D309" s="10"/>
      <c r="E309" s="10"/>
      <c r="F309" s="10"/>
      <c r="G309" s="10"/>
      <c r="H309" s="10"/>
      <c r="I309" s="10"/>
      <c r="J309" s="10"/>
      <c r="K309" s="10"/>
      <c r="L309" s="10"/>
      <c r="M309" s="10"/>
      <c r="N309" s="10"/>
      <c r="O309" s="19"/>
      <c r="P309" s="19"/>
      <c r="Q309" s="10"/>
      <c r="R309" s="10"/>
      <c r="S309" s="10"/>
      <c r="T309" s="10"/>
      <c r="U309" s="10"/>
      <c r="V309" s="10"/>
      <c r="W309" s="10"/>
      <c r="X309" s="10"/>
      <c r="Y309" s="10"/>
      <c r="Z309" s="10"/>
      <c r="AA309" s="10"/>
      <c r="AB309" s="10"/>
    </row>
    <row r="310" ht="15.75" customHeight="1">
      <c r="A310" s="10"/>
      <c r="B310" s="10"/>
      <c r="C310" s="10"/>
      <c r="D310" s="10"/>
      <c r="E310" s="10"/>
      <c r="F310" s="10"/>
      <c r="G310" s="10"/>
      <c r="H310" s="10"/>
      <c r="I310" s="10"/>
      <c r="J310" s="10"/>
      <c r="K310" s="10"/>
      <c r="L310" s="10"/>
      <c r="M310" s="10"/>
      <c r="N310" s="10"/>
      <c r="O310" s="19"/>
      <c r="P310" s="19"/>
      <c r="Q310" s="10"/>
      <c r="R310" s="10"/>
      <c r="S310" s="10"/>
      <c r="T310" s="10"/>
      <c r="U310" s="10"/>
      <c r="V310" s="10"/>
      <c r="W310" s="10"/>
      <c r="X310" s="10"/>
      <c r="Y310" s="10"/>
      <c r="Z310" s="10"/>
      <c r="AA310" s="10"/>
      <c r="AB310" s="10"/>
    </row>
    <row r="311" ht="15.75" customHeight="1">
      <c r="A311" s="10"/>
      <c r="B311" s="10"/>
      <c r="C311" s="10"/>
      <c r="D311" s="10"/>
      <c r="E311" s="10"/>
      <c r="F311" s="10"/>
      <c r="G311" s="10"/>
      <c r="H311" s="10"/>
      <c r="I311" s="10"/>
      <c r="J311" s="10"/>
      <c r="K311" s="10"/>
      <c r="L311" s="10"/>
      <c r="M311" s="10"/>
      <c r="N311" s="10"/>
      <c r="O311" s="19"/>
      <c r="P311" s="19"/>
      <c r="Q311" s="10"/>
      <c r="R311" s="10"/>
      <c r="S311" s="10"/>
      <c r="T311" s="10"/>
      <c r="U311" s="10"/>
      <c r="V311" s="10"/>
      <c r="W311" s="10"/>
      <c r="X311" s="10"/>
      <c r="Y311" s="10"/>
      <c r="Z311" s="10"/>
      <c r="AA311" s="10"/>
      <c r="AB311" s="10"/>
    </row>
    <row r="312" ht="15.75" customHeight="1">
      <c r="A312" s="10"/>
      <c r="B312" s="10"/>
      <c r="C312" s="10"/>
      <c r="D312" s="10"/>
      <c r="E312" s="10"/>
      <c r="F312" s="10"/>
      <c r="G312" s="10"/>
      <c r="H312" s="10"/>
      <c r="I312" s="10"/>
      <c r="J312" s="10"/>
      <c r="K312" s="10"/>
      <c r="L312" s="10"/>
      <c r="M312" s="10"/>
      <c r="N312" s="10"/>
      <c r="O312" s="19"/>
      <c r="P312" s="19"/>
      <c r="Q312" s="10"/>
      <c r="R312" s="10"/>
      <c r="S312" s="10"/>
      <c r="T312" s="10"/>
      <c r="U312" s="10"/>
      <c r="V312" s="10"/>
      <c r="W312" s="10"/>
      <c r="X312" s="10"/>
      <c r="Y312" s="10"/>
      <c r="Z312" s="10"/>
      <c r="AA312" s="10"/>
      <c r="AB312" s="10"/>
    </row>
    <row r="313" ht="15.75" customHeight="1">
      <c r="A313" s="10"/>
      <c r="B313" s="10"/>
      <c r="C313" s="10"/>
      <c r="D313" s="10"/>
      <c r="E313" s="10"/>
      <c r="F313" s="10"/>
      <c r="G313" s="10"/>
      <c r="H313" s="10"/>
      <c r="I313" s="10"/>
      <c r="J313" s="10"/>
      <c r="K313" s="10"/>
      <c r="L313" s="10"/>
      <c r="M313" s="10"/>
      <c r="N313" s="10"/>
      <c r="O313" s="19"/>
      <c r="P313" s="19"/>
      <c r="Q313" s="10"/>
      <c r="R313" s="10"/>
      <c r="S313" s="10"/>
      <c r="T313" s="10"/>
      <c r="U313" s="10"/>
      <c r="V313" s="10"/>
      <c r="W313" s="10"/>
      <c r="X313" s="10"/>
      <c r="Y313" s="10"/>
      <c r="Z313" s="10"/>
      <c r="AA313" s="10"/>
      <c r="AB313" s="10"/>
    </row>
    <row r="314" ht="15.75" customHeight="1">
      <c r="A314" s="10"/>
      <c r="B314" s="10"/>
      <c r="C314" s="10"/>
      <c r="D314" s="10"/>
      <c r="E314" s="10"/>
      <c r="F314" s="10"/>
      <c r="G314" s="10"/>
      <c r="H314" s="10"/>
      <c r="I314" s="10"/>
      <c r="J314" s="10"/>
      <c r="K314" s="10"/>
      <c r="L314" s="10"/>
      <c r="M314" s="10"/>
      <c r="N314" s="10"/>
      <c r="O314" s="19"/>
      <c r="P314" s="19"/>
      <c r="Q314" s="10"/>
      <c r="R314" s="10"/>
      <c r="S314" s="10"/>
      <c r="T314" s="10"/>
      <c r="U314" s="10"/>
      <c r="V314" s="10"/>
      <c r="W314" s="10"/>
      <c r="X314" s="10"/>
      <c r="Y314" s="10"/>
      <c r="Z314" s="10"/>
      <c r="AA314" s="10"/>
      <c r="AB314" s="10"/>
    </row>
    <row r="315" ht="15.75" customHeight="1">
      <c r="A315" s="10"/>
      <c r="B315" s="10"/>
      <c r="C315" s="10"/>
      <c r="D315" s="10"/>
      <c r="E315" s="10"/>
      <c r="F315" s="10"/>
      <c r="G315" s="10"/>
      <c r="H315" s="10"/>
      <c r="I315" s="10"/>
      <c r="J315" s="10"/>
      <c r="K315" s="10"/>
      <c r="L315" s="10"/>
      <c r="M315" s="10"/>
      <c r="N315" s="10"/>
      <c r="O315" s="19"/>
      <c r="P315" s="19"/>
      <c r="Q315" s="10"/>
      <c r="R315" s="10"/>
      <c r="S315" s="10"/>
      <c r="T315" s="10"/>
      <c r="U315" s="10"/>
      <c r="V315" s="10"/>
      <c r="W315" s="10"/>
      <c r="X315" s="10"/>
      <c r="Y315" s="10"/>
      <c r="Z315" s="10"/>
      <c r="AA315" s="10"/>
      <c r="AB315" s="10"/>
    </row>
    <row r="316" ht="15.75" customHeight="1">
      <c r="A316" s="10"/>
      <c r="B316" s="10"/>
      <c r="C316" s="10"/>
      <c r="D316" s="10"/>
      <c r="E316" s="10"/>
      <c r="F316" s="10"/>
      <c r="G316" s="10"/>
      <c r="H316" s="10"/>
      <c r="I316" s="10"/>
      <c r="J316" s="10"/>
      <c r="K316" s="10"/>
      <c r="L316" s="10"/>
      <c r="M316" s="10"/>
      <c r="N316" s="10"/>
      <c r="O316" s="19"/>
      <c r="P316" s="19"/>
      <c r="Q316" s="10"/>
      <c r="R316" s="10"/>
      <c r="S316" s="10"/>
      <c r="T316" s="10"/>
      <c r="U316" s="10"/>
      <c r="V316" s="10"/>
      <c r="W316" s="10"/>
      <c r="X316" s="10"/>
      <c r="Y316" s="10"/>
      <c r="Z316" s="10"/>
      <c r="AA316" s="10"/>
      <c r="AB316" s="10"/>
    </row>
    <row r="317" ht="15.75" customHeight="1">
      <c r="A317" s="10"/>
      <c r="B317" s="10"/>
      <c r="C317" s="10"/>
      <c r="D317" s="10"/>
      <c r="E317" s="10"/>
      <c r="F317" s="10"/>
      <c r="G317" s="10"/>
      <c r="H317" s="10"/>
      <c r="I317" s="10"/>
      <c r="J317" s="10"/>
      <c r="K317" s="10"/>
      <c r="L317" s="10"/>
      <c r="M317" s="10"/>
      <c r="N317" s="10"/>
      <c r="O317" s="19"/>
      <c r="P317" s="19"/>
      <c r="Q317" s="10"/>
      <c r="R317" s="10"/>
      <c r="S317" s="10"/>
      <c r="T317" s="10"/>
      <c r="U317" s="10"/>
      <c r="V317" s="10"/>
      <c r="W317" s="10"/>
      <c r="X317" s="10"/>
      <c r="Y317" s="10"/>
      <c r="Z317" s="10"/>
      <c r="AA317" s="10"/>
      <c r="AB317" s="10"/>
    </row>
    <row r="318" ht="15.75" customHeight="1">
      <c r="A318" s="10"/>
      <c r="B318" s="10"/>
      <c r="C318" s="10"/>
      <c r="D318" s="10"/>
      <c r="E318" s="10"/>
      <c r="F318" s="10"/>
      <c r="G318" s="10"/>
      <c r="H318" s="10"/>
      <c r="I318" s="10"/>
      <c r="J318" s="10"/>
      <c r="K318" s="10"/>
      <c r="L318" s="10"/>
      <c r="M318" s="10"/>
      <c r="N318" s="10"/>
      <c r="O318" s="19"/>
      <c r="P318" s="19"/>
      <c r="Q318" s="10"/>
      <c r="R318" s="10"/>
      <c r="S318" s="10"/>
      <c r="T318" s="10"/>
      <c r="U318" s="10"/>
      <c r="V318" s="10"/>
      <c r="W318" s="10"/>
      <c r="X318" s="10"/>
      <c r="Y318" s="10"/>
      <c r="Z318" s="10"/>
      <c r="AA318" s="10"/>
      <c r="AB318" s="10"/>
    </row>
    <row r="319" ht="15.75" customHeight="1">
      <c r="A319" s="10"/>
      <c r="B319" s="10"/>
      <c r="C319" s="10"/>
      <c r="D319" s="10"/>
      <c r="E319" s="10"/>
      <c r="F319" s="10"/>
      <c r="G319" s="10"/>
      <c r="H319" s="10"/>
      <c r="I319" s="10"/>
      <c r="J319" s="10"/>
      <c r="K319" s="10"/>
      <c r="L319" s="10"/>
      <c r="M319" s="10"/>
      <c r="N319" s="10"/>
      <c r="O319" s="19"/>
      <c r="P319" s="19"/>
      <c r="Q319" s="10"/>
      <c r="R319" s="10"/>
      <c r="S319" s="10"/>
      <c r="T319" s="10"/>
      <c r="U319" s="10"/>
      <c r="V319" s="10"/>
      <c r="W319" s="10"/>
      <c r="X319" s="10"/>
      <c r="Y319" s="10"/>
      <c r="Z319" s="10"/>
      <c r="AA319" s="10"/>
      <c r="AB319" s="10"/>
    </row>
    <row r="320" ht="15.75" customHeight="1">
      <c r="A320" s="10"/>
      <c r="B320" s="10"/>
      <c r="C320" s="10"/>
      <c r="D320" s="10"/>
      <c r="E320" s="10"/>
      <c r="F320" s="10"/>
      <c r="G320" s="10"/>
      <c r="H320" s="10"/>
      <c r="I320" s="10"/>
      <c r="J320" s="10"/>
      <c r="K320" s="10"/>
      <c r="L320" s="10"/>
      <c r="M320" s="10"/>
      <c r="N320" s="10"/>
      <c r="O320" s="19"/>
      <c r="P320" s="19"/>
      <c r="Q320" s="10"/>
      <c r="R320" s="10"/>
      <c r="S320" s="10"/>
      <c r="T320" s="10"/>
      <c r="U320" s="10"/>
      <c r="V320" s="10"/>
      <c r="W320" s="10"/>
      <c r="X320" s="10"/>
      <c r="Y320" s="10"/>
      <c r="Z320" s="10"/>
      <c r="AA320" s="10"/>
      <c r="AB320" s="10"/>
    </row>
    <row r="321" ht="15.75" customHeight="1">
      <c r="A321" s="10"/>
      <c r="B321" s="10"/>
      <c r="C321" s="10"/>
      <c r="D321" s="10"/>
      <c r="E321" s="10"/>
      <c r="F321" s="10"/>
      <c r="G321" s="10"/>
      <c r="H321" s="10"/>
      <c r="I321" s="10"/>
      <c r="J321" s="10"/>
      <c r="K321" s="10"/>
      <c r="L321" s="10"/>
      <c r="M321" s="10"/>
      <c r="N321" s="10"/>
      <c r="O321" s="19"/>
      <c r="P321" s="19"/>
      <c r="Q321" s="10"/>
      <c r="R321" s="10"/>
      <c r="S321" s="10"/>
      <c r="T321" s="10"/>
      <c r="U321" s="10"/>
      <c r="V321" s="10"/>
      <c r="W321" s="10"/>
      <c r="X321" s="10"/>
      <c r="Y321" s="10"/>
      <c r="Z321" s="10"/>
      <c r="AA321" s="10"/>
      <c r="AB321" s="10"/>
    </row>
    <row r="322" ht="15.75" customHeight="1">
      <c r="A322" s="10"/>
      <c r="B322" s="10"/>
      <c r="C322" s="10"/>
      <c r="D322" s="10"/>
      <c r="E322" s="10"/>
      <c r="F322" s="10"/>
      <c r="G322" s="10"/>
      <c r="H322" s="10"/>
      <c r="I322" s="10"/>
      <c r="J322" s="10"/>
      <c r="K322" s="10"/>
      <c r="L322" s="10"/>
      <c r="M322" s="10"/>
      <c r="N322" s="10"/>
      <c r="O322" s="19"/>
      <c r="P322" s="19"/>
      <c r="Q322" s="10"/>
      <c r="R322" s="10"/>
      <c r="S322" s="10"/>
      <c r="T322" s="10"/>
      <c r="U322" s="10"/>
      <c r="V322" s="10"/>
      <c r="W322" s="10"/>
      <c r="X322" s="10"/>
      <c r="Y322" s="10"/>
      <c r="Z322" s="10"/>
      <c r="AA322" s="10"/>
      <c r="AB322" s="10"/>
    </row>
    <row r="323" ht="15.75" customHeight="1">
      <c r="A323" s="10"/>
      <c r="B323" s="10"/>
      <c r="C323" s="10"/>
      <c r="D323" s="10"/>
      <c r="E323" s="10"/>
      <c r="F323" s="10"/>
      <c r="G323" s="10"/>
      <c r="H323" s="10"/>
      <c r="I323" s="10"/>
      <c r="J323" s="10"/>
      <c r="K323" s="10"/>
      <c r="L323" s="10"/>
      <c r="M323" s="10"/>
      <c r="N323" s="10"/>
      <c r="O323" s="19"/>
      <c r="P323" s="19"/>
      <c r="Q323" s="10"/>
      <c r="R323" s="10"/>
      <c r="S323" s="10"/>
      <c r="T323" s="10"/>
      <c r="U323" s="10"/>
      <c r="V323" s="10"/>
      <c r="W323" s="10"/>
      <c r="X323" s="10"/>
      <c r="Y323" s="10"/>
      <c r="Z323" s="10"/>
      <c r="AA323" s="10"/>
      <c r="AB323" s="10"/>
    </row>
    <row r="324" ht="15.75" customHeight="1">
      <c r="A324" s="10"/>
      <c r="B324" s="10"/>
      <c r="C324" s="10"/>
      <c r="D324" s="10"/>
      <c r="E324" s="10"/>
      <c r="F324" s="10"/>
      <c r="G324" s="10"/>
      <c r="H324" s="10"/>
      <c r="I324" s="10"/>
      <c r="J324" s="10"/>
      <c r="K324" s="10"/>
      <c r="L324" s="10"/>
      <c r="M324" s="10"/>
      <c r="N324" s="10"/>
      <c r="O324" s="19"/>
      <c r="P324" s="19"/>
      <c r="Q324" s="10"/>
      <c r="R324" s="10"/>
      <c r="S324" s="10"/>
      <c r="T324" s="10"/>
      <c r="U324" s="10"/>
      <c r="V324" s="10"/>
      <c r="W324" s="10"/>
      <c r="X324" s="10"/>
      <c r="Y324" s="10"/>
      <c r="Z324" s="10"/>
      <c r="AA324" s="10"/>
      <c r="AB324" s="10"/>
    </row>
    <row r="325" ht="15.75" customHeight="1">
      <c r="A325" s="10"/>
      <c r="B325" s="10"/>
      <c r="C325" s="10"/>
      <c r="D325" s="10"/>
      <c r="E325" s="10"/>
      <c r="F325" s="10"/>
      <c r="G325" s="10"/>
      <c r="H325" s="10"/>
      <c r="I325" s="10"/>
      <c r="J325" s="10"/>
      <c r="K325" s="10"/>
      <c r="L325" s="10"/>
      <c r="M325" s="10"/>
      <c r="N325" s="10"/>
      <c r="O325" s="19"/>
      <c r="P325" s="19"/>
      <c r="Q325" s="10"/>
      <c r="R325" s="10"/>
      <c r="S325" s="10"/>
      <c r="T325" s="10"/>
      <c r="U325" s="10"/>
      <c r="V325" s="10"/>
      <c r="W325" s="10"/>
      <c r="X325" s="10"/>
      <c r="Y325" s="10"/>
      <c r="Z325" s="10"/>
      <c r="AA325" s="10"/>
      <c r="AB325" s="10"/>
    </row>
    <row r="326" ht="15.75" customHeight="1">
      <c r="A326" s="20"/>
      <c r="B326" s="20"/>
      <c r="C326" s="20"/>
    </row>
    <row r="327" ht="15.75" customHeight="1">
      <c r="A327" s="20"/>
      <c r="B327" s="20"/>
      <c r="C327" s="20"/>
    </row>
    <row r="328" ht="15.75" customHeight="1">
      <c r="A328" s="20"/>
      <c r="B328" s="20"/>
      <c r="C328" s="20"/>
    </row>
    <row r="329" ht="15.75" customHeight="1">
      <c r="A329" s="20"/>
      <c r="B329" s="20"/>
      <c r="C329" s="20"/>
    </row>
    <row r="330" ht="15.75" customHeight="1">
      <c r="A330" s="20"/>
      <c r="B330" s="20"/>
      <c r="C330" s="20"/>
    </row>
    <row r="331" ht="15.75" customHeight="1">
      <c r="A331" s="20"/>
      <c r="B331" s="20"/>
      <c r="C331" s="20"/>
    </row>
    <row r="332" ht="15.75" customHeight="1">
      <c r="A332" s="20"/>
      <c r="B332" s="20"/>
      <c r="C332" s="20"/>
    </row>
    <row r="333" ht="15.75" customHeight="1">
      <c r="A333" s="20"/>
      <c r="B333" s="20"/>
      <c r="C333" s="20"/>
    </row>
    <row r="334" ht="15.75" customHeight="1">
      <c r="A334" s="20"/>
      <c r="B334" s="20"/>
      <c r="C334" s="20"/>
    </row>
    <row r="335" ht="15.75" customHeight="1">
      <c r="A335" s="20"/>
      <c r="B335" s="20"/>
      <c r="C335" s="20"/>
    </row>
    <row r="336" ht="15.75" customHeight="1">
      <c r="A336" s="20"/>
      <c r="B336" s="20"/>
      <c r="C336" s="20"/>
    </row>
    <row r="337" ht="15.75" customHeight="1">
      <c r="A337" s="20"/>
      <c r="B337" s="20"/>
      <c r="C337" s="20"/>
    </row>
    <row r="338" ht="15.75" customHeight="1">
      <c r="A338" s="20"/>
      <c r="B338" s="20"/>
      <c r="C338" s="20"/>
    </row>
    <row r="339" ht="15.75" customHeight="1">
      <c r="A339" s="20"/>
      <c r="B339" s="20"/>
      <c r="C339" s="20"/>
    </row>
    <row r="340" ht="15.75" customHeight="1">
      <c r="A340" s="20"/>
      <c r="B340" s="20"/>
      <c r="C340" s="20"/>
    </row>
    <row r="341" ht="15.75" customHeight="1">
      <c r="A341" s="20"/>
      <c r="B341" s="20"/>
      <c r="C341" s="20"/>
    </row>
    <row r="342" ht="15.75" customHeight="1">
      <c r="A342" s="20"/>
      <c r="B342" s="20"/>
      <c r="C342" s="20"/>
    </row>
    <row r="343" ht="15.75" customHeight="1">
      <c r="A343" s="20"/>
      <c r="B343" s="20"/>
      <c r="C343" s="20"/>
    </row>
    <row r="344" ht="15.75" customHeight="1">
      <c r="A344" s="20"/>
      <c r="B344" s="20"/>
      <c r="C344" s="20"/>
    </row>
    <row r="345" ht="15.75" customHeight="1">
      <c r="A345" s="20"/>
      <c r="B345" s="20"/>
      <c r="C345" s="20"/>
    </row>
    <row r="346" ht="15.75" customHeight="1">
      <c r="A346" s="20"/>
      <c r="B346" s="20"/>
      <c r="C346" s="20"/>
    </row>
    <row r="347" ht="15.75" customHeight="1">
      <c r="A347" s="20"/>
      <c r="B347" s="20"/>
      <c r="C347" s="20"/>
    </row>
    <row r="348" ht="15.75" customHeight="1">
      <c r="A348" s="20"/>
      <c r="B348" s="20"/>
      <c r="C348" s="20"/>
    </row>
    <row r="349" ht="15.75" customHeight="1">
      <c r="A349" s="20"/>
      <c r="B349" s="20"/>
      <c r="C349" s="20"/>
    </row>
    <row r="350" ht="15.75" customHeight="1">
      <c r="A350" s="20"/>
      <c r="B350" s="20"/>
      <c r="C350" s="20"/>
    </row>
    <row r="351" ht="15.75" customHeight="1">
      <c r="A351" s="20"/>
      <c r="B351" s="20"/>
      <c r="C351" s="20"/>
    </row>
    <row r="352" ht="15.75" customHeight="1">
      <c r="A352" s="20"/>
      <c r="B352" s="20"/>
      <c r="C352" s="20"/>
    </row>
    <row r="353" ht="15.75" customHeight="1">
      <c r="A353" s="20"/>
      <c r="B353" s="20"/>
      <c r="C353" s="20"/>
    </row>
    <row r="354" ht="15.75" customHeight="1">
      <c r="A354" s="20"/>
      <c r="B354" s="20"/>
      <c r="C354" s="20"/>
    </row>
    <row r="355" ht="15.75" customHeight="1">
      <c r="A355" s="20"/>
      <c r="B355" s="20"/>
      <c r="C355" s="20"/>
    </row>
    <row r="356" ht="15.75" customHeight="1">
      <c r="A356" s="20"/>
      <c r="B356" s="20"/>
      <c r="C356" s="20"/>
    </row>
    <row r="357" ht="15.75" customHeight="1">
      <c r="A357" s="20"/>
      <c r="B357" s="20"/>
      <c r="C357" s="20"/>
    </row>
    <row r="358" ht="15.75" customHeight="1">
      <c r="A358" s="20"/>
      <c r="B358" s="20"/>
      <c r="C358" s="20"/>
    </row>
    <row r="359" ht="15.75" customHeight="1">
      <c r="A359" s="20"/>
      <c r="B359" s="20"/>
      <c r="C359" s="20"/>
    </row>
    <row r="360" ht="15.75" customHeight="1">
      <c r="A360" s="20"/>
      <c r="B360" s="20"/>
      <c r="C360" s="20"/>
    </row>
    <row r="361" ht="15.75" customHeight="1">
      <c r="A361" s="20"/>
      <c r="B361" s="20"/>
      <c r="C361" s="20"/>
    </row>
    <row r="362" ht="15.75" customHeight="1">
      <c r="A362" s="20"/>
      <c r="B362" s="20"/>
      <c r="C362" s="20"/>
    </row>
    <row r="363" ht="15.75" customHeight="1">
      <c r="A363" s="20"/>
      <c r="B363" s="20"/>
      <c r="C363" s="20"/>
    </row>
    <row r="364" ht="15.75" customHeight="1">
      <c r="A364" s="20"/>
      <c r="B364" s="20"/>
      <c r="C364" s="20"/>
    </row>
    <row r="365" ht="15.75" customHeight="1">
      <c r="A365" s="20"/>
      <c r="B365" s="20"/>
      <c r="C365" s="20"/>
    </row>
    <row r="366" ht="15.75" customHeight="1">
      <c r="A366" s="20"/>
      <c r="B366" s="20"/>
      <c r="C366" s="20"/>
    </row>
    <row r="367" ht="15.75" customHeight="1">
      <c r="A367" s="20"/>
      <c r="B367" s="20"/>
      <c r="C367" s="20"/>
    </row>
    <row r="368" ht="15.75" customHeight="1">
      <c r="A368" s="20"/>
      <c r="B368" s="20"/>
      <c r="C368" s="20"/>
    </row>
    <row r="369" ht="15.75" customHeight="1">
      <c r="A369" s="20"/>
      <c r="B369" s="20"/>
      <c r="C369" s="20"/>
    </row>
    <row r="370" ht="15.75" customHeight="1">
      <c r="A370" s="20"/>
      <c r="B370" s="20"/>
      <c r="C370" s="20"/>
    </row>
    <row r="371" ht="15.75" customHeight="1">
      <c r="A371" s="20"/>
      <c r="B371" s="20"/>
      <c r="C371" s="20"/>
    </row>
    <row r="372" ht="15.75" customHeight="1">
      <c r="A372" s="20"/>
      <c r="B372" s="20"/>
      <c r="C372" s="20"/>
    </row>
    <row r="373" ht="15.75" customHeight="1">
      <c r="A373" s="20"/>
      <c r="B373" s="20"/>
      <c r="C373" s="20"/>
    </row>
    <row r="374" ht="15.75" customHeight="1">
      <c r="A374" s="20"/>
      <c r="B374" s="20"/>
      <c r="C374" s="20"/>
    </row>
    <row r="375" ht="15.75" customHeight="1">
      <c r="A375" s="20"/>
      <c r="B375" s="20"/>
      <c r="C375" s="20"/>
    </row>
    <row r="376" ht="15.75" customHeight="1">
      <c r="A376" s="20"/>
      <c r="B376" s="20"/>
      <c r="C376" s="20"/>
    </row>
    <row r="377" ht="15.75" customHeight="1">
      <c r="A377" s="20"/>
      <c r="B377" s="20"/>
      <c r="C377" s="20"/>
    </row>
    <row r="378" ht="15.75" customHeight="1">
      <c r="A378" s="20"/>
      <c r="B378" s="20"/>
      <c r="C378" s="20"/>
    </row>
    <row r="379" ht="15.75" customHeight="1">
      <c r="A379" s="20"/>
      <c r="B379" s="20"/>
      <c r="C379" s="20"/>
    </row>
    <row r="380" ht="15.75" customHeight="1">
      <c r="A380" s="20"/>
      <c r="B380" s="20"/>
      <c r="C380" s="20"/>
    </row>
    <row r="381" ht="15.75" customHeight="1">
      <c r="A381" s="20"/>
      <c r="B381" s="20"/>
      <c r="C381" s="20"/>
    </row>
    <row r="382" ht="15.75" customHeight="1">
      <c r="A382" s="20"/>
      <c r="B382" s="20"/>
      <c r="C382" s="20"/>
    </row>
    <row r="383" ht="15.75" customHeight="1">
      <c r="A383" s="20"/>
      <c r="B383" s="20"/>
      <c r="C383" s="20"/>
    </row>
    <row r="384" ht="15.75" customHeight="1">
      <c r="A384" s="20"/>
      <c r="B384" s="20"/>
      <c r="C384" s="20"/>
    </row>
    <row r="385" ht="15.75" customHeight="1">
      <c r="A385" s="20"/>
      <c r="B385" s="20"/>
      <c r="C385" s="20"/>
    </row>
    <row r="386" ht="15.75" customHeight="1">
      <c r="A386" s="20"/>
      <c r="B386" s="20"/>
      <c r="C386" s="20"/>
    </row>
    <row r="387" ht="15.75" customHeight="1">
      <c r="A387" s="20"/>
      <c r="B387" s="20"/>
      <c r="C387" s="20"/>
    </row>
    <row r="388" ht="15.75" customHeight="1">
      <c r="A388" s="20"/>
      <c r="B388" s="20"/>
      <c r="C388" s="20"/>
    </row>
    <row r="389" ht="15.75" customHeight="1">
      <c r="A389" s="20"/>
      <c r="B389" s="20"/>
      <c r="C389" s="20"/>
    </row>
    <row r="390" ht="15.75" customHeight="1">
      <c r="A390" s="20"/>
      <c r="B390" s="20"/>
      <c r="C390" s="20"/>
    </row>
    <row r="391" ht="15.75" customHeight="1">
      <c r="A391" s="20"/>
      <c r="B391" s="20"/>
      <c r="C391" s="20"/>
    </row>
    <row r="392" ht="15.75" customHeight="1">
      <c r="A392" s="20"/>
      <c r="B392" s="20"/>
      <c r="C392" s="20"/>
    </row>
    <row r="393" ht="15.75" customHeight="1">
      <c r="A393" s="20"/>
      <c r="B393" s="20"/>
      <c r="C393" s="20"/>
    </row>
    <row r="394" ht="15.75" customHeight="1">
      <c r="A394" s="20"/>
      <c r="B394" s="20"/>
      <c r="C394" s="20"/>
    </row>
    <row r="395" ht="15.75" customHeight="1">
      <c r="A395" s="20"/>
      <c r="B395" s="20"/>
      <c r="C395" s="20"/>
    </row>
    <row r="396" ht="15.75" customHeight="1">
      <c r="A396" s="20"/>
      <c r="B396" s="20"/>
      <c r="C396" s="20"/>
    </row>
    <row r="397" ht="15.75" customHeight="1">
      <c r="A397" s="20"/>
      <c r="B397" s="20"/>
      <c r="C397" s="20"/>
    </row>
    <row r="398" ht="15.75" customHeight="1">
      <c r="A398" s="20"/>
      <c r="B398" s="20"/>
      <c r="C398" s="20"/>
    </row>
    <row r="399" ht="15.75" customHeight="1">
      <c r="A399" s="20"/>
      <c r="B399" s="20"/>
      <c r="C399" s="20"/>
    </row>
    <row r="400" ht="15.75" customHeight="1">
      <c r="A400" s="20"/>
      <c r="B400" s="20"/>
      <c r="C400" s="20"/>
    </row>
    <row r="401" ht="15.75" customHeight="1">
      <c r="A401" s="20"/>
      <c r="B401" s="20"/>
      <c r="C401" s="20"/>
    </row>
    <row r="402" ht="15.75" customHeight="1">
      <c r="A402" s="20"/>
      <c r="B402" s="20"/>
      <c r="C402" s="20"/>
    </row>
    <row r="403" ht="15.75" customHeight="1">
      <c r="A403" s="20"/>
      <c r="B403" s="20"/>
      <c r="C403" s="20"/>
    </row>
    <row r="404" ht="15.75" customHeight="1">
      <c r="A404" s="20"/>
      <c r="B404" s="20"/>
      <c r="C404" s="20"/>
    </row>
    <row r="405" ht="15.75" customHeight="1">
      <c r="A405" s="20"/>
      <c r="B405" s="20"/>
      <c r="C405" s="20"/>
    </row>
    <row r="406" ht="15.75" customHeight="1">
      <c r="A406" s="20"/>
      <c r="B406" s="20"/>
      <c r="C406" s="20"/>
    </row>
    <row r="407" ht="15.75" customHeight="1">
      <c r="A407" s="20"/>
      <c r="B407" s="20"/>
      <c r="C407" s="20"/>
    </row>
    <row r="408" ht="15.75" customHeight="1">
      <c r="A408" s="20"/>
      <c r="B408" s="20"/>
      <c r="C408" s="20"/>
    </row>
    <row r="409" ht="15.75" customHeight="1">
      <c r="A409" s="20"/>
      <c r="B409" s="20"/>
      <c r="C409" s="20"/>
    </row>
    <row r="410" ht="15.75" customHeight="1">
      <c r="A410" s="20"/>
      <c r="B410" s="20"/>
      <c r="C410" s="20"/>
    </row>
    <row r="411" ht="15.75" customHeight="1">
      <c r="A411" s="20"/>
      <c r="B411" s="20"/>
      <c r="C411" s="20"/>
    </row>
    <row r="412" ht="15.75" customHeight="1">
      <c r="A412" s="20"/>
      <c r="B412" s="20"/>
      <c r="C412" s="20"/>
    </row>
    <row r="413" ht="15.75" customHeight="1">
      <c r="A413" s="20"/>
      <c r="B413" s="20"/>
      <c r="C413" s="20"/>
    </row>
    <row r="414" ht="15.75" customHeight="1">
      <c r="A414" s="20"/>
      <c r="B414" s="20"/>
      <c r="C414" s="20"/>
    </row>
    <row r="415" ht="15.75" customHeight="1">
      <c r="A415" s="20"/>
      <c r="B415" s="20"/>
      <c r="C415" s="20"/>
    </row>
    <row r="416" ht="15.75" customHeight="1">
      <c r="A416" s="20"/>
      <c r="B416" s="20"/>
      <c r="C416" s="20"/>
    </row>
    <row r="417" ht="15.75" customHeight="1">
      <c r="A417" s="20"/>
      <c r="B417" s="20"/>
      <c r="C417" s="20"/>
    </row>
    <row r="418" ht="15.75" customHeight="1">
      <c r="A418" s="20"/>
      <c r="B418" s="20"/>
      <c r="C418" s="20"/>
    </row>
    <row r="419" ht="15.75" customHeight="1">
      <c r="A419" s="20"/>
      <c r="B419" s="20"/>
      <c r="C419" s="20"/>
    </row>
    <row r="420" ht="15.75" customHeight="1">
      <c r="A420" s="20"/>
      <c r="B420" s="20"/>
      <c r="C420" s="20"/>
    </row>
    <row r="421" ht="15.75" customHeight="1">
      <c r="A421" s="20"/>
      <c r="B421" s="20"/>
      <c r="C421" s="20"/>
    </row>
    <row r="422" ht="15.75" customHeight="1">
      <c r="A422" s="20"/>
      <c r="B422" s="20"/>
      <c r="C422" s="20"/>
    </row>
    <row r="423" ht="15.75" customHeight="1">
      <c r="A423" s="20"/>
      <c r="B423" s="20"/>
      <c r="C423" s="20"/>
    </row>
    <row r="424" ht="15.75" customHeight="1">
      <c r="A424" s="20"/>
      <c r="B424" s="20"/>
      <c r="C424" s="20"/>
    </row>
    <row r="425" ht="15.75" customHeight="1">
      <c r="A425" s="20"/>
      <c r="B425" s="20"/>
      <c r="C425" s="20"/>
    </row>
    <row r="426" ht="15.75" customHeight="1">
      <c r="A426" s="20"/>
      <c r="B426" s="20"/>
      <c r="C426" s="20"/>
    </row>
    <row r="427" ht="15.75" customHeight="1">
      <c r="A427" s="20"/>
      <c r="B427" s="20"/>
      <c r="C427" s="20"/>
    </row>
    <row r="428" ht="15.75" customHeight="1">
      <c r="A428" s="20"/>
      <c r="B428" s="20"/>
      <c r="C428" s="20"/>
    </row>
    <row r="429" ht="15.75" customHeight="1">
      <c r="A429" s="20"/>
      <c r="B429" s="20"/>
      <c r="C429" s="20"/>
    </row>
    <row r="430" ht="15.75" customHeight="1">
      <c r="A430" s="20"/>
      <c r="B430" s="20"/>
      <c r="C430" s="20"/>
    </row>
    <row r="431" ht="15.75" customHeight="1">
      <c r="A431" s="20"/>
      <c r="B431" s="20"/>
      <c r="C431" s="20"/>
    </row>
    <row r="432" ht="15.75" customHeight="1">
      <c r="A432" s="20"/>
      <c r="B432" s="20"/>
      <c r="C432" s="20"/>
    </row>
    <row r="433" ht="15.75" customHeight="1">
      <c r="A433" s="20"/>
      <c r="B433" s="20"/>
      <c r="C433" s="20"/>
    </row>
    <row r="434" ht="15.75" customHeight="1">
      <c r="A434" s="20"/>
      <c r="B434" s="20"/>
      <c r="C434" s="20"/>
    </row>
    <row r="435" ht="15.75" customHeight="1">
      <c r="A435" s="20"/>
      <c r="B435" s="20"/>
      <c r="C435" s="20"/>
    </row>
    <row r="436" ht="15.75" customHeight="1">
      <c r="A436" s="20"/>
      <c r="B436" s="20"/>
      <c r="C436" s="20"/>
    </row>
    <row r="437" ht="15.75" customHeight="1">
      <c r="A437" s="20"/>
      <c r="B437" s="20"/>
      <c r="C437" s="20"/>
    </row>
    <row r="438" ht="15.75" customHeight="1">
      <c r="A438" s="20"/>
      <c r="B438" s="20"/>
      <c r="C438" s="20"/>
    </row>
    <row r="439" ht="15.75" customHeight="1">
      <c r="A439" s="20"/>
      <c r="B439" s="20"/>
      <c r="C439" s="20"/>
    </row>
    <row r="440" ht="15.75" customHeight="1">
      <c r="A440" s="20"/>
      <c r="B440" s="20"/>
      <c r="C440" s="20"/>
    </row>
    <row r="441" ht="15.75" customHeight="1">
      <c r="A441" s="20"/>
      <c r="B441" s="20"/>
      <c r="C441" s="20"/>
    </row>
    <row r="442" ht="15.75" customHeight="1">
      <c r="A442" s="20"/>
      <c r="B442" s="20"/>
      <c r="C442" s="20"/>
    </row>
    <row r="443" ht="15.75" customHeight="1">
      <c r="A443" s="20"/>
      <c r="B443" s="20"/>
      <c r="C443" s="20"/>
    </row>
    <row r="444" ht="15.75" customHeight="1">
      <c r="A444" s="20"/>
      <c r="B444" s="20"/>
      <c r="C444" s="20"/>
    </row>
    <row r="445" ht="15.75" customHeight="1">
      <c r="A445" s="20"/>
      <c r="B445" s="20"/>
      <c r="C445" s="20"/>
    </row>
    <row r="446" ht="15.75" customHeight="1">
      <c r="A446" s="20"/>
      <c r="B446" s="20"/>
      <c r="C446" s="20"/>
    </row>
    <row r="447" ht="15.75" customHeight="1">
      <c r="A447" s="20"/>
      <c r="B447" s="20"/>
      <c r="C447" s="20"/>
    </row>
    <row r="448" ht="15.75" customHeight="1">
      <c r="A448" s="20"/>
      <c r="B448" s="20"/>
      <c r="C448" s="20"/>
    </row>
    <row r="449" ht="15.75" customHeight="1">
      <c r="A449" s="20"/>
      <c r="B449" s="20"/>
      <c r="C449" s="20"/>
    </row>
    <row r="450" ht="15.75" customHeight="1">
      <c r="A450" s="20"/>
      <c r="B450" s="20"/>
      <c r="C450" s="20"/>
    </row>
    <row r="451" ht="15.75" customHeight="1">
      <c r="A451" s="20"/>
      <c r="B451" s="20"/>
      <c r="C451" s="20"/>
    </row>
    <row r="452" ht="15.75" customHeight="1">
      <c r="A452" s="20"/>
      <c r="B452" s="20"/>
      <c r="C452" s="20"/>
    </row>
    <row r="453" ht="15.75" customHeight="1">
      <c r="A453" s="20"/>
      <c r="B453" s="20"/>
      <c r="C453" s="20"/>
    </row>
    <row r="454" ht="15.75" customHeight="1">
      <c r="A454" s="20"/>
      <c r="B454" s="20"/>
      <c r="C454" s="20"/>
    </row>
    <row r="455" ht="15.75" customHeight="1">
      <c r="A455" s="20"/>
      <c r="B455" s="20"/>
      <c r="C455" s="20"/>
    </row>
    <row r="456" ht="15.75" customHeight="1">
      <c r="A456" s="20"/>
      <c r="B456" s="20"/>
      <c r="C456" s="20"/>
    </row>
    <row r="457" ht="15.75" customHeight="1">
      <c r="A457" s="20"/>
      <c r="B457" s="20"/>
      <c r="C457" s="20"/>
    </row>
    <row r="458" ht="15.75" customHeight="1">
      <c r="A458" s="20"/>
      <c r="B458" s="20"/>
      <c r="C458" s="20"/>
    </row>
    <row r="459" ht="15.75" customHeight="1">
      <c r="A459" s="20"/>
      <c r="B459" s="20"/>
      <c r="C459" s="20"/>
    </row>
    <row r="460" ht="15.75" customHeight="1">
      <c r="A460" s="20"/>
      <c r="B460" s="20"/>
      <c r="C460" s="20"/>
    </row>
    <row r="461" ht="15.75" customHeight="1">
      <c r="A461" s="20"/>
      <c r="B461" s="20"/>
      <c r="C461" s="20"/>
    </row>
    <row r="462" ht="15.75" customHeight="1">
      <c r="A462" s="20"/>
      <c r="B462" s="20"/>
      <c r="C462" s="20"/>
    </row>
    <row r="463" ht="15.75" customHeight="1">
      <c r="A463" s="20"/>
      <c r="B463" s="20"/>
      <c r="C463" s="20"/>
    </row>
    <row r="464" ht="15.75" customHeight="1">
      <c r="A464" s="20"/>
      <c r="B464" s="20"/>
      <c r="C464" s="20"/>
    </row>
    <row r="465" ht="15.75" customHeight="1">
      <c r="A465" s="20"/>
      <c r="B465" s="20"/>
      <c r="C465" s="20"/>
    </row>
    <row r="466" ht="15.75" customHeight="1">
      <c r="A466" s="20"/>
      <c r="B466" s="20"/>
      <c r="C466" s="20"/>
    </row>
    <row r="467" ht="15.75" customHeight="1">
      <c r="A467" s="20"/>
      <c r="B467" s="20"/>
      <c r="C467" s="20"/>
    </row>
    <row r="468" ht="15.75" customHeight="1">
      <c r="A468" s="20"/>
      <c r="B468" s="20"/>
      <c r="C468" s="20"/>
    </row>
    <row r="469" ht="15.75" customHeight="1">
      <c r="A469" s="20"/>
      <c r="B469" s="20"/>
      <c r="C469" s="20"/>
    </row>
    <row r="470" ht="15.75" customHeight="1">
      <c r="A470" s="20"/>
      <c r="B470" s="20"/>
      <c r="C470" s="20"/>
    </row>
    <row r="471" ht="15.75" customHeight="1">
      <c r="A471" s="20"/>
      <c r="B471" s="20"/>
      <c r="C471" s="20"/>
    </row>
    <row r="472" ht="15.75" customHeight="1">
      <c r="A472" s="20"/>
      <c r="B472" s="20"/>
      <c r="C472" s="20"/>
    </row>
    <row r="473" ht="15.75" customHeight="1">
      <c r="A473" s="20"/>
      <c r="B473" s="20"/>
      <c r="C473" s="20"/>
    </row>
    <row r="474" ht="15.75" customHeight="1">
      <c r="A474" s="20"/>
      <c r="B474" s="20"/>
      <c r="C474" s="20"/>
    </row>
    <row r="475" ht="15.75" customHeight="1">
      <c r="A475" s="20"/>
      <c r="B475" s="20"/>
      <c r="C475" s="20"/>
    </row>
    <row r="476" ht="15.75" customHeight="1">
      <c r="A476" s="20"/>
      <c r="B476" s="20"/>
      <c r="C476" s="20"/>
    </row>
    <row r="477" ht="15.75" customHeight="1">
      <c r="A477" s="20"/>
      <c r="B477" s="20"/>
      <c r="C477" s="20"/>
    </row>
    <row r="478" ht="15.75" customHeight="1">
      <c r="A478" s="20"/>
      <c r="B478" s="20"/>
      <c r="C478" s="20"/>
    </row>
    <row r="479" ht="15.75" customHeight="1">
      <c r="A479" s="20"/>
      <c r="B479" s="20"/>
      <c r="C479" s="20"/>
    </row>
    <row r="480" ht="15.75" customHeight="1">
      <c r="A480" s="20"/>
      <c r="B480" s="20"/>
      <c r="C480" s="20"/>
    </row>
    <row r="481" ht="15.75" customHeight="1">
      <c r="A481" s="20"/>
      <c r="B481" s="20"/>
      <c r="C481" s="20"/>
    </row>
    <row r="482" ht="15.75" customHeight="1">
      <c r="A482" s="20"/>
      <c r="B482" s="20"/>
      <c r="C482" s="20"/>
    </row>
    <row r="483" ht="15.75" customHeight="1">
      <c r="A483" s="20"/>
      <c r="B483" s="20"/>
      <c r="C483" s="20"/>
    </row>
    <row r="484" ht="15.75" customHeight="1">
      <c r="A484" s="20"/>
      <c r="B484" s="20"/>
      <c r="C484" s="20"/>
    </row>
    <row r="485" ht="15.75" customHeight="1">
      <c r="A485" s="20"/>
      <c r="B485" s="20"/>
      <c r="C485" s="20"/>
    </row>
    <row r="486" ht="15.75" customHeight="1">
      <c r="A486" s="20"/>
      <c r="B486" s="20"/>
      <c r="C486" s="20"/>
    </row>
    <row r="487" ht="15.75" customHeight="1">
      <c r="A487" s="20"/>
      <c r="B487" s="20"/>
      <c r="C487" s="20"/>
    </row>
    <row r="488" ht="15.75" customHeight="1">
      <c r="A488" s="20"/>
      <c r="B488" s="20"/>
      <c r="C488" s="20"/>
    </row>
    <row r="489" ht="15.75" customHeight="1">
      <c r="A489" s="20"/>
      <c r="B489" s="20"/>
      <c r="C489" s="20"/>
    </row>
    <row r="490" ht="15.75" customHeight="1">
      <c r="A490" s="20"/>
      <c r="B490" s="20"/>
      <c r="C490" s="20"/>
    </row>
    <row r="491" ht="15.75" customHeight="1">
      <c r="A491" s="20"/>
      <c r="B491" s="20"/>
      <c r="C491" s="20"/>
    </row>
    <row r="492" ht="15.75" customHeight="1">
      <c r="A492" s="20"/>
      <c r="B492" s="20"/>
      <c r="C492" s="20"/>
    </row>
    <row r="493" ht="15.75" customHeight="1">
      <c r="A493" s="20"/>
      <c r="B493" s="20"/>
      <c r="C493" s="20"/>
    </row>
    <row r="494" ht="15.75" customHeight="1">
      <c r="A494" s="20"/>
      <c r="B494" s="20"/>
      <c r="C494" s="20"/>
    </row>
    <row r="495" ht="15.75" customHeight="1">
      <c r="A495" s="20"/>
      <c r="B495" s="20"/>
      <c r="C495" s="20"/>
    </row>
    <row r="496" ht="15.75" customHeight="1">
      <c r="A496" s="20"/>
      <c r="B496" s="20"/>
      <c r="C496" s="20"/>
    </row>
    <row r="497" ht="15.75" customHeight="1">
      <c r="A497" s="20"/>
      <c r="B497" s="20"/>
      <c r="C497" s="20"/>
    </row>
    <row r="498" ht="15.75" customHeight="1">
      <c r="A498" s="20"/>
      <c r="B498" s="20"/>
      <c r="C498" s="20"/>
    </row>
    <row r="499" ht="15.75" customHeight="1">
      <c r="A499" s="20"/>
      <c r="B499" s="20"/>
      <c r="C499" s="20"/>
    </row>
    <row r="500" ht="15.75" customHeight="1">
      <c r="A500" s="20"/>
      <c r="B500" s="20"/>
      <c r="C500" s="20"/>
    </row>
    <row r="501" ht="15.75" customHeight="1">
      <c r="A501" s="20"/>
      <c r="B501" s="20"/>
      <c r="C501" s="20"/>
    </row>
    <row r="502" ht="15.75" customHeight="1">
      <c r="A502" s="20"/>
      <c r="B502" s="20"/>
      <c r="C502" s="20"/>
    </row>
    <row r="503" ht="15.75" customHeight="1">
      <c r="A503" s="20"/>
      <c r="B503" s="20"/>
      <c r="C503" s="20"/>
    </row>
    <row r="504" ht="15.75" customHeight="1">
      <c r="A504" s="20"/>
      <c r="B504" s="20"/>
      <c r="C504" s="20"/>
    </row>
    <row r="505" ht="15.75" customHeight="1">
      <c r="A505" s="20"/>
      <c r="B505" s="20"/>
      <c r="C505" s="20"/>
    </row>
    <row r="506" ht="15.75" customHeight="1">
      <c r="A506" s="20"/>
      <c r="B506" s="20"/>
      <c r="C506" s="20"/>
    </row>
    <row r="507" ht="15.75" customHeight="1">
      <c r="A507" s="20"/>
      <c r="B507" s="20"/>
      <c r="C507" s="20"/>
    </row>
    <row r="508" ht="15.75" customHeight="1">
      <c r="A508" s="20"/>
      <c r="B508" s="20"/>
      <c r="C508" s="20"/>
    </row>
    <row r="509" ht="15.75" customHeight="1">
      <c r="A509" s="20"/>
      <c r="B509" s="20"/>
      <c r="C509" s="20"/>
    </row>
    <row r="510" ht="15.75" customHeight="1">
      <c r="A510" s="20"/>
      <c r="B510" s="20"/>
      <c r="C510" s="20"/>
    </row>
    <row r="511" ht="15.75" customHeight="1">
      <c r="A511" s="20"/>
      <c r="B511" s="20"/>
      <c r="C511" s="20"/>
    </row>
    <row r="512" ht="15.75" customHeight="1">
      <c r="A512" s="20"/>
      <c r="B512" s="20"/>
      <c r="C512" s="20"/>
    </row>
    <row r="513" ht="15.75" customHeight="1">
      <c r="A513" s="20"/>
      <c r="B513" s="20"/>
      <c r="C513" s="20"/>
    </row>
    <row r="514" ht="15.75" customHeight="1">
      <c r="A514" s="20"/>
      <c r="B514" s="20"/>
      <c r="C514" s="20"/>
    </row>
    <row r="515" ht="15.75" customHeight="1">
      <c r="A515" s="20"/>
      <c r="B515" s="20"/>
      <c r="C515" s="20"/>
    </row>
    <row r="516" ht="15.75" customHeight="1">
      <c r="A516" s="20"/>
      <c r="B516" s="20"/>
      <c r="C516" s="20"/>
    </row>
    <row r="517" ht="15.75" customHeight="1">
      <c r="A517" s="20"/>
      <c r="B517" s="20"/>
      <c r="C517" s="20"/>
    </row>
    <row r="518" ht="15.75" customHeight="1">
      <c r="A518" s="20"/>
      <c r="B518" s="20"/>
      <c r="C518" s="20"/>
    </row>
    <row r="519" ht="15.75" customHeight="1">
      <c r="A519" s="20"/>
      <c r="B519" s="20"/>
      <c r="C519" s="20"/>
    </row>
    <row r="520" ht="15.75" customHeight="1">
      <c r="A520" s="20"/>
      <c r="B520" s="20"/>
      <c r="C520" s="20"/>
    </row>
    <row r="521" ht="15.75" customHeight="1">
      <c r="A521" s="20"/>
      <c r="B521" s="20"/>
      <c r="C521" s="20"/>
    </row>
    <row r="522" ht="15.75" customHeight="1">
      <c r="A522" s="20"/>
      <c r="B522" s="20"/>
      <c r="C522" s="20"/>
    </row>
    <row r="523" ht="15.75" customHeight="1">
      <c r="A523" s="20"/>
      <c r="B523" s="20"/>
      <c r="C523" s="20"/>
    </row>
    <row r="524" ht="15.75" customHeight="1">
      <c r="A524" s="20"/>
      <c r="B524" s="20"/>
      <c r="C524" s="20"/>
    </row>
    <row r="525" ht="15.75" customHeight="1">
      <c r="A525" s="20"/>
      <c r="B525" s="20"/>
      <c r="C525" s="20"/>
    </row>
    <row r="526" ht="15.75" customHeight="1">
      <c r="A526" s="20"/>
      <c r="B526" s="20"/>
      <c r="C526" s="20"/>
    </row>
    <row r="527" ht="15.75" customHeight="1">
      <c r="A527" s="20"/>
      <c r="B527" s="20"/>
      <c r="C527" s="20"/>
    </row>
    <row r="528" ht="15.75" customHeight="1">
      <c r="A528" s="20"/>
      <c r="B528" s="20"/>
      <c r="C528" s="20"/>
    </row>
    <row r="529" ht="15.75" customHeight="1">
      <c r="A529" s="20"/>
      <c r="B529" s="20"/>
      <c r="C529" s="20"/>
    </row>
    <row r="530" ht="15.75" customHeight="1">
      <c r="A530" s="20"/>
      <c r="B530" s="20"/>
      <c r="C530" s="20"/>
    </row>
    <row r="531" ht="15.75" customHeight="1">
      <c r="A531" s="20"/>
      <c r="B531" s="20"/>
      <c r="C531" s="20"/>
    </row>
    <row r="532" ht="15.75" customHeight="1">
      <c r="A532" s="20"/>
      <c r="B532" s="20"/>
      <c r="C532" s="20"/>
    </row>
    <row r="533" ht="15.75" customHeight="1">
      <c r="A533" s="20"/>
      <c r="B533" s="20"/>
      <c r="C533" s="20"/>
    </row>
    <row r="534" ht="15.75" customHeight="1">
      <c r="A534" s="20"/>
      <c r="B534" s="20"/>
      <c r="C534" s="20"/>
    </row>
    <row r="535" ht="15.75" customHeight="1">
      <c r="A535" s="20"/>
      <c r="B535" s="20"/>
      <c r="C535" s="20"/>
    </row>
    <row r="536" ht="15.75" customHeight="1">
      <c r="A536" s="20"/>
      <c r="B536" s="20"/>
      <c r="C536" s="20"/>
    </row>
    <row r="537" ht="15.75" customHeight="1">
      <c r="A537" s="20"/>
      <c r="B537" s="20"/>
      <c r="C537" s="20"/>
    </row>
    <row r="538" ht="15.75" customHeight="1">
      <c r="A538" s="20"/>
      <c r="B538" s="20"/>
      <c r="C538" s="20"/>
    </row>
    <row r="539" ht="15.75" customHeight="1">
      <c r="A539" s="20"/>
      <c r="B539" s="20"/>
      <c r="C539" s="20"/>
    </row>
    <row r="540" ht="15.75" customHeight="1">
      <c r="A540" s="20"/>
      <c r="B540" s="20"/>
      <c r="C540" s="20"/>
    </row>
    <row r="541" ht="15.75" customHeight="1">
      <c r="A541" s="20"/>
      <c r="B541" s="20"/>
      <c r="C541" s="20"/>
    </row>
    <row r="542" ht="15.75" customHeight="1">
      <c r="A542" s="20"/>
      <c r="B542" s="20"/>
      <c r="C542" s="20"/>
    </row>
    <row r="543" ht="15.75" customHeight="1">
      <c r="A543" s="20"/>
      <c r="B543" s="20"/>
      <c r="C543" s="20"/>
    </row>
    <row r="544" ht="15.75" customHeight="1">
      <c r="A544" s="20"/>
      <c r="B544" s="20"/>
      <c r="C544" s="20"/>
    </row>
    <row r="545" ht="15.75" customHeight="1">
      <c r="A545" s="20"/>
      <c r="B545" s="20"/>
      <c r="C545" s="20"/>
    </row>
    <row r="546" ht="15.75" customHeight="1">
      <c r="A546" s="20"/>
      <c r="B546" s="20"/>
      <c r="C546" s="20"/>
    </row>
    <row r="547" ht="15.75" customHeight="1">
      <c r="A547" s="20"/>
      <c r="B547" s="20"/>
      <c r="C547" s="20"/>
    </row>
    <row r="548" ht="15.75" customHeight="1">
      <c r="A548" s="20"/>
      <c r="B548" s="20"/>
      <c r="C548" s="20"/>
    </row>
    <row r="549" ht="15.75" customHeight="1">
      <c r="A549" s="20"/>
      <c r="B549" s="20"/>
      <c r="C549" s="20"/>
    </row>
    <row r="550" ht="15.75" customHeight="1">
      <c r="A550" s="20"/>
      <c r="B550" s="20"/>
      <c r="C550" s="20"/>
    </row>
    <row r="551" ht="15.75" customHeight="1">
      <c r="A551" s="20"/>
      <c r="B551" s="20"/>
      <c r="C551" s="20"/>
    </row>
    <row r="552" ht="15.75" customHeight="1">
      <c r="A552" s="20"/>
      <c r="B552" s="20"/>
      <c r="C552" s="20"/>
    </row>
    <row r="553" ht="15.75" customHeight="1">
      <c r="A553" s="20"/>
      <c r="B553" s="20"/>
      <c r="C553" s="20"/>
    </row>
    <row r="554" ht="15.75" customHeight="1">
      <c r="A554" s="20"/>
      <c r="B554" s="20"/>
      <c r="C554" s="20"/>
    </row>
    <row r="555" ht="15.75" customHeight="1">
      <c r="A555" s="20"/>
      <c r="B555" s="20"/>
      <c r="C555" s="20"/>
    </row>
    <row r="556" ht="15.75" customHeight="1">
      <c r="A556" s="20"/>
      <c r="B556" s="20"/>
      <c r="C556" s="20"/>
    </row>
    <row r="557" ht="15.75" customHeight="1">
      <c r="A557" s="20"/>
      <c r="B557" s="20"/>
      <c r="C557" s="20"/>
    </row>
    <row r="558" ht="15.75" customHeight="1">
      <c r="A558" s="20"/>
      <c r="B558" s="20"/>
      <c r="C558" s="20"/>
    </row>
    <row r="559" ht="15.75" customHeight="1">
      <c r="A559" s="20"/>
      <c r="B559" s="20"/>
      <c r="C559" s="20"/>
    </row>
    <row r="560" ht="15.75" customHeight="1">
      <c r="A560" s="20"/>
      <c r="B560" s="20"/>
      <c r="C560" s="20"/>
    </row>
    <row r="561" ht="15.75" customHeight="1">
      <c r="A561" s="20"/>
      <c r="B561" s="20"/>
      <c r="C561" s="20"/>
    </row>
    <row r="562" ht="15.75" customHeight="1">
      <c r="A562" s="20"/>
      <c r="B562" s="20"/>
      <c r="C562" s="20"/>
    </row>
    <row r="563" ht="15.75" customHeight="1">
      <c r="A563" s="20"/>
      <c r="B563" s="20"/>
      <c r="C563" s="20"/>
    </row>
    <row r="564" ht="15.75" customHeight="1">
      <c r="A564" s="20"/>
      <c r="B564" s="20"/>
      <c r="C564" s="20"/>
    </row>
    <row r="565" ht="15.75" customHeight="1">
      <c r="A565" s="20"/>
      <c r="B565" s="20"/>
      <c r="C565" s="20"/>
    </row>
    <row r="566" ht="15.75" customHeight="1">
      <c r="A566" s="20"/>
      <c r="B566" s="20"/>
      <c r="C566" s="20"/>
    </row>
    <row r="567" ht="15.75" customHeight="1">
      <c r="A567" s="20"/>
      <c r="B567" s="20"/>
      <c r="C567" s="20"/>
    </row>
    <row r="568" ht="15.75" customHeight="1">
      <c r="A568" s="20"/>
      <c r="B568" s="20"/>
      <c r="C568" s="20"/>
    </row>
    <row r="569" ht="15.75" customHeight="1">
      <c r="A569" s="20"/>
      <c r="B569" s="20"/>
      <c r="C569" s="20"/>
    </row>
    <row r="570" ht="15.75" customHeight="1">
      <c r="A570" s="20"/>
      <c r="B570" s="20"/>
      <c r="C570" s="20"/>
    </row>
    <row r="571" ht="15.75" customHeight="1">
      <c r="A571" s="20"/>
      <c r="B571" s="20"/>
      <c r="C571" s="20"/>
    </row>
    <row r="572" ht="15.75" customHeight="1">
      <c r="A572" s="20"/>
      <c r="B572" s="20"/>
      <c r="C572" s="20"/>
    </row>
    <row r="573" ht="15.75" customHeight="1">
      <c r="A573" s="20"/>
      <c r="B573" s="20"/>
      <c r="C573" s="20"/>
    </row>
    <row r="574" ht="15.75" customHeight="1">
      <c r="A574" s="20"/>
      <c r="B574" s="20"/>
      <c r="C574" s="20"/>
    </row>
    <row r="575" ht="15.75" customHeight="1">
      <c r="A575" s="20"/>
      <c r="B575" s="20"/>
      <c r="C575" s="20"/>
    </row>
    <row r="576" ht="15.75" customHeight="1">
      <c r="A576" s="20"/>
      <c r="B576" s="20"/>
      <c r="C576" s="20"/>
    </row>
    <row r="577" ht="15.75" customHeight="1">
      <c r="A577" s="20"/>
      <c r="B577" s="20"/>
      <c r="C577" s="20"/>
    </row>
    <row r="578" ht="15.75" customHeight="1">
      <c r="A578" s="20"/>
      <c r="B578" s="20"/>
      <c r="C578" s="20"/>
    </row>
    <row r="579" ht="15.75" customHeight="1">
      <c r="A579" s="20"/>
      <c r="B579" s="20"/>
      <c r="C579" s="20"/>
    </row>
    <row r="580" ht="15.75" customHeight="1">
      <c r="A580" s="20"/>
      <c r="B580" s="20"/>
      <c r="C580" s="20"/>
    </row>
    <row r="581" ht="15.75" customHeight="1">
      <c r="A581" s="20"/>
      <c r="B581" s="20"/>
      <c r="C581" s="20"/>
    </row>
    <row r="582" ht="15.75" customHeight="1">
      <c r="A582" s="20"/>
      <c r="B582" s="20"/>
      <c r="C582" s="20"/>
    </row>
    <row r="583" ht="15.75" customHeight="1">
      <c r="A583" s="20"/>
      <c r="B583" s="20"/>
      <c r="C583" s="20"/>
    </row>
    <row r="584" ht="15.75" customHeight="1">
      <c r="A584" s="20"/>
      <c r="B584" s="20"/>
      <c r="C584" s="20"/>
    </row>
    <row r="585" ht="15.75" customHeight="1">
      <c r="A585" s="20"/>
      <c r="B585" s="20"/>
      <c r="C585" s="20"/>
    </row>
    <row r="586" ht="15.75" customHeight="1">
      <c r="A586" s="20"/>
      <c r="B586" s="20"/>
      <c r="C586" s="20"/>
    </row>
    <row r="587" ht="15.75" customHeight="1">
      <c r="A587" s="20"/>
      <c r="B587" s="20"/>
      <c r="C587" s="20"/>
    </row>
    <row r="588" ht="15.75" customHeight="1">
      <c r="A588" s="20"/>
      <c r="B588" s="20"/>
      <c r="C588" s="20"/>
    </row>
    <row r="589" ht="15.75" customHeight="1">
      <c r="A589" s="20"/>
      <c r="B589" s="20"/>
      <c r="C589" s="20"/>
    </row>
    <row r="590" ht="15.75" customHeight="1">
      <c r="A590" s="20"/>
      <c r="B590" s="20"/>
      <c r="C590" s="20"/>
    </row>
    <row r="591" ht="15.75" customHeight="1">
      <c r="A591" s="20"/>
      <c r="B591" s="20"/>
      <c r="C591" s="20"/>
    </row>
    <row r="592" ht="15.75" customHeight="1">
      <c r="A592" s="20"/>
      <c r="B592" s="20"/>
      <c r="C592" s="20"/>
    </row>
    <row r="593" ht="15.75" customHeight="1">
      <c r="A593" s="20"/>
      <c r="B593" s="20"/>
      <c r="C593" s="20"/>
    </row>
    <row r="594" ht="15.75" customHeight="1">
      <c r="A594" s="20"/>
      <c r="B594" s="20"/>
      <c r="C594" s="20"/>
    </row>
    <row r="595" ht="15.75" customHeight="1">
      <c r="A595" s="20"/>
      <c r="B595" s="20"/>
      <c r="C595" s="20"/>
    </row>
    <row r="596" ht="15.75" customHeight="1">
      <c r="A596" s="20"/>
      <c r="B596" s="20"/>
      <c r="C596" s="20"/>
    </row>
    <row r="597" ht="15.75" customHeight="1">
      <c r="A597" s="20"/>
      <c r="B597" s="20"/>
      <c r="C597" s="20"/>
    </row>
    <row r="598" ht="15.75" customHeight="1">
      <c r="A598" s="20"/>
      <c r="B598" s="20"/>
      <c r="C598" s="20"/>
    </row>
    <row r="599" ht="15.75" customHeight="1">
      <c r="A599" s="20"/>
      <c r="B599" s="20"/>
      <c r="C599" s="20"/>
    </row>
    <row r="600" ht="15.75" customHeight="1">
      <c r="A600" s="20"/>
      <c r="B600" s="20"/>
      <c r="C600" s="20"/>
    </row>
    <row r="601" ht="15.75" customHeight="1">
      <c r="A601" s="20"/>
      <c r="B601" s="20"/>
      <c r="C601" s="20"/>
    </row>
    <row r="602" ht="15.75" customHeight="1">
      <c r="A602" s="20"/>
      <c r="B602" s="20"/>
      <c r="C602" s="20"/>
    </row>
    <row r="603" ht="15.75" customHeight="1">
      <c r="A603" s="20"/>
      <c r="B603" s="20"/>
      <c r="C603" s="20"/>
    </row>
    <row r="604" ht="15.75" customHeight="1">
      <c r="A604" s="20"/>
      <c r="B604" s="20"/>
      <c r="C604" s="20"/>
    </row>
    <row r="605" ht="15.75" customHeight="1">
      <c r="A605" s="20"/>
      <c r="B605" s="20"/>
      <c r="C605" s="20"/>
    </row>
    <row r="606" ht="15.75" customHeight="1">
      <c r="A606" s="20"/>
      <c r="B606" s="20"/>
      <c r="C606" s="20"/>
    </row>
    <row r="607" ht="15.75" customHeight="1">
      <c r="A607" s="20"/>
      <c r="B607" s="20"/>
      <c r="C607" s="20"/>
    </row>
    <row r="608" ht="15.75" customHeight="1">
      <c r="A608" s="20"/>
      <c r="B608" s="20"/>
      <c r="C608" s="20"/>
    </row>
    <row r="609" ht="15.75" customHeight="1">
      <c r="A609" s="20"/>
      <c r="B609" s="20"/>
      <c r="C609" s="20"/>
    </row>
    <row r="610" ht="15.75" customHeight="1">
      <c r="A610" s="20"/>
      <c r="B610" s="20"/>
      <c r="C610" s="20"/>
    </row>
    <row r="611" ht="15.75" customHeight="1">
      <c r="A611" s="20"/>
      <c r="B611" s="20"/>
      <c r="C611" s="20"/>
    </row>
    <row r="612" ht="15.75" customHeight="1">
      <c r="A612" s="20"/>
      <c r="B612" s="20"/>
      <c r="C612" s="20"/>
    </row>
    <row r="613" ht="15.75" customHeight="1">
      <c r="A613" s="20"/>
      <c r="B613" s="20"/>
      <c r="C613" s="20"/>
    </row>
    <row r="614" ht="15.75" customHeight="1">
      <c r="A614" s="20"/>
      <c r="B614" s="20"/>
      <c r="C614" s="20"/>
    </row>
    <row r="615" ht="15.75" customHeight="1">
      <c r="A615" s="20"/>
      <c r="B615" s="20"/>
      <c r="C615" s="20"/>
    </row>
    <row r="616" ht="15.75" customHeight="1">
      <c r="A616" s="20"/>
      <c r="B616" s="20"/>
      <c r="C616" s="20"/>
    </row>
    <row r="617" ht="15.75" customHeight="1">
      <c r="A617" s="20"/>
      <c r="B617" s="20"/>
      <c r="C617" s="20"/>
    </row>
    <row r="618" ht="15.75" customHeight="1">
      <c r="A618" s="20"/>
      <c r="B618" s="20"/>
      <c r="C618" s="20"/>
    </row>
    <row r="619" ht="15.75" customHeight="1">
      <c r="A619" s="20"/>
      <c r="B619" s="20"/>
      <c r="C619" s="20"/>
    </row>
    <row r="620" ht="15.75" customHeight="1">
      <c r="A620" s="20"/>
      <c r="B620" s="20"/>
      <c r="C620" s="20"/>
    </row>
    <row r="621" ht="15.75" customHeight="1">
      <c r="A621" s="20"/>
      <c r="B621" s="20"/>
      <c r="C621" s="20"/>
    </row>
    <row r="622" ht="15.75" customHeight="1">
      <c r="A622" s="20"/>
      <c r="B622" s="20"/>
      <c r="C622" s="20"/>
    </row>
    <row r="623" ht="15.75" customHeight="1">
      <c r="A623" s="20"/>
      <c r="B623" s="20"/>
      <c r="C623" s="20"/>
    </row>
    <row r="624" ht="15.75" customHeight="1">
      <c r="A624" s="20"/>
      <c r="B624" s="20"/>
      <c r="C624" s="20"/>
    </row>
    <row r="625" ht="15.75" customHeight="1">
      <c r="A625" s="20"/>
      <c r="B625" s="20"/>
      <c r="C625" s="20"/>
    </row>
    <row r="626" ht="15.75" customHeight="1">
      <c r="A626" s="20"/>
      <c r="B626" s="20"/>
      <c r="C626" s="20"/>
    </row>
    <row r="627" ht="15.75" customHeight="1">
      <c r="A627" s="20"/>
      <c r="B627" s="20"/>
      <c r="C627" s="20"/>
    </row>
    <row r="628" ht="15.75" customHeight="1">
      <c r="A628" s="20"/>
      <c r="B628" s="20"/>
      <c r="C628" s="20"/>
    </row>
    <row r="629" ht="15.75" customHeight="1">
      <c r="A629" s="20"/>
      <c r="B629" s="20"/>
      <c r="C629" s="20"/>
    </row>
    <row r="630" ht="15.75" customHeight="1">
      <c r="A630" s="20"/>
      <c r="B630" s="20"/>
      <c r="C630" s="20"/>
    </row>
    <row r="631" ht="15.75" customHeight="1">
      <c r="A631" s="20"/>
      <c r="B631" s="20"/>
      <c r="C631" s="20"/>
    </row>
    <row r="632" ht="15.75" customHeight="1">
      <c r="A632" s="20"/>
      <c r="B632" s="20"/>
      <c r="C632" s="20"/>
    </row>
    <row r="633" ht="15.75" customHeight="1">
      <c r="A633" s="20"/>
      <c r="B633" s="20"/>
      <c r="C633" s="20"/>
    </row>
    <row r="634" ht="15.75" customHeight="1">
      <c r="A634" s="20"/>
      <c r="B634" s="20"/>
      <c r="C634" s="20"/>
    </row>
    <row r="635" ht="15.75" customHeight="1">
      <c r="A635" s="20"/>
      <c r="B635" s="20"/>
      <c r="C635" s="20"/>
    </row>
    <row r="636" ht="15.75" customHeight="1">
      <c r="A636" s="20"/>
      <c r="B636" s="20"/>
      <c r="C636" s="20"/>
    </row>
    <row r="637" ht="15.75" customHeight="1">
      <c r="A637" s="20"/>
      <c r="B637" s="20"/>
      <c r="C637" s="20"/>
    </row>
    <row r="638" ht="15.75" customHeight="1">
      <c r="A638" s="20"/>
      <c r="B638" s="20"/>
      <c r="C638" s="20"/>
    </row>
    <row r="639" ht="15.75" customHeight="1">
      <c r="A639" s="20"/>
      <c r="B639" s="20"/>
      <c r="C639" s="20"/>
    </row>
    <row r="640" ht="15.75" customHeight="1">
      <c r="A640" s="20"/>
      <c r="B640" s="20"/>
      <c r="C640" s="20"/>
    </row>
    <row r="641" ht="15.75" customHeight="1">
      <c r="A641" s="20"/>
      <c r="B641" s="20"/>
      <c r="C641" s="20"/>
    </row>
    <row r="642" ht="15.75" customHeight="1">
      <c r="A642" s="20"/>
      <c r="B642" s="20"/>
      <c r="C642" s="20"/>
    </row>
    <row r="643" ht="15.75" customHeight="1">
      <c r="A643" s="20"/>
      <c r="B643" s="20"/>
      <c r="C643" s="20"/>
    </row>
    <row r="644" ht="15.75" customHeight="1">
      <c r="A644" s="20"/>
      <c r="B644" s="20"/>
      <c r="C644" s="20"/>
    </row>
    <row r="645" ht="15.75" customHeight="1">
      <c r="A645" s="20"/>
      <c r="B645" s="20"/>
      <c r="C645" s="20"/>
    </row>
    <row r="646" ht="15.75" customHeight="1">
      <c r="A646" s="20"/>
      <c r="B646" s="20"/>
      <c r="C646" s="20"/>
    </row>
    <row r="647" ht="15.75" customHeight="1">
      <c r="A647" s="20"/>
      <c r="B647" s="20"/>
      <c r="C647" s="20"/>
    </row>
    <row r="648" ht="15.75" customHeight="1">
      <c r="A648" s="20"/>
      <c r="B648" s="20"/>
      <c r="C648" s="20"/>
    </row>
    <row r="649" ht="15.75" customHeight="1">
      <c r="A649" s="20"/>
      <c r="B649" s="20"/>
      <c r="C649" s="20"/>
    </row>
    <row r="650" ht="15.75" customHeight="1">
      <c r="A650" s="20"/>
      <c r="B650" s="20"/>
      <c r="C650" s="20"/>
    </row>
    <row r="651" ht="15.75" customHeight="1">
      <c r="A651" s="20"/>
      <c r="B651" s="20"/>
      <c r="C651" s="20"/>
    </row>
    <row r="652" ht="15.75" customHeight="1">
      <c r="A652" s="20"/>
      <c r="B652" s="20"/>
      <c r="C652" s="20"/>
    </row>
    <row r="653" ht="15.75" customHeight="1">
      <c r="A653" s="20"/>
      <c r="B653" s="20"/>
      <c r="C653" s="20"/>
    </row>
    <row r="654" ht="15.75" customHeight="1">
      <c r="A654" s="20"/>
      <c r="B654" s="20"/>
      <c r="C654" s="20"/>
    </row>
    <row r="655" ht="15.75" customHeight="1">
      <c r="A655" s="20"/>
      <c r="B655" s="20"/>
      <c r="C655" s="20"/>
    </row>
    <row r="656" ht="15.75" customHeight="1">
      <c r="A656" s="20"/>
      <c r="B656" s="20"/>
      <c r="C656" s="20"/>
    </row>
    <row r="657" ht="15.75" customHeight="1">
      <c r="A657" s="20"/>
      <c r="B657" s="20"/>
      <c r="C657" s="20"/>
    </row>
    <row r="658" ht="15.75" customHeight="1">
      <c r="A658" s="20"/>
      <c r="B658" s="20"/>
      <c r="C658" s="20"/>
    </row>
    <row r="659" ht="15.75" customHeight="1">
      <c r="A659" s="20"/>
      <c r="B659" s="20"/>
      <c r="C659" s="20"/>
    </row>
    <row r="660" ht="15.75" customHeight="1">
      <c r="A660" s="20"/>
      <c r="B660" s="20"/>
      <c r="C660" s="20"/>
    </row>
    <row r="661" ht="15.75" customHeight="1">
      <c r="A661" s="20"/>
      <c r="B661" s="20"/>
      <c r="C661" s="20"/>
    </row>
    <row r="662" ht="15.75" customHeight="1">
      <c r="A662" s="20"/>
      <c r="B662" s="20"/>
      <c r="C662" s="20"/>
    </row>
    <row r="663" ht="15.75" customHeight="1">
      <c r="A663" s="20"/>
      <c r="B663" s="20"/>
      <c r="C663" s="20"/>
    </row>
    <row r="664" ht="15.75" customHeight="1">
      <c r="A664" s="20"/>
      <c r="B664" s="20"/>
      <c r="C664" s="20"/>
    </row>
    <row r="665" ht="15.75" customHeight="1">
      <c r="A665" s="20"/>
      <c r="B665" s="20"/>
      <c r="C665" s="20"/>
    </row>
    <row r="666" ht="15.75" customHeight="1">
      <c r="A666" s="20"/>
      <c r="B666" s="20"/>
      <c r="C666" s="20"/>
    </row>
    <row r="667" ht="15.75" customHeight="1">
      <c r="A667" s="20"/>
      <c r="B667" s="20"/>
      <c r="C667" s="20"/>
    </row>
    <row r="668" ht="15.75" customHeight="1">
      <c r="A668" s="20"/>
      <c r="B668" s="20"/>
      <c r="C668" s="20"/>
    </row>
    <row r="669" ht="15.75" customHeight="1">
      <c r="A669" s="20"/>
      <c r="B669" s="20"/>
      <c r="C669" s="20"/>
    </row>
    <row r="670" ht="15.75" customHeight="1">
      <c r="A670" s="20"/>
      <c r="B670" s="20"/>
      <c r="C670" s="20"/>
    </row>
    <row r="671" ht="15.75" customHeight="1">
      <c r="A671" s="20"/>
      <c r="B671" s="20"/>
      <c r="C671" s="20"/>
    </row>
    <row r="672" ht="15.75" customHeight="1">
      <c r="A672" s="20"/>
      <c r="B672" s="20"/>
      <c r="C672" s="20"/>
    </row>
    <row r="673" ht="15.75" customHeight="1">
      <c r="A673" s="20"/>
      <c r="B673" s="20"/>
      <c r="C673" s="20"/>
    </row>
    <row r="674" ht="15.75" customHeight="1">
      <c r="A674" s="20"/>
      <c r="B674" s="20"/>
      <c r="C674" s="20"/>
    </row>
    <row r="675" ht="15.75" customHeight="1">
      <c r="A675" s="20"/>
      <c r="B675" s="20"/>
      <c r="C675" s="20"/>
    </row>
    <row r="676" ht="15.75" customHeight="1">
      <c r="A676" s="20"/>
      <c r="B676" s="20"/>
      <c r="C676" s="20"/>
    </row>
    <row r="677" ht="15.75" customHeight="1">
      <c r="A677" s="20"/>
      <c r="B677" s="20"/>
      <c r="C677" s="20"/>
    </row>
    <row r="678" ht="15.75" customHeight="1">
      <c r="A678" s="20"/>
      <c r="B678" s="20"/>
      <c r="C678" s="20"/>
    </row>
    <row r="679" ht="15.75" customHeight="1">
      <c r="A679" s="20"/>
      <c r="B679" s="20"/>
      <c r="C679" s="20"/>
    </row>
    <row r="680" ht="15.75" customHeight="1">
      <c r="A680" s="20"/>
      <c r="B680" s="20"/>
      <c r="C680" s="20"/>
    </row>
    <row r="681" ht="15.75" customHeight="1">
      <c r="A681" s="20"/>
      <c r="B681" s="20"/>
      <c r="C681" s="20"/>
    </row>
    <row r="682" ht="15.75" customHeight="1">
      <c r="A682" s="20"/>
      <c r="B682" s="20"/>
      <c r="C682" s="20"/>
    </row>
    <row r="683" ht="15.75" customHeight="1">
      <c r="A683" s="20"/>
      <c r="B683" s="20"/>
      <c r="C683" s="20"/>
    </row>
    <row r="684" ht="15.75" customHeight="1">
      <c r="A684" s="20"/>
      <c r="B684" s="20"/>
      <c r="C684" s="20"/>
    </row>
    <row r="685" ht="15.75" customHeight="1">
      <c r="A685" s="20"/>
      <c r="B685" s="20"/>
      <c r="C685" s="20"/>
    </row>
    <row r="686" ht="15.75" customHeight="1">
      <c r="A686" s="20"/>
      <c r="B686" s="20"/>
      <c r="C686" s="20"/>
    </row>
    <row r="687" ht="15.75" customHeight="1">
      <c r="A687" s="20"/>
      <c r="B687" s="20"/>
      <c r="C687" s="20"/>
    </row>
    <row r="688" ht="15.75" customHeight="1">
      <c r="A688" s="20"/>
      <c r="B688" s="20"/>
      <c r="C688" s="20"/>
    </row>
    <row r="689" ht="15.75" customHeight="1">
      <c r="A689" s="20"/>
      <c r="B689" s="20"/>
      <c r="C689" s="20"/>
    </row>
    <row r="690" ht="15.75" customHeight="1">
      <c r="A690" s="20"/>
      <c r="B690" s="20"/>
      <c r="C690" s="20"/>
    </row>
    <row r="691" ht="15.75" customHeight="1">
      <c r="A691" s="20"/>
      <c r="B691" s="20"/>
      <c r="C691" s="20"/>
    </row>
    <row r="692" ht="15.75" customHeight="1">
      <c r="A692" s="20"/>
      <c r="B692" s="20"/>
      <c r="C692" s="20"/>
    </row>
    <row r="693" ht="15.75" customHeight="1">
      <c r="A693" s="20"/>
      <c r="B693" s="20"/>
      <c r="C693" s="20"/>
    </row>
    <row r="694" ht="15.75" customHeight="1">
      <c r="A694" s="20"/>
      <c r="B694" s="20"/>
      <c r="C694" s="20"/>
    </row>
    <row r="695" ht="15.75" customHeight="1">
      <c r="A695" s="20"/>
      <c r="B695" s="20"/>
      <c r="C695" s="20"/>
    </row>
    <row r="696" ht="15.75" customHeight="1">
      <c r="A696" s="20"/>
      <c r="B696" s="20"/>
      <c r="C696" s="20"/>
    </row>
    <row r="697" ht="15.75" customHeight="1">
      <c r="A697" s="20"/>
      <c r="B697" s="20"/>
      <c r="C697" s="20"/>
    </row>
    <row r="698" ht="15.75" customHeight="1">
      <c r="A698" s="20"/>
      <c r="B698" s="20"/>
      <c r="C698" s="20"/>
    </row>
    <row r="699" ht="15.75" customHeight="1">
      <c r="A699" s="20"/>
      <c r="B699" s="20"/>
      <c r="C699" s="20"/>
    </row>
    <row r="700" ht="15.75" customHeight="1">
      <c r="A700" s="20"/>
      <c r="B700" s="20"/>
      <c r="C700" s="20"/>
    </row>
    <row r="701" ht="15.75" customHeight="1">
      <c r="A701" s="20"/>
      <c r="B701" s="20"/>
      <c r="C701" s="20"/>
    </row>
    <row r="702" ht="15.75" customHeight="1">
      <c r="A702" s="20"/>
      <c r="B702" s="20"/>
      <c r="C702" s="20"/>
    </row>
    <row r="703" ht="15.75" customHeight="1">
      <c r="A703" s="20"/>
      <c r="B703" s="20"/>
      <c r="C703" s="20"/>
    </row>
    <row r="704" ht="15.75" customHeight="1">
      <c r="A704" s="20"/>
      <c r="B704" s="20"/>
      <c r="C704" s="20"/>
    </row>
    <row r="705" ht="15.75" customHeight="1">
      <c r="A705" s="20"/>
      <c r="B705" s="20"/>
      <c r="C705" s="20"/>
    </row>
    <row r="706" ht="15.75" customHeight="1">
      <c r="A706" s="20"/>
      <c r="B706" s="20"/>
      <c r="C706" s="20"/>
    </row>
    <row r="707" ht="15.75" customHeight="1">
      <c r="A707" s="20"/>
      <c r="B707" s="20"/>
      <c r="C707" s="20"/>
    </row>
    <row r="708" ht="15.75" customHeight="1">
      <c r="A708" s="20"/>
      <c r="B708" s="20"/>
      <c r="C708" s="20"/>
    </row>
    <row r="709" ht="15.75" customHeight="1">
      <c r="A709" s="20"/>
      <c r="B709" s="20"/>
      <c r="C709" s="20"/>
    </row>
    <row r="710" ht="15.75" customHeight="1">
      <c r="A710" s="20"/>
      <c r="B710" s="20"/>
      <c r="C710" s="20"/>
    </row>
    <row r="711" ht="15.75" customHeight="1">
      <c r="A711" s="20"/>
      <c r="B711" s="20"/>
      <c r="C711" s="20"/>
    </row>
    <row r="712" ht="15.75" customHeight="1">
      <c r="A712" s="20"/>
      <c r="B712" s="20"/>
      <c r="C712" s="20"/>
    </row>
    <row r="713" ht="15.75" customHeight="1">
      <c r="A713" s="20"/>
      <c r="B713" s="20"/>
      <c r="C713" s="20"/>
    </row>
    <row r="714" ht="15.75" customHeight="1">
      <c r="A714" s="20"/>
      <c r="B714" s="20"/>
      <c r="C714" s="20"/>
    </row>
    <row r="715" ht="15.75" customHeight="1">
      <c r="A715" s="20"/>
      <c r="B715" s="20"/>
      <c r="C715" s="20"/>
    </row>
    <row r="716" ht="15.75" customHeight="1">
      <c r="A716" s="20"/>
      <c r="B716" s="20"/>
      <c r="C716" s="20"/>
    </row>
    <row r="717" ht="15.75" customHeight="1">
      <c r="A717" s="20"/>
      <c r="B717" s="20"/>
      <c r="C717" s="20"/>
    </row>
    <row r="718" ht="15.75" customHeight="1">
      <c r="A718" s="20"/>
      <c r="B718" s="20"/>
      <c r="C718" s="20"/>
    </row>
    <row r="719" ht="15.75" customHeight="1">
      <c r="A719" s="20"/>
      <c r="B719" s="20"/>
      <c r="C719" s="20"/>
    </row>
    <row r="720" ht="15.75" customHeight="1">
      <c r="A720" s="20"/>
      <c r="B720" s="20"/>
      <c r="C720" s="20"/>
    </row>
    <row r="721" ht="15.75" customHeight="1">
      <c r="A721" s="20"/>
      <c r="B721" s="20"/>
      <c r="C721" s="20"/>
    </row>
    <row r="722" ht="15.75" customHeight="1">
      <c r="A722" s="20"/>
      <c r="B722" s="20"/>
      <c r="C722" s="20"/>
    </row>
    <row r="723" ht="15.75" customHeight="1">
      <c r="A723" s="20"/>
      <c r="B723" s="20"/>
      <c r="C723" s="20"/>
    </row>
    <row r="724" ht="15.75" customHeight="1">
      <c r="A724" s="20"/>
      <c r="B724" s="20"/>
      <c r="C724" s="20"/>
    </row>
    <row r="725" ht="15.75" customHeight="1">
      <c r="A725" s="20"/>
      <c r="B725" s="20"/>
      <c r="C725" s="20"/>
    </row>
    <row r="726" ht="15.75" customHeight="1">
      <c r="A726" s="20"/>
      <c r="B726" s="20"/>
      <c r="C726" s="20"/>
    </row>
    <row r="727" ht="15.75" customHeight="1">
      <c r="A727" s="20"/>
      <c r="B727" s="20"/>
      <c r="C727" s="20"/>
    </row>
    <row r="728" ht="15.75" customHeight="1">
      <c r="A728" s="20"/>
      <c r="B728" s="20"/>
      <c r="C728" s="20"/>
    </row>
    <row r="729" ht="15.75" customHeight="1">
      <c r="A729" s="20"/>
      <c r="B729" s="20"/>
      <c r="C729" s="20"/>
    </row>
    <row r="730" ht="15.75" customHeight="1">
      <c r="A730" s="20"/>
      <c r="B730" s="20"/>
      <c r="C730" s="20"/>
    </row>
    <row r="731" ht="15.75" customHeight="1">
      <c r="A731" s="20"/>
      <c r="B731" s="20"/>
      <c r="C731" s="20"/>
    </row>
    <row r="732" ht="15.75" customHeight="1">
      <c r="A732" s="20"/>
      <c r="B732" s="20"/>
      <c r="C732" s="20"/>
    </row>
    <row r="733" ht="15.75" customHeight="1">
      <c r="A733" s="20"/>
      <c r="B733" s="20"/>
      <c r="C733" s="20"/>
    </row>
    <row r="734" ht="15.75" customHeight="1">
      <c r="A734" s="20"/>
      <c r="B734" s="20"/>
      <c r="C734" s="20"/>
    </row>
    <row r="735" ht="15.75" customHeight="1">
      <c r="A735" s="20"/>
      <c r="B735" s="20"/>
      <c r="C735" s="20"/>
    </row>
    <row r="736" ht="15.75" customHeight="1">
      <c r="A736" s="20"/>
      <c r="B736" s="20"/>
      <c r="C736" s="20"/>
    </row>
    <row r="737" ht="15.75" customHeight="1">
      <c r="A737" s="20"/>
      <c r="B737" s="20"/>
      <c r="C737" s="20"/>
    </row>
    <row r="738" ht="15.75" customHeight="1">
      <c r="A738" s="20"/>
      <c r="B738" s="20"/>
      <c r="C738" s="20"/>
    </row>
    <row r="739" ht="15.75" customHeight="1">
      <c r="A739" s="20"/>
      <c r="B739" s="20"/>
      <c r="C739" s="20"/>
    </row>
    <row r="740" ht="15.75" customHeight="1">
      <c r="A740" s="20"/>
      <c r="B740" s="20"/>
      <c r="C740" s="20"/>
    </row>
    <row r="741" ht="15.75" customHeight="1">
      <c r="A741" s="20"/>
      <c r="B741" s="20"/>
      <c r="C741" s="20"/>
    </row>
    <row r="742" ht="15.75" customHeight="1">
      <c r="A742" s="20"/>
      <c r="B742" s="20"/>
      <c r="C742" s="20"/>
    </row>
    <row r="743" ht="15.75" customHeight="1">
      <c r="A743" s="20"/>
      <c r="B743" s="20"/>
      <c r="C743" s="20"/>
    </row>
    <row r="744" ht="15.75" customHeight="1">
      <c r="A744" s="20"/>
      <c r="B744" s="20"/>
      <c r="C744" s="20"/>
    </row>
    <row r="745" ht="15.75" customHeight="1">
      <c r="A745" s="20"/>
      <c r="B745" s="20"/>
      <c r="C745" s="20"/>
    </row>
    <row r="746" ht="15.75" customHeight="1">
      <c r="A746" s="20"/>
      <c r="B746" s="20"/>
      <c r="C746" s="20"/>
    </row>
    <row r="747" ht="15.75" customHeight="1">
      <c r="A747" s="20"/>
      <c r="B747" s="20"/>
      <c r="C747" s="20"/>
    </row>
    <row r="748" ht="15.75" customHeight="1">
      <c r="A748" s="20"/>
      <c r="B748" s="20"/>
      <c r="C748" s="20"/>
    </row>
    <row r="749" ht="15.75" customHeight="1">
      <c r="A749" s="20"/>
      <c r="B749" s="20"/>
      <c r="C749" s="20"/>
    </row>
    <row r="750" ht="15.75" customHeight="1">
      <c r="A750" s="20"/>
      <c r="B750" s="20"/>
      <c r="C750" s="20"/>
    </row>
    <row r="751" ht="15.75" customHeight="1">
      <c r="A751" s="20"/>
      <c r="B751" s="20"/>
      <c r="C751" s="20"/>
    </row>
    <row r="752" ht="15.75" customHeight="1">
      <c r="A752" s="20"/>
      <c r="B752" s="20"/>
      <c r="C752" s="20"/>
    </row>
    <row r="753" ht="15.75" customHeight="1">
      <c r="A753" s="20"/>
      <c r="B753" s="20"/>
      <c r="C753" s="20"/>
    </row>
    <row r="754" ht="15.75" customHeight="1">
      <c r="A754" s="20"/>
      <c r="B754" s="20"/>
      <c r="C754" s="20"/>
    </row>
    <row r="755" ht="15.75" customHeight="1">
      <c r="A755" s="20"/>
      <c r="B755" s="20"/>
      <c r="C755" s="20"/>
    </row>
    <row r="756" ht="15.75" customHeight="1">
      <c r="A756" s="20"/>
      <c r="B756" s="20"/>
      <c r="C756" s="20"/>
    </row>
    <row r="757" ht="15.75" customHeight="1">
      <c r="A757" s="20"/>
      <c r="B757" s="20"/>
      <c r="C757" s="20"/>
    </row>
    <row r="758" ht="15.75" customHeight="1">
      <c r="A758" s="20"/>
      <c r="B758" s="20"/>
      <c r="C758" s="20"/>
    </row>
    <row r="759" ht="15.75" customHeight="1">
      <c r="A759" s="20"/>
      <c r="B759" s="20"/>
      <c r="C759" s="20"/>
    </row>
    <row r="760" ht="15.75" customHeight="1">
      <c r="A760" s="20"/>
      <c r="B760" s="20"/>
      <c r="C760" s="20"/>
    </row>
    <row r="761" ht="15.75" customHeight="1">
      <c r="A761" s="20"/>
      <c r="B761" s="20"/>
      <c r="C761" s="20"/>
    </row>
    <row r="762" ht="15.75" customHeight="1">
      <c r="A762" s="20"/>
      <c r="B762" s="20"/>
      <c r="C762" s="20"/>
    </row>
    <row r="763" ht="15.75" customHeight="1">
      <c r="A763" s="20"/>
      <c r="B763" s="20"/>
      <c r="C763" s="20"/>
    </row>
    <row r="764" ht="15.75" customHeight="1">
      <c r="A764" s="20"/>
      <c r="B764" s="20"/>
      <c r="C764" s="20"/>
    </row>
    <row r="765" ht="15.75" customHeight="1">
      <c r="A765" s="20"/>
      <c r="B765" s="20"/>
      <c r="C765" s="20"/>
    </row>
    <row r="766" ht="15.75" customHeight="1">
      <c r="A766" s="20"/>
      <c r="B766" s="20"/>
      <c r="C766" s="20"/>
    </row>
    <row r="767" ht="15.75" customHeight="1">
      <c r="A767" s="20"/>
      <c r="B767" s="20"/>
      <c r="C767" s="20"/>
    </row>
    <row r="768" ht="15.75" customHeight="1">
      <c r="A768" s="20"/>
      <c r="B768" s="20"/>
      <c r="C768" s="20"/>
    </row>
    <row r="769" ht="15.75" customHeight="1">
      <c r="A769" s="20"/>
      <c r="B769" s="20"/>
      <c r="C769" s="20"/>
    </row>
    <row r="770" ht="15.75" customHeight="1">
      <c r="A770" s="20"/>
      <c r="B770" s="20"/>
      <c r="C770" s="20"/>
    </row>
    <row r="771" ht="15.75" customHeight="1">
      <c r="A771" s="20"/>
      <c r="B771" s="20"/>
      <c r="C771" s="20"/>
    </row>
    <row r="772" ht="15.75" customHeight="1">
      <c r="A772" s="20"/>
      <c r="B772" s="20"/>
      <c r="C772" s="20"/>
    </row>
    <row r="773" ht="15.75" customHeight="1">
      <c r="A773" s="20"/>
      <c r="B773" s="20"/>
      <c r="C773" s="20"/>
    </row>
    <row r="774" ht="15.75" customHeight="1">
      <c r="A774" s="20"/>
      <c r="B774" s="20"/>
      <c r="C774" s="20"/>
    </row>
    <row r="775" ht="15.75" customHeight="1">
      <c r="A775" s="20"/>
      <c r="B775" s="20"/>
      <c r="C775" s="20"/>
    </row>
    <row r="776" ht="15.75" customHeight="1">
      <c r="A776" s="20"/>
      <c r="B776" s="20"/>
      <c r="C776" s="20"/>
    </row>
    <row r="777" ht="15.75" customHeight="1">
      <c r="A777" s="20"/>
      <c r="B777" s="20"/>
      <c r="C777" s="20"/>
    </row>
    <row r="778" ht="15.75" customHeight="1">
      <c r="A778" s="20"/>
      <c r="B778" s="20"/>
      <c r="C778" s="20"/>
    </row>
    <row r="779" ht="15.75" customHeight="1">
      <c r="A779" s="20"/>
      <c r="B779" s="20"/>
      <c r="C779" s="20"/>
    </row>
    <row r="780" ht="15.75" customHeight="1">
      <c r="A780" s="20"/>
      <c r="B780" s="20"/>
      <c r="C780" s="20"/>
    </row>
    <row r="781" ht="15.75" customHeight="1">
      <c r="A781" s="20"/>
      <c r="B781" s="20"/>
      <c r="C781" s="20"/>
    </row>
    <row r="782" ht="15.75" customHeight="1">
      <c r="A782" s="20"/>
      <c r="B782" s="20"/>
      <c r="C782" s="20"/>
    </row>
    <row r="783" ht="15.75" customHeight="1">
      <c r="A783" s="20"/>
      <c r="B783" s="20"/>
      <c r="C783" s="20"/>
    </row>
    <row r="784" ht="15.75" customHeight="1">
      <c r="A784" s="20"/>
      <c r="B784" s="20"/>
      <c r="C784" s="20"/>
    </row>
    <row r="785" ht="15.75" customHeight="1">
      <c r="A785" s="20"/>
      <c r="B785" s="20"/>
      <c r="C785" s="20"/>
    </row>
    <row r="786" ht="15.75" customHeight="1">
      <c r="A786" s="20"/>
      <c r="B786" s="20"/>
      <c r="C786" s="20"/>
    </row>
    <row r="787" ht="15.75" customHeight="1">
      <c r="A787" s="20"/>
      <c r="B787" s="20"/>
      <c r="C787" s="20"/>
    </row>
    <row r="788" ht="15.75" customHeight="1">
      <c r="A788" s="20"/>
      <c r="B788" s="20"/>
      <c r="C788" s="20"/>
    </row>
    <row r="789" ht="15.75" customHeight="1">
      <c r="A789" s="20"/>
      <c r="B789" s="20"/>
      <c r="C789" s="20"/>
    </row>
    <row r="790" ht="15.75" customHeight="1">
      <c r="A790" s="20"/>
      <c r="B790" s="20"/>
      <c r="C790" s="20"/>
    </row>
    <row r="791" ht="15.75" customHeight="1">
      <c r="A791" s="20"/>
      <c r="B791" s="20"/>
      <c r="C791" s="20"/>
    </row>
    <row r="792" ht="15.75" customHeight="1">
      <c r="A792" s="20"/>
      <c r="B792" s="20"/>
      <c r="C792" s="20"/>
    </row>
    <row r="793" ht="15.75" customHeight="1">
      <c r="A793" s="20"/>
      <c r="B793" s="20"/>
      <c r="C793" s="20"/>
    </row>
    <row r="794" ht="15.75" customHeight="1">
      <c r="A794" s="20"/>
      <c r="B794" s="20"/>
      <c r="C794" s="20"/>
    </row>
    <row r="795" ht="15.75" customHeight="1">
      <c r="A795" s="20"/>
      <c r="B795" s="20"/>
      <c r="C795" s="20"/>
    </row>
    <row r="796" ht="15.75" customHeight="1">
      <c r="A796" s="20"/>
      <c r="B796" s="20"/>
      <c r="C796" s="20"/>
    </row>
    <row r="797" ht="15.75" customHeight="1">
      <c r="A797" s="20"/>
      <c r="B797" s="20"/>
      <c r="C797" s="20"/>
    </row>
    <row r="798" ht="15.75" customHeight="1">
      <c r="A798" s="20"/>
      <c r="B798" s="20"/>
      <c r="C798" s="20"/>
    </row>
    <row r="799" ht="15.75" customHeight="1">
      <c r="A799" s="20"/>
      <c r="B799" s="20"/>
      <c r="C799" s="20"/>
    </row>
    <row r="800" ht="15.75" customHeight="1">
      <c r="A800" s="20"/>
      <c r="B800" s="20"/>
      <c r="C800" s="20"/>
    </row>
    <row r="801" ht="15.75" customHeight="1">
      <c r="A801" s="20"/>
      <c r="B801" s="20"/>
      <c r="C801" s="20"/>
    </row>
    <row r="802" ht="15.75" customHeight="1">
      <c r="A802" s="20"/>
      <c r="B802" s="20"/>
      <c r="C802" s="20"/>
    </row>
    <row r="803" ht="15.75" customHeight="1">
      <c r="A803" s="20"/>
      <c r="B803" s="20"/>
      <c r="C803" s="20"/>
    </row>
    <row r="804" ht="15.75" customHeight="1">
      <c r="A804" s="20"/>
      <c r="B804" s="20"/>
      <c r="C804" s="20"/>
    </row>
    <row r="805" ht="15.75" customHeight="1">
      <c r="A805" s="20"/>
      <c r="B805" s="20"/>
      <c r="C805" s="20"/>
    </row>
    <row r="806" ht="15.75" customHeight="1">
      <c r="A806" s="20"/>
      <c r="B806" s="20"/>
      <c r="C806" s="20"/>
    </row>
    <row r="807" ht="15.75" customHeight="1">
      <c r="A807" s="20"/>
      <c r="B807" s="20"/>
      <c r="C807" s="20"/>
    </row>
    <row r="808" ht="15.75" customHeight="1">
      <c r="A808" s="20"/>
      <c r="B808" s="20"/>
      <c r="C808" s="20"/>
    </row>
    <row r="809" ht="15.75" customHeight="1">
      <c r="A809" s="20"/>
      <c r="B809" s="20"/>
      <c r="C809" s="20"/>
    </row>
    <row r="810" ht="15.75" customHeight="1">
      <c r="A810" s="20"/>
      <c r="B810" s="20"/>
      <c r="C810" s="20"/>
    </row>
    <row r="811" ht="15.75" customHeight="1">
      <c r="A811" s="20"/>
      <c r="B811" s="20"/>
      <c r="C811" s="20"/>
    </row>
    <row r="812" ht="15.75" customHeight="1">
      <c r="A812" s="20"/>
      <c r="B812" s="20"/>
      <c r="C812" s="20"/>
    </row>
    <row r="813" ht="15.75" customHeight="1">
      <c r="A813" s="20"/>
      <c r="B813" s="20"/>
      <c r="C813" s="20"/>
    </row>
    <row r="814" ht="15.75" customHeight="1">
      <c r="A814" s="20"/>
      <c r="B814" s="20"/>
      <c r="C814" s="20"/>
    </row>
    <row r="815" ht="15.75" customHeight="1">
      <c r="A815" s="20"/>
      <c r="B815" s="20"/>
      <c r="C815" s="20"/>
    </row>
    <row r="816" ht="15.75" customHeight="1">
      <c r="A816" s="20"/>
      <c r="B816" s="20"/>
      <c r="C816" s="20"/>
    </row>
    <row r="817" ht="15.75" customHeight="1">
      <c r="A817" s="20"/>
      <c r="B817" s="20"/>
      <c r="C817" s="20"/>
    </row>
    <row r="818" ht="15.75" customHeight="1">
      <c r="A818" s="20"/>
      <c r="B818" s="20"/>
      <c r="C818" s="20"/>
    </row>
    <row r="819" ht="15.75" customHeight="1">
      <c r="A819" s="20"/>
      <c r="B819" s="20"/>
      <c r="C819" s="20"/>
    </row>
    <row r="820" ht="15.75" customHeight="1">
      <c r="A820" s="20"/>
      <c r="B820" s="20"/>
      <c r="C820" s="20"/>
    </row>
    <row r="821" ht="15.75" customHeight="1">
      <c r="A821" s="20"/>
      <c r="B821" s="20"/>
      <c r="C821" s="20"/>
    </row>
    <row r="822" ht="15.75" customHeight="1">
      <c r="A822" s="20"/>
      <c r="B822" s="20"/>
      <c r="C822" s="20"/>
    </row>
    <row r="823" ht="15.75" customHeight="1">
      <c r="A823" s="20"/>
      <c r="B823" s="20"/>
      <c r="C823" s="20"/>
    </row>
    <row r="824" ht="15.75" customHeight="1">
      <c r="A824" s="20"/>
      <c r="B824" s="20"/>
      <c r="C824" s="20"/>
    </row>
    <row r="825" ht="15.75" customHeight="1">
      <c r="A825" s="20"/>
      <c r="B825" s="20"/>
      <c r="C825" s="20"/>
    </row>
    <row r="826" ht="15.75" customHeight="1">
      <c r="A826" s="20"/>
      <c r="B826" s="20"/>
      <c r="C826" s="20"/>
    </row>
    <row r="827" ht="15.75" customHeight="1">
      <c r="A827" s="20"/>
      <c r="B827" s="20"/>
      <c r="C827" s="20"/>
    </row>
    <row r="828" ht="15.75" customHeight="1">
      <c r="A828" s="20"/>
      <c r="B828" s="20"/>
      <c r="C828" s="20"/>
    </row>
    <row r="829" ht="15.75" customHeight="1">
      <c r="A829" s="20"/>
      <c r="B829" s="20"/>
      <c r="C829" s="20"/>
    </row>
    <row r="830" ht="15.75" customHeight="1">
      <c r="A830" s="20"/>
      <c r="B830" s="20"/>
      <c r="C830" s="20"/>
    </row>
    <row r="831" ht="15.75" customHeight="1">
      <c r="A831" s="20"/>
      <c r="B831" s="20"/>
      <c r="C831" s="20"/>
    </row>
    <row r="832" ht="15.75" customHeight="1">
      <c r="A832" s="20"/>
      <c r="B832" s="20"/>
      <c r="C832" s="20"/>
    </row>
    <row r="833" ht="15.75" customHeight="1">
      <c r="A833" s="20"/>
      <c r="B833" s="20"/>
      <c r="C833" s="20"/>
    </row>
    <row r="834" ht="15.75" customHeight="1">
      <c r="A834" s="20"/>
      <c r="B834" s="20"/>
      <c r="C834" s="20"/>
    </row>
    <row r="835" ht="15.75" customHeight="1">
      <c r="A835" s="20"/>
      <c r="B835" s="20"/>
      <c r="C835" s="20"/>
    </row>
    <row r="836" ht="15.75" customHeight="1">
      <c r="A836" s="20"/>
      <c r="B836" s="20"/>
      <c r="C836" s="20"/>
    </row>
    <row r="837" ht="15.75" customHeight="1">
      <c r="A837" s="20"/>
      <c r="B837" s="20"/>
      <c r="C837" s="20"/>
    </row>
    <row r="838" ht="15.75" customHeight="1">
      <c r="A838" s="20"/>
      <c r="B838" s="20"/>
      <c r="C838" s="20"/>
    </row>
    <row r="839" ht="15.75" customHeight="1">
      <c r="A839" s="20"/>
      <c r="B839" s="20"/>
      <c r="C839" s="20"/>
    </row>
    <row r="840" ht="15.75" customHeight="1">
      <c r="A840" s="20"/>
      <c r="B840" s="20"/>
      <c r="C840" s="20"/>
    </row>
    <row r="841" ht="15.75" customHeight="1">
      <c r="A841" s="20"/>
      <c r="B841" s="20"/>
      <c r="C841" s="20"/>
    </row>
    <row r="842" ht="15.75" customHeight="1">
      <c r="A842" s="20"/>
      <c r="B842" s="20"/>
      <c r="C842" s="20"/>
    </row>
    <row r="843" ht="15.75" customHeight="1">
      <c r="A843" s="20"/>
      <c r="B843" s="20"/>
      <c r="C843" s="20"/>
    </row>
    <row r="844" ht="15.75" customHeight="1">
      <c r="A844" s="20"/>
      <c r="B844" s="20"/>
      <c r="C844" s="20"/>
    </row>
    <row r="845" ht="15.75" customHeight="1">
      <c r="A845" s="20"/>
      <c r="B845" s="20"/>
      <c r="C845" s="20"/>
    </row>
    <row r="846" ht="15.75" customHeight="1">
      <c r="A846" s="20"/>
      <c r="B846" s="20"/>
      <c r="C846" s="20"/>
    </row>
    <row r="847" ht="15.75" customHeight="1">
      <c r="A847" s="20"/>
      <c r="B847" s="20"/>
      <c r="C847" s="20"/>
    </row>
    <row r="848" ht="15.75" customHeight="1">
      <c r="A848" s="20"/>
      <c r="B848" s="20"/>
      <c r="C848" s="20"/>
    </row>
    <row r="849" ht="15.75" customHeight="1">
      <c r="A849" s="20"/>
      <c r="B849" s="20"/>
      <c r="C849" s="20"/>
    </row>
    <row r="850" ht="15.75" customHeight="1">
      <c r="A850" s="20"/>
      <c r="B850" s="20"/>
      <c r="C850" s="20"/>
    </row>
    <row r="851" ht="15.75" customHeight="1">
      <c r="A851" s="20"/>
      <c r="B851" s="20"/>
      <c r="C851" s="20"/>
    </row>
    <row r="852" ht="15.75" customHeight="1">
      <c r="A852" s="20"/>
      <c r="B852" s="20"/>
      <c r="C852" s="20"/>
    </row>
    <row r="853" ht="15.75" customHeight="1">
      <c r="A853" s="20"/>
      <c r="B853" s="20"/>
      <c r="C853" s="20"/>
    </row>
    <row r="854" ht="15.75" customHeight="1">
      <c r="A854" s="20"/>
      <c r="B854" s="20"/>
      <c r="C854" s="20"/>
    </row>
    <row r="855" ht="15.75" customHeight="1">
      <c r="A855" s="20"/>
      <c r="B855" s="20"/>
      <c r="C855" s="20"/>
    </row>
    <row r="856" ht="15.75" customHeight="1">
      <c r="A856" s="20"/>
      <c r="B856" s="20"/>
      <c r="C856" s="20"/>
    </row>
    <row r="857" ht="15.75" customHeight="1">
      <c r="A857" s="20"/>
      <c r="B857" s="20"/>
      <c r="C857" s="20"/>
    </row>
    <row r="858" ht="15.75" customHeight="1">
      <c r="A858" s="20"/>
      <c r="B858" s="20"/>
      <c r="C858" s="20"/>
    </row>
    <row r="859" ht="15.75" customHeight="1">
      <c r="A859" s="20"/>
      <c r="B859" s="20"/>
      <c r="C859" s="20"/>
    </row>
    <row r="860" ht="15.75" customHeight="1">
      <c r="A860" s="20"/>
      <c r="B860" s="20"/>
      <c r="C860" s="20"/>
    </row>
    <row r="861" ht="15.75" customHeight="1">
      <c r="A861" s="20"/>
      <c r="B861" s="20"/>
      <c r="C861" s="20"/>
    </row>
    <row r="862" ht="15.75" customHeight="1">
      <c r="A862" s="20"/>
      <c r="B862" s="20"/>
      <c r="C862" s="20"/>
    </row>
    <row r="863" ht="15.75" customHeight="1">
      <c r="A863" s="20"/>
      <c r="B863" s="20"/>
      <c r="C863" s="20"/>
    </row>
    <row r="864" ht="15.75" customHeight="1">
      <c r="A864" s="20"/>
      <c r="B864" s="20"/>
      <c r="C864" s="20"/>
    </row>
    <row r="865" ht="15.75" customHeight="1">
      <c r="A865" s="20"/>
      <c r="B865" s="20"/>
      <c r="C865" s="20"/>
    </row>
    <row r="866" ht="15.75" customHeight="1">
      <c r="A866" s="20"/>
      <c r="B866" s="20"/>
      <c r="C866" s="20"/>
    </row>
    <row r="867" ht="15.75" customHeight="1">
      <c r="A867" s="20"/>
      <c r="B867" s="20"/>
      <c r="C867" s="20"/>
    </row>
    <row r="868" ht="15.75" customHeight="1">
      <c r="A868" s="20"/>
      <c r="B868" s="20"/>
      <c r="C868" s="20"/>
    </row>
    <row r="869" ht="15.75" customHeight="1">
      <c r="A869" s="20"/>
      <c r="B869" s="20"/>
      <c r="C869" s="20"/>
    </row>
    <row r="870" ht="15.75" customHeight="1">
      <c r="A870" s="20"/>
      <c r="B870" s="20"/>
      <c r="C870" s="20"/>
    </row>
    <row r="871" ht="15.75" customHeight="1">
      <c r="A871" s="20"/>
      <c r="B871" s="20"/>
      <c r="C871" s="20"/>
    </row>
    <row r="872" ht="15.75" customHeight="1">
      <c r="A872" s="20"/>
      <c r="B872" s="20"/>
      <c r="C872" s="20"/>
    </row>
    <row r="873" ht="15.75" customHeight="1">
      <c r="A873" s="20"/>
      <c r="B873" s="20"/>
      <c r="C873" s="20"/>
    </row>
    <row r="874" ht="15.75" customHeight="1">
      <c r="A874" s="20"/>
      <c r="B874" s="20"/>
      <c r="C874" s="20"/>
    </row>
    <row r="875" ht="15.75" customHeight="1">
      <c r="A875" s="20"/>
      <c r="B875" s="20"/>
      <c r="C875" s="20"/>
    </row>
    <row r="876" ht="15.75" customHeight="1">
      <c r="A876" s="20"/>
      <c r="B876" s="20"/>
      <c r="C876" s="20"/>
    </row>
    <row r="877" ht="15.75" customHeight="1">
      <c r="A877" s="20"/>
      <c r="B877" s="20"/>
      <c r="C877" s="20"/>
    </row>
    <row r="878" ht="15.75" customHeight="1">
      <c r="A878" s="20"/>
      <c r="B878" s="20"/>
      <c r="C878" s="20"/>
    </row>
    <row r="879" ht="15.75" customHeight="1">
      <c r="A879" s="20"/>
      <c r="B879" s="20"/>
      <c r="C879" s="20"/>
    </row>
    <row r="880" ht="15.75" customHeight="1">
      <c r="A880" s="20"/>
      <c r="B880" s="20"/>
      <c r="C880" s="20"/>
    </row>
    <row r="881" ht="15.75" customHeight="1">
      <c r="A881" s="20"/>
      <c r="B881" s="20"/>
      <c r="C881" s="20"/>
    </row>
    <row r="882" ht="15.75" customHeight="1">
      <c r="A882" s="20"/>
      <c r="B882" s="20"/>
      <c r="C882" s="20"/>
    </row>
    <row r="883" ht="15.75" customHeight="1">
      <c r="A883" s="20"/>
      <c r="B883" s="20"/>
      <c r="C883" s="20"/>
    </row>
    <row r="884" ht="15.75" customHeight="1">
      <c r="A884" s="20"/>
      <c r="B884" s="20"/>
      <c r="C884" s="20"/>
    </row>
    <row r="885" ht="15.75" customHeight="1">
      <c r="A885" s="20"/>
      <c r="B885" s="20"/>
      <c r="C885" s="20"/>
    </row>
    <row r="886" ht="15.75" customHeight="1">
      <c r="A886" s="20"/>
      <c r="B886" s="20"/>
      <c r="C886" s="20"/>
    </row>
    <row r="887" ht="15.75" customHeight="1">
      <c r="A887" s="20"/>
      <c r="B887" s="20"/>
      <c r="C887" s="20"/>
    </row>
    <row r="888" ht="15.75" customHeight="1">
      <c r="A888" s="20"/>
      <c r="B888" s="20"/>
      <c r="C888" s="20"/>
    </row>
    <row r="889" ht="15.75" customHeight="1">
      <c r="A889" s="20"/>
      <c r="B889" s="20"/>
      <c r="C889" s="20"/>
    </row>
    <row r="890" ht="15.75" customHeight="1">
      <c r="A890" s="20"/>
      <c r="B890" s="20"/>
      <c r="C890" s="20"/>
    </row>
    <row r="891" ht="15.75" customHeight="1">
      <c r="A891" s="20"/>
      <c r="B891" s="20"/>
      <c r="C891" s="20"/>
    </row>
    <row r="892" ht="15.75" customHeight="1">
      <c r="A892" s="20"/>
      <c r="B892" s="20"/>
      <c r="C892" s="20"/>
    </row>
    <row r="893" ht="15.75" customHeight="1">
      <c r="A893" s="20"/>
      <c r="B893" s="20"/>
      <c r="C893" s="20"/>
    </row>
    <row r="894" ht="15.75" customHeight="1">
      <c r="A894" s="20"/>
      <c r="B894" s="20"/>
      <c r="C894" s="20"/>
    </row>
    <row r="895" ht="15.75" customHeight="1">
      <c r="A895" s="20"/>
      <c r="B895" s="20"/>
      <c r="C895" s="20"/>
    </row>
    <row r="896" ht="15.75" customHeight="1">
      <c r="A896" s="20"/>
      <c r="B896" s="20"/>
      <c r="C896" s="20"/>
    </row>
    <row r="897" ht="15.75" customHeight="1">
      <c r="A897" s="20"/>
      <c r="B897" s="20"/>
      <c r="C897" s="20"/>
    </row>
    <row r="898" ht="15.75" customHeight="1">
      <c r="A898" s="20"/>
      <c r="B898" s="20"/>
      <c r="C898" s="20"/>
    </row>
    <row r="899" ht="15.75" customHeight="1">
      <c r="A899" s="20"/>
      <c r="B899" s="20"/>
      <c r="C899" s="20"/>
    </row>
    <row r="900" ht="15.75" customHeight="1">
      <c r="A900" s="20"/>
      <c r="B900" s="20"/>
      <c r="C900" s="20"/>
    </row>
    <row r="901" ht="15.75" customHeight="1">
      <c r="A901" s="20"/>
      <c r="B901" s="20"/>
      <c r="C901" s="20"/>
    </row>
    <row r="902" ht="15.75" customHeight="1">
      <c r="A902" s="20"/>
      <c r="B902" s="20"/>
      <c r="C902" s="20"/>
    </row>
    <row r="903" ht="15.75" customHeight="1">
      <c r="A903" s="20"/>
      <c r="B903" s="20"/>
      <c r="C903" s="20"/>
    </row>
    <row r="904" ht="15.75" customHeight="1">
      <c r="A904" s="20"/>
      <c r="B904" s="20"/>
      <c r="C904" s="20"/>
    </row>
    <row r="905" ht="15.75" customHeight="1">
      <c r="A905" s="20"/>
      <c r="B905" s="20"/>
      <c r="C905" s="20"/>
    </row>
    <row r="906" ht="15.75" customHeight="1">
      <c r="A906" s="20"/>
      <c r="B906" s="20"/>
      <c r="C906" s="20"/>
    </row>
    <row r="907" ht="15.75" customHeight="1">
      <c r="A907" s="20"/>
      <c r="B907" s="20"/>
      <c r="C907" s="20"/>
    </row>
    <row r="908" ht="15.75" customHeight="1">
      <c r="A908" s="20"/>
      <c r="B908" s="20"/>
      <c r="C908" s="20"/>
    </row>
    <row r="909" ht="15.75" customHeight="1">
      <c r="A909" s="20"/>
      <c r="B909" s="20"/>
      <c r="C909" s="20"/>
    </row>
    <row r="910" ht="15.75" customHeight="1">
      <c r="A910" s="20"/>
      <c r="B910" s="20"/>
      <c r="C910" s="20"/>
    </row>
    <row r="911" ht="15.75" customHeight="1">
      <c r="A911" s="20"/>
      <c r="B911" s="20"/>
      <c r="C911" s="20"/>
    </row>
    <row r="912" ht="15.75" customHeight="1">
      <c r="A912" s="20"/>
      <c r="B912" s="20"/>
      <c r="C912" s="20"/>
    </row>
    <row r="913" ht="15.75" customHeight="1">
      <c r="A913" s="20"/>
      <c r="B913" s="20"/>
      <c r="C913" s="20"/>
    </row>
    <row r="914" ht="15.75" customHeight="1">
      <c r="A914" s="20"/>
      <c r="B914" s="20"/>
      <c r="C914" s="20"/>
    </row>
    <row r="915" ht="15.75" customHeight="1">
      <c r="A915" s="20"/>
      <c r="B915" s="20"/>
      <c r="C915" s="20"/>
    </row>
    <row r="916" ht="15.75" customHeight="1">
      <c r="A916" s="20"/>
      <c r="B916" s="20"/>
      <c r="C916" s="20"/>
    </row>
    <row r="917" ht="15.75" customHeight="1">
      <c r="A917" s="20"/>
      <c r="B917" s="20"/>
      <c r="C917" s="20"/>
    </row>
    <row r="918" ht="15.75" customHeight="1">
      <c r="A918" s="20"/>
      <c r="B918" s="20"/>
      <c r="C918" s="20"/>
    </row>
    <row r="919" ht="15.75" customHeight="1">
      <c r="A919" s="20"/>
      <c r="B919" s="20"/>
      <c r="C919" s="20"/>
    </row>
    <row r="920" ht="15.75" customHeight="1">
      <c r="A920" s="20"/>
      <c r="B920" s="20"/>
      <c r="C920" s="20"/>
    </row>
    <row r="921" ht="15.75" customHeight="1">
      <c r="A921" s="20"/>
      <c r="B921" s="20"/>
      <c r="C921" s="20"/>
    </row>
    <row r="922" ht="15.75" customHeight="1">
      <c r="A922" s="20"/>
      <c r="B922" s="20"/>
      <c r="C922" s="20"/>
    </row>
    <row r="923" ht="15.75" customHeight="1">
      <c r="A923" s="20"/>
      <c r="B923" s="20"/>
      <c r="C923" s="20"/>
    </row>
    <row r="924" ht="15.75" customHeight="1">
      <c r="A924" s="20"/>
      <c r="B924" s="20"/>
      <c r="C924" s="20"/>
    </row>
    <row r="925" ht="15.75" customHeight="1">
      <c r="A925" s="20"/>
      <c r="B925" s="20"/>
      <c r="C925" s="20"/>
    </row>
    <row r="926" ht="15.75" customHeight="1">
      <c r="A926" s="20"/>
      <c r="B926" s="20"/>
      <c r="C926" s="20"/>
    </row>
    <row r="927" ht="15.75" customHeight="1">
      <c r="A927" s="20"/>
      <c r="B927" s="20"/>
      <c r="C927" s="20"/>
    </row>
    <row r="928" ht="15.75" customHeight="1">
      <c r="A928" s="20"/>
      <c r="B928" s="20"/>
      <c r="C928" s="20"/>
    </row>
    <row r="929" ht="15.75" customHeight="1">
      <c r="A929" s="20"/>
      <c r="B929" s="20"/>
      <c r="C929" s="20"/>
    </row>
    <row r="930" ht="15.75" customHeight="1">
      <c r="A930" s="20"/>
      <c r="B930" s="20"/>
      <c r="C930" s="20"/>
    </row>
    <row r="931" ht="15.75" customHeight="1">
      <c r="A931" s="20"/>
      <c r="B931" s="20"/>
      <c r="C931" s="20"/>
    </row>
    <row r="932" ht="15.75" customHeight="1">
      <c r="A932" s="20"/>
      <c r="B932" s="20"/>
      <c r="C932" s="20"/>
    </row>
    <row r="933" ht="15.75" customHeight="1">
      <c r="A933" s="20"/>
      <c r="B933" s="20"/>
      <c r="C933" s="20"/>
    </row>
    <row r="934" ht="15.75" customHeight="1">
      <c r="A934" s="20"/>
      <c r="B934" s="20"/>
      <c r="C934" s="20"/>
    </row>
    <row r="935" ht="15.75" customHeight="1">
      <c r="A935" s="20"/>
      <c r="B935" s="20"/>
      <c r="C935" s="20"/>
    </row>
    <row r="936" ht="15.75" customHeight="1">
      <c r="A936" s="20"/>
      <c r="B936" s="20"/>
      <c r="C936" s="20"/>
    </row>
    <row r="937" ht="15.75" customHeight="1">
      <c r="A937" s="20"/>
      <c r="B937" s="20"/>
      <c r="C937" s="20"/>
    </row>
    <row r="938" ht="15.75" customHeight="1">
      <c r="A938" s="20"/>
      <c r="B938" s="20"/>
      <c r="C938" s="20"/>
    </row>
    <row r="939" ht="15.75" customHeight="1">
      <c r="A939" s="20"/>
      <c r="B939" s="20"/>
      <c r="C939" s="20"/>
    </row>
    <row r="940" ht="15.75" customHeight="1">
      <c r="A940" s="20"/>
      <c r="B940" s="20"/>
      <c r="C940" s="20"/>
    </row>
    <row r="941" ht="15.75" customHeight="1">
      <c r="A941" s="20"/>
      <c r="B941" s="20"/>
      <c r="C941" s="20"/>
    </row>
    <row r="942" ht="15.75" customHeight="1">
      <c r="A942" s="20"/>
      <c r="B942" s="20"/>
      <c r="C942" s="20"/>
    </row>
    <row r="943" ht="15.75" customHeight="1">
      <c r="A943" s="20"/>
      <c r="B943" s="20"/>
      <c r="C943" s="20"/>
    </row>
    <row r="944" ht="15.75" customHeight="1">
      <c r="A944" s="20"/>
      <c r="B944" s="20"/>
      <c r="C944" s="20"/>
    </row>
    <row r="945" ht="15.75" customHeight="1">
      <c r="A945" s="20"/>
      <c r="B945" s="20"/>
      <c r="C945" s="20"/>
    </row>
    <row r="946" ht="15.75" customHeight="1">
      <c r="A946" s="20"/>
      <c r="B946" s="20"/>
      <c r="C946" s="20"/>
    </row>
    <row r="947" ht="15.75" customHeight="1">
      <c r="A947" s="20"/>
      <c r="B947" s="20"/>
      <c r="C947" s="20"/>
    </row>
    <row r="948" ht="15.75" customHeight="1">
      <c r="A948" s="20"/>
      <c r="B948" s="20"/>
      <c r="C948" s="20"/>
    </row>
    <row r="949" ht="15.75" customHeight="1">
      <c r="A949" s="20"/>
      <c r="B949" s="20"/>
      <c r="C949" s="20"/>
    </row>
    <row r="950" ht="15.75" customHeight="1">
      <c r="A950" s="20"/>
      <c r="B950" s="20"/>
      <c r="C950" s="20"/>
    </row>
    <row r="951" ht="15.75" customHeight="1">
      <c r="A951" s="20"/>
      <c r="B951" s="20"/>
      <c r="C951" s="20"/>
    </row>
    <row r="952" ht="15.75" customHeight="1">
      <c r="A952" s="20"/>
      <c r="B952" s="20"/>
      <c r="C952" s="20"/>
    </row>
    <row r="953" ht="15.75" customHeight="1">
      <c r="A953" s="20"/>
      <c r="B953" s="20"/>
      <c r="C953" s="20"/>
    </row>
    <row r="954" ht="15.75" customHeight="1">
      <c r="A954" s="20"/>
      <c r="B954" s="20"/>
      <c r="C954" s="20"/>
    </row>
    <row r="955" ht="15.75" customHeight="1">
      <c r="A955" s="20"/>
      <c r="B955" s="20"/>
      <c r="C955" s="20"/>
    </row>
    <row r="956" ht="15.75" customHeight="1">
      <c r="A956" s="20"/>
      <c r="B956" s="20"/>
      <c r="C956" s="20"/>
    </row>
    <row r="957" ht="15.75" customHeight="1">
      <c r="A957" s="20"/>
      <c r="B957" s="20"/>
      <c r="C957" s="20"/>
    </row>
    <row r="958" ht="15.75" customHeight="1">
      <c r="A958" s="20"/>
      <c r="B958" s="20"/>
      <c r="C958" s="20"/>
    </row>
    <row r="959" ht="15.75" customHeight="1">
      <c r="A959" s="20"/>
      <c r="B959" s="20"/>
      <c r="C959" s="20"/>
    </row>
    <row r="960" ht="15.75" customHeight="1">
      <c r="A960" s="20"/>
      <c r="B960" s="20"/>
      <c r="C960" s="20"/>
    </row>
    <row r="961" ht="15.75" customHeight="1">
      <c r="A961" s="20"/>
      <c r="B961" s="20"/>
      <c r="C961" s="20"/>
    </row>
    <row r="962" ht="15.75" customHeight="1">
      <c r="A962" s="20"/>
      <c r="B962" s="20"/>
      <c r="C962" s="20"/>
    </row>
    <row r="963" ht="15.75" customHeight="1">
      <c r="A963" s="20"/>
      <c r="B963" s="20"/>
      <c r="C963" s="20"/>
    </row>
    <row r="964" ht="15.75" customHeight="1">
      <c r="A964" s="20"/>
      <c r="B964" s="20"/>
      <c r="C964" s="20"/>
    </row>
    <row r="965" ht="15.75" customHeight="1">
      <c r="A965" s="20"/>
      <c r="B965" s="20"/>
      <c r="C965" s="20"/>
    </row>
    <row r="966" ht="15.75" customHeight="1">
      <c r="A966" s="20"/>
      <c r="B966" s="20"/>
      <c r="C966" s="20"/>
    </row>
    <row r="967" ht="15.75" customHeight="1">
      <c r="A967" s="20"/>
      <c r="B967" s="20"/>
      <c r="C967" s="20"/>
    </row>
    <row r="968" ht="15.75" customHeight="1">
      <c r="A968" s="20"/>
      <c r="B968" s="20"/>
      <c r="C968" s="20"/>
    </row>
    <row r="969" ht="15.75" customHeight="1">
      <c r="A969" s="20"/>
      <c r="B969" s="20"/>
      <c r="C969" s="20"/>
    </row>
    <row r="970" ht="15.75" customHeight="1">
      <c r="A970" s="20"/>
      <c r="B970" s="20"/>
      <c r="C970" s="20"/>
    </row>
    <row r="971" ht="15.75" customHeight="1">
      <c r="A971" s="20"/>
      <c r="B971" s="20"/>
      <c r="C971" s="20"/>
    </row>
    <row r="972" ht="15.75" customHeight="1">
      <c r="A972" s="20"/>
      <c r="B972" s="20"/>
      <c r="C972" s="20"/>
    </row>
    <row r="973" ht="15.75" customHeight="1">
      <c r="A973" s="20"/>
      <c r="B973" s="20"/>
      <c r="C973" s="20"/>
    </row>
    <row r="974" ht="15.75" customHeight="1">
      <c r="A974" s="20"/>
      <c r="B974" s="20"/>
      <c r="C974" s="20"/>
    </row>
    <row r="975" ht="15.75" customHeight="1">
      <c r="A975" s="20"/>
      <c r="B975" s="20"/>
      <c r="C975" s="20"/>
    </row>
    <row r="976" ht="15.75" customHeight="1">
      <c r="A976" s="20"/>
      <c r="B976" s="20"/>
      <c r="C976" s="20"/>
    </row>
    <row r="977" ht="15.75" customHeight="1">
      <c r="A977" s="20"/>
      <c r="B977" s="20"/>
      <c r="C977" s="20"/>
    </row>
    <row r="978" ht="15.75" customHeight="1">
      <c r="A978" s="20"/>
      <c r="B978" s="20"/>
      <c r="C978" s="20"/>
    </row>
    <row r="979" ht="15.75" customHeight="1">
      <c r="A979" s="20"/>
      <c r="B979" s="20"/>
      <c r="C979" s="20"/>
    </row>
    <row r="980" ht="15.75" customHeight="1">
      <c r="A980" s="20"/>
      <c r="B980" s="20"/>
      <c r="C980" s="20"/>
    </row>
    <row r="981" ht="15.75" customHeight="1">
      <c r="A981" s="20"/>
      <c r="B981" s="20"/>
      <c r="C981" s="20"/>
    </row>
    <row r="982" ht="15.75" customHeight="1">
      <c r="A982" s="20"/>
      <c r="B982" s="20"/>
      <c r="C982" s="20"/>
    </row>
    <row r="983" ht="15.75" customHeight="1">
      <c r="A983" s="20"/>
      <c r="B983" s="20"/>
      <c r="C983" s="20"/>
    </row>
    <row r="984" ht="15.75" customHeight="1">
      <c r="A984" s="20"/>
      <c r="B984" s="20"/>
      <c r="C984" s="20"/>
    </row>
    <row r="985" ht="15.75" customHeight="1">
      <c r="A985" s="20"/>
      <c r="B985" s="20"/>
      <c r="C985" s="20"/>
    </row>
    <row r="986" ht="15.75" customHeight="1">
      <c r="A986" s="20"/>
      <c r="B986" s="20"/>
      <c r="C986" s="20"/>
    </row>
    <row r="987" ht="15.75" customHeight="1">
      <c r="A987" s="20"/>
      <c r="B987" s="20"/>
      <c r="C987" s="20"/>
    </row>
    <row r="988" ht="15.75" customHeight="1">
      <c r="A988" s="20"/>
      <c r="B988" s="20"/>
      <c r="C988" s="20"/>
    </row>
    <row r="989" ht="15.75" customHeight="1">
      <c r="A989" s="20"/>
      <c r="B989" s="20"/>
      <c r="C989" s="20"/>
    </row>
    <row r="990" ht="15.75" customHeight="1">
      <c r="A990" s="20"/>
      <c r="B990" s="20"/>
      <c r="C990" s="20"/>
    </row>
    <row r="991" ht="15.75" customHeight="1">
      <c r="A991" s="20"/>
      <c r="B991" s="20"/>
      <c r="C991" s="20"/>
    </row>
    <row r="992" ht="15.75" customHeight="1">
      <c r="A992" s="20"/>
      <c r="B992" s="20"/>
      <c r="C992" s="20"/>
    </row>
    <row r="993" ht="15.75" customHeight="1">
      <c r="A993" s="20"/>
      <c r="B993" s="20"/>
      <c r="C993" s="20"/>
    </row>
    <row r="994" ht="15.75" customHeight="1">
      <c r="A994" s="20"/>
      <c r="B994" s="20"/>
      <c r="C994" s="20"/>
    </row>
    <row r="995" ht="15.75" customHeight="1">
      <c r="A995" s="20"/>
      <c r="B995" s="20"/>
      <c r="C995" s="20"/>
    </row>
    <row r="996" ht="15.75" customHeight="1">
      <c r="A996" s="20"/>
      <c r="B996" s="20"/>
      <c r="C996" s="20"/>
    </row>
    <row r="997" ht="15.75" customHeight="1">
      <c r="A997" s="20"/>
      <c r="B997" s="20"/>
      <c r="C997" s="20"/>
    </row>
    <row r="998" ht="15.75" customHeight="1">
      <c r="A998" s="20"/>
      <c r="B998" s="20"/>
      <c r="C998" s="20"/>
    </row>
    <row r="999" ht="15.75" customHeight="1">
      <c r="A999" s="20"/>
      <c r="B999" s="20"/>
      <c r="C999" s="20"/>
    </row>
    <row r="1000" ht="15.75" customHeight="1">
      <c r="A1000" s="20"/>
      <c r="B1000" s="20"/>
      <c r="C1000" s="20"/>
    </row>
  </sheetData>
  <dataValidations>
    <dataValidation type="list" allowBlank="1" showErrorMessage="1" sqref="A31:C1000">
      <formula1>'CUSTO OPERAÇÃO'!$P$2:$P1001</formula1>
    </dataValidation>
    <dataValidation type="list" allowBlank="1" showErrorMessage="1" sqref="B2:C30">
      <formula1>#REF!</formula1>
    </dataValidation>
    <dataValidation type="custom" allowBlank="1" showDropDown="1" sqref="L2:L30">
      <formula1>AND(ISNUMBER(L2),(NOT(OR(NOT(ISERROR(DATEVALUE(L2))), AND(ISNUMBER(L2), LEFT(CELL("format", L2))="D")))))</formula1>
    </dataValidation>
  </dataValidation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outlineLevelCol="1" outlineLevelRow="1"/>
  <cols>
    <col customWidth="1" min="1" max="1" width="38.5"/>
    <col customWidth="1" min="2" max="2" width="17.5" outlineLevel="1"/>
    <col customWidth="1" min="3" max="3" width="7.13" outlineLevel="1"/>
    <col customWidth="1" min="4" max="4" width="19.75" outlineLevel="1"/>
    <col customWidth="1" min="5" max="5" width="6.25" outlineLevel="1"/>
    <col customWidth="1" min="6" max="6" width="20.0" outlineLevel="1"/>
    <col customWidth="1" min="7" max="7" width="6.25" outlineLevel="1"/>
    <col customWidth="1" min="8" max="8" width="21.0" outlineLevel="1"/>
    <col customWidth="1" min="9" max="9" width="7.13" outlineLevel="1"/>
    <col customWidth="1" min="10" max="10" width="21.75" outlineLevel="1"/>
    <col customWidth="1" min="11" max="11" width="6.25" outlineLevel="1"/>
    <col customWidth="1" min="12" max="12" width="21.63" outlineLevel="1"/>
    <col customWidth="1" min="13" max="13" width="7.13" outlineLevel="1"/>
    <col customWidth="1" min="14" max="14" width="20.0" outlineLevel="1"/>
    <col customWidth="1" min="15" max="15" width="6.25" outlineLevel="1"/>
    <col customWidth="1" min="16" max="16" width="20.0" outlineLevel="1"/>
    <col customWidth="1" min="17" max="17" width="6.25" outlineLevel="1"/>
    <col customWidth="1" min="18" max="18" width="10.5"/>
    <col customWidth="1" min="19" max="19" width="7.13"/>
  </cols>
  <sheetData>
    <row r="1">
      <c r="A1" s="21"/>
      <c r="B1" s="22" t="s">
        <v>195</v>
      </c>
      <c r="C1" s="23"/>
      <c r="D1" s="23"/>
      <c r="E1" s="23"/>
      <c r="F1" s="23"/>
      <c r="G1" s="23"/>
      <c r="H1" s="23"/>
      <c r="I1" s="23"/>
      <c r="J1" s="22" t="s">
        <v>195</v>
      </c>
      <c r="K1" s="23"/>
      <c r="L1" s="22" t="s">
        <v>195</v>
      </c>
      <c r="M1" s="23"/>
      <c r="N1" s="22" t="s">
        <v>195</v>
      </c>
      <c r="O1" s="23"/>
      <c r="P1" s="22" t="s">
        <v>195</v>
      </c>
      <c r="Q1" s="23"/>
      <c r="R1" s="23"/>
      <c r="S1" s="23"/>
    </row>
    <row r="2">
      <c r="A2" s="24" t="s">
        <v>196</v>
      </c>
      <c r="B2" s="25" t="str">
        <f>'PORTIFÓLIO'!$J$3</f>
        <v>FE-BRACHIARIA-26/27</v>
      </c>
      <c r="C2" s="26"/>
      <c r="D2" s="25" t="str">
        <f>'PORTIFÓLIO'!$K$3</f>
        <v>FE-SOJA IRRIGADO-26/27</v>
      </c>
      <c r="E2" s="26"/>
      <c r="F2" s="25" t="str">
        <f>'PORTIFÓLIO'!$L$3</f>
        <v>FE-SOJA SEQUEIRO-26/27</v>
      </c>
      <c r="G2" s="26"/>
      <c r="H2" s="25" t="str">
        <f>'PORTIFÓLIO'!$M$3</f>
        <v>FA-MILHO SEMENTE-27/27</v>
      </c>
      <c r="I2" s="26"/>
      <c r="J2" s="25" t="str">
        <f>'PORTIFÓLIO'!$N$3</f>
        <v>FA-SORGO SEQUEIRO-27/27</v>
      </c>
      <c r="K2" s="26"/>
      <c r="L2" s="25" t="str">
        <f>'PORTIFÓLIO'!$O$3</f>
        <v>FA-MILHO SEQUEIRO-26/27</v>
      </c>
      <c r="M2" s="26"/>
      <c r="N2" s="25" t="str">
        <f>'PORTIFÓLIO'!$P$3</f>
        <v>FA-SOJA SEQUEIRO-26/27</v>
      </c>
      <c r="O2" s="26"/>
      <c r="P2" s="25" t="str">
        <f>'PORTIFÓLIO'!$Q$3</f>
        <v>FA-SOJA-IRRIGADO-26/27</v>
      </c>
      <c r="Q2" s="26"/>
      <c r="R2" s="25" t="s">
        <v>197</v>
      </c>
      <c r="S2" s="26"/>
    </row>
    <row r="3">
      <c r="A3" s="27"/>
      <c r="B3" s="28"/>
      <c r="C3" s="29" t="s">
        <v>198</v>
      </c>
      <c r="D3" s="28"/>
      <c r="E3" s="29" t="s">
        <v>198</v>
      </c>
      <c r="F3" s="28"/>
      <c r="G3" s="28" t="s">
        <v>198</v>
      </c>
      <c r="H3" s="28"/>
      <c r="I3" s="29" t="s">
        <v>198</v>
      </c>
      <c r="J3" s="28"/>
      <c r="K3" s="29" t="s">
        <v>198</v>
      </c>
      <c r="L3" s="28"/>
      <c r="M3" s="29" t="s">
        <v>198</v>
      </c>
      <c r="N3" s="28"/>
      <c r="O3" s="29" t="s">
        <v>198</v>
      </c>
      <c r="P3" s="28"/>
      <c r="Q3" s="29" t="s">
        <v>198</v>
      </c>
      <c r="R3" s="28"/>
      <c r="S3" s="29" t="s">
        <v>198</v>
      </c>
    </row>
    <row r="4">
      <c r="A4" s="30" t="s">
        <v>199</v>
      </c>
      <c r="B4" s="31">
        <f>SUMIF('ÁREA PLANTIO'!$C$2:$C$30,"*"&amp;B2&amp;"*",'ÁREA PLANTIO'!$E$2:$E$30)+SUMIF('ÁREA PLANTIO'!$H$2:$H$30,"*"&amp;B2&amp;"*",'ÁREA PLANTIO'!$E$2:$E$30)</f>
        <v>490</v>
      </c>
      <c r="C4" s="31"/>
      <c r="D4" s="31">
        <f>SUMIF('ÁREA PLANTIO'!$C$2:$C$30,"*"&amp;D2&amp;"*",'ÁREA PLANTIO'!$E$2:$E$30)+SUMIF('ÁREA PLANTIO'!$H$2:$H$30,"*"&amp;D2&amp;"*",'ÁREA PLANTIO'!$E$2:$E$30)</f>
        <v>300</v>
      </c>
      <c r="E4" s="31"/>
      <c r="F4" s="31">
        <f>SUMIF('ÁREA PLANTIO'!$C$2:$C$30,"*"&amp;F2&amp;"*",'ÁREA PLANTIO'!$E$2:$E$30)+SUMIF('ÁREA PLANTIO'!$H$2:$H$30,"*"&amp;F2&amp;"*",'ÁREA PLANTIO'!$E$2:$E$30)</f>
        <v>220</v>
      </c>
      <c r="G4" s="31"/>
      <c r="H4" s="31">
        <f>SUMIF('ÁREA PLANTIO'!$C$2:$C$30,"*"&amp;H2&amp;"*",'ÁREA PLANTIO'!$E$2:$E$30)+SUMIF('ÁREA PLANTIO'!$H$2:$H$30,"*"&amp;H2&amp;"*",'ÁREA PLANTIO'!$E$2:$E$30)</f>
        <v>200</v>
      </c>
      <c r="I4" s="31"/>
      <c r="J4" s="31">
        <f>SUMIF('ÁREA PLANTIO'!$C$2:$C$30,"*"&amp;J2&amp;"*",'ÁREA PLANTIO'!$E$2:$E$30)+SUMIF('ÁREA PLANTIO'!$H$2:$H$30,"*"&amp;J2&amp;"*",'ÁREA PLANTIO'!$E$2:$E$30)</f>
        <v>376</v>
      </c>
      <c r="K4" s="31"/>
      <c r="L4" s="31">
        <f>SUMIF('ÁREA PLANTIO'!$C$2:$C$30,"*"&amp;L2&amp;"*",'ÁREA PLANTIO'!$E$2:$E$30)+SUMIF('ÁREA PLANTIO'!$H$2:$H$30,"*"&amp;L2&amp;"*",'ÁREA PLANTIO'!$E$2:$E$30)</f>
        <v>220</v>
      </c>
      <c r="M4" s="31"/>
      <c r="N4" s="31">
        <f>SUMIF('ÁREA PLANTIO'!$C$2:$C$30,"*"&amp;N2&amp;"*",'ÁREA PLANTIO'!$E$2:$E$30)+SUMIF('ÁREA PLANTIO'!$H$2:$H$30,"*"&amp;N2&amp;"*",'ÁREA PLANTIO'!$E$2:$E$30)</f>
        <v>1218</v>
      </c>
      <c r="O4" s="31"/>
      <c r="P4" s="31">
        <f>SUMIF('ÁREA PLANTIO'!$C$2:$C$30,"*"&amp;P2&amp;"*",'ÁREA PLANTIO'!$E$2:$E$30)+SUMIF('ÁREA PLANTIO'!$H$2:$H$30,"*"&amp;P2&amp;"*",'ÁREA PLANTIO'!$E$2:$E$30)</f>
        <v>320</v>
      </c>
      <c r="Q4" s="31"/>
      <c r="R4" s="31">
        <f>SUM(P4,N4,L4,J4,B4,D4,F4,H4)</f>
        <v>3344</v>
      </c>
      <c r="S4" s="31"/>
    </row>
    <row r="5">
      <c r="A5" s="32" t="s">
        <v>200</v>
      </c>
      <c r="B5" s="33">
        <f>SUMIF('ÁREA PLANTIO'!$C$2:$C$30,"*"&amp;B2&amp;"*",'ÁREA PLANTIO'!$F$2:$F$30)+SUMIF('ÁREA PLANTIO'!$H$2:$H$30,"*"&amp;B2&amp;"*",'ÁREA PLANTIO'!$J$2:$J$30)</f>
        <v>28550</v>
      </c>
      <c r="C5" s="33"/>
      <c r="D5" s="33">
        <f>SUMIF('ÁREA PLANTIO'!$C$2:$C$30,"*"&amp;D2&amp;"*",'ÁREA PLANTIO'!$F$2:$F$30)+SUMIF('ÁREA PLANTIO'!$H$2:$H$30,"*"&amp;D2&amp;"*",'ÁREA PLANTIO'!$J$2:$J$30)</f>
        <v>18900</v>
      </c>
      <c r="E5" s="33"/>
      <c r="F5" s="33">
        <f>SUMIF('ÁREA PLANTIO'!$C$2:$C$30,"*"&amp;F2&amp;"*",'ÁREA PLANTIO'!$F$2:$F$30)+SUMIF('ÁREA PLANTIO'!$H$2:$H$30,"*"&amp;F2&amp;"*",'ÁREA PLANTIO'!$J$2:$J$30)</f>
        <v>11000</v>
      </c>
      <c r="G5" s="33"/>
      <c r="H5" s="33">
        <f>SUMIF('ÁREA PLANTIO'!$C$2:$C$30,"*"&amp;H2&amp;"*",'ÁREA PLANTIO'!$F$2:$F$30)+SUMIF('ÁREA PLANTIO'!$H$2:$H$30,"*"&amp;H2&amp;"*",'ÁREA PLANTIO'!$J$2:$J$30)</f>
        <v>40000</v>
      </c>
      <c r="I5" s="33"/>
      <c r="J5" s="33">
        <f>SUMIF('ÁREA PLANTIO'!$C$2:$C$30,"*"&amp;J2&amp;"*",'ÁREA PLANTIO'!$F$2:$F$30)+SUMIF('ÁREA PLANTIO'!$H$2:$H$30,"*"&amp;J2&amp;"*",'ÁREA PLANTIO'!$J$2:$J$30)</f>
        <v>22560</v>
      </c>
      <c r="K5" s="33"/>
      <c r="L5" s="33">
        <f>SUMIF('ÁREA PLANTIO'!$C$2:$C$30,"*"&amp;L2&amp;"*",'ÁREA PLANTIO'!$F$2:$F$30)+SUMIF('ÁREA PLANTIO'!$H$2:$H$30,"*"&amp;L2&amp;"*",'ÁREA PLANTIO'!$J$2:$J$30)</f>
        <v>39600</v>
      </c>
      <c r="M5" s="33"/>
      <c r="N5" s="33">
        <f>SUMIF('ÁREA PLANTIO'!$C$2:$C$30,"*"&amp;N2&amp;"*",'ÁREA PLANTIO'!$F$2:$F$30)+SUMIF('ÁREA PLANTIO'!$H$2:$H$30,"*"&amp;N2&amp;"*",'ÁREA PLANTIO'!$J$2:$J$30)</f>
        <v>85260</v>
      </c>
      <c r="O5" s="33"/>
      <c r="P5" s="33">
        <f>SUMIF('ÁREA PLANTIO'!$C$2:$C$30,"*"&amp;P2&amp;"*",'ÁREA PLANTIO'!$F$2:$F$30)+SUMIF('ÁREA PLANTIO'!$H$2:$H$30,"*"&amp;P2&amp;"*",'ÁREA PLANTIO'!$J$2:$J$30)</f>
        <v>22400</v>
      </c>
      <c r="Q5" s="33"/>
      <c r="R5" s="33"/>
      <c r="S5" s="33"/>
    </row>
    <row r="6">
      <c r="A6" s="32" t="s">
        <v>201</v>
      </c>
      <c r="B6" s="34">
        <f>B5/B4</f>
        <v>58.26530612</v>
      </c>
      <c r="C6" s="34"/>
      <c r="D6" s="34">
        <f>IFERROR(D5/D4,"")</f>
        <v>63</v>
      </c>
      <c r="E6" s="34"/>
      <c r="F6" s="34">
        <f>IFERROR(F5/F4,"")</f>
        <v>50</v>
      </c>
      <c r="G6" s="34"/>
      <c r="H6" s="34">
        <f>IFERROR(H5/H4,"")</f>
        <v>200</v>
      </c>
      <c r="I6" s="34"/>
      <c r="J6" s="34">
        <f>IFERROR(J5/J4,"")</f>
        <v>60</v>
      </c>
      <c r="K6" s="34"/>
      <c r="L6" s="34">
        <f>IFERROR(L5/L4,"")</f>
        <v>180</v>
      </c>
      <c r="M6" s="34"/>
      <c r="N6" s="34">
        <f>IFERROR(N5/N4,"")</f>
        <v>70</v>
      </c>
      <c r="O6" s="34"/>
      <c r="P6" s="34">
        <f>IFERROR(P5/P4,"")</f>
        <v>70</v>
      </c>
      <c r="Q6" s="34"/>
      <c r="R6" s="34"/>
      <c r="S6" s="34"/>
    </row>
    <row r="7">
      <c r="A7" s="32" t="s">
        <v>202</v>
      </c>
      <c r="B7" s="35">
        <v>200.0</v>
      </c>
      <c r="C7" s="35"/>
      <c r="D7" s="35">
        <v>110.0</v>
      </c>
      <c r="E7" s="35"/>
      <c r="F7" s="35">
        <v>110.0</v>
      </c>
      <c r="G7" s="35"/>
      <c r="H7" s="35">
        <v>60.0</v>
      </c>
      <c r="I7" s="35"/>
      <c r="J7" s="35">
        <v>48.0</v>
      </c>
      <c r="K7" s="35"/>
      <c r="L7" s="35">
        <v>60.0</v>
      </c>
      <c r="M7" s="35"/>
      <c r="N7" s="35">
        <v>110.0</v>
      </c>
      <c r="O7" s="35"/>
      <c r="P7" s="35">
        <v>110.0</v>
      </c>
      <c r="Q7" s="35"/>
      <c r="R7" s="35"/>
      <c r="S7" s="35">
        <f t="shared" ref="S7:S8" si="1">R7/$R$4</f>
        <v>0</v>
      </c>
    </row>
    <row r="8">
      <c r="A8" s="36" t="s">
        <v>203</v>
      </c>
      <c r="B8" s="37"/>
      <c r="C8" s="37"/>
      <c r="D8" s="37"/>
      <c r="E8" s="37"/>
      <c r="F8" s="37"/>
      <c r="G8" s="37"/>
      <c r="H8" s="37"/>
      <c r="I8" s="37"/>
      <c r="J8" s="37"/>
      <c r="K8" s="37"/>
      <c r="L8" s="37"/>
      <c r="M8" s="37"/>
      <c r="N8" s="37"/>
      <c r="O8" s="37"/>
      <c r="P8" s="37"/>
      <c r="Q8" s="37"/>
      <c r="R8" s="37"/>
      <c r="S8" s="37">
        <f t="shared" si="1"/>
        <v>0</v>
      </c>
    </row>
    <row r="9">
      <c r="A9" s="38" t="s">
        <v>204</v>
      </c>
      <c r="B9" s="39">
        <f>B5*B7</f>
        <v>5710000</v>
      </c>
      <c r="C9" s="39">
        <f>IFERROR(B9/B4,"")</f>
        <v>11653.06122</v>
      </c>
      <c r="D9" s="39">
        <f>D5*D7</f>
        <v>2079000</v>
      </c>
      <c r="E9" s="39">
        <f>IFERROR(D9/D4,"")</f>
        <v>6930</v>
      </c>
      <c r="F9" s="39">
        <f>F5*F7</f>
        <v>1210000</v>
      </c>
      <c r="G9" s="39">
        <f>IFERROR(F9/F4,"")</f>
        <v>5500</v>
      </c>
      <c r="H9" s="39">
        <f>H5*H7</f>
        <v>2400000</v>
      </c>
      <c r="I9" s="39">
        <f>IFERROR(H9/H4,"")</f>
        <v>12000</v>
      </c>
      <c r="J9" s="39">
        <f>J5*J7</f>
        <v>1082880</v>
      </c>
      <c r="K9" s="39">
        <f>IFERROR(J9/J4,"")</f>
        <v>2880</v>
      </c>
      <c r="L9" s="39">
        <f>L5*L7</f>
        <v>2376000</v>
      </c>
      <c r="M9" s="39">
        <f>IFERROR(L9/L4,"")</f>
        <v>10800</v>
      </c>
      <c r="N9" s="39">
        <f>N5*N7</f>
        <v>9378600</v>
      </c>
      <c r="O9" s="39">
        <f>IFERROR(N9/N4,"")</f>
        <v>7700</v>
      </c>
      <c r="P9" s="39">
        <f>P5*P7</f>
        <v>2464000</v>
      </c>
      <c r="Q9" s="39">
        <f>IFERROR(P9/P4,"")</f>
        <v>7700</v>
      </c>
      <c r="R9" s="39">
        <f t="shared" ref="R9:R422" si="2">SUM(P9,N9,L9,J9,H9,D9,B9)</f>
        <v>25490480</v>
      </c>
      <c r="S9" s="39">
        <f>IFERROR(R9/R4,"")</f>
        <v>7622.751196</v>
      </c>
    </row>
    <row r="10">
      <c r="A10" s="40" t="s">
        <v>205</v>
      </c>
      <c r="B10" s="41">
        <f>SUM(B11,B465,B546,B555,B557)</f>
        <v>356781.389</v>
      </c>
      <c r="C10" s="41">
        <f>B10/B4</f>
        <v>728.1252838</v>
      </c>
      <c r="D10" s="41">
        <f>SUM(D11,D465,D546,D555,D557)</f>
        <v>436954.4189</v>
      </c>
      <c r="E10" s="41">
        <f>IFERROR(D10/D4,"")</f>
        <v>1456.51473</v>
      </c>
      <c r="F10" s="41">
        <f>SUM(F11,F465,F546,F555,F557)</f>
        <v>312894.7962</v>
      </c>
      <c r="G10" s="41">
        <f>IFERROR(F10/F4,"")</f>
        <v>1422.249074</v>
      </c>
      <c r="H10" s="41">
        <f>SUM(H11,H465,H546,H555,H557)</f>
        <v>42925.5056</v>
      </c>
      <c r="I10" s="41">
        <f>IFERROR(H10/H4,"")</f>
        <v>214.627528</v>
      </c>
      <c r="J10" s="41">
        <f>SUM(J11,J465,J546,J555,J557)</f>
        <v>123127.9795</v>
      </c>
      <c r="K10" s="41">
        <f>IFERROR(J10/J4,"")</f>
        <v>327.4680307</v>
      </c>
      <c r="L10" s="41">
        <f>SUM(L11,L465,L546,L555,L557)</f>
        <v>292129.3891</v>
      </c>
      <c r="M10" s="41">
        <f>IFERROR(L10/L4,"")</f>
        <v>1327.86086</v>
      </c>
      <c r="N10" s="41">
        <f>SUM(N11,N465,N546,N555,N557)</f>
        <v>1814506.456</v>
      </c>
      <c r="O10" s="41">
        <f>IFERROR(N10/N4,"")</f>
        <v>1489.742575</v>
      </c>
      <c r="P10" s="41">
        <f>SUM(P11,P465,P546,P555,P557)</f>
        <v>496103.8168</v>
      </c>
      <c r="Q10" s="41">
        <f>IFERROR(P10/P4,"")</f>
        <v>1550.324428</v>
      </c>
      <c r="R10" s="41">
        <f t="shared" si="2"/>
        <v>3562528.955</v>
      </c>
      <c r="S10" s="41">
        <f t="shared" ref="S10:S11" si="3">R10/$R$4</f>
        <v>1065.349568</v>
      </c>
    </row>
    <row r="11">
      <c r="A11" s="42" t="s">
        <v>206</v>
      </c>
      <c r="B11" s="43">
        <f>SUM(B12,B421,B458,B459,B460,B461,B462)</f>
        <v>356781.389</v>
      </c>
      <c r="C11" s="43">
        <f>B11/$B$4</f>
        <v>728.1252838</v>
      </c>
      <c r="D11" s="43">
        <f>SUM(D12,D421,D458,D459,D460,D461,D462)</f>
        <v>436954.4189</v>
      </c>
      <c r="E11" s="43">
        <f>D11/$D$4</f>
        <v>1456.51473</v>
      </c>
      <c r="F11" s="43">
        <f>SUM(F12,F421,F458,F459,F460,F461,F462)</f>
        <v>312894.7962</v>
      </c>
      <c r="G11" s="43">
        <f>F11/$F$4</f>
        <v>1422.249074</v>
      </c>
      <c r="H11" s="43">
        <f>SUM(H12,H421,H458,H459,H460,H461,H462)</f>
        <v>42925.5056</v>
      </c>
      <c r="I11" s="43">
        <f t="shared" ref="I11:I12" si="4">IFERROR(H11/$H$4,"")</f>
        <v>214.627528</v>
      </c>
      <c r="J11" s="43">
        <f>SUM(J12,J421,J458,J459,J460,J461,J462)</f>
        <v>123127.9795</v>
      </c>
      <c r="K11" s="43">
        <f>J11/$J$4</f>
        <v>327.4680307</v>
      </c>
      <c r="L11" s="43">
        <f>SUM(L12,L421,L458,L459,L460,L461,L462)</f>
        <v>292129.3891</v>
      </c>
      <c r="M11" s="43">
        <v>4221.0</v>
      </c>
      <c r="N11" s="43">
        <f>SUM(N12,N421,N458,N459,N460,N461,N462)</f>
        <v>1814506.456</v>
      </c>
      <c r="O11" s="43">
        <v>4221.0</v>
      </c>
      <c r="P11" s="43">
        <f>SUM(P12,P421,P458,P459,P460,P461,P462)</f>
        <v>496103.8168</v>
      </c>
      <c r="Q11" s="43">
        <v>4221.0</v>
      </c>
      <c r="R11" s="43">
        <f t="shared" si="2"/>
        <v>3562528.955</v>
      </c>
      <c r="S11" s="43">
        <f t="shared" si="3"/>
        <v>1065.349568</v>
      </c>
    </row>
    <row r="12">
      <c r="A12" s="44" t="s">
        <v>207</v>
      </c>
      <c r="B12" s="45">
        <f>B13+B32+B104+B175+B256+B293+B322+B340</f>
        <v>323903.693</v>
      </c>
      <c r="C12" s="45">
        <f>IFERROR(B12/$B$4,"")</f>
        <v>661.0279448</v>
      </c>
      <c r="D12" s="45">
        <f>D13+D32+D104+D175+D256+D293+D322+D340</f>
        <v>334976.7719</v>
      </c>
      <c r="E12" s="45">
        <f>IFERROR(D12/$D$4,"")</f>
        <v>1116.58924</v>
      </c>
      <c r="F12" s="45">
        <f>F13+F32+F104+F175+F256+F293+F322+F340</f>
        <v>238111.1884</v>
      </c>
      <c r="G12" s="45">
        <f>IFERROR(F12/$F$4,"")</f>
        <v>1082.323584</v>
      </c>
      <c r="H12" s="45">
        <f>H13+H32+H104+H175+H256+H293+H322+H340</f>
        <v>42925.5056</v>
      </c>
      <c r="I12" s="45">
        <f t="shared" si="4"/>
        <v>214.627528</v>
      </c>
      <c r="J12" s="45">
        <f>J13+J32+J104+J175+J256+J293+J322+J340</f>
        <v>123127.9795</v>
      </c>
      <c r="K12" s="45">
        <f>IFERROR(J12/$J$4,"")</f>
        <v>327.4680307</v>
      </c>
      <c r="L12" s="45">
        <f>L13+L32+L104+L175+L256+L293+L322+L340</f>
        <v>193459.3891</v>
      </c>
      <c r="M12" s="45">
        <f>IFERROR(L12/$L$4,"")</f>
        <v>879.3608595</v>
      </c>
      <c r="N12" s="45">
        <f>N13+N32+N104+N175+N256+N293+N322+N340</f>
        <v>1400477.209</v>
      </c>
      <c r="O12" s="45">
        <f>IFERROR(N12/$N$4,"")</f>
        <v>1149.817084</v>
      </c>
      <c r="P12" s="45">
        <f>P13+P32+P104+P175+P256+P293+P322+P340</f>
        <v>387327.66</v>
      </c>
      <c r="Q12" s="45">
        <f>IFERROR(P12/$P$4,"")</f>
        <v>1210.398937</v>
      </c>
      <c r="R12" s="45">
        <f t="shared" si="2"/>
        <v>2806198.208</v>
      </c>
      <c r="S12" s="45">
        <f>IFERROR(R12/$R$4,"")</f>
        <v>839.1741052</v>
      </c>
    </row>
    <row r="13" collapsed="1">
      <c r="A13" s="46" t="s">
        <v>7</v>
      </c>
      <c r="B13" s="47">
        <f>SUM(B14:B31)</f>
        <v>0</v>
      </c>
      <c r="C13" s="47">
        <f t="shared" ref="C13:C457" si="5">B13/$B$4</f>
        <v>0</v>
      </c>
      <c r="D13" s="47">
        <f>SUM(D14:D31)</f>
        <v>0</v>
      </c>
      <c r="E13" s="47">
        <f t="shared" ref="E13:E357" si="6">D13/$D$4</f>
        <v>0</v>
      </c>
      <c r="F13" s="47">
        <f>SUM(F14:F31)</f>
        <v>0</v>
      </c>
      <c r="G13" s="47">
        <f t="shared" ref="G13:G457" si="7">F13/$F$4</f>
        <v>0</v>
      </c>
      <c r="H13" s="47">
        <f>SUM(H14:H31)</f>
        <v>0</v>
      </c>
      <c r="I13" s="47">
        <f t="shared" ref="I13:I457" si="8">H13/$H$4</f>
        <v>0</v>
      </c>
      <c r="J13" s="47">
        <f>SUM(J14:J31)</f>
        <v>0</v>
      </c>
      <c r="K13" s="47">
        <f t="shared" ref="K13:K457" si="9">J13/$J$4</f>
        <v>0</v>
      </c>
      <c r="L13" s="47">
        <f>SUM(L14:L31)</f>
        <v>0</v>
      </c>
      <c r="M13" s="47">
        <f t="shared" ref="M13:M457" si="10">L13/$L$4</f>
        <v>0</v>
      </c>
      <c r="N13" s="47">
        <f>SUM(N14:N31)</f>
        <v>0</v>
      </c>
      <c r="O13" s="47">
        <f t="shared" ref="O13:O457" si="11">N13/$N$4</f>
        <v>0</v>
      </c>
      <c r="P13" s="47">
        <f>SUM(P14:P31)</f>
        <v>0</v>
      </c>
      <c r="Q13" s="47">
        <f t="shared" ref="Q13:Q457" si="12">P13/$P$4</f>
        <v>0</v>
      </c>
      <c r="R13" s="47">
        <f t="shared" si="2"/>
        <v>0</v>
      </c>
      <c r="S13" s="47">
        <f t="shared" ref="S13:S422" si="13">R13/$R$4</f>
        <v>0</v>
      </c>
    </row>
    <row r="14" hidden="1" outlineLevel="1">
      <c r="A14" s="48" t="str">
        <f>IFERROR(__xludf.DUMMYFUNCTION("UNIQUE(FILTER('PORTIFÓLIO'!C:C, 'PORTIFÓLIO'!B:B=""fertilizantes""))"),"I-ACTIVE")</f>
        <v>I-ACTIVE</v>
      </c>
      <c r="B14" s="49">
        <f t="array" ref="B14">IFERROR(
SUM(
IF(
'PORTIFÓLIO'!$C$4:$C$564=$A14,
N(INDEX('PORTIFÓLIO'!$J$4:$Q$564,,MATCH(B$2,'PORTIFÓLIO'!$J$3:$Q$3,0))) *
N('PORTIFÓLIO'!$S$4:$S$564),
0
)
),
0)</f>
        <v>0</v>
      </c>
      <c r="C14" s="49">
        <f t="shared" si="5"/>
        <v>0</v>
      </c>
      <c r="D14" s="49">
        <f t="array" ref="D14">IFERROR(
SUM(
IF(
'PORTIFÓLIO'!$C$4:$C$564=$A14,
N(INDEX('PORTIFÓLIO'!$J$4:$Q$564,,MATCH(D$2,'PORTIFÓLIO'!$J$3:$Q$3,0))) *
N('PORTIFÓLIO'!$S$4:$S$564),
0
)
),
0)</f>
        <v>0</v>
      </c>
      <c r="E14" s="49">
        <f t="shared" si="6"/>
        <v>0</v>
      </c>
      <c r="F14" s="49">
        <f t="array" ref="F14">IFERROR(
SUM(
IF(
'PORTIFÓLIO'!$C$4:$C$564=$A14,
N(INDEX('PORTIFÓLIO'!$J$4:$Q$564,,MATCH(F$2,'PORTIFÓLIO'!$J$3:$Q$3,0))) *
N('PORTIFÓLIO'!$S$4:$S$564),
0
)
),
0)</f>
        <v>0</v>
      </c>
      <c r="G14" s="47">
        <f t="shared" si="7"/>
        <v>0</v>
      </c>
      <c r="H14" s="49">
        <f t="array" ref="H14">IFERROR(
SUM(
IF(
'PORTIFÓLIO'!$C$4:$C$564=$A14,
N(INDEX('PORTIFÓLIO'!$J$4:$Q$564,,MATCH(H$2,'PORTIFÓLIO'!$J$3:$Q$3,0))) *
N('PORTIFÓLIO'!$S$4:$S$564),
0
)
),
0)</f>
        <v>0</v>
      </c>
      <c r="I14" s="47">
        <f t="shared" si="8"/>
        <v>0</v>
      </c>
      <c r="J14" s="49">
        <f t="array" ref="J14">IFERROR(
SUM(
IF(
'PORTIFÓLIO'!$C$4:$C$564=$A14,
N(INDEX('PORTIFÓLIO'!$J$4:$Q$564,,MATCH(J$2,'PORTIFÓLIO'!$J$3:$Q$3,0))) *
N('PORTIFÓLIO'!$S$4:$S$564),
0
)
),
0)</f>
        <v>0</v>
      </c>
      <c r="K14" s="47">
        <f t="shared" si="9"/>
        <v>0</v>
      </c>
      <c r="L14" s="49">
        <f t="array" ref="L14">IFERROR(
SUM(
IF(
'PORTIFÓLIO'!$C$4:$C$564=$A14,
N(INDEX('PORTIFÓLIO'!$J$4:$Q$564,,MATCH(L$2,'PORTIFÓLIO'!$J$3:$Q$3,0))) *
N('PORTIFÓLIO'!$S$4:$S$564),
0
)
),
0)</f>
        <v>0</v>
      </c>
      <c r="M14" s="47">
        <f t="shared" si="10"/>
        <v>0</v>
      </c>
      <c r="N14" s="49">
        <f t="array" ref="N14">IFERROR(
SUM(
IF(
'PORTIFÓLIO'!$C$4:$C$564=$A14,
N(INDEX('PORTIFÓLIO'!$J$4:$Q$564,,MATCH(N$2,'PORTIFÓLIO'!$J$3:$Q$3,0))) *
N('PORTIFÓLIO'!$S$4:$S$564),
0
)
),
0)</f>
        <v>0</v>
      </c>
      <c r="O14" s="49">
        <f t="shared" si="11"/>
        <v>0</v>
      </c>
      <c r="P14" s="49">
        <f t="array" ref="P14">IFERROR(
SUM(
IF(
'PORTIFÓLIO'!$C$4:$C$564=$A14,
N(INDEX('PORTIFÓLIO'!$J$4:$Q$564,,MATCH(P$2,'PORTIFÓLIO'!$J$3:$Q$3,0))) *
N('PORTIFÓLIO'!$S$4:$S$564),
0
)
),
0)</f>
        <v>0</v>
      </c>
      <c r="Q14" s="49">
        <f t="shared" si="12"/>
        <v>0</v>
      </c>
      <c r="R14" s="49">
        <f t="shared" si="2"/>
        <v>0</v>
      </c>
      <c r="S14" s="49">
        <f t="shared" si="13"/>
        <v>0</v>
      </c>
    </row>
    <row r="15" hidden="1" outlineLevel="1">
      <c r="A15" s="48" t="str">
        <f>IFERROR(__xludf.DUMMYFUNCTION("""COMPUTED_VALUE"""),"MAP")</f>
        <v>MAP</v>
      </c>
      <c r="B15" s="49">
        <f t="array" ref="B15">IFERROR(
SUM(
IF(
'PORTIFÓLIO'!$C$4:$C$564=$A15,
N(INDEX('PORTIFÓLIO'!$J$4:$Q$564,,MATCH(B$2,'PORTIFÓLIO'!$J$3:$Q$3,0))) *
N('PORTIFÓLIO'!$S$4:$S$564),
0
)
),
0)</f>
        <v>0</v>
      </c>
      <c r="C15" s="49">
        <f t="shared" si="5"/>
        <v>0</v>
      </c>
      <c r="D15" s="49">
        <f t="array" ref="D15">IFERROR(
SUM(
IF(
'PORTIFÓLIO'!$C$4:$C$564=$A15,
N(INDEX('PORTIFÓLIO'!$J$4:$Q$564,,MATCH(D$2,'PORTIFÓLIO'!$J$3:$Q$3,0))) *
N('PORTIFÓLIO'!$S$4:$S$564),
0
)
),
0)</f>
        <v>0</v>
      </c>
      <c r="E15" s="49">
        <f t="shared" si="6"/>
        <v>0</v>
      </c>
      <c r="F15" s="49">
        <f t="array" ref="F15">IFERROR(
SUM(
IF(
'PORTIFÓLIO'!$C$4:$C$564=$A15,
N(INDEX('PORTIFÓLIO'!$J$4:$Q$564,,MATCH(F$2,'PORTIFÓLIO'!$J$3:$Q$3,0))) *
N('PORTIFÓLIO'!$S$4:$S$564),
0
)
),
0)</f>
        <v>0</v>
      </c>
      <c r="G15" s="47">
        <f t="shared" si="7"/>
        <v>0</v>
      </c>
      <c r="H15" s="49">
        <f t="array" ref="H15">IFERROR(
SUM(
IF(
'PORTIFÓLIO'!$C$4:$C$564=$A15,
N(INDEX('PORTIFÓLIO'!$J$4:$Q$564,,MATCH(H$2,'PORTIFÓLIO'!$J$3:$Q$3,0))) *
N('PORTIFÓLIO'!$S$4:$S$564),
0
)
),
0)</f>
        <v>0</v>
      </c>
      <c r="I15" s="47">
        <f t="shared" si="8"/>
        <v>0</v>
      </c>
      <c r="J15" s="49">
        <f t="array" ref="J15">IFERROR(
SUM(
IF(
'PORTIFÓLIO'!$C$4:$C$564=$A15,
N(INDEX('PORTIFÓLIO'!$J$4:$Q$564,,MATCH(J$2,'PORTIFÓLIO'!$J$3:$Q$3,0))) *
N('PORTIFÓLIO'!$S$4:$S$564),
0
)
),
0)</f>
        <v>0</v>
      </c>
      <c r="K15" s="47">
        <f t="shared" si="9"/>
        <v>0</v>
      </c>
      <c r="L15" s="49">
        <f t="array" ref="L15">IFERROR(
SUM(
IF(
'PORTIFÓLIO'!$C$4:$C$564=$A15,
N(INDEX('PORTIFÓLIO'!$J$4:$Q$564,,MATCH(L$2,'PORTIFÓLIO'!$J$3:$Q$3,0))) *
N('PORTIFÓLIO'!$S$4:$S$564),
0
)
),
0)</f>
        <v>0</v>
      </c>
      <c r="M15" s="47">
        <f t="shared" si="10"/>
        <v>0</v>
      </c>
      <c r="N15" s="49">
        <f t="array" ref="N15">IFERROR(
SUM(
IF(
'PORTIFÓLIO'!$C$4:$C$564=$A15,
N(INDEX('PORTIFÓLIO'!$J$4:$Q$564,,MATCH(N$2,'PORTIFÓLIO'!$J$3:$Q$3,0))) *
N('PORTIFÓLIO'!$S$4:$S$564),
0
)
),
0)</f>
        <v>0</v>
      </c>
      <c r="O15" s="49">
        <f t="shared" si="11"/>
        <v>0</v>
      </c>
      <c r="P15" s="49">
        <f t="array" ref="P15">IFERROR(
SUM(
IF(
'PORTIFÓLIO'!$C$4:$C$564=$A15,
N(INDEX('PORTIFÓLIO'!$J$4:$Q$564,,MATCH(P$2,'PORTIFÓLIO'!$J$3:$Q$3,0))) *
N('PORTIFÓLIO'!$S$4:$S$564),
0
)
),
0)</f>
        <v>0</v>
      </c>
      <c r="Q15" s="49">
        <f t="shared" si="12"/>
        <v>0</v>
      </c>
      <c r="R15" s="49">
        <f t="shared" si="2"/>
        <v>0</v>
      </c>
      <c r="S15" s="49">
        <f t="shared" si="13"/>
        <v>0</v>
      </c>
    </row>
    <row r="16" hidden="1" outlineLevel="1">
      <c r="A16" s="48" t="str">
        <f>IFERROR(__xludf.DUMMYFUNCTION("""COMPUTED_VALUE"""),"KCL 60%")</f>
        <v>KCL 60%</v>
      </c>
      <c r="B16" s="49">
        <f t="array" ref="B16">IFERROR(
SUM(
IF(
'PORTIFÓLIO'!$C$4:$C$564=$A16,
N(INDEX('PORTIFÓLIO'!$J$4:$Q$564,,MATCH(B$2,'PORTIFÓLIO'!$J$3:$Q$3,0))) *
N('PORTIFÓLIO'!$S$4:$S$564),
0
)
),
0)</f>
        <v>0</v>
      </c>
      <c r="C16" s="49">
        <f t="shared" si="5"/>
        <v>0</v>
      </c>
      <c r="D16" s="49">
        <f t="array" ref="D16">IFERROR(
SUM(
IF(
'PORTIFÓLIO'!$C$4:$C$564=$A16,
N(INDEX('PORTIFÓLIO'!$J$4:$Q$564,,MATCH(D$2,'PORTIFÓLIO'!$J$3:$Q$3,0))) *
N('PORTIFÓLIO'!$S$4:$S$564),
0
)
),
0)</f>
        <v>0</v>
      </c>
      <c r="E16" s="49">
        <f t="shared" si="6"/>
        <v>0</v>
      </c>
      <c r="F16" s="49">
        <f t="array" ref="F16">IFERROR(
SUM(
IF(
'PORTIFÓLIO'!$C$4:$C$564=$A16,
N(INDEX('PORTIFÓLIO'!$J$4:$Q$564,,MATCH(F$2,'PORTIFÓLIO'!$J$3:$Q$3,0))) *
N('PORTIFÓLIO'!$S$4:$S$564),
0
)
),
0)</f>
        <v>0</v>
      </c>
      <c r="G16" s="47">
        <f t="shared" si="7"/>
        <v>0</v>
      </c>
      <c r="H16" s="49">
        <f t="array" ref="H16">IFERROR(
SUM(
IF(
'PORTIFÓLIO'!$C$4:$C$564=$A16,
N(INDEX('PORTIFÓLIO'!$J$4:$Q$564,,MATCH(H$2,'PORTIFÓLIO'!$J$3:$Q$3,0))) *
N('PORTIFÓLIO'!$S$4:$S$564),
0
)
),
0)</f>
        <v>0</v>
      </c>
      <c r="I16" s="47">
        <f t="shared" si="8"/>
        <v>0</v>
      </c>
      <c r="J16" s="49">
        <f t="array" ref="J16">IFERROR(
SUM(
IF(
'PORTIFÓLIO'!$C$4:$C$564=$A16,
N(INDEX('PORTIFÓLIO'!$J$4:$Q$564,,MATCH(J$2,'PORTIFÓLIO'!$J$3:$Q$3,0))) *
N('PORTIFÓLIO'!$S$4:$S$564),
0
)
),
0)</f>
        <v>0</v>
      </c>
      <c r="K16" s="47">
        <f t="shared" si="9"/>
        <v>0</v>
      </c>
      <c r="L16" s="49">
        <f t="array" ref="L16">IFERROR(
SUM(
IF(
'PORTIFÓLIO'!$C$4:$C$564=$A16,
N(INDEX('PORTIFÓLIO'!$J$4:$Q$564,,MATCH(L$2,'PORTIFÓLIO'!$J$3:$Q$3,0))) *
N('PORTIFÓLIO'!$S$4:$S$564),
0
)
),
0)</f>
        <v>0</v>
      </c>
      <c r="M16" s="47">
        <f t="shared" si="10"/>
        <v>0</v>
      </c>
      <c r="N16" s="49">
        <f t="array" ref="N16">IFERROR(
SUM(
IF(
'PORTIFÓLIO'!$C$4:$C$564=$A16,
N(INDEX('PORTIFÓLIO'!$J$4:$Q$564,,MATCH(N$2,'PORTIFÓLIO'!$J$3:$Q$3,0))) *
N('PORTIFÓLIO'!$S$4:$S$564),
0
)
),
0)</f>
        <v>0</v>
      </c>
      <c r="O16" s="49">
        <f t="shared" si="11"/>
        <v>0</v>
      </c>
      <c r="P16" s="49">
        <f t="array" ref="P16">IFERROR(
SUM(
IF(
'PORTIFÓLIO'!$C$4:$C$564=$A16,
N(INDEX('PORTIFÓLIO'!$J$4:$Q$564,,MATCH(P$2,'PORTIFÓLIO'!$J$3:$Q$3,0))) *
N('PORTIFÓLIO'!$S$4:$S$564),
0
)
),
0)</f>
        <v>0</v>
      </c>
      <c r="Q16" s="49">
        <f t="shared" si="12"/>
        <v>0</v>
      </c>
      <c r="R16" s="49">
        <f t="shared" si="2"/>
        <v>0</v>
      </c>
      <c r="S16" s="49">
        <f t="shared" si="13"/>
        <v>0</v>
      </c>
    </row>
    <row r="17" hidden="1" outlineLevel="1">
      <c r="A17" s="48" t="str">
        <f>IFERROR(__xludf.DUMMYFUNCTION("""COMPUTED_VALUE"""),"05-37-00")</f>
        <v>05-37-00</v>
      </c>
      <c r="B17" s="49">
        <f t="array" ref="B17">IFERROR(
SUM(
IF(
'PORTIFÓLIO'!$C$4:$C$564=$A17,
N(INDEX('PORTIFÓLIO'!$J$4:$Q$564,,MATCH(B$2,'PORTIFÓLIO'!$J$3:$Q$3,0))) *
N('PORTIFÓLIO'!$S$4:$S$564),
0
)
),
0)</f>
        <v>0</v>
      </c>
      <c r="C17" s="49">
        <f t="shared" si="5"/>
        <v>0</v>
      </c>
      <c r="D17" s="49">
        <f t="array" ref="D17">IFERROR(
SUM(
IF(
'PORTIFÓLIO'!$C$4:$C$564=$A17,
N(INDEX('PORTIFÓLIO'!$J$4:$Q$564,,MATCH(D$2,'PORTIFÓLIO'!$J$3:$Q$3,0))) *
N('PORTIFÓLIO'!$S$4:$S$564),
0
)
),
0)</f>
        <v>0</v>
      </c>
      <c r="E17" s="49">
        <f t="shared" si="6"/>
        <v>0</v>
      </c>
      <c r="F17" s="49">
        <f t="array" ref="F17">IFERROR(
SUM(
IF(
'PORTIFÓLIO'!$C$4:$C$564=$A17,
N(INDEX('PORTIFÓLIO'!$J$4:$Q$564,,MATCH(F$2,'PORTIFÓLIO'!$J$3:$Q$3,0))) *
N('PORTIFÓLIO'!$S$4:$S$564),
0
)
),
0)</f>
        <v>0</v>
      </c>
      <c r="G17" s="47">
        <f t="shared" si="7"/>
        <v>0</v>
      </c>
      <c r="H17" s="49">
        <f t="array" ref="H17">IFERROR(
SUM(
IF(
'PORTIFÓLIO'!$C$4:$C$564=$A17,
N(INDEX('PORTIFÓLIO'!$J$4:$Q$564,,MATCH(H$2,'PORTIFÓLIO'!$J$3:$Q$3,0))) *
N('PORTIFÓLIO'!$S$4:$S$564),
0
)
),
0)</f>
        <v>0</v>
      </c>
      <c r="I17" s="47">
        <f t="shared" si="8"/>
        <v>0</v>
      </c>
      <c r="J17" s="49">
        <f t="array" ref="J17">IFERROR(
SUM(
IF(
'PORTIFÓLIO'!$C$4:$C$564=$A17,
N(INDEX('PORTIFÓLIO'!$J$4:$Q$564,,MATCH(J$2,'PORTIFÓLIO'!$J$3:$Q$3,0))) *
N('PORTIFÓLIO'!$S$4:$S$564),
0
)
),
0)</f>
        <v>0</v>
      </c>
      <c r="K17" s="47">
        <f t="shared" si="9"/>
        <v>0</v>
      </c>
      <c r="L17" s="49">
        <f t="array" ref="L17">IFERROR(
SUM(
IF(
'PORTIFÓLIO'!$C$4:$C$564=$A17,
N(INDEX('PORTIFÓLIO'!$J$4:$Q$564,,MATCH(L$2,'PORTIFÓLIO'!$J$3:$Q$3,0))) *
N('PORTIFÓLIO'!$S$4:$S$564),
0
)
),
0)</f>
        <v>0</v>
      </c>
      <c r="M17" s="47">
        <f t="shared" si="10"/>
        <v>0</v>
      </c>
      <c r="N17" s="49">
        <f t="array" ref="N17">IFERROR(
SUM(
IF(
'PORTIFÓLIO'!$C$4:$C$564=$A17,
N(INDEX('PORTIFÓLIO'!$J$4:$Q$564,,MATCH(N$2,'PORTIFÓLIO'!$J$3:$Q$3,0))) *
N('PORTIFÓLIO'!$S$4:$S$564),
0
)
),
0)</f>
        <v>0</v>
      </c>
      <c r="O17" s="49">
        <f t="shared" si="11"/>
        <v>0</v>
      </c>
      <c r="P17" s="49">
        <f t="array" ref="P17">IFERROR(
SUM(
IF(
'PORTIFÓLIO'!$C$4:$C$564=$A17,
N(INDEX('PORTIFÓLIO'!$J$4:$Q$564,,MATCH(P$2,'PORTIFÓLIO'!$J$3:$Q$3,0))) *
N('PORTIFÓLIO'!$S$4:$S$564),
0
)
),
0)</f>
        <v>0</v>
      </c>
      <c r="Q17" s="49">
        <f t="shared" si="12"/>
        <v>0</v>
      </c>
      <c r="R17" s="49">
        <f t="shared" si="2"/>
        <v>0</v>
      </c>
      <c r="S17" s="49">
        <f t="shared" si="13"/>
        <v>0</v>
      </c>
    </row>
    <row r="18" hidden="1" outlineLevel="1">
      <c r="A18" s="48" t="str">
        <f>IFERROR(__xludf.DUMMYFUNCTION("""COMPUTED_VALUE"""),"10-46-00 + S")</f>
        <v>10-46-00 + S</v>
      </c>
      <c r="B18" s="49">
        <f t="array" ref="B18">IFERROR(
SUM(
IF(
'PORTIFÓLIO'!$C$4:$C$564=$A18,
N(INDEX('PORTIFÓLIO'!$J$4:$Q$564,,MATCH(B$2,'PORTIFÓLIO'!$J$3:$Q$3,0))) *
N('PORTIFÓLIO'!$S$4:$S$564),
0
)
),
0)</f>
        <v>0</v>
      </c>
      <c r="C18" s="49">
        <f t="shared" si="5"/>
        <v>0</v>
      </c>
      <c r="D18" s="49">
        <f t="array" ref="D18">IFERROR(
SUM(
IF(
'PORTIFÓLIO'!$C$4:$C$564=$A18,
N(INDEX('PORTIFÓLIO'!$J$4:$Q$564,,MATCH(D$2,'PORTIFÓLIO'!$J$3:$Q$3,0))) *
N('PORTIFÓLIO'!$S$4:$S$564),
0
)
),
0)</f>
        <v>0</v>
      </c>
      <c r="E18" s="49">
        <f t="shared" si="6"/>
        <v>0</v>
      </c>
      <c r="F18" s="49">
        <f t="array" ref="F18">IFERROR(
SUM(
IF(
'PORTIFÓLIO'!$C$4:$C$564=$A18,
N(INDEX('PORTIFÓLIO'!$J$4:$Q$564,,MATCH(F$2,'PORTIFÓLIO'!$J$3:$Q$3,0))) *
N('PORTIFÓLIO'!$S$4:$S$564),
0
)
),
0)</f>
        <v>0</v>
      </c>
      <c r="G18" s="47">
        <f t="shared" si="7"/>
        <v>0</v>
      </c>
      <c r="H18" s="49">
        <f t="array" ref="H18">IFERROR(
SUM(
IF(
'PORTIFÓLIO'!$C$4:$C$564=$A18,
N(INDEX('PORTIFÓLIO'!$J$4:$Q$564,,MATCH(H$2,'PORTIFÓLIO'!$J$3:$Q$3,0))) *
N('PORTIFÓLIO'!$S$4:$S$564),
0
)
),
0)</f>
        <v>0</v>
      </c>
      <c r="I18" s="47">
        <f t="shared" si="8"/>
        <v>0</v>
      </c>
      <c r="J18" s="49">
        <f t="array" ref="J18">IFERROR(
SUM(
IF(
'PORTIFÓLIO'!$C$4:$C$564=$A18,
N(INDEX('PORTIFÓLIO'!$J$4:$Q$564,,MATCH(J$2,'PORTIFÓLIO'!$J$3:$Q$3,0))) *
N('PORTIFÓLIO'!$S$4:$S$564),
0
)
),
0)</f>
        <v>0</v>
      </c>
      <c r="K18" s="47">
        <f t="shared" si="9"/>
        <v>0</v>
      </c>
      <c r="L18" s="49">
        <f t="array" ref="L18">IFERROR(
SUM(
IF(
'PORTIFÓLIO'!$C$4:$C$564=$A18,
N(INDEX('PORTIFÓLIO'!$J$4:$Q$564,,MATCH(L$2,'PORTIFÓLIO'!$J$3:$Q$3,0))) *
N('PORTIFÓLIO'!$S$4:$S$564),
0
)
),
0)</f>
        <v>0</v>
      </c>
      <c r="M18" s="47">
        <f t="shared" si="10"/>
        <v>0</v>
      </c>
      <c r="N18" s="49">
        <f t="array" ref="N18">IFERROR(
SUM(
IF(
'PORTIFÓLIO'!$C$4:$C$564=$A18,
N(INDEX('PORTIFÓLIO'!$J$4:$Q$564,,MATCH(N$2,'PORTIFÓLIO'!$J$3:$Q$3,0))) *
N('PORTIFÓLIO'!$S$4:$S$564),
0
)
),
0)</f>
        <v>0</v>
      </c>
      <c r="O18" s="49">
        <f t="shared" si="11"/>
        <v>0</v>
      </c>
      <c r="P18" s="49">
        <f t="array" ref="P18">IFERROR(
SUM(
IF(
'PORTIFÓLIO'!$C$4:$C$564=$A18,
N(INDEX('PORTIFÓLIO'!$J$4:$Q$564,,MATCH(P$2,'PORTIFÓLIO'!$J$3:$Q$3,0))) *
N('PORTIFÓLIO'!$S$4:$S$564),
0
)
),
0)</f>
        <v>0</v>
      </c>
      <c r="Q18" s="49">
        <f t="shared" si="12"/>
        <v>0</v>
      </c>
      <c r="R18" s="49">
        <f t="shared" si="2"/>
        <v>0</v>
      </c>
      <c r="S18" s="49">
        <f t="shared" si="13"/>
        <v>0</v>
      </c>
    </row>
    <row r="19" hidden="1" outlineLevel="1">
      <c r="A19" s="48" t="str">
        <f>IFERROR(__xludf.DUMMYFUNCTION("""COMPUTED_VALUE"""),"08-42-00")</f>
        <v>08-42-00</v>
      </c>
      <c r="B19" s="49">
        <f t="array" ref="B19">IFERROR(
SUM(
IF(
'PORTIFÓLIO'!$C$4:$C$564=$A19,
N(INDEX('PORTIFÓLIO'!$J$4:$Q$564,,MATCH(B$2,'PORTIFÓLIO'!$J$3:$Q$3,0))) *
N('PORTIFÓLIO'!$S$4:$S$564),
0
)
),
0)</f>
        <v>0</v>
      </c>
      <c r="C19" s="49">
        <f t="shared" si="5"/>
        <v>0</v>
      </c>
      <c r="D19" s="49">
        <f t="array" ref="D19">IFERROR(
SUM(
IF(
'PORTIFÓLIO'!$C$4:$C$564=$A19,
N(INDEX('PORTIFÓLIO'!$J$4:$Q$564,,MATCH(D$2,'PORTIFÓLIO'!$J$3:$Q$3,0))) *
N('PORTIFÓLIO'!$S$4:$S$564),
0
)
),
0)</f>
        <v>0</v>
      </c>
      <c r="E19" s="49">
        <f t="shared" si="6"/>
        <v>0</v>
      </c>
      <c r="F19" s="49">
        <f t="array" ref="F19">IFERROR(
SUM(
IF(
'PORTIFÓLIO'!$C$4:$C$564=$A19,
N(INDEX('PORTIFÓLIO'!$J$4:$Q$564,,MATCH(F$2,'PORTIFÓLIO'!$J$3:$Q$3,0))) *
N('PORTIFÓLIO'!$S$4:$S$564),
0
)
),
0)</f>
        <v>0</v>
      </c>
      <c r="G19" s="47">
        <f t="shared" si="7"/>
        <v>0</v>
      </c>
      <c r="H19" s="49">
        <f t="array" ref="H19">IFERROR(
SUM(
IF(
'PORTIFÓLIO'!$C$4:$C$564=$A19,
N(INDEX('PORTIFÓLIO'!$J$4:$Q$564,,MATCH(H$2,'PORTIFÓLIO'!$J$3:$Q$3,0))) *
N('PORTIFÓLIO'!$S$4:$S$564),
0
)
),
0)</f>
        <v>0</v>
      </c>
      <c r="I19" s="47">
        <f t="shared" si="8"/>
        <v>0</v>
      </c>
      <c r="J19" s="49">
        <f t="array" ref="J19">IFERROR(
SUM(
IF(
'PORTIFÓLIO'!$C$4:$C$564=$A19,
N(INDEX('PORTIFÓLIO'!$J$4:$Q$564,,MATCH(J$2,'PORTIFÓLIO'!$J$3:$Q$3,0))) *
N('PORTIFÓLIO'!$S$4:$S$564),
0
)
),
0)</f>
        <v>0</v>
      </c>
      <c r="K19" s="47">
        <f t="shared" si="9"/>
        <v>0</v>
      </c>
      <c r="L19" s="49">
        <f t="array" ref="L19">IFERROR(
SUM(
IF(
'PORTIFÓLIO'!$C$4:$C$564=$A19,
N(INDEX('PORTIFÓLIO'!$J$4:$Q$564,,MATCH(L$2,'PORTIFÓLIO'!$J$3:$Q$3,0))) *
N('PORTIFÓLIO'!$S$4:$S$564),
0
)
),
0)</f>
        <v>0</v>
      </c>
      <c r="M19" s="47">
        <f t="shared" si="10"/>
        <v>0</v>
      </c>
      <c r="N19" s="49">
        <f t="array" ref="N19">IFERROR(
SUM(
IF(
'PORTIFÓLIO'!$C$4:$C$564=$A19,
N(INDEX('PORTIFÓLIO'!$J$4:$Q$564,,MATCH(N$2,'PORTIFÓLIO'!$J$3:$Q$3,0))) *
N('PORTIFÓLIO'!$S$4:$S$564),
0
)
),
0)</f>
        <v>0</v>
      </c>
      <c r="O19" s="49">
        <f t="shared" si="11"/>
        <v>0</v>
      </c>
      <c r="P19" s="49">
        <f t="array" ref="P19">IFERROR(
SUM(
IF(
'PORTIFÓLIO'!$C$4:$C$564=$A19,
N(INDEX('PORTIFÓLIO'!$J$4:$Q$564,,MATCH(P$2,'PORTIFÓLIO'!$J$3:$Q$3,0))) *
N('PORTIFÓLIO'!$S$4:$S$564),
0
)
),
0)</f>
        <v>0</v>
      </c>
      <c r="Q19" s="49">
        <f t="shared" si="12"/>
        <v>0</v>
      </c>
      <c r="R19" s="49">
        <f t="shared" si="2"/>
        <v>0</v>
      </c>
      <c r="S19" s="49">
        <f t="shared" si="13"/>
        <v>0</v>
      </c>
    </row>
    <row r="20" hidden="1" outlineLevel="1">
      <c r="A20" s="48" t="str">
        <f>IFERROR(__xludf.DUMMYFUNCTION("""COMPUTED_VALUE"""),"SSP 21")</f>
        <v>SSP 21</v>
      </c>
      <c r="B20" s="49">
        <f t="array" ref="B20">IFERROR(
SUM(
IF(
'PORTIFÓLIO'!$C$4:$C$564=$A20,
N(INDEX('PORTIFÓLIO'!$J$4:$Q$564,,MATCH(B$2,'PORTIFÓLIO'!$J$3:$Q$3,0))) *
N('PORTIFÓLIO'!$S$4:$S$564),
0
)
),
0)</f>
        <v>0</v>
      </c>
      <c r="C20" s="49">
        <f t="shared" si="5"/>
        <v>0</v>
      </c>
      <c r="D20" s="49">
        <f t="array" ref="D20">IFERROR(
SUM(
IF(
'PORTIFÓLIO'!$C$4:$C$564=$A20,
N(INDEX('PORTIFÓLIO'!$J$4:$Q$564,,MATCH(D$2,'PORTIFÓLIO'!$J$3:$Q$3,0))) *
N('PORTIFÓLIO'!$S$4:$S$564),
0
)
),
0)</f>
        <v>0</v>
      </c>
      <c r="E20" s="49">
        <f t="shared" si="6"/>
        <v>0</v>
      </c>
      <c r="F20" s="49">
        <f t="array" ref="F20">IFERROR(
SUM(
IF(
'PORTIFÓLIO'!$C$4:$C$564=$A20,
N(INDEX('PORTIFÓLIO'!$J$4:$Q$564,,MATCH(F$2,'PORTIFÓLIO'!$J$3:$Q$3,0))) *
N('PORTIFÓLIO'!$S$4:$S$564),
0
)
),
0)</f>
        <v>0</v>
      </c>
      <c r="G20" s="47">
        <f t="shared" si="7"/>
        <v>0</v>
      </c>
      <c r="H20" s="49">
        <f t="array" ref="H20">IFERROR(
SUM(
IF(
'PORTIFÓLIO'!$C$4:$C$564=$A20,
N(INDEX('PORTIFÓLIO'!$J$4:$Q$564,,MATCH(H$2,'PORTIFÓLIO'!$J$3:$Q$3,0))) *
N('PORTIFÓLIO'!$S$4:$S$564),
0
)
),
0)</f>
        <v>0</v>
      </c>
      <c r="I20" s="47">
        <f t="shared" si="8"/>
        <v>0</v>
      </c>
      <c r="J20" s="49">
        <f t="array" ref="J20">IFERROR(
SUM(
IF(
'PORTIFÓLIO'!$C$4:$C$564=$A20,
N(INDEX('PORTIFÓLIO'!$J$4:$Q$564,,MATCH(J$2,'PORTIFÓLIO'!$J$3:$Q$3,0))) *
N('PORTIFÓLIO'!$S$4:$S$564),
0
)
),
0)</f>
        <v>0</v>
      </c>
      <c r="K20" s="47">
        <f t="shared" si="9"/>
        <v>0</v>
      </c>
      <c r="L20" s="49">
        <f t="array" ref="L20">IFERROR(
SUM(
IF(
'PORTIFÓLIO'!$C$4:$C$564=$A20,
N(INDEX('PORTIFÓLIO'!$J$4:$Q$564,,MATCH(L$2,'PORTIFÓLIO'!$J$3:$Q$3,0))) *
N('PORTIFÓLIO'!$S$4:$S$564),
0
)
),
0)</f>
        <v>0</v>
      </c>
      <c r="M20" s="47">
        <f t="shared" si="10"/>
        <v>0</v>
      </c>
      <c r="N20" s="49">
        <f t="array" ref="N20">IFERROR(
SUM(
IF(
'PORTIFÓLIO'!$C$4:$C$564=$A20,
N(INDEX('PORTIFÓLIO'!$J$4:$Q$564,,MATCH(N$2,'PORTIFÓLIO'!$J$3:$Q$3,0))) *
N('PORTIFÓLIO'!$S$4:$S$564),
0
)
),
0)</f>
        <v>0</v>
      </c>
      <c r="O20" s="49">
        <f t="shared" si="11"/>
        <v>0</v>
      </c>
      <c r="P20" s="49">
        <f t="array" ref="P20">IFERROR(
SUM(
IF(
'PORTIFÓLIO'!$C$4:$C$564=$A20,
N(INDEX('PORTIFÓLIO'!$J$4:$Q$564,,MATCH(P$2,'PORTIFÓLIO'!$J$3:$Q$3,0))) *
N('PORTIFÓLIO'!$S$4:$S$564),
0
)
),
0)</f>
        <v>0</v>
      </c>
      <c r="Q20" s="49">
        <f t="shared" si="12"/>
        <v>0</v>
      </c>
      <c r="R20" s="49">
        <f t="shared" si="2"/>
        <v>0</v>
      </c>
      <c r="S20" s="49">
        <f t="shared" si="13"/>
        <v>0</v>
      </c>
    </row>
    <row r="21" ht="15.75" hidden="1" customHeight="1" outlineLevel="1">
      <c r="A21" s="48" t="str">
        <f>IFERROR(__xludf.DUMMYFUNCTION("""COMPUTED_VALUE"""),"03-15-07 +14%CO")</f>
        <v>03-15-07 +14%CO</v>
      </c>
      <c r="B21" s="49">
        <f t="array" ref="B21">IFERROR(
SUM(
IF(
'PORTIFÓLIO'!$C$4:$C$564=$A21,
N(INDEX('PORTIFÓLIO'!$J$4:$Q$564,,MATCH(B$2,'PORTIFÓLIO'!$J$3:$Q$3,0))) *
N('PORTIFÓLIO'!$S$4:$S$564),
0
)
),
0)</f>
        <v>0</v>
      </c>
      <c r="C21" s="49">
        <f t="shared" si="5"/>
        <v>0</v>
      </c>
      <c r="D21" s="49">
        <f t="array" ref="D21">IFERROR(
SUM(
IF(
'PORTIFÓLIO'!$C$4:$C$564=$A21,
N(INDEX('PORTIFÓLIO'!$J$4:$Q$564,,MATCH(D$2,'PORTIFÓLIO'!$J$3:$Q$3,0))) *
N('PORTIFÓLIO'!$S$4:$S$564),
0
)
),
0)</f>
        <v>0</v>
      </c>
      <c r="E21" s="49">
        <f t="shared" si="6"/>
        <v>0</v>
      </c>
      <c r="F21" s="49">
        <f t="array" ref="F21">IFERROR(
SUM(
IF(
'PORTIFÓLIO'!$C$4:$C$564=$A21,
N(INDEX('PORTIFÓLIO'!$J$4:$Q$564,,MATCH(F$2,'PORTIFÓLIO'!$J$3:$Q$3,0))) *
N('PORTIFÓLIO'!$S$4:$S$564),
0
)
),
0)</f>
        <v>0</v>
      </c>
      <c r="G21" s="47">
        <f t="shared" si="7"/>
        <v>0</v>
      </c>
      <c r="H21" s="49">
        <f t="array" ref="H21">IFERROR(
SUM(
IF(
'PORTIFÓLIO'!$C$4:$C$564=$A21,
N(INDEX('PORTIFÓLIO'!$J$4:$Q$564,,MATCH(H$2,'PORTIFÓLIO'!$J$3:$Q$3,0))) *
N('PORTIFÓLIO'!$S$4:$S$564),
0
)
),
0)</f>
        <v>0</v>
      </c>
      <c r="I21" s="47">
        <f t="shared" si="8"/>
        <v>0</v>
      </c>
      <c r="J21" s="49">
        <f t="array" ref="J21">IFERROR(
SUM(
IF(
'PORTIFÓLIO'!$C$4:$C$564=$A21,
N(INDEX('PORTIFÓLIO'!$J$4:$Q$564,,MATCH(J$2,'PORTIFÓLIO'!$J$3:$Q$3,0))) *
N('PORTIFÓLIO'!$S$4:$S$564),
0
)
),
0)</f>
        <v>0</v>
      </c>
      <c r="K21" s="47">
        <f t="shared" si="9"/>
        <v>0</v>
      </c>
      <c r="L21" s="49">
        <f t="array" ref="L21">IFERROR(
SUM(
IF(
'PORTIFÓLIO'!$C$4:$C$564=$A21,
N(INDEX('PORTIFÓLIO'!$J$4:$Q$564,,MATCH(L$2,'PORTIFÓLIO'!$J$3:$Q$3,0))) *
N('PORTIFÓLIO'!$S$4:$S$564),
0
)
),
0)</f>
        <v>0</v>
      </c>
      <c r="M21" s="47">
        <f t="shared" si="10"/>
        <v>0</v>
      </c>
      <c r="N21" s="49">
        <f t="array" ref="N21">IFERROR(
SUM(
IF(
'PORTIFÓLIO'!$C$4:$C$564=$A21,
N(INDEX('PORTIFÓLIO'!$J$4:$Q$564,,MATCH(N$2,'PORTIFÓLIO'!$J$3:$Q$3,0))) *
N('PORTIFÓLIO'!$S$4:$S$564),
0
)
),
0)</f>
        <v>0</v>
      </c>
      <c r="O21" s="49">
        <f t="shared" si="11"/>
        <v>0</v>
      </c>
      <c r="P21" s="49">
        <f t="array" ref="P21">IFERROR(
SUM(
IF(
'PORTIFÓLIO'!$C$4:$C$564=$A21,
N(INDEX('PORTIFÓLIO'!$J$4:$Q$564,,MATCH(P$2,'PORTIFÓLIO'!$J$3:$Q$3,0))) *
N('PORTIFÓLIO'!$S$4:$S$564),
0
)
),
0)</f>
        <v>0</v>
      </c>
      <c r="Q21" s="49">
        <f t="shared" si="12"/>
        <v>0</v>
      </c>
      <c r="R21" s="49">
        <f t="shared" si="2"/>
        <v>0</v>
      </c>
      <c r="S21" s="49">
        <f t="shared" si="13"/>
        <v>0</v>
      </c>
    </row>
    <row r="22" ht="15.75" hidden="1" customHeight="1" outlineLevel="1">
      <c r="A22" s="48" t="str">
        <f>IFERROR(__xludf.DUMMYFUNCTION("""COMPUTED_VALUE"""),"URÉIA")</f>
        <v>URÉIA</v>
      </c>
      <c r="B22" s="49">
        <f t="array" ref="B22">IFERROR(
SUM(
IF(
'PORTIFÓLIO'!$C$4:$C$564=$A22,
N(INDEX('PORTIFÓLIO'!$J$4:$Q$564,,MATCH(B$2,'PORTIFÓLIO'!$J$3:$Q$3,0))) *
N('PORTIFÓLIO'!$S$4:$S$564),
0
)
),
0)</f>
        <v>0</v>
      </c>
      <c r="C22" s="49">
        <f t="shared" si="5"/>
        <v>0</v>
      </c>
      <c r="D22" s="49">
        <f t="array" ref="D22">IFERROR(
SUM(
IF(
'PORTIFÓLIO'!$C$4:$C$564=$A22,
N(INDEX('PORTIFÓLIO'!$J$4:$Q$564,,MATCH(D$2,'PORTIFÓLIO'!$J$3:$Q$3,0))) *
N('PORTIFÓLIO'!$S$4:$S$564),
0
)
),
0)</f>
        <v>0</v>
      </c>
      <c r="E22" s="49">
        <f t="shared" si="6"/>
        <v>0</v>
      </c>
      <c r="F22" s="49">
        <f t="array" ref="F22">IFERROR(
SUM(
IF(
'PORTIFÓLIO'!$C$4:$C$564=$A22,
N(INDEX('PORTIFÓLIO'!$J$4:$Q$564,,MATCH(F$2,'PORTIFÓLIO'!$J$3:$Q$3,0))) *
N('PORTIFÓLIO'!$S$4:$S$564),
0
)
),
0)</f>
        <v>0</v>
      </c>
      <c r="G22" s="47">
        <f t="shared" si="7"/>
        <v>0</v>
      </c>
      <c r="H22" s="49">
        <f t="array" ref="H22">IFERROR(
SUM(
IF(
'PORTIFÓLIO'!$C$4:$C$564=$A22,
N(INDEX('PORTIFÓLIO'!$J$4:$Q$564,,MATCH(H$2,'PORTIFÓLIO'!$J$3:$Q$3,0))) *
N('PORTIFÓLIO'!$S$4:$S$564),
0
)
),
0)</f>
        <v>0</v>
      </c>
      <c r="I22" s="47">
        <f t="shared" si="8"/>
        <v>0</v>
      </c>
      <c r="J22" s="49">
        <f t="array" ref="J22">IFERROR(
SUM(
IF(
'PORTIFÓLIO'!$C$4:$C$564=$A22,
N(INDEX('PORTIFÓLIO'!$J$4:$Q$564,,MATCH(J$2,'PORTIFÓLIO'!$J$3:$Q$3,0))) *
N('PORTIFÓLIO'!$S$4:$S$564),
0
)
),
0)</f>
        <v>0</v>
      </c>
      <c r="K22" s="47">
        <f t="shared" si="9"/>
        <v>0</v>
      </c>
      <c r="L22" s="49">
        <f t="array" ref="L22">IFERROR(
SUM(
IF(
'PORTIFÓLIO'!$C$4:$C$564=$A22,
N(INDEX('PORTIFÓLIO'!$J$4:$Q$564,,MATCH(L$2,'PORTIFÓLIO'!$J$3:$Q$3,0))) *
N('PORTIFÓLIO'!$S$4:$S$564),
0
)
),
0)</f>
        <v>0</v>
      </c>
      <c r="M22" s="47">
        <f t="shared" si="10"/>
        <v>0</v>
      </c>
      <c r="N22" s="49">
        <f t="array" ref="N22">IFERROR(
SUM(
IF(
'PORTIFÓLIO'!$C$4:$C$564=$A22,
N(INDEX('PORTIFÓLIO'!$J$4:$Q$564,,MATCH(N$2,'PORTIFÓLIO'!$J$3:$Q$3,0))) *
N('PORTIFÓLIO'!$S$4:$S$564),
0
)
),
0)</f>
        <v>0</v>
      </c>
      <c r="O22" s="49">
        <f t="shared" si="11"/>
        <v>0</v>
      </c>
      <c r="P22" s="49">
        <f t="array" ref="P22">IFERROR(
SUM(
IF(
'PORTIFÓLIO'!$C$4:$C$564=$A22,
N(INDEX('PORTIFÓLIO'!$J$4:$Q$564,,MATCH(P$2,'PORTIFÓLIO'!$J$3:$Q$3,0))) *
N('PORTIFÓLIO'!$S$4:$S$564),
0
)
),
0)</f>
        <v>0</v>
      </c>
      <c r="Q22" s="49">
        <f t="shared" si="12"/>
        <v>0</v>
      </c>
      <c r="R22" s="49">
        <f t="shared" si="2"/>
        <v>0</v>
      </c>
      <c r="S22" s="49">
        <f t="shared" si="13"/>
        <v>0</v>
      </c>
    </row>
    <row r="23" ht="15.75" hidden="1" customHeight="1" outlineLevel="1">
      <c r="A23" s="48" t="str">
        <f>IFERROR(__xludf.DUMMYFUNCTION("""COMPUTED_VALUE"""),"SULFATO DE AMÔNIO")</f>
        <v>SULFATO DE AMÔNIO</v>
      </c>
      <c r="B23" s="49">
        <f t="array" ref="B23">IFERROR(
SUM(
IF(
'PORTIFÓLIO'!$C$4:$C$564=$A23,
N(INDEX('PORTIFÓLIO'!$J$4:$Q$564,,MATCH(B$2,'PORTIFÓLIO'!$J$3:$Q$3,0))) *
N('PORTIFÓLIO'!$S$4:$S$564),
0
)
),
0)</f>
        <v>0</v>
      </c>
      <c r="C23" s="49">
        <f t="shared" si="5"/>
        <v>0</v>
      </c>
      <c r="D23" s="49">
        <f t="array" ref="D23">IFERROR(
SUM(
IF(
'PORTIFÓLIO'!$C$4:$C$564=$A23,
N(INDEX('PORTIFÓLIO'!$J$4:$Q$564,,MATCH(D$2,'PORTIFÓLIO'!$J$3:$Q$3,0))) *
N('PORTIFÓLIO'!$S$4:$S$564),
0
)
),
0)</f>
        <v>0</v>
      </c>
      <c r="E23" s="49">
        <f t="shared" si="6"/>
        <v>0</v>
      </c>
      <c r="F23" s="49">
        <f t="array" ref="F23">IFERROR(
SUM(
IF(
'PORTIFÓLIO'!$C$4:$C$564=$A23,
N(INDEX('PORTIFÓLIO'!$J$4:$Q$564,,MATCH(F$2,'PORTIFÓLIO'!$J$3:$Q$3,0))) *
N('PORTIFÓLIO'!$S$4:$S$564),
0
)
),
0)</f>
        <v>0</v>
      </c>
      <c r="G23" s="47">
        <f t="shared" si="7"/>
        <v>0</v>
      </c>
      <c r="H23" s="49">
        <f t="array" ref="H23">IFERROR(
SUM(
IF(
'PORTIFÓLIO'!$C$4:$C$564=$A23,
N(INDEX('PORTIFÓLIO'!$J$4:$Q$564,,MATCH(H$2,'PORTIFÓLIO'!$J$3:$Q$3,0))) *
N('PORTIFÓLIO'!$S$4:$S$564),
0
)
),
0)</f>
        <v>0</v>
      </c>
      <c r="I23" s="47">
        <f t="shared" si="8"/>
        <v>0</v>
      </c>
      <c r="J23" s="49">
        <f t="array" ref="J23">IFERROR(
SUM(
IF(
'PORTIFÓLIO'!$C$4:$C$564=$A23,
N(INDEX('PORTIFÓLIO'!$J$4:$Q$564,,MATCH(J$2,'PORTIFÓLIO'!$J$3:$Q$3,0))) *
N('PORTIFÓLIO'!$S$4:$S$564),
0
)
),
0)</f>
        <v>0</v>
      </c>
      <c r="K23" s="47">
        <f t="shared" si="9"/>
        <v>0</v>
      </c>
      <c r="L23" s="49">
        <f t="array" ref="L23">IFERROR(
SUM(
IF(
'PORTIFÓLIO'!$C$4:$C$564=$A23,
N(INDEX('PORTIFÓLIO'!$J$4:$Q$564,,MATCH(L$2,'PORTIFÓLIO'!$J$3:$Q$3,0))) *
N('PORTIFÓLIO'!$S$4:$S$564),
0
)
),
0)</f>
        <v>0</v>
      </c>
      <c r="M23" s="47">
        <f t="shared" si="10"/>
        <v>0</v>
      </c>
      <c r="N23" s="49">
        <f t="array" ref="N23">IFERROR(
SUM(
IF(
'PORTIFÓLIO'!$C$4:$C$564=$A23,
N(INDEX('PORTIFÓLIO'!$J$4:$Q$564,,MATCH(N$2,'PORTIFÓLIO'!$J$3:$Q$3,0))) *
N('PORTIFÓLIO'!$S$4:$S$564),
0
)
),
0)</f>
        <v>0</v>
      </c>
      <c r="O23" s="49">
        <f t="shared" si="11"/>
        <v>0</v>
      </c>
      <c r="P23" s="49">
        <f t="array" ref="P23">IFERROR(
SUM(
IF(
'PORTIFÓLIO'!$C$4:$C$564=$A23,
N(INDEX('PORTIFÓLIO'!$J$4:$Q$564,,MATCH(P$2,'PORTIFÓLIO'!$J$3:$Q$3,0))) *
N('PORTIFÓLIO'!$S$4:$S$564),
0
)
),
0)</f>
        <v>0</v>
      </c>
      <c r="Q23" s="49">
        <f t="shared" si="12"/>
        <v>0</v>
      </c>
      <c r="R23" s="49">
        <f t="shared" si="2"/>
        <v>0</v>
      </c>
      <c r="S23" s="49">
        <f t="shared" si="13"/>
        <v>0</v>
      </c>
    </row>
    <row r="24" ht="15.75" hidden="1" customHeight="1" outlineLevel="1">
      <c r="A24" s="48" t="str">
        <f>IFERROR(__xludf.DUMMYFUNCTION("""COMPUTED_VALUE"""),"BOROGRAN")</f>
        <v>BOROGRAN</v>
      </c>
      <c r="B24" s="49">
        <f t="array" ref="B24">IFERROR(
SUM(
IF(
'PORTIFÓLIO'!$C$4:$C$564=$A24,
N(INDEX('PORTIFÓLIO'!$J$4:$Q$564,,MATCH(B$2,'PORTIFÓLIO'!$J$3:$Q$3,0))) *
N('PORTIFÓLIO'!$S$4:$S$564),
0
)
),
0)</f>
        <v>0</v>
      </c>
      <c r="C24" s="49">
        <f t="shared" si="5"/>
        <v>0</v>
      </c>
      <c r="D24" s="49">
        <f t="array" ref="D24">IFERROR(
SUM(
IF(
'PORTIFÓLIO'!$C$4:$C$564=$A24,
N(INDEX('PORTIFÓLIO'!$J$4:$Q$564,,MATCH(D$2,'PORTIFÓLIO'!$J$3:$Q$3,0))) *
N('PORTIFÓLIO'!$S$4:$S$564),
0
)
),
0)</f>
        <v>0</v>
      </c>
      <c r="E24" s="49">
        <f t="shared" si="6"/>
        <v>0</v>
      </c>
      <c r="F24" s="49">
        <f t="array" ref="F24">IFERROR(
SUM(
IF(
'PORTIFÓLIO'!$C$4:$C$564=$A24,
N(INDEX('PORTIFÓLIO'!$J$4:$Q$564,,MATCH(F$2,'PORTIFÓLIO'!$J$3:$Q$3,0))) *
N('PORTIFÓLIO'!$S$4:$S$564),
0
)
),
0)</f>
        <v>0</v>
      </c>
      <c r="G24" s="47">
        <f t="shared" si="7"/>
        <v>0</v>
      </c>
      <c r="H24" s="49">
        <f t="array" ref="H24">IFERROR(
SUM(
IF(
'PORTIFÓLIO'!$C$4:$C$564=$A24,
N(INDEX('PORTIFÓLIO'!$J$4:$Q$564,,MATCH(H$2,'PORTIFÓLIO'!$J$3:$Q$3,0))) *
N('PORTIFÓLIO'!$S$4:$S$564),
0
)
),
0)</f>
        <v>0</v>
      </c>
      <c r="I24" s="47">
        <f t="shared" si="8"/>
        <v>0</v>
      </c>
      <c r="J24" s="49">
        <f t="array" ref="J24">IFERROR(
SUM(
IF(
'PORTIFÓLIO'!$C$4:$C$564=$A24,
N(INDEX('PORTIFÓLIO'!$J$4:$Q$564,,MATCH(J$2,'PORTIFÓLIO'!$J$3:$Q$3,0))) *
N('PORTIFÓLIO'!$S$4:$S$564),
0
)
),
0)</f>
        <v>0</v>
      </c>
      <c r="K24" s="47">
        <f t="shared" si="9"/>
        <v>0</v>
      </c>
      <c r="L24" s="49">
        <f t="array" ref="L24">IFERROR(
SUM(
IF(
'PORTIFÓLIO'!$C$4:$C$564=$A24,
N(INDEX('PORTIFÓLIO'!$J$4:$Q$564,,MATCH(L$2,'PORTIFÓLIO'!$J$3:$Q$3,0))) *
N('PORTIFÓLIO'!$S$4:$S$564),
0
)
),
0)</f>
        <v>0</v>
      </c>
      <c r="M24" s="47">
        <f t="shared" si="10"/>
        <v>0</v>
      </c>
      <c r="N24" s="49">
        <f t="array" ref="N24">IFERROR(
SUM(
IF(
'PORTIFÓLIO'!$C$4:$C$564=$A24,
N(INDEX('PORTIFÓLIO'!$J$4:$Q$564,,MATCH(N$2,'PORTIFÓLIO'!$J$3:$Q$3,0))) *
N('PORTIFÓLIO'!$S$4:$S$564),
0
)
),
0)</f>
        <v>0</v>
      </c>
      <c r="O24" s="49">
        <f t="shared" si="11"/>
        <v>0</v>
      </c>
      <c r="P24" s="49">
        <f t="array" ref="P24">IFERROR(
SUM(
IF(
'PORTIFÓLIO'!$C$4:$C$564=$A24,
N(INDEX('PORTIFÓLIO'!$J$4:$Q$564,,MATCH(P$2,'PORTIFÓLIO'!$J$3:$Q$3,0))) *
N('PORTIFÓLIO'!$S$4:$S$564),
0
)
),
0)</f>
        <v>0</v>
      </c>
      <c r="Q24" s="49">
        <f t="shared" si="12"/>
        <v>0</v>
      </c>
      <c r="R24" s="49">
        <f t="shared" si="2"/>
        <v>0</v>
      </c>
      <c r="S24" s="49">
        <f t="shared" si="13"/>
        <v>0</v>
      </c>
    </row>
    <row r="25" ht="15.75" hidden="1" customHeight="1" outlineLevel="1">
      <c r="A25" s="48" t="str">
        <f>IFERROR(__xludf.DUMMYFUNCTION("""COMPUTED_VALUE"""),"SUPER DUO")</f>
        <v>SUPER DUO</v>
      </c>
      <c r="B25" s="49">
        <f t="array" ref="B25">IFERROR(
SUM(
IF(
'PORTIFÓLIO'!$C$4:$C$564=$A25,
N(INDEX('PORTIFÓLIO'!$J$4:$Q$564,,MATCH(B$2,'PORTIFÓLIO'!$J$3:$Q$3,0))) *
N('PORTIFÓLIO'!$S$4:$S$564),
0
)
),
0)</f>
        <v>0</v>
      </c>
      <c r="C25" s="49">
        <f t="shared" si="5"/>
        <v>0</v>
      </c>
      <c r="D25" s="49">
        <f t="array" ref="D25">IFERROR(
SUM(
IF(
'PORTIFÓLIO'!$C$4:$C$564=$A25,
N(INDEX('PORTIFÓLIO'!$J$4:$Q$564,,MATCH(D$2,'PORTIFÓLIO'!$J$3:$Q$3,0))) *
N('PORTIFÓLIO'!$S$4:$S$564),
0
)
),
0)</f>
        <v>0</v>
      </c>
      <c r="E25" s="49">
        <f t="shared" si="6"/>
        <v>0</v>
      </c>
      <c r="F25" s="49">
        <f t="array" ref="F25">IFERROR(
SUM(
IF(
'PORTIFÓLIO'!$C$4:$C$564=$A25,
N(INDEX('PORTIFÓLIO'!$J$4:$Q$564,,MATCH(F$2,'PORTIFÓLIO'!$J$3:$Q$3,0))) *
N('PORTIFÓLIO'!$S$4:$S$564),
0
)
),
0)</f>
        <v>0</v>
      </c>
      <c r="G25" s="47">
        <f t="shared" si="7"/>
        <v>0</v>
      </c>
      <c r="H25" s="49">
        <f t="array" ref="H25">IFERROR(
SUM(
IF(
'PORTIFÓLIO'!$C$4:$C$564=$A25,
N(INDEX('PORTIFÓLIO'!$J$4:$Q$564,,MATCH(H$2,'PORTIFÓLIO'!$J$3:$Q$3,0))) *
N('PORTIFÓLIO'!$S$4:$S$564),
0
)
),
0)</f>
        <v>0</v>
      </c>
      <c r="I25" s="47">
        <f t="shared" si="8"/>
        <v>0</v>
      </c>
      <c r="J25" s="49">
        <f t="array" ref="J25">IFERROR(
SUM(
IF(
'PORTIFÓLIO'!$C$4:$C$564=$A25,
N(INDEX('PORTIFÓLIO'!$J$4:$Q$564,,MATCH(J$2,'PORTIFÓLIO'!$J$3:$Q$3,0))) *
N('PORTIFÓLIO'!$S$4:$S$564),
0
)
),
0)</f>
        <v>0</v>
      </c>
      <c r="K25" s="47">
        <f t="shared" si="9"/>
        <v>0</v>
      </c>
      <c r="L25" s="49">
        <f t="array" ref="L25">IFERROR(
SUM(
IF(
'PORTIFÓLIO'!$C$4:$C$564=$A25,
N(INDEX('PORTIFÓLIO'!$J$4:$Q$564,,MATCH(L$2,'PORTIFÓLIO'!$J$3:$Q$3,0))) *
N('PORTIFÓLIO'!$S$4:$S$564),
0
)
),
0)</f>
        <v>0</v>
      </c>
      <c r="M25" s="47">
        <f t="shared" si="10"/>
        <v>0</v>
      </c>
      <c r="N25" s="49">
        <f t="array" ref="N25">IFERROR(
SUM(
IF(
'PORTIFÓLIO'!$C$4:$C$564=$A25,
N(INDEX('PORTIFÓLIO'!$J$4:$Q$564,,MATCH(N$2,'PORTIFÓLIO'!$J$3:$Q$3,0))) *
N('PORTIFÓLIO'!$S$4:$S$564),
0
)
),
0)</f>
        <v>0</v>
      </c>
      <c r="O25" s="49">
        <f t="shared" si="11"/>
        <v>0</v>
      </c>
      <c r="P25" s="49">
        <f t="array" ref="P25">IFERROR(
SUM(
IF(
'PORTIFÓLIO'!$C$4:$C$564=$A25,
N(INDEX('PORTIFÓLIO'!$J$4:$Q$564,,MATCH(P$2,'PORTIFÓLIO'!$J$3:$Q$3,0))) *
N('PORTIFÓLIO'!$S$4:$S$564),
0
)
),
0)</f>
        <v>0</v>
      </c>
      <c r="Q25" s="49">
        <f t="shared" si="12"/>
        <v>0</v>
      </c>
      <c r="R25" s="49">
        <f t="shared" si="2"/>
        <v>0</v>
      </c>
      <c r="S25" s="49">
        <f t="shared" si="13"/>
        <v>0</v>
      </c>
    </row>
    <row r="26" ht="15.75" hidden="1" customHeight="1" outlineLevel="1">
      <c r="A26" s="48" t="str">
        <f>IFERROR(__xludf.DUMMYFUNCTION("""COMPUTED_VALUE"""),"08-40-00 - 100M")</f>
        <v>08-40-00 - 100M</v>
      </c>
      <c r="B26" s="49">
        <f t="array" ref="B26">IFERROR(
SUM(
IF(
'PORTIFÓLIO'!$C$4:$C$564=$A26,
N(INDEX('PORTIFÓLIO'!$J$4:$Q$564,,MATCH(B$2,'PORTIFÓLIO'!$J$3:$Q$3,0))) *
N('PORTIFÓLIO'!$S$4:$S$564),
0
)
),
0)</f>
        <v>0</v>
      </c>
      <c r="C26" s="49">
        <f t="shared" si="5"/>
        <v>0</v>
      </c>
      <c r="D26" s="49">
        <f t="array" ref="D26">IFERROR(
SUM(
IF(
'PORTIFÓLIO'!$C$4:$C$564=$A26,
N(INDEX('PORTIFÓLIO'!$J$4:$Q$564,,MATCH(D$2,'PORTIFÓLIO'!$J$3:$Q$3,0))) *
N('PORTIFÓLIO'!$S$4:$S$564),
0
)
),
0)</f>
        <v>0</v>
      </c>
      <c r="E26" s="49">
        <f t="shared" si="6"/>
        <v>0</v>
      </c>
      <c r="F26" s="49">
        <f t="array" ref="F26">IFERROR(
SUM(
IF(
'PORTIFÓLIO'!$C$4:$C$564=$A26,
N(INDEX('PORTIFÓLIO'!$J$4:$Q$564,,MATCH(F$2,'PORTIFÓLIO'!$J$3:$Q$3,0))) *
N('PORTIFÓLIO'!$S$4:$S$564),
0
)
),
0)</f>
        <v>0</v>
      </c>
      <c r="G26" s="47">
        <f t="shared" si="7"/>
        <v>0</v>
      </c>
      <c r="H26" s="49">
        <f t="array" ref="H26">IFERROR(
SUM(
IF(
'PORTIFÓLIO'!$C$4:$C$564=$A26,
N(INDEX('PORTIFÓLIO'!$J$4:$Q$564,,MATCH(H$2,'PORTIFÓLIO'!$J$3:$Q$3,0))) *
N('PORTIFÓLIO'!$S$4:$S$564),
0
)
),
0)</f>
        <v>0</v>
      </c>
      <c r="I26" s="47">
        <f t="shared" si="8"/>
        <v>0</v>
      </c>
      <c r="J26" s="49">
        <f t="array" ref="J26">IFERROR(
SUM(
IF(
'PORTIFÓLIO'!$C$4:$C$564=$A26,
N(INDEX('PORTIFÓLIO'!$J$4:$Q$564,,MATCH(J$2,'PORTIFÓLIO'!$J$3:$Q$3,0))) *
N('PORTIFÓLIO'!$S$4:$S$564),
0
)
),
0)</f>
        <v>0</v>
      </c>
      <c r="K26" s="47">
        <f t="shared" si="9"/>
        <v>0</v>
      </c>
      <c r="L26" s="49">
        <f t="array" ref="L26">IFERROR(
SUM(
IF(
'PORTIFÓLIO'!$C$4:$C$564=$A26,
N(INDEX('PORTIFÓLIO'!$J$4:$Q$564,,MATCH(L$2,'PORTIFÓLIO'!$J$3:$Q$3,0))) *
N('PORTIFÓLIO'!$S$4:$S$564),
0
)
),
0)</f>
        <v>0</v>
      </c>
      <c r="M26" s="47">
        <f t="shared" si="10"/>
        <v>0</v>
      </c>
      <c r="N26" s="49">
        <f t="array" ref="N26">IFERROR(
SUM(
IF(
'PORTIFÓLIO'!$C$4:$C$564=$A26,
N(INDEX('PORTIFÓLIO'!$J$4:$Q$564,,MATCH(N$2,'PORTIFÓLIO'!$J$3:$Q$3,0))) *
N('PORTIFÓLIO'!$S$4:$S$564),
0
)
),
0)</f>
        <v>0</v>
      </c>
      <c r="O26" s="49">
        <f t="shared" si="11"/>
        <v>0</v>
      </c>
      <c r="P26" s="49">
        <f t="array" ref="P26">IFERROR(
SUM(
IF(
'PORTIFÓLIO'!$C$4:$C$564=$A26,
N(INDEX('PORTIFÓLIO'!$J$4:$Q$564,,MATCH(P$2,'PORTIFÓLIO'!$J$3:$Q$3,0))) *
N('PORTIFÓLIO'!$S$4:$S$564),
0
)
),
0)</f>
        <v>0</v>
      </c>
      <c r="Q26" s="49">
        <f t="shared" si="12"/>
        <v>0</v>
      </c>
      <c r="R26" s="49">
        <f t="shared" si="2"/>
        <v>0</v>
      </c>
      <c r="S26" s="49">
        <f t="shared" si="13"/>
        <v>0</v>
      </c>
    </row>
    <row r="27" ht="15.75" hidden="1" customHeight="1" outlineLevel="1">
      <c r="A27" s="48" t="str">
        <f>IFERROR(__xludf.DUMMYFUNCTION("""COMPUTED_VALUE"""),"AURUS 500")</f>
        <v>AURUS 500</v>
      </c>
      <c r="B27" s="49">
        <f t="array" ref="B27">IFERROR(
SUM(
IF(
'PORTIFÓLIO'!$C$4:$C$564=$A27,
N(INDEX('PORTIFÓLIO'!$J$4:$Q$564,,MATCH(B$2,'PORTIFÓLIO'!$J$3:$Q$3,0))) *
N('PORTIFÓLIO'!$S$4:$S$564),
0
)
),
0)</f>
        <v>0</v>
      </c>
      <c r="C27" s="49">
        <f t="shared" si="5"/>
        <v>0</v>
      </c>
      <c r="D27" s="49">
        <f t="array" ref="D27">IFERROR(
SUM(
IF(
'PORTIFÓLIO'!$C$4:$C$564=$A27,
N(INDEX('PORTIFÓLIO'!$J$4:$Q$564,,MATCH(D$2,'PORTIFÓLIO'!$J$3:$Q$3,0))) *
N('PORTIFÓLIO'!$S$4:$S$564),
0
)
),
0)</f>
        <v>0</v>
      </c>
      <c r="E27" s="49">
        <f t="shared" si="6"/>
        <v>0</v>
      </c>
      <c r="F27" s="49">
        <f t="array" ref="F27">IFERROR(
SUM(
IF(
'PORTIFÓLIO'!$C$4:$C$564=$A27,
N(INDEX('PORTIFÓLIO'!$J$4:$Q$564,,MATCH(F$2,'PORTIFÓLIO'!$J$3:$Q$3,0))) *
N('PORTIFÓLIO'!$S$4:$S$564),
0
)
),
0)</f>
        <v>0</v>
      </c>
      <c r="G27" s="47">
        <f t="shared" si="7"/>
        <v>0</v>
      </c>
      <c r="H27" s="49">
        <f t="array" ref="H27">IFERROR(
SUM(
IF(
'PORTIFÓLIO'!$C$4:$C$564=$A27,
N(INDEX('PORTIFÓLIO'!$J$4:$Q$564,,MATCH(H$2,'PORTIFÓLIO'!$J$3:$Q$3,0))) *
N('PORTIFÓLIO'!$S$4:$S$564),
0
)
),
0)</f>
        <v>0</v>
      </c>
      <c r="I27" s="47">
        <f t="shared" si="8"/>
        <v>0</v>
      </c>
      <c r="J27" s="49">
        <f t="array" ref="J27">IFERROR(
SUM(
IF(
'PORTIFÓLIO'!$C$4:$C$564=$A27,
N(INDEX('PORTIFÓLIO'!$J$4:$Q$564,,MATCH(J$2,'PORTIFÓLIO'!$J$3:$Q$3,0))) *
N('PORTIFÓLIO'!$S$4:$S$564),
0
)
),
0)</f>
        <v>0</v>
      </c>
      <c r="K27" s="47">
        <f t="shared" si="9"/>
        <v>0</v>
      </c>
      <c r="L27" s="49">
        <f t="array" ref="L27">IFERROR(
SUM(
IF(
'PORTIFÓLIO'!$C$4:$C$564=$A27,
N(INDEX('PORTIFÓLIO'!$J$4:$Q$564,,MATCH(L$2,'PORTIFÓLIO'!$J$3:$Q$3,0))) *
N('PORTIFÓLIO'!$S$4:$S$564),
0
)
),
0)</f>
        <v>0</v>
      </c>
      <c r="M27" s="47">
        <f t="shared" si="10"/>
        <v>0</v>
      </c>
      <c r="N27" s="49">
        <f t="array" ref="N27">IFERROR(
SUM(
IF(
'PORTIFÓLIO'!$C$4:$C$564=$A27,
N(INDEX('PORTIFÓLIO'!$J$4:$Q$564,,MATCH(N$2,'PORTIFÓLIO'!$J$3:$Q$3,0))) *
N('PORTIFÓLIO'!$S$4:$S$564),
0
)
),
0)</f>
        <v>0</v>
      </c>
      <c r="O27" s="49">
        <f t="shared" si="11"/>
        <v>0</v>
      </c>
      <c r="P27" s="49">
        <f t="array" ref="P27">IFERROR(
SUM(
IF(
'PORTIFÓLIO'!$C$4:$C$564=$A27,
N(INDEX('PORTIFÓLIO'!$J$4:$Q$564,,MATCH(P$2,'PORTIFÓLIO'!$J$3:$Q$3,0))) *
N('PORTIFÓLIO'!$S$4:$S$564),
0
)
),
0)</f>
        <v>0</v>
      </c>
      <c r="Q27" s="49">
        <f t="shared" si="12"/>
        <v>0</v>
      </c>
      <c r="R27" s="49">
        <f t="shared" si="2"/>
        <v>0</v>
      </c>
      <c r="S27" s="49">
        <f t="shared" si="13"/>
        <v>0</v>
      </c>
    </row>
    <row r="28" ht="15.75" hidden="1" customHeight="1" outlineLevel="1">
      <c r="A28" s="48" t="str">
        <f>IFERROR(__xludf.DUMMYFUNCTION("""COMPUTED_VALUE"""),"00-01-00+Cu2 Mn8 Zn7 ")</f>
        <v>00-01-00+Cu2 Mn8 Zn7 </v>
      </c>
      <c r="B28" s="49">
        <f t="array" ref="B28">IFERROR(
SUM(
IF(
'PORTIFÓLIO'!$C$4:$C$564=$A28,
N(INDEX('PORTIFÓLIO'!$J$4:$Q$564,,MATCH(B$2,'PORTIFÓLIO'!$J$3:$Q$3,0))) *
N('PORTIFÓLIO'!$S$4:$S$564),
0
)
),
0)</f>
        <v>0</v>
      </c>
      <c r="C28" s="49">
        <f t="shared" si="5"/>
        <v>0</v>
      </c>
      <c r="D28" s="49">
        <f t="array" ref="D28">IFERROR(
SUM(
IF(
'PORTIFÓLIO'!$C$4:$C$564=$A28,
N(INDEX('PORTIFÓLIO'!$J$4:$Q$564,,MATCH(D$2,'PORTIFÓLIO'!$J$3:$Q$3,0))) *
N('PORTIFÓLIO'!$S$4:$S$564),
0
)
),
0)</f>
        <v>0</v>
      </c>
      <c r="E28" s="49">
        <f t="shared" si="6"/>
        <v>0</v>
      </c>
      <c r="F28" s="49">
        <f t="array" ref="F28">IFERROR(
SUM(
IF(
'PORTIFÓLIO'!$C$4:$C$564=$A28,
N(INDEX('PORTIFÓLIO'!$J$4:$Q$564,,MATCH(F$2,'PORTIFÓLIO'!$J$3:$Q$3,0))) *
N('PORTIFÓLIO'!$S$4:$S$564),
0
)
),
0)</f>
        <v>0</v>
      </c>
      <c r="G28" s="47">
        <f t="shared" si="7"/>
        <v>0</v>
      </c>
      <c r="H28" s="49">
        <f t="array" ref="H28">IFERROR(
SUM(
IF(
'PORTIFÓLIO'!$C$4:$C$564=$A28,
N(INDEX('PORTIFÓLIO'!$J$4:$Q$564,,MATCH(H$2,'PORTIFÓLIO'!$J$3:$Q$3,0))) *
N('PORTIFÓLIO'!$S$4:$S$564),
0
)
),
0)</f>
        <v>0</v>
      </c>
      <c r="I28" s="47">
        <f t="shared" si="8"/>
        <v>0</v>
      </c>
      <c r="J28" s="49">
        <f t="array" ref="J28">IFERROR(
SUM(
IF(
'PORTIFÓLIO'!$C$4:$C$564=$A28,
N(INDEX('PORTIFÓLIO'!$J$4:$Q$564,,MATCH(J$2,'PORTIFÓLIO'!$J$3:$Q$3,0))) *
N('PORTIFÓLIO'!$S$4:$S$564),
0
)
),
0)</f>
        <v>0</v>
      </c>
      <c r="K28" s="47">
        <f t="shared" si="9"/>
        <v>0</v>
      </c>
      <c r="L28" s="49">
        <f t="array" ref="L28">IFERROR(
SUM(
IF(
'PORTIFÓLIO'!$C$4:$C$564=$A28,
N(INDEX('PORTIFÓLIO'!$J$4:$Q$564,,MATCH(L$2,'PORTIFÓLIO'!$J$3:$Q$3,0))) *
N('PORTIFÓLIO'!$S$4:$S$564),
0
)
),
0)</f>
        <v>0</v>
      </c>
      <c r="M28" s="47">
        <f t="shared" si="10"/>
        <v>0</v>
      </c>
      <c r="N28" s="49">
        <f t="array" ref="N28">IFERROR(
SUM(
IF(
'PORTIFÓLIO'!$C$4:$C$564=$A28,
N(INDEX('PORTIFÓLIO'!$J$4:$Q$564,,MATCH(N$2,'PORTIFÓLIO'!$J$3:$Q$3,0))) *
N('PORTIFÓLIO'!$S$4:$S$564),
0
)
),
0)</f>
        <v>0</v>
      </c>
      <c r="O28" s="49">
        <f t="shared" si="11"/>
        <v>0</v>
      </c>
      <c r="P28" s="49">
        <f t="array" ref="P28">IFERROR(
SUM(
IF(
'PORTIFÓLIO'!$C$4:$C$564=$A28,
N(INDEX('PORTIFÓLIO'!$J$4:$Q$564,,MATCH(P$2,'PORTIFÓLIO'!$J$3:$Q$3,0))) *
N('PORTIFÓLIO'!$S$4:$S$564),
0
)
),
0)</f>
        <v>0</v>
      </c>
      <c r="Q28" s="49">
        <f t="shared" si="12"/>
        <v>0</v>
      </c>
      <c r="R28" s="49">
        <f t="shared" si="2"/>
        <v>0</v>
      </c>
      <c r="S28" s="49">
        <f t="shared" si="13"/>
        <v>0</v>
      </c>
    </row>
    <row r="29" ht="15.75" hidden="1" customHeight="1" outlineLevel="1">
      <c r="A29" s="48"/>
      <c r="B29" s="49">
        <f t="array" ref="B29">IFERROR(
SUM(
IF(
'PORTIFÓLIO'!$C$4:$C$564=$A29,
N(INDEX('PORTIFÓLIO'!$J$4:$Q$564,,MATCH(B$2,'PORTIFÓLIO'!$J$3:$Q$3,0))) *
N('PORTIFÓLIO'!$S$4:$S$564),
0
)
),
0)</f>
        <v>0</v>
      </c>
      <c r="C29" s="49">
        <f t="shared" si="5"/>
        <v>0</v>
      </c>
      <c r="D29" s="49">
        <f t="array" ref="D29">IFERROR(
SUM(
IF(
'PORTIFÓLIO'!$C$4:$C$564=$A29,
N(INDEX('PORTIFÓLIO'!$J$4:$Q$564,,MATCH(D$2,'PORTIFÓLIO'!$J$3:$Q$3,0))) *
N('PORTIFÓLIO'!$S$4:$S$564),
0
)
),
0)</f>
        <v>0</v>
      </c>
      <c r="E29" s="49">
        <f t="shared" si="6"/>
        <v>0</v>
      </c>
      <c r="F29" s="49">
        <f t="array" ref="F29">IFERROR(
SUM(
IF(
'PORTIFÓLIO'!$C$4:$C$564=$A29,
N(INDEX('PORTIFÓLIO'!$J$4:$Q$564,,MATCH(F$2,'PORTIFÓLIO'!$J$3:$Q$3,0))) *
N('PORTIFÓLIO'!$S$4:$S$564),
0
)
),
0)</f>
        <v>0</v>
      </c>
      <c r="G29" s="47">
        <f t="shared" si="7"/>
        <v>0</v>
      </c>
      <c r="H29" s="49">
        <f t="array" ref="H29">IFERROR(
SUM(
IF(
'PORTIFÓLIO'!$C$4:$C$564=$A29,
N(INDEX('PORTIFÓLIO'!$J$4:$Q$564,,MATCH(H$2,'PORTIFÓLIO'!$J$3:$Q$3,0))) *
N('PORTIFÓLIO'!$S$4:$S$564),
0
)
),
0)</f>
        <v>0</v>
      </c>
      <c r="I29" s="47">
        <f t="shared" si="8"/>
        <v>0</v>
      </c>
      <c r="J29" s="49">
        <f t="array" ref="J29">IFERROR(
SUM(
IF(
'PORTIFÓLIO'!$C$4:$C$564=$A29,
N(INDEX('PORTIFÓLIO'!$J$4:$Q$564,,MATCH(J$2,'PORTIFÓLIO'!$J$3:$Q$3,0))) *
N('PORTIFÓLIO'!$S$4:$S$564),
0
)
),
0)</f>
        <v>0</v>
      </c>
      <c r="K29" s="47">
        <f t="shared" si="9"/>
        <v>0</v>
      </c>
      <c r="L29" s="49">
        <f t="array" ref="L29">IFERROR(
SUM(
IF(
'PORTIFÓLIO'!$C$4:$C$564=$A29,
N(INDEX('PORTIFÓLIO'!$J$4:$Q$564,,MATCH(L$2,'PORTIFÓLIO'!$J$3:$Q$3,0))) *
N('PORTIFÓLIO'!$S$4:$S$564),
0
)
),
0)</f>
        <v>0</v>
      </c>
      <c r="M29" s="47">
        <f t="shared" si="10"/>
        <v>0</v>
      </c>
      <c r="N29" s="49">
        <f t="array" ref="N29">IFERROR(
SUM(
IF(
'PORTIFÓLIO'!$C$4:$C$564=$A29,
N(INDEX('PORTIFÓLIO'!$J$4:$Q$564,,MATCH(N$2,'PORTIFÓLIO'!$J$3:$Q$3,0))) *
N('PORTIFÓLIO'!$S$4:$S$564),
0
)
),
0)</f>
        <v>0</v>
      </c>
      <c r="O29" s="49">
        <f t="shared" si="11"/>
        <v>0</v>
      </c>
      <c r="P29" s="49">
        <f t="array" ref="P29">IFERROR(
SUM(
IF(
'PORTIFÓLIO'!$C$4:$C$564=$A29,
N(INDEX('PORTIFÓLIO'!$J$4:$Q$564,,MATCH(P$2,'PORTIFÓLIO'!$J$3:$Q$3,0))) *
N('PORTIFÓLIO'!$S$4:$S$564),
0
)
),
0)</f>
        <v>0</v>
      </c>
      <c r="Q29" s="49">
        <f t="shared" si="12"/>
        <v>0</v>
      </c>
      <c r="R29" s="49">
        <f t="shared" si="2"/>
        <v>0</v>
      </c>
      <c r="S29" s="49">
        <f t="shared" si="13"/>
        <v>0</v>
      </c>
    </row>
    <row r="30" ht="15.75" hidden="1" customHeight="1" outlineLevel="1">
      <c r="A30" s="48"/>
      <c r="B30" s="49">
        <f t="array" ref="B30">IFERROR(
SUM(
IF(
'PORTIFÓLIO'!$C$4:$C$564=$A30,
N(INDEX('PORTIFÓLIO'!$J$4:$Q$564,,MATCH(B$2,'PORTIFÓLIO'!$J$3:$Q$3,0))) *
N('PORTIFÓLIO'!$S$4:$S$564),
0
)
),
0)</f>
        <v>0</v>
      </c>
      <c r="C30" s="49">
        <f t="shared" si="5"/>
        <v>0</v>
      </c>
      <c r="D30" s="49">
        <f t="array" ref="D30">IFERROR(
SUM(
IF(
'PORTIFÓLIO'!$C$4:$C$564=$A30,
N(INDEX('PORTIFÓLIO'!$J$4:$Q$564,,MATCH(D$2,'PORTIFÓLIO'!$J$3:$Q$3,0))) *
N('PORTIFÓLIO'!$S$4:$S$564),
0
)
),
0)</f>
        <v>0</v>
      </c>
      <c r="E30" s="49">
        <f t="shared" si="6"/>
        <v>0</v>
      </c>
      <c r="F30" s="49">
        <f t="array" ref="F30">IFERROR(
SUM(
IF(
'PORTIFÓLIO'!$C$4:$C$564=$A30,
N(INDEX('PORTIFÓLIO'!$J$4:$Q$564,,MATCH(F$2,'PORTIFÓLIO'!$J$3:$Q$3,0))) *
N('PORTIFÓLIO'!$S$4:$S$564),
0
)
),
0)</f>
        <v>0</v>
      </c>
      <c r="G30" s="47">
        <f t="shared" si="7"/>
        <v>0</v>
      </c>
      <c r="H30" s="49">
        <f t="array" ref="H30">IFERROR(
SUM(
IF(
'PORTIFÓLIO'!$C$4:$C$564=$A30,
N(INDEX('PORTIFÓLIO'!$J$4:$Q$564,,MATCH(H$2,'PORTIFÓLIO'!$J$3:$Q$3,0))) *
N('PORTIFÓLIO'!$S$4:$S$564),
0
)
),
0)</f>
        <v>0</v>
      </c>
      <c r="I30" s="47">
        <f t="shared" si="8"/>
        <v>0</v>
      </c>
      <c r="J30" s="49">
        <f t="array" ref="J30">IFERROR(
SUM(
IF(
'PORTIFÓLIO'!$C$4:$C$564=$A30,
N(INDEX('PORTIFÓLIO'!$J$4:$Q$564,,MATCH(J$2,'PORTIFÓLIO'!$J$3:$Q$3,0))) *
N('PORTIFÓLIO'!$S$4:$S$564),
0
)
),
0)</f>
        <v>0</v>
      </c>
      <c r="K30" s="47">
        <f t="shared" si="9"/>
        <v>0</v>
      </c>
      <c r="L30" s="49">
        <f t="array" ref="L30">IFERROR(
SUM(
IF(
'PORTIFÓLIO'!$C$4:$C$564=$A30,
N(INDEX('PORTIFÓLIO'!$J$4:$Q$564,,MATCH(L$2,'PORTIFÓLIO'!$J$3:$Q$3,0))) *
N('PORTIFÓLIO'!$S$4:$S$564),
0
)
),
0)</f>
        <v>0</v>
      </c>
      <c r="M30" s="47">
        <f t="shared" si="10"/>
        <v>0</v>
      </c>
      <c r="N30" s="49">
        <f t="array" ref="N30">IFERROR(
SUM(
IF(
'PORTIFÓLIO'!$C$4:$C$564=$A30,
N(INDEX('PORTIFÓLIO'!$J$4:$Q$564,,MATCH(N$2,'PORTIFÓLIO'!$J$3:$Q$3,0))) *
N('PORTIFÓLIO'!$S$4:$S$564),
0
)
),
0)</f>
        <v>0</v>
      </c>
      <c r="O30" s="49">
        <f t="shared" si="11"/>
        <v>0</v>
      </c>
      <c r="P30" s="49">
        <f t="array" ref="P30">IFERROR(
SUM(
IF(
'PORTIFÓLIO'!$C$4:$C$564=$A30,
N(INDEX('PORTIFÓLIO'!$J$4:$Q$564,,MATCH(P$2,'PORTIFÓLIO'!$J$3:$Q$3,0))) *
N('PORTIFÓLIO'!$S$4:$S$564),
0
)
),
0)</f>
        <v>0</v>
      </c>
      <c r="Q30" s="49">
        <f t="shared" si="12"/>
        <v>0</v>
      </c>
      <c r="R30" s="49">
        <f t="shared" si="2"/>
        <v>0</v>
      </c>
      <c r="S30" s="49">
        <f t="shared" si="13"/>
        <v>0</v>
      </c>
    </row>
    <row r="31" ht="15.75" hidden="1" customHeight="1" outlineLevel="1">
      <c r="A31" s="48"/>
      <c r="B31" s="49">
        <f t="array" ref="B31">IFERROR(
SUM(
IF(
'PORTIFÓLIO'!$C$4:$C$564=$A31,
N(INDEX('PORTIFÓLIO'!$J$4:$Q$564,,MATCH(B$2,'PORTIFÓLIO'!$J$3:$Q$3,0))) *
N('PORTIFÓLIO'!$S$4:$S$564),
0
)
),
0)</f>
        <v>0</v>
      </c>
      <c r="C31" s="49">
        <f t="shared" si="5"/>
        <v>0</v>
      </c>
      <c r="D31" s="49">
        <f t="array" ref="D31">IFERROR(
SUM(
IF(
'PORTIFÓLIO'!$C$4:$C$564=$A31,
N(INDEX('PORTIFÓLIO'!$J$4:$Q$564,,MATCH(D$2,'PORTIFÓLIO'!$J$3:$Q$3,0))) *
N('PORTIFÓLIO'!$S$4:$S$564),
0
)
),
0)</f>
        <v>0</v>
      </c>
      <c r="E31" s="49">
        <f t="shared" si="6"/>
        <v>0</v>
      </c>
      <c r="F31" s="49">
        <f t="array" ref="F31">IFERROR(
SUM(
IF(
'PORTIFÓLIO'!$C$4:$C$564=$A31,
N(INDEX('PORTIFÓLIO'!$J$4:$Q$564,,MATCH(F$2,'PORTIFÓLIO'!$J$3:$Q$3,0))) *
N('PORTIFÓLIO'!$S$4:$S$564),
0
)
),
0)</f>
        <v>0</v>
      </c>
      <c r="G31" s="47">
        <f t="shared" si="7"/>
        <v>0</v>
      </c>
      <c r="H31" s="49">
        <f t="array" ref="H31">IFERROR(
SUM(
IF(
'PORTIFÓLIO'!$C$4:$C$564=$A31,
N(INDEX('PORTIFÓLIO'!$J$4:$Q$564,,MATCH(H$2,'PORTIFÓLIO'!$J$3:$Q$3,0))) *
N('PORTIFÓLIO'!$S$4:$S$564),
0
)
),
0)</f>
        <v>0</v>
      </c>
      <c r="I31" s="47">
        <f t="shared" si="8"/>
        <v>0</v>
      </c>
      <c r="J31" s="49">
        <f t="array" ref="J31">IFERROR(
SUM(
IF(
'PORTIFÓLIO'!$C$4:$C$564=$A31,
N(INDEX('PORTIFÓLIO'!$J$4:$Q$564,,MATCH(J$2,'PORTIFÓLIO'!$J$3:$Q$3,0))) *
N('PORTIFÓLIO'!$S$4:$S$564),
0
)
),
0)</f>
        <v>0</v>
      </c>
      <c r="K31" s="47">
        <f t="shared" si="9"/>
        <v>0</v>
      </c>
      <c r="L31" s="49">
        <f t="array" ref="L31">IFERROR(
SUM(
IF(
'PORTIFÓLIO'!$C$4:$C$564=$A31,
N(INDEX('PORTIFÓLIO'!$J$4:$Q$564,,MATCH(L$2,'PORTIFÓLIO'!$J$3:$Q$3,0))) *
N('PORTIFÓLIO'!$S$4:$S$564),
0
)
),
0)</f>
        <v>0</v>
      </c>
      <c r="M31" s="47">
        <f t="shared" si="10"/>
        <v>0</v>
      </c>
      <c r="N31" s="49">
        <f t="array" ref="N31">IFERROR(
SUM(
IF(
'PORTIFÓLIO'!$C$4:$C$564=$A31,
N(INDEX('PORTIFÓLIO'!$J$4:$Q$564,,MATCH(N$2,'PORTIFÓLIO'!$J$3:$Q$3,0))) *
N('PORTIFÓLIO'!$S$4:$S$564),
0
)
),
0)</f>
        <v>0</v>
      </c>
      <c r="O31" s="49">
        <f t="shared" si="11"/>
        <v>0</v>
      </c>
      <c r="P31" s="49">
        <f t="array" ref="P31">IFERROR(
SUM(
IF(
'PORTIFÓLIO'!$C$4:$C$564=$A31,
N(INDEX('PORTIFÓLIO'!$J$4:$Q$564,,MATCH(P$2,'PORTIFÓLIO'!$J$3:$Q$3,0))) *
N('PORTIFÓLIO'!$S$4:$S$564),
0
)
),
0)</f>
        <v>0</v>
      </c>
      <c r="Q31" s="49">
        <f t="shared" si="12"/>
        <v>0</v>
      </c>
      <c r="R31" s="49">
        <f t="shared" si="2"/>
        <v>0</v>
      </c>
      <c r="S31" s="49">
        <f t="shared" si="13"/>
        <v>0</v>
      </c>
    </row>
    <row r="32" ht="15.75" customHeight="1" collapsed="1">
      <c r="A32" s="46" t="s">
        <v>1</v>
      </c>
      <c r="B32" s="47">
        <f>SUM(B33:B103)</f>
        <v>98198.0832</v>
      </c>
      <c r="C32" s="47">
        <f t="shared" si="5"/>
        <v>200.4042514</v>
      </c>
      <c r="D32" s="47">
        <f>SUM(D33:D103)</f>
        <v>101811.0482</v>
      </c>
      <c r="E32" s="47">
        <f t="shared" si="6"/>
        <v>339.3701608</v>
      </c>
      <c r="F32" s="47">
        <f>SUM(F33:F103)</f>
        <v>69302.17932</v>
      </c>
      <c r="G32" s="47">
        <f t="shared" si="7"/>
        <v>315.009906</v>
      </c>
      <c r="H32" s="47">
        <f>SUM(H33:H103)</f>
        <v>34862.3056</v>
      </c>
      <c r="I32" s="47">
        <f t="shared" si="8"/>
        <v>174.311528</v>
      </c>
      <c r="J32" s="47">
        <f>SUM(J33:J103)</f>
        <v>64304.39183</v>
      </c>
      <c r="K32" s="47">
        <f t="shared" si="9"/>
        <v>171.0223187</v>
      </c>
      <c r="L32" s="47">
        <f>SUM(L33:L103)</f>
        <v>47965.412</v>
      </c>
      <c r="M32" s="47">
        <f t="shared" si="10"/>
        <v>218.0246</v>
      </c>
      <c r="N32" s="47">
        <f>SUM(N33:N103)</f>
        <v>351095.6614</v>
      </c>
      <c r="O32" s="47">
        <f t="shared" si="11"/>
        <v>288.2558797</v>
      </c>
      <c r="P32" s="47">
        <f>SUM(P33:P103)</f>
        <v>101217.2446</v>
      </c>
      <c r="Q32" s="47">
        <f t="shared" si="12"/>
        <v>316.3038894</v>
      </c>
      <c r="R32" s="47">
        <f t="shared" si="2"/>
        <v>799454.1469</v>
      </c>
      <c r="S32" s="47">
        <f t="shared" si="13"/>
        <v>239.0712162</v>
      </c>
    </row>
    <row r="33" ht="15.75" hidden="1" customHeight="1" outlineLevel="1">
      <c r="A33" s="48" t="str">
        <f>IFERROR(__xludf.DUMMYFUNCTION("UNIQUE(FILTER('PORTIFÓLIO'!C:C, 'PORTIFÓLIO'!B:B=""HERBICIDA""))"),"AMINOL 806")</f>
        <v>AMINOL 806</v>
      </c>
      <c r="B33" s="49">
        <f t="array" ref="B33">IFERROR(
SUM(
IF(
'PORTIFÓLIO'!$C$4:$C$564=$A33,
N(INDEX('PORTIFÓLIO'!$J$4:$Q$564,,MATCH(B$2,'PORTIFÓLIO'!$J$3:$Q$3,0))) *
N('PORTIFÓLIO'!$S$4:$S$564),
0
)
),
0)</f>
        <v>8912.708</v>
      </c>
      <c r="C33" s="49">
        <f t="shared" si="5"/>
        <v>18.1892</v>
      </c>
      <c r="D33" s="49">
        <f t="array" ref="D33">IFERROR(
SUM(
IF(
'PORTIFÓLIO'!$C$4:$C$564=$A33,
N(INDEX('PORTIFÓLIO'!$J$4:$Q$564,,MATCH(D$2,'PORTIFÓLIO'!$J$3:$Q$3,0))) *
N('PORTIFÓLIO'!$S$4:$S$564),
0
)
),
0)</f>
        <v>0</v>
      </c>
      <c r="E33" s="49">
        <f t="shared" si="6"/>
        <v>0</v>
      </c>
      <c r="F33" s="49">
        <f t="array" ref="F33">IFERROR(
SUM(
IF(
'PORTIFÓLIO'!$C$4:$C$564=$A33,
N(INDEX('PORTIFÓLIO'!$J$4:$Q$564,,MATCH(F$2,'PORTIFÓLIO'!$J$3:$Q$3,0))) *
N('PORTIFÓLIO'!$S$4:$S$564),
0
)
),
0)</f>
        <v>0</v>
      </c>
      <c r="G33" s="47">
        <f t="shared" si="7"/>
        <v>0</v>
      </c>
      <c r="H33" s="49">
        <f t="array" ref="H33">IFERROR(
SUM(
IF(
'PORTIFÓLIO'!$C$4:$C$564=$A33,
N(INDEX('PORTIFÓLIO'!$J$4:$Q$564,,MATCH(H$2,'PORTIFÓLIO'!$J$3:$Q$3,0))) *
N('PORTIFÓLIO'!$S$4:$S$564),
0
)
),
0)</f>
        <v>0</v>
      </c>
      <c r="I33" s="47">
        <f t="shared" si="8"/>
        <v>0</v>
      </c>
      <c r="J33" s="49">
        <f t="array" ref="J33">IFERROR(
SUM(
IF(
'PORTIFÓLIO'!$C$4:$C$564=$A33,
N(INDEX('PORTIFÓLIO'!$J$4:$Q$564,,MATCH(J$2,'PORTIFÓLIO'!$J$3:$Q$3,0))) *
N('PORTIFÓLIO'!$S$4:$S$564),
0
)
),
0)</f>
        <v>0</v>
      </c>
      <c r="K33" s="47">
        <f t="shared" si="9"/>
        <v>0</v>
      </c>
      <c r="L33" s="49">
        <f t="array" ref="L33">IFERROR(
SUM(
IF(
'PORTIFÓLIO'!$C$4:$C$564=$A33,
N(INDEX('PORTIFÓLIO'!$J$4:$Q$564,,MATCH(L$2,'PORTIFÓLIO'!$J$3:$Q$3,0))) *
N('PORTIFÓLIO'!$S$4:$S$564),
0
)
),
0)</f>
        <v>0</v>
      </c>
      <c r="M33" s="47">
        <f t="shared" si="10"/>
        <v>0</v>
      </c>
      <c r="N33" s="49">
        <f t="array" ref="N33">IFERROR(
SUM(
IF(
'PORTIFÓLIO'!$C$4:$C$564=$A33,
N(INDEX('PORTIFÓLIO'!$J$4:$Q$564,,MATCH(N$2,'PORTIFÓLIO'!$J$3:$Q$3,0))) *
N('PORTIFÓLIO'!$S$4:$S$564),
0
)
),
0)</f>
        <v>0</v>
      </c>
      <c r="O33" s="49">
        <f t="shared" si="11"/>
        <v>0</v>
      </c>
      <c r="P33" s="49">
        <f t="array" ref="P33">IFERROR(
SUM(
IF(
'PORTIFÓLIO'!$C$4:$C$564=$A33,
N(INDEX('PORTIFÓLIO'!$J$4:$Q$564,,MATCH(P$2,'PORTIFÓLIO'!$J$3:$Q$3,0))) *
N('PORTIFÓLIO'!$S$4:$S$564),
0
)
),
0)</f>
        <v>0</v>
      </c>
      <c r="Q33" s="49">
        <f t="shared" si="12"/>
        <v>0</v>
      </c>
      <c r="R33" s="49">
        <f t="shared" si="2"/>
        <v>8912.708</v>
      </c>
      <c r="S33" s="49">
        <f t="shared" si="13"/>
        <v>2.665283493</v>
      </c>
    </row>
    <row r="34" ht="15.75" hidden="1" customHeight="1" outlineLevel="1">
      <c r="A34" s="48" t="str">
        <f>IFERROR(__xludf.DUMMYFUNCTION("""COMPUTED_VALUE"""),"APRESA")</f>
        <v>APRESA</v>
      </c>
      <c r="B34" s="49">
        <f t="array" ref="B34">IFERROR(
SUM(
IF(
'PORTIFÓLIO'!$C$4:$C$564=$A34,
N(INDEX('PORTIFÓLIO'!$J$4:$Q$564,,MATCH(B$2,'PORTIFÓLIO'!$J$3:$Q$3,0))) *
N('PORTIFÓLIO'!$S$4:$S$564),
0
)
),
0)</f>
        <v>0</v>
      </c>
      <c r="C34" s="49">
        <f t="shared" si="5"/>
        <v>0</v>
      </c>
      <c r="D34" s="49">
        <f t="array" ref="D34">IFERROR(
SUM(
IF(
'PORTIFÓLIO'!$C$4:$C$564=$A34,
N(INDEX('PORTIFÓLIO'!$J$4:$Q$564,,MATCH(D$2,'PORTIFÓLIO'!$J$3:$Q$3,0))) *
N('PORTIFÓLIO'!$S$4:$S$564),
0
)
),
0)</f>
        <v>0</v>
      </c>
      <c r="E34" s="49">
        <f t="shared" si="6"/>
        <v>0</v>
      </c>
      <c r="F34" s="49">
        <f t="array" ref="F34">IFERROR(
SUM(
IF(
'PORTIFÓLIO'!$C$4:$C$564=$A34,
N(INDEX('PORTIFÓLIO'!$J$4:$Q$564,,MATCH(F$2,'PORTIFÓLIO'!$J$3:$Q$3,0))) *
N('PORTIFÓLIO'!$S$4:$S$564),
0
)
),
0)</f>
        <v>0</v>
      </c>
      <c r="G34" s="47">
        <f t="shared" si="7"/>
        <v>0</v>
      </c>
      <c r="H34" s="49">
        <f t="array" ref="H34">IFERROR(
SUM(
IF(
'PORTIFÓLIO'!$C$4:$C$564=$A34,
N(INDEX('PORTIFÓLIO'!$J$4:$Q$564,,MATCH(H$2,'PORTIFÓLIO'!$J$3:$Q$3,0))) *
N('PORTIFÓLIO'!$S$4:$S$564),
0
)
),
0)</f>
        <v>0</v>
      </c>
      <c r="I34" s="47">
        <f t="shared" si="8"/>
        <v>0</v>
      </c>
      <c r="J34" s="49">
        <f t="array" ref="J34">IFERROR(
SUM(
IF(
'PORTIFÓLIO'!$C$4:$C$564=$A34,
N(INDEX('PORTIFÓLIO'!$J$4:$Q$564,,MATCH(J$2,'PORTIFÓLIO'!$J$3:$Q$3,0))) *
N('PORTIFÓLIO'!$S$4:$S$564),
0
)
),
0)</f>
        <v>0</v>
      </c>
      <c r="K34" s="47">
        <f t="shared" si="9"/>
        <v>0</v>
      </c>
      <c r="L34" s="49">
        <f t="array" ref="L34">IFERROR(
SUM(
IF(
'PORTIFÓLIO'!$C$4:$C$564=$A34,
N(INDEX('PORTIFÓLIO'!$J$4:$Q$564,,MATCH(L$2,'PORTIFÓLIO'!$J$3:$Q$3,0))) *
N('PORTIFÓLIO'!$S$4:$S$564),
0
)
),
0)</f>
        <v>0</v>
      </c>
      <c r="M34" s="47">
        <f t="shared" si="10"/>
        <v>0</v>
      </c>
      <c r="N34" s="49">
        <f t="array" ref="N34">IFERROR(
SUM(
IF(
'PORTIFÓLIO'!$C$4:$C$564=$A34,
N(INDEX('PORTIFÓLIO'!$J$4:$Q$564,,MATCH(N$2,'PORTIFÓLIO'!$J$3:$Q$3,0))) *
N('PORTIFÓLIO'!$S$4:$S$564),
0
)
),
0)</f>
        <v>0</v>
      </c>
      <c r="O34" s="49">
        <f t="shared" si="11"/>
        <v>0</v>
      </c>
      <c r="P34" s="49">
        <f t="array" ref="P34">IFERROR(
SUM(
IF(
'PORTIFÓLIO'!$C$4:$C$564=$A34,
N(INDEX('PORTIFÓLIO'!$J$4:$Q$564,,MATCH(P$2,'PORTIFÓLIO'!$J$3:$Q$3,0))) *
N('PORTIFÓLIO'!$S$4:$S$564),
0
)
),
0)</f>
        <v>0</v>
      </c>
      <c r="Q34" s="49">
        <f t="shared" si="12"/>
        <v>0</v>
      </c>
      <c r="R34" s="49">
        <f t="shared" si="2"/>
        <v>0</v>
      </c>
      <c r="S34" s="49">
        <f t="shared" si="13"/>
        <v>0</v>
      </c>
    </row>
    <row r="35" ht="15.75" hidden="1" customHeight="1" outlineLevel="1">
      <c r="A35" s="48" t="str">
        <f>IFERROR(__xludf.DUMMYFUNCTION("""COMPUTED_VALUE"""),"ARADDO")</f>
        <v>ARADDO</v>
      </c>
      <c r="B35" s="49">
        <f t="array" ref="B35">IFERROR(
SUM(
IF(
'PORTIFÓLIO'!$C$4:$C$564=$A35,
N(INDEX('PORTIFÓLIO'!$J$4:$Q$564,,MATCH(B$2,'PORTIFÓLIO'!$J$3:$Q$3,0))) *
N('PORTIFÓLIO'!$S$4:$S$564),
0
)
),
0)</f>
        <v>0</v>
      </c>
      <c r="C35" s="49">
        <f t="shared" si="5"/>
        <v>0</v>
      </c>
      <c r="D35" s="49">
        <f t="array" ref="D35">IFERROR(
SUM(
IF(
'PORTIFÓLIO'!$C$4:$C$564=$A35,
N(INDEX('PORTIFÓLIO'!$J$4:$Q$564,,MATCH(D$2,'PORTIFÓLIO'!$J$3:$Q$3,0))) *
N('PORTIFÓLIO'!$S$4:$S$564),
0
)
),
0)</f>
        <v>18014.682</v>
      </c>
      <c r="E35" s="49">
        <f t="shared" si="6"/>
        <v>60.04894</v>
      </c>
      <c r="F35" s="49">
        <f t="array" ref="F35">IFERROR(
SUM(
IF(
'PORTIFÓLIO'!$C$4:$C$564=$A35,
N(INDEX('PORTIFÓLIO'!$J$4:$Q$564,,MATCH(F$2,'PORTIFÓLIO'!$J$3:$Q$3,0))) *
N('PORTIFÓLIO'!$S$4:$S$564),
0
)
),
0)</f>
        <v>13210.7668</v>
      </c>
      <c r="G35" s="47">
        <f t="shared" si="7"/>
        <v>60.04894</v>
      </c>
      <c r="H35" s="49">
        <f t="array" ref="H35">IFERROR(
SUM(
IF(
'PORTIFÓLIO'!$C$4:$C$564=$A35,
N(INDEX('PORTIFÓLIO'!$J$4:$Q$564,,MATCH(H$2,'PORTIFÓLIO'!$J$3:$Q$3,0))) *
N('PORTIFÓLIO'!$S$4:$S$564),
0
)
),
0)</f>
        <v>0</v>
      </c>
      <c r="I35" s="47">
        <f t="shared" si="8"/>
        <v>0</v>
      </c>
      <c r="J35" s="49">
        <f t="array" ref="J35">IFERROR(
SUM(
IF(
'PORTIFÓLIO'!$C$4:$C$564=$A35,
N(INDEX('PORTIFÓLIO'!$J$4:$Q$564,,MATCH(J$2,'PORTIFÓLIO'!$J$3:$Q$3,0))) *
N('PORTIFÓLIO'!$S$4:$S$564),
0
)
),
0)</f>
        <v>0</v>
      </c>
      <c r="K35" s="47">
        <f t="shared" si="9"/>
        <v>0</v>
      </c>
      <c r="L35" s="49">
        <f t="array" ref="L35">IFERROR(
SUM(
IF(
'PORTIFÓLIO'!$C$4:$C$564=$A35,
N(INDEX('PORTIFÓLIO'!$J$4:$Q$564,,MATCH(L$2,'PORTIFÓLIO'!$J$3:$Q$3,0))) *
N('PORTIFÓLIO'!$S$4:$S$564),
0
)
),
0)</f>
        <v>0</v>
      </c>
      <c r="M35" s="47">
        <f t="shared" si="10"/>
        <v>0</v>
      </c>
      <c r="N35" s="49">
        <f t="array" ref="N35">IFERROR(
SUM(
IF(
'PORTIFÓLIO'!$C$4:$C$564=$A35,
N(INDEX('PORTIFÓLIO'!$J$4:$Q$564,,MATCH(N$2,'PORTIFÓLIO'!$J$3:$Q$3,0))) *
N('PORTIFÓLIO'!$S$4:$S$564),
0
)
),
0)</f>
        <v>22182.07844</v>
      </c>
      <c r="O35" s="49">
        <f t="shared" si="11"/>
        <v>18.21188706</v>
      </c>
      <c r="P35" s="49">
        <f t="array" ref="P35">IFERROR(
SUM(
IF(
'PORTIFÓLIO'!$C$4:$C$564=$A35,
N(INDEX('PORTIFÓLIO'!$J$4:$Q$564,,MATCH(P$2,'PORTIFÓLIO'!$J$3:$Q$3,0))) *
N('PORTIFÓLIO'!$S$4:$S$564),
0
)
),
0)</f>
        <v>18615.1714</v>
      </c>
      <c r="Q35" s="49">
        <f t="shared" si="12"/>
        <v>58.17241063</v>
      </c>
      <c r="R35" s="49">
        <f t="shared" si="2"/>
        <v>58811.93184</v>
      </c>
      <c r="S35" s="49">
        <f t="shared" si="13"/>
        <v>17.58730019</v>
      </c>
    </row>
    <row r="36" ht="15.75" hidden="1" customHeight="1" outlineLevel="1">
      <c r="A36" s="48" t="str">
        <f>IFERROR(__xludf.DUMMYFUNCTION("""COMPUTED_VALUE"""),"CHEVAL")</f>
        <v>CHEVAL</v>
      </c>
      <c r="B36" s="49">
        <f t="array" ref="B36">IFERROR(
SUM(
IF(
'PORTIFÓLIO'!$C$4:$C$564=$A36,
N(INDEX('PORTIFÓLIO'!$J$4:$Q$564,,MATCH(B$2,'PORTIFÓLIO'!$J$3:$Q$3,0))) *
N('PORTIFÓLIO'!$S$4:$S$564),
0
)
),
0)</f>
        <v>0</v>
      </c>
      <c r="C36" s="49">
        <f t="shared" si="5"/>
        <v>0</v>
      </c>
      <c r="D36" s="49">
        <f t="array" ref="D36">IFERROR(
SUM(
IF(
'PORTIFÓLIO'!$C$4:$C$564=$A36,
N(INDEX('PORTIFÓLIO'!$J$4:$Q$564,,MATCH(D$2,'PORTIFÓLIO'!$J$3:$Q$3,0))) *
N('PORTIFÓLIO'!$S$4:$S$564),
0
)
),
0)</f>
        <v>0</v>
      </c>
      <c r="E36" s="49">
        <f t="shared" si="6"/>
        <v>0</v>
      </c>
      <c r="F36" s="49">
        <f t="array" ref="F36">IFERROR(
SUM(
IF(
'PORTIFÓLIO'!$C$4:$C$564=$A36,
N(INDEX('PORTIFÓLIO'!$J$4:$Q$564,,MATCH(F$2,'PORTIFÓLIO'!$J$3:$Q$3,0))) *
N('PORTIFÓLIO'!$S$4:$S$564),
0
)
),
0)</f>
        <v>0</v>
      </c>
      <c r="G36" s="47">
        <f t="shared" si="7"/>
        <v>0</v>
      </c>
      <c r="H36" s="49">
        <f t="array" ref="H36">IFERROR(
SUM(
IF(
'PORTIFÓLIO'!$C$4:$C$564=$A36,
N(INDEX('PORTIFÓLIO'!$J$4:$Q$564,,MATCH(H$2,'PORTIFÓLIO'!$J$3:$Q$3,0))) *
N('PORTIFÓLIO'!$S$4:$S$564),
0
)
),
0)</f>
        <v>0</v>
      </c>
      <c r="I36" s="47">
        <f t="shared" si="8"/>
        <v>0</v>
      </c>
      <c r="J36" s="49">
        <f t="array" ref="J36">IFERROR(
SUM(
IF(
'PORTIFÓLIO'!$C$4:$C$564=$A36,
N(INDEX('PORTIFÓLIO'!$J$4:$Q$564,,MATCH(J$2,'PORTIFÓLIO'!$J$3:$Q$3,0))) *
N('PORTIFÓLIO'!$S$4:$S$564),
0
)
),
0)</f>
        <v>0</v>
      </c>
      <c r="K36" s="47">
        <f t="shared" si="9"/>
        <v>0</v>
      </c>
      <c r="L36" s="49">
        <f t="array" ref="L36">IFERROR(
SUM(
IF(
'PORTIFÓLIO'!$C$4:$C$564=$A36,
N(INDEX('PORTIFÓLIO'!$J$4:$Q$564,,MATCH(L$2,'PORTIFÓLIO'!$J$3:$Q$3,0))) *
N('PORTIFÓLIO'!$S$4:$S$564),
0
)
),
0)</f>
        <v>0</v>
      </c>
      <c r="M36" s="47">
        <f t="shared" si="10"/>
        <v>0</v>
      </c>
      <c r="N36" s="49">
        <f t="array" ref="N36">IFERROR(
SUM(
IF(
'PORTIFÓLIO'!$C$4:$C$564=$A36,
N(INDEX('PORTIFÓLIO'!$J$4:$Q$564,,MATCH(N$2,'PORTIFÓLIO'!$J$3:$Q$3,0))) *
N('PORTIFÓLIO'!$S$4:$S$564),
0
)
),
0)</f>
        <v>0</v>
      </c>
      <c r="O36" s="49">
        <f t="shared" si="11"/>
        <v>0</v>
      </c>
      <c r="P36" s="49">
        <f t="array" ref="P36">IFERROR(
SUM(
IF(
'PORTIFÓLIO'!$C$4:$C$564=$A36,
N(INDEX('PORTIFÓLIO'!$J$4:$Q$564,,MATCH(P$2,'PORTIFÓLIO'!$J$3:$Q$3,0))) *
N('PORTIFÓLIO'!$S$4:$S$564),
0
)
),
0)</f>
        <v>0</v>
      </c>
      <c r="Q36" s="49">
        <f t="shared" si="12"/>
        <v>0</v>
      </c>
      <c r="R36" s="49">
        <f t="shared" si="2"/>
        <v>0</v>
      </c>
      <c r="S36" s="49">
        <f t="shared" si="13"/>
        <v>0</v>
      </c>
    </row>
    <row r="37" ht="15.75" hidden="1" customHeight="1" outlineLevel="1">
      <c r="A37" s="48" t="str">
        <f>IFERROR(__xludf.DUMMYFUNCTION("""COMPUTED_VALUE"""),"POQUER")</f>
        <v>POQUER</v>
      </c>
      <c r="B37" s="49">
        <f t="array" ref="B37">IFERROR(
SUM(
IF(
'PORTIFÓLIO'!$C$4:$C$564=$A37,
N(INDEX('PORTIFÓLIO'!$J$4:$Q$564,,MATCH(B$2,'PORTIFÓLIO'!$J$3:$Q$3,0))) *
N('PORTIFÓLIO'!$S$4:$S$564),
0
)
),
0)</f>
        <v>0</v>
      </c>
      <c r="C37" s="49">
        <f t="shared" si="5"/>
        <v>0</v>
      </c>
      <c r="D37" s="49">
        <f t="array" ref="D37">IFERROR(
SUM(
IF(
'PORTIFÓLIO'!$C$4:$C$564=$A37,
N(INDEX('PORTIFÓLIO'!$J$4:$Q$564,,MATCH(D$2,'PORTIFÓLIO'!$J$3:$Q$3,0))) *
N('PORTIFÓLIO'!$S$4:$S$564),
0
)
),
0)</f>
        <v>3169.05024</v>
      </c>
      <c r="E37" s="49">
        <f t="shared" si="6"/>
        <v>10.5635008</v>
      </c>
      <c r="F37" s="49">
        <f t="array" ref="F37">IFERROR(
SUM(
IF(
'PORTIFÓLIO'!$C$4:$C$564=$A37,
N(INDEX('PORTIFÓLIO'!$J$4:$Q$564,,MATCH(F$2,'PORTIFÓLIO'!$J$3:$Q$3,0))) *
N('PORTIFÓLIO'!$S$4:$S$564),
0
)
),
0)</f>
        <v>2904.96272</v>
      </c>
      <c r="G37" s="47">
        <f t="shared" si="7"/>
        <v>13.204376</v>
      </c>
      <c r="H37" s="49">
        <f t="array" ref="H37">IFERROR(
SUM(
IF(
'PORTIFÓLIO'!$C$4:$C$564=$A37,
N(INDEX('PORTIFÓLIO'!$J$4:$Q$564,,MATCH(H$2,'PORTIFÓLIO'!$J$3:$Q$3,0))) *
N('PORTIFÓLIO'!$S$4:$S$564),
0
)
),
0)</f>
        <v>0</v>
      </c>
      <c r="I37" s="47">
        <f t="shared" si="8"/>
        <v>0</v>
      </c>
      <c r="J37" s="49">
        <f t="array" ref="J37">IFERROR(
SUM(
IF(
'PORTIFÓLIO'!$C$4:$C$564=$A37,
N(INDEX('PORTIFÓLIO'!$J$4:$Q$564,,MATCH(J$2,'PORTIFÓLIO'!$J$3:$Q$3,0))) *
N('PORTIFÓLIO'!$S$4:$S$564),
0
)
),
0)</f>
        <v>0</v>
      </c>
      <c r="K37" s="47">
        <f t="shared" si="9"/>
        <v>0</v>
      </c>
      <c r="L37" s="49">
        <f t="array" ref="L37">IFERROR(
SUM(
IF(
'PORTIFÓLIO'!$C$4:$C$564=$A37,
N(INDEX('PORTIFÓLIO'!$J$4:$Q$564,,MATCH(L$2,'PORTIFÓLIO'!$J$3:$Q$3,0))) *
N('PORTIFÓLIO'!$S$4:$S$564),
0
)
),
0)</f>
        <v>0</v>
      </c>
      <c r="M37" s="47">
        <f t="shared" si="10"/>
        <v>0</v>
      </c>
      <c r="N37" s="49">
        <f t="array" ref="N37">IFERROR(
SUM(
IF(
'PORTIFÓLIO'!$C$4:$C$564=$A37,
N(INDEX('PORTIFÓLIO'!$J$4:$Q$564,,MATCH(N$2,'PORTIFÓLIO'!$J$3:$Q$3,0))) *
N('PORTIFÓLIO'!$S$4:$S$564),
0
)
),
0)</f>
        <v>0</v>
      </c>
      <c r="O37" s="49">
        <f t="shared" si="11"/>
        <v>0</v>
      </c>
      <c r="P37" s="49">
        <f t="array" ref="P37">IFERROR(
SUM(
IF(
'PORTIFÓLIO'!$C$4:$C$564=$A37,
N(INDEX('PORTIFÓLIO'!$J$4:$Q$564,,MATCH(P$2,'PORTIFÓLIO'!$J$3:$Q$3,0))) *
N('PORTIFÓLIO'!$S$4:$S$564),
0
)
),
0)</f>
        <v>0</v>
      </c>
      <c r="Q37" s="49">
        <f t="shared" si="12"/>
        <v>0</v>
      </c>
      <c r="R37" s="49">
        <f t="shared" si="2"/>
        <v>3169.05024</v>
      </c>
      <c r="S37" s="49">
        <f t="shared" si="13"/>
        <v>0.947682488</v>
      </c>
    </row>
    <row r="38" ht="15.75" hidden="1" customHeight="1" outlineLevel="1">
      <c r="A38" s="48" t="str">
        <f>IFERROR(__xludf.DUMMYFUNCTION("""COMPUTED_VALUE"""),"PREMERLIN 600 EC")</f>
        <v>PREMERLIN 600 EC</v>
      </c>
      <c r="B38" s="49">
        <f t="array" ref="B38">IFERROR(
SUM(
IF(
'PORTIFÓLIO'!$C$4:$C$564=$A38,
N(INDEX('PORTIFÓLIO'!$J$4:$Q$564,,MATCH(B$2,'PORTIFÓLIO'!$J$3:$Q$3,0))) *
N('PORTIFÓLIO'!$S$4:$S$564),
0
)
),
0)</f>
        <v>0</v>
      </c>
      <c r="C38" s="49">
        <f t="shared" si="5"/>
        <v>0</v>
      </c>
      <c r="D38" s="49">
        <f t="array" ref="D38">IFERROR(
SUM(
IF(
'PORTIFÓLIO'!$C$4:$C$564=$A38,
N(INDEX('PORTIFÓLIO'!$J$4:$Q$564,,MATCH(D$2,'PORTIFÓLIO'!$J$3:$Q$3,0))) *
N('PORTIFÓLIO'!$S$4:$S$564),
0
)
),
0)</f>
        <v>0</v>
      </c>
      <c r="E38" s="49">
        <f t="shared" si="6"/>
        <v>0</v>
      </c>
      <c r="F38" s="49">
        <f t="array" ref="F38">IFERROR(
SUM(
IF(
'PORTIFÓLIO'!$C$4:$C$564=$A38,
N(INDEX('PORTIFÓLIO'!$J$4:$Q$564,,MATCH(F$2,'PORTIFÓLIO'!$J$3:$Q$3,0))) *
N('PORTIFÓLIO'!$S$4:$S$564),
0
)
),
0)</f>
        <v>0</v>
      </c>
      <c r="G38" s="47">
        <f t="shared" si="7"/>
        <v>0</v>
      </c>
      <c r="H38" s="49">
        <f t="array" ref="H38">IFERROR(
SUM(
IF(
'PORTIFÓLIO'!$C$4:$C$564=$A38,
N(INDEX('PORTIFÓLIO'!$J$4:$Q$564,,MATCH(H$2,'PORTIFÓLIO'!$J$3:$Q$3,0))) *
N('PORTIFÓLIO'!$S$4:$S$564),
0
)
),
0)</f>
        <v>0</v>
      </c>
      <c r="I38" s="47">
        <f t="shared" si="8"/>
        <v>0</v>
      </c>
      <c r="J38" s="49">
        <f t="array" ref="J38">IFERROR(
SUM(
IF(
'PORTIFÓLIO'!$C$4:$C$564=$A38,
N(INDEX('PORTIFÓLIO'!$J$4:$Q$564,,MATCH(J$2,'PORTIFÓLIO'!$J$3:$Q$3,0))) *
N('PORTIFÓLIO'!$S$4:$S$564),
0
)
),
0)</f>
        <v>0</v>
      </c>
      <c r="K38" s="47">
        <f t="shared" si="9"/>
        <v>0</v>
      </c>
      <c r="L38" s="49">
        <f t="array" ref="L38">IFERROR(
SUM(
IF(
'PORTIFÓLIO'!$C$4:$C$564=$A38,
N(INDEX('PORTIFÓLIO'!$J$4:$Q$564,,MATCH(L$2,'PORTIFÓLIO'!$J$3:$Q$3,0))) *
N('PORTIFÓLIO'!$S$4:$S$564),
0
)
),
0)</f>
        <v>0</v>
      </c>
      <c r="M38" s="47">
        <f t="shared" si="10"/>
        <v>0</v>
      </c>
      <c r="N38" s="49">
        <f t="array" ref="N38">IFERROR(
SUM(
IF(
'PORTIFÓLIO'!$C$4:$C$564=$A38,
N(INDEX('PORTIFÓLIO'!$J$4:$Q$564,,MATCH(N$2,'PORTIFÓLIO'!$J$3:$Q$3,0))) *
N('PORTIFÓLIO'!$S$4:$S$564),
0
)
),
0)</f>
        <v>0</v>
      </c>
      <c r="O38" s="49">
        <f t="shared" si="11"/>
        <v>0</v>
      </c>
      <c r="P38" s="49">
        <f t="array" ref="P38">IFERROR(
SUM(
IF(
'PORTIFÓLIO'!$C$4:$C$564=$A38,
N(INDEX('PORTIFÓLIO'!$J$4:$Q$564,,MATCH(P$2,'PORTIFÓLIO'!$J$3:$Q$3,0))) *
N('PORTIFÓLIO'!$S$4:$S$564),
0
)
),
0)</f>
        <v>0</v>
      </c>
      <c r="Q38" s="49">
        <f t="shared" si="12"/>
        <v>0</v>
      </c>
      <c r="R38" s="49">
        <f t="shared" si="2"/>
        <v>0</v>
      </c>
      <c r="S38" s="49">
        <f t="shared" si="13"/>
        <v>0</v>
      </c>
    </row>
    <row r="39" ht="15.75" hidden="1" customHeight="1" outlineLevel="1">
      <c r="A39" s="48" t="str">
        <f>IFERROR(__xludf.DUMMYFUNCTION("""COMPUTED_VALUE"""),"AMPLO")</f>
        <v>AMPLO</v>
      </c>
      <c r="B39" s="49">
        <f t="array" ref="B39">IFERROR(
SUM(
IF(
'PORTIFÓLIO'!$C$4:$C$564=$A39,
N(INDEX('PORTIFÓLIO'!$J$4:$Q$564,,MATCH(B$2,'PORTIFÓLIO'!$J$3:$Q$3,0))) *
N('PORTIFÓLIO'!$S$4:$S$564),
0
)
),
0)</f>
        <v>0</v>
      </c>
      <c r="C39" s="49">
        <f t="shared" si="5"/>
        <v>0</v>
      </c>
      <c r="D39" s="49">
        <f t="array" ref="D39">IFERROR(
SUM(
IF(
'PORTIFÓLIO'!$C$4:$C$564=$A39,
N(INDEX('PORTIFÓLIO'!$J$4:$Q$564,,MATCH(D$2,'PORTIFÓLIO'!$J$3:$Q$3,0))) *
N('PORTIFÓLIO'!$S$4:$S$564),
0
)
),
0)</f>
        <v>0</v>
      </c>
      <c r="E39" s="49">
        <f t="shared" si="6"/>
        <v>0</v>
      </c>
      <c r="F39" s="49">
        <f t="array" ref="F39">IFERROR(
SUM(
IF(
'PORTIFÓLIO'!$C$4:$C$564=$A39,
N(INDEX('PORTIFÓLIO'!$J$4:$Q$564,,MATCH(F$2,'PORTIFÓLIO'!$J$3:$Q$3,0))) *
N('PORTIFÓLIO'!$S$4:$S$564),
0
)
),
0)</f>
        <v>0</v>
      </c>
      <c r="G39" s="47">
        <f t="shared" si="7"/>
        <v>0</v>
      </c>
      <c r="H39" s="49">
        <f t="array" ref="H39">IFERROR(
SUM(
IF(
'PORTIFÓLIO'!$C$4:$C$564=$A39,
N(INDEX('PORTIFÓLIO'!$J$4:$Q$564,,MATCH(H$2,'PORTIFÓLIO'!$J$3:$Q$3,0))) *
N('PORTIFÓLIO'!$S$4:$S$564),
0
)
),
0)</f>
        <v>0</v>
      </c>
      <c r="I39" s="47">
        <f t="shared" si="8"/>
        <v>0</v>
      </c>
      <c r="J39" s="49">
        <f t="array" ref="J39">IFERROR(
SUM(
IF(
'PORTIFÓLIO'!$C$4:$C$564=$A39,
N(INDEX('PORTIFÓLIO'!$J$4:$Q$564,,MATCH(J$2,'PORTIFÓLIO'!$J$3:$Q$3,0))) *
N('PORTIFÓLIO'!$S$4:$S$564),
0
)
),
0)</f>
        <v>0</v>
      </c>
      <c r="K39" s="47">
        <f t="shared" si="9"/>
        <v>0</v>
      </c>
      <c r="L39" s="49">
        <f t="array" ref="L39">IFERROR(
SUM(
IF(
'PORTIFÓLIO'!$C$4:$C$564=$A39,
N(INDEX('PORTIFÓLIO'!$J$4:$Q$564,,MATCH(L$2,'PORTIFÓLIO'!$J$3:$Q$3,0))) *
N('PORTIFÓLIO'!$S$4:$S$564),
0
)
),
0)</f>
        <v>0</v>
      </c>
      <c r="M39" s="47">
        <f t="shared" si="10"/>
        <v>0</v>
      </c>
      <c r="N39" s="49">
        <f t="array" ref="N39">IFERROR(
SUM(
IF(
'PORTIFÓLIO'!$C$4:$C$564=$A39,
N(INDEX('PORTIFÓLIO'!$J$4:$Q$564,,MATCH(N$2,'PORTIFÓLIO'!$J$3:$Q$3,0))) *
N('PORTIFÓLIO'!$S$4:$S$564),
0
)
),
0)</f>
        <v>0</v>
      </c>
      <c r="O39" s="49">
        <f t="shared" si="11"/>
        <v>0</v>
      </c>
      <c r="P39" s="49">
        <f t="array" ref="P39">IFERROR(
SUM(
IF(
'PORTIFÓLIO'!$C$4:$C$564=$A39,
N(INDEX('PORTIFÓLIO'!$J$4:$Q$564,,MATCH(P$2,'PORTIFÓLIO'!$J$3:$Q$3,0))) *
N('PORTIFÓLIO'!$S$4:$S$564),
0
)
),
0)</f>
        <v>0</v>
      </c>
      <c r="Q39" s="49">
        <f t="shared" si="12"/>
        <v>0</v>
      </c>
      <c r="R39" s="49">
        <f t="shared" si="2"/>
        <v>0</v>
      </c>
      <c r="S39" s="49">
        <f t="shared" si="13"/>
        <v>0</v>
      </c>
    </row>
    <row r="40" ht="15.75" hidden="1" customHeight="1" outlineLevel="1">
      <c r="A40" s="48" t="str">
        <f>IFERROR(__xludf.DUMMYFUNCTION("""COMPUTED_VALUE"""),"BASAGRAN 600")</f>
        <v>BASAGRAN 600</v>
      </c>
      <c r="B40" s="49">
        <f t="array" ref="B40">IFERROR(
SUM(
IF(
'PORTIFÓLIO'!$C$4:$C$564=$A40,
N(INDEX('PORTIFÓLIO'!$J$4:$Q$564,,MATCH(B$2,'PORTIFÓLIO'!$J$3:$Q$3,0))) *
N('PORTIFÓLIO'!$S$4:$S$564),
0
)
),
0)</f>
        <v>0</v>
      </c>
      <c r="C40" s="49">
        <f t="shared" si="5"/>
        <v>0</v>
      </c>
      <c r="D40" s="49">
        <f t="array" ref="D40">IFERROR(
SUM(
IF(
'PORTIFÓLIO'!$C$4:$C$564=$A40,
N(INDEX('PORTIFÓLIO'!$J$4:$Q$564,,MATCH(D$2,'PORTIFÓLIO'!$J$3:$Q$3,0))) *
N('PORTIFÓLIO'!$S$4:$S$564),
0
)
),
0)</f>
        <v>0</v>
      </c>
      <c r="E40" s="49">
        <f t="shared" si="6"/>
        <v>0</v>
      </c>
      <c r="F40" s="49">
        <f t="array" ref="F40">IFERROR(
SUM(
IF(
'PORTIFÓLIO'!$C$4:$C$564=$A40,
N(INDEX('PORTIFÓLIO'!$J$4:$Q$564,,MATCH(F$2,'PORTIFÓLIO'!$J$3:$Q$3,0))) *
N('PORTIFÓLIO'!$S$4:$S$564),
0
)
),
0)</f>
        <v>0</v>
      </c>
      <c r="G40" s="47">
        <f t="shared" si="7"/>
        <v>0</v>
      </c>
      <c r="H40" s="49">
        <f t="array" ref="H40">IFERROR(
SUM(
IF(
'PORTIFÓLIO'!$C$4:$C$564=$A40,
N(INDEX('PORTIFÓLIO'!$J$4:$Q$564,,MATCH(H$2,'PORTIFÓLIO'!$J$3:$Q$3,0))) *
N('PORTIFÓLIO'!$S$4:$S$564),
0
)
),
0)</f>
        <v>0</v>
      </c>
      <c r="I40" s="47">
        <f t="shared" si="8"/>
        <v>0</v>
      </c>
      <c r="J40" s="49">
        <f t="array" ref="J40">IFERROR(
SUM(
IF(
'PORTIFÓLIO'!$C$4:$C$564=$A40,
N(INDEX('PORTIFÓLIO'!$J$4:$Q$564,,MATCH(J$2,'PORTIFÓLIO'!$J$3:$Q$3,0))) *
N('PORTIFÓLIO'!$S$4:$S$564),
0
)
),
0)</f>
        <v>0</v>
      </c>
      <c r="K40" s="47">
        <f t="shared" si="9"/>
        <v>0</v>
      </c>
      <c r="L40" s="49">
        <f t="array" ref="L40">IFERROR(
SUM(
IF(
'PORTIFÓLIO'!$C$4:$C$564=$A40,
N(INDEX('PORTIFÓLIO'!$J$4:$Q$564,,MATCH(L$2,'PORTIFÓLIO'!$J$3:$Q$3,0))) *
N('PORTIFÓLIO'!$S$4:$S$564),
0
)
),
0)</f>
        <v>0</v>
      </c>
      <c r="M40" s="47">
        <f t="shared" si="10"/>
        <v>0</v>
      </c>
      <c r="N40" s="49">
        <f t="array" ref="N40">IFERROR(
SUM(
IF(
'PORTIFÓLIO'!$C$4:$C$564=$A40,
N(INDEX('PORTIFÓLIO'!$J$4:$Q$564,,MATCH(N$2,'PORTIFÓLIO'!$J$3:$Q$3,0))) *
N('PORTIFÓLIO'!$S$4:$S$564),
0
)
),
0)</f>
        <v>0</v>
      </c>
      <c r="O40" s="49">
        <f t="shared" si="11"/>
        <v>0</v>
      </c>
      <c r="P40" s="49">
        <f t="array" ref="P40">IFERROR(
SUM(
IF(
'PORTIFÓLIO'!$C$4:$C$564=$A40,
N(INDEX('PORTIFÓLIO'!$J$4:$Q$564,,MATCH(P$2,'PORTIFÓLIO'!$J$3:$Q$3,0))) *
N('PORTIFÓLIO'!$S$4:$S$564),
0
)
),
0)</f>
        <v>0</v>
      </c>
      <c r="Q40" s="49">
        <f t="shared" si="12"/>
        <v>0</v>
      </c>
      <c r="R40" s="49">
        <f t="shared" si="2"/>
        <v>0</v>
      </c>
      <c r="S40" s="49">
        <f t="shared" si="13"/>
        <v>0</v>
      </c>
    </row>
    <row r="41" ht="15.75" hidden="1" customHeight="1" outlineLevel="1">
      <c r="A41" s="48" t="str">
        <f>IFERROR(__xludf.DUMMYFUNCTION("""COMPUTED_VALUE"""),"FINALE")</f>
        <v>FINALE</v>
      </c>
      <c r="B41" s="49">
        <f t="array" ref="B41">IFERROR(
SUM(
IF(
'PORTIFÓLIO'!$C$4:$C$564=$A41,
N(INDEX('PORTIFÓLIO'!$J$4:$Q$564,,MATCH(B$2,'PORTIFÓLIO'!$J$3:$Q$3,0))) *
N('PORTIFÓLIO'!$S$4:$S$564),
0
)
),
0)</f>
        <v>0</v>
      </c>
      <c r="C41" s="49">
        <f t="shared" si="5"/>
        <v>0</v>
      </c>
      <c r="D41" s="49">
        <f t="array" ref="D41">IFERROR(
SUM(
IF(
'PORTIFÓLIO'!$C$4:$C$564=$A41,
N(INDEX('PORTIFÓLIO'!$J$4:$Q$564,,MATCH(D$2,'PORTIFÓLIO'!$J$3:$Q$3,0))) *
N('PORTIFÓLIO'!$S$4:$S$564),
0
)
),
0)</f>
        <v>0</v>
      </c>
      <c r="E41" s="49">
        <f t="shared" si="6"/>
        <v>0</v>
      </c>
      <c r="F41" s="49">
        <f t="array" ref="F41">IFERROR(
SUM(
IF(
'PORTIFÓLIO'!$C$4:$C$564=$A41,
N(INDEX('PORTIFÓLIO'!$J$4:$Q$564,,MATCH(F$2,'PORTIFÓLIO'!$J$3:$Q$3,0))) *
N('PORTIFÓLIO'!$S$4:$S$564),
0
)
),
0)</f>
        <v>0</v>
      </c>
      <c r="G41" s="47">
        <f t="shared" si="7"/>
        <v>0</v>
      </c>
      <c r="H41" s="49">
        <f t="array" ref="H41">IFERROR(
SUM(
IF(
'PORTIFÓLIO'!$C$4:$C$564=$A41,
N(INDEX('PORTIFÓLIO'!$J$4:$Q$564,,MATCH(H$2,'PORTIFÓLIO'!$J$3:$Q$3,0))) *
N('PORTIFÓLIO'!$S$4:$S$564),
0
)
),
0)</f>
        <v>0</v>
      </c>
      <c r="I41" s="47">
        <f t="shared" si="8"/>
        <v>0</v>
      </c>
      <c r="J41" s="49">
        <f t="array" ref="J41">IFERROR(
SUM(
IF(
'PORTIFÓLIO'!$C$4:$C$564=$A41,
N(INDEX('PORTIFÓLIO'!$J$4:$Q$564,,MATCH(J$2,'PORTIFÓLIO'!$J$3:$Q$3,0))) *
N('PORTIFÓLIO'!$S$4:$S$564),
0
)
),
0)</f>
        <v>0</v>
      </c>
      <c r="K41" s="47">
        <f t="shared" si="9"/>
        <v>0</v>
      </c>
      <c r="L41" s="49">
        <f t="array" ref="L41">IFERROR(
SUM(
IF(
'PORTIFÓLIO'!$C$4:$C$564=$A41,
N(INDEX('PORTIFÓLIO'!$J$4:$Q$564,,MATCH(L$2,'PORTIFÓLIO'!$J$3:$Q$3,0))) *
N('PORTIFÓLIO'!$S$4:$S$564),
0
)
),
0)</f>
        <v>0</v>
      </c>
      <c r="M41" s="47">
        <f t="shared" si="10"/>
        <v>0</v>
      </c>
      <c r="N41" s="49">
        <f t="array" ref="N41">IFERROR(
SUM(
IF(
'PORTIFÓLIO'!$C$4:$C$564=$A41,
N(INDEX('PORTIFÓLIO'!$J$4:$Q$564,,MATCH(N$2,'PORTIFÓLIO'!$J$3:$Q$3,0))) *
N('PORTIFÓLIO'!$S$4:$S$564),
0
)
),
0)</f>
        <v>0</v>
      </c>
      <c r="O41" s="49">
        <f t="shared" si="11"/>
        <v>0</v>
      </c>
      <c r="P41" s="49">
        <f t="array" ref="P41">IFERROR(
SUM(
IF(
'PORTIFÓLIO'!$C$4:$C$564=$A41,
N(INDEX('PORTIFÓLIO'!$J$4:$Q$564,,MATCH(P$2,'PORTIFÓLIO'!$J$3:$Q$3,0))) *
N('PORTIFÓLIO'!$S$4:$S$564),
0
)
),
0)</f>
        <v>0</v>
      </c>
      <c r="Q41" s="49">
        <f t="shared" si="12"/>
        <v>0</v>
      </c>
      <c r="R41" s="49">
        <f t="shared" si="2"/>
        <v>0</v>
      </c>
      <c r="S41" s="49">
        <f t="shared" si="13"/>
        <v>0</v>
      </c>
    </row>
    <row r="42" ht="15.75" hidden="1" customHeight="1" outlineLevel="1">
      <c r="A42" s="48" t="str">
        <f>IFERROR(__xludf.DUMMYFUNCTION("""COMPUTED_VALUE"""),"HEAT")</f>
        <v>HEAT</v>
      </c>
      <c r="B42" s="49">
        <f t="array" ref="B42">IFERROR(
SUM(
IF(
'PORTIFÓLIO'!$C$4:$C$564=$A42,
N(INDEX('PORTIFÓLIO'!$J$4:$Q$564,,MATCH(B$2,'PORTIFÓLIO'!$J$3:$Q$3,0))) *
N('PORTIFÓLIO'!$S$4:$S$564),
0
)
),
0)</f>
        <v>0</v>
      </c>
      <c r="C42" s="49">
        <f t="shared" si="5"/>
        <v>0</v>
      </c>
      <c r="D42" s="49">
        <f t="array" ref="D42">IFERROR(
SUM(
IF(
'PORTIFÓLIO'!$C$4:$C$564=$A42,
N(INDEX('PORTIFÓLIO'!$J$4:$Q$564,,MATCH(D$2,'PORTIFÓLIO'!$J$3:$Q$3,0))) *
N('PORTIFÓLIO'!$S$4:$S$564),
0
)
),
0)</f>
        <v>0</v>
      </c>
      <c r="E42" s="49">
        <f t="shared" si="6"/>
        <v>0</v>
      </c>
      <c r="F42" s="49">
        <f t="array" ref="F42">IFERROR(
SUM(
IF(
'PORTIFÓLIO'!$C$4:$C$564=$A42,
N(INDEX('PORTIFÓLIO'!$J$4:$Q$564,,MATCH(F$2,'PORTIFÓLIO'!$J$3:$Q$3,0))) *
N('PORTIFÓLIO'!$S$4:$S$564),
0
)
),
0)</f>
        <v>0</v>
      </c>
      <c r="G42" s="47">
        <f t="shared" si="7"/>
        <v>0</v>
      </c>
      <c r="H42" s="49">
        <f t="array" ref="H42">IFERROR(
SUM(
IF(
'PORTIFÓLIO'!$C$4:$C$564=$A42,
N(INDEX('PORTIFÓLIO'!$J$4:$Q$564,,MATCH(H$2,'PORTIFÓLIO'!$J$3:$Q$3,0))) *
N('PORTIFÓLIO'!$S$4:$S$564),
0
)
),
0)</f>
        <v>0</v>
      </c>
      <c r="I42" s="47">
        <f t="shared" si="8"/>
        <v>0</v>
      </c>
      <c r="J42" s="49">
        <f t="array" ref="J42">IFERROR(
SUM(
IF(
'PORTIFÓLIO'!$C$4:$C$564=$A42,
N(INDEX('PORTIFÓLIO'!$J$4:$Q$564,,MATCH(J$2,'PORTIFÓLIO'!$J$3:$Q$3,0))) *
N('PORTIFÓLIO'!$S$4:$S$564),
0
)
),
0)</f>
        <v>0</v>
      </c>
      <c r="K42" s="47">
        <f t="shared" si="9"/>
        <v>0</v>
      </c>
      <c r="L42" s="49">
        <f t="array" ref="L42">IFERROR(
SUM(
IF(
'PORTIFÓLIO'!$C$4:$C$564=$A42,
N(INDEX('PORTIFÓLIO'!$J$4:$Q$564,,MATCH(L$2,'PORTIFÓLIO'!$J$3:$Q$3,0))) *
N('PORTIFÓLIO'!$S$4:$S$564),
0
)
),
0)</f>
        <v>0</v>
      </c>
      <c r="M42" s="47">
        <f t="shared" si="10"/>
        <v>0</v>
      </c>
      <c r="N42" s="49">
        <f t="array" ref="N42">IFERROR(
SUM(
IF(
'PORTIFÓLIO'!$C$4:$C$564=$A42,
N(INDEX('PORTIFÓLIO'!$J$4:$Q$564,,MATCH(N$2,'PORTIFÓLIO'!$J$3:$Q$3,0))) *
N('PORTIFÓLIO'!$S$4:$S$564),
0
)
),
0)</f>
        <v>0</v>
      </c>
      <c r="O42" s="49">
        <f t="shared" si="11"/>
        <v>0</v>
      </c>
      <c r="P42" s="49">
        <f t="array" ref="P42">IFERROR(
SUM(
IF(
'PORTIFÓLIO'!$C$4:$C$564=$A42,
N(INDEX('PORTIFÓLIO'!$J$4:$Q$564,,MATCH(P$2,'PORTIFÓLIO'!$J$3:$Q$3,0))) *
N('PORTIFÓLIO'!$S$4:$S$564),
0
)
),
0)</f>
        <v>0</v>
      </c>
      <c r="Q42" s="49">
        <f t="shared" si="12"/>
        <v>0</v>
      </c>
      <c r="R42" s="49">
        <f t="shared" si="2"/>
        <v>0</v>
      </c>
      <c r="S42" s="49">
        <f t="shared" si="13"/>
        <v>0</v>
      </c>
    </row>
    <row r="43" ht="15.75" hidden="1" customHeight="1" outlineLevel="1">
      <c r="A43" s="48" t="str">
        <f>IFERROR(__xludf.DUMMYFUNCTION("""COMPUTED_VALUE"""),"LIBERTY")</f>
        <v>LIBERTY</v>
      </c>
      <c r="B43" s="49">
        <f t="array" ref="B43">IFERROR(
SUM(
IF(
'PORTIFÓLIO'!$C$4:$C$564=$A43,
N(INDEX('PORTIFÓLIO'!$J$4:$Q$564,,MATCH(B$2,'PORTIFÓLIO'!$J$3:$Q$3,0))) *
N('PORTIFÓLIO'!$S$4:$S$564),
0
)
),
0)</f>
        <v>0</v>
      </c>
      <c r="C43" s="49">
        <f t="shared" si="5"/>
        <v>0</v>
      </c>
      <c r="D43" s="49">
        <f t="array" ref="D43">IFERROR(
SUM(
IF(
'PORTIFÓLIO'!$C$4:$C$564=$A43,
N(INDEX('PORTIFÓLIO'!$J$4:$Q$564,,MATCH(D$2,'PORTIFÓLIO'!$J$3:$Q$3,0))) *
N('PORTIFÓLIO'!$S$4:$S$564),
0
)
),
0)</f>
        <v>0</v>
      </c>
      <c r="E43" s="49">
        <f t="shared" si="6"/>
        <v>0</v>
      </c>
      <c r="F43" s="49">
        <f t="array" ref="F43">IFERROR(
SUM(
IF(
'PORTIFÓLIO'!$C$4:$C$564=$A43,
N(INDEX('PORTIFÓLIO'!$J$4:$Q$564,,MATCH(F$2,'PORTIFÓLIO'!$J$3:$Q$3,0))) *
N('PORTIFÓLIO'!$S$4:$S$564),
0
)
),
0)</f>
        <v>0</v>
      </c>
      <c r="G43" s="47">
        <f t="shared" si="7"/>
        <v>0</v>
      </c>
      <c r="H43" s="49">
        <f t="array" ref="H43">IFERROR(
SUM(
IF(
'PORTIFÓLIO'!$C$4:$C$564=$A43,
N(INDEX('PORTIFÓLIO'!$J$4:$Q$564,,MATCH(H$2,'PORTIFÓLIO'!$J$3:$Q$3,0))) *
N('PORTIFÓLIO'!$S$4:$S$564),
0
)
),
0)</f>
        <v>0</v>
      </c>
      <c r="I43" s="47">
        <f t="shared" si="8"/>
        <v>0</v>
      </c>
      <c r="J43" s="49">
        <f t="array" ref="J43">IFERROR(
SUM(
IF(
'PORTIFÓLIO'!$C$4:$C$564=$A43,
N(INDEX('PORTIFÓLIO'!$J$4:$Q$564,,MATCH(J$2,'PORTIFÓLIO'!$J$3:$Q$3,0))) *
N('PORTIFÓLIO'!$S$4:$S$564),
0
)
),
0)</f>
        <v>0</v>
      </c>
      <c r="K43" s="47">
        <f t="shared" si="9"/>
        <v>0</v>
      </c>
      <c r="L43" s="49">
        <f t="array" ref="L43">IFERROR(
SUM(
IF(
'PORTIFÓLIO'!$C$4:$C$564=$A43,
N(INDEX('PORTIFÓLIO'!$J$4:$Q$564,,MATCH(L$2,'PORTIFÓLIO'!$J$3:$Q$3,0))) *
N('PORTIFÓLIO'!$S$4:$S$564),
0
)
),
0)</f>
        <v>0</v>
      </c>
      <c r="M43" s="47">
        <f t="shared" si="10"/>
        <v>0</v>
      </c>
      <c r="N43" s="49">
        <f t="array" ref="N43">IFERROR(
SUM(
IF(
'PORTIFÓLIO'!$C$4:$C$564=$A43,
N(INDEX('PORTIFÓLIO'!$J$4:$Q$564,,MATCH(N$2,'PORTIFÓLIO'!$J$3:$Q$3,0))) *
N('PORTIFÓLIO'!$S$4:$S$564),
0
)
),
0)</f>
        <v>0</v>
      </c>
      <c r="O43" s="49">
        <f t="shared" si="11"/>
        <v>0</v>
      </c>
      <c r="P43" s="49">
        <f t="array" ref="P43">IFERROR(
SUM(
IF(
'PORTIFÓLIO'!$C$4:$C$564=$A43,
N(INDEX('PORTIFÓLIO'!$J$4:$Q$564,,MATCH(P$2,'PORTIFÓLIO'!$J$3:$Q$3,0))) *
N('PORTIFÓLIO'!$S$4:$S$564),
0
)
),
0)</f>
        <v>0</v>
      </c>
      <c r="Q43" s="49">
        <f t="shared" si="12"/>
        <v>0</v>
      </c>
      <c r="R43" s="49">
        <f t="shared" si="2"/>
        <v>0</v>
      </c>
      <c r="S43" s="49">
        <f t="shared" si="13"/>
        <v>0</v>
      </c>
    </row>
    <row r="44" ht="15.75" hidden="1" customHeight="1" outlineLevel="1">
      <c r="A44" s="48" t="str">
        <f>IFERROR(__xludf.DUMMYFUNCTION("""COMPUTED_VALUE"""),"PROWL H2O")</f>
        <v>PROWL H2O</v>
      </c>
      <c r="B44" s="49">
        <f t="array" ref="B44">IFERROR(
SUM(
IF(
'PORTIFÓLIO'!$C$4:$C$564=$A44,
N(INDEX('PORTIFÓLIO'!$J$4:$Q$564,,MATCH(B$2,'PORTIFÓLIO'!$J$3:$Q$3,0))) *
N('PORTIFÓLIO'!$S$4:$S$564),
0
)
),
0)</f>
        <v>0</v>
      </c>
      <c r="C44" s="49">
        <f t="shared" si="5"/>
        <v>0</v>
      </c>
      <c r="D44" s="49">
        <f t="array" ref="D44">IFERROR(
SUM(
IF(
'PORTIFÓLIO'!$C$4:$C$564=$A44,
N(INDEX('PORTIFÓLIO'!$J$4:$Q$564,,MATCH(D$2,'PORTIFÓLIO'!$J$3:$Q$3,0))) *
N('PORTIFÓLIO'!$S$4:$S$564),
0
)
),
0)</f>
        <v>0</v>
      </c>
      <c r="E44" s="49">
        <f t="shared" si="6"/>
        <v>0</v>
      </c>
      <c r="F44" s="49">
        <f t="array" ref="F44">IFERROR(
SUM(
IF(
'PORTIFÓLIO'!$C$4:$C$564=$A44,
N(INDEX('PORTIFÓLIO'!$J$4:$Q$564,,MATCH(F$2,'PORTIFÓLIO'!$J$3:$Q$3,0))) *
N('PORTIFÓLIO'!$S$4:$S$564),
0
)
),
0)</f>
        <v>0</v>
      </c>
      <c r="G44" s="47">
        <f t="shared" si="7"/>
        <v>0</v>
      </c>
      <c r="H44" s="49">
        <f t="array" ref="H44">IFERROR(
SUM(
IF(
'PORTIFÓLIO'!$C$4:$C$564=$A44,
N(INDEX('PORTIFÓLIO'!$J$4:$Q$564,,MATCH(H$2,'PORTIFÓLIO'!$J$3:$Q$3,0))) *
N('PORTIFÓLIO'!$S$4:$S$564),
0
)
),
0)</f>
        <v>0</v>
      </c>
      <c r="I44" s="47">
        <f t="shared" si="8"/>
        <v>0</v>
      </c>
      <c r="J44" s="49">
        <f t="array" ref="J44">IFERROR(
SUM(
IF(
'PORTIFÓLIO'!$C$4:$C$564=$A44,
N(INDEX('PORTIFÓLIO'!$J$4:$Q$564,,MATCH(J$2,'PORTIFÓLIO'!$J$3:$Q$3,0))) *
N('PORTIFÓLIO'!$S$4:$S$564),
0
)
),
0)</f>
        <v>0</v>
      </c>
      <c r="K44" s="47">
        <f t="shared" si="9"/>
        <v>0</v>
      </c>
      <c r="L44" s="49">
        <f t="array" ref="L44">IFERROR(
SUM(
IF(
'PORTIFÓLIO'!$C$4:$C$564=$A44,
N(INDEX('PORTIFÓLIO'!$J$4:$Q$564,,MATCH(L$2,'PORTIFÓLIO'!$J$3:$Q$3,0))) *
N('PORTIFÓLIO'!$S$4:$S$564),
0
)
),
0)</f>
        <v>0</v>
      </c>
      <c r="M44" s="47">
        <f t="shared" si="10"/>
        <v>0</v>
      </c>
      <c r="N44" s="49">
        <f t="array" ref="N44">IFERROR(
SUM(
IF(
'PORTIFÓLIO'!$C$4:$C$564=$A44,
N(INDEX('PORTIFÓLIO'!$J$4:$Q$564,,MATCH(N$2,'PORTIFÓLIO'!$J$3:$Q$3,0))) *
N('PORTIFÓLIO'!$S$4:$S$564),
0
)
),
0)</f>
        <v>0</v>
      </c>
      <c r="O44" s="49">
        <f t="shared" si="11"/>
        <v>0</v>
      </c>
      <c r="P44" s="49">
        <f t="array" ref="P44">IFERROR(
SUM(
IF(
'PORTIFÓLIO'!$C$4:$C$564=$A44,
N(INDEX('PORTIFÓLIO'!$J$4:$Q$564,,MATCH(P$2,'PORTIFÓLIO'!$J$3:$Q$3,0))) *
N('PORTIFÓLIO'!$S$4:$S$564),
0
)
),
0)</f>
        <v>0</v>
      </c>
      <c r="Q44" s="49">
        <f t="shared" si="12"/>
        <v>0</v>
      </c>
      <c r="R44" s="49">
        <f t="shared" si="2"/>
        <v>0</v>
      </c>
      <c r="S44" s="49">
        <f t="shared" si="13"/>
        <v>0</v>
      </c>
    </row>
    <row r="45" ht="15.75" hidden="1" customHeight="1" outlineLevel="1">
      <c r="A45" s="48" t="str">
        <f>IFERROR(__xludf.DUMMYFUNCTION("""COMPUTED_VALUE"""),"ADENGO")</f>
        <v>ADENGO</v>
      </c>
      <c r="B45" s="49">
        <f t="array" ref="B45">IFERROR(
SUM(
IF(
'PORTIFÓLIO'!$C$4:$C$564=$A45,
N(INDEX('PORTIFÓLIO'!$J$4:$Q$564,,MATCH(B$2,'PORTIFÓLIO'!$J$3:$Q$3,0))) *
N('PORTIFÓLIO'!$S$4:$S$564),
0
)
),
0)</f>
        <v>0</v>
      </c>
      <c r="C45" s="49">
        <f t="shared" si="5"/>
        <v>0</v>
      </c>
      <c r="D45" s="49">
        <f t="array" ref="D45">IFERROR(
SUM(
IF(
'PORTIFÓLIO'!$C$4:$C$564=$A45,
N(INDEX('PORTIFÓLIO'!$J$4:$Q$564,,MATCH(D$2,'PORTIFÓLIO'!$J$3:$Q$3,0))) *
N('PORTIFÓLIO'!$S$4:$S$564),
0
)
),
0)</f>
        <v>0</v>
      </c>
      <c r="E45" s="49">
        <f t="shared" si="6"/>
        <v>0</v>
      </c>
      <c r="F45" s="49">
        <f t="array" ref="F45">IFERROR(
SUM(
IF(
'PORTIFÓLIO'!$C$4:$C$564=$A45,
N(INDEX('PORTIFÓLIO'!$J$4:$Q$564,,MATCH(F$2,'PORTIFÓLIO'!$J$3:$Q$3,0))) *
N('PORTIFÓLIO'!$S$4:$S$564),
0
)
),
0)</f>
        <v>0</v>
      </c>
      <c r="G45" s="47">
        <f t="shared" si="7"/>
        <v>0</v>
      </c>
      <c r="H45" s="49">
        <f t="array" ref="H45">IFERROR(
SUM(
IF(
'PORTIFÓLIO'!$C$4:$C$564=$A45,
N(INDEX('PORTIFÓLIO'!$J$4:$Q$564,,MATCH(H$2,'PORTIFÓLIO'!$J$3:$Q$3,0))) *
N('PORTIFÓLIO'!$S$4:$S$564),
0
)
),
0)</f>
        <v>0</v>
      </c>
      <c r="I45" s="47">
        <f t="shared" si="8"/>
        <v>0</v>
      </c>
      <c r="J45" s="49">
        <f t="array" ref="J45">IFERROR(
SUM(
IF(
'PORTIFÓLIO'!$C$4:$C$564=$A45,
N(INDEX('PORTIFÓLIO'!$J$4:$Q$564,,MATCH(J$2,'PORTIFÓLIO'!$J$3:$Q$3,0))) *
N('PORTIFÓLIO'!$S$4:$S$564),
0
)
),
0)</f>
        <v>0</v>
      </c>
      <c r="K45" s="47">
        <f t="shared" si="9"/>
        <v>0</v>
      </c>
      <c r="L45" s="49">
        <f t="array" ref="L45">IFERROR(
SUM(
IF(
'PORTIFÓLIO'!$C$4:$C$564=$A45,
N(INDEX('PORTIFÓLIO'!$J$4:$Q$564,,MATCH(L$2,'PORTIFÓLIO'!$J$3:$Q$3,0))) *
N('PORTIFÓLIO'!$S$4:$S$564),
0
)
),
0)</f>
        <v>0</v>
      </c>
      <c r="M45" s="47">
        <f t="shared" si="10"/>
        <v>0</v>
      </c>
      <c r="N45" s="49">
        <f t="array" ref="N45">IFERROR(
SUM(
IF(
'PORTIFÓLIO'!$C$4:$C$564=$A45,
N(INDEX('PORTIFÓLIO'!$J$4:$Q$564,,MATCH(N$2,'PORTIFÓLIO'!$J$3:$Q$3,0))) *
N('PORTIFÓLIO'!$S$4:$S$564),
0
)
),
0)</f>
        <v>0</v>
      </c>
      <c r="O45" s="49">
        <f t="shared" si="11"/>
        <v>0</v>
      </c>
      <c r="P45" s="49">
        <f t="array" ref="P45">IFERROR(
SUM(
IF(
'PORTIFÓLIO'!$C$4:$C$564=$A45,
N(INDEX('PORTIFÓLIO'!$J$4:$Q$564,,MATCH(P$2,'PORTIFÓLIO'!$J$3:$Q$3,0))) *
N('PORTIFÓLIO'!$S$4:$S$564),
0
)
),
0)</f>
        <v>0</v>
      </c>
      <c r="Q45" s="49">
        <f t="shared" si="12"/>
        <v>0</v>
      </c>
      <c r="R45" s="49">
        <f t="shared" si="2"/>
        <v>0</v>
      </c>
      <c r="S45" s="49">
        <f t="shared" si="13"/>
        <v>0</v>
      </c>
    </row>
    <row r="46" ht="15.75" hidden="1" customHeight="1" outlineLevel="1">
      <c r="A46" s="48" t="str">
        <f>IFERROR(__xludf.DUMMYFUNCTION("""COMPUTED_VALUE"""),"ROUNDUP WG")</f>
        <v>ROUNDUP WG</v>
      </c>
      <c r="B46" s="49">
        <f t="array" ref="B46">IFERROR(
SUM(
IF(
'PORTIFÓLIO'!$C$4:$C$564=$A46,
N(INDEX('PORTIFÓLIO'!$J$4:$Q$564,,MATCH(B$2,'PORTIFÓLIO'!$J$3:$Q$3,0))) *
N('PORTIFÓLIO'!$S$4:$S$564),
0
)
),
0)</f>
        <v>46456.2</v>
      </c>
      <c r="C46" s="49">
        <f t="shared" si="5"/>
        <v>94.80857143</v>
      </c>
      <c r="D46" s="49">
        <f t="array" ref="D46">IFERROR(
SUM(
IF(
'PORTIFÓLIO'!$C$4:$C$564=$A46,
N(INDEX('PORTIFÓLIO'!$J$4:$Q$564,,MATCH(D$2,'PORTIFÓLIO'!$J$3:$Q$3,0))) *
N('PORTIFÓLIO'!$S$4:$S$564),
0
)
),
0)</f>
        <v>29496</v>
      </c>
      <c r="E46" s="49">
        <f t="shared" si="6"/>
        <v>98.32</v>
      </c>
      <c r="F46" s="49">
        <f t="array" ref="F46">IFERROR(
SUM(
IF(
'PORTIFÓLIO'!$C$4:$C$564=$A46,
N(INDEX('PORTIFÓLIO'!$J$4:$Q$564,,MATCH(F$2,'PORTIFÓLIO'!$J$3:$Q$3,0))) *
N('PORTIFÓLIO'!$S$4:$S$564),
0
)
),
0)</f>
        <v>21630.4</v>
      </c>
      <c r="G46" s="47">
        <f t="shared" si="7"/>
        <v>98.32</v>
      </c>
      <c r="H46" s="49">
        <f t="array" ref="H46">IFERROR(
SUM(
IF(
'PORTIFÓLIO'!$C$4:$C$564=$A46,
N(INDEX('PORTIFÓLIO'!$J$4:$Q$564,,MATCH(H$2,'PORTIFÓLIO'!$J$3:$Q$3,0))) *
N('PORTIFÓLIO'!$S$4:$S$564),
0
)
),
0)</f>
        <v>9832</v>
      </c>
      <c r="I46" s="47">
        <f t="shared" si="8"/>
        <v>49.16</v>
      </c>
      <c r="J46" s="49">
        <f t="array" ref="J46">IFERROR(
SUM(
IF(
'PORTIFÓLIO'!$C$4:$C$564=$A46,
N(INDEX('PORTIFÓLIO'!$J$4:$Q$564,,MATCH(J$2,'PORTIFÓLIO'!$J$3:$Q$3,0))) *
N('PORTIFÓLIO'!$S$4:$S$564),
0
)
),
0)</f>
        <v>18484.16</v>
      </c>
      <c r="K46" s="47">
        <f t="shared" si="9"/>
        <v>49.16</v>
      </c>
      <c r="L46" s="49">
        <f t="array" ref="L46">IFERROR(
SUM(
IF(
'PORTIFÓLIO'!$C$4:$C$564=$A46,
N(INDEX('PORTIFÓLIO'!$J$4:$Q$564,,MATCH(L$2,'PORTIFÓLIO'!$J$3:$Q$3,0))) *
N('PORTIFÓLIO'!$S$4:$S$564),
0
)
),
0)</f>
        <v>8111.4</v>
      </c>
      <c r="M46" s="47">
        <f t="shared" si="10"/>
        <v>36.87</v>
      </c>
      <c r="N46" s="49">
        <f t="array" ref="N46">IFERROR(
SUM(
IF(
'PORTIFÓLIO'!$C$4:$C$564=$A46,
N(INDEX('PORTIFÓLIO'!$J$4:$Q$564,,MATCH(N$2,'PORTIFÓLIO'!$J$3:$Q$3,0))) *
N('PORTIFÓLIO'!$S$4:$S$564),
0
)
),
0)</f>
        <v>119753.76</v>
      </c>
      <c r="O46" s="49">
        <f t="shared" si="11"/>
        <v>98.32</v>
      </c>
      <c r="P46" s="49">
        <f t="array" ref="P46">IFERROR(
SUM(
IF(
'PORTIFÓLIO'!$C$4:$C$564=$A46,
N(INDEX('PORTIFÓLIO'!$J$4:$Q$564,,MATCH(P$2,'PORTIFÓLIO'!$J$3:$Q$3,0))) *
N('PORTIFÓLIO'!$S$4:$S$564),
0
)
),
0)</f>
        <v>31462.4</v>
      </c>
      <c r="Q46" s="49">
        <f t="shared" si="12"/>
        <v>98.32</v>
      </c>
      <c r="R46" s="49">
        <f t="shared" si="2"/>
        <v>263595.92</v>
      </c>
      <c r="S46" s="49">
        <f t="shared" si="13"/>
        <v>78.8265311</v>
      </c>
    </row>
    <row r="47" ht="15.75" hidden="1" customHeight="1" outlineLevel="1">
      <c r="A47" s="48" t="str">
        <f>IFERROR(__xludf.DUMMYFUNCTION("""COMPUTED_VALUE"""),"SOBERAN")</f>
        <v>SOBERAN</v>
      </c>
      <c r="B47" s="49">
        <f t="array" ref="B47">IFERROR(
SUM(
IF(
'PORTIFÓLIO'!$C$4:$C$564=$A47,
N(INDEX('PORTIFÓLIO'!$J$4:$Q$564,,MATCH(B$2,'PORTIFÓLIO'!$J$3:$Q$3,0))) *
N('PORTIFÓLIO'!$S$4:$S$564),
0
)
),
0)</f>
        <v>0</v>
      </c>
      <c r="C47" s="49">
        <f t="shared" si="5"/>
        <v>0</v>
      </c>
      <c r="D47" s="49">
        <f t="array" ref="D47">IFERROR(
SUM(
IF(
'PORTIFÓLIO'!$C$4:$C$564=$A47,
N(INDEX('PORTIFÓLIO'!$J$4:$Q$564,,MATCH(D$2,'PORTIFÓLIO'!$J$3:$Q$3,0))) *
N('PORTIFÓLIO'!$S$4:$S$564),
0
)
),
0)</f>
        <v>0</v>
      </c>
      <c r="E47" s="49">
        <f t="shared" si="6"/>
        <v>0</v>
      </c>
      <c r="F47" s="49">
        <f t="array" ref="F47">IFERROR(
SUM(
IF(
'PORTIFÓLIO'!$C$4:$C$564=$A47,
N(INDEX('PORTIFÓLIO'!$J$4:$Q$564,,MATCH(F$2,'PORTIFÓLIO'!$J$3:$Q$3,0))) *
N('PORTIFÓLIO'!$S$4:$S$564),
0
)
),
0)</f>
        <v>0</v>
      </c>
      <c r="G47" s="47">
        <f t="shared" si="7"/>
        <v>0</v>
      </c>
      <c r="H47" s="49">
        <f t="array" ref="H47">IFERROR(
SUM(
IF(
'PORTIFÓLIO'!$C$4:$C$564=$A47,
N(INDEX('PORTIFÓLIO'!$J$4:$Q$564,,MATCH(H$2,'PORTIFÓLIO'!$J$3:$Q$3,0))) *
N('PORTIFÓLIO'!$S$4:$S$564),
0
)
),
0)</f>
        <v>0</v>
      </c>
      <c r="I47" s="47">
        <f t="shared" si="8"/>
        <v>0</v>
      </c>
      <c r="J47" s="49">
        <f t="array" ref="J47">IFERROR(
SUM(
IF(
'PORTIFÓLIO'!$C$4:$C$564=$A47,
N(INDEX('PORTIFÓLIO'!$J$4:$Q$564,,MATCH(J$2,'PORTIFÓLIO'!$J$3:$Q$3,0))) *
N('PORTIFÓLIO'!$S$4:$S$564),
0
)
),
0)</f>
        <v>0</v>
      </c>
      <c r="K47" s="47">
        <f t="shared" si="9"/>
        <v>0</v>
      </c>
      <c r="L47" s="49">
        <f t="array" ref="L47">IFERROR(
SUM(
IF(
'PORTIFÓLIO'!$C$4:$C$564=$A47,
N(INDEX('PORTIFÓLIO'!$J$4:$Q$564,,MATCH(L$2,'PORTIFÓLIO'!$J$3:$Q$3,0))) *
N('PORTIFÓLIO'!$S$4:$S$564),
0
)
),
0)</f>
        <v>0</v>
      </c>
      <c r="M47" s="47">
        <f t="shared" si="10"/>
        <v>0</v>
      </c>
      <c r="N47" s="49">
        <f t="array" ref="N47">IFERROR(
SUM(
IF(
'PORTIFÓLIO'!$C$4:$C$564=$A47,
N(INDEX('PORTIFÓLIO'!$J$4:$Q$564,,MATCH(N$2,'PORTIFÓLIO'!$J$3:$Q$3,0))) *
N('PORTIFÓLIO'!$S$4:$S$564),
0
)
),
0)</f>
        <v>0</v>
      </c>
      <c r="O47" s="49">
        <f t="shared" si="11"/>
        <v>0</v>
      </c>
      <c r="P47" s="49">
        <f t="array" ref="P47">IFERROR(
SUM(
IF(
'PORTIFÓLIO'!$C$4:$C$564=$A47,
N(INDEX('PORTIFÓLIO'!$J$4:$Q$564,,MATCH(P$2,'PORTIFÓLIO'!$J$3:$Q$3,0))) *
N('PORTIFÓLIO'!$S$4:$S$564),
0
)
),
0)</f>
        <v>0</v>
      </c>
      <c r="Q47" s="49">
        <f t="shared" si="12"/>
        <v>0</v>
      </c>
      <c r="R47" s="49">
        <f t="shared" si="2"/>
        <v>0</v>
      </c>
      <c r="S47" s="49">
        <f t="shared" si="13"/>
        <v>0</v>
      </c>
    </row>
    <row r="48" ht="15.75" hidden="1" customHeight="1" outlineLevel="1">
      <c r="A48" s="48" t="str">
        <f>IFERROR(__xludf.DUMMYFUNCTION("""COMPUTED_VALUE"""),"2,4-D 806+PICLORAM 64")</f>
        <v>2,4-D 806+PICLORAM 64</v>
      </c>
      <c r="B48" s="49">
        <f t="array" ref="B48">IFERROR(
SUM(
IF(
'PORTIFÓLIO'!$C$4:$C$564=$A48,
N(INDEX('PORTIFÓLIO'!$J$4:$Q$564,,MATCH(B$2,'PORTIFÓLIO'!$J$3:$Q$3,0))) *
N('PORTIFÓLIO'!$S$4:$S$564),
0
)
),
0)</f>
        <v>0</v>
      </c>
      <c r="C48" s="49">
        <f t="shared" si="5"/>
        <v>0</v>
      </c>
      <c r="D48" s="49">
        <f t="array" ref="D48">IFERROR(
SUM(
IF(
'PORTIFÓLIO'!$C$4:$C$564=$A48,
N(INDEX('PORTIFÓLIO'!$J$4:$Q$564,,MATCH(D$2,'PORTIFÓLIO'!$J$3:$Q$3,0))) *
N('PORTIFÓLIO'!$S$4:$S$564),
0
)
),
0)</f>
        <v>0</v>
      </c>
      <c r="E48" s="49">
        <f t="shared" si="6"/>
        <v>0</v>
      </c>
      <c r="F48" s="49">
        <f t="array" ref="F48">IFERROR(
SUM(
IF(
'PORTIFÓLIO'!$C$4:$C$564=$A48,
N(INDEX('PORTIFÓLIO'!$J$4:$Q$564,,MATCH(F$2,'PORTIFÓLIO'!$J$3:$Q$3,0))) *
N('PORTIFÓLIO'!$S$4:$S$564),
0
)
),
0)</f>
        <v>0</v>
      </c>
      <c r="G48" s="47">
        <f t="shared" si="7"/>
        <v>0</v>
      </c>
      <c r="H48" s="49">
        <f t="array" ref="H48">IFERROR(
SUM(
IF(
'PORTIFÓLIO'!$C$4:$C$564=$A48,
N(INDEX('PORTIFÓLIO'!$J$4:$Q$564,,MATCH(H$2,'PORTIFÓLIO'!$J$3:$Q$3,0))) *
N('PORTIFÓLIO'!$S$4:$S$564),
0
)
),
0)</f>
        <v>0</v>
      </c>
      <c r="I48" s="47">
        <f t="shared" si="8"/>
        <v>0</v>
      </c>
      <c r="J48" s="49">
        <f t="array" ref="J48">IFERROR(
SUM(
IF(
'PORTIFÓLIO'!$C$4:$C$564=$A48,
N(INDEX('PORTIFÓLIO'!$J$4:$Q$564,,MATCH(J$2,'PORTIFÓLIO'!$J$3:$Q$3,0))) *
N('PORTIFÓLIO'!$S$4:$S$564),
0
)
),
0)</f>
        <v>0</v>
      </c>
      <c r="K48" s="47">
        <f t="shared" si="9"/>
        <v>0</v>
      </c>
      <c r="L48" s="49">
        <f t="array" ref="L48">IFERROR(
SUM(
IF(
'PORTIFÓLIO'!$C$4:$C$564=$A48,
N(INDEX('PORTIFÓLIO'!$J$4:$Q$564,,MATCH(L$2,'PORTIFÓLIO'!$J$3:$Q$3,0))) *
N('PORTIFÓLIO'!$S$4:$S$564),
0
)
),
0)</f>
        <v>0</v>
      </c>
      <c r="M48" s="47">
        <f t="shared" si="10"/>
        <v>0</v>
      </c>
      <c r="N48" s="49">
        <f t="array" ref="N48">IFERROR(
SUM(
IF(
'PORTIFÓLIO'!$C$4:$C$564=$A48,
N(INDEX('PORTIFÓLIO'!$J$4:$Q$564,,MATCH(N$2,'PORTIFÓLIO'!$J$3:$Q$3,0))) *
N('PORTIFÓLIO'!$S$4:$S$564),
0
)
),
0)</f>
        <v>0</v>
      </c>
      <c r="O48" s="49">
        <f t="shared" si="11"/>
        <v>0</v>
      </c>
      <c r="P48" s="49">
        <f t="array" ref="P48">IFERROR(
SUM(
IF(
'PORTIFÓLIO'!$C$4:$C$564=$A48,
N(INDEX('PORTIFÓLIO'!$J$4:$Q$564,,MATCH(P$2,'PORTIFÓLIO'!$J$3:$Q$3,0))) *
N('PORTIFÓLIO'!$S$4:$S$564),
0
)
),
0)</f>
        <v>0</v>
      </c>
      <c r="Q48" s="49">
        <f t="shared" si="12"/>
        <v>0</v>
      </c>
      <c r="R48" s="49">
        <f t="shared" si="2"/>
        <v>0</v>
      </c>
      <c r="S48" s="49">
        <f t="shared" si="13"/>
        <v>0</v>
      </c>
    </row>
    <row r="49" ht="15.75" hidden="1" customHeight="1" outlineLevel="1">
      <c r="A49" s="48" t="str">
        <f>IFERROR(__xludf.DUMMYFUNCTION("""COMPUTED_VALUE"""),"FOMESAFEN CCAB 250 SL")</f>
        <v>FOMESAFEN CCAB 250 SL</v>
      </c>
      <c r="B49" s="49">
        <f t="array" ref="B49">IFERROR(
SUM(
IF(
'PORTIFÓLIO'!$C$4:$C$564=$A49,
N(INDEX('PORTIFÓLIO'!$J$4:$Q$564,,MATCH(B$2,'PORTIFÓLIO'!$J$3:$Q$3,0))) *
N('PORTIFÓLIO'!$S$4:$S$564),
0
)
),
0)</f>
        <v>0</v>
      </c>
      <c r="C49" s="49">
        <f t="shared" si="5"/>
        <v>0</v>
      </c>
      <c r="D49" s="49">
        <f t="array" ref="D49">IFERROR(
SUM(
IF(
'PORTIFÓLIO'!$C$4:$C$564=$A49,
N(INDEX('PORTIFÓLIO'!$J$4:$Q$564,,MATCH(D$2,'PORTIFÓLIO'!$J$3:$Q$3,0))) *
N('PORTIFÓLIO'!$S$4:$S$564),
0
)
),
0)</f>
        <v>0</v>
      </c>
      <c r="E49" s="49">
        <f t="shared" si="6"/>
        <v>0</v>
      </c>
      <c r="F49" s="49">
        <f t="array" ref="F49">IFERROR(
SUM(
IF(
'PORTIFÓLIO'!$C$4:$C$564=$A49,
N(INDEX('PORTIFÓLIO'!$J$4:$Q$564,,MATCH(F$2,'PORTIFÓLIO'!$J$3:$Q$3,0))) *
N('PORTIFÓLIO'!$S$4:$S$564),
0
)
),
0)</f>
        <v>0</v>
      </c>
      <c r="G49" s="47">
        <f t="shared" si="7"/>
        <v>0</v>
      </c>
      <c r="H49" s="49">
        <f t="array" ref="H49">IFERROR(
SUM(
IF(
'PORTIFÓLIO'!$C$4:$C$564=$A49,
N(INDEX('PORTIFÓLIO'!$J$4:$Q$564,,MATCH(H$2,'PORTIFÓLIO'!$J$3:$Q$3,0))) *
N('PORTIFÓLIO'!$S$4:$S$564),
0
)
),
0)</f>
        <v>0</v>
      </c>
      <c r="I49" s="47">
        <f t="shared" si="8"/>
        <v>0</v>
      </c>
      <c r="J49" s="49">
        <f t="array" ref="J49">IFERROR(
SUM(
IF(
'PORTIFÓLIO'!$C$4:$C$564=$A49,
N(INDEX('PORTIFÓLIO'!$J$4:$Q$564,,MATCH(J$2,'PORTIFÓLIO'!$J$3:$Q$3,0))) *
N('PORTIFÓLIO'!$S$4:$S$564),
0
)
),
0)</f>
        <v>0</v>
      </c>
      <c r="K49" s="47">
        <f t="shared" si="9"/>
        <v>0</v>
      </c>
      <c r="L49" s="49">
        <f t="array" ref="L49">IFERROR(
SUM(
IF(
'PORTIFÓLIO'!$C$4:$C$564=$A49,
N(INDEX('PORTIFÓLIO'!$J$4:$Q$564,,MATCH(L$2,'PORTIFÓLIO'!$J$3:$Q$3,0))) *
N('PORTIFÓLIO'!$S$4:$S$564),
0
)
),
0)</f>
        <v>0</v>
      </c>
      <c r="M49" s="47">
        <f t="shared" si="10"/>
        <v>0</v>
      </c>
      <c r="N49" s="49">
        <f t="array" ref="N49">IFERROR(
SUM(
IF(
'PORTIFÓLIO'!$C$4:$C$564=$A49,
N(INDEX('PORTIFÓLIO'!$J$4:$Q$564,,MATCH(N$2,'PORTIFÓLIO'!$J$3:$Q$3,0))) *
N('PORTIFÓLIO'!$S$4:$S$564),
0
)
),
0)</f>
        <v>0</v>
      </c>
      <c r="O49" s="49">
        <f t="shared" si="11"/>
        <v>0</v>
      </c>
      <c r="P49" s="49">
        <f t="array" ref="P49">IFERROR(
SUM(
IF(
'PORTIFÓLIO'!$C$4:$C$564=$A49,
N(INDEX('PORTIFÓLIO'!$J$4:$Q$564,,MATCH(P$2,'PORTIFÓLIO'!$J$3:$Q$3,0))) *
N('PORTIFÓLIO'!$S$4:$S$564),
0
)
),
0)</f>
        <v>0</v>
      </c>
      <c r="Q49" s="49">
        <f t="shared" si="12"/>
        <v>0</v>
      </c>
      <c r="R49" s="49">
        <f t="shared" si="2"/>
        <v>0</v>
      </c>
      <c r="S49" s="49">
        <f t="shared" si="13"/>
        <v>0</v>
      </c>
    </row>
    <row r="50" ht="15.75" hidden="1" customHeight="1" outlineLevel="1">
      <c r="A50" s="48" t="str">
        <f>IFERROR(__xludf.DUMMYFUNCTION("""COMPUTED_VALUE"""),"GLUFOSINATO CCAB 200 SL")</f>
        <v>GLUFOSINATO CCAB 200 SL</v>
      </c>
      <c r="B50" s="49">
        <f t="array" ref="B50">IFERROR(
SUM(
IF(
'PORTIFÓLIO'!$C$4:$C$564=$A50,
N(INDEX('PORTIFÓLIO'!$J$4:$Q$564,,MATCH(B$2,'PORTIFÓLIO'!$J$3:$Q$3,0))) *
N('PORTIFÓLIO'!$S$4:$S$564),
0
)
),
0)</f>
        <v>0</v>
      </c>
      <c r="C50" s="49">
        <f t="shared" si="5"/>
        <v>0</v>
      </c>
      <c r="D50" s="49">
        <f t="array" ref="D50">IFERROR(
SUM(
IF(
'PORTIFÓLIO'!$C$4:$C$564=$A50,
N(INDEX('PORTIFÓLIO'!$J$4:$Q$564,,MATCH(D$2,'PORTIFÓLIO'!$J$3:$Q$3,0))) *
N('PORTIFÓLIO'!$S$4:$S$564),
0
)
),
0)</f>
        <v>0</v>
      </c>
      <c r="E50" s="49">
        <f t="shared" si="6"/>
        <v>0</v>
      </c>
      <c r="F50" s="49">
        <f t="array" ref="F50">IFERROR(
SUM(
IF(
'PORTIFÓLIO'!$C$4:$C$564=$A50,
N(INDEX('PORTIFÓLIO'!$J$4:$Q$564,,MATCH(F$2,'PORTIFÓLIO'!$J$3:$Q$3,0))) *
N('PORTIFÓLIO'!$S$4:$S$564),
0
)
),
0)</f>
        <v>0</v>
      </c>
      <c r="G50" s="47">
        <f t="shared" si="7"/>
        <v>0</v>
      </c>
      <c r="H50" s="49">
        <f t="array" ref="H50">IFERROR(
SUM(
IF(
'PORTIFÓLIO'!$C$4:$C$564=$A50,
N(INDEX('PORTIFÓLIO'!$J$4:$Q$564,,MATCH(H$2,'PORTIFÓLIO'!$J$3:$Q$3,0))) *
N('PORTIFÓLIO'!$S$4:$S$564),
0
)
),
0)</f>
        <v>0</v>
      </c>
      <c r="I50" s="47">
        <f t="shared" si="8"/>
        <v>0</v>
      </c>
      <c r="J50" s="49">
        <f t="array" ref="J50">IFERROR(
SUM(
IF(
'PORTIFÓLIO'!$C$4:$C$564=$A50,
N(INDEX('PORTIFÓLIO'!$J$4:$Q$564,,MATCH(J$2,'PORTIFÓLIO'!$J$3:$Q$3,0))) *
N('PORTIFÓLIO'!$S$4:$S$564),
0
)
),
0)</f>
        <v>0</v>
      </c>
      <c r="K50" s="47">
        <f t="shared" si="9"/>
        <v>0</v>
      </c>
      <c r="L50" s="49">
        <f t="array" ref="L50">IFERROR(
SUM(
IF(
'PORTIFÓLIO'!$C$4:$C$564=$A50,
N(INDEX('PORTIFÓLIO'!$J$4:$Q$564,,MATCH(L$2,'PORTIFÓLIO'!$J$3:$Q$3,0))) *
N('PORTIFÓLIO'!$S$4:$S$564),
0
)
),
0)</f>
        <v>0</v>
      </c>
      <c r="M50" s="47">
        <f t="shared" si="10"/>
        <v>0</v>
      </c>
      <c r="N50" s="49">
        <f t="array" ref="N50">IFERROR(
SUM(
IF(
'PORTIFÓLIO'!$C$4:$C$564=$A50,
N(INDEX('PORTIFÓLIO'!$J$4:$Q$564,,MATCH(N$2,'PORTIFÓLIO'!$J$3:$Q$3,0))) *
N('PORTIFÓLIO'!$S$4:$S$564),
0
)
),
0)</f>
        <v>0</v>
      </c>
      <c r="O50" s="49">
        <f t="shared" si="11"/>
        <v>0</v>
      </c>
      <c r="P50" s="49">
        <f t="array" ref="P50">IFERROR(
SUM(
IF(
'PORTIFÓLIO'!$C$4:$C$564=$A50,
N(INDEX('PORTIFÓLIO'!$J$4:$Q$564,,MATCH(P$2,'PORTIFÓLIO'!$J$3:$Q$3,0))) *
N('PORTIFÓLIO'!$S$4:$S$564),
0
)
),
0)</f>
        <v>0</v>
      </c>
      <c r="Q50" s="49">
        <f t="shared" si="12"/>
        <v>0</v>
      </c>
      <c r="R50" s="49">
        <f t="shared" si="2"/>
        <v>0</v>
      </c>
      <c r="S50" s="49">
        <f t="shared" si="13"/>
        <v>0</v>
      </c>
    </row>
    <row r="51" ht="15.75" hidden="1" customHeight="1" outlineLevel="1">
      <c r="A51" s="48" t="str">
        <f>IFERROR(__xludf.DUMMYFUNCTION("""COMPUTED_VALUE"""),"MESOTRIONA CCAB 480 SC")</f>
        <v>MESOTRIONA CCAB 480 SC</v>
      </c>
      <c r="B51" s="49">
        <f t="array" ref="B51">IFERROR(
SUM(
IF(
'PORTIFÓLIO'!$C$4:$C$564=$A51,
N(INDEX('PORTIFÓLIO'!$J$4:$Q$564,,MATCH(B$2,'PORTIFÓLIO'!$J$3:$Q$3,0))) *
N('PORTIFÓLIO'!$S$4:$S$564),
0
)
),
0)</f>
        <v>0</v>
      </c>
      <c r="C51" s="49">
        <f t="shared" si="5"/>
        <v>0</v>
      </c>
      <c r="D51" s="49">
        <f t="array" ref="D51">IFERROR(
SUM(
IF(
'PORTIFÓLIO'!$C$4:$C$564=$A51,
N(INDEX('PORTIFÓLIO'!$J$4:$Q$564,,MATCH(D$2,'PORTIFÓLIO'!$J$3:$Q$3,0))) *
N('PORTIFÓLIO'!$S$4:$S$564),
0
)
),
0)</f>
        <v>0</v>
      </c>
      <c r="E51" s="49">
        <f t="shared" si="6"/>
        <v>0</v>
      </c>
      <c r="F51" s="49">
        <f t="array" ref="F51">IFERROR(
SUM(
IF(
'PORTIFÓLIO'!$C$4:$C$564=$A51,
N(INDEX('PORTIFÓLIO'!$J$4:$Q$564,,MATCH(F$2,'PORTIFÓLIO'!$J$3:$Q$3,0))) *
N('PORTIFÓLIO'!$S$4:$S$564),
0
)
),
0)</f>
        <v>0</v>
      </c>
      <c r="G51" s="47">
        <f t="shared" si="7"/>
        <v>0</v>
      </c>
      <c r="H51" s="49">
        <f t="array" ref="H51">IFERROR(
SUM(
IF(
'PORTIFÓLIO'!$C$4:$C$564=$A51,
N(INDEX('PORTIFÓLIO'!$J$4:$Q$564,,MATCH(H$2,'PORTIFÓLIO'!$J$3:$Q$3,0))) *
N('PORTIFÓLIO'!$S$4:$S$564),
0
)
),
0)</f>
        <v>0</v>
      </c>
      <c r="I51" s="47">
        <f t="shared" si="8"/>
        <v>0</v>
      </c>
      <c r="J51" s="49">
        <f t="array" ref="J51">IFERROR(
SUM(
IF(
'PORTIFÓLIO'!$C$4:$C$564=$A51,
N(INDEX('PORTIFÓLIO'!$J$4:$Q$564,,MATCH(J$2,'PORTIFÓLIO'!$J$3:$Q$3,0))) *
N('PORTIFÓLIO'!$S$4:$S$564),
0
)
),
0)</f>
        <v>0</v>
      </c>
      <c r="K51" s="47">
        <f t="shared" si="9"/>
        <v>0</v>
      </c>
      <c r="L51" s="49">
        <f t="array" ref="L51">IFERROR(
SUM(
IF(
'PORTIFÓLIO'!$C$4:$C$564=$A51,
N(INDEX('PORTIFÓLIO'!$J$4:$Q$564,,MATCH(L$2,'PORTIFÓLIO'!$J$3:$Q$3,0))) *
N('PORTIFÓLIO'!$S$4:$S$564),
0
)
),
0)</f>
        <v>0</v>
      </c>
      <c r="M51" s="47">
        <f t="shared" si="10"/>
        <v>0</v>
      </c>
      <c r="N51" s="49">
        <f t="array" ref="N51">IFERROR(
SUM(
IF(
'PORTIFÓLIO'!$C$4:$C$564=$A51,
N(INDEX('PORTIFÓLIO'!$J$4:$Q$564,,MATCH(N$2,'PORTIFÓLIO'!$J$3:$Q$3,0))) *
N('PORTIFÓLIO'!$S$4:$S$564),
0
)
),
0)</f>
        <v>0</v>
      </c>
      <c r="O51" s="49">
        <f t="shared" si="11"/>
        <v>0</v>
      </c>
      <c r="P51" s="49">
        <f t="array" ref="P51">IFERROR(
SUM(
IF(
'PORTIFÓLIO'!$C$4:$C$564=$A51,
N(INDEX('PORTIFÓLIO'!$J$4:$Q$564,,MATCH(P$2,'PORTIFÓLIO'!$J$3:$Q$3,0))) *
N('PORTIFÓLIO'!$S$4:$S$564),
0
)
),
0)</f>
        <v>0</v>
      </c>
      <c r="Q51" s="49">
        <f t="shared" si="12"/>
        <v>0</v>
      </c>
      <c r="R51" s="49">
        <f t="shared" si="2"/>
        <v>0</v>
      </c>
      <c r="S51" s="49">
        <f t="shared" si="13"/>
        <v>0</v>
      </c>
    </row>
    <row r="52" ht="15.75" hidden="1" customHeight="1" outlineLevel="1">
      <c r="A52" s="48" t="str">
        <f>IFERROR(__xludf.DUMMYFUNCTION("""COMPUTED_VALUE"""),"TRICLOPIR CCAB 480 EC")</f>
        <v>TRICLOPIR CCAB 480 EC</v>
      </c>
      <c r="B52" s="49">
        <f t="array" ref="B52">IFERROR(
SUM(
IF(
'PORTIFÓLIO'!$C$4:$C$564=$A52,
N(INDEX('PORTIFÓLIO'!$J$4:$Q$564,,MATCH(B$2,'PORTIFÓLIO'!$J$3:$Q$3,0))) *
N('PORTIFÓLIO'!$S$4:$S$564),
0
)
),
0)</f>
        <v>0</v>
      </c>
      <c r="C52" s="49">
        <f t="shared" si="5"/>
        <v>0</v>
      </c>
      <c r="D52" s="49">
        <f t="array" ref="D52">IFERROR(
SUM(
IF(
'PORTIFÓLIO'!$C$4:$C$564=$A52,
N(INDEX('PORTIFÓLIO'!$J$4:$Q$564,,MATCH(D$2,'PORTIFÓLIO'!$J$3:$Q$3,0))) *
N('PORTIFÓLIO'!$S$4:$S$564),
0
)
),
0)</f>
        <v>0</v>
      </c>
      <c r="E52" s="49">
        <f t="shared" si="6"/>
        <v>0</v>
      </c>
      <c r="F52" s="49">
        <f t="array" ref="F52">IFERROR(
SUM(
IF(
'PORTIFÓLIO'!$C$4:$C$564=$A52,
N(INDEX('PORTIFÓLIO'!$J$4:$Q$564,,MATCH(F$2,'PORTIFÓLIO'!$J$3:$Q$3,0))) *
N('PORTIFÓLIO'!$S$4:$S$564),
0
)
),
0)</f>
        <v>0</v>
      </c>
      <c r="G52" s="47">
        <f t="shared" si="7"/>
        <v>0</v>
      </c>
      <c r="H52" s="49">
        <f t="array" ref="H52">IFERROR(
SUM(
IF(
'PORTIFÓLIO'!$C$4:$C$564=$A52,
N(INDEX('PORTIFÓLIO'!$J$4:$Q$564,,MATCH(H$2,'PORTIFÓLIO'!$J$3:$Q$3,0))) *
N('PORTIFÓLIO'!$S$4:$S$564),
0
)
),
0)</f>
        <v>0</v>
      </c>
      <c r="I52" s="47">
        <f t="shared" si="8"/>
        <v>0</v>
      </c>
      <c r="J52" s="49">
        <f t="array" ref="J52">IFERROR(
SUM(
IF(
'PORTIFÓLIO'!$C$4:$C$564=$A52,
N(INDEX('PORTIFÓLIO'!$J$4:$Q$564,,MATCH(J$2,'PORTIFÓLIO'!$J$3:$Q$3,0))) *
N('PORTIFÓLIO'!$S$4:$S$564),
0
)
),
0)</f>
        <v>0</v>
      </c>
      <c r="K52" s="47">
        <f t="shared" si="9"/>
        <v>0</v>
      </c>
      <c r="L52" s="49">
        <f t="array" ref="L52">IFERROR(
SUM(
IF(
'PORTIFÓLIO'!$C$4:$C$564=$A52,
N(INDEX('PORTIFÓLIO'!$J$4:$Q$564,,MATCH(L$2,'PORTIFÓLIO'!$J$3:$Q$3,0))) *
N('PORTIFÓLIO'!$S$4:$S$564),
0
)
),
0)</f>
        <v>0</v>
      </c>
      <c r="M52" s="47">
        <f t="shared" si="10"/>
        <v>0</v>
      </c>
      <c r="N52" s="49">
        <f t="array" ref="N52">IFERROR(
SUM(
IF(
'PORTIFÓLIO'!$C$4:$C$564=$A52,
N(INDEX('PORTIFÓLIO'!$J$4:$Q$564,,MATCH(N$2,'PORTIFÓLIO'!$J$3:$Q$3,0))) *
N('PORTIFÓLIO'!$S$4:$S$564),
0
)
),
0)</f>
        <v>0</v>
      </c>
      <c r="O52" s="49">
        <f t="shared" si="11"/>
        <v>0</v>
      </c>
      <c r="P52" s="49">
        <f t="array" ref="P52">IFERROR(
SUM(
IF(
'PORTIFÓLIO'!$C$4:$C$564=$A52,
N(INDEX('PORTIFÓLIO'!$J$4:$Q$564,,MATCH(P$2,'PORTIFÓLIO'!$J$3:$Q$3,0))) *
N('PORTIFÓLIO'!$S$4:$S$564),
0
)
),
0)</f>
        <v>0</v>
      </c>
      <c r="Q52" s="49">
        <f t="shared" si="12"/>
        <v>0</v>
      </c>
      <c r="R52" s="49">
        <f t="shared" si="2"/>
        <v>0</v>
      </c>
      <c r="S52" s="49">
        <f t="shared" si="13"/>
        <v>0</v>
      </c>
    </row>
    <row r="53" ht="15.75" hidden="1" customHeight="1" outlineLevel="1">
      <c r="A53" s="48" t="str">
        <f>IFERROR(__xludf.DUMMYFUNCTION("""COMPUTED_VALUE"""),"ACCENT")</f>
        <v>ACCENT</v>
      </c>
      <c r="B53" s="49">
        <f t="array" ref="B53">IFERROR(
SUM(
IF(
'PORTIFÓLIO'!$C$4:$C$564=$A53,
N(INDEX('PORTIFÓLIO'!$J$4:$Q$564,,MATCH(B$2,'PORTIFÓLIO'!$J$3:$Q$3,0))) *
N('PORTIFÓLIO'!$S$4:$S$564),
0
)
),
0)</f>
        <v>0</v>
      </c>
      <c r="C53" s="49">
        <f t="shared" si="5"/>
        <v>0</v>
      </c>
      <c r="D53" s="49">
        <f t="array" ref="D53">IFERROR(
SUM(
IF(
'PORTIFÓLIO'!$C$4:$C$564=$A53,
N(INDEX('PORTIFÓLIO'!$J$4:$Q$564,,MATCH(D$2,'PORTIFÓLIO'!$J$3:$Q$3,0))) *
N('PORTIFÓLIO'!$S$4:$S$564),
0
)
),
0)</f>
        <v>0</v>
      </c>
      <c r="E53" s="49">
        <f t="shared" si="6"/>
        <v>0</v>
      </c>
      <c r="F53" s="49">
        <f t="array" ref="F53">IFERROR(
SUM(
IF(
'PORTIFÓLIO'!$C$4:$C$564=$A53,
N(INDEX('PORTIFÓLIO'!$J$4:$Q$564,,MATCH(F$2,'PORTIFÓLIO'!$J$3:$Q$3,0))) *
N('PORTIFÓLIO'!$S$4:$S$564),
0
)
),
0)</f>
        <v>0</v>
      </c>
      <c r="G53" s="47">
        <f t="shared" si="7"/>
        <v>0</v>
      </c>
      <c r="H53" s="49">
        <f t="array" ref="H53">IFERROR(
SUM(
IF(
'PORTIFÓLIO'!$C$4:$C$564=$A53,
N(INDEX('PORTIFÓLIO'!$J$4:$Q$564,,MATCH(H$2,'PORTIFÓLIO'!$J$3:$Q$3,0))) *
N('PORTIFÓLIO'!$S$4:$S$564),
0
)
),
0)</f>
        <v>0</v>
      </c>
      <c r="I53" s="47">
        <f t="shared" si="8"/>
        <v>0</v>
      </c>
      <c r="J53" s="49">
        <f t="array" ref="J53">IFERROR(
SUM(
IF(
'PORTIFÓLIO'!$C$4:$C$564=$A53,
N(INDEX('PORTIFÓLIO'!$J$4:$Q$564,,MATCH(J$2,'PORTIFÓLIO'!$J$3:$Q$3,0))) *
N('PORTIFÓLIO'!$S$4:$S$564),
0
)
),
0)</f>
        <v>0</v>
      </c>
      <c r="K53" s="47">
        <f t="shared" si="9"/>
        <v>0</v>
      </c>
      <c r="L53" s="49">
        <f t="array" ref="L53">IFERROR(
SUM(
IF(
'PORTIFÓLIO'!$C$4:$C$564=$A53,
N(INDEX('PORTIFÓLIO'!$J$4:$Q$564,,MATCH(L$2,'PORTIFÓLIO'!$J$3:$Q$3,0))) *
N('PORTIFÓLIO'!$S$4:$S$564),
0
)
),
0)</f>
        <v>0</v>
      </c>
      <c r="M53" s="47">
        <f t="shared" si="10"/>
        <v>0</v>
      </c>
      <c r="N53" s="49">
        <f t="array" ref="N53">IFERROR(
SUM(
IF(
'PORTIFÓLIO'!$C$4:$C$564=$A53,
N(INDEX('PORTIFÓLIO'!$J$4:$Q$564,,MATCH(N$2,'PORTIFÓLIO'!$J$3:$Q$3,0))) *
N('PORTIFÓLIO'!$S$4:$S$564),
0
)
),
0)</f>
        <v>0</v>
      </c>
      <c r="O53" s="49">
        <f t="shared" si="11"/>
        <v>0</v>
      </c>
      <c r="P53" s="49">
        <f t="array" ref="P53">IFERROR(
SUM(
IF(
'PORTIFÓLIO'!$C$4:$C$564=$A53,
N(INDEX('PORTIFÓLIO'!$J$4:$Q$564,,MATCH(P$2,'PORTIFÓLIO'!$J$3:$Q$3,0))) *
N('PORTIFÓLIO'!$S$4:$S$564),
0
)
),
0)</f>
        <v>0</v>
      </c>
      <c r="Q53" s="49">
        <f t="shared" si="12"/>
        <v>0</v>
      </c>
      <c r="R53" s="49">
        <f t="shared" si="2"/>
        <v>0</v>
      </c>
      <c r="S53" s="49">
        <f t="shared" si="13"/>
        <v>0</v>
      </c>
    </row>
    <row r="54" ht="15.75" hidden="1" customHeight="1" outlineLevel="1">
      <c r="A54" s="48" t="str">
        <f>IFERROR(__xludf.DUMMYFUNCTION("""COMPUTED_VALUE"""),"CLASSIC")</f>
        <v>CLASSIC</v>
      </c>
      <c r="B54" s="49">
        <f t="array" ref="B54">IFERROR(
SUM(
IF(
'PORTIFÓLIO'!$C$4:$C$564=$A54,
N(INDEX('PORTIFÓLIO'!$J$4:$Q$564,,MATCH(B$2,'PORTIFÓLIO'!$J$3:$Q$3,0))) *
N('PORTIFÓLIO'!$S$4:$S$564),
0
)
),
0)</f>
        <v>0</v>
      </c>
      <c r="C54" s="49">
        <f t="shared" si="5"/>
        <v>0</v>
      </c>
      <c r="D54" s="49">
        <f t="array" ref="D54">IFERROR(
SUM(
IF(
'PORTIFÓLIO'!$C$4:$C$564=$A54,
N(INDEX('PORTIFÓLIO'!$J$4:$Q$564,,MATCH(D$2,'PORTIFÓLIO'!$J$3:$Q$3,0))) *
N('PORTIFÓLIO'!$S$4:$S$564),
0
)
),
0)</f>
        <v>0</v>
      </c>
      <c r="E54" s="49">
        <f t="shared" si="6"/>
        <v>0</v>
      </c>
      <c r="F54" s="49">
        <f t="array" ref="F54">IFERROR(
SUM(
IF(
'PORTIFÓLIO'!$C$4:$C$564=$A54,
N(INDEX('PORTIFÓLIO'!$J$4:$Q$564,,MATCH(F$2,'PORTIFÓLIO'!$J$3:$Q$3,0))) *
N('PORTIFÓLIO'!$S$4:$S$564),
0
)
),
0)</f>
        <v>0</v>
      </c>
      <c r="G54" s="47">
        <f t="shared" si="7"/>
        <v>0</v>
      </c>
      <c r="H54" s="49">
        <f t="array" ref="H54">IFERROR(
SUM(
IF(
'PORTIFÓLIO'!$C$4:$C$564=$A54,
N(INDEX('PORTIFÓLIO'!$J$4:$Q$564,,MATCH(H$2,'PORTIFÓLIO'!$J$3:$Q$3,0))) *
N('PORTIFÓLIO'!$S$4:$S$564),
0
)
),
0)</f>
        <v>0</v>
      </c>
      <c r="I54" s="47">
        <f t="shared" si="8"/>
        <v>0</v>
      </c>
      <c r="J54" s="49">
        <f t="array" ref="J54">IFERROR(
SUM(
IF(
'PORTIFÓLIO'!$C$4:$C$564=$A54,
N(INDEX('PORTIFÓLIO'!$J$4:$Q$564,,MATCH(J$2,'PORTIFÓLIO'!$J$3:$Q$3,0))) *
N('PORTIFÓLIO'!$S$4:$S$564),
0
)
),
0)</f>
        <v>0</v>
      </c>
      <c r="K54" s="47">
        <f t="shared" si="9"/>
        <v>0</v>
      </c>
      <c r="L54" s="49">
        <f t="array" ref="L54">IFERROR(
SUM(
IF(
'PORTIFÓLIO'!$C$4:$C$564=$A54,
N(INDEX('PORTIFÓLIO'!$J$4:$Q$564,,MATCH(L$2,'PORTIFÓLIO'!$J$3:$Q$3,0))) *
N('PORTIFÓLIO'!$S$4:$S$564),
0
)
),
0)</f>
        <v>0</v>
      </c>
      <c r="M54" s="47">
        <f t="shared" si="10"/>
        <v>0</v>
      </c>
      <c r="N54" s="49">
        <f t="array" ref="N54">IFERROR(
SUM(
IF(
'PORTIFÓLIO'!$C$4:$C$564=$A54,
N(INDEX('PORTIFÓLIO'!$J$4:$Q$564,,MATCH(N$2,'PORTIFÓLIO'!$J$3:$Q$3,0))) *
N('PORTIFÓLIO'!$S$4:$S$564),
0
)
),
0)</f>
        <v>0</v>
      </c>
      <c r="O54" s="49">
        <f t="shared" si="11"/>
        <v>0</v>
      </c>
      <c r="P54" s="49">
        <f t="array" ref="P54">IFERROR(
SUM(
IF(
'PORTIFÓLIO'!$C$4:$C$564=$A54,
N(INDEX('PORTIFÓLIO'!$J$4:$Q$564,,MATCH(P$2,'PORTIFÓLIO'!$J$3:$Q$3,0))) *
N('PORTIFÓLIO'!$S$4:$S$564),
0
)
),
0)</f>
        <v>0</v>
      </c>
      <c r="Q54" s="49">
        <f t="shared" si="12"/>
        <v>0</v>
      </c>
      <c r="R54" s="49">
        <f t="shared" si="2"/>
        <v>0</v>
      </c>
      <c r="S54" s="49">
        <f t="shared" si="13"/>
        <v>0</v>
      </c>
    </row>
    <row r="55" ht="15.75" hidden="1" customHeight="1" outlineLevel="1">
      <c r="A55" s="48" t="str">
        <f>IFERROR(__xludf.DUMMYFUNCTION("""COMPUTED_VALUE"""),"CLINCHER")</f>
        <v>CLINCHER</v>
      </c>
      <c r="B55" s="49">
        <f t="array" ref="B55">IFERROR(
SUM(
IF(
'PORTIFÓLIO'!$C$4:$C$564=$A55,
N(INDEX('PORTIFÓLIO'!$J$4:$Q$564,,MATCH(B$2,'PORTIFÓLIO'!$J$3:$Q$3,0))) *
N('PORTIFÓLIO'!$S$4:$S$564),
0
)
),
0)</f>
        <v>0</v>
      </c>
      <c r="C55" s="49">
        <f t="shared" si="5"/>
        <v>0</v>
      </c>
      <c r="D55" s="49">
        <f t="array" ref="D55">IFERROR(
SUM(
IF(
'PORTIFÓLIO'!$C$4:$C$564=$A55,
N(INDEX('PORTIFÓLIO'!$J$4:$Q$564,,MATCH(D$2,'PORTIFÓLIO'!$J$3:$Q$3,0))) *
N('PORTIFÓLIO'!$S$4:$S$564),
0
)
),
0)</f>
        <v>0</v>
      </c>
      <c r="E55" s="49">
        <f t="shared" si="6"/>
        <v>0</v>
      </c>
      <c r="F55" s="49">
        <f t="array" ref="F55">IFERROR(
SUM(
IF(
'PORTIFÓLIO'!$C$4:$C$564=$A55,
N(INDEX('PORTIFÓLIO'!$J$4:$Q$564,,MATCH(F$2,'PORTIFÓLIO'!$J$3:$Q$3,0))) *
N('PORTIFÓLIO'!$S$4:$S$564),
0
)
),
0)</f>
        <v>0</v>
      </c>
      <c r="G55" s="47">
        <f t="shared" si="7"/>
        <v>0</v>
      </c>
      <c r="H55" s="49">
        <f t="array" ref="H55">IFERROR(
SUM(
IF(
'PORTIFÓLIO'!$C$4:$C$564=$A55,
N(INDEX('PORTIFÓLIO'!$J$4:$Q$564,,MATCH(H$2,'PORTIFÓLIO'!$J$3:$Q$3,0))) *
N('PORTIFÓLIO'!$S$4:$S$564),
0
)
),
0)</f>
        <v>0</v>
      </c>
      <c r="I55" s="47">
        <f t="shared" si="8"/>
        <v>0</v>
      </c>
      <c r="J55" s="49">
        <f t="array" ref="J55">IFERROR(
SUM(
IF(
'PORTIFÓLIO'!$C$4:$C$564=$A55,
N(INDEX('PORTIFÓLIO'!$J$4:$Q$564,,MATCH(J$2,'PORTIFÓLIO'!$J$3:$Q$3,0))) *
N('PORTIFÓLIO'!$S$4:$S$564),
0
)
),
0)</f>
        <v>0</v>
      </c>
      <c r="K55" s="47">
        <f t="shared" si="9"/>
        <v>0</v>
      </c>
      <c r="L55" s="49">
        <f t="array" ref="L55">IFERROR(
SUM(
IF(
'PORTIFÓLIO'!$C$4:$C$564=$A55,
N(INDEX('PORTIFÓLIO'!$J$4:$Q$564,,MATCH(L$2,'PORTIFÓLIO'!$J$3:$Q$3,0))) *
N('PORTIFÓLIO'!$S$4:$S$564),
0
)
),
0)</f>
        <v>0</v>
      </c>
      <c r="M55" s="47">
        <f t="shared" si="10"/>
        <v>0</v>
      </c>
      <c r="N55" s="49">
        <f t="array" ref="N55">IFERROR(
SUM(
IF(
'PORTIFÓLIO'!$C$4:$C$564=$A55,
N(INDEX('PORTIFÓLIO'!$J$4:$Q$564,,MATCH(N$2,'PORTIFÓLIO'!$J$3:$Q$3,0))) *
N('PORTIFÓLIO'!$S$4:$S$564),
0
)
),
0)</f>
        <v>0</v>
      </c>
      <c r="O55" s="49">
        <f t="shared" si="11"/>
        <v>0</v>
      </c>
      <c r="P55" s="49">
        <f t="array" ref="P55">IFERROR(
SUM(
IF(
'PORTIFÓLIO'!$C$4:$C$564=$A55,
N(INDEX('PORTIFÓLIO'!$J$4:$Q$564,,MATCH(P$2,'PORTIFÓLIO'!$J$3:$Q$3,0))) *
N('PORTIFÓLIO'!$S$4:$S$564),
0
)
),
0)</f>
        <v>0</v>
      </c>
      <c r="Q55" s="49">
        <f t="shared" si="12"/>
        <v>0</v>
      </c>
      <c r="R55" s="49">
        <f t="shared" si="2"/>
        <v>0</v>
      </c>
      <c r="S55" s="49">
        <f t="shared" si="13"/>
        <v>0</v>
      </c>
    </row>
    <row r="56" ht="15.75" hidden="1" customHeight="1" outlineLevel="1">
      <c r="A56" s="48" t="str">
        <f>IFERROR(__xludf.DUMMYFUNCTION("""COMPUTED_VALUE"""),"ELEVORE")</f>
        <v>ELEVORE</v>
      </c>
      <c r="B56" s="49">
        <f t="array" ref="B56">IFERROR(
SUM(
IF(
'PORTIFÓLIO'!$C$4:$C$564=$A56,
N(INDEX('PORTIFÓLIO'!$J$4:$Q$564,,MATCH(B$2,'PORTIFÓLIO'!$J$3:$Q$3,0))) *
N('PORTIFÓLIO'!$S$4:$S$564),
0
)
),
0)</f>
        <v>0</v>
      </c>
      <c r="C56" s="49">
        <f t="shared" si="5"/>
        <v>0</v>
      </c>
      <c r="D56" s="49">
        <f t="array" ref="D56">IFERROR(
SUM(
IF(
'PORTIFÓLIO'!$C$4:$C$564=$A56,
N(INDEX('PORTIFÓLIO'!$J$4:$Q$564,,MATCH(D$2,'PORTIFÓLIO'!$J$3:$Q$3,0))) *
N('PORTIFÓLIO'!$S$4:$S$564),
0
)
),
0)</f>
        <v>0</v>
      </c>
      <c r="E56" s="49">
        <f t="shared" si="6"/>
        <v>0</v>
      </c>
      <c r="F56" s="49">
        <f t="array" ref="F56">IFERROR(
SUM(
IF(
'PORTIFÓLIO'!$C$4:$C$564=$A56,
N(INDEX('PORTIFÓLIO'!$J$4:$Q$564,,MATCH(F$2,'PORTIFÓLIO'!$J$3:$Q$3,0))) *
N('PORTIFÓLIO'!$S$4:$S$564),
0
)
),
0)</f>
        <v>0</v>
      </c>
      <c r="G56" s="47">
        <f t="shared" si="7"/>
        <v>0</v>
      </c>
      <c r="H56" s="49">
        <f t="array" ref="H56">IFERROR(
SUM(
IF(
'PORTIFÓLIO'!$C$4:$C$564=$A56,
N(INDEX('PORTIFÓLIO'!$J$4:$Q$564,,MATCH(H$2,'PORTIFÓLIO'!$J$3:$Q$3,0))) *
N('PORTIFÓLIO'!$S$4:$S$564),
0
)
),
0)</f>
        <v>0</v>
      </c>
      <c r="I56" s="47">
        <f t="shared" si="8"/>
        <v>0</v>
      </c>
      <c r="J56" s="49">
        <f t="array" ref="J56">IFERROR(
SUM(
IF(
'PORTIFÓLIO'!$C$4:$C$564=$A56,
N(INDEX('PORTIFÓLIO'!$J$4:$Q$564,,MATCH(J$2,'PORTIFÓLIO'!$J$3:$Q$3,0))) *
N('PORTIFÓLIO'!$S$4:$S$564),
0
)
),
0)</f>
        <v>0</v>
      </c>
      <c r="K56" s="47">
        <f t="shared" si="9"/>
        <v>0</v>
      </c>
      <c r="L56" s="49">
        <f t="array" ref="L56">IFERROR(
SUM(
IF(
'PORTIFÓLIO'!$C$4:$C$564=$A56,
N(INDEX('PORTIFÓLIO'!$J$4:$Q$564,,MATCH(L$2,'PORTIFÓLIO'!$J$3:$Q$3,0))) *
N('PORTIFÓLIO'!$S$4:$S$564),
0
)
),
0)</f>
        <v>0</v>
      </c>
      <c r="M56" s="47">
        <f t="shared" si="10"/>
        <v>0</v>
      </c>
      <c r="N56" s="49">
        <f t="array" ref="N56">IFERROR(
SUM(
IF(
'PORTIFÓLIO'!$C$4:$C$564=$A56,
N(INDEX('PORTIFÓLIO'!$J$4:$Q$564,,MATCH(N$2,'PORTIFÓLIO'!$J$3:$Q$3,0))) *
N('PORTIFÓLIO'!$S$4:$S$564),
0
)
),
0)</f>
        <v>0</v>
      </c>
      <c r="O56" s="49">
        <f t="shared" si="11"/>
        <v>0</v>
      </c>
      <c r="P56" s="49">
        <f t="array" ref="P56">IFERROR(
SUM(
IF(
'PORTIFÓLIO'!$C$4:$C$564=$A56,
N(INDEX('PORTIFÓLIO'!$J$4:$Q$564,,MATCH(P$2,'PORTIFÓLIO'!$J$3:$Q$3,0))) *
N('PORTIFÓLIO'!$S$4:$S$564),
0
)
),
0)</f>
        <v>0</v>
      </c>
      <c r="Q56" s="49">
        <f t="shared" si="12"/>
        <v>0</v>
      </c>
      <c r="R56" s="49">
        <f t="shared" si="2"/>
        <v>0</v>
      </c>
      <c r="S56" s="49">
        <f t="shared" si="13"/>
        <v>0</v>
      </c>
    </row>
    <row r="57" ht="15.75" hidden="1" customHeight="1" outlineLevel="1">
      <c r="A57" s="48" t="str">
        <f>IFERROR(__xludf.DUMMYFUNCTION("""COMPUTED_VALUE"""),"ENLIST COLEX-D")</f>
        <v>ENLIST COLEX-D</v>
      </c>
      <c r="B57" s="49">
        <f t="array" ref="B57">IFERROR(
SUM(
IF(
'PORTIFÓLIO'!$C$4:$C$564=$A57,
N(INDEX('PORTIFÓLIO'!$J$4:$Q$564,,MATCH(B$2,'PORTIFÓLIO'!$J$3:$Q$3,0))) *
N('PORTIFÓLIO'!$S$4:$S$564),
0
)
),
0)</f>
        <v>0</v>
      </c>
      <c r="C57" s="49">
        <f t="shared" si="5"/>
        <v>0</v>
      </c>
      <c r="D57" s="49">
        <f t="array" ref="D57">IFERROR(
SUM(
IF(
'PORTIFÓLIO'!$C$4:$C$564=$A57,
N(INDEX('PORTIFÓLIO'!$J$4:$Q$564,,MATCH(D$2,'PORTIFÓLIO'!$J$3:$Q$3,0))) *
N('PORTIFÓLIO'!$S$4:$S$564),
0
)
),
0)</f>
        <v>0</v>
      </c>
      <c r="E57" s="49">
        <f t="shared" si="6"/>
        <v>0</v>
      </c>
      <c r="F57" s="49">
        <f t="array" ref="F57">IFERROR(
SUM(
IF(
'PORTIFÓLIO'!$C$4:$C$564=$A57,
N(INDEX('PORTIFÓLIO'!$J$4:$Q$564,,MATCH(F$2,'PORTIFÓLIO'!$J$3:$Q$3,0))) *
N('PORTIFÓLIO'!$S$4:$S$564),
0
)
),
0)</f>
        <v>0</v>
      </c>
      <c r="G57" s="47">
        <f t="shared" si="7"/>
        <v>0</v>
      </c>
      <c r="H57" s="49">
        <f t="array" ref="H57">IFERROR(
SUM(
IF(
'PORTIFÓLIO'!$C$4:$C$564=$A57,
N(INDEX('PORTIFÓLIO'!$J$4:$Q$564,,MATCH(H$2,'PORTIFÓLIO'!$J$3:$Q$3,0))) *
N('PORTIFÓLIO'!$S$4:$S$564),
0
)
),
0)</f>
        <v>0</v>
      </c>
      <c r="I57" s="47">
        <f t="shared" si="8"/>
        <v>0</v>
      </c>
      <c r="J57" s="49">
        <f t="array" ref="J57">IFERROR(
SUM(
IF(
'PORTIFÓLIO'!$C$4:$C$564=$A57,
N(INDEX('PORTIFÓLIO'!$J$4:$Q$564,,MATCH(J$2,'PORTIFÓLIO'!$J$3:$Q$3,0))) *
N('PORTIFÓLIO'!$S$4:$S$564),
0
)
),
0)</f>
        <v>0</v>
      </c>
      <c r="K57" s="47">
        <f t="shared" si="9"/>
        <v>0</v>
      </c>
      <c r="L57" s="49">
        <f t="array" ref="L57">IFERROR(
SUM(
IF(
'PORTIFÓLIO'!$C$4:$C$564=$A57,
N(INDEX('PORTIFÓLIO'!$J$4:$Q$564,,MATCH(L$2,'PORTIFÓLIO'!$J$3:$Q$3,0))) *
N('PORTIFÓLIO'!$S$4:$S$564),
0
)
),
0)</f>
        <v>0</v>
      </c>
      <c r="M57" s="47">
        <f t="shared" si="10"/>
        <v>0</v>
      </c>
      <c r="N57" s="49">
        <f t="array" ref="N57">IFERROR(
SUM(
IF(
'PORTIFÓLIO'!$C$4:$C$564=$A57,
N(INDEX('PORTIFÓLIO'!$J$4:$Q$564,,MATCH(N$2,'PORTIFÓLIO'!$J$3:$Q$3,0))) *
N('PORTIFÓLIO'!$S$4:$S$564),
0
)
),
0)</f>
        <v>0</v>
      </c>
      <c r="O57" s="49">
        <f t="shared" si="11"/>
        <v>0</v>
      </c>
      <c r="P57" s="49">
        <f t="array" ref="P57">IFERROR(
SUM(
IF(
'PORTIFÓLIO'!$C$4:$C$564=$A57,
N(INDEX('PORTIFÓLIO'!$J$4:$Q$564,,MATCH(P$2,'PORTIFÓLIO'!$J$3:$Q$3,0))) *
N('PORTIFÓLIO'!$S$4:$S$564),
0
)
),
0)</f>
        <v>0</v>
      </c>
      <c r="Q57" s="49">
        <f t="shared" si="12"/>
        <v>0</v>
      </c>
      <c r="R57" s="49">
        <f t="shared" si="2"/>
        <v>0</v>
      </c>
      <c r="S57" s="49">
        <f t="shared" si="13"/>
        <v>0</v>
      </c>
    </row>
    <row r="58" ht="15.75" hidden="1" customHeight="1" outlineLevel="1">
      <c r="A58" s="48" t="str">
        <f>IFERROR(__xludf.DUMMYFUNCTION("""COMPUTED_VALUE"""),"GAPPER")</f>
        <v>GAPPER</v>
      </c>
      <c r="B58" s="49">
        <f t="array" ref="B58">IFERROR(
SUM(
IF(
'PORTIFÓLIO'!$C$4:$C$564=$A58,
N(INDEX('PORTIFÓLIO'!$J$4:$Q$564,,MATCH(B$2,'PORTIFÓLIO'!$J$3:$Q$3,0))) *
N('PORTIFÓLIO'!$S$4:$S$564),
0
)
),
0)</f>
        <v>0</v>
      </c>
      <c r="C58" s="49">
        <f t="shared" si="5"/>
        <v>0</v>
      </c>
      <c r="D58" s="49">
        <f t="array" ref="D58">IFERROR(
SUM(
IF(
'PORTIFÓLIO'!$C$4:$C$564=$A58,
N(INDEX('PORTIFÓLIO'!$J$4:$Q$564,,MATCH(D$2,'PORTIFÓLIO'!$J$3:$Q$3,0))) *
N('PORTIFÓLIO'!$S$4:$S$564),
0
)
),
0)</f>
        <v>0</v>
      </c>
      <c r="E58" s="49">
        <f t="shared" si="6"/>
        <v>0</v>
      </c>
      <c r="F58" s="49">
        <f t="array" ref="F58">IFERROR(
SUM(
IF(
'PORTIFÓLIO'!$C$4:$C$564=$A58,
N(INDEX('PORTIFÓLIO'!$J$4:$Q$564,,MATCH(F$2,'PORTIFÓLIO'!$J$3:$Q$3,0))) *
N('PORTIFÓLIO'!$S$4:$S$564),
0
)
),
0)</f>
        <v>0</v>
      </c>
      <c r="G58" s="47">
        <f t="shared" si="7"/>
        <v>0</v>
      </c>
      <c r="H58" s="49">
        <f t="array" ref="H58">IFERROR(
SUM(
IF(
'PORTIFÓLIO'!$C$4:$C$564=$A58,
N(INDEX('PORTIFÓLIO'!$J$4:$Q$564,,MATCH(H$2,'PORTIFÓLIO'!$J$3:$Q$3,0))) *
N('PORTIFÓLIO'!$S$4:$S$564),
0
)
),
0)</f>
        <v>0</v>
      </c>
      <c r="I58" s="47">
        <f t="shared" si="8"/>
        <v>0</v>
      </c>
      <c r="J58" s="49">
        <f t="array" ref="J58">IFERROR(
SUM(
IF(
'PORTIFÓLIO'!$C$4:$C$564=$A58,
N(INDEX('PORTIFÓLIO'!$J$4:$Q$564,,MATCH(J$2,'PORTIFÓLIO'!$J$3:$Q$3,0))) *
N('PORTIFÓLIO'!$S$4:$S$564),
0
)
),
0)</f>
        <v>0</v>
      </c>
      <c r="K58" s="47">
        <f t="shared" si="9"/>
        <v>0</v>
      </c>
      <c r="L58" s="49">
        <f t="array" ref="L58">IFERROR(
SUM(
IF(
'PORTIFÓLIO'!$C$4:$C$564=$A58,
N(INDEX('PORTIFÓLIO'!$J$4:$Q$564,,MATCH(L$2,'PORTIFÓLIO'!$J$3:$Q$3,0))) *
N('PORTIFÓLIO'!$S$4:$S$564),
0
)
),
0)</f>
        <v>0</v>
      </c>
      <c r="M58" s="47">
        <f t="shared" si="10"/>
        <v>0</v>
      </c>
      <c r="N58" s="49">
        <f t="array" ref="N58">IFERROR(
SUM(
IF(
'PORTIFÓLIO'!$C$4:$C$564=$A58,
N(INDEX('PORTIFÓLIO'!$J$4:$Q$564,,MATCH(N$2,'PORTIFÓLIO'!$J$3:$Q$3,0))) *
N('PORTIFÓLIO'!$S$4:$S$564),
0
)
),
0)</f>
        <v>0</v>
      </c>
      <c r="O58" s="49">
        <f t="shared" si="11"/>
        <v>0</v>
      </c>
      <c r="P58" s="49">
        <f t="array" ref="P58">IFERROR(
SUM(
IF(
'PORTIFÓLIO'!$C$4:$C$564=$A58,
N(INDEX('PORTIFÓLIO'!$J$4:$Q$564,,MATCH(P$2,'PORTIFÓLIO'!$J$3:$Q$3,0))) *
N('PORTIFÓLIO'!$S$4:$S$564),
0
)
),
0)</f>
        <v>0</v>
      </c>
      <c r="Q58" s="49">
        <f t="shared" si="12"/>
        <v>0</v>
      </c>
      <c r="R58" s="49">
        <f t="shared" si="2"/>
        <v>0</v>
      </c>
      <c r="S58" s="49">
        <f t="shared" si="13"/>
        <v>0</v>
      </c>
    </row>
    <row r="59" ht="15.75" hidden="1" customHeight="1" outlineLevel="1">
      <c r="A59" s="48" t="str">
        <f>IFERROR(__xludf.DUMMYFUNCTION("""COMPUTED_VALUE"""),"PACTO")</f>
        <v>PACTO</v>
      </c>
      <c r="B59" s="49">
        <f t="array" ref="B59">IFERROR(
SUM(
IF(
'PORTIFÓLIO'!$C$4:$C$564=$A59,
N(INDEX('PORTIFÓLIO'!$J$4:$Q$564,,MATCH(B$2,'PORTIFÓLIO'!$J$3:$Q$3,0))) *
N('PORTIFÓLIO'!$S$4:$S$564),
0
)
),
0)</f>
        <v>0</v>
      </c>
      <c r="C59" s="49">
        <f t="shared" si="5"/>
        <v>0</v>
      </c>
      <c r="D59" s="49">
        <f t="array" ref="D59">IFERROR(
SUM(
IF(
'PORTIFÓLIO'!$C$4:$C$564=$A59,
N(INDEX('PORTIFÓLIO'!$J$4:$Q$564,,MATCH(D$2,'PORTIFÓLIO'!$J$3:$Q$3,0))) *
N('PORTIFÓLIO'!$S$4:$S$564),
0
)
),
0)</f>
        <v>0</v>
      </c>
      <c r="E59" s="49">
        <f t="shared" si="6"/>
        <v>0</v>
      </c>
      <c r="F59" s="49">
        <f t="array" ref="F59">IFERROR(
SUM(
IF(
'PORTIFÓLIO'!$C$4:$C$564=$A59,
N(INDEX('PORTIFÓLIO'!$J$4:$Q$564,,MATCH(F$2,'PORTIFÓLIO'!$J$3:$Q$3,0))) *
N('PORTIFÓLIO'!$S$4:$S$564),
0
)
),
0)</f>
        <v>0</v>
      </c>
      <c r="G59" s="47">
        <f t="shared" si="7"/>
        <v>0</v>
      </c>
      <c r="H59" s="49">
        <f t="array" ref="H59">IFERROR(
SUM(
IF(
'PORTIFÓLIO'!$C$4:$C$564=$A59,
N(INDEX('PORTIFÓLIO'!$J$4:$Q$564,,MATCH(H$2,'PORTIFÓLIO'!$J$3:$Q$3,0))) *
N('PORTIFÓLIO'!$S$4:$S$564),
0
)
),
0)</f>
        <v>0</v>
      </c>
      <c r="I59" s="47">
        <f t="shared" si="8"/>
        <v>0</v>
      </c>
      <c r="J59" s="49">
        <f t="array" ref="J59">IFERROR(
SUM(
IF(
'PORTIFÓLIO'!$C$4:$C$564=$A59,
N(INDEX('PORTIFÓLIO'!$J$4:$Q$564,,MATCH(J$2,'PORTIFÓLIO'!$J$3:$Q$3,0))) *
N('PORTIFÓLIO'!$S$4:$S$564),
0
)
),
0)</f>
        <v>0</v>
      </c>
      <c r="K59" s="47">
        <f t="shared" si="9"/>
        <v>0</v>
      </c>
      <c r="L59" s="49">
        <f t="array" ref="L59">IFERROR(
SUM(
IF(
'PORTIFÓLIO'!$C$4:$C$564=$A59,
N(INDEX('PORTIFÓLIO'!$J$4:$Q$564,,MATCH(L$2,'PORTIFÓLIO'!$J$3:$Q$3,0))) *
N('PORTIFÓLIO'!$S$4:$S$564),
0
)
),
0)</f>
        <v>0</v>
      </c>
      <c r="M59" s="47">
        <f t="shared" si="10"/>
        <v>0</v>
      </c>
      <c r="N59" s="49">
        <f t="array" ref="N59">IFERROR(
SUM(
IF(
'PORTIFÓLIO'!$C$4:$C$564=$A59,
N(INDEX('PORTIFÓLIO'!$J$4:$Q$564,,MATCH(N$2,'PORTIFÓLIO'!$J$3:$Q$3,0))) *
N('PORTIFÓLIO'!$S$4:$S$564),
0
)
),
0)</f>
        <v>0</v>
      </c>
      <c r="O59" s="49">
        <f t="shared" si="11"/>
        <v>0</v>
      </c>
      <c r="P59" s="49">
        <f t="array" ref="P59">IFERROR(
SUM(
IF(
'PORTIFÓLIO'!$C$4:$C$564=$A59,
N(INDEX('PORTIFÓLIO'!$J$4:$Q$564,,MATCH(P$2,'PORTIFÓLIO'!$J$3:$Q$3,0))) *
N('PORTIFÓLIO'!$S$4:$S$564),
0
)
),
0)</f>
        <v>0</v>
      </c>
      <c r="Q59" s="49">
        <f t="shared" si="12"/>
        <v>0</v>
      </c>
      <c r="R59" s="49">
        <f t="shared" si="2"/>
        <v>0</v>
      </c>
      <c r="S59" s="49">
        <f t="shared" si="13"/>
        <v>0</v>
      </c>
    </row>
    <row r="60" ht="15.75" hidden="1" customHeight="1" outlineLevel="1">
      <c r="A60" s="48" t="str">
        <f>IFERROR(__xludf.DUMMYFUNCTION("""COMPUTED_VALUE"""),"PAXEO")</f>
        <v>PAXEO</v>
      </c>
      <c r="B60" s="49">
        <f t="array" ref="B60">IFERROR(
SUM(
IF(
'PORTIFÓLIO'!$C$4:$C$564=$A60,
N(INDEX('PORTIFÓLIO'!$J$4:$Q$564,,MATCH(B$2,'PORTIFÓLIO'!$J$3:$Q$3,0))) *
N('PORTIFÓLIO'!$S$4:$S$564),
0
)
),
0)</f>
        <v>0</v>
      </c>
      <c r="C60" s="49">
        <f t="shared" si="5"/>
        <v>0</v>
      </c>
      <c r="D60" s="49">
        <f t="array" ref="D60">IFERROR(
SUM(
IF(
'PORTIFÓLIO'!$C$4:$C$564=$A60,
N(INDEX('PORTIFÓLIO'!$J$4:$Q$564,,MATCH(D$2,'PORTIFÓLIO'!$J$3:$Q$3,0))) *
N('PORTIFÓLIO'!$S$4:$S$564),
0
)
),
0)</f>
        <v>0</v>
      </c>
      <c r="E60" s="49">
        <f t="shared" si="6"/>
        <v>0</v>
      </c>
      <c r="F60" s="49">
        <f t="array" ref="F60">IFERROR(
SUM(
IF(
'PORTIFÓLIO'!$C$4:$C$564=$A60,
N(INDEX('PORTIFÓLIO'!$J$4:$Q$564,,MATCH(F$2,'PORTIFÓLIO'!$J$3:$Q$3,0))) *
N('PORTIFÓLIO'!$S$4:$S$564),
0
)
),
0)</f>
        <v>0</v>
      </c>
      <c r="G60" s="47">
        <f t="shared" si="7"/>
        <v>0</v>
      </c>
      <c r="H60" s="49">
        <f t="array" ref="H60">IFERROR(
SUM(
IF(
'PORTIFÓLIO'!$C$4:$C$564=$A60,
N(INDEX('PORTIFÓLIO'!$J$4:$Q$564,,MATCH(H$2,'PORTIFÓLIO'!$J$3:$Q$3,0))) *
N('PORTIFÓLIO'!$S$4:$S$564),
0
)
),
0)</f>
        <v>0</v>
      </c>
      <c r="I60" s="47">
        <f t="shared" si="8"/>
        <v>0</v>
      </c>
      <c r="J60" s="49">
        <f t="array" ref="J60">IFERROR(
SUM(
IF(
'PORTIFÓLIO'!$C$4:$C$564=$A60,
N(INDEX('PORTIFÓLIO'!$J$4:$Q$564,,MATCH(J$2,'PORTIFÓLIO'!$J$3:$Q$3,0))) *
N('PORTIFÓLIO'!$S$4:$S$564),
0
)
),
0)</f>
        <v>0</v>
      </c>
      <c r="K60" s="47">
        <f t="shared" si="9"/>
        <v>0</v>
      </c>
      <c r="L60" s="49">
        <f t="array" ref="L60">IFERROR(
SUM(
IF(
'PORTIFÓLIO'!$C$4:$C$564=$A60,
N(INDEX('PORTIFÓLIO'!$J$4:$Q$564,,MATCH(L$2,'PORTIFÓLIO'!$J$3:$Q$3,0))) *
N('PORTIFÓLIO'!$S$4:$S$564),
0
)
),
0)</f>
        <v>0</v>
      </c>
      <c r="M60" s="47">
        <f t="shared" si="10"/>
        <v>0</v>
      </c>
      <c r="N60" s="49">
        <f t="array" ref="N60">IFERROR(
SUM(
IF(
'PORTIFÓLIO'!$C$4:$C$564=$A60,
N(INDEX('PORTIFÓLIO'!$J$4:$Q$564,,MATCH(N$2,'PORTIFÓLIO'!$J$3:$Q$3,0))) *
N('PORTIFÓLIO'!$S$4:$S$564),
0
)
),
0)</f>
        <v>0</v>
      </c>
      <c r="O60" s="49">
        <f t="shared" si="11"/>
        <v>0</v>
      </c>
      <c r="P60" s="49">
        <f t="array" ref="P60">IFERROR(
SUM(
IF(
'PORTIFÓLIO'!$C$4:$C$564=$A60,
N(INDEX('PORTIFÓLIO'!$J$4:$Q$564,,MATCH(P$2,'PORTIFÓLIO'!$J$3:$Q$3,0))) *
N('PORTIFÓLIO'!$S$4:$S$564),
0
)
),
0)</f>
        <v>0</v>
      </c>
      <c r="Q60" s="49">
        <f t="shared" si="12"/>
        <v>0</v>
      </c>
      <c r="R60" s="49">
        <f t="shared" si="2"/>
        <v>0</v>
      </c>
      <c r="S60" s="49">
        <f t="shared" si="13"/>
        <v>0</v>
      </c>
    </row>
    <row r="61" ht="15.75" hidden="1" customHeight="1" outlineLevel="1">
      <c r="A61" s="48" t="str">
        <f>IFERROR(__xludf.DUMMYFUNCTION("""COMPUTED_VALUE"""),"SPIDER 840 WG")</f>
        <v>SPIDER 840 WG</v>
      </c>
      <c r="B61" s="49">
        <f t="array" ref="B61">IFERROR(
SUM(
IF(
'PORTIFÓLIO'!$C$4:$C$564=$A61,
N(INDEX('PORTIFÓLIO'!$J$4:$Q$564,,MATCH(B$2,'PORTIFÓLIO'!$J$3:$Q$3,0))) *
N('PORTIFÓLIO'!$S$4:$S$564),
0
)
),
0)</f>
        <v>0</v>
      </c>
      <c r="C61" s="49">
        <f t="shared" si="5"/>
        <v>0</v>
      </c>
      <c r="D61" s="49">
        <f t="array" ref="D61">IFERROR(
SUM(
IF(
'PORTIFÓLIO'!$C$4:$C$564=$A61,
N(INDEX('PORTIFÓLIO'!$J$4:$Q$564,,MATCH(D$2,'PORTIFÓLIO'!$J$3:$Q$3,0))) *
N('PORTIFÓLIO'!$S$4:$S$564),
0
)
),
0)</f>
        <v>0</v>
      </c>
      <c r="E61" s="49">
        <f t="shared" si="6"/>
        <v>0</v>
      </c>
      <c r="F61" s="49">
        <f t="array" ref="F61">IFERROR(
SUM(
IF(
'PORTIFÓLIO'!$C$4:$C$564=$A61,
N(INDEX('PORTIFÓLIO'!$J$4:$Q$564,,MATCH(F$2,'PORTIFÓLIO'!$J$3:$Q$3,0))) *
N('PORTIFÓLIO'!$S$4:$S$564),
0
)
),
0)</f>
        <v>0</v>
      </c>
      <c r="G61" s="47">
        <f t="shared" si="7"/>
        <v>0</v>
      </c>
      <c r="H61" s="49">
        <f t="array" ref="H61">IFERROR(
SUM(
IF(
'PORTIFÓLIO'!$C$4:$C$564=$A61,
N(INDEX('PORTIFÓLIO'!$J$4:$Q$564,,MATCH(H$2,'PORTIFÓLIO'!$J$3:$Q$3,0))) *
N('PORTIFÓLIO'!$S$4:$S$564),
0
)
),
0)</f>
        <v>0</v>
      </c>
      <c r="I61" s="47">
        <f t="shared" si="8"/>
        <v>0</v>
      </c>
      <c r="J61" s="49">
        <f t="array" ref="J61">IFERROR(
SUM(
IF(
'PORTIFÓLIO'!$C$4:$C$564=$A61,
N(INDEX('PORTIFÓLIO'!$J$4:$Q$564,,MATCH(J$2,'PORTIFÓLIO'!$J$3:$Q$3,0))) *
N('PORTIFÓLIO'!$S$4:$S$564),
0
)
),
0)</f>
        <v>0</v>
      </c>
      <c r="K61" s="47">
        <f t="shared" si="9"/>
        <v>0</v>
      </c>
      <c r="L61" s="49">
        <f t="array" ref="L61">IFERROR(
SUM(
IF(
'PORTIFÓLIO'!$C$4:$C$564=$A61,
N(INDEX('PORTIFÓLIO'!$J$4:$Q$564,,MATCH(L$2,'PORTIFÓLIO'!$J$3:$Q$3,0))) *
N('PORTIFÓLIO'!$S$4:$S$564),
0
)
),
0)</f>
        <v>0</v>
      </c>
      <c r="M61" s="47">
        <f t="shared" si="10"/>
        <v>0</v>
      </c>
      <c r="N61" s="49">
        <f t="array" ref="N61">IFERROR(
SUM(
IF(
'PORTIFÓLIO'!$C$4:$C$564=$A61,
N(INDEX('PORTIFÓLIO'!$J$4:$Q$564,,MATCH(N$2,'PORTIFÓLIO'!$J$3:$Q$3,0))) *
N('PORTIFÓLIO'!$S$4:$S$564),
0
)
),
0)</f>
        <v>0</v>
      </c>
      <c r="O61" s="49">
        <f t="shared" si="11"/>
        <v>0</v>
      </c>
      <c r="P61" s="49">
        <f t="array" ref="P61">IFERROR(
SUM(
IF(
'PORTIFÓLIO'!$C$4:$C$564=$A61,
N(INDEX('PORTIFÓLIO'!$J$4:$Q$564,,MATCH(P$2,'PORTIFÓLIO'!$J$3:$Q$3,0))) *
N('PORTIFÓLIO'!$S$4:$S$564),
0
)
),
0)</f>
        <v>0</v>
      </c>
      <c r="Q61" s="49">
        <f t="shared" si="12"/>
        <v>0</v>
      </c>
      <c r="R61" s="49">
        <f t="shared" si="2"/>
        <v>0</v>
      </c>
      <c r="S61" s="49">
        <f t="shared" si="13"/>
        <v>0</v>
      </c>
    </row>
    <row r="62" ht="15.75" hidden="1" customHeight="1" outlineLevel="1">
      <c r="A62" s="48" t="str">
        <f>IFERROR(__xludf.DUMMYFUNCTION("""COMPUTED_VALUE"""),"VERDICT ULTRA")</f>
        <v>VERDICT ULTRA</v>
      </c>
      <c r="B62" s="49">
        <f t="array" ref="B62">IFERROR(
SUM(
IF(
'PORTIFÓLIO'!$C$4:$C$564=$A62,
N(INDEX('PORTIFÓLIO'!$J$4:$Q$564,,MATCH(B$2,'PORTIFÓLIO'!$J$3:$Q$3,0))) *
N('PORTIFÓLIO'!$S$4:$S$564),
0
)
),
0)</f>
        <v>0</v>
      </c>
      <c r="C62" s="49">
        <f t="shared" si="5"/>
        <v>0</v>
      </c>
      <c r="D62" s="49">
        <f t="array" ref="D62">IFERROR(
SUM(
IF(
'PORTIFÓLIO'!$C$4:$C$564=$A62,
N(INDEX('PORTIFÓLIO'!$J$4:$Q$564,,MATCH(D$2,'PORTIFÓLIO'!$J$3:$Q$3,0))) *
N('PORTIFÓLIO'!$S$4:$S$564),
0
)
),
0)</f>
        <v>0</v>
      </c>
      <c r="E62" s="49">
        <f t="shared" si="6"/>
        <v>0</v>
      </c>
      <c r="F62" s="49">
        <f t="array" ref="F62">IFERROR(
SUM(
IF(
'PORTIFÓLIO'!$C$4:$C$564=$A62,
N(INDEX('PORTIFÓLIO'!$J$4:$Q$564,,MATCH(F$2,'PORTIFÓLIO'!$J$3:$Q$3,0))) *
N('PORTIFÓLIO'!$S$4:$S$564),
0
)
),
0)</f>
        <v>0</v>
      </c>
      <c r="G62" s="47">
        <f t="shared" si="7"/>
        <v>0</v>
      </c>
      <c r="H62" s="49">
        <f t="array" ref="H62">IFERROR(
SUM(
IF(
'PORTIFÓLIO'!$C$4:$C$564=$A62,
N(INDEX('PORTIFÓLIO'!$J$4:$Q$564,,MATCH(H$2,'PORTIFÓLIO'!$J$3:$Q$3,0))) *
N('PORTIFÓLIO'!$S$4:$S$564),
0
)
),
0)</f>
        <v>0</v>
      </c>
      <c r="I62" s="47">
        <f t="shared" si="8"/>
        <v>0</v>
      </c>
      <c r="J62" s="49">
        <f t="array" ref="J62">IFERROR(
SUM(
IF(
'PORTIFÓLIO'!$C$4:$C$564=$A62,
N(INDEX('PORTIFÓLIO'!$J$4:$Q$564,,MATCH(J$2,'PORTIFÓLIO'!$J$3:$Q$3,0))) *
N('PORTIFÓLIO'!$S$4:$S$564),
0
)
),
0)</f>
        <v>0</v>
      </c>
      <c r="K62" s="47">
        <f t="shared" si="9"/>
        <v>0</v>
      </c>
      <c r="L62" s="49">
        <f t="array" ref="L62">IFERROR(
SUM(
IF(
'PORTIFÓLIO'!$C$4:$C$564=$A62,
N(INDEX('PORTIFÓLIO'!$J$4:$Q$564,,MATCH(L$2,'PORTIFÓLIO'!$J$3:$Q$3,0))) *
N('PORTIFÓLIO'!$S$4:$S$564),
0
)
),
0)</f>
        <v>0</v>
      </c>
      <c r="M62" s="47">
        <f t="shared" si="10"/>
        <v>0</v>
      </c>
      <c r="N62" s="49">
        <f t="array" ref="N62">IFERROR(
SUM(
IF(
'PORTIFÓLIO'!$C$4:$C$564=$A62,
N(INDEX('PORTIFÓLIO'!$J$4:$Q$564,,MATCH(N$2,'PORTIFÓLIO'!$J$3:$Q$3,0))) *
N('PORTIFÓLIO'!$S$4:$S$564),
0
)
),
0)</f>
        <v>0</v>
      </c>
      <c r="O62" s="49">
        <f t="shared" si="11"/>
        <v>0</v>
      </c>
      <c r="P62" s="49">
        <f t="array" ref="P62">IFERROR(
SUM(
IF(
'PORTIFÓLIO'!$C$4:$C$564=$A62,
N(INDEX('PORTIFÓLIO'!$J$4:$Q$564,,MATCH(P$2,'PORTIFÓLIO'!$J$3:$Q$3,0))) *
N('PORTIFÓLIO'!$S$4:$S$564),
0
)
),
0)</f>
        <v>0</v>
      </c>
      <c r="Q62" s="49">
        <f t="shared" si="12"/>
        <v>0</v>
      </c>
      <c r="R62" s="49">
        <f t="shared" si="2"/>
        <v>0</v>
      </c>
      <c r="S62" s="49">
        <f t="shared" si="13"/>
        <v>0</v>
      </c>
    </row>
    <row r="63" ht="15.75" hidden="1" customHeight="1" outlineLevel="1">
      <c r="A63" s="48" t="str">
        <f>IFERROR(__xludf.DUMMYFUNCTION("""COMPUTED_VALUE"""),"BLOWOUT")</f>
        <v>BLOWOUT</v>
      </c>
      <c r="B63" s="49">
        <f t="array" ref="B63">IFERROR(
SUM(
IF(
'PORTIFÓLIO'!$C$4:$C$564=$A63,
N(INDEX('PORTIFÓLIO'!$J$4:$Q$564,,MATCH(B$2,'PORTIFÓLIO'!$J$3:$Q$3,0))) *
N('PORTIFÓLIO'!$S$4:$S$564),
0
)
),
0)</f>
        <v>0</v>
      </c>
      <c r="C63" s="49">
        <f t="shared" si="5"/>
        <v>0</v>
      </c>
      <c r="D63" s="49">
        <f t="array" ref="D63">IFERROR(
SUM(
IF(
'PORTIFÓLIO'!$C$4:$C$564=$A63,
N(INDEX('PORTIFÓLIO'!$J$4:$Q$564,,MATCH(D$2,'PORTIFÓLIO'!$J$3:$Q$3,0))) *
N('PORTIFÓLIO'!$S$4:$S$564),
0
)
),
0)</f>
        <v>0</v>
      </c>
      <c r="E63" s="49">
        <f t="shared" si="6"/>
        <v>0</v>
      </c>
      <c r="F63" s="49">
        <f t="array" ref="F63">IFERROR(
SUM(
IF(
'PORTIFÓLIO'!$C$4:$C$564=$A63,
N(INDEX('PORTIFÓLIO'!$J$4:$Q$564,,MATCH(F$2,'PORTIFÓLIO'!$J$3:$Q$3,0))) *
N('PORTIFÓLIO'!$S$4:$S$564),
0
)
),
0)</f>
        <v>0</v>
      </c>
      <c r="G63" s="47">
        <f t="shared" si="7"/>
        <v>0</v>
      </c>
      <c r="H63" s="49">
        <f t="array" ref="H63">IFERROR(
SUM(
IF(
'PORTIFÓLIO'!$C$4:$C$564=$A63,
N(INDEX('PORTIFÓLIO'!$J$4:$Q$564,,MATCH(H$2,'PORTIFÓLIO'!$J$3:$Q$3,0))) *
N('PORTIFÓLIO'!$S$4:$S$564),
0
)
),
0)</f>
        <v>0</v>
      </c>
      <c r="I63" s="47">
        <f t="shared" si="8"/>
        <v>0</v>
      </c>
      <c r="J63" s="49">
        <f t="array" ref="J63">IFERROR(
SUM(
IF(
'PORTIFÓLIO'!$C$4:$C$564=$A63,
N(INDEX('PORTIFÓLIO'!$J$4:$Q$564,,MATCH(J$2,'PORTIFÓLIO'!$J$3:$Q$3,0))) *
N('PORTIFÓLIO'!$S$4:$S$564),
0
)
),
0)</f>
        <v>0</v>
      </c>
      <c r="K63" s="47">
        <f t="shared" si="9"/>
        <v>0</v>
      </c>
      <c r="L63" s="49">
        <f t="array" ref="L63">IFERROR(
SUM(
IF(
'PORTIFÓLIO'!$C$4:$C$564=$A63,
N(INDEX('PORTIFÓLIO'!$J$4:$Q$564,,MATCH(L$2,'PORTIFÓLIO'!$J$3:$Q$3,0))) *
N('PORTIFÓLIO'!$S$4:$S$564),
0
)
),
0)</f>
        <v>0</v>
      </c>
      <c r="M63" s="47">
        <f t="shared" si="10"/>
        <v>0</v>
      </c>
      <c r="N63" s="49">
        <f t="array" ref="N63">IFERROR(
SUM(
IF(
'PORTIFÓLIO'!$C$4:$C$564=$A63,
N(INDEX('PORTIFÓLIO'!$J$4:$Q$564,,MATCH(N$2,'PORTIFÓLIO'!$J$3:$Q$3,0))) *
N('PORTIFÓLIO'!$S$4:$S$564),
0
)
),
0)</f>
        <v>0</v>
      </c>
      <c r="O63" s="49">
        <f t="shared" si="11"/>
        <v>0</v>
      </c>
      <c r="P63" s="49">
        <f t="array" ref="P63">IFERROR(
SUM(
IF(
'PORTIFÓLIO'!$C$4:$C$564=$A63,
N(INDEX('PORTIFÓLIO'!$J$4:$Q$564,,MATCH(P$2,'PORTIFÓLIO'!$J$3:$Q$3,0))) *
N('PORTIFÓLIO'!$S$4:$S$564),
0
)
),
0)</f>
        <v>0</v>
      </c>
      <c r="Q63" s="49">
        <f t="shared" si="12"/>
        <v>0</v>
      </c>
      <c r="R63" s="49">
        <f t="shared" si="2"/>
        <v>0</v>
      </c>
      <c r="S63" s="49">
        <f t="shared" si="13"/>
        <v>0</v>
      </c>
    </row>
    <row r="64" ht="15.75" hidden="1" customHeight="1" outlineLevel="1">
      <c r="A64" s="48" t="str">
        <f>IFERROR(__xludf.DUMMYFUNCTION("""COMPUTED_VALUE"""),"CLETODIM 240 EC BRILLIANCE")</f>
        <v>CLETODIM 240 EC BRILLIANCE</v>
      </c>
      <c r="B64" s="49">
        <f t="array" ref="B64">IFERROR(
SUM(
IF(
'PORTIFÓLIO'!$C$4:$C$564=$A64,
N(INDEX('PORTIFÓLIO'!$J$4:$Q$564,,MATCH(B$2,'PORTIFÓLIO'!$J$3:$Q$3,0))) *
N('PORTIFÓLIO'!$S$4:$S$564),
0
)
),
0)</f>
        <v>0</v>
      </c>
      <c r="C64" s="49">
        <f t="shared" si="5"/>
        <v>0</v>
      </c>
      <c r="D64" s="49">
        <f t="array" ref="D64">IFERROR(
SUM(
IF(
'PORTIFÓLIO'!$C$4:$C$564=$A64,
N(INDEX('PORTIFÓLIO'!$J$4:$Q$564,,MATCH(D$2,'PORTIFÓLIO'!$J$3:$Q$3,0))) *
N('PORTIFÓLIO'!$S$4:$S$564),
0
)
),
0)</f>
        <v>740.3496</v>
      </c>
      <c r="E64" s="49">
        <f t="shared" si="6"/>
        <v>2.467832</v>
      </c>
      <c r="F64" s="49">
        <f t="array" ref="F64">IFERROR(
SUM(
IF(
'PORTIFÓLIO'!$C$4:$C$564=$A64,
N(INDEX('PORTIFÓLIO'!$J$4:$Q$564,,MATCH(F$2,'PORTIFÓLIO'!$J$3:$Q$3,0))) *
N('PORTIFÓLIO'!$S$4:$S$564),
0
)
),
0)</f>
        <v>0</v>
      </c>
      <c r="G64" s="47">
        <f t="shared" si="7"/>
        <v>0</v>
      </c>
      <c r="H64" s="49">
        <f t="array" ref="H64">IFERROR(
SUM(
IF(
'PORTIFÓLIO'!$C$4:$C$564=$A64,
N(INDEX('PORTIFÓLIO'!$J$4:$Q$564,,MATCH(H$2,'PORTIFÓLIO'!$J$3:$Q$3,0))) *
N('PORTIFÓLIO'!$S$4:$S$564),
0
)
),
0)</f>
        <v>0</v>
      </c>
      <c r="I64" s="47">
        <f t="shared" si="8"/>
        <v>0</v>
      </c>
      <c r="J64" s="49">
        <f t="array" ref="J64">IFERROR(
SUM(
IF(
'PORTIFÓLIO'!$C$4:$C$564=$A64,
N(INDEX('PORTIFÓLIO'!$J$4:$Q$564,,MATCH(J$2,'PORTIFÓLIO'!$J$3:$Q$3,0))) *
N('PORTIFÓLIO'!$S$4:$S$564),
0
)
),
0)</f>
        <v>0</v>
      </c>
      <c r="K64" s="47">
        <f t="shared" si="9"/>
        <v>0</v>
      </c>
      <c r="L64" s="49">
        <f t="array" ref="L64">IFERROR(
SUM(
IF(
'PORTIFÓLIO'!$C$4:$C$564=$A64,
N(INDEX('PORTIFÓLIO'!$J$4:$Q$564,,MATCH(L$2,'PORTIFÓLIO'!$J$3:$Q$3,0))) *
N('PORTIFÓLIO'!$S$4:$S$564),
0
)
),
0)</f>
        <v>0</v>
      </c>
      <c r="M64" s="47">
        <f t="shared" si="10"/>
        <v>0</v>
      </c>
      <c r="N64" s="49">
        <f t="array" ref="N64">IFERROR(
SUM(
IF(
'PORTIFÓLIO'!$C$4:$C$564=$A64,
N(INDEX('PORTIFÓLIO'!$J$4:$Q$564,,MATCH(N$2,'PORTIFÓLIO'!$J$3:$Q$3,0))) *
N('PORTIFÓLIO'!$S$4:$S$564),
0
)
),
0)</f>
        <v>18885.08438</v>
      </c>
      <c r="O64" s="49">
        <f t="shared" si="11"/>
        <v>15.50499539</v>
      </c>
      <c r="P64" s="49">
        <f t="array" ref="P64">IFERROR(
SUM(
IF(
'PORTIFÓLIO'!$C$4:$C$564=$A64,
N(INDEX('PORTIFÓLIO'!$J$4:$Q$564,,MATCH(P$2,'PORTIFÓLIO'!$J$3:$Q$3,0))) *
N('PORTIFÓLIO'!$S$4:$S$564),
0
)
),
0)</f>
        <v>5182.4472</v>
      </c>
      <c r="Q64" s="49">
        <f t="shared" si="12"/>
        <v>16.1951475</v>
      </c>
      <c r="R64" s="49">
        <f t="shared" si="2"/>
        <v>24807.88118</v>
      </c>
      <c r="S64" s="49">
        <f t="shared" si="13"/>
        <v>7.418624755</v>
      </c>
    </row>
    <row r="65" ht="15.75" hidden="1" customHeight="1" outlineLevel="1">
      <c r="A65" s="48" t="str">
        <f>IFERROR(__xludf.DUMMYFUNCTION("""COMPUTED_VALUE"""),"GLUFOS-WYN 880")</f>
        <v>GLUFOS-WYN 880</v>
      </c>
      <c r="B65" s="49">
        <f t="array" ref="B65">IFERROR(
SUM(
IF(
'PORTIFÓLIO'!$C$4:$C$564=$A65,
N(INDEX('PORTIFÓLIO'!$J$4:$Q$564,,MATCH(B$2,'PORTIFÓLIO'!$J$3:$Q$3,0))) *
N('PORTIFÓLIO'!$S$4:$S$564),
0
)
),
0)</f>
        <v>22558.7866</v>
      </c>
      <c r="C65" s="49">
        <f t="shared" si="5"/>
        <v>46.03834</v>
      </c>
      <c r="D65" s="49">
        <f t="array" ref="D65">IFERROR(
SUM(
IF(
'PORTIFÓLIO'!$C$4:$C$564=$A65,
N(INDEX('PORTIFÓLIO'!$J$4:$Q$564,,MATCH(D$2,'PORTIFÓLIO'!$J$3:$Q$3,0))) *
N('PORTIFÓLIO'!$S$4:$S$564),
0
)
),
0)</f>
        <v>3683.0672</v>
      </c>
      <c r="E65" s="49">
        <f t="shared" si="6"/>
        <v>12.27689067</v>
      </c>
      <c r="F65" s="49">
        <f t="array" ref="F65">IFERROR(
SUM(
IF(
'PORTIFÓLIO'!$C$4:$C$564=$A65,
N(INDEX('PORTIFÓLIO'!$J$4:$Q$564,,MATCH(F$2,'PORTIFÓLIO'!$J$3:$Q$3,0))) *
N('PORTIFÓLIO'!$S$4:$S$564),
0
)
),
0)</f>
        <v>5064.2174</v>
      </c>
      <c r="G65" s="47">
        <f t="shared" si="7"/>
        <v>23.01917</v>
      </c>
      <c r="H65" s="49">
        <f t="array" ref="H65">IFERROR(
SUM(
IF(
'PORTIFÓLIO'!$C$4:$C$564=$A65,
N(INDEX('PORTIFÓLIO'!$J$4:$Q$564,,MATCH(H$2,'PORTIFÓLIO'!$J$3:$Q$3,0))) *
N('PORTIFÓLIO'!$S$4:$S$564),
0
)
),
0)</f>
        <v>0</v>
      </c>
      <c r="I65" s="47">
        <f t="shared" si="8"/>
        <v>0</v>
      </c>
      <c r="J65" s="49">
        <f t="array" ref="J65">IFERROR(
SUM(
IF(
'PORTIFÓLIO'!$C$4:$C$564=$A65,
N(INDEX('PORTIFÓLIO'!$J$4:$Q$564,,MATCH(J$2,'PORTIFÓLIO'!$J$3:$Q$3,0))) *
N('PORTIFÓLIO'!$S$4:$S$564),
0
)
),
0)</f>
        <v>12899.94287</v>
      </c>
      <c r="K65" s="47">
        <f t="shared" si="9"/>
        <v>34.30835869</v>
      </c>
      <c r="L65" s="49">
        <f t="array" ref="L65">IFERROR(
SUM(
IF(
'PORTIFÓLIO'!$C$4:$C$564=$A65,
N(INDEX('PORTIFÓLIO'!$J$4:$Q$564,,MATCH(L$2,'PORTIFÓLIO'!$J$3:$Q$3,0))) *
N('PORTIFÓLIO'!$S$4:$S$564),
0
)
),
0)</f>
        <v>10128.4348</v>
      </c>
      <c r="M65" s="47">
        <f t="shared" si="10"/>
        <v>46.03834</v>
      </c>
      <c r="N65" s="49">
        <f t="array" ref="N65">IFERROR(
SUM(
IF(
'PORTIFÓLIO'!$C$4:$C$564=$A65,
N(INDEX('PORTIFÓLIO'!$J$4:$Q$564,,MATCH(N$2,'PORTIFÓLIO'!$J$3:$Q$3,0))) *
N('PORTIFÓLIO'!$S$4:$S$564),
0
)
),
0)</f>
        <v>28773.9625</v>
      </c>
      <c r="O65" s="49">
        <f t="shared" si="11"/>
        <v>23.62394294</v>
      </c>
      <c r="P65" s="49">
        <f t="array" ref="P65">IFERROR(
SUM(
IF(
'PORTIFÓLIO'!$C$4:$C$564=$A65,
N(INDEX('PORTIFÓLIO'!$J$4:$Q$564,,MATCH(P$2,'PORTIFÓLIO'!$J$3:$Q$3,0))) *
N('PORTIFÓLIO'!$S$4:$S$564),
0
)
),
0)</f>
        <v>4603.834</v>
      </c>
      <c r="Q65" s="49">
        <f t="shared" si="12"/>
        <v>14.38698125</v>
      </c>
      <c r="R65" s="49">
        <f t="shared" si="2"/>
        <v>82648.02797</v>
      </c>
      <c r="S65" s="49">
        <f t="shared" si="13"/>
        <v>24.71531937</v>
      </c>
    </row>
    <row r="66" ht="15.75" hidden="1" customHeight="1" outlineLevel="1">
      <c r="A66" s="48" t="str">
        <f>IFERROR(__xludf.DUMMYFUNCTION("""COMPUTED_VALUE"""),"GINETE 212 SL")</f>
        <v>GINETE 212 SL</v>
      </c>
      <c r="B66" s="49">
        <f t="array" ref="B66">IFERROR(
SUM(
IF(
'PORTIFÓLIO'!$C$4:$C$564=$A66,
N(INDEX('PORTIFÓLIO'!$J$4:$Q$564,,MATCH(B$2,'PORTIFÓLIO'!$J$3:$Q$3,0))) *
N('PORTIFÓLIO'!$S$4:$S$564),
0
)
),
0)</f>
        <v>0</v>
      </c>
      <c r="C66" s="49">
        <f t="shared" si="5"/>
        <v>0</v>
      </c>
      <c r="D66" s="49">
        <f t="array" ref="D66">IFERROR(
SUM(
IF(
'PORTIFÓLIO'!$C$4:$C$564=$A66,
N(INDEX('PORTIFÓLIO'!$J$4:$Q$564,,MATCH(D$2,'PORTIFÓLIO'!$J$3:$Q$3,0))) *
N('PORTIFÓLIO'!$S$4:$S$564),
0
)
),
0)</f>
        <v>0</v>
      </c>
      <c r="E66" s="49">
        <f t="shared" si="6"/>
        <v>0</v>
      </c>
      <c r="F66" s="49">
        <f t="array" ref="F66">IFERROR(
SUM(
IF(
'PORTIFÓLIO'!$C$4:$C$564=$A66,
N(INDEX('PORTIFÓLIO'!$J$4:$Q$564,,MATCH(F$2,'PORTIFÓLIO'!$J$3:$Q$3,0))) *
N('PORTIFÓLIO'!$S$4:$S$564),
0
)
),
0)</f>
        <v>0</v>
      </c>
      <c r="G66" s="47">
        <f t="shared" si="7"/>
        <v>0</v>
      </c>
      <c r="H66" s="49">
        <f t="array" ref="H66">IFERROR(
SUM(
IF(
'PORTIFÓLIO'!$C$4:$C$564=$A66,
N(INDEX('PORTIFÓLIO'!$J$4:$Q$564,,MATCH(H$2,'PORTIFÓLIO'!$J$3:$Q$3,0))) *
N('PORTIFÓLIO'!$S$4:$S$564),
0
)
),
0)</f>
        <v>0</v>
      </c>
      <c r="I66" s="47">
        <f t="shared" si="8"/>
        <v>0</v>
      </c>
      <c r="J66" s="49">
        <f t="array" ref="J66">IFERROR(
SUM(
IF(
'PORTIFÓLIO'!$C$4:$C$564=$A66,
N(INDEX('PORTIFÓLIO'!$J$4:$Q$564,,MATCH(J$2,'PORTIFÓLIO'!$J$3:$Q$3,0))) *
N('PORTIFÓLIO'!$S$4:$S$564),
0
)
),
0)</f>
        <v>0</v>
      </c>
      <c r="K66" s="47">
        <f t="shared" si="9"/>
        <v>0</v>
      </c>
      <c r="L66" s="49">
        <f t="array" ref="L66">IFERROR(
SUM(
IF(
'PORTIFÓLIO'!$C$4:$C$564=$A66,
N(INDEX('PORTIFÓLIO'!$J$4:$Q$564,,MATCH(L$2,'PORTIFÓLIO'!$J$3:$Q$3,0))) *
N('PORTIFÓLIO'!$S$4:$S$564),
0
)
),
0)</f>
        <v>0</v>
      </c>
      <c r="M66" s="47">
        <f t="shared" si="10"/>
        <v>0</v>
      </c>
      <c r="N66" s="49">
        <f t="array" ref="N66">IFERROR(
SUM(
IF(
'PORTIFÓLIO'!$C$4:$C$564=$A66,
N(INDEX('PORTIFÓLIO'!$J$4:$Q$564,,MATCH(N$2,'PORTIFÓLIO'!$J$3:$Q$3,0))) *
N('PORTIFÓLIO'!$S$4:$S$564),
0
)
),
0)</f>
        <v>0</v>
      </c>
      <c r="O66" s="49">
        <f t="shared" si="11"/>
        <v>0</v>
      </c>
      <c r="P66" s="49">
        <f t="array" ref="P66">IFERROR(
SUM(
IF(
'PORTIFÓLIO'!$C$4:$C$564=$A66,
N(INDEX('PORTIFÓLIO'!$J$4:$Q$564,,MATCH(P$2,'PORTIFÓLIO'!$J$3:$Q$3,0))) *
N('PORTIFÓLIO'!$S$4:$S$564),
0
)
),
0)</f>
        <v>0</v>
      </c>
      <c r="Q66" s="49">
        <f t="shared" si="12"/>
        <v>0</v>
      </c>
      <c r="R66" s="49">
        <f t="shared" si="2"/>
        <v>0</v>
      </c>
      <c r="S66" s="49">
        <f t="shared" si="13"/>
        <v>0</v>
      </c>
    </row>
    <row r="67" ht="15.75" hidden="1" customHeight="1" outlineLevel="1">
      <c r="A67" s="48" t="str">
        <f>IFERROR(__xludf.DUMMYFUNCTION("""COMPUTED_VALUE"""),"AURORA 400 EC")</f>
        <v>AURORA 400 EC</v>
      </c>
      <c r="B67" s="49">
        <f t="array" ref="B67">IFERROR(
SUM(
IF(
'PORTIFÓLIO'!$C$4:$C$564=$A67,
N(INDEX('PORTIFÓLIO'!$J$4:$Q$564,,MATCH(B$2,'PORTIFÓLIO'!$J$3:$Q$3,0))) *
N('PORTIFÓLIO'!$S$4:$S$564),
0
)
),
0)</f>
        <v>0</v>
      </c>
      <c r="C67" s="49">
        <f t="shared" si="5"/>
        <v>0</v>
      </c>
      <c r="D67" s="49">
        <f t="array" ref="D67">IFERROR(
SUM(
IF(
'PORTIFÓLIO'!$C$4:$C$564=$A67,
N(INDEX('PORTIFÓLIO'!$J$4:$Q$564,,MATCH(D$2,'PORTIFÓLIO'!$J$3:$Q$3,0))) *
N('PORTIFÓLIO'!$S$4:$S$564),
0
)
),
0)</f>
        <v>0</v>
      </c>
      <c r="E67" s="49">
        <f t="shared" si="6"/>
        <v>0</v>
      </c>
      <c r="F67" s="49">
        <f t="array" ref="F67">IFERROR(
SUM(
IF(
'PORTIFÓLIO'!$C$4:$C$564=$A67,
N(INDEX('PORTIFÓLIO'!$J$4:$Q$564,,MATCH(F$2,'PORTIFÓLIO'!$J$3:$Q$3,0))) *
N('PORTIFÓLIO'!$S$4:$S$564),
0
)
),
0)</f>
        <v>0</v>
      </c>
      <c r="G67" s="47">
        <f t="shared" si="7"/>
        <v>0</v>
      </c>
      <c r="H67" s="49">
        <f t="array" ref="H67">IFERROR(
SUM(
IF(
'PORTIFÓLIO'!$C$4:$C$564=$A67,
N(INDEX('PORTIFÓLIO'!$J$4:$Q$564,,MATCH(H$2,'PORTIFÓLIO'!$J$3:$Q$3,0))) *
N('PORTIFÓLIO'!$S$4:$S$564),
0
)
),
0)</f>
        <v>0</v>
      </c>
      <c r="I67" s="47">
        <f t="shared" si="8"/>
        <v>0</v>
      </c>
      <c r="J67" s="49">
        <f t="array" ref="J67">IFERROR(
SUM(
IF(
'PORTIFÓLIO'!$C$4:$C$564=$A67,
N(INDEX('PORTIFÓLIO'!$J$4:$Q$564,,MATCH(J$2,'PORTIFÓLIO'!$J$3:$Q$3,0))) *
N('PORTIFÓLIO'!$S$4:$S$564),
0
)
),
0)</f>
        <v>0</v>
      </c>
      <c r="K67" s="47">
        <f t="shared" si="9"/>
        <v>0</v>
      </c>
      <c r="L67" s="49">
        <f t="array" ref="L67">IFERROR(
SUM(
IF(
'PORTIFÓLIO'!$C$4:$C$564=$A67,
N(INDEX('PORTIFÓLIO'!$J$4:$Q$564,,MATCH(L$2,'PORTIFÓLIO'!$J$3:$Q$3,0))) *
N('PORTIFÓLIO'!$S$4:$S$564),
0
)
),
0)</f>
        <v>0</v>
      </c>
      <c r="M67" s="47">
        <f t="shared" si="10"/>
        <v>0</v>
      </c>
      <c r="N67" s="49">
        <f t="array" ref="N67">IFERROR(
SUM(
IF(
'PORTIFÓLIO'!$C$4:$C$564=$A67,
N(INDEX('PORTIFÓLIO'!$J$4:$Q$564,,MATCH(N$2,'PORTIFÓLIO'!$J$3:$Q$3,0))) *
N('PORTIFÓLIO'!$S$4:$S$564),
0
)
),
0)</f>
        <v>0</v>
      </c>
      <c r="O67" s="49">
        <f t="shared" si="11"/>
        <v>0</v>
      </c>
      <c r="P67" s="49">
        <f t="array" ref="P67">IFERROR(
SUM(
IF(
'PORTIFÓLIO'!$C$4:$C$564=$A67,
N(INDEX('PORTIFÓLIO'!$J$4:$Q$564,,MATCH(P$2,'PORTIFÓLIO'!$J$3:$Q$3,0))) *
N('PORTIFÓLIO'!$S$4:$S$564),
0
)
),
0)</f>
        <v>0</v>
      </c>
      <c r="Q67" s="49">
        <f t="shared" si="12"/>
        <v>0</v>
      </c>
      <c r="R67" s="49">
        <f t="shared" si="2"/>
        <v>0</v>
      </c>
      <c r="S67" s="49">
        <f t="shared" si="13"/>
        <v>0</v>
      </c>
    </row>
    <row r="68" ht="15.75" hidden="1" customHeight="1" outlineLevel="1">
      <c r="A68" s="48" t="str">
        <f>IFERROR(__xludf.DUMMYFUNCTION("""COMPUTED_VALUE"""),"AZUGRO")</f>
        <v>AZUGRO</v>
      </c>
      <c r="B68" s="49">
        <f t="array" ref="B68">IFERROR(
SUM(
IF(
'PORTIFÓLIO'!$C$4:$C$564=$A68,
N(INDEX('PORTIFÓLIO'!$J$4:$Q$564,,MATCH(B$2,'PORTIFÓLIO'!$J$3:$Q$3,0))) *
N('PORTIFÓLIO'!$S$4:$S$564),
0
)
),
0)</f>
        <v>0</v>
      </c>
      <c r="C68" s="49">
        <f t="shared" si="5"/>
        <v>0</v>
      </c>
      <c r="D68" s="49">
        <f t="array" ref="D68">IFERROR(
SUM(
IF(
'PORTIFÓLIO'!$C$4:$C$564=$A68,
N(INDEX('PORTIFÓLIO'!$J$4:$Q$564,,MATCH(D$2,'PORTIFÓLIO'!$J$3:$Q$3,0))) *
N('PORTIFÓLIO'!$S$4:$S$564),
0
)
),
0)</f>
        <v>0</v>
      </c>
      <c r="E68" s="49">
        <f t="shared" si="6"/>
        <v>0</v>
      </c>
      <c r="F68" s="49">
        <f t="array" ref="F68">IFERROR(
SUM(
IF(
'PORTIFÓLIO'!$C$4:$C$564=$A68,
N(INDEX('PORTIFÓLIO'!$J$4:$Q$564,,MATCH(F$2,'PORTIFÓLIO'!$J$3:$Q$3,0))) *
N('PORTIFÓLIO'!$S$4:$S$564),
0
)
),
0)</f>
        <v>0</v>
      </c>
      <c r="G68" s="47">
        <f t="shared" si="7"/>
        <v>0</v>
      </c>
      <c r="H68" s="49">
        <f t="array" ref="H68">IFERROR(
SUM(
IF(
'PORTIFÓLIO'!$C$4:$C$564=$A68,
N(INDEX('PORTIFÓLIO'!$J$4:$Q$564,,MATCH(H$2,'PORTIFÓLIO'!$J$3:$Q$3,0))) *
N('PORTIFÓLIO'!$S$4:$S$564),
0
)
),
0)</f>
        <v>0</v>
      </c>
      <c r="I68" s="47">
        <f t="shared" si="8"/>
        <v>0</v>
      </c>
      <c r="J68" s="49">
        <f t="array" ref="J68">IFERROR(
SUM(
IF(
'PORTIFÓLIO'!$C$4:$C$564=$A68,
N(INDEX('PORTIFÓLIO'!$J$4:$Q$564,,MATCH(J$2,'PORTIFÓLIO'!$J$3:$Q$3,0))) *
N('PORTIFÓLIO'!$S$4:$S$564),
0
)
),
0)</f>
        <v>0</v>
      </c>
      <c r="K68" s="47">
        <f t="shared" si="9"/>
        <v>0</v>
      </c>
      <c r="L68" s="49">
        <f t="array" ref="L68">IFERROR(
SUM(
IF(
'PORTIFÓLIO'!$C$4:$C$564=$A68,
N(INDEX('PORTIFÓLIO'!$J$4:$Q$564,,MATCH(L$2,'PORTIFÓLIO'!$J$3:$Q$3,0))) *
N('PORTIFÓLIO'!$S$4:$S$564),
0
)
),
0)</f>
        <v>0</v>
      </c>
      <c r="M68" s="47">
        <f t="shared" si="10"/>
        <v>0</v>
      </c>
      <c r="N68" s="49">
        <f t="array" ref="N68">IFERROR(
SUM(
IF(
'PORTIFÓLIO'!$C$4:$C$564=$A68,
N(INDEX('PORTIFÓLIO'!$J$4:$Q$564,,MATCH(N$2,'PORTIFÓLIO'!$J$3:$Q$3,0))) *
N('PORTIFÓLIO'!$S$4:$S$564),
0
)
),
0)</f>
        <v>0</v>
      </c>
      <c r="O68" s="49">
        <f t="shared" si="11"/>
        <v>0</v>
      </c>
      <c r="P68" s="49">
        <f t="array" ref="P68">IFERROR(
SUM(
IF(
'PORTIFÓLIO'!$C$4:$C$564=$A68,
N(INDEX('PORTIFÓLIO'!$J$4:$Q$564,,MATCH(P$2,'PORTIFÓLIO'!$J$3:$Q$3,0))) *
N('PORTIFÓLIO'!$S$4:$S$564),
0
)
),
0)</f>
        <v>0</v>
      </c>
      <c r="Q68" s="49">
        <f t="shared" si="12"/>
        <v>0</v>
      </c>
      <c r="R68" s="49">
        <f t="shared" si="2"/>
        <v>0</v>
      </c>
      <c r="S68" s="49">
        <f t="shared" si="13"/>
        <v>0</v>
      </c>
    </row>
    <row r="69" ht="15.75" hidden="1" customHeight="1" outlineLevel="1">
      <c r="A69" s="48" t="str">
        <f>IFERROR(__xludf.DUMMYFUNCTION("""COMPUTED_VALUE"""),"BORAL")</f>
        <v>BORAL</v>
      </c>
      <c r="B69" s="49">
        <f t="array" ref="B69">IFERROR(
SUM(
IF(
'PORTIFÓLIO'!$C$4:$C$564=$A69,
N(INDEX('PORTIFÓLIO'!$J$4:$Q$564,,MATCH(B$2,'PORTIFÓLIO'!$J$3:$Q$3,0))) *
N('PORTIFÓLIO'!$S$4:$S$564),
0
)
),
0)</f>
        <v>0</v>
      </c>
      <c r="C69" s="49">
        <f t="shared" si="5"/>
        <v>0</v>
      </c>
      <c r="D69" s="49">
        <f t="array" ref="D69">IFERROR(
SUM(
IF(
'PORTIFÓLIO'!$C$4:$C$564=$A69,
N(INDEX('PORTIFÓLIO'!$J$4:$Q$564,,MATCH(D$2,'PORTIFÓLIO'!$J$3:$Q$3,0))) *
N('PORTIFÓLIO'!$S$4:$S$564),
0
)
),
0)</f>
        <v>0</v>
      </c>
      <c r="E69" s="49">
        <f t="shared" si="6"/>
        <v>0</v>
      </c>
      <c r="F69" s="49">
        <f t="array" ref="F69">IFERROR(
SUM(
IF(
'PORTIFÓLIO'!$C$4:$C$564=$A69,
N(INDEX('PORTIFÓLIO'!$J$4:$Q$564,,MATCH(F$2,'PORTIFÓLIO'!$J$3:$Q$3,0))) *
N('PORTIFÓLIO'!$S$4:$S$564),
0
)
),
0)</f>
        <v>0</v>
      </c>
      <c r="G69" s="47">
        <f t="shared" si="7"/>
        <v>0</v>
      </c>
      <c r="H69" s="49">
        <f t="array" ref="H69">IFERROR(
SUM(
IF(
'PORTIFÓLIO'!$C$4:$C$564=$A69,
N(INDEX('PORTIFÓLIO'!$J$4:$Q$564,,MATCH(H$2,'PORTIFÓLIO'!$J$3:$Q$3,0))) *
N('PORTIFÓLIO'!$S$4:$S$564),
0
)
),
0)</f>
        <v>0</v>
      </c>
      <c r="I69" s="47">
        <f t="shared" si="8"/>
        <v>0</v>
      </c>
      <c r="J69" s="49">
        <f t="array" ref="J69">IFERROR(
SUM(
IF(
'PORTIFÓLIO'!$C$4:$C$564=$A69,
N(INDEX('PORTIFÓLIO'!$J$4:$Q$564,,MATCH(J$2,'PORTIFÓLIO'!$J$3:$Q$3,0))) *
N('PORTIFÓLIO'!$S$4:$S$564),
0
)
),
0)</f>
        <v>0</v>
      </c>
      <c r="K69" s="47">
        <f t="shared" si="9"/>
        <v>0</v>
      </c>
      <c r="L69" s="49">
        <f t="array" ref="L69">IFERROR(
SUM(
IF(
'PORTIFÓLIO'!$C$4:$C$564=$A69,
N(INDEX('PORTIFÓLIO'!$J$4:$Q$564,,MATCH(L$2,'PORTIFÓLIO'!$J$3:$Q$3,0))) *
N('PORTIFÓLIO'!$S$4:$S$564),
0
)
),
0)</f>
        <v>0</v>
      </c>
      <c r="M69" s="47">
        <f t="shared" si="10"/>
        <v>0</v>
      </c>
      <c r="N69" s="49">
        <f t="array" ref="N69">IFERROR(
SUM(
IF(
'PORTIFÓLIO'!$C$4:$C$564=$A69,
N(INDEX('PORTIFÓLIO'!$J$4:$Q$564,,MATCH(N$2,'PORTIFÓLIO'!$J$3:$Q$3,0))) *
N('PORTIFÓLIO'!$S$4:$S$564),
0
)
),
0)</f>
        <v>0</v>
      </c>
      <c r="O69" s="49">
        <f t="shared" si="11"/>
        <v>0</v>
      </c>
      <c r="P69" s="49">
        <f t="array" ref="P69">IFERROR(
SUM(
IF(
'PORTIFÓLIO'!$C$4:$C$564=$A69,
N(INDEX('PORTIFÓLIO'!$J$4:$Q$564,,MATCH(P$2,'PORTIFÓLIO'!$J$3:$Q$3,0))) *
N('PORTIFÓLIO'!$S$4:$S$564),
0
)
),
0)</f>
        <v>0</v>
      </c>
      <c r="Q69" s="49">
        <f t="shared" si="12"/>
        <v>0</v>
      </c>
      <c r="R69" s="49">
        <f t="shared" si="2"/>
        <v>0</v>
      </c>
      <c r="S69" s="49">
        <f t="shared" si="13"/>
        <v>0</v>
      </c>
    </row>
    <row r="70" ht="15.75" hidden="1" customHeight="1" outlineLevel="1">
      <c r="A70" s="48" t="str">
        <f>IFERROR(__xludf.DUMMYFUNCTION("""COMPUTED_VALUE"""),"REATOR 360 CS")</f>
        <v>REATOR 360 CS</v>
      </c>
      <c r="B70" s="49">
        <f t="array" ref="B70">IFERROR(
SUM(
IF(
'PORTIFÓLIO'!$C$4:$C$564=$A70,
N(INDEX('PORTIFÓLIO'!$J$4:$Q$564,,MATCH(B$2,'PORTIFÓLIO'!$J$3:$Q$3,0))) *
N('PORTIFÓLIO'!$S$4:$S$564),
0
)
),
0)</f>
        <v>0</v>
      </c>
      <c r="C70" s="49">
        <f t="shared" si="5"/>
        <v>0</v>
      </c>
      <c r="D70" s="49">
        <f t="array" ref="D70">IFERROR(
SUM(
IF(
'PORTIFÓLIO'!$C$4:$C$564=$A70,
N(INDEX('PORTIFÓLIO'!$J$4:$Q$564,,MATCH(D$2,'PORTIFÓLIO'!$J$3:$Q$3,0))) *
N('PORTIFÓLIO'!$S$4:$S$564),
0
)
),
0)</f>
        <v>0</v>
      </c>
      <c r="E70" s="49">
        <f t="shared" si="6"/>
        <v>0</v>
      </c>
      <c r="F70" s="49">
        <f t="array" ref="F70">IFERROR(
SUM(
IF(
'PORTIFÓLIO'!$C$4:$C$564=$A70,
N(INDEX('PORTIFÓLIO'!$J$4:$Q$564,,MATCH(F$2,'PORTIFÓLIO'!$J$3:$Q$3,0))) *
N('PORTIFÓLIO'!$S$4:$S$564),
0
)
),
0)</f>
        <v>9636.3432</v>
      </c>
      <c r="G70" s="47">
        <f t="shared" si="7"/>
        <v>43.80156</v>
      </c>
      <c r="H70" s="49">
        <f t="array" ref="H70">IFERROR(
SUM(
IF(
'PORTIFÓLIO'!$C$4:$C$564=$A70,
N(INDEX('PORTIFÓLIO'!$J$4:$Q$564,,MATCH(H$2,'PORTIFÓLIO'!$J$3:$Q$3,0))) *
N('PORTIFÓLIO'!$S$4:$S$564),
0
)
),
0)</f>
        <v>0</v>
      </c>
      <c r="I70" s="47">
        <f t="shared" si="8"/>
        <v>0</v>
      </c>
      <c r="J70" s="49">
        <f t="array" ref="J70">IFERROR(
SUM(
IF(
'PORTIFÓLIO'!$C$4:$C$564=$A70,
N(INDEX('PORTIFÓLIO'!$J$4:$Q$564,,MATCH(J$2,'PORTIFÓLIO'!$J$3:$Q$3,0))) *
N('PORTIFÓLIO'!$S$4:$S$564),
0
)
),
0)</f>
        <v>0</v>
      </c>
      <c r="K70" s="47">
        <f t="shared" si="9"/>
        <v>0</v>
      </c>
      <c r="L70" s="49">
        <f t="array" ref="L70">IFERROR(
SUM(
IF(
'PORTIFÓLIO'!$C$4:$C$564=$A70,
N(INDEX('PORTIFÓLIO'!$J$4:$Q$564,,MATCH(L$2,'PORTIFÓLIO'!$J$3:$Q$3,0))) *
N('PORTIFÓLIO'!$S$4:$S$564),
0
)
),
0)</f>
        <v>0</v>
      </c>
      <c r="M70" s="47">
        <f t="shared" si="10"/>
        <v>0</v>
      </c>
      <c r="N70" s="49">
        <f t="array" ref="N70">IFERROR(
SUM(
IF(
'PORTIFÓLIO'!$C$4:$C$564=$A70,
N(INDEX('PORTIFÓLIO'!$J$4:$Q$564,,MATCH(N$2,'PORTIFÓLIO'!$J$3:$Q$3,0))) *
N('PORTIFÓLIO'!$S$4:$S$564),
0
)
),
0)</f>
        <v>41961.89448</v>
      </c>
      <c r="O70" s="49">
        <f t="shared" si="11"/>
        <v>34.4514733</v>
      </c>
      <c r="P70" s="49">
        <f t="array" ref="P70">IFERROR(
SUM(
IF(
'PORTIFÓLIO'!$C$4:$C$564=$A70,
N(INDEX('PORTIFÓLIO'!$J$4:$Q$564,,MATCH(P$2,'PORTIFÓLIO'!$J$3:$Q$3,0))) *
N('PORTIFÓLIO'!$S$4:$S$564),
0
)
),
0)</f>
        <v>14016.4992</v>
      </c>
      <c r="Q70" s="49">
        <f t="shared" si="12"/>
        <v>43.80156</v>
      </c>
      <c r="R70" s="49">
        <f t="shared" si="2"/>
        <v>55978.39368</v>
      </c>
      <c r="S70" s="49">
        <f t="shared" si="13"/>
        <v>16.73995026</v>
      </c>
    </row>
    <row r="71" ht="15.75" hidden="1" customHeight="1" outlineLevel="1">
      <c r="A71" s="48" t="str">
        <f>IFERROR(__xludf.DUMMYFUNCTION("""COMPUTED_VALUE"""),"STONE")</f>
        <v>STONE</v>
      </c>
      <c r="B71" s="49">
        <f t="array" ref="B71">IFERROR(
SUM(
IF(
'PORTIFÓLIO'!$C$4:$C$564=$A71,
N(INDEX('PORTIFÓLIO'!$J$4:$Q$564,,MATCH(B$2,'PORTIFÓLIO'!$J$3:$Q$3,0))) *
N('PORTIFÓLIO'!$S$4:$S$564),
0
)
),
0)</f>
        <v>0</v>
      </c>
      <c r="C71" s="49">
        <f t="shared" si="5"/>
        <v>0</v>
      </c>
      <c r="D71" s="49">
        <f t="array" ref="D71">IFERROR(
SUM(
IF(
'PORTIFÓLIO'!$C$4:$C$564=$A71,
N(INDEX('PORTIFÓLIO'!$J$4:$Q$564,,MATCH(D$2,'PORTIFÓLIO'!$J$3:$Q$3,0))) *
N('PORTIFÓLIO'!$S$4:$S$564),
0
)
),
0)</f>
        <v>20433.354</v>
      </c>
      <c r="E71" s="49">
        <f t="shared" si="6"/>
        <v>68.11118</v>
      </c>
      <c r="F71" s="49">
        <f t="array" ref="F71">IFERROR(
SUM(
IF(
'PORTIFÓLIO'!$C$4:$C$564=$A71,
N(INDEX('PORTIFÓLIO'!$J$4:$Q$564,,MATCH(F$2,'PORTIFÓLIO'!$J$3:$Q$3,0))) *
N('PORTIFÓLIO'!$S$4:$S$564),
0
)
),
0)</f>
        <v>0</v>
      </c>
      <c r="G71" s="47">
        <f t="shared" si="7"/>
        <v>0</v>
      </c>
      <c r="H71" s="49">
        <f t="array" ref="H71">IFERROR(
SUM(
IF(
'PORTIFÓLIO'!$C$4:$C$564=$A71,
N(INDEX('PORTIFÓLIO'!$J$4:$Q$564,,MATCH(H$2,'PORTIFÓLIO'!$J$3:$Q$3,0))) *
N('PORTIFÓLIO'!$S$4:$S$564),
0
)
),
0)</f>
        <v>0</v>
      </c>
      <c r="I71" s="47">
        <f t="shared" si="8"/>
        <v>0</v>
      </c>
      <c r="J71" s="49">
        <f t="array" ref="J71">IFERROR(
SUM(
IF(
'PORTIFÓLIO'!$C$4:$C$564=$A71,
N(INDEX('PORTIFÓLIO'!$J$4:$Q$564,,MATCH(J$2,'PORTIFÓLIO'!$J$3:$Q$3,0))) *
N('PORTIFÓLIO'!$S$4:$S$564),
0
)
),
0)</f>
        <v>0</v>
      </c>
      <c r="K71" s="47">
        <f t="shared" si="9"/>
        <v>0</v>
      </c>
      <c r="L71" s="49">
        <f t="array" ref="L71">IFERROR(
SUM(
IF(
'PORTIFÓLIO'!$C$4:$C$564=$A71,
N(INDEX('PORTIFÓLIO'!$J$4:$Q$564,,MATCH(L$2,'PORTIFÓLIO'!$J$3:$Q$3,0))) *
N('PORTIFÓLIO'!$S$4:$S$564),
0
)
),
0)</f>
        <v>0</v>
      </c>
      <c r="M71" s="47">
        <f t="shared" si="10"/>
        <v>0</v>
      </c>
      <c r="N71" s="49">
        <f t="array" ref="N71">IFERROR(
SUM(
IF(
'PORTIFÓLIO'!$C$4:$C$564=$A71,
N(INDEX('PORTIFÓLIO'!$J$4:$Q$564,,MATCH(N$2,'PORTIFÓLIO'!$J$3:$Q$3,0))) *
N('PORTIFÓLIO'!$S$4:$S$564),
0
)
),
0)</f>
        <v>0</v>
      </c>
      <c r="O71" s="49">
        <f t="shared" si="11"/>
        <v>0</v>
      </c>
      <c r="P71" s="49">
        <f t="array" ref="P71">IFERROR(
SUM(
IF(
'PORTIFÓLIO'!$C$4:$C$564=$A71,
N(INDEX('PORTIFÓLIO'!$J$4:$Q$564,,MATCH(P$2,'PORTIFÓLIO'!$J$3:$Q$3,0))) *
N('PORTIFÓLIO'!$S$4:$S$564),
0
)
),
0)</f>
        <v>0</v>
      </c>
      <c r="Q71" s="49">
        <f t="shared" si="12"/>
        <v>0</v>
      </c>
      <c r="R71" s="49">
        <f t="shared" si="2"/>
        <v>20433.354</v>
      </c>
      <c r="S71" s="49">
        <f t="shared" si="13"/>
        <v>6.110452751</v>
      </c>
    </row>
    <row r="72" ht="15.75" hidden="1" customHeight="1" outlineLevel="1">
      <c r="A72" s="48" t="str">
        <f>IFERROR(__xludf.DUMMYFUNCTION("""COMPUTED_VALUE"""),"ARKEIRO NORTOX")</f>
        <v>ARKEIRO NORTOX</v>
      </c>
      <c r="B72" s="49">
        <f t="array" ref="B72">IFERROR(
SUM(
IF(
'PORTIFÓLIO'!$C$4:$C$564=$A72,
N(INDEX('PORTIFÓLIO'!$J$4:$Q$564,,MATCH(B$2,'PORTIFÓLIO'!$J$3:$Q$3,0))) *
N('PORTIFÓLIO'!$S$4:$S$564),
0
)
),
0)</f>
        <v>0</v>
      </c>
      <c r="C72" s="49">
        <f t="shared" si="5"/>
        <v>0</v>
      </c>
      <c r="D72" s="49">
        <f t="array" ref="D72">IFERROR(
SUM(
IF(
'PORTIFÓLIO'!$C$4:$C$564=$A72,
N(INDEX('PORTIFÓLIO'!$J$4:$Q$564,,MATCH(D$2,'PORTIFÓLIO'!$J$3:$Q$3,0))) *
N('PORTIFÓLIO'!$S$4:$S$564),
0
)
),
0)</f>
        <v>0</v>
      </c>
      <c r="E72" s="49">
        <f t="shared" si="6"/>
        <v>0</v>
      </c>
      <c r="F72" s="49">
        <f t="array" ref="F72">IFERROR(
SUM(
IF(
'PORTIFÓLIO'!$C$4:$C$564=$A72,
N(INDEX('PORTIFÓLIO'!$J$4:$Q$564,,MATCH(F$2,'PORTIFÓLIO'!$J$3:$Q$3,0))) *
N('PORTIFÓLIO'!$S$4:$S$564),
0
)
),
0)</f>
        <v>0</v>
      </c>
      <c r="G72" s="47">
        <f t="shared" si="7"/>
        <v>0</v>
      </c>
      <c r="H72" s="49">
        <f t="array" ref="H72">IFERROR(
SUM(
IF(
'PORTIFÓLIO'!$C$4:$C$564=$A72,
N(INDEX('PORTIFÓLIO'!$J$4:$Q$564,,MATCH(H$2,'PORTIFÓLIO'!$J$3:$Q$3,0))) *
N('PORTIFÓLIO'!$S$4:$S$564),
0
)
),
0)</f>
        <v>0</v>
      </c>
      <c r="I72" s="47">
        <f t="shared" si="8"/>
        <v>0</v>
      </c>
      <c r="J72" s="49">
        <f t="array" ref="J72">IFERROR(
SUM(
IF(
'PORTIFÓLIO'!$C$4:$C$564=$A72,
N(INDEX('PORTIFÓLIO'!$J$4:$Q$564,,MATCH(J$2,'PORTIFÓLIO'!$J$3:$Q$3,0))) *
N('PORTIFÓLIO'!$S$4:$S$564),
0
)
),
0)</f>
        <v>0</v>
      </c>
      <c r="K72" s="47">
        <f t="shared" si="9"/>
        <v>0</v>
      </c>
      <c r="L72" s="49">
        <f t="array" ref="L72">IFERROR(
SUM(
IF(
'PORTIFÓLIO'!$C$4:$C$564=$A72,
N(INDEX('PORTIFÓLIO'!$J$4:$Q$564,,MATCH(L$2,'PORTIFÓLIO'!$J$3:$Q$3,0))) *
N('PORTIFÓLIO'!$S$4:$S$564),
0
)
),
0)</f>
        <v>0</v>
      </c>
      <c r="M72" s="47">
        <f t="shared" si="10"/>
        <v>0</v>
      </c>
      <c r="N72" s="49">
        <f t="array" ref="N72">IFERROR(
SUM(
IF(
'PORTIFÓLIO'!$C$4:$C$564=$A72,
N(INDEX('PORTIFÓLIO'!$J$4:$Q$564,,MATCH(N$2,'PORTIFÓLIO'!$J$3:$Q$3,0))) *
N('PORTIFÓLIO'!$S$4:$S$564),
0
)
),
0)</f>
        <v>0</v>
      </c>
      <c r="O72" s="49">
        <f t="shared" si="11"/>
        <v>0</v>
      </c>
      <c r="P72" s="49">
        <f t="array" ref="P72">IFERROR(
SUM(
IF(
'PORTIFÓLIO'!$C$4:$C$564=$A72,
N(INDEX('PORTIFÓLIO'!$J$4:$Q$564,,MATCH(P$2,'PORTIFÓLIO'!$J$3:$Q$3,0))) *
N('PORTIFÓLIO'!$S$4:$S$564),
0
)
),
0)</f>
        <v>0</v>
      </c>
      <c r="Q72" s="49">
        <f t="shared" si="12"/>
        <v>0</v>
      </c>
      <c r="R72" s="49">
        <f t="shared" si="2"/>
        <v>0</v>
      </c>
      <c r="S72" s="49">
        <f t="shared" si="13"/>
        <v>0</v>
      </c>
    </row>
    <row r="73" ht="15.75" hidden="1" customHeight="1" outlineLevel="1">
      <c r="A73" s="48" t="str">
        <f>IFERROR(__xludf.DUMMYFUNCTION("""COMPUTED_VALUE"""),"CLETODIM OLEUM NORTOX")</f>
        <v>CLETODIM OLEUM NORTOX</v>
      </c>
      <c r="B73" s="49">
        <f t="array" ref="B73">IFERROR(
SUM(
IF(
'PORTIFÓLIO'!$C$4:$C$564=$A73,
N(INDEX('PORTIFÓLIO'!$J$4:$Q$564,,MATCH(B$2,'PORTIFÓLIO'!$J$3:$Q$3,0))) *
N('PORTIFÓLIO'!$S$4:$S$564),
0
)
),
0)</f>
        <v>0</v>
      </c>
      <c r="C73" s="49">
        <f t="shared" si="5"/>
        <v>0</v>
      </c>
      <c r="D73" s="49">
        <f t="array" ref="D73">IFERROR(
SUM(
IF(
'PORTIFÓLIO'!$C$4:$C$564=$A73,
N(INDEX('PORTIFÓLIO'!$J$4:$Q$564,,MATCH(D$2,'PORTIFÓLIO'!$J$3:$Q$3,0))) *
N('PORTIFÓLIO'!$S$4:$S$564),
0
)
),
0)</f>
        <v>0</v>
      </c>
      <c r="E73" s="49">
        <f t="shared" si="6"/>
        <v>0</v>
      </c>
      <c r="F73" s="49">
        <f t="array" ref="F73">IFERROR(
SUM(
IF(
'PORTIFÓLIO'!$C$4:$C$564=$A73,
N(INDEX('PORTIFÓLIO'!$J$4:$Q$564,,MATCH(F$2,'PORTIFÓLIO'!$J$3:$Q$3,0))) *
N('PORTIFÓLIO'!$S$4:$S$564),
0
)
),
0)</f>
        <v>0</v>
      </c>
      <c r="G73" s="47">
        <f t="shared" si="7"/>
        <v>0</v>
      </c>
      <c r="H73" s="49">
        <f t="array" ref="H73">IFERROR(
SUM(
IF(
'PORTIFÓLIO'!$C$4:$C$564=$A73,
N(INDEX('PORTIFÓLIO'!$J$4:$Q$564,,MATCH(H$2,'PORTIFÓLIO'!$J$3:$Q$3,0))) *
N('PORTIFÓLIO'!$S$4:$S$564),
0
)
),
0)</f>
        <v>0</v>
      </c>
      <c r="I73" s="47">
        <f t="shared" si="8"/>
        <v>0</v>
      </c>
      <c r="J73" s="49">
        <f t="array" ref="J73">IFERROR(
SUM(
IF(
'PORTIFÓLIO'!$C$4:$C$564=$A73,
N(INDEX('PORTIFÓLIO'!$J$4:$Q$564,,MATCH(J$2,'PORTIFÓLIO'!$J$3:$Q$3,0))) *
N('PORTIFÓLIO'!$S$4:$S$564),
0
)
),
0)</f>
        <v>0</v>
      </c>
      <c r="K73" s="47">
        <f t="shared" si="9"/>
        <v>0</v>
      </c>
      <c r="L73" s="49">
        <f t="array" ref="L73">IFERROR(
SUM(
IF(
'PORTIFÓLIO'!$C$4:$C$564=$A73,
N(INDEX('PORTIFÓLIO'!$J$4:$Q$564,,MATCH(L$2,'PORTIFÓLIO'!$J$3:$Q$3,0))) *
N('PORTIFÓLIO'!$S$4:$S$564),
0
)
),
0)</f>
        <v>0</v>
      </c>
      <c r="M73" s="47">
        <f t="shared" si="10"/>
        <v>0</v>
      </c>
      <c r="N73" s="49">
        <f t="array" ref="N73">IFERROR(
SUM(
IF(
'PORTIFÓLIO'!$C$4:$C$564=$A73,
N(INDEX('PORTIFÓLIO'!$J$4:$Q$564,,MATCH(N$2,'PORTIFÓLIO'!$J$3:$Q$3,0))) *
N('PORTIFÓLIO'!$S$4:$S$564),
0
)
),
0)</f>
        <v>0</v>
      </c>
      <c r="O73" s="49">
        <f t="shared" si="11"/>
        <v>0</v>
      </c>
      <c r="P73" s="49">
        <f t="array" ref="P73">IFERROR(
SUM(
IF(
'PORTIFÓLIO'!$C$4:$C$564=$A73,
N(INDEX('PORTIFÓLIO'!$J$4:$Q$564,,MATCH(P$2,'PORTIFÓLIO'!$J$3:$Q$3,0))) *
N('PORTIFÓLIO'!$S$4:$S$564),
0
)
),
0)</f>
        <v>0</v>
      </c>
      <c r="Q73" s="49">
        <f t="shared" si="12"/>
        <v>0</v>
      </c>
      <c r="R73" s="49">
        <f t="shared" si="2"/>
        <v>0</v>
      </c>
      <c r="S73" s="49">
        <f t="shared" si="13"/>
        <v>0</v>
      </c>
    </row>
    <row r="74" ht="15.75" hidden="1" customHeight="1" outlineLevel="1">
      <c r="A74" s="48" t="str">
        <f>IFERROR(__xludf.DUMMYFUNCTION("""COMPUTED_VALUE"""),"CLORIMUROM MAX NORTOX")</f>
        <v>CLORIMUROM MAX NORTOX</v>
      </c>
      <c r="B74" s="49">
        <f t="array" ref="B74">IFERROR(
SUM(
IF(
'PORTIFÓLIO'!$C$4:$C$564=$A74,
N(INDEX('PORTIFÓLIO'!$J$4:$Q$564,,MATCH(B$2,'PORTIFÓLIO'!$J$3:$Q$3,0))) *
N('PORTIFÓLIO'!$S$4:$S$564),
0
)
),
0)</f>
        <v>0</v>
      </c>
      <c r="C74" s="49">
        <f t="shared" si="5"/>
        <v>0</v>
      </c>
      <c r="D74" s="49">
        <f t="array" ref="D74">IFERROR(
SUM(
IF(
'PORTIFÓLIO'!$C$4:$C$564=$A74,
N(INDEX('PORTIFÓLIO'!$J$4:$Q$564,,MATCH(D$2,'PORTIFÓLIO'!$J$3:$Q$3,0))) *
N('PORTIFÓLIO'!$S$4:$S$564),
0
)
),
0)</f>
        <v>0</v>
      </c>
      <c r="E74" s="49">
        <f t="shared" si="6"/>
        <v>0</v>
      </c>
      <c r="F74" s="49">
        <f t="array" ref="F74">IFERROR(
SUM(
IF(
'PORTIFÓLIO'!$C$4:$C$564=$A74,
N(INDEX('PORTIFÓLIO'!$J$4:$Q$564,,MATCH(F$2,'PORTIFÓLIO'!$J$3:$Q$3,0))) *
N('PORTIFÓLIO'!$S$4:$S$564),
0
)
),
0)</f>
        <v>0</v>
      </c>
      <c r="G74" s="47">
        <f t="shared" si="7"/>
        <v>0</v>
      </c>
      <c r="H74" s="49">
        <f t="array" ref="H74">IFERROR(
SUM(
IF(
'PORTIFÓLIO'!$C$4:$C$564=$A74,
N(INDEX('PORTIFÓLIO'!$J$4:$Q$564,,MATCH(H$2,'PORTIFÓLIO'!$J$3:$Q$3,0))) *
N('PORTIFÓLIO'!$S$4:$S$564),
0
)
),
0)</f>
        <v>0</v>
      </c>
      <c r="I74" s="47">
        <f t="shared" si="8"/>
        <v>0</v>
      </c>
      <c r="J74" s="49">
        <f t="array" ref="J74">IFERROR(
SUM(
IF(
'PORTIFÓLIO'!$C$4:$C$564=$A74,
N(INDEX('PORTIFÓLIO'!$J$4:$Q$564,,MATCH(J$2,'PORTIFÓLIO'!$J$3:$Q$3,0))) *
N('PORTIFÓLIO'!$S$4:$S$564),
0
)
),
0)</f>
        <v>0</v>
      </c>
      <c r="K74" s="47">
        <f t="shared" si="9"/>
        <v>0</v>
      </c>
      <c r="L74" s="49">
        <f t="array" ref="L74">IFERROR(
SUM(
IF(
'PORTIFÓLIO'!$C$4:$C$564=$A74,
N(INDEX('PORTIFÓLIO'!$J$4:$Q$564,,MATCH(L$2,'PORTIFÓLIO'!$J$3:$Q$3,0))) *
N('PORTIFÓLIO'!$S$4:$S$564),
0
)
),
0)</f>
        <v>0</v>
      </c>
      <c r="M74" s="47">
        <f t="shared" si="10"/>
        <v>0</v>
      </c>
      <c r="N74" s="49">
        <f t="array" ref="N74">IFERROR(
SUM(
IF(
'PORTIFÓLIO'!$C$4:$C$564=$A74,
N(INDEX('PORTIFÓLIO'!$J$4:$Q$564,,MATCH(N$2,'PORTIFÓLIO'!$J$3:$Q$3,0))) *
N('PORTIFÓLIO'!$S$4:$S$564),
0
)
),
0)</f>
        <v>0</v>
      </c>
      <c r="O74" s="49">
        <f t="shared" si="11"/>
        <v>0</v>
      </c>
      <c r="P74" s="49">
        <f t="array" ref="P74">IFERROR(
SUM(
IF(
'PORTIFÓLIO'!$C$4:$C$564=$A74,
N(INDEX('PORTIFÓLIO'!$J$4:$Q$564,,MATCH(P$2,'PORTIFÓLIO'!$J$3:$Q$3,0))) *
N('PORTIFÓLIO'!$S$4:$S$564),
0
)
),
0)</f>
        <v>0</v>
      </c>
      <c r="Q74" s="49">
        <f t="shared" si="12"/>
        <v>0</v>
      </c>
      <c r="R74" s="49">
        <f t="shared" si="2"/>
        <v>0</v>
      </c>
      <c r="S74" s="49">
        <f t="shared" si="13"/>
        <v>0</v>
      </c>
    </row>
    <row r="75" ht="15.75" hidden="1" customHeight="1" outlineLevel="1">
      <c r="A75" s="48" t="str">
        <f>IFERROR(__xludf.DUMMYFUNCTION("""COMPUTED_VALUE"""),"FLUROXIPIR NORTOX")</f>
        <v>FLUROXIPIR NORTOX</v>
      </c>
      <c r="B75" s="49">
        <f t="array" ref="B75">IFERROR(
SUM(
IF(
'PORTIFÓLIO'!$C$4:$C$564=$A75,
N(INDEX('PORTIFÓLIO'!$J$4:$Q$564,,MATCH(B$2,'PORTIFÓLIO'!$J$3:$Q$3,0))) *
N('PORTIFÓLIO'!$S$4:$S$564),
0
)
),
0)</f>
        <v>0</v>
      </c>
      <c r="C75" s="49">
        <f t="shared" si="5"/>
        <v>0</v>
      </c>
      <c r="D75" s="49">
        <f t="array" ref="D75">IFERROR(
SUM(
IF(
'PORTIFÓLIO'!$C$4:$C$564=$A75,
N(INDEX('PORTIFÓLIO'!$J$4:$Q$564,,MATCH(D$2,'PORTIFÓLIO'!$J$3:$Q$3,0))) *
N('PORTIFÓLIO'!$S$4:$S$564),
0
)
),
0)</f>
        <v>0</v>
      </c>
      <c r="E75" s="49">
        <f t="shared" si="6"/>
        <v>0</v>
      </c>
      <c r="F75" s="49">
        <f t="array" ref="F75">IFERROR(
SUM(
IF(
'PORTIFÓLIO'!$C$4:$C$564=$A75,
N(INDEX('PORTIFÓLIO'!$J$4:$Q$564,,MATCH(F$2,'PORTIFÓLIO'!$J$3:$Q$3,0))) *
N('PORTIFÓLIO'!$S$4:$S$564),
0
)
),
0)</f>
        <v>0</v>
      </c>
      <c r="G75" s="47">
        <f t="shared" si="7"/>
        <v>0</v>
      </c>
      <c r="H75" s="49">
        <f t="array" ref="H75">IFERROR(
SUM(
IF(
'PORTIFÓLIO'!$C$4:$C$564=$A75,
N(INDEX('PORTIFÓLIO'!$J$4:$Q$564,,MATCH(H$2,'PORTIFÓLIO'!$J$3:$Q$3,0))) *
N('PORTIFÓLIO'!$S$4:$S$564),
0
)
),
0)</f>
        <v>0</v>
      </c>
      <c r="I75" s="47">
        <f t="shared" si="8"/>
        <v>0</v>
      </c>
      <c r="J75" s="49">
        <f t="array" ref="J75">IFERROR(
SUM(
IF(
'PORTIFÓLIO'!$C$4:$C$564=$A75,
N(INDEX('PORTIFÓLIO'!$J$4:$Q$564,,MATCH(J$2,'PORTIFÓLIO'!$J$3:$Q$3,0))) *
N('PORTIFÓLIO'!$S$4:$S$564),
0
)
),
0)</f>
        <v>0</v>
      </c>
      <c r="K75" s="47">
        <f t="shared" si="9"/>
        <v>0</v>
      </c>
      <c r="L75" s="49">
        <f t="array" ref="L75">IFERROR(
SUM(
IF(
'PORTIFÓLIO'!$C$4:$C$564=$A75,
N(INDEX('PORTIFÓLIO'!$J$4:$Q$564,,MATCH(L$2,'PORTIFÓLIO'!$J$3:$Q$3,0))) *
N('PORTIFÓLIO'!$S$4:$S$564),
0
)
),
0)</f>
        <v>0</v>
      </c>
      <c r="M75" s="47">
        <f t="shared" si="10"/>
        <v>0</v>
      </c>
      <c r="N75" s="49">
        <f t="array" ref="N75">IFERROR(
SUM(
IF(
'PORTIFÓLIO'!$C$4:$C$564=$A75,
N(INDEX('PORTIFÓLIO'!$J$4:$Q$564,,MATCH(N$2,'PORTIFÓLIO'!$J$3:$Q$3,0))) *
N('PORTIFÓLIO'!$S$4:$S$564),
0
)
),
0)</f>
        <v>0</v>
      </c>
      <c r="O75" s="49">
        <f t="shared" si="11"/>
        <v>0</v>
      </c>
      <c r="P75" s="49">
        <f t="array" ref="P75">IFERROR(
SUM(
IF(
'PORTIFÓLIO'!$C$4:$C$564=$A75,
N(INDEX('PORTIFÓLIO'!$J$4:$Q$564,,MATCH(P$2,'PORTIFÓLIO'!$J$3:$Q$3,0))) *
N('PORTIFÓLIO'!$S$4:$S$564),
0
)
),
0)</f>
        <v>0</v>
      </c>
      <c r="Q75" s="49">
        <f t="shared" si="12"/>
        <v>0</v>
      </c>
      <c r="R75" s="49">
        <f t="shared" si="2"/>
        <v>0</v>
      </c>
      <c r="S75" s="49">
        <f t="shared" si="13"/>
        <v>0</v>
      </c>
    </row>
    <row r="76" ht="15.75" hidden="1" customHeight="1" outlineLevel="1">
      <c r="A76" s="48" t="str">
        <f>IFERROR(__xludf.DUMMYFUNCTION("""COMPUTED_VALUE"""),"GLUFOSINATO NORTOX 880 SG")</f>
        <v>GLUFOSINATO NORTOX 880 SG</v>
      </c>
      <c r="B76" s="49">
        <f t="array" ref="B76">IFERROR(
SUM(
IF(
'PORTIFÓLIO'!$C$4:$C$564=$A76,
N(INDEX('PORTIFÓLIO'!$J$4:$Q$564,,MATCH(B$2,'PORTIFÓLIO'!$J$3:$Q$3,0))) *
N('PORTIFÓLIO'!$S$4:$S$564),
0
)
),
0)</f>
        <v>0</v>
      </c>
      <c r="C76" s="49">
        <f t="shared" si="5"/>
        <v>0</v>
      </c>
      <c r="D76" s="49">
        <f t="array" ref="D76">IFERROR(
SUM(
IF(
'PORTIFÓLIO'!$C$4:$C$564=$A76,
N(INDEX('PORTIFÓLIO'!$J$4:$Q$564,,MATCH(D$2,'PORTIFÓLIO'!$J$3:$Q$3,0))) *
N('PORTIFÓLIO'!$S$4:$S$564),
0
)
),
0)</f>
        <v>3289.7872</v>
      </c>
      <c r="E76" s="49">
        <f t="shared" si="6"/>
        <v>10.96595733</v>
      </c>
      <c r="F76" s="49">
        <f t="array" ref="F76">IFERROR(
SUM(
IF(
'PORTIFÓLIO'!$C$4:$C$564=$A76,
N(INDEX('PORTIFÓLIO'!$J$4:$Q$564,,MATCH(F$2,'PORTIFÓLIO'!$J$3:$Q$3,0))) *
N('PORTIFÓLIO'!$S$4:$S$564),
0
)
),
0)</f>
        <v>0</v>
      </c>
      <c r="G76" s="47">
        <f t="shared" si="7"/>
        <v>0</v>
      </c>
      <c r="H76" s="49">
        <f t="array" ref="H76">IFERROR(
SUM(
IF(
'PORTIFÓLIO'!$C$4:$C$564=$A76,
N(INDEX('PORTIFÓLIO'!$J$4:$Q$564,,MATCH(H$2,'PORTIFÓLIO'!$J$3:$Q$3,0))) *
N('PORTIFÓLIO'!$S$4:$S$564),
0
)
),
0)</f>
        <v>7519.5136</v>
      </c>
      <c r="I76" s="47">
        <f t="shared" si="8"/>
        <v>37.597568</v>
      </c>
      <c r="J76" s="49">
        <f t="array" ref="J76">IFERROR(
SUM(
IF(
'PORTIFÓLIO'!$C$4:$C$564=$A76,
N(INDEX('PORTIFÓLIO'!$J$4:$Q$564,,MATCH(J$2,'PORTIFÓLIO'!$J$3:$Q$3,0))) *
N('PORTIFÓLIO'!$S$4:$S$564),
0
)
),
0)</f>
        <v>0</v>
      </c>
      <c r="K76" s="47">
        <f t="shared" si="9"/>
        <v>0</v>
      </c>
      <c r="L76" s="49">
        <f t="array" ref="L76">IFERROR(
SUM(
IF(
'PORTIFÓLIO'!$C$4:$C$564=$A76,
N(INDEX('PORTIFÓLIO'!$J$4:$Q$564,,MATCH(L$2,'PORTIFÓLIO'!$J$3:$Q$3,0))) *
N('PORTIFÓLIO'!$S$4:$S$564),
0
)
),
0)</f>
        <v>0</v>
      </c>
      <c r="M76" s="47">
        <f t="shared" si="10"/>
        <v>0</v>
      </c>
      <c r="N76" s="49">
        <f t="array" ref="N76">IFERROR(
SUM(
IF(
'PORTIFÓLIO'!$C$4:$C$564=$A76,
N(INDEX('PORTIFÓLIO'!$J$4:$Q$564,,MATCH(N$2,'PORTIFÓLIO'!$J$3:$Q$3,0))) *
N('PORTIFÓLIO'!$S$4:$S$564),
0
)
),
0)</f>
        <v>17623.86</v>
      </c>
      <c r="O76" s="49">
        <f t="shared" si="11"/>
        <v>14.46950739</v>
      </c>
      <c r="P76" s="49">
        <f t="array" ref="P76">IFERROR(
SUM(
IF(
'PORTIFÓLIO'!$C$4:$C$564=$A76,
N(INDEX('PORTIFÓLIO'!$J$4:$Q$564,,MATCH(P$2,'PORTIFÓLIO'!$J$3:$Q$3,0))) *
N('PORTIFÓLIO'!$S$4:$S$564),
0
)
),
0)</f>
        <v>2819.8176</v>
      </c>
      <c r="Q76" s="49">
        <f t="shared" si="12"/>
        <v>8.81193</v>
      </c>
      <c r="R76" s="49">
        <f t="shared" si="2"/>
        <v>31252.9784</v>
      </c>
      <c r="S76" s="49">
        <f t="shared" si="13"/>
        <v>9.345986364</v>
      </c>
    </row>
    <row r="77" ht="15.75" hidden="1" customHeight="1" outlineLevel="1">
      <c r="A77" s="48" t="str">
        <f>IFERROR(__xludf.DUMMYFUNCTION("""COMPUTED_VALUE"""),"IMAZETAPIR NORTOX")</f>
        <v>IMAZETAPIR NORTOX</v>
      </c>
      <c r="B77" s="49">
        <f t="array" ref="B77">IFERROR(
SUM(
IF(
'PORTIFÓLIO'!$C$4:$C$564=$A77,
N(INDEX('PORTIFÓLIO'!$J$4:$Q$564,,MATCH(B$2,'PORTIFÓLIO'!$J$3:$Q$3,0))) *
N('PORTIFÓLIO'!$S$4:$S$564),
0
)
),
0)</f>
        <v>20270.3886</v>
      </c>
      <c r="C77" s="49">
        <f t="shared" si="5"/>
        <v>41.36814</v>
      </c>
      <c r="D77" s="49">
        <f t="array" ref="D77">IFERROR(
SUM(
IF(
'PORTIFÓLIO'!$C$4:$C$564=$A77,
N(INDEX('PORTIFÓLIO'!$J$4:$Q$564,,MATCH(D$2,'PORTIFÓLIO'!$J$3:$Q$3,0))) *
N('PORTIFÓLIO'!$S$4:$S$564),
0
)
),
0)</f>
        <v>0</v>
      </c>
      <c r="E77" s="49">
        <f t="shared" si="6"/>
        <v>0</v>
      </c>
      <c r="F77" s="49">
        <f t="array" ref="F77">IFERROR(
SUM(
IF(
'PORTIFÓLIO'!$C$4:$C$564=$A77,
N(INDEX('PORTIFÓLIO'!$J$4:$Q$564,,MATCH(F$2,'PORTIFÓLIO'!$J$3:$Q$3,0))) *
N('PORTIFÓLIO'!$S$4:$S$564),
0
)
),
0)</f>
        <v>0</v>
      </c>
      <c r="G77" s="47">
        <f t="shared" si="7"/>
        <v>0</v>
      </c>
      <c r="H77" s="49">
        <f t="array" ref="H77">IFERROR(
SUM(
IF(
'PORTIFÓLIO'!$C$4:$C$564=$A77,
N(INDEX('PORTIFÓLIO'!$J$4:$Q$564,,MATCH(H$2,'PORTIFÓLIO'!$J$3:$Q$3,0))) *
N('PORTIFÓLIO'!$S$4:$S$564),
0
)
),
0)</f>
        <v>0</v>
      </c>
      <c r="I77" s="47">
        <f t="shared" si="8"/>
        <v>0</v>
      </c>
      <c r="J77" s="49">
        <f t="array" ref="J77">IFERROR(
SUM(
IF(
'PORTIFÓLIO'!$C$4:$C$564=$A77,
N(INDEX('PORTIFÓLIO'!$J$4:$Q$564,,MATCH(J$2,'PORTIFÓLIO'!$J$3:$Q$3,0))) *
N('PORTIFÓLIO'!$S$4:$S$564),
0
)
),
0)</f>
        <v>0</v>
      </c>
      <c r="K77" s="47">
        <f t="shared" si="9"/>
        <v>0</v>
      </c>
      <c r="L77" s="49">
        <f t="array" ref="L77">IFERROR(
SUM(
IF(
'PORTIFÓLIO'!$C$4:$C$564=$A77,
N(INDEX('PORTIFÓLIO'!$J$4:$Q$564,,MATCH(L$2,'PORTIFÓLIO'!$J$3:$Q$3,0))) *
N('PORTIFÓLIO'!$S$4:$S$564),
0
)
),
0)</f>
        <v>0</v>
      </c>
      <c r="M77" s="47">
        <f t="shared" si="10"/>
        <v>0</v>
      </c>
      <c r="N77" s="49">
        <f t="array" ref="N77">IFERROR(
SUM(
IF(
'PORTIFÓLIO'!$C$4:$C$564=$A77,
N(INDEX('PORTIFÓLIO'!$J$4:$Q$564,,MATCH(N$2,'PORTIFÓLIO'!$J$3:$Q$3,0))) *
N('PORTIFÓLIO'!$S$4:$S$564),
0
)
),
0)</f>
        <v>0</v>
      </c>
      <c r="O77" s="49">
        <f t="shared" si="11"/>
        <v>0</v>
      </c>
      <c r="P77" s="49">
        <f t="array" ref="P77">IFERROR(
SUM(
IF(
'PORTIFÓLIO'!$C$4:$C$564=$A77,
N(INDEX('PORTIFÓLIO'!$J$4:$Q$564,,MATCH(P$2,'PORTIFÓLIO'!$J$3:$Q$3,0))) *
N('PORTIFÓLIO'!$S$4:$S$564),
0
)
),
0)</f>
        <v>0</v>
      </c>
      <c r="Q77" s="49">
        <f t="shared" si="12"/>
        <v>0</v>
      </c>
      <c r="R77" s="49">
        <f t="shared" si="2"/>
        <v>20270.3886</v>
      </c>
      <c r="S77" s="49">
        <f t="shared" si="13"/>
        <v>6.061719079</v>
      </c>
    </row>
    <row r="78" ht="15.75" hidden="1" customHeight="1" outlineLevel="1">
      <c r="A78" s="48" t="str">
        <f>IFERROR(__xludf.DUMMYFUNCTION("""COMPUTED_VALUE"""),"MESOTRIONA NORTOX")</f>
        <v>MESOTRIONA NORTOX</v>
      </c>
      <c r="B78" s="49">
        <f t="array" ref="B78">IFERROR(
SUM(
IF(
'PORTIFÓLIO'!$C$4:$C$564=$A78,
N(INDEX('PORTIFÓLIO'!$J$4:$Q$564,,MATCH(B$2,'PORTIFÓLIO'!$J$3:$Q$3,0))) *
N('PORTIFÓLIO'!$S$4:$S$564),
0
)
),
0)</f>
        <v>0</v>
      </c>
      <c r="C78" s="49">
        <f t="shared" si="5"/>
        <v>0</v>
      </c>
      <c r="D78" s="49">
        <f t="array" ref="D78">IFERROR(
SUM(
IF(
'PORTIFÓLIO'!$C$4:$C$564=$A78,
N(INDEX('PORTIFÓLIO'!$J$4:$Q$564,,MATCH(D$2,'PORTIFÓLIO'!$J$3:$Q$3,0))) *
N('PORTIFÓLIO'!$S$4:$S$564),
0
)
),
0)</f>
        <v>0</v>
      </c>
      <c r="E78" s="49">
        <f t="shared" si="6"/>
        <v>0</v>
      </c>
      <c r="F78" s="49">
        <f t="array" ref="F78">IFERROR(
SUM(
IF(
'PORTIFÓLIO'!$C$4:$C$564=$A78,
N(INDEX('PORTIFÓLIO'!$J$4:$Q$564,,MATCH(F$2,'PORTIFÓLIO'!$J$3:$Q$3,0))) *
N('PORTIFÓLIO'!$S$4:$S$564),
0
)
),
0)</f>
        <v>0</v>
      </c>
      <c r="G78" s="47">
        <f t="shared" si="7"/>
        <v>0</v>
      </c>
      <c r="H78" s="49">
        <f t="array" ref="H78">IFERROR(
SUM(
IF(
'PORTIFÓLIO'!$C$4:$C$564=$A78,
N(INDEX('PORTIFÓLIO'!$J$4:$Q$564,,MATCH(H$2,'PORTIFÓLIO'!$J$3:$Q$3,0))) *
N('PORTIFÓLIO'!$S$4:$S$564),
0
)
),
0)</f>
        <v>0</v>
      </c>
      <c r="I78" s="47">
        <f t="shared" si="8"/>
        <v>0</v>
      </c>
      <c r="J78" s="49">
        <f t="array" ref="J78">IFERROR(
SUM(
IF(
'PORTIFÓLIO'!$C$4:$C$564=$A78,
N(INDEX('PORTIFÓLIO'!$J$4:$Q$564,,MATCH(J$2,'PORTIFÓLIO'!$J$3:$Q$3,0))) *
N('PORTIFÓLIO'!$S$4:$S$564),
0
)
),
0)</f>
        <v>0</v>
      </c>
      <c r="K78" s="47">
        <f t="shared" si="9"/>
        <v>0</v>
      </c>
      <c r="L78" s="49">
        <f t="array" ref="L78">IFERROR(
SUM(
IF(
'PORTIFÓLIO'!$C$4:$C$564=$A78,
N(INDEX('PORTIFÓLIO'!$J$4:$Q$564,,MATCH(L$2,'PORTIFÓLIO'!$J$3:$Q$3,0))) *
N('PORTIFÓLIO'!$S$4:$S$564),
0
)
),
0)</f>
        <v>0</v>
      </c>
      <c r="M78" s="47">
        <f t="shared" si="10"/>
        <v>0</v>
      </c>
      <c r="N78" s="49">
        <f t="array" ref="N78">IFERROR(
SUM(
IF(
'PORTIFÓLIO'!$C$4:$C$564=$A78,
N(INDEX('PORTIFÓLIO'!$J$4:$Q$564,,MATCH(N$2,'PORTIFÓLIO'!$J$3:$Q$3,0))) *
N('PORTIFÓLIO'!$S$4:$S$564),
0
)
),
0)</f>
        <v>0</v>
      </c>
      <c r="O78" s="49">
        <f t="shared" si="11"/>
        <v>0</v>
      </c>
      <c r="P78" s="49">
        <f t="array" ref="P78">IFERROR(
SUM(
IF(
'PORTIFÓLIO'!$C$4:$C$564=$A78,
N(INDEX('PORTIFÓLIO'!$J$4:$Q$564,,MATCH(P$2,'PORTIFÓLIO'!$J$3:$Q$3,0))) *
N('PORTIFÓLIO'!$S$4:$S$564),
0
)
),
0)</f>
        <v>0</v>
      </c>
      <c r="Q78" s="49">
        <f t="shared" si="12"/>
        <v>0</v>
      </c>
      <c r="R78" s="49">
        <f t="shared" si="2"/>
        <v>0</v>
      </c>
      <c r="S78" s="49">
        <f t="shared" si="13"/>
        <v>0</v>
      </c>
    </row>
    <row r="79" ht="15.75" hidden="1" customHeight="1" outlineLevel="1">
      <c r="A79" s="48" t="str">
        <f>IFERROR(__xludf.DUMMYFUNCTION("""COMPUTED_VALUE"""),"TRIFLURALINA NORTOX GOLD")</f>
        <v>TRIFLURALINA NORTOX GOLD</v>
      </c>
      <c r="B79" s="49">
        <f t="array" ref="B79">IFERROR(
SUM(
IF(
'PORTIFÓLIO'!$C$4:$C$564=$A79,
N(INDEX('PORTIFÓLIO'!$J$4:$Q$564,,MATCH(B$2,'PORTIFÓLIO'!$J$3:$Q$3,0))) *
N('PORTIFÓLIO'!$S$4:$S$564),
0
)
),
0)</f>
        <v>0</v>
      </c>
      <c r="C79" s="49">
        <f t="shared" si="5"/>
        <v>0</v>
      </c>
      <c r="D79" s="49">
        <f t="array" ref="D79">IFERROR(
SUM(
IF(
'PORTIFÓLIO'!$C$4:$C$564=$A79,
N(INDEX('PORTIFÓLIO'!$J$4:$Q$564,,MATCH(D$2,'PORTIFÓLIO'!$J$3:$Q$3,0))) *
N('PORTIFÓLIO'!$S$4:$S$564),
0
)
),
0)</f>
        <v>0</v>
      </c>
      <c r="E79" s="49">
        <f t="shared" si="6"/>
        <v>0</v>
      </c>
      <c r="F79" s="49">
        <f t="array" ref="F79">IFERROR(
SUM(
IF(
'PORTIFÓLIO'!$C$4:$C$564=$A79,
N(INDEX('PORTIFÓLIO'!$J$4:$Q$564,,MATCH(F$2,'PORTIFÓLIO'!$J$3:$Q$3,0))) *
N('PORTIFÓLIO'!$S$4:$S$564),
0
)
),
0)</f>
        <v>0</v>
      </c>
      <c r="G79" s="47">
        <f t="shared" si="7"/>
        <v>0</v>
      </c>
      <c r="H79" s="49">
        <f t="array" ref="H79">IFERROR(
SUM(
IF(
'PORTIFÓLIO'!$C$4:$C$564=$A79,
N(INDEX('PORTIFÓLIO'!$J$4:$Q$564,,MATCH(H$2,'PORTIFÓLIO'!$J$3:$Q$3,0))) *
N('PORTIFÓLIO'!$S$4:$S$564),
0
)
),
0)</f>
        <v>0</v>
      </c>
      <c r="I79" s="47">
        <f t="shared" si="8"/>
        <v>0</v>
      </c>
      <c r="J79" s="49">
        <f t="array" ref="J79">IFERROR(
SUM(
IF(
'PORTIFÓLIO'!$C$4:$C$564=$A79,
N(INDEX('PORTIFÓLIO'!$J$4:$Q$564,,MATCH(J$2,'PORTIFÓLIO'!$J$3:$Q$3,0))) *
N('PORTIFÓLIO'!$S$4:$S$564),
0
)
),
0)</f>
        <v>0</v>
      </c>
      <c r="K79" s="47">
        <f t="shared" si="9"/>
        <v>0</v>
      </c>
      <c r="L79" s="49">
        <f t="array" ref="L79">IFERROR(
SUM(
IF(
'PORTIFÓLIO'!$C$4:$C$564=$A79,
N(INDEX('PORTIFÓLIO'!$J$4:$Q$564,,MATCH(L$2,'PORTIFÓLIO'!$J$3:$Q$3,0))) *
N('PORTIFÓLIO'!$S$4:$S$564),
0
)
),
0)</f>
        <v>0</v>
      </c>
      <c r="M79" s="47">
        <f t="shared" si="10"/>
        <v>0</v>
      </c>
      <c r="N79" s="49">
        <f t="array" ref="N79">IFERROR(
SUM(
IF(
'PORTIFÓLIO'!$C$4:$C$564=$A79,
N(INDEX('PORTIFÓLIO'!$J$4:$Q$564,,MATCH(N$2,'PORTIFÓLIO'!$J$3:$Q$3,0))) *
N('PORTIFÓLIO'!$S$4:$S$564),
0
)
),
0)</f>
        <v>0</v>
      </c>
      <c r="O79" s="49">
        <f t="shared" si="11"/>
        <v>0</v>
      </c>
      <c r="P79" s="49">
        <f t="array" ref="P79">IFERROR(
SUM(
IF(
'PORTIFÓLIO'!$C$4:$C$564=$A79,
N(INDEX('PORTIFÓLIO'!$J$4:$Q$564,,MATCH(P$2,'PORTIFÓLIO'!$J$3:$Q$3,0))) *
N('PORTIFÓLIO'!$S$4:$S$564),
0
)
),
0)</f>
        <v>0</v>
      </c>
      <c r="Q79" s="49">
        <f t="shared" si="12"/>
        <v>0</v>
      </c>
      <c r="R79" s="49">
        <f t="shared" si="2"/>
        <v>0</v>
      </c>
      <c r="S79" s="49">
        <f t="shared" si="13"/>
        <v>0</v>
      </c>
    </row>
    <row r="80" ht="15.75" hidden="1" customHeight="1" outlineLevel="1">
      <c r="A80" s="48" t="str">
        <f>IFERROR(__xludf.DUMMYFUNCTION("""COMPUTED_VALUE"""),"CLICK")</f>
        <v>CLICK</v>
      </c>
      <c r="B80" s="49">
        <f t="array" ref="B80">IFERROR(
SUM(
IF(
'PORTIFÓLIO'!$C$4:$C$564=$A80,
N(INDEX('PORTIFÓLIO'!$J$4:$Q$564,,MATCH(B$2,'PORTIFÓLIO'!$J$3:$Q$3,0))) *
N('PORTIFÓLIO'!$S$4:$S$564),
0
)
),
0)</f>
        <v>0</v>
      </c>
      <c r="C80" s="49">
        <f t="shared" si="5"/>
        <v>0</v>
      </c>
      <c r="D80" s="49">
        <f t="array" ref="D80">IFERROR(
SUM(
IF(
'PORTIFÓLIO'!$C$4:$C$564=$A80,
N(INDEX('PORTIFÓLIO'!$J$4:$Q$564,,MATCH(D$2,'PORTIFÓLIO'!$J$3:$Q$3,0))) *
N('PORTIFÓLIO'!$S$4:$S$564),
0
)
),
0)</f>
        <v>0</v>
      </c>
      <c r="E80" s="49">
        <f t="shared" si="6"/>
        <v>0</v>
      </c>
      <c r="F80" s="49">
        <f t="array" ref="F80">IFERROR(
SUM(
IF(
'PORTIFÓLIO'!$C$4:$C$564=$A80,
N(INDEX('PORTIFÓLIO'!$J$4:$Q$564,,MATCH(F$2,'PORTIFÓLIO'!$J$3:$Q$3,0))) *
N('PORTIFÓLIO'!$S$4:$S$564),
0
)
),
0)</f>
        <v>0</v>
      </c>
      <c r="G80" s="47">
        <f t="shared" si="7"/>
        <v>0</v>
      </c>
      <c r="H80" s="49">
        <f t="array" ref="H80">IFERROR(
SUM(
IF(
'PORTIFÓLIO'!$C$4:$C$564=$A80,
N(INDEX('PORTIFÓLIO'!$J$4:$Q$564,,MATCH(H$2,'PORTIFÓLIO'!$J$3:$Q$3,0))) *
N('PORTIFÓLIO'!$S$4:$S$564),
0
)
),
0)</f>
        <v>0</v>
      </c>
      <c r="I80" s="47">
        <f t="shared" si="8"/>
        <v>0</v>
      </c>
      <c r="J80" s="49">
        <f t="array" ref="J80">IFERROR(
SUM(
IF(
'PORTIFÓLIO'!$C$4:$C$564=$A80,
N(INDEX('PORTIFÓLIO'!$J$4:$Q$564,,MATCH(J$2,'PORTIFÓLIO'!$J$3:$Q$3,0))) *
N('PORTIFÓLIO'!$S$4:$S$564),
0
)
),
0)</f>
        <v>0</v>
      </c>
      <c r="K80" s="47">
        <f t="shared" si="9"/>
        <v>0</v>
      </c>
      <c r="L80" s="49">
        <f t="array" ref="L80">IFERROR(
SUM(
IF(
'PORTIFÓLIO'!$C$4:$C$564=$A80,
N(INDEX('PORTIFÓLIO'!$J$4:$Q$564,,MATCH(L$2,'PORTIFÓLIO'!$J$3:$Q$3,0))) *
N('PORTIFÓLIO'!$S$4:$S$564),
0
)
),
0)</f>
        <v>0</v>
      </c>
      <c r="M80" s="47">
        <f t="shared" si="10"/>
        <v>0</v>
      </c>
      <c r="N80" s="49">
        <f t="array" ref="N80">IFERROR(
SUM(
IF(
'PORTIFÓLIO'!$C$4:$C$564=$A80,
N(INDEX('PORTIFÓLIO'!$J$4:$Q$564,,MATCH(N$2,'PORTIFÓLIO'!$J$3:$Q$3,0))) *
N('PORTIFÓLIO'!$S$4:$S$564),
0
)
),
0)</f>
        <v>0</v>
      </c>
      <c r="O80" s="49">
        <f t="shared" si="11"/>
        <v>0</v>
      </c>
      <c r="P80" s="49">
        <f t="array" ref="P80">IFERROR(
SUM(
IF(
'PORTIFÓLIO'!$C$4:$C$564=$A80,
N(INDEX('PORTIFÓLIO'!$J$4:$Q$564,,MATCH(P$2,'PORTIFÓLIO'!$J$3:$Q$3,0))) *
N('PORTIFÓLIO'!$S$4:$S$564),
0
)
),
0)</f>
        <v>0</v>
      </c>
      <c r="Q80" s="49">
        <f t="shared" si="12"/>
        <v>0</v>
      </c>
      <c r="R80" s="49">
        <f t="shared" si="2"/>
        <v>0</v>
      </c>
      <c r="S80" s="49">
        <f t="shared" si="13"/>
        <v>0</v>
      </c>
    </row>
    <row r="81" ht="15.75" hidden="1" customHeight="1" outlineLevel="1">
      <c r="A81" s="48" t="str">
        <f>IFERROR(__xludf.DUMMYFUNCTION("""COMPUTED_VALUE"""),"VOLCANE")</f>
        <v>VOLCANE</v>
      </c>
      <c r="B81" s="49">
        <f t="array" ref="B81">IFERROR(
SUM(
IF(
'PORTIFÓLIO'!$C$4:$C$564=$A81,
N(INDEX('PORTIFÓLIO'!$J$4:$Q$564,,MATCH(B$2,'PORTIFÓLIO'!$J$3:$Q$3,0))) *
N('PORTIFÓLIO'!$S$4:$S$564),
0
)
),
0)</f>
        <v>0</v>
      </c>
      <c r="C81" s="49">
        <f t="shared" si="5"/>
        <v>0</v>
      </c>
      <c r="D81" s="49">
        <f t="array" ref="D81">IFERROR(
SUM(
IF(
'PORTIFÓLIO'!$C$4:$C$564=$A81,
N(INDEX('PORTIFÓLIO'!$J$4:$Q$564,,MATCH(D$2,'PORTIFÓLIO'!$J$3:$Q$3,0))) *
N('PORTIFÓLIO'!$S$4:$S$564),
0
)
),
0)</f>
        <v>0</v>
      </c>
      <c r="E81" s="49">
        <f t="shared" si="6"/>
        <v>0</v>
      </c>
      <c r="F81" s="49">
        <f t="array" ref="F81">IFERROR(
SUM(
IF(
'PORTIFÓLIO'!$C$4:$C$564=$A81,
N(INDEX('PORTIFÓLIO'!$J$4:$Q$564,,MATCH(F$2,'PORTIFÓLIO'!$J$3:$Q$3,0))) *
N('PORTIFÓLIO'!$S$4:$S$564),
0
)
),
0)</f>
        <v>0</v>
      </c>
      <c r="G81" s="47">
        <f t="shared" si="7"/>
        <v>0</v>
      </c>
      <c r="H81" s="49">
        <f t="array" ref="H81">IFERROR(
SUM(
IF(
'PORTIFÓLIO'!$C$4:$C$564=$A81,
N(INDEX('PORTIFÓLIO'!$J$4:$Q$564,,MATCH(H$2,'PORTIFÓLIO'!$J$3:$Q$3,0))) *
N('PORTIFÓLIO'!$S$4:$S$564),
0
)
),
0)</f>
        <v>0</v>
      </c>
      <c r="I81" s="47">
        <f t="shared" si="8"/>
        <v>0</v>
      </c>
      <c r="J81" s="49">
        <f t="array" ref="J81">IFERROR(
SUM(
IF(
'PORTIFÓLIO'!$C$4:$C$564=$A81,
N(INDEX('PORTIFÓLIO'!$J$4:$Q$564,,MATCH(J$2,'PORTIFÓLIO'!$J$3:$Q$3,0))) *
N('PORTIFÓLIO'!$S$4:$S$564),
0
)
),
0)</f>
        <v>0</v>
      </c>
      <c r="K81" s="47">
        <f t="shared" si="9"/>
        <v>0</v>
      </c>
      <c r="L81" s="49">
        <f t="array" ref="L81">IFERROR(
SUM(
IF(
'PORTIFÓLIO'!$C$4:$C$564=$A81,
N(INDEX('PORTIFÓLIO'!$J$4:$Q$564,,MATCH(L$2,'PORTIFÓLIO'!$J$3:$Q$3,0))) *
N('PORTIFÓLIO'!$S$4:$S$564),
0
)
),
0)</f>
        <v>0</v>
      </c>
      <c r="M81" s="47">
        <f t="shared" si="10"/>
        <v>0</v>
      </c>
      <c r="N81" s="49">
        <f t="array" ref="N81">IFERROR(
SUM(
IF(
'PORTIFÓLIO'!$C$4:$C$564=$A81,
N(INDEX('PORTIFÓLIO'!$J$4:$Q$564,,MATCH(N$2,'PORTIFÓLIO'!$J$3:$Q$3,0))) *
N('PORTIFÓLIO'!$S$4:$S$564),
0
)
),
0)</f>
        <v>0</v>
      </c>
      <c r="O81" s="49">
        <f t="shared" si="11"/>
        <v>0</v>
      </c>
      <c r="P81" s="49">
        <f t="array" ref="P81">IFERROR(
SUM(
IF(
'PORTIFÓLIO'!$C$4:$C$564=$A81,
N(INDEX('PORTIFÓLIO'!$J$4:$Q$564,,MATCH(P$2,'PORTIFÓLIO'!$J$3:$Q$3,0))) *
N('PORTIFÓLIO'!$S$4:$S$564),
0
)
),
0)</f>
        <v>0</v>
      </c>
      <c r="Q81" s="49">
        <f t="shared" si="12"/>
        <v>0</v>
      </c>
      <c r="R81" s="49">
        <f t="shared" si="2"/>
        <v>0</v>
      </c>
      <c r="S81" s="49">
        <f t="shared" si="13"/>
        <v>0</v>
      </c>
    </row>
    <row r="82" ht="15.75" hidden="1" customHeight="1" outlineLevel="1">
      <c r="A82" s="48" t="str">
        <f>IFERROR(__xludf.DUMMYFUNCTION("""COMPUTED_VALUE"""),"CRUCIAL")</f>
        <v>CRUCIAL</v>
      </c>
      <c r="B82" s="49">
        <f t="array" ref="B82">IFERROR(
SUM(
IF(
'PORTIFÓLIO'!$C$4:$C$564=$A82,
N(INDEX('PORTIFÓLIO'!$J$4:$Q$564,,MATCH(B$2,'PORTIFÓLIO'!$J$3:$Q$3,0))) *
N('PORTIFÓLIO'!$S$4:$S$564),
0
)
),
0)</f>
        <v>0</v>
      </c>
      <c r="C82" s="49">
        <f t="shared" si="5"/>
        <v>0</v>
      </c>
      <c r="D82" s="49">
        <f t="array" ref="D82">IFERROR(
SUM(
IF(
'PORTIFÓLIO'!$C$4:$C$564=$A82,
N(INDEX('PORTIFÓLIO'!$J$4:$Q$564,,MATCH(D$2,'PORTIFÓLIO'!$J$3:$Q$3,0))) *
N('PORTIFÓLIO'!$S$4:$S$564),
0
)
),
0)</f>
        <v>0</v>
      </c>
      <c r="E82" s="49">
        <f t="shared" si="6"/>
        <v>0</v>
      </c>
      <c r="F82" s="49">
        <f t="array" ref="F82">IFERROR(
SUM(
IF(
'PORTIFÓLIO'!$C$4:$C$564=$A82,
N(INDEX('PORTIFÓLIO'!$J$4:$Q$564,,MATCH(F$2,'PORTIFÓLIO'!$J$3:$Q$3,0))) *
N('PORTIFÓLIO'!$S$4:$S$564),
0
)
),
0)</f>
        <v>0</v>
      </c>
      <c r="G82" s="47">
        <f t="shared" si="7"/>
        <v>0</v>
      </c>
      <c r="H82" s="49">
        <f t="array" ref="H82">IFERROR(
SUM(
IF(
'PORTIFÓLIO'!$C$4:$C$564=$A82,
N(INDEX('PORTIFÓLIO'!$J$4:$Q$564,,MATCH(H$2,'PORTIFÓLIO'!$J$3:$Q$3,0))) *
N('PORTIFÓLIO'!$S$4:$S$564),
0
)
),
0)</f>
        <v>0</v>
      </c>
      <c r="I82" s="47">
        <f t="shared" si="8"/>
        <v>0</v>
      </c>
      <c r="J82" s="49">
        <f t="array" ref="J82">IFERROR(
SUM(
IF(
'PORTIFÓLIO'!$C$4:$C$564=$A82,
N(INDEX('PORTIFÓLIO'!$J$4:$Q$564,,MATCH(J$2,'PORTIFÓLIO'!$J$3:$Q$3,0))) *
N('PORTIFÓLIO'!$S$4:$S$564),
0
)
),
0)</f>
        <v>0</v>
      </c>
      <c r="K82" s="47">
        <f t="shared" si="9"/>
        <v>0</v>
      </c>
      <c r="L82" s="49">
        <f t="array" ref="L82">IFERROR(
SUM(
IF(
'PORTIFÓLIO'!$C$4:$C$564=$A82,
N(INDEX('PORTIFÓLIO'!$J$4:$Q$564,,MATCH(L$2,'PORTIFÓLIO'!$J$3:$Q$3,0))) *
N('PORTIFÓLIO'!$S$4:$S$564),
0
)
),
0)</f>
        <v>0</v>
      </c>
      <c r="M82" s="47">
        <f t="shared" si="10"/>
        <v>0</v>
      </c>
      <c r="N82" s="49">
        <f t="array" ref="N82">IFERROR(
SUM(
IF(
'PORTIFÓLIO'!$C$4:$C$564=$A82,
N(INDEX('PORTIFÓLIO'!$J$4:$Q$564,,MATCH(N$2,'PORTIFÓLIO'!$J$3:$Q$3,0))) *
N('PORTIFÓLIO'!$S$4:$S$564),
0
)
),
0)</f>
        <v>0</v>
      </c>
      <c r="O82" s="49">
        <f t="shared" si="11"/>
        <v>0</v>
      </c>
      <c r="P82" s="49">
        <f t="array" ref="P82">IFERROR(
SUM(
IF(
'PORTIFÓLIO'!$C$4:$C$564=$A82,
N(INDEX('PORTIFÓLIO'!$J$4:$Q$564,,MATCH(P$2,'PORTIFÓLIO'!$J$3:$Q$3,0))) *
N('PORTIFÓLIO'!$S$4:$S$564),
0
)
),
0)</f>
        <v>0</v>
      </c>
      <c r="Q82" s="49">
        <f t="shared" si="12"/>
        <v>0</v>
      </c>
      <c r="R82" s="49">
        <f t="shared" si="2"/>
        <v>0</v>
      </c>
      <c r="S82" s="49">
        <f t="shared" si="13"/>
        <v>0</v>
      </c>
    </row>
    <row r="83" ht="15.75" hidden="1" customHeight="1" outlineLevel="1">
      <c r="A83" s="48" t="str">
        <f>IFERROR(__xludf.DUMMYFUNCTION("""COMPUTED_VALUE"""),"SUMYZIN 500 SC")</f>
        <v>SUMYZIN 500 SC</v>
      </c>
      <c r="B83" s="49">
        <f t="array" ref="B83">IFERROR(
SUM(
IF(
'PORTIFÓLIO'!$C$4:$C$564=$A83,
N(INDEX('PORTIFÓLIO'!$J$4:$Q$564,,MATCH(B$2,'PORTIFÓLIO'!$J$3:$Q$3,0))) *
N('PORTIFÓLIO'!$S$4:$S$564),
0
)
),
0)</f>
        <v>0</v>
      </c>
      <c r="C83" s="49">
        <f t="shared" si="5"/>
        <v>0</v>
      </c>
      <c r="D83" s="49">
        <f t="array" ref="D83">IFERROR(
SUM(
IF(
'PORTIFÓLIO'!$C$4:$C$564=$A83,
N(INDEX('PORTIFÓLIO'!$J$4:$Q$564,,MATCH(D$2,'PORTIFÓLIO'!$J$3:$Q$3,0))) *
N('PORTIFÓLIO'!$S$4:$S$564),
0
)
),
0)</f>
        <v>0</v>
      </c>
      <c r="E83" s="49">
        <f t="shared" si="6"/>
        <v>0</v>
      </c>
      <c r="F83" s="49">
        <f t="array" ref="F83">IFERROR(
SUM(
IF(
'PORTIFÓLIO'!$C$4:$C$564=$A83,
N(INDEX('PORTIFÓLIO'!$J$4:$Q$564,,MATCH(F$2,'PORTIFÓLIO'!$J$3:$Q$3,0))) *
N('PORTIFÓLIO'!$S$4:$S$564),
0
)
),
0)</f>
        <v>0</v>
      </c>
      <c r="G83" s="47">
        <f t="shared" si="7"/>
        <v>0</v>
      </c>
      <c r="H83" s="49">
        <f t="array" ref="H83">IFERROR(
SUM(
IF(
'PORTIFÓLIO'!$C$4:$C$564=$A83,
N(INDEX('PORTIFÓLIO'!$J$4:$Q$564,,MATCH(H$2,'PORTIFÓLIO'!$J$3:$Q$3,0))) *
N('PORTIFÓLIO'!$S$4:$S$564),
0
)
),
0)</f>
        <v>0</v>
      </c>
      <c r="I83" s="47">
        <f t="shared" si="8"/>
        <v>0</v>
      </c>
      <c r="J83" s="49">
        <f t="array" ref="J83">IFERROR(
SUM(
IF(
'PORTIFÓLIO'!$C$4:$C$564=$A83,
N(INDEX('PORTIFÓLIO'!$J$4:$Q$564,,MATCH(J$2,'PORTIFÓLIO'!$J$3:$Q$3,0))) *
N('PORTIFÓLIO'!$S$4:$S$564),
0
)
),
0)</f>
        <v>0</v>
      </c>
      <c r="K83" s="47">
        <f t="shared" si="9"/>
        <v>0</v>
      </c>
      <c r="L83" s="49">
        <f t="array" ref="L83">IFERROR(
SUM(
IF(
'PORTIFÓLIO'!$C$4:$C$564=$A83,
N(INDEX('PORTIFÓLIO'!$J$4:$Q$564,,MATCH(L$2,'PORTIFÓLIO'!$J$3:$Q$3,0))) *
N('PORTIFÓLIO'!$S$4:$S$564),
0
)
),
0)</f>
        <v>0</v>
      </c>
      <c r="M83" s="47">
        <f t="shared" si="10"/>
        <v>0</v>
      </c>
      <c r="N83" s="49">
        <f t="array" ref="N83">IFERROR(
SUM(
IF(
'PORTIFÓLIO'!$C$4:$C$564=$A83,
N(INDEX('PORTIFÓLIO'!$J$4:$Q$564,,MATCH(N$2,'PORTIFÓLIO'!$J$3:$Q$3,0))) *
N('PORTIFÓLIO'!$S$4:$S$564),
0
)
),
0)</f>
        <v>0</v>
      </c>
      <c r="O83" s="49">
        <f t="shared" si="11"/>
        <v>0</v>
      </c>
      <c r="P83" s="49">
        <f t="array" ref="P83">IFERROR(
SUM(
IF(
'PORTIFÓLIO'!$C$4:$C$564=$A83,
N(INDEX('PORTIFÓLIO'!$J$4:$Q$564,,MATCH(P$2,'PORTIFÓLIO'!$J$3:$Q$3,0))) *
N('PORTIFÓLIO'!$S$4:$S$564),
0
)
),
0)</f>
        <v>0</v>
      </c>
      <c r="Q83" s="49">
        <f t="shared" si="12"/>
        <v>0</v>
      </c>
      <c r="R83" s="49">
        <f t="shared" si="2"/>
        <v>0</v>
      </c>
      <c r="S83" s="49">
        <f t="shared" si="13"/>
        <v>0</v>
      </c>
    </row>
    <row r="84" ht="15.75" hidden="1" customHeight="1" outlineLevel="1">
      <c r="A84" s="48" t="str">
        <f>IFERROR(__xludf.DUMMYFUNCTION("""COMPUTED_VALUE"""),"U 46 BR")</f>
        <v>U 46 BR</v>
      </c>
      <c r="B84" s="49">
        <f t="array" ref="B84">IFERROR(
SUM(
IF(
'PORTIFÓLIO'!$C$4:$C$564=$A84,
N(INDEX('PORTIFÓLIO'!$J$4:$Q$564,,MATCH(B$2,'PORTIFÓLIO'!$J$3:$Q$3,0))) *
N('PORTIFÓLIO'!$S$4:$S$564),
0
)
),
0)</f>
        <v>0</v>
      </c>
      <c r="C84" s="49">
        <f t="shared" si="5"/>
        <v>0</v>
      </c>
      <c r="D84" s="49">
        <f t="array" ref="D84">IFERROR(
SUM(
IF(
'PORTIFÓLIO'!$C$4:$C$564=$A84,
N(INDEX('PORTIFÓLIO'!$J$4:$Q$564,,MATCH(D$2,'PORTIFÓLIO'!$J$3:$Q$3,0))) *
N('PORTIFÓLIO'!$S$4:$S$564),
0
)
),
0)</f>
        <v>0</v>
      </c>
      <c r="E84" s="49">
        <f t="shared" si="6"/>
        <v>0</v>
      </c>
      <c r="F84" s="49">
        <f t="array" ref="F84">IFERROR(
SUM(
IF(
'PORTIFÓLIO'!$C$4:$C$564=$A84,
N(INDEX('PORTIFÓLIO'!$J$4:$Q$564,,MATCH(F$2,'PORTIFÓLIO'!$J$3:$Q$3,0))) *
N('PORTIFÓLIO'!$S$4:$S$564),
0
)
),
0)</f>
        <v>0</v>
      </c>
      <c r="G84" s="47">
        <f t="shared" si="7"/>
        <v>0</v>
      </c>
      <c r="H84" s="49">
        <f t="array" ref="H84">IFERROR(
SUM(
IF(
'PORTIFÓLIO'!$C$4:$C$564=$A84,
N(INDEX('PORTIFÓLIO'!$J$4:$Q$564,,MATCH(H$2,'PORTIFÓLIO'!$J$3:$Q$3,0))) *
N('PORTIFÓLIO'!$S$4:$S$564),
0
)
),
0)</f>
        <v>0</v>
      </c>
      <c r="I84" s="47">
        <f t="shared" si="8"/>
        <v>0</v>
      </c>
      <c r="J84" s="49">
        <f t="array" ref="J84">IFERROR(
SUM(
IF(
'PORTIFÓLIO'!$C$4:$C$564=$A84,
N(INDEX('PORTIFÓLIO'!$J$4:$Q$564,,MATCH(J$2,'PORTIFÓLIO'!$J$3:$Q$3,0))) *
N('PORTIFÓLIO'!$S$4:$S$564),
0
)
),
0)</f>
        <v>0</v>
      </c>
      <c r="K84" s="47">
        <f t="shared" si="9"/>
        <v>0</v>
      </c>
      <c r="L84" s="49">
        <f t="array" ref="L84">IFERROR(
SUM(
IF(
'PORTIFÓLIO'!$C$4:$C$564=$A84,
N(INDEX('PORTIFÓLIO'!$J$4:$Q$564,,MATCH(L$2,'PORTIFÓLIO'!$J$3:$Q$3,0))) *
N('PORTIFÓLIO'!$S$4:$S$564),
0
)
),
0)</f>
        <v>0</v>
      </c>
      <c r="M84" s="47">
        <f t="shared" si="10"/>
        <v>0</v>
      </c>
      <c r="N84" s="49">
        <f t="array" ref="N84">IFERROR(
SUM(
IF(
'PORTIFÓLIO'!$C$4:$C$564=$A84,
N(INDEX('PORTIFÓLIO'!$J$4:$Q$564,,MATCH(N$2,'PORTIFÓLIO'!$J$3:$Q$3,0))) *
N('PORTIFÓLIO'!$S$4:$S$564),
0
)
),
0)</f>
        <v>0</v>
      </c>
      <c r="O84" s="49">
        <f t="shared" si="11"/>
        <v>0</v>
      </c>
      <c r="P84" s="49">
        <f t="array" ref="P84">IFERROR(
SUM(
IF(
'PORTIFÓLIO'!$C$4:$C$564=$A84,
N(INDEX('PORTIFÓLIO'!$J$4:$Q$564,,MATCH(P$2,'PORTIFÓLIO'!$J$3:$Q$3,0))) *
N('PORTIFÓLIO'!$S$4:$S$564),
0
)
),
0)</f>
        <v>0</v>
      </c>
      <c r="Q84" s="49">
        <f t="shared" si="12"/>
        <v>0</v>
      </c>
      <c r="R84" s="49">
        <f t="shared" si="2"/>
        <v>0</v>
      </c>
      <c r="S84" s="49">
        <f t="shared" si="13"/>
        <v>0</v>
      </c>
    </row>
    <row r="85" ht="15.75" hidden="1" customHeight="1" outlineLevel="1">
      <c r="A85" s="48" t="str">
        <f>IFERROR(__xludf.DUMMYFUNCTION("""COMPUTED_VALUE"""),"ZETHAMAXX")</f>
        <v>ZETHAMAXX</v>
      </c>
      <c r="B85" s="49">
        <f t="array" ref="B85">IFERROR(
SUM(
IF(
'PORTIFÓLIO'!$C$4:$C$564=$A85,
N(INDEX('PORTIFÓLIO'!$J$4:$Q$564,,MATCH(B$2,'PORTIFÓLIO'!$J$3:$Q$3,0))) *
N('PORTIFÓLIO'!$S$4:$S$564),
0
)
),
0)</f>
        <v>0</v>
      </c>
      <c r="C85" s="49">
        <f t="shared" si="5"/>
        <v>0</v>
      </c>
      <c r="D85" s="49">
        <f t="array" ref="D85">IFERROR(
SUM(
IF(
'PORTIFÓLIO'!$C$4:$C$564=$A85,
N(INDEX('PORTIFÓLIO'!$J$4:$Q$564,,MATCH(D$2,'PORTIFÓLIO'!$J$3:$Q$3,0))) *
N('PORTIFÓLIO'!$S$4:$S$564),
0
)
),
0)</f>
        <v>0</v>
      </c>
      <c r="E85" s="49">
        <f t="shared" si="6"/>
        <v>0</v>
      </c>
      <c r="F85" s="49">
        <f t="array" ref="F85">IFERROR(
SUM(
IF(
'PORTIFÓLIO'!$C$4:$C$564=$A85,
N(INDEX('PORTIFÓLIO'!$J$4:$Q$564,,MATCH(F$2,'PORTIFÓLIO'!$J$3:$Q$3,0))) *
N('PORTIFÓLIO'!$S$4:$S$564),
0
)
),
0)</f>
        <v>0</v>
      </c>
      <c r="G85" s="47">
        <f t="shared" si="7"/>
        <v>0</v>
      </c>
      <c r="H85" s="49">
        <f t="array" ref="H85">IFERROR(
SUM(
IF(
'PORTIFÓLIO'!$C$4:$C$564=$A85,
N(INDEX('PORTIFÓLIO'!$J$4:$Q$564,,MATCH(H$2,'PORTIFÓLIO'!$J$3:$Q$3,0))) *
N('PORTIFÓLIO'!$S$4:$S$564),
0
)
),
0)</f>
        <v>0</v>
      </c>
      <c r="I85" s="47">
        <f t="shared" si="8"/>
        <v>0</v>
      </c>
      <c r="J85" s="49">
        <f t="array" ref="J85">IFERROR(
SUM(
IF(
'PORTIFÓLIO'!$C$4:$C$564=$A85,
N(INDEX('PORTIFÓLIO'!$J$4:$Q$564,,MATCH(J$2,'PORTIFÓLIO'!$J$3:$Q$3,0))) *
N('PORTIFÓLIO'!$S$4:$S$564),
0
)
),
0)</f>
        <v>0</v>
      </c>
      <c r="K85" s="47">
        <f t="shared" si="9"/>
        <v>0</v>
      </c>
      <c r="L85" s="49">
        <f t="array" ref="L85">IFERROR(
SUM(
IF(
'PORTIFÓLIO'!$C$4:$C$564=$A85,
N(INDEX('PORTIFÓLIO'!$J$4:$Q$564,,MATCH(L$2,'PORTIFÓLIO'!$J$3:$Q$3,0))) *
N('PORTIFÓLIO'!$S$4:$S$564),
0
)
),
0)</f>
        <v>0</v>
      </c>
      <c r="M85" s="47">
        <f t="shared" si="10"/>
        <v>0</v>
      </c>
      <c r="N85" s="49">
        <f t="array" ref="N85">IFERROR(
SUM(
IF(
'PORTIFÓLIO'!$C$4:$C$564=$A85,
N(INDEX('PORTIFÓLIO'!$J$4:$Q$564,,MATCH(N$2,'PORTIFÓLIO'!$J$3:$Q$3,0))) *
N('PORTIFÓLIO'!$S$4:$S$564),
0
)
),
0)</f>
        <v>8596.90416</v>
      </c>
      <c r="O85" s="49">
        <f t="shared" si="11"/>
        <v>7.058213596</v>
      </c>
      <c r="P85" s="49">
        <f t="array" ref="P85">IFERROR(
SUM(
IF(
'PORTIFÓLIO'!$C$4:$C$564=$A85,
N(INDEX('PORTIFÓLIO'!$J$4:$Q$564,,MATCH(P$2,'PORTIFÓLIO'!$J$3:$Q$3,0))) *
N('PORTIFÓLIO'!$S$4:$S$564),
0
)
),
0)</f>
        <v>0</v>
      </c>
      <c r="Q85" s="49">
        <f t="shared" si="12"/>
        <v>0</v>
      </c>
      <c r="R85" s="49">
        <f t="shared" si="2"/>
        <v>8596.90416</v>
      </c>
      <c r="S85" s="49">
        <f t="shared" si="13"/>
        <v>2.570844545</v>
      </c>
    </row>
    <row r="86" ht="15.75" hidden="1" customHeight="1" outlineLevel="1">
      <c r="A86" s="48" t="str">
        <f>IFERROR(__xludf.DUMMYFUNCTION("""COMPUTED_VALUE"""),"ZETHAMAXX EVO")</f>
        <v>ZETHAMAXX EVO</v>
      </c>
      <c r="B86" s="49">
        <f t="array" ref="B86">IFERROR(
SUM(
IF(
'PORTIFÓLIO'!$C$4:$C$564=$A86,
N(INDEX('PORTIFÓLIO'!$J$4:$Q$564,,MATCH(B$2,'PORTIFÓLIO'!$J$3:$Q$3,0))) *
N('PORTIFÓLIO'!$S$4:$S$564),
0
)
),
0)</f>
        <v>0</v>
      </c>
      <c r="C86" s="49">
        <f t="shared" si="5"/>
        <v>0</v>
      </c>
      <c r="D86" s="49">
        <f t="array" ref="D86">IFERROR(
SUM(
IF(
'PORTIFÓLIO'!$C$4:$C$564=$A86,
N(INDEX('PORTIFÓLIO'!$J$4:$Q$564,,MATCH(D$2,'PORTIFÓLIO'!$J$3:$Q$3,0))) *
N('PORTIFÓLIO'!$S$4:$S$564),
0
)
),
0)</f>
        <v>0</v>
      </c>
      <c r="E86" s="49">
        <f t="shared" si="6"/>
        <v>0</v>
      </c>
      <c r="F86" s="49">
        <f t="array" ref="F86">IFERROR(
SUM(
IF(
'PORTIFÓLIO'!$C$4:$C$564=$A86,
N(INDEX('PORTIFÓLIO'!$J$4:$Q$564,,MATCH(F$2,'PORTIFÓLIO'!$J$3:$Q$3,0))) *
N('PORTIFÓLIO'!$S$4:$S$564),
0
)
),
0)</f>
        <v>0</v>
      </c>
      <c r="G86" s="47">
        <f t="shared" si="7"/>
        <v>0</v>
      </c>
      <c r="H86" s="49">
        <f t="array" ref="H86">IFERROR(
SUM(
IF(
'PORTIFÓLIO'!$C$4:$C$564=$A86,
N(INDEX('PORTIFÓLIO'!$J$4:$Q$564,,MATCH(H$2,'PORTIFÓLIO'!$J$3:$Q$3,0))) *
N('PORTIFÓLIO'!$S$4:$S$564),
0
)
),
0)</f>
        <v>0</v>
      </c>
      <c r="I86" s="47">
        <f t="shared" si="8"/>
        <v>0</v>
      </c>
      <c r="J86" s="49">
        <f t="array" ref="J86">IFERROR(
SUM(
IF(
'PORTIFÓLIO'!$C$4:$C$564=$A86,
N(INDEX('PORTIFÓLIO'!$J$4:$Q$564,,MATCH(J$2,'PORTIFÓLIO'!$J$3:$Q$3,0))) *
N('PORTIFÓLIO'!$S$4:$S$564),
0
)
),
0)</f>
        <v>0</v>
      </c>
      <c r="K86" s="47">
        <f t="shared" si="9"/>
        <v>0</v>
      </c>
      <c r="L86" s="49">
        <f t="array" ref="L86">IFERROR(
SUM(
IF(
'PORTIFÓLIO'!$C$4:$C$564=$A86,
N(INDEX('PORTIFÓLIO'!$J$4:$Q$564,,MATCH(L$2,'PORTIFÓLIO'!$J$3:$Q$3,0))) *
N('PORTIFÓLIO'!$S$4:$S$564),
0
)
),
0)</f>
        <v>0</v>
      </c>
      <c r="M86" s="47">
        <f t="shared" si="10"/>
        <v>0</v>
      </c>
      <c r="N86" s="49">
        <f t="array" ref="N86">IFERROR(
SUM(
IF(
'PORTIFÓLIO'!$C$4:$C$564=$A86,
N(INDEX('PORTIFÓLIO'!$J$4:$Q$564,,MATCH(N$2,'PORTIFÓLIO'!$J$3:$Q$3,0))) *
N('PORTIFÓLIO'!$S$4:$S$564),
0
)
),
0)</f>
        <v>0</v>
      </c>
      <c r="O86" s="49">
        <f t="shared" si="11"/>
        <v>0</v>
      </c>
      <c r="P86" s="49">
        <f t="array" ref="P86">IFERROR(
SUM(
IF(
'PORTIFÓLIO'!$C$4:$C$564=$A86,
N(INDEX('PORTIFÓLIO'!$J$4:$Q$564,,MATCH(P$2,'PORTIFÓLIO'!$J$3:$Q$3,0))) *
N('PORTIFÓLIO'!$S$4:$S$564),
0
)
),
0)</f>
        <v>0</v>
      </c>
      <c r="Q86" s="49">
        <f t="shared" si="12"/>
        <v>0</v>
      </c>
      <c r="R86" s="49">
        <f t="shared" si="2"/>
        <v>0</v>
      </c>
      <c r="S86" s="49">
        <f t="shared" si="13"/>
        <v>0</v>
      </c>
    </row>
    <row r="87" ht="15.75" hidden="1" customHeight="1" outlineLevel="1">
      <c r="A87" s="48" t="str">
        <f>IFERROR(__xludf.DUMMYFUNCTION("""COMPUTED_VALUE"""),"CALARIS")</f>
        <v>CALARIS</v>
      </c>
      <c r="B87" s="49">
        <f t="array" ref="B87">IFERROR(
SUM(
IF(
'PORTIFÓLIO'!$C$4:$C$564=$A87,
N(INDEX('PORTIFÓLIO'!$J$4:$Q$564,,MATCH(B$2,'PORTIFÓLIO'!$J$3:$Q$3,0))) *
N('PORTIFÓLIO'!$S$4:$S$564),
0
)
),
0)</f>
        <v>0</v>
      </c>
      <c r="C87" s="49">
        <f t="shared" si="5"/>
        <v>0</v>
      </c>
      <c r="D87" s="49">
        <f t="array" ref="D87">IFERROR(
SUM(
IF(
'PORTIFÓLIO'!$C$4:$C$564=$A87,
N(INDEX('PORTIFÓLIO'!$J$4:$Q$564,,MATCH(D$2,'PORTIFÓLIO'!$J$3:$Q$3,0))) *
N('PORTIFÓLIO'!$S$4:$S$564),
0
)
),
0)</f>
        <v>0</v>
      </c>
      <c r="E87" s="49">
        <f t="shared" si="6"/>
        <v>0</v>
      </c>
      <c r="F87" s="49">
        <f t="array" ref="F87">IFERROR(
SUM(
IF(
'PORTIFÓLIO'!$C$4:$C$564=$A87,
N(INDEX('PORTIFÓLIO'!$J$4:$Q$564,,MATCH(F$2,'PORTIFÓLIO'!$J$3:$Q$3,0))) *
N('PORTIFÓLIO'!$S$4:$S$564),
0
)
),
0)</f>
        <v>0</v>
      </c>
      <c r="G87" s="47">
        <f t="shared" si="7"/>
        <v>0</v>
      </c>
      <c r="H87" s="49">
        <f t="array" ref="H87">IFERROR(
SUM(
IF(
'PORTIFÓLIO'!$C$4:$C$564=$A87,
N(INDEX('PORTIFÓLIO'!$J$4:$Q$564,,MATCH(H$2,'PORTIFÓLIO'!$J$3:$Q$3,0))) *
N('PORTIFÓLIO'!$S$4:$S$564),
0
)
),
0)</f>
        <v>0</v>
      </c>
      <c r="I87" s="47">
        <f t="shared" si="8"/>
        <v>0</v>
      </c>
      <c r="J87" s="49">
        <f t="array" ref="J87">IFERROR(
SUM(
IF(
'PORTIFÓLIO'!$C$4:$C$564=$A87,
N(INDEX('PORTIFÓLIO'!$J$4:$Q$564,,MATCH(J$2,'PORTIFÓLIO'!$J$3:$Q$3,0))) *
N('PORTIFÓLIO'!$S$4:$S$564),
0
)
),
0)</f>
        <v>0</v>
      </c>
      <c r="K87" s="47">
        <f t="shared" si="9"/>
        <v>0</v>
      </c>
      <c r="L87" s="49">
        <f t="array" ref="L87">IFERROR(
SUM(
IF(
'PORTIFÓLIO'!$C$4:$C$564=$A87,
N(INDEX('PORTIFÓLIO'!$J$4:$Q$564,,MATCH(L$2,'PORTIFÓLIO'!$J$3:$Q$3,0))) *
N('PORTIFÓLIO'!$S$4:$S$564),
0
)
),
0)</f>
        <v>0</v>
      </c>
      <c r="M87" s="47">
        <f t="shared" si="10"/>
        <v>0</v>
      </c>
      <c r="N87" s="49">
        <f t="array" ref="N87">IFERROR(
SUM(
IF(
'PORTIFÓLIO'!$C$4:$C$564=$A87,
N(INDEX('PORTIFÓLIO'!$J$4:$Q$564,,MATCH(N$2,'PORTIFÓLIO'!$J$3:$Q$3,0))) *
N('PORTIFÓLIO'!$S$4:$S$564),
0
)
),
0)</f>
        <v>0</v>
      </c>
      <c r="O87" s="49">
        <f t="shared" si="11"/>
        <v>0</v>
      </c>
      <c r="P87" s="49">
        <f t="array" ref="P87">IFERROR(
SUM(
IF(
'PORTIFÓLIO'!$C$4:$C$564=$A87,
N(INDEX('PORTIFÓLIO'!$J$4:$Q$564,,MATCH(P$2,'PORTIFÓLIO'!$J$3:$Q$3,0))) *
N('PORTIFÓLIO'!$S$4:$S$564),
0
)
),
0)</f>
        <v>0</v>
      </c>
      <c r="Q87" s="49">
        <f t="shared" si="12"/>
        <v>0</v>
      </c>
      <c r="R87" s="49">
        <f t="shared" si="2"/>
        <v>0</v>
      </c>
      <c r="S87" s="49">
        <f t="shared" si="13"/>
        <v>0</v>
      </c>
    </row>
    <row r="88" ht="15.75" hidden="1" customHeight="1" outlineLevel="1">
      <c r="A88" s="48" t="str">
        <f>IFERROR(__xludf.DUMMYFUNCTION("""COMPUTED_VALUE"""),"DUAL GOLD")</f>
        <v>DUAL GOLD</v>
      </c>
      <c r="B88" s="49">
        <f t="array" ref="B88">IFERROR(
SUM(
IF(
'PORTIFÓLIO'!$C$4:$C$564=$A88,
N(INDEX('PORTIFÓLIO'!$J$4:$Q$564,,MATCH(B$2,'PORTIFÓLIO'!$J$3:$Q$3,0))) *
N('PORTIFÓLIO'!$S$4:$S$564),
0
)
),
0)</f>
        <v>0</v>
      </c>
      <c r="C88" s="49">
        <f t="shared" si="5"/>
        <v>0</v>
      </c>
      <c r="D88" s="49">
        <f t="array" ref="D88">IFERROR(
SUM(
IF(
'PORTIFÓLIO'!$C$4:$C$564=$A88,
N(INDEX('PORTIFÓLIO'!$J$4:$Q$564,,MATCH(D$2,'PORTIFÓLIO'!$J$3:$Q$3,0))) *
N('PORTIFÓLIO'!$S$4:$S$564),
0
)
),
0)</f>
        <v>8738.19</v>
      </c>
      <c r="E88" s="49">
        <f t="shared" si="6"/>
        <v>29.1273</v>
      </c>
      <c r="F88" s="49">
        <f t="array" ref="F88">IFERROR(
SUM(
IF(
'PORTIFÓLIO'!$C$4:$C$564=$A88,
N(INDEX('PORTIFÓLIO'!$J$4:$Q$564,,MATCH(F$2,'PORTIFÓLIO'!$J$3:$Q$3,0))) *
N('PORTIFÓLIO'!$S$4:$S$564),
0
)
),
0)</f>
        <v>6408.006</v>
      </c>
      <c r="G88" s="47">
        <f t="shared" si="7"/>
        <v>29.1273</v>
      </c>
      <c r="H88" s="49">
        <f t="array" ref="H88">IFERROR(
SUM(
IF(
'PORTIFÓLIO'!$C$4:$C$564=$A88,
N(INDEX('PORTIFÓLIO'!$J$4:$Q$564,,MATCH(H$2,'PORTIFÓLIO'!$J$3:$Q$3,0))) *
N('PORTIFÓLIO'!$S$4:$S$564),
0
)
),
0)</f>
        <v>6990.552</v>
      </c>
      <c r="I88" s="47">
        <f t="shared" si="8"/>
        <v>34.95276</v>
      </c>
      <c r="J88" s="49">
        <f t="array" ref="J88">IFERROR(
SUM(
IF(
'PORTIFÓLIO'!$C$4:$C$564=$A88,
N(INDEX('PORTIFÓLIO'!$J$4:$Q$564,,MATCH(J$2,'PORTIFÓLIO'!$J$3:$Q$3,0))) *
N('PORTIFÓLIO'!$S$4:$S$564),
0
)
),
0)</f>
        <v>13142.23776</v>
      </c>
      <c r="K88" s="47">
        <f t="shared" si="9"/>
        <v>34.95276</v>
      </c>
      <c r="L88" s="49">
        <f t="array" ref="L88">IFERROR(
SUM(
IF(
'PORTIFÓLIO'!$C$4:$C$564=$A88,
N(INDEX('PORTIFÓLIO'!$J$4:$Q$564,,MATCH(L$2,'PORTIFÓLIO'!$J$3:$Q$3,0))) *
N('PORTIFÓLIO'!$S$4:$S$564),
0
)
),
0)</f>
        <v>6408.006</v>
      </c>
      <c r="M88" s="47">
        <f t="shared" si="10"/>
        <v>29.1273</v>
      </c>
      <c r="N88" s="49">
        <f t="array" ref="N88">IFERROR(
SUM(
IF(
'PORTIFÓLIO'!$C$4:$C$564=$A88,
N(INDEX('PORTIFÓLIO'!$J$4:$Q$564,,MATCH(N$2,'PORTIFÓLIO'!$J$3:$Q$3,0))) *
N('PORTIFÓLIO'!$S$4:$S$564),
0
)
),
0)</f>
        <v>35477.0514</v>
      </c>
      <c r="O88" s="49">
        <f t="shared" si="11"/>
        <v>29.1273</v>
      </c>
      <c r="P88" s="49">
        <f t="array" ref="P88">IFERROR(
SUM(
IF(
'PORTIFÓLIO'!$C$4:$C$564=$A88,
N(INDEX('PORTIFÓLIO'!$J$4:$Q$564,,MATCH(P$2,'PORTIFÓLIO'!$J$3:$Q$3,0))) *
N('PORTIFÓLIO'!$S$4:$S$564),
0
)
),
0)</f>
        <v>9320.736</v>
      </c>
      <c r="Q88" s="49">
        <f t="shared" si="12"/>
        <v>29.1273</v>
      </c>
      <c r="R88" s="49">
        <f t="shared" si="2"/>
        <v>80076.77316</v>
      </c>
      <c r="S88" s="49">
        <f t="shared" si="13"/>
        <v>23.94640346</v>
      </c>
    </row>
    <row r="89" ht="15.75" hidden="1" customHeight="1" outlineLevel="1">
      <c r="A89" s="48" t="str">
        <f>IFERROR(__xludf.DUMMYFUNCTION("""COMPUTED_VALUE"""),"EDDUS")</f>
        <v>EDDUS</v>
      </c>
      <c r="B89" s="49">
        <f t="array" ref="B89">IFERROR(
SUM(
IF(
'PORTIFÓLIO'!$C$4:$C$564=$A89,
N(INDEX('PORTIFÓLIO'!$J$4:$Q$564,,MATCH(B$2,'PORTIFÓLIO'!$J$3:$Q$3,0))) *
N('PORTIFÓLIO'!$S$4:$S$564),
0
)
),
0)</f>
        <v>0</v>
      </c>
      <c r="C89" s="49">
        <f t="shared" si="5"/>
        <v>0</v>
      </c>
      <c r="D89" s="49">
        <f t="array" ref="D89">IFERROR(
SUM(
IF(
'PORTIFÓLIO'!$C$4:$C$564=$A89,
N(INDEX('PORTIFÓLIO'!$J$4:$Q$564,,MATCH(D$2,'PORTIFÓLIO'!$J$3:$Q$3,0))) *
N('PORTIFÓLIO'!$S$4:$S$564),
0
)
),
0)</f>
        <v>0</v>
      </c>
      <c r="E89" s="49">
        <f t="shared" si="6"/>
        <v>0</v>
      </c>
      <c r="F89" s="49">
        <f t="array" ref="F89">IFERROR(
SUM(
IF(
'PORTIFÓLIO'!$C$4:$C$564=$A89,
N(INDEX('PORTIFÓLIO'!$J$4:$Q$564,,MATCH(F$2,'PORTIFÓLIO'!$J$3:$Q$3,0))) *
N('PORTIFÓLIO'!$S$4:$S$564),
0
)
),
0)</f>
        <v>0</v>
      </c>
      <c r="G89" s="47">
        <f t="shared" si="7"/>
        <v>0</v>
      </c>
      <c r="H89" s="49">
        <f t="array" ref="H89">IFERROR(
SUM(
IF(
'PORTIFÓLIO'!$C$4:$C$564=$A89,
N(INDEX('PORTIFÓLIO'!$J$4:$Q$564,,MATCH(H$2,'PORTIFÓLIO'!$J$3:$Q$3,0))) *
N('PORTIFÓLIO'!$S$4:$S$564),
0
)
),
0)</f>
        <v>0</v>
      </c>
      <c r="I89" s="47">
        <f t="shared" si="8"/>
        <v>0</v>
      </c>
      <c r="J89" s="49">
        <f t="array" ref="J89">IFERROR(
SUM(
IF(
'PORTIFÓLIO'!$C$4:$C$564=$A89,
N(INDEX('PORTIFÓLIO'!$J$4:$Q$564,,MATCH(J$2,'PORTIFÓLIO'!$J$3:$Q$3,0))) *
N('PORTIFÓLIO'!$S$4:$S$564),
0
)
),
0)</f>
        <v>0</v>
      </c>
      <c r="K89" s="47">
        <f t="shared" si="9"/>
        <v>0</v>
      </c>
      <c r="L89" s="49">
        <f t="array" ref="L89">IFERROR(
SUM(
IF(
'PORTIFÓLIO'!$C$4:$C$564=$A89,
N(INDEX('PORTIFÓLIO'!$J$4:$Q$564,,MATCH(L$2,'PORTIFÓLIO'!$J$3:$Q$3,0))) *
N('PORTIFÓLIO'!$S$4:$S$564),
0
)
),
0)</f>
        <v>0</v>
      </c>
      <c r="M89" s="47">
        <f t="shared" si="10"/>
        <v>0</v>
      </c>
      <c r="N89" s="49">
        <f t="array" ref="N89">IFERROR(
SUM(
IF(
'PORTIFÓLIO'!$C$4:$C$564=$A89,
N(INDEX('PORTIFÓLIO'!$J$4:$Q$564,,MATCH(N$2,'PORTIFÓLIO'!$J$3:$Q$3,0))) *
N('PORTIFÓLIO'!$S$4:$S$564),
0
)
),
0)</f>
        <v>0</v>
      </c>
      <c r="O89" s="49">
        <f t="shared" si="11"/>
        <v>0</v>
      </c>
      <c r="P89" s="49">
        <f t="array" ref="P89">IFERROR(
SUM(
IF(
'PORTIFÓLIO'!$C$4:$C$564=$A89,
N(INDEX('PORTIFÓLIO'!$J$4:$Q$564,,MATCH(P$2,'PORTIFÓLIO'!$J$3:$Q$3,0))) *
N('PORTIFÓLIO'!$S$4:$S$564),
0
)
),
0)</f>
        <v>0</v>
      </c>
      <c r="Q89" s="49">
        <f t="shared" si="12"/>
        <v>0</v>
      </c>
      <c r="R89" s="49">
        <f t="shared" si="2"/>
        <v>0</v>
      </c>
      <c r="S89" s="49">
        <f t="shared" si="13"/>
        <v>0</v>
      </c>
    </row>
    <row r="90" ht="15.75" hidden="1" customHeight="1" outlineLevel="1">
      <c r="A90" s="48" t="str">
        <f>IFERROR(__xludf.DUMMYFUNCTION("""COMPUTED_VALUE"""),"FLEX")</f>
        <v>FLEX</v>
      </c>
      <c r="B90" s="49">
        <f t="array" ref="B90">IFERROR(
SUM(
IF(
'PORTIFÓLIO'!$C$4:$C$564=$A90,
N(INDEX('PORTIFÓLIO'!$J$4:$Q$564,,MATCH(B$2,'PORTIFÓLIO'!$J$3:$Q$3,0))) *
N('PORTIFÓLIO'!$S$4:$S$564),
0
)
),
0)</f>
        <v>0</v>
      </c>
      <c r="C90" s="49">
        <f t="shared" si="5"/>
        <v>0</v>
      </c>
      <c r="D90" s="49">
        <f t="array" ref="D90">IFERROR(
SUM(
IF(
'PORTIFÓLIO'!$C$4:$C$564=$A90,
N(INDEX('PORTIFÓLIO'!$J$4:$Q$564,,MATCH(D$2,'PORTIFÓLIO'!$J$3:$Q$3,0))) *
N('PORTIFÓLIO'!$S$4:$S$564),
0
)
),
0)</f>
        <v>0</v>
      </c>
      <c r="E90" s="49">
        <f t="shared" si="6"/>
        <v>0</v>
      </c>
      <c r="F90" s="49">
        <f t="array" ref="F90">IFERROR(
SUM(
IF(
'PORTIFÓLIO'!$C$4:$C$564=$A90,
N(INDEX('PORTIFÓLIO'!$J$4:$Q$564,,MATCH(F$2,'PORTIFÓLIO'!$J$3:$Q$3,0))) *
N('PORTIFÓLIO'!$S$4:$S$564),
0
)
),
0)</f>
        <v>0</v>
      </c>
      <c r="G90" s="47">
        <f t="shared" si="7"/>
        <v>0</v>
      </c>
      <c r="H90" s="49">
        <f t="array" ref="H90">IFERROR(
SUM(
IF(
'PORTIFÓLIO'!$C$4:$C$564=$A90,
N(INDEX('PORTIFÓLIO'!$J$4:$Q$564,,MATCH(H$2,'PORTIFÓLIO'!$J$3:$Q$3,0))) *
N('PORTIFÓLIO'!$S$4:$S$564),
0
)
),
0)</f>
        <v>0</v>
      </c>
      <c r="I90" s="47">
        <f t="shared" si="8"/>
        <v>0</v>
      </c>
      <c r="J90" s="49">
        <f t="array" ref="J90">IFERROR(
SUM(
IF(
'PORTIFÓLIO'!$C$4:$C$564=$A90,
N(INDEX('PORTIFÓLIO'!$J$4:$Q$564,,MATCH(J$2,'PORTIFÓLIO'!$J$3:$Q$3,0))) *
N('PORTIFÓLIO'!$S$4:$S$564),
0
)
),
0)</f>
        <v>0</v>
      </c>
      <c r="K90" s="47">
        <f t="shared" si="9"/>
        <v>0</v>
      </c>
      <c r="L90" s="49">
        <f t="array" ref="L90">IFERROR(
SUM(
IF(
'PORTIFÓLIO'!$C$4:$C$564=$A90,
N(INDEX('PORTIFÓLIO'!$J$4:$Q$564,,MATCH(L$2,'PORTIFÓLIO'!$J$3:$Q$3,0))) *
N('PORTIFÓLIO'!$S$4:$S$564),
0
)
),
0)</f>
        <v>0</v>
      </c>
      <c r="M90" s="47">
        <f t="shared" si="10"/>
        <v>0</v>
      </c>
      <c r="N90" s="49">
        <f t="array" ref="N90">IFERROR(
SUM(
IF(
'PORTIFÓLIO'!$C$4:$C$564=$A90,
N(INDEX('PORTIFÓLIO'!$J$4:$Q$564,,MATCH(N$2,'PORTIFÓLIO'!$J$3:$Q$3,0))) *
N('PORTIFÓLIO'!$S$4:$S$564),
0
)
),
0)</f>
        <v>0</v>
      </c>
      <c r="O90" s="49">
        <f t="shared" si="11"/>
        <v>0</v>
      </c>
      <c r="P90" s="49">
        <f t="array" ref="P90">IFERROR(
SUM(
IF(
'PORTIFÓLIO'!$C$4:$C$564=$A90,
N(INDEX('PORTIFÓLIO'!$J$4:$Q$564,,MATCH(P$2,'PORTIFÓLIO'!$J$3:$Q$3,0))) *
N('PORTIFÓLIO'!$S$4:$S$564),
0
)
),
0)</f>
        <v>0</v>
      </c>
      <c r="Q90" s="49">
        <f t="shared" si="12"/>
        <v>0</v>
      </c>
      <c r="R90" s="49">
        <f t="shared" si="2"/>
        <v>0</v>
      </c>
      <c r="S90" s="49">
        <f t="shared" si="13"/>
        <v>0</v>
      </c>
    </row>
    <row r="91" ht="15.75" hidden="1" customHeight="1" outlineLevel="1">
      <c r="A91" s="48" t="str">
        <f>IFERROR(__xludf.DUMMYFUNCTION("""COMPUTED_VALUE"""),"FUSILADE")</f>
        <v>FUSILADE</v>
      </c>
      <c r="B91" s="49">
        <f t="array" ref="B91">IFERROR(
SUM(
IF(
'PORTIFÓLIO'!$C$4:$C$564=$A91,
N(INDEX('PORTIFÓLIO'!$J$4:$Q$564,,MATCH(B$2,'PORTIFÓLIO'!$J$3:$Q$3,0))) *
N('PORTIFÓLIO'!$S$4:$S$564),
0
)
),
0)</f>
        <v>0</v>
      </c>
      <c r="C91" s="49">
        <f t="shared" si="5"/>
        <v>0</v>
      </c>
      <c r="D91" s="49">
        <f t="array" ref="D91">IFERROR(
SUM(
IF(
'PORTIFÓLIO'!$C$4:$C$564=$A91,
N(INDEX('PORTIFÓLIO'!$J$4:$Q$564,,MATCH(D$2,'PORTIFÓLIO'!$J$3:$Q$3,0))) *
N('PORTIFÓLIO'!$S$4:$S$564),
0
)
),
0)</f>
        <v>0</v>
      </c>
      <c r="E91" s="49">
        <f t="shared" si="6"/>
        <v>0</v>
      </c>
      <c r="F91" s="49">
        <f t="array" ref="F91">IFERROR(
SUM(
IF(
'PORTIFÓLIO'!$C$4:$C$564=$A91,
N(INDEX('PORTIFÓLIO'!$J$4:$Q$564,,MATCH(F$2,'PORTIFÓLIO'!$J$3:$Q$3,0))) *
N('PORTIFÓLIO'!$S$4:$S$564),
0
)
),
0)</f>
        <v>0</v>
      </c>
      <c r="G91" s="47">
        <f t="shared" si="7"/>
        <v>0</v>
      </c>
      <c r="H91" s="49">
        <f t="array" ref="H91">IFERROR(
SUM(
IF(
'PORTIFÓLIO'!$C$4:$C$564=$A91,
N(INDEX('PORTIFÓLIO'!$J$4:$Q$564,,MATCH(H$2,'PORTIFÓLIO'!$J$3:$Q$3,0))) *
N('PORTIFÓLIO'!$S$4:$S$564),
0
)
),
0)</f>
        <v>0</v>
      </c>
      <c r="I91" s="47">
        <f t="shared" si="8"/>
        <v>0</v>
      </c>
      <c r="J91" s="49">
        <f t="array" ref="J91">IFERROR(
SUM(
IF(
'PORTIFÓLIO'!$C$4:$C$564=$A91,
N(INDEX('PORTIFÓLIO'!$J$4:$Q$564,,MATCH(J$2,'PORTIFÓLIO'!$J$3:$Q$3,0))) *
N('PORTIFÓLIO'!$S$4:$S$564),
0
)
),
0)</f>
        <v>0</v>
      </c>
      <c r="K91" s="47">
        <f t="shared" si="9"/>
        <v>0</v>
      </c>
      <c r="L91" s="49">
        <f t="array" ref="L91">IFERROR(
SUM(
IF(
'PORTIFÓLIO'!$C$4:$C$564=$A91,
N(INDEX('PORTIFÓLIO'!$J$4:$Q$564,,MATCH(L$2,'PORTIFÓLIO'!$J$3:$Q$3,0))) *
N('PORTIFÓLIO'!$S$4:$S$564),
0
)
),
0)</f>
        <v>0</v>
      </c>
      <c r="M91" s="47">
        <f t="shared" si="10"/>
        <v>0</v>
      </c>
      <c r="N91" s="49">
        <f t="array" ref="N91">IFERROR(
SUM(
IF(
'PORTIFÓLIO'!$C$4:$C$564=$A91,
N(INDEX('PORTIFÓLIO'!$J$4:$Q$564,,MATCH(N$2,'PORTIFÓLIO'!$J$3:$Q$3,0))) *
N('PORTIFÓLIO'!$S$4:$S$564),
0
)
),
0)</f>
        <v>0</v>
      </c>
      <c r="O91" s="49">
        <f t="shared" si="11"/>
        <v>0</v>
      </c>
      <c r="P91" s="49">
        <f t="array" ref="P91">IFERROR(
SUM(
IF(
'PORTIFÓLIO'!$C$4:$C$564=$A91,
N(INDEX('PORTIFÓLIO'!$J$4:$Q$564,,MATCH(P$2,'PORTIFÓLIO'!$J$3:$Q$3,0))) *
N('PORTIFÓLIO'!$S$4:$S$564),
0
)
),
0)</f>
        <v>0</v>
      </c>
      <c r="Q91" s="49">
        <f t="shared" si="12"/>
        <v>0</v>
      </c>
      <c r="R91" s="49">
        <f t="shared" si="2"/>
        <v>0</v>
      </c>
      <c r="S91" s="49">
        <f t="shared" si="13"/>
        <v>0</v>
      </c>
    </row>
    <row r="92" ht="15.75" hidden="1" customHeight="1" outlineLevel="1">
      <c r="A92" s="48" t="str">
        <f>IFERROR(__xludf.DUMMYFUNCTION("""COMPUTED_VALUE"""),"GESAPRIM GRDA")</f>
        <v>GESAPRIM GRDA</v>
      </c>
      <c r="B92" s="49">
        <f t="array" ref="B92">IFERROR(
SUM(
IF(
'PORTIFÓLIO'!$C$4:$C$564=$A92,
N(INDEX('PORTIFÓLIO'!$J$4:$Q$564,,MATCH(B$2,'PORTIFÓLIO'!$J$3:$Q$3,0))) *
N('PORTIFÓLIO'!$S$4:$S$564),
0
)
),
0)</f>
        <v>0</v>
      </c>
      <c r="C92" s="49">
        <f t="shared" si="5"/>
        <v>0</v>
      </c>
      <c r="D92" s="49">
        <f t="array" ref="D92">IFERROR(
SUM(
IF(
'PORTIFÓLIO'!$C$4:$C$564=$A92,
N(INDEX('PORTIFÓLIO'!$J$4:$Q$564,,MATCH(D$2,'PORTIFÓLIO'!$J$3:$Q$3,0))) *
N('PORTIFÓLIO'!$S$4:$S$564),
0
)
),
0)</f>
        <v>0</v>
      </c>
      <c r="E92" s="49">
        <f t="shared" si="6"/>
        <v>0</v>
      </c>
      <c r="F92" s="49">
        <f t="array" ref="F92">IFERROR(
SUM(
IF(
'PORTIFÓLIO'!$C$4:$C$564=$A92,
N(INDEX('PORTIFÓLIO'!$J$4:$Q$564,,MATCH(F$2,'PORTIFÓLIO'!$J$3:$Q$3,0))) *
N('PORTIFÓLIO'!$S$4:$S$564),
0
)
),
0)</f>
        <v>0</v>
      </c>
      <c r="G92" s="47">
        <f t="shared" si="7"/>
        <v>0</v>
      </c>
      <c r="H92" s="49">
        <f t="array" ref="H92">IFERROR(
SUM(
IF(
'PORTIFÓLIO'!$C$4:$C$564=$A92,
N(INDEX('PORTIFÓLIO'!$J$4:$Q$564,,MATCH(H$2,'PORTIFÓLIO'!$J$3:$Q$3,0))) *
N('PORTIFÓLIO'!$S$4:$S$564),
0
)
),
0)</f>
        <v>10520.24</v>
      </c>
      <c r="I92" s="47">
        <f t="shared" si="8"/>
        <v>52.6012</v>
      </c>
      <c r="J92" s="49">
        <f t="array" ref="J92">IFERROR(
SUM(
IF(
'PORTIFÓLIO'!$C$4:$C$564=$A92,
N(INDEX('PORTIFÓLIO'!$J$4:$Q$564,,MATCH(J$2,'PORTIFÓLIO'!$J$3:$Q$3,0))) *
N('PORTIFÓLIO'!$S$4:$S$564),
0
)
),
0)</f>
        <v>19778.0512</v>
      </c>
      <c r="K92" s="47">
        <f t="shared" si="9"/>
        <v>52.6012</v>
      </c>
      <c r="L92" s="49">
        <f t="array" ref="L92">IFERROR(
SUM(
IF(
'PORTIFÓLIO'!$C$4:$C$564=$A92,
N(INDEX('PORTIFÓLIO'!$J$4:$Q$564,,MATCH(L$2,'PORTIFÓLIO'!$J$3:$Q$3,0))) *
N('PORTIFÓLIO'!$S$4:$S$564),
0
)
),
0)</f>
        <v>11572.264</v>
      </c>
      <c r="M92" s="47">
        <f t="shared" si="10"/>
        <v>52.6012</v>
      </c>
      <c r="N92" s="49">
        <f t="array" ref="N92">IFERROR(
SUM(
IF(
'PORTIFÓLIO'!$C$4:$C$564=$A92,
N(INDEX('PORTIFÓLIO'!$J$4:$Q$564,,MATCH(N$2,'PORTIFÓLIO'!$J$3:$Q$3,0))) *
N('PORTIFÓLIO'!$S$4:$S$564),
0
)
),
0)</f>
        <v>0</v>
      </c>
      <c r="O92" s="49">
        <f t="shared" si="11"/>
        <v>0</v>
      </c>
      <c r="P92" s="49">
        <f t="array" ref="P92">IFERROR(
SUM(
IF(
'PORTIFÓLIO'!$C$4:$C$564=$A92,
N(INDEX('PORTIFÓLIO'!$J$4:$Q$564,,MATCH(P$2,'PORTIFÓLIO'!$J$3:$Q$3,0))) *
N('PORTIFÓLIO'!$S$4:$S$564),
0
)
),
0)</f>
        <v>0</v>
      </c>
      <c r="Q92" s="49">
        <f t="shared" si="12"/>
        <v>0</v>
      </c>
      <c r="R92" s="49">
        <f t="shared" si="2"/>
        <v>41870.5552</v>
      </c>
      <c r="S92" s="49">
        <f t="shared" si="13"/>
        <v>12.52109904</v>
      </c>
    </row>
    <row r="93" ht="15.75" hidden="1" customHeight="1" outlineLevel="1">
      <c r="A93" s="48" t="str">
        <f>IFERROR(__xludf.DUMMYFUNCTION("""COMPUTED_VALUE"""),"PRIMESTRA GOLD")</f>
        <v>PRIMESTRA GOLD</v>
      </c>
      <c r="B93" s="49">
        <f t="array" ref="B93">IFERROR(
SUM(
IF(
'PORTIFÓLIO'!$C$4:$C$564=$A93,
N(INDEX('PORTIFÓLIO'!$J$4:$Q$564,,MATCH(B$2,'PORTIFÓLIO'!$J$3:$Q$3,0))) *
N('PORTIFÓLIO'!$S$4:$S$564),
0
)
),
0)</f>
        <v>0</v>
      </c>
      <c r="C93" s="49">
        <f t="shared" si="5"/>
        <v>0</v>
      </c>
      <c r="D93" s="49">
        <f t="array" ref="D93">IFERROR(
SUM(
IF(
'PORTIFÓLIO'!$C$4:$C$564=$A93,
N(INDEX('PORTIFÓLIO'!$J$4:$Q$564,,MATCH(D$2,'PORTIFÓLIO'!$J$3:$Q$3,0))) *
N('PORTIFÓLIO'!$S$4:$S$564),
0
)
),
0)</f>
        <v>0</v>
      </c>
      <c r="E93" s="49">
        <f t="shared" si="6"/>
        <v>0</v>
      </c>
      <c r="F93" s="49">
        <f t="array" ref="F93">IFERROR(
SUM(
IF(
'PORTIFÓLIO'!$C$4:$C$564=$A93,
N(INDEX('PORTIFÓLIO'!$J$4:$Q$564,,MATCH(F$2,'PORTIFÓLIO'!$J$3:$Q$3,0))) *
N('PORTIFÓLIO'!$S$4:$S$564),
0
)
),
0)</f>
        <v>0</v>
      </c>
      <c r="G93" s="47">
        <f t="shared" si="7"/>
        <v>0</v>
      </c>
      <c r="H93" s="49">
        <f t="array" ref="H93">IFERROR(
SUM(
IF(
'PORTIFÓLIO'!$C$4:$C$564=$A93,
N(INDEX('PORTIFÓLIO'!$J$4:$Q$564,,MATCH(H$2,'PORTIFÓLIO'!$J$3:$Q$3,0))) *
N('PORTIFÓLIO'!$S$4:$S$564),
0
)
),
0)</f>
        <v>0</v>
      </c>
      <c r="I93" s="47">
        <f t="shared" si="8"/>
        <v>0</v>
      </c>
      <c r="J93" s="49">
        <f t="array" ref="J93">IFERROR(
SUM(
IF(
'PORTIFÓLIO'!$C$4:$C$564=$A93,
N(INDEX('PORTIFÓLIO'!$J$4:$Q$564,,MATCH(J$2,'PORTIFÓLIO'!$J$3:$Q$3,0))) *
N('PORTIFÓLIO'!$S$4:$S$564),
0
)
),
0)</f>
        <v>0</v>
      </c>
      <c r="K93" s="47">
        <f t="shared" si="9"/>
        <v>0</v>
      </c>
      <c r="L93" s="49">
        <f t="array" ref="L93">IFERROR(
SUM(
IF(
'PORTIFÓLIO'!$C$4:$C$564=$A93,
N(INDEX('PORTIFÓLIO'!$J$4:$Q$564,,MATCH(L$2,'PORTIFÓLIO'!$J$3:$Q$3,0))) *
N('PORTIFÓLIO'!$S$4:$S$564),
0
)
),
0)</f>
        <v>0</v>
      </c>
      <c r="M93" s="47">
        <f t="shared" si="10"/>
        <v>0</v>
      </c>
      <c r="N93" s="49">
        <f t="array" ref="N93">IFERROR(
SUM(
IF(
'PORTIFÓLIO'!$C$4:$C$564=$A93,
N(INDEX('PORTIFÓLIO'!$J$4:$Q$564,,MATCH(N$2,'PORTIFÓLIO'!$J$3:$Q$3,0))) *
N('PORTIFÓLIO'!$S$4:$S$564),
0
)
),
0)</f>
        <v>0</v>
      </c>
      <c r="O93" s="49">
        <f t="shared" si="11"/>
        <v>0</v>
      </c>
      <c r="P93" s="49">
        <f t="array" ref="P93">IFERROR(
SUM(
IF(
'PORTIFÓLIO'!$C$4:$C$564=$A93,
N(INDEX('PORTIFÓLIO'!$J$4:$Q$564,,MATCH(P$2,'PORTIFÓLIO'!$J$3:$Q$3,0))) *
N('PORTIFÓLIO'!$S$4:$S$564),
0
)
),
0)</f>
        <v>0</v>
      </c>
      <c r="Q93" s="49">
        <f t="shared" si="12"/>
        <v>0</v>
      </c>
      <c r="R93" s="49">
        <f t="shared" si="2"/>
        <v>0</v>
      </c>
      <c r="S93" s="49">
        <f t="shared" si="13"/>
        <v>0</v>
      </c>
    </row>
    <row r="94" ht="15.75" hidden="1" customHeight="1" outlineLevel="1">
      <c r="A94" s="48" t="str">
        <f>IFERROR(__xludf.DUMMYFUNCTION("""COMPUTED_VALUE"""),"PROOF")</f>
        <v>PROOF</v>
      </c>
      <c r="B94" s="49">
        <f t="array" ref="B94">IFERROR(
SUM(
IF(
'PORTIFÓLIO'!$C$4:$C$564=$A94,
N(INDEX('PORTIFÓLIO'!$J$4:$Q$564,,MATCH(B$2,'PORTIFÓLIO'!$J$3:$Q$3,0))) *
N('PORTIFÓLIO'!$S$4:$S$564),
0
)
),
0)</f>
        <v>0</v>
      </c>
      <c r="C94" s="49">
        <f t="shared" si="5"/>
        <v>0</v>
      </c>
      <c r="D94" s="49">
        <f t="array" ref="D94">IFERROR(
SUM(
IF(
'PORTIFÓLIO'!$C$4:$C$564=$A94,
N(INDEX('PORTIFÓLIO'!$J$4:$Q$564,,MATCH(D$2,'PORTIFÓLIO'!$J$3:$Q$3,0))) *
N('PORTIFÓLIO'!$S$4:$S$564),
0
)
),
0)</f>
        <v>0</v>
      </c>
      <c r="E94" s="49">
        <f t="shared" si="6"/>
        <v>0</v>
      </c>
      <c r="F94" s="49">
        <f t="array" ref="F94">IFERROR(
SUM(
IF(
'PORTIFÓLIO'!$C$4:$C$564=$A94,
N(INDEX('PORTIFÓLIO'!$J$4:$Q$564,,MATCH(F$2,'PORTIFÓLIO'!$J$3:$Q$3,0))) *
N('PORTIFÓLIO'!$S$4:$S$564),
0
)
),
0)</f>
        <v>0</v>
      </c>
      <c r="G94" s="47">
        <f t="shared" si="7"/>
        <v>0</v>
      </c>
      <c r="H94" s="49">
        <f t="array" ref="H94">IFERROR(
SUM(
IF(
'PORTIFÓLIO'!$C$4:$C$564=$A94,
N(INDEX('PORTIFÓLIO'!$J$4:$Q$564,,MATCH(H$2,'PORTIFÓLIO'!$J$3:$Q$3,0))) *
N('PORTIFÓLIO'!$S$4:$S$564),
0
)
),
0)</f>
        <v>0</v>
      </c>
      <c r="I94" s="47">
        <f t="shared" si="8"/>
        <v>0</v>
      </c>
      <c r="J94" s="49">
        <f t="array" ref="J94">IFERROR(
SUM(
IF(
'PORTIFÓLIO'!$C$4:$C$564=$A94,
N(INDEX('PORTIFÓLIO'!$J$4:$Q$564,,MATCH(J$2,'PORTIFÓLIO'!$J$3:$Q$3,0))) *
N('PORTIFÓLIO'!$S$4:$S$564),
0
)
),
0)</f>
        <v>0</v>
      </c>
      <c r="K94" s="47">
        <f t="shared" si="9"/>
        <v>0</v>
      </c>
      <c r="L94" s="49">
        <f t="array" ref="L94">IFERROR(
SUM(
IF(
'PORTIFÓLIO'!$C$4:$C$564=$A94,
N(INDEX('PORTIFÓLIO'!$J$4:$Q$564,,MATCH(L$2,'PORTIFÓLIO'!$J$3:$Q$3,0))) *
N('PORTIFÓLIO'!$S$4:$S$564),
0
)
),
0)</f>
        <v>0</v>
      </c>
      <c r="M94" s="47">
        <f t="shared" si="10"/>
        <v>0</v>
      </c>
      <c r="N94" s="49">
        <f t="array" ref="N94">IFERROR(
SUM(
IF(
'PORTIFÓLIO'!$C$4:$C$564=$A94,
N(INDEX('PORTIFÓLIO'!$J$4:$Q$564,,MATCH(N$2,'PORTIFÓLIO'!$J$3:$Q$3,0))) *
N('PORTIFÓLIO'!$S$4:$S$564),
0
)
),
0)</f>
        <v>0</v>
      </c>
      <c r="O94" s="49">
        <f t="shared" si="11"/>
        <v>0</v>
      </c>
      <c r="P94" s="49">
        <f t="array" ref="P94">IFERROR(
SUM(
IF(
'PORTIFÓLIO'!$C$4:$C$564=$A94,
N(INDEX('PORTIFÓLIO'!$J$4:$Q$564,,MATCH(P$2,'PORTIFÓLIO'!$J$3:$Q$3,0))) *
N('PORTIFÓLIO'!$S$4:$S$564),
0
)
),
0)</f>
        <v>0</v>
      </c>
      <c r="Q94" s="49">
        <f t="shared" si="12"/>
        <v>0</v>
      </c>
      <c r="R94" s="49">
        <f t="shared" si="2"/>
        <v>0</v>
      </c>
      <c r="S94" s="49">
        <f t="shared" si="13"/>
        <v>0</v>
      </c>
    </row>
    <row r="95" ht="15.75" hidden="1" customHeight="1" outlineLevel="1">
      <c r="A95" s="48" t="str">
        <f>IFERROR(__xludf.DUMMYFUNCTION("""COMPUTED_VALUE"""),"REGLONE")</f>
        <v>REGLONE</v>
      </c>
      <c r="B95" s="49">
        <f t="array" ref="B95">IFERROR(
SUM(
IF(
'PORTIFÓLIO'!$C$4:$C$564=$A95,
N(INDEX('PORTIFÓLIO'!$J$4:$Q$564,,MATCH(B$2,'PORTIFÓLIO'!$J$3:$Q$3,0))) *
N('PORTIFÓLIO'!$S$4:$S$564),
0
)
),
0)</f>
        <v>0</v>
      </c>
      <c r="C95" s="49">
        <f t="shared" si="5"/>
        <v>0</v>
      </c>
      <c r="D95" s="49">
        <f t="array" ref="D95">IFERROR(
SUM(
IF(
'PORTIFÓLIO'!$C$4:$C$564=$A95,
N(INDEX('PORTIFÓLIO'!$J$4:$Q$564,,MATCH(D$2,'PORTIFÓLIO'!$J$3:$Q$3,0))) *
N('PORTIFÓLIO'!$S$4:$S$564),
0
)
),
0)</f>
        <v>14246.568</v>
      </c>
      <c r="E95" s="49">
        <f t="shared" si="6"/>
        <v>47.48856</v>
      </c>
      <c r="F95" s="49">
        <f t="array" ref="F95">IFERROR(
SUM(
IF(
'PORTIFÓLIO'!$C$4:$C$564=$A95,
N(INDEX('PORTIFÓLIO'!$J$4:$Q$564,,MATCH(F$2,'PORTIFÓLIO'!$J$3:$Q$3,0))) *
N('PORTIFÓLIO'!$S$4:$S$564),
0
)
),
0)</f>
        <v>10447.4832</v>
      </c>
      <c r="G95" s="47">
        <f t="shared" si="7"/>
        <v>47.48856</v>
      </c>
      <c r="H95" s="49">
        <f t="array" ref="H95">IFERROR(
SUM(
IF(
'PORTIFÓLIO'!$C$4:$C$564=$A95,
N(INDEX('PORTIFÓLIO'!$J$4:$Q$564,,MATCH(H$2,'PORTIFÓLIO'!$J$3:$Q$3,0))) *
N('PORTIFÓLIO'!$S$4:$S$564),
0
)
),
0)</f>
        <v>0</v>
      </c>
      <c r="I95" s="47">
        <f t="shared" si="8"/>
        <v>0</v>
      </c>
      <c r="J95" s="49">
        <f t="array" ref="J95">IFERROR(
SUM(
IF(
'PORTIFÓLIO'!$C$4:$C$564=$A95,
N(INDEX('PORTIFÓLIO'!$J$4:$Q$564,,MATCH(J$2,'PORTIFÓLIO'!$J$3:$Q$3,0))) *
N('PORTIFÓLIO'!$S$4:$S$564),
0
)
),
0)</f>
        <v>0</v>
      </c>
      <c r="K95" s="47">
        <f t="shared" si="9"/>
        <v>0</v>
      </c>
      <c r="L95" s="49">
        <f t="array" ref="L95">IFERROR(
SUM(
IF(
'PORTIFÓLIO'!$C$4:$C$564=$A95,
N(INDEX('PORTIFÓLIO'!$J$4:$Q$564,,MATCH(L$2,'PORTIFÓLIO'!$J$3:$Q$3,0))) *
N('PORTIFÓLIO'!$S$4:$S$564),
0
)
),
0)</f>
        <v>0</v>
      </c>
      <c r="M95" s="47">
        <f t="shared" si="10"/>
        <v>0</v>
      </c>
      <c r="N95" s="49">
        <f t="array" ref="N95">IFERROR(
SUM(
IF(
'PORTIFÓLIO'!$C$4:$C$564=$A95,
N(INDEX('PORTIFÓLIO'!$J$4:$Q$564,,MATCH(N$2,'PORTIFÓLIO'!$J$3:$Q$3,0))) *
N('PORTIFÓLIO'!$S$4:$S$564),
0
)
),
0)</f>
        <v>57841.06608</v>
      </c>
      <c r="O95" s="49">
        <f t="shared" si="11"/>
        <v>47.48856</v>
      </c>
      <c r="P95" s="49">
        <f t="array" ref="P95">IFERROR(
SUM(
IF(
'PORTIFÓLIO'!$C$4:$C$564=$A95,
N(INDEX('PORTIFÓLIO'!$J$4:$Q$564,,MATCH(P$2,'PORTIFÓLIO'!$J$3:$Q$3,0))) *
N('PORTIFÓLIO'!$S$4:$S$564),
0
)
),
0)</f>
        <v>15196.3392</v>
      </c>
      <c r="Q95" s="49">
        <f t="shared" si="12"/>
        <v>47.48856</v>
      </c>
      <c r="R95" s="49">
        <f t="shared" si="2"/>
        <v>87283.97328</v>
      </c>
      <c r="S95" s="49">
        <f t="shared" si="13"/>
        <v>26.10166665</v>
      </c>
    </row>
    <row r="96" ht="15.75" hidden="1" customHeight="1" outlineLevel="1">
      <c r="A96" s="48" t="str">
        <f>IFERROR(__xludf.DUMMYFUNCTION("""COMPUTED_VALUE"""),"TOPIK 240 EC")</f>
        <v>TOPIK 240 EC</v>
      </c>
      <c r="B96" s="49">
        <f t="array" ref="B96">IFERROR(
SUM(
IF(
'PORTIFÓLIO'!$C$4:$C$564=$A96,
N(INDEX('PORTIFÓLIO'!$J$4:$Q$564,,MATCH(B$2,'PORTIFÓLIO'!$J$3:$Q$3,0))) *
N('PORTIFÓLIO'!$S$4:$S$564),
0
)
),
0)</f>
        <v>0</v>
      </c>
      <c r="C96" s="49">
        <f t="shared" si="5"/>
        <v>0</v>
      </c>
      <c r="D96" s="49">
        <f t="array" ref="D96">IFERROR(
SUM(
IF(
'PORTIFÓLIO'!$C$4:$C$564=$A96,
N(INDEX('PORTIFÓLIO'!$J$4:$Q$564,,MATCH(D$2,'PORTIFÓLIO'!$J$3:$Q$3,0))) *
N('PORTIFÓLIO'!$S$4:$S$564),
0
)
),
0)</f>
        <v>0</v>
      </c>
      <c r="E96" s="49">
        <f t="shared" si="6"/>
        <v>0</v>
      </c>
      <c r="F96" s="49">
        <f t="array" ref="F96">IFERROR(
SUM(
IF(
'PORTIFÓLIO'!$C$4:$C$564=$A96,
N(INDEX('PORTIFÓLIO'!$J$4:$Q$564,,MATCH(F$2,'PORTIFÓLIO'!$J$3:$Q$3,0))) *
N('PORTIFÓLIO'!$S$4:$S$564),
0
)
),
0)</f>
        <v>0</v>
      </c>
      <c r="G96" s="47">
        <f t="shared" si="7"/>
        <v>0</v>
      </c>
      <c r="H96" s="49">
        <f t="array" ref="H96">IFERROR(
SUM(
IF(
'PORTIFÓLIO'!$C$4:$C$564=$A96,
N(INDEX('PORTIFÓLIO'!$J$4:$Q$564,,MATCH(H$2,'PORTIFÓLIO'!$J$3:$Q$3,0))) *
N('PORTIFÓLIO'!$S$4:$S$564),
0
)
),
0)</f>
        <v>0</v>
      </c>
      <c r="I96" s="47">
        <f t="shared" si="8"/>
        <v>0</v>
      </c>
      <c r="J96" s="49">
        <f t="array" ref="J96">IFERROR(
SUM(
IF(
'PORTIFÓLIO'!$C$4:$C$564=$A96,
N(INDEX('PORTIFÓLIO'!$J$4:$Q$564,,MATCH(J$2,'PORTIFÓLIO'!$J$3:$Q$3,0))) *
N('PORTIFÓLIO'!$S$4:$S$564),
0
)
),
0)</f>
        <v>0</v>
      </c>
      <c r="K96" s="47">
        <f t="shared" si="9"/>
        <v>0</v>
      </c>
      <c r="L96" s="49">
        <f t="array" ref="L96">IFERROR(
SUM(
IF(
'PORTIFÓLIO'!$C$4:$C$564=$A96,
N(INDEX('PORTIFÓLIO'!$J$4:$Q$564,,MATCH(L$2,'PORTIFÓLIO'!$J$3:$Q$3,0))) *
N('PORTIFÓLIO'!$S$4:$S$564),
0
)
),
0)</f>
        <v>0</v>
      </c>
      <c r="M96" s="47">
        <f t="shared" si="10"/>
        <v>0</v>
      </c>
      <c r="N96" s="49">
        <f t="array" ref="N96">IFERROR(
SUM(
IF(
'PORTIFÓLIO'!$C$4:$C$564=$A96,
N(INDEX('PORTIFÓLIO'!$J$4:$Q$564,,MATCH(N$2,'PORTIFÓLIO'!$J$3:$Q$3,0))) *
N('PORTIFÓLIO'!$S$4:$S$564),
0
)
),
0)</f>
        <v>0</v>
      </c>
      <c r="O96" s="49">
        <f t="shared" si="11"/>
        <v>0</v>
      </c>
      <c r="P96" s="49">
        <f t="array" ref="P96">IFERROR(
SUM(
IF(
'PORTIFÓLIO'!$C$4:$C$564=$A96,
N(INDEX('PORTIFÓLIO'!$J$4:$Q$564,,MATCH(P$2,'PORTIFÓLIO'!$J$3:$Q$3,0))) *
N('PORTIFÓLIO'!$S$4:$S$564),
0
)
),
0)</f>
        <v>0</v>
      </c>
      <c r="Q96" s="49">
        <f t="shared" si="12"/>
        <v>0</v>
      </c>
      <c r="R96" s="49">
        <f t="shared" si="2"/>
        <v>0</v>
      </c>
      <c r="S96" s="49">
        <f t="shared" si="13"/>
        <v>0</v>
      </c>
    </row>
    <row r="97" ht="15.75" hidden="1" customHeight="1" outlineLevel="1">
      <c r="A97" s="48" t="str">
        <f>IFERROR(__xludf.DUMMYFUNCTION("""COMPUTED_VALUE"""),"ZAPP QI 620")</f>
        <v>ZAPP QI 620</v>
      </c>
      <c r="B97" s="49">
        <f t="array" ref="B97">IFERROR(
SUM(
IF(
'PORTIFÓLIO'!$C$4:$C$564=$A97,
N(INDEX('PORTIFÓLIO'!$J$4:$Q$564,,MATCH(B$2,'PORTIFÓLIO'!$J$3:$Q$3,0))) *
N('PORTIFÓLIO'!$S$4:$S$564),
0
)
),
0)</f>
        <v>0</v>
      </c>
      <c r="C97" s="49">
        <f t="shared" si="5"/>
        <v>0</v>
      </c>
      <c r="D97" s="49">
        <f t="array" ref="D97">IFERROR(
SUM(
IF(
'PORTIFÓLIO'!$C$4:$C$564=$A97,
N(INDEX('PORTIFÓLIO'!$J$4:$Q$564,,MATCH(D$2,'PORTIFÓLIO'!$J$3:$Q$3,0))) *
N('PORTIFÓLIO'!$S$4:$S$564),
0
)
),
0)</f>
        <v>0</v>
      </c>
      <c r="E97" s="49">
        <f t="shared" si="6"/>
        <v>0</v>
      </c>
      <c r="F97" s="49">
        <f t="array" ref="F97">IFERROR(
SUM(
IF(
'PORTIFÓLIO'!$C$4:$C$564=$A97,
N(INDEX('PORTIFÓLIO'!$J$4:$Q$564,,MATCH(F$2,'PORTIFÓLIO'!$J$3:$Q$3,0))) *
N('PORTIFÓLIO'!$S$4:$S$564),
0
)
),
0)</f>
        <v>0</v>
      </c>
      <c r="G97" s="47">
        <f t="shared" si="7"/>
        <v>0</v>
      </c>
      <c r="H97" s="49">
        <f t="array" ref="H97">IFERROR(
SUM(
IF(
'PORTIFÓLIO'!$C$4:$C$564=$A97,
N(INDEX('PORTIFÓLIO'!$J$4:$Q$564,,MATCH(H$2,'PORTIFÓLIO'!$J$3:$Q$3,0))) *
N('PORTIFÓLIO'!$S$4:$S$564),
0
)
),
0)</f>
        <v>0</v>
      </c>
      <c r="I97" s="47">
        <f t="shared" si="8"/>
        <v>0</v>
      </c>
      <c r="J97" s="49">
        <f t="array" ref="J97">IFERROR(
SUM(
IF(
'PORTIFÓLIO'!$C$4:$C$564=$A97,
N(INDEX('PORTIFÓLIO'!$J$4:$Q$564,,MATCH(J$2,'PORTIFÓLIO'!$J$3:$Q$3,0))) *
N('PORTIFÓLIO'!$S$4:$S$564),
0
)
),
0)</f>
        <v>0</v>
      </c>
      <c r="K97" s="47">
        <f t="shared" si="9"/>
        <v>0</v>
      </c>
      <c r="L97" s="49">
        <f t="array" ref="L97">IFERROR(
SUM(
IF(
'PORTIFÓLIO'!$C$4:$C$564=$A97,
N(INDEX('PORTIFÓLIO'!$J$4:$Q$564,,MATCH(L$2,'PORTIFÓLIO'!$J$3:$Q$3,0))) *
N('PORTIFÓLIO'!$S$4:$S$564),
0
)
),
0)</f>
        <v>11745.3072</v>
      </c>
      <c r="M97" s="47">
        <f t="shared" si="10"/>
        <v>53.38776</v>
      </c>
      <c r="N97" s="49">
        <f t="array" ref="N97">IFERROR(
SUM(
IF(
'PORTIFÓLIO'!$C$4:$C$564=$A97,
N(INDEX('PORTIFÓLIO'!$J$4:$Q$564,,MATCH(N$2,'PORTIFÓLIO'!$J$3:$Q$3,0))) *
N('PORTIFÓLIO'!$S$4:$S$564),
0
)
),
0)</f>
        <v>0</v>
      </c>
      <c r="O97" s="49">
        <f t="shared" si="11"/>
        <v>0</v>
      </c>
      <c r="P97" s="49">
        <f t="array" ref="P97">IFERROR(
SUM(
IF(
'PORTIFÓLIO'!$C$4:$C$564=$A97,
N(INDEX('PORTIFÓLIO'!$J$4:$Q$564,,MATCH(P$2,'PORTIFÓLIO'!$J$3:$Q$3,0))) *
N('PORTIFÓLIO'!$S$4:$S$564),
0
)
),
0)</f>
        <v>0</v>
      </c>
      <c r="Q97" s="49">
        <f t="shared" si="12"/>
        <v>0</v>
      </c>
      <c r="R97" s="49">
        <f t="shared" si="2"/>
        <v>11745.3072</v>
      </c>
      <c r="S97" s="49">
        <f t="shared" si="13"/>
        <v>3.512352632</v>
      </c>
    </row>
    <row r="98" ht="15.75" hidden="1" customHeight="1" outlineLevel="1">
      <c r="A98" s="48" t="str">
        <f>IFERROR(__xludf.DUMMYFUNCTION("""COMPUTED_VALUE"""),"MINOS CAPS 360 CS")</f>
        <v>MINOS CAPS 360 CS</v>
      </c>
      <c r="B98" s="49">
        <f t="array" ref="B98">IFERROR(
SUM(
IF(
'PORTIFÓLIO'!$C$4:$C$564=$A98,
N(INDEX('PORTIFÓLIO'!$J$4:$Q$564,,MATCH(B$2,'PORTIFÓLIO'!$J$3:$Q$3,0))) *
N('PORTIFÓLIO'!$S$4:$S$564),
0
)
),
0)</f>
        <v>0</v>
      </c>
      <c r="C98" s="49">
        <f t="shared" si="5"/>
        <v>0</v>
      </c>
      <c r="D98" s="49">
        <f t="array" ref="D98">IFERROR(
SUM(
IF(
'PORTIFÓLIO'!$C$4:$C$564=$A98,
N(INDEX('PORTIFÓLIO'!$J$4:$Q$564,,MATCH(D$2,'PORTIFÓLIO'!$J$3:$Q$3,0))) *
N('PORTIFÓLIO'!$S$4:$S$564),
0
)
),
0)</f>
        <v>0</v>
      </c>
      <c r="E98" s="49">
        <f t="shared" si="6"/>
        <v>0</v>
      </c>
      <c r="F98" s="49">
        <f t="array" ref="F98">IFERROR(
SUM(
IF(
'PORTIFÓLIO'!$C$4:$C$564=$A98,
N(INDEX('PORTIFÓLIO'!$J$4:$Q$564,,MATCH(F$2,'PORTIFÓLIO'!$J$3:$Q$3,0))) *
N('PORTIFÓLIO'!$S$4:$S$564),
0
)
),
0)</f>
        <v>0</v>
      </c>
      <c r="G98" s="47">
        <f t="shared" si="7"/>
        <v>0</v>
      </c>
      <c r="H98" s="49">
        <f t="array" ref="H98">IFERROR(
SUM(
IF(
'PORTIFÓLIO'!$C$4:$C$564=$A98,
N(INDEX('PORTIFÓLIO'!$J$4:$Q$564,,MATCH(H$2,'PORTIFÓLIO'!$J$3:$Q$3,0))) *
N('PORTIFÓLIO'!$S$4:$S$564),
0
)
),
0)</f>
        <v>0</v>
      </c>
      <c r="I98" s="47">
        <f t="shared" si="8"/>
        <v>0</v>
      </c>
      <c r="J98" s="49">
        <f t="array" ref="J98">IFERROR(
SUM(
IF(
'PORTIFÓLIO'!$C$4:$C$564=$A98,
N(INDEX('PORTIFÓLIO'!$J$4:$Q$564,,MATCH(J$2,'PORTIFÓLIO'!$J$3:$Q$3,0))) *
N('PORTIFÓLIO'!$S$4:$S$564),
0
)
),
0)</f>
        <v>0</v>
      </c>
      <c r="K98" s="47">
        <f t="shared" si="9"/>
        <v>0</v>
      </c>
      <c r="L98" s="49">
        <f t="array" ref="L98">IFERROR(
SUM(
IF(
'PORTIFÓLIO'!$C$4:$C$564=$A98,
N(INDEX('PORTIFÓLIO'!$J$4:$Q$564,,MATCH(L$2,'PORTIFÓLIO'!$J$3:$Q$3,0))) *
N('PORTIFÓLIO'!$S$4:$S$564),
0
)
),
0)</f>
        <v>0</v>
      </c>
      <c r="M98" s="47">
        <f t="shared" si="10"/>
        <v>0</v>
      </c>
      <c r="N98" s="49">
        <f t="array" ref="N98">IFERROR(
SUM(
IF(
'PORTIFÓLIO'!$C$4:$C$564=$A98,
N(INDEX('PORTIFÓLIO'!$J$4:$Q$564,,MATCH(N$2,'PORTIFÓLIO'!$J$3:$Q$3,0))) *
N('PORTIFÓLIO'!$S$4:$S$564),
0
)
),
0)</f>
        <v>0</v>
      </c>
      <c r="O98" s="49">
        <f t="shared" si="11"/>
        <v>0</v>
      </c>
      <c r="P98" s="49">
        <f t="array" ref="P98">IFERROR(
SUM(
IF(
'PORTIFÓLIO'!$C$4:$C$564=$A98,
N(INDEX('PORTIFÓLIO'!$J$4:$Q$564,,MATCH(P$2,'PORTIFÓLIO'!$J$3:$Q$3,0))) *
N('PORTIFÓLIO'!$S$4:$S$564),
0
)
),
0)</f>
        <v>0</v>
      </c>
      <c r="Q98" s="49">
        <f t="shared" si="12"/>
        <v>0</v>
      </c>
      <c r="R98" s="49">
        <f t="shared" si="2"/>
        <v>0</v>
      </c>
      <c r="S98" s="49">
        <f t="shared" si="13"/>
        <v>0</v>
      </c>
    </row>
    <row r="99" ht="15.75" hidden="1" customHeight="1" outlineLevel="1">
      <c r="A99" s="48"/>
      <c r="B99" s="49">
        <f t="array" ref="B99">IFERROR(
SUM(
IF(
'PORTIFÓLIO'!$C$4:$C$564=$A99,
N(INDEX('PORTIFÓLIO'!$J$4:$Q$564,,MATCH(B$2,'PORTIFÓLIO'!$J$3:$Q$3,0))) *
N('PORTIFÓLIO'!$S$4:$S$564),
0
)
),
0)</f>
        <v>0</v>
      </c>
      <c r="C99" s="49">
        <f t="shared" si="5"/>
        <v>0</v>
      </c>
      <c r="D99" s="49">
        <f t="array" ref="D99">IFERROR(
SUM(
IF(
'PORTIFÓLIO'!$C$4:$C$564=$A99,
N(INDEX('PORTIFÓLIO'!$J$4:$Q$564,,MATCH(D$2,'PORTIFÓLIO'!$J$3:$Q$3,0))) *
N('PORTIFÓLIO'!$S$4:$S$564),
0
)
),
0)</f>
        <v>0</v>
      </c>
      <c r="E99" s="49">
        <f t="shared" si="6"/>
        <v>0</v>
      </c>
      <c r="F99" s="49">
        <f t="array" ref="F99">IFERROR(
SUM(
IF(
'PORTIFÓLIO'!$C$4:$C$564=$A99,
N(INDEX('PORTIFÓLIO'!$J$4:$Q$564,,MATCH(F$2,'PORTIFÓLIO'!$J$3:$Q$3,0))) *
N('PORTIFÓLIO'!$S$4:$S$564),
0
)
),
0)</f>
        <v>0</v>
      </c>
      <c r="G99" s="47">
        <f t="shared" si="7"/>
        <v>0</v>
      </c>
      <c r="H99" s="49">
        <f t="array" ref="H99">IFERROR(
SUM(
IF(
'PORTIFÓLIO'!$C$4:$C$564=$A99,
N(INDEX('PORTIFÓLIO'!$J$4:$Q$564,,MATCH(H$2,'PORTIFÓLIO'!$J$3:$Q$3,0))) *
N('PORTIFÓLIO'!$S$4:$S$564),
0
)
),
0)</f>
        <v>0</v>
      </c>
      <c r="I99" s="47">
        <f t="shared" si="8"/>
        <v>0</v>
      </c>
      <c r="J99" s="49">
        <f t="array" ref="J99">IFERROR(
SUM(
IF(
'PORTIFÓLIO'!$C$4:$C$564=$A99,
N(INDEX('PORTIFÓLIO'!$J$4:$Q$564,,MATCH(J$2,'PORTIFÓLIO'!$J$3:$Q$3,0))) *
N('PORTIFÓLIO'!$S$4:$S$564),
0
)
),
0)</f>
        <v>0</v>
      </c>
      <c r="K99" s="47">
        <f t="shared" si="9"/>
        <v>0</v>
      </c>
      <c r="L99" s="49">
        <f t="array" ref="L99">IFERROR(
SUM(
IF(
'PORTIFÓLIO'!$C$4:$C$564=$A99,
N(INDEX('PORTIFÓLIO'!$J$4:$Q$564,,MATCH(L$2,'PORTIFÓLIO'!$J$3:$Q$3,0))) *
N('PORTIFÓLIO'!$S$4:$S$564),
0
)
),
0)</f>
        <v>0</v>
      </c>
      <c r="M99" s="47">
        <f t="shared" si="10"/>
        <v>0</v>
      </c>
      <c r="N99" s="49">
        <f t="array" ref="N99">IFERROR(
SUM(
IF(
'PORTIFÓLIO'!$C$4:$C$564=$A99,
N(INDEX('PORTIFÓLIO'!$J$4:$Q$564,,MATCH(N$2,'PORTIFÓLIO'!$J$3:$Q$3,0))) *
N('PORTIFÓLIO'!$S$4:$S$564),
0
)
),
0)</f>
        <v>0</v>
      </c>
      <c r="O99" s="49">
        <f t="shared" si="11"/>
        <v>0</v>
      </c>
      <c r="P99" s="49">
        <f t="array" ref="P99">IFERROR(
SUM(
IF(
'PORTIFÓLIO'!$C$4:$C$564=$A99,
N(INDEX('PORTIFÓLIO'!$J$4:$Q$564,,MATCH(P$2,'PORTIFÓLIO'!$J$3:$Q$3,0))) *
N('PORTIFÓLIO'!$S$4:$S$564),
0
)
),
0)</f>
        <v>0</v>
      </c>
      <c r="Q99" s="49">
        <f t="shared" si="12"/>
        <v>0</v>
      </c>
      <c r="R99" s="49">
        <f t="shared" si="2"/>
        <v>0</v>
      </c>
      <c r="S99" s="49">
        <f t="shared" si="13"/>
        <v>0</v>
      </c>
    </row>
    <row r="100" ht="15.75" hidden="1" customHeight="1" outlineLevel="1">
      <c r="A100" s="48"/>
      <c r="B100" s="49">
        <f t="array" ref="B100">IFERROR(
SUM(
IF(
'PORTIFÓLIO'!$C$4:$C$564=$A100,
N(INDEX('PORTIFÓLIO'!$J$4:$Q$564,,MATCH(B$2,'PORTIFÓLIO'!$J$3:$Q$3,0))) *
N('PORTIFÓLIO'!$S$4:$S$564),
0
)
),
0)</f>
        <v>0</v>
      </c>
      <c r="C100" s="49">
        <f t="shared" si="5"/>
        <v>0</v>
      </c>
      <c r="D100" s="49">
        <f t="array" ref="D100">IFERROR(
SUM(
IF(
'PORTIFÓLIO'!$C$4:$C$564=$A100,
N(INDEX('PORTIFÓLIO'!$J$4:$Q$564,,MATCH(D$2,'PORTIFÓLIO'!$J$3:$Q$3,0))) *
N('PORTIFÓLIO'!$S$4:$S$564),
0
)
),
0)</f>
        <v>0</v>
      </c>
      <c r="E100" s="49">
        <f t="shared" si="6"/>
        <v>0</v>
      </c>
      <c r="F100" s="49">
        <f t="array" ref="F100">IFERROR(
SUM(
IF(
'PORTIFÓLIO'!$C$4:$C$564=$A100,
N(INDEX('PORTIFÓLIO'!$J$4:$Q$564,,MATCH(F$2,'PORTIFÓLIO'!$J$3:$Q$3,0))) *
N('PORTIFÓLIO'!$S$4:$S$564),
0
)
),
0)</f>
        <v>0</v>
      </c>
      <c r="G100" s="47">
        <f t="shared" si="7"/>
        <v>0</v>
      </c>
      <c r="H100" s="49">
        <f t="array" ref="H100">IFERROR(
SUM(
IF(
'PORTIFÓLIO'!$C$4:$C$564=$A100,
N(INDEX('PORTIFÓLIO'!$J$4:$Q$564,,MATCH(H$2,'PORTIFÓLIO'!$J$3:$Q$3,0))) *
N('PORTIFÓLIO'!$S$4:$S$564),
0
)
),
0)</f>
        <v>0</v>
      </c>
      <c r="I100" s="47">
        <f t="shared" si="8"/>
        <v>0</v>
      </c>
      <c r="J100" s="49">
        <f t="array" ref="J100">IFERROR(
SUM(
IF(
'PORTIFÓLIO'!$C$4:$C$564=$A100,
N(INDEX('PORTIFÓLIO'!$J$4:$Q$564,,MATCH(J$2,'PORTIFÓLIO'!$J$3:$Q$3,0))) *
N('PORTIFÓLIO'!$S$4:$S$564),
0
)
),
0)</f>
        <v>0</v>
      </c>
      <c r="K100" s="47">
        <f t="shared" si="9"/>
        <v>0</v>
      </c>
      <c r="L100" s="49">
        <f t="array" ref="L100">IFERROR(
SUM(
IF(
'PORTIFÓLIO'!$C$4:$C$564=$A100,
N(INDEX('PORTIFÓLIO'!$J$4:$Q$564,,MATCH(L$2,'PORTIFÓLIO'!$J$3:$Q$3,0))) *
N('PORTIFÓLIO'!$S$4:$S$564),
0
)
),
0)</f>
        <v>0</v>
      </c>
      <c r="M100" s="47">
        <f t="shared" si="10"/>
        <v>0</v>
      </c>
      <c r="N100" s="49">
        <f t="array" ref="N100">IFERROR(
SUM(
IF(
'PORTIFÓLIO'!$C$4:$C$564=$A100,
N(INDEX('PORTIFÓLIO'!$J$4:$Q$564,,MATCH(N$2,'PORTIFÓLIO'!$J$3:$Q$3,0))) *
N('PORTIFÓLIO'!$S$4:$S$564),
0
)
),
0)</f>
        <v>0</v>
      </c>
      <c r="O100" s="49">
        <f t="shared" si="11"/>
        <v>0</v>
      </c>
      <c r="P100" s="49">
        <f t="array" ref="P100">IFERROR(
SUM(
IF(
'PORTIFÓLIO'!$C$4:$C$564=$A100,
N(INDEX('PORTIFÓLIO'!$J$4:$Q$564,,MATCH(P$2,'PORTIFÓLIO'!$J$3:$Q$3,0))) *
N('PORTIFÓLIO'!$S$4:$S$564),
0
)
),
0)</f>
        <v>0</v>
      </c>
      <c r="Q100" s="49">
        <f t="shared" si="12"/>
        <v>0</v>
      </c>
      <c r="R100" s="49">
        <f t="shared" si="2"/>
        <v>0</v>
      </c>
      <c r="S100" s="49">
        <f t="shared" si="13"/>
        <v>0</v>
      </c>
    </row>
    <row r="101" ht="15.75" hidden="1" customHeight="1" outlineLevel="1">
      <c r="A101" s="48"/>
      <c r="B101" s="49">
        <f t="array" ref="B101">IFERROR(
SUM(
IF(
'PORTIFÓLIO'!$C$4:$C$564=$A101,
N(INDEX('PORTIFÓLIO'!$J$4:$Q$564,,MATCH(B$2,'PORTIFÓLIO'!$J$3:$Q$3,0))) *
N('PORTIFÓLIO'!$S$4:$S$564),
0
)
),
0)</f>
        <v>0</v>
      </c>
      <c r="C101" s="49">
        <f t="shared" si="5"/>
        <v>0</v>
      </c>
      <c r="D101" s="49">
        <f t="array" ref="D101">IFERROR(
SUM(
IF(
'PORTIFÓLIO'!$C$4:$C$564=$A101,
N(INDEX('PORTIFÓLIO'!$J$4:$Q$564,,MATCH(D$2,'PORTIFÓLIO'!$J$3:$Q$3,0))) *
N('PORTIFÓLIO'!$S$4:$S$564),
0
)
),
0)</f>
        <v>0</v>
      </c>
      <c r="E101" s="49">
        <f t="shared" si="6"/>
        <v>0</v>
      </c>
      <c r="F101" s="49">
        <f t="array" ref="F101">IFERROR(
SUM(
IF(
'PORTIFÓLIO'!$C$4:$C$564=$A101,
N(INDEX('PORTIFÓLIO'!$J$4:$Q$564,,MATCH(F$2,'PORTIFÓLIO'!$J$3:$Q$3,0))) *
N('PORTIFÓLIO'!$S$4:$S$564),
0
)
),
0)</f>
        <v>0</v>
      </c>
      <c r="G101" s="47">
        <f t="shared" si="7"/>
        <v>0</v>
      </c>
      <c r="H101" s="49">
        <f t="array" ref="H101">IFERROR(
SUM(
IF(
'PORTIFÓLIO'!$C$4:$C$564=$A101,
N(INDEX('PORTIFÓLIO'!$J$4:$Q$564,,MATCH(H$2,'PORTIFÓLIO'!$J$3:$Q$3,0))) *
N('PORTIFÓLIO'!$S$4:$S$564),
0
)
),
0)</f>
        <v>0</v>
      </c>
      <c r="I101" s="47">
        <f t="shared" si="8"/>
        <v>0</v>
      </c>
      <c r="J101" s="49">
        <f t="array" ref="J101">IFERROR(
SUM(
IF(
'PORTIFÓLIO'!$C$4:$C$564=$A101,
N(INDEX('PORTIFÓLIO'!$J$4:$Q$564,,MATCH(J$2,'PORTIFÓLIO'!$J$3:$Q$3,0))) *
N('PORTIFÓLIO'!$S$4:$S$564),
0
)
),
0)</f>
        <v>0</v>
      </c>
      <c r="K101" s="47">
        <f t="shared" si="9"/>
        <v>0</v>
      </c>
      <c r="L101" s="49">
        <f t="array" ref="L101">IFERROR(
SUM(
IF(
'PORTIFÓLIO'!$C$4:$C$564=$A101,
N(INDEX('PORTIFÓLIO'!$J$4:$Q$564,,MATCH(L$2,'PORTIFÓLIO'!$J$3:$Q$3,0))) *
N('PORTIFÓLIO'!$S$4:$S$564),
0
)
),
0)</f>
        <v>0</v>
      </c>
      <c r="M101" s="47">
        <f t="shared" si="10"/>
        <v>0</v>
      </c>
      <c r="N101" s="49">
        <f t="array" ref="N101">IFERROR(
SUM(
IF(
'PORTIFÓLIO'!$C$4:$C$564=$A101,
N(INDEX('PORTIFÓLIO'!$J$4:$Q$564,,MATCH(N$2,'PORTIFÓLIO'!$J$3:$Q$3,0))) *
N('PORTIFÓLIO'!$S$4:$S$564),
0
)
),
0)</f>
        <v>0</v>
      </c>
      <c r="O101" s="49">
        <f t="shared" si="11"/>
        <v>0</v>
      </c>
      <c r="P101" s="49">
        <f t="array" ref="P101">IFERROR(
SUM(
IF(
'PORTIFÓLIO'!$C$4:$C$564=$A101,
N(INDEX('PORTIFÓLIO'!$J$4:$Q$564,,MATCH(P$2,'PORTIFÓLIO'!$J$3:$Q$3,0))) *
N('PORTIFÓLIO'!$S$4:$S$564),
0
)
),
0)</f>
        <v>0</v>
      </c>
      <c r="Q101" s="49">
        <f t="shared" si="12"/>
        <v>0</v>
      </c>
      <c r="R101" s="49">
        <f t="shared" si="2"/>
        <v>0</v>
      </c>
      <c r="S101" s="49">
        <f t="shared" si="13"/>
        <v>0</v>
      </c>
    </row>
    <row r="102" ht="15.75" hidden="1" customHeight="1" outlineLevel="1">
      <c r="A102" s="48"/>
      <c r="B102" s="49">
        <f t="array" ref="B102">IFERROR(
SUM(
IF(
'PORTIFÓLIO'!$C$4:$C$564=$A102,
N(INDEX('PORTIFÓLIO'!$J$4:$Q$564,,MATCH(B$2,'PORTIFÓLIO'!$J$3:$Q$3,0))) *
N('PORTIFÓLIO'!$S$4:$S$564),
0
)
),
0)</f>
        <v>0</v>
      </c>
      <c r="C102" s="49">
        <f t="shared" si="5"/>
        <v>0</v>
      </c>
      <c r="D102" s="49">
        <f t="array" ref="D102">IFERROR(
SUM(
IF(
'PORTIFÓLIO'!$C$4:$C$564=$A102,
N(INDEX('PORTIFÓLIO'!$J$4:$Q$564,,MATCH(D$2,'PORTIFÓLIO'!$J$3:$Q$3,0))) *
N('PORTIFÓLIO'!$S$4:$S$564),
0
)
),
0)</f>
        <v>0</v>
      </c>
      <c r="E102" s="49">
        <f t="shared" si="6"/>
        <v>0</v>
      </c>
      <c r="F102" s="49">
        <f t="array" ref="F102">IFERROR(
SUM(
IF(
'PORTIFÓLIO'!$C$4:$C$564=$A102,
N(INDEX('PORTIFÓLIO'!$J$4:$Q$564,,MATCH(F$2,'PORTIFÓLIO'!$J$3:$Q$3,0))) *
N('PORTIFÓLIO'!$S$4:$S$564),
0
)
),
0)</f>
        <v>0</v>
      </c>
      <c r="G102" s="47">
        <f t="shared" si="7"/>
        <v>0</v>
      </c>
      <c r="H102" s="49">
        <f t="array" ref="H102">IFERROR(
SUM(
IF(
'PORTIFÓLIO'!$C$4:$C$564=$A102,
N(INDEX('PORTIFÓLIO'!$J$4:$Q$564,,MATCH(H$2,'PORTIFÓLIO'!$J$3:$Q$3,0))) *
N('PORTIFÓLIO'!$S$4:$S$564),
0
)
),
0)</f>
        <v>0</v>
      </c>
      <c r="I102" s="47">
        <f t="shared" si="8"/>
        <v>0</v>
      </c>
      <c r="J102" s="49">
        <f t="array" ref="J102">IFERROR(
SUM(
IF(
'PORTIFÓLIO'!$C$4:$C$564=$A102,
N(INDEX('PORTIFÓLIO'!$J$4:$Q$564,,MATCH(J$2,'PORTIFÓLIO'!$J$3:$Q$3,0))) *
N('PORTIFÓLIO'!$S$4:$S$564),
0
)
),
0)</f>
        <v>0</v>
      </c>
      <c r="K102" s="47">
        <f t="shared" si="9"/>
        <v>0</v>
      </c>
      <c r="L102" s="49">
        <f t="array" ref="L102">IFERROR(
SUM(
IF(
'PORTIFÓLIO'!$C$4:$C$564=$A102,
N(INDEX('PORTIFÓLIO'!$J$4:$Q$564,,MATCH(L$2,'PORTIFÓLIO'!$J$3:$Q$3,0))) *
N('PORTIFÓLIO'!$S$4:$S$564),
0
)
),
0)</f>
        <v>0</v>
      </c>
      <c r="M102" s="47">
        <f t="shared" si="10"/>
        <v>0</v>
      </c>
      <c r="N102" s="49">
        <f t="array" ref="N102">IFERROR(
SUM(
IF(
'PORTIFÓLIO'!$C$4:$C$564=$A102,
N(INDEX('PORTIFÓLIO'!$J$4:$Q$564,,MATCH(N$2,'PORTIFÓLIO'!$J$3:$Q$3,0))) *
N('PORTIFÓLIO'!$S$4:$S$564),
0
)
),
0)</f>
        <v>0</v>
      </c>
      <c r="O102" s="49">
        <f t="shared" si="11"/>
        <v>0</v>
      </c>
      <c r="P102" s="49">
        <f t="array" ref="P102">IFERROR(
SUM(
IF(
'PORTIFÓLIO'!$C$4:$C$564=$A102,
N(INDEX('PORTIFÓLIO'!$J$4:$Q$564,,MATCH(P$2,'PORTIFÓLIO'!$J$3:$Q$3,0))) *
N('PORTIFÓLIO'!$S$4:$S$564),
0
)
),
0)</f>
        <v>0</v>
      </c>
      <c r="Q102" s="49">
        <f t="shared" si="12"/>
        <v>0</v>
      </c>
      <c r="R102" s="49">
        <f t="shared" si="2"/>
        <v>0</v>
      </c>
      <c r="S102" s="49">
        <f t="shared" si="13"/>
        <v>0</v>
      </c>
    </row>
    <row r="103" ht="15.75" hidden="1" customHeight="1" outlineLevel="1">
      <c r="A103" s="48"/>
      <c r="B103" s="49">
        <f t="array" ref="B103">IFERROR(
SUM(
IF(
'PORTIFÓLIO'!$C$4:$C$564=$A103,
N(INDEX('PORTIFÓLIO'!$J$4:$Q$564,,MATCH(B$2,'PORTIFÓLIO'!$J$3:$Q$3,0))) *
N('PORTIFÓLIO'!$S$4:$S$564),
0
)
),
0)</f>
        <v>0</v>
      </c>
      <c r="C103" s="49">
        <f t="shared" si="5"/>
        <v>0</v>
      </c>
      <c r="D103" s="49">
        <f t="array" ref="D103">IFERROR(
SUM(
IF(
'PORTIFÓLIO'!$C$4:$C$564=$A103,
N(INDEX('PORTIFÓLIO'!$J$4:$Q$564,,MATCH(D$2,'PORTIFÓLIO'!$J$3:$Q$3,0))) *
N('PORTIFÓLIO'!$S$4:$S$564),
0
)
),
0)</f>
        <v>0</v>
      </c>
      <c r="E103" s="49">
        <f t="shared" si="6"/>
        <v>0</v>
      </c>
      <c r="F103" s="49">
        <f t="array" ref="F103">IFERROR(
SUM(
IF(
'PORTIFÓLIO'!$C$4:$C$564=$A103,
N(INDEX('PORTIFÓLIO'!$J$4:$Q$564,,MATCH(F$2,'PORTIFÓLIO'!$J$3:$Q$3,0))) *
N('PORTIFÓLIO'!$S$4:$S$564),
0
)
),
0)</f>
        <v>0</v>
      </c>
      <c r="G103" s="47">
        <f t="shared" si="7"/>
        <v>0</v>
      </c>
      <c r="H103" s="49">
        <f t="array" ref="H103">IFERROR(
SUM(
IF(
'PORTIFÓLIO'!$C$4:$C$564=$A103,
N(INDEX('PORTIFÓLIO'!$J$4:$Q$564,,MATCH(H$2,'PORTIFÓLIO'!$J$3:$Q$3,0))) *
N('PORTIFÓLIO'!$S$4:$S$564),
0
)
),
0)</f>
        <v>0</v>
      </c>
      <c r="I103" s="47">
        <f t="shared" si="8"/>
        <v>0</v>
      </c>
      <c r="J103" s="49">
        <f t="array" ref="J103">IFERROR(
SUM(
IF(
'PORTIFÓLIO'!$C$4:$C$564=$A103,
N(INDEX('PORTIFÓLIO'!$J$4:$Q$564,,MATCH(J$2,'PORTIFÓLIO'!$J$3:$Q$3,0))) *
N('PORTIFÓLIO'!$S$4:$S$564),
0
)
),
0)</f>
        <v>0</v>
      </c>
      <c r="K103" s="47">
        <f t="shared" si="9"/>
        <v>0</v>
      </c>
      <c r="L103" s="49">
        <f t="array" ref="L103">IFERROR(
SUM(
IF(
'PORTIFÓLIO'!$C$4:$C$564=$A103,
N(INDEX('PORTIFÓLIO'!$J$4:$Q$564,,MATCH(L$2,'PORTIFÓLIO'!$J$3:$Q$3,0))) *
N('PORTIFÓLIO'!$S$4:$S$564),
0
)
),
0)</f>
        <v>0</v>
      </c>
      <c r="M103" s="47">
        <f t="shared" si="10"/>
        <v>0</v>
      </c>
      <c r="N103" s="49">
        <f t="array" ref="N103">IFERROR(
SUM(
IF(
'PORTIFÓLIO'!$C$4:$C$564=$A103,
N(INDEX('PORTIFÓLIO'!$J$4:$Q$564,,MATCH(N$2,'PORTIFÓLIO'!$J$3:$Q$3,0))) *
N('PORTIFÓLIO'!$S$4:$S$564),
0
)
),
0)</f>
        <v>0</v>
      </c>
      <c r="O103" s="49">
        <f t="shared" si="11"/>
        <v>0</v>
      </c>
      <c r="P103" s="49">
        <f t="array" ref="P103">IFERROR(
SUM(
IF(
'PORTIFÓLIO'!$C$4:$C$564=$A103,
N(INDEX('PORTIFÓLIO'!$J$4:$Q$564,,MATCH(P$2,'PORTIFÓLIO'!$J$3:$Q$3,0))) *
N('PORTIFÓLIO'!$S$4:$S$564),
0
)
),
0)</f>
        <v>0</v>
      </c>
      <c r="Q103" s="49">
        <f t="shared" si="12"/>
        <v>0</v>
      </c>
      <c r="R103" s="49">
        <f t="shared" si="2"/>
        <v>0</v>
      </c>
      <c r="S103" s="49">
        <f t="shared" si="13"/>
        <v>0</v>
      </c>
    </row>
    <row r="104" ht="15.75" customHeight="1" collapsed="1">
      <c r="A104" s="46" t="s">
        <v>208</v>
      </c>
      <c r="B104" s="47">
        <f>SUM(B105:B174)</f>
        <v>118450.5581</v>
      </c>
      <c r="C104" s="47">
        <f t="shared" si="5"/>
        <v>241.7358328</v>
      </c>
      <c r="D104" s="47">
        <f>SUM(D105:D174)</f>
        <v>136217.5056</v>
      </c>
      <c r="E104" s="47">
        <f t="shared" si="6"/>
        <v>454.058352</v>
      </c>
      <c r="F104" s="47">
        <f>SUM(F105:F174)</f>
        <v>99892.83744</v>
      </c>
      <c r="G104" s="47">
        <f t="shared" si="7"/>
        <v>454.058352</v>
      </c>
      <c r="H104" s="47">
        <f>SUM(H105:H174)</f>
        <v>0</v>
      </c>
      <c r="I104" s="47">
        <f t="shared" si="8"/>
        <v>0</v>
      </c>
      <c r="J104" s="47">
        <f>SUM(J105:J174)</f>
        <v>6711.55488</v>
      </c>
      <c r="K104" s="47">
        <f t="shared" si="9"/>
        <v>17.84988</v>
      </c>
      <c r="L104" s="47">
        <f>SUM(L105:L174)</f>
        <v>75755.30688</v>
      </c>
      <c r="M104" s="47">
        <f t="shared" si="10"/>
        <v>344.342304</v>
      </c>
      <c r="N104" s="47">
        <f>SUM(N105:N174)</f>
        <v>731102.872</v>
      </c>
      <c r="O104" s="47">
        <f t="shared" si="11"/>
        <v>600.2486634</v>
      </c>
      <c r="P104" s="47">
        <f>SUM(P105:P174)</f>
        <v>186859.607</v>
      </c>
      <c r="Q104" s="47">
        <f t="shared" si="12"/>
        <v>583.936272</v>
      </c>
      <c r="R104" s="47">
        <f t="shared" si="2"/>
        <v>1255097.405</v>
      </c>
      <c r="S104" s="47">
        <f t="shared" si="13"/>
        <v>375.3281712</v>
      </c>
    </row>
    <row r="105" ht="15.75" hidden="1" customHeight="1" outlineLevel="1">
      <c r="A105" s="48" t="str">
        <f>IFERROR(__xludf.DUMMYFUNCTION("UNIQUE(FILTER('PORTIFÓLIO'!C:C, 'PORTIFÓLIO'!B:B=""FUNGICIDA""))"),"ACROSS")</f>
        <v>ACROSS</v>
      </c>
      <c r="B105" s="49">
        <f t="array" ref="B105">IFERROR(
SUM(
IF(
'PORTIFÓLIO'!$C$4:$C$564=$A105,
N(INDEX('PORTIFÓLIO'!$J$4:$Q$564,,MATCH(B$2,'PORTIFÓLIO'!$J$3:$Q$3,0))) *
N('PORTIFÓLIO'!$S$4:$S$564),
0
)
),
0)</f>
        <v>0</v>
      </c>
      <c r="C105" s="49">
        <f t="shared" si="5"/>
        <v>0</v>
      </c>
      <c r="D105" s="49">
        <f t="array" ref="D105">IFERROR(
SUM(
IF(
'PORTIFÓLIO'!$C$4:$C$564=$A105,
N(INDEX('PORTIFÓLIO'!$J$4:$Q$564,,MATCH(D$2,'PORTIFÓLIO'!$J$3:$Q$3,0))) *
N('PORTIFÓLIO'!$S$4:$S$564),
0
)
),
0)</f>
        <v>0</v>
      </c>
      <c r="E105" s="49">
        <f t="shared" si="6"/>
        <v>0</v>
      </c>
      <c r="F105" s="49">
        <f t="array" ref="F105">IFERROR(
SUM(
IF(
'PORTIFÓLIO'!$C$4:$C$564=$A105,
N(INDEX('PORTIFÓLIO'!$J$4:$Q$564,,MATCH(F$2,'PORTIFÓLIO'!$J$3:$Q$3,0))) *
N('PORTIFÓLIO'!$S$4:$S$564),
0
)
),
0)</f>
        <v>0</v>
      </c>
      <c r="G105" s="47">
        <f t="shared" si="7"/>
        <v>0</v>
      </c>
      <c r="H105" s="49">
        <f t="array" ref="H105">IFERROR(
SUM(
IF(
'PORTIFÓLIO'!$C$4:$C$564=$A105,
N(INDEX('PORTIFÓLIO'!$J$4:$Q$564,,MATCH(H$2,'PORTIFÓLIO'!$J$3:$Q$3,0))) *
N('PORTIFÓLIO'!$S$4:$S$564),
0
)
),
0)</f>
        <v>0</v>
      </c>
      <c r="I105" s="47">
        <f t="shared" si="8"/>
        <v>0</v>
      </c>
      <c r="J105" s="49">
        <f t="array" ref="J105">IFERROR(
SUM(
IF(
'PORTIFÓLIO'!$C$4:$C$564=$A105,
N(INDEX('PORTIFÓLIO'!$J$4:$Q$564,,MATCH(J$2,'PORTIFÓLIO'!$J$3:$Q$3,0))) *
N('PORTIFÓLIO'!$S$4:$S$564),
0
)
),
0)</f>
        <v>0</v>
      </c>
      <c r="K105" s="47">
        <f t="shared" si="9"/>
        <v>0</v>
      </c>
      <c r="L105" s="49">
        <f t="array" ref="L105">IFERROR(
SUM(
IF(
'PORTIFÓLIO'!$C$4:$C$564=$A105,
N(INDEX('PORTIFÓLIO'!$J$4:$Q$564,,MATCH(L$2,'PORTIFÓLIO'!$J$3:$Q$3,0))) *
N('PORTIFÓLIO'!$S$4:$S$564),
0
)
),
0)</f>
        <v>0</v>
      </c>
      <c r="M105" s="47">
        <f t="shared" si="10"/>
        <v>0</v>
      </c>
      <c r="N105" s="49">
        <f t="array" ref="N105">IFERROR(
SUM(
IF(
'PORTIFÓLIO'!$C$4:$C$564=$A105,
N(INDEX('PORTIFÓLIO'!$J$4:$Q$564,,MATCH(N$2,'PORTIFÓLIO'!$J$3:$Q$3,0))) *
N('PORTIFÓLIO'!$S$4:$S$564),
0
)
),
0)</f>
        <v>0</v>
      </c>
      <c r="O105" s="49">
        <f t="shared" si="11"/>
        <v>0</v>
      </c>
      <c r="P105" s="49">
        <f t="array" ref="P105">IFERROR(
SUM(
IF(
'PORTIFÓLIO'!$C$4:$C$564=$A105,
N(INDEX('PORTIFÓLIO'!$J$4:$Q$564,,MATCH(P$2,'PORTIFÓLIO'!$J$3:$Q$3,0))) *
N('PORTIFÓLIO'!$S$4:$S$564),
0
)
),
0)</f>
        <v>0</v>
      </c>
      <c r="Q105" s="49">
        <f t="shared" si="12"/>
        <v>0</v>
      </c>
      <c r="R105" s="49">
        <f t="shared" si="2"/>
        <v>0</v>
      </c>
      <c r="S105" s="49">
        <f t="shared" si="13"/>
        <v>0</v>
      </c>
    </row>
    <row r="106" ht="15.75" hidden="1" customHeight="1" outlineLevel="1">
      <c r="A106" s="48" t="str">
        <f>IFERROR(__xludf.DUMMYFUNCTION("""COMPUTED_VALUE"""),"AZIMUT")</f>
        <v>AZIMUT</v>
      </c>
      <c r="B106" s="49">
        <f t="array" ref="B106">IFERROR(
SUM(
IF(
'PORTIFÓLIO'!$C$4:$C$564=$A106,
N(INDEX('PORTIFÓLIO'!$J$4:$Q$564,,MATCH(B$2,'PORTIFÓLIO'!$J$3:$Q$3,0))) *
N('PORTIFÓLIO'!$S$4:$S$564),
0
)
),
0)</f>
        <v>25966.7856</v>
      </c>
      <c r="C106" s="49">
        <f t="shared" si="5"/>
        <v>52.99344</v>
      </c>
      <c r="D106" s="49">
        <f t="array" ref="D106">IFERROR(
SUM(
IF(
'PORTIFÓLIO'!$C$4:$C$564=$A106,
N(INDEX('PORTIFÓLIO'!$J$4:$Q$564,,MATCH(D$2,'PORTIFÓLIO'!$J$3:$Q$3,0))) *
N('PORTIFÓLIO'!$S$4:$S$564),
0
)
),
0)</f>
        <v>10598.688</v>
      </c>
      <c r="E106" s="49">
        <f t="shared" si="6"/>
        <v>35.32896</v>
      </c>
      <c r="F106" s="49">
        <f t="array" ref="F106">IFERROR(
SUM(
IF(
'PORTIFÓLIO'!$C$4:$C$564=$A106,
N(INDEX('PORTIFÓLIO'!$J$4:$Q$564,,MATCH(F$2,'PORTIFÓLIO'!$J$3:$Q$3,0))) *
N('PORTIFÓLIO'!$S$4:$S$564),
0
)
),
0)</f>
        <v>7772.3712</v>
      </c>
      <c r="G106" s="47">
        <f t="shared" si="7"/>
        <v>35.32896</v>
      </c>
      <c r="H106" s="49">
        <f t="array" ref="H106">IFERROR(
SUM(
IF(
'PORTIFÓLIO'!$C$4:$C$564=$A106,
N(INDEX('PORTIFÓLIO'!$J$4:$Q$564,,MATCH(H$2,'PORTIFÓLIO'!$J$3:$Q$3,0))) *
N('PORTIFÓLIO'!$S$4:$S$564),
0
)
),
0)</f>
        <v>0</v>
      </c>
      <c r="I106" s="47">
        <f t="shared" si="8"/>
        <v>0</v>
      </c>
      <c r="J106" s="49">
        <f t="array" ref="J106">IFERROR(
SUM(
IF(
'PORTIFÓLIO'!$C$4:$C$564=$A106,
N(INDEX('PORTIFÓLIO'!$J$4:$Q$564,,MATCH(J$2,'PORTIFÓLIO'!$J$3:$Q$3,0))) *
N('PORTIFÓLIO'!$S$4:$S$564),
0
)
),
0)</f>
        <v>4822.40304</v>
      </c>
      <c r="K106" s="47">
        <f t="shared" si="9"/>
        <v>12.82554</v>
      </c>
      <c r="L106" s="49">
        <f t="array" ref="L106">IFERROR(
SUM(
IF(
'PORTIFÓLIO'!$C$4:$C$564=$A106,
N(INDEX('PORTIFÓLIO'!$J$4:$Q$564,,MATCH(L$2,'PORTIFÓLIO'!$J$3:$Q$3,0))) *
N('PORTIFÓLIO'!$S$4:$S$564),
0
)
),
0)</f>
        <v>0</v>
      </c>
      <c r="M106" s="47">
        <f t="shared" si="10"/>
        <v>0</v>
      </c>
      <c r="N106" s="49">
        <f t="array" ref="N106">IFERROR(
SUM(
IF(
'PORTIFÓLIO'!$C$4:$C$564=$A106,
N(INDEX('PORTIFÓLIO'!$J$4:$Q$564,,MATCH(N$2,'PORTIFÓLIO'!$J$3:$Q$3,0))) *
N('PORTIFÓLIO'!$S$4:$S$564),
0
)
),
0)</f>
        <v>11040.3</v>
      </c>
      <c r="O106" s="49">
        <f t="shared" si="11"/>
        <v>9.064285714</v>
      </c>
      <c r="P106" s="49">
        <f t="array" ref="P106">IFERROR(
SUM(
IF(
'PORTIFÓLIO'!$C$4:$C$564=$A106,
N(INDEX('PORTIFÓLIO'!$J$4:$Q$564,,MATCH(P$2,'PORTIFÓLIO'!$J$3:$Q$3,0))) *
N('PORTIFÓLIO'!$S$4:$S$564),
0
)
),
0)</f>
        <v>5652.6336</v>
      </c>
      <c r="Q106" s="49">
        <f t="shared" si="12"/>
        <v>17.66448</v>
      </c>
      <c r="R106" s="49">
        <f t="shared" si="2"/>
        <v>58080.81024</v>
      </c>
      <c r="S106" s="49">
        <f t="shared" si="13"/>
        <v>17.36866335</v>
      </c>
    </row>
    <row r="107" ht="15.75" hidden="1" customHeight="1" outlineLevel="1">
      <c r="A107" s="48" t="str">
        <f>IFERROR(__xludf.DUMMYFUNCTION("""COMPUTED_VALUE"""),"BLINDADO TOV")</f>
        <v>BLINDADO TOV</v>
      </c>
      <c r="B107" s="49">
        <f t="array" ref="B107">IFERROR(
SUM(
IF(
'PORTIFÓLIO'!$C$4:$C$564=$A107,
N(INDEX('PORTIFÓLIO'!$J$4:$Q$564,,MATCH(B$2,'PORTIFÓLIO'!$J$3:$Q$3,0))) *
N('PORTIFÓLIO'!$S$4:$S$564),
0
)
),
0)</f>
        <v>0</v>
      </c>
      <c r="C107" s="49">
        <f t="shared" si="5"/>
        <v>0</v>
      </c>
      <c r="D107" s="49">
        <f t="array" ref="D107">IFERROR(
SUM(
IF(
'PORTIFÓLIO'!$C$4:$C$564=$A107,
N(INDEX('PORTIFÓLIO'!$J$4:$Q$564,,MATCH(D$2,'PORTIFÓLIO'!$J$3:$Q$3,0))) *
N('PORTIFÓLIO'!$S$4:$S$564),
0
)
),
0)</f>
        <v>0</v>
      </c>
      <c r="E107" s="49">
        <f t="shared" si="6"/>
        <v>0</v>
      </c>
      <c r="F107" s="49">
        <f t="array" ref="F107">IFERROR(
SUM(
IF(
'PORTIFÓLIO'!$C$4:$C$564=$A107,
N(INDEX('PORTIFÓLIO'!$J$4:$Q$564,,MATCH(F$2,'PORTIFÓLIO'!$J$3:$Q$3,0))) *
N('PORTIFÓLIO'!$S$4:$S$564),
0
)
),
0)</f>
        <v>0</v>
      </c>
      <c r="G107" s="47">
        <f t="shared" si="7"/>
        <v>0</v>
      </c>
      <c r="H107" s="49">
        <f t="array" ref="H107">IFERROR(
SUM(
IF(
'PORTIFÓLIO'!$C$4:$C$564=$A107,
N(INDEX('PORTIFÓLIO'!$J$4:$Q$564,,MATCH(H$2,'PORTIFÓLIO'!$J$3:$Q$3,0))) *
N('PORTIFÓLIO'!$S$4:$S$564),
0
)
),
0)</f>
        <v>0</v>
      </c>
      <c r="I107" s="47">
        <f t="shared" si="8"/>
        <v>0</v>
      </c>
      <c r="J107" s="49">
        <f t="array" ref="J107">IFERROR(
SUM(
IF(
'PORTIFÓLIO'!$C$4:$C$564=$A107,
N(INDEX('PORTIFÓLIO'!$J$4:$Q$564,,MATCH(J$2,'PORTIFÓLIO'!$J$3:$Q$3,0))) *
N('PORTIFÓLIO'!$S$4:$S$564),
0
)
),
0)</f>
        <v>0</v>
      </c>
      <c r="K107" s="47">
        <f t="shared" si="9"/>
        <v>0</v>
      </c>
      <c r="L107" s="49">
        <f t="array" ref="L107">IFERROR(
SUM(
IF(
'PORTIFÓLIO'!$C$4:$C$564=$A107,
N(INDEX('PORTIFÓLIO'!$J$4:$Q$564,,MATCH(L$2,'PORTIFÓLIO'!$J$3:$Q$3,0))) *
N('PORTIFÓLIO'!$S$4:$S$564),
0
)
),
0)</f>
        <v>0</v>
      </c>
      <c r="M107" s="47">
        <f t="shared" si="10"/>
        <v>0</v>
      </c>
      <c r="N107" s="49">
        <f t="array" ref="N107">IFERROR(
SUM(
IF(
'PORTIFÓLIO'!$C$4:$C$564=$A107,
N(INDEX('PORTIFÓLIO'!$J$4:$Q$564,,MATCH(N$2,'PORTIFÓLIO'!$J$3:$Q$3,0))) *
N('PORTIFÓLIO'!$S$4:$S$564),
0
)
),
0)</f>
        <v>0</v>
      </c>
      <c r="O107" s="49">
        <f t="shared" si="11"/>
        <v>0</v>
      </c>
      <c r="P107" s="49">
        <f t="array" ref="P107">IFERROR(
SUM(
IF(
'PORTIFÓLIO'!$C$4:$C$564=$A107,
N(INDEX('PORTIFÓLIO'!$J$4:$Q$564,,MATCH(P$2,'PORTIFÓLIO'!$J$3:$Q$3,0))) *
N('PORTIFÓLIO'!$S$4:$S$564),
0
)
),
0)</f>
        <v>0</v>
      </c>
      <c r="Q107" s="49">
        <f t="shared" si="12"/>
        <v>0</v>
      </c>
      <c r="R107" s="49">
        <f t="shared" si="2"/>
        <v>0</v>
      </c>
      <c r="S107" s="49">
        <f t="shared" si="13"/>
        <v>0</v>
      </c>
    </row>
    <row r="108" ht="15.75" hidden="1" customHeight="1" outlineLevel="1">
      <c r="A108" s="48" t="str">
        <f>IFERROR(__xludf.DUMMYFUNCTION("""COMPUTED_VALUE"""),"ABACUS HC")</f>
        <v>ABACUS HC</v>
      </c>
      <c r="B108" s="49">
        <f t="array" ref="B108">IFERROR(
SUM(
IF(
'PORTIFÓLIO'!$C$4:$C$564=$A108,
N(INDEX('PORTIFÓLIO'!$J$4:$Q$564,,MATCH(B$2,'PORTIFÓLIO'!$J$3:$Q$3,0))) *
N('PORTIFÓLIO'!$S$4:$S$564),
0
)
),
0)</f>
        <v>0</v>
      </c>
      <c r="C108" s="49">
        <f t="shared" si="5"/>
        <v>0</v>
      </c>
      <c r="D108" s="49">
        <f t="array" ref="D108">IFERROR(
SUM(
IF(
'PORTIFÓLIO'!$C$4:$C$564=$A108,
N(INDEX('PORTIFÓLIO'!$J$4:$Q$564,,MATCH(D$2,'PORTIFÓLIO'!$J$3:$Q$3,0))) *
N('PORTIFÓLIO'!$S$4:$S$564),
0
)
),
0)</f>
        <v>0</v>
      </c>
      <c r="E108" s="49">
        <f t="shared" si="6"/>
        <v>0</v>
      </c>
      <c r="F108" s="49">
        <f t="array" ref="F108">IFERROR(
SUM(
IF(
'PORTIFÓLIO'!$C$4:$C$564=$A108,
N(INDEX('PORTIFÓLIO'!$J$4:$Q$564,,MATCH(F$2,'PORTIFÓLIO'!$J$3:$Q$3,0))) *
N('PORTIFÓLIO'!$S$4:$S$564),
0
)
),
0)</f>
        <v>0</v>
      </c>
      <c r="G108" s="47">
        <f t="shared" si="7"/>
        <v>0</v>
      </c>
      <c r="H108" s="49">
        <f t="array" ref="H108">IFERROR(
SUM(
IF(
'PORTIFÓLIO'!$C$4:$C$564=$A108,
N(INDEX('PORTIFÓLIO'!$J$4:$Q$564,,MATCH(H$2,'PORTIFÓLIO'!$J$3:$Q$3,0))) *
N('PORTIFÓLIO'!$S$4:$S$564),
0
)
),
0)</f>
        <v>0</v>
      </c>
      <c r="I108" s="47">
        <f t="shared" si="8"/>
        <v>0</v>
      </c>
      <c r="J108" s="49">
        <f t="array" ref="J108">IFERROR(
SUM(
IF(
'PORTIFÓLIO'!$C$4:$C$564=$A108,
N(INDEX('PORTIFÓLIO'!$J$4:$Q$564,,MATCH(J$2,'PORTIFÓLIO'!$J$3:$Q$3,0))) *
N('PORTIFÓLIO'!$S$4:$S$564),
0
)
),
0)</f>
        <v>0</v>
      </c>
      <c r="K108" s="47">
        <f t="shared" si="9"/>
        <v>0</v>
      </c>
      <c r="L108" s="49">
        <f t="array" ref="L108">IFERROR(
SUM(
IF(
'PORTIFÓLIO'!$C$4:$C$564=$A108,
N(INDEX('PORTIFÓLIO'!$J$4:$Q$564,,MATCH(L$2,'PORTIFÓLIO'!$J$3:$Q$3,0))) *
N('PORTIFÓLIO'!$S$4:$S$564),
0
)
),
0)</f>
        <v>0</v>
      </c>
      <c r="M108" s="47">
        <f t="shared" si="10"/>
        <v>0</v>
      </c>
      <c r="N108" s="49">
        <f t="array" ref="N108">IFERROR(
SUM(
IF(
'PORTIFÓLIO'!$C$4:$C$564=$A108,
N(INDEX('PORTIFÓLIO'!$J$4:$Q$564,,MATCH(N$2,'PORTIFÓLIO'!$J$3:$Q$3,0))) *
N('PORTIFÓLIO'!$S$4:$S$564),
0
)
),
0)</f>
        <v>0</v>
      </c>
      <c r="O108" s="49">
        <f t="shared" si="11"/>
        <v>0</v>
      </c>
      <c r="P108" s="49">
        <f t="array" ref="P108">IFERROR(
SUM(
IF(
'PORTIFÓLIO'!$C$4:$C$564=$A108,
N(INDEX('PORTIFÓLIO'!$J$4:$Q$564,,MATCH(P$2,'PORTIFÓLIO'!$J$3:$Q$3,0))) *
N('PORTIFÓLIO'!$S$4:$S$564),
0
)
),
0)</f>
        <v>0</v>
      </c>
      <c r="Q108" s="49">
        <f t="shared" si="12"/>
        <v>0</v>
      </c>
      <c r="R108" s="49">
        <f t="shared" si="2"/>
        <v>0</v>
      </c>
      <c r="S108" s="49">
        <f t="shared" si="13"/>
        <v>0</v>
      </c>
    </row>
    <row r="109" ht="15.75" hidden="1" customHeight="1" outlineLevel="1">
      <c r="A109" s="48" t="str">
        <f>IFERROR(__xludf.DUMMYFUNCTION("""COMPUTED_VALUE"""),"BELYAN")</f>
        <v>BELYAN</v>
      </c>
      <c r="B109" s="49">
        <f t="array" ref="B109">IFERROR(
SUM(
IF(
'PORTIFÓLIO'!$C$4:$C$564=$A109,
N(INDEX('PORTIFÓLIO'!$J$4:$Q$564,,MATCH(B$2,'PORTIFÓLIO'!$J$3:$Q$3,0))) *
N('PORTIFÓLIO'!$S$4:$S$564),
0
)
),
0)</f>
        <v>0</v>
      </c>
      <c r="C109" s="49">
        <f t="shared" si="5"/>
        <v>0</v>
      </c>
      <c r="D109" s="49">
        <f t="array" ref="D109">IFERROR(
SUM(
IF(
'PORTIFÓLIO'!$C$4:$C$564=$A109,
N(INDEX('PORTIFÓLIO'!$J$4:$Q$564,,MATCH(D$2,'PORTIFÓLIO'!$J$3:$Q$3,0))) *
N('PORTIFÓLIO'!$S$4:$S$564),
0
)
),
0)</f>
        <v>35816.256</v>
      </c>
      <c r="E109" s="49">
        <f t="shared" si="6"/>
        <v>119.38752</v>
      </c>
      <c r="F109" s="49">
        <f t="array" ref="F109">IFERROR(
SUM(
IF(
'PORTIFÓLIO'!$C$4:$C$564=$A109,
N(INDEX('PORTIFÓLIO'!$J$4:$Q$564,,MATCH(F$2,'PORTIFÓLIO'!$J$3:$Q$3,0))) *
N('PORTIFÓLIO'!$S$4:$S$564),
0
)
),
0)</f>
        <v>26265.2544</v>
      </c>
      <c r="G109" s="47">
        <f t="shared" si="7"/>
        <v>119.38752</v>
      </c>
      <c r="H109" s="49">
        <f t="array" ref="H109">IFERROR(
SUM(
IF(
'PORTIFÓLIO'!$C$4:$C$564=$A109,
N(INDEX('PORTIFÓLIO'!$J$4:$Q$564,,MATCH(H$2,'PORTIFÓLIO'!$J$3:$Q$3,0))) *
N('PORTIFÓLIO'!$S$4:$S$564),
0
)
),
0)</f>
        <v>0</v>
      </c>
      <c r="I109" s="47">
        <f t="shared" si="8"/>
        <v>0</v>
      </c>
      <c r="J109" s="49">
        <f t="array" ref="J109">IFERROR(
SUM(
IF(
'PORTIFÓLIO'!$C$4:$C$564=$A109,
N(INDEX('PORTIFÓLIO'!$J$4:$Q$564,,MATCH(J$2,'PORTIFÓLIO'!$J$3:$Q$3,0))) *
N('PORTIFÓLIO'!$S$4:$S$564),
0
)
),
0)</f>
        <v>0</v>
      </c>
      <c r="K109" s="47">
        <f t="shared" si="9"/>
        <v>0</v>
      </c>
      <c r="L109" s="49">
        <f t="array" ref="L109">IFERROR(
SUM(
IF(
'PORTIFÓLIO'!$C$4:$C$564=$A109,
N(INDEX('PORTIFÓLIO'!$J$4:$Q$564,,MATCH(L$2,'PORTIFÓLIO'!$J$3:$Q$3,0))) *
N('PORTIFÓLIO'!$S$4:$S$564),
0
)
),
0)</f>
        <v>26265.2544</v>
      </c>
      <c r="M109" s="47">
        <f t="shared" si="10"/>
        <v>119.38752</v>
      </c>
      <c r="N109" s="49">
        <f t="array" ref="N109">IFERROR(
SUM(
IF(
'PORTIFÓLIO'!$C$4:$C$564=$A109,
N(INDEX('PORTIFÓLIO'!$J$4:$Q$564,,MATCH(N$2,'PORTIFÓLIO'!$J$3:$Q$3,0))) *
N('PORTIFÓLIO'!$S$4:$S$564),
0
)
),
0)</f>
        <v>145413.9994</v>
      </c>
      <c r="O109" s="49">
        <f t="shared" si="11"/>
        <v>119.38752</v>
      </c>
      <c r="P109" s="49">
        <f t="array" ref="P109">IFERROR(
SUM(
IF(
'PORTIFÓLIO'!$C$4:$C$564=$A109,
N(INDEX('PORTIFÓLIO'!$J$4:$Q$564,,MATCH(P$2,'PORTIFÓLIO'!$J$3:$Q$3,0))) *
N('PORTIFÓLIO'!$S$4:$S$564),
0
)
),
0)</f>
        <v>38204.0064</v>
      </c>
      <c r="Q109" s="49">
        <f t="shared" si="12"/>
        <v>119.38752</v>
      </c>
      <c r="R109" s="49">
        <f t="shared" si="2"/>
        <v>245699.5162</v>
      </c>
      <c r="S109" s="49">
        <f t="shared" si="13"/>
        <v>73.47473569</v>
      </c>
    </row>
    <row r="110" ht="15.75" hidden="1" customHeight="1" outlineLevel="1">
      <c r="A110" s="48" t="str">
        <f>IFERROR(__xludf.DUMMYFUNCTION("""COMPUTED_VALUE"""),"BLAVITY")</f>
        <v>BLAVITY</v>
      </c>
      <c r="B110" s="49">
        <f t="array" ref="B110">IFERROR(
SUM(
IF(
'PORTIFÓLIO'!$C$4:$C$564=$A110,
N(INDEX('PORTIFÓLIO'!$J$4:$Q$564,,MATCH(B$2,'PORTIFÓLIO'!$J$3:$Q$3,0))) *
N('PORTIFÓLIO'!$S$4:$S$564),
0
)
),
0)</f>
        <v>0</v>
      </c>
      <c r="C110" s="49">
        <f t="shared" si="5"/>
        <v>0</v>
      </c>
      <c r="D110" s="49">
        <f t="array" ref="D110">IFERROR(
SUM(
IF(
'PORTIFÓLIO'!$C$4:$C$564=$A110,
N(INDEX('PORTIFÓLIO'!$J$4:$Q$564,,MATCH(D$2,'PORTIFÓLIO'!$J$3:$Q$3,0))) *
N('PORTIFÓLIO'!$S$4:$S$564),
0
)
),
0)</f>
        <v>0</v>
      </c>
      <c r="E110" s="49">
        <f t="shared" si="6"/>
        <v>0</v>
      </c>
      <c r="F110" s="49">
        <f t="array" ref="F110">IFERROR(
SUM(
IF(
'PORTIFÓLIO'!$C$4:$C$564=$A110,
N(INDEX('PORTIFÓLIO'!$J$4:$Q$564,,MATCH(F$2,'PORTIFÓLIO'!$J$3:$Q$3,0))) *
N('PORTIFÓLIO'!$S$4:$S$564),
0
)
),
0)</f>
        <v>0</v>
      </c>
      <c r="G110" s="47">
        <f t="shared" si="7"/>
        <v>0</v>
      </c>
      <c r="H110" s="49">
        <f t="array" ref="H110">IFERROR(
SUM(
IF(
'PORTIFÓLIO'!$C$4:$C$564=$A110,
N(INDEX('PORTIFÓLIO'!$J$4:$Q$564,,MATCH(H$2,'PORTIFÓLIO'!$J$3:$Q$3,0))) *
N('PORTIFÓLIO'!$S$4:$S$564),
0
)
),
0)</f>
        <v>0</v>
      </c>
      <c r="I110" s="47">
        <f t="shared" si="8"/>
        <v>0</v>
      </c>
      <c r="J110" s="49">
        <f t="array" ref="J110">IFERROR(
SUM(
IF(
'PORTIFÓLIO'!$C$4:$C$564=$A110,
N(INDEX('PORTIFÓLIO'!$J$4:$Q$564,,MATCH(J$2,'PORTIFÓLIO'!$J$3:$Q$3,0))) *
N('PORTIFÓLIO'!$S$4:$S$564),
0
)
),
0)</f>
        <v>0</v>
      </c>
      <c r="K110" s="47">
        <f t="shared" si="9"/>
        <v>0</v>
      </c>
      <c r="L110" s="49">
        <f t="array" ref="L110">IFERROR(
SUM(
IF(
'PORTIFÓLIO'!$C$4:$C$564=$A110,
N(INDEX('PORTIFÓLIO'!$J$4:$Q$564,,MATCH(L$2,'PORTIFÓLIO'!$J$3:$Q$3,0))) *
N('PORTIFÓLIO'!$S$4:$S$564),
0
)
),
0)</f>
        <v>0</v>
      </c>
      <c r="M110" s="47">
        <f t="shared" si="10"/>
        <v>0</v>
      </c>
      <c r="N110" s="49">
        <f t="array" ref="N110">IFERROR(
SUM(
IF(
'PORTIFÓLIO'!$C$4:$C$564=$A110,
N(INDEX('PORTIFÓLIO'!$J$4:$Q$564,,MATCH(N$2,'PORTIFÓLIO'!$J$3:$Q$3,0))) *
N('PORTIFÓLIO'!$S$4:$S$564),
0
)
),
0)</f>
        <v>0</v>
      </c>
      <c r="O110" s="49">
        <f t="shared" si="11"/>
        <v>0</v>
      </c>
      <c r="P110" s="49">
        <f t="array" ref="P110">IFERROR(
SUM(
IF(
'PORTIFÓLIO'!$C$4:$C$564=$A110,
N(INDEX('PORTIFÓLIO'!$J$4:$Q$564,,MATCH(P$2,'PORTIFÓLIO'!$J$3:$Q$3,0))) *
N('PORTIFÓLIO'!$S$4:$S$564),
0
)
),
0)</f>
        <v>0</v>
      </c>
      <c r="Q110" s="49">
        <f t="shared" si="12"/>
        <v>0</v>
      </c>
      <c r="R110" s="49">
        <f t="shared" si="2"/>
        <v>0</v>
      </c>
      <c r="S110" s="49">
        <f t="shared" si="13"/>
        <v>0</v>
      </c>
    </row>
    <row r="111" ht="15.75" hidden="1" customHeight="1" outlineLevel="1">
      <c r="A111" s="48" t="str">
        <f>IFERROR(__xludf.DUMMYFUNCTION("""COMPUTED_VALUE"""),"CANTUS")</f>
        <v>CANTUS</v>
      </c>
      <c r="B111" s="49">
        <f t="array" ref="B111">IFERROR(
SUM(
IF(
'PORTIFÓLIO'!$C$4:$C$564=$A111,
N(INDEX('PORTIFÓLIO'!$J$4:$Q$564,,MATCH(B$2,'PORTIFÓLIO'!$J$3:$Q$3,0))) *
N('PORTIFÓLIO'!$S$4:$S$564),
0
)
),
0)</f>
        <v>0</v>
      </c>
      <c r="C111" s="49">
        <f t="shared" si="5"/>
        <v>0</v>
      </c>
      <c r="D111" s="49">
        <f t="array" ref="D111">IFERROR(
SUM(
IF(
'PORTIFÓLIO'!$C$4:$C$564=$A111,
N(INDEX('PORTIFÓLIO'!$J$4:$Q$564,,MATCH(D$2,'PORTIFÓLIO'!$J$3:$Q$3,0))) *
N('PORTIFÓLIO'!$S$4:$S$564),
0
)
),
0)</f>
        <v>0</v>
      </c>
      <c r="E111" s="49">
        <f t="shared" si="6"/>
        <v>0</v>
      </c>
      <c r="F111" s="49">
        <f t="array" ref="F111">IFERROR(
SUM(
IF(
'PORTIFÓLIO'!$C$4:$C$564=$A111,
N(INDEX('PORTIFÓLIO'!$J$4:$Q$564,,MATCH(F$2,'PORTIFÓLIO'!$J$3:$Q$3,0))) *
N('PORTIFÓLIO'!$S$4:$S$564),
0
)
),
0)</f>
        <v>0</v>
      </c>
      <c r="G111" s="47">
        <f t="shared" si="7"/>
        <v>0</v>
      </c>
      <c r="H111" s="49">
        <f t="array" ref="H111">IFERROR(
SUM(
IF(
'PORTIFÓLIO'!$C$4:$C$564=$A111,
N(INDEX('PORTIFÓLIO'!$J$4:$Q$564,,MATCH(H$2,'PORTIFÓLIO'!$J$3:$Q$3,0))) *
N('PORTIFÓLIO'!$S$4:$S$564),
0
)
),
0)</f>
        <v>0</v>
      </c>
      <c r="I111" s="47">
        <f t="shared" si="8"/>
        <v>0</v>
      </c>
      <c r="J111" s="49">
        <f t="array" ref="J111">IFERROR(
SUM(
IF(
'PORTIFÓLIO'!$C$4:$C$564=$A111,
N(INDEX('PORTIFÓLIO'!$J$4:$Q$564,,MATCH(J$2,'PORTIFÓLIO'!$J$3:$Q$3,0))) *
N('PORTIFÓLIO'!$S$4:$S$564),
0
)
),
0)</f>
        <v>0</v>
      </c>
      <c r="K111" s="47">
        <f t="shared" si="9"/>
        <v>0</v>
      </c>
      <c r="L111" s="49">
        <f t="array" ref="L111">IFERROR(
SUM(
IF(
'PORTIFÓLIO'!$C$4:$C$564=$A111,
N(INDEX('PORTIFÓLIO'!$J$4:$Q$564,,MATCH(L$2,'PORTIFÓLIO'!$J$3:$Q$3,0))) *
N('PORTIFÓLIO'!$S$4:$S$564),
0
)
),
0)</f>
        <v>0</v>
      </c>
      <c r="M111" s="47">
        <f t="shared" si="10"/>
        <v>0</v>
      </c>
      <c r="N111" s="49">
        <f t="array" ref="N111">IFERROR(
SUM(
IF(
'PORTIFÓLIO'!$C$4:$C$564=$A111,
N(INDEX('PORTIFÓLIO'!$J$4:$Q$564,,MATCH(N$2,'PORTIFÓLIO'!$J$3:$Q$3,0))) *
N('PORTIFÓLIO'!$S$4:$S$564),
0
)
),
0)</f>
        <v>0</v>
      </c>
      <c r="O111" s="49">
        <f t="shared" si="11"/>
        <v>0</v>
      </c>
      <c r="P111" s="49">
        <f t="array" ref="P111">IFERROR(
SUM(
IF(
'PORTIFÓLIO'!$C$4:$C$564=$A111,
N(INDEX('PORTIFÓLIO'!$J$4:$Q$564,,MATCH(P$2,'PORTIFÓLIO'!$J$3:$Q$3,0))) *
N('PORTIFÓLIO'!$S$4:$S$564),
0
)
),
0)</f>
        <v>0</v>
      </c>
      <c r="Q111" s="49">
        <f t="shared" si="12"/>
        <v>0</v>
      </c>
      <c r="R111" s="49">
        <f t="shared" si="2"/>
        <v>0</v>
      </c>
      <c r="S111" s="49">
        <f t="shared" si="13"/>
        <v>0</v>
      </c>
    </row>
    <row r="112" ht="15.75" hidden="1" customHeight="1" outlineLevel="1">
      <c r="A112" s="48" t="str">
        <f>IFERROR(__xludf.DUMMYFUNCTION("""COMPUTED_VALUE"""),"KEYRA")</f>
        <v>KEYRA</v>
      </c>
      <c r="B112" s="49">
        <f t="array" ref="B112">IFERROR(
SUM(
IF(
'PORTIFÓLIO'!$C$4:$C$564=$A112,
N(INDEX('PORTIFÓLIO'!$J$4:$Q$564,,MATCH(B$2,'PORTIFÓLIO'!$J$3:$Q$3,0))) *
N('PORTIFÓLIO'!$S$4:$S$564),
0
)
),
0)</f>
        <v>0</v>
      </c>
      <c r="C112" s="49">
        <f t="shared" si="5"/>
        <v>0</v>
      </c>
      <c r="D112" s="49">
        <f t="array" ref="D112">IFERROR(
SUM(
IF(
'PORTIFÓLIO'!$C$4:$C$564=$A112,
N(INDEX('PORTIFÓLIO'!$J$4:$Q$564,,MATCH(D$2,'PORTIFÓLIO'!$J$3:$Q$3,0))) *
N('PORTIFÓLIO'!$S$4:$S$564),
0
)
),
0)</f>
        <v>0</v>
      </c>
      <c r="E112" s="49">
        <f t="shared" si="6"/>
        <v>0</v>
      </c>
      <c r="F112" s="49">
        <f t="array" ref="F112">IFERROR(
SUM(
IF(
'PORTIFÓLIO'!$C$4:$C$564=$A112,
N(INDEX('PORTIFÓLIO'!$J$4:$Q$564,,MATCH(F$2,'PORTIFÓLIO'!$J$3:$Q$3,0))) *
N('PORTIFÓLIO'!$S$4:$S$564),
0
)
),
0)</f>
        <v>0</v>
      </c>
      <c r="G112" s="47">
        <f t="shared" si="7"/>
        <v>0</v>
      </c>
      <c r="H112" s="49">
        <f t="array" ref="H112">IFERROR(
SUM(
IF(
'PORTIFÓLIO'!$C$4:$C$564=$A112,
N(INDEX('PORTIFÓLIO'!$J$4:$Q$564,,MATCH(H$2,'PORTIFÓLIO'!$J$3:$Q$3,0))) *
N('PORTIFÓLIO'!$S$4:$S$564),
0
)
),
0)</f>
        <v>0</v>
      </c>
      <c r="I112" s="47">
        <f t="shared" si="8"/>
        <v>0</v>
      </c>
      <c r="J112" s="49">
        <f t="array" ref="J112">IFERROR(
SUM(
IF(
'PORTIFÓLIO'!$C$4:$C$564=$A112,
N(INDEX('PORTIFÓLIO'!$J$4:$Q$564,,MATCH(J$2,'PORTIFÓLIO'!$J$3:$Q$3,0))) *
N('PORTIFÓLIO'!$S$4:$S$564),
0
)
),
0)</f>
        <v>0</v>
      </c>
      <c r="K112" s="47">
        <f t="shared" si="9"/>
        <v>0</v>
      </c>
      <c r="L112" s="49">
        <f t="array" ref="L112">IFERROR(
SUM(
IF(
'PORTIFÓLIO'!$C$4:$C$564=$A112,
N(INDEX('PORTIFÓLIO'!$J$4:$Q$564,,MATCH(L$2,'PORTIFÓLIO'!$J$3:$Q$3,0))) *
N('PORTIFÓLIO'!$S$4:$S$564),
0
)
),
0)</f>
        <v>0</v>
      </c>
      <c r="M112" s="47">
        <f t="shared" si="10"/>
        <v>0</v>
      </c>
      <c r="N112" s="49">
        <f t="array" ref="N112">IFERROR(
SUM(
IF(
'PORTIFÓLIO'!$C$4:$C$564=$A112,
N(INDEX('PORTIFÓLIO'!$J$4:$Q$564,,MATCH(N$2,'PORTIFÓLIO'!$J$3:$Q$3,0))) *
N('PORTIFÓLIO'!$S$4:$S$564),
0
)
),
0)</f>
        <v>0</v>
      </c>
      <c r="O112" s="49">
        <f t="shared" si="11"/>
        <v>0</v>
      </c>
      <c r="P112" s="49">
        <f t="array" ref="P112">IFERROR(
SUM(
IF(
'PORTIFÓLIO'!$C$4:$C$564=$A112,
N(INDEX('PORTIFÓLIO'!$J$4:$Q$564,,MATCH(P$2,'PORTIFÓLIO'!$J$3:$Q$3,0))) *
N('PORTIFÓLIO'!$S$4:$S$564),
0
)
),
0)</f>
        <v>0</v>
      </c>
      <c r="Q112" s="49">
        <f t="shared" si="12"/>
        <v>0</v>
      </c>
      <c r="R112" s="49">
        <f t="shared" si="2"/>
        <v>0</v>
      </c>
      <c r="S112" s="49">
        <f t="shared" si="13"/>
        <v>0</v>
      </c>
    </row>
    <row r="113" ht="15.75" hidden="1" customHeight="1" outlineLevel="1">
      <c r="A113" s="48" t="str">
        <f>IFERROR(__xludf.DUMMYFUNCTION("""COMPUTED_VALUE"""),"MELYRA")</f>
        <v>MELYRA</v>
      </c>
      <c r="B113" s="49">
        <f t="array" ref="B113">IFERROR(
SUM(
IF(
'PORTIFÓLIO'!$C$4:$C$564=$A113,
N(INDEX('PORTIFÓLIO'!$J$4:$Q$564,,MATCH(B$2,'PORTIFÓLIO'!$J$3:$Q$3,0))) *
N('PORTIFÓLIO'!$S$4:$S$564),
0
)
),
0)</f>
        <v>0</v>
      </c>
      <c r="C113" s="49">
        <f t="shared" si="5"/>
        <v>0</v>
      </c>
      <c r="D113" s="49">
        <f t="array" ref="D113">IFERROR(
SUM(
IF(
'PORTIFÓLIO'!$C$4:$C$564=$A113,
N(INDEX('PORTIFÓLIO'!$J$4:$Q$564,,MATCH(D$2,'PORTIFÓLIO'!$J$3:$Q$3,0))) *
N('PORTIFÓLIO'!$S$4:$S$564),
0
)
),
0)</f>
        <v>0</v>
      </c>
      <c r="E113" s="49">
        <f t="shared" si="6"/>
        <v>0</v>
      </c>
      <c r="F113" s="49">
        <f t="array" ref="F113">IFERROR(
SUM(
IF(
'PORTIFÓLIO'!$C$4:$C$564=$A113,
N(INDEX('PORTIFÓLIO'!$J$4:$Q$564,,MATCH(F$2,'PORTIFÓLIO'!$J$3:$Q$3,0))) *
N('PORTIFÓLIO'!$S$4:$S$564),
0
)
),
0)</f>
        <v>0</v>
      </c>
      <c r="G113" s="47">
        <f t="shared" si="7"/>
        <v>0</v>
      </c>
      <c r="H113" s="49">
        <f t="array" ref="H113">IFERROR(
SUM(
IF(
'PORTIFÓLIO'!$C$4:$C$564=$A113,
N(INDEX('PORTIFÓLIO'!$J$4:$Q$564,,MATCH(H$2,'PORTIFÓLIO'!$J$3:$Q$3,0))) *
N('PORTIFÓLIO'!$S$4:$S$564),
0
)
),
0)</f>
        <v>0</v>
      </c>
      <c r="I113" s="47">
        <f t="shared" si="8"/>
        <v>0</v>
      </c>
      <c r="J113" s="49">
        <f t="array" ref="J113">IFERROR(
SUM(
IF(
'PORTIFÓLIO'!$C$4:$C$564=$A113,
N(INDEX('PORTIFÓLIO'!$J$4:$Q$564,,MATCH(J$2,'PORTIFÓLIO'!$J$3:$Q$3,0))) *
N('PORTIFÓLIO'!$S$4:$S$564),
0
)
),
0)</f>
        <v>0</v>
      </c>
      <c r="K113" s="47">
        <f t="shared" si="9"/>
        <v>0</v>
      </c>
      <c r="L113" s="49">
        <f t="array" ref="L113">IFERROR(
SUM(
IF(
'PORTIFÓLIO'!$C$4:$C$564=$A113,
N(INDEX('PORTIFÓLIO'!$J$4:$Q$564,,MATCH(L$2,'PORTIFÓLIO'!$J$3:$Q$3,0))) *
N('PORTIFÓLIO'!$S$4:$S$564),
0
)
),
0)</f>
        <v>0</v>
      </c>
      <c r="M113" s="47">
        <f t="shared" si="10"/>
        <v>0</v>
      </c>
      <c r="N113" s="49">
        <f t="array" ref="N113">IFERROR(
SUM(
IF(
'PORTIFÓLIO'!$C$4:$C$564=$A113,
N(INDEX('PORTIFÓLIO'!$J$4:$Q$564,,MATCH(N$2,'PORTIFÓLIO'!$J$3:$Q$3,0))) *
N('PORTIFÓLIO'!$S$4:$S$564),
0
)
),
0)</f>
        <v>0</v>
      </c>
      <c r="O113" s="49">
        <f t="shared" si="11"/>
        <v>0</v>
      </c>
      <c r="P113" s="49">
        <f t="array" ref="P113">IFERROR(
SUM(
IF(
'PORTIFÓLIO'!$C$4:$C$564=$A113,
N(INDEX('PORTIFÓLIO'!$J$4:$Q$564,,MATCH(P$2,'PORTIFÓLIO'!$J$3:$Q$3,0))) *
N('PORTIFÓLIO'!$S$4:$S$564),
0
)
),
0)</f>
        <v>0</v>
      </c>
      <c r="Q113" s="49">
        <f t="shared" si="12"/>
        <v>0</v>
      </c>
      <c r="R113" s="49">
        <f t="shared" si="2"/>
        <v>0</v>
      </c>
      <c r="S113" s="49">
        <f t="shared" si="13"/>
        <v>0</v>
      </c>
    </row>
    <row r="114" ht="15.75" hidden="1" customHeight="1" outlineLevel="1">
      <c r="A114" s="48" t="str">
        <f>IFERROR(__xludf.DUMMYFUNCTION("""COMPUTED_VALUE"""),"ORKESTRA SC")</f>
        <v>ORKESTRA SC</v>
      </c>
      <c r="B114" s="49">
        <f t="array" ref="B114">IFERROR(
SUM(
IF(
'PORTIFÓLIO'!$C$4:$C$564=$A114,
N(INDEX('PORTIFÓLIO'!$J$4:$Q$564,,MATCH(B$2,'PORTIFÓLIO'!$J$3:$Q$3,0))) *
N('PORTIFÓLIO'!$S$4:$S$564),
0
)
),
0)</f>
        <v>0</v>
      </c>
      <c r="C114" s="49">
        <f t="shared" si="5"/>
        <v>0</v>
      </c>
      <c r="D114" s="49">
        <f t="array" ref="D114">IFERROR(
SUM(
IF(
'PORTIFÓLIO'!$C$4:$C$564=$A114,
N(INDEX('PORTIFÓLIO'!$J$4:$Q$564,,MATCH(D$2,'PORTIFÓLIO'!$J$3:$Q$3,0))) *
N('PORTIFÓLIO'!$S$4:$S$564),
0
)
),
0)</f>
        <v>0</v>
      </c>
      <c r="E114" s="49">
        <f t="shared" si="6"/>
        <v>0</v>
      </c>
      <c r="F114" s="49">
        <f t="array" ref="F114">IFERROR(
SUM(
IF(
'PORTIFÓLIO'!$C$4:$C$564=$A114,
N(INDEX('PORTIFÓLIO'!$J$4:$Q$564,,MATCH(F$2,'PORTIFÓLIO'!$J$3:$Q$3,0))) *
N('PORTIFÓLIO'!$S$4:$S$564),
0
)
),
0)</f>
        <v>0</v>
      </c>
      <c r="G114" s="47">
        <f t="shared" si="7"/>
        <v>0</v>
      </c>
      <c r="H114" s="49">
        <f t="array" ref="H114">IFERROR(
SUM(
IF(
'PORTIFÓLIO'!$C$4:$C$564=$A114,
N(INDEX('PORTIFÓLIO'!$J$4:$Q$564,,MATCH(H$2,'PORTIFÓLIO'!$J$3:$Q$3,0))) *
N('PORTIFÓLIO'!$S$4:$S$564),
0
)
),
0)</f>
        <v>0</v>
      </c>
      <c r="I114" s="47">
        <f t="shared" si="8"/>
        <v>0</v>
      </c>
      <c r="J114" s="49">
        <f t="array" ref="J114">IFERROR(
SUM(
IF(
'PORTIFÓLIO'!$C$4:$C$564=$A114,
N(INDEX('PORTIFÓLIO'!$J$4:$Q$564,,MATCH(J$2,'PORTIFÓLIO'!$J$3:$Q$3,0))) *
N('PORTIFÓLIO'!$S$4:$S$564),
0
)
),
0)</f>
        <v>0</v>
      </c>
      <c r="K114" s="47">
        <f t="shared" si="9"/>
        <v>0</v>
      </c>
      <c r="L114" s="49">
        <f t="array" ref="L114">IFERROR(
SUM(
IF(
'PORTIFÓLIO'!$C$4:$C$564=$A114,
N(INDEX('PORTIFÓLIO'!$J$4:$Q$564,,MATCH(L$2,'PORTIFÓLIO'!$J$3:$Q$3,0))) *
N('PORTIFÓLIO'!$S$4:$S$564),
0
)
),
0)</f>
        <v>0</v>
      </c>
      <c r="M114" s="47">
        <f t="shared" si="10"/>
        <v>0</v>
      </c>
      <c r="N114" s="49">
        <f t="array" ref="N114">IFERROR(
SUM(
IF(
'PORTIFÓLIO'!$C$4:$C$564=$A114,
N(INDEX('PORTIFÓLIO'!$J$4:$Q$564,,MATCH(N$2,'PORTIFÓLIO'!$J$3:$Q$3,0))) *
N('PORTIFÓLIO'!$S$4:$S$564),
0
)
),
0)</f>
        <v>0</v>
      </c>
      <c r="O114" s="49">
        <f t="shared" si="11"/>
        <v>0</v>
      </c>
      <c r="P114" s="49">
        <f t="array" ref="P114">IFERROR(
SUM(
IF(
'PORTIFÓLIO'!$C$4:$C$564=$A114,
N(INDEX('PORTIFÓLIO'!$J$4:$Q$564,,MATCH(P$2,'PORTIFÓLIO'!$J$3:$Q$3,0))) *
N('PORTIFÓLIO'!$S$4:$S$564),
0
)
),
0)</f>
        <v>0</v>
      </c>
      <c r="Q114" s="49">
        <f t="shared" si="12"/>
        <v>0</v>
      </c>
      <c r="R114" s="49">
        <f t="shared" si="2"/>
        <v>0</v>
      </c>
      <c r="S114" s="49">
        <f t="shared" si="13"/>
        <v>0</v>
      </c>
    </row>
    <row r="115" ht="15.75" hidden="1" customHeight="1" outlineLevel="1">
      <c r="A115" s="48" t="str">
        <f>IFERROR(__xludf.DUMMYFUNCTION("""COMPUTED_VALUE"""),"SPOT SC")</f>
        <v>SPOT SC</v>
      </c>
      <c r="B115" s="49">
        <f t="array" ref="B115">IFERROR(
SUM(
IF(
'PORTIFÓLIO'!$C$4:$C$564=$A115,
N(INDEX('PORTIFÓLIO'!$J$4:$Q$564,,MATCH(B$2,'PORTIFÓLIO'!$J$3:$Q$3,0))) *
N('PORTIFÓLIO'!$S$4:$S$564),
0
)
),
0)</f>
        <v>0</v>
      </c>
      <c r="C115" s="49">
        <f t="shared" si="5"/>
        <v>0</v>
      </c>
      <c r="D115" s="49">
        <f t="array" ref="D115">IFERROR(
SUM(
IF(
'PORTIFÓLIO'!$C$4:$C$564=$A115,
N(INDEX('PORTIFÓLIO'!$J$4:$Q$564,,MATCH(D$2,'PORTIFÓLIO'!$J$3:$Q$3,0))) *
N('PORTIFÓLIO'!$S$4:$S$564),
0
)
),
0)</f>
        <v>0</v>
      </c>
      <c r="E115" s="49">
        <f t="shared" si="6"/>
        <v>0</v>
      </c>
      <c r="F115" s="49">
        <f t="array" ref="F115">IFERROR(
SUM(
IF(
'PORTIFÓLIO'!$C$4:$C$564=$A115,
N(INDEX('PORTIFÓLIO'!$J$4:$Q$564,,MATCH(F$2,'PORTIFÓLIO'!$J$3:$Q$3,0))) *
N('PORTIFÓLIO'!$S$4:$S$564),
0
)
),
0)</f>
        <v>0</v>
      </c>
      <c r="G115" s="47">
        <f t="shared" si="7"/>
        <v>0</v>
      </c>
      <c r="H115" s="49">
        <f t="array" ref="H115">IFERROR(
SUM(
IF(
'PORTIFÓLIO'!$C$4:$C$564=$A115,
N(INDEX('PORTIFÓLIO'!$J$4:$Q$564,,MATCH(H$2,'PORTIFÓLIO'!$J$3:$Q$3,0))) *
N('PORTIFÓLIO'!$S$4:$S$564),
0
)
),
0)</f>
        <v>0</v>
      </c>
      <c r="I115" s="47">
        <f t="shared" si="8"/>
        <v>0</v>
      </c>
      <c r="J115" s="49">
        <f t="array" ref="J115">IFERROR(
SUM(
IF(
'PORTIFÓLIO'!$C$4:$C$564=$A115,
N(INDEX('PORTIFÓLIO'!$J$4:$Q$564,,MATCH(J$2,'PORTIFÓLIO'!$J$3:$Q$3,0))) *
N('PORTIFÓLIO'!$S$4:$S$564),
0
)
),
0)</f>
        <v>0</v>
      </c>
      <c r="K115" s="47">
        <f t="shared" si="9"/>
        <v>0</v>
      </c>
      <c r="L115" s="49">
        <f t="array" ref="L115">IFERROR(
SUM(
IF(
'PORTIFÓLIO'!$C$4:$C$564=$A115,
N(INDEX('PORTIFÓLIO'!$J$4:$Q$564,,MATCH(L$2,'PORTIFÓLIO'!$J$3:$Q$3,0))) *
N('PORTIFÓLIO'!$S$4:$S$564),
0
)
),
0)</f>
        <v>0</v>
      </c>
      <c r="M115" s="47">
        <f t="shared" si="10"/>
        <v>0</v>
      </c>
      <c r="N115" s="49">
        <f t="array" ref="N115">IFERROR(
SUM(
IF(
'PORTIFÓLIO'!$C$4:$C$564=$A115,
N(INDEX('PORTIFÓLIO'!$J$4:$Q$564,,MATCH(N$2,'PORTIFÓLIO'!$J$3:$Q$3,0))) *
N('PORTIFÓLIO'!$S$4:$S$564),
0
)
),
0)</f>
        <v>0</v>
      </c>
      <c r="O115" s="49">
        <f t="shared" si="11"/>
        <v>0</v>
      </c>
      <c r="P115" s="49">
        <f t="array" ref="P115">IFERROR(
SUM(
IF(
'PORTIFÓLIO'!$C$4:$C$564=$A115,
N(INDEX('PORTIFÓLIO'!$J$4:$Q$564,,MATCH(P$2,'PORTIFÓLIO'!$J$3:$Q$3,0))) *
N('PORTIFÓLIO'!$S$4:$S$564),
0
)
),
0)</f>
        <v>0</v>
      </c>
      <c r="Q115" s="49">
        <f t="shared" si="12"/>
        <v>0</v>
      </c>
      <c r="R115" s="49">
        <f t="shared" si="2"/>
        <v>0</v>
      </c>
      <c r="S115" s="49">
        <f t="shared" si="13"/>
        <v>0</v>
      </c>
    </row>
    <row r="116" ht="15.75" hidden="1" customHeight="1" outlineLevel="1">
      <c r="A116" s="48" t="str">
        <f>IFERROR(__xludf.DUMMYFUNCTION("""COMPUTED_VALUE"""),"ATTILA")</f>
        <v>ATTILA</v>
      </c>
      <c r="B116" s="49">
        <f t="array" ref="B116">IFERROR(
SUM(
IF(
'PORTIFÓLIO'!$C$4:$C$564=$A116,
N(INDEX('PORTIFÓLIO'!$J$4:$Q$564,,MATCH(B$2,'PORTIFÓLIO'!$J$3:$Q$3,0))) *
N('PORTIFÓLIO'!$S$4:$S$564),
0
)
),
0)</f>
        <v>0</v>
      </c>
      <c r="C116" s="49">
        <f t="shared" si="5"/>
        <v>0</v>
      </c>
      <c r="D116" s="49">
        <f t="array" ref="D116">IFERROR(
SUM(
IF(
'PORTIFÓLIO'!$C$4:$C$564=$A116,
N(INDEX('PORTIFÓLIO'!$J$4:$Q$564,,MATCH(D$2,'PORTIFÓLIO'!$J$3:$Q$3,0))) *
N('PORTIFÓLIO'!$S$4:$S$564),
0
)
),
0)</f>
        <v>0</v>
      </c>
      <c r="E116" s="49">
        <f t="shared" si="6"/>
        <v>0</v>
      </c>
      <c r="F116" s="49">
        <f t="array" ref="F116">IFERROR(
SUM(
IF(
'PORTIFÓLIO'!$C$4:$C$564=$A116,
N(INDEX('PORTIFÓLIO'!$J$4:$Q$564,,MATCH(F$2,'PORTIFÓLIO'!$J$3:$Q$3,0))) *
N('PORTIFÓLIO'!$S$4:$S$564),
0
)
),
0)</f>
        <v>0</v>
      </c>
      <c r="G116" s="47">
        <f t="shared" si="7"/>
        <v>0</v>
      </c>
      <c r="H116" s="49">
        <f t="array" ref="H116">IFERROR(
SUM(
IF(
'PORTIFÓLIO'!$C$4:$C$564=$A116,
N(INDEX('PORTIFÓLIO'!$J$4:$Q$564,,MATCH(H$2,'PORTIFÓLIO'!$J$3:$Q$3,0))) *
N('PORTIFÓLIO'!$S$4:$S$564),
0
)
),
0)</f>
        <v>0</v>
      </c>
      <c r="I116" s="47">
        <f t="shared" si="8"/>
        <v>0</v>
      </c>
      <c r="J116" s="49">
        <f t="array" ref="J116">IFERROR(
SUM(
IF(
'PORTIFÓLIO'!$C$4:$C$564=$A116,
N(INDEX('PORTIFÓLIO'!$J$4:$Q$564,,MATCH(J$2,'PORTIFÓLIO'!$J$3:$Q$3,0))) *
N('PORTIFÓLIO'!$S$4:$S$564),
0
)
),
0)</f>
        <v>0</v>
      </c>
      <c r="K116" s="47">
        <f t="shared" si="9"/>
        <v>0</v>
      </c>
      <c r="L116" s="49">
        <f t="array" ref="L116">IFERROR(
SUM(
IF(
'PORTIFÓLIO'!$C$4:$C$564=$A116,
N(INDEX('PORTIFÓLIO'!$J$4:$Q$564,,MATCH(L$2,'PORTIFÓLIO'!$J$3:$Q$3,0))) *
N('PORTIFÓLIO'!$S$4:$S$564),
0
)
),
0)</f>
        <v>0</v>
      </c>
      <c r="M116" s="47">
        <f t="shared" si="10"/>
        <v>0</v>
      </c>
      <c r="N116" s="49">
        <f t="array" ref="N116">IFERROR(
SUM(
IF(
'PORTIFÓLIO'!$C$4:$C$564=$A116,
N(INDEX('PORTIFÓLIO'!$J$4:$Q$564,,MATCH(N$2,'PORTIFÓLIO'!$J$3:$Q$3,0))) *
N('PORTIFÓLIO'!$S$4:$S$564),
0
)
),
0)</f>
        <v>0</v>
      </c>
      <c r="O116" s="49">
        <f t="shared" si="11"/>
        <v>0</v>
      </c>
      <c r="P116" s="49">
        <f t="array" ref="P116">IFERROR(
SUM(
IF(
'PORTIFÓLIO'!$C$4:$C$564=$A116,
N(INDEX('PORTIFÓLIO'!$J$4:$Q$564,,MATCH(P$2,'PORTIFÓLIO'!$J$3:$Q$3,0))) *
N('PORTIFÓLIO'!$S$4:$S$564),
0
)
),
0)</f>
        <v>0</v>
      </c>
      <c r="Q116" s="49">
        <f t="shared" si="12"/>
        <v>0</v>
      </c>
      <c r="R116" s="49">
        <f t="shared" si="2"/>
        <v>0</v>
      </c>
      <c r="S116" s="49">
        <f t="shared" si="13"/>
        <v>0</v>
      </c>
    </row>
    <row r="117" ht="15.75" hidden="1" customHeight="1" outlineLevel="1">
      <c r="A117" s="48" t="str">
        <f>IFERROR(__xludf.DUMMYFUNCTION("""COMPUTED_VALUE"""),"FOX SUPRA")</f>
        <v>FOX SUPRA</v>
      </c>
      <c r="B117" s="49">
        <f t="array" ref="B117">IFERROR(
SUM(
IF(
'PORTIFÓLIO'!$C$4:$C$564=$A117,
N(INDEX('PORTIFÓLIO'!$J$4:$Q$564,,MATCH(B$2,'PORTIFÓLIO'!$J$3:$Q$3,0))) *
N('PORTIFÓLIO'!$S$4:$S$564),
0
)
),
0)</f>
        <v>0</v>
      </c>
      <c r="C117" s="49">
        <f t="shared" si="5"/>
        <v>0</v>
      </c>
      <c r="D117" s="49">
        <f t="array" ref="D117">IFERROR(
SUM(
IF(
'PORTIFÓLIO'!$C$4:$C$564=$A117,
N(INDEX('PORTIFÓLIO'!$J$4:$Q$564,,MATCH(D$2,'PORTIFÓLIO'!$J$3:$Q$3,0))) *
N('PORTIFÓLIO'!$S$4:$S$564),
0
)
),
0)</f>
        <v>0</v>
      </c>
      <c r="E117" s="49">
        <f t="shared" si="6"/>
        <v>0</v>
      </c>
      <c r="F117" s="49">
        <f t="array" ref="F117">IFERROR(
SUM(
IF(
'PORTIFÓLIO'!$C$4:$C$564=$A117,
N(INDEX('PORTIFÓLIO'!$J$4:$Q$564,,MATCH(F$2,'PORTIFÓLIO'!$J$3:$Q$3,0))) *
N('PORTIFÓLIO'!$S$4:$S$564),
0
)
),
0)</f>
        <v>0</v>
      </c>
      <c r="G117" s="47">
        <f t="shared" si="7"/>
        <v>0</v>
      </c>
      <c r="H117" s="49">
        <f t="array" ref="H117">IFERROR(
SUM(
IF(
'PORTIFÓLIO'!$C$4:$C$564=$A117,
N(INDEX('PORTIFÓLIO'!$J$4:$Q$564,,MATCH(H$2,'PORTIFÓLIO'!$J$3:$Q$3,0))) *
N('PORTIFÓLIO'!$S$4:$S$564),
0
)
),
0)</f>
        <v>0</v>
      </c>
      <c r="I117" s="47">
        <f t="shared" si="8"/>
        <v>0</v>
      </c>
      <c r="J117" s="49">
        <f t="array" ref="J117">IFERROR(
SUM(
IF(
'PORTIFÓLIO'!$C$4:$C$564=$A117,
N(INDEX('PORTIFÓLIO'!$J$4:$Q$564,,MATCH(J$2,'PORTIFÓLIO'!$J$3:$Q$3,0))) *
N('PORTIFÓLIO'!$S$4:$S$564),
0
)
),
0)</f>
        <v>0</v>
      </c>
      <c r="K117" s="47">
        <f t="shared" si="9"/>
        <v>0</v>
      </c>
      <c r="L117" s="49">
        <f t="array" ref="L117">IFERROR(
SUM(
IF(
'PORTIFÓLIO'!$C$4:$C$564=$A117,
N(INDEX('PORTIFÓLIO'!$J$4:$Q$564,,MATCH(L$2,'PORTIFÓLIO'!$J$3:$Q$3,0))) *
N('PORTIFÓLIO'!$S$4:$S$564),
0
)
),
0)</f>
        <v>0</v>
      </c>
      <c r="M117" s="47">
        <f t="shared" si="10"/>
        <v>0</v>
      </c>
      <c r="N117" s="49">
        <f t="array" ref="N117">IFERROR(
SUM(
IF(
'PORTIFÓLIO'!$C$4:$C$564=$A117,
N(INDEX('PORTIFÓLIO'!$J$4:$Q$564,,MATCH(N$2,'PORTIFÓLIO'!$J$3:$Q$3,0))) *
N('PORTIFÓLIO'!$S$4:$S$564),
0
)
),
0)</f>
        <v>0</v>
      </c>
      <c r="O117" s="49">
        <f t="shared" si="11"/>
        <v>0</v>
      </c>
      <c r="P117" s="49">
        <f t="array" ref="P117">IFERROR(
SUM(
IF(
'PORTIFÓLIO'!$C$4:$C$564=$A117,
N(INDEX('PORTIFÓLIO'!$J$4:$Q$564,,MATCH(P$2,'PORTIFÓLIO'!$J$3:$Q$3,0))) *
N('PORTIFÓLIO'!$S$4:$S$564),
0
)
),
0)</f>
        <v>0</v>
      </c>
      <c r="Q117" s="49">
        <f t="shared" si="12"/>
        <v>0</v>
      </c>
      <c r="R117" s="49">
        <f t="shared" si="2"/>
        <v>0</v>
      </c>
      <c r="S117" s="49">
        <f t="shared" si="13"/>
        <v>0</v>
      </c>
    </row>
    <row r="118" ht="15.75" hidden="1" customHeight="1" outlineLevel="1">
      <c r="A118" s="48" t="str">
        <f>IFERROR(__xludf.DUMMYFUNCTION("""COMPUTED_VALUE"""),"FOX XPRO")</f>
        <v>FOX XPRO</v>
      </c>
      <c r="B118" s="49">
        <f t="array" ref="B118">IFERROR(
SUM(
IF(
'PORTIFÓLIO'!$C$4:$C$564=$A118,
N(INDEX('PORTIFÓLIO'!$J$4:$Q$564,,MATCH(B$2,'PORTIFÓLIO'!$J$3:$Q$3,0))) *
N('PORTIFÓLIO'!$S$4:$S$564),
0
)
),
0)</f>
        <v>0</v>
      </c>
      <c r="C118" s="49">
        <f t="shared" si="5"/>
        <v>0</v>
      </c>
      <c r="D118" s="49">
        <f t="array" ref="D118">IFERROR(
SUM(
IF(
'PORTIFÓLIO'!$C$4:$C$564=$A118,
N(INDEX('PORTIFÓLIO'!$J$4:$Q$564,,MATCH(D$2,'PORTIFÓLIO'!$J$3:$Q$3,0))) *
N('PORTIFÓLIO'!$S$4:$S$564),
0
)
),
0)</f>
        <v>29725.056</v>
      </c>
      <c r="E118" s="49">
        <f t="shared" si="6"/>
        <v>99.08352</v>
      </c>
      <c r="F118" s="49">
        <f t="array" ref="F118">IFERROR(
SUM(
IF(
'PORTIFÓLIO'!$C$4:$C$564=$A118,
N(INDEX('PORTIFÓLIO'!$J$4:$Q$564,,MATCH(F$2,'PORTIFÓLIO'!$J$3:$Q$3,0))) *
N('PORTIFÓLIO'!$S$4:$S$564),
0
)
),
0)</f>
        <v>21798.3744</v>
      </c>
      <c r="G118" s="47">
        <f t="shared" si="7"/>
        <v>99.08352</v>
      </c>
      <c r="H118" s="49">
        <f t="array" ref="H118">IFERROR(
SUM(
IF(
'PORTIFÓLIO'!$C$4:$C$564=$A118,
N(INDEX('PORTIFÓLIO'!$J$4:$Q$564,,MATCH(H$2,'PORTIFÓLIO'!$J$3:$Q$3,0))) *
N('PORTIFÓLIO'!$S$4:$S$564),
0
)
),
0)</f>
        <v>0</v>
      </c>
      <c r="I118" s="47">
        <f t="shared" si="8"/>
        <v>0</v>
      </c>
      <c r="J118" s="49">
        <f t="array" ref="J118">IFERROR(
SUM(
IF(
'PORTIFÓLIO'!$C$4:$C$564=$A118,
N(INDEX('PORTIFÓLIO'!$J$4:$Q$564,,MATCH(J$2,'PORTIFÓLIO'!$J$3:$Q$3,0))) *
N('PORTIFÓLIO'!$S$4:$S$564),
0
)
),
0)</f>
        <v>0</v>
      </c>
      <c r="K118" s="47">
        <f t="shared" si="9"/>
        <v>0</v>
      </c>
      <c r="L118" s="49">
        <f t="array" ref="L118">IFERROR(
SUM(
IF(
'PORTIFÓLIO'!$C$4:$C$564=$A118,
N(INDEX('PORTIFÓLIO'!$J$4:$Q$564,,MATCH(L$2,'PORTIFÓLIO'!$J$3:$Q$3,0))) *
N('PORTIFÓLIO'!$S$4:$S$564),
0
)
),
0)</f>
        <v>0</v>
      </c>
      <c r="M118" s="47">
        <f t="shared" si="10"/>
        <v>0</v>
      </c>
      <c r="N118" s="49">
        <f t="array" ref="N118">IFERROR(
SUM(
IF(
'PORTIFÓLIO'!$C$4:$C$564=$A118,
N(INDEX('PORTIFÓLIO'!$J$4:$Q$564,,MATCH(N$2,'PORTIFÓLIO'!$J$3:$Q$3,0))) *
N('PORTIFÓLIO'!$S$4:$S$564),
0
)
),
0)</f>
        <v>120683.7274</v>
      </c>
      <c r="O118" s="49">
        <f t="shared" si="11"/>
        <v>99.08352</v>
      </c>
      <c r="P118" s="49">
        <f t="array" ref="P118">IFERROR(
SUM(
IF(
'PORTIFÓLIO'!$C$4:$C$564=$A118,
N(INDEX('PORTIFÓLIO'!$J$4:$Q$564,,MATCH(P$2,'PORTIFÓLIO'!$J$3:$Q$3,0))) *
N('PORTIFÓLIO'!$S$4:$S$564),
0
)
),
0)</f>
        <v>31706.7264</v>
      </c>
      <c r="Q118" s="49">
        <f t="shared" si="12"/>
        <v>99.08352</v>
      </c>
      <c r="R118" s="49">
        <f t="shared" si="2"/>
        <v>182115.5098</v>
      </c>
      <c r="S118" s="49">
        <f t="shared" si="13"/>
        <v>54.46037971</v>
      </c>
    </row>
    <row r="119" ht="15.75" hidden="1" customHeight="1" outlineLevel="1">
      <c r="A119" s="48" t="str">
        <f>IFERROR(__xludf.DUMMYFUNCTION("""COMPUTED_VALUE"""),"NATIVO")</f>
        <v>NATIVO</v>
      </c>
      <c r="B119" s="49">
        <f t="array" ref="B119">IFERROR(
SUM(
IF(
'PORTIFÓLIO'!$C$4:$C$564=$A119,
N(INDEX('PORTIFÓLIO'!$J$4:$Q$564,,MATCH(B$2,'PORTIFÓLIO'!$J$3:$Q$3,0))) *
N('PORTIFÓLIO'!$S$4:$S$564),
0
)
),
0)</f>
        <v>0</v>
      </c>
      <c r="C119" s="49">
        <f t="shared" si="5"/>
        <v>0</v>
      </c>
      <c r="D119" s="49">
        <f t="array" ref="D119">IFERROR(
SUM(
IF(
'PORTIFÓLIO'!$C$4:$C$564=$A119,
N(INDEX('PORTIFÓLIO'!$J$4:$Q$564,,MATCH(D$2,'PORTIFÓLIO'!$J$3:$Q$3,0))) *
N('PORTIFÓLIO'!$S$4:$S$564),
0
)
),
0)</f>
        <v>0</v>
      </c>
      <c r="E119" s="49">
        <f t="shared" si="6"/>
        <v>0</v>
      </c>
      <c r="F119" s="49">
        <f t="array" ref="F119">IFERROR(
SUM(
IF(
'PORTIFÓLIO'!$C$4:$C$564=$A119,
N(INDEX('PORTIFÓLIO'!$J$4:$Q$564,,MATCH(F$2,'PORTIFÓLIO'!$J$3:$Q$3,0))) *
N('PORTIFÓLIO'!$S$4:$S$564),
0
)
),
0)</f>
        <v>0</v>
      </c>
      <c r="G119" s="47">
        <f t="shared" si="7"/>
        <v>0</v>
      </c>
      <c r="H119" s="49">
        <f t="array" ref="H119">IFERROR(
SUM(
IF(
'PORTIFÓLIO'!$C$4:$C$564=$A119,
N(INDEX('PORTIFÓLIO'!$J$4:$Q$564,,MATCH(H$2,'PORTIFÓLIO'!$J$3:$Q$3,0))) *
N('PORTIFÓLIO'!$S$4:$S$564),
0
)
),
0)</f>
        <v>0</v>
      </c>
      <c r="I119" s="47">
        <f t="shared" si="8"/>
        <v>0</v>
      </c>
      <c r="J119" s="49">
        <f t="array" ref="J119">IFERROR(
SUM(
IF(
'PORTIFÓLIO'!$C$4:$C$564=$A119,
N(INDEX('PORTIFÓLIO'!$J$4:$Q$564,,MATCH(J$2,'PORTIFÓLIO'!$J$3:$Q$3,0))) *
N('PORTIFÓLIO'!$S$4:$S$564),
0
)
),
0)</f>
        <v>0</v>
      </c>
      <c r="K119" s="47">
        <f t="shared" si="9"/>
        <v>0</v>
      </c>
      <c r="L119" s="49">
        <f t="array" ref="L119">IFERROR(
SUM(
IF(
'PORTIFÓLIO'!$C$4:$C$564=$A119,
N(INDEX('PORTIFÓLIO'!$J$4:$Q$564,,MATCH(L$2,'PORTIFÓLIO'!$J$3:$Q$3,0))) *
N('PORTIFÓLIO'!$S$4:$S$564),
0
)
),
0)</f>
        <v>13594.2048</v>
      </c>
      <c r="M119" s="47">
        <f t="shared" si="10"/>
        <v>61.79184</v>
      </c>
      <c r="N119" s="49">
        <f t="array" ref="N119">IFERROR(
SUM(
IF(
'PORTIFÓLIO'!$C$4:$C$564=$A119,
N(INDEX('PORTIFÓLIO'!$J$4:$Q$564,,MATCH(N$2,'PORTIFÓLIO'!$J$3:$Q$3,0))) *
N('PORTIFÓLIO'!$S$4:$S$564),
0
)
),
0)</f>
        <v>11604.50755</v>
      </c>
      <c r="O119" s="49">
        <f t="shared" si="11"/>
        <v>9.527510305</v>
      </c>
      <c r="P119" s="49">
        <f t="array" ref="P119">IFERROR(
SUM(
IF(
'PORTIFÓLIO'!$C$4:$C$564=$A119,
N(INDEX('PORTIFÓLIO'!$J$4:$Q$564,,MATCH(P$2,'PORTIFÓLIO'!$J$3:$Q$3,0))) *
N('PORTIFÓLIO'!$S$4:$S$564),
0
)
),
0)</f>
        <v>0</v>
      </c>
      <c r="Q119" s="49">
        <f t="shared" si="12"/>
        <v>0</v>
      </c>
      <c r="R119" s="49">
        <f t="shared" si="2"/>
        <v>25198.71235</v>
      </c>
      <c r="S119" s="49">
        <f t="shared" si="13"/>
        <v>7.535500105</v>
      </c>
    </row>
    <row r="120" ht="15.75" hidden="1" customHeight="1" outlineLevel="1">
      <c r="A120" s="48" t="str">
        <f>IFERROR(__xludf.DUMMYFUNCTION("""COMPUTED_VALUE"""),"NATIVO PLUS")</f>
        <v>NATIVO PLUS</v>
      </c>
      <c r="B120" s="49">
        <f t="array" ref="B120">IFERROR(
SUM(
IF(
'PORTIFÓLIO'!$C$4:$C$564=$A120,
N(INDEX('PORTIFÓLIO'!$J$4:$Q$564,,MATCH(B$2,'PORTIFÓLIO'!$J$3:$Q$3,0))) *
N('PORTIFÓLIO'!$S$4:$S$564),
0
)
),
0)</f>
        <v>0</v>
      </c>
      <c r="C120" s="49">
        <f t="shared" si="5"/>
        <v>0</v>
      </c>
      <c r="D120" s="49">
        <f t="array" ref="D120">IFERROR(
SUM(
IF(
'PORTIFÓLIO'!$C$4:$C$564=$A120,
N(INDEX('PORTIFÓLIO'!$J$4:$Q$564,,MATCH(D$2,'PORTIFÓLIO'!$J$3:$Q$3,0))) *
N('PORTIFÓLIO'!$S$4:$S$564),
0
)
),
0)</f>
        <v>0</v>
      </c>
      <c r="E120" s="49">
        <f t="shared" si="6"/>
        <v>0</v>
      </c>
      <c r="F120" s="49">
        <f t="array" ref="F120">IFERROR(
SUM(
IF(
'PORTIFÓLIO'!$C$4:$C$564=$A120,
N(INDEX('PORTIFÓLIO'!$J$4:$Q$564,,MATCH(F$2,'PORTIFÓLIO'!$J$3:$Q$3,0))) *
N('PORTIFÓLIO'!$S$4:$S$564),
0
)
),
0)</f>
        <v>0</v>
      </c>
      <c r="G120" s="47">
        <f t="shared" si="7"/>
        <v>0</v>
      </c>
      <c r="H120" s="49">
        <f t="array" ref="H120">IFERROR(
SUM(
IF(
'PORTIFÓLIO'!$C$4:$C$564=$A120,
N(INDEX('PORTIFÓLIO'!$J$4:$Q$564,,MATCH(H$2,'PORTIFÓLIO'!$J$3:$Q$3,0))) *
N('PORTIFÓLIO'!$S$4:$S$564),
0
)
),
0)</f>
        <v>0</v>
      </c>
      <c r="I120" s="47">
        <f t="shared" si="8"/>
        <v>0</v>
      </c>
      <c r="J120" s="49">
        <f t="array" ref="J120">IFERROR(
SUM(
IF(
'PORTIFÓLIO'!$C$4:$C$564=$A120,
N(INDEX('PORTIFÓLIO'!$J$4:$Q$564,,MATCH(J$2,'PORTIFÓLIO'!$J$3:$Q$3,0))) *
N('PORTIFÓLIO'!$S$4:$S$564),
0
)
),
0)</f>
        <v>0</v>
      </c>
      <c r="K120" s="47">
        <f t="shared" si="9"/>
        <v>0</v>
      </c>
      <c r="L120" s="49">
        <f t="array" ref="L120">IFERROR(
SUM(
IF(
'PORTIFÓLIO'!$C$4:$C$564=$A120,
N(INDEX('PORTIFÓLIO'!$J$4:$Q$564,,MATCH(L$2,'PORTIFÓLIO'!$J$3:$Q$3,0))) *
N('PORTIFÓLIO'!$S$4:$S$564),
0
)
),
0)</f>
        <v>0</v>
      </c>
      <c r="M120" s="47">
        <f t="shared" si="10"/>
        <v>0</v>
      </c>
      <c r="N120" s="49">
        <f t="array" ref="N120">IFERROR(
SUM(
IF(
'PORTIFÓLIO'!$C$4:$C$564=$A120,
N(INDEX('PORTIFÓLIO'!$J$4:$Q$564,,MATCH(N$2,'PORTIFÓLIO'!$J$3:$Q$3,0))) *
N('PORTIFÓLIO'!$S$4:$S$564),
0
)
),
0)</f>
        <v>0</v>
      </c>
      <c r="O120" s="49">
        <f t="shared" si="11"/>
        <v>0</v>
      </c>
      <c r="P120" s="49">
        <f t="array" ref="P120">IFERROR(
SUM(
IF(
'PORTIFÓLIO'!$C$4:$C$564=$A120,
N(INDEX('PORTIFÓLIO'!$J$4:$Q$564,,MATCH(P$2,'PORTIFÓLIO'!$J$3:$Q$3,0))) *
N('PORTIFÓLIO'!$S$4:$S$564),
0
)
),
0)</f>
        <v>0</v>
      </c>
      <c r="Q120" s="49">
        <f t="shared" si="12"/>
        <v>0</v>
      </c>
      <c r="R120" s="49">
        <f t="shared" si="2"/>
        <v>0</v>
      </c>
      <c r="S120" s="49">
        <f t="shared" si="13"/>
        <v>0</v>
      </c>
    </row>
    <row r="121" ht="15.75" hidden="1" customHeight="1" outlineLevel="1">
      <c r="A121" s="48" t="str">
        <f>IFERROR(__xludf.DUMMYFUNCTION("""COMPUTED_VALUE"""),"SPHERE MAX")</f>
        <v>SPHERE MAX</v>
      </c>
      <c r="B121" s="49">
        <f t="array" ref="B121">IFERROR(
SUM(
IF(
'PORTIFÓLIO'!$C$4:$C$564=$A121,
N(INDEX('PORTIFÓLIO'!$J$4:$Q$564,,MATCH(B$2,'PORTIFÓLIO'!$J$3:$Q$3,0))) *
N('PORTIFÓLIO'!$S$4:$S$564),
0
)
),
0)</f>
        <v>0</v>
      </c>
      <c r="C121" s="49">
        <f t="shared" si="5"/>
        <v>0</v>
      </c>
      <c r="D121" s="49">
        <f t="array" ref="D121">IFERROR(
SUM(
IF(
'PORTIFÓLIO'!$C$4:$C$564=$A121,
N(INDEX('PORTIFÓLIO'!$J$4:$Q$564,,MATCH(D$2,'PORTIFÓLIO'!$J$3:$Q$3,0))) *
N('PORTIFÓLIO'!$S$4:$S$564),
0
)
),
0)</f>
        <v>0</v>
      </c>
      <c r="E121" s="49">
        <f t="shared" si="6"/>
        <v>0</v>
      </c>
      <c r="F121" s="49">
        <f t="array" ref="F121">IFERROR(
SUM(
IF(
'PORTIFÓLIO'!$C$4:$C$564=$A121,
N(INDEX('PORTIFÓLIO'!$J$4:$Q$564,,MATCH(F$2,'PORTIFÓLIO'!$J$3:$Q$3,0))) *
N('PORTIFÓLIO'!$S$4:$S$564),
0
)
),
0)</f>
        <v>0</v>
      </c>
      <c r="G121" s="47">
        <f t="shared" si="7"/>
        <v>0</v>
      </c>
      <c r="H121" s="49">
        <f t="array" ref="H121">IFERROR(
SUM(
IF(
'PORTIFÓLIO'!$C$4:$C$564=$A121,
N(INDEX('PORTIFÓLIO'!$J$4:$Q$564,,MATCH(H$2,'PORTIFÓLIO'!$J$3:$Q$3,0))) *
N('PORTIFÓLIO'!$S$4:$S$564),
0
)
),
0)</f>
        <v>0</v>
      </c>
      <c r="I121" s="47">
        <f t="shared" si="8"/>
        <v>0</v>
      </c>
      <c r="J121" s="49">
        <f t="array" ref="J121">IFERROR(
SUM(
IF(
'PORTIFÓLIO'!$C$4:$C$564=$A121,
N(INDEX('PORTIFÓLIO'!$J$4:$Q$564,,MATCH(J$2,'PORTIFÓLIO'!$J$3:$Q$3,0))) *
N('PORTIFÓLIO'!$S$4:$S$564),
0
)
),
0)</f>
        <v>0</v>
      </c>
      <c r="K121" s="47">
        <f t="shared" si="9"/>
        <v>0</v>
      </c>
      <c r="L121" s="49">
        <f t="array" ref="L121">IFERROR(
SUM(
IF(
'PORTIFÓLIO'!$C$4:$C$564=$A121,
N(INDEX('PORTIFÓLIO'!$J$4:$Q$564,,MATCH(L$2,'PORTIFÓLIO'!$J$3:$Q$3,0))) *
N('PORTIFÓLIO'!$S$4:$S$564),
0
)
),
0)</f>
        <v>0</v>
      </c>
      <c r="M121" s="47">
        <f t="shared" si="10"/>
        <v>0</v>
      </c>
      <c r="N121" s="49">
        <f t="array" ref="N121">IFERROR(
SUM(
IF(
'PORTIFÓLIO'!$C$4:$C$564=$A121,
N(INDEX('PORTIFÓLIO'!$J$4:$Q$564,,MATCH(N$2,'PORTIFÓLIO'!$J$3:$Q$3,0))) *
N('PORTIFÓLIO'!$S$4:$S$564),
0
)
),
0)</f>
        <v>0</v>
      </c>
      <c r="O121" s="49">
        <f t="shared" si="11"/>
        <v>0</v>
      </c>
      <c r="P121" s="49">
        <f t="array" ref="P121">IFERROR(
SUM(
IF(
'PORTIFÓLIO'!$C$4:$C$564=$A121,
N(INDEX('PORTIFÓLIO'!$J$4:$Q$564,,MATCH(P$2,'PORTIFÓLIO'!$J$3:$Q$3,0))) *
N('PORTIFÓLIO'!$S$4:$S$564),
0
)
),
0)</f>
        <v>0</v>
      </c>
      <c r="Q121" s="49">
        <f t="shared" si="12"/>
        <v>0</v>
      </c>
      <c r="R121" s="49">
        <f t="shared" si="2"/>
        <v>0</v>
      </c>
      <c r="S121" s="49">
        <f t="shared" si="13"/>
        <v>0</v>
      </c>
    </row>
    <row r="122" ht="15.75" hidden="1" customHeight="1" outlineLevel="1">
      <c r="A122" s="48" t="str">
        <f>IFERROR(__xludf.DUMMYFUNCTION("""COMPUTED_VALUE"""),"AZOXISTROBIN 200 + CIPROCONAZOL
 80 SC CCAB")</f>
        <v>AZOXISTROBIN 200 + CIPROCONAZOL
 80 SC CCAB</v>
      </c>
      <c r="B122" s="49">
        <f t="array" ref="B122">IFERROR(
SUM(
IF(
'PORTIFÓLIO'!$C$4:$C$564=$A122,
N(INDEX('PORTIFÓLIO'!$J$4:$Q$564,,MATCH(B$2,'PORTIFÓLIO'!$J$3:$Q$3,0))) *
N('PORTIFÓLIO'!$S$4:$S$564),
0
)
),
0)</f>
        <v>0</v>
      </c>
      <c r="C122" s="49">
        <f t="shared" si="5"/>
        <v>0</v>
      </c>
      <c r="D122" s="49">
        <f t="array" ref="D122">IFERROR(
SUM(
IF(
'PORTIFÓLIO'!$C$4:$C$564=$A122,
N(INDEX('PORTIFÓLIO'!$J$4:$Q$564,,MATCH(D$2,'PORTIFÓLIO'!$J$3:$Q$3,0))) *
N('PORTIFÓLIO'!$S$4:$S$564),
0
)
),
0)</f>
        <v>0</v>
      </c>
      <c r="E122" s="49">
        <f t="shared" si="6"/>
        <v>0</v>
      </c>
      <c r="F122" s="49">
        <f t="array" ref="F122">IFERROR(
SUM(
IF(
'PORTIFÓLIO'!$C$4:$C$564=$A122,
N(INDEX('PORTIFÓLIO'!$J$4:$Q$564,,MATCH(F$2,'PORTIFÓLIO'!$J$3:$Q$3,0))) *
N('PORTIFÓLIO'!$S$4:$S$564),
0
)
),
0)</f>
        <v>0</v>
      </c>
      <c r="G122" s="47">
        <f t="shared" si="7"/>
        <v>0</v>
      </c>
      <c r="H122" s="49">
        <f t="array" ref="H122">IFERROR(
SUM(
IF(
'PORTIFÓLIO'!$C$4:$C$564=$A122,
N(INDEX('PORTIFÓLIO'!$J$4:$Q$564,,MATCH(H$2,'PORTIFÓLIO'!$J$3:$Q$3,0))) *
N('PORTIFÓLIO'!$S$4:$S$564),
0
)
),
0)</f>
        <v>0</v>
      </c>
      <c r="I122" s="47">
        <f t="shared" si="8"/>
        <v>0</v>
      </c>
      <c r="J122" s="49">
        <f t="array" ref="J122">IFERROR(
SUM(
IF(
'PORTIFÓLIO'!$C$4:$C$564=$A122,
N(INDEX('PORTIFÓLIO'!$J$4:$Q$564,,MATCH(J$2,'PORTIFÓLIO'!$J$3:$Q$3,0))) *
N('PORTIFÓLIO'!$S$4:$S$564),
0
)
),
0)</f>
        <v>0</v>
      </c>
      <c r="K122" s="47">
        <f t="shared" si="9"/>
        <v>0</v>
      </c>
      <c r="L122" s="49">
        <f t="array" ref="L122">IFERROR(
SUM(
IF(
'PORTIFÓLIO'!$C$4:$C$564=$A122,
N(INDEX('PORTIFÓLIO'!$J$4:$Q$564,,MATCH(L$2,'PORTIFÓLIO'!$J$3:$Q$3,0))) *
N('PORTIFÓLIO'!$S$4:$S$564),
0
)
),
0)</f>
        <v>0</v>
      </c>
      <c r="M122" s="47">
        <f t="shared" si="10"/>
        <v>0</v>
      </c>
      <c r="N122" s="49">
        <f t="array" ref="N122">IFERROR(
SUM(
IF(
'PORTIFÓLIO'!$C$4:$C$564=$A122,
N(INDEX('PORTIFÓLIO'!$J$4:$Q$564,,MATCH(N$2,'PORTIFÓLIO'!$J$3:$Q$3,0))) *
N('PORTIFÓLIO'!$S$4:$S$564),
0
)
),
0)</f>
        <v>0</v>
      </c>
      <c r="O122" s="49">
        <f t="shared" si="11"/>
        <v>0</v>
      </c>
      <c r="P122" s="49">
        <f t="array" ref="P122">IFERROR(
SUM(
IF(
'PORTIFÓLIO'!$C$4:$C$564=$A122,
N(INDEX('PORTIFÓLIO'!$J$4:$Q$564,,MATCH(P$2,'PORTIFÓLIO'!$J$3:$Q$3,0))) *
N('PORTIFÓLIO'!$S$4:$S$564),
0
)
),
0)</f>
        <v>0</v>
      </c>
      <c r="Q122" s="49">
        <f t="shared" si="12"/>
        <v>0</v>
      </c>
      <c r="R122" s="49">
        <f t="shared" si="2"/>
        <v>0</v>
      </c>
      <c r="S122" s="49">
        <f t="shared" si="13"/>
        <v>0</v>
      </c>
    </row>
    <row r="123" ht="15.75" hidden="1" customHeight="1" outlineLevel="1">
      <c r="A123" s="48" t="str">
        <f>IFERROR(__xludf.DUMMYFUNCTION("""COMPUTED_VALUE"""),"MANCOZEB CCAB 750 WG")</f>
        <v>MANCOZEB CCAB 750 WG</v>
      </c>
      <c r="B123" s="49">
        <f t="array" ref="B123">IFERROR(
SUM(
IF(
'PORTIFÓLIO'!$C$4:$C$564=$A123,
N(INDEX('PORTIFÓLIO'!$J$4:$Q$564,,MATCH(B$2,'PORTIFÓLIO'!$J$3:$Q$3,0))) *
N('PORTIFÓLIO'!$S$4:$S$564),
0
)
),
0)</f>
        <v>63389.7648</v>
      </c>
      <c r="C123" s="49">
        <f t="shared" si="5"/>
        <v>129.3668669</v>
      </c>
      <c r="D123" s="49">
        <f t="array" ref="D123">IFERROR(
SUM(
IF(
'PORTIFÓLIO'!$C$4:$C$564=$A123,
N(INDEX('PORTIFÓLIO'!$J$4:$Q$564,,MATCH(D$2,'PORTIFÓLIO'!$J$3:$Q$3,0))) *
N('PORTIFÓLIO'!$S$4:$S$564),
0
)
),
0)</f>
        <v>37369.512</v>
      </c>
      <c r="E123" s="49">
        <f t="shared" si="6"/>
        <v>124.56504</v>
      </c>
      <c r="F123" s="49">
        <f t="array" ref="F123">IFERROR(
SUM(
IF(
'PORTIFÓLIO'!$C$4:$C$564=$A123,
N(INDEX('PORTIFÓLIO'!$J$4:$Q$564,,MATCH(F$2,'PORTIFÓLIO'!$J$3:$Q$3,0))) *
N('PORTIFÓLIO'!$S$4:$S$564),
0
)
),
0)</f>
        <v>27404.3088</v>
      </c>
      <c r="G123" s="47">
        <f t="shared" si="7"/>
        <v>124.56504</v>
      </c>
      <c r="H123" s="49">
        <f t="array" ref="H123">IFERROR(
SUM(
IF(
'PORTIFÓLIO'!$C$4:$C$564=$A123,
N(INDEX('PORTIFÓLIO'!$J$4:$Q$564,,MATCH(H$2,'PORTIFÓLIO'!$J$3:$Q$3,0))) *
N('PORTIFÓLIO'!$S$4:$S$564),
0
)
),
0)</f>
        <v>0</v>
      </c>
      <c r="I123" s="47">
        <f t="shared" si="8"/>
        <v>0</v>
      </c>
      <c r="J123" s="49">
        <f t="array" ref="J123">IFERROR(
SUM(
IF(
'PORTIFÓLIO'!$C$4:$C$564=$A123,
N(INDEX('PORTIFÓLIO'!$J$4:$Q$564,,MATCH(J$2,'PORTIFÓLIO'!$J$3:$Q$3,0))) *
N('PORTIFÓLIO'!$S$4:$S$564),
0
)
),
0)</f>
        <v>0</v>
      </c>
      <c r="K123" s="47">
        <f t="shared" si="9"/>
        <v>0</v>
      </c>
      <c r="L123" s="49">
        <f t="array" ref="L123">IFERROR(
SUM(
IF(
'PORTIFÓLIO'!$C$4:$C$564=$A123,
N(INDEX('PORTIFÓLIO'!$J$4:$Q$564,,MATCH(L$2,'PORTIFÓLIO'!$J$3:$Q$3,0))) *
N('PORTIFÓLIO'!$S$4:$S$564),
0
)
),
0)</f>
        <v>18269.5392</v>
      </c>
      <c r="M123" s="47">
        <f t="shared" si="10"/>
        <v>83.04336</v>
      </c>
      <c r="N123" s="49">
        <f t="array" ref="N123">IFERROR(
SUM(
IF(
'PORTIFÓLIO'!$C$4:$C$564=$A123,
N(INDEX('PORTIFÓLIO'!$J$4:$Q$564,,MATCH(N$2,'PORTIFÓLIO'!$J$3:$Q$3,0))) *
N('PORTIFÓLIO'!$S$4:$S$564),
0
)
),
0)</f>
        <v>151720.2187</v>
      </c>
      <c r="O123" s="49">
        <f t="shared" si="11"/>
        <v>124.56504</v>
      </c>
      <c r="P123" s="49">
        <f t="array" ref="P123">IFERROR(
SUM(
IF(
'PORTIFÓLIO'!$C$4:$C$564=$A123,
N(INDEX('PORTIFÓLIO'!$J$4:$Q$564,,MATCH(P$2,'PORTIFÓLIO'!$J$3:$Q$3,0))) *
N('PORTIFÓLIO'!$S$4:$S$564),
0
)
),
0)</f>
        <v>39860.8128</v>
      </c>
      <c r="Q123" s="49">
        <f t="shared" si="12"/>
        <v>124.56504</v>
      </c>
      <c r="R123" s="49">
        <f t="shared" si="2"/>
        <v>310609.8475</v>
      </c>
      <c r="S123" s="49">
        <f t="shared" si="13"/>
        <v>92.88571995</v>
      </c>
    </row>
    <row r="124" ht="15.75" hidden="1" customHeight="1" outlineLevel="1">
      <c r="A124" s="48" t="str">
        <f>IFERROR(__xludf.DUMMYFUNCTION("""COMPUTED_VALUE"""),"APROACH POWER")</f>
        <v>APROACH POWER</v>
      </c>
      <c r="B124" s="49">
        <f t="array" ref="B124">IFERROR(
SUM(
IF(
'PORTIFÓLIO'!$C$4:$C$564=$A124,
N(INDEX('PORTIFÓLIO'!$J$4:$Q$564,,MATCH(B$2,'PORTIFÓLIO'!$J$3:$Q$3,0))) *
N('PORTIFÓLIO'!$S$4:$S$564),
0
)
),
0)</f>
        <v>19281.08448</v>
      </c>
      <c r="C124" s="49">
        <f t="shared" si="5"/>
        <v>39.349152</v>
      </c>
      <c r="D124" s="49">
        <f t="array" ref="D124">IFERROR(
SUM(
IF(
'PORTIFÓLIO'!$C$4:$C$564=$A124,
N(INDEX('PORTIFÓLIO'!$J$4:$Q$564,,MATCH(D$2,'PORTIFÓLIO'!$J$3:$Q$3,0))) *
N('PORTIFÓLIO'!$S$4:$S$564),
0
)
),
0)</f>
        <v>11804.7456</v>
      </c>
      <c r="E124" s="49">
        <f t="shared" si="6"/>
        <v>39.349152</v>
      </c>
      <c r="F124" s="49">
        <f t="array" ref="F124">IFERROR(
SUM(
IF(
'PORTIFÓLIO'!$C$4:$C$564=$A124,
N(INDEX('PORTIFÓLIO'!$J$4:$Q$564,,MATCH(F$2,'PORTIFÓLIO'!$J$3:$Q$3,0))) *
N('PORTIFÓLIO'!$S$4:$S$564),
0
)
),
0)</f>
        <v>8656.81344</v>
      </c>
      <c r="G124" s="47">
        <f t="shared" si="7"/>
        <v>39.349152</v>
      </c>
      <c r="H124" s="49">
        <f t="array" ref="H124">IFERROR(
SUM(
IF(
'PORTIFÓLIO'!$C$4:$C$564=$A124,
N(INDEX('PORTIFÓLIO'!$J$4:$Q$564,,MATCH(H$2,'PORTIFÓLIO'!$J$3:$Q$3,0))) *
N('PORTIFÓLIO'!$S$4:$S$564),
0
)
),
0)</f>
        <v>0</v>
      </c>
      <c r="I124" s="47">
        <f t="shared" si="8"/>
        <v>0</v>
      </c>
      <c r="J124" s="49">
        <f t="array" ref="J124">IFERROR(
SUM(
IF(
'PORTIFÓLIO'!$C$4:$C$564=$A124,
N(INDEX('PORTIFÓLIO'!$J$4:$Q$564,,MATCH(J$2,'PORTIFÓLIO'!$J$3:$Q$3,0))) *
N('PORTIFÓLIO'!$S$4:$S$564),
0
)
),
0)</f>
        <v>0</v>
      </c>
      <c r="K124" s="47">
        <f t="shared" si="9"/>
        <v>0</v>
      </c>
      <c r="L124" s="49">
        <f t="array" ref="L124">IFERROR(
SUM(
IF(
'PORTIFÓLIO'!$C$4:$C$564=$A124,
N(INDEX('PORTIFÓLIO'!$J$4:$Q$564,,MATCH(L$2,'PORTIFÓLIO'!$J$3:$Q$3,0))) *
N('PORTIFÓLIO'!$S$4:$S$564),
0
)
),
0)</f>
        <v>0</v>
      </c>
      <c r="M124" s="47">
        <f t="shared" si="10"/>
        <v>0</v>
      </c>
      <c r="N124" s="49">
        <f t="array" ref="N124">IFERROR(
SUM(
IF(
'PORTIFÓLIO'!$C$4:$C$564=$A124,
N(INDEX('PORTIFÓLIO'!$J$4:$Q$564,,MATCH(N$2,'PORTIFÓLIO'!$J$3:$Q$3,0))) *
N('PORTIFÓLIO'!$S$4:$S$564),
0
)
),
0)</f>
        <v>47927.26714</v>
      </c>
      <c r="O124" s="49">
        <f t="shared" si="11"/>
        <v>39.349152</v>
      </c>
      <c r="P124" s="49">
        <f t="array" ref="P124">IFERROR(
SUM(
IF(
'PORTIFÓLIO'!$C$4:$C$564=$A124,
N(INDEX('PORTIFÓLIO'!$J$4:$Q$564,,MATCH(P$2,'PORTIFÓLIO'!$J$3:$Q$3,0))) *
N('PORTIFÓLIO'!$S$4:$S$564),
0
)
),
0)</f>
        <v>12591.72864</v>
      </c>
      <c r="Q124" s="49">
        <f t="shared" si="12"/>
        <v>39.349152</v>
      </c>
      <c r="R124" s="49">
        <f t="shared" si="2"/>
        <v>91604.82586</v>
      </c>
      <c r="S124" s="49">
        <f t="shared" si="13"/>
        <v>27.39378764</v>
      </c>
    </row>
    <row r="125" ht="15.75" hidden="1" customHeight="1" outlineLevel="1">
      <c r="A125" s="48" t="str">
        <f>IFERROR(__xludf.DUMMYFUNCTION("""COMPUTED_VALUE"""),"APROACH PREMIUM")</f>
        <v>APROACH PREMIUM</v>
      </c>
      <c r="B125" s="49">
        <f t="array" ref="B125">IFERROR(
SUM(
IF(
'PORTIFÓLIO'!$C$4:$C$564=$A125,
N(INDEX('PORTIFÓLIO'!$J$4:$Q$564,,MATCH(B$2,'PORTIFÓLIO'!$J$3:$Q$3,0))) *
N('PORTIFÓLIO'!$S$4:$S$564),
0
)
),
0)</f>
        <v>0</v>
      </c>
      <c r="C125" s="49">
        <f t="shared" si="5"/>
        <v>0</v>
      </c>
      <c r="D125" s="49">
        <f t="array" ref="D125">IFERROR(
SUM(
IF(
'PORTIFÓLIO'!$C$4:$C$564=$A125,
N(INDEX('PORTIFÓLIO'!$J$4:$Q$564,,MATCH(D$2,'PORTIFÓLIO'!$J$3:$Q$3,0))) *
N('PORTIFÓLIO'!$S$4:$S$564),
0
)
),
0)</f>
        <v>0</v>
      </c>
      <c r="E125" s="49">
        <f t="shared" si="6"/>
        <v>0</v>
      </c>
      <c r="F125" s="49">
        <f t="array" ref="F125">IFERROR(
SUM(
IF(
'PORTIFÓLIO'!$C$4:$C$564=$A125,
N(INDEX('PORTIFÓLIO'!$J$4:$Q$564,,MATCH(F$2,'PORTIFÓLIO'!$J$3:$Q$3,0))) *
N('PORTIFÓLIO'!$S$4:$S$564),
0
)
),
0)</f>
        <v>0</v>
      </c>
      <c r="G125" s="47">
        <f t="shared" si="7"/>
        <v>0</v>
      </c>
      <c r="H125" s="49">
        <f t="array" ref="H125">IFERROR(
SUM(
IF(
'PORTIFÓLIO'!$C$4:$C$564=$A125,
N(INDEX('PORTIFÓLIO'!$J$4:$Q$564,,MATCH(H$2,'PORTIFÓLIO'!$J$3:$Q$3,0))) *
N('PORTIFÓLIO'!$S$4:$S$564),
0
)
),
0)</f>
        <v>0</v>
      </c>
      <c r="I125" s="47">
        <f t="shared" si="8"/>
        <v>0</v>
      </c>
      <c r="J125" s="49">
        <f t="array" ref="J125">IFERROR(
SUM(
IF(
'PORTIFÓLIO'!$C$4:$C$564=$A125,
N(INDEX('PORTIFÓLIO'!$J$4:$Q$564,,MATCH(J$2,'PORTIFÓLIO'!$J$3:$Q$3,0))) *
N('PORTIFÓLIO'!$S$4:$S$564),
0
)
),
0)</f>
        <v>0</v>
      </c>
      <c r="K125" s="47">
        <f t="shared" si="9"/>
        <v>0</v>
      </c>
      <c r="L125" s="49">
        <f t="array" ref="L125">IFERROR(
SUM(
IF(
'PORTIFÓLIO'!$C$4:$C$564=$A125,
N(INDEX('PORTIFÓLIO'!$J$4:$Q$564,,MATCH(L$2,'PORTIFÓLIO'!$J$3:$Q$3,0))) *
N('PORTIFÓLIO'!$S$4:$S$564),
0
)
),
0)</f>
        <v>0</v>
      </c>
      <c r="M125" s="47">
        <f t="shared" si="10"/>
        <v>0</v>
      </c>
      <c r="N125" s="49">
        <f t="array" ref="N125">IFERROR(
SUM(
IF(
'PORTIFÓLIO'!$C$4:$C$564=$A125,
N(INDEX('PORTIFÓLIO'!$J$4:$Q$564,,MATCH(N$2,'PORTIFÓLIO'!$J$3:$Q$3,0))) *
N('PORTIFÓLIO'!$S$4:$S$564),
0
)
),
0)</f>
        <v>0</v>
      </c>
      <c r="O125" s="49">
        <f t="shared" si="11"/>
        <v>0</v>
      </c>
      <c r="P125" s="49">
        <f t="array" ref="P125">IFERROR(
SUM(
IF(
'PORTIFÓLIO'!$C$4:$C$564=$A125,
N(INDEX('PORTIFÓLIO'!$J$4:$Q$564,,MATCH(P$2,'PORTIFÓLIO'!$J$3:$Q$3,0))) *
N('PORTIFÓLIO'!$S$4:$S$564),
0
)
),
0)</f>
        <v>0</v>
      </c>
      <c r="Q125" s="49">
        <f t="shared" si="12"/>
        <v>0</v>
      </c>
      <c r="R125" s="49">
        <f t="shared" si="2"/>
        <v>0</v>
      </c>
      <c r="S125" s="49">
        <f t="shared" si="13"/>
        <v>0</v>
      </c>
    </row>
    <row r="126" ht="15.75" hidden="1" customHeight="1" outlineLevel="1">
      <c r="A126" s="48" t="str">
        <f>IFERROR(__xludf.DUMMYFUNCTION("""COMPUTED_VALUE"""),"BIM 750 BR")</f>
        <v>BIM 750 BR</v>
      </c>
      <c r="B126" s="49">
        <f t="array" ref="B126">IFERROR(
SUM(
IF(
'PORTIFÓLIO'!$C$4:$C$564=$A126,
N(INDEX('PORTIFÓLIO'!$J$4:$Q$564,,MATCH(B$2,'PORTIFÓLIO'!$J$3:$Q$3,0))) *
N('PORTIFÓLIO'!$S$4:$S$564),
0
)
),
0)</f>
        <v>0</v>
      </c>
      <c r="C126" s="49">
        <f t="shared" si="5"/>
        <v>0</v>
      </c>
      <c r="D126" s="49">
        <f t="array" ref="D126">IFERROR(
SUM(
IF(
'PORTIFÓLIO'!$C$4:$C$564=$A126,
N(INDEX('PORTIFÓLIO'!$J$4:$Q$564,,MATCH(D$2,'PORTIFÓLIO'!$J$3:$Q$3,0))) *
N('PORTIFÓLIO'!$S$4:$S$564),
0
)
),
0)</f>
        <v>0</v>
      </c>
      <c r="E126" s="49">
        <f t="shared" si="6"/>
        <v>0</v>
      </c>
      <c r="F126" s="49">
        <f t="array" ref="F126">IFERROR(
SUM(
IF(
'PORTIFÓLIO'!$C$4:$C$564=$A126,
N(INDEX('PORTIFÓLIO'!$J$4:$Q$564,,MATCH(F$2,'PORTIFÓLIO'!$J$3:$Q$3,0))) *
N('PORTIFÓLIO'!$S$4:$S$564),
0
)
),
0)</f>
        <v>0</v>
      </c>
      <c r="G126" s="47">
        <f t="shared" si="7"/>
        <v>0</v>
      </c>
      <c r="H126" s="49">
        <f t="array" ref="H126">IFERROR(
SUM(
IF(
'PORTIFÓLIO'!$C$4:$C$564=$A126,
N(INDEX('PORTIFÓLIO'!$J$4:$Q$564,,MATCH(H$2,'PORTIFÓLIO'!$J$3:$Q$3,0))) *
N('PORTIFÓLIO'!$S$4:$S$564),
0
)
),
0)</f>
        <v>0</v>
      </c>
      <c r="I126" s="47">
        <f t="shared" si="8"/>
        <v>0</v>
      </c>
      <c r="J126" s="49">
        <f t="array" ref="J126">IFERROR(
SUM(
IF(
'PORTIFÓLIO'!$C$4:$C$564=$A126,
N(INDEX('PORTIFÓLIO'!$J$4:$Q$564,,MATCH(J$2,'PORTIFÓLIO'!$J$3:$Q$3,0))) *
N('PORTIFÓLIO'!$S$4:$S$564),
0
)
),
0)</f>
        <v>0</v>
      </c>
      <c r="K126" s="47">
        <f t="shared" si="9"/>
        <v>0</v>
      </c>
      <c r="L126" s="49">
        <f t="array" ref="L126">IFERROR(
SUM(
IF(
'PORTIFÓLIO'!$C$4:$C$564=$A126,
N(INDEX('PORTIFÓLIO'!$J$4:$Q$564,,MATCH(L$2,'PORTIFÓLIO'!$J$3:$Q$3,0))) *
N('PORTIFÓLIO'!$S$4:$S$564),
0
)
),
0)</f>
        <v>0</v>
      </c>
      <c r="M126" s="47">
        <f t="shared" si="10"/>
        <v>0</v>
      </c>
      <c r="N126" s="49">
        <f t="array" ref="N126">IFERROR(
SUM(
IF(
'PORTIFÓLIO'!$C$4:$C$564=$A126,
N(INDEX('PORTIFÓLIO'!$J$4:$Q$564,,MATCH(N$2,'PORTIFÓLIO'!$J$3:$Q$3,0))) *
N('PORTIFÓLIO'!$S$4:$S$564),
0
)
),
0)</f>
        <v>0</v>
      </c>
      <c r="O126" s="49">
        <f t="shared" si="11"/>
        <v>0</v>
      </c>
      <c r="P126" s="49">
        <f t="array" ref="P126">IFERROR(
SUM(
IF(
'PORTIFÓLIO'!$C$4:$C$564=$A126,
N(INDEX('PORTIFÓLIO'!$J$4:$Q$564,,MATCH(P$2,'PORTIFÓLIO'!$J$3:$Q$3,0))) *
N('PORTIFÓLIO'!$S$4:$S$564),
0
)
),
0)</f>
        <v>0</v>
      </c>
      <c r="Q126" s="49">
        <f t="shared" si="12"/>
        <v>0</v>
      </c>
      <c r="R126" s="49">
        <f t="shared" si="2"/>
        <v>0</v>
      </c>
      <c r="S126" s="49">
        <f t="shared" si="13"/>
        <v>0</v>
      </c>
    </row>
    <row r="127" ht="15.75" hidden="1" customHeight="1" outlineLevel="1">
      <c r="A127" s="48" t="str">
        <f>IFERROR(__xludf.DUMMYFUNCTION("""COMPUTED_VALUE"""),"BIM MAX")</f>
        <v>BIM MAX</v>
      </c>
      <c r="B127" s="49">
        <f t="array" ref="B127">IFERROR(
SUM(
IF(
'PORTIFÓLIO'!$C$4:$C$564=$A127,
N(INDEX('PORTIFÓLIO'!$J$4:$Q$564,,MATCH(B$2,'PORTIFÓLIO'!$J$3:$Q$3,0))) *
N('PORTIFÓLIO'!$S$4:$S$564),
0
)
),
0)</f>
        <v>0</v>
      </c>
      <c r="C127" s="49">
        <f t="shared" si="5"/>
        <v>0</v>
      </c>
      <c r="D127" s="49">
        <f t="array" ref="D127">IFERROR(
SUM(
IF(
'PORTIFÓLIO'!$C$4:$C$564=$A127,
N(INDEX('PORTIFÓLIO'!$J$4:$Q$564,,MATCH(D$2,'PORTIFÓLIO'!$J$3:$Q$3,0))) *
N('PORTIFÓLIO'!$S$4:$S$564),
0
)
),
0)</f>
        <v>0</v>
      </c>
      <c r="E127" s="49">
        <f t="shared" si="6"/>
        <v>0</v>
      </c>
      <c r="F127" s="49">
        <f t="array" ref="F127">IFERROR(
SUM(
IF(
'PORTIFÓLIO'!$C$4:$C$564=$A127,
N(INDEX('PORTIFÓLIO'!$J$4:$Q$564,,MATCH(F$2,'PORTIFÓLIO'!$J$3:$Q$3,0))) *
N('PORTIFÓLIO'!$S$4:$S$564),
0
)
),
0)</f>
        <v>0</v>
      </c>
      <c r="G127" s="47">
        <f t="shared" si="7"/>
        <v>0</v>
      </c>
      <c r="H127" s="49">
        <f t="array" ref="H127">IFERROR(
SUM(
IF(
'PORTIFÓLIO'!$C$4:$C$564=$A127,
N(INDEX('PORTIFÓLIO'!$J$4:$Q$564,,MATCH(H$2,'PORTIFÓLIO'!$J$3:$Q$3,0))) *
N('PORTIFÓLIO'!$S$4:$S$564),
0
)
),
0)</f>
        <v>0</v>
      </c>
      <c r="I127" s="47">
        <f t="shared" si="8"/>
        <v>0</v>
      </c>
      <c r="J127" s="49">
        <f t="array" ref="J127">IFERROR(
SUM(
IF(
'PORTIFÓLIO'!$C$4:$C$564=$A127,
N(INDEX('PORTIFÓLIO'!$J$4:$Q$564,,MATCH(J$2,'PORTIFÓLIO'!$J$3:$Q$3,0))) *
N('PORTIFÓLIO'!$S$4:$S$564),
0
)
),
0)</f>
        <v>0</v>
      </c>
      <c r="K127" s="47">
        <f t="shared" si="9"/>
        <v>0</v>
      </c>
      <c r="L127" s="49">
        <f t="array" ref="L127">IFERROR(
SUM(
IF(
'PORTIFÓLIO'!$C$4:$C$564=$A127,
N(INDEX('PORTIFÓLIO'!$J$4:$Q$564,,MATCH(L$2,'PORTIFÓLIO'!$J$3:$Q$3,0))) *
N('PORTIFÓLIO'!$S$4:$S$564),
0
)
),
0)</f>
        <v>0</v>
      </c>
      <c r="M127" s="47">
        <f t="shared" si="10"/>
        <v>0</v>
      </c>
      <c r="N127" s="49">
        <f t="array" ref="N127">IFERROR(
SUM(
IF(
'PORTIFÓLIO'!$C$4:$C$564=$A127,
N(INDEX('PORTIFÓLIO'!$J$4:$Q$564,,MATCH(N$2,'PORTIFÓLIO'!$J$3:$Q$3,0))) *
N('PORTIFÓLIO'!$S$4:$S$564),
0
)
),
0)</f>
        <v>0</v>
      </c>
      <c r="O127" s="49">
        <f t="shared" si="11"/>
        <v>0</v>
      </c>
      <c r="P127" s="49">
        <f t="array" ref="P127">IFERROR(
SUM(
IF(
'PORTIFÓLIO'!$C$4:$C$564=$A127,
N(INDEX('PORTIFÓLIO'!$J$4:$Q$564,,MATCH(P$2,'PORTIFÓLIO'!$J$3:$Q$3,0))) *
N('PORTIFÓLIO'!$S$4:$S$564),
0
)
),
0)</f>
        <v>0</v>
      </c>
      <c r="Q127" s="49">
        <f t="shared" si="12"/>
        <v>0</v>
      </c>
      <c r="R127" s="49">
        <f t="shared" si="2"/>
        <v>0</v>
      </c>
      <c r="S127" s="49">
        <f t="shared" si="13"/>
        <v>0</v>
      </c>
    </row>
    <row r="128" ht="15.75" hidden="1" customHeight="1" outlineLevel="1">
      <c r="A128" s="48" t="str">
        <f>IFERROR(__xludf.DUMMYFUNCTION("""COMPUTED_VALUE"""),"ORANIS")</f>
        <v>ORANIS</v>
      </c>
      <c r="B128" s="49">
        <f t="array" ref="B128">IFERROR(
SUM(
IF(
'PORTIFÓLIO'!$C$4:$C$564=$A128,
N(INDEX('PORTIFÓLIO'!$J$4:$Q$564,,MATCH(B$2,'PORTIFÓLIO'!$J$3:$Q$3,0))) *
N('PORTIFÓLIO'!$S$4:$S$564),
0
)
),
0)</f>
        <v>0</v>
      </c>
      <c r="C128" s="49">
        <f t="shared" si="5"/>
        <v>0</v>
      </c>
      <c r="D128" s="49">
        <f t="array" ref="D128">IFERROR(
SUM(
IF(
'PORTIFÓLIO'!$C$4:$C$564=$A128,
N(INDEX('PORTIFÓLIO'!$J$4:$Q$564,,MATCH(D$2,'PORTIFÓLIO'!$J$3:$Q$3,0))) *
N('PORTIFÓLIO'!$S$4:$S$564),
0
)
),
0)</f>
        <v>0</v>
      </c>
      <c r="E128" s="49">
        <f t="shared" si="6"/>
        <v>0</v>
      </c>
      <c r="F128" s="49">
        <f t="array" ref="F128">IFERROR(
SUM(
IF(
'PORTIFÓLIO'!$C$4:$C$564=$A128,
N(INDEX('PORTIFÓLIO'!$J$4:$Q$564,,MATCH(F$2,'PORTIFÓLIO'!$J$3:$Q$3,0))) *
N('PORTIFÓLIO'!$S$4:$S$564),
0
)
),
0)</f>
        <v>0</v>
      </c>
      <c r="G128" s="47">
        <f t="shared" si="7"/>
        <v>0</v>
      </c>
      <c r="H128" s="49">
        <f t="array" ref="H128">IFERROR(
SUM(
IF(
'PORTIFÓLIO'!$C$4:$C$564=$A128,
N(INDEX('PORTIFÓLIO'!$J$4:$Q$564,,MATCH(H$2,'PORTIFÓLIO'!$J$3:$Q$3,0))) *
N('PORTIFÓLIO'!$S$4:$S$564),
0
)
),
0)</f>
        <v>0</v>
      </c>
      <c r="I128" s="47">
        <f t="shared" si="8"/>
        <v>0</v>
      </c>
      <c r="J128" s="49">
        <f t="array" ref="J128">IFERROR(
SUM(
IF(
'PORTIFÓLIO'!$C$4:$C$564=$A128,
N(INDEX('PORTIFÓLIO'!$J$4:$Q$564,,MATCH(J$2,'PORTIFÓLIO'!$J$3:$Q$3,0))) *
N('PORTIFÓLIO'!$S$4:$S$564),
0
)
),
0)</f>
        <v>0</v>
      </c>
      <c r="K128" s="47">
        <f t="shared" si="9"/>
        <v>0</v>
      </c>
      <c r="L128" s="49">
        <f t="array" ref="L128">IFERROR(
SUM(
IF(
'PORTIFÓLIO'!$C$4:$C$564=$A128,
N(INDEX('PORTIFÓLIO'!$J$4:$Q$564,,MATCH(L$2,'PORTIFÓLIO'!$J$3:$Q$3,0))) *
N('PORTIFÓLIO'!$S$4:$S$564),
0
)
),
0)</f>
        <v>0</v>
      </c>
      <c r="M128" s="47">
        <f t="shared" si="10"/>
        <v>0</v>
      </c>
      <c r="N128" s="49">
        <f t="array" ref="N128">IFERROR(
SUM(
IF(
'PORTIFÓLIO'!$C$4:$C$564=$A128,
N(INDEX('PORTIFÓLIO'!$J$4:$Q$564,,MATCH(N$2,'PORTIFÓLIO'!$J$3:$Q$3,0))) *
N('PORTIFÓLIO'!$S$4:$S$564),
0
)
),
0)</f>
        <v>0</v>
      </c>
      <c r="O128" s="49">
        <f t="shared" si="11"/>
        <v>0</v>
      </c>
      <c r="P128" s="49">
        <f t="array" ref="P128">IFERROR(
SUM(
IF(
'PORTIFÓLIO'!$C$4:$C$564=$A128,
N(INDEX('PORTIFÓLIO'!$J$4:$Q$564,,MATCH(P$2,'PORTIFÓLIO'!$J$3:$Q$3,0))) *
N('PORTIFÓLIO'!$S$4:$S$564),
0
)
),
0)</f>
        <v>0</v>
      </c>
      <c r="Q128" s="49">
        <f t="shared" si="12"/>
        <v>0</v>
      </c>
      <c r="R128" s="49">
        <f t="shared" si="2"/>
        <v>0</v>
      </c>
      <c r="S128" s="49">
        <f t="shared" si="13"/>
        <v>0</v>
      </c>
    </row>
    <row r="129" ht="15.75" hidden="1" customHeight="1" outlineLevel="1">
      <c r="A129" s="48" t="str">
        <f>IFERROR(__xludf.DUMMYFUNCTION("""COMPUTED_VALUE"""),"VESSARYA")</f>
        <v>VESSARYA</v>
      </c>
      <c r="B129" s="49">
        <f t="array" ref="B129">IFERROR(
SUM(
IF(
'PORTIFÓLIO'!$C$4:$C$564=$A129,
N(INDEX('PORTIFÓLIO'!$J$4:$Q$564,,MATCH(B$2,'PORTIFÓLIO'!$J$3:$Q$3,0))) *
N('PORTIFÓLIO'!$S$4:$S$564),
0
)
),
0)</f>
        <v>0</v>
      </c>
      <c r="C129" s="49">
        <f t="shared" si="5"/>
        <v>0</v>
      </c>
      <c r="D129" s="49">
        <f t="array" ref="D129">IFERROR(
SUM(
IF(
'PORTIFÓLIO'!$C$4:$C$564=$A129,
N(INDEX('PORTIFÓLIO'!$J$4:$Q$564,,MATCH(D$2,'PORTIFÓLIO'!$J$3:$Q$3,0))) *
N('PORTIFÓLIO'!$S$4:$S$564),
0
)
),
0)</f>
        <v>0</v>
      </c>
      <c r="E129" s="49">
        <f t="shared" si="6"/>
        <v>0</v>
      </c>
      <c r="F129" s="49">
        <f t="array" ref="F129">IFERROR(
SUM(
IF(
'PORTIFÓLIO'!$C$4:$C$564=$A129,
N(INDEX('PORTIFÓLIO'!$J$4:$Q$564,,MATCH(F$2,'PORTIFÓLIO'!$J$3:$Q$3,0))) *
N('PORTIFÓLIO'!$S$4:$S$564),
0
)
),
0)</f>
        <v>0</v>
      </c>
      <c r="G129" s="47">
        <f t="shared" si="7"/>
        <v>0</v>
      </c>
      <c r="H129" s="49">
        <f t="array" ref="H129">IFERROR(
SUM(
IF(
'PORTIFÓLIO'!$C$4:$C$564=$A129,
N(INDEX('PORTIFÓLIO'!$J$4:$Q$564,,MATCH(H$2,'PORTIFÓLIO'!$J$3:$Q$3,0))) *
N('PORTIFÓLIO'!$S$4:$S$564),
0
)
),
0)</f>
        <v>0</v>
      </c>
      <c r="I129" s="47">
        <f t="shared" si="8"/>
        <v>0</v>
      </c>
      <c r="J129" s="49">
        <f t="array" ref="J129">IFERROR(
SUM(
IF(
'PORTIFÓLIO'!$C$4:$C$564=$A129,
N(INDEX('PORTIFÓLIO'!$J$4:$Q$564,,MATCH(J$2,'PORTIFÓLIO'!$J$3:$Q$3,0))) *
N('PORTIFÓLIO'!$S$4:$S$564),
0
)
),
0)</f>
        <v>0</v>
      </c>
      <c r="K129" s="47">
        <f t="shared" si="9"/>
        <v>0</v>
      </c>
      <c r="L129" s="49">
        <f t="array" ref="L129">IFERROR(
SUM(
IF(
'PORTIFÓLIO'!$C$4:$C$564=$A129,
N(INDEX('PORTIFÓLIO'!$J$4:$Q$564,,MATCH(L$2,'PORTIFÓLIO'!$J$3:$Q$3,0))) *
N('PORTIFÓLIO'!$S$4:$S$564),
0
)
),
0)</f>
        <v>0</v>
      </c>
      <c r="M129" s="47">
        <f t="shared" si="10"/>
        <v>0</v>
      </c>
      <c r="N129" s="49">
        <f t="array" ref="N129">IFERROR(
SUM(
IF(
'PORTIFÓLIO'!$C$4:$C$564=$A129,
N(INDEX('PORTIFÓLIO'!$J$4:$Q$564,,MATCH(N$2,'PORTIFÓLIO'!$J$3:$Q$3,0))) *
N('PORTIFÓLIO'!$S$4:$S$564),
0
)
),
0)</f>
        <v>0</v>
      </c>
      <c r="O129" s="49">
        <f t="shared" si="11"/>
        <v>0</v>
      </c>
      <c r="P129" s="49">
        <f t="array" ref="P129">IFERROR(
SUM(
IF(
'PORTIFÓLIO'!$C$4:$C$564=$A129,
N(INDEX('PORTIFÓLIO'!$J$4:$Q$564,,MATCH(P$2,'PORTIFÓLIO'!$J$3:$Q$3,0))) *
N('PORTIFÓLIO'!$S$4:$S$564),
0
)
),
0)</f>
        <v>0</v>
      </c>
      <c r="Q129" s="49">
        <f t="shared" si="12"/>
        <v>0</v>
      </c>
      <c r="R129" s="49">
        <f t="shared" si="2"/>
        <v>0</v>
      </c>
      <c r="S129" s="49">
        <f t="shared" si="13"/>
        <v>0</v>
      </c>
    </row>
    <row r="130" ht="15.75" hidden="1" customHeight="1" outlineLevel="1">
      <c r="A130" s="48" t="str">
        <f>IFERROR(__xludf.DUMMYFUNCTION("""COMPUTED_VALUE"""),"CHARRUA 430 SC")</f>
        <v>CHARRUA 430 SC</v>
      </c>
      <c r="B130" s="49">
        <f t="array" ref="B130">IFERROR(
SUM(
IF(
'PORTIFÓLIO'!$C$4:$C$564=$A130,
N(INDEX('PORTIFÓLIO'!$J$4:$Q$564,,MATCH(B$2,'PORTIFÓLIO'!$J$3:$Q$3,0))) *
N('PORTIFÓLIO'!$S$4:$S$564),
0
)
),
0)</f>
        <v>0</v>
      </c>
      <c r="C130" s="49">
        <f t="shared" si="5"/>
        <v>0</v>
      </c>
      <c r="D130" s="49">
        <f t="array" ref="D130">IFERROR(
SUM(
IF(
'PORTIFÓLIO'!$C$4:$C$564=$A130,
N(INDEX('PORTIFÓLIO'!$J$4:$Q$564,,MATCH(D$2,'PORTIFÓLIO'!$J$3:$Q$3,0))) *
N('PORTIFÓLIO'!$S$4:$S$564),
0
)
),
0)</f>
        <v>0</v>
      </c>
      <c r="E130" s="49">
        <f t="shared" si="6"/>
        <v>0</v>
      </c>
      <c r="F130" s="49">
        <f t="array" ref="F130">IFERROR(
SUM(
IF(
'PORTIFÓLIO'!$C$4:$C$564=$A130,
N(INDEX('PORTIFÓLIO'!$J$4:$Q$564,,MATCH(F$2,'PORTIFÓLIO'!$J$3:$Q$3,0))) *
N('PORTIFÓLIO'!$S$4:$S$564),
0
)
),
0)</f>
        <v>0</v>
      </c>
      <c r="G130" s="47">
        <f t="shared" si="7"/>
        <v>0</v>
      </c>
      <c r="H130" s="49">
        <f t="array" ref="H130">IFERROR(
SUM(
IF(
'PORTIFÓLIO'!$C$4:$C$564=$A130,
N(INDEX('PORTIFÓLIO'!$J$4:$Q$564,,MATCH(H$2,'PORTIFÓLIO'!$J$3:$Q$3,0))) *
N('PORTIFÓLIO'!$S$4:$S$564),
0
)
),
0)</f>
        <v>0</v>
      </c>
      <c r="I130" s="47">
        <f t="shared" si="8"/>
        <v>0</v>
      </c>
      <c r="J130" s="49">
        <f t="array" ref="J130">IFERROR(
SUM(
IF(
'PORTIFÓLIO'!$C$4:$C$564=$A130,
N(INDEX('PORTIFÓLIO'!$J$4:$Q$564,,MATCH(J$2,'PORTIFÓLIO'!$J$3:$Q$3,0))) *
N('PORTIFÓLIO'!$S$4:$S$564),
0
)
),
0)</f>
        <v>0</v>
      </c>
      <c r="K130" s="47">
        <f t="shared" si="9"/>
        <v>0</v>
      </c>
      <c r="L130" s="49">
        <f t="array" ref="L130">IFERROR(
SUM(
IF(
'PORTIFÓLIO'!$C$4:$C$564=$A130,
N(INDEX('PORTIFÓLIO'!$J$4:$Q$564,,MATCH(L$2,'PORTIFÓLIO'!$J$3:$Q$3,0))) *
N('PORTIFÓLIO'!$S$4:$S$564),
0
)
),
0)</f>
        <v>0</v>
      </c>
      <c r="M130" s="47">
        <f t="shared" si="10"/>
        <v>0</v>
      </c>
      <c r="N130" s="49">
        <f t="array" ref="N130">IFERROR(
SUM(
IF(
'PORTIFÓLIO'!$C$4:$C$564=$A130,
N(INDEX('PORTIFÓLIO'!$J$4:$Q$564,,MATCH(N$2,'PORTIFÓLIO'!$J$3:$Q$3,0))) *
N('PORTIFÓLIO'!$S$4:$S$564),
0
)
),
0)</f>
        <v>14838.1632</v>
      </c>
      <c r="O130" s="49">
        <f t="shared" si="11"/>
        <v>12.1824</v>
      </c>
      <c r="P130" s="49">
        <f t="array" ref="P130">IFERROR(
SUM(
IF(
'PORTIFÓLIO'!$C$4:$C$564=$A130,
N(INDEX('PORTIFÓLIO'!$J$4:$Q$564,,MATCH(P$2,'PORTIFÓLIO'!$J$3:$Q$3,0))) *
N('PORTIFÓLIO'!$S$4:$S$564),
0
)
),
0)</f>
        <v>3898.368</v>
      </c>
      <c r="Q130" s="49">
        <f t="shared" si="12"/>
        <v>12.1824</v>
      </c>
      <c r="R130" s="49">
        <f t="shared" si="2"/>
        <v>18736.5312</v>
      </c>
      <c r="S130" s="49">
        <f t="shared" si="13"/>
        <v>5.603029665</v>
      </c>
    </row>
    <row r="131" ht="15.75" hidden="1" customHeight="1" outlineLevel="1">
      <c r="A131" s="48" t="str">
        <f>IFERROR(__xludf.DUMMYFUNCTION("""COMPUTED_VALUE"""),"SEVARE 250 EC")</f>
        <v>SEVARE 250 EC</v>
      </c>
      <c r="B131" s="49">
        <f t="array" ref="B131">IFERROR(
SUM(
IF(
'PORTIFÓLIO'!$C$4:$C$564=$A131,
N(INDEX('PORTIFÓLIO'!$J$4:$Q$564,,MATCH(B$2,'PORTIFÓLIO'!$J$3:$Q$3,0))) *
N('PORTIFÓLIO'!$S$4:$S$564),
0
)
),
0)</f>
        <v>0</v>
      </c>
      <c r="C131" s="49">
        <f t="shared" si="5"/>
        <v>0</v>
      </c>
      <c r="D131" s="49">
        <f t="array" ref="D131">IFERROR(
SUM(
IF(
'PORTIFÓLIO'!$C$4:$C$564=$A131,
N(INDEX('PORTIFÓLIO'!$J$4:$Q$564,,MATCH(D$2,'PORTIFÓLIO'!$J$3:$Q$3,0))) *
N('PORTIFÓLIO'!$S$4:$S$564),
0
)
),
0)</f>
        <v>0</v>
      </c>
      <c r="E131" s="49">
        <f t="shared" si="6"/>
        <v>0</v>
      </c>
      <c r="F131" s="49">
        <f t="array" ref="F131">IFERROR(
SUM(
IF(
'PORTIFÓLIO'!$C$4:$C$564=$A131,
N(INDEX('PORTIFÓLIO'!$J$4:$Q$564,,MATCH(F$2,'PORTIFÓLIO'!$J$3:$Q$3,0))) *
N('PORTIFÓLIO'!$S$4:$S$564),
0
)
),
0)</f>
        <v>0</v>
      </c>
      <c r="G131" s="47">
        <f t="shared" si="7"/>
        <v>0</v>
      </c>
      <c r="H131" s="49">
        <f t="array" ref="H131">IFERROR(
SUM(
IF(
'PORTIFÓLIO'!$C$4:$C$564=$A131,
N(INDEX('PORTIFÓLIO'!$J$4:$Q$564,,MATCH(H$2,'PORTIFÓLIO'!$J$3:$Q$3,0))) *
N('PORTIFÓLIO'!$S$4:$S$564),
0
)
),
0)</f>
        <v>0</v>
      </c>
      <c r="I131" s="47">
        <f t="shared" si="8"/>
        <v>0</v>
      </c>
      <c r="J131" s="49">
        <f t="array" ref="J131">IFERROR(
SUM(
IF(
'PORTIFÓLIO'!$C$4:$C$564=$A131,
N(INDEX('PORTIFÓLIO'!$J$4:$Q$564,,MATCH(J$2,'PORTIFÓLIO'!$J$3:$Q$3,0))) *
N('PORTIFÓLIO'!$S$4:$S$564),
0
)
),
0)</f>
        <v>0</v>
      </c>
      <c r="K131" s="47">
        <f t="shared" si="9"/>
        <v>0</v>
      </c>
      <c r="L131" s="49">
        <f t="array" ref="L131">IFERROR(
SUM(
IF(
'PORTIFÓLIO'!$C$4:$C$564=$A131,
N(INDEX('PORTIFÓLIO'!$J$4:$Q$564,,MATCH(L$2,'PORTIFÓLIO'!$J$3:$Q$3,0))) *
N('PORTIFÓLIO'!$S$4:$S$564),
0
)
),
0)</f>
        <v>0</v>
      </c>
      <c r="M131" s="47">
        <f t="shared" si="10"/>
        <v>0</v>
      </c>
      <c r="N131" s="49">
        <f t="array" ref="N131">IFERROR(
SUM(
IF(
'PORTIFÓLIO'!$C$4:$C$564=$A131,
N(INDEX('PORTIFÓLIO'!$J$4:$Q$564,,MATCH(N$2,'PORTIFÓLIO'!$J$3:$Q$3,0))) *
N('PORTIFÓLIO'!$S$4:$S$564),
0
)
),
0)</f>
        <v>0</v>
      </c>
      <c r="O131" s="49">
        <f t="shared" si="11"/>
        <v>0</v>
      </c>
      <c r="P131" s="49">
        <f t="array" ref="P131">IFERROR(
SUM(
IF(
'PORTIFÓLIO'!$C$4:$C$564=$A131,
N(INDEX('PORTIFÓLIO'!$J$4:$Q$564,,MATCH(P$2,'PORTIFÓLIO'!$J$3:$Q$3,0))) *
N('PORTIFÓLIO'!$S$4:$S$564),
0
)
),
0)</f>
        <v>0</v>
      </c>
      <c r="Q131" s="49">
        <f t="shared" si="12"/>
        <v>0</v>
      </c>
      <c r="R131" s="49">
        <f t="shared" si="2"/>
        <v>0</v>
      </c>
      <c r="S131" s="49">
        <f t="shared" si="13"/>
        <v>0</v>
      </c>
    </row>
    <row r="132" ht="15.75" hidden="1" customHeight="1" outlineLevel="1">
      <c r="A132" s="48" t="str">
        <f>IFERROR(__xludf.DUMMYFUNCTION("""COMPUTED_VALUE"""),"VENCER DUO")</f>
        <v>VENCER DUO</v>
      </c>
      <c r="B132" s="49">
        <f t="array" ref="B132">IFERROR(
SUM(
IF(
'PORTIFÓLIO'!$C$4:$C$564=$A132,
N(INDEX('PORTIFÓLIO'!$J$4:$Q$564,,MATCH(B$2,'PORTIFÓLIO'!$J$3:$Q$3,0))) *
N('PORTIFÓLIO'!$S$4:$S$564),
0
)
),
0)</f>
        <v>0</v>
      </c>
      <c r="C132" s="49">
        <f t="shared" si="5"/>
        <v>0</v>
      </c>
      <c r="D132" s="49">
        <f t="array" ref="D132">IFERROR(
SUM(
IF(
'PORTIFÓLIO'!$C$4:$C$564=$A132,
N(INDEX('PORTIFÓLIO'!$J$4:$Q$564,,MATCH(D$2,'PORTIFÓLIO'!$J$3:$Q$3,0))) *
N('PORTIFÓLIO'!$S$4:$S$564),
0
)
),
0)</f>
        <v>0</v>
      </c>
      <c r="E132" s="49">
        <f t="shared" si="6"/>
        <v>0</v>
      </c>
      <c r="F132" s="49">
        <f t="array" ref="F132">IFERROR(
SUM(
IF(
'PORTIFÓLIO'!$C$4:$C$564=$A132,
N(INDEX('PORTIFÓLIO'!$J$4:$Q$564,,MATCH(F$2,'PORTIFÓLIO'!$J$3:$Q$3,0))) *
N('PORTIFÓLIO'!$S$4:$S$564),
0
)
),
0)</f>
        <v>0</v>
      </c>
      <c r="G132" s="47">
        <f t="shared" si="7"/>
        <v>0</v>
      </c>
      <c r="H132" s="49">
        <f t="array" ref="H132">IFERROR(
SUM(
IF(
'PORTIFÓLIO'!$C$4:$C$564=$A132,
N(INDEX('PORTIFÓLIO'!$J$4:$Q$564,,MATCH(H$2,'PORTIFÓLIO'!$J$3:$Q$3,0))) *
N('PORTIFÓLIO'!$S$4:$S$564),
0
)
),
0)</f>
        <v>0</v>
      </c>
      <c r="I132" s="47">
        <f t="shared" si="8"/>
        <v>0</v>
      </c>
      <c r="J132" s="49">
        <f t="array" ref="J132">IFERROR(
SUM(
IF(
'PORTIFÓLIO'!$C$4:$C$564=$A132,
N(INDEX('PORTIFÓLIO'!$J$4:$Q$564,,MATCH(J$2,'PORTIFÓLIO'!$J$3:$Q$3,0))) *
N('PORTIFÓLIO'!$S$4:$S$564),
0
)
),
0)</f>
        <v>0</v>
      </c>
      <c r="K132" s="47">
        <f t="shared" si="9"/>
        <v>0</v>
      </c>
      <c r="L132" s="49">
        <f t="array" ref="L132">IFERROR(
SUM(
IF(
'PORTIFÓLIO'!$C$4:$C$564=$A132,
N(INDEX('PORTIFÓLIO'!$J$4:$Q$564,,MATCH(L$2,'PORTIFÓLIO'!$J$3:$Q$3,0))) *
N('PORTIFÓLIO'!$S$4:$S$564),
0
)
),
0)</f>
        <v>0</v>
      </c>
      <c r="M132" s="47">
        <f t="shared" si="10"/>
        <v>0</v>
      </c>
      <c r="N132" s="49">
        <f t="array" ref="N132">IFERROR(
SUM(
IF(
'PORTIFÓLIO'!$C$4:$C$564=$A132,
N(INDEX('PORTIFÓLIO'!$J$4:$Q$564,,MATCH(N$2,'PORTIFÓLIO'!$J$3:$Q$3,0))) *
N('PORTIFÓLIO'!$S$4:$S$564),
0
)
),
0)</f>
        <v>0</v>
      </c>
      <c r="O132" s="49">
        <f t="shared" si="11"/>
        <v>0</v>
      </c>
      <c r="P132" s="49">
        <f t="array" ref="P132">IFERROR(
SUM(
IF(
'PORTIFÓLIO'!$C$4:$C$564=$A132,
N(INDEX('PORTIFÓLIO'!$J$4:$Q$564,,MATCH(P$2,'PORTIFÓLIO'!$J$3:$Q$3,0))) *
N('PORTIFÓLIO'!$S$4:$S$564),
0
)
),
0)</f>
        <v>0</v>
      </c>
      <c r="Q132" s="49">
        <f t="shared" si="12"/>
        <v>0</v>
      </c>
      <c r="R132" s="49">
        <f t="shared" si="2"/>
        <v>0</v>
      </c>
      <c r="S132" s="49">
        <f t="shared" si="13"/>
        <v>0</v>
      </c>
    </row>
    <row r="133" ht="15.75" hidden="1" customHeight="1" outlineLevel="1">
      <c r="A133" s="48" t="str">
        <f>IFERROR(__xludf.DUMMYFUNCTION("""COMPUTED_VALUE"""),"ONSUVA")</f>
        <v>ONSUVA</v>
      </c>
      <c r="B133" s="49">
        <f t="array" ref="B133">IFERROR(
SUM(
IF(
'PORTIFÓLIO'!$C$4:$C$564=$A133,
N(INDEX('PORTIFÓLIO'!$J$4:$Q$564,,MATCH(B$2,'PORTIFÓLIO'!$J$3:$Q$3,0))) *
N('PORTIFÓLIO'!$S$4:$S$564),
0
)
),
0)</f>
        <v>0</v>
      </c>
      <c r="C133" s="49">
        <f t="shared" si="5"/>
        <v>0</v>
      </c>
      <c r="D133" s="49">
        <f t="array" ref="D133">IFERROR(
SUM(
IF(
'PORTIFÓLIO'!$C$4:$C$564=$A133,
N(INDEX('PORTIFÓLIO'!$J$4:$Q$564,,MATCH(D$2,'PORTIFÓLIO'!$J$3:$Q$3,0))) *
N('PORTIFÓLIO'!$S$4:$S$564),
0
)
),
0)</f>
        <v>0</v>
      </c>
      <c r="E133" s="49">
        <f t="shared" si="6"/>
        <v>0</v>
      </c>
      <c r="F133" s="49">
        <f t="array" ref="F133">IFERROR(
SUM(
IF(
'PORTIFÓLIO'!$C$4:$C$564=$A133,
N(INDEX('PORTIFÓLIO'!$J$4:$Q$564,,MATCH(F$2,'PORTIFÓLIO'!$J$3:$Q$3,0))) *
N('PORTIFÓLIO'!$S$4:$S$564),
0
)
),
0)</f>
        <v>0</v>
      </c>
      <c r="G133" s="47">
        <f t="shared" si="7"/>
        <v>0</v>
      </c>
      <c r="H133" s="49">
        <f t="array" ref="H133">IFERROR(
SUM(
IF(
'PORTIFÓLIO'!$C$4:$C$564=$A133,
N(INDEX('PORTIFÓLIO'!$J$4:$Q$564,,MATCH(H$2,'PORTIFÓLIO'!$J$3:$Q$3,0))) *
N('PORTIFÓLIO'!$S$4:$S$564),
0
)
),
0)</f>
        <v>0</v>
      </c>
      <c r="I133" s="47">
        <f t="shared" si="8"/>
        <v>0</v>
      </c>
      <c r="J133" s="49">
        <f t="array" ref="J133">IFERROR(
SUM(
IF(
'PORTIFÓLIO'!$C$4:$C$564=$A133,
N(INDEX('PORTIFÓLIO'!$J$4:$Q$564,,MATCH(J$2,'PORTIFÓLIO'!$J$3:$Q$3,0))) *
N('PORTIFÓLIO'!$S$4:$S$564),
0
)
),
0)</f>
        <v>0</v>
      </c>
      <c r="K133" s="47">
        <f t="shared" si="9"/>
        <v>0</v>
      </c>
      <c r="L133" s="49">
        <f t="array" ref="L133">IFERROR(
SUM(
IF(
'PORTIFÓLIO'!$C$4:$C$564=$A133,
N(INDEX('PORTIFÓLIO'!$J$4:$Q$564,,MATCH(L$2,'PORTIFÓLIO'!$J$3:$Q$3,0))) *
N('PORTIFÓLIO'!$S$4:$S$564),
0
)
),
0)</f>
        <v>0</v>
      </c>
      <c r="M133" s="47">
        <f t="shared" si="10"/>
        <v>0</v>
      </c>
      <c r="N133" s="49">
        <f t="array" ref="N133">IFERROR(
SUM(
IF(
'PORTIFÓLIO'!$C$4:$C$564=$A133,
N(INDEX('PORTIFÓLIO'!$J$4:$Q$564,,MATCH(N$2,'PORTIFÓLIO'!$J$3:$Q$3,0))) *
N('PORTIFÓLIO'!$S$4:$S$564),
0
)
),
0)</f>
        <v>0</v>
      </c>
      <c r="O133" s="49">
        <f t="shared" si="11"/>
        <v>0</v>
      </c>
      <c r="P133" s="49">
        <f t="array" ref="P133">IFERROR(
SUM(
IF(
'PORTIFÓLIO'!$C$4:$C$564=$A133,
N(INDEX('PORTIFÓLIO'!$J$4:$Q$564,,MATCH(P$2,'PORTIFÓLIO'!$J$3:$Q$3,0))) *
N('PORTIFÓLIO'!$S$4:$S$564),
0
)
),
0)</f>
        <v>0</v>
      </c>
      <c r="Q133" s="49">
        <f t="shared" si="12"/>
        <v>0</v>
      </c>
      <c r="R133" s="49">
        <f t="shared" si="2"/>
        <v>0</v>
      </c>
      <c r="S133" s="49">
        <f t="shared" si="13"/>
        <v>0</v>
      </c>
    </row>
    <row r="134" ht="15.75" hidden="1" customHeight="1" outlineLevel="1">
      <c r="A134" s="48" t="str">
        <f>IFERROR(__xludf.DUMMYFUNCTION("""COMPUTED_VALUE"""),"BOSCALID NORTOX 500 WG")</f>
        <v>BOSCALID NORTOX 500 WG</v>
      </c>
      <c r="B134" s="49">
        <f t="array" ref="B134">IFERROR(
SUM(
IF(
'PORTIFÓLIO'!$C$4:$C$564=$A134,
N(INDEX('PORTIFÓLIO'!$J$4:$Q$564,,MATCH(B$2,'PORTIFÓLIO'!$J$3:$Q$3,0))) *
N('PORTIFÓLIO'!$S$4:$S$564),
0
)
),
0)</f>
        <v>0</v>
      </c>
      <c r="C134" s="49">
        <f t="shared" si="5"/>
        <v>0</v>
      </c>
      <c r="D134" s="49">
        <f t="array" ref="D134">IFERROR(
SUM(
IF(
'PORTIFÓLIO'!$C$4:$C$564=$A134,
N(INDEX('PORTIFÓLIO'!$J$4:$Q$564,,MATCH(D$2,'PORTIFÓLIO'!$J$3:$Q$3,0))) *
N('PORTIFÓLIO'!$S$4:$S$564),
0
)
),
0)</f>
        <v>0</v>
      </c>
      <c r="E134" s="49">
        <f t="shared" si="6"/>
        <v>0</v>
      </c>
      <c r="F134" s="49">
        <f t="array" ref="F134">IFERROR(
SUM(
IF(
'PORTIFÓLIO'!$C$4:$C$564=$A134,
N(INDEX('PORTIFÓLIO'!$J$4:$Q$564,,MATCH(F$2,'PORTIFÓLIO'!$J$3:$Q$3,0))) *
N('PORTIFÓLIO'!$S$4:$S$564),
0
)
),
0)</f>
        <v>0</v>
      </c>
      <c r="G134" s="47">
        <f t="shared" si="7"/>
        <v>0</v>
      </c>
      <c r="H134" s="49">
        <f t="array" ref="H134">IFERROR(
SUM(
IF(
'PORTIFÓLIO'!$C$4:$C$564=$A134,
N(INDEX('PORTIFÓLIO'!$J$4:$Q$564,,MATCH(H$2,'PORTIFÓLIO'!$J$3:$Q$3,0))) *
N('PORTIFÓLIO'!$S$4:$S$564),
0
)
),
0)</f>
        <v>0</v>
      </c>
      <c r="I134" s="47">
        <f t="shared" si="8"/>
        <v>0</v>
      </c>
      <c r="J134" s="49">
        <f t="array" ref="J134">IFERROR(
SUM(
IF(
'PORTIFÓLIO'!$C$4:$C$564=$A134,
N(INDEX('PORTIFÓLIO'!$J$4:$Q$564,,MATCH(J$2,'PORTIFÓLIO'!$J$3:$Q$3,0))) *
N('PORTIFÓLIO'!$S$4:$S$564),
0
)
),
0)</f>
        <v>0</v>
      </c>
      <c r="K134" s="47">
        <f t="shared" si="9"/>
        <v>0</v>
      </c>
      <c r="L134" s="49">
        <f t="array" ref="L134">IFERROR(
SUM(
IF(
'PORTIFÓLIO'!$C$4:$C$564=$A134,
N(INDEX('PORTIFÓLIO'!$J$4:$Q$564,,MATCH(L$2,'PORTIFÓLIO'!$J$3:$Q$3,0))) *
N('PORTIFÓLIO'!$S$4:$S$564),
0
)
),
0)</f>
        <v>0</v>
      </c>
      <c r="M134" s="47">
        <f t="shared" si="10"/>
        <v>0</v>
      </c>
      <c r="N134" s="49">
        <f t="array" ref="N134">IFERROR(
SUM(
IF(
'PORTIFÓLIO'!$C$4:$C$564=$A134,
N(INDEX('PORTIFÓLIO'!$J$4:$Q$564,,MATCH(N$2,'PORTIFÓLIO'!$J$3:$Q$3,0))) *
N('PORTIFÓLIO'!$S$4:$S$564),
0
)
),
0)</f>
        <v>0</v>
      </c>
      <c r="O134" s="49">
        <f t="shared" si="11"/>
        <v>0</v>
      </c>
      <c r="P134" s="49">
        <f t="array" ref="P134">IFERROR(
SUM(
IF(
'PORTIFÓLIO'!$C$4:$C$564=$A134,
N(INDEX('PORTIFÓLIO'!$J$4:$Q$564,,MATCH(P$2,'PORTIFÓLIO'!$J$3:$Q$3,0))) *
N('PORTIFÓLIO'!$S$4:$S$564),
0
)
),
0)</f>
        <v>0</v>
      </c>
      <c r="Q134" s="49">
        <f t="shared" si="12"/>
        <v>0</v>
      </c>
      <c r="R134" s="49">
        <f t="shared" si="2"/>
        <v>0</v>
      </c>
      <c r="S134" s="49">
        <f t="shared" si="13"/>
        <v>0</v>
      </c>
    </row>
    <row r="135" ht="15.75" hidden="1" customHeight="1" outlineLevel="1">
      <c r="A135" s="48" t="str">
        <f>IFERROR(__xludf.DUMMYFUNCTION("""COMPUTED_VALUE"""),"DIFENOCONAZOL NORTOX 250 SC")</f>
        <v>DIFENOCONAZOL NORTOX 250 SC</v>
      </c>
      <c r="B135" s="49">
        <f t="array" ref="B135">IFERROR(
SUM(
IF(
'PORTIFÓLIO'!$C$4:$C$564=$A135,
N(INDEX('PORTIFÓLIO'!$J$4:$Q$564,,MATCH(B$2,'PORTIFÓLIO'!$J$3:$Q$3,0))) *
N('PORTIFÓLIO'!$S$4:$S$564),
0
)
),
0)</f>
        <v>0</v>
      </c>
      <c r="C135" s="49">
        <f t="shared" si="5"/>
        <v>0</v>
      </c>
      <c r="D135" s="49">
        <f t="array" ref="D135">IFERROR(
SUM(
IF(
'PORTIFÓLIO'!$C$4:$C$564=$A135,
N(INDEX('PORTIFÓLIO'!$J$4:$Q$564,,MATCH(D$2,'PORTIFÓLIO'!$J$3:$Q$3,0))) *
N('PORTIFÓLIO'!$S$4:$S$564),
0
)
),
0)</f>
        <v>0</v>
      </c>
      <c r="E135" s="49">
        <f t="shared" si="6"/>
        <v>0</v>
      </c>
      <c r="F135" s="49">
        <f t="array" ref="F135">IFERROR(
SUM(
IF(
'PORTIFÓLIO'!$C$4:$C$564=$A135,
N(INDEX('PORTIFÓLIO'!$J$4:$Q$564,,MATCH(F$2,'PORTIFÓLIO'!$J$3:$Q$3,0))) *
N('PORTIFÓLIO'!$S$4:$S$564),
0
)
),
0)</f>
        <v>0</v>
      </c>
      <c r="G135" s="47">
        <f t="shared" si="7"/>
        <v>0</v>
      </c>
      <c r="H135" s="49">
        <f t="array" ref="H135">IFERROR(
SUM(
IF(
'PORTIFÓLIO'!$C$4:$C$564=$A135,
N(INDEX('PORTIFÓLIO'!$J$4:$Q$564,,MATCH(H$2,'PORTIFÓLIO'!$J$3:$Q$3,0))) *
N('PORTIFÓLIO'!$S$4:$S$564),
0
)
),
0)</f>
        <v>0</v>
      </c>
      <c r="I135" s="47">
        <f t="shared" si="8"/>
        <v>0</v>
      </c>
      <c r="J135" s="49">
        <f t="array" ref="J135">IFERROR(
SUM(
IF(
'PORTIFÓLIO'!$C$4:$C$564=$A135,
N(INDEX('PORTIFÓLIO'!$J$4:$Q$564,,MATCH(J$2,'PORTIFÓLIO'!$J$3:$Q$3,0))) *
N('PORTIFÓLIO'!$S$4:$S$564),
0
)
),
0)</f>
        <v>0</v>
      </c>
      <c r="K135" s="47">
        <f t="shared" si="9"/>
        <v>0</v>
      </c>
      <c r="L135" s="49">
        <f t="array" ref="L135">IFERROR(
SUM(
IF(
'PORTIFÓLIO'!$C$4:$C$564=$A135,
N(INDEX('PORTIFÓLIO'!$J$4:$Q$564,,MATCH(L$2,'PORTIFÓLIO'!$J$3:$Q$3,0))) *
N('PORTIFÓLIO'!$S$4:$S$564),
0
)
),
0)</f>
        <v>0</v>
      </c>
      <c r="M135" s="47">
        <f t="shared" si="10"/>
        <v>0</v>
      </c>
      <c r="N135" s="49">
        <f t="array" ref="N135">IFERROR(
SUM(
IF(
'PORTIFÓLIO'!$C$4:$C$564=$A135,
N(INDEX('PORTIFÓLIO'!$J$4:$Q$564,,MATCH(N$2,'PORTIFÓLIO'!$J$3:$Q$3,0))) *
N('PORTIFÓLIO'!$S$4:$S$564),
0
)
),
0)</f>
        <v>0</v>
      </c>
      <c r="O135" s="49">
        <f t="shared" si="11"/>
        <v>0</v>
      </c>
      <c r="P135" s="49">
        <f t="array" ref="P135">IFERROR(
SUM(
IF(
'PORTIFÓLIO'!$C$4:$C$564=$A135,
N(INDEX('PORTIFÓLIO'!$J$4:$Q$564,,MATCH(P$2,'PORTIFÓLIO'!$J$3:$Q$3,0))) *
N('PORTIFÓLIO'!$S$4:$S$564),
0
)
),
0)</f>
        <v>0</v>
      </c>
      <c r="Q135" s="49">
        <f t="shared" si="12"/>
        <v>0</v>
      </c>
      <c r="R135" s="49">
        <f t="shared" si="2"/>
        <v>0</v>
      </c>
      <c r="S135" s="49">
        <f t="shared" si="13"/>
        <v>0</v>
      </c>
    </row>
    <row r="136" ht="15.75" hidden="1" customHeight="1" outlineLevel="1">
      <c r="A136" s="48" t="str">
        <f>IFERROR(__xludf.DUMMYFUNCTION("""COMPUTED_VALUE"""),"FLUAZINAM NORTOX 500 SC")</f>
        <v>FLUAZINAM NORTOX 500 SC</v>
      </c>
      <c r="B136" s="49">
        <f t="array" ref="B136">IFERROR(
SUM(
IF(
'PORTIFÓLIO'!$C$4:$C$564=$A136,
N(INDEX('PORTIFÓLIO'!$J$4:$Q$564,,MATCH(B$2,'PORTIFÓLIO'!$J$3:$Q$3,0))) *
N('PORTIFÓLIO'!$S$4:$S$564),
0
)
),
0)</f>
        <v>0</v>
      </c>
      <c r="C136" s="49">
        <f t="shared" si="5"/>
        <v>0</v>
      </c>
      <c r="D136" s="49">
        <f t="array" ref="D136">IFERROR(
SUM(
IF(
'PORTIFÓLIO'!$C$4:$C$564=$A136,
N(INDEX('PORTIFÓLIO'!$J$4:$Q$564,,MATCH(D$2,'PORTIFÓLIO'!$J$3:$Q$3,0))) *
N('PORTIFÓLIO'!$S$4:$S$564),
0
)
),
0)</f>
        <v>0</v>
      </c>
      <c r="E136" s="49">
        <f t="shared" si="6"/>
        <v>0</v>
      </c>
      <c r="F136" s="49">
        <f t="array" ref="F136">IFERROR(
SUM(
IF(
'PORTIFÓLIO'!$C$4:$C$564=$A136,
N(INDEX('PORTIFÓLIO'!$J$4:$Q$564,,MATCH(F$2,'PORTIFÓLIO'!$J$3:$Q$3,0))) *
N('PORTIFÓLIO'!$S$4:$S$564),
0
)
),
0)</f>
        <v>0</v>
      </c>
      <c r="G136" s="47">
        <f t="shared" si="7"/>
        <v>0</v>
      </c>
      <c r="H136" s="49">
        <f t="array" ref="H136">IFERROR(
SUM(
IF(
'PORTIFÓLIO'!$C$4:$C$564=$A136,
N(INDEX('PORTIFÓLIO'!$J$4:$Q$564,,MATCH(H$2,'PORTIFÓLIO'!$J$3:$Q$3,0))) *
N('PORTIFÓLIO'!$S$4:$S$564),
0
)
),
0)</f>
        <v>0</v>
      </c>
      <c r="I136" s="47">
        <f t="shared" si="8"/>
        <v>0</v>
      </c>
      <c r="J136" s="49">
        <f t="array" ref="J136">IFERROR(
SUM(
IF(
'PORTIFÓLIO'!$C$4:$C$564=$A136,
N(INDEX('PORTIFÓLIO'!$J$4:$Q$564,,MATCH(J$2,'PORTIFÓLIO'!$J$3:$Q$3,0))) *
N('PORTIFÓLIO'!$S$4:$S$564),
0
)
),
0)</f>
        <v>0</v>
      </c>
      <c r="K136" s="47">
        <f t="shared" si="9"/>
        <v>0</v>
      </c>
      <c r="L136" s="49">
        <f t="array" ref="L136">IFERROR(
SUM(
IF(
'PORTIFÓLIO'!$C$4:$C$564=$A136,
N(INDEX('PORTIFÓLIO'!$J$4:$Q$564,,MATCH(L$2,'PORTIFÓLIO'!$J$3:$Q$3,0))) *
N('PORTIFÓLIO'!$S$4:$S$564),
0
)
),
0)</f>
        <v>0</v>
      </c>
      <c r="M136" s="47">
        <f t="shared" si="10"/>
        <v>0</v>
      </c>
      <c r="N136" s="49">
        <f t="array" ref="N136">IFERROR(
SUM(
IF(
'PORTIFÓLIO'!$C$4:$C$564=$A136,
N(INDEX('PORTIFÓLIO'!$J$4:$Q$564,,MATCH(N$2,'PORTIFÓLIO'!$J$3:$Q$3,0))) *
N('PORTIFÓLIO'!$S$4:$S$564),
0
)
),
0)</f>
        <v>164868.48</v>
      </c>
      <c r="O136" s="49">
        <f t="shared" si="11"/>
        <v>135.36</v>
      </c>
      <c r="P136" s="49">
        <f t="array" ref="P136">IFERROR(
SUM(
IF(
'PORTIFÓLIO'!$C$4:$C$564=$A136,
N(INDEX('PORTIFÓLIO'!$J$4:$Q$564,,MATCH(P$2,'PORTIFÓLIO'!$J$3:$Q$3,0))) *
N('PORTIFÓLIO'!$S$4:$S$564),
0
)
),
0)</f>
        <v>43315.2</v>
      </c>
      <c r="Q136" s="49">
        <f t="shared" si="12"/>
        <v>135.36</v>
      </c>
      <c r="R136" s="49">
        <f t="shared" si="2"/>
        <v>208183.68</v>
      </c>
      <c r="S136" s="49">
        <f t="shared" si="13"/>
        <v>62.25588517</v>
      </c>
    </row>
    <row r="137" ht="15.75" hidden="1" customHeight="1" outlineLevel="1">
      <c r="A137" s="48" t="str">
        <f>IFERROR(__xludf.DUMMYFUNCTION("""COMPUTED_VALUE"""),"FLUTRIAFOL NORTOX")</f>
        <v>FLUTRIAFOL NORTOX</v>
      </c>
      <c r="B137" s="49">
        <f t="array" ref="B137">IFERROR(
SUM(
IF(
'PORTIFÓLIO'!$C$4:$C$564=$A137,
N(INDEX('PORTIFÓLIO'!$J$4:$Q$564,,MATCH(B$2,'PORTIFÓLIO'!$J$3:$Q$3,0))) *
N('PORTIFÓLIO'!$S$4:$S$564),
0
)
),
0)</f>
        <v>0</v>
      </c>
      <c r="C137" s="49">
        <f t="shared" si="5"/>
        <v>0</v>
      </c>
      <c r="D137" s="49">
        <f t="array" ref="D137">IFERROR(
SUM(
IF(
'PORTIFÓLIO'!$C$4:$C$564=$A137,
N(INDEX('PORTIFÓLIO'!$J$4:$Q$564,,MATCH(D$2,'PORTIFÓLIO'!$J$3:$Q$3,0))) *
N('PORTIFÓLIO'!$S$4:$S$564),
0
)
),
0)</f>
        <v>0</v>
      </c>
      <c r="E137" s="49">
        <f t="shared" si="6"/>
        <v>0</v>
      </c>
      <c r="F137" s="49">
        <f t="array" ref="F137">IFERROR(
SUM(
IF(
'PORTIFÓLIO'!$C$4:$C$564=$A137,
N(INDEX('PORTIFÓLIO'!$J$4:$Q$564,,MATCH(F$2,'PORTIFÓLIO'!$J$3:$Q$3,0))) *
N('PORTIFÓLIO'!$S$4:$S$564),
0
)
),
0)</f>
        <v>0</v>
      </c>
      <c r="G137" s="47">
        <f t="shared" si="7"/>
        <v>0</v>
      </c>
      <c r="H137" s="49">
        <f t="array" ref="H137">IFERROR(
SUM(
IF(
'PORTIFÓLIO'!$C$4:$C$564=$A137,
N(INDEX('PORTIFÓLIO'!$J$4:$Q$564,,MATCH(H$2,'PORTIFÓLIO'!$J$3:$Q$3,0))) *
N('PORTIFÓLIO'!$S$4:$S$564),
0
)
),
0)</f>
        <v>0</v>
      </c>
      <c r="I137" s="47">
        <f t="shared" si="8"/>
        <v>0</v>
      </c>
      <c r="J137" s="49">
        <f t="array" ref="J137">IFERROR(
SUM(
IF(
'PORTIFÓLIO'!$C$4:$C$564=$A137,
N(INDEX('PORTIFÓLIO'!$J$4:$Q$564,,MATCH(J$2,'PORTIFÓLIO'!$J$3:$Q$3,0))) *
N('PORTIFÓLIO'!$S$4:$S$564),
0
)
),
0)</f>
        <v>0</v>
      </c>
      <c r="K137" s="47">
        <f t="shared" si="9"/>
        <v>0</v>
      </c>
      <c r="L137" s="49">
        <f t="array" ref="L137">IFERROR(
SUM(
IF(
'PORTIFÓLIO'!$C$4:$C$564=$A137,
N(INDEX('PORTIFÓLIO'!$J$4:$Q$564,,MATCH(L$2,'PORTIFÓLIO'!$J$3:$Q$3,0))) *
N('PORTIFÓLIO'!$S$4:$S$564),
0
)
),
0)</f>
        <v>0</v>
      </c>
      <c r="M137" s="47">
        <f t="shared" si="10"/>
        <v>0</v>
      </c>
      <c r="N137" s="49">
        <f t="array" ref="N137">IFERROR(
SUM(
IF(
'PORTIFÓLIO'!$C$4:$C$564=$A137,
N(INDEX('PORTIFÓLIO'!$J$4:$Q$564,,MATCH(N$2,'PORTIFÓLIO'!$J$3:$Q$3,0))) *
N('PORTIFÓLIO'!$S$4:$S$564),
0
)
),
0)</f>
        <v>0</v>
      </c>
      <c r="O137" s="49">
        <f t="shared" si="11"/>
        <v>0</v>
      </c>
      <c r="P137" s="49">
        <f t="array" ref="P137">IFERROR(
SUM(
IF(
'PORTIFÓLIO'!$C$4:$C$564=$A137,
N(INDEX('PORTIFÓLIO'!$J$4:$Q$564,,MATCH(P$2,'PORTIFÓLIO'!$J$3:$Q$3,0))) *
N('PORTIFÓLIO'!$S$4:$S$564),
0
)
),
0)</f>
        <v>0</v>
      </c>
      <c r="Q137" s="49">
        <f t="shared" si="12"/>
        <v>0</v>
      </c>
      <c r="R137" s="49">
        <f t="shared" si="2"/>
        <v>0</v>
      </c>
      <c r="S137" s="49">
        <f t="shared" si="13"/>
        <v>0</v>
      </c>
    </row>
    <row r="138" ht="15.75" hidden="1" customHeight="1" outlineLevel="1">
      <c r="A138" s="48" t="str">
        <f>IFERROR(__xludf.DUMMYFUNCTION("""COMPUTED_VALUE"""),"PROPICONAZOLE NORTOX 500 EC")</f>
        <v>PROPICONAZOLE NORTOX 500 EC</v>
      </c>
      <c r="B138" s="49">
        <f t="array" ref="B138">IFERROR(
SUM(
IF(
'PORTIFÓLIO'!$C$4:$C$564=$A138,
N(INDEX('PORTIFÓLIO'!$J$4:$Q$564,,MATCH(B$2,'PORTIFÓLIO'!$J$3:$Q$3,0))) *
N('PORTIFÓLIO'!$S$4:$S$564),
0
)
),
0)</f>
        <v>0</v>
      </c>
      <c r="C138" s="49">
        <f t="shared" si="5"/>
        <v>0</v>
      </c>
      <c r="D138" s="49">
        <f t="array" ref="D138">IFERROR(
SUM(
IF(
'PORTIFÓLIO'!$C$4:$C$564=$A138,
N(INDEX('PORTIFÓLIO'!$J$4:$Q$564,,MATCH(D$2,'PORTIFÓLIO'!$J$3:$Q$3,0))) *
N('PORTIFÓLIO'!$S$4:$S$564),
0
)
),
0)</f>
        <v>0</v>
      </c>
      <c r="E138" s="49">
        <f t="shared" si="6"/>
        <v>0</v>
      </c>
      <c r="F138" s="49">
        <f t="array" ref="F138">IFERROR(
SUM(
IF(
'PORTIFÓLIO'!$C$4:$C$564=$A138,
N(INDEX('PORTIFÓLIO'!$J$4:$Q$564,,MATCH(F$2,'PORTIFÓLIO'!$J$3:$Q$3,0))) *
N('PORTIFÓLIO'!$S$4:$S$564),
0
)
),
0)</f>
        <v>0</v>
      </c>
      <c r="G138" s="47">
        <f t="shared" si="7"/>
        <v>0</v>
      </c>
      <c r="H138" s="49">
        <f t="array" ref="H138">IFERROR(
SUM(
IF(
'PORTIFÓLIO'!$C$4:$C$564=$A138,
N(INDEX('PORTIFÓLIO'!$J$4:$Q$564,,MATCH(H$2,'PORTIFÓLIO'!$J$3:$Q$3,0))) *
N('PORTIFÓLIO'!$S$4:$S$564),
0
)
),
0)</f>
        <v>0</v>
      </c>
      <c r="I138" s="47">
        <f t="shared" si="8"/>
        <v>0</v>
      </c>
      <c r="J138" s="49">
        <f t="array" ref="J138">IFERROR(
SUM(
IF(
'PORTIFÓLIO'!$C$4:$C$564=$A138,
N(INDEX('PORTIFÓLIO'!$J$4:$Q$564,,MATCH(J$2,'PORTIFÓLIO'!$J$3:$Q$3,0))) *
N('PORTIFÓLIO'!$S$4:$S$564),
0
)
),
0)</f>
        <v>0</v>
      </c>
      <c r="K138" s="47">
        <f t="shared" si="9"/>
        <v>0</v>
      </c>
      <c r="L138" s="49">
        <f t="array" ref="L138">IFERROR(
SUM(
IF(
'PORTIFÓLIO'!$C$4:$C$564=$A138,
N(INDEX('PORTIFÓLIO'!$J$4:$Q$564,,MATCH(L$2,'PORTIFÓLIO'!$J$3:$Q$3,0))) *
N('PORTIFÓLIO'!$S$4:$S$564),
0
)
),
0)</f>
        <v>0</v>
      </c>
      <c r="M138" s="47">
        <f t="shared" si="10"/>
        <v>0</v>
      </c>
      <c r="N138" s="49">
        <f t="array" ref="N138">IFERROR(
SUM(
IF(
'PORTIFÓLIO'!$C$4:$C$564=$A138,
N(INDEX('PORTIFÓLIO'!$J$4:$Q$564,,MATCH(N$2,'PORTIFÓLIO'!$J$3:$Q$3,0))) *
N('PORTIFÓLIO'!$S$4:$S$564),
0
)
),
0)</f>
        <v>0</v>
      </c>
      <c r="O138" s="49">
        <f t="shared" si="11"/>
        <v>0</v>
      </c>
      <c r="P138" s="49">
        <f t="array" ref="P138">IFERROR(
SUM(
IF(
'PORTIFÓLIO'!$C$4:$C$564=$A138,
N(INDEX('PORTIFÓLIO'!$J$4:$Q$564,,MATCH(P$2,'PORTIFÓLIO'!$J$3:$Q$3,0))) *
N('PORTIFÓLIO'!$S$4:$S$564),
0
)
),
0)</f>
        <v>0</v>
      </c>
      <c r="Q138" s="49">
        <f t="shared" si="12"/>
        <v>0</v>
      </c>
      <c r="R138" s="49">
        <f t="shared" si="2"/>
        <v>0</v>
      </c>
      <c r="S138" s="49">
        <f t="shared" si="13"/>
        <v>0</v>
      </c>
    </row>
    <row r="139" ht="15.75" hidden="1" customHeight="1" outlineLevel="1">
      <c r="A139" s="48" t="str">
        <f>IFERROR(__xludf.DUMMYFUNCTION("""COMPUTED_VALUE"""),"PROTECTION NORTOX")</f>
        <v>PROTECTION NORTOX</v>
      </c>
      <c r="B139" s="49">
        <f t="array" ref="B139">IFERROR(
SUM(
IF(
'PORTIFÓLIO'!$C$4:$C$564=$A139,
N(INDEX('PORTIFÓLIO'!$J$4:$Q$564,,MATCH(B$2,'PORTIFÓLIO'!$J$3:$Q$3,0))) *
N('PORTIFÓLIO'!$S$4:$S$564),
0
)
),
0)</f>
        <v>0</v>
      </c>
      <c r="C139" s="49">
        <f t="shared" si="5"/>
        <v>0</v>
      </c>
      <c r="D139" s="49">
        <f t="array" ref="D139">IFERROR(
SUM(
IF(
'PORTIFÓLIO'!$C$4:$C$564=$A139,
N(INDEX('PORTIFÓLIO'!$J$4:$Q$564,,MATCH(D$2,'PORTIFÓLIO'!$J$3:$Q$3,0))) *
N('PORTIFÓLIO'!$S$4:$S$564),
0
)
),
0)</f>
        <v>0</v>
      </c>
      <c r="E139" s="49">
        <f t="shared" si="6"/>
        <v>0</v>
      </c>
      <c r="F139" s="49">
        <f t="array" ref="F139">IFERROR(
SUM(
IF(
'PORTIFÓLIO'!$C$4:$C$564=$A139,
N(INDEX('PORTIFÓLIO'!$J$4:$Q$564,,MATCH(F$2,'PORTIFÓLIO'!$J$3:$Q$3,0))) *
N('PORTIFÓLIO'!$S$4:$S$564),
0
)
),
0)</f>
        <v>0</v>
      </c>
      <c r="G139" s="47">
        <f t="shared" si="7"/>
        <v>0</v>
      </c>
      <c r="H139" s="49">
        <f t="array" ref="H139">IFERROR(
SUM(
IF(
'PORTIFÓLIO'!$C$4:$C$564=$A139,
N(INDEX('PORTIFÓLIO'!$J$4:$Q$564,,MATCH(H$2,'PORTIFÓLIO'!$J$3:$Q$3,0))) *
N('PORTIFÓLIO'!$S$4:$S$564),
0
)
),
0)</f>
        <v>0</v>
      </c>
      <c r="I139" s="47">
        <f t="shared" si="8"/>
        <v>0</v>
      </c>
      <c r="J139" s="49">
        <f t="array" ref="J139">IFERROR(
SUM(
IF(
'PORTIFÓLIO'!$C$4:$C$564=$A139,
N(INDEX('PORTIFÓLIO'!$J$4:$Q$564,,MATCH(J$2,'PORTIFÓLIO'!$J$3:$Q$3,0))) *
N('PORTIFÓLIO'!$S$4:$S$564),
0
)
),
0)</f>
        <v>0</v>
      </c>
      <c r="K139" s="47">
        <f t="shared" si="9"/>
        <v>0</v>
      </c>
      <c r="L139" s="49">
        <f t="array" ref="L139">IFERROR(
SUM(
IF(
'PORTIFÓLIO'!$C$4:$C$564=$A139,
N(INDEX('PORTIFÓLIO'!$J$4:$Q$564,,MATCH(L$2,'PORTIFÓLIO'!$J$3:$Q$3,0))) *
N('PORTIFÓLIO'!$S$4:$S$564),
0
)
),
0)</f>
        <v>0</v>
      </c>
      <c r="M139" s="47">
        <f t="shared" si="10"/>
        <v>0</v>
      </c>
      <c r="N139" s="49">
        <f t="array" ref="N139">IFERROR(
SUM(
IF(
'PORTIFÓLIO'!$C$4:$C$564=$A139,
N(INDEX('PORTIFÓLIO'!$J$4:$Q$564,,MATCH(N$2,'PORTIFÓLIO'!$J$3:$Q$3,0))) *
N('PORTIFÓLIO'!$S$4:$S$564),
0
)
),
0)</f>
        <v>0</v>
      </c>
      <c r="O139" s="49">
        <f t="shared" si="11"/>
        <v>0</v>
      </c>
      <c r="P139" s="49">
        <f t="array" ref="P139">IFERROR(
SUM(
IF(
'PORTIFÓLIO'!$C$4:$C$564=$A139,
N(INDEX('PORTIFÓLIO'!$J$4:$Q$564,,MATCH(P$2,'PORTIFÓLIO'!$J$3:$Q$3,0))) *
N('PORTIFÓLIO'!$S$4:$S$564),
0
)
),
0)</f>
        <v>0</v>
      </c>
      <c r="Q139" s="49">
        <f t="shared" si="12"/>
        <v>0</v>
      </c>
      <c r="R139" s="49">
        <f t="shared" si="2"/>
        <v>0</v>
      </c>
      <c r="S139" s="49">
        <f t="shared" si="13"/>
        <v>0</v>
      </c>
    </row>
    <row r="140" ht="15.75" hidden="1" customHeight="1" outlineLevel="1">
      <c r="A140" s="48" t="str">
        <f>IFERROR(__xludf.DUMMYFUNCTION("""COMPUTED_VALUE"""),"TEBUCO 430 SC NORTOX")</f>
        <v>TEBUCO 430 SC NORTOX</v>
      </c>
      <c r="B140" s="49">
        <f t="array" ref="B140">IFERROR(
SUM(
IF(
'PORTIFÓLIO'!$C$4:$C$564=$A140,
N(INDEX('PORTIFÓLIO'!$J$4:$Q$564,,MATCH(B$2,'PORTIFÓLIO'!$J$3:$Q$3,0))) *
N('PORTIFÓLIO'!$S$4:$S$564),
0
)
),
0)</f>
        <v>0</v>
      </c>
      <c r="C140" s="49">
        <f t="shared" si="5"/>
        <v>0</v>
      </c>
      <c r="D140" s="49">
        <f t="array" ref="D140">IFERROR(
SUM(
IF(
'PORTIFÓLIO'!$C$4:$C$564=$A140,
N(INDEX('PORTIFÓLIO'!$J$4:$Q$564,,MATCH(D$2,'PORTIFÓLIO'!$J$3:$Q$3,0))) *
N('PORTIFÓLIO'!$S$4:$S$564),
0
)
),
0)</f>
        <v>0</v>
      </c>
      <c r="E140" s="49">
        <f t="shared" si="6"/>
        <v>0</v>
      </c>
      <c r="F140" s="49">
        <f t="array" ref="F140">IFERROR(
SUM(
IF(
'PORTIFÓLIO'!$C$4:$C$564=$A140,
N(INDEX('PORTIFÓLIO'!$J$4:$Q$564,,MATCH(F$2,'PORTIFÓLIO'!$J$3:$Q$3,0))) *
N('PORTIFÓLIO'!$S$4:$S$564),
0
)
),
0)</f>
        <v>0</v>
      </c>
      <c r="G140" s="47">
        <f t="shared" si="7"/>
        <v>0</v>
      </c>
      <c r="H140" s="49">
        <f t="array" ref="H140">IFERROR(
SUM(
IF(
'PORTIFÓLIO'!$C$4:$C$564=$A140,
N(INDEX('PORTIFÓLIO'!$J$4:$Q$564,,MATCH(H$2,'PORTIFÓLIO'!$J$3:$Q$3,0))) *
N('PORTIFÓLIO'!$S$4:$S$564),
0
)
),
0)</f>
        <v>0</v>
      </c>
      <c r="I140" s="47">
        <f t="shared" si="8"/>
        <v>0</v>
      </c>
      <c r="J140" s="49">
        <f t="array" ref="J140">IFERROR(
SUM(
IF(
'PORTIFÓLIO'!$C$4:$C$564=$A140,
N(INDEX('PORTIFÓLIO'!$J$4:$Q$564,,MATCH(J$2,'PORTIFÓLIO'!$J$3:$Q$3,0))) *
N('PORTIFÓLIO'!$S$4:$S$564),
0
)
),
0)</f>
        <v>0</v>
      </c>
      <c r="K140" s="47">
        <f t="shared" si="9"/>
        <v>0</v>
      </c>
      <c r="L140" s="49">
        <f t="array" ref="L140">IFERROR(
SUM(
IF(
'PORTIFÓLIO'!$C$4:$C$564=$A140,
N(INDEX('PORTIFÓLIO'!$J$4:$Q$564,,MATCH(L$2,'PORTIFÓLIO'!$J$3:$Q$3,0))) *
N('PORTIFÓLIO'!$S$4:$S$564),
0
)
),
0)</f>
        <v>0</v>
      </c>
      <c r="M140" s="47">
        <f t="shared" si="10"/>
        <v>0</v>
      </c>
      <c r="N140" s="49">
        <f t="array" ref="N140">IFERROR(
SUM(
IF(
'PORTIFÓLIO'!$C$4:$C$564=$A140,
N(INDEX('PORTIFÓLIO'!$J$4:$Q$564,,MATCH(N$2,'PORTIFÓLIO'!$J$3:$Q$3,0))) *
N('PORTIFÓLIO'!$S$4:$S$564),
0
)
),
0)</f>
        <v>0</v>
      </c>
      <c r="O140" s="49">
        <f t="shared" si="11"/>
        <v>0</v>
      </c>
      <c r="P140" s="49">
        <f t="array" ref="P140">IFERROR(
SUM(
IF(
'PORTIFÓLIO'!$C$4:$C$564=$A140,
N(INDEX('PORTIFÓLIO'!$J$4:$Q$564,,MATCH(P$2,'PORTIFÓLIO'!$J$3:$Q$3,0))) *
N('PORTIFÓLIO'!$S$4:$S$564),
0
)
),
0)</f>
        <v>0</v>
      </c>
      <c r="Q140" s="49">
        <f t="shared" si="12"/>
        <v>0</v>
      </c>
      <c r="R140" s="49">
        <f t="shared" si="2"/>
        <v>0</v>
      </c>
      <c r="S140" s="49">
        <f t="shared" si="13"/>
        <v>0</v>
      </c>
    </row>
    <row r="141" ht="15.75" hidden="1" customHeight="1" outlineLevel="1">
      <c r="A141" s="48" t="str">
        <f>IFERROR(__xludf.DUMMYFUNCTION("""COMPUTED_VALUE"""),"TEBUCO A NORTOX")</f>
        <v>TEBUCO A NORTOX</v>
      </c>
      <c r="B141" s="49">
        <f t="array" ref="B141">IFERROR(
SUM(
IF(
'PORTIFÓLIO'!$C$4:$C$564=$A141,
N(INDEX('PORTIFÓLIO'!$J$4:$Q$564,,MATCH(B$2,'PORTIFÓLIO'!$J$3:$Q$3,0))) *
N('PORTIFÓLIO'!$S$4:$S$564),
0
)
),
0)</f>
        <v>0</v>
      </c>
      <c r="C141" s="49">
        <f t="shared" si="5"/>
        <v>0</v>
      </c>
      <c r="D141" s="49">
        <f t="array" ref="D141">IFERROR(
SUM(
IF(
'PORTIFÓLIO'!$C$4:$C$564=$A141,
N(INDEX('PORTIFÓLIO'!$J$4:$Q$564,,MATCH(D$2,'PORTIFÓLIO'!$J$3:$Q$3,0))) *
N('PORTIFÓLIO'!$S$4:$S$564),
0
)
),
0)</f>
        <v>0</v>
      </c>
      <c r="E141" s="49">
        <f t="shared" si="6"/>
        <v>0</v>
      </c>
      <c r="F141" s="49">
        <f t="array" ref="F141">IFERROR(
SUM(
IF(
'PORTIFÓLIO'!$C$4:$C$564=$A141,
N(INDEX('PORTIFÓLIO'!$J$4:$Q$564,,MATCH(F$2,'PORTIFÓLIO'!$J$3:$Q$3,0))) *
N('PORTIFÓLIO'!$S$4:$S$564),
0
)
),
0)</f>
        <v>0</v>
      </c>
      <c r="G141" s="47">
        <f t="shared" si="7"/>
        <v>0</v>
      </c>
      <c r="H141" s="49">
        <f t="array" ref="H141">IFERROR(
SUM(
IF(
'PORTIFÓLIO'!$C$4:$C$564=$A141,
N(INDEX('PORTIFÓLIO'!$J$4:$Q$564,,MATCH(H$2,'PORTIFÓLIO'!$J$3:$Q$3,0))) *
N('PORTIFÓLIO'!$S$4:$S$564),
0
)
),
0)</f>
        <v>0</v>
      </c>
      <c r="I141" s="47">
        <f t="shared" si="8"/>
        <v>0</v>
      </c>
      <c r="J141" s="49">
        <f t="array" ref="J141">IFERROR(
SUM(
IF(
'PORTIFÓLIO'!$C$4:$C$564=$A141,
N(INDEX('PORTIFÓLIO'!$J$4:$Q$564,,MATCH(J$2,'PORTIFÓLIO'!$J$3:$Q$3,0))) *
N('PORTIFÓLIO'!$S$4:$S$564),
0
)
),
0)</f>
        <v>1889.15184</v>
      </c>
      <c r="K141" s="47">
        <f t="shared" si="9"/>
        <v>5.02434</v>
      </c>
      <c r="L141" s="49">
        <f t="array" ref="L141">IFERROR(
SUM(
IF(
'PORTIFÓLIO'!$C$4:$C$564=$A141,
N(INDEX('PORTIFÓLIO'!$J$4:$Q$564,,MATCH(L$2,'PORTIFÓLIO'!$J$3:$Q$3,0))) *
N('PORTIFÓLIO'!$S$4:$S$564),
0
)
),
0)</f>
        <v>0</v>
      </c>
      <c r="M141" s="47">
        <f t="shared" si="10"/>
        <v>0</v>
      </c>
      <c r="N141" s="49">
        <f t="array" ref="N141">IFERROR(
SUM(
IF(
'PORTIFÓLIO'!$C$4:$C$564=$A141,
N(INDEX('PORTIFÓLIO'!$J$4:$Q$564,,MATCH(N$2,'PORTIFÓLIO'!$J$3:$Q$3,0))) *
N('PORTIFÓLIO'!$S$4:$S$564),
0
)
),
0)</f>
        <v>5869.2096</v>
      </c>
      <c r="O141" s="49">
        <f t="shared" si="11"/>
        <v>4.818727094</v>
      </c>
      <c r="P141" s="49">
        <f t="array" ref="P141">IFERROR(
SUM(
IF(
'PORTIFÓLIO'!$C$4:$C$564=$A141,
N(INDEX('PORTIFÓLIO'!$J$4:$Q$564,,MATCH(P$2,'PORTIFÓLIO'!$J$3:$Q$3,0))) *
N('PORTIFÓLIO'!$S$4:$S$564),
0
)
),
0)</f>
        <v>0</v>
      </c>
      <c r="Q141" s="49">
        <f t="shared" si="12"/>
        <v>0</v>
      </c>
      <c r="R141" s="49">
        <f t="shared" si="2"/>
        <v>7758.36144</v>
      </c>
      <c r="S141" s="49">
        <f t="shared" si="13"/>
        <v>2.320084163</v>
      </c>
    </row>
    <row r="142" ht="15.75" hidden="1" customHeight="1" outlineLevel="1">
      <c r="A142" s="48" t="str">
        <f>IFERROR(__xludf.DUMMYFUNCTION("""COMPUTED_VALUE"""),"TIOFANATO NORTOX")</f>
        <v>TIOFANATO NORTOX</v>
      </c>
      <c r="B142" s="49">
        <f t="array" ref="B142">IFERROR(
SUM(
IF(
'PORTIFÓLIO'!$C$4:$C$564=$A142,
N(INDEX('PORTIFÓLIO'!$J$4:$Q$564,,MATCH(B$2,'PORTIFÓLIO'!$J$3:$Q$3,0))) *
N('PORTIFÓLIO'!$S$4:$S$564),
0
)
),
0)</f>
        <v>0</v>
      </c>
      <c r="C142" s="49">
        <f t="shared" si="5"/>
        <v>0</v>
      </c>
      <c r="D142" s="49">
        <f t="array" ref="D142">IFERROR(
SUM(
IF(
'PORTIFÓLIO'!$C$4:$C$564=$A142,
N(INDEX('PORTIFÓLIO'!$J$4:$Q$564,,MATCH(D$2,'PORTIFÓLIO'!$J$3:$Q$3,0))) *
N('PORTIFÓLIO'!$S$4:$S$564),
0
)
),
0)</f>
        <v>0</v>
      </c>
      <c r="E142" s="49">
        <f t="shared" si="6"/>
        <v>0</v>
      </c>
      <c r="F142" s="49">
        <f t="array" ref="F142">IFERROR(
SUM(
IF(
'PORTIFÓLIO'!$C$4:$C$564=$A142,
N(INDEX('PORTIFÓLIO'!$J$4:$Q$564,,MATCH(F$2,'PORTIFÓLIO'!$J$3:$Q$3,0))) *
N('PORTIFÓLIO'!$S$4:$S$564),
0
)
),
0)</f>
        <v>0</v>
      </c>
      <c r="G142" s="47">
        <f t="shared" si="7"/>
        <v>0</v>
      </c>
      <c r="H142" s="49">
        <f t="array" ref="H142">IFERROR(
SUM(
IF(
'PORTIFÓLIO'!$C$4:$C$564=$A142,
N(INDEX('PORTIFÓLIO'!$J$4:$Q$564,,MATCH(H$2,'PORTIFÓLIO'!$J$3:$Q$3,0))) *
N('PORTIFÓLIO'!$S$4:$S$564),
0
)
),
0)</f>
        <v>0</v>
      </c>
      <c r="I142" s="47">
        <f t="shared" si="8"/>
        <v>0</v>
      </c>
      <c r="J142" s="49">
        <f t="array" ref="J142">IFERROR(
SUM(
IF(
'PORTIFÓLIO'!$C$4:$C$564=$A142,
N(INDEX('PORTIFÓLIO'!$J$4:$Q$564,,MATCH(J$2,'PORTIFÓLIO'!$J$3:$Q$3,0))) *
N('PORTIFÓLIO'!$S$4:$S$564),
0
)
),
0)</f>
        <v>0</v>
      </c>
      <c r="K142" s="47">
        <f t="shared" si="9"/>
        <v>0</v>
      </c>
      <c r="L142" s="49">
        <f t="array" ref="L142">IFERROR(
SUM(
IF(
'PORTIFÓLIO'!$C$4:$C$564=$A142,
N(INDEX('PORTIFÓLIO'!$J$4:$Q$564,,MATCH(L$2,'PORTIFÓLIO'!$J$3:$Q$3,0))) *
N('PORTIFÓLIO'!$S$4:$S$564),
0
)
),
0)</f>
        <v>0</v>
      </c>
      <c r="M142" s="47">
        <f t="shared" si="10"/>
        <v>0</v>
      </c>
      <c r="N142" s="49">
        <f t="array" ref="N142">IFERROR(
SUM(
IF(
'PORTIFÓLIO'!$C$4:$C$564=$A142,
N(INDEX('PORTIFÓLIO'!$J$4:$Q$564,,MATCH(N$2,'PORTIFÓLIO'!$J$3:$Q$3,0))) *
N('PORTIFÓLIO'!$S$4:$S$564),
0
)
),
0)</f>
        <v>0</v>
      </c>
      <c r="O142" s="49">
        <f t="shared" si="11"/>
        <v>0</v>
      </c>
      <c r="P142" s="49">
        <f t="array" ref="P142">IFERROR(
SUM(
IF(
'PORTIFÓLIO'!$C$4:$C$564=$A142,
N(INDEX('PORTIFÓLIO'!$J$4:$Q$564,,MATCH(P$2,'PORTIFÓLIO'!$J$3:$Q$3,0))) *
N('PORTIFÓLIO'!$S$4:$S$564),
0
)
),
0)</f>
        <v>0</v>
      </c>
      <c r="Q142" s="49">
        <f t="shared" si="12"/>
        <v>0</v>
      </c>
      <c r="R142" s="49">
        <f t="shared" si="2"/>
        <v>0</v>
      </c>
      <c r="S142" s="49">
        <f t="shared" si="13"/>
        <v>0</v>
      </c>
    </row>
    <row r="143" ht="15.75" hidden="1" customHeight="1" outlineLevel="1">
      <c r="A143" s="48" t="str">
        <f>IFERROR(__xludf.DUMMYFUNCTION("""COMPUTED_VALUE"""),"ACADEMIC")</f>
        <v>ACADEMIC</v>
      </c>
      <c r="B143" s="49">
        <f t="array" ref="B143">IFERROR(
SUM(
IF(
'PORTIFÓLIO'!$C$4:$C$564=$A143,
N(INDEX('PORTIFÓLIO'!$J$4:$Q$564,,MATCH(B$2,'PORTIFÓLIO'!$J$3:$Q$3,0))) *
N('PORTIFÓLIO'!$S$4:$S$564),
0
)
),
0)</f>
        <v>0</v>
      </c>
      <c r="C143" s="49">
        <f t="shared" si="5"/>
        <v>0</v>
      </c>
      <c r="D143" s="49">
        <f t="array" ref="D143">IFERROR(
SUM(
IF(
'PORTIFÓLIO'!$C$4:$C$564=$A143,
N(INDEX('PORTIFÓLIO'!$J$4:$Q$564,,MATCH(D$2,'PORTIFÓLIO'!$J$3:$Q$3,0))) *
N('PORTIFÓLIO'!$S$4:$S$564),
0
)
),
0)</f>
        <v>0</v>
      </c>
      <c r="E143" s="49">
        <f t="shared" si="6"/>
        <v>0</v>
      </c>
      <c r="F143" s="49">
        <f t="array" ref="F143">IFERROR(
SUM(
IF(
'PORTIFÓLIO'!$C$4:$C$564=$A143,
N(INDEX('PORTIFÓLIO'!$J$4:$Q$564,,MATCH(F$2,'PORTIFÓLIO'!$J$3:$Q$3,0))) *
N('PORTIFÓLIO'!$S$4:$S$564),
0
)
),
0)</f>
        <v>0</v>
      </c>
      <c r="G143" s="47">
        <f t="shared" si="7"/>
        <v>0</v>
      </c>
      <c r="H143" s="49">
        <f t="array" ref="H143">IFERROR(
SUM(
IF(
'PORTIFÓLIO'!$C$4:$C$564=$A143,
N(INDEX('PORTIFÓLIO'!$J$4:$Q$564,,MATCH(H$2,'PORTIFÓLIO'!$J$3:$Q$3,0))) *
N('PORTIFÓLIO'!$S$4:$S$564),
0
)
),
0)</f>
        <v>0</v>
      </c>
      <c r="I143" s="47">
        <f t="shared" si="8"/>
        <v>0</v>
      </c>
      <c r="J143" s="49">
        <f t="array" ref="J143">IFERROR(
SUM(
IF(
'PORTIFÓLIO'!$C$4:$C$564=$A143,
N(INDEX('PORTIFÓLIO'!$J$4:$Q$564,,MATCH(J$2,'PORTIFÓLIO'!$J$3:$Q$3,0))) *
N('PORTIFÓLIO'!$S$4:$S$564),
0
)
),
0)</f>
        <v>0</v>
      </c>
      <c r="K143" s="47">
        <f t="shared" si="9"/>
        <v>0</v>
      </c>
      <c r="L143" s="49">
        <f t="array" ref="L143">IFERROR(
SUM(
IF(
'PORTIFÓLIO'!$C$4:$C$564=$A143,
N(INDEX('PORTIFÓLIO'!$J$4:$Q$564,,MATCH(L$2,'PORTIFÓLIO'!$J$3:$Q$3,0))) *
N('PORTIFÓLIO'!$S$4:$S$564),
0
)
),
0)</f>
        <v>0</v>
      </c>
      <c r="M143" s="47">
        <f t="shared" si="10"/>
        <v>0</v>
      </c>
      <c r="N143" s="49">
        <f t="array" ref="N143">IFERROR(
SUM(
IF(
'PORTIFÓLIO'!$C$4:$C$564=$A143,
N(INDEX('PORTIFÓLIO'!$J$4:$Q$564,,MATCH(N$2,'PORTIFÓLIO'!$J$3:$Q$3,0))) *
N('PORTIFÓLIO'!$S$4:$S$564),
0
)
),
0)</f>
        <v>0</v>
      </c>
      <c r="O143" s="49">
        <f t="shared" si="11"/>
        <v>0</v>
      </c>
      <c r="P143" s="49">
        <f t="array" ref="P143">IFERROR(
SUM(
IF(
'PORTIFÓLIO'!$C$4:$C$564=$A143,
N(INDEX('PORTIFÓLIO'!$J$4:$Q$564,,MATCH(P$2,'PORTIFÓLIO'!$J$3:$Q$3,0))) *
N('PORTIFÓLIO'!$S$4:$S$564),
0
)
),
0)</f>
        <v>0</v>
      </c>
      <c r="Q143" s="49">
        <f t="shared" si="12"/>
        <v>0</v>
      </c>
      <c r="R143" s="49">
        <f t="shared" si="2"/>
        <v>0</v>
      </c>
      <c r="S143" s="49">
        <f t="shared" si="13"/>
        <v>0</v>
      </c>
    </row>
    <row r="144" ht="15.75" hidden="1" customHeight="1" outlineLevel="1">
      <c r="A144" s="48" t="str">
        <f>IFERROR(__xludf.DUMMYFUNCTION("""COMPUTED_VALUE"""),"BRISA WG")</f>
        <v>BRISA WG</v>
      </c>
      <c r="B144" s="49">
        <f t="array" ref="B144">IFERROR(
SUM(
IF(
'PORTIFÓLIO'!$C$4:$C$564=$A144,
N(INDEX('PORTIFÓLIO'!$J$4:$Q$564,,MATCH(B$2,'PORTIFÓLIO'!$J$3:$Q$3,0))) *
N('PORTIFÓLIO'!$S$4:$S$564),
0
)
),
0)</f>
        <v>0</v>
      </c>
      <c r="C144" s="49">
        <f t="shared" si="5"/>
        <v>0</v>
      </c>
      <c r="D144" s="49">
        <f t="array" ref="D144">IFERROR(
SUM(
IF(
'PORTIFÓLIO'!$C$4:$C$564=$A144,
N(INDEX('PORTIFÓLIO'!$J$4:$Q$564,,MATCH(D$2,'PORTIFÓLIO'!$J$3:$Q$3,0))) *
N('PORTIFÓLIO'!$S$4:$S$564),
0
)
),
0)</f>
        <v>0</v>
      </c>
      <c r="E144" s="49">
        <f t="shared" si="6"/>
        <v>0</v>
      </c>
      <c r="F144" s="49">
        <f t="array" ref="F144">IFERROR(
SUM(
IF(
'PORTIFÓLIO'!$C$4:$C$564=$A144,
N(INDEX('PORTIFÓLIO'!$J$4:$Q$564,,MATCH(F$2,'PORTIFÓLIO'!$J$3:$Q$3,0))) *
N('PORTIFÓLIO'!$S$4:$S$564),
0
)
),
0)</f>
        <v>0</v>
      </c>
      <c r="G144" s="47">
        <f t="shared" si="7"/>
        <v>0</v>
      </c>
      <c r="H144" s="49">
        <f t="array" ref="H144">IFERROR(
SUM(
IF(
'PORTIFÓLIO'!$C$4:$C$564=$A144,
N(INDEX('PORTIFÓLIO'!$J$4:$Q$564,,MATCH(H$2,'PORTIFÓLIO'!$J$3:$Q$3,0))) *
N('PORTIFÓLIO'!$S$4:$S$564),
0
)
),
0)</f>
        <v>0</v>
      </c>
      <c r="I144" s="47">
        <f t="shared" si="8"/>
        <v>0</v>
      </c>
      <c r="J144" s="49">
        <f t="array" ref="J144">IFERROR(
SUM(
IF(
'PORTIFÓLIO'!$C$4:$C$564=$A144,
N(INDEX('PORTIFÓLIO'!$J$4:$Q$564,,MATCH(J$2,'PORTIFÓLIO'!$J$3:$Q$3,0))) *
N('PORTIFÓLIO'!$S$4:$S$564),
0
)
),
0)</f>
        <v>0</v>
      </c>
      <c r="K144" s="47">
        <f t="shared" si="9"/>
        <v>0</v>
      </c>
      <c r="L144" s="49">
        <f t="array" ref="L144">IFERROR(
SUM(
IF(
'PORTIFÓLIO'!$C$4:$C$564=$A144,
N(INDEX('PORTIFÓLIO'!$J$4:$Q$564,,MATCH(L$2,'PORTIFÓLIO'!$J$3:$Q$3,0))) *
N('PORTIFÓLIO'!$S$4:$S$564),
0
)
),
0)</f>
        <v>0</v>
      </c>
      <c r="M144" s="47">
        <f t="shared" si="10"/>
        <v>0</v>
      </c>
      <c r="N144" s="49">
        <f t="array" ref="N144">IFERROR(
SUM(
IF(
'PORTIFÓLIO'!$C$4:$C$564=$A144,
N(INDEX('PORTIFÓLIO'!$J$4:$Q$564,,MATCH(N$2,'PORTIFÓLIO'!$J$3:$Q$3,0))) *
N('PORTIFÓLIO'!$S$4:$S$564),
0
)
),
0)</f>
        <v>0</v>
      </c>
      <c r="O144" s="49">
        <f t="shared" si="11"/>
        <v>0</v>
      </c>
      <c r="P144" s="49">
        <f t="array" ref="P144">IFERROR(
SUM(
IF(
'PORTIFÓLIO'!$C$4:$C$564=$A144,
N(INDEX('PORTIFÓLIO'!$J$4:$Q$564,,MATCH(P$2,'PORTIFÓLIO'!$J$3:$Q$3,0))) *
N('PORTIFÓLIO'!$S$4:$S$564),
0
)
),
0)</f>
        <v>0</v>
      </c>
      <c r="Q144" s="49">
        <f t="shared" si="12"/>
        <v>0</v>
      </c>
      <c r="R144" s="49">
        <f t="shared" si="2"/>
        <v>0</v>
      </c>
      <c r="S144" s="49">
        <f t="shared" si="13"/>
        <v>0</v>
      </c>
    </row>
    <row r="145" ht="15.75" hidden="1" customHeight="1" outlineLevel="1">
      <c r="A145" s="48" t="str">
        <f>IFERROR(__xludf.DUMMYFUNCTION("""COMPUTED_VALUE"""),"CUPROZEB")</f>
        <v>CUPROZEB</v>
      </c>
      <c r="B145" s="49">
        <f t="array" ref="B145">IFERROR(
SUM(
IF(
'PORTIFÓLIO'!$C$4:$C$564=$A145,
N(INDEX('PORTIFÓLIO'!$J$4:$Q$564,,MATCH(B$2,'PORTIFÓLIO'!$J$3:$Q$3,0))) *
N('PORTIFÓLIO'!$S$4:$S$564),
0
)
),
0)</f>
        <v>0</v>
      </c>
      <c r="C145" s="49">
        <f t="shared" si="5"/>
        <v>0</v>
      </c>
      <c r="D145" s="49">
        <f t="array" ref="D145">IFERROR(
SUM(
IF(
'PORTIFÓLIO'!$C$4:$C$564=$A145,
N(INDEX('PORTIFÓLIO'!$J$4:$Q$564,,MATCH(D$2,'PORTIFÓLIO'!$J$3:$Q$3,0))) *
N('PORTIFÓLIO'!$S$4:$S$564),
0
)
),
0)</f>
        <v>0</v>
      </c>
      <c r="E145" s="49">
        <f t="shared" si="6"/>
        <v>0</v>
      </c>
      <c r="F145" s="49">
        <f t="array" ref="F145">IFERROR(
SUM(
IF(
'PORTIFÓLIO'!$C$4:$C$564=$A145,
N(INDEX('PORTIFÓLIO'!$J$4:$Q$564,,MATCH(F$2,'PORTIFÓLIO'!$J$3:$Q$3,0))) *
N('PORTIFÓLIO'!$S$4:$S$564),
0
)
),
0)</f>
        <v>0</v>
      </c>
      <c r="G145" s="47">
        <f t="shared" si="7"/>
        <v>0</v>
      </c>
      <c r="H145" s="49">
        <f t="array" ref="H145">IFERROR(
SUM(
IF(
'PORTIFÓLIO'!$C$4:$C$564=$A145,
N(INDEX('PORTIFÓLIO'!$J$4:$Q$564,,MATCH(H$2,'PORTIFÓLIO'!$J$3:$Q$3,0))) *
N('PORTIFÓLIO'!$S$4:$S$564),
0
)
),
0)</f>
        <v>0</v>
      </c>
      <c r="I145" s="47">
        <f t="shared" si="8"/>
        <v>0</v>
      </c>
      <c r="J145" s="49">
        <f t="array" ref="J145">IFERROR(
SUM(
IF(
'PORTIFÓLIO'!$C$4:$C$564=$A145,
N(INDEX('PORTIFÓLIO'!$J$4:$Q$564,,MATCH(J$2,'PORTIFÓLIO'!$J$3:$Q$3,0))) *
N('PORTIFÓLIO'!$S$4:$S$564),
0
)
),
0)</f>
        <v>0</v>
      </c>
      <c r="K145" s="47">
        <f t="shared" si="9"/>
        <v>0</v>
      </c>
      <c r="L145" s="49">
        <f t="array" ref="L145">IFERROR(
SUM(
IF(
'PORTIFÓLIO'!$C$4:$C$564=$A145,
N(INDEX('PORTIFÓLIO'!$J$4:$Q$564,,MATCH(L$2,'PORTIFÓLIO'!$J$3:$Q$3,0))) *
N('PORTIFÓLIO'!$S$4:$S$564),
0
)
),
0)</f>
        <v>0</v>
      </c>
      <c r="M145" s="47">
        <f t="shared" si="10"/>
        <v>0</v>
      </c>
      <c r="N145" s="49">
        <f t="array" ref="N145">IFERROR(
SUM(
IF(
'PORTIFÓLIO'!$C$4:$C$564=$A145,
N(INDEX('PORTIFÓLIO'!$J$4:$Q$564,,MATCH(N$2,'PORTIFÓLIO'!$J$3:$Q$3,0))) *
N('PORTIFÓLIO'!$S$4:$S$564),
0
)
),
0)</f>
        <v>0</v>
      </c>
      <c r="O145" s="49">
        <f t="shared" si="11"/>
        <v>0</v>
      </c>
      <c r="P145" s="49">
        <f t="array" ref="P145">IFERROR(
SUM(
IF(
'PORTIFÓLIO'!$C$4:$C$564=$A145,
N(INDEX('PORTIFÓLIO'!$J$4:$Q$564,,MATCH(P$2,'PORTIFÓLIO'!$J$3:$Q$3,0))) *
N('PORTIFÓLIO'!$S$4:$S$564),
0
)
),
0)</f>
        <v>0</v>
      </c>
      <c r="Q145" s="49">
        <f t="shared" si="12"/>
        <v>0</v>
      </c>
      <c r="R145" s="49">
        <f t="shared" si="2"/>
        <v>0</v>
      </c>
      <c r="S145" s="49">
        <f t="shared" si="13"/>
        <v>0</v>
      </c>
    </row>
    <row r="146" ht="15.75" hidden="1" customHeight="1" outlineLevel="1">
      <c r="A146" s="48" t="str">
        <f>IFERROR(__xludf.DUMMYFUNCTION("""COMPUTED_VALUE"""),"SUPPORT WG")</f>
        <v>SUPPORT WG</v>
      </c>
      <c r="B146" s="49">
        <f t="array" ref="B146">IFERROR(
SUM(
IF(
'PORTIFÓLIO'!$C$4:$C$564=$A146,
N(INDEX('PORTIFÓLIO'!$J$4:$Q$564,,MATCH(B$2,'PORTIFÓLIO'!$J$3:$Q$3,0))) *
N('PORTIFÓLIO'!$S$4:$S$564),
0
)
),
0)</f>
        <v>0</v>
      </c>
      <c r="C146" s="49">
        <f t="shared" si="5"/>
        <v>0</v>
      </c>
      <c r="D146" s="49">
        <f t="array" ref="D146">IFERROR(
SUM(
IF(
'PORTIFÓLIO'!$C$4:$C$564=$A146,
N(INDEX('PORTIFÓLIO'!$J$4:$Q$564,,MATCH(D$2,'PORTIFÓLIO'!$J$3:$Q$3,0))) *
N('PORTIFÓLIO'!$S$4:$S$564),
0
)
),
0)</f>
        <v>0</v>
      </c>
      <c r="E146" s="49">
        <f t="shared" si="6"/>
        <v>0</v>
      </c>
      <c r="F146" s="49">
        <f t="array" ref="F146">IFERROR(
SUM(
IF(
'PORTIFÓLIO'!$C$4:$C$564=$A146,
N(INDEX('PORTIFÓLIO'!$J$4:$Q$564,,MATCH(F$2,'PORTIFÓLIO'!$J$3:$Q$3,0))) *
N('PORTIFÓLIO'!$S$4:$S$564),
0
)
),
0)</f>
        <v>0</v>
      </c>
      <c r="G146" s="47">
        <f t="shared" si="7"/>
        <v>0</v>
      </c>
      <c r="H146" s="49">
        <f t="array" ref="H146">IFERROR(
SUM(
IF(
'PORTIFÓLIO'!$C$4:$C$564=$A146,
N(INDEX('PORTIFÓLIO'!$J$4:$Q$564,,MATCH(H$2,'PORTIFÓLIO'!$J$3:$Q$3,0))) *
N('PORTIFÓLIO'!$S$4:$S$564),
0
)
),
0)</f>
        <v>0</v>
      </c>
      <c r="I146" s="47">
        <f t="shared" si="8"/>
        <v>0</v>
      </c>
      <c r="J146" s="49">
        <f t="array" ref="J146">IFERROR(
SUM(
IF(
'PORTIFÓLIO'!$C$4:$C$564=$A146,
N(INDEX('PORTIFÓLIO'!$J$4:$Q$564,,MATCH(J$2,'PORTIFÓLIO'!$J$3:$Q$3,0))) *
N('PORTIFÓLIO'!$S$4:$S$564),
0
)
),
0)</f>
        <v>0</v>
      </c>
      <c r="K146" s="47">
        <f t="shared" si="9"/>
        <v>0</v>
      </c>
      <c r="L146" s="49">
        <f t="array" ref="L146">IFERROR(
SUM(
IF(
'PORTIFÓLIO'!$C$4:$C$564=$A146,
N(INDEX('PORTIFÓLIO'!$J$4:$Q$564,,MATCH(L$2,'PORTIFÓLIO'!$J$3:$Q$3,0))) *
N('PORTIFÓLIO'!$S$4:$S$564),
0
)
),
0)</f>
        <v>0</v>
      </c>
      <c r="M146" s="47">
        <f t="shared" si="10"/>
        <v>0</v>
      </c>
      <c r="N146" s="49">
        <f t="array" ref="N146">IFERROR(
SUM(
IF(
'PORTIFÓLIO'!$C$4:$C$564=$A146,
N(INDEX('PORTIFÓLIO'!$J$4:$Q$564,,MATCH(N$2,'PORTIFÓLIO'!$J$3:$Q$3,0))) *
N('PORTIFÓLIO'!$S$4:$S$564),
0
)
),
0)</f>
        <v>0</v>
      </c>
      <c r="O146" s="49">
        <f t="shared" si="11"/>
        <v>0</v>
      </c>
      <c r="P146" s="49">
        <f t="array" ref="P146">IFERROR(
SUM(
IF(
'PORTIFÓLIO'!$C$4:$C$564=$A146,
N(INDEX('PORTIFÓLIO'!$J$4:$Q$564,,MATCH(P$2,'PORTIFÓLIO'!$J$3:$Q$3,0))) *
N('PORTIFÓLIO'!$S$4:$S$564),
0
)
),
0)</f>
        <v>0</v>
      </c>
      <c r="Q146" s="49">
        <f t="shared" si="12"/>
        <v>0</v>
      </c>
      <c r="R146" s="49">
        <f t="shared" si="2"/>
        <v>0</v>
      </c>
      <c r="S146" s="49">
        <f t="shared" si="13"/>
        <v>0</v>
      </c>
    </row>
    <row r="147" ht="15.75" hidden="1" customHeight="1" outlineLevel="1">
      <c r="A147" s="48" t="str">
        <f>IFERROR(__xludf.DUMMYFUNCTION("""COMPUTED_VALUE"""),"VITENE")</f>
        <v>VITENE</v>
      </c>
      <c r="B147" s="49">
        <f t="array" ref="B147">IFERROR(
SUM(
IF(
'PORTIFÓLIO'!$C$4:$C$564=$A147,
N(INDEX('PORTIFÓLIO'!$J$4:$Q$564,,MATCH(B$2,'PORTIFÓLIO'!$J$3:$Q$3,0))) *
N('PORTIFÓLIO'!$S$4:$S$564),
0
)
),
0)</f>
        <v>0</v>
      </c>
      <c r="C147" s="49">
        <f t="shared" si="5"/>
        <v>0</v>
      </c>
      <c r="D147" s="49">
        <f t="array" ref="D147">IFERROR(
SUM(
IF(
'PORTIFÓLIO'!$C$4:$C$564=$A147,
N(INDEX('PORTIFÓLIO'!$J$4:$Q$564,,MATCH(D$2,'PORTIFÓLIO'!$J$3:$Q$3,0))) *
N('PORTIFÓLIO'!$S$4:$S$564),
0
)
),
0)</f>
        <v>0</v>
      </c>
      <c r="E147" s="49">
        <f t="shared" si="6"/>
        <v>0</v>
      </c>
      <c r="F147" s="49">
        <f t="array" ref="F147">IFERROR(
SUM(
IF(
'PORTIFÓLIO'!$C$4:$C$564=$A147,
N(INDEX('PORTIFÓLIO'!$J$4:$Q$564,,MATCH(F$2,'PORTIFÓLIO'!$J$3:$Q$3,0))) *
N('PORTIFÓLIO'!$S$4:$S$564),
0
)
),
0)</f>
        <v>0</v>
      </c>
      <c r="G147" s="47">
        <f t="shared" si="7"/>
        <v>0</v>
      </c>
      <c r="H147" s="49">
        <f t="array" ref="H147">IFERROR(
SUM(
IF(
'PORTIFÓLIO'!$C$4:$C$564=$A147,
N(INDEX('PORTIFÓLIO'!$J$4:$Q$564,,MATCH(H$2,'PORTIFÓLIO'!$J$3:$Q$3,0))) *
N('PORTIFÓLIO'!$S$4:$S$564),
0
)
),
0)</f>
        <v>0</v>
      </c>
      <c r="I147" s="47">
        <f t="shared" si="8"/>
        <v>0</v>
      </c>
      <c r="J147" s="49">
        <f t="array" ref="J147">IFERROR(
SUM(
IF(
'PORTIFÓLIO'!$C$4:$C$564=$A147,
N(INDEX('PORTIFÓLIO'!$J$4:$Q$564,,MATCH(J$2,'PORTIFÓLIO'!$J$3:$Q$3,0))) *
N('PORTIFÓLIO'!$S$4:$S$564),
0
)
),
0)</f>
        <v>0</v>
      </c>
      <c r="K147" s="47">
        <f t="shared" si="9"/>
        <v>0</v>
      </c>
      <c r="L147" s="49">
        <f t="array" ref="L147">IFERROR(
SUM(
IF(
'PORTIFÓLIO'!$C$4:$C$564=$A147,
N(INDEX('PORTIFÓLIO'!$J$4:$Q$564,,MATCH(L$2,'PORTIFÓLIO'!$J$3:$Q$3,0))) *
N('PORTIFÓLIO'!$S$4:$S$564),
0
)
),
0)</f>
        <v>0</v>
      </c>
      <c r="M147" s="47">
        <f t="shared" si="10"/>
        <v>0</v>
      </c>
      <c r="N147" s="49">
        <f t="array" ref="N147">IFERROR(
SUM(
IF(
'PORTIFÓLIO'!$C$4:$C$564=$A147,
N(INDEX('PORTIFÓLIO'!$J$4:$Q$564,,MATCH(N$2,'PORTIFÓLIO'!$J$3:$Q$3,0))) *
N('PORTIFÓLIO'!$S$4:$S$564),
0
)
),
0)</f>
        <v>0</v>
      </c>
      <c r="O147" s="49">
        <f t="shared" si="11"/>
        <v>0</v>
      </c>
      <c r="P147" s="49">
        <f t="array" ref="P147">IFERROR(
SUM(
IF(
'PORTIFÓLIO'!$C$4:$C$564=$A147,
N(INDEX('PORTIFÓLIO'!$J$4:$Q$564,,MATCH(P$2,'PORTIFÓLIO'!$J$3:$Q$3,0))) *
N('PORTIFÓLIO'!$S$4:$S$564),
0
)
),
0)</f>
        <v>0</v>
      </c>
      <c r="Q147" s="49">
        <f t="shared" si="12"/>
        <v>0</v>
      </c>
      <c r="R147" s="49">
        <f t="shared" si="2"/>
        <v>0</v>
      </c>
      <c r="S147" s="49">
        <f t="shared" si="13"/>
        <v>0</v>
      </c>
    </row>
    <row r="148" ht="15.75" hidden="1" customHeight="1" outlineLevel="1">
      <c r="A148" s="48" t="str">
        <f>IFERROR(__xludf.DUMMYFUNCTION("""COMPUTED_VALUE"""),"CARTAP BR 500")</f>
        <v>CARTAP BR 500</v>
      </c>
      <c r="B148" s="49">
        <f t="array" ref="B148">IFERROR(
SUM(
IF(
'PORTIFÓLIO'!$C$4:$C$564=$A148,
N(INDEX('PORTIFÓLIO'!$J$4:$Q$564,,MATCH(B$2,'PORTIFÓLIO'!$J$3:$Q$3,0))) *
N('PORTIFÓLIO'!$S$4:$S$564),
0
)
),
0)</f>
        <v>0</v>
      </c>
      <c r="C148" s="49">
        <f t="shared" si="5"/>
        <v>0</v>
      </c>
      <c r="D148" s="49">
        <f t="array" ref="D148">IFERROR(
SUM(
IF(
'PORTIFÓLIO'!$C$4:$C$564=$A148,
N(INDEX('PORTIFÓLIO'!$J$4:$Q$564,,MATCH(D$2,'PORTIFÓLIO'!$J$3:$Q$3,0))) *
N('PORTIFÓLIO'!$S$4:$S$564),
0
)
),
0)</f>
        <v>0</v>
      </c>
      <c r="E148" s="49">
        <f t="shared" si="6"/>
        <v>0</v>
      </c>
      <c r="F148" s="49">
        <f t="array" ref="F148">IFERROR(
SUM(
IF(
'PORTIFÓLIO'!$C$4:$C$564=$A148,
N(INDEX('PORTIFÓLIO'!$J$4:$Q$564,,MATCH(F$2,'PORTIFÓLIO'!$J$3:$Q$3,0))) *
N('PORTIFÓLIO'!$S$4:$S$564),
0
)
),
0)</f>
        <v>0</v>
      </c>
      <c r="G148" s="47">
        <f t="shared" si="7"/>
        <v>0</v>
      </c>
      <c r="H148" s="49">
        <f t="array" ref="H148">IFERROR(
SUM(
IF(
'PORTIFÓLIO'!$C$4:$C$564=$A148,
N(INDEX('PORTIFÓLIO'!$J$4:$Q$564,,MATCH(H$2,'PORTIFÓLIO'!$J$3:$Q$3,0))) *
N('PORTIFÓLIO'!$S$4:$S$564),
0
)
),
0)</f>
        <v>0</v>
      </c>
      <c r="I148" s="47">
        <f t="shared" si="8"/>
        <v>0</v>
      </c>
      <c r="J148" s="49">
        <f t="array" ref="J148">IFERROR(
SUM(
IF(
'PORTIFÓLIO'!$C$4:$C$564=$A148,
N(INDEX('PORTIFÓLIO'!$J$4:$Q$564,,MATCH(J$2,'PORTIFÓLIO'!$J$3:$Q$3,0))) *
N('PORTIFÓLIO'!$S$4:$S$564),
0
)
),
0)</f>
        <v>0</v>
      </c>
      <c r="K148" s="47">
        <f t="shared" si="9"/>
        <v>0</v>
      </c>
      <c r="L148" s="49">
        <f t="array" ref="L148">IFERROR(
SUM(
IF(
'PORTIFÓLIO'!$C$4:$C$564=$A148,
N(INDEX('PORTIFÓLIO'!$J$4:$Q$564,,MATCH(L$2,'PORTIFÓLIO'!$J$3:$Q$3,0))) *
N('PORTIFÓLIO'!$S$4:$S$564),
0
)
),
0)</f>
        <v>0</v>
      </c>
      <c r="M148" s="47">
        <f t="shared" si="10"/>
        <v>0</v>
      </c>
      <c r="N148" s="49">
        <f t="array" ref="N148">IFERROR(
SUM(
IF(
'PORTIFÓLIO'!$C$4:$C$564=$A148,
N(INDEX('PORTIFÓLIO'!$J$4:$Q$564,,MATCH(N$2,'PORTIFÓLIO'!$J$3:$Q$3,0))) *
N('PORTIFÓLIO'!$S$4:$S$564),
0
)
),
0)</f>
        <v>0</v>
      </c>
      <c r="O148" s="49">
        <f t="shared" si="11"/>
        <v>0</v>
      </c>
      <c r="P148" s="49">
        <f t="array" ref="P148">IFERROR(
SUM(
IF(
'PORTIFÓLIO'!$C$4:$C$564=$A148,
N(INDEX('PORTIFÓLIO'!$J$4:$Q$564,,MATCH(P$2,'PORTIFÓLIO'!$J$3:$Q$3,0))) *
N('PORTIFÓLIO'!$S$4:$S$564),
0
)
),
0)</f>
        <v>0</v>
      </c>
      <c r="Q148" s="49">
        <f t="shared" si="12"/>
        <v>0</v>
      </c>
      <c r="R148" s="49">
        <f t="shared" si="2"/>
        <v>0</v>
      </c>
      <c r="S148" s="49">
        <f t="shared" si="13"/>
        <v>0</v>
      </c>
    </row>
    <row r="149" ht="15.75" hidden="1" customHeight="1" outlineLevel="1">
      <c r="A149" s="48" t="str">
        <f>IFERROR(__xludf.DUMMYFUNCTION("""COMPUTED_VALUE"""),"CURADO")</f>
        <v>CURADO</v>
      </c>
      <c r="B149" s="49">
        <f t="array" ref="B149">IFERROR(
SUM(
IF(
'PORTIFÓLIO'!$C$4:$C$564=$A149,
N(INDEX('PORTIFÓLIO'!$J$4:$Q$564,,MATCH(B$2,'PORTIFÓLIO'!$J$3:$Q$3,0))) *
N('PORTIFÓLIO'!$S$4:$S$564),
0
)
),
0)</f>
        <v>0</v>
      </c>
      <c r="C149" s="49">
        <f t="shared" si="5"/>
        <v>0</v>
      </c>
      <c r="D149" s="49">
        <f t="array" ref="D149">IFERROR(
SUM(
IF(
'PORTIFÓLIO'!$C$4:$C$564=$A149,
N(INDEX('PORTIFÓLIO'!$J$4:$Q$564,,MATCH(D$2,'PORTIFÓLIO'!$J$3:$Q$3,0))) *
N('PORTIFÓLIO'!$S$4:$S$564),
0
)
),
0)</f>
        <v>0</v>
      </c>
      <c r="E149" s="49">
        <f t="shared" si="6"/>
        <v>0</v>
      </c>
      <c r="F149" s="49">
        <f t="array" ref="F149">IFERROR(
SUM(
IF(
'PORTIFÓLIO'!$C$4:$C$564=$A149,
N(INDEX('PORTIFÓLIO'!$J$4:$Q$564,,MATCH(F$2,'PORTIFÓLIO'!$J$3:$Q$3,0))) *
N('PORTIFÓLIO'!$S$4:$S$564),
0
)
),
0)</f>
        <v>0</v>
      </c>
      <c r="G149" s="47">
        <f t="shared" si="7"/>
        <v>0</v>
      </c>
      <c r="H149" s="49">
        <f t="array" ref="H149">IFERROR(
SUM(
IF(
'PORTIFÓLIO'!$C$4:$C$564=$A149,
N(INDEX('PORTIFÓLIO'!$J$4:$Q$564,,MATCH(H$2,'PORTIFÓLIO'!$J$3:$Q$3,0))) *
N('PORTIFÓLIO'!$S$4:$S$564),
0
)
),
0)</f>
        <v>0</v>
      </c>
      <c r="I149" s="47">
        <f t="shared" si="8"/>
        <v>0</v>
      </c>
      <c r="J149" s="49">
        <f t="array" ref="J149">IFERROR(
SUM(
IF(
'PORTIFÓLIO'!$C$4:$C$564=$A149,
N(INDEX('PORTIFÓLIO'!$J$4:$Q$564,,MATCH(J$2,'PORTIFÓLIO'!$J$3:$Q$3,0))) *
N('PORTIFÓLIO'!$S$4:$S$564),
0
)
),
0)</f>
        <v>0</v>
      </c>
      <c r="K149" s="47">
        <f t="shared" si="9"/>
        <v>0</v>
      </c>
      <c r="L149" s="49">
        <f t="array" ref="L149">IFERROR(
SUM(
IF(
'PORTIFÓLIO'!$C$4:$C$564=$A149,
N(INDEX('PORTIFÓLIO'!$J$4:$Q$564,,MATCH(L$2,'PORTIFÓLIO'!$J$3:$Q$3,0))) *
N('PORTIFÓLIO'!$S$4:$S$564),
0
)
),
0)</f>
        <v>0</v>
      </c>
      <c r="M149" s="47">
        <f t="shared" si="10"/>
        <v>0</v>
      </c>
      <c r="N149" s="49">
        <f t="array" ref="N149">IFERROR(
SUM(
IF(
'PORTIFÓLIO'!$C$4:$C$564=$A149,
N(INDEX('PORTIFÓLIO'!$J$4:$Q$564,,MATCH(N$2,'PORTIFÓLIO'!$J$3:$Q$3,0))) *
N('PORTIFÓLIO'!$S$4:$S$564),
0
)
),
0)</f>
        <v>0</v>
      </c>
      <c r="O149" s="49">
        <f t="shared" si="11"/>
        <v>0</v>
      </c>
      <c r="P149" s="49">
        <f t="array" ref="P149">IFERROR(
SUM(
IF(
'PORTIFÓLIO'!$C$4:$C$564=$A149,
N(INDEX('PORTIFÓLIO'!$J$4:$Q$564,,MATCH(P$2,'PORTIFÓLIO'!$J$3:$Q$3,0))) *
N('PORTIFÓLIO'!$S$4:$S$564),
0
)
),
0)</f>
        <v>0</v>
      </c>
      <c r="Q149" s="49">
        <f t="shared" si="12"/>
        <v>0</v>
      </c>
      <c r="R149" s="49">
        <f t="shared" si="2"/>
        <v>0</v>
      </c>
      <c r="S149" s="49">
        <f t="shared" si="13"/>
        <v>0</v>
      </c>
    </row>
    <row r="150" ht="15.75" hidden="1" customHeight="1" outlineLevel="1">
      <c r="A150" s="48" t="str">
        <f>IFERROR(__xludf.DUMMYFUNCTION("""COMPUTED_VALUE"""),"EXCALIA MAX")</f>
        <v>EXCALIA MAX</v>
      </c>
      <c r="B150" s="49">
        <f t="array" ref="B150">IFERROR(
SUM(
IF(
'PORTIFÓLIO'!$C$4:$C$564=$A150,
N(INDEX('PORTIFÓLIO'!$J$4:$Q$564,,MATCH(B$2,'PORTIFÓLIO'!$J$3:$Q$3,0))) *
N('PORTIFÓLIO'!$S$4:$S$564),
0
)
),
0)</f>
        <v>0</v>
      </c>
      <c r="C150" s="49">
        <f t="shared" si="5"/>
        <v>0</v>
      </c>
      <c r="D150" s="49">
        <f t="array" ref="D150">IFERROR(
SUM(
IF(
'PORTIFÓLIO'!$C$4:$C$564=$A150,
N(INDEX('PORTIFÓLIO'!$J$4:$Q$564,,MATCH(D$2,'PORTIFÓLIO'!$J$3:$Q$3,0))) *
N('PORTIFÓLIO'!$S$4:$S$564),
0
)
),
0)</f>
        <v>0</v>
      </c>
      <c r="E150" s="49">
        <f t="shared" si="6"/>
        <v>0</v>
      </c>
      <c r="F150" s="49">
        <f t="array" ref="F150">IFERROR(
SUM(
IF(
'PORTIFÓLIO'!$C$4:$C$564=$A150,
N(INDEX('PORTIFÓLIO'!$J$4:$Q$564,,MATCH(F$2,'PORTIFÓLIO'!$J$3:$Q$3,0))) *
N('PORTIFÓLIO'!$S$4:$S$564),
0
)
),
0)</f>
        <v>0</v>
      </c>
      <c r="G150" s="47">
        <f t="shared" si="7"/>
        <v>0</v>
      </c>
      <c r="H150" s="49">
        <f t="array" ref="H150">IFERROR(
SUM(
IF(
'PORTIFÓLIO'!$C$4:$C$564=$A150,
N(INDEX('PORTIFÓLIO'!$J$4:$Q$564,,MATCH(H$2,'PORTIFÓLIO'!$J$3:$Q$3,0))) *
N('PORTIFÓLIO'!$S$4:$S$564),
0
)
),
0)</f>
        <v>0</v>
      </c>
      <c r="I150" s="47">
        <f t="shared" si="8"/>
        <v>0</v>
      </c>
      <c r="J150" s="49">
        <f t="array" ref="J150">IFERROR(
SUM(
IF(
'PORTIFÓLIO'!$C$4:$C$564=$A150,
N(INDEX('PORTIFÓLIO'!$J$4:$Q$564,,MATCH(J$2,'PORTIFÓLIO'!$J$3:$Q$3,0))) *
N('PORTIFÓLIO'!$S$4:$S$564),
0
)
),
0)</f>
        <v>0</v>
      </c>
      <c r="K150" s="47">
        <f t="shared" si="9"/>
        <v>0</v>
      </c>
      <c r="L150" s="49">
        <f t="array" ref="L150">IFERROR(
SUM(
IF(
'PORTIFÓLIO'!$C$4:$C$564=$A150,
N(INDEX('PORTIFÓLIO'!$J$4:$Q$564,,MATCH(L$2,'PORTIFÓLIO'!$J$3:$Q$3,0))) *
N('PORTIFÓLIO'!$S$4:$S$564),
0
)
),
0)</f>
        <v>0</v>
      </c>
      <c r="M150" s="47">
        <f t="shared" si="10"/>
        <v>0</v>
      </c>
      <c r="N150" s="49">
        <f t="array" ref="N150">IFERROR(
SUM(
IF(
'PORTIFÓLIO'!$C$4:$C$564=$A150,
N(INDEX('PORTIFÓLIO'!$J$4:$Q$564,,MATCH(N$2,'PORTIFÓLIO'!$J$3:$Q$3,0))) *
N('PORTIFÓLIO'!$S$4:$S$564),
0
)
),
0)</f>
        <v>0</v>
      </c>
      <c r="O150" s="49">
        <f t="shared" si="11"/>
        <v>0</v>
      </c>
      <c r="P150" s="49">
        <f t="array" ref="P150">IFERROR(
SUM(
IF(
'PORTIFÓLIO'!$C$4:$C$564=$A150,
N(INDEX('PORTIFÓLIO'!$J$4:$Q$564,,MATCH(P$2,'PORTIFÓLIO'!$J$3:$Q$3,0))) *
N('PORTIFÓLIO'!$S$4:$S$564),
0
)
),
0)</f>
        <v>0</v>
      </c>
      <c r="Q150" s="49">
        <f t="shared" si="12"/>
        <v>0</v>
      </c>
      <c r="R150" s="49">
        <f t="shared" si="2"/>
        <v>0</v>
      </c>
      <c r="S150" s="49">
        <f t="shared" si="13"/>
        <v>0</v>
      </c>
    </row>
    <row r="151" ht="15.75" hidden="1" customHeight="1" outlineLevel="1">
      <c r="A151" s="48" t="str">
        <f>IFERROR(__xludf.DUMMYFUNCTION("""COMPUTED_VALUE"""),"PLADIUS")</f>
        <v>PLADIUS</v>
      </c>
      <c r="B151" s="49">
        <f t="array" ref="B151">IFERROR(
SUM(
IF(
'PORTIFÓLIO'!$C$4:$C$564=$A151,
N(INDEX('PORTIFÓLIO'!$J$4:$Q$564,,MATCH(B$2,'PORTIFÓLIO'!$J$3:$Q$3,0))) *
N('PORTIFÓLIO'!$S$4:$S$564),
0
)
),
0)</f>
        <v>0</v>
      </c>
      <c r="C151" s="49">
        <f t="shared" si="5"/>
        <v>0</v>
      </c>
      <c r="D151" s="49">
        <f t="array" ref="D151">IFERROR(
SUM(
IF(
'PORTIFÓLIO'!$C$4:$C$564=$A151,
N(INDEX('PORTIFÓLIO'!$J$4:$Q$564,,MATCH(D$2,'PORTIFÓLIO'!$J$3:$Q$3,0))) *
N('PORTIFÓLIO'!$S$4:$S$564),
0
)
),
0)</f>
        <v>0</v>
      </c>
      <c r="E151" s="49">
        <f t="shared" si="6"/>
        <v>0</v>
      </c>
      <c r="F151" s="49">
        <f t="array" ref="F151">IFERROR(
SUM(
IF(
'PORTIFÓLIO'!$C$4:$C$564=$A151,
N(INDEX('PORTIFÓLIO'!$J$4:$Q$564,,MATCH(F$2,'PORTIFÓLIO'!$J$3:$Q$3,0))) *
N('PORTIFÓLIO'!$S$4:$S$564),
0
)
),
0)</f>
        <v>0</v>
      </c>
      <c r="G151" s="47">
        <f t="shared" si="7"/>
        <v>0</v>
      </c>
      <c r="H151" s="49">
        <f t="array" ref="H151">IFERROR(
SUM(
IF(
'PORTIFÓLIO'!$C$4:$C$564=$A151,
N(INDEX('PORTIFÓLIO'!$J$4:$Q$564,,MATCH(H$2,'PORTIFÓLIO'!$J$3:$Q$3,0))) *
N('PORTIFÓLIO'!$S$4:$S$564),
0
)
),
0)</f>
        <v>0</v>
      </c>
      <c r="I151" s="47">
        <f t="shared" si="8"/>
        <v>0</v>
      </c>
      <c r="J151" s="49">
        <f t="array" ref="J151">IFERROR(
SUM(
IF(
'PORTIFÓLIO'!$C$4:$C$564=$A151,
N(INDEX('PORTIFÓLIO'!$J$4:$Q$564,,MATCH(J$2,'PORTIFÓLIO'!$J$3:$Q$3,0))) *
N('PORTIFÓLIO'!$S$4:$S$564),
0
)
),
0)</f>
        <v>0</v>
      </c>
      <c r="K151" s="47">
        <f t="shared" si="9"/>
        <v>0</v>
      </c>
      <c r="L151" s="49">
        <f t="array" ref="L151">IFERROR(
SUM(
IF(
'PORTIFÓLIO'!$C$4:$C$564=$A151,
N(INDEX('PORTIFÓLIO'!$J$4:$Q$564,,MATCH(L$2,'PORTIFÓLIO'!$J$3:$Q$3,0))) *
N('PORTIFÓLIO'!$S$4:$S$564),
0
)
),
0)</f>
        <v>0</v>
      </c>
      <c r="M151" s="47">
        <f t="shared" si="10"/>
        <v>0</v>
      </c>
      <c r="N151" s="49">
        <f t="array" ref="N151">IFERROR(
SUM(
IF(
'PORTIFÓLIO'!$C$4:$C$564=$A151,
N(INDEX('PORTIFÓLIO'!$J$4:$Q$564,,MATCH(N$2,'PORTIFÓLIO'!$J$3:$Q$3,0))) *
N('PORTIFÓLIO'!$S$4:$S$564),
0
)
),
0)</f>
        <v>0</v>
      </c>
      <c r="O151" s="49">
        <f t="shared" si="11"/>
        <v>0</v>
      </c>
      <c r="P151" s="49">
        <f t="array" ref="P151">IFERROR(
SUM(
IF(
'PORTIFÓLIO'!$C$4:$C$564=$A151,
N(INDEX('PORTIFÓLIO'!$J$4:$Q$564,,MATCH(P$2,'PORTIFÓLIO'!$J$3:$Q$3,0))) *
N('PORTIFÓLIO'!$S$4:$S$564),
0
)
),
0)</f>
        <v>0</v>
      </c>
      <c r="Q151" s="49">
        <f t="shared" si="12"/>
        <v>0</v>
      </c>
      <c r="R151" s="49">
        <f t="shared" si="2"/>
        <v>0</v>
      </c>
      <c r="S151" s="49">
        <f t="shared" si="13"/>
        <v>0</v>
      </c>
    </row>
    <row r="152" ht="15.75" hidden="1" customHeight="1" outlineLevel="1">
      <c r="A152" s="48" t="str">
        <f>IFERROR(__xludf.DUMMYFUNCTION("""COMPUTED_VALUE"""),"SIALEX 500")</f>
        <v>SIALEX 500</v>
      </c>
      <c r="B152" s="49">
        <f t="array" ref="B152">IFERROR(
SUM(
IF(
'PORTIFÓLIO'!$C$4:$C$564=$A152,
N(INDEX('PORTIFÓLIO'!$J$4:$Q$564,,MATCH(B$2,'PORTIFÓLIO'!$J$3:$Q$3,0))) *
N('PORTIFÓLIO'!$S$4:$S$564),
0
)
),
0)</f>
        <v>0</v>
      </c>
      <c r="C152" s="49">
        <f t="shared" si="5"/>
        <v>0</v>
      </c>
      <c r="D152" s="49">
        <f t="array" ref="D152">IFERROR(
SUM(
IF(
'PORTIFÓLIO'!$C$4:$C$564=$A152,
N(INDEX('PORTIFÓLIO'!$J$4:$Q$564,,MATCH(D$2,'PORTIFÓLIO'!$J$3:$Q$3,0))) *
N('PORTIFÓLIO'!$S$4:$S$564),
0
)
),
0)</f>
        <v>0</v>
      </c>
      <c r="E152" s="49">
        <f t="shared" si="6"/>
        <v>0</v>
      </c>
      <c r="F152" s="49">
        <f t="array" ref="F152">IFERROR(
SUM(
IF(
'PORTIFÓLIO'!$C$4:$C$564=$A152,
N(INDEX('PORTIFÓLIO'!$J$4:$Q$564,,MATCH(F$2,'PORTIFÓLIO'!$J$3:$Q$3,0))) *
N('PORTIFÓLIO'!$S$4:$S$564),
0
)
),
0)</f>
        <v>0</v>
      </c>
      <c r="G152" s="47">
        <f t="shared" si="7"/>
        <v>0</v>
      </c>
      <c r="H152" s="49">
        <f t="array" ref="H152">IFERROR(
SUM(
IF(
'PORTIFÓLIO'!$C$4:$C$564=$A152,
N(INDEX('PORTIFÓLIO'!$J$4:$Q$564,,MATCH(H$2,'PORTIFÓLIO'!$J$3:$Q$3,0))) *
N('PORTIFÓLIO'!$S$4:$S$564),
0
)
),
0)</f>
        <v>0</v>
      </c>
      <c r="I152" s="47">
        <f t="shared" si="8"/>
        <v>0</v>
      </c>
      <c r="J152" s="49">
        <f t="array" ref="J152">IFERROR(
SUM(
IF(
'PORTIFÓLIO'!$C$4:$C$564=$A152,
N(INDEX('PORTIFÓLIO'!$J$4:$Q$564,,MATCH(J$2,'PORTIFÓLIO'!$J$3:$Q$3,0))) *
N('PORTIFÓLIO'!$S$4:$S$564),
0
)
),
0)</f>
        <v>0</v>
      </c>
      <c r="K152" s="47">
        <f t="shared" si="9"/>
        <v>0</v>
      </c>
      <c r="L152" s="49">
        <f t="array" ref="L152">IFERROR(
SUM(
IF(
'PORTIFÓLIO'!$C$4:$C$564=$A152,
N(INDEX('PORTIFÓLIO'!$J$4:$Q$564,,MATCH(L$2,'PORTIFÓLIO'!$J$3:$Q$3,0))) *
N('PORTIFÓLIO'!$S$4:$S$564),
0
)
),
0)</f>
        <v>0</v>
      </c>
      <c r="M152" s="47">
        <f t="shared" si="10"/>
        <v>0</v>
      </c>
      <c r="N152" s="49">
        <f t="array" ref="N152">IFERROR(
SUM(
IF(
'PORTIFÓLIO'!$C$4:$C$564=$A152,
N(INDEX('PORTIFÓLIO'!$J$4:$Q$564,,MATCH(N$2,'PORTIFÓLIO'!$J$3:$Q$3,0))) *
N('PORTIFÓLIO'!$S$4:$S$564),
0
)
),
0)</f>
        <v>0</v>
      </c>
      <c r="O152" s="49">
        <f t="shared" si="11"/>
        <v>0</v>
      </c>
      <c r="P152" s="49">
        <f t="array" ref="P152">IFERROR(
SUM(
IF(
'PORTIFÓLIO'!$C$4:$C$564=$A152,
N(INDEX('PORTIFÓLIO'!$J$4:$Q$564,,MATCH(P$2,'PORTIFÓLIO'!$J$3:$Q$3,0))) *
N('PORTIFÓLIO'!$S$4:$S$564),
0
)
),
0)</f>
        <v>0</v>
      </c>
      <c r="Q152" s="49">
        <f t="shared" si="12"/>
        <v>0</v>
      </c>
      <c r="R152" s="49">
        <f t="shared" si="2"/>
        <v>0</v>
      </c>
      <c r="S152" s="49">
        <f t="shared" si="13"/>
        <v>0</v>
      </c>
    </row>
    <row r="153" ht="15.75" hidden="1" customHeight="1" outlineLevel="1">
      <c r="A153" s="48" t="str">
        <f>IFERROR(__xludf.DUMMYFUNCTION("""COMPUTED_VALUE"""),"TAMIZ")</f>
        <v>TAMIZ</v>
      </c>
      <c r="B153" s="49">
        <f t="array" ref="B153">IFERROR(
SUM(
IF(
'PORTIFÓLIO'!$C$4:$C$564=$A153,
N(INDEX('PORTIFÓLIO'!$J$4:$Q$564,,MATCH(B$2,'PORTIFÓLIO'!$J$3:$Q$3,0))) *
N('PORTIFÓLIO'!$S$4:$S$564),
0
)
),
0)</f>
        <v>0</v>
      </c>
      <c r="C153" s="49">
        <f t="shared" si="5"/>
        <v>0</v>
      </c>
      <c r="D153" s="49">
        <f t="array" ref="D153">IFERROR(
SUM(
IF(
'PORTIFÓLIO'!$C$4:$C$564=$A153,
N(INDEX('PORTIFÓLIO'!$J$4:$Q$564,,MATCH(D$2,'PORTIFÓLIO'!$J$3:$Q$3,0))) *
N('PORTIFÓLIO'!$S$4:$S$564),
0
)
),
0)</f>
        <v>0</v>
      </c>
      <c r="E153" s="49">
        <f t="shared" si="6"/>
        <v>0</v>
      </c>
      <c r="F153" s="49">
        <f t="array" ref="F153">IFERROR(
SUM(
IF(
'PORTIFÓLIO'!$C$4:$C$564=$A153,
N(INDEX('PORTIFÓLIO'!$J$4:$Q$564,,MATCH(F$2,'PORTIFÓLIO'!$J$3:$Q$3,0))) *
N('PORTIFÓLIO'!$S$4:$S$564),
0
)
),
0)</f>
        <v>0</v>
      </c>
      <c r="G153" s="47">
        <f t="shared" si="7"/>
        <v>0</v>
      </c>
      <c r="H153" s="49">
        <f t="array" ref="H153">IFERROR(
SUM(
IF(
'PORTIFÓLIO'!$C$4:$C$564=$A153,
N(INDEX('PORTIFÓLIO'!$J$4:$Q$564,,MATCH(H$2,'PORTIFÓLIO'!$J$3:$Q$3,0))) *
N('PORTIFÓLIO'!$S$4:$S$564),
0
)
),
0)</f>
        <v>0</v>
      </c>
      <c r="I153" s="47">
        <f t="shared" si="8"/>
        <v>0</v>
      </c>
      <c r="J153" s="49">
        <f t="array" ref="J153">IFERROR(
SUM(
IF(
'PORTIFÓLIO'!$C$4:$C$564=$A153,
N(INDEX('PORTIFÓLIO'!$J$4:$Q$564,,MATCH(J$2,'PORTIFÓLIO'!$J$3:$Q$3,0))) *
N('PORTIFÓLIO'!$S$4:$S$564),
0
)
),
0)</f>
        <v>0</v>
      </c>
      <c r="K153" s="47">
        <f t="shared" si="9"/>
        <v>0</v>
      </c>
      <c r="L153" s="49">
        <f t="array" ref="L153">IFERROR(
SUM(
IF(
'PORTIFÓLIO'!$C$4:$C$564=$A153,
N(INDEX('PORTIFÓLIO'!$J$4:$Q$564,,MATCH(L$2,'PORTIFÓLIO'!$J$3:$Q$3,0))) *
N('PORTIFÓLIO'!$S$4:$S$564),
0
)
),
0)</f>
        <v>0</v>
      </c>
      <c r="M153" s="47">
        <f t="shared" si="10"/>
        <v>0</v>
      </c>
      <c r="N153" s="49">
        <f t="array" ref="N153">IFERROR(
SUM(
IF(
'PORTIFÓLIO'!$C$4:$C$564=$A153,
N(INDEX('PORTIFÓLIO'!$J$4:$Q$564,,MATCH(N$2,'PORTIFÓLIO'!$J$3:$Q$3,0))) *
N('PORTIFÓLIO'!$S$4:$S$564),
0
)
),
0)</f>
        <v>0</v>
      </c>
      <c r="O153" s="49">
        <f t="shared" si="11"/>
        <v>0</v>
      </c>
      <c r="P153" s="49">
        <f t="array" ref="P153">IFERROR(
SUM(
IF(
'PORTIFÓLIO'!$C$4:$C$564=$A153,
N(INDEX('PORTIFÓLIO'!$J$4:$Q$564,,MATCH(P$2,'PORTIFÓLIO'!$J$3:$Q$3,0))) *
N('PORTIFÓLIO'!$S$4:$S$564),
0
)
),
0)</f>
        <v>0</v>
      </c>
      <c r="Q153" s="49">
        <f t="shared" si="12"/>
        <v>0</v>
      </c>
      <c r="R153" s="49">
        <f t="shared" si="2"/>
        <v>0</v>
      </c>
      <c r="S153" s="49">
        <f t="shared" si="13"/>
        <v>0</v>
      </c>
    </row>
    <row r="154" ht="15.75" hidden="1" customHeight="1" outlineLevel="1">
      <c r="A154" s="48" t="str">
        <f>IFERROR(__xludf.DUMMYFUNCTION("""COMPUTED_VALUE"""),"TROIA")</f>
        <v>TROIA</v>
      </c>
      <c r="B154" s="49">
        <f t="array" ref="B154">IFERROR(
SUM(
IF(
'PORTIFÓLIO'!$C$4:$C$564=$A154,
N(INDEX('PORTIFÓLIO'!$J$4:$Q$564,,MATCH(B$2,'PORTIFÓLIO'!$J$3:$Q$3,0))) *
N('PORTIFÓLIO'!$S$4:$S$564),
0
)
),
0)</f>
        <v>0</v>
      </c>
      <c r="C154" s="49">
        <f t="shared" si="5"/>
        <v>0</v>
      </c>
      <c r="D154" s="49">
        <f t="array" ref="D154">IFERROR(
SUM(
IF(
'PORTIFÓLIO'!$C$4:$C$564=$A154,
N(INDEX('PORTIFÓLIO'!$J$4:$Q$564,,MATCH(D$2,'PORTIFÓLIO'!$J$3:$Q$3,0))) *
N('PORTIFÓLIO'!$S$4:$S$564),
0
)
),
0)</f>
        <v>0</v>
      </c>
      <c r="E154" s="49">
        <f t="shared" si="6"/>
        <v>0</v>
      </c>
      <c r="F154" s="49">
        <f t="array" ref="F154">IFERROR(
SUM(
IF(
'PORTIFÓLIO'!$C$4:$C$564=$A154,
N(INDEX('PORTIFÓLIO'!$J$4:$Q$564,,MATCH(F$2,'PORTIFÓLIO'!$J$3:$Q$3,0))) *
N('PORTIFÓLIO'!$S$4:$S$564),
0
)
),
0)</f>
        <v>0</v>
      </c>
      <c r="G154" s="47">
        <f t="shared" si="7"/>
        <v>0</v>
      </c>
      <c r="H154" s="49">
        <f t="array" ref="H154">IFERROR(
SUM(
IF(
'PORTIFÓLIO'!$C$4:$C$564=$A154,
N(INDEX('PORTIFÓLIO'!$J$4:$Q$564,,MATCH(H$2,'PORTIFÓLIO'!$J$3:$Q$3,0))) *
N('PORTIFÓLIO'!$S$4:$S$564),
0
)
),
0)</f>
        <v>0</v>
      </c>
      <c r="I154" s="47">
        <f t="shared" si="8"/>
        <v>0</v>
      </c>
      <c r="J154" s="49">
        <f t="array" ref="J154">IFERROR(
SUM(
IF(
'PORTIFÓLIO'!$C$4:$C$564=$A154,
N(INDEX('PORTIFÓLIO'!$J$4:$Q$564,,MATCH(J$2,'PORTIFÓLIO'!$J$3:$Q$3,0))) *
N('PORTIFÓLIO'!$S$4:$S$564),
0
)
),
0)</f>
        <v>0</v>
      </c>
      <c r="K154" s="47">
        <f t="shared" si="9"/>
        <v>0</v>
      </c>
      <c r="L154" s="49">
        <f t="array" ref="L154">IFERROR(
SUM(
IF(
'PORTIFÓLIO'!$C$4:$C$564=$A154,
N(INDEX('PORTIFÓLIO'!$J$4:$Q$564,,MATCH(L$2,'PORTIFÓLIO'!$J$3:$Q$3,0))) *
N('PORTIFÓLIO'!$S$4:$S$564),
0
)
),
0)</f>
        <v>0</v>
      </c>
      <c r="M154" s="47">
        <f t="shared" si="10"/>
        <v>0</v>
      </c>
      <c r="N154" s="49">
        <f t="array" ref="N154">IFERROR(
SUM(
IF(
'PORTIFÓLIO'!$C$4:$C$564=$A154,
N(INDEX('PORTIFÓLIO'!$J$4:$Q$564,,MATCH(N$2,'PORTIFÓLIO'!$J$3:$Q$3,0))) *
N('PORTIFÓLIO'!$S$4:$S$564),
0
)
),
0)</f>
        <v>0</v>
      </c>
      <c r="O154" s="49">
        <f t="shared" si="11"/>
        <v>0</v>
      </c>
      <c r="P154" s="49">
        <f t="array" ref="P154">IFERROR(
SUM(
IF(
'PORTIFÓLIO'!$C$4:$C$564=$A154,
N(INDEX('PORTIFÓLIO'!$J$4:$Q$564,,MATCH(P$2,'PORTIFÓLIO'!$J$3:$Q$3,0))) *
N('PORTIFÓLIO'!$S$4:$S$564),
0
)
),
0)</f>
        <v>0</v>
      </c>
      <c r="Q154" s="49">
        <f t="shared" si="12"/>
        <v>0</v>
      </c>
      <c r="R154" s="49">
        <f t="shared" si="2"/>
        <v>0</v>
      </c>
      <c r="S154" s="49">
        <f t="shared" si="13"/>
        <v>0</v>
      </c>
    </row>
    <row r="155" ht="15.75" hidden="1" customHeight="1" outlineLevel="1">
      <c r="A155" s="48" t="str">
        <f>IFERROR(__xludf.DUMMYFUNCTION("""COMPUTED_VALUE"""),"ALADE")</f>
        <v>ALADE</v>
      </c>
      <c r="B155" s="49">
        <f t="array" ref="B155">IFERROR(
SUM(
IF(
'PORTIFÓLIO'!$C$4:$C$564=$A155,
N(INDEX('PORTIFÓLIO'!$J$4:$Q$564,,MATCH(B$2,'PORTIFÓLIO'!$J$3:$Q$3,0))) *
N('PORTIFÓLIO'!$S$4:$S$564),
0
)
),
0)</f>
        <v>0</v>
      </c>
      <c r="C155" s="49">
        <f t="shared" si="5"/>
        <v>0</v>
      </c>
      <c r="D155" s="49">
        <f t="array" ref="D155">IFERROR(
SUM(
IF(
'PORTIFÓLIO'!$C$4:$C$564=$A155,
N(INDEX('PORTIFÓLIO'!$J$4:$Q$564,,MATCH(D$2,'PORTIFÓLIO'!$J$3:$Q$3,0))) *
N('PORTIFÓLIO'!$S$4:$S$564),
0
)
),
0)</f>
        <v>0</v>
      </c>
      <c r="E155" s="49">
        <f t="shared" si="6"/>
        <v>0</v>
      </c>
      <c r="F155" s="49">
        <f t="array" ref="F155">IFERROR(
SUM(
IF(
'PORTIFÓLIO'!$C$4:$C$564=$A155,
N(INDEX('PORTIFÓLIO'!$J$4:$Q$564,,MATCH(F$2,'PORTIFÓLIO'!$J$3:$Q$3,0))) *
N('PORTIFÓLIO'!$S$4:$S$564),
0
)
),
0)</f>
        <v>0</v>
      </c>
      <c r="G155" s="47">
        <f t="shared" si="7"/>
        <v>0</v>
      </c>
      <c r="H155" s="49">
        <f t="array" ref="H155">IFERROR(
SUM(
IF(
'PORTIFÓLIO'!$C$4:$C$564=$A155,
N(INDEX('PORTIFÓLIO'!$J$4:$Q$564,,MATCH(H$2,'PORTIFÓLIO'!$J$3:$Q$3,0))) *
N('PORTIFÓLIO'!$S$4:$S$564),
0
)
),
0)</f>
        <v>0</v>
      </c>
      <c r="I155" s="47">
        <f t="shared" si="8"/>
        <v>0</v>
      </c>
      <c r="J155" s="49">
        <f t="array" ref="J155">IFERROR(
SUM(
IF(
'PORTIFÓLIO'!$C$4:$C$564=$A155,
N(INDEX('PORTIFÓLIO'!$J$4:$Q$564,,MATCH(J$2,'PORTIFÓLIO'!$J$3:$Q$3,0))) *
N('PORTIFÓLIO'!$S$4:$S$564),
0
)
),
0)</f>
        <v>0</v>
      </c>
      <c r="K155" s="47">
        <f t="shared" si="9"/>
        <v>0</v>
      </c>
      <c r="L155" s="49">
        <f t="array" ref="L155">IFERROR(
SUM(
IF(
'PORTIFÓLIO'!$C$4:$C$564=$A155,
N(INDEX('PORTIFÓLIO'!$J$4:$Q$564,,MATCH(L$2,'PORTIFÓLIO'!$J$3:$Q$3,0))) *
N('PORTIFÓLIO'!$S$4:$S$564),
0
)
),
0)</f>
        <v>0</v>
      </c>
      <c r="M155" s="47">
        <f t="shared" si="10"/>
        <v>0</v>
      </c>
      <c r="N155" s="49">
        <f t="array" ref="N155">IFERROR(
SUM(
IF(
'PORTIFÓLIO'!$C$4:$C$564=$A155,
N(INDEX('PORTIFÓLIO'!$J$4:$Q$564,,MATCH(N$2,'PORTIFÓLIO'!$J$3:$Q$3,0))) *
N('PORTIFÓLIO'!$S$4:$S$564),
0
)
),
0)</f>
        <v>0</v>
      </c>
      <c r="O155" s="49">
        <f t="shared" si="11"/>
        <v>0</v>
      </c>
      <c r="P155" s="49">
        <f t="array" ref="P155">IFERROR(
SUM(
IF(
'PORTIFÓLIO'!$C$4:$C$564=$A155,
N(INDEX('PORTIFÓLIO'!$J$4:$Q$564,,MATCH(P$2,'PORTIFÓLIO'!$J$3:$Q$3,0))) *
N('PORTIFÓLIO'!$S$4:$S$564),
0
)
),
0)</f>
        <v>0</v>
      </c>
      <c r="Q155" s="49">
        <f t="shared" si="12"/>
        <v>0</v>
      </c>
      <c r="R155" s="49">
        <f t="shared" si="2"/>
        <v>0</v>
      </c>
      <c r="S155" s="49">
        <f t="shared" si="13"/>
        <v>0</v>
      </c>
    </row>
    <row r="156" ht="15.75" hidden="1" customHeight="1" outlineLevel="1">
      <c r="A156" s="48" t="str">
        <f>IFERROR(__xludf.DUMMYFUNCTION("""COMPUTED_VALUE"""),"AMISTAR TOP")</f>
        <v>AMISTAR TOP</v>
      </c>
      <c r="B156" s="49">
        <f t="array" ref="B156">IFERROR(
SUM(
IF(
'PORTIFÓLIO'!$C$4:$C$564=$A156,
N(INDEX('PORTIFÓLIO'!$J$4:$Q$564,,MATCH(B$2,'PORTIFÓLIO'!$J$3:$Q$3,0))) *
N('PORTIFÓLIO'!$S$4:$S$564),
0
)
),
0)</f>
        <v>0</v>
      </c>
      <c r="C156" s="49">
        <f t="shared" si="5"/>
        <v>0</v>
      </c>
      <c r="D156" s="49">
        <f t="array" ref="D156">IFERROR(
SUM(
IF(
'PORTIFÓLIO'!$C$4:$C$564=$A156,
N(INDEX('PORTIFÓLIO'!$J$4:$Q$564,,MATCH(D$2,'PORTIFÓLIO'!$J$3:$Q$3,0))) *
N('PORTIFÓLIO'!$S$4:$S$564),
0
)
),
0)</f>
        <v>0</v>
      </c>
      <c r="E156" s="49">
        <f t="shared" si="6"/>
        <v>0</v>
      </c>
      <c r="F156" s="49">
        <f t="array" ref="F156">IFERROR(
SUM(
IF(
'PORTIFÓLIO'!$C$4:$C$564=$A156,
N(INDEX('PORTIFÓLIO'!$J$4:$Q$564,,MATCH(F$2,'PORTIFÓLIO'!$J$3:$Q$3,0))) *
N('PORTIFÓLIO'!$S$4:$S$564),
0
)
),
0)</f>
        <v>0</v>
      </c>
      <c r="G156" s="47">
        <f t="shared" si="7"/>
        <v>0</v>
      </c>
      <c r="H156" s="49">
        <f t="array" ref="H156">IFERROR(
SUM(
IF(
'PORTIFÓLIO'!$C$4:$C$564=$A156,
N(INDEX('PORTIFÓLIO'!$J$4:$Q$564,,MATCH(H$2,'PORTIFÓLIO'!$J$3:$Q$3,0))) *
N('PORTIFÓLIO'!$S$4:$S$564),
0
)
),
0)</f>
        <v>0</v>
      </c>
      <c r="I156" s="47">
        <f t="shared" si="8"/>
        <v>0</v>
      </c>
      <c r="J156" s="49">
        <f t="array" ref="J156">IFERROR(
SUM(
IF(
'PORTIFÓLIO'!$C$4:$C$564=$A156,
N(INDEX('PORTIFÓLIO'!$J$4:$Q$564,,MATCH(J$2,'PORTIFÓLIO'!$J$3:$Q$3,0))) *
N('PORTIFÓLIO'!$S$4:$S$564),
0
)
),
0)</f>
        <v>0</v>
      </c>
      <c r="K156" s="47">
        <f t="shared" si="9"/>
        <v>0</v>
      </c>
      <c r="L156" s="49">
        <f t="array" ref="L156">IFERROR(
SUM(
IF(
'PORTIFÓLIO'!$C$4:$C$564=$A156,
N(INDEX('PORTIFÓLIO'!$J$4:$Q$564,,MATCH(L$2,'PORTIFÓLIO'!$J$3:$Q$3,0))) *
N('PORTIFÓLIO'!$S$4:$S$564),
0
)
),
0)</f>
        <v>0</v>
      </c>
      <c r="M156" s="47">
        <f t="shared" si="10"/>
        <v>0</v>
      </c>
      <c r="N156" s="49">
        <f t="array" ref="N156">IFERROR(
SUM(
IF(
'PORTIFÓLIO'!$C$4:$C$564=$A156,
N(INDEX('PORTIFÓLIO'!$J$4:$Q$564,,MATCH(N$2,'PORTIFÓLIO'!$J$3:$Q$3,0))) *
N('PORTIFÓLIO'!$S$4:$S$564),
0
)
),
0)</f>
        <v>0</v>
      </c>
      <c r="O156" s="49">
        <f t="shared" si="11"/>
        <v>0</v>
      </c>
      <c r="P156" s="49">
        <f t="array" ref="P156">IFERROR(
SUM(
IF(
'PORTIFÓLIO'!$C$4:$C$564=$A156,
N(INDEX('PORTIFÓLIO'!$J$4:$Q$564,,MATCH(P$2,'PORTIFÓLIO'!$J$3:$Q$3,0))) *
N('PORTIFÓLIO'!$S$4:$S$564),
0
)
),
0)</f>
        <v>0</v>
      </c>
      <c r="Q156" s="49">
        <f t="shared" si="12"/>
        <v>0</v>
      </c>
      <c r="R156" s="49">
        <f t="shared" si="2"/>
        <v>0</v>
      </c>
      <c r="S156" s="49">
        <f t="shared" si="13"/>
        <v>0</v>
      </c>
    </row>
    <row r="157" ht="15.75" hidden="1" customHeight="1" outlineLevel="1">
      <c r="A157" s="48" t="str">
        <f>IFERROR(__xludf.DUMMYFUNCTION("""COMPUTED_VALUE"""),"AUGE")</f>
        <v>AUGE</v>
      </c>
      <c r="B157" s="49">
        <f t="array" ref="B157">IFERROR(
SUM(
IF(
'PORTIFÓLIO'!$C$4:$C$564=$A157,
N(INDEX('PORTIFÓLIO'!$J$4:$Q$564,,MATCH(B$2,'PORTIFÓLIO'!$J$3:$Q$3,0))) *
N('PORTIFÓLIO'!$S$4:$S$564),
0
)
),
0)</f>
        <v>0</v>
      </c>
      <c r="C157" s="49">
        <f t="shared" si="5"/>
        <v>0</v>
      </c>
      <c r="D157" s="49">
        <f t="array" ref="D157">IFERROR(
SUM(
IF(
'PORTIFÓLIO'!$C$4:$C$564=$A157,
N(INDEX('PORTIFÓLIO'!$J$4:$Q$564,,MATCH(D$2,'PORTIFÓLIO'!$J$3:$Q$3,0))) *
N('PORTIFÓLIO'!$S$4:$S$564),
0
)
),
0)</f>
        <v>0</v>
      </c>
      <c r="E157" s="49">
        <f t="shared" si="6"/>
        <v>0</v>
      </c>
      <c r="F157" s="49">
        <f t="array" ref="F157">IFERROR(
SUM(
IF(
'PORTIFÓLIO'!$C$4:$C$564=$A157,
N(INDEX('PORTIFÓLIO'!$J$4:$Q$564,,MATCH(F$2,'PORTIFÓLIO'!$J$3:$Q$3,0))) *
N('PORTIFÓLIO'!$S$4:$S$564),
0
)
),
0)</f>
        <v>0</v>
      </c>
      <c r="G157" s="47">
        <f t="shared" si="7"/>
        <v>0</v>
      </c>
      <c r="H157" s="49">
        <f t="array" ref="H157">IFERROR(
SUM(
IF(
'PORTIFÓLIO'!$C$4:$C$564=$A157,
N(INDEX('PORTIFÓLIO'!$J$4:$Q$564,,MATCH(H$2,'PORTIFÓLIO'!$J$3:$Q$3,0))) *
N('PORTIFÓLIO'!$S$4:$S$564),
0
)
),
0)</f>
        <v>0</v>
      </c>
      <c r="I157" s="47">
        <f t="shared" si="8"/>
        <v>0</v>
      </c>
      <c r="J157" s="49">
        <f t="array" ref="J157">IFERROR(
SUM(
IF(
'PORTIFÓLIO'!$C$4:$C$564=$A157,
N(INDEX('PORTIFÓLIO'!$J$4:$Q$564,,MATCH(J$2,'PORTIFÓLIO'!$J$3:$Q$3,0))) *
N('PORTIFÓLIO'!$S$4:$S$564),
0
)
),
0)</f>
        <v>0</v>
      </c>
      <c r="K157" s="47">
        <f t="shared" si="9"/>
        <v>0</v>
      </c>
      <c r="L157" s="49">
        <f t="array" ref="L157">IFERROR(
SUM(
IF(
'PORTIFÓLIO'!$C$4:$C$564=$A157,
N(INDEX('PORTIFÓLIO'!$J$4:$Q$564,,MATCH(L$2,'PORTIFÓLIO'!$J$3:$Q$3,0))) *
N('PORTIFÓLIO'!$S$4:$S$564),
0
)
),
0)</f>
        <v>0</v>
      </c>
      <c r="M157" s="47">
        <f t="shared" si="10"/>
        <v>0</v>
      </c>
      <c r="N157" s="49">
        <f t="array" ref="N157">IFERROR(
SUM(
IF(
'PORTIFÓLIO'!$C$4:$C$564=$A157,
N(INDEX('PORTIFÓLIO'!$J$4:$Q$564,,MATCH(N$2,'PORTIFÓLIO'!$J$3:$Q$3,0))) *
N('PORTIFÓLIO'!$S$4:$S$564),
0
)
),
0)</f>
        <v>0</v>
      </c>
      <c r="O157" s="49">
        <f t="shared" si="11"/>
        <v>0</v>
      </c>
      <c r="P157" s="49">
        <f t="array" ref="P157">IFERROR(
SUM(
IF(
'PORTIFÓLIO'!$C$4:$C$564=$A157,
N(INDEX('PORTIFÓLIO'!$J$4:$Q$564,,MATCH(P$2,'PORTIFÓLIO'!$J$3:$Q$3,0))) *
N('PORTIFÓLIO'!$S$4:$S$564),
0
)
),
0)</f>
        <v>0</v>
      </c>
      <c r="Q157" s="49">
        <f t="shared" si="12"/>
        <v>0</v>
      </c>
      <c r="R157" s="49">
        <f t="shared" si="2"/>
        <v>0</v>
      </c>
      <c r="S157" s="49">
        <f t="shared" si="13"/>
        <v>0</v>
      </c>
    </row>
    <row r="158" ht="15.75" hidden="1" customHeight="1" outlineLevel="1">
      <c r="A158" s="48" t="str">
        <f>IFERROR(__xludf.DUMMYFUNCTION("""COMPUTED_VALUE"""),"BRAVONIL 720")</f>
        <v>BRAVONIL 720</v>
      </c>
      <c r="B158" s="49">
        <f t="array" ref="B158">IFERROR(
SUM(
IF(
'PORTIFÓLIO'!$C$4:$C$564=$A158,
N(INDEX('PORTIFÓLIO'!$J$4:$Q$564,,MATCH(B$2,'PORTIFÓLIO'!$J$3:$Q$3,0))) *
N('PORTIFÓLIO'!$S$4:$S$564),
0
)
),
0)</f>
        <v>9812.9232</v>
      </c>
      <c r="C158" s="49">
        <f t="shared" si="5"/>
        <v>20.02637388</v>
      </c>
      <c r="D158" s="49">
        <f t="array" ref="D158">IFERROR(
SUM(
IF(
'PORTIFÓLIO'!$C$4:$C$564=$A158,
N(INDEX('PORTIFÓLIO'!$J$4:$Q$564,,MATCH(D$2,'PORTIFÓLIO'!$J$3:$Q$3,0))) *
N('PORTIFÓLIO'!$S$4:$S$564),
0
)
),
0)</f>
        <v>10903.248</v>
      </c>
      <c r="E158" s="49">
        <f t="shared" si="6"/>
        <v>36.34416</v>
      </c>
      <c r="F158" s="49">
        <f t="array" ref="F158">IFERROR(
SUM(
IF(
'PORTIFÓLIO'!$C$4:$C$564=$A158,
N(INDEX('PORTIFÓLIO'!$J$4:$Q$564,,MATCH(F$2,'PORTIFÓLIO'!$J$3:$Q$3,0))) *
N('PORTIFÓLIO'!$S$4:$S$564),
0
)
),
0)</f>
        <v>7995.7152</v>
      </c>
      <c r="G158" s="47">
        <f t="shared" si="7"/>
        <v>36.34416</v>
      </c>
      <c r="H158" s="49">
        <f t="array" ref="H158">IFERROR(
SUM(
IF(
'PORTIFÓLIO'!$C$4:$C$564=$A158,
N(INDEX('PORTIFÓLIO'!$J$4:$Q$564,,MATCH(H$2,'PORTIFÓLIO'!$J$3:$Q$3,0))) *
N('PORTIFÓLIO'!$S$4:$S$564),
0
)
),
0)</f>
        <v>0</v>
      </c>
      <c r="I158" s="47">
        <f t="shared" si="8"/>
        <v>0</v>
      </c>
      <c r="J158" s="49">
        <f t="array" ref="J158">IFERROR(
SUM(
IF(
'PORTIFÓLIO'!$C$4:$C$564=$A158,
N(INDEX('PORTIFÓLIO'!$J$4:$Q$564,,MATCH(J$2,'PORTIFÓLIO'!$J$3:$Q$3,0))) *
N('PORTIFÓLIO'!$S$4:$S$564),
0
)
),
0)</f>
        <v>0</v>
      </c>
      <c r="K158" s="47">
        <f t="shared" si="9"/>
        <v>0</v>
      </c>
      <c r="L158" s="49">
        <f t="array" ref="L158">IFERROR(
SUM(
IF(
'PORTIFÓLIO'!$C$4:$C$564=$A158,
N(INDEX('PORTIFÓLIO'!$J$4:$Q$564,,MATCH(L$2,'PORTIFÓLIO'!$J$3:$Q$3,0))) *
N('PORTIFÓLIO'!$S$4:$S$564),
0
)
),
0)</f>
        <v>0</v>
      </c>
      <c r="M158" s="47">
        <f t="shared" si="10"/>
        <v>0</v>
      </c>
      <c r="N158" s="49">
        <f t="array" ref="N158">IFERROR(
SUM(
IF(
'PORTIFÓLIO'!$C$4:$C$564=$A158,
N(INDEX('PORTIFÓLIO'!$J$4:$Q$564,,MATCH(N$2,'PORTIFÓLIO'!$J$3:$Q$3,0))) *
N('PORTIFÓLIO'!$S$4:$S$564),
0
)
),
0)</f>
        <v>53367.76454</v>
      </c>
      <c r="O158" s="49">
        <f t="shared" si="11"/>
        <v>43.81589864</v>
      </c>
      <c r="P158" s="49">
        <f t="array" ref="P158">IFERROR(
SUM(
IF(
'PORTIFÓLIO'!$C$4:$C$564=$A158,
N(INDEX('PORTIFÓLIO'!$J$4:$Q$564,,MATCH(P$2,'PORTIFÓLIO'!$J$3:$Q$3,0))) *
N('PORTIFÓLIO'!$S$4:$S$564),
0
)
),
0)</f>
        <v>11630.1312</v>
      </c>
      <c r="Q158" s="49">
        <f t="shared" si="12"/>
        <v>36.34416</v>
      </c>
      <c r="R158" s="49">
        <f t="shared" si="2"/>
        <v>85714.06694</v>
      </c>
      <c r="S158" s="49">
        <f t="shared" si="13"/>
        <v>25.63219705</v>
      </c>
    </row>
    <row r="159" ht="15.75" hidden="1" customHeight="1" outlineLevel="1">
      <c r="A159" s="48" t="str">
        <f>IFERROR(__xludf.DUMMYFUNCTION("""COMPUTED_VALUE"""),"BRAVONIL TOP")</f>
        <v>BRAVONIL TOP</v>
      </c>
      <c r="B159" s="49">
        <f t="array" ref="B159">IFERROR(
SUM(
IF(
'PORTIFÓLIO'!$C$4:$C$564=$A159,
N(INDEX('PORTIFÓLIO'!$J$4:$Q$564,,MATCH(B$2,'PORTIFÓLIO'!$J$3:$Q$3,0))) *
N('PORTIFÓLIO'!$S$4:$S$564),
0
)
),
0)</f>
        <v>0</v>
      </c>
      <c r="C159" s="49">
        <f t="shared" si="5"/>
        <v>0</v>
      </c>
      <c r="D159" s="49">
        <f t="array" ref="D159">IFERROR(
SUM(
IF(
'PORTIFÓLIO'!$C$4:$C$564=$A159,
N(INDEX('PORTIFÓLIO'!$J$4:$Q$564,,MATCH(D$2,'PORTIFÓLIO'!$J$3:$Q$3,0))) *
N('PORTIFÓLIO'!$S$4:$S$564),
0
)
),
0)</f>
        <v>0</v>
      </c>
      <c r="E159" s="49">
        <f t="shared" si="6"/>
        <v>0</v>
      </c>
      <c r="F159" s="49">
        <f t="array" ref="F159">IFERROR(
SUM(
IF(
'PORTIFÓLIO'!$C$4:$C$564=$A159,
N(INDEX('PORTIFÓLIO'!$J$4:$Q$564,,MATCH(F$2,'PORTIFÓLIO'!$J$3:$Q$3,0))) *
N('PORTIFÓLIO'!$S$4:$S$564),
0
)
),
0)</f>
        <v>0</v>
      </c>
      <c r="G159" s="47">
        <f t="shared" si="7"/>
        <v>0</v>
      </c>
      <c r="H159" s="49">
        <f t="array" ref="H159">IFERROR(
SUM(
IF(
'PORTIFÓLIO'!$C$4:$C$564=$A159,
N(INDEX('PORTIFÓLIO'!$J$4:$Q$564,,MATCH(H$2,'PORTIFÓLIO'!$J$3:$Q$3,0))) *
N('PORTIFÓLIO'!$S$4:$S$564),
0
)
),
0)</f>
        <v>0</v>
      </c>
      <c r="I159" s="47">
        <f t="shared" si="8"/>
        <v>0</v>
      </c>
      <c r="J159" s="49">
        <f t="array" ref="J159">IFERROR(
SUM(
IF(
'PORTIFÓLIO'!$C$4:$C$564=$A159,
N(INDEX('PORTIFÓLIO'!$J$4:$Q$564,,MATCH(J$2,'PORTIFÓLIO'!$J$3:$Q$3,0))) *
N('PORTIFÓLIO'!$S$4:$S$564),
0
)
),
0)</f>
        <v>0</v>
      </c>
      <c r="K159" s="47">
        <f t="shared" si="9"/>
        <v>0</v>
      </c>
      <c r="L159" s="49">
        <f t="array" ref="L159">IFERROR(
SUM(
IF(
'PORTIFÓLIO'!$C$4:$C$564=$A159,
N(INDEX('PORTIFÓLIO'!$J$4:$Q$564,,MATCH(L$2,'PORTIFÓLIO'!$J$3:$Q$3,0))) *
N('PORTIFÓLIO'!$S$4:$S$564),
0
)
),
0)</f>
        <v>0</v>
      </c>
      <c r="M159" s="47">
        <f t="shared" si="10"/>
        <v>0</v>
      </c>
      <c r="N159" s="49">
        <f t="array" ref="N159">IFERROR(
SUM(
IF(
'PORTIFÓLIO'!$C$4:$C$564=$A159,
N(INDEX('PORTIFÓLIO'!$J$4:$Q$564,,MATCH(N$2,'PORTIFÓLIO'!$J$3:$Q$3,0))) *
N('PORTIFÓLIO'!$S$4:$S$564),
0
)
),
0)</f>
        <v>0</v>
      </c>
      <c r="O159" s="49">
        <f t="shared" si="11"/>
        <v>0</v>
      </c>
      <c r="P159" s="49">
        <f t="array" ref="P159">IFERROR(
SUM(
IF(
'PORTIFÓLIO'!$C$4:$C$564=$A159,
N(INDEX('PORTIFÓLIO'!$J$4:$Q$564,,MATCH(P$2,'PORTIFÓLIO'!$J$3:$Q$3,0))) *
N('PORTIFÓLIO'!$S$4:$S$564),
0
)
),
0)</f>
        <v>0</v>
      </c>
      <c r="Q159" s="49">
        <f t="shared" si="12"/>
        <v>0</v>
      </c>
      <c r="R159" s="49">
        <f t="shared" si="2"/>
        <v>0</v>
      </c>
      <c r="S159" s="49">
        <f t="shared" si="13"/>
        <v>0</v>
      </c>
    </row>
    <row r="160" ht="15.75" hidden="1" customHeight="1" outlineLevel="1">
      <c r="A160" s="48" t="str">
        <f>IFERROR(__xludf.DUMMYFUNCTION("""COMPUTED_VALUE"""),"CYPRESS 400 EC")</f>
        <v>CYPRESS 400 EC</v>
      </c>
      <c r="B160" s="49">
        <f t="array" ref="B160">IFERROR(
SUM(
IF(
'PORTIFÓLIO'!$C$4:$C$564=$A160,
N(INDEX('PORTIFÓLIO'!$J$4:$Q$564,,MATCH(B$2,'PORTIFÓLIO'!$J$3:$Q$3,0))) *
N('PORTIFÓLIO'!$S$4:$S$564),
0
)
),
0)</f>
        <v>0</v>
      </c>
      <c r="C160" s="49">
        <f t="shared" si="5"/>
        <v>0</v>
      </c>
      <c r="D160" s="49">
        <f t="array" ref="D160">IFERROR(
SUM(
IF(
'PORTIFÓLIO'!$C$4:$C$564=$A160,
N(INDEX('PORTIFÓLIO'!$J$4:$Q$564,,MATCH(D$2,'PORTIFÓLIO'!$J$3:$Q$3,0))) *
N('PORTIFÓLIO'!$S$4:$S$564),
0
)
),
0)</f>
        <v>0</v>
      </c>
      <c r="E160" s="49">
        <f t="shared" si="6"/>
        <v>0</v>
      </c>
      <c r="F160" s="49">
        <f t="array" ref="F160">IFERROR(
SUM(
IF(
'PORTIFÓLIO'!$C$4:$C$564=$A160,
N(INDEX('PORTIFÓLIO'!$J$4:$Q$564,,MATCH(F$2,'PORTIFÓLIO'!$J$3:$Q$3,0))) *
N('PORTIFÓLIO'!$S$4:$S$564),
0
)
),
0)</f>
        <v>0</v>
      </c>
      <c r="G160" s="47">
        <f t="shared" si="7"/>
        <v>0</v>
      </c>
      <c r="H160" s="49">
        <f t="array" ref="H160">IFERROR(
SUM(
IF(
'PORTIFÓLIO'!$C$4:$C$564=$A160,
N(INDEX('PORTIFÓLIO'!$J$4:$Q$564,,MATCH(H$2,'PORTIFÓLIO'!$J$3:$Q$3,0))) *
N('PORTIFÓLIO'!$S$4:$S$564),
0
)
),
0)</f>
        <v>0</v>
      </c>
      <c r="I160" s="47">
        <f t="shared" si="8"/>
        <v>0</v>
      </c>
      <c r="J160" s="49">
        <f t="array" ref="J160">IFERROR(
SUM(
IF(
'PORTIFÓLIO'!$C$4:$C$564=$A160,
N(INDEX('PORTIFÓLIO'!$J$4:$Q$564,,MATCH(J$2,'PORTIFÓLIO'!$J$3:$Q$3,0))) *
N('PORTIFÓLIO'!$S$4:$S$564),
0
)
),
0)</f>
        <v>0</v>
      </c>
      <c r="K160" s="47">
        <f t="shared" si="9"/>
        <v>0</v>
      </c>
      <c r="L160" s="49">
        <f t="array" ref="L160">IFERROR(
SUM(
IF(
'PORTIFÓLIO'!$C$4:$C$564=$A160,
N(INDEX('PORTIFÓLIO'!$J$4:$Q$564,,MATCH(L$2,'PORTIFÓLIO'!$J$3:$Q$3,0))) *
N('PORTIFÓLIO'!$S$4:$S$564),
0
)
),
0)</f>
        <v>0</v>
      </c>
      <c r="M160" s="47">
        <f t="shared" si="10"/>
        <v>0</v>
      </c>
      <c r="N160" s="49">
        <f t="array" ref="N160">IFERROR(
SUM(
IF(
'PORTIFÓLIO'!$C$4:$C$564=$A160,
N(INDEX('PORTIFÓLIO'!$J$4:$Q$564,,MATCH(N$2,'PORTIFÓLIO'!$J$3:$Q$3,0))) *
N('PORTIFÓLIO'!$S$4:$S$564),
0
)
),
0)</f>
        <v>3769.23456</v>
      </c>
      <c r="O160" s="49">
        <f t="shared" si="11"/>
        <v>3.094609655</v>
      </c>
      <c r="P160" s="49">
        <f t="array" ref="P160">IFERROR(
SUM(
IF(
'PORTIFÓLIO'!$C$4:$C$564=$A160,
N(INDEX('PORTIFÓLIO'!$J$4:$Q$564,,MATCH(P$2,'PORTIFÓLIO'!$J$3:$Q$3,0))) *
N('PORTIFÓLIO'!$S$4:$S$564),
0
)
),
0)</f>
        <v>0</v>
      </c>
      <c r="Q160" s="49">
        <f t="shared" si="12"/>
        <v>0</v>
      </c>
      <c r="R160" s="49">
        <f t="shared" si="2"/>
        <v>3769.23456</v>
      </c>
      <c r="S160" s="49">
        <f t="shared" si="13"/>
        <v>1.127163445</v>
      </c>
    </row>
    <row r="161" ht="15.75" hidden="1" customHeight="1" outlineLevel="1">
      <c r="A161" s="48" t="str">
        <f>IFERROR(__xludf.DUMMYFUNCTION("""COMPUTED_VALUE"""),"ELATUS")</f>
        <v>ELATUS</v>
      </c>
      <c r="B161" s="49">
        <f t="array" ref="B161">IFERROR(
SUM(
IF(
'PORTIFÓLIO'!$C$4:$C$564=$A161,
N(INDEX('PORTIFÓLIO'!$J$4:$Q$564,,MATCH(B$2,'PORTIFÓLIO'!$J$3:$Q$3,0))) *
N('PORTIFÓLIO'!$S$4:$S$564),
0
)
),
0)</f>
        <v>0</v>
      </c>
      <c r="C161" s="49">
        <f t="shared" si="5"/>
        <v>0</v>
      </c>
      <c r="D161" s="49">
        <f t="array" ref="D161">IFERROR(
SUM(
IF(
'PORTIFÓLIO'!$C$4:$C$564=$A161,
N(INDEX('PORTIFÓLIO'!$J$4:$Q$564,,MATCH(D$2,'PORTIFÓLIO'!$J$3:$Q$3,0))) *
N('PORTIFÓLIO'!$S$4:$S$564),
0
)
),
0)</f>
        <v>0</v>
      </c>
      <c r="E161" s="49">
        <f t="shared" si="6"/>
        <v>0</v>
      </c>
      <c r="F161" s="49">
        <f t="array" ref="F161">IFERROR(
SUM(
IF(
'PORTIFÓLIO'!$C$4:$C$564=$A161,
N(INDEX('PORTIFÓLIO'!$J$4:$Q$564,,MATCH(F$2,'PORTIFÓLIO'!$J$3:$Q$3,0))) *
N('PORTIFÓLIO'!$S$4:$S$564),
0
)
),
0)</f>
        <v>0</v>
      </c>
      <c r="G161" s="47">
        <f t="shared" si="7"/>
        <v>0</v>
      </c>
      <c r="H161" s="49">
        <f t="array" ref="H161">IFERROR(
SUM(
IF(
'PORTIFÓLIO'!$C$4:$C$564=$A161,
N(INDEX('PORTIFÓLIO'!$J$4:$Q$564,,MATCH(H$2,'PORTIFÓLIO'!$J$3:$Q$3,0))) *
N('PORTIFÓLIO'!$S$4:$S$564),
0
)
),
0)</f>
        <v>0</v>
      </c>
      <c r="I161" s="47">
        <f t="shared" si="8"/>
        <v>0</v>
      </c>
      <c r="J161" s="49">
        <f t="array" ref="J161">IFERROR(
SUM(
IF(
'PORTIFÓLIO'!$C$4:$C$564=$A161,
N(INDEX('PORTIFÓLIO'!$J$4:$Q$564,,MATCH(J$2,'PORTIFÓLIO'!$J$3:$Q$3,0))) *
N('PORTIFÓLIO'!$S$4:$S$564),
0
)
),
0)</f>
        <v>0</v>
      </c>
      <c r="K161" s="47">
        <f t="shared" si="9"/>
        <v>0</v>
      </c>
      <c r="L161" s="49">
        <f t="array" ref="L161">IFERROR(
SUM(
IF(
'PORTIFÓLIO'!$C$4:$C$564=$A161,
N(INDEX('PORTIFÓLIO'!$J$4:$Q$564,,MATCH(L$2,'PORTIFÓLIO'!$J$3:$Q$3,0))) *
N('PORTIFÓLIO'!$S$4:$S$564),
0
)
),
0)</f>
        <v>0</v>
      </c>
      <c r="M161" s="47">
        <f t="shared" si="10"/>
        <v>0</v>
      </c>
      <c r="N161" s="49">
        <f t="array" ref="N161">IFERROR(
SUM(
IF(
'PORTIFÓLIO'!$C$4:$C$564=$A161,
N(INDEX('PORTIFÓLIO'!$J$4:$Q$564,,MATCH(N$2,'PORTIFÓLIO'!$J$3:$Q$3,0))) *
N('PORTIFÓLIO'!$S$4:$S$564),
0
)
),
0)</f>
        <v>0</v>
      </c>
      <c r="O161" s="49">
        <f t="shared" si="11"/>
        <v>0</v>
      </c>
      <c r="P161" s="49">
        <f t="array" ref="P161">IFERROR(
SUM(
IF(
'PORTIFÓLIO'!$C$4:$C$564=$A161,
N(INDEX('PORTIFÓLIO'!$J$4:$Q$564,,MATCH(P$2,'PORTIFÓLIO'!$J$3:$Q$3,0))) *
N('PORTIFÓLIO'!$S$4:$S$564),
0
)
),
0)</f>
        <v>0</v>
      </c>
      <c r="Q161" s="49">
        <f t="shared" si="12"/>
        <v>0</v>
      </c>
      <c r="R161" s="49">
        <f t="shared" si="2"/>
        <v>0</v>
      </c>
      <c r="S161" s="49">
        <f t="shared" si="13"/>
        <v>0</v>
      </c>
    </row>
    <row r="162" ht="15.75" hidden="1" customHeight="1" outlineLevel="1">
      <c r="A162" s="48" t="str">
        <f>IFERROR(__xludf.DUMMYFUNCTION("""COMPUTED_VALUE"""),"MERTIN 400")</f>
        <v>MERTIN 400</v>
      </c>
      <c r="B162" s="49">
        <f t="array" ref="B162">IFERROR(
SUM(
IF(
'PORTIFÓLIO'!$C$4:$C$564=$A162,
N(INDEX('PORTIFÓLIO'!$J$4:$Q$564,,MATCH(B$2,'PORTIFÓLIO'!$J$3:$Q$3,0))) *
N('PORTIFÓLIO'!$S$4:$S$564),
0
)
),
0)</f>
        <v>0</v>
      </c>
      <c r="C162" s="49">
        <f t="shared" si="5"/>
        <v>0</v>
      </c>
      <c r="D162" s="49">
        <f t="array" ref="D162">IFERROR(
SUM(
IF(
'PORTIFÓLIO'!$C$4:$C$564=$A162,
N(INDEX('PORTIFÓLIO'!$J$4:$Q$564,,MATCH(D$2,'PORTIFÓLIO'!$J$3:$Q$3,0))) *
N('PORTIFÓLIO'!$S$4:$S$564),
0
)
),
0)</f>
        <v>0</v>
      </c>
      <c r="E162" s="49">
        <f t="shared" si="6"/>
        <v>0</v>
      </c>
      <c r="F162" s="49">
        <f t="array" ref="F162">IFERROR(
SUM(
IF(
'PORTIFÓLIO'!$C$4:$C$564=$A162,
N(INDEX('PORTIFÓLIO'!$J$4:$Q$564,,MATCH(F$2,'PORTIFÓLIO'!$J$3:$Q$3,0))) *
N('PORTIFÓLIO'!$S$4:$S$564),
0
)
),
0)</f>
        <v>0</v>
      </c>
      <c r="G162" s="47">
        <f t="shared" si="7"/>
        <v>0</v>
      </c>
      <c r="H162" s="49">
        <f t="array" ref="H162">IFERROR(
SUM(
IF(
'PORTIFÓLIO'!$C$4:$C$564=$A162,
N(INDEX('PORTIFÓLIO'!$J$4:$Q$564,,MATCH(H$2,'PORTIFÓLIO'!$J$3:$Q$3,0))) *
N('PORTIFÓLIO'!$S$4:$S$564),
0
)
),
0)</f>
        <v>0</v>
      </c>
      <c r="I162" s="47">
        <f t="shared" si="8"/>
        <v>0</v>
      </c>
      <c r="J162" s="49">
        <f t="array" ref="J162">IFERROR(
SUM(
IF(
'PORTIFÓLIO'!$C$4:$C$564=$A162,
N(INDEX('PORTIFÓLIO'!$J$4:$Q$564,,MATCH(J$2,'PORTIFÓLIO'!$J$3:$Q$3,0))) *
N('PORTIFÓLIO'!$S$4:$S$564),
0
)
),
0)</f>
        <v>0</v>
      </c>
      <c r="K162" s="47">
        <f t="shared" si="9"/>
        <v>0</v>
      </c>
      <c r="L162" s="49">
        <f t="array" ref="L162">IFERROR(
SUM(
IF(
'PORTIFÓLIO'!$C$4:$C$564=$A162,
N(INDEX('PORTIFÓLIO'!$J$4:$Q$564,,MATCH(L$2,'PORTIFÓLIO'!$J$3:$Q$3,0))) *
N('PORTIFÓLIO'!$S$4:$S$564),
0
)
),
0)</f>
        <v>0</v>
      </c>
      <c r="M162" s="47">
        <f t="shared" si="10"/>
        <v>0</v>
      </c>
      <c r="N162" s="49">
        <f t="array" ref="N162">IFERROR(
SUM(
IF(
'PORTIFÓLIO'!$C$4:$C$564=$A162,
N(INDEX('PORTIFÓLIO'!$J$4:$Q$564,,MATCH(N$2,'PORTIFÓLIO'!$J$3:$Q$3,0))) *
N('PORTIFÓLIO'!$S$4:$S$564),
0
)
),
0)</f>
        <v>0</v>
      </c>
      <c r="O162" s="49">
        <f t="shared" si="11"/>
        <v>0</v>
      </c>
      <c r="P162" s="49">
        <f t="array" ref="P162">IFERROR(
SUM(
IF(
'PORTIFÓLIO'!$C$4:$C$564=$A162,
N(INDEX('PORTIFÓLIO'!$J$4:$Q$564,,MATCH(P$2,'PORTIFÓLIO'!$J$3:$Q$3,0))) *
N('PORTIFÓLIO'!$S$4:$S$564),
0
)
),
0)</f>
        <v>0</v>
      </c>
      <c r="Q162" s="49">
        <f t="shared" si="12"/>
        <v>0</v>
      </c>
      <c r="R162" s="49">
        <f t="shared" si="2"/>
        <v>0</v>
      </c>
      <c r="S162" s="49">
        <f t="shared" si="13"/>
        <v>0</v>
      </c>
    </row>
    <row r="163" ht="15.75" hidden="1" customHeight="1" outlineLevel="1">
      <c r="A163" s="48" t="str">
        <f>IFERROR(__xludf.DUMMYFUNCTION("""COMPUTED_VALUE"""),"MIRAVIS")</f>
        <v>MIRAVIS</v>
      </c>
      <c r="B163" s="49">
        <f t="array" ref="B163">IFERROR(
SUM(
IF(
'PORTIFÓLIO'!$C$4:$C$564=$A163,
N(INDEX('PORTIFÓLIO'!$J$4:$Q$564,,MATCH(B$2,'PORTIFÓLIO'!$J$3:$Q$3,0))) *
N('PORTIFÓLIO'!$S$4:$S$564),
0
)
),
0)</f>
        <v>0</v>
      </c>
      <c r="C163" s="49">
        <f t="shared" si="5"/>
        <v>0</v>
      </c>
      <c r="D163" s="49">
        <f t="array" ref="D163">IFERROR(
SUM(
IF(
'PORTIFÓLIO'!$C$4:$C$564=$A163,
N(INDEX('PORTIFÓLIO'!$J$4:$Q$564,,MATCH(D$2,'PORTIFÓLIO'!$J$3:$Q$3,0))) *
N('PORTIFÓLIO'!$S$4:$S$564),
0
)
),
0)</f>
        <v>0</v>
      </c>
      <c r="E163" s="49">
        <f t="shared" si="6"/>
        <v>0</v>
      </c>
      <c r="F163" s="49">
        <f t="array" ref="F163">IFERROR(
SUM(
IF(
'PORTIFÓLIO'!$C$4:$C$564=$A163,
N(INDEX('PORTIFÓLIO'!$J$4:$Q$564,,MATCH(F$2,'PORTIFÓLIO'!$J$3:$Q$3,0))) *
N('PORTIFÓLIO'!$S$4:$S$564),
0
)
),
0)</f>
        <v>0</v>
      </c>
      <c r="G163" s="47">
        <f t="shared" si="7"/>
        <v>0</v>
      </c>
      <c r="H163" s="49">
        <f t="array" ref="H163">IFERROR(
SUM(
IF(
'PORTIFÓLIO'!$C$4:$C$564=$A163,
N(INDEX('PORTIFÓLIO'!$J$4:$Q$564,,MATCH(H$2,'PORTIFÓLIO'!$J$3:$Q$3,0))) *
N('PORTIFÓLIO'!$S$4:$S$564),
0
)
),
0)</f>
        <v>0</v>
      </c>
      <c r="I163" s="47">
        <f t="shared" si="8"/>
        <v>0</v>
      </c>
      <c r="J163" s="49">
        <f t="array" ref="J163">IFERROR(
SUM(
IF(
'PORTIFÓLIO'!$C$4:$C$564=$A163,
N(INDEX('PORTIFÓLIO'!$J$4:$Q$564,,MATCH(J$2,'PORTIFÓLIO'!$J$3:$Q$3,0))) *
N('PORTIFÓLIO'!$S$4:$S$564),
0
)
),
0)</f>
        <v>0</v>
      </c>
      <c r="K163" s="47">
        <f t="shared" si="9"/>
        <v>0</v>
      </c>
      <c r="L163" s="49">
        <f t="array" ref="L163">IFERROR(
SUM(
IF(
'PORTIFÓLIO'!$C$4:$C$564=$A163,
N(INDEX('PORTIFÓLIO'!$J$4:$Q$564,,MATCH(L$2,'PORTIFÓLIO'!$J$3:$Q$3,0))) *
N('PORTIFÓLIO'!$S$4:$S$564),
0
)
),
0)</f>
        <v>0</v>
      </c>
      <c r="M163" s="47">
        <f t="shared" si="10"/>
        <v>0</v>
      </c>
      <c r="N163" s="49">
        <f t="array" ref="N163">IFERROR(
SUM(
IF(
'PORTIFÓLIO'!$C$4:$C$564=$A163,
N(INDEX('PORTIFÓLIO'!$J$4:$Q$564,,MATCH(N$2,'PORTIFÓLIO'!$J$3:$Q$3,0))) *
N('PORTIFÓLIO'!$S$4:$S$564),
0
)
),
0)</f>
        <v>0</v>
      </c>
      <c r="O163" s="49">
        <f t="shared" si="11"/>
        <v>0</v>
      </c>
      <c r="P163" s="49">
        <f t="array" ref="P163">IFERROR(
SUM(
IF(
'PORTIFÓLIO'!$C$4:$C$564=$A163,
N(INDEX('PORTIFÓLIO'!$J$4:$Q$564,,MATCH(P$2,'PORTIFÓLIO'!$J$3:$Q$3,0))) *
N('PORTIFÓLIO'!$S$4:$S$564),
0
)
),
0)</f>
        <v>0</v>
      </c>
      <c r="Q163" s="49">
        <f t="shared" si="12"/>
        <v>0</v>
      </c>
      <c r="R163" s="49">
        <f t="shared" si="2"/>
        <v>0</v>
      </c>
      <c r="S163" s="49">
        <f t="shared" si="13"/>
        <v>0</v>
      </c>
    </row>
    <row r="164" ht="15.75" hidden="1" customHeight="1" outlineLevel="1">
      <c r="A164" s="48" t="str">
        <f>IFERROR(__xludf.DUMMYFUNCTION("""COMPUTED_VALUE"""),"MIRAVIS DUO")</f>
        <v>MIRAVIS DUO</v>
      </c>
      <c r="B164" s="49">
        <f t="array" ref="B164">IFERROR(
SUM(
IF(
'PORTIFÓLIO'!$C$4:$C$564=$A164,
N(INDEX('PORTIFÓLIO'!$J$4:$Q$564,,MATCH(B$2,'PORTIFÓLIO'!$J$3:$Q$3,0))) *
N('PORTIFÓLIO'!$S$4:$S$564),
0
)
),
0)</f>
        <v>0</v>
      </c>
      <c r="C164" s="49">
        <f t="shared" si="5"/>
        <v>0</v>
      </c>
      <c r="D164" s="49">
        <f t="array" ref="D164">IFERROR(
SUM(
IF(
'PORTIFÓLIO'!$C$4:$C$564=$A164,
N(INDEX('PORTIFÓLIO'!$J$4:$Q$564,,MATCH(D$2,'PORTIFÓLIO'!$J$3:$Q$3,0))) *
N('PORTIFÓLIO'!$S$4:$S$564),
0
)
),
0)</f>
        <v>0</v>
      </c>
      <c r="E164" s="49">
        <f t="shared" si="6"/>
        <v>0</v>
      </c>
      <c r="F164" s="49">
        <f t="array" ref="F164">IFERROR(
SUM(
IF(
'PORTIFÓLIO'!$C$4:$C$564=$A164,
N(INDEX('PORTIFÓLIO'!$J$4:$Q$564,,MATCH(F$2,'PORTIFÓLIO'!$J$3:$Q$3,0))) *
N('PORTIFÓLIO'!$S$4:$S$564),
0
)
),
0)</f>
        <v>0</v>
      </c>
      <c r="G164" s="47">
        <f t="shared" si="7"/>
        <v>0</v>
      </c>
      <c r="H164" s="49">
        <f t="array" ref="H164">IFERROR(
SUM(
IF(
'PORTIFÓLIO'!$C$4:$C$564=$A164,
N(INDEX('PORTIFÓLIO'!$J$4:$Q$564,,MATCH(H$2,'PORTIFÓLIO'!$J$3:$Q$3,0))) *
N('PORTIFÓLIO'!$S$4:$S$564),
0
)
),
0)</f>
        <v>0</v>
      </c>
      <c r="I164" s="47">
        <f t="shared" si="8"/>
        <v>0</v>
      </c>
      <c r="J164" s="49">
        <f t="array" ref="J164">IFERROR(
SUM(
IF(
'PORTIFÓLIO'!$C$4:$C$564=$A164,
N(INDEX('PORTIFÓLIO'!$J$4:$Q$564,,MATCH(J$2,'PORTIFÓLIO'!$J$3:$Q$3,0))) *
N('PORTIFÓLIO'!$S$4:$S$564),
0
)
),
0)</f>
        <v>0</v>
      </c>
      <c r="K164" s="47">
        <f t="shared" si="9"/>
        <v>0</v>
      </c>
      <c r="L164" s="49">
        <f t="array" ref="L164">IFERROR(
SUM(
IF(
'PORTIFÓLIO'!$C$4:$C$564=$A164,
N(INDEX('PORTIFÓLIO'!$J$4:$Q$564,,MATCH(L$2,'PORTIFÓLIO'!$J$3:$Q$3,0))) *
N('PORTIFÓLIO'!$S$4:$S$564),
0
)
),
0)</f>
        <v>17626.30848</v>
      </c>
      <c r="M164" s="47">
        <f t="shared" si="10"/>
        <v>80.119584</v>
      </c>
      <c r="N164" s="49">
        <f t="array" ref="N164">IFERROR(
SUM(
IF(
'PORTIFÓLIO'!$C$4:$C$564=$A164,
N(INDEX('PORTIFÓLIO'!$J$4:$Q$564,,MATCH(N$2,'PORTIFÓLIO'!$J$3:$Q$3,0))) *
N('PORTIFÓLIO'!$S$4:$S$564),
0
)
),
0)</f>
        <v>0</v>
      </c>
      <c r="O164" s="49">
        <f t="shared" si="11"/>
        <v>0</v>
      </c>
      <c r="P164" s="49">
        <f t="array" ref="P164">IFERROR(
SUM(
IF(
'PORTIFÓLIO'!$C$4:$C$564=$A164,
N(INDEX('PORTIFÓLIO'!$J$4:$Q$564,,MATCH(P$2,'PORTIFÓLIO'!$J$3:$Q$3,0))) *
N('PORTIFÓLIO'!$S$4:$S$564),
0
)
),
0)</f>
        <v>0</v>
      </c>
      <c r="Q164" s="49">
        <f t="shared" si="12"/>
        <v>0</v>
      </c>
      <c r="R164" s="49">
        <f t="shared" si="2"/>
        <v>17626.30848</v>
      </c>
      <c r="S164" s="49">
        <f t="shared" si="13"/>
        <v>5.271025263</v>
      </c>
    </row>
    <row r="165" ht="15.75" hidden="1" customHeight="1" outlineLevel="1">
      <c r="A165" s="48" t="str">
        <f>IFERROR(__xludf.DUMMYFUNCTION("""COMPUTED_VALUE"""),"MIRAVIS PRO")</f>
        <v>MIRAVIS PRO</v>
      </c>
      <c r="B165" s="49">
        <f t="array" ref="B165">IFERROR(
SUM(
IF(
'PORTIFÓLIO'!$C$4:$C$564=$A165,
N(INDEX('PORTIFÓLIO'!$J$4:$Q$564,,MATCH(B$2,'PORTIFÓLIO'!$J$3:$Q$3,0))) *
N('PORTIFÓLIO'!$S$4:$S$564),
0
)
),
0)</f>
        <v>0</v>
      </c>
      <c r="C165" s="49">
        <f t="shared" si="5"/>
        <v>0</v>
      </c>
      <c r="D165" s="49">
        <f t="array" ref="D165">IFERROR(
SUM(
IF(
'PORTIFÓLIO'!$C$4:$C$564=$A165,
N(INDEX('PORTIFÓLIO'!$J$4:$Q$564,,MATCH(D$2,'PORTIFÓLIO'!$J$3:$Q$3,0))) *
N('PORTIFÓLIO'!$S$4:$S$564),
0
)
),
0)</f>
        <v>0</v>
      </c>
      <c r="E165" s="49">
        <f t="shared" si="6"/>
        <v>0</v>
      </c>
      <c r="F165" s="49">
        <f t="array" ref="F165">IFERROR(
SUM(
IF(
'PORTIFÓLIO'!$C$4:$C$564=$A165,
N(INDEX('PORTIFÓLIO'!$J$4:$Q$564,,MATCH(F$2,'PORTIFÓLIO'!$J$3:$Q$3,0))) *
N('PORTIFÓLIO'!$S$4:$S$564),
0
)
),
0)</f>
        <v>0</v>
      </c>
      <c r="G165" s="47">
        <f t="shared" si="7"/>
        <v>0</v>
      </c>
      <c r="H165" s="49">
        <f t="array" ref="H165">IFERROR(
SUM(
IF(
'PORTIFÓLIO'!$C$4:$C$564=$A165,
N(INDEX('PORTIFÓLIO'!$J$4:$Q$564,,MATCH(H$2,'PORTIFÓLIO'!$J$3:$Q$3,0))) *
N('PORTIFÓLIO'!$S$4:$S$564),
0
)
),
0)</f>
        <v>0</v>
      </c>
      <c r="I165" s="47">
        <f t="shared" si="8"/>
        <v>0</v>
      </c>
      <c r="J165" s="49">
        <f t="array" ref="J165">IFERROR(
SUM(
IF(
'PORTIFÓLIO'!$C$4:$C$564=$A165,
N(INDEX('PORTIFÓLIO'!$J$4:$Q$564,,MATCH(J$2,'PORTIFÓLIO'!$J$3:$Q$3,0))) *
N('PORTIFÓLIO'!$S$4:$S$564),
0
)
),
0)</f>
        <v>0</v>
      </c>
      <c r="K165" s="47">
        <f t="shared" si="9"/>
        <v>0</v>
      </c>
      <c r="L165" s="49">
        <f t="array" ref="L165">IFERROR(
SUM(
IF(
'PORTIFÓLIO'!$C$4:$C$564=$A165,
N(INDEX('PORTIFÓLIO'!$J$4:$Q$564,,MATCH(L$2,'PORTIFÓLIO'!$J$3:$Q$3,0))) *
N('PORTIFÓLIO'!$S$4:$S$564),
0
)
),
0)</f>
        <v>0</v>
      </c>
      <c r="M165" s="47">
        <f t="shared" si="10"/>
        <v>0</v>
      </c>
      <c r="N165" s="49">
        <f t="array" ref="N165">IFERROR(
SUM(
IF(
'PORTIFÓLIO'!$C$4:$C$564=$A165,
N(INDEX('PORTIFÓLIO'!$J$4:$Q$564,,MATCH(N$2,'PORTIFÓLIO'!$J$3:$Q$3,0))) *
N('PORTIFÓLIO'!$S$4:$S$564),
0
)
),
0)</f>
        <v>0</v>
      </c>
      <c r="O165" s="49">
        <f t="shared" si="11"/>
        <v>0</v>
      </c>
      <c r="P165" s="49">
        <f t="array" ref="P165">IFERROR(
SUM(
IF(
'PORTIFÓLIO'!$C$4:$C$564=$A165,
N(INDEX('PORTIFÓLIO'!$J$4:$Q$564,,MATCH(P$2,'PORTIFÓLIO'!$J$3:$Q$3,0))) *
N('PORTIFÓLIO'!$S$4:$S$564),
0
)
),
0)</f>
        <v>0</v>
      </c>
      <c r="Q165" s="49">
        <f t="shared" si="12"/>
        <v>0</v>
      </c>
      <c r="R165" s="49">
        <f t="shared" si="2"/>
        <v>0</v>
      </c>
      <c r="S165" s="49">
        <f t="shared" si="13"/>
        <v>0</v>
      </c>
    </row>
    <row r="166" ht="15.75" hidden="1" customHeight="1" outlineLevel="1">
      <c r="A166" s="48" t="str">
        <f>IFERROR(__xludf.DUMMYFUNCTION("""COMPUTED_VALUE"""),"MITRION EC")</f>
        <v>MITRION EC</v>
      </c>
      <c r="B166" s="49">
        <f t="array" ref="B166">IFERROR(
SUM(
IF(
'PORTIFÓLIO'!$C$4:$C$564=$A166,
N(INDEX('PORTIFÓLIO'!$J$4:$Q$564,,MATCH(B$2,'PORTIFÓLIO'!$J$3:$Q$3,0))) *
N('PORTIFÓLIO'!$S$4:$S$564),
0
)
),
0)</f>
        <v>0</v>
      </c>
      <c r="C166" s="49">
        <f t="shared" si="5"/>
        <v>0</v>
      </c>
      <c r="D166" s="49">
        <f t="array" ref="D166">IFERROR(
SUM(
IF(
'PORTIFÓLIO'!$C$4:$C$564=$A166,
N(INDEX('PORTIFÓLIO'!$J$4:$Q$564,,MATCH(D$2,'PORTIFÓLIO'!$J$3:$Q$3,0))) *
N('PORTIFÓLIO'!$S$4:$S$564),
0
)
),
0)</f>
        <v>0</v>
      </c>
      <c r="E166" s="49">
        <f t="shared" si="6"/>
        <v>0</v>
      </c>
      <c r="F166" s="49">
        <f t="array" ref="F166">IFERROR(
SUM(
IF(
'PORTIFÓLIO'!$C$4:$C$564=$A166,
N(INDEX('PORTIFÓLIO'!$J$4:$Q$564,,MATCH(F$2,'PORTIFÓLIO'!$J$3:$Q$3,0))) *
N('PORTIFÓLIO'!$S$4:$S$564),
0
)
),
0)</f>
        <v>0</v>
      </c>
      <c r="G166" s="47">
        <f t="shared" si="7"/>
        <v>0</v>
      </c>
      <c r="H166" s="49">
        <f t="array" ref="H166">IFERROR(
SUM(
IF(
'PORTIFÓLIO'!$C$4:$C$564=$A166,
N(INDEX('PORTIFÓLIO'!$J$4:$Q$564,,MATCH(H$2,'PORTIFÓLIO'!$J$3:$Q$3,0))) *
N('PORTIFÓLIO'!$S$4:$S$564),
0
)
),
0)</f>
        <v>0</v>
      </c>
      <c r="I166" s="47">
        <f t="shared" si="8"/>
        <v>0</v>
      </c>
      <c r="J166" s="49">
        <f t="array" ref="J166">IFERROR(
SUM(
IF(
'PORTIFÓLIO'!$C$4:$C$564=$A166,
N(INDEX('PORTIFÓLIO'!$J$4:$Q$564,,MATCH(J$2,'PORTIFÓLIO'!$J$3:$Q$3,0))) *
N('PORTIFÓLIO'!$S$4:$S$564),
0
)
),
0)</f>
        <v>0</v>
      </c>
      <c r="K166" s="47">
        <f t="shared" si="9"/>
        <v>0</v>
      </c>
      <c r="L166" s="49">
        <f t="array" ref="L166">IFERROR(
SUM(
IF(
'PORTIFÓLIO'!$C$4:$C$564=$A166,
N(INDEX('PORTIFÓLIO'!$J$4:$Q$564,,MATCH(L$2,'PORTIFÓLIO'!$J$3:$Q$3,0))) *
N('PORTIFÓLIO'!$S$4:$S$564),
0
)
),
0)</f>
        <v>0</v>
      </c>
      <c r="M166" s="47">
        <f t="shared" si="10"/>
        <v>0</v>
      </c>
      <c r="N166" s="49">
        <f t="array" ref="N166">IFERROR(
SUM(
IF(
'PORTIFÓLIO'!$C$4:$C$564=$A166,
N(INDEX('PORTIFÓLIO'!$J$4:$Q$564,,MATCH(N$2,'PORTIFÓLIO'!$J$3:$Q$3,0))) *
N('PORTIFÓLIO'!$S$4:$S$564),
0
)
),
0)</f>
        <v>0</v>
      </c>
      <c r="O166" s="49">
        <f t="shared" si="11"/>
        <v>0</v>
      </c>
      <c r="P166" s="49">
        <f t="array" ref="P166">IFERROR(
SUM(
IF(
'PORTIFÓLIO'!$C$4:$C$564=$A166,
N(INDEX('PORTIFÓLIO'!$J$4:$Q$564,,MATCH(P$2,'PORTIFÓLIO'!$J$3:$Q$3,0))) *
N('PORTIFÓLIO'!$S$4:$S$564),
0
)
),
0)</f>
        <v>0</v>
      </c>
      <c r="Q166" s="49">
        <f t="shared" si="12"/>
        <v>0</v>
      </c>
      <c r="R166" s="49">
        <f t="shared" si="2"/>
        <v>0</v>
      </c>
      <c r="S166" s="49">
        <f t="shared" si="13"/>
        <v>0</v>
      </c>
    </row>
    <row r="167" ht="15.75" hidden="1" customHeight="1" outlineLevel="1">
      <c r="A167" s="48" t="str">
        <f>IFERROR(__xludf.DUMMYFUNCTION("""COMPUTED_VALUE"""),"PRIORI TOP")</f>
        <v>PRIORI TOP</v>
      </c>
      <c r="B167" s="49">
        <f t="array" ref="B167">IFERROR(
SUM(
IF(
'PORTIFÓLIO'!$C$4:$C$564=$A167,
N(INDEX('PORTIFÓLIO'!$J$4:$Q$564,,MATCH(B$2,'PORTIFÓLIO'!$J$3:$Q$3,0))) *
N('PORTIFÓLIO'!$S$4:$S$564),
0
)
),
0)</f>
        <v>0</v>
      </c>
      <c r="C167" s="49">
        <f t="shared" si="5"/>
        <v>0</v>
      </c>
      <c r="D167" s="49">
        <f t="array" ref="D167">IFERROR(
SUM(
IF(
'PORTIFÓLIO'!$C$4:$C$564=$A167,
N(INDEX('PORTIFÓLIO'!$J$4:$Q$564,,MATCH(D$2,'PORTIFÓLIO'!$J$3:$Q$3,0))) *
N('PORTIFÓLIO'!$S$4:$S$564),
0
)
),
0)</f>
        <v>0</v>
      </c>
      <c r="E167" s="49">
        <f t="shared" si="6"/>
        <v>0</v>
      </c>
      <c r="F167" s="49">
        <f t="array" ref="F167">IFERROR(
SUM(
IF(
'PORTIFÓLIO'!$C$4:$C$564=$A167,
N(INDEX('PORTIFÓLIO'!$J$4:$Q$564,,MATCH(F$2,'PORTIFÓLIO'!$J$3:$Q$3,0))) *
N('PORTIFÓLIO'!$S$4:$S$564),
0
)
),
0)</f>
        <v>0</v>
      </c>
      <c r="G167" s="47">
        <f t="shared" si="7"/>
        <v>0</v>
      </c>
      <c r="H167" s="49">
        <f t="array" ref="H167">IFERROR(
SUM(
IF(
'PORTIFÓLIO'!$C$4:$C$564=$A167,
N(INDEX('PORTIFÓLIO'!$J$4:$Q$564,,MATCH(H$2,'PORTIFÓLIO'!$J$3:$Q$3,0))) *
N('PORTIFÓLIO'!$S$4:$S$564),
0
)
),
0)</f>
        <v>0</v>
      </c>
      <c r="I167" s="47">
        <f t="shared" si="8"/>
        <v>0</v>
      </c>
      <c r="J167" s="49">
        <f t="array" ref="J167">IFERROR(
SUM(
IF(
'PORTIFÓLIO'!$C$4:$C$564=$A167,
N(INDEX('PORTIFÓLIO'!$J$4:$Q$564,,MATCH(J$2,'PORTIFÓLIO'!$J$3:$Q$3,0))) *
N('PORTIFÓLIO'!$S$4:$S$564),
0
)
),
0)</f>
        <v>0</v>
      </c>
      <c r="K167" s="47">
        <f t="shared" si="9"/>
        <v>0</v>
      </c>
      <c r="L167" s="49">
        <f t="array" ref="L167">IFERROR(
SUM(
IF(
'PORTIFÓLIO'!$C$4:$C$564=$A167,
N(INDEX('PORTIFÓLIO'!$J$4:$Q$564,,MATCH(L$2,'PORTIFÓLIO'!$J$3:$Q$3,0))) *
N('PORTIFÓLIO'!$S$4:$S$564),
0
)
),
0)</f>
        <v>0</v>
      </c>
      <c r="M167" s="47">
        <f t="shared" si="10"/>
        <v>0</v>
      </c>
      <c r="N167" s="49">
        <f t="array" ref="N167">IFERROR(
SUM(
IF(
'PORTIFÓLIO'!$C$4:$C$564=$A167,
N(INDEX('PORTIFÓLIO'!$J$4:$Q$564,,MATCH(N$2,'PORTIFÓLIO'!$J$3:$Q$3,0))) *
N('PORTIFÓLIO'!$S$4:$S$564),
0
)
),
0)</f>
        <v>0</v>
      </c>
      <c r="O167" s="49">
        <f t="shared" si="11"/>
        <v>0</v>
      </c>
      <c r="P167" s="49">
        <f t="array" ref="P167">IFERROR(
SUM(
IF(
'PORTIFÓLIO'!$C$4:$C$564=$A167,
N(INDEX('PORTIFÓLIO'!$J$4:$Q$564,,MATCH(P$2,'PORTIFÓLIO'!$J$3:$Q$3,0))) *
N('PORTIFÓLIO'!$S$4:$S$564),
0
)
),
0)</f>
        <v>0</v>
      </c>
      <c r="Q167" s="49">
        <f t="shared" si="12"/>
        <v>0</v>
      </c>
      <c r="R167" s="49">
        <f t="shared" si="2"/>
        <v>0</v>
      </c>
      <c r="S167" s="49">
        <f t="shared" si="13"/>
        <v>0</v>
      </c>
    </row>
    <row r="168" ht="15.75" hidden="1" customHeight="1" outlineLevel="1">
      <c r="A168" s="48" t="str">
        <f>IFERROR(__xludf.DUMMYFUNCTION("""COMPUTED_VALUE"""),"RIDOMIL GOLD BRAVO")</f>
        <v>RIDOMIL GOLD BRAVO</v>
      </c>
      <c r="B168" s="49">
        <f t="array" ref="B168">IFERROR(
SUM(
IF(
'PORTIFÓLIO'!$C$4:$C$564=$A168,
N(INDEX('PORTIFÓLIO'!$J$4:$Q$564,,MATCH(B$2,'PORTIFÓLIO'!$J$3:$Q$3,0))) *
N('PORTIFÓLIO'!$S$4:$S$564),
0
)
),
0)</f>
        <v>0</v>
      </c>
      <c r="C168" s="49">
        <f t="shared" si="5"/>
        <v>0</v>
      </c>
      <c r="D168" s="49">
        <f t="array" ref="D168">IFERROR(
SUM(
IF(
'PORTIFÓLIO'!$C$4:$C$564=$A168,
N(INDEX('PORTIFÓLIO'!$J$4:$Q$564,,MATCH(D$2,'PORTIFÓLIO'!$J$3:$Q$3,0))) *
N('PORTIFÓLIO'!$S$4:$S$564),
0
)
),
0)</f>
        <v>0</v>
      </c>
      <c r="E168" s="49">
        <f t="shared" si="6"/>
        <v>0</v>
      </c>
      <c r="F168" s="49">
        <f t="array" ref="F168">IFERROR(
SUM(
IF(
'PORTIFÓLIO'!$C$4:$C$564=$A168,
N(INDEX('PORTIFÓLIO'!$J$4:$Q$564,,MATCH(F$2,'PORTIFÓLIO'!$J$3:$Q$3,0))) *
N('PORTIFÓLIO'!$S$4:$S$564),
0
)
),
0)</f>
        <v>0</v>
      </c>
      <c r="G168" s="47">
        <f t="shared" si="7"/>
        <v>0</v>
      </c>
      <c r="H168" s="49">
        <f t="array" ref="H168">IFERROR(
SUM(
IF(
'PORTIFÓLIO'!$C$4:$C$564=$A168,
N(INDEX('PORTIFÓLIO'!$J$4:$Q$564,,MATCH(H$2,'PORTIFÓLIO'!$J$3:$Q$3,0))) *
N('PORTIFÓLIO'!$S$4:$S$564),
0
)
),
0)</f>
        <v>0</v>
      </c>
      <c r="I168" s="47">
        <f t="shared" si="8"/>
        <v>0</v>
      </c>
      <c r="J168" s="49">
        <f t="array" ref="J168">IFERROR(
SUM(
IF(
'PORTIFÓLIO'!$C$4:$C$564=$A168,
N(INDEX('PORTIFÓLIO'!$J$4:$Q$564,,MATCH(J$2,'PORTIFÓLIO'!$J$3:$Q$3,0))) *
N('PORTIFÓLIO'!$S$4:$S$564),
0
)
),
0)</f>
        <v>0</v>
      </c>
      <c r="K168" s="47">
        <f t="shared" si="9"/>
        <v>0</v>
      </c>
      <c r="L168" s="49">
        <f t="array" ref="L168">IFERROR(
SUM(
IF(
'PORTIFÓLIO'!$C$4:$C$564=$A168,
N(INDEX('PORTIFÓLIO'!$J$4:$Q$564,,MATCH(L$2,'PORTIFÓLIO'!$J$3:$Q$3,0))) *
N('PORTIFÓLIO'!$S$4:$S$564),
0
)
),
0)</f>
        <v>0</v>
      </c>
      <c r="M168" s="47">
        <f t="shared" si="10"/>
        <v>0</v>
      </c>
      <c r="N168" s="49">
        <f t="array" ref="N168">IFERROR(
SUM(
IF(
'PORTIFÓLIO'!$C$4:$C$564=$A168,
N(INDEX('PORTIFÓLIO'!$J$4:$Q$564,,MATCH(N$2,'PORTIFÓLIO'!$J$3:$Q$3,0))) *
N('PORTIFÓLIO'!$S$4:$S$564),
0
)
),
0)</f>
        <v>0</v>
      </c>
      <c r="O168" s="49">
        <f t="shared" si="11"/>
        <v>0</v>
      </c>
      <c r="P168" s="49">
        <f t="array" ref="P168">IFERROR(
SUM(
IF(
'PORTIFÓLIO'!$C$4:$C$564=$A168,
N(INDEX('PORTIFÓLIO'!$J$4:$Q$564,,MATCH(P$2,'PORTIFÓLIO'!$J$3:$Q$3,0))) *
N('PORTIFÓLIO'!$S$4:$S$564),
0
)
),
0)</f>
        <v>0</v>
      </c>
      <c r="Q168" s="49">
        <f t="shared" si="12"/>
        <v>0</v>
      </c>
      <c r="R168" s="49">
        <f t="shared" si="2"/>
        <v>0</v>
      </c>
      <c r="S168" s="49">
        <f t="shared" si="13"/>
        <v>0</v>
      </c>
    </row>
    <row r="169" ht="15.75" hidden="1" customHeight="1" outlineLevel="1">
      <c r="A169" s="48" t="str">
        <f>IFERROR(__xludf.DUMMYFUNCTION("""COMPUTED_VALUE"""),"SCORE FLEXI®")</f>
        <v>SCORE FLEXI®</v>
      </c>
      <c r="B169" s="49">
        <f t="array" ref="B169">IFERROR(
SUM(
IF(
'PORTIFÓLIO'!$C$4:$C$564=$A169,
N(INDEX('PORTIFÓLIO'!$J$4:$Q$564,,MATCH(B$2,'PORTIFÓLIO'!$J$3:$Q$3,0))) *
N('PORTIFÓLIO'!$S$4:$S$564),
0
)
),
0)</f>
        <v>0</v>
      </c>
      <c r="C169" s="49">
        <f t="shared" si="5"/>
        <v>0</v>
      </c>
      <c r="D169" s="49">
        <f t="array" ref="D169">IFERROR(
SUM(
IF(
'PORTIFÓLIO'!$C$4:$C$564=$A169,
N(INDEX('PORTIFÓLIO'!$J$4:$Q$564,,MATCH(D$2,'PORTIFÓLIO'!$J$3:$Q$3,0))) *
N('PORTIFÓLIO'!$S$4:$S$564),
0
)
),
0)</f>
        <v>0</v>
      </c>
      <c r="E169" s="49">
        <f t="shared" si="6"/>
        <v>0</v>
      </c>
      <c r="F169" s="49">
        <f t="array" ref="F169">IFERROR(
SUM(
IF(
'PORTIFÓLIO'!$C$4:$C$564=$A169,
N(INDEX('PORTIFÓLIO'!$J$4:$Q$564,,MATCH(F$2,'PORTIFÓLIO'!$J$3:$Q$3,0))) *
N('PORTIFÓLIO'!$S$4:$S$564),
0
)
),
0)</f>
        <v>0</v>
      </c>
      <c r="G169" s="47">
        <f t="shared" si="7"/>
        <v>0</v>
      </c>
      <c r="H169" s="49">
        <f t="array" ref="H169">IFERROR(
SUM(
IF(
'PORTIFÓLIO'!$C$4:$C$564=$A169,
N(INDEX('PORTIFÓLIO'!$J$4:$Q$564,,MATCH(H$2,'PORTIFÓLIO'!$J$3:$Q$3,0))) *
N('PORTIFÓLIO'!$S$4:$S$564),
0
)
),
0)</f>
        <v>0</v>
      </c>
      <c r="I169" s="47">
        <f t="shared" si="8"/>
        <v>0</v>
      </c>
      <c r="J169" s="49">
        <f t="array" ref="J169">IFERROR(
SUM(
IF(
'PORTIFÓLIO'!$C$4:$C$564=$A169,
N(INDEX('PORTIFÓLIO'!$J$4:$Q$564,,MATCH(J$2,'PORTIFÓLIO'!$J$3:$Q$3,0))) *
N('PORTIFÓLIO'!$S$4:$S$564),
0
)
),
0)</f>
        <v>0</v>
      </c>
      <c r="K169" s="47">
        <f t="shared" si="9"/>
        <v>0</v>
      </c>
      <c r="L169" s="49">
        <f t="array" ref="L169">IFERROR(
SUM(
IF(
'PORTIFÓLIO'!$C$4:$C$564=$A169,
N(INDEX('PORTIFÓLIO'!$J$4:$Q$564,,MATCH(L$2,'PORTIFÓLIO'!$J$3:$Q$3,0))) *
N('PORTIFÓLIO'!$S$4:$S$564),
0
)
),
0)</f>
        <v>0</v>
      </c>
      <c r="M169" s="47">
        <f t="shared" si="10"/>
        <v>0</v>
      </c>
      <c r="N169" s="49">
        <f t="array" ref="N169">IFERROR(
SUM(
IF(
'PORTIFÓLIO'!$C$4:$C$564=$A169,
N(INDEX('PORTIFÓLIO'!$J$4:$Q$564,,MATCH(N$2,'PORTIFÓLIO'!$J$3:$Q$3,0))) *
N('PORTIFÓLIO'!$S$4:$S$564),
0
)
),
0)</f>
        <v>0</v>
      </c>
      <c r="O169" s="49">
        <f t="shared" si="11"/>
        <v>0</v>
      </c>
      <c r="P169" s="49">
        <f t="array" ref="P169">IFERROR(
SUM(
IF(
'PORTIFÓLIO'!$C$4:$C$564=$A169,
N(INDEX('PORTIFÓLIO'!$J$4:$Q$564,,MATCH(P$2,'PORTIFÓLIO'!$J$3:$Q$3,0))) *
N('PORTIFÓLIO'!$S$4:$S$564),
0
)
),
0)</f>
        <v>0</v>
      </c>
      <c r="Q169" s="49">
        <f t="shared" si="12"/>
        <v>0</v>
      </c>
      <c r="R169" s="49">
        <f t="shared" si="2"/>
        <v>0</v>
      </c>
      <c r="S169" s="49">
        <f t="shared" si="13"/>
        <v>0</v>
      </c>
    </row>
    <row r="170" ht="15.75" hidden="1" customHeight="1" outlineLevel="1">
      <c r="A170" s="48" t="str">
        <f>IFERROR(__xludf.DUMMYFUNCTION("""COMPUTED_VALUE"""),"SEEKER")</f>
        <v>SEEKER</v>
      </c>
      <c r="B170" s="49">
        <f t="array" ref="B170">IFERROR(
SUM(
IF(
'PORTIFÓLIO'!$C$4:$C$564=$A170,
N(INDEX('PORTIFÓLIO'!$J$4:$Q$564,,MATCH(B$2,'PORTIFÓLIO'!$J$3:$Q$3,0))) *
N('PORTIFÓLIO'!$S$4:$S$564),
0
)
),
0)</f>
        <v>0</v>
      </c>
      <c r="C170" s="49">
        <f t="shared" si="5"/>
        <v>0</v>
      </c>
      <c r="D170" s="49">
        <f t="array" ref="D170">IFERROR(
SUM(
IF(
'PORTIFÓLIO'!$C$4:$C$564=$A170,
N(INDEX('PORTIFÓLIO'!$J$4:$Q$564,,MATCH(D$2,'PORTIFÓLIO'!$J$3:$Q$3,0))) *
N('PORTIFÓLIO'!$S$4:$S$564),
0
)
),
0)</f>
        <v>0</v>
      </c>
      <c r="E170" s="49">
        <f t="shared" si="6"/>
        <v>0</v>
      </c>
      <c r="F170" s="49">
        <f t="array" ref="F170">IFERROR(
SUM(
IF(
'PORTIFÓLIO'!$C$4:$C$564=$A170,
N(INDEX('PORTIFÓLIO'!$J$4:$Q$564,,MATCH(F$2,'PORTIFÓLIO'!$J$3:$Q$3,0))) *
N('PORTIFÓLIO'!$S$4:$S$564),
0
)
),
0)</f>
        <v>0</v>
      </c>
      <c r="G170" s="47">
        <f t="shared" si="7"/>
        <v>0</v>
      </c>
      <c r="H170" s="49">
        <f t="array" ref="H170">IFERROR(
SUM(
IF(
'PORTIFÓLIO'!$C$4:$C$564=$A170,
N(INDEX('PORTIFÓLIO'!$J$4:$Q$564,,MATCH(H$2,'PORTIFÓLIO'!$J$3:$Q$3,0))) *
N('PORTIFÓLIO'!$S$4:$S$564),
0
)
),
0)</f>
        <v>0</v>
      </c>
      <c r="I170" s="47">
        <f t="shared" si="8"/>
        <v>0</v>
      </c>
      <c r="J170" s="49">
        <f t="array" ref="J170">IFERROR(
SUM(
IF(
'PORTIFÓLIO'!$C$4:$C$564=$A170,
N(INDEX('PORTIFÓLIO'!$J$4:$Q$564,,MATCH(J$2,'PORTIFÓLIO'!$J$3:$Q$3,0))) *
N('PORTIFÓLIO'!$S$4:$S$564),
0
)
),
0)</f>
        <v>0</v>
      </c>
      <c r="K170" s="47">
        <f t="shared" si="9"/>
        <v>0</v>
      </c>
      <c r="L170" s="49">
        <f t="array" ref="L170">IFERROR(
SUM(
IF(
'PORTIFÓLIO'!$C$4:$C$564=$A170,
N(INDEX('PORTIFÓLIO'!$J$4:$Q$564,,MATCH(L$2,'PORTIFÓLIO'!$J$3:$Q$3,0))) *
N('PORTIFÓLIO'!$S$4:$S$564),
0
)
),
0)</f>
        <v>0</v>
      </c>
      <c r="M170" s="47">
        <f t="shared" si="10"/>
        <v>0</v>
      </c>
      <c r="N170" s="49">
        <f t="array" ref="N170">IFERROR(
SUM(
IF(
'PORTIFÓLIO'!$C$4:$C$564=$A170,
N(INDEX('PORTIFÓLIO'!$J$4:$Q$564,,MATCH(N$2,'PORTIFÓLIO'!$J$3:$Q$3,0))) *
N('PORTIFÓLIO'!$S$4:$S$564),
0
)
),
0)</f>
        <v>0</v>
      </c>
      <c r="O170" s="49">
        <f t="shared" si="11"/>
        <v>0</v>
      </c>
      <c r="P170" s="49">
        <f t="array" ref="P170">IFERROR(
SUM(
IF(
'PORTIFÓLIO'!$C$4:$C$564=$A170,
N(INDEX('PORTIFÓLIO'!$J$4:$Q$564,,MATCH(P$2,'PORTIFÓLIO'!$J$3:$Q$3,0))) *
N('PORTIFÓLIO'!$S$4:$S$564),
0
)
),
0)</f>
        <v>0</v>
      </c>
      <c r="Q170" s="49">
        <f t="shared" si="12"/>
        <v>0</v>
      </c>
      <c r="R170" s="49">
        <f t="shared" si="2"/>
        <v>0</v>
      </c>
      <c r="S170" s="49">
        <f t="shared" si="13"/>
        <v>0</v>
      </c>
    </row>
    <row r="171" ht="15.75" hidden="1" customHeight="1" outlineLevel="1">
      <c r="A171" s="48"/>
      <c r="B171" s="49">
        <f t="array" ref="B171">IFERROR(
SUM(
IF(
'PORTIFÓLIO'!$C$4:$C$564=$A171,
N(INDEX('PORTIFÓLIO'!$J$4:$Q$564,,MATCH(B$2,'PORTIFÓLIO'!$J$3:$Q$3,0))) *
N('PORTIFÓLIO'!$S$4:$S$564),
0
)
),
0)</f>
        <v>0</v>
      </c>
      <c r="C171" s="49">
        <f t="shared" si="5"/>
        <v>0</v>
      </c>
      <c r="D171" s="49">
        <f t="array" ref="D171">IFERROR(
SUM(
IF(
'PORTIFÓLIO'!$C$4:$C$564=$A171,
N(INDEX('PORTIFÓLIO'!$J$4:$Q$564,,MATCH(D$2,'PORTIFÓLIO'!$J$3:$Q$3,0))) *
N('PORTIFÓLIO'!$S$4:$S$564),
0
)
),
0)</f>
        <v>0</v>
      </c>
      <c r="E171" s="49">
        <f t="shared" si="6"/>
        <v>0</v>
      </c>
      <c r="F171" s="49">
        <f t="array" ref="F171">IFERROR(
SUM(
IF(
'PORTIFÓLIO'!$C$4:$C$564=$A171,
N(INDEX('PORTIFÓLIO'!$J$4:$Q$564,,MATCH(F$2,'PORTIFÓLIO'!$J$3:$Q$3,0))) *
N('PORTIFÓLIO'!$S$4:$S$564),
0
)
),
0)</f>
        <v>0</v>
      </c>
      <c r="G171" s="47">
        <f t="shared" si="7"/>
        <v>0</v>
      </c>
      <c r="H171" s="49">
        <f t="array" ref="H171">IFERROR(
SUM(
IF(
'PORTIFÓLIO'!$C$4:$C$564=$A171,
N(INDEX('PORTIFÓLIO'!$J$4:$Q$564,,MATCH(H$2,'PORTIFÓLIO'!$J$3:$Q$3,0))) *
N('PORTIFÓLIO'!$S$4:$S$564),
0
)
),
0)</f>
        <v>0</v>
      </c>
      <c r="I171" s="47">
        <f t="shared" si="8"/>
        <v>0</v>
      </c>
      <c r="J171" s="49">
        <f t="array" ref="J171">IFERROR(
SUM(
IF(
'PORTIFÓLIO'!$C$4:$C$564=$A171,
N(INDEX('PORTIFÓLIO'!$J$4:$Q$564,,MATCH(J$2,'PORTIFÓLIO'!$J$3:$Q$3,0))) *
N('PORTIFÓLIO'!$S$4:$S$564),
0
)
),
0)</f>
        <v>0</v>
      </c>
      <c r="K171" s="47">
        <f t="shared" si="9"/>
        <v>0</v>
      </c>
      <c r="L171" s="49">
        <f t="array" ref="L171">IFERROR(
SUM(
IF(
'PORTIFÓLIO'!$C$4:$C$564=$A171,
N(INDEX('PORTIFÓLIO'!$J$4:$Q$564,,MATCH(L$2,'PORTIFÓLIO'!$J$3:$Q$3,0))) *
N('PORTIFÓLIO'!$S$4:$S$564),
0
)
),
0)</f>
        <v>0</v>
      </c>
      <c r="M171" s="47">
        <f t="shared" si="10"/>
        <v>0</v>
      </c>
      <c r="N171" s="49">
        <f t="array" ref="N171">IFERROR(
SUM(
IF(
'PORTIFÓLIO'!$C$4:$C$564=$A171,
N(INDEX('PORTIFÓLIO'!$J$4:$Q$564,,MATCH(N$2,'PORTIFÓLIO'!$J$3:$Q$3,0))) *
N('PORTIFÓLIO'!$S$4:$S$564),
0
)
),
0)</f>
        <v>0</v>
      </c>
      <c r="O171" s="49">
        <f t="shared" si="11"/>
        <v>0</v>
      </c>
      <c r="P171" s="49">
        <f t="array" ref="P171">IFERROR(
SUM(
IF(
'PORTIFÓLIO'!$C$4:$C$564=$A171,
N(INDEX('PORTIFÓLIO'!$J$4:$Q$564,,MATCH(P$2,'PORTIFÓLIO'!$J$3:$Q$3,0))) *
N('PORTIFÓLIO'!$S$4:$S$564),
0
)
),
0)</f>
        <v>0</v>
      </c>
      <c r="Q171" s="49">
        <f t="shared" si="12"/>
        <v>0</v>
      </c>
      <c r="R171" s="49">
        <f t="shared" si="2"/>
        <v>0</v>
      </c>
      <c r="S171" s="49">
        <f t="shared" si="13"/>
        <v>0</v>
      </c>
    </row>
    <row r="172" ht="15.75" hidden="1" customHeight="1" outlineLevel="1">
      <c r="A172" s="48"/>
      <c r="B172" s="49">
        <f t="array" ref="B172">IFERROR(
SUM(
IF(
'PORTIFÓLIO'!$C$4:$C$564=$A172,
N(INDEX('PORTIFÓLIO'!$J$4:$Q$564,,MATCH(B$2,'PORTIFÓLIO'!$J$3:$Q$3,0))) *
N('PORTIFÓLIO'!$S$4:$S$564),
0
)
),
0)</f>
        <v>0</v>
      </c>
      <c r="C172" s="49">
        <f t="shared" si="5"/>
        <v>0</v>
      </c>
      <c r="D172" s="49">
        <f t="array" ref="D172">IFERROR(
SUM(
IF(
'PORTIFÓLIO'!$C$4:$C$564=$A172,
N(INDEX('PORTIFÓLIO'!$J$4:$Q$564,,MATCH(D$2,'PORTIFÓLIO'!$J$3:$Q$3,0))) *
N('PORTIFÓLIO'!$S$4:$S$564),
0
)
),
0)</f>
        <v>0</v>
      </c>
      <c r="E172" s="49">
        <f t="shared" si="6"/>
        <v>0</v>
      </c>
      <c r="F172" s="49">
        <f t="array" ref="F172">IFERROR(
SUM(
IF(
'PORTIFÓLIO'!$C$4:$C$564=$A172,
N(INDEX('PORTIFÓLIO'!$J$4:$Q$564,,MATCH(F$2,'PORTIFÓLIO'!$J$3:$Q$3,0))) *
N('PORTIFÓLIO'!$S$4:$S$564),
0
)
),
0)</f>
        <v>0</v>
      </c>
      <c r="G172" s="47">
        <f t="shared" si="7"/>
        <v>0</v>
      </c>
      <c r="H172" s="49">
        <f t="array" ref="H172">IFERROR(
SUM(
IF(
'PORTIFÓLIO'!$C$4:$C$564=$A172,
N(INDEX('PORTIFÓLIO'!$J$4:$Q$564,,MATCH(H$2,'PORTIFÓLIO'!$J$3:$Q$3,0))) *
N('PORTIFÓLIO'!$S$4:$S$564),
0
)
),
0)</f>
        <v>0</v>
      </c>
      <c r="I172" s="47">
        <f t="shared" si="8"/>
        <v>0</v>
      </c>
      <c r="J172" s="49">
        <f t="array" ref="J172">IFERROR(
SUM(
IF(
'PORTIFÓLIO'!$C$4:$C$564=$A172,
N(INDEX('PORTIFÓLIO'!$J$4:$Q$564,,MATCH(J$2,'PORTIFÓLIO'!$J$3:$Q$3,0))) *
N('PORTIFÓLIO'!$S$4:$S$564),
0
)
),
0)</f>
        <v>0</v>
      </c>
      <c r="K172" s="47">
        <f t="shared" si="9"/>
        <v>0</v>
      </c>
      <c r="L172" s="49">
        <f t="array" ref="L172">IFERROR(
SUM(
IF(
'PORTIFÓLIO'!$C$4:$C$564=$A172,
N(INDEX('PORTIFÓLIO'!$J$4:$Q$564,,MATCH(L$2,'PORTIFÓLIO'!$J$3:$Q$3,0))) *
N('PORTIFÓLIO'!$S$4:$S$564),
0
)
),
0)</f>
        <v>0</v>
      </c>
      <c r="M172" s="47">
        <f t="shared" si="10"/>
        <v>0</v>
      </c>
      <c r="N172" s="49">
        <f t="array" ref="N172">IFERROR(
SUM(
IF(
'PORTIFÓLIO'!$C$4:$C$564=$A172,
N(INDEX('PORTIFÓLIO'!$J$4:$Q$564,,MATCH(N$2,'PORTIFÓLIO'!$J$3:$Q$3,0))) *
N('PORTIFÓLIO'!$S$4:$S$564),
0
)
),
0)</f>
        <v>0</v>
      </c>
      <c r="O172" s="49">
        <f t="shared" si="11"/>
        <v>0</v>
      </c>
      <c r="P172" s="49">
        <f t="array" ref="P172">IFERROR(
SUM(
IF(
'PORTIFÓLIO'!$C$4:$C$564=$A172,
N(INDEX('PORTIFÓLIO'!$J$4:$Q$564,,MATCH(P$2,'PORTIFÓLIO'!$J$3:$Q$3,0))) *
N('PORTIFÓLIO'!$S$4:$S$564),
0
)
),
0)</f>
        <v>0</v>
      </c>
      <c r="Q172" s="49">
        <f t="shared" si="12"/>
        <v>0</v>
      </c>
      <c r="R172" s="49">
        <f t="shared" si="2"/>
        <v>0</v>
      </c>
      <c r="S172" s="49">
        <f t="shared" si="13"/>
        <v>0</v>
      </c>
    </row>
    <row r="173" ht="15.75" hidden="1" customHeight="1" outlineLevel="1">
      <c r="A173" s="48"/>
      <c r="B173" s="49">
        <f t="array" ref="B173">IFERROR(
SUM(
IF(
'PORTIFÓLIO'!$C$4:$C$564=$A173,
N(INDEX('PORTIFÓLIO'!$J$4:$Q$564,,MATCH(B$2,'PORTIFÓLIO'!$J$3:$Q$3,0))) *
N('PORTIFÓLIO'!$S$4:$S$564),
0
)
),
0)</f>
        <v>0</v>
      </c>
      <c r="C173" s="49">
        <f t="shared" si="5"/>
        <v>0</v>
      </c>
      <c r="D173" s="49">
        <f t="array" ref="D173">IFERROR(
SUM(
IF(
'PORTIFÓLIO'!$C$4:$C$564=$A173,
N(INDEX('PORTIFÓLIO'!$J$4:$Q$564,,MATCH(D$2,'PORTIFÓLIO'!$J$3:$Q$3,0))) *
N('PORTIFÓLIO'!$S$4:$S$564),
0
)
),
0)</f>
        <v>0</v>
      </c>
      <c r="E173" s="49">
        <f t="shared" si="6"/>
        <v>0</v>
      </c>
      <c r="F173" s="49">
        <f t="array" ref="F173">IFERROR(
SUM(
IF(
'PORTIFÓLIO'!$C$4:$C$564=$A173,
N(INDEX('PORTIFÓLIO'!$J$4:$Q$564,,MATCH(F$2,'PORTIFÓLIO'!$J$3:$Q$3,0))) *
N('PORTIFÓLIO'!$S$4:$S$564),
0
)
),
0)</f>
        <v>0</v>
      </c>
      <c r="G173" s="47">
        <f t="shared" si="7"/>
        <v>0</v>
      </c>
      <c r="H173" s="49">
        <f t="array" ref="H173">IFERROR(
SUM(
IF(
'PORTIFÓLIO'!$C$4:$C$564=$A173,
N(INDEX('PORTIFÓLIO'!$J$4:$Q$564,,MATCH(H$2,'PORTIFÓLIO'!$J$3:$Q$3,0))) *
N('PORTIFÓLIO'!$S$4:$S$564),
0
)
),
0)</f>
        <v>0</v>
      </c>
      <c r="I173" s="47">
        <f t="shared" si="8"/>
        <v>0</v>
      </c>
      <c r="J173" s="49">
        <f t="array" ref="J173">IFERROR(
SUM(
IF(
'PORTIFÓLIO'!$C$4:$C$564=$A173,
N(INDEX('PORTIFÓLIO'!$J$4:$Q$564,,MATCH(J$2,'PORTIFÓLIO'!$J$3:$Q$3,0))) *
N('PORTIFÓLIO'!$S$4:$S$564),
0
)
),
0)</f>
        <v>0</v>
      </c>
      <c r="K173" s="47">
        <f t="shared" si="9"/>
        <v>0</v>
      </c>
      <c r="L173" s="49">
        <f t="array" ref="L173">IFERROR(
SUM(
IF(
'PORTIFÓLIO'!$C$4:$C$564=$A173,
N(INDEX('PORTIFÓLIO'!$J$4:$Q$564,,MATCH(L$2,'PORTIFÓLIO'!$J$3:$Q$3,0))) *
N('PORTIFÓLIO'!$S$4:$S$564),
0
)
),
0)</f>
        <v>0</v>
      </c>
      <c r="M173" s="47">
        <f t="shared" si="10"/>
        <v>0</v>
      </c>
      <c r="N173" s="49">
        <f t="array" ref="N173">IFERROR(
SUM(
IF(
'PORTIFÓLIO'!$C$4:$C$564=$A173,
N(INDEX('PORTIFÓLIO'!$J$4:$Q$564,,MATCH(N$2,'PORTIFÓLIO'!$J$3:$Q$3,0))) *
N('PORTIFÓLIO'!$S$4:$S$564),
0
)
),
0)</f>
        <v>0</v>
      </c>
      <c r="O173" s="49">
        <f t="shared" si="11"/>
        <v>0</v>
      </c>
      <c r="P173" s="49">
        <f t="array" ref="P173">IFERROR(
SUM(
IF(
'PORTIFÓLIO'!$C$4:$C$564=$A173,
N(INDEX('PORTIFÓLIO'!$J$4:$Q$564,,MATCH(P$2,'PORTIFÓLIO'!$J$3:$Q$3,0))) *
N('PORTIFÓLIO'!$S$4:$S$564),
0
)
),
0)</f>
        <v>0</v>
      </c>
      <c r="Q173" s="49">
        <f t="shared" si="12"/>
        <v>0</v>
      </c>
      <c r="R173" s="49">
        <f t="shared" si="2"/>
        <v>0</v>
      </c>
      <c r="S173" s="49">
        <f t="shared" si="13"/>
        <v>0</v>
      </c>
    </row>
    <row r="174" ht="15.75" hidden="1" customHeight="1" outlineLevel="1">
      <c r="A174" s="48"/>
      <c r="B174" s="49">
        <f t="array" ref="B174">IFERROR(
SUM(
IF(
'PORTIFÓLIO'!$C$4:$C$564=$A174,
N(INDEX('PORTIFÓLIO'!$J$4:$Q$564,,MATCH(B$2,'PORTIFÓLIO'!$J$3:$Q$3,0))) *
N('PORTIFÓLIO'!$S$4:$S$564),
0
)
),
0)</f>
        <v>0</v>
      </c>
      <c r="C174" s="49">
        <f t="shared" si="5"/>
        <v>0</v>
      </c>
      <c r="D174" s="49">
        <f t="array" ref="D174">IFERROR(
SUM(
IF(
'PORTIFÓLIO'!$C$4:$C$564=$A174,
N(INDEX('PORTIFÓLIO'!$J$4:$Q$564,,MATCH(D$2,'PORTIFÓLIO'!$J$3:$Q$3,0))) *
N('PORTIFÓLIO'!$S$4:$S$564),
0
)
),
0)</f>
        <v>0</v>
      </c>
      <c r="E174" s="49">
        <f t="shared" si="6"/>
        <v>0</v>
      </c>
      <c r="F174" s="49">
        <f t="array" ref="F174">IFERROR(
SUM(
IF(
'PORTIFÓLIO'!$C$4:$C$564=$A174,
N(INDEX('PORTIFÓLIO'!$J$4:$Q$564,,MATCH(F$2,'PORTIFÓLIO'!$J$3:$Q$3,0))) *
N('PORTIFÓLIO'!$S$4:$S$564),
0
)
),
0)</f>
        <v>0</v>
      </c>
      <c r="G174" s="47">
        <f t="shared" si="7"/>
        <v>0</v>
      </c>
      <c r="H174" s="49">
        <f t="array" ref="H174">IFERROR(
SUM(
IF(
'PORTIFÓLIO'!$C$4:$C$564=$A174,
N(INDEX('PORTIFÓLIO'!$J$4:$Q$564,,MATCH(H$2,'PORTIFÓLIO'!$J$3:$Q$3,0))) *
N('PORTIFÓLIO'!$S$4:$S$564),
0
)
),
0)</f>
        <v>0</v>
      </c>
      <c r="I174" s="47">
        <f t="shared" si="8"/>
        <v>0</v>
      </c>
      <c r="J174" s="49">
        <f t="array" ref="J174">IFERROR(
SUM(
IF(
'PORTIFÓLIO'!$C$4:$C$564=$A174,
N(INDEX('PORTIFÓLIO'!$J$4:$Q$564,,MATCH(J$2,'PORTIFÓLIO'!$J$3:$Q$3,0))) *
N('PORTIFÓLIO'!$S$4:$S$564),
0
)
),
0)</f>
        <v>0</v>
      </c>
      <c r="K174" s="47">
        <f t="shared" si="9"/>
        <v>0</v>
      </c>
      <c r="L174" s="49">
        <f t="array" ref="L174">IFERROR(
SUM(
IF(
'PORTIFÓLIO'!$C$4:$C$564=$A174,
N(INDEX('PORTIFÓLIO'!$J$4:$Q$564,,MATCH(L$2,'PORTIFÓLIO'!$J$3:$Q$3,0))) *
N('PORTIFÓLIO'!$S$4:$S$564),
0
)
),
0)</f>
        <v>0</v>
      </c>
      <c r="M174" s="47">
        <f t="shared" si="10"/>
        <v>0</v>
      </c>
      <c r="N174" s="49">
        <f t="array" ref="N174">IFERROR(
SUM(
IF(
'PORTIFÓLIO'!$C$4:$C$564=$A174,
N(INDEX('PORTIFÓLIO'!$J$4:$Q$564,,MATCH(N$2,'PORTIFÓLIO'!$J$3:$Q$3,0))) *
N('PORTIFÓLIO'!$S$4:$S$564),
0
)
),
0)</f>
        <v>0</v>
      </c>
      <c r="O174" s="49">
        <f t="shared" si="11"/>
        <v>0</v>
      </c>
      <c r="P174" s="49">
        <f t="array" ref="P174">IFERROR(
SUM(
IF(
'PORTIFÓLIO'!$C$4:$C$564=$A174,
N(INDEX('PORTIFÓLIO'!$J$4:$Q$564,,MATCH(P$2,'PORTIFÓLIO'!$J$3:$Q$3,0))) *
N('PORTIFÓLIO'!$S$4:$S$564),
0
)
),
0)</f>
        <v>0</v>
      </c>
      <c r="Q174" s="49">
        <f t="shared" si="12"/>
        <v>0</v>
      </c>
      <c r="R174" s="49">
        <f t="shared" si="2"/>
        <v>0</v>
      </c>
      <c r="S174" s="49">
        <f t="shared" si="13"/>
        <v>0</v>
      </c>
    </row>
    <row r="175" ht="15.75" customHeight="1" collapsed="1">
      <c r="A175" s="46" t="s">
        <v>209</v>
      </c>
      <c r="B175" s="47">
        <f>SUM(B176:B255)</f>
        <v>97829.41169</v>
      </c>
      <c r="C175" s="47">
        <f t="shared" si="5"/>
        <v>199.6518606</v>
      </c>
      <c r="D175" s="47">
        <f>SUM(D176:D255)</f>
        <v>28484.55981</v>
      </c>
      <c r="E175" s="47">
        <f t="shared" si="6"/>
        <v>94.9485327</v>
      </c>
      <c r="F175" s="47">
        <f>SUM(F176:F255)</f>
        <v>18709.48893</v>
      </c>
      <c r="G175" s="47">
        <f t="shared" si="7"/>
        <v>85.0431315</v>
      </c>
      <c r="H175" s="47">
        <f>SUM(H176:H255)</f>
        <v>7422</v>
      </c>
      <c r="I175" s="47">
        <f t="shared" si="8"/>
        <v>37.11</v>
      </c>
      <c r="J175" s="47">
        <f>SUM(J176:J255)</f>
        <v>20946.78403</v>
      </c>
      <c r="K175" s="47">
        <f t="shared" si="9"/>
        <v>55.709532</v>
      </c>
      <c r="L175" s="47">
        <f>SUM(L176:L255)</f>
        <v>66212.07021</v>
      </c>
      <c r="M175" s="47">
        <f t="shared" si="10"/>
        <v>300.9639555</v>
      </c>
      <c r="N175" s="47">
        <f>SUM(N176:N255)</f>
        <v>221650.5342</v>
      </c>
      <c r="O175" s="47">
        <f t="shared" si="11"/>
        <v>181.9790921</v>
      </c>
      <c r="P175" s="47">
        <f>SUM(P176:P255)</f>
        <v>54620.51678</v>
      </c>
      <c r="Q175" s="47">
        <f t="shared" si="12"/>
        <v>170.689115</v>
      </c>
      <c r="R175" s="47">
        <f t="shared" si="2"/>
        <v>497165.8767</v>
      </c>
      <c r="S175" s="47">
        <f t="shared" si="13"/>
        <v>148.6740062</v>
      </c>
    </row>
    <row r="176" ht="15.75" hidden="1" customHeight="1" outlineLevel="1">
      <c r="A176" s="48" t="str">
        <f>IFERROR(__xludf.DUMMYFUNCTION("UNIQUE(FILTER('PORTIFÓLIO'!C:C, 'PORTIFÓLIO'!B:B=""INSETICIDA""))"),"GALIL SC")</f>
        <v>GALIL SC</v>
      </c>
      <c r="B176" s="49">
        <f t="array" ref="B176">IFERROR(
SUM(
IF(
'PORTIFÓLIO'!$C$4:$C$564=$A176,
N(INDEX('PORTIFÓLIO'!$J$4:$Q$564,,MATCH(B$2,'PORTIFÓLIO'!$J$3:$Q$3,0))) *
N('PORTIFÓLIO'!$S$4:$S$564),
0
)
),
0)</f>
        <v>0</v>
      </c>
      <c r="C176" s="49">
        <f t="shared" si="5"/>
        <v>0</v>
      </c>
      <c r="D176" s="49">
        <f t="array" ref="D176">IFERROR(
SUM(
IF(
'PORTIFÓLIO'!$C$4:$C$564=$A176,
N(INDEX('PORTIFÓLIO'!$J$4:$Q$564,,MATCH(D$2,'PORTIFÓLIO'!$J$3:$Q$3,0))) *
N('PORTIFÓLIO'!$S$4:$S$564),
0
)
),
0)</f>
        <v>0</v>
      </c>
      <c r="E176" s="49">
        <f t="shared" si="6"/>
        <v>0</v>
      </c>
      <c r="F176" s="49">
        <f t="array" ref="F176">IFERROR(
SUM(
IF(
'PORTIFÓLIO'!$C$4:$C$564=$A176,
N(INDEX('PORTIFÓLIO'!$J$4:$Q$564,,MATCH(F$2,'PORTIFÓLIO'!$J$3:$Q$3,0))) *
N('PORTIFÓLIO'!$S$4:$S$564),
0
)
),
0)</f>
        <v>0</v>
      </c>
      <c r="G176" s="47">
        <f t="shared" si="7"/>
        <v>0</v>
      </c>
      <c r="H176" s="49">
        <f t="array" ref="H176">IFERROR(
SUM(
IF(
'PORTIFÓLIO'!$C$4:$C$564=$A176,
N(INDEX('PORTIFÓLIO'!$J$4:$Q$564,,MATCH(H$2,'PORTIFÓLIO'!$J$3:$Q$3,0))) *
N('PORTIFÓLIO'!$S$4:$S$564),
0
)
),
0)</f>
        <v>0</v>
      </c>
      <c r="I176" s="47">
        <f t="shared" si="8"/>
        <v>0</v>
      </c>
      <c r="J176" s="49">
        <f t="array" ref="J176">IFERROR(
SUM(
IF(
'PORTIFÓLIO'!$C$4:$C$564=$A176,
N(INDEX('PORTIFÓLIO'!$J$4:$Q$564,,MATCH(J$2,'PORTIFÓLIO'!$J$3:$Q$3,0))) *
N('PORTIFÓLIO'!$S$4:$S$564),
0
)
),
0)</f>
        <v>0</v>
      </c>
      <c r="K176" s="47">
        <f t="shared" si="9"/>
        <v>0</v>
      </c>
      <c r="L176" s="49">
        <f t="array" ref="L176">IFERROR(
SUM(
IF(
'PORTIFÓLIO'!$C$4:$C$564=$A176,
N(INDEX('PORTIFÓLIO'!$J$4:$Q$564,,MATCH(L$2,'PORTIFÓLIO'!$J$3:$Q$3,0))) *
N('PORTIFÓLIO'!$S$4:$S$564),
0
)
),
0)</f>
        <v>6135.3963</v>
      </c>
      <c r="M176" s="47">
        <f t="shared" si="10"/>
        <v>27.888165</v>
      </c>
      <c r="N176" s="49">
        <f t="array" ref="N176">IFERROR(
SUM(
IF(
'PORTIFÓLIO'!$C$4:$C$564=$A176,
N(INDEX('PORTIFÓLIO'!$J$4:$Q$564,,MATCH(N$2,'PORTIFÓLIO'!$J$3:$Q$3,0))) *
N('PORTIFÓLIO'!$S$4:$S$564),
0
)
),
0)</f>
        <v>6983.196516</v>
      </c>
      <c r="O176" s="49">
        <f t="shared" si="11"/>
        <v>5.733330473</v>
      </c>
      <c r="P176" s="49">
        <f t="array" ref="P176">IFERROR(
SUM(
IF(
'PORTIFÓLIO'!$C$4:$C$564=$A176,
N(INDEX('PORTIFÓLIO'!$J$4:$Q$564,,MATCH(P$2,'PORTIFÓLIO'!$J$3:$Q$3,0))) *
N('PORTIFÓLIO'!$S$4:$S$564),
0
)
),
0)</f>
        <v>0</v>
      </c>
      <c r="Q176" s="49">
        <f t="shared" si="12"/>
        <v>0</v>
      </c>
      <c r="R176" s="49">
        <f t="shared" si="2"/>
        <v>13118.59282</v>
      </c>
      <c r="S176" s="49">
        <f t="shared" si="13"/>
        <v>3.923024167</v>
      </c>
    </row>
    <row r="177" ht="15.75" hidden="1" customHeight="1" outlineLevel="1">
      <c r="A177" s="48" t="str">
        <f>IFERROR(__xludf.DUMMYFUNCTION("""COMPUTED_VALUE"""),"MAGNUM")</f>
        <v>MAGNUM</v>
      </c>
      <c r="B177" s="49">
        <f t="array" ref="B177">IFERROR(
SUM(
IF(
'PORTIFÓLIO'!$C$4:$C$564=$A177,
N(INDEX('PORTIFÓLIO'!$J$4:$Q$564,,MATCH(B$2,'PORTIFÓLIO'!$J$3:$Q$3,0))) *
N('PORTIFÓLIO'!$S$4:$S$564),
0
)
),
0)</f>
        <v>36367.8</v>
      </c>
      <c r="C177" s="49">
        <f t="shared" si="5"/>
        <v>74.22</v>
      </c>
      <c r="D177" s="49">
        <f t="array" ref="D177">IFERROR(
SUM(
IF(
'PORTIFÓLIO'!$C$4:$C$564=$A177,
N(INDEX('PORTIFÓLIO'!$J$4:$Q$564,,MATCH(D$2,'PORTIFÓLIO'!$J$3:$Q$3,0))) *
N('PORTIFÓLIO'!$S$4:$S$564),
0
)
),
0)</f>
        <v>6679.8</v>
      </c>
      <c r="E177" s="49">
        <f t="shared" si="6"/>
        <v>22.266</v>
      </c>
      <c r="F177" s="49">
        <f t="array" ref="F177">IFERROR(
SUM(
IF(
'PORTIFÓLIO'!$C$4:$C$564=$A177,
N(INDEX('PORTIFÓLIO'!$J$4:$Q$564,,MATCH(F$2,'PORTIFÓLIO'!$J$3:$Q$3,0))) *
N('PORTIFÓLIO'!$S$4:$S$564),
0
)
),
0)</f>
        <v>4898.52</v>
      </c>
      <c r="G177" s="47">
        <f t="shared" si="7"/>
        <v>22.266</v>
      </c>
      <c r="H177" s="49">
        <f t="array" ref="H177">IFERROR(
SUM(
IF(
'PORTIFÓLIO'!$C$4:$C$564=$A177,
N(INDEX('PORTIFÓLIO'!$J$4:$Q$564,,MATCH(H$2,'PORTIFÓLIO'!$J$3:$Q$3,0))) *
N('PORTIFÓLIO'!$S$4:$S$564),
0
)
),
0)</f>
        <v>7422</v>
      </c>
      <c r="I177" s="47">
        <f t="shared" si="8"/>
        <v>37.11</v>
      </c>
      <c r="J177" s="49">
        <f t="array" ref="J177">IFERROR(
SUM(
IF(
'PORTIFÓLIO'!$C$4:$C$564=$A177,
N(INDEX('PORTIFÓLIO'!$J$4:$Q$564,,MATCH(J$2,'PORTIFÓLIO'!$J$3:$Q$3,0))) *
N('PORTIFÓLIO'!$S$4:$S$564),
0
)
),
0)</f>
        <v>0</v>
      </c>
      <c r="K177" s="47">
        <f t="shared" si="9"/>
        <v>0</v>
      </c>
      <c r="L177" s="49">
        <f t="array" ref="L177">IFERROR(
SUM(
IF(
'PORTIFÓLIO'!$C$4:$C$564=$A177,
N(INDEX('PORTIFÓLIO'!$J$4:$Q$564,,MATCH(L$2,'PORTIFÓLIO'!$J$3:$Q$3,0))) *
N('PORTIFÓLIO'!$S$4:$S$564),
0
)
),
0)</f>
        <v>0</v>
      </c>
      <c r="M177" s="47">
        <f t="shared" si="10"/>
        <v>0</v>
      </c>
      <c r="N177" s="49">
        <f t="array" ref="N177">IFERROR(
SUM(
IF(
'PORTIFÓLIO'!$C$4:$C$564=$A177,
N(INDEX('PORTIFÓLIO'!$J$4:$Q$564,,MATCH(N$2,'PORTIFÓLIO'!$J$3:$Q$3,0))) *
N('PORTIFÓLIO'!$S$4:$S$564),
0
)
),
0)</f>
        <v>27119.988</v>
      </c>
      <c r="O177" s="49">
        <f t="shared" si="11"/>
        <v>22.266</v>
      </c>
      <c r="P177" s="49">
        <f t="array" ref="P177">IFERROR(
SUM(
IF(
'PORTIFÓLIO'!$C$4:$C$564=$A177,
N(INDEX('PORTIFÓLIO'!$J$4:$Q$564,,MATCH(P$2,'PORTIFÓLIO'!$J$3:$Q$3,0))) *
N('PORTIFÓLIO'!$S$4:$S$564),
0
)
),
0)</f>
        <v>7125.12</v>
      </c>
      <c r="Q177" s="49">
        <f t="shared" si="12"/>
        <v>22.266</v>
      </c>
      <c r="R177" s="49">
        <f t="shared" si="2"/>
        <v>84714.708</v>
      </c>
      <c r="S177" s="49">
        <f t="shared" si="13"/>
        <v>25.33334569</v>
      </c>
    </row>
    <row r="178" ht="15.75" hidden="1" customHeight="1" outlineLevel="1">
      <c r="A178" s="48" t="str">
        <f>IFERROR(__xludf.DUMMYFUNCTION("""COMPUTED_VALUE"""),"PLETHORA BR")</f>
        <v>PLETHORA BR</v>
      </c>
      <c r="B178" s="49">
        <f t="array" ref="B178">IFERROR(
SUM(
IF(
'PORTIFÓLIO'!$C$4:$C$564=$A178,
N(INDEX('PORTIFÓLIO'!$J$4:$Q$564,,MATCH(B$2,'PORTIFÓLIO'!$J$3:$Q$3,0))) *
N('PORTIFÓLIO'!$S$4:$S$564),
0
)
),
0)</f>
        <v>0</v>
      </c>
      <c r="C178" s="49">
        <f t="shared" si="5"/>
        <v>0</v>
      </c>
      <c r="D178" s="49">
        <f t="array" ref="D178">IFERROR(
SUM(
IF(
'PORTIFÓLIO'!$C$4:$C$564=$A178,
N(INDEX('PORTIFÓLIO'!$J$4:$Q$564,,MATCH(D$2,'PORTIFÓLIO'!$J$3:$Q$3,0))) *
N('PORTIFÓLIO'!$S$4:$S$564),
0
)
),
0)</f>
        <v>0</v>
      </c>
      <c r="E178" s="49">
        <f t="shared" si="6"/>
        <v>0</v>
      </c>
      <c r="F178" s="49">
        <f t="array" ref="F178">IFERROR(
SUM(
IF(
'PORTIFÓLIO'!$C$4:$C$564=$A178,
N(INDEX('PORTIFÓLIO'!$J$4:$Q$564,,MATCH(F$2,'PORTIFÓLIO'!$J$3:$Q$3,0))) *
N('PORTIFÓLIO'!$S$4:$S$564),
0
)
),
0)</f>
        <v>0</v>
      </c>
      <c r="G178" s="47">
        <f t="shared" si="7"/>
        <v>0</v>
      </c>
      <c r="H178" s="49">
        <f t="array" ref="H178">IFERROR(
SUM(
IF(
'PORTIFÓLIO'!$C$4:$C$564=$A178,
N(INDEX('PORTIFÓLIO'!$J$4:$Q$564,,MATCH(H$2,'PORTIFÓLIO'!$J$3:$Q$3,0))) *
N('PORTIFÓLIO'!$S$4:$S$564),
0
)
),
0)</f>
        <v>0</v>
      </c>
      <c r="I178" s="47">
        <f t="shared" si="8"/>
        <v>0</v>
      </c>
      <c r="J178" s="49">
        <f t="array" ref="J178">IFERROR(
SUM(
IF(
'PORTIFÓLIO'!$C$4:$C$564=$A178,
N(INDEX('PORTIFÓLIO'!$J$4:$Q$564,,MATCH(J$2,'PORTIFÓLIO'!$J$3:$Q$3,0))) *
N('PORTIFÓLIO'!$S$4:$S$564),
0
)
),
0)</f>
        <v>0</v>
      </c>
      <c r="K178" s="47">
        <f t="shared" si="9"/>
        <v>0</v>
      </c>
      <c r="L178" s="49">
        <f t="array" ref="L178">IFERROR(
SUM(
IF(
'PORTIFÓLIO'!$C$4:$C$564=$A178,
N(INDEX('PORTIFÓLIO'!$J$4:$Q$564,,MATCH(L$2,'PORTIFÓLIO'!$J$3:$Q$3,0))) *
N('PORTIFÓLIO'!$S$4:$S$564),
0
)
),
0)</f>
        <v>0</v>
      </c>
      <c r="M178" s="47">
        <f t="shared" si="10"/>
        <v>0</v>
      </c>
      <c r="N178" s="49">
        <f t="array" ref="N178">IFERROR(
SUM(
IF(
'PORTIFÓLIO'!$C$4:$C$564=$A178,
N(INDEX('PORTIFÓLIO'!$J$4:$Q$564,,MATCH(N$2,'PORTIFÓLIO'!$J$3:$Q$3,0))) *
N('PORTIFÓLIO'!$S$4:$S$564),
0
)
),
0)</f>
        <v>0</v>
      </c>
      <c r="O178" s="49">
        <f t="shared" si="11"/>
        <v>0</v>
      </c>
      <c r="P178" s="49">
        <f t="array" ref="P178">IFERROR(
SUM(
IF(
'PORTIFÓLIO'!$C$4:$C$564=$A178,
N(INDEX('PORTIFÓLIO'!$J$4:$Q$564,,MATCH(P$2,'PORTIFÓLIO'!$J$3:$Q$3,0))) *
N('PORTIFÓLIO'!$S$4:$S$564),
0
)
),
0)</f>
        <v>0</v>
      </c>
      <c r="Q178" s="49">
        <f t="shared" si="12"/>
        <v>0</v>
      </c>
      <c r="R178" s="49">
        <f t="shared" si="2"/>
        <v>0</v>
      </c>
      <c r="S178" s="49">
        <f t="shared" si="13"/>
        <v>0</v>
      </c>
    </row>
    <row r="179" ht="15.75" hidden="1" customHeight="1" outlineLevel="1">
      <c r="A179" s="48" t="str">
        <f>IFERROR(__xludf.DUMMYFUNCTION("""COMPUTED_VALUE"""),"RIMON SUPRA")</f>
        <v>RIMON SUPRA</v>
      </c>
      <c r="B179" s="49">
        <f t="array" ref="B179">IFERROR(
SUM(
IF(
'PORTIFÓLIO'!$C$4:$C$564=$A179,
N(INDEX('PORTIFÓLIO'!$J$4:$Q$564,,MATCH(B$2,'PORTIFÓLIO'!$J$3:$Q$3,0))) *
N('PORTIFÓLIO'!$S$4:$S$564),
0
)
),
0)</f>
        <v>0</v>
      </c>
      <c r="C179" s="49">
        <f t="shared" si="5"/>
        <v>0</v>
      </c>
      <c r="D179" s="49">
        <f t="array" ref="D179">IFERROR(
SUM(
IF(
'PORTIFÓLIO'!$C$4:$C$564=$A179,
N(INDEX('PORTIFÓLIO'!$J$4:$Q$564,,MATCH(D$2,'PORTIFÓLIO'!$J$3:$Q$3,0))) *
N('PORTIFÓLIO'!$S$4:$S$564),
0
)
),
0)</f>
        <v>0</v>
      </c>
      <c r="E179" s="49">
        <f t="shared" si="6"/>
        <v>0</v>
      </c>
      <c r="F179" s="49">
        <f t="array" ref="F179">IFERROR(
SUM(
IF(
'PORTIFÓLIO'!$C$4:$C$564=$A179,
N(INDEX('PORTIFÓLIO'!$J$4:$Q$564,,MATCH(F$2,'PORTIFÓLIO'!$J$3:$Q$3,0))) *
N('PORTIFÓLIO'!$S$4:$S$564),
0
)
),
0)</f>
        <v>0</v>
      </c>
      <c r="G179" s="47">
        <f t="shared" si="7"/>
        <v>0</v>
      </c>
      <c r="H179" s="49">
        <f t="array" ref="H179">IFERROR(
SUM(
IF(
'PORTIFÓLIO'!$C$4:$C$564=$A179,
N(INDEX('PORTIFÓLIO'!$J$4:$Q$564,,MATCH(H$2,'PORTIFÓLIO'!$J$3:$Q$3,0))) *
N('PORTIFÓLIO'!$S$4:$S$564),
0
)
),
0)</f>
        <v>0</v>
      </c>
      <c r="I179" s="47">
        <f t="shared" si="8"/>
        <v>0</v>
      </c>
      <c r="J179" s="49">
        <f t="array" ref="J179">IFERROR(
SUM(
IF(
'PORTIFÓLIO'!$C$4:$C$564=$A179,
N(INDEX('PORTIFÓLIO'!$J$4:$Q$564,,MATCH(J$2,'PORTIFÓLIO'!$J$3:$Q$3,0))) *
N('PORTIFÓLIO'!$S$4:$S$564),
0
)
),
0)</f>
        <v>0</v>
      </c>
      <c r="K179" s="47">
        <f t="shared" si="9"/>
        <v>0</v>
      </c>
      <c r="L179" s="49">
        <f t="array" ref="L179">IFERROR(
SUM(
IF(
'PORTIFÓLIO'!$C$4:$C$564=$A179,
N(INDEX('PORTIFÓLIO'!$J$4:$Q$564,,MATCH(L$2,'PORTIFÓLIO'!$J$3:$Q$3,0))) *
N('PORTIFÓLIO'!$S$4:$S$564),
0
)
),
0)</f>
        <v>0</v>
      </c>
      <c r="M179" s="47">
        <f t="shared" si="10"/>
        <v>0</v>
      </c>
      <c r="N179" s="49">
        <f t="array" ref="N179">IFERROR(
SUM(
IF(
'PORTIFÓLIO'!$C$4:$C$564=$A179,
N(INDEX('PORTIFÓLIO'!$J$4:$Q$564,,MATCH(N$2,'PORTIFÓLIO'!$J$3:$Q$3,0))) *
N('PORTIFÓLIO'!$S$4:$S$564),
0
)
),
0)</f>
        <v>0</v>
      </c>
      <c r="O179" s="49">
        <f t="shared" si="11"/>
        <v>0</v>
      </c>
      <c r="P179" s="49">
        <f t="array" ref="P179">IFERROR(
SUM(
IF(
'PORTIFÓLIO'!$C$4:$C$564=$A179,
N(INDEX('PORTIFÓLIO'!$J$4:$Q$564,,MATCH(P$2,'PORTIFÓLIO'!$J$3:$Q$3,0))) *
N('PORTIFÓLIO'!$S$4:$S$564),
0
)
),
0)</f>
        <v>0</v>
      </c>
      <c r="Q179" s="49">
        <f t="shared" si="12"/>
        <v>0</v>
      </c>
      <c r="R179" s="49">
        <f t="shared" si="2"/>
        <v>0</v>
      </c>
      <c r="S179" s="49">
        <f t="shared" si="13"/>
        <v>0</v>
      </c>
    </row>
    <row r="180" ht="15.75" hidden="1" customHeight="1" outlineLevel="1">
      <c r="A180" s="48" t="str">
        <f>IFERROR(__xludf.DUMMYFUNCTION("""COMPUTED_VALUE"""),"SQUAD")</f>
        <v>SQUAD</v>
      </c>
      <c r="B180" s="49">
        <f t="array" ref="B180">IFERROR(
SUM(
IF(
'PORTIFÓLIO'!$C$4:$C$564=$A180,
N(INDEX('PORTIFÓLIO'!$J$4:$Q$564,,MATCH(B$2,'PORTIFÓLIO'!$J$3:$Q$3,0))) *
N('PORTIFÓLIO'!$S$4:$S$564),
0
)
),
0)</f>
        <v>0</v>
      </c>
      <c r="C180" s="49">
        <f t="shared" si="5"/>
        <v>0</v>
      </c>
      <c r="D180" s="49">
        <f t="array" ref="D180">IFERROR(
SUM(
IF(
'PORTIFÓLIO'!$C$4:$C$564=$A180,
N(INDEX('PORTIFÓLIO'!$J$4:$Q$564,,MATCH(D$2,'PORTIFÓLIO'!$J$3:$Q$3,0))) *
N('PORTIFÓLIO'!$S$4:$S$564),
0
)
),
0)</f>
        <v>0</v>
      </c>
      <c r="E180" s="49">
        <f t="shared" si="6"/>
        <v>0</v>
      </c>
      <c r="F180" s="49">
        <f t="array" ref="F180">IFERROR(
SUM(
IF(
'PORTIFÓLIO'!$C$4:$C$564=$A180,
N(INDEX('PORTIFÓLIO'!$J$4:$Q$564,,MATCH(F$2,'PORTIFÓLIO'!$J$3:$Q$3,0))) *
N('PORTIFÓLIO'!$S$4:$S$564),
0
)
),
0)</f>
        <v>0</v>
      </c>
      <c r="G180" s="47">
        <f t="shared" si="7"/>
        <v>0</v>
      </c>
      <c r="H180" s="49">
        <f t="array" ref="H180">IFERROR(
SUM(
IF(
'PORTIFÓLIO'!$C$4:$C$564=$A180,
N(INDEX('PORTIFÓLIO'!$J$4:$Q$564,,MATCH(H$2,'PORTIFÓLIO'!$J$3:$Q$3,0))) *
N('PORTIFÓLIO'!$S$4:$S$564),
0
)
),
0)</f>
        <v>0</v>
      </c>
      <c r="I180" s="47">
        <f t="shared" si="8"/>
        <v>0</v>
      </c>
      <c r="J180" s="49">
        <f t="array" ref="J180">IFERROR(
SUM(
IF(
'PORTIFÓLIO'!$C$4:$C$564=$A180,
N(INDEX('PORTIFÓLIO'!$J$4:$Q$564,,MATCH(J$2,'PORTIFÓLIO'!$J$3:$Q$3,0))) *
N('PORTIFÓLIO'!$S$4:$S$564),
0
)
),
0)</f>
        <v>0</v>
      </c>
      <c r="K180" s="47">
        <f t="shared" si="9"/>
        <v>0</v>
      </c>
      <c r="L180" s="49">
        <f t="array" ref="L180">IFERROR(
SUM(
IF(
'PORTIFÓLIO'!$C$4:$C$564=$A180,
N(INDEX('PORTIFÓLIO'!$J$4:$Q$564,,MATCH(L$2,'PORTIFÓLIO'!$J$3:$Q$3,0))) *
N('PORTIFÓLIO'!$S$4:$S$564),
0
)
),
0)</f>
        <v>0</v>
      </c>
      <c r="M180" s="47">
        <f t="shared" si="10"/>
        <v>0</v>
      </c>
      <c r="N180" s="49">
        <f t="array" ref="N180">IFERROR(
SUM(
IF(
'PORTIFÓLIO'!$C$4:$C$564=$A180,
N(INDEX('PORTIFÓLIO'!$J$4:$Q$564,,MATCH(N$2,'PORTIFÓLIO'!$J$3:$Q$3,0))) *
N('PORTIFÓLIO'!$S$4:$S$564),
0
)
),
0)</f>
        <v>0</v>
      </c>
      <c r="O180" s="49">
        <f t="shared" si="11"/>
        <v>0</v>
      </c>
      <c r="P180" s="49">
        <f t="array" ref="P180">IFERROR(
SUM(
IF(
'PORTIFÓLIO'!$C$4:$C$564=$A180,
N(INDEX('PORTIFÓLIO'!$J$4:$Q$564,,MATCH(P$2,'PORTIFÓLIO'!$J$3:$Q$3,0))) *
N('PORTIFÓLIO'!$S$4:$S$564),
0
)
),
0)</f>
        <v>0</v>
      </c>
      <c r="Q180" s="49">
        <f t="shared" si="12"/>
        <v>0</v>
      </c>
      <c r="R180" s="49">
        <f t="shared" si="2"/>
        <v>0</v>
      </c>
      <c r="S180" s="49">
        <f t="shared" si="13"/>
        <v>0</v>
      </c>
    </row>
    <row r="181" ht="15.75" hidden="1" customHeight="1" outlineLevel="1">
      <c r="A181" s="48" t="str">
        <f>IFERROR(__xludf.DUMMYFUNCTION("""COMPUTED_VALUE"""),"TRIVOR")</f>
        <v>TRIVOR</v>
      </c>
      <c r="B181" s="49">
        <f t="array" ref="B181">IFERROR(
SUM(
IF(
'PORTIFÓLIO'!$C$4:$C$564=$A181,
N(INDEX('PORTIFÓLIO'!$J$4:$Q$564,,MATCH(B$2,'PORTIFÓLIO'!$J$3:$Q$3,0))) *
N('PORTIFÓLIO'!$S$4:$S$564),
0
)
),
0)</f>
        <v>0</v>
      </c>
      <c r="C181" s="49">
        <f t="shared" si="5"/>
        <v>0</v>
      </c>
      <c r="D181" s="49">
        <f t="array" ref="D181">IFERROR(
SUM(
IF(
'PORTIFÓLIO'!$C$4:$C$564=$A181,
N(INDEX('PORTIFÓLIO'!$J$4:$Q$564,,MATCH(D$2,'PORTIFÓLIO'!$J$3:$Q$3,0))) *
N('PORTIFÓLIO'!$S$4:$S$564),
0
)
),
0)</f>
        <v>0</v>
      </c>
      <c r="E181" s="49">
        <f t="shared" si="6"/>
        <v>0</v>
      </c>
      <c r="F181" s="49">
        <f t="array" ref="F181">IFERROR(
SUM(
IF(
'PORTIFÓLIO'!$C$4:$C$564=$A181,
N(INDEX('PORTIFÓLIO'!$J$4:$Q$564,,MATCH(F$2,'PORTIFÓLIO'!$J$3:$Q$3,0))) *
N('PORTIFÓLIO'!$S$4:$S$564),
0
)
),
0)</f>
        <v>0</v>
      </c>
      <c r="G181" s="47">
        <f t="shared" si="7"/>
        <v>0</v>
      </c>
      <c r="H181" s="49">
        <f t="array" ref="H181">IFERROR(
SUM(
IF(
'PORTIFÓLIO'!$C$4:$C$564=$A181,
N(INDEX('PORTIFÓLIO'!$J$4:$Q$564,,MATCH(H$2,'PORTIFÓLIO'!$J$3:$Q$3,0))) *
N('PORTIFÓLIO'!$S$4:$S$564),
0
)
),
0)</f>
        <v>0</v>
      </c>
      <c r="I181" s="47">
        <f t="shared" si="8"/>
        <v>0</v>
      </c>
      <c r="J181" s="49">
        <f t="array" ref="J181">IFERROR(
SUM(
IF(
'PORTIFÓLIO'!$C$4:$C$564=$A181,
N(INDEX('PORTIFÓLIO'!$J$4:$Q$564,,MATCH(J$2,'PORTIFÓLIO'!$J$3:$Q$3,0))) *
N('PORTIFÓLIO'!$S$4:$S$564),
0
)
),
0)</f>
        <v>0</v>
      </c>
      <c r="K181" s="47">
        <f t="shared" si="9"/>
        <v>0</v>
      </c>
      <c r="L181" s="49">
        <f t="array" ref="L181">IFERROR(
SUM(
IF(
'PORTIFÓLIO'!$C$4:$C$564=$A181,
N(INDEX('PORTIFÓLIO'!$J$4:$Q$564,,MATCH(L$2,'PORTIFÓLIO'!$J$3:$Q$3,0))) *
N('PORTIFÓLIO'!$S$4:$S$564),
0
)
),
0)</f>
        <v>0</v>
      </c>
      <c r="M181" s="47">
        <f t="shared" si="10"/>
        <v>0</v>
      </c>
      <c r="N181" s="49">
        <f t="array" ref="N181">IFERROR(
SUM(
IF(
'PORTIFÓLIO'!$C$4:$C$564=$A181,
N(INDEX('PORTIFÓLIO'!$J$4:$Q$564,,MATCH(N$2,'PORTIFÓLIO'!$J$3:$Q$3,0))) *
N('PORTIFÓLIO'!$S$4:$S$564),
0
)
),
0)</f>
        <v>0</v>
      </c>
      <c r="O181" s="49">
        <f t="shared" si="11"/>
        <v>0</v>
      </c>
      <c r="P181" s="49">
        <f t="array" ref="P181">IFERROR(
SUM(
IF(
'PORTIFÓLIO'!$C$4:$C$564=$A181,
N(INDEX('PORTIFÓLIO'!$J$4:$Q$564,,MATCH(P$2,'PORTIFÓLIO'!$J$3:$Q$3,0))) *
N('PORTIFÓLIO'!$S$4:$S$564),
0
)
),
0)</f>
        <v>0</v>
      </c>
      <c r="Q181" s="49">
        <f t="shared" si="12"/>
        <v>0</v>
      </c>
      <c r="R181" s="49">
        <f t="shared" si="2"/>
        <v>0</v>
      </c>
      <c r="S181" s="49">
        <f t="shared" si="13"/>
        <v>0</v>
      </c>
    </row>
    <row r="182" ht="15.75" hidden="1" customHeight="1" outlineLevel="1">
      <c r="A182" s="48" t="str">
        <f>IFERROR(__xludf.DUMMYFUNCTION("""COMPUTED_VALUE"""),"EFFICON")</f>
        <v>EFFICON</v>
      </c>
      <c r="B182" s="49">
        <f t="array" ref="B182">IFERROR(
SUM(
IF(
'PORTIFÓLIO'!$C$4:$C$564=$A182,
N(INDEX('PORTIFÓLIO'!$J$4:$Q$564,,MATCH(B$2,'PORTIFÓLIO'!$J$3:$Q$3,0))) *
N('PORTIFÓLIO'!$S$4:$S$564),
0
)
),
0)</f>
        <v>0</v>
      </c>
      <c r="C182" s="49">
        <f t="shared" si="5"/>
        <v>0</v>
      </c>
      <c r="D182" s="49">
        <f t="array" ref="D182">IFERROR(
SUM(
IF(
'PORTIFÓLIO'!$C$4:$C$564=$A182,
N(INDEX('PORTIFÓLIO'!$J$4:$Q$564,,MATCH(D$2,'PORTIFÓLIO'!$J$3:$Q$3,0))) *
N('PORTIFÓLIO'!$S$4:$S$564),
0
)
),
0)</f>
        <v>0</v>
      </c>
      <c r="E182" s="49">
        <f t="shared" si="6"/>
        <v>0</v>
      </c>
      <c r="F182" s="49">
        <f t="array" ref="F182">IFERROR(
SUM(
IF(
'PORTIFÓLIO'!$C$4:$C$564=$A182,
N(INDEX('PORTIFÓLIO'!$J$4:$Q$564,,MATCH(F$2,'PORTIFÓLIO'!$J$3:$Q$3,0))) *
N('PORTIFÓLIO'!$S$4:$S$564),
0
)
),
0)</f>
        <v>0</v>
      </c>
      <c r="G182" s="47">
        <f t="shared" si="7"/>
        <v>0</v>
      </c>
      <c r="H182" s="49">
        <f t="array" ref="H182">IFERROR(
SUM(
IF(
'PORTIFÓLIO'!$C$4:$C$564=$A182,
N(INDEX('PORTIFÓLIO'!$J$4:$Q$564,,MATCH(H$2,'PORTIFÓLIO'!$J$3:$Q$3,0))) *
N('PORTIFÓLIO'!$S$4:$S$564),
0
)
),
0)</f>
        <v>0</v>
      </c>
      <c r="I182" s="47">
        <f t="shared" si="8"/>
        <v>0</v>
      </c>
      <c r="J182" s="49">
        <f t="array" ref="J182">IFERROR(
SUM(
IF(
'PORTIFÓLIO'!$C$4:$C$564=$A182,
N(INDEX('PORTIFÓLIO'!$J$4:$Q$564,,MATCH(J$2,'PORTIFÓLIO'!$J$3:$Q$3,0))) *
N('PORTIFÓLIO'!$S$4:$S$564),
0
)
),
0)</f>
        <v>0</v>
      </c>
      <c r="K182" s="47">
        <f t="shared" si="9"/>
        <v>0</v>
      </c>
      <c r="L182" s="49">
        <f t="array" ref="L182">IFERROR(
SUM(
IF(
'PORTIFÓLIO'!$C$4:$C$564=$A182,
N(INDEX('PORTIFÓLIO'!$J$4:$Q$564,,MATCH(L$2,'PORTIFÓLIO'!$J$3:$Q$3,0))) *
N('PORTIFÓLIO'!$S$4:$S$564),
0
)
),
0)</f>
        <v>0</v>
      </c>
      <c r="M182" s="47">
        <f t="shared" si="10"/>
        <v>0</v>
      </c>
      <c r="N182" s="49">
        <f t="array" ref="N182">IFERROR(
SUM(
IF(
'PORTIFÓLIO'!$C$4:$C$564=$A182,
N(INDEX('PORTIFÓLIO'!$J$4:$Q$564,,MATCH(N$2,'PORTIFÓLIO'!$J$3:$Q$3,0))) *
N('PORTIFÓLIO'!$S$4:$S$564),
0
)
),
0)</f>
        <v>0</v>
      </c>
      <c r="O182" s="49">
        <f t="shared" si="11"/>
        <v>0</v>
      </c>
      <c r="P182" s="49">
        <f t="array" ref="P182">IFERROR(
SUM(
IF(
'PORTIFÓLIO'!$C$4:$C$564=$A182,
N(INDEX('PORTIFÓLIO'!$J$4:$Q$564,,MATCH(P$2,'PORTIFÓLIO'!$J$3:$Q$3,0))) *
N('PORTIFÓLIO'!$S$4:$S$564),
0
)
),
0)</f>
        <v>0</v>
      </c>
      <c r="Q182" s="49">
        <f t="shared" si="12"/>
        <v>0</v>
      </c>
      <c r="R182" s="49">
        <f t="shared" si="2"/>
        <v>0</v>
      </c>
      <c r="S182" s="49">
        <f t="shared" si="13"/>
        <v>0</v>
      </c>
    </row>
    <row r="183" ht="15.75" hidden="1" customHeight="1" outlineLevel="1">
      <c r="A183" s="48" t="str">
        <f>IFERROR(__xludf.DUMMYFUNCTION("""COMPUTED_VALUE"""),"NOMOLT 150")</f>
        <v>NOMOLT 150</v>
      </c>
      <c r="B183" s="49">
        <f t="array" ref="B183">IFERROR(
SUM(
IF(
'PORTIFÓLIO'!$C$4:$C$564=$A183,
N(INDEX('PORTIFÓLIO'!$J$4:$Q$564,,MATCH(B$2,'PORTIFÓLIO'!$J$3:$Q$3,0))) *
N('PORTIFÓLIO'!$S$4:$S$564),
0
)
),
0)</f>
        <v>0</v>
      </c>
      <c r="C183" s="49">
        <f t="shared" si="5"/>
        <v>0</v>
      </c>
      <c r="D183" s="49">
        <f t="array" ref="D183">IFERROR(
SUM(
IF(
'PORTIFÓLIO'!$C$4:$C$564=$A183,
N(INDEX('PORTIFÓLIO'!$J$4:$Q$564,,MATCH(D$2,'PORTIFÓLIO'!$J$3:$Q$3,0))) *
N('PORTIFÓLIO'!$S$4:$S$564),
0
)
),
0)</f>
        <v>0</v>
      </c>
      <c r="E183" s="49">
        <f t="shared" si="6"/>
        <v>0</v>
      </c>
      <c r="F183" s="49">
        <f t="array" ref="F183">IFERROR(
SUM(
IF(
'PORTIFÓLIO'!$C$4:$C$564=$A183,
N(INDEX('PORTIFÓLIO'!$J$4:$Q$564,,MATCH(F$2,'PORTIFÓLIO'!$J$3:$Q$3,0))) *
N('PORTIFÓLIO'!$S$4:$S$564),
0
)
),
0)</f>
        <v>0</v>
      </c>
      <c r="G183" s="47">
        <f t="shared" si="7"/>
        <v>0</v>
      </c>
      <c r="H183" s="49">
        <f t="array" ref="H183">IFERROR(
SUM(
IF(
'PORTIFÓLIO'!$C$4:$C$564=$A183,
N(INDEX('PORTIFÓLIO'!$J$4:$Q$564,,MATCH(H$2,'PORTIFÓLIO'!$J$3:$Q$3,0))) *
N('PORTIFÓLIO'!$S$4:$S$564),
0
)
),
0)</f>
        <v>0</v>
      </c>
      <c r="I183" s="47">
        <f t="shared" si="8"/>
        <v>0</v>
      </c>
      <c r="J183" s="49">
        <f t="array" ref="J183">IFERROR(
SUM(
IF(
'PORTIFÓLIO'!$C$4:$C$564=$A183,
N(INDEX('PORTIFÓLIO'!$J$4:$Q$564,,MATCH(J$2,'PORTIFÓLIO'!$J$3:$Q$3,0))) *
N('PORTIFÓLIO'!$S$4:$S$564),
0
)
),
0)</f>
        <v>0</v>
      </c>
      <c r="K183" s="47">
        <f t="shared" si="9"/>
        <v>0</v>
      </c>
      <c r="L183" s="49">
        <f t="array" ref="L183">IFERROR(
SUM(
IF(
'PORTIFÓLIO'!$C$4:$C$564=$A183,
N(INDEX('PORTIFÓLIO'!$J$4:$Q$564,,MATCH(L$2,'PORTIFÓLIO'!$J$3:$Q$3,0))) *
N('PORTIFÓLIO'!$S$4:$S$564),
0
)
),
0)</f>
        <v>0</v>
      </c>
      <c r="M183" s="47">
        <f t="shared" si="10"/>
        <v>0</v>
      </c>
      <c r="N183" s="49">
        <f t="array" ref="N183">IFERROR(
SUM(
IF(
'PORTIFÓLIO'!$C$4:$C$564=$A183,
N(INDEX('PORTIFÓLIO'!$J$4:$Q$564,,MATCH(N$2,'PORTIFÓLIO'!$J$3:$Q$3,0))) *
N('PORTIFÓLIO'!$S$4:$S$564),
0
)
),
0)</f>
        <v>0</v>
      </c>
      <c r="O183" s="49">
        <f t="shared" si="11"/>
        <v>0</v>
      </c>
      <c r="P183" s="49">
        <f t="array" ref="P183">IFERROR(
SUM(
IF(
'PORTIFÓLIO'!$C$4:$C$564=$A183,
N(INDEX('PORTIFÓLIO'!$J$4:$Q$564,,MATCH(P$2,'PORTIFÓLIO'!$J$3:$Q$3,0))) *
N('PORTIFÓLIO'!$S$4:$S$564),
0
)
),
0)</f>
        <v>0</v>
      </c>
      <c r="Q183" s="49">
        <f t="shared" si="12"/>
        <v>0</v>
      </c>
      <c r="R183" s="49">
        <f t="shared" si="2"/>
        <v>0</v>
      </c>
      <c r="S183" s="49">
        <f t="shared" si="13"/>
        <v>0</v>
      </c>
    </row>
    <row r="184" ht="15.75" hidden="1" customHeight="1" outlineLevel="1">
      <c r="A184" s="48" t="str">
        <f>IFERROR(__xludf.DUMMYFUNCTION("""COMPUTED_VALUE"""),"PIRATE")</f>
        <v>PIRATE</v>
      </c>
      <c r="B184" s="49">
        <f t="array" ref="B184">IFERROR(
SUM(
IF(
'PORTIFÓLIO'!$C$4:$C$564=$A184,
N(INDEX('PORTIFÓLIO'!$J$4:$Q$564,,MATCH(B$2,'PORTIFÓLIO'!$J$3:$Q$3,0))) *
N('PORTIFÓLIO'!$S$4:$S$564),
0
)
),
0)</f>
        <v>0</v>
      </c>
      <c r="C184" s="49">
        <f t="shared" si="5"/>
        <v>0</v>
      </c>
      <c r="D184" s="49">
        <f t="array" ref="D184">IFERROR(
SUM(
IF(
'PORTIFÓLIO'!$C$4:$C$564=$A184,
N(INDEX('PORTIFÓLIO'!$J$4:$Q$564,,MATCH(D$2,'PORTIFÓLIO'!$J$3:$Q$3,0))) *
N('PORTIFÓLIO'!$S$4:$S$564),
0
)
),
0)</f>
        <v>0</v>
      </c>
      <c r="E184" s="49">
        <f t="shared" si="6"/>
        <v>0</v>
      </c>
      <c r="F184" s="49">
        <f t="array" ref="F184">IFERROR(
SUM(
IF(
'PORTIFÓLIO'!$C$4:$C$564=$A184,
N(INDEX('PORTIFÓLIO'!$J$4:$Q$564,,MATCH(F$2,'PORTIFÓLIO'!$J$3:$Q$3,0))) *
N('PORTIFÓLIO'!$S$4:$S$564),
0
)
),
0)</f>
        <v>0</v>
      </c>
      <c r="G184" s="47">
        <f t="shared" si="7"/>
        <v>0</v>
      </c>
      <c r="H184" s="49">
        <f t="array" ref="H184">IFERROR(
SUM(
IF(
'PORTIFÓLIO'!$C$4:$C$564=$A184,
N(INDEX('PORTIFÓLIO'!$J$4:$Q$564,,MATCH(H$2,'PORTIFÓLIO'!$J$3:$Q$3,0))) *
N('PORTIFÓLIO'!$S$4:$S$564),
0
)
),
0)</f>
        <v>0</v>
      </c>
      <c r="I184" s="47">
        <f t="shared" si="8"/>
        <v>0</v>
      </c>
      <c r="J184" s="49">
        <f t="array" ref="J184">IFERROR(
SUM(
IF(
'PORTIFÓLIO'!$C$4:$C$564=$A184,
N(INDEX('PORTIFÓLIO'!$J$4:$Q$564,,MATCH(J$2,'PORTIFÓLIO'!$J$3:$Q$3,0))) *
N('PORTIFÓLIO'!$S$4:$S$564),
0
)
),
0)</f>
        <v>0</v>
      </c>
      <c r="K184" s="47">
        <f t="shared" si="9"/>
        <v>0</v>
      </c>
      <c r="L184" s="49">
        <f t="array" ref="L184">IFERROR(
SUM(
IF(
'PORTIFÓLIO'!$C$4:$C$564=$A184,
N(INDEX('PORTIFÓLIO'!$J$4:$Q$564,,MATCH(L$2,'PORTIFÓLIO'!$J$3:$Q$3,0))) *
N('PORTIFÓLIO'!$S$4:$S$564),
0
)
),
0)</f>
        <v>0</v>
      </c>
      <c r="M184" s="47">
        <f t="shared" si="10"/>
        <v>0</v>
      </c>
      <c r="N184" s="49">
        <f t="array" ref="N184">IFERROR(
SUM(
IF(
'PORTIFÓLIO'!$C$4:$C$564=$A184,
N(INDEX('PORTIFÓLIO'!$J$4:$Q$564,,MATCH(N$2,'PORTIFÓLIO'!$J$3:$Q$3,0))) *
N('PORTIFÓLIO'!$S$4:$S$564),
0
)
),
0)</f>
        <v>0</v>
      </c>
      <c r="O184" s="49">
        <f t="shared" si="11"/>
        <v>0</v>
      </c>
      <c r="P184" s="49">
        <f t="array" ref="P184">IFERROR(
SUM(
IF(
'PORTIFÓLIO'!$C$4:$C$564=$A184,
N(INDEX('PORTIFÓLIO'!$J$4:$Q$564,,MATCH(P$2,'PORTIFÓLIO'!$J$3:$Q$3,0))) *
N('PORTIFÓLIO'!$S$4:$S$564),
0
)
),
0)</f>
        <v>0</v>
      </c>
      <c r="Q184" s="49">
        <f t="shared" si="12"/>
        <v>0</v>
      </c>
      <c r="R184" s="49">
        <f t="shared" si="2"/>
        <v>0</v>
      </c>
      <c r="S184" s="49">
        <f t="shared" si="13"/>
        <v>0</v>
      </c>
    </row>
    <row r="185" ht="15.75" hidden="1" customHeight="1" outlineLevel="1">
      <c r="A185" s="48" t="str">
        <f>IFERROR(__xludf.DUMMYFUNCTION("""COMPUTED_VALUE"""),"BELT")</f>
        <v>BELT</v>
      </c>
      <c r="B185" s="49">
        <f t="array" ref="B185">IFERROR(
SUM(
IF(
'PORTIFÓLIO'!$C$4:$C$564=$A185,
N(INDEX('PORTIFÓLIO'!$J$4:$Q$564,,MATCH(B$2,'PORTIFÓLIO'!$J$3:$Q$3,0))) *
N('PORTIFÓLIO'!$S$4:$S$564),
0
)
),
0)</f>
        <v>0</v>
      </c>
      <c r="C185" s="49">
        <f t="shared" si="5"/>
        <v>0</v>
      </c>
      <c r="D185" s="49">
        <f t="array" ref="D185">IFERROR(
SUM(
IF(
'PORTIFÓLIO'!$C$4:$C$564=$A185,
N(INDEX('PORTIFÓLIO'!$J$4:$Q$564,,MATCH(D$2,'PORTIFÓLIO'!$J$3:$Q$3,0))) *
N('PORTIFÓLIO'!$S$4:$S$564),
0
)
),
0)</f>
        <v>0</v>
      </c>
      <c r="E185" s="49">
        <f t="shared" si="6"/>
        <v>0</v>
      </c>
      <c r="F185" s="49">
        <f t="array" ref="F185">IFERROR(
SUM(
IF(
'PORTIFÓLIO'!$C$4:$C$564=$A185,
N(INDEX('PORTIFÓLIO'!$J$4:$Q$564,,MATCH(F$2,'PORTIFÓLIO'!$J$3:$Q$3,0))) *
N('PORTIFÓLIO'!$S$4:$S$564),
0
)
),
0)</f>
        <v>0</v>
      </c>
      <c r="G185" s="47">
        <f t="shared" si="7"/>
        <v>0</v>
      </c>
      <c r="H185" s="49">
        <f t="array" ref="H185">IFERROR(
SUM(
IF(
'PORTIFÓLIO'!$C$4:$C$564=$A185,
N(INDEX('PORTIFÓLIO'!$J$4:$Q$564,,MATCH(H$2,'PORTIFÓLIO'!$J$3:$Q$3,0))) *
N('PORTIFÓLIO'!$S$4:$S$564),
0
)
),
0)</f>
        <v>0</v>
      </c>
      <c r="I185" s="47">
        <f t="shared" si="8"/>
        <v>0</v>
      </c>
      <c r="J185" s="49">
        <f t="array" ref="J185">IFERROR(
SUM(
IF(
'PORTIFÓLIO'!$C$4:$C$564=$A185,
N(INDEX('PORTIFÓLIO'!$J$4:$Q$564,,MATCH(J$2,'PORTIFÓLIO'!$J$3:$Q$3,0))) *
N('PORTIFÓLIO'!$S$4:$S$564),
0
)
),
0)</f>
        <v>0</v>
      </c>
      <c r="K185" s="47">
        <f t="shared" si="9"/>
        <v>0</v>
      </c>
      <c r="L185" s="49">
        <f t="array" ref="L185">IFERROR(
SUM(
IF(
'PORTIFÓLIO'!$C$4:$C$564=$A185,
N(INDEX('PORTIFÓLIO'!$J$4:$Q$564,,MATCH(L$2,'PORTIFÓLIO'!$J$3:$Q$3,0))) *
N('PORTIFÓLIO'!$S$4:$S$564),
0
)
),
0)</f>
        <v>0</v>
      </c>
      <c r="M185" s="47">
        <f t="shared" si="10"/>
        <v>0</v>
      </c>
      <c r="N185" s="49">
        <f t="array" ref="N185">IFERROR(
SUM(
IF(
'PORTIFÓLIO'!$C$4:$C$564=$A185,
N(INDEX('PORTIFÓLIO'!$J$4:$Q$564,,MATCH(N$2,'PORTIFÓLIO'!$J$3:$Q$3,0))) *
N('PORTIFÓLIO'!$S$4:$S$564),
0
)
),
0)</f>
        <v>0</v>
      </c>
      <c r="O185" s="49">
        <f t="shared" si="11"/>
        <v>0</v>
      </c>
      <c r="P185" s="49">
        <f t="array" ref="P185">IFERROR(
SUM(
IF(
'PORTIFÓLIO'!$C$4:$C$564=$A185,
N(INDEX('PORTIFÓLIO'!$J$4:$Q$564,,MATCH(P$2,'PORTIFÓLIO'!$J$3:$Q$3,0))) *
N('PORTIFÓLIO'!$S$4:$S$564),
0
)
),
0)</f>
        <v>0</v>
      </c>
      <c r="Q185" s="49">
        <f t="shared" si="12"/>
        <v>0</v>
      </c>
      <c r="R185" s="49">
        <f t="shared" si="2"/>
        <v>0</v>
      </c>
      <c r="S185" s="49">
        <f t="shared" si="13"/>
        <v>0</v>
      </c>
    </row>
    <row r="186" ht="15.75" hidden="1" customHeight="1" outlineLevel="1">
      <c r="A186" s="48" t="str">
        <f>IFERROR(__xludf.DUMMYFUNCTION("""COMPUTED_VALUE"""),"BULLDOCK 125 SC")</f>
        <v>BULLDOCK 125 SC</v>
      </c>
      <c r="B186" s="49">
        <f t="array" ref="B186">IFERROR(
SUM(
IF(
'PORTIFÓLIO'!$C$4:$C$564=$A186,
N(INDEX('PORTIFÓLIO'!$J$4:$Q$564,,MATCH(B$2,'PORTIFÓLIO'!$J$3:$Q$3,0))) *
N('PORTIFÓLIO'!$S$4:$S$564),
0
)
),
0)</f>
        <v>0</v>
      </c>
      <c r="C186" s="49">
        <f t="shared" si="5"/>
        <v>0</v>
      </c>
      <c r="D186" s="49">
        <f t="array" ref="D186">IFERROR(
SUM(
IF(
'PORTIFÓLIO'!$C$4:$C$564=$A186,
N(INDEX('PORTIFÓLIO'!$J$4:$Q$564,,MATCH(D$2,'PORTIFÓLIO'!$J$3:$Q$3,0))) *
N('PORTIFÓLIO'!$S$4:$S$564),
0
)
),
0)</f>
        <v>0</v>
      </c>
      <c r="E186" s="49">
        <f t="shared" si="6"/>
        <v>0</v>
      </c>
      <c r="F186" s="49">
        <f t="array" ref="F186">IFERROR(
SUM(
IF(
'PORTIFÓLIO'!$C$4:$C$564=$A186,
N(INDEX('PORTIFÓLIO'!$J$4:$Q$564,,MATCH(F$2,'PORTIFÓLIO'!$J$3:$Q$3,0))) *
N('PORTIFÓLIO'!$S$4:$S$564),
0
)
),
0)</f>
        <v>0</v>
      </c>
      <c r="G186" s="47">
        <f t="shared" si="7"/>
        <v>0</v>
      </c>
      <c r="H186" s="49">
        <f t="array" ref="H186">IFERROR(
SUM(
IF(
'PORTIFÓLIO'!$C$4:$C$564=$A186,
N(INDEX('PORTIFÓLIO'!$J$4:$Q$564,,MATCH(H$2,'PORTIFÓLIO'!$J$3:$Q$3,0))) *
N('PORTIFÓLIO'!$S$4:$S$564),
0
)
),
0)</f>
        <v>0</v>
      </c>
      <c r="I186" s="47">
        <f t="shared" si="8"/>
        <v>0</v>
      </c>
      <c r="J186" s="49">
        <f t="array" ref="J186">IFERROR(
SUM(
IF(
'PORTIFÓLIO'!$C$4:$C$564=$A186,
N(INDEX('PORTIFÓLIO'!$J$4:$Q$564,,MATCH(J$2,'PORTIFÓLIO'!$J$3:$Q$3,0))) *
N('PORTIFÓLIO'!$S$4:$S$564),
0
)
),
0)</f>
        <v>0</v>
      </c>
      <c r="K186" s="47">
        <f t="shared" si="9"/>
        <v>0</v>
      </c>
      <c r="L186" s="49">
        <f t="array" ref="L186">IFERROR(
SUM(
IF(
'PORTIFÓLIO'!$C$4:$C$564=$A186,
N(INDEX('PORTIFÓLIO'!$J$4:$Q$564,,MATCH(L$2,'PORTIFÓLIO'!$J$3:$Q$3,0))) *
N('PORTIFÓLIO'!$S$4:$S$564),
0
)
),
0)</f>
        <v>0</v>
      </c>
      <c r="M186" s="47">
        <f t="shared" si="10"/>
        <v>0</v>
      </c>
      <c r="N186" s="49">
        <f t="array" ref="N186">IFERROR(
SUM(
IF(
'PORTIFÓLIO'!$C$4:$C$564=$A186,
N(INDEX('PORTIFÓLIO'!$J$4:$Q$564,,MATCH(N$2,'PORTIFÓLIO'!$J$3:$Q$3,0))) *
N('PORTIFÓLIO'!$S$4:$S$564),
0
)
),
0)</f>
        <v>0</v>
      </c>
      <c r="O186" s="49">
        <f t="shared" si="11"/>
        <v>0</v>
      </c>
      <c r="P186" s="49">
        <f t="array" ref="P186">IFERROR(
SUM(
IF(
'PORTIFÓLIO'!$C$4:$C$564=$A186,
N(INDEX('PORTIFÓLIO'!$J$4:$Q$564,,MATCH(P$2,'PORTIFÓLIO'!$J$3:$Q$3,0))) *
N('PORTIFÓLIO'!$S$4:$S$564),
0
)
),
0)</f>
        <v>0</v>
      </c>
      <c r="Q186" s="49">
        <f t="shared" si="12"/>
        <v>0</v>
      </c>
      <c r="R186" s="49">
        <f t="shared" si="2"/>
        <v>0</v>
      </c>
      <c r="S186" s="49">
        <f t="shared" si="13"/>
        <v>0</v>
      </c>
    </row>
    <row r="187" ht="15.75" hidden="1" customHeight="1" outlineLevel="1">
      <c r="A187" s="48" t="str">
        <f>IFERROR(__xludf.DUMMYFUNCTION("""COMPUTED_VALUE"""),"CERTERO")</f>
        <v>CERTERO</v>
      </c>
      <c r="B187" s="49">
        <f t="array" ref="B187">IFERROR(
SUM(
IF(
'PORTIFÓLIO'!$C$4:$C$564=$A187,
N(INDEX('PORTIFÓLIO'!$J$4:$Q$564,,MATCH(B$2,'PORTIFÓLIO'!$J$3:$Q$3,0))) *
N('PORTIFÓLIO'!$S$4:$S$564),
0
)
),
0)</f>
        <v>0</v>
      </c>
      <c r="C187" s="49">
        <f t="shared" si="5"/>
        <v>0</v>
      </c>
      <c r="D187" s="49">
        <f t="array" ref="D187">IFERROR(
SUM(
IF(
'PORTIFÓLIO'!$C$4:$C$564=$A187,
N(INDEX('PORTIFÓLIO'!$J$4:$Q$564,,MATCH(D$2,'PORTIFÓLIO'!$J$3:$Q$3,0))) *
N('PORTIFÓLIO'!$S$4:$S$564),
0
)
),
0)</f>
        <v>0</v>
      </c>
      <c r="E187" s="49">
        <f t="shared" si="6"/>
        <v>0</v>
      </c>
      <c r="F187" s="49">
        <f t="array" ref="F187">IFERROR(
SUM(
IF(
'PORTIFÓLIO'!$C$4:$C$564=$A187,
N(INDEX('PORTIFÓLIO'!$J$4:$Q$564,,MATCH(F$2,'PORTIFÓLIO'!$J$3:$Q$3,0))) *
N('PORTIFÓLIO'!$S$4:$S$564),
0
)
),
0)</f>
        <v>0</v>
      </c>
      <c r="G187" s="47">
        <f t="shared" si="7"/>
        <v>0</v>
      </c>
      <c r="H187" s="49">
        <f t="array" ref="H187">IFERROR(
SUM(
IF(
'PORTIFÓLIO'!$C$4:$C$564=$A187,
N(INDEX('PORTIFÓLIO'!$J$4:$Q$564,,MATCH(H$2,'PORTIFÓLIO'!$J$3:$Q$3,0))) *
N('PORTIFÓLIO'!$S$4:$S$564),
0
)
),
0)</f>
        <v>0</v>
      </c>
      <c r="I187" s="47">
        <f t="shared" si="8"/>
        <v>0</v>
      </c>
      <c r="J187" s="49">
        <f t="array" ref="J187">IFERROR(
SUM(
IF(
'PORTIFÓLIO'!$C$4:$C$564=$A187,
N(INDEX('PORTIFÓLIO'!$J$4:$Q$564,,MATCH(J$2,'PORTIFÓLIO'!$J$3:$Q$3,0))) *
N('PORTIFÓLIO'!$S$4:$S$564),
0
)
),
0)</f>
        <v>0</v>
      </c>
      <c r="K187" s="47">
        <f t="shared" si="9"/>
        <v>0</v>
      </c>
      <c r="L187" s="49">
        <f t="array" ref="L187">IFERROR(
SUM(
IF(
'PORTIFÓLIO'!$C$4:$C$564=$A187,
N(INDEX('PORTIFÓLIO'!$J$4:$Q$564,,MATCH(L$2,'PORTIFÓLIO'!$J$3:$Q$3,0))) *
N('PORTIFÓLIO'!$S$4:$S$564),
0
)
),
0)</f>
        <v>0</v>
      </c>
      <c r="M187" s="47">
        <f t="shared" si="10"/>
        <v>0</v>
      </c>
      <c r="N187" s="49">
        <f t="array" ref="N187">IFERROR(
SUM(
IF(
'PORTIFÓLIO'!$C$4:$C$564=$A187,
N(INDEX('PORTIFÓLIO'!$J$4:$Q$564,,MATCH(N$2,'PORTIFÓLIO'!$J$3:$Q$3,0))) *
N('PORTIFÓLIO'!$S$4:$S$564),
0
)
),
0)</f>
        <v>0</v>
      </c>
      <c r="O187" s="49">
        <f t="shared" si="11"/>
        <v>0</v>
      </c>
      <c r="P187" s="49">
        <f t="array" ref="P187">IFERROR(
SUM(
IF(
'PORTIFÓLIO'!$C$4:$C$564=$A187,
N(INDEX('PORTIFÓLIO'!$J$4:$Q$564,,MATCH(P$2,'PORTIFÓLIO'!$J$3:$Q$3,0))) *
N('PORTIFÓLIO'!$S$4:$S$564),
0
)
),
0)</f>
        <v>0</v>
      </c>
      <c r="Q187" s="49">
        <f t="shared" si="12"/>
        <v>0</v>
      </c>
      <c r="R187" s="49">
        <f t="shared" si="2"/>
        <v>0</v>
      </c>
      <c r="S187" s="49">
        <f t="shared" si="13"/>
        <v>0</v>
      </c>
    </row>
    <row r="188" ht="15.75" hidden="1" customHeight="1" outlineLevel="1">
      <c r="A188" s="48" t="str">
        <f>IFERROR(__xludf.DUMMYFUNCTION("""COMPUTED_VALUE"""),"CONNECT")</f>
        <v>CONNECT</v>
      </c>
      <c r="B188" s="49">
        <f t="array" ref="B188">IFERROR(
SUM(
IF(
'PORTIFÓLIO'!$C$4:$C$564=$A188,
N(INDEX('PORTIFÓLIO'!$J$4:$Q$564,,MATCH(B$2,'PORTIFÓLIO'!$J$3:$Q$3,0))) *
N('PORTIFÓLIO'!$S$4:$S$564),
0
)
),
0)</f>
        <v>0</v>
      </c>
      <c r="C188" s="49">
        <f t="shared" si="5"/>
        <v>0</v>
      </c>
      <c r="D188" s="49">
        <f t="array" ref="D188">IFERROR(
SUM(
IF(
'PORTIFÓLIO'!$C$4:$C$564=$A188,
N(INDEX('PORTIFÓLIO'!$J$4:$Q$564,,MATCH(D$2,'PORTIFÓLIO'!$J$3:$Q$3,0))) *
N('PORTIFÓLIO'!$S$4:$S$564),
0
)
),
0)</f>
        <v>0</v>
      </c>
      <c r="E188" s="49">
        <f t="shared" si="6"/>
        <v>0</v>
      </c>
      <c r="F188" s="49">
        <f t="array" ref="F188">IFERROR(
SUM(
IF(
'PORTIFÓLIO'!$C$4:$C$564=$A188,
N(INDEX('PORTIFÓLIO'!$J$4:$Q$564,,MATCH(F$2,'PORTIFÓLIO'!$J$3:$Q$3,0))) *
N('PORTIFÓLIO'!$S$4:$S$564),
0
)
),
0)</f>
        <v>0</v>
      </c>
      <c r="G188" s="47">
        <f t="shared" si="7"/>
        <v>0</v>
      </c>
      <c r="H188" s="49">
        <f t="array" ref="H188">IFERROR(
SUM(
IF(
'PORTIFÓLIO'!$C$4:$C$564=$A188,
N(INDEX('PORTIFÓLIO'!$J$4:$Q$564,,MATCH(H$2,'PORTIFÓLIO'!$J$3:$Q$3,0))) *
N('PORTIFÓLIO'!$S$4:$S$564),
0
)
),
0)</f>
        <v>0</v>
      </c>
      <c r="I188" s="47">
        <f t="shared" si="8"/>
        <v>0</v>
      </c>
      <c r="J188" s="49">
        <f t="array" ref="J188">IFERROR(
SUM(
IF(
'PORTIFÓLIO'!$C$4:$C$564=$A188,
N(INDEX('PORTIFÓLIO'!$J$4:$Q$564,,MATCH(J$2,'PORTIFÓLIO'!$J$3:$Q$3,0))) *
N('PORTIFÓLIO'!$S$4:$S$564),
0
)
),
0)</f>
        <v>0</v>
      </c>
      <c r="K188" s="47">
        <f t="shared" si="9"/>
        <v>0</v>
      </c>
      <c r="L188" s="49">
        <f t="array" ref="L188">IFERROR(
SUM(
IF(
'PORTIFÓLIO'!$C$4:$C$564=$A188,
N(INDEX('PORTIFÓLIO'!$J$4:$Q$564,,MATCH(L$2,'PORTIFÓLIO'!$J$3:$Q$3,0))) *
N('PORTIFÓLIO'!$S$4:$S$564),
0
)
),
0)</f>
        <v>0</v>
      </c>
      <c r="M188" s="47">
        <f t="shared" si="10"/>
        <v>0</v>
      </c>
      <c r="N188" s="49">
        <f t="array" ref="N188">IFERROR(
SUM(
IF(
'PORTIFÓLIO'!$C$4:$C$564=$A188,
N(INDEX('PORTIFÓLIO'!$J$4:$Q$564,,MATCH(N$2,'PORTIFÓLIO'!$J$3:$Q$3,0))) *
N('PORTIFÓLIO'!$S$4:$S$564),
0
)
),
0)</f>
        <v>0</v>
      </c>
      <c r="O188" s="49">
        <f t="shared" si="11"/>
        <v>0</v>
      </c>
      <c r="P188" s="49">
        <f t="array" ref="P188">IFERROR(
SUM(
IF(
'PORTIFÓLIO'!$C$4:$C$564=$A188,
N(INDEX('PORTIFÓLIO'!$J$4:$Q$564,,MATCH(P$2,'PORTIFÓLIO'!$J$3:$Q$3,0))) *
N('PORTIFÓLIO'!$S$4:$S$564),
0
)
),
0)</f>
        <v>0</v>
      </c>
      <c r="Q188" s="49">
        <f t="shared" si="12"/>
        <v>0</v>
      </c>
      <c r="R188" s="49">
        <f t="shared" si="2"/>
        <v>0</v>
      </c>
      <c r="S188" s="49">
        <f t="shared" si="13"/>
        <v>0</v>
      </c>
    </row>
    <row r="189" ht="15.75" hidden="1" customHeight="1" outlineLevel="1">
      <c r="A189" s="48" t="str">
        <f>IFERROR(__xludf.DUMMYFUNCTION("""COMPUTED_VALUE"""),"CURBIX 200 SC")</f>
        <v>CURBIX 200 SC</v>
      </c>
      <c r="B189" s="49">
        <f t="array" ref="B189">IFERROR(
SUM(
IF(
'PORTIFÓLIO'!$C$4:$C$564=$A189,
N(INDEX('PORTIFÓLIO'!$J$4:$Q$564,,MATCH(B$2,'PORTIFÓLIO'!$J$3:$Q$3,0))) *
N('PORTIFÓLIO'!$S$4:$S$564),
0
)
),
0)</f>
        <v>0</v>
      </c>
      <c r="C189" s="49">
        <f t="shared" si="5"/>
        <v>0</v>
      </c>
      <c r="D189" s="49">
        <f t="array" ref="D189">IFERROR(
SUM(
IF(
'PORTIFÓLIO'!$C$4:$C$564=$A189,
N(INDEX('PORTIFÓLIO'!$J$4:$Q$564,,MATCH(D$2,'PORTIFÓLIO'!$J$3:$Q$3,0))) *
N('PORTIFÓLIO'!$S$4:$S$564),
0
)
),
0)</f>
        <v>0</v>
      </c>
      <c r="E189" s="49">
        <f t="shared" si="6"/>
        <v>0</v>
      </c>
      <c r="F189" s="49">
        <f t="array" ref="F189">IFERROR(
SUM(
IF(
'PORTIFÓLIO'!$C$4:$C$564=$A189,
N(INDEX('PORTIFÓLIO'!$J$4:$Q$564,,MATCH(F$2,'PORTIFÓLIO'!$J$3:$Q$3,0))) *
N('PORTIFÓLIO'!$S$4:$S$564),
0
)
),
0)</f>
        <v>0</v>
      </c>
      <c r="G189" s="47">
        <f t="shared" si="7"/>
        <v>0</v>
      </c>
      <c r="H189" s="49">
        <f t="array" ref="H189">IFERROR(
SUM(
IF(
'PORTIFÓLIO'!$C$4:$C$564=$A189,
N(INDEX('PORTIFÓLIO'!$J$4:$Q$564,,MATCH(H$2,'PORTIFÓLIO'!$J$3:$Q$3,0))) *
N('PORTIFÓLIO'!$S$4:$S$564),
0
)
),
0)</f>
        <v>0</v>
      </c>
      <c r="I189" s="47">
        <f t="shared" si="8"/>
        <v>0</v>
      </c>
      <c r="J189" s="49">
        <f t="array" ref="J189">IFERROR(
SUM(
IF(
'PORTIFÓLIO'!$C$4:$C$564=$A189,
N(INDEX('PORTIFÓLIO'!$J$4:$Q$564,,MATCH(J$2,'PORTIFÓLIO'!$J$3:$Q$3,0))) *
N('PORTIFÓLIO'!$S$4:$S$564),
0
)
),
0)</f>
        <v>0</v>
      </c>
      <c r="K189" s="47">
        <f t="shared" si="9"/>
        <v>0</v>
      </c>
      <c r="L189" s="49">
        <f t="array" ref="L189">IFERROR(
SUM(
IF(
'PORTIFÓLIO'!$C$4:$C$564=$A189,
N(INDEX('PORTIFÓLIO'!$J$4:$Q$564,,MATCH(L$2,'PORTIFÓLIO'!$J$3:$Q$3,0))) *
N('PORTIFÓLIO'!$S$4:$S$564),
0
)
),
0)</f>
        <v>0</v>
      </c>
      <c r="M189" s="47">
        <f t="shared" si="10"/>
        <v>0</v>
      </c>
      <c r="N189" s="49">
        <f t="array" ref="N189">IFERROR(
SUM(
IF(
'PORTIFÓLIO'!$C$4:$C$564=$A189,
N(INDEX('PORTIFÓLIO'!$J$4:$Q$564,,MATCH(N$2,'PORTIFÓLIO'!$J$3:$Q$3,0))) *
N('PORTIFÓLIO'!$S$4:$S$564),
0
)
),
0)</f>
        <v>0</v>
      </c>
      <c r="O189" s="49">
        <f t="shared" si="11"/>
        <v>0</v>
      </c>
      <c r="P189" s="49">
        <f t="array" ref="P189">IFERROR(
SUM(
IF(
'PORTIFÓLIO'!$C$4:$C$564=$A189,
N(INDEX('PORTIFÓLIO'!$J$4:$Q$564,,MATCH(P$2,'PORTIFÓLIO'!$J$3:$Q$3,0))) *
N('PORTIFÓLIO'!$S$4:$S$564),
0
)
),
0)</f>
        <v>0</v>
      </c>
      <c r="Q189" s="49">
        <f t="shared" si="12"/>
        <v>0</v>
      </c>
      <c r="R189" s="49">
        <f t="shared" si="2"/>
        <v>0</v>
      </c>
      <c r="S189" s="49">
        <f t="shared" si="13"/>
        <v>0</v>
      </c>
    </row>
    <row r="190" ht="15.75" hidden="1" customHeight="1" outlineLevel="1">
      <c r="A190" s="48" t="str">
        <f>IFERROR(__xludf.DUMMYFUNCTION("""COMPUTED_VALUE"""),"OBERON")</f>
        <v>OBERON</v>
      </c>
      <c r="B190" s="49">
        <f t="array" ref="B190">IFERROR(
SUM(
IF(
'PORTIFÓLIO'!$C$4:$C$564=$A190,
N(INDEX('PORTIFÓLIO'!$J$4:$Q$564,,MATCH(B$2,'PORTIFÓLIO'!$J$3:$Q$3,0))) *
N('PORTIFÓLIO'!$S$4:$S$564),
0
)
),
0)</f>
        <v>0</v>
      </c>
      <c r="C190" s="49">
        <f t="shared" si="5"/>
        <v>0</v>
      </c>
      <c r="D190" s="49">
        <f t="array" ref="D190">IFERROR(
SUM(
IF(
'PORTIFÓLIO'!$C$4:$C$564=$A190,
N(INDEX('PORTIFÓLIO'!$J$4:$Q$564,,MATCH(D$2,'PORTIFÓLIO'!$J$3:$Q$3,0))) *
N('PORTIFÓLIO'!$S$4:$S$564),
0
)
),
0)</f>
        <v>0</v>
      </c>
      <c r="E190" s="49">
        <f t="shared" si="6"/>
        <v>0</v>
      </c>
      <c r="F190" s="49">
        <f t="array" ref="F190">IFERROR(
SUM(
IF(
'PORTIFÓLIO'!$C$4:$C$564=$A190,
N(INDEX('PORTIFÓLIO'!$J$4:$Q$564,,MATCH(F$2,'PORTIFÓLIO'!$J$3:$Q$3,0))) *
N('PORTIFÓLIO'!$S$4:$S$564),
0
)
),
0)</f>
        <v>0</v>
      </c>
      <c r="G190" s="47">
        <f t="shared" si="7"/>
        <v>0</v>
      </c>
      <c r="H190" s="49">
        <f t="array" ref="H190">IFERROR(
SUM(
IF(
'PORTIFÓLIO'!$C$4:$C$564=$A190,
N(INDEX('PORTIFÓLIO'!$J$4:$Q$564,,MATCH(H$2,'PORTIFÓLIO'!$J$3:$Q$3,0))) *
N('PORTIFÓLIO'!$S$4:$S$564),
0
)
),
0)</f>
        <v>0</v>
      </c>
      <c r="I190" s="47">
        <f t="shared" si="8"/>
        <v>0</v>
      </c>
      <c r="J190" s="49">
        <f t="array" ref="J190">IFERROR(
SUM(
IF(
'PORTIFÓLIO'!$C$4:$C$564=$A190,
N(INDEX('PORTIFÓLIO'!$J$4:$Q$564,,MATCH(J$2,'PORTIFÓLIO'!$J$3:$Q$3,0))) *
N('PORTIFÓLIO'!$S$4:$S$564),
0
)
),
0)</f>
        <v>0</v>
      </c>
      <c r="K190" s="47">
        <f t="shared" si="9"/>
        <v>0</v>
      </c>
      <c r="L190" s="49">
        <f t="array" ref="L190">IFERROR(
SUM(
IF(
'PORTIFÓLIO'!$C$4:$C$564=$A190,
N(INDEX('PORTIFÓLIO'!$J$4:$Q$564,,MATCH(L$2,'PORTIFÓLIO'!$J$3:$Q$3,0))) *
N('PORTIFÓLIO'!$S$4:$S$564),
0
)
),
0)</f>
        <v>0</v>
      </c>
      <c r="M190" s="47">
        <f t="shared" si="10"/>
        <v>0</v>
      </c>
      <c r="N190" s="49">
        <f t="array" ref="N190">IFERROR(
SUM(
IF(
'PORTIFÓLIO'!$C$4:$C$564=$A190,
N(INDEX('PORTIFÓLIO'!$J$4:$Q$564,,MATCH(N$2,'PORTIFÓLIO'!$J$3:$Q$3,0))) *
N('PORTIFÓLIO'!$S$4:$S$564),
0
)
),
0)</f>
        <v>0</v>
      </c>
      <c r="O190" s="49">
        <f t="shared" si="11"/>
        <v>0</v>
      </c>
      <c r="P190" s="49">
        <f t="array" ref="P190">IFERROR(
SUM(
IF(
'PORTIFÓLIO'!$C$4:$C$564=$A190,
N(INDEX('PORTIFÓLIO'!$J$4:$Q$564,,MATCH(P$2,'PORTIFÓLIO'!$J$3:$Q$3,0))) *
N('PORTIFÓLIO'!$S$4:$S$564),
0
)
),
0)</f>
        <v>0</v>
      </c>
      <c r="Q190" s="49">
        <f t="shared" si="12"/>
        <v>0</v>
      </c>
      <c r="R190" s="49">
        <f t="shared" si="2"/>
        <v>0</v>
      </c>
      <c r="S190" s="49">
        <f t="shared" si="13"/>
        <v>0</v>
      </c>
    </row>
    <row r="191" ht="15.75" hidden="1" customHeight="1" outlineLevel="1">
      <c r="A191" s="48" t="str">
        <f>IFERROR(__xludf.DUMMYFUNCTION("""COMPUTED_VALUE"""),"ACETAMIPRID CCAB 200 SP")</f>
        <v>ACETAMIPRID CCAB 200 SP</v>
      </c>
      <c r="B191" s="49">
        <f t="array" ref="B191">IFERROR(
SUM(
IF(
'PORTIFÓLIO'!$C$4:$C$564=$A191,
N(INDEX('PORTIFÓLIO'!$J$4:$Q$564,,MATCH(B$2,'PORTIFÓLIO'!$J$3:$Q$3,0))) *
N('PORTIFÓLIO'!$S$4:$S$564),
0
)
),
0)</f>
        <v>0</v>
      </c>
      <c r="C191" s="49">
        <f t="shared" si="5"/>
        <v>0</v>
      </c>
      <c r="D191" s="49">
        <f t="array" ref="D191">IFERROR(
SUM(
IF(
'PORTIFÓLIO'!$C$4:$C$564=$A191,
N(INDEX('PORTIFÓLIO'!$J$4:$Q$564,,MATCH(D$2,'PORTIFÓLIO'!$J$3:$Q$3,0))) *
N('PORTIFÓLIO'!$S$4:$S$564),
0
)
),
0)</f>
        <v>0</v>
      </c>
      <c r="E191" s="49">
        <f t="shared" si="6"/>
        <v>0</v>
      </c>
      <c r="F191" s="49">
        <f t="array" ref="F191">IFERROR(
SUM(
IF(
'PORTIFÓLIO'!$C$4:$C$564=$A191,
N(INDEX('PORTIFÓLIO'!$J$4:$Q$564,,MATCH(F$2,'PORTIFÓLIO'!$J$3:$Q$3,0))) *
N('PORTIFÓLIO'!$S$4:$S$564),
0
)
),
0)</f>
        <v>0</v>
      </c>
      <c r="G191" s="47">
        <f t="shared" si="7"/>
        <v>0</v>
      </c>
      <c r="H191" s="49">
        <f t="array" ref="H191">IFERROR(
SUM(
IF(
'PORTIFÓLIO'!$C$4:$C$564=$A191,
N(INDEX('PORTIFÓLIO'!$J$4:$Q$564,,MATCH(H$2,'PORTIFÓLIO'!$J$3:$Q$3,0))) *
N('PORTIFÓLIO'!$S$4:$S$564),
0
)
),
0)</f>
        <v>0</v>
      </c>
      <c r="I191" s="47">
        <f t="shared" si="8"/>
        <v>0</v>
      </c>
      <c r="J191" s="49">
        <f t="array" ref="J191">IFERROR(
SUM(
IF(
'PORTIFÓLIO'!$C$4:$C$564=$A191,
N(INDEX('PORTIFÓLIO'!$J$4:$Q$564,,MATCH(J$2,'PORTIFÓLIO'!$J$3:$Q$3,0))) *
N('PORTIFÓLIO'!$S$4:$S$564),
0
)
),
0)</f>
        <v>0</v>
      </c>
      <c r="K191" s="47">
        <f t="shared" si="9"/>
        <v>0</v>
      </c>
      <c r="L191" s="49">
        <f t="array" ref="L191">IFERROR(
SUM(
IF(
'PORTIFÓLIO'!$C$4:$C$564=$A191,
N(INDEX('PORTIFÓLIO'!$J$4:$Q$564,,MATCH(L$2,'PORTIFÓLIO'!$J$3:$Q$3,0))) *
N('PORTIFÓLIO'!$S$4:$S$564),
0
)
),
0)</f>
        <v>0</v>
      </c>
      <c r="M191" s="47">
        <f t="shared" si="10"/>
        <v>0</v>
      </c>
      <c r="N191" s="49">
        <f t="array" ref="N191">IFERROR(
SUM(
IF(
'PORTIFÓLIO'!$C$4:$C$564=$A191,
N(INDEX('PORTIFÓLIO'!$J$4:$Q$564,,MATCH(N$2,'PORTIFÓLIO'!$J$3:$Q$3,0))) *
N('PORTIFÓLIO'!$S$4:$S$564),
0
)
),
0)</f>
        <v>0</v>
      </c>
      <c r="O191" s="49">
        <f t="shared" si="11"/>
        <v>0</v>
      </c>
      <c r="P191" s="49">
        <f t="array" ref="P191">IFERROR(
SUM(
IF(
'PORTIFÓLIO'!$C$4:$C$564=$A191,
N(INDEX('PORTIFÓLIO'!$J$4:$Q$564,,MATCH(P$2,'PORTIFÓLIO'!$J$3:$Q$3,0))) *
N('PORTIFÓLIO'!$S$4:$S$564),
0
)
),
0)</f>
        <v>0</v>
      </c>
      <c r="Q191" s="49">
        <f t="shared" si="12"/>
        <v>0</v>
      </c>
      <c r="R191" s="49">
        <f t="shared" si="2"/>
        <v>0</v>
      </c>
      <c r="S191" s="49">
        <f t="shared" si="13"/>
        <v>0</v>
      </c>
    </row>
    <row r="192" ht="15.75" hidden="1" customHeight="1" outlineLevel="1">
      <c r="A192" s="48" t="str">
        <f>IFERROR(__xludf.DUMMYFUNCTION("""COMPUTED_VALUE"""),"DIFLUBENZURON CCAB 480 SC")</f>
        <v>DIFLUBENZURON CCAB 480 SC</v>
      </c>
      <c r="B192" s="49">
        <f t="array" ref="B192">IFERROR(
SUM(
IF(
'PORTIFÓLIO'!$C$4:$C$564=$A192,
N(INDEX('PORTIFÓLIO'!$J$4:$Q$564,,MATCH(B$2,'PORTIFÓLIO'!$J$3:$Q$3,0))) *
N('PORTIFÓLIO'!$S$4:$S$564),
0
)
),
0)</f>
        <v>0</v>
      </c>
      <c r="C192" s="49">
        <f t="shared" si="5"/>
        <v>0</v>
      </c>
      <c r="D192" s="49">
        <f t="array" ref="D192">IFERROR(
SUM(
IF(
'PORTIFÓLIO'!$C$4:$C$564=$A192,
N(INDEX('PORTIFÓLIO'!$J$4:$Q$564,,MATCH(D$2,'PORTIFÓLIO'!$J$3:$Q$3,0))) *
N('PORTIFÓLIO'!$S$4:$S$564),
0
)
),
0)</f>
        <v>1756.7874</v>
      </c>
      <c r="E192" s="49">
        <f t="shared" si="6"/>
        <v>5.855958</v>
      </c>
      <c r="F192" s="49">
        <f t="array" ref="F192">IFERROR(
SUM(
IF(
'PORTIFÓLIO'!$C$4:$C$564=$A192,
N(INDEX('PORTIFÓLIO'!$J$4:$Q$564,,MATCH(F$2,'PORTIFÓLIO'!$J$3:$Q$3,0))) *
N('PORTIFÓLIO'!$S$4:$S$564),
0
)
),
0)</f>
        <v>1288.31076</v>
      </c>
      <c r="G192" s="47">
        <f t="shared" si="7"/>
        <v>5.855958</v>
      </c>
      <c r="H192" s="49">
        <f t="array" ref="H192">IFERROR(
SUM(
IF(
'PORTIFÓLIO'!$C$4:$C$564=$A192,
N(INDEX('PORTIFÓLIO'!$J$4:$Q$564,,MATCH(H$2,'PORTIFÓLIO'!$J$3:$Q$3,0))) *
N('PORTIFÓLIO'!$S$4:$S$564),
0
)
),
0)</f>
        <v>0</v>
      </c>
      <c r="I192" s="47">
        <f t="shared" si="8"/>
        <v>0</v>
      </c>
      <c r="J192" s="49">
        <f t="array" ref="J192">IFERROR(
SUM(
IF(
'PORTIFÓLIO'!$C$4:$C$564=$A192,
N(INDEX('PORTIFÓLIO'!$J$4:$Q$564,,MATCH(J$2,'PORTIFÓLIO'!$J$3:$Q$3,0))) *
N('PORTIFÓLIO'!$S$4:$S$564),
0
)
),
0)</f>
        <v>0</v>
      </c>
      <c r="K192" s="47">
        <f t="shared" si="9"/>
        <v>0</v>
      </c>
      <c r="L192" s="49">
        <f t="array" ref="L192">IFERROR(
SUM(
IF(
'PORTIFÓLIO'!$C$4:$C$564=$A192,
N(INDEX('PORTIFÓLIO'!$J$4:$Q$564,,MATCH(L$2,'PORTIFÓLIO'!$J$3:$Q$3,0))) *
N('PORTIFÓLIO'!$S$4:$S$564),
0
)
),
0)</f>
        <v>2576.62152</v>
      </c>
      <c r="M192" s="47">
        <f t="shared" si="10"/>
        <v>11.711916</v>
      </c>
      <c r="N192" s="49">
        <f t="array" ref="N192">IFERROR(
SUM(
IF(
'PORTIFÓLIO'!$C$4:$C$564=$A192,
N(INDEX('PORTIFÓLIO'!$J$4:$Q$564,,MATCH(N$2,'PORTIFÓLIO'!$J$3:$Q$3,0))) *
N('PORTIFÓLIO'!$S$4:$S$564),
0
)
),
0)</f>
        <v>7132.556844</v>
      </c>
      <c r="O192" s="49">
        <f t="shared" si="11"/>
        <v>5.855958</v>
      </c>
      <c r="P192" s="49">
        <f t="array" ref="P192">IFERROR(
SUM(
IF(
'PORTIFÓLIO'!$C$4:$C$564=$A192,
N(INDEX('PORTIFÓLIO'!$J$4:$Q$564,,MATCH(P$2,'PORTIFÓLIO'!$J$3:$Q$3,0))) *
N('PORTIFÓLIO'!$S$4:$S$564),
0
)
),
0)</f>
        <v>1873.90656</v>
      </c>
      <c r="Q192" s="49">
        <f t="shared" si="12"/>
        <v>5.855958</v>
      </c>
      <c r="R192" s="49">
        <f t="shared" si="2"/>
        <v>13339.87232</v>
      </c>
      <c r="S192" s="49">
        <f t="shared" si="13"/>
        <v>3.989196269</v>
      </c>
    </row>
    <row r="193" ht="15.75" hidden="1" customHeight="1" outlineLevel="1">
      <c r="A193" s="48" t="str">
        <f>IFERROR(__xludf.DUMMYFUNCTION("""COMPUTED_VALUE"""),"FIPRONIL 800 WG CCAB")</f>
        <v>FIPRONIL 800 WG CCAB</v>
      </c>
      <c r="B193" s="49">
        <f t="array" ref="B193">IFERROR(
SUM(
IF(
'PORTIFÓLIO'!$C$4:$C$564=$A193,
N(INDEX('PORTIFÓLIO'!$J$4:$Q$564,,MATCH(B$2,'PORTIFÓLIO'!$J$3:$Q$3,0))) *
N('PORTIFÓLIO'!$S$4:$S$564),
0
)
),
0)</f>
        <v>4606.011558</v>
      </c>
      <c r="C193" s="49">
        <f t="shared" si="5"/>
        <v>9.400023588</v>
      </c>
      <c r="D193" s="49">
        <f t="array" ref="D193">IFERROR(
SUM(
IF(
'PORTIFÓLIO'!$C$4:$C$564=$A193,
N(INDEX('PORTIFÓLIO'!$J$4:$Q$564,,MATCH(D$2,'PORTIFÓLIO'!$J$3:$Q$3,0))) *
N('PORTIFÓLIO'!$S$4:$S$564),
0
)
),
0)</f>
        <v>2971.62036</v>
      </c>
      <c r="E193" s="49">
        <f t="shared" si="6"/>
        <v>9.9054012</v>
      </c>
      <c r="F193" s="49">
        <f t="array" ref="F193">IFERROR(
SUM(
IF(
'PORTIFÓLIO'!$C$4:$C$564=$A193,
N(INDEX('PORTIFÓLIO'!$J$4:$Q$564,,MATCH(F$2,'PORTIFÓLIO'!$J$3:$Q$3,0))) *
N('PORTIFÓLIO'!$S$4:$S$564),
0
)
),
0)</f>
        <v>0</v>
      </c>
      <c r="G193" s="47">
        <f t="shared" si="7"/>
        <v>0</v>
      </c>
      <c r="H193" s="49">
        <f t="array" ref="H193">IFERROR(
SUM(
IF(
'PORTIFÓLIO'!$C$4:$C$564=$A193,
N(INDEX('PORTIFÓLIO'!$J$4:$Q$564,,MATCH(H$2,'PORTIFÓLIO'!$J$3:$Q$3,0))) *
N('PORTIFÓLIO'!$S$4:$S$564),
0
)
),
0)</f>
        <v>0</v>
      </c>
      <c r="I193" s="47">
        <f t="shared" si="8"/>
        <v>0</v>
      </c>
      <c r="J193" s="49">
        <f t="array" ref="J193">IFERROR(
SUM(
IF(
'PORTIFÓLIO'!$C$4:$C$564=$A193,
N(INDEX('PORTIFÓLIO'!$J$4:$Q$564,,MATCH(J$2,'PORTIFÓLIO'!$J$3:$Q$3,0))) *
N('PORTIFÓLIO'!$S$4:$S$564),
0
)
),
0)</f>
        <v>0</v>
      </c>
      <c r="K193" s="47">
        <f t="shared" si="9"/>
        <v>0</v>
      </c>
      <c r="L193" s="49">
        <f t="array" ref="L193">IFERROR(
SUM(
IF(
'PORTIFÓLIO'!$C$4:$C$564=$A193,
N(INDEX('PORTIFÓLIO'!$J$4:$Q$564,,MATCH(L$2,'PORTIFÓLIO'!$J$3:$Q$3,0))) *
N('PORTIFÓLIO'!$S$4:$S$564),
0
)
),
0)</f>
        <v>0</v>
      </c>
      <c r="M193" s="47">
        <f t="shared" si="10"/>
        <v>0</v>
      </c>
      <c r="N193" s="49">
        <f t="array" ref="N193">IFERROR(
SUM(
IF(
'PORTIFÓLIO'!$C$4:$C$564=$A193,
N(INDEX('PORTIFÓLIO'!$J$4:$Q$564,,MATCH(N$2,'PORTIFÓLIO'!$J$3:$Q$3,0))) *
N('PORTIFÓLIO'!$S$4:$S$564),
0
)
),
0)</f>
        <v>12064.77866</v>
      </c>
      <c r="O193" s="49">
        <f t="shared" si="11"/>
        <v>9.9054012</v>
      </c>
      <c r="P193" s="49">
        <f t="array" ref="P193">IFERROR(
SUM(
IF(
'PORTIFÓLIO'!$C$4:$C$564=$A193,
N(INDEX('PORTIFÓLIO'!$J$4:$Q$564,,MATCH(P$2,'PORTIFÓLIO'!$J$3:$Q$3,0))) *
N('PORTIFÓLIO'!$S$4:$S$564),
0
)
),
0)</f>
        <v>1188.648144</v>
      </c>
      <c r="Q193" s="49">
        <f t="shared" si="12"/>
        <v>3.71452545</v>
      </c>
      <c r="R193" s="49">
        <f t="shared" si="2"/>
        <v>20831.05872</v>
      </c>
      <c r="S193" s="49">
        <f t="shared" si="13"/>
        <v>6.22938359</v>
      </c>
    </row>
    <row r="194" ht="15.75" hidden="1" customHeight="1" outlineLevel="1">
      <c r="A194" s="48" t="str">
        <f>IFERROR(__xludf.DUMMYFUNCTION("""COMPUTED_VALUE"""),"INDOXACARB CCAB 150 SC")</f>
        <v>INDOXACARB CCAB 150 SC</v>
      </c>
      <c r="B194" s="49">
        <f t="array" ref="B194">IFERROR(
SUM(
IF(
'PORTIFÓLIO'!$C$4:$C$564=$A194,
N(INDEX('PORTIFÓLIO'!$J$4:$Q$564,,MATCH(B$2,'PORTIFÓLIO'!$J$3:$Q$3,0))) *
N('PORTIFÓLIO'!$S$4:$S$564),
0
)
),
0)</f>
        <v>0</v>
      </c>
      <c r="C194" s="49">
        <f t="shared" si="5"/>
        <v>0</v>
      </c>
      <c r="D194" s="49">
        <f t="array" ref="D194">IFERROR(
SUM(
IF(
'PORTIFÓLIO'!$C$4:$C$564=$A194,
N(INDEX('PORTIFÓLIO'!$J$4:$Q$564,,MATCH(D$2,'PORTIFÓLIO'!$J$3:$Q$3,0))) *
N('PORTIFÓLIO'!$S$4:$S$564),
0
)
),
0)</f>
        <v>0</v>
      </c>
      <c r="E194" s="49">
        <f t="shared" si="6"/>
        <v>0</v>
      </c>
      <c r="F194" s="49">
        <f t="array" ref="F194">IFERROR(
SUM(
IF(
'PORTIFÓLIO'!$C$4:$C$564=$A194,
N(INDEX('PORTIFÓLIO'!$J$4:$Q$564,,MATCH(F$2,'PORTIFÓLIO'!$J$3:$Q$3,0))) *
N('PORTIFÓLIO'!$S$4:$S$564),
0
)
),
0)</f>
        <v>0</v>
      </c>
      <c r="G194" s="47">
        <f t="shared" si="7"/>
        <v>0</v>
      </c>
      <c r="H194" s="49">
        <f t="array" ref="H194">IFERROR(
SUM(
IF(
'PORTIFÓLIO'!$C$4:$C$564=$A194,
N(INDEX('PORTIFÓLIO'!$J$4:$Q$564,,MATCH(H$2,'PORTIFÓLIO'!$J$3:$Q$3,0))) *
N('PORTIFÓLIO'!$S$4:$S$564),
0
)
),
0)</f>
        <v>0</v>
      </c>
      <c r="I194" s="47">
        <f t="shared" si="8"/>
        <v>0</v>
      </c>
      <c r="J194" s="49">
        <f t="array" ref="J194">IFERROR(
SUM(
IF(
'PORTIFÓLIO'!$C$4:$C$564=$A194,
N(INDEX('PORTIFÓLIO'!$J$4:$Q$564,,MATCH(J$2,'PORTIFÓLIO'!$J$3:$Q$3,0))) *
N('PORTIFÓLIO'!$S$4:$S$564),
0
)
),
0)</f>
        <v>0</v>
      </c>
      <c r="K194" s="47">
        <f t="shared" si="9"/>
        <v>0</v>
      </c>
      <c r="L194" s="49">
        <f t="array" ref="L194">IFERROR(
SUM(
IF(
'PORTIFÓLIO'!$C$4:$C$564=$A194,
N(INDEX('PORTIFÓLIO'!$J$4:$Q$564,,MATCH(L$2,'PORTIFÓLIO'!$J$3:$Q$3,0))) *
N('PORTIFÓLIO'!$S$4:$S$564),
0
)
),
0)</f>
        <v>0</v>
      </c>
      <c r="M194" s="47">
        <f t="shared" si="10"/>
        <v>0</v>
      </c>
      <c r="N194" s="49">
        <f t="array" ref="N194">IFERROR(
SUM(
IF(
'PORTIFÓLIO'!$C$4:$C$564=$A194,
N(INDEX('PORTIFÓLIO'!$J$4:$Q$564,,MATCH(N$2,'PORTIFÓLIO'!$J$3:$Q$3,0))) *
N('PORTIFÓLIO'!$S$4:$S$564),
0
)
),
0)</f>
        <v>0</v>
      </c>
      <c r="O194" s="49">
        <f t="shared" si="11"/>
        <v>0</v>
      </c>
      <c r="P194" s="49">
        <f t="array" ref="P194">IFERROR(
SUM(
IF(
'PORTIFÓLIO'!$C$4:$C$564=$A194,
N(INDEX('PORTIFÓLIO'!$J$4:$Q$564,,MATCH(P$2,'PORTIFÓLIO'!$J$3:$Q$3,0))) *
N('PORTIFÓLIO'!$S$4:$S$564),
0
)
),
0)</f>
        <v>0</v>
      </c>
      <c r="Q194" s="49">
        <f t="shared" si="12"/>
        <v>0</v>
      </c>
      <c r="R194" s="49">
        <f t="shared" si="2"/>
        <v>0</v>
      </c>
      <c r="S194" s="49">
        <f t="shared" si="13"/>
        <v>0</v>
      </c>
    </row>
    <row r="195" ht="15.75" hidden="1" customHeight="1" outlineLevel="1">
      <c r="A195" s="48" t="str">
        <f>IFERROR(__xludf.DUMMYFUNCTION("""COMPUTED_VALUE"""),"EXALT")</f>
        <v>EXALT</v>
      </c>
      <c r="B195" s="49">
        <f t="array" ref="B195">IFERROR(
SUM(
IF(
'PORTIFÓLIO'!$C$4:$C$564=$A195,
N(INDEX('PORTIFÓLIO'!$J$4:$Q$564,,MATCH(B$2,'PORTIFÓLIO'!$J$3:$Q$3,0))) *
N('PORTIFÓLIO'!$S$4:$S$564),
0
)
),
0)</f>
        <v>0</v>
      </c>
      <c r="C195" s="49">
        <f t="shared" si="5"/>
        <v>0</v>
      </c>
      <c r="D195" s="49">
        <f t="array" ref="D195">IFERROR(
SUM(
IF(
'PORTIFÓLIO'!$C$4:$C$564=$A195,
N(INDEX('PORTIFÓLIO'!$J$4:$Q$564,,MATCH(D$2,'PORTIFÓLIO'!$J$3:$Q$3,0))) *
N('PORTIFÓLIO'!$S$4:$S$564),
0
)
),
0)</f>
        <v>0</v>
      </c>
      <c r="E195" s="49">
        <f t="shared" si="6"/>
        <v>0</v>
      </c>
      <c r="F195" s="49">
        <f t="array" ref="F195">IFERROR(
SUM(
IF(
'PORTIFÓLIO'!$C$4:$C$564=$A195,
N(INDEX('PORTIFÓLIO'!$J$4:$Q$564,,MATCH(F$2,'PORTIFÓLIO'!$J$3:$Q$3,0))) *
N('PORTIFÓLIO'!$S$4:$S$564),
0
)
),
0)</f>
        <v>0</v>
      </c>
      <c r="G195" s="47">
        <f t="shared" si="7"/>
        <v>0</v>
      </c>
      <c r="H195" s="49">
        <f t="array" ref="H195">IFERROR(
SUM(
IF(
'PORTIFÓLIO'!$C$4:$C$564=$A195,
N(INDEX('PORTIFÓLIO'!$J$4:$Q$564,,MATCH(H$2,'PORTIFÓLIO'!$J$3:$Q$3,0))) *
N('PORTIFÓLIO'!$S$4:$S$564),
0
)
),
0)</f>
        <v>0</v>
      </c>
      <c r="I195" s="47">
        <f t="shared" si="8"/>
        <v>0</v>
      </c>
      <c r="J195" s="49">
        <f t="array" ref="J195">IFERROR(
SUM(
IF(
'PORTIFÓLIO'!$C$4:$C$564=$A195,
N(INDEX('PORTIFÓLIO'!$J$4:$Q$564,,MATCH(J$2,'PORTIFÓLIO'!$J$3:$Q$3,0))) *
N('PORTIFÓLIO'!$S$4:$S$564),
0
)
),
0)</f>
        <v>0</v>
      </c>
      <c r="K195" s="47">
        <f t="shared" si="9"/>
        <v>0</v>
      </c>
      <c r="L195" s="49">
        <f t="array" ref="L195">IFERROR(
SUM(
IF(
'PORTIFÓLIO'!$C$4:$C$564=$A195,
N(INDEX('PORTIFÓLIO'!$J$4:$Q$564,,MATCH(L$2,'PORTIFÓLIO'!$J$3:$Q$3,0))) *
N('PORTIFÓLIO'!$S$4:$S$564),
0
)
),
0)</f>
        <v>16833.76398</v>
      </c>
      <c r="M195" s="47">
        <f t="shared" si="10"/>
        <v>76.517109</v>
      </c>
      <c r="N195" s="49">
        <f t="array" ref="N195">IFERROR(
SUM(
IF(
'PORTIFÓLIO'!$C$4:$C$564=$A195,
N(INDEX('PORTIFÓLIO'!$J$4:$Q$564,,MATCH(N$2,'PORTIFÓLIO'!$J$3:$Q$3,0))) *
N('PORTIFÓLIO'!$S$4:$S$564),
0
)
),
0)</f>
        <v>0</v>
      </c>
      <c r="O195" s="49">
        <f t="shared" si="11"/>
        <v>0</v>
      </c>
      <c r="P195" s="49">
        <f t="array" ref="P195">IFERROR(
SUM(
IF(
'PORTIFÓLIO'!$C$4:$C$564=$A195,
N(INDEX('PORTIFÓLIO'!$J$4:$Q$564,,MATCH(P$2,'PORTIFÓLIO'!$J$3:$Q$3,0))) *
N('PORTIFÓLIO'!$S$4:$S$564),
0
)
),
0)</f>
        <v>0</v>
      </c>
      <c r="Q195" s="49">
        <f t="shared" si="12"/>
        <v>0</v>
      </c>
      <c r="R195" s="49">
        <f t="shared" si="2"/>
        <v>16833.76398</v>
      </c>
      <c r="S195" s="49">
        <f t="shared" si="13"/>
        <v>5.034020329</v>
      </c>
    </row>
    <row r="196" ht="15.75" hidden="1" customHeight="1" outlineLevel="1">
      <c r="A196" s="48" t="str">
        <f>IFERROR(__xludf.DUMMYFUNCTION("""COMPUTED_VALUE"""),"EXPEDITION")</f>
        <v>EXPEDITION</v>
      </c>
      <c r="B196" s="49">
        <f t="array" ref="B196">IFERROR(
SUM(
IF(
'PORTIFÓLIO'!$C$4:$C$564=$A196,
N(INDEX('PORTIFÓLIO'!$J$4:$Q$564,,MATCH(B$2,'PORTIFÓLIO'!$J$3:$Q$3,0))) *
N('PORTIFÓLIO'!$S$4:$S$564),
0
)
),
0)</f>
        <v>0</v>
      </c>
      <c r="C196" s="49">
        <f t="shared" si="5"/>
        <v>0</v>
      </c>
      <c r="D196" s="49">
        <f t="array" ref="D196">IFERROR(
SUM(
IF(
'PORTIFÓLIO'!$C$4:$C$564=$A196,
N(INDEX('PORTIFÓLIO'!$J$4:$Q$564,,MATCH(D$2,'PORTIFÓLIO'!$J$3:$Q$3,0))) *
N('PORTIFÓLIO'!$S$4:$S$564),
0
)
),
0)</f>
        <v>0</v>
      </c>
      <c r="E196" s="49">
        <f t="shared" si="6"/>
        <v>0</v>
      </c>
      <c r="F196" s="49">
        <f t="array" ref="F196">IFERROR(
SUM(
IF(
'PORTIFÓLIO'!$C$4:$C$564=$A196,
N(INDEX('PORTIFÓLIO'!$J$4:$Q$564,,MATCH(F$2,'PORTIFÓLIO'!$J$3:$Q$3,0))) *
N('PORTIFÓLIO'!$S$4:$S$564),
0
)
),
0)</f>
        <v>0</v>
      </c>
      <c r="G196" s="47">
        <f t="shared" si="7"/>
        <v>0</v>
      </c>
      <c r="H196" s="49">
        <f t="array" ref="H196">IFERROR(
SUM(
IF(
'PORTIFÓLIO'!$C$4:$C$564=$A196,
N(INDEX('PORTIFÓLIO'!$J$4:$Q$564,,MATCH(H$2,'PORTIFÓLIO'!$J$3:$Q$3,0))) *
N('PORTIFÓLIO'!$S$4:$S$564),
0
)
),
0)</f>
        <v>0</v>
      </c>
      <c r="I196" s="47">
        <f t="shared" si="8"/>
        <v>0</v>
      </c>
      <c r="J196" s="49">
        <f t="array" ref="J196">IFERROR(
SUM(
IF(
'PORTIFÓLIO'!$C$4:$C$564=$A196,
N(INDEX('PORTIFÓLIO'!$J$4:$Q$564,,MATCH(J$2,'PORTIFÓLIO'!$J$3:$Q$3,0))) *
N('PORTIFÓLIO'!$S$4:$S$564),
0
)
),
0)</f>
        <v>0</v>
      </c>
      <c r="K196" s="47">
        <f t="shared" si="9"/>
        <v>0</v>
      </c>
      <c r="L196" s="49">
        <f t="array" ref="L196">IFERROR(
SUM(
IF(
'PORTIFÓLIO'!$C$4:$C$564=$A196,
N(INDEX('PORTIFÓLIO'!$J$4:$Q$564,,MATCH(L$2,'PORTIFÓLIO'!$J$3:$Q$3,0))) *
N('PORTIFÓLIO'!$S$4:$S$564),
0
)
),
0)</f>
        <v>0</v>
      </c>
      <c r="M196" s="47">
        <f t="shared" si="10"/>
        <v>0</v>
      </c>
      <c r="N196" s="49">
        <f t="array" ref="N196">IFERROR(
SUM(
IF(
'PORTIFÓLIO'!$C$4:$C$564=$A196,
N(INDEX('PORTIFÓLIO'!$J$4:$Q$564,,MATCH(N$2,'PORTIFÓLIO'!$J$3:$Q$3,0))) *
N('PORTIFÓLIO'!$S$4:$S$564),
0
)
),
0)</f>
        <v>0</v>
      </c>
      <c r="O196" s="49">
        <f t="shared" si="11"/>
        <v>0</v>
      </c>
      <c r="P196" s="49">
        <f t="array" ref="P196">IFERROR(
SUM(
IF(
'PORTIFÓLIO'!$C$4:$C$564=$A196,
N(INDEX('PORTIFÓLIO'!$J$4:$Q$564,,MATCH(P$2,'PORTIFÓLIO'!$J$3:$Q$3,0))) *
N('PORTIFÓLIO'!$S$4:$S$564),
0
)
),
0)</f>
        <v>0</v>
      </c>
      <c r="Q196" s="49">
        <f t="shared" si="12"/>
        <v>0</v>
      </c>
      <c r="R196" s="49">
        <f t="shared" si="2"/>
        <v>0</v>
      </c>
      <c r="S196" s="49">
        <f t="shared" si="13"/>
        <v>0</v>
      </c>
    </row>
    <row r="197" ht="15.75" hidden="1" customHeight="1" outlineLevel="1">
      <c r="A197" s="48" t="str">
        <f>IFERROR(__xludf.DUMMYFUNCTION("""COMPUTED_VALUE"""),"INTREPID 240 SC")</f>
        <v>INTREPID 240 SC</v>
      </c>
      <c r="B197" s="49">
        <f t="array" ref="B197">IFERROR(
SUM(
IF(
'PORTIFÓLIO'!$C$4:$C$564=$A197,
N(INDEX('PORTIFÓLIO'!$J$4:$Q$564,,MATCH(B$2,'PORTIFÓLIO'!$J$3:$Q$3,0))) *
N('PORTIFÓLIO'!$S$4:$S$564),
0
)
),
0)</f>
        <v>8077.28838</v>
      </c>
      <c r="C197" s="49">
        <f t="shared" si="5"/>
        <v>16.484262</v>
      </c>
      <c r="D197" s="49">
        <f t="array" ref="D197">IFERROR(
SUM(
IF(
'PORTIFÓLIO'!$C$4:$C$564=$A197,
N(INDEX('PORTIFÓLIO'!$J$4:$Q$564,,MATCH(D$2,'PORTIFÓLIO'!$J$3:$Q$3,0))) *
N('PORTIFÓLIO'!$S$4:$S$564),
0
)
),
0)</f>
        <v>0</v>
      </c>
      <c r="E197" s="49">
        <f t="shared" si="6"/>
        <v>0</v>
      </c>
      <c r="F197" s="49">
        <f t="array" ref="F197">IFERROR(
SUM(
IF(
'PORTIFÓLIO'!$C$4:$C$564=$A197,
N(INDEX('PORTIFÓLIO'!$J$4:$Q$564,,MATCH(F$2,'PORTIFÓLIO'!$J$3:$Q$3,0))) *
N('PORTIFÓLIO'!$S$4:$S$564),
0
)
),
0)</f>
        <v>0</v>
      </c>
      <c r="G197" s="47">
        <f t="shared" si="7"/>
        <v>0</v>
      </c>
      <c r="H197" s="49">
        <f t="array" ref="H197">IFERROR(
SUM(
IF(
'PORTIFÓLIO'!$C$4:$C$564=$A197,
N(INDEX('PORTIFÓLIO'!$J$4:$Q$564,,MATCH(H$2,'PORTIFÓLIO'!$J$3:$Q$3,0))) *
N('PORTIFÓLIO'!$S$4:$S$564),
0
)
),
0)</f>
        <v>0</v>
      </c>
      <c r="I197" s="47">
        <f t="shared" si="8"/>
        <v>0</v>
      </c>
      <c r="J197" s="49">
        <f t="array" ref="J197">IFERROR(
SUM(
IF(
'PORTIFÓLIO'!$C$4:$C$564=$A197,
N(INDEX('PORTIFÓLIO'!$J$4:$Q$564,,MATCH(J$2,'PORTIFÓLIO'!$J$3:$Q$3,0))) *
N('PORTIFÓLIO'!$S$4:$S$564),
0
)
),
0)</f>
        <v>0</v>
      </c>
      <c r="K197" s="47">
        <f t="shared" si="9"/>
        <v>0</v>
      </c>
      <c r="L197" s="49">
        <f t="array" ref="L197">IFERROR(
SUM(
IF(
'PORTIFÓLIO'!$C$4:$C$564=$A197,
N(INDEX('PORTIFÓLIO'!$J$4:$Q$564,,MATCH(L$2,'PORTIFÓLIO'!$J$3:$Q$3,0))) *
N('PORTIFÓLIO'!$S$4:$S$564),
0
)
),
0)</f>
        <v>0</v>
      </c>
      <c r="M197" s="47">
        <f t="shared" si="10"/>
        <v>0</v>
      </c>
      <c r="N197" s="49">
        <f t="array" ref="N197">IFERROR(
SUM(
IF(
'PORTIFÓLIO'!$C$4:$C$564=$A197,
N(INDEX('PORTIFÓLIO'!$J$4:$Q$564,,MATCH(N$2,'PORTIFÓLIO'!$J$3:$Q$3,0))) *
N('PORTIFÓLIO'!$S$4:$S$564),
0
)
),
0)</f>
        <v>0</v>
      </c>
      <c r="O197" s="49">
        <f t="shared" si="11"/>
        <v>0</v>
      </c>
      <c r="P197" s="49">
        <f t="array" ref="P197">IFERROR(
SUM(
IF(
'PORTIFÓLIO'!$C$4:$C$564=$A197,
N(INDEX('PORTIFÓLIO'!$J$4:$Q$564,,MATCH(P$2,'PORTIFÓLIO'!$J$3:$Q$3,0))) *
N('PORTIFÓLIO'!$S$4:$S$564),
0
)
),
0)</f>
        <v>0</v>
      </c>
      <c r="Q197" s="49">
        <f t="shared" si="12"/>
        <v>0</v>
      </c>
      <c r="R197" s="49">
        <f t="shared" si="2"/>
        <v>8077.28838</v>
      </c>
      <c r="S197" s="49">
        <f t="shared" si="13"/>
        <v>2.415457051</v>
      </c>
    </row>
    <row r="198" ht="15.75" hidden="1" customHeight="1" outlineLevel="1">
      <c r="A198" s="48" t="str">
        <f>IFERROR(__xludf.DUMMYFUNCTION("""COMPUTED_VALUE"""),"INTREPID EDGE")</f>
        <v>INTREPID EDGE</v>
      </c>
      <c r="B198" s="49">
        <f t="array" ref="B198">IFERROR(
SUM(
IF(
'PORTIFÓLIO'!$C$4:$C$564=$A198,
N(INDEX('PORTIFÓLIO'!$J$4:$Q$564,,MATCH(B$2,'PORTIFÓLIO'!$J$3:$Q$3,0))) *
N('PORTIFÓLIO'!$S$4:$S$564),
0
)
),
0)</f>
        <v>0</v>
      </c>
      <c r="C198" s="49">
        <f t="shared" si="5"/>
        <v>0</v>
      </c>
      <c r="D198" s="49">
        <f t="array" ref="D198">IFERROR(
SUM(
IF(
'PORTIFÓLIO'!$C$4:$C$564=$A198,
N(INDEX('PORTIFÓLIO'!$J$4:$Q$564,,MATCH(D$2,'PORTIFÓLIO'!$J$3:$Q$3,0))) *
N('PORTIFÓLIO'!$S$4:$S$564),
0
)
),
0)</f>
        <v>0</v>
      </c>
      <c r="E198" s="49">
        <f t="shared" si="6"/>
        <v>0</v>
      </c>
      <c r="F198" s="49">
        <f t="array" ref="F198">IFERROR(
SUM(
IF(
'PORTIFÓLIO'!$C$4:$C$564=$A198,
N(INDEX('PORTIFÓLIO'!$J$4:$Q$564,,MATCH(F$2,'PORTIFÓLIO'!$J$3:$Q$3,0))) *
N('PORTIFÓLIO'!$S$4:$S$564),
0
)
),
0)</f>
        <v>0</v>
      </c>
      <c r="G198" s="47">
        <f t="shared" si="7"/>
        <v>0</v>
      </c>
      <c r="H198" s="49">
        <f t="array" ref="H198">IFERROR(
SUM(
IF(
'PORTIFÓLIO'!$C$4:$C$564=$A198,
N(INDEX('PORTIFÓLIO'!$J$4:$Q$564,,MATCH(H$2,'PORTIFÓLIO'!$J$3:$Q$3,0))) *
N('PORTIFÓLIO'!$S$4:$S$564),
0
)
),
0)</f>
        <v>0</v>
      </c>
      <c r="I198" s="47">
        <f t="shared" si="8"/>
        <v>0</v>
      </c>
      <c r="J198" s="49">
        <f t="array" ref="J198">IFERROR(
SUM(
IF(
'PORTIFÓLIO'!$C$4:$C$564=$A198,
N(INDEX('PORTIFÓLIO'!$J$4:$Q$564,,MATCH(J$2,'PORTIFÓLIO'!$J$3:$Q$3,0))) *
N('PORTIFÓLIO'!$S$4:$S$564),
0
)
),
0)</f>
        <v>0</v>
      </c>
      <c r="K198" s="47">
        <f t="shared" si="9"/>
        <v>0</v>
      </c>
      <c r="L198" s="49">
        <f t="array" ref="L198">IFERROR(
SUM(
IF(
'PORTIFÓLIO'!$C$4:$C$564=$A198,
N(INDEX('PORTIFÓLIO'!$J$4:$Q$564,,MATCH(L$2,'PORTIFÓLIO'!$J$3:$Q$3,0))) *
N('PORTIFÓLIO'!$S$4:$S$564),
0
)
),
0)</f>
        <v>0</v>
      </c>
      <c r="M198" s="47">
        <f t="shared" si="10"/>
        <v>0</v>
      </c>
      <c r="N198" s="49">
        <f t="array" ref="N198">IFERROR(
SUM(
IF(
'PORTIFÓLIO'!$C$4:$C$564=$A198,
N(INDEX('PORTIFÓLIO'!$J$4:$Q$564,,MATCH(N$2,'PORTIFÓLIO'!$J$3:$Q$3,0))) *
N('PORTIFÓLIO'!$S$4:$S$564),
0
)
),
0)</f>
        <v>0</v>
      </c>
      <c r="O198" s="49">
        <f t="shared" si="11"/>
        <v>0</v>
      </c>
      <c r="P198" s="49">
        <f t="array" ref="P198">IFERROR(
SUM(
IF(
'PORTIFÓLIO'!$C$4:$C$564=$A198,
N(INDEX('PORTIFÓLIO'!$J$4:$Q$564,,MATCH(P$2,'PORTIFÓLIO'!$J$3:$Q$3,0))) *
N('PORTIFÓLIO'!$S$4:$S$564),
0
)
),
0)</f>
        <v>0</v>
      </c>
      <c r="Q198" s="49">
        <f t="shared" si="12"/>
        <v>0</v>
      </c>
      <c r="R198" s="49">
        <f t="shared" si="2"/>
        <v>0</v>
      </c>
      <c r="S198" s="49">
        <f t="shared" si="13"/>
        <v>0</v>
      </c>
    </row>
    <row r="199" ht="15.75" hidden="1" customHeight="1" outlineLevel="1">
      <c r="A199" s="48" t="str">
        <f>IFERROR(__xludf.DUMMYFUNCTION("""COMPUTED_VALUE"""),"LANNATE BR")</f>
        <v>LANNATE BR</v>
      </c>
      <c r="B199" s="49">
        <f t="array" ref="B199">IFERROR(
SUM(
IF(
'PORTIFÓLIO'!$C$4:$C$564=$A199,
N(INDEX('PORTIFÓLIO'!$J$4:$Q$564,,MATCH(B$2,'PORTIFÓLIO'!$J$3:$Q$3,0))) *
N('PORTIFÓLIO'!$S$4:$S$564),
0
)
),
0)</f>
        <v>0</v>
      </c>
      <c r="C199" s="49">
        <f t="shared" si="5"/>
        <v>0</v>
      </c>
      <c r="D199" s="49">
        <f t="array" ref="D199">IFERROR(
SUM(
IF(
'PORTIFÓLIO'!$C$4:$C$564=$A199,
N(INDEX('PORTIFÓLIO'!$J$4:$Q$564,,MATCH(D$2,'PORTIFÓLIO'!$J$3:$Q$3,0))) *
N('PORTIFÓLIO'!$S$4:$S$564),
0
)
),
0)</f>
        <v>0</v>
      </c>
      <c r="E199" s="49">
        <f t="shared" si="6"/>
        <v>0</v>
      </c>
      <c r="F199" s="49">
        <f t="array" ref="F199">IFERROR(
SUM(
IF(
'PORTIFÓLIO'!$C$4:$C$564=$A199,
N(INDEX('PORTIFÓLIO'!$J$4:$Q$564,,MATCH(F$2,'PORTIFÓLIO'!$J$3:$Q$3,0))) *
N('PORTIFÓLIO'!$S$4:$S$564),
0
)
),
0)</f>
        <v>0</v>
      </c>
      <c r="G199" s="47">
        <f t="shared" si="7"/>
        <v>0</v>
      </c>
      <c r="H199" s="49">
        <f t="array" ref="H199">IFERROR(
SUM(
IF(
'PORTIFÓLIO'!$C$4:$C$564=$A199,
N(INDEX('PORTIFÓLIO'!$J$4:$Q$564,,MATCH(H$2,'PORTIFÓLIO'!$J$3:$Q$3,0))) *
N('PORTIFÓLIO'!$S$4:$S$564),
0
)
),
0)</f>
        <v>0</v>
      </c>
      <c r="I199" s="47">
        <f t="shared" si="8"/>
        <v>0</v>
      </c>
      <c r="J199" s="49">
        <f t="array" ref="J199">IFERROR(
SUM(
IF(
'PORTIFÓLIO'!$C$4:$C$564=$A199,
N(INDEX('PORTIFÓLIO'!$J$4:$Q$564,,MATCH(J$2,'PORTIFÓLIO'!$J$3:$Q$3,0))) *
N('PORTIFÓLIO'!$S$4:$S$564),
0
)
),
0)</f>
        <v>0</v>
      </c>
      <c r="K199" s="47">
        <f t="shared" si="9"/>
        <v>0</v>
      </c>
      <c r="L199" s="49">
        <f t="array" ref="L199">IFERROR(
SUM(
IF(
'PORTIFÓLIO'!$C$4:$C$564=$A199,
N(INDEX('PORTIFÓLIO'!$J$4:$Q$564,,MATCH(L$2,'PORTIFÓLIO'!$J$3:$Q$3,0))) *
N('PORTIFÓLIO'!$S$4:$S$564),
0
)
),
0)</f>
        <v>0</v>
      </c>
      <c r="M199" s="47">
        <f t="shared" si="10"/>
        <v>0</v>
      </c>
      <c r="N199" s="49">
        <f t="array" ref="N199">IFERROR(
SUM(
IF(
'PORTIFÓLIO'!$C$4:$C$564=$A199,
N(INDEX('PORTIFÓLIO'!$J$4:$Q$564,,MATCH(N$2,'PORTIFÓLIO'!$J$3:$Q$3,0))) *
N('PORTIFÓLIO'!$S$4:$S$564),
0
)
),
0)</f>
        <v>0</v>
      </c>
      <c r="O199" s="49">
        <f t="shared" si="11"/>
        <v>0</v>
      </c>
      <c r="P199" s="49">
        <f t="array" ref="P199">IFERROR(
SUM(
IF(
'PORTIFÓLIO'!$C$4:$C$564=$A199,
N(INDEX('PORTIFÓLIO'!$J$4:$Q$564,,MATCH(P$2,'PORTIFÓLIO'!$J$3:$Q$3,0))) *
N('PORTIFÓLIO'!$S$4:$S$564),
0
)
),
0)</f>
        <v>0</v>
      </c>
      <c r="Q199" s="49">
        <f t="shared" si="12"/>
        <v>0</v>
      </c>
      <c r="R199" s="49">
        <f t="shared" si="2"/>
        <v>0</v>
      </c>
      <c r="S199" s="49">
        <f t="shared" si="13"/>
        <v>0</v>
      </c>
    </row>
    <row r="200" ht="15.75" hidden="1" customHeight="1" outlineLevel="1">
      <c r="A200" s="48" t="str">
        <f>IFERROR(__xludf.DUMMYFUNCTION("""COMPUTED_VALUE"""),"ACETAMIPRID 250 G/KG + BIFENTHRIN
 250G/KG WG")</f>
        <v>ACETAMIPRID 250 G/KG + BIFENTHRIN
 250G/KG WG</v>
      </c>
      <c r="B200" s="49">
        <f t="array" ref="B200">IFERROR(
SUM(
IF(
'PORTIFÓLIO'!$C$4:$C$564=$A200,
N(INDEX('PORTIFÓLIO'!$J$4:$Q$564,,MATCH(B$2,'PORTIFÓLIO'!$J$3:$Q$3,0))) *
N('PORTIFÓLIO'!$S$4:$S$564),
0
)
),
0)</f>
        <v>0</v>
      </c>
      <c r="C200" s="49">
        <f t="shared" si="5"/>
        <v>0</v>
      </c>
      <c r="D200" s="49">
        <f t="array" ref="D200">IFERROR(
SUM(
IF(
'PORTIFÓLIO'!$C$4:$C$564=$A200,
N(INDEX('PORTIFÓLIO'!$J$4:$Q$564,,MATCH(D$2,'PORTIFÓLIO'!$J$3:$Q$3,0))) *
N('PORTIFÓLIO'!$S$4:$S$564),
0
)
),
0)</f>
        <v>0</v>
      </c>
      <c r="E200" s="49">
        <f t="shared" si="6"/>
        <v>0</v>
      </c>
      <c r="F200" s="49">
        <f t="array" ref="F200">IFERROR(
SUM(
IF(
'PORTIFÓLIO'!$C$4:$C$564=$A200,
N(INDEX('PORTIFÓLIO'!$J$4:$Q$564,,MATCH(F$2,'PORTIFÓLIO'!$J$3:$Q$3,0))) *
N('PORTIFÓLIO'!$S$4:$S$564),
0
)
),
0)</f>
        <v>0</v>
      </c>
      <c r="G200" s="47">
        <f t="shared" si="7"/>
        <v>0</v>
      </c>
      <c r="H200" s="49">
        <f t="array" ref="H200">IFERROR(
SUM(
IF(
'PORTIFÓLIO'!$C$4:$C$564=$A200,
N(INDEX('PORTIFÓLIO'!$J$4:$Q$564,,MATCH(H$2,'PORTIFÓLIO'!$J$3:$Q$3,0))) *
N('PORTIFÓLIO'!$S$4:$S$564),
0
)
),
0)</f>
        <v>0</v>
      </c>
      <c r="I200" s="47">
        <f t="shared" si="8"/>
        <v>0</v>
      </c>
      <c r="J200" s="49">
        <f t="array" ref="J200">IFERROR(
SUM(
IF(
'PORTIFÓLIO'!$C$4:$C$564=$A200,
N(INDEX('PORTIFÓLIO'!$J$4:$Q$564,,MATCH(J$2,'PORTIFÓLIO'!$J$3:$Q$3,0))) *
N('PORTIFÓLIO'!$S$4:$S$564),
0
)
),
0)</f>
        <v>0</v>
      </c>
      <c r="K200" s="47">
        <f t="shared" si="9"/>
        <v>0</v>
      </c>
      <c r="L200" s="49">
        <f t="array" ref="L200">IFERROR(
SUM(
IF(
'PORTIFÓLIO'!$C$4:$C$564=$A200,
N(INDEX('PORTIFÓLIO'!$J$4:$Q$564,,MATCH(L$2,'PORTIFÓLIO'!$J$3:$Q$3,0))) *
N('PORTIFÓLIO'!$S$4:$S$564),
0
)
),
0)</f>
        <v>0</v>
      </c>
      <c r="M200" s="47">
        <f t="shared" si="10"/>
        <v>0</v>
      </c>
      <c r="N200" s="49">
        <f t="array" ref="N200">IFERROR(
SUM(
IF(
'PORTIFÓLIO'!$C$4:$C$564=$A200,
N(INDEX('PORTIFÓLIO'!$J$4:$Q$564,,MATCH(N$2,'PORTIFÓLIO'!$J$3:$Q$3,0))) *
N('PORTIFÓLIO'!$S$4:$S$564),
0
)
),
0)</f>
        <v>0</v>
      </c>
      <c r="O200" s="49">
        <f t="shared" si="11"/>
        <v>0</v>
      </c>
      <c r="P200" s="49">
        <f t="array" ref="P200">IFERROR(
SUM(
IF(
'PORTIFÓLIO'!$C$4:$C$564=$A200,
N(INDEX('PORTIFÓLIO'!$J$4:$Q$564,,MATCH(P$2,'PORTIFÓLIO'!$J$3:$Q$3,0))) *
N('PORTIFÓLIO'!$S$4:$S$564),
0
)
),
0)</f>
        <v>0</v>
      </c>
      <c r="Q200" s="49">
        <f t="shared" si="12"/>
        <v>0</v>
      </c>
      <c r="R200" s="49">
        <f t="shared" si="2"/>
        <v>0</v>
      </c>
      <c r="S200" s="49">
        <f t="shared" si="13"/>
        <v>0</v>
      </c>
    </row>
    <row r="201" ht="15.75" hidden="1" customHeight="1" outlineLevel="1">
      <c r="A201" s="48" t="str">
        <f>IFERROR(__xludf.DUMMYFUNCTION("""COMPUTED_VALUE"""),"BAKANA 400 SC")</f>
        <v>BAKANA 400 SC</v>
      </c>
      <c r="B201" s="49">
        <f t="array" ref="B201">IFERROR(
SUM(
IF(
'PORTIFÓLIO'!$C$4:$C$564=$A201,
N(INDEX('PORTIFÓLIO'!$J$4:$Q$564,,MATCH(B$2,'PORTIFÓLIO'!$J$3:$Q$3,0))) *
N('PORTIFÓLIO'!$S$4:$S$564),
0
)
),
0)</f>
        <v>0</v>
      </c>
      <c r="C201" s="49">
        <f t="shared" si="5"/>
        <v>0</v>
      </c>
      <c r="D201" s="49">
        <f t="array" ref="D201">IFERROR(
SUM(
IF(
'PORTIFÓLIO'!$C$4:$C$564=$A201,
N(INDEX('PORTIFÓLIO'!$J$4:$Q$564,,MATCH(D$2,'PORTIFÓLIO'!$J$3:$Q$3,0))) *
N('PORTIFÓLIO'!$S$4:$S$564),
0
)
),
0)</f>
        <v>0</v>
      </c>
      <c r="E201" s="49">
        <f t="shared" si="6"/>
        <v>0</v>
      </c>
      <c r="F201" s="49">
        <f t="array" ref="F201">IFERROR(
SUM(
IF(
'PORTIFÓLIO'!$C$4:$C$564=$A201,
N(INDEX('PORTIFÓLIO'!$J$4:$Q$564,,MATCH(F$2,'PORTIFÓLIO'!$J$3:$Q$3,0))) *
N('PORTIFÓLIO'!$S$4:$S$564),
0
)
),
0)</f>
        <v>0</v>
      </c>
      <c r="G201" s="47">
        <f t="shared" si="7"/>
        <v>0</v>
      </c>
      <c r="H201" s="49">
        <f t="array" ref="H201">IFERROR(
SUM(
IF(
'PORTIFÓLIO'!$C$4:$C$564=$A201,
N(INDEX('PORTIFÓLIO'!$J$4:$Q$564,,MATCH(H$2,'PORTIFÓLIO'!$J$3:$Q$3,0))) *
N('PORTIFÓLIO'!$S$4:$S$564),
0
)
),
0)</f>
        <v>0</v>
      </c>
      <c r="I201" s="47">
        <f t="shared" si="8"/>
        <v>0</v>
      </c>
      <c r="J201" s="49">
        <f t="array" ref="J201">IFERROR(
SUM(
IF(
'PORTIFÓLIO'!$C$4:$C$564=$A201,
N(INDEX('PORTIFÓLIO'!$J$4:$Q$564,,MATCH(J$2,'PORTIFÓLIO'!$J$3:$Q$3,0))) *
N('PORTIFÓLIO'!$S$4:$S$564),
0
)
),
0)</f>
        <v>0</v>
      </c>
      <c r="K201" s="47">
        <f t="shared" si="9"/>
        <v>0</v>
      </c>
      <c r="L201" s="49">
        <f t="array" ref="L201">IFERROR(
SUM(
IF(
'PORTIFÓLIO'!$C$4:$C$564=$A201,
N(INDEX('PORTIFÓLIO'!$J$4:$Q$564,,MATCH(L$2,'PORTIFÓLIO'!$J$3:$Q$3,0))) *
N('PORTIFÓLIO'!$S$4:$S$564),
0
)
),
0)</f>
        <v>0</v>
      </c>
      <c r="M201" s="47">
        <f t="shared" si="10"/>
        <v>0</v>
      </c>
      <c r="N201" s="49">
        <f t="array" ref="N201">IFERROR(
SUM(
IF(
'PORTIFÓLIO'!$C$4:$C$564=$A201,
N(INDEX('PORTIFÓLIO'!$J$4:$Q$564,,MATCH(N$2,'PORTIFÓLIO'!$J$3:$Q$3,0))) *
N('PORTIFÓLIO'!$S$4:$S$564),
0
)
),
0)</f>
        <v>0</v>
      </c>
      <c r="O201" s="49">
        <f t="shared" si="11"/>
        <v>0</v>
      </c>
      <c r="P201" s="49">
        <f t="array" ref="P201">IFERROR(
SUM(
IF(
'PORTIFÓLIO'!$C$4:$C$564=$A201,
N(INDEX('PORTIFÓLIO'!$J$4:$Q$564,,MATCH(P$2,'PORTIFÓLIO'!$J$3:$Q$3,0))) *
N('PORTIFÓLIO'!$S$4:$S$564),
0
)
),
0)</f>
        <v>0</v>
      </c>
      <c r="Q201" s="49">
        <f t="shared" si="12"/>
        <v>0</v>
      </c>
      <c r="R201" s="49">
        <f t="shared" si="2"/>
        <v>0</v>
      </c>
      <c r="S201" s="49">
        <f t="shared" si="13"/>
        <v>0</v>
      </c>
    </row>
    <row r="202" ht="15.75" hidden="1" customHeight="1" outlineLevel="1">
      <c r="A202" s="48" t="str">
        <f>IFERROR(__xludf.DUMMYFUNCTION("""COMPUTED_VALUE"""),"KRATON 100 EC")</f>
        <v>KRATON 100 EC</v>
      </c>
      <c r="B202" s="49">
        <f t="array" ref="B202">IFERROR(
SUM(
IF(
'PORTIFÓLIO'!$C$4:$C$564=$A202,
N(INDEX('PORTIFÓLIO'!$J$4:$Q$564,,MATCH(B$2,'PORTIFÓLIO'!$J$3:$Q$3,0))) *
N('PORTIFÓLIO'!$S$4:$S$564),
0
)
),
0)</f>
        <v>0</v>
      </c>
      <c r="C202" s="49">
        <f t="shared" si="5"/>
        <v>0</v>
      </c>
      <c r="D202" s="49">
        <f t="array" ref="D202">IFERROR(
SUM(
IF(
'PORTIFÓLIO'!$C$4:$C$564=$A202,
N(INDEX('PORTIFÓLIO'!$J$4:$Q$564,,MATCH(D$2,'PORTIFÓLIO'!$J$3:$Q$3,0))) *
N('PORTIFÓLIO'!$S$4:$S$564),
0
)
),
0)</f>
        <v>0</v>
      </c>
      <c r="E202" s="49">
        <f t="shared" si="6"/>
        <v>0</v>
      </c>
      <c r="F202" s="49">
        <f t="array" ref="F202">IFERROR(
SUM(
IF(
'PORTIFÓLIO'!$C$4:$C$564=$A202,
N(INDEX('PORTIFÓLIO'!$J$4:$Q$564,,MATCH(F$2,'PORTIFÓLIO'!$J$3:$Q$3,0))) *
N('PORTIFÓLIO'!$S$4:$S$564),
0
)
),
0)</f>
        <v>0</v>
      </c>
      <c r="G202" s="47">
        <f t="shared" si="7"/>
        <v>0</v>
      </c>
      <c r="H202" s="49">
        <f t="array" ref="H202">IFERROR(
SUM(
IF(
'PORTIFÓLIO'!$C$4:$C$564=$A202,
N(INDEX('PORTIFÓLIO'!$J$4:$Q$564,,MATCH(H$2,'PORTIFÓLIO'!$J$3:$Q$3,0))) *
N('PORTIFÓLIO'!$S$4:$S$564),
0
)
),
0)</f>
        <v>0</v>
      </c>
      <c r="I202" s="47">
        <f t="shared" si="8"/>
        <v>0</v>
      </c>
      <c r="J202" s="49">
        <f t="array" ref="J202">IFERROR(
SUM(
IF(
'PORTIFÓLIO'!$C$4:$C$564=$A202,
N(INDEX('PORTIFÓLIO'!$J$4:$Q$564,,MATCH(J$2,'PORTIFÓLIO'!$J$3:$Q$3,0))) *
N('PORTIFÓLIO'!$S$4:$S$564),
0
)
),
0)</f>
        <v>0</v>
      </c>
      <c r="K202" s="47">
        <f t="shared" si="9"/>
        <v>0</v>
      </c>
      <c r="L202" s="49">
        <f t="array" ref="L202">IFERROR(
SUM(
IF(
'PORTIFÓLIO'!$C$4:$C$564=$A202,
N(INDEX('PORTIFÓLIO'!$J$4:$Q$564,,MATCH(L$2,'PORTIFÓLIO'!$J$3:$Q$3,0))) *
N('PORTIFÓLIO'!$S$4:$S$564),
0
)
),
0)</f>
        <v>0</v>
      </c>
      <c r="M202" s="47">
        <f t="shared" si="10"/>
        <v>0</v>
      </c>
      <c r="N202" s="49">
        <f t="array" ref="N202">IFERROR(
SUM(
IF(
'PORTIFÓLIO'!$C$4:$C$564=$A202,
N(INDEX('PORTIFÓLIO'!$J$4:$Q$564,,MATCH(N$2,'PORTIFÓLIO'!$J$3:$Q$3,0))) *
N('PORTIFÓLIO'!$S$4:$S$564),
0
)
),
0)</f>
        <v>0</v>
      </c>
      <c r="O202" s="49">
        <f t="shared" si="11"/>
        <v>0</v>
      </c>
      <c r="P202" s="49">
        <f t="array" ref="P202">IFERROR(
SUM(
IF(
'PORTIFÓLIO'!$C$4:$C$564=$A202,
N(INDEX('PORTIFÓLIO'!$J$4:$Q$564,,MATCH(P$2,'PORTIFÓLIO'!$J$3:$Q$3,0))) *
N('PORTIFÓLIO'!$S$4:$S$564),
0
)
),
0)</f>
        <v>0</v>
      </c>
      <c r="Q202" s="49">
        <f t="shared" si="12"/>
        <v>0</v>
      </c>
      <c r="R202" s="49">
        <f t="shared" si="2"/>
        <v>0</v>
      </c>
      <c r="S202" s="49">
        <f t="shared" si="13"/>
        <v>0</v>
      </c>
    </row>
    <row r="203" ht="15.75" hidden="1" customHeight="1" outlineLevel="1">
      <c r="A203" s="48" t="str">
        <f>IFERROR(__xludf.DUMMYFUNCTION("""COMPUTED_VALUE"""),"TAURA 200 EC")</f>
        <v>TAURA 200 EC</v>
      </c>
      <c r="B203" s="49">
        <f t="array" ref="B203">IFERROR(
SUM(
IF(
'PORTIFÓLIO'!$C$4:$C$564=$A203,
N(INDEX('PORTIFÓLIO'!$J$4:$Q$564,,MATCH(B$2,'PORTIFÓLIO'!$J$3:$Q$3,0))) *
N('PORTIFÓLIO'!$S$4:$S$564),
0
)
),
0)</f>
        <v>0</v>
      </c>
      <c r="C203" s="49">
        <f t="shared" si="5"/>
        <v>0</v>
      </c>
      <c r="D203" s="49">
        <f t="array" ref="D203">IFERROR(
SUM(
IF(
'PORTIFÓLIO'!$C$4:$C$564=$A203,
N(INDEX('PORTIFÓLIO'!$J$4:$Q$564,,MATCH(D$2,'PORTIFÓLIO'!$J$3:$Q$3,0))) *
N('PORTIFÓLIO'!$S$4:$S$564),
0
)
),
0)</f>
        <v>0</v>
      </c>
      <c r="E203" s="49">
        <f t="shared" si="6"/>
        <v>0</v>
      </c>
      <c r="F203" s="49">
        <f t="array" ref="F203">IFERROR(
SUM(
IF(
'PORTIFÓLIO'!$C$4:$C$564=$A203,
N(INDEX('PORTIFÓLIO'!$J$4:$Q$564,,MATCH(F$2,'PORTIFÓLIO'!$J$3:$Q$3,0))) *
N('PORTIFÓLIO'!$S$4:$S$564),
0
)
),
0)</f>
        <v>0</v>
      </c>
      <c r="G203" s="47">
        <f t="shared" si="7"/>
        <v>0</v>
      </c>
      <c r="H203" s="49">
        <f t="array" ref="H203">IFERROR(
SUM(
IF(
'PORTIFÓLIO'!$C$4:$C$564=$A203,
N(INDEX('PORTIFÓLIO'!$J$4:$Q$564,,MATCH(H$2,'PORTIFÓLIO'!$J$3:$Q$3,0))) *
N('PORTIFÓLIO'!$S$4:$S$564),
0
)
),
0)</f>
        <v>0</v>
      </c>
      <c r="I203" s="47">
        <f t="shared" si="8"/>
        <v>0</v>
      </c>
      <c r="J203" s="49">
        <f t="array" ref="J203">IFERROR(
SUM(
IF(
'PORTIFÓLIO'!$C$4:$C$564=$A203,
N(INDEX('PORTIFÓLIO'!$J$4:$Q$564,,MATCH(J$2,'PORTIFÓLIO'!$J$3:$Q$3,0))) *
N('PORTIFÓLIO'!$S$4:$S$564),
0
)
),
0)</f>
        <v>0</v>
      </c>
      <c r="K203" s="47">
        <f t="shared" si="9"/>
        <v>0</v>
      </c>
      <c r="L203" s="49">
        <f t="array" ref="L203">IFERROR(
SUM(
IF(
'PORTIFÓLIO'!$C$4:$C$564=$A203,
N(INDEX('PORTIFÓLIO'!$J$4:$Q$564,,MATCH(L$2,'PORTIFÓLIO'!$J$3:$Q$3,0))) *
N('PORTIFÓLIO'!$S$4:$S$564),
0
)
),
0)</f>
        <v>0</v>
      </c>
      <c r="M203" s="47">
        <f t="shared" si="10"/>
        <v>0</v>
      </c>
      <c r="N203" s="49">
        <f t="array" ref="N203">IFERROR(
SUM(
IF(
'PORTIFÓLIO'!$C$4:$C$564=$A203,
N(INDEX('PORTIFÓLIO'!$J$4:$Q$564,,MATCH(N$2,'PORTIFÓLIO'!$J$3:$Q$3,0))) *
N('PORTIFÓLIO'!$S$4:$S$564),
0
)
),
0)</f>
        <v>0</v>
      </c>
      <c r="O203" s="49">
        <f t="shared" si="11"/>
        <v>0</v>
      </c>
      <c r="P203" s="49">
        <f t="array" ref="P203">IFERROR(
SUM(
IF(
'PORTIFÓLIO'!$C$4:$C$564=$A203,
N(INDEX('PORTIFÓLIO'!$J$4:$Q$564,,MATCH(P$2,'PORTIFÓLIO'!$J$3:$Q$3,0))) *
N('PORTIFÓLIO'!$S$4:$S$564),
0
)
),
0)</f>
        <v>0</v>
      </c>
      <c r="Q203" s="49">
        <f t="shared" si="12"/>
        <v>0</v>
      </c>
      <c r="R203" s="49">
        <f t="shared" si="2"/>
        <v>0</v>
      </c>
      <c r="S203" s="49">
        <f t="shared" si="13"/>
        <v>0</v>
      </c>
    </row>
    <row r="204" ht="15.75" hidden="1" customHeight="1" outlineLevel="1">
      <c r="A204" s="48" t="str">
        <f>IFERROR(__xludf.DUMMYFUNCTION("""COMPUTED_VALUE"""),"BENEVIA")</f>
        <v>BENEVIA</v>
      </c>
      <c r="B204" s="49">
        <f t="array" ref="B204">IFERROR(
SUM(
IF(
'PORTIFÓLIO'!$C$4:$C$564=$A204,
N(INDEX('PORTIFÓLIO'!$J$4:$Q$564,,MATCH(B$2,'PORTIFÓLIO'!$J$3:$Q$3,0))) *
N('PORTIFÓLIO'!$S$4:$S$564),
0
)
),
0)</f>
        <v>0</v>
      </c>
      <c r="C204" s="49">
        <f t="shared" si="5"/>
        <v>0</v>
      </c>
      <c r="D204" s="49">
        <f t="array" ref="D204">IFERROR(
SUM(
IF(
'PORTIFÓLIO'!$C$4:$C$564=$A204,
N(INDEX('PORTIFÓLIO'!$J$4:$Q$564,,MATCH(D$2,'PORTIFÓLIO'!$J$3:$Q$3,0))) *
N('PORTIFÓLIO'!$S$4:$S$564),
0
)
),
0)</f>
        <v>0</v>
      </c>
      <c r="E204" s="49">
        <f t="shared" si="6"/>
        <v>0</v>
      </c>
      <c r="F204" s="49">
        <f t="array" ref="F204">IFERROR(
SUM(
IF(
'PORTIFÓLIO'!$C$4:$C$564=$A204,
N(INDEX('PORTIFÓLIO'!$J$4:$Q$564,,MATCH(F$2,'PORTIFÓLIO'!$J$3:$Q$3,0))) *
N('PORTIFÓLIO'!$S$4:$S$564),
0
)
),
0)</f>
        <v>0</v>
      </c>
      <c r="G204" s="47">
        <f t="shared" si="7"/>
        <v>0</v>
      </c>
      <c r="H204" s="49">
        <f t="array" ref="H204">IFERROR(
SUM(
IF(
'PORTIFÓLIO'!$C$4:$C$564=$A204,
N(INDEX('PORTIFÓLIO'!$J$4:$Q$564,,MATCH(H$2,'PORTIFÓLIO'!$J$3:$Q$3,0))) *
N('PORTIFÓLIO'!$S$4:$S$564),
0
)
),
0)</f>
        <v>0</v>
      </c>
      <c r="I204" s="47">
        <f t="shared" si="8"/>
        <v>0</v>
      </c>
      <c r="J204" s="49">
        <f t="array" ref="J204">IFERROR(
SUM(
IF(
'PORTIFÓLIO'!$C$4:$C$564=$A204,
N(INDEX('PORTIFÓLIO'!$J$4:$Q$564,,MATCH(J$2,'PORTIFÓLIO'!$J$3:$Q$3,0))) *
N('PORTIFÓLIO'!$S$4:$S$564),
0
)
),
0)</f>
        <v>0</v>
      </c>
      <c r="K204" s="47">
        <f t="shared" si="9"/>
        <v>0</v>
      </c>
      <c r="L204" s="49">
        <f t="array" ref="L204">IFERROR(
SUM(
IF(
'PORTIFÓLIO'!$C$4:$C$564=$A204,
N(INDEX('PORTIFÓLIO'!$J$4:$Q$564,,MATCH(L$2,'PORTIFÓLIO'!$J$3:$Q$3,0))) *
N('PORTIFÓLIO'!$S$4:$S$564),
0
)
),
0)</f>
        <v>0</v>
      </c>
      <c r="M204" s="47">
        <f t="shared" si="10"/>
        <v>0</v>
      </c>
      <c r="N204" s="49">
        <f t="array" ref="N204">IFERROR(
SUM(
IF(
'PORTIFÓLIO'!$C$4:$C$564=$A204,
N(INDEX('PORTIFÓLIO'!$J$4:$Q$564,,MATCH(N$2,'PORTIFÓLIO'!$J$3:$Q$3,0))) *
N('PORTIFÓLIO'!$S$4:$S$564),
0
)
),
0)</f>
        <v>0</v>
      </c>
      <c r="O204" s="49">
        <f t="shared" si="11"/>
        <v>0</v>
      </c>
      <c r="P204" s="49">
        <f t="array" ref="P204">IFERROR(
SUM(
IF(
'PORTIFÓLIO'!$C$4:$C$564=$A204,
N(INDEX('PORTIFÓLIO'!$J$4:$Q$564,,MATCH(P$2,'PORTIFÓLIO'!$J$3:$Q$3,0))) *
N('PORTIFÓLIO'!$S$4:$S$564),
0
)
),
0)</f>
        <v>0</v>
      </c>
      <c r="Q204" s="49">
        <f t="shared" si="12"/>
        <v>0</v>
      </c>
      <c r="R204" s="49">
        <f t="shared" si="2"/>
        <v>0</v>
      </c>
      <c r="S204" s="49">
        <f t="shared" si="13"/>
        <v>0</v>
      </c>
    </row>
    <row r="205" ht="15.75" hidden="1" customHeight="1" outlineLevel="1">
      <c r="A205" s="48" t="str">
        <f>IFERROR(__xludf.DUMMYFUNCTION("""COMPUTED_VALUE"""),"HERO")</f>
        <v>HERO</v>
      </c>
      <c r="B205" s="49">
        <f t="array" ref="B205">IFERROR(
SUM(
IF(
'PORTIFÓLIO'!$C$4:$C$564=$A205,
N(INDEX('PORTIFÓLIO'!$J$4:$Q$564,,MATCH(B$2,'PORTIFÓLIO'!$J$3:$Q$3,0))) *
N('PORTIFÓLIO'!$S$4:$S$564),
0
)
),
0)</f>
        <v>0</v>
      </c>
      <c r="C205" s="49">
        <f t="shared" si="5"/>
        <v>0</v>
      </c>
      <c r="D205" s="49">
        <f t="array" ref="D205">IFERROR(
SUM(
IF(
'PORTIFÓLIO'!$C$4:$C$564=$A205,
N(INDEX('PORTIFÓLIO'!$J$4:$Q$564,,MATCH(D$2,'PORTIFÓLIO'!$J$3:$Q$3,0))) *
N('PORTIFÓLIO'!$S$4:$S$564),
0
)
),
0)</f>
        <v>0</v>
      </c>
      <c r="E205" s="49">
        <f t="shared" si="6"/>
        <v>0</v>
      </c>
      <c r="F205" s="49">
        <f t="array" ref="F205">IFERROR(
SUM(
IF(
'PORTIFÓLIO'!$C$4:$C$564=$A205,
N(INDEX('PORTIFÓLIO'!$J$4:$Q$564,,MATCH(F$2,'PORTIFÓLIO'!$J$3:$Q$3,0))) *
N('PORTIFÓLIO'!$S$4:$S$564),
0
)
),
0)</f>
        <v>0</v>
      </c>
      <c r="G205" s="47">
        <f t="shared" si="7"/>
        <v>0</v>
      </c>
      <c r="H205" s="49">
        <f t="array" ref="H205">IFERROR(
SUM(
IF(
'PORTIFÓLIO'!$C$4:$C$564=$A205,
N(INDEX('PORTIFÓLIO'!$J$4:$Q$564,,MATCH(H$2,'PORTIFÓLIO'!$J$3:$Q$3,0))) *
N('PORTIFÓLIO'!$S$4:$S$564),
0
)
),
0)</f>
        <v>0</v>
      </c>
      <c r="I205" s="47">
        <f t="shared" si="8"/>
        <v>0</v>
      </c>
      <c r="J205" s="49">
        <f t="array" ref="J205">IFERROR(
SUM(
IF(
'PORTIFÓLIO'!$C$4:$C$564=$A205,
N(INDEX('PORTIFÓLIO'!$J$4:$Q$564,,MATCH(J$2,'PORTIFÓLIO'!$J$3:$Q$3,0))) *
N('PORTIFÓLIO'!$S$4:$S$564),
0
)
),
0)</f>
        <v>0</v>
      </c>
      <c r="K205" s="47">
        <f t="shared" si="9"/>
        <v>0</v>
      </c>
      <c r="L205" s="49">
        <f t="array" ref="L205">IFERROR(
SUM(
IF(
'PORTIFÓLIO'!$C$4:$C$564=$A205,
N(INDEX('PORTIFÓLIO'!$J$4:$Q$564,,MATCH(L$2,'PORTIFÓLIO'!$J$3:$Q$3,0))) *
N('PORTIFÓLIO'!$S$4:$S$564),
0
)
),
0)</f>
        <v>0</v>
      </c>
      <c r="M205" s="47">
        <f t="shared" si="10"/>
        <v>0</v>
      </c>
      <c r="N205" s="49">
        <f t="array" ref="N205">IFERROR(
SUM(
IF(
'PORTIFÓLIO'!$C$4:$C$564=$A205,
N(INDEX('PORTIFÓLIO'!$J$4:$Q$564,,MATCH(N$2,'PORTIFÓLIO'!$J$3:$Q$3,0))) *
N('PORTIFÓLIO'!$S$4:$S$564),
0
)
),
0)</f>
        <v>0</v>
      </c>
      <c r="O205" s="49">
        <f t="shared" si="11"/>
        <v>0</v>
      </c>
      <c r="P205" s="49">
        <f t="array" ref="P205">IFERROR(
SUM(
IF(
'PORTIFÓLIO'!$C$4:$C$564=$A205,
N(INDEX('PORTIFÓLIO'!$J$4:$Q$564,,MATCH(P$2,'PORTIFÓLIO'!$J$3:$Q$3,0))) *
N('PORTIFÓLIO'!$S$4:$S$564),
0
)
),
0)</f>
        <v>0</v>
      </c>
      <c r="Q205" s="49">
        <f t="shared" si="12"/>
        <v>0</v>
      </c>
      <c r="R205" s="49">
        <f t="shared" si="2"/>
        <v>0</v>
      </c>
      <c r="S205" s="49">
        <f t="shared" si="13"/>
        <v>0</v>
      </c>
    </row>
    <row r="206" ht="15.75" hidden="1" customHeight="1" outlineLevel="1">
      <c r="A206" s="48" t="str">
        <f>IFERROR(__xludf.DUMMYFUNCTION("""COMPUTED_VALUE"""),"MALATHION UL")</f>
        <v>MALATHION UL</v>
      </c>
      <c r="B206" s="49">
        <f t="array" ref="B206">IFERROR(
SUM(
IF(
'PORTIFÓLIO'!$C$4:$C$564=$A206,
N(INDEX('PORTIFÓLIO'!$J$4:$Q$564,,MATCH(B$2,'PORTIFÓLIO'!$J$3:$Q$3,0))) *
N('PORTIFÓLIO'!$S$4:$S$564),
0
)
),
0)</f>
        <v>0</v>
      </c>
      <c r="C206" s="49">
        <f t="shared" si="5"/>
        <v>0</v>
      </c>
      <c r="D206" s="49">
        <f t="array" ref="D206">IFERROR(
SUM(
IF(
'PORTIFÓLIO'!$C$4:$C$564=$A206,
N(INDEX('PORTIFÓLIO'!$J$4:$Q$564,,MATCH(D$2,'PORTIFÓLIO'!$J$3:$Q$3,0))) *
N('PORTIFÓLIO'!$S$4:$S$564),
0
)
),
0)</f>
        <v>0</v>
      </c>
      <c r="E206" s="49">
        <f t="shared" si="6"/>
        <v>0</v>
      </c>
      <c r="F206" s="49">
        <f t="array" ref="F206">IFERROR(
SUM(
IF(
'PORTIFÓLIO'!$C$4:$C$564=$A206,
N(INDEX('PORTIFÓLIO'!$J$4:$Q$564,,MATCH(F$2,'PORTIFÓLIO'!$J$3:$Q$3,0))) *
N('PORTIFÓLIO'!$S$4:$S$564),
0
)
),
0)</f>
        <v>0</v>
      </c>
      <c r="G206" s="47">
        <f t="shared" si="7"/>
        <v>0</v>
      </c>
      <c r="H206" s="49">
        <f t="array" ref="H206">IFERROR(
SUM(
IF(
'PORTIFÓLIO'!$C$4:$C$564=$A206,
N(INDEX('PORTIFÓLIO'!$J$4:$Q$564,,MATCH(H$2,'PORTIFÓLIO'!$J$3:$Q$3,0))) *
N('PORTIFÓLIO'!$S$4:$S$564),
0
)
),
0)</f>
        <v>0</v>
      </c>
      <c r="I206" s="47">
        <f t="shared" si="8"/>
        <v>0</v>
      </c>
      <c r="J206" s="49">
        <f t="array" ref="J206">IFERROR(
SUM(
IF(
'PORTIFÓLIO'!$C$4:$C$564=$A206,
N(INDEX('PORTIFÓLIO'!$J$4:$Q$564,,MATCH(J$2,'PORTIFÓLIO'!$J$3:$Q$3,0))) *
N('PORTIFÓLIO'!$S$4:$S$564),
0
)
),
0)</f>
        <v>0</v>
      </c>
      <c r="K206" s="47">
        <f t="shared" si="9"/>
        <v>0</v>
      </c>
      <c r="L206" s="49">
        <f t="array" ref="L206">IFERROR(
SUM(
IF(
'PORTIFÓLIO'!$C$4:$C$564=$A206,
N(INDEX('PORTIFÓLIO'!$J$4:$Q$564,,MATCH(L$2,'PORTIFÓLIO'!$J$3:$Q$3,0))) *
N('PORTIFÓLIO'!$S$4:$S$564),
0
)
),
0)</f>
        <v>0</v>
      </c>
      <c r="M206" s="47">
        <f t="shared" si="10"/>
        <v>0</v>
      </c>
      <c r="N206" s="49">
        <f t="array" ref="N206">IFERROR(
SUM(
IF(
'PORTIFÓLIO'!$C$4:$C$564=$A206,
N(INDEX('PORTIFÓLIO'!$J$4:$Q$564,,MATCH(N$2,'PORTIFÓLIO'!$J$3:$Q$3,0))) *
N('PORTIFÓLIO'!$S$4:$S$564),
0
)
),
0)</f>
        <v>0</v>
      </c>
      <c r="O206" s="49">
        <f t="shared" si="11"/>
        <v>0</v>
      </c>
      <c r="P206" s="49">
        <f t="array" ref="P206">IFERROR(
SUM(
IF(
'PORTIFÓLIO'!$C$4:$C$564=$A206,
N(INDEX('PORTIFÓLIO'!$J$4:$Q$564,,MATCH(P$2,'PORTIFÓLIO'!$J$3:$Q$3,0))) *
N('PORTIFÓLIO'!$S$4:$S$564),
0
)
),
0)</f>
        <v>0</v>
      </c>
      <c r="Q206" s="49">
        <f t="shared" si="12"/>
        <v>0</v>
      </c>
      <c r="R206" s="49">
        <f t="shared" si="2"/>
        <v>0</v>
      </c>
      <c r="S206" s="49">
        <f t="shared" si="13"/>
        <v>0</v>
      </c>
    </row>
    <row r="207" ht="15.75" hidden="1" customHeight="1" outlineLevel="1">
      <c r="A207" s="48" t="str">
        <f>IFERROR(__xludf.DUMMYFUNCTION("""COMPUTED_VALUE"""),"MUSTANG 350 EC")</f>
        <v>MUSTANG 350 EC</v>
      </c>
      <c r="B207" s="49">
        <f t="array" ref="B207">IFERROR(
SUM(
IF(
'PORTIFÓLIO'!$C$4:$C$564=$A207,
N(INDEX('PORTIFÓLIO'!$J$4:$Q$564,,MATCH(B$2,'PORTIFÓLIO'!$J$3:$Q$3,0))) *
N('PORTIFÓLIO'!$S$4:$S$564),
0
)
),
0)</f>
        <v>0</v>
      </c>
      <c r="C207" s="49">
        <f t="shared" si="5"/>
        <v>0</v>
      </c>
      <c r="D207" s="49">
        <f t="array" ref="D207">IFERROR(
SUM(
IF(
'PORTIFÓLIO'!$C$4:$C$564=$A207,
N(INDEX('PORTIFÓLIO'!$J$4:$Q$564,,MATCH(D$2,'PORTIFÓLIO'!$J$3:$Q$3,0))) *
N('PORTIFÓLIO'!$S$4:$S$564),
0
)
),
0)</f>
        <v>0</v>
      </c>
      <c r="E207" s="49">
        <f t="shared" si="6"/>
        <v>0</v>
      </c>
      <c r="F207" s="49">
        <f t="array" ref="F207">IFERROR(
SUM(
IF(
'PORTIFÓLIO'!$C$4:$C$564=$A207,
N(INDEX('PORTIFÓLIO'!$J$4:$Q$564,,MATCH(F$2,'PORTIFÓLIO'!$J$3:$Q$3,0))) *
N('PORTIFÓLIO'!$S$4:$S$564),
0
)
),
0)</f>
        <v>0</v>
      </c>
      <c r="G207" s="47">
        <f t="shared" si="7"/>
        <v>0</v>
      </c>
      <c r="H207" s="49">
        <f t="array" ref="H207">IFERROR(
SUM(
IF(
'PORTIFÓLIO'!$C$4:$C$564=$A207,
N(INDEX('PORTIFÓLIO'!$J$4:$Q$564,,MATCH(H$2,'PORTIFÓLIO'!$J$3:$Q$3,0))) *
N('PORTIFÓLIO'!$S$4:$S$564),
0
)
),
0)</f>
        <v>0</v>
      </c>
      <c r="I207" s="47">
        <f t="shared" si="8"/>
        <v>0</v>
      </c>
      <c r="J207" s="49">
        <f t="array" ref="J207">IFERROR(
SUM(
IF(
'PORTIFÓLIO'!$C$4:$C$564=$A207,
N(INDEX('PORTIFÓLIO'!$J$4:$Q$564,,MATCH(J$2,'PORTIFÓLIO'!$J$3:$Q$3,0))) *
N('PORTIFÓLIO'!$S$4:$S$564),
0
)
),
0)</f>
        <v>0</v>
      </c>
      <c r="K207" s="47">
        <f t="shared" si="9"/>
        <v>0</v>
      </c>
      <c r="L207" s="49">
        <f t="array" ref="L207">IFERROR(
SUM(
IF(
'PORTIFÓLIO'!$C$4:$C$564=$A207,
N(INDEX('PORTIFÓLIO'!$J$4:$Q$564,,MATCH(L$2,'PORTIFÓLIO'!$J$3:$Q$3,0))) *
N('PORTIFÓLIO'!$S$4:$S$564),
0
)
),
0)</f>
        <v>0</v>
      </c>
      <c r="M207" s="47">
        <f t="shared" si="10"/>
        <v>0</v>
      </c>
      <c r="N207" s="49">
        <f t="array" ref="N207">IFERROR(
SUM(
IF(
'PORTIFÓLIO'!$C$4:$C$564=$A207,
N(INDEX('PORTIFÓLIO'!$J$4:$Q$564,,MATCH(N$2,'PORTIFÓLIO'!$J$3:$Q$3,0))) *
N('PORTIFÓLIO'!$S$4:$S$564),
0
)
),
0)</f>
        <v>0</v>
      </c>
      <c r="O207" s="49">
        <f t="shared" si="11"/>
        <v>0</v>
      </c>
      <c r="P207" s="49">
        <f t="array" ref="P207">IFERROR(
SUM(
IF(
'PORTIFÓLIO'!$C$4:$C$564=$A207,
N(INDEX('PORTIFÓLIO'!$J$4:$Q$564,,MATCH(P$2,'PORTIFÓLIO'!$J$3:$Q$3,0))) *
N('PORTIFÓLIO'!$S$4:$S$564),
0
)
),
0)</f>
        <v>0</v>
      </c>
      <c r="Q207" s="49">
        <f t="shared" si="12"/>
        <v>0</v>
      </c>
      <c r="R207" s="49">
        <f t="shared" si="2"/>
        <v>0</v>
      </c>
      <c r="S207" s="49">
        <f t="shared" si="13"/>
        <v>0</v>
      </c>
    </row>
    <row r="208" ht="15.75" hidden="1" customHeight="1" outlineLevel="1">
      <c r="A208" s="48" t="str">
        <f>IFERROR(__xludf.DUMMYFUNCTION("""COMPUTED_VALUE"""),"PREMIO")</f>
        <v>PREMIO</v>
      </c>
      <c r="B208" s="49">
        <f t="array" ref="B208">IFERROR(
SUM(
IF(
'PORTIFÓLIO'!$C$4:$C$564=$A208,
N(INDEX('PORTIFÓLIO'!$J$4:$Q$564,,MATCH(B$2,'PORTIFÓLIO'!$J$3:$Q$3,0))) *
N('PORTIFÓLIO'!$S$4:$S$564),
0
)
),
0)</f>
        <v>0</v>
      </c>
      <c r="C208" s="49">
        <f t="shared" si="5"/>
        <v>0</v>
      </c>
      <c r="D208" s="49">
        <f t="array" ref="D208">IFERROR(
SUM(
IF(
'PORTIFÓLIO'!$C$4:$C$564=$A208,
N(INDEX('PORTIFÓLIO'!$J$4:$Q$564,,MATCH(D$2,'PORTIFÓLIO'!$J$3:$Q$3,0))) *
N('PORTIFÓLIO'!$S$4:$S$564),
0
)
),
0)</f>
        <v>6791.13</v>
      </c>
      <c r="E208" s="49">
        <f t="shared" si="6"/>
        <v>22.6371</v>
      </c>
      <c r="F208" s="49">
        <f t="array" ref="F208">IFERROR(
SUM(
IF(
'PORTIFÓLIO'!$C$4:$C$564=$A208,
N(INDEX('PORTIFÓLIO'!$J$4:$Q$564,,MATCH(F$2,'PORTIFÓLIO'!$J$3:$Q$3,0))) *
N('PORTIFÓLIO'!$S$4:$S$564),
0
)
),
0)</f>
        <v>4980.162</v>
      </c>
      <c r="G208" s="47">
        <f t="shared" si="7"/>
        <v>22.6371</v>
      </c>
      <c r="H208" s="49">
        <f t="array" ref="H208">IFERROR(
SUM(
IF(
'PORTIFÓLIO'!$C$4:$C$564=$A208,
N(INDEX('PORTIFÓLIO'!$J$4:$Q$564,,MATCH(H$2,'PORTIFÓLIO'!$J$3:$Q$3,0))) *
N('PORTIFÓLIO'!$S$4:$S$564),
0
)
),
0)</f>
        <v>0</v>
      </c>
      <c r="I208" s="47">
        <f t="shared" si="8"/>
        <v>0</v>
      </c>
      <c r="J208" s="49">
        <f t="array" ref="J208">IFERROR(
SUM(
IF(
'PORTIFÓLIO'!$C$4:$C$564=$A208,
N(INDEX('PORTIFÓLIO'!$J$4:$Q$564,,MATCH(J$2,'PORTIFÓLIO'!$J$3:$Q$3,0))) *
N('PORTIFÓLIO'!$S$4:$S$564),
0
)
),
0)</f>
        <v>0</v>
      </c>
      <c r="K208" s="47">
        <f t="shared" si="9"/>
        <v>0</v>
      </c>
      <c r="L208" s="49">
        <f t="array" ref="L208">IFERROR(
SUM(
IF(
'PORTIFÓLIO'!$C$4:$C$564=$A208,
N(INDEX('PORTIFÓLIO'!$J$4:$Q$564,,MATCH(L$2,'PORTIFÓLIO'!$J$3:$Q$3,0))) *
N('PORTIFÓLIO'!$S$4:$S$564),
0
)
),
0)</f>
        <v>1245.0405</v>
      </c>
      <c r="M208" s="47">
        <f t="shared" si="10"/>
        <v>5.659275</v>
      </c>
      <c r="N208" s="49">
        <f t="array" ref="N208">IFERROR(
SUM(
IF(
'PORTIFÓLIO'!$C$4:$C$564=$A208,
N(INDEX('PORTIFÓLIO'!$J$4:$Q$564,,MATCH(N$2,'PORTIFÓLIO'!$J$3:$Q$3,0))) *
N('PORTIFÓLIO'!$S$4:$S$564),
0
)
),
0)</f>
        <v>26799.49676</v>
      </c>
      <c r="O208" s="49">
        <f t="shared" si="11"/>
        <v>22.00287091</v>
      </c>
      <c r="P208" s="49">
        <f t="array" ref="P208">IFERROR(
SUM(
IF(
'PORTIFÓLIO'!$C$4:$C$564=$A208,
N(INDEX('PORTIFÓLIO'!$J$4:$Q$564,,MATCH(P$2,'PORTIFÓLIO'!$J$3:$Q$3,0))) *
N('PORTIFÓLIO'!$S$4:$S$564),
0
)
),
0)</f>
        <v>7243.872</v>
      </c>
      <c r="Q208" s="49">
        <f t="shared" si="12"/>
        <v>22.6371</v>
      </c>
      <c r="R208" s="49">
        <f t="shared" si="2"/>
        <v>42079.53926</v>
      </c>
      <c r="S208" s="49">
        <f t="shared" si="13"/>
        <v>12.58359428</v>
      </c>
    </row>
    <row r="209" ht="15.75" hidden="1" customHeight="1" outlineLevel="1">
      <c r="A209" s="48" t="str">
        <f>IFERROR(__xludf.DUMMYFUNCTION("""COMPUTED_VALUE"""),"TALISMAN")</f>
        <v>TALISMAN</v>
      </c>
      <c r="B209" s="49">
        <f t="array" ref="B209">IFERROR(
SUM(
IF(
'PORTIFÓLIO'!$C$4:$C$564=$A209,
N(INDEX('PORTIFÓLIO'!$J$4:$Q$564,,MATCH(B$2,'PORTIFÓLIO'!$J$3:$Q$3,0))) *
N('PORTIFÓLIO'!$S$4:$S$564),
0
)
),
0)</f>
        <v>0</v>
      </c>
      <c r="C209" s="49">
        <f t="shared" si="5"/>
        <v>0</v>
      </c>
      <c r="D209" s="49">
        <f t="array" ref="D209">IFERROR(
SUM(
IF(
'PORTIFÓLIO'!$C$4:$C$564=$A209,
N(INDEX('PORTIFÓLIO'!$J$4:$Q$564,,MATCH(D$2,'PORTIFÓLIO'!$J$3:$Q$3,0))) *
N('PORTIFÓLIO'!$S$4:$S$564),
0
)
),
0)</f>
        <v>0</v>
      </c>
      <c r="E209" s="49">
        <f t="shared" si="6"/>
        <v>0</v>
      </c>
      <c r="F209" s="49">
        <f t="array" ref="F209">IFERROR(
SUM(
IF(
'PORTIFÓLIO'!$C$4:$C$564=$A209,
N(INDEX('PORTIFÓLIO'!$J$4:$Q$564,,MATCH(F$2,'PORTIFÓLIO'!$J$3:$Q$3,0))) *
N('PORTIFÓLIO'!$S$4:$S$564),
0
)
),
0)</f>
        <v>0</v>
      </c>
      <c r="G209" s="47">
        <f t="shared" si="7"/>
        <v>0</v>
      </c>
      <c r="H209" s="49">
        <f t="array" ref="H209">IFERROR(
SUM(
IF(
'PORTIFÓLIO'!$C$4:$C$564=$A209,
N(INDEX('PORTIFÓLIO'!$J$4:$Q$564,,MATCH(H$2,'PORTIFÓLIO'!$J$3:$Q$3,0))) *
N('PORTIFÓLIO'!$S$4:$S$564),
0
)
),
0)</f>
        <v>0</v>
      </c>
      <c r="I209" s="47">
        <f t="shared" si="8"/>
        <v>0</v>
      </c>
      <c r="J209" s="49">
        <f t="array" ref="J209">IFERROR(
SUM(
IF(
'PORTIFÓLIO'!$C$4:$C$564=$A209,
N(INDEX('PORTIFÓLIO'!$J$4:$Q$564,,MATCH(J$2,'PORTIFÓLIO'!$J$3:$Q$3,0))) *
N('PORTIFÓLIO'!$S$4:$S$564),
0
)
),
0)</f>
        <v>0</v>
      </c>
      <c r="K209" s="47">
        <f t="shared" si="9"/>
        <v>0</v>
      </c>
      <c r="L209" s="49">
        <f t="array" ref="L209">IFERROR(
SUM(
IF(
'PORTIFÓLIO'!$C$4:$C$564=$A209,
N(INDEX('PORTIFÓLIO'!$J$4:$Q$564,,MATCH(L$2,'PORTIFÓLIO'!$J$3:$Q$3,0))) *
N('PORTIFÓLIO'!$S$4:$S$564),
0
)
),
0)</f>
        <v>0</v>
      </c>
      <c r="M209" s="47">
        <f t="shared" si="10"/>
        <v>0</v>
      </c>
      <c r="N209" s="49">
        <f t="array" ref="N209">IFERROR(
SUM(
IF(
'PORTIFÓLIO'!$C$4:$C$564=$A209,
N(INDEX('PORTIFÓLIO'!$J$4:$Q$564,,MATCH(N$2,'PORTIFÓLIO'!$J$3:$Q$3,0))) *
N('PORTIFÓLIO'!$S$4:$S$564),
0
)
),
0)</f>
        <v>0</v>
      </c>
      <c r="O209" s="49">
        <f t="shared" si="11"/>
        <v>0</v>
      </c>
      <c r="P209" s="49">
        <f t="array" ref="P209">IFERROR(
SUM(
IF(
'PORTIFÓLIO'!$C$4:$C$564=$A209,
N(INDEX('PORTIFÓLIO'!$J$4:$Q$564,,MATCH(P$2,'PORTIFÓLIO'!$J$3:$Q$3,0))) *
N('PORTIFÓLIO'!$S$4:$S$564),
0
)
),
0)</f>
        <v>0</v>
      </c>
      <c r="Q209" s="49">
        <f t="shared" si="12"/>
        <v>0</v>
      </c>
      <c r="R209" s="49">
        <f t="shared" si="2"/>
        <v>0</v>
      </c>
      <c r="S209" s="49">
        <f t="shared" si="13"/>
        <v>0</v>
      </c>
    </row>
    <row r="210" ht="15.75" hidden="1" customHeight="1" outlineLevel="1">
      <c r="A210" s="48" t="str">
        <f>IFERROR(__xludf.DUMMYFUNCTION("""COMPUTED_VALUE"""),"TALSTAR 400")</f>
        <v>TALSTAR 400</v>
      </c>
      <c r="B210" s="49">
        <f t="array" ref="B210">IFERROR(
SUM(
IF(
'PORTIFÓLIO'!$C$4:$C$564=$A210,
N(INDEX('PORTIFÓLIO'!$J$4:$Q$564,,MATCH(B$2,'PORTIFÓLIO'!$J$3:$Q$3,0))) *
N('PORTIFÓLIO'!$S$4:$S$564),
0
)
),
0)</f>
        <v>0</v>
      </c>
      <c r="C210" s="49">
        <f t="shared" si="5"/>
        <v>0</v>
      </c>
      <c r="D210" s="49">
        <f t="array" ref="D210">IFERROR(
SUM(
IF(
'PORTIFÓLIO'!$C$4:$C$564=$A210,
N(INDEX('PORTIFÓLIO'!$J$4:$Q$564,,MATCH(D$2,'PORTIFÓLIO'!$J$3:$Q$3,0))) *
N('PORTIFÓLIO'!$S$4:$S$564),
0
)
),
0)</f>
        <v>922.9257</v>
      </c>
      <c r="E210" s="49">
        <f t="shared" si="6"/>
        <v>3.076419</v>
      </c>
      <c r="F210" s="49">
        <f t="array" ref="F210">IFERROR(
SUM(
IF(
'PORTIFÓLIO'!$C$4:$C$564=$A210,
N(INDEX('PORTIFÓLIO'!$J$4:$Q$564,,MATCH(F$2,'PORTIFÓLIO'!$J$3:$Q$3,0))) *
N('PORTIFÓLIO'!$S$4:$S$564),
0
)
),
0)</f>
        <v>676.81218</v>
      </c>
      <c r="G210" s="47">
        <f t="shared" si="7"/>
        <v>3.076419</v>
      </c>
      <c r="H210" s="49">
        <f t="array" ref="H210">IFERROR(
SUM(
IF(
'PORTIFÓLIO'!$C$4:$C$564=$A210,
N(INDEX('PORTIFÓLIO'!$J$4:$Q$564,,MATCH(H$2,'PORTIFÓLIO'!$J$3:$Q$3,0))) *
N('PORTIFÓLIO'!$S$4:$S$564),
0
)
),
0)</f>
        <v>0</v>
      </c>
      <c r="I210" s="47">
        <f t="shared" si="8"/>
        <v>0</v>
      </c>
      <c r="J210" s="49">
        <f t="array" ref="J210">IFERROR(
SUM(
IF(
'PORTIFÓLIO'!$C$4:$C$564=$A210,
N(INDEX('PORTIFÓLIO'!$J$4:$Q$564,,MATCH(J$2,'PORTIFÓLIO'!$J$3:$Q$3,0))) *
N('PORTIFÓLIO'!$S$4:$S$564),
0
)
),
0)</f>
        <v>0</v>
      </c>
      <c r="K210" s="47">
        <f t="shared" si="9"/>
        <v>0</v>
      </c>
      <c r="L210" s="49">
        <f t="array" ref="L210">IFERROR(
SUM(
IF(
'PORTIFÓLIO'!$C$4:$C$564=$A210,
N(INDEX('PORTIFÓLIO'!$J$4:$Q$564,,MATCH(L$2,'PORTIFÓLIO'!$J$3:$Q$3,0))) *
N('PORTIFÓLIO'!$S$4:$S$564),
0
)
),
0)</f>
        <v>0</v>
      </c>
      <c r="M210" s="47">
        <f t="shared" si="10"/>
        <v>0</v>
      </c>
      <c r="N210" s="49">
        <f t="array" ref="N210">IFERROR(
SUM(
IF(
'PORTIFÓLIO'!$C$4:$C$564=$A210,
N(INDEX('PORTIFÓLIO'!$J$4:$Q$564,,MATCH(N$2,'PORTIFÓLIO'!$J$3:$Q$3,0))) *
N('PORTIFÓLIO'!$S$4:$S$564),
0
)
),
0)</f>
        <v>3747.078342</v>
      </c>
      <c r="O210" s="49">
        <f t="shared" si="11"/>
        <v>3.076419</v>
      </c>
      <c r="P210" s="49">
        <f t="array" ref="P210">IFERROR(
SUM(
IF(
'PORTIFÓLIO'!$C$4:$C$564=$A210,
N(INDEX('PORTIFÓLIO'!$J$4:$Q$564,,MATCH(P$2,'PORTIFÓLIO'!$J$3:$Q$3,0))) *
N('PORTIFÓLIO'!$S$4:$S$564),
0
)
),
0)</f>
        <v>984.45408</v>
      </c>
      <c r="Q210" s="49">
        <f t="shared" si="12"/>
        <v>3.076419</v>
      </c>
      <c r="R210" s="49">
        <f t="shared" si="2"/>
        <v>5654.458122</v>
      </c>
      <c r="S210" s="49">
        <f t="shared" si="13"/>
        <v>1.690926472</v>
      </c>
    </row>
    <row r="211" ht="15.75" hidden="1" customHeight="1" outlineLevel="1">
      <c r="A211" s="48" t="str">
        <f>IFERROR(__xludf.DUMMYFUNCTION("""COMPUTED_VALUE"""),"VERIMARK")</f>
        <v>VERIMARK</v>
      </c>
      <c r="B211" s="49">
        <f t="array" ref="B211">IFERROR(
SUM(
IF(
'PORTIFÓLIO'!$C$4:$C$564=$A211,
N(INDEX('PORTIFÓLIO'!$J$4:$Q$564,,MATCH(B$2,'PORTIFÓLIO'!$J$3:$Q$3,0))) *
N('PORTIFÓLIO'!$S$4:$S$564),
0
)
),
0)</f>
        <v>0</v>
      </c>
      <c r="C211" s="49">
        <f t="shared" si="5"/>
        <v>0</v>
      </c>
      <c r="D211" s="49">
        <f t="array" ref="D211">IFERROR(
SUM(
IF(
'PORTIFÓLIO'!$C$4:$C$564=$A211,
N(INDEX('PORTIFÓLIO'!$J$4:$Q$564,,MATCH(D$2,'PORTIFÓLIO'!$J$3:$Q$3,0))) *
N('PORTIFÓLIO'!$S$4:$S$564),
0
)
),
0)</f>
        <v>0</v>
      </c>
      <c r="E211" s="49">
        <f t="shared" si="6"/>
        <v>0</v>
      </c>
      <c r="F211" s="49">
        <f t="array" ref="F211">IFERROR(
SUM(
IF(
'PORTIFÓLIO'!$C$4:$C$564=$A211,
N(INDEX('PORTIFÓLIO'!$J$4:$Q$564,,MATCH(F$2,'PORTIFÓLIO'!$J$3:$Q$3,0))) *
N('PORTIFÓLIO'!$S$4:$S$564),
0
)
),
0)</f>
        <v>0</v>
      </c>
      <c r="G211" s="47">
        <f t="shared" si="7"/>
        <v>0</v>
      </c>
      <c r="H211" s="49">
        <f t="array" ref="H211">IFERROR(
SUM(
IF(
'PORTIFÓLIO'!$C$4:$C$564=$A211,
N(INDEX('PORTIFÓLIO'!$J$4:$Q$564,,MATCH(H$2,'PORTIFÓLIO'!$J$3:$Q$3,0))) *
N('PORTIFÓLIO'!$S$4:$S$564),
0
)
),
0)</f>
        <v>0</v>
      </c>
      <c r="I211" s="47">
        <f t="shared" si="8"/>
        <v>0</v>
      </c>
      <c r="J211" s="49">
        <f t="array" ref="J211">IFERROR(
SUM(
IF(
'PORTIFÓLIO'!$C$4:$C$564=$A211,
N(INDEX('PORTIFÓLIO'!$J$4:$Q$564,,MATCH(J$2,'PORTIFÓLIO'!$J$3:$Q$3,0))) *
N('PORTIFÓLIO'!$S$4:$S$564),
0
)
),
0)</f>
        <v>0</v>
      </c>
      <c r="K211" s="47">
        <f t="shared" si="9"/>
        <v>0</v>
      </c>
      <c r="L211" s="49">
        <f t="array" ref="L211">IFERROR(
SUM(
IF(
'PORTIFÓLIO'!$C$4:$C$564=$A211,
N(INDEX('PORTIFÓLIO'!$J$4:$Q$564,,MATCH(L$2,'PORTIFÓLIO'!$J$3:$Q$3,0))) *
N('PORTIFÓLIO'!$S$4:$S$564),
0
)
),
0)</f>
        <v>0</v>
      </c>
      <c r="M211" s="47">
        <f t="shared" si="10"/>
        <v>0</v>
      </c>
      <c r="N211" s="49">
        <f t="array" ref="N211">IFERROR(
SUM(
IF(
'PORTIFÓLIO'!$C$4:$C$564=$A211,
N(INDEX('PORTIFÓLIO'!$J$4:$Q$564,,MATCH(N$2,'PORTIFÓLIO'!$J$3:$Q$3,0))) *
N('PORTIFÓLIO'!$S$4:$S$564),
0
)
),
0)</f>
        <v>0</v>
      </c>
      <c r="O211" s="49">
        <f t="shared" si="11"/>
        <v>0</v>
      </c>
      <c r="P211" s="49">
        <f t="array" ref="P211">IFERROR(
SUM(
IF(
'PORTIFÓLIO'!$C$4:$C$564=$A211,
N(INDEX('PORTIFÓLIO'!$J$4:$Q$564,,MATCH(P$2,'PORTIFÓLIO'!$J$3:$Q$3,0))) *
N('PORTIFÓLIO'!$S$4:$S$564),
0
)
),
0)</f>
        <v>0</v>
      </c>
      <c r="Q211" s="49">
        <f t="shared" si="12"/>
        <v>0</v>
      </c>
      <c r="R211" s="49">
        <f t="shared" si="2"/>
        <v>0</v>
      </c>
      <c r="S211" s="49">
        <f t="shared" si="13"/>
        <v>0</v>
      </c>
    </row>
    <row r="212" ht="15.75" hidden="1" customHeight="1" outlineLevel="1">
      <c r="A212" s="48" t="str">
        <f>IFERROR(__xludf.DUMMYFUNCTION("""COMPUTED_VALUE"""),"ABAMECTIN 72 EC NORTOX")</f>
        <v>ABAMECTIN 72 EC NORTOX</v>
      </c>
      <c r="B212" s="49">
        <f t="array" ref="B212">IFERROR(
SUM(
IF(
'PORTIFÓLIO'!$C$4:$C$564=$A212,
N(INDEX('PORTIFÓLIO'!$J$4:$Q$564,,MATCH(B$2,'PORTIFÓLIO'!$J$3:$Q$3,0))) *
N('PORTIFÓLIO'!$S$4:$S$564),
0
)
),
0)</f>
        <v>0</v>
      </c>
      <c r="C212" s="49">
        <f t="shared" si="5"/>
        <v>0</v>
      </c>
      <c r="D212" s="49">
        <f t="array" ref="D212">IFERROR(
SUM(
IF(
'PORTIFÓLIO'!$C$4:$C$564=$A212,
N(INDEX('PORTIFÓLIO'!$J$4:$Q$564,,MATCH(D$2,'PORTIFÓLIO'!$J$3:$Q$3,0))) *
N('PORTIFÓLIO'!$S$4:$S$564),
0
)
),
0)</f>
        <v>0</v>
      </c>
      <c r="E212" s="49">
        <f t="shared" si="6"/>
        <v>0</v>
      </c>
      <c r="F212" s="49">
        <f t="array" ref="F212">IFERROR(
SUM(
IF(
'PORTIFÓLIO'!$C$4:$C$564=$A212,
N(INDEX('PORTIFÓLIO'!$J$4:$Q$564,,MATCH(F$2,'PORTIFÓLIO'!$J$3:$Q$3,0))) *
N('PORTIFÓLIO'!$S$4:$S$564),
0
)
),
0)</f>
        <v>0</v>
      </c>
      <c r="G212" s="47">
        <f t="shared" si="7"/>
        <v>0</v>
      </c>
      <c r="H212" s="49">
        <f t="array" ref="H212">IFERROR(
SUM(
IF(
'PORTIFÓLIO'!$C$4:$C$564=$A212,
N(INDEX('PORTIFÓLIO'!$J$4:$Q$564,,MATCH(H$2,'PORTIFÓLIO'!$J$3:$Q$3,0))) *
N('PORTIFÓLIO'!$S$4:$S$564),
0
)
),
0)</f>
        <v>0</v>
      </c>
      <c r="I212" s="47">
        <f t="shared" si="8"/>
        <v>0</v>
      </c>
      <c r="J212" s="49">
        <f t="array" ref="J212">IFERROR(
SUM(
IF(
'PORTIFÓLIO'!$C$4:$C$564=$A212,
N(INDEX('PORTIFÓLIO'!$J$4:$Q$564,,MATCH(J$2,'PORTIFÓLIO'!$J$3:$Q$3,0))) *
N('PORTIFÓLIO'!$S$4:$S$564),
0
)
),
0)</f>
        <v>0</v>
      </c>
      <c r="K212" s="47">
        <f t="shared" si="9"/>
        <v>0</v>
      </c>
      <c r="L212" s="49">
        <f t="array" ref="L212">IFERROR(
SUM(
IF(
'PORTIFÓLIO'!$C$4:$C$564=$A212,
N(INDEX('PORTIFÓLIO'!$J$4:$Q$564,,MATCH(L$2,'PORTIFÓLIO'!$J$3:$Q$3,0))) *
N('PORTIFÓLIO'!$S$4:$S$564),
0
)
),
0)</f>
        <v>0</v>
      </c>
      <c r="M212" s="47">
        <f t="shared" si="10"/>
        <v>0</v>
      </c>
      <c r="N212" s="49">
        <f t="array" ref="N212">IFERROR(
SUM(
IF(
'PORTIFÓLIO'!$C$4:$C$564=$A212,
N(INDEX('PORTIFÓLIO'!$J$4:$Q$564,,MATCH(N$2,'PORTIFÓLIO'!$J$3:$Q$3,0))) *
N('PORTIFÓLIO'!$S$4:$S$564),
0
)
),
0)</f>
        <v>0</v>
      </c>
      <c r="O212" s="49">
        <f t="shared" si="11"/>
        <v>0</v>
      </c>
      <c r="P212" s="49">
        <f t="array" ref="P212">IFERROR(
SUM(
IF(
'PORTIFÓLIO'!$C$4:$C$564=$A212,
N(INDEX('PORTIFÓLIO'!$J$4:$Q$564,,MATCH(P$2,'PORTIFÓLIO'!$J$3:$Q$3,0))) *
N('PORTIFÓLIO'!$S$4:$S$564),
0
)
),
0)</f>
        <v>0</v>
      </c>
      <c r="Q212" s="49">
        <f t="shared" si="12"/>
        <v>0</v>
      </c>
      <c r="R212" s="49">
        <f t="shared" si="2"/>
        <v>0</v>
      </c>
      <c r="S212" s="49">
        <f t="shared" si="13"/>
        <v>0</v>
      </c>
    </row>
    <row r="213" ht="15.75" hidden="1" customHeight="1" outlineLevel="1">
      <c r="A213" s="48" t="str">
        <f>IFERROR(__xludf.DUMMYFUNCTION("""COMPUTED_VALUE"""),"CIPERMETRINA NORTOX")</f>
        <v>CIPERMETRINA NORTOX</v>
      </c>
      <c r="B213" s="49">
        <f t="array" ref="B213">IFERROR(
SUM(
IF(
'PORTIFÓLIO'!$C$4:$C$564=$A213,
N(INDEX('PORTIFÓLIO'!$J$4:$Q$564,,MATCH(B$2,'PORTIFÓLIO'!$J$3:$Q$3,0))) *
N('PORTIFÓLIO'!$S$4:$S$564),
0
)
),
0)</f>
        <v>0</v>
      </c>
      <c r="C213" s="49">
        <f t="shared" si="5"/>
        <v>0</v>
      </c>
      <c r="D213" s="49">
        <f t="array" ref="D213">IFERROR(
SUM(
IF(
'PORTIFÓLIO'!$C$4:$C$564=$A213,
N(INDEX('PORTIFÓLIO'!$J$4:$Q$564,,MATCH(D$2,'PORTIFÓLIO'!$J$3:$Q$3,0))) *
N('PORTIFÓLIO'!$S$4:$S$564),
0
)
),
0)</f>
        <v>0</v>
      </c>
      <c r="E213" s="49">
        <f t="shared" si="6"/>
        <v>0</v>
      </c>
      <c r="F213" s="49">
        <f t="array" ref="F213">IFERROR(
SUM(
IF(
'PORTIFÓLIO'!$C$4:$C$564=$A213,
N(INDEX('PORTIFÓLIO'!$J$4:$Q$564,,MATCH(F$2,'PORTIFÓLIO'!$J$3:$Q$3,0))) *
N('PORTIFÓLIO'!$S$4:$S$564),
0
)
),
0)</f>
        <v>0</v>
      </c>
      <c r="G213" s="47">
        <f t="shared" si="7"/>
        <v>0</v>
      </c>
      <c r="H213" s="49">
        <f t="array" ref="H213">IFERROR(
SUM(
IF(
'PORTIFÓLIO'!$C$4:$C$564=$A213,
N(INDEX('PORTIFÓLIO'!$J$4:$Q$564,,MATCH(H$2,'PORTIFÓLIO'!$J$3:$Q$3,0))) *
N('PORTIFÓLIO'!$S$4:$S$564),
0
)
),
0)</f>
        <v>0</v>
      </c>
      <c r="I213" s="47">
        <f t="shared" si="8"/>
        <v>0</v>
      </c>
      <c r="J213" s="49">
        <f t="array" ref="J213">IFERROR(
SUM(
IF(
'PORTIFÓLIO'!$C$4:$C$564=$A213,
N(INDEX('PORTIFÓLIO'!$J$4:$Q$564,,MATCH(J$2,'PORTIFÓLIO'!$J$3:$Q$3,0))) *
N('PORTIFÓLIO'!$S$4:$S$564),
0
)
),
0)</f>
        <v>0</v>
      </c>
      <c r="K213" s="47">
        <f t="shared" si="9"/>
        <v>0</v>
      </c>
      <c r="L213" s="49">
        <f t="array" ref="L213">IFERROR(
SUM(
IF(
'PORTIFÓLIO'!$C$4:$C$564=$A213,
N(INDEX('PORTIFÓLIO'!$J$4:$Q$564,,MATCH(L$2,'PORTIFÓLIO'!$J$3:$Q$3,0))) *
N('PORTIFÓLIO'!$S$4:$S$564),
0
)
),
0)</f>
        <v>0</v>
      </c>
      <c r="M213" s="47">
        <f t="shared" si="10"/>
        <v>0</v>
      </c>
      <c r="N213" s="49">
        <f t="array" ref="N213">IFERROR(
SUM(
IF(
'PORTIFÓLIO'!$C$4:$C$564=$A213,
N(INDEX('PORTIFÓLIO'!$J$4:$Q$564,,MATCH(N$2,'PORTIFÓLIO'!$J$3:$Q$3,0))) *
N('PORTIFÓLIO'!$S$4:$S$564),
0
)
),
0)</f>
        <v>0</v>
      </c>
      <c r="O213" s="49">
        <f t="shared" si="11"/>
        <v>0</v>
      </c>
      <c r="P213" s="49">
        <f t="array" ref="P213">IFERROR(
SUM(
IF(
'PORTIFÓLIO'!$C$4:$C$564=$A213,
N(INDEX('PORTIFÓLIO'!$J$4:$Q$564,,MATCH(P$2,'PORTIFÓLIO'!$J$3:$Q$3,0))) *
N('PORTIFÓLIO'!$S$4:$S$564),
0
)
),
0)</f>
        <v>0</v>
      </c>
      <c r="Q213" s="49">
        <f t="shared" si="12"/>
        <v>0</v>
      </c>
      <c r="R213" s="49">
        <f t="shared" si="2"/>
        <v>0</v>
      </c>
      <c r="S213" s="49">
        <f t="shared" si="13"/>
        <v>0</v>
      </c>
    </row>
    <row r="214" ht="15.75" hidden="1" customHeight="1" outlineLevel="1">
      <c r="A214" s="48" t="str">
        <f>IFERROR(__xludf.DUMMYFUNCTION("""COMPUTED_VALUE"""),"CLORANTRANILIPROLE NORTOX 400 SC")</f>
        <v>CLORANTRANILIPROLE NORTOX 400 SC</v>
      </c>
      <c r="B214" s="49">
        <f t="array" ref="B214">IFERROR(
SUM(
IF(
'PORTIFÓLIO'!$C$4:$C$564=$A214,
N(INDEX('PORTIFÓLIO'!$J$4:$Q$564,,MATCH(B$2,'PORTIFÓLIO'!$J$3:$Q$3,0))) *
N('PORTIFÓLIO'!$S$4:$S$564),
0
)
),
0)</f>
        <v>0</v>
      </c>
      <c r="C214" s="49">
        <f t="shared" si="5"/>
        <v>0</v>
      </c>
      <c r="D214" s="49">
        <f t="array" ref="D214">IFERROR(
SUM(
IF(
'PORTIFÓLIO'!$C$4:$C$564=$A214,
N(INDEX('PORTIFÓLIO'!$J$4:$Q$564,,MATCH(D$2,'PORTIFÓLIO'!$J$3:$Q$3,0))) *
N('PORTIFÓLIO'!$S$4:$S$564),
0
)
),
0)</f>
        <v>0</v>
      </c>
      <c r="E214" s="49">
        <f t="shared" si="6"/>
        <v>0</v>
      </c>
      <c r="F214" s="49">
        <f t="array" ref="F214">IFERROR(
SUM(
IF(
'PORTIFÓLIO'!$C$4:$C$564=$A214,
N(INDEX('PORTIFÓLIO'!$J$4:$Q$564,,MATCH(F$2,'PORTIFÓLIO'!$J$3:$Q$3,0))) *
N('PORTIFÓLIO'!$S$4:$S$564),
0
)
),
0)</f>
        <v>0</v>
      </c>
      <c r="G214" s="47">
        <f t="shared" si="7"/>
        <v>0</v>
      </c>
      <c r="H214" s="49">
        <f t="array" ref="H214">IFERROR(
SUM(
IF(
'PORTIFÓLIO'!$C$4:$C$564=$A214,
N(INDEX('PORTIFÓLIO'!$J$4:$Q$564,,MATCH(H$2,'PORTIFÓLIO'!$J$3:$Q$3,0))) *
N('PORTIFÓLIO'!$S$4:$S$564),
0
)
),
0)</f>
        <v>0</v>
      </c>
      <c r="I214" s="47">
        <f t="shared" si="8"/>
        <v>0</v>
      </c>
      <c r="J214" s="49">
        <f t="array" ref="J214">IFERROR(
SUM(
IF(
'PORTIFÓLIO'!$C$4:$C$564=$A214,
N(INDEX('PORTIFÓLIO'!$J$4:$Q$564,,MATCH(J$2,'PORTIFÓLIO'!$J$3:$Q$3,0))) *
N('PORTIFÓLIO'!$S$4:$S$564),
0
)
),
0)</f>
        <v>0</v>
      </c>
      <c r="K214" s="47">
        <f t="shared" si="9"/>
        <v>0</v>
      </c>
      <c r="L214" s="49">
        <f t="array" ref="L214">IFERROR(
SUM(
IF(
'PORTIFÓLIO'!$C$4:$C$564=$A214,
N(INDEX('PORTIFÓLIO'!$J$4:$Q$564,,MATCH(L$2,'PORTIFÓLIO'!$J$3:$Q$3,0))) *
N('PORTIFÓLIO'!$S$4:$S$564),
0
)
),
0)</f>
        <v>0</v>
      </c>
      <c r="M214" s="47">
        <f t="shared" si="10"/>
        <v>0</v>
      </c>
      <c r="N214" s="49">
        <f t="array" ref="N214">IFERROR(
SUM(
IF(
'PORTIFÓLIO'!$C$4:$C$564=$A214,
N(INDEX('PORTIFÓLIO'!$J$4:$Q$564,,MATCH(N$2,'PORTIFÓLIO'!$J$3:$Q$3,0))) *
N('PORTIFÓLIO'!$S$4:$S$564),
0
)
),
0)</f>
        <v>0</v>
      </c>
      <c r="O214" s="49">
        <f t="shared" si="11"/>
        <v>0</v>
      </c>
      <c r="P214" s="49">
        <f t="array" ref="P214">IFERROR(
SUM(
IF(
'PORTIFÓLIO'!$C$4:$C$564=$A214,
N(INDEX('PORTIFÓLIO'!$J$4:$Q$564,,MATCH(P$2,'PORTIFÓLIO'!$J$3:$Q$3,0))) *
N('PORTIFÓLIO'!$S$4:$S$564),
0
)
),
0)</f>
        <v>0</v>
      </c>
      <c r="Q214" s="49">
        <f t="shared" si="12"/>
        <v>0</v>
      </c>
      <c r="R214" s="49">
        <f t="shared" si="2"/>
        <v>0</v>
      </c>
      <c r="S214" s="49">
        <f t="shared" si="13"/>
        <v>0</v>
      </c>
    </row>
    <row r="215" ht="15.75" hidden="1" customHeight="1" outlineLevel="1">
      <c r="A215" s="48" t="str">
        <f>IFERROR(__xludf.DUMMYFUNCTION("""COMPUTED_VALUE"""),"CLORFENAPIR NORTOX")</f>
        <v>CLORFENAPIR NORTOX</v>
      </c>
      <c r="B215" s="49">
        <f t="array" ref="B215">IFERROR(
SUM(
IF(
'PORTIFÓLIO'!$C$4:$C$564=$A215,
N(INDEX('PORTIFÓLIO'!$J$4:$Q$564,,MATCH(B$2,'PORTIFÓLIO'!$J$3:$Q$3,0))) *
N('PORTIFÓLIO'!$S$4:$S$564),
0
)
),
0)</f>
        <v>37786.1442</v>
      </c>
      <c r="C215" s="49">
        <f t="shared" si="5"/>
        <v>77.11458</v>
      </c>
      <c r="D215" s="49">
        <f t="array" ref="D215">IFERROR(
SUM(
IF(
'PORTIFÓLIO'!$C$4:$C$564=$A215,
N(INDEX('PORTIFÓLIO'!$J$4:$Q$564,,MATCH(D$2,'PORTIFÓLIO'!$J$3:$Q$3,0))) *
N('PORTIFÓLIO'!$S$4:$S$564),
0
)
),
0)</f>
        <v>0</v>
      </c>
      <c r="E215" s="49">
        <f t="shared" si="6"/>
        <v>0</v>
      </c>
      <c r="F215" s="49">
        <f t="array" ref="F215">IFERROR(
SUM(
IF(
'PORTIFÓLIO'!$C$4:$C$564=$A215,
N(INDEX('PORTIFÓLIO'!$J$4:$Q$564,,MATCH(F$2,'PORTIFÓLIO'!$J$3:$Q$3,0))) *
N('PORTIFÓLIO'!$S$4:$S$564),
0
)
),
0)</f>
        <v>0</v>
      </c>
      <c r="G215" s="47">
        <f t="shared" si="7"/>
        <v>0</v>
      </c>
      <c r="H215" s="49">
        <f t="array" ref="H215">IFERROR(
SUM(
IF(
'PORTIFÓLIO'!$C$4:$C$564=$A215,
N(INDEX('PORTIFÓLIO'!$J$4:$Q$564,,MATCH(H$2,'PORTIFÓLIO'!$J$3:$Q$3,0))) *
N('PORTIFÓLIO'!$S$4:$S$564),
0
)
),
0)</f>
        <v>0</v>
      </c>
      <c r="I215" s="47">
        <f t="shared" si="8"/>
        <v>0</v>
      </c>
      <c r="J215" s="49">
        <f t="array" ref="J215">IFERROR(
SUM(
IF(
'PORTIFÓLIO'!$C$4:$C$564=$A215,
N(INDEX('PORTIFÓLIO'!$J$4:$Q$564,,MATCH(J$2,'PORTIFÓLIO'!$J$3:$Q$3,0))) *
N('PORTIFÓLIO'!$S$4:$S$564),
0
)
),
0)</f>
        <v>14497.54104</v>
      </c>
      <c r="K215" s="47">
        <f t="shared" si="9"/>
        <v>38.55729</v>
      </c>
      <c r="L215" s="49">
        <f t="array" ref="L215">IFERROR(
SUM(
IF(
'PORTIFÓLIO'!$C$4:$C$564=$A215,
N(INDEX('PORTIFÓLIO'!$J$4:$Q$564,,MATCH(L$2,'PORTIFÓLIO'!$J$3:$Q$3,0))) *
N('PORTIFÓLIO'!$S$4:$S$564),
0
)
),
0)</f>
        <v>25447.8114</v>
      </c>
      <c r="M215" s="47">
        <f t="shared" si="10"/>
        <v>115.67187</v>
      </c>
      <c r="N215" s="49">
        <f t="array" ref="N215">IFERROR(
SUM(
IF(
'PORTIFÓLIO'!$C$4:$C$564=$A215,
N(INDEX('PORTIFÓLIO'!$J$4:$Q$564,,MATCH(N$2,'PORTIFÓLIO'!$J$3:$Q$3,0))) *
N('PORTIFÓLIO'!$S$4:$S$564),
0
)
),
0)</f>
        <v>0</v>
      </c>
      <c r="O215" s="49">
        <f t="shared" si="11"/>
        <v>0</v>
      </c>
      <c r="P215" s="49">
        <f t="array" ref="P215">IFERROR(
SUM(
IF(
'PORTIFÓLIO'!$C$4:$C$564=$A215,
N(INDEX('PORTIFÓLIO'!$J$4:$Q$564,,MATCH(P$2,'PORTIFÓLIO'!$J$3:$Q$3,0))) *
N('PORTIFÓLIO'!$S$4:$S$564),
0
)
),
0)</f>
        <v>0</v>
      </c>
      <c r="Q215" s="49">
        <f t="shared" si="12"/>
        <v>0</v>
      </c>
      <c r="R215" s="49">
        <f t="shared" si="2"/>
        <v>77731.49664</v>
      </c>
      <c r="S215" s="49">
        <f t="shared" si="13"/>
        <v>23.24506478</v>
      </c>
    </row>
    <row r="216" ht="15.75" hidden="1" customHeight="1" outlineLevel="1">
      <c r="A216" s="48" t="str">
        <f>IFERROR(__xludf.DUMMYFUNCTION("""COMPUTED_VALUE"""),"CLORPIRIFÓS NORTOX EC")</f>
        <v>CLORPIRIFÓS NORTOX EC</v>
      </c>
      <c r="B216" s="49">
        <f t="array" ref="B216">IFERROR(
SUM(
IF(
'PORTIFÓLIO'!$C$4:$C$564=$A216,
N(INDEX('PORTIFÓLIO'!$J$4:$Q$564,,MATCH(B$2,'PORTIFÓLIO'!$J$3:$Q$3,0))) *
N('PORTIFÓLIO'!$S$4:$S$564),
0
)
),
0)</f>
        <v>0</v>
      </c>
      <c r="C216" s="49">
        <f t="shared" si="5"/>
        <v>0</v>
      </c>
      <c r="D216" s="49">
        <f t="array" ref="D216">IFERROR(
SUM(
IF(
'PORTIFÓLIO'!$C$4:$C$564=$A216,
N(INDEX('PORTIFÓLIO'!$J$4:$Q$564,,MATCH(D$2,'PORTIFÓLIO'!$J$3:$Q$3,0))) *
N('PORTIFÓLIO'!$S$4:$S$564),
0
)
),
0)</f>
        <v>0</v>
      </c>
      <c r="E216" s="49">
        <f t="shared" si="6"/>
        <v>0</v>
      </c>
      <c r="F216" s="49">
        <f t="array" ref="F216">IFERROR(
SUM(
IF(
'PORTIFÓLIO'!$C$4:$C$564=$A216,
N(INDEX('PORTIFÓLIO'!$J$4:$Q$564,,MATCH(F$2,'PORTIFÓLIO'!$J$3:$Q$3,0))) *
N('PORTIFÓLIO'!$S$4:$S$564),
0
)
),
0)</f>
        <v>0</v>
      </c>
      <c r="G216" s="47">
        <f t="shared" si="7"/>
        <v>0</v>
      </c>
      <c r="H216" s="49">
        <f t="array" ref="H216">IFERROR(
SUM(
IF(
'PORTIFÓLIO'!$C$4:$C$564=$A216,
N(INDEX('PORTIFÓLIO'!$J$4:$Q$564,,MATCH(H$2,'PORTIFÓLIO'!$J$3:$Q$3,0))) *
N('PORTIFÓLIO'!$S$4:$S$564),
0
)
),
0)</f>
        <v>0</v>
      </c>
      <c r="I216" s="47">
        <f t="shared" si="8"/>
        <v>0</v>
      </c>
      <c r="J216" s="49">
        <f t="array" ref="J216">IFERROR(
SUM(
IF(
'PORTIFÓLIO'!$C$4:$C$564=$A216,
N(INDEX('PORTIFÓLIO'!$J$4:$Q$564,,MATCH(J$2,'PORTIFÓLIO'!$J$3:$Q$3,0))) *
N('PORTIFÓLIO'!$S$4:$S$564),
0
)
),
0)</f>
        <v>0</v>
      </c>
      <c r="K216" s="47">
        <f t="shared" si="9"/>
        <v>0</v>
      </c>
      <c r="L216" s="49">
        <f t="array" ref="L216">IFERROR(
SUM(
IF(
'PORTIFÓLIO'!$C$4:$C$564=$A216,
N(INDEX('PORTIFÓLIO'!$J$4:$Q$564,,MATCH(L$2,'PORTIFÓLIO'!$J$3:$Q$3,0))) *
N('PORTIFÓLIO'!$S$4:$S$564),
0
)
),
0)</f>
        <v>0</v>
      </c>
      <c r="M216" s="47">
        <f t="shared" si="10"/>
        <v>0</v>
      </c>
      <c r="N216" s="49">
        <f t="array" ref="N216">IFERROR(
SUM(
IF(
'PORTIFÓLIO'!$C$4:$C$564=$A216,
N(INDEX('PORTIFÓLIO'!$J$4:$Q$564,,MATCH(N$2,'PORTIFÓLIO'!$J$3:$Q$3,0))) *
N('PORTIFÓLIO'!$S$4:$S$564),
0
)
),
0)</f>
        <v>0</v>
      </c>
      <c r="O216" s="49">
        <f t="shared" si="11"/>
        <v>0</v>
      </c>
      <c r="P216" s="49">
        <f t="array" ref="P216">IFERROR(
SUM(
IF(
'PORTIFÓLIO'!$C$4:$C$564=$A216,
N(INDEX('PORTIFÓLIO'!$J$4:$Q$564,,MATCH(P$2,'PORTIFÓLIO'!$J$3:$Q$3,0))) *
N('PORTIFÓLIO'!$S$4:$S$564),
0
)
),
0)</f>
        <v>0</v>
      </c>
      <c r="Q216" s="49">
        <f t="shared" si="12"/>
        <v>0</v>
      </c>
      <c r="R216" s="49">
        <f t="shared" si="2"/>
        <v>0</v>
      </c>
      <c r="S216" s="49">
        <f t="shared" si="13"/>
        <v>0</v>
      </c>
    </row>
    <row r="217" ht="15.75" hidden="1" customHeight="1" outlineLevel="1">
      <c r="A217" s="48" t="str">
        <f>IFERROR(__xludf.DUMMYFUNCTION("""COMPUTED_VALUE"""),"DIAFENTIURON NORTOX")</f>
        <v>DIAFENTIURON NORTOX</v>
      </c>
      <c r="B217" s="49">
        <f t="array" ref="B217">IFERROR(
SUM(
IF(
'PORTIFÓLIO'!$C$4:$C$564=$A217,
N(INDEX('PORTIFÓLIO'!$J$4:$Q$564,,MATCH(B$2,'PORTIFÓLIO'!$J$3:$Q$3,0))) *
N('PORTIFÓLIO'!$S$4:$S$564),
0
)
),
0)</f>
        <v>0</v>
      </c>
      <c r="C217" s="49">
        <f t="shared" si="5"/>
        <v>0</v>
      </c>
      <c r="D217" s="49">
        <f t="array" ref="D217">IFERROR(
SUM(
IF(
'PORTIFÓLIO'!$C$4:$C$564=$A217,
N(INDEX('PORTIFÓLIO'!$J$4:$Q$564,,MATCH(D$2,'PORTIFÓLIO'!$J$3:$Q$3,0))) *
N('PORTIFÓLIO'!$S$4:$S$564),
0
)
),
0)</f>
        <v>0</v>
      </c>
      <c r="E217" s="49">
        <f t="shared" si="6"/>
        <v>0</v>
      </c>
      <c r="F217" s="49">
        <f t="array" ref="F217">IFERROR(
SUM(
IF(
'PORTIFÓLIO'!$C$4:$C$564=$A217,
N(INDEX('PORTIFÓLIO'!$J$4:$Q$564,,MATCH(F$2,'PORTIFÓLIO'!$J$3:$Q$3,0))) *
N('PORTIFÓLIO'!$S$4:$S$564),
0
)
),
0)</f>
        <v>0</v>
      </c>
      <c r="G217" s="47">
        <f t="shared" si="7"/>
        <v>0</v>
      </c>
      <c r="H217" s="49">
        <f t="array" ref="H217">IFERROR(
SUM(
IF(
'PORTIFÓLIO'!$C$4:$C$564=$A217,
N(INDEX('PORTIFÓLIO'!$J$4:$Q$564,,MATCH(H$2,'PORTIFÓLIO'!$J$3:$Q$3,0))) *
N('PORTIFÓLIO'!$S$4:$S$564),
0
)
),
0)</f>
        <v>0</v>
      </c>
      <c r="I217" s="47">
        <f t="shared" si="8"/>
        <v>0</v>
      </c>
      <c r="J217" s="49">
        <f t="array" ref="J217">IFERROR(
SUM(
IF(
'PORTIFÓLIO'!$C$4:$C$564=$A217,
N(INDEX('PORTIFÓLIO'!$J$4:$Q$564,,MATCH(J$2,'PORTIFÓLIO'!$J$3:$Q$3,0))) *
N('PORTIFÓLIO'!$S$4:$S$564),
0
)
),
0)</f>
        <v>0</v>
      </c>
      <c r="K217" s="47">
        <f t="shared" si="9"/>
        <v>0</v>
      </c>
      <c r="L217" s="49">
        <f t="array" ref="L217">IFERROR(
SUM(
IF(
'PORTIFÓLIO'!$C$4:$C$564=$A217,
N(INDEX('PORTIFÓLIO'!$J$4:$Q$564,,MATCH(L$2,'PORTIFÓLIO'!$J$3:$Q$3,0))) *
N('PORTIFÓLIO'!$S$4:$S$564),
0
)
),
0)</f>
        <v>0</v>
      </c>
      <c r="M217" s="47">
        <f t="shared" si="10"/>
        <v>0</v>
      </c>
      <c r="N217" s="49">
        <f t="array" ref="N217">IFERROR(
SUM(
IF(
'PORTIFÓLIO'!$C$4:$C$564=$A217,
N(INDEX('PORTIFÓLIO'!$J$4:$Q$564,,MATCH(N$2,'PORTIFÓLIO'!$J$3:$Q$3,0))) *
N('PORTIFÓLIO'!$S$4:$S$564),
0
)
),
0)</f>
        <v>0</v>
      </c>
      <c r="O217" s="49">
        <f t="shared" si="11"/>
        <v>0</v>
      </c>
      <c r="P217" s="49">
        <f t="array" ref="P217">IFERROR(
SUM(
IF(
'PORTIFÓLIO'!$C$4:$C$564=$A217,
N(INDEX('PORTIFÓLIO'!$J$4:$Q$564,,MATCH(P$2,'PORTIFÓLIO'!$J$3:$Q$3,0))) *
N('PORTIFÓLIO'!$S$4:$S$564),
0
)
),
0)</f>
        <v>0</v>
      </c>
      <c r="Q217" s="49">
        <f t="shared" si="12"/>
        <v>0</v>
      </c>
      <c r="R217" s="49">
        <f t="shared" si="2"/>
        <v>0</v>
      </c>
      <c r="S217" s="49">
        <f t="shared" si="13"/>
        <v>0</v>
      </c>
    </row>
    <row r="218" ht="15.75" hidden="1" customHeight="1" outlineLevel="1">
      <c r="A218" s="48" t="str">
        <f>IFERROR(__xludf.DUMMYFUNCTION("""COMPUTED_VALUE"""),"IMIDACLOPRID NORTOX 480 SC")</f>
        <v>IMIDACLOPRID NORTOX 480 SC</v>
      </c>
      <c r="B218" s="49">
        <f t="array" ref="B218">IFERROR(
SUM(
IF(
'PORTIFÓLIO'!$C$4:$C$564=$A218,
N(INDEX('PORTIFÓLIO'!$J$4:$Q$564,,MATCH(B$2,'PORTIFÓLIO'!$J$3:$Q$3,0))) *
N('PORTIFÓLIO'!$S$4:$S$564),
0
)
),
0)</f>
        <v>0</v>
      </c>
      <c r="C218" s="49">
        <f t="shared" si="5"/>
        <v>0</v>
      </c>
      <c r="D218" s="49">
        <f t="array" ref="D218">IFERROR(
SUM(
IF(
'PORTIFÓLIO'!$C$4:$C$564=$A218,
N(INDEX('PORTIFÓLIO'!$J$4:$Q$564,,MATCH(D$2,'PORTIFÓLIO'!$J$3:$Q$3,0))) *
N('PORTIFÓLIO'!$S$4:$S$564),
0
)
),
0)</f>
        <v>4216.62375</v>
      </c>
      <c r="E218" s="49">
        <f t="shared" si="6"/>
        <v>14.0554125</v>
      </c>
      <c r="F218" s="49">
        <f t="array" ref="F218">IFERROR(
SUM(
IF(
'PORTIFÓLIO'!$C$4:$C$564=$A218,
N(INDEX('PORTIFÓLIO'!$J$4:$Q$564,,MATCH(F$2,'PORTIFÓLIO'!$J$3:$Q$3,0))) *
N('PORTIFÓLIO'!$S$4:$S$564),
0
)
),
0)</f>
        <v>3092.19075</v>
      </c>
      <c r="G218" s="47">
        <f t="shared" si="7"/>
        <v>14.0554125</v>
      </c>
      <c r="H218" s="49">
        <f t="array" ref="H218">IFERROR(
SUM(
IF(
'PORTIFÓLIO'!$C$4:$C$564=$A218,
N(INDEX('PORTIFÓLIO'!$J$4:$Q$564,,MATCH(H$2,'PORTIFÓLIO'!$J$3:$Q$3,0))) *
N('PORTIFÓLIO'!$S$4:$S$564),
0
)
),
0)</f>
        <v>0</v>
      </c>
      <c r="I218" s="47">
        <f t="shared" si="8"/>
        <v>0</v>
      </c>
      <c r="J218" s="49">
        <f t="array" ref="J218">IFERROR(
SUM(
IF(
'PORTIFÓLIO'!$C$4:$C$564=$A218,
N(INDEX('PORTIFÓLIO'!$J$4:$Q$564,,MATCH(J$2,'PORTIFÓLIO'!$J$3:$Q$3,0))) *
N('PORTIFÓLIO'!$S$4:$S$564),
0
)
),
0)</f>
        <v>0</v>
      </c>
      <c r="K218" s="47">
        <f t="shared" si="9"/>
        <v>0</v>
      </c>
      <c r="L218" s="49">
        <f t="array" ref="L218">IFERROR(
SUM(
IF(
'PORTIFÓLIO'!$C$4:$C$564=$A218,
N(INDEX('PORTIFÓLIO'!$J$4:$Q$564,,MATCH(L$2,'PORTIFÓLIO'!$J$3:$Q$3,0))) *
N('PORTIFÓLIO'!$S$4:$S$564),
0
)
),
0)</f>
        <v>3092.19075</v>
      </c>
      <c r="M218" s="47">
        <f t="shared" si="10"/>
        <v>14.0554125</v>
      </c>
      <c r="N218" s="49">
        <f t="array" ref="N218">IFERROR(
SUM(
IF(
'PORTIFÓLIO'!$C$4:$C$564=$A218,
N(INDEX('PORTIFÓLIO'!$J$4:$Q$564,,MATCH(N$2,'PORTIFÓLIO'!$J$3:$Q$3,0))) *
N('PORTIFÓLIO'!$S$4:$S$564),
0
)
),
0)</f>
        <v>17119.49243</v>
      </c>
      <c r="O218" s="49">
        <f t="shared" si="11"/>
        <v>14.0554125</v>
      </c>
      <c r="P218" s="49">
        <f t="array" ref="P218">IFERROR(
SUM(
IF(
'PORTIFÓLIO'!$C$4:$C$564=$A218,
N(INDEX('PORTIFÓLIO'!$J$4:$Q$564,,MATCH(P$2,'PORTIFÓLIO'!$J$3:$Q$3,0))) *
N('PORTIFÓLIO'!$S$4:$S$564),
0
)
),
0)</f>
        <v>4497.732</v>
      </c>
      <c r="Q218" s="49">
        <f t="shared" si="12"/>
        <v>14.0554125</v>
      </c>
      <c r="R218" s="49">
        <f t="shared" si="2"/>
        <v>28926.03893</v>
      </c>
      <c r="S218" s="49">
        <f t="shared" si="13"/>
        <v>8.650131257</v>
      </c>
    </row>
    <row r="219" ht="15.75" hidden="1" customHeight="1" outlineLevel="1">
      <c r="A219" s="48" t="str">
        <f>IFERROR(__xludf.DUMMYFUNCTION("""COMPUTED_VALUE"""),"METOMIL 215 SL NORTOX")</f>
        <v>METOMIL 215 SL NORTOX</v>
      </c>
      <c r="B219" s="49">
        <f t="array" ref="B219">IFERROR(
SUM(
IF(
'PORTIFÓLIO'!$C$4:$C$564=$A219,
N(INDEX('PORTIFÓLIO'!$J$4:$Q$564,,MATCH(B$2,'PORTIFÓLIO'!$J$3:$Q$3,0))) *
N('PORTIFÓLIO'!$S$4:$S$564),
0
)
),
0)</f>
        <v>10992.16755</v>
      </c>
      <c r="C219" s="49">
        <f t="shared" si="5"/>
        <v>22.432995</v>
      </c>
      <c r="D219" s="49">
        <f t="array" ref="D219">IFERROR(
SUM(
IF(
'PORTIFÓLIO'!$C$4:$C$564=$A219,
N(INDEX('PORTIFÓLIO'!$J$4:$Q$564,,MATCH(D$2,'PORTIFÓLIO'!$J$3:$Q$3,0))) *
N('PORTIFÓLIO'!$S$4:$S$564),
0
)
),
0)</f>
        <v>0</v>
      </c>
      <c r="E219" s="49">
        <f t="shared" si="6"/>
        <v>0</v>
      </c>
      <c r="F219" s="49">
        <f t="array" ref="F219">IFERROR(
SUM(
IF(
'PORTIFÓLIO'!$C$4:$C$564=$A219,
N(INDEX('PORTIFÓLIO'!$J$4:$Q$564,,MATCH(F$2,'PORTIFÓLIO'!$J$3:$Q$3,0))) *
N('PORTIFÓLIO'!$S$4:$S$564),
0
)
),
0)</f>
        <v>0</v>
      </c>
      <c r="G219" s="47">
        <f t="shared" si="7"/>
        <v>0</v>
      </c>
      <c r="H219" s="49">
        <f t="array" ref="H219">IFERROR(
SUM(
IF(
'PORTIFÓLIO'!$C$4:$C$564=$A219,
N(INDEX('PORTIFÓLIO'!$J$4:$Q$564,,MATCH(H$2,'PORTIFÓLIO'!$J$3:$Q$3,0))) *
N('PORTIFÓLIO'!$S$4:$S$564),
0
)
),
0)</f>
        <v>0</v>
      </c>
      <c r="I219" s="47">
        <f t="shared" si="8"/>
        <v>0</v>
      </c>
      <c r="J219" s="49">
        <f t="array" ref="J219">IFERROR(
SUM(
IF(
'PORTIFÓLIO'!$C$4:$C$564=$A219,
N(INDEX('PORTIFÓLIO'!$J$4:$Q$564,,MATCH(J$2,'PORTIFÓLIO'!$J$3:$Q$3,0))) *
N('PORTIFÓLIO'!$S$4:$S$564),
0
)
),
0)</f>
        <v>0</v>
      </c>
      <c r="K219" s="47">
        <f t="shared" si="9"/>
        <v>0</v>
      </c>
      <c r="L219" s="49">
        <f t="array" ref="L219">IFERROR(
SUM(
IF(
'PORTIFÓLIO'!$C$4:$C$564=$A219,
N(INDEX('PORTIFÓLIO'!$J$4:$Q$564,,MATCH(L$2,'PORTIFÓLIO'!$J$3:$Q$3,0))) *
N('PORTIFÓLIO'!$S$4:$S$564),
0
)
),
0)</f>
        <v>0</v>
      </c>
      <c r="M219" s="47">
        <f t="shared" si="10"/>
        <v>0</v>
      </c>
      <c r="N219" s="49">
        <f t="array" ref="N219">IFERROR(
SUM(
IF(
'PORTIFÓLIO'!$C$4:$C$564=$A219,
N(INDEX('PORTIFÓLIO'!$J$4:$Q$564,,MATCH(N$2,'PORTIFÓLIO'!$J$3:$Q$3,0))) *
N('PORTIFÓLIO'!$S$4:$S$564),
0
)
),
0)</f>
        <v>0</v>
      </c>
      <c r="O219" s="49">
        <f t="shared" si="11"/>
        <v>0</v>
      </c>
      <c r="P219" s="49">
        <f t="array" ref="P219">IFERROR(
SUM(
IF(
'PORTIFÓLIO'!$C$4:$C$564=$A219,
N(INDEX('PORTIFÓLIO'!$J$4:$Q$564,,MATCH(P$2,'PORTIFÓLIO'!$J$3:$Q$3,0))) *
N('PORTIFÓLIO'!$S$4:$S$564),
0
)
),
0)</f>
        <v>0</v>
      </c>
      <c r="Q219" s="49">
        <f t="shared" si="12"/>
        <v>0</v>
      </c>
      <c r="R219" s="49">
        <f t="shared" si="2"/>
        <v>10992.16755</v>
      </c>
      <c r="S219" s="49">
        <f t="shared" si="13"/>
        <v>3.287131444</v>
      </c>
    </row>
    <row r="220" ht="15.75" hidden="1" customHeight="1" outlineLevel="1">
      <c r="A220" s="48" t="str">
        <f>IFERROR(__xludf.DUMMYFUNCTION("""COMPUTED_VALUE"""),"PIRIPROXIFEN NORTOX")</f>
        <v>PIRIPROXIFEN NORTOX</v>
      </c>
      <c r="B220" s="49">
        <f t="array" ref="B220">IFERROR(
SUM(
IF(
'PORTIFÓLIO'!$C$4:$C$564=$A220,
N(INDEX('PORTIFÓLIO'!$J$4:$Q$564,,MATCH(B$2,'PORTIFÓLIO'!$J$3:$Q$3,0))) *
N('PORTIFÓLIO'!$S$4:$S$564),
0
)
),
0)</f>
        <v>0</v>
      </c>
      <c r="C220" s="49">
        <f t="shared" si="5"/>
        <v>0</v>
      </c>
      <c r="D220" s="49">
        <f t="array" ref="D220">IFERROR(
SUM(
IF(
'PORTIFÓLIO'!$C$4:$C$564=$A220,
N(INDEX('PORTIFÓLIO'!$J$4:$Q$564,,MATCH(D$2,'PORTIFÓLIO'!$J$3:$Q$3,0))) *
N('PORTIFÓLIO'!$S$4:$S$564),
0
)
),
0)</f>
        <v>0</v>
      </c>
      <c r="E220" s="49">
        <f t="shared" si="6"/>
        <v>0</v>
      </c>
      <c r="F220" s="49">
        <f t="array" ref="F220">IFERROR(
SUM(
IF(
'PORTIFÓLIO'!$C$4:$C$564=$A220,
N(INDEX('PORTIFÓLIO'!$J$4:$Q$564,,MATCH(F$2,'PORTIFÓLIO'!$J$3:$Q$3,0))) *
N('PORTIFÓLIO'!$S$4:$S$564),
0
)
),
0)</f>
        <v>0</v>
      </c>
      <c r="G220" s="47">
        <f t="shared" si="7"/>
        <v>0</v>
      </c>
      <c r="H220" s="49">
        <f t="array" ref="H220">IFERROR(
SUM(
IF(
'PORTIFÓLIO'!$C$4:$C$564=$A220,
N(INDEX('PORTIFÓLIO'!$J$4:$Q$564,,MATCH(H$2,'PORTIFÓLIO'!$J$3:$Q$3,0))) *
N('PORTIFÓLIO'!$S$4:$S$564),
0
)
),
0)</f>
        <v>0</v>
      </c>
      <c r="I220" s="47">
        <f t="shared" si="8"/>
        <v>0</v>
      </c>
      <c r="J220" s="49">
        <f t="array" ref="J220">IFERROR(
SUM(
IF(
'PORTIFÓLIO'!$C$4:$C$564=$A220,
N(INDEX('PORTIFÓLIO'!$J$4:$Q$564,,MATCH(J$2,'PORTIFÓLIO'!$J$3:$Q$3,0))) *
N('PORTIFÓLIO'!$S$4:$S$564),
0
)
),
0)</f>
        <v>0</v>
      </c>
      <c r="K220" s="47">
        <f t="shared" si="9"/>
        <v>0</v>
      </c>
      <c r="L220" s="49">
        <f t="array" ref="L220">IFERROR(
SUM(
IF(
'PORTIFÓLIO'!$C$4:$C$564=$A220,
N(INDEX('PORTIFÓLIO'!$J$4:$Q$564,,MATCH(L$2,'PORTIFÓLIO'!$J$3:$Q$3,0))) *
N('PORTIFÓLIO'!$S$4:$S$564),
0
)
),
0)</f>
        <v>0</v>
      </c>
      <c r="M220" s="47">
        <f t="shared" si="10"/>
        <v>0</v>
      </c>
      <c r="N220" s="49">
        <f t="array" ref="N220">IFERROR(
SUM(
IF(
'PORTIFÓLIO'!$C$4:$C$564=$A220,
N(INDEX('PORTIFÓLIO'!$J$4:$Q$564,,MATCH(N$2,'PORTIFÓLIO'!$J$3:$Q$3,0))) *
N('PORTIFÓLIO'!$S$4:$S$564),
0
)
),
0)</f>
        <v>0</v>
      </c>
      <c r="O220" s="49">
        <f t="shared" si="11"/>
        <v>0</v>
      </c>
      <c r="P220" s="49">
        <f t="array" ref="P220">IFERROR(
SUM(
IF(
'PORTIFÓLIO'!$C$4:$C$564=$A220,
N(INDEX('PORTIFÓLIO'!$J$4:$Q$564,,MATCH(P$2,'PORTIFÓLIO'!$J$3:$Q$3,0))) *
N('PORTIFÓLIO'!$S$4:$S$564),
0
)
),
0)</f>
        <v>0</v>
      </c>
      <c r="Q220" s="49">
        <f t="shared" si="12"/>
        <v>0</v>
      </c>
      <c r="R220" s="49">
        <f t="shared" si="2"/>
        <v>0</v>
      </c>
      <c r="S220" s="49">
        <f t="shared" si="13"/>
        <v>0</v>
      </c>
    </row>
    <row r="221" ht="15.75" hidden="1" customHeight="1" outlineLevel="1">
      <c r="A221" s="48" t="str">
        <f>IFERROR(__xludf.DUMMYFUNCTION("""COMPUTED_VALUE"""),"TEMPUS NORTOX")</f>
        <v>TEMPUS NORTOX</v>
      </c>
      <c r="B221" s="49">
        <f t="array" ref="B221">IFERROR(
SUM(
IF(
'PORTIFÓLIO'!$C$4:$C$564=$A221,
N(INDEX('PORTIFÓLIO'!$J$4:$Q$564,,MATCH(B$2,'PORTIFÓLIO'!$J$3:$Q$3,0))) *
N('PORTIFÓLIO'!$S$4:$S$564),
0
)
),
0)</f>
        <v>0</v>
      </c>
      <c r="C221" s="49">
        <f t="shared" si="5"/>
        <v>0</v>
      </c>
      <c r="D221" s="49">
        <f t="array" ref="D221">IFERROR(
SUM(
IF(
'PORTIFÓLIO'!$C$4:$C$564=$A221,
N(INDEX('PORTIFÓLIO'!$J$4:$Q$564,,MATCH(D$2,'PORTIFÓLIO'!$J$3:$Q$3,0))) *
N('PORTIFÓLIO'!$S$4:$S$564),
0
)
),
0)</f>
        <v>0</v>
      </c>
      <c r="E221" s="49">
        <f t="shared" si="6"/>
        <v>0</v>
      </c>
      <c r="F221" s="49">
        <f t="array" ref="F221">IFERROR(
SUM(
IF(
'PORTIFÓLIO'!$C$4:$C$564=$A221,
N(INDEX('PORTIFÓLIO'!$J$4:$Q$564,,MATCH(F$2,'PORTIFÓLIO'!$J$3:$Q$3,0))) *
N('PORTIFÓLIO'!$S$4:$S$564),
0
)
),
0)</f>
        <v>0</v>
      </c>
      <c r="G221" s="47">
        <f t="shared" si="7"/>
        <v>0</v>
      </c>
      <c r="H221" s="49">
        <f t="array" ref="H221">IFERROR(
SUM(
IF(
'PORTIFÓLIO'!$C$4:$C$564=$A221,
N(INDEX('PORTIFÓLIO'!$J$4:$Q$564,,MATCH(H$2,'PORTIFÓLIO'!$J$3:$Q$3,0))) *
N('PORTIFÓLIO'!$S$4:$S$564),
0
)
),
0)</f>
        <v>0</v>
      </c>
      <c r="I221" s="47">
        <f t="shared" si="8"/>
        <v>0</v>
      </c>
      <c r="J221" s="49">
        <f t="array" ref="J221">IFERROR(
SUM(
IF(
'PORTIFÓLIO'!$C$4:$C$564=$A221,
N(INDEX('PORTIFÓLIO'!$J$4:$Q$564,,MATCH(J$2,'PORTIFÓLIO'!$J$3:$Q$3,0))) *
N('PORTIFÓLIO'!$S$4:$S$564),
0
)
),
0)</f>
        <v>0</v>
      </c>
      <c r="K221" s="47">
        <f t="shared" si="9"/>
        <v>0</v>
      </c>
      <c r="L221" s="49">
        <f t="array" ref="L221">IFERROR(
SUM(
IF(
'PORTIFÓLIO'!$C$4:$C$564=$A221,
N(INDEX('PORTIFÓLIO'!$J$4:$Q$564,,MATCH(L$2,'PORTIFÓLIO'!$J$3:$Q$3,0))) *
N('PORTIFÓLIO'!$S$4:$S$564),
0
)
),
0)</f>
        <v>0</v>
      </c>
      <c r="M221" s="47">
        <f t="shared" si="10"/>
        <v>0</v>
      </c>
      <c r="N221" s="49">
        <f t="array" ref="N221">IFERROR(
SUM(
IF(
'PORTIFÓLIO'!$C$4:$C$564=$A221,
N(INDEX('PORTIFÓLIO'!$J$4:$Q$564,,MATCH(N$2,'PORTIFÓLIO'!$J$3:$Q$3,0))) *
N('PORTIFÓLIO'!$S$4:$S$564),
0
)
),
0)</f>
        <v>0</v>
      </c>
      <c r="O221" s="49">
        <f t="shared" si="11"/>
        <v>0</v>
      </c>
      <c r="P221" s="49">
        <f t="array" ref="P221">IFERROR(
SUM(
IF(
'PORTIFÓLIO'!$C$4:$C$564=$A221,
N(INDEX('PORTIFÓLIO'!$J$4:$Q$564,,MATCH(P$2,'PORTIFÓLIO'!$J$3:$Q$3,0))) *
N('PORTIFÓLIO'!$S$4:$S$564),
0
)
),
0)</f>
        <v>0</v>
      </c>
      <c r="Q221" s="49">
        <f t="shared" si="12"/>
        <v>0</v>
      </c>
      <c r="R221" s="49">
        <f t="shared" si="2"/>
        <v>0</v>
      </c>
      <c r="S221" s="49">
        <f t="shared" si="13"/>
        <v>0</v>
      </c>
    </row>
    <row r="222" ht="15.75" hidden="1" customHeight="1" outlineLevel="1">
      <c r="A222" s="48" t="str">
        <f>IFERROR(__xludf.DUMMYFUNCTION("""COMPUTED_VALUE"""),"TYPHOON NORTOX")</f>
        <v>TYPHOON NORTOX</v>
      </c>
      <c r="B222" s="49">
        <f t="array" ref="B222">IFERROR(
SUM(
IF(
'PORTIFÓLIO'!$C$4:$C$564=$A222,
N(INDEX('PORTIFÓLIO'!$J$4:$Q$564,,MATCH(B$2,'PORTIFÓLIO'!$J$3:$Q$3,0))) *
N('PORTIFÓLIO'!$S$4:$S$564),
0
)
),
0)</f>
        <v>0</v>
      </c>
      <c r="C222" s="49">
        <f t="shared" si="5"/>
        <v>0</v>
      </c>
      <c r="D222" s="49">
        <f t="array" ref="D222">IFERROR(
SUM(
IF(
'PORTIFÓLIO'!$C$4:$C$564=$A222,
N(INDEX('PORTIFÓLIO'!$J$4:$Q$564,,MATCH(D$2,'PORTIFÓLIO'!$J$3:$Q$3,0))) *
N('PORTIFÓLIO'!$S$4:$S$564),
0
)
),
0)</f>
        <v>0</v>
      </c>
      <c r="E222" s="49">
        <f t="shared" si="6"/>
        <v>0</v>
      </c>
      <c r="F222" s="49">
        <f t="array" ref="F222">IFERROR(
SUM(
IF(
'PORTIFÓLIO'!$C$4:$C$564=$A222,
N(INDEX('PORTIFÓLIO'!$J$4:$Q$564,,MATCH(F$2,'PORTIFÓLIO'!$J$3:$Q$3,0))) *
N('PORTIFÓLIO'!$S$4:$S$564),
0
)
),
0)</f>
        <v>0</v>
      </c>
      <c r="G222" s="47">
        <f t="shared" si="7"/>
        <v>0</v>
      </c>
      <c r="H222" s="49">
        <f t="array" ref="H222">IFERROR(
SUM(
IF(
'PORTIFÓLIO'!$C$4:$C$564=$A222,
N(INDEX('PORTIFÓLIO'!$J$4:$Q$564,,MATCH(H$2,'PORTIFÓLIO'!$J$3:$Q$3,0))) *
N('PORTIFÓLIO'!$S$4:$S$564),
0
)
),
0)</f>
        <v>0</v>
      </c>
      <c r="I222" s="47">
        <f t="shared" si="8"/>
        <v>0</v>
      </c>
      <c r="J222" s="49">
        <f t="array" ref="J222">IFERROR(
SUM(
IF(
'PORTIFÓLIO'!$C$4:$C$564=$A222,
N(INDEX('PORTIFÓLIO'!$J$4:$Q$564,,MATCH(J$2,'PORTIFÓLIO'!$J$3:$Q$3,0))) *
N('PORTIFÓLIO'!$S$4:$S$564),
0
)
),
0)</f>
        <v>0</v>
      </c>
      <c r="K222" s="47">
        <f t="shared" si="9"/>
        <v>0</v>
      </c>
      <c r="L222" s="49">
        <f t="array" ref="L222">IFERROR(
SUM(
IF(
'PORTIFÓLIO'!$C$4:$C$564=$A222,
N(INDEX('PORTIFÓLIO'!$J$4:$Q$564,,MATCH(L$2,'PORTIFÓLIO'!$J$3:$Q$3,0))) *
N('PORTIFÓLIO'!$S$4:$S$564),
0
)
),
0)</f>
        <v>0</v>
      </c>
      <c r="M222" s="47">
        <f t="shared" si="10"/>
        <v>0</v>
      </c>
      <c r="N222" s="49">
        <f t="array" ref="N222">IFERROR(
SUM(
IF(
'PORTIFÓLIO'!$C$4:$C$564=$A222,
N(INDEX('PORTIFÓLIO'!$J$4:$Q$564,,MATCH(N$2,'PORTIFÓLIO'!$J$3:$Q$3,0))) *
N('PORTIFÓLIO'!$S$4:$S$564),
0
)
),
0)</f>
        <v>0</v>
      </c>
      <c r="O222" s="49">
        <f t="shared" si="11"/>
        <v>0</v>
      </c>
      <c r="P222" s="49">
        <f t="array" ref="P222">IFERROR(
SUM(
IF(
'PORTIFÓLIO'!$C$4:$C$564=$A222,
N(INDEX('PORTIFÓLIO'!$J$4:$Q$564,,MATCH(P$2,'PORTIFÓLIO'!$J$3:$Q$3,0))) *
N('PORTIFÓLIO'!$S$4:$S$564),
0
)
),
0)</f>
        <v>0</v>
      </c>
      <c r="Q222" s="49">
        <f t="shared" si="12"/>
        <v>0</v>
      </c>
      <c r="R222" s="49">
        <f t="shared" si="2"/>
        <v>0</v>
      </c>
      <c r="S222" s="49">
        <f t="shared" si="13"/>
        <v>0</v>
      </c>
    </row>
    <row r="223" ht="15.75" hidden="1" customHeight="1" outlineLevel="1">
      <c r="A223" s="48" t="str">
        <f>IFERROR(__xludf.DUMMYFUNCTION("""COMPUTED_VALUE"""),"ABADAY")</f>
        <v>ABADAY</v>
      </c>
      <c r="B223" s="49">
        <f t="array" ref="B223">IFERROR(
SUM(
IF(
'PORTIFÓLIO'!$C$4:$C$564=$A223,
N(INDEX('PORTIFÓLIO'!$J$4:$Q$564,,MATCH(B$2,'PORTIFÓLIO'!$J$3:$Q$3,0))) *
N('PORTIFÓLIO'!$S$4:$S$564),
0
)
),
0)</f>
        <v>0</v>
      </c>
      <c r="C223" s="49">
        <f t="shared" si="5"/>
        <v>0</v>
      </c>
      <c r="D223" s="49">
        <f t="array" ref="D223">IFERROR(
SUM(
IF(
'PORTIFÓLIO'!$C$4:$C$564=$A223,
N(INDEX('PORTIFÓLIO'!$J$4:$Q$564,,MATCH(D$2,'PORTIFÓLIO'!$J$3:$Q$3,0))) *
N('PORTIFÓLIO'!$S$4:$S$564),
0
)
),
0)</f>
        <v>0</v>
      </c>
      <c r="E223" s="49">
        <f t="shared" si="6"/>
        <v>0</v>
      </c>
      <c r="F223" s="49">
        <f t="array" ref="F223">IFERROR(
SUM(
IF(
'PORTIFÓLIO'!$C$4:$C$564=$A223,
N(INDEX('PORTIFÓLIO'!$J$4:$Q$564,,MATCH(F$2,'PORTIFÓLIO'!$J$3:$Q$3,0))) *
N('PORTIFÓLIO'!$S$4:$S$564),
0
)
),
0)</f>
        <v>0</v>
      </c>
      <c r="G223" s="47">
        <f t="shared" si="7"/>
        <v>0</v>
      </c>
      <c r="H223" s="49">
        <f t="array" ref="H223">IFERROR(
SUM(
IF(
'PORTIFÓLIO'!$C$4:$C$564=$A223,
N(INDEX('PORTIFÓLIO'!$J$4:$Q$564,,MATCH(H$2,'PORTIFÓLIO'!$J$3:$Q$3,0))) *
N('PORTIFÓLIO'!$S$4:$S$564),
0
)
),
0)</f>
        <v>0</v>
      </c>
      <c r="I223" s="47">
        <f t="shared" si="8"/>
        <v>0</v>
      </c>
      <c r="J223" s="49">
        <f t="array" ref="J223">IFERROR(
SUM(
IF(
'PORTIFÓLIO'!$C$4:$C$564=$A223,
N(INDEX('PORTIFÓLIO'!$J$4:$Q$564,,MATCH(J$2,'PORTIFÓLIO'!$J$3:$Q$3,0))) *
N('PORTIFÓLIO'!$S$4:$S$564),
0
)
),
0)</f>
        <v>0</v>
      </c>
      <c r="K223" s="47">
        <f t="shared" si="9"/>
        <v>0</v>
      </c>
      <c r="L223" s="49">
        <f t="array" ref="L223">IFERROR(
SUM(
IF(
'PORTIFÓLIO'!$C$4:$C$564=$A223,
N(INDEX('PORTIFÓLIO'!$J$4:$Q$564,,MATCH(L$2,'PORTIFÓLIO'!$J$3:$Q$3,0))) *
N('PORTIFÓLIO'!$S$4:$S$564),
0
)
),
0)</f>
        <v>0</v>
      </c>
      <c r="M223" s="47">
        <f t="shared" si="10"/>
        <v>0</v>
      </c>
      <c r="N223" s="49">
        <f t="array" ref="N223">IFERROR(
SUM(
IF(
'PORTIFÓLIO'!$C$4:$C$564=$A223,
N(INDEX('PORTIFÓLIO'!$J$4:$Q$564,,MATCH(N$2,'PORTIFÓLIO'!$J$3:$Q$3,0))) *
N('PORTIFÓLIO'!$S$4:$S$564),
0
)
),
0)</f>
        <v>0</v>
      </c>
      <c r="O223" s="49">
        <f t="shared" si="11"/>
        <v>0</v>
      </c>
      <c r="P223" s="49">
        <f t="array" ref="P223">IFERROR(
SUM(
IF(
'PORTIFÓLIO'!$C$4:$C$564=$A223,
N(INDEX('PORTIFÓLIO'!$J$4:$Q$564,,MATCH(P$2,'PORTIFÓLIO'!$J$3:$Q$3,0))) *
N('PORTIFÓLIO'!$S$4:$S$564),
0
)
),
0)</f>
        <v>0</v>
      </c>
      <c r="Q223" s="49">
        <f t="shared" si="12"/>
        <v>0</v>
      </c>
      <c r="R223" s="49">
        <f t="shared" si="2"/>
        <v>0</v>
      </c>
      <c r="S223" s="49">
        <f t="shared" si="13"/>
        <v>0</v>
      </c>
    </row>
    <row r="224" ht="15.75" hidden="1" customHeight="1" outlineLevel="1">
      <c r="A224" s="48" t="str">
        <f>IFERROR(__xludf.DUMMYFUNCTION("""COMPUTED_VALUE"""),"CARNADINE")</f>
        <v>CARNADINE</v>
      </c>
      <c r="B224" s="49">
        <f t="array" ref="B224">IFERROR(
SUM(
IF(
'PORTIFÓLIO'!$C$4:$C$564=$A224,
N(INDEX('PORTIFÓLIO'!$J$4:$Q$564,,MATCH(B$2,'PORTIFÓLIO'!$J$3:$Q$3,0))) *
N('PORTIFÓLIO'!$S$4:$S$564),
0
)
),
0)</f>
        <v>0</v>
      </c>
      <c r="C224" s="49">
        <f t="shared" si="5"/>
        <v>0</v>
      </c>
      <c r="D224" s="49">
        <f t="array" ref="D224">IFERROR(
SUM(
IF(
'PORTIFÓLIO'!$C$4:$C$564=$A224,
N(INDEX('PORTIFÓLIO'!$J$4:$Q$564,,MATCH(D$2,'PORTIFÓLIO'!$J$3:$Q$3,0))) *
N('PORTIFÓLIO'!$S$4:$S$564),
0
)
),
0)</f>
        <v>0</v>
      </c>
      <c r="E224" s="49">
        <f t="shared" si="6"/>
        <v>0</v>
      </c>
      <c r="F224" s="49">
        <f t="array" ref="F224">IFERROR(
SUM(
IF(
'PORTIFÓLIO'!$C$4:$C$564=$A224,
N(INDEX('PORTIFÓLIO'!$J$4:$Q$564,,MATCH(F$2,'PORTIFÓLIO'!$J$3:$Q$3,0))) *
N('PORTIFÓLIO'!$S$4:$S$564),
0
)
),
0)</f>
        <v>0</v>
      </c>
      <c r="G224" s="47">
        <f t="shared" si="7"/>
        <v>0</v>
      </c>
      <c r="H224" s="49">
        <f t="array" ref="H224">IFERROR(
SUM(
IF(
'PORTIFÓLIO'!$C$4:$C$564=$A224,
N(INDEX('PORTIFÓLIO'!$J$4:$Q$564,,MATCH(H$2,'PORTIFÓLIO'!$J$3:$Q$3,0))) *
N('PORTIFÓLIO'!$S$4:$S$564),
0
)
),
0)</f>
        <v>0</v>
      </c>
      <c r="I224" s="47">
        <f t="shared" si="8"/>
        <v>0</v>
      </c>
      <c r="J224" s="49">
        <f t="array" ref="J224">IFERROR(
SUM(
IF(
'PORTIFÓLIO'!$C$4:$C$564=$A224,
N(INDEX('PORTIFÓLIO'!$J$4:$Q$564,,MATCH(J$2,'PORTIFÓLIO'!$J$3:$Q$3,0))) *
N('PORTIFÓLIO'!$S$4:$S$564),
0
)
),
0)</f>
        <v>0</v>
      </c>
      <c r="K224" s="47">
        <f t="shared" si="9"/>
        <v>0</v>
      </c>
      <c r="L224" s="49">
        <f t="array" ref="L224">IFERROR(
SUM(
IF(
'PORTIFÓLIO'!$C$4:$C$564=$A224,
N(INDEX('PORTIFÓLIO'!$J$4:$Q$564,,MATCH(L$2,'PORTIFÓLIO'!$J$3:$Q$3,0))) *
N('PORTIFÓLIO'!$S$4:$S$564),
0
)
),
0)</f>
        <v>0</v>
      </c>
      <c r="M224" s="47">
        <f t="shared" si="10"/>
        <v>0</v>
      </c>
      <c r="N224" s="49">
        <f t="array" ref="N224">IFERROR(
SUM(
IF(
'PORTIFÓLIO'!$C$4:$C$564=$A224,
N(INDEX('PORTIFÓLIO'!$J$4:$Q$564,,MATCH(N$2,'PORTIFÓLIO'!$J$3:$Q$3,0))) *
N('PORTIFÓLIO'!$S$4:$S$564),
0
)
),
0)</f>
        <v>0</v>
      </c>
      <c r="O224" s="49">
        <f t="shared" si="11"/>
        <v>0</v>
      </c>
      <c r="P224" s="49">
        <f t="array" ref="P224">IFERROR(
SUM(
IF(
'PORTIFÓLIO'!$C$4:$C$564=$A224,
N(INDEX('PORTIFÓLIO'!$J$4:$Q$564,,MATCH(P$2,'PORTIFÓLIO'!$J$3:$Q$3,0))) *
N('PORTIFÓLIO'!$S$4:$S$564),
0
)
),
0)</f>
        <v>0</v>
      </c>
      <c r="Q224" s="49">
        <f t="shared" si="12"/>
        <v>0</v>
      </c>
      <c r="R224" s="49">
        <f t="shared" si="2"/>
        <v>0</v>
      </c>
      <c r="S224" s="49">
        <f t="shared" si="13"/>
        <v>0</v>
      </c>
    </row>
    <row r="225" ht="15.75" hidden="1" customHeight="1" outlineLevel="1">
      <c r="A225" s="48" t="str">
        <f>IFERROR(__xludf.DUMMYFUNCTION("""COMPUTED_VALUE"""),"CARTAP BR 500")</f>
        <v>CARTAP BR 500</v>
      </c>
      <c r="B225" s="49">
        <f t="array" ref="B225">IFERROR(
SUM(
IF(
'PORTIFÓLIO'!$C$4:$C$564=$A225,
N(INDEX('PORTIFÓLIO'!$J$4:$Q$564,,MATCH(B$2,'PORTIFÓLIO'!$J$3:$Q$3,0))) *
N('PORTIFÓLIO'!$S$4:$S$564),
0
)
),
0)</f>
        <v>0</v>
      </c>
      <c r="C225" s="49">
        <f t="shared" si="5"/>
        <v>0</v>
      </c>
      <c r="D225" s="49">
        <f t="array" ref="D225">IFERROR(
SUM(
IF(
'PORTIFÓLIO'!$C$4:$C$564=$A225,
N(INDEX('PORTIFÓLIO'!$J$4:$Q$564,,MATCH(D$2,'PORTIFÓLIO'!$J$3:$Q$3,0))) *
N('PORTIFÓLIO'!$S$4:$S$564),
0
)
),
0)</f>
        <v>0</v>
      </c>
      <c r="E225" s="49">
        <f t="shared" si="6"/>
        <v>0</v>
      </c>
      <c r="F225" s="49">
        <f t="array" ref="F225">IFERROR(
SUM(
IF(
'PORTIFÓLIO'!$C$4:$C$564=$A225,
N(INDEX('PORTIFÓLIO'!$J$4:$Q$564,,MATCH(F$2,'PORTIFÓLIO'!$J$3:$Q$3,0))) *
N('PORTIFÓLIO'!$S$4:$S$564),
0
)
),
0)</f>
        <v>0</v>
      </c>
      <c r="G225" s="47">
        <f t="shared" si="7"/>
        <v>0</v>
      </c>
      <c r="H225" s="49">
        <f t="array" ref="H225">IFERROR(
SUM(
IF(
'PORTIFÓLIO'!$C$4:$C$564=$A225,
N(INDEX('PORTIFÓLIO'!$J$4:$Q$564,,MATCH(H$2,'PORTIFÓLIO'!$J$3:$Q$3,0))) *
N('PORTIFÓLIO'!$S$4:$S$564),
0
)
),
0)</f>
        <v>0</v>
      </c>
      <c r="I225" s="47">
        <f t="shared" si="8"/>
        <v>0</v>
      </c>
      <c r="J225" s="49">
        <f t="array" ref="J225">IFERROR(
SUM(
IF(
'PORTIFÓLIO'!$C$4:$C$564=$A225,
N(INDEX('PORTIFÓLIO'!$J$4:$Q$564,,MATCH(J$2,'PORTIFÓLIO'!$J$3:$Q$3,0))) *
N('PORTIFÓLIO'!$S$4:$S$564),
0
)
),
0)</f>
        <v>0</v>
      </c>
      <c r="K225" s="47">
        <f t="shared" si="9"/>
        <v>0</v>
      </c>
      <c r="L225" s="49">
        <f t="array" ref="L225">IFERROR(
SUM(
IF(
'PORTIFÓLIO'!$C$4:$C$564=$A225,
N(INDEX('PORTIFÓLIO'!$J$4:$Q$564,,MATCH(L$2,'PORTIFÓLIO'!$J$3:$Q$3,0))) *
N('PORTIFÓLIO'!$S$4:$S$564),
0
)
),
0)</f>
        <v>0</v>
      </c>
      <c r="M225" s="47">
        <f t="shared" si="10"/>
        <v>0</v>
      </c>
      <c r="N225" s="49">
        <f t="array" ref="N225">IFERROR(
SUM(
IF(
'PORTIFÓLIO'!$C$4:$C$564=$A225,
N(INDEX('PORTIFÓLIO'!$J$4:$Q$564,,MATCH(N$2,'PORTIFÓLIO'!$J$3:$Q$3,0))) *
N('PORTIFÓLIO'!$S$4:$S$564),
0
)
),
0)</f>
        <v>0</v>
      </c>
      <c r="O225" s="49">
        <f t="shared" si="11"/>
        <v>0</v>
      </c>
      <c r="P225" s="49">
        <f t="array" ref="P225">IFERROR(
SUM(
IF(
'PORTIFÓLIO'!$C$4:$C$564=$A225,
N(INDEX('PORTIFÓLIO'!$J$4:$Q$564,,MATCH(P$2,'PORTIFÓLIO'!$J$3:$Q$3,0))) *
N('PORTIFÓLIO'!$S$4:$S$564),
0
)
),
0)</f>
        <v>0</v>
      </c>
      <c r="Q225" s="49">
        <f t="shared" si="12"/>
        <v>0</v>
      </c>
      <c r="R225" s="49">
        <f t="shared" si="2"/>
        <v>0</v>
      </c>
      <c r="S225" s="49">
        <f t="shared" si="13"/>
        <v>0</v>
      </c>
    </row>
    <row r="226" ht="15.75" hidden="1" customHeight="1" outlineLevel="1">
      <c r="A226" s="48" t="str">
        <f>IFERROR(__xludf.DUMMYFUNCTION("""COMPUTED_VALUE"""),"INSIDE FS")</f>
        <v>INSIDE FS</v>
      </c>
      <c r="B226" s="49">
        <f t="array" ref="B226">IFERROR(
SUM(
IF(
'PORTIFÓLIO'!$C$4:$C$564=$A226,
N(INDEX('PORTIFÓLIO'!$J$4:$Q$564,,MATCH(B$2,'PORTIFÓLIO'!$J$3:$Q$3,0))) *
N('PORTIFÓLIO'!$S$4:$S$564),
0
)
),
0)</f>
        <v>0</v>
      </c>
      <c r="C226" s="49">
        <f t="shared" si="5"/>
        <v>0</v>
      </c>
      <c r="D226" s="49">
        <f t="array" ref="D226">IFERROR(
SUM(
IF(
'PORTIFÓLIO'!$C$4:$C$564=$A226,
N(INDEX('PORTIFÓLIO'!$J$4:$Q$564,,MATCH(D$2,'PORTIFÓLIO'!$J$3:$Q$3,0))) *
N('PORTIFÓLIO'!$S$4:$S$564),
0
)
),
0)</f>
        <v>0</v>
      </c>
      <c r="E226" s="49">
        <f t="shared" si="6"/>
        <v>0</v>
      </c>
      <c r="F226" s="49">
        <f t="array" ref="F226">IFERROR(
SUM(
IF(
'PORTIFÓLIO'!$C$4:$C$564=$A226,
N(INDEX('PORTIFÓLIO'!$J$4:$Q$564,,MATCH(F$2,'PORTIFÓLIO'!$J$3:$Q$3,0))) *
N('PORTIFÓLIO'!$S$4:$S$564),
0
)
),
0)</f>
        <v>0</v>
      </c>
      <c r="G226" s="47">
        <f t="shared" si="7"/>
        <v>0</v>
      </c>
      <c r="H226" s="49">
        <f t="array" ref="H226">IFERROR(
SUM(
IF(
'PORTIFÓLIO'!$C$4:$C$564=$A226,
N(INDEX('PORTIFÓLIO'!$J$4:$Q$564,,MATCH(H$2,'PORTIFÓLIO'!$J$3:$Q$3,0))) *
N('PORTIFÓLIO'!$S$4:$S$564),
0
)
),
0)</f>
        <v>0</v>
      </c>
      <c r="I226" s="47">
        <f t="shared" si="8"/>
        <v>0</v>
      </c>
      <c r="J226" s="49">
        <f t="array" ref="J226">IFERROR(
SUM(
IF(
'PORTIFÓLIO'!$C$4:$C$564=$A226,
N(INDEX('PORTIFÓLIO'!$J$4:$Q$564,,MATCH(J$2,'PORTIFÓLIO'!$J$3:$Q$3,0))) *
N('PORTIFÓLIO'!$S$4:$S$564),
0
)
),
0)</f>
        <v>0</v>
      </c>
      <c r="K226" s="47">
        <f t="shared" si="9"/>
        <v>0</v>
      </c>
      <c r="L226" s="49">
        <f t="array" ref="L226">IFERROR(
SUM(
IF(
'PORTIFÓLIO'!$C$4:$C$564=$A226,
N(INDEX('PORTIFÓLIO'!$J$4:$Q$564,,MATCH(L$2,'PORTIFÓLIO'!$J$3:$Q$3,0))) *
N('PORTIFÓLIO'!$S$4:$S$564),
0
)
),
0)</f>
        <v>0</v>
      </c>
      <c r="M226" s="47">
        <f t="shared" si="10"/>
        <v>0</v>
      </c>
      <c r="N226" s="49">
        <f t="array" ref="N226">IFERROR(
SUM(
IF(
'PORTIFÓLIO'!$C$4:$C$564=$A226,
N(INDEX('PORTIFÓLIO'!$J$4:$Q$564,,MATCH(N$2,'PORTIFÓLIO'!$J$3:$Q$3,0))) *
N('PORTIFÓLIO'!$S$4:$S$564),
0
)
),
0)</f>
        <v>0</v>
      </c>
      <c r="O226" s="49">
        <f t="shared" si="11"/>
        <v>0</v>
      </c>
      <c r="P226" s="49">
        <f t="array" ref="P226">IFERROR(
SUM(
IF(
'PORTIFÓLIO'!$C$4:$C$564=$A226,
N(INDEX('PORTIFÓLIO'!$J$4:$Q$564,,MATCH(P$2,'PORTIFÓLIO'!$J$3:$Q$3,0))) *
N('PORTIFÓLIO'!$S$4:$S$564),
0
)
),
0)</f>
        <v>0</v>
      </c>
      <c r="Q226" s="49">
        <f t="shared" si="12"/>
        <v>0</v>
      </c>
      <c r="R226" s="49">
        <f t="shared" si="2"/>
        <v>0</v>
      </c>
      <c r="S226" s="49">
        <f t="shared" si="13"/>
        <v>0</v>
      </c>
    </row>
    <row r="227" ht="15.75" hidden="1" customHeight="1" outlineLevel="1">
      <c r="A227" s="48" t="str">
        <f>IFERROR(__xludf.DUMMYFUNCTION("""COMPUTED_VALUE"""),"KAISO MAX")</f>
        <v>KAISO MAX</v>
      </c>
      <c r="B227" s="49">
        <f t="array" ref="B227">IFERROR(
SUM(
IF(
'PORTIFÓLIO'!$C$4:$C$564=$A227,
N(INDEX('PORTIFÓLIO'!$J$4:$Q$564,,MATCH(B$2,'PORTIFÓLIO'!$J$3:$Q$3,0))) *
N('PORTIFÓLIO'!$S$4:$S$564),
0
)
),
0)</f>
        <v>0</v>
      </c>
      <c r="C227" s="49">
        <f t="shared" si="5"/>
        <v>0</v>
      </c>
      <c r="D227" s="49">
        <f t="array" ref="D227">IFERROR(
SUM(
IF(
'PORTIFÓLIO'!$C$4:$C$564=$A227,
N(INDEX('PORTIFÓLIO'!$J$4:$Q$564,,MATCH(D$2,'PORTIFÓLIO'!$J$3:$Q$3,0))) *
N('PORTIFÓLIO'!$S$4:$S$564),
0
)
),
0)</f>
        <v>0</v>
      </c>
      <c r="E227" s="49">
        <f t="shared" si="6"/>
        <v>0</v>
      </c>
      <c r="F227" s="49">
        <f t="array" ref="F227">IFERROR(
SUM(
IF(
'PORTIFÓLIO'!$C$4:$C$564=$A227,
N(INDEX('PORTIFÓLIO'!$J$4:$Q$564,,MATCH(F$2,'PORTIFÓLIO'!$J$3:$Q$3,0))) *
N('PORTIFÓLIO'!$S$4:$S$564),
0
)
),
0)</f>
        <v>0</v>
      </c>
      <c r="G227" s="47">
        <f t="shared" si="7"/>
        <v>0</v>
      </c>
      <c r="H227" s="49">
        <f t="array" ref="H227">IFERROR(
SUM(
IF(
'PORTIFÓLIO'!$C$4:$C$564=$A227,
N(INDEX('PORTIFÓLIO'!$J$4:$Q$564,,MATCH(H$2,'PORTIFÓLIO'!$J$3:$Q$3,0))) *
N('PORTIFÓLIO'!$S$4:$S$564),
0
)
),
0)</f>
        <v>0</v>
      </c>
      <c r="I227" s="47">
        <f t="shared" si="8"/>
        <v>0</v>
      </c>
      <c r="J227" s="49">
        <f t="array" ref="J227">IFERROR(
SUM(
IF(
'PORTIFÓLIO'!$C$4:$C$564=$A227,
N(INDEX('PORTIFÓLIO'!$J$4:$Q$564,,MATCH(J$2,'PORTIFÓLIO'!$J$3:$Q$3,0))) *
N('PORTIFÓLIO'!$S$4:$S$564),
0
)
),
0)</f>
        <v>0</v>
      </c>
      <c r="K227" s="47">
        <f t="shared" si="9"/>
        <v>0</v>
      </c>
      <c r="L227" s="49">
        <f t="array" ref="L227">IFERROR(
SUM(
IF(
'PORTIFÓLIO'!$C$4:$C$564=$A227,
N(INDEX('PORTIFÓLIO'!$J$4:$Q$564,,MATCH(L$2,'PORTIFÓLIO'!$J$3:$Q$3,0))) *
N('PORTIFÓLIO'!$S$4:$S$564),
0
)
),
0)</f>
        <v>0</v>
      </c>
      <c r="M227" s="47">
        <f t="shared" si="10"/>
        <v>0</v>
      </c>
      <c r="N227" s="49">
        <f t="array" ref="N227">IFERROR(
SUM(
IF(
'PORTIFÓLIO'!$C$4:$C$564=$A227,
N(INDEX('PORTIFÓLIO'!$J$4:$Q$564,,MATCH(N$2,'PORTIFÓLIO'!$J$3:$Q$3,0))) *
N('PORTIFÓLIO'!$S$4:$S$564),
0
)
),
0)</f>
        <v>0</v>
      </c>
      <c r="O227" s="49">
        <f t="shared" si="11"/>
        <v>0</v>
      </c>
      <c r="P227" s="49">
        <f t="array" ref="P227">IFERROR(
SUM(
IF(
'PORTIFÓLIO'!$C$4:$C$564=$A227,
N(INDEX('PORTIFÓLIO'!$J$4:$Q$564,,MATCH(P$2,'PORTIFÓLIO'!$J$3:$Q$3,0))) *
N('PORTIFÓLIO'!$S$4:$S$564),
0
)
),
0)</f>
        <v>0</v>
      </c>
      <c r="Q227" s="49">
        <f t="shared" si="12"/>
        <v>0</v>
      </c>
      <c r="R227" s="49">
        <f t="shared" si="2"/>
        <v>0</v>
      </c>
      <c r="S227" s="49">
        <f t="shared" si="13"/>
        <v>0</v>
      </c>
    </row>
    <row r="228" ht="15.75" hidden="1" customHeight="1" outlineLevel="1">
      <c r="A228" s="48" t="str">
        <f>IFERROR(__xludf.DUMMYFUNCTION("""COMPUTED_VALUE"""),"KLORPAN 480 EC")</f>
        <v>KLORPAN 480 EC</v>
      </c>
      <c r="B228" s="49">
        <f t="array" ref="B228">IFERROR(
SUM(
IF(
'PORTIFÓLIO'!$C$4:$C$564=$A228,
N(INDEX('PORTIFÓLIO'!$J$4:$Q$564,,MATCH(B$2,'PORTIFÓLIO'!$J$3:$Q$3,0))) *
N('PORTIFÓLIO'!$S$4:$S$564),
0
)
),
0)</f>
        <v>0</v>
      </c>
      <c r="C228" s="49">
        <f t="shared" si="5"/>
        <v>0</v>
      </c>
      <c r="D228" s="49">
        <f t="array" ref="D228">IFERROR(
SUM(
IF(
'PORTIFÓLIO'!$C$4:$C$564=$A228,
N(INDEX('PORTIFÓLIO'!$J$4:$Q$564,,MATCH(D$2,'PORTIFÓLIO'!$J$3:$Q$3,0))) *
N('PORTIFÓLIO'!$S$4:$S$564),
0
)
),
0)</f>
        <v>0</v>
      </c>
      <c r="E228" s="49">
        <f t="shared" si="6"/>
        <v>0</v>
      </c>
      <c r="F228" s="49">
        <f t="array" ref="F228">IFERROR(
SUM(
IF(
'PORTIFÓLIO'!$C$4:$C$564=$A228,
N(INDEX('PORTIFÓLIO'!$J$4:$Q$564,,MATCH(F$2,'PORTIFÓLIO'!$J$3:$Q$3,0))) *
N('PORTIFÓLIO'!$S$4:$S$564),
0
)
),
0)</f>
        <v>0</v>
      </c>
      <c r="G228" s="47">
        <f t="shared" si="7"/>
        <v>0</v>
      </c>
      <c r="H228" s="49">
        <f t="array" ref="H228">IFERROR(
SUM(
IF(
'PORTIFÓLIO'!$C$4:$C$564=$A228,
N(INDEX('PORTIFÓLIO'!$J$4:$Q$564,,MATCH(H$2,'PORTIFÓLIO'!$J$3:$Q$3,0))) *
N('PORTIFÓLIO'!$S$4:$S$564),
0
)
),
0)</f>
        <v>0</v>
      </c>
      <c r="I228" s="47">
        <f t="shared" si="8"/>
        <v>0</v>
      </c>
      <c r="J228" s="49">
        <f t="array" ref="J228">IFERROR(
SUM(
IF(
'PORTIFÓLIO'!$C$4:$C$564=$A228,
N(INDEX('PORTIFÓLIO'!$J$4:$Q$564,,MATCH(J$2,'PORTIFÓLIO'!$J$3:$Q$3,0))) *
N('PORTIFÓLIO'!$S$4:$S$564),
0
)
),
0)</f>
        <v>0</v>
      </c>
      <c r="K228" s="47">
        <f t="shared" si="9"/>
        <v>0</v>
      </c>
      <c r="L228" s="49">
        <f t="array" ref="L228">IFERROR(
SUM(
IF(
'PORTIFÓLIO'!$C$4:$C$564=$A228,
N(INDEX('PORTIFÓLIO'!$J$4:$Q$564,,MATCH(L$2,'PORTIFÓLIO'!$J$3:$Q$3,0))) *
N('PORTIFÓLIO'!$S$4:$S$564),
0
)
),
0)</f>
        <v>0</v>
      </c>
      <c r="M228" s="47">
        <f t="shared" si="10"/>
        <v>0</v>
      </c>
      <c r="N228" s="49">
        <f t="array" ref="N228">IFERROR(
SUM(
IF(
'PORTIFÓLIO'!$C$4:$C$564=$A228,
N(INDEX('PORTIFÓLIO'!$J$4:$Q$564,,MATCH(N$2,'PORTIFÓLIO'!$J$3:$Q$3,0))) *
N('PORTIFÓLIO'!$S$4:$S$564),
0
)
),
0)</f>
        <v>0</v>
      </c>
      <c r="O228" s="49">
        <f t="shared" si="11"/>
        <v>0</v>
      </c>
      <c r="P228" s="49">
        <f t="array" ref="P228">IFERROR(
SUM(
IF(
'PORTIFÓLIO'!$C$4:$C$564=$A228,
N(INDEX('PORTIFÓLIO'!$J$4:$Q$564,,MATCH(P$2,'PORTIFÓLIO'!$J$3:$Q$3,0))) *
N('PORTIFÓLIO'!$S$4:$S$564),
0
)
),
0)</f>
        <v>0</v>
      </c>
      <c r="Q228" s="49">
        <f t="shared" si="12"/>
        <v>0</v>
      </c>
      <c r="R228" s="49">
        <f t="shared" si="2"/>
        <v>0</v>
      </c>
      <c r="S228" s="49">
        <f t="shared" si="13"/>
        <v>0</v>
      </c>
    </row>
    <row r="229" ht="15.75" hidden="1" customHeight="1" outlineLevel="1">
      <c r="A229" s="48" t="str">
        <f>IFERROR(__xludf.DUMMYFUNCTION("""COMPUTED_VALUE"""),"LEGION")</f>
        <v>LEGION</v>
      </c>
      <c r="B229" s="49">
        <f t="array" ref="B229">IFERROR(
SUM(
IF(
'PORTIFÓLIO'!$C$4:$C$564=$A229,
N(INDEX('PORTIFÓLIO'!$J$4:$Q$564,,MATCH(B$2,'PORTIFÓLIO'!$J$3:$Q$3,0))) *
N('PORTIFÓLIO'!$S$4:$S$564),
0
)
),
0)</f>
        <v>0</v>
      </c>
      <c r="C229" s="49">
        <f t="shared" si="5"/>
        <v>0</v>
      </c>
      <c r="D229" s="49">
        <f t="array" ref="D229">IFERROR(
SUM(
IF(
'PORTIFÓLIO'!$C$4:$C$564=$A229,
N(INDEX('PORTIFÓLIO'!$J$4:$Q$564,,MATCH(D$2,'PORTIFÓLIO'!$J$3:$Q$3,0))) *
N('PORTIFÓLIO'!$S$4:$S$564),
0
)
),
0)</f>
        <v>0</v>
      </c>
      <c r="E229" s="49">
        <f t="shared" si="6"/>
        <v>0</v>
      </c>
      <c r="F229" s="49">
        <f t="array" ref="F229">IFERROR(
SUM(
IF(
'PORTIFÓLIO'!$C$4:$C$564=$A229,
N(INDEX('PORTIFÓLIO'!$J$4:$Q$564,,MATCH(F$2,'PORTIFÓLIO'!$J$3:$Q$3,0))) *
N('PORTIFÓLIO'!$S$4:$S$564),
0
)
),
0)</f>
        <v>0</v>
      </c>
      <c r="G229" s="47">
        <f t="shared" si="7"/>
        <v>0</v>
      </c>
      <c r="H229" s="49">
        <f t="array" ref="H229">IFERROR(
SUM(
IF(
'PORTIFÓLIO'!$C$4:$C$564=$A229,
N(INDEX('PORTIFÓLIO'!$J$4:$Q$564,,MATCH(H$2,'PORTIFÓLIO'!$J$3:$Q$3,0))) *
N('PORTIFÓLIO'!$S$4:$S$564),
0
)
),
0)</f>
        <v>0</v>
      </c>
      <c r="I229" s="47">
        <f t="shared" si="8"/>
        <v>0</v>
      </c>
      <c r="J229" s="49">
        <f t="array" ref="J229">IFERROR(
SUM(
IF(
'PORTIFÓLIO'!$C$4:$C$564=$A229,
N(INDEX('PORTIFÓLIO'!$J$4:$Q$564,,MATCH(J$2,'PORTIFÓLIO'!$J$3:$Q$3,0))) *
N('PORTIFÓLIO'!$S$4:$S$564),
0
)
),
0)</f>
        <v>0</v>
      </c>
      <c r="K229" s="47">
        <f t="shared" si="9"/>
        <v>0</v>
      </c>
      <c r="L229" s="49">
        <f t="array" ref="L229">IFERROR(
SUM(
IF(
'PORTIFÓLIO'!$C$4:$C$564=$A229,
N(INDEX('PORTIFÓLIO'!$J$4:$Q$564,,MATCH(L$2,'PORTIFÓLIO'!$J$3:$Q$3,0))) *
N('PORTIFÓLIO'!$S$4:$S$564),
0
)
),
0)</f>
        <v>0</v>
      </c>
      <c r="M229" s="47">
        <f t="shared" si="10"/>
        <v>0</v>
      </c>
      <c r="N229" s="49">
        <f t="array" ref="N229">IFERROR(
SUM(
IF(
'PORTIFÓLIO'!$C$4:$C$564=$A229,
N(INDEX('PORTIFÓLIO'!$J$4:$Q$564,,MATCH(N$2,'PORTIFÓLIO'!$J$3:$Q$3,0))) *
N('PORTIFÓLIO'!$S$4:$S$564),
0
)
),
0)</f>
        <v>0</v>
      </c>
      <c r="O229" s="49">
        <f t="shared" si="11"/>
        <v>0</v>
      </c>
      <c r="P229" s="49">
        <f t="array" ref="P229">IFERROR(
SUM(
IF(
'PORTIFÓLIO'!$C$4:$C$564=$A229,
N(INDEX('PORTIFÓLIO'!$J$4:$Q$564,,MATCH(P$2,'PORTIFÓLIO'!$J$3:$Q$3,0))) *
N('PORTIFÓLIO'!$S$4:$S$564),
0
)
),
0)</f>
        <v>0</v>
      </c>
      <c r="Q229" s="49">
        <f t="shared" si="12"/>
        <v>0</v>
      </c>
      <c r="R229" s="49">
        <f t="shared" si="2"/>
        <v>0</v>
      </c>
      <c r="S229" s="49">
        <f t="shared" si="13"/>
        <v>0</v>
      </c>
    </row>
    <row r="230" ht="15.75" hidden="1" customHeight="1" outlineLevel="1">
      <c r="A230" s="48" t="str">
        <f>IFERROR(__xludf.DUMMYFUNCTION("""COMPUTED_VALUE"""),"OPTERADUO")</f>
        <v>OPTERADUO</v>
      </c>
      <c r="B230" s="49">
        <f t="array" ref="B230">IFERROR(
SUM(
IF(
'PORTIFÓLIO'!$C$4:$C$564=$A230,
N(INDEX('PORTIFÓLIO'!$J$4:$Q$564,,MATCH(B$2,'PORTIFÓLIO'!$J$3:$Q$3,0))) *
N('PORTIFÓLIO'!$S$4:$S$564),
0
)
),
0)</f>
        <v>0</v>
      </c>
      <c r="C230" s="49">
        <f t="shared" si="5"/>
        <v>0</v>
      </c>
      <c r="D230" s="49">
        <f t="array" ref="D230">IFERROR(
SUM(
IF(
'PORTIFÓLIO'!$C$4:$C$564=$A230,
N(INDEX('PORTIFÓLIO'!$J$4:$Q$564,,MATCH(D$2,'PORTIFÓLIO'!$J$3:$Q$3,0))) *
N('PORTIFÓLIO'!$S$4:$S$564),
0
)
),
0)</f>
        <v>0</v>
      </c>
      <c r="E230" s="49">
        <f t="shared" si="6"/>
        <v>0</v>
      </c>
      <c r="F230" s="49">
        <f t="array" ref="F230">IFERROR(
SUM(
IF(
'PORTIFÓLIO'!$C$4:$C$564=$A230,
N(INDEX('PORTIFÓLIO'!$J$4:$Q$564,,MATCH(F$2,'PORTIFÓLIO'!$J$3:$Q$3,0))) *
N('PORTIFÓLIO'!$S$4:$S$564),
0
)
),
0)</f>
        <v>0</v>
      </c>
      <c r="G230" s="47">
        <f t="shared" si="7"/>
        <v>0</v>
      </c>
      <c r="H230" s="49">
        <f t="array" ref="H230">IFERROR(
SUM(
IF(
'PORTIFÓLIO'!$C$4:$C$564=$A230,
N(INDEX('PORTIFÓLIO'!$J$4:$Q$564,,MATCH(H$2,'PORTIFÓLIO'!$J$3:$Q$3,0))) *
N('PORTIFÓLIO'!$S$4:$S$564),
0
)
),
0)</f>
        <v>0</v>
      </c>
      <c r="I230" s="47">
        <f t="shared" si="8"/>
        <v>0</v>
      </c>
      <c r="J230" s="49">
        <f t="array" ref="J230">IFERROR(
SUM(
IF(
'PORTIFÓLIO'!$C$4:$C$564=$A230,
N(INDEX('PORTIFÓLIO'!$J$4:$Q$564,,MATCH(J$2,'PORTIFÓLIO'!$J$3:$Q$3,0))) *
N('PORTIFÓLIO'!$S$4:$S$564),
0
)
),
0)</f>
        <v>0</v>
      </c>
      <c r="K230" s="47">
        <f t="shared" si="9"/>
        <v>0</v>
      </c>
      <c r="L230" s="49">
        <f t="array" ref="L230">IFERROR(
SUM(
IF(
'PORTIFÓLIO'!$C$4:$C$564=$A230,
N(INDEX('PORTIFÓLIO'!$J$4:$Q$564,,MATCH(L$2,'PORTIFÓLIO'!$J$3:$Q$3,0))) *
N('PORTIFÓLIO'!$S$4:$S$564),
0
)
),
0)</f>
        <v>0</v>
      </c>
      <c r="M230" s="47">
        <f t="shared" si="10"/>
        <v>0</v>
      </c>
      <c r="N230" s="49">
        <f t="array" ref="N230">IFERROR(
SUM(
IF(
'PORTIFÓLIO'!$C$4:$C$564=$A230,
N(INDEX('PORTIFÓLIO'!$J$4:$Q$564,,MATCH(N$2,'PORTIFÓLIO'!$J$3:$Q$3,0))) *
N('PORTIFÓLIO'!$S$4:$S$564),
0
)
),
0)</f>
        <v>0</v>
      </c>
      <c r="O230" s="49">
        <f t="shared" si="11"/>
        <v>0</v>
      </c>
      <c r="P230" s="49">
        <f t="array" ref="P230">IFERROR(
SUM(
IF(
'PORTIFÓLIO'!$C$4:$C$564=$A230,
N(INDEX('PORTIFÓLIO'!$J$4:$Q$564,,MATCH(P$2,'PORTIFÓLIO'!$J$3:$Q$3,0))) *
N('PORTIFÓLIO'!$S$4:$S$564),
0
)
),
0)</f>
        <v>0</v>
      </c>
      <c r="Q230" s="49">
        <f t="shared" si="12"/>
        <v>0</v>
      </c>
      <c r="R230" s="49">
        <f t="shared" si="2"/>
        <v>0</v>
      </c>
      <c r="S230" s="49">
        <f t="shared" si="13"/>
        <v>0</v>
      </c>
    </row>
    <row r="231" ht="15.75" hidden="1" customHeight="1" outlineLevel="1">
      <c r="A231" s="48" t="str">
        <f>IFERROR(__xludf.DUMMYFUNCTION("""COMPUTED_VALUE"""),"SUMIRODY")</f>
        <v>SUMIRODY</v>
      </c>
      <c r="B231" s="49">
        <f t="array" ref="B231">IFERROR(
SUM(
IF(
'PORTIFÓLIO'!$C$4:$C$564=$A231,
N(INDEX('PORTIFÓLIO'!$J$4:$Q$564,,MATCH(B$2,'PORTIFÓLIO'!$J$3:$Q$3,0))) *
N('PORTIFÓLIO'!$S$4:$S$564),
0
)
),
0)</f>
        <v>0</v>
      </c>
      <c r="C231" s="49">
        <f t="shared" si="5"/>
        <v>0</v>
      </c>
      <c r="D231" s="49">
        <f t="array" ref="D231">IFERROR(
SUM(
IF(
'PORTIFÓLIO'!$C$4:$C$564=$A231,
N(INDEX('PORTIFÓLIO'!$J$4:$Q$564,,MATCH(D$2,'PORTIFÓLIO'!$J$3:$Q$3,0))) *
N('PORTIFÓLIO'!$S$4:$S$564),
0
)
),
0)</f>
        <v>0</v>
      </c>
      <c r="E231" s="49">
        <f t="shared" si="6"/>
        <v>0</v>
      </c>
      <c r="F231" s="49">
        <f t="array" ref="F231">IFERROR(
SUM(
IF(
'PORTIFÓLIO'!$C$4:$C$564=$A231,
N(INDEX('PORTIFÓLIO'!$J$4:$Q$564,,MATCH(F$2,'PORTIFÓLIO'!$J$3:$Q$3,0))) *
N('PORTIFÓLIO'!$S$4:$S$564),
0
)
),
0)</f>
        <v>0</v>
      </c>
      <c r="G231" s="47">
        <f t="shared" si="7"/>
        <v>0</v>
      </c>
      <c r="H231" s="49">
        <f t="array" ref="H231">IFERROR(
SUM(
IF(
'PORTIFÓLIO'!$C$4:$C$564=$A231,
N(INDEX('PORTIFÓLIO'!$J$4:$Q$564,,MATCH(H$2,'PORTIFÓLIO'!$J$3:$Q$3,0))) *
N('PORTIFÓLIO'!$S$4:$S$564),
0
)
),
0)</f>
        <v>0</v>
      </c>
      <c r="I231" s="47">
        <f t="shared" si="8"/>
        <v>0</v>
      </c>
      <c r="J231" s="49">
        <f t="array" ref="J231">IFERROR(
SUM(
IF(
'PORTIFÓLIO'!$C$4:$C$564=$A231,
N(INDEX('PORTIFÓLIO'!$J$4:$Q$564,,MATCH(J$2,'PORTIFÓLIO'!$J$3:$Q$3,0))) *
N('PORTIFÓLIO'!$S$4:$S$564),
0
)
),
0)</f>
        <v>0</v>
      </c>
      <c r="K231" s="47">
        <f t="shared" si="9"/>
        <v>0</v>
      </c>
      <c r="L231" s="49">
        <f t="array" ref="L231">IFERROR(
SUM(
IF(
'PORTIFÓLIO'!$C$4:$C$564=$A231,
N(INDEX('PORTIFÓLIO'!$J$4:$Q$564,,MATCH(L$2,'PORTIFÓLIO'!$J$3:$Q$3,0))) *
N('PORTIFÓLIO'!$S$4:$S$564),
0
)
),
0)</f>
        <v>0</v>
      </c>
      <c r="M231" s="47">
        <f t="shared" si="10"/>
        <v>0</v>
      </c>
      <c r="N231" s="49">
        <f t="array" ref="N231">IFERROR(
SUM(
IF(
'PORTIFÓLIO'!$C$4:$C$564=$A231,
N(INDEX('PORTIFÓLIO'!$J$4:$Q$564,,MATCH(N$2,'PORTIFÓLIO'!$J$3:$Q$3,0))) *
N('PORTIFÓLIO'!$S$4:$S$564),
0
)
),
0)</f>
        <v>0</v>
      </c>
      <c r="O231" s="49">
        <f t="shared" si="11"/>
        <v>0</v>
      </c>
      <c r="P231" s="49">
        <f t="array" ref="P231">IFERROR(
SUM(
IF(
'PORTIFÓLIO'!$C$4:$C$564=$A231,
N(INDEX('PORTIFÓLIO'!$J$4:$Q$564,,MATCH(P$2,'PORTIFÓLIO'!$J$3:$Q$3,0))) *
N('PORTIFÓLIO'!$S$4:$S$564),
0
)
),
0)</f>
        <v>0</v>
      </c>
      <c r="Q231" s="49">
        <f t="shared" si="12"/>
        <v>0</v>
      </c>
      <c r="R231" s="49">
        <f t="shared" si="2"/>
        <v>0</v>
      </c>
      <c r="S231" s="49">
        <f t="shared" si="13"/>
        <v>0</v>
      </c>
    </row>
    <row r="232" ht="15.75" hidden="1" customHeight="1" outlineLevel="1">
      <c r="A232" s="48" t="str">
        <f>IFERROR(__xludf.DUMMYFUNCTION("""COMPUTED_VALUE"""),"XENTARI")</f>
        <v>XENTARI</v>
      </c>
      <c r="B232" s="49">
        <f t="array" ref="B232">IFERROR(
SUM(
IF(
'PORTIFÓLIO'!$C$4:$C$564=$A232,
N(INDEX('PORTIFÓLIO'!$J$4:$Q$564,,MATCH(B$2,'PORTIFÓLIO'!$J$3:$Q$3,0))) *
N('PORTIFÓLIO'!$S$4:$S$564),
0
)
),
0)</f>
        <v>0</v>
      </c>
      <c r="C232" s="49">
        <f t="shared" si="5"/>
        <v>0</v>
      </c>
      <c r="D232" s="49">
        <f t="array" ref="D232">IFERROR(
SUM(
IF(
'PORTIFÓLIO'!$C$4:$C$564=$A232,
N(INDEX('PORTIFÓLIO'!$J$4:$Q$564,,MATCH(D$2,'PORTIFÓLIO'!$J$3:$Q$3,0))) *
N('PORTIFÓLIO'!$S$4:$S$564),
0
)
),
0)</f>
        <v>0</v>
      </c>
      <c r="E232" s="49">
        <f t="shared" si="6"/>
        <v>0</v>
      </c>
      <c r="F232" s="49">
        <f t="array" ref="F232">IFERROR(
SUM(
IF(
'PORTIFÓLIO'!$C$4:$C$564=$A232,
N(INDEX('PORTIFÓLIO'!$J$4:$Q$564,,MATCH(F$2,'PORTIFÓLIO'!$J$3:$Q$3,0))) *
N('PORTIFÓLIO'!$S$4:$S$564),
0
)
),
0)</f>
        <v>0</v>
      </c>
      <c r="G232" s="47">
        <f t="shared" si="7"/>
        <v>0</v>
      </c>
      <c r="H232" s="49">
        <f t="array" ref="H232">IFERROR(
SUM(
IF(
'PORTIFÓLIO'!$C$4:$C$564=$A232,
N(INDEX('PORTIFÓLIO'!$J$4:$Q$564,,MATCH(H$2,'PORTIFÓLIO'!$J$3:$Q$3,0))) *
N('PORTIFÓLIO'!$S$4:$S$564),
0
)
),
0)</f>
        <v>0</v>
      </c>
      <c r="I232" s="47">
        <f t="shared" si="8"/>
        <v>0</v>
      </c>
      <c r="J232" s="49">
        <f t="array" ref="J232">IFERROR(
SUM(
IF(
'PORTIFÓLIO'!$C$4:$C$564=$A232,
N(INDEX('PORTIFÓLIO'!$J$4:$Q$564,,MATCH(J$2,'PORTIFÓLIO'!$J$3:$Q$3,0))) *
N('PORTIFÓLIO'!$S$4:$S$564),
0
)
),
0)</f>
        <v>0</v>
      </c>
      <c r="K232" s="47">
        <f t="shared" si="9"/>
        <v>0</v>
      </c>
      <c r="L232" s="49">
        <f t="array" ref="L232">IFERROR(
SUM(
IF(
'PORTIFÓLIO'!$C$4:$C$564=$A232,
N(INDEX('PORTIFÓLIO'!$J$4:$Q$564,,MATCH(L$2,'PORTIFÓLIO'!$J$3:$Q$3,0))) *
N('PORTIFÓLIO'!$S$4:$S$564),
0
)
),
0)</f>
        <v>0</v>
      </c>
      <c r="M232" s="47">
        <f t="shared" si="10"/>
        <v>0</v>
      </c>
      <c r="N232" s="49">
        <f t="array" ref="N232">IFERROR(
SUM(
IF(
'PORTIFÓLIO'!$C$4:$C$564=$A232,
N(INDEX('PORTIFÓLIO'!$J$4:$Q$564,,MATCH(N$2,'PORTIFÓLIO'!$J$3:$Q$3,0))) *
N('PORTIFÓLIO'!$S$4:$S$564),
0
)
),
0)</f>
        <v>0</v>
      </c>
      <c r="O232" s="49">
        <f t="shared" si="11"/>
        <v>0</v>
      </c>
      <c r="P232" s="49">
        <f t="array" ref="P232">IFERROR(
SUM(
IF(
'PORTIFÓLIO'!$C$4:$C$564=$A232,
N(INDEX('PORTIFÓLIO'!$J$4:$Q$564,,MATCH(P$2,'PORTIFÓLIO'!$J$3:$Q$3,0))) *
N('PORTIFÓLIO'!$S$4:$S$564),
0
)
),
0)</f>
        <v>0</v>
      </c>
      <c r="Q232" s="49">
        <f t="shared" si="12"/>
        <v>0</v>
      </c>
      <c r="R232" s="49">
        <f t="shared" si="2"/>
        <v>0</v>
      </c>
      <c r="S232" s="49">
        <f t="shared" si="13"/>
        <v>0</v>
      </c>
    </row>
    <row r="233" ht="15.75" hidden="1" customHeight="1" outlineLevel="1">
      <c r="A233" s="48" t="str">
        <f>IFERROR(__xludf.DUMMYFUNCTION("""COMPUTED_VALUE"""),"ACTARA 250 WG")</f>
        <v>ACTARA 250 WG</v>
      </c>
      <c r="B233" s="49">
        <f t="array" ref="B233">IFERROR(
SUM(
IF(
'PORTIFÓLIO'!$C$4:$C$564=$A233,
N(INDEX('PORTIFÓLIO'!$J$4:$Q$564,,MATCH(B$2,'PORTIFÓLIO'!$J$3:$Q$3,0))) *
N('PORTIFÓLIO'!$S$4:$S$564),
0
)
),
0)</f>
        <v>0</v>
      </c>
      <c r="C233" s="49">
        <f t="shared" si="5"/>
        <v>0</v>
      </c>
      <c r="D233" s="49">
        <f t="array" ref="D233">IFERROR(
SUM(
IF(
'PORTIFÓLIO'!$C$4:$C$564=$A233,
N(INDEX('PORTIFÓLIO'!$J$4:$Q$564,,MATCH(D$2,'PORTIFÓLIO'!$J$3:$Q$3,0))) *
N('PORTIFÓLIO'!$S$4:$S$564),
0
)
),
0)</f>
        <v>0</v>
      </c>
      <c r="E233" s="49">
        <f t="shared" si="6"/>
        <v>0</v>
      </c>
      <c r="F233" s="49">
        <f t="array" ref="F233">IFERROR(
SUM(
IF(
'PORTIFÓLIO'!$C$4:$C$564=$A233,
N(INDEX('PORTIFÓLIO'!$J$4:$Q$564,,MATCH(F$2,'PORTIFÓLIO'!$J$3:$Q$3,0))) *
N('PORTIFÓLIO'!$S$4:$S$564),
0
)
),
0)</f>
        <v>0</v>
      </c>
      <c r="G233" s="47">
        <f t="shared" si="7"/>
        <v>0</v>
      </c>
      <c r="H233" s="49">
        <f t="array" ref="H233">IFERROR(
SUM(
IF(
'PORTIFÓLIO'!$C$4:$C$564=$A233,
N(INDEX('PORTIFÓLIO'!$J$4:$Q$564,,MATCH(H$2,'PORTIFÓLIO'!$J$3:$Q$3,0))) *
N('PORTIFÓLIO'!$S$4:$S$564),
0
)
),
0)</f>
        <v>0</v>
      </c>
      <c r="I233" s="47">
        <f t="shared" si="8"/>
        <v>0</v>
      </c>
      <c r="J233" s="49">
        <f t="array" ref="J233">IFERROR(
SUM(
IF(
'PORTIFÓLIO'!$C$4:$C$564=$A233,
N(INDEX('PORTIFÓLIO'!$J$4:$Q$564,,MATCH(J$2,'PORTIFÓLIO'!$J$3:$Q$3,0))) *
N('PORTIFÓLIO'!$S$4:$S$564),
0
)
),
0)</f>
        <v>0</v>
      </c>
      <c r="K233" s="47">
        <f t="shared" si="9"/>
        <v>0</v>
      </c>
      <c r="L233" s="49">
        <f t="array" ref="L233">IFERROR(
SUM(
IF(
'PORTIFÓLIO'!$C$4:$C$564=$A233,
N(INDEX('PORTIFÓLIO'!$J$4:$Q$564,,MATCH(L$2,'PORTIFÓLIO'!$J$3:$Q$3,0))) *
N('PORTIFÓLIO'!$S$4:$S$564),
0
)
),
0)</f>
        <v>0</v>
      </c>
      <c r="M233" s="47">
        <f t="shared" si="10"/>
        <v>0</v>
      </c>
      <c r="N233" s="49">
        <f t="array" ref="N233">IFERROR(
SUM(
IF(
'PORTIFÓLIO'!$C$4:$C$564=$A233,
N(INDEX('PORTIFÓLIO'!$J$4:$Q$564,,MATCH(N$2,'PORTIFÓLIO'!$J$3:$Q$3,0))) *
N('PORTIFÓLIO'!$S$4:$S$564),
0
)
),
0)</f>
        <v>0</v>
      </c>
      <c r="O233" s="49">
        <f t="shared" si="11"/>
        <v>0</v>
      </c>
      <c r="P233" s="49">
        <f t="array" ref="P233">IFERROR(
SUM(
IF(
'PORTIFÓLIO'!$C$4:$C$564=$A233,
N(INDEX('PORTIFÓLIO'!$J$4:$Q$564,,MATCH(P$2,'PORTIFÓLIO'!$J$3:$Q$3,0))) *
N('PORTIFÓLIO'!$S$4:$S$564),
0
)
),
0)</f>
        <v>0</v>
      </c>
      <c r="Q233" s="49">
        <f t="shared" si="12"/>
        <v>0</v>
      </c>
      <c r="R233" s="49">
        <f t="shared" si="2"/>
        <v>0</v>
      </c>
      <c r="S233" s="49">
        <f t="shared" si="13"/>
        <v>0</v>
      </c>
    </row>
    <row r="234" ht="15.75" hidden="1" customHeight="1" outlineLevel="1">
      <c r="A234" s="48" t="str">
        <f>IFERROR(__xludf.DUMMYFUNCTION("""COMPUTED_VALUE"""),"AMPLIGO")</f>
        <v>AMPLIGO</v>
      </c>
      <c r="B234" s="49">
        <f t="array" ref="B234">IFERROR(
SUM(
IF(
'PORTIFÓLIO'!$C$4:$C$564=$A234,
N(INDEX('PORTIFÓLIO'!$J$4:$Q$564,,MATCH(B$2,'PORTIFÓLIO'!$J$3:$Q$3,0))) *
N('PORTIFÓLIO'!$S$4:$S$564),
0
)
),
0)</f>
        <v>0</v>
      </c>
      <c r="C234" s="49">
        <f t="shared" si="5"/>
        <v>0</v>
      </c>
      <c r="D234" s="49">
        <f t="array" ref="D234">IFERROR(
SUM(
IF(
'PORTIFÓLIO'!$C$4:$C$564=$A234,
N(INDEX('PORTIFÓLIO'!$J$4:$Q$564,,MATCH(D$2,'PORTIFÓLIO'!$J$3:$Q$3,0))) *
N('PORTIFÓLIO'!$S$4:$S$564),
0
)
),
0)</f>
        <v>0</v>
      </c>
      <c r="E234" s="49">
        <f t="shared" si="6"/>
        <v>0</v>
      </c>
      <c r="F234" s="49">
        <f t="array" ref="F234">IFERROR(
SUM(
IF(
'PORTIFÓLIO'!$C$4:$C$564=$A234,
N(INDEX('PORTIFÓLIO'!$J$4:$Q$564,,MATCH(F$2,'PORTIFÓLIO'!$J$3:$Q$3,0))) *
N('PORTIFÓLIO'!$S$4:$S$564),
0
)
),
0)</f>
        <v>0</v>
      </c>
      <c r="G234" s="47">
        <f t="shared" si="7"/>
        <v>0</v>
      </c>
      <c r="H234" s="49">
        <f t="array" ref="H234">IFERROR(
SUM(
IF(
'PORTIFÓLIO'!$C$4:$C$564=$A234,
N(INDEX('PORTIFÓLIO'!$J$4:$Q$564,,MATCH(H$2,'PORTIFÓLIO'!$J$3:$Q$3,0))) *
N('PORTIFÓLIO'!$S$4:$S$564),
0
)
),
0)</f>
        <v>0</v>
      </c>
      <c r="I234" s="47">
        <f t="shared" si="8"/>
        <v>0</v>
      </c>
      <c r="J234" s="49">
        <f t="array" ref="J234">IFERROR(
SUM(
IF(
'PORTIFÓLIO'!$C$4:$C$564=$A234,
N(INDEX('PORTIFÓLIO'!$J$4:$Q$564,,MATCH(J$2,'PORTIFÓLIO'!$J$3:$Q$3,0))) *
N('PORTIFÓLIO'!$S$4:$S$564),
0
)
),
0)</f>
        <v>0</v>
      </c>
      <c r="K234" s="47">
        <f t="shared" si="9"/>
        <v>0</v>
      </c>
      <c r="L234" s="49">
        <f t="array" ref="L234">IFERROR(
SUM(
IF(
'PORTIFÓLIO'!$C$4:$C$564=$A234,
N(INDEX('PORTIFÓLIO'!$J$4:$Q$564,,MATCH(L$2,'PORTIFÓLIO'!$J$3:$Q$3,0))) *
N('PORTIFÓLIO'!$S$4:$S$564),
0
)
),
0)</f>
        <v>0</v>
      </c>
      <c r="M234" s="47">
        <f t="shared" si="10"/>
        <v>0</v>
      </c>
      <c r="N234" s="49">
        <f t="array" ref="N234">IFERROR(
SUM(
IF(
'PORTIFÓLIO'!$C$4:$C$564=$A234,
N(INDEX('PORTIFÓLIO'!$J$4:$Q$564,,MATCH(N$2,'PORTIFÓLIO'!$J$3:$Q$3,0))) *
N('PORTIFÓLIO'!$S$4:$S$564),
0
)
),
0)</f>
        <v>0</v>
      </c>
      <c r="O234" s="49">
        <f t="shared" si="11"/>
        <v>0</v>
      </c>
      <c r="P234" s="49">
        <f t="array" ref="P234">IFERROR(
SUM(
IF(
'PORTIFÓLIO'!$C$4:$C$564=$A234,
N(INDEX('PORTIFÓLIO'!$J$4:$Q$564,,MATCH(P$2,'PORTIFÓLIO'!$J$3:$Q$3,0))) *
N('PORTIFÓLIO'!$S$4:$S$564),
0
)
),
0)</f>
        <v>0</v>
      </c>
      <c r="Q234" s="49">
        <f t="shared" si="12"/>
        <v>0</v>
      </c>
      <c r="R234" s="49">
        <f t="shared" si="2"/>
        <v>0</v>
      </c>
      <c r="S234" s="49">
        <f t="shared" si="13"/>
        <v>0</v>
      </c>
    </row>
    <row r="235" ht="15.75" hidden="1" customHeight="1" outlineLevel="1">
      <c r="A235" s="48" t="str">
        <f>IFERROR(__xludf.DUMMYFUNCTION("""COMPUTED_VALUE"""),"CURYOM 550 EC")</f>
        <v>CURYOM 550 EC</v>
      </c>
      <c r="B235" s="49">
        <f t="array" ref="B235">IFERROR(
SUM(
IF(
'PORTIFÓLIO'!$C$4:$C$564=$A235,
N(INDEX('PORTIFÓLIO'!$J$4:$Q$564,,MATCH(B$2,'PORTIFÓLIO'!$J$3:$Q$3,0))) *
N('PORTIFÓLIO'!$S$4:$S$564),
0
)
),
0)</f>
        <v>0</v>
      </c>
      <c r="C235" s="49">
        <f t="shared" si="5"/>
        <v>0</v>
      </c>
      <c r="D235" s="49">
        <f t="array" ref="D235">IFERROR(
SUM(
IF(
'PORTIFÓLIO'!$C$4:$C$564=$A235,
N(INDEX('PORTIFÓLIO'!$J$4:$Q$564,,MATCH(D$2,'PORTIFÓLIO'!$J$3:$Q$3,0))) *
N('PORTIFÓLIO'!$S$4:$S$564),
0
)
),
0)</f>
        <v>0</v>
      </c>
      <c r="E235" s="49">
        <f t="shared" si="6"/>
        <v>0</v>
      </c>
      <c r="F235" s="49">
        <f t="array" ref="F235">IFERROR(
SUM(
IF(
'PORTIFÓLIO'!$C$4:$C$564=$A235,
N(INDEX('PORTIFÓLIO'!$J$4:$Q$564,,MATCH(F$2,'PORTIFÓLIO'!$J$3:$Q$3,0))) *
N('PORTIFÓLIO'!$S$4:$S$564),
0
)
),
0)</f>
        <v>0</v>
      </c>
      <c r="G235" s="47">
        <f t="shared" si="7"/>
        <v>0</v>
      </c>
      <c r="H235" s="49">
        <f t="array" ref="H235">IFERROR(
SUM(
IF(
'PORTIFÓLIO'!$C$4:$C$564=$A235,
N(INDEX('PORTIFÓLIO'!$J$4:$Q$564,,MATCH(H$2,'PORTIFÓLIO'!$J$3:$Q$3,0))) *
N('PORTIFÓLIO'!$S$4:$S$564),
0
)
),
0)</f>
        <v>0</v>
      </c>
      <c r="I235" s="47">
        <f t="shared" si="8"/>
        <v>0</v>
      </c>
      <c r="J235" s="49">
        <f t="array" ref="J235">IFERROR(
SUM(
IF(
'PORTIFÓLIO'!$C$4:$C$564=$A235,
N(INDEX('PORTIFÓLIO'!$J$4:$Q$564,,MATCH(J$2,'PORTIFÓLIO'!$J$3:$Q$3,0))) *
N('PORTIFÓLIO'!$S$4:$S$564),
0
)
),
0)</f>
        <v>0</v>
      </c>
      <c r="K235" s="47">
        <f t="shared" si="9"/>
        <v>0</v>
      </c>
      <c r="L235" s="49">
        <f t="array" ref="L235">IFERROR(
SUM(
IF(
'PORTIFÓLIO'!$C$4:$C$564=$A235,
N(INDEX('PORTIFÓLIO'!$J$4:$Q$564,,MATCH(L$2,'PORTIFÓLIO'!$J$3:$Q$3,0))) *
N('PORTIFÓLIO'!$S$4:$S$564),
0
)
),
0)</f>
        <v>0</v>
      </c>
      <c r="M235" s="47">
        <f t="shared" si="10"/>
        <v>0</v>
      </c>
      <c r="N235" s="49">
        <f t="array" ref="N235">IFERROR(
SUM(
IF(
'PORTIFÓLIO'!$C$4:$C$564=$A235,
N(INDEX('PORTIFÓLIO'!$J$4:$Q$564,,MATCH(N$2,'PORTIFÓLIO'!$J$3:$Q$3,0))) *
N('PORTIFÓLIO'!$S$4:$S$564),
0
)
),
0)</f>
        <v>0</v>
      </c>
      <c r="O235" s="49">
        <f t="shared" si="11"/>
        <v>0</v>
      </c>
      <c r="P235" s="49">
        <f t="array" ref="P235">IFERROR(
SUM(
IF(
'PORTIFÓLIO'!$C$4:$C$564=$A235,
N(INDEX('PORTIFÓLIO'!$J$4:$Q$564,,MATCH(P$2,'PORTIFÓLIO'!$J$3:$Q$3,0))) *
N('PORTIFÓLIO'!$S$4:$S$564),
0
)
),
0)</f>
        <v>0</v>
      </c>
      <c r="Q235" s="49">
        <f t="shared" si="12"/>
        <v>0</v>
      </c>
      <c r="R235" s="49">
        <f t="shared" si="2"/>
        <v>0</v>
      </c>
      <c r="S235" s="49">
        <f t="shared" si="13"/>
        <v>0</v>
      </c>
    </row>
    <row r="236" ht="15.75" hidden="1" customHeight="1" outlineLevel="1">
      <c r="A236" s="48" t="str">
        <f>IFERROR(__xludf.DUMMYFUNCTION("""COMPUTED_VALUE"""),"ELESTAL NEO")</f>
        <v>ELESTAL NEO</v>
      </c>
      <c r="B236" s="49">
        <f t="array" ref="B236">IFERROR(
SUM(
IF(
'PORTIFÓLIO'!$C$4:$C$564=$A236,
N(INDEX('PORTIFÓLIO'!$J$4:$Q$564,,MATCH(B$2,'PORTIFÓLIO'!$J$3:$Q$3,0))) *
N('PORTIFÓLIO'!$S$4:$S$564),
0
)
),
0)</f>
        <v>0</v>
      </c>
      <c r="C236" s="49">
        <f t="shared" si="5"/>
        <v>0</v>
      </c>
      <c r="D236" s="49">
        <f t="array" ref="D236">IFERROR(
SUM(
IF(
'PORTIFÓLIO'!$C$4:$C$564=$A236,
N(INDEX('PORTIFÓLIO'!$J$4:$Q$564,,MATCH(D$2,'PORTIFÓLIO'!$J$3:$Q$3,0))) *
N('PORTIFÓLIO'!$S$4:$S$564),
0
)
),
0)</f>
        <v>0</v>
      </c>
      <c r="E236" s="49">
        <f t="shared" si="6"/>
        <v>0</v>
      </c>
      <c r="F236" s="49">
        <f t="array" ref="F236">IFERROR(
SUM(
IF(
'PORTIFÓLIO'!$C$4:$C$564=$A236,
N(INDEX('PORTIFÓLIO'!$J$4:$Q$564,,MATCH(F$2,'PORTIFÓLIO'!$J$3:$Q$3,0))) *
N('PORTIFÓLIO'!$S$4:$S$564),
0
)
),
0)</f>
        <v>0</v>
      </c>
      <c r="G236" s="47">
        <f t="shared" si="7"/>
        <v>0</v>
      </c>
      <c r="H236" s="49">
        <f t="array" ref="H236">IFERROR(
SUM(
IF(
'PORTIFÓLIO'!$C$4:$C$564=$A236,
N(INDEX('PORTIFÓLIO'!$J$4:$Q$564,,MATCH(H$2,'PORTIFÓLIO'!$J$3:$Q$3,0))) *
N('PORTIFÓLIO'!$S$4:$S$564),
0
)
),
0)</f>
        <v>0</v>
      </c>
      <c r="I236" s="47">
        <f t="shared" si="8"/>
        <v>0</v>
      </c>
      <c r="J236" s="49">
        <f t="array" ref="J236">IFERROR(
SUM(
IF(
'PORTIFÓLIO'!$C$4:$C$564=$A236,
N(INDEX('PORTIFÓLIO'!$J$4:$Q$564,,MATCH(J$2,'PORTIFÓLIO'!$J$3:$Q$3,0))) *
N('PORTIFÓLIO'!$S$4:$S$564),
0
)
),
0)</f>
        <v>0</v>
      </c>
      <c r="K236" s="47">
        <f t="shared" si="9"/>
        <v>0</v>
      </c>
      <c r="L236" s="49">
        <f t="array" ref="L236">IFERROR(
SUM(
IF(
'PORTIFÓLIO'!$C$4:$C$564=$A236,
N(INDEX('PORTIFÓLIO'!$J$4:$Q$564,,MATCH(L$2,'PORTIFÓLIO'!$J$3:$Q$3,0))) *
N('PORTIFÓLIO'!$S$4:$S$564),
0
)
),
0)</f>
        <v>0</v>
      </c>
      <c r="M236" s="47">
        <f t="shared" si="10"/>
        <v>0</v>
      </c>
      <c r="N236" s="49">
        <f t="array" ref="N236">IFERROR(
SUM(
IF(
'PORTIFÓLIO'!$C$4:$C$564=$A236,
N(INDEX('PORTIFÓLIO'!$J$4:$Q$564,,MATCH(N$2,'PORTIFÓLIO'!$J$3:$Q$3,0))) *
N('PORTIFÓLIO'!$S$4:$S$564),
0
)
),
0)</f>
        <v>0</v>
      </c>
      <c r="O236" s="49">
        <f t="shared" si="11"/>
        <v>0</v>
      </c>
      <c r="P236" s="49">
        <f t="array" ref="P236">IFERROR(
SUM(
IF(
'PORTIFÓLIO'!$C$4:$C$564=$A236,
N(INDEX('PORTIFÓLIO'!$J$4:$Q$564,,MATCH(P$2,'PORTIFÓLIO'!$J$3:$Q$3,0))) *
N('PORTIFÓLIO'!$S$4:$S$564),
0
)
),
0)</f>
        <v>0</v>
      </c>
      <c r="Q236" s="49">
        <f t="shared" si="12"/>
        <v>0</v>
      </c>
      <c r="R236" s="49">
        <f t="shared" si="2"/>
        <v>0</v>
      </c>
      <c r="S236" s="49">
        <f t="shared" si="13"/>
        <v>0</v>
      </c>
    </row>
    <row r="237" ht="15.75" hidden="1" customHeight="1" outlineLevel="1">
      <c r="A237" s="48" t="str">
        <f>IFERROR(__xludf.DUMMYFUNCTION("""COMPUTED_VALUE"""),"ENGEO PLENO S")</f>
        <v>ENGEO PLENO S</v>
      </c>
      <c r="B237" s="49">
        <f t="array" ref="B237">IFERROR(
SUM(
IF(
'PORTIFÓLIO'!$C$4:$C$564=$A237,
N(INDEX('PORTIFÓLIO'!$J$4:$Q$564,,MATCH(B$2,'PORTIFÓLIO'!$J$3:$Q$3,0))) *
N('PORTIFÓLIO'!$S$4:$S$564),
0
)
),
0)</f>
        <v>0</v>
      </c>
      <c r="C237" s="49">
        <f t="shared" si="5"/>
        <v>0</v>
      </c>
      <c r="D237" s="49">
        <f t="array" ref="D237">IFERROR(
SUM(
IF(
'PORTIFÓLIO'!$C$4:$C$564=$A237,
N(INDEX('PORTIFÓLIO'!$J$4:$Q$564,,MATCH(D$2,'PORTIFÓLIO'!$J$3:$Q$3,0))) *
N('PORTIFÓLIO'!$S$4:$S$564),
0
)
),
0)</f>
        <v>5145.6726</v>
      </c>
      <c r="E237" s="49">
        <f t="shared" si="6"/>
        <v>17.152242</v>
      </c>
      <c r="F237" s="49">
        <f t="array" ref="F237">IFERROR(
SUM(
IF(
'PORTIFÓLIO'!$C$4:$C$564=$A237,
N(INDEX('PORTIFÓLIO'!$J$4:$Q$564,,MATCH(F$2,'PORTIFÓLIO'!$J$3:$Q$3,0))) *
N('PORTIFÓLIO'!$S$4:$S$564),
0
)
),
0)</f>
        <v>3773.49324</v>
      </c>
      <c r="G237" s="47">
        <f t="shared" si="7"/>
        <v>17.152242</v>
      </c>
      <c r="H237" s="49">
        <f t="array" ref="H237">IFERROR(
SUM(
IF(
'PORTIFÓLIO'!$C$4:$C$564=$A237,
N(INDEX('PORTIFÓLIO'!$J$4:$Q$564,,MATCH(H$2,'PORTIFÓLIO'!$J$3:$Q$3,0))) *
N('PORTIFÓLIO'!$S$4:$S$564),
0
)
),
0)</f>
        <v>0</v>
      </c>
      <c r="I237" s="47">
        <f t="shared" si="8"/>
        <v>0</v>
      </c>
      <c r="J237" s="49">
        <f t="array" ref="J237">IFERROR(
SUM(
IF(
'PORTIFÓLIO'!$C$4:$C$564=$A237,
N(INDEX('PORTIFÓLIO'!$J$4:$Q$564,,MATCH(J$2,'PORTIFÓLIO'!$J$3:$Q$3,0))) *
N('PORTIFÓLIO'!$S$4:$S$564),
0
)
),
0)</f>
        <v>6449.242992</v>
      </c>
      <c r="K237" s="47">
        <f t="shared" si="9"/>
        <v>17.152242</v>
      </c>
      <c r="L237" s="49">
        <f t="array" ref="L237">IFERROR(
SUM(
IF(
'PORTIFÓLIO'!$C$4:$C$564=$A237,
N(INDEX('PORTIFÓLIO'!$J$4:$Q$564,,MATCH(L$2,'PORTIFÓLIO'!$J$3:$Q$3,0))) *
N('PORTIFÓLIO'!$S$4:$S$564),
0
)
),
0)</f>
        <v>0</v>
      </c>
      <c r="M237" s="47">
        <f t="shared" si="10"/>
        <v>0</v>
      </c>
      <c r="N237" s="49">
        <f t="array" ref="N237">IFERROR(
SUM(
IF(
'PORTIFÓLIO'!$C$4:$C$564=$A237,
N(INDEX('PORTIFÓLIO'!$J$4:$Q$564,,MATCH(N$2,'PORTIFÓLIO'!$J$3:$Q$3,0))) *
N('PORTIFÓLIO'!$S$4:$S$564),
0
)
),
0)</f>
        <v>0</v>
      </c>
      <c r="O237" s="49">
        <f t="shared" si="11"/>
        <v>0</v>
      </c>
      <c r="P237" s="49">
        <f t="array" ref="P237">IFERROR(
SUM(
IF(
'PORTIFÓLIO'!$C$4:$C$564=$A237,
N(INDEX('PORTIFÓLIO'!$J$4:$Q$564,,MATCH(P$2,'PORTIFÓLIO'!$J$3:$Q$3,0))) *
N('PORTIFÓLIO'!$S$4:$S$564),
0
)
),
0)</f>
        <v>0</v>
      </c>
      <c r="Q237" s="49">
        <f t="shared" si="12"/>
        <v>0</v>
      </c>
      <c r="R237" s="49">
        <f t="shared" si="2"/>
        <v>11594.91559</v>
      </c>
      <c r="S237" s="49">
        <f t="shared" si="13"/>
        <v>3.467379065</v>
      </c>
    </row>
    <row r="238" ht="15.75" hidden="1" customHeight="1" outlineLevel="1">
      <c r="A238" s="48" t="str">
        <f>IFERROR(__xludf.DUMMYFUNCTION("""COMPUTED_VALUE"""),"KARATE ZEON 250 CS")</f>
        <v>KARATE ZEON 250 CS</v>
      </c>
      <c r="B238" s="49">
        <f t="array" ref="B238">IFERROR(
SUM(
IF(
'PORTIFÓLIO'!$C$4:$C$564=$A238,
N(INDEX('PORTIFÓLIO'!$J$4:$Q$564,,MATCH(B$2,'PORTIFÓLIO'!$J$3:$Q$3,0))) *
N('PORTIFÓLIO'!$S$4:$S$564),
0
)
),
0)</f>
        <v>0</v>
      </c>
      <c r="C238" s="49">
        <f t="shared" si="5"/>
        <v>0</v>
      </c>
      <c r="D238" s="49">
        <f t="array" ref="D238">IFERROR(
SUM(
IF(
'PORTIFÓLIO'!$C$4:$C$564=$A238,
N(INDEX('PORTIFÓLIO'!$J$4:$Q$564,,MATCH(D$2,'PORTIFÓLIO'!$J$3:$Q$3,0))) *
N('PORTIFÓLIO'!$S$4:$S$564),
0
)
),
0)</f>
        <v>0</v>
      </c>
      <c r="E238" s="49">
        <f t="shared" si="6"/>
        <v>0</v>
      </c>
      <c r="F238" s="49">
        <f t="array" ref="F238">IFERROR(
SUM(
IF(
'PORTIFÓLIO'!$C$4:$C$564=$A238,
N(INDEX('PORTIFÓLIO'!$J$4:$Q$564,,MATCH(F$2,'PORTIFÓLIO'!$J$3:$Q$3,0))) *
N('PORTIFÓLIO'!$S$4:$S$564),
0
)
),
0)</f>
        <v>0</v>
      </c>
      <c r="G238" s="47">
        <f t="shared" si="7"/>
        <v>0</v>
      </c>
      <c r="H238" s="49">
        <f t="array" ref="H238">IFERROR(
SUM(
IF(
'PORTIFÓLIO'!$C$4:$C$564=$A238,
N(INDEX('PORTIFÓLIO'!$J$4:$Q$564,,MATCH(H$2,'PORTIFÓLIO'!$J$3:$Q$3,0))) *
N('PORTIFÓLIO'!$S$4:$S$564),
0
)
),
0)</f>
        <v>0</v>
      </c>
      <c r="I238" s="47">
        <f t="shared" si="8"/>
        <v>0</v>
      </c>
      <c r="J238" s="49">
        <f t="array" ref="J238">IFERROR(
SUM(
IF(
'PORTIFÓLIO'!$C$4:$C$564=$A238,
N(INDEX('PORTIFÓLIO'!$J$4:$Q$564,,MATCH(J$2,'PORTIFÓLIO'!$J$3:$Q$3,0))) *
N('PORTIFÓLIO'!$S$4:$S$564),
0
)
),
0)</f>
        <v>0</v>
      </c>
      <c r="K238" s="47">
        <f t="shared" si="9"/>
        <v>0</v>
      </c>
      <c r="L238" s="49">
        <f t="array" ref="L238">IFERROR(
SUM(
IF(
'PORTIFÓLIO'!$C$4:$C$564=$A238,
N(INDEX('PORTIFÓLIO'!$J$4:$Q$564,,MATCH(L$2,'PORTIFÓLIO'!$J$3:$Q$3,0))) *
N('PORTIFÓLIO'!$S$4:$S$564),
0
)
),
0)</f>
        <v>0</v>
      </c>
      <c r="M238" s="47">
        <f t="shared" si="10"/>
        <v>0</v>
      </c>
      <c r="N238" s="49">
        <f t="array" ref="N238">IFERROR(
SUM(
IF(
'PORTIFÓLIO'!$C$4:$C$564=$A238,
N(INDEX('PORTIFÓLIO'!$J$4:$Q$564,,MATCH(N$2,'PORTIFÓLIO'!$J$3:$Q$3,0))) *
N('PORTIFÓLIO'!$S$4:$S$564),
0
)
),
0)</f>
        <v>0</v>
      </c>
      <c r="O238" s="49">
        <f t="shared" si="11"/>
        <v>0</v>
      </c>
      <c r="P238" s="49">
        <f t="array" ref="P238">IFERROR(
SUM(
IF(
'PORTIFÓLIO'!$C$4:$C$564=$A238,
N(INDEX('PORTIFÓLIO'!$J$4:$Q$564,,MATCH(P$2,'PORTIFÓLIO'!$J$3:$Q$3,0))) *
N('PORTIFÓLIO'!$S$4:$S$564),
0
)
),
0)</f>
        <v>0</v>
      </c>
      <c r="Q238" s="49">
        <f t="shared" si="12"/>
        <v>0</v>
      </c>
      <c r="R238" s="49">
        <f t="shared" si="2"/>
        <v>0</v>
      </c>
      <c r="S238" s="49">
        <f t="shared" si="13"/>
        <v>0</v>
      </c>
    </row>
    <row r="239" ht="15.75" hidden="1" customHeight="1" outlineLevel="1">
      <c r="A239" s="48" t="str">
        <f>IFERROR(__xludf.DUMMYFUNCTION("""COMPUTED_VALUE"""),"MINECTO PRO")</f>
        <v>MINECTO PRO</v>
      </c>
      <c r="B239" s="49">
        <f t="array" ref="B239">IFERROR(
SUM(
IF(
'PORTIFÓLIO'!$C$4:$C$564=$A239,
N(INDEX('PORTIFÓLIO'!$J$4:$Q$564,,MATCH(B$2,'PORTIFÓLIO'!$J$3:$Q$3,0))) *
N('PORTIFÓLIO'!$S$4:$S$564),
0
)
),
0)</f>
        <v>0</v>
      </c>
      <c r="C239" s="49">
        <f t="shared" si="5"/>
        <v>0</v>
      </c>
      <c r="D239" s="49">
        <f t="array" ref="D239">IFERROR(
SUM(
IF(
'PORTIFÓLIO'!$C$4:$C$564=$A239,
N(INDEX('PORTIFÓLIO'!$J$4:$Q$564,,MATCH(D$2,'PORTIFÓLIO'!$J$3:$Q$3,0))) *
N('PORTIFÓLIO'!$S$4:$S$564),
0
)
),
0)</f>
        <v>0</v>
      </c>
      <c r="E239" s="49">
        <f t="shared" si="6"/>
        <v>0</v>
      </c>
      <c r="F239" s="49">
        <f t="array" ref="F239">IFERROR(
SUM(
IF(
'PORTIFÓLIO'!$C$4:$C$564=$A239,
N(INDEX('PORTIFÓLIO'!$J$4:$Q$564,,MATCH(F$2,'PORTIFÓLIO'!$J$3:$Q$3,0))) *
N('PORTIFÓLIO'!$S$4:$S$564),
0
)
),
0)</f>
        <v>0</v>
      </c>
      <c r="G239" s="47">
        <f t="shared" si="7"/>
        <v>0</v>
      </c>
      <c r="H239" s="49">
        <f t="array" ref="H239">IFERROR(
SUM(
IF(
'PORTIFÓLIO'!$C$4:$C$564=$A239,
N(INDEX('PORTIFÓLIO'!$J$4:$Q$564,,MATCH(H$2,'PORTIFÓLIO'!$J$3:$Q$3,0))) *
N('PORTIFÓLIO'!$S$4:$S$564),
0
)
),
0)</f>
        <v>0</v>
      </c>
      <c r="I239" s="47">
        <f t="shared" si="8"/>
        <v>0</v>
      </c>
      <c r="J239" s="49">
        <f t="array" ref="J239">IFERROR(
SUM(
IF(
'PORTIFÓLIO'!$C$4:$C$564=$A239,
N(INDEX('PORTIFÓLIO'!$J$4:$Q$564,,MATCH(J$2,'PORTIFÓLIO'!$J$3:$Q$3,0))) *
N('PORTIFÓLIO'!$S$4:$S$564),
0
)
),
0)</f>
        <v>0</v>
      </c>
      <c r="K239" s="47">
        <f t="shared" si="9"/>
        <v>0</v>
      </c>
      <c r="L239" s="49">
        <f t="array" ref="L239">IFERROR(
SUM(
IF(
'PORTIFÓLIO'!$C$4:$C$564=$A239,
N(INDEX('PORTIFÓLIO'!$J$4:$Q$564,,MATCH(L$2,'PORTIFÓLIO'!$J$3:$Q$3,0))) *
N('PORTIFÓLIO'!$S$4:$S$564),
0
)
),
0)</f>
        <v>0</v>
      </c>
      <c r="M239" s="47">
        <f t="shared" si="10"/>
        <v>0</v>
      </c>
      <c r="N239" s="49">
        <f t="array" ref="N239">IFERROR(
SUM(
IF(
'PORTIFÓLIO'!$C$4:$C$564=$A239,
N(INDEX('PORTIFÓLIO'!$J$4:$Q$564,,MATCH(N$2,'PORTIFÓLIO'!$J$3:$Q$3,0))) *
N('PORTIFÓLIO'!$S$4:$S$564),
0
)
),
0)</f>
        <v>0</v>
      </c>
      <c r="O239" s="49">
        <f t="shared" si="11"/>
        <v>0</v>
      </c>
      <c r="P239" s="49">
        <f t="array" ref="P239">IFERROR(
SUM(
IF(
'PORTIFÓLIO'!$C$4:$C$564=$A239,
N(INDEX('PORTIFÓLIO'!$J$4:$Q$564,,MATCH(P$2,'PORTIFÓLIO'!$J$3:$Q$3,0))) *
N('PORTIFÓLIO'!$S$4:$S$564),
0
)
),
0)</f>
        <v>0</v>
      </c>
      <c r="Q239" s="49">
        <f t="shared" si="12"/>
        <v>0</v>
      </c>
      <c r="R239" s="49">
        <f t="shared" si="2"/>
        <v>0</v>
      </c>
      <c r="S239" s="49">
        <f t="shared" si="13"/>
        <v>0</v>
      </c>
    </row>
    <row r="240" ht="15.75" hidden="1" customHeight="1" outlineLevel="1">
      <c r="A240" s="48" t="str">
        <f>IFERROR(__xludf.DUMMYFUNCTION("""COMPUTED_VALUE"""),"POLO 500 SC")</f>
        <v>POLO 500 SC</v>
      </c>
      <c r="B240" s="49">
        <f t="array" ref="B240">IFERROR(
SUM(
IF(
'PORTIFÓLIO'!$C$4:$C$564=$A240,
N(INDEX('PORTIFÓLIO'!$J$4:$Q$564,,MATCH(B$2,'PORTIFÓLIO'!$J$3:$Q$3,0))) *
N('PORTIFÓLIO'!$S$4:$S$564),
0
)
),
0)</f>
        <v>0</v>
      </c>
      <c r="C240" s="49">
        <f t="shared" si="5"/>
        <v>0</v>
      </c>
      <c r="D240" s="49">
        <f t="array" ref="D240">IFERROR(
SUM(
IF(
'PORTIFÓLIO'!$C$4:$C$564=$A240,
N(INDEX('PORTIFÓLIO'!$J$4:$Q$564,,MATCH(D$2,'PORTIFÓLIO'!$J$3:$Q$3,0))) *
N('PORTIFÓLIO'!$S$4:$S$564),
0
)
),
0)</f>
        <v>0</v>
      </c>
      <c r="E240" s="49">
        <f t="shared" si="6"/>
        <v>0</v>
      </c>
      <c r="F240" s="49">
        <f t="array" ref="F240">IFERROR(
SUM(
IF(
'PORTIFÓLIO'!$C$4:$C$564=$A240,
N(INDEX('PORTIFÓLIO'!$J$4:$Q$564,,MATCH(F$2,'PORTIFÓLIO'!$J$3:$Q$3,0))) *
N('PORTIFÓLIO'!$S$4:$S$564),
0
)
),
0)</f>
        <v>0</v>
      </c>
      <c r="G240" s="47">
        <f t="shared" si="7"/>
        <v>0</v>
      </c>
      <c r="H240" s="49">
        <f t="array" ref="H240">IFERROR(
SUM(
IF(
'PORTIFÓLIO'!$C$4:$C$564=$A240,
N(INDEX('PORTIFÓLIO'!$J$4:$Q$564,,MATCH(H$2,'PORTIFÓLIO'!$J$3:$Q$3,0))) *
N('PORTIFÓLIO'!$S$4:$S$564),
0
)
),
0)</f>
        <v>0</v>
      </c>
      <c r="I240" s="47">
        <f t="shared" si="8"/>
        <v>0</v>
      </c>
      <c r="J240" s="49">
        <f t="array" ref="J240">IFERROR(
SUM(
IF(
'PORTIFÓLIO'!$C$4:$C$564=$A240,
N(INDEX('PORTIFÓLIO'!$J$4:$Q$564,,MATCH(J$2,'PORTIFÓLIO'!$J$3:$Q$3,0))) *
N('PORTIFÓLIO'!$S$4:$S$564),
0
)
),
0)</f>
        <v>0</v>
      </c>
      <c r="K240" s="47">
        <f t="shared" si="9"/>
        <v>0</v>
      </c>
      <c r="L240" s="49">
        <f t="array" ref="L240">IFERROR(
SUM(
IF(
'PORTIFÓLIO'!$C$4:$C$564=$A240,
N(INDEX('PORTIFÓLIO'!$J$4:$Q$564,,MATCH(L$2,'PORTIFÓLIO'!$J$3:$Q$3,0))) *
N('PORTIFÓLIO'!$S$4:$S$564),
0
)
),
0)</f>
        <v>0</v>
      </c>
      <c r="M240" s="47">
        <f t="shared" si="10"/>
        <v>0</v>
      </c>
      <c r="N240" s="49">
        <f t="array" ref="N240">IFERROR(
SUM(
IF(
'PORTIFÓLIO'!$C$4:$C$564=$A240,
N(INDEX('PORTIFÓLIO'!$J$4:$Q$564,,MATCH(N$2,'PORTIFÓLIO'!$J$3:$Q$3,0))) *
N('PORTIFÓLIO'!$S$4:$S$564),
0
)
),
0)</f>
        <v>0</v>
      </c>
      <c r="O240" s="49">
        <f t="shared" si="11"/>
        <v>0</v>
      </c>
      <c r="P240" s="49">
        <f t="array" ref="P240">IFERROR(
SUM(
IF(
'PORTIFÓLIO'!$C$4:$C$564=$A240,
N(INDEX('PORTIFÓLIO'!$J$4:$Q$564,,MATCH(P$2,'PORTIFÓLIO'!$J$3:$Q$3,0))) *
N('PORTIFÓLIO'!$S$4:$S$564),
0
)
),
0)</f>
        <v>0</v>
      </c>
      <c r="Q240" s="49">
        <f t="shared" si="12"/>
        <v>0</v>
      </c>
      <c r="R240" s="49">
        <f t="shared" si="2"/>
        <v>0</v>
      </c>
      <c r="S240" s="49">
        <f t="shared" si="13"/>
        <v>0</v>
      </c>
    </row>
    <row r="241" ht="15.75" hidden="1" customHeight="1" outlineLevel="1">
      <c r="A241" s="48" t="str">
        <f>IFERROR(__xludf.DUMMYFUNCTION("""COMPUTED_VALUE"""),"POLYTRIN")</f>
        <v>POLYTRIN</v>
      </c>
      <c r="B241" s="49">
        <f t="array" ref="B241">IFERROR(
SUM(
IF(
'PORTIFÓLIO'!$C$4:$C$564=$A241,
N(INDEX('PORTIFÓLIO'!$J$4:$Q$564,,MATCH(B$2,'PORTIFÓLIO'!$J$3:$Q$3,0))) *
N('PORTIFÓLIO'!$S$4:$S$564),
0
)
),
0)</f>
        <v>0</v>
      </c>
      <c r="C241" s="49">
        <f t="shared" si="5"/>
        <v>0</v>
      </c>
      <c r="D241" s="49">
        <f t="array" ref="D241">IFERROR(
SUM(
IF(
'PORTIFÓLIO'!$C$4:$C$564=$A241,
N(INDEX('PORTIFÓLIO'!$J$4:$Q$564,,MATCH(D$2,'PORTIFÓLIO'!$J$3:$Q$3,0))) *
N('PORTIFÓLIO'!$S$4:$S$564),
0
)
),
0)</f>
        <v>0</v>
      </c>
      <c r="E241" s="49">
        <f t="shared" si="6"/>
        <v>0</v>
      </c>
      <c r="F241" s="49">
        <f t="array" ref="F241">IFERROR(
SUM(
IF(
'PORTIFÓLIO'!$C$4:$C$564=$A241,
N(INDEX('PORTIFÓLIO'!$J$4:$Q$564,,MATCH(F$2,'PORTIFÓLIO'!$J$3:$Q$3,0))) *
N('PORTIFÓLIO'!$S$4:$S$564),
0
)
),
0)</f>
        <v>0</v>
      </c>
      <c r="G241" s="47">
        <f t="shared" si="7"/>
        <v>0</v>
      </c>
      <c r="H241" s="49">
        <f t="array" ref="H241">IFERROR(
SUM(
IF(
'PORTIFÓLIO'!$C$4:$C$564=$A241,
N(INDEX('PORTIFÓLIO'!$J$4:$Q$564,,MATCH(H$2,'PORTIFÓLIO'!$J$3:$Q$3,0))) *
N('PORTIFÓLIO'!$S$4:$S$564),
0
)
),
0)</f>
        <v>0</v>
      </c>
      <c r="I241" s="47">
        <f t="shared" si="8"/>
        <v>0</v>
      </c>
      <c r="J241" s="49">
        <f t="array" ref="J241">IFERROR(
SUM(
IF(
'PORTIFÓLIO'!$C$4:$C$564=$A241,
N(INDEX('PORTIFÓLIO'!$J$4:$Q$564,,MATCH(J$2,'PORTIFÓLIO'!$J$3:$Q$3,0))) *
N('PORTIFÓLIO'!$S$4:$S$564),
0
)
),
0)</f>
        <v>0</v>
      </c>
      <c r="K241" s="47">
        <f t="shared" si="9"/>
        <v>0</v>
      </c>
      <c r="L241" s="49">
        <f t="array" ref="L241">IFERROR(
SUM(
IF(
'PORTIFÓLIO'!$C$4:$C$564=$A241,
N(INDEX('PORTIFÓLIO'!$J$4:$Q$564,,MATCH(L$2,'PORTIFÓLIO'!$J$3:$Q$3,0))) *
N('PORTIFÓLIO'!$S$4:$S$564),
0
)
),
0)</f>
        <v>0</v>
      </c>
      <c r="M241" s="47">
        <f t="shared" si="10"/>
        <v>0</v>
      </c>
      <c r="N241" s="49">
        <f t="array" ref="N241">IFERROR(
SUM(
IF(
'PORTIFÓLIO'!$C$4:$C$564=$A241,
N(INDEX('PORTIFÓLIO'!$J$4:$Q$564,,MATCH(N$2,'PORTIFÓLIO'!$J$3:$Q$3,0))) *
N('PORTIFÓLIO'!$S$4:$S$564),
0
)
),
0)</f>
        <v>0</v>
      </c>
      <c r="O241" s="49">
        <f t="shared" si="11"/>
        <v>0</v>
      </c>
      <c r="P241" s="49">
        <f t="array" ref="P241">IFERROR(
SUM(
IF(
'PORTIFÓLIO'!$C$4:$C$564=$A241,
N(INDEX('PORTIFÓLIO'!$J$4:$Q$564,,MATCH(P$2,'PORTIFÓLIO'!$J$3:$Q$3,0))) *
N('PORTIFÓLIO'!$S$4:$S$564),
0
)
),
0)</f>
        <v>0</v>
      </c>
      <c r="Q241" s="49">
        <f t="shared" si="12"/>
        <v>0</v>
      </c>
      <c r="R241" s="49">
        <f t="shared" si="2"/>
        <v>0</v>
      </c>
      <c r="S241" s="49">
        <f t="shared" si="13"/>
        <v>0</v>
      </c>
    </row>
    <row r="242" ht="15.75" hidden="1" customHeight="1" outlineLevel="1">
      <c r="A242" s="48" t="str">
        <f>IFERROR(__xludf.DUMMYFUNCTION("""COMPUTED_VALUE"""),"PROCLAIM 50")</f>
        <v>PROCLAIM 50</v>
      </c>
      <c r="B242" s="49">
        <f t="array" ref="B242">IFERROR(
SUM(
IF(
'PORTIFÓLIO'!$C$4:$C$564=$A242,
N(INDEX('PORTIFÓLIO'!$J$4:$Q$564,,MATCH(B$2,'PORTIFÓLIO'!$J$3:$Q$3,0))) *
N('PORTIFÓLIO'!$S$4:$S$564),
0
)
),
0)</f>
        <v>0</v>
      </c>
      <c r="C242" s="49">
        <f t="shared" si="5"/>
        <v>0</v>
      </c>
      <c r="D242" s="49">
        <f t="array" ref="D242">IFERROR(
SUM(
IF(
'PORTIFÓLIO'!$C$4:$C$564=$A242,
N(INDEX('PORTIFÓLIO'!$J$4:$Q$564,,MATCH(D$2,'PORTIFÓLIO'!$J$3:$Q$3,0))) *
N('PORTIFÓLIO'!$S$4:$S$564),
0
)
),
0)</f>
        <v>0</v>
      </c>
      <c r="E242" s="49">
        <f t="shared" si="6"/>
        <v>0</v>
      </c>
      <c r="F242" s="49">
        <f t="array" ref="F242">IFERROR(
SUM(
IF(
'PORTIFÓLIO'!$C$4:$C$564=$A242,
N(INDEX('PORTIFÓLIO'!$J$4:$Q$564,,MATCH(F$2,'PORTIFÓLIO'!$J$3:$Q$3,0))) *
N('PORTIFÓLIO'!$S$4:$S$564),
0
)
),
0)</f>
        <v>0</v>
      </c>
      <c r="G242" s="47">
        <f t="shared" si="7"/>
        <v>0</v>
      </c>
      <c r="H242" s="49">
        <f t="array" ref="H242">IFERROR(
SUM(
IF(
'PORTIFÓLIO'!$C$4:$C$564=$A242,
N(INDEX('PORTIFÓLIO'!$J$4:$Q$564,,MATCH(H$2,'PORTIFÓLIO'!$J$3:$Q$3,0))) *
N('PORTIFÓLIO'!$S$4:$S$564),
0
)
),
0)</f>
        <v>0</v>
      </c>
      <c r="I242" s="47">
        <f t="shared" si="8"/>
        <v>0</v>
      </c>
      <c r="J242" s="49">
        <f t="array" ref="J242">IFERROR(
SUM(
IF(
'PORTIFÓLIO'!$C$4:$C$564=$A242,
N(INDEX('PORTIFÓLIO'!$J$4:$Q$564,,MATCH(J$2,'PORTIFÓLIO'!$J$3:$Q$3,0))) *
N('PORTIFÓLIO'!$S$4:$S$564),
0
)
),
0)</f>
        <v>0</v>
      </c>
      <c r="K242" s="47">
        <f t="shared" si="9"/>
        <v>0</v>
      </c>
      <c r="L242" s="49">
        <f t="array" ref="L242">IFERROR(
SUM(
IF(
'PORTIFÓLIO'!$C$4:$C$564=$A242,
N(INDEX('PORTIFÓLIO'!$J$4:$Q$564,,MATCH(L$2,'PORTIFÓLIO'!$J$3:$Q$3,0))) *
N('PORTIFÓLIO'!$S$4:$S$564),
0
)
),
0)</f>
        <v>10881.24576</v>
      </c>
      <c r="M242" s="47">
        <f t="shared" si="10"/>
        <v>49.460208</v>
      </c>
      <c r="N242" s="49">
        <f t="array" ref="N242">IFERROR(
SUM(
IF(
'PORTIFÓLIO'!$C$4:$C$564=$A242,
N(INDEX('PORTIFÓLIO'!$J$4:$Q$564,,MATCH(N$2,'PORTIFÓLIO'!$J$3:$Q$3,0))) *
N('PORTIFÓLIO'!$S$4:$S$564),
0
)
),
0)</f>
        <v>0</v>
      </c>
      <c r="O242" s="49">
        <f t="shared" si="11"/>
        <v>0</v>
      </c>
      <c r="P242" s="49">
        <f t="array" ref="P242">IFERROR(
SUM(
IF(
'PORTIFÓLIO'!$C$4:$C$564=$A242,
N(INDEX('PORTIFÓLIO'!$J$4:$Q$564,,MATCH(P$2,'PORTIFÓLIO'!$J$3:$Q$3,0))) *
N('PORTIFÓLIO'!$S$4:$S$564),
0
)
),
0)</f>
        <v>0</v>
      </c>
      <c r="Q242" s="49">
        <f t="shared" si="12"/>
        <v>0</v>
      </c>
      <c r="R242" s="49">
        <f t="shared" si="2"/>
        <v>10881.24576</v>
      </c>
      <c r="S242" s="49">
        <f t="shared" si="13"/>
        <v>3.253961053</v>
      </c>
    </row>
    <row r="243" ht="15.75" hidden="1" customHeight="1" outlineLevel="1">
      <c r="A243" s="48" t="str">
        <f>IFERROR(__xludf.DUMMYFUNCTION("""COMPUTED_VALUE"""),"SPONTA")</f>
        <v>SPONTA</v>
      </c>
      <c r="B243" s="49">
        <f t="array" ref="B243">IFERROR(
SUM(
IF(
'PORTIFÓLIO'!$C$4:$C$564=$A243,
N(INDEX('PORTIFÓLIO'!$J$4:$Q$564,,MATCH(B$2,'PORTIFÓLIO'!$J$3:$Q$3,0))) *
N('PORTIFÓLIO'!$S$4:$S$564),
0
)
),
0)</f>
        <v>0</v>
      </c>
      <c r="C243" s="49">
        <f t="shared" si="5"/>
        <v>0</v>
      </c>
      <c r="D243" s="49">
        <f t="array" ref="D243">IFERROR(
SUM(
IF(
'PORTIFÓLIO'!$C$4:$C$564=$A243,
N(INDEX('PORTIFÓLIO'!$J$4:$Q$564,,MATCH(D$2,'PORTIFÓLIO'!$J$3:$Q$3,0))) *
N('PORTIFÓLIO'!$S$4:$S$564),
0
)
),
0)</f>
        <v>0</v>
      </c>
      <c r="E243" s="49">
        <f t="shared" si="6"/>
        <v>0</v>
      </c>
      <c r="F243" s="49">
        <f t="array" ref="F243">IFERROR(
SUM(
IF(
'PORTIFÓLIO'!$C$4:$C$564=$A243,
N(INDEX('PORTIFÓLIO'!$J$4:$Q$564,,MATCH(F$2,'PORTIFÓLIO'!$J$3:$Q$3,0))) *
N('PORTIFÓLIO'!$S$4:$S$564),
0
)
),
0)</f>
        <v>0</v>
      </c>
      <c r="G243" s="47">
        <f t="shared" si="7"/>
        <v>0</v>
      </c>
      <c r="H243" s="49">
        <f t="array" ref="H243">IFERROR(
SUM(
IF(
'PORTIFÓLIO'!$C$4:$C$564=$A243,
N(INDEX('PORTIFÓLIO'!$J$4:$Q$564,,MATCH(H$2,'PORTIFÓLIO'!$J$3:$Q$3,0))) *
N('PORTIFÓLIO'!$S$4:$S$564),
0
)
),
0)</f>
        <v>0</v>
      </c>
      <c r="I243" s="47">
        <f t="shared" si="8"/>
        <v>0</v>
      </c>
      <c r="J243" s="49">
        <f t="array" ref="J243">IFERROR(
SUM(
IF(
'PORTIFÓLIO'!$C$4:$C$564=$A243,
N(INDEX('PORTIFÓLIO'!$J$4:$Q$564,,MATCH(J$2,'PORTIFÓLIO'!$J$3:$Q$3,0))) *
N('PORTIFÓLIO'!$S$4:$S$564),
0
)
),
0)</f>
        <v>0</v>
      </c>
      <c r="K243" s="47">
        <f t="shared" si="9"/>
        <v>0</v>
      </c>
      <c r="L243" s="49">
        <f t="array" ref="L243">IFERROR(
SUM(
IF(
'PORTIFÓLIO'!$C$4:$C$564=$A243,
N(INDEX('PORTIFÓLIO'!$J$4:$Q$564,,MATCH(L$2,'PORTIFÓLIO'!$J$3:$Q$3,0))) *
N('PORTIFÓLIO'!$S$4:$S$564),
0
)
),
0)</f>
        <v>0</v>
      </c>
      <c r="M243" s="47">
        <f t="shared" si="10"/>
        <v>0</v>
      </c>
      <c r="N243" s="49">
        <f t="array" ref="N243">IFERROR(
SUM(
IF(
'PORTIFÓLIO'!$C$4:$C$564=$A243,
N(INDEX('PORTIFÓLIO'!$J$4:$Q$564,,MATCH(N$2,'PORTIFÓLIO'!$J$3:$Q$3,0))) *
N('PORTIFÓLIO'!$S$4:$S$564),
0
)
),
0)</f>
        <v>0</v>
      </c>
      <c r="O243" s="49">
        <f t="shared" si="11"/>
        <v>0</v>
      </c>
      <c r="P243" s="49">
        <f t="array" ref="P243">IFERROR(
SUM(
IF(
'PORTIFÓLIO'!$C$4:$C$564=$A243,
N(INDEX('PORTIFÓLIO'!$J$4:$Q$564,,MATCH(P$2,'PORTIFÓLIO'!$J$3:$Q$3,0))) *
N('PORTIFÓLIO'!$S$4:$S$564),
0
)
),
0)</f>
        <v>0</v>
      </c>
      <c r="Q243" s="49">
        <f t="shared" si="12"/>
        <v>0</v>
      </c>
      <c r="R243" s="49">
        <f t="shared" si="2"/>
        <v>0</v>
      </c>
      <c r="S243" s="49">
        <f t="shared" si="13"/>
        <v>0</v>
      </c>
    </row>
    <row r="244" ht="15.75" hidden="1" customHeight="1" outlineLevel="1">
      <c r="A244" s="48" t="str">
        <f>IFERROR(__xludf.DUMMYFUNCTION("""COMPUTED_VALUE"""),"VERDAVIS")</f>
        <v>VERDAVIS</v>
      </c>
      <c r="B244" s="49">
        <f t="array" ref="B244">IFERROR(
SUM(
IF(
'PORTIFÓLIO'!$C$4:$C$564=$A244,
N(INDEX('PORTIFÓLIO'!$J$4:$Q$564,,MATCH(B$2,'PORTIFÓLIO'!$J$3:$Q$3,0))) *
N('PORTIFÓLIO'!$S$4:$S$564),
0
)
),
0)</f>
        <v>0</v>
      </c>
      <c r="C244" s="49">
        <f t="shared" si="5"/>
        <v>0</v>
      </c>
      <c r="D244" s="49">
        <f t="array" ref="D244">IFERROR(
SUM(
IF(
'PORTIFÓLIO'!$C$4:$C$564=$A244,
N(INDEX('PORTIFÓLIO'!$J$4:$Q$564,,MATCH(D$2,'PORTIFÓLIO'!$J$3:$Q$3,0))) *
N('PORTIFÓLIO'!$S$4:$S$564),
0
)
),
0)</f>
        <v>0</v>
      </c>
      <c r="E244" s="49">
        <f t="shared" si="6"/>
        <v>0</v>
      </c>
      <c r="F244" s="49">
        <f t="array" ref="F244">IFERROR(
SUM(
IF(
'PORTIFÓLIO'!$C$4:$C$564=$A244,
N(INDEX('PORTIFÓLIO'!$J$4:$Q$564,,MATCH(F$2,'PORTIFÓLIO'!$J$3:$Q$3,0))) *
N('PORTIFÓLIO'!$S$4:$S$564),
0
)
),
0)</f>
        <v>0</v>
      </c>
      <c r="G244" s="47">
        <f t="shared" si="7"/>
        <v>0</v>
      </c>
      <c r="H244" s="49">
        <f t="array" ref="H244">IFERROR(
SUM(
IF(
'PORTIFÓLIO'!$C$4:$C$564=$A244,
N(INDEX('PORTIFÓLIO'!$J$4:$Q$564,,MATCH(H$2,'PORTIFÓLIO'!$J$3:$Q$3,0))) *
N('PORTIFÓLIO'!$S$4:$S$564),
0
)
),
0)</f>
        <v>0</v>
      </c>
      <c r="I244" s="47">
        <f t="shared" si="8"/>
        <v>0</v>
      </c>
      <c r="J244" s="49">
        <f t="array" ref="J244">IFERROR(
SUM(
IF(
'PORTIFÓLIO'!$C$4:$C$564=$A244,
N(INDEX('PORTIFÓLIO'!$J$4:$Q$564,,MATCH(J$2,'PORTIFÓLIO'!$J$3:$Q$3,0))) *
N('PORTIFÓLIO'!$S$4:$S$564),
0
)
),
0)</f>
        <v>0</v>
      </c>
      <c r="K244" s="47">
        <f t="shared" si="9"/>
        <v>0</v>
      </c>
      <c r="L244" s="49">
        <f t="array" ref="L244">IFERROR(
SUM(
IF(
'PORTIFÓLIO'!$C$4:$C$564=$A244,
N(INDEX('PORTIFÓLIO'!$J$4:$Q$564,,MATCH(L$2,'PORTIFÓLIO'!$J$3:$Q$3,0))) *
N('PORTIFÓLIO'!$S$4:$S$564),
0
)
),
0)</f>
        <v>0</v>
      </c>
      <c r="M244" s="47">
        <f t="shared" si="10"/>
        <v>0</v>
      </c>
      <c r="N244" s="49">
        <f t="array" ref="N244">IFERROR(
SUM(
IF(
'PORTIFÓLIO'!$C$4:$C$564=$A244,
N(INDEX('PORTIFÓLIO'!$J$4:$Q$564,,MATCH(N$2,'PORTIFÓLIO'!$J$3:$Q$3,0))) *
N('PORTIFÓLIO'!$S$4:$S$564),
0
)
),
0)</f>
        <v>120683.9466</v>
      </c>
      <c r="O244" s="49">
        <f t="shared" si="11"/>
        <v>99.0837</v>
      </c>
      <c r="P244" s="49">
        <f t="array" ref="P244">IFERROR(
SUM(
IF(
'PORTIFÓLIO'!$C$4:$C$564=$A244,
N(INDEX('PORTIFÓLIO'!$J$4:$Q$564,,MATCH(P$2,'PORTIFÓLIO'!$J$3:$Q$3,0))) *
N('PORTIFÓLIO'!$S$4:$S$564),
0
)
),
0)</f>
        <v>31706.784</v>
      </c>
      <c r="Q244" s="49">
        <f t="shared" si="12"/>
        <v>99.0837</v>
      </c>
      <c r="R244" s="49">
        <f t="shared" si="2"/>
        <v>152390.7306</v>
      </c>
      <c r="S244" s="49">
        <f t="shared" si="13"/>
        <v>45.57139073</v>
      </c>
    </row>
    <row r="245" ht="15.75" hidden="1" customHeight="1" outlineLevel="1">
      <c r="A245" s="48" t="str">
        <f>IFERROR(__xludf.DUMMYFUNCTION("""COMPUTED_VALUE"""),"VERTIMEC 84 SC")</f>
        <v>VERTIMEC 84 SC</v>
      </c>
      <c r="B245" s="49">
        <f t="array" ref="B245">IFERROR(
SUM(
IF(
'PORTIFÓLIO'!$C$4:$C$564=$A245,
N(INDEX('PORTIFÓLIO'!$J$4:$Q$564,,MATCH(B$2,'PORTIFÓLIO'!$J$3:$Q$3,0))) *
N('PORTIFÓLIO'!$S$4:$S$564),
0
)
),
0)</f>
        <v>0</v>
      </c>
      <c r="C245" s="49">
        <f t="shared" si="5"/>
        <v>0</v>
      </c>
      <c r="D245" s="49">
        <f t="array" ref="D245">IFERROR(
SUM(
IF(
'PORTIFÓLIO'!$C$4:$C$564=$A245,
N(INDEX('PORTIFÓLIO'!$J$4:$Q$564,,MATCH(D$2,'PORTIFÓLIO'!$J$3:$Q$3,0))) *
N('PORTIFÓLIO'!$S$4:$S$564),
0
)
),
0)</f>
        <v>0</v>
      </c>
      <c r="E245" s="49">
        <f t="shared" si="6"/>
        <v>0</v>
      </c>
      <c r="F245" s="49">
        <f t="array" ref="F245">IFERROR(
SUM(
IF(
'PORTIFÓLIO'!$C$4:$C$564=$A245,
N(INDEX('PORTIFÓLIO'!$J$4:$Q$564,,MATCH(F$2,'PORTIFÓLIO'!$J$3:$Q$3,0))) *
N('PORTIFÓLIO'!$S$4:$S$564),
0
)
),
0)</f>
        <v>0</v>
      </c>
      <c r="G245" s="47">
        <f t="shared" si="7"/>
        <v>0</v>
      </c>
      <c r="H245" s="49">
        <f t="array" ref="H245">IFERROR(
SUM(
IF(
'PORTIFÓLIO'!$C$4:$C$564=$A245,
N(INDEX('PORTIFÓLIO'!$J$4:$Q$564,,MATCH(H$2,'PORTIFÓLIO'!$J$3:$Q$3,0))) *
N('PORTIFÓLIO'!$S$4:$S$564),
0
)
),
0)</f>
        <v>0</v>
      </c>
      <c r="I245" s="47">
        <f t="shared" si="8"/>
        <v>0</v>
      </c>
      <c r="J245" s="49">
        <f t="array" ref="J245">IFERROR(
SUM(
IF(
'PORTIFÓLIO'!$C$4:$C$564=$A245,
N(INDEX('PORTIFÓLIO'!$J$4:$Q$564,,MATCH(J$2,'PORTIFÓLIO'!$J$3:$Q$3,0))) *
N('PORTIFÓLIO'!$S$4:$S$564),
0
)
),
0)</f>
        <v>0</v>
      </c>
      <c r="K245" s="47">
        <f t="shared" si="9"/>
        <v>0</v>
      </c>
      <c r="L245" s="49">
        <f t="array" ref="L245">IFERROR(
SUM(
IF(
'PORTIFÓLIO'!$C$4:$C$564=$A245,
N(INDEX('PORTIFÓLIO'!$J$4:$Q$564,,MATCH(L$2,'PORTIFÓLIO'!$J$3:$Q$3,0))) *
N('PORTIFÓLIO'!$S$4:$S$564),
0
)
),
0)</f>
        <v>0</v>
      </c>
      <c r="M245" s="47">
        <f t="shared" si="10"/>
        <v>0</v>
      </c>
      <c r="N245" s="49">
        <f t="array" ref="N245">IFERROR(
SUM(
IF(
'PORTIFÓLIO'!$C$4:$C$564=$A245,
N(INDEX('PORTIFÓLIO'!$J$4:$Q$564,,MATCH(N$2,'PORTIFÓLIO'!$J$3:$Q$3,0))) *
N('PORTIFÓLIO'!$S$4:$S$564),
0
)
),
0)</f>
        <v>0</v>
      </c>
      <c r="O245" s="49">
        <f t="shared" si="11"/>
        <v>0</v>
      </c>
      <c r="P245" s="49">
        <f t="array" ref="P245">IFERROR(
SUM(
IF(
'PORTIFÓLIO'!$C$4:$C$564=$A245,
N(INDEX('PORTIFÓLIO'!$J$4:$Q$564,,MATCH(P$2,'PORTIFÓLIO'!$J$3:$Q$3,0))) *
N('PORTIFÓLIO'!$S$4:$S$564),
0
)
),
0)</f>
        <v>0</v>
      </c>
      <c r="Q245" s="49">
        <f t="shared" si="12"/>
        <v>0</v>
      </c>
      <c r="R245" s="49">
        <f t="shared" si="2"/>
        <v>0</v>
      </c>
      <c r="S245" s="49">
        <f t="shared" si="13"/>
        <v>0</v>
      </c>
    </row>
    <row r="246" ht="15.75" hidden="1" customHeight="1" outlineLevel="1">
      <c r="A246" s="48"/>
      <c r="B246" s="49">
        <f t="array" ref="B246">IFERROR(
SUM(
IF(
'PORTIFÓLIO'!$C$4:$C$564=$A246,
N(INDEX('PORTIFÓLIO'!$J$4:$Q$564,,MATCH(B$2,'PORTIFÓLIO'!$J$3:$Q$3,0))) *
N('PORTIFÓLIO'!$S$4:$S$564),
0
)
),
0)</f>
        <v>0</v>
      </c>
      <c r="C246" s="49">
        <f t="shared" si="5"/>
        <v>0</v>
      </c>
      <c r="D246" s="49">
        <f t="array" ref="D246">IFERROR(
SUM(
IF(
'PORTIFÓLIO'!$C$4:$C$564=$A246,
N(INDEX('PORTIFÓLIO'!$J$4:$Q$564,,MATCH(D$2,'PORTIFÓLIO'!$J$3:$Q$3,0))) *
N('PORTIFÓLIO'!$S$4:$S$564),
0
)
),
0)</f>
        <v>0</v>
      </c>
      <c r="E246" s="49">
        <f t="shared" si="6"/>
        <v>0</v>
      </c>
      <c r="F246" s="49">
        <f t="array" ref="F246">IFERROR(
SUM(
IF(
'PORTIFÓLIO'!$C$4:$C$564=$A246,
N(INDEX('PORTIFÓLIO'!$J$4:$Q$564,,MATCH(F$2,'PORTIFÓLIO'!$J$3:$Q$3,0))) *
N('PORTIFÓLIO'!$S$4:$S$564),
0
)
),
0)</f>
        <v>0</v>
      </c>
      <c r="G246" s="47">
        <f t="shared" si="7"/>
        <v>0</v>
      </c>
      <c r="H246" s="49">
        <f t="array" ref="H246">IFERROR(
SUM(
IF(
'PORTIFÓLIO'!$C$4:$C$564=$A246,
N(INDEX('PORTIFÓLIO'!$J$4:$Q$564,,MATCH(H$2,'PORTIFÓLIO'!$J$3:$Q$3,0))) *
N('PORTIFÓLIO'!$S$4:$S$564),
0
)
),
0)</f>
        <v>0</v>
      </c>
      <c r="I246" s="47">
        <f t="shared" si="8"/>
        <v>0</v>
      </c>
      <c r="J246" s="49">
        <f t="array" ref="J246">IFERROR(
SUM(
IF(
'PORTIFÓLIO'!$C$4:$C$564=$A246,
N(INDEX('PORTIFÓLIO'!$J$4:$Q$564,,MATCH(J$2,'PORTIFÓLIO'!$J$3:$Q$3,0))) *
N('PORTIFÓLIO'!$S$4:$S$564),
0
)
),
0)</f>
        <v>0</v>
      </c>
      <c r="K246" s="47">
        <f t="shared" si="9"/>
        <v>0</v>
      </c>
      <c r="L246" s="49">
        <f t="array" ref="L246">IFERROR(
SUM(
IF(
'PORTIFÓLIO'!$C$4:$C$564=$A246,
N(INDEX('PORTIFÓLIO'!$J$4:$Q$564,,MATCH(L$2,'PORTIFÓLIO'!$J$3:$Q$3,0))) *
N('PORTIFÓLIO'!$S$4:$S$564),
0
)
),
0)</f>
        <v>0</v>
      </c>
      <c r="M246" s="47">
        <f t="shared" si="10"/>
        <v>0</v>
      </c>
      <c r="N246" s="49">
        <f t="array" ref="N246">IFERROR(
SUM(
IF(
'PORTIFÓLIO'!$C$4:$C$564=$A246,
N(INDEX('PORTIFÓLIO'!$J$4:$Q$564,,MATCH(N$2,'PORTIFÓLIO'!$J$3:$Q$3,0))) *
N('PORTIFÓLIO'!$S$4:$S$564),
0
)
),
0)</f>
        <v>0</v>
      </c>
      <c r="O246" s="49">
        <f t="shared" si="11"/>
        <v>0</v>
      </c>
      <c r="P246" s="49">
        <f t="array" ref="P246">IFERROR(
SUM(
IF(
'PORTIFÓLIO'!$C$4:$C$564=$A246,
N(INDEX('PORTIFÓLIO'!$J$4:$Q$564,,MATCH(P$2,'PORTIFÓLIO'!$J$3:$Q$3,0))) *
N('PORTIFÓLIO'!$S$4:$S$564),
0
)
),
0)</f>
        <v>0</v>
      </c>
      <c r="Q246" s="49">
        <f t="shared" si="12"/>
        <v>0</v>
      </c>
      <c r="R246" s="49">
        <f t="shared" si="2"/>
        <v>0</v>
      </c>
      <c r="S246" s="49">
        <f t="shared" si="13"/>
        <v>0</v>
      </c>
    </row>
    <row r="247" ht="15.75" hidden="1" customHeight="1" outlineLevel="1">
      <c r="A247" s="48"/>
      <c r="B247" s="49">
        <f t="array" ref="B247">IFERROR(
SUM(
IF(
'PORTIFÓLIO'!$C$4:$C$564=$A247,
N(INDEX('PORTIFÓLIO'!$J$4:$Q$564,,MATCH(B$2,'PORTIFÓLIO'!$J$3:$Q$3,0))) *
N('PORTIFÓLIO'!$S$4:$S$564),
0
)
),
0)</f>
        <v>0</v>
      </c>
      <c r="C247" s="49">
        <f t="shared" si="5"/>
        <v>0</v>
      </c>
      <c r="D247" s="49">
        <f t="array" ref="D247">IFERROR(
SUM(
IF(
'PORTIFÓLIO'!$C$4:$C$564=$A247,
N(INDEX('PORTIFÓLIO'!$J$4:$Q$564,,MATCH(D$2,'PORTIFÓLIO'!$J$3:$Q$3,0))) *
N('PORTIFÓLIO'!$S$4:$S$564),
0
)
),
0)</f>
        <v>0</v>
      </c>
      <c r="E247" s="49">
        <f t="shared" si="6"/>
        <v>0</v>
      </c>
      <c r="F247" s="49">
        <f t="array" ref="F247">IFERROR(
SUM(
IF(
'PORTIFÓLIO'!$C$4:$C$564=$A247,
N(INDEX('PORTIFÓLIO'!$J$4:$Q$564,,MATCH(F$2,'PORTIFÓLIO'!$J$3:$Q$3,0))) *
N('PORTIFÓLIO'!$S$4:$S$564),
0
)
),
0)</f>
        <v>0</v>
      </c>
      <c r="G247" s="47">
        <f t="shared" si="7"/>
        <v>0</v>
      </c>
      <c r="H247" s="49">
        <f t="array" ref="H247">IFERROR(
SUM(
IF(
'PORTIFÓLIO'!$C$4:$C$564=$A247,
N(INDEX('PORTIFÓLIO'!$J$4:$Q$564,,MATCH(H$2,'PORTIFÓLIO'!$J$3:$Q$3,0))) *
N('PORTIFÓLIO'!$S$4:$S$564),
0
)
),
0)</f>
        <v>0</v>
      </c>
      <c r="I247" s="47">
        <f t="shared" si="8"/>
        <v>0</v>
      </c>
      <c r="J247" s="49">
        <f t="array" ref="J247">IFERROR(
SUM(
IF(
'PORTIFÓLIO'!$C$4:$C$564=$A247,
N(INDEX('PORTIFÓLIO'!$J$4:$Q$564,,MATCH(J$2,'PORTIFÓLIO'!$J$3:$Q$3,0))) *
N('PORTIFÓLIO'!$S$4:$S$564),
0
)
),
0)</f>
        <v>0</v>
      </c>
      <c r="K247" s="47">
        <f t="shared" si="9"/>
        <v>0</v>
      </c>
      <c r="L247" s="49">
        <f t="array" ref="L247">IFERROR(
SUM(
IF(
'PORTIFÓLIO'!$C$4:$C$564=$A247,
N(INDEX('PORTIFÓLIO'!$J$4:$Q$564,,MATCH(L$2,'PORTIFÓLIO'!$J$3:$Q$3,0))) *
N('PORTIFÓLIO'!$S$4:$S$564),
0
)
),
0)</f>
        <v>0</v>
      </c>
      <c r="M247" s="47">
        <f t="shared" si="10"/>
        <v>0</v>
      </c>
      <c r="N247" s="49">
        <f t="array" ref="N247">IFERROR(
SUM(
IF(
'PORTIFÓLIO'!$C$4:$C$564=$A247,
N(INDEX('PORTIFÓLIO'!$J$4:$Q$564,,MATCH(N$2,'PORTIFÓLIO'!$J$3:$Q$3,0))) *
N('PORTIFÓLIO'!$S$4:$S$564),
0
)
),
0)</f>
        <v>0</v>
      </c>
      <c r="O247" s="49">
        <f t="shared" si="11"/>
        <v>0</v>
      </c>
      <c r="P247" s="49">
        <f t="array" ref="P247">IFERROR(
SUM(
IF(
'PORTIFÓLIO'!$C$4:$C$564=$A247,
N(INDEX('PORTIFÓLIO'!$J$4:$Q$564,,MATCH(P$2,'PORTIFÓLIO'!$J$3:$Q$3,0))) *
N('PORTIFÓLIO'!$S$4:$S$564),
0
)
),
0)</f>
        <v>0</v>
      </c>
      <c r="Q247" s="49">
        <f t="shared" si="12"/>
        <v>0</v>
      </c>
      <c r="R247" s="49">
        <f t="shared" si="2"/>
        <v>0</v>
      </c>
      <c r="S247" s="49">
        <f t="shared" si="13"/>
        <v>0</v>
      </c>
    </row>
    <row r="248" ht="15.75" hidden="1" customHeight="1" outlineLevel="1">
      <c r="A248" s="48"/>
      <c r="B248" s="49">
        <f t="array" ref="B248">IFERROR(
SUM(
IF(
'PORTIFÓLIO'!$C$4:$C$564=$A248,
N(INDEX('PORTIFÓLIO'!$J$4:$Q$564,,MATCH(B$2,'PORTIFÓLIO'!$J$3:$Q$3,0))) *
N('PORTIFÓLIO'!$S$4:$S$564),
0
)
),
0)</f>
        <v>0</v>
      </c>
      <c r="C248" s="49">
        <f t="shared" si="5"/>
        <v>0</v>
      </c>
      <c r="D248" s="49">
        <f t="array" ref="D248">IFERROR(
SUM(
IF(
'PORTIFÓLIO'!$C$4:$C$564=$A248,
N(INDEX('PORTIFÓLIO'!$J$4:$Q$564,,MATCH(D$2,'PORTIFÓLIO'!$J$3:$Q$3,0))) *
N('PORTIFÓLIO'!$S$4:$S$564),
0
)
),
0)</f>
        <v>0</v>
      </c>
      <c r="E248" s="49">
        <f t="shared" si="6"/>
        <v>0</v>
      </c>
      <c r="F248" s="49">
        <f t="array" ref="F248">IFERROR(
SUM(
IF(
'PORTIFÓLIO'!$C$4:$C$564=$A248,
N(INDEX('PORTIFÓLIO'!$J$4:$Q$564,,MATCH(F$2,'PORTIFÓLIO'!$J$3:$Q$3,0))) *
N('PORTIFÓLIO'!$S$4:$S$564),
0
)
),
0)</f>
        <v>0</v>
      </c>
      <c r="G248" s="47">
        <f t="shared" si="7"/>
        <v>0</v>
      </c>
      <c r="H248" s="49">
        <f t="array" ref="H248">IFERROR(
SUM(
IF(
'PORTIFÓLIO'!$C$4:$C$564=$A248,
N(INDEX('PORTIFÓLIO'!$J$4:$Q$564,,MATCH(H$2,'PORTIFÓLIO'!$J$3:$Q$3,0))) *
N('PORTIFÓLIO'!$S$4:$S$564),
0
)
),
0)</f>
        <v>0</v>
      </c>
      <c r="I248" s="47">
        <f t="shared" si="8"/>
        <v>0</v>
      </c>
      <c r="J248" s="49">
        <f t="array" ref="J248">IFERROR(
SUM(
IF(
'PORTIFÓLIO'!$C$4:$C$564=$A248,
N(INDEX('PORTIFÓLIO'!$J$4:$Q$564,,MATCH(J$2,'PORTIFÓLIO'!$J$3:$Q$3,0))) *
N('PORTIFÓLIO'!$S$4:$S$564),
0
)
),
0)</f>
        <v>0</v>
      </c>
      <c r="K248" s="47">
        <f t="shared" si="9"/>
        <v>0</v>
      </c>
      <c r="L248" s="49">
        <f t="array" ref="L248">IFERROR(
SUM(
IF(
'PORTIFÓLIO'!$C$4:$C$564=$A248,
N(INDEX('PORTIFÓLIO'!$J$4:$Q$564,,MATCH(L$2,'PORTIFÓLIO'!$J$3:$Q$3,0))) *
N('PORTIFÓLIO'!$S$4:$S$564),
0
)
),
0)</f>
        <v>0</v>
      </c>
      <c r="M248" s="47">
        <f t="shared" si="10"/>
        <v>0</v>
      </c>
      <c r="N248" s="49">
        <f t="array" ref="N248">IFERROR(
SUM(
IF(
'PORTIFÓLIO'!$C$4:$C$564=$A248,
N(INDEX('PORTIFÓLIO'!$J$4:$Q$564,,MATCH(N$2,'PORTIFÓLIO'!$J$3:$Q$3,0))) *
N('PORTIFÓLIO'!$S$4:$S$564),
0
)
),
0)</f>
        <v>0</v>
      </c>
      <c r="O248" s="49">
        <f t="shared" si="11"/>
        <v>0</v>
      </c>
      <c r="P248" s="49">
        <f t="array" ref="P248">IFERROR(
SUM(
IF(
'PORTIFÓLIO'!$C$4:$C$564=$A248,
N(INDEX('PORTIFÓLIO'!$J$4:$Q$564,,MATCH(P$2,'PORTIFÓLIO'!$J$3:$Q$3,0))) *
N('PORTIFÓLIO'!$S$4:$S$564),
0
)
),
0)</f>
        <v>0</v>
      </c>
      <c r="Q248" s="49">
        <f t="shared" si="12"/>
        <v>0</v>
      </c>
      <c r="R248" s="49">
        <f t="shared" si="2"/>
        <v>0</v>
      </c>
      <c r="S248" s="49">
        <f t="shared" si="13"/>
        <v>0</v>
      </c>
    </row>
    <row r="249" ht="15.75" hidden="1" customHeight="1" outlineLevel="1">
      <c r="A249" s="48"/>
      <c r="B249" s="49">
        <f t="array" ref="B249">IFERROR(
SUM(
IF(
'PORTIFÓLIO'!$C$4:$C$564=$A249,
N(INDEX('PORTIFÓLIO'!$J$4:$Q$564,,MATCH(B$2,'PORTIFÓLIO'!$J$3:$Q$3,0))) *
N('PORTIFÓLIO'!$S$4:$S$564),
0
)
),
0)</f>
        <v>0</v>
      </c>
      <c r="C249" s="49">
        <f t="shared" si="5"/>
        <v>0</v>
      </c>
      <c r="D249" s="49">
        <f t="array" ref="D249">IFERROR(
SUM(
IF(
'PORTIFÓLIO'!$C$4:$C$564=$A249,
N(INDEX('PORTIFÓLIO'!$J$4:$Q$564,,MATCH(D$2,'PORTIFÓLIO'!$J$3:$Q$3,0))) *
N('PORTIFÓLIO'!$S$4:$S$564),
0
)
),
0)</f>
        <v>0</v>
      </c>
      <c r="E249" s="49">
        <f t="shared" si="6"/>
        <v>0</v>
      </c>
      <c r="F249" s="49">
        <f t="array" ref="F249">IFERROR(
SUM(
IF(
'PORTIFÓLIO'!$C$4:$C$564=$A249,
N(INDEX('PORTIFÓLIO'!$J$4:$Q$564,,MATCH(F$2,'PORTIFÓLIO'!$J$3:$Q$3,0))) *
N('PORTIFÓLIO'!$S$4:$S$564),
0
)
),
0)</f>
        <v>0</v>
      </c>
      <c r="G249" s="47">
        <f t="shared" si="7"/>
        <v>0</v>
      </c>
      <c r="H249" s="49">
        <f t="array" ref="H249">IFERROR(
SUM(
IF(
'PORTIFÓLIO'!$C$4:$C$564=$A249,
N(INDEX('PORTIFÓLIO'!$J$4:$Q$564,,MATCH(H$2,'PORTIFÓLIO'!$J$3:$Q$3,0))) *
N('PORTIFÓLIO'!$S$4:$S$564),
0
)
),
0)</f>
        <v>0</v>
      </c>
      <c r="I249" s="47">
        <f t="shared" si="8"/>
        <v>0</v>
      </c>
      <c r="J249" s="49">
        <f t="array" ref="J249">IFERROR(
SUM(
IF(
'PORTIFÓLIO'!$C$4:$C$564=$A249,
N(INDEX('PORTIFÓLIO'!$J$4:$Q$564,,MATCH(J$2,'PORTIFÓLIO'!$J$3:$Q$3,0))) *
N('PORTIFÓLIO'!$S$4:$S$564),
0
)
),
0)</f>
        <v>0</v>
      </c>
      <c r="K249" s="47">
        <f t="shared" si="9"/>
        <v>0</v>
      </c>
      <c r="L249" s="49">
        <f t="array" ref="L249">IFERROR(
SUM(
IF(
'PORTIFÓLIO'!$C$4:$C$564=$A249,
N(INDEX('PORTIFÓLIO'!$J$4:$Q$564,,MATCH(L$2,'PORTIFÓLIO'!$J$3:$Q$3,0))) *
N('PORTIFÓLIO'!$S$4:$S$564),
0
)
),
0)</f>
        <v>0</v>
      </c>
      <c r="M249" s="47">
        <f t="shared" si="10"/>
        <v>0</v>
      </c>
      <c r="N249" s="49">
        <f t="array" ref="N249">IFERROR(
SUM(
IF(
'PORTIFÓLIO'!$C$4:$C$564=$A249,
N(INDEX('PORTIFÓLIO'!$J$4:$Q$564,,MATCH(N$2,'PORTIFÓLIO'!$J$3:$Q$3,0))) *
N('PORTIFÓLIO'!$S$4:$S$564),
0
)
),
0)</f>
        <v>0</v>
      </c>
      <c r="O249" s="49">
        <f t="shared" si="11"/>
        <v>0</v>
      </c>
      <c r="P249" s="49">
        <f t="array" ref="P249">IFERROR(
SUM(
IF(
'PORTIFÓLIO'!$C$4:$C$564=$A249,
N(INDEX('PORTIFÓLIO'!$J$4:$Q$564,,MATCH(P$2,'PORTIFÓLIO'!$J$3:$Q$3,0))) *
N('PORTIFÓLIO'!$S$4:$S$564),
0
)
),
0)</f>
        <v>0</v>
      </c>
      <c r="Q249" s="49">
        <f t="shared" si="12"/>
        <v>0</v>
      </c>
      <c r="R249" s="49">
        <f t="shared" si="2"/>
        <v>0</v>
      </c>
      <c r="S249" s="49">
        <f t="shared" si="13"/>
        <v>0</v>
      </c>
    </row>
    <row r="250" ht="15.75" hidden="1" customHeight="1" outlineLevel="1">
      <c r="A250" s="48"/>
      <c r="B250" s="49">
        <f t="array" ref="B250">IFERROR(
SUM(
IF(
'PORTIFÓLIO'!$C$4:$C$564=$A250,
N(INDEX('PORTIFÓLIO'!$J$4:$Q$564,,MATCH(B$2,'PORTIFÓLIO'!$J$3:$Q$3,0))) *
N('PORTIFÓLIO'!$S$4:$S$564),
0
)
),
0)</f>
        <v>0</v>
      </c>
      <c r="C250" s="49">
        <f t="shared" si="5"/>
        <v>0</v>
      </c>
      <c r="D250" s="49">
        <f t="array" ref="D250">IFERROR(
SUM(
IF(
'PORTIFÓLIO'!$C$4:$C$564=$A250,
N(INDEX('PORTIFÓLIO'!$J$4:$Q$564,,MATCH(D$2,'PORTIFÓLIO'!$J$3:$Q$3,0))) *
N('PORTIFÓLIO'!$S$4:$S$564),
0
)
),
0)</f>
        <v>0</v>
      </c>
      <c r="E250" s="49">
        <f t="shared" si="6"/>
        <v>0</v>
      </c>
      <c r="F250" s="49">
        <f t="array" ref="F250">IFERROR(
SUM(
IF(
'PORTIFÓLIO'!$C$4:$C$564=$A250,
N(INDEX('PORTIFÓLIO'!$J$4:$Q$564,,MATCH(F$2,'PORTIFÓLIO'!$J$3:$Q$3,0))) *
N('PORTIFÓLIO'!$S$4:$S$564),
0
)
),
0)</f>
        <v>0</v>
      </c>
      <c r="G250" s="47">
        <f t="shared" si="7"/>
        <v>0</v>
      </c>
      <c r="H250" s="49">
        <f t="array" ref="H250">IFERROR(
SUM(
IF(
'PORTIFÓLIO'!$C$4:$C$564=$A250,
N(INDEX('PORTIFÓLIO'!$J$4:$Q$564,,MATCH(H$2,'PORTIFÓLIO'!$J$3:$Q$3,0))) *
N('PORTIFÓLIO'!$S$4:$S$564),
0
)
),
0)</f>
        <v>0</v>
      </c>
      <c r="I250" s="47">
        <f t="shared" si="8"/>
        <v>0</v>
      </c>
      <c r="J250" s="49">
        <f t="array" ref="J250">IFERROR(
SUM(
IF(
'PORTIFÓLIO'!$C$4:$C$564=$A250,
N(INDEX('PORTIFÓLIO'!$J$4:$Q$564,,MATCH(J$2,'PORTIFÓLIO'!$J$3:$Q$3,0))) *
N('PORTIFÓLIO'!$S$4:$S$564),
0
)
),
0)</f>
        <v>0</v>
      </c>
      <c r="K250" s="47">
        <f t="shared" si="9"/>
        <v>0</v>
      </c>
      <c r="L250" s="49">
        <f t="array" ref="L250">IFERROR(
SUM(
IF(
'PORTIFÓLIO'!$C$4:$C$564=$A250,
N(INDEX('PORTIFÓLIO'!$J$4:$Q$564,,MATCH(L$2,'PORTIFÓLIO'!$J$3:$Q$3,0))) *
N('PORTIFÓLIO'!$S$4:$S$564),
0
)
),
0)</f>
        <v>0</v>
      </c>
      <c r="M250" s="47">
        <f t="shared" si="10"/>
        <v>0</v>
      </c>
      <c r="N250" s="49">
        <f t="array" ref="N250">IFERROR(
SUM(
IF(
'PORTIFÓLIO'!$C$4:$C$564=$A250,
N(INDEX('PORTIFÓLIO'!$J$4:$Q$564,,MATCH(N$2,'PORTIFÓLIO'!$J$3:$Q$3,0))) *
N('PORTIFÓLIO'!$S$4:$S$564),
0
)
),
0)</f>
        <v>0</v>
      </c>
      <c r="O250" s="49">
        <f t="shared" si="11"/>
        <v>0</v>
      </c>
      <c r="P250" s="49">
        <f t="array" ref="P250">IFERROR(
SUM(
IF(
'PORTIFÓLIO'!$C$4:$C$564=$A250,
N(INDEX('PORTIFÓLIO'!$J$4:$Q$564,,MATCH(P$2,'PORTIFÓLIO'!$J$3:$Q$3,0))) *
N('PORTIFÓLIO'!$S$4:$S$564),
0
)
),
0)</f>
        <v>0</v>
      </c>
      <c r="Q250" s="49">
        <f t="shared" si="12"/>
        <v>0</v>
      </c>
      <c r="R250" s="49">
        <f t="shared" si="2"/>
        <v>0</v>
      </c>
      <c r="S250" s="49">
        <f t="shared" si="13"/>
        <v>0</v>
      </c>
    </row>
    <row r="251" ht="15.75" hidden="1" customHeight="1" outlineLevel="1">
      <c r="A251" s="48"/>
      <c r="B251" s="49">
        <f t="array" ref="B251">IFERROR(
SUM(
IF(
'PORTIFÓLIO'!$C$4:$C$564=$A251,
N(INDEX('PORTIFÓLIO'!$J$4:$Q$564,,MATCH(B$2,'PORTIFÓLIO'!$J$3:$Q$3,0))) *
N('PORTIFÓLIO'!$S$4:$S$564),
0
)
),
0)</f>
        <v>0</v>
      </c>
      <c r="C251" s="49">
        <f t="shared" si="5"/>
        <v>0</v>
      </c>
      <c r="D251" s="49">
        <f t="array" ref="D251">IFERROR(
SUM(
IF(
'PORTIFÓLIO'!$C$4:$C$564=$A251,
N(INDEX('PORTIFÓLIO'!$J$4:$Q$564,,MATCH(D$2,'PORTIFÓLIO'!$J$3:$Q$3,0))) *
N('PORTIFÓLIO'!$S$4:$S$564),
0
)
),
0)</f>
        <v>0</v>
      </c>
      <c r="E251" s="49">
        <f t="shared" si="6"/>
        <v>0</v>
      </c>
      <c r="F251" s="49">
        <f t="array" ref="F251">IFERROR(
SUM(
IF(
'PORTIFÓLIO'!$C$4:$C$564=$A251,
N(INDEX('PORTIFÓLIO'!$J$4:$Q$564,,MATCH(F$2,'PORTIFÓLIO'!$J$3:$Q$3,0))) *
N('PORTIFÓLIO'!$S$4:$S$564),
0
)
),
0)</f>
        <v>0</v>
      </c>
      <c r="G251" s="47">
        <f t="shared" si="7"/>
        <v>0</v>
      </c>
      <c r="H251" s="49">
        <f t="array" ref="H251">IFERROR(
SUM(
IF(
'PORTIFÓLIO'!$C$4:$C$564=$A251,
N(INDEX('PORTIFÓLIO'!$J$4:$Q$564,,MATCH(H$2,'PORTIFÓLIO'!$J$3:$Q$3,0))) *
N('PORTIFÓLIO'!$S$4:$S$564),
0
)
),
0)</f>
        <v>0</v>
      </c>
      <c r="I251" s="47">
        <f t="shared" si="8"/>
        <v>0</v>
      </c>
      <c r="J251" s="49">
        <f t="array" ref="J251">IFERROR(
SUM(
IF(
'PORTIFÓLIO'!$C$4:$C$564=$A251,
N(INDEX('PORTIFÓLIO'!$J$4:$Q$564,,MATCH(J$2,'PORTIFÓLIO'!$J$3:$Q$3,0))) *
N('PORTIFÓLIO'!$S$4:$S$564),
0
)
),
0)</f>
        <v>0</v>
      </c>
      <c r="K251" s="47">
        <f t="shared" si="9"/>
        <v>0</v>
      </c>
      <c r="L251" s="49">
        <f t="array" ref="L251">IFERROR(
SUM(
IF(
'PORTIFÓLIO'!$C$4:$C$564=$A251,
N(INDEX('PORTIFÓLIO'!$J$4:$Q$564,,MATCH(L$2,'PORTIFÓLIO'!$J$3:$Q$3,0))) *
N('PORTIFÓLIO'!$S$4:$S$564),
0
)
),
0)</f>
        <v>0</v>
      </c>
      <c r="M251" s="47">
        <f t="shared" si="10"/>
        <v>0</v>
      </c>
      <c r="N251" s="49">
        <f t="array" ref="N251">IFERROR(
SUM(
IF(
'PORTIFÓLIO'!$C$4:$C$564=$A251,
N(INDEX('PORTIFÓLIO'!$J$4:$Q$564,,MATCH(N$2,'PORTIFÓLIO'!$J$3:$Q$3,0))) *
N('PORTIFÓLIO'!$S$4:$S$564),
0
)
),
0)</f>
        <v>0</v>
      </c>
      <c r="O251" s="49">
        <f t="shared" si="11"/>
        <v>0</v>
      </c>
      <c r="P251" s="49">
        <f t="array" ref="P251">IFERROR(
SUM(
IF(
'PORTIFÓLIO'!$C$4:$C$564=$A251,
N(INDEX('PORTIFÓLIO'!$J$4:$Q$564,,MATCH(P$2,'PORTIFÓLIO'!$J$3:$Q$3,0))) *
N('PORTIFÓLIO'!$S$4:$S$564),
0
)
),
0)</f>
        <v>0</v>
      </c>
      <c r="Q251" s="49">
        <f t="shared" si="12"/>
        <v>0</v>
      </c>
      <c r="R251" s="49">
        <f t="shared" si="2"/>
        <v>0</v>
      </c>
      <c r="S251" s="49">
        <f t="shared" si="13"/>
        <v>0</v>
      </c>
    </row>
    <row r="252" ht="15.75" hidden="1" customHeight="1" outlineLevel="1">
      <c r="A252" s="48"/>
      <c r="B252" s="49">
        <f t="array" ref="B252">IFERROR(
SUM(
IF(
'PORTIFÓLIO'!$C$4:$C$564=$A252,
N(INDEX('PORTIFÓLIO'!$J$4:$Q$564,,MATCH(B$2,'PORTIFÓLIO'!$J$3:$Q$3,0))) *
N('PORTIFÓLIO'!$S$4:$S$564),
0
)
),
0)</f>
        <v>0</v>
      </c>
      <c r="C252" s="49">
        <f t="shared" si="5"/>
        <v>0</v>
      </c>
      <c r="D252" s="49">
        <f t="array" ref="D252">IFERROR(
SUM(
IF(
'PORTIFÓLIO'!$C$4:$C$564=$A252,
N(INDEX('PORTIFÓLIO'!$J$4:$Q$564,,MATCH(D$2,'PORTIFÓLIO'!$J$3:$Q$3,0))) *
N('PORTIFÓLIO'!$S$4:$S$564),
0
)
),
0)</f>
        <v>0</v>
      </c>
      <c r="E252" s="49">
        <f t="shared" si="6"/>
        <v>0</v>
      </c>
      <c r="F252" s="49">
        <f t="array" ref="F252">IFERROR(
SUM(
IF(
'PORTIFÓLIO'!$C$4:$C$564=$A252,
N(INDEX('PORTIFÓLIO'!$J$4:$Q$564,,MATCH(F$2,'PORTIFÓLIO'!$J$3:$Q$3,0))) *
N('PORTIFÓLIO'!$S$4:$S$564),
0
)
),
0)</f>
        <v>0</v>
      </c>
      <c r="G252" s="47">
        <f t="shared" si="7"/>
        <v>0</v>
      </c>
      <c r="H252" s="49">
        <f t="array" ref="H252">IFERROR(
SUM(
IF(
'PORTIFÓLIO'!$C$4:$C$564=$A252,
N(INDEX('PORTIFÓLIO'!$J$4:$Q$564,,MATCH(H$2,'PORTIFÓLIO'!$J$3:$Q$3,0))) *
N('PORTIFÓLIO'!$S$4:$S$564),
0
)
),
0)</f>
        <v>0</v>
      </c>
      <c r="I252" s="47">
        <f t="shared" si="8"/>
        <v>0</v>
      </c>
      <c r="J252" s="49">
        <f t="array" ref="J252">IFERROR(
SUM(
IF(
'PORTIFÓLIO'!$C$4:$C$564=$A252,
N(INDEX('PORTIFÓLIO'!$J$4:$Q$564,,MATCH(J$2,'PORTIFÓLIO'!$J$3:$Q$3,0))) *
N('PORTIFÓLIO'!$S$4:$S$564),
0
)
),
0)</f>
        <v>0</v>
      </c>
      <c r="K252" s="47">
        <f t="shared" si="9"/>
        <v>0</v>
      </c>
      <c r="L252" s="49">
        <f t="array" ref="L252">IFERROR(
SUM(
IF(
'PORTIFÓLIO'!$C$4:$C$564=$A252,
N(INDEX('PORTIFÓLIO'!$J$4:$Q$564,,MATCH(L$2,'PORTIFÓLIO'!$J$3:$Q$3,0))) *
N('PORTIFÓLIO'!$S$4:$S$564),
0
)
),
0)</f>
        <v>0</v>
      </c>
      <c r="M252" s="47">
        <f t="shared" si="10"/>
        <v>0</v>
      </c>
      <c r="N252" s="49">
        <f t="array" ref="N252">IFERROR(
SUM(
IF(
'PORTIFÓLIO'!$C$4:$C$564=$A252,
N(INDEX('PORTIFÓLIO'!$J$4:$Q$564,,MATCH(N$2,'PORTIFÓLIO'!$J$3:$Q$3,0))) *
N('PORTIFÓLIO'!$S$4:$S$564),
0
)
),
0)</f>
        <v>0</v>
      </c>
      <c r="O252" s="49">
        <f t="shared" si="11"/>
        <v>0</v>
      </c>
      <c r="P252" s="49">
        <f t="array" ref="P252">IFERROR(
SUM(
IF(
'PORTIFÓLIO'!$C$4:$C$564=$A252,
N(INDEX('PORTIFÓLIO'!$J$4:$Q$564,,MATCH(P$2,'PORTIFÓLIO'!$J$3:$Q$3,0))) *
N('PORTIFÓLIO'!$S$4:$S$564),
0
)
),
0)</f>
        <v>0</v>
      </c>
      <c r="Q252" s="49">
        <f t="shared" si="12"/>
        <v>0</v>
      </c>
      <c r="R252" s="49">
        <f t="shared" si="2"/>
        <v>0</v>
      </c>
      <c r="S252" s="49">
        <f t="shared" si="13"/>
        <v>0</v>
      </c>
    </row>
    <row r="253" ht="15.75" hidden="1" customHeight="1" outlineLevel="1">
      <c r="A253" s="48"/>
      <c r="B253" s="49">
        <f t="array" ref="B253">IFERROR(
SUM(
IF(
'PORTIFÓLIO'!$C$4:$C$564=$A253,
N(INDEX('PORTIFÓLIO'!$J$4:$Q$564,,MATCH(B$2,'PORTIFÓLIO'!$J$3:$Q$3,0))) *
N('PORTIFÓLIO'!$S$4:$S$564),
0
)
),
0)</f>
        <v>0</v>
      </c>
      <c r="C253" s="49">
        <f t="shared" si="5"/>
        <v>0</v>
      </c>
      <c r="D253" s="49">
        <f t="array" ref="D253">IFERROR(
SUM(
IF(
'PORTIFÓLIO'!$C$4:$C$564=$A253,
N(INDEX('PORTIFÓLIO'!$J$4:$Q$564,,MATCH(D$2,'PORTIFÓLIO'!$J$3:$Q$3,0))) *
N('PORTIFÓLIO'!$S$4:$S$564),
0
)
),
0)</f>
        <v>0</v>
      </c>
      <c r="E253" s="49">
        <f t="shared" si="6"/>
        <v>0</v>
      </c>
      <c r="F253" s="49">
        <f t="array" ref="F253">IFERROR(
SUM(
IF(
'PORTIFÓLIO'!$C$4:$C$564=$A253,
N(INDEX('PORTIFÓLIO'!$J$4:$Q$564,,MATCH(F$2,'PORTIFÓLIO'!$J$3:$Q$3,0))) *
N('PORTIFÓLIO'!$S$4:$S$564),
0
)
),
0)</f>
        <v>0</v>
      </c>
      <c r="G253" s="47">
        <f t="shared" si="7"/>
        <v>0</v>
      </c>
      <c r="H253" s="49">
        <f t="array" ref="H253">IFERROR(
SUM(
IF(
'PORTIFÓLIO'!$C$4:$C$564=$A253,
N(INDEX('PORTIFÓLIO'!$J$4:$Q$564,,MATCH(H$2,'PORTIFÓLIO'!$J$3:$Q$3,0))) *
N('PORTIFÓLIO'!$S$4:$S$564),
0
)
),
0)</f>
        <v>0</v>
      </c>
      <c r="I253" s="47">
        <f t="shared" si="8"/>
        <v>0</v>
      </c>
      <c r="J253" s="49">
        <f t="array" ref="J253">IFERROR(
SUM(
IF(
'PORTIFÓLIO'!$C$4:$C$564=$A253,
N(INDEX('PORTIFÓLIO'!$J$4:$Q$564,,MATCH(J$2,'PORTIFÓLIO'!$J$3:$Q$3,0))) *
N('PORTIFÓLIO'!$S$4:$S$564),
0
)
),
0)</f>
        <v>0</v>
      </c>
      <c r="K253" s="47">
        <f t="shared" si="9"/>
        <v>0</v>
      </c>
      <c r="L253" s="49">
        <f t="array" ref="L253">IFERROR(
SUM(
IF(
'PORTIFÓLIO'!$C$4:$C$564=$A253,
N(INDEX('PORTIFÓLIO'!$J$4:$Q$564,,MATCH(L$2,'PORTIFÓLIO'!$J$3:$Q$3,0))) *
N('PORTIFÓLIO'!$S$4:$S$564),
0
)
),
0)</f>
        <v>0</v>
      </c>
      <c r="M253" s="47">
        <f t="shared" si="10"/>
        <v>0</v>
      </c>
      <c r="N253" s="49">
        <f t="array" ref="N253">IFERROR(
SUM(
IF(
'PORTIFÓLIO'!$C$4:$C$564=$A253,
N(INDEX('PORTIFÓLIO'!$J$4:$Q$564,,MATCH(N$2,'PORTIFÓLIO'!$J$3:$Q$3,0))) *
N('PORTIFÓLIO'!$S$4:$S$564),
0
)
),
0)</f>
        <v>0</v>
      </c>
      <c r="O253" s="49">
        <f t="shared" si="11"/>
        <v>0</v>
      </c>
      <c r="P253" s="49">
        <f t="array" ref="P253">IFERROR(
SUM(
IF(
'PORTIFÓLIO'!$C$4:$C$564=$A253,
N(INDEX('PORTIFÓLIO'!$J$4:$Q$564,,MATCH(P$2,'PORTIFÓLIO'!$J$3:$Q$3,0))) *
N('PORTIFÓLIO'!$S$4:$S$564),
0
)
),
0)</f>
        <v>0</v>
      </c>
      <c r="Q253" s="49">
        <f t="shared" si="12"/>
        <v>0</v>
      </c>
      <c r="R253" s="49">
        <f t="shared" si="2"/>
        <v>0</v>
      </c>
      <c r="S253" s="49">
        <f t="shared" si="13"/>
        <v>0</v>
      </c>
    </row>
    <row r="254" ht="15.75" hidden="1" customHeight="1" outlineLevel="1">
      <c r="A254" s="48"/>
      <c r="B254" s="49">
        <f t="array" ref="B254">IFERROR(
SUM(
IF(
'PORTIFÓLIO'!$C$4:$C$564=$A254,
N(INDEX('PORTIFÓLIO'!$J$4:$Q$564,,MATCH(B$2,'PORTIFÓLIO'!$J$3:$Q$3,0))) *
N('PORTIFÓLIO'!$S$4:$S$564),
0
)
),
0)</f>
        <v>0</v>
      </c>
      <c r="C254" s="49">
        <f t="shared" si="5"/>
        <v>0</v>
      </c>
      <c r="D254" s="49">
        <f t="array" ref="D254">IFERROR(
SUM(
IF(
'PORTIFÓLIO'!$C$4:$C$564=$A254,
N(INDEX('PORTIFÓLIO'!$J$4:$Q$564,,MATCH(D$2,'PORTIFÓLIO'!$J$3:$Q$3,0))) *
N('PORTIFÓLIO'!$S$4:$S$564),
0
)
),
0)</f>
        <v>0</v>
      </c>
      <c r="E254" s="49">
        <f t="shared" si="6"/>
        <v>0</v>
      </c>
      <c r="F254" s="49">
        <f t="array" ref="F254">IFERROR(
SUM(
IF(
'PORTIFÓLIO'!$C$4:$C$564=$A254,
N(INDEX('PORTIFÓLIO'!$J$4:$Q$564,,MATCH(F$2,'PORTIFÓLIO'!$J$3:$Q$3,0))) *
N('PORTIFÓLIO'!$S$4:$S$564),
0
)
),
0)</f>
        <v>0</v>
      </c>
      <c r="G254" s="47">
        <f t="shared" si="7"/>
        <v>0</v>
      </c>
      <c r="H254" s="49">
        <f t="array" ref="H254">IFERROR(
SUM(
IF(
'PORTIFÓLIO'!$C$4:$C$564=$A254,
N(INDEX('PORTIFÓLIO'!$J$4:$Q$564,,MATCH(H$2,'PORTIFÓLIO'!$J$3:$Q$3,0))) *
N('PORTIFÓLIO'!$S$4:$S$564),
0
)
),
0)</f>
        <v>0</v>
      </c>
      <c r="I254" s="47">
        <f t="shared" si="8"/>
        <v>0</v>
      </c>
      <c r="J254" s="49">
        <f t="array" ref="J254">IFERROR(
SUM(
IF(
'PORTIFÓLIO'!$C$4:$C$564=$A254,
N(INDEX('PORTIFÓLIO'!$J$4:$Q$564,,MATCH(J$2,'PORTIFÓLIO'!$J$3:$Q$3,0))) *
N('PORTIFÓLIO'!$S$4:$S$564),
0
)
),
0)</f>
        <v>0</v>
      </c>
      <c r="K254" s="47">
        <f t="shared" si="9"/>
        <v>0</v>
      </c>
      <c r="L254" s="49">
        <f t="array" ref="L254">IFERROR(
SUM(
IF(
'PORTIFÓLIO'!$C$4:$C$564=$A254,
N(INDEX('PORTIFÓLIO'!$J$4:$Q$564,,MATCH(L$2,'PORTIFÓLIO'!$J$3:$Q$3,0))) *
N('PORTIFÓLIO'!$S$4:$S$564),
0
)
),
0)</f>
        <v>0</v>
      </c>
      <c r="M254" s="47">
        <f t="shared" si="10"/>
        <v>0</v>
      </c>
      <c r="N254" s="49">
        <f t="array" ref="N254">IFERROR(
SUM(
IF(
'PORTIFÓLIO'!$C$4:$C$564=$A254,
N(INDEX('PORTIFÓLIO'!$J$4:$Q$564,,MATCH(N$2,'PORTIFÓLIO'!$J$3:$Q$3,0))) *
N('PORTIFÓLIO'!$S$4:$S$564),
0
)
),
0)</f>
        <v>0</v>
      </c>
      <c r="O254" s="49">
        <f t="shared" si="11"/>
        <v>0</v>
      </c>
      <c r="P254" s="49">
        <f t="array" ref="P254">IFERROR(
SUM(
IF(
'PORTIFÓLIO'!$C$4:$C$564=$A254,
N(INDEX('PORTIFÓLIO'!$J$4:$Q$564,,MATCH(P$2,'PORTIFÓLIO'!$J$3:$Q$3,0))) *
N('PORTIFÓLIO'!$S$4:$S$564),
0
)
),
0)</f>
        <v>0</v>
      </c>
      <c r="Q254" s="49">
        <f t="shared" si="12"/>
        <v>0</v>
      </c>
      <c r="R254" s="49">
        <f t="shared" si="2"/>
        <v>0</v>
      </c>
      <c r="S254" s="49">
        <f t="shared" si="13"/>
        <v>0</v>
      </c>
    </row>
    <row r="255" ht="15.75" hidden="1" customHeight="1" outlineLevel="1">
      <c r="A255" s="48"/>
      <c r="B255" s="49">
        <f t="array" ref="B255">IFERROR(
SUM(
IF(
'PORTIFÓLIO'!$C$4:$C$564=$A255,
N(INDEX('PORTIFÓLIO'!$J$4:$Q$564,,MATCH(B$2,'PORTIFÓLIO'!$J$3:$Q$3,0))) *
N('PORTIFÓLIO'!$S$4:$S$564),
0
)
),
0)</f>
        <v>0</v>
      </c>
      <c r="C255" s="49">
        <f t="shared" si="5"/>
        <v>0</v>
      </c>
      <c r="D255" s="49">
        <f t="array" ref="D255">IFERROR(
SUM(
IF(
'PORTIFÓLIO'!$C$4:$C$564=$A255,
N(INDEX('PORTIFÓLIO'!$J$4:$Q$564,,MATCH(D$2,'PORTIFÓLIO'!$J$3:$Q$3,0))) *
N('PORTIFÓLIO'!$S$4:$S$564),
0
)
),
0)</f>
        <v>0</v>
      </c>
      <c r="E255" s="49">
        <f t="shared" si="6"/>
        <v>0</v>
      </c>
      <c r="F255" s="49">
        <f t="array" ref="F255">IFERROR(
SUM(
IF(
'PORTIFÓLIO'!$C$4:$C$564=$A255,
N(INDEX('PORTIFÓLIO'!$J$4:$Q$564,,MATCH(F$2,'PORTIFÓLIO'!$J$3:$Q$3,0))) *
N('PORTIFÓLIO'!$S$4:$S$564),
0
)
),
0)</f>
        <v>0</v>
      </c>
      <c r="G255" s="47">
        <f t="shared" si="7"/>
        <v>0</v>
      </c>
      <c r="H255" s="49">
        <f t="array" ref="H255">IFERROR(
SUM(
IF(
'PORTIFÓLIO'!$C$4:$C$564=$A255,
N(INDEX('PORTIFÓLIO'!$J$4:$Q$564,,MATCH(H$2,'PORTIFÓLIO'!$J$3:$Q$3,0))) *
N('PORTIFÓLIO'!$S$4:$S$564),
0
)
),
0)</f>
        <v>0</v>
      </c>
      <c r="I255" s="47">
        <f t="shared" si="8"/>
        <v>0</v>
      </c>
      <c r="J255" s="49">
        <f t="array" ref="J255">IFERROR(
SUM(
IF(
'PORTIFÓLIO'!$C$4:$C$564=$A255,
N(INDEX('PORTIFÓLIO'!$J$4:$Q$564,,MATCH(J$2,'PORTIFÓLIO'!$J$3:$Q$3,0))) *
N('PORTIFÓLIO'!$S$4:$S$564),
0
)
),
0)</f>
        <v>0</v>
      </c>
      <c r="K255" s="47">
        <f t="shared" si="9"/>
        <v>0</v>
      </c>
      <c r="L255" s="49">
        <f t="array" ref="L255">IFERROR(
SUM(
IF(
'PORTIFÓLIO'!$C$4:$C$564=$A255,
N(INDEX('PORTIFÓLIO'!$J$4:$Q$564,,MATCH(L$2,'PORTIFÓLIO'!$J$3:$Q$3,0))) *
N('PORTIFÓLIO'!$S$4:$S$564),
0
)
),
0)</f>
        <v>0</v>
      </c>
      <c r="M255" s="47">
        <f t="shared" si="10"/>
        <v>0</v>
      </c>
      <c r="N255" s="49">
        <f t="array" ref="N255">IFERROR(
SUM(
IF(
'PORTIFÓLIO'!$C$4:$C$564=$A255,
N(INDEX('PORTIFÓLIO'!$J$4:$Q$564,,MATCH(N$2,'PORTIFÓLIO'!$J$3:$Q$3,0))) *
N('PORTIFÓLIO'!$S$4:$S$564),
0
)
),
0)</f>
        <v>0</v>
      </c>
      <c r="O255" s="49">
        <f t="shared" si="11"/>
        <v>0</v>
      </c>
      <c r="P255" s="49">
        <f t="array" ref="P255">IFERROR(
SUM(
IF(
'PORTIFÓLIO'!$C$4:$C$564=$A255,
N(INDEX('PORTIFÓLIO'!$J$4:$Q$564,,MATCH(P$2,'PORTIFÓLIO'!$J$3:$Q$3,0))) *
N('PORTIFÓLIO'!$S$4:$S$564),
0
)
),
0)</f>
        <v>0</v>
      </c>
      <c r="Q255" s="49">
        <f t="shared" si="12"/>
        <v>0</v>
      </c>
      <c r="R255" s="49">
        <f t="shared" si="2"/>
        <v>0</v>
      </c>
      <c r="S255" s="49">
        <f t="shared" si="13"/>
        <v>0</v>
      </c>
    </row>
    <row r="256" ht="15.75" customHeight="1" collapsed="1">
      <c r="A256" s="46" t="s">
        <v>5</v>
      </c>
      <c r="B256" s="47">
        <f>SUM(B257:B292)</f>
        <v>0</v>
      </c>
      <c r="C256" s="47">
        <f t="shared" si="5"/>
        <v>0</v>
      </c>
      <c r="D256" s="47">
        <f>SUM(D257:D292)</f>
        <v>0</v>
      </c>
      <c r="E256" s="47">
        <f t="shared" si="6"/>
        <v>0</v>
      </c>
      <c r="F256" s="47">
        <f>SUM(F257:F292)</f>
        <v>0</v>
      </c>
      <c r="G256" s="47">
        <f t="shared" si="7"/>
        <v>0</v>
      </c>
      <c r="H256" s="47">
        <f>SUM(H257:H292)</f>
        <v>0</v>
      </c>
      <c r="I256" s="47">
        <f t="shared" si="8"/>
        <v>0</v>
      </c>
      <c r="J256" s="47">
        <f>SUM(J257:J292)</f>
        <v>0</v>
      </c>
      <c r="K256" s="47">
        <f t="shared" si="9"/>
        <v>0</v>
      </c>
      <c r="L256" s="47">
        <f>SUM(L257:L292)</f>
        <v>0</v>
      </c>
      <c r="M256" s="47">
        <f t="shared" si="10"/>
        <v>0</v>
      </c>
      <c r="N256" s="47">
        <f>SUM(N257:N292)</f>
        <v>0</v>
      </c>
      <c r="O256" s="47">
        <f t="shared" si="11"/>
        <v>0</v>
      </c>
      <c r="P256" s="47">
        <f>SUM(P257:P292)</f>
        <v>0</v>
      </c>
      <c r="Q256" s="47">
        <f t="shared" si="12"/>
        <v>0</v>
      </c>
      <c r="R256" s="47">
        <f t="shared" si="2"/>
        <v>0</v>
      </c>
      <c r="S256" s="47">
        <f t="shared" si="13"/>
        <v>0</v>
      </c>
    </row>
    <row r="257" ht="15.75" hidden="1" customHeight="1" outlineLevel="1">
      <c r="A257" s="48" t="str">
        <f>IFERROR(__xludf.DUMMYFUNCTION("UNIQUE(FILTER('PORTIFÓLIO'!C:C, 'PORTIFÓLIO'!B:B=""SEMENTE""))"),"#REF!")</f>
        <v>#REF!</v>
      </c>
      <c r="B257" s="49">
        <f t="array" ref="B257">IFERROR(
SUM(
IF(
'PORTIFÓLIO'!$C$4:$C$564=$A257,
N(INDEX('PORTIFÓLIO'!$J$4:$Q$564,,MATCH(B$2,'PORTIFÓLIO'!$J$3:$Q$3,0))) *
N('PORTIFÓLIO'!$S$4:$S$564),
0
)
),
0)</f>
        <v>0</v>
      </c>
      <c r="C257" s="49">
        <f t="shared" si="5"/>
        <v>0</v>
      </c>
      <c r="D257" s="49">
        <f t="array" ref="D257">IFERROR(
SUM(
IF(
'PORTIFÓLIO'!$C$4:$C$564=$A257,
N(INDEX('PORTIFÓLIO'!$J$4:$Q$564,,MATCH(D$2,'PORTIFÓLIO'!$J$3:$Q$3,0))) *
N('PORTIFÓLIO'!$S$4:$S$564),
0
)
),
0)</f>
        <v>0</v>
      </c>
      <c r="E257" s="49">
        <f t="shared" si="6"/>
        <v>0</v>
      </c>
      <c r="F257" s="49">
        <f t="array" ref="F257">IFERROR(
SUM(
IF(
'PORTIFÓLIO'!$C$4:$C$564=$A257,
N(INDEX('PORTIFÓLIO'!$J$4:$Q$564,,MATCH(F$2,'PORTIFÓLIO'!$J$3:$Q$3,0))) *
N('PORTIFÓLIO'!$S$4:$S$564),
0
)
),
0)</f>
        <v>0</v>
      </c>
      <c r="G257" s="47">
        <f t="shared" si="7"/>
        <v>0</v>
      </c>
      <c r="H257" s="49">
        <f t="array" ref="H257">IFERROR(
SUM(
IF(
'PORTIFÓLIO'!$C$4:$C$564=$A257,
N(INDEX('PORTIFÓLIO'!$J$4:$Q$564,,MATCH(H$2,'PORTIFÓLIO'!$J$3:$Q$3,0))) *
N('PORTIFÓLIO'!$S$4:$S$564),
0
)
),
0)</f>
        <v>0</v>
      </c>
      <c r="I257" s="47">
        <f t="shared" si="8"/>
        <v>0</v>
      </c>
      <c r="J257" s="49">
        <f t="array" ref="J257">IFERROR(
SUM(
IF(
'PORTIFÓLIO'!$C$4:$C$564=$A257,
N(INDEX('PORTIFÓLIO'!$J$4:$Q$564,,MATCH(J$2,'PORTIFÓLIO'!$J$3:$Q$3,0))) *
N('PORTIFÓLIO'!$S$4:$S$564),
0
)
),
0)</f>
        <v>0</v>
      </c>
      <c r="K257" s="47">
        <f t="shared" si="9"/>
        <v>0</v>
      </c>
      <c r="L257" s="49">
        <f t="array" ref="L257">IFERROR(
SUM(
IF(
'PORTIFÓLIO'!$C$4:$C$564=$A257,
N(INDEX('PORTIFÓLIO'!$J$4:$Q$564,,MATCH(L$2,'PORTIFÓLIO'!$J$3:$Q$3,0))) *
N('PORTIFÓLIO'!$S$4:$S$564),
0
)
),
0)</f>
        <v>0</v>
      </c>
      <c r="M257" s="47">
        <f t="shared" si="10"/>
        <v>0</v>
      </c>
      <c r="N257" s="49">
        <f t="array" ref="N257">IFERROR(
SUM(
IF(
'PORTIFÓLIO'!$C$4:$C$564=$A257,
N(INDEX('PORTIFÓLIO'!$J$4:$Q$564,,MATCH(N$2,'PORTIFÓLIO'!$J$3:$Q$3,0))) *
N('PORTIFÓLIO'!$S$4:$S$564),
0
)
),
0)</f>
        <v>0</v>
      </c>
      <c r="O257" s="49">
        <f t="shared" si="11"/>
        <v>0</v>
      </c>
      <c r="P257" s="49">
        <f t="array" ref="P257">IFERROR(
SUM(
IF(
'PORTIFÓLIO'!$C$4:$C$564=$A257,
N(INDEX('PORTIFÓLIO'!$J$4:$Q$564,,MATCH(P$2,'PORTIFÓLIO'!$J$3:$Q$3,0))) *
N('PORTIFÓLIO'!$S$4:$S$564),
0
)
),
0)</f>
        <v>0</v>
      </c>
      <c r="Q257" s="49">
        <f t="shared" si="12"/>
        <v>0</v>
      </c>
      <c r="R257" s="49">
        <f t="shared" si="2"/>
        <v>0</v>
      </c>
      <c r="S257" s="49">
        <f t="shared" si="13"/>
        <v>0</v>
      </c>
    </row>
    <row r="258" ht="15.75" hidden="1" customHeight="1" outlineLevel="1">
      <c r="A258" s="48"/>
      <c r="B258" s="49">
        <f t="array" ref="B258">IFERROR(
SUM(
IF(
'PORTIFÓLIO'!$C$4:$C$564=$A258,
N(INDEX('PORTIFÓLIO'!$J$4:$Q$564,,MATCH(B$2,'PORTIFÓLIO'!$J$3:$Q$3,0))) *
N('PORTIFÓLIO'!$S$4:$S$564),
0
)
),
0)</f>
        <v>0</v>
      </c>
      <c r="C258" s="49">
        <f t="shared" si="5"/>
        <v>0</v>
      </c>
      <c r="D258" s="49">
        <f t="array" ref="D258">IFERROR(
SUM(
IF(
'PORTIFÓLIO'!$C$4:$C$564=$A258,
N(INDEX('PORTIFÓLIO'!$J$4:$Q$564,,MATCH(D$2,'PORTIFÓLIO'!$J$3:$Q$3,0))) *
N('PORTIFÓLIO'!$S$4:$S$564),
0
)
),
0)</f>
        <v>0</v>
      </c>
      <c r="E258" s="49">
        <f t="shared" si="6"/>
        <v>0</v>
      </c>
      <c r="F258" s="49">
        <f t="array" ref="F258">IFERROR(
SUM(
IF(
'PORTIFÓLIO'!$C$4:$C$564=$A258,
N(INDEX('PORTIFÓLIO'!$J$4:$Q$564,,MATCH(F$2,'PORTIFÓLIO'!$J$3:$Q$3,0))) *
N('PORTIFÓLIO'!$S$4:$S$564),
0
)
),
0)</f>
        <v>0</v>
      </c>
      <c r="G258" s="47">
        <f t="shared" si="7"/>
        <v>0</v>
      </c>
      <c r="H258" s="49">
        <f t="array" ref="H258">IFERROR(
SUM(
IF(
'PORTIFÓLIO'!$C$4:$C$564=$A258,
N(INDEX('PORTIFÓLIO'!$J$4:$Q$564,,MATCH(H$2,'PORTIFÓLIO'!$J$3:$Q$3,0))) *
N('PORTIFÓLIO'!$S$4:$S$564),
0
)
),
0)</f>
        <v>0</v>
      </c>
      <c r="I258" s="47">
        <f t="shared" si="8"/>
        <v>0</v>
      </c>
      <c r="J258" s="49">
        <f t="array" ref="J258">IFERROR(
SUM(
IF(
'PORTIFÓLIO'!$C$4:$C$564=$A258,
N(INDEX('PORTIFÓLIO'!$J$4:$Q$564,,MATCH(J$2,'PORTIFÓLIO'!$J$3:$Q$3,0))) *
N('PORTIFÓLIO'!$S$4:$S$564),
0
)
),
0)</f>
        <v>0</v>
      </c>
      <c r="K258" s="47">
        <f t="shared" si="9"/>
        <v>0</v>
      </c>
      <c r="L258" s="49">
        <f t="array" ref="L258">IFERROR(
SUM(
IF(
'PORTIFÓLIO'!$C$4:$C$564=$A258,
N(INDEX('PORTIFÓLIO'!$J$4:$Q$564,,MATCH(L$2,'PORTIFÓLIO'!$J$3:$Q$3,0))) *
N('PORTIFÓLIO'!$S$4:$S$564),
0
)
),
0)</f>
        <v>0</v>
      </c>
      <c r="M258" s="47">
        <f t="shared" si="10"/>
        <v>0</v>
      </c>
      <c r="N258" s="49">
        <f t="array" ref="N258">IFERROR(
SUM(
IF(
'PORTIFÓLIO'!$C$4:$C$564=$A258,
N(INDEX('PORTIFÓLIO'!$J$4:$Q$564,,MATCH(N$2,'PORTIFÓLIO'!$J$3:$Q$3,0))) *
N('PORTIFÓLIO'!$S$4:$S$564),
0
)
),
0)</f>
        <v>0</v>
      </c>
      <c r="O258" s="49">
        <f t="shared" si="11"/>
        <v>0</v>
      </c>
      <c r="P258" s="49">
        <f t="array" ref="P258">IFERROR(
SUM(
IF(
'PORTIFÓLIO'!$C$4:$C$564=$A258,
N(INDEX('PORTIFÓLIO'!$J$4:$Q$564,,MATCH(P$2,'PORTIFÓLIO'!$J$3:$Q$3,0))) *
N('PORTIFÓLIO'!$S$4:$S$564),
0
)
),
0)</f>
        <v>0</v>
      </c>
      <c r="Q258" s="49">
        <f t="shared" si="12"/>
        <v>0</v>
      </c>
      <c r="R258" s="49">
        <f t="shared" si="2"/>
        <v>0</v>
      </c>
      <c r="S258" s="49">
        <f t="shared" si="13"/>
        <v>0</v>
      </c>
    </row>
    <row r="259" ht="15.75" hidden="1" customHeight="1" outlineLevel="1">
      <c r="A259" s="48"/>
      <c r="B259" s="49">
        <f t="array" ref="B259">IFERROR(
SUM(
IF(
'PORTIFÓLIO'!$C$4:$C$564=$A259,
N(INDEX('PORTIFÓLIO'!$J$4:$Q$564,,MATCH(B$2,'PORTIFÓLIO'!$J$3:$Q$3,0))) *
N('PORTIFÓLIO'!$S$4:$S$564),
0
)
),
0)</f>
        <v>0</v>
      </c>
      <c r="C259" s="49">
        <f t="shared" si="5"/>
        <v>0</v>
      </c>
      <c r="D259" s="49">
        <f t="array" ref="D259">IFERROR(
SUM(
IF(
'PORTIFÓLIO'!$C$4:$C$564=$A259,
N(INDEX('PORTIFÓLIO'!$J$4:$Q$564,,MATCH(D$2,'PORTIFÓLIO'!$J$3:$Q$3,0))) *
N('PORTIFÓLIO'!$S$4:$S$564),
0
)
),
0)</f>
        <v>0</v>
      </c>
      <c r="E259" s="49">
        <f t="shared" si="6"/>
        <v>0</v>
      </c>
      <c r="F259" s="49">
        <f t="array" ref="F259">IFERROR(
SUM(
IF(
'PORTIFÓLIO'!$C$4:$C$564=$A259,
N(INDEX('PORTIFÓLIO'!$J$4:$Q$564,,MATCH(F$2,'PORTIFÓLIO'!$J$3:$Q$3,0))) *
N('PORTIFÓLIO'!$S$4:$S$564),
0
)
),
0)</f>
        <v>0</v>
      </c>
      <c r="G259" s="47">
        <f t="shared" si="7"/>
        <v>0</v>
      </c>
      <c r="H259" s="49">
        <f t="array" ref="H259">IFERROR(
SUM(
IF(
'PORTIFÓLIO'!$C$4:$C$564=$A259,
N(INDEX('PORTIFÓLIO'!$J$4:$Q$564,,MATCH(H$2,'PORTIFÓLIO'!$J$3:$Q$3,0))) *
N('PORTIFÓLIO'!$S$4:$S$564),
0
)
),
0)</f>
        <v>0</v>
      </c>
      <c r="I259" s="47">
        <f t="shared" si="8"/>
        <v>0</v>
      </c>
      <c r="J259" s="49">
        <f t="array" ref="J259">IFERROR(
SUM(
IF(
'PORTIFÓLIO'!$C$4:$C$564=$A259,
N(INDEX('PORTIFÓLIO'!$J$4:$Q$564,,MATCH(J$2,'PORTIFÓLIO'!$J$3:$Q$3,0))) *
N('PORTIFÓLIO'!$S$4:$S$564),
0
)
),
0)</f>
        <v>0</v>
      </c>
      <c r="K259" s="47">
        <f t="shared" si="9"/>
        <v>0</v>
      </c>
      <c r="L259" s="49">
        <f t="array" ref="L259">IFERROR(
SUM(
IF(
'PORTIFÓLIO'!$C$4:$C$564=$A259,
N(INDEX('PORTIFÓLIO'!$J$4:$Q$564,,MATCH(L$2,'PORTIFÓLIO'!$J$3:$Q$3,0))) *
N('PORTIFÓLIO'!$S$4:$S$564),
0
)
),
0)</f>
        <v>0</v>
      </c>
      <c r="M259" s="47">
        <f t="shared" si="10"/>
        <v>0</v>
      </c>
      <c r="N259" s="49">
        <f t="array" ref="N259">IFERROR(
SUM(
IF(
'PORTIFÓLIO'!$C$4:$C$564=$A259,
N(INDEX('PORTIFÓLIO'!$J$4:$Q$564,,MATCH(N$2,'PORTIFÓLIO'!$J$3:$Q$3,0))) *
N('PORTIFÓLIO'!$S$4:$S$564),
0
)
),
0)</f>
        <v>0</v>
      </c>
      <c r="O259" s="49">
        <f t="shared" si="11"/>
        <v>0</v>
      </c>
      <c r="P259" s="49">
        <f t="array" ref="P259">IFERROR(
SUM(
IF(
'PORTIFÓLIO'!$C$4:$C$564=$A259,
N(INDEX('PORTIFÓLIO'!$J$4:$Q$564,,MATCH(P$2,'PORTIFÓLIO'!$J$3:$Q$3,0))) *
N('PORTIFÓLIO'!$S$4:$S$564),
0
)
),
0)</f>
        <v>0</v>
      </c>
      <c r="Q259" s="49">
        <f t="shared" si="12"/>
        <v>0</v>
      </c>
      <c r="R259" s="49">
        <f t="shared" si="2"/>
        <v>0</v>
      </c>
      <c r="S259" s="49">
        <f t="shared" si="13"/>
        <v>0</v>
      </c>
    </row>
    <row r="260" ht="15.75" hidden="1" customHeight="1" outlineLevel="1">
      <c r="A260" s="48"/>
      <c r="B260" s="49">
        <f t="array" ref="B260">IFERROR(
SUM(
IF(
'PORTIFÓLIO'!$C$4:$C$564=$A260,
N(INDEX('PORTIFÓLIO'!$J$4:$Q$564,,MATCH(B$2,'PORTIFÓLIO'!$J$3:$Q$3,0))) *
N('PORTIFÓLIO'!$S$4:$S$564),
0
)
),
0)</f>
        <v>0</v>
      </c>
      <c r="C260" s="49">
        <f t="shared" si="5"/>
        <v>0</v>
      </c>
      <c r="D260" s="49">
        <f t="array" ref="D260">IFERROR(
SUM(
IF(
'PORTIFÓLIO'!$C$4:$C$564=$A260,
N(INDEX('PORTIFÓLIO'!$J$4:$Q$564,,MATCH(D$2,'PORTIFÓLIO'!$J$3:$Q$3,0))) *
N('PORTIFÓLIO'!$S$4:$S$564),
0
)
),
0)</f>
        <v>0</v>
      </c>
      <c r="E260" s="49">
        <f t="shared" si="6"/>
        <v>0</v>
      </c>
      <c r="F260" s="49">
        <f t="array" ref="F260">IFERROR(
SUM(
IF(
'PORTIFÓLIO'!$C$4:$C$564=$A260,
N(INDEX('PORTIFÓLIO'!$J$4:$Q$564,,MATCH(F$2,'PORTIFÓLIO'!$J$3:$Q$3,0))) *
N('PORTIFÓLIO'!$S$4:$S$564),
0
)
),
0)</f>
        <v>0</v>
      </c>
      <c r="G260" s="47">
        <f t="shared" si="7"/>
        <v>0</v>
      </c>
      <c r="H260" s="49">
        <f t="array" ref="H260">IFERROR(
SUM(
IF(
'PORTIFÓLIO'!$C$4:$C$564=$A260,
N(INDEX('PORTIFÓLIO'!$J$4:$Q$564,,MATCH(H$2,'PORTIFÓLIO'!$J$3:$Q$3,0))) *
N('PORTIFÓLIO'!$S$4:$S$564),
0
)
),
0)</f>
        <v>0</v>
      </c>
      <c r="I260" s="47">
        <f t="shared" si="8"/>
        <v>0</v>
      </c>
      <c r="J260" s="49">
        <f t="array" ref="J260">IFERROR(
SUM(
IF(
'PORTIFÓLIO'!$C$4:$C$564=$A260,
N(INDEX('PORTIFÓLIO'!$J$4:$Q$564,,MATCH(J$2,'PORTIFÓLIO'!$J$3:$Q$3,0))) *
N('PORTIFÓLIO'!$S$4:$S$564),
0
)
),
0)</f>
        <v>0</v>
      </c>
      <c r="K260" s="47">
        <f t="shared" si="9"/>
        <v>0</v>
      </c>
      <c r="L260" s="49">
        <f t="array" ref="L260">IFERROR(
SUM(
IF(
'PORTIFÓLIO'!$C$4:$C$564=$A260,
N(INDEX('PORTIFÓLIO'!$J$4:$Q$564,,MATCH(L$2,'PORTIFÓLIO'!$J$3:$Q$3,0))) *
N('PORTIFÓLIO'!$S$4:$S$564),
0
)
),
0)</f>
        <v>0</v>
      </c>
      <c r="M260" s="47">
        <f t="shared" si="10"/>
        <v>0</v>
      </c>
      <c r="N260" s="49">
        <f t="array" ref="N260">IFERROR(
SUM(
IF(
'PORTIFÓLIO'!$C$4:$C$564=$A260,
N(INDEX('PORTIFÓLIO'!$J$4:$Q$564,,MATCH(N$2,'PORTIFÓLIO'!$J$3:$Q$3,0))) *
N('PORTIFÓLIO'!$S$4:$S$564),
0
)
),
0)</f>
        <v>0</v>
      </c>
      <c r="O260" s="49">
        <f t="shared" si="11"/>
        <v>0</v>
      </c>
      <c r="P260" s="49">
        <f t="array" ref="P260">IFERROR(
SUM(
IF(
'PORTIFÓLIO'!$C$4:$C$564=$A260,
N(INDEX('PORTIFÓLIO'!$J$4:$Q$564,,MATCH(P$2,'PORTIFÓLIO'!$J$3:$Q$3,0))) *
N('PORTIFÓLIO'!$S$4:$S$564),
0
)
),
0)</f>
        <v>0</v>
      </c>
      <c r="Q260" s="49">
        <f t="shared" si="12"/>
        <v>0</v>
      </c>
      <c r="R260" s="49">
        <f t="shared" si="2"/>
        <v>0</v>
      </c>
      <c r="S260" s="49">
        <f t="shared" si="13"/>
        <v>0</v>
      </c>
    </row>
    <row r="261" ht="15.75" hidden="1" customHeight="1" outlineLevel="1">
      <c r="A261" s="48"/>
      <c r="B261" s="49">
        <f t="array" ref="B261">IFERROR(
SUM(
IF(
'PORTIFÓLIO'!$C$4:$C$564=$A261,
N(INDEX('PORTIFÓLIO'!$J$4:$Q$564,,MATCH(B$2,'PORTIFÓLIO'!$J$3:$Q$3,0))) *
N('PORTIFÓLIO'!$S$4:$S$564),
0
)
),
0)</f>
        <v>0</v>
      </c>
      <c r="C261" s="49">
        <f t="shared" si="5"/>
        <v>0</v>
      </c>
      <c r="D261" s="49">
        <f t="array" ref="D261">IFERROR(
SUM(
IF(
'PORTIFÓLIO'!$C$4:$C$564=$A261,
N(INDEX('PORTIFÓLIO'!$J$4:$Q$564,,MATCH(D$2,'PORTIFÓLIO'!$J$3:$Q$3,0))) *
N('PORTIFÓLIO'!$S$4:$S$564),
0
)
),
0)</f>
        <v>0</v>
      </c>
      <c r="E261" s="49">
        <f t="shared" si="6"/>
        <v>0</v>
      </c>
      <c r="F261" s="49">
        <f t="array" ref="F261">IFERROR(
SUM(
IF(
'PORTIFÓLIO'!$C$4:$C$564=$A261,
N(INDEX('PORTIFÓLIO'!$J$4:$Q$564,,MATCH(F$2,'PORTIFÓLIO'!$J$3:$Q$3,0))) *
N('PORTIFÓLIO'!$S$4:$S$564),
0
)
),
0)</f>
        <v>0</v>
      </c>
      <c r="G261" s="47">
        <f t="shared" si="7"/>
        <v>0</v>
      </c>
      <c r="H261" s="49">
        <f t="array" ref="H261">IFERROR(
SUM(
IF(
'PORTIFÓLIO'!$C$4:$C$564=$A261,
N(INDEX('PORTIFÓLIO'!$J$4:$Q$564,,MATCH(H$2,'PORTIFÓLIO'!$J$3:$Q$3,0))) *
N('PORTIFÓLIO'!$S$4:$S$564),
0
)
),
0)</f>
        <v>0</v>
      </c>
      <c r="I261" s="47">
        <f t="shared" si="8"/>
        <v>0</v>
      </c>
      <c r="J261" s="49">
        <f t="array" ref="J261">IFERROR(
SUM(
IF(
'PORTIFÓLIO'!$C$4:$C$564=$A261,
N(INDEX('PORTIFÓLIO'!$J$4:$Q$564,,MATCH(J$2,'PORTIFÓLIO'!$J$3:$Q$3,0))) *
N('PORTIFÓLIO'!$S$4:$S$564),
0
)
),
0)</f>
        <v>0</v>
      </c>
      <c r="K261" s="47">
        <f t="shared" si="9"/>
        <v>0</v>
      </c>
      <c r="L261" s="49">
        <f t="array" ref="L261">IFERROR(
SUM(
IF(
'PORTIFÓLIO'!$C$4:$C$564=$A261,
N(INDEX('PORTIFÓLIO'!$J$4:$Q$564,,MATCH(L$2,'PORTIFÓLIO'!$J$3:$Q$3,0))) *
N('PORTIFÓLIO'!$S$4:$S$564),
0
)
),
0)</f>
        <v>0</v>
      </c>
      <c r="M261" s="47">
        <f t="shared" si="10"/>
        <v>0</v>
      </c>
      <c r="N261" s="49">
        <f t="array" ref="N261">IFERROR(
SUM(
IF(
'PORTIFÓLIO'!$C$4:$C$564=$A261,
N(INDEX('PORTIFÓLIO'!$J$4:$Q$564,,MATCH(N$2,'PORTIFÓLIO'!$J$3:$Q$3,0))) *
N('PORTIFÓLIO'!$S$4:$S$564),
0
)
),
0)</f>
        <v>0</v>
      </c>
      <c r="O261" s="49">
        <f t="shared" si="11"/>
        <v>0</v>
      </c>
      <c r="P261" s="49">
        <f t="array" ref="P261">IFERROR(
SUM(
IF(
'PORTIFÓLIO'!$C$4:$C$564=$A261,
N(INDEX('PORTIFÓLIO'!$J$4:$Q$564,,MATCH(P$2,'PORTIFÓLIO'!$J$3:$Q$3,0))) *
N('PORTIFÓLIO'!$S$4:$S$564),
0
)
),
0)</f>
        <v>0</v>
      </c>
      <c r="Q261" s="49">
        <f t="shared" si="12"/>
        <v>0</v>
      </c>
      <c r="R261" s="49">
        <f t="shared" si="2"/>
        <v>0</v>
      </c>
      <c r="S261" s="49">
        <f t="shared" si="13"/>
        <v>0</v>
      </c>
    </row>
    <row r="262" ht="15.75" hidden="1" customHeight="1" outlineLevel="1">
      <c r="A262" s="48"/>
      <c r="B262" s="49">
        <f t="array" ref="B262">IFERROR(
SUM(
IF(
'PORTIFÓLIO'!$C$4:$C$564=$A262,
N(INDEX('PORTIFÓLIO'!$J$4:$Q$564,,MATCH(B$2,'PORTIFÓLIO'!$J$3:$Q$3,0))) *
N('PORTIFÓLIO'!$S$4:$S$564),
0
)
),
0)</f>
        <v>0</v>
      </c>
      <c r="C262" s="49">
        <f t="shared" si="5"/>
        <v>0</v>
      </c>
      <c r="D262" s="49">
        <f t="array" ref="D262">IFERROR(
SUM(
IF(
'PORTIFÓLIO'!$C$4:$C$564=$A262,
N(INDEX('PORTIFÓLIO'!$J$4:$Q$564,,MATCH(D$2,'PORTIFÓLIO'!$J$3:$Q$3,0))) *
N('PORTIFÓLIO'!$S$4:$S$564),
0
)
),
0)</f>
        <v>0</v>
      </c>
      <c r="E262" s="49">
        <f t="shared" si="6"/>
        <v>0</v>
      </c>
      <c r="F262" s="49">
        <f t="array" ref="F262">IFERROR(
SUM(
IF(
'PORTIFÓLIO'!$C$4:$C$564=$A262,
N(INDEX('PORTIFÓLIO'!$J$4:$Q$564,,MATCH(F$2,'PORTIFÓLIO'!$J$3:$Q$3,0))) *
N('PORTIFÓLIO'!$S$4:$S$564),
0
)
),
0)</f>
        <v>0</v>
      </c>
      <c r="G262" s="47">
        <f t="shared" si="7"/>
        <v>0</v>
      </c>
      <c r="H262" s="49">
        <f t="array" ref="H262">IFERROR(
SUM(
IF(
'PORTIFÓLIO'!$C$4:$C$564=$A262,
N(INDEX('PORTIFÓLIO'!$J$4:$Q$564,,MATCH(H$2,'PORTIFÓLIO'!$J$3:$Q$3,0))) *
N('PORTIFÓLIO'!$S$4:$S$564),
0
)
),
0)</f>
        <v>0</v>
      </c>
      <c r="I262" s="47">
        <f t="shared" si="8"/>
        <v>0</v>
      </c>
      <c r="J262" s="49">
        <f t="array" ref="J262">IFERROR(
SUM(
IF(
'PORTIFÓLIO'!$C$4:$C$564=$A262,
N(INDEX('PORTIFÓLIO'!$J$4:$Q$564,,MATCH(J$2,'PORTIFÓLIO'!$J$3:$Q$3,0))) *
N('PORTIFÓLIO'!$S$4:$S$564),
0
)
),
0)</f>
        <v>0</v>
      </c>
      <c r="K262" s="47">
        <f t="shared" si="9"/>
        <v>0</v>
      </c>
      <c r="L262" s="49">
        <f t="array" ref="L262">IFERROR(
SUM(
IF(
'PORTIFÓLIO'!$C$4:$C$564=$A262,
N(INDEX('PORTIFÓLIO'!$J$4:$Q$564,,MATCH(L$2,'PORTIFÓLIO'!$J$3:$Q$3,0))) *
N('PORTIFÓLIO'!$S$4:$S$564),
0
)
),
0)</f>
        <v>0</v>
      </c>
      <c r="M262" s="47">
        <f t="shared" si="10"/>
        <v>0</v>
      </c>
      <c r="N262" s="49">
        <f t="array" ref="N262">IFERROR(
SUM(
IF(
'PORTIFÓLIO'!$C$4:$C$564=$A262,
N(INDEX('PORTIFÓLIO'!$J$4:$Q$564,,MATCH(N$2,'PORTIFÓLIO'!$J$3:$Q$3,0))) *
N('PORTIFÓLIO'!$S$4:$S$564),
0
)
),
0)</f>
        <v>0</v>
      </c>
      <c r="O262" s="49">
        <f t="shared" si="11"/>
        <v>0</v>
      </c>
      <c r="P262" s="49">
        <f t="array" ref="P262">IFERROR(
SUM(
IF(
'PORTIFÓLIO'!$C$4:$C$564=$A262,
N(INDEX('PORTIFÓLIO'!$J$4:$Q$564,,MATCH(P$2,'PORTIFÓLIO'!$J$3:$Q$3,0))) *
N('PORTIFÓLIO'!$S$4:$S$564),
0
)
),
0)</f>
        <v>0</v>
      </c>
      <c r="Q262" s="49">
        <f t="shared" si="12"/>
        <v>0</v>
      </c>
      <c r="R262" s="49">
        <f t="shared" si="2"/>
        <v>0</v>
      </c>
      <c r="S262" s="49">
        <f t="shared" si="13"/>
        <v>0</v>
      </c>
    </row>
    <row r="263" ht="15.75" hidden="1" customHeight="1" outlineLevel="1">
      <c r="A263" s="48"/>
      <c r="B263" s="49">
        <f t="array" ref="B263">IFERROR(
SUM(
IF(
'PORTIFÓLIO'!$C$4:$C$564=$A263,
N(INDEX('PORTIFÓLIO'!$J$4:$Q$564,,MATCH(B$2,'PORTIFÓLIO'!$J$3:$Q$3,0))) *
N('PORTIFÓLIO'!$S$4:$S$564),
0
)
),
0)</f>
        <v>0</v>
      </c>
      <c r="C263" s="49">
        <f t="shared" si="5"/>
        <v>0</v>
      </c>
      <c r="D263" s="49">
        <f t="array" ref="D263">IFERROR(
SUM(
IF(
'PORTIFÓLIO'!$C$4:$C$564=$A263,
N(INDEX('PORTIFÓLIO'!$J$4:$Q$564,,MATCH(D$2,'PORTIFÓLIO'!$J$3:$Q$3,0))) *
N('PORTIFÓLIO'!$S$4:$S$564),
0
)
),
0)</f>
        <v>0</v>
      </c>
      <c r="E263" s="49">
        <f t="shared" si="6"/>
        <v>0</v>
      </c>
      <c r="F263" s="49">
        <f t="array" ref="F263">IFERROR(
SUM(
IF(
'PORTIFÓLIO'!$C$4:$C$564=$A263,
N(INDEX('PORTIFÓLIO'!$J$4:$Q$564,,MATCH(F$2,'PORTIFÓLIO'!$J$3:$Q$3,0))) *
N('PORTIFÓLIO'!$S$4:$S$564),
0
)
),
0)</f>
        <v>0</v>
      </c>
      <c r="G263" s="47">
        <f t="shared" si="7"/>
        <v>0</v>
      </c>
      <c r="H263" s="49">
        <f t="array" ref="H263">IFERROR(
SUM(
IF(
'PORTIFÓLIO'!$C$4:$C$564=$A263,
N(INDEX('PORTIFÓLIO'!$J$4:$Q$564,,MATCH(H$2,'PORTIFÓLIO'!$J$3:$Q$3,0))) *
N('PORTIFÓLIO'!$S$4:$S$564),
0
)
),
0)</f>
        <v>0</v>
      </c>
      <c r="I263" s="47">
        <f t="shared" si="8"/>
        <v>0</v>
      </c>
      <c r="J263" s="49">
        <f t="array" ref="J263">IFERROR(
SUM(
IF(
'PORTIFÓLIO'!$C$4:$C$564=$A263,
N(INDEX('PORTIFÓLIO'!$J$4:$Q$564,,MATCH(J$2,'PORTIFÓLIO'!$J$3:$Q$3,0))) *
N('PORTIFÓLIO'!$S$4:$S$564),
0
)
),
0)</f>
        <v>0</v>
      </c>
      <c r="K263" s="47">
        <f t="shared" si="9"/>
        <v>0</v>
      </c>
      <c r="L263" s="49">
        <f t="array" ref="L263">IFERROR(
SUM(
IF(
'PORTIFÓLIO'!$C$4:$C$564=$A263,
N(INDEX('PORTIFÓLIO'!$J$4:$Q$564,,MATCH(L$2,'PORTIFÓLIO'!$J$3:$Q$3,0))) *
N('PORTIFÓLIO'!$S$4:$S$564),
0
)
),
0)</f>
        <v>0</v>
      </c>
      <c r="M263" s="47">
        <f t="shared" si="10"/>
        <v>0</v>
      </c>
      <c r="N263" s="49">
        <f t="array" ref="N263">IFERROR(
SUM(
IF(
'PORTIFÓLIO'!$C$4:$C$564=$A263,
N(INDEX('PORTIFÓLIO'!$J$4:$Q$564,,MATCH(N$2,'PORTIFÓLIO'!$J$3:$Q$3,0))) *
N('PORTIFÓLIO'!$S$4:$S$564),
0
)
),
0)</f>
        <v>0</v>
      </c>
      <c r="O263" s="49">
        <f t="shared" si="11"/>
        <v>0</v>
      </c>
      <c r="P263" s="49">
        <f t="array" ref="P263">IFERROR(
SUM(
IF(
'PORTIFÓLIO'!$C$4:$C$564=$A263,
N(INDEX('PORTIFÓLIO'!$J$4:$Q$564,,MATCH(P$2,'PORTIFÓLIO'!$J$3:$Q$3,0))) *
N('PORTIFÓLIO'!$S$4:$S$564),
0
)
),
0)</f>
        <v>0</v>
      </c>
      <c r="Q263" s="49">
        <f t="shared" si="12"/>
        <v>0</v>
      </c>
      <c r="R263" s="49">
        <f t="shared" si="2"/>
        <v>0</v>
      </c>
      <c r="S263" s="49">
        <f t="shared" si="13"/>
        <v>0</v>
      </c>
    </row>
    <row r="264" ht="15.75" hidden="1" customHeight="1" outlineLevel="1">
      <c r="A264" s="48"/>
      <c r="B264" s="49">
        <f t="array" ref="B264">IFERROR(
SUM(
IF(
'PORTIFÓLIO'!$C$4:$C$564=$A264,
N(INDEX('PORTIFÓLIO'!$J$4:$Q$564,,MATCH(B$2,'PORTIFÓLIO'!$J$3:$Q$3,0))) *
N('PORTIFÓLIO'!$S$4:$S$564),
0
)
),
0)</f>
        <v>0</v>
      </c>
      <c r="C264" s="49">
        <f t="shared" si="5"/>
        <v>0</v>
      </c>
      <c r="D264" s="49">
        <f t="array" ref="D264">IFERROR(
SUM(
IF(
'PORTIFÓLIO'!$C$4:$C$564=$A264,
N(INDEX('PORTIFÓLIO'!$J$4:$Q$564,,MATCH(D$2,'PORTIFÓLIO'!$J$3:$Q$3,0))) *
N('PORTIFÓLIO'!$S$4:$S$564),
0
)
),
0)</f>
        <v>0</v>
      </c>
      <c r="E264" s="49">
        <f t="shared" si="6"/>
        <v>0</v>
      </c>
      <c r="F264" s="49">
        <f t="array" ref="F264">IFERROR(
SUM(
IF(
'PORTIFÓLIO'!$C$4:$C$564=$A264,
N(INDEX('PORTIFÓLIO'!$J$4:$Q$564,,MATCH(F$2,'PORTIFÓLIO'!$J$3:$Q$3,0))) *
N('PORTIFÓLIO'!$S$4:$S$564),
0
)
),
0)</f>
        <v>0</v>
      </c>
      <c r="G264" s="47">
        <f t="shared" si="7"/>
        <v>0</v>
      </c>
      <c r="H264" s="49">
        <f t="array" ref="H264">IFERROR(
SUM(
IF(
'PORTIFÓLIO'!$C$4:$C$564=$A264,
N(INDEX('PORTIFÓLIO'!$J$4:$Q$564,,MATCH(H$2,'PORTIFÓLIO'!$J$3:$Q$3,0))) *
N('PORTIFÓLIO'!$S$4:$S$564),
0
)
),
0)</f>
        <v>0</v>
      </c>
      <c r="I264" s="47">
        <f t="shared" si="8"/>
        <v>0</v>
      </c>
      <c r="J264" s="49">
        <f t="array" ref="J264">IFERROR(
SUM(
IF(
'PORTIFÓLIO'!$C$4:$C$564=$A264,
N(INDEX('PORTIFÓLIO'!$J$4:$Q$564,,MATCH(J$2,'PORTIFÓLIO'!$J$3:$Q$3,0))) *
N('PORTIFÓLIO'!$S$4:$S$564),
0
)
),
0)</f>
        <v>0</v>
      </c>
      <c r="K264" s="47">
        <f t="shared" si="9"/>
        <v>0</v>
      </c>
      <c r="L264" s="49">
        <f t="array" ref="L264">IFERROR(
SUM(
IF(
'PORTIFÓLIO'!$C$4:$C$564=$A264,
N(INDEX('PORTIFÓLIO'!$J$4:$Q$564,,MATCH(L$2,'PORTIFÓLIO'!$J$3:$Q$3,0))) *
N('PORTIFÓLIO'!$S$4:$S$564),
0
)
),
0)</f>
        <v>0</v>
      </c>
      <c r="M264" s="47">
        <f t="shared" si="10"/>
        <v>0</v>
      </c>
      <c r="N264" s="49">
        <f t="array" ref="N264">IFERROR(
SUM(
IF(
'PORTIFÓLIO'!$C$4:$C$564=$A264,
N(INDEX('PORTIFÓLIO'!$J$4:$Q$564,,MATCH(N$2,'PORTIFÓLIO'!$J$3:$Q$3,0))) *
N('PORTIFÓLIO'!$S$4:$S$564),
0
)
),
0)</f>
        <v>0</v>
      </c>
      <c r="O264" s="49">
        <f t="shared" si="11"/>
        <v>0</v>
      </c>
      <c r="P264" s="49">
        <f t="array" ref="P264">IFERROR(
SUM(
IF(
'PORTIFÓLIO'!$C$4:$C$564=$A264,
N(INDEX('PORTIFÓLIO'!$J$4:$Q$564,,MATCH(P$2,'PORTIFÓLIO'!$J$3:$Q$3,0))) *
N('PORTIFÓLIO'!$S$4:$S$564),
0
)
),
0)</f>
        <v>0</v>
      </c>
      <c r="Q264" s="49">
        <f t="shared" si="12"/>
        <v>0</v>
      </c>
      <c r="R264" s="49">
        <f t="shared" si="2"/>
        <v>0</v>
      </c>
      <c r="S264" s="49">
        <f t="shared" si="13"/>
        <v>0</v>
      </c>
    </row>
    <row r="265" ht="15.75" hidden="1" customHeight="1" outlineLevel="1">
      <c r="A265" s="48"/>
      <c r="B265" s="49">
        <f t="array" ref="B265">IFERROR(
SUM(
IF(
'PORTIFÓLIO'!$C$4:$C$564=$A265,
N(INDEX('PORTIFÓLIO'!$J$4:$Q$564,,MATCH(B$2,'PORTIFÓLIO'!$J$3:$Q$3,0))) *
N('PORTIFÓLIO'!$S$4:$S$564),
0
)
),
0)</f>
        <v>0</v>
      </c>
      <c r="C265" s="49">
        <f t="shared" si="5"/>
        <v>0</v>
      </c>
      <c r="D265" s="49">
        <f t="array" ref="D265">IFERROR(
SUM(
IF(
'PORTIFÓLIO'!$C$4:$C$564=$A265,
N(INDEX('PORTIFÓLIO'!$J$4:$Q$564,,MATCH(D$2,'PORTIFÓLIO'!$J$3:$Q$3,0))) *
N('PORTIFÓLIO'!$S$4:$S$564),
0
)
),
0)</f>
        <v>0</v>
      </c>
      <c r="E265" s="49">
        <f t="shared" si="6"/>
        <v>0</v>
      </c>
      <c r="F265" s="49">
        <f t="array" ref="F265">IFERROR(
SUM(
IF(
'PORTIFÓLIO'!$C$4:$C$564=$A265,
N(INDEX('PORTIFÓLIO'!$J$4:$Q$564,,MATCH(F$2,'PORTIFÓLIO'!$J$3:$Q$3,0))) *
N('PORTIFÓLIO'!$S$4:$S$564),
0
)
),
0)</f>
        <v>0</v>
      </c>
      <c r="G265" s="47">
        <f t="shared" si="7"/>
        <v>0</v>
      </c>
      <c r="H265" s="49">
        <f t="array" ref="H265">IFERROR(
SUM(
IF(
'PORTIFÓLIO'!$C$4:$C$564=$A265,
N(INDEX('PORTIFÓLIO'!$J$4:$Q$564,,MATCH(H$2,'PORTIFÓLIO'!$J$3:$Q$3,0))) *
N('PORTIFÓLIO'!$S$4:$S$564),
0
)
),
0)</f>
        <v>0</v>
      </c>
      <c r="I265" s="47">
        <f t="shared" si="8"/>
        <v>0</v>
      </c>
      <c r="J265" s="49">
        <f t="array" ref="J265">IFERROR(
SUM(
IF(
'PORTIFÓLIO'!$C$4:$C$564=$A265,
N(INDEX('PORTIFÓLIO'!$J$4:$Q$564,,MATCH(J$2,'PORTIFÓLIO'!$J$3:$Q$3,0))) *
N('PORTIFÓLIO'!$S$4:$S$564),
0
)
),
0)</f>
        <v>0</v>
      </c>
      <c r="K265" s="47">
        <f t="shared" si="9"/>
        <v>0</v>
      </c>
      <c r="L265" s="49">
        <f t="array" ref="L265">IFERROR(
SUM(
IF(
'PORTIFÓLIO'!$C$4:$C$564=$A265,
N(INDEX('PORTIFÓLIO'!$J$4:$Q$564,,MATCH(L$2,'PORTIFÓLIO'!$J$3:$Q$3,0))) *
N('PORTIFÓLIO'!$S$4:$S$564),
0
)
),
0)</f>
        <v>0</v>
      </c>
      <c r="M265" s="47">
        <f t="shared" si="10"/>
        <v>0</v>
      </c>
      <c r="N265" s="49">
        <f t="array" ref="N265">IFERROR(
SUM(
IF(
'PORTIFÓLIO'!$C$4:$C$564=$A265,
N(INDEX('PORTIFÓLIO'!$J$4:$Q$564,,MATCH(N$2,'PORTIFÓLIO'!$J$3:$Q$3,0))) *
N('PORTIFÓLIO'!$S$4:$S$564),
0
)
),
0)</f>
        <v>0</v>
      </c>
      <c r="O265" s="49">
        <f t="shared" si="11"/>
        <v>0</v>
      </c>
      <c r="P265" s="49">
        <f t="array" ref="P265">IFERROR(
SUM(
IF(
'PORTIFÓLIO'!$C$4:$C$564=$A265,
N(INDEX('PORTIFÓLIO'!$J$4:$Q$564,,MATCH(P$2,'PORTIFÓLIO'!$J$3:$Q$3,0))) *
N('PORTIFÓLIO'!$S$4:$S$564),
0
)
),
0)</f>
        <v>0</v>
      </c>
      <c r="Q265" s="49">
        <f t="shared" si="12"/>
        <v>0</v>
      </c>
      <c r="R265" s="49">
        <f t="shared" si="2"/>
        <v>0</v>
      </c>
      <c r="S265" s="49">
        <f t="shared" si="13"/>
        <v>0</v>
      </c>
    </row>
    <row r="266" ht="15.75" hidden="1" customHeight="1" outlineLevel="1">
      <c r="A266" s="48"/>
      <c r="B266" s="49">
        <f t="array" ref="B266">IFERROR(
SUM(
IF(
'PORTIFÓLIO'!$C$4:$C$564=$A266,
N(INDEX('PORTIFÓLIO'!$J$4:$Q$564,,MATCH(B$2,'PORTIFÓLIO'!$J$3:$Q$3,0))) *
N('PORTIFÓLIO'!$S$4:$S$564),
0
)
),
0)</f>
        <v>0</v>
      </c>
      <c r="C266" s="49">
        <f t="shared" si="5"/>
        <v>0</v>
      </c>
      <c r="D266" s="49">
        <f t="array" ref="D266">IFERROR(
SUM(
IF(
'PORTIFÓLIO'!$C$4:$C$564=$A266,
N(INDEX('PORTIFÓLIO'!$J$4:$Q$564,,MATCH(D$2,'PORTIFÓLIO'!$J$3:$Q$3,0))) *
N('PORTIFÓLIO'!$S$4:$S$564),
0
)
),
0)</f>
        <v>0</v>
      </c>
      <c r="E266" s="49">
        <f t="shared" si="6"/>
        <v>0</v>
      </c>
      <c r="F266" s="49">
        <f t="array" ref="F266">IFERROR(
SUM(
IF(
'PORTIFÓLIO'!$C$4:$C$564=$A266,
N(INDEX('PORTIFÓLIO'!$J$4:$Q$564,,MATCH(F$2,'PORTIFÓLIO'!$J$3:$Q$3,0))) *
N('PORTIFÓLIO'!$S$4:$S$564),
0
)
),
0)</f>
        <v>0</v>
      </c>
      <c r="G266" s="47">
        <f t="shared" si="7"/>
        <v>0</v>
      </c>
      <c r="H266" s="49">
        <f t="array" ref="H266">IFERROR(
SUM(
IF(
'PORTIFÓLIO'!$C$4:$C$564=$A266,
N(INDEX('PORTIFÓLIO'!$J$4:$Q$564,,MATCH(H$2,'PORTIFÓLIO'!$J$3:$Q$3,0))) *
N('PORTIFÓLIO'!$S$4:$S$564),
0
)
),
0)</f>
        <v>0</v>
      </c>
      <c r="I266" s="47">
        <f t="shared" si="8"/>
        <v>0</v>
      </c>
      <c r="J266" s="49">
        <f t="array" ref="J266">IFERROR(
SUM(
IF(
'PORTIFÓLIO'!$C$4:$C$564=$A266,
N(INDEX('PORTIFÓLIO'!$J$4:$Q$564,,MATCH(J$2,'PORTIFÓLIO'!$J$3:$Q$3,0))) *
N('PORTIFÓLIO'!$S$4:$S$564),
0
)
),
0)</f>
        <v>0</v>
      </c>
      <c r="K266" s="47">
        <f t="shared" si="9"/>
        <v>0</v>
      </c>
      <c r="L266" s="49">
        <f t="array" ref="L266">IFERROR(
SUM(
IF(
'PORTIFÓLIO'!$C$4:$C$564=$A266,
N(INDEX('PORTIFÓLIO'!$J$4:$Q$564,,MATCH(L$2,'PORTIFÓLIO'!$J$3:$Q$3,0))) *
N('PORTIFÓLIO'!$S$4:$S$564),
0
)
),
0)</f>
        <v>0</v>
      </c>
      <c r="M266" s="47">
        <f t="shared" si="10"/>
        <v>0</v>
      </c>
      <c r="N266" s="49">
        <f t="array" ref="N266">IFERROR(
SUM(
IF(
'PORTIFÓLIO'!$C$4:$C$564=$A266,
N(INDEX('PORTIFÓLIO'!$J$4:$Q$564,,MATCH(N$2,'PORTIFÓLIO'!$J$3:$Q$3,0))) *
N('PORTIFÓLIO'!$S$4:$S$564),
0
)
),
0)</f>
        <v>0</v>
      </c>
      <c r="O266" s="49">
        <f t="shared" si="11"/>
        <v>0</v>
      </c>
      <c r="P266" s="49">
        <f t="array" ref="P266">IFERROR(
SUM(
IF(
'PORTIFÓLIO'!$C$4:$C$564=$A266,
N(INDEX('PORTIFÓLIO'!$J$4:$Q$564,,MATCH(P$2,'PORTIFÓLIO'!$J$3:$Q$3,0))) *
N('PORTIFÓLIO'!$S$4:$S$564),
0
)
),
0)</f>
        <v>0</v>
      </c>
      <c r="Q266" s="49">
        <f t="shared" si="12"/>
        <v>0</v>
      </c>
      <c r="R266" s="49">
        <f t="shared" si="2"/>
        <v>0</v>
      </c>
      <c r="S266" s="49">
        <f t="shared" si="13"/>
        <v>0</v>
      </c>
    </row>
    <row r="267" ht="15.75" hidden="1" customHeight="1" outlineLevel="1">
      <c r="A267" s="48"/>
      <c r="B267" s="49">
        <f t="array" ref="B267">IFERROR(
SUM(
IF(
'PORTIFÓLIO'!$C$4:$C$564=$A267,
N(INDEX('PORTIFÓLIO'!$J$4:$Q$564,,MATCH(B$2,'PORTIFÓLIO'!$J$3:$Q$3,0))) *
N('PORTIFÓLIO'!$S$4:$S$564),
0
)
),
0)</f>
        <v>0</v>
      </c>
      <c r="C267" s="49">
        <f t="shared" si="5"/>
        <v>0</v>
      </c>
      <c r="D267" s="49">
        <f t="array" ref="D267">IFERROR(
SUM(
IF(
'PORTIFÓLIO'!$C$4:$C$564=$A267,
N(INDEX('PORTIFÓLIO'!$J$4:$Q$564,,MATCH(D$2,'PORTIFÓLIO'!$J$3:$Q$3,0))) *
N('PORTIFÓLIO'!$S$4:$S$564),
0
)
),
0)</f>
        <v>0</v>
      </c>
      <c r="E267" s="49">
        <f t="shared" si="6"/>
        <v>0</v>
      </c>
      <c r="F267" s="49">
        <f t="array" ref="F267">IFERROR(
SUM(
IF(
'PORTIFÓLIO'!$C$4:$C$564=$A267,
N(INDEX('PORTIFÓLIO'!$J$4:$Q$564,,MATCH(F$2,'PORTIFÓLIO'!$J$3:$Q$3,0))) *
N('PORTIFÓLIO'!$S$4:$S$564),
0
)
),
0)</f>
        <v>0</v>
      </c>
      <c r="G267" s="47">
        <f t="shared" si="7"/>
        <v>0</v>
      </c>
      <c r="H267" s="49">
        <f t="array" ref="H267">IFERROR(
SUM(
IF(
'PORTIFÓLIO'!$C$4:$C$564=$A267,
N(INDEX('PORTIFÓLIO'!$J$4:$Q$564,,MATCH(H$2,'PORTIFÓLIO'!$J$3:$Q$3,0))) *
N('PORTIFÓLIO'!$S$4:$S$564),
0
)
),
0)</f>
        <v>0</v>
      </c>
      <c r="I267" s="47">
        <f t="shared" si="8"/>
        <v>0</v>
      </c>
      <c r="J267" s="49">
        <f t="array" ref="J267">IFERROR(
SUM(
IF(
'PORTIFÓLIO'!$C$4:$C$564=$A267,
N(INDEX('PORTIFÓLIO'!$J$4:$Q$564,,MATCH(J$2,'PORTIFÓLIO'!$J$3:$Q$3,0))) *
N('PORTIFÓLIO'!$S$4:$S$564),
0
)
),
0)</f>
        <v>0</v>
      </c>
      <c r="K267" s="47">
        <f t="shared" si="9"/>
        <v>0</v>
      </c>
      <c r="L267" s="49">
        <f t="array" ref="L267">IFERROR(
SUM(
IF(
'PORTIFÓLIO'!$C$4:$C$564=$A267,
N(INDEX('PORTIFÓLIO'!$J$4:$Q$564,,MATCH(L$2,'PORTIFÓLIO'!$J$3:$Q$3,0))) *
N('PORTIFÓLIO'!$S$4:$S$564),
0
)
),
0)</f>
        <v>0</v>
      </c>
      <c r="M267" s="47">
        <f t="shared" si="10"/>
        <v>0</v>
      </c>
      <c r="N267" s="49">
        <f t="array" ref="N267">IFERROR(
SUM(
IF(
'PORTIFÓLIO'!$C$4:$C$564=$A267,
N(INDEX('PORTIFÓLIO'!$J$4:$Q$564,,MATCH(N$2,'PORTIFÓLIO'!$J$3:$Q$3,0))) *
N('PORTIFÓLIO'!$S$4:$S$564),
0
)
),
0)</f>
        <v>0</v>
      </c>
      <c r="O267" s="49">
        <f t="shared" si="11"/>
        <v>0</v>
      </c>
      <c r="P267" s="49">
        <f t="array" ref="P267">IFERROR(
SUM(
IF(
'PORTIFÓLIO'!$C$4:$C$564=$A267,
N(INDEX('PORTIFÓLIO'!$J$4:$Q$564,,MATCH(P$2,'PORTIFÓLIO'!$J$3:$Q$3,0))) *
N('PORTIFÓLIO'!$S$4:$S$564),
0
)
),
0)</f>
        <v>0</v>
      </c>
      <c r="Q267" s="49">
        <f t="shared" si="12"/>
        <v>0</v>
      </c>
      <c r="R267" s="49">
        <f t="shared" si="2"/>
        <v>0</v>
      </c>
      <c r="S267" s="49">
        <f t="shared" si="13"/>
        <v>0</v>
      </c>
    </row>
    <row r="268" ht="15.75" hidden="1" customHeight="1" outlineLevel="1">
      <c r="A268" s="48"/>
      <c r="B268" s="49">
        <f t="array" ref="B268">IFERROR(
SUM(
IF(
'PORTIFÓLIO'!$C$4:$C$564=$A268,
N(INDEX('PORTIFÓLIO'!$J$4:$Q$564,,MATCH(B$2,'PORTIFÓLIO'!$J$3:$Q$3,0))) *
N('PORTIFÓLIO'!$S$4:$S$564),
0
)
),
0)</f>
        <v>0</v>
      </c>
      <c r="C268" s="49">
        <f t="shared" si="5"/>
        <v>0</v>
      </c>
      <c r="D268" s="49">
        <f t="array" ref="D268">IFERROR(
SUM(
IF(
'PORTIFÓLIO'!$C$4:$C$564=$A268,
N(INDEX('PORTIFÓLIO'!$J$4:$Q$564,,MATCH(D$2,'PORTIFÓLIO'!$J$3:$Q$3,0))) *
N('PORTIFÓLIO'!$S$4:$S$564),
0
)
),
0)</f>
        <v>0</v>
      </c>
      <c r="E268" s="49">
        <f t="shared" si="6"/>
        <v>0</v>
      </c>
      <c r="F268" s="49">
        <f t="array" ref="F268">IFERROR(
SUM(
IF(
'PORTIFÓLIO'!$C$4:$C$564=$A268,
N(INDEX('PORTIFÓLIO'!$J$4:$Q$564,,MATCH(F$2,'PORTIFÓLIO'!$J$3:$Q$3,0))) *
N('PORTIFÓLIO'!$S$4:$S$564),
0
)
),
0)</f>
        <v>0</v>
      </c>
      <c r="G268" s="47">
        <f t="shared" si="7"/>
        <v>0</v>
      </c>
      <c r="H268" s="49">
        <f t="array" ref="H268">IFERROR(
SUM(
IF(
'PORTIFÓLIO'!$C$4:$C$564=$A268,
N(INDEX('PORTIFÓLIO'!$J$4:$Q$564,,MATCH(H$2,'PORTIFÓLIO'!$J$3:$Q$3,0))) *
N('PORTIFÓLIO'!$S$4:$S$564),
0
)
),
0)</f>
        <v>0</v>
      </c>
      <c r="I268" s="47">
        <f t="shared" si="8"/>
        <v>0</v>
      </c>
      <c r="J268" s="49">
        <f t="array" ref="J268">IFERROR(
SUM(
IF(
'PORTIFÓLIO'!$C$4:$C$564=$A268,
N(INDEX('PORTIFÓLIO'!$J$4:$Q$564,,MATCH(J$2,'PORTIFÓLIO'!$J$3:$Q$3,0))) *
N('PORTIFÓLIO'!$S$4:$S$564),
0
)
),
0)</f>
        <v>0</v>
      </c>
      <c r="K268" s="47">
        <f t="shared" si="9"/>
        <v>0</v>
      </c>
      <c r="L268" s="49">
        <f t="array" ref="L268">IFERROR(
SUM(
IF(
'PORTIFÓLIO'!$C$4:$C$564=$A268,
N(INDEX('PORTIFÓLIO'!$J$4:$Q$564,,MATCH(L$2,'PORTIFÓLIO'!$J$3:$Q$3,0))) *
N('PORTIFÓLIO'!$S$4:$S$564),
0
)
),
0)</f>
        <v>0</v>
      </c>
      <c r="M268" s="47">
        <f t="shared" si="10"/>
        <v>0</v>
      </c>
      <c r="N268" s="49">
        <f t="array" ref="N268">IFERROR(
SUM(
IF(
'PORTIFÓLIO'!$C$4:$C$564=$A268,
N(INDEX('PORTIFÓLIO'!$J$4:$Q$564,,MATCH(N$2,'PORTIFÓLIO'!$J$3:$Q$3,0))) *
N('PORTIFÓLIO'!$S$4:$S$564),
0
)
),
0)</f>
        <v>0</v>
      </c>
      <c r="O268" s="49">
        <f t="shared" si="11"/>
        <v>0</v>
      </c>
      <c r="P268" s="49">
        <f t="array" ref="P268">IFERROR(
SUM(
IF(
'PORTIFÓLIO'!$C$4:$C$564=$A268,
N(INDEX('PORTIFÓLIO'!$J$4:$Q$564,,MATCH(P$2,'PORTIFÓLIO'!$J$3:$Q$3,0))) *
N('PORTIFÓLIO'!$S$4:$S$564),
0
)
),
0)</f>
        <v>0</v>
      </c>
      <c r="Q268" s="49">
        <f t="shared" si="12"/>
        <v>0</v>
      </c>
      <c r="R268" s="49">
        <f t="shared" si="2"/>
        <v>0</v>
      </c>
      <c r="S268" s="49">
        <f t="shared" si="13"/>
        <v>0</v>
      </c>
    </row>
    <row r="269" ht="15.75" hidden="1" customHeight="1" outlineLevel="1">
      <c r="A269" s="48"/>
      <c r="B269" s="49">
        <f t="array" ref="B269">IFERROR(
SUM(
IF(
'PORTIFÓLIO'!$C$4:$C$564=$A269,
N(INDEX('PORTIFÓLIO'!$J$4:$Q$564,,MATCH(B$2,'PORTIFÓLIO'!$J$3:$Q$3,0))) *
N('PORTIFÓLIO'!$S$4:$S$564),
0
)
),
0)</f>
        <v>0</v>
      </c>
      <c r="C269" s="49">
        <f t="shared" si="5"/>
        <v>0</v>
      </c>
      <c r="D269" s="49">
        <f t="array" ref="D269">IFERROR(
SUM(
IF(
'PORTIFÓLIO'!$C$4:$C$564=$A269,
N(INDEX('PORTIFÓLIO'!$J$4:$Q$564,,MATCH(D$2,'PORTIFÓLIO'!$J$3:$Q$3,0))) *
N('PORTIFÓLIO'!$S$4:$S$564),
0
)
),
0)</f>
        <v>0</v>
      </c>
      <c r="E269" s="49">
        <f t="shared" si="6"/>
        <v>0</v>
      </c>
      <c r="F269" s="49">
        <f t="array" ref="F269">IFERROR(
SUM(
IF(
'PORTIFÓLIO'!$C$4:$C$564=$A269,
N(INDEX('PORTIFÓLIO'!$J$4:$Q$564,,MATCH(F$2,'PORTIFÓLIO'!$J$3:$Q$3,0))) *
N('PORTIFÓLIO'!$S$4:$S$564),
0
)
),
0)</f>
        <v>0</v>
      </c>
      <c r="G269" s="47">
        <f t="shared" si="7"/>
        <v>0</v>
      </c>
      <c r="H269" s="49">
        <f t="array" ref="H269">IFERROR(
SUM(
IF(
'PORTIFÓLIO'!$C$4:$C$564=$A269,
N(INDEX('PORTIFÓLIO'!$J$4:$Q$564,,MATCH(H$2,'PORTIFÓLIO'!$J$3:$Q$3,0))) *
N('PORTIFÓLIO'!$S$4:$S$564),
0
)
),
0)</f>
        <v>0</v>
      </c>
      <c r="I269" s="47">
        <f t="shared" si="8"/>
        <v>0</v>
      </c>
      <c r="J269" s="49">
        <f t="array" ref="J269">IFERROR(
SUM(
IF(
'PORTIFÓLIO'!$C$4:$C$564=$A269,
N(INDEX('PORTIFÓLIO'!$J$4:$Q$564,,MATCH(J$2,'PORTIFÓLIO'!$J$3:$Q$3,0))) *
N('PORTIFÓLIO'!$S$4:$S$564),
0
)
),
0)</f>
        <v>0</v>
      </c>
      <c r="K269" s="47">
        <f t="shared" si="9"/>
        <v>0</v>
      </c>
      <c r="L269" s="49">
        <f t="array" ref="L269">IFERROR(
SUM(
IF(
'PORTIFÓLIO'!$C$4:$C$564=$A269,
N(INDEX('PORTIFÓLIO'!$J$4:$Q$564,,MATCH(L$2,'PORTIFÓLIO'!$J$3:$Q$3,0))) *
N('PORTIFÓLIO'!$S$4:$S$564),
0
)
),
0)</f>
        <v>0</v>
      </c>
      <c r="M269" s="47">
        <f t="shared" si="10"/>
        <v>0</v>
      </c>
      <c r="N269" s="49">
        <f t="array" ref="N269">IFERROR(
SUM(
IF(
'PORTIFÓLIO'!$C$4:$C$564=$A269,
N(INDEX('PORTIFÓLIO'!$J$4:$Q$564,,MATCH(N$2,'PORTIFÓLIO'!$J$3:$Q$3,0))) *
N('PORTIFÓLIO'!$S$4:$S$564),
0
)
),
0)</f>
        <v>0</v>
      </c>
      <c r="O269" s="49">
        <f t="shared" si="11"/>
        <v>0</v>
      </c>
      <c r="P269" s="49">
        <f t="array" ref="P269">IFERROR(
SUM(
IF(
'PORTIFÓLIO'!$C$4:$C$564=$A269,
N(INDEX('PORTIFÓLIO'!$J$4:$Q$564,,MATCH(P$2,'PORTIFÓLIO'!$J$3:$Q$3,0))) *
N('PORTIFÓLIO'!$S$4:$S$564),
0
)
),
0)</f>
        <v>0</v>
      </c>
      <c r="Q269" s="49">
        <f t="shared" si="12"/>
        <v>0</v>
      </c>
      <c r="R269" s="49">
        <f t="shared" si="2"/>
        <v>0</v>
      </c>
      <c r="S269" s="49">
        <f t="shared" si="13"/>
        <v>0</v>
      </c>
    </row>
    <row r="270" ht="15.75" hidden="1" customHeight="1" outlineLevel="1">
      <c r="A270" s="48"/>
      <c r="B270" s="49">
        <f t="array" ref="B270">IFERROR(
SUM(
IF(
'PORTIFÓLIO'!$C$4:$C$564=$A270,
N(INDEX('PORTIFÓLIO'!$J$4:$Q$564,,MATCH(B$2,'PORTIFÓLIO'!$J$3:$Q$3,0))) *
N('PORTIFÓLIO'!$S$4:$S$564),
0
)
),
0)</f>
        <v>0</v>
      </c>
      <c r="C270" s="49">
        <f t="shared" si="5"/>
        <v>0</v>
      </c>
      <c r="D270" s="49">
        <f t="array" ref="D270">IFERROR(
SUM(
IF(
'PORTIFÓLIO'!$C$4:$C$564=$A270,
N(INDEX('PORTIFÓLIO'!$J$4:$Q$564,,MATCH(D$2,'PORTIFÓLIO'!$J$3:$Q$3,0))) *
N('PORTIFÓLIO'!$S$4:$S$564),
0
)
),
0)</f>
        <v>0</v>
      </c>
      <c r="E270" s="49">
        <f t="shared" si="6"/>
        <v>0</v>
      </c>
      <c r="F270" s="49">
        <f t="array" ref="F270">IFERROR(
SUM(
IF(
'PORTIFÓLIO'!$C$4:$C$564=$A270,
N(INDEX('PORTIFÓLIO'!$J$4:$Q$564,,MATCH(F$2,'PORTIFÓLIO'!$J$3:$Q$3,0))) *
N('PORTIFÓLIO'!$S$4:$S$564),
0
)
),
0)</f>
        <v>0</v>
      </c>
      <c r="G270" s="47">
        <f t="shared" si="7"/>
        <v>0</v>
      </c>
      <c r="H270" s="49">
        <f t="array" ref="H270">IFERROR(
SUM(
IF(
'PORTIFÓLIO'!$C$4:$C$564=$A270,
N(INDEX('PORTIFÓLIO'!$J$4:$Q$564,,MATCH(H$2,'PORTIFÓLIO'!$J$3:$Q$3,0))) *
N('PORTIFÓLIO'!$S$4:$S$564),
0
)
),
0)</f>
        <v>0</v>
      </c>
      <c r="I270" s="47">
        <f t="shared" si="8"/>
        <v>0</v>
      </c>
      <c r="J270" s="49">
        <f t="array" ref="J270">IFERROR(
SUM(
IF(
'PORTIFÓLIO'!$C$4:$C$564=$A270,
N(INDEX('PORTIFÓLIO'!$J$4:$Q$564,,MATCH(J$2,'PORTIFÓLIO'!$J$3:$Q$3,0))) *
N('PORTIFÓLIO'!$S$4:$S$564),
0
)
),
0)</f>
        <v>0</v>
      </c>
      <c r="K270" s="47">
        <f t="shared" si="9"/>
        <v>0</v>
      </c>
      <c r="L270" s="49">
        <f t="array" ref="L270">IFERROR(
SUM(
IF(
'PORTIFÓLIO'!$C$4:$C$564=$A270,
N(INDEX('PORTIFÓLIO'!$J$4:$Q$564,,MATCH(L$2,'PORTIFÓLIO'!$J$3:$Q$3,0))) *
N('PORTIFÓLIO'!$S$4:$S$564),
0
)
),
0)</f>
        <v>0</v>
      </c>
      <c r="M270" s="47">
        <f t="shared" si="10"/>
        <v>0</v>
      </c>
      <c r="N270" s="49">
        <f t="array" ref="N270">IFERROR(
SUM(
IF(
'PORTIFÓLIO'!$C$4:$C$564=$A270,
N(INDEX('PORTIFÓLIO'!$J$4:$Q$564,,MATCH(N$2,'PORTIFÓLIO'!$J$3:$Q$3,0))) *
N('PORTIFÓLIO'!$S$4:$S$564),
0
)
),
0)</f>
        <v>0</v>
      </c>
      <c r="O270" s="49">
        <f t="shared" si="11"/>
        <v>0</v>
      </c>
      <c r="P270" s="49">
        <f t="array" ref="P270">IFERROR(
SUM(
IF(
'PORTIFÓLIO'!$C$4:$C$564=$A270,
N(INDEX('PORTIFÓLIO'!$J$4:$Q$564,,MATCH(P$2,'PORTIFÓLIO'!$J$3:$Q$3,0))) *
N('PORTIFÓLIO'!$S$4:$S$564),
0
)
),
0)</f>
        <v>0</v>
      </c>
      <c r="Q270" s="49">
        <f t="shared" si="12"/>
        <v>0</v>
      </c>
      <c r="R270" s="49">
        <f t="shared" si="2"/>
        <v>0</v>
      </c>
      <c r="S270" s="49">
        <f t="shared" si="13"/>
        <v>0</v>
      </c>
    </row>
    <row r="271" ht="15.75" hidden="1" customHeight="1" outlineLevel="1">
      <c r="A271" s="48"/>
      <c r="B271" s="49">
        <f t="array" ref="B271">IFERROR(
SUM(
IF(
'PORTIFÓLIO'!$C$4:$C$564=$A271,
N(INDEX('PORTIFÓLIO'!$J$4:$Q$564,,MATCH(B$2,'PORTIFÓLIO'!$J$3:$Q$3,0))) *
N('PORTIFÓLIO'!$S$4:$S$564),
0
)
),
0)</f>
        <v>0</v>
      </c>
      <c r="C271" s="49">
        <f t="shared" si="5"/>
        <v>0</v>
      </c>
      <c r="D271" s="49">
        <f t="array" ref="D271">IFERROR(
SUM(
IF(
'PORTIFÓLIO'!$C$4:$C$564=$A271,
N(INDEX('PORTIFÓLIO'!$J$4:$Q$564,,MATCH(D$2,'PORTIFÓLIO'!$J$3:$Q$3,0))) *
N('PORTIFÓLIO'!$S$4:$S$564),
0
)
),
0)</f>
        <v>0</v>
      </c>
      <c r="E271" s="49">
        <f t="shared" si="6"/>
        <v>0</v>
      </c>
      <c r="F271" s="49">
        <f t="array" ref="F271">IFERROR(
SUM(
IF(
'PORTIFÓLIO'!$C$4:$C$564=$A271,
N(INDEX('PORTIFÓLIO'!$J$4:$Q$564,,MATCH(F$2,'PORTIFÓLIO'!$J$3:$Q$3,0))) *
N('PORTIFÓLIO'!$S$4:$S$564),
0
)
),
0)</f>
        <v>0</v>
      </c>
      <c r="G271" s="47">
        <f t="shared" si="7"/>
        <v>0</v>
      </c>
      <c r="H271" s="49">
        <f t="array" ref="H271">IFERROR(
SUM(
IF(
'PORTIFÓLIO'!$C$4:$C$564=$A271,
N(INDEX('PORTIFÓLIO'!$J$4:$Q$564,,MATCH(H$2,'PORTIFÓLIO'!$J$3:$Q$3,0))) *
N('PORTIFÓLIO'!$S$4:$S$564),
0
)
),
0)</f>
        <v>0</v>
      </c>
      <c r="I271" s="47">
        <f t="shared" si="8"/>
        <v>0</v>
      </c>
      <c r="J271" s="49">
        <f t="array" ref="J271">IFERROR(
SUM(
IF(
'PORTIFÓLIO'!$C$4:$C$564=$A271,
N(INDEX('PORTIFÓLIO'!$J$4:$Q$564,,MATCH(J$2,'PORTIFÓLIO'!$J$3:$Q$3,0))) *
N('PORTIFÓLIO'!$S$4:$S$564),
0
)
),
0)</f>
        <v>0</v>
      </c>
      <c r="K271" s="47">
        <f t="shared" si="9"/>
        <v>0</v>
      </c>
      <c r="L271" s="49">
        <f t="array" ref="L271">IFERROR(
SUM(
IF(
'PORTIFÓLIO'!$C$4:$C$564=$A271,
N(INDEX('PORTIFÓLIO'!$J$4:$Q$564,,MATCH(L$2,'PORTIFÓLIO'!$J$3:$Q$3,0))) *
N('PORTIFÓLIO'!$S$4:$S$564),
0
)
),
0)</f>
        <v>0</v>
      </c>
      <c r="M271" s="47">
        <f t="shared" si="10"/>
        <v>0</v>
      </c>
      <c r="N271" s="49">
        <f t="array" ref="N271">IFERROR(
SUM(
IF(
'PORTIFÓLIO'!$C$4:$C$564=$A271,
N(INDEX('PORTIFÓLIO'!$J$4:$Q$564,,MATCH(N$2,'PORTIFÓLIO'!$J$3:$Q$3,0))) *
N('PORTIFÓLIO'!$S$4:$S$564),
0
)
),
0)</f>
        <v>0</v>
      </c>
      <c r="O271" s="49">
        <f t="shared" si="11"/>
        <v>0</v>
      </c>
      <c r="P271" s="49">
        <f t="array" ref="P271">IFERROR(
SUM(
IF(
'PORTIFÓLIO'!$C$4:$C$564=$A271,
N(INDEX('PORTIFÓLIO'!$J$4:$Q$564,,MATCH(P$2,'PORTIFÓLIO'!$J$3:$Q$3,0))) *
N('PORTIFÓLIO'!$S$4:$S$564),
0
)
),
0)</f>
        <v>0</v>
      </c>
      <c r="Q271" s="49">
        <f t="shared" si="12"/>
        <v>0</v>
      </c>
      <c r="R271" s="49">
        <f t="shared" si="2"/>
        <v>0</v>
      </c>
      <c r="S271" s="49">
        <f t="shared" si="13"/>
        <v>0</v>
      </c>
    </row>
    <row r="272" ht="15.75" hidden="1" customHeight="1" outlineLevel="1">
      <c r="A272" s="48"/>
      <c r="B272" s="49">
        <f t="array" ref="B272">IFERROR(
SUM(
IF(
'PORTIFÓLIO'!$C$4:$C$564=$A272,
N(INDEX('PORTIFÓLIO'!$J$4:$Q$564,,MATCH(B$2,'PORTIFÓLIO'!$J$3:$Q$3,0))) *
N('PORTIFÓLIO'!$S$4:$S$564),
0
)
),
0)</f>
        <v>0</v>
      </c>
      <c r="C272" s="49">
        <f t="shared" si="5"/>
        <v>0</v>
      </c>
      <c r="D272" s="49">
        <f t="array" ref="D272">IFERROR(
SUM(
IF(
'PORTIFÓLIO'!$C$4:$C$564=$A272,
N(INDEX('PORTIFÓLIO'!$J$4:$Q$564,,MATCH(D$2,'PORTIFÓLIO'!$J$3:$Q$3,0))) *
N('PORTIFÓLIO'!$S$4:$S$564),
0
)
),
0)</f>
        <v>0</v>
      </c>
      <c r="E272" s="49">
        <f t="shared" si="6"/>
        <v>0</v>
      </c>
      <c r="F272" s="49">
        <f t="array" ref="F272">IFERROR(
SUM(
IF(
'PORTIFÓLIO'!$C$4:$C$564=$A272,
N(INDEX('PORTIFÓLIO'!$J$4:$Q$564,,MATCH(F$2,'PORTIFÓLIO'!$J$3:$Q$3,0))) *
N('PORTIFÓLIO'!$S$4:$S$564),
0
)
),
0)</f>
        <v>0</v>
      </c>
      <c r="G272" s="47">
        <f t="shared" si="7"/>
        <v>0</v>
      </c>
      <c r="H272" s="49">
        <f t="array" ref="H272">IFERROR(
SUM(
IF(
'PORTIFÓLIO'!$C$4:$C$564=$A272,
N(INDEX('PORTIFÓLIO'!$J$4:$Q$564,,MATCH(H$2,'PORTIFÓLIO'!$J$3:$Q$3,0))) *
N('PORTIFÓLIO'!$S$4:$S$564),
0
)
),
0)</f>
        <v>0</v>
      </c>
      <c r="I272" s="47">
        <f t="shared" si="8"/>
        <v>0</v>
      </c>
      <c r="J272" s="49">
        <f t="array" ref="J272">IFERROR(
SUM(
IF(
'PORTIFÓLIO'!$C$4:$C$564=$A272,
N(INDEX('PORTIFÓLIO'!$J$4:$Q$564,,MATCH(J$2,'PORTIFÓLIO'!$J$3:$Q$3,0))) *
N('PORTIFÓLIO'!$S$4:$S$564),
0
)
),
0)</f>
        <v>0</v>
      </c>
      <c r="K272" s="47">
        <f t="shared" si="9"/>
        <v>0</v>
      </c>
      <c r="L272" s="49">
        <f t="array" ref="L272">IFERROR(
SUM(
IF(
'PORTIFÓLIO'!$C$4:$C$564=$A272,
N(INDEX('PORTIFÓLIO'!$J$4:$Q$564,,MATCH(L$2,'PORTIFÓLIO'!$J$3:$Q$3,0))) *
N('PORTIFÓLIO'!$S$4:$S$564),
0
)
),
0)</f>
        <v>0</v>
      </c>
      <c r="M272" s="47">
        <f t="shared" si="10"/>
        <v>0</v>
      </c>
      <c r="N272" s="49">
        <f t="array" ref="N272">IFERROR(
SUM(
IF(
'PORTIFÓLIO'!$C$4:$C$564=$A272,
N(INDEX('PORTIFÓLIO'!$J$4:$Q$564,,MATCH(N$2,'PORTIFÓLIO'!$J$3:$Q$3,0))) *
N('PORTIFÓLIO'!$S$4:$S$564),
0
)
),
0)</f>
        <v>0</v>
      </c>
      <c r="O272" s="49">
        <f t="shared" si="11"/>
        <v>0</v>
      </c>
      <c r="P272" s="49">
        <f t="array" ref="P272">IFERROR(
SUM(
IF(
'PORTIFÓLIO'!$C$4:$C$564=$A272,
N(INDEX('PORTIFÓLIO'!$J$4:$Q$564,,MATCH(P$2,'PORTIFÓLIO'!$J$3:$Q$3,0))) *
N('PORTIFÓLIO'!$S$4:$S$564),
0
)
),
0)</f>
        <v>0</v>
      </c>
      <c r="Q272" s="49">
        <f t="shared" si="12"/>
        <v>0</v>
      </c>
      <c r="R272" s="49">
        <f t="shared" si="2"/>
        <v>0</v>
      </c>
      <c r="S272" s="49">
        <f t="shared" si="13"/>
        <v>0</v>
      </c>
    </row>
    <row r="273" ht="15.75" hidden="1" customHeight="1" outlineLevel="1">
      <c r="A273" s="48"/>
      <c r="B273" s="49">
        <f t="array" ref="B273">IFERROR(
SUM(
IF(
'PORTIFÓLIO'!$C$4:$C$564=$A273,
N(INDEX('PORTIFÓLIO'!$J$4:$Q$564,,MATCH(B$2,'PORTIFÓLIO'!$J$3:$Q$3,0))) *
N('PORTIFÓLIO'!$S$4:$S$564),
0
)
),
0)</f>
        <v>0</v>
      </c>
      <c r="C273" s="49">
        <f t="shared" si="5"/>
        <v>0</v>
      </c>
      <c r="D273" s="49">
        <f t="array" ref="D273">IFERROR(
SUM(
IF(
'PORTIFÓLIO'!$C$4:$C$564=$A273,
N(INDEX('PORTIFÓLIO'!$J$4:$Q$564,,MATCH(D$2,'PORTIFÓLIO'!$J$3:$Q$3,0))) *
N('PORTIFÓLIO'!$S$4:$S$564),
0
)
),
0)</f>
        <v>0</v>
      </c>
      <c r="E273" s="49">
        <f t="shared" si="6"/>
        <v>0</v>
      </c>
      <c r="F273" s="49">
        <f t="array" ref="F273">IFERROR(
SUM(
IF(
'PORTIFÓLIO'!$C$4:$C$564=$A273,
N(INDEX('PORTIFÓLIO'!$J$4:$Q$564,,MATCH(F$2,'PORTIFÓLIO'!$J$3:$Q$3,0))) *
N('PORTIFÓLIO'!$S$4:$S$564),
0
)
),
0)</f>
        <v>0</v>
      </c>
      <c r="G273" s="47">
        <f t="shared" si="7"/>
        <v>0</v>
      </c>
      <c r="H273" s="49">
        <f t="array" ref="H273">IFERROR(
SUM(
IF(
'PORTIFÓLIO'!$C$4:$C$564=$A273,
N(INDEX('PORTIFÓLIO'!$J$4:$Q$564,,MATCH(H$2,'PORTIFÓLIO'!$J$3:$Q$3,0))) *
N('PORTIFÓLIO'!$S$4:$S$564),
0
)
),
0)</f>
        <v>0</v>
      </c>
      <c r="I273" s="47">
        <f t="shared" si="8"/>
        <v>0</v>
      </c>
      <c r="J273" s="49">
        <f t="array" ref="J273">IFERROR(
SUM(
IF(
'PORTIFÓLIO'!$C$4:$C$564=$A273,
N(INDEX('PORTIFÓLIO'!$J$4:$Q$564,,MATCH(J$2,'PORTIFÓLIO'!$J$3:$Q$3,0))) *
N('PORTIFÓLIO'!$S$4:$S$564),
0
)
),
0)</f>
        <v>0</v>
      </c>
      <c r="K273" s="47">
        <f t="shared" si="9"/>
        <v>0</v>
      </c>
      <c r="L273" s="49">
        <f t="array" ref="L273">IFERROR(
SUM(
IF(
'PORTIFÓLIO'!$C$4:$C$564=$A273,
N(INDEX('PORTIFÓLIO'!$J$4:$Q$564,,MATCH(L$2,'PORTIFÓLIO'!$J$3:$Q$3,0))) *
N('PORTIFÓLIO'!$S$4:$S$564),
0
)
),
0)</f>
        <v>0</v>
      </c>
      <c r="M273" s="47">
        <f t="shared" si="10"/>
        <v>0</v>
      </c>
      <c r="N273" s="49">
        <f t="array" ref="N273">IFERROR(
SUM(
IF(
'PORTIFÓLIO'!$C$4:$C$564=$A273,
N(INDEX('PORTIFÓLIO'!$J$4:$Q$564,,MATCH(N$2,'PORTIFÓLIO'!$J$3:$Q$3,0))) *
N('PORTIFÓLIO'!$S$4:$S$564),
0
)
),
0)</f>
        <v>0</v>
      </c>
      <c r="O273" s="49">
        <f t="shared" si="11"/>
        <v>0</v>
      </c>
      <c r="P273" s="49">
        <f t="array" ref="P273">IFERROR(
SUM(
IF(
'PORTIFÓLIO'!$C$4:$C$564=$A273,
N(INDEX('PORTIFÓLIO'!$J$4:$Q$564,,MATCH(P$2,'PORTIFÓLIO'!$J$3:$Q$3,0))) *
N('PORTIFÓLIO'!$S$4:$S$564),
0
)
),
0)</f>
        <v>0</v>
      </c>
      <c r="Q273" s="49">
        <f t="shared" si="12"/>
        <v>0</v>
      </c>
      <c r="R273" s="49">
        <f t="shared" si="2"/>
        <v>0</v>
      </c>
      <c r="S273" s="49">
        <f t="shared" si="13"/>
        <v>0</v>
      </c>
    </row>
    <row r="274" ht="15.75" hidden="1" customHeight="1" outlineLevel="1">
      <c r="A274" s="48"/>
      <c r="B274" s="49">
        <f t="array" ref="B274">IFERROR(
SUM(
IF(
'PORTIFÓLIO'!$C$4:$C$564=$A274,
N(INDEX('PORTIFÓLIO'!$J$4:$Q$564,,MATCH(B$2,'PORTIFÓLIO'!$J$3:$Q$3,0))) *
N('PORTIFÓLIO'!$S$4:$S$564),
0
)
),
0)</f>
        <v>0</v>
      </c>
      <c r="C274" s="49">
        <f t="shared" si="5"/>
        <v>0</v>
      </c>
      <c r="D274" s="49">
        <f t="array" ref="D274">IFERROR(
SUM(
IF(
'PORTIFÓLIO'!$C$4:$C$564=$A274,
N(INDEX('PORTIFÓLIO'!$J$4:$Q$564,,MATCH(D$2,'PORTIFÓLIO'!$J$3:$Q$3,0))) *
N('PORTIFÓLIO'!$S$4:$S$564),
0
)
),
0)</f>
        <v>0</v>
      </c>
      <c r="E274" s="49">
        <f t="shared" si="6"/>
        <v>0</v>
      </c>
      <c r="F274" s="49">
        <f t="array" ref="F274">IFERROR(
SUM(
IF(
'PORTIFÓLIO'!$C$4:$C$564=$A274,
N(INDEX('PORTIFÓLIO'!$J$4:$Q$564,,MATCH(F$2,'PORTIFÓLIO'!$J$3:$Q$3,0))) *
N('PORTIFÓLIO'!$S$4:$S$564),
0
)
),
0)</f>
        <v>0</v>
      </c>
      <c r="G274" s="47">
        <f t="shared" si="7"/>
        <v>0</v>
      </c>
      <c r="H274" s="49">
        <f t="array" ref="H274">IFERROR(
SUM(
IF(
'PORTIFÓLIO'!$C$4:$C$564=$A274,
N(INDEX('PORTIFÓLIO'!$J$4:$Q$564,,MATCH(H$2,'PORTIFÓLIO'!$J$3:$Q$3,0))) *
N('PORTIFÓLIO'!$S$4:$S$564),
0
)
),
0)</f>
        <v>0</v>
      </c>
      <c r="I274" s="47">
        <f t="shared" si="8"/>
        <v>0</v>
      </c>
      <c r="J274" s="49">
        <f t="array" ref="J274">IFERROR(
SUM(
IF(
'PORTIFÓLIO'!$C$4:$C$564=$A274,
N(INDEX('PORTIFÓLIO'!$J$4:$Q$564,,MATCH(J$2,'PORTIFÓLIO'!$J$3:$Q$3,0))) *
N('PORTIFÓLIO'!$S$4:$S$564),
0
)
),
0)</f>
        <v>0</v>
      </c>
      <c r="K274" s="47">
        <f t="shared" si="9"/>
        <v>0</v>
      </c>
      <c r="L274" s="49">
        <f t="array" ref="L274">IFERROR(
SUM(
IF(
'PORTIFÓLIO'!$C$4:$C$564=$A274,
N(INDEX('PORTIFÓLIO'!$J$4:$Q$564,,MATCH(L$2,'PORTIFÓLIO'!$J$3:$Q$3,0))) *
N('PORTIFÓLIO'!$S$4:$S$564),
0
)
),
0)</f>
        <v>0</v>
      </c>
      <c r="M274" s="47">
        <f t="shared" si="10"/>
        <v>0</v>
      </c>
      <c r="N274" s="49">
        <f t="array" ref="N274">IFERROR(
SUM(
IF(
'PORTIFÓLIO'!$C$4:$C$564=$A274,
N(INDEX('PORTIFÓLIO'!$J$4:$Q$564,,MATCH(N$2,'PORTIFÓLIO'!$J$3:$Q$3,0))) *
N('PORTIFÓLIO'!$S$4:$S$564),
0
)
),
0)</f>
        <v>0</v>
      </c>
      <c r="O274" s="49">
        <f t="shared" si="11"/>
        <v>0</v>
      </c>
      <c r="P274" s="49">
        <f t="array" ref="P274">IFERROR(
SUM(
IF(
'PORTIFÓLIO'!$C$4:$C$564=$A274,
N(INDEX('PORTIFÓLIO'!$J$4:$Q$564,,MATCH(P$2,'PORTIFÓLIO'!$J$3:$Q$3,0))) *
N('PORTIFÓLIO'!$S$4:$S$564),
0
)
),
0)</f>
        <v>0</v>
      </c>
      <c r="Q274" s="49">
        <f t="shared" si="12"/>
        <v>0</v>
      </c>
      <c r="R274" s="49">
        <f t="shared" si="2"/>
        <v>0</v>
      </c>
      <c r="S274" s="49">
        <f t="shared" si="13"/>
        <v>0</v>
      </c>
    </row>
    <row r="275" ht="15.75" hidden="1" customHeight="1" outlineLevel="1">
      <c r="A275" s="48"/>
      <c r="B275" s="49">
        <f t="array" ref="B275">IFERROR(
SUM(
IF(
'PORTIFÓLIO'!$C$4:$C$564=$A275,
N(INDEX('PORTIFÓLIO'!$J$4:$Q$564,,MATCH(B$2,'PORTIFÓLIO'!$J$3:$Q$3,0))) *
N('PORTIFÓLIO'!$S$4:$S$564),
0
)
),
0)</f>
        <v>0</v>
      </c>
      <c r="C275" s="49">
        <f t="shared" si="5"/>
        <v>0</v>
      </c>
      <c r="D275" s="49">
        <f t="array" ref="D275">IFERROR(
SUM(
IF(
'PORTIFÓLIO'!$C$4:$C$564=$A275,
N(INDEX('PORTIFÓLIO'!$J$4:$Q$564,,MATCH(D$2,'PORTIFÓLIO'!$J$3:$Q$3,0))) *
N('PORTIFÓLIO'!$S$4:$S$564),
0
)
),
0)</f>
        <v>0</v>
      </c>
      <c r="E275" s="49">
        <f t="shared" si="6"/>
        <v>0</v>
      </c>
      <c r="F275" s="49">
        <f t="array" ref="F275">IFERROR(
SUM(
IF(
'PORTIFÓLIO'!$C$4:$C$564=$A275,
N(INDEX('PORTIFÓLIO'!$J$4:$Q$564,,MATCH(F$2,'PORTIFÓLIO'!$J$3:$Q$3,0))) *
N('PORTIFÓLIO'!$S$4:$S$564),
0
)
),
0)</f>
        <v>0</v>
      </c>
      <c r="G275" s="47">
        <f t="shared" si="7"/>
        <v>0</v>
      </c>
      <c r="H275" s="49">
        <f t="array" ref="H275">IFERROR(
SUM(
IF(
'PORTIFÓLIO'!$C$4:$C$564=$A275,
N(INDEX('PORTIFÓLIO'!$J$4:$Q$564,,MATCH(H$2,'PORTIFÓLIO'!$J$3:$Q$3,0))) *
N('PORTIFÓLIO'!$S$4:$S$564),
0
)
),
0)</f>
        <v>0</v>
      </c>
      <c r="I275" s="47">
        <f t="shared" si="8"/>
        <v>0</v>
      </c>
      <c r="J275" s="49">
        <f t="array" ref="J275">IFERROR(
SUM(
IF(
'PORTIFÓLIO'!$C$4:$C$564=$A275,
N(INDEX('PORTIFÓLIO'!$J$4:$Q$564,,MATCH(J$2,'PORTIFÓLIO'!$J$3:$Q$3,0))) *
N('PORTIFÓLIO'!$S$4:$S$564),
0
)
),
0)</f>
        <v>0</v>
      </c>
      <c r="K275" s="47">
        <f t="shared" si="9"/>
        <v>0</v>
      </c>
      <c r="L275" s="49">
        <f t="array" ref="L275">IFERROR(
SUM(
IF(
'PORTIFÓLIO'!$C$4:$C$564=$A275,
N(INDEX('PORTIFÓLIO'!$J$4:$Q$564,,MATCH(L$2,'PORTIFÓLIO'!$J$3:$Q$3,0))) *
N('PORTIFÓLIO'!$S$4:$S$564),
0
)
),
0)</f>
        <v>0</v>
      </c>
      <c r="M275" s="47">
        <f t="shared" si="10"/>
        <v>0</v>
      </c>
      <c r="N275" s="49">
        <f t="array" ref="N275">IFERROR(
SUM(
IF(
'PORTIFÓLIO'!$C$4:$C$564=$A275,
N(INDEX('PORTIFÓLIO'!$J$4:$Q$564,,MATCH(N$2,'PORTIFÓLIO'!$J$3:$Q$3,0))) *
N('PORTIFÓLIO'!$S$4:$S$564),
0
)
),
0)</f>
        <v>0</v>
      </c>
      <c r="O275" s="49">
        <f t="shared" si="11"/>
        <v>0</v>
      </c>
      <c r="P275" s="49">
        <f t="array" ref="P275">IFERROR(
SUM(
IF(
'PORTIFÓLIO'!$C$4:$C$564=$A275,
N(INDEX('PORTIFÓLIO'!$J$4:$Q$564,,MATCH(P$2,'PORTIFÓLIO'!$J$3:$Q$3,0))) *
N('PORTIFÓLIO'!$S$4:$S$564),
0
)
),
0)</f>
        <v>0</v>
      </c>
      <c r="Q275" s="49">
        <f t="shared" si="12"/>
        <v>0</v>
      </c>
      <c r="R275" s="49">
        <f t="shared" si="2"/>
        <v>0</v>
      </c>
      <c r="S275" s="49">
        <f t="shared" si="13"/>
        <v>0</v>
      </c>
    </row>
    <row r="276" ht="15.75" hidden="1" customHeight="1" outlineLevel="1">
      <c r="A276" s="48"/>
      <c r="B276" s="49">
        <f t="array" ref="B276">IFERROR(
SUM(
IF(
'PORTIFÓLIO'!$C$4:$C$564=$A276,
N(INDEX('PORTIFÓLIO'!$J$4:$Q$564,,MATCH(B$2,'PORTIFÓLIO'!$J$3:$Q$3,0))) *
N('PORTIFÓLIO'!$S$4:$S$564),
0
)
),
0)</f>
        <v>0</v>
      </c>
      <c r="C276" s="49">
        <f t="shared" si="5"/>
        <v>0</v>
      </c>
      <c r="D276" s="49">
        <f t="array" ref="D276">IFERROR(
SUM(
IF(
'PORTIFÓLIO'!$C$4:$C$564=$A276,
N(INDEX('PORTIFÓLIO'!$J$4:$Q$564,,MATCH(D$2,'PORTIFÓLIO'!$J$3:$Q$3,0))) *
N('PORTIFÓLIO'!$S$4:$S$564),
0
)
),
0)</f>
        <v>0</v>
      </c>
      <c r="E276" s="49">
        <f t="shared" si="6"/>
        <v>0</v>
      </c>
      <c r="F276" s="49">
        <f t="array" ref="F276">IFERROR(
SUM(
IF(
'PORTIFÓLIO'!$C$4:$C$564=$A276,
N(INDEX('PORTIFÓLIO'!$J$4:$Q$564,,MATCH(F$2,'PORTIFÓLIO'!$J$3:$Q$3,0))) *
N('PORTIFÓLIO'!$S$4:$S$564),
0
)
),
0)</f>
        <v>0</v>
      </c>
      <c r="G276" s="47">
        <f t="shared" si="7"/>
        <v>0</v>
      </c>
      <c r="H276" s="49">
        <f t="array" ref="H276">IFERROR(
SUM(
IF(
'PORTIFÓLIO'!$C$4:$C$564=$A276,
N(INDEX('PORTIFÓLIO'!$J$4:$Q$564,,MATCH(H$2,'PORTIFÓLIO'!$J$3:$Q$3,0))) *
N('PORTIFÓLIO'!$S$4:$S$564),
0
)
),
0)</f>
        <v>0</v>
      </c>
      <c r="I276" s="47">
        <f t="shared" si="8"/>
        <v>0</v>
      </c>
      <c r="J276" s="49">
        <f t="array" ref="J276">IFERROR(
SUM(
IF(
'PORTIFÓLIO'!$C$4:$C$564=$A276,
N(INDEX('PORTIFÓLIO'!$J$4:$Q$564,,MATCH(J$2,'PORTIFÓLIO'!$J$3:$Q$3,0))) *
N('PORTIFÓLIO'!$S$4:$S$564),
0
)
),
0)</f>
        <v>0</v>
      </c>
      <c r="K276" s="47">
        <f t="shared" si="9"/>
        <v>0</v>
      </c>
      <c r="L276" s="49">
        <f t="array" ref="L276">IFERROR(
SUM(
IF(
'PORTIFÓLIO'!$C$4:$C$564=$A276,
N(INDEX('PORTIFÓLIO'!$J$4:$Q$564,,MATCH(L$2,'PORTIFÓLIO'!$J$3:$Q$3,0))) *
N('PORTIFÓLIO'!$S$4:$S$564),
0
)
),
0)</f>
        <v>0</v>
      </c>
      <c r="M276" s="47">
        <f t="shared" si="10"/>
        <v>0</v>
      </c>
      <c r="N276" s="49">
        <f t="array" ref="N276">IFERROR(
SUM(
IF(
'PORTIFÓLIO'!$C$4:$C$564=$A276,
N(INDEX('PORTIFÓLIO'!$J$4:$Q$564,,MATCH(N$2,'PORTIFÓLIO'!$J$3:$Q$3,0))) *
N('PORTIFÓLIO'!$S$4:$S$564),
0
)
),
0)</f>
        <v>0</v>
      </c>
      <c r="O276" s="49">
        <f t="shared" si="11"/>
        <v>0</v>
      </c>
      <c r="P276" s="49">
        <f t="array" ref="P276">IFERROR(
SUM(
IF(
'PORTIFÓLIO'!$C$4:$C$564=$A276,
N(INDEX('PORTIFÓLIO'!$J$4:$Q$564,,MATCH(P$2,'PORTIFÓLIO'!$J$3:$Q$3,0))) *
N('PORTIFÓLIO'!$S$4:$S$564),
0
)
),
0)</f>
        <v>0</v>
      </c>
      <c r="Q276" s="49">
        <f t="shared" si="12"/>
        <v>0</v>
      </c>
      <c r="R276" s="49">
        <f t="shared" si="2"/>
        <v>0</v>
      </c>
      <c r="S276" s="49">
        <f t="shared" si="13"/>
        <v>0</v>
      </c>
    </row>
    <row r="277" ht="15.75" hidden="1" customHeight="1" outlineLevel="1">
      <c r="A277" s="48"/>
      <c r="B277" s="49">
        <f t="array" ref="B277">IFERROR(
SUM(
IF(
'PORTIFÓLIO'!$C$4:$C$564=$A277,
N(INDEX('PORTIFÓLIO'!$J$4:$Q$564,,MATCH(B$2,'PORTIFÓLIO'!$J$3:$Q$3,0))) *
N('PORTIFÓLIO'!$S$4:$S$564),
0
)
),
0)</f>
        <v>0</v>
      </c>
      <c r="C277" s="49">
        <f t="shared" si="5"/>
        <v>0</v>
      </c>
      <c r="D277" s="49">
        <f t="array" ref="D277">IFERROR(
SUM(
IF(
'PORTIFÓLIO'!$C$4:$C$564=$A277,
N(INDEX('PORTIFÓLIO'!$J$4:$Q$564,,MATCH(D$2,'PORTIFÓLIO'!$J$3:$Q$3,0))) *
N('PORTIFÓLIO'!$S$4:$S$564),
0
)
),
0)</f>
        <v>0</v>
      </c>
      <c r="E277" s="49">
        <f t="shared" si="6"/>
        <v>0</v>
      </c>
      <c r="F277" s="49">
        <f t="array" ref="F277">IFERROR(
SUM(
IF(
'PORTIFÓLIO'!$C$4:$C$564=$A277,
N(INDEX('PORTIFÓLIO'!$J$4:$Q$564,,MATCH(F$2,'PORTIFÓLIO'!$J$3:$Q$3,0))) *
N('PORTIFÓLIO'!$S$4:$S$564),
0
)
),
0)</f>
        <v>0</v>
      </c>
      <c r="G277" s="47">
        <f t="shared" si="7"/>
        <v>0</v>
      </c>
      <c r="H277" s="49">
        <f t="array" ref="H277">IFERROR(
SUM(
IF(
'PORTIFÓLIO'!$C$4:$C$564=$A277,
N(INDEX('PORTIFÓLIO'!$J$4:$Q$564,,MATCH(H$2,'PORTIFÓLIO'!$J$3:$Q$3,0))) *
N('PORTIFÓLIO'!$S$4:$S$564),
0
)
),
0)</f>
        <v>0</v>
      </c>
      <c r="I277" s="47">
        <f t="shared" si="8"/>
        <v>0</v>
      </c>
      <c r="J277" s="49">
        <f t="array" ref="J277">IFERROR(
SUM(
IF(
'PORTIFÓLIO'!$C$4:$C$564=$A277,
N(INDEX('PORTIFÓLIO'!$J$4:$Q$564,,MATCH(J$2,'PORTIFÓLIO'!$J$3:$Q$3,0))) *
N('PORTIFÓLIO'!$S$4:$S$564),
0
)
),
0)</f>
        <v>0</v>
      </c>
      <c r="K277" s="47">
        <f t="shared" si="9"/>
        <v>0</v>
      </c>
      <c r="L277" s="49">
        <f t="array" ref="L277">IFERROR(
SUM(
IF(
'PORTIFÓLIO'!$C$4:$C$564=$A277,
N(INDEX('PORTIFÓLIO'!$J$4:$Q$564,,MATCH(L$2,'PORTIFÓLIO'!$J$3:$Q$3,0))) *
N('PORTIFÓLIO'!$S$4:$S$564),
0
)
),
0)</f>
        <v>0</v>
      </c>
      <c r="M277" s="47">
        <f t="shared" si="10"/>
        <v>0</v>
      </c>
      <c r="N277" s="49">
        <f t="array" ref="N277">IFERROR(
SUM(
IF(
'PORTIFÓLIO'!$C$4:$C$564=$A277,
N(INDEX('PORTIFÓLIO'!$J$4:$Q$564,,MATCH(N$2,'PORTIFÓLIO'!$J$3:$Q$3,0))) *
N('PORTIFÓLIO'!$S$4:$S$564),
0
)
),
0)</f>
        <v>0</v>
      </c>
      <c r="O277" s="49">
        <f t="shared" si="11"/>
        <v>0</v>
      </c>
      <c r="P277" s="49">
        <f t="array" ref="P277">IFERROR(
SUM(
IF(
'PORTIFÓLIO'!$C$4:$C$564=$A277,
N(INDEX('PORTIFÓLIO'!$J$4:$Q$564,,MATCH(P$2,'PORTIFÓLIO'!$J$3:$Q$3,0))) *
N('PORTIFÓLIO'!$S$4:$S$564),
0
)
),
0)</f>
        <v>0</v>
      </c>
      <c r="Q277" s="49">
        <f t="shared" si="12"/>
        <v>0</v>
      </c>
      <c r="R277" s="49">
        <f t="shared" si="2"/>
        <v>0</v>
      </c>
      <c r="S277" s="49">
        <f t="shared" si="13"/>
        <v>0</v>
      </c>
    </row>
    <row r="278" ht="15.75" hidden="1" customHeight="1" outlineLevel="1">
      <c r="A278" s="48"/>
      <c r="B278" s="49">
        <f t="array" ref="B278">IFERROR(
SUM(
IF(
'PORTIFÓLIO'!$C$4:$C$564=$A278,
N(INDEX('PORTIFÓLIO'!$J$4:$Q$564,,MATCH(B$2,'PORTIFÓLIO'!$J$3:$Q$3,0))) *
N('PORTIFÓLIO'!$S$4:$S$564),
0
)
),
0)</f>
        <v>0</v>
      </c>
      <c r="C278" s="49">
        <f t="shared" si="5"/>
        <v>0</v>
      </c>
      <c r="D278" s="49">
        <f t="array" ref="D278">IFERROR(
SUM(
IF(
'PORTIFÓLIO'!$C$4:$C$564=$A278,
N(INDEX('PORTIFÓLIO'!$J$4:$Q$564,,MATCH(D$2,'PORTIFÓLIO'!$J$3:$Q$3,0))) *
N('PORTIFÓLIO'!$S$4:$S$564),
0
)
),
0)</f>
        <v>0</v>
      </c>
      <c r="E278" s="49">
        <f t="shared" si="6"/>
        <v>0</v>
      </c>
      <c r="F278" s="49">
        <f t="array" ref="F278">IFERROR(
SUM(
IF(
'PORTIFÓLIO'!$C$4:$C$564=$A278,
N(INDEX('PORTIFÓLIO'!$J$4:$Q$564,,MATCH(F$2,'PORTIFÓLIO'!$J$3:$Q$3,0))) *
N('PORTIFÓLIO'!$S$4:$S$564),
0
)
),
0)</f>
        <v>0</v>
      </c>
      <c r="G278" s="47">
        <f t="shared" si="7"/>
        <v>0</v>
      </c>
      <c r="H278" s="49">
        <f t="array" ref="H278">IFERROR(
SUM(
IF(
'PORTIFÓLIO'!$C$4:$C$564=$A278,
N(INDEX('PORTIFÓLIO'!$J$4:$Q$564,,MATCH(H$2,'PORTIFÓLIO'!$J$3:$Q$3,0))) *
N('PORTIFÓLIO'!$S$4:$S$564),
0
)
),
0)</f>
        <v>0</v>
      </c>
      <c r="I278" s="47">
        <f t="shared" si="8"/>
        <v>0</v>
      </c>
      <c r="J278" s="49">
        <f t="array" ref="J278">IFERROR(
SUM(
IF(
'PORTIFÓLIO'!$C$4:$C$564=$A278,
N(INDEX('PORTIFÓLIO'!$J$4:$Q$564,,MATCH(J$2,'PORTIFÓLIO'!$J$3:$Q$3,0))) *
N('PORTIFÓLIO'!$S$4:$S$564),
0
)
),
0)</f>
        <v>0</v>
      </c>
      <c r="K278" s="47">
        <f t="shared" si="9"/>
        <v>0</v>
      </c>
      <c r="L278" s="49">
        <f t="array" ref="L278">IFERROR(
SUM(
IF(
'PORTIFÓLIO'!$C$4:$C$564=$A278,
N(INDEX('PORTIFÓLIO'!$J$4:$Q$564,,MATCH(L$2,'PORTIFÓLIO'!$J$3:$Q$3,0))) *
N('PORTIFÓLIO'!$S$4:$S$564),
0
)
),
0)</f>
        <v>0</v>
      </c>
      <c r="M278" s="47">
        <f t="shared" si="10"/>
        <v>0</v>
      </c>
      <c r="N278" s="49">
        <f t="array" ref="N278">IFERROR(
SUM(
IF(
'PORTIFÓLIO'!$C$4:$C$564=$A278,
N(INDEX('PORTIFÓLIO'!$J$4:$Q$564,,MATCH(N$2,'PORTIFÓLIO'!$J$3:$Q$3,0))) *
N('PORTIFÓLIO'!$S$4:$S$564),
0
)
),
0)</f>
        <v>0</v>
      </c>
      <c r="O278" s="49">
        <f t="shared" si="11"/>
        <v>0</v>
      </c>
      <c r="P278" s="49">
        <f t="array" ref="P278">IFERROR(
SUM(
IF(
'PORTIFÓLIO'!$C$4:$C$564=$A278,
N(INDEX('PORTIFÓLIO'!$J$4:$Q$564,,MATCH(P$2,'PORTIFÓLIO'!$J$3:$Q$3,0))) *
N('PORTIFÓLIO'!$S$4:$S$564),
0
)
),
0)</f>
        <v>0</v>
      </c>
      <c r="Q278" s="49">
        <f t="shared" si="12"/>
        <v>0</v>
      </c>
      <c r="R278" s="49">
        <f t="shared" si="2"/>
        <v>0</v>
      </c>
      <c r="S278" s="49">
        <f t="shared" si="13"/>
        <v>0</v>
      </c>
    </row>
    <row r="279" ht="15.75" hidden="1" customHeight="1" outlineLevel="1">
      <c r="A279" s="48"/>
      <c r="B279" s="49">
        <f t="array" ref="B279">IFERROR(
SUM(
IF(
'PORTIFÓLIO'!$C$4:$C$564=$A279,
N(INDEX('PORTIFÓLIO'!$J$4:$Q$564,,MATCH(B$2,'PORTIFÓLIO'!$J$3:$Q$3,0))) *
N('PORTIFÓLIO'!$S$4:$S$564),
0
)
),
0)</f>
        <v>0</v>
      </c>
      <c r="C279" s="49">
        <f t="shared" si="5"/>
        <v>0</v>
      </c>
      <c r="D279" s="49">
        <f t="array" ref="D279">IFERROR(
SUM(
IF(
'PORTIFÓLIO'!$C$4:$C$564=$A279,
N(INDEX('PORTIFÓLIO'!$J$4:$Q$564,,MATCH(D$2,'PORTIFÓLIO'!$J$3:$Q$3,0))) *
N('PORTIFÓLIO'!$S$4:$S$564),
0
)
),
0)</f>
        <v>0</v>
      </c>
      <c r="E279" s="49">
        <f t="shared" si="6"/>
        <v>0</v>
      </c>
      <c r="F279" s="49">
        <f t="array" ref="F279">IFERROR(
SUM(
IF(
'PORTIFÓLIO'!$C$4:$C$564=$A279,
N(INDEX('PORTIFÓLIO'!$J$4:$Q$564,,MATCH(F$2,'PORTIFÓLIO'!$J$3:$Q$3,0))) *
N('PORTIFÓLIO'!$S$4:$S$564),
0
)
),
0)</f>
        <v>0</v>
      </c>
      <c r="G279" s="47">
        <f t="shared" si="7"/>
        <v>0</v>
      </c>
      <c r="H279" s="49">
        <f t="array" ref="H279">IFERROR(
SUM(
IF(
'PORTIFÓLIO'!$C$4:$C$564=$A279,
N(INDEX('PORTIFÓLIO'!$J$4:$Q$564,,MATCH(H$2,'PORTIFÓLIO'!$J$3:$Q$3,0))) *
N('PORTIFÓLIO'!$S$4:$S$564),
0
)
),
0)</f>
        <v>0</v>
      </c>
      <c r="I279" s="47">
        <f t="shared" si="8"/>
        <v>0</v>
      </c>
      <c r="J279" s="49">
        <f t="array" ref="J279">IFERROR(
SUM(
IF(
'PORTIFÓLIO'!$C$4:$C$564=$A279,
N(INDEX('PORTIFÓLIO'!$J$4:$Q$564,,MATCH(J$2,'PORTIFÓLIO'!$J$3:$Q$3,0))) *
N('PORTIFÓLIO'!$S$4:$S$564),
0
)
),
0)</f>
        <v>0</v>
      </c>
      <c r="K279" s="47">
        <f t="shared" si="9"/>
        <v>0</v>
      </c>
      <c r="L279" s="49">
        <f t="array" ref="L279">IFERROR(
SUM(
IF(
'PORTIFÓLIO'!$C$4:$C$564=$A279,
N(INDEX('PORTIFÓLIO'!$J$4:$Q$564,,MATCH(L$2,'PORTIFÓLIO'!$J$3:$Q$3,0))) *
N('PORTIFÓLIO'!$S$4:$S$564),
0
)
),
0)</f>
        <v>0</v>
      </c>
      <c r="M279" s="47">
        <f t="shared" si="10"/>
        <v>0</v>
      </c>
      <c r="N279" s="49">
        <f t="array" ref="N279">IFERROR(
SUM(
IF(
'PORTIFÓLIO'!$C$4:$C$564=$A279,
N(INDEX('PORTIFÓLIO'!$J$4:$Q$564,,MATCH(N$2,'PORTIFÓLIO'!$J$3:$Q$3,0))) *
N('PORTIFÓLIO'!$S$4:$S$564),
0
)
),
0)</f>
        <v>0</v>
      </c>
      <c r="O279" s="49">
        <f t="shared" si="11"/>
        <v>0</v>
      </c>
      <c r="P279" s="49">
        <f t="array" ref="P279">IFERROR(
SUM(
IF(
'PORTIFÓLIO'!$C$4:$C$564=$A279,
N(INDEX('PORTIFÓLIO'!$J$4:$Q$564,,MATCH(P$2,'PORTIFÓLIO'!$J$3:$Q$3,0))) *
N('PORTIFÓLIO'!$S$4:$S$564),
0
)
),
0)</f>
        <v>0</v>
      </c>
      <c r="Q279" s="49">
        <f t="shared" si="12"/>
        <v>0</v>
      </c>
      <c r="R279" s="49">
        <f t="shared" si="2"/>
        <v>0</v>
      </c>
      <c r="S279" s="49">
        <f t="shared" si="13"/>
        <v>0</v>
      </c>
    </row>
    <row r="280" ht="15.75" hidden="1" customHeight="1" outlineLevel="1">
      <c r="A280" s="48"/>
      <c r="B280" s="49">
        <f t="array" ref="B280">IFERROR(
SUM(
IF(
'PORTIFÓLIO'!$C$4:$C$564=$A280,
N(INDEX('PORTIFÓLIO'!$J$4:$Q$564,,MATCH(B$2,'PORTIFÓLIO'!$J$3:$Q$3,0))) *
N('PORTIFÓLIO'!$S$4:$S$564),
0
)
),
0)</f>
        <v>0</v>
      </c>
      <c r="C280" s="49">
        <f t="shared" si="5"/>
        <v>0</v>
      </c>
      <c r="D280" s="49">
        <f t="array" ref="D280">IFERROR(
SUM(
IF(
'PORTIFÓLIO'!$C$4:$C$564=$A280,
N(INDEX('PORTIFÓLIO'!$J$4:$Q$564,,MATCH(D$2,'PORTIFÓLIO'!$J$3:$Q$3,0))) *
N('PORTIFÓLIO'!$S$4:$S$564),
0
)
),
0)</f>
        <v>0</v>
      </c>
      <c r="E280" s="49">
        <f t="shared" si="6"/>
        <v>0</v>
      </c>
      <c r="F280" s="49">
        <f t="array" ref="F280">IFERROR(
SUM(
IF(
'PORTIFÓLIO'!$C$4:$C$564=$A280,
N(INDEX('PORTIFÓLIO'!$J$4:$Q$564,,MATCH(F$2,'PORTIFÓLIO'!$J$3:$Q$3,0))) *
N('PORTIFÓLIO'!$S$4:$S$564),
0
)
),
0)</f>
        <v>0</v>
      </c>
      <c r="G280" s="47">
        <f t="shared" si="7"/>
        <v>0</v>
      </c>
      <c r="H280" s="49">
        <f t="array" ref="H280">IFERROR(
SUM(
IF(
'PORTIFÓLIO'!$C$4:$C$564=$A280,
N(INDEX('PORTIFÓLIO'!$J$4:$Q$564,,MATCH(H$2,'PORTIFÓLIO'!$J$3:$Q$3,0))) *
N('PORTIFÓLIO'!$S$4:$S$564),
0
)
),
0)</f>
        <v>0</v>
      </c>
      <c r="I280" s="47">
        <f t="shared" si="8"/>
        <v>0</v>
      </c>
      <c r="J280" s="49">
        <f t="array" ref="J280">IFERROR(
SUM(
IF(
'PORTIFÓLIO'!$C$4:$C$564=$A280,
N(INDEX('PORTIFÓLIO'!$J$4:$Q$564,,MATCH(J$2,'PORTIFÓLIO'!$J$3:$Q$3,0))) *
N('PORTIFÓLIO'!$S$4:$S$564),
0
)
),
0)</f>
        <v>0</v>
      </c>
      <c r="K280" s="47">
        <f t="shared" si="9"/>
        <v>0</v>
      </c>
      <c r="L280" s="49">
        <f t="array" ref="L280">IFERROR(
SUM(
IF(
'PORTIFÓLIO'!$C$4:$C$564=$A280,
N(INDEX('PORTIFÓLIO'!$J$4:$Q$564,,MATCH(L$2,'PORTIFÓLIO'!$J$3:$Q$3,0))) *
N('PORTIFÓLIO'!$S$4:$S$564),
0
)
),
0)</f>
        <v>0</v>
      </c>
      <c r="M280" s="47">
        <f t="shared" si="10"/>
        <v>0</v>
      </c>
      <c r="N280" s="49">
        <f t="array" ref="N280">IFERROR(
SUM(
IF(
'PORTIFÓLIO'!$C$4:$C$564=$A280,
N(INDEX('PORTIFÓLIO'!$J$4:$Q$564,,MATCH(N$2,'PORTIFÓLIO'!$J$3:$Q$3,0))) *
N('PORTIFÓLIO'!$S$4:$S$564),
0
)
),
0)</f>
        <v>0</v>
      </c>
      <c r="O280" s="49">
        <f t="shared" si="11"/>
        <v>0</v>
      </c>
      <c r="P280" s="49">
        <f t="array" ref="P280">IFERROR(
SUM(
IF(
'PORTIFÓLIO'!$C$4:$C$564=$A280,
N(INDEX('PORTIFÓLIO'!$J$4:$Q$564,,MATCH(P$2,'PORTIFÓLIO'!$J$3:$Q$3,0))) *
N('PORTIFÓLIO'!$S$4:$S$564),
0
)
),
0)</f>
        <v>0</v>
      </c>
      <c r="Q280" s="49">
        <f t="shared" si="12"/>
        <v>0</v>
      </c>
      <c r="R280" s="49">
        <f t="shared" si="2"/>
        <v>0</v>
      </c>
      <c r="S280" s="49">
        <f t="shared" si="13"/>
        <v>0</v>
      </c>
    </row>
    <row r="281" ht="15.75" hidden="1" customHeight="1" outlineLevel="1">
      <c r="A281" s="48"/>
      <c r="B281" s="49">
        <f t="array" ref="B281">IFERROR(
SUM(
IF(
'PORTIFÓLIO'!$C$4:$C$564=$A281,
N(INDEX('PORTIFÓLIO'!$J$4:$Q$564,,MATCH(B$2,'PORTIFÓLIO'!$J$3:$Q$3,0))) *
N('PORTIFÓLIO'!$S$4:$S$564),
0
)
),
0)</f>
        <v>0</v>
      </c>
      <c r="C281" s="49">
        <f t="shared" si="5"/>
        <v>0</v>
      </c>
      <c r="D281" s="49">
        <f t="array" ref="D281">IFERROR(
SUM(
IF(
'PORTIFÓLIO'!$C$4:$C$564=$A281,
N(INDEX('PORTIFÓLIO'!$J$4:$Q$564,,MATCH(D$2,'PORTIFÓLIO'!$J$3:$Q$3,0))) *
N('PORTIFÓLIO'!$S$4:$S$564),
0
)
),
0)</f>
        <v>0</v>
      </c>
      <c r="E281" s="49">
        <f t="shared" si="6"/>
        <v>0</v>
      </c>
      <c r="F281" s="49">
        <f t="array" ref="F281">IFERROR(
SUM(
IF(
'PORTIFÓLIO'!$C$4:$C$564=$A281,
N(INDEX('PORTIFÓLIO'!$J$4:$Q$564,,MATCH(F$2,'PORTIFÓLIO'!$J$3:$Q$3,0))) *
N('PORTIFÓLIO'!$S$4:$S$564),
0
)
),
0)</f>
        <v>0</v>
      </c>
      <c r="G281" s="47">
        <f t="shared" si="7"/>
        <v>0</v>
      </c>
      <c r="H281" s="49">
        <f t="array" ref="H281">IFERROR(
SUM(
IF(
'PORTIFÓLIO'!$C$4:$C$564=$A281,
N(INDEX('PORTIFÓLIO'!$J$4:$Q$564,,MATCH(H$2,'PORTIFÓLIO'!$J$3:$Q$3,0))) *
N('PORTIFÓLIO'!$S$4:$S$564),
0
)
),
0)</f>
        <v>0</v>
      </c>
      <c r="I281" s="47">
        <f t="shared" si="8"/>
        <v>0</v>
      </c>
      <c r="J281" s="49">
        <f t="array" ref="J281">IFERROR(
SUM(
IF(
'PORTIFÓLIO'!$C$4:$C$564=$A281,
N(INDEX('PORTIFÓLIO'!$J$4:$Q$564,,MATCH(J$2,'PORTIFÓLIO'!$J$3:$Q$3,0))) *
N('PORTIFÓLIO'!$S$4:$S$564),
0
)
),
0)</f>
        <v>0</v>
      </c>
      <c r="K281" s="47">
        <f t="shared" si="9"/>
        <v>0</v>
      </c>
      <c r="L281" s="49">
        <f t="array" ref="L281">IFERROR(
SUM(
IF(
'PORTIFÓLIO'!$C$4:$C$564=$A281,
N(INDEX('PORTIFÓLIO'!$J$4:$Q$564,,MATCH(L$2,'PORTIFÓLIO'!$J$3:$Q$3,0))) *
N('PORTIFÓLIO'!$S$4:$S$564),
0
)
),
0)</f>
        <v>0</v>
      </c>
      <c r="M281" s="47">
        <f t="shared" si="10"/>
        <v>0</v>
      </c>
      <c r="N281" s="49">
        <f t="array" ref="N281">IFERROR(
SUM(
IF(
'PORTIFÓLIO'!$C$4:$C$564=$A281,
N(INDEX('PORTIFÓLIO'!$J$4:$Q$564,,MATCH(N$2,'PORTIFÓLIO'!$J$3:$Q$3,0))) *
N('PORTIFÓLIO'!$S$4:$S$564),
0
)
),
0)</f>
        <v>0</v>
      </c>
      <c r="O281" s="49">
        <f t="shared" si="11"/>
        <v>0</v>
      </c>
      <c r="P281" s="49">
        <f t="array" ref="P281">IFERROR(
SUM(
IF(
'PORTIFÓLIO'!$C$4:$C$564=$A281,
N(INDEX('PORTIFÓLIO'!$J$4:$Q$564,,MATCH(P$2,'PORTIFÓLIO'!$J$3:$Q$3,0))) *
N('PORTIFÓLIO'!$S$4:$S$564),
0
)
),
0)</f>
        <v>0</v>
      </c>
      <c r="Q281" s="49">
        <f t="shared" si="12"/>
        <v>0</v>
      </c>
      <c r="R281" s="49">
        <f t="shared" si="2"/>
        <v>0</v>
      </c>
      <c r="S281" s="49">
        <f t="shared" si="13"/>
        <v>0</v>
      </c>
    </row>
    <row r="282" ht="15.75" hidden="1" customHeight="1" outlineLevel="1">
      <c r="A282" s="48"/>
      <c r="B282" s="49">
        <f t="array" ref="B282">IFERROR(
SUM(
IF(
'PORTIFÓLIO'!$C$4:$C$564=$A282,
N(INDEX('PORTIFÓLIO'!$J$4:$Q$564,,MATCH(B$2,'PORTIFÓLIO'!$J$3:$Q$3,0))) *
N('PORTIFÓLIO'!$S$4:$S$564),
0
)
),
0)</f>
        <v>0</v>
      </c>
      <c r="C282" s="49">
        <f t="shared" si="5"/>
        <v>0</v>
      </c>
      <c r="D282" s="49">
        <f t="array" ref="D282">IFERROR(
SUM(
IF(
'PORTIFÓLIO'!$C$4:$C$564=$A282,
N(INDEX('PORTIFÓLIO'!$J$4:$Q$564,,MATCH(D$2,'PORTIFÓLIO'!$J$3:$Q$3,0))) *
N('PORTIFÓLIO'!$S$4:$S$564),
0
)
),
0)</f>
        <v>0</v>
      </c>
      <c r="E282" s="49">
        <f t="shared" si="6"/>
        <v>0</v>
      </c>
      <c r="F282" s="49">
        <f t="array" ref="F282">IFERROR(
SUM(
IF(
'PORTIFÓLIO'!$C$4:$C$564=$A282,
N(INDEX('PORTIFÓLIO'!$J$4:$Q$564,,MATCH(F$2,'PORTIFÓLIO'!$J$3:$Q$3,0))) *
N('PORTIFÓLIO'!$S$4:$S$564),
0
)
),
0)</f>
        <v>0</v>
      </c>
      <c r="G282" s="47">
        <f t="shared" si="7"/>
        <v>0</v>
      </c>
      <c r="H282" s="49">
        <f t="array" ref="H282">IFERROR(
SUM(
IF(
'PORTIFÓLIO'!$C$4:$C$564=$A282,
N(INDEX('PORTIFÓLIO'!$J$4:$Q$564,,MATCH(H$2,'PORTIFÓLIO'!$J$3:$Q$3,0))) *
N('PORTIFÓLIO'!$S$4:$S$564),
0
)
),
0)</f>
        <v>0</v>
      </c>
      <c r="I282" s="47">
        <f t="shared" si="8"/>
        <v>0</v>
      </c>
      <c r="J282" s="49">
        <f t="array" ref="J282">IFERROR(
SUM(
IF(
'PORTIFÓLIO'!$C$4:$C$564=$A282,
N(INDEX('PORTIFÓLIO'!$J$4:$Q$564,,MATCH(J$2,'PORTIFÓLIO'!$J$3:$Q$3,0))) *
N('PORTIFÓLIO'!$S$4:$S$564),
0
)
),
0)</f>
        <v>0</v>
      </c>
      <c r="K282" s="47">
        <f t="shared" si="9"/>
        <v>0</v>
      </c>
      <c r="L282" s="49">
        <f t="array" ref="L282">IFERROR(
SUM(
IF(
'PORTIFÓLIO'!$C$4:$C$564=$A282,
N(INDEX('PORTIFÓLIO'!$J$4:$Q$564,,MATCH(L$2,'PORTIFÓLIO'!$J$3:$Q$3,0))) *
N('PORTIFÓLIO'!$S$4:$S$564),
0
)
),
0)</f>
        <v>0</v>
      </c>
      <c r="M282" s="47">
        <f t="shared" si="10"/>
        <v>0</v>
      </c>
      <c r="N282" s="49">
        <f t="array" ref="N282">IFERROR(
SUM(
IF(
'PORTIFÓLIO'!$C$4:$C$564=$A282,
N(INDEX('PORTIFÓLIO'!$J$4:$Q$564,,MATCH(N$2,'PORTIFÓLIO'!$J$3:$Q$3,0))) *
N('PORTIFÓLIO'!$S$4:$S$564),
0
)
),
0)</f>
        <v>0</v>
      </c>
      <c r="O282" s="49">
        <f t="shared" si="11"/>
        <v>0</v>
      </c>
      <c r="P282" s="49">
        <f t="array" ref="P282">IFERROR(
SUM(
IF(
'PORTIFÓLIO'!$C$4:$C$564=$A282,
N(INDEX('PORTIFÓLIO'!$J$4:$Q$564,,MATCH(P$2,'PORTIFÓLIO'!$J$3:$Q$3,0))) *
N('PORTIFÓLIO'!$S$4:$S$564),
0
)
),
0)</f>
        <v>0</v>
      </c>
      <c r="Q282" s="49">
        <f t="shared" si="12"/>
        <v>0</v>
      </c>
      <c r="R282" s="49">
        <f t="shared" si="2"/>
        <v>0</v>
      </c>
      <c r="S282" s="49">
        <f t="shared" si="13"/>
        <v>0</v>
      </c>
    </row>
    <row r="283" ht="15.75" hidden="1" customHeight="1" outlineLevel="1">
      <c r="A283" s="48"/>
      <c r="B283" s="49">
        <f t="array" ref="B283">IFERROR(
SUM(
IF(
'PORTIFÓLIO'!$C$4:$C$564=$A283,
N(INDEX('PORTIFÓLIO'!$J$4:$Q$564,,MATCH(B$2,'PORTIFÓLIO'!$J$3:$Q$3,0))) *
N('PORTIFÓLIO'!$S$4:$S$564),
0
)
),
0)</f>
        <v>0</v>
      </c>
      <c r="C283" s="49">
        <f t="shared" si="5"/>
        <v>0</v>
      </c>
      <c r="D283" s="49">
        <f t="array" ref="D283">IFERROR(
SUM(
IF(
'PORTIFÓLIO'!$C$4:$C$564=$A283,
N(INDEX('PORTIFÓLIO'!$J$4:$Q$564,,MATCH(D$2,'PORTIFÓLIO'!$J$3:$Q$3,0))) *
N('PORTIFÓLIO'!$S$4:$S$564),
0
)
),
0)</f>
        <v>0</v>
      </c>
      <c r="E283" s="49">
        <f t="shared" si="6"/>
        <v>0</v>
      </c>
      <c r="F283" s="49">
        <f t="array" ref="F283">IFERROR(
SUM(
IF(
'PORTIFÓLIO'!$C$4:$C$564=$A283,
N(INDEX('PORTIFÓLIO'!$J$4:$Q$564,,MATCH(F$2,'PORTIFÓLIO'!$J$3:$Q$3,0))) *
N('PORTIFÓLIO'!$S$4:$S$564),
0
)
),
0)</f>
        <v>0</v>
      </c>
      <c r="G283" s="47">
        <f t="shared" si="7"/>
        <v>0</v>
      </c>
      <c r="H283" s="49">
        <f t="array" ref="H283">IFERROR(
SUM(
IF(
'PORTIFÓLIO'!$C$4:$C$564=$A283,
N(INDEX('PORTIFÓLIO'!$J$4:$Q$564,,MATCH(H$2,'PORTIFÓLIO'!$J$3:$Q$3,0))) *
N('PORTIFÓLIO'!$S$4:$S$564),
0
)
),
0)</f>
        <v>0</v>
      </c>
      <c r="I283" s="47">
        <f t="shared" si="8"/>
        <v>0</v>
      </c>
      <c r="J283" s="49">
        <f t="array" ref="J283">IFERROR(
SUM(
IF(
'PORTIFÓLIO'!$C$4:$C$564=$A283,
N(INDEX('PORTIFÓLIO'!$J$4:$Q$564,,MATCH(J$2,'PORTIFÓLIO'!$J$3:$Q$3,0))) *
N('PORTIFÓLIO'!$S$4:$S$564),
0
)
),
0)</f>
        <v>0</v>
      </c>
      <c r="K283" s="47">
        <f t="shared" si="9"/>
        <v>0</v>
      </c>
      <c r="L283" s="49">
        <f t="array" ref="L283">IFERROR(
SUM(
IF(
'PORTIFÓLIO'!$C$4:$C$564=$A283,
N(INDEX('PORTIFÓLIO'!$J$4:$Q$564,,MATCH(L$2,'PORTIFÓLIO'!$J$3:$Q$3,0))) *
N('PORTIFÓLIO'!$S$4:$S$564),
0
)
),
0)</f>
        <v>0</v>
      </c>
      <c r="M283" s="47">
        <f t="shared" si="10"/>
        <v>0</v>
      </c>
      <c r="N283" s="49">
        <f t="array" ref="N283">IFERROR(
SUM(
IF(
'PORTIFÓLIO'!$C$4:$C$564=$A283,
N(INDEX('PORTIFÓLIO'!$J$4:$Q$564,,MATCH(N$2,'PORTIFÓLIO'!$J$3:$Q$3,0))) *
N('PORTIFÓLIO'!$S$4:$S$564),
0
)
),
0)</f>
        <v>0</v>
      </c>
      <c r="O283" s="49">
        <f t="shared" si="11"/>
        <v>0</v>
      </c>
      <c r="P283" s="49">
        <f t="array" ref="P283">IFERROR(
SUM(
IF(
'PORTIFÓLIO'!$C$4:$C$564=$A283,
N(INDEX('PORTIFÓLIO'!$J$4:$Q$564,,MATCH(P$2,'PORTIFÓLIO'!$J$3:$Q$3,0))) *
N('PORTIFÓLIO'!$S$4:$S$564),
0
)
),
0)</f>
        <v>0</v>
      </c>
      <c r="Q283" s="49">
        <f t="shared" si="12"/>
        <v>0</v>
      </c>
      <c r="R283" s="49">
        <f t="shared" si="2"/>
        <v>0</v>
      </c>
      <c r="S283" s="49">
        <f t="shared" si="13"/>
        <v>0</v>
      </c>
    </row>
    <row r="284" ht="15.75" hidden="1" customHeight="1" outlineLevel="1">
      <c r="A284" s="48"/>
      <c r="B284" s="49">
        <f t="array" ref="B284">IFERROR(
SUM(
IF(
'PORTIFÓLIO'!$C$4:$C$564=$A284,
N(INDEX('PORTIFÓLIO'!$J$4:$Q$564,,MATCH(B$2,'PORTIFÓLIO'!$J$3:$Q$3,0))) *
N('PORTIFÓLIO'!$S$4:$S$564),
0
)
),
0)</f>
        <v>0</v>
      </c>
      <c r="C284" s="49">
        <f t="shared" si="5"/>
        <v>0</v>
      </c>
      <c r="D284" s="49">
        <f t="array" ref="D284">IFERROR(
SUM(
IF(
'PORTIFÓLIO'!$C$4:$C$564=$A284,
N(INDEX('PORTIFÓLIO'!$J$4:$Q$564,,MATCH(D$2,'PORTIFÓLIO'!$J$3:$Q$3,0))) *
N('PORTIFÓLIO'!$S$4:$S$564),
0
)
),
0)</f>
        <v>0</v>
      </c>
      <c r="E284" s="49">
        <f t="shared" si="6"/>
        <v>0</v>
      </c>
      <c r="F284" s="49">
        <f t="array" ref="F284">IFERROR(
SUM(
IF(
'PORTIFÓLIO'!$C$4:$C$564=$A284,
N(INDEX('PORTIFÓLIO'!$J$4:$Q$564,,MATCH(F$2,'PORTIFÓLIO'!$J$3:$Q$3,0))) *
N('PORTIFÓLIO'!$S$4:$S$564),
0
)
),
0)</f>
        <v>0</v>
      </c>
      <c r="G284" s="47">
        <f t="shared" si="7"/>
        <v>0</v>
      </c>
      <c r="H284" s="49">
        <f t="array" ref="H284">IFERROR(
SUM(
IF(
'PORTIFÓLIO'!$C$4:$C$564=$A284,
N(INDEX('PORTIFÓLIO'!$J$4:$Q$564,,MATCH(H$2,'PORTIFÓLIO'!$J$3:$Q$3,0))) *
N('PORTIFÓLIO'!$S$4:$S$564),
0
)
),
0)</f>
        <v>0</v>
      </c>
      <c r="I284" s="47">
        <f t="shared" si="8"/>
        <v>0</v>
      </c>
      <c r="J284" s="49">
        <f t="array" ref="J284">IFERROR(
SUM(
IF(
'PORTIFÓLIO'!$C$4:$C$564=$A284,
N(INDEX('PORTIFÓLIO'!$J$4:$Q$564,,MATCH(J$2,'PORTIFÓLIO'!$J$3:$Q$3,0))) *
N('PORTIFÓLIO'!$S$4:$S$564),
0
)
),
0)</f>
        <v>0</v>
      </c>
      <c r="K284" s="47">
        <f t="shared" si="9"/>
        <v>0</v>
      </c>
      <c r="L284" s="49">
        <f t="array" ref="L284">IFERROR(
SUM(
IF(
'PORTIFÓLIO'!$C$4:$C$564=$A284,
N(INDEX('PORTIFÓLIO'!$J$4:$Q$564,,MATCH(L$2,'PORTIFÓLIO'!$J$3:$Q$3,0))) *
N('PORTIFÓLIO'!$S$4:$S$564),
0
)
),
0)</f>
        <v>0</v>
      </c>
      <c r="M284" s="47">
        <f t="shared" si="10"/>
        <v>0</v>
      </c>
      <c r="N284" s="49">
        <f t="array" ref="N284">IFERROR(
SUM(
IF(
'PORTIFÓLIO'!$C$4:$C$564=$A284,
N(INDEX('PORTIFÓLIO'!$J$4:$Q$564,,MATCH(N$2,'PORTIFÓLIO'!$J$3:$Q$3,0))) *
N('PORTIFÓLIO'!$S$4:$S$564),
0
)
),
0)</f>
        <v>0</v>
      </c>
      <c r="O284" s="49">
        <f t="shared" si="11"/>
        <v>0</v>
      </c>
      <c r="P284" s="49">
        <f t="array" ref="P284">IFERROR(
SUM(
IF(
'PORTIFÓLIO'!$C$4:$C$564=$A284,
N(INDEX('PORTIFÓLIO'!$J$4:$Q$564,,MATCH(P$2,'PORTIFÓLIO'!$J$3:$Q$3,0))) *
N('PORTIFÓLIO'!$S$4:$S$564),
0
)
),
0)</f>
        <v>0</v>
      </c>
      <c r="Q284" s="49">
        <f t="shared" si="12"/>
        <v>0</v>
      </c>
      <c r="R284" s="49">
        <f t="shared" si="2"/>
        <v>0</v>
      </c>
      <c r="S284" s="49">
        <f t="shared" si="13"/>
        <v>0</v>
      </c>
    </row>
    <row r="285" ht="15.75" hidden="1" customHeight="1" outlineLevel="1">
      <c r="A285" s="48"/>
      <c r="B285" s="49">
        <f t="array" ref="B285">IFERROR(
SUM(
IF(
'PORTIFÓLIO'!$C$4:$C$564=$A285,
N(INDEX('PORTIFÓLIO'!$J$4:$Q$564,,MATCH(B$2,'PORTIFÓLIO'!$J$3:$Q$3,0))) *
N('PORTIFÓLIO'!$S$4:$S$564),
0
)
),
0)</f>
        <v>0</v>
      </c>
      <c r="C285" s="49">
        <f t="shared" si="5"/>
        <v>0</v>
      </c>
      <c r="D285" s="49">
        <f t="array" ref="D285">IFERROR(
SUM(
IF(
'PORTIFÓLIO'!$C$4:$C$564=$A285,
N(INDEX('PORTIFÓLIO'!$J$4:$Q$564,,MATCH(D$2,'PORTIFÓLIO'!$J$3:$Q$3,0))) *
N('PORTIFÓLIO'!$S$4:$S$564),
0
)
),
0)</f>
        <v>0</v>
      </c>
      <c r="E285" s="49">
        <f t="shared" si="6"/>
        <v>0</v>
      </c>
      <c r="F285" s="49">
        <f t="array" ref="F285">IFERROR(
SUM(
IF(
'PORTIFÓLIO'!$C$4:$C$564=$A285,
N(INDEX('PORTIFÓLIO'!$J$4:$Q$564,,MATCH(F$2,'PORTIFÓLIO'!$J$3:$Q$3,0))) *
N('PORTIFÓLIO'!$S$4:$S$564),
0
)
),
0)</f>
        <v>0</v>
      </c>
      <c r="G285" s="47">
        <f t="shared" si="7"/>
        <v>0</v>
      </c>
      <c r="H285" s="49">
        <f t="array" ref="H285">IFERROR(
SUM(
IF(
'PORTIFÓLIO'!$C$4:$C$564=$A285,
N(INDEX('PORTIFÓLIO'!$J$4:$Q$564,,MATCH(H$2,'PORTIFÓLIO'!$J$3:$Q$3,0))) *
N('PORTIFÓLIO'!$S$4:$S$564),
0
)
),
0)</f>
        <v>0</v>
      </c>
      <c r="I285" s="47">
        <f t="shared" si="8"/>
        <v>0</v>
      </c>
      <c r="J285" s="49">
        <f t="array" ref="J285">IFERROR(
SUM(
IF(
'PORTIFÓLIO'!$C$4:$C$564=$A285,
N(INDEX('PORTIFÓLIO'!$J$4:$Q$564,,MATCH(J$2,'PORTIFÓLIO'!$J$3:$Q$3,0))) *
N('PORTIFÓLIO'!$S$4:$S$564),
0
)
),
0)</f>
        <v>0</v>
      </c>
      <c r="K285" s="47">
        <f t="shared" si="9"/>
        <v>0</v>
      </c>
      <c r="L285" s="49">
        <f t="array" ref="L285">IFERROR(
SUM(
IF(
'PORTIFÓLIO'!$C$4:$C$564=$A285,
N(INDEX('PORTIFÓLIO'!$J$4:$Q$564,,MATCH(L$2,'PORTIFÓLIO'!$J$3:$Q$3,0))) *
N('PORTIFÓLIO'!$S$4:$S$564),
0
)
),
0)</f>
        <v>0</v>
      </c>
      <c r="M285" s="47">
        <f t="shared" si="10"/>
        <v>0</v>
      </c>
      <c r="N285" s="49">
        <f t="array" ref="N285">IFERROR(
SUM(
IF(
'PORTIFÓLIO'!$C$4:$C$564=$A285,
N(INDEX('PORTIFÓLIO'!$J$4:$Q$564,,MATCH(N$2,'PORTIFÓLIO'!$J$3:$Q$3,0))) *
N('PORTIFÓLIO'!$S$4:$S$564),
0
)
),
0)</f>
        <v>0</v>
      </c>
      <c r="O285" s="49">
        <f t="shared" si="11"/>
        <v>0</v>
      </c>
      <c r="P285" s="49">
        <f t="array" ref="P285">IFERROR(
SUM(
IF(
'PORTIFÓLIO'!$C$4:$C$564=$A285,
N(INDEX('PORTIFÓLIO'!$J$4:$Q$564,,MATCH(P$2,'PORTIFÓLIO'!$J$3:$Q$3,0))) *
N('PORTIFÓLIO'!$S$4:$S$564),
0
)
),
0)</f>
        <v>0</v>
      </c>
      <c r="Q285" s="49">
        <f t="shared" si="12"/>
        <v>0</v>
      </c>
      <c r="R285" s="49">
        <f t="shared" si="2"/>
        <v>0</v>
      </c>
      <c r="S285" s="49">
        <f t="shared" si="13"/>
        <v>0</v>
      </c>
    </row>
    <row r="286" ht="15.75" hidden="1" customHeight="1" outlineLevel="1">
      <c r="A286" s="48"/>
      <c r="B286" s="49">
        <f t="array" ref="B286">IFERROR(
SUM(
IF(
'PORTIFÓLIO'!$C$4:$C$564=$A286,
N(INDEX('PORTIFÓLIO'!$J$4:$Q$564,,MATCH(B$2,'PORTIFÓLIO'!$J$3:$Q$3,0))) *
N('PORTIFÓLIO'!$S$4:$S$564),
0
)
),
0)</f>
        <v>0</v>
      </c>
      <c r="C286" s="49">
        <f t="shared" si="5"/>
        <v>0</v>
      </c>
      <c r="D286" s="49">
        <f t="array" ref="D286">IFERROR(
SUM(
IF(
'PORTIFÓLIO'!$C$4:$C$564=$A286,
N(INDEX('PORTIFÓLIO'!$J$4:$Q$564,,MATCH(D$2,'PORTIFÓLIO'!$J$3:$Q$3,0))) *
N('PORTIFÓLIO'!$S$4:$S$564),
0
)
),
0)</f>
        <v>0</v>
      </c>
      <c r="E286" s="49">
        <f t="shared" si="6"/>
        <v>0</v>
      </c>
      <c r="F286" s="49">
        <f t="array" ref="F286">IFERROR(
SUM(
IF(
'PORTIFÓLIO'!$C$4:$C$564=$A286,
N(INDEX('PORTIFÓLIO'!$J$4:$Q$564,,MATCH(F$2,'PORTIFÓLIO'!$J$3:$Q$3,0))) *
N('PORTIFÓLIO'!$S$4:$S$564),
0
)
),
0)</f>
        <v>0</v>
      </c>
      <c r="G286" s="47">
        <f t="shared" si="7"/>
        <v>0</v>
      </c>
      <c r="H286" s="49">
        <f t="array" ref="H286">IFERROR(
SUM(
IF(
'PORTIFÓLIO'!$C$4:$C$564=$A286,
N(INDEX('PORTIFÓLIO'!$J$4:$Q$564,,MATCH(H$2,'PORTIFÓLIO'!$J$3:$Q$3,0))) *
N('PORTIFÓLIO'!$S$4:$S$564),
0
)
),
0)</f>
        <v>0</v>
      </c>
      <c r="I286" s="47">
        <f t="shared" si="8"/>
        <v>0</v>
      </c>
      <c r="J286" s="49">
        <f t="array" ref="J286">IFERROR(
SUM(
IF(
'PORTIFÓLIO'!$C$4:$C$564=$A286,
N(INDEX('PORTIFÓLIO'!$J$4:$Q$564,,MATCH(J$2,'PORTIFÓLIO'!$J$3:$Q$3,0))) *
N('PORTIFÓLIO'!$S$4:$S$564),
0
)
),
0)</f>
        <v>0</v>
      </c>
      <c r="K286" s="47">
        <f t="shared" si="9"/>
        <v>0</v>
      </c>
      <c r="L286" s="49">
        <f t="array" ref="L286">IFERROR(
SUM(
IF(
'PORTIFÓLIO'!$C$4:$C$564=$A286,
N(INDEX('PORTIFÓLIO'!$J$4:$Q$564,,MATCH(L$2,'PORTIFÓLIO'!$J$3:$Q$3,0))) *
N('PORTIFÓLIO'!$S$4:$S$564),
0
)
),
0)</f>
        <v>0</v>
      </c>
      <c r="M286" s="47">
        <f t="shared" si="10"/>
        <v>0</v>
      </c>
      <c r="N286" s="49">
        <f t="array" ref="N286">IFERROR(
SUM(
IF(
'PORTIFÓLIO'!$C$4:$C$564=$A286,
N(INDEX('PORTIFÓLIO'!$J$4:$Q$564,,MATCH(N$2,'PORTIFÓLIO'!$J$3:$Q$3,0))) *
N('PORTIFÓLIO'!$S$4:$S$564),
0
)
),
0)</f>
        <v>0</v>
      </c>
      <c r="O286" s="49">
        <f t="shared" si="11"/>
        <v>0</v>
      </c>
      <c r="P286" s="49">
        <f t="array" ref="P286">IFERROR(
SUM(
IF(
'PORTIFÓLIO'!$C$4:$C$564=$A286,
N(INDEX('PORTIFÓLIO'!$J$4:$Q$564,,MATCH(P$2,'PORTIFÓLIO'!$J$3:$Q$3,0))) *
N('PORTIFÓLIO'!$S$4:$S$564),
0
)
),
0)</f>
        <v>0</v>
      </c>
      <c r="Q286" s="49">
        <f t="shared" si="12"/>
        <v>0</v>
      </c>
      <c r="R286" s="49">
        <f t="shared" si="2"/>
        <v>0</v>
      </c>
      <c r="S286" s="49">
        <f t="shared" si="13"/>
        <v>0</v>
      </c>
    </row>
    <row r="287" ht="15.75" hidden="1" customHeight="1" outlineLevel="1">
      <c r="A287" s="48"/>
      <c r="B287" s="49">
        <f t="array" ref="B287">IFERROR(
SUM(
IF(
'PORTIFÓLIO'!$C$4:$C$564=$A287,
N(INDEX('PORTIFÓLIO'!$J$4:$Q$564,,MATCH(B$2,'PORTIFÓLIO'!$J$3:$Q$3,0))) *
N('PORTIFÓLIO'!$S$4:$S$564),
0
)
),
0)</f>
        <v>0</v>
      </c>
      <c r="C287" s="49">
        <f t="shared" si="5"/>
        <v>0</v>
      </c>
      <c r="D287" s="49">
        <f t="array" ref="D287">IFERROR(
SUM(
IF(
'PORTIFÓLIO'!$C$4:$C$564=$A287,
N(INDEX('PORTIFÓLIO'!$J$4:$Q$564,,MATCH(D$2,'PORTIFÓLIO'!$J$3:$Q$3,0))) *
N('PORTIFÓLIO'!$S$4:$S$564),
0
)
),
0)</f>
        <v>0</v>
      </c>
      <c r="E287" s="49">
        <f t="shared" si="6"/>
        <v>0</v>
      </c>
      <c r="F287" s="49">
        <f t="array" ref="F287">IFERROR(
SUM(
IF(
'PORTIFÓLIO'!$C$4:$C$564=$A287,
N(INDEX('PORTIFÓLIO'!$J$4:$Q$564,,MATCH(F$2,'PORTIFÓLIO'!$J$3:$Q$3,0))) *
N('PORTIFÓLIO'!$S$4:$S$564),
0
)
),
0)</f>
        <v>0</v>
      </c>
      <c r="G287" s="47">
        <f t="shared" si="7"/>
        <v>0</v>
      </c>
      <c r="H287" s="49">
        <f t="array" ref="H287">IFERROR(
SUM(
IF(
'PORTIFÓLIO'!$C$4:$C$564=$A287,
N(INDEX('PORTIFÓLIO'!$J$4:$Q$564,,MATCH(H$2,'PORTIFÓLIO'!$J$3:$Q$3,0))) *
N('PORTIFÓLIO'!$S$4:$S$564),
0
)
),
0)</f>
        <v>0</v>
      </c>
      <c r="I287" s="47">
        <f t="shared" si="8"/>
        <v>0</v>
      </c>
      <c r="J287" s="49">
        <f t="array" ref="J287">IFERROR(
SUM(
IF(
'PORTIFÓLIO'!$C$4:$C$564=$A287,
N(INDEX('PORTIFÓLIO'!$J$4:$Q$564,,MATCH(J$2,'PORTIFÓLIO'!$J$3:$Q$3,0))) *
N('PORTIFÓLIO'!$S$4:$S$564),
0
)
),
0)</f>
        <v>0</v>
      </c>
      <c r="K287" s="47">
        <f t="shared" si="9"/>
        <v>0</v>
      </c>
      <c r="L287" s="49">
        <f t="array" ref="L287">IFERROR(
SUM(
IF(
'PORTIFÓLIO'!$C$4:$C$564=$A287,
N(INDEX('PORTIFÓLIO'!$J$4:$Q$564,,MATCH(L$2,'PORTIFÓLIO'!$J$3:$Q$3,0))) *
N('PORTIFÓLIO'!$S$4:$S$564),
0
)
),
0)</f>
        <v>0</v>
      </c>
      <c r="M287" s="47">
        <f t="shared" si="10"/>
        <v>0</v>
      </c>
      <c r="N287" s="49">
        <f t="array" ref="N287">IFERROR(
SUM(
IF(
'PORTIFÓLIO'!$C$4:$C$564=$A287,
N(INDEX('PORTIFÓLIO'!$J$4:$Q$564,,MATCH(N$2,'PORTIFÓLIO'!$J$3:$Q$3,0))) *
N('PORTIFÓLIO'!$S$4:$S$564),
0
)
),
0)</f>
        <v>0</v>
      </c>
      <c r="O287" s="49">
        <f t="shared" si="11"/>
        <v>0</v>
      </c>
      <c r="P287" s="49">
        <f t="array" ref="P287">IFERROR(
SUM(
IF(
'PORTIFÓLIO'!$C$4:$C$564=$A287,
N(INDEX('PORTIFÓLIO'!$J$4:$Q$564,,MATCH(P$2,'PORTIFÓLIO'!$J$3:$Q$3,0))) *
N('PORTIFÓLIO'!$S$4:$S$564),
0
)
),
0)</f>
        <v>0</v>
      </c>
      <c r="Q287" s="49">
        <f t="shared" si="12"/>
        <v>0</v>
      </c>
      <c r="R287" s="49">
        <f t="shared" si="2"/>
        <v>0</v>
      </c>
      <c r="S287" s="49">
        <f t="shared" si="13"/>
        <v>0</v>
      </c>
    </row>
    <row r="288" ht="15.75" hidden="1" customHeight="1" outlineLevel="1">
      <c r="A288" s="48"/>
      <c r="B288" s="49">
        <f t="array" ref="B288">IFERROR(
SUM(
IF(
'PORTIFÓLIO'!$C$4:$C$564=$A288,
N(INDEX('PORTIFÓLIO'!$J$4:$Q$564,,MATCH(B$2,'PORTIFÓLIO'!$J$3:$Q$3,0))) *
N('PORTIFÓLIO'!$S$4:$S$564),
0
)
),
0)</f>
        <v>0</v>
      </c>
      <c r="C288" s="49">
        <f t="shared" si="5"/>
        <v>0</v>
      </c>
      <c r="D288" s="49">
        <f t="array" ref="D288">IFERROR(
SUM(
IF(
'PORTIFÓLIO'!$C$4:$C$564=$A288,
N(INDEX('PORTIFÓLIO'!$J$4:$Q$564,,MATCH(D$2,'PORTIFÓLIO'!$J$3:$Q$3,0))) *
N('PORTIFÓLIO'!$S$4:$S$564),
0
)
),
0)</f>
        <v>0</v>
      </c>
      <c r="E288" s="49">
        <f t="shared" si="6"/>
        <v>0</v>
      </c>
      <c r="F288" s="49">
        <f t="array" ref="F288">IFERROR(
SUM(
IF(
'PORTIFÓLIO'!$C$4:$C$564=$A288,
N(INDEX('PORTIFÓLIO'!$J$4:$Q$564,,MATCH(F$2,'PORTIFÓLIO'!$J$3:$Q$3,0))) *
N('PORTIFÓLIO'!$S$4:$S$564),
0
)
),
0)</f>
        <v>0</v>
      </c>
      <c r="G288" s="47">
        <f t="shared" si="7"/>
        <v>0</v>
      </c>
      <c r="H288" s="49">
        <f t="array" ref="H288">IFERROR(
SUM(
IF(
'PORTIFÓLIO'!$C$4:$C$564=$A288,
N(INDEX('PORTIFÓLIO'!$J$4:$Q$564,,MATCH(H$2,'PORTIFÓLIO'!$J$3:$Q$3,0))) *
N('PORTIFÓLIO'!$S$4:$S$564),
0
)
),
0)</f>
        <v>0</v>
      </c>
      <c r="I288" s="47">
        <f t="shared" si="8"/>
        <v>0</v>
      </c>
      <c r="J288" s="49">
        <f t="array" ref="J288">IFERROR(
SUM(
IF(
'PORTIFÓLIO'!$C$4:$C$564=$A288,
N(INDEX('PORTIFÓLIO'!$J$4:$Q$564,,MATCH(J$2,'PORTIFÓLIO'!$J$3:$Q$3,0))) *
N('PORTIFÓLIO'!$S$4:$S$564),
0
)
),
0)</f>
        <v>0</v>
      </c>
      <c r="K288" s="47">
        <f t="shared" si="9"/>
        <v>0</v>
      </c>
      <c r="L288" s="49">
        <f t="array" ref="L288">IFERROR(
SUM(
IF(
'PORTIFÓLIO'!$C$4:$C$564=$A288,
N(INDEX('PORTIFÓLIO'!$J$4:$Q$564,,MATCH(L$2,'PORTIFÓLIO'!$J$3:$Q$3,0))) *
N('PORTIFÓLIO'!$S$4:$S$564),
0
)
),
0)</f>
        <v>0</v>
      </c>
      <c r="M288" s="47">
        <f t="shared" si="10"/>
        <v>0</v>
      </c>
      <c r="N288" s="49">
        <f t="array" ref="N288">IFERROR(
SUM(
IF(
'PORTIFÓLIO'!$C$4:$C$564=$A288,
N(INDEX('PORTIFÓLIO'!$J$4:$Q$564,,MATCH(N$2,'PORTIFÓLIO'!$J$3:$Q$3,0))) *
N('PORTIFÓLIO'!$S$4:$S$564),
0
)
),
0)</f>
        <v>0</v>
      </c>
      <c r="O288" s="49">
        <f t="shared" si="11"/>
        <v>0</v>
      </c>
      <c r="P288" s="49">
        <f t="array" ref="P288">IFERROR(
SUM(
IF(
'PORTIFÓLIO'!$C$4:$C$564=$A288,
N(INDEX('PORTIFÓLIO'!$J$4:$Q$564,,MATCH(P$2,'PORTIFÓLIO'!$J$3:$Q$3,0))) *
N('PORTIFÓLIO'!$S$4:$S$564),
0
)
),
0)</f>
        <v>0</v>
      </c>
      <c r="Q288" s="49">
        <f t="shared" si="12"/>
        <v>0</v>
      </c>
      <c r="R288" s="49">
        <f t="shared" si="2"/>
        <v>0</v>
      </c>
      <c r="S288" s="49">
        <f t="shared" si="13"/>
        <v>0</v>
      </c>
    </row>
    <row r="289" ht="15.75" hidden="1" customHeight="1" outlineLevel="1">
      <c r="A289" s="48"/>
      <c r="B289" s="49">
        <f t="array" ref="B289">IFERROR(
SUM(
IF(
'PORTIFÓLIO'!$C$4:$C$564=$A289,
N(INDEX('PORTIFÓLIO'!$J$4:$Q$564,,MATCH(B$2,'PORTIFÓLIO'!$J$3:$Q$3,0))) *
N('PORTIFÓLIO'!$S$4:$S$564),
0
)
),
0)</f>
        <v>0</v>
      </c>
      <c r="C289" s="49">
        <f t="shared" si="5"/>
        <v>0</v>
      </c>
      <c r="D289" s="49">
        <f t="array" ref="D289">IFERROR(
SUM(
IF(
'PORTIFÓLIO'!$C$4:$C$564=$A289,
N(INDEX('PORTIFÓLIO'!$J$4:$Q$564,,MATCH(D$2,'PORTIFÓLIO'!$J$3:$Q$3,0))) *
N('PORTIFÓLIO'!$S$4:$S$564),
0
)
),
0)</f>
        <v>0</v>
      </c>
      <c r="E289" s="49">
        <f t="shared" si="6"/>
        <v>0</v>
      </c>
      <c r="F289" s="49">
        <f t="array" ref="F289">IFERROR(
SUM(
IF(
'PORTIFÓLIO'!$C$4:$C$564=$A289,
N(INDEX('PORTIFÓLIO'!$J$4:$Q$564,,MATCH(F$2,'PORTIFÓLIO'!$J$3:$Q$3,0))) *
N('PORTIFÓLIO'!$S$4:$S$564),
0
)
),
0)</f>
        <v>0</v>
      </c>
      <c r="G289" s="47">
        <f t="shared" si="7"/>
        <v>0</v>
      </c>
      <c r="H289" s="49">
        <f t="array" ref="H289">IFERROR(
SUM(
IF(
'PORTIFÓLIO'!$C$4:$C$564=$A289,
N(INDEX('PORTIFÓLIO'!$J$4:$Q$564,,MATCH(H$2,'PORTIFÓLIO'!$J$3:$Q$3,0))) *
N('PORTIFÓLIO'!$S$4:$S$564),
0
)
),
0)</f>
        <v>0</v>
      </c>
      <c r="I289" s="47">
        <f t="shared" si="8"/>
        <v>0</v>
      </c>
      <c r="J289" s="49">
        <f t="array" ref="J289">IFERROR(
SUM(
IF(
'PORTIFÓLIO'!$C$4:$C$564=$A289,
N(INDEX('PORTIFÓLIO'!$J$4:$Q$564,,MATCH(J$2,'PORTIFÓLIO'!$J$3:$Q$3,0))) *
N('PORTIFÓLIO'!$S$4:$S$564),
0
)
),
0)</f>
        <v>0</v>
      </c>
      <c r="K289" s="47">
        <f t="shared" si="9"/>
        <v>0</v>
      </c>
      <c r="L289" s="49">
        <f t="array" ref="L289">IFERROR(
SUM(
IF(
'PORTIFÓLIO'!$C$4:$C$564=$A289,
N(INDEX('PORTIFÓLIO'!$J$4:$Q$564,,MATCH(L$2,'PORTIFÓLIO'!$J$3:$Q$3,0))) *
N('PORTIFÓLIO'!$S$4:$S$564),
0
)
),
0)</f>
        <v>0</v>
      </c>
      <c r="M289" s="47">
        <f t="shared" si="10"/>
        <v>0</v>
      </c>
      <c r="N289" s="49">
        <f t="array" ref="N289">IFERROR(
SUM(
IF(
'PORTIFÓLIO'!$C$4:$C$564=$A289,
N(INDEX('PORTIFÓLIO'!$J$4:$Q$564,,MATCH(N$2,'PORTIFÓLIO'!$J$3:$Q$3,0))) *
N('PORTIFÓLIO'!$S$4:$S$564),
0
)
),
0)</f>
        <v>0</v>
      </c>
      <c r="O289" s="49">
        <f t="shared" si="11"/>
        <v>0</v>
      </c>
      <c r="P289" s="49">
        <f t="array" ref="P289">IFERROR(
SUM(
IF(
'PORTIFÓLIO'!$C$4:$C$564=$A289,
N(INDEX('PORTIFÓLIO'!$J$4:$Q$564,,MATCH(P$2,'PORTIFÓLIO'!$J$3:$Q$3,0))) *
N('PORTIFÓLIO'!$S$4:$S$564),
0
)
),
0)</f>
        <v>0</v>
      </c>
      <c r="Q289" s="49">
        <f t="shared" si="12"/>
        <v>0</v>
      </c>
      <c r="R289" s="49">
        <f t="shared" si="2"/>
        <v>0</v>
      </c>
      <c r="S289" s="49">
        <f t="shared" si="13"/>
        <v>0</v>
      </c>
    </row>
    <row r="290" ht="15.75" hidden="1" customHeight="1" outlineLevel="1">
      <c r="A290" s="48"/>
      <c r="B290" s="49">
        <f t="array" ref="B290">IFERROR(
SUM(
IF(
'PORTIFÓLIO'!$C$4:$C$564=$A290,
N(INDEX('PORTIFÓLIO'!$J$4:$Q$564,,MATCH(B$2,'PORTIFÓLIO'!$J$3:$Q$3,0))) *
N('PORTIFÓLIO'!$S$4:$S$564),
0
)
),
0)</f>
        <v>0</v>
      </c>
      <c r="C290" s="49">
        <f t="shared" si="5"/>
        <v>0</v>
      </c>
      <c r="D290" s="49">
        <f t="array" ref="D290">IFERROR(
SUM(
IF(
'PORTIFÓLIO'!$C$4:$C$564=$A290,
N(INDEX('PORTIFÓLIO'!$J$4:$Q$564,,MATCH(D$2,'PORTIFÓLIO'!$J$3:$Q$3,0))) *
N('PORTIFÓLIO'!$S$4:$S$564),
0
)
),
0)</f>
        <v>0</v>
      </c>
      <c r="E290" s="49">
        <f t="shared" si="6"/>
        <v>0</v>
      </c>
      <c r="F290" s="49">
        <f t="array" ref="F290">IFERROR(
SUM(
IF(
'PORTIFÓLIO'!$C$4:$C$564=$A290,
N(INDEX('PORTIFÓLIO'!$J$4:$Q$564,,MATCH(F$2,'PORTIFÓLIO'!$J$3:$Q$3,0))) *
N('PORTIFÓLIO'!$S$4:$S$564),
0
)
),
0)</f>
        <v>0</v>
      </c>
      <c r="G290" s="47">
        <f t="shared" si="7"/>
        <v>0</v>
      </c>
      <c r="H290" s="49">
        <f t="array" ref="H290">IFERROR(
SUM(
IF(
'PORTIFÓLIO'!$C$4:$C$564=$A290,
N(INDEX('PORTIFÓLIO'!$J$4:$Q$564,,MATCH(H$2,'PORTIFÓLIO'!$J$3:$Q$3,0))) *
N('PORTIFÓLIO'!$S$4:$S$564),
0
)
),
0)</f>
        <v>0</v>
      </c>
      <c r="I290" s="47">
        <f t="shared" si="8"/>
        <v>0</v>
      </c>
      <c r="J290" s="49">
        <f t="array" ref="J290">IFERROR(
SUM(
IF(
'PORTIFÓLIO'!$C$4:$C$564=$A290,
N(INDEX('PORTIFÓLIO'!$J$4:$Q$564,,MATCH(J$2,'PORTIFÓLIO'!$J$3:$Q$3,0))) *
N('PORTIFÓLIO'!$S$4:$S$564),
0
)
),
0)</f>
        <v>0</v>
      </c>
      <c r="K290" s="47">
        <f t="shared" si="9"/>
        <v>0</v>
      </c>
      <c r="L290" s="49">
        <f t="array" ref="L290">IFERROR(
SUM(
IF(
'PORTIFÓLIO'!$C$4:$C$564=$A290,
N(INDEX('PORTIFÓLIO'!$J$4:$Q$564,,MATCH(L$2,'PORTIFÓLIO'!$J$3:$Q$3,0))) *
N('PORTIFÓLIO'!$S$4:$S$564),
0
)
),
0)</f>
        <v>0</v>
      </c>
      <c r="M290" s="47">
        <f t="shared" si="10"/>
        <v>0</v>
      </c>
      <c r="N290" s="49">
        <f t="array" ref="N290">IFERROR(
SUM(
IF(
'PORTIFÓLIO'!$C$4:$C$564=$A290,
N(INDEX('PORTIFÓLIO'!$J$4:$Q$564,,MATCH(N$2,'PORTIFÓLIO'!$J$3:$Q$3,0))) *
N('PORTIFÓLIO'!$S$4:$S$564),
0
)
),
0)</f>
        <v>0</v>
      </c>
      <c r="O290" s="49">
        <f t="shared" si="11"/>
        <v>0</v>
      </c>
      <c r="P290" s="49">
        <f t="array" ref="P290">IFERROR(
SUM(
IF(
'PORTIFÓLIO'!$C$4:$C$564=$A290,
N(INDEX('PORTIFÓLIO'!$J$4:$Q$564,,MATCH(P$2,'PORTIFÓLIO'!$J$3:$Q$3,0))) *
N('PORTIFÓLIO'!$S$4:$S$564),
0
)
),
0)</f>
        <v>0</v>
      </c>
      <c r="Q290" s="49">
        <f t="shared" si="12"/>
        <v>0</v>
      </c>
      <c r="R290" s="49">
        <f t="shared" si="2"/>
        <v>0</v>
      </c>
      <c r="S290" s="49">
        <f t="shared" si="13"/>
        <v>0</v>
      </c>
    </row>
    <row r="291" ht="15.75" hidden="1" customHeight="1" outlineLevel="1">
      <c r="A291" s="48"/>
      <c r="B291" s="49">
        <f t="array" ref="B291">IFERROR(
SUM(
IF(
'PORTIFÓLIO'!$C$4:$C$564=$A291,
N(INDEX('PORTIFÓLIO'!$J$4:$Q$564,,MATCH(B$2,'PORTIFÓLIO'!$J$3:$Q$3,0))) *
N('PORTIFÓLIO'!$S$4:$S$564),
0
)
),
0)</f>
        <v>0</v>
      </c>
      <c r="C291" s="49">
        <f t="shared" si="5"/>
        <v>0</v>
      </c>
      <c r="D291" s="49">
        <f t="array" ref="D291">IFERROR(
SUM(
IF(
'PORTIFÓLIO'!$C$4:$C$564=$A291,
N(INDEX('PORTIFÓLIO'!$J$4:$Q$564,,MATCH(D$2,'PORTIFÓLIO'!$J$3:$Q$3,0))) *
N('PORTIFÓLIO'!$S$4:$S$564),
0
)
),
0)</f>
        <v>0</v>
      </c>
      <c r="E291" s="49">
        <f t="shared" si="6"/>
        <v>0</v>
      </c>
      <c r="F291" s="49">
        <f t="array" ref="F291">IFERROR(
SUM(
IF(
'PORTIFÓLIO'!$C$4:$C$564=$A291,
N(INDEX('PORTIFÓLIO'!$J$4:$Q$564,,MATCH(F$2,'PORTIFÓLIO'!$J$3:$Q$3,0))) *
N('PORTIFÓLIO'!$S$4:$S$564),
0
)
),
0)</f>
        <v>0</v>
      </c>
      <c r="G291" s="47">
        <f t="shared" si="7"/>
        <v>0</v>
      </c>
      <c r="H291" s="49">
        <f t="array" ref="H291">IFERROR(
SUM(
IF(
'PORTIFÓLIO'!$C$4:$C$564=$A291,
N(INDEX('PORTIFÓLIO'!$J$4:$Q$564,,MATCH(H$2,'PORTIFÓLIO'!$J$3:$Q$3,0))) *
N('PORTIFÓLIO'!$S$4:$S$564),
0
)
),
0)</f>
        <v>0</v>
      </c>
      <c r="I291" s="47">
        <f t="shared" si="8"/>
        <v>0</v>
      </c>
      <c r="J291" s="49">
        <f t="array" ref="J291">IFERROR(
SUM(
IF(
'PORTIFÓLIO'!$C$4:$C$564=$A291,
N(INDEX('PORTIFÓLIO'!$J$4:$Q$564,,MATCH(J$2,'PORTIFÓLIO'!$J$3:$Q$3,0))) *
N('PORTIFÓLIO'!$S$4:$S$564),
0
)
),
0)</f>
        <v>0</v>
      </c>
      <c r="K291" s="47">
        <f t="shared" si="9"/>
        <v>0</v>
      </c>
      <c r="L291" s="49">
        <f t="array" ref="L291">IFERROR(
SUM(
IF(
'PORTIFÓLIO'!$C$4:$C$564=$A291,
N(INDEX('PORTIFÓLIO'!$J$4:$Q$564,,MATCH(L$2,'PORTIFÓLIO'!$J$3:$Q$3,0))) *
N('PORTIFÓLIO'!$S$4:$S$564),
0
)
),
0)</f>
        <v>0</v>
      </c>
      <c r="M291" s="47">
        <f t="shared" si="10"/>
        <v>0</v>
      </c>
      <c r="N291" s="49">
        <f t="array" ref="N291">IFERROR(
SUM(
IF(
'PORTIFÓLIO'!$C$4:$C$564=$A291,
N(INDEX('PORTIFÓLIO'!$J$4:$Q$564,,MATCH(N$2,'PORTIFÓLIO'!$J$3:$Q$3,0))) *
N('PORTIFÓLIO'!$S$4:$S$564),
0
)
),
0)</f>
        <v>0</v>
      </c>
      <c r="O291" s="49">
        <f t="shared" si="11"/>
        <v>0</v>
      </c>
      <c r="P291" s="49">
        <f t="array" ref="P291">IFERROR(
SUM(
IF(
'PORTIFÓLIO'!$C$4:$C$564=$A291,
N(INDEX('PORTIFÓLIO'!$J$4:$Q$564,,MATCH(P$2,'PORTIFÓLIO'!$J$3:$Q$3,0))) *
N('PORTIFÓLIO'!$S$4:$S$564),
0
)
),
0)</f>
        <v>0</v>
      </c>
      <c r="Q291" s="49">
        <f t="shared" si="12"/>
        <v>0</v>
      </c>
      <c r="R291" s="49">
        <f t="shared" si="2"/>
        <v>0</v>
      </c>
      <c r="S291" s="49">
        <f t="shared" si="13"/>
        <v>0</v>
      </c>
    </row>
    <row r="292" ht="15.75" hidden="1" customHeight="1" outlineLevel="1">
      <c r="A292" s="48"/>
      <c r="B292" s="49">
        <f t="array" ref="B292">IFERROR(
SUM(
IF(
'PORTIFÓLIO'!$C$4:$C$564=$A292,
N(INDEX('PORTIFÓLIO'!$J$4:$Q$564,,MATCH(B$2,'PORTIFÓLIO'!$J$3:$Q$3,0))) *
N('PORTIFÓLIO'!$S$4:$S$564),
0
)
),
0)</f>
        <v>0</v>
      </c>
      <c r="C292" s="49">
        <f t="shared" si="5"/>
        <v>0</v>
      </c>
      <c r="D292" s="49">
        <f t="array" ref="D292">IFERROR(
SUM(
IF(
'PORTIFÓLIO'!$C$4:$C$564=$A292,
N(INDEX('PORTIFÓLIO'!$J$4:$Q$564,,MATCH(D$2,'PORTIFÓLIO'!$J$3:$Q$3,0))) *
N('PORTIFÓLIO'!$S$4:$S$564),
0
)
),
0)</f>
        <v>0</v>
      </c>
      <c r="E292" s="49">
        <f t="shared" si="6"/>
        <v>0</v>
      </c>
      <c r="F292" s="49">
        <f t="array" ref="F292">IFERROR(
SUM(
IF(
'PORTIFÓLIO'!$C$4:$C$564=$A292,
N(INDEX('PORTIFÓLIO'!$J$4:$Q$564,,MATCH(F$2,'PORTIFÓLIO'!$J$3:$Q$3,0))) *
N('PORTIFÓLIO'!$S$4:$S$564),
0
)
),
0)</f>
        <v>0</v>
      </c>
      <c r="G292" s="47">
        <f t="shared" si="7"/>
        <v>0</v>
      </c>
      <c r="H292" s="49">
        <f t="array" ref="H292">IFERROR(
SUM(
IF(
'PORTIFÓLIO'!$C$4:$C$564=$A292,
N(INDEX('PORTIFÓLIO'!$J$4:$Q$564,,MATCH(H$2,'PORTIFÓLIO'!$J$3:$Q$3,0))) *
N('PORTIFÓLIO'!$S$4:$S$564),
0
)
),
0)</f>
        <v>0</v>
      </c>
      <c r="I292" s="47">
        <f t="shared" si="8"/>
        <v>0</v>
      </c>
      <c r="J292" s="49">
        <f t="array" ref="J292">IFERROR(
SUM(
IF(
'PORTIFÓLIO'!$C$4:$C$564=$A292,
N(INDEX('PORTIFÓLIO'!$J$4:$Q$564,,MATCH(J$2,'PORTIFÓLIO'!$J$3:$Q$3,0))) *
N('PORTIFÓLIO'!$S$4:$S$564),
0
)
),
0)</f>
        <v>0</v>
      </c>
      <c r="K292" s="47">
        <f t="shared" si="9"/>
        <v>0</v>
      </c>
      <c r="L292" s="49">
        <f t="array" ref="L292">IFERROR(
SUM(
IF(
'PORTIFÓLIO'!$C$4:$C$564=$A292,
N(INDEX('PORTIFÓLIO'!$J$4:$Q$564,,MATCH(L$2,'PORTIFÓLIO'!$J$3:$Q$3,0))) *
N('PORTIFÓLIO'!$S$4:$S$564),
0
)
),
0)</f>
        <v>0</v>
      </c>
      <c r="M292" s="47">
        <f t="shared" si="10"/>
        <v>0</v>
      </c>
      <c r="N292" s="49">
        <f t="array" ref="N292">IFERROR(
SUM(
IF(
'PORTIFÓLIO'!$C$4:$C$564=$A292,
N(INDEX('PORTIFÓLIO'!$J$4:$Q$564,,MATCH(N$2,'PORTIFÓLIO'!$J$3:$Q$3,0))) *
N('PORTIFÓLIO'!$S$4:$S$564),
0
)
),
0)</f>
        <v>0</v>
      </c>
      <c r="O292" s="49">
        <f t="shared" si="11"/>
        <v>0</v>
      </c>
      <c r="P292" s="49">
        <f t="array" ref="P292">IFERROR(
SUM(
IF(
'PORTIFÓLIO'!$C$4:$C$564=$A292,
N(INDEX('PORTIFÓLIO'!$J$4:$Q$564,,MATCH(P$2,'PORTIFÓLIO'!$J$3:$Q$3,0))) *
N('PORTIFÓLIO'!$S$4:$S$564),
0
)
),
0)</f>
        <v>0</v>
      </c>
      <c r="Q292" s="49">
        <f t="shared" si="12"/>
        <v>0</v>
      </c>
      <c r="R292" s="49">
        <f t="shared" si="2"/>
        <v>0</v>
      </c>
      <c r="S292" s="49">
        <f t="shared" si="13"/>
        <v>0</v>
      </c>
    </row>
    <row r="293" ht="15.75" customHeight="1" collapsed="1">
      <c r="A293" s="46" t="s">
        <v>3</v>
      </c>
      <c r="B293" s="47">
        <f>SUM(B294:B321)</f>
        <v>0</v>
      </c>
      <c r="C293" s="47">
        <f t="shared" si="5"/>
        <v>0</v>
      </c>
      <c r="D293" s="47">
        <f>SUM(D294:D321)</f>
        <v>60741.366</v>
      </c>
      <c r="E293" s="47">
        <f t="shared" si="6"/>
        <v>202.47122</v>
      </c>
      <c r="F293" s="47">
        <f>SUM(F294:F321)</f>
        <v>44543.6684</v>
      </c>
      <c r="G293" s="47">
        <f t="shared" si="7"/>
        <v>202.47122</v>
      </c>
      <c r="H293" s="47">
        <f>SUM(H294:H321)</f>
        <v>0</v>
      </c>
      <c r="I293" s="47">
        <f t="shared" si="8"/>
        <v>0</v>
      </c>
      <c r="J293" s="47">
        <f>SUM(J294:J321)</f>
        <v>29959.7928</v>
      </c>
      <c r="K293" s="47">
        <f t="shared" si="9"/>
        <v>79.6803</v>
      </c>
      <c r="L293" s="47">
        <f>SUM(L294:L321)</f>
        <v>0</v>
      </c>
      <c r="M293" s="47">
        <f t="shared" si="10"/>
        <v>0</v>
      </c>
      <c r="N293" s="47">
        <f>SUM(N294:N321)</f>
        <v>65931.09516</v>
      </c>
      <c r="O293" s="47">
        <f t="shared" si="11"/>
        <v>54.13062</v>
      </c>
      <c r="P293" s="47">
        <f>SUM(P294:P321)</f>
        <v>36393.17987</v>
      </c>
      <c r="Q293" s="47">
        <f t="shared" si="12"/>
        <v>113.7286871</v>
      </c>
      <c r="R293" s="47">
        <f t="shared" si="2"/>
        <v>193025.4338</v>
      </c>
      <c r="S293" s="47">
        <f t="shared" si="13"/>
        <v>57.72291682</v>
      </c>
    </row>
    <row r="294" ht="15.75" hidden="1" customHeight="1" outlineLevel="1">
      <c r="A294" s="48" t="str">
        <f>IFERROR(__xludf.DUMMYFUNCTION("UNIQUE(FILTER('PORTIFÓLIO'!C:C, 'PORTIFÓLIO'!B:B=""TS""))"),"ENDOFUSE")</f>
        <v>ENDOFUSE</v>
      </c>
      <c r="B294" s="49">
        <f t="array" ref="B294">IFERROR(
SUM(
IF(
'PORTIFÓLIO'!$C$4:$C$564=$A294,
N(INDEX('PORTIFÓLIO'!$J$4:$Q$564,,MATCH(B$2,'PORTIFÓLIO'!$J$3:$Q$3,0))) *
N('PORTIFÓLIO'!$S$4:$S$564),
0
)
),
0)</f>
        <v>0</v>
      </c>
      <c r="C294" s="49">
        <f t="shared" si="5"/>
        <v>0</v>
      </c>
      <c r="D294" s="49">
        <f t="array" ref="D294">IFERROR(
SUM(
IF(
'PORTIFÓLIO'!$C$4:$C$564=$A294,
N(INDEX('PORTIFÓLIO'!$J$4:$Q$564,,MATCH(D$2,'PORTIFÓLIO'!$J$3:$Q$3,0))) *
N('PORTIFÓLIO'!$S$4:$S$564),
0
)
),
0)</f>
        <v>0</v>
      </c>
      <c r="E294" s="49">
        <f t="shared" si="6"/>
        <v>0</v>
      </c>
      <c r="F294" s="49">
        <f t="array" ref="F294">IFERROR(
SUM(
IF(
'PORTIFÓLIO'!$C$4:$C$564=$A294,
N(INDEX('PORTIFÓLIO'!$J$4:$Q$564,,MATCH(F$2,'PORTIFÓLIO'!$J$3:$Q$3,0))) *
N('PORTIFÓLIO'!$S$4:$S$564),
0
)
),
0)</f>
        <v>0</v>
      </c>
      <c r="G294" s="47">
        <f t="shared" si="7"/>
        <v>0</v>
      </c>
      <c r="H294" s="49">
        <f t="array" ref="H294">IFERROR(
SUM(
IF(
'PORTIFÓLIO'!$C$4:$C$564=$A294,
N(INDEX('PORTIFÓLIO'!$J$4:$Q$564,,MATCH(H$2,'PORTIFÓLIO'!$J$3:$Q$3,0))) *
N('PORTIFÓLIO'!$S$4:$S$564),
0
)
),
0)</f>
        <v>0</v>
      </c>
      <c r="I294" s="47">
        <f t="shared" si="8"/>
        <v>0</v>
      </c>
      <c r="J294" s="49">
        <f t="array" ref="J294">IFERROR(
SUM(
IF(
'PORTIFÓLIO'!$C$4:$C$564=$A294,
N(INDEX('PORTIFÓLIO'!$J$4:$Q$564,,MATCH(J$2,'PORTIFÓLIO'!$J$3:$Q$3,0))) *
N('PORTIFÓLIO'!$S$4:$S$564),
0
)
),
0)</f>
        <v>0</v>
      </c>
      <c r="K294" s="47">
        <f t="shared" si="9"/>
        <v>0</v>
      </c>
      <c r="L294" s="49">
        <f t="array" ref="L294">IFERROR(
SUM(
IF(
'PORTIFÓLIO'!$C$4:$C$564=$A294,
N(INDEX('PORTIFÓLIO'!$J$4:$Q$564,,MATCH(L$2,'PORTIFÓLIO'!$J$3:$Q$3,0))) *
N('PORTIFÓLIO'!$S$4:$S$564),
0
)
),
0)</f>
        <v>0</v>
      </c>
      <c r="M294" s="47">
        <f t="shared" si="10"/>
        <v>0</v>
      </c>
      <c r="N294" s="49">
        <f t="array" ref="N294">IFERROR(
SUM(
IF(
'PORTIFÓLIO'!$C$4:$C$564=$A294,
N(INDEX('PORTIFÓLIO'!$J$4:$Q$564,,MATCH(N$2,'PORTIFÓLIO'!$J$3:$Q$3,0))) *
N('PORTIFÓLIO'!$S$4:$S$564),
0
)
),
0)</f>
        <v>0</v>
      </c>
      <c r="O294" s="49">
        <f t="shared" si="11"/>
        <v>0</v>
      </c>
      <c r="P294" s="49">
        <f t="array" ref="P294">IFERROR(
SUM(
IF(
'PORTIFÓLIO'!$C$4:$C$564=$A294,
N(INDEX('PORTIFÓLIO'!$J$4:$Q$564,,MATCH(P$2,'PORTIFÓLIO'!$J$3:$Q$3,0))) *
N('PORTIFÓLIO'!$S$4:$S$564),
0
)
),
0)</f>
        <v>0</v>
      </c>
      <c r="Q294" s="49">
        <f t="shared" si="12"/>
        <v>0</v>
      </c>
      <c r="R294" s="49">
        <f t="shared" si="2"/>
        <v>0</v>
      </c>
      <c r="S294" s="49">
        <f t="shared" si="13"/>
        <v>0</v>
      </c>
    </row>
    <row r="295" ht="15.75" hidden="1" customHeight="1" outlineLevel="1">
      <c r="A295" s="48" t="str">
        <f>IFERROR(__xludf.DUMMYFUNCTION("""COMPUTED_VALUE"""),"ENDOMAXX")</f>
        <v>ENDOMAXX</v>
      </c>
      <c r="B295" s="49">
        <f t="array" ref="B295">IFERROR(
SUM(
IF(
'PORTIFÓLIO'!$C$4:$C$564=$A295,
N(INDEX('PORTIFÓLIO'!$J$4:$Q$564,,MATCH(B$2,'PORTIFÓLIO'!$J$3:$Q$3,0))) *
N('PORTIFÓLIO'!$S$4:$S$564),
0
)
),
0)</f>
        <v>0</v>
      </c>
      <c r="C295" s="49">
        <f t="shared" si="5"/>
        <v>0</v>
      </c>
      <c r="D295" s="49">
        <f t="array" ref="D295">IFERROR(
SUM(
IF(
'PORTIFÓLIO'!$C$4:$C$564=$A295,
N(INDEX('PORTIFÓLIO'!$J$4:$Q$564,,MATCH(D$2,'PORTIFÓLIO'!$J$3:$Q$3,0))) *
N('PORTIFÓLIO'!$S$4:$S$564),
0
)
),
0)</f>
        <v>0</v>
      </c>
      <c r="E295" s="49">
        <f t="shared" si="6"/>
        <v>0</v>
      </c>
      <c r="F295" s="49">
        <f t="array" ref="F295">IFERROR(
SUM(
IF(
'PORTIFÓLIO'!$C$4:$C$564=$A295,
N(INDEX('PORTIFÓLIO'!$J$4:$Q$564,,MATCH(F$2,'PORTIFÓLIO'!$J$3:$Q$3,0))) *
N('PORTIFÓLIO'!$S$4:$S$564),
0
)
),
0)</f>
        <v>0</v>
      </c>
      <c r="G295" s="47">
        <f t="shared" si="7"/>
        <v>0</v>
      </c>
      <c r="H295" s="49">
        <f t="array" ref="H295">IFERROR(
SUM(
IF(
'PORTIFÓLIO'!$C$4:$C$564=$A295,
N(INDEX('PORTIFÓLIO'!$J$4:$Q$564,,MATCH(H$2,'PORTIFÓLIO'!$J$3:$Q$3,0))) *
N('PORTIFÓLIO'!$S$4:$S$564),
0
)
),
0)</f>
        <v>0</v>
      </c>
      <c r="I295" s="47">
        <f t="shared" si="8"/>
        <v>0</v>
      </c>
      <c r="J295" s="49">
        <f t="array" ref="J295">IFERROR(
SUM(
IF(
'PORTIFÓLIO'!$C$4:$C$564=$A295,
N(INDEX('PORTIFÓLIO'!$J$4:$Q$564,,MATCH(J$2,'PORTIFÓLIO'!$J$3:$Q$3,0))) *
N('PORTIFÓLIO'!$S$4:$S$564),
0
)
),
0)</f>
        <v>0</v>
      </c>
      <c r="K295" s="47">
        <f t="shared" si="9"/>
        <v>0</v>
      </c>
      <c r="L295" s="49">
        <f t="array" ref="L295">IFERROR(
SUM(
IF(
'PORTIFÓLIO'!$C$4:$C$564=$A295,
N(INDEX('PORTIFÓLIO'!$J$4:$Q$564,,MATCH(L$2,'PORTIFÓLIO'!$J$3:$Q$3,0))) *
N('PORTIFÓLIO'!$S$4:$S$564),
0
)
),
0)</f>
        <v>0</v>
      </c>
      <c r="M295" s="47">
        <f t="shared" si="10"/>
        <v>0</v>
      </c>
      <c r="N295" s="49">
        <f t="array" ref="N295">IFERROR(
SUM(
IF(
'PORTIFÓLIO'!$C$4:$C$564=$A295,
N(INDEX('PORTIFÓLIO'!$J$4:$Q$564,,MATCH(N$2,'PORTIFÓLIO'!$J$3:$Q$3,0))) *
N('PORTIFÓLIO'!$S$4:$S$564),
0
)
),
0)</f>
        <v>0</v>
      </c>
      <c r="O295" s="49">
        <f t="shared" si="11"/>
        <v>0</v>
      </c>
      <c r="P295" s="49">
        <f t="array" ref="P295">IFERROR(
SUM(
IF(
'PORTIFÓLIO'!$C$4:$C$564=$A295,
N(INDEX('PORTIFÓLIO'!$J$4:$Q$564,,MATCH(P$2,'PORTIFÓLIO'!$J$3:$Q$3,0))) *
N('PORTIFÓLIO'!$S$4:$S$564),
0
)
),
0)</f>
        <v>0</v>
      </c>
      <c r="Q295" s="49">
        <f t="shared" si="12"/>
        <v>0</v>
      </c>
      <c r="R295" s="49">
        <f t="shared" si="2"/>
        <v>0</v>
      </c>
      <c r="S295" s="49">
        <f t="shared" si="13"/>
        <v>0</v>
      </c>
    </row>
    <row r="296" ht="15.75" hidden="1" customHeight="1" outlineLevel="1">
      <c r="A296" s="48" t="str">
        <f>IFERROR(__xludf.DUMMYFUNCTION("""COMPUTED_VALUE"""),"RIZOLIQ LLI")</f>
        <v>RIZOLIQ LLI</v>
      </c>
      <c r="B296" s="49">
        <f t="array" ref="B296">IFERROR(
SUM(
IF(
'PORTIFÓLIO'!$C$4:$C$564=$A296,
N(INDEX('PORTIFÓLIO'!$J$4:$Q$564,,MATCH(B$2,'PORTIFÓLIO'!$J$3:$Q$3,0))) *
N('PORTIFÓLIO'!$S$4:$S$564),
0
)
),
0)</f>
        <v>0</v>
      </c>
      <c r="C296" s="49">
        <f t="shared" si="5"/>
        <v>0</v>
      </c>
      <c r="D296" s="49">
        <f t="array" ref="D296">IFERROR(
SUM(
IF(
'PORTIFÓLIO'!$C$4:$C$564=$A296,
N(INDEX('PORTIFÓLIO'!$J$4:$Q$564,,MATCH(D$2,'PORTIFÓLIO'!$J$3:$Q$3,0))) *
N('PORTIFÓLIO'!$S$4:$S$564),
0
)
),
0)</f>
        <v>0</v>
      </c>
      <c r="E296" s="49">
        <f t="shared" si="6"/>
        <v>0</v>
      </c>
      <c r="F296" s="49">
        <f t="array" ref="F296">IFERROR(
SUM(
IF(
'PORTIFÓLIO'!$C$4:$C$564=$A296,
N(INDEX('PORTIFÓLIO'!$J$4:$Q$564,,MATCH(F$2,'PORTIFÓLIO'!$J$3:$Q$3,0))) *
N('PORTIFÓLIO'!$S$4:$S$564),
0
)
),
0)</f>
        <v>0</v>
      </c>
      <c r="G296" s="47">
        <f t="shared" si="7"/>
        <v>0</v>
      </c>
      <c r="H296" s="49">
        <f t="array" ref="H296">IFERROR(
SUM(
IF(
'PORTIFÓLIO'!$C$4:$C$564=$A296,
N(INDEX('PORTIFÓLIO'!$J$4:$Q$564,,MATCH(H$2,'PORTIFÓLIO'!$J$3:$Q$3,0))) *
N('PORTIFÓLIO'!$S$4:$S$564),
0
)
),
0)</f>
        <v>0</v>
      </c>
      <c r="I296" s="47">
        <f t="shared" si="8"/>
        <v>0</v>
      </c>
      <c r="J296" s="49">
        <f t="array" ref="J296">IFERROR(
SUM(
IF(
'PORTIFÓLIO'!$C$4:$C$564=$A296,
N(INDEX('PORTIFÓLIO'!$J$4:$Q$564,,MATCH(J$2,'PORTIFÓLIO'!$J$3:$Q$3,0))) *
N('PORTIFÓLIO'!$S$4:$S$564),
0
)
),
0)</f>
        <v>0</v>
      </c>
      <c r="K296" s="47">
        <f t="shared" si="9"/>
        <v>0</v>
      </c>
      <c r="L296" s="49">
        <f t="array" ref="L296">IFERROR(
SUM(
IF(
'PORTIFÓLIO'!$C$4:$C$564=$A296,
N(INDEX('PORTIFÓLIO'!$J$4:$Q$564,,MATCH(L$2,'PORTIFÓLIO'!$J$3:$Q$3,0))) *
N('PORTIFÓLIO'!$S$4:$S$564),
0
)
),
0)</f>
        <v>0</v>
      </c>
      <c r="M296" s="47">
        <f t="shared" si="10"/>
        <v>0</v>
      </c>
      <c r="N296" s="49">
        <f t="array" ref="N296">IFERROR(
SUM(
IF(
'PORTIFÓLIO'!$C$4:$C$564=$A296,
N(INDEX('PORTIFÓLIO'!$J$4:$Q$564,,MATCH(N$2,'PORTIFÓLIO'!$J$3:$Q$3,0))) *
N('PORTIFÓLIO'!$S$4:$S$564),
0
)
),
0)</f>
        <v>0</v>
      </c>
      <c r="O296" s="49">
        <f t="shared" si="11"/>
        <v>0</v>
      </c>
      <c r="P296" s="49">
        <f t="array" ref="P296">IFERROR(
SUM(
IF(
'PORTIFÓLIO'!$C$4:$C$564=$A296,
N(INDEX('PORTIFÓLIO'!$J$4:$Q$564,,MATCH(P$2,'PORTIFÓLIO'!$J$3:$Q$3,0))) *
N('PORTIFÓLIO'!$S$4:$S$564),
0
)
),
0)</f>
        <v>0</v>
      </c>
      <c r="Q296" s="49">
        <f t="shared" si="12"/>
        <v>0</v>
      </c>
      <c r="R296" s="49">
        <f t="shared" si="2"/>
        <v>0</v>
      </c>
      <c r="S296" s="49">
        <f t="shared" si="13"/>
        <v>0</v>
      </c>
    </row>
    <row r="297" ht="15.75" hidden="1" customHeight="1" outlineLevel="1">
      <c r="A297" s="48" t="str">
        <f>IFERROR(__xludf.DUMMYFUNCTION("""COMPUTED_VALUE"""),"PROVILAR")</f>
        <v>PROVILAR</v>
      </c>
      <c r="B297" s="49">
        <f t="array" ref="B297">IFERROR(
SUM(
IF(
'PORTIFÓLIO'!$C$4:$C$564=$A297,
N(INDEX('PORTIFÓLIO'!$J$4:$Q$564,,MATCH(B$2,'PORTIFÓLIO'!$J$3:$Q$3,0))) *
N('PORTIFÓLIO'!$S$4:$S$564),
0
)
),
0)</f>
        <v>0</v>
      </c>
      <c r="C297" s="49">
        <f t="shared" si="5"/>
        <v>0</v>
      </c>
      <c r="D297" s="49">
        <f t="array" ref="D297">IFERROR(
SUM(
IF(
'PORTIFÓLIO'!$C$4:$C$564=$A297,
N(INDEX('PORTIFÓLIO'!$J$4:$Q$564,,MATCH(D$2,'PORTIFÓLIO'!$J$3:$Q$3,0))) *
N('PORTIFÓLIO'!$S$4:$S$564),
0
)
),
0)</f>
        <v>0</v>
      </c>
      <c r="E297" s="49">
        <f t="shared" si="6"/>
        <v>0</v>
      </c>
      <c r="F297" s="49">
        <f t="array" ref="F297">IFERROR(
SUM(
IF(
'PORTIFÓLIO'!$C$4:$C$564=$A297,
N(INDEX('PORTIFÓLIO'!$J$4:$Q$564,,MATCH(F$2,'PORTIFÓLIO'!$J$3:$Q$3,0))) *
N('PORTIFÓLIO'!$S$4:$S$564),
0
)
),
0)</f>
        <v>0</v>
      </c>
      <c r="G297" s="47">
        <f t="shared" si="7"/>
        <v>0</v>
      </c>
      <c r="H297" s="49">
        <f t="array" ref="H297">IFERROR(
SUM(
IF(
'PORTIFÓLIO'!$C$4:$C$564=$A297,
N(INDEX('PORTIFÓLIO'!$J$4:$Q$564,,MATCH(H$2,'PORTIFÓLIO'!$J$3:$Q$3,0))) *
N('PORTIFÓLIO'!$S$4:$S$564),
0
)
),
0)</f>
        <v>0</v>
      </c>
      <c r="I297" s="47">
        <f t="shared" si="8"/>
        <v>0</v>
      </c>
      <c r="J297" s="49">
        <f t="array" ref="J297">IFERROR(
SUM(
IF(
'PORTIFÓLIO'!$C$4:$C$564=$A297,
N(INDEX('PORTIFÓLIO'!$J$4:$Q$564,,MATCH(J$2,'PORTIFÓLIO'!$J$3:$Q$3,0))) *
N('PORTIFÓLIO'!$S$4:$S$564),
0
)
),
0)</f>
        <v>0</v>
      </c>
      <c r="K297" s="47">
        <f t="shared" si="9"/>
        <v>0</v>
      </c>
      <c r="L297" s="49">
        <f t="array" ref="L297">IFERROR(
SUM(
IF(
'PORTIFÓLIO'!$C$4:$C$564=$A297,
N(INDEX('PORTIFÓLIO'!$J$4:$Q$564,,MATCH(L$2,'PORTIFÓLIO'!$J$3:$Q$3,0))) *
N('PORTIFÓLIO'!$S$4:$S$564),
0
)
),
0)</f>
        <v>0</v>
      </c>
      <c r="M297" s="47">
        <f t="shared" si="10"/>
        <v>0</v>
      </c>
      <c r="N297" s="49">
        <f t="array" ref="N297">IFERROR(
SUM(
IF(
'PORTIFÓLIO'!$C$4:$C$564=$A297,
N(INDEX('PORTIFÓLIO'!$J$4:$Q$564,,MATCH(N$2,'PORTIFÓLIO'!$J$3:$Q$3,0))) *
N('PORTIFÓLIO'!$S$4:$S$564),
0
)
),
0)</f>
        <v>0</v>
      </c>
      <c r="O297" s="49">
        <f t="shared" si="11"/>
        <v>0</v>
      </c>
      <c r="P297" s="49">
        <f t="array" ref="P297">IFERROR(
SUM(
IF(
'PORTIFÓLIO'!$C$4:$C$564=$A297,
N(INDEX('PORTIFÓLIO'!$J$4:$Q$564,,MATCH(P$2,'PORTIFÓLIO'!$J$3:$Q$3,0))) *
N('PORTIFÓLIO'!$S$4:$S$564),
0
)
),
0)</f>
        <v>0</v>
      </c>
      <c r="Q297" s="49">
        <f t="shared" si="12"/>
        <v>0</v>
      </c>
      <c r="R297" s="49">
        <f t="shared" si="2"/>
        <v>0</v>
      </c>
      <c r="S297" s="49">
        <f t="shared" si="13"/>
        <v>0</v>
      </c>
    </row>
    <row r="298" ht="15.75" hidden="1" customHeight="1" outlineLevel="1">
      <c r="A298" s="48" t="str">
        <f>IFERROR(__xludf.DUMMYFUNCTION("""COMPUTED_VALUE"""),"REVERB")</f>
        <v>REVERB</v>
      </c>
      <c r="B298" s="49">
        <f t="array" ref="B298">IFERROR(
SUM(
IF(
'PORTIFÓLIO'!$C$4:$C$564=$A298,
N(INDEX('PORTIFÓLIO'!$J$4:$Q$564,,MATCH(B$2,'PORTIFÓLIO'!$J$3:$Q$3,0))) *
N('PORTIFÓLIO'!$S$4:$S$564),
0
)
),
0)</f>
        <v>0</v>
      </c>
      <c r="C298" s="49">
        <f t="shared" si="5"/>
        <v>0</v>
      </c>
      <c r="D298" s="49">
        <f t="array" ref="D298">IFERROR(
SUM(
IF(
'PORTIFÓLIO'!$C$4:$C$564=$A298,
N(INDEX('PORTIFÓLIO'!$J$4:$Q$564,,MATCH(D$2,'PORTIFÓLIO'!$J$3:$Q$3,0))) *
N('PORTIFÓLIO'!$S$4:$S$564),
0
)
),
0)</f>
        <v>0</v>
      </c>
      <c r="E298" s="49">
        <f t="shared" si="6"/>
        <v>0</v>
      </c>
      <c r="F298" s="49">
        <f t="array" ref="F298">IFERROR(
SUM(
IF(
'PORTIFÓLIO'!$C$4:$C$564=$A298,
N(INDEX('PORTIFÓLIO'!$J$4:$Q$564,,MATCH(F$2,'PORTIFÓLIO'!$J$3:$Q$3,0))) *
N('PORTIFÓLIO'!$S$4:$S$564),
0
)
),
0)</f>
        <v>0</v>
      </c>
      <c r="G298" s="47">
        <f t="shared" si="7"/>
        <v>0</v>
      </c>
      <c r="H298" s="49">
        <f t="array" ref="H298">IFERROR(
SUM(
IF(
'PORTIFÓLIO'!$C$4:$C$564=$A298,
N(INDEX('PORTIFÓLIO'!$J$4:$Q$564,,MATCH(H$2,'PORTIFÓLIO'!$J$3:$Q$3,0))) *
N('PORTIFÓLIO'!$S$4:$S$564),
0
)
),
0)</f>
        <v>0</v>
      </c>
      <c r="I298" s="47">
        <f t="shared" si="8"/>
        <v>0</v>
      </c>
      <c r="J298" s="49">
        <f t="array" ref="J298">IFERROR(
SUM(
IF(
'PORTIFÓLIO'!$C$4:$C$564=$A298,
N(INDEX('PORTIFÓLIO'!$J$4:$Q$564,,MATCH(J$2,'PORTIFÓLIO'!$J$3:$Q$3,0))) *
N('PORTIFÓLIO'!$S$4:$S$564),
0
)
),
0)</f>
        <v>0</v>
      </c>
      <c r="K298" s="47">
        <f t="shared" si="9"/>
        <v>0</v>
      </c>
      <c r="L298" s="49">
        <f t="array" ref="L298">IFERROR(
SUM(
IF(
'PORTIFÓLIO'!$C$4:$C$564=$A298,
N(INDEX('PORTIFÓLIO'!$J$4:$Q$564,,MATCH(L$2,'PORTIFÓLIO'!$J$3:$Q$3,0))) *
N('PORTIFÓLIO'!$S$4:$S$564),
0
)
),
0)</f>
        <v>0</v>
      </c>
      <c r="M298" s="47">
        <f t="shared" si="10"/>
        <v>0</v>
      </c>
      <c r="N298" s="49">
        <f t="array" ref="N298">IFERROR(
SUM(
IF(
'PORTIFÓLIO'!$C$4:$C$564=$A298,
N(INDEX('PORTIFÓLIO'!$J$4:$Q$564,,MATCH(N$2,'PORTIFÓLIO'!$J$3:$Q$3,0))) *
N('PORTIFÓLIO'!$S$4:$S$564),
0
)
),
0)</f>
        <v>0</v>
      </c>
      <c r="O298" s="49">
        <f t="shared" si="11"/>
        <v>0</v>
      </c>
      <c r="P298" s="49">
        <f t="array" ref="P298">IFERROR(
SUM(
IF(
'PORTIFÓLIO'!$C$4:$C$564=$A298,
N(INDEX('PORTIFÓLIO'!$J$4:$Q$564,,MATCH(P$2,'PORTIFÓLIO'!$J$3:$Q$3,0))) *
N('PORTIFÓLIO'!$S$4:$S$564),
0
)
),
0)</f>
        <v>0</v>
      </c>
      <c r="Q298" s="49">
        <f t="shared" si="12"/>
        <v>0</v>
      </c>
      <c r="R298" s="49">
        <f t="shared" si="2"/>
        <v>0</v>
      </c>
      <c r="S298" s="49">
        <f t="shared" si="13"/>
        <v>0</v>
      </c>
    </row>
    <row r="299" ht="15.75" hidden="1" customHeight="1" outlineLevel="1">
      <c r="A299" s="48" t="str">
        <f>IFERROR(__xludf.DUMMYFUNCTION("""COMPUTED_VALUE"""),"ARVATICO")</f>
        <v>ARVATICO</v>
      </c>
      <c r="B299" s="49">
        <f t="array" ref="B299">IFERROR(
SUM(
IF(
'PORTIFÓLIO'!$C$4:$C$564=$A299,
N(INDEX('PORTIFÓLIO'!$J$4:$Q$564,,MATCH(B$2,'PORTIFÓLIO'!$J$3:$Q$3,0))) *
N('PORTIFÓLIO'!$S$4:$S$564),
0
)
),
0)</f>
        <v>0</v>
      </c>
      <c r="C299" s="49">
        <f t="shared" si="5"/>
        <v>0</v>
      </c>
      <c r="D299" s="49">
        <f t="array" ref="D299">IFERROR(
SUM(
IF(
'PORTIFÓLIO'!$C$4:$C$564=$A299,
N(INDEX('PORTIFÓLIO'!$J$4:$Q$564,,MATCH(D$2,'PORTIFÓLIO'!$J$3:$Q$3,0))) *
N('PORTIFÓLIO'!$S$4:$S$564),
0
)
),
0)</f>
        <v>0</v>
      </c>
      <c r="E299" s="49">
        <f t="shared" si="6"/>
        <v>0</v>
      </c>
      <c r="F299" s="49">
        <f t="array" ref="F299">IFERROR(
SUM(
IF(
'PORTIFÓLIO'!$C$4:$C$564=$A299,
N(INDEX('PORTIFÓLIO'!$J$4:$Q$564,,MATCH(F$2,'PORTIFÓLIO'!$J$3:$Q$3,0))) *
N('PORTIFÓLIO'!$S$4:$S$564),
0
)
),
0)</f>
        <v>0</v>
      </c>
      <c r="G299" s="47">
        <f t="shared" si="7"/>
        <v>0</v>
      </c>
      <c r="H299" s="49">
        <f t="array" ref="H299">IFERROR(
SUM(
IF(
'PORTIFÓLIO'!$C$4:$C$564=$A299,
N(INDEX('PORTIFÓLIO'!$J$4:$Q$564,,MATCH(H$2,'PORTIFÓLIO'!$J$3:$Q$3,0))) *
N('PORTIFÓLIO'!$S$4:$S$564),
0
)
),
0)</f>
        <v>0</v>
      </c>
      <c r="I299" s="47">
        <f t="shared" si="8"/>
        <v>0</v>
      </c>
      <c r="J299" s="49">
        <f t="array" ref="J299">IFERROR(
SUM(
IF(
'PORTIFÓLIO'!$C$4:$C$564=$A299,
N(INDEX('PORTIFÓLIO'!$J$4:$Q$564,,MATCH(J$2,'PORTIFÓLIO'!$J$3:$Q$3,0))) *
N('PORTIFÓLIO'!$S$4:$S$564),
0
)
),
0)</f>
        <v>0</v>
      </c>
      <c r="K299" s="47">
        <f t="shared" si="9"/>
        <v>0</v>
      </c>
      <c r="L299" s="49">
        <f t="array" ref="L299">IFERROR(
SUM(
IF(
'PORTIFÓLIO'!$C$4:$C$564=$A299,
N(INDEX('PORTIFÓLIO'!$J$4:$Q$564,,MATCH(L$2,'PORTIFÓLIO'!$J$3:$Q$3,0))) *
N('PORTIFÓLIO'!$S$4:$S$564),
0
)
),
0)</f>
        <v>0</v>
      </c>
      <c r="M299" s="47">
        <f t="shared" si="10"/>
        <v>0</v>
      </c>
      <c r="N299" s="49">
        <f t="array" ref="N299">IFERROR(
SUM(
IF(
'PORTIFÓLIO'!$C$4:$C$564=$A299,
N(INDEX('PORTIFÓLIO'!$J$4:$Q$564,,MATCH(N$2,'PORTIFÓLIO'!$J$3:$Q$3,0))) *
N('PORTIFÓLIO'!$S$4:$S$564),
0
)
),
0)</f>
        <v>0</v>
      </c>
      <c r="O299" s="49">
        <f t="shared" si="11"/>
        <v>0</v>
      </c>
      <c r="P299" s="49">
        <f t="array" ref="P299">IFERROR(
SUM(
IF(
'PORTIFÓLIO'!$C$4:$C$564=$A299,
N(INDEX('PORTIFÓLIO'!$J$4:$Q$564,,MATCH(P$2,'PORTIFÓLIO'!$J$3:$Q$3,0))) *
N('PORTIFÓLIO'!$S$4:$S$564),
0
)
),
0)</f>
        <v>0</v>
      </c>
      <c r="Q299" s="49">
        <f t="shared" si="12"/>
        <v>0</v>
      </c>
      <c r="R299" s="49">
        <f t="shared" si="2"/>
        <v>0</v>
      </c>
      <c r="S299" s="49">
        <f t="shared" si="13"/>
        <v>0</v>
      </c>
    </row>
    <row r="300" ht="15.75" hidden="1" customHeight="1" outlineLevel="1">
      <c r="A300" s="48" t="str">
        <f>IFERROR(__xludf.DUMMYFUNCTION("""COMPUTED_VALUE"""),"VERANGO PRIME")</f>
        <v>VERANGO PRIME</v>
      </c>
      <c r="B300" s="49">
        <f t="array" ref="B300">IFERROR(
SUM(
IF(
'PORTIFÓLIO'!$C$4:$C$564=$A300,
N(INDEX('PORTIFÓLIO'!$J$4:$Q$564,,MATCH(B$2,'PORTIFÓLIO'!$J$3:$Q$3,0))) *
N('PORTIFÓLIO'!$S$4:$S$564),
0
)
),
0)</f>
        <v>0</v>
      </c>
      <c r="C300" s="49">
        <f t="shared" si="5"/>
        <v>0</v>
      </c>
      <c r="D300" s="49">
        <f t="array" ref="D300">IFERROR(
SUM(
IF(
'PORTIFÓLIO'!$C$4:$C$564=$A300,
N(INDEX('PORTIFÓLIO'!$J$4:$Q$564,,MATCH(D$2,'PORTIFÓLIO'!$J$3:$Q$3,0))) *
N('PORTIFÓLIO'!$S$4:$S$564),
0
)
),
0)</f>
        <v>0</v>
      </c>
      <c r="E300" s="49">
        <f t="shared" si="6"/>
        <v>0</v>
      </c>
      <c r="F300" s="49">
        <f t="array" ref="F300">IFERROR(
SUM(
IF(
'PORTIFÓLIO'!$C$4:$C$564=$A300,
N(INDEX('PORTIFÓLIO'!$J$4:$Q$564,,MATCH(F$2,'PORTIFÓLIO'!$J$3:$Q$3,0))) *
N('PORTIFÓLIO'!$S$4:$S$564),
0
)
),
0)</f>
        <v>0</v>
      </c>
      <c r="G300" s="47">
        <f t="shared" si="7"/>
        <v>0</v>
      </c>
      <c r="H300" s="49">
        <f t="array" ref="H300">IFERROR(
SUM(
IF(
'PORTIFÓLIO'!$C$4:$C$564=$A300,
N(INDEX('PORTIFÓLIO'!$J$4:$Q$564,,MATCH(H$2,'PORTIFÓLIO'!$J$3:$Q$3,0))) *
N('PORTIFÓLIO'!$S$4:$S$564),
0
)
),
0)</f>
        <v>0</v>
      </c>
      <c r="I300" s="47">
        <f t="shared" si="8"/>
        <v>0</v>
      </c>
      <c r="J300" s="49">
        <f t="array" ref="J300">IFERROR(
SUM(
IF(
'PORTIFÓLIO'!$C$4:$C$564=$A300,
N(INDEX('PORTIFÓLIO'!$J$4:$Q$564,,MATCH(J$2,'PORTIFÓLIO'!$J$3:$Q$3,0))) *
N('PORTIFÓLIO'!$S$4:$S$564),
0
)
),
0)</f>
        <v>0</v>
      </c>
      <c r="K300" s="47">
        <f t="shared" si="9"/>
        <v>0</v>
      </c>
      <c r="L300" s="49">
        <f t="array" ref="L300">IFERROR(
SUM(
IF(
'PORTIFÓLIO'!$C$4:$C$564=$A300,
N(INDEX('PORTIFÓLIO'!$J$4:$Q$564,,MATCH(L$2,'PORTIFÓLIO'!$J$3:$Q$3,0))) *
N('PORTIFÓLIO'!$S$4:$S$564),
0
)
),
0)</f>
        <v>0</v>
      </c>
      <c r="M300" s="47">
        <f t="shared" si="10"/>
        <v>0</v>
      </c>
      <c r="N300" s="49">
        <f t="array" ref="N300">IFERROR(
SUM(
IF(
'PORTIFÓLIO'!$C$4:$C$564=$A300,
N(INDEX('PORTIFÓLIO'!$J$4:$Q$564,,MATCH(N$2,'PORTIFÓLIO'!$J$3:$Q$3,0))) *
N('PORTIFÓLIO'!$S$4:$S$564),
0
)
),
0)</f>
        <v>0</v>
      </c>
      <c r="O300" s="49">
        <f t="shared" si="11"/>
        <v>0</v>
      </c>
      <c r="P300" s="49">
        <f t="array" ref="P300">IFERROR(
SUM(
IF(
'PORTIFÓLIO'!$C$4:$C$564=$A300,
N(INDEX('PORTIFÓLIO'!$J$4:$Q$564,,MATCH(P$2,'PORTIFÓLIO'!$J$3:$Q$3,0))) *
N('PORTIFÓLIO'!$S$4:$S$564),
0
)
),
0)</f>
        <v>10193.98867</v>
      </c>
      <c r="Q300" s="49">
        <f t="shared" si="12"/>
        <v>31.8562146</v>
      </c>
      <c r="R300" s="49">
        <f t="shared" si="2"/>
        <v>10193.98867</v>
      </c>
      <c r="S300" s="49">
        <f t="shared" si="13"/>
        <v>3.048441589</v>
      </c>
    </row>
    <row r="301" ht="15.75" hidden="1" customHeight="1" outlineLevel="1">
      <c r="A301" s="48" t="str">
        <f>IFERROR(__xludf.DUMMYFUNCTION("""COMPUTED_VALUE"""),"FIPRONIL NORTOX MAX")</f>
        <v>FIPRONIL NORTOX MAX</v>
      </c>
      <c r="B301" s="49">
        <f t="array" ref="B301">IFERROR(
SUM(
IF(
'PORTIFÓLIO'!$C$4:$C$564=$A301,
N(INDEX('PORTIFÓLIO'!$J$4:$Q$564,,MATCH(B$2,'PORTIFÓLIO'!$J$3:$Q$3,0))) *
N('PORTIFÓLIO'!$S$4:$S$564),
0
)
),
0)</f>
        <v>0</v>
      </c>
      <c r="C301" s="49">
        <f t="shared" si="5"/>
        <v>0</v>
      </c>
      <c r="D301" s="49">
        <f t="array" ref="D301">IFERROR(
SUM(
IF(
'PORTIFÓLIO'!$C$4:$C$564=$A301,
N(INDEX('PORTIFÓLIO'!$J$4:$Q$564,,MATCH(D$2,'PORTIFÓLIO'!$J$3:$Q$3,0))) *
N('PORTIFÓLIO'!$S$4:$S$564),
0
)
),
0)</f>
        <v>0</v>
      </c>
      <c r="E301" s="49">
        <f t="shared" si="6"/>
        <v>0</v>
      </c>
      <c r="F301" s="49">
        <f t="array" ref="F301">IFERROR(
SUM(
IF(
'PORTIFÓLIO'!$C$4:$C$564=$A301,
N(INDEX('PORTIFÓLIO'!$J$4:$Q$564,,MATCH(F$2,'PORTIFÓLIO'!$J$3:$Q$3,0))) *
N('PORTIFÓLIO'!$S$4:$S$564),
0
)
),
0)</f>
        <v>0</v>
      </c>
      <c r="G301" s="47">
        <f t="shared" si="7"/>
        <v>0</v>
      </c>
      <c r="H301" s="49">
        <f t="array" ref="H301">IFERROR(
SUM(
IF(
'PORTIFÓLIO'!$C$4:$C$564=$A301,
N(INDEX('PORTIFÓLIO'!$J$4:$Q$564,,MATCH(H$2,'PORTIFÓLIO'!$J$3:$Q$3,0))) *
N('PORTIFÓLIO'!$S$4:$S$564),
0
)
),
0)</f>
        <v>0</v>
      </c>
      <c r="I301" s="47">
        <f t="shared" si="8"/>
        <v>0</v>
      </c>
      <c r="J301" s="49">
        <f t="array" ref="J301">IFERROR(
SUM(
IF(
'PORTIFÓLIO'!$C$4:$C$564=$A301,
N(INDEX('PORTIFÓLIO'!$J$4:$Q$564,,MATCH(J$2,'PORTIFÓLIO'!$J$3:$Q$3,0))) *
N('PORTIFÓLIO'!$S$4:$S$564),
0
)
),
0)</f>
        <v>0</v>
      </c>
      <c r="K301" s="47">
        <f t="shared" si="9"/>
        <v>0</v>
      </c>
      <c r="L301" s="49">
        <f t="array" ref="L301">IFERROR(
SUM(
IF(
'PORTIFÓLIO'!$C$4:$C$564=$A301,
N(INDEX('PORTIFÓLIO'!$J$4:$Q$564,,MATCH(L$2,'PORTIFÓLIO'!$J$3:$Q$3,0))) *
N('PORTIFÓLIO'!$S$4:$S$564),
0
)
),
0)</f>
        <v>0</v>
      </c>
      <c r="M301" s="47">
        <f t="shared" si="10"/>
        <v>0</v>
      </c>
      <c r="N301" s="49">
        <f t="array" ref="N301">IFERROR(
SUM(
IF(
'PORTIFÓLIO'!$C$4:$C$564=$A301,
N(INDEX('PORTIFÓLIO'!$J$4:$Q$564,,MATCH(N$2,'PORTIFÓLIO'!$J$3:$Q$3,0))) *
N('PORTIFÓLIO'!$S$4:$S$564),
0
)
),
0)</f>
        <v>0</v>
      </c>
      <c r="O301" s="49">
        <f t="shared" si="11"/>
        <v>0</v>
      </c>
      <c r="P301" s="49">
        <f t="array" ref="P301">IFERROR(
SUM(
IF(
'PORTIFÓLIO'!$C$4:$C$564=$A301,
N(INDEX('PORTIFÓLIO'!$J$4:$Q$564,,MATCH(P$2,'PORTIFÓLIO'!$J$3:$Q$3,0))) *
N('PORTIFÓLIO'!$S$4:$S$564),
0
)
),
0)</f>
        <v>0</v>
      </c>
      <c r="Q301" s="49">
        <f t="shared" si="12"/>
        <v>0</v>
      </c>
      <c r="R301" s="49">
        <f t="shared" si="2"/>
        <v>0</v>
      </c>
      <c r="S301" s="49">
        <f t="shared" si="13"/>
        <v>0</v>
      </c>
    </row>
    <row r="302" ht="15.75" hidden="1" customHeight="1" outlineLevel="1">
      <c r="A302" s="48" t="str">
        <f>IFERROR(__xludf.DUMMYFUNCTION("""COMPUTED_VALUE"""),"MAXIM ADVANCED")</f>
        <v>MAXIM ADVANCED</v>
      </c>
      <c r="B302" s="49">
        <f t="array" ref="B302">IFERROR(
SUM(
IF(
'PORTIFÓLIO'!$C$4:$C$564=$A302,
N(INDEX('PORTIFÓLIO'!$J$4:$Q$564,,MATCH(B$2,'PORTIFÓLIO'!$J$3:$Q$3,0))) *
N('PORTIFÓLIO'!$S$4:$S$564),
0
)
),
0)</f>
        <v>0</v>
      </c>
      <c r="C302" s="49">
        <f t="shared" si="5"/>
        <v>0</v>
      </c>
      <c r="D302" s="49">
        <f t="array" ref="D302">IFERROR(
SUM(
IF(
'PORTIFÓLIO'!$C$4:$C$564=$A302,
N(INDEX('PORTIFÓLIO'!$J$4:$Q$564,,MATCH(D$2,'PORTIFÓLIO'!$J$3:$Q$3,0))) *
N('PORTIFÓLIO'!$S$4:$S$564),
0
)
),
0)</f>
        <v>0</v>
      </c>
      <c r="E302" s="49">
        <f t="shared" si="6"/>
        <v>0</v>
      </c>
      <c r="F302" s="49">
        <f t="array" ref="F302">IFERROR(
SUM(
IF(
'PORTIFÓLIO'!$C$4:$C$564=$A302,
N(INDEX('PORTIFÓLIO'!$J$4:$Q$564,,MATCH(F$2,'PORTIFÓLIO'!$J$3:$Q$3,0))) *
N('PORTIFÓLIO'!$S$4:$S$564),
0
)
),
0)</f>
        <v>0</v>
      </c>
      <c r="G302" s="47">
        <f t="shared" si="7"/>
        <v>0</v>
      </c>
      <c r="H302" s="49">
        <f t="array" ref="H302">IFERROR(
SUM(
IF(
'PORTIFÓLIO'!$C$4:$C$564=$A302,
N(INDEX('PORTIFÓLIO'!$J$4:$Q$564,,MATCH(H$2,'PORTIFÓLIO'!$J$3:$Q$3,0))) *
N('PORTIFÓLIO'!$S$4:$S$564),
0
)
),
0)</f>
        <v>0</v>
      </c>
      <c r="I302" s="47">
        <f t="shared" si="8"/>
        <v>0</v>
      </c>
      <c r="J302" s="49">
        <f t="array" ref="J302">IFERROR(
SUM(
IF(
'PORTIFÓLIO'!$C$4:$C$564=$A302,
N(INDEX('PORTIFÓLIO'!$J$4:$Q$564,,MATCH(J$2,'PORTIFÓLIO'!$J$3:$Q$3,0))) *
N('PORTIFÓLIO'!$S$4:$S$564),
0
)
),
0)</f>
        <v>0</v>
      </c>
      <c r="K302" s="47">
        <f t="shared" si="9"/>
        <v>0</v>
      </c>
      <c r="L302" s="49">
        <f t="array" ref="L302">IFERROR(
SUM(
IF(
'PORTIFÓLIO'!$C$4:$C$564=$A302,
N(INDEX('PORTIFÓLIO'!$J$4:$Q$564,,MATCH(L$2,'PORTIFÓLIO'!$J$3:$Q$3,0))) *
N('PORTIFÓLIO'!$S$4:$S$564),
0
)
),
0)</f>
        <v>0</v>
      </c>
      <c r="M302" s="47">
        <f t="shared" si="10"/>
        <v>0</v>
      </c>
      <c r="N302" s="49">
        <f t="array" ref="N302">IFERROR(
SUM(
IF(
'PORTIFÓLIO'!$C$4:$C$564=$A302,
N(INDEX('PORTIFÓLIO'!$J$4:$Q$564,,MATCH(N$2,'PORTIFÓLIO'!$J$3:$Q$3,0))) *
N('PORTIFÓLIO'!$S$4:$S$564),
0
)
),
0)</f>
        <v>0</v>
      </c>
      <c r="O302" s="49">
        <f t="shared" si="11"/>
        <v>0</v>
      </c>
      <c r="P302" s="49">
        <f t="array" ref="P302">IFERROR(
SUM(
IF(
'PORTIFÓLIO'!$C$4:$C$564=$A302,
N(INDEX('PORTIFÓLIO'!$J$4:$Q$564,,MATCH(P$2,'PORTIFÓLIO'!$J$3:$Q$3,0))) *
N('PORTIFÓLIO'!$S$4:$S$564),
0
)
),
0)</f>
        <v>0</v>
      </c>
      <c r="Q302" s="49">
        <f t="shared" si="12"/>
        <v>0</v>
      </c>
      <c r="R302" s="49">
        <f t="shared" si="2"/>
        <v>0</v>
      </c>
      <c r="S302" s="49">
        <f t="shared" si="13"/>
        <v>0</v>
      </c>
    </row>
    <row r="303" ht="15.75" hidden="1" customHeight="1" outlineLevel="1">
      <c r="A303" s="48" t="str">
        <f>IFERROR(__xludf.DUMMYFUNCTION("""COMPUTED_VALUE"""),"MAXIM XL")</f>
        <v>MAXIM XL</v>
      </c>
      <c r="B303" s="49">
        <f t="array" ref="B303">IFERROR(
SUM(
IF(
'PORTIFÓLIO'!$C$4:$C$564=$A303,
N(INDEX('PORTIFÓLIO'!$J$4:$Q$564,,MATCH(B$2,'PORTIFÓLIO'!$J$3:$Q$3,0))) *
N('PORTIFÓLIO'!$S$4:$S$564),
0
)
),
0)</f>
        <v>0</v>
      </c>
      <c r="C303" s="49">
        <f t="shared" si="5"/>
        <v>0</v>
      </c>
      <c r="D303" s="49">
        <f t="array" ref="D303">IFERROR(
SUM(
IF(
'PORTIFÓLIO'!$C$4:$C$564=$A303,
N(INDEX('PORTIFÓLIO'!$J$4:$Q$564,,MATCH(D$2,'PORTIFÓLIO'!$J$3:$Q$3,0))) *
N('PORTIFÓLIO'!$S$4:$S$564),
0
)
),
0)</f>
        <v>0</v>
      </c>
      <c r="E303" s="49">
        <f t="shared" si="6"/>
        <v>0</v>
      </c>
      <c r="F303" s="49">
        <f t="array" ref="F303">IFERROR(
SUM(
IF(
'PORTIFÓLIO'!$C$4:$C$564=$A303,
N(INDEX('PORTIFÓLIO'!$J$4:$Q$564,,MATCH(F$2,'PORTIFÓLIO'!$J$3:$Q$3,0))) *
N('PORTIFÓLIO'!$S$4:$S$564),
0
)
),
0)</f>
        <v>0</v>
      </c>
      <c r="G303" s="47">
        <f t="shared" si="7"/>
        <v>0</v>
      </c>
      <c r="H303" s="49">
        <f t="array" ref="H303">IFERROR(
SUM(
IF(
'PORTIFÓLIO'!$C$4:$C$564=$A303,
N(INDEX('PORTIFÓLIO'!$J$4:$Q$564,,MATCH(H$2,'PORTIFÓLIO'!$J$3:$Q$3,0))) *
N('PORTIFÓLIO'!$S$4:$S$564),
0
)
),
0)</f>
        <v>0</v>
      </c>
      <c r="I303" s="47">
        <f t="shared" si="8"/>
        <v>0</v>
      </c>
      <c r="J303" s="49">
        <f t="array" ref="J303">IFERROR(
SUM(
IF(
'PORTIFÓLIO'!$C$4:$C$564=$A303,
N(INDEX('PORTIFÓLIO'!$J$4:$Q$564,,MATCH(J$2,'PORTIFÓLIO'!$J$3:$Q$3,0))) *
N('PORTIFÓLIO'!$S$4:$S$564),
0
)
),
0)</f>
        <v>0</v>
      </c>
      <c r="K303" s="47">
        <f t="shared" si="9"/>
        <v>0</v>
      </c>
      <c r="L303" s="49">
        <f t="array" ref="L303">IFERROR(
SUM(
IF(
'PORTIFÓLIO'!$C$4:$C$564=$A303,
N(INDEX('PORTIFÓLIO'!$J$4:$Q$564,,MATCH(L$2,'PORTIFÓLIO'!$J$3:$Q$3,0))) *
N('PORTIFÓLIO'!$S$4:$S$564),
0
)
),
0)</f>
        <v>0</v>
      </c>
      <c r="M303" s="47">
        <f t="shared" si="10"/>
        <v>0</v>
      </c>
      <c r="N303" s="49">
        <f t="array" ref="N303">IFERROR(
SUM(
IF(
'PORTIFÓLIO'!$C$4:$C$564=$A303,
N(INDEX('PORTIFÓLIO'!$J$4:$Q$564,,MATCH(N$2,'PORTIFÓLIO'!$J$3:$Q$3,0))) *
N('PORTIFÓLIO'!$S$4:$S$564),
0
)
),
0)</f>
        <v>0</v>
      </c>
      <c r="O303" s="49">
        <f t="shared" si="11"/>
        <v>0</v>
      </c>
      <c r="P303" s="49">
        <f t="array" ref="P303">IFERROR(
SUM(
IF(
'PORTIFÓLIO'!$C$4:$C$564=$A303,
N(INDEX('PORTIFÓLIO'!$J$4:$Q$564,,MATCH(P$2,'PORTIFÓLIO'!$J$3:$Q$3,0))) *
N('PORTIFÓLIO'!$S$4:$S$564),
0
)
),
0)</f>
        <v>0</v>
      </c>
      <c r="Q303" s="49">
        <f t="shared" si="12"/>
        <v>0</v>
      </c>
      <c r="R303" s="49">
        <f t="shared" si="2"/>
        <v>0</v>
      </c>
      <c r="S303" s="49">
        <f t="shared" si="13"/>
        <v>0</v>
      </c>
    </row>
    <row r="304" ht="15.75" hidden="1" customHeight="1" outlineLevel="1">
      <c r="A304" s="48" t="str">
        <f>IFERROR(__xludf.DUMMYFUNCTION("""COMPUTED_VALUE"""),"VICTRATO")</f>
        <v>VICTRATO</v>
      </c>
      <c r="B304" s="49">
        <f t="array" ref="B304">IFERROR(
SUM(
IF(
'PORTIFÓLIO'!$C$4:$C$564=$A304,
N(INDEX('PORTIFÓLIO'!$J$4:$Q$564,,MATCH(B$2,'PORTIFÓLIO'!$J$3:$Q$3,0))) *
N('PORTIFÓLIO'!$S$4:$S$564),
0
)
),
0)</f>
        <v>0</v>
      </c>
      <c r="C304" s="49">
        <f t="shared" si="5"/>
        <v>0</v>
      </c>
      <c r="D304" s="49">
        <f t="array" ref="D304">IFERROR(
SUM(
IF(
'PORTIFÓLIO'!$C$4:$C$564=$A304,
N(INDEX('PORTIFÓLIO'!$J$4:$Q$564,,MATCH(D$2,'PORTIFÓLIO'!$J$3:$Q$3,0))) *
N('PORTIFÓLIO'!$S$4:$S$564),
0
)
),
0)</f>
        <v>52624.908</v>
      </c>
      <c r="E304" s="49">
        <f t="shared" si="6"/>
        <v>175.41636</v>
      </c>
      <c r="F304" s="49">
        <f t="array" ref="F304">IFERROR(
SUM(
IF(
'PORTIFÓLIO'!$C$4:$C$564=$A304,
N(INDEX('PORTIFÓLIO'!$J$4:$Q$564,,MATCH(F$2,'PORTIFÓLIO'!$J$3:$Q$3,0))) *
N('PORTIFÓLIO'!$S$4:$S$564),
0
)
),
0)</f>
        <v>38591.5992</v>
      </c>
      <c r="G304" s="47">
        <f t="shared" si="7"/>
        <v>175.41636</v>
      </c>
      <c r="H304" s="49">
        <f t="array" ref="H304">IFERROR(
SUM(
IF(
'PORTIFÓLIO'!$C$4:$C$564=$A304,
N(INDEX('PORTIFÓLIO'!$J$4:$Q$564,,MATCH(H$2,'PORTIFÓLIO'!$J$3:$Q$3,0))) *
N('PORTIFÓLIO'!$S$4:$S$564),
0
)
),
0)</f>
        <v>0</v>
      </c>
      <c r="I304" s="47">
        <f t="shared" si="8"/>
        <v>0</v>
      </c>
      <c r="J304" s="49">
        <f t="array" ref="J304">IFERROR(
SUM(
IF(
'PORTIFÓLIO'!$C$4:$C$564=$A304,
N(INDEX('PORTIFÓLIO'!$J$4:$Q$564,,MATCH(J$2,'PORTIFÓLIO'!$J$3:$Q$3,0))) *
N('PORTIFÓLIO'!$S$4:$S$564),
0
)
),
0)</f>
        <v>0</v>
      </c>
      <c r="K304" s="47">
        <f t="shared" si="9"/>
        <v>0</v>
      </c>
      <c r="L304" s="49">
        <f t="array" ref="L304">IFERROR(
SUM(
IF(
'PORTIFÓLIO'!$C$4:$C$564=$A304,
N(INDEX('PORTIFÓLIO'!$J$4:$Q$564,,MATCH(L$2,'PORTIFÓLIO'!$J$3:$Q$3,0))) *
N('PORTIFÓLIO'!$S$4:$S$564),
0
)
),
0)</f>
        <v>0</v>
      </c>
      <c r="M304" s="47">
        <f t="shared" si="10"/>
        <v>0</v>
      </c>
      <c r="N304" s="49">
        <f t="array" ref="N304">IFERROR(
SUM(
IF(
'PORTIFÓLIO'!$C$4:$C$564=$A304,
N(INDEX('PORTIFÓLIO'!$J$4:$Q$564,,MATCH(N$2,'PORTIFÓLIO'!$J$3:$Q$3,0))) *
N('PORTIFÓLIO'!$S$4:$S$564),
0
)
),
0)</f>
        <v>32978.27568</v>
      </c>
      <c r="O304" s="49">
        <f t="shared" si="11"/>
        <v>27.07576</v>
      </c>
      <c r="P304" s="49">
        <f t="array" ref="P304">IFERROR(
SUM(
IF(
'PORTIFÓLIO'!$C$4:$C$564=$A304,
N(INDEX('PORTIFÓLIO'!$J$4:$Q$564,,MATCH(P$2,'PORTIFÓLIO'!$J$3:$Q$3,0))) *
N('PORTIFÓLIO'!$S$4:$S$564),
0
)
),
0)</f>
        <v>17541.636</v>
      </c>
      <c r="Q304" s="49">
        <f t="shared" si="12"/>
        <v>54.8176125</v>
      </c>
      <c r="R304" s="49">
        <f t="shared" si="2"/>
        <v>103144.8197</v>
      </c>
      <c r="S304" s="49">
        <f t="shared" si="13"/>
        <v>30.84474273</v>
      </c>
    </row>
    <row r="305" ht="15.75" hidden="1" customHeight="1" outlineLevel="1">
      <c r="A305" s="48" t="str">
        <f>IFERROR(__xludf.DUMMYFUNCTION("""COMPUTED_VALUE"""),"SPECTRO")</f>
        <v>SPECTRO</v>
      </c>
      <c r="B305" s="49">
        <f t="array" ref="B305">IFERROR(
SUM(
IF(
'PORTIFÓLIO'!$C$4:$C$564=$A305,
N(INDEX('PORTIFÓLIO'!$J$4:$Q$564,,MATCH(B$2,'PORTIFÓLIO'!$J$3:$Q$3,0))) *
N('PORTIFÓLIO'!$S$4:$S$564),
0
)
),
0)</f>
        <v>0</v>
      </c>
      <c r="C305" s="49">
        <f t="shared" si="5"/>
        <v>0</v>
      </c>
      <c r="D305" s="49">
        <f t="array" ref="D305">IFERROR(
SUM(
IF(
'PORTIFÓLIO'!$C$4:$C$564=$A305,
N(INDEX('PORTIFÓLIO'!$J$4:$Q$564,,MATCH(D$2,'PORTIFÓLIO'!$J$3:$Q$3,0))) *
N('PORTIFÓLIO'!$S$4:$S$564),
0
)
),
0)</f>
        <v>535.458</v>
      </c>
      <c r="E305" s="49">
        <f t="shared" si="6"/>
        <v>1.78486</v>
      </c>
      <c r="F305" s="49">
        <f t="array" ref="F305">IFERROR(
SUM(
IF(
'PORTIFÓLIO'!$C$4:$C$564=$A305,
N(INDEX('PORTIFÓLIO'!$J$4:$Q$564,,MATCH(F$2,'PORTIFÓLIO'!$J$3:$Q$3,0))) *
N('PORTIFÓLIO'!$S$4:$S$564),
0
)
),
0)</f>
        <v>392.6692</v>
      </c>
      <c r="G305" s="47">
        <f t="shared" si="7"/>
        <v>1.78486</v>
      </c>
      <c r="H305" s="49">
        <f t="array" ref="H305">IFERROR(
SUM(
IF(
'PORTIFÓLIO'!$C$4:$C$564=$A305,
N(INDEX('PORTIFÓLIO'!$J$4:$Q$564,,MATCH(H$2,'PORTIFÓLIO'!$J$3:$Q$3,0))) *
N('PORTIFÓLIO'!$S$4:$S$564),
0
)
),
0)</f>
        <v>0</v>
      </c>
      <c r="I305" s="47">
        <f t="shared" si="8"/>
        <v>0</v>
      </c>
      <c r="J305" s="49">
        <f t="array" ref="J305">IFERROR(
SUM(
IF(
'PORTIFÓLIO'!$C$4:$C$564=$A305,
N(INDEX('PORTIFÓLIO'!$J$4:$Q$564,,MATCH(J$2,'PORTIFÓLIO'!$J$3:$Q$3,0))) *
N('PORTIFÓLIO'!$S$4:$S$564),
0
)
),
0)</f>
        <v>0</v>
      </c>
      <c r="K305" s="47">
        <f t="shared" si="9"/>
        <v>0</v>
      </c>
      <c r="L305" s="49">
        <f t="array" ref="L305">IFERROR(
SUM(
IF(
'PORTIFÓLIO'!$C$4:$C$564=$A305,
N(INDEX('PORTIFÓLIO'!$J$4:$Q$564,,MATCH(L$2,'PORTIFÓLIO'!$J$3:$Q$3,0))) *
N('PORTIFÓLIO'!$S$4:$S$564),
0
)
),
0)</f>
        <v>0</v>
      </c>
      <c r="M305" s="47">
        <f t="shared" si="10"/>
        <v>0</v>
      </c>
      <c r="N305" s="49">
        <f t="array" ref="N305">IFERROR(
SUM(
IF(
'PORTIFÓLIO'!$C$4:$C$564=$A305,
N(INDEX('PORTIFÓLIO'!$J$4:$Q$564,,MATCH(N$2,'PORTIFÓLIO'!$J$3:$Q$3,0))) *
N('PORTIFÓLIO'!$S$4:$S$564),
0
)
),
0)</f>
        <v>2173.95948</v>
      </c>
      <c r="O305" s="49">
        <f t="shared" si="11"/>
        <v>1.78486</v>
      </c>
      <c r="P305" s="49">
        <f t="array" ref="P305">IFERROR(
SUM(
IF(
'PORTIFÓLIO'!$C$4:$C$564=$A305,
N(INDEX('PORTIFÓLIO'!$J$4:$Q$564,,MATCH(P$2,'PORTIFÓLIO'!$J$3:$Q$3,0))) *
N('PORTIFÓLIO'!$S$4:$S$564),
0
)
),
0)</f>
        <v>571.1552</v>
      </c>
      <c r="Q305" s="49">
        <f t="shared" si="12"/>
        <v>1.78486</v>
      </c>
      <c r="R305" s="49">
        <f t="shared" si="2"/>
        <v>3280.57268</v>
      </c>
      <c r="S305" s="49">
        <f t="shared" si="13"/>
        <v>0.9810325</v>
      </c>
    </row>
    <row r="306" ht="15.75" hidden="1" customHeight="1" outlineLevel="1">
      <c r="A306" s="48" t="str">
        <f>IFERROR(__xludf.DUMMYFUNCTION("""COMPUTED_VALUE"""),"STANDAK TOP")</f>
        <v>STANDAK TOP</v>
      </c>
      <c r="B306" s="49">
        <f t="array" ref="B306">IFERROR(
SUM(
IF(
'PORTIFÓLIO'!$C$4:$C$564=$A306,
N(INDEX('PORTIFÓLIO'!$J$4:$Q$564,,MATCH(B$2,'PORTIFÓLIO'!$J$3:$Q$3,0))) *
N('PORTIFÓLIO'!$S$4:$S$564),
0
)
),
0)</f>
        <v>0</v>
      </c>
      <c r="C306" s="49">
        <f t="shared" si="5"/>
        <v>0</v>
      </c>
      <c r="D306" s="49">
        <f t="array" ref="D306">IFERROR(
SUM(
IF(
'PORTIFÓLIO'!$C$4:$C$564=$A306,
N(INDEX('PORTIFÓLIO'!$J$4:$Q$564,,MATCH(D$2,'PORTIFÓLIO'!$J$3:$Q$3,0))) *
N('PORTIFÓLIO'!$S$4:$S$564),
0
)
),
0)</f>
        <v>0</v>
      </c>
      <c r="E306" s="49">
        <f t="shared" si="6"/>
        <v>0</v>
      </c>
      <c r="F306" s="49">
        <f t="array" ref="F306">IFERROR(
SUM(
IF(
'PORTIFÓLIO'!$C$4:$C$564=$A306,
N(INDEX('PORTIFÓLIO'!$J$4:$Q$564,,MATCH(F$2,'PORTIFÓLIO'!$J$3:$Q$3,0))) *
N('PORTIFÓLIO'!$S$4:$S$564),
0
)
),
0)</f>
        <v>0</v>
      </c>
      <c r="G306" s="47">
        <f t="shared" si="7"/>
        <v>0</v>
      </c>
      <c r="H306" s="49">
        <f t="array" ref="H306">IFERROR(
SUM(
IF(
'PORTIFÓLIO'!$C$4:$C$564=$A306,
N(INDEX('PORTIFÓLIO'!$J$4:$Q$564,,MATCH(H$2,'PORTIFÓLIO'!$J$3:$Q$3,0))) *
N('PORTIFÓLIO'!$S$4:$S$564),
0
)
),
0)</f>
        <v>0</v>
      </c>
      <c r="I306" s="47">
        <f t="shared" si="8"/>
        <v>0</v>
      </c>
      <c r="J306" s="49">
        <f t="array" ref="J306">IFERROR(
SUM(
IF(
'PORTIFÓLIO'!$C$4:$C$564=$A306,
N(INDEX('PORTIFÓLIO'!$J$4:$Q$564,,MATCH(J$2,'PORTIFÓLIO'!$J$3:$Q$3,0))) *
N('PORTIFÓLIO'!$S$4:$S$564),
0
)
),
0)</f>
        <v>0</v>
      </c>
      <c r="K306" s="47">
        <f t="shared" si="9"/>
        <v>0</v>
      </c>
      <c r="L306" s="49">
        <f t="array" ref="L306">IFERROR(
SUM(
IF(
'PORTIFÓLIO'!$C$4:$C$564=$A306,
N(INDEX('PORTIFÓLIO'!$J$4:$Q$564,,MATCH(L$2,'PORTIFÓLIO'!$J$3:$Q$3,0))) *
N('PORTIFÓLIO'!$S$4:$S$564),
0
)
),
0)</f>
        <v>0</v>
      </c>
      <c r="M306" s="47">
        <f t="shared" si="10"/>
        <v>0</v>
      </c>
      <c r="N306" s="49">
        <f t="array" ref="N306">IFERROR(
SUM(
IF(
'PORTIFÓLIO'!$C$4:$C$564=$A306,
N(INDEX('PORTIFÓLIO'!$J$4:$Q$564,,MATCH(N$2,'PORTIFÓLIO'!$J$3:$Q$3,0))) *
N('PORTIFÓLIO'!$S$4:$S$564),
0
)
),
0)</f>
        <v>0</v>
      </c>
      <c r="O306" s="49">
        <f t="shared" si="11"/>
        <v>0</v>
      </c>
      <c r="P306" s="49">
        <f t="array" ref="P306">IFERROR(
SUM(
IF(
'PORTIFÓLIO'!$C$4:$C$564=$A306,
N(INDEX('PORTIFÓLIO'!$J$4:$Q$564,,MATCH(P$2,'PORTIFÓLIO'!$J$3:$Q$3,0))) *
N('PORTIFÓLIO'!$S$4:$S$564),
0
)
),
0)</f>
        <v>0</v>
      </c>
      <c r="Q306" s="49">
        <f t="shared" si="12"/>
        <v>0</v>
      </c>
      <c r="R306" s="49">
        <f t="shared" si="2"/>
        <v>0</v>
      </c>
      <c r="S306" s="49">
        <f t="shared" si="13"/>
        <v>0</v>
      </c>
    </row>
    <row r="307" ht="15.75" hidden="1" customHeight="1" outlineLevel="1">
      <c r="A307" s="48" t="str">
        <f>IFERROR(__xludf.DUMMYFUNCTION("""COMPUTED_VALUE"""),"CRUISER ADVANCED")</f>
        <v>CRUISER ADVANCED</v>
      </c>
      <c r="B307" s="49">
        <f t="array" ref="B307">IFERROR(
SUM(
IF(
'PORTIFÓLIO'!$C$4:$C$564=$A307,
N(INDEX('PORTIFÓLIO'!$J$4:$Q$564,,MATCH(B$2,'PORTIFÓLIO'!$J$3:$Q$3,0))) *
N('PORTIFÓLIO'!$S$4:$S$564),
0
)
),
0)</f>
        <v>0</v>
      </c>
      <c r="C307" s="49">
        <f t="shared" si="5"/>
        <v>0</v>
      </c>
      <c r="D307" s="49">
        <f t="array" ref="D307">IFERROR(
SUM(
IF(
'PORTIFÓLIO'!$C$4:$C$564=$A307,
N(INDEX('PORTIFÓLIO'!$J$4:$Q$564,,MATCH(D$2,'PORTIFÓLIO'!$J$3:$Q$3,0))) *
N('PORTIFÓLIO'!$S$4:$S$564),
0
)
),
0)</f>
        <v>7581</v>
      </c>
      <c r="E307" s="49">
        <f t="shared" si="6"/>
        <v>25.27</v>
      </c>
      <c r="F307" s="49">
        <f t="array" ref="F307">IFERROR(
SUM(
IF(
'PORTIFÓLIO'!$C$4:$C$564=$A307,
N(INDEX('PORTIFÓLIO'!$J$4:$Q$564,,MATCH(F$2,'PORTIFÓLIO'!$J$3:$Q$3,0))) *
N('PORTIFÓLIO'!$S$4:$S$564),
0
)
),
0)</f>
        <v>5559.4</v>
      </c>
      <c r="G307" s="47">
        <f t="shared" si="7"/>
        <v>25.27</v>
      </c>
      <c r="H307" s="49">
        <f t="array" ref="H307">IFERROR(
SUM(
IF(
'PORTIFÓLIO'!$C$4:$C$564=$A307,
N(INDEX('PORTIFÓLIO'!$J$4:$Q$564,,MATCH(H$2,'PORTIFÓLIO'!$J$3:$Q$3,0))) *
N('PORTIFÓLIO'!$S$4:$S$564),
0
)
),
0)</f>
        <v>0</v>
      </c>
      <c r="I307" s="47">
        <f t="shared" si="8"/>
        <v>0</v>
      </c>
      <c r="J307" s="49">
        <f t="array" ref="J307">IFERROR(
SUM(
IF(
'PORTIFÓLIO'!$C$4:$C$564=$A307,
N(INDEX('PORTIFÓLIO'!$J$4:$Q$564,,MATCH(J$2,'PORTIFÓLIO'!$J$3:$Q$3,0))) *
N('PORTIFÓLIO'!$S$4:$S$564),
0
)
),
0)</f>
        <v>9501.52</v>
      </c>
      <c r="K307" s="47">
        <f t="shared" si="9"/>
        <v>25.27</v>
      </c>
      <c r="L307" s="49">
        <f t="array" ref="L307">IFERROR(
SUM(
IF(
'PORTIFÓLIO'!$C$4:$C$564=$A307,
N(INDEX('PORTIFÓLIO'!$J$4:$Q$564,,MATCH(L$2,'PORTIFÓLIO'!$J$3:$Q$3,0))) *
N('PORTIFÓLIO'!$S$4:$S$564),
0
)
),
0)</f>
        <v>0</v>
      </c>
      <c r="M307" s="47">
        <f t="shared" si="10"/>
        <v>0</v>
      </c>
      <c r="N307" s="49">
        <f t="array" ref="N307">IFERROR(
SUM(
IF(
'PORTIFÓLIO'!$C$4:$C$564=$A307,
N(INDEX('PORTIFÓLIO'!$J$4:$Q$564,,MATCH(N$2,'PORTIFÓLIO'!$J$3:$Q$3,0))) *
N('PORTIFÓLIO'!$S$4:$S$564),
0
)
),
0)</f>
        <v>30778.86</v>
      </c>
      <c r="O307" s="49">
        <f t="shared" si="11"/>
        <v>25.27</v>
      </c>
      <c r="P307" s="49">
        <f t="array" ref="P307">IFERROR(
SUM(
IF(
'PORTIFÓLIO'!$C$4:$C$564=$A307,
N(INDEX('PORTIFÓLIO'!$J$4:$Q$564,,MATCH(P$2,'PORTIFÓLIO'!$J$3:$Q$3,0))) *
N('PORTIFÓLIO'!$S$4:$S$564),
0
)
),
0)</f>
        <v>8086.4</v>
      </c>
      <c r="Q307" s="49">
        <f t="shared" si="12"/>
        <v>25.27</v>
      </c>
      <c r="R307" s="49">
        <f t="shared" si="2"/>
        <v>55947.78</v>
      </c>
      <c r="S307" s="49">
        <f t="shared" si="13"/>
        <v>16.73079545</v>
      </c>
    </row>
    <row r="308" ht="15.75" hidden="1" customHeight="1" outlineLevel="1">
      <c r="A308" s="48" t="str">
        <f>IFERROR(__xludf.DUMMYFUNCTION("""COMPUTED_VALUE"""),"PLUST")</f>
        <v>PLUST</v>
      </c>
      <c r="B308" s="49">
        <f t="array" ref="B308">IFERROR(
SUM(
IF(
'PORTIFÓLIO'!$C$4:$C$564=$A308,
N(INDEX('PORTIFÓLIO'!$J$4:$Q$564,,MATCH(B$2,'PORTIFÓLIO'!$J$3:$Q$3,0))) *
N('PORTIFÓLIO'!$S$4:$S$564),
0
)
),
0)</f>
        <v>0</v>
      </c>
      <c r="C308" s="49">
        <f t="shared" si="5"/>
        <v>0</v>
      </c>
      <c r="D308" s="49">
        <f t="array" ref="D308">IFERROR(
SUM(
IF(
'PORTIFÓLIO'!$C$4:$C$564=$A308,
N(INDEX('PORTIFÓLIO'!$J$4:$Q$564,,MATCH(D$2,'PORTIFÓLIO'!$J$3:$Q$3,0))) *
N('PORTIFÓLIO'!$S$4:$S$564),
0
)
),
0)</f>
        <v>0</v>
      </c>
      <c r="E308" s="49">
        <f t="shared" si="6"/>
        <v>0</v>
      </c>
      <c r="F308" s="49">
        <f t="array" ref="F308">IFERROR(
SUM(
IF(
'PORTIFÓLIO'!$C$4:$C$564=$A308,
N(INDEX('PORTIFÓLIO'!$J$4:$Q$564,,MATCH(F$2,'PORTIFÓLIO'!$J$3:$Q$3,0))) *
N('PORTIFÓLIO'!$S$4:$S$564),
0
)
),
0)</f>
        <v>0</v>
      </c>
      <c r="G308" s="47">
        <f t="shared" si="7"/>
        <v>0</v>
      </c>
      <c r="H308" s="49">
        <f t="array" ref="H308">IFERROR(
SUM(
IF(
'PORTIFÓLIO'!$C$4:$C$564=$A308,
N(INDEX('PORTIFÓLIO'!$J$4:$Q$564,,MATCH(H$2,'PORTIFÓLIO'!$J$3:$Q$3,0))) *
N('PORTIFÓLIO'!$S$4:$S$564),
0
)
),
0)</f>
        <v>0</v>
      </c>
      <c r="I308" s="47">
        <f t="shared" si="8"/>
        <v>0</v>
      </c>
      <c r="J308" s="49">
        <f t="array" ref="J308">IFERROR(
SUM(
IF(
'PORTIFÓLIO'!$C$4:$C$564=$A308,
N(INDEX('PORTIFÓLIO'!$J$4:$Q$564,,MATCH(J$2,'PORTIFÓLIO'!$J$3:$Q$3,0))) *
N('PORTIFÓLIO'!$S$4:$S$564),
0
)
),
0)</f>
        <v>0</v>
      </c>
      <c r="K308" s="47">
        <f t="shared" si="9"/>
        <v>0</v>
      </c>
      <c r="L308" s="49">
        <f t="array" ref="L308">IFERROR(
SUM(
IF(
'PORTIFÓLIO'!$C$4:$C$564=$A308,
N(INDEX('PORTIFÓLIO'!$J$4:$Q$564,,MATCH(L$2,'PORTIFÓLIO'!$J$3:$Q$3,0))) *
N('PORTIFÓLIO'!$S$4:$S$564),
0
)
),
0)</f>
        <v>0</v>
      </c>
      <c r="M308" s="47">
        <f t="shared" si="10"/>
        <v>0</v>
      </c>
      <c r="N308" s="49">
        <f t="array" ref="N308">IFERROR(
SUM(
IF(
'PORTIFÓLIO'!$C$4:$C$564=$A308,
N(INDEX('PORTIFÓLIO'!$J$4:$Q$564,,MATCH(N$2,'PORTIFÓLIO'!$J$3:$Q$3,0))) *
N('PORTIFÓLIO'!$S$4:$S$564),
0
)
),
0)</f>
        <v>0</v>
      </c>
      <c r="O308" s="49">
        <f t="shared" si="11"/>
        <v>0</v>
      </c>
      <c r="P308" s="49">
        <f t="array" ref="P308">IFERROR(
SUM(
IF(
'PORTIFÓLIO'!$C$4:$C$564=$A308,
N(INDEX('PORTIFÓLIO'!$J$4:$Q$564,,MATCH(P$2,'PORTIFÓLIO'!$J$3:$Q$3,0))) *
N('PORTIFÓLIO'!$S$4:$S$564),
0
)
),
0)</f>
        <v>0</v>
      </c>
      <c r="Q308" s="49">
        <f t="shared" si="12"/>
        <v>0</v>
      </c>
      <c r="R308" s="49">
        <f t="shared" si="2"/>
        <v>0</v>
      </c>
      <c r="S308" s="49">
        <f t="shared" si="13"/>
        <v>0</v>
      </c>
    </row>
    <row r="309" ht="15.75" hidden="1" customHeight="1" outlineLevel="1">
      <c r="A309" s="48" t="str">
        <f>IFERROR(__xludf.DUMMYFUNCTION("""COMPUTED_VALUE"""),"SOMBRERO")</f>
        <v>SOMBRERO</v>
      </c>
      <c r="B309" s="49">
        <f t="array" ref="B309">IFERROR(
SUM(
IF(
'PORTIFÓLIO'!$C$4:$C$564=$A309,
N(INDEX('PORTIFÓLIO'!$J$4:$Q$564,,MATCH(B$2,'PORTIFÓLIO'!$J$3:$Q$3,0))) *
N('PORTIFÓLIO'!$S$4:$S$564),
0
)
),
0)</f>
        <v>0</v>
      </c>
      <c r="C309" s="49">
        <f t="shared" si="5"/>
        <v>0</v>
      </c>
      <c r="D309" s="49">
        <f t="array" ref="D309">IFERROR(
SUM(
IF(
'PORTIFÓLIO'!$C$4:$C$564=$A309,
N(INDEX('PORTIFÓLIO'!$J$4:$Q$564,,MATCH(D$2,'PORTIFÓLIO'!$J$3:$Q$3,0))) *
N('PORTIFÓLIO'!$S$4:$S$564),
0
)
),
0)</f>
        <v>0</v>
      </c>
      <c r="E309" s="49">
        <f t="shared" si="6"/>
        <v>0</v>
      </c>
      <c r="F309" s="49">
        <f t="array" ref="F309">IFERROR(
SUM(
IF(
'PORTIFÓLIO'!$C$4:$C$564=$A309,
N(INDEX('PORTIFÓLIO'!$J$4:$Q$564,,MATCH(F$2,'PORTIFÓLIO'!$J$3:$Q$3,0))) *
N('PORTIFÓLIO'!$S$4:$S$564),
0
)
),
0)</f>
        <v>0</v>
      </c>
      <c r="G309" s="47">
        <f t="shared" si="7"/>
        <v>0</v>
      </c>
      <c r="H309" s="49">
        <f t="array" ref="H309">IFERROR(
SUM(
IF(
'PORTIFÓLIO'!$C$4:$C$564=$A309,
N(INDEX('PORTIFÓLIO'!$J$4:$Q$564,,MATCH(H$2,'PORTIFÓLIO'!$J$3:$Q$3,0))) *
N('PORTIFÓLIO'!$S$4:$S$564),
0
)
),
0)</f>
        <v>0</v>
      </c>
      <c r="I309" s="47">
        <f t="shared" si="8"/>
        <v>0</v>
      </c>
      <c r="J309" s="49">
        <f t="array" ref="J309">IFERROR(
SUM(
IF(
'PORTIFÓLIO'!$C$4:$C$564=$A309,
N(INDEX('PORTIFÓLIO'!$J$4:$Q$564,,MATCH(J$2,'PORTIFÓLIO'!$J$3:$Q$3,0))) *
N('PORTIFÓLIO'!$S$4:$S$564),
0
)
),
0)</f>
        <v>0</v>
      </c>
      <c r="K309" s="47">
        <f t="shared" si="9"/>
        <v>0</v>
      </c>
      <c r="L309" s="49">
        <f t="array" ref="L309">IFERROR(
SUM(
IF(
'PORTIFÓLIO'!$C$4:$C$564=$A309,
N(INDEX('PORTIFÓLIO'!$J$4:$Q$564,,MATCH(L$2,'PORTIFÓLIO'!$J$3:$Q$3,0))) *
N('PORTIFÓLIO'!$S$4:$S$564),
0
)
),
0)</f>
        <v>0</v>
      </c>
      <c r="M309" s="47">
        <f t="shared" si="10"/>
        <v>0</v>
      </c>
      <c r="N309" s="49">
        <f t="array" ref="N309">IFERROR(
SUM(
IF(
'PORTIFÓLIO'!$C$4:$C$564=$A309,
N(INDEX('PORTIFÓLIO'!$J$4:$Q$564,,MATCH(N$2,'PORTIFÓLIO'!$J$3:$Q$3,0))) *
N('PORTIFÓLIO'!$S$4:$S$564),
0
)
),
0)</f>
        <v>0</v>
      </c>
      <c r="O309" s="49">
        <f t="shared" si="11"/>
        <v>0</v>
      </c>
      <c r="P309" s="49">
        <f t="array" ref="P309">IFERROR(
SUM(
IF(
'PORTIFÓLIO'!$C$4:$C$564=$A309,
N(INDEX('PORTIFÓLIO'!$J$4:$Q$564,,MATCH(P$2,'PORTIFÓLIO'!$J$3:$Q$3,0))) *
N('PORTIFÓLIO'!$S$4:$S$564),
0
)
),
0)</f>
        <v>0</v>
      </c>
      <c r="Q309" s="49">
        <f t="shared" si="12"/>
        <v>0</v>
      </c>
      <c r="R309" s="49">
        <f t="shared" si="2"/>
        <v>0</v>
      </c>
      <c r="S309" s="49">
        <f t="shared" si="13"/>
        <v>0</v>
      </c>
    </row>
    <row r="310" ht="15.75" hidden="1" customHeight="1" outlineLevel="1">
      <c r="A310" s="48" t="str">
        <f>IFERROR(__xludf.DUMMYFUNCTION("""COMPUTED_VALUE"""),"CROPSTAR")</f>
        <v>CROPSTAR</v>
      </c>
      <c r="B310" s="49">
        <f t="array" ref="B310">IFERROR(
SUM(
IF(
'PORTIFÓLIO'!$C$4:$C$564=$A310,
N(INDEX('PORTIFÓLIO'!$J$4:$Q$564,,MATCH(B$2,'PORTIFÓLIO'!$J$3:$Q$3,0))) *
N('PORTIFÓLIO'!$S$4:$S$564),
0
)
),
0)</f>
        <v>0</v>
      </c>
      <c r="C310" s="49">
        <f t="shared" si="5"/>
        <v>0</v>
      </c>
      <c r="D310" s="49">
        <f t="array" ref="D310">IFERROR(
SUM(
IF(
'PORTIFÓLIO'!$C$4:$C$564=$A310,
N(INDEX('PORTIFÓLIO'!$J$4:$Q$564,,MATCH(D$2,'PORTIFÓLIO'!$J$3:$Q$3,0))) *
N('PORTIFÓLIO'!$S$4:$S$564),
0
)
),
0)</f>
        <v>0</v>
      </c>
      <c r="E310" s="49">
        <f t="shared" si="6"/>
        <v>0</v>
      </c>
      <c r="F310" s="49">
        <f t="array" ref="F310">IFERROR(
SUM(
IF(
'PORTIFÓLIO'!$C$4:$C$564=$A310,
N(INDEX('PORTIFÓLIO'!$J$4:$Q$564,,MATCH(F$2,'PORTIFÓLIO'!$J$3:$Q$3,0))) *
N('PORTIFÓLIO'!$S$4:$S$564),
0
)
),
0)</f>
        <v>0</v>
      </c>
      <c r="G310" s="47">
        <f t="shared" si="7"/>
        <v>0</v>
      </c>
      <c r="H310" s="49">
        <f t="array" ref="H310">IFERROR(
SUM(
IF(
'PORTIFÓLIO'!$C$4:$C$564=$A310,
N(INDEX('PORTIFÓLIO'!$J$4:$Q$564,,MATCH(H$2,'PORTIFÓLIO'!$J$3:$Q$3,0))) *
N('PORTIFÓLIO'!$S$4:$S$564),
0
)
),
0)</f>
        <v>0</v>
      </c>
      <c r="I310" s="47">
        <f t="shared" si="8"/>
        <v>0</v>
      </c>
      <c r="J310" s="49">
        <f t="array" ref="J310">IFERROR(
SUM(
IF(
'PORTIFÓLIO'!$C$4:$C$564=$A310,
N(INDEX('PORTIFÓLIO'!$J$4:$Q$564,,MATCH(J$2,'PORTIFÓLIO'!$J$3:$Q$3,0))) *
N('PORTIFÓLIO'!$S$4:$S$564),
0
)
),
0)</f>
        <v>0</v>
      </c>
      <c r="K310" s="47">
        <f t="shared" si="9"/>
        <v>0</v>
      </c>
      <c r="L310" s="49">
        <f t="array" ref="L310">IFERROR(
SUM(
IF(
'PORTIFÓLIO'!$C$4:$C$564=$A310,
N(INDEX('PORTIFÓLIO'!$J$4:$Q$564,,MATCH(L$2,'PORTIFÓLIO'!$J$3:$Q$3,0))) *
N('PORTIFÓLIO'!$S$4:$S$564),
0
)
),
0)</f>
        <v>0</v>
      </c>
      <c r="M310" s="47">
        <f t="shared" si="10"/>
        <v>0</v>
      </c>
      <c r="N310" s="49">
        <f t="array" ref="N310">IFERROR(
SUM(
IF(
'PORTIFÓLIO'!$C$4:$C$564=$A310,
N(INDEX('PORTIFÓLIO'!$J$4:$Q$564,,MATCH(N$2,'PORTIFÓLIO'!$J$3:$Q$3,0))) *
N('PORTIFÓLIO'!$S$4:$S$564),
0
)
),
0)</f>
        <v>0</v>
      </c>
      <c r="O310" s="49">
        <f t="shared" si="11"/>
        <v>0</v>
      </c>
      <c r="P310" s="49">
        <f t="array" ref="P310">IFERROR(
SUM(
IF(
'PORTIFÓLIO'!$C$4:$C$564=$A310,
N(INDEX('PORTIFÓLIO'!$J$4:$Q$564,,MATCH(P$2,'PORTIFÓLIO'!$J$3:$Q$3,0))) *
N('PORTIFÓLIO'!$S$4:$S$564),
0
)
),
0)</f>
        <v>0</v>
      </c>
      <c r="Q310" s="49">
        <f t="shared" si="12"/>
        <v>0</v>
      </c>
      <c r="R310" s="49">
        <f t="shared" si="2"/>
        <v>0</v>
      </c>
      <c r="S310" s="49">
        <f t="shared" si="13"/>
        <v>0</v>
      </c>
    </row>
    <row r="311" ht="15.75" hidden="1" customHeight="1" outlineLevel="1">
      <c r="A311" s="48" t="str">
        <f>IFERROR(__xludf.DUMMYFUNCTION("""COMPUTED_VALUE"""),"DERMACOR")</f>
        <v>DERMACOR</v>
      </c>
      <c r="B311" s="49">
        <f t="array" ref="B311">IFERROR(
SUM(
IF(
'PORTIFÓLIO'!$C$4:$C$564=$A311,
N(INDEX('PORTIFÓLIO'!$J$4:$Q$564,,MATCH(B$2,'PORTIFÓLIO'!$J$3:$Q$3,0))) *
N('PORTIFÓLIO'!$S$4:$S$564),
0
)
),
0)</f>
        <v>0</v>
      </c>
      <c r="C311" s="49">
        <f t="shared" si="5"/>
        <v>0</v>
      </c>
      <c r="D311" s="49">
        <f t="array" ref="D311">IFERROR(
SUM(
IF(
'PORTIFÓLIO'!$C$4:$C$564=$A311,
N(INDEX('PORTIFÓLIO'!$J$4:$Q$564,,MATCH(D$2,'PORTIFÓLIO'!$J$3:$Q$3,0))) *
N('PORTIFÓLIO'!$S$4:$S$564),
0
)
),
0)</f>
        <v>0</v>
      </c>
      <c r="E311" s="49">
        <f t="shared" si="6"/>
        <v>0</v>
      </c>
      <c r="F311" s="49">
        <f t="array" ref="F311">IFERROR(
SUM(
IF(
'PORTIFÓLIO'!$C$4:$C$564=$A311,
N(INDEX('PORTIFÓLIO'!$J$4:$Q$564,,MATCH(F$2,'PORTIFÓLIO'!$J$3:$Q$3,0))) *
N('PORTIFÓLIO'!$S$4:$S$564),
0
)
),
0)</f>
        <v>0</v>
      </c>
      <c r="G311" s="47">
        <f t="shared" si="7"/>
        <v>0</v>
      </c>
      <c r="H311" s="49">
        <f t="array" ref="H311">IFERROR(
SUM(
IF(
'PORTIFÓLIO'!$C$4:$C$564=$A311,
N(INDEX('PORTIFÓLIO'!$J$4:$Q$564,,MATCH(H$2,'PORTIFÓLIO'!$J$3:$Q$3,0))) *
N('PORTIFÓLIO'!$S$4:$S$564),
0
)
),
0)</f>
        <v>0</v>
      </c>
      <c r="I311" s="47">
        <f t="shared" si="8"/>
        <v>0</v>
      </c>
      <c r="J311" s="49">
        <f t="array" ref="J311">IFERROR(
SUM(
IF(
'PORTIFÓLIO'!$C$4:$C$564=$A311,
N(INDEX('PORTIFÓLIO'!$J$4:$Q$564,,MATCH(J$2,'PORTIFÓLIO'!$J$3:$Q$3,0))) *
N('PORTIFÓLIO'!$S$4:$S$564),
0
)
),
0)</f>
        <v>0</v>
      </c>
      <c r="K311" s="47">
        <f t="shared" si="9"/>
        <v>0</v>
      </c>
      <c r="L311" s="49">
        <f t="array" ref="L311">IFERROR(
SUM(
IF(
'PORTIFÓLIO'!$C$4:$C$564=$A311,
N(INDEX('PORTIFÓLIO'!$J$4:$Q$564,,MATCH(L$2,'PORTIFÓLIO'!$J$3:$Q$3,0))) *
N('PORTIFÓLIO'!$S$4:$S$564),
0
)
),
0)</f>
        <v>0</v>
      </c>
      <c r="M311" s="47">
        <f t="shared" si="10"/>
        <v>0</v>
      </c>
      <c r="N311" s="49">
        <f t="array" ref="N311">IFERROR(
SUM(
IF(
'PORTIFÓLIO'!$C$4:$C$564=$A311,
N(INDEX('PORTIFÓLIO'!$J$4:$Q$564,,MATCH(N$2,'PORTIFÓLIO'!$J$3:$Q$3,0))) *
N('PORTIFÓLIO'!$S$4:$S$564),
0
)
),
0)</f>
        <v>0</v>
      </c>
      <c r="O311" s="49">
        <f t="shared" si="11"/>
        <v>0</v>
      </c>
      <c r="P311" s="49">
        <f t="array" ref="P311">IFERROR(
SUM(
IF(
'PORTIFÓLIO'!$C$4:$C$564=$A311,
N(INDEX('PORTIFÓLIO'!$J$4:$Q$564,,MATCH(P$2,'PORTIFÓLIO'!$J$3:$Q$3,0))) *
N('PORTIFÓLIO'!$S$4:$S$564),
0
)
),
0)</f>
        <v>0</v>
      </c>
      <c r="Q311" s="49">
        <f t="shared" si="12"/>
        <v>0</v>
      </c>
      <c r="R311" s="49">
        <f t="shared" si="2"/>
        <v>0</v>
      </c>
      <c r="S311" s="49">
        <f t="shared" si="13"/>
        <v>0</v>
      </c>
    </row>
    <row r="312" ht="15.75" hidden="1" customHeight="1" outlineLevel="1">
      <c r="A312" s="48" t="str">
        <f>IFERROR(__xludf.DUMMYFUNCTION("""COMPUTED_VALUE"""),"OPTERASEED")</f>
        <v>OPTERASEED</v>
      </c>
      <c r="B312" s="49">
        <f t="array" ref="B312">IFERROR(
SUM(
IF(
'PORTIFÓLIO'!$C$4:$C$564=$A312,
N(INDEX('PORTIFÓLIO'!$J$4:$Q$564,,MATCH(B$2,'PORTIFÓLIO'!$J$3:$Q$3,0))) *
N('PORTIFÓLIO'!$S$4:$S$564),
0
)
),
0)</f>
        <v>0</v>
      </c>
      <c r="C312" s="49">
        <f t="shared" si="5"/>
        <v>0</v>
      </c>
      <c r="D312" s="49">
        <f t="array" ref="D312">IFERROR(
SUM(
IF(
'PORTIFÓLIO'!$C$4:$C$564=$A312,
N(INDEX('PORTIFÓLIO'!$J$4:$Q$564,,MATCH(D$2,'PORTIFÓLIO'!$J$3:$Q$3,0))) *
N('PORTIFÓLIO'!$S$4:$S$564),
0
)
),
0)</f>
        <v>0</v>
      </c>
      <c r="E312" s="49">
        <f t="shared" si="6"/>
        <v>0</v>
      </c>
      <c r="F312" s="49">
        <f t="array" ref="F312">IFERROR(
SUM(
IF(
'PORTIFÓLIO'!$C$4:$C$564=$A312,
N(INDEX('PORTIFÓLIO'!$J$4:$Q$564,,MATCH(F$2,'PORTIFÓLIO'!$J$3:$Q$3,0))) *
N('PORTIFÓLIO'!$S$4:$S$564),
0
)
),
0)</f>
        <v>0</v>
      </c>
      <c r="G312" s="47">
        <f t="shared" si="7"/>
        <v>0</v>
      </c>
      <c r="H312" s="49">
        <f t="array" ref="H312">IFERROR(
SUM(
IF(
'PORTIFÓLIO'!$C$4:$C$564=$A312,
N(INDEX('PORTIFÓLIO'!$J$4:$Q$564,,MATCH(H$2,'PORTIFÓLIO'!$J$3:$Q$3,0))) *
N('PORTIFÓLIO'!$S$4:$S$564),
0
)
),
0)</f>
        <v>0</v>
      </c>
      <c r="I312" s="47">
        <f t="shared" si="8"/>
        <v>0</v>
      </c>
      <c r="J312" s="49">
        <f t="array" ref="J312">IFERROR(
SUM(
IF(
'PORTIFÓLIO'!$C$4:$C$564=$A312,
N(INDEX('PORTIFÓLIO'!$J$4:$Q$564,,MATCH(J$2,'PORTIFÓLIO'!$J$3:$Q$3,0))) *
N('PORTIFÓLIO'!$S$4:$S$564),
0
)
),
0)</f>
        <v>0</v>
      </c>
      <c r="K312" s="47">
        <f t="shared" si="9"/>
        <v>0</v>
      </c>
      <c r="L312" s="49">
        <f t="array" ref="L312">IFERROR(
SUM(
IF(
'PORTIFÓLIO'!$C$4:$C$564=$A312,
N(INDEX('PORTIFÓLIO'!$J$4:$Q$564,,MATCH(L$2,'PORTIFÓLIO'!$J$3:$Q$3,0))) *
N('PORTIFÓLIO'!$S$4:$S$564),
0
)
),
0)</f>
        <v>0</v>
      </c>
      <c r="M312" s="47">
        <f t="shared" si="10"/>
        <v>0</v>
      </c>
      <c r="N312" s="49">
        <f t="array" ref="N312">IFERROR(
SUM(
IF(
'PORTIFÓLIO'!$C$4:$C$564=$A312,
N(INDEX('PORTIFÓLIO'!$J$4:$Q$564,,MATCH(N$2,'PORTIFÓLIO'!$J$3:$Q$3,0))) *
N('PORTIFÓLIO'!$S$4:$S$564),
0
)
),
0)</f>
        <v>0</v>
      </c>
      <c r="O312" s="49">
        <f t="shared" si="11"/>
        <v>0</v>
      </c>
      <c r="P312" s="49">
        <f t="array" ref="P312">IFERROR(
SUM(
IF(
'PORTIFÓLIO'!$C$4:$C$564=$A312,
N(INDEX('PORTIFÓLIO'!$J$4:$Q$564,,MATCH(P$2,'PORTIFÓLIO'!$J$3:$Q$3,0))) *
N('PORTIFÓLIO'!$S$4:$S$564),
0
)
),
0)</f>
        <v>0</v>
      </c>
      <c r="Q312" s="49">
        <f t="shared" si="12"/>
        <v>0</v>
      </c>
      <c r="R312" s="49">
        <f t="shared" si="2"/>
        <v>0</v>
      </c>
      <c r="S312" s="49">
        <f t="shared" si="13"/>
        <v>0</v>
      </c>
    </row>
    <row r="313" ht="15.75" hidden="1" customHeight="1" outlineLevel="1">
      <c r="A313" s="48" t="str">
        <f>IFERROR(__xludf.DUMMYFUNCTION("""COMPUTED_VALUE"""),"AVICTA 500 FS")</f>
        <v>AVICTA 500 FS</v>
      </c>
      <c r="B313" s="49">
        <f t="array" ref="B313">IFERROR(
SUM(
IF(
'PORTIFÓLIO'!$C$4:$C$564=$A313,
N(INDEX('PORTIFÓLIO'!$J$4:$Q$564,,MATCH(B$2,'PORTIFÓLIO'!$J$3:$Q$3,0))) *
N('PORTIFÓLIO'!$S$4:$S$564),
0
)
),
0)</f>
        <v>0</v>
      </c>
      <c r="C313" s="49">
        <f t="shared" si="5"/>
        <v>0</v>
      </c>
      <c r="D313" s="49">
        <f t="array" ref="D313">IFERROR(
SUM(
IF(
'PORTIFÓLIO'!$C$4:$C$564=$A313,
N(INDEX('PORTIFÓLIO'!$J$4:$Q$564,,MATCH(D$2,'PORTIFÓLIO'!$J$3:$Q$3,0))) *
N('PORTIFÓLIO'!$S$4:$S$564),
0
)
),
0)</f>
        <v>0</v>
      </c>
      <c r="E313" s="49">
        <f t="shared" si="6"/>
        <v>0</v>
      </c>
      <c r="F313" s="49">
        <f t="array" ref="F313">IFERROR(
SUM(
IF(
'PORTIFÓLIO'!$C$4:$C$564=$A313,
N(INDEX('PORTIFÓLIO'!$J$4:$Q$564,,MATCH(F$2,'PORTIFÓLIO'!$J$3:$Q$3,0))) *
N('PORTIFÓLIO'!$S$4:$S$564),
0
)
),
0)</f>
        <v>0</v>
      </c>
      <c r="G313" s="47">
        <f t="shared" si="7"/>
        <v>0</v>
      </c>
      <c r="H313" s="49">
        <f t="array" ref="H313">IFERROR(
SUM(
IF(
'PORTIFÓLIO'!$C$4:$C$564=$A313,
N(INDEX('PORTIFÓLIO'!$J$4:$Q$564,,MATCH(H$2,'PORTIFÓLIO'!$J$3:$Q$3,0))) *
N('PORTIFÓLIO'!$S$4:$S$564),
0
)
),
0)</f>
        <v>0</v>
      </c>
      <c r="I313" s="47">
        <f t="shared" si="8"/>
        <v>0</v>
      </c>
      <c r="J313" s="49">
        <f t="array" ref="J313">IFERROR(
SUM(
IF(
'PORTIFÓLIO'!$C$4:$C$564=$A313,
N(INDEX('PORTIFÓLIO'!$J$4:$Q$564,,MATCH(J$2,'PORTIFÓLIO'!$J$3:$Q$3,0))) *
N('PORTIFÓLIO'!$S$4:$S$564),
0
)
),
0)</f>
        <v>0</v>
      </c>
      <c r="K313" s="47">
        <f t="shared" si="9"/>
        <v>0</v>
      </c>
      <c r="L313" s="49">
        <f t="array" ref="L313">IFERROR(
SUM(
IF(
'PORTIFÓLIO'!$C$4:$C$564=$A313,
N(INDEX('PORTIFÓLIO'!$J$4:$Q$564,,MATCH(L$2,'PORTIFÓLIO'!$J$3:$Q$3,0))) *
N('PORTIFÓLIO'!$S$4:$S$564),
0
)
),
0)</f>
        <v>0</v>
      </c>
      <c r="M313" s="47">
        <f t="shared" si="10"/>
        <v>0</v>
      </c>
      <c r="N313" s="49">
        <f t="array" ref="N313">IFERROR(
SUM(
IF(
'PORTIFÓLIO'!$C$4:$C$564=$A313,
N(INDEX('PORTIFÓLIO'!$J$4:$Q$564,,MATCH(N$2,'PORTIFÓLIO'!$J$3:$Q$3,0))) *
N('PORTIFÓLIO'!$S$4:$S$564),
0
)
),
0)</f>
        <v>0</v>
      </c>
      <c r="O313" s="49">
        <f t="shared" si="11"/>
        <v>0</v>
      </c>
      <c r="P313" s="49">
        <f t="array" ref="P313">IFERROR(
SUM(
IF(
'PORTIFÓLIO'!$C$4:$C$564=$A313,
N(INDEX('PORTIFÓLIO'!$J$4:$Q$564,,MATCH(P$2,'PORTIFÓLIO'!$J$3:$Q$3,0))) *
N('PORTIFÓLIO'!$S$4:$S$564),
0
)
),
0)</f>
        <v>0</v>
      </c>
      <c r="Q313" s="49">
        <f t="shared" si="12"/>
        <v>0</v>
      </c>
      <c r="R313" s="49">
        <f t="shared" si="2"/>
        <v>0</v>
      </c>
      <c r="S313" s="49">
        <f t="shared" si="13"/>
        <v>0</v>
      </c>
    </row>
    <row r="314" ht="15.75" hidden="1" customHeight="1" outlineLevel="1">
      <c r="A314" s="48" t="str">
        <f>IFERROR(__xludf.DUMMYFUNCTION("""COMPUTED_VALUE"""),"CRUISER 350 FS")</f>
        <v>CRUISER 350 FS</v>
      </c>
      <c r="B314" s="49">
        <f t="array" ref="B314">IFERROR(
SUM(
IF(
'PORTIFÓLIO'!$C$4:$C$564=$A314,
N(INDEX('PORTIFÓLIO'!$J$4:$Q$564,,MATCH(B$2,'PORTIFÓLIO'!$J$3:$Q$3,0))) *
N('PORTIFÓLIO'!$S$4:$S$564),
0
)
),
0)</f>
        <v>0</v>
      </c>
      <c r="C314" s="49">
        <f t="shared" si="5"/>
        <v>0</v>
      </c>
      <c r="D314" s="49">
        <f t="array" ref="D314">IFERROR(
SUM(
IF(
'PORTIFÓLIO'!$C$4:$C$564=$A314,
N(INDEX('PORTIFÓLIO'!$J$4:$Q$564,,MATCH(D$2,'PORTIFÓLIO'!$J$3:$Q$3,0))) *
N('PORTIFÓLIO'!$S$4:$S$564),
0
)
),
0)</f>
        <v>0</v>
      </c>
      <c r="E314" s="49">
        <f t="shared" si="6"/>
        <v>0</v>
      </c>
      <c r="F314" s="49">
        <f t="array" ref="F314">IFERROR(
SUM(
IF(
'PORTIFÓLIO'!$C$4:$C$564=$A314,
N(INDEX('PORTIFÓLIO'!$J$4:$Q$564,,MATCH(F$2,'PORTIFÓLIO'!$J$3:$Q$3,0))) *
N('PORTIFÓLIO'!$S$4:$S$564),
0
)
),
0)</f>
        <v>0</v>
      </c>
      <c r="G314" s="47">
        <f t="shared" si="7"/>
        <v>0</v>
      </c>
      <c r="H314" s="49">
        <f t="array" ref="H314">IFERROR(
SUM(
IF(
'PORTIFÓLIO'!$C$4:$C$564=$A314,
N(INDEX('PORTIFÓLIO'!$J$4:$Q$564,,MATCH(H$2,'PORTIFÓLIO'!$J$3:$Q$3,0))) *
N('PORTIFÓLIO'!$S$4:$S$564),
0
)
),
0)</f>
        <v>0</v>
      </c>
      <c r="I314" s="47">
        <f t="shared" si="8"/>
        <v>0</v>
      </c>
      <c r="J314" s="49">
        <f t="array" ref="J314">IFERROR(
SUM(
IF(
'PORTIFÓLIO'!$C$4:$C$564=$A314,
N(INDEX('PORTIFÓLIO'!$J$4:$Q$564,,MATCH(J$2,'PORTIFÓLIO'!$J$3:$Q$3,0))) *
N('PORTIFÓLIO'!$S$4:$S$564),
0
)
),
0)</f>
        <v>0</v>
      </c>
      <c r="K314" s="47">
        <f t="shared" si="9"/>
        <v>0</v>
      </c>
      <c r="L314" s="49">
        <f t="array" ref="L314">IFERROR(
SUM(
IF(
'PORTIFÓLIO'!$C$4:$C$564=$A314,
N(INDEX('PORTIFÓLIO'!$J$4:$Q$564,,MATCH(L$2,'PORTIFÓLIO'!$J$3:$Q$3,0))) *
N('PORTIFÓLIO'!$S$4:$S$564),
0
)
),
0)</f>
        <v>0</v>
      </c>
      <c r="M314" s="47">
        <f t="shared" si="10"/>
        <v>0</v>
      </c>
      <c r="N314" s="49">
        <f t="array" ref="N314">IFERROR(
SUM(
IF(
'PORTIFÓLIO'!$C$4:$C$564=$A314,
N(INDEX('PORTIFÓLIO'!$J$4:$Q$564,,MATCH(N$2,'PORTIFÓLIO'!$J$3:$Q$3,0))) *
N('PORTIFÓLIO'!$S$4:$S$564),
0
)
),
0)</f>
        <v>0</v>
      </c>
      <c r="O314" s="49">
        <f t="shared" si="11"/>
        <v>0</v>
      </c>
      <c r="P314" s="49">
        <f t="array" ref="P314">IFERROR(
SUM(
IF(
'PORTIFÓLIO'!$C$4:$C$564=$A314,
N(INDEX('PORTIFÓLIO'!$J$4:$Q$564,,MATCH(P$2,'PORTIFÓLIO'!$J$3:$Q$3,0))) *
N('PORTIFÓLIO'!$S$4:$S$564),
0
)
),
0)</f>
        <v>0</v>
      </c>
      <c r="Q314" s="49">
        <f t="shared" si="12"/>
        <v>0</v>
      </c>
      <c r="R314" s="49">
        <f t="shared" si="2"/>
        <v>0</v>
      </c>
      <c r="S314" s="49">
        <f t="shared" si="13"/>
        <v>0</v>
      </c>
    </row>
    <row r="315" ht="15.75" hidden="1" customHeight="1" outlineLevel="1">
      <c r="A315" s="48" t="str">
        <f>IFERROR(__xludf.DUMMYFUNCTION("""COMPUTED_VALUE"""),"FORTENZA 600 FS")</f>
        <v>FORTENZA 600 FS</v>
      </c>
      <c r="B315" s="49">
        <f t="array" ref="B315">IFERROR(
SUM(
IF(
'PORTIFÓLIO'!$C$4:$C$564=$A315,
N(INDEX('PORTIFÓLIO'!$J$4:$Q$564,,MATCH(B$2,'PORTIFÓLIO'!$J$3:$Q$3,0))) *
N('PORTIFÓLIO'!$S$4:$S$564),
0
)
),
0)</f>
        <v>0</v>
      </c>
      <c r="C315" s="49">
        <f t="shared" si="5"/>
        <v>0</v>
      </c>
      <c r="D315" s="49">
        <f t="array" ref="D315">IFERROR(
SUM(
IF(
'PORTIFÓLIO'!$C$4:$C$564=$A315,
N(INDEX('PORTIFÓLIO'!$J$4:$Q$564,,MATCH(D$2,'PORTIFÓLIO'!$J$3:$Q$3,0))) *
N('PORTIFÓLIO'!$S$4:$S$564),
0
)
),
0)</f>
        <v>0</v>
      </c>
      <c r="E315" s="49">
        <f t="shared" si="6"/>
        <v>0</v>
      </c>
      <c r="F315" s="49">
        <f t="array" ref="F315">IFERROR(
SUM(
IF(
'PORTIFÓLIO'!$C$4:$C$564=$A315,
N(INDEX('PORTIFÓLIO'!$J$4:$Q$564,,MATCH(F$2,'PORTIFÓLIO'!$J$3:$Q$3,0))) *
N('PORTIFÓLIO'!$S$4:$S$564),
0
)
),
0)</f>
        <v>0</v>
      </c>
      <c r="G315" s="47">
        <f t="shared" si="7"/>
        <v>0</v>
      </c>
      <c r="H315" s="49">
        <f t="array" ref="H315">IFERROR(
SUM(
IF(
'PORTIFÓLIO'!$C$4:$C$564=$A315,
N(INDEX('PORTIFÓLIO'!$J$4:$Q$564,,MATCH(H$2,'PORTIFÓLIO'!$J$3:$Q$3,0))) *
N('PORTIFÓLIO'!$S$4:$S$564),
0
)
),
0)</f>
        <v>0</v>
      </c>
      <c r="I315" s="47">
        <f t="shared" si="8"/>
        <v>0</v>
      </c>
      <c r="J315" s="49">
        <f t="array" ref="J315">IFERROR(
SUM(
IF(
'PORTIFÓLIO'!$C$4:$C$564=$A315,
N(INDEX('PORTIFÓLIO'!$J$4:$Q$564,,MATCH(J$2,'PORTIFÓLIO'!$J$3:$Q$3,0))) *
N('PORTIFÓLIO'!$S$4:$S$564),
0
)
),
0)</f>
        <v>20458.2728</v>
      </c>
      <c r="K315" s="47">
        <f t="shared" si="9"/>
        <v>54.4103</v>
      </c>
      <c r="L315" s="49">
        <f t="array" ref="L315">IFERROR(
SUM(
IF(
'PORTIFÓLIO'!$C$4:$C$564=$A315,
N(INDEX('PORTIFÓLIO'!$J$4:$Q$564,,MATCH(L$2,'PORTIFÓLIO'!$J$3:$Q$3,0))) *
N('PORTIFÓLIO'!$S$4:$S$564),
0
)
),
0)</f>
        <v>0</v>
      </c>
      <c r="M315" s="47">
        <f t="shared" si="10"/>
        <v>0</v>
      </c>
      <c r="N315" s="49">
        <f t="array" ref="N315">IFERROR(
SUM(
IF(
'PORTIFÓLIO'!$C$4:$C$564=$A315,
N(INDEX('PORTIFÓLIO'!$J$4:$Q$564,,MATCH(N$2,'PORTIFÓLIO'!$J$3:$Q$3,0))) *
N('PORTIFÓLIO'!$S$4:$S$564),
0
)
),
0)</f>
        <v>0</v>
      </c>
      <c r="O315" s="49">
        <f t="shared" si="11"/>
        <v>0</v>
      </c>
      <c r="P315" s="49">
        <f t="array" ref="P315">IFERROR(
SUM(
IF(
'PORTIFÓLIO'!$C$4:$C$564=$A315,
N(INDEX('PORTIFÓLIO'!$J$4:$Q$564,,MATCH(P$2,'PORTIFÓLIO'!$J$3:$Q$3,0))) *
N('PORTIFÓLIO'!$S$4:$S$564),
0
)
),
0)</f>
        <v>0</v>
      </c>
      <c r="Q315" s="49">
        <f t="shared" si="12"/>
        <v>0</v>
      </c>
      <c r="R315" s="49">
        <f t="shared" si="2"/>
        <v>20458.2728</v>
      </c>
      <c r="S315" s="49">
        <f t="shared" si="13"/>
        <v>6.117904545</v>
      </c>
    </row>
    <row r="316" ht="15.75" hidden="1" customHeight="1" outlineLevel="1">
      <c r="A316" s="48" t="str">
        <f>IFERROR(__xludf.DUMMYFUNCTION("""COMPUTED_VALUE"""),"ILEVO")</f>
        <v>ILEVO</v>
      </c>
      <c r="B316" s="49">
        <f t="array" ref="B316">IFERROR(
SUM(
IF(
'PORTIFÓLIO'!$C$4:$C$564=$A316,
N(INDEX('PORTIFÓLIO'!$J$4:$Q$564,,MATCH(B$2,'PORTIFÓLIO'!$J$3:$Q$3,0))) *
N('PORTIFÓLIO'!$S$4:$S$564),
0
)
),
0)</f>
        <v>0</v>
      </c>
      <c r="C316" s="49">
        <f t="shared" si="5"/>
        <v>0</v>
      </c>
      <c r="D316" s="49">
        <f t="array" ref="D316">IFERROR(
SUM(
IF(
'PORTIFÓLIO'!$C$4:$C$564=$A316,
N(INDEX('PORTIFÓLIO'!$J$4:$Q$564,,MATCH(D$2,'PORTIFÓLIO'!$J$3:$Q$3,0))) *
N('PORTIFÓLIO'!$S$4:$S$564),
0
)
),
0)</f>
        <v>0</v>
      </c>
      <c r="E316" s="49">
        <f t="shared" si="6"/>
        <v>0</v>
      </c>
      <c r="F316" s="49">
        <f t="array" ref="F316">IFERROR(
SUM(
IF(
'PORTIFÓLIO'!$C$4:$C$564=$A316,
N(INDEX('PORTIFÓLIO'!$J$4:$Q$564,,MATCH(F$2,'PORTIFÓLIO'!$J$3:$Q$3,0))) *
N('PORTIFÓLIO'!$S$4:$S$564),
0
)
),
0)</f>
        <v>0</v>
      </c>
      <c r="G316" s="47">
        <f t="shared" si="7"/>
        <v>0</v>
      </c>
      <c r="H316" s="49">
        <f t="array" ref="H316">IFERROR(
SUM(
IF(
'PORTIFÓLIO'!$C$4:$C$564=$A316,
N(INDEX('PORTIFÓLIO'!$J$4:$Q$564,,MATCH(H$2,'PORTIFÓLIO'!$J$3:$Q$3,0))) *
N('PORTIFÓLIO'!$S$4:$S$564),
0
)
),
0)</f>
        <v>0</v>
      </c>
      <c r="I316" s="47">
        <f t="shared" si="8"/>
        <v>0</v>
      </c>
      <c r="J316" s="49">
        <f t="array" ref="J316">IFERROR(
SUM(
IF(
'PORTIFÓLIO'!$C$4:$C$564=$A316,
N(INDEX('PORTIFÓLIO'!$J$4:$Q$564,,MATCH(J$2,'PORTIFÓLIO'!$J$3:$Q$3,0))) *
N('PORTIFÓLIO'!$S$4:$S$564),
0
)
),
0)</f>
        <v>0</v>
      </c>
      <c r="K316" s="47">
        <f t="shared" si="9"/>
        <v>0</v>
      </c>
      <c r="L316" s="49">
        <f t="array" ref="L316">IFERROR(
SUM(
IF(
'PORTIFÓLIO'!$C$4:$C$564=$A316,
N(INDEX('PORTIFÓLIO'!$J$4:$Q$564,,MATCH(L$2,'PORTIFÓLIO'!$J$3:$Q$3,0))) *
N('PORTIFÓLIO'!$S$4:$S$564),
0
)
),
0)</f>
        <v>0</v>
      </c>
      <c r="M316" s="47">
        <f t="shared" si="10"/>
        <v>0</v>
      </c>
      <c r="N316" s="49">
        <f t="array" ref="N316">IFERROR(
SUM(
IF(
'PORTIFÓLIO'!$C$4:$C$564=$A316,
N(INDEX('PORTIFÓLIO'!$J$4:$Q$564,,MATCH(N$2,'PORTIFÓLIO'!$J$3:$Q$3,0))) *
N('PORTIFÓLIO'!$S$4:$S$564),
0
)
),
0)</f>
        <v>0</v>
      </c>
      <c r="O316" s="49">
        <f t="shared" si="11"/>
        <v>0</v>
      </c>
      <c r="P316" s="49">
        <f t="array" ref="P316">IFERROR(
SUM(
IF(
'PORTIFÓLIO'!$C$4:$C$564=$A316,
N(INDEX('PORTIFÓLIO'!$J$4:$Q$564,,MATCH(P$2,'PORTIFÓLIO'!$J$3:$Q$3,0))) *
N('PORTIFÓLIO'!$S$4:$S$564),
0
)
),
0)</f>
        <v>0</v>
      </c>
      <c r="Q316" s="49">
        <f t="shared" si="12"/>
        <v>0</v>
      </c>
      <c r="R316" s="49">
        <f t="shared" si="2"/>
        <v>0</v>
      </c>
      <c r="S316" s="49">
        <f t="shared" si="13"/>
        <v>0</v>
      </c>
    </row>
    <row r="317" ht="15.75" hidden="1" customHeight="1" outlineLevel="1">
      <c r="A317" s="48" t="str">
        <f>IFERROR(__xludf.DUMMYFUNCTION("""COMPUTED_VALUE"""),"PERMIT STAR")</f>
        <v>PERMIT STAR</v>
      </c>
      <c r="B317" s="49">
        <f t="array" ref="B317">IFERROR(
SUM(
IF(
'PORTIFÓLIO'!$C$4:$C$564=$A317,
N(INDEX('PORTIFÓLIO'!$J$4:$Q$564,,MATCH(B$2,'PORTIFÓLIO'!$J$3:$Q$3,0))) *
N('PORTIFÓLIO'!$S$4:$S$564),
0
)
),
0)</f>
        <v>0</v>
      </c>
      <c r="C317" s="49">
        <f t="shared" si="5"/>
        <v>0</v>
      </c>
      <c r="D317" s="49">
        <f t="array" ref="D317">IFERROR(
SUM(
IF(
'PORTIFÓLIO'!$C$4:$C$564=$A317,
N(INDEX('PORTIFÓLIO'!$J$4:$Q$564,,MATCH(D$2,'PORTIFÓLIO'!$J$3:$Q$3,0))) *
N('PORTIFÓLIO'!$S$4:$S$564),
0
)
),
0)</f>
        <v>0</v>
      </c>
      <c r="E317" s="49">
        <f t="shared" si="6"/>
        <v>0</v>
      </c>
      <c r="F317" s="49">
        <f t="array" ref="F317">IFERROR(
SUM(
IF(
'PORTIFÓLIO'!$C$4:$C$564=$A317,
N(INDEX('PORTIFÓLIO'!$J$4:$Q$564,,MATCH(F$2,'PORTIFÓLIO'!$J$3:$Q$3,0))) *
N('PORTIFÓLIO'!$S$4:$S$564),
0
)
),
0)</f>
        <v>0</v>
      </c>
      <c r="G317" s="47">
        <f t="shared" si="7"/>
        <v>0</v>
      </c>
      <c r="H317" s="49">
        <f t="array" ref="H317">IFERROR(
SUM(
IF(
'PORTIFÓLIO'!$C$4:$C$564=$A317,
N(INDEX('PORTIFÓLIO'!$J$4:$Q$564,,MATCH(H$2,'PORTIFÓLIO'!$J$3:$Q$3,0))) *
N('PORTIFÓLIO'!$S$4:$S$564),
0
)
),
0)</f>
        <v>0</v>
      </c>
      <c r="I317" s="47">
        <f t="shared" si="8"/>
        <v>0</v>
      </c>
      <c r="J317" s="49">
        <f t="array" ref="J317">IFERROR(
SUM(
IF(
'PORTIFÓLIO'!$C$4:$C$564=$A317,
N(INDEX('PORTIFÓLIO'!$J$4:$Q$564,,MATCH(J$2,'PORTIFÓLIO'!$J$3:$Q$3,0))) *
N('PORTIFÓLIO'!$S$4:$S$564),
0
)
),
0)</f>
        <v>0</v>
      </c>
      <c r="K317" s="47">
        <f t="shared" si="9"/>
        <v>0</v>
      </c>
      <c r="L317" s="49">
        <f t="array" ref="L317">IFERROR(
SUM(
IF(
'PORTIFÓLIO'!$C$4:$C$564=$A317,
N(INDEX('PORTIFÓLIO'!$J$4:$Q$564,,MATCH(L$2,'PORTIFÓLIO'!$J$3:$Q$3,0))) *
N('PORTIFÓLIO'!$S$4:$S$564),
0
)
),
0)</f>
        <v>0</v>
      </c>
      <c r="M317" s="47">
        <f t="shared" si="10"/>
        <v>0</v>
      </c>
      <c r="N317" s="49">
        <f t="array" ref="N317">IFERROR(
SUM(
IF(
'PORTIFÓLIO'!$C$4:$C$564=$A317,
N(INDEX('PORTIFÓLIO'!$J$4:$Q$564,,MATCH(N$2,'PORTIFÓLIO'!$J$3:$Q$3,0))) *
N('PORTIFÓLIO'!$S$4:$S$564),
0
)
),
0)</f>
        <v>0</v>
      </c>
      <c r="O317" s="49">
        <f t="shared" si="11"/>
        <v>0</v>
      </c>
      <c r="P317" s="49">
        <f t="array" ref="P317">IFERROR(
SUM(
IF(
'PORTIFÓLIO'!$C$4:$C$564=$A317,
N(INDEX('PORTIFÓLIO'!$J$4:$Q$564,,MATCH(P$2,'PORTIFÓLIO'!$J$3:$Q$3,0))) *
N('PORTIFÓLIO'!$S$4:$S$564),
0
)
),
0)</f>
        <v>0</v>
      </c>
      <c r="Q317" s="49">
        <f t="shared" si="12"/>
        <v>0</v>
      </c>
      <c r="R317" s="49">
        <f t="shared" si="2"/>
        <v>0</v>
      </c>
      <c r="S317" s="49">
        <f t="shared" si="13"/>
        <v>0</v>
      </c>
    </row>
    <row r="318" ht="15.75" hidden="1" customHeight="1" outlineLevel="1">
      <c r="A318" s="48"/>
      <c r="B318" s="49">
        <f t="array" ref="B318">IFERROR(
SUM(
IF(
'PORTIFÓLIO'!$C$4:$C$564=$A318,
N(INDEX('PORTIFÓLIO'!$J$4:$Q$564,,MATCH(B$2,'PORTIFÓLIO'!$J$3:$Q$3,0))) *
N('PORTIFÓLIO'!$S$4:$S$564),
0
)
),
0)</f>
        <v>0</v>
      </c>
      <c r="C318" s="49">
        <f t="shared" si="5"/>
        <v>0</v>
      </c>
      <c r="D318" s="49">
        <f t="array" ref="D318">IFERROR(
SUM(
IF(
'PORTIFÓLIO'!$C$4:$C$564=$A318,
N(INDEX('PORTIFÓLIO'!$J$4:$Q$564,,MATCH(D$2,'PORTIFÓLIO'!$J$3:$Q$3,0))) *
N('PORTIFÓLIO'!$S$4:$S$564),
0
)
),
0)</f>
        <v>0</v>
      </c>
      <c r="E318" s="49">
        <f t="shared" si="6"/>
        <v>0</v>
      </c>
      <c r="F318" s="49">
        <f t="array" ref="F318">IFERROR(
SUM(
IF(
'PORTIFÓLIO'!$C$4:$C$564=$A318,
N(INDEX('PORTIFÓLIO'!$J$4:$Q$564,,MATCH(F$2,'PORTIFÓLIO'!$J$3:$Q$3,0))) *
N('PORTIFÓLIO'!$S$4:$S$564),
0
)
),
0)</f>
        <v>0</v>
      </c>
      <c r="G318" s="47">
        <f t="shared" si="7"/>
        <v>0</v>
      </c>
      <c r="H318" s="49">
        <f t="array" ref="H318">IFERROR(
SUM(
IF(
'PORTIFÓLIO'!$C$4:$C$564=$A318,
N(INDEX('PORTIFÓLIO'!$J$4:$Q$564,,MATCH(H$2,'PORTIFÓLIO'!$J$3:$Q$3,0))) *
N('PORTIFÓLIO'!$S$4:$S$564),
0
)
),
0)</f>
        <v>0</v>
      </c>
      <c r="I318" s="47">
        <f t="shared" si="8"/>
        <v>0</v>
      </c>
      <c r="J318" s="49">
        <f t="array" ref="J318">IFERROR(
SUM(
IF(
'PORTIFÓLIO'!$C$4:$C$564=$A318,
N(INDEX('PORTIFÓLIO'!$J$4:$Q$564,,MATCH(J$2,'PORTIFÓLIO'!$J$3:$Q$3,0))) *
N('PORTIFÓLIO'!$S$4:$S$564),
0
)
),
0)</f>
        <v>0</v>
      </c>
      <c r="K318" s="47">
        <f t="shared" si="9"/>
        <v>0</v>
      </c>
      <c r="L318" s="49">
        <f t="array" ref="L318">IFERROR(
SUM(
IF(
'PORTIFÓLIO'!$C$4:$C$564=$A318,
N(INDEX('PORTIFÓLIO'!$J$4:$Q$564,,MATCH(L$2,'PORTIFÓLIO'!$J$3:$Q$3,0))) *
N('PORTIFÓLIO'!$S$4:$S$564),
0
)
),
0)</f>
        <v>0</v>
      </c>
      <c r="M318" s="47">
        <f t="shared" si="10"/>
        <v>0</v>
      </c>
      <c r="N318" s="49">
        <f t="array" ref="N318">IFERROR(
SUM(
IF(
'PORTIFÓLIO'!$C$4:$C$564=$A318,
N(INDEX('PORTIFÓLIO'!$J$4:$Q$564,,MATCH(N$2,'PORTIFÓLIO'!$J$3:$Q$3,0))) *
N('PORTIFÓLIO'!$S$4:$S$564),
0
)
),
0)</f>
        <v>0</v>
      </c>
      <c r="O318" s="49">
        <f t="shared" si="11"/>
        <v>0</v>
      </c>
      <c r="P318" s="49">
        <f t="array" ref="P318">IFERROR(
SUM(
IF(
'PORTIFÓLIO'!$C$4:$C$564=$A318,
N(INDEX('PORTIFÓLIO'!$J$4:$Q$564,,MATCH(P$2,'PORTIFÓLIO'!$J$3:$Q$3,0))) *
N('PORTIFÓLIO'!$S$4:$S$564),
0
)
),
0)</f>
        <v>0</v>
      </c>
      <c r="Q318" s="49">
        <f t="shared" si="12"/>
        <v>0</v>
      </c>
      <c r="R318" s="49">
        <f t="shared" si="2"/>
        <v>0</v>
      </c>
      <c r="S318" s="49">
        <f t="shared" si="13"/>
        <v>0</v>
      </c>
    </row>
    <row r="319" ht="15.75" hidden="1" customHeight="1" outlineLevel="1">
      <c r="A319" s="48"/>
      <c r="B319" s="49">
        <f t="array" ref="B319">IFERROR(
SUM(
IF(
'PORTIFÓLIO'!$C$4:$C$564=$A319,
N(INDEX('PORTIFÓLIO'!$J$4:$Q$564,,MATCH(B$2,'PORTIFÓLIO'!$J$3:$Q$3,0))) *
N('PORTIFÓLIO'!$S$4:$S$564),
0
)
),
0)</f>
        <v>0</v>
      </c>
      <c r="C319" s="49">
        <f t="shared" si="5"/>
        <v>0</v>
      </c>
      <c r="D319" s="49">
        <f t="array" ref="D319">IFERROR(
SUM(
IF(
'PORTIFÓLIO'!$C$4:$C$564=$A319,
N(INDEX('PORTIFÓLIO'!$J$4:$Q$564,,MATCH(D$2,'PORTIFÓLIO'!$J$3:$Q$3,0))) *
N('PORTIFÓLIO'!$S$4:$S$564),
0
)
),
0)</f>
        <v>0</v>
      </c>
      <c r="E319" s="49">
        <f t="shared" si="6"/>
        <v>0</v>
      </c>
      <c r="F319" s="49">
        <f t="array" ref="F319">IFERROR(
SUM(
IF(
'PORTIFÓLIO'!$C$4:$C$564=$A319,
N(INDEX('PORTIFÓLIO'!$J$4:$Q$564,,MATCH(F$2,'PORTIFÓLIO'!$J$3:$Q$3,0))) *
N('PORTIFÓLIO'!$S$4:$S$564),
0
)
),
0)</f>
        <v>0</v>
      </c>
      <c r="G319" s="47">
        <f t="shared" si="7"/>
        <v>0</v>
      </c>
      <c r="H319" s="49">
        <f t="array" ref="H319">IFERROR(
SUM(
IF(
'PORTIFÓLIO'!$C$4:$C$564=$A319,
N(INDEX('PORTIFÓLIO'!$J$4:$Q$564,,MATCH(H$2,'PORTIFÓLIO'!$J$3:$Q$3,0))) *
N('PORTIFÓLIO'!$S$4:$S$564),
0
)
),
0)</f>
        <v>0</v>
      </c>
      <c r="I319" s="47">
        <f t="shared" si="8"/>
        <v>0</v>
      </c>
      <c r="J319" s="49">
        <f t="array" ref="J319">IFERROR(
SUM(
IF(
'PORTIFÓLIO'!$C$4:$C$564=$A319,
N(INDEX('PORTIFÓLIO'!$J$4:$Q$564,,MATCH(J$2,'PORTIFÓLIO'!$J$3:$Q$3,0))) *
N('PORTIFÓLIO'!$S$4:$S$564),
0
)
),
0)</f>
        <v>0</v>
      </c>
      <c r="K319" s="47">
        <f t="shared" si="9"/>
        <v>0</v>
      </c>
      <c r="L319" s="49">
        <f t="array" ref="L319">IFERROR(
SUM(
IF(
'PORTIFÓLIO'!$C$4:$C$564=$A319,
N(INDEX('PORTIFÓLIO'!$J$4:$Q$564,,MATCH(L$2,'PORTIFÓLIO'!$J$3:$Q$3,0))) *
N('PORTIFÓLIO'!$S$4:$S$564),
0
)
),
0)</f>
        <v>0</v>
      </c>
      <c r="M319" s="47">
        <f t="shared" si="10"/>
        <v>0</v>
      </c>
      <c r="N319" s="49">
        <f t="array" ref="N319">IFERROR(
SUM(
IF(
'PORTIFÓLIO'!$C$4:$C$564=$A319,
N(INDEX('PORTIFÓLIO'!$J$4:$Q$564,,MATCH(N$2,'PORTIFÓLIO'!$J$3:$Q$3,0))) *
N('PORTIFÓLIO'!$S$4:$S$564),
0
)
),
0)</f>
        <v>0</v>
      </c>
      <c r="O319" s="49">
        <f t="shared" si="11"/>
        <v>0</v>
      </c>
      <c r="P319" s="49">
        <f t="array" ref="P319">IFERROR(
SUM(
IF(
'PORTIFÓLIO'!$C$4:$C$564=$A319,
N(INDEX('PORTIFÓLIO'!$J$4:$Q$564,,MATCH(P$2,'PORTIFÓLIO'!$J$3:$Q$3,0))) *
N('PORTIFÓLIO'!$S$4:$S$564),
0
)
),
0)</f>
        <v>0</v>
      </c>
      <c r="Q319" s="49">
        <f t="shared" si="12"/>
        <v>0</v>
      </c>
      <c r="R319" s="49">
        <f t="shared" si="2"/>
        <v>0</v>
      </c>
      <c r="S319" s="49">
        <f t="shared" si="13"/>
        <v>0</v>
      </c>
    </row>
    <row r="320" ht="15.75" hidden="1" customHeight="1" outlineLevel="1">
      <c r="A320" s="48"/>
      <c r="B320" s="49">
        <f t="array" ref="B320">IFERROR(
SUM(
IF(
'PORTIFÓLIO'!$C$4:$C$564=$A320,
N(INDEX('PORTIFÓLIO'!$J$4:$Q$564,,MATCH(B$2,'PORTIFÓLIO'!$J$3:$Q$3,0))) *
N('PORTIFÓLIO'!$S$4:$S$564),
0
)
),
0)</f>
        <v>0</v>
      </c>
      <c r="C320" s="49">
        <f t="shared" si="5"/>
        <v>0</v>
      </c>
      <c r="D320" s="49">
        <f t="array" ref="D320">IFERROR(
SUM(
IF(
'PORTIFÓLIO'!$C$4:$C$564=$A320,
N(INDEX('PORTIFÓLIO'!$J$4:$Q$564,,MATCH(D$2,'PORTIFÓLIO'!$J$3:$Q$3,0))) *
N('PORTIFÓLIO'!$S$4:$S$564),
0
)
),
0)</f>
        <v>0</v>
      </c>
      <c r="E320" s="49">
        <f t="shared" si="6"/>
        <v>0</v>
      </c>
      <c r="F320" s="49">
        <f t="array" ref="F320">IFERROR(
SUM(
IF(
'PORTIFÓLIO'!$C$4:$C$564=$A320,
N(INDEX('PORTIFÓLIO'!$J$4:$Q$564,,MATCH(F$2,'PORTIFÓLIO'!$J$3:$Q$3,0))) *
N('PORTIFÓLIO'!$S$4:$S$564),
0
)
),
0)</f>
        <v>0</v>
      </c>
      <c r="G320" s="47">
        <f t="shared" si="7"/>
        <v>0</v>
      </c>
      <c r="H320" s="49">
        <f t="array" ref="H320">IFERROR(
SUM(
IF(
'PORTIFÓLIO'!$C$4:$C$564=$A320,
N(INDEX('PORTIFÓLIO'!$J$4:$Q$564,,MATCH(H$2,'PORTIFÓLIO'!$J$3:$Q$3,0))) *
N('PORTIFÓLIO'!$S$4:$S$564),
0
)
),
0)</f>
        <v>0</v>
      </c>
      <c r="I320" s="47">
        <f t="shared" si="8"/>
        <v>0</v>
      </c>
      <c r="J320" s="49">
        <f t="array" ref="J320">IFERROR(
SUM(
IF(
'PORTIFÓLIO'!$C$4:$C$564=$A320,
N(INDEX('PORTIFÓLIO'!$J$4:$Q$564,,MATCH(J$2,'PORTIFÓLIO'!$J$3:$Q$3,0))) *
N('PORTIFÓLIO'!$S$4:$S$564),
0
)
),
0)</f>
        <v>0</v>
      </c>
      <c r="K320" s="47">
        <f t="shared" si="9"/>
        <v>0</v>
      </c>
      <c r="L320" s="49">
        <f t="array" ref="L320">IFERROR(
SUM(
IF(
'PORTIFÓLIO'!$C$4:$C$564=$A320,
N(INDEX('PORTIFÓLIO'!$J$4:$Q$564,,MATCH(L$2,'PORTIFÓLIO'!$J$3:$Q$3,0))) *
N('PORTIFÓLIO'!$S$4:$S$564),
0
)
),
0)</f>
        <v>0</v>
      </c>
      <c r="M320" s="47">
        <f t="shared" si="10"/>
        <v>0</v>
      </c>
      <c r="N320" s="49">
        <f t="array" ref="N320">IFERROR(
SUM(
IF(
'PORTIFÓLIO'!$C$4:$C$564=$A320,
N(INDEX('PORTIFÓLIO'!$J$4:$Q$564,,MATCH(N$2,'PORTIFÓLIO'!$J$3:$Q$3,0))) *
N('PORTIFÓLIO'!$S$4:$S$564),
0
)
),
0)</f>
        <v>0</v>
      </c>
      <c r="O320" s="49">
        <f t="shared" si="11"/>
        <v>0</v>
      </c>
      <c r="P320" s="49">
        <f t="array" ref="P320">IFERROR(
SUM(
IF(
'PORTIFÓLIO'!$C$4:$C$564=$A320,
N(INDEX('PORTIFÓLIO'!$J$4:$Q$564,,MATCH(P$2,'PORTIFÓLIO'!$J$3:$Q$3,0))) *
N('PORTIFÓLIO'!$S$4:$S$564),
0
)
),
0)</f>
        <v>0</v>
      </c>
      <c r="Q320" s="49">
        <f t="shared" si="12"/>
        <v>0</v>
      </c>
      <c r="R320" s="49">
        <f t="shared" si="2"/>
        <v>0</v>
      </c>
      <c r="S320" s="49">
        <f t="shared" si="13"/>
        <v>0</v>
      </c>
    </row>
    <row r="321" ht="15.75" hidden="1" customHeight="1" outlineLevel="1">
      <c r="A321" s="48"/>
      <c r="B321" s="49">
        <f t="array" ref="B321">IFERROR(
SUM(
IF(
'PORTIFÓLIO'!$C$4:$C$564=$A321,
N(INDEX('PORTIFÓLIO'!$J$4:$Q$564,,MATCH(B$2,'PORTIFÓLIO'!$J$3:$Q$3,0))) *
N('PORTIFÓLIO'!$S$4:$S$564),
0
)
),
0)</f>
        <v>0</v>
      </c>
      <c r="C321" s="49">
        <f t="shared" si="5"/>
        <v>0</v>
      </c>
      <c r="D321" s="49">
        <f t="array" ref="D321">IFERROR(
SUM(
IF(
'PORTIFÓLIO'!$C$4:$C$564=$A321,
N(INDEX('PORTIFÓLIO'!$J$4:$Q$564,,MATCH(D$2,'PORTIFÓLIO'!$J$3:$Q$3,0))) *
N('PORTIFÓLIO'!$S$4:$S$564),
0
)
),
0)</f>
        <v>0</v>
      </c>
      <c r="E321" s="49">
        <f t="shared" si="6"/>
        <v>0</v>
      </c>
      <c r="F321" s="49">
        <f t="array" ref="F321">IFERROR(
SUM(
IF(
'PORTIFÓLIO'!$C$4:$C$564=$A321,
N(INDEX('PORTIFÓLIO'!$J$4:$Q$564,,MATCH(F$2,'PORTIFÓLIO'!$J$3:$Q$3,0))) *
N('PORTIFÓLIO'!$S$4:$S$564),
0
)
),
0)</f>
        <v>0</v>
      </c>
      <c r="G321" s="47">
        <f t="shared" si="7"/>
        <v>0</v>
      </c>
      <c r="H321" s="49">
        <f t="array" ref="H321">IFERROR(
SUM(
IF(
'PORTIFÓLIO'!$C$4:$C$564=$A321,
N(INDEX('PORTIFÓLIO'!$J$4:$Q$564,,MATCH(H$2,'PORTIFÓLIO'!$J$3:$Q$3,0))) *
N('PORTIFÓLIO'!$S$4:$S$564),
0
)
),
0)</f>
        <v>0</v>
      </c>
      <c r="I321" s="47">
        <f t="shared" si="8"/>
        <v>0</v>
      </c>
      <c r="J321" s="49">
        <f t="array" ref="J321">IFERROR(
SUM(
IF(
'PORTIFÓLIO'!$C$4:$C$564=$A321,
N(INDEX('PORTIFÓLIO'!$J$4:$Q$564,,MATCH(J$2,'PORTIFÓLIO'!$J$3:$Q$3,0))) *
N('PORTIFÓLIO'!$S$4:$S$564),
0
)
),
0)</f>
        <v>0</v>
      </c>
      <c r="K321" s="47">
        <f t="shared" si="9"/>
        <v>0</v>
      </c>
      <c r="L321" s="49">
        <f t="array" ref="L321">IFERROR(
SUM(
IF(
'PORTIFÓLIO'!$C$4:$C$564=$A321,
N(INDEX('PORTIFÓLIO'!$J$4:$Q$564,,MATCH(L$2,'PORTIFÓLIO'!$J$3:$Q$3,0))) *
N('PORTIFÓLIO'!$S$4:$S$564),
0
)
),
0)</f>
        <v>0</v>
      </c>
      <c r="M321" s="47">
        <f t="shared" si="10"/>
        <v>0</v>
      </c>
      <c r="N321" s="49">
        <f t="array" ref="N321">IFERROR(
SUM(
IF(
'PORTIFÓLIO'!$C$4:$C$564=$A321,
N(INDEX('PORTIFÓLIO'!$J$4:$Q$564,,MATCH(N$2,'PORTIFÓLIO'!$J$3:$Q$3,0))) *
N('PORTIFÓLIO'!$S$4:$S$564),
0
)
),
0)</f>
        <v>0</v>
      </c>
      <c r="O321" s="49">
        <f t="shared" si="11"/>
        <v>0</v>
      </c>
      <c r="P321" s="49">
        <f t="array" ref="P321">IFERROR(
SUM(
IF(
'PORTIFÓLIO'!$C$4:$C$564=$A321,
N(INDEX('PORTIFÓLIO'!$J$4:$Q$564,,MATCH(P$2,'PORTIFÓLIO'!$J$3:$Q$3,0))) *
N('PORTIFÓLIO'!$S$4:$S$564),
0
)
),
0)</f>
        <v>0</v>
      </c>
      <c r="Q321" s="49">
        <f t="shared" si="12"/>
        <v>0</v>
      </c>
      <c r="R321" s="49">
        <f t="shared" si="2"/>
        <v>0</v>
      </c>
      <c r="S321" s="49">
        <f t="shared" si="13"/>
        <v>0</v>
      </c>
    </row>
    <row r="322" ht="15.75" customHeight="1" collapsed="1">
      <c r="A322" s="46" t="s">
        <v>6</v>
      </c>
      <c r="B322" s="47">
        <f>SUM(B323:B339)</f>
        <v>9425.64</v>
      </c>
      <c r="C322" s="47">
        <f t="shared" si="5"/>
        <v>19.236</v>
      </c>
      <c r="D322" s="47">
        <f>SUM(D323:D339)</f>
        <v>7722.2922</v>
      </c>
      <c r="E322" s="47">
        <f t="shared" si="6"/>
        <v>25.740974</v>
      </c>
      <c r="F322" s="47">
        <f>SUM(F323:F339)</f>
        <v>5663.01428</v>
      </c>
      <c r="G322" s="47">
        <f t="shared" si="7"/>
        <v>25.740974</v>
      </c>
      <c r="H322" s="47">
        <f>SUM(H323:H339)</f>
        <v>641.2</v>
      </c>
      <c r="I322" s="47">
        <f t="shared" si="8"/>
        <v>3.206</v>
      </c>
      <c r="J322" s="47">
        <f>SUM(J323:J339)</f>
        <v>1205.456</v>
      </c>
      <c r="K322" s="47">
        <f t="shared" si="9"/>
        <v>3.206</v>
      </c>
      <c r="L322" s="47">
        <f>SUM(L323:L339)</f>
        <v>3526.6</v>
      </c>
      <c r="M322" s="47">
        <f t="shared" si="10"/>
        <v>16.03</v>
      </c>
      <c r="N322" s="47">
        <f>SUM(N323:N339)</f>
        <v>30697.04604</v>
      </c>
      <c r="O322" s="47">
        <f t="shared" si="11"/>
        <v>25.20282926</v>
      </c>
      <c r="P322" s="47">
        <f>SUM(P323:P339)</f>
        <v>8237.11168</v>
      </c>
      <c r="Q322" s="47">
        <f t="shared" si="12"/>
        <v>25.740974</v>
      </c>
      <c r="R322" s="47">
        <f t="shared" si="2"/>
        <v>61455.34592</v>
      </c>
      <c r="S322" s="47">
        <f t="shared" si="13"/>
        <v>18.37779483</v>
      </c>
    </row>
    <row r="323" ht="15.75" hidden="1" customHeight="1" outlineLevel="1">
      <c r="A323" s="48" t="str">
        <f>IFERROR(__xludf.DUMMYFUNCTION("UNIQUE(FILTER('PORTIFÓLIO'!C:C, 'PORTIFÓLIO'!B:B=""ADJUVANTE""))"),"RUMBA")</f>
        <v>RUMBA</v>
      </c>
      <c r="B323" s="49">
        <f t="array" ref="B323">IFERROR(
SUM(
IF(
'PORTIFÓLIO'!$C$4:$C$564=$A323,
N(INDEX('PORTIFÓLIO'!$J$4:$Q$564,,MATCH(B$2,'PORTIFÓLIO'!$J$3:$Q$3,0))) *
N('PORTIFÓLIO'!$S$4:$S$564),
0
)
),
0)</f>
        <v>0</v>
      </c>
      <c r="C323" s="49">
        <f t="shared" si="5"/>
        <v>0</v>
      </c>
      <c r="D323" s="49">
        <f t="array" ref="D323">IFERROR(
SUM(
IF(
'PORTIFÓLIO'!$C$4:$C$564=$A323,
N(INDEX('PORTIFÓLIO'!$J$4:$Q$564,,MATCH(D$2,'PORTIFÓLIO'!$J$3:$Q$3,0))) *
N('PORTIFÓLIO'!$S$4:$S$564),
0
)
),
0)</f>
        <v>989.6922</v>
      </c>
      <c r="E323" s="49">
        <f t="shared" si="6"/>
        <v>3.298974</v>
      </c>
      <c r="F323" s="49">
        <f t="array" ref="F323">IFERROR(
SUM(
IF(
'PORTIFÓLIO'!$C$4:$C$564=$A323,
N(INDEX('PORTIFÓLIO'!$J$4:$Q$564,,MATCH(F$2,'PORTIFÓLIO'!$J$3:$Q$3,0))) *
N('PORTIFÓLIO'!$S$4:$S$564),
0
)
),
0)</f>
        <v>725.77428</v>
      </c>
      <c r="G323" s="47">
        <f t="shared" si="7"/>
        <v>3.298974</v>
      </c>
      <c r="H323" s="49">
        <f t="array" ref="H323">IFERROR(
SUM(
IF(
'PORTIFÓLIO'!$C$4:$C$564=$A323,
N(INDEX('PORTIFÓLIO'!$J$4:$Q$564,,MATCH(H$2,'PORTIFÓLIO'!$J$3:$Q$3,0))) *
N('PORTIFÓLIO'!$S$4:$S$564),
0
)
),
0)</f>
        <v>0</v>
      </c>
      <c r="I323" s="47">
        <f t="shared" si="8"/>
        <v>0</v>
      </c>
      <c r="J323" s="49">
        <f t="array" ref="J323">IFERROR(
SUM(
IF(
'PORTIFÓLIO'!$C$4:$C$564=$A323,
N(INDEX('PORTIFÓLIO'!$J$4:$Q$564,,MATCH(J$2,'PORTIFÓLIO'!$J$3:$Q$3,0))) *
N('PORTIFÓLIO'!$S$4:$S$564),
0
)
),
0)</f>
        <v>0</v>
      </c>
      <c r="K323" s="47">
        <f t="shared" si="9"/>
        <v>0</v>
      </c>
      <c r="L323" s="49">
        <f t="array" ref="L323">IFERROR(
SUM(
IF(
'PORTIFÓLIO'!$C$4:$C$564=$A323,
N(INDEX('PORTIFÓLIO'!$J$4:$Q$564,,MATCH(L$2,'PORTIFÓLIO'!$J$3:$Q$3,0))) *
N('PORTIFÓLIO'!$S$4:$S$564),
0
)
),
0)</f>
        <v>0</v>
      </c>
      <c r="M323" s="47">
        <f t="shared" si="10"/>
        <v>0</v>
      </c>
      <c r="N323" s="49">
        <f t="array" ref="N323">IFERROR(
SUM(
IF(
'PORTIFÓLIO'!$C$4:$C$564=$A323,
N(INDEX('PORTIFÓLIO'!$J$4:$Q$564,,MATCH(N$2,'PORTIFÓLIO'!$J$3:$Q$3,0))) *
N('PORTIFÓLIO'!$S$4:$S$564),
0
)
),
0)</f>
        <v>7059.80436</v>
      </c>
      <c r="O323" s="49">
        <f t="shared" si="11"/>
        <v>5.796226897</v>
      </c>
      <c r="P323" s="49">
        <f t="array" ref="P323">IFERROR(
SUM(
IF(
'PORTIFÓLIO'!$C$4:$C$564=$A323,
N(INDEX('PORTIFÓLIO'!$J$4:$Q$564,,MATCH(P$2,'PORTIFÓLIO'!$J$3:$Q$3,0))) *
N('PORTIFÓLIO'!$S$4:$S$564),
0
)
),
0)</f>
        <v>1055.67168</v>
      </c>
      <c r="Q323" s="49">
        <f t="shared" si="12"/>
        <v>3.298974</v>
      </c>
      <c r="R323" s="49">
        <f t="shared" si="2"/>
        <v>9105.16824</v>
      </c>
      <c r="S323" s="49">
        <f t="shared" si="13"/>
        <v>2.722837392</v>
      </c>
    </row>
    <row r="324" ht="15.75" hidden="1" customHeight="1" outlineLevel="1">
      <c r="A324" s="48" t="str">
        <f>IFERROR(__xludf.DUMMYFUNCTION("""COMPUTED_VALUE"""),"ASSIST")</f>
        <v>ASSIST</v>
      </c>
      <c r="B324" s="49">
        <f t="array" ref="B324">IFERROR(
SUM(
IF(
'PORTIFÓLIO'!$C$4:$C$564=$A324,
N(INDEX('PORTIFÓLIO'!$J$4:$Q$564,,MATCH(B$2,'PORTIFÓLIO'!$J$3:$Q$3,0))) *
N('PORTIFÓLIO'!$S$4:$S$564),
0
)
),
0)</f>
        <v>0</v>
      </c>
      <c r="C324" s="49">
        <f t="shared" si="5"/>
        <v>0</v>
      </c>
      <c r="D324" s="49">
        <f t="array" ref="D324">IFERROR(
SUM(
IF(
'PORTIFÓLIO'!$C$4:$C$564=$A324,
N(INDEX('PORTIFÓLIO'!$J$4:$Q$564,,MATCH(D$2,'PORTIFÓLIO'!$J$3:$Q$3,0))) *
N('PORTIFÓLIO'!$S$4:$S$564),
0
)
),
0)</f>
        <v>0</v>
      </c>
      <c r="E324" s="49">
        <f t="shared" si="6"/>
        <v>0</v>
      </c>
      <c r="F324" s="49">
        <f t="array" ref="F324">IFERROR(
SUM(
IF(
'PORTIFÓLIO'!$C$4:$C$564=$A324,
N(INDEX('PORTIFÓLIO'!$J$4:$Q$564,,MATCH(F$2,'PORTIFÓLIO'!$J$3:$Q$3,0))) *
N('PORTIFÓLIO'!$S$4:$S$564),
0
)
),
0)</f>
        <v>0</v>
      </c>
      <c r="G324" s="47">
        <f t="shared" si="7"/>
        <v>0</v>
      </c>
      <c r="H324" s="49">
        <f t="array" ref="H324">IFERROR(
SUM(
IF(
'PORTIFÓLIO'!$C$4:$C$564=$A324,
N(INDEX('PORTIFÓLIO'!$J$4:$Q$564,,MATCH(H$2,'PORTIFÓLIO'!$J$3:$Q$3,0))) *
N('PORTIFÓLIO'!$S$4:$S$564),
0
)
),
0)</f>
        <v>0</v>
      </c>
      <c r="I324" s="47">
        <f t="shared" si="8"/>
        <v>0</v>
      </c>
      <c r="J324" s="49">
        <f t="array" ref="J324">IFERROR(
SUM(
IF(
'PORTIFÓLIO'!$C$4:$C$564=$A324,
N(INDEX('PORTIFÓLIO'!$J$4:$Q$564,,MATCH(J$2,'PORTIFÓLIO'!$J$3:$Q$3,0))) *
N('PORTIFÓLIO'!$S$4:$S$564),
0
)
),
0)</f>
        <v>0</v>
      </c>
      <c r="K324" s="47">
        <f t="shared" si="9"/>
        <v>0</v>
      </c>
      <c r="L324" s="49">
        <f t="array" ref="L324">IFERROR(
SUM(
IF(
'PORTIFÓLIO'!$C$4:$C$564=$A324,
N(INDEX('PORTIFÓLIO'!$J$4:$Q$564,,MATCH(L$2,'PORTIFÓLIO'!$J$3:$Q$3,0))) *
N('PORTIFÓLIO'!$S$4:$S$564),
0
)
),
0)</f>
        <v>0</v>
      </c>
      <c r="M324" s="47">
        <f t="shared" si="10"/>
        <v>0</v>
      </c>
      <c r="N324" s="49">
        <f t="array" ref="N324">IFERROR(
SUM(
IF(
'PORTIFÓLIO'!$C$4:$C$564=$A324,
N(INDEX('PORTIFÓLIO'!$J$4:$Q$564,,MATCH(N$2,'PORTIFÓLIO'!$J$3:$Q$3,0))) *
N('PORTIFÓLIO'!$S$4:$S$564),
0
)
),
0)</f>
        <v>0</v>
      </c>
      <c r="O324" s="49">
        <f t="shared" si="11"/>
        <v>0</v>
      </c>
      <c r="P324" s="49">
        <f t="array" ref="P324">IFERROR(
SUM(
IF(
'PORTIFÓLIO'!$C$4:$C$564=$A324,
N(INDEX('PORTIFÓLIO'!$J$4:$Q$564,,MATCH(P$2,'PORTIFÓLIO'!$J$3:$Q$3,0))) *
N('PORTIFÓLIO'!$S$4:$S$564),
0
)
),
0)</f>
        <v>0</v>
      </c>
      <c r="Q324" s="49">
        <f t="shared" si="12"/>
        <v>0</v>
      </c>
      <c r="R324" s="49">
        <f t="shared" si="2"/>
        <v>0</v>
      </c>
      <c r="S324" s="49">
        <f t="shared" si="13"/>
        <v>0</v>
      </c>
    </row>
    <row r="325" ht="15.75" hidden="1" customHeight="1" outlineLevel="1">
      <c r="A325" s="48" t="str">
        <f>IFERROR(__xludf.DUMMYFUNCTION("""COMPUTED_VALUE"""),"MEES")</f>
        <v>MEES</v>
      </c>
      <c r="B325" s="49">
        <f t="array" ref="B325">IFERROR(
SUM(
IF(
'PORTIFÓLIO'!$C$4:$C$564=$A325,
N(INDEX('PORTIFÓLIO'!$J$4:$Q$564,,MATCH(B$2,'PORTIFÓLIO'!$J$3:$Q$3,0))) *
N('PORTIFÓLIO'!$S$4:$S$564),
0
)
),
0)</f>
        <v>0</v>
      </c>
      <c r="C325" s="49">
        <f t="shared" si="5"/>
        <v>0</v>
      </c>
      <c r="D325" s="49">
        <f t="array" ref="D325">IFERROR(
SUM(
IF(
'PORTIFÓLIO'!$C$4:$C$564=$A325,
N(INDEX('PORTIFÓLIO'!$J$4:$Q$564,,MATCH(D$2,'PORTIFÓLIO'!$J$3:$Q$3,0))) *
N('PORTIFÓLIO'!$S$4:$S$564),
0
)
),
0)</f>
        <v>0</v>
      </c>
      <c r="E325" s="49">
        <f t="shared" si="6"/>
        <v>0</v>
      </c>
      <c r="F325" s="49">
        <f t="array" ref="F325">IFERROR(
SUM(
IF(
'PORTIFÓLIO'!$C$4:$C$564=$A325,
N(INDEX('PORTIFÓLIO'!$J$4:$Q$564,,MATCH(F$2,'PORTIFÓLIO'!$J$3:$Q$3,0))) *
N('PORTIFÓLIO'!$S$4:$S$564),
0
)
),
0)</f>
        <v>0</v>
      </c>
      <c r="G325" s="47">
        <f t="shared" si="7"/>
        <v>0</v>
      </c>
      <c r="H325" s="49">
        <f t="array" ref="H325">IFERROR(
SUM(
IF(
'PORTIFÓLIO'!$C$4:$C$564=$A325,
N(INDEX('PORTIFÓLIO'!$J$4:$Q$564,,MATCH(H$2,'PORTIFÓLIO'!$J$3:$Q$3,0))) *
N('PORTIFÓLIO'!$S$4:$S$564),
0
)
),
0)</f>
        <v>0</v>
      </c>
      <c r="I325" s="47">
        <f t="shared" si="8"/>
        <v>0</v>
      </c>
      <c r="J325" s="49">
        <f t="array" ref="J325">IFERROR(
SUM(
IF(
'PORTIFÓLIO'!$C$4:$C$564=$A325,
N(INDEX('PORTIFÓLIO'!$J$4:$Q$564,,MATCH(J$2,'PORTIFÓLIO'!$J$3:$Q$3,0))) *
N('PORTIFÓLIO'!$S$4:$S$564),
0
)
),
0)</f>
        <v>0</v>
      </c>
      <c r="K325" s="47">
        <f t="shared" si="9"/>
        <v>0</v>
      </c>
      <c r="L325" s="49">
        <f t="array" ref="L325">IFERROR(
SUM(
IF(
'PORTIFÓLIO'!$C$4:$C$564=$A325,
N(INDEX('PORTIFÓLIO'!$J$4:$Q$564,,MATCH(L$2,'PORTIFÓLIO'!$J$3:$Q$3,0))) *
N('PORTIFÓLIO'!$S$4:$S$564),
0
)
),
0)</f>
        <v>0</v>
      </c>
      <c r="M325" s="47">
        <f t="shared" si="10"/>
        <v>0</v>
      </c>
      <c r="N325" s="49">
        <f t="array" ref="N325">IFERROR(
SUM(
IF(
'PORTIFÓLIO'!$C$4:$C$564=$A325,
N(INDEX('PORTIFÓLIO'!$J$4:$Q$564,,MATCH(N$2,'PORTIFÓLIO'!$J$3:$Q$3,0))) *
N('PORTIFÓLIO'!$S$4:$S$564),
0
)
),
0)</f>
        <v>0</v>
      </c>
      <c r="O325" s="49">
        <f t="shared" si="11"/>
        <v>0</v>
      </c>
      <c r="P325" s="49">
        <f t="array" ref="P325">IFERROR(
SUM(
IF(
'PORTIFÓLIO'!$C$4:$C$564=$A325,
N(INDEX('PORTIFÓLIO'!$J$4:$Q$564,,MATCH(P$2,'PORTIFÓLIO'!$J$3:$Q$3,0))) *
N('PORTIFÓLIO'!$S$4:$S$564),
0
)
),
0)</f>
        <v>0</v>
      </c>
      <c r="Q325" s="49">
        <f t="shared" si="12"/>
        <v>0</v>
      </c>
      <c r="R325" s="49">
        <f t="shared" si="2"/>
        <v>0</v>
      </c>
      <c r="S325" s="49">
        <f t="shared" si="13"/>
        <v>0</v>
      </c>
    </row>
    <row r="326" ht="15.75" hidden="1" customHeight="1" outlineLevel="1">
      <c r="A326" s="48" t="str">
        <f>IFERROR(__xludf.DUMMYFUNCTION("""COMPUTED_VALUE"""),"AUREO")</f>
        <v>AUREO</v>
      </c>
      <c r="B326" s="49">
        <f t="array" ref="B326">IFERROR(
SUM(
IF(
'PORTIFÓLIO'!$C$4:$C$564=$A326,
N(INDEX('PORTIFÓLIO'!$J$4:$Q$564,,MATCH(B$2,'PORTIFÓLIO'!$J$3:$Q$3,0))) *
N('PORTIFÓLIO'!$S$4:$S$564),
0
)
),
0)</f>
        <v>0</v>
      </c>
      <c r="C326" s="49">
        <f t="shared" si="5"/>
        <v>0</v>
      </c>
      <c r="D326" s="49">
        <f t="array" ref="D326">IFERROR(
SUM(
IF(
'PORTIFÓLIO'!$C$4:$C$564=$A326,
N(INDEX('PORTIFÓLIO'!$J$4:$Q$564,,MATCH(D$2,'PORTIFÓLIO'!$J$3:$Q$3,0))) *
N('PORTIFÓLIO'!$S$4:$S$564),
0
)
),
0)</f>
        <v>0</v>
      </c>
      <c r="E326" s="49">
        <f t="shared" si="6"/>
        <v>0</v>
      </c>
      <c r="F326" s="49">
        <f t="array" ref="F326">IFERROR(
SUM(
IF(
'PORTIFÓLIO'!$C$4:$C$564=$A326,
N(INDEX('PORTIFÓLIO'!$J$4:$Q$564,,MATCH(F$2,'PORTIFÓLIO'!$J$3:$Q$3,0))) *
N('PORTIFÓLIO'!$S$4:$S$564),
0
)
),
0)</f>
        <v>0</v>
      </c>
      <c r="G326" s="47">
        <f t="shared" si="7"/>
        <v>0</v>
      </c>
      <c r="H326" s="49">
        <f t="array" ref="H326">IFERROR(
SUM(
IF(
'PORTIFÓLIO'!$C$4:$C$564=$A326,
N(INDEX('PORTIFÓLIO'!$J$4:$Q$564,,MATCH(H$2,'PORTIFÓLIO'!$J$3:$Q$3,0))) *
N('PORTIFÓLIO'!$S$4:$S$564),
0
)
),
0)</f>
        <v>0</v>
      </c>
      <c r="I326" s="47">
        <f t="shared" si="8"/>
        <v>0</v>
      </c>
      <c r="J326" s="49">
        <f t="array" ref="J326">IFERROR(
SUM(
IF(
'PORTIFÓLIO'!$C$4:$C$564=$A326,
N(INDEX('PORTIFÓLIO'!$J$4:$Q$564,,MATCH(J$2,'PORTIFÓLIO'!$J$3:$Q$3,0))) *
N('PORTIFÓLIO'!$S$4:$S$564),
0
)
),
0)</f>
        <v>0</v>
      </c>
      <c r="K326" s="47">
        <f t="shared" si="9"/>
        <v>0</v>
      </c>
      <c r="L326" s="49">
        <f t="array" ref="L326">IFERROR(
SUM(
IF(
'PORTIFÓLIO'!$C$4:$C$564=$A326,
N(INDEX('PORTIFÓLIO'!$J$4:$Q$564,,MATCH(L$2,'PORTIFÓLIO'!$J$3:$Q$3,0))) *
N('PORTIFÓLIO'!$S$4:$S$564),
0
)
),
0)</f>
        <v>0</v>
      </c>
      <c r="M326" s="47">
        <f t="shared" si="10"/>
        <v>0</v>
      </c>
      <c r="N326" s="49">
        <f t="array" ref="N326">IFERROR(
SUM(
IF(
'PORTIFÓLIO'!$C$4:$C$564=$A326,
N(INDEX('PORTIFÓLIO'!$J$4:$Q$564,,MATCH(N$2,'PORTIFÓLIO'!$J$3:$Q$3,0))) *
N('PORTIFÓLIO'!$S$4:$S$564),
0
)
),
0)</f>
        <v>7389.233684</v>
      </c>
      <c r="O326" s="49">
        <f t="shared" si="11"/>
        <v>6.066694322</v>
      </c>
      <c r="P326" s="49">
        <f t="array" ref="P326">IFERROR(
SUM(
IF(
'PORTIFÓLIO'!$C$4:$C$564=$A326,
N(INDEX('PORTIFÓLIO'!$J$4:$Q$564,,MATCH(P$2,'PORTIFÓLIO'!$J$3:$Q$3,0))) *
N('PORTIFÓLIO'!$S$4:$S$564),
0
)
),
0)</f>
        <v>0</v>
      </c>
      <c r="Q326" s="49">
        <f t="shared" si="12"/>
        <v>0</v>
      </c>
      <c r="R326" s="49">
        <f t="shared" si="2"/>
        <v>7389.233684</v>
      </c>
      <c r="S326" s="49">
        <f t="shared" si="13"/>
        <v>2.209699068</v>
      </c>
    </row>
    <row r="327" ht="15.75" hidden="1" customHeight="1" outlineLevel="1">
      <c r="A327" s="48" t="str">
        <f>IFERROR(__xludf.DUMMYFUNCTION("""COMPUTED_VALUE"""),"JOINT ULTRA")</f>
        <v>JOINT ULTRA</v>
      </c>
      <c r="B327" s="49">
        <f t="array" ref="B327">IFERROR(
SUM(
IF(
'PORTIFÓLIO'!$C$4:$C$564=$A327,
N(INDEX('PORTIFÓLIO'!$J$4:$Q$564,,MATCH(B$2,'PORTIFÓLIO'!$J$3:$Q$3,0))) *
N('PORTIFÓLIO'!$S$4:$S$564),
0
)
),
0)</f>
        <v>9425.64</v>
      </c>
      <c r="C327" s="49">
        <f t="shared" si="5"/>
        <v>19.236</v>
      </c>
      <c r="D327" s="49">
        <f t="array" ref="D327">IFERROR(
SUM(
IF(
'PORTIFÓLIO'!$C$4:$C$564=$A327,
N(INDEX('PORTIFÓLIO'!$J$4:$Q$564,,MATCH(D$2,'PORTIFÓLIO'!$J$3:$Q$3,0))) *
N('PORTIFÓLIO'!$S$4:$S$564),
0
)
),
0)</f>
        <v>6732.6</v>
      </c>
      <c r="E327" s="49">
        <f t="shared" si="6"/>
        <v>22.442</v>
      </c>
      <c r="F327" s="49">
        <f t="array" ref="F327">IFERROR(
SUM(
IF(
'PORTIFÓLIO'!$C$4:$C$564=$A327,
N(INDEX('PORTIFÓLIO'!$J$4:$Q$564,,MATCH(F$2,'PORTIFÓLIO'!$J$3:$Q$3,0))) *
N('PORTIFÓLIO'!$S$4:$S$564),
0
)
),
0)</f>
        <v>4937.24</v>
      </c>
      <c r="G327" s="47">
        <f t="shared" si="7"/>
        <v>22.442</v>
      </c>
      <c r="H327" s="49">
        <f t="array" ref="H327">IFERROR(
SUM(
IF(
'PORTIFÓLIO'!$C$4:$C$564=$A327,
N(INDEX('PORTIFÓLIO'!$J$4:$Q$564,,MATCH(H$2,'PORTIFÓLIO'!$J$3:$Q$3,0))) *
N('PORTIFÓLIO'!$S$4:$S$564),
0
)
),
0)</f>
        <v>641.2</v>
      </c>
      <c r="I327" s="47">
        <f t="shared" si="8"/>
        <v>3.206</v>
      </c>
      <c r="J327" s="49">
        <f t="array" ref="J327">IFERROR(
SUM(
IF(
'PORTIFÓLIO'!$C$4:$C$564=$A327,
N(INDEX('PORTIFÓLIO'!$J$4:$Q$564,,MATCH(J$2,'PORTIFÓLIO'!$J$3:$Q$3,0))) *
N('PORTIFÓLIO'!$S$4:$S$564),
0
)
),
0)</f>
        <v>1205.456</v>
      </c>
      <c r="K327" s="47">
        <f t="shared" si="9"/>
        <v>3.206</v>
      </c>
      <c r="L327" s="49">
        <f t="array" ref="L327">IFERROR(
SUM(
IF(
'PORTIFÓLIO'!$C$4:$C$564=$A327,
N(INDEX('PORTIFÓLIO'!$J$4:$Q$564,,MATCH(L$2,'PORTIFÓLIO'!$J$3:$Q$3,0))) *
N('PORTIFÓLIO'!$S$4:$S$564),
0
)
),
0)</f>
        <v>3526.6</v>
      </c>
      <c r="M327" s="47">
        <f t="shared" si="10"/>
        <v>16.03</v>
      </c>
      <c r="N327" s="49">
        <f t="array" ref="N327">IFERROR(
SUM(
IF(
'PORTIFÓLIO'!$C$4:$C$564=$A327,
N(INDEX('PORTIFÓLIO'!$J$4:$Q$564,,MATCH(N$2,'PORTIFÓLIO'!$J$3:$Q$3,0))) *
N('PORTIFÓLIO'!$S$4:$S$564),
0
)
),
0)</f>
        <v>16248.008</v>
      </c>
      <c r="O327" s="49">
        <f t="shared" si="11"/>
        <v>13.33990805</v>
      </c>
      <c r="P327" s="49">
        <f t="array" ref="P327">IFERROR(
SUM(
IF(
'PORTIFÓLIO'!$C$4:$C$564=$A327,
N(INDEX('PORTIFÓLIO'!$J$4:$Q$564,,MATCH(P$2,'PORTIFÓLIO'!$J$3:$Q$3,0))) *
N('PORTIFÓLIO'!$S$4:$S$564),
0
)
),
0)</f>
        <v>7181.44</v>
      </c>
      <c r="Q327" s="49">
        <f t="shared" si="12"/>
        <v>22.442</v>
      </c>
      <c r="R327" s="49">
        <f t="shared" si="2"/>
        <v>44960.944</v>
      </c>
      <c r="S327" s="49">
        <f t="shared" si="13"/>
        <v>13.44525837</v>
      </c>
    </row>
    <row r="328" ht="15.75" hidden="1" customHeight="1" outlineLevel="1">
      <c r="A328" s="48" t="str">
        <f>IFERROR(__xludf.DUMMYFUNCTION("""COMPUTED_VALUE"""),"ADGREEN")</f>
        <v>ADGREEN</v>
      </c>
      <c r="B328" s="49">
        <f t="array" ref="B328">IFERROR(
SUM(
IF(
'PORTIFÓLIO'!$C$4:$C$564=$A328,
N(INDEX('PORTIFÓLIO'!$J$4:$Q$564,,MATCH(B$2,'PORTIFÓLIO'!$J$3:$Q$3,0))) *
N('PORTIFÓLIO'!$S$4:$S$564),
0
)
),
0)</f>
        <v>0</v>
      </c>
      <c r="C328" s="49">
        <f t="shared" si="5"/>
        <v>0</v>
      </c>
      <c r="D328" s="49">
        <f t="array" ref="D328">IFERROR(
SUM(
IF(
'PORTIFÓLIO'!$C$4:$C$564=$A328,
N(INDEX('PORTIFÓLIO'!$J$4:$Q$564,,MATCH(D$2,'PORTIFÓLIO'!$J$3:$Q$3,0))) *
N('PORTIFÓLIO'!$S$4:$S$564),
0
)
),
0)</f>
        <v>0</v>
      </c>
      <c r="E328" s="49">
        <f t="shared" si="6"/>
        <v>0</v>
      </c>
      <c r="F328" s="49">
        <f t="array" ref="F328">IFERROR(
SUM(
IF(
'PORTIFÓLIO'!$C$4:$C$564=$A328,
N(INDEX('PORTIFÓLIO'!$J$4:$Q$564,,MATCH(F$2,'PORTIFÓLIO'!$J$3:$Q$3,0))) *
N('PORTIFÓLIO'!$S$4:$S$564),
0
)
),
0)</f>
        <v>0</v>
      </c>
      <c r="G328" s="47">
        <f t="shared" si="7"/>
        <v>0</v>
      </c>
      <c r="H328" s="49">
        <f t="array" ref="H328">IFERROR(
SUM(
IF(
'PORTIFÓLIO'!$C$4:$C$564=$A328,
N(INDEX('PORTIFÓLIO'!$J$4:$Q$564,,MATCH(H$2,'PORTIFÓLIO'!$J$3:$Q$3,0))) *
N('PORTIFÓLIO'!$S$4:$S$564),
0
)
),
0)</f>
        <v>0</v>
      </c>
      <c r="I328" s="47">
        <f t="shared" si="8"/>
        <v>0</v>
      </c>
      <c r="J328" s="49">
        <f t="array" ref="J328">IFERROR(
SUM(
IF(
'PORTIFÓLIO'!$C$4:$C$564=$A328,
N(INDEX('PORTIFÓLIO'!$J$4:$Q$564,,MATCH(J$2,'PORTIFÓLIO'!$J$3:$Q$3,0))) *
N('PORTIFÓLIO'!$S$4:$S$564),
0
)
),
0)</f>
        <v>0</v>
      </c>
      <c r="K328" s="47">
        <f t="shared" si="9"/>
        <v>0</v>
      </c>
      <c r="L328" s="49">
        <f t="array" ref="L328">IFERROR(
SUM(
IF(
'PORTIFÓLIO'!$C$4:$C$564=$A328,
N(INDEX('PORTIFÓLIO'!$J$4:$Q$564,,MATCH(L$2,'PORTIFÓLIO'!$J$3:$Q$3,0))) *
N('PORTIFÓLIO'!$S$4:$S$564),
0
)
),
0)</f>
        <v>0</v>
      </c>
      <c r="M328" s="47">
        <f t="shared" si="10"/>
        <v>0</v>
      </c>
      <c r="N328" s="49">
        <f t="array" ref="N328">IFERROR(
SUM(
IF(
'PORTIFÓLIO'!$C$4:$C$564=$A328,
N(INDEX('PORTIFÓLIO'!$J$4:$Q$564,,MATCH(N$2,'PORTIFÓLIO'!$J$3:$Q$3,0))) *
N('PORTIFÓLIO'!$S$4:$S$564),
0
)
),
0)</f>
        <v>0</v>
      </c>
      <c r="O328" s="49">
        <f t="shared" si="11"/>
        <v>0</v>
      </c>
      <c r="P328" s="49">
        <f t="array" ref="P328">IFERROR(
SUM(
IF(
'PORTIFÓLIO'!$C$4:$C$564=$A328,
N(INDEX('PORTIFÓLIO'!$J$4:$Q$564,,MATCH(P$2,'PORTIFÓLIO'!$J$3:$Q$3,0))) *
N('PORTIFÓLIO'!$S$4:$S$564),
0
)
),
0)</f>
        <v>0</v>
      </c>
      <c r="Q328" s="49">
        <f t="shared" si="12"/>
        <v>0</v>
      </c>
      <c r="R328" s="49">
        <f t="shared" si="2"/>
        <v>0</v>
      </c>
      <c r="S328" s="49">
        <f t="shared" si="13"/>
        <v>0</v>
      </c>
    </row>
    <row r="329" ht="15.75" hidden="1" customHeight="1" outlineLevel="1">
      <c r="A329" s="48" t="str">
        <f>IFERROR(__xludf.DUMMYFUNCTION("""COMPUTED_VALUE"""),"ENERGIC")</f>
        <v>ENERGIC</v>
      </c>
      <c r="B329" s="49">
        <f t="array" ref="B329">IFERROR(
SUM(
IF(
'PORTIFÓLIO'!$C$4:$C$564=$A329,
N(INDEX('PORTIFÓLIO'!$J$4:$Q$564,,MATCH(B$2,'PORTIFÓLIO'!$J$3:$Q$3,0))) *
N('PORTIFÓLIO'!$S$4:$S$564),
0
)
),
0)</f>
        <v>0</v>
      </c>
      <c r="C329" s="49">
        <f t="shared" si="5"/>
        <v>0</v>
      </c>
      <c r="D329" s="49">
        <f t="array" ref="D329">IFERROR(
SUM(
IF(
'PORTIFÓLIO'!$C$4:$C$564=$A329,
N(INDEX('PORTIFÓLIO'!$J$4:$Q$564,,MATCH(D$2,'PORTIFÓLIO'!$J$3:$Q$3,0))) *
N('PORTIFÓLIO'!$S$4:$S$564),
0
)
),
0)</f>
        <v>0</v>
      </c>
      <c r="E329" s="49">
        <f t="shared" si="6"/>
        <v>0</v>
      </c>
      <c r="F329" s="49">
        <f t="array" ref="F329">IFERROR(
SUM(
IF(
'PORTIFÓLIO'!$C$4:$C$564=$A329,
N(INDEX('PORTIFÓLIO'!$J$4:$Q$564,,MATCH(F$2,'PORTIFÓLIO'!$J$3:$Q$3,0))) *
N('PORTIFÓLIO'!$S$4:$S$564),
0
)
),
0)</f>
        <v>0</v>
      </c>
      <c r="G329" s="47">
        <f t="shared" si="7"/>
        <v>0</v>
      </c>
      <c r="H329" s="49">
        <f t="array" ref="H329">IFERROR(
SUM(
IF(
'PORTIFÓLIO'!$C$4:$C$564=$A329,
N(INDEX('PORTIFÓLIO'!$J$4:$Q$564,,MATCH(H$2,'PORTIFÓLIO'!$J$3:$Q$3,0))) *
N('PORTIFÓLIO'!$S$4:$S$564),
0
)
),
0)</f>
        <v>0</v>
      </c>
      <c r="I329" s="47">
        <f t="shared" si="8"/>
        <v>0</v>
      </c>
      <c r="J329" s="49">
        <f t="array" ref="J329">IFERROR(
SUM(
IF(
'PORTIFÓLIO'!$C$4:$C$564=$A329,
N(INDEX('PORTIFÓLIO'!$J$4:$Q$564,,MATCH(J$2,'PORTIFÓLIO'!$J$3:$Q$3,0))) *
N('PORTIFÓLIO'!$S$4:$S$564),
0
)
),
0)</f>
        <v>0</v>
      </c>
      <c r="K329" s="47">
        <f t="shared" si="9"/>
        <v>0</v>
      </c>
      <c r="L329" s="49">
        <f t="array" ref="L329">IFERROR(
SUM(
IF(
'PORTIFÓLIO'!$C$4:$C$564=$A329,
N(INDEX('PORTIFÓLIO'!$J$4:$Q$564,,MATCH(L$2,'PORTIFÓLIO'!$J$3:$Q$3,0))) *
N('PORTIFÓLIO'!$S$4:$S$564),
0
)
),
0)</f>
        <v>0</v>
      </c>
      <c r="M329" s="47">
        <f t="shared" si="10"/>
        <v>0</v>
      </c>
      <c r="N329" s="49">
        <f t="array" ref="N329">IFERROR(
SUM(
IF(
'PORTIFÓLIO'!$C$4:$C$564=$A329,
N(INDEX('PORTIFÓLIO'!$J$4:$Q$564,,MATCH(N$2,'PORTIFÓLIO'!$J$3:$Q$3,0))) *
N('PORTIFÓLIO'!$S$4:$S$564),
0
)
),
0)</f>
        <v>0</v>
      </c>
      <c r="O329" s="49">
        <f t="shared" si="11"/>
        <v>0</v>
      </c>
      <c r="P329" s="49">
        <f t="array" ref="P329">IFERROR(
SUM(
IF(
'PORTIFÓLIO'!$C$4:$C$564=$A329,
N(INDEX('PORTIFÓLIO'!$J$4:$Q$564,,MATCH(P$2,'PORTIFÓLIO'!$J$3:$Q$3,0))) *
N('PORTIFÓLIO'!$S$4:$S$564),
0
)
),
0)</f>
        <v>0</v>
      </c>
      <c r="Q329" s="49">
        <f t="shared" si="12"/>
        <v>0</v>
      </c>
      <c r="R329" s="49">
        <f t="shared" si="2"/>
        <v>0</v>
      </c>
      <c r="S329" s="49">
        <f t="shared" si="13"/>
        <v>0</v>
      </c>
    </row>
    <row r="330" ht="15.75" hidden="1" customHeight="1" outlineLevel="1">
      <c r="A330" s="48" t="str">
        <f>IFERROR(__xludf.DUMMYFUNCTION("""COMPUTED_VALUE"""),"EXTRAVON")</f>
        <v>EXTRAVON</v>
      </c>
      <c r="B330" s="49">
        <f t="array" ref="B330">IFERROR(
SUM(
IF(
'PORTIFÓLIO'!$C$4:$C$564=$A330,
N(INDEX('PORTIFÓLIO'!$J$4:$Q$564,,MATCH(B$2,'PORTIFÓLIO'!$J$3:$Q$3,0))) *
N('PORTIFÓLIO'!$S$4:$S$564),
0
)
),
0)</f>
        <v>0</v>
      </c>
      <c r="C330" s="49">
        <f t="shared" si="5"/>
        <v>0</v>
      </c>
      <c r="D330" s="49">
        <f t="array" ref="D330">IFERROR(
SUM(
IF(
'PORTIFÓLIO'!$C$4:$C$564=$A330,
N(INDEX('PORTIFÓLIO'!$J$4:$Q$564,,MATCH(D$2,'PORTIFÓLIO'!$J$3:$Q$3,0))) *
N('PORTIFÓLIO'!$S$4:$S$564),
0
)
),
0)</f>
        <v>0</v>
      </c>
      <c r="E330" s="49">
        <f t="shared" si="6"/>
        <v>0</v>
      </c>
      <c r="F330" s="49">
        <f t="array" ref="F330">IFERROR(
SUM(
IF(
'PORTIFÓLIO'!$C$4:$C$564=$A330,
N(INDEX('PORTIFÓLIO'!$J$4:$Q$564,,MATCH(F$2,'PORTIFÓLIO'!$J$3:$Q$3,0))) *
N('PORTIFÓLIO'!$S$4:$S$564),
0
)
),
0)</f>
        <v>0</v>
      </c>
      <c r="G330" s="47">
        <f t="shared" si="7"/>
        <v>0</v>
      </c>
      <c r="H330" s="49">
        <f t="array" ref="H330">IFERROR(
SUM(
IF(
'PORTIFÓLIO'!$C$4:$C$564=$A330,
N(INDEX('PORTIFÓLIO'!$J$4:$Q$564,,MATCH(H$2,'PORTIFÓLIO'!$J$3:$Q$3,0))) *
N('PORTIFÓLIO'!$S$4:$S$564),
0
)
),
0)</f>
        <v>0</v>
      </c>
      <c r="I330" s="47">
        <f t="shared" si="8"/>
        <v>0</v>
      </c>
      <c r="J330" s="49">
        <f t="array" ref="J330">IFERROR(
SUM(
IF(
'PORTIFÓLIO'!$C$4:$C$564=$A330,
N(INDEX('PORTIFÓLIO'!$J$4:$Q$564,,MATCH(J$2,'PORTIFÓLIO'!$J$3:$Q$3,0))) *
N('PORTIFÓLIO'!$S$4:$S$564),
0
)
),
0)</f>
        <v>0</v>
      </c>
      <c r="K330" s="47">
        <f t="shared" si="9"/>
        <v>0</v>
      </c>
      <c r="L330" s="49">
        <f t="array" ref="L330">IFERROR(
SUM(
IF(
'PORTIFÓLIO'!$C$4:$C$564=$A330,
N(INDEX('PORTIFÓLIO'!$J$4:$Q$564,,MATCH(L$2,'PORTIFÓLIO'!$J$3:$Q$3,0))) *
N('PORTIFÓLIO'!$S$4:$S$564),
0
)
),
0)</f>
        <v>0</v>
      </c>
      <c r="M330" s="47">
        <f t="shared" si="10"/>
        <v>0</v>
      </c>
      <c r="N330" s="49">
        <f t="array" ref="N330">IFERROR(
SUM(
IF(
'PORTIFÓLIO'!$C$4:$C$564=$A330,
N(INDEX('PORTIFÓLIO'!$J$4:$Q$564,,MATCH(N$2,'PORTIFÓLIO'!$J$3:$Q$3,0))) *
N('PORTIFÓLIO'!$S$4:$S$564),
0
)
),
0)</f>
        <v>0</v>
      </c>
      <c r="O330" s="49">
        <f t="shared" si="11"/>
        <v>0</v>
      </c>
      <c r="P330" s="49">
        <f t="array" ref="P330">IFERROR(
SUM(
IF(
'PORTIFÓLIO'!$C$4:$C$564=$A330,
N(INDEX('PORTIFÓLIO'!$J$4:$Q$564,,MATCH(P$2,'PORTIFÓLIO'!$J$3:$Q$3,0))) *
N('PORTIFÓLIO'!$S$4:$S$564),
0
)
),
0)</f>
        <v>0</v>
      </c>
      <c r="Q330" s="49">
        <f t="shared" si="12"/>
        <v>0</v>
      </c>
      <c r="R330" s="49">
        <f t="shared" si="2"/>
        <v>0</v>
      </c>
      <c r="S330" s="49">
        <f t="shared" si="13"/>
        <v>0</v>
      </c>
    </row>
    <row r="331" ht="15.75" hidden="1" customHeight="1" outlineLevel="1">
      <c r="A331" s="48" t="str">
        <f>IFERROR(__xludf.DUMMYFUNCTION("""COMPUTED_VALUE"""),"OCHIMA")</f>
        <v>OCHIMA</v>
      </c>
      <c r="B331" s="49">
        <f t="array" ref="B331">IFERROR(
SUM(
IF(
'PORTIFÓLIO'!$C$4:$C$564=$A331,
N(INDEX('PORTIFÓLIO'!$J$4:$Q$564,,MATCH(B$2,'PORTIFÓLIO'!$J$3:$Q$3,0))) *
N('PORTIFÓLIO'!$S$4:$S$564),
0
)
),
0)</f>
        <v>0</v>
      </c>
      <c r="C331" s="49">
        <f t="shared" si="5"/>
        <v>0</v>
      </c>
      <c r="D331" s="49">
        <f t="array" ref="D331">IFERROR(
SUM(
IF(
'PORTIFÓLIO'!$C$4:$C$564=$A331,
N(INDEX('PORTIFÓLIO'!$J$4:$Q$564,,MATCH(D$2,'PORTIFÓLIO'!$J$3:$Q$3,0))) *
N('PORTIFÓLIO'!$S$4:$S$564),
0
)
),
0)</f>
        <v>0</v>
      </c>
      <c r="E331" s="49">
        <f t="shared" si="6"/>
        <v>0</v>
      </c>
      <c r="F331" s="49">
        <f t="array" ref="F331">IFERROR(
SUM(
IF(
'PORTIFÓLIO'!$C$4:$C$564=$A331,
N(INDEX('PORTIFÓLIO'!$J$4:$Q$564,,MATCH(F$2,'PORTIFÓLIO'!$J$3:$Q$3,0))) *
N('PORTIFÓLIO'!$S$4:$S$564),
0
)
),
0)</f>
        <v>0</v>
      </c>
      <c r="G331" s="47">
        <f t="shared" si="7"/>
        <v>0</v>
      </c>
      <c r="H331" s="49">
        <f t="array" ref="H331">IFERROR(
SUM(
IF(
'PORTIFÓLIO'!$C$4:$C$564=$A331,
N(INDEX('PORTIFÓLIO'!$J$4:$Q$564,,MATCH(H$2,'PORTIFÓLIO'!$J$3:$Q$3,0))) *
N('PORTIFÓLIO'!$S$4:$S$564),
0
)
),
0)</f>
        <v>0</v>
      </c>
      <c r="I331" s="47">
        <f t="shared" si="8"/>
        <v>0</v>
      </c>
      <c r="J331" s="49">
        <f t="array" ref="J331">IFERROR(
SUM(
IF(
'PORTIFÓLIO'!$C$4:$C$564=$A331,
N(INDEX('PORTIFÓLIO'!$J$4:$Q$564,,MATCH(J$2,'PORTIFÓLIO'!$J$3:$Q$3,0))) *
N('PORTIFÓLIO'!$S$4:$S$564),
0
)
),
0)</f>
        <v>0</v>
      </c>
      <c r="K331" s="47">
        <f t="shared" si="9"/>
        <v>0</v>
      </c>
      <c r="L331" s="49">
        <f t="array" ref="L331">IFERROR(
SUM(
IF(
'PORTIFÓLIO'!$C$4:$C$564=$A331,
N(INDEX('PORTIFÓLIO'!$J$4:$Q$564,,MATCH(L$2,'PORTIFÓLIO'!$J$3:$Q$3,0))) *
N('PORTIFÓLIO'!$S$4:$S$564),
0
)
),
0)</f>
        <v>0</v>
      </c>
      <c r="M331" s="47">
        <f t="shared" si="10"/>
        <v>0</v>
      </c>
      <c r="N331" s="49">
        <f t="array" ref="N331">IFERROR(
SUM(
IF(
'PORTIFÓLIO'!$C$4:$C$564=$A331,
N(INDEX('PORTIFÓLIO'!$J$4:$Q$564,,MATCH(N$2,'PORTIFÓLIO'!$J$3:$Q$3,0))) *
N('PORTIFÓLIO'!$S$4:$S$564),
0
)
),
0)</f>
        <v>0</v>
      </c>
      <c r="O331" s="49">
        <f t="shared" si="11"/>
        <v>0</v>
      </c>
      <c r="P331" s="49">
        <f t="array" ref="P331">IFERROR(
SUM(
IF(
'PORTIFÓLIO'!$C$4:$C$564=$A331,
N(INDEX('PORTIFÓLIO'!$J$4:$Q$564,,MATCH(P$2,'PORTIFÓLIO'!$J$3:$Q$3,0))) *
N('PORTIFÓLIO'!$S$4:$S$564),
0
)
),
0)</f>
        <v>0</v>
      </c>
      <c r="Q331" s="49">
        <f t="shared" si="12"/>
        <v>0</v>
      </c>
      <c r="R331" s="49">
        <f t="shared" si="2"/>
        <v>0</v>
      </c>
      <c r="S331" s="49">
        <f t="shared" si="13"/>
        <v>0</v>
      </c>
    </row>
    <row r="332" ht="15.75" hidden="1" customHeight="1" outlineLevel="1">
      <c r="A332" s="48"/>
      <c r="B332" s="49">
        <f t="array" ref="B332">IFERROR(
SUM(
IF(
'PORTIFÓLIO'!$C$4:$C$564=$A332,
N(INDEX('PORTIFÓLIO'!$J$4:$Q$564,,MATCH(B$2,'PORTIFÓLIO'!$J$3:$Q$3,0))) *
N('PORTIFÓLIO'!$S$4:$S$564),
0
)
),
0)</f>
        <v>0</v>
      </c>
      <c r="C332" s="49">
        <f t="shared" si="5"/>
        <v>0</v>
      </c>
      <c r="D332" s="49">
        <f t="array" ref="D332">IFERROR(
SUM(
IF(
'PORTIFÓLIO'!$C$4:$C$564=$A332,
N(INDEX('PORTIFÓLIO'!$J$4:$Q$564,,MATCH(D$2,'PORTIFÓLIO'!$J$3:$Q$3,0))) *
N('PORTIFÓLIO'!$S$4:$S$564),
0
)
),
0)</f>
        <v>0</v>
      </c>
      <c r="E332" s="49">
        <f t="shared" si="6"/>
        <v>0</v>
      </c>
      <c r="F332" s="49">
        <f t="array" ref="F332">IFERROR(
SUM(
IF(
'PORTIFÓLIO'!$C$4:$C$564=$A332,
N(INDEX('PORTIFÓLIO'!$J$4:$Q$564,,MATCH(F$2,'PORTIFÓLIO'!$J$3:$Q$3,0))) *
N('PORTIFÓLIO'!$S$4:$S$564),
0
)
),
0)</f>
        <v>0</v>
      </c>
      <c r="G332" s="47">
        <f t="shared" si="7"/>
        <v>0</v>
      </c>
      <c r="H332" s="49">
        <f t="array" ref="H332">IFERROR(
SUM(
IF(
'PORTIFÓLIO'!$C$4:$C$564=$A332,
N(INDEX('PORTIFÓLIO'!$J$4:$Q$564,,MATCH(H$2,'PORTIFÓLIO'!$J$3:$Q$3,0))) *
N('PORTIFÓLIO'!$S$4:$S$564),
0
)
),
0)</f>
        <v>0</v>
      </c>
      <c r="I332" s="47">
        <f t="shared" si="8"/>
        <v>0</v>
      </c>
      <c r="J332" s="49">
        <f t="array" ref="J332">IFERROR(
SUM(
IF(
'PORTIFÓLIO'!$C$4:$C$564=$A332,
N(INDEX('PORTIFÓLIO'!$J$4:$Q$564,,MATCH(J$2,'PORTIFÓLIO'!$J$3:$Q$3,0))) *
N('PORTIFÓLIO'!$S$4:$S$564),
0
)
),
0)</f>
        <v>0</v>
      </c>
      <c r="K332" s="47">
        <f t="shared" si="9"/>
        <v>0</v>
      </c>
      <c r="L332" s="49">
        <f t="array" ref="L332">IFERROR(
SUM(
IF(
'PORTIFÓLIO'!$C$4:$C$564=$A332,
N(INDEX('PORTIFÓLIO'!$J$4:$Q$564,,MATCH(L$2,'PORTIFÓLIO'!$J$3:$Q$3,0))) *
N('PORTIFÓLIO'!$S$4:$S$564),
0
)
),
0)</f>
        <v>0</v>
      </c>
      <c r="M332" s="47">
        <f t="shared" si="10"/>
        <v>0</v>
      </c>
      <c r="N332" s="49">
        <f t="array" ref="N332">IFERROR(
SUM(
IF(
'PORTIFÓLIO'!$C$4:$C$564=$A332,
N(INDEX('PORTIFÓLIO'!$J$4:$Q$564,,MATCH(N$2,'PORTIFÓLIO'!$J$3:$Q$3,0))) *
N('PORTIFÓLIO'!$S$4:$S$564),
0
)
),
0)</f>
        <v>0</v>
      </c>
      <c r="O332" s="49">
        <f t="shared" si="11"/>
        <v>0</v>
      </c>
      <c r="P332" s="49">
        <f t="array" ref="P332">IFERROR(
SUM(
IF(
'PORTIFÓLIO'!$C$4:$C$564=$A332,
N(INDEX('PORTIFÓLIO'!$J$4:$Q$564,,MATCH(P$2,'PORTIFÓLIO'!$J$3:$Q$3,0))) *
N('PORTIFÓLIO'!$S$4:$S$564),
0
)
),
0)</f>
        <v>0</v>
      </c>
      <c r="Q332" s="49">
        <f t="shared" si="12"/>
        <v>0</v>
      </c>
      <c r="R332" s="49">
        <f t="shared" si="2"/>
        <v>0</v>
      </c>
      <c r="S332" s="49">
        <f t="shared" si="13"/>
        <v>0</v>
      </c>
    </row>
    <row r="333" ht="15.75" hidden="1" customHeight="1" outlineLevel="1">
      <c r="A333" s="48"/>
      <c r="B333" s="49">
        <f t="array" ref="B333">IFERROR(
SUM(
IF(
'PORTIFÓLIO'!$C$4:$C$564=$A333,
N(INDEX('PORTIFÓLIO'!$J$4:$Q$564,,MATCH(B$2,'PORTIFÓLIO'!$J$3:$Q$3,0))) *
N('PORTIFÓLIO'!$S$4:$S$564),
0
)
),
0)</f>
        <v>0</v>
      </c>
      <c r="C333" s="49">
        <f t="shared" si="5"/>
        <v>0</v>
      </c>
      <c r="D333" s="49">
        <f t="array" ref="D333">IFERROR(
SUM(
IF(
'PORTIFÓLIO'!$C$4:$C$564=$A333,
N(INDEX('PORTIFÓLIO'!$J$4:$Q$564,,MATCH(D$2,'PORTIFÓLIO'!$J$3:$Q$3,0))) *
N('PORTIFÓLIO'!$S$4:$S$564),
0
)
),
0)</f>
        <v>0</v>
      </c>
      <c r="E333" s="49">
        <f t="shared" si="6"/>
        <v>0</v>
      </c>
      <c r="F333" s="49">
        <f t="array" ref="F333">IFERROR(
SUM(
IF(
'PORTIFÓLIO'!$C$4:$C$564=$A333,
N(INDEX('PORTIFÓLIO'!$J$4:$Q$564,,MATCH(F$2,'PORTIFÓLIO'!$J$3:$Q$3,0))) *
N('PORTIFÓLIO'!$S$4:$S$564),
0
)
),
0)</f>
        <v>0</v>
      </c>
      <c r="G333" s="47">
        <f t="shared" si="7"/>
        <v>0</v>
      </c>
      <c r="H333" s="49">
        <f t="array" ref="H333">IFERROR(
SUM(
IF(
'PORTIFÓLIO'!$C$4:$C$564=$A333,
N(INDEX('PORTIFÓLIO'!$J$4:$Q$564,,MATCH(H$2,'PORTIFÓLIO'!$J$3:$Q$3,0))) *
N('PORTIFÓLIO'!$S$4:$S$564),
0
)
),
0)</f>
        <v>0</v>
      </c>
      <c r="I333" s="47">
        <f t="shared" si="8"/>
        <v>0</v>
      </c>
      <c r="J333" s="49">
        <f t="array" ref="J333">IFERROR(
SUM(
IF(
'PORTIFÓLIO'!$C$4:$C$564=$A333,
N(INDEX('PORTIFÓLIO'!$J$4:$Q$564,,MATCH(J$2,'PORTIFÓLIO'!$J$3:$Q$3,0))) *
N('PORTIFÓLIO'!$S$4:$S$564),
0
)
),
0)</f>
        <v>0</v>
      </c>
      <c r="K333" s="47">
        <f t="shared" si="9"/>
        <v>0</v>
      </c>
      <c r="L333" s="49">
        <f t="array" ref="L333">IFERROR(
SUM(
IF(
'PORTIFÓLIO'!$C$4:$C$564=$A333,
N(INDEX('PORTIFÓLIO'!$J$4:$Q$564,,MATCH(L$2,'PORTIFÓLIO'!$J$3:$Q$3,0))) *
N('PORTIFÓLIO'!$S$4:$S$564),
0
)
),
0)</f>
        <v>0</v>
      </c>
      <c r="M333" s="47">
        <f t="shared" si="10"/>
        <v>0</v>
      </c>
      <c r="N333" s="49">
        <f t="array" ref="N333">IFERROR(
SUM(
IF(
'PORTIFÓLIO'!$C$4:$C$564=$A333,
N(INDEX('PORTIFÓLIO'!$J$4:$Q$564,,MATCH(N$2,'PORTIFÓLIO'!$J$3:$Q$3,0))) *
N('PORTIFÓLIO'!$S$4:$S$564),
0
)
),
0)</f>
        <v>0</v>
      </c>
      <c r="O333" s="49">
        <f t="shared" si="11"/>
        <v>0</v>
      </c>
      <c r="P333" s="49">
        <f t="array" ref="P333">IFERROR(
SUM(
IF(
'PORTIFÓLIO'!$C$4:$C$564=$A333,
N(INDEX('PORTIFÓLIO'!$J$4:$Q$564,,MATCH(P$2,'PORTIFÓLIO'!$J$3:$Q$3,0))) *
N('PORTIFÓLIO'!$S$4:$S$564),
0
)
),
0)</f>
        <v>0</v>
      </c>
      <c r="Q333" s="49">
        <f t="shared" si="12"/>
        <v>0</v>
      </c>
      <c r="R333" s="49">
        <f t="shared" si="2"/>
        <v>0</v>
      </c>
      <c r="S333" s="49">
        <f t="shared" si="13"/>
        <v>0</v>
      </c>
    </row>
    <row r="334" ht="15.75" hidden="1" customHeight="1" outlineLevel="1">
      <c r="A334" s="48"/>
      <c r="B334" s="49">
        <f t="array" ref="B334">IFERROR(
SUM(
IF(
'PORTIFÓLIO'!$C$4:$C$564=$A334,
N(INDEX('PORTIFÓLIO'!$J$4:$Q$564,,MATCH(B$2,'PORTIFÓLIO'!$J$3:$Q$3,0))) *
N('PORTIFÓLIO'!$S$4:$S$564),
0
)
),
0)</f>
        <v>0</v>
      </c>
      <c r="C334" s="49">
        <f t="shared" si="5"/>
        <v>0</v>
      </c>
      <c r="D334" s="49">
        <f t="array" ref="D334">IFERROR(
SUM(
IF(
'PORTIFÓLIO'!$C$4:$C$564=$A334,
N(INDEX('PORTIFÓLIO'!$J$4:$Q$564,,MATCH(D$2,'PORTIFÓLIO'!$J$3:$Q$3,0))) *
N('PORTIFÓLIO'!$S$4:$S$564),
0
)
),
0)</f>
        <v>0</v>
      </c>
      <c r="E334" s="49">
        <f t="shared" si="6"/>
        <v>0</v>
      </c>
      <c r="F334" s="49">
        <f t="array" ref="F334">IFERROR(
SUM(
IF(
'PORTIFÓLIO'!$C$4:$C$564=$A334,
N(INDEX('PORTIFÓLIO'!$J$4:$Q$564,,MATCH(F$2,'PORTIFÓLIO'!$J$3:$Q$3,0))) *
N('PORTIFÓLIO'!$S$4:$S$564),
0
)
),
0)</f>
        <v>0</v>
      </c>
      <c r="G334" s="47">
        <f t="shared" si="7"/>
        <v>0</v>
      </c>
      <c r="H334" s="49">
        <f t="array" ref="H334">IFERROR(
SUM(
IF(
'PORTIFÓLIO'!$C$4:$C$564=$A334,
N(INDEX('PORTIFÓLIO'!$J$4:$Q$564,,MATCH(H$2,'PORTIFÓLIO'!$J$3:$Q$3,0))) *
N('PORTIFÓLIO'!$S$4:$S$564),
0
)
),
0)</f>
        <v>0</v>
      </c>
      <c r="I334" s="47">
        <f t="shared" si="8"/>
        <v>0</v>
      </c>
      <c r="J334" s="49">
        <f t="array" ref="J334">IFERROR(
SUM(
IF(
'PORTIFÓLIO'!$C$4:$C$564=$A334,
N(INDEX('PORTIFÓLIO'!$J$4:$Q$564,,MATCH(J$2,'PORTIFÓLIO'!$J$3:$Q$3,0))) *
N('PORTIFÓLIO'!$S$4:$S$564),
0
)
),
0)</f>
        <v>0</v>
      </c>
      <c r="K334" s="47">
        <f t="shared" si="9"/>
        <v>0</v>
      </c>
      <c r="L334" s="49">
        <f t="array" ref="L334">IFERROR(
SUM(
IF(
'PORTIFÓLIO'!$C$4:$C$564=$A334,
N(INDEX('PORTIFÓLIO'!$J$4:$Q$564,,MATCH(L$2,'PORTIFÓLIO'!$J$3:$Q$3,0))) *
N('PORTIFÓLIO'!$S$4:$S$564),
0
)
),
0)</f>
        <v>0</v>
      </c>
      <c r="M334" s="47">
        <f t="shared" si="10"/>
        <v>0</v>
      </c>
      <c r="N334" s="49">
        <f t="array" ref="N334">IFERROR(
SUM(
IF(
'PORTIFÓLIO'!$C$4:$C$564=$A334,
N(INDEX('PORTIFÓLIO'!$J$4:$Q$564,,MATCH(N$2,'PORTIFÓLIO'!$J$3:$Q$3,0))) *
N('PORTIFÓLIO'!$S$4:$S$564),
0
)
),
0)</f>
        <v>0</v>
      </c>
      <c r="O334" s="49">
        <f t="shared" si="11"/>
        <v>0</v>
      </c>
      <c r="P334" s="49">
        <f t="array" ref="P334">IFERROR(
SUM(
IF(
'PORTIFÓLIO'!$C$4:$C$564=$A334,
N(INDEX('PORTIFÓLIO'!$J$4:$Q$564,,MATCH(P$2,'PORTIFÓLIO'!$J$3:$Q$3,0))) *
N('PORTIFÓLIO'!$S$4:$S$564),
0
)
),
0)</f>
        <v>0</v>
      </c>
      <c r="Q334" s="49">
        <f t="shared" si="12"/>
        <v>0</v>
      </c>
      <c r="R334" s="49">
        <f t="shared" si="2"/>
        <v>0</v>
      </c>
      <c r="S334" s="49">
        <f t="shared" si="13"/>
        <v>0</v>
      </c>
    </row>
    <row r="335" ht="15.75" hidden="1" customHeight="1" outlineLevel="1">
      <c r="A335" s="48"/>
      <c r="B335" s="49">
        <f t="array" ref="B335">IFERROR(
SUM(
IF(
'PORTIFÓLIO'!$C$4:$C$564=$A335,
N(INDEX('PORTIFÓLIO'!$J$4:$Q$564,,MATCH(B$2,'PORTIFÓLIO'!$J$3:$Q$3,0))) *
N('PORTIFÓLIO'!$S$4:$S$564),
0
)
),
0)</f>
        <v>0</v>
      </c>
      <c r="C335" s="49">
        <f t="shared" si="5"/>
        <v>0</v>
      </c>
      <c r="D335" s="49">
        <f t="array" ref="D335">IFERROR(
SUM(
IF(
'PORTIFÓLIO'!$C$4:$C$564=$A335,
N(INDEX('PORTIFÓLIO'!$J$4:$Q$564,,MATCH(D$2,'PORTIFÓLIO'!$J$3:$Q$3,0))) *
N('PORTIFÓLIO'!$S$4:$S$564),
0
)
),
0)</f>
        <v>0</v>
      </c>
      <c r="E335" s="49">
        <f t="shared" si="6"/>
        <v>0</v>
      </c>
      <c r="F335" s="49">
        <f t="array" ref="F335">IFERROR(
SUM(
IF(
'PORTIFÓLIO'!$C$4:$C$564=$A335,
N(INDEX('PORTIFÓLIO'!$J$4:$Q$564,,MATCH(F$2,'PORTIFÓLIO'!$J$3:$Q$3,0))) *
N('PORTIFÓLIO'!$S$4:$S$564),
0
)
),
0)</f>
        <v>0</v>
      </c>
      <c r="G335" s="47">
        <f t="shared" si="7"/>
        <v>0</v>
      </c>
      <c r="H335" s="49">
        <f t="array" ref="H335">IFERROR(
SUM(
IF(
'PORTIFÓLIO'!$C$4:$C$564=$A335,
N(INDEX('PORTIFÓLIO'!$J$4:$Q$564,,MATCH(H$2,'PORTIFÓLIO'!$J$3:$Q$3,0))) *
N('PORTIFÓLIO'!$S$4:$S$564),
0
)
),
0)</f>
        <v>0</v>
      </c>
      <c r="I335" s="47">
        <f t="shared" si="8"/>
        <v>0</v>
      </c>
      <c r="J335" s="49">
        <f t="array" ref="J335">IFERROR(
SUM(
IF(
'PORTIFÓLIO'!$C$4:$C$564=$A335,
N(INDEX('PORTIFÓLIO'!$J$4:$Q$564,,MATCH(J$2,'PORTIFÓLIO'!$J$3:$Q$3,0))) *
N('PORTIFÓLIO'!$S$4:$S$564),
0
)
),
0)</f>
        <v>0</v>
      </c>
      <c r="K335" s="47">
        <f t="shared" si="9"/>
        <v>0</v>
      </c>
      <c r="L335" s="49">
        <f t="array" ref="L335">IFERROR(
SUM(
IF(
'PORTIFÓLIO'!$C$4:$C$564=$A335,
N(INDEX('PORTIFÓLIO'!$J$4:$Q$564,,MATCH(L$2,'PORTIFÓLIO'!$J$3:$Q$3,0))) *
N('PORTIFÓLIO'!$S$4:$S$564),
0
)
),
0)</f>
        <v>0</v>
      </c>
      <c r="M335" s="47">
        <f t="shared" si="10"/>
        <v>0</v>
      </c>
      <c r="N335" s="49">
        <f t="array" ref="N335">IFERROR(
SUM(
IF(
'PORTIFÓLIO'!$C$4:$C$564=$A335,
N(INDEX('PORTIFÓLIO'!$J$4:$Q$564,,MATCH(N$2,'PORTIFÓLIO'!$J$3:$Q$3,0))) *
N('PORTIFÓLIO'!$S$4:$S$564),
0
)
),
0)</f>
        <v>0</v>
      </c>
      <c r="O335" s="49">
        <f t="shared" si="11"/>
        <v>0</v>
      </c>
      <c r="P335" s="49">
        <f t="array" ref="P335">IFERROR(
SUM(
IF(
'PORTIFÓLIO'!$C$4:$C$564=$A335,
N(INDEX('PORTIFÓLIO'!$J$4:$Q$564,,MATCH(P$2,'PORTIFÓLIO'!$J$3:$Q$3,0))) *
N('PORTIFÓLIO'!$S$4:$S$564),
0
)
),
0)</f>
        <v>0</v>
      </c>
      <c r="Q335" s="49">
        <f t="shared" si="12"/>
        <v>0</v>
      </c>
      <c r="R335" s="49">
        <f t="shared" si="2"/>
        <v>0</v>
      </c>
      <c r="S335" s="49">
        <f t="shared" si="13"/>
        <v>0</v>
      </c>
    </row>
    <row r="336" ht="15.75" hidden="1" customHeight="1" outlineLevel="1">
      <c r="A336" s="48"/>
      <c r="B336" s="49">
        <f t="array" ref="B336">IFERROR(
SUM(
IF(
'PORTIFÓLIO'!$C$4:$C$564=$A336,
N(INDEX('PORTIFÓLIO'!$J$4:$Q$564,,MATCH(B$2,'PORTIFÓLIO'!$J$3:$Q$3,0))) *
N('PORTIFÓLIO'!$S$4:$S$564),
0
)
),
0)</f>
        <v>0</v>
      </c>
      <c r="C336" s="49">
        <f t="shared" si="5"/>
        <v>0</v>
      </c>
      <c r="D336" s="49">
        <f t="array" ref="D336">IFERROR(
SUM(
IF(
'PORTIFÓLIO'!$C$4:$C$564=$A336,
N(INDEX('PORTIFÓLIO'!$J$4:$Q$564,,MATCH(D$2,'PORTIFÓLIO'!$J$3:$Q$3,0))) *
N('PORTIFÓLIO'!$S$4:$S$564),
0
)
),
0)</f>
        <v>0</v>
      </c>
      <c r="E336" s="49">
        <f t="shared" si="6"/>
        <v>0</v>
      </c>
      <c r="F336" s="49">
        <f t="array" ref="F336">IFERROR(
SUM(
IF(
'PORTIFÓLIO'!$C$4:$C$564=$A336,
N(INDEX('PORTIFÓLIO'!$J$4:$Q$564,,MATCH(F$2,'PORTIFÓLIO'!$J$3:$Q$3,0))) *
N('PORTIFÓLIO'!$S$4:$S$564),
0
)
),
0)</f>
        <v>0</v>
      </c>
      <c r="G336" s="47">
        <f t="shared" si="7"/>
        <v>0</v>
      </c>
      <c r="H336" s="49">
        <f t="array" ref="H336">IFERROR(
SUM(
IF(
'PORTIFÓLIO'!$C$4:$C$564=$A336,
N(INDEX('PORTIFÓLIO'!$J$4:$Q$564,,MATCH(H$2,'PORTIFÓLIO'!$J$3:$Q$3,0))) *
N('PORTIFÓLIO'!$S$4:$S$564),
0
)
),
0)</f>
        <v>0</v>
      </c>
      <c r="I336" s="47">
        <f t="shared" si="8"/>
        <v>0</v>
      </c>
      <c r="J336" s="49">
        <f t="array" ref="J336">IFERROR(
SUM(
IF(
'PORTIFÓLIO'!$C$4:$C$564=$A336,
N(INDEX('PORTIFÓLIO'!$J$4:$Q$564,,MATCH(J$2,'PORTIFÓLIO'!$J$3:$Q$3,0))) *
N('PORTIFÓLIO'!$S$4:$S$564),
0
)
),
0)</f>
        <v>0</v>
      </c>
      <c r="K336" s="47">
        <f t="shared" si="9"/>
        <v>0</v>
      </c>
      <c r="L336" s="49">
        <f t="array" ref="L336">IFERROR(
SUM(
IF(
'PORTIFÓLIO'!$C$4:$C$564=$A336,
N(INDEX('PORTIFÓLIO'!$J$4:$Q$564,,MATCH(L$2,'PORTIFÓLIO'!$J$3:$Q$3,0))) *
N('PORTIFÓLIO'!$S$4:$S$564),
0
)
),
0)</f>
        <v>0</v>
      </c>
      <c r="M336" s="47">
        <f t="shared" si="10"/>
        <v>0</v>
      </c>
      <c r="N336" s="49">
        <f t="array" ref="N336">IFERROR(
SUM(
IF(
'PORTIFÓLIO'!$C$4:$C$564=$A336,
N(INDEX('PORTIFÓLIO'!$J$4:$Q$564,,MATCH(N$2,'PORTIFÓLIO'!$J$3:$Q$3,0))) *
N('PORTIFÓLIO'!$S$4:$S$564),
0
)
),
0)</f>
        <v>0</v>
      </c>
      <c r="O336" s="49">
        <f t="shared" si="11"/>
        <v>0</v>
      </c>
      <c r="P336" s="49">
        <f t="array" ref="P336">IFERROR(
SUM(
IF(
'PORTIFÓLIO'!$C$4:$C$564=$A336,
N(INDEX('PORTIFÓLIO'!$J$4:$Q$564,,MATCH(P$2,'PORTIFÓLIO'!$J$3:$Q$3,0))) *
N('PORTIFÓLIO'!$S$4:$S$564),
0
)
),
0)</f>
        <v>0</v>
      </c>
      <c r="Q336" s="49">
        <f t="shared" si="12"/>
        <v>0</v>
      </c>
      <c r="R336" s="49">
        <f t="shared" si="2"/>
        <v>0</v>
      </c>
      <c r="S336" s="49">
        <f t="shared" si="13"/>
        <v>0</v>
      </c>
    </row>
    <row r="337" ht="15.75" hidden="1" customHeight="1" outlineLevel="1">
      <c r="A337" s="48"/>
      <c r="B337" s="49">
        <f t="array" ref="B337">IFERROR(
SUM(
IF(
'PORTIFÓLIO'!$C$4:$C$564=$A337,
N(INDEX('PORTIFÓLIO'!$J$4:$Q$564,,MATCH(B$2,'PORTIFÓLIO'!$J$3:$Q$3,0))) *
N('PORTIFÓLIO'!$S$4:$S$564),
0
)
),
0)</f>
        <v>0</v>
      </c>
      <c r="C337" s="49">
        <f t="shared" si="5"/>
        <v>0</v>
      </c>
      <c r="D337" s="49">
        <f t="array" ref="D337">IFERROR(
SUM(
IF(
'PORTIFÓLIO'!$C$4:$C$564=$A337,
N(INDEX('PORTIFÓLIO'!$J$4:$Q$564,,MATCH(D$2,'PORTIFÓLIO'!$J$3:$Q$3,0))) *
N('PORTIFÓLIO'!$S$4:$S$564),
0
)
),
0)</f>
        <v>0</v>
      </c>
      <c r="E337" s="49">
        <f t="shared" si="6"/>
        <v>0</v>
      </c>
      <c r="F337" s="49">
        <f t="array" ref="F337">IFERROR(
SUM(
IF(
'PORTIFÓLIO'!$C$4:$C$564=$A337,
N(INDEX('PORTIFÓLIO'!$J$4:$Q$564,,MATCH(F$2,'PORTIFÓLIO'!$J$3:$Q$3,0))) *
N('PORTIFÓLIO'!$S$4:$S$564),
0
)
),
0)</f>
        <v>0</v>
      </c>
      <c r="G337" s="47">
        <f t="shared" si="7"/>
        <v>0</v>
      </c>
      <c r="H337" s="49">
        <f t="array" ref="H337">IFERROR(
SUM(
IF(
'PORTIFÓLIO'!$C$4:$C$564=$A337,
N(INDEX('PORTIFÓLIO'!$J$4:$Q$564,,MATCH(H$2,'PORTIFÓLIO'!$J$3:$Q$3,0))) *
N('PORTIFÓLIO'!$S$4:$S$564),
0
)
),
0)</f>
        <v>0</v>
      </c>
      <c r="I337" s="47">
        <f t="shared" si="8"/>
        <v>0</v>
      </c>
      <c r="J337" s="49">
        <f t="array" ref="J337">IFERROR(
SUM(
IF(
'PORTIFÓLIO'!$C$4:$C$564=$A337,
N(INDEX('PORTIFÓLIO'!$J$4:$Q$564,,MATCH(J$2,'PORTIFÓLIO'!$J$3:$Q$3,0))) *
N('PORTIFÓLIO'!$S$4:$S$564),
0
)
),
0)</f>
        <v>0</v>
      </c>
      <c r="K337" s="47">
        <f t="shared" si="9"/>
        <v>0</v>
      </c>
      <c r="L337" s="49">
        <f t="array" ref="L337">IFERROR(
SUM(
IF(
'PORTIFÓLIO'!$C$4:$C$564=$A337,
N(INDEX('PORTIFÓLIO'!$J$4:$Q$564,,MATCH(L$2,'PORTIFÓLIO'!$J$3:$Q$3,0))) *
N('PORTIFÓLIO'!$S$4:$S$564),
0
)
),
0)</f>
        <v>0</v>
      </c>
      <c r="M337" s="47">
        <f t="shared" si="10"/>
        <v>0</v>
      </c>
      <c r="N337" s="49">
        <f t="array" ref="N337">IFERROR(
SUM(
IF(
'PORTIFÓLIO'!$C$4:$C$564=$A337,
N(INDEX('PORTIFÓLIO'!$J$4:$Q$564,,MATCH(N$2,'PORTIFÓLIO'!$J$3:$Q$3,0))) *
N('PORTIFÓLIO'!$S$4:$S$564),
0
)
),
0)</f>
        <v>0</v>
      </c>
      <c r="O337" s="49">
        <f t="shared" si="11"/>
        <v>0</v>
      </c>
      <c r="P337" s="49">
        <f t="array" ref="P337">IFERROR(
SUM(
IF(
'PORTIFÓLIO'!$C$4:$C$564=$A337,
N(INDEX('PORTIFÓLIO'!$J$4:$Q$564,,MATCH(P$2,'PORTIFÓLIO'!$J$3:$Q$3,0))) *
N('PORTIFÓLIO'!$S$4:$S$564),
0
)
),
0)</f>
        <v>0</v>
      </c>
      <c r="Q337" s="49">
        <f t="shared" si="12"/>
        <v>0</v>
      </c>
      <c r="R337" s="49">
        <f t="shared" si="2"/>
        <v>0</v>
      </c>
      <c r="S337" s="49">
        <f t="shared" si="13"/>
        <v>0</v>
      </c>
    </row>
    <row r="338" ht="15.75" hidden="1" customHeight="1" outlineLevel="1">
      <c r="A338" s="48"/>
      <c r="B338" s="49">
        <f t="array" ref="B338">IFERROR(
SUM(
IF(
'PORTIFÓLIO'!$C$4:$C$564=$A338,
N(INDEX('PORTIFÓLIO'!$J$4:$Q$564,,MATCH(B$2,'PORTIFÓLIO'!$J$3:$Q$3,0))) *
N('PORTIFÓLIO'!$S$4:$S$564),
0
)
),
0)</f>
        <v>0</v>
      </c>
      <c r="C338" s="49">
        <f t="shared" si="5"/>
        <v>0</v>
      </c>
      <c r="D338" s="49">
        <f t="array" ref="D338">IFERROR(
SUM(
IF(
'PORTIFÓLIO'!$C$4:$C$564=$A338,
N(INDEX('PORTIFÓLIO'!$J$4:$Q$564,,MATCH(D$2,'PORTIFÓLIO'!$J$3:$Q$3,0))) *
N('PORTIFÓLIO'!$S$4:$S$564),
0
)
),
0)</f>
        <v>0</v>
      </c>
      <c r="E338" s="49">
        <f t="shared" si="6"/>
        <v>0</v>
      </c>
      <c r="F338" s="49">
        <f t="array" ref="F338">IFERROR(
SUM(
IF(
'PORTIFÓLIO'!$C$4:$C$564=$A338,
N(INDEX('PORTIFÓLIO'!$J$4:$Q$564,,MATCH(F$2,'PORTIFÓLIO'!$J$3:$Q$3,0))) *
N('PORTIFÓLIO'!$S$4:$S$564),
0
)
),
0)</f>
        <v>0</v>
      </c>
      <c r="G338" s="47">
        <f t="shared" si="7"/>
        <v>0</v>
      </c>
      <c r="H338" s="49">
        <f t="array" ref="H338">IFERROR(
SUM(
IF(
'PORTIFÓLIO'!$C$4:$C$564=$A338,
N(INDEX('PORTIFÓLIO'!$J$4:$Q$564,,MATCH(H$2,'PORTIFÓLIO'!$J$3:$Q$3,0))) *
N('PORTIFÓLIO'!$S$4:$S$564),
0
)
),
0)</f>
        <v>0</v>
      </c>
      <c r="I338" s="47">
        <f t="shared" si="8"/>
        <v>0</v>
      </c>
      <c r="J338" s="49">
        <f t="array" ref="J338">IFERROR(
SUM(
IF(
'PORTIFÓLIO'!$C$4:$C$564=$A338,
N(INDEX('PORTIFÓLIO'!$J$4:$Q$564,,MATCH(J$2,'PORTIFÓLIO'!$J$3:$Q$3,0))) *
N('PORTIFÓLIO'!$S$4:$S$564),
0
)
),
0)</f>
        <v>0</v>
      </c>
      <c r="K338" s="47">
        <f t="shared" si="9"/>
        <v>0</v>
      </c>
      <c r="L338" s="49">
        <f t="array" ref="L338">IFERROR(
SUM(
IF(
'PORTIFÓLIO'!$C$4:$C$564=$A338,
N(INDEX('PORTIFÓLIO'!$J$4:$Q$564,,MATCH(L$2,'PORTIFÓLIO'!$J$3:$Q$3,0))) *
N('PORTIFÓLIO'!$S$4:$S$564),
0
)
),
0)</f>
        <v>0</v>
      </c>
      <c r="M338" s="47">
        <f t="shared" si="10"/>
        <v>0</v>
      </c>
      <c r="N338" s="49">
        <f t="array" ref="N338">IFERROR(
SUM(
IF(
'PORTIFÓLIO'!$C$4:$C$564=$A338,
N(INDEX('PORTIFÓLIO'!$J$4:$Q$564,,MATCH(N$2,'PORTIFÓLIO'!$J$3:$Q$3,0))) *
N('PORTIFÓLIO'!$S$4:$S$564),
0
)
),
0)</f>
        <v>0</v>
      </c>
      <c r="O338" s="49">
        <f t="shared" si="11"/>
        <v>0</v>
      </c>
      <c r="P338" s="49">
        <f t="array" ref="P338">IFERROR(
SUM(
IF(
'PORTIFÓLIO'!$C$4:$C$564=$A338,
N(INDEX('PORTIFÓLIO'!$J$4:$Q$564,,MATCH(P$2,'PORTIFÓLIO'!$J$3:$Q$3,0))) *
N('PORTIFÓLIO'!$S$4:$S$564),
0
)
),
0)</f>
        <v>0</v>
      </c>
      <c r="Q338" s="49">
        <f t="shared" si="12"/>
        <v>0</v>
      </c>
      <c r="R338" s="49">
        <f t="shared" si="2"/>
        <v>0</v>
      </c>
      <c r="S338" s="49">
        <f t="shared" si="13"/>
        <v>0</v>
      </c>
    </row>
    <row r="339" ht="15.75" hidden="1" customHeight="1" outlineLevel="1">
      <c r="A339" s="48"/>
      <c r="B339" s="49">
        <f t="array" ref="B339">IFERROR(
SUM(
IF(
'PORTIFÓLIO'!$C$4:$C$564=$A339,
N(INDEX('PORTIFÓLIO'!$J$4:$Q$564,,MATCH(B$2,'PORTIFÓLIO'!$J$3:$Q$3,0))) *
N('PORTIFÓLIO'!$S$4:$S$564),
0
)
),
0)</f>
        <v>0</v>
      </c>
      <c r="C339" s="49">
        <f t="shared" si="5"/>
        <v>0</v>
      </c>
      <c r="D339" s="49">
        <f t="array" ref="D339">IFERROR(
SUM(
IF(
'PORTIFÓLIO'!$C$4:$C$564=$A339,
N(INDEX('PORTIFÓLIO'!$J$4:$Q$564,,MATCH(D$2,'PORTIFÓLIO'!$J$3:$Q$3,0))) *
N('PORTIFÓLIO'!$S$4:$S$564),
0
)
),
0)</f>
        <v>0</v>
      </c>
      <c r="E339" s="49">
        <f t="shared" si="6"/>
        <v>0</v>
      </c>
      <c r="F339" s="49">
        <f t="array" ref="F339">IFERROR(
SUM(
IF(
'PORTIFÓLIO'!$C$4:$C$564=$A339,
N(INDEX('PORTIFÓLIO'!$J$4:$Q$564,,MATCH(F$2,'PORTIFÓLIO'!$J$3:$Q$3,0))) *
N('PORTIFÓLIO'!$S$4:$S$564),
0
)
),
0)</f>
        <v>0</v>
      </c>
      <c r="G339" s="47">
        <f t="shared" si="7"/>
        <v>0</v>
      </c>
      <c r="H339" s="49">
        <f t="array" ref="H339">IFERROR(
SUM(
IF(
'PORTIFÓLIO'!$C$4:$C$564=$A339,
N(INDEX('PORTIFÓLIO'!$J$4:$Q$564,,MATCH(H$2,'PORTIFÓLIO'!$J$3:$Q$3,0))) *
N('PORTIFÓLIO'!$S$4:$S$564),
0
)
),
0)</f>
        <v>0</v>
      </c>
      <c r="I339" s="47">
        <f t="shared" si="8"/>
        <v>0</v>
      </c>
      <c r="J339" s="49">
        <f t="array" ref="J339">IFERROR(
SUM(
IF(
'PORTIFÓLIO'!$C$4:$C$564=$A339,
N(INDEX('PORTIFÓLIO'!$J$4:$Q$564,,MATCH(J$2,'PORTIFÓLIO'!$J$3:$Q$3,0))) *
N('PORTIFÓLIO'!$S$4:$S$564),
0
)
),
0)</f>
        <v>0</v>
      </c>
      <c r="K339" s="47">
        <f t="shared" si="9"/>
        <v>0</v>
      </c>
      <c r="L339" s="49">
        <f t="array" ref="L339">IFERROR(
SUM(
IF(
'PORTIFÓLIO'!$C$4:$C$564=$A339,
N(INDEX('PORTIFÓLIO'!$J$4:$Q$564,,MATCH(L$2,'PORTIFÓLIO'!$J$3:$Q$3,0))) *
N('PORTIFÓLIO'!$S$4:$S$564),
0
)
),
0)</f>
        <v>0</v>
      </c>
      <c r="M339" s="47">
        <f t="shared" si="10"/>
        <v>0</v>
      </c>
      <c r="N339" s="49">
        <f t="array" ref="N339">IFERROR(
SUM(
IF(
'PORTIFÓLIO'!$C$4:$C$564=$A339,
N(INDEX('PORTIFÓLIO'!$J$4:$Q$564,,MATCH(N$2,'PORTIFÓLIO'!$J$3:$Q$3,0))) *
N('PORTIFÓLIO'!$S$4:$S$564),
0
)
),
0)</f>
        <v>0</v>
      </c>
      <c r="O339" s="49">
        <f t="shared" si="11"/>
        <v>0</v>
      </c>
      <c r="P339" s="49">
        <f t="array" ref="P339">IFERROR(
SUM(
IF(
'PORTIFÓLIO'!$C$4:$C$564=$A339,
N(INDEX('PORTIFÓLIO'!$J$4:$Q$564,,MATCH(P$2,'PORTIFÓLIO'!$J$3:$Q$3,0))) *
N('PORTIFÓLIO'!$S$4:$S$564),
0
)
),
0)</f>
        <v>0</v>
      </c>
      <c r="Q339" s="49">
        <f t="shared" si="12"/>
        <v>0</v>
      </c>
      <c r="R339" s="49">
        <f t="shared" si="2"/>
        <v>0</v>
      </c>
      <c r="S339" s="49">
        <f t="shared" si="13"/>
        <v>0</v>
      </c>
    </row>
    <row r="340" ht="15.75" customHeight="1" collapsed="1">
      <c r="A340" s="46" t="s">
        <v>8</v>
      </c>
      <c r="B340" s="47">
        <f>SUM(B341:B356)</f>
        <v>0</v>
      </c>
      <c r="C340" s="47">
        <f t="shared" si="5"/>
        <v>0</v>
      </c>
      <c r="D340" s="47">
        <f>SUM(D341:D356)</f>
        <v>0</v>
      </c>
      <c r="E340" s="47">
        <f t="shared" si="6"/>
        <v>0</v>
      </c>
      <c r="F340" s="47">
        <f>SUM(F341:F356)</f>
        <v>0</v>
      </c>
      <c r="G340" s="47">
        <f t="shared" si="7"/>
        <v>0</v>
      </c>
      <c r="H340" s="47">
        <f>SUM(H341:H356)</f>
        <v>0</v>
      </c>
      <c r="I340" s="47">
        <f t="shared" si="8"/>
        <v>0</v>
      </c>
      <c r="J340" s="47">
        <f>SUM(J341:J356)</f>
        <v>0</v>
      </c>
      <c r="K340" s="47">
        <f t="shared" si="9"/>
        <v>0</v>
      </c>
      <c r="L340" s="47">
        <f>SUM(L341:L356)</f>
        <v>0</v>
      </c>
      <c r="M340" s="47">
        <f t="shared" si="10"/>
        <v>0</v>
      </c>
      <c r="N340" s="47">
        <f>SUM(N341:N356)</f>
        <v>0</v>
      </c>
      <c r="O340" s="47">
        <f t="shared" si="11"/>
        <v>0</v>
      </c>
      <c r="P340" s="47">
        <f>SUM(P341:P356)</f>
        <v>0</v>
      </c>
      <c r="Q340" s="47">
        <f t="shared" si="12"/>
        <v>0</v>
      </c>
      <c r="R340" s="47">
        <f t="shared" si="2"/>
        <v>0</v>
      </c>
      <c r="S340" s="47">
        <f t="shared" si="13"/>
        <v>0</v>
      </c>
    </row>
    <row r="341" ht="15.75" hidden="1" customHeight="1" outlineLevel="1">
      <c r="A341" s="42" t="str">
        <f>IFERROR(__xludf.DUMMYFUNCTION("UNIQUE(FILTER('PORTIFÓLIO'!C:C, 'PORTIFÓLIO'!B:B=""corretivos""))"),"CALCÁRIO DOLOMITICO")</f>
        <v>CALCÁRIO DOLOMITICO</v>
      </c>
      <c r="B341" s="49">
        <f t="array" ref="B341">IFERROR(
SUM(
IF(
'PORTIFÓLIO'!$C$4:$C$564=$A341,
N(INDEX('PORTIFÓLIO'!$J$4:$Q$564,,MATCH(B$2,'PORTIFÓLIO'!$J$3:$Q$3,0))) *
N('PORTIFÓLIO'!$S$4:$S$564),
0
)
),
0)</f>
        <v>0</v>
      </c>
      <c r="C341" s="49">
        <f t="shared" si="5"/>
        <v>0</v>
      </c>
      <c r="D341" s="49">
        <f t="array" ref="D341">IFERROR(
SUM(
IF(
'PORTIFÓLIO'!$C$4:$C$564=$A341,
N(INDEX('PORTIFÓLIO'!$J$4:$Q$564,,MATCH(D$2,'PORTIFÓLIO'!$J$3:$Q$3,0))) *
N('PORTIFÓLIO'!$S$4:$S$564),
0
)
),
0)</f>
        <v>0</v>
      </c>
      <c r="E341" s="49">
        <f t="shared" si="6"/>
        <v>0</v>
      </c>
      <c r="F341" s="49">
        <f t="array" ref="F341">IFERROR(
SUM(
IF(
'PORTIFÓLIO'!$C$4:$C$564=$A341,
N(INDEX('PORTIFÓLIO'!$J$4:$Q$564,,MATCH(F$2,'PORTIFÓLIO'!$J$3:$Q$3,0))) *
N('PORTIFÓLIO'!$S$4:$S$564),
0
)
),
0)</f>
        <v>0</v>
      </c>
      <c r="G341" s="47">
        <f t="shared" si="7"/>
        <v>0</v>
      </c>
      <c r="H341" s="49">
        <f t="array" ref="H341">IFERROR(
SUM(
IF(
'PORTIFÓLIO'!$C$4:$C$564=$A341,
N(INDEX('PORTIFÓLIO'!$J$4:$Q$564,,MATCH(H$2,'PORTIFÓLIO'!$J$3:$Q$3,0))) *
N('PORTIFÓLIO'!$S$4:$S$564),
0
)
),
0)</f>
        <v>0</v>
      </c>
      <c r="I341" s="47">
        <f t="shared" si="8"/>
        <v>0</v>
      </c>
      <c r="J341" s="49">
        <f t="array" ref="J341">IFERROR(
SUM(
IF(
'PORTIFÓLIO'!$C$4:$C$564=$A341,
N(INDEX('PORTIFÓLIO'!$J$4:$Q$564,,MATCH(J$2,'PORTIFÓLIO'!$J$3:$Q$3,0))) *
N('PORTIFÓLIO'!$S$4:$S$564),
0
)
),
0)</f>
        <v>0</v>
      </c>
      <c r="K341" s="47">
        <f t="shared" si="9"/>
        <v>0</v>
      </c>
      <c r="L341" s="49">
        <f t="array" ref="L341">IFERROR(
SUM(
IF(
'PORTIFÓLIO'!$C$4:$C$564=$A341,
N(INDEX('PORTIFÓLIO'!$J$4:$Q$564,,MATCH(L$2,'PORTIFÓLIO'!$J$3:$Q$3,0))) *
N('PORTIFÓLIO'!$S$4:$S$564),
0
)
),
0)</f>
        <v>0</v>
      </c>
      <c r="M341" s="47">
        <f t="shared" si="10"/>
        <v>0</v>
      </c>
      <c r="N341" s="49">
        <f t="array" ref="N341">IFERROR(
SUM(
IF(
'PORTIFÓLIO'!$C$4:$C$564=$A341,
N(INDEX('PORTIFÓLIO'!$J$4:$Q$564,,MATCH(N$2,'PORTIFÓLIO'!$J$3:$Q$3,0))) *
N('PORTIFÓLIO'!$S$4:$S$564),
0
)
),
0)</f>
        <v>0</v>
      </c>
      <c r="O341" s="49">
        <f t="shared" si="11"/>
        <v>0</v>
      </c>
      <c r="P341" s="49">
        <f t="array" ref="P341">IFERROR(
SUM(
IF(
'PORTIFÓLIO'!$C$4:$C$564=$A341,
N(INDEX('PORTIFÓLIO'!$J$4:$Q$564,,MATCH(P$2,'PORTIFÓLIO'!$J$3:$Q$3,0))) *
N('PORTIFÓLIO'!$S$4:$S$564),
0
)
),
0)</f>
        <v>0</v>
      </c>
      <c r="Q341" s="49">
        <f t="shared" si="12"/>
        <v>0</v>
      </c>
      <c r="R341" s="49">
        <f t="shared" si="2"/>
        <v>0</v>
      </c>
      <c r="S341" s="49">
        <f t="shared" si="13"/>
        <v>0</v>
      </c>
    </row>
    <row r="342" ht="15.75" hidden="1" customHeight="1" outlineLevel="1">
      <c r="A342" s="42" t="str">
        <f>IFERROR(__xludf.DUMMYFUNCTION("""COMPUTED_VALUE"""),"GESSO AGRICOLA")</f>
        <v>GESSO AGRICOLA</v>
      </c>
      <c r="B342" s="49">
        <f t="array" ref="B342">IFERROR(
SUM(
IF(
'PORTIFÓLIO'!$C$4:$C$564=$A342,
N(INDEX('PORTIFÓLIO'!$J$4:$Q$564,,MATCH(B$2,'PORTIFÓLIO'!$J$3:$Q$3,0))) *
N('PORTIFÓLIO'!$S$4:$S$564),
0
)
),
0)</f>
        <v>0</v>
      </c>
      <c r="C342" s="49">
        <f t="shared" si="5"/>
        <v>0</v>
      </c>
      <c r="D342" s="49">
        <f t="array" ref="D342">IFERROR(
SUM(
IF(
'PORTIFÓLIO'!$C$4:$C$564=$A342,
N(INDEX('PORTIFÓLIO'!$J$4:$Q$564,,MATCH(D$2,'PORTIFÓLIO'!$J$3:$Q$3,0))) *
N('PORTIFÓLIO'!$S$4:$S$564),
0
)
),
0)</f>
        <v>0</v>
      </c>
      <c r="E342" s="49">
        <f t="shared" si="6"/>
        <v>0</v>
      </c>
      <c r="F342" s="49">
        <f t="array" ref="F342">IFERROR(
SUM(
IF(
'PORTIFÓLIO'!$C$4:$C$564=$A342,
N(INDEX('PORTIFÓLIO'!$J$4:$Q$564,,MATCH(F$2,'PORTIFÓLIO'!$J$3:$Q$3,0))) *
N('PORTIFÓLIO'!$S$4:$S$564),
0
)
),
0)</f>
        <v>0</v>
      </c>
      <c r="G342" s="47">
        <f t="shared" si="7"/>
        <v>0</v>
      </c>
      <c r="H342" s="49">
        <f t="array" ref="H342">IFERROR(
SUM(
IF(
'PORTIFÓLIO'!$C$4:$C$564=$A342,
N(INDEX('PORTIFÓLIO'!$J$4:$Q$564,,MATCH(H$2,'PORTIFÓLIO'!$J$3:$Q$3,0))) *
N('PORTIFÓLIO'!$S$4:$S$564),
0
)
),
0)</f>
        <v>0</v>
      </c>
      <c r="I342" s="47">
        <f t="shared" si="8"/>
        <v>0</v>
      </c>
      <c r="J342" s="49">
        <f t="array" ref="J342">IFERROR(
SUM(
IF(
'PORTIFÓLIO'!$C$4:$C$564=$A342,
N(INDEX('PORTIFÓLIO'!$J$4:$Q$564,,MATCH(J$2,'PORTIFÓLIO'!$J$3:$Q$3,0))) *
N('PORTIFÓLIO'!$S$4:$S$564),
0
)
),
0)</f>
        <v>0</v>
      </c>
      <c r="K342" s="47">
        <f t="shared" si="9"/>
        <v>0</v>
      </c>
      <c r="L342" s="49">
        <f t="array" ref="L342">IFERROR(
SUM(
IF(
'PORTIFÓLIO'!$C$4:$C$564=$A342,
N(INDEX('PORTIFÓLIO'!$J$4:$Q$564,,MATCH(L$2,'PORTIFÓLIO'!$J$3:$Q$3,0))) *
N('PORTIFÓLIO'!$S$4:$S$564),
0
)
),
0)</f>
        <v>0</v>
      </c>
      <c r="M342" s="47">
        <f t="shared" si="10"/>
        <v>0</v>
      </c>
      <c r="N342" s="49">
        <f t="array" ref="N342">IFERROR(
SUM(
IF(
'PORTIFÓLIO'!$C$4:$C$564=$A342,
N(INDEX('PORTIFÓLIO'!$J$4:$Q$564,,MATCH(N$2,'PORTIFÓLIO'!$J$3:$Q$3,0))) *
N('PORTIFÓLIO'!$S$4:$S$564),
0
)
),
0)</f>
        <v>0</v>
      </c>
      <c r="O342" s="49">
        <f t="shared" si="11"/>
        <v>0</v>
      </c>
      <c r="P342" s="49">
        <f t="array" ref="P342">IFERROR(
SUM(
IF(
'PORTIFÓLIO'!$C$4:$C$564=$A342,
N(INDEX('PORTIFÓLIO'!$J$4:$Q$564,,MATCH(P$2,'PORTIFÓLIO'!$J$3:$Q$3,0))) *
N('PORTIFÓLIO'!$S$4:$S$564),
0
)
),
0)</f>
        <v>0</v>
      </c>
      <c r="Q342" s="49">
        <f t="shared" si="12"/>
        <v>0</v>
      </c>
      <c r="R342" s="49">
        <f t="shared" si="2"/>
        <v>0</v>
      </c>
      <c r="S342" s="49">
        <f t="shared" si="13"/>
        <v>0</v>
      </c>
    </row>
    <row r="343" ht="15.75" hidden="1" customHeight="1" outlineLevel="1">
      <c r="A343" s="42"/>
      <c r="B343" s="49">
        <f t="array" ref="B343">IFERROR(
SUM(
IF(
'PORTIFÓLIO'!$C$4:$C$564=$A343,
N(INDEX('PORTIFÓLIO'!$J$4:$Q$564,,MATCH(B$2,'PORTIFÓLIO'!$J$3:$Q$3,0))) *
N('PORTIFÓLIO'!$S$4:$S$564),
0
)
),
0)</f>
        <v>0</v>
      </c>
      <c r="C343" s="49">
        <f t="shared" si="5"/>
        <v>0</v>
      </c>
      <c r="D343" s="49">
        <f t="array" ref="D343">IFERROR(
SUM(
IF(
'PORTIFÓLIO'!$C$4:$C$564=$A343,
N(INDEX('PORTIFÓLIO'!$J$4:$Q$564,,MATCH(D$2,'PORTIFÓLIO'!$J$3:$Q$3,0))) *
N('PORTIFÓLIO'!$S$4:$S$564),
0
)
),
0)</f>
        <v>0</v>
      </c>
      <c r="E343" s="49">
        <f t="shared" si="6"/>
        <v>0</v>
      </c>
      <c r="F343" s="49">
        <f t="array" ref="F343">IFERROR(
SUM(
IF(
'PORTIFÓLIO'!$C$4:$C$564=$A343,
N(INDEX('PORTIFÓLIO'!$J$4:$Q$564,,MATCH(F$2,'PORTIFÓLIO'!$J$3:$Q$3,0))) *
N('PORTIFÓLIO'!$S$4:$S$564),
0
)
),
0)</f>
        <v>0</v>
      </c>
      <c r="G343" s="47">
        <f t="shared" si="7"/>
        <v>0</v>
      </c>
      <c r="H343" s="49">
        <f t="array" ref="H343">IFERROR(
SUM(
IF(
'PORTIFÓLIO'!$C$4:$C$564=$A343,
N(INDEX('PORTIFÓLIO'!$J$4:$Q$564,,MATCH(H$2,'PORTIFÓLIO'!$J$3:$Q$3,0))) *
N('PORTIFÓLIO'!$S$4:$S$564),
0
)
),
0)</f>
        <v>0</v>
      </c>
      <c r="I343" s="47">
        <f t="shared" si="8"/>
        <v>0</v>
      </c>
      <c r="J343" s="49">
        <f t="array" ref="J343">IFERROR(
SUM(
IF(
'PORTIFÓLIO'!$C$4:$C$564=$A343,
N(INDEX('PORTIFÓLIO'!$J$4:$Q$564,,MATCH(J$2,'PORTIFÓLIO'!$J$3:$Q$3,0))) *
N('PORTIFÓLIO'!$S$4:$S$564),
0
)
),
0)</f>
        <v>0</v>
      </c>
      <c r="K343" s="47">
        <f t="shared" si="9"/>
        <v>0</v>
      </c>
      <c r="L343" s="49">
        <f t="array" ref="L343">IFERROR(
SUM(
IF(
'PORTIFÓLIO'!$C$4:$C$564=$A343,
N(INDEX('PORTIFÓLIO'!$J$4:$Q$564,,MATCH(L$2,'PORTIFÓLIO'!$J$3:$Q$3,0))) *
N('PORTIFÓLIO'!$S$4:$S$564),
0
)
),
0)</f>
        <v>0</v>
      </c>
      <c r="M343" s="47">
        <f t="shared" si="10"/>
        <v>0</v>
      </c>
      <c r="N343" s="49">
        <f t="array" ref="N343">IFERROR(
SUM(
IF(
'PORTIFÓLIO'!$C$4:$C$564=$A343,
N(INDEX('PORTIFÓLIO'!$J$4:$Q$564,,MATCH(N$2,'PORTIFÓLIO'!$J$3:$Q$3,0))) *
N('PORTIFÓLIO'!$S$4:$S$564),
0
)
),
0)</f>
        <v>0</v>
      </c>
      <c r="O343" s="49">
        <f t="shared" si="11"/>
        <v>0</v>
      </c>
      <c r="P343" s="49">
        <f t="array" ref="P343">IFERROR(
SUM(
IF(
'PORTIFÓLIO'!$C$4:$C$564=$A343,
N(INDEX('PORTIFÓLIO'!$J$4:$Q$564,,MATCH(P$2,'PORTIFÓLIO'!$J$3:$Q$3,0))) *
N('PORTIFÓLIO'!$S$4:$S$564),
0
)
),
0)</f>
        <v>0</v>
      </c>
      <c r="Q343" s="49">
        <f t="shared" si="12"/>
        <v>0</v>
      </c>
      <c r="R343" s="49">
        <f t="shared" si="2"/>
        <v>0</v>
      </c>
      <c r="S343" s="49">
        <f t="shared" si="13"/>
        <v>0</v>
      </c>
    </row>
    <row r="344" ht="15.75" hidden="1" customHeight="1" outlineLevel="1">
      <c r="A344" s="42"/>
      <c r="B344" s="49">
        <f t="array" ref="B344">IFERROR(
SUM(
IF(
'PORTIFÓLIO'!$C$4:$C$564=$A344,
N(INDEX('PORTIFÓLIO'!$J$4:$Q$564,,MATCH(B$2,'PORTIFÓLIO'!$J$3:$Q$3,0))) *
N('PORTIFÓLIO'!$S$4:$S$564),
0
)
),
0)</f>
        <v>0</v>
      </c>
      <c r="C344" s="49">
        <f t="shared" si="5"/>
        <v>0</v>
      </c>
      <c r="D344" s="49">
        <f t="array" ref="D344">IFERROR(
SUM(
IF(
'PORTIFÓLIO'!$C$4:$C$564=$A344,
N(INDEX('PORTIFÓLIO'!$J$4:$Q$564,,MATCH(D$2,'PORTIFÓLIO'!$J$3:$Q$3,0))) *
N('PORTIFÓLIO'!$S$4:$S$564),
0
)
),
0)</f>
        <v>0</v>
      </c>
      <c r="E344" s="49">
        <f t="shared" si="6"/>
        <v>0</v>
      </c>
      <c r="F344" s="49">
        <f t="array" ref="F344">IFERROR(
SUM(
IF(
'PORTIFÓLIO'!$C$4:$C$564=$A344,
N(INDEX('PORTIFÓLIO'!$J$4:$Q$564,,MATCH(F$2,'PORTIFÓLIO'!$J$3:$Q$3,0))) *
N('PORTIFÓLIO'!$S$4:$S$564),
0
)
),
0)</f>
        <v>0</v>
      </c>
      <c r="G344" s="47">
        <f t="shared" si="7"/>
        <v>0</v>
      </c>
      <c r="H344" s="49">
        <f t="array" ref="H344">IFERROR(
SUM(
IF(
'PORTIFÓLIO'!$C$4:$C$564=$A344,
N(INDEX('PORTIFÓLIO'!$J$4:$Q$564,,MATCH(H$2,'PORTIFÓLIO'!$J$3:$Q$3,0))) *
N('PORTIFÓLIO'!$S$4:$S$564),
0
)
),
0)</f>
        <v>0</v>
      </c>
      <c r="I344" s="47">
        <f t="shared" si="8"/>
        <v>0</v>
      </c>
      <c r="J344" s="49">
        <f t="array" ref="J344">IFERROR(
SUM(
IF(
'PORTIFÓLIO'!$C$4:$C$564=$A344,
N(INDEX('PORTIFÓLIO'!$J$4:$Q$564,,MATCH(J$2,'PORTIFÓLIO'!$J$3:$Q$3,0))) *
N('PORTIFÓLIO'!$S$4:$S$564),
0
)
),
0)</f>
        <v>0</v>
      </c>
      <c r="K344" s="47">
        <f t="shared" si="9"/>
        <v>0</v>
      </c>
      <c r="L344" s="49">
        <f t="array" ref="L344">IFERROR(
SUM(
IF(
'PORTIFÓLIO'!$C$4:$C$564=$A344,
N(INDEX('PORTIFÓLIO'!$J$4:$Q$564,,MATCH(L$2,'PORTIFÓLIO'!$J$3:$Q$3,0))) *
N('PORTIFÓLIO'!$S$4:$S$564),
0
)
),
0)</f>
        <v>0</v>
      </c>
      <c r="M344" s="47">
        <f t="shared" si="10"/>
        <v>0</v>
      </c>
      <c r="N344" s="49">
        <f t="array" ref="N344">IFERROR(
SUM(
IF(
'PORTIFÓLIO'!$C$4:$C$564=$A344,
N(INDEX('PORTIFÓLIO'!$J$4:$Q$564,,MATCH(N$2,'PORTIFÓLIO'!$J$3:$Q$3,0))) *
N('PORTIFÓLIO'!$S$4:$S$564),
0
)
),
0)</f>
        <v>0</v>
      </c>
      <c r="O344" s="49">
        <f t="shared" si="11"/>
        <v>0</v>
      </c>
      <c r="P344" s="49">
        <f t="array" ref="P344">IFERROR(
SUM(
IF(
'PORTIFÓLIO'!$C$4:$C$564=$A344,
N(INDEX('PORTIFÓLIO'!$J$4:$Q$564,,MATCH(P$2,'PORTIFÓLIO'!$J$3:$Q$3,0))) *
N('PORTIFÓLIO'!$S$4:$S$564),
0
)
),
0)</f>
        <v>0</v>
      </c>
      <c r="Q344" s="49">
        <f t="shared" si="12"/>
        <v>0</v>
      </c>
      <c r="R344" s="49">
        <f t="shared" si="2"/>
        <v>0</v>
      </c>
      <c r="S344" s="49">
        <f t="shared" si="13"/>
        <v>0</v>
      </c>
    </row>
    <row r="345" ht="15.75" hidden="1" customHeight="1" outlineLevel="1">
      <c r="A345" s="42"/>
      <c r="B345" s="49">
        <f t="array" ref="B345">IFERROR(
SUM(
IF(
'PORTIFÓLIO'!$C$4:$C$564=$A345,
N(INDEX('PORTIFÓLIO'!$J$4:$Q$564,,MATCH(B$2,'PORTIFÓLIO'!$J$3:$Q$3,0))) *
N('PORTIFÓLIO'!$S$4:$S$564),
0
)
),
0)</f>
        <v>0</v>
      </c>
      <c r="C345" s="49">
        <f t="shared" si="5"/>
        <v>0</v>
      </c>
      <c r="D345" s="49">
        <f t="array" ref="D345">IFERROR(
SUM(
IF(
'PORTIFÓLIO'!$C$4:$C$564=$A345,
N(INDEX('PORTIFÓLIO'!$J$4:$Q$564,,MATCH(D$2,'PORTIFÓLIO'!$J$3:$Q$3,0))) *
N('PORTIFÓLIO'!$S$4:$S$564),
0
)
),
0)</f>
        <v>0</v>
      </c>
      <c r="E345" s="49">
        <f t="shared" si="6"/>
        <v>0</v>
      </c>
      <c r="F345" s="49">
        <f t="array" ref="F345">IFERROR(
SUM(
IF(
'PORTIFÓLIO'!$C$4:$C$564=$A345,
N(INDEX('PORTIFÓLIO'!$J$4:$Q$564,,MATCH(F$2,'PORTIFÓLIO'!$J$3:$Q$3,0))) *
N('PORTIFÓLIO'!$S$4:$S$564),
0
)
),
0)</f>
        <v>0</v>
      </c>
      <c r="G345" s="47">
        <f t="shared" si="7"/>
        <v>0</v>
      </c>
      <c r="H345" s="49">
        <f t="array" ref="H345">IFERROR(
SUM(
IF(
'PORTIFÓLIO'!$C$4:$C$564=$A345,
N(INDEX('PORTIFÓLIO'!$J$4:$Q$564,,MATCH(H$2,'PORTIFÓLIO'!$J$3:$Q$3,0))) *
N('PORTIFÓLIO'!$S$4:$S$564),
0
)
),
0)</f>
        <v>0</v>
      </c>
      <c r="I345" s="47">
        <f t="shared" si="8"/>
        <v>0</v>
      </c>
      <c r="J345" s="49">
        <f t="array" ref="J345">IFERROR(
SUM(
IF(
'PORTIFÓLIO'!$C$4:$C$564=$A345,
N(INDEX('PORTIFÓLIO'!$J$4:$Q$564,,MATCH(J$2,'PORTIFÓLIO'!$J$3:$Q$3,0))) *
N('PORTIFÓLIO'!$S$4:$S$564),
0
)
),
0)</f>
        <v>0</v>
      </c>
      <c r="K345" s="47">
        <f t="shared" si="9"/>
        <v>0</v>
      </c>
      <c r="L345" s="49">
        <f t="array" ref="L345">IFERROR(
SUM(
IF(
'PORTIFÓLIO'!$C$4:$C$564=$A345,
N(INDEX('PORTIFÓLIO'!$J$4:$Q$564,,MATCH(L$2,'PORTIFÓLIO'!$J$3:$Q$3,0))) *
N('PORTIFÓLIO'!$S$4:$S$564),
0
)
),
0)</f>
        <v>0</v>
      </c>
      <c r="M345" s="47">
        <f t="shared" si="10"/>
        <v>0</v>
      </c>
      <c r="N345" s="49">
        <f t="array" ref="N345">IFERROR(
SUM(
IF(
'PORTIFÓLIO'!$C$4:$C$564=$A345,
N(INDEX('PORTIFÓLIO'!$J$4:$Q$564,,MATCH(N$2,'PORTIFÓLIO'!$J$3:$Q$3,0))) *
N('PORTIFÓLIO'!$S$4:$S$564),
0
)
),
0)</f>
        <v>0</v>
      </c>
      <c r="O345" s="49">
        <f t="shared" si="11"/>
        <v>0</v>
      </c>
      <c r="P345" s="49">
        <f t="array" ref="P345">IFERROR(
SUM(
IF(
'PORTIFÓLIO'!$C$4:$C$564=$A345,
N(INDEX('PORTIFÓLIO'!$J$4:$Q$564,,MATCH(P$2,'PORTIFÓLIO'!$J$3:$Q$3,0))) *
N('PORTIFÓLIO'!$S$4:$S$564),
0
)
),
0)</f>
        <v>0</v>
      </c>
      <c r="Q345" s="49">
        <f t="shared" si="12"/>
        <v>0</v>
      </c>
      <c r="R345" s="49">
        <f t="shared" si="2"/>
        <v>0</v>
      </c>
      <c r="S345" s="49">
        <f t="shared" si="13"/>
        <v>0</v>
      </c>
    </row>
    <row r="346" ht="15.75" hidden="1" customHeight="1" outlineLevel="1">
      <c r="A346" s="42"/>
      <c r="B346" s="49">
        <f t="array" ref="B346">IFERROR(
SUM(
IF(
'PORTIFÓLIO'!$C$4:$C$564=$A346,
N(INDEX('PORTIFÓLIO'!$J$4:$Q$564,,MATCH(B$2,'PORTIFÓLIO'!$J$3:$Q$3,0))) *
N('PORTIFÓLIO'!$S$4:$S$564),
0
)
),
0)</f>
        <v>0</v>
      </c>
      <c r="C346" s="49">
        <f t="shared" si="5"/>
        <v>0</v>
      </c>
      <c r="D346" s="49">
        <f t="array" ref="D346">IFERROR(
SUM(
IF(
'PORTIFÓLIO'!$C$4:$C$564=$A346,
N(INDEX('PORTIFÓLIO'!$J$4:$Q$564,,MATCH(D$2,'PORTIFÓLIO'!$J$3:$Q$3,0))) *
N('PORTIFÓLIO'!$S$4:$S$564),
0
)
),
0)</f>
        <v>0</v>
      </c>
      <c r="E346" s="49">
        <f t="shared" si="6"/>
        <v>0</v>
      </c>
      <c r="F346" s="49">
        <f t="array" ref="F346">IFERROR(
SUM(
IF(
'PORTIFÓLIO'!$C$4:$C$564=$A346,
N(INDEX('PORTIFÓLIO'!$J$4:$Q$564,,MATCH(F$2,'PORTIFÓLIO'!$J$3:$Q$3,0))) *
N('PORTIFÓLIO'!$S$4:$S$564),
0
)
),
0)</f>
        <v>0</v>
      </c>
      <c r="G346" s="47">
        <f t="shared" si="7"/>
        <v>0</v>
      </c>
      <c r="H346" s="49">
        <f t="array" ref="H346">IFERROR(
SUM(
IF(
'PORTIFÓLIO'!$C$4:$C$564=$A346,
N(INDEX('PORTIFÓLIO'!$J$4:$Q$564,,MATCH(H$2,'PORTIFÓLIO'!$J$3:$Q$3,0))) *
N('PORTIFÓLIO'!$S$4:$S$564),
0
)
),
0)</f>
        <v>0</v>
      </c>
      <c r="I346" s="47">
        <f t="shared" si="8"/>
        <v>0</v>
      </c>
      <c r="J346" s="49">
        <f t="array" ref="J346">IFERROR(
SUM(
IF(
'PORTIFÓLIO'!$C$4:$C$564=$A346,
N(INDEX('PORTIFÓLIO'!$J$4:$Q$564,,MATCH(J$2,'PORTIFÓLIO'!$J$3:$Q$3,0))) *
N('PORTIFÓLIO'!$S$4:$S$564),
0
)
),
0)</f>
        <v>0</v>
      </c>
      <c r="K346" s="47">
        <f t="shared" si="9"/>
        <v>0</v>
      </c>
      <c r="L346" s="49">
        <f t="array" ref="L346">IFERROR(
SUM(
IF(
'PORTIFÓLIO'!$C$4:$C$564=$A346,
N(INDEX('PORTIFÓLIO'!$J$4:$Q$564,,MATCH(L$2,'PORTIFÓLIO'!$J$3:$Q$3,0))) *
N('PORTIFÓLIO'!$S$4:$S$564),
0
)
),
0)</f>
        <v>0</v>
      </c>
      <c r="M346" s="47">
        <f t="shared" si="10"/>
        <v>0</v>
      </c>
      <c r="N346" s="49">
        <f t="array" ref="N346">IFERROR(
SUM(
IF(
'PORTIFÓLIO'!$C$4:$C$564=$A346,
N(INDEX('PORTIFÓLIO'!$J$4:$Q$564,,MATCH(N$2,'PORTIFÓLIO'!$J$3:$Q$3,0))) *
N('PORTIFÓLIO'!$S$4:$S$564),
0
)
),
0)</f>
        <v>0</v>
      </c>
      <c r="O346" s="49">
        <f t="shared" si="11"/>
        <v>0</v>
      </c>
      <c r="P346" s="49">
        <f t="array" ref="P346">IFERROR(
SUM(
IF(
'PORTIFÓLIO'!$C$4:$C$564=$A346,
N(INDEX('PORTIFÓLIO'!$J$4:$Q$564,,MATCH(P$2,'PORTIFÓLIO'!$J$3:$Q$3,0))) *
N('PORTIFÓLIO'!$S$4:$S$564),
0
)
),
0)</f>
        <v>0</v>
      </c>
      <c r="Q346" s="49">
        <f t="shared" si="12"/>
        <v>0</v>
      </c>
      <c r="R346" s="49">
        <f t="shared" si="2"/>
        <v>0</v>
      </c>
      <c r="S346" s="49">
        <f t="shared" si="13"/>
        <v>0</v>
      </c>
    </row>
    <row r="347" ht="15.75" hidden="1" customHeight="1" outlineLevel="1">
      <c r="A347" s="42"/>
      <c r="B347" s="49">
        <f t="array" ref="B347">IFERROR(
SUM(
IF(
'PORTIFÓLIO'!$C$4:$C$564=$A347,
N(INDEX('PORTIFÓLIO'!$J$4:$Q$564,,MATCH(B$2,'PORTIFÓLIO'!$J$3:$Q$3,0))) *
N('PORTIFÓLIO'!$S$4:$S$564),
0
)
),
0)</f>
        <v>0</v>
      </c>
      <c r="C347" s="49">
        <f t="shared" si="5"/>
        <v>0</v>
      </c>
      <c r="D347" s="49">
        <f t="array" ref="D347">IFERROR(
SUM(
IF(
'PORTIFÓLIO'!$C$4:$C$564=$A347,
N(INDEX('PORTIFÓLIO'!$J$4:$Q$564,,MATCH(D$2,'PORTIFÓLIO'!$J$3:$Q$3,0))) *
N('PORTIFÓLIO'!$S$4:$S$564),
0
)
),
0)</f>
        <v>0</v>
      </c>
      <c r="E347" s="49">
        <f t="shared" si="6"/>
        <v>0</v>
      </c>
      <c r="F347" s="49">
        <f t="array" ref="F347">IFERROR(
SUM(
IF(
'PORTIFÓLIO'!$C$4:$C$564=$A347,
N(INDEX('PORTIFÓLIO'!$J$4:$Q$564,,MATCH(F$2,'PORTIFÓLIO'!$J$3:$Q$3,0))) *
N('PORTIFÓLIO'!$S$4:$S$564),
0
)
),
0)</f>
        <v>0</v>
      </c>
      <c r="G347" s="47">
        <f t="shared" si="7"/>
        <v>0</v>
      </c>
      <c r="H347" s="49">
        <f t="array" ref="H347">IFERROR(
SUM(
IF(
'PORTIFÓLIO'!$C$4:$C$564=$A347,
N(INDEX('PORTIFÓLIO'!$J$4:$Q$564,,MATCH(H$2,'PORTIFÓLIO'!$J$3:$Q$3,0))) *
N('PORTIFÓLIO'!$S$4:$S$564),
0
)
),
0)</f>
        <v>0</v>
      </c>
      <c r="I347" s="47">
        <f t="shared" si="8"/>
        <v>0</v>
      </c>
      <c r="J347" s="49">
        <f t="array" ref="J347">IFERROR(
SUM(
IF(
'PORTIFÓLIO'!$C$4:$C$564=$A347,
N(INDEX('PORTIFÓLIO'!$J$4:$Q$564,,MATCH(J$2,'PORTIFÓLIO'!$J$3:$Q$3,0))) *
N('PORTIFÓLIO'!$S$4:$S$564),
0
)
),
0)</f>
        <v>0</v>
      </c>
      <c r="K347" s="47">
        <f t="shared" si="9"/>
        <v>0</v>
      </c>
      <c r="L347" s="49">
        <f t="array" ref="L347">IFERROR(
SUM(
IF(
'PORTIFÓLIO'!$C$4:$C$564=$A347,
N(INDEX('PORTIFÓLIO'!$J$4:$Q$564,,MATCH(L$2,'PORTIFÓLIO'!$J$3:$Q$3,0))) *
N('PORTIFÓLIO'!$S$4:$S$564),
0
)
),
0)</f>
        <v>0</v>
      </c>
      <c r="M347" s="47">
        <f t="shared" si="10"/>
        <v>0</v>
      </c>
      <c r="N347" s="49">
        <f t="array" ref="N347">IFERROR(
SUM(
IF(
'PORTIFÓLIO'!$C$4:$C$564=$A347,
N(INDEX('PORTIFÓLIO'!$J$4:$Q$564,,MATCH(N$2,'PORTIFÓLIO'!$J$3:$Q$3,0))) *
N('PORTIFÓLIO'!$S$4:$S$564),
0
)
),
0)</f>
        <v>0</v>
      </c>
      <c r="O347" s="49">
        <f t="shared" si="11"/>
        <v>0</v>
      </c>
      <c r="P347" s="49">
        <f t="array" ref="P347">IFERROR(
SUM(
IF(
'PORTIFÓLIO'!$C$4:$C$564=$A347,
N(INDEX('PORTIFÓLIO'!$J$4:$Q$564,,MATCH(P$2,'PORTIFÓLIO'!$J$3:$Q$3,0))) *
N('PORTIFÓLIO'!$S$4:$S$564),
0
)
),
0)</f>
        <v>0</v>
      </c>
      <c r="Q347" s="49">
        <f t="shared" si="12"/>
        <v>0</v>
      </c>
      <c r="R347" s="49">
        <f t="shared" si="2"/>
        <v>0</v>
      </c>
      <c r="S347" s="49">
        <f t="shared" si="13"/>
        <v>0</v>
      </c>
    </row>
    <row r="348" ht="15.75" hidden="1" customHeight="1" outlineLevel="1">
      <c r="A348" s="42"/>
      <c r="B348" s="49">
        <f t="array" ref="B348">IFERROR(
SUM(
IF(
'PORTIFÓLIO'!$C$4:$C$564=$A348,
N(INDEX('PORTIFÓLIO'!$J$4:$Q$564,,MATCH(B$2,'PORTIFÓLIO'!$J$3:$Q$3,0))) *
N('PORTIFÓLIO'!$S$4:$S$564),
0
)
),
0)</f>
        <v>0</v>
      </c>
      <c r="C348" s="49">
        <f t="shared" si="5"/>
        <v>0</v>
      </c>
      <c r="D348" s="49">
        <f t="array" ref="D348">IFERROR(
SUM(
IF(
'PORTIFÓLIO'!$C$4:$C$564=$A348,
N(INDEX('PORTIFÓLIO'!$J$4:$Q$564,,MATCH(D$2,'PORTIFÓLIO'!$J$3:$Q$3,0))) *
N('PORTIFÓLIO'!$S$4:$S$564),
0
)
),
0)</f>
        <v>0</v>
      </c>
      <c r="E348" s="49">
        <f t="shared" si="6"/>
        <v>0</v>
      </c>
      <c r="F348" s="49">
        <f t="array" ref="F348">IFERROR(
SUM(
IF(
'PORTIFÓLIO'!$C$4:$C$564=$A348,
N(INDEX('PORTIFÓLIO'!$J$4:$Q$564,,MATCH(F$2,'PORTIFÓLIO'!$J$3:$Q$3,0))) *
N('PORTIFÓLIO'!$S$4:$S$564),
0
)
),
0)</f>
        <v>0</v>
      </c>
      <c r="G348" s="47">
        <f t="shared" si="7"/>
        <v>0</v>
      </c>
      <c r="H348" s="49">
        <f t="array" ref="H348">IFERROR(
SUM(
IF(
'PORTIFÓLIO'!$C$4:$C$564=$A348,
N(INDEX('PORTIFÓLIO'!$J$4:$Q$564,,MATCH(H$2,'PORTIFÓLIO'!$J$3:$Q$3,0))) *
N('PORTIFÓLIO'!$S$4:$S$564),
0
)
),
0)</f>
        <v>0</v>
      </c>
      <c r="I348" s="47">
        <f t="shared" si="8"/>
        <v>0</v>
      </c>
      <c r="J348" s="49">
        <f t="array" ref="J348">IFERROR(
SUM(
IF(
'PORTIFÓLIO'!$C$4:$C$564=$A348,
N(INDEX('PORTIFÓLIO'!$J$4:$Q$564,,MATCH(J$2,'PORTIFÓLIO'!$J$3:$Q$3,0))) *
N('PORTIFÓLIO'!$S$4:$S$564),
0
)
),
0)</f>
        <v>0</v>
      </c>
      <c r="K348" s="47">
        <f t="shared" si="9"/>
        <v>0</v>
      </c>
      <c r="L348" s="49">
        <f t="array" ref="L348">IFERROR(
SUM(
IF(
'PORTIFÓLIO'!$C$4:$C$564=$A348,
N(INDEX('PORTIFÓLIO'!$J$4:$Q$564,,MATCH(L$2,'PORTIFÓLIO'!$J$3:$Q$3,0))) *
N('PORTIFÓLIO'!$S$4:$S$564),
0
)
),
0)</f>
        <v>0</v>
      </c>
      <c r="M348" s="47">
        <f t="shared" si="10"/>
        <v>0</v>
      </c>
      <c r="N348" s="49">
        <f t="array" ref="N348">IFERROR(
SUM(
IF(
'PORTIFÓLIO'!$C$4:$C$564=$A348,
N(INDEX('PORTIFÓLIO'!$J$4:$Q$564,,MATCH(N$2,'PORTIFÓLIO'!$J$3:$Q$3,0))) *
N('PORTIFÓLIO'!$S$4:$S$564),
0
)
),
0)</f>
        <v>0</v>
      </c>
      <c r="O348" s="49">
        <f t="shared" si="11"/>
        <v>0</v>
      </c>
      <c r="P348" s="49">
        <f t="array" ref="P348">IFERROR(
SUM(
IF(
'PORTIFÓLIO'!$C$4:$C$564=$A348,
N(INDEX('PORTIFÓLIO'!$J$4:$Q$564,,MATCH(P$2,'PORTIFÓLIO'!$J$3:$Q$3,0))) *
N('PORTIFÓLIO'!$S$4:$S$564),
0
)
),
0)</f>
        <v>0</v>
      </c>
      <c r="Q348" s="49">
        <f t="shared" si="12"/>
        <v>0</v>
      </c>
      <c r="R348" s="49">
        <f t="shared" si="2"/>
        <v>0</v>
      </c>
      <c r="S348" s="49">
        <f t="shared" si="13"/>
        <v>0</v>
      </c>
    </row>
    <row r="349" ht="15.75" hidden="1" customHeight="1" outlineLevel="1">
      <c r="A349" s="42"/>
      <c r="B349" s="49">
        <f t="array" ref="B349">IFERROR(
SUM(
IF(
'PORTIFÓLIO'!$C$4:$C$564=$A349,
N(INDEX('PORTIFÓLIO'!$J$4:$Q$564,,MATCH(B$2,'PORTIFÓLIO'!$J$3:$Q$3,0))) *
N('PORTIFÓLIO'!$S$4:$S$564),
0
)
),
0)</f>
        <v>0</v>
      </c>
      <c r="C349" s="49">
        <f t="shared" si="5"/>
        <v>0</v>
      </c>
      <c r="D349" s="49">
        <f t="array" ref="D349">IFERROR(
SUM(
IF(
'PORTIFÓLIO'!$C$4:$C$564=$A349,
N(INDEX('PORTIFÓLIO'!$J$4:$Q$564,,MATCH(D$2,'PORTIFÓLIO'!$J$3:$Q$3,0))) *
N('PORTIFÓLIO'!$S$4:$S$564),
0
)
),
0)</f>
        <v>0</v>
      </c>
      <c r="E349" s="49">
        <f t="shared" si="6"/>
        <v>0</v>
      </c>
      <c r="F349" s="49">
        <f t="array" ref="F349">IFERROR(
SUM(
IF(
'PORTIFÓLIO'!$C$4:$C$564=$A349,
N(INDEX('PORTIFÓLIO'!$J$4:$Q$564,,MATCH(F$2,'PORTIFÓLIO'!$J$3:$Q$3,0))) *
N('PORTIFÓLIO'!$S$4:$S$564),
0
)
),
0)</f>
        <v>0</v>
      </c>
      <c r="G349" s="47">
        <f t="shared" si="7"/>
        <v>0</v>
      </c>
      <c r="H349" s="49">
        <f t="array" ref="H349">IFERROR(
SUM(
IF(
'PORTIFÓLIO'!$C$4:$C$564=$A349,
N(INDEX('PORTIFÓLIO'!$J$4:$Q$564,,MATCH(H$2,'PORTIFÓLIO'!$J$3:$Q$3,0))) *
N('PORTIFÓLIO'!$S$4:$S$564),
0
)
),
0)</f>
        <v>0</v>
      </c>
      <c r="I349" s="47">
        <f t="shared" si="8"/>
        <v>0</v>
      </c>
      <c r="J349" s="49">
        <f t="array" ref="J349">IFERROR(
SUM(
IF(
'PORTIFÓLIO'!$C$4:$C$564=$A349,
N(INDEX('PORTIFÓLIO'!$J$4:$Q$564,,MATCH(J$2,'PORTIFÓLIO'!$J$3:$Q$3,0))) *
N('PORTIFÓLIO'!$S$4:$S$564),
0
)
),
0)</f>
        <v>0</v>
      </c>
      <c r="K349" s="47">
        <f t="shared" si="9"/>
        <v>0</v>
      </c>
      <c r="L349" s="49">
        <f t="array" ref="L349">IFERROR(
SUM(
IF(
'PORTIFÓLIO'!$C$4:$C$564=$A349,
N(INDEX('PORTIFÓLIO'!$J$4:$Q$564,,MATCH(L$2,'PORTIFÓLIO'!$J$3:$Q$3,0))) *
N('PORTIFÓLIO'!$S$4:$S$564),
0
)
),
0)</f>
        <v>0</v>
      </c>
      <c r="M349" s="47">
        <f t="shared" si="10"/>
        <v>0</v>
      </c>
      <c r="N349" s="49">
        <f t="array" ref="N349">IFERROR(
SUM(
IF(
'PORTIFÓLIO'!$C$4:$C$564=$A349,
N(INDEX('PORTIFÓLIO'!$J$4:$Q$564,,MATCH(N$2,'PORTIFÓLIO'!$J$3:$Q$3,0))) *
N('PORTIFÓLIO'!$S$4:$S$564),
0
)
),
0)</f>
        <v>0</v>
      </c>
      <c r="O349" s="49">
        <f t="shared" si="11"/>
        <v>0</v>
      </c>
      <c r="P349" s="49">
        <f t="array" ref="P349">IFERROR(
SUM(
IF(
'PORTIFÓLIO'!$C$4:$C$564=$A349,
N(INDEX('PORTIFÓLIO'!$J$4:$Q$564,,MATCH(P$2,'PORTIFÓLIO'!$J$3:$Q$3,0))) *
N('PORTIFÓLIO'!$S$4:$S$564),
0
)
),
0)</f>
        <v>0</v>
      </c>
      <c r="Q349" s="49">
        <f t="shared" si="12"/>
        <v>0</v>
      </c>
      <c r="R349" s="49">
        <f t="shared" si="2"/>
        <v>0</v>
      </c>
      <c r="S349" s="49">
        <f t="shared" si="13"/>
        <v>0</v>
      </c>
    </row>
    <row r="350" ht="15.75" hidden="1" customHeight="1" outlineLevel="1">
      <c r="A350" s="42"/>
      <c r="B350" s="49">
        <f t="array" ref="B350">IFERROR(
SUM(
IF(
'PORTIFÓLIO'!$C$4:$C$564=$A350,
N(INDEX('PORTIFÓLIO'!$J$4:$Q$564,,MATCH(B$2,'PORTIFÓLIO'!$J$3:$Q$3,0))) *
N('PORTIFÓLIO'!$S$4:$S$564),
0
)
),
0)</f>
        <v>0</v>
      </c>
      <c r="C350" s="49">
        <f t="shared" si="5"/>
        <v>0</v>
      </c>
      <c r="D350" s="49">
        <f t="array" ref="D350">IFERROR(
SUM(
IF(
'PORTIFÓLIO'!$C$4:$C$564=$A350,
N(INDEX('PORTIFÓLIO'!$J$4:$Q$564,,MATCH(D$2,'PORTIFÓLIO'!$J$3:$Q$3,0))) *
N('PORTIFÓLIO'!$S$4:$S$564),
0
)
),
0)</f>
        <v>0</v>
      </c>
      <c r="E350" s="49">
        <f t="shared" si="6"/>
        <v>0</v>
      </c>
      <c r="F350" s="49">
        <f t="array" ref="F350">IFERROR(
SUM(
IF(
'PORTIFÓLIO'!$C$4:$C$564=$A350,
N(INDEX('PORTIFÓLIO'!$J$4:$Q$564,,MATCH(F$2,'PORTIFÓLIO'!$J$3:$Q$3,0))) *
N('PORTIFÓLIO'!$S$4:$S$564),
0
)
),
0)</f>
        <v>0</v>
      </c>
      <c r="G350" s="47">
        <f t="shared" si="7"/>
        <v>0</v>
      </c>
      <c r="H350" s="49">
        <f t="array" ref="H350">IFERROR(
SUM(
IF(
'PORTIFÓLIO'!$C$4:$C$564=$A350,
N(INDEX('PORTIFÓLIO'!$J$4:$Q$564,,MATCH(H$2,'PORTIFÓLIO'!$J$3:$Q$3,0))) *
N('PORTIFÓLIO'!$S$4:$S$564),
0
)
),
0)</f>
        <v>0</v>
      </c>
      <c r="I350" s="47">
        <f t="shared" si="8"/>
        <v>0</v>
      </c>
      <c r="J350" s="49">
        <f t="array" ref="J350">IFERROR(
SUM(
IF(
'PORTIFÓLIO'!$C$4:$C$564=$A350,
N(INDEX('PORTIFÓLIO'!$J$4:$Q$564,,MATCH(J$2,'PORTIFÓLIO'!$J$3:$Q$3,0))) *
N('PORTIFÓLIO'!$S$4:$S$564),
0
)
),
0)</f>
        <v>0</v>
      </c>
      <c r="K350" s="47">
        <f t="shared" si="9"/>
        <v>0</v>
      </c>
      <c r="L350" s="49">
        <f t="array" ref="L350">IFERROR(
SUM(
IF(
'PORTIFÓLIO'!$C$4:$C$564=$A350,
N(INDEX('PORTIFÓLIO'!$J$4:$Q$564,,MATCH(L$2,'PORTIFÓLIO'!$J$3:$Q$3,0))) *
N('PORTIFÓLIO'!$S$4:$S$564),
0
)
),
0)</f>
        <v>0</v>
      </c>
      <c r="M350" s="47">
        <f t="shared" si="10"/>
        <v>0</v>
      </c>
      <c r="N350" s="49">
        <f t="array" ref="N350">IFERROR(
SUM(
IF(
'PORTIFÓLIO'!$C$4:$C$564=$A350,
N(INDEX('PORTIFÓLIO'!$J$4:$Q$564,,MATCH(N$2,'PORTIFÓLIO'!$J$3:$Q$3,0))) *
N('PORTIFÓLIO'!$S$4:$S$564),
0
)
),
0)</f>
        <v>0</v>
      </c>
      <c r="O350" s="49">
        <f t="shared" si="11"/>
        <v>0</v>
      </c>
      <c r="P350" s="49">
        <f t="array" ref="P350">IFERROR(
SUM(
IF(
'PORTIFÓLIO'!$C$4:$C$564=$A350,
N(INDEX('PORTIFÓLIO'!$J$4:$Q$564,,MATCH(P$2,'PORTIFÓLIO'!$J$3:$Q$3,0))) *
N('PORTIFÓLIO'!$S$4:$S$564),
0
)
),
0)</f>
        <v>0</v>
      </c>
      <c r="Q350" s="49">
        <f t="shared" si="12"/>
        <v>0</v>
      </c>
      <c r="R350" s="49">
        <f t="shared" si="2"/>
        <v>0</v>
      </c>
      <c r="S350" s="49">
        <f t="shared" si="13"/>
        <v>0</v>
      </c>
    </row>
    <row r="351" ht="15.75" hidden="1" customHeight="1" outlineLevel="1">
      <c r="A351" s="42"/>
      <c r="B351" s="49">
        <f t="array" ref="B351">IFERROR(
SUM(
IF(
'PORTIFÓLIO'!$C$4:$C$564=$A351,
N(INDEX('PORTIFÓLIO'!$J$4:$Q$564,,MATCH(B$2,'PORTIFÓLIO'!$J$3:$Q$3,0))) *
N('PORTIFÓLIO'!$S$4:$S$564),
0
)
),
0)</f>
        <v>0</v>
      </c>
      <c r="C351" s="49">
        <f t="shared" si="5"/>
        <v>0</v>
      </c>
      <c r="D351" s="49">
        <f t="array" ref="D351">IFERROR(
SUM(
IF(
'PORTIFÓLIO'!$C$4:$C$564=$A351,
N(INDEX('PORTIFÓLIO'!$J$4:$Q$564,,MATCH(D$2,'PORTIFÓLIO'!$J$3:$Q$3,0))) *
N('PORTIFÓLIO'!$S$4:$S$564),
0
)
),
0)</f>
        <v>0</v>
      </c>
      <c r="E351" s="49">
        <f t="shared" si="6"/>
        <v>0</v>
      </c>
      <c r="F351" s="49">
        <f t="array" ref="F351">IFERROR(
SUM(
IF(
'PORTIFÓLIO'!$C$4:$C$564=$A351,
N(INDEX('PORTIFÓLIO'!$J$4:$Q$564,,MATCH(F$2,'PORTIFÓLIO'!$J$3:$Q$3,0))) *
N('PORTIFÓLIO'!$S$4:$S$564),
0
)
),
0)</f>
        <v>0</v>
      </c>
      <c r="G351" s="47">
        <f t="shared" si="7"/>
        <v>0</v>
      </c>
      <c r="H351" s="49">
        <f t="array" ref="H351">IFERROR(
SUM(
IF(
'PORTIFÓLIO'!$C$4:$C$564=$A351,
N(INDEX('PORTIFÓLIO'!$J$4:$Q$564,,MATCH(H$2,'PORTIFÓLIO'!$J$3:$Q$3,0))) *
N('PORTIFÓLIO'!$S$4:$S$564),
0
)
),
0)</f>
        <v>0</v>
      </c>
      <c r="I351" s="47">
        <f t="shared" si="8"/>
        <v>0</v>
      </c>
      <c r="J351" s="49">
        <f t="array" ref="J351">IFERROR(
SUM(
IF(
'PORTIFÓLIO'!$C$4:$C$564=$A351,
N(INDEX('PORTIFÓLIO'!$J$4:$Q$564,,MATCH(J$2,'PORTIFÓLIO'!$J$3:$Q$3,0))) *
N('PORTIFÓLIO'!$S$4:$S$564),
0
)
),
0)</f>
        <v>0</v>
      </c>
      <c r="K351" s="47">
        <f t="shared" si="9"/>
        <v>0</v>
      </c>
      <c r="L351" s="49">
        <f t="array" ref="L351">IFERROR(
SUM(
IF(
'PORTIFÓLIO'!$C$4:$C$564=$A351,
N(INDEX('PORTIFÓLIO'!$J$4:$Q$564,,MATCH(L$2,'PORTIFÓLIO'!$J$3:$Q$3,0))) *
N('PORTIFÓLIO'!$S$4:$S$564),
0
)
),
0)</f>
        <v>0</v>
      </c>
      <c r="M351" s="47">
        <f t="shared" si="10"/>
        <v>0</v>
      </c>
      <c r="N351" s="49">
        <f t="array" ref="N351">IFERROR(
SUM(
IF(
'PORTIFÓLIO'!$C$4:$C$564=$A351,
N(INDEX('PORTIFÓLIO'!$J$4:$Q$564,,MATCH(N$2,'PORTIFÓLIO'!$J$3:$Q$3,0))) *
N('PORTIFÓLIO'!$S$4:$S$564),
0
)
),
0)</f>
        <v>0</v>
      </c>
      <c r="O351" s="49">
        <f t="shared" si="11"/>
        <v>0</v>
      </c>
      <c r="P351" s="49">
        <f t="array" ref="P351">IFERROR(
SUM(
IF(
'PORTIFÓLIO'!$C$4:$C$564=$A351,
N(INDEX('PORTIFÓLIO'!$J$4:$Q$564,,MATCH(P$2,'PORTIFÓLIO'!$J$3:$Q$3,0))) *
N('PORTIFÓLIO'!$S$4:$S$564),
0
)
),
0)</f>
        <v>0</v>
      </c>
      <c r="Q351" s="49">
        <f t="shared" si="12"/>
        <v>0</v>
      </c>
      <c r="R351" s="49">
        <f t="shared" si="2"/>
        <v>0</v>
      </c>
      <c r="S351" s="49">
        <f t="shared" si="13"/>
        <v>0</v>
      </c>
    </row>
    <row r="352" ht="15.75" hidden="1" customHeight="1" outlineLevel="1">
      <c r="A352" s="42"/>
      <c r="B352" s="49">
        <f t="array" ref="B352">IFERROR(
SUM(
IF(
'PORTIFÓLIO'!$C$4:$C$564=$A352,
N(INDEX('PORTIFÓLIO'!$J$4:$Q$564,,MATCH(B$2,'PORTIFÓLIO'!$J$3:$Q$3,0))) *
N('PORTIFÓLIO'!$S$4:$S$564),
0
)
),
0)</f>
        <v>0</v>
      </c>
      <c r="C352" s="49">
        <f t="shared" si="5"/>
        <v>0</v>
      </c>
      <c r="D352" s="49">
        <f t="array" ref="D352">IFERROR(
SUM(
IF(
'PORTIFÓLIO'!$C$4:$C$564=$A352,
N(INDEX('PORTIFÓLIO'!$J$4:$Q$564,,MATCH(D$2,'PORTIFÓLIO'!$J$3:$Q$3,0))) *
N('PORTIFÓLIO'!$S$4:$S$564),
0
)
),
0)</f>
        <v>0</v>
      </c>
      <c r="E352" s="49">
        <f t="shared" si="6"/>
        <v>0</v>
      </c>
      <c r="F352" s="49">
        <f t="array" ref="F352">IFERROR(
SUM(
IF(
'PORTIFÓLIO'!$C$4:$C$564=$A352,
N(INDEX('PORTIFÓLIO'!$J$4:$Q$564,,MATCH(F$2,'PORTIFÓLIO'!$J$3:$Q$3,0))) *
N('PORTIFÓLIO'!$S$4:$S$564),
0
)
),
0)</f>
        <v>0</v>
      </c>
      <c r="G352" s="47">
        <f t="shared" si="7"/>
        <v>0</v>
      </c>
      <c r="H352" s="49">
        <f t="array" ref="H352">IFERROR(
SUM(
IF(
'PORTIFÓLIO'!$C$4:$C$564=$A352,
N(INDEX('PORTIFÓLIO'!$J$4:$Q$564,,MATCH(H$2,'PORTIFÓLIO'!$J$3:$Q$3,0))) *
N('PORTIFÓLIO'!$S$4:$S$564),
0
)
),
0)</f>
        <v>0</v>
      </c>
      <c r="I352" s="47">
        <f t="shared" si="8"/>
        <v>0</v>
      </c>
      <c r="J352" s="49">
        <f t="array" ref="J352">IFERROR(
SUM(
IF(
'PORTIFÓLIO'!$C$4:$C$564=$A352,
N(INDEX('PORTIFÓLIO'!$J$4:$Q$564,,MATCH(J$2,'PORTIFÓLIO'!$J$3:$Q$3,0))) *
N('PORTIFÓLIO'!$S$4:$S$564),
0
)
),
0)</f>
        <v>0</v>
      </c>
      <c r="K352" s="47">
        <f t="shared" si="9"/>
        <v>0</v>
      </c>
      <c r="L352" s="49">
        <f t="array" ref="L352">IFERROR(
SUM(
IF(
'PORTIFÓLIO'!$C$4:$C$564=$A352,
N(INDEX('PORTIFÓLIO'!$J$4:$Q$564,,MATCH(L$2,'PORTIFÓLIO'!$J$3:$Q$3,0))) *
N('PORTIFÓLIO'!$S$4:$S$564),
0
)
),
0)</f>
        <v>0</v>
      </c>
      <c r="M352" s="47">
        <f t="shared" si="10"/>
        <v>0</v>
      </c>
      <c r="N352" s="49">
        <f t="array" ref="N352">IFERROR(
SUM(
IF(
'PORTIFÓLIO'!$C$4:$C$564=$A352,
N(INDEX('PORTIFÓLIO'!$J$4:$Q$564,,MATCH(N$2,'PORTIFÓLIO'!$J$3:$Q$3,0))) *
N('PORTIFÓLIO'!$S$4:$S$564),
0
)
),
0)</f>
        <v>0</v>
      </c>
      <c r="O352" s="49">
        <f t="shared" si="11"/>
        <v>0</v>
      </c>
      <c r="P352" s="49">
        <f t="array" ref="P352">IFERROR(
SUM(
IF(
'PORTIFÓLIO'!$C$4:$C$564=$A352,
N(INDEX('PORTIFÓLIO'!$J$4:$Q$564,,MATCH(P$2,'PORTIFÓLIO'!$J$3:$Q$3,0))) *
N('PORTIFÓLIO'!$S$4:$S$564),
0
)
),
0)</f>
        <v>0</v>
      </c>
      <c r="Q352" s="49">
        <f t="shared" si="12"/>
        <v>0</v>
      </c>
      <c r="R352" s="49">
        <f t="shared" si="2"/>
        <v>0</v>
      </c>
      <c r="S352" s="49">
        <f t="shared" si="13"/>
        <v>0</v>
      </c>
    </row>
    <row r="353" ht="15.75" hidden="1" customHeight="1" outlineLevel="1">
      <c r="A353" s="42"/>
      <c r="B353" s="49">
        <f t="array" ref="B353">IFERROR(
SUM(
IF(
'PORTIFÓLIO'!$C$4:$C$564=$A353,
N(INDEX('PORTIFÓLIO'!$J$4:$Q$564,,MATCH(B$2,'PORTIFÓLIO'!$J$3:$Q$3,0))) *
N('PORTIFÓLIO'!$S$4:$S$564),
0
)
),
0)</f>
        <v>0</v>
      </c>
      <c r="C353" s="49">
        <f t="shared" si="5"/>
        <v>0</v>
      </c>
      <c r="D353" s="49">
        <f t="array" ref="D353">IFERROR(
SUM(
IF(
'PORTIFÓLIO'!$C$4:$C$564=$A353,
N(INDEX('PORTIFÓLIO'!$J$4:$Q$564,,MATCH(D$2,'PORTIFÓLIO'!$J$3:$Q$3,0))) *
N('PORTIFÓLIO'!$S$4:$S$564),
0
)
),
0)</f>
        <v>0</v>
      </c>
      <c r="E353" s="49">
        <f t="shared" si="6"/>
        <v>0</v>
      </c>
      <c r="F353" s="49">
        <f t="array" ref="F353">IFERROR(
SUM(
IF(
'PORTIFÓLIO'!$C$4:$C$564=$A353,
N(INDEX('PORTIFÓLIO'!$J$4:$Q$564,,MATCH(F$2,'PORTIFÓLIO'!$J$3:$Q$3,0))) *
N('PORTIFÓLIO'!$S$4:$S$564),
0
)
),
0)</f>
        <v>0</v>
      </c>
      <c r="G353" s="47">
        <f t="shared" si="7"/>
        <v>0</v>
      </c>
      <c r="H353" s="49">
        <f t="array" ref="H353">IFERROR(
SUM(
IF(
'PORTIFÓLIO'!$C$4:$C$564=$A353,
N(INDEX('PORTIFÓLIO'!$J$4:$Q$564,,MATCH(H$2,'PORTIFÓLIO'!$J$3:$Q$3,0))) *
N('PORTIFÓLIO'!$S$4:$S$564),
0
)
),
0)</f>
        <v>0</v>
      </c>
      <c r="I353" s="47">
        <f t="shared" si="8"/>
        <v>0</v>
      </c>
      <c r="J353" s="49">
        <f t="array" ref="J353">IFERROR(
SUM(
IF(
'PORTIFÓLIO'!$C$4:$C$564=$A353,
N(INDEX('PORTIFÓLIO'!$J$4:$Q$564,,MATCH(J$2,'PORTIFÓLIO'!$J$3:$Q$3,0))) *
N('PORTIFÓLIO'!$S$4:$S$564),
0
)
),
0)</f>
        <v>0</v>
      </c>
      <c r="K353" s="47">
        <f t="shared" si="9"/>
        <v>0</v>
      </c>
      <c r="L353" s="49">
        <f t="array" ref="L353">IFERROR(
SUM(
IF(
'PORTIFÓLIO'!$C$4:$C$564=$A353,
N(INDEX('PORTIFÓLIO'!$J$4:$Q$564,,MATCH(L$2,'PORTIFÓLIO'!$J$3:$Q$3,0))) *
N('PORTIFÓLIO'!$S$4:$S$564),
0
)
),
0)</f>
        <v>0</v>
      </c>
      <c r="M353" s="47">
        <f t="shared" si="10"/>
        <v>0</v>
      </c>
      <c r="N353" s="49">
        <f t="array" ref="N353">IFERROR(
SUM(
IF(
'PORTIFÓLIO'!$C$4:$C$564=$A353,
N(INDEX('PORTIFÓLIO'!$J$4:$Q$564,,MATCH(N$2,'PORTIFÓLIO'!$J$3:$Q$3,0))) *
N('PORTIFÓLIO'!$S$4:$S$564),
0
)
),
0)</f>
        <v>0</v>
      </c>
      <c r="O353" s="49">
        <f t="shared" si="11"/>
        <v>0</v>
      </c>
      <c r="P353" s="49">
        <f t="array" ref="P353">IFERROR(
SUM(
IF(
'PORTIFÓLIO'!$C$4:$C$564=$A353,
N(INDEX('PORTIFÓLIO'!$J$4:$Q$564,,MATCH(P$2,'PORTIFÓLIO'!$J$3:$Q$3,0))) *
N('PORTIFÓLIO'!$S$4:$S$564),
0
)
),
0)</f>
        <v>0</v>
      </c>
      <c r="Q353" s="49">
        <f t="shared" si="12"/>
        <v>0</v>
      </c>
      <c r="R353" s="49">
        <f t="shared" si="2"/>
        <v>0</v>
      </c>
      <c r="S353" s="49">
        <f t="shared" si="13"/>
        <v>0</v>
      </c>
    </row>
    <row r="354" ht="15.75" hidden="1" customHeight="1" outlineLevel="1">
      <c r="A354" s="42"/>
      <c r="B354" s="49">
        <f t="array" ref="B354">IFERROR(
SUM(
IF(
'PORTIFÓLIO'!$C$4:$C$564=$A354,
N(INDEX('PORTIFÓLIO'!$J$4:$Q$564,,MATCH(B$2,'PORTIFÓLIO'!$J$3:$Q$3,0))) *
N('PORTIFÓLIO'!$S$4:$S$564),
0
)
),
0)</f>
        <v>0</v>
      </c>
      <c r="C354" s="49">
        <f t="shared" si="5"/>
        <v>0</v>
      </c>
      <c r="D354" s="49">
        <f t="array" ref="D354">IFERROR(
SUM(
IF(
'PORTIFÓLIO'!$C$4:$C$564=$A354,
N(INDEX('PORTIFÓLIO'!$J$4:$Q$564,,MATCH(D$2,'PORTIFÓLIO'!$J$3:$Q$3,0))) *
N('PORTIFÓLIO'!$S$4:$S$564),
0
)
),
0)</f>
        <v>0</v>
      </c>
      <c r="E354" s="49">
        <f t="shared" si="6"/>
        <v>0</v>
      </c>
      <c r="F354" s="49">
        <f t="array" ref="F354">IFERROR(
SUM(
IF(
'PORTIFÓLIO'!$C$4:$C$564=$A354,
N(INDEX('PORTIFÓLIO'!$J$4:$Q$564,,MATCH(F$2,'PORTIFÓLIO'!$J$3:$Q$3,0))) *
N('PORTIFÓLIO'!$S$4:$S$564),
0
)
),
0)</f>
        <v>0</v>
      </c>
      <c r="G354" s="47">
        <f t="shared" si="7"/>
        <v>0</v>
      </c>
      <c r="H354" s="49">
        <f t="array" ref="H354">IFERROR(
SUM(
IF(
'PORTIFÓLIO'!$C$4:$C$564=$A354,
N(INDEX('PORTIFÓLIO'!$J$4:$Q$564,,MATCH(H$2,'PORTIFÓLIO'!$J$3:$Q$3,0))) *
N('PORTIFÓLIO'!$S$4:$S$564),
0
)
),
0)</f>
        <v>0</v>
      </c>
      <c r="I354" s="47">
        <f t="shared" si="8"/>
        <v>0</v>
      </c>
      <c r="J354" s="49">
        <f t="array" ref="J354">IFERROR(
SUM(
IF(
'PORTIFÓLIO'!$C$4:$C$564=$A354,
N(INDEX('PORTIFÓLIO'!$J$4:$Q$564,,MATCH(J$2,'PORTIFÓLIO'!$J$3:$Q$3,0))) *
N('PORTIFÓLIO'!$S$4:$S$564),
0
)
),
0)</f>
        <v>0</v>
      </c>
      <c r="K354" s="47">
        <f t="shared" si="9"/>
        <v>0</v>
      </c>
      <c r="L354" s="49">
        <f t="array" ref="L354">IFERROR(
SUM(
IF(
'PORTIFÓLIO'!$C$4:$C$564=$A354,
N(INDEX('PORTIFÓLIO'!$J$4:$Q$564,,MATCH(L$2,'PORTIFÓLIO'!$J$3:$Q$3,0))) *
N('PORTIFÓLIO'!$S$4:$S$564),
0
)
),
0)</f>
        <v>0</v>
      </c>
      <c r="M354" s="47">
        <f t="shared" si="10"/>
        <v>0</v>
      </c>
      <c r="N354" s="49">
        <f t="array" ref="N354">IFERROR(
SUM(
IF(
'PORTIFÓLIO'!$C$4:$C$564=$A354,
N(INDEX('PORTIFÓLIO'!$J$4:$Q$564,,MATCH(N$2,'PORTIFÓLIO'!$J$3:$Q$3,0))) *
N('PORTIFÓLIO'!$S$4:$S$564),
0
)
),
0)</f>
        <v>0</v>
      </c>
      <c r="O354" s="49">
        <f t="shared" si="11"/>
        <v>0</v>
      </c>
      <c r="P354" s="49">
        <f t="array" ref="P354">IFERROR(
SUM(
IF(
'PORTIFÓLIO'!$C$4:$C$564=$A354,
N(INDEX('PORTIFÓLIO'!$J$4:$Q$564,,MATCH(P$2,'PORTIFÓLIO'!$J$3:$Q$3,0))) *
N('PORTIFÓLIO'!$S$4:$S$564),
0
)
),
0)</f>
        <v>0</v>
      </c>
      <c r="Q354" s="49">
        <f t="shared" si="12"/>
        <v>0</v>
      </c>
      <c r="R354" s="49">
        <f t="shared" si="2"/>
        <v>0</v>
      </c>
      <c r="S354" s="49">
        <f t="shared" si="13"/>
        <v>0</v>
      </c>
    </row>
    <row r="355" ht="15.75" hidden="1" customHeight="1" outlineLevel="1">
      <c r="A355" s="42"/>
      <c r="B355" s="49">
        <f t="array" ref="B355">IFERROR(
SUM(
IF(
'PORTIFÓLIO'!$C$4:$C$564=$A355,
N(INDEX('PORTIFÓLIO'!$J$4:$Q$564,,MATCH(B$2,'PORTIFÓLIO'!$J$3:$Q$3,0))) *
N('PORTIFÓLIO'!$S$4:$S$564),
0
)
),
0)</f>
        <v>0</v>
      </c>
      <c r="C355" s="49">
        <f t="shared" si="5"/>
        <v>0</v>
      </c>
      <c r="D355" s="49">
        <f t="array" ref="D355">IFERROR(
SUM(
IF(
'PORTIFÓLIO'!$C$4:$C$564=$A355,
N(INDEX('PORTIFÓLIO'!$J$4:$Q$564,,MATCH(D$2,'PORTIFÓLIO'!$J$3:$Q$3,0))) *
N('PORTIFÓLIO'!$S$4:$S$564),
0
)
),
0)</f>
        <v>0</v>
      </c>
      <c r="E355" s="49">
        <f t="shared" si="6"/>
        <v>0</v>
      </c>
      <c r="F355" s="49">
        <f t="array" ref="F355">IFERROR(
SUM(
IF(
'PORTIFÓLIO'!$C$4:$C$564=$A355,
N(INDEX('PORTIFÓLIO'!$J$4:$Q$564,,MATCH(F$2,'PORTIFÓLIO'!$J$3:$Q$3,0))) *
N('PORTIFÓLIO'!$S$4:$S$564),
0
)
),
0)</f>
        <v>0</v>
      </c>
      <c r="G355" s="47">
        <f t="shared" si="7"/>
        <v>0</v>
      </c>
      <c r="H355" s="49">
        <f t="array" ref="H355">IFERROR(
SUM(
IF(
'PORTIFÓLIO'!$C$4:$C$564=$A355,
N(INDEX('PORTIFÓLIO'!$J$4:$Q$564,,MATCH(H$2,'PORTIFÓLIO'!$J$3:$Q$3,0))) *
N('PORTIFÓLIO'!$S$4:$S$564),
0
)
),
0)</f>
        <v>0</v>
      </c>
      <c r="I355" s="47">
        <f t="shared" si="8"/>
        <v>0</v>
      </c>
      <c r="J355" s="49">
        <f t="array" ref="J355">IFERROR(
SUM(
IF(
'PORTIFÓLIO'!$C$4:$C$564=$A355,
N(INDEX('PORTIFÓLIO'!$J$4:$Q$564,,MATCH(J$2,'PORTIFÓLIO'!$J$3:$Q$3,0))) *
N('PORTIFÓLIO'!$S$4:$S$564),
0
)
),
0)</f>
        <v>0</v>
      </c>
      <c r="K355" s="47">
        <f t="shared" si="9"/>
        <v>0</v>
      </c>
      <c r="L355" s="49">
        <f t="array" ref="L355">IFERROR(
SUM(
IF(
'PORTIFÓLIO'!$C$4:$C$564=$A355,
N(INDEX('PORTIFÓLIO'!$J$4:$Q$564,,MATCH(L$2,'PORTIFÓLIO'!$J$3:$Q$3,0))) *
N('PORTIFÓLIO'!$S$4:$S$564),
0
)
),
0)</f>
        <v>0</v>
      </c>
      <c r="M355" s="47">
        <f t="shared" si="10"/>
        <v>0</v>
      </c>
      <c r="N355" s="49">
        <f t="array" ref="N355">IFERROR(
SUM(
IF(
'PORTIFÓLIO'!$C$4:$C$564=$A355,
N(INDEX('PORTIFÓLIO'!$J$4:$Q$564,,MATCH(N$2,'PORTIFÓLIO'!$J$3:$Q$3,0))) *
N('PORTIFÓLIO'!$S$4:$S$564),
0
)
),
0)</f>
        <v>0</v>
      </c>
      <c r="O355" s="49">
        <f t="shared" si="11"/>
        <v>0</v>
      </c>
      <c r="P355" s="49">
        <f t="array" ref="P355">IFERROR(
SUM(
IF(
'PORTIFÓLIO'!$C$4:$C$564=$A355,
N(INDEX('PORTIFÓLIO'!$J$4:$Q$564,,MATCH(P$2,'PORTIFÓLIO'!$J$3:$Q$3,0))) *
N('PORTIFÓLIO'!$S$4:$S$564),
0
)
),
0)</f>
        <v>0</v>
      </c>
      <c r="Q355" s="49">
        <f t="shared" si="12"/>
        <v>0</v>
      </c>
      <c r="R355" s="49">
        <f t="shared" si="2"/>
        <v>0</v>
      </c>
      <c r="S355" s="49">
        <f t="shared" si="13"/>
        <v>0</v>
      </c>
    </row>
    <row r="356" ht="15.75" hidden="1" customHeight="1" outlineLevel="1">
      <c r="A356" s="42"/>
      <c r="B356" s="49">
        <f t="array" ref="B356">IFERROR(
SUM(
IF(
'PORTIFÓLIO'!$C$4:$C$564=$A356,
N(INDEX('PORTIFÓLIO'!$J$4:$Q$564,,MATCH(B$2,'PORTIFÓLIO'!$J$3:$Q$3,0))) *
N('PORTIFÓLIO'!$S$4:$S$564),
0
)
),
0)</f>
        <v>0</v>
      </c>
      <c r="C356" s="49">
        <f t="shared" si="5"/>
        <v>0</v>
      </c>
      <c r="D356" s="49">
        <f t="array" ref="D356">IFERROR(
SUM(
IF(
'PORTIFÓLIO'!$C$4:$C$564=$A356,
N(INDEX('PORTIFÓLIO'!$J$4:$Q$564,,MATCH(D$2,'PORTIFÓLIO'!$J$3:$Q$3,0))) *
N('PORTIFÓLIO'!$S$4:$S$564),
0
)
),
0)</f>
        <v>0</v>
      </c>
      <c r="E356" s="49">
        <f t="shared" si="6"/>
        <v>0</v>
      </c>
      <c r="F356" s="49">
        <f t="array" ref="F356">IFERROR(
SUM(
IF(
'PORTIFÓLIO'!$C$4:$C$564=$A356,
N(INDEX('PORTIFÓLIO'!$J$4:$Q$564,,MATCH(F$2,'PORTIFÓLIO'!$J$3:$Q$3,0))) *
N('PORTIFÓLIO'!$S$4:$S$564),
0
)
),
0)</f>
        <v>0</v>
      </c>
      <c r="G356" s="47">
        <f t="shared" si="7"/>
        <v>0</v>
      </c>
      <c r="H356" s="49">
        <f t="array" ref="H356">IFERROR(
SUM(
IF(
'PORTIFÓLIO'!$C$4:$C$564=$A356,
N(INDEX('PORTIFÓLIO'!$J$4:$Q$564,,MATCH(H$2,'PORTIFÓLIO'!$J$3:$Q$3,0))) *
N('PORTIFÓLIO'!$S$4:$S$564),
0
)
),
0)</f>
        <v>0</v>
      </c>
      <c r="I356" s="47">
        <f t="shared" si="8"/>
        <v>0</v>
      </c>
      <c r="J356" s="49">
        <f t="array" ref="J356">IFERROR(
SUM(
IF(
'PORTIFÓLIO'!$C$4:$C$564=$A356,
N(INDEX('PORTIFÓLIO'!$J$4:$Q$564,,MATCH(J$2,'PORTIFÓLIO'!$J$3:$Q$3,0))) *
N('PORTIFÓLIO'!$S$4:$S$564),
0
)
),
0)</f>
        <v>0</v>
      </c>
      <c r="K356" s="47">
        <f t="shared" si="9"/>
        <v>0</v>
      </c>
      <c r="L356" s="49">
        <f t="array" ref="L356">IFERROR(
SUM(
IF(
'PORTIFÓLIO'!$C$4:$C$564=$A356,
N(INDEX('PORTIFÓLIO'!$J$4:$Q$564,,MATCH(L$2,'PORTIFÓLIO'!$J$3:$Q$3,0))) *
N('PORTIFÓLIO'!$S$4:$S$564),
0
)
),
0)</f>
        <v>0</v>
      </c>
      <c r="M356" s="47">
        <f t="shared" si="10"/>
        <v>0</v>
      </c>
      <c r="N356" s="49">
        <f t="array" ref="N356">IFERROR(
SUM(
IF(
'PORTIFÓLIO'!$C$4:$C$564=$A356,
N(INDEX('PORTIFÓLIO'!$J$4:$Q$564,,MATCH(N$2,'PORTIFÓLIO'!$J$3:$Q$3,0))) *
N('PORTIFÓLIO'!$S$4:$S$564),
0
)
),
0)</f>
        <v>0</v>
      </c>
      <c r="O356" s="49">
        <f t="shared" si="11"/>
        <v>0</v>
      </c>
      <c r="P356" s="49">
        <f t="array" ref="P356">IFERROR(
SUM(
IF(
'PORTIFÓLIO'!$C$4:$C$564=$A356,
N(INDEX('PORTIFÓLIO'!$J$4:$Q$564,,MATCH(P$2,'PORTIFÓLIO'!$J$3:$Q$3,0))) *
N('PORTIFÓLIO'!$S$4:$S$564),
0
)
),
0)</f>
        <v>0</v>
      </c>
      <c r="Q356" s="49">
        <f t="shared" si="12"/>
        <v>0</v>
      </c>
      <c r="R356" s="49">
        <f t="shared" si="2"/>
        <v>0</v>
      </c>
      <c r="S356" s="49">
        <f t="shared" si="13"/>
        <v>0</v>
      </c>
    </row>
    <row r="357" ht="15.75" customHeight="1" collapsed="1">
      <c r="A357" s="46" t="s">
        <v>9</v>
      </c>
      <c r="B357" s="47">
        <f>SUM(B358:B420)</f>
        <v>0</v>
      </c>
      <c r="C357" s="47">
        <f t="shared" si="5"/>
        <v>0</v>
      </c>
      <c r="D357" s="47">
        <f>SUM(D358:D420)</f>
        <v>18894</v>
      </c>
      <c r="E357" s="47">
        <f t="shared" si="6"/>
        <v>62.98</v>
      </c>
      <c r="F357" s="47">
        <f>SUM(F358:F420)</f>
        <v>13855.6</v>
      </c>
      <c r="G357" s="47">
        <f t="shared" si="7"/>
        <v>62.98</v>
      </c>
      <c r="H357" s="47">
        <f>SUM(H358:H420)</f>
        <v>0</v>
      </c>
      <c r="I357" s="47">
        <f t="shared" si="8"/>
        <v>0</v>
      </c>
      <c r="J357" s="47">
        <f>SUM(J358:J420)</f>
        <v>0</v>
      </c>
      <c r="K357" s="47">
        <f t="shared" si="9"/>
        <v>0</v>
      </c>
      <c r="L357" s="47">
        <f>SUM(L358:L420)</f>
        <v>9851.6</v>
      </c>
      <c r="M357" s="47">
        <f t="shared" si="10"/>
        <v>44.78</v>
      </c>
      <c r="N357" s="47">
        <f>SUM(N358:N420)</f>
        <v>88667.67</v>
      </c>
      <c r="O357" s="47">
        <f t="shared" si="11"/>
        <v>72.79775862</v>
      </c>
      <c r="P357" s="47">
        <f>SUM(P358:P420)</f>
        <v>20153.6</v>
      </c>
      <c r="Q357" s="49">
        <f t="shared" si="12"/>
        <v>62.98</v>
      </c>
      <c r="R357" s="47">
        <f t="shared" si="2"/>
        <v>137566.87</v>
      </c>
      <c r="S357" s="47">
        <f t="shared" si="13"/>
        <v>41.13841806</v>
      </c>
    </row>
    <row r="358" ht="15.75" hidden="1" customHeight="1" outlineLevel="1">
      <c r="A358" s="42" t="str">
        <f>IFERROR(__xludf.DUMMYFUNCTION("UNIQUE(FILTER('PORTIFÓLIO'!C:C, 'PORTIFÓLIO'!B:B=""NUTRIÇÃO""))"),"RADIFARM")</f>
        <v>RADIFARM</v>
      </c>
      <c r="B358" s="49">
        <f t="array" ref="B358">IFERROR(
SUM(
IF(
'PORTIFÓLIO'!$C$4:$C$564=$A358,
N(INDEX('PORTIFÓLIO'!$J$4:$Q$564,,MATCH(B$2,'PORTIFÓLIO'!$J$3:$Q$3,0))) *
N('PORTIFÓLIO'!$S$4:$S$564),
0
)
),
0)</f>
        <v>0</v>
      </c>
      <c r="C358" s="49">
        <f t="shared" si="5"/>
        <v>0</v>
      </c>
      <c r="D358" s="49">
        <f t="array" ref="D358">IFERROR(
SUM(
IF(
'PORTIFÓLIO'!$C$4:$C$564=$A358,
N(INDEX('PORTIFÓLIO'!$J$4:$Q$564,,MATCH(D$2,'PORTIFÓLIO'!$J$3:$Q$3,0))) *
N('PORTIFÓLIO'!$S$4:$S$564),
0
)
),
0)</f>
        <v>0</v>
      </c>
      <c r="E358" s="49">
        <f t="shared" ref="E358:E420" si="14">D358/$B$4</f>
        <v>0</v>
      </c>
      <c r="F358" s="49">
        <f t="array" ref="F358">IFERROR(
SUM(
IF(
'PORTIFÓLIO'!$C$4:$C$564=$A358,
N(INDEX('PORTIFÓLIO'!$J$4:$Q$564,,MATCH(F$2,'PORTIFÓLIO'!$J$3:$Q$3,0))) *
N('PORTIFÓLIO'!$S$4:$S$564),
0
)
),
0)</f>
        <v>0</v>
      </c>
      <c r="G358" s="47">
        <f t="shared" si="7"/>
        <v>0</v>
      </c>
      <c r="H358" s="49">
        <f t="array" ref="H358">IFERROR(
SUM(
IF(
'PORTIFÓLIO'!$C$4:$C$564=$A358,
N(INDEX('PORTIFÓLIO'!$J$4:$Q$564,,MATCH(H$2,'PORTIFÓLIO'!$J$3:$Q$3,0))) *
N('PORTIFÓLIO'!$S$4:$S$564),
0
)
),
0)</f>
        <v>0</v>
      </c>
      <c r="I358" s="47">
        <f t="shared" si="8"/>
        <v>0</v>
      </c>
      <c r="J358" s="49">
        <f t="array" ref="J358">IFERROR(
SUM(
IF(
'PORTIFÓLIO'!$C$4:$C$564=$A358,
N(INDEX('PORTIFÓLIO'!$J$4:$Q$564,,MATCH(J$2,'PORTIFÓLIO'!$J$3:$Q$3,0))) *
N('PORTIFÓLIO'!$S$4:$S$564),
0
)
),
0)</f>
        <v>0</v>
      </c>
      <c r="K358" s="47">
        <f t="shared" si="9"/>
        <v>0</v>
      </c>
      <c r="L358" s="49">
        <f t="array" ref="L358">IFERROR(
SUM(
IF(
'PORTIFÓLIO'!$C$4:$C$564=$A358,
N(INDEX('PORTIFÓLIO'!$J$4:$Q$564,,MATCH(L$2,'PORTIFÓLIO'!$J$3:$Q$3,0))) *
N('PORTIFÓLIO'!$S$4:$S$564),
0
)
),
0)</f>
        <v>0</v>
      </c>
      <c r="M358" s="47">
        <f t="shared" si="10"/>
        <v>0</v>
      </c>
      <c r="N358" s="49">
        <f t="array" ref="N358">IFERROR(
SUM(
IF(
'PORTIFÓLIO'!$C$4:$C$564=$A358,
N(INDEX('PORTIFÓLIO'!$J$4:$Q$564,,MATCH(N$2,'PORTIFÓLIO'!$J$3:$Q$3,0))) *
N('PORTIFÓLIO'!$S$4:$S$564),
0
)
),
0)</f>
        <v>0</v>
      </c>
      <c r="O358" s="49">
        <f t="shared" si="11"/>
        <v>0</v>
      </c>
      <c r="P358" s="49">
        <f t="array" ref="P358">IFERROR(
SUM(
IF(
'PORTIFÓLIO'!$C$4:$C$564=$A358,
N(INDEX('PORTIFÓLIO'!$J$4:$Q$564,,MATCH(P$2,'PORTIFÓLIO'!$J$3:$Q$3,0))) *
N('PORTIFÓLIO'!$S$4:$S$564),
0
)
),
0)</f>
        <v>0</v>
      </c>
      <c r="Q358" s="49">
        <f t="shared" si="12"/>
        <v>0</v>
      </c>
      <c r="R358" s="49">
        <f t="shared" si="2"/>
        <v>0</v>
      </c>
      <c r="S358" s="49">
        <f t="shared" si="13"/>
        <v>0</v>
      </c>
    </row>
    <row r="359" ht="15.75" hidden="1" customHeight="1" outlineLevel="1">
      <c r="A359" s="42" t="str">
        <f>IFERROR(__xludf.DUMMYFUNCTION("""COMPUTED_VALUE"""),"MEGAFOL")</f>
        <v>MEGAFOL</v>
      </c>
      <c r="B359" s="49">
        <f t="array" ref="B359">IFERROR(
SUM(
IF(
'PORTIFÓLIO'!$C$4:$C$564=$A359,
N(INDEX('PORTIFÓLIO'!$J$4:$Q$564,,MATCH(B$2,'PORTIFÓLIO'!$J$3:$Q$3,0))) *
N('PORTIFÓLIO'!$S$4:$S$564),
0
)
),
0)</f>
        <v>0</v>
      </c>
      <c r="C359" s="49">
        <f t="shared" si="5"/>
        <v>0</v>
      </c>
      <c r="D359" s="49">
        <f t="array" ref="D359">IFERROR(
SUM(
IF(
'PORTIFÓLIO'!$C$4:$C$564=$A359,
N(INDEX('PORTIFÓLIO'!$J$4:$Q$564,,MATCH(D$2,'PORTIFÓLIO'!$J$3:$Q$3,0))) *
N('PORTIFÓLIO'!$S$4:$S$564),
0
)
),
0)</f>
        <v>0</v>
      </c>
      <c r="E359" s="49">
        <f t="shared" si="14"/>
        <v>0</v>
      </c>
      <c r="F359" s="49">
        <f t="array" ref="F359">IFERROR(
SUM(
IF(
'PORTIFÓLIO'!$C$4:$C$564=$A359,
N(INDEX('PORTIFÓLIO'!$J$4:$Q$564,,MATCH(F$2,'PORTIFÓLIO'!$J$3:$Q$3,0))) *
N('PORTIFÓLIO'!$S$4:$S$564),
0
)
),
0)</f>
        <v>0</v>
      </c>
      <c r="G359" s="47">
        <f t="shared" si="7"/>
        <v>0</v>
      </c>
      <c r="H359" s="49">
        <f t="array" ref="H359">IFERROR(
SUM(
IF(
'PORTIFÓLIO'!$C$4:$C$564=$A359,
N(INDEX('PORTIFÓLIO'!$J$4:$Q$564,,MATCH(H$2,'PORTIFÓLIO'!$J$3:$Q$3,0))) *
N('PORTIFÓLIO'!$S$4:$S$564),
0
)
),
0)</f>
        <v>0</v>
      </c>
      <c r="I359" s="47">
        <f t="shared" si="8"/>
        <v>0</v>
      </c>
      <c r="J359" s="49">
        <f t="array" ref="J359">IFERROR(
SUM(
IF(
'PORTIFÓLIO'!$C$4:$C$564=$A359,
N(INDEX('PORTIFÓLIO'!$J$4:$Q$564,,MATCH(J$2,'PORTIFÓLIO'!$J$3:$Q$3,0))) *
N('PORTIFÓLIO'!$S$4:$S$564),
0
)
),
0)</f>
        <v>0</v>
      </c>
      <c r="K359" s="47">
        <f t="shared" si="9"/>
        <v>0</v>
      </c>
      <c r="L359" s="49">
        <f t="array" ref="L359">IFERROR(
SUM(
IF(
'PORTIFÓLIO'!$C$4:$C$564=$A359,
N(INDEX('PORTIFÓLIO'!$J$4:$Q$564,,MATCH(L$2,'PORTIFÓLIO'!$J$3:$Q$3,0))) *
N('PORTIFÓLIO'!$S$4:$S$564),
0
)
),
0)</f>
        <v>0</v>
      </c>
      <c r="M359" s="47">
        <f t="shared" si="10"/>
        <v>0</v>
      </c>
      <c r="N359" s="49">
        <f t="array" ref="N359">IFERROR(
SUM(
IF(
'PORTIFÓLIO'!$C$4:$C$564=$A359,
N(INDEX('PORTIFÓLIO'!$J$4:$Q$564,,MATCH(N$2,'PORTIFÓLIO'!$J$3:$Q$3,0))) *
N('PORTIFÓLIO'!$S$4:$S$564),
0
)
),
0)</f>
        <v>0</v>
      </c>
      <c r="O359" s="49">
        <f t="shared" si="11"/>
        <v>0</v>
      </c>
      <c r="P359" s="49">
        <f t="array" ref="P359">IFERROR(
SUM(
IF(
'PORTIFÓLIO'!$C$4:$C$564=$A359,
N(INDEX('PORTIFÓLIO'!$J$4:$Q$564,,MATCH(P$2,'PORTIFÓLIO'!$J$3:$Q$3,0))) *
N('PORTIFÓLIO'!$S$4:$S$564),
0
)
),
0)</f>
        <v>0</v>
      </c>
      <c r="Q359" s="49">
        <f t="shared" si="12"/>
        <v>0</v>
      </c>
      <c r="R359" s="49">
        <f t="shared" si="2"/>
        <v>0</v>
      </c>
      <c r="S359" s="49">
        <f t="shared" si="13"/>
        <v>0</v>
      </c>
    </row>
    <row r="360" ht="15.75" hidden="1" customHeight="1" outlineLevel="1">
      <c r="A360" s="42" t="str">
        <f>IFERROR(__xludf.DUMMYFUNCTION("""COMPUTED_VALUE"""),"OCTABORATO")</f>
        <v>OCTABORATO</v>
      </c>
      <c r="B360" s="49">
        <f t="array" ref="B360">IFERROR(
SUM(
IF(
'PORTIFÓLIO'!$C$4:$C$564=$A360,
N(INDEX('PORTIFÓLIO'!$J$4:$Q$564,,MATCH(B$2,'PORTIFÓLIO'!$J$3:$Q$3,0))) *
N('PORTIFÓLIO'!$S$4:$S$564),
0
)
),
0)</f>
        <v>0</v>
      </c>
      <c r="C360" s="49">
        <f t="shared" si="5"/>
        <v>0</v>
      </c>
      <c r="D360" s="49">
        <f t="array" ref="D360">IFERROR(
SUM(
IF(
'PORTIFÓLIO'!$C$4:$C$564=$A360,
N(INDEX('PORTIFÓLIO'!$J$4:$Q$564,,MATCH(D$2,'PORTIFÓLIO'!$J$3:$Q$3,0))) *
N('PORTIFÓLIO'!$S$4:$S$564),
0
)
),
0)</f>
        <v>0</v>
      </c>
      <c r="E360" s="49">
        <f t="shared" si="14"/>
        <v>0</v>
      </c>
      <c r="F360" s="49">
        <f t="array" ref="F360">IFERROR(
SUM(
IF(
'PORTIFÓLIO'!$C$4:$C$564=$A360,
N(INDEX('PORTIFÓLIO'!$J$4:$Q$564,,MATCH(F$2,'PORTIFÓLIO'!$J$3:$Q$3,0))) *
N('PORTIFÓLIO'!$S$4:$S$564),
0
)
),
0)</f>
        <v>0</v>
      </c>
      <c r="G360" s="47">
        <f t="shared" si="7"/>
        <v>0</v>
      </c>
      <c r="H360" s="49">
        <f t="array" ref="H360">IFERROR(
SUM(
IF(
'PORTIFÓLIO'!$C$4:$C$564=$A360,
N(INDEX('PORTIFÓLIO'!$J$4:$Q$564,,MATCH(H$2,'PORTIFÓLIO'!$J$3:$Q$3,0))) *
N('PORTIFÓLIO'!$S$4:$S$564),
0
)
),
0)</f>
        <v>0</v>
      </c>
      <c r="I360" s="47">
        <f t="shared" si="8"/>
        <v>0</v>
      </c>
      <c r="J360" s="49">
        <f t="array" ref="J360">IFERROR(
SUM(
IF(
'PORTIFÓLIO'!$C$4:$C$564=$A360,
N(INDEX('PORTIFÓLIO'!$J$4:$Q$564,,MATCH(J$2,'PORTIFÓLIO'!$J$3:$Q$3,0))) *
N('PORTIFÓLIO'!$S$4:$S$564),
0
)
),
0)</f>
        <v>0</v>
      </c>
      <c r="K360" s="47">
        <f t="shared" si="9"/>
        <v>0</v>
      </c>
      <c r="L360" s="49">
        <f t="array" ref="L360">IFERROR(
SUM(
IF(
'PORTIFÓLIO'!$C$4:$C$564=$A360,
N(INDEX('PORTIFÓLIO'!$J$4:$Q$564,,MATCH(L$2,'PORTIFÓLIO'!$J$3:$Q$3,0))) *
N('PORTIFÓLIO'!$S$4:$S$564),
0
)
),
0)</f>
        <v>0</v>
      </c>
      <c r="M360" s="47">
        <f t="shared" si="10"/>
        <v>0</v>
      </c>
      <c r="N360" s="49">
        <f t="array" ref="N360">IFERROR(
SUM(
IF(
'PORTIFÓLIO'!$C$4:$C$564=$A360,
N(INDEX('PORTIFÓLIO'!$J$4:$Q$564,,MATCH(N$2,'PORTIFÓLIO'!$J$3:$Q$3,0))) *
N('PORTIFÓLIO'!$S$4:$S$564),
0
)
),
0)</f>
        <v>0</v>
      </c>
      <c r="O360" s="49">
        <f t="shared" si="11"/>
        <v>0</v>
      </c>
      <c r="P360" s="49">
        <f t="array" ref="P360">IFERROR(
SUM(
IF(
'PORTIFÓLIO'!$C$4:$C$564=$A360,
N(INDEX('PORTIFÓLIO'!$J$4:$Q$564,,MATCH(P$2,'PORTIFÓLIO'!$J$3:$Q$3,0))) *
N('PORTIFÓLIO'!$S$4:$S$564),
0
)
),
0)</f>
        <v>0</v>
      </c>
      <c r="Q360" s="49">
        <f t="shared" si="12"/>
        <v>0</v>
      </c>
      <c r="R360" s="49">
        <f t="shared" si="2"/>
        <v>0</v>
      </c>
      <c r="S360" s="49">
        <f t="shared" si="13"/>
        <v>0</v>
      </c>
    </row>
    <row r="361" ht="15.75" hidden="1" customHeight="1" outlineLevel="1">
      <c r="A361" s="42" t="str">
        <f>IFERROR(__xludf.DUMMYFUNCTION("""COMPUTED_VALUE"""),"BOP")</f>
        <v>BOP</v>
      </c>
      <c r="B361" s="49">
        <f t="array" ref="B361">IFERROR(
SUM(
IF(
'PORTIFÓLIO'!$C$4:$C$564=$A361,
N(INDEX('PORTIFÓLIO'!$J$4:$Q$564,,MATCH(B$2,'PORTIFÓLIO'!$J$3:$Q$3,0))) *
N('PORTIFÓLIO'!$S$4:$S$564),
0
)
),
0)</f>
        <v>0</v>
      </c>
      <c r="C361" s="49">
        <f t="shared" si="5"/>
        <v>0</v>
      </c>
      <c r="D361" s="49">
        <f t="array" ref="D361">IFERROR(
SUM(
IF(
'PORTIFÓLIO'!$C$4:$C$564=$A361,
N(INDEX('PORTIFÓLIO'!$J$4:$Q$564,,MATCH(D$2,'PORTIFÓLIO'!$J$3:$Q$3,0))) *
N('PORTIFÓLIO'!$S$4:$S$564),
0
)
),
0)</f>
        <v>13434</v>
      </c>
      <c r="E361" s="49">
        <f t="shared" si="14"/>
        <v>27.41632653</v>
      </c>
      <c r="F361" s="49">
        <f t="array" ref="F361">IFERROR(
SUM(
IF(
'PORTIFÓLIO'!$C$4:$C$564=$A361,
N(INDEX('PORTIFÓLIO'!$J$4:$Q$564,,MATCH(F$2,'PORTIFÓLIO'!$J$3:$Q$3,0))) *
N('PORTIFÓLIO'!$S$4:$S$564),
0
)
),
0)</f>
        <v>9851.6</v>
      </c>
      <c r="G361" s="47">
        <f t="shared" si="7"/>
        <v>44.78</v>
      </c>
      <c r="H361" s="49">
        <f t="array" ref="H361">IFERROR(
SUM(
IF(
'PORTIFÓLIO'!$C$4:$C$564=$A361,
N(INDEX('PORTIFÓLIO'!$J$4:$Q$564,,MATCH(H$2,'PORTIFÓLIO'!$J$3:$Q$3,0))) *
N('PORTIFÓLIO'!$S$4:$S$564),
0
)
),
0)</f>
        <v>0</v>
      </c>
      <c r="I361" s="47">
        <f t="shared" si="8"/>
        <v>0</v>
      </c>
      <c r="J361" s="49">
        <f t="array" ref="J361">IFERROR(
SUM(
IF(
'PORTIFÓLIO'!$C$4:$C$564=$A361,
N(INDEX('PORTIFÓLIO'!$J$4:$Q$564,,MATCH(J$2,'PORTIFÓLIO'!$J$3:$Q$3,0))) *
N('PORTIFÓLIO'!$S$4:$S$564),
0
)
),
0)</f>
        <v>0</v>
      </c>
      <c r="K361" s="47">
        <f t="shared" si="9"/>
        <v>0</v>
      </c>
      <c r="L361" s="49">
        <f t="array" ref="L361">IFERROR(
SUM(
IF(
'PORTIFÓLIO'!$C$4:$C$564=$A361,
N(INDEX('PORTIFÓLIO'!$J$4:$Q$564,,MATCH(L$2,'PORTIFÓLIO'!$J$3:$Q$3,0))) *
N('PORTIFÓLIO'!$S$4:$S$564),
0
)
),
0)</f>
        <v>9851.6</v>
      </c>
      <c r="M361" s="47">
        <f t="shared" si="10"/>
        <v>44.78</v>
      </c>
      <c r="N361" s="49">
        <f t="array" ref="N361">IFERROR(
SUM(
IF(
'PORTIFÓLIO'!$C$4:$C$564=$A361,
N(INDEX('PORTIFÓLIO'!$J$4:$Q$564,,MATCH(N$2,'PORTIFÓLIO'!$J$3:$Q$3,0))) *
N('PORTIFÓLIO'!$S$4:$S$564),
0
)
),
0)</f>
        <v>54542.04</v>
      </c>
      <c r="O361" s="49">
        <f t="shared" si="11"/>
        <v>44.78</v>
      </c>
      <c r="P361" s="49">
        <f t="array" ref="P361">IFERROR(
SUM(
IF(
'PORTIFÓLIO'!$C$4:$C$564=$A361,
N(INDEX('PORTIFÓLIO'!$J$4:$Q$564,,MATCH(P$2,'PORTIFÓLIO'!$J$3:$Q$3,0))) *
N('PORTIFÓLIO'!$S$4:$S$564),
0
)
),
0)</f>
        <v>14329.6</v>
      </c>
      <c r="Q361" s="49">
        <f t="shared" si="12"/>
        <v>44.78</v>
      </c>
      <c r="R361" s="49">
        <f t="shared" si="2"/>
        <v>92157.24</v>
      </c>
      <c r="S361" s="49">
        <f t="shared" si="13"/>
        <v>27.55898325</v>
      </c>
    </row>
    <row r="362" ht="15.75" hidden="1" customHeight="1" outlineLevel="1">
      <c r="A362" s="42" t="str">
        <f>IFERROR(__xludf.DUMMYFUNCTION("""COMPUTED_VALUE"""),"METAL NUTRE")</f>
        <v>METAL NUTRE</v>
      </c>
      <c r="B362" s="49">
        <f t="array" ref="B362">IFERROR(
SUM(
IF(
'PORTIFÓLIO'!$C$4:$C$564=$A362,
N(INDEX('PORTIFÓLIO'!$J$4:$Q$564,,MATCH(B$2,'PORTIFÓLIO'!$J$3:$Q$3,0))) *
N('PORTIFÓLIO'!$S$4:$S$564),
0
)
),
0)</f>
        <v>0</v>
      </c>
      <c r="C362" s="49">
        <f t="shared" si="5"/>
        <v>0</v>
      </c>
      <c r="D362" s="49">
        <f t="array" ref="D362">IFERROR(
SUM(
IF(
'PORTIFÓLIO'!$C$4:$C$564=$A362,
N(INDEX('PORTIFÓLIO'!$J$4:$Q$564,,MATCH(D$2,'PORTIFÓLIO'!$J$3:$Q$3,0))) *
N('PORTIFÓLIO'!$S$4:$S$564),
0
)
),
0)</f>
        <v>0</v>
      </c>
      <c r="E362" s="49">
        <f t="shared" si="14"/>
        <v>0</v>
      </c>
      <c r="F362" s="49">
        <f t="array" ref="F362">IFERROR(
SUM(
IF(
'PORTIFÓLIO'!$C$4:$C$564=$A362,
N(INDEX('PORTIFÓLIO'!$J$4:$Q$564,,MATCH(F$2,'PORTIFÓLIO'!$J$3:$Q$3,0))) *
N('PORTIFÓLIO'!$S$4:$S$564),
0
)
),
0)</f>
        <v>0</v>
      </c>
      <c r="G362" s="47">
        <f t="shared" si="7"/>
        <v>0</v>
      </c>
      <c r="H362" s="49">
        <f t="array" ref="H362">IFERROR(
SUM(
IF(
'PORTIFÓLIO'!$C$4:$C$564=$A362,
N(INDEX('PORTIFÓLIO'!$J$4:$Q$564,,MATCH(H$2,'PORTIFÓLIO'!$J$3:$Q$3,0))) *
N('PORTIFÓLIO'!$S$4:$S$564),
0
)
),
0)</f>
        <v>0</v>
      </c>
      <c r="I362" s="47">
        <f t="shared" si="8"/>
        <v>0</v>
      </c>
      <c r="J362" s="49">
        <f t="array" ref="J362">IFERROR(
SUM(
IF(
'PORTIFÓLIO'!$C$4:$C$564=$A362,
N(INDEX('PORTIFÓLIO'!$J$4:$Q$564,,MATCH(J$2,'PORTIFÓLIO'!$J$3:$Q$3,0))) *
N('PORTIFÓLIO'!$S$4:$S$564),
0
)
),
0)</f>
        <v>0</v>
      </c>
      <c r="K362" s="47">
        <f t="shared" si="9"/>
        <v>0</v>
      </c>
      <c r="L362" s="49">
        <f t="array" ref="L362">IFERROR(
SUM(
IF(
'PORTIFÓLIO'!$C$4:$C$564=$A362,
N(INDEX('PORTIFÓLIO'!$J$4:$Q$564,,MATCH(L$2,'PORTIFÓLIO'!$J$3:$Q$3,0))) *
N('PORTIFÓLIO'!$S$4:$S$564),
0
)
),
0)</f>
        <v>0</v>
      </c>
      <c r="M362" s="47">
        <f t="shared" si="10"/>
        <v>0</v>
      </c>
      <c r="N362" s="49">
        <f t="array" ref="N362">IFERROR(
SUM(
IF(
'PORTIFÓLIO'!$C$4:$C$564=$A362,
N(INDEX('PORTIFÓLIO'!$J$4:$Q$564,,MATCH(N$2,'PORTIFÓLIO'!$J$3:$Q$3,0))) *
N('PORTIFÓLIO'!$S$4:$S$564),
0
)
),
0)</f>
        <v>0</v>
      </c>
      <c r="O362" s="49">
        <f t="shared" si="11"/>
        <v>0</v>
      </c>
      <c r="P362" s="49">
        <f t="array" ref="P362">IFERROR(
SUM(
IF(
'PORTIFÓLIO'!$C$4:$C$564=$A362,
N(INDEX('PORTIFÓLIO'!$J$4:$Q$564,,MATCH(P$2,'PORTIFÓLIO'!$J$3:$Q$3,0))) *
N('PORTIFÓLIO'!$S$4:$S$564),
0
)
),
0)</f>
        <v>0</v>
      </c>
      <c r="Q362" s="49">
        <f t="shared" si="12"/>
        <v>0</v>
      </c>
      <c r="R362" s="49">
        <f t="shared" si="2"/>
        <v>0</v>
      </c>
      <c r="S362" s="49">
        <f t="shared" si="13"/>
        <v>0</v>
      </c>
    </row>
    <row r="363" ht="15.75" hidden="1" customHeight="1" outlineLevel="1">
      <c r="A363" s="42" t="str">
        <f>IFERROR(__xludf.DUMMYFUNCTION("""COMPUTED_VALUE"""),"MONIC")</f>
        <v>MONIC</v>
      </c>
      <c r="B363" s="49">
        <f t="array" ref="B363">IFERROR(
SUM(
IF(
'PORTIFÓLIO'!$C$4:$C$564=$A363,
N(INDEX('PORTIFÓLIO'!$J$4:$Q$564,,MATCH(B$2,'PORTIFÓLIO'!$J$3:$Q$3,0))) *
N('PORTIFÓLIO'!$S$4:$S$564),
0
)
),
0)</f>
        <v>0</v>
      </c>
      <c r="C363" s="49">
        <f t="shared" si="5"/>
        <v>0</v>
      </c>
      <c r="D363" s="49">
        <f t="array" ref="D363">IFERROR(
SUM(
IF(
'PORTIFÓLIO'!$C$4:$C$564=$A363,
N(INDEX('PORTIFÓLIO'!$J$4:$Q$564,,MATCH(D$2,'PORTIFÓLIO'!$J$3:$Q$3,0))) *
N('PORTIFÓLIO'!$S$4:$S$564),
0
)
),
0)</f>
        <v>0</v>
      </c>
      <c r="E363" s="49">
        <f t="shared" si="14"/>
        <v>0</v>
      </c>
      <c r="F363" s="49">
        <f t="array" ref="F363">IFERROR(
SUM(
IF(
'PORTIFÓLIO'!$C$4:$C$564=$A363,
N(INDEX('PORTIFÓLIO'!$J$4:$Q$564,,MATCH(F$2,'PORTIFÓLIO'!$J$3:$Q$3,0))) *
N('PORTIFÓLIO'!$S$4:$S$564),
0
)
),
0)</f>
        <v>0</v>
      </c>
      <c r="G363" s="47">
        <f t="shared" si="7"/>
        <v>0</v>
      </c>
      <c r="H363" s="49">
        <f t="array" ref="H363">IFERROR(
SUM(
IF(
'PORTIFÓLIO'!$C$4:$C$564=$A363,
N(INDEX('PORTIFÓLIO'!$J$4:$Q$564,,MATCH(H$2,'PORTIFÓLIO'!$J$3:$Q$3,0))) *
N('PORTIFÓLIO'!$S$4:$S$564),
0
)
),
0)</f>
        <v>0</v>
      </c>
      <c r="I363" s="47">
        <f t="shared" si="8"/>
        <v>0</v>
      </c>
      <c r="J363" s="49">
        <f t="array" ref="J363">IFERROR(
SUM(
IF(
'PORTIFÓLIO'!$C$4:$C$564=$A363,
N(INDEX('PORTIFÓLIO'!$J$4:$Q$564,,MATCH(J$2,'PORTIFÓLIO'!$J$3:$Q$3,0))) *
N('PORTIFÓLIO'!$S$4:$S$564),
0
)
),
0)</f>
        <v>0</v>
      </c>
      <c r="K363" s="47">
        <f t="shared" si="9"/>
        <v>0</v>
      </c>
      <c r="L363" s="49">
        <f t="array" ref="L363">IFERROR(
SUM(
IF(
'PORTIFÓLIO'!$C$4:$C$564=$A363,
N(INDEX('PORTIFÓLIO'!$J$4:$Q$564,,MATCH(L$2,'PORTIFÓLIO'!$J$3:$Q$3,0))) *
N('PORTIFÓLIO'!$S$4:$S$564),
0
)
),
0)</f>
        <v>0</v>
      </c>
      <c r="M363" s="47">
        <f t="shared" si="10"/>
        <v>0</v>
      </c>
      <c r="N363" s="49">
        <f t="array" ref="N363">IFERROR(
SUM(
IF(
'PORTIFÓLIO'!$C$4:$C$564=$A363,
N(INDEX('PORTIFÓLIO'!$J$4:$Q$564,,MATCH(N$2,'PORTIFÓLIO'!$J$3:$Q$3,0))) *
N('PORTIFÓLIO'!$S$4:$S$564),
0
)
),
0)</f>
        <v>0</v>
      </c>
      <c r="O363" s="49">
        <f t="shared" si="11"/>
        <v>0</v>
      </c>
      <c r="P363" s="49">
        <f t="array" ref="P363">IFERROR(
SUM(
IF(
'PORTIFÓLIO'!$C$4:$C$564=$A363,
N(INDEX('PORTIFÓLIO'!$J$4:$Q$564,,MATCH(P$2,'PORTIFÓLIO'!$J$3:$Q$3,0))) *
N('PORTIFÓLIO'!$S$4:$S$564),
0
)
),
0)</f>
        <v>0</v>
      </c>
      <c r="Q363" s="49">
        <f t="shared" si="12"/>
        <v>0</v>
      </c>
      <c r="R363" s="49">
        <f t="shared" si="2"/>
        <v>0</v>
      </c>
      <c r="S363" s="49">
        <f t="shared" si="13"/>
        <v>0</v>
      </c>
    </row>
    <row r="364" ht="15.75" hidden="1" customHeight="1" outlineLevel="1">
      <c r="A364" s="42" t="str">
        <f>IFERROR(__xludf.DUMMYFUNCTION("""COMPUTED_VALUE"""),"AP MAGNÉSIO")</f>
        <v>AP MAGNÉSIO</v>
      </c>
      <c r="B364" s="49">
        <f t="array" ref="B364">IFERROR(
SUM(
IF(
'PORTIFÓLIO'!$C$4:$C$564=$A364,
N(INDEX('PORTIFÓLIO'!$J$4:$Q$564,,MATCH(B$2,'PORTIFÓLIO'!$J$3:$Q$3,0))) *
N('PORTIFÓLIO'!$S$4:$S$564),
0
)
),
0)</f>
        <v>0</v>
      </c>
      <c r="C364" s="49">
        <f t="shared" si="5"/>
        <v>0</v>
      </c>
      <c r="D364" s="49">
        <f t="array" ref="D364">IFERROR(
SUM(
IF(
'PORTIFÓLIO'!$C$4:$C$564=$A364,
N(INDEX('PORTIFÓLIO'!$J$4:$Q$564,,MATCH(D$2,'PORTIFÓLIO'!$J$3:$Q$3,0))) *
N('PORTIFÓLIO'!$S$4:$S$564),
0
)
),
0)</f>
        <v>0</v>
      </c>
      <c r="E364" s="49">
        <f t="shared" si="14"/>
        <v>0</v>
      </c>
      <c r="F364" s="49">
        <f t="array" ref="F364">IFERROR(
SUM(
IF(
'PORTIFÓLIO'!$C$4:$C$564=$A364,
N(INDEX('PORTIFÓLIO'!$J$4:$Q$564,,MATCH(F$2,'PORTIFÓLIO'!$J$3:$Q$3,0))) *
N('PORTIFÓLIO'!$S$4:$S$564),
0
)
),
0)</f>
        <v>0</v>
      </c>
      <c r="G364" s="47">
        <f t="shared" si="7"/>
        <v>0</v>
      </c>
      <c r="H364" s="49">
        <f t="array" ref="H364">IFERROR(
SUM(
IF(
'PORTIFÓLIO'!$C$4:$C$564=$A364,
N(INDEX('PORTIFÓLIO'!$J$4:$Q$564,,MATCH(H$2,'PORTIFÓLIO'!$J$3:$Q$3,0))) *
N('PORTIFÓLIO'!$S$4:$S$564),
0
)
),
0)</f>
        <v>0</v>
      </c>
      <c r="I364" s="47">
        <f t="shared" si="8"/>
        <v>0</v>
      </c>
      <c r="J364" s="49">
        <f t="array" ref="J364">IFERROR(
SUM(
IF(
'PORTIFÓLIO'!$C$4:$C$564=$A364,
N(INDEX('PORTIFÓLIO'!$J$4:$Q$564,,MATCH(J$2,'PORTIFÓLIO'!$J$3:$Q$3,0))) *
N('PORTIFÓLIO'!$S$4:$S$564),
0
)
),
0)</f>
        <v>0</v>
      </c>
      <c r="K364" s="47">
        <f t="shared" si="9"/>
        <v>0</v>
      </c>
      <c r="L364" s="49">
        <f t="array" ref="L364">IFERROR(
SUM(
IF(
'PORTIFÓLIO'!$C$4:$C$564=$A364,
N(INDEX('PORTIFÓLIO'!$J$4:$Q$564,,MATCH(L$2,'PORTIFÓLIO'!$J$3:$Q$3,0))) *
N('PORTIFÓLIO'!$S$4:$S$564),
0
)
),
0)</f>
        <v>0</v>
      </c>
      <c r="M364" s="47">
        <f t="shared" si="10"/>
        <v>0</v>
      </c>
      <c r="N364" s="49">
        <f t="array" ref="N364">IFERROR(
SUM(
IF(
'PORTIFÓLIO'!$C$4:$C$564=$A364,
N(INDEX('PORTIFÓLIO'!$J$4:$Q$564,,MATCH(N$2,'PORTIFÓLIO'!$J$3:$Q$3,0))) *
N('PORTIFÓLIO'!$S$4:$S$564),
0
)
),
0)</f>
        <v>0</v>
      </c>
      <c r="O364" s="49">
        <f t="shared" si="11"/>
        <v>0</v>
      </c>
      <c r="P364" s="49">
        <f t="array" ref="P364">IFERROR(
SUM(
IF(
'PORTIFÓLIO'!$C$4:$C$564=$A364,
N(INDEX('PORTIFÓLIO'!$J$4:$Q$564,,MATCH(P$2,'PORTIFÓLIO'!$J$3:$Q$3,0))) *
N('PORTIFÓLIO'!$S$4:$S$564),
0
)
),
0)</f>
        <v>0</v>
      </c>
      <c r="Q364" s="49">
        <f t="shared" si="12"/>
        <v>0</v>
      </c>
      <c r="R364" s="49">
        <f t="shared" si="2"/>
        <v>0</v>
      </c>
      <c r="S364" s="49">
        <f t="shared" si="13"/>
        <v>0</v>
      </c>
    </row>
    <row r="365" ht="15.75" hidden="1" customHeight="1" outlineLevel="1">
      <c r="A365" s="42" t="str">
        <f>IFERROR(__xludf.DUMMYFUNCTION("""COMPUTED_VALUE"""),"GRANO KMG")</f>
        <v>GRANO KMG</v>
      </c>
      <c r="B365" s="49">
        <f t="array" ref="B365">IFERROR(
SUM(
IF(
'PORTIFÓLIO'!$C$4:$C$564=$A365,
N(INDEX('PORTIFÓLIO'!$J$4:$Q$564,,MATCH(B$2,'PORTIFÓLIO'!$J$3:$Q$3,0))) *
N('PORTIFÓLIO'!$S$4:$S$564),
0
)
),
0)</f>
        <v>0</v>
      </c>
      <c r="C365" s="49">
        <f t="shared" si="5"/>
        <v>0</v>
      </c>
      <c r="D365" s="49">
        <f t="array" ref="D365">IFERROR(
SUM(
IF(
'PORTIFÓLIO'!$C$4:$C$564=$A365,
N(INDEX('PORTIFÓLIO'!$J$4:$Q$564,,MATCH(D$2,'PORTIFÓLIO'!$J$3:$Q$3,0))) *
N('PORTIFÓLIO'!$S$4:$S$564),
0
)
),
0)</f>
        <v>0</v>
      </c>
      <c r="E365" s="49">
        <f t="shared" si="14"/>
        <v>0</v>
      </c>
      <c r="F365" s="49">
        <f t="array" ref="F365">IFERROR(
SUM(
IF(
'PORTIFÓLIO'!$C$4:$C$564=$A365,
N(INDEX('PORTIFÓLIO'!$J$4:$Q$564,,MATCH(F$2,'PORTIFÓLIO'!$J$3:$Q$3,0))) *
N('PORTIFÓLIO'!$S$4:$S$564),
0
)
),
0)</f>
        <v>0</v>
      </c>
      <c r="G365" s="47">
        <f t="shared" si="7"/>
        <v>0</v>
      </c>
      <c r="H365" s="49">
        <f t="array" ref="H365">IFERROR(
SUM(
IF(
'PORTIFÓLIO'!$C$4:$C$564=$A365,
N(INDEX('PORTIFÓLIO'!$J$4:$Q$564,,MATCH(H$2,'PORTIFÓLIO'!$J$3:$Q$3,0))) *
N('PORTIFÓLIO'!$S$4:$S$564),
0
)
),
0)</f>
        <v>0</v>
      </c>
      <c r="I365" s="47">
        <f t="shared" si="8"/>
        <v>0</v>
      </c>
      <c r="J365" s="49">
        <f t="array" ref="J365">IFERROR(
SUM(
IF(
'PORTIFÓLIO'!$C$4:$C$564=$A365,
N(INDEX('PORTIFÓLIO'!$J$4:$Q$564,,MATCH(J$2,'PORTIFÓLIO'!$J$3:$Q$3,0))) *
N('PORTIFÓLIO'!$S$4:$S$564),
0
)
),
0)</f>
        <v>0</v>
      </c>
      <c r="K365" s="47">
        <f t="shared" si="9"/>
        <v>0</v>
      </c>
      <c r="L365" s="49">
        <f t="array" ref="L365">IFERROR(
SUM(
IF(
'PORTIFÓLIO'!$C$4:$C$564=$A365,
N(INDEX('PORTIFÓLIO'!$J$4:$Q$564,,MATCH(L$2,'PORTIFÓLIO'!$J$3:$Q$3,0))) *
N('PORTIFÓLIO'!$S$4:$S$564),
0
)
),
0)</f>
        <v>0</v>
      </c>
      <c r="M365" s="47">
        <f t="shared" si="10"/>
        <v>0</v>
      </c>
      <c r="N365" s="49">
        <f t="array" ref="N365">IFERROR(
SUM(
IF(
'PORTIFÓLIO'!$C$4:$C$564=$A365,
N(INDEX('PORTIFÓLIO'!$J$4:$Q$564,,MATCH(N$2,'PORTIFÓLIO'!$J$3:$Q$3,0))) *
N('PORTIFÓLIO'!$S$4:$S$564),
0
)
),
0)</f>
        <v>0</v>
      </c>
      <c r="O365" s="49">
        <f t="shared" si="11"/>
        <v>0</v>
      </c>
      <c r="P365" s="49">
        <f t="array" ref="P365">IFERROR(
SUM(
IF(
'PORTIFÓLIO'!$C$4:$C$564=$A365,
N(INDEX('PORTIFÓLIO'!$J$4:$Q$564,,MATCH(P$2,'PORTIFÓLIO'!$J$3:$Q$3,0))) *
N('PORTIFÓLIO'!$S$4:$S$564),
0
)
),
0)</f>
        <v>0</v>
      </c>
      <c r="Q365" s="49">
        <f t="shared" si="12"/>
        <v>0</v>
      </c>
      <c r="R365" s="49">
        <f t="shared" si="2"/>
        <v>0</v>
      </c>
      <c r="S365" s="49">
        <f t="shared" si="13"/>
        <v>0</v>
      </c>
    </row>
    <row r="366" ht="15.75" hidden="1" customHeight="1" outlineLevel="1">
      <c r="A366" s="42" t="str">
        <f>IFERROR(__xludf.DUMMYFUNCTION("""COMPUTED_VALUE"""),"AP MANGANÊS")</f>
        <v>AP MANGANÊS</v>
      </c>
      <c r="B366" s="49">
        <f t="array" ref="B366">IFERROR(
SUM(
IF(
'PORTIFÓLIO'!$C$4:$C$564=$A366,
N(INDEX('PORTIFÓLIO'!$J$4:$Q$564,,MATCH(B$2,'PORTIFÓLIO'!$J$3:$Q$3,0))) *
N('PORTIFÓLIO'!$S$4:$S$564),
0
)
),
0)</f>
        <v>0</v>
      </c>
      <c r="C366" s="49">
        <f t="shared" si="5"/>
        <v>0</v>
      </c>
      <c r="D366" s="49">
        <f t="array" ref="D366">IFERROR(
SUM(
IF(
'PORTIFÓLIO'!$C$4:$C$564=$A366,
N(INDEX('PORTIFÓLIO'!$J$4:$Q$564,,MATCH(D$2,'PORTIFÓLIO'!$J$3:$Q$3,0))) *
N('PORTIFÓLIO'!$S$4:$S$564),
0
)
),
0)</f>
        <v>0</v>
      </c>
      <c r="E366" s="49">
        <f t="shared" si="14"/>
        <v>0</v>
      </c>
      <c r="F366" s="49">
        <f t="array" ref="F366">IFERROR(
SUM(
IF(
'PORTIFÓLIO'!$C$4:$C$564=$A366,
N(INDEX('PORTIFÓLIO'!$J$4:$Q$564,,MATCH(F$2,'PORTIFÓLIO'!$J$3:$Q$3,0))) *
N('PORTIFÓLIO'!$S$4:$S$564),
0
)
),
0)</f>
        <v>0</v>
      </c>
      <c r="G366" s="47">
        <f t="shared" si="7"/>
        <v>0</v>
      </c>
      <c r="H366" s="49">
        <f t="array" ref="H366">IFERROR(
SUM(
IF(
'PORTIFÓLIO'!$C$4:$C$564=$A366,
N(INDEX('PORTIFÓLIO'!$J$4:$Q$564,,MATCH(H$2,'PORTIFÓLIO'!$J$3:$Q$3,0))) *
N('PORTIFÓLIO'!$S$4:$S$564),
0
)
),
0)</f>
        <v>0</v>
      </c>
      <c r="I366" s="47">
        <f t="shared" si="8"/>
        <v>0</v>
      </c>
      <c r="J366" s="49">
        <f t="array" ref="J366">IFERROR(
SUM(
IF(
'PORTIFÓLIO'!$C$4:$C$564=$A366,
N(INDEX('PORTIFÓLIO'!$J$4:$Q$564,,MATCH(J$2,'PORTIFÓLIO'!$J$3:$Q$3,0))) *
N('PORTIFÓLIO'!$S$4:$S$564),
0
)
),
0)</f>
        <v>0</v>
      </c>
      <c r="K366" s="47">
        <f t="shared" si="9"/>
        <v>0</v>
      </c>
      <c r="L366" s="49">
        <f t="array" ref="L366">IFERROR(
SUM(
IF(
'PORTIFÓLIO'!$C$4:$C$564=$A366,
N(INDEX('PORTIFÓLIO'!$J$4:$Q$564,,MATCH(L$2,'PORTIFÓLIO'!$J$3:$Q$3,0))) *
N('PORTIFÓLIO'!$S$4:$S$564),
0
)
),
0)</f>
        <v>0</v>
      </c>
      <c r="M366" s="47">
        <f t="shared" si="10"/>
        <v>0</v>
      </c>
      <c r="N366" s="49">
        <f t="array" ref="N366">IFERROR(
SUM(
IF(
'PORTIFÓLIO'!$C$4:$C$564=$A366,
N(INDEX('PORTIFÓLIO'!$J$4:$Q$564,,MATCH(N$2,'PORTIFÓLIO'!$J$3:$Q$3,0))) *
N('PORTIFÓLIO'!$S$4:$S$564),
0
)
),
0)</f>
        <v>0</v>
      </c>
      <c r="O366" s="49">
        <f t="shared" si="11"/>
        <v>0</v>
      </c>
      <c r="P366" s="49">
        <f t="array" ref="P366">IFERROR(
SUM(
IF(
'PORTIFÓLIO'!$C$4:$C$564=$A366,
N(INDEX('PORTIFÓLIO'!$J$4:$Q$564,,MATCH(P$2,'PORTIFÓLIO'!$J$3:$Q$3,0))) *
N('PORTIFÓLIO'!$S$4:$S$564),
0
)
),
0)</f>
        <v>0</v>
      </c>
      <c r="Q366" s="49">
        <f t="shared" si="12"/>
        <v>0</v>
      </c>
      <c r="R366" s="49">
        <f t="shared" si="2"/>
        <v>0</v>
      </c>
      <c r="S366" s="49">
        <f t="shared" si="13"/>
        <v>0</v>
      </c>
    </row>
    <row r="367" ht="15.75" hidden="1" customHeight="1" outlineLevel="1">
      <c r="A367" s="42" t="str">
        <f>IFERROR(__xludf.DUMMYFUNCTION("""COMPUTED_VALUE"""),"AMINOS Mn")</f>
        <v>AMINOS Mn</v>
      </c>
      <c r="B367" s="49">
        <f t="array" ref="B367">IFERROR(
SUM(
IF(
'PORTIFÓLIO'!$C$4:$C$564=$A367,
N(INDEX('PORTIFÓLIO'!$J$4:$Q$564,,MATCH(B$2,'PORTIFÓLIO'!$J$3:$Q$3,0))) *
N('PORTIFÓLIO'!$S$4:$S$564),
0
)
),
0)</f>
        <v>0</v>
      </c>
      <c r="C367" s="49">
        <f t="shared" si="5"/>
        <v>0</v>
      </c>
      <c r="D367" s="49">
        <f t="array" ref="D367">IFERROR(
SUM(
IF(
'PORTIFÓLIO'!$C$4:$C$564=$A367,
N(INDEX('PORTIFÓLIO'!$J$4:$Q$564,,MATCH(D$2,'PORTIFÓLIO'!$J$3:$Q$3,0))) *
N('PORTIFÓLIO'!$S$4:$S$564),
0
)
),
0)</f>
        <v>0</v>
      </c>
      <c r="E367" s="49">
        <f t="shared" si="14"/>
        <v>0</v>
      </c>
      <c r="F367" s="49">
        <f t="array" ref="F367">IFERROR(
SUM(
IF(
'PORTIFÓLIO'!$C$4:$C$564=$A367,
N(INDEX('PORTIFÓLIO'!$J$4:$Q$564,,MATCH(F$2,'PORTIFÓLIO'!$J$3:$Q$3,0))) *
N('PORTIFÓLIO'!$S$4:$S$564),
0
)
),
0)</f>
        <v>0</v>
      </c>
      <c r="G367" s="47">
        <f t="shared" si="7"/>
        <v>0</v>
      </c>
      <c r="H367" s="49">
        <f t="array" ref="H367">IFERROR(
SUM(
IF(
'PORTIFÓLIO'!$C$4:$C$564=$A367,
N(INDEX('PORTIFÓLIO'!$J$4:$Q$564,,MATCH(H$2,'PORTIFÓLIO'!$J$3:$Q$3,0))) *
N('PORTIFÓLIO'!$S$4:$S$564),
0
)
),
0)</f>
        <v>0</v>
      </c>
      <c r="I367" s="47">
        <f t="shared" si="8"/>
        <v>0</v>
      </c>
      <c r="J367" s="49">
        <f t="array" ref="J367">IFERROR(
SUM(
IF(
'PORTIFÓLIO'!$C$4:$C$564=$A367,
N(INDEX('PORTIFÓLIO'!$J$4:$Q$564,,MATCH(J$2,'PORTIFÓLIO'!$J$3:$Q$3,0))) *
N('PORTIFÓLIO'!$S$4:$S$564),
0
)
),
0)</f>
        <v>0</v>
      </c>
      <c r="K367" s="47">
        <f t="shared" si="9"/>
        <v>0</v>
      </c>
      <c r="L367" s="49">
        <f t="array" ref="L367">IFERROR(
SUM(
IF(
'PORTIFÓLIO'!$C$4:$C$564=$A367,
N(INDEX('PORTIFÓLIO'!$J$4:$Q$564,,MATCH(L$2,'PORTIFÓLIO'!$J$3:$Q$3,0))) *
N('PORTIFÓLIO'!$S$4:$S$564),
0
)
),
0)</f>
        <v>0</v>
      </c>
      <c r="M367" s="47">
        <f t="shared" si="10"/>
        <v>0</v>
      </c>
      <c r="N367" s="49">
        <f t="array" ref="N367">IFERROR(
SUM(
IF(
'PORTIFÓLIO'!$C$4:$C$564=$A367,
N(INDEX('PORTIFÓLIO'!$J$4:$Q$564,,MATCH(N$2,'PORTIFÓLIO'!$J$3:$Q$3,0))) *
N('PORTIFÓLIO'!$S$4:$S$564),
0
)
),
0)</f>
        <v>11958.03</v>
      </c>
      <c r="O367" s="49">
        <f t="shared" si="11"/>
        <v>9.817758621</v>
      </c>
      <c r="P367" s="49">
        <f t="array" ref="P367">IFERROR(
SUM(
IF(
'PORTIFÓLIO'!$C$4:$C$564=$A367,
N(INDEX('PORTIFÓLIO'!$J$4:$Q$564,,MATCH(P$2,'PORTIFÓLIO'!$J$3:$Q$3,0))) *
N('PORTIFÓLIO'!$S$4:$S$564),
0
)
),
0)</f>
        <v>0</v>
      </c>
      <c r="Q367" s="49">
        <f t="shared" si="12"/>
        <v>0</v>
      </c>
      <c r="R367" s="49">
        <f t="shared" si="2"/>
        <v>11958.03</v>
      </c>
      <c r="S367" s="49">
        <f t="shared" si="13"/>
        <v>3.575965909</v>
      </c>
    </row>
    <row r="368" ht="15.75" hidden="1" customHeight="1" outlineLevel="1">
      <c r="A368" s="42" t="str">
        <f>IFERROR(__xludf.DUMMYFUNCTION("""COMPUTED_VALUE"""),"MICROBOX")</f>
        <v>MICROBOX</v>
      </c>
      <c r="B368" s="49">
        <f t="array" ref="B368">IFERROR(
SUM(
IF(
'PORTIFÓLIO'!$C$4:$C$564=$A368,
N(INDEX('PORTIFÓLIO'!$J$4:$Q$564,,MATCH(B$2,'PORTIFÓLIO'!$J$3:$Q$3,0))) *
N('PORTIFÓLIO'!$S$4:$S$564),
0
)
),
0)</f>
        <v>0</v>
      </c>
      <c r="C368" s="49">
        <f t="shared" si="5"/>
        <v>0</v>
      </c>
      <c r="D368" s="49">
        <f t="array" ref="D368">IFERROR(
SUM(
IF(
'PORTIFÓLIO'!$C$4:$C$564=$A368,
N(INDEX('PORTIFÓLIO'!$J$4:$Q$564,,MATCH(D$2,'PORTIFÓLIO'!$J$3:$Q$3,0))) *
N('PORTIFÓLIO'!$S$4:$S$564),
0
)
),
0)</f>
        <v>0</v>
      </c>
      <c r="E368" s="49">
        <f t="shared" si="14"/>
        <v>0</v>
      </c>
      <c r="F368" s="49">
        <f t="array" ref="F368">IFERROR(
SUM(
IF(
'PORTIFÓLIO'!$C$4:$C$564=$A368,
N(INDEX('PORTIFÓLIO'!$J$4:$Q$564,,MATCH(F$2,'PORTIFÓLIO'!$J$3:$Q$3,0))) *
N('PORTIFÓLIO'!$S$4:$S$564),
0
)
),
0)</f>
        <v>0</v>
      </c>
      <c r="G368" s="47">
        <f t="shared" si="7"/>
        <v>0</v>
      </c>
      <c r="H368" s="49">
        <f t="array" ref="H368">IFERROR(
SUM(
IF(
'PORTIFÓLIO'!$C$4:$C$564=$A368,
N(INDEX('PORTIFÓLIO'!$J$4:$Q$564,,MATCH(H$2,'PORTIFÓLIO'!$J$3:$Q$3,0))) *
N('PORTIFÓLIO'!$S$4:$S$564),
0
)
),
0)</f>
        <v>0</v>
      </c>
      <c r="I368" s="47">
        <f t="shared" si="8"/>
        <v>0</v>
      </c>
      <c r="J368" s="49">
        <f t="array" ref="J368">IFERROR(
SUM(
IF(
'PORTIFÓLIO'!$C$4:$C$564=$A368,
N(INDEX('PORTIFÓLIO'!$J$4:$Q$564,,MATCH(J$2,'PORTIFÓLIO'!$J$3:$Q$3,0))) *
N('PORTIFÓLIO'!$S$4:$S$564),
0
)
),
0)</f>
        <v>0</v>
      </c>
      <c r="K368" s="47">
        <f t="shared" si="9"/>
        <v>0</v>
      </c>
      <c r="L368" s="49">
        <f t="array" ref="L368">IFERROR(
SUM(
IF(
'PORTIFÓLIO'!$C$4:$C$564=$A368,
N(INDEX('PORTIFÓLIO'!$J$4:$Q$564,,MATCH(L$2,'PORTIFÓLIO'!$J$3:$Q$3,0))) *
N('PORTIFÓLIO'!$S$4:$S$564),
0
)
),
0)</f>
        <v>0</v>
      </c>
      <c r="M368" s="47">
        <f t="shared" si="10"/>
        <v>0</v>
      </c>
      <c r="N368" s="49">
        <f t="array" ref="N368">IFERROR(
SUM(
IF(
'PORTIFÓLIO'!$C$4:$C$564=$A368,
N(INDEX('PORTIFÓLIO'!$J$4:$Q$564,,MATCH(N$2,'PORTIFÓLIO'!$J$3:$Q$3,0))) *
N('PORTIFÓLIO'!$S$4:$S$564),
0
)
),
0)</f>
        <v>0</v>
      </c>
      <c r="O368" s="49">
        <f t="shared" si="11"/>
        <v>0</v>
      </c>
      <c r="P368" s="49">
        <f t="array" ref="P368">IFERROR(
SUM(
IF(
'PORTIFÓLIO'!$C$4:$C$564=$A368,
N(INDEX('PORTIFÓLIO'!$J$4:$Q$564,,MATCH(P$2,'PORTIFÓLIO'!$J$3:$Q$3,0))) *
N('PORTIFÓLIO'!$S$4:$S$564),
0
)
),
0)</f>
        <v>0</v>
      </c>
      <c r="Q368" s="49">
        <f t="shared" si="12"/>
        <v>0</v>
      </c>
      <c r="R368" s="49">
        <f t="shared" si="2"/>
        <v>0</v>
      </c>
      <c r="S368" s="49">
        <f t="shared" si="13"/>
        <v>0</v>
      </c>
    </row>
    <row r="369" ht="15.75" hidden="1" customHeight="1" outlineLevel="1">
      <c r="A369" s="42" t="str">
        <f>IFERROR(__xludf.DUMMYFUNCTION("""COMPUTED_VALUE"""),"ACRESECENT ALGA")</f>
        <v>ACRESECENT ALGA</v>
      </c>
      <c r="B369" s="49">
        <f t="array" ref="B369">IFERROR(
SUM(
IF(
'PORTIFÓLIO'!$C$4:$C$564=$A369,
N(INDEX('PORTIFÓLIO'!$J$4:$Q$564,,MATCH(B$2,'PORTIFÓLIO'!$J$3:$Q$3,0))) *
N('PORTIFÓLIO'!$S$4:$S$564),
0
)
),
0)</f>
        <v>0</v>
      </c>
      <c r="C369" s="49">
        <f t="shared" si="5"/>
        <v>0</v>
      </c>
      <c r="D369" s="49">
        <f t="array" ref="D369">IFERROR(
SUM(
IF(
'PORTIFÓLIO'!$C$4:$C$564=$A369,
N(INDEX('PORTIFÓLIO'!$J$4:$Q$564,,MATCH(D$2,'PORTIFÓLIO'!$J$3:$Q$3,0))) *
N('PORTIFÓLIO'!$S$4:$S$564),
0
)
),
0)</f>
        <v>0</v>
      </c>
      <c r="E369" s="49">
        <f t="shared" si="14"/>
        <v>0</v>
      </c>
      <c r="F369" s="49">
        <f t="array" ref="F369">IFERROR(
SUM(
IF(
'PORTIFÓLIO'!$C$4:$C$564=$A369,
N(INDEX('PORTIFÓLIO'!$J$4:$Q$564,,MATCH(F$2,'PORTIFÓLIO'!$J$3:$Q$3,0))) *
N('PORTIFÓLIO'!$S$4:$S$564),
0
)
),
0)</f>
        <v>0</v>
      </c>
      <c r="G369" s="47">
        <f t="shared" si="7"/>
        <v>0</v>
      </c>
      <c r="H369" s="49">
        <f t="array" ref="H369">IFERROR(
SUM(
IF(
'PORTIFÓLIO'!$C$4:$C$564=$A369,
N(INDEX('PORTIFÓLIO'!$J$4:$Q$564,,MATCH(H$2,'PORTIFÓLIO'!$J$3:$Q$3,0))) *
N('PORTIFÓLIO'!$S$4:$S$564),
0
)
),
0)</f>
        <v>0</v>
      </c>
      <c r="I369" s="47">
        <f t="shared" si="8"/>
        <v>0</v>
      </c>
      <c r="J369" s="49">
        <f t="array" ref="J369">IFERROR(
SUM(
IF(
'PORTIFÓLIO'!$C$4:$C$564=$A369,
N(INDEX('PORTIFÓLIO'!$J$4:$Q$564,,MATCH(J$2,'PORTIFÓLIO'!$J$3:$Q$3,0))) *
N('PORTIFÓLIO'!$S$4:$S$564),
0
)
),
0)</f>
        <v>0</v>
      </c>
      <c r="K369" s="47">
        <f t="shared" si="9"/>
        <v>0</v>
      </c>
      <c r="L369" s="49">
        <f t="array" ref="L369">IFERROR(
SUM(
IF(
'PORTIFÓLIO'!$C$4:$C$564=$A369,
N(INDEX('PORTIFÓLIO'!$J$4:$Q$564,,MATCH(L$2,'PORTIFÓLIO'!$J$3:$Q$3,0))) *
N('PORTIFÓLIO'!$S$4:$S$564),
0
)
),
0)</f>
        <v>0</v>
      </c>
      <c r="M369" s="47">
        <f t="shared" si="10"/>
        <v>0</v>
      </c>
      <c r="N369" s="49">
        <f t="array" ref="N369">IFERROR(
SUM(
IF(
'PORTIFÓLIO'!$C$4:$C$564=$A369,
N(INDEX('PORTIFÓLIO'!$J$4:$Q$564,,MATCH(N$2,'PORTIFÓLIO'!$J$3:$Q$3,0))) *
N('PORTIFÓLIO'!$S$4:$S$564),
0
)
),
0)</f>
        <v>0</v>
      </c>
      <c r="O369" s="49">
        <f t="shared" si="11"/>
        <v>0</v>
      </c>
      <c r="P369" s="49">
        <f t="array" ref="P369">IFERROR(
SUM(
IF(
'PORTIFÓLIO'!$C$4:$C$564=$A369,
N(INDEX('PORTIFÓLIO'!$J$4:$Q$564,,MATCH(P$2,'PORTIFÓLIO'!$J$3:$Q$3,0))) *
N('PORTIFÓLIO'!$S$4:$S$564),
0
)
),
0)</f>
        <v>0</v>
      </c>
      <c r="Q369" s="49">
        <f t="shared" si="12"/>
        <v>0</v>
      </c>
      <c r="R369" s="49">
        <f t="shared" si="2"/>
        <v>0</v>
      </c>
      <c r="S369" s="49">
        <f t="shared" si="13"/>
        <v>0</v>
      </c>
    </row>
    <row r="370" ht="15.75" hidden="1" customHeight="1" outlineLevel="1">
      <c r="A370" s="42" t="str">
        <f>IFERROR(__xludf.DUMMYFUNCTION("""COMPUTED_VALUE"""),"RAIZ F")</f>
        <v>RAIZ F</v>
      </c>
      <c r="B370" s="49">
        <f t="array" ref="B370">IFERROR(
SUM(
IF(
'PORTIFÓLIO'!$C$4:$C$564=$A370,
N(INDEX('PORTIFÓLIO'!$J$4:$Q$564,,MATCH(B$2,'PORTIFÓLIO'!$J$3:$Q$3,0))) *
N('PORTIFÓLIO'!$S$4:$S$564),
0
)
),
0)</f>
        <v>0</v>
      </c>
      <c r="C370" s="49">
        <f t="shared" si="5"/>
        <v>0</v>
      </c>
      <c r="D370" s="49">
        <f t="array" ref="D370">IFERROR(
SUM(
IF(
'PORTIFÓLIO'!$C$4:$C$564=$A370,
N(INDEX('PORTIFÓLIO'!$J$4:$Q$564,,MATCH(D$2,'PORTIFÓLIO'!$J$3:$Q$3,0))) *
N('PORTIFÓLIO'!$S$4:$S$564),
0
)
),
0)</f>
        <v>0</v>
      </c>
      <c r="E370" s="49">
        <f t="shared" si="14"/>
        <v>0</v>
      </c>
      <c r="F370" s="49">
        <f t="array" ref="F370">IFERROR(
SUM(
IF(
'PORTIFÓLIO'!$C$4:$C$564=$A370,
N(INDEX('PORTIFÓLIO'!$J$4:$Q$564,,MATCH(F$2,'PORTIFÓLIO'!$J$3:$Q$3,0))) *
N('PORTIFÓLIO'!$S$4:$S$564),
0
)
),
0)</f>
        <v>0</v>
      </c>
      <c r="G370" s="47">
        <f t="shared" si="7"/>
        <v>0</v>
      </c>
      <c r="H370" s="49">
        <f t="array" ref="H370">IFERROR(
SUM(
IF(
'PORTIFÓLIO'!$C$4:$C$564=$A370,
N(INDEX('PORTIFÓLIO'!$J$4:$Q$564,,MATCH(H$2,'PORTIFÓLIO'!$J$3:$Q$3,0))) *
N('PORTIFÓLIO'!$S$4:$S$564),
0
)
),
0)</f>
        <v>0</v>
      </c>
      <c r="I370" s="47">
        <f t="shared" si="8"/>
        <v>0</v>
      </c>
      <c r="J370" s="49">
        <f t="array" ref="J370">IFERROR(
SUM(
IF(
'PORTIFÓLIO'!$C$4:$C$564=$A370,
N(INDEX('PORTIFÓLIO'!$J$4:$Q$564,,MATCH(J$2,'PORTIFÓLIO'!$J$3:$Q$3,0))) *
N('PORTIFÓLIO'!$S$4:$S$564),
0
)
),
0)</f>
        <v>0</v>
      </c>
      <c r="K370" s="47">
        <f t="shared" si="9"/>
        <v>0</v>
      </c>
      <c r="L370" s="49">
        <f t="array" ref="L370">IFERROR(
SUM(
IF(
'PORTIFÓLIO'!$C$4:$C$564=$A370,
N(INDEX('PORTIFÓLIO'!$J$4:$Q$564,,MATCH(L$2,'PORTIFÓLIO'!$J$3:$Q$3,0))) *
N('PORTIFÓLIO'!$S$4:$S$564),
0
)
),
0)</f>
        <v>0</v>
      </c>
      <c r="M370" s="47">
        <f t="shared" si="10"/>
        <v>0</v>
      </c>
      <c r="N370" s="49">
        <f t="array" ref="N370">IFERROR(
SUM(
IF(
'PORTIFÓLIO'!$C$4:$C$564=$A370,
N(INDEX('PORTIFÓLIO'!$J$4:$Q$564,,MATCH(N$2,'PORTIFÓLIO'!$J$3:$Q$3,0))) *
N('PORTIFÓLIO'!$S$4:$S$564),
0
)
),
0)</f>
        <v>0</v>
      </c>
      <c r="O370" s="49">
        <f t="shared" si="11"/>
        <v>0</v>
      </c>
      <c r="P370" s="49">
        <f t="array" ref="P370">IFERROR(
SUM(
IF(
'PORTIFÓLIO'!$C$4:$C$564=$A370,
N(INDEX('PORTIFÓLIO'!$J$4:$Q$564,,MATCH(P$2,'PORTIFÓLIO'!$J$3:$Q$3,0))) *
N('PORTIFÓLIO'!$S$4:$S$564),
0
)
),
0)</f>
        <v>0</v>
      </c>
      <c r="Q370" s="49">
        <f t="shared" si="12"/>
        <v>0</v>
      </c>
      <c r="R370" s="49">
        <f t="shared" si="2"/>
        <v>0</v>
      </c>
      <c r="S370" s="49">
        <f t="shared" si="13"/>
        <v>0</v>
      </c>
    </row>
    <row r="371" ht="15.75" hidden="1" customHeight="1" outlineLevel="1">
      <c r="A371" s="42" t="str">
        <f>IFERROR(__xludf.DUMMYFUNCTION("""COMPUTED_VALUE"""),"ACRESCENTE SOLUS F")</f>
        <v>ACRESCENTE SOLUS F</v>
      </c>
      <c r="B371" s="49">
        <f t="array" ref="B371">IFERROR(
SUM(
IF(
'PORTIFÓLIO'!$C$4:$C$564=$A371,
N(INDEX('PORTIFÓLIO'!$J$4:$Q$564,,MATCH(B$2,'PORTIFÓLIO'!$J$3:$Q$3,0))) *
N('PORTIFÓLIO'!$S$4:$S$564),
0
)
),
0)</f>
        <v>0</v>
      </c>
      <c r="C371" s="49">
        <f t="shared" si="5"/>
        <v>0</v>
      </c>
      <c r="D371" s="49">
        <f t="array" ref="D371">IFERROR(
SUM(
IF(
'PORTIFÓLIO'!$C$4:$C$564=$A371,
N(INDEX('PORTIFÓLIO'!$J$4:$Q$564,,MATCH(D$2,'PORTIFÓLIO'!$J$3:$Q$3,0))) *
N('PORTIFÓLIO'!$S$4:$S$564),
0
)
),
0)</f>
        <v>0</v>
      </c>
      <c r="E371" s="49">
        <f t="shared" si="14"/>
        <v>0</v>
      </c>
      <c r="F371" s="49">
        <f t="array" ref="F371">IFERROR(
SUM(
IF(
'PORTIFÓLIO'!$C$4:$C$564=$A371,
N(INDEX('PORTIFÓLIO'!$J$4:$Q$564,,MATCH(F$2,'PORTIFÓLIO'!$J$3:$Q$3,0))) *
N('PORTIFÓLIO'!$S$4:$S$564),
0
)
),
0)</f>
        <v>0</v>
      </c>
      <c r="G371" s="47">
        <f t="shared" si="7"/>
        <v>0</v>
      </c>
      <c r="H371" s="49">
        <f t="array" ref="H371">IFERROR(
SUM(
IF(
'PORTIFÓLIO'!$C$4:$C$564=$A371,
N(INDEX('PORTIFÓLIO'!$J$4:$Q$564,,MATCH(H$2,'PORTIFÓLIO'!$J$3:$Q$3,0))) *
N('PORTIFÓLIO'!$S$4:$S$564),
0
)
),
0)</f>
        <v>0</v>
      </c>
      <c r="I371" s="47">
        <f t="shared" si="8"/>
        <v>0</v>
      </c>
      <c r="J371" s="49">
        <f t="array" ref="J371">IFERROR(
SUM(
IF(
'PORTIFÓLIO'!$C$4:$C$564=$A371,
N(INDEX('PORTIFÓLIO'!$J$4:$Q$564,,MATCH(J$2,'PORTIFÓLIO'!$J$3:$Q$3,0))) *
N('PORTIFÓLIO'!$S$4:$S$564),
0
)
),
0)</f>
        <v>0</v>
      </c>
      <c r="K371" s="47">
        <f t="shared" si="9"/>
        <v>0</v>
      </c>
      <c r="L371" s="49">
        <f t="array" ref="L371">IFERROR(
SUM(
IF(
'PORTIFÓLIO'!$C$4:$C$564=$A371,
N(INDEX('PORTIFÓLIO'!$J$4:$Q$564,,MATCH(L$2,'PORTIFÓLIO'!$J$3:$Q$3,0))) *
N('PORTIFÓLIO'!$S$4:$S$564),
0
)
),
0)</f>
        <v>0</v>
      </c>
      <c r="M371" s="47">
        <f t="shared" si="10"/>
        <v>0</v>
      </c>
      <c r="N371" s="49">
        <f t="array" ref="N371">IFERROR(
SUM(
IF(
'PORTIFÓLIO'!$C$4:$C$564=$A371,
N(INDEX('PORTIFÓLIO'!$J$4:$Q$564,,MATCH(N$2,'PORTIFÓLIO'!$J$3:$Q$3,0))) *
N('PORTIFÓLIO'!$S$4:$S$564),
0
)
),
0)</f>
        <v>0</v>
      </c>
      <c r="O371" s="49">
        <f t="shared" si="11"/>
        <v>0</v>
      </c>
      <c r="P371" s="49">
        <f t="array" ref="P371">IFERROR(
SUM(
IF(
'PORTIFÓLIO'!$C$4:$C$564=$A371,
N(INDEX('PORTIFÓLIO'!$J$4:$Q$564,,MATCH(P$2,'PORTIFÓLIO'!$J$3:$Q$3,0))) *
N('PORTIFÓLIO'!$S$4:$S$564),
0
)
),
0)</f>
        <v>0</v>
      </c>
      <c r="Q371" s="49">
        <f t="shared" si="12"/>
        <v>0</v>
      </c>
      <c r="R371" s="49">
        <f t="shared" si="2"/>
        <v>0</v>
      </c>
      <c r="S371" s="49">
        <f t="shared" si="13"/>
        <v>0</v>
      </c>
    </row>
    <row r="372" ht="15.75" hidden="1" customHeight="1" outlineLevel="1">
      <c r="A372" s="42" t="str">
        <f>IFERROR(__xludf.DUMMYFUNCTION("""COMPUTED_VALUE"""),"SALUT")</f>
        <v>SALUT</v>
      </c>
      <c r="B372" s="49">
        <f t="array" ref="B372">IFERROR(
SUM(
IF(
'PORTIFÓLIO'!$C$4:$C$564=$A372,
N(INDEX('PORTIFÓLIO'!$J$4:$Q$564,,MATCH(B$2,'PORTIFÓLIO'!$J$3:$Q$3,0))) *
N('PORTIFÓLIO'!$S$4:$S$564),
0
)
),
0)</f>
        <v>0</v>
      </c>
      <c r="C372" s="49">
        <f t="shared" si="5"/>
        <v>0</v>
      </c>
      <c r="D372" s="49">
        <f t="array" ref="D372">IFERROR(
SUM(
IF(
'PORTIFÓLIO'!$C$4:$C$564=$A372,
N(INDEX('PORTIFÓLIO'!$J$4:$Q$564,,MATCH(D$2,'PORTIFÓLIO'!$J$3:$Q$3,0))) *
N('PORTIFÓLIO'!$S$4:$S$564),
0
)
),
0)</f>
        <v>0</v>
      </c>
      <c r="E372" s="49">
        <f t="shared" si="14"/>
        <v>0</v>
      </c>
      <c r="F372" s="49">
        <f t="array" ref="F372">IFERROR(
SUM(
IF(
'PORTIFÓLIO'!$C$4:$C$564=$A372,
N(INDEX('PORTIFÓLIO'!$J$4:$Q$564,,MATCH(F$2,'PORTIFÓLIO'!$J$3:$Q$3,0))) *
N('PORTIFÓLIO'!$S$4:$S$564),
0
)
),
0)</f>
        <v>0</v>
      </c>
      <c r="G372" s="47">
        <f t="shared" si="7"/>
        <v>0</v>
      </c>
      <c r="H372" s="49">
        <f t="array" ref="H372">IFERROR(
SUM(
IF(
'PORTIFÓLIO'!$C$4:$C$564=$A372,
N(INDEX('PORTIFÓLIO'!$J$4:$Q$564,,MATCH(H$2,'PORTIFÓLIO'!$J$3:$Q$3,0))) *
N('PORTIFÓLIO'!$S$4:$S$564),
0
)
),
0)</f>
        <v>0</v>
      </c>
      <c r="I372" s="47">
        <f t="shared" si="8"/>
        <v>0</v>
      </c>
      <c r="J372" s="49">
        <f t="array" ref="J372">IFERROR(
SUM(
IF(
'PORTIFÓLIO'!$C$4:$C$564=$A372,
N(INDEX('PORTIFÓLIO'!$J$4:$Q$564,,MATCH(J$2,'PORTIFÓLIO'!$J$3:$Q$3,0))) *
N('PORTIFÓLIO'!$S$4:$S$564),
0
)
),
0)</f>
        <v>0</v>
      </c>
      <c r="K372" s="47">
        <f t="shared" si="9"/>
        <v>0</v>
      </c>
      <c r="L372" s="49">
        <f t="array" ref="L372">IFERROR(
SUM(
IF(
'PORTIFÓLIO'!$C$4:$C$564=$A372,
N(INDEX('PORTIFÓLIO'!$J$4:$Q$564,,MATCH(L$2,'PORTIFÓLIO'!$J$3:$Q$3,0))) *
N('PORTIFÓLIO'!$S$4:$S$564),
0
)
),
0)</f>
        <v>0</v>
      </c>
      <c r="M372" s="47">
        <f t="shared" si="10"/>
        <v>0</v>
      </c>
      <c r="N372" s="49">
        <f t="array" ref="N372">IFERROR(
SUM(
IF(
'PORTIFÓLIO'!$C$4:$C$564=$A372,
N(INDEX('PORTIFÓLIO'!$J$4:$Q$564,,MATCH(N$2,'PORTIFÓLIO'!$J$3:$Q$3,0))) *
N('PORTIFÓLIO'!$S$4:$S$564),
0
)
),
0)</f>
        <v>0</v>
      </c>
      <c r="O372" s="49">
        <f t="shared" si="11"/>
        <v>0</v>
      </c>
      <c r="P372" s="49">
        <f t="array" ref="P372">IFERROR(
SUM(
IF(
'PORTIFÓLIO'!$C$4:$C$564=$A372,
N(INDEX('PORTIFÓLIO'!$J$4:$Q$564,,MATCH(P$2,'PORTIFÓLIO'!$J$3:$Q$3,0))) *
N('PORTIFÓLIO'!$S$4:$S$564),
0
)
),
0)</f>
        <v>0</v>
      </c>
      <c r="Q372" s="49">
        <f t="shared" si="12"/>
        <v>0</v>
      </c>
      <c r="R372" s="49">
        <f t="shared" si="2"/>
        <v>0</v>
      </c>
      <c r="S372" s="49">
        <f t="shared" si="13"/>
        <v>0</v>
      </c>
    </row>
    <row r="373" ht="15.75" hidden="1" customHeight="1" outlineLevel="1">
      <c r="A373" s="42" t="str">
        <f>IFERROR(__xludf.DUMMYFUNCTION("""COMPUTED_VALUE"""),"MATRIZ D")</f>
        <v>MATRIZ D</v>
      </c>
      <c r="B373" s="49">
        <f t="array" ref="B373">IFERROR(
SUM(
IF(
'PORTIFÓLIO'!$C$4:$C$564=$A373,
N(INDEX('PORTIFÓLIO'!$J$4:$Q$564,,MATCH(B$2,'PORTIFÓLIO'!$J$3:$Q$3,0))) *
N('PORTIFÓLIO'!$S$4:$S$564),
0
)
),
0)</f>
        <v>0</v>
      </c>
      <c r="C373" s="49">
        <f t="shared" si="5"/>
        <v>0</v>
      </c>
      <c r="D373" s="49">
        <f t="array" ref="D373">IFERROR(
SUM(
IF(
'PORTIFÓLIO'!$C$4:$C$564=$A373,
N(INDEX('PORTIFÓLIO'!$J$4:$Q$564,,MATCH(D$2,'PORTIFÓLIO'!$J$3:$Q$3,0))) *
N('PORTIFÓLIO'!$S$4:$S$564),
0
)
),
0)</f>
        <v>0</v>
      </c>
      <c r="E373" s="49">
        <f t="shared" si="14"/>
        <v>0</v>
      </c>
      <c r="F373" s="49">
        <f t="array" ref="F373">IFERROR(
SUM(
IF(
'PORTIFÓLIO'!$C$4:$C$564=$A373,
N(INDEX('PORTIFÓLIO'!$J$4:$Q$564,,MATCH(F$2,'PORTIFÓLIO'!$J$3:$Q$3,0))) *
N('PORTIFÓLIO'!$S$4:$S$564),
0
)
),
0)</f>
        <v>0</v>
      </c>
      <c r="G373" s="47">
        <f t="shared" si="7"/>
        <v>0</v>
      </c>
      <c r="H373" s="49">
        <f t="array" ref="H373">IFERROR(
SUM(
IF(
'PORTIFÓLIO'!$C$4:$C$564=$A373,
N(INDEX('PORTIFÓLIO'!$J$4:$Q$564,,MATCH(H$2,'PORTIFÓLIO'!$J$3:$Q$3,0))) *
N('PORTIFÓLIO'!$S$4:$S$564),
0
)
),
0)</f>
        <v>0</v>
      </c>
      <c r="I373" s="47">
        <f t="shared" si="8"/>
        <v>0</v>
      </c>
      <c r="J373" s="49">
        <f t="array" ref="J373">IFERROR(
SUM(
IF(
'PORTIFÓLIO'!$C$4:$C$564=$A373,
N(INDEX('PORTIFÓLIO'!$J$4:$Q$564,,MATCH(J$2,'PORTIFÓLIO'!$J$3:$Q$3,0))) *
N('PORTIFÓLIO'!$S$4:$S$564),
0
)
),
0)</f>
        <v>0</v>
      </c>
      <c r="K373" s="47">
        <f t="shared" si="9"/>
        <v>0</v>
      </c>
      <c r="L373" s="49">
        <f t="array" ref="L373">IFERROR(
SUM(
IF(
'PORTIFÓLIO'!$C$4:$C$564=$A373,
N(INDEX('PORTIFÓLIO'!$J$4:$Q$564,,MATCH(L$2,'PORTIFÓLIO'!$J$3:$Q$3,0))) *
N('PORTIFÓLIO'!$S$4:$S$564),
0
)
),
0)</f>
        <v>0</v>
      </c>
      <c r="M373" s="47">
        <f t="shared" si="10"/>
        <v>0</v>
      </c>
      <c r="N373" s="49">
        <f t="array" ref="N373">IFERROR(
SUM(
IF(
'PORTIFÓLIO'!$C$4:$C$564=$A373,
N(INDEX('PORTIFÓLIO'!$J$4:$Q$564,,MATCH(N$2,'PORTIFÓLIO'!$J$3:$Q$3,0))) *
N('PORTIFÓLIO'!$S$4:$S$564),
0
)
),
0)</f>
        <v>0</v>
      </c>
      <c r="O373" s="49">
        <f t="shared" si="11"/>
        <v>0</v>
      </c>
      <c r="P373" s="49">
        <f t="array" ref="P373">IFERROR(
SUM(
IF(
'PORTIFÓLIO'!$C$4:$C$564=$A373,
N(INDEX('PORTIFÓLIO'!$J$4:$Q$564,,MATCH(P$2,'PORTIFÓLIO'!$J$3:$Q$3,0))) *
N('PORTIFÓLIO'!$S$4:$S$564),
0
)
),
0)</f>
        <v>0</v>
      </c>
      <c r="Q373" s="49">
        <f t="shared" si="12"/>
        <v>0</v>
      </c>
      <c r="R373" s="49">
        <f t="shared" si="2"/>
        <v>0</v>
      </c>
      <c r="S373" s="49">
        <f t="shared" si="13"/>
        <v>0</v>
      </c>
    </row>
    <row r="374" ht="15.75" hidden="1" customHeight="1" outlineLevel="1">
      <c r="A374" s="42" t="str">
        <f>IFERROR(__xludf.DUMMYFUNCTION("""COMPUTED_VALUE"""),"BRAVERO")</f>
        <v>BRAVERO</v>
      </c>
      <c r="B374" s="49">
        <f t="array" ref="B374">IFERROR(
SUM(
IF(
'PORTIFÓLIO'!$C$4:$C$564=$A374,
N(INDEX('PORTIFÓLIO'!$J$4:$Q$564,,MATCH(B$2,'PORTIFÓLIO'!$J$3:$Q$3,0))) *
N('PORTIFÓLIO'!$S$4:$S$564),
0
)
),
0)</f>
        <v>0</v>
      </c>
      <c r="C374" s="49">
        <f t="shared" si="5"/>
        <v>0</v>
      </c>
      <c r="D374" s="49">
        <f t="array" ref="D374">IFERROR(
SUM(
IF(
'PORTIFÓLIO'!$C$4:$C$564=$A374,
N(INDEX('PORTIFÓLIO'!$J$4:$Q$564,,MATCH(D$2,'PORTIFÓLIO'!$J$3:$Q$3,0))) *
N('PORTIFÓLIO'!$S$4:$S$564),
0
)
),
0)</f>
        <v>0</v>
      </c>
      <c r="E374" s="49">
        <f t="shared" si="14"/>
        <v>0</v>
      </c>
      <c r="F374" s="49">
        <f t="array" ref="F374">IFERROR(
SUM(
IF(
'PORTIFÓLIO'!$C$4:$C$564=$A374,
N(INDEX('PORTIFÓLIO'!$J$4:$Q$564,,MATCH(F$2,'PORTIFÓLIO'!$J$3:$Q$3,0))) *
N('PORTIFÓLIO'!$S$4:$S$564),
0
)
),
0)</f>
        <v>0</v>
      </c>
      <c r="G374" s="47">
        <f t="shared" si="7"/>
        <v>0</v>
      </c>
      <c r="H374" s="49">
        <f t="array" ref="H374">IFERROR(
SUM(
IF(
'PORTIFÓLIO'!$C$4:$C$564=$A374,
N(INDEX('PORTIFÓLIO'!$J$4:$Q$564,,MATCH(H$2,'PORTIFÓLIO'!$J$3:$Q$3,0))) *
N('PORTIFÓLIO'!$S$4:$S$564),
0
)
),
0)</f>
        <v>0</v>
      </c>
      <c r="I374" s="47">
        <f t="shared" si="8"/>
        <v>0</v>
      </c>
      <c r="J374" s="49">
        <f t="array" ref="J374">IFERROR(
SUM(
IF(
'PORTIFÓLIO'!$C$4:$C$564=$A374,
N(INDEX('PORTIFÓLIO'!$J$4:$Q$564,,MATCH(J$2,'PORTIFÓLIO'!$J$3:$Q$3,0))) *
N('PORTIFÓLIO'!$S$4:$S$564),
0
)
),
0)</f>
        <v>0</v>
      </c>
      <c r="K374" s="47">
        <f t="shared" si="9"/>
        <v>0</v>
      </c>
      <c r="L374" s="49">
        <f t="array" ref="L374">IFERROR(
SUM(
IF(
'PORTIFÓLIO'!$C$4:$C$564=$A374,
N(INDEX('PORTIFÓLIO'!$J$4:$Q$564,,MATCH(L$2,'PORTIFÓLIO'!$J$3:$Q$3,0))) *
N('PORTIFÓLIO'!$S$4:$S$564),
0
)
),
0)</f>
        <v>0</v>
      </c>
      <c r="M374" s="47">
        <f t="shared" si="10"/>
        <v>0</v>
      </c>
      <c r="N374" s="49">
        <f t="array" ref="N374">IFERROR(
SUM(
IF(
'PORTIFÓLIO'!$C$4:$C$564=$A374,
N(INDEX('PORTIFÓLIO'!$J$4:$Q$564,,MATCH(N$2,'PORTIFÓLIO'!$J$3:$Q$3,0))) *
N('PORTIFÓLIO'!$S$4:$S$564),
0
)
),
0)</f>
        <v>0</v>
      </c>
      <c r="O374" s="49">
        <f t="shared" si="11"/>
        <v>0</v>
      </c>
      <c r="P374" s="49">
        <f t="array" ref="P374">IFERROR(
SUM(
IF(
'PORTIFÓLIO'!$C$4:$C$564=$A374,
N(INDEX('PORTIFÓLIO'!$J$4:$Q$564,,MATCH(P$2,'PORTIFÓLIO'!$J$3:$Q$3,0))) *
N('PORTIFÓLIO'!$S$4:$S$564),
0
)
),
0)</f>
        <v>0</v>
      </c>
      <c r="Q374" s="49">
        <f t="shared" si="12"/>
        <v>0</v>
      </c>
      <c r="R374" s="49">
        <f t="shared" si="2"/>
        <v>0</v>
      </c>
      <c r="S374" s="49">
        <f t="shared" si="13"/>
        <v>0</v>
      </c>
    </row>
    <row r="375" ht="15.75" hidden="1" customHeight="1" outlineLevel="1">
      <c r="A375" s="42" t="str">
        <f>IFERROR(__xludf.DUMMYFUNCTION("""COMPUTED_VALUE"""),"Glyfort")</f>
        <v>Glyfort</v>
      </c>
      <c r="B375" s="49">
        <f t="array" ref="B375">IFERROR(
SUM(
IF(
'PORTIFÓLIO'!$C$4:$C$564=$A375,
N(INDEX('PORTIFÓLIO'!$J$4:$Q$564,,MATCH(B$2,'PORTIFÓLIO'!$J$3:$Q$3,0))) *
N('PORTIFÓLIO'!$S$4:$S$564),
0
)
),
0)</f>
        <v>0</v>
      </c>
      <c r="C375" s="49">
        <f t="shared" si="5"/>
        <v>0</v>
      </c>
      <c r="D375" s="49">
        <f t="array" ref="D375">IFERROR(
SUM(
IF(
'PORTIFÓLIO'!$C$4:$C$564=$A375,
N(INDEX('PORTIFÓLIO'!$J$4:$Q$564,,MATCH(D$2,'PORTIFÓLIO'!$J$3:$Q$3,0))) *
N('PORTIFÓLIO'!$S$4:$S$564),
0
)
),
0)</f>
        <v>0</v>
      </c>
      <c r="E375" s="49">
        <f t="shared" si="14"/>
        <v>0</v>
      </c>
      <c r="F375" s="49">
        <f t="array" ref="F375">IFERROR(
SUM(
IF(
'PORTIFÓLIO'!$C$4:$C$564=$A375,
N(INDEX('PORTIFÓLIO'!$J$4:$Q$564,,MATCH(F$2,'PORTIFÓLIO'!$J$3:$Q$3,0))) *
N('PORTIFÓLIO'!$S$4:$S$564),
0
)
),
0)</f>
        <v>0</v>
      </c>
      <c r="G375" s="47">
        <f t="shared" si="7"/>
        <v>0</v>
      </c>
      <c r="H375" s="49">
        <f t="array" ref="H375">IFERROR(
SUM(
IF(
'PORTIFÓLIO'!$C$4:$C$564=$A375,
N(INDEX('PORTIFÓLIO'!$J$4:$Q$564,,MATCH(H$2,'PORTIFÓLIO'!$J$3:$Q$3,0))) *
N('PORTIFÓLIO'!$S$4:$S$564),
0
)
),
0)</f>
        <v>0</v>
      </c>
      <c r="I375" s="47">
        <f t="shared" si="8"/>
        <v>0</v>
      </c>
      <c r="J375" s="49">
        <f t="array" ref="J375">IFERROR(
SUM(
IF(
'PORTIFÓLIO'!$C$4:$C$564=$A375,
N(INDEX('PORTIFÓLIO'!$J$4:$Q$564,,MATCH(J$2,'PORTIFÓLIO'!$J$3:$Q$3,0))) *
N('PORTIFÓLIO'!$S$4:$S$564),
0
)
),
0)</f>
        <v>0</v>
      </c>
      <c r="K375" s="47">
        <f t="shared" si="9"/>
        <v>0</v>
      </c>
      <c r="L375" s="49">
        <f t="array" ref="L375">IFERROR(
SUM(
IF(
'PORTIFÓLIO'!$C$4:$C$564=$A375,
N(INDEX('PORTIFÓLIO'!$J$4:$Q$564,,MATCH(L$2,'PORTIFÓLIO'!$J$3:$Q$3,0))) *
N('PORTIFÓLIO'!$S$4:$S$564),
0
)
),
0)</f>
        <v>0</v>
      </c>
      <c r="M375" s="47">
        <f t="shared" si="10"/>
        <v>0</v>
      </c>
      <c r="N375" s="49">
        <f t="array" ref="N375">IFERROR(
SUM(
IF(
'PORTIFÓLIO'!$C$4:$C$564=$A375,
N(INDEX('PORTIFÓLIO'!$J$4:$Q$564,,MATCH(N$2,'PORTIFÓLIO'!$J$3:$Q$3,0))) *
N('PORTIFÓLIO'!$S$4:$S$564),
0
)
),
0)</f>
        <v>0</v>
      </c>
      <c r="O375" s="49">
        <f t="shared" si="11"/>
        <v>0</v>
      </c>
      <c r="P375" s="49">
        <f t="array" ref="P375">IFERROR(
SUM(
IF(
'PORTIFÓLIO'!$C$4:$C$564=$A375,
N(INDEX('PORTIFÓLIO'!$J$4:$Q$564,,MATCH(P$2,'PORTIFÓLIO'!$J$3:$Q$3,0))) *
N('PORTIFÓLIO'!$S$4:$S$564),
0
)
),
0)</f>
        <v>0</v>
      </c>
      <c r="Q375" s="49">
        <f t="shared" si="12"/>
        <v>0</v>
      </c>
      <c r="R375" s="49">
        <f t="shared" si="2"/>
        <v>0</v>
      </c>
      <c r="S375" s="49">
        <f t="shared" si="13"/>
        <v>0</v>
      </c>
    </row>
    <row r="376" ht="15.75" hidden="1" customHeight="1" outlineLevel="1">
      <c r="A376" s="42" t="str">
        <f>IFERROR(__xludf.DUMMYFUNCTION("""COMPUTED_VALUE"""),"Fergsum")</f>
        <v>Fergsum</v>
      </c>
      <c r="B376" s="49">
        <f t="array" ref="B376">IFERROR(
SUM(
IF(
'PORTIFÓLIO'!$C$4:$C$564=$A376,
N(INDEX('PORTIFÓLIO'!$J$4:$Q$564,,MATCH(B$2,'PORTIFÓLIO'!$J$3:$Q$3,0))) *
N('PORTIFÓLIO'!$S$4:$S$564),
0
)
),
0)</f>
        <v>0</v>
      </c>
      <c r="C376" s="49">
        <f t="shared" si="5"/>
        <v>0</v>
      </c>
      <c r="D376" s="49">
        <f t="array" ref="D376">IFERROR(
SUM(
IF(
'PORTIFÓLIO'!$C$4:$C$564=$A376,
N(INDEX('PORTIFÓLIO'!$J$4:$Q$564,,MATCH(D$2,'PORTIFÓLIO'!$J$3:$Q$3,0))) *
N('PORTIFÓLIO'!$S$4:$S$564),
0
)
),
0)</f>
        <v>0</v>
      </c>
      <c r="E376" s="49">
        <f t="shared" si="14"/>
        <v>0</v>
      </c>
      <c r="F376" s="49">
        <f t="array" ref="F376">IFERROR(
SUM(
IF(
'PORTIFÓLIO'!$C$4:$C$564=$A376,
N(INDEX('PORTIFÓLIO'!$J$4:$Q$564,,MATCH(F$2,'PORTIFÓLIO'!$J$3:$Q$3,0))) *
N('PORTIFÓLIO'!$S$4:$S$564),
0
)
),
0)</f>
        <v>0</v>
      </c>
      <c r="G376" s="47">
        <f t="shared" si="7"/>
        <v>0</v>
      </c>
      <c r="H376" s="49">
        <f t="array" ref="H376">IFERROR(
SUM(
IF(
'PORTIFÓLIO'!$C$4:$C$564=$A376,
N(INDEX('PORTIFÓLIO'!$J$4:$Q$564,,MATCH(H$2,'PORTIFÓLIO'!$J$3:$Q$3,0))) *
N('PORTIFÓLIO'!$S$4:$S$564),
0
)
),
0)</f>
        <v>0</v>
      </c>
      <c r="I376" s="47">
        <f t="shared" si="8"/>
        <v>0</v>
      </c>
      <c r="J376" s="49">
        <f t="array" ref="J376">IFERROR(
SUM(
IF(
'PORTIFÓLIO'!$C$4:$C$564=$A376,
N(INDEX('PORTIFÓLIO'!$J$4:$Q$564,,MATCH(J$2,'PORTIFÓLIO'!$J$3:$Q$3,0))) *
N('PORTIFÓLIO'!$S$4:$S$564),
0
)
),
0)</f>
        <v>0</v>
      </c>
      <c r="K376" s="47">
        <f t="shared" si="9"/>
        <v>0</v>
      </c>
      <c r="L376" s="49">
        <f t="array" ref="L376">IFERROR(
SUM(
IF(
'PORTIFÓLIO'!$C$4:$C$564=$A376,
N(INDEX('PORTIFÓLIO'!$J$4:$Q$564,,MATCH(L$2,'PORTIFÓLIO'!$J$3:$Q$3,0))) *
N('PORTIFÓLIO'!$S$4:$S$564),
0
)
),
0)</f>
        <v>0</v>
      </c>
      <c r="M376" s="47">
        <f t="shared" si="10"/>
        <v>0</v>
      </c>
      <c r="N376" s="49">
        <f t="array" ref="N376">IFERROR(
SUM(
IF(
'PORTIFÓLIO'!$C$4:$C$564=$A376,
N(INDEX('PORTIFÓLIO'!$J$4:$Q$564,,MATCH(N$2,'PORTIFÓLIO'!$J$3:$Q$3,0))) *
N('PORTIFÓLIO'!$S$4:$S$564),
0
)
),
0)</f>
        <v>0</v>
      </c>
      <c r="O376" s="49">
        <f t="shared" si="11"/>
        <v>0</v>
      </c>
      <c r="P376" s="49">
        <f t="array" ref="P376">IFERROR(
SUM(
IF(
'PORTIFÓLIO'!$C$4:$C$564=$A376,
N(INDEX('PORTIFÓLIO'!$J$4:$Q$564,,MATCH(P$2,'PORTIFÓLIO'!$J$3:$Q$3,0))) *
N('PORTIFÓLIO'!$S$4:$S$564),
0
)
),
0)</f>
        <v>0</v>
      </c>
      <c r="Q376" s="49">
        <f t="shared" si="12"/>
        <v>0</v>
      </c>
      <c r="R376" s="49">
        <f t="shared" si="2"/>
        <v>0</v>
      </c>
      <c r="S376" s="49">
        <f t="shared" si="13"/>
        <v>0</v>
      </c>
    </row>
    <row r="377" ht="15.75" hidden="1" customHeight="1" outlineLevel="1">
      <c r="A377" s="42" t="str">
        <f>IFERROR(__xludf.DUMMYFUNCTION("""COMPUTED_VALUE"""),"Spander")</f>
        <v>Spander</v>
      </c>
      <c r="B377" s="49">
        <f t="array" ref="B377">IFERROR(
SUM(
IF(
'PORTIFÓLIO'!$C$4:$C$564=$A377,
N(INDEX('PORTIFÓLIO'!$J$4:$Q$564,,MATCH(B$2,'PORTIFÓLIO'!$J$3:$Q$3,0))) *
N('PORTIFÓLIO'!$S$4:$S$564),
0
)
),
0)</f>
        <v>0</v>
      </c>
      <c r="C377" s="49">
        <f t="shared" si="5"/>
        <v>0</v>
      </c>
      <c r="D377" s="49">
        <f t="array" ref="D377">IFERROR(
SUM(
IF(
'PORTIFÓLIO'!$C$4:$C$564=$A377,
N(INDEX('PORTIFÓLIO'!$J$4:$Q$564,,MATCH(D$2,'PORTIFÓLIO'!$J$3:$Q$3,0))) *
N('PORTIFÓLIO'!$S$4:$S$564),
0
)
),
0)</f>
        <v>0</v>
      </c>
      <c r="E377" s="49">
        <f t="shared" si="14"/>
        <v>0</v>
      </c>
      <c r="F377" s="49">
        <f t="array" ref="F377">IFERROR(
SUM(
IF(
'PORTIFÓLIO'!$C$4:$C$564=$A377,
N(INDEX('PORTIFÓLIO'!$J$4:$Q$564,,MATCH(F$2,'PORTIFÓLIO'!$J$3:$Q$3,0))) *
N('PORTIFÓLIO'!$S$4:$S$564),
0
)
),
0)</f>
        <v>0</v>
      </c>
      <c r="G377" s="47">
        <f t="shared" si="7"/>
        <v>0</v>
      </c>
      <c r="H377" s="49">
        <f t="array" ref="H377">IFERROR(
SUM(
IF(
'PORTIFÓLIO'!$C$4:$C$564=$A377,
N(INDEX('PORTIFÓLIO'!$J$4:$Q$564,,MATCH(H$2,'PORTIFÓLIO'!$J$3:$Q$3,0))) *
N('PORTIFÓLIO'!$S$4:$S$564),
0
)
),
0)</f>
        <v>0</v>
      </c>
      <c r="I377" s="47">
        <f t="shared" si="8"/>
        <v>0</v>
      </c>
      <c r="J377" s="49">
        <f t="array" ref="J377">IFERROR(
SUM(
IF(
'PORTIFÓLIO'!$C$4:$C$564=$A377,
N(INDEX('PORTIFÓLIO'!$J$4:$Q$564,,MATCH(J$2,'PORTIFÓLIO'!$J$3:$Q$3,0))) *
N('PORTIFÓLIO'!$S$4:$S$564),
0
)
),
0)</f>
        <v>0</v>
      </c>
      <c r="K377" s="47">
        <f t="shared" si="9"/>
        <v>0</v>
      </c>
      <c r="L377" s="49">
        <f t="array" ref="L377">IFERROR(
SUM(
IF(
'PORTIFÓLIO'!$C$4:$C$564=$A377,
N(INDEX('PORTIFÓLIO'!$J$4:$Q$564,,MATCH(L$2,'PORTIFÓLIO'!$J$3:$Q$3,0))) *
N('PORTIFÓLIO'!$S$4:$S$564),
0
)
),
0)</f>
        <v>0</v>
      </c>
      <c r="M377" s="47">
        <f t="shared" si="10"/>
        <v>0</v>
      </c>
      <c r="N377" s="49">
        <f t="array" ref="N377">IFERROR(
SUM(
IF(
'PORTIFÓLIO'!$C$4:$C$564=$A377,
N(INDEX('PORTIFÓLIO'!$J$4:$Q$564,,MATCH(N$2,'PORTIFÓLIO'!$J$3:$Q$3,0))) *
N('PORTIFÓLIO'!$S$4:$S$564),
0
)
),
0)</f>
        <v>0</v>
      </c>
      <c r="O377" s="49">
        <f t="shared" si="11"/>
        <v>0</v>
      </c>
      <c r="P377" s="49">
        <f t="array" ref="P377">IFERROR(
SUM(
IF(
'PORTIFÓLIO'!$C$4:$C$564=$A377,
N(INDEX('PORTIFÓLIO'!$J$4:$Q$564,,MATCH(P$2,'PORTIFÓLIO'!$J$3:$Q$3,0))) *
N('PORTIFÓLIO'!$S$4:$S$564),
0
)
),
0)</f>
        <v>0</v>
      </c>
      <c r="Q377" s="49">
        <f t="shared" si="12"/>
        <v>0</v>
      </c>
      <c r="R377" s="49">
        <f t="shared" si="2"/>
        <v>0</v>
      </c>
      <c r="S377" s="49">
        <f t="shared" si="13"/>
        <v>0</v>
      </c>
    </row>
    <row r="378" ht="15.75" hidden="1" customHeight="1" outlineLevel="1">
      <c r="A378" s="42" t="str">
        <f>IFERROR(__xludf.DUMMYFUNCTION("""COMPUTED_VALUE"""),"Halattus")</f>
        <v>Halattus</v>
      </c>
      <c r="B378" s="49">
        <f t="array" ref="B378">IFERROR(
SUM(
IF(
'PORTIFÓLIO'!$C$4:$C$564=$A378,
N(INDEX('PORTIFÓLIO'!$J$4:$Q$564,,MATCH(B$2,'PORTIFÓLIO'!$J$3:$Q$3,0))) *
N('PORTIFÓLIO'!$S$4:$S$564),
0
)
),
0)</f>
        <v>0</v>
      </c>
      <c r="C378" s="49">
        <f t="shared" si="5"/>
        <v>0</v>
      </c>
      <c r="D378" s="49">
        <f t="array" ref="D378">IFERROR(
SUM(
IF(
'PORTIFÓLIO'!$C$4:$C$564=$A378,
N(INDEX('PORTIFÓLIO'!$J$4:$Q$564,,MATCH(D$2,'PORTIFÓLIO'!$J$3:$Q$3,0))) *
N('PORTIFÓLIO'!$S$4:$S$564),
0
)
),
0)</f>
        <v>0</v>
      </c>
      <c r="E378" s="49">
        <f t="shared" si="14"/>
        <v>0</v>
      </c>
      <c r="F378" s="49">
        <f t="array" ref="F378">IFERROR(
SUM(
IF(
'PORTIFÓLIO'!$C$4:$C$564=$A378,
N(INDEX('PORTIFÓLIO'!$J$4:$Q$564,,MATCH(F$2,'PORTIFÓLIO'!$J$3:$Q$3,0))) *
N('PORTIFÓLIO'!$S$4:$S$564),
0
)
),
0)</f>
        <v>0</v>
      </c>
      <c r="G378" s="47">
        <f t="shared" si="7"/>
        <v>0</v>
      </c>
      <c r="H378" s="49">
        <f t="array" ref="H378">IFERROR(
SUM(
IF(
'PORTIFÓLIO'!$C$4:$C$564=$A378,
N(INDEX('PORTIFÓLIO'!$J$4:$Q$564,,MATCH(H$2,'PORTIFÓLIO'!$J$3:$Q$3,0))) *
N('PORTIFÓLIO'!$S$4:$S$564),
0
)
),
0)</f>
        <v>0</v>
      </c>
      <c r="I378" s="47">
        <f t="shared" si="8"/>
        <v>0</v>
      </c>
      <c r="J378" s="49">
        <f t="array" ref="J378">IFERROR(
SUM(
IF(
'PORTIFÓLIO'!$C$4:$C$564=$A378,
N(INDEX('PORTIFÓLIO'!$J$4:$Q$564,,MATCH(J$2,'PORTIFÓLIO'!$J$3:$Q$3,0))) *
N('PORTIFÓLIO'!$S$4:$S$564),
0
)
),
0)</f>
        <v>0</v>
      </c>
      <c r="K378" s="47">
        <f t="shared" si="9"/>
        <v>0</v>
      </c>
      <c r="L378" s="49">
        <f t="array" ref="L378">IFERROR(
SUM(
IF(
'PORTIFÓLIO'!$C$4:$C$564=$A378,
N(INDEX('PORTIFÓLIO'!$J$4:$Q$564,,MATCH(L$2,'PORTIFÓLIO'!$J$3:$Q$3,0))) *
N('PORTIFÓLIO'!$S$4:$S$564),
0
)
),
0)</f>
        <v>0</v>
      </c>
      <c r="M378" s="47">
        <f t="shared" si="10"/>
        <v>0</v>
      </c>
      <c r="N378" s="49">
        <f t="array" ref="N378">IFERROR(
SUM(
IF(
'PORTIFÓLIO'!$C$4:$C$564=$A378,
N(INDEX('PORTIFÓLIO'!$J$4:$Q$564,,MATCH(N$2,'PORTIFÓLIO'!$J$3:$Q$3,0))) *
N('PORTIFÓLIO'!$S$4:$S$564),
0
)
),
0)</f>
        <v>0</v>
      </c>
      <c r="O378" s="49">
        <f t="shared" si="11"/>
        <v>0</v>
      </c>
      <c r="P378" s="49">
        <f t="array" ref="P378">IFERROR(
SUM(
IF(
'PORTIFÓLIO'!$C$4:$C$564=$A378,
N(INDEX('PORTIFÓLIO'!$J$4:$Q$564,,MATCH(P$2,'PORTIFÓLIO'!$J$3:$Q$3,0))) *
N('PORTIFÓLIO'!$S$4:$S$564),
0
)
),
0)</f>
        <v>0</v>
      </c>
      <c r="Q378" s="49">
        <f t="shared" si="12"/>
        <v>0</v>
      </c>
      <c r="R378" s="49">
        <f t="shared" si="2"/>
        <v>0</v>
      </c>
      <c r="S378" s="49">
        <f t="shared" si="13"/>
        <v>0</v>
      </c>
    </row>
    <row r="379" ht="15.75" hidden="1" customHeight="1" outlineLevel="1">
      <c r="A379" s="42" t="str">
        <f>IFERROR(__xludf.DUMMYFUNCTION("""COMPUTED_VALUE"""),"Sallvare Complex")</f>
        <v>Sallvare Complex</v>
      </c>
      <c r="B379" s="49">
        <f t="array" ref="B379">IFERROR(
SUM(
IF(
'PORTIFÓLIO'!$C$4:$C$564=$A379,
N(INDEX('PORTIFÓLIO'!$J$4:$Q$564,,MATCH(B$2,'PORTIFÓLIO'!$J$3:$Q$3,0))) *
N('PORTIFÓLIO'!$S$4:$S$564),
0
)
),
0)</f>
        <v>0</v>
      </c>
      <c r="C379" s="49">
        <f t="shared" si="5"/>
        <v>0</v>
      </c>
      <c r="D379" s="49">
        <f t="array" ref="D379">IFERROR(
SUM(
IF(
'PORTIFÓLIO'!$C$4:$C$564=$A379,
N(INDEX('PORTIFÓLIO'!$J$4:$Q$564,,MATCH(D$2,'PORTIFÓLIO'!$J$3:$Q$3,0))) *
N('PORTIFÓLIO'!$S$4:$S$564),
0
)
),
0)</f>
        <v>0</v>
      </c>
      <c r="E379" s="49">
        <f t="shared" si="14"/>
        <v>0</v>
      </c>
      <c r="F379" s="49">
        <f t="array" ref="F379">IFERROR(
SUM(
IF(
'PORTIFÓLIO'!$C$4:$C$564=$A379,
N(INDEX('PORTIFÓLIO'!$J$4:$Q$564,,MATCH(F$2,'PORTIFÓLIO'!$J$3:$Q$3,0))) *
N('PORTIFÓLIO'!$S$4:$S$564),
0
)
),
0)</f>
        <v>0</v>
      </c>
      <c r="G379" s="47">
        <f t="shared" si="7"/>
        <v>0</v>
      </c>
      <c r="H379" s="49">
        <f t="array" ref="H379">IFERROR(
SUM(
IF(
'PORTIFÓLIO'!$C$4:$C$564=$A379,
N(INDEX('PORTIFÓLIO'!$J$4:$Q$564,,MATCH(H$2,'PORTIFÓLIO'!$J$3:$Q$3,0))) *
N('PORTIFÓLIO'!$S$4:$S$564),
0
)
),
0)</f>
        <v>0</v>
      </c>
      <c r="I379" s="47">
        <f t="shared" si="8"/>
        <v>0</v>
      </c>
      <c r="J379" s="49">
        <f t="array" ref="J379">IFERROR(
SUM(
IF(
'PORTIFÓLIO'!$C$4:$C$564=$A379,
N(INDEX('PORTIFÓLIO'!$J$4:$Q$564,,MATCH(J$2,'PORTIFÓLIO'!$J$3:$Q$3,0))) *
N('PORTIFÓLIO'!$S$4:$S$564),
0
)
),
0)</f>
        <v>0</v>
      </c>
      <c r="K379" s="47">
        <f t="shared" si="9"/>
        <v>0</v>
      </c>
      <c r="L379" s="49">
        <f t="array" ref="L379">IFERROR(
SUM(
IF(
'PORTIFÓLIO'!$C$4:$C$564=$A379,
N(INDEX('PORTIFÓLIO'!$J$4:$Q$564,,MATCH(L$2,'PORTIFÓLIO'!$J$3:$Q$3,0))) *
N('PORTIFÓLIO'!$S$4:$S$564),
0
)
),
0)</f>
        <v>0</v>
      </c>
      <c r="M379" s="47">
        <f t="shared" si="10"/>
        <v>0</v>
      </c>
      <c r="N379" s="49">
        <f t="array" ref="N379">IFERROR(
SUM(
IF(
'PORTIFÓLIO'!$C$4:$C$564=$A379,
N(INDEX('PORTIFÓLIO'!$J$4:$Q$564,,MATCH(N$2,'PORTIFÓLIO'!$J$3:$Q$3,0))) *
N('PORTIFÓLIO'!$S$4:$S$564),
0
)
),
0)</f>
        <v>0</v>
      </c>
      <c r="O379" s="49">
        <f t="shared" si="11"/>
        <v>0</v>
      </c>
      <c r="P379" s="49">
        <f t="array" ref="P379">IFERROR(
SUM(
IF(
'PORTIFÓLIO'!$C$4:$C$564=$A379,
N(INDEX('PORTIFÓLIO'!$J$4:$Q$564,,MATCH(P$2,'PORTIFÓLIO'!$J$3:$Q$3,0))) *
N('PORTIFÓLIO'!$S$4:$S$564),
0
)
),
0)</f>
        <v>0</v>
      </c>
      <c r="Q379" s="49">
        <f t="shared" si="12"/>
        <v>0</v>
      </c>
      <c r="R379" s="49">
        <f t="shared" si="2"/>
        <v>0</v>
      </c>
      <c r="S379" s="49">
        <f t="shared" si="13"/>
        <v>0</v>
      </c>
    </row>
    <row r="380" ht="15.75" hidden="1" customHeight="1" outlineLevel="1">
      <c r="A380" s="42" t="str">
        <f>IFERROR(__xludf.DUMMYFUNCTION("""COMPUTED_VALUE"""),"Zinctaus Complex")</f>
        <v>Zinctaus Complex</v>
      </c>
      <c r="B380" s="49">
        <f t="array" ref="B380">IFERROR(
SUM(
IF(
'PORTIFÓLIO'!$C$4:$C$564=$A380,
N(INDEX('PORTIFÓLIO'!$J$4:$Q$564,,MATCH(B$2,'PORTIFÓLIO'!$J$3:$Q$3,0))) *
N('PORTIFÓLIO'!$S$4:$S$564),
0
)
),
0)</f>
        <v>0</v>
      </c>
      <c r="C380" s="49">
        <f t="shared" si="5"/>
        <v>0</v>
      </c>
      <c r="D380" s="49">
        <f t="array" ref="D380">IFERROR(
SUM(
IF(
'PORTIFÓLIO'!$C$4:$C$564=$A380,
N(INDEX('PORTIFÓLIO'!$J$4:$Q$564,,MATCH(D$2,'PORTIFÓLIO'!$J$3:$Q$3,0))) *
N('PORTIFÓLIO'!$S$4:$S$564),
0
)
),
0)</f>
        <v>0</v>
      </c>
      <c r="E380" s="49">
        <f t="shared" si="14"/>
        <v>0</v>
      </c>
      <c r="F380" s="49">
        <f t="array" ref="F380">IFERROR(
SUM(
IF(
'PORTIFÓLIO'!$C$4:$C$564=$A380,
N(INDEX('PORTIFÓLIO'!$J$4:$Q$564,,MATCH(F$2,'PORTIFÓLIO'!$J$3:$Q$3,0))) *
N('PORTIFÓLIO'!$S$4:$S$564),
0
)
),
0)</f>
        <v>0</v>
      </c>
      <c r="G380" s="47">
        <f t="shared" si="7"/>
        <v>0</v>
      </c>
      <c r="H380" s="49">
        <f t="array" ref="H380">IFERROR(
SUM(
IF(
'PORTIFÓLIO'!$C$4:$C$564=$A380,
N(INDEX('PORTIFÓLIO'!$J$4:$Q$564,,MATCH(H$2,'PORTIFÓLIO'!$J$3:$Q$3,0))) *
N('PORTIFÓLIO'!$S$4:$S$564),
0
)
),
0)</f>
        <v>0</v>
      </c>
      <c r="I380" s="47">
        <f t="shared" si="8"/>
        <v>0</v>
      </c>
      <c r="J380" s="49">
        <f t="array" ref="J380">IFERROR(
SUM(
IF(
'PORTIFÓLIO'!$C$4:$C$564=$A380,
N(INDEX('PORTIFÓLIO'!$J$4:$Q$564,,MATCH(J$2,'PORTIFÓLIO'!$J$3:$Q$3,0))) *
N('PORTIFÓLIO'!$S$4:$S$564),
0
)
),
0)</f>
        <v>0</v>
      </c>
      <c r="K380" s="47">
        <f t="shared" si="9"/>
        <v>0</v>
      </c>
      <c r="L380" s="49">
        <f t="array" ref="L380">IFERROR(
SUM(
IF(
'PORTIFÓLIO'!$C$4:$C$564=$A380,
N(INDEX('PORTIFÓLIO'!$J$4:$Q$564,,MATCH(L$2,'PORTIFÓLIO'!$J$3:$Q$3,0))) *
N('PORTIFÓLIO'!$S$4:$S$564),
0
)
),
0)</f>
        <v>0</v>
      </c>
      <c r="M380" s="47">
        <f t="shared" si="10"/>
        <v>0</v>
      </c>
      <c r="N380" s="49">
        <f t="array" ref="N380">IFERROR(
SUM(
IF(
'PORTIFÓLIO'!$C$4:$C$564=$A380,
N(INDEX('PORTIFÓLIO'!$J$4:$Q$564,,MATCH(N$2,'PORTIFÓLIO'!$J$3:$Q$3,0))) *
N('PORTIFÓLIO'!$S$4:$S$564),
0
)
),
0)</f>
        <v>0</v>
      </c>
      <c r="O380" s="49">
        <f t="shared" si="11"/>
        <v>0</v>
      </c>
      <c r="P380" s="49">
        <f t="array" ref="P380">IFERROR(
SUM(
IF(
'PORTIFÓLIO'!$C$4:$C$564=$A380,
N(INDEX('PORTIFÓLIO'!$J$4:$Q$564,,MATCH(P$2,'PORTIFÓLIO'!$J$3:$Q$3,0))) *
N('PORTIFÓLIO'!$S$4:$S$564),
0
)
),
0)</f>
        <v>0</v>
      </c>
      <c r="Q380" s="49">
        <f t="shared" si="12"/>
        <v>0</v>
      </c>
      <c r="R380" s="49">
        <f t="shared" si="2"/>
        <v>0</v>
      </c>
      <c r="S380" s="49">
        <f t="shared" si="13"/>
        <v>0</v>
      </c>
    </row>
    <row r="381" ht="15.75" hidden="1" customHeight="1" outlineLevel="1">
      <c r="A381" s="42" t="str">
        <f>IFERROR(__xludf.DUMMYFUNCTION("""COMPUTED_VALUE"""),"Emezine Complex")</f>
        <v>Emezine Complex</v>
      </c>
      <c r="B381" s="49">
        <f t="array" ref="B381">IFERROR(
SUM(
IF(
'PORTIFÓLIO'!$C$4:$C$564=$A381,
N(INDEX('PORTIFÓLIO'!$J$4:$Q$564,,MATCH(B$2,'PORTIFÓLIO'!$J$3:$Q$3,0))) *
N('PORTIFÓLIO'!$S$4:$S$564),
0
)
),
0)</f>
        <v>0</v>
      </c>
      <c r="C381" s="49">
        <f t="shared" si="5"/>
        <v>0</v>
      </c>
      <c r="D381" s="49">
        <f t="array" ref="D381">IFERROR(
SUM(
IF(
'PORTIFÓLIO'!$C$4:$C$564=$A381,
N(INDEX('PORTIFÓLIO'!$J$4:$Q$564,,MATCH(D$2,'PORTIFÓLIO'!$J$3:$Q$3,0))) *
N('PORTIFÓLIO'!$S$4:$S$564),
0
)
),
0)</f>
        <v>0</v>
      </c>
      <c r="E381" s="49">
        <f t="shared" si="14"/>
        <v>0</v>
      </c>
      <c r="F381" s="49">
        <f t="array" ref="F381">IFERROR(
SUM(
IF(
'PORTIFÓLIO'!$C$4:$C$564=$A381,
N(INDEX('PORTIFÓLIO'!$J$4:$Q$564,,MATCH(F$2,'PORTIFÓLIO'!$J$3:$Q$3,0))) *
N('PORTIFÓLIO'!$S$4:$S$564),
0
)
),
0)</f>
        <v>0</v>
      </c>
      <c r="G381" s="47">
        <f t="shared" si="7"/>
        <v>0</v>
      </c>
      <c r="H381" s="49">
        <f t="array" ref="H381">IFERROR(
SUM(
IF(
'PORTIFÓLIO'!$C$4:$C$564=$A381,
N(INDEX('PORTIFÓLIO'!$J$4:$Q$564,,MATCH(H$2,'PORTIFÓLIO'!$J$3:$Q$3,0))) *
N('PORTIFÓLIO'!$S$4:$S$564),
0
)
),
0)</f>
        <v>0</v>
      </c>
      <c r="I381" s="47">
        <f t="shared" si="8"/>
        <v>0</v>
      </c>
      <c r="J381" s="49">
        <f t="array" ref="J381">IFERROR(
SUM(
IF(
'PORTIFÓLIO'!$C$4:$C$564=$A381,
N(INDEX('PORTIFÓLIO'!$J$4:$Q$564,,MATCH(J$2,'PORTIFÓLIO'!$J$3:$Q$3,0))) *
N('PORTIFÓLIO'!$S$4:$S$564),
0
)
),
0)</f>
        <v>0</v>
      </c>
      <c r="K381" s="47">
        <f t="shared" si="9"/>
        <v>0</v>
      </c>
      <c r="L381" s="49">
        <f t="array" ref="L381">IFERROR(
SUM(
IF(
'PORTIFÓLIO'!$C$4:$C$564=$A381,
N(INDEX('PORTIFÓLIO'!$J$4:$Q$564,,MATCH(L$2,'PORTIFÓLIO'!$J$3:$Q$3,0))) *
N('PORTIFÓLIO'!$S$4:$S$564),
0
)
),
0)</f>
        <v>0</v>
      </c>
      <c r="M381" s="47">
        <f t="shared" si="10"/>
        <v>0</v>
      </c>
      <c r="N381" s="49">
        <f t="array" ref="N381">IFERROR(
SUM(
IF(
'PORTIFÓLIO'!$C$4:$C$564=$A381,
N(INDEX('PORTIFÓLIO'!$J$4:$Q$564,,MATCH(N$2,'PORTIFÓLIO'!$J$3:$Q$3,0))) *
N('PORTIFÓLIO'!$S$4:$S$564),
0
)
),
0)</f>
        <v>0</v>
      </c>
      <c r="O381" s="49">
        <f t="shared" si="11"/>
        <v>0</v>
      </c>
      <c r="P381" s="49">
        <f t="array" ref="P381">IFERROR(
SUM(
IF(
'PORTIFÓLIO'!$C$4:$C$564=$A381,
N(INDEX('PORTIFÓLIO'!$J$4:$Q$564,,MATCH(P$2,'PORTIFÓLIO'!$J$3:$Q$3,0))) *
N('PORTIFÓLIO'!$S$4:$S$564),
0
)
),
0)</f>
        <v>0</v>
      </c>
      <c r="Q381" s="49">
        <f t="shared" si="12"/>
        <v>0</v>
      </c>
      <c r="R381" s="49">
        <f t="shared" si="2"/>
        <v>0</v>
      </c>
      <c r="S381" s="49">
        <f t="shared" si="13"/>
        <v>0</v>
      </c>
    </row>
    <row r="382" ht="15.75" hidden="1" customHeight="1" outlineLevel="1">
      <c r="A382" s="42" t="str">
        <f>IFERROR(__xludf.DUMMYFUNCTION("""COMPUTED_VALUE"""),"Boratus Complex")</f>
        <v>Boratus Complex</v>
      </c>
      <c r="B382" s="49">
        <f t="array" ref="B382">IFERROR(
SUM(
IF(
'PORTIFÓLIO'!$C$4:$C$564=$A382,
N(INDEX('PORTIFÓLIO'!$J$4:$Q$564,,MATCH(B$2,'PORTIFÓLIO'!$J$3:$Q$3,0))) *
N('PORTIFÓLIO'!$S$4:$S$564),
0
)
),
0)</f>
        <v>0</v>
      </c>
      <c r="C382" s="49">
        <f t="shared" si="5"/>
        <v>0</v>
      </c>
      <c r="D382" s="49">
        <f t="array" ref="D382">IFERROR(
SUM(
IF(
'PORTIFÓLIO'!$C$4:$C$564=$A382,
N(INDEX('PORTIFÓLIO'!$J$4:$Q$564,,MATCH(D$2,'PORTIFÓLIO'!$J$3:$Q$3,0))) *
N('PORTIFÓLIO'!$S$4:$S$564),
0
)
),
0)</f>
        <v>0</v>
      </c>
      <c r="E382" s="49">
        <f t="shared" si="14"/>
        <v>0</v>
      </c>
      <c r="F382" s="49">
        <f t="array" ref="F382">IFERROR(
SUM(
IF(
'PORTIFÓLIO'!$C$4:$C$564=$A382,
N(INDEX('PORTIFÓLIO'!$J$4:$Q$564,,MATCH(F$2,'PORTIFÓLIO'!$J$3:$Q$3,0))) *
N('PORTIFÓLIO'!$S$4:$S$564),
0
)
),
0)</f>
        <v>0</v>
      </c>
      <c r="G382" s="47">
        <f t="shared" si="7"/>
        <v>0</v>
      </c>
      <c r="H382" s="49">
        <f t="array" ref="H382">IFERROR(
SUM(
IF(
'PORTIFÓLIO'!$C$4:$C$564=$A382,
N(INDEX('PORTIFÓLIO'!$J$4:$Q$564,,MATCH(H$2,'PORTIFÓLIO'!$J$3:$Q$3,0))) *
N('PORTIFÓLIO'!$S$4:$S$564),
0
)
),
0)</f>
        <v>0</v>
      </c>
      <c r="I382" s="47">
        <f t="shared" si="8"/>
        <v>0</v>
      </c>
      <c r="J382" s="49">
        <f t="array" ref="J382">IFERROR(
SUM(
IF(
'PORTIFÓLIO'!$C$4:$C$564=$A382,
N(INDEX('PORTIFÓLIO'!$J$4:$Q$564,,MATCH(J$2,'PORTIFÓLIO'!$J$3:$Q$3,0))) *
N('PORTIFÓLIO'!$S$4:$S$564),
0
)
),
0)</f>
        <v>0</v>
      </c>
      <c r="K382" s="47">
        <f t="shared" si="9"/>
        <v>0</v>
      </c>
      <c r="L382" s="49">
        <f t="array" ref="L382">IFERROR(
SUM(
IF(
'PORTIFÓLIO'!$C$4:$C$564=$A382,
N(INDEX('PORTIFÓLIO'!$J$4:$Q$564,,MATCH(L$2,'PORTIFÓLIO'!$J$3:$Q$3,0))) *
N('PORTIFÓLIO'!$S$4:$S$564),
0
)
),
0)</f>
        <v>0</v>
      </c>
      <c r="M382" s="47">
        <f t="shared" si="10"/>
        <v>0</v>
      </c>
      <c r="N382" s="49">
        <f t="array" ref="N382">IFERROR(
SUM(
IF(
'PORTIFÓLIO'!$C$4:$C$564=$A382,
N(INDEX('PORTIFÓLIO'!$J$4:$Q$564,,MATCH(N$2,'PORTIFÓLIO'!$J$3:$Q$3,0))) *
N('PORTIFÓLIO'!$S$4:$S$564),
0
)
),
0)</f>
        <v>0</v>
      </c>
      <c r="O382" s="49">
        <f t="shared" si="11"/>
        <v>0</v>
      </c>
      <c r="P382" s="49">
        <f t="array" ref="P382">IFERROR(
SUM(
IF(
'PORTIFÓLIO'!$C$4:$C$564=$A382,
N(INDEX('PORTIFÓLIO'!$J$4:$Q$564,,MATCH(P$2,'PORTIFÓLIO'!$J$3:$Q$3,0))) *
N('PORTIFÓLIO'!$S$4:$S$564),
0
)
),
0)</f>
        <v>0</v>
      </c>
      <c r="Q382" s="49">
        <f t="shared" si="12"/>
        <v>0</v>
      </c>
      <c r="R382" s="49">
        <f t="shared" si="2"/>
        <v>0</v>
      </c>
      <c r="S382" s="49">
        <f t="shared" si="13"/>
        <v>0</v>
      </c>
    </row>
    <row r="383" ht="15.75" hidden="1" customHeight="1" outlineLevel="1">
      <c r="A383" s="42" t="str">
        <f>IFERROR(__xludf.DUMMYFUNCTION("""COMPUTED_VALUE"""),"Magmill Complex")</f>
        <v>Magmill Complex</v>
      </c>
      <c r="B383" s="49">
        <f t="array" ref="B383">IFERROR(
SUM(
IF(
'PORTIFÓLIO'!$C$4:$C$564=$A383,
N(INDEX('PORTIFÓLIO'!$J$4:$Q$564,,MATCH(B$2,'PORTIFÓLIO'!$J$3:$Q$3,0))) *
N('PORTIFÓLIO'!$S$4:$S$564),
0
)
),
0)</f>
        <v>0</v>
      </c>
      <c r="C383" s="49">
        <f t="shared" si="5"/>
        <v>0</v>
      </c>
      <c r="D383" s="49">
        <f t="array" ref="D383">IFERROR(
SUM(
IF(
'PORTIFÓLIO'!$C$4:$C$564=$A383,
N(INDEX('PORTIFÓLIO'!$J$4:$Q$564,,MATCH(D$2,'PORTIFÓLIO'!$J$3:$Q$3,0))) *
N('PORTIFÓLIO'!$S$4:$S$564),
0
)
),
0)</f>
        <v>0</v>
      </c>
      <c r="E383" s="49">
        <f t="shared" si="14"/>
        <v>0</v>
      </c>
      <c r="F383" s="49">
        <f t="array" ref="F383">IFERROR(
SUM(
IF(
'PORTIFÓLIO'!$C$4:$C$564=$A383,
N(INDEX('PORTIFÓLIO'!$J$4:$Q$564,,MATCH(F$2,'PORTIFÓLIO'!$J$3:$Q$3,0))) *
N('PORTIFÓLIO'!$S$4:$S$564),
0
)
),
0)</f>
        <v>0</v>
      </c>
      <c r="G383" s="47">
        <f t="shared" si="7"/>
        <v>0</v>
      </c>
      <c r="H383" s="49">
        <f t="array" ref="H383">IFERROR(
SUM(
IF(
'PORTIFÓLIO'!$C$4:$C$564=$A383,
N(INDEX('PORTIFÓLIO'!$J$4:$Q$564,,MATCH(H$2,'PORTIFÓLIO'!$J$3:$Q$3,0))) *
N('PORTIFÓLIO'!$S$4:$S$564),
0
)
),
0)</f>
        <v>0</v>
      </c>
      <c r="I383" s="47">
        <f t="shared" si="8"/>
        <v>0</v>
      </c>
      <c r="J383" s="49">
        <f t="array" ref="J383">IFERROR(
SUM(
IF(
'PORTIFÓLIO'!$C$4:$C$564=$A383,
N(INDEX('PORTIFÓLIO'!$J$4:$Q$564,,MATCH(J$2,'PORTIFÓLIO'!$J$3:$Q$3,0))) *
N('PORTIFÓLIO'!$S$4:$S$564),
0
)
),
0)</f>
        <v>0</v>
      </c>
      <c r="K383" s="47">
        <f t="shared" si="9"/>
        <v>0</v>
      </c>
      <c r="L383" s="49">
        <f t="array" ref="L383">IFERROR(
SUM(
IF(
'PORTIFÓLIO'!$C$4:$C$564=$A383,
N(INDEX('PORTIFÓLIO'!$J$4:$Q$564,,MATCH(L$2,'PORTIFÓLIO'!$J$3:$Q$3,0))) *
N('PORTIFÓLIO'!$S$4:$S$564),
0
)
),
0)</f>
        <v>0</v>
      </c>
      <c r="M383" s="47">
        <f t="shared" si="10"/>
        <v>0</v>
      </c>
      <c r="N383" s="49">
        <f t="array" ref="N383">IFERROR(
SUM(
IF(
'PORTIFÓLIO'!$C$4:$C$564=$A383,
N(INDEX('PORTIFÓLIO'!$J$4:$Q$564,,MATCH(N$2,'PORTIFÓLIO'!$J$3:$Q$3,0))) *
N('PORTIFÓLIO'!$S$4:$S$564),
0
)
),
0)</f>
        <v>0</v>
      </c>
      <c r="O383" s="49">
        <f t="shared" si="11"/>
        <v>0</v>
      </c>
      <c r="P383" s="49">
        <f t="array" ref="P383">IFERROR(
SUM(
IF(
'PORTIFÓLIO'!$C$4:$C$564=$A383,
N(INDEX('PORTIFÓLIO'!$J$4:$Q$564,,MATCH(P$2,'PORTIFÓLIO'!$J$3:$Q$3,0))) *
N('PORTIFÓLIO'!$S$4:$S$564),
0
)
),
0)</f>
        <v>0</v>
      </c>
      <c r="Q383" s="49">
        <f t="shared" si="12"/>
        <v>0</v>
      </c>
      <c r="R383" s="49">
        <f t="shared" si="2"/>
        <v>0</v>
      </c>
      <c r="S383" s="49">
        <f t="shared" si="13"/>
        <v>0</v>
      </c>
    </row>
    <row r="384" ht="15.75" hidden="1" customHeight="1" outlineLevel="1">
      <c r="A384" s="42" t="str">
        <f>IFERROR(__xludf.DUMMYFUNCTION("""COMPUTED_VALUE"""),"Brave K")</f>
        <v>Brave K</v>
      </c>
      <c r="B384" s="49">
        <f t="array" ref="B384">IFERROR(
SUM(
IF(
'PORTIFÓLIO'!$C$4:$C$564=$A384,
N(INDEX('PORTIFÓLIO'!$J$4:$Q$564,,MATCH(B$2,'PORTIFÓLIO'!$J$3:$Q$3,0))) *
N('PORTIFÓLIO'!$S$4:$S$564),
0
)
),
0)</f>
        <v>0</v>
      </c>
      <c r="C384" s="49">
        <f t="shared" si="5"/>
        <v>0</v>
      </c>
      <c r="D384" s="49">
        <f t="array" ref="D384">IFERROR(
SUM(
IF(
'PORTIFÓLIO'!$C$4:$C$564=$A384,
N(INDEX('PORTIFÓLIO'!$J$4:$Q$564,,MATCH(D$2,'PORTIFÓLIO'!$J$3:$Q$3,0))) *
N('PORTIFÓLIO'!$S$4:$S$564),
0
)
),
0)</f>
        <v>0</v>
      </c>
      <c r="E384" s="49">
        <f t="shared" si="14"/>
        <v>0</v>
      </c>
      <c r="F384" s="49">
        <f t="array" ref="F384">IFERROR(
SUM(
IF(
'PORTIFÓLIO'!$C$4:$C$564=$A384,
N(INDEX('PORTIFÓLIO'!$J$4:$Q$564,,MATCH(F$2,'PORTIFÓLIO'!$J$3:$Q$3,0))) *
N('PORTIFÓLIO'!$S$4:$S$564),
0
)
),
0)</f>
        <v>0</v>
      </c>
      <c r="G384" s="47">
        <f t="shared" si="7"/>
        <v>0</v>
      </c>
      <c r="H384" s="49">
        <f t="array" ref="H384">IFERROR(
SUM(
IF(
'PORTIFÓLIO'!$C$4:$C$564=$A384,
N(INDEX('PORTIFÓLIO'!$J$4:$Q$564,,MATCH(H$2,'PORTIFÓLIO'!$J$3:$Q$3,0))) *
N('PORTIFÓLIO'!$S$4:$S$564),
0
)
),
0)</f>
        <v>0</v>
      </c>
      <c r="I384" s="47">
        <f t="shared" si="8"/>
        <v>0</v>
      </c>
      <c r="J384" s="49">
        <f t="array" ref="J384">IFERROR(
SUM(
IF(
'PORTIFÓLIO'!$C$4:$C$564=$A384,
N(INDEX('PORTIFÓLIO'!$J$4:$Q$564,,MATCH(J$2,'PORTIFÓLIO'!$J$3:$Q$3,0))) *
N('PORTIFÓLIO'!$S$4:$S$564),
0
)
),
0)</f>
        <v>0</v>
      </c>
      <c r="K384" s="47">
        <f t="shared" si="9"/>
        <v>0</v>
      </c>
      <c r="L384" s="49">
        <f t="array" ref="L384">IFERROR(
SUM(
IF(
'PORTIFÓLIO'!$C$4:$C$564=$A384,
N(INDEX('PORTIFÓLIO'!$J$4:$Q$564,,MATCH(L$2,'PORTIFÓLIO'!$J$3:$Q$3,0))) *
N('PORTIFÓLIO'!$S$4:$S$564),
0
)
),
0)</f>
        <v>0</v>
      </c>
      <c r="M384" s="47">
        <f t="shared" si="10"/>
        <v>0</v>
      </c>
      <c r="N384" s="49">
        <f t="array" ref="N384">IFERROR(
SUM(
IF(
'PORTIFÓLIO'!$C$4:$C$564=$A384,
N(INDEX('PORTIFÓLIO'!$J$4:$Q$564,,MATCH(N$2,'PORTIFÓLIO'!$J$3:$Q$3,0))) *
N('PORTIFÓLIO'!$S$4:$S$564),
0
)
),
0)</f>
        <v>0</v>
      </c>
      <c r="O384" s="49">
        <f t="shared" si="11"/>
        <v>0</v>
      </c>
      <c r="P384" s="49">
        <f t="array" ref="P384">IFERROR(
SUM(
IF(
'PORTIFÓLIO'!$C$4:$C$564=$A384,
N(INDEX('PORTIFÓLIO'!$J$4:$Q$564,,MATCH(P$2,'PORTIFÓLIO'!$J$3:$Q$3,0))) *
N('PORTIFÓLIO'!$S$4:$S$564),
0
)
),
0)</f>
        <v>0</v>
      </c>
      <c r="Q384" s="49">
        <f t="shared" si="12"/>
        <v>0</v>
      </c>
      <c r="R384" s="49">
        <f t="shared" si="2"/>
        <v>0</v>
      </c>
      <c r="S384" s="49">
        <f t="shared" si="13"/>
        <v>0</v>
      </c>
    </row>
    <row r="385" ht="15.75" hidden="1" customHeight="1" outlineLevel="1">
      <c r="A385" s="42" t="str">
        <f>IFERROR(__xludf.DUMMYFUNCTION("""COMPUTED_VALUE"""),"Brave Max Up")</f>
        <v>Brave Max Up</v>
      </c>
      <c r="B385" s="49">
        <f t="array" ref="B385">IFERROR(
SUM(
IF(
'PORTIFÓLIO'!$C$4:$C$564=$A385,
N(INDEX('PORTIFÓLIO'!$J$4:$Q$564,,MATCH(B$2,'PORTIFÓLIO'!$J$3:$Q$3,0))) *
N('PORTIFÓLIO'!$S$4:$S$564),
0
)
),
0)</f>
        <v>0</v>
      </c>
      <c r="C385" s="49">
        <f t="shared" si="5"/>
        <v>0</v>
      </c>
      <c r="D385" s="49">
        <f t="array" ref="D385">IFERROR(
SUM(
IF(
'PORTIFÓLIO'!$C$4:$C$564=$A385,
N(INDEX('PORTIFÓLIO'!$J$4:$Q$564,,MATCH(D$2,'PORTIFÓLIO'!$J$3:$Q$3,0))) *
N('PORTIFÓLIO'!$S$4:$S$564),
0
)
),
0)</f>
        <v>0</v>
      </c>
      <c r="E385" s="49">
        <f t="shared" si="14"/>
        <v>0</v>
      </c>
      <c r="F385" s="49">
        <f t="array" ref="F385">IFERROR(
SUM(
IF(
'PORTIFÓLIO'!$C$4:$C$564=$A385,
N(INDEX('PORTIFÓLIO'!$J$4:$Q$564,,MATCH(F$2,'PORTIFÓLIO'!$J$3:$Q$3,0))) *
N('PORTIFÓLIO'!$S$4:$S$564),
0
)
),
0)</f>
        <v>0</v>
      </c>
      <c r="G385" s="47">
        <f t="shared" si="7"/>
        <v>0</v>
      </c>
      <c r="H385" s="49">
        <f t="array" ref="H385">IFERROR(
SUM(
IF(
'PORTIFÓLIO'!$C$4:$C$564=$A385,
N(INDEX('PORTIFÓLIO'!$J$4:$Q$564,,MATCH(H$2,'PORTIFÓLIO'!$J$3:$Q$3,0))) *
N('PORTIFÓLIO'!$S$4:$S$564),
0
)
),
0)</f>
        <v>0</v>
      </c>
      <c r="I385" s="47">
        <f t="shared" si="8"/>
        <v>0</v>
      </c>
      <c r="J385" s="49">
        <f t="array" ref="J385">IFERROR(
SUM(
IF(
'PORTIFÓLIO'!$C$4:$C$564=$A385,
N(INDEX('PORTIFÓLIO'!$J$4:$Q$564,,MATCH(J$2,'PORTIFÓLIO'!$J$3:$Q$3,0))) *
N('PORTIFÓLIO'!$S$4:$S$564),
0
)
),
0)</f>
        <v>0</v>
      </c>
      <c r="K385" s="47">
        <f t="shared" si="9"/>
        <v>0</v>
      </c>
      <c r="L385" s="49">
        <f t="array" ref="L385">IFERROR(
SUM(
IF(
'PORTIFÓLIO'!$C$4:$C$564=$A385,
N(INDEX('PORTIFÓLIO'!$J$4:$Q$564,,MATCH(L$2,'PORTIFÓLIO'!$J$3:$Q$3,0))) *
N('PORTIFÓLIO'!$S$4:$S$564),
0
)
),
0)</f>
        <v>0</v>
      </c>
      <c r="M385" s="47">
        <f t="shared" si="10"/>
        <v>0</v>
      </c>
      <c r="N385" s="49">
        <f t="array" ref="N385">IFERROR(
SUM(
IF(
'PORTIFÓLIO'!$C$4:$C$564=$A385,
N(INDEX('PORTIFÓLIO'!$J$4:$Q$564,,MATCH(N$2,'PORTIFÓLIO'!$J$3:$Q$3,0))) *
N('PORTIFÓLIO'!$S$4:$S$564),
0
)
),
0)</f>
        <v>0</v>
      </c>
      <c r="O385" s="49">
        <f t="shared" si="11"/>
        <v>0</v>
      </c>
      <c r="P385" s="49">
        <f t="array" ref="P385">IFERROR(
SUM(
IF(
'PORTIFÓLIO'!$C$4:$C$564=$A385,
N(INDEX('PORTIFÓLIO'!$J$4:$Q$564,,MATCH(P$2,'PORTIFÓLIO'!$J$3:$Q$3,0))) *
N('PORTIFÓLIO'!$S$4:$S$564),
0
)
),
0)</f>
        <v>0</v>
      </c>
      <c r="Q385" s="49">
        <f t="shared" si="12"/>
        <v>0</v>
      </c>
      <c r="R385" s="49">
        <f t="shared" si="2"/>
        <v>0</v>
      </c>
      <c r="S385" s="49">
        <f t="shared" si="13"/>
        <v>0</v>
      </c>
    </row>
    <row r="386" ht="15.75" hidden="1" customHeight="1" outlineLevel="1">
      <c r="A386" s="42" t="str">
        <f>IFERROR(__xludf.DUMMYFUNCTION("""COMPUTED_VALUE"""),"MAX RAIZ")</f>
        <v>MAX RAIZ</v>
      </c>
      <c r="B386" s="49">
        <f t="array" ref="B386">IFERROR(
SUM(
IF(
'PORTIFÓLIO'!$C$4:$C$564=$A386,
N(INDEX('PORTIFÓLIO'!$J$4:$Q$564,,MATCH(B$2,'PORTIFÓLIO'!$J$3:$Q$3,0))) *
N('PORTIFÓLIO'!$S$4:$S$564),
0
)
),
0)</f>
        <v>0</v>
      </c>
      <c r="C386" s="49">
        <f t="shared" si="5"/>
        <v>0</v>
      </c>
      <c r="D386" s="49">
        <f t="array" ref="D386">IFERROR(
SUM(
IF(
'PORTIFÓLIO'!$C$4:$C$564=$A386,
N(INDEX('PORTIFÓLIO'!$J$4:$Q$564,,MATCH(D$2,'PORTIFÓLIO'!$J$3:$Q$3,0))) *
N('PORTIFÓLIO'!$S$4:$S$564),
0
)
),
0)</f>
        <v>0</v>
      </c>
      <c r="E386" s="49">
        <f t="shared" si="14"/>
        <v>0</v>
      </c>
      <c r="F386" s="49">
        <f t="array" ref="F386">IFERROR(
SUM(
IF(
'PORTIFÓLIO'!$C$4:$C$564=$A386,
N(INDEX('PORTIFÓLIO'!$J$4:$Q$564,,MATCH(F$2,'PORTIFÓLIO'!$J$3:$Q$3,0))) *
N('PORTIFÓLIO'!$S$4:$S$564),
0
)
),
0)</f>
        <v>0</v>
      </c>
      <c r="G386" s="47">
        <f t="shared" si="7"/>
        <v>0</v>
      </c>
      <c r="H386" s="49">
        <f t="array" ref="H386">IFERROR(
SUM(
IF(
'PORTIFÓLIO'!$C$4:$C$564=$A386,
N(INDEX('PORTIFÓLIO'!$J$4:$Q$564,,MATCH(H$2,'PORTIFÓLIO'!$J$3:$Q$3,0))) *
N('PORTIFÓLIO'!$S$4:$S$564),
0
)
),
0)</f>
        <v>0</v>
      </c>
      <c r="I386" s="47">
        <f t="shared" si="8"/>
        <v>0</v>
      </c>
      <c r="J386" s="49">
        <f t="array" ref="J386">IFERROR(
SUM(
IF(
'PORTIFÓLIO'!$C$4:$C$564=$A386,
N(INDEX('PORTIFÓLIO'!$J$4:$Q$564,,MATCH(J$2,'PORTIFÓLIO'!$J$3:$Q$3,0))) *
N('PORTIFÓLIO'!$S$4:$S$564),
0
)
),
0)</f>
        <v>0</v>
      </c>
      <c r="K386" s="47">
        <f t="shared" si="9"/>
        <v>0</v>
      </c>
      <c r="L386" s="49">
        <f t="array" ref="L386">IFERROR(
SUM(
IF(
'PORTIFÓLIO'!$C$4:$C$564=$A386,
N(INDEX('PORTIFÓLIO'!$J$4:$Q$564,,MATCH(L$2,'PORTIFÓLIO'!$J$3:$Q$3,0))) *
N('PORTIFÓLIO'!$S$4:$S$564),
0
)
),
0)</f>
        <v>0</v>
      </c>
      <c r="M386" s="47">
        <f t="shared" si="10"/>
        <v>0</v>
      </c>
      <c r="N386" s="49">
        <f t="array" ref="N386">IFERROR(
SUM(
IF(
'PORTIFÓLIO'!$C$4:$C$564=$A386,
N(INDEX('PORTIFÓLIO'!$J$4:$Q$564,,MATCH(N$2,'PORTIFÓLIO'!$J$3:$Q$3,0))) *
N('PORTIFÓLIO'!$S$4:$S$564),
0
)
),
0)</f>
        <v>0</v>
      </c>
      <c r="O386" s="49">
        <f t="shared" si="11"/>
        <v>0</v>
      </c>
      <c r="P386" s="49">
        <f t="array" ref="P386">IFERROR(
SUM(
IF(
'PORTIFÓLIO'!$C$4:$C$564=$A386,
N(INDEX('PORTIFÓLIO'!$J$4:$Q$564,,MATCH(P$2,'PORTIFÓLIO'!$J$3:$Q$3,0))) *
N('PORTIFÓLIO'!$S$4:$S$564),
0
)
),
0)</f>
        <v>0</v>
      </c>
      <c r="Q386" s="49">
        <f t="shared" si="12"/>
        <v>0</v>
      </c>
      <c r="R386" s="49">
        <f t="shared" si="2"/>
        <v>0</v>
      </c>
      <c r="S386" s="49">
        <f t="shared" si="13"/>
        <v>0</v>
      </c>
    </row>
    <row r="387" ht="15.75" hidden="1" customHeight="1" outlineLevel="1">
      <c r="A387" s="42" t="str">
        <f>IFERROR(__xludf.DUMMYFUNCTION("""COMPUTED_VALUE"""),"Polyamine")</f>
        <v>Polyamine</v>
      </c>
      <c r="B387" s="49">
        <f t="array" ref="B387">IFERROR(
SUM(
IF(
'PORTIFÓLIO'!$C$4:$C$564=$A387,
N(INDEX('PORTIFÓLIO'!$J$4:$Q$564,,MATCH(B$2,'PORTIFÓLIO'!$J$3:$Q$3,0))) *
N('PORTIFÓLIO'!$S$4:$S$564),
0
)
),
0)</f>
        <v>0</v>
      </c>
      <c r="C387" s="49">
        <f t="shared" si="5"/>
        <v>0</v>
      </c>
      <c r="D387" s="49">
        <f t="array" ref="D387">IFERROR(
SUM(
IF(
'PORTIFÓLIO'!$C$4:$C$564=$A387,
N(INDEX('PORTIFÓLIO'!$J$4:$Q$564,,MATCH(D$2,'PORTIFÓLIO'!$J$3:$Q$3,0))) *
N('PORTIFÓLIO'!$S$4:$S$564),
0
)
),
0)</f>
        <v>0</v>
      </c>
      <c r="E387" s="49">
        <f t="shared" si="14"/>
        <v>0</v>
      </c>
      <c r="F387" s="49">
        <f t="array" ref="F387">IFERROR(
SUM(
IF(
'PORTIFÓLIO'!$C$4:$C$564=$A387,
N(INDEX('PORTIFÓLIO'!$J$4:$Q$564,,MATCH(F$2,'PORTIFÓLIO'!$J$3:$Q$3,0))) *
N('PORTIFÓLIO'!$S$4:$S$564),
0
)
),
0)</f>
        <v>0</v>
      </c>
      <c r="G387" s="47">
        <f t="shared" si="7"/>
        <v>0</v>
      </c>
      <c r="H387" s="49">
        <f t="array" ref="H387">IFERROR(
SUM(
IF(
'PORTIFÓLIO'!$C$4:$C$564=$A387,
N(INDEX('PORTIFÓLIO'!$J$4:$Q$564,,MATCH(H$2,'PORTIFÓLIO'!$J$3:$Q$3,0))) *
N('PORTIFÓLIO'!$S$4:$S$564),
0
)
),
0)</f>
        <v>0</v>
      </c>
      <c r="I387" s="47">
        <f t="shared" si="8"/>
        <v>0</v>
      </c>
      <c r="J387" s="49">
        <f t="array" ref="J387">IFERROR(
SUM(
IF(
'PORTIFÓLIO'!$C$4:$C$564=$A387,
N(INDEX('PORTIFÓLIO'!$J$4:$Q$564,,MATCH(J$2,'PORTIFÓLIO'!$J$3:$Q$3,0))) *
N('PORTIFÓLIO'!$S$4:$S$564),
0
)
),
0)</f>
        <v>0</v>
      </c>
      <c r="K387" s="47">
        <f t="shared" si="9"/>
        <v>0</v>
      </c>
      <c r="L387" s="49">
        <f t="array" ref="L387">IFERROR(
SUM(
IF(
'PORTIFÓLIO'!$C$4:$C$564=$A387,
N(INDEX('PORTIFÓLIO'!$J$4:$Q$564,,MATCH(L$2,'PORTIFÓLIO'!$J$3:$Q$3,0))) *
N('PORTIFÓLIO'!$S$4:$S$564),
0
)
),
0)</f>
        <v>0</v>
      </c>
      <c r="M387" s="47">
        <f t="shared" si="10"/>
        <v>0</v>
      </c>
      <c r="N387" s="49">
        <f t="array" ref="N387">IFERROR(
SUM(
IF(
'PORTIFÓLIO'!$C$4:$C$564=$A387,
N(INDEX('PORTIFÓLIO'!$J$4:$Q$564,,MATCH(N$2,'PORTIFÓLIO'!$J$3:$Q$3,0))) *
N('PORTIFÓLIO'!$S$4:$S$564),
0
)
),
0)</f>
        <v>0</v>
      </c>
      <c r="O387" s="49">
        <f t="shared" si="11"/>
        <v>0</v>
      </c>
      <c r="P387" s="49">
        <f t="array" ref="P387">IFERROR(
SUM(
IF(
'PORTIFÓLIO'!$C$4:$C$564=$A387,
N(INDEX('PORTIFÓLIO'!$J$4:$Q$564,,MATCH(P$2,'PORTIFÓLIO'!$J$3:$Q$3,0))) *
N('PORTIFÓLIO'!$S$4:$S$564),
0
)
),
0)</f>
        <v>0</v>
      </c>
      <c r="Q387" s="49">
        <f t="shared" si="12"/>
        <v>0</v>
      </c>
      <c r="R387" s="49">
        <f t="shared" si="2"/>
        <v>0</v>
      </c>
      <c r="S387" s="49">
        <f t="shared" si="13"/>
        <v>0</v>
      </c>
    </row>
    <row r="388" ht="15.75" hidden="1" customHeight="1" outlineLevel="1">
      <c r="A388" s="42" t="str">
        <f>IFERROR(__xludf.DUMMYFUNCTION("""COMPUTED_VALUE"""),"Sulfato de Magnésio")</f>
        <v>Sulfato de Magnésio</v>
      </c>
      <c r="B388" s="49">
        <f t="array" ref="B388">IFERROR(
SUM(
IF(
'PORTIFÓLIO'!$C$4:$C$564=$A388,
N(INDEX('PORTIFÓLIO'!$J$4:$Q$564,,MATCH(B$2,'PORTIFÓLIO'!$J$3:$Q$3,0))) *
N('PORTIFÓLIO'!$S$4:$S$564),
0
)
),
0)</f>
        <v>0</v>
      </c>
      <c r="C388" s="49">
        <f t="shared" si="5"/>
        <v>0</v>
      </c>
      <c r="D388" s="49">
        <f t="array" ref="D388">IFERROR(
SUM(
IF(
'PORTIFÓLIO'!$C$4:$C$564=$A388,
N(INDEX('PORTIFÓLIO'!$J$4:$Q$564,,MATCH(D$2,'PORTIFÓLIO'!$J$3:$Q$3,0))) *
N('PORTIFÓLIO'!$S$4:$S$564),
0
)
),
0)</f>
        <v>0</v>
      </c>
      <c r="E388" s="49">
        <f t="shared" si="14"/>
        <v>0</v>
      </c>
      <c r="F388" s="49">
        <f t="array" ref="F388">IFERROR(
SUM(
IF(
'PORTIFÓLIO'!$C$4:$C$564=$A388,
N(INDEX('PORTIFÓLIO'!$J$4:$Q$564,,MATCH(F$2,'PORTIFÓLIO'!$J$3:$Q$3,0))) *
N('PORTIFÓLIO'!$S$4:$S$564),
0
)
),
0)</f>
        <v>0</v>
      </c>
      <c r="G388" s="47">
        <f t="shared" si="7"/>
        <v>0</v>
      </c>
      <c r="H388" s="49">
        <f t="array" ref="H388">IFERROR(
SUM(
IF(
'PORTIFÓLIO'!$C$4:$C$564=$A388,
N(INDEX('PORTIFÓLIO'!$J$4:$Q$564,,MATCH(H$2,'PORTIFÓLIO'!$J$3:$Q$3,0))) *
N('PORTIFÓLIO'!$S$4:$S$564),
0
)
),
0)</f>
        <v>0</v>
      </c>
      <c r="I388" s="47">
        <f t="shared" si="8"/>
        <v>0</v>
      </c>
      <c r="J388" s="49">
        <f t="array" ref="J388">IFERROR(
SUM(
IF(
'PORTIFÓLIO'!$C$4:$C$564=$A388,
N(INDEX('PORTIFÓLIO'!$J$4:$Q$564,,MATCH(J$2,'PORTIFÓLIO'!$J$3:$Q$3,0))) *
N('PORTIFÓLIO'!$S$4:$S$564),
0
)
),
0)</f>
        <v>0</v>
      </c>
      <c r="K388" s="47">
        <f t="shared" si="9"/>
        <v>0</v>
      </c>
      <c r="L388" s="49">
        <f t="array" ref="L388">IFERROR(
SUM(
IF(
'PORTIFÓLIO'!$C$4:$C$564=$A388,
N(INDEX('PORTIFÓLIO'!$J$4:$Q$564,,MATCH(L$2,'PORTIFÓLIO'!$J$3:$Q$3,0))) *
N('PORTIFÓLIO'!$S$4:$S$564),
0
)
),
0)</f>
        <v>0</v>
      </c>
      <c r="M388" s="47">
        <f t="shared" si="10"/>
        <v>0</v>
      </c>
      <c r="N388" s="49">
        <f t="array" ref="N388">IFERROR(
SUM(
IF(
'PORTIFÓLIO'!$C$4:$C$564=$A388,
N(INDEX('PORTIFÓLIO'!$J$4:$Q$564,,MATCH(N$2,'PORTIFÓLIO'!$J$3:$Q$3,0))) *
N('PORTIFÓLIO'!$S$4:$S$564),
0
)
),
0)</f>
        <v>0</v>
      </c>
      <c r="O388" s="49">
        <f t="shared" si="11"/>
        <v>0</v>
      </c>
      <c r="P388" s="49">
        <f t="array" ref="P388">IFERROR(
SUM(
IF(
'PORTIFÓLIO'!$C$4:$C$564=$A388,
N(INDEX('PORTIFÓLIO'!$J$4:$Q$564,,MATCH(P$2,'PORTIFÓLIO'!$J$3:$Q$3,0))) *
N('PORTIFÓLIO'!$S$4:$S$564),
0
)
),
0)</f>
        <v>0</v>
      </c>
      <c r="Q388" s="49">
        <f t="shared" si="12"/>
        <v>0</v>
      </c>
      <c r="R388" s="49">
        <f t="shared" si="2"/>
        <v>0</v>
      </c>
      <c r="S388" s="49">
        <f t="shared" si="13"/>
        <v>0</v>
      </c>
    </row>
    <row r="389" ht="15.75" hidden="1" customHeight="1" outlineLevel="1">
      <c r="A389" s="42" t="str">
        <f>IFERROR(__xludf.DUMMYFUNCTION("""COMPUTED_VALUE"""),"Map Purificado")</f>
        <v>Map Purificado</v>
      </c>
      <c r="B389" s="49">
        <f t="array" ref="B389">IFERROR(
SUM(
IF(
'PORTIFÓLIO'!$C$4:$C$564=$A389,
N(INDEX('PORTIFÓLIO'!$J$4:$Q$564,,MATCH(B$2,'PORTIFÓLIO'!$J$3:$Q$3,0))) *
N('PORTIFÓLIO'!$S$4:$S$564),
0
)
),
0)</f>
        <v>0</v>
      </c>
      <c r="C389" s="49">
        <f t="shared" si="5"/>
        <v>0</v>
      </c>
      <c r="D389" s="49">
        <f t="array" ref="D389">IFERROR(
SUM(
IF(
'PORTIFÓLIO'!$C$4:$C$564=$A389,
N(INDEX('PORTIFÓLIO'!$J$4:$Q$564,,MATCH(D$2,'PORTIFÓLIO'!$J$3:$Q$3,0))) *
N('PORTIFÓLIO'!$S$4:$S$564),
0
)
),
0)</f>
        <v>0</v>
      </c>
      <c r="E389" s="49">
        <f t="shared" si="14"/>
        <v>0</v>
      </c>
      <c r="F389" s="49">
        <f t="array" ref="F389">IFERROR(
SUM(
IF(
'PORTIFÓLIO'!$C$4:$C$564=$A389,
N(INDEX('PORTIFÓLIO'!$J$4:$Q$564,,MATCH(F$2,'PORTIFÓLIO'!$J$3:$Q$3,0))) *
N('PORTIFÓLIO'!$S$4:$S$564),
0
)
),
0)</f>
        <v>0</v>
      </c>
      <c r="G389" s="47">
        <f t="shared" si="7"/>
        <v>0</v>
      </c>
      <c r="H389" s="49">
        <f t="array" ref="H389">IFERROR(
SUM(
IF(
'PORTIFÓLIO'!$C$4:$C$564=$A389,
N(INDEX('PORTIFÓLIO'!$J$4:$Q$564,,MATCH(H$2,'PORTIFÓLIO'!$J$3:$Q$3,0))) *
N('PORTIFÓLIO'!$S$4:$S$564),
0
)
),
0)</f>
        <v>0</v>
      </c>
      <c r="I389" s="47">
        <f t="shared" si="8"/>
        <v>0</v>
      </c>
      <c r="J389" s="49">
        <f t="array" ref="J389">IFERROR(
SUM(
IF(
'PORTIFÓLIO'!$C$4:$C$564=$A389,
N(INDEX('PORTIFÓLIO'!$J$4:$Q$564,,MATCH(J$2,'PORTIFÓLIO'!$J$3:$Q$3,0))) *
N('PORTIFÓLIO'!$S$4:$S$564),
0
)
),
0)</f>
        <v>0</v>
      </c>
      <c r="K389" s="47">
        <f t="shared" si="9"/>
        <v>0</v>
      </c>
      <c r="L389" s="49">
        <f t="array" ref="L389">IFERROR(
SUM(
IF(
'PORTIFÓLIO'!$C$4:$C$564=$A389,
N(INDEX('PORTIFÓLIO'!$J$4:$Q$564,,MATCH(L$2,'PORTIFÓLIO'!$J$3:$Q$3,0))) *
N('PORTIFÓLIO'!$S$4:$S$564),
0
)
),
0)</f>
        <v>0</v>
      </c>
      <c r="M389" s="47">
        <f t="shared" si="10"/>
        <v>0</v>
      </c>
      <c r="N389" s="49">
        <f t="array" ref="N389">IFERROR(
SUM(
IF(
'PORTIFÓLIO'!$C$4:$C$564=$A389,
N(INDEX('PORTIFÓLIO'!$J$4:$Q$564,,MATCH(N$2,'PORTIFÓLIO'!$J$3:$Q$3,0))) *
N('PORTIFÓLIO'!$S$4:$S$564),
0
)
),
0)</f>
        <v>0</v>
      </c>
      <c r="O389" s="49">
        <f t="shared" si="11"/>
        <v>0</v>
      </c>
      <c r="P389" s="49">
        <f t="array" ref="P389">IFERROR(
SUM(
IF(
'PORTIFÓLIO'!$C$4:$C$564=$A389,
N(INDEX('PORTIFÓLIO'!$J$4:$Q$564,,MATCH(P$2,'PORTIFÓLIO'!$J$3:$Q$3,0))) *
N('PORTIFÓLIO'!$S$4:$S$564),
0
)
),
0)</f>
        <v>0</v>
      </c>
      <c r="Q389" s="49">
        <f t="shared" si="12"/>
        <v>0</v>
      </c>
      <c r="R389" s="49">
        <f t="shared" si="2"/>
        <v>0</v>
      </c>
      <c r="S389" s="49">
        <f t="shared" si="13"/>
        <v>0</v>
      </c>
    </row>
    <row r="390" ht="15.75" hidden="1" customHeight="1" outlineLevel="1">
      <c r="A390" s="42" t="str">
        <f>IFERROR(__xludf.DUMMYFUNCTION("""COMPUTED_VALUE"""),"MANGAN 10")</f>
        <v>MANGAN 10</v>
      </c>
      <c r="B390" s="49">
        <f t="array" ref="B390">IFERROR(
SUM(
IF(
'PORTIFÓLIO'!$C$4:$C$564=$A390,
N(INDEX('PORTIFÓLIO'!$J$4:$Q$564,,MATCH(B$2,'PORTIFÓLIO'!$J$3:$Q$3,0))) *
N('PORTIFÓLIO'!$S$4:$S$564),
0
)
),
0)</f>
        <v>0</v>
      </c>
      <c r="C390" s="49">
        <f t="shared" si="5"/>
        <v>0</v>
      </c>
      <c r="D390" s="49">
        <f t="array" ref="D390">IFERROR(
SUM(
IF(
'PORTIFÓLIO'!$C$4:$C$564=$A390,
N(INDEX('PORTIFÓLIO'!$J$4:$Q$564,,MATCH(D$2,'PORTIFÓLIO'!$J$3:$Q$3,0))) *
N('PORTIFÓLIO'!$S$4:$S$564),
0
)
),
0)</f>
        <v>0</v>
      </c>
      <c r="E390" s="49">
        <f t="shared" si="14"/>
        <v>0</v>
      </c>
      <c r="F390" s="49">
        <f t="array" ref="F390">IFERROR(
SUM(
IF(
'PORTIFÓLIO'!$C$4:$C$564=$A390,
N(INDEX('PORTIFÓLIO'!$J$4:$Q$564,,MATCH(F$2,'PORTIFÓLIO'!$J$3:$Q$3,0))) *
N('PORTIFÓLIO'!$S$4:$S$564),
0
)
),
0)</f>
        <v>0</v>
      </c>
      <c r="G390" s="47">
        <f t="shared" si="7"/>
        <v>0</v>
      </c>
      <c r="H390" s="49">
        <f t="array" ref="H390">IFERROR(
SUM(
IF(
'PORTIFÓLIO'!$C$4:$C$564=$A390,
N(INDEX('PORTIFÓLIO'!$J$4:$Q$564,,MATCH(H$2,'PORTIFÓLIO'!$J$3:$Q$3,0))) *
N('PORTIFÓLIO'!$S$4:$S$564),
0
)
),
0)</f>
        <v>0</v>
      </c>
      <c r="I390" s="47">
        <f t="shared" si="8"/>
        <v>0</v>
      </c>
      <c r="J390" s="49">
        <f t="array" ref="J390">IFERROR(
SUM(
IF(
'PORTIFÓLIO'!$C$4:$C$564=$A390,
N(INDEX('PORTIFÓLIO'!$J$4:$Q$564,,MATCH(J$2,'PORTIFÓLIO'!$J$3:$Q$3,0))) *
N('PORTIFÓLIO'!$S$4:$S$564),
0
)
),
0)</f>
        <v>0</v>
      </c>
      <c r="K390" s="47">
        <f t="shared" si="9"/>
        <v>0</v>
      </c>
      <c r="L390" s="49">
        <f t="array" ref="L390">IFERROR(
SUM(
IF(
'PORTIFÓLIO'!$C$4:$C$564=$A390,
N(INDEX('PORTIFÓLIO'!$J$4:$Q$564,,MATCH(L$2,'PORTIFÓLIO'!$J$3:$Q$3,0))) *
N('PORTIFÓLIO'!$S$4:$S$564),
0
)
),
0)</f>
        <v>0</v>
      </c>
      <c r="M390" s="47">
        <f t="shared" si="10"/>
        <v>0</v>
      </c>
      <c r="N390" s="49">
        <f t="array" ref="N390">IFERROR(
SUM(
IF(
'PORTIFÓLIO'!$C$4:$C$564=$A390,
N(INDEX('PORTIFÓLIO'!$J$4:$Q$564,,MATCH(N$2,'PORTIFÓLIO'!$J$3:$Q$3,0))) *
N('PORTIFÓLIO'!$S$4:$S$564),
0
)
),
0)</f>
        <v>0</v>
      </c>
      <c r="O390" s="49">
        <f t="shared" si="11"/>
        <v>0</v>
      </c>
      <c r="P390" s="49">
        <f t="array" ref="P390">IFERROR(
SUM(
IF(
'PORTIFÓLIO'!$C$4:$C$564=$A390,
N(INDEX('PORTIFÓLIO'!$J$4:$Q$564,,MATCH(P$2,'PORTIFÓLIO'!$J$3:$Q$3,0))) *
N('PORTIFÓLIO'!$S$4:$S$564),
0
)
),
0)</f>
        <v>0</v>
      </c>
      <c r="Q390" s="49">
        <f t="shared" si="12"/>
        <v>0</v>
      </c>
      <c r="R390" s="49">
        <f t="shared" si="2"/>
        <v>0</v>
      </c>
      <c r="S390" s="49">
        <f t="shared" si="13"/>
        <v>0</v>
      </c>
    </row>
    <row r="391" ht="15.75" hidden="1" customHeight="1" outlineLevel="1">
      <c r="A391" s="42" t="str">
        <f>IFERROR(__xludf.DUMMYFUNCTION("""COMPUTED_VALUE"""),"NHT ZINCO")</f>
        <v>NHT ZINCO</v>
      </c>
      <c r="B391" s="49">
        <f t="array" ref="B391">IFERROR(
SUM(
IF(
'PORTIFÓLIO'!$C$4:$C$564=$A391,
N(INDEX('PORTIFÓLIO'!$J$4:$Q$564,,MATCH(B$2,'PORTIFÓLIO'!$J$3:$Q$3,0))) *
N('PORTIFÓLIO'!$S$4:$S$564),
0
)
),
0)</f>
        <v>0</v>
      </c>
      <c r="C391" s="49">
        <f t="shared" si="5"/>
        <v>0</v>
      </c>
      <c r="D391" s="49">
        <f t="array" ref="D391">IFERROR(
SUM(
IF(
'PORTIFÓLIO'!$C$4:$C$564=$A391,
N(INDEX('PORTIFÓLIO'!$J$4:$Q$564,,MATCH(D$2,'PORTIFÓLIO'!$J$3:$Q$3,0))) *
N('PORTIFÓLIO'!$S$4:$S$564),
0
)
),
0)</f>
        <v>0</v>
      </c>
      <c r="E391" s="49">
        <f t="shared" si="14"/>
        <v>0</v>
      </c>
      <c r="F391" s="49">
        <f t="array" ref="F391">IFERROR(
SUM(
IF(
'PORTIFÓLIO'!$C$4:$C$564=$A391,
N(INDEX('PORTIFÓLIO'!$J$4:$Q$564,,MATCH(F$2,'PORTIFÓLIO'!$J$3:$Q$3,0))) *
N('PORTIFÓLIO'!$S$4:$S$564),
0
)
),
0)</f>
        <v>0</v>
      </c>
      <c r="G391" s="47">
        <f t="shared" si="7"/>
        <v>0</v>
      </c>
      <c r="H391" s="49">
        <f t="array" ref="H391">IFERROR(
SUM(
IF(
'PORTIFÓLIO'!$C$4:$C$564=$A391,
N(INDEX('PORTIFÓLIO'!$J$4:$Q$564,,MATCH(H$2,'PORTIFÓLIO'!$J$3:$Q$3,0))) *
N('PORTIFÓLIO'!$S$4:$S$564),
0
)
),
0)</f>
        <v>0</v>
      </c>
      <c r="I391" s="47">
        <f t="shared" si="8"/>
        <v>0</v>
      </c>
      <c r="J391" s="49">
        <f t="array" ref="J391">IFERROR(
SUM(
IF(
'PORTIFÓLIO'!$C$4:$C$564=$A391,
N(INDEX('PORTIFÓLIO'!$J$4:$Q$564,,MATCH(J$2,'PORTIFÓLIO'!$J$3:$Q$3,0))) *
N('PORTIFÓLIO'!$S$4:$S$564),
0
)
),
0)</f>
        <v>0</v>
      </c>
      <c r="K391" s="47">
        <f t="shared" si="9"/>
        <v>0</v>
      </c>
      <c r="L391" s="49">
        <f t="array" ref="L391">IFERROR(
SUM(
IF(
'PORTIFÓLIO'!$C$4:$C$564=$A391,
N(INDEX('PORTIFÓLIO'!$J$4:$Q$564,,MATCH(L$2,'PORTIFÓLIO'!$J$3:$Q$3,0))) *
N('PORTIFÓLIO'!$S$4:$S$564),
0
)
),
0)</f>
        <v>0</v>
      </c>
      <c r="M391" s="47">
        <f t="shared" si="10"/>
        <v>0</v>
      </c>
      <c r="N391" s="49">
        <f t="array" ref="N391">IFERROR(
SUM(
IF(
'PORTIFÓLIO'!$C$4:$C$564=$A391,
N(INDEX('PORTIFÓLIO'!$J$4:$Q$564,,MATCH(N$2,'PORTIFÓLIO'!$J$3:$Q$3,0))) *
N('PORTIFÓLIO'!$S$4:$S$564),
0
)
),
0)</f>
        <v>0</v>
      </c>
      <c r="O391" s="49">
        <f t="shared" si="11"/>
        <v>0</v>
      </c>
      <c r="P391" s="49">
        <f t="array" ref="P391">IFERROR(
SUM(
IF(
'PORTIFÓLIO'!$C$4:$C$564=$A391,
N(INDEX('PORTIFÓLIO'!$J$4:$Q$564,,MATCH(P$2,'PORTIFÓLIO'!$J$3:$Q$3,0))) *
N('PORTIFÓLIO'!$S$4:$S$564),
0
)
),
0)</f>
        <v>0</v>
      </c>
      <c r="Q391" s="49">
        <f t="shared" si="12"/>
        <v>0</v>
      </c>
      <c r="R391" s="49">
        <f t="shared" si="2"/>
        <v>0</v>
      </c>
      <c r="S391" s="49">
        <f t="shared" si="13"/>
        <v>0</v>
      </c>
    </row>
    <row r="392" ht="15.75" hidden="1" customHeight="1" outlineLevel="1">
      <c r="A392" s="42" t="str">
        <f>IFERROR(__xludf.DUMMYFUNCTION("""COMPUTED_VALUE"""),"KELLUS CUPPER")</f>
        <v>KELLUS CUPPER</v>
      </c>
      <c r="B392" s="49">
        <f t="array" ref="B392">IFERROR(
SUM(
IF(
'PORTIFÓLIO'!$C$4:$C$564=$A392,
N(INDEX('PORTIFÓLIO'!$J$4:$Q$564,,MATCH(B$2,'PORTIFÓLIO'!$J$3:$Q$3,0))) *
N('PORTIFÓLIO'!$S$4:$S$564),
0
)
),
0)</f>
        <v>0</v>
      </c>
      <c r="C392" s="49">
        <f t="shared" si="5"/>
        <v>0</v>
      </c>
      <c r="D392" s="49">
        <f t="array" ref="D392">IFERROR(
SUM(
IF(
'PORTIFÓLIO'!$C$4:$C$564=$A392,
N(INDEX('PORTIFÓLIO'!$J$4:$Q$564,,MATCH(D$2,'PORTIFÓLIO'!$J$3:$Q$3,0))) *
N('PORTIFÓLIO'!$S$4:$S$564),
0
)
),
0)</f>
        <v>0</v>
      </c>
      <c r="E392" s="49">
        <f t="shared" si="14"/>
        <v>0</v>
      </c>
      <c r="F392" s="49">
        <f t="array" ref="F392">IFERROR(
SUM(
IF(
'PORTIFÓLIO'!$C$4:$C$564=$A392,
N(INDEX('PORTIFÓLIO'!$J$4:$Q$564,,MATCH(F$2,'PORTIFÓLIO'!$J$3:$Q$3,0))) *
N('PORTIFÓLIO'!$S$4:$S$564),
0
)
),
0)</f>
        <v>0</v>
      </c>
      <c r="G392" s="47">
        <f t="shared" si="7"/>
        <v>0</v>
      </c>
      <c r="H392" s="49">
        <f t="array" ref="H392">IFERROR(
SUM(
IF(
'PORTIFÓLIO'!$C$4:$C$564=$A392,
N(INDEX('PORTIFÓLIO'!$J$4:$Q$564,,MATCH(H$2,'PORTIFÓLIO'!$J$3:$Q$3,0))) *
N('PORTIFÓLIO'!$S$4:$S$564),
0
)
),
0)</f>
        <v>0</v>
      </c>
      <c r="I392" s="47">
        <f t="shared" si="8"/>
        <v>0</v>
      </c>
      <c r="J392" s="49">
        <f t="array" ref="J392">IFERROR(
SUM(
IF(
'PORTIFÓLIO'!$C$4:$C$564=$A392,
N(INDEX('PORTIFÓLIO'!$J$4:$Q$564,,MATCH(J$2,'PORTIFÓLIO'!$J$3:$Q$3,0))) *
N('PORTIFÓLIO'!$S$4:$S$564),
0
)
),
0)</f>
        <v>0</v>
      </c>
      <c r="K392" s="47">
        <f t="shared" si="9"/>
        <v>0</v>
      </c>
      <c r="L392" s="49">
        <f t="array" ref="L392">IFERROR(
SUM(
IF(
'PORTIFÓLIO'!$C$4:$C$564=$A392,
N(INDEX('PORTIFÓLIO'!$J$4:$Q$564,,MATCH(L$2,'PORTIFÓLIO'!$J$3:$Q$3,0))) *
N('PORTIFÓLIO'!$S$4:$S$564),
0
)
),
0)</f>
        <v>0</v>
      </c>
      <c r="M392" s="47">
        <f t="shared" si="10"/>
        <v>0</v>
      </c>
      <c r="N392" s="49">
        <f t="array" ref="N392">IFERROR(
SUM(
IF(
'PORTIFÓLIO'!$C$4:$C$564=$A392,
N(INDEX('PORTIFÓLIO'!$J$4:$Q$564,,MATCH(N$2,'PORTIFÓLIO'!$J$3:$Q$3,0))) *
N('PORTIFÓLIO'!$S$4:$S$564),
0
)
),
0)</f>
        <v>0</v>
      </c>
      <c r="O392" s="49">
        <f t="shared" si="11"/>
        <v>0</v>
      </c>
      <c r="P392" s="49">
        <f t="array" ref="P392">IFERROR(
SUM(
IF(
'PORTIFÓLIO'!$C$4:$C$564=$A392,
N(INDEX('PORTIFÓLIO'!$J$4:$Q$564,,MATCH(P$2,'PORTIFÓLIO'!$J$3:$Q$3,0))) *
N('PORTIFÓLIO'!$S$4:$S$564),
0
)
),
0)</f>
        <v>0</v>
      </c>
      <c r="Q392" s="49">
        <f t="shared" si="12"/>
        <v>0</v>
      </c>
      <c r="R392" s="49">
        <f t="shared" si="2"/>
        <v>0</v>
      </c>
      <c r="S392" s="49">
        <f t="shared" si="13"/>
        <v>0</v>
      </c>
    </row>
    <row r="393" ht="15.75" hidden="1" customHeight="1" outlineLevel="1">
      <c r="A393" s="42" t="str">
        <f>IFERROR(__xludf.DUMMYFUNCTION("""COMPUTED_VALUE"""),"MOLIBIDENIO 16")</f>
        <v>MOLIBIDENIO 16</v>
      </c>
      <c r="B393" s="49">
        <f t="array" ref="B393">IFERROR(
SUM(
IF(
'PORTIFÓLIO'!$C$4:$C$564=$A393,
N(INDEX('PORTIFÓLIO'!$J$4:$Q$564,,MATCH(B$2,'PORTIFÓLIO'!$J$3:$Q$3,0))) *
N('PORTIFÓLIO'!$S$4:$S$564),
0
)
),
0)</f>
        <v>0</v>
      </c>
      <c r="C393" s="49">
        <f t="shared" si="5"/>
        <v>0</v>
      </c>
      <c r="D393" s="49">
        <f t="array" ref="D393">IFERROR(
SUM(
IF(
'PORTIFÓLIO'!$C$4:$C$564=$A393,
N(INDEX('PORTIFÓLIO'!$J$4:$Q$564,,MATCH(D$2,'PORTIFÓLIO'!$J$3:$Q$3,0))) *
N('PORTIFÓLIO'!$S$4:$S$564),
0
)
),
0)</f>
        <v>0</v>
      </c>
      <c r="E393" s="49">
        <f t="shared" si="14"/>
        <v>0</v>
      </c>
      <c r="F393" s="49">
        <f t="array" ref="F393">IFERROR(
SUM(
IF(
'PORTIFÓLIO'!$C$4:$C$564=$A393,
N(INDEX('PORTIFÓLIO'!$J$4:$Q$564,,MATCH(F$2,'PORTIFÓLIO'!$J$3:$Q$3,0))) *
N('PORTIFÓLIO'!$S$4:$S$564),
0
)
),
0)</f>
        <v>0</v>
      </c>
      <c r="G393" s="47">
        <f t="shared" si="7"/>
        <v>0</v>
      </c>
      <c r="H393" s="49">
        <f t="array" ref="H393">IFERROR(
SUM(
IF(
'PORTIFÓLIO'!$C$4:$C$564=$A393,
N(INDEX('PORTIFÓLIO'!$J$4:$Q$564,,MATCH(H$2,'PORTIFÓLIO'!$J$3:$Q$3,0))) *
N('PORTIFÓLIO'!$S$4:$S$564),
0
)
),
0)</f>
        <v>0</v>
      </c>
      <c r="I393" s="47">
        <f t="shared" si="8"/>
        <v>0</v>
      </c>
      <c r="J393" s="49">
        <f t="array" ref="J393">IFERROR(
SUM(
IF(
'PORTIFÓLIO'!$C$4:$C$564=$A393,
N(INDEX('PORTIFÓLIO'!$J$4:$Q$564,,MATCH(J$2,'PORTIFÓLIO'!$J$3:$Q$3,0))) *
N('PORTIFÓLIO'!$S$4:$S$564),
0
)
),
0)</f>
        <v>0</v>
      </c>
      <c r="K393" s="47">
        <f t="shared" si="9"/>
        <v>0</v>
      </c>
      <c r="L393" s="49">
        <f t="array" ref="L393">IFERROR(
SUM(
IF(
'PORTIFÓLIO'!$C$4:$C$564=$A393,
N(INDEX('PORTIFÓLIO'!$J$4:$Q$564,,MATCH(L$2,'PORTIFÓLIO'!$J$3:$Q$3,0))) *
N('PORTIFÓLIO'!$S$4:$S$564),
0
)
),
0)</f>
        <v>0</v>
      </c>
      <c r="M393" s="47">
        <f t="shared" si="10"/>
        <v>0</v>
      </c>
      <c r="N393" s="49">
        <f t="array" ref="N393">IFERROR(
SUM(
IF(
'PORTIFÓLIO'!$C$4:$C$564=$A393,
N(INDEX('PORTIFÓLIO'!$J$4:$Q$564,,MATCH(N$2,'PORTIFÓLIO'!$J$3:$Q$3,0))) *
N('PORTIFÓLIO'!$S$4:$S$564),
0
)
),
0)</f>
        <v>0</v>
      </c>
      <c r="O393" s="49">
        <f t="shared" si="11"/>
        <v>0</v>
      </c>
      <c r="P393" s="49">
        <f t="array" ref="P393">IFERROR(
SUM(
IF(
'PORTIFÓLIO'!$C$4:$C$564=$A393,
N(INDEX('PORTIFÓLIO'!$J$4:$Q$564,,MATCH(P$2,'PORTIFÓLIO'!$J$3:$Q$3,0))) *
N('PORTIFÓLIO'!$S$4:$S$564),
0
)
),
0)</f>
        <v>0</v>
      </c>
      <c r="Q393" s="49">
        <f t="shared" si="12"/>
        <v>0</v>
      </c>
      <c r="R393" s="49">
        <f t="shared" si="2"/>
        <v>0</v>
      </c>
      <c r="S393" s="49">
        <f t="shared" si="13"/>
        <v>0</v>
      </c>
    </row>
    <row r="394" ht="15.75" hidden="1" customHeight="1" outlineLevel="1">
      <c r="A394" s="42" t="str">
        <f>IFERROR(__xludf.DUMMYFUNCTION("""COMPUTED_VALUE"""),"ZINCO 10")</f>
        <v>ZINCO 10</v>
      </c>
      <c r="B394" s="49">
        <f t="array" ref="B394">IFERROR(
SUM(
IF(
'PORTIFÓLIO'!$C$4:$C$564=$A394,
N(INDEX('PORTIFÓLIO'!$J$4:$Q$564,,MATCH(B$2,'PORTIFÓLIO'!$J$3:$Q$3,0))) *
N('PORTIFÓLIO'!$S$4:$S$564),
0
)
),
0)</f>
        <v>0</v>
      </c>
      <c r="C394" s="49">
        <f t="shared" si="5"/>
        <v>0</v>
      </c>
      <c r="D394" s="49">
        <f t="array" ref="D394">IFERROR(
SUM(
IF(
'PORTIFÓLIO'!$C$4:$C$564=$A394,
N(INDEX('PORTIFÓLIO'!$J$4:$Q$564,,MATCH(D$2,'PORTIFÓLIO'!$J$3:$Q$3,0))) *
N('PORTIFÓLIO'!$S$4:$S$564),
0
)
),
0)</f>
        <v>0</v>
      </c>
      <c r="E394" s="49">
        <f t="shared" si="14"/>
        <v>0</v>
      </c>
      <c r="F394" s="49">
        <f t="array" ref="F394">IFERROR(
SUM(
IF(
'PORTIFÓLIO'!$C$4:$C$564=$A394,
N(INDEX('PORTIFÓLIO'!$J$4:$Q$564,,MATCH(F$2,'PORTIFÓLIO'!$J$3:$Q$3,0))) *
N('PORTIFÓLIO'!$S$4:$S$564),
0
)
),
0)</f>
        <v>0</v>
      </c>
      <c r="G394" s="47">
        <f t="shared" si="7"/>
        <v>0</v>
      </c>
      <c r="H394" s="49">
        <f t="array" ref="H394">IFERROR(
SUM(
IF(
'PORTIFÓLIO'!$C$4:$C$564=$A394,
N(INDEX('PORTIFÓLIO'!$J$4:$Q$564,,MATCH(H$2,'PORTIFÓLIO'!$J$3:$Q$3,0))) *
N('PORTIFÓLIO'!$S$4:$S$564),
0
)
),
0)</f>
        <v>0</v>
      </c>
      <c r="I394" s="47">
        <f t="shared" si="8"/>
        <v>0</v>
      </c>
      <c r="J394" s="49">
        <f t="array" ref="J394">IFERROR(
SUM(
IF(
'PORTIFÓLIO'!$C$4:$C$564=$A394,
N(INDEX('PORTIFÓLIO'!$J$4:$Q$564,,MATCH(J$2,'PORTIFÓLIO'!$J$3:$Q$3,0))) *
N('PORTIFÓLIO'!$S$4:$S$564),
0
)
),
0)</f>
        <v>0</v>
      </c>
      <c r="K394" s="47">
        <f t="shared" si="9"/>
        <v>0</v>
      </c>
      <c r="L394" s="49">
        <f t="array" ref="L394">IFERROR(
SUM(
IF(
'PORTIFÓLIO'!$C$4:$C$564=$A394,
N(INDEX('PORTIFÓLIO'!$J$4:$Q$564,,MATCH(L$2,'PORTIFÓLIO'!$J$3:$Q$3,0))) *
N('PORTIFÓLIO'!$S$4:$S$564),
0
)
),
0)</f>
        <v>0</v>
      </c>
      <c r="M394" s="47">
        <f t="shared" si="10"/>
        <v>0</v>
      </c>
      <c r="N394" s="49">
        <f t="array" ref="N394">IFERROR(
SUM(
IF(
'PORTIFÓLIO'!$C$4:$C$564=$A394,
N(INDEX('PORTIFÓLIO'!$J$4:$Q$564,,MATCH(N$2,'PORTIFÓLIO'!$J$3:$Q$3,0))) *
N('PORTIFÓLIO'!$S$4:$S$564),
0
)
),
0)</f>
        <v>0</v>
      </c>
      <c r="O394" s="49">
        <f t="shared" si="11"/>
        <v>0</v>
      </c>
      <c r="P394" s="49">
        <f t="array" ref="P394">IFERROR(
SUM(
IF(
'PORTIFÓLIO'!$C$4:$C$564=$A394,
N(INDEX('PORTIFÓLIO'!$J$4:$Q$564,,MATCH(P$2,'PORTIFÓLIO'!$J$3:$Q$3,0))) *
N('PORTIFÓLIO'!$S$4:$S$564),
0
)
),
0)</f>
        <v>0</v>
      </c>
      <c r="Q394" s="49">
        <f t="shared" si="12"/>
        <v>0</v>
      </c>
      <c r="R394" s="49">
        <f t="shared" si="2"/>
        <v>0</v>
      </c>
      <c r="S394" s="49">
        <f t="shared" si="13"/>
        <v>0</v>
      </c>
    </row>
    <row r="395" ht="15.75" hidden="1" customHeight="1" outlineLevel="1">
      <c r="A395" s="42" t="str">
        <f>IFERROR(__xludf.DUMMYFUNCTION("""COMPUTED_VALUE"""),"Potenza NiCoMo")</f>
        <v>Potenza NiCoMo</v>
      </c>
      <c r="B395" s="49">
        <f t="array" ref="B395">IFERROR(
SUM(
IF(
'PORTIFÓLIO'!$C$4:$C$564=$A395,
N(INDEX('PORTIFÓLIO'!$J$4:$Q$564,,MATCH(B$2,'PORTIFÓLIO'!$J$3:$Q$3,0))) *
N('PORTIFÓLIO'!$S$4:$S$564),
0
)
),
0)</f>
        <v>0</v>
      </c>
      <c r="C395" s="49">
        <f t="shared" si="5"/>
        <v>0</v>
      </c>
      <c r="D395" s="49">
        <f t="array" ref="D395">IFERROR(
SUM(
IF(
'PORTIFÓLIO'!$C$4:$C$564=$A395,
N(INDEX('PORTIFÓLIO'!$J$4:$Q$564,,MATCH(D$2,'PORTIFÓLIO'!$J$3:$Q$3,0))) *
N('PORTIFÓLIO'!$S$4:$S$564),
0
)
),
0)</f>
        <v>5460</v>
      </c>
      <c r="E395" s="49">
        <f t="shared" si="14"/>
        <v>11.14285714</v>
      </c>
      <c r="F395" s="49">
        <f t="array" ref="F395">IFERROR(
SUM(
IF(
'PORTIFÓLIO'!$C$4:$C$564=$A395,
N(INDEX('PORTIFÓLIO'!$J$4:$Q$564,,MATCH(F$2,'PORTIFÓLIO'!$J$3:$Q$3,0))) *
N('PORTIFÓLIO'!$S$4:$S$564),
0
)
),
0)</f>
        <v>4004</v>
      </c>
      <c r="G395" s="47">
        <f t="shared" si="7"/>
        <v>18.2</v>
      </c>
      <c r="H395" s="49">
        <f t="array" ref="H395">IFERROR(
SUM(
IF(
'PORTIFÓLIO'!$C$4:$C$564=$A395,
N(INDEX('PORTIFÓLIO'!$J$4:$Q$564,,MATCH(H$2,'PORTIFÓLIO'!$J$3:$Q$3,0))) *
N('PORTIFÓLIO'!$S$4:$S$564),
0
)
),
0)</f>
        <v>0</v>
      </c>
      <c r="I395" s="47">
        <f t="shared" si="8"/>
        <v>0</v>
      </c>
      <c r="J395" s="49">
        <f t="array" ref="J395">IFERROR(
SUM(
IF(
'PORTIFÓLIO'!$C$4:$C$564=$A395,
N(INDEX('PORTIFÓLIO'!$J$4:$Q$564,,MATCH(J$2,'PORTIFÓLIO'!$J$3:$Q$3,0))) *
N('PORTIFÓLIO'!$S$4:$S$564),
0
)
),
0)</f>
        <v>0</v>
      </c>
      <c r="K395" s="47">
        <f t="shared" si="9"/>
        <v>0</v>
      </c>
      <c r="L395" s="49">
        <f t="array" ref="L395">IFERROR(
SUM(
IF(
'PORTIFÓLIO'!$C$4:$C$564=$A395,
N(INDEX('PORTIFÓLIO'!$J$4:$Q$564,,MATCH(L$2,'PORTIFÓLIO'!$J$3:$Q$3,0))) *
N('PORTIFÓLIO'!$S$4:$S$564),
0
)
),
0)</f>
        <v>0</v>
      </c>
      <c r="M395" s="47">
        <f t="shared" si="10"/>
        <v>0</v>
      </c>
      <c r="N395" s="49">
        <f t="array" ref="N395">IFERROR(
SUM(
IF(
'PORTIFÓLIO'!$C$4:$C$564=$A395,
N(INDEX('PORTIFÓLIO'!$J$4:$Q$564,,MATCH(N$2,'PORTIFÓLIO'!$J$3:$Q$3,0))) *
N('PORTIFÓLIO'!$S$4:$S$564),
0
)
),
0)</f>
        <v>22167.6</v>
      </c>
      <c r="O395" s="49">
        <f t="shared" si="11"/>
        <v>18.2</v>
      </c>
      <c r="P395" s="49">
        <f t="array" ref="P395">IFERROR(
SUM(
IF(
'PORTIFÓLIO'!$C$4:$C$564=$A395,
N(INDEX('PORTIFÓLIO'!$J$4:$Q$564,,MATCH(P$2,'PORTIFÓLIO'!$J$3:$Q$3,0))) *
N('PORTIFÓLIO'!$S$4:$S$564),
0
)
),
0)</f>
        <v>5824</v>
      </c>
      <c r="Q395" s="49">
        <f t="shared" si="12"/>
        <v>18.2</v>
      </c>
      <c r="R395" s="49">
        <f t="shared" si="2"/>
        <v>33451.6</v>
      </c>
      <c r="S395" s="49">
        <f t="shared" si="13"/>
        <v>10.0034689</v>
      </c>
    </row>
    <row r="396" ht="15.75" hidden="1" customHeight="1" outlineLevel="1">
      <c r="A396" s="42"/>
      <c r="B396" s="49">
        <f t="array" ref="B396">IFERROR(
SUM(
IF(
'PORTIFÓLIO'!$C$4:$C$564=$A396,
N(INDEX('PORTIFÓLIO'!$J$4:$Q$564,,MATCH(B$2,'PORTIFÓLIO'!$J$3:$Q$3,0))) *
N('PORTIFÓLIO'!$S$4:$S$564),
0
)
),
0)</f>
        <v>0</v>
      </c>
      <c r="C396" s="49">
        <f t="shared" si="5"/>
        <v>0</v>
      </c>
      <c r="D396" s="49">
        <f t="array" ref="D396">IFERROR(
SUM(
IF(
'PORTIFÓLIO'!$C$4:$C$564=$A396,
N(INDEX('PORTIFÓLIO'!$J$4:$Q$564,,MATCH(D$2,'PORTIFÓLIO'!$J$3:$Q$3,0))) *
N('PORTIFÓLIO'!$S$4:$S$564),
0
)
),
0)</f>
        <v>0</v>
      </c>
      <c r="E396" s="49">
        <f t="shared" si="14"/>
        <v>0</v>
      </c>
      <c r="F396" s="49">
        <f t="array" ref="F396">IFERROR(
SUM(
IF(
'PORTIFÓLIO'!$C$4:$C$564=$A396,
N(INDEX('PORTIFÓLIO'!$J$4:$Q$564,,MATCH(F$2,'PORTIFÓLIO'!$J$3:$Q$3,0))) *
N('PORTIFÓLIO'!$S$4:$S$564),
0
)
),
0)</f>
        <v>0</v>
      </c>
      <c r="G396" s="47">
        <f t="shared" si="7"/>
        <v>0</v>
      </c>
      <c r="H396" s="49">
        <f t="array" ref="H396">IFERROR(
SUM(
IF(
'PORTIFÓLIO'!$C$4:$C$564=$A396,
N(INDEX('PORTIFÓLIO'!$J$4:$Q$564,,MATCH(H$2,'PORTIFÓLIO'!$J$3:$Q$3,0))) *
N('PORTIFÓLIO'!$S$4:$S$564),
0
)
),
0)</f>
        <v>0</v>
      </c>
      <c r="I396" s="47">
        <f t="shared" si="8"/>
        <v>0</v>
      </c>
      <c r="J396" s="49">
        <f t="array" ref="J396">IFERROR(
SUM(
IF(
'PORTIFÓLIO'!$C$4:$C$564=$A396,
N(INDEX('PORTIFÓLIO'!$J$4:$Q$564,,MATCH(J$2,'PORTIFÓLIO'!$J$3:$Q$3,0))) *
N('PORTIFÓLIO'!$S$4:$S$564),
0
)
),
0)</f>
        <v>0</v>
      </c>
      <c r="K396" s="47">
        <f t="shared" si="9"/>
        <v>0</v>
      </c>
      <c r="L396" s="49">
        <f t="array" ref="L396">IFERROR(
SUM(
IF(
'PORTIFÓLIO'!$C$4:$C$564=$A396,
N(INDEX('PORTIFÓLIO'!$J$4:$Q$564,,MATCH(L$2,'PORTIFÓLIO'!$J$3:$Q$3,0))) *
N('PORTIFÓLIO'!$S$4:$S$564),
0
)
),
0)</f>
        <v>0</v>
      </c>
      <c r="M396" s="47">
        <f t="shared" si="10"/>
        <v>0</v>
      </c>
      <c r="N396" s="49">
        <f t="array" ref="N396">IFERROR(
SUM(
IF(
'PORTIFÓLIO'!$C$4:$C$564=$A396,
N(INDEX('PORTIFÓLIO'!$J$4:$Q$564,,MATCH(N$2,'PORTIFÓLIO'!$J$3:$Q$3,0))) *
N('PORTIFÓLIO'!$S$4:$S$564),
0
)
),
0)</f>
        <v>0</v>
      </c>
      <c r="O396" s="49">
        <f t="shared" si="11"/>
        <v>0</v>
      </c>
      <c r="P396" s="49">
        <f t="array" ref="P396">IFERROR(
SUM(
IF(
'PORTIFÓLIO'!$C$4:$C$564=$A396,
N(INDEX('PORTIFÓLIO'!$J$4:$Q$564,,MATCH(P$2,'PORTIFÓLIO'!$J$3:$Q$3,0))) *
N('PORTIFÓLIO'!$S$4:$S$564),
0
)
),
0)</f>
        <v>0</v>
      </c>
      <c r="Q396" s="49">
        <f t="shared" si="12"/>
        <v>0</v>
      </c>
      <c r="R396" s="49">
        <f t="shared" si="2"/>
        <v>0</v>
      </c>
      <c r="S396" s="49">
        <f t="shared" si="13"/>
        <v>0</v>
      </c>
    </row>
    <row r="397" ht="15.75" hidden="1" customHeight="1" outlineLevel="1">
      <c r="A397" s="42"/>
      <c r="B397" s="49">
        <f t="array" ref="B397">IFERROR(
SUM(
IF(
'PORTIFÓLIO'!$C$4:$C$564=$A397,
N(INDEX('PORTIFÓLIO'!$J$4:$Q$564,,MATCH(B$2,'PORTIFÓLIO'!$J$3:$Q$3,0))) *
N('PORTIFÓLIO'!$S$4:$S$564),
0
)
),
0)</f>
        <v>0</v>
      </c>
      <c r="C397" s="49">
        <f t="shared" si="5"/>
        <v>0</v>
      </c>
      <c r="D397" s="49">
        <f t="array" ref="D397">IFERROR(
SUM(
IF(
'PORTIFÓLIO'!$C$4:$C$564=$A397,
N(INDEX('PORTIFÓLIO'!$J$4:$Q$564,,MATCH(D$2,'PORTIFÓLIO'!$J$3:$Q$3,0))) *
N('PORTIFÓLIO'!$S$4:$S$564),
0
)
),
0)</f>
        <v>0</v>
      </c>
      <c r="E397" s="49">
        <f t="shared" si="14"/>
        <v>0</v>
      </c>
      <c r="F397" s="49">
        <f t="array" ref="F397">IFERROR(
SUM(
IF(
'PORTIFÓLIO'!$C$4:$C$564=$A397,
N(INDEX('PORTIFÓLIO'!$J$4:$Q$564,,MATCH(F$2,'PORTIFÓLIO'!$J$3:$Q$3,0))) *
N('PORTIFÓLIO'!$S$4:$S$564),
0
)
),
0)</f>
        <v>0</v>
      </c>
      <c r="G397" s="47">
        <f t="shared" si="7"/>
        <v>0</v>
      </c>
      <c r="H397" s="49">
        <f t="array" ref="H397">IFERROR(
SUM(
IF(
'PORTIFÓLIO'!$C$4:$C$564=$A397,
N(INDEX('PORTIFÓLIO'!$J$4:$Q$564,,MATCH(H$2,'PORTIFÓLIO'!$J$3:$Q$3,0))) *
N('PORTIFÓLIO'!$S$4:$S$564),
0
)
),
0)</f>
        <v>0</v>
      </c>
      <c r="I397" s="47">
        <f t="shared" si="8"/>
        <v>0</v>
      </c>
      <c r="J397" s="49">
        <f t="array" ref="J397">IFERROR(
SUM(
IF(
'PORTIFÓLIO'!$C$4:$C$564=$A397,
N(INDEX('PORTIFÓLIO'!$J$4:$Q$564,,MATCH(J$2,'PORTIFÓLIO'!$J$3:$Q$3,0))) *
N('PORTIFÓLIO'!$S$4:$S$564),
0
)
),
0)</f>
        <v>0</v>
      </c>
      <c r="K397" s="47">
        <f t="shared" si="9"/>
        <v>0</v>
      </c>
      <c r="L397" s="49">
        <f t="array" ref="L397">IFERROR(
SUM(
IF(
'PORTIFÓLIO'!$C$4:$C$564=$A397,
N(INDEX('PORTIFÓLIO'!$J$4:$Q$564,,MATCH(L$2,'PORTIFÓLIO'!$J$3:$Q$3,0))) *
N('PORTIFÓLIO'!$S$4:$S$564),
0
)
),
0)</f>
        <v>0</v>
      </c>
      <c r="M397" s="47">
        <f t="shared" si="10"/>
        <v>0</v>
      </c>
      <c r="N397" s="49">
        <f t="array" ref="N397">IFERROR(
SUM(
IF(
'PORTIFÓLIO'!$C$4:$C$564=$A397,
N(INDEX('PORTIFÓLIO'!$J$4:$Q$564,,MATCH(N$2,'PORTIFÓLIO'!$J$3:$Q$3,0))) *
N('PORTIFÓLIO'!$S$4:$S$564),
0
)
),
0)</f>
        <v>0</v>
      </c>
      <c r="O397" s="49">
        <f t="shared" si="11"/>
        <v>0</v>
      </c>
      <c r="P397" s="49">
        <f t="array" ref="P397">IFERROR(
SUM(
IF(
'PORTIFÓLIO'!$C$4:$C$564=$A397,
N(INDEX('PORTIFÓLIO'!$J$4:$Q$564,,MATCH(P$2,'PORTIFÓLIO'!$J$3:$Q$3,0))) *
N('PORTIFÓLIO'!$S$4:$S$564),
0
)
),
0)</f>
        <v>0</v>
      </c>
      <c r="Q397" s="49">
        <f t="shared" si="12"/>
        <v>0</v>
      </c>
      <c r="R397" s="49">
        <f t="shared" si="2"/>
        <v>0</v>
      </c>
      <c r="S397" s="49">
        <f t="shared" si="13"/>
        <v>0</v>
      </c>
    </row>
    <row r="398" ht="15.75" hidden="1" customHeight="1" outlineLevel="1">
      <c r="A398" s="42"/>
      <c r="B398" s="49">
        <f t="array" ref="B398">IFERROR(
SUM(
IF(
'PORTIFÓLIO'!$C$4:$C$564=$A398,
N(INDEX('PORTIFÓLIO'!$J$4:$Q$564,,MATCH(B$2,'PORTIFÓLIO'!$J$3:$Q$3,0))) *
N('PORTIFÓLIO'!$S$4:$S$564),
0
)
),
0)</f>
        <v>0</v>
      </c>
      <c r="C398" s="49">
        <f t="shared" si="5"/>
        <v>0</v>
      </c>
      <c r="D398" s="49">
        <f t="array" ref="D398">IFERROR(
SUM(
IF(
'PORTIFÓLIO'!$C$4:$C$564=$A398,
N(INDEX('PORTIFÓLIO'!$J$4:$Q$564,,MATCH(D$2,'PORTIFÓLIO'!$J$3:$Q$3,0))) *
N('PORTIFÓLIO'!$S$4:$S$564),
0
)
),
0)</f>
        <v>0</v>
      </c>
      <c r="E398" s="49">
        <f t="shared" si="14"/>
        <v>0</v>
      </c>
      <c r="F398" s="49">
        <f t="array" ref="F398">IFERROR(
SUM(
IF(
'PORTIFÓLIO'!$C$4:$C$564=$A398,
N(INDEX('PORTIFÓLIO'!$J$4:$Q$564,,MATCH(F$2,'PORTIFÓLIO'!$J$3:$Q$3,0))) *
N('PORTIFÓLIO'!$S$4:$S$564),
0
)
),
0)</f>
        <v>0</v>
      </c>
      <c r="G398" s="47">
        <f t="shared" si="7"/>
        <v>0</v>
      </c>
      <c r="H398" s="49">
        <f t="array" ref="H398">IFERROR(
SUM(
IF(
'PORTIFÓLIO'!$C$4:$C$564=$A398,
N(INDEX('PORTIFÓLIO'!$J$4:$Q$564,,MATCH(H$2,'PORTIFÓLIO'!$J$3:$Q$3,0))) *
N('PORTIFÓLIO'!$S$4:$S$564),
0
)
),
0)</f>
        <v>0</v>
      </c>
      <c r="I398" s="47">
        <f t="shared" si="8"/>
        <v>0</v>
      </c>
      <c r="J398" s="49">
        <f t="array" ref="J398">IFERROR(
SUM(
IF(
'PORTIFÓLIO'!$C$4:$C$564=$A398,
N(INDEX('PORTIFÓLIO'!$J$4:$Q$564,,MATCH(J$2,'PORTIFÓLIO'!$J$3:$Q$3,0))) *
N('PORTIFÓLIO'!$S$4:$S$564),
0
)
),
0)</f>
        <v>0</v>
      </c>
      <c r="K398" s="47">
        <f t="shared" si="9"/>
        <v>0</v>
      </c>
      <c r="L398" s="49">
        <f t="array" ref="L398">IFERROR(
SUM(
IF(
'PORTIFÓLIO'!$C$4:$C$564=$A398,
N(INDEX('PORTIFÓLIO'!$J$4:$Q$564,,MATCH(L$2,'PORTIFÓLIO'!$J$3:$Q$3,0))) *
N('PORTIFÓLIO'!$S$4:$S$564),
0
)
),
0)</f>
        <v>0</v>
      </c>
      <c r="M398" s="47">
        <f t="shared" si="10"/>
        <v>0</v>
      </c>
      <c r="N398" s="49">
        <f t="array" ref="N398">IFERROR(
SUM(
IF(
'PORTIFÓLIO'!$C$4:$C$564=$A398,
N(INDEX('PORTIFÓLIO'!$J$4:$Q$564,,MATCH(N$2,'PORTIFÓLIO'!$J$3:$Q$3,0))) *
N('PORTIFÓLIO'!$S$4:$S$564),
0
)
),
0)</f>
        <v>0</v>
      </c>
      <c r="O398" s="49">
        <f t="shared" si="11"/>
        <v>0</v>
      </c>
      <c r="P398" s="49">
        <f t="array" ref="P398">IFERROR(
SUM(
IF(
'PORTIFÓLIO'!$C$4:$C$564=$A398,
N(INDEX('PORTIFÓLIO'!$J$4:$Q$564,,MATCH(P$2,'PORTIFÓLIO'!$J$3:$Q$3,0))) *
N('PORTIFÓLIO'!$S$4:$S$564),
0
)
),
0)</f>
        <v>0</v>
      </c>
      <c r="Q398" s="49">
        <f t="shared" si="12"/>
        <v>0</v>
      </c>
      <c r="R398" s="49">
        <f t="shared" si="2"/>
        <v>0</v>
      </c>
      <c r="S398" s="49">
        <f t="shared" si="13"/>
        <v>0</v>
      </c>
    </row>
    <row r="399" ht="15.75" hidden="1" customHeight="1" outlineLevel="1">
      <c r="A399" s="42"/>
      <c r="B399" s="49">
        <f t="array" ref="B399">IFERROR(
SUM(
IF(
'PORTIFÓLIO'!$C$4:$C$564=$A399,
N(INDEX('PORTIFÓLIO'!$J$4:$Q$564,,MATCH(B$2,'PORTIFÓLIO'!$J$3:$Q$3,0))) *
N('PORTIFÓLIO'!$S$4:$S$564),
0
)
),
0)</f>
        <v>0</v>
      </c>
      <c r="C399" s="49">
        <f t="shared" si="5"/>
        <v>0</v>
      </c>
      <c r="D399" s="49">
        <f t="array" ref="D399">IFERROR(
SUM(
IF(
'PORTIFÓLIO'!$C$4:$C$564=$A399,
N(INDEX('PORTIFÓLIO'!$J$4:$Q$564,,MATCH(D$2,'PORTIFÓLIO'!$J$3:$Q$3,0))) *
N('PORTIFÓLIO'!$S$4:$S$564),
0
)
),
0)</f>
        <v>0</v>
      </c>
      <c r="E399" s="49">
        <f t="shared" si="14"/>
        <v>0</v>
      </c>
      <c r="F399" s="49">
        <f t="array" ref="F399">IFERROR(
SUM(
IF(
'PORTIFÓLIO'!$C$4:$C$564=$A399,
N(INDEX('PORTIFÓLIO'!$J$4:$Q$564,,MATCH(F$2,'PORTIFÓLIO'!$J$3:$Q$3,0))) *
N('PORTIFÓLIO'!$S$4:$S$564),
0
)
),
0)</f>
        <v>0</v>
      </c>
      <c r="G399" s="47">
        <f t="shared" si="7"/>
        <v>0</v>
      </c>
      <c r="H399" s="49">
        <f t="array" ref="H399">IFERROR(
SUM(
IF(
'PORTIFÓLIO'!$C$4:$C$564=$A399,
N(INDEX('PORTIFÓLIO'!$J$4:$Q$564,,MATCH(H$2,'PORTIFÓLIO'!$J$3:$Q$3,0))) *
N('PORTIFÓLIO'!$S$4:$S$564),
0
)
),
0)</f>
        <v>0</v>
      </c>
      <c r="I399" s="47">
        <f t="shared" si="8"/>
        <v>0</v>
      </c>
      <c r="J399" s="49">
        <f t="array" ref="J399">IFERROR(
SUM(
IF(
'PORTIFÓLIO'!$C$4:$C$564=$A399,
N(INDEX('PORTIFÓLIO'!$J$4:$Q$564,,MATCH(J$2,'PORTIFÓLIO'!$J$3:$Q$3,0))) *
N('PORTIFÓLIO'!$S$4:$S$564),
0
)
),
0)</f>
        <v>0</v>
      </c>
      <c r="K399" s="47">
        <f t="shared" si="9"/>
        <v>0</v>
      </c>
      <c r="L399" s="49">
        <f t="array" ref="L399">IFERROR(
SUM(
IF(
'PORTIFÓLIO'!$C$4:$C$564=$A399,
N(INDEX('PORTIFÓLIO'!$J$4:$Q$564,,MATCH(L$2,'PORTIFÓLIO'!$J$3:$Q$3,0))) *
N('PORTIFÓLIO'!$S$4:$S$564),
0
)
),
0)</f>
        <v>0</v>
      </c>
      <c r="M399" s="47">
        <f t="shared" si="10"/>
        <v>0</v>
      </c>
      <c r="N399" s="49">
        <f t="array" ref="N399">IFERROR(
SUM(
IF(
'PORTIFÓLIO'!$C$4:$C$564=$A399,
N(INDEX('PORTIFÓLIO'!$J$4:$Q$564,,MATCH(N$2,'PORTIFÓLIO'!$J$3:$Q$3,0))) *
N('PORTIFÓLIO'!$S$4:$S$564),
0
)
),
0)</f>
        <v>0</v>
      </c>
      <c r="O399" s="49">
        <f t="shared" si="11"/>
        <v>0</v>
      </c>
      <c r="P399" s="49">
        <f t="array" ref="P399">IFERROR(
SUM(
IF(
'PORTIFÓLIO'!$C$4:$C$564=$A399,
N(INDEX('PORTIFÓLIO'!$J$4:$Q$564,,MATCH(P$2,'PORTIFÓLIO'!$J$3:$Q$3,0))) *
N('PORTIFÓLIO'!$S$4:$S$564),
0
)
),
0)</f>
        <v>0</v>
      </c>
      <c r="Q399" s="49">
        <f t="shared" si="12"/>
        <v>0</v>
      </c>
      <c r="R399" s="49">
        <f t="shared" si="2"/>
        <v>0</v>
      </c>
      <c r="S399" s="49">
        <f t="shared" si="13"/>
        <v>0</v>
      </c>
    </row>
    <row r="400" ht="15.75" hidden="1" customHeight="1" outlineLevel="1">
      <c r="A400" s="42"/>
      <c r="B400" s="49">
        <f t="array" ref="B400">IFERROR(
SUM(
IF(
'PORTIFÓLIO'!$C$4:$C$564=$A400,
N(INDEX('PORTIFÓLIO'!$J$4:$Q$564,,MATCH(B$2,'PORTIFÓLIO'!$J$3:$Q$3,0))) *
N('PORTIFÓLIO'!$S$4:$S$564),
0
)
),
0)</f>
        <v>0</v>
      </c>
      <c r="C400" s="49">
        <f t="shared" si="5"/>
        <v>0</v>
      </c>
      <c r="D400" s="49">
        <f t="array" ref="D400">IFERROR(
SUM(
IF(
'PORTIFÓLIO'!$C$4:$C$564=$A400,
N(INDEX('PORTIFÓLIO'!$J$4:$Q$564,,MATCH(D$2,'PORTIFÓLIO'!$J$3:$Q$3,0))) *
N('PORTIFÓLIO'!$S$4:$S$564),
0
)
),
0)</f>
        <v>0</v>
      </c>
      <c r="E400" s="49">
        <f t="shared" si="14"/>
        <v>0</v>
      </c>
      <c r="F400" s="49">
        <f t="array" ref="F400">IFERROR(
SUM(
IF(
'PORTIFÓLIO'!$C$4:$C$564=$A400,
N(INDEX('PORTIFÓLIO'!$J$4:$Q$564,,MATCH(F$2,'PORTIFÓLIO'!$J$3:$Q$3,0))) *
N('PORTIFÓLIO'!$S$4:$S$564),
0
)
),
0)</f>
        <v>0</v>
      </c>
      <c r="G400" s="47">
        <f t="shared" si="7"/>
        <v>0</v>
      </c>
      <c r="H400" s="49">
        <f t="array" ref="H400">IFERROR(
SUM(
IF(
'PORTIFÓLIO'!$C$4:$C$564=$A400,
N(INDEX('PORTIFÓLIO'!$J$4:$Q$564,,MATCH(H$2,'PORTIFÓLIO'!$J$3:$Q$3,0))) *
N('PORTIFÓLIO'!$S$4:$S$564),
0
)
),
0)</f>
        <v>0</v>
      </c>
      <c r="I400" s="47">
        <f t="shared" si="8"/>
        <v>0</v>
      </c>
      <c r="J400" s="49">
        <f t="array" ref="J400">IFERROR(
SUM(
IF(
'PORTIFÓLIO'!$C$4:$C$564=$A400,
N(INDEX('PORTIFÓLIO'!$J$4:$Q$564,,MATCH(J$2,'PORTIFÓLIO'!$J$3:$Q$3,0))) *
N('PORTIFÓLIO'!$S$4:$S$564),
0
)
),
0)</f>
        <v>0</v>
      </c>
      <c r="K400" s="47">
        <f t="shared" si="9"/>
        <v>0</v>
      </c>
      <c r="L400" s="49">
        <f t="array" ref="L400">IFERROR(
SUM(
IF(
'PORTIFÓLIO'!$C$4:$C$564=$A400,
N(INDEX('PORTIFÓLIO'!$J$4:$Q$564,,MATCH(L$2,'PORTIFÓLIO'!$J$3:$Q$3,0))) *
N('PORTIFÓLIO'!$S$4:$S$564),
0
)
),
0)</f>
        <v>0</v>
      </c>
      <c r="M400" s="47">
        <f t="shared" si="10"/>
        <v>0</v>
      </c>
      <c r="N400" s="49">
        <f t="array" ref="N400">IFERROR(
SUM(
IF(
'PORTIFÓLIO'!$C$4:$C$564=$A400,
N(INDEX('PORTIFÓLIO'!$J$4:$Q$564,,MATCH(N$2,'PORTIFÓLIO'!$J$3:$Q$3,0))) *
N('PORTIFÓLIO'!$S$4:$S$564),
0
)
),
0)</f>
        <v>0</v>
      </c>
      <c r="O400" s="49">
        <f t="shared" si="11"/>
        <v>0</v>
      </c>
      <c r="P400" s="49">
        <f t="array" ref="P400">IFERROR(
SUM(
IF(
'PORTIFÓLIO'!$C$4:$C$564=$A400,
N(INDEX('PORTIFÓLIO'!$J$4:$Q$564,,MATCH(P$2,'PORTIFÓLIO'!$J$3:$Q$3,0))) *
N('PORTIFÓLIO'!$S$4:$S$564),
0
)
),
0)</f>
        <v>0</v>
      </c>
      <c r="Q400" s="49">
        <f t="shared" si="12"/>
        <v>0</v>
      </c>
      <c r="R400" s="49">
        <f t="shared" si="2"/>
        <v>0</v>
      </c>
      <c r="S400" s="49">
        <f t="shared" si="13"/>
        <v>0</v>
      </c>
    </row>
    <row r="401" ht="15.75" hidden="1" customHeight="1" outlineLevel="1">
      <c r="A401" s="42"/>
      <c r="B401" s="49">
        <f t="array" ref="B401">IFERROR(
SUM(
IF(
'PORTIFÓLIO'!$C$4:$C$564=$A401,
N(INDEX('PORTIFÓLIO'!$J$4:$Q$564,,MATCH(B$2,'PORTIFÓLIO'!$J$3:$Q$3,0))) *
N('PORTIFÓLIO'!$S$4:$S$564),
0
)
),
0)</f>
        <v>0</v>
      </c>
      <c r="C401" s="49">
        <f t="shared" si="5"/>
        <v>0</v>
      </c>
      <c r="D401" s="49">
        <f t="array" ref="D401">IFERROR(
SUM(
IF(
'PORTIFÓLIO'!$C$4:$C$564=$A401,
N(INDEX('PORTIFÓLIO'!$J$4:$Q$564,,MATCH(D$2,'PORTIFÓLIO'!$J$3:$Q$3,0))) *
N('PORTIFÓLIO'!$S$4:$S$564),
0
)
),
0)</f>
        <v>0</v>
      </c>
      <c r="E401" s="49">
        <f t="shared" si="14"/>
        <v>0</v>
      </c>
      <c r="F401" s="49">
        <f t="array" ref="F401">IFERROR(
SUM(
IF(
'PORTIFÓLIO'!$C$4:$C$564=$A401,
N(INDEX('PORTIFÓLIO'!$J$4:$Q$564,,MATCH(F$2,'PORTIFÓLIO'!$J$3:$Q$3,0))) *
N('PORTIFÓLIO'!$S$4:$S$564),
0
)
),
0)</f>
        <v>0</v>
      </c>
      <c r="G401" s="47">
        <f t="shared" si="7"/>
        <v>0</v>
      </c>
      <c r="H401" s="49">
        <f t="array" ref="H401">IFERROR(
SUM(
IF(
'PORTIFÓLIO'!$C$4:$C$564=$A401,
N(INDEX('PORTIFÓLIO'!$J$4:$Q$564,,MATCH(H$2,'PORTIFÓLIO'!$J$3:$Q$3,0))) *
N('PORTIFÓLIO'!$S$4:$S$564),
0
)
),
0)</f>
        <v>0</v>
      </c>
      <c r="I401" s="47">
        <f t="shared" si="8"/>
        <v>0</v>
      </c>
      <c r="J401" s="49">
        <f t="array" ref="J401">IFERROR(
SUM(
IF(
'PORTIFÓLIO'!$C$4:$C$564=$A401,
N(INDEX('PORTIFÓLIO'!$J$4:$Q$564,,MATCH(J$2,'PORTIFÓLIO'!$J$3:$Q$3,0))) *
N('PORTIFÓLIO'!$S$4:$S$564),
0
)
),
0)</f>
        <v>0</v>
      </c>
      <c r="K401" s="47">
        <f t="shared" si="9"/>
        <v>0</v>
      </c>
      <c r="L401" s="49">
        <f t="array" ref="L401">IFERROR(
SUM(
IF(
'PORTIFÓLIO'!$C$4:$C$564=$A401,
N(INDEX('PORTIFÓLIO'!$J$4:$Q$564,,MATCH(L$2,'PORTIFÓLIO'!$J$3:$Q$3,0))) *
N('PORTIFÓLIO'!$S$4:$S$564),
0
)
),
0)</f>
        <v>0</v>
      </c>
      <c r="M401" s="47">
        <f t="shared" si="10"/>
        <v>0</v>
      </c>
      <c r="N401" s="49">
        <f t="array" ref="N401">IFERROR(
SUM(
IF(
'PORTIFÓLIO'!$C$4:$C$564=$A401,
N(INDEX('PORTIFÓLIO'!$J$4:$Q$564,,MATCH(N$2,'PORTIFÓLIO'!$J$3:$Q$3,0))) *
N('PORTIFÓLIO'!$S$4:$S$564),
0
)
),
0)</f>
        <v>0</v>
      </c>
      <c r="O401" s="49">
        <f t="shared" si="11"/>
        <v>0</v>
      </c>
      <c r="P401" s="49">
        <f t="array" ref="P401">IFERROR(
SUM(
IF(
'PORTIFÓLIO'!$C$4:$C$564=$A401,
N(INDEX('PORTIFÓLIO'!$J$4:$Q$564,,MATCH(P$2,'PORTIFÓLIO'!$J$3:$Q$3,0))) *
N('PORTIFÓLIO'!$S$4:$S$564),
0
)
),
0)</f>
        <v>0</v>
      </c>
      <c r="Q401" s="49">
        <f t="shared" si="12"/>
        <v>0</v>
      </c>
      <c r="R401" s="49">
        <f t="shared" si="2"/>
        <v>0</v>
      </c>
      <c r="S401" s="49">
        <f t="shared" si="13"/>
        <v>0</v>
      </c>
    </row>
    <row r="402" ht="15.75" hidden="1" customHeight="1" outlineLevel="1">
      <c r="A402" s="42"/>
      <c r="B402" s="49">
        <f t="array" ref="B402">IFERROR(
SUM(
IF(
'PORTIFÓLIO'!$C$4:$C$564=$A402,
N(INDEX('PORTIFÓLIO'!$J$4:$Q$564,,MATCH(B$2,'PORTIFÓLIO'!$J$3:$Q$3,0))) *
N('PORTIFÓLIO'!$S$4:$S$564),
0
)
),
0)</f>
        <v>0</v>
      </c>
      <c r="C402" s="49">
        <f t="shared" si="5"/>
        <v>0</v>
      </c>
      <c r="D402" s="49">
        <f t="array" ref="D402">IFERROR(
SUM(
IF(
'PORTIFÓLIO'!$C$4:$C$564=$A402,
N(INDEX('PORTIFÓLIO'!$J$4:$Q$564,,MATCH(D$2,'PORTIFÓLIO'!$J$3:$Q$3,0))) *
N('PORTIFÓLIO'!$S$4:$S$564),
0
)
),
0)</f>
        <v>0</v>
      </c>
      <c r="E402" s="49">
        <f t="shared" si="14"/>
        <v>0</v>
      </c>
      <c r="F402" s="49">
        <f t="array" ref="F402">IFERROR(
SUM(
IF(
'PORTIFÓLIO'!$C$4:$C$564=$A402,
N(INDEX('PORTIFÓLIO'!$J$4:$Q$564,,MATCH(F$2,'PORTIFÓLIO'!$J$3:$Q$3,0))) *
N('PORTIFÓLIO'!$S$4:$S$564),
0
)
),
0)</f>
        <v>0</v>
      </c>
      <c r="G402" s="47">
        <f t="shared" si="7"/>
        <v>0</v>
      </c>
      <c r="H402" s="49">
        <f t="array" ref="H402">IFERROR(
SUM(
IF(
'PORTIFÓLIO'!$C$4:$C$564=$A402,
N(INDEX('PORTIFÓLIO'!$J$4:$Q$564,,MATCH(H$2,'PORTIFÓLIO'!$J$3:$Q$3,0))) *
N('PORTIFÓLIO'!$S$4:$S$564),
0
)
),
0)</f>
        <v>0</v>
      </c>
      <c r="I402" s="47">
        <f t="shared" si="8"/>
        <v>0</v>
      </c>
      <c r="J402" s="49">
        <f t="array" ref="J402">IFERROR(
SUM(
IF(
'PORTIFÓLIO'!$C$4:$C$564=$A402,
N(INDEX('PORTIFÓLIO'!$J$4:$Q$564,,MATCH(J$2,'PORTIFÓLIO'!$J$3:$Q$3,0))) *
N('PORTIFÓLIO'!$S$4:$S$564),
0
)
),
0)</f>
        <v>0</v>
      </c>
      <c r="K402" s="47">
        <f t="shared" si="9"/>
        <v>0</v>
      </c>
      <c r="L402" s="49">
        <f t="array" ref="L402">IFERROR(
SUM(
IF(
'PORTIFÓLIO'!$C$4:$C$564=$A402,
N(INDEX('PORTIFÓLIO'!$J$4:$Q$564,,MATCH(L$2,'PORTIFÓLIO'!$J$3:$Q$3,0))) *
N('PORTIFÓLIO'!$S$4:$S$564),
0
)
),
0)</f>
        <v>0</v>
      </c>
      <c r="M402" s="47">
        <f t="shared" si="10"/>
        <v>0</v>
      </c>
      <c r="N402" s="49">
        <f t="array" ref="N402">IFERROR(
SUM(
IF(
'PORTIFÓLIO'!$C$4:$C$564=$A402,
N(INDEX('PORTIFÓLIO'!$J$4:$Q$564,,MATCH(N$2,'PORTIFÓLIO'!$J$3:$Q$3,0))) *
N('PORTIFÓLIO'!$S$4:$S$564),
0
)
),
0)</f>
        <v>0</v>
      </c>
      <c r="O402" s="49">
        <f t="shared" si="11"/>
        <v>0</v>
      </c>
      <c r="P402" s="49">
        <f t="array" ref="P402">IFERROR(
SUM(
IF(
'PORTIFÓLIO'!$C$4:$C$564=$A402,
N(INDEX('PORTIFÓLIO'!$J$4:$Q$564,,MATCH(P$2,'PORTIFÓLIO'!$J$3:$Q$3,0))) *
N('PORTIFÓLIO'!$S$4:$S$564),
0
)
),
0)</f>
        <v>0</v>
      </c>
      <c r="Q402" s="49">
        <f t="shared" si="12"/>
        <v>0</v>
      </c>
      <c r="R402" s="49">
        <f t="shared" si="2"/>
        <v>0</v>
      </c>
      <c r="S402" s="49">
        <f t="shared" si="13"/>
        <v>0</v>
      </c>
    </row>
    <row r="403" ht="15.75" hidden="1" customHeight="1" outlineLevel="1">
      <c r="A403" s="42"/>
      <c r="B403" s="49">
        <f t="array" ref="B403">IFERROR(
SUM(
IF(
'PORTIFÓLIO'!$C$4:$C$564=$A403,
N(INDEX('PORTIFÓLIO'!$J$4:$Q$564,,MATCH(B$2,'PORTIFÓLIO'!$J$3:$Q$3,0))) *
N('PORTIFÓLIO'!$S$4:$S$564),
0
)
),
0)</f>
        <v>0</v>
      </c>
      <c r="C403" s="49">
        <f t="shared" si="5"/>
        <v>0</v>
      </c>
      <c r="D403" s="49">
        <f t="array" ref="D403">IFERROR(
SUM(
IF(
'PORTIFÓLIO'!$C$4:$C$564=$A403,
N(INDEX('PORTIFÓLIO'!$J$4:$Q$564,,MATCH(D$2,'PORTIFÓLIO'!$J$3:$Q$3,0))) *
N('PORTIFÓLIO'!$S$4:$S$564),
0
)
),
0)</f>
        <v>0</v>
      </c>
      <c r="E403" s="49">
        <f t="shared" si="14"/>
        <v>0</v>
      </c>
      <c r="F403" s="49">
        <f t="array" ref="F403">IFERROR(
SUM(
IF(
'PORTIFÓLIO'!$C$4:$C$564=$A403,
N(INDEX('PORTIFÓLIO'!$J$4:$Q$564,,MATCH(F$2,'PORTIFÓLIO'!$J$3:$Q$3,0))) *
N('PORTIFÓLIO'!$S$4:$S$564),
0
)
),
0)</f>
        <v>0</v>
      </c>
      <c r="G403" s="47">
        <f t="shared" si="7"/>
        <v>0</v>
      </c>
      <c r="H403" s="49">
        <f t="array" ref="H403">IFERROR(
SUM(
IF(
'PORTIFÓLIO'!$C$4:$C$564=$A403,
N(INDEX('PORTIFÓLIO'!$J$4:$Q$564,,MATCH(H$2,'PORTIFÓLIO'!$J$3:$Q$3,0))) *
N('PORTIFÓLIO'!$S$4:$S$564),
0
)
),
0)</f>
        <v>0</v>
      </c>
      <c r="I403" s="47">
        <f t="shared" si="8"/>
        <v>0</v>
      </c>
      <c r="J403" s="49">
        <f t="array" ref="J403">IFERROR(
SUM(
IF(
'PORTIFÓLIO'!$C$4:$C$564=$A403,
N(INDEX('PORTIFÓLIO'!$J$4:$Q$564,,MATCH(J$2,'PORTIFÓLIO'!$J$3:$Q$3,0))) *
N('PORTIFÓLIO'!$S$4:$S$564),
0
)
),
0)</f>
        <v>0</v>
      </c>
      <c r="K403" s="47">
        <f t="shared" si="9"/>
        <v>0</v>
      </c>
      <c r="L403" s="49">
        <f t="array" ref="L403">IFERROR(
SUM(
IF(
'PORTIFÓLIO'!$C$4:$C$564=$A403,
N(INDEX('PORTIFÓLIO'!$J$4:$Q$564,,MATCH(L$2,'PORTIFÓLIO'!$J$3:$Q$3,0))) *
N('PORTIFÓLIO'!$S$4:$S$564),
0
)
),
0)</f>
        <v>0</v>
      </c>
      <c r="M403" s="47">
        <f t="shared" si="10"/>
        <v>0</v>
      </c>
      <c r="N403" s="49">
        <f t="array" ref="N403">IFERROR(
SUM(
IF(
'PORTIFÓLIO'!$C$4:$C$564=$A403,
N(INDEX('PORTIFÓLIO'!$J$4:$Q$564,,MATCH(N$2,'PORTIFÓLIO'!$J$3:$Q$3,0))) *
N('PORTIFÓLIO'!$S$4:$S$564),
0
)
),
0)</f>
        <v>0</v>
      </c>
      <c r="O403" s="49">
        <f t="shared" si="11"/>
        <v>0</v>
      </c>
      <c r="P403" s="49">
        <f t="array" ref="P403">IFERROR(
SUM(
IF(
'PORTIFÓLIO'!$C$4:$C$564=$A403,
N(INDEX('PORTIFÓLIO'!$J$4:$Q$564,,MATCH(P$2,'PORTIFÓLIO'!$J$3:$Q$3,0))) *
N('PORTIFÓLIO'!$S$4:$S$564),
0
)
),
0)</f>
        <v>0</v>
      </c>
      <c r="Q403" s="49">
        <f t="shared" si="12"/>
        <v>0</v>
      </c>
      <c r="R403" s="49">
        <f t="shared" si="2"/>
        <v>0</v>
      </c>
      <c r="S403" s="49">
        <f t="shared" si="13"/>
        <v>0</v>
      </c>
    </row>
    <row r="404" ht="15.75" hidden="1" customHeight="1" outlineLevel="1">
      <c r="A404" s="42"/>
      <c r="B404" s="49">
        <f t="array" ref="B404">IFERROR(
SUM(
IF(
'PORTIFÓLIO'!$C$4:$C$564=$A404,
N(INDEX('PORTIFÓLIO'!$J$4:$Q$564,,MATCH(B$2,'PORTIFÓLIO'!$J$3:$Q$3,0))) *
N('PORTIFÓLIO'!$S$4:$S$564),
0
)
),
0)</f>
        <v>0</v>
      </c>
      <c r="C404" s="49">
        <f t="shared" si="5"/>
        <v>0</v>
      </c>
      <c r="D404" s="49">
        <f t="array" ref="D404">IFERROR(
SUM(
IF(
'PORTIFÓLIO'!$C$4:$C$564=$A404,
N(INDEX('PORTIFÓLIO'!$J$4:$Q$564,,MATCH(D$2,'PORTIFÓLIO'!$J$3:$Q$3,0))) *
N('PORTIFÓLIO'!$S$4:$S$564),
0
)
),
0)</f>
        <v>0</v>
      </c>
      <c r="E404" s="49">
        <f t="shared" si="14"/>
        <v>0</v>
      </c>
      <c r="F404" s="49">
        <f t="array" ref="F404">IFERROR(
SUM(
IF(
'PORTIFÓLIO'!$C$4:$C$564=$A404,
N(INDEX('PORTIFÓLIO'!$J$4:$Q$564,,MATCH(F$2,'PORTIFÓLIO'!$J$3:$Q$3,0))) *
N('PORTIFÓLIO'!$S$4:$S$564),
0
)
),
0)</f>
        <v>0</v>
      </c>
      <c r="G404" s="47">
        <f t="shared" si="7"/>
        <v>0</v>
      </c>
      <c r="H404" s="49">
        <f t="array" ref="H404">IFERROR(
SUM(
IF(
'PORTIFÓLIO'!$C$4:$C$564=$A404,
N(INDEX('PORTIFÓLIO'!$J$4:$Q$564,,MATCH(H$2,'PORTIFÓLIO'!$J$3:$Q$3,0))) *
N('PORTIFÓLIO'!$S$4:$S$564),
0
)
),
0)</f>
        <v>0</v>
      </c>
      <c r="I404" s="47">
        <f t="shared" si="8"/>
        <v>0</v>
      </c>
      <c r="J404" s="49">
        <f t="array" ref="J404">IFERROR(
SUM(
IF(
'PORTIFÓLIO'!$C$4:$C$564=$A404,
N(INDEX('PORTIFÓLIO'!$J$4:$Q$564,,MATCH(J$2,'PORTIFÓLIO'!$J$3:$Q$3,0))) *
N('PORTIFÓLIO'!$S$4:$S$564),
0
)
),
0)</f>
        <v>0</v>
      </c>
      <c r="K404" s="47">
        <f t="shared" si="9"/>
        <v>0</v>
      </c>
      <c r="L404" s="49">
        <f t="array" ref="L404">IFERROR(
SUM(
IF(
'PORTIFÓLIO'!$C$4:$C$564=$A404,
N(INDEX('PORTIFÓLIO'!$J$4:$Q$564,,MATCH(L$2,'PORTIFÓLIO'!$J$3:$Q$3,0))) *
N('PORTIFÓLIO'!$S$4:$S$564),
0
)
),
0)</f>
        <v>0</v>
      </c>
      <c r="M404" s="47">
        <f t="shared" si="10"/>
        <v>0</v>
      </c>
      <c r="N404" s="49">
        <f t="array" ref="N404">IFERROR(
SUM(
IF(
'PORTIFÓLIO'!$C$4:$C$564=$A404,
N(INDEX('PORTIFÓLIO'!$J$4:$Q$564,,MATCH(N$2,'PORTIFÓLIO'!$J$3:$Q$3,0))) *
N('PORTIFÓLIO'!$S$4:$S$564),
0
)
),
0)</f>
        <v>0</v>
      </c>
      <c r="O404" s="49">
        <f t="shared" si="11"/>
        <v>0</v>
      </c>
      <c r="P404" s="49">
        <f t="array" ref="P404">IFERROR(
SUM(
IF(
'PORTIFÓLIO'!$C$4:$C$564=$A404,
N(INDEX('PORTIFÓLIO'!$J$4:$Q$564,,MATCH(P$2,'PORTIFÓLIO'!$J$3:$Q$3,0))) *
N('PORTIFÓLIO'!$S$4:$S$564),
0
)
),
0)</f>
        <v>0</v>
      </c>
      <c r="Q404" s="49">
        <f t="shared" si="12"/>
        <v>0</v>
      </c>
      <c r="R404" s="49">
        <f t="shared" si="2"/>
        <v>0</v>
      </c>
      <c r="S404" s="49">
        <f t="shared" si="13"/>
        <v>0</v>
      </c>
    </row>
    <row r="405" ht="15.75" hidden="1" customHeight="1" outlineLevel="1">
      <c r="A405" s="42"/>
      <c r="B405" s="49">
        <f t="array" ref="B405">IFERROR(
SUM(
IF(
'PORTIFÓLIO'!$C$4:$C$564=$A405,
N(INDEX('PORTIFÓLIO'!$J$4:$Q$564,,MATCH(B$2,'PORTIFÓLIO'!$J$3:$Q$3,0))) *
N('PORTIFÓLIO'!$S$4:$S$564),
0
)
),
0)</f>
        <v>0</v>
      </c>
      <c r="C405" s="49">
        <f t="shared" si="5"/>
        <v>0</v>
      </c>
      <c r="D405" s="49">
        <f t="array" ref="D405">IFERROR(
SUM(
IF(
'PORTIFÓLIO'!$C$4:$C$564=$A405,
N(INDEX('PORTIFÓLIO'!$J$4:$Q$564,,MATCH(D$2,'PORTIFÓLIO'!$J$3:$Q$3,0))) *
N('PORTIFÓLIO'!$S$4:$S$564),
0
)
),
0)</f>
        <v>0</v>
      </c>
      <c r="E405" s="49">
        <f t="shared" si="14"/>
        <v>0</v>
      </c>
      <c r="F405" s="49">
        <f t="array" ref="F405">IFERROR(
SUM(
IF(
'PORTIFÓLIO'!$C$4:$C$564=$A405,
N(INDEX('PORTIFÓLIO'!$J$4:$Q$564,,MATCH(F$2,'PORTIFÓLIO'!$J$3:$Q$3,0))) *
N('PORTIFÓLIO'!$S$4:$S$564),
0
)
),
0)</f>
        <v>0</v>
      </c>
      <c r="G405" s="47">
        <f t="shared" si="7"/>
        <v>0</v>
      </c>
      <c r="H405" s="49">
        <f t="array" ref="H405">IFERROR(
SUM(
IF(
'PORTIFÓLIO'!$C$4:$C$564=$A405,
N(INDEX('PORTIFÓLIO'!$J$4:$Q$564,,MATCH(H$2,'PORTIFÓLIO'!$J$3:$Q$3,0))) *
N('PORTIFÓLIO'!$S$4:$S$564),
0
)
),
0)</f>
        <v>0</v>
      </c>
      <c r="I405" s="47">
        <f t="shared" si="8"/>
        <v>0</v>
      </c>
      <c r="J405" s="49">
        <f t="array" ref="J405">IFERROR(
SUM(
IF(
'PORTIFÓLIO'!$C$4:$C$564=$A405,
N(INDEX('PORTIFÓLIO'!$J$4:$Q$564,,MATCH(J$2,'PORTIFÓLIO'!$J$3:$Q$3,0))) *
N('PORTIFÓLIO'!$S$4:$S$564),
0
)
),
0)</f>
        <v>0</v>
      </c>
      <c r="K405" s="47">
        <f t="shared" si="9"/>
        <v>0</v>
      </c>
      <c r="L405" s="49">
        <f t="array" ref="L405">IFERROR(
SUM(
IF(
'PORTIFÓLIO'!$C$4:$C$564=$A405,
N(INDEX('PORTIFÓLIO'!$J$4:$Q$564,,MATCH(L$2,'PORTIFÓLIO'!$J$3:$Q$3,0))) *
N('PORTIFÓLIO'!$S$4:$S$564),
0
)
),
0)</f>
        <v>0</v>
      </c>
      <c r="M405" s="47">
        <f t="shared" si="10"/>
        <v>0</v>
      </c>
      <c r="N405" s="49">
        <f t="array" ref="N405">IFERROR(
SUM(
IF(
'PORTIFÓLIO'!$C$4:$C$564=$A405,
N(INDEX('PORTIFÓLIO'!$J$4:$Q$564,,MATCH(N$2,'PORTIFÓLIO'!$J$3:$Q$3,0))) *
N('PORTIFÓLIO'!$S$4:$S$564),
0
)
),
0)</f>
        <v>0</v>
      </c>
      <c r="O405" s="49">
        <f t="shared" si="11"/>
        <v>0</v>
      </c>
      <c r="P405" s="49">
        <f t="array" ref="P405">IFERROR(
SUM(
IF(
'PORTIFÓLIO'!$C$4:$C$564=$A405,
N(INDEX('PORTIFÓLIO'!$J$4:$Q$564,,MATCH(P$2,'PORTIFÓLIO'!$J$3:$Q$3,0))) *
N('PORTIFÓLIO'!$S$4:$S$564),
0
)
),
0)</f>
        <v>0</v>
      </c>
      <c r="Q405" s="49">
        <f t="shared" si="12"/>
        <v>0</v>
      </c>
      <c r="R405" s="49">
        <f t="shared" si="2"/>
        <v>0</v>
      </c>
      <c r="S405" s="49">
        <f t="shared" si="13"/>
        <v>0</v>
      </c>
    </row>
    <row r="406" ht="15.75" hidden="1" customHeight="1" outlineLevel="1">
      <c r="A406" s="42"/>
      <c r="B406" s="49">
        <f t="array" ref="B406">IFERROR(
SUM(
IF(
'PORTIFÓLIO'!$C$4:$C$564=$A406,
N(INDEX('PORTIFÓLIO'!$J$4:$Q$564,,MATCH(B$2,'PORTIFÓLIO'!$J$3:$Q$3,0))) *
N('PORTIFÓLIO'!$S$4:$S$564),
0
)
),
0)</f>
        <v>0</v>
      </c>
      <c r="C406" s="49">
        <f t="shared" si="5"/>
        <v>0</v>
      </c>
      <c r="D406" s="49">
        <f t="array" ref="D406">IFERROR(
SUM(
IF(
'PORTIFÓLIO'!$C$4:$C$564=$A406,
N(INDEX('PORTIFÓLIO'!$J$4:$Q$564,,MATCH(D$2,'PORTIFÓLIO'!$J$3:$Q$3,0))) *
N('PORTIFÓLIO'!$S$4:$S$564),
0
)
),
0)</f>
        <v>0</v>
      </c>
      <c r="E406" s="49">
        <f t="shared" si="14"/>
        <v>0</v>
      </c>
      <c r="F406" s="49">
        <f t="array" ref="F406">IFERROR(
SUM(
IF(
'PORTIFÓLIO'!$C$4:$C$564=$A406,
N(INDEX('PORTIFÓLIO'!$J$4:$Q$564,,MATCH(F$2,'PORTIFÓLIO'!$J$3:$Q$3,0))) *
N('PORTIFÓLIO'!$S$4:$S$564),
0
)
),
0)</f>
        <v>0</v>
      </c>
      <c r="G406" s="47">
        <f t="shared" si="7"/>
        <v>0</v>
      </c>
      <c r="H406" s="49">
        <f t="array" ref="H406">IFERROR(
SUM(
IF(
'PORTIFÓLIO'!$C$4:$C$564=$A406,
N(INDEX('PORTIFÓLIO'!$J$4:$Q$564,,MATCH(H$2,'PORTIFÓLIO'!$J$3:$Q$3,0))) *
N('PORTIFÓLIO'!$S$4:$S$564),
0
)
),
0)</f>
        <v>0</v>
      </c>
      <c r="I406" s="47">
        <f t="shared" si="8"/>
        <v>0</v>
      </c>
      <c r="J406" s="49">
        <f t="array" ref="J406">IFERROR(
SUM(
IF(
'PORTIFÓLIO'!$C$4:$C$564=$A406,
N(INDEX('PORTIFÓLIO'!$J$4:$Q$564,,MATCH(J$2,'PORTIFÓLIO'!$J$3:$Q$3,0))) *
N('PORTIFÓLIO'!$S$4:$S$564),
0
)
),
0)</f>
        <v>0</v>
      </c>
      <c r="K406" s="47">
        <f t="shared" si="9"/>
        <v>0</v>
      </c>
      <c r="L406" s="49">
        <f t="array" ref="L406">IFERROR(
SUM(
IF(
'PORTIFÓLIO'!$C$4:$C$564=$A406,
N(INDEX('PORTIFÓLIO'!$J$4:$Q$564,,MATCH(L$2,'PORTIFÓLIO'!$J$3:$Q$3,0))) *
N('PORTIFÓLIO'!$S$4:$S$564),
0
)
),
0)</f>
        <v>0</v>
      </c>
      <c r="M406" s="47">
        <f t="shared" si="10"/>
        <v>0</v>
      </c>
      <c r="N406" s="49">
        <f t="array" ref="N406">IFERROR(
SUM(
IF(
'PORTIFÓLIO'!$C$4:$C$564=$A406,
N(INDEX('PORTIFÓLIO'!$J$4:$Q$564,,MATCH(N$2,'PORTIFÓLIO'!$J$3:$Q$3,0))) *
N('PORTIFÓLIO'!$S$4:$S$564),
0
)
),
0)</f>
        <v>0</v>
      </c>
      <c r="O406" s="49">
        <f t="shared" si="11"/>
        <v>0</v>
      </c>
      <c r="P406" s="49">
        <f t="array" ref="P406">IFERROR(
SUM(
IF(
'PORTIFÓLIO'!$C$4:$C$564=$A406,
N(INDEX('PORTIFÓLIO'!$J$4:$Q$564,,MATCH(P$2,'PORTIFÓLIO'!$J$3:$Q$3,0))) *
N('PORTIFÓLIO'!$S$4:$S$564),
0
)
),
0)</f>
        <v>0</v>
      </c>
      <c r="Q406" s="49">
        <f t="shared" si="12"/>
        <v>0</v>
      </c>
      <c r="R406" s="49">
        <f t="shared" si="2"/>
        <v>0</v>
      </c>
      <c r="S406" s="49">
        <f t="shared" si="13"/>
        <v>0</v>
      </c>
    </row>
    <row r="407" ht="15.75" hidden="1" customHeight="1" outlineLevel="1">
      <c r="A407" s="42"/>
      <c r="B407" s="49">
        <f t="array" ref="B407">IFERROR(
SUM(
IF(
'PORTIFÓLIO'!$C$4:$C$564=$A407,
N(INDEX('PORTIFÓLIO'!$J$4:$Q$564,,MATCH(B$2,'PORTIFÓLIO'!$J$3:$Q$3,0))) *
N('PORTIFÓLIO'!$S$4:$S$564),
0
)
),
0)</f>
        <v>0</v>
      </c>
      <c r="C407" s="49">
        <f t="shared" si="5"/>
        <v>0</v>
      </c>
      <c r="D407" s="49">
        <f t="array" ref="D407">IFERROR(
SUM(
IF(
'PORTIFÓLIO'!$C$4:$C$564=$A407,
N(INDEX('PORTIFÓLIO'!$J$4:$Q$564,,MATCH(D$2,'PORTIFÓLIO'!$J$3:$Q$3,0))) *
N('PORTIFÓLIO'!$S$4:$S$564),
0
)
),
0)</f>
        <v>0</v>
      </c>
      <c r="E407" s="49">
        <f t="shared" si="14"/>
        <v>0</v>
      </c>
      <c r="F407" s="49">
        <f t="array" ref="F407">IFERROR(
SUM(
IF(
'PORTIFÓLIO'!$C$4:$C$564=$A407,
N(INDEX('PORTIFÓLIO'!$J$4:$Q$564,,MATCH(F$2,'PORTIFÓLIO'!$J$3:$Q$3,0))) *
N('PORTIFÓLIO'!$S$4:$S$564),
0
)
),
0)</f>
        <v>0</v>
      </c>
      <c r="G407" s="47">
        <f t="shared" si="7"/>
        <v>0</v>
      </c>
      <c r="H407" s="49">
        <f t="array" ref="H407">IFERROR(
SUM(
IF(
'PORTIFÓLIO'!$C$4:$C$564=$A407,
N(INDEX('PORTIFÓLIO'!$J$4:$Q$564,,MATCH(H$2,'PORTIFÓLIO'!$J$3:$Q$3,0))) *
N('PORTIFÓLIO'!$S$4:$S$564),
0
)
),
0)</f>
        <v>0</v>
      </c>
      <c r="I407" s="47">
        <f t="shared" si="8"/>
        <v>0</v>
      </c>
      <c r="J407" s="49">
        <f t="array" ref="J407">IFERROR(
SUM(
IF(
'PORTIFÓLIO'!$C$4:$C$564=$A407,
N(INDEX('PORTIFÓLIO'!$J$4:$Q$564,,MATCH(J$2,'PORTIFÓLIO'!$J$3:$Q$3,0))) *
N('PORTIFÓLIO'!$S$4:$S$564),
0
)
),
0)</f>
        <v>0</v>
      </c>
      <c r="K407" s="47">
        <f t="shared" si="9"/>
        <v>0</v>
      </c>
      <c r="L407" s="49">
        <f t="array" ref="L407">IFERROR(
SUM(
IF(
'PORTIFÓLIO'!$C$4:$C$564=$A407,
N(INDEX('PORTIFÓLIO'!$J$4:$Q$564,,MATCH(L$2,'PORTIFÓLIO'!$J$3:$Q$3,0))) *
N('PORTIFÓLIO'!$S$4:$S$564),
0
)
),
0)</f>
        <v>0</v>
      </c>
      <c r="M407" s="47">
        <f t="shared" si="10"/>
        <v>0</v>
      </c>
      <c r="N407" s="49">
        <f t="array" ref="N407">IFERROR(
SUM(
IF(
'PORTIFÓLIO'!$C$4:$C$564=$A407,
N(INDEX('PORTIFÓLIO'!$J$4:$Q$564,,MATCH(N$2,'PORTIFÓLIO'!$J$3:$Q$3,0))) *
N('PORTIFÓLIO'!$S$4:$S$564),
0
)
),
0)</f>
        <v>0</v>
      </c>
      <c r="O407" s="49">
        <f t="shared" si="11"/>
        <v>0</v>
      </c>
      <c r="P407" s="49">
        <f t="array" ref="P407">IFERROR(
SUM(
IF(
'PORTIFÓLIO'!$C$4:$C$564=$A407,
N(INDEX('PORTIFÓLIO'!$J$4:$Q$564,,MATCH(P$2,'PORTIFÓLIO'!$J$3:$Q$3,0))) *
N('PORTIFÓLIO'!$S$4:$S$564),
0
)
),
0)</f>
        <v>0</v>
      </c>
      <c r="Q407" s="49">
        <f t="shared" si="12"/>
        <v>0</v>
      </c>
      <c r="R407" s="49">
        <f t="shared" si="2"/>
        <v>0</v>
      </c>
      <c r="S407" s="49">
        <f t="shared" si="13"/>
        <v>0</v>
      </c>
    </row>
    <row r="408" ht="15.75" hidden="1" customHeight="1" outlineLevel="1">
      <c r="A408" s="42"/>
      <c r="B408" s="49">
        <f t="array" ref="B408">IFERROR(
SUM(
IF(
'PORTIFÓLIO'!$C$4:$C$564=$A408,
N(INDEX('PORTIFÓLIO'!$J$4:$Q$564,,MATCH(B$2,'PORTIFÓLIO'!$J$3:$Q$3,0))) *
N('PORTIFÓLIO'!$S$4:$S$564),
0
)
),
0)</f>
        <v>0</v>
      </c>
      <c r="C408" s="49">
        <f t="shared" si="5"/>
        <v>0</v>
      </c>
      <c r="D408" s="49">
        <f t="array" ref="D408">IFERROR(
SUM(
IF(
'PORTIFÓLIO'!$C$4:$C$564=$A408,
N(INDEX('PORTIFÓLIO'!$J$4:$Q$564,,MATCH(D$2,'PORTIFÓLIO'!$J$3:$Q$3,0))) *
N('PORTIFÓLIO'!$S$4:$S$564),
0
)
),
0)</f>
        <v>0</v>
      </c>
      <c r="E408" s="49">
        <f t="shared" si="14"/>
        <v>0</v>
      </c>
      <c r="F408" s="49">
        <f t="array" ref="F408">IFERROR(
SUM(
IF(
'PORTIFÓLIO'!$C$4:$C$564=$A408,
N(INDEX('PORTIFÓLIO'!$J$4:$Q$564,,MATCH(F$2,'PORTIFÓLIO'!$J$3:$Q$3,0))) *
N('PORTIFÓLIO'!$S$4:$S$564),
0
)
),
0)</f>
        <v>0</v>
      </c>
      <c r="G408" s="47">
        <f t="shared" si="7"/>
        <v>0</v>
      </c>
      <c r="H408" s="49">
        <f t="array" ref="H408">IFERROR(
SUM(
IF(
'PORTIFÓLIO'!$C$4:$C$564=$A408,
N(INDEX('PORTIFÓLIO'!$J$4:$Q$564,,MATCH(H$2,'PORTIFÓLIO'!$J$3:$Q$3,0))) *
N('PORTIFÓLIO'!$S$4:$S$564),
0
)
),
0)</f>
        <v>0</v>
      </c>
      <c r="I408" s="47">
        <f t="shared" si="8"/>
        <v>0</v>
      </c>
      <c r="J408" s="49">
        <f t="array" ref="J408">IFERROR(
SUM(
IF(
'PORTIFÓLIO'!$C$4:$C$564=$A408,
N(INDEX('PORTIFÓLIO'!$J$4:$Q$564,,MATCH(J$2,'PORTIFÓLIO'!$J$3:$Q$3,0))) *
N('PORTIFÓLIO'!$S$4:$S$564),
0
)
),
0)</f>
        <v>0</v>
      </c>
      <c r="K408" s="47">
        <f t="shared" si="9"/>
        <v>0</v>
      </c>
      <c r="L408" s="49">
        <f t="array" ref="L408">IFERROR(
SUM(
IF(
'PORTIFÓLIO'!$C$4:$C$564=$A408,
N(INDEX('PORTIFÓLIO'!$J$4:$Q$564,,MATCH(L$2,'PORTIFÓLIO'!$J$3:$Q$3,0))) *
N('PORTIFÓLIO'!$S$4:$S$564),
0
)
),
0)</f>
        <v>0</v>
      </c>
      <c r="M408" s="47">
        <f t="shared" si="10"/>
        <v>0</v>
      </c>
      <c r="N408" s="49">
        <f t="array" ref="N408">IFERROR(
SUM(
IF(
'PORTIFÓLIO'!$C$4:$C$564=$A408,
N(INDEX('PORTIFÓLIO'!$J$4:$Q$564,,MATCH(N$2,'PORTIFÓLIO'!$J$3:$Q$3,0))) *
N('PORTIFÓLIO'!$S$4:$S$564),
0
)
),
0)</f>
        <v>0</v>
      </c>
      <c r="O408" s="49">
        <f t="shared" si="11"/>
        <v>0</v>
      </c>
      <c r="P408" s="49">
        <f t="array" ref="P408">IFERROR(
SUM(
IF(
'PORTIFÓLIO'!$C$4:$C$564=$A408,
N(INDEX('PORTIFÓLIO'!$J$4:$Q$564,,MATCH(P$2,'PORTIFÓLIO'!$J$3:$Q$3,0))) *
N('PORTIFÓLIO'!$S$4:$S$564),
0
)
),
0)</f>
        <v>0</v>
      </c>
      <c r="Q408" s="49">
        <f t="shared" si="12"/>
        <v>0</v>
      </c>
      <c r="R408" s="49">
        <f t="shared" si="2"/>
        <v>0</v>
      </c>
      <c r="S408" s="49">
        <f t="shared" si="13"/>
        <v>0</v>
      </c>
    </row>
    <row r="409" ht="15.75" hidden="1" customHeight="1" outlineLevel="1">
      <c r="A409" s="42"/>
      <c r="B409" s="49">
        <f t="array" ref="B409">IFERROR(
SUM(
IF(
'PORTIFÓLIO'!$C$4:$C$564=$A409,
N(INDEX('PORTIFÓLIO'!$J$4:$Q$564,,MATCH(B$2,'PORTIFÓLIO'!$J$3:$Q$3,0))) *
N('PORTIFÓLIO'!$S$4:$S$564),
0
)
),
0)</f>
        <v>0</v>
      </c>
      <c r="C409" s="49">
        <f t="shared" si="5"/>
        <v>0</v>
      </c>
      <c r="D409" s="49">
        <f t="array" ref="D409">IFERROR(
SUM(
IF(
'PORTIFÓLIO'!$C$4:$C$564=$A409,
N(INDEX('PORTIFÓLIO'!$J$4:$Q$564,,MATCH(D$2,'PORTIFÓLIO'!$J$3:$Q$3,0))) *
N('PORTIFÓLIO'!$S$4:$S$564),
0
)
),
0)</f>
        <v>0</v>
      </c>
      <c r="E409" s="49">
        <f t="shared" si="14"/>
        <v>0</v>
      </c>
      <c r="F409" s="49">
        <f t="array" ref="F409">IFERROR(
SUM(
IF(
'PORTIFÓLIO'!$C$4:$C$564=$A409,
N(INDEX('PORTIFÓLIO'!$J$4:$Q$564,,MATCH(F$2,'PORTIFÓLIO'!$J$3:$Q$3,0))) *
N('PORTIFÓLIO'!$S$4:$S$564),
0
)
),
0)</f>
        <v>0</v>
      </c>
      <c r="G409" s="47">
        <f t="shared" si="7"/>
        <v>0</v>
      </c>
      <c r="H409" s="49">
        <f t="array" ref="H409">IFERROR(
SUM(
IF(
'PORTIFÓLIO'!$C$4:$C$564=$A409,
N(INDEX('PORTIFÓLIO'!$J$4:$Q$564,,MATCH(H$2,'PORTIFÓLIO'!$J$3:$Q$3,0))) *
N('PORTIFÓLIO'!$S$4:$S$564),
0
)
),
0)</f>
        <v>0</v>
      </c>
      <c r="I409" s="47">
        <f t="shared" si="8"/>
        <v>0</v>
      </c>
      <c r="J409" s="49">
        <f t="array" ref="J409">IFERROR(
SUM(
IF(
'PORTIFÓLIO'!$C$4:$C$564=$A409,
N(INDEX('PORTIFÓLIO'!$J$4:$Q$564,,MATCH(J$2,'PORTIFÓLIO'!$J$3:$Q$3,0))) *
N('PORTIFÓLIO'!$S$4:$S$564),
0
)
),
0)</f>
        <v>0</v>
      </c>
      <c r="K409" s="47">
        <f t="shared" si="9"/>
        <v>0</v>
      </c>
      <c r="L409" s="49">
        <f t="array" ref="L409">IFERROR(
SUM(
IF(
'PORTIFÓLIO'!$C$4:$C$564=$A409,
N(INDEX('PORTIFÓLIO'!$J$4:$Q$564,,MATCH(L$2,'PORTIFÓLIO'!$J$3:$Q$3,0))) *
N('PORTIFÓLIO'!$S$4:$S$564),
0
)
),
0)</f>
        <v>0</v>
      </c>
      <c r="M409" s="47">
        <f t="shared" si="10"/>
        <v>0</v>
      </c>
      <c r="N409" s="49">
        <f t="array" ref="N409">IFERROR(
SUM(
IF(
'PORTIFÓLIO'!$C$4:$C$564=$A409,
N(INDEX('PORTIFÓLIO'!$J$4:$Q$564,,MATCH(N$2,'PORTIFÓLIO'!$J$3:$Q$3,0))) *
N('PORTIFÓLIO'!$S$4:$S$564),
0
)
),
0)</f>
        <v>0</v>
      </c>
      <c r="O409" s="49">
        <f t="shared" si="11"/>
        <v>0</v>
      </c>
      <c r="P409" s="49">
        <f t="array" ref="P409">IFERROR(
SUM(
IF(
'PORTIFÓLIO'!$C$4:$C$564=$A409,
N(INDEX('PORTIFÓLIO'!$J$4:$Q$564,,MATCH(P$2,'PORTIFÓLIO'!$J$3:$Q$3,0))) *
N('PORTIFÓLIO'!$S$4:$S$564),
0
)
),
0)</f>
        <v>0</v>
      </c>
      <c r="Q409" s="49">
        <f t="shared" si="12"/>
        <v>0</v>
      </c>
      <c r="R409" s="49">
        <f t="shared" si="2"/>
        <v>0</v>
      </c>
      <c r="S409" s="49">
        <f t="shared" si="13"/>
        <v>0</v>
      </c>
    </row>
    <row r="410" ht="15.75" hidden="1" customHeight="1" outlineLevel="1">
      <c r="A410" s="42"/>
      <c r="B410" s="49">
        <f t="array" ref="B410">IFERROR(
SUM(
IF(
'PORTIFÓLIO'!$C$4:$C$564=$A410,
N(INDEX('PORTIFÓLIO'!$J$4:$Q$564,,MATCH(B$2,'PORTIFÓLIO'!$J$3:$Q$3,0))) *
N('PORTIFÓLIO'!$S$4:$S$564),
0
)
),
0)</f>
        <v>0</v>
      </c>
      <c r="C410" s="49">
        <f t="shared" si="5"/>
        <v>0</v>
      </c>
      <c r="D410" s="49">
        <f t="array" ref="D410">IFERROR(
SUM(
IF(
'PORTIFÓLIO'!$C$4:$C$564=$A410,
N(INDEX('PORTIFÓLIO'!$J$4:$Q$564,,MATCH(D$2,'PORTIFÓLIO'!$J$3:$Q$3,0))) *
N('PORTIFÓLIO'!$S$4:$S$564),
0
)
),
0)</f>
        <v>0</v>
      </c>
      <c r="E410" s="49">
        <f t="shared" si="14"/>
        <v>0</v>
      </c>
      <c r="F410" s="49">
        <f t="array" ref="F410">IFERROR(
SUM(
IF(
'PORTIFÓLIO'!$C$4:$C$564=$A410,
N(INDEX('PORTIFÓLIO'!$J$4:$Q$564,,MATCH(F$2,'PORTIFÓLIO'!$J$3:$Q$3,0))) *
N('PORTIFÓLIO'!$S$4:$S$564),
0
)
),
0)</f>
        <v>0</v>
      </c>
      <c r="G410" s="47">
        <f t="shared" si="7"/>
        <v>0</v>
      </c>
      <c r="H410" s="49">
        <f t="array" ref="H410">IFERROR(
SUM(
IF(
'PORTIFÓLIO'!$C$4:$C$564=$A410,
N(INDEX('PORTIFÓLIO'!$J$4:$Q$564,,MATCH(H$2,'PORTIFÓLIO'!$J$3:$Q$3,0))) *
N('PORTIFÓLIO'!$S$4:$S$564),
0
)
),
0)</f>
        <v>0</v>
      </c>
      <c r="I410" s="47">
        <f t="shared" si="8"/>
        <v>0</v>
      </c>
      <c r="J410" s="49">
        <f t="array" ref="J410">IFERROR(
SUM(
IF(
'PORTIFÓLIO'!$C$4:$C$564=$A410,
N(INDEX('PORTIFÓLIO'!$J$4:$Q$564,,MATCH(J$2,'PORTIFÓLIO'!$J$3:$Q$3,0))) *
N('PORTIFÓLIO'!$S$4:$S$564),
0
)
),
0)</f>
        <v>0</v>
      </c>
      <c r="K410" s="47">
        <f t="shared" si="9"/>
        <v>0</v>
      </c>
      <c r="L410" s="49">
        <f t="array" ref="L410">IFERROR(
SUM(
IF(
'PORTIFÓLIO'!$C$4:$C$564=$A410,
N(INDEX('PORTIFÓLIO'!$J$4:$Q$564,,MATCH(L$2,'PORTIFÓLIO'!$J$3:$Q$3,0))) *
N('PORTIFÓLIO'!$S$4:$S$564),
0
)
),
0)</f>
        <v>0</v>
      </c>
      <c r="M410" s="47">
        <f t="shared" si="10"/>
        <v>0</v>
      </c>
      <c r="N410" s="49">
        <f t="array" ref="N410">IFERROR(
SUM(
IF(
'PORTIFÓLIO'!$C$4:$C$564=$A410,
N(INDEX('PORTIFÓLIO'!$J$4:$Q$564,,MATCH(N$2,'PORTIFÓLIO'!$J$3:$Q$3,0))) *
N('PORTIFÓLIO'!$S$4:$S$564),
0
)
),
0)</f>
        <v>0</v>
      </c>
      <c r="O410" s="49">
        <f t="shared" si="11"/>
        <v>0</v>
      </c>
      <c r="P410" s="49">
        <f t="array" ref="P410">IFERROR(
SUM(
IF(
'PORTIFÓLIO'!$C$4:$C$564=$A410,
N(INDEX('PORTIFÓLIO'!$J$4:$Q$564,,MATCH(P$2,'PORTIFÓLIO'!$J$3:$Q$3,0))) *
N('PORTIFÓLIO'!$S$4:$S$564),
0
)
),
0)</f>
        <v>0</v>
      </c>
      <c r="Q410" s="49">
        <f t="shared" si="12"/>
        <v>0</v>
      </c>
      <c r="R410" s="49">
        <f t="shared" si="2"/>
        <v>0</v>
      </c>
      <c r="S410" s="49">
        <f t="shared" si="13"/>
        <v>0</v>
      </c>
    </row>
    <row r="411" ht="15.75" hidden="1" customHeight="1" outlineLevel="1">
      <c r="A411" s="42"/>
      <c r="B411" s="49">
        <f t="array" ref="B411">IFERROR(
SUM(
IF(
'PORTIFÓLIO'!$C$4:$C$564=$A411,
N(INDEX('PORTIFÓLIO'!$J$4:$Q$564,,MATCH(B$2,'PORTIFÓLIO'!$J$3:$Q$3,0))) *
N('PORTIFÓLIO'!$S$4:$S$564),
0
)
),
0)</f>
        <v>0</v>
      </c>
      <c r="C411" s="49">
        <f t="shared" si="5"/>
        <v>0</v>
      </c>
      <c r="D411" s="49">
        <f t="array" ref="D411">IFERROR(
SUM(
IF(
'PORTIFÓLIO'!$C$4:$C$564=$A411,
N(INDEX('PORTIFÓLIO'!$J$4:$Q$564,,MATCH(D$2,'PORTIFÓLIO'!$J$3:$Q$3,0))) *
N('PORTIFÓLIO'!$S$4:$S$564),
0
)
),
0)</f>
        <v>0</v>
      </c>
      <c r="E411" s="49">
        <f t="shared" si="14"/>
        <v>0</v>
      </c>
      <c r="F411" s="49">
        <f t="array" ref="F411">IFERROR(
SUM(
IF(
'PORTIFÓLIO'!$C$4:$C$564=$A411,
N(INDEX('PORTIFÓLIO'!$J$4:$Q$564,,MATCH(F$2,'PORTIFÓLIO'!$J$3:$Q$3,0))) *
N('PORTIFÓLIO'!$S$4:$S$564),
0
)
),
0)</f>
        <v>0</v>
      </c>
      <c r="G411" s="47">
        <f t="shared" si="7"/>
        <v>0</v>
      </c>
      <c r="H411" s="49">
        <f t="array" ref="H411">IFERROR(
SUM(
IF(
'PORTIFÓLIO'!$C$4:$C$564=$A411,
N(INDEX('PORTIFÓLIO'!$J$4:$Q$564,,MATCH(H$2,'PORTIFÓLIO'!$J$3:$Q$3,0))) *
N('PORTIFÓLIO'!$S$4:$S$564),
0
)
),
0)</f>
        <v>0</v>
      </c>
      <c r="I411" s="47">
        <f t="shared" si="8"/>
        <v>0</v>
      </c>
      <c r="J411" s="49">
        <f t="array" ref="J411">IFERROR(
SUM(
IF(
'PORTIFÓLIO'!$C$4:$C$564=$A411,
N(INDEX('PORTIFÓLIO'!$J$4:$Q$564,,MATCH(J$2,'PORTIFÓLIO'!$J$3:$Q$3,0))) *
N('PORTIFÓLIO'!$S$4:$S$564),
0
)
),
0)</f>
        <v>0</v>
      </c>
      <c r="K411" s="47">
        <f t="shared" si="9"/>
        <v>0</v>
      </c>
      <c r="L411" s="49">
        <f t="array" ref="L411">IFERROR(
SUM(
IF(
'PORTIFÓLIO'!$C$4:$C$564=$A411,
N(INDEX('PORTIFÓLIO'!$J$4:$Q$564,,MATCH(L$2,'PORTIFÓLIO'!$J$3:$Q$3,0))) *
N('PORTIFÓLIO'!$S$4:$S$564),
0
)
),
0)</f>
        <v>0</v>
      </c>
      <c r="M411" s="47">
        <f t="shared" si="10"/>
        <v>0</v>
      </c>
      <c r="N411" s="49">
        <f t="array" ref="N411">IFERROR(
SUM(
IF(
'PORTIFÓLIO'!$C$4:$C$564=$A411,
N(INDEX('PORTIFÓLIO'!$J$4:$Q$564,,MATCH(N$2,'PORTIFÓLIO'!$J$3:$Q$3,0))) *
N('PORTIFÓLIO'!$S$4:$S$564),
0
)
),
0)</f>
        <v>0</v>
      </c>
      <c r="O411" s="49">
        <f t="shared" si="11"/>
        <v>0</v>
      </c>
      <c r="P411" s="49">
        <f t="array" ref="P411">IFERROR(
SUM(
IF(
'PORTIFÓLIO'!$C$4:$C$564=$A411,
N(INDEX('PORTIFÓLIO'!$J$4:$Q$564,,MATCH(P$2,'PORTIFÓLIO'!$J$3:$Q$3,0))) *
N('PORTIFÓLIO'!$S$4:$S$564),
0
)
),
0)</f>
        <v>0</v>
      </c>
      <c r="Q411" s="49">
        <f t="shared" si="12"/>
        <v>0</v>
      </c>
      <c r="R411" s="49">
        <f t="shared" si="2"/>
        <v>0</v>
      </c>
      <c r="S411" s="49">
        <f t="shared" si="13"/>
        <v>0</v>
      </c>
    </row>
    <row r="412" ht="15.75" hidden="1" customHeight="1" outlineLevel="1">
      <c r="A412" s="42"/>
      <c r="B412" s="49">
        <f t="array" ref="B412">IFERROR(
SUM(
IF(
'PORTIFÓLIO'!$C$4:$C$564=$A412,
N(INDEX('PORTIFÓLIO'!$J$4:$Q$564,,MATCH(B$2,'PORTIFÓLIO'!$J$3:$Q$3,0))) *
N('PORTIFÓLIO'!$S$4:$S$564),
0
)
),
0)</f>
        <v>0</v>
      </c>
      <c r="C412" s="49">
        <f t="shared" si="5"/>
        <v>0</v>
      </c>
      <c r="D412" s="49">
        <f t="array" ref="D412">IFERROR(
SUM(
IF(
'PORTIFÓLIO'!$C$4:$C$564=$A412,
N(INDEX('PORTIFÓLIO'!$J$4:$Q$564,,MATCH(D$2,'PORTIFÓLIO'!$J$3:$Q$3,0))) *
N('PORTIFÓLIO'!$S$4:$S$564),
0
)
),
0)</f>
        <v>0</v>
      </c>
      <c r="E412" s="49">
        <f t="shared" si="14"/>
        <v>0</v>
      </c>
      <c r="F412" s="49">
        <f t="array" ref="F412">IFERROR(
SUM(
IF(
'PORTIFÓLIO'!$C$4:$C$564=$A412,
N(INDEX('PORTIFÓLIO'!$J$4:$Q$564,,MATCH(F$2,'PORTIFÓLIO'!$J$3:$Q$3,0))) *
N('PORTIFÓLIO'!$S$4:$S$564),
0
)
),
0)</f>
        <v>0</v>
      </c>
      <c r="G412" s="47">
        <f t="shared" si="7"/>
        <v>0</v>
      </c>
      <c r="H412" s="49">
        <f t="array" ref="H412">IFERROR(
SUM(
IF(
'PORTIFÓLIO'!$C$4:$C$564=$A412,
N(INDEX('PORTIFÓLIO'!$J$4:$Q$564,,MATCH(H$2,'PORTIFÓLIO'!$J$3:$Q$3,0))) *
N('PORTIFÓLIO'!$S$4:$S$564),
0
)
),
0)</f>
        <v>0</v>
      </c>
      <c r="I412" s="47">
        <f t="shared" si="8"/>
        <v>0</v>
      </c>
      <c r="J412" s="49">
        <f t="array" ref="J412">IFERROR(
SUM(
IF(
'PORTIFÓLIO'!$C$4:$C$564=$A412,
N(INDEX('PORTIFÓLIO'!$J$4:$Q$564,,MATCH(J$2,'PORTIFÓLIO'!$J$3:$Q$3,0))) *
N('PORTIFÓLIO'!$S$4:$S$564),
0
)
),
0)</f>
        <v>0</v>
      </c>
      <c r="K412" s="47">
        <f t="shared" si="9"/>
        <v>0</v>
      </c>
      <c r="L412" s="49">
        <f t="array" ref="L412">IFERROR(
SUM(
IF(
'PORTIFÓLIO'!$C$4:$C$564=$A412,
N(INDEX('PORTIFÓLIO'!$J$4:$Q$564,,MATCH(L$2,'PORTIFÓLIO'!$J$3:$Q$3,0))) *
N('PORTIFÓLIO'!$S$4:$S$564),
0
)
),
0)</f>
        <v>0</v>
      </c>
      <c r="M412" s="47">
        <f t="shared" si="10"/>
        <v>0</v>
      </c>
      <c r="N412" s="49">
        <f t="array" ref="N412">IFERROR(
SUM(
IF(
'PORTIFÓLIO'!$C$4:$C$564=$A412,
N(INDEX('PORTIFÓLIO'!$J$4:$Q$564,,MATCH(N$2,'PORTIFÓLIO'!$J$3:$Q$3,0))) *
N('PORTIFÓLIO'!$S$4:$S$564),
0
)
),
0)</f>
        <v>0</v>
      </c>
      <c r="O412" s="49">
        <f t="shared" si="11"/>
        <v>0</v>
      </c>
      <c r="P412" s="49">
        <f t="array" ref="P412">IFERROR(
SUM(
IF(
'PORTIFÓLIO'!$C$4:$C$564=$A412,
N(INDEX('PORTIFÓLIO'!$J$4:$Q$564,,MATCH(P$2,'PORTIFÓLIO'!$J$3:$Q$3,0))) *
N('PORTIFÓLIO'!$S$4:$S$564),
0
)
),
0)</f>
        <v>0</v>
      </c>
      <c r="Q412" s="49">
        <f t="shared" si="12"/>
        <v>0</v>
      </c>
      <c r="R412" s="49">
        <f t="shared" si="2"/>
        <v>0</v>
      </c>
      <c r="S412" s="49">
        <f t="shared" si="13"/>
        <v>0</v>
      </c>
    </row>
    <row r="413" ht="15.75" hidden="1" customHeight="1" outlineLevel="1">
      <c r="A413" s="42"/>
      <c r="B413" s="49">
        <f t="array" ref="B413">IFERROR(
SUM(
IF(
'PORTIFÓLIO'!$C$4:$C$564=$A413,
N(INDEX('PORTIFÓLIO'!$J$4:$Q$564,,MATCH(B$2,'PORTIFÓLIO'!$J$3:$Q$3,0))) *
N('PORTIFÓLIO'!$S$4:$S$564),
0
)
),
0)</f>
        <v>0</v>
      </c>
      <c r="C413" s="49">
        <f t="shared" si="5"/>
        <v>0</v>
      </c>
      <c r="D413" s="49">
        <f t="array" ref="D413">IFERROR(
SUM(
IF(
'PORTIFÓLIO'!$C$4:$C$564=$A413,
N(INDEX('PORTIFÓLIO'!$J$4:$Q$564,,MATCH(D$2,'PORTIFÓLIO'!$J$3:$Q$3,0))) *
N('PORTIFÓLIO'!$S$4:$S$564),
0
)
),
0)</f>
        <v>0</v>
      </c>
      <c r="E413" s="49">
        <f t="shared" si="14"/>
        <v>0</v>
      </c>
      <c r="F413" s="49">
        <f t="array" ref="F413">IFERROR(
SUM(
IF(
'PORTIFÓLIO'!$C$4:$C$564=$A413,
N(INDEX('PORTIFÓLIO'!$J$4:$Q$564,,MATCH(F$2,'PORTIFÓLIO'!$J$3:$Q$3,0))) *
N('PORTIFÓLIO'!$S$4:$S$564),
0
)
),
0)</f>
        <v>0</v>
      </c>
      <c r="G413" s="47">
        <f t="shared" si="7"/>
        <v>0</v>
      </c>
      <c r="H413" s="49">
        <f t="array" ref="H413">IFERROR(
SUM(
IF(
'PORTIFÓLIO'!$C$4:$C$564=$A413,
N(INDEX('PORTIFÓLIO'!$J$4:$Q$564,,MATCH(H$2,'PORTIFÓLIO'!$J$3:$Q$3,0))) *
N('PORTIFÓLIO'!$S$4:$S$564),
0
)
),
0)</f>
        <v>0</v>
      </c>
      <c r="I413" s="47">
        <f t="shared" si="8"/>
        <v>0</v>
      </c>
      <c r="J413" s="49">
        <f t="array" ref="J413">IFERROR(
SUM(
IF(
'PORTIFÓLIO'!$C$4:$C$564=$A413,
N(INDEX('PORTIFÓLIO'!$J$4:$Q$564,,MATCH(J$2,'PORTIFÓLIO'!$J$3:$Q$3,0))) *
N('PORTIFÓLIO'!$S$4:$S$564),
0
)
),
0)</f>
        <v>0</v>
      </c>
      <c r="K413" s="47">
        <f t="shared" si="9"/>
        <v>0</v>
      </c>
      <c r="L413" s="49">
        <f t="array" ref="L413">IFERROR(
SUM(
IF(
'PORTIFÓLIO'!$C$4:$C$564=$A413,
N(INDEX('PORTIFÓLIO'!$J$4:$Q$564,,MATCH(L$2,'PORTIFÓLIO'!$J$3:$Q$3,0))) *
N('PORTIFÓLIO'!$S$4:$S$564),
0
)
),
0)</f>
        <v>0</v>
      </c>
      <c r="M413" s="47">
        <f t="shared" si="10"/>
        <v>0</v>
      </c>
      <c r="N413" s="49">
        <f t="array" ref="N413">IFERROR(
SUM(
IF(
'PORTIFÓLIO'!$C$4:$C$564=$A413,
N(INDEX('PORTIFÓLIO'!$J$4:$Q$564,,MATCH(N$2,'PORTIFÓLIO'!$J$3:$Q$3,0))) *
N('PORTIFÓLIO'!$S$4:$S$564),
0
)
),
0)</f>
        <v>0</v>
      </c>
      <c r="O413" s="49">
        <f t="shared" si="11"/>
        <v>0</v>
      </c>
      <c r="P413" s="49">
        <f t="array" ref="P413">IFERROR(
SUM(
IF(
'PORTIFÓLIO'!$C$4:$C$564=$A413,
N(INDEX('PORTIFÓLIO'!$J$4:$Q$564,,MATCH(P$2,'PORTIFÓLIO'!$J$3:$Q$3,0))) *
N('PORTIFÓLIO'!$S$4:$S$564),
0
)
),
0)</f>
        <v>0</v>
      </c>
      <c r="Q413" s="49">
        <f t="shared" si="12"/>
        <v>0</v>
      </c>
      <c r="R413" s="49">
        <f t="shared" si="2"/>
        <v>0</v>
      </c>
      <c r="S413" s="49">
        <f t="shared" si="13"/>
        <v>0</v>
      </c>
    </row>
    <row r="414" ht="15.75" hidden="1" customHeight="1" outlineLevel="1">
      <c r="A414" s="42"/>
      <c r="B414" s="49">
        <f t="array" ref="B414">IFERROR(
SUM(
IF(
'PORTIFÓLIO'!$C$4:$C$564=$A414,
N(INDEX('PORTIFÓLIO'!$J$4:$Q$564,,MATCH(B$2,'PORTIFÓLIO'!$J$3:$Q$3,0))) *
N('PORTIFÓLIO'!$S$4:$S$564),
0
)
),
0)</f>
        <v>0</v>
      </c>
      <c r="C414" s="49">
        <f t="shared" si="5"/>
        <v>0</v>
      </c>
      <c r="D414" s="49">
        <f t="array" ref="D414">IFERROR(
SUM(
IF(
'PORTIFÓLIO'!$C$4:$C$564=$A414,
N(INDEX('PORTIFÓLIO'!$J$4:$Q$564,,MATCH(D$2,'PORTIFÓLIO'!$J$3:$Q$3,0))) *
N('PORTIFÓLIO'!$S$4:$S$564),
0
)
),
0)</f>
        <v>0</v>
      </c>
      <c r="E414" s="49">
        <f t="shared" si="14"/>
        <v>0</v>
      </c>
      <c r="F414" s="49">
        <f t="array" ref="F414">IFERROR(
SUM(
IF(
'PORTIFÓLIO'!$C$4:$C$564=$A414,
N(INDEX('PORTIFÓLIO'!$J$4:$Q$564,,MATCH(F$2,'PORTIFÓLIO'!$J$3:$Q$3,0))) *
N('PORTIFÓLIO'!$S$4:$S$564),
0
)
),
0)</f>
        <v>0</v>
      </c>
      <c r="G414" s="47">
        <f t="shared" si="7"/>
        <v>0</v>
      </c>
      <c r="H414" s="49">
        <f t="array" ref="H414">IFERROR(
SUM(
IF(
'PORTIFÓLIO'!$C$4:$C$564=$A414,
N(INDEX('PORTIFÓLIO'!$J$4:$Q$564,,MATCH(H$2,'PORTIFÓLIO'!$J$3:$Q$3,0))) *
N('PORTIFÓLIO'!$S$4:$S$564),
0
)
),
0)</f>
        <v>0</v>
      </c>
      <c r="I414" s="47">
        <f t="shared" si="8"/>
        <v>0</v>
      </c>
      <c r="J414" s="49">
        <f t="array" ref="J414">IFERROR(
SUM(
IF(
'PORTIFÓLIO'!$C$4:$C$564=$A414,
N(INDEX('PORTIFÓLIO'!$J$4:$Q$564,,MATCH(J$2,'PORTIFÓLIO'!$J$3:$Q$3,0))) *
N('PORTIFÓLIO'!$S$4:$S$564),
0
)
),
0)</f>
        <v>0</v>
      </c>
      <c r="K414" s="47">
        <f t="shared" si="9"/>
        <v>0</v>
      </c>
      <c r="L414" s="49">
        <f t="array" ref="L414">IFERROR(
SUM(
IF(
'PORTIFÓLIO'!$C$4:$C$564=$A414,
N(INDEX('PORTIFÓLIO'!$J$4:$Q$564,,MATCH(L$2,'PORTIFÓLIO'!$J$3:$Q$3,0))) *
N('PORTIFÓLIO'!$S$4:$S$564),
0
)
),
0)</f>
        <v>0</v>
      </c>
      <c r="M414" s="47">
        <f t="shared" si="10"/>
        <v>0</v>
      </c>
      <c r="N414" s="49">
        <f t="array" ref="N414">IFERROR(
SUM(
IF(
'PORTIFÓLIO'!$C$4:$C$564=$A414,
N(INDEX('PORTIFÓLIO'!$J$4:$Q$564,,MATCH(N$2,'PORTIFÓLIO'!$J$3:$Q$3,0))) *
N('PORTIFÓLIO'!$S$4:$S$564),
0
)
),
0)</f>
        <v>0</v>
      </c>
      <c r="O414" s="49">
        <f t="shared" si="11"/>
        <v>0</v>
      </c>
      <c r="P414" s="49">
        <f t="array" ref="P414">IFERROR(
SUM(
IF(
'PORTIFÓLIO'!$C$4:$C$564=$A414,
N(INDEX('PORTIFÓLIO'!$J$4:$Q$564,,MATCH(P$2,'PORTIFÓLIO'!$J$3:$Q$3,0))) *
N('PORTIFÓLIO'!$S$4:$S$564),
0
)
),
0)</f>
        <v>0</v>
      </c>
      <c r="Q414" s="49">
        <f t="shared" si="12"/>
        <v>0</v>
      </c>
      <c r="R414" s="49">
        <f t="shared" si="2"/>
        <v>0</v>
      </c>
      <c r="S414" s="49">
        <f t="shared" si="13"/>
        <v>0</v>
      </c>
    </row>
    <row r="415" ht="15.75" hidden="1" customHeight="1" outlineLevel="1">
      <c r="A415" s="42"/>
      <c r="B415" s="49">
        <f t="array" ref="B415">IFERROR(
SUM(
IF(
'PORTIFÓLIO'!$C$4:$C$564=$A415,
N(INDEX('PORTIFÓLIO'!$J$4:$Q$564,,MATCH(B$2,'PORTIFÓLIO'!$J$3:$Q$3,0))) *
N('PORTIFÓLIO'!$S$4:$S$564),
0
)
),
0)</f>
        <v>0</v>
      </c>
      <c r="C415" s="49">
        <f t="shared" si="5"/>
        <v>0</v>
      </c>
      <c r="D415" s="49">
        <f t="array" ref="D415">IFERROR(
SUM(
IF(
'PORTIFÓLIO'!$C$4:$C$564=$A415,
N(INDEX('PORTIFÓLIO'!$J$4:$Q$564,,MATCH(D$2,'PORTIFÓLIO'!$J$3:$Q$3,0))) *
N('PORTIFÓLIO'!$S$4:$S$564),
0
)
),
0)</f>
        <v>0</v>
      </c>
      <c r="E415" s="49">
        <f t="shared" si="14"/>
        <v>0</v>
      </c>
      <c r="F415" s="49">
        <f t="array" ref="F415">IFERROR(
SUM(
IF(
'PORTIFÓLIO'!$C$4:$C$564=$A415,
N(INDEX('PORTIFÓLIO'!$J$4:$Q$564,,MATCH(F$2,'PORTIFÓLIO'!$J$3:$Q$3,0))) *
N('PORTIFÓLIO'!$S$4:$S$564),
0
)
),
0)</f>
        <v>0</v>
      </c>
      <c r="G415" s="47">
        <f t="shared" si="7"/>
        <v>0</v>
      </c>
      <c r="H415" s="49">
        <f t="array" ref="H415">IFERROR(
SUM(
IF(
'PORTIFÓLIO'!$C$4:$C$564=$A415,
N(INDEX('PORTIFÓLIO'!$J$4:$Q$564,,MATCH(H$2,'PORTIFÓLIO'!$J$3:$Q$3,0))) *
N('PORTIFÓLIO'!$S$4:$S$564),
0
)
),
0)</f>
        <v>0</v>
      </c>
      <c r="I415" s="47">
        <f t="shared" si="8"/>
        <v>0</v>
      </c>
      <c r="J415" s="49">
        <f t="array" ref="J415">IFERROR(
SUM(
IF(
'PORTIFÓLIO'!$C$4:$C$564=$A415,
N(INDEX('PORTIFÓLIO'!$J$4:$Q$564,,MATCH(J$2,'PORTIFÓLIO'!$J$3:$Q$3,0))) *
N('PORTIFÓLIO'!$S$4:$S$564),
0
)
),
0)</f>
        <v>0</v>
      </c>
      <c r="K415" s="47">
        <f t="shared" si="9"/>
        <v>0</v>
      </c>
      <c r="L415" s="49">
        <f t="array" ref="L415">IFERROR(
SUM(
IF(
'PORTIFÓLIO'!$C$4:$C$564=$A415,
N(INDEX('PORTIFÓLIO'!$J$4:$Q$564,,MATCH(L$2,'PORTIFÓLIO'!$J$3:$Q$3,0))) *
N('PORTIFÓLIO'!$S$4:$S$564),
0
)
),
0)</f>
        <v>0</v>
      </c>
      <c r="M415" s="47">
        <f t="shared" si="10"/>
        <v>0</v>
      </c>
      <c r="N415" s="49">
        <f t="array" ref="N415">IFERROR(
SUM(
IF(
'PORTIFÓLIO'!$C$4:$C$564=$A415,
N(INDEX('PORTIFÓLIO'!$J$4:$Q$564,,MATCH(N$2,'PORTIFÓLIO'!$J$3:$Q$3,0))) *
N('PORTIFÓLIO'!$S$4:$S$564),
0
)
),
0)</f>
        <v>0</v>
      </c>
      <c r="O415" s="49">
        <f t="shared" si="11"/>
        <v>0</v>
      </c>
      <c r="P415" s="49">
        <f t="array" ref="P415">IFERROR(
SUM(
IF(
'PORTIFÓLIO'!$C$4:$C$564=$A415,
N(INDEX('PORTIFÓLIO'!$J$4:$Q$564,,MATCH(P$2,'PORTIFÓLIO'!$J$3:$Q$3,0))) *
N('PORTIFÓLIO'!$S$4:$S$564),
0
)
),
0)</f>
        <v>0</v>
      </c>
      <c r="Q415" s="49">
        <f t="shared" si="12"/>
        <v>0</v>
      </c>
      <c r="R415" s="49">
        <f t="shared" si="2"/>
        <v>0</v>
      </c>
      <c r="S415" s="49">
        <f t="shared" si="13"/>
        <v>0</v>
      </c>
    </row>
    <row r="416" ht="15.75" hidden="1" customHeight="1" outlineLevel="1">
      <c r="A416" s="42"/>
      <c r="B416" s="49">
        <f t="array" ref="B416">IFERROR(
SUM(
IF(
'PORTIFÓLIO'!$C$4:$C$564=$A416,
N(INDEX('PORTIFÓLIO'!$J$4:$Q$564,,MATCH(B$2,'PORTIFÓLIO'!$J$3:$Q$3,0))) *
N('PORTIFÓLIO'!$S$4:$S$564),
0
)
),
0)</f>
        <v>0</v>
      </c>
      <c r="C416" s="49">
        <f t="shared" si="5"/>
        <v>0</v>
      </c>
      <c r="D416" s="49">
        <f t="array" ref="D416">IFERROR(
SUM(
IF(
'PORTIFÓLIO'!$C$4:$C$564=$A416,
N(INDEX('PORTIFÓLIO'!$J$4:$Q$564,,MATCH(D$2,'PORTIFÓLIO'!$J$3:$Q$3,0))) *
N('PORTIFÓLIO'!$S$4:$S$564),
0
)
),
0)</f>
        <v>0</v>
      </c>
      <c r="E416" s="49">
        <f t="shared" si="14"/>
        <v>0</v>
      </c>
      <c r="F416" s="49">
        <f t="array" ref="F416">IFERROR(
SUM(
IF(
'PORTIFÓLIO'!$C$4:$C$564=$A416,
N(INDEX('PORTIFÓLIO'!$J$4:$Q$564,,MATCH(F$2,'PORTIFÓLIO'!$J$3:$Q$3,0))) *
N('PORTIFÓLIO'!$S$4:$S$564),
0
)
),
0)</f>
        <v>0</v>
      </c>
      <c r="G416" s="47">
        <f t="shared" si="7"/>
        <v>0</v>
      </c>
      <c r="H416" s="49">
        <f t="array" ref="H416">IFERROR(
SUM(
IF(
'PORTIFÓLIO'!$C$4:$C$564=$A416,
N(INDEX('PORTIFÓLIO'!$J$4:$Q$564,,MATCH(H$2,'PORTIFÓLIO'!$J$3:$Q$3,0))) *
N('PORTIFÓLIO'!$S$4:$S$564),
0
)
),
0)</f>
        <v>0</v>
      </c>
      <c r="I416" s="47">
        <f t="shared" si="8"/>
        <v>0</v>
      </c>
      <c r="J416" s="49">
        <f t="array" ref="J416">IFERROR(
SUM(
IF(
'PORTIFÓLIO'!$C$4:$C$564=$A416,
N(INDEX('PORTIFÓLIO'!$J$4:$Q$564,,MATCH(J$2,'PORTIFÓLIO'!$J$3:$Q$3,0))) *
N('PORTIFÓLIO'!$S$4:$S$564),
0
)
),
0)</f>
        <v>0</v>
      </c>
      <c r="K416" s="47">
        <f t="shared" si="9"/>
        <v>0</v>
      </c>
      <c r="L416" s="49">
        <f t="array" ref="L416">IFERROR(
SUM(
IF(
'PORTIFÓLIO'!$C$4:$C$564=$A416,
N(INDEX('PORTIFÓLIO'!$J$4:$Q$564,,MATCH(L$2,'PORTIFÓLIO'!$J$3:$Q$3,0))) *
N('PORTIFÓLIO'!$S$4:$S$564),
0
)
),
0)</f>
        <v>0</v>
      </c>
      <c r="M416" s="47">
        <f t="shared" si="10"/>
        <v>0</v>
      </c>
      <c r="N416" s="49">
        <f t="array" ref="N416">IFERROR(
SUM(
IF(
'PORTIFÓLIO'!$C$4:$C$564=$A416,
N(INDEX('PORTIFÓLIO'!$J$4:$Q$564,,MATCH(N$2,'PORTIFÓLIO'!$J$3:$Q$3,0))) *
N('PORTIFÓLIO'!$S$4:$S$564),
0
)
),
0)</f>
        <v>0</v>
      </c>
      <c r="O416" s="49">
        <f t="shared" si="11"/>
        <v>0</v>
      </c>
      <c r="P416" s="49">
        <f t="array" ref="P416">IFERROR(
SUM(
IF(
'PORTIFÓLIO'!$C$4:$C$564=$A416,
N(INDEX('PORTIFÓLIO'!$J$4:$Q$564,,MATCH(P$2,'PORTIFÓLIO'!$J$3:$Q$3,0))) *
N('PORTIFÓLIO'!$S$4:$S$564),
0
)
),
0)</f>
        <v>0</v>
      </c>
      <c r="Q416" s="49">
        <f t="shared" si="12"/>
        <v>0</v>
      </c>
      <c r="R416" s="49">
        <f t="shared" si="2"/>
        <v>0</v>
      </c>
      <c r="S416" s="49">
        <f t="shared" si="13"/>
        <v>0</v>
      </c>
    </row>
    <row r="417" ht="15.75" hidden="1" customHeight="1" outlineLevel="1">
      <c r="A417" s="42"/>
      <c r="B417" s="49">
        <f t="array" ref="B417">IFERROR(
SUM(
IF(
'PORTIFÓLIO'!$C$4:$C$564=$A417,
N(INDEX('PORTIFÓLIO'!$J$4:$Q$564,,MATCH(B$2,'PORTIFÓLIO'!$J$3:$Q$3,0))) *
N('PORTIFÓLIO'!$S$4:$S$564),
0
)
),
0)</f>
        <v>0</v>
      </c>
      <c r="C417" s="49">
        <f t="shared" si="5"/>
        <v>0</v>
      </c>
      <c r="D417" s="49">
        <f t="array" ref="D417">IFERROR(
SUM(
IF(
'PORTIFÓLIO'!$C$4:$C$564=$A417,
N(INDEX('PORTIFÓLIO'!$J$4:$Q$564,,MATCH(D$2,'PORTIFÓLIO'!$J$3:$Q$3,0))) *
N('PORTIFÓLIO'!$S$4:$S$564),
0
)
),
0)</f>
        <v>0</v>
      </c>
      <c r="E417" s="49">
        <f t="shared" si="14"/>
        <v>0</v>
      </c>
      <c r="F417" s="49">
        <f t="array" ref="F417">IFERROR(
SUM(
IF(
'PORTIFÓLIO'!$C$4:$C$564=$A417,
N(INDEX('PORTIFÓLIO'!$J$4:$Q$564,,MATCH(F$2,'PORTIFÓLIO'!$J$3:$Q$3,0))) *
N('PORTIFÓLIO'!$S$4:$S$564),
0
)
),
0)</f>
        <v>0</v>
      </c>
      <c r="G417" s="47">
        <f t="shared" si="7"/>
        <v>0</v>
      </c>
      <c r="H417" s="49">
        <f t="array" ref="H417">IFERROR(
SUM(
IF(
'PORTIFÓLIO'!$C$4:$C$564=$A417,
N(INDEX('PORTIFÓLIO'!$J$4:$Q$564,,MATCH(H$2,'PORTIFÓLIO'!$J$3:$Q$3,0))) *
N('PORTIFÓLIO'!$S$4:$S$564),
0
)
),
0)</f>
        <v>0</v>
      </c>
      <c r="I417" s="47">
        <f t="shared" si="8"/>
        <v>0</v>
      </c>
      <c r="J417" s="49">
        <f t="array" ref="J417">IFERROR(
SUM(
IF(
'PORTIFÓLIO'!$C$4:$C$564=$A417,
N(INDEX('PORTIFÓLIO'!$J$4:$Q$564,,MATCH(J$2,'PORTIFÓLIO'!$J$3:$Q$3,0))) *
N('PORTIFÓLIO'!$S$4:$S$564),
0
)
),
0)</f>
        <v>0</v>
      </c>
      <c r="K417" s="47">
        <f t="shared" si="9"/>
        <v>0</v>
      </c>
      <c r="L417" s="49">
        <f t="array" ref="L417">IFERROR(
SUM(
IF(
'PORTIFÓLIO'!$C$4:$C$564=$A417,
N(INDEX('PORTIFÓLIO'!$J$4:$Q$564,,MATCH(L$2,'PORTIFÓLIO'!$J$3:$Q$3,0))) *
N('PORTIFÓLIO'!$S$4:$S$564),
0
)
),
0)</f>
        <v>0</v>
      </c>
      <c r="M417" s="47">
        <f t="shared" si="10"/>
        <v>0</v>
      </c>
      <c r="N417" s="49">
        <f t="array" ref="N417">IFERROR(
SUM(
IF(
'PORTIFÓLIO'!$C$4:$C$564=$A417,
N(INDEX('PORTIFÓLIO'!$J$4:$Q$564,,MATCH(N$2,'PORTIFÓLIO'!$J$3:$Q$3,0))) *
N('PORTIFÓLIO'!$S$4:$S$564),
0
)
),
0)</f>
        <v>0</v>
      </c>
      <c r="O417" s="49">
        <f t="shared" si="11"/>
        <v>0</v>
      </c>
      <c r="P417" s="49">
        <f t="array" ref="P417">IFERROR(
SUM(
IF(
'PORTIFÓLIO'!$C$4:$C$564=$A417,
N(INDEX('PORTIFÓLIO'!$J$4:$Q$564,,MATCH(P$2,'PORTIFÓLIO'!$J$3:$Q$3,0))) *
N('PORTIFÓLIO'!$S$4:$S$564),
0
)
),
0)</f>
        <v>0</v>
      </c>
      <c r="Q417" s="49">
        <f t="shared" si="12"/>
        <v>0</v>
      </c>
      <c r="R417" s="49">
        <f t="shared" si="2"/>
        <v>0</v>
      </c>
      <c r="S417" s="49">
        <f t="shared" si="13"/>
        <v>0</v>
      </c>
    </row>
    <row r="418" ht="15.75" hidden="1" customHeight="1" outlineLevel="1">
      <c r="A418" s="42"/>
      <c r="B418" s="49">
        <f t="array" ref="B418">IFERROR(
SUM(
IF(
'PORTIFÓLIO'!$C$4:$C$564=$A418,
N(INDEX('PORTIFÓLIO'!$J$4:$Q$564,,MATCH(B$2,'PORTIFÓLIO'!$J$3:$Q$3,0))) *
N('PORTIFÓLIO'!$S$4:$S$564),
0
)
),
0)</f>
        <v>0</v>
      </c>
      <c r="C418" s="49">
        <f t="shared" si="5"/>
        <v>0</v>
      </c>
      <c r="D418" s="49">
        <f t="array" ref="D418">IFERROR(
SUM(
IF(
'PORTIFÓLIO'!$C$4:$C$564=$A418,
N(INDEX('PORTIFÓLIO'!$J$4:$Q$564,,MATCH(D$2,'PORTIFÓLIO'!$J$3:$Q$3,0))) *
N('PORTIFÓLIO'!$S$4:$S$564),
0
)
),
0)</f>
        <v>0</v>
      </c>
      <c r="E418" s="49">
        <f t="shared" si="14"/>
        <v>0</v>
      </c>
      <c r="F418" s="49">
        <f t="array" ref="F418">IFERROR(
SUM(
IF(
'PORTIFÓLIO'!$C$4:$C$564=$A418,
N(INDEX('PORTIFÓLIO'!$J$4:$Q$564,,MATCH(F$2,'PORTIFÓLIO'!$J$3:$Q$3,0))) *
N('PORTIFÓLIO'!$S$4:$S$564),
0
)
),
0)</f>
        <v>0</v>
      </c>
      <c r="G418" s="47">
        <f t="shared" si="7"/>
        <v>0</v>
      </c>
      <c r="H418" s="49">
        <f t="array" ref="H418">IFERROR(
SUM(
IF(
'PORTIFÓLIO'!$C$4:$C$564=$A418,
N(INDEX('PORTIFÓLIO'!$J$4:$Q$564,,MATCH(H$2,'PORTIFÓLIO'!$J$3:$Q$3,0))) *
N('PORTIFÓLIO'!$S$4:$S$564),
0
)
),
0)</f>
        <v>0</v>
      </c>
      <c r="I418" s="47">
        <f t="shared" si="8"/>
        <v>0</v>
      </c>
      <c r="J418" s="49">
        <f t="array" ref="J418">IFERROR(
SUM(
IF(
'PORTIFÓLIO'!$C$4:$C$564=$A418,
N(INDEX('PORTIFÓLIO'!$J$4:$Q$564,,MATCH(J$2,'PORTIFÓLIO'!$J$3:$Q$3,0))) *
N('PORTIFÓLIO'!$S$4:$S$564),
0
)
),
0)</f>
        <v>0</v>
      </c>
      <c r="K418" s="47">
        <f t="shared" si="9"/>
        <v>0</v>
      </c>
      <c r="L418" s="49">
        <f t="array" ref="L418">IFERROR(
SUM(
IF(
'PORTIFÓLIO'!$C$4:$C$564=$A418,
N(INDEX('PORTIFÓLIO'!$J$4:$Q$564,,MATCH(L$2,'PORTIFÓLIO'!$J$3:$Q$3,0))) *
N('PORTIFÓLIO'!$S$4:$S$564),
0
)
),
0)</f>
        <v>0</v>
      </c>
      <c r="M418" s="47">
        <f t="shared" si="10"/>
        <v>0</v>
      </c>
      <c r="N418" s="49">
        <f t="array" ref="N418">IFERROR(
SUM(
IF(
'PORTIFÓLIO'!$C$4:$C$564=$A418,
N(INDEX('PORTIFÓLIO'!$J$4:$Q$564,,MATCH(N$2,'PORTIFÓLIO'!$J$3:$Q$3,0))) *
N('PORTIFÓLIO'!$S$4:$S$564),
0
)
),
0)</f>
        <v>0</v>
      </c>
      <c r="O418" s="49">
        <f t="shared" si="11"/>
        <v>0</v>
      </c>
      <c r="P418" s="49">
        <f t="array" ref="P418">IFERROR(
SUM(
IF(
'PORTIFÓLIO'!$C$4:$C$564=$A418,
N(INDEX('PORTIFÓLIO'!$J$4:$Q$564,,MATCH(P$2,'PORTIFÓLIO'!$J$3:$Q$3,0))) *
N('PORTIFÓLIO'!$S$4:$S$564),
0
)
),
0)</f>
        <v>0</v>
      </c>
      <c r="Q418" s="49">
        <f t="shared" si="12"/>
        <v>0</v>
      </c>
      <c r="R418" s="49">
        <f t="shared" si="2"/>
        <v>0</v>
      </c>
      <c r="S418" s="49">
        <f t="shared" si="13"/>
        <v>0</v>
      </c>
    </row>
    <row r="419" ht="15.75" hidden="1" customHeight="1" outlineLevel="1">
      <c r="A419" s="42"/>
      <c r="B419" s="49">
        <f t="array" ref="B419">IFERROR(
SUM(
IF(
'PORTIFÓLIO'!$C$4:$C$564=$A419,
N(INDEX('PORTIFÓLIO'!$J$4:$Q$564,,MATCH(B$2,'PORTIFÓLIO'!$J$3:$Q$3,0))) *
N('PORTIFÓLIO'!$S$4:$S$564),
0
)
),
0)</f>
        <v>0</v>
      </c>
      <c r="C419" s="49">
        <f t="shared" si="5"/>
        <v>0</v>
      </c>
      <c r="D419" s="49">
        <f t="array" ref="D419">IFERROR(
SUM(
IF(
'PORTIFÓLIO'!$C$4:$C$564=$A419,
N(INDEX('PORTIFÓLIO'!$J$4:$Q$564,,MATCH(D$2,'PORTIFÓLIO'!$J$3:$Q$3,0))) *
N('PORTIFÓLIO'!$S$4:$S$564),
0
)
),
0)</f>
        <v>0</v>
      </c>
      <c r="E419" s="49">
        <f t="shared" si="14"/>
        <v>0</v>
      </c>
      <c r="F419" s="49">
        <f t="array" ref="F419">IFERROR(
SUM(
IF(
'PORTIFÓLIO'!$C$4:$C$564=$A419,
N(INDEX('PORTIFÓLIO'!$J$4:$Q$564,,MATCH(F$2,'PORTIFÓLIO'!$J$3:$Q$3,0))) *
N('PORTIFÓLIO'!$S$4:$S$564),
0
)
),
0)</f>
        <v>0</v>
      </c>
      <c r="G419" s="47">
        <f t="shared" si="7"/>
        <v>0</v>
      </c>
      <c r="H419" s="49">
        <f t="array" ref="H419">IFERROR(
SUM(
IF(
'PORTIFÓLIO'!$C$4:$C$564=$A419,
N(INDEX('PORTIFÓLIO'!$J$4:$Q$564,,MATCH(H$2,'PORTIFÓLIO'!$J$3:$Q$3,0))) *
N('PORTIFÓLIO'!$S$4:$S$564),
0
)
),
0)</f>
        <v>0</v>
      </c>
      <c r="I419" s="47">
        <f t="shared" si="8"/>
        <v>0</v>
      </c>
      <c r="J419" s="49">
        <f t="array" ref="J419">IFERROR(
SUM(
IF(
'PORTIFÓLIO'!$C$4:$C$564=$A419,
N(INDEX('PORTIFÓLIO'!$J$4:$Q$564,,MATCH(J$2,'PORTIFÓLIO'!$J$3:$Q$3,0))) *
N('PORTIFÓLIO'!$S$4:$S$564),
0
)
),
0)</f>
        <v>0</v>
      </c>
      <c r="K419" s="47">
        <f t="shared" si="9"/>
        <v>0</v>
      </c>
      <c r="L419" s="49">
        <f t="array" ref="L419">IFERROR(
SUM(
IF(
'PORTIFÓLIO'!$C$4:$C$564=$A419,
N(INDEX('PORTIFÓLIO'!$J$4:$Q$564,,MATCH(L$2,'PORTIFÓLIO'!$J$3:$Q$3,0))) *
N('PORTIFÓLIO'!$S$4:$S$564),
0
)
),
0)</f>
        <v>0</v>
      </c>
      <c r="M419" s="47">
        <f t="shared" si="10"/>
        <v>0</v>
      </c>
      <c r="N419" s="49">
        <f t="array" ref="N419">IFERROR(
SUM(
IF(
'PORTIFÓLIO'!$C$4:$C$564=$A419,
N(INDEX('PORTIFÓLIO'!$J$4:$Q$564,,MATCH(N$2,'PORTIFÓLIO'!$J$3:$Q$3,0))) *
N('PORTIFÓLIO'!$S$4:$S$564),
0
)
),
0)</f>
        <v>0</v>
      </c>
      <c r="O419" s="49">
        <f t="shared" si="11"/>
        <v>0</v>
      </c>
      <c r="P419" s="49">
        <f t="array" ref="P419">IFERROR(
SUM(
IF(
'PORTIFÓLIO'!$C$4:$C$564=$A419,
N(INDEX('PORTIFÓLIO'!$J$4:$Q$564,,MATCH(P$2,'PORTIFÓLIO'!$J$3:$Q$3,0))) *
N('PORTIFÓLIO'!$S$4:$S$564),
0
)
),
0)</f>
        <v>0</v>
      </c>
      <c r="Q419" s="49">
        <f t="shared" si="12"/>
        <v>0</v>
      </c>
      <c r="R419" s="49">
        <f t="shared" si="2"/>
        <v>0</v>
      </c>
      <c r="S419" s="49">
        <f t="shared" si="13"/>
        <v>0</v>
      </c>
    </row>
    <row r="420" ht="15.75" hidden="1" customHeight="1" outlineLevel="1">
      <c r="A420" s="42"/>
      <c r="B420" s="49">
        <f t="array" ref="B420">IFERROR(
SUM(
IF(
'PORTIFÓLIO'!$C$4:$C$564=$A420,
N(INDEX('PORTIFÓLIO'!$J$4:$Q$564,,MATCH(B$2,'PORTIFÓLIO'!$J$3:$Q$3,0))) *
N('PORTIFÓLIO'!$S$4:$S$564),
0
)
),
0)</f>
        <v>0</v>
      </c>
      <c r="C420" s="49">
        <f t="shared" si="5"/>
        <v>0</v>
      </c>
      <c r="D420" s="49">
        <f t="array" ref="D420">IFERROR(
SUM(
IF(
'PORTIFÓLIO'!$C$4:$C$564=$A420,
N(INDEX('PORTIFÓLIO'!$J$4:$Q$564,,MATCH(D$2,'PORTIFÓLIO'!$J$3:$Q$3,0))) *
N('PORTIFÓLIO'!$S$4:$S$564),
0
)
),
0)</f>
        <v>0</v>
      </c>
      <c r="E420" s="49">
        <f t="shared" si="14"/>
        <v>0</v>
      </c>
      <c r="F420" s="49">
        <f t="array" ref="F420">IFERROR(
SUM(
IF(
'PORTIFÓLIO'!$C$4:$C$564=$A420,
N(INDEX('PORTIFÓLIO'!$J$4:$Q$564,,MATCH(F$2,'PORTIFÓLIO'!$J$3:$Q$3,0))) *
N('PORTIFÓLIO'!$S$4:$S$564),
0
)
),
0)</f>
        <v>0</v>
      </c>
      <c r="G420" s="47">
        <f t="shared" si="7"/>
        <v>0</v>
      </c>
      <c r="H420" s="49">
        <f t="array" ref="H420">IFERROR(
SUM(
IF(
'PORTIFÓLIO'!$C$4:$C$564=$A420,
N(INDEX('PORTIFÓLIO'!$J$4:$Q$564,,MATCH(H$2,'PORTIFÓLIO'!$J$3:$Q$3,0))) *
N('PORTIFÓLIO'!$S$4:$S$564),
0
)
),
0)</f>
        <v>0</v>
      </c>
      <c r="I420" s="47">
        <f t="shared" si="8"/>
        <v>0</v>
      </c>
      <c r="J420" s="49">
        <f t="array" ref="J420">IFERROR(
SUM(
IF(
'PORTIFÓLIO'!$C$4:$C$564=$A420,
N(INDEX('PORTIFÓLIO'!$J$4:$Q$564,,MATCH(J$2,'PORTIFÓLIO'!$J$3:$Q$3,0))) *
N('PORTIFÓLIO'!$S$4:$S$564),
0
)
),
0)</f>
        <v>0</v>
      </c>
      <c r="K420" s="47">
        <f t="shared" si="9"/>
        <v>0</v>
      </c>
      <c r="L420" s="49">
        <f t="array" ref="L420">IFERROR(
SUM(
IF(
'PORTIFÓLIO'!$C$4:$C$564=$A420,
N(INDEX('PORTIFÓLIO'!$J$4:$Q$564,,MATCH(L$2,'PORTIFÓLIO'!$J$3:$Q$3,0))) *
N('PORTIFÓLIO'!$S$4:$S$564),
0
)
),
0)</f>
        <v>0</v>
      </c>
      <c r="M420" s="47">
        <f t="shared" si="10"/>
        <v>0</v>
      </c>
      <c r="N420" s="49">
        <f t="array" ref="N420">IFERROR(
SUM(
IF(
'PORTIFÓLIO'!$C$4:$C$564=$A420,
N(INDEX('PORTIFÓLIO'!$J$4:$Q$564,,MATCH(N$2,'PORTIFÓLIO'!$J$3:$Q$3,0))) *
N('PORTIFÓLIO'!$S$4:$S$564),
0
)
),
0)</f>
        <v>0</v>
      </c>
      <c r="O420" s="49">
        <f t="shared" si="11"/>
        <v>0</v>
      </c>
      <c r="P420" s="49">
        <f t="array" ref="P420">IFERROR(
SUM(
IF(
'PORTIFÓLIO'!$C$4:$C$564=$A420,
N(INDEX('PORTIFÓLIO'!$J$4:$Q$564,,MATCH(P$2,'PORTIFÓLIO'!$J$3:$Q$3,0))) *
N('PORTIFÓLIO'!$S$4:$S$564),
0
)
),
0)</f>
        <v>0</v>
      </c>
      <c r="Q420" s="49">
        <f t="shared" si="12"/>
        <v>0</v>
      </c>
      <c r="R420" s="49">
        <f t="shared" si="2"/>
        <v>0</v>
      </c>
      <c r="S420" s="49">
        <f t="shared" si="13"/>
        <v>0</v>
      </c>
    </row>
    <row r="421" ht="15.75" customHeight="1" collapsed="1">
      <c r="A421" s="46" t="s">
        <v>210</v>
      </c>
      <c r="B421" s="50">
        <f>SUM(B422:B457)</f>
        <v>32877.69608</v>
      </c>
      <c r="C421" s="50">
        <f t="shared" si="5"/>
        <v>67.09733894</v>
      </c>
      <c r="D421" s="50">
        <f>SUM(D422:D457)</f>
        <v>101977.6471</v>
      </c>
      <c r="E421" s="50">
        <f t="shared" ref="E421:E457" si="15">D421/$D$4</f>
        <v>339.9254902</v>
      </c>
      <c r="F421" s="50">
        <f>SUM(F422:F457)</f>
        <v>74783.60784</v>
      </c>
      <c r="G421" s="47">
        <f t="shared" si="7"/>
        <v>339.9254902</v>
      </c>
      <c r="H421" s="50">
        <f>SUM(H422:H457)</f>
        <v>0</v>
      </c>
      <c r="I421" s="47">
        <f t="shared" si="8"/>
        <v>0</v>
      </c>
      <c r="J421" s="50">
        <f>SUM(J422:J457)</f>
        <v>0</v>
      </c>
      <c r="K421" s="47">
        <f t="shared" si="9"/>
        <v>0</v>
      </c>
      <c r="L421" s="50">
        <f>SUM(L422:L457)</f>
        <v>98670</v>
      </c>
      <c r="M421" s="47">
        <f t="shared" si="10"/>
        <v>448.5</v>
      </c>
      <c r="N421" s="50">
        <f>SUM(N422:N457)</f>
        <v>414029.2471</v>
      </c>
      <c r="O421" s="50">
        <f t="shared" si="11"/>
        <v>339.9254902</v>
      </c>
      <c r="P421" s="50">
        <f>SUM(P422:P457)</f>
        <v>108776.1569</v>
      </c>
      <c r="Q421" s="49">
        <f t="shared" si="12"/>
        <v>339.9254902</v>
      </c>
      <c r="R421" s="50">
        <f t="shared" si="2"/>
        <v>756330.7471</v>
      </c>
      <c r="S421" s="50">
        <f t="shared" si="13"/>
        <v>226.1754626</v>
      </c>
    </row>
    <row r="422" ht="15.75" hidden="1" customHeight="1" outlineLevel="1">
      <c r="A422" s="42" t="str">
        <f>IFERROR(__xludf.DUMMYFUNCTION("UNIQUE(FILTER('PORTIFÓLIO'!C:C, 'PORTIFÓLIO'!B:B=""MÁQUINAS""))"),"CASE STEIGER 420 + HORSCH MAESTRO DUO 36.50")</f>
        <v>CASE STEIGER 420 + HORSCH MAESTRO DUO 36.50</v>
      </c>
      <c r="B422" s="49">
        <f t="array" ref="B422">IFERROR(
SUM(
IF(
'PORTIFÓLIO'!$C$4:$C$564=$A422,
N(INDEX('PORTIFÓLIO'!$J$4:$Q$564,,MATCH(B$2,'PORTIFÓLIO'!$J$3:$Q$3,0))) *
N('PORTIFÓLIO'!$S$4:$S$564),
0
)
),
0)</f>
        <v>0</v>
      </c>
      <c r="C422" s="49">
        <f t="shared" si="5"/>
        <v>0</v>
      </c>
      <c r="D422" s="49">
        <f t="array" ref="D422">IFERROR(
SUM(
IF(
'PORTIFÓLIO'!$C$4:$C$564=$A422,
N(INDEX('PORTIFÓLIO'!$J$4:$Q$564,,MATCH(D$2,'PORTIFÓLIO'!$J$3:$Q$3,0))) *
N('PORTIFÓLIO'!$S$4:$S$564),
0
)
),
0)</f>
        <v>10935</v>
      </c>
      <c r="E422" s="49">
        <f t="shared" si="15"/>
        <v>36.45</v>
      </c>
      <c r="F422" s="49">
        <f t="array" ref="F422">IFERROR(
SUM(
IF(
'PORTIFÓLIO'!$C$4:$C$564=$A422,
N(INDEX('PORTIFÓLIO'!$J$4:$Q$564,,MATCH(F$2,'PORTIFÓLIO'!$J$3:$Q$3,0))) *
N('PORTIFÓLIO'!$S$4:$S$564),
0
)
),
0)</f>
        <v>8019</v>
      </c>
      <c r="G422" s="47">
        <f t="shared" si="7"/>
        <v>36.45</v>
      </c>
      <c r="H422" s="49">
        <f t="array" ref="H422">IFERROR(
SUM(
IF(
'PORTIFÓLIO'!$C$4:$C$564=$A422,
N(INDEX('PORTIFÓLIO'!$J$4:$Q$564,,MATCH(H$2,'PORTIFÓLIO'!$J$3:$Q$3,0))) *
N('PORTIFÓLIO'!$S$4:$S$564),
0
)
),
0)</f>
        <v>0</v>
      </c>
      <c r="I422" s="47">
        <f t="shared" si="8"/>
        <v>0</v>
      </c>
      <c r="J422" s="49">
        <f t="array" ref="J422">IFERROR(
SUM(
IF(
'PORTIFÓLIO'!$C$4:$C$564=$A422,
N(INDEX('PORTIFÓLIO'!$J$4:$Q$564,,MATCH(J$2,'PORTIFÓLIO'!$J$3:$Q$3,0))) *
N('PORTIFÓLIO'!$S$4:$S$564),
0
)
),
0)</f>
        <v>0</v>
      </c>
      <c r="K422" s="47">
        <f t="shared" si="9"/>
        <v>0</v>
      </c>
      <c r="L422" s="49">
        <f t="array" ref="L422">IFERROR(
SUM(
IF(
'PORTIFÓLIO'!$C$4:$C$564=$A422,
N(INDEX('PORTIFÓLIO'!$J$4:$Q$564,,MATCH(L$2,'PORTIFÓLIO'!$J$3:$Q$3,0))) *
N('PORTIFÓLIO'!$S$4:$S$564),
0
)
),
0)</f>
        <v>7920</v>
      </c>
      <c r="M422" s="47">
        <f t="shared" si="10"/>
        <v>36</v>
      </c>
      <c r="N422" s="49">
        <f t="array" ref="N422">IFERROR(
SUM(
IF(
'PORTIFÓLIO'!$C$4:$C$564=$A422,
N(INDEX('PORTIFÓLIO'!$J$4:$Q$564,,MATCH(N$2,'PORTIFÓLIO'!$J$3:$Q$3,0))) *
N('PORTIFÓLIO'!$S$4:$S$564),
0
)
),
0)</f>
        <v>44396.1</v>
      </c>
      <c r="O422" s="49">
        <f t="shared" si="11"/>
        <v>36.45</v>
      </c>
      <c r="P422" s="49">
        <f t="array" ref="P422">IFERROR(
SUM(
IF(
'PORTIFÓLIO'!$C$4:$C$564=$A422,
N(INDEX('PORTIFÓLIO'!$J$4:$Q$564,,MATCH(P$2,'PORTIFÓLIO'!$J$3:$Q$3,0))) *
N('PORTIFÓLIO'!$S$4:$S$564),
0
)
),
0)</f>
        <v>11664</v>
      </c>
      <c r="Q422" s="49">
        <f t="shared" si="12"/>
        <v>36.45</v>
      </c>
      <c r="R422" s="43">
        <f t="shared" si="2"/>
        <v>74915.1</v>
      </c>
      <c r="S422" s="43">
        <f t="shared" si="13"/>
        <v>22.40284091</v>
      </c>
    </row>
    <row r="423" ht="15.75" hidden="1" customHeight="1" outlineLevel="1">
      <c r="A423" s="42" t="str">
        <f>IFERROR(__xludf.DUMMYFUNCTION("""COMPUTED_VALUE"""),"CASE MAGNUM 340 + - CASE ASM 1213")</f>
        <v>CASE MAGNUM 340 + - CASE ASM 1213</v>
      </c>
      <c r="B423" s="49">
        <f t="array" ref="B423">IFERROR(
SUM(
IF(
'PORTIFÓLIO'!$C$4:$C$564=$A423,
N(INDEX('PORTIFÓLIO'!$J$4:$Q$564,,MATCH(B$2,'PORTIFÓLIO'!$J$3:$Q$3,0))) *
N('PORTIFÓLIO'!$S$4:$S$564),
0
)
),
0)</f>
        <v>0</v>
      </c>
      <c r="C423" s="49">
        <f t="shared" si="5"/>
        <v>0</v>
      </c>
      <c r="D423" s="49">
        <f t="array" ref="D423">IFERROR(
SUM(
IF(
'PORTIFÓLIO'!$C$4:$C$564=$A423,
N(INDEX('PORTIFÓLIO'!$J$4:$Q$564,,MATCH(D$2,'PORTIFÓLIO'!$J$3:$Q$3,0))) *
N('PORTIFÓLIO'!$S$4:$S$564),
0
)
),
0)</f>
        <v>0</v>
      </c>
      <c r="E423" s="49">
        <f t="shared" si="15"/>
        <v>0</v>
      </c>
      <c r="F423" s="49">
        <f t="array" ref="F423">IFERROR(
SUM(
IF(
'PORTIFÓLIO'!$C$4:$C$564=$A423,
N(INDEX('PORTIFÓLIO'!$J$4:$Q$564,,MATCH(F$2,'PORTIFÓLIO'!$J$3:$Q$3,0))) *
N('PORTIFÓLIO'!$S$4:$S$564),
0
)
),
0)</f>
        <v>0</v>
      </c>
      <c r="G423" s="47">
        <f t="shared" si="7"/>
        <v>0</v>
      </c>
      <c r="H423" s="49">
        <f t="array" ref="H423">IFERROR(
SUM(
IF(
'PORTIFÓLIO'!$C$4:$C$564=$A423,
N(INDEX('PORTIFÓLIO'!$J$4:$Q$564,,MATCH(H$2,'PORTIFÓLIO'!$J$3:$Q$3,0))) *
N('PORTIFÓLIO'!$S$4:$S$564),
0
)
),
0)</f>
        <v>0</v>
      </c>
      <c r="I423" s="47">
        <f t="shared" si="8"/>
        <v>0</v>
      </c>
      <c r="J423" s="49">
        <f t="array" ref="J423">IFERROR(
SUM(
IF(
'PORTIFÓLIO'!$C$4:$C$564=$A423,
N(INDEX('PORTIFÓLIO'!$J$4:$Q$564,,MATCH(J$2,'PORTIFÓLIO'!$J$3:$Q$3,0))) *
N('PORTIFÓLIO'!$S$4:$S$564),
0
)
),
0)</f>
        <v>0</v>
      </c>
      <c r="K423" s="47">
        <f t="shared" si="9"/>
        <v>0</v>
      </c>
      <c r="L423" s="49">
        <f t="array" ref="L423">IFERROR(
SUM(
IF(
'PORTIFÓLIO'!$C$4:$C$564=$A423,
N(INDEX('PORTIFÓLIO'!$J$4:$Q$564,,MATCH(L$2,'PORTIFÓLIO'!$J$3:$Q$3,0))) *
N('PORTIFÓLIO'!$S$4:$S$564),
0
)
),
0)</f>
        <v>0</v>
      </c>
      <c r="M423" s="47">
        <f t="shared" si="10"/>
        <v>0</v>
      </c>
      <c r="N423" s="49">
        <f t="array" ref="N423">IFERROR(
SUM(
IF(
'PORTIFÓLIO'!$C$4:$C$564=$A423,
N(INDEX('PORTIFÓLIO'!$J$4:$Q$564,,MATCH(N$2,'PORTIFÓLIO'!$J$3:$Q$3,0))) *
N('PORTIFÓLIO'!$S$4:$S$564),
0
)
),
0)</f>
        <v>0</v>
      </c>
      <c r="O423" s="49">
        <f t="shared" si="11"/>
        <v>0</v>
      </c>
      <c r="P423" s="49">
        <f t="array" ref="P423">IFERROR(
SUM(
IF(
'PORTIFÓLIO'!$C$4:$C$564=$A423,
N(INDEX('PORTIFÓLIO'!$J$4:$Q$564,,MATCH(P$2,'PORTIFÓLIO'!$J$3:$Q$3,0))) *
N('PORTIFÓLIO'!$S$4:$S$564),
0
)
),
0)</f>
        <v>0</v>
      </c>
      <c r="Q423" s="49">
        <f t="shared" si="12"/>
        <v>0</v>
      </c>
      <c r="R423" s="43"/>
      <c r="S423" s="43"/>
    </row>
    <row r="424" ht="15.75" hidden="1" customHeight="1" outlineLevel="1">
      <c r="A424" s="42" t="str">
        <f>IFERROR(__xludf.DUMMYFUNCTION("""COMPUTED_VALUE"""),"CR 8.90 NEW HOLLAND + 880 CF45")</f>
        <v>CR 8.90 NEW HOLLAND + 880 CF45</v>
      </c>
      <c r="B424" s="49">
        <f t="array" ref="B424">IFERROR(
SUM(
IF(
'PORTIFÓLIO'!$C$4:$C$564=$A424,
N(INDEX('PORTIFÓLIO'!$J$4:$Q$564,,MATCH(B$2,'PORTIFÓLIO'!$J$3:$Q$3,0))) *
N('PORTIFÓLIO'!$S$4:$S$564),
0
)
),
0)</f>
        <v>0</v>
      </c>
      <c r="C424" s="49">
        <f t="shared" si="5"/>
        <v>0</v>
      </c>
      <c r="D424" s="49">
        <f t="array" ref="D424">IFERROR(
SUM(
IF(
'PORTIFÓLIO'!$C$4:$C$564=$A424,
N(INDEX('PORTIFÓLIO'!$J$4:$Q$564,,MATCH(D$2,'PORTIFÓLIO'!$J$3:$Q$3,0))) *
N('PORTIFÓLIO'!$S$4:$S$564),
0
)
),
0)</f>
        <v>16875</v>
      </c>
      <c r="E424" s="49">
        <f t="shared" si="15"/>
        <v>56.25</v>
      </c>
      <c r="F424" s="49">
        <f t="array" ref="F424">IFERROR(
SUM(
IF(
'PORTIFÓLIO'!$C$4:$C$564=$A424,
N(INDEX('PORTIFÓLIO'!$J$4:$Q$564,,MATCH(F$2,'PORTIFÓLIO'!$J$3:$Q$3,0))) *
N('PORTIFÓLIO'!$S$4:$S$564),
0
)
),
0)</f>
        <v>12375</v>
      </c>
      <c r="G424" s="47">
        <f t="shared" si="7"/>
        <v>56.25</v>
      </c>
      <c r="H424" s="49">
        <f t="array" ref="H424">IFERROR(
SUM(
IF(
'PORTIFÓLIO'!$C$4:$C$564=$A424,
N(INDEX('PORTIFÓLIO'!$J$4:$Q$564,,MATCH(H$2,'PORTIFÓLIO'!$J$3:$Q$3,0))) *
N('PORTIFÓLIO'!$S$4:$S$564),
0
)
),
0)</f>
        <v>0</v>
      </c>
      <c r="I424" s="47">
        <f t="shared" si="8"/>
        <v>0</v>
      </c>
      <c r="J424" s="49">
        <f t="array" ref="J424">IFERROR(
SUM(
IF(
'PORTIFÓLIO'!$C$4:$C$564=$A424,
N(INDEX('PORTIFÓLIO'!$J$4:$Q$564,,MATCH(J$2,'PORTIFÓLIO'!$J$3:$Q$3,0))) *
N('PORTIFÓLIO'!$S$4:$S$564),
0
)
),
0)</f>
        <v>0</v>
      </c>
      <c r="K424" s="47">
        <f t="shared" si="9"/>
        <v>0</v>
      </c>
      <c r="L424" s="49">
        <f t="array" ref="L424">IFERROR(
SUM(
IF(
'PORTIFÓLIO'!$C$4:$C$564=$A424,
N(INDEX('PORTIFÓLIO'!$J$4:$Q$564,,MATCH(L$2,'PORTIFÓLIO'!$J$3:$Q$3,0))) *
N('PORTIFÓLIO'!$S$4:$S$564),
0
)
),
0)</f>
        <v>0</v>
      </c>
      <c r="M424" s="47">
        <f t="shared" si="10"/>
        <v>0</v>
      </c>
      <c r="N424" s="49">
        <f t="array" ref="N424">IFERROR(
SUM(
IF(
'PORTIFÓLIO'!$C$4:$C$564=$A424,
N(INDEX('PORTIFÓLIO'!$J$4:$Q$564,,MATCH(N$2,'PORTIFÓLIO'!$J$3:$Q$3,0))) *
N('PORTIFÓLIO'!$S$4:$S$564),
0
)
),
0)</f>
        <v>68512.5</v>
      </c>
      <c r="O424" s="49">
        <f t="shared" si="11"/>
        <v>56.25</v>
      </c>
      <c r="P424" s="49">
        <f t="array" ref="P424">IFERROR(
SUM(
IF(
'PORTIFÓLIO'!$C$4:$C$564=$A424,
N(INDEX('PORTIFÓLIO'!$J$4:$Q$564,,MATCH(P$2,'PORTIFÓLIO'!$J$3:$Q$3,0))) *
N('PORTIFÓLIO'!$S$4:$S$564),
0
)
),
0)</f>
        <v>18000</v>
      </c>
      <c r="Q424" s="49">
        <f t="shared" si="12"/>
        <v>56.25</v>
      </c>
      <c r="R424" s="43"/>
      <c r="S424" s="43"/>
    </row>
    <row r="425" ht="15.75" hidden="1" customHeight="1" outlineLevel="1">
      <c r="A425" s="42" t="str">
        <f>IFERROR(__xludf.DUMMYFUNCTION("""COMPUTED_VALUE"""),"COLHETADEIRA - NH-CR9060 + 740 CF30 AGRIDREPER")</f>
        <v>COLHETADEIRA - NH-CR9060 + 740 CF30 AGRIDREPER</v>
      </c>
      <c r="B425" s="49">
        <f t="array" ref="B425">IFERROR(
SUM(
IF(
'PORTIFÓLIO'!$C$4:$C$564=$A425,
N(INDEX('PORTIFÓLIO'!$J$4:$Q$564,,MATCH(B$2,'PORTIFÓLIO'!$J$3:$Q$3,0))) *
N('PORTIFÓLIO'!$S$4:$S$564),
0
)
),
0)</f>
        <v>0</v>
      </c>
      <c r="C425" s="49">
        <f t="shared" si="5"/>
        <v>0</v>
      </c>
      <c r="D425" s="49">
        <f t="array" ref="D425">IFERROR(
SUM(
IF(
'PORTIFÓLIO'!$C$4:$C$564=$A425,
N(INDEX('PORTIFÓLIO'!$J$4:$Q$564,,MATCH(D$2,'PORTIFÓLIO'!$J$3:$Q$3,0))) *
N('PORTIFÓLIO'!$S$4:$S$564),
0
)
),
0)</f>
        <v>0</v>
      </c>
      <c r="E425" s="49">
        <f t="shared" si="15"/>
        <v>0</v>
      </c>
      <c r="F425" s="49">
        <f t="array" ref="F425">IFERROR(
SUM(
IF(
'PORTIFÓLIO'!$C$4:$C$564=$A425,
N(INDEX('PORTIFÓLIO'!$J$4:$Q$564,,MATCH(F$2,'PORTIFÓLIO'!$J$3:$Q$3,0))) *
N('PORTIFÓLIO'!$S$4:$S$564),
0
)
),
0)</f>
        <v>0</v>
      </c>
      <c r="G425" s="47">
        <f t="shared" si="7"/>
        <v>0</v>
      </c>
      <c r="H425" s="49">
        <f t="array" ref="H425">IFERROR(
SUM(
IF(
'PORTIFÓLIO'!$C$4:$C$564=$A425,
N(INDEX('PORTIFÓLIO'!$J$4:$Q$564,,MATCH(H$2,'PORTIFÓLIO'!$J$3:$Q$3,0))) *
N('PORTIFÓLIO'!$S$4:$S$564),
0
)
),
0)</f>
        <v>0</v>
      </c>
      <c r="I425" s="47">
        <f t="shared" si="8"/>
        <v>0</v>
      </c>
      <c r="J425" s="49">
        <f t="array" ref="J425">IFERROR(
SUM(
IF(
'PORTIFÓLIO'!$C$4:$C$564=$A425,
N(INDEX('PORTIFÓLIO'!$J$4:$Q$564,,MATCH(J$2,'PORTIFÓLIO'!$J$3:$Q$3,0))) *
N('PORTIFÓLIO'!$S$4:$S$564),
0
)
),
0)</f>
        <v>0</v>
      </c>
      <c r="K425" s="47">
        <f t="shared" si="9"/>
        <v>0</v>
      </c>
      <c r="L425" s="49">
        <f t="array" ref="L425">IFERROR(
SUM(
IF(
'PORTIFÓLIO'!$C$4:$C$564=$A425,
N(INDEX('PORTIFÓLIO'!$J$4:$Q$564,,MATCH(L$2,'PORTIFÓLIO'!$J$3:$Q$3,0))) *
N('PORTIFÓLIO'!$S$4:$S$564),
0
)
),
0)</f>
        <v>0</v>
      </c>
      <c r="M425" s="47">
        <f t="shared" si="10"/>
        <v>0</v>
      </c>
      <c r="N425" s="49">
        <f t="array" ref="N425">IFERROR(
SUM(
IF(
'PORTIFÓLIO'!$C$4:$C$564=$A425,
N(INDEX('PORTIFÓLIO'!$J$4:$Q$564,,MATCH(N$2,'PORTIFÓLIO'!$J$3:$Q$3,0))) *
N('PORTIFÓLIO'!$S$4:$S$564),
0
)
),
0)</f>
        <v>0</v>
      </c>
      <c r="O425" s="49">
        <f t="shared" si="11"/>
        <v>0</v>
      </c>
      <c r="P425" s="49">
        <f t="array" ref="P425">IFERROR(
SUM(
IF(
'PORTIFÓLIO'!$C$4:$C$564=$A425,
N(INDEX('PORTIFÓLIO'!$J$4:$Q$564,,MATCH(P$2,'PORTIFÓLIO'!$J$3:$Q$3,0))) *
N('PORTIFÓLIO'!$S$4:$S$564),
0
)
),
0)</f>
        <v>0</v>
      </c>
      <c r="Q425" s="49">
        <f t="shared" si="12"/>
        <v>0</v>
      </c>
      <c r="R425" s="43"/>
      <c r="S425" s="43"/>
    </row>
    <row r="426" ht="15.75" hidden="1" customHeight="1" outlineLevel="1">
      <c r="A426" s="42" t="str">
        <f>IFERROR(__xludf.DUMMYFUNCTION("""COMPUTED_VALUE"""),"COLHETADEIRA CR7.80 + MACDON 35F")</f>
        <v>COLHETADEIRA CR7.80 + MACDON 35F</v>
      </c>
      <c r="B426" s="49">
        <f t="array" ref="B426">IFERROR(
SUM(
IF(
'PORTIFÓLIO'!$C$4:$C$564=$A426,
N(INDEX('PORTIFÓLIO'!$J$4:$Q$564,,MATCH(B$2,'PORTIFÓLIO'!$J$3:$Q$3,0))) *
N('PORTIFÓLIO'!$S$4:$S$564),
0
)
),
0)</f>
        <v>0</v>
      </c>
      <c r="C426" s="49">
        <f t="shared" si="5"/>
        <v>0</v>
      </c>
      <c r="D426" s="49">
        <f t="array" ref="D426">IFERROR(
SUM(
IF(
'PORTIFÓLIO'!$C$4:$C$564=$A426,
N(INDEX('PORTIFÓLIO'!$J$4:$Q$564,,MATCH(D$2,'PORTIFÓLIO'!$J$3:$Q$3,0))) *
N('PORTIFÓLIO'!$S$4:$S$564),
0
)
),
0)</f>
        <v>0</v>
      </c>
      <c r="E426" s="49">
        <f t="shared" si="15"/>
        <v>0</v>
      </c>
      <c r="F426" s="49">
        <f t="array" ref="F426">IFERROR(
SUM(
IF(
'PORTIFÓLIO'!$C$4:$C$564=$A426,
N(INDEX('PORTIFÓLIO'!$J$4:$Q$564,,MATCH(F$2,'PORTIFÓLIO'!$J$3:$Q$3,0))) *
N('PORTIFÓLIO'!$S$4:$S$564),
0
)
),
0)</f>
        <v>0</v>
      </c>
      <c r="G426" s="47">
        <f t="shared" si="7"/>
        <v>0</v>
      </c>
      <c r="H426" s="49">
        <f t="array" ref="H426">IFERROR(
SUM(
IF(
'PORTIFÓLIO'!$C$4:$C$564=$A426,
N(INDEX('PORTIFÓLIO'!$J$4:$Q$564,,MATCH(H$2,'PORTIFÓLIO'!$J$3:$Q$3,0))) *
N('PORTIFÓLIO'!$S$4:$S$564),
0
)
),
0)</f>
        <v>0</v>
      </c>
      <c r="I426" s="47">
        <f t="shared" si="8"/>
        <v>0</v>
      </c>
      <c r="J426" s="49">
        <f t="array" ref="J426">IFERROR(
SUM(
IF(
'PORTIFÓLIO'!$C$4:$C$564=$A426,
N(INDEX('PORTIFÓLIO'!$J$4:$Q$564,,MATCH(J$2,'PORTIFÓLIO'!$J$3:$Q$3,0))) *
N('PORTIFÓLIO'!$S$4:$S$564),
0
)
),
0)</f>
        <v>0</v>
      </c>
      <c r="K426" s="47">
        <f t="shared" si="9"/>
        <v>0</v>
      </c>
      <c r="L426" s="49">
        <f t="array" ref="L426">IFERROR(
SUM(
IF(
'PORTIFÓLIO'!$C$4:$C$564=$A426,
N(INDEX('PORTIFÓLIO'!$J$4:$Q$564,,MATCH(L$2,'PORTIFÓLIO'!$J$3:$Q$3,0))) *
N('PORTIFÓLIO'!$S$4:$S$564),
0
)
),
0)</f>
        <v>0</v>
      </c>
      <c r="M426" s="47">
        <f t="shared" si="10"/>
        <v>0</v>
      </c>
      <c r="N426" s="49">
        <f t="array" ref="N426">IFERROR(
SUM(
IF(
'PORTIFÓLIO'!$C$4:$C$564=$A426,
N(INDEX('PORTIFÓLIO'!$J$4:$Q$564,,MATCH(N$2,'PORTIFÓLIO'!$J$3:$Q$3,0))) *
N('PORTIFÓLIO'!$S$4:$S$564),
0
)
),
0)</f>
        <v>0</v>
      </c>
      <c r="O426" s="49">
        <f t="shared" si="11"/>
        <v>0</v>
      </c>
      <c r="P426" s="49">
        <f t="array" ref="P426">IFERROR(
SUM(
IF(
'PORTIFÓLIO'!$C$4:$C$564=$A426,
N(INDEX('PORTIFÓLIO'!$J$4:$Q$564,,MATCH(P$2,'PORTIFÓLIO'!$J$3:$Q$3,0))) *
N('PORTIFÓLIO'!$S$4:$S$564),
0
)
),
0)</f>
        <v>0</v>
      </c>
      <c r="Q426" s="49">
        <f t="shared" si="12"/>
        <v>0</v>
      </c>
      <c r="R426" s="43"/>
      <c r="S426" s="43"/>
    </row>
    <row r="427" ht="15.75" hidden="1" customHeight="1" outlineLevel="1">
      <c r="A427" s="42" t="str">
        <f>IFERROR(__xludf.DUMMYFUNCTION("""COMPUTED_VALUE"""),"TRATOR-JD 7500 + BRUTUS 12000")</f>
        <v>TRATOR-JD 7500 + BRUTUS 12000</v>
      </c>
      <c r="B427" s="49">
        <f t="array" ref="B427">IFERROR(
SUM(
IF(
'PORTIFÓLIO'!$C$4:$C$564=$A427,
N(INDEX('PORTIFÓLIO'!$J$4:$Q$564,,MATCH(B$2,'PORTIFÓLIO'!$J$3:$Q$3,0))) *
N('PORTIFÓLIO'!$S$4:$S$564),
0
)
),
0)</f>
        <v>0</v>
      </c>
      <c r="C427" s="49">
        <f t="shared" si="5"/>
        <v>0</v>
      </c>
      <c r="D427" s="49">
        <f t="array" ref="D427">IFERROR(
SUM(
IF(
'PORTIFÓLIO'!$C$4:$C$564=$A427,
N(INDEX('PORTIFÓLIO'!$J$4:$Q$564,,MATCH(D$2,'PORTIFÓLIO'!$J$3:$Q$3,0))) *
N('PORTIFÓLIO'!$S$4:$S$564),
0
)
),
0)</f>
        <v>10800</v>
      </c>
      <c r="E427" s="49">
        <f t="shared" si="15"/>
        <v>36</v>
      </c>
      <c r="F427" s="49">
        <f t="array" ref="F427">IFERROR(
SUM(
IF(
'PORTIFÓLIO'!$C$4:$C$564=$A427,
N(INDEX('PORTIFÓLIO'!$J$4:$Q$564,,MATCH(F$2,'PORTIFÓLIO'!$J$3:$Q$3,0))) *
N('PORTIFÓLIO'!$S$4:$S$564),
0
)
),
0)</f>
        <v>7920</v>
      </c>
      <c r="G427" s="47">
        <f t="shared" si="7"/>
        <v>36</v>
      </c>
      <c r="H427" s="49">
        <f t="array" ref="H427">IFERROR(
SUM(
IF(
'PORTIFÓLIO'!$C$4:$C$564=$A427,
N(INDEX('PORTIFÓLIO'!$J$4:$Q$564,,MATCH(H$2,'PORTIFÓLIO'!$J$3:$Q$3,0))) *
N('PORTIFÓLIO'!$S$4:$S$564),
0
)
),
0)</f>
        <v>0</v>
      </c>
      <c r="I427" s="47">
        <f t="shared" si="8"/>
        <v>0</v>
      </c>
      <c r="J427" s="49">
        <f t="array" ref="J427">IFERROR(
SUM(
IF(
'PORTIFÓLIO'!$C$4:$C$564=$A427,
N(INDEX('PORTIFÓLIO'!$J$4:$Q$564,,MATCH(J$2,'PORTIFÓLIO'!$J$3:$Q$3,0))) *
N('PORTIFÓLIO'!$S$4:$S$564),
0
)
),
0)</f>
        <v>0</v>
      </c>
      <c r="K427" s="47">
        <f t="shared" si="9"/>
        <v>0</v>
      </c>
      <c r="L427" s="49">
        <f t="array" ref="L427">IFERROR(
SUM(
IF(
'PORTIFÓLIO'!$C$4:$C$564=$A427,
N(INDEX('PORTIFÓLIO'!$J$4:$Q$564,,MATCH(L$2,'PORTIFÓLIO'!$J$3:$Q$3,0))) *
N('PORTIFÓLIO'!$S$4:$S$564),
0
)
),
0)</f>
        <v>7920</v>
      </c>
      <c r="M427" s="47">
        <f t="shared" si="10"/>
        <v>36</v>
      </c>
      <c r="N427" s="49">
        <f t="array" ref="N427">IFERROR(
SUM(
IF(
'PORTIFÓLIO'!$C$4:$C$564=$A427,
N(INDEX('PORTIFÓLIO'!$J$4:$Q$564,,MATCH(N$2,'PORTIFÓLIO'!$J$3:$Q$3,0))) *
N('PORTIFÓLIO'!$S$4:$S$564),
0
)
),
0)</f>
        <v>43848</v>
      </c>
      <c r="O427" s="49">
        <f t="shared" si="11"/>
        <v>36</v>
      </c>
      <c r="P427" s="49">
        <f t="array" ref="P427">IFERROR(
SUM(
IF(
'PORTIFÓLIO'!$C$4:$C$564=$A427,
N(INDEX('PORTIFÓLIO'!$J$4:$Q$564,,MATCH(P$2,'PORTIFÓLIO'!$J$3:$Q$3,0))) *
N('PORTIFÓLIO'!$S$4:$S$564),
0
)
),
0)</f>
        <v>11520</v>
      </c>
      <c r="Q427" s="49">
        <f t="shared" si="12"/>
        <v>36</v>
      </c>
      <c r="R427" s="43"/>
      <c r="S427" s="43"/>
    </row>
    <row r="428" ht="15.75" hidden="1" customHeight="1" outlineLevel="1">
      <c r="A428" s="42" t="str">
        <f>IFERROR(__xludf.DUMMYFUNCTION("""COMPUTED_VALUE"""),"TRATOR-JD 7500 + ADUBADORA HERCULES 10000")</f>
        <v>TRATOR-JD 7500 + ADUBADORA HERCULES 10000</v>
      </c>
      <c r="B428" s="49">
        <f t="array" ref="B428">IFERROR(
SUM(
IF(
'PORTIFÓLIO'!$C$4:$C$564=$A428,
N(INDEX('PORTIFÓLIO'!$J$4:$Q$564,,MATCH(B$2,'PORTIFÓLIO'!$J$3:$Q$3,0))) *
N('PORTIFÓLIO'!$S$4:$S$564),
0
)
),
0)</f>
        <v>3860.294118</v>
      </c>
      <c r="C428" s="49">
        <f t="shared" si="5"/>
        <v>7.878151261</v>
      </c>
      <c r="D428" s="49">
        <f t="array" ref="D428">IFERROR(
SUM(
IF(
'PORTIFÓLIO'!$C$4:$C$564=$A428,
N(INDEX('PORTIFÓLIO'!$J$4:$Q$564,,MATCH(D$2,'PORTIFÓLIO'!$J$3:$Q$3,0))) *
N('PORTIFÓLIO'!$S$4:$S$564),
0
)
),
0)</f>
        <v>6617.647059</v>
      </c>
      <c r="E428" s="49">
        <f t="shared" si="15"/>
        <v>22.05882353</v>
      </c>
      <c r="F428" s="49">
        <f t="array" ref="F428">IFERROR(
SUM(
IF(
'PORTIFÓLIO'!$C$4:$C$564=$A428,
N(INDEX('PORTIFÓLIO'!$J$4:$Q$564,,MATCH(F$2,'PORTIFÓLIO'!$J$3:$Q$3,0))) *
N('PORTIFÓLIO'!$S$4:$S$564),
0
)
),
0)</f>
        <v>4852.941176</v>
      </c>
      <c r="G428" s="47">
        <f t="shared" si="7"/>
        <v>22.05882353</v>
      </c>
      <c r="H428" s="49">
        <f t="array" ref="H428">IFERROR(
SUM(
IF(
'PORTIFÓLIO'!$C$4:$C$564=$A428,
N(INDEX('PORTIFÓLIO'!$J$4:$Q$564,,MATCH(H$2,'PORTIFÓLIO'!$J$3:$Q$3,0))) *
N('PORTIFÓLIO'!$S$4:$S$564),
0
)
),
0)</f>
        <v>0</v>
      </c>
      <c r="I428" s="47">
        <f t="shared" si="8"/>
        <v>0</v>
      </c>
      <c r="J428" s="49">
        <f t="array" ref="J428">IFERROR(
SUM(
IF(
'PORTIFÓLIO'!$C$4:$C$564=$A428,
N(INDEX('PORTIFÓLIO'!$J$4:$Q$564,,MATCH(J$2,'PORTIFÓLIO'!$J$3:$Q$3,0))) *
N('PORTIFÓLIO'!$S$4:$S$564),
0
)
),
0)</f>
        <v>0</v>
      </c>
      <c r="K428" s="47">
        <f t="shared" si="9"/>
        <v>0</v>
      </c>
      <c r="L428" s="49">
        <f t="array" ref="L428">IFERROR(
SUM(
IF(
'PORTIFÓLIO'!$C$4:$C$564=$A428,
N(INDEX('PORTIFÓLIO'!$J$4:$Q$564,,MATCH(L$2,'PORTIFÓLIO'!$J$3:$Q$3,0))) *
N('PORTIFÓLIO'!$S$4:$S$564),
0
)
),
0)</f>
        <v>4950</v>
      </c>
      <c r="M428" s="47">
        <f t="shared" si="10"/>
        <v>22.5</v>
      </c>
      <c r="N428" s="49">
        <f t="array" ref="N428">IFERROR(
SUM(
IF(
'PORTIFÓLIO'!$C$4:$C$564=$A428,
N(INDEX('PORTIFÓLIO'!$J$4:$Q$564,,MATCH(N$2,'PORTIFÓLIO'!$J$3:$Q$3,0))) *
N('PORTIFÓLIO'!$S$4:$S$564),
0
)
),
0)</f>
        <v>26867.64706</v>
      </c>
      <c r="O428" s="49">
        <f t="shared" si="11"/>
        <v>22.05882353</v>
      </c>
      <c r="P428" s="49">
        <f t="array" ref="P428">IFERROR(
SUM(
IF(
'PORTIFÓLIO'!$C$4:$C$564=$A428,
N(INDEX('PORTIFÓLIO'!$J$4:$Q$564,,MATCH(P$2,'PORTIFÓLIO'!$J$3:$Q$3,0))) *
N('PORTIFÓLIO'!$S$4:$S$564),
0
)
),
0)</f>
        <v>7058.823529</v>
      </c>
      <c r="Q428" s="49">
        <f t="shared" si="12"/>
        <v>22.05882353</v>
      </c>
      <c r="R428" s="43"/>
      <c r="S428" s="43"/>
    </row>
    <row r="429" ht="15.75" hidden="1" customHeight="1" outlineLevel="1">
      <c r="A429" s="42" t="str">
        <f>IFERROR(__xludf.DUMMYFUNCTION("""COMPUTED_VALUE"""),"VOLVO NH380 + CAÇAMBA 430SC")</f>
        <v>VOLVO NH380 + CAÇAMBA 430SC</v>
      </c>
      <c r="B429" s="49">
        <f t="array" ref="B429">IFERROR(
SUM(
IF(
'PORTIFÓLIO'!$C$4:$C$564=$A429,
N(INDEX('PORTIFÓLIO'!$J$4:$Q$564,,MATCH(B$2,'PORTIFÓLIO'!$J$3:$Q$3,0))) *
N('PORTIFÓLIO'!$S$4:$S$564),
0
)
),
0)</f>
        <v>0</v>
      </c>
      <c r="C429" s="49">
        <f t="shared" si="5"/>
        <v>0</v>
      </c>
      <c r="D429" s="49">
        <f t="array" ref="D429">IFERROR(
SUM(
IF(
'PORTIFÓLIO'!$C$4:$C$564=$A429,
N(INDEX('PORTIFÓLIO'!$J$4:$Q$564,,MATCH(D$2,'PORTIFÓLIO'!$J$3:$Q$3,0))) *
N('PORTIFÓLIO'!$S$4:$S$564),
0
)
),
0)</f>
        <v>4500</v>
      </c>
      <c r="E429" s="49">
        <f t="shared" si="15"/>
        <v>15</v>
      </c>
      <c r="F429" s="49">
        <f t="array" ref="F429">IFERROR(
SUM(
IF(
'PORTIFÓLIO'!$C$4:$C$564=$A429,
N(INDEX('PORTIFÓLIO'!$J$4:$Q$564,,MATCH(F$2,'PORTIFÓLIO'!$J$3:$Q$3,0))) *
N('PORTIFÓLIO'!$S$4:$S$564),
0
)
),
0)</f>
        <v>3300</v>
      </c>
      <c r="G429" s="47">
        <f t="shared" si="7"/>
        <v>15</v>
      </c>
      <c r="H429" s="49">
        <f t="array" ref="H429">IFERROR(
SUM(
IF(
'PORTIFÓLIO'!$C$4:$C$564=$A429,
N(INDEX('PORTIFÓLIO'!$J$4:$Q$564,,MATCH(H$2,'PORTIFÓLIO'!$J$3:$Q$3,0))) *
N('PORTIFÓLIO'!$S$4:$S$564),
0
)
),
0)</f>
        <v>0</v>
      </c>
      <c r="I429" s="47">
        <f t="shared" si="8"/>
        <v>0</v>
      </c>
      <c r="J429" s="49">
        <f t="array" ref="J429">IFERROR(
SUM(
IF(
'PORTIFÓLIO'!$C$4:$C$564=$A429,
N(INDEX('PORTIFÓLIO'!$J$4:$Q$564,,MATCH(J$2,'PORTIFÓLIO'!$J$3:$Q$3,0))) *
N('PORTIFÓLIO'!$S$4:$S$564),
0
)
),
0)</f>
        <v>0</v>
      </c>
      <c r="K429" s="47">
        <f t="shared" si="9"/>
        <v>0</v>
      </c>
      <c r="L429" s="49">
        <f t="array" ref="L429">IFERROR(
SUM(
IF(
'PORTIFÓLIO'!$C$4:$C$564=$A429,
N(INDEX('PORTIFÓLIO'!$J$4:$Q$564,,MATCH(L$2,'PORTIFÓLIO'!$J$3:$Q$3,0))) *
N('PORTIFÓLIO'!$S$4:$S$564),
0
)
),
0)</f>
        <v>0</v>
      </c>
      <c r="M429" s="47">
        <f t="shared" si="10"/>
        <v>0</v>
      </c>
      <c r="N429" s="49">
        <f t="array" ref="N429">IFERROR(
SUM(
IF(
'PORTIFÓLIO'!$C$4:$C$564=$A429,
N(INDEX('PORTIFÓLIO'!$J$4:$Q$564,,MATCH(N$2,'PORTIFÓLIO'!$J$3:$Q$3,0))) *
N('PORTIFÓLIO'!$S$4:$S$564),
0
)
),
0)</f>
        <v>18270</v>
      </c>
      <c r="O429" s="49">
        <f t="shared" si="11"/>
        <v>15</v>
      </c>
      <c r="P429" s="49">
        <f t="array" ref="P429">IFERROR(
SUM(
IF(
'PORTIFÓLIO'!$C$4:$C$564=$A429,
N(INDEX('PORTIFÓLIO'!$J$4:$Q$564,,MATCH(P$2,'PORTIFÓLIO'!$J$3:$Q$3,0))) *
N('PORTIFÓLIO'!$S$4:$S$564),
0
)
),
0)</f>
        <v>4800</v>
      </c>
      <c r="Q429" s="49">
        <f t="shared" si="12"/>
        <v>15</v>
      </c>
      <c r="R429" s="43"/>
      <c r="S429" s="43"/>
    </row>
    <row r="430" ht="15.75" hidden="1" customHeight="1" outlineLevel="1">
      <c r="A430" s="42" t="str">
        <f>IFERROR(__xludf.DUMMYFUNCTION("""COMPUTED_VALUE"""),"CASE MAGNUM 340 + SUBSOLADOR 11 ASTES")</f>
        <v>CASE MAGNUM 340 + SUBSOLADOR 11 ASTES</v>
      </c>
      <c r="B430" s="49">
        <f t="array" ref="B430">IFERROR(
SUM(
IF(
'PORTIFÓLIO'!$C$4:$C$564=$A430,
N(INDEX('PORTIFÓLIO'!$J$4:$Q$564,,MATCH(B$2,'PORTIFÓLIO'!$J$3:$Q$3,0))) *
N('PORTIFÓLIO'!$S$4:$S$564),
0
)
),
0)</f>
        <v>0</v>
      </c>
      <c r="C430" s="49">
        <f t="shared" si="5"/>
        <v>0</v>
      </c>
      <c r="D430" s="49">
        <f t="array" ref="D430">IFERROR(
SUM(
IF(
'PORTIFÓLIO'!$C$4:$C$564=$A430,
N(INDEX('PORTIFÓLIO'!$J$4:$Q$564,,MATCH(D$2,'PORTIFÓLIO'!$J$3:$Q$3,0))) *
N('PORTIFÓLIO'!$S$4:$S$564),
0
)
),
0)</f>
        <v>0</v>
      </c>
      <c r="E430" s="49">
        <f t="shared" si="15"/>
        <v>0</v>
      </c>
      <c r="F430" s="49">
        <f t="array" ref="F430">IFERROR(
SUM(
IF(
'PORTIFÓLIO'!$C$4:$C$564=$A430,
N(INDEX('PORTIFÓLIO'!$J$4:$Q$564,,MATCH(F$2,'PORTIFÓLIO'!$J$3:$Q$3,0))) *
N('PORTIFÓLIO'!$S$4:$S$564),
0
)
),
0)</f>
        <v>0</v>
      </c>
      <c r="G430" s="47">
        <f t="shared" si="7"/>
        <v>0</v>
      </c>
      <c r="H430" s="49">
        <f t="array" ref="H430">IFERROR(
SUM(
IF(
'PORTIFÓLIO'!$C$4:$C$564=$A430,
N(INDEX('PORTIFÓLIO'!$J$4:$Q$564,,MATCH(H$2,'PORTIFÓLIO'!$J$3:$Q$3,0))) *
N('PORTIFÓLIO'!$S$4:$S$564),
0
)
),
0)</f>
        <v>0</v>
      </c>
      <c r="I430" s="47">
        <f t="shared" si="8"/>
        <v>0</v>
      </c>
      <c r="J430" s="49">
        <f t="array" ref="J430">IFERROR(
SUM(
IF(
'PORTIFÓLIO'!$C$4:$C$564=$A430,
N(INDEX('PORTIFÓLIO'!$J$4:$Q$564,,MATCH(J$2,'PORTIFÓLIO'!$J$3:$Q$3,0))) *
N('PORTIFÓLIO'!$S$4:$S$564),
0
)
),
0)</f>
        <v>0</v>
      </c>
      <c r="K430" s="47">
        <f t="shared" si="9"/>
        <v>0</v>
      </c>
      <c r="L430" s="49">
        <f t="array" ref="L430">IFERROR(
SUM(
IF(
'PORTIFÓLIO'!$C$4:$C$564=$A430,
N(INDEX('PORTIFÓLIO'!$J$4:$Q$564,,MATCH(L$2,'PORTIFÓLIO'!$J$3:$Q$3,0))) *
N('PORTIFÓLIO'!$S$4:$S$564),
0
)
),
0)</f>
        <v>31020</v>
      </c>
      <c r="M430" s="47">
        <f t="shared" si="10"/>
        <v>141</v>
      </c>
      <c r="N430" s="49">
        <f t="array" ref="N430">IFERROR(
SUM(
IF(
'PORTIFÓLIO'!$C$4:$C$564=$A430,
N(INDEX('PORTIFÓLIO'!$J$4:$Q$564,,MATCH(N$2,'PORTIFÓLIO'!$J$3:$Q$3,0))) *
N('PORTIFÓLIO'!$S$4:$S$564),
0
)
),
0)</f>
        <v>0</v>
      </c>
      <c r="O430" s="49">
        <f t="shared" si="11"/>
        <v>0</v>
      </c>
      <c r="P430" s="49">
        <f t="array" ref="P430">IFERROR(
SUM(
IF(
'PORTIFÓLIO'!$C$4:$C$564=$A430,
N(INDEX('PORTIFÓLIO'!$J$4:$Q$564,,MATCH(P$2,'PORTIFÓLIO'!$J$3:$Q$3,0))) *
N('PORTIFÓLIO'!$S$4:$S$564),
0
)
),
0)</f>
        <v>0</v>
      </c>
      <c r="Q430" s="49">
        <f t="shared" si="12"/>
        <v>0</v>
      </c>
      <c r="R430" s="43"/>
      <c r="S430" s="43"/>
    </row>
    <row r="431" ht="15.75" hidden="1" customHeight="1" outlineLevel="1">
      <c r="A431" s="42" t="str">
        <f>IFERROR(__xludf.DUMMYFUNCTION("""COMPUTED_VALUE"""),"PULVERIZADOR- JD4730 + PULVERIZADOR- JD4730")</f>
        <v>PULVERIZADOR- JD4730 + PULVERIZADOR- JD4730</v>
      </c>
      <c r="B431" s="49">
        <f t="array" ref="B431">IFERROR(
SUM(
IF(
'PORTIFÓLIO'!$C$4:$C$564=$A431,
N(INDEX('PORTIFÓLIO'!$J$4:$Q$564,,MATCH(B$2,'PORTIFÓLIO'!$J$3:$Q$3,0))) *
N('PORTIFÓLIO'!$S$4:$S$564),
0
)
),
0)</f>
        <v>0</v>
      </c>
      <c r="C431" s="49">
        <f t="shared" si="5"/>
        <v>0</v>
      </c>
      <c r="D431" s="49">
        <f t="array" ref="D431">IFERROR(
SUM(
IF(
'PORTIFÓLIO'!$C$4:$C$564=$A431,
N(INDEX('PORTIFÓLIO'!$J$4:$Q$564,,MATCH(D$2,'PORTIFÓLIO'!$J$3:$Q$3,0))) *
N('PORTIFÓLIO'!$S$4:$S$564),
0
)
),
0)</f>
        <v>2250</v>
      </c>
      <c r="E431" s="49">
        <f t="shared" si="15"/>
        <v>7.5</v>
      </c>
      <c r="F431" s="49">
        <f t="array" ref="F431">IFERROR(
SUM(
IF(
'PORTIFÓLIO'!$C$4:$C$564=$A431,
N(INDEX('PORTIFÓLIO'!$J$4:$Q$564,,MATCH(F$2,'PORTIFÓLIO'!$J$3:$Q$3,0))) *
N('PORTIFÓLIO'!$S$4:$S$564),
0
)
),
0)</f>
        <v>1650</v>
      </c>
      <c r="G431" s="47">
        <f t="shared" si="7"/>
        <v>7.5</v>
      </c>
      <c r="H431" s="49">
        <f t="array" ref="H431">IFERROR(
SUM(
IF(
'PORTIFÓLIO'!$C$4:$C$564=$A431,
N(INDEX('PORTIFÓLIO'!$J$4:$Q$564,,MATCH(H$2,'PORTIFÓLIO'!$J$3:$Q$3,0))) *
N('PORTIFÓLIO'!$S$4:$S$564),
0
)
),
0)</f>
        <v>0</v>
      </c>
      <c r="I431" s="47">
        <f t="shared" si="8"/>
        <v>0</v>
      </c>
      <c r="J431" s="49">
        <f t="array" ref="J431">IFERROR(
SUM(
IF(
'PORTIFÓLIO'!$C$4:$C$564=$A431,
N(INDEX('PORTIFÓLIO'!$J$4:$Q$564,,MATCH(J$2,'PORTIFÓLIO'!$J$3:$Q$3,0))) *
N('PORTIFÓLIO'!$S$4:$S$564),
0
)
),
0)</f>
        <v>0</v>
      </c>
      <c r="K431" s="47">
        <f t="shared" si="9"/>
        <v>0</v>
      </c>
      <c r="L431" s="49">
        <f t="array" ref="L431">IFERROR(
SUM(
IF(
'PORTIFÓLIO'!$C$4:$C$564=$A431,
N(INDEX('PORTIFÓLIO'!$J$4:$Q$564,,MATCH(L$2,'PORTIFÓLIO'!$J$3:$Q$3,0))) *
N('PORTIFÓLIO'!$S$4:$S$564),
0
)
),
0)</f>
        <v>0</v>
      </c>
      <c r="M431" s="47">
        <f t="shared" si="10"/>
        <v>0</v>
      </c>
      <c r="N431" s="49">
        <f t="array" ref="N431">IFERROR(
SUM(
IF(
'PORTIFÓLIO'!$C$4:$C$564=$A431,
N(INDEX('PORTIFÓLIO'!$J$4:$Q$564,,MATCH(N$2,'PORTIFÓLIO'!$J$3:$Q$3,0))) *
N('PORTIFÓLIO'!$S$4:$S$564),
0
)
),
0)</f>
        <v>9135</v>
      </c>
      <c r="O431" s="49">
        <f t="shared" si="11"/>
        <v>7.5</v>
      </c>
      <c r="P431" s="49">
        <f t="array" ref="P431">IFERROR(
SUM(
IF(
'PORTIFÓLIO'!$C$4:$C$564=$A431,
N(INDEX('PORTIFÓLIO'!$J$4:$Q$564,,MATCH(P$2,'PORTIFÓLIO'!$J$3:$Q$3,0))) *
N('PORTIFÓLIO'!$S$4:$S$564),
0
)
),
0)</f>
        <v>2400</v>
      </c>
      <c r="Q431" s="49">
        <f t="shared" si="12"/>
        <v>7.5</v>
      </c>
      <c r="R431" s="43"/>
      <c r="S431" s="43"/>
    </row>
    <row r="432" ht="15.75" hidden="1" customHeight="1" outlineLevel="1">
      <c r="A432" s="42" t="str">
        <f>IFERROR(__xludf.DUMMYFUNCTION("""COMPUTED_VALUE"""),"AIR TRATOR AT-502B + AIR TRATOR AT-502B")</f>
        <v>AIR TRATOR AT-502B + AIR TRATOR AT-502B</v>
      </c>
      <c r="B432" s="49">
        <f t="array" ref="B432">IFERROR(
SUM(
IF(
'PORTIFÓLIO'!$C$4:$C$564=$A432,
N(INDEX('PORTIFÓLIO'!$J$4:$Q$564,,MATCH(B$2,'PORTIFÓLIO'!$J$3:$Q$3,0))) *
N('PORTIFÓLIO'!$S$4:$S$564),
0
)
),
0)</f>
        <v>18666.66667</v>
      </c>
      <c r="C432" s="49">
        <f t="shared" si="5"/>
        <v>38.0952381</v>
      </c>
      <c r="D432" s="49">
        <f t="array" ref="D432">IFERROR(
SUM(
IF(
'PORTIFÓLIO'!$C$4:$C$564=$A432,
N(INDEX('PORTIFÓLIO'!$J$4:$Q$564,,MATCH(D$2,'PORTIFÓLIO'!$J$3:$Q$3,0))) *
N('PORTIFÓLIO'!$S$4:$S$564),
0
)
),
0)</f>
        <v>50000</v>
      </c>
      <c r="E432" s="49">
        <f t="shared" si="15"/>
        <v>166.6666667</v>
      </c>
      <c r="F432" s="49">
        <f t="array" ref="F432">IFERROR(
SUM(
IF(
'PORTIFÓLIO'!$C$4:$C$564=$A432,
N(INDEX('PORTIFÓLIO'!$J$4:$Q$564,,MATCH(F$2,'PORTIFÓLIO'!$J$3:$Q$3,0))) *
N('PORTIFÓLIO'!$S$4:$S$564),
0
)
),
0)</f>
        <v>36666.66667</v>
      </c>
      <c r="G432" s="47">
        <f t="shared" si="7"/>
        <v>166.6666667</v>
      </c>
      <c r="H432" s="49">
        <f t="array" ref="H432">IFERROR(
SUM(
IF(
'PORTIFÓLIO'!$C$4:$C$564=$A432,
N(INDEX('PORTIFÓLIO'!$J$4:$Q$564,,MATCH(H$2,'PORTIFÓLIO'!$J$3:$Q$3,0))) *
N('PORTIFÓLIO'!$S$4:$S$564),
0
)
),
0)</f>
        <v>0</v>
      </c>
      <c r="I432" s="47">
        <f t="shared" si="8"/>
        <v>0</v>
      </c>
      <c r="J432" s="49">
        <f t="array" ref="J432">IFERROR(
SUM(
IF(
'PORTIFÓLIO'!$C$4:$C$564=$A432,
N(INDEX('PORTIFÓLIO'!$J$4:$Q$564,,MATCH(J$2,'PORTIFÓLIO'!$J$3:$Q$3,0))) *
N('PORTIFÓLIO'!$S$4:$S$564),
0
)
),
0)</f>
        <v>0</v>
      </c>
      <c r="K432" s="47">
        <f t="shared" si="9"/>
        <v>0</v>
      </c>
      <c r="L432" s="49">
        <f t="array" ref="L432">IFERROR(
SUM(
IF(
'PORTIFÓLIO'!$C$4:$C$564=$A432,
N(INDEX('PORTIFÓLIO'!$J$4:$Q$564,,MATCH(L$2,'PORTIFÓLIO'!$J$3:$Q$3,0))) *
N('PORTIFÓLIO'!$S$4:$S$564),
0
)
),
0)</f>
        <v>33000</v>
      </c>
      <c r="M432" s="47">
        <f t="shared" si="10"/>
        <v>150</v>
      </c>
      <c r="N432" s="49">
        <f t="array" ref="N432">IFERROR(
SUM(
IF(
'PORTIFÓLIO'!$C$4:$C$564=$A432,
N(INDEX('PORTIFÓLIO'!$J$4:$Q$564,,MATCH(N$2,'PORTIFÓLIO'!$J$3:$Q$3,0))) *
N('PORTIFÓLIO'!$S$4:$S$564),
0
)
),
0)</f>
        <v>203000</v>
      </c>
      <c r="O432" s="49">
        <f t="shared" si="11"/>
        <v>166.6666667</v>
      </c>
      <c r="P432" s="49">
        <f t="array" ref="P432">IFERROR(
SUM(
IF(
'PORTIFÓLIO'!$C$4:$C$564=$A432,
N(INDEX('PORTIFÓLIO'!$J$4:$Q$564,,MATCH(P$2,'PORTIFÓLIO'!$J$3:$Q$3,0))) *
N('PORTIFÓLIO'!$S$4:$S$564),
0
)
),
0)</f>
        <v>53333.33333</v>
      </c>
      <c r="Q432" s="49">
        <f t="shared" si="12"/>
        <v>166.6666667</v>
      </c>
      <c r="R432" s="43"/>
      <c r="S432" s="43"/>
    </row>
    <row r="433" ht="15.75" hidden="1" customHeight="1" outlineLevel="1">
      <c r="A433" s="42" t="str">
        <f>IFERROR(__xludf.DUMMYFUNCTION("""COMPUTED_VALUE"""),"COLHETADEIRA - NH-CR9060 + MILHO BRAVA 11")</f>
        <v>COLHETADEIRA - NH-CR9060 + MILHO BRAVA 11</v>
      </c>
      <c r="B433" s="49">
        <f t="array" ref="B433">IFERROR(
SUM(
IF(
'PORTIFÓLIO'!$C$4:$C$564=$A433,
N(INDEX('PORTIFÓLIO'!$J$4:$Q$564,,MATCH(B$2,'PORTIFÓLIO'!$J$3:$Q$3,0))) *
N('PORTIFÓLIO'!$S$4:$S$564),
0
)
),
0)</f>
        <v>0</v>
      </c>
      <c r="C433" s="49">
        <f t="shared" si="5"/>
        <v>0</v>
      </c>
      <c r="D433" s="49">
        <f t="array" ref="D433">IFERROR(
SUM(
IF(
'PORTIFÓLIO'!$C$4:$C$564=$A433,
N(INDEX('PORTIFÓLIO'!$J$4:$Q$564,,MATCH(D$2,'PORTIFÓLIO'!$J$3:$Q$3,0))) *
N('PORTIFÓLIO'!$S$4:$S$564),
0
)
),
0)</f>
        <v>0</v>
      </c>
      <c r="E433" s="49">
        <f t="shared" si="15"/>
        <v>0</v>
      </c>
      <c r="F433" s="49">
        <f t="array" ref="F433">IFERROR(
SUM(
IF(
'PORTIFÓLIO'!$C$4:$C$564=$A433,
N(INDEX('PORTIFÓLIO'!$J$4:$Q$564,,MATCH(F$2,'PORTIFÓLIO'!$J$3:$Q$3,0))) *
N('PORTIFÓLIO'!$S$4:$S$564),
0
)
),
0)</f>
        <v>0</v>
      </c>
      <c r="G433" s="47">
        <f t="shared" si="7"/>
        <v>0</v>
      </c>
      <c r="H433" s="49">
        <f t="array" ref="H433">IFERROR(
SUM(
IF(
'PORTIFÓLIO'!$C$4:$C$564=$A433,
N(INDEX('PORTIFÓLIO'!$J$4:$Q$564,,MATCH(H$2,'PORTIFÓLIO'!$J$3:$Q$3,0))) *
N('PORTIFÓLIO'!$S$4:$S$564),
0
)
),
0)</f>
        <v>0</v>
      </c>
      <c r="I433" s="47">
        <f t="shared" si="8"/>
        <v>0</v>
      </c>
      <c r="J433" s="49">
        <f t="array" ref="J433">IFERROR(
SUM(
IF(
'PORTIFÓLIO'!$C$4:$C$564=$A433,
N(INDEX('PORTIFÓLIO'!$J$4:$Q$564,,MATCH(J$2,'PORTIFÓLIO'!$J$3:$Q$3,0))) *
N('PORTIFÓLIO'!$S$4:$S$564),
0
)
),
0)</f>
        <v>0</v>
      </c>
      <c r="K433" s="47">
        <f t="shared" si="9"/>
        <v>0</v>
      </c>
      <c r="L433" s="49">
        <f t="array" ref="L433">IFERROR(
SUM(
IF(
'PORTIFÓLIO'!$C$4:$C$564=$A433,
N(INDEX('PORTIFÓLIO'!$J$4:$Q$564,,MATCH(L$2,'PORTIFÓLIO'!$J$3:$Q$3,0))) *
N('PORTIFÓLIO'!$S$4:$S$564),
0
)
),
0)</f>
        <v>13860</v>
      </c>
      <c r="M433" s="47">
        <f t="shared" si="10"/>
        <v>63</v>
      </c>
      <c r="N433" s="49">
        <f t="array" ref="N433">IFERROR(
SUM(
IF(
'PORTIFÓLIO'!$C$4:$C$564=$A433,
N(INDEX('PORTIFÓLIO'!$J$4:$Q$564,,MATCH(N$2,'PORTIFÓLIO'!$J$3:$Q$3,0))) *
N('PORTIFÓLIO'!$S$4:$S$564),
0
)
),
0)</f>
        <v>0</v>
      </c>
      <c r="O433" s="49">
        <f t="shared" si="11"/>
        <v>0</v>
      </c>
      <c r="P433" s="49">
        <f t="array" ref="P433">IFERROR(
SUM(
IF(
'PORTIFÓLIO'!$C$4:$C$564=$A433,
N(INDEX('PORTIFÓLIO'!$J$4:$Q$564,,MATCH(P$2,'PORTIFÓLIO'!$J$3:$Q$3,0))) *
N('PORTIFÓLIO'!$S$4:$S$564),
0
)
),
0)</f>
        <v>0</v>
      </c>
      <c r="Q433" s="49">
        <f t="shared" si="12"/>
        <v>0</v>
      </c>
      <c r="R433" s="43"/>
      <c r="S433" s="43"/>
    </row>
    <row r="434" ht="15.75" hidden="1" customHeight="1" outlineLevel="1">
      <c r="A434" s="42" t="str">
        <f>IFERROR(__xludf.DUMMYFUNCTION("""COMPUTED_VALUE"""),"NH T7.260 + JAN 20000")</f>
        <v>NH T7.260 + JAN 20000</v>
      </c>
      <c r="B434" s="49">
        <f t="array" ref="B434">IFERROR(
SUM(
IF(
'PORTIFÓLIO'!$C$4:$C$564=$A434,
N(INDEX('PORTIFÓLIO'!$J$4:$Q$564,,MATCH(B$2,'PORTIFÓLIO'!$J$3:$Q$3,0))) *
N('PORTIFÓLIO'!$S$4:$S$564),
0
)
),
0)</f>
        <v>2625</v>
      </c>
      <c r="C434" s="49">
        <f t="shared" si="5"/>
        <v>5.357142857</v>
      </c>
      <c r="D434" s="49">
        <f t="array" ref="D434">IFERROR(
SUM(
IF(
'PORTIFÓLIO'!$C$4:$C$564=$A434,
N(INDEX('PORTIFÓLIO'!$J$4:$Q$564,,MATCH(D$2,'PORTIFÓLIO'!$J$3:$Q$3,0))) *
N('PORTIFÓLIO'!$S$4:$S$564),
0
)
),
0)</f>
        <v>0</v>
      </c>
      <c r="E434" s="49">
        <f t="shared" si="15"/>
        <v>0</v>
      </c>
      <c r="F434" s="49">
        <f t="array" ref="F434">IFERROR(
SUM(
IF(
'PORTIFÓLIO'!$C$4:$C$564=$A434,
N(INDEX('PORTIFÓLIO'!$J$4:$Q$564,,MATCH(F$2,'PORTIFÓLIO'!$J$3:$Q$3,0))) *
N('PORTIFÓLIO'!$S$4:$S$564),
0
)
),
0)</f>
        <v>0</v>
      </c>
      <c r="G434" s="47">
        <f t="shared" si="7"/>
        <v>0</v>
      </c>
      <c r="H434" s="49">
        <f t="array" ref="H434">IFERROR(
SUM(
IF(
'PORTIFÓLIO'!$C$4:$C$564=$A434,
N(INDEX('PORTIFÓLIO'!$J$4:$Q$564,,MATCH(H$2,'PORTIFÓLIO'!$J$3:$Q$3,0))) *
N('PORTIFÓLIO'!$S$4:$S$564),
0
)
),
0)</f>
        <v>0</v>
      </c>
      <c r="I434" s="47">
        <f t="shared" si="8"/>
        <v>0</v>
      </c>
      <c r="J434" s="49">
        <f t="array" ref="J434">IFERROR(
SUM(
IF(
'PORTIFÓLIO'!$C$4:$C$564=$A434,
N(INDEX('PORTIFÓLIO'!$J$4:$Q$564,,MATCH(J$2,'PORTIFÓLIO'!$J$3:$Q$3,0))) *
N('PORTIFÓLIO'!$S$4:$S$564),
0
)
),
0)</f>
        <v>0</v>
      </c>
      <c r="K434" s="47">
        <f t="shared" si="9"/>
        <v>0</v>
      </c>
      <c r="L434" s="49">
        <f t="array" ref="L434">IFERROR(
SUM(
IF(
'PORTIFÓLIO'!$C$4:$C$564=$A434,
N(INDEX('PORTIFÓLIO'!$J$4:$Q$564,,MATCH(L$2,'PORTIFÓLIO'!$J$3:$Q$3,0))) *
N('PORTIFÓLIO'!$S$4:$S$564),
0
)
),
0)</f>
        <v>0</v>
      </c>
      <c r="M434" s="47">
        <f t="shared" si="10"/>
        <v>0</v>
      </c>
      <c r="N434" s="49">
        <f t="array" ref="N434">IFERROR(
SUM(
IF(
'PORTIFÓLIO'!$C$4:$C$564=$A434,
N(INDEX('PORTIFÓLIO'!$J$4:$Q$564,,MATCH(N$2,'PORTIFÓLIO'!$J$3:$Q$3,0))) *
N('PORTIFÓLIO'!$S$4:$S$564),
0
)
),
0)</f>
        <v>0</v>
      </c>
      <c r="O434" s="49">
        <f t="shared" si="11"/>
        <v>0</v>
      </c>
      <c r="P434" s="49">
        <f t="array" ref="P434">IFERROR(
SUM(
IF(
'PORTIFÓLIO'!$C$4:$C$564=$A434,
N(INDEX('PORTIFÓLIO'!$J$4:$Q$564,,MATCH(P$2,'PORTIFÓLIO'!$J$3:$Q$3,0))) *
N('PORTIFÓLIO'!$S$4:$S$564),
0
)
),
0)</f>
        <v>0</v>
      </c>
      <c r="Q434" s="49">
        <f t="shared" si="12"/>
        <v>0</v>
      </c>
      <c r="R434" s="43"/>
      <c r="S434" s="43"/>
    </row>
    <row r="435" ht="15.75" hidden="1" customHeight="1" outlineLevel="1">
      <c r="A435" s="42" t="str">
        <f>IFERROR(__xludf.DUMMYFUNCTION("""COMPUTED_VALUE"""),"NH T8.355 + - JD2122")</f>
        <v>NH T8.355 + - JD2122</v>
      </c>
      <c r="B435" s="49">
        <f t="array" ref="B435">IFERROR(
SUM(
IF(
'PORTIFÓLIO'!$C$4:$C$564=$A435,
N(INDEX('PORTIFÓLIO'!$J$4:$Q$564,,MATCH(B$2,'PORTIFÓLIO'!$J$3:$Q$3,0))) *
N('PORTIFÓLIO'!$S$4:$S$564),
0
)
),
0)</f>
        <v>0</v>
      </c>
      <c r="C435" s="49">
        <f t="shared" si="5"/>
        <v>0</v>
      </c>
      <c r="D435" s="49">
        <f t="array" ref="D435">IFERROR(
SUM(
IF(
'PORTIFÓLIO'!$C$4:$C$564=$A435,
N(INDEX('PORTIFÓLIO'!$J$4:$Q$564,,MATCH(D$2,'PORTIFÓLIO'!$J$3:$Q$3,0))) *
N('PORTIFÓLIO'!$S$4:$S$564),
0
)
),
0)</f>
        <v>0</v>
      </c>
      <c r="E435" s="49">
        <f t="shared" si="15"/>
        <v>0</v>
      </c>
      <c r="F435" s="49">
        <f t="array" ref="F435">IFERROR(
SUM(
IF(
'PORTIFÓLIO'!$C$4:$C$564=$A435,
N(INDEX('PORTIFÓLIO'!$J$4:$Q$564,,MATCH(F$2,'PORTIFÓLIO'!$J$3:$Q$3,0))) *
N('PORTIFÓLIO'!$S$4:$S$564),
0
)
),
0)</f>
        <v>0</v>
      </c>
      <c r="G435" s="47">
        <f t="shared" si="7"/>
        <v>0</v>
      </c>
      <c r="H435" s="49">
        <f t="array" ref="H435">IFERROR(
SUM(
IF(
'PORTIFÓLIO'!$C$4:$C$564=$A435,
N(INDEX('PORTIFÓLIO'!$J$4:$Q$564,,MATCH(H$2,'PORTIFÓLIO'!$J$3:$Q$3,0))) *
N('PORTIFÓLIO'!$S$4:$S$564),
0
)
),
0)</f>
        <v>0</v>
      </c>
      <c r="I435" s="47">
        <f t="shared" si="8"/>
        <v>0</v>
      </c>
      <c r="J435" s="49">
        <f t="array" ref="J435">IFERROR(
SUM(
IF(
'PORTIFÓLIO'!$C$4:$C$564=$A435,
N(INDEX('PORTIFÓLIO'!$J$4:$Q$564,,MATCH(J$2,'PORTIFÓLIO'!$J$3:$Q$3,0))) *
N('PORTIFÓLIO'!$S$4:$S$564),
0
)
),
0)</f>
        <v>0</v>
      </c>
      <c r="K435" s="47">
        <f t="shared" si="9"/>
        <v>0</v>
      </c>
      <c r="L435" s="49">
        <f t="array" ref="L435">IFERROR(
SUM(
IF(
'PORTIFÓLIO'!$C$4:$C$564=$A435,
N(INDEX('PORTIFÓLIO'!$J$4:$Q$564,,MATCH(L$2,'PORTIFÓLIO'!$J$3:$Q$3,0))) *
N('PORTIFÓLIO'!$S$4:$S$564),
0
)
),
0)</f>
        <v>0</v>
      </c>
      <c r="M435" s="47">
        <f t="shared" si="10"/>
        <v>0</v>
      </c>
      <c r="N435" s="49">
        <f t="array" ref="N435">IFERROR(
SUM(
IF(
'PORTIFÓLIO'!$C$4:$C$564=$A435,
N(INDEX('PORTIFÓLIO'!$J$4:$Q$564,,MATCH(N$2,'PORTIFÓLIO'!$J$3:$Q$3,0))) *
N('PORTIFÓLIO'!$S$4:$S$564),
0
)
),
0)</f>
        <v>0</v>
      </c>
      <c r="O435" s="49">
        <f t="shared" si="11"/>
        <v>0</v>
      </c>
      <c r="P435" s="49">
        <f t="array" ref="P435">IFERROR(
SUM(
IF(
'PORTIFÓLIO'!$C$4:$C$564=$A435,
N(INDEX('PORTIFÓLIO'!$J$4:$Q$564,,MATCH(P$2,'PORTIFÓLIO'!$J$3:$Q$3,0))) *
N('PORTIFÓLIO'!$S$4:$S$564),
0
)
),
0)</f>
        <v>0</v>
      </c>
      <c r="Q435" s="49">
        <f t="shared" si="12"/>
        <v>0</v>
      </c>
      <c r="R435" s="43"/>
      <c r="S435" s="43"/>
    </row>
    <row r="436" ht="15.75" hidden="1" customHeight="1" outlineLevel="1">
      <c r="A436" s="42" t="str">
        <f>IFERROR(__xludf.DUMMYFUNCTION("""COMPUTED_VALUE"""),"COLHETADEIRA - CASE 2388 + CASE 30PES")</f>
        <v>COLHETADEIRA - CASE 2388 + CASE 30PES</v>
      </c>
      <c r="B436" s="49">
        <f t="array" ref="B436">IFERROR(
SUM(
IF(
'PORTIFÓLIO'!$C$4:$C$564=$A436,
N(INDEX('PORTIFÓLIO'!$J$4:$Q$564,,MATCH(B$2,'PORTIFÓLIO'!$J$3:$Q$3,0))) *
N('PORTIFÓLIO'!$S$4:$S$564),
0
)
),
0)</f>
        <v>0</v>
      </c>
      <c r="C436" s="49">
        <f t="shared" si="5"/>
        <v>0</v>
      </c>
      <c r="D436" s="49">
        <f t="array" ref="D436">IFERROR(
SUM(
IF(
'PORTIFÓLIO'!$C$4:$C$564=$A436,
N(INDEX('PORTIFÓLIO'!$J$4:$Q$564,,MATCH(D$2,'PORTIFÓLIO'!$J$3:$Q$3,0))) *
N('PORTIFÓLIO'!$S$4:$S$564),
0
)
),
0)</f>
        <v>0</v>
      </c>
      <c r="E436" s="49">
        <f t="shared" si="15"/>
        <v>0</v>
      </c>
      <c r="F436" s="49">
        <f t="array" ref="F436">IFERROR(
SUM(
IF(
'PORTIFÓLIO'!$C$4:$C$564=$A436,
N(INDEX('PORTIFÓLIO'!$J$4:$Q$564,,MATCH(F$2,'PORTIFÓLIO'!$J$3:$Q$3,0))) *
N('PORTIFÓLIO'!$S$4:$S$564),
0
)
),
0)</f>
        <v>0</v>
      </c>
      <c r="G436" s="47">
        <f t="shared" si="7"/>
        <v>0</v>
      </c>
      <c r="H436" s="49">
        <f t="array" ref="H436">IFERROR(
SUM(
IF(
'PORTIFÓLIO'!$C$4:$C$564=$A436,
N(INDEX('PORTIFÓLIO'!$J$4:$Q$564,,MATCH(H$2,'PORTIFÓLIO'!$J$3:$Q$3,0))) *
N('PORTIFÓLIO'!$S$4:$S$564),
0
)
),
0)</f>
        <v>0</v>
      </c>
      <c r="I436" s="47">
        <f t="shared" si="8"/>
        <v>0</v>
      </c>
      <c r="J436" s="49">
        <f t="array" ref="J436">IFERROR(
SUM(
IF(
'PORTIFÓLIO'!$C$4:$C$564=$A436,
N(INDEX('PORTIFÓLIO'!$J$4:$Q$564,,MATCH(J$2,'PORTIFÓLIO'!$J$3:$Q$3,0))) *
N('PORTIFÓLIO'!$S$4:$S$564),
0
)
),
0)</f>
        <v>0</v>
      </c>
      <c r="K436" s="47">
        <f t="shared" si="9"/>
        <v>0</v>
      </c>
      <c r="L436" s="49">
        <f t="array" ref="L436">IFERROR(
SUM(
IF(
'PORTIFÓLIO'!$C$4:$C$564=$A436,
N(INDEX('PORTIFÓLIO'!$J$4:$Q$564,,MATCH(L$2,'PORTIFÓLIO'!$J$3:$Q$3,0))) *
N('PORTIFÓLIO'!$S$4:$S$564),
0
)
),
0)</f>
        <v>0</v>
      </c>
      <c r="M436" s="47">
        <f t="shared" si="10"/>
        <v>0</v>
      </c>
      <c r="N436" s="49">
        <f t="array" ref="N436">IFERROR(
SUM(
IF(
'PORTIFÓLIO'!$C$4:$C$564=$A436,
N(INDEX('PORTIFÓLIO'!$J$4:$Q$564,,MATCH(N$2,'PORTIFÓLIO'!$J$3:$Q$3,0))) *
N('PORTIFÓLIO'!$S$4:$S$564),
0
)
),
0)</f>
        <v>0</v>
      </c>
      <c r="O436" s="49">
        <f t="shared" si="11"/>
        <v>0</v>
      </c>
      <c r="P436" s="49">
        <f t="array" ref="P436">IFERROR(
SUM(
IF(
'PORTIFÓLIO'!$C$4:$C$564=$A436,
N(INDEX('PORTIFÓLIO'!$J$4:$Q$564,,MATCH(P$2,'PORTIFÓLIO'!$J$3:$Q$3,0))) *
N('PORTIFÓLIO'!$S$4:$S$564),
0
)
),
0)</f>
        <v>0</v>
      </c>
      <c r="Q436" s="49">
        <f t="shared" si="12"/>
        <v>0</v>
      </c>
      <c r="R436" s="43"/>
      <c r="S436" s="43"/>
    </row>
    <row r="437" ht="15.75" hidden="1" customHeight="1" outlineLevel="1">
      <c r="A437" s="42" t="str">
        <f>IFERROR(__xludf.DUMMYFUNCTION("""COMPUTED_VALUE"""),"JACTO UNIPORT 2000 + JACTO UNIPORT 2000")</f>
        <v>JACTO UNIPORT 2000 + JACTO UNIPORT 2000</v>
      </c>
      <c r="B437" s="49">
        <f t="array" ref="B437">IFERROR(
SUM(
IF(
'PORTIFÓLIO'!$C$4:$C$564=$A437,
N(INDEX('PORTIFÓLIO'!$J$4:$Q$564,,MATCH(B$2,'PORTIFÓLIO'!$J$3:$Q$3,0))) *
N('PORTIFÓLIO'!$S$4:$S$564),
0
)
),
0)</f>
        <v>900.7352941</v>
      </c>
      <c r="C437" s="49">
        <f t="shared" si="5"/>
        <v>1.838235294</v>
      </c>
      <c r="D437" s="49">
        <f t="array" ref="D437">IFERROR(
SUM(
IF(
'PORTIFÓLIO'!$C$4:$C$564=$A437,
N(INDEX('PORTIFÓLIO'!$J$4:$Q$564,,MATCH(D$2,'PORTIFÓLIO'!$J$3:$Q$3,0))) *
N('PORTIFÓLIO'!$S$4:$S$564),
0
)
),
0)</f>
        <v>0</v>
      </c>
      <c r="E437" s="49">
        <f t="shared" si="15"/>
        <v>0</v>
      </c>
      <c r="F437" s="49">
        <f t="array" ref="F437">IFERROR(
SUM(
IF(
'PORTIFÓLIO'!$C$4:$C$564=$A437,
N(INDEX('PORTIFÓLIO'!$J$4:$Q$564,,MATCH(F$2,'PORTIFÓLIO'!$J$3:$Q$3,0))) *
N('PORTIFÓLIO'!$S$4:$S$564),
0
)
),
0)</f>
        <v>0</v>
      </c>
      <c r="G437" s="47">
        <f t="shared" si="7"/>
        <v>0</v>
      </c>
      <c r="H437" s="49">
        <f t="array" ref="H437">IFERROR(
SUM(
IF(
'PORTIFÓLIO'!$C$4:$C$564=$A437,
N(INDEX('PORTIFÓLIO'!$J$4:$Q$564,,MATCH(H$2,'PORTIFÓLIO'!$J$3:$Q$3,0))) *
N('PORTIFÓLIO'!$S$4:$S$564),
0
)
),
0)</f>
        <v>0</v>
      </c>
      <c r="I437" s="47">
        <f t="shared" si="8"/>
        <v>0</v>
      </c>
      <c r="J437" s="49">
        <f t="array" ref="J437">IFERROR(
SUM(
IF(
'PORTIFÓLIO'!$C$4:$C$564=$A437,
N(INDEX('PORTIFÓLIO'!$J$4:$Q$564,,MATCH(J$2,'PORTIFÓLIO'!$J$3:$Q$3,0))) *
N('PORTIFÓLIO'!$S$4:$S$564),
0
)
),
0)</f>
        <v>0</v>
      </c>
      <c r="K437" s="47">
        <f t="shared" si="9"/>
        <v>0</v>
      </c>
      <c r="L437" s="49">
        <f t="array" ref="L437">IFERROR(
SUM(
IF(
'PORTIFÓLIO'!$C$4:$C$564=$A437,
N(INDEX('PORTIFÓLIO'!$J$4:$Q$564,,MATCH(L$2,'PORTIFÓLIO'!$J$3:$Q$3,0))) *
N('PORTIFÓLIO'!$S$4:$S$564),
0
)
),
0)</f>
        <v>0</v>
      </c>
      <c r="M437" s="47">
        <f t="shared" si="10"/>
        <v>0</v>
      </c>
      <c r="N437" s="49">
        <f t="array" ref="N437">IFERROR(
SUM(
IF(
'PORTIFÓLIO'!$C$4:$C$564=$A437,
N(INDEX('PORTIFÓLIO'!$J$4:$Q$564,,MATCH(N$2,'PORTIFÓLIO'!$J$3:$Q$3,0))) *
N('PORTIFÓLIO'!$S$4:$S$564),
0
)
),
0)</f>
        <v>0</v>
      </c>
      <c r="O437" s="49">
        <f t="shared" si="11"/>
        <v>0</v>
      </c>
      <c r="P437" s="49">
        <f t="array" ref="P437">IFERROR(
SUM(
IF(
'PORTIFÓLIO'!$C$4:$C$564=$A437,
N(INDEX('PORTIFÓLIO'!$J$4:$Q$564,,MATCH(P$2,'PORTIFÓLIO'!$J$3:$Q$3,0))) *
N('PORTIFÓLIO'!$S$4:$S$564),
0
)
),
0)</f>
        <v>0</v>
      </c>
      <c r="Q437" s="49">
        <f t="shared" si="12"/>
        <v>0</v>
      </c>
      <c r="R437" s="43"/>
      <c r="S437" s="43"/>
    </row>
    <row r="438" ht="15.75" hidden="1" customHeight="1" outlineLevel="1">
      <c r="A438" s="42" t="str">
        <f>IFERROR(__xludf.DUMMYFUNCTION("""COMPUTED_VALUE"""),"NH T7.260 + CASE 2213")</f>
        <v>NH T7.260 + CASE 2213</v>
      </c>
      <c r="B438" s="49">
        <f t="array" ref="B438">IFERROR(
SUM(
IF(
'PORTIFÓLIO'!$C$4:$C$564=$A438,
N(INDEX('PORTIFÓLIO'!$J$4:$Q$564,,MATCH(B$2,'PORTIFÓLIO'!$J$3:$Q$3,0))) *
N('PORTIFÓLIO'!$S$4:$S$564),
0
)
),
0)</f>
        <v>6825</v>
      </c>
      <c r="C438" s="49">
        <f t="shared" si="5"/>
        <v>13.92857143</v>
      </c>
      <c r="D438" s="49">
        <f t="array" ref="D438">IFERROR(
SUM(
IF(
'PORTIFÓLIO'!$C$4:$C$564=$A438,
N(INDEX('PORTIFÓLIO'!$J$4:$Q$564,,MATCH(D$2,'PORTIFÓLIO'!$J$3:$Q$3,0))) *
N('PORTIFÓLIO'!$S$4:$S$564),
0
)
),
0)</f>
        <v>0</v>
      </c>
      <c r="E438" s="49">
        <f t="shared" si="15"/>
        <v>0</v>
      </c>
      <c r="F438" s="49">
        <f t="array" ref="F438">IFERROR(
SUM(
IF(
'PORTIFÓLIO'!$C$4:$C$564=$A438,
N(INDEX('PORTIFÓLIO'!$J$4:$Q$564,,MATCH(F$2,'PORTIFÓLIO'!$J$3:$Q$3,0))) *
N('PORTIFÓLIO'!$S$4:$S$564),
0
)
),
0)</f>
        <v>0</v>
      </c>
      <c r="G438" s="47">
        <f t="shared" si="7"/>
        <v>0</v>
      </c>
      <c r="H438" s="49">
        <f t="array" ref="H438">IFERROR(
SUM(
IF(
'PORTIFÓLIO'!$C$4:$C$564=$A438,
N(INDEX('PORTIFÓLIO'!$J$4:$Q$564,,MATCH(H$2,'PORTIFÓLIO'!$J$3:$Q$3,0))) *
N('PORTIFÓLIO'!$S$4:$S$564),
0
)
),
0)</f>
        <v>0</v>
      </c>
      <c r="I438" s="47">
        <f t="shared" si="8"/>
        <v>0</v>
      </c>
      <c r="J438" s="49">
        <f t="array" ref="J438">IFERROR(
SUM(
IF(
'PORTIFÓLIO'!$C$4:$C$564=$A438,
N(INDEX('PORTIFÓLIO'!$J$4:$Q$564,,MATCH(J$2,'PORTIFÓLIO'!$J$3:$Q$3,0))) *
N('PORTIFÓLIO'!$S$4:$S$564),
0
)
),
0)</f>
        <v>0</v>
      </c>
      <c r="K438" s="47">
        <f t="shared" si="9"/>
        <v>0</v>
      </c>
      <c r="L438" s="49">
        <f t="array" ref="L438">IFERROR(
SUM(
IF(
'PORTIFÓLIO'!$C$4:$C$564=$A438,
N(INDEX('PORTIFÓLIO'!$J$4:$Q$564,,MATCH(L$2,'PORTIFÓLIO'!$J$3:$Q$3,0))) *
N('PORTIFÓLIO'!$S$4:$S$564),
0
)
),
0)</f>
        <v>0</v>
      </c>
      <c r="M438" s="47">
        <f t="shared" si="10"/>
        <v>0</v>
      </c>
      <c r="N438" s="49">
        <f t="array" ref="N438">IFERROR(
SUM(
IF(
'PORTIFÓLIO'!$C$4:$C$564=$A438,
N(INDEX('PORTIFÓLIO'!$J$4:$Q$564,,MATCH(N$2,'PORTIFÓLIO'!$J$3:$Q$3,0))) *
N('PORTIFÓLIO'!$S$4:$S$564),
0
)
),
0)</f>
        <v>0</v>
      </c>
      <c r="O438" s="49">
        <f t="shared" si="11"/>
        <v>0</v>
      </c>
      <c r="P438" s="49">
        <f t="array" ref="P438">IFERROR(
SUM(
IF(
'PORTIFÓLIO'!$C$4:$C$564=$A438,
N(INDEX('PORTIFÓLIO'!$J$4:$Q$564,,MATCH(P$2,'PORTIFÓLIO'!$J$3:$Q$3,0))) *
N('PORTIFÓLIO'!$S$4:$S$564),
0
)
),
0)</f>
        <v>0</v>
      </c>
      <c r="Q438" s="49">
        <f t="shared" si="12"/>
        <v>0</v>
      </c>
      <c r="R438" s="43"/>
      <c r="S438" s="43"/>
    </row>
    <row r="439" ht="15.75" hidden="1" customHeight="1" outlineLevel="1">
      <c r="A439" s="42" t="str">
        <f>IFERROR(__xludf.DUMMYFUNCTION("""COMPUTED_VALUE""")," + ")</f>
        <v> + </v>
      </c>
      <c r="B439" s="49">
        <f t="array" ref="B439">IFERROR(
SUM(
IF(
'PORTIFÓLIO'!$C$4:$C$564=$A439,
N(INDEX('PORTIFÓLIO'!$J$4:$Q$564,,MATCH(B$2,'PORTIFÓLIO'!$J$3:$Q$3,0))) *
N('PORTIFÓLIO'!$S$4:$S$564),
0
)
),
0)</f>
        <v>0</v>
      </c>
      <c r="C439" s="49">
        <f t="shared" si="5"/>
        <v>0</v>
      </c>
      <c r="D439" s="49">
        <f t="array" ref="D439">IFERROR(
SUM(
IF(
'PORTIFÓLIO'!$C$4:$C$564=$A439,
N(INDEX('PORTIFÓLIO'!$J$4:$Q$564,,MATCH(D$2,'PORTIFÓLIO'!$J$3:$Q$3,0))) *
N('PORTIFÓLIO'!$S$4:$S$564),
0
)
),
0)</f>
        <v>0</v>
      </c>
      <c r="E439" s="49">
        <f t="shared" si="15"/>
        <v>0</v>
      </c>
      <c r="F439" s="49">
        <f t="array" ref="F439">IFERROR(
SUM(
IF(
'PORTIFÓLIO'!$C$4:$C$564=$A439,
N(INDEX('PORTIFÓLIO'!$J$4:$Q$564,,MATCH(F$2,'PORTIFÓLIO'!$J$3:$Q$3,0))) *
N('PORTIFÓLIO'!$S$4:$S$564),
0
)
),
0)</f>
        <v>0</v>
      </c>
      <c r="G439" s="47">
        <f t="shared" si="7"/>
        <v>0</v>
      </c>
      <c r="H439" s="49">
        <f t="array" ref="H439">IFERROR(
SUM(
IF(
'PORTIFÓLIO'!$C$4:$C$564=$A439,
N(INDEX('PORTIFÓLIO'!$J$4:$Q$564,,MATCH(H$2,'PORTIFÓLIO'!$J$3:$Q$3,0))) *
N('PORTIFÓLIO'!$S$4:$S$564),
0
)
),
0)</f>
        <v>0</v>
      </c>
      <c r="I439" s="47">
        <f t="shared" si="8"/>
        <v>0</v>
      </c>
      <c r="J439" s="49">
        <f t="array" ref="J439">IFERROR(
SUM(
IF(
'PORTIFÓLIO'!$C$4:$C$564=$A439,
N(INDEX('PORTIFÓLIO'!$J$4:$Q$564,,MATCH(J$2,'PORTIFÓLIO'!$J$3:$Q$3,0))) *
N('PORTIFÓLIO'!$S$4:$S$564),
0
)
),
0)</f>
        <v>0</v>
      </c>
      <c r="K439" s="47">
        <f t="shared" si="9"/>
        <v>0</v>
      </c>
      <c r="L439" s="49">
        <f t="array" ref="L439">IFERROR(
SUM(
IF(
'PORTIFÓLIO'!$C$4:$C$564=$A439,
N(INDEX('PORTIFÓLIO'!$J$4:$Q$564,,MATCH(L$2,'PORTIFÓLIO'!$J$3:$Q$3,0))) *
N('PORTIFÓLIO'!$S$4:$S$564),
0
)
),
0)</f>
        <v>0</v>
      </c>
      <c r="M439" s="47">
        <f t="shared" si="10"/>
        <v>0</v>
      </c>
      <c r="N439" s="49">
        <f t="array" ref="N439">IFERROR(
SUM(
IF(
'PORTIFÓLIO'!$C$4:$C$564=$A439,
N(INDEX('PORTIFÓLIO'!$J$4:$Q$564,,MATCH(N$2,'PORTIFÓLIO'!$J$3:$Q$3,0))) *
N('PORTIFÓLIO'!$S$4:$S$564),
0
)
),
0)</f>
        <v>0</v>
      </c>
      <c r="O439" s="49">
        <f t="shared" si="11"/>
        <v>0</v>
      </c>
      <c r="P439" s="49">
        <f t="array" ref="P439">IFERROR(
SUM(
IF(
'PORTIFÓLIO'!$C$4:$C$564=$A439,
N(INDEX('PORTIFÓLIO'!$J$4:$Q$564,,MATCH(P$2,'PORTIFÓLIO'!$J$3:$Q$3,0))) *
N('PORTIFÓLIO'!$S$4:$S$564),
0
)
),
0)</f>
        <v>0</v>
      </c>
      <c r="Q439" s="49">
        <f t="shared" si="12"/>
        <v>0</v>
      </c>
      <c r="R439" s="43"/>
      <c r="S439" s="43"/>
    </row>
    <row r="440" ht="15.75" hidden="1" customHeight="1" outlineLevel="1">
      <c r="A440" s="42"/>
      <c r="B440" s="49">
        <f t="array" ref="B440">IFERROR(
SUM(
IF(
'PORTIFÓLIO'!$C$4:$C$564=$A440,
N(INDEX('PORTIFÓLIO'!$J$4:$Q$564,,MATCH(B$2,'PORTIFÓLIO'!$J$3:$Q$3,0))) *
N('PORTIFÓLIO'!$S$4:$S$564),
0
)
),
0)</f>
        <v>0</v>
      </c>
      <c r="C440" s="49">
        <f t="shared" si="5"/>
        <v>0</v>
      </c>
      <c r="D440" s="49">
        <f t="array" ref="D440">IFERROR(
SUM(
IF(
'PORTIFÓLIO'!$C$4:$C$564=$A440,
N(INDEX('PORTIFÓLIO'!$J$4:$Q$564,,MATCH(D$2,'PORTIFÓLIO'!$J$3:$Q$3,0))) *
N('PORTIFÓLIO'!$S$4:$S$564),
0
)
),
0)</f>
        <v>0</v>
      </c>
      <c r="E440" s="49">
        <f t="shared" si="15"/>
        <v>0</v>
      </c>
      <c r="F440" s="49">
        <f t="array" ref="F440">IFERROR(
SUM(
IF(
'PORTIFÓLIO'!$C$4:$C$564=$A440,
N(INDEX('PORTIFÓLIO'!$J$4:$Q$564,,MATCH(F$2,'PORTIFÓLIO'!$J$3:$Q$3,0))) *
N('PORTIFÓLIO'!$S$4:$S$564),
0
)
),
0)</f>
        <v>0</v>
      </c>
      <c r="G440" s="47">
        <f t="shared" si="7"/>
        <v>0</v>
      </c>
      <c r="H440" s="49">
        <f t="array" ref="H440">IFERROR(
SUM(
IF(
'PORTIFÓLIO'!$C$4:$C$564=$A440,
N(INDEX('PORTIFÓLIO'!$J$4:$Q$564,,MATCH(H$2,'PORTIFÓLIO'!$J$3:$Q$3,0))) *
N('PORTIFÓLIO'!$S$4:$S$564),
0
)
),
0)</f>
        <v>0</v>
      </c>
      <c r="I440" s="47">
        <f t="shared" si="8"/>
        <v>0</v>
      </c>
      <c r="J440" s="49">
        <f t="array" ref="J440">IFERROR(
SUM(
IF(
'PORTIFÓLIO'!$C$4:$C$564=$A440,
N(INDEX('PORTIFÓLIO'!$J$4:$Q$564,,MATCH(J$2,'PORTIFÓLIO'!$J$3:$Q$3,0))) *
N('PORTIFÓLIO'!$S$4:$S$564),
0
)
),
0)</f>
        <v>0</v>
      </c>
      <c r="K440" s="47">
        <f t="shared" si="9"/>
        <v>0</v>
      </c>
      <c r="L440" s="49">
        <f t="array" ref="L440">IFERROR(
SUM(
IF(
'PORTIFÓLIO'!$C$4:$C$564=$A440,
N(INDEX('PORTIFÓLIO'!$J$4:$Q$564,,MATCH(L$2,'PORTIFÓLIO'!$J$3:$Q$3,0))) *
N('PORTIFÓLIO'!$S$4:$S$564),
0
)
),
0)</f>
        <v>0</v>
      </c>
      <c r="M440" s="47">
        <f t="shared" si="10"/>
        <v>0</v>
      </c>
      <c r="N440" s="49">
        <f t="array" ref="N440">IFERROR(
SUM(
IF(
'PORTIFÓLIO'!$C$4:$C$564=$A440,
N(INDEX('PORTIFÓLIO'!$J$4:$Q$564,,MATCH(N$2,'PORTIFÓLIO'!$J$3:$Q$3,0))) *
N('PORTIFÓLIO'!$S$4:$S$564),
0
)
),
0)</f>
        <v>0</v>
      </c>
      <c r="O440" s="49">
        <f t="shared" si="11"/>
        <v>0</v>
      </c>
      <c r="P440" s="49">
        <f t="array" ref="P440">IFERROR(
SUM(
IF(
'PORTIFÓLIO'!$C$4:$C$564=$A440,
N(INDEX('PORTIFÓLIO'!$J$4:$Q$564,,MATCH(P$2,'PORTIFÓLIO'!$J$3:$Q$3,0))) *
N('PORTIFÓLIO'!$S$4:$S$564),
0
)
),
0)</f>
        <v>0</v>
      </c>
      <c r="Q440" s="49">
        <f t="shared" si="12"/>
        <v>0</v>
      </c>
      <c r="R440" s="43"/>
      <c r="S440" s="43"/>
    </row>
    <row r="441" ht="15.75" hidden="1" customHeight="1" outlineLevel="1">
      <c r="A441" s="42"/>
      <c r="B441" s="49">
        <f t="array" ref="B441">IFERROR(
SUM(
IF(
'PORTIFÓLIO'!$C$4:$C$564=$A441,
N(INDEX('PORTIFÓLIO'!$J$4:$Q$564,,MATCH(B$2,'PORTIFÓLIO'!$J$3:$Q$3,0))) *
N('PORTIFÓLIO'!$S$4:$S$564),
0
)
),
0)</f>
        <v>0</v>
      </c>
      <c r="C441" s="49">
        <f t="shared" si="5"/>
        <v>0</v>
      </c>
      <c r="D441" s="49">
        <f t="array" ref="D441">IFERROR(
SUM(
IF(
'PORTIFÓLIO'!$C$4:$C$564=$A441,
N(INDEX('PORTIFÓLIO'!$J$4:$Q$564,,MATCH(D$2,'PORTIFÓLIO'!$J$3:$Q$3,0))) *
N('PORTIFÓLIO'!$S$4:$S$564),
0
)
),
0)</f>
        <v>0</v>
      </c>
      <c r="E441" s="49">
        <f t="shared" si="15"/>
        <v>0</v>
      </c>
      <c r="F441" s="49">
        <f t="array" ref="F441">IFERROR(
SUM(
IF(
'PORTIFÓLIO'!$C$4:$C$564=$A441,
N(INDEX('PORTIFÓLIO'!$J$4:$Q$564,,MATCH(F$2,'PORTIFÓLIO'!$J$3:$Q$3,0))) *
N('PORTIFÓLIO'!$S$4:$S$564),
0
)
),
0)</f>
        <v>0</v>
      </c>
      <c r="G441" s="47">
        <f t="shared" si="7"/>
        <v>0</v>
      </c>
      <c r="H441" s="49">
        <f t="array" ref="H441">IFERROR(
SUM(
IF(
'PORTIFÓLIO'!$C$4:$C$564=$A441,
N(INDEX('PORTIFÓLIO'!$J$4:$Q$564,,MATCH(H$2,'PORTIFÓLIO'!$J$3:$Q$3,0))) *
N('PORTIFÓLIO'!$S$4:$S$564),
0
)
),
0)</f>
        <v>0</v>
      </c>
      <c r="I441" s="47">
        <f t="shared" si="8"/>
        <v>0</v>
      </c>
      <c r="J441" s="49">
        <f t="array" ref="J441">IFERROR(
SUM(
IF(
'PORTIFÓLIO'!$C$4:$C$564=$A441,
N(INDEX('PORTIFÓLIO'!$J$4:$Q$564,,MATCH(J$2,'PORTIFÓLIO'!$J$3:$Q$3,0))) *
N('PORTIFÓLIO'!$S$4:$S$564),
0
)
),
0)</f>
        <v>0</v>
      </c>
      <c r="K441" s="47">
        <f t="shared" si="9"/>
        <v>0</v>
      </c>
      <c r="L441" s="49">
        <f t="array" ref="L441">IFERROR(
SUM(
IF(
'PORTIFÓLIO'!$C$4:$C$564=$A441,
N(INDEX('PORTIFÓLIO'!$J$4:$Q$564,,MATCH(L$2,'PORTIFÓLIO'!$J$3:$Q$3,0))) *
N('PORTIFÓLIO'!$S$4:$S$564),
0
)
),
0)</f>
        <v>0</v>
      </c>
      <c r="M441" s="47">
        <f t="shared" si="10"/>
        <v>0</v>
      </c>
      <c r="N441" s="49">
        <f t="array" ref="N441">IFERROR(
SUM(
IF(
'PORTIFÓLIO'!$C$4:$C$564=$A441,
N(INDEX('PORTIFÓLIO'!$J$4:$Q$564,,MATCH(N$2,'PORTIFÓLIO'!$J$3:$Q$3,0))) *
N('PORTIFÓLIO'!$S$4:$S$564),
0
)
),
0)</f>
        <v>0</v>
      </c>
      <c r="O441" s="49">
        <f t="shared" si="11"/>
        <v>0</v>
      </c>
      <c r="P441" s="49">
        <f t="array" ref="P441">IFERROR(
SUM(
IF(
'PORTIFÓLIO'!$C$4:$C$564=$A441,
N(INDEX('PORTIFÓLIO'!$J$4:$Q$564,,MATCH(P$2,'PORTIFÓLIO'!$J$3:$Q$3,0))) *
N('PORTIFÓLIO'!$S$4:$S$564),
0
)
),
0)</f>
        <v>0</v>
      </c>
      <c r="Q441" s="49">
        <f t="shared" si="12"/>
        <v>0</v>
      </c>
      <c r="R441" s="43"/>
      <c r="S441" s="43"/>
    </row>
    <row r="442" ht="15.75" hidden="1" customHeight="1" outlineLevel="1">
      <c r="A442" s="42"/>
      <c r="B442" s="49">
        <f t="array" ref="B442">IFERROR(
SUM(
IF(
'PORTIFÓLIO'!$C$4:$C$564=$A442,
N(INDEX('PORTIFÓLIO'!$J$4:$Q$564,,MATCH(B$2,'PORTIFÓLIO'!$J$3:$Q$3,0))) *
N('PORTIFÓLIO'!$S$4:$S$564),
0
)
),
0)</f>
        <v>0</v>
      </c>
      <c r="C442" s="49">
        <f t="shared" si="5"/>
        <v>0</v>
      </c>
      <c r="D442" s="49">
        <f t="array" ref="D442">IFERROR(
SUM(
IF(
'PORTIFÓLIO'!$C$4:$C$564=$A442,
N(INDEX('PORTIFÓLIO'!$J$4:$Q$564,,MATCH(D$2,'PORTIFÓLIO'!$J$3:$Q$3,0))) *
N('PORTIFÓLIO'!$S$4:$S$564),
0
)
),
0)</f>
        <v>0</v>
      </c>
      <c r="E442" s="49">
        <f t="shared" si="15"/>
        <v>0</v>
      </c>
      <c r="F442" s="49">
        <f t="array" ref="F442">IFERROR(
SUM(
IF(
'PORTIFÓLIO'!$C$4:$C$564=$A442,
N(INDEX('PORTIFÓLIO'!$J$4:$Q$564,,MATCH(F$2,'PORTIFÓLIO'!$J$3:$Q$3,0))) *
N('PORTIFÓLIO'!$S$4:$S$564),
0
)
),
0)</f>
        <v>0</v>
      </c>
      <c r="G442" s="47">
        <f t="shared" si="7"/>
        <v>0</v>
      </c>
      <c r="H442" s="49">
        <f t="array" ref="H442">IFERROR(
SUM(
IF(
'PORTIFÓLIO'!$C$4:$C$564=$A442,
N(INDEX('PORTIFÓLIO'!$J$4:$Q$564,,MATCH(H$2,'PORTIFÓLIO'!$J$3:$Q$3,0))) *
N('PORTIFÓLIO'!$S$4:$S$564),
0
)
),
0)</f>
        <v>0</v>
      </c>
      <c r="I442" s="47">
        <f t="shared" si="8"/>
        <v>0</v>
      </c>
      <c r="J442" s="49">
        <f t="array" ref="J442">IFERROR(
SUM(
IF(
'PORTIFÓLIO'!$C$4:$C$564=$A442,
N(INDEX('PORTIFÓLIO'!$J$4:$Q$564,,MATCH(J$2,'PORTIFÓLIO'!$J$3:$Q$3,0))) *
N('PORTIFÓLIO'!$S$4:$S$564),
0
)
),
0)</f>
        <v>0</v>
      </c>
      <c r="K442" s="47">
        <f t="shared" si="9"/>
        <v>0</v>
      </c>
      <c r="L442" s="49">
        <f t="array" ref="L442">IFERROR(
SUM(
IF(
'PORTIFÓLIO'!$C$4:$C$564=$A442,
N(INDEX('PORTIFÓLIO'!$J$4:$Q$564,,MATCH(L$2,'PORTIFÓLIO'!$J$3:$Q$3,0))) *
N('PORTIFÓLIO'!$S$4:$S$564),
0
)
),
0)</f>
        <v>0</v>
      </c>
      <c r="M442" s="47">
        <f t="shared" si="10"/>
        <v>0</v>
      </c>
      <c r="N442" s="49">
        <f t="array" ref="N442">IFERROR(
SUM(
IF(
'PORTIFÓLIO'!$C$4:$C$564=$A442,
N(INDEX('PORTIFÓLIO'!$J$4:$Q$564,,MATCH(N$2,'PORTIFÓLIO'!$J$3:$Q$3,0))) *
N('PORTIFÓLIO'!$S$4:$S$564),
0
)
),
0)</f>
        <v>0</v>
      </c>
      <c r="O442" s="49">
        <f t="shared" si="11"/>
        <v>0</v>
      </c>
      <c r="P442" s="49">
        <f t="array" ref="P442">IFERROR(
SUM(
IF(
'PORTIFÓLIO'!$C$4:$C$564=$A442,
N(INDEX('PORTIFÓLIO'!$J$4:$Q$564,,MATCH(P$2,'PORTIFÓLIO'!$J$3:$Q$3,0))) *
N('PORTIFÓLIO'!$S$4:$S$564),
0
)
),
0)</f>
        <v>0</v>
      </c>
      <c r="Q442" s="49">
        <f t="shared" si="12"/>
        <v>0</v>
      </c>
      <c r="R442" s="43"/>
      <c r="S442" s="43"/>
    </row>
    <row r="443" ht="15.75" hidden="1" customHeight="1" outlineLevel="1">
      <c r="A443" s="42"/>
      <c r="B443" s="49">
        <f t="array" ref="B443">IFERROR(
SUM(
IF(
'PORTIFÓLIO'!$C$4:$C$564=$A443,
N(INDEX('PORTIFÓLIO'!$J$4:$Q$564,,MATCH(B$2,'PORTIFÓLIO'!$J$3:$Q$3,0))) *
N('PORTIFÓLIO'!$S$4:$S$564),
0
)
),
0)</f>
        <v>0</v>
      </c>
      <c r="C443" s="49">
        <f t="shared" si="5"/>
        <v>0</v>
      </c>
      <c r="D443" s="49">
        <f t="array" ref="D443">IFERROR(
SUM(
IF(
'PORTIFÓLIO'!$C$4:$C$564=$A443,
N(INDEX('PORTIFÓLIO'!$J$4:$Q$564,,MATCH(D$2,'PORTIFÓLIO'!$J$3:$Q$3,0))) *
N('PORTIFÓLIO'!$S$4:$S$564),
0
)
),
0)</f>
        <v>0</v>
      </c>
      <c r="E443" s="49">
        <f t="shared" si="15"/>
        <v>0</v>
      </c>
      <c r="F443" s="49">
        <f t="array" ref="F443">IFERROR(
SUM(
IF(
'PORTIFÓLIO'!$C$4:$C$564=$A443,
N(INDEX('PORTIFÓLIO'!$J$4:$Q$564,,MATCH(F$2,'PORTIFÓLIO'!$J$3:$Q$3,0))) *
N('PORTIFÓLIO'!$S$4:$S$564),
0
)
),
0)</f>
        <v>0</v>
      </c>
      <c r="G443" s="47">
        <f t="shared" si="7"/>
        <v>0</v>
      </c>
      <c r="H443" s="49">
        <f t="array" ref="H443">IFERROR(
SUM(
IF(
'PORTIFÓLIO'!$C$4:$C$564=$A443,
N(INDEX('PORTIFÓLIO'!$J$4:$Q$564,,MATCH(H$2,'PORTIFÓLIO'!$J$3:$Q$3,0))) *
N('PORTIFÓLIO'!$S$4:$S$564),
0
)
),
0)</f>
        <v>0</v>
      </c>
      <c r="I443" s="47">
        <f t="shared" si="8"/>
        <v>0</v>
      </c>
      <c r="J443" s="49">
        <f t="array" ref="J443">IFERROR(
SUM(
IF(
'PORTIFÓLIO'!$C$4:$C$564=$A443,
N(INDEX('PORTIFÓLIO'!$J$4:$Q$564,,MATCH(J$2,'PORTIFÓLIO'!$J$3:$Q$3,0))) *
N('PORTIFÓLIO'!$S$4:$S$564),
0
)
),
0)</f>
        <v>0</v>
      </c>
      <c r="K443" s="47">
        <f t="shared" si="9"/>
        <v>0</v>
      </c>
      <c r="L443" s="49">
        <f t="array" ref="L443">IFERROR(
SUM(
IF(
'PORTIFÓLIO'!$C$4:$C$564=$A443,
N(INDEX('PORTIFÓLIO'!$J$4:$Q$564,,MATCH(L$2,'PORTIFÓLIO'!$J$3:$Q$3,0))) *
N('PORTIFÓLIO'!$S$4:$S$564),
0
)
),
0)</f>
        <v>0</v>
      </c>
      <c r="M443" s="47">
        <f t="shared" si="10"/>
        <v>0</v>
      </c>
      <c r="N443" s="49">
        <f t="array" ref="N443">IFERROR(
SUM(
IF(
'PORTIFÓLIO'!$C$4:$C$564=$A443,
N(INDEX('PORTIFÓLIO'!$J$4:$Q$564,,MATCH(N$2,'PORTIFÓLIO'!$J$3:$Q$3,0))) *
N('PORTIFÓLIO'!$S$4:$S$564),
0
)
),
0)</f>
        <v>0</v>
      </c>
      <c r="O443" s="49">
        <f t="shared" si="11"/>
        <v>0</v>
      </c>
      <c r="P443" s="49">
        <f t="array" ref="P443">IFERROR(
SUM(
IF(
'PORTIFÓLIO'!$C$4:$C$564=$A443,
N(INDEX('PORTIFÓLIO'!$J$4:$Q$564,,MATCH(P$2,'PORTIFÓLIO'!$J$3:$Q$3,0))) *
N('PORTIFÓLIO'!$S$4:$S$564),
0
)
),
0)</f>
        <v>0</v>
      </c>
      <c r="Q443" s="49">
        <f t="shared" si="12"/>
        <v>0</v>
      </c>
      <c r="R443" s="43"/>
      <c r="S443" s="43"/>
    </row>
    <row r="444" ht="15.75" hidden="1" customHeight="1" outlineLevel="1">
      <c r="A444" s="42"/>
      <c r="B444" s="49">
        <f t="array" ref="B444">IFERROR(
SUM(
IF(
'PORTIFÓLIO'!$C$4:$C$564=$A444,
N(INDEX('PORTIFÓLIO'!$J$4:$Q$564,,MATCH(B$2,'PORTIFÓLIO'!$J$3:$Q$3,0))) *
N('PORTIFÓLIO'!$S$4:$S$564),
0
)
),
0)</f>
        <v>0</v>
      </c>
      <c r="C444" s="49">
        <f t="shared" si="5"/>
        <v>0</v>
      </c>
      <c r="D444" s="49">
        <f t="array" ref="D444">IFERROR(
SUM(
IF(
'PORTIFÓLIO'!$C$4:$C$564=$A444,
N(INDEX('PORTIFÓLIO'!$J$4:$Q$564,,MATCH(D$2,'PORTIFÓLIO'!$J$3:$Q$3,0))) *
N('PORTIFÓLIO'!$S$4:$S$564),
0
)
),
0)</f>
        <v>0</v>
      </c>
      <c r="E444" s="49">
        <f t="shared" si="15"/>
        <v>0</v>
      </c>
      <c r="F444" s="49">
        <f t="array" ref="F444">IFERROR(
SUM(
IF(
'PORTIFÓLIO'!$C$4:$C$564=$A444,
N(INDEX('PORTIFÓLIO'!$J$4:$Q$564,,MATCH(F$2,'PORTIFÓLIO'!$J$3:$Q$3,0))) *
N('PORTIFÓLIO'!$S$4:$S$564),
0
)
),
0)</f>
        <v>0</v>
      </c>
      <c r="G444" s="47">
        <f t="shared" si="7"/>
        <v>0</v>
      </c>
      <c r="H444" s="49">
        <f t="array" ref="H444">IFERROR(
SUM(
IF(
'PORTIFÓLIO'!$C$4:$C$564=$A444,
N(INDEX('PORTIFÓLIO'!$J$4:$Q$564,,MATCH(H$2,'PORTIFÓLIO'!$J$3:$Q$3,0))) *
N('PORTIFÓLIO'!$S$4:$S$564),
0
)
),
0)</f>
        <v>0</v>
      </c>
      <c r="I444" s="47">
        <f t="shared" si="8"/>
        <v>0</v>
      </c>
      <c r="J444" s="49">
        <f t="array" ref="J444">IFERROR(
SUM(
IF(
'PORTIFÓLIO'!$C$4:$C$564=$A444,
N(INDEX('PORTIFÓLIO'!$J$4:$Q$564,,MATCH(J$2,'PORTIFÓLIO'!$J$3:$Q$3,0))) *
N('PORTIFÓLIO'!$S$4:$S$564),
0
)
),
0)</f>
        <v>0</v>
      </c>
      <c r="K444" s="47">
        <f t="shared" si="9"/>
        <v>0</v>
      </c>
      <c r="L444" s="49">
        <f t="array" ref="L444">IFERROR(
SUM(
IF(
'PORTIFÓLIO'!$C$4:$C$564=$A444,
N(INDEX('PORTIFÓLIO'!$J$4:$Q$564,,MATCH(L$2,'PORTIFÓLIO'!$J$3:$Q$3,0))) *
N('PORTIFÓLIO'!$S$4:$S$564),
0
)
),
0)</f>
        <v>0</v>
      </c>
      <c r="M444" s="47">
        <f t="shared" si="10"/>
        <v>0</v>
      </c>
      <c r="N444" s="49">
        <f t="array" ref="N444">IFERROR(
SUM(
IF(
'PORTIFÓLIO'!$C$4:$C$564=$A444,
N(INDEX('PORTIFÓLIO'!$J$4:$Q$564,,MATCH(N$2,'PORTIFÓLIO'!$J$3:$Q$3,0))) *
N('PORTIFÓLIO'!$S$4:$S$564),
0
)
),
0)</f>
        <v>0</v>
      </c>
      <c r="O444" s="49">
        <f t="shared" si="11"/>
        <v>0</v>
      </c>
      <c r="P444" s="49">
        <f t="array" ref="P444">IFERROR(
SUM(
IF(
'PORTIFÓLIO'!$C$4:$C$564=$A444,
N(INDEX('PORTIFÓLIO'!$J$4:$Q$564,,MATCH(P$2,'PORTIFÓLIO'!$J$3:$Q$3,0))) *
N('PORTIFÓLIO'!$S$4:$S$564),
0
)
),
0)</f>
        <v>0</v>
      </c>
      <c r="Q444" s="49">
        <f t="shared" si="12"/>
        <v>0</v>
      </c>
      <c r="R444" s="43"/>
      <c r="S444" s="43"/>
    </row>
    <row r="445" ht="15.75" hidden="1" customHeight="1" outlineLevel="1">
      <c r="A445" s="42"/>
      <c r="B445" s="49">
        <f t="array" ref="B445">IFERROR(
SUM(
IF(
'PORTIFÓLIO'!$C$4:$C$564=$A445,
N(INDEX('PORTIFÓLIO'!$J$4:$Q$564,,MATCH(B$2,'PORTIFÓLIO'!$J$3:$Q$3,0))) *
N('PORTIFÓLIO'!$S$4:$S$564),
0
)
),
0)</f>
        <v>0</v>
      </c>
      <c r="C445" s="49">
        <f t="shared" si="5"/>
        <v>0</v>
      </c>
      <c r="D445" s="49">
        <f t="array" ref="D445">IFERROR(
SUM(
IF(
'PORTIFÓLIO'!$C$4:$C$564=$A445,
N(INDEX('PORTIFÓLIO'!$J$4:$Q$564,,MATCH(D$2,'PORTIFÓLIO'!$J$3:$Q$3,0))) *
N('PORTIFÓLIO'!$S$4:$S$564),
0
)
),
0)</f>
        <v>0</v>
      </c>
      <c r="E445" s="49">
        <f t="shared" si="15"/>
        <v>0</v>
      </c>
      <c r="F445" s="49">
        <f t="array" ref="F445">IFERROR(
SUM(
IF(
'PORTIFÓLIO'!$C$4:$C$564=$A445,
N(INDEX('PORTIFÓLIO'!$J$4:$Q$564,,MATCH(F$2,'PORTIFÓLIO'!$J$3:$Q$3,0))) *
N('PORTIFÓLIO'!$S$4:$S$564),
0
)
),
0)</f>
        <v>0</v>
      </c>
      <c r="G445" s="47">
        <f t="shared" si="7"/>
        <v>0</v>
      </c>
      <c r="H445" s="49">
        <f t="array" ref="H445">IFERROR(
SUM(
IF(
'PORTIFÓLIO'!$C$4:$C$564=$A445,
N(INDEX('PORTIFÓLIO'!$J$4:$Q$564,,MATCH(H$2,'PORTIFÓLIO'!$J$3:$Q$3,0))) *
N('PORTIFÓLIO'!$S$4:$S$564),
0
)
),
0)</f>
        <v>0</v>
      </c>
      <c r="I445" s="47">
        <f t="shared" si="8"/>
        <v>0</v>
      </c>
      <c r="J445" s="49">
        <f t="array" ref="J445">IFERROR(
SUM(
IF(
'PORTIFÓLIO'!$C$4:$C$564=$A445,
N(INDEX('PORTIFÓLIO'!$J$4:$Q$564,,MATCH(J$2,'PORTIFÓLIO'!$J$3:$Q$3,0))) *
N('PORTIFÓLIO'!$S$4:$S$564),
0
)
),
0)</f>
        <v>0</v>
      </c>
      <c r="K445" s="47">
        <f t="shared" si="9"/>
        <v>0</v>
      </c>
      <c r="L445" s="49">
        <f t="array" ref="L445">IFERROR(
SUM(
IF(
'PORTIFÓLIO'!$C$4:$C$564=$A445,
N(INDEX('PORTIFÓLIO'!$J$4:$Q$564,,MATCH(L$2,'PORTIFÓLIO'!$J$3:$Q$3,0))) *
N('PORTIFÓLIO'!$S$4:$S$564),
0
)
),
0)</f>
        <v>0</v>
      </c>
      <c r="M445" s="47">
        <f t="shared" si="10"/>
        <v>0</v>
      </c>
      <c r="N445" s="49">
        <f t="array" ref="N445">IFERROR(
SUM(
IF(
'PORTIFÓLIO'!$C$4:$C$564=$A445,
N(INDEX('PORTIFÓLIO'!$J$4:$Q$564,,MATCH(N$2,'PORTIFÓLIO'!$J$3:$Q$3,0))) *
N('PORTIFÓLIO'!$S$4:$S$564),
0
)
),
0)</f>
        <v>0</v>
      </c>
      <c r="O445" s="49">
        <f t="shared" si="11"/>
        <v>0</v>
      </c>
      <c r="P445" s="49">
        <f t="array" ref="P445">IFERROR(
SUM(
IF(
'PORTIFÓLIO'!$C$4:$C$564=$A445,
N(INDEX('PORTIFÓLIO'!$J$4:$Q$564,,MATCH(P$2,'PORTIFÓLIO'!$J$3:$Q$3,0))) *
N('PORTIFÓLIO'!$S$4:$S$564),
0
)
),
0)</f>
        <v>0</v>
      </c>
      <c r="Q445" s="49">
        <f t="shared" si="12"/>
        <v>0</v>
      </c>
      <c r="R445" s="43"/>
      <c r="S445" s="43"/>
    </row>
    <row r="446" ht="15.75" hidden="1" customHeight="1" outlineLevel="1">
      <c r="A446" s="42"/>
      <c r="B446" s="49">
        <f t="array" ref="B446">IFERROR(
SUM(
IF(
'PORTIFÓLIO'!$C$4:$C$564=$A446,
N(INDEX('PORTIFÓLIO'!$J$4:$Q$564,,MATCH(B$2,'PORTIFÓLIO'!$J$3:$Q$3,0))) *
N('PORTIFÓLIO'!$S$4:$S$564),
0
)
),
0)</f>
        <v>0</v>
      </c>
      <c r="C446" s="49">
        <f t="shared" si="5"/>
        <v>0</v>
      </c>
      <c r="D446" s="49">
        <f t="array" ref="D446">IFERROR(
SUM(
IF(
'PORTIFÓLIO'!$C$4:$C$564=$A446,
N(INDEX('PORTIFÓLIO'!$J$4:$Q$564,,MATCH(D$2,'PORTIFÓLIO'!$J$3:$Q$3,0))) *
N('PORTIFÓLIO'!$S$4:$S$564),
0
)
),
0)</f>
        <v>0</v>
      </c>
      <c r="E446" s="49">
        <f t="shared" si="15"/>
        <v>0</v>
      </c>
      <c r="F446" s="49">
        <f t="array" ref="F446">IFERROR(
SUM(
IF(
'PORTIFÓLIO'!$C$4:$C$564=$A446,
N(INDEX('PORTIFÓLIO'!$J$4:$Q$564,,MATCH(F$2,'PORTIFÓLIO'!$J$3:$Q$3,0))) *
N('PORTIFÓLIO'!$S$4:$S$564),
0
)
),
0)</f>
        <v>0</v>
      </c>
      <c r="G446" s="47">
        <f t="shared" si="7"/>
        <v>0</v>
      </c>
      <c r="H446" s="49">
        <f t="array" ref="H446">IFERROR(
SUM(
IF(
'PORTIFÓLIO'!$C$4:$C$564=$A446,
N(INDEX('PORTIFÓLIO'!$J$4:$Q$564,,MATCH(H$2,'PORTIFÓLIO'!$J$3:$Q$3,0))) *
N('PORTIFÓLIO'!$S$4:$S$564),
0
)
),
0)</f>
        <v>0</v>
      </c>
      <c r="I446" s="47">
        <f t="shared" si="8"/>
        <v>0</v>
      </c>
      <c r="J446" s="49">
        <f t="array" ref="J446">IFERROR(
SUM(
IF(
'PORTIFÓLIO'!$C$4:$C$564=$A446,
N(INDEX('PORTIFÓLIO'!$J$4:$Q$564,,MATCH(J$2,'PORTIFÓLIO'!$J$3:$Q$3,0))) *
N('PORTIFÓLIO'!$S$4:$S$564),
0
)
),
0)</f>
        <v>0</v>
      </c>
      <c r="K446" s="47">
        <f t="shared" si="9"/>
        <v>0</v>
      </c>
      <c r="L446" s="49">
        <f t="array" ref="L446">IFERROR(
SUM(
IF(
'PORTIFÓLIO'!$C$4:$C$564=$A446,
N(INDEX('PORTIFÓLIO'!$J$4:$Q$564,,MATCH(L$2,'PORTIFÓLIO'!$J$3:$Q$3,0))) *
N('PORTIFÓLIO'!$S$4:$S$564),
0
)
),
0)</f>
        <v>0</v>
      </c>
      <c r="M446" s="47">
        <f t="shared" si="10"/>
        <v>0</v>
      </c>
      <c r="N446" s="49">
        <f t="array" ref="N446">IFERROR(
SUM(
IF(
'PORTIFÓLIO'!$C$4:$C$564=$A446,
N(INDEX('PORTIFÓLIO'!$J$4:$Q$564,,MATCH(N$2,'PORTIFÓLIO'!$J$3:$Q$3,0))) *
N('PORTIFÓLIO'!$S$4:$S$564),
0
)
),
0)</f>
        <v>0</v>
      </c>
      <c r="O446" s="49">
        <f t="shared" si="11"/>
        <v>0</v>
      </c>
      <c r="P446" s="49">
        <f t="array" ref="P446">IFERROR(
SUM(
IF(
'PORTIFÓLIO'!$C$4:$C$564=$A446,
N(INDEX('PORTIFÓLIO'!$J$4:$Q$564,,MATCH(P$2,'PORTIFÓLIO'!$J$3:$Q$3,0))) *
N('PORTIFÓLIO'!$S$4:$S$564),
0
)
),
0)</f>
        <v>0</v>
      </c>
      <c r="Q446" s="49">
        <f t="shared" si="12"/>
        <v>0</v>
      </c>
      <c r="R446" s="43"/>
      <c r="S446" s="43"/>
    </row>
    <row r="447" ht="15.75" hidden="1" customHeight="1" outlineLevel="1">
      <c r="A447" s="42"/>
      <c r="B447" s="49">
        <f t="array" ref="B447">IFERROR(
SUM(
IF(
'PORTIFÓLIO'!$C$4:$C$564=$A447,
N(INDEX('PORTIFÓLIO'!$J$4:$Q$564,,MATCH(B$2,'PORTIFÓLIO'!$J$3:$Q$3,0))) *
N('PORTIFÓLIO'!$S$4:$S$564),
0
)
),
0)</f>
        <v>0</v>
      </c>
      <c r="C447" s="49">
        <f t="shared" si="5"/>
        <v>0</v>
      </c>
      <c r="D447" s="49">
        <f t="array" ref="D447">IFERROR(
SUM(
IF(
'PORTIFÓLIO'!$C$4:$C$564=$A447,
N(INDEX('PORTIFÓLIO'!$J$4:$Q$564,,MATCH(D$2,'PORTIFÓLIO'!$J$3:$Q$3,0))) *
N('PORTIFÓLIO'!$S$4:$S$564),
0
)
),
0)</f>
        <v>0</v>
      </c>
      <c r="E447" s="49">
        <f t="shared" si="15"/>
        <v>0</v>
      </c>
      <c r="F447" s="49">
        <f t="array" ref="F447">IFERROR(
SUM(
IF(
'PORTIFÓLIO'!$C$4:$C$564=$A447,
N(INDEX('PORTIFÓLIO'!$J$4:$Q$564,,MATCH(F$2,'PORTIFÓLIO'!$J$3:$Q$3,0))) *
N('PORTIFÓLIO'!$S$4:$S$564),
0
)
),
0)</f>
        <v>0</v>
      </c>
      <c r="G447" s="47">
        <f t="shared" si="7"/>
        <v>0</v>
      </c>
      <c r="H447" s="49">
        <f t="array" ref="H447">IFERROR(
SUM(
IF(
'PORTIFÓLIO'!$C$4:$C$564=$A447,
N(INDEX('PORTIFÓLIO'!$J$4:$Q$564,,MATCH(H$2,'PORTIFÓLIO'!$J$3:$Q$3,0))) *
N('PORTIFÓLIO'!$S$4:$S$564),
0
)
),
0)</f>
        <v>0</v>
      </c>
      <c r="I447" s="47">
        <f t="shared" si="8"/>
        <v>0</v>
      </c>
      <c r="J447" s="49">
        <f t="array" ref="J447">IFERROR(
SUM(
IF(
'PORTIFÓLIO'!$C$4:$C$564=$A447,
N(INDEX('PORTIFÓLIO'!$J$4:$Q$564,,MATCH(J$2,'PORTIFÓLIO'!$J$3:$Q$3,0))) *
N('PORTIFÓLIO'!$S$4:$S$564),
0
)
),
0)</f>
        <v>0</v>
      </c>
      <c r="K447" s="47">
        <f t="shared" si="9"/>
        <v>0</v>
      </c>
      <c r="L447" s="49">
        <f t="array" ref="L447">IFERROR(
SUM(
IF(
'PORTIFÓLIO'!$C$4:$C$564=$A447,
N(INDEX('PORTIFÓLIO'!$J$4:$Q$564,,MATCH(L$2,'PORTIFÓLIO'!$J$3:$Q$3,0))) *
N('PORTIFÓLIO'!$S$4:$S$564),
0
)
),
0)</f>
        <v>0</v>
      </c>
      <c r="M447" s="47">
        <f t="shared" si="10"/>
        <v>0</v>
      </c>
      <c r="N447" s="49">
        <f t="array" ref="N447">IFERROR(
SUM(
IF(
'PORTIFÓLIO'!$C$4:$C$564=$A447,
N(INDEX('PORTIFÓLIO'!$J$4:$Q$564,,MATCH(N$2,'PORTIFÓLIO'!$J$3:$Q$3,0))) *
N('PORTIFÓLIO'!$S$4:$S$564),
0
)
),
0)</f>
        <v>0</v>
      </c>
      <c r="O447" s="49">
        <f t="shared" si="11"/>
        <v>0</v>
      </c>
      <c r="P447" s="49">
        <f t="array" ref="P447">IFERROR(
SUM(
IF(
'PORTIFÓLIO'!$C$4:$C$564=$A447,
N(INDEX('PORTIFÓLIO'!$J$4:$Q$564,,MATCH(P$2,'PORTIFÓLIO'!$J$3:$Q$3,0))) *
N('PORTIFÓLIO'!$S$4:$S$564),
0
)
),
0)</f>
        <v>0</v>
      </c>
      <c r="Q447" s="49">
        <f t="shared" si="12"/>
        <v>0</v>
      </c>
      <c r="R447" s="43"/>
      <c r="S447" s="43"/>
    </row>
    <row r="448" ht="15.75" hidden="1" customHeight="1" outlineLevel="1">
      <c r="A448" s="42"/>
      <c r="B448" s="49">
        <f t="array" ref="B448">IFERROR(
SUM(
IF(
'PORTIFÓLIO'!$C$4:$C$564=$A448,
N(INDEX('PORTIFÓLIO'!$J$4:$Q$564,,MATCH(B$2,'PORTIFÓLIO'!$J$3:$Q$3,0))) *
N('PORTIFÓLIO'!$S$4:$S$564),
0
)
),
0)</f>
        <v>0</v>
      </c>
      <c r="C448" s="49">
        <f t="shared" si="5"/>
        <v>0</v>
      </c>
      <c r="D448" s="49">
        <f t="array" ref="D448">IFERROR(
SUM(
IF(
'PORTIFÓLIO'!$C$4:$C$564=$A448,
N(INDEX('PORTIFÓLIO'!$J$4:$Q$564,,MATCH(D$2,'PORTIFÓLIO'!$J$3:$Q$3,0))) *
N('PORTIFÓLIO'!$S$4:$S$564),
0
)
),
0)</f>
        <v>0</v>
      </c>
      <c r="E448" s="49">
        <f t="shared" si="15"/>
        <v>0</v>
      </c>
      <c r="F448" s="49">
        <f t="array" ref="F448">IFERROR(
SUM(
IF(
'PORTIFÓLIO'!$C$4:$C$564=$A448,
N(INDEX('PORTIFÓLIO'!$J$4:$Q$564,,MATCH(F$2,'PORTIFÓLIO'!$J$3:$Q$3,0))) *
N('PORTIFÓLIO'!$S$4:$S$564),
0
)
),
0)</f>
        <v>0</v>
      </c>
      <c r="G448" s="47">
        <f t="shared" si="7"/>
        <v>0</v>
      </c>
      <c r="H448" s="49">
        <f t="array" ref="H448">IFERROR(
SUM(
IF(
'PORTIFÓLIO'!$C$4:$C$564=$A448,
N(INDEX('PORTIFÓLIO'!$J$4:$Q$564,,MATCH(H$2,'PORTIFÓLIO'!$J$3:$Q$3,0))) *
N('PORTIFÓLIO'!$S$4:$S$564),
0
)
),
0)</f>
        <v>0</v>
      </c>
      <c r="I448" s="47">
        <f t="shared" si="8"/>
        <v>0</v>
      </c>
      <c r="J448" s="49">
        <f t="array" ref="J448">IFERROR(
SUM(
IF(
'PORTIFÓLIO'!$C$4:$C$564=$A448,
N(INDEX('PORTIFÓLIO'!$J$4:$Q$564,,MATCH(J$2,'PORTIFÓLIO'!$J$3:$Q$3,0))) *
N('PORTIFÓLIO'!$S$4:$S$564),
0
)
),
0)</f>
        <v>0</v>
      </c>
      <c r="K448" s="47">
        <f t="shared" si="9"/>
        <v>0</v>
      </c>
      <c r="L448" s="49">
        <f t="array" ref="L448">IFERROR(
SUM(
IF(
'PORTIFÓLIO'!$C$4:$C$564=$A448,
N(INDEX('PORTIFÓLIO'!$J$4:$Q$564,,MATCH(L$2,'PORTIFÓLIO'!$J$3:$Q$3,0))) *
N('PORTIFÓLIO'!$S$4:$S$564),
0
)
),
0)</f>
        <v>0</v>
      </c>
      <c r="M448" s="47">
        <f t="shared" si="10"/>
        <v>0</v>
      </c>
      <c r="N448" s="49">
        <f t="array" ref="N448">IFERROR(
SUM(
IF(
'PORTIFÓLIO'!$C$4:$C$564=$A448,
N(INDEX('PORTIFÓLIO'!$J$4:$Q$564,,MATCH(N$2,'PORTIFÓLIO'!$J$3:$Q$3,0))) *
N('PORTIFÓLIO'!$S$4:$S$564),
0
)
),
0)</f>
        <v>0</v>
      </c>
      <c r="O448" s="49">
        <f t="shared" si="11"/>
        <v>0</v>
      </c>
      <c r="P448" s="49">
        <f t="array" ref="P448">IFERROR(
SUM(
IF(
'PORTIFÓLIO'!$C$4:$C$564=$A448,
N(INDEX('PORTIFÓLIO'!$J$4:$Q$564,,MATCH(P$2,'PORTIFÓLIO'!$J$3:$Q$3,0))) *
N('PORTIFÓLIO'!$S$4:$S$564),
0
)
),
0)</f>
        <v>0</v>
      </c>
      <c r="Q448" s="49">
        <f t="shared" si="12"/>
        <v>0</v>
      </c>
      <c r="R448" s="43"/>
      <c r="S448" s="43"/>
    </row>
    <row r="449" ht="15.75" hidden="1" customHeight="1" outlineLevel="1">
      <c r="A449" s="42"/>
      <c r="B449" s="49">
        <f t="array" ref="B449">IFERROR(
SUM(
IF(
'PORTIFÓLIO'!$C$4:$C$564=$A449,
N(INDEX('PORTIFÓLIO'!$J$4:$Q$564,,MATCH(B$2,'PORTIFÓLIO'!$J$3:$Q$3,0))) *
N('PORTIFÓLIO'!$S$4:$S$564),
0
)
),
0)</f>
        <v>0</v>
      </c>
      <c r="C449" s="49">
        <f t="shared" si="5"/>
        <v>0</v>
      </c>
      <c r="D449" s="49">
        <f t="array" ref="D449">IFERROR(
SUM(
IF(
'PORTIFÓLIO'!$C$4:$C$564=$A449,
N(INDEX('PORTIFÓLIO'!$J$4:$Q$564,,MATCH(D$2,'PORTIFÓLIO'!$J$3:$Q$3,0))) *
N('PORTIFÓLIO'!$S$4:$S$564),
0
)
),
0)</f>
        <v>0</v>
      </c>
      <c r="E449" s="49">
        <f t="shared" si="15"/>
        <v>0</v>
      </c>
      <c r="F449" s="49">
        <f t="array" ref="F449">IFERROR(
SUM(
IF(
'PORTIFÓLIO'!$C$4:$C$564=$A449,
N(INDEX('PORTIFÓLIO'!$J$4:$Q$564,,MATCH(F$2,'PORTIFÓLIO'!$J$3:$Q$3,0))) *
N('PORTIFÓLIO'!$S$4:$S$564),
0
)
),
0)</f>
        <v>0</v>
      </c>
      <c r="G449" s="47">
        <f t="shared" si="7"/>
        <v>0</v>
      </c>
      <c r="H449" s="49">
        <f t="array" ref="H449">IFERROR(
SUM(
IF(
'PORTIFÓLIO'!$C$4:$C$564=$A449,
N(INDEX('PORTIFÓLIO'!$J$4:$Q$564,,MATCH(H$2,'PORTIFÓLIO'!$J$3:$Q$3,0))) *
N('PORTIFÓLIO'!$S$4:$S$564),
0
)
),
0)</f>
        <v>0</v>
      </c>
      <c r="I449" s="47">
        <f t="shared" si="8"/>
        <v>0</v>
      </c>
      <c r="J449" s="49">
        <f t="array" ref="J449">IFERROR(
SUM(
IF(
'PORTIFÓLIO'!$C$4:$C$564=$A449,
N(INDEX('PORTIFÓLIO'!$J$4:$Q$564,,MATCH(J$2,'PORTIFÓLIO'!$J$3:$Q$3,0))) *
N('PORTIFÓLIO'!$S$4:$S$564),
0
)
),
0)</f>
        <v>0</v>
      </c>
      <c r="K449" s="47">
        <f t="shared" si="9"/>
        <v>0</v>
      </c>
      <c r="L449" s="49">
        <f t="array" ref="L449">IFERROR(
SUM(
IF(
'PORTIFÓLIO'!$C$4:$C$564=$A449,
N(INDEX('PORTIFÓLIO'!$J$4:$Q$564,,MATCH(L$2,'PORTIFÓLIO'!$J$3:$Q$3,0))) *
N('PORTIFÓLIO'!$S$4:$S$564),
0
)
),
0)</f>
        <v>0</v>
      </c>
      <c r="M449" s="47">
        <f t="shared" si="10"/>
        <v>0</v>
      </c>
      <c r="N449" s="49">
        <f t="array" ref="N449">IFERROR(
SUM(
IF(
'PORTIFÓLIO'!$C$4:$C$564=$A449,
N(INDEX('PORTIFÓLIO'!$J$4:$Q$564,,MATCH(N$2,'PORTIFÓLIO'!$J$3:$Q$3,0))) *
N('PORTIFÓLIO'!$S$4:$S$564),
0
)
),
0)</f>
        <v>0</v>
      </c>
      <c r="O449" s="49">
        <f t="shared" si="11"/>
        <v>0</v>
      </c>
      <c r="P449" s="49">
        <f t="array" ref="P449">IFERROR(
SUM(
IF(
'PORTIFÓLIO'!$C$4:$C$564=$A449,
N(INDEX('PORTIFÓLIO'!$J$4:$Q$564,,MATCH(P$2,'PORTIFÓLIO'!$J$3:$Q$3,0))) *
N('PORTIFÓLIO'!$S$4:$S$564),
0
)
),
0)</f>
        <v>0</v>
      </c>
      <c r="Q449" s="49">
        <f t="shared" si="12"/>
        <v>0</v>
      </c>
      <c r="R449" s="43"/>
      <c r="S449" s="43"/>
    </row>
    <row r="450" ht="15.75" hidden="1" customHeight="1" outlineLevel="1">
      <c r="A450" s="42"/>
      <c r="B450" s="49">
        <f t="array" ref="B450">IFERROR(
SUM(
IF(
'PORTIFÓLIO'!$C$4:$C$564=$A450,
N(INDEX('PORTIFÓLIO'!$J$4:$Q$564,,MATCH(B$2,'PORTIFÓLIO'!$J$3:$Q$3,0))) *
N('PORTIFÓLIO'!$S$4:$S$564),
0
)
),
0)</f>
        <v>0</v>
      </c>
      <c r="C450" s="49">
        <f t="shared" si="5"/>
        <v>0</v>
      </c>
      <c r="D450" s="49">
        <f t="array" ref="D450">IFERROR(
SUM(
IF(
'PORTIFÓLIO'!$C$4:$C$564=$A450,
N(INDEX('PORTIFÓLIO'!$J$4:$Q$564,,MATCH(D$2,'PORTIFÓLIO'!$J$3:$Q$3,0))) *
N('PORTIFÓLIO'!$S$4:$S$564),
0
)
),
0)</f>
        <v>0</v>
      </c>
      <c r="E450" s="49">
        <f t="shared" si="15"/>
        <v>0</v>
      </c>
      <c r="F450" s="49">
        <f t="array" ref="F450">IFERROR(
SUM(
IF(
'PORTIFÓLIO'!$C$4:$C$564=$A450,
N(INDEX('PORTIFÓLIO'!$J$4:$Q$564,,MATCH(F$2,'PORTIFÓLIO'!$J$3:$Q$3,0))) *
N('PORTIFÓLIO'!$S$4:$S$564),
0
)
),
0)</f>
        <v>0</v>
      </c>
      <c r="G450" s="47">
        <f t="shared" si="7"/>
        <v>0</v>
      </c>
      <c r="H450" s="49">
        <f t="array" ref="H450">IFERROR(
SUM(
IF(
'PORTIFÓLIO'!$C$4:$C$564=$A450,
N(INDEX('PORTIFÓLIO'!$J$4:$Q$564,,MATCH(H$2,'PORTIFÓLIO'!$J$3:$Q$3,0))) *
N('PORTIFÓLIO'!$S$4:$S$564),
0
)
),
0)</f>
        <v>0</v>
      </c>
      <c r="I450" s="47">
        <f t="shared" si="8"/>
        <v>0</v>
      </c>
      <c r="J450" s="49">
        <f t="array" ref="J450">IFERROR(
SUM(
IF(
'PORTIFÓLIO'!$C$4:$C$564=$A450,
N(INDEX('PORTIFÓLIO'!$J$4:$Q$564,,MATCH(J$2,'PORTIFÓLIO'!$J$3:$Q$3,0))) *
N('PORTIFÓLIO'!$S$4:$S$564),
0
)
),
0)</f>
        <v>0</v>
      </c>
      <c r="K450" s="47">
        <f t="shared" si="9"/>
        <v>0</v>
      </c>
      <c r="L450" s="49">
        <f t="array" ref="L450">IFERROR(
SUM(
IF(
'PORTIFÓLIO'!$C$4:$C$564=$A450,
N(INDEX('PORTIFÓLIO'!$J$4:$Q$564,,MATCH(L$2,'PORTIFÓLIO'!$J$3:$Q$3,0))) *
N('PORTIFÓLIO'!$S$4:$S$564),
0
)
),
0)</f>
        <v>0</v>
      </c>
      <c r="M450" s="47">
        <f t="shared" si="10"/>
        <v>0</v>
      </c>
      <c r="N450" s="49">
        <f t="array" ref="N450">IFERROR(
SUM(
IF(
'PORTIFÓLIO'!$C$4:$C$564=$A450,
N(INDEX('PORTIFÓLIO'!$J$4:$Q$564,,MATCH(N$2,'PORTIFÓLIO'!$J$3:$Q$3,0))) *
N('PORTIFÓLIO'!$S$4:$S$564),
0
)
),
0)</f>
        <v>0</v>
      </c>
      <c r="O450" s="49">
        <f t="shared" si="11"/>
        <v>0</v>
      </c>
      <c r="P450" s="49">
        <f t="array" ref="P450">IFERROR(
SUM(
IF(
'PORTIFÓLIO'!$C$4:$C$564=$A450,
N(INDEX('PORTIFÓLIO'!$J$4:$Q$564,,MATCH(P$2,'PORTIFÓLIO'!$J$3:$Q$3,0))) *
N('PORTIFÓLIO'!$S$4:$S$564),
0
)
),
0)</f>
        <v>0</v>
      </c>
      <c r="Q450" s="49">
        <f t="shared" si="12"/>
        <v>0</v>
      </c>
      <c r="R450" s="43"/>
      <c r="S450" s="43"/>
    </row>
    <row r="451" ht="15.75" hidden="1" customHeight="1" outlineLevel="1">
      <c r="A451" s="42"/>
      <c r="B451" s="49">
        <f t="array" ref="B451">IFERROR(
SUM(
IF(
'PORTIFÓLIO'!$C$4:$C$564=$A451,
N(INDEX('PORTIFÓLIO'!$J$4:$Q$564,,MATCH(B$2,'PORTIFÓLIO'!$J$3:$Q$3,0))) *
N('PORTIFÓLIO'!$S$4:$S$564),
0
)
),
0)</f>
        <v>0</v>
      </c>
      <c r="C451" s="49">
        <f t="shared" si="5"/>
        <v>0</v>
      </c>
      <c r="D451" s="49">
        <f t="array" ref="D451">IFERROR(
SUM(
IF(
'PORTIFÓLIO'!$C$4:$C$564=$A451,
N(INDEX('PORTIFÓLIO'!$J$4:$Q$564,,MATCH(D$2,'PORTIFÓLIO'!$J$3:$Q$3,0))) *
N('PORTIFÓLIO'!$S$4:$S$564),
0
)
),
0)</f>
        <v>0</v>
      </c>
      <c r="E451" s="49">
        <f t="shared" si="15"/>
        <v>0</v>
      </c>
      <c r="F451" s="49">
        <f t="array" ref="F451">IFERROR(
SUM(
IF(
'PORTIFÓLIO'!$C$4:$C$564=$A451,
N(INDEX('PORTIFÓLIO'!$J$4:$Q$564,,MATCH(F$2,'PORTIFÓLIO'!$J$3:$Q$3,0))) *
N('PORTIFÓLIO'!$S$4:$S$564),
0
)
),
0)</f>
        <v>0</v>
      </c>
      <c r="G451" s="47">
        <f t="shared" si="7"/>
        <v>0</v>
      </c>
      <c r="H451" s="49">
        <f t="array" ref="H451">IFERROR(
SUM(
IF(
'PORTIFÓLIO'!$C$4:$C$564=$A451,
N(INDEX('PORTIFÓLIO'!$J$4:$Q$564,,MATCH(H$2,'PORTIFÓLIO'!$J$3:$Q$3,0))) *
N('PORTIFÓLIO'!$S$4:$S$564),
0
)
),
0)</f>
        <v>0</v>
      </c>
      <c r="I451" s="47">
        <f t="shared" si="8"/>
        <v>0</v>
      </c>
      <c r="J451" s="49">
        <f t="array" ref="J451">IFERROR(
SUM(
IF(
'PORTIFÓLIO'!$C$4:$C$564=$A451,
N(INDEX('PORTIFÓLIO'!$J$4:$Q$564,,MATCH(J$2,'PORTIFÓLIO'!$J$3:$Q$3,0))) *
N('PORTIFÓLIO'!$S$4:$S$564),
0
)
),
0)</f>
        <v>0</v>
      </c>
      <c r="K451" s="47">
        <f t="shared" si="9"/>
        <v>0</v>
      </c>
      <c r="L451" s="49">
        <f t="array" ref="L451">IFERROR(
SUM(
IF(
'PORTIFÓLIO'!$C$4:$C$564=$A451,
N(INDEX('PORTIFÓLIO'!$J$4:$Q$564,,MATCH(L$2,'PORTIFÓLIO'!$J$3:$Q$3,0))) *
N('PORTIFÓLIO'!$S$4:$S$564),
0
)
),
0)</f>
        <v>0</v>
      </c>
      <c r="M451" s="47">
        <f t="shared" si="10"/>
        <v>0</v>
      </c>
      <c r="N451" s="49">
        <f t="array" ref="N451">IFERROR(
SUM(
IF(
'PORTIFÓLIO'!$C$4:$C$564=$A451,
N(INDEX('PORTIFÓLIO'!$J$4:$Q$564,,MATCH(N$2,'PORTIFÓLIO'!$J$3:$Q$3,0))) *
N('PORTIFÓLIO'!$S$4:$S$564),
0
)
),
0)</f>
        <v>0</v>
      </c>
      <c r="O451" s="49">
        <f t="shared" si="11"/>
        <v>0</v>
      </c>
      <c r="P451" s="49">
        <f t="array" ref="P451">IFERROR(
SUM(
IF(
'PORTIFÓLIO'!$C$4:$C$564=$A451,
N(INDEX('PORTIFÓLIO'!$J$4:$Q$564,,MATCH(P$2,'PORTIFÓLIO'!$J$3:$Q$3,0))) *
N('PORTIFÓLIO'!$S$4:$S$564),
0
)
),
0)</f>
        <v>0</v>
      </c>
      <c r="Q451" s="49">
        <f t="shared" si="12"/>
        <v>0</v>
      </c>
      <c r="R451" s="43"/>
      <c r="S451" s="43"/>
    </row>
    <row r="452" ht="15.75" hidden="1" customHeight="1" outlineLevel="1">
      <c r="A452" s="42"/>
      <c r="B452" s="49">
        <f t="array" ref="B452">IFERROR(
SUM(
IF(
'PORTIFÓLIO'!$C$4:$C$564=$A452,
N(INDEX('PORTIFÓLIO'!$J$4:$Q$564,,MATCH(B$2,'PORTIFÓLIO'!$J$3:$Q$3,0))) *
N('PORTIFÓLIO'!$S$4:$S$564),
0
)
),
0)</f>
        <v>0</v>
      </c>
      <c r="C452" s="49">
        <f t="shared" si="5"/>
        <v>0</v>
      </c>
      <c r="D452" s="49">
        <f t="array" ref="D452">IFERROR(
SUM(
IF(
'PORTIFÓLIO'!$C$4:$C$564=$A452,
N(INDEX('PORTIFÓLIO'!$J$4:$Q$564,,MATCH(D$2,'PORTIFÓLIO'!$J$3:$Q$3,0))) *
N('PORTIFÓLIO'!$S$4:$S$564),
0
)
),
0)</f>
        <v>0</v>
      </c>
      <c r="E452" s="49">
        <f t="shared" si="15"/>
        <v>0</v>
      </c>
      <c r="F452" s="49">
        <f t="array" ref="F452">IFERROR(
SUM(
IF(
'PORTIFÓLIO'!$C$4:$C$564=$A452,
N(INDEX('PORTIFÓLIO'!$J$4:$Q$564,,MATCH(F$2,'PORTIFÓLIO'!$J$3:$Q$3,0))) *
N('PORTIFÓLIO'!$S$4:$S$564),
0
)
),
0)</f>
        <v>0</v>
      </c>
      <c r="G452" s="47">
        <f t="shared" si="7"/>
        <v>0</v>
      </c>
      <c r="H452" s="49">
        <f t="array" ref="H452">IFERROR(
SUM(
IF(
'PORTIFÓLIO'!$C$4:$C$564=$A452,
N(INDEX('PORTIFÓLIO'!$J$4:$Q$564,,MATCH(H$2,'PORTIFÓLIO'!$J$3:$Q$3,0))) *
N('PORTIFÓLIO'!$S$4:$S$564),
0
)
),
0)</f>
        <v>0</v>
      </c>
      <c r="I452" s="47">
        <f t="shared" si="8"/>
        <v>0</v>
      </c>
      <c r="J452" s="49">
        <f t="array" ref="J452">IFERROR(
SUM(
IF(
'PORTIFÓLIO'!$C$4:$C$564=$A452,
N(INDEX('PORTIFÓLIO'!$J$4:$Q$564,,MATCH(J$2,'PORTIFÓLIO'!$J$3:$Q$3,0))) *
N('PORTIFÓLIO'!$S$4:$S$564),
0
)
),
0)</f>
        <v>0</v>
      </c>
      <c r="K452" s="47">
        <f t="shared" si="9"/>
        <v>0</v>
      </c>
      <c r="L452" s="49">
        <f t="array" ref="L452">IFERROR(
SUM(
IF(
'PORTIFÓLIO'!$C$4:$C$564=$A452,
N(INDEX('PORTIFÓLIO'!$J$4:$Q$564,,MATCH(L$2,'PORTIFÓLIO'!$J$3:$Q$3,0))) *
N('PORTIFÓLIO'!$S$4:$S$564),
0
)
),
0)</f>
        <v>0</v>
      </c>
      <c r="M452" s="47">
        <f t="shared" si="10"/>
        <v>0</v>
      </c>
      <c r="N452" s="49">
        <f t="array" ref="N452">IFERROR(
SUM(
IF(
'PORTIFÓLIO'!$C$4:$C$564=$A452,
N(INDEX('PORTIFÓLIO'!$J$4:$Q$564,,MATCH(N$2,'PORTIFÓLIO'!$J$3:$Q$3,0))) *
N('PORTIFÓLIO'!$S$4:$S$564),
0
)
),
0)</f>
        <v>0</v>
      </c>
      <c r="O452" s="49">
        <f t="shared" si="11"/>
        <v>0</v>
      </c>
      <c r="P452" s="49">
        <f t="array" ref="P452">IFERROR(
SUM(
IF(
'PORTIFÓLIO'!$C$4:$C$564=$A452,
N(INDEX('PORTIFÓLIO'!$J$4:$Q$564,,MATCH(P$2,'PORTIFÓLIO'!$J$3:$Q$3,0))) *
N('PORTIFÓLIO'!$S$4:$S$564),
0
)
),
0)</f>
        <v>0</v>
      </c>
      <c r="Q452" s="49">
        <f t="shared" si="12"/>
        <v>0</v>
      </c>
      <c r="R452" s="43"/>
      <c r="S452" s="43"/>
    </row>
    <row r="453" ht="15.75" hidden="1" customHeight="1" outlineLevel="1">
      <c r="A453" s="42"/>
      <c r="B453" s="49">
        <f t="array" ref="B453">IFERROR(
SUM(
IF(
'PORTIFÓLIO'!$C$4:$C$564=$A453,
N(INDEX('PORTIFÓLIO'!$J$4:$Q$564,,MATCH(B$2,'PORTIFÓLIO'!$J$3:$Q$3,0))) *
N('PORTIFÓLIO'!$S$4:$S$564),
0
)
),
0)</f>
        <v>0</v>
      </c>
      <c r="C453" s="49">
        <f t="shared" si="5"/>
        <v>0</v>
      </c>
      <c r="D453" s="49">
        <f t="array" ref="D453">IFERROR(
SUM(
IF(
'PORTIFÓLIO'!$C$4:$C$564=$A453,
N(INDEX('PORTIFÓLIO'!$J$4:$Q$564,,MATCH(D$2,'PORTIFÓLIO'!$J$3:$Q$3,0))) *
N('PORTIFÓLIO'!$S$4:$S$564),
0
)
),
0)</f>
        <v>0</v>
      </c>
      <c r="E453" s="49">
        <f t="shared" si="15"/>
        <v>0</v>
      </c>
      <c r="F453" s="49">
        <f t="array" ref="F453">IFERROR(
SUM(
IF(
'PORTIFÓLIO'!$C$4:$C$564=$A453,
N(INDEX('PORTIFÓLIO'!$J$4:$Q$564,,MATCH(F$2,'PORTIFÓLIO'!$J$3:$Q$3,0))) *
N('PORTIFÓLIO'!$S$4:$S$564),
0
)
),
0)</f>
        <v>0</v>
      </c>
      <c r="G453" s="47">
        <f t="shared" si="7"/>
        <v>0</v>
      </c>
      <c r="H453" s="49">
        <f t="array" ref="H453">IFERROR(
SUM(
IF(
'PORTIFÓLIO'!$C$4:$C$564=$A453,
N(INDEX('PORTIFÓLIO'!$J$4:$Q$564,,MATCH(H$2,'PORTIFÓLIO'!$J$3:$Q$3,0))) *
N('PORTIFÓLIO'!$S$4:$S$564),
0
)
),
0)</f>
        <v>0</v>
      </c>
      <c r="I453" s="47">
        <f t="shared" si="8"/>
        <v>0</v>
      </c>
      <c r="J453" s="49">
        <f t="array" ref="J453">IFERROR(
SUM(
IF(
'PORTIFÓLIO'!$C$4:$C$564=$A453,
N(INDEX('PORTIFÓLIO'!$J$4:$Q$564,,MATCH(J$2,'PORTIFÓLIO'!$J$3:$Q$3,0))) *
N('PORTIFÓLIO'!$S$4:$S$564),
0
)
),
0)</f>
        <v>0</v>
      </c>
      <c r="K453" s="47">
        <f t="shared" si="9"/>
        <v>0</v>
      </c>
      <c r="L453" s="49">
        <f t="array" ref="L453">IFERROR(
SUM(
IF(
'PORTIFÓLIO'!$C$4:$C$564=$A453,
N(INDEX('PORTIFÓLIO'!$J$4:$Q$564,,MATCH(L$2,'PORTIFÓLIO'!$J$3:$Q$3,0))) *
N('PORTIFÓLIO'!$S$4:$S$564),
0
)
),
0)</f>
        <v>0</v>
      </c>
      <c r="M453" s="47">
        <f t="shared" si="10"/>
        <v>0</v>
      </c>
      <c r="N453" s="49">
        <f t="array" ref="N453">IFERROR(
SUM(
IF(
'PORTIFÓLIO'!$C$4:$C$564=$A453,
N(INDEX('PORTIFÓLIO'!$J$4:$Q$564,,MATCH(N$2,'PORTIFÓLIO'!$J$3:$Q$3,0))) *
N('PORTIFÓLIO'!$S$4:$S$564),
0
)
),
0)</f>
        <v>0</v>
      </c>
      <c r="O453" s="49">
        <f t="shared" si="11"/>
        <v>0</v>
      </c>
      <c r="P453" s="49">
        <f t="array" ref="P453">IFERROR(
SUM(
IF(
'PORTIFÓLIO'!$C$4:$C$564=$A453,
N(INDEX('PORTIFÓLIO'!$J$4:$Q$564,,MATCH(P$2,'PORTIFÓLIO'!$J$3:$Q$3,0))) *
N('PORTIFÓLIO'!$S$4:$S$564),
0
)
),
0)</f>
        <v>0</v>
      </c>
      <c r="Q453" s="49">
        <f t="shared" si="12"/>
        <v>0</v>
      </c>
      <c r="R453" s="43"/>
      <c r="S453" s="43"/>
    </row>
    <row r="454" ht="15.75" hidden="1" customHeight="1" outlineLevel="1">
      <c r="A454" s="42"/>
      <c r="B454" s="49">
        <f t="array" ref="B454">IFERROR(
SUM(
IF(
'PORTIFÓLIO'!$C$4:$C$564=$A454,
N(INDEX('PORTIFÓLIO'!$J$4:$Q$564,,MATCH(B$2,'PORTIFÓLIO'!$J$3:$Q$3,0))) *
N('PORTIFÓLIO'!$S$4:$S$564),
0
)
),
0)</f>
        <v>0</v>
      </c>
      <c r="C454" s="49">
        <f t="shared" si="5"/>
        <v>0</v>
      </c>
      <c r="D454" s="49">
        <f t="array" ref="D454">IFERROR(
SUM(
IF(
'PORTIFÓLIO'!$C$4:$C$564=$A454,
N(INDEX('PORTIFÓLIO'!$J$4:$Q$564,,MATCH(D$2,'PORTIFÓLIO'!$J$3:$Q$3,0))) *
N('PORTIFÓLIO'!$S$4:$S$564),
0
)
),
0)</f>
        <v>0</v>
      </c>
      <c r="E454" s="49">
        <f t="shared" si="15"/>
        <v>0</v>
      </c>
      <c r="F454" s="49">
        <f t="array" ref="F454">IFERROR(
SUM(
IF(
'PORTIFÓLIO'!$C$4:$C$564=$A454,
N(INDEX('PORTIFÓLIO'!$J$4:$Q$564,,MATCH(F$2,'PORTIFÓLIO'!$J$3:$Q$3,0))) *
N('PORTIFÓLIO'!$S$4:$S$564),
0
)
),
0)</f>
        <v>0</v>
      </c>
      <c r="G454" s="47">
        <f t="shared" si="7"/>
        <v>0</v>
      </c>
      <c r="H454" s="49">
        <f t="array" ref="H454">IFERROR(
SUM(
IF(
'PORTIFÓLIO'!$C$4:$C$564=$A454,
N(INDEX('PORTIFÓLIO'!$J$4:$Q$564,,MATCH(H$2,'PORTIFÓLIO'!$J$3:$Q$3,0))) *
N('PORTIFÓLIO'!$S$4:$S$564),
0
)
),
0)</f>
        <v>0</v>
      </c>
      <c r="I454" s="47">
        <f t="shared" si="8"/>
        <v>0</v>
      </c>
      <c r="J454" s="49">
        <f t="array" ref="J454">IFERROR(
SUM(
IF(
'PORTIFÓLIO'!$C$4:$C$564=$A454,
N(INDEX('PORTIFÓLIO'!$J$4:$Q$564,,MATCH(J$2,'PORTIFÓLIO'!$J$3:$Q$3,0))) *
N('PORTIFÓLIO'!$S$4:$S$564),
0
)
),
0)</f>
        <v>0</v>
      </c>
      <c r="K454" s="47">
        <f t="shared" si="9"/>
        <v>0</v>
      </c>
      <c r="L454" s="49">
        <f t="array" ref="L454">IFERROR(
SUM(
IF(
'PORTIFÓLIO'!$C$4:$C$564=$A454,
N(INDEX('PORTIFÓLIO'!$J$4:$Q$564,,MATCH(L$2,'PORTIFÓLIO'!$J$3:$Q$3,0))) *
N('PORTIFÓLIO'!$S$4:$S$564),
0
)
),
0)</f>
        <v>0</v>
      </c>
      <c r="M454" s="47">
        <f t="shared" si="10"/>
        <v>0</v>
      </c>
      <c r="N454" s="49">
        <f t="array" ref="N454">IFERROR(
SUM(
IF(
'PORTIFÓLIO'!$C$4:$C$564=$A454,
N(INDEX('PORTIFÓLIO'!$J$4:$Q$564,,MATCH(N$2,'PORTIFÓLIO'!$J$3:$Q$3,0))) *
N('PORTIFÓLIO'!$S$4:$S$564),
0
)
),
0)</f>
        <v>0</v>
      </c>
      <c r="O454" s="49">
        <f t="shared" si="11"/>
        <v>0</v>
      </c>
      <c r="P454" s="49">
        <f t="array" ref="P454">IFERROR(
SUM(
IF(
'PORTIFÓLIO'!$C$4:$C$564=$A454,
N(INDEX('PORTIFÓLIO'!$J$4:$Q$564,,MATCH(P$2,'PORTIFÓLIO'!$J$3:$Q$3,0))) *
N('PORTIFÓLIO'!$S$4:$S$564),
0
)
),
0)</f>
        <v>0</v>
      </c>
      <c r="Q454" s="49">
        <f t="shared" si="12"/>
        <v>0</v>
      </c>
      <c r="R454" s="43"/>
      <c r="S454" s="43"/>
    </row>
    <row r="455" ht="15.75" hidden="1" customHeight="1" outlineLevel="1">
      <c r="A455" s="42"/>
      <c r="B455" s="49">
        <f t="array" ref="B455">IFERROR(
SUM(
IF(
'PORTIFÓLIO'!$C$4:$C$564=$A455,
N(INDEX('PORTIFÓLIO'!$J$4:$Q$564,,MATCH(B$2,'PORTIFÓLIO'!$J$3:$Q$3,0))) *
N('PORTIFÓLIO'!$S$4:$S$564),
0
)
),
0)</f>
        <v>0</v>
      </c>
      <c r="C455" s="49">
        <f t="shared" si="5"/>
        <v>0</v>
      </c>
      <c r="D455" s="49">
        <f t="array" ref="D455">IFERROR(
SUM(
IF(
'PORTIFÓLIO'!$C$4:$C$564=$A455,
N(INDEX('PORTIFÓLIO'!$J$4:$Q$564,,MATCH(D$2,'PORTIFÓLIO'!$J$3:$Q$3,0))) *
N('PORTIFÓLIO'!$S$4:$S$564),
0
)
),
0)</f>
        <v>0</v>
      </c>
      <c r="E455" s="49">
        <f t="shared" si="15"/>
        <v>0</v>
      </c>
      <c r="F455" s="49">
        <f t="array" ref="F455">IFERROR(
SUM(
IF(
'PORTIFÓLIO'!$C$4:$C$564=$A455,
N(INDEX('PORTIFÓLIO'!$J$4:$Q$564,,MATCH(F$2,'PORTIFÓLIO'!$J$3:$Q$3,0))) *
N('PORTIFÓLIO'!$S$4:$S$564),
0
)
),
0)</f>
        <v>0</v>
      </c>
      <c r="G455" s="47">
        <f t="shared" si="7"/>
        <v>0</v>
      </c>
      <c r="H455" s="49">
        <f t="array" ref="H455">IFERROR(
SUM(
IF(
'PORTIFÓLIO'!$C$4:$C$564=$A455,
N(INDEX('PORTIFÓLIO'!$J$4:$Q$564,,MATCH(H$2,'PORTIFÓLIO'!$J$3:$Q$3,0))) *
N('PORTIFÓLIO'!$S$4:$S$564),
0
)
),
0)</f>
        <v>0</v>
      </c>
      <c r="I455" s="47">
        <f t="shared" si="8"/>
        <v>0</v>
      </c>
      <c r="J455" s="49">
        <f t="array" ref="J455">IFERROR(
SUM(
IF(
'PORTIFÓLIO'!$C$4:$C$564=$A455,
N(INDEX('PORTIFÓLIO'!$J$4:$Q$564,,MATCH(J$2,'PORTIFÓLIO'!$J$3:$Q$3,0))) *
N('PORTIFÓLIO'!$S$4:$S$564),
0
)
),
0)</f>
        <v>0</v>
      </c>
      <c r="K455" s="47">
        <f t="shared" si="9"/>
        <v>0</v>
      </c>
      <c r="L455" s="49">
        <f t="array" ref="L455">IFERROR(
SUM(
IF(
'PORTIFÓLIO'!$C$4:$C$564=$A455,
N(INDEX('PORTIFÓLIO'!$J$4:$Q$564,,MATCH(L$2,'PORTIFÓLIO'!$J$3:$Q$3,0))) *
N('PORTIFÓLIO'!$S$4:$S$564),
0
)
),
0)</f>
        <v>0</v>
      </c>
      <c r="M455" s="47">
        <f t="shared" si="10"/>
        <v>0</v>
      </c>
      <c r="N455" s="49">
        <f t="array" ref="N455">IFERROR(
SUM(
IF(
'PORTIFÓLIO'!$C$4:$C$564=$A455,
N(INDEX('PORTIFÓLIO'!$J$4:$Q$564,,MATCH(N$2,'PORTIFÓLIO'!$J$3:$Q$3,0))) *
N('PORTIFÓLIO'!$S$4:$S$564),
0
)
),
0)</f>
        <v>0</v>
      </c>
      <c r="O455" s="49">
        <f t="shared" si="11"/>
        <v>0</v>
      </c>
      <c r="P455" s="49">
        <f t="array" ref="P455">IFERROR(
SUM(
IF(
'PORTIFÓLIO'!$C$4:$C$564=$A455,
N(INDEX('PORTIFÓLIO'!$J$4:$Q$564,,MATCH(P$2,'PORTIFÓLIO'!$J$3:$Q$3,0))) *
N('PORTIFÓLIO'!$S$4:$S$564),
0
)
),
0)</f>
        <v>0</v>
      </c>
      <c r="Q455" s="49">
        <f t="shared" si="12"/>
        <v>0</v>
      </c>
      <c r="R455" s="43"/>
      <c r="S455" s="43"/>
    </row>
    <row r="456" ht="15.75" hidden="1" customHeight="1" outlineLevel="1">
      <c r="A456" s="42"/>
      <c r="B456" s="49">
        <f t="array" ref="B456">IFERROR(
SUM(
IF(
'PORTIFÓLIO'!$C$4:$C$564=$A456,
N(INDEX('PORTIFÓLIO'!$J$4:$Q$564,,MATCH(B$2,'PORTIFÓLIO'!$J$3:$Q$3,0))) *
N('PORTIFÓLIO'!$S$4:$S$564),
0
)
),
0)</f>
        <v>0</v>
      </c>
      <c r="C456" s="49">
        <f t="shared" si="5"/>
        <v>0</v>
      </c>
      <c r="D456" s="49">
        <f t="array" ref="D456">IFERROR(
SUM(
IF(
'PORTIFÓLIO'!$C$4:$C$564=$A456,
N(INDEX('PORTIFÓLIO'!$J$4:$Q$564,,MATCH(D$2,'PORTIFÓLIO'!$J$3:$Q$3,0))) *
N('PORTIFÓLIO'!$S$4:$S$564),
0
)
),
0)</f>
        <v>0</v>
      </c>
      <c r="E456" s="49">
        <f t="shared" si="15"/>
        <v>0</v>
      </c>
      <c r="F456" s="49">
        <f t="array" ref="F456">IFERROR(
SUM(
IF(
'PORTIFÓLIO'!$C$4:$C$564=$A456,
N(INDEX('PORTIFÓLIO'!$J$4:$Q$564,,MATCH(F$2,'PORTIFÓLIO'!$J$3:$Q$3,0))) *
N('PORTIFÓLIO'!$S$4:$S$564),
0
)
),
0)</f>
        <v>0</v>
      </c>
      <c r="G456" s="47">
        <f t="shared" si="7"/>
        <v>0</v>
      </c>
      <c r="H456" s="49">
        <f t="array" ref="H456">IFERROR(
SUM(
IF(
'PORTIFÓLIO'!$C$4:$C$564=$A456,
N(INDEX('PORTIFÓLIO'!$J$4:$Q$564,,MATCH(H$2,'PORTIFÓLIO'!$J$3:$Q$3,0))) *
N('PORTIFÓLIO'!$S$4:$S$564),
0
)
),
0)</f>
        <v>0</v>
      </c>
      <c r="I456" s="47">
        <f t="shared" si="8"/>
        <v>0</v>
      </c>
      <c r="J456" s="49">
        <f t="array" ref="J456">IFERROR(
SUM(
IF(
'PORTIFÓLIO'!$C$4:$C$564=$A456,
N(INDEX('PORTIFÓLIO'!$J$4:$Q$564,,MATCH(J$2,'PORTIFÓLIO'!$J$3:$Q$3,0))) *
N('PORTIFÓLIO'!$S$4:$S$564),
0
)
),
0)</f>
        <v>0</v>
      </c>
      <c r="K456" s="47">
        <f t="shared" si="9"/>
        <v>0</v>
      </c>
      <c r="L456" s="49">
        <f t="array" ref="L456">IFERROR(
SUM(
IF(
'PORTIFÓLIO'!$C$4:$C$564=$A456,
N(INDEX('PORTIFÓLIO'!$J$4:$Q$564,,MATCH(L$2,'PORTIFÓLIO'!$J$3:$Q$3,0))) *
N('PORTIFÓLIO'!$S$4:$S$564),
0
)
),
0)</f>
        <v>0</v>
      </c>
      <c r="M456" s="47">
        <f t="shared" si="10"/>
        <v>0</v>
      </c>
      <c r="N456" s="49">
        <f t="array" ref="N456">IFERROR(
SUM(
IF(
'PORTIFÓLIO'!$C$4:$C$564=$A456,
N(INDEX('PORTIFÓLIO'!$J$4:$Q$564,,MATCH(N$2,'PORTIFÓLIO'!$J$3:$Q$3,0))) *
N('PORTIFÓLIO'!$S$4:$S$564),
0
)
),
0)</f>
        <v>0</v>
      </c>
      <c r="O456" s="49">
        <f t="shared" si="11"/>
        <v>0</v>
      </c>
      <c r="P456" s="49">
        <f t="array" ref="P456">IFERROR(
SUM(
IF(
'PORTIFÓLIO'!$C$4:$C$564=$A456,
N(INDEX('PORTIFÓLIO'!$J$4:$Q$564,,MATCH(P$2,'PORTIFÓLIO'!$J$3:$Q$3,0))) *
N('PORTIFÓLIO'!$S$4:$S$564),
0
)
),
0)</f>
        <v>0</v>
      </c>
      <c r="Q456" s="49">
        <f t="shared" si="12"/>
        <v>0</v>
      </c>
      <c r="R456" s="43"/>
      <c r="S456" s="43"/>
    </row>
    <row r="457" ht="15.75" hidden="1" customHeight="1" outlineLevel="1">
      <c r="A457" s="42"/>
      <c r="B457" s="49">
        <f t="array" ref="B457">IFERROR(
SUM(
IF(
'PORTIFÓLIO'!$C$4:$C$564=$A457,
N(INDEX('PORTIFÓLIO'!$J$4:$Q$564,,MATCH(B$2,'PORTIFÓLIO'!$J$3:$Q$3,0))) *
N('PORTIFÓLIO'!$S$4:$S$564),
0
)
),
0)</f>
        <v>0</v>
      </c>
      <c r="C457" s="49">
        <f t="shared" si="5"/>
        <v>0</v>
      </c>
      <c r="D457" s="49">
        <f t="array" ref="D457">IFERROR(
SUM(
IF(
'PORTIFÓLIO'!$C$4:$C$564=$A457,
N(INDEX('PORTIFÓLIO'!$J$4:$Q$564,,MATCH(D$2,'PORTIFÓLIO'!$J$3:$Q$3,0))) *
N('PORTIFÓLIO'!$S$4:$S$564),
0
)
),
0)</f>
        <v>0</v>
      </c>
      <c r="E457" s="49">
        <f t="shared" si="15"/>
        <v>0</v>
      </c>
      <c r="F457" s="49">
        <f t="array" ref="F457">IFERROR(
SUM(
IF(
'PORTIFÓLIO'!$C$4:$C$564=$A457,
N(INDEX('PORTIFÓLIO'!$J$4:$Q$564,,MATCH(F$2,'PORTIFÓLIO'!$J$3:$Q$3,0))) *
N('PORTIFÓLIO'!$S$4:$S$564),
0
)
),
0)</f>
        <v>0</v>
      </c>
      <c r="G457" s="47">
        <f t="shared" si="7"/>
        <v>0</v>
      </c>
      <c r="H457" s="49">
        <f t="array" ref="H457">IFERROR(
SUM(
IF(
'PORTIFÓLIO'!$C$4:$C$564=$A457,
N(INDEX('PORTIFÓLIO'!$J$4:$Q$564,,MATCH(H$2,'PORTIFÓLIO'!$J$3:$Q$3,0))) *
N('PORTIFÓLIO'!$S$4:$S$564),
0
)
),
0)</f>
        <v>0</v>
      </c>
      <c r="I457" s="47">
        <f t="shared" si="8"/>
        <v>0</v>
      </c>
      <c r="J457" s="49">
        <f t="array" ref="J457">IFERROR(
SUM(
IF(
'PORTIFÓLIO'!$C$4:$C$564=$A457,
N(INDEX('PORTIFÓLIO'!$J$4:$Q$564,,MATCH(J$2,'PORTIFÓLIO'!$J$3:$Q$3,0))) *
N('PORTIFÓLIO'!$S$4:$S$564),
0
)
),
0)</f>
        <v>0</v>
      </c>
      <c r="K457" s="47">
        <f t="shared" si="9"/>
        <v>0</v>
      </c>
      <c r="L457" s="49">
        <f t="array" ref="L457">IFERROR(
SUM(
IF(
'PORTIFÓLIO'!$C$4:$C$564=$A457,
N(INDEX('PORTIFÓLIO'!$J$4:$Q$564,,MATCH(L$2,'PORTIFÓLIO'!$J$3:$Q$3,0))) *
N('PORTIFÓLIO'!$S$4:$S$564),
0
)
),
0)</f>
        <v>0</v>
      </c>
      <c r="M457" s="47">
        <f t="shared" si="10"/>
        <v>0</v>
      </c>
      <c r="N457" s="49">
        <f t="array" ref="N457">IFERROR(
SUM(
IF(
'PORTIFÓLIO'!$C$4:$C$564=$A457,
N(INDEX('PORTIFÓLIO'!$J$4:$Q$564,,MATCH(N$2,'PORTIFÓLIO'!$J$3:$Q$3,0))) *
N('PORTIFÓLIO'!$S$4:$S$564),
0
)
),
0)</f>
        <v>0</v>
      </c>
      <c r="O457" s="49">
        <f t="shared" si="11"/>
        <v>0</v>
      </c>
      <c r="P457" s="49">
        <f t="array" ref="P457">IFERROR(
SUM(
IF(
'PORTIFÓLIO'!$C$4:$C$564=$A457,
N(INDEX('PORTIFÓLIO'!$J$4:$Q$564,,MATCH(P$2,'PORTIFÓLIO'!$J$3:$Q$3,0))) *
N('PORTIFÓLIO'!$S$4:$S$564),
0
)
),
0)</f>
        <v>0</v>
      </c>
      <c r="Q457" s="49">
        <f t="shared" si="12"/>
        <v>0</v>
      </c>
      <c r="R457" s="43"/>
      <c r="S457" s="43"/>
    </row>
    <row r="458" ht="15.75" customHeight="1">
      <c r="A458" s="42" t="s">
        <v>211</v>
      </c>
      <c r="B458" s="43"/>
      <c r="C458" s="43"/>
      <c r="D458" s="43"/>
      <c r="E458" s="43"/>
      <c r="F458" s="43"/>
      <c r="G458" s="43"/>
      <c r="H458" s="43"/>
      <c r="I458" s="43"/>
      <c r="J458" s="43"/>
      <c r="K458" s="43"/>
      <c r="L458" s="43"/>
      <c r="M458" s="43"/>
      <c r="N458" s="43"/>
      <c r="O458" s="43"/>
      <c r="P458" s="43"/>
      <c r="Q458" s="43"/>
      <c r="R458" s="43"/>
      <c r="S458" s="43"/>
    </row>
    <row r="459" ht="15.75" customHeight="1">
      <c r="A459" s="42" t="s">
        <v>212</v>
      </c>
      <c r="B459" s="43"/>
      <c r="C459" s="43"/>
      <c r="D459" s="43"/>
      <c r="E459" s="43"/>
      <c r="F459" s="43"/>
      <c r="G459" s="43"/>
      <c r="H459" s="43"/>
      <c r="I459" s="43"/>
      <c r="J459" s="43"/>
      <c r="K459" s="43"/>
      <c r="L459" s="43"/>
      <c r="M459" s="43"/>
      <c r="N459" s="43"/>
      <c r="O459" s="43"/>
      <c r="P459" s="43"/>
      <c r="Q459" s="43"/>
      <c r="R459" s="43"/>
      <c r="S459" s="43"/>
    </row>
    <row r="460" ht="15.75" customHeight="1">
      <c r="A460" s="42" t="s">
        <v>213</v>
      </c>
      <c r="B460" s="43"/>
      <c r="C460" s="43"/>
      <c r="D460" s="43"/>
      <c r="E460" s="43"/>
      <c r="F460" s="43"/>
      <c r="G460" s="43"/>
      <c r="H460" s="43"/>
      <c r="I460" s="43"/>
      <c r="J460" s="43"/>
      <c r="K460" s="43"/>
      <c r="L460" s="43"/>
      <c r="M460" s="43"/>
      <c r="N460" s="43"/>
      <c r="O460" s="43"/>
      <c r="P460" s="43"/>
      <c r="Q460" s="43"/>
      <c r="R460" s="43"/>
      <c r="S460" s="43"/>
    </row>
    <row r="461" ht="15.75" customHeight="1">
      <c r="A461" s="42" t="s">
        <v>214</v>
      </c>
      <c r="B461" s="43"/>
      <c r="C461" s="43"/>
      <c r="D461" s="43"/>
      <c r="E461" s="43"/>
      <c r="F461" s="43"/>
      <c r="G461" s="43"/>
      <c r="H461" s="43"/>
      <c r="I461" s="43"/>
      <c r="J461" s="43"/>
      <c r="K461" s="43"/>
      <c r="L461" s="43"/>
      <c r="M461" s="43"/>
      <c r="N461" s="43"/>
      <c r="O461" s="43"/>
      <c r="P461" s="43"/>
      <c r="Q461" s="43"/>
      <c r="R461" s="43"/>
      <c r="S461" s="43"/>
    </row>
    <row r="462" ht="15.75" customHeight="1">
      <c r="A462" s="42" t="s">
        <v>215</v>
      </c>
      <c r="B462" s="43" t="s">
        <v>216</v>
      </c>
      <c r="C462" s="51" t="s">
        <v>216</v>
      </c>
      <c r="D462" s="43" t="s">
        <v>216</v>
      </c>
      <c r="E462" s="51" t="s">
        <v>216</v>
      </c>
      <c r="F462" s="43"/>
      <c r="G462" s="43"/>
      <c r="H462" s="43" t="s">
        <v>216</v>
      </c>
      <c r="I462" s="51" t="s">
        <v>216</v>
      </c>
      <c r="J462" s="43" t="s">
        <v>216</v>
      </c>
      <c r="K462" s="51" t="s">
        <v>216</v>
      </c>
      <c r="L462" s="43" t="s">
        <v>216</v>
      </c>
      <c r="M462" s="51" t="s">
        <v>216</v>
      </c>
      <c r="N462" s="43" t="s">
        <v>216</v>
      </c>
      <c r="O462" s="51" t="s">
        <v>216</v>
      </c>
      <c r="P462" s="43" t="s">
        <v>216</v>
      </c>
      <c r="Q462" s="51" t="s">
        <v>216</v>
      </c>
      <c r="R462" s="43">
        <f>SUM(P462,N462,L462,J462,H462,D462,B462)</f>
        <v>0</v>
      </c>
      <c r="S462" s="43">
        <f>R462/$R$4</f>
        <v>0</v>
      </c>
    </row>
    <row r="463" ht="15.75" customHeight="1">
      <c r="A463" s="52" t="s">
        <v>217</v>
      </c>
      <c r="B463" s="53">
        <f>B9-B11</f>
        <v>5353218.611</v>
      </c>
      <c r="C463" s="54">
        <v>4179.0</v>
      </c>
      <c r="D463" s="53">
        <f>D9-D11</f>
        <v>1642045.581</v>
      </c>
      <c r="E463" s="54">
        <v>4179.0</v>
      </c>
      <c r="F463" s="53"/>
      <c r="G463" s="53"/>
      <c r="H463" s="53">
        <f>H9-H11</f>
        <v>2357074.494</v>
      </c>
      <c r="I463" s="54">
        <v>4179.0</v>
      </c>
      <c r="J463" s="53">
        <f>J9-J11</f>
        <v>959752.0205</v>
      </c>
      <c r="K463" s="54">
        <v>4179.0</v>
      </c>
      <c r="L463" s="53">
        <f>L9-L11</f>
        <v>2083870.611</v>
      </c>
      <c r="M463" s="54">
        <v>4179.0</v>
      </c>
      <c r="N463" s="53">
        <f>N9-N11</f>
        <v>7564093.544</v>
      </c>
      <c r="O463" s="54">
        <v>4179.0</v>
      </c>
      <c r="P463" s="53">
        <f>P9-P11</f>
        <v>1967896.183</v>
      </c>
      <c r="Q463" s="54">
        <v>4179.0</v>
      </c>
      <c r="R463" s="55">
        <f>SUM(L463,J463,H463,D463,B463)</f>
        <v>12395961.32</v>
      </c>
      <c r="S463" s="56">
        <f>R463/$B$4</f>
        <v>25297.88024</v>
      </c>
    </row>
    <row r="464" ht="15.75" customHeight="1">
      <c r="A464" s="57" t="s">
        <v>218</v>
      </c>
      <c r="B464" s="58">
        <f>B463/B$9</f>
        <v>0.9375163942</v>
      </c>
      <c r="C464" s="59">
        <v>0.0</v>
      </c>
      <c r="D464" s="58">
        <f>D463/D$9</f>
        <v>0.7898247143</v>
      </c>
      <c r="E464" s="59">
        <v>0.0</v>
      </c>
      <c r="F464" s="58"/>
      <c r="G464" s="58"/>
      <c r="H464" s="58">
        <f>H463/H$9</f>
        <v>0.9821143727</v>
      </c>
      <c r="I464" s="59">
        <v>0.0</v>
      </c>
      <c r="J464" s="58">
        <f>J463/J$9</f>
        <v>0.8862958227</v>
      </c>
      <c r="K464" s="59">
        <v>0.0</v>
      </c>
      <c r="L464" s="58">
        <f>L463/L$9</f>
        <v>0.8770499204</v>
      </c>
      <c r="M464" s="59">
        <v>0.0</v>
      </c>
      <c r="N464" s="58">
        <f>N463/N$9</f>
        <v>0.8065269384</v>
      </c>
      <c r="O464" s="59">
        <v>0.0</v>
      </c>
      <c r="P464" s="58">
        <f>P463/P$9</f>
        <v>0.7986591652</v>
      </c>
      <c r="Q464" s="59">
        <v>0.0</v>
      </c>
      <c r="R464" s="58">
        <f>R463/R$9</f>
        <v>0.4862976812</v>
      </c>
      <c r="S464" s="59"/>
    </row>
    <row r="465" ht="15.75" customHeight="1">
      <c r="A465" s="40" t="s">
        <v>219</v>
      </c>
      <c r="B465" s="41"/>
      <c r="C465" s="60"/>
      <c r="D465" s="41"/>
      <c r="E465" s="60"/>
      <c r="F465" s="41"/>
      <c r="G465" s="41"/>
      <c r="H465" s="41"/>
      <c r="I465" s="60"/>
      <c r="J465" s="41"/>
      <c r="K465" s="60"/>
      <c r="L465" s="41"/>
      <c r="M465" s="60"/>
      <c r="N465" s="41"/>
      <c r="O465" s="60"/>
      <c r="P465" s="41"/>
      <c r="Q465" s="60"/>
      <c r="R465" s="55"/>
      <c r="S465" s="56"/>
    </row>
    <row r="466" ht="15.75" customHeight="1">
      <c r="A466" s="61" t="s">
        <v>220</v>
      </c>
      <c r="B466" s="62"/>
      <c r="C466" s="63"/>
      <c r="D466" s="62"/>
      <c r="E466" s="63"/>
      <c r="F466" s="62"/>
      <c r="G466" s="62"/>
      <c r="H466" s="62"/>
      <c r="I466" s="63"/>
      <c r="J466" s="62"/>
      <c r="K466" s="63"/>
      <c r="L466" s="62"/>
      <c r="M466" s="63"/>
      <c r="N466" s="62"/>
      <c r="O466" s="63"/>
      <c r="P466" s="62"/>
      <c r="Q466" s="63"/>
      <c r="R466" s="55"/>
      <c r="S466" s="56"/>
    </row>
    <row r="467" ht="15.75" customHeight="1">
      <c r="A467" s="64" t="s">
        <v>221</v>
      </c>
      <c r="B467" s="65"/>
      <c r="C467" s="66"/>
      <c r="D467" s="65"/>
      <c r="E467" s="66"/>
      <c r="F467" s="65"/>
      <c r="G467" s="65"/>
      <c r="H467" s="65"/>
      <c r="I467" s="66"/>
      <c r="J467" s="65"/>
      <c r="K467" s="66"/>
      <c r="L467" s="65"/>
      <c r="M467" s="66"/>
      <c r="N467" s="65"/>
      <c r="O467" s="66"/>
      <c r="P467" s="65"/>
      <c r="Q467" s="66"/>
      <c r="R467" s="55"/>
      <c r="S467" s="56"/>
    </row>
    <row r="468" ht="15.75" customHeight="1">
      <c r="A468" s="67" t="s">
        <v>222</v>
      </c>
      <c r="B468" s="68"/>
      <c r="C468" s="69"/>
      <c r="D468" s="68"/>
      <c r="E468" s="69"/>
      <c r="F468" s="68"/>
      <c r="G468" s="68"/>
      <c r="H468" s="68"/>
      <c r="I468" s="69"/>
      <c r="J468" s="68"/>
      <c r="K468" s="69"/>
      <c r="L468" s="68"/>
      <c r="M468" s="69"/>
      <c r="N468" s="68"/>
      <c r="O468" s="69"/>
      <c r="P468" s="68"/>
      <c r="Q468" s="69"/>
      <c r="R468" s="55"/>
      <c r="S468" s="56"/>
    </row>
    <row r="469" ht="15.75" customHeight="1">
      <c r="A469" s="67" t="s">
        <v>223</v>
      </c>
      <c r="B469" s="68"/>
      <c r="C469" s="69"/>
      <c r="D469" s="68"/>
      <c r="E469" s="69"/>
      <c r="F469" s="68"/>
      <c r="G469" s="68"/>
      <c r="H469" s="68"/>
      <c r="I469" s="69"/>
      <c r="J469" s="68"/>
      <c r="K469" s="69"/>
      <c r="L469" s="68"/>
      <c r="M469" s="69"/>
      <c r="N469" s="68"/>
      <c r="O469" s="69"/>
      <c r="P469" s="68"/>
      <c r="Q469" s="69"/>
      <c r="R469" s="55"/>
      <c r="S469" s="56"/>
    </row>
    <row r="470" ht="15.75" customHeight="1">
      <c r="A470" s="67" t="s">
        <v>224</v>
      </c>
      <c r="B470" s="68"/>
      <c r="C470" s="69"/>
      <c r="D470" s="68"/>
      <c r="E470" s="69"/>
      <c r="F470" s="68"/>
      <c r="G470" s="68"/>
      <c r="H470" s="68"/>
      <c r="I470" s="69"/>
      <c r="J470" s="68"/>
      <c r="K470" s="69"/>
      <c r="L470" s="68"/>
      <c r="M470" s="69"/>
      <c r="N470" s="68"/>
      <c r="O470" s="69"/>
      <c r="P470" s="68"/>
      <c r="Q470" s="69"/>
      <c r="R470" s="55"/>
      <c r="S470" s="56"/>
    </row>
    <row r="471" ht="15.75" customHeight="1">
      <c r="A471" s="64" t="s">
        <v>225</v>
      </c>
      <c r="B471" s="65"/>
      <c r="C471" s="66"/>
      <c r="D471" s="65"/>
      <c r="E471" s="66"/>
      <c r="F471" s="65"/>
      <c r="G471" s="65"/>
      <c r="H471" s="65"/>
      <c r="I471" s="66"/>
      <c r="J471" s="65"/>
      <c r="K471" s="66"/>
      <c r="L471" s="65"/>
      <c r="M471" s="66"/>
      <c r="N471" s="65"/>
      <c r="O471" s="66"/>
      <c r="P471" s="65"/>
      <c r="Q471" s="66"/>
      <c r="R471" s="55"/>
      <c r="S471" s="56"/>
    </row>
    <row r="472" ht="15.75" customHeight="1">
      <c r="A472" s="67" t="s">
        <v>226</v>
      </c>
      <c r="B472" s="68"/>
      <c r="C472" s="69"/>
      <c r="D472" s="68"/>
      <c r="E472" s="69"/>
      <c r="F472" s="68"/>
      <c r="G472" s="68"/>
      <c r="H472" s="68"/>
      <c r="I472" s="69"/>
      <c r="J472" s="68"/>
      <c r="K472" s="69"/>
      <c r="L472" s="68"/>
      <c r="M472" s="69"/>
      <c r="N472" s="68"/>
      <c r="O472" s="69"/>
      <c r="P472" s="68"/>
      <c r="Q472" s="69"/>
      <c r="R472" s="55"/>
      <c r="S472" s="56"/>
    </row>
    <row r="473" ht="15.75" customHeight="1">
      <c r="A473" s="67" t="s">
        <v>227</v>
      </c>
      <c r="B473" s="68"/>
      <c r="C473" s="69"/>
      <c r="D473" s="68"/>
      <c r="E473" s="69"/>
      <c r="F473" s="68"/>
      <c r="G473" s="68"/>
      <c r="H473" s="68"/>
      <c r="I473" s="69"/>
      <c r="J473" s="68"/>
      <c r="K473" s="69"/>
      <c r="L473" s="68"/>
      <c r="M473" s="69"/>
      <c r="N473" s="68"/>
      <c r="O473" s="69"/>
      <c r="P473" s="68"/>
      <c r="Q473" s="69"/>
      <c r="R473" s="55"/>
      <c r="S473" s="56"/>
    </row>
    <row r="474" ht="15.75" customHeight="1">
      <c r="A474" s="67" t="s">
        <v>228</v>
      </c>
      <c r="B474" s="68"/>
      <c r="C474" s="69"/>
      <c r="D474" s="68"/>
      <c r="E474" s="69"/>
      <c r="F474" s="68"/>
      <c r="G474" s="68"/>
      <c r="H474" s="68"/>
      <c r="I474" s="69"/>
      <c r="J474" s="68"/>
      <c r="K474" s="69"/>
      <c r="L474" s="68"/>
      <c r="M474" s="69"/>
      <c r="N474" s="68"/>
      <c r="O474" s="69"/>
      <c r="P474" s="68"/>
      <c r="Q474" s="69"/>
      <c r="R474" s="55"/>
      <c r="S474" s="56"/>
    </row>
    <row r="475" ht="15.75" customHeight="1">
      <c r="A475" s="67" t="s">
        <v>229</v>
      </c>
      <c r="B475" s="68"/>
      <c r="C475" s="69"/>
      <c r="D475" s="68"/>
      <c r="E475" s="69"/>
      <c r="F475" s="68"/>
      <c r="G475" s="68"/>
      <c r="H475" s="68"/>
      <c r="I475" s="69"/>
      <c r="J475" s="68"/>
      <c r="K475" s="69"/>
      <c r="L475" s="68"/>
      <c r="M475" s="69"/>
      <c r="N475" s="68"/>
      <c r="O475" s="69"/>
      <c r="P475" s="68"/>
      <c r="Q475" s="69"/>
      <c r="R475" s="55"/>
      <c r="S475" s="56"/>
    </row>
    <row r="476" ht="15.75" customHeight="1">
      <c r="A476" s="64" t="s">
        <v>230</v>
      </c>
      <c r="B476" s="65"/>
      <c r="C476" s="66"/>
      <c r="D476" s="65"/>
      <c r="E476" s="66"/>
      <c r="F476" s="65"/>
      <c r="G476" s="65"/>
      <c r="H476" s="65"/>
      <c r="I476" s="66"/>
      <c r="J476" s="65"/>
      <c r="K476" s="66"/>
      <c r="L476" s="65"/>
      <c r="M476" s="66"/>
      <c r="N476" s="65"/>
      <c r="O476" s="66"/>
      <c r="P476" s="65"/>
      <c r="Q476" s="66"/>
      <c r="R476" s="55"/>
      <c r="S476" s="56"/>
    </row>
    <row r="477" ht="15.75" customHeight="1">
      <c r="A477" s="67" t="s">
        <v>231</v>
      </c>
      <c r="B477" s="68"/>
      <c r="C477" s="69"/>
      <c r="D477" s="68"/>
      <c r="E477" s="69"/>
      <c r="F477" s="68"/>
      <c r="G477" s="68"/>
      <c r="H477" s="68"/>
      <c r="I477" s="69"/>
      <c r="J477" s="68"/>
      <c r="K477" s="69"/>
      <c r="L477" s="68"/>
      <c r="M477" s="69"/>
      <c r="N477" s="68"/>
      <c r="O477" s="69"/>
      <c r="P477" s="68"/>
      <c r="Q477" s="69"/>
      <c r="R477" s="55"/>
      <c r="S477" s="56"/>
    </row>
    <row r="478" ht="15.75" customHeight="1">
      <c r="A478" s="67" t="s">
        <v>232</v>
      </c>
      <c r="B478" s="68"/>
      <c r="C478" s="69"/>
      <c r="D478" s="68"/>
      <c r="E478" s="69"/>
      <c r="F478" s="68"/>
      <c r="G478" s="68"/>
      <c r="H478" s="68"/>
      <c r="I478" s="69"/>
      <c r="J478" s="68"/>
      <c r="K478" s="69"/>
      <c r="L478" s="68"/>
      <c r="M478" s="69"/>
      <c r="N478" s="68"/>
      <c r="O478" s="69"/>
      <c r="P478" s="68"/>
      <c r="Q478" s="69"/>
      <c r="R478" s="55"/>
      <c r="S478" s="56"/>
    </row>
    <row r="479" ht="15.75" customHeight="1">
      <c r="A479" s="67" t="s">
        <v>233</v>
      </c>
      <c r="B479" s="68"/>
      <c r="C479" s="69"/>
      <c r="D479" s="68"/>
      <c r="E479" s="69"/>
      <c r="F479" s="68"/>
      <c r="G479" s="68"/>
      <c r="H479" s="68"/>
      <c r="I479" s="69"/>
      <c r="J479" s="68"/>
      <c r="K479" s="69"/>
      <c r="L479" s="68"/>
      <c r="M479" s="69"/>
      <c r="N479" s="68"/>
      <c r="O479" s="69"/>
      <c r="P479" s="68"/>
      <c r="Q479" s="69"/>
      <c r="R479" s="55"/>
      <c r="S479" s="56"/>
    </row>
    <row r="480" ht="15.75" customHeight="1">
      <c r="A480" s="64" t="s">
        <v>234</v>
      </c>
      <c r="B480" s="65"/>
      <c r="C480" s="66"/>
      <c r="D480" s="65"/>
      <c r="E480" s="66"/>
      <c r="F480" s="65"/>
      <c r="G480" s="65"/>
      <c r="H480" s="65"/>
      <c r="I480" s="66"/>
      <c r="J480" s="65"/>
      <c r="K480" s="66"/>
      <c r="L480" s="65"/>
      <c r="M480" s="66"/>
      <c r="N480" s="65"/>
      <c r="O480" s="66"/>
      <c r="P480" s="65"/>
      <c r="Q480" s="66"/>
      <c r="R480" s="55"/>
      <c r="S480" s="56"/>
    </row>
    <row r="481" ht="15.75" customHeight="1">
      <c r="A481" s="67" t="s">
        <v>235</v>
      </c>
      <c r="B481" s="68"/>
      <c r="C481" s="69"/>
      <c r="D481" s="68"/>
      <c r="E481" s="69"/>
      <c r="F481" s="68"/>
      <c r="G481" s="68"/>
      <c r="H481" s="68"/>
      <c r="I481" s="69"/>
      <c r="J481" s="68"/>
      <c r="K481" s="69"/>
      <c r="L481" s="68"/>
      <c r="M481" s="69"/>
      <c r="N481" s="68"/>
      <c r="O481" s="69"/>
      <c r="P481" s="68"/>
      <c r="Q481" s="69"/>
      <c r="R481" s="55"/>
      <c r="S481" s="56"/>
    </row>
    <row r="482" ht="15.75" customHeight="1">
      <c r="A482" s="67" t="s">
        <v>236</v>
      </c>
      <c r="B482" s="68"/>
      <c r="C482" s="69"/>
      <c r="D482" s="68"/>
      <c r="E482" s="69"/>
      <c r="F482" s="68"/>
      <c r="G482" s="68"/>
      <c r="H482" s="68"/>
      <c r="I482" s="69"/>
      <c r="J482" s="68"/>
      <c r="K482" s="69"/>
      <c r="L482" s="68"/>
      <c r="M482" s="69"/>
      <c r="N482" s="68"/>
      <c r="O482" s="69"/>
      <c r="P482" s="68"/>
      <c r="Q482" s="69"/>
      <c r="R482" s="55"/>
      <c r="S482" s="56"/>
    </row>
    <row r="483" ht="15.75" customHeight="1">
      <c r="A483" s="64" t="s">
        <v>237</v>
      </c>
      <c r="B483" s="65"/>
      <c r="C483" s="66"/>
      <c r="D483" s="65"/>
      <c r="E483" s="66"/>
      <c r="F483" s="65"/>
      <c r="G483" s="65"/>
      <c r="H483" s="65"/>
      <c r="I483" s="66"/>
      <c r="J483" s="65"/>
      <c r="K483" s="66"/>
      <c r="L483" s="65"/>
      <c r="M483" s="66"/>
      <c r="N483" s="65"/>
      <c r="O483" s="66"/>
      <c r="P483" s="65"/>
      <c r="Q483" s="66"/>
      <c r="R483" s="55"/>
      <c r="S483" s="56"/>
    </row>
    <row r="484" ht="15.75" customHeight="1">
      <c r="A484" s="67" t="s">
        <v>238</v>
      </c>
      <c r="B484" s="68"/>
      <c r="C484" s="69"/>
      <c r="D484" s="68"/>
      <c r="E484" s="69"/>
      <c r="F484" s="68"/>
      <c r="G484" s="68"/>
      <c r="H484" s="68"/>
      <c r="I484" s="69"/>
      <c r="J484" s="68"/>
      <c r="K484" s="69"/>
      <c r="L484" s="68"/>
      <c r="M484" s="69"/>
      <c r="N484" s="68"/>
      <c r="O484" s="69"/>
      <c r="P484" s="68"/>
      <c r="Q484" s="69"/>
      <c r="R484" s="55"/>
      <c r="S484" s="56"/>
    </row>
    <row r="485" ht="15.75" customHeight="1">
      <c r="A485" s="67" t="s">
        <v>239</v>
      </c>
      <c r="B485" s="68"/>
      <c r="C485" s="69"/>
      <c r="D485" s="68"/>
      <c r="E485" s="69"/>
      <c r="F485" s="68"/>
      <c r="G485" s="68"/>
      <c r="H485" s="68"/>
      <c r="I485" s="69"/>
      <c r="J485" s="68"/>
      <c r="K485" s="69"/>
      <c r="L485" s="68"/>
      <c r="M485" s="69"/>
      <c r="N485" s="68"/>
      <c r="O485" s="69"/>
      <c r="P485" s="68"/>
      <c r="Q485" s="69"/>
      <c r="R485" s="55"/>
      <c r="S485" s="56"/>
    </row>
    <row r="486" ht="15.75" customHeight="1">
      <c r="A486" s="64" t="s">
        <v>240</v>
      </c>
      <c r="B486" s="65"/>
      <c r="C486" s="66"/>
      <c r="D486" s="65"/>
      <c r="E486" s="66"/>
      <c r="F486" s="65"/>
      <c r="G486" s="65"/>
      <c r="H486" s="65"/>
      <c r="I486" s="66"/>
      <c r="J486" s="65"/>
      <c r="K486" s="66"/>
      <c r="L486" s="65"/>
      <c r="M486" s="66"/>
      <c r="N486" s="65"/>
      <c r="O486" s="66"/>
      <c r="P486" s="65"/>
      <c r="Q486" s="66"/>
      <c r="R486" s="55"/>
      <c r="S486" s="56"/>
    </row>
    <row r="487" ht="15.75" customHeight="1">
      <c r="A487" s="64" t="s">
        <v>241</v>
      </c>
      <c r="B487" s="65"/>
      <c r="C487" s="66"/>
      <c r="D487" s="65"/>
      <c r="E487" s="66"/>
      <c r="F487" s="65"/>
      <c r="G487" s="65"/>
      <c r="H487" s="65"/>
      <c r="I487" s="66"/>
      <c r="J487" s="65"/>
      <c r="K487" s="66"/>
      <c r="L487" s="65"/>
      <c r="M487" s="66"/>
      <c r="N487" s="65"/>
      <c r="O487" s="66"/>
      <c r="P487" s="65"/>
      <c r="Q487" s="66"/>
      <c r="R487" s="55"/>
      <c r="S487" s="56"/>
    </row>
    <row r="488" ht="15.75" customHeight="1">
      <c r="A488" s="67" t="s">
        <v>242</v>
      </c>
      <c r="B488" s="68"/>
      <c r="C488" s="69"/>
      <c r="D488" s="68"/>
      <c r="E488" s="69"/>
      <c r="F488" s="68"/>
      <c r="G488" s="68"/>
      <c r="H488" s="68"/>
      <c r="I488" s="69"/>
      <c r="J488" s="68"/>
      <c r="K488" s="69"/>
      <c r="L488" s="68"/>
      <c r="M488" s="69"/>
      <c r="N488" s="68"/>
      <c r="O488" s="69"/>
      <c r="P488" s="68"/>
      <c r="Q488" s="69"/>
      <c r="R488" s="55"/>
      <c r="S488" s="56"/>
    </row>
    <row r="489" ht="15.75" customHeight="1">
      <c r="A489" s="67" t="s">
        <v>243</v>
      </c>
      <c r="B489" s="68"/>
      <c r="C489" s="69"/>
      <c r="D489" s="68"/>
      <c r="E489" s="69"/>
      <c r="F489" s="68"/>
      <c r="G489" s="68"/>
      <c r="H489" s="68"/>
      <c r="I489" s="69"/>
      <c r="J489" s="68"/>
      <c r="K489" s="69"/>
      <c r="L489" s="68"/>
      <c r="M489" s="69"/>
      <c r="N489" s="68"/>
      <c r="O489" s="69"/>
      <c r="P489" s="68"/>
      <c r="Q489" s="69"/>
      <c r="R489" s="55"/>
      <c r="S489" s="56"/>
    </row>
    <row r="490" ht="15.75" customHeight="1">
      <c r="A490" s="67" t="s">
        <v>244</v>
      </c>
      <c r="B490" s="68"/>
      <c r="C490" s="69"/>
      <c r="D490" s="68"/>
      <c r="E490" s="69"/>
      <c r="F490" s="68"/>
      <c r="G490" s="68"/>
      <c r="H490" s="68"/>
      <c r="I490" s="69"/>
      <c r="J490" s="68"/>
      <c r="K490" s="69"/>
      <c r="L490" s="68"/>
      <c r="M490" s="69"/>
      <c r="N490" s="68"/>
      <c r="O490" s="69"/>
      <c r="P490" s="68"/>
      <c r="Q490" s="69"/>
      <c r="R490" s="55"/>
      <c r="S490" s="56"/>
    </row>
    <row r="491" ht="15.75" customHeight="1">
      <c r="A491" s="67" t="s">
        <v>245</v>
      </c>
      <c r="B491" s="68"/>
      <c r="C491" s="69"/>
      <c r="D491" s="68"/>
      <c r="E491" s="69"/>
      <c r="F491" s="68"/>
      <c r="G491" s="68"/>
      <c r="H491" s="68"/>
      <c r="I491" s="69"/>
      <c r="J491" s="68"/>
      <c r="K491" s="69"/>
      <c r="L491" s="68"/>
      <c r="M491" s="69"/>
      <c r="N491" s="68"/>
      <c r="O491" s="69"/>
      <c r="P491" s="68"/>
      <c r="Q491" s="69"/>
      <c r="R491" s="55"/>
      <c r="S491" s="56"/>
    </row>
    <row r="492" ht="15.75" customHeight="1">
      <c r="A492" s="67" t="s">
        <v>246</v>
      </c>
      <c r="B492" s="68"/>
      <c r="C492" s="69"/>
      <c r="D492" s="68"/>
      <c r="E492" s="69"/>
      <c r="F492" s="68"/>
      <c r="G492" s="68"/>
      <c r="H492" s="68"/>
      <c r="I492" s="69"/>
      <c r="J492" s="68"/>
      <c r="K492" s="69"/>
      <c r="L492" s="68"/>
      <c r="M492" s="69"/>
      <c r="N492" s="68"/>
      <c r="O492" s="69"/>
      <c r="P492" s="68"/>
      <c r="Q492" s="69"/>
      <c r="R492" s="55"/>
      <c r="S492" s="56"/>
    </row>
    <row r="493" ht="15.75" customHeight="1">
      <c r="A493" s="67" t="s">
        <v>247</v>
      </c>
      <c r="B493" s="68"/>
      <c r="C493" s="69"/>
      <c r="D493" s="68"/>
      <c r="E493" s="69"/>
      <c r="F493" s="68"/>
      <c r="G493" s="68"/>
      <c r="H493" s="68"/>
      <c r="I493" s="69"/>
      <c r="J493" s="68"/>
      <c r="K493" s="69"/>
      <c r="L493" s="68"/>
      <c r="M493" s="69"/>
      <c r="N493" s="68"/>
      <c r="O493" s="69"/>
      <c r="P493" s="68"/>
      <c r="Q493" s="69"/>
      <c r="R493" s="55"/>
      <c r="S493" s="56"/>
    </row>
    <row r="494" ht="15.75" customHeight="1">
      <c r="A494" s="67" t="s">
        <v>248</v>
      </c>
      <c r="B494" s="68"/>
      <c r="C494" s="69"/>
      <c r="D494" s="68"/>
      <c r="E494" s="69"/>
      <c r="F494" s="68"/>
      <c r="G494" s="68"/>
      <c r="H494" s="68"/>
      <c r="I494" s="69"/>
      <c r="J494" s="68"/>
      <c r="K494" s="69"/>
      <c r="L494" s="68"/>
      <c r="M494" s="69"/>
      <c r="N494" s="68"/>
      <c r="O494" s="69"/>
      <c r="P494" s="68"/>
      <c r="Q494" s="69"/>
      <c r="R494" s="55"/>
      <c r="S494" s="56"/>
    </row>
    <row r="495" ht="15.75" customHeight="1">
      <c r="A495" s="67" t="s">
        <v>249</v>
      </c>
      <c r="B495" s="68"/>
      <c r="C495" s="69"/>
      <c r="D495" s="68"/>
      <c r="E495" s="69"/>
      <c r="F495" s="68"/>
      <c r="G495" s="68"/>
      <c r="H495" s="68"/>
      <c r="I495" s="69"/>
      <c r="J495" s="68"/>
      <c r="K495" s="69"/>
      <c r="L495" s="68"/>
      <c r="M495" s="69"/>
      <c r="N495" s="68"/>
      <c r="O495" s="69"/>
      <c r="P495" s="68"/>
      <c r="Q495" s="69"/>
      <c r="R495" s="55"/>
      <c r="S495" s="56"/>
    </row>
    <row r="496" ht="15.75" customHeight="1">
      <c r="A496" s="67" t="s">
        <v>250</v>
      </c>
      <c r="B496" s="68"/>
      <c r="C496" s="69"/>
      <c r="D496" s="68"/>
      <c r="E496" s="69"/>
      <c r="F496" s="68"/>
      <c r="G496" s="68"/>
      <c r="H496" s="68"/>
      <c r="I496" s="69"/>
      <c r="J496" s="68"/>
      <c r="K496" s="69"/>
      <c r="L496" s="68"/>
      <c r="M496" s="69"/>
      <c r="N496" s="68"/>
      <c r="O496" s="69"/>
      <c r="P496" s="68"/>
      <c r="Q496" s="69"/>
      <c r="R496" s="55"/>
      <c r="S496" s="56"/>
    </row>
    <row r="497" ht="15.75" customHeight="1">
      <c r="A497" s="67" t="s">
        <v>251</v>
      </c>
      <c r="B497" s="68"/>
      <c r="C497" s="69"/>
      <c r="D497" s="68"/>
      <c r="E497" s="69"/>
      <c r="F497" s="68"/>
      <c r="G497" s="68"/>
      <c r="H497" s="68"/>
      <c r="I497" s="69"/>
      <c r="J497" s="68"/>
      <c r="K497" s="69"/>
      <c r="L497" s="68"/>
      <c r="M497" s="69"/>
      <c r="N497" s="68"/>
      <c r="O497" s="69"/>
      <c r="P497" s="68"/>
      <c r="Q497" s="69"/>
      <c r="R497" s="55"/>
      <c r="S497" s="56"/>
    </row>
    <row r="498" ht="15.75" customHeight="1">
      <c r="A498" s="67" t="s">
        <v>252</v>
      </c>
      <c r="B498" s="68"/>
      <c r="C498" s="69"/>
      <c r="D498" s="68"/>
      <c r="E498" s="69"/>
      <c r="F498" s="68"/>
      <c r="G498" s="68"/>
      <c r="H498" s="68"/>
      <c r="I498" s="69"/>
      <c r="J498" s="68"/>
      <c r="K498" s="69"/>
      <c r="L498" s="68"/>
      <c r="M498" s="69"/>
      <c r="N498" s="68"/>
      <c r="O498" s="69"/>
      <c r="P498" s="68"/>
      <c r="Q498" s="69"/>
      <c r="R498" s="55"/>
      <c r="S498" s="56"/>
    </row>
    <row r="499" ht="15.75" customHeight="1">
      <c r="A499" s="67" t="s">
        <v>253</v>
      </c>
      <c r="B499" s="68"/>
      <c r="C499" s="69"/>
      <c r="D499" s="68"/>
      <c r="E499" s="69"/>
      <c r="F499" s="68"/>
      <c r="G499" s="68"/>
      <c r="H499" s="68"/>
      <c r="I499" s="69"/>
      <c r="J499" s="68"/>
      <c r="K499" s="69"/>
      <c r="L499" s="68"/>
      <c r="M499" s="69"/>
      <c r="N499" s="68"/>
      <c r="O499" s="69"/>
      <c r="P499" s="68"/>
      <c r="Q499" s="69"/>
      <c r="R499" s="55"/>
      <c r="S499" s="56"/>
    </row>
    <row r="500" ht="15.75" customHeight="1">
      <c r="A500" s="67" t="s">
        <v>254</v>
      </c>
      <c r="B500" s="68"/>
      <c r="C500" s="69"/>
      <c r="D500" s="68"/>
      <c r="E500" s="69"/>
      <c r="F500" s="68"/>
      <c r="G500" s="68"/>
      <c r="H500" s="68"/>
      <c r="I500" s="69"/>
      <c r="J500" s="68"/>
      <c r="K500" s="69"/>
      <c r="L500" s="68"/>
      <c r="M500" s="69"/>
      <c r="N500" s="68"/>
      <c r="O500" s="69"/>
      <c r="P500" s="68"/>
      <c r="Q500" s="69"/>
      <c r="R500" s="55"/>
      <c r="S500" s="56"/>
    </row>
    <row r="501" ht="15.75" customHeight="1">
      <c r="A501" s="67" t="s">
        <v>255</v>
      </c>
      <c r="B501" s="68"/>
      <c r="C501" s="69"/>
      <c r="D501" s="68"/>
      <c r="E501" s="69"/>
      <c r="F501" s="68"/>
      <c r="G501" s="68"/>
      <c r="H501" s="68"/>
      <c r="I501" s="69"/>
      <c r="J501" s="68"/>
      <c r="K501" s="69"/>
      <c r="L501" s="68"/>
      <c r="M501" s="69"/>
      <c r="N501" s="68"/>
      <c r="O501" s="69"/>
      <c r="P501" s="68"/>
      <c r="Q501" s="69"/>
      <c r="R501" s="55"/>
      <c r="S501" s="56"/>
    </row>
    <row r="502" ht="15.75" customHeight="1">
      <c r="A502" s="67" t="s">
        <v>256</v>
      </c>
      <c r="B502" s="68"/>
      <c r="C502" s="69"/>
      <c r="D502" s="68"/>
      <c r="E502" s="69"/>
      <c r="F502" s="68"/>
      <c r="G502" s="68"/>
      <c r="H502" s="68"/>
      <c r="I502" s="69"/>
      <c r="J502" s="68"/>
      <c r="K502" s="69"/>
      <c r="L502" s="68"/>
      <c r="M502" s="69"/>
      <c r="N502" s="68"/>
      <c r="O502" s="69"/>
      <c r="P502" s="68"/>
      <c r="Q502" s="69"/>
      <c r="R502" s="55"/>
      <c r="S502" s="56"/>
    </row>
    <row r="503" ht="15.75" customHeight="1">
      <c r="A503" s="67" t="s">
        <v>257</v>
      </c>
      <c r="B503" s="68"/>
      <c r="C503" s="69"/>
      <c r="D503" s="68"/>
      <c r="E503" s="69"/>
      <c r="F503" s="68"/>
      <c r="G503" s="68"/>
      <c r="H503" s="68"/>
      <c r="I503" s="69"/>
      <c r="J503" s="68"/>
      <c r="K503" s="69"/>
      <c r="L503" s="68"/>
      <c r="M503" s="69"/>
      <c r="N503" s="68"/>
      <c r="O503" s="69"/>
      <c r="P503" s="68"/>
      <c r="Q503" s="69"/>
      <c r="R503" s="55"/>
      <c r="S503" s="56"/>
    </row>
    <row r="504" ht="15.75" customHeight="1">
      <c r="A504" s="67" t="s">
        <v>258</v>
      </c>
      <c r="B504" s="68"/>
      <c r="C504" s="69"/>
      <c r="D504" s="68"/>
      <c r="E504" s="69"/>
      <c r="F504" s="68"/>
      <c r="G504" s="68"/>
      <c r="H504" s="68"/>
      <c r="I504" s="69"/>
      <c r="J504" s="68"/>
      <c r="K504" s="69"/>
      <c r="L504" s="68"/>
      <c r="M504" s="69"/>
      <c r="N504" s="68"/>
      <c r="O504" s="69"/>
      <c r="P504" s="68"/>
      <c r="Q504" s="69"/>
      <c r="R504" s="55"/>
      <c r="S504" s="56"/>
    </row>
    <row r="505" ht="15.75" customHeight="1">
      <c r="A505" s="67" t="s">
        <v>259</v>
      </c>
      <c r="B505" s="68"/>
      <c r="C505" s="69"/>
      <c r="D505" s="68"/>
      <c r="E505" s="69"/>
      <c r="F505" s="68"/>
      <c r="G505" s="68"/>
      <c r="H505" s="68"/>
      <c r="I505" s="69"/>
      <c r="J505" s="68"/>
      <c r="K505" s="69"/>
      <c r="L505" s="68"/>
      <c r="M505" s="69"/>
      <c r="N505" s="68"/>
      <c r="O505" s="69"/>
      <c r="P505" s="68"/>
      <c r="Q505" s="69"/>
      <c r="R505" s="55"/>
      <c r="S505" s="56"/>
    </row>
    <row r="506" ht="15.75" customHeight="1">
      <c r="A506" s="67" t="s">
        <v>260</v>
      </c>
      <c r="B506" s="68"/>
      <c r="C506" s="69"/>
      <c r="D506" s="68"/>
      <c r="E506" s="69"/>
      <c r="F506" s="68"/>
      <c r="G506" s="68"/>
      <c r="H506" s="68"/>
      <c r="I506" s="69"/>
      <c r="J506" s="68"/>
      <c r="K506" s="69"/>
      <c r="L506" s="68"/>
      <c r="M506" s="69"/>
      <c r="N506" s="68"/>
      <c r="O506" s="69"/>
      <c r="P506" s="68"/>
      <c r="Q506" s="69"/>
      <c r="R506" s="55"/>
      <c r="S506" s="56"/>
    </row>
    <row r="507" ht="15.75" customHeight="1">
      <c r="A507" s="67" t="s">
        <v>261</v>
      </c>
      <c r="B507" s="68"/>
      <c r="C507" s="69"/>
      <c r="D507" s="68"/>
      <c r="E507" s="69"/>
      <c r="F507" s="68"/>
      <c r="G507" s="68"/>
      <c r="H507" s="68"/>
      <c r="I507" s="69"/>
      <c r="J507" s="68"/>
      <c r="K507" s="69"/>
      <c r="L507" s="68"/>
      <c r="M507" s="69"/>
      <c r="N507" s="68"/>
      <c r="O507" s="69"/>
      <c r="P507" s="68"/>
      <c r="Q507" s="69"/>
      <c r="R507" s="55"/>
      <c r="S507" s="56"/>
    </row>
    <row r="508" ht="15.75" customHeight="1">
      <c r="A508" s="67" t="s">
        <v>262</v>
      </c>
      <c r="B508" s="68"/>
      <c r="C508" s="69"/>
      <c r="D508" s="68"/>
      <c r="E508" s="69"/>
      <c r="F508" s="68"/>
      <c r="G508" s="68"/>
      <c r="H508" s="68"/>
      <c r="I508" s="69"/>
      <c r="J508" s="68"/>
      <c r="K508" s="69"/>
      <c r="L508" s="68"/>
      <c r="M508" s="69"/>
      <c r="N508" s="68"/>
      <c r="O508" s="69"/>
      <c r="P508" s="68"/>
      <c r="Q508" s="69"/>
      <c r="R508" s="55"/>
      <c r="S508" s="56"/>
    </row>
    <row r="509" ht="15.75" customHeight="1">
      <c r="A509" s="67" t="s">
        <v>263</v>
      </c>
      <c r="B509" s="68"/>
      <c r="C509" s="69"/>
      <c r="D509" s="68"/>
      <c r="E509" s="69"/>
      <c r="F509" s="68"/>
      <c r="G509" s="68"/>
      <c r="H509" s="68"/>
      <c r="I509" s="69"/>
      <c r="J509" s="68"/>
      <c r="K509" s="69"/>
      <c r="L509" s="68"/>
      <c r="M509" s="69"/>
      <c r="N509" s="68"/>
      <c r="O509" s="69"/>
      <c r="P509" s="68"/>
      <c r="Q509" s="69"/>
      <c r="R509" s="55"/>
      <c r="S509" s="56"/>
    </row>
    <row r="510" ht="15.75" customHeight="1">
      <c r="A510" s="67" t="s">
        <v>264</v>
      </c>
      <c r="B510" s="68"/>
      <c r="C510" s="69"/>
      <c r="D510" s="68"/>
      <c r="E510" s="69"/>
      <c r="F510" s="68"/>
      <c r="G510" s="68"/>
      <c r="H510" s="68"/>
      <c r="I510" s="69"/>
      <c r="J510" s="68"/>
      <c r="K510" s="69"/>
      <c r="L510" s="68"/>
      <c r="M510" s="69"/>
      <c r="N510" s="68"/>
      <c r="O510" s="69"/>
      <c r="P510" s="68"/>
      <c r="Q510" s="69"/>
      <c r="R510" s="55"/>
      <c r="S510" s="56"/>
    </row>
    <row r="511" ht="15.75" customHeight="1">
      <c r="A511" s="67" t="s">
        <v>265</v>
      </c>
      <c r="B511" s="68"/>
      <c r="C511" s="69"/>
      <c r="D511" s="68"/>
      <c r="E511" s="69"/>
      <c r="F511" s="68"/>
      <c r="G511" s="68"/>
      <c r="H511" s="68"/>
      <c r="I511" s="69"/>
      <c r="J511" s="68"/>
      <c r="K511" s="69"/>
      <c r="L511" s="68"/>
      <c r="M511" s="69"/>
      <c r="N511" s="68"/>
      <c r="O511" s="69"/>
      <c r="P511" s="68"/>
      <c r="Q511" s="69"/>
      <c r="R511" s="55"/>
      <c r="S511" s="56"/>
    </row>
    <row r="512" ht="15.75" customHeight="1">
      <c r="A512" s="67" t="s">
        <v>266</v>
      </c>
      <c r="B512" s="68"/>
      <c r="C512" s="69"/>
      <c r="D512" s="68"/>
      <c r="E512" s="69"/>
      <c r="F512" s="68"/>
      <c r="G512" s="68"/>
      <c r="H512" s="68"/>
      <c r="I512" s="69"/>
      <c r="J512" s="68"/>
      <c r="K512" s="69"/>
      <c r="L512" s="68"/>
      <c r="M512" s="69"/>
      <c r="N512" s="68"/>
      <c r="O512" s="69"/>
      <c r="P512" s="68"/>
      <c r="Q512" s="69"/>
      <c r="R512" s="55"/>
      <c r="S512" s="56"/>
    </row>
    <row r="513" ht="15.75" customHeight="1">
      <c r="A513" s="67" t="s">
        <v>267</v>
      </c>
      <c r="B513" s="68"/>
      <c r="C513" s="69"/>
      <c r="D513" s="68"/>
      <c r="E513" s="69"/>
      <c r="F513" s="68"/>
      <c r="G513" s="68"/>
      <c r="H513" s="68"/>
      <c r="I513" s="69"/>
      <c r="J513" s="68"/>
      <c r="K513" s="69"/>
      <c r="L513" s="68"/>
      <c r="M513" s="69"/>
      <c r="N513" s="68"/>
      <c r="O513" s="69"/>
      <c r="P513" s="68"/>
      <c r="Q513" s="69"/>
      <c r="R513" s="55"/>
      <c r="S513" s="56"/>
    </row>
    <row r="514" ht="15.75" customHeight="1">
      <c r="A514" s="67" t="s">
        <v>268</v>
      </c>
      <c r="B514" s="68"/>
      <c r="C514" s="69"/>
      <c r="D514" s="68"/>
      <c r="E514" s="69"/>
      <c r="F514" s="68"/>
      <c r="G514" s="68"/>
      <c r="H514" s="68"/>
      <c r="I514" s="69"/>
      <c r="J514" s="68"/>
      <c r="K514" s="69"/>
      <c r="L514" s="68"/>
      <c r="M514" s="69"/>
      <c r="N514" s="68"/>
      <c r="O514" s="69"/>
      <c r="P514" s="68"/>
      <c r="Q514" s="69"/>
      <c r="R514" s="55"/>
      <c r="S514" s="56"/>
    </row>
    <row r="515" ht="15.75" customHeight="1">
      <c r="A515" s="64" t="s">
        <v>269</v>
      </c>
      <c r="B515" s="65"/>
      <c r="C515" s="66"/>
      <c r="D515" s="65"/>
      <c r="E515" s="66"/>
      <c r="F515" s="65"/>
      <c r="G515" s="65"/>
      <c r="H515" s="65"/>
      <c r="I515" s="66"/>
      <c r="J515" s="65"/>
      <c r="K515" s="66"/>
      <c r="L515" s="65"/>
      <c r="M515" s="66"/>
      <c r="N515" s="65"/>
      <c r="O515" s="66"/>
      <c r="P515" s="65"/>
      <c r="Q515" s="66"/>
      <c r="R515" s="55"/>
      <c r="S515" s="56"/>
    </row>
    <row r="516" ht="15.75" customHeight="1">
      <c r="A516" s="67" t="s">
        <v>270</v>
      </c>
      <c r="B516" s="68"/>
      <c r="C516" s="69"/>
      <c r="D516" s="68"/>
      <c r="E516" s="69"/>
      <c r="F516" s="68"/>
      <c r="G516" s="68"/>
      <c r="H516" s="68"/>
      <c r="I516" s="69"/>
      <c r="J516" s="68"/>
      <c r="K516" s="69"/>
      <c r="L516" s="68"/>
      <c r="M516" s="69"/>
      <c r="N516" s="68"/>
      <c r="O516" s="69"/>
      <c r="P516" s="68"/>
      <c r="Q516" s="69"/>
      <c r="R516" s="55"/>
      <c r="S516" s="56"/>
    </row>
    <row r="517" ht="15.75" customHeight="1">
      <c r="A517" s="67" t="s">
        <v>271</v>
      </c>
      <c r="B517" s="68"/>
      <c r="C517" s="69"/>
      <c r="D517" s="68"/>
      <c r="E517" s="69"/>
      <c r="F517" s="68"/>
      <c r="G517" s="68"/>
      <c r="H517" s="68"/>
      <c r="I517" s="69"/>
      <c r="J517" s="68"/>
      <c r="K517" s="69"/>
      <c r="L517" s="68"/>
      <c r="M517" s="69"/>
      <c r="N517" s="68"/>
      <c r="O517" s="69"/>
      <c r="P517" s="68"/>
      <c r="Q517" s="69"/>
      <c r="R517" s="55"/>
      <c r="S517" s="56"/>
    </row>
    <row r="518" ht="15.75" customHeight="1">
      <c r="A518" s="67" t="s">
        <v>272</v>
      </c>
      <c r="B518" s="68"/>
      <c r="C518" s="69"/>
      <c r="D518" s="68"/>
      <c r="E518" s="69"/>
      <c r="F518" s="68"/>
      <c r="G518" s="68"/>
      <c r="H518" s="68"/>
      <c r="I518" s="69"/>
      <c r="J518" s="68"/>
      <c r="K518" s="69"/>
      <c r="L518" s="68"/>
      <c r="M518" s="69"/>
      <c r="N518" s="68"/>
      <c r="O518" s="69"/>
      <c r="P518" s="68"/>
      <c r="Q518" s="69"/>
      <c r="R518" s="55"/>
      <c r="S518" s="56"/>
    </row>
    <row r="519" ht="15.75" customHeight="1">
      <c r="A519" s="67" t="s">
        <v>273</v>
      </c>
      <c r="B519" s="68"/>
      <c r="C519" s="69"/>
      <c r="D519" s="68"/>
      <c r="E519" s="69"/>
      <c r="F519" s="68"/>
      <c r="G519" s="68"/>
      <c r="H519" s="68"/>
      <c r="I519" s="69"/>
      <c r="J519" s="68"/>
      <c r="K519" s="69"/>
      <c r="L519" s="68"/>
      <c r="M519" s="69"/>
      <c r="N519" s="68"/>
      <c r="O519" s="69"/>
      <c r="P519" s="68"/>
      <c r="Q519" s="69"/>
      <c r="R519" s="55"/>
      <c r="S519" s="56"/>
    </row>
    <row r="520" ht="15.75" customHeight="1">
      <c r="A520" s="67" t="s">
        <v>274</v>
      </c>
      <c r="B520" s="68"/>
      <c r="C520" s="69"/>
      <c r="D520" s="68"/>
      <c r="E520" s="69"/>
      <c r="F520" s="68"/>
      <c r="G520" s="68"/>
      <c r="H520" s="68"/>
      <c r="I520" s="69"/>
      <c r="J520" s="68"/>
      <c r="K520" s="69"/>
      <c r="L520" s="68"/>
      <c r="M520" s="69"/>
      <c r="N520" s="68"/>
      <c r="O520" s="69"/>
      <c r="P520" s="68"/>
      <c r="Q520" s="69"/>
      <c r="R520" s="55"/>
      <c r="S520" s="56"/>
    </row>
    <row r="521" ht="15.75" customHeight="1">
      <c r="A521" s="67" t="s">
        <v>275</v>
      </c>
      <c r="B521" s="68"/>
      <c r="C521" s="69"/>
      <c r="D521" s="68"/>
      <c r="E521" s="69"/>
      <c r="F521" s="68"/>
      <c r="G521" s="68"/>
      <c r="H521" s="68"/>
      <c r="I521" s="69"/>
      <c r="J521" s="68"/>
      <c r="K521" s="69"/>
      <c r="L521" s="68"/>
      <c r="M521" s="69"/>
      <c r="N521" s="68"/>
      <c r="O521" s="69"/>
      <c r="P521" s="68"/>
      <c r="Q521" s="69"/>
      <c r="R521" s="55"/>
      <c r="S521" s="56"/>
    </row>
    <row r="522" ht="15.75" customHeight="1">
      <c r="A522" s="67" t="s">
        <v>276</v>
      </c>
      <c r="B522" s="68"/>
      <c r="C522" s="69"/>
      <c r="D522" s="68"/>
      <c r="E522" s="69"/>
      <c r="F522" s="68"/>
      <c r="G522" s="68"/>
      <c r="H522" s="68"/>
      <c r="I522" s="69"/>
      <c r="J522" s="68"/>
      <c r="K522" s="69"/>
      <c r="L522" s="68"/>
      <c r="M522" s="69"/>
      <c r="N522" s="68"/>
      <c r="O522" s="69"/>
      <c r="P522" s="68"/>
      <c r="Q522" s="69"/>
      <c r="R522" s="55"/>
      <c r="S522" s="56"/>
    </row>
    <row r="523" ht="15.75" customHeight="1">
      <c r="A523" s="67" t="s">
        <v>277</v>
      </c>
      <c r="B523" s="68"/>
      <c r="C523" s="69"/>
      <c r="D523" s="68"/>
      <c r="E523" s="69"/>
      <c r="F523" s="68"/>
      <c r="G523" s="68"/>
      <c r="H523" s="68"/>
      <c r="I523" s="69"/>
      <c r="J523" s="68"/>
      <c r="K523" s="69"/>
      <c r="L523" s="68"/>
      <c r="M523" s="69"/>
      <c r="N523" s="68"/>
      <c r="O523" s="69"/>
      <c r="P523" s="68"/>
      <c r="Q523" s="69"/>
      <c r="R523" s="55"/>
      <c r="S523" s="56"/>
    </row>
    <row r="524" ht="15.75" customHeight="1">
      <c r="A524" s="67" t="s">
        <v>278</v>
      </c>
      <c r="B524" s="68"/>
      <c r="C524" s="69"/>
      <c r="D524" s="68"/>
      <c r="E524" s="69"/>
      <c r="F524" s="68"/>
      <c r="G524" s="68"/>
      <c r="H524" s="68"/>
      <c r="I524" s="69"/>
      <c r="J524" s="68"/>
      <c r="K524" s="69"/>
      <c r="L524" s="68"/>
      <c r="M524" s="69"/>
      <c r="N524" s="68"/>
      <c r="O524" s="69"/>
      <c r="P524" s="68"/>
      <c r="Q524" s="69"/>
      <c r="R524" s="55"/>
      <c r="S524" s="56"/>
    </row>
    <row r="525" ht="15.75" customHeight="1">
      <c r="A525" s="67" t="s">
        <v>279</v>
      </c>
      <c r="B525" s="68"/>
      <c r="C525" s="69"/>
      <c r="D525" s="68"/>
      <c r="E525" s="69"/>
      <c r="F525" s="68"/>
      <c r="G525" s="68"/>
      <c r="H525" s="68"/>
      <c r="I525" s="69"/>
      <c r="J525" s="68"/>
      <c r="K525" s="69"/>
      <c r="L525" s="68"/>
      <c r="M525" s="69"/>
      <c r="N525" s="68"/>
      <c r="O525" s="69"/>
      <c r="P525" s="68"/>
      <c r="Q525" s="69"/>
      <c r="R525" s="55"/>
      <c r="S525" s="56"/>
    </row>
    <row r="526" ht="15.75" customHeight="1">
      <c r="A526" s="67" t="s">
        <v>280</v>
      </c>
      <c r="B526" s="68"/>
      <c r="C526" s="69"/>
      <c r="D526" s="68"/>
      <c r="E526" s="69"/>
      <c r="F526" s="68"/>
      <c r="G526" s="68"/>
      <c r="H526" s="68"/>
      <c r="I526" s="69"/>
      <c r="J526" s="68"/>
      <c r="K526" s="69"/>
      <c r="L526" s="68"/>
      <c r="M526" s="69"/>
      <c r="N526" s="68"/>
      <c r="O526" s="69"/>
      <c r="P526" s="68"/>
      <c r="Q526" s="69"/>
      <c r="R526" s="55"/>
      <c r="S526" s="56"/>
    </row>
    <row r="527" ht="15.75" customHeight="1">
      <c r="A527" s="67" t="s">
        <v>281</v>
      </c>
      <c r="B527" s="68"/>
      <c r="C527" s="69"/>
      <c r="D527" s="68"/>
      <c r="E527" s="69"/>
      <c r="F527" s="68"/>
      <c r="G527" s="68"/>
      <c r="H527" s="68"/>
      <c r="I527" s="69"/>
      <c r="J527" s="68"/>
      <c r="K527" s="69"/>
      <c r="L527" s="68"/>
      <c r="M527" s="69"/>
      <c r="N527" s="68"/>
      <c r="O527" s="69"/>
      <c r="P527" s="68"/>
      <c r="Q527" s="69"/>
      <c r="R527" s="55"/>
      <c r="S527" s="56"/>
    </row>
    <row r="528" ht="15.75" customHeight="1">
      <c r="A528" s="67" t="s">
        <v>282</v>
      </c>
      <c r="B528" s="68"/>
      <c r="C528" s="69"/>
      <c r="D528" s="68"/>
      <c r="E528" s="69"/>
      <c r="F528" s="68"/>
      <c r="G528" s="68"/>
      <c r="H528" s="68"/>
      <c r="I528" s="69"/>
      <c r="J528" s="68"/>
      <c r="K528" s="69"/>
      <c r="L528" s="68"/>
      <c r="M528" s="69"/>
      <c r="N528" s="68"/>
      <c r="O528" s="69"/>
      <c r="P528" s="68"/>
      <c r="Q528" s="69"/>
      <c r="R528" s="55"/>
      <c r="S528" s="56"/>
    </row>
    <row r="529" ht="15.75" customHeight="1">
      <c r="A529" s="67" t="s">
        <v>283</v>
      </c>
      <c r="B529" s="68"/>
      <c r="C529" s="69"/>
      <c r="D529" s="68"/>
      <c r="E529" s="69"/>
      <c r="F529" s="68"/>
      <c r="G529" s="68"/>
      <c r="H529" s="68"/>
      <c r="I529" s="69"/>
      <c r="J529" s="68"/>
      <c r="K529" s="69"/>
      <c r="L529" s="68"/>
      <c r="M529" s="69"/>
      <c r="N529" s="68"/>
      <c r="O529" s="69"/>
      <c r="P529" s="68"/>
      <c r="Q529" s="69"/>
      <c r="R529" s="55"/>
      <c r="S529" s="56"/>
    </row>
    <row r="530" ht="15.75" customHeight="1">
      <c r="A530" s="67" t="s">
        <v>284</v>
      </c>
      <c r="B530" s="68"/>
      <c r="C530" s="69"/>
      <c r="D530" s="68"/>
      <c r="E530" s="69"/>
      <c r="F530" s="68"/>
      <c r="G530" s="68"/>
      <c r="H530" s="68"/>
      <c r="I530" s="69"/>
      <c r="J530" s="68"/>
      <c r="K530" s="69"/>
      <c r="L530" s="68"/>
      <c r="M530" s="69"/>
      <c r="N530" s="68"/>
      <c r="O530" s="69"/>
      <c r="P530" s="68"/>
      <c r="Q530" s="69"/>
      <c r="R530" s="55"/>
      <c r="S530" s="56"/>
    </row>
    <row r="531" ht="15.75" customHeight="1">
      <c r="A531" s="67" t="s">
        <v>285</v>
      </c>
      <c r="B531" s="68"/>
      <c r="C531" s="69"/>
      <c r="D531" s="68"/>
      <c r="E531" s="69"/>
      <c r="F531" s="68"/>
      <c r="G531" s="68"/>
      <c r="H531" s="68"/>
      <c r="I531" s="69"/>
      <c r="J531" s="68"/>
      <c r="K531" s="69"/>
      <c r="L531" s="68"/>
      <c r="M531" s="69"/>
      <c r="N531" s="68"/>
      <c r="O531" s="69"/>
      <c r="P531" s="68"/>
      <c r="Q531" s="69"/>
      <c r="R531" s="55"/>
      <c r="S531" s="56"/>
    </row>
    <row r="532" ht="15.75" customHeight="1">
      <c r="A532" s="67" t="s">
        <v>286</v>
      </c>
      <c r="B532" s="68"/>
      <c r="C532" s="69"/>
      <c r="D532" s="68"/>
      <c r="E532" s="69"/>
      <c r="F532" s="68"/>
      <c r="G532" s="68"/>
      <c r="H532" s="68"/>
      <c r="I532" s="69"/>
      <c r="J532" s="68"/>
      <c r="K532" s="69"/>
      <c r="L532" s="68"/>
      <c r="M532" s="69"/>
      <c r="N532" s="68"/>
      <c r="O532" s="69"/>
      <c r="P532" s="68"/>
      <c r="Q532" s="69"/>
      <c r="R532" s="55"/>
      <c r="S532" s="56"/>
    </row>
    <row r="533" ht="15.75" customHeight="1">
      <c r="A533" s="67" t="s">
        <v>287</v>
      </c>
      <c r="B533" s="68"/>
      <c r="C533" s="69"/>
      <c r="D533" s="68"/>
      <c r="E533" s="69"/>
      <c r="F533" s="68"/>
      <c r="G533" s="68"/>
      <c r="H533" s="68"/>
      <c r="I533" s="69"/>
      <c r="J533" s="68"/>
      <c r="K533" s="69"/>
      <c r="L533" s="68"/>
      <c r="M533" s="69"/>
      <c r="N533" s="68"/>
      <c r="O533" s="69"/>
      <c r="P533" s="68"/>
      <c r="Q533" s="69"/>
      <c r="R533" s="55"/>
      <c r="S533" s="56"/>
    </row>
    <row r="534" ht="15.75" customHeight="1">
      <c r="A534" s="67" t="s">
        <v>288</v>
      </c>
      <c r="B534" s="68"/>
      <c r="C534" s="69"/>
      <c r="D534" s="68"/>
      <c r="E534" s="69"/>
      <c r="F534" s="68"/>
      <c r="G534" s="68"/>
      <c r="H534" s="68"/>
      <c r="I534" s="69"/>
      <c r="J534" s="68"/>
      <c r="K534" s="69"/>
      <c r="L534" s="68"/>
      <c r="M534" s="69"/>
      <c r="N534" s="68"/>
      <c r="O534" s="69"/>
      <c r="P534" s="68"/>
      <c r="Q534" s="69"/>
      <c r="R534" s="55"/>
      <c r="S534" s="56"/>
    </row>
    <row r="535" ht="15.75" customHeight="1">
      <c r="A535" s="64" t="s">
        <v>289</v>
      </c>
      <c r="B535" s="65"/>
      <c r="C535" s="66"/>
      <c r="D535" s="65"/>
      <c r="E535" s="66"/>
      <c r="F535" s="65"/>
      <c r="G535" s="65"/>
      <c r="H535" s="65"/>
      <c r="I535" s="66"/>
      <c r="J535" s="65"/>
      <c r="K535" s="66"/>
      <c r="L535" s="65"/>
      <c r="M535" s="66"/>
      <c r="N535" s="65"/>
      <c r="O535" s="66"/>
      <c r="P535" s="65"/>
      <c r="Q535" s="66"/>
      <c r="R535" s="55"/>
      <c r="S535" s="56"/>
    </row>
    <row r="536" ht="15.75" customHeight="1">
      <c r="A536" s="67" t="s">
        <v>290</v>
      </c>
      <c r="B536" s="68"/>
      <c r="C536" s="69"/>
      <c r="D536" s="68"/>
      <c r="E536" s="69"/>
      <c r="F536" s="68"/>
      <c r="G536" s="68"/>
      <c r="H536" s="68"/>
      <c r="I536" s="69"/>
      <c r="J536" s="68"/>
      <c r="K536" s="69"/>
      <c r="L536" s="68"/>
      <c r="M536" s="69"/>
      <c r="N536" s="68"/>
      <c r="O536" s="69"/>
      <c r="P536" s="68"/>
      <c r="Q536" s="69"/>
      <c r="R536" s="55"/>
      <c r="S536" s="56"/>
    </row>
    <row r="537" ht="15.75" customHeight="1">
      <c r="A537" s="67" t="s">
        <v>291</v>
      </c>
      <c r="B537" s="68"/>
      <c r="C537" s="69"/>
      <c r="D537" s="68"/>
      <c r="E537" s="69"/>
      <c r="F537" s="68"/>
      <c r="G537" s="68"/>
      <c r="H537" s="68"/>
      <c r="I537" s="69"/>
      <c r="J537" s="68"/>
      <c r="K537" s="69"/>
      <c r="L537" s="68"/>
      <c r="M537" s="69"/>
      <c r="N537" s="68"/>
      <c r="O537" s="69"/>
      <c r="P537" s="68"/>
      <c r="Q537" s="69"/>
      <c r="R537" s="55"/>
      <c r="S537" s="56"/>
    </row>
    <row r="538" ht="15.75" customHeight="1">
      <c r="A538" s="67" t="s">
        <v>292</v>
      </c>
      <c r="B538" s="68"/>
      <c r="C538" s="69"/>
      <c r="D538" s="68"/>
      <c r="E538" s="69"/>
      <c r="F538" s="68"/>
      <c r="G538" s="68"/>
      <c r="H538" s="68"/>
      <c r="I538" s="69"/>
      <c r="J538" s="68"/>
      <c r="K538" s="69"/>
      <c r="L538" s="68"/>
      <c r="M538" s="69"/>
      <c r="N538" s="68"/>
      <c r="O538" s="69"/>
      <c r="P538" s="68"/>
      <c r="Q538" s="69"/>
      <c r="R538" s="55"/>
      <c r="S538" s="56"/>
    </row>
    <row r="539" ht="15.75" customHeight="1">
      <c r="A539" s="67" t="s">
        <v>293</v>
      </c>
      <c r="B539" s="68"/>
      <c r="C539" s="69"/>
      <c r="D539" s="68"/>
      <c r="E539" s="69"/>
      <c r="F539" s="68"/>
      <c r="G539" s="68"/>
      <c r="H539" s="68"/>
      <c r="I539" s="69"/>
      <c r="J539" s="68"/>
      <c r="K539" s="69"/>
      <c r="L539" s="68"/>
      <c r="M539" s="69"/>
      <c r="N539" s="68"/>
      <c r="O539" s="69"/>
      <c r="P539" s="68"/>
      <c r="Q539" s="69"/>
      <c r="R539" s="55"/>
      <c r="S539" s="56"/>
    </row>
    <row r="540" ht="15.75" customHeight="1">
      <c r="A540" s="67" t="s">
        <v>294</v>
      </c>
      <c r="B540" s="68"/>
      <c r="C540" s="69"/>
      <c r="D540" s="68"/>
      <c r="E540" s="69"/>
      <c r="F540" s="68"/>
      <c r="G540" s="68"/>
      <c r="H540" s="68"/>
      <c r="I540" s="69"/>
      <c r="J540" s="68"/>
      <c r="K540" s="69"/>
      <c r="L540" s="68"/>
      <c r="M540" s="69"/>
      <c r="N540" s="68"/>
      <c r="O540" s="69"/>
      <c r="P540" s="68"/>
      <c r="Q540" s="69"/>
      <c r="R540" s="55"/>
      <c r="S540" s="56"/>
    </row>
    <row r="541" ht="15.75" customHeight="1">
      <c r="A541" s="67" t="s">
        <v>295</v>
      </c>
      <c r="B541" s="68"/>
      <c r="C541" s="69"/>
      <c r="D541" s="68"/>
      <c r="E541" s="69"/>
      <c r="F541" s="68"/>
      <c r="G541" s="68"/>
      <c r="H541" s="68"/>
      <c r="I541" s="69"/>
      <c r="J541" s="68"/>
      <c r="K541" s="69"/>
      <c r="L541" s="68"/>
      <c r="M541" s="69"/>
      <c r="N541" s="68"/>
      <c r="O541" s="69"/>
      <c r="P541" s="68"/>
      <c r="Q541" s="69"/>
      <c r="R541" s="55"/>
      <c r="S541" s="56"/>
    </row>
    <row r="542" ht="15.75" customHeight="1">
      <c r="A542" s="64" t="s">
        <v>296</v>
      </c>
      <c r="B542" s="65"/>
      <c r="C542" s="66"/>
      <c r="D542" s="65"/>
      <c r="E542" s="66"/>
      <c r="F542" s="65"/>
      <c r="G542" s="65"/>
      <c r="H542" s="65"/>
      <c r="I542" s="66"/>
      <c r="J542" s="65"/>
      <c r="K542" s="66"/>
      <c r="L542" s="65"/>
      <c r="M542" s="66"/>
      <c r="N542" s="65"/>
      <c r="O542" s="66"/>
      <c r="P542" s="65"/>
      <c r="Q542" s="66"/>
      <c r="R542" s="55"/>
      <c r="S542" s="56"/>
    </row>
    <row r="543" ht="15.75" customHeight="1">
      <c r="A543" s="67" t="s">
        <v>297</v>
      </c>
      <c r="B543" s="68"/>
      <c r="C543" s="69"/>
      <c r="D543" s="68"/>
      <c r="E543" s="69"/>
      <c r="F543" s="68"/>
      <c r="G543" s="68"/>
      <c r="H543" s="68"/>
      <c r="I543" s="69"/>
      <c r="J543" s="68"/>
      <c r="K543" s="69"/>
      <c r="L543" s="68"/>
      <c r="M543" s="69"/>
      <c r="N543" s="68"/>
      <c r="O543" s="69"/>
      <c r="P543" s="68"/>
      <c r="Q543" s="69"/>
      <c r="R543" s="55"/>
      <c r="S543" s="56"/>
    </row>
    <row r="544" ht="15.75" customHeight="1">
      <c r="A544" s="67" t="s">
        <v>298</v>
      </c>
      <c r="B544" s="68"/>
      <c r="C544" s="69"/>
      <c r="D544" s="68"/>
      <c r="E544" s="69"/>
      <c r="F544" s="68"/>
      <c r="G544" s="68"/>
      <c r="H544" s="68"/>
      <c r="I544" s="69"/>
      <c r="J544" s="68"/>
      <c r="K544" s="69"/>
      <c r="L544" s="68"/>
      <c r="M544" s="69"/>
      <c r="N544" s="68"/>
      <c r="O544" s="69"/>
      <c r="P544" s="68"/>
      <c r="Q544" s="69"/>
      <c r="R544" s="55"/>
      <c r="S544" s="56"/>
    </row>
    <row r="545" ht="15.75" customHeight="1">
      <c r="A545" s="67" t="s">
        <v>299</v>
      </c>
      <c r="B545" s="68"/>
      <c r="C545" s="69"/>
      <c r="D545" s="68"/>
      <c r="E545" s="69"/>
      <c r="F545" s="68"/>
      <c r="G545" s="68"/>
      <c r="H545" s="68"/>
      <c r="I545" s="69"/>
      <c r="J545" s="68"/>
      <c r="K545" s="69"/>
      <c r="L545" s="68"/>
      <c r="M545" s="69"/>
      <c r="N545" s="68"/>
      <c r="O545" s="69"/>
      <c r="P545" s="68"/>
      <c r="Q545" s="69"/>
      <c r="R545" s="55"/>
      <c r="S545" s="56"/>
    </row>
    <row r="546" ht="15.75" customHeight="1">
      <c r="A546" s="70" t="s">
        <v>300</v>
      </c>
      <c r="B546" s="71"/>
      <c r="C546" s="72"/>
      <c r="D546" s="71"/>
      <c r="E546" s="72"/>
      <c r="F546" s="71"/>
      <c r="G546" s="71"/>
      <c r="H546" s="71"/>
      <c r="I546" s="72"/>
      <c r="J546" s="71"/>
      <c r="K546" s="72"/>
      <c r="L546" s="71"/>
      <c r="M546" s="72"/>
      <c r="N546" s="71"/>
      <c r="O546" s="72"/>
      <c r="P546" s="71"/>
      <c r="Q546" s="72"/>
      <c r="R546" s="55"/>
      <c r="S546" s="56"/>
    </row>
    <row r="547" ht="15.75" customHeight="1">
      <c r="A547" s="67" t="s">
        <v>301</v>
      </c>
      <c r="B547" s="68"/>
      <c r="C547" s="69"/>
      <c r="D547" s="68"/>
      <c r="E547" s="69"/>
      <c r="F547" s="68"/>
      <c r="G547" s="68"/>
      <c r="H547" s="68"/>
      <c r="I547" s="69"/>
      <c r="J547" s="68"/>
      <c r="K547" s="69"/>
      <c r="L547" s="68"/>
      <c r="M547" s="69"/>
      <c r="N547" s="68"/>
      <c r="O547" s="69"/>
      <c r="P547" s="68"/>
      <c r="Q547" s="69"/>
      <c r="R547" s="55"/>
      <c r="S547" s="56"/>
    </row>
    <row r="548" ht="15.75" customHeight="1">
      <c r="A548" s="73" t="s">
        <v>302</v>
      </c>
      <c r="B548" s="74"/>
      <c r="C548" s="75"/>
      <c r="D548" s="74"/>
      <c r="E548" s="75"/>
      <c r="F548" s="74"/>
      <c r="G548" s="74"/>
      <c r="H548" s="74"/>
      <c r="I548" s="75"/>
      <c r="J548" s="74"/>
      <c r="K548" s="75"/>
      <c r="L548" s="74"/>
      <c r="M548" s="75"/>
      <c r="N548" s="74"/>
      <c r="O548" s="75"/>
      <c r="P548" s="74"/>
      <c r="Q548" s="75"/>
      <c r="R548" s="55"/>
      <c r="S548" s="56"/>
    </row>
    <row r="549" ht="15.75" customHeight="1">
      <c r="A549" s="76" t="s">
        <v>303</v>
      </c>
      <c r="B549" s="77"/>
      <c r="C549" s="74"/>
      <c r="D549" s="77"/>
      <c r="E549" s="74"/>
      <c r="F549" s="77"/>
      <c r="G549" s="77"/>
      <c r="H549" s="77"/>
      <c r="I549" s="74"/>
      <c r="J549" s="77"/>
      <c r="K549" s="74"/>
      <c r="L549" s="77"/>
      <c r="M549" s="74"/>
      <c r="N549" s="77"/>
      <c r="O549" s="74"/>
      <c r="P549" s="77"/>
      <c r="Q549" s="74"/>
      <c r="R549" s="55"/>
      <c r="S549" s="56"/>
    </row>
    <row r="550" ht="15.75" customHeight="1">
      <c r="A550" s="42" t="s">
        <v>304</v>
      </c>
      <c r="B550" s="43"/>
      <c r="C550" s="51"/>
      <c r="D550" s="43"/>
      <c r="E550" s="51"/>
      <c r="F550" s="43"/>
      <c r="G550" s="43"/>
      <c r="H550" s="43"/>
      <c r="I550" s="51"/>
      <c r="J550" s="43"/>
      <c r="K550" s="51"/>
      <c r="L550" s="43"/>
      <c r="M550" s="51"/>
      <c r="N550" s="43"/>
      <c r="O550" s="51"/>
      <c r="P550" s="43"/>
      <c r="Q550" s="51"/>
      <c r="R550" s="55"/>
      <c r="S550" s="56"/>
    </row>
    <row r="551" ht="15.75" customHeight="1">
      <c r="A551" s="67" t="s">
        <v>305</v>
      </c>
      <c r="B551" s="68"/>
      <c r="C551" s="69"/>
      <c r="D551" s="68"/>
      <c r="E551" s="69"/>
      <c r="F551" s="68"/>
      <c r="G551" s="68"/>
      <c r="H551" s="68"/>
      <c r="I551" s="69"/>
      <c r="J551" s="68"/>
      <c r="K551" s="69"/>
      <c r="L551" s="68"/>
      <c r="M551" s="69"/>
      <c r="N551" s="68"/>
      <c r="O551" s="69"/>
      <c r="P551" s="68"/>
      <c r="Q551" s="69"/>
      <c r="R551" s="55"/>
      <c r="S551" s="56"/>
    </row>
    <row r="552" ht="15.75" customHeight="1">
      <c r="A552" s="67" t="s">
        <v>306</v>
      </c>
      <c r="B552" s="68"/>
      <c r="C552" s="69"/>
      <c r="D552" s="68"/>
      <c r="E552" s="69"/>
      <c r="F552" s="68"/>
      <c r="G552" s="68"/>
      <c r="H552" s="68"/>
      <c r="I552" s="69"/>
      <c r="J552" s="68"/>
      <c r="K552" s="69"/>
      <c r="L552" s="68"/>
      <c r="M552" s="69"/>
      <c r="N552" s="68"/>
      <c r="O552" s="69"/>
      <c r="P552" s="68"/>
      <c r="Q552" s="69"/>
      <c r="R552" s="55"/>
      <c r="S552" s="56"/>
    </row>
    <row r="553" ht="15.75" customHeight="1">
      <c r="A553" s="73" t="s">
        <v>307</v>
      </c>
      <c r="B553" s="74"/>
      <c r="C553" s="75"/>
      <c r="D553" s="74"/>
      <c r="E553" s="75"/>
      <c r="F553" s="74"/>
      <c r="G553" s="74"/>
      <c r="H553" s="74"/>
      <c r="I553" s="75"/>
      <c r="J553" s="74"/>
      <c r="K553" s="75"/>
      <c r="L553" s="74"/>
      <c r="M553" s="75"/>
      <c r="N553" s="74"/>
      <c r="O553" s="75"/>
      <c r="P553" s="74"/>
      <c r="Q553" s="75"/>
      <c r="R553" s="55"/>
      <c r="S553" s="56"/>
    </row>
    <row r="554" ht="15.75" customHeight="1">
      <c r="A554" s="76" t="s">
        <v>308</v>
      </c>
      <c r="B554" s="77"/>
      <c r="C554" s="74"/>
      <c r="D554" s="77"/>
      <c r="E554" s="74"/>
      <c r="F554" s="77"/>
      <c r="G554" s="77"/>
      <c r="H554" s="77"/>
      <c r="I554" s="74"/>
      <c r="J554" s="77"/>
      <c r="K554" s="74"/>
      <c r="L554" s="77"/>
      <c r="M554" s="74"/>
      <c r="N554" s="77"/>
      <c r="O554" s="74"/>
      <c r="P554" s="77"/>
      <c r="Q554" s="74"/>
      <c r="R554" s="55"/>
      <c r="S554" s="56"/>
    </row>
    <row r="555" ht="15.75" customHeight="1">
      <c r="A555" s="42" t="s">
        <v>309</v>
      </c>
      <c r="B555" s="43"/>
      <c r="C555" s="51"/>
      <c r="D555" s="43"/>
      <c r="E555" s="51"/>
      <c r="F555" s="43"/>
      <c r="G555" s="43"/>
      <c r="H555" s="43"/>
      <c r="I555" s="51"/>
      <c r="J555" s="43"/>
      <c r="K555" s="51"/>
      <c r="L555" s="43"/>
      <c r="M555" s="51"/>
      <c r="N555" s="43"/>
      <c r="O555" s="51"/>
      <c r="P555" s="43"/>
      <c r="Q555" s="51"/>
      <c r="R555" s="55"/>
      <c r="S555" s="56"/>
    </row>
    <row r="556" ht="15.75" customHeight="1">
      <c r="A556" s="67" t="s">
        <v>310</v>
      </c>
      <c r="B556" s="68"/>
      <c r="C556" s="69"/>
      <c r="D556" s="68"/>
      <c r="E556" s="69"/>
      <c r="F556" s="68"/>
      <c r="G556" s="68"/>
      <c r="H556" s="68"/>
      <c r="I556" s="69"/>
      <c r="J556" s="68"/>
      <c r="K556" s="69"/>
      <c r="L556" s="68"/>
      <c r="M556" s="69"/>
      <c r="N556" s="68"/>
      <c r="O556" s="69"/>
      <c r="P556" s="68"/>
      <c r="Q556" s="69"/>
      <c r="R556" s="55"/>
      <c r="S556" s="56"/>
    </row>
    <row r="557" ht="15.75" customHeight="1">
      <c r="A557" s="64" t="s">
        <v>311</v>
      </c>
      <c r="B557" s="65"/>
      <c r="C557" s="66"/>
      <c r="D557" s="65"/>
      <c r="E557" s="66"/>
      <c r="F557" s="65"/>
      <c r="G557" s="65"/>
      <c r="H557" s="65"/>
      <c r="I557" s="66"/>
      <c r="J557" s="65"/>
      <c r="K557" s="66"/>
      <c r="L557" s="65"/>
      <c r="M557" s="66"/>
      <c r="N557" s="65"/>
      <c r="O557" s="66"/>
      <c r="P557" s="65"/>
      <c r="Q557" s="66"/>
      <c r="R557" s="55"/>
      <c r="S557" s="56"/>
    </row>
    <row r="558" ht="15.75" customHeight="1">
      <c r="A558" s="67" t="s">
        <v>312</v>
      </c>
      <c r="B558" s="68"/>
      <c r="C558" s="69"/>
      <c r="D558" s="68"/>
      <c r="E558" s="69"/>
      <c r="F558" s="68"/>
      <c r="G558" s="68"/>
      <c r="H558" s="68"/>
      <c r="I558" s="69"/>
      <c r="J558" s="68"/>
      <c r="K558" s="69"/>
      <c r="L558" s="68"/>
      <c r="M558" s="69"/>
      <c r="N558" s="68"/>
      <c r="O558" s="69"/>
      <c r="P558" s="68"/>
      <c r="Q558" s="69"/>
      <c r="R558" s="55"/>
      <c r="S558" s="56"/>
    </row>
    <row r="559" ht="15.75" customHeight="1">
      <c r="A559" s="67" t="s">
        <v>313</v>
      </c>
      <c r="B559" s="68"/>
      <c r="C559" s="69"/>
      <c r="D559" s="68"/>
      <c r="E559" s="69"/>
      <c r="F559" s="68"/>
      <c r="G559" s="68"/>
      <c r="H559" s="68"/>
      <c r="I559" s="69"/>
      <c r="J559" s="68"/>
      <c r="K559" s="69"/>
      <c r="L559" s="68"/>
      <c r="M559" s="69"/>
      <c r="N559" s="68"/>
      <c r="O559" s="69"/>
      <c r="P559" s="68"/>
      <c r="Q559" s="69"/>
      <c r="R559" s="55"/>
      <c r="S559" s="56"/>
    </row>
    <row r="560" ht="15.75" customHeight="1">
      <c r="A560" s="67" t="s">
        <v>314</v>
      </c>
      <c r="B560" s="68"/>
      <c r="C560" s="69"/>
      <c r="D560" s="68"/>
      <c r="E560" s="69"/>
      <c r="F560" s="68"/>
      <c r="G560" s="68"/>
      <c r="H560" s="68"/>
      <c r="I560" s="69"/>
      <c r="J560" s="68"/>
      <c r="K560" s="69"/>
      <c r="L560" s="68"/>
      <c r="M560" s="69"/>
      <c r="N560" s="68"/>
      <c r="O560" s="69"/>
      <c r="P560" s="68"/>
      <c r="Q560" s="69"/>
      <c r="R560" s="55"/>
      <c r="S560" s="56"/>
    </row>
    <row r="561" ht="15.75" customHeight="1">
      <c r="A561" s="67" t="s">
        <v>315</v>
      </c>
      <c r="B561" s="68"/>
      <c r="C561" s="69"/>
      <c r="D561" s="68"/>
      <c r="E561" s="69"/>
      <c r="F561" s="68"/>
      <c r="G561" s="68"/>
      <c r="H561" s="68"/>
      <c r="I561" s="69"/>
      <c r="J561" s="68"/>
      <c r="K561" s="69"/>
      <c r="L561" s="68"/>
      <c r="M561" s="69"/>
      <c r="N561" s="68"/>
      <c r="O561" s="69"/>
      <c r="P561" s="68"/>
      <c r="Q561" s="69"/>
      <c r="R561" s="55"/>
      <c r="S561" s="56"/>
    </row>
    <row r="562" ht="15.75" customHeight="1">
      <c r="A562" s="67" t="s">
        <v>316</v>
      </c>
      <c r="B562" s="68"/>
      <c r="C562" s="69"/>
      <c r="D562" s="68"/>
      <c r="E562" s="69"/>
      <c r="F562" s="68"/>
      <c r="G562" s="68"/>
      <c r="H562" s="68"/>
      <c r="I562" s="69"/>
      <c r="J562" s="68"/>
      <c r="K562" s="69"/>
      <c r="L562" s="68"/>
      <c r="M562" s="69"/>
      <c r="N562" s="68"/>
      <c r="O562" s="69"/>
      <c r="P562" s="68"/>
      <c r="Q562" s="69"/>
      <c r="R562" s="55"/>
      <c r="S562" s="56"/>
    </row>
    <row r="563" ht="15.75" customHeight="1">
      <c r="A563" s="67" t="s">
        <v>317</v>
      </c>
      <c r="B563" s="68"/>
      <c r="C563" s="69"/>
      <c r="D563" s="68"/>
      <c r="E563" s="69"/>
      <c r="F563" s="68"/>
      <c r="G563" s="68"/>
      <c r="H563" s="68"/>
      <c r="I563" s="69"/>
      <c r="J563" s="68"/>
      <c r="K563" s="69"/>
      <c r="L563" s="68"/>
      <c r="M563" s="69"/>
      <c r="N563" s="68"/>
      <c r="O563" s="69"/>
      <c r="P563" s="68"/>
      <c r="Q563" s="69"/>
      <c r="R563" s="55"/>
      <c r="S563" s="56"/>
    </row>
    <row r="564" ht="15.75" customHeight="1">
      <c r="A564" s="67" t="s">
        <v>318</v>
      </c>
      <c r="B564" s="68"/>
      <c r="C564" s="69"/>
      <c r="D564" s="68"/>
      <c r="E564" s="69"/>
      <c r="F564" s="68"/>
      <c r="G564" s="68"/>
      <c r="H564" s="68"/>
      <c r="I564" s="69"/>
      <c r="J564" s="68"/>
      <c r="K564" s="69"/>
      <c r="L564" s="68"/>
      <c r="M564" s="69"/>
      <c r="N564" s="68"/>
      <c r="O564" s="69"/>
      <c r="P564" s="68"/>
      <c r="Q564" s="69"/>
      <c r="R564" s="55"/>
      <c r="S564" s="56"/>
    </row>
    <row r="565" ht="15.75" customHeight="1">
      <c r="A565" s="67" t="s">
        <v>319</v>
      </c>
      <c r="B565" s="68"/>
      <c r="C565" s="69"/>
      <c r="D565" s="68"/>
      <c r="E565" s="69"/>
      <c r="F565" s="68"/>
      <c r="G565" s="68"/>
      <c r="H565" s="68"/>
      <c r="I565" s="69"/>
      <c r="J565" s="68"/>
      <c r="K565" s="69"/>
      <c r="L565" s="68"/>
      <c r="M565" s="69"/>
      <c r="N565" s="68"/>
      <c r="O565" s="69"/>
      <c r="P565" s="68"/>
      <c r="Q565" s="69"/>
      <c r="R565" s="55"/>
      <c r="S565" s="56"/>
    </row>
    <row r="566" ht="15.75" customHeight="1">
      <c r="A566" s="67" t="s">
        <v>320</v>
      </c>
      <c r="B566" s="68"/>
      <c r="C566" s="69"/>
      <c r="D566" s="68"/>
      <c r="E566" s="69"/>
      <c r="F566" s="68"/>
      <c r="G566" s="68"/>
      <c r="H566" s="68"/>
      <c r="I566" s="69"/>
      <c r="J566" s="68"/>
      <c r="K566" s="69"/>
      <c r="L566" s="68"/>
      <c r="M566" s="69"/>
      <c r="N566" s="68"/>
      <c r="O566" s="69"/>
      <c r="P566" s="68"/>
      <c r="Q566" s="69"/>
      <c r="R566" s="55"/>
      <c r="S566" s="56"/>
    </row>
    <row r="567" ht="15.75" customHeight="1">
      <c r="A567" s="67" t="s">
        <v>321</v>
      </c>
      <c r="B567" s="68"/>
      <c r="C567" s="69"/>
      <c r="D567" s="68"/>
      <c r="E567" s="69"/>
      <c r="F567" s="68"/>
      <c r="G567" s="68"/>
      <c r="H567" s="68"/>
      <c r="I567" s="69"/>
      <c r="J567" s="68"/>
      <c r="K567" s="69"/>
      <c r="L567" s="68"/>
      <c r="M567" s="69"/>
      <c r="N567" s="68"/>
      <c r="O567" s="69"/>
      <c r="P567" s="68"/>
      <c r="Q567" s="69"/>
      <c r="R567" s="55"/>
      <c r="S567" s="56"/>
    </row>
    <row r="568" ht="15.75" customHeight="1">
      <c r="A568" s="73" t="s">
        <v>322</v>
      </c>
      <c r="B568" s="74"/>
      <c r="C568" s="74"/>
      <c r="D568" s="74"/>
      <c r="E568" s="74"/>
      <c r="F568" s="74"/>
      <c r="G568" s="74"/>
      <c r="H568" s="74"/>
      <c r="I568" s="74"/>
      <c r="J568" s="74"/>
      <c r="K568" s="74"/>
      <c r="L568" s="74"/>
      <c r="M568" s="74"/>
      <c r="N568" s="74"/>
      <c r="O568" s="74"/>
      <c r="P568" s="74"/>
      <c r="Q568" s="74"/>
      <c r="R568" s="55"/>
      <c r="S568" s="56"/>
    </row>
    <row r="569" ht="15.75" customHeight="1">
      <c r="A569" s="76" t="s">
        <v>323</v>
      </c>
      <c r="B569" s="77"/>
      <c r="C569" s="74"/>
      <c r="D569" s="77"/>
      <c r="E569" s="74"/>
      <c r="F569" s="77"/>
      <c r="G569" s="77"/>
      <c r="H569" s="77"/>
      <c r="I569" s="74"/>
      <c r="J569" s="77"/>
      <c r="K569" s="74"/>
      <c r="L569" s="77"/>
      <c r="M569" s="74"/>
      <c r="N569" s="77"/>
      <c r="O569" s="74"/>
      <c r="P569" s="77"/>
      <c r="Q569" s="74"/>
      <c r="R569" s="55"/>
      <c r="S569" s="56"/>
    </row>
    <row r="570" ht="15.75" customHeight="1">
      <c r="A570" s="36"/>
      <c r="B570" s="78"/>
      <c r="C570" s="78"/>
      <c r="D570" s="78"/>
      <c r="E570" s="78"/>
      <c r="F570" s="78"/>
      <c r="G570" s="78"/>
      <c r="H570" s="78"/>
      <c r="I570" s="78"/>
      <c r="J570" s="78"/>
      <c r="K570" s="78"/>
      <c r="L570" s="78"/>
      <c r="M570" s="78"/>
      <c r="N570" s="78"/>
      <c r="O570" s="78"/>
      <c r="P570" s="78"/>
      <c r="Q570" s="78"/>
      <c r="R570" s="78"/>
      <c r="S570" s="78"/>
    </row>
    <row r="571" ht="15.75" customHeight="1">
      <c r="A571" s="36"/>
      <c r="B571" s="78"/>
      <c r="C571" s="78"/>
      <c r="D571" s="78"/>
      <c r="E571" s="78"/>
      <c r="F571" s="78"/>
      <c r="G571" s="78"/>
      <c r="H571" s="78"/>
      <c r="I571" s="78"/>
      <c r="J571" s="78"/>
      <c r="K571" s="78"/>
      <c r="L571" s="78"/>
      <c r="M571" s="78"/>
      <c r="N571" s="78"/>
      <c r="O571" s="78"/>
      <c r="P571" s="78"/>
      <c r="Q571" s="78"/>
      <c r="R571" s="78"/>
      <c r="S571" s="78"/>
    </row>
    <row r="572" ht="15.75" customHeight="1">
      <c r="A572" s="36"/>
      <c r="B572" s="78"/>
      <c r="C572" s="78"/>
      <c r="D572" s="78"/>
      <c r="E572" s="78"/>
      <c r="F572" s="78"/>
      <c r="G572" s="78"/>
      <c r="H572" s="78"/>
      <c r="I572" s="78"/>
      <c r="J572" s="78"/>
      <c r="K572" s="78"/>
      <c r="L572" s="78"/>
      <c r="M572" s="78"/>
      <c r="N572" s="78"/>
      <c r="O572" s="78"/>
      <c r="P572" s="78"/>
      <c r="Q572" s="78"/>
      <c r="R572" s="78"/>
      <c r="S572" s="78"/>
    </row>
    <row r="573" ht="15.75" customHeight="1">
      <c r="A573" s="36"/>
      <c r="B573" s="78"/>
      <c r="C573" s="78"/>
      <c r="D573" s="78"/>
      <c r="E573" s="78"/>
      <c r="F573" s="78"/>
      <c r="G573" s="78"/>
      <c r="H573" s="78"/>
      <c r="I573" s="78"/>
      <c r="J573" s="78"/>
      <c r="K573" s="78"/>
      <c r="L573" s="78"/>
      <c r="M573" s="78"/>
      <c r="N573" s="78"/>
      <c r="O573" s="78"/>
      <c r="P573" s="78"/>
      <c r="Q573" s="78"/>
      <c r="R573" s="78"/>
      <c r="S573" s="78"/>
    </row>
    <row r="574" ht="15.75" customHeight="1">
      <c r="A574" s="36"/>
      <c r="B574" s="78"/>
      <c r="C574" s="78"/>
      <c r="D574" s="78"/>
      <c r="E574" s="78"/>
      <c r="F574" s="78"/>
      <c r="G574" s="78"/>
      <c r="H574" s="78"/>
      <c r="I574" s="78"/>
      <c r="J574" s="78"/>
      <c r="K574" s="78"/>
      <c r="L574" s="78"/>
      <c r="M574" s="78"/>
      <c r="N574" s="78"/>
      <c r="O574" s="78"/>
      <c r="P574" s="78"/>
      <c r="Q574" s="78"/>
      <c r="R574" s="78"/>
      <c r="S574" s="78"/>
    </row>
    <row r="575" ht="15.75" customHeight="1">
      <c r="A575" s="36"/>
      <c r="B575" s="78"/>
      <c r="C575" s="78"/>
      <c r="D575" s="78"/>
      <c r="E575" s="78"/>
      <c r="F575" s="78"/>
      <c r="G575" s="78"/>
      <c r="H575" s="78"/>
      <c r="I575" s="78"/>
      <c r="J575" s="78"/>
      <c r="K575" s="78"/>
      <c r="L575" s="78"/>
      <c r="M575" s="78"/>
      <c r="N575" s="78"/>
      <c r="O575" s="78"/>
      <c r="P575" s="78"/>
      <c r="Q575" s="78"/>
      <c r="R575" s="78"/>
      <c r="S575" s="78"/>
    </row>
    <row r="576" ht="15.75" customHeight="1">
      <c r="A576" s="36"/>
      <c r="B576" s="78"/>
      <c r="C576" s="78"/>
      <c r="D576" s="78"/>
      <c r="E576" s="78"/>
      <c r="F576" s="78"/>
      <c r="G576" s="78"/>
      <c r="H576" s="78"/>
      <c r="I576" s="78"/>
      <c r="J576" s="78"/>
      <c r="K576" s="78"/>
      <c r="L576" s="78"/>
      <c r="M576" s="78"/>
      <c r="N576" s="78"/>
      <c r="O576" s="78"/>
      <c r="P576" s="78"/>
      <c r="Q576" s="78"/>
      <c r="R576" s="78"/>
      <c r="S576" s="78"/>
    </row>
    <row r="577" ht="15.75" customHeight="1">
      <c r="A577" s="36"/>
      <c r="B577" s="78"/>
      <c r="C577" s="78"/>
      <c r="D577" s="78"/>
      <c r="E577" s="78"/>
      <c r="F577" s="78"/>
      <c r="G577" s="78"/>
      <c r="H577" s="78"/>
      <c r="I577" s="78"/>
      <c r="J577" s="78"/>
      <c r="K577" s="78"/>
      <c r="L577" s="78"/>
      <c r="M577" s="78"/>
      <c r="N577" s="78"/>
      <c r="O577" s="78"/>
      <c r="P577" s="78"/>
      <c r="Q577" s="78"/>
      <c r="R577" s="78"/>
      <c r="S577" s="78"/>
    </row>
    <row r="578" ht="15.75" customHeight="1">
      <c r="A578" s="36"/>
      <c r="B578" s="78"/>
      <c r="C578" s="78"/>
      <c r="D578" s="78"/>
      <c r="E578" s="78"/>
      <c r="F578" s="78"/>
      <c r="G578" s="78"/>
      <c r="H578" s="78"/>
      <c r="I578" s="78"/>
      <c r="J578" s="78"/>
      <c r="K578" s="78"/>
      <c r="L578" s="78"/>
      <c r="M578" s="78"/>
      <c r="N578" s="78"/>
      <c r="O578" s="78"/>
      <c r="P578" s="78"/>
      <c r="Q578" s="78"/>
      <c r="R578" s="78"/>
      <c r="S578" s="78"/>
    </row>
    <row r="579" ht="15.75" customHeight="1">
      <c r="A579" s="36"/>
      <c r="B579" s="78"/>
      <c r="C579" s="78"/>
      <c r="D579" s="78"/>
      <c r="E579" s="78"/>
      <c r="F579" s="78"/>
      <c r="G579" s="78"/>
      <c r="H579" s="78"/>
      <c r="I579" s="78"/>
      <c r="J579" s="78"/>
      <c r="K579" s="78"/>
      <c r="L579" s="78"/>
      <c r="M579" s="78"/>
      <c r="N579" s="78"/>
      <c r="O579" s="78"/>
      <c r="P579" s="78"/>
      <c r="Q579" s="78"/>
      <c r="R579" s="78"/>
      <c r="S579" s="78"/>
    </row>
    <row r="580" ht="15.75" customHeight="1">
      <c r="A580" s="36"/>
      <c r="B580" s="78"/>
      <c r="C580" s="78"/>
      <c r="D580" s="78"/>
      <c r="E580" s="78"/>
      <c r="F580" s="78"/>
      <c r="G580" s="78"/>
      <c r="H580" s="78"/>
      <c r="I580" s="78"/>
      <c r="J580" s="78"/>
      <c r="K580" s="78"/>
      <c r="L580" s="78"/>
      <c r="M580" s="78"/>
      <c r="N580" s="78"/>
      <c r="O580" s="78"/>
      <c r="P580" s="78"/>
      <c r="Q580" s="78"/>
      <c r="R580" s="78"/>
      <c r="S580" s="78"/>
    </row>
    <row r="581" ht="15.75" customHeight="1">
      <c r="A581" s="36"/>
      <c r="B581" s="78"/>
      <c r="C581" s="78"/>
      <c r="D581" s="78"/>
      <c r="E581" s="78"/>
      <c r="F581" s="78"/>
      <c r="G581" s="78"/>
      <c r="H581" s="78"/>
      <c r="I581" s="78"/>
      <c r="J581" s="78"/>
      <c r="K581" s="78"/>
      <c r="L581" s="78"/>
      <c r="M581" s="78"/>
      <c r="N581" s="78"/>
      <c r="O581" s="78"/>
      <c r="P581" s="78"/>
      <c r="Q581" s="78"/>
      <c r="R581" s="78"/>
      <c r="S581" s="78"/>
    </row>
    <row r="582" ht="15.75" customHeight="1">
      <c r="A582" s="36"/>
      <c r="B582" s="78"/>
      <c r="C582" s="78"/>
      <c r="D582" s="78"/>
      <c r="E582" s="78"/>
      <c r="F582" s="78"/>
      <c r="G582" s="78"/>
      <c r="H582" s="78"/>
      <c r="I582" s="78"/>
      <c r="J582" s="78"/>
      <c r="K582" s="78"/>
      <c r="L582" s="78"/>
      <c r="M582" s="78"/>
      <c r="N582" s="78"/>
      <c r="O582" s="78"/>
      <c r="P582" s="78"/>
      <c r="Q582" s="78"/>
      <c r="R582" s="78"/>
      <c r="S582" s="78"/>
    </row>
    <row r="583" ht="15.75" customHeight="1">
      <c r="A583" s="36"/>
      <c r="B583" s="78"/>
      <c r="C583" s="78"/>
      <c r="D583" s="78"/>
      <c r="E583" s="78"/>
      <c r="F583" s="78"/>
      <c r="G583" s="78"/>
      <c r="H583" s="78"/>
      <c r="I583" s="78"/>
      <c r="J583" s="78"/>
      <c r="K583" s="78"/>
      <c r="L583" s="78"/>
      <c r="M583" s="78"/>
      <c r="N583" s="78"/>
      <c r="O583" s="78"/>
      <c r="P583" s="78"/>
      <c r="Q583" s="78"/>
      <c r="R583" s="78"/>
      <c r="S583" s="78"/>
    </row>
    <row r="584" ht="15.75" customHeight="1">
      <c r="A584" s="36"/>
      <c r="B584" s="78"/>
      <c r="C584" s="78"/>
      <c r="D584" s="78"/>
      <c r="E584" s="78"/>
      <c r="F584" s="78"/>
      <c r="G584" s="78"/>
      <c r="H584" s="78"/>
      <c r="I584" s="78"/>
      <c r="J584" s="78"/>
      <c r="K584" s="78"/>
      <c r="L584" s="78"/>
      <c r="M584" s="78"/>
      <c r="N584" s="78"/>
      <c r="O584" s="78"/>
      <c r="P584" s="78"/>
      <c r="Q584" s="78"/>
      <c r="R584" s="78"/>
      <c r="S584" s="78"/>
    </row>
    <row r="585" ht="15.75" customHeight="1">
      <c r="A585" s="36"/>
      <c r="B585" s="78"/>
      <c r="C585" s="78"/>
      <c r="D585" s="78"/>
      <c r="E585" s="78"/>
      <c r="F585" s="78"/>
      <c r="G585" s="78"/>
      <c r="H585" s="78"/>
      <c r="I585" s="78"/>
      <c r="J585" s="78"/>
      <c r="K585" s="78"/>
      <c r="L585" s="78"/>
      <c r="M585" s="78"/>
      <c r="N585" s="78"/>
      <c r="O585" s="78"/>
      <c r="P585" s="78"/>
      <c r="Q585" s="78"/>
      <c r="R585" s="78"/>
      <c r="S585" s="78"/>
    </row>
    <row r="586" ht="15.75" customHeight="1">
      <c r="A586" s="36"/>
      <c r="B586" s="78"/>
      <c r="C586" s="78"/>
      <c r="D586" s="78"/>
      <c r="E586" s="78"/>
      <c r="F586" s="78"/>
      <c r="G586" s="78"/>
      <c r="H586" s="78"/>
      <c r="I586" s="78"/>
      <c r="J586" s="78"/>
      <c r="K586" s="78"/>
      <c r="L586" s="78"/>
      <c r="M586" s="78"/>
      <c r="N586" s="78"/>
      <c r="O586" s="78"/>
      <c r="P586" s="78"/>
      <c r="Q586" s="78"/>
      <c r="R586" s="78"/>
      <c r="S586" s="78"/>
    </row>
    <row r="587" ht="15.75" customHeight="1">
      <c r="A587" s="36"/>
      <c r="B587" s="78"/>
      <c r="C587" s="78"/>
      <c r="D587" s="78"/>
      <c r="E587" s="78"/>
      <c r="F587" s="78"/>
      <c r="G587" s="78"/>
      <c r="H587" s="78"/>
      <c r="I587" s="78"/>
      <c r="J587" s="78"/>
      <c r="K587" s="78"/>
      <c r="L587" s="78"/>
      <c r="M587" s="78"/>
      <c r="N587" s="78"/>
      <c r="O587" s="78"/>
      <c r="P587" s="78"/>
      <c r="Q587" s="78"/>
      <c r="R587" s="78"/>
      <c r="S587" s="78"/>
    </row>
    <row r="588" ht="15.75" customHeight="1">
      <c r="A588" s="36"/>
      <c r="B588" s="78"/>
      <c r="C588" s="78"/>
      <c r="D588" s="78"/>
      <c r="E588" s="78"/>
      <c r="F588" s="78"/>
      <c r="G588" s="78"/>
      <c r="H588" s="78"/>
      <c r="I588" s="78"/>
      <c r="J588" s="78"/>
      <c r="K588" s="78"/>
      <c r="L588" s="78"/>
      <c r="M588" s="78"/>
      <c r="N588" s="78"/>
      <c r="O588" s="78"/>
      <c r="P588" s="78"/>
      <c r="Q588" s="78"/>
      <c r="R588" s="78"/>
      <c r="S588" s="78"/>
    </row>
    <row r="589" ht="15.75" customHeight="1">
      <c r="A589" s="36"/>
      <c r="B589" s="78"/>
      <c r="C589" s="78"/>
      <c r="D589" s="78"/>
      <c r="E589" s="78"/>
      <c r="F589" s="78"/>
      <c r="G589" s="78"/>
      <c r="H589" s="78"/>
      <c r="I589" s="78"/>
      <c r="J589" s="78"/>
      <c r="K589" s="78"/>
      <c r="L589" s="78"/>
      <c r="M589" s="78"/>
      <c r="N589" s="78"/>
      <c r="O589" s="78"/>
      <c r="P589" s="78"/>
      <c r="Q589" s="78"/>
      <c r="R589" s="78"/>
      <c r="S589" s="78"/>
    </row>
    <row r="590" ht="15.75" customHeight="1">
      <c r="A590" s="36"/>
      <c r="B590" s="78"/>
      <c r="C590" s="78"/>
      <c r="D590" s="78"/>
      <c r="E590" s="78"/>
      <c r="F590" s="78"/>
      <c r="G590" s="78"/>
      <c r="H590" s="78"/>
      <c r="I590" s="78"/>
      <c r="J590" s="78"/>
      <c r="K590" s="78"/>
      <c r="L590" s="78"/>
      <c r="M590" s="78"/>
      <c r="N590" s="78"/>
      <c r="O590" s="78"/>
      <c r="P590" s="78"/>
      <c r="Q590" s="78"/>
      <c r="R590" s="78"/>
      <c r="S590" s="78"/>
    </row>
    <row r="591" ht="15.75" customHeight="1">
      <c r="A591" s="36"/>
      <c r="B591" s="78"/>
      <c r="C591" s="78"/>
      <c r="D591" s="78"/>
      <c r="E591" s="78"/>
      <c r="F591" s="78"/>
      <c r="G591" s="78"/>
      <c r="H591" s="78"/>
      <c r="I591" s="78"/>
      <c r="J591" s="78"/>
      <c r="K591" s="78"/>
      <c r="L591" s="78"/>
      <c r="M591" s="78"/>
      <c r="N591" s="78"/>
      <c r="O591" s="78"/>
      <c r="P591" s="78"/>
      <c r="Q591" s="78"/>
      <c r="R591" s="78"/>
      <c r="S591" s="78"/>
    </row>
    <row r="592" ht="15.75" customHeight="1">
      <c r="A592" s="36"/>
      <c r="B592" s="78"/>
      <c r="C592" s="78"/>
      <c r="D592" s="78"/>
      <c r="E592" s="78"/>
      <c r="F592" s="78"/>
      <c r="G592" s="78"/>
      <c r="H592" s="78"/>
      <c r="I592" s="78"/>
      <c r="J592" s="78"/>
      <c r="K592" s="78"/>
      <c r="L592" s="78"/>
      <c r="M592" s="78"/>
      <c r="N592" s="78"/>
      <c r="O592" s="78"/>
      <c r="P592" s="78"/>
      <c r="Q592" s="78"/>
      <c r="R592" s="78"/>
      <c r="S592" s="78"/>
    </row>
    <row r="593" ht="15.75" customHeight="1">
      <c r="A593" s="36"/>
      <c r="B593" s="78"/>
      <c r="C593" s="78"/>
      <c r="D593" s="78"/>
      <c r="E593" s="78"/>
      <c r="F593" s="78"/>
      <c r="G593" s="78"/>
      <c r="H593" s="78"/>
      <c r="I593" s="78"/>
      <c r="J593" s="78"/>
      <c r="K593" s="78"/>
      <c r="L593" s="78"/>
      <c r="M593" s="78"/>
      <c r="N593" s="78"/>
      <c r="O593" s="78"/>
      <c r="P593" s="78"/>
      <c r="Q593" s="78"/>
      <c r="R593" s="78"/>
      <c r="S593" s="78"/>
    </row>
    <row r="594" ht="15.75" customHeight="1">
      <c r="A594" s="36"/>
      <c r="B594" s="78"/>
      <c r="C594" s="78"/>
      <c r="D594" s="78"/>
      <c r="E594" s="78"/>
      <c r="F594" s="78"/>
      <c r="G594" s="78"/>
      <c r="H594" s="78"/>
      <c r="I594" s="78"/>
      <c r="J594" s="78"/>
      <c r="K594" s="78"/>
      <c r="L594" s="78"/>
      <c r="M594" s="78"/>
      <c r="N594" s="78"/>
      <c r="O594" s="78"/>
      <c r="P594" s="78"/>
      <c r="Q594" s="78"/>
      <c r="R594" s="78"/>
      <c r="S594" s="78"/>
    </row>
    <row r="595" ht="15.75" customHeight="1">
      <c r="A595" s="36"/>
      <c r="B595" s="78"/>
      <c r="C595" s="78"/>
      <c r="D595" s="78"/>
      <c r="E595" s="78"/>
      <c r="F595" s="78"/>
      <c r="G595" s="78"/>
      <c r="H595" s="78"/>
      <c r="I595" s="78"/>
      <c r="J595" s="78"/>
      <c r="K595" s="78"/>
      <c r="L595" s="78"/>
      <c r="M595" s="78"/>
      <c r="N595" s="78"/>
      <c r="O595" s="78"/>
      <c r="P595" s="78"/>
      <c r="Q595" s="78"/>
      <c r="R595" s="78"/>
      <c r="S595" s="78"/>
    </row>
    <row r="596" ht="15.75" customHeight="1">
      <c r="A596" s="36"/>
      <c r="B596" s="78"/>
      <c r="C596" s="78"/>
      <c r="D596" s="78"/>
      <c r="E596" s="78"/>
      <c r="F596" s="78"/>
      <c r="G596" s="78"/>
      <c r="H596" s="78"/>
      <c r="I596" s="78"/>
      <c r="J596" s="78"/>
      <c r="K596" s="78"/>
      <c r="L596" s="78"/>
      <c r="M596" s="78"/>
      <c r="N596" s="78"/>
      <c r="O596" s="78"/>
      <c r="P596" s="78"/>
      <c r="Q596" s="78"/>
      <c r="R596" s="78"/>
      <c r="S596" s="78"/>
    </row>
    <row r="597" ht="15.75" customHeight="1">
      <c r="A597" s="36"/>
      <c r="B597" s="78"/>
      <c r="C597" s="78"/>
      <c r="D597" s="78"/>
      <c r="E597" s="78"/>
      <c r="F597" s="78"/>
      <c r="G597" s="78"/>
      <c r="H597" s="78"/>
      <c r="I597" s="78"/>
      <c r="J597" s="78"/>
      <c r="K597" s="78"/>
      <c r="L597" s="78"/>
      <c r="M597" s="78"/>
      <c r="N597" s="78"/>
      <c r="O597" s="78"/>
      <c r="P597" s="78"/>
      <c r="Q597" s="78"/>
      <c r="R597" s="78"/>
      <c r="S597" s="78"/>
    </row>
    <row r="598" ht="15.75" customHeight="1">
      <c r="A598" s="36"/>
      <c r="B598" s="78"/>
      <c r="C598" s="78"/>
      <c r="D598" s="78"/>
      <c r="E598" s="78"/>
      <c r="F598" s="78"/>
      <c r="G598" s="78"/>
      <c r="H598" s="78"/>
      <c r="I598" s="78"/>
      <c r="J598" s="78"/>
      <c r="K598" s="78"/>
      <c r="L598" s="78"/>
      <c r="M598" s="78"/>
      <c r="N598" s="78"/>
      <c r="O598" s="78"/>
      <c r="P598" s="78"/>
      <c r="Q598" s="78"/>
      <c r="R598" s="78"/>
      <c r="S598" s="78"/>
    </row>
    <row r="599" ht="15.75" customHeight="1">
      <c r="A599" s="36"/>
      <c r="B599" s="78"/>
      <c r="C599" s="78"/>
      <c r="D599" s="78"/>
      <c r="E599" s="78"/>
      <c r="F599" s="78"/>
      <c r="G599" s="78"/>
      <c r="H599" s="78"/>
      <c r="I599" s="78"/>
      <c r="J599" s="78"/>
      <c r="K599" s="78"/>
      <c r="L599" s="78"/>
      <c r="M599" s="78"/>
      <c r="N599" s="78"/>
      <c r="O599" s="78"/>
      <c r="P599" s="78"/>
      <c r="Q599" s="78"/>
      <c r="R599" s="78"/>
      <c r="S599" s="78"/>
    </row>
    <row r="600" ht="15.75" customHeight="1">
      <c r="A600" s="36"/>
      <c r="B600" s="78"/>
      <c r="C600" s="78"/>
      <c r="D600" s="78"/>
      <c r="E600" s="78"/>
      <c r="F600" s="78"/>
      <c r="G600" s="78"/>
      <c r="H600" s="78"/>
      <c r="I600" s="78"/>
      <c r="J600" s="78"/>
      <c r="K600" s="78"/>
      <c r="L600" s="78"/>
      <c r="M600" s="78"/>
      <c r="N600" s="78"/>
      <c r="O600" s="78"/>
      <c r="P600" s="78"/>
      <c r="Q600" s="78"/>
      <c r="R600" s="78"/>
      <c r="S600" s="78"/>
    </row>
    <row r="601" ht="15.75" customHeight="1">
      <c r="A601" s="36"/>
      <c r="B601" s="78"/>
      <c r="C601" s="78"/>
      <c r="D601" s="78"/>
      <c r="E601" s="78"/>
      <c r="F601" s="78"/>
      <c r="G601" s="78"/>
      <c r="H601" s="78"/>
      <c r="I601" s="78"/>
      <c r="J601" s="78"/>
      <c r="K601" s="78"/>
      <c r="L601" s="78"/>
      <c r="M601" s="78"/>
      <c r="N601" s="78"/>
      <c r="O601" s="78"/>
      <c r="P601" s="78"/>
      <c r="Q601" s="78"/>
      <c r="R601" s="78"/>
      <c r="S601" s="78"/>
    </row>
    <row r="602" ht="15.75" customHeight="1">
      <c r="A602" s="36"/>
      <c r="B602" s="78"/>
      <c r="C602" s="78"/>
      <c r="D602" s="78"/>
      <c r="E602" s="78"/>
      <c r="F602" s="78"/>
      <c r="G602" s="78"/>
      <c r="H602" s="78"/>
      <c r="I602" s="78"/>
      <c r="J602" s="78"/>
      <c r="K602" s="78"/>
      <c r="L602" s="78"/>
      <c r="M602" s="78"/>
      <c r="N602" s="78"/>
      <c r="O602" s="78"/>
      <c r="P602" s="78"/>
      <c r="Q602" s="78"/>
      <c r="R602" s="78"/>
      <c r="S602" s="78"/>
    </row>
    <row r="603" ht="15.75" customHeight="1">
      <c r="A603" s="36"/>
      <c r="B603" s="78"/>
      <c r="C603" s="78"/>
      <c r="D603" s="78"/>
      <c r="E603" s="78"/>
      <c r="F603" s="78"/>
      <c r="G603" s="78"/>
      <c r="H603" s="78"/>
      <c r="I603" s="78"/>
      <c r="J603" s="78"/>
      <c r="K603" s="78"/>
      <c r="L603" s="78"/>
      <c r="M603" s="78"/>
      <c r="N603" s="78"/>
      <c r="O603" s="78"/>
      <c r="P603" s="78"/>
      <c r="Q603" s="78"/>
      <c r="R603" s="78"/>
      <c r="S603" s="78"/>
    </row>
    <row r="604" ht="15.75" customHeight="1">
      <c r="A604" s="36"/>
      <c r="B604" s="78"/>
      <c r="C604" s="78"/>
      <c r="D604" s="78"/>
      <c r="E604" s="78"/>
      <c r="F604" s="78"/>
      <c r="G604" s="78"/>
      <c r="H604" s="78"/>
      <c r="I604" s="78"/>
      <c r="J604" s="78"/>
      <c r="K604" s="78"/>
      <c r="L604" s="78"/>
      <c r="M604" s="78"/>
      <c r="N604" s="78"/>
      <c r="O604" s="78"/>
      <c r="P604" s="78"/>
      <c r="Q604" s="78"/>
      <c r="R604" s="78"/>
      <c r="S604" s="78"/>
    </row>
    <row r="605" ht="15.75" customHeight="1">
      <c r="A605" s="36"/>
      <c r="B605" s="78"/>
      <c r="C605" s="78"/>
      <c r="D605" s="78"/>
      <c r="E605" s="78"/>
      <c r="F605" s="78"/>
      <c r="G605" s="78"/>
      <c r="H605" s="78"/>
      <c r="I605" s="78"/>
      <c r="J605" s="78"/>
      <c r="K605" s="78"/>
      <c r="L605" s="78"/>
      <c r="M605" s="78"/>
      <c r="N605" s="78"/>
      <c r="O605" s="78"/>
      <c r="P605" s="78"/>
      <c r="Q605" s="78"/>
      <c r="R605" s="78"/>
      <c r="S605" s="78"/>
    </row>
    <row r="606" ht="15.75" customHeight="1">
      <c r="A606" s="36"/>
      <c r="B606" s="78"/>
      <c r="C606" s="78"/>
      <c r="D606" s="78"/>
      <c r="E606" s="78"/>
      <c r="F606" s="78"/>
      <c r="G606" s="78"/>
      <c r="H606" s="78"/>
      <c r="I606" s="78"/>
      <c r="J606" s="78"/>
      <c r="K606" s="78"/>
      <c r="L606" s="78"/>
      <c r="M606" s="78"/>
      <c r="N606" s="78"/>
      <c r="O606" s="78"/>
      <c r="P606" s="78"/>
      <c r="Q606" s="78"/>
      <c r="R606" s="78"/>
      <c r="S606" s="78"/>
    </row>
    <row r="607" ht="15.75" customHeight="1">
      <c r="A607" s="36"/>
      <c r="B607" s="78"/>
      <c r="C607" s="78"/>
      <c r="D607" s="78"/>
      <c r="E607" s="78"/>
      <c r="F607" s="78"/>
      <c r="G607" s="78"/>
      <c r="H607" s="78"/>
      <c r="I607" s="78"/>
      <c r="J607" s="78"/>
      <c r="K607" s="78"/>
      <c r="L607" s="78"/>
      <c r="M607" s="78"/>
      <c r="N607" s="78"/>
      <c r="O607" s="78"/>
      <c r="P607" s="78"/>
      <c r="Q607" s="78"/>
      <c r="R607" s="78"/>
      <c r="S607" s="78"/>
    </row>
    <row r="608" ht="15.75" customHeight="1">
      <c r="A608" s="36"/>
      <c r="B608" s="78"/>
      <c r="C608" s="78"/>
      <c r="D608" s="78"/>
      <c r="E608" s="78"/>
      <c r="F608" s="78"/>
      <c r="G608" s="78"/>
      <c r="H608" s="78"/>
      <c r="I608" s="78"/>
      <c r="J608" s="78"/>
      <c r="K608" s="78"/>
      <c r="L608" s="78"/>
      <c r="M608" s="78"/>
      <c r="N608" s="78"/>
      <c r="O608" s="78"/>
      <c r="P608" s="78"/>
      <c r="Q608" s="78"/>
      <c r="R608" s="78"/>
      <c r="S608" s="78"/>
    </row>
    <row r="609" ht="15.75" customHeight="1">
      <c r="A609" s="36"/>
      <c r="B609" s="78"/>
      <c r="C609" s="78"/>
      <c r="D609" s="78"/>
      <c r="E609" s="78"/>
      <c r="F609" s="78"/>
      <c r="G609" s="78"/>
      <c r="H609" s="78"/>
      <c r="I609" s="78"/>
      <c r="J609" s="78"/>
      <c r="K609" s="78"/>
      <c r="L609" s="78"/>
      <c r="M609" s="78"/>
      <c r="N609" s="78"/>
      <c r="O609" s="78"/>
      <c r="P609" s="78"/>
      <c r="Q609" s="78"/>
      <c r="R609" s="78"/>
      <c r="S609" s="78"/>
    </row>
    <row r="610" ht="15.75" customHeight="1">
      <c r="A610" s="36"/>
      <c r="B610" s="78"/>
      <c r="C610" s="78"/>
      <c r="D610" s="78"/>
      <c r="E610" s="78"/>
      <c r="F610" s="78"/>
      <c r="G610" s="78"/>
      <c r="H610" s="78"/>
      <c r="I610" s="78"/>
      <c r="J610" s="78"/>
      <c r="K610" s="78"/>
      <c r="L610" s="78"/>
      <c r="M610" s="78"/>
      <c r="N610" s="78"/>
      <c r="O610" s="78"/>
      <c r="P610" s="78"/>
      <c r="Q610" s="78"/>
      <c r="R610" s="78"/>
      <c r="S610" s="78"/>
    </row>
    <row r="611" ht="15.75" customHeight="1">
      <c r="A611" s="36"/>
      <c r="B611" s="78"/>
      <c r="C611" s="78"/>
      <c r="D611" s="78"/>
      <c r="E611" s="78"/>
      <c r="F611" s="78"/>
      <c r="G611" s="78"/>
      <c r="H611" s="78"/>
      <c r="I611" s="78"/>
      <c r="J611" s="78"/>
      <c r="K611" s="78"/>
      <c r="L611" s="78"/>
      <c r="M611" s="78"/>
      <c r="N611" s="78"/>
      <c r="O611" s="78"/>
      <c r="P611" s="78"/>
      <c r="Q611" s="78"/>
      <c r="R611" s="78"/>
      <c r="S611" s="78"/>
    </row>
    <row r="612" ht="15.75" customHeight="1">
      <c r="A612" s="36"/>
      <c r="B612" s="78"/>
      <c r="C612" s="78"/>
      <c r="D612" s="78"/>
      <c r="E612" s="78"/>
      <c r="F612" s="78"/>
      <c r="G612" s="78"/>
      <c r="H612" s="78"/>
      <c r="I612" s="78"/>
      <c r="J612" s="78"/>
      <c r="K612" s="78"/>
      <c r="L612" s="78"/>
      <c r="M612" s="78"/>
      <c r="N612" s="78"/>
      <c r="O612" s="78"/>
      <c r="P612" s="78"/>
      <c r="Q612" s="78"/>
      <c r="R612" s="78"/>
      <c r="S612" s="78"/>
    </row>
    <row r="613" ht="15.75" customHeight="1">
      <c r="A613" s="36"/>
      <c r="B613" s="78"/>
      <c r="C613" s="78"/>
      <c r="D613" s="78"/>
      <c r="E613" s="78"/>
      <c r="F613" s="78"/>
      <c r="G613" s="78"/>
      <c r="H613" s="78"/>
      <c r="I613" s="78"/>
      <c r="J613" s="78"/>
      <c r="K613" s="78"/>
      <c r="L613" s="78"/>
      <c r="M613" s="78"/>
      <c r="N613" s="78"/>
      <c r="O613" s="78"/>
      <c r="P613" s="78"/>
      <c r="Q613" s="78"/>
      <c r="R613" s="78"/>
      <c r="S613" s="78"/>
    </row>
    <row r="614" ht="15.75" customHeight="1">
      <c r="A614" s="36"/>
      <c r="B614" s="78"/>
      <c r="C614" s="78"/>
      <c r="D614" s="78"/>
      <c r="E614" s="78"/>
      <c r="F614" s="78"/>
      <c r="G614" s="78"/>
      <c r="H614" s="78"/>
      <c r="I614" s="78"/>
      <c r="J614" s="78"/>
      <c r="K614" s="78"/>
      <c r="L614" s="78"/>
      <c r="M614" s="78"/>
      <c r="N614" s="78"/>
      <c r="O614" s="78"/>
      <c r="P614" s="78"/>
      <c r="Q614" s="78"/>
      <c r="R614" s="78"/>
      <c r="S614" s="78"/>
    </row>
    <row r="615" ht="15.75" customHeight="1">
      <c r="A615" s="36"/>
      <c r="B615" s="78"/>
      <c r="C615" s="78"/>
      <c r="D615" s="78"/>
      <c r="E615" s="78"/>
      <c r="F615" s="78"/>
      <c r="G615" s="78"/>
      <c r="H615" s="78"/>
      <c r="I615" s="78"/>
      <c r="J615" s="78"/>
      <c r="K615" s="78"/>
      <c r="L615" s="78"/>
      <c r="M615" s="78"/>
      <c r="N615" s="78"/>
      <c r="O615" s="78"/>
      <c r="P615" s="78"/>
      <c r="Q615" s="78"/>
      <c r="R615" s="78"/>
      <c r="S615" s="78"/>
    </row>
    <row r="616" ht="15.75" customHeight="1">
      <c r="A616" s="36"/>
      <c r="B616" s="78"/>
      <c r="C616" s="78"/>
      <c r="D616" s="78"/>
      <c r="E616" s="78"/>
      <c r="F616" s="78"/>
      <c r="G616" s="78"/>
      <c r="H616" s="78"/>
      <c r="I616" s="78"/>
      <c r="J616" s="78"/>
      <c r="K616" s="78"/>
      <c r="L616" s="78"/>
      <c r="M616" s="78"/>
      <c r="N616" s="78"/>
      <c r="O616" s="78"/>
      <c r="P616" s="78"/>
      <c r="Q616" s="78"/>
      <c r="R616" s="78"/>
      <c r="S616" s="78"/>
    </row>
    <row r="617" ht="15.75" customHeight="1">
      <c r="A617" s="36"/>
      <c r="B617" s="78"/>
      <c r="C617" s="78"/>
      <c r="D617" s="78"/>
      <c r="E617" s="78"/>
      <c r="F617" s="78"/>
      <c r="G617" s="78"/>
      <c r="H617" s="78"/>
      <c r="I617" s="78"/>
      <c r="J617" s="78"/>
      <c r="K617" s="78"/>
      <c r="L617" s="78"/>
      <c r="M617" s="78"/>
      <c r="N617" s="78"/>
      <c r="O617" s="78"/>
      <c r="P617" s="78"/>
      <c r="Q617" s="78"/>
      <c r="R617" s="78"/>
      <c r="S617" s="78"/>
    </row>
    <row r="618" ht="15.75" customHeight="1">
      <c r="A618" s="36"/>
      <c r="B618" s="78"/>
      <c r="C618" s="78"/>
      <c r="D618" s="78"/>
      <c r="E618" s="78"/>
      <c r="F618" s="78"/>
      <c r="G618" s="78"/>
      <c r="H618" s="78"/>
      <c r="I618" s="78"/>
      <c r="J618" s="78"/>
      <c r="K618" s="78"/>
      <c r="L618" s="78"/>
      <c r="M618" s="78"/>
      <c r="N618" s="78"/>
      <c r="O618" s="78"/>
      <c r="P618" s="78"/>
      <c r="Q618" s="78"/>
      <c r="R618" s="78"/>
      <c r="S618" s="78"/>
    </row>
    <row r="619" ht="15.75" customHeight="1">
      <c r="A619" s="36"/>
      <c r="B619" s="78"/>
      <c r="C619" s="78"/>
      <c r="D619" s="78"/>
      <c r="E619" s="78"/>
      <c r="F619" s="78"/>
      <c r="G619" s="78"/>
      <c r="H619" s="78"/>
      <c r="I619" s="78"/>
      <c r="J619" s="78"/>
      <c r="K619" s="78"/>
      <c r="L619" s="78"/>
      <c r="M619" s="78"/>
      <c r="N619" s="78"/>
      <c r="O619" s="78"/>
      <c r="P619" s="78"/>
      <c r="Q619" s="78"/>
      <c r="R619" s="78"/>
      <c r="S619" s="78"/>
    </row>
    <row r="620" ht="15.75" customHeight="1">
      <c r="A620" s="36"/>
      <c r="B620" s="78"/>
      <c r="C620" s="78"/>
      <c r="D620" s="78"/>
      <c r="E620" s="78"/>
      <c r="F620" s="78"/>
      <c r="G620" s="78"/>
      <c r="H620" s="78"/>
      <c r="I620" s="78"/>
      <c r="J620" s="78"/>
      <c r="K620" s="78"/>
      <c r="L620" s="78"/>
      <c r="M620" s="78"/>
      <c r="N620" s="78"/>
      <c r="O620" s="78"/>
      <c r="P620" s="78"/>
      <c r="Q620" s="78"/>
      <c r="R620" s="78"/>
      <c r="S620" s="78"/>
    </row>
    <row r="621" ht="15.75" customHeight="1">
      <c r="A621" s="36"/>
      <c r="B621" s="78"/>
      <c r="C621" s="78"/>
      <c r="D621" s="78"/>
      <c r="E621" s="78"/>
      <c r="F621" s="78"/>
      <c r="G621" s="78"/>
      <c r="H621" s="78"/>
      <c r="I621" s="78"/>
      <c r="J621" s="78"/>
      <c r="K621" s="78"/>
      <c r="L621" s="78"/>
      <c r="M621" s="78"/>
      <c r="N621" s="78"/>
      <c r="O621" s="78"/>
      <c r="P621" s="78"/>
      <c r="Q621" s="78"/>
      <c r="R621" s="78"/>
      <c r="S621" s="78"/>
    </row>
    <row r="622" ht="15.75" customHeight="1">
      <c r="A622" s="36"/>
      <c r="B622" s="78"/>
      <c r="C622" s="78"/>
      <c r="D622" s="78"/>
      <c r="E622" s="78"/>
      <c r="F622" s="78"/>
      <c r="G622" s="78"/>
      <c r="H622" s="78"/>
      <c r="I622" s="78"/>
      <c r="J622" s="78"/>
      <c r="K622" s="78"/>
      <c r="L622" s="78"/>
      <c r="M622" s="78"/>
      <c r="N622" s="78"/>
      <c r="O622" s="78"/>
      <c r="P622" s="78"/>
      <c r="Q622" s="78"/>
      <c r="R622" s="78"/>
      <c r="S622" s="78"/>
    </row>
    <row r="623" ht="15.75" customHeight="1">
      <c r="A623" s="36"/>
      <c r="B623" s="78"/>
      <c r="C623" s="78"/>
      <c r="D623" s="78"/>
      <c r="E623" s="78"/>
      <c r="F623" s="78"/>
      <c r="G623" s="78"/>
      <c r="H623" s="78"/>
      <c r="I623" s="78"/>
      <c r="J623" s="78"/>
      <c r="K623" s="78"/>
      <c r="L623" s="78"/>
      <c r="M623" s="78"/>
      <c r="N623" s="78"/>
      <c r="O623" s="78"/>
      <c r="P623" s="78"/>
      <c r="Q623" s="78"/>
      <c r="R623" s="78"/>
      <c r="S623" s="78"/>
    </row>
    <row r="624" ht="15.75" customHeight="1">
      <c r="A624" s="36"/>
      <c r="B624" s="78"/>
      <c r="C624" s="78"/>
      <c r="D624" s="78"/>
      <c r="E624" s="78"/>
      <c r="F624" s="78"/>
      <c r="G624" s="78"/>
      <c r="H624" s="78"/>
      <c r="I624" s="78"/>
      <c r="J624" s="78"/>
      <c r="K624" s="78"/>
      <c r="L624" s="78"/>
      <c r="M624" s="78"/>
      <c r="N624" s="78"/>
      <c r="O624" s="78"/>
      <c r="P624" s="78"/>
      <c r="Q624" s="78"/>
      <c r="R624" s="78"/>
      <c r="S624" s="78"/>
    </row>
    <row r="625" ht="15.75" customHeight="1">
      <c r="A625" s="36"/>
      <c r="B625" s="78"/>
      <c r="C625" s="78"/>
      <c r="D625" s="78"/>
      <c r="E625" s="78"/>
      <c r="F625" s="78"/>
      <c r="G625" s="78"/>
      <c r="H625" s="78"/>
      <c r="I625" s="78"/>
      <c r="J625" s="78"/>
      <c r="K625" s="78"/>
      <c r="L625" s="78"/>
      <c r="M625" s="78"/>
      <c r="N625" s="78"/>
      <c r="O625" s="78"/>
      <c r="P625" s="78"/>
      <c r="Q625" s="78"/>
      <c r="R625" s="78"/>
      <c r="S625" s="78"/>
    </row>
    <row r="626" ht="15.75" customHeight="1">
      <c r="A626" s="36"/>
      <c r="B626" s="78"/>
      <c r="C626" s="78"/>
      <c r="D626" s="78"/>
      <c r="E626" s="78"/>
      <c r="F626" s="78"/>
      <c r="G626" s="78"/>
      <c r="H626" s="78"/>
      <c r="I626" s="78"/>
      <c r="J626" s="78"/>
      <c r="K626" s="78"/>
      <c r="L626" s="78"/>
      <c r="M626" s="78"/>
      <c r="N626" s="78"/>
      <c r="O626" s="78"/>
      <c r="P626" s="78"/>
      <c r="Q626" s="78"/>
      <c r="R626" s="78"/>
      <c r="S626" s="78"/>
    </row>
    <row r="627" ht="15.75" customHeight="1">
      <c r="A627" s="36"/>
      <c r="B627" s="78"/>
      <c r="C627" s="78"/>
      <c r="D627" s="78"/>
      <c r="E627" s="78"/>
      <c r="F627" s="78"/>
      <c r="G627" s="78"/>
      <c r="H627" s="78"/>
      <c r="I627" s="78"/>
      <c r="J627" s="78"/>
      <c r="K627" s="78"/>
      <c r="L627" s="78"/>
      <c r="M627" s="78"/>
      <c r="N627" s="78"/>
      <c r="O627" s="78"/>
      <c r="P627" s="78"/>
      <c r="Q627" s="78"/>
      <c r="R627" s="78"/>
      <c r="S627" s="78"/>
    </row>
    <row r="628" ht="15.75" customHeight="1">
      <c r="A628" s="36"/>
      <c r="B628" s="78"/>
      <c r="C628" s="78"/>
      <c r="D628" s="78"/>
      <c r="E628" s="78"/>
      <c r="F628" s="78"/>
      <c r="G628" s="78"/>
      <c r="H628" s="78"/>
      <c r="I628" s="78"/>
      <c r="J628" s="78"/>
      <c r="K628" s="78"/>
      <c r="L628" s="78"/>
      <c r="M628" s="78"/>
      <c r="N628" s="78"/>
      <c r="O628" s="78"/>
      <c r="P628" s="78"/>
      <c r="Q628" s="78"/>
      <c r="R628" s="78"/>
      <c r="S628" s="78"/>
    </row>
    <row r="629" ht="15.75" customHeight="1">
      <c r="A629" s="36"/>
      <c r="B629" s="78"/>
      <c r="C629" s="78"/>
      <c r="D629" s="78"/>
      <c r="E629" s="78"/>
      <c r="F629" s="78"/>
      <c r="G629" s="78"/>
      <c r="H629" s="78"/>
      <c r="I629" s="78"/>
      <c r="J629" s="78"/>
      <c r="K629" s="78"/>
      <c r="L629" s="78"/>
      <c r="M629" s="78"/>
      <c r="N629" s="78"/>
      <c r="O629" s="78"/>
      <c r="P629" s="78"/>
      <c r="Q629" s="78"/>
      <c r="R629" s="78"/>
      <c r="S629" s="78"/>
    </row>
    <row r="630" ht="15.75" customHeight="1">
      <c r="A630" s="36"/>
      <c r="B630" s="78"/>
      <c r="C630" s="78"/>
      <c r="D630" s="78"/>
      <c r="E630" s="78"/>
      <c r="F630" s="78"/>
      <c r="G630" s="78"/>
      <c r="H630" s="78"/>
      <c r="I630" s="78"/>
      <c r="J630" s="78"/>
      <c r="K630" s="78"/>
      <c r="L630" s="78"/>
      <c r="M630" s="78"/>
      <c r="N630" s="78"/>
      <c r="O630" s="78"/>
      <c r="P630" s="78"/>
      <c r="Q630" s="78"/>
      <c r="R630" s="78"/>
      <c r="S630" s="78"/>
    </row>
    <row r="631" ht="15.75" customHeight="1">
      <c r="A631" s="36"/>
      <c r="B631" s="78"/>
      <c r="C631" s="78"/>
      <c r="D631" s="78"/>
      <c r="E631" s="78"/>
      <c r="F631" s="78"/>
      <c r="G631" s="78"/>
      <c r="H631" s="78"/>
      <c r="I631" s="78"/>
      <c r="J631" s="78"/>
      <c r="K631" s="78"/>
      <c r="L631" s="78"/>
      <c r="M631" s="78"/>
      <c r="N631" s="78"/>
      <c r="O631" s="78"/>
      <c r="P631" s="78"/>
      <c r="Q631" s="78"/>
      <c r="R631" s="78"/>
      <c r="S631" s="78"/>
    </row>
    <row r="632" ht="15.75" customHeight="1">
      <c r="A632" s="36"/>
      <c r="B632" s="78"/>
      <c r="C632" s="78"/>
      <c r="D632" s="78"/>
      <c r="E632" s="78"/>
      <c r="F632" s="78"/>
      <c r="G632" s="78"/>
      <c r="H632" s="78"/>
      <c r="I632" s="78"/>
      <c r="J632" s="78"/>
      <c r="K632" s="78"/>
      <c r="L632" s="78"/>
      <c r="M632" s="78"/>
      <c r="N632" s="78"/>
      <c r="O632" s="78"/>
      <c r="P632" s="78"/>
      <c r="Q632" s="78"/>
      <c r="R632" s="78"/>
      <c r="S632" s="78"/>
    </row>
    <row r="633" ht="15.75" customHeight="1">
      <c r="A633" s="36"/>
      <c r="B633" s="78"/>
      <c r="C633" s="78"/>
      <c r="D633" s="78"/>
      <c r="E633" s="78"/>
      <c r="F633" s="78"/>
      <c r="G633" s="78"/>
      <c r="H633" s="78"/>
      <c r="I633" s="78"/>
      <c r="J633" s="78"/>
      <c r="K633" s="78"/>
      <c r="L633" s="78"/>
      <c r="M633" s="78"/>
      <c r="N633" s="78"/>
      <c r="O633" s="78"/>
      <c r="P633" s="78"/>
      <c r="Q633" s="78"/>
      <c r="R633" s="78"/>
      <c r="S633" s="78"/>
    </row>
    <row r="634" ht="15.75" customHeight="1">
      <c r="A634" s="36"/>
      <c r="B634" s="78"/>
      <c r="C634" s="78"/>
      <c r="D634" s="78"/>
      <c r="E634" s="78"/>
      <c r="F634" s="78"/>
      <c r="G634" s="78"/>
      <c r="H634" s="78"/>
      <c r="I634" s="78"/>
      <c r="J634" s="78"/>
      <c r="K634" s="78"/>
      <c r="L634" s="78"/>
      <c r="M634" s="78"/>
      <c r="N634" s="78"/>
      <c r="O634" s="78"/>
      <c r="P634" s="78"/>
      <c r="Q634" s="78"/>
      <c r="R634" s="78"/>
      <c r="S634" s="78"/>
    </row>
    <row r="635" ht="15.75" customHeight="1">
      <c r="A635" s="36"/>
      <c r="B635" s="78"/>
      <c r="C635" s="78"/>
      <c r="D635" s="78"/>
      <c r="E635" s="78"/>
      <c r="F635" s="78"/>
      <c r="G635" s="78"/>
      <c r="H635" s="78"/>
      <c r="I635" s="78"/>
      <c r="J635" s="78"/>
      <c r="K635" s="78"/>
      <c r="L635" s="78"/>
      <c r="M635" s="78"/>
      <c r="N635" s="78"/>
      <c r="O635" s="78"/>
      <c r="P635" s="78"/>
      <c r="Q635" s="78"/>
      <c r="R635" s="78"/>
      <c r="S635" s="78"/>
    </row>
    <row r="636" ht="15.75" customHeight="1">
      <c r="A636" s="36"/>
      <c r="B636" s="78"/>
      <c r="C636" s="78"/>
      <c r="D636" s="78"/>
      <c r="E636" s="78"/>
      <c r="F636" s="78"/>
      <c r="G636" s="78"/>
      <c r="H636" s="78"/>
      <c r="I636" s="78"/>
      <c r="J636" s="78"/>
      <c r="K636" s="78"/>
      <c r="L636" s="78"/>
      <c r="M636" s="78"/>
      <c r="N636" s="78"/>
      <c r="O636" s="78"/>
      <c r="P636" s="78"/>
      <c r="Q636" s="78"/>
      <c r="R636" s="78"/>
      <c r="S636" s="78"/>
    </row>
    <row r="637" ht="15.75" customHeight="1">
      <c r="A637" s="36"/>
      <c r="B637" s="78"/>
      <c r="C637" s="78"/>
      <c r="D637" s="78"/>
      <c r="E637" s="78"/>
      <c r="F637" s="78"/>
      <c r="G637" s="78"/>
      <c r="H637" s="78"/>
      <c r="I637" s="78"/>
      <c r="J637" s="78"/>
      <c r="K637" s="78"/>
      <c r="L637" s="78"/>
      <c r="M637" s="78"/>
      <c r="N637" s="78"/>
      <c r="O637" s="78"/>
      <c r="P637" s="78"/>
      <c r="Q637" s="78"/>
      <c r="R637" s="78"/>
      <c r="S637" s="78"/>
    </row>
    <row r="638" ht="15.75" customHeight="1">
      <c r="A638" s="36"/>
      <c r="B638" s="78"/>
      <c r="C638" s="78"/>
      <c r="D638" s="78"/>
      <c r="E638" s="78"/>
      <c r="F638" s="78"/>
      <c r="G638" s="78"/>
      <c r="H638" s="78"/>
      <c r="I638" s="78"/>
      <c r="J638" s="78"/>
      <c r="K638" s="78"/>
      <c r="L638" s="78"/>
      <c r="M638" s="78"/>
      <c r="N638" s="78"/>
      <c r="O638" s="78"/>
      <c r="P638" s="78"/>
      <c r="Q638" s="78"/>
      <c r="R638" s="78"/>
      <c r="S638" s="78"/>
    </row>
    <row r="639" ht="15.75" customHeight="1">
      <c r="A639" s="36"/>
      <c r="B639" s="78"/>
      <c r="C639" s="78"/>
      <c r="D639" s="78"/>
      <c r="E639" s="78"/>
      <c r="F639" s="78"/>
      <c r="G639" s="78"/>
      <c r="H639" s="78"/>
      <c r="I639" s="78"/>
      <c r="J639" s="78"/>
      <c r="K639" s="78"/>
      <c r="L639" s="78"/>
      <c r="M639" s="78"/>
      <c r="N639" s="78"/>
      <c r="O639" s="78"/>
      <c r="P639" s="78"/>
      <c r="Q639" s="78"/>
      <c r="R639" s="78"/>
      <c r="S639" s="78"/>
    </row>
    <row r="640" ht="15.75" customHeight="1">
      <c r="A640" s="36"/>
      <c r="B640" s="78"/>
      <c r="C640" s="78"/>
      <c r="D640" s="78"/>
      <c r="E640" s="78"/>
      <c r="F640" s="78"/>
      <c r="G640" s="78"/>
      <c r="H640" s="78"/>
      <c r="I640" s="78"/>
      <c r="J640" s="78"/>
      <c r="K640" s="78"/>
      <c r="L640" s="78"/>
      <c r="M640" s="78"/>
      <c r="N640" s="78"/>
      <c r="O640" s="78"/>
      <c r="P640" s="78"/>
      <c r="Q640" s="78"/>
      <c r="R640" s="78"/>
      <c r="S640" s="78"/>
    </row>
    <row r="641" ht="15.75" customHeight="1">
      <c r="A641" s="36"/>
      <c r="B641" s="78"/>
      <c r="C641" s="78"/>
      <c r="D641" s="78"/>
      <c r="E641" s="78"/>
      <c r="F641" s="78"/>
      <c r="G641" s="78"/>
      <c r="H641" s="78"/>
      <c r="I641" s="78"/>
      <c r="J641" s="78"/>
      <c r="K641" s="78"/>
      <c r="L641" s="78"/>
      <c r="M641" s="78"/>
      <c r="N641" s="78"/>
      <c r="O641" s="78"/>
      <c r="P641" s="78"/>
      <c r="Q641" s="78"/>
      <c r="R641" s="78"/>
      <c r="S641" s="78"/>
    </row>
    <row r="642" ht="15.75" customHeight="1">
      <c r="A642" s="36"/>
      <c r="B642" s="78"/>
      <c r="C642" s="78"/>
      <c r="D642" s="78"/>
      <c r="E642" s="78"/>
      <c r="F642" s="78"/>
      <c r="G642" s="78"/>
      <c r="H642" s="78"/>
      <c r="I642" s="78"/>
      <c r="J642" s="78"/>
      <c r="K642" s="78"/>
      <c r="L642" s="78"/>
      <c r="M642" s="78"/>
      <c r="N642" s="78"/>
      <c r="O642" s="78"/>
      <c r="P642" s="78"/>
      <c r="Q642" s="78"/>
      <c r="R642" s="78"/>
      <c r="S642" s="78"/>
    </row>
    <row r="643" ht="15.75" customHeight="1">
      <c r="A643" s="36"/>
      <c r="B643" s="78"/>
      <c r="C643" s="78"/>
      <c r="D643" s="78"/>
      <c r="E643" s="78"/>
      <c r="F643" s="78"/>
      <c r="G643" s="78"/>
      <c r="H643" s="78"/>
      <c r="I643" s="78"/>
      <c r="J643" s="78"/>
      <c r="K643" s="78"/>
      <c r="L643" s="78"/>
      <c r="M643" s="78"/>
      <c r="N643" s="78"/>
      <c r="O643" s="78"/>
      <c r="P643" s="78"/>
      <c r="Q643" s="78"/>
      <c r="R643" s="78"/>
      <c r="S643" s="78"/>
    </row>
    <row r="644" ht="15.75" customHeight="1">
      <c r="A644" s="36"/>
      <c r="B644" s="78"/>
      <c r="C644" s="78"/>
      <c r="D644" s="78"/>
      <c r="E644" s="78"/>
      <c r="F644" s="78"/>
      <c r="G644" s="78"/>
      <c r="H644" s="78"/>
      <c r="I644" s="78"/>
      <c r="J644" s="78"/>
      <c r="K644" s="78"/>
      <c r="L644" s="78"/>
      <c r="M644" s="78"/>
      <c r="N644" s="78"/>
      <c r="O644" s="78"/>
      <c r="P644" s="78"/>
      <c r="Q644" s="78"/>
      <c r="R644" s="78"/>
      <c r="S644" s="78"/>
    </row>
    <row r="645" ht="15.75" customHeight="1">
      <c r="A645" s="36"/>
      <c r="B645" s="78"/>
      <c r="C645" s="78"/>
      <c r="D645" s="78"/>
      <c r="E645" s="78"/>
      <c r="F645" s="78"/>
      <c r="G645" s="78"/>
      <c r="H645" s="78"/>
      <c r="I645" s="78"/>
      <c r="J645" s="78"/>
      <c r="K645" s="78"/>
      <c r="L645" s="78"/>
      <c r="M645" s="78"/>
      <c r="N645" s="78"/>
      <c r="O645" s="78"/>
      <c r="P645" s="78"/>
      <c r="Q645" s="78"/>
      <c r="R645" s="78"/>
      <c r="S645" s="78"/>
    </row>
    <row r="646" ht="15.75" customHeight="1">
      <c r="A646" s="36"/>
      <c r="B646" s="78"/>
      <c r="C646" s="78"/>
      <c r="D646" s="78"/>
      <c r="E646" s="78"/>
      <c r="F646" s="78"/>
      <c r="G646" s="78"/>
      <c r="H646" s="78"/>
      <c r="I646" s="78"/>
      <c r="J646" s="78"/>
      <c r="K646" s="78"/>
      <c r="L646" s="78"/>
      <c r="M646" s="78"/>
      <c r="N646" s="78"/>
      <c r="O646" s="78"/>
      <c r="P646" s="78"/>
      <c r="Q646" s="78"/>
      <c r="R646" s="78"/>
      <c r="S646" s="78"/>
    </row>
    <row r="647" ht="15.75" customHeight="1">
      <c r="A647" s="36"/>
      <c r="B647" s="78"/>
      <c r="C647" s="78"/>
      <c r="D647" s="78"/>
      <c r="E647" s="78"/>
      <c r="F647" s="78"/>
      <c r="G647" s="78"/>
      <c r="H647" s="78"/>
      <c r="I647" s="78"/>
      <c r="J647" s="78"/>
      <c r="K647" s="78"/>
      <c r="L647" s="78"/>
      <c r="M647" s="78"/>
      <c r="N647" s="78"/>
      <c r="O647" s="78"/>
      <c r="P647" s="78"/>
      <c r="Q647" s="78"/>
      <c r="R647" s="78"/>
      <c r="S647" s="78"/>
    </row>
    <row r="648" ht="15.75" customHeight="1">
      <c r="A648" s="36"/>
      <c r="B648" s="78"/>
      <c r="C648" s="78"/>
      <c r="D648" s="78"/>
      <c r="E648" s="78"/>
      <c r="F648" s="78"/>
      <c r="G648" s="78"/>
      <c r="H648" s="78"/>
      <c r="I648" s="78"/>
      <c r="J648" s="78"/>
      <c r="K648" s="78"/>
      <c r="L648" s="78"/>
      <c r="M648" s="78"/>
      <c r="N648" s="78"/>
      <c r="O648" s="78"/>
      <c r="P648" s="78"/>
      <c r="Q648" s="78"/>
      <c r="R648" s="78"/>
      <c r="S648" s="78"/>
    </row>
    <row r="649" ht="15.75" customHeight="1">
      <c r="A649" s="36"/>
      <c r="B649" s="78"/>
      <c r="C649" s="78"/>
      <c r="D649" s="78"/>
      <c r="E649" s="78"/>
      <c r="F649" s="78"/>
      <c r="G649" s="78"/>
      <c r="H649" s="78"/>
      <c r="I649" s="78"/>
      <c r="J649" s="78"/>
      <c r="K649" s="78"/>
      <c r="L649" s="78"/>
      <c r="M649" s="78"/>
      <c r="N649" s="78"/>
      <c r="O649" s="78"/>
      <c r="P649" s="78"/>
      <c r="Q649" s="78"/>
      <c r="R649" s="78"/>
      <c r="S649" s="78"/>
    </row>
    <row r="650" ht="15.75" customHeight="1">
      <c r="A650" s="36"/>
      <c r="B650" s="78"/>
      <c r="C650" s="78"/>
      <c r="D650" s="78"/>
      <c r="E650" s="78"/>
      <c r="F650" s="78"/>
      <c r="G650" s="78"/>
      <c r="H650" s="78"/>
      <c r="I650" s="78"/>
      <c r="J650" s="78"/>
      <c r="K650" s="78"/>
      <c r="L650" s="78"/>
      <c r="M650" s="78"/>
      <c r="N650" s="78"/>
      <c r="O650" s="78"/>
      <c r="P650" s="78"/>
      <c r="Q650" s="78"/>
      <c r="R650" s="78"/>
      <c r="S650" s="78"/>
    </row>
    <row r="651" ht="15.75" customHeight="1">
      <c r="A651" s="36"/>
      <c r="B651" s="78"/>
      <c r="C651" s="78"/>
      <c r="D651" s="78"/>
      <c r="E651" s="78"/>
      <c r="F651" s="78"/>
      <c r="G651" s="78"/>
      <c r="H651" s="78"/>
      <c r="I651" s="78"/>
      <c r="J651" s="78"/>
      <c r="K651" s="78"/>
      <c r="L651" s="78"/>
      <c r="M651" s="78"/>
      <c r="N651" s="78"/>
      <c r="O651" s="78"/>
      <c r="P651" s="78"/>
      <c r="Q651" s="78"/>
      <c r="R651" s="78"/>
      <c r="S651" s="78"/>
    </row>
    <row r="652" ht="15.75" customHeight="1">
      <c r="A652" s="36"/>
      <c r="B652" s="78"/>
      <c r="C652" s="78"/>
      <c r="D652" s="78"/>
      <c r="E652" s="78"/>
      <c r="F652" s="78"/>
      <c r="G652" s="78"/>
      <c r="H652" s="78"/>
      <c r="I652" s="78"/>
      <c r="J652" s="78"/>
      <c r="K652" s="78"/>
      <c r="L652" s="78"/>
      <c r="M652" s="78"/>
      <c r="N652" s="78"/>
      <c r="O652" s="78"/>
      <c r="P652" s="78"/>
      <c r="Q652" s="78"/>
      <c r="R652" s="78"/>
      <c r="S652" s="78"/>
    </row>
    <row r="653" ht="15.75" customHeight="1">
      <c r="A653" s="36"/>
      <c r="B653" s="78"/>
      <c r="C653" s="78"/>
      <c r="D653" s="78"/>
      <c r="E653" s="78"/>
      <c r="F653" s="78"/>
      <c r="G653" s="78"/>
      <c r="H653" s="78"/>
      <c r="I653" s="78"/>
      <c r="J653" s="78"/>
      <c r="K653" s="78"/>
      <c r="L653" s="78"/>
      <c r="M653" s="78"/>
      <c r="N653" s="78"/>
      <c r="O653" s="78"/>
      <c r="P653" s="78"/>
      <c r="Q653" s="78"/>
      <c r="R653" s="78"/>
      <c r="S653" s="78"/>
    </row>
    <row r="654" ht="15.75" customHeight="1">
      <c r="A654" s="36"/>
      <c r="B654" s="78"/>
      <c r="C654" s="78"/>
      <c r="D654" s="78"/>
      <c r="E654" s="78"/>
      <c r="F654" s="78"/>
      <c r="G654" s="78"/>
      <c r="H654" s="78"/>
      <c r="I654" s="78"/>
      <c r="J654" s="78"/>
      <c r="K654" s="78"/>
      <c r="L654" s="78"/>
      <c r="M654" s="78"/>
      <c r="N654" s="78"/>
      <c r="O654" s="78"/>
      <c r="P654" s="78"/>
      <c r="Q654" s="78"/>
      <c r="R654" s="78"/>
      <c r="S654" s="78"/>
    </row>
    <row r="655" ht="15.75" customHeight="1">
      <c r="A655" s="36"/>
      <c r="B655" s="78"/>
      <c r="C655" s="78"/>
      <c r="D655" s="78"/>
      <c r="E655" s="78"/>
      <c r="F655" s="78"/>
      <c r="G655" s="78"/>
      <c r="H655" s="78"/>
      <c r="I655" s="78"/>
      <c r="J655" s="78"/>
      <c r="K655" s="78"/>
      <c r="L655" s="78"/>
      <c r="M655" s="78"/>
      <c r="N655" s="78"/>
      <c r="O655" s="78"/>
      <c r="P655" s="78"/>
      <c r="Q655" s="78"/>
      <c r="R655" s="78"/>
      <c r="S655" s="78"/>
    </row>
    <row r="656" ht="15.75" customHeight="1">
      <c r="A656" s="36"/>
      <c r="B656" s="78"/>
      <c r="C656" s="78"/>
      <c r="D656" s="78"/>
      <c r="E656" s="78"/>
      <c r="F656" s="78"/>
      <c r="G656" s="78"/>
      <c r="H656" s="78"/>
      <c r="I656" s="78"/>
      <c r="J656" s="78"/>
      <c r="K656" s="78"/>
      <c r="L656" s="78"/>
      <c r="M656" s="78"/>
      <c r="N656" s="78"/>
      <c r="O656" s="78"/>
      <c r="P656" s="78"/>
      <c r="Q656" s="78"/>
      <c r="R656" s="78"/>
      <c r="S656" s="78"/>
    </row>
    <row r="657" ht="15.75" customHeight="1">
      <c r="A657" s="36"/>
      <c r="B657" s="78"/>
      <c r="C657" s="78"/>
      <c r="D657" s="78"/>
      <c r="E657" s="78"/>
      <c r="F657" s="78"/>
      <c r="G657" s="78"/>
      <c r="H657" s="78"/>
      <c r="I657" s="78"/>
      <c r="J657" s="78"/>
      <c r="K657" s="78"/>
      <c r="L657" s="78"/>
      <c r="M657" s="78"/>
      <c r="N657" s="78"/>
      <c r="O657" s="78"/>
      <c r="P657" s="78"/>
      <c r="Q657" s="78"/>
      <c r="R657" s="78"/>
      <c r="S657" s="78"/>
    </row>
    <row r="658" ht="15.75" customHeight="1">
      <c r="A658" s="36"/>
      <c r="B658" s="78"/>
      <c r="C658" s="78"/>
      <c r="D658" s="78"/>
      <c r="E658" s="78"/>
      <c r="F658" s="78"/>
      <c r="G658" s="78"/>
      <c r="H658" s="78"/>
      <c r="I658" s="78"/>
      <c r="J658" s="78"/>
      <c r="K658" s="78"/>
      <c r="L658" s="78"/>
      <c r="M658" s="78"/>
      <c r="N658" s="78"/>
      <c r="O658" s="78"/>
      <c r="P658" s="78"/>
      <c r="Q658" s="78"/>
      <c r="R658" s="78"/>
      <c r="S658" s="78"/>
    </row>
    <row r="659" ht="15.75" customHeight="1">
      <c r="A659" s="36"/>
      <c r="B659" s="78"/>
      <c r="C659" s="78"/>
      <c r="D659" s="78"/>
      <c r="E659" s="78"/>
      <c r="F659" s="78"/>
      <c r="G659" s="78"/>
      <c r="H659" s="78"/>
      <c r="I659" s="78"/>
      <c r="J659" s="78"/>
      <c r="K659" s="78"/>
      <c r="L659" s="78"/>
      <c r="M659" s="78"/>
      <c r="N659" s="78"/>
      <c r="O659" s="78"/>
      <c r="P659" s="78"/>
      <c r="Q659" s="78"/>
      <c r="R659" s="78"/>
      <c r="S659" s="78"/>
    </row>
    <row r="660" ht="15.75" customHeight="1">
      <c r="A660" s="36"/>
      <c r="B660" s="78"/>
      <c r="C660" s="78"/>
      <c r="D660" s="78"/>
      <c r="E660" s="78"/>
      <c r="F660" s="78"/>
      <c r="G660" s="78"/>
      <c r="H660" s="78"/>
      <c r="I660" s="78"/>
      <c r="J660" s="78"/>
      <c r="K660" s="78"/>
      <c r="L660" s="78"/>
      <c r="M660" s="78"/>
      <c r="N660" s="78"/>
      <c r="O660" s="78"/>
      <c r="P660" s="78"/>
      <c r="Q660" s="78"/>
      <c r="R660" s="78"/>
      <c r="S660" s="78"/>
    </row>
    <row r="661" ht="15.75" customHeight="1">
      <c r="A661" s="36"/>
      <c r="B661" s="78"/>
      <c r="C661" s="78"/>
      <c r="D661" s="78"/>
      <c r="E661" s="78"/>
      <c r="F661" s="78"/>
      <c r="G661" s="78"/>
      <c r="H661" s="78"/>
      <c r="I661" s="78"/>
      <c r="J661" s="78"/>
      <c r="K661" s="78"/>
      <c r="L661" s="78"/>
      <c r="M661" s="78"/>
      <c r="N661" s="78"/>
      <c r="O661" s="78"/>
      <c r="P661" s="78"/>
      <c r="Q661" s="78"/>
      <c r="R661" s="78"/>
      <c r="S661" s="78"/>
    </row>
    <row r="662" ht="15.75" customHeight="1">
      <c r="A662" s="36"/>
      <c r="B662" s="78"/>
      <c r="C662" s="78"/>
      <c r="D662" s="78"/>
      <c r="E662" s="78"/>
      <c r="F662" s="78"/>
      <c r="G662" s="78"/>
      <c r="H662" s="78"/>
      <c r="I662" s="78"/>
      <c r="J662" s="78"/>
      <c r="K662" s="78"/>
      <c r="L662" s="78"/>
      <c r="M662" s="78"/>
      <c r="N662" s="78"/>
      <c r="O662" s="78"/>
      <c r="P662" s="78"/>
      <c r="Q662" s="78"/>
      <c r="R662" s="78"/>
      <c r="S662" s="78"/>
    </row>
    <row r="663" ht="15.75" customHeight="1">
      <c r="A663" s="36"/>
      <c r="B663" s="78"/>
      <c r="C663" s="78"/>
      <c r="D663" s="78"/>
      <c r="E663" s="78"/>
      <c r="F663" s="78"/>
      <c r="G663" s="78"/>
      <c r="H663" s="78"/>
      <c r="I663" s="78"/>
      <c r="J663" s="78"/>
      <c r="K663" s="78"/>
      <c r="L663" s="78"/>
      <c r="M663" s="78"/>
      <c r="N663" s="78"/>
      <c r="O663" s="78"/>
      <c r="P663" s="78"/>
      <c r="Q663" s="78"/>
      <c r="R663" s="78"/>
      <c r="S663" s="78"/>
    </row>
    <row r="664" ht="15.75" customHeight="1">
      <c r="A664" s="36"/>
      <c r="B664" s="78"/>
      <c r="C664" s="78"/>
      <c r="D664" s="78"/>
      <c r="E664" s="78"/>
      <c r="F664" s="78"/>
      <c r="G664" s="78"/>
      <c r="H664" s="78"/>
      <c r="I664" s="78"/>
      <c r="J664" s="78"/>
      <c r="K664" s="78"/>
      <c r="L664" s="78"/>
      <c r="M664" s="78"/>
      <c r="N664" s="78"/>
      <c r="O664" s="78"/>
      <c r="P664" s="78"/>
      <c r="Q664" s="78"/>
      <c r="R664" s="78"/>
      <c r="S664" s="78"/>
    </row>
    <row r="665" ht="15.75" customHeight="1">
      <c r="A665" s="36"/>
      <c r="B665" s="78"/>
      <c r="C665" s="78"/>
      <c r="D665" s="78"/>
      <c r="E665" s="78"/>
      <c r="F665" s="78"/>
      <c r="G665" s="78"/>
      <c r="H665" s="78"/>
      <c r="I665" s="78"/>
      <c r="J665" s="78"/>
      <c r="K665" s="78"/>
      <c r="L665" s="78"/>
      <c r="M665" s="78"/>
      <c r="N665" s="78"/>
      <c r="O665" s="78"/>
      <c r="P665" s="78"/>
      <c r="Q665" s="78"/>
      <c r="R665" s="78"/>
      <c r="S665" s="78"/>
    </row>
    <row r="666" ht="15.75" customHeight="1">
      <c r="A666" s="36"/>
      <c r="B666" s="78"/>
      <c r="C666" s="78"/>
      <c r="D666" s="78"/>
      <c r="E666" s="78"/>
      <c r="F666" s="78"/>
      <c r="G666" s="78"/>
      <c r="H666" s="78"/>
      <c r="I666" s="78"/>
      <c r="J666" s="78"/>
      <c r="K666" s="78"/>
      <c r="L666" s="78"/>
      <c r="M666" s="78"/>
      <c r="N666" s="78"/>
      <c r="O666" s="78"/>
      <c r="P666" s="78"/>
      <c r="Q666" s="78"/>
      <c r="R666" s="78"/>
      <c r="S666" s="78"/>
    </row>
    <row r="667" ht="15.75" customHeight="1">
      <c r="A667" s="36"/>
      <c r="B667" s="78"/>
      <c r="C667" s="78"/>
      <c r="D667" s="78"/>
      <c r="E667" s="78"/>
      <c r="F667" s="78"/>
      <c r="G667" s="78"/>
      <c r="H667" s="78"/>
      <c r="I667" s="78"/>
      <c r="J667" s="78"/>
      <c r="K667" s="78"/>
      <c r="L667" s="78"/>
      <c r="M667" s="78"/>
      <c r="N667" s="78"/>
      <c r="O667" s="78"/>
      <c r="P667" s="78"/>
      <c r="Q667" s="78"/>
      <c r="R667" s="78"/>
      <c r="S667" s="78"/>
    </row>
    <row r="668" ht="15.75" customHeight="1">
      <c r="A668" s="36"/>
      <c r="B668" s="78"/>
      <c r="C668" s="78"/>
      <c r="D668" s="78"/>
      <c r="E668" s="78"/>
      <c r="F668" s="78"/>
      <c r="G668" s="78"/>
      <c r="H668" s="78"/>
      <c r="I668" s="78"/>
      <c r="J668" s="78"/>
      <c r="K668" s="78"/>
      <c r="L668" s="78"/>
      <c r="M668" s="78"/>
      <c r="N668" s="78"/>
      <c r="O668" s="78"/>
      <c r="P668" s="78"/>
      <c r="Q668" s="78"/>
      <c r="R668" s="78"/>
      <c r="S668" s="78"/>
    </row>
    <row r="669" ht="15.75" customHeight="1">
      <c r="A669" s="36"/>
      <c r="B669" s="78"/>
      <c r="C669" s="78"/>
      <c r="D669" s="78"/>
      <c r="E669" s="78"/>
      <c r="F669" s="78"/>
      <c r="G669" s="78"/>
      <c r="H669" s="78"/>
      <c r="I669" s="78"/>
      <c r="J669" s="78"/>
      <c r="K669" s="78"/>
      <c r="L669" s="78"/>
      <c r="M669" s="78"/>
      <c r="N669" s="78"/>
      <c r="O669" s="78"/>
      <c r="P669" s="78"/>
      <c r="Q669" s="78"/>
      <c r="R669" s="78"/>
      <c r="S669" s="78"/>
    </row>
    <row r="670" ht="15.75" customHeight="1">
      <c r="A670" s="36"/>
      <c r="B670" s="78"/>
      <c r="C670" s="78"/>
      <c r="D670" s="78"/>
      <c r="E670" s="78"/>
      <c r="F670" s="78"/>
      <c r="G670" s="78"/>
      <c r="H670" s="78"/>
      <c r="I670" s="78"/>
      <c r="J670" s="78"/>
      <c r="K670" s="78"/>
      <c r="L670" s="78"/>
      <c r="M670" s="78"/>
      <c r="N670" s="78"/>
      <c r="O670" s="78"/>
      <c r="P670" s="78"/>
      <c r="Q670" s="78"/>
      <c r="R670" s="78"/>
      <c r="S670" s="78"/>
    </row>
    <row r="671" ht="15.75" customHeight="1">
      <c r="A671" s="36"/>
      <c r="B671" s="78"/>
      <c r="C671" s="78"/>
      <c r="D671" s="78"/>
      <c r="E671" s="78"/>
      <c r="F671" s="78"/>
      <c r="G671" s="78"/>
      <c r="H671" s="78"/>
      <c r="I671" s="78"/>
      <c r="J671" s="78"/>
      <c r="K671" s="78"/>
      <c r="L671" s="78"/>
      <c r="M671" s="78"/>
      <c r="N671" s="78"/>
      <c r="O671" s="78"/>
      <c r="P671" s="78"/>
      <c r="Q671" s="78"/>
      <c r="R671" s="78"/>
      <c r="S671" s="78"/>
    </row>
    <row r="672" ht="15.75" customHeight="1">
      <c r="A672" s="36"/>
      <c r="B672" s="78"/>
      <c r="C672" s="78"/>
      <c r="D672" s="78"/>
      <c r="E672" s="78"/>
      <c r="F672" s="78"/>
      <c r="G672" s="78"/>
      <c r="H672" s="78"/>
      <c r="I672" s="78"/>
      <c r="J672" s="78"/>
      <c r="K672" s="78"/>
      <c r="L672" s="78"/>
      <c r="M672" s="78"/>
      <c r="N672" s="78"/>
      <c r="O672" s="78"/>
      <c r="P672" s="78"/>
      <c r="Q672" s="78"/>
      <c r="R672" s="78"/>
      <c r="S672" s="78"/>
    </row>
    <row r="673" ht="15.75" customHeight="1">
      <c r="A673" s="36"/>
      <c r="B673" s="78"/>
      <c r="C673" s="78"/>
      <c r="D673" s="78"/>
      <c r="E673" s="78"/>
      <c r="F673" s="78"/>
      <c r="G673" s="78"/>
      <c r="H673" s="78"/>
      <c r="I673" s="78"/>
      <c r="J673" s="78"/>
      <c r="K673" s="78"/>
      <c r="L673" s="78"/>
      <c r="M673" s="78"/>
      <c r="N673" s="78"/>
      <c r="O673" s="78"/>
      <c r="P673" s="78"/>
      <c r="Q673" s="78"/>
      <c r="R673" s="78"/>
      <c r="S673" s="78"/>
    </row>
    <row r="674" ht="15.75" customHeight="1">
      <c r="A674" s="36"/>
      <c r="B674" s="78"/>
      <c r="C674" s="78"/>
      <c r="D674" s="78"/>
      <c r="E674" s="78"/>
      <c r="F674" s="78"/>
      <c r="G674" s="78"/>
      <c r="H674" s="78"/>
      <c r="I674" s="78"/>
      <c r="J674" s="78"/>
      <c r="K674" s="78"/>
      <c r="L674" s="78"/>
      <c r="M674" s="78"/>
      <c r="N674" s="78"/>
      <c r="O674" s="78"/>
      <c r="P674" s="78"/>
      <c r="Q674" s="78"/>
      <c r="R674" s="78"/>
      <c r="S674" s="78"/>
    </row>
    <row r="675" ht="15.75" customHeight="1">
      <c r="A675" s="36"/>
      <c r="B675" s="78"/>
      <c r="C675" s="78"/>
      <c r="D675" s="78"/>
      <c r="E675" s="78"/>
      <c r="F675" s="78"/>
      <c r="G675" s="78"/>
      <c r="H675" s="78"/>
      <c r="I675" s="78"/>
      <c r="J675" s="78"/>
      <c r="K675" s="78"/>
      <c r="L675" s="78"/>
      <c r="M675" s="78"/>
      <c r="N675" s="78"/>
      <c r="O675" s="78"/>
      <c r="P675" s="78"/>
      <c r="Q675" s="78"/>
      <c r="R675" s="78"/>
      <c r="S675" s="78"/>
    </row>
    <row r="676" ht="15.75" customHeight="1">
      <c r="A676" s="36"/>
      <c r="B676" s="78"/>
      <c r="C676" s="78"/>
      <c r="D676" s="78"/>
      <c r="E676" s="78"/>
      <c r="F676" s="78"/>
      <c r="G676" s="78"/>
      <c r="H676" s="78"/>
      <c r="I676" s="78"/>
      <c r="J676" s="78"/>
      <c r="K676" s="78"/>
      <c r="L676" s="78"/>
      <c r="M676" s="78"/>
      <c r="N676" s="78"/>
      <c r="O676" s="78"/>
      <c r="P676" s="78"/>
      <c r="Q676" s="78"/>
      <c r="R676" s="78"/>
      <c r="S676" s="78"/>
    </row>
    <row r="677" ht="15.75" customHeight="1">
      <c r="A677" s="36"/>
      <c r="B677" s="78"/>
      <c r="C677" s="78"/>
      <c r="D677" s="78"/>
      <c r="E677" s="78"/>
      <c r="F677" s="78"/>
      <c r="G677" s="78"/>
      <c r="H677" s="78"/>
      <c r="I677" s="78"/>
      <c r="J677" s="78"/>
      <c r="K677" s="78"/>
      <c r="L677" s="78"/>
      <c r="M677" s="78"/>
      <c r="N677" s="78"/>
      <c r="O677" s="78"/>
      <c r="P677" s="78"/>
      <c r="Q677" s="78"/>
      <c r="R677" s="78"/>
      <c r="S677" s="78"/>
    </row>
    <row r="678" ht="15.75" customHeight="1">
      <c r="A678" s="36"/>
      <c r="B678" s="78"/>
      <c r="C678" s="78"/>
      <c r="D678" s="78"/>
      <c r="E678" s="78"/>
      <c r="F678" s="78"/>
      <c r="G678" s="78"/>
      <c r="H678" s="78"/>
      <c r="I678" s="78"/>
      <c r="J678" s="78"/>
      <c r="K678" s="78"/>
      <c r="L678" s="78"/>
      <c r="M678" s="78"/>
      <c r="N678" s="78"/>
      <c r="O678" s="78"/>
      <c r="P678" s="78"/>
      <c r="Q678" s="78"/>
      <c r="R678" s="78"/>
      <c r="S678" s="78"/>
    </row>
    <row r="679" ht="15.75" customHeight="1">
      <c r="A679" s="36"/>
      <c r="B679" s="78"/>
      <c r="C679" s="78"/>
      <c r="D679" s="78"/>
      <c r="E679" s="78"/>
      <c r="F679" s="78"/>
      <c r="G679" s="78"/>
      <c r="H679" s="78"/>
      <c r="I679" s="78"/>
      <c r="J679" s="78"/>
      <c r="K679" s="78"/>
      <c r="L679" s="78"/>
      <c r="M679" s="78"/>
      <c r="N679" s="78"/>
      <c r="O679" s="78"/>
      <c r="P679" s="78"/>
      <c r="Q679" s="78"/>
      <c r="R679" s="78"/>
      <c r="S679" s="78"/>
    </row>
    <row r="680" ht="15.75" customHeight="1">
      <c r="A680" s="36"/>
      <c r="B680" s="78"/>
      <c r="C680" s="78"/>
      <c r="D680" s="78"/>
      <c r="E680" s="78"/>
      <c r="F680" s="78"/>
      <c r="G680" s="78"/>
      <c r="H680" s="78"/>
      <c r="I680" s="78"/>
      <c r="J680" s="78"/>
      <c r="K680" s="78"/>
      <c r="L680" s="78"/>
      <c r="M680" s="78"/>
      <c r="N680" s="78"/>
      <c r="O680" s="78"/>
      <c r="P680" s="78"/>
      <c r="Q680" s="78"/>
      <c r="R680" s="78"/>
      <c r="S680" s="78"/>
    </row>
    <row r="681" ht="15.75" customHeight="1">
      <c r="A681" s="36"/>
      <c r="B681" s="78"/>
      <c r="C681" s="78"/>
      <c r="D681" s="78"/>
      <c r="E681" s="78"/>
      <c r="F681" s="78"/>
      <c r="G681" s="78"/>
      <c r="H681" s="78"/>
      <c r="I681" s="78"/>
      <c r="J681" s="78"/>
      <c r="K681" s="78"/>
      <c r="L681" s="78"/>
      <c r="M681" s="78"/>
      <c r="N681" s="78"/>
      <c r="O681" s="78"/>
      <c r="P681" s="78"/>
      <c r="Q681" s="78"/>
      <c r="R681" s="78"/>
      <c r="S681" s="78"/>
    </row>
    <row r="682" ht="15.75" customHeight="1">
      <c r="A682" s="36"/>
      <c r="B682" s="78"/>
      <c r="C682" s="78"/>
      <c r="D682" s="78"/>
      <c r="E682" s="78"/>
      <c r="F682" s="78"/>
      <c r="G682" s="78"/>
      <c r="H682" s="78"/>
      <c r="I682" s="78"/>
      <c r="J682" s="78"/>
      <c r="K682" s="78"/>
      <c r="L682" s="78"/>
      <c r="M682" s="78"/>
      <c r="N682" s="78"/>
      <c r="O682" s="78"/>
      <c r="P682" s="78"/>
      <c r="Q682" s="78"/>
      <c r="R682" s="78"/>
      <c r="S682" s="78"/>
    </row>
    <row r="683" ht="15.75" customHeight="1">
      <c r="A683" s="36"/>
      <c r="B683" s="78"/>
      <c r="C683" s="78"/>
      <c r="D683" s="78"/>
      <c r="E683" s="78"/>
      <c r="F683" s="78"/>
      <c r="G683" s="78"/>
      <c r="H683" s="78"/>
      <c r="I683" s="78"/>
      <c r="J683" s="78"/>
      <c r="K683" s="78"/>
      <c r="L683" s="78"/>
      <c r="M683" s="78"/>
      <c r="N683" s="78"/>
      <c r="O683" s="78"/>
      <c r="P683" s="78"/>
      <c r="Q683" s="78"/>
      <c r="R683" s="78"/>
      <c r="S683" s="78"/>
    </row>
    <row r="684" ht="15.75" customHeight="1">
      <c r="A684" s="36"/>
      <c r="B684" s="78"/>
      <c r="C684" s="78"/>
      <c r="D684" s="78"/>
      <c r="E684" s="78"/>
      <c r="F684" s="78"/>
      <c r="G684" s="78"/>
      <c r="H684" s="78"/>
      <c r="I684" s="78"/>
      <c r="J684" s="78"/>
      <c r="K684" s="78"/>
      <c r="L684" s="78"/>
      <c r="M684" s="78"/>
      <c r="N684" s="78"/>
      <c r="O684" s="78"/>
      <c r="P684" s="78"/>
      <c r="Q684" s="78"/>
      <c r="R684" s="78"/>
      <c r="S684" s="78"/>
    </row>
    <row r="685" ht="15.75" customHeight="1">
      <c r="A685" s="36"/>
      <c r="B685" s="78"/>
      <c r="C685" s="78"/>
      <c r="D685" s="78"/>
      <c r="E685" s="78"/>
      <c r="F685" s="78"/>
      <c r="G685" s="78"/>
      <c r="H685" s="78"/>
      <c r="I685" s="78"/>
      <c r="J685" s="78"/>
      <c r="K685" s="78"/>
      <c r="L685" s="78"/>
      <c r="M685" s="78"/>
      <c r="N685" s="78"/>
      <c r="O685" s="78"/>
      <c r="P685" s="78"/>
      <c r="Q685" s="78"/>
      <c r="R685" s="78"/>
      <c r="S685" s="78"/>
    </row>
    <row r="686" ht="15.75" customHeight="1">
      <c r="A686" s="36"/>
      <c r="B686" s="78"/>
      <c r="C686" s="78"/>
      <c r="D686" s="78"/>
      <c r="E686" s="78"/>
      <c r="F686" s="78"/>
      <c r="G686" s="78"/>
      <c r="H686" s="78"/>
      <c r="I686" s="78"/>
      <c r="J686" s="78"/>
      <c r="K686" s="78"/>
      <c r="L686" s="78"/>
      <c r="M686" s="78"/>
      <c r="N686" s="78"/>
      <c r="O686" s="78"/>
      <c r="P686" s="78"/>
      <c r="Q686" s="78"/>
      <c r="R686" s="78"/>
      <c r="S686" s="78"/>
    </row>
    <row r="687" ht="15.75" customHeight="1">
      <c r="A687" s="36"/>
      <c r="B687" s="78"/>
      <c r="C687" s="78"/>
      <c r="D687" s="78"/>
      <c r="E687" s="78"/>
      <c r="F687" s="78"/>
      <c r="G687" s="78"/>
      <c r="H687" s="78"/>
      <c r="I687" s="78"/>
      <c r="J687" s="78"/>
      <c r="K687" s="78"/>
      <c r="L687" s="78"/>
      <c r="M687" s="78"/>
      <c r="N687" s="78"/>
      <c r="O687" s="78"/>
      <c r="P687" s="78"/>
      <c r="Q687" s="78"/>
      <c r="R687" s="78"/>
      <c r="S687" s="78"/>
    </row>
    <row r="688" ht="15.75" customHeight="1">
      <c r="A688" s="36"/>
      <c r="B688" s="78"/>
      <c r="C688" s="78"/>
      <c r="D688" s="78"/>
      <c r="E688" s="78"/>
      <c r="F688" s="78"/>
      <c r="G688" s="78"/>
      <c r="H688" s="78"/>
      <c r="I688" s="78"/>
      <c r="J688" s="78"/>
      <c r="K688" s="78"/>
      <c r="L688" s="78"/>
      <c r="M688" s="78"/>
      <c r="N688" s="78"/>
      <c r="O688" s="78"/>
      <c r="P688" s="78"/>
      <c r="Q688" s="78"/>
      <c r="R688" s="78"/>
      <c r="S688" s="78"/>
    </row>
    <row r="689" ht="15.75" customHeight="1">
      <c r="A689" s="36"/>
      <c r="B689" s="78"/>
      <c r="C689" s="78"/>
      <c r="D689" s="78"/>
      <c r="E689" s="78"/>
      <c r="F689" s="78"/>
      <c r="G689" s="78"/>
      <c r="H689" s="78"/>
      <c r="I689" s="78"/>
      <c r="J689" s="78"/>
      <c r="K689" s="78"/>
      <c r="L689" s="78"/>
      <c r="M689" s="78"/>
      <c r="N689" s="78"/>
      <c r="O689" s="78"/>
      <c r="P689" s="78"/>
      <c r="Q689" s="78"/>
      <c r="R689" s="78"/>
      <c r="S689" s="78"/>
    </row>
    <row r="690" ht="15.75" customHeight="1">
      <c r="A690" s="36"/>
      <c r="B690" s="78"/>
      <c r="C690" s="78"/>
      <c r="D690" s="78"/>
      <c r="E690" s="78"/>
      <c r="F690" s="78"/>
      <c r="G690" s="78"/>
      <c r="H690" s="78"/>
      <c r="I690" s="78"/>
      <c r="J690" s="78"/>
      <c r="K690" s="78"/>
      <c r="L690" s="78"/>
      <c r="M690" s="78"/>
      <c r="N690" s="78"/>
      <c r="O690" s="78"/>
      <c r="P690" s="78"/>
      <c r="Q690" s="78"/>
      <c r="R690" s="78"/>
      <c r="S690" s="78"/>
    </row>
    <row r="691" ht="15.75" customHeight="1">
      <c r="A691" s="36"/>
      <c r="B691" s="78"/>
      <c r="C691" s="78"/>
      <c r="D691" s="78"/>
      <c r="E691" s="78"/>
      <c r="F691" s="78"/>
      <c r="G691" s="78"/>
      <c r="H691" s="78"/>
      <c r="I691" s="78"/>
      <c r="J691" s="78"/>
      <c r="K691" s="78"/>
      <c r="L691" s="78"/>
      <c r="M691" s="78"/>
      <c r="N691" s="78"/>
      <c r="O691" s="78"/>
      <c r="P691" s="78"/>
      <c r="Q691" s="78"/>
      <c r="R691" s="78"/>
      <c r="S691" s="78"/>
    </row>
    <row r="692" ht="15.75" customHeight="1">
      <c r="A692" s="36"/>
      <c r="B692" s="78"/>
      <c r="C692" s="78"/>
      <c r="D692" s="78"/>
      <c r="E692" s="78"/>
      <c r="F692" s="78"/>
      <c r="G692" s="78"/>
      <c r="H692" s="78"/>
      <c r="I692" s="78"/>
      <c r="J692" s="78"/>
      <c r="K692" s="78"/>
      <c r="L692" s="78"/>
      <c r="M692" s="78"/>
      <c r="N692" s="78"/>
      <c r="O692" s="78"/>
      <c r="P692" s="78"/>
      <c r="Q692" s="78"/>
      <c r="R692" s="78"/>
      <c r="S692" s="78"/>
    </row>
    <row r="693" ht="15.75" customHeight="1">
      <c r="A693" s="36"/>
      <c r="B693" s="78"/>
      <c r="C693" s="78"/>
      <c r="D693" s="78"/>
      <c r="E693" s="78"/>
      <c r="F693" s="78"/>
      <c r="G693" s="78"/>
      <c r="H693" s="78"/>
      <c r="I693" s="78"/>
      <c r="J693" s="78"/>
      <c r="K693" s="78"/>
      <c r="L693" s="78"/>
      <c r="M693" s="78"/>
      <c r="N693" s="78"/>
      <c r="O693" s="78"/>
      <c r="P693" s="78"/>
      <c r="Q693" s="78"/>
      <c r="R693" s="78"/>
      <c r="S693" s="78"/>
    </row>
    <row r="694" ht="15.75" customHeight="1">
      <c r="A694" s="36"/>
      <c r="B694" s="78"/>
      <c r="C694" s="78"/>
      <c r="D694" s="78"/>
      <c r="E694" s="78"/>
      <c r="F694" s="78"/>
      <c r="G694" s="78"/>
      <c r="H694" s="78"/>
      <c r="I694" s="78"/>
      <c r="J694" s="78"/>
      <c r="K694" s="78"/>
      <c r="L694" s="78"/>
      <c r="M694" s="78"/>
      <c r="N694" s="78"/>
      <c r="O694" s="78"/>
      <c r="P694" s="78"/>
      <c r="Q694" s="78"/>
      <c r="R694" s="78"/>
      <c r="S694" s="78"/>
    </row>
    <row r="695" ht="15.75" customHeight="1">
      <c r="A695" s="36"/>
      <c r="B695" s="78"/>
      <c r="C695" s="78"/>
      <c r="D695" s="78"/>
      <c r="E695" s="78"/>
      <c r="F695" s="78"/>
      <c r="G695" s="78"/>
      <c r="H695" s="78"/>
      <c r="I695" s="78"/>
      <c r="J695" s="78"/>
      <c r="K695" s="78"/>
      <c r="L695" s="78"/>
      <c r="M695" s="78"/>
      <c r="N695" s="78"/>
      <c r="O695" s="78"/>
      <c r="P695" s="78"/>
      <c r="Q695" s="78"/>
      <c r="R695" s="78"/>
      <c r="S695" s="78"/>
    </row>
    <row r="696" ht="15.75" customHeight="1">
      <c r="A696" s="36"/>
      <c r="B696" s="78"/>
      <c r="C696" s="78"/>
      <c r="D696" s="78"/>
      <c r="E696" s="78"/>
      <c r="F696" s="78"/>
      <c r="G696" s="78"/>
      <c r="H696" s="78"/>
      <c r="I696" s="78"/>
      <c r="J696" s="78"/>
      <c r="K696" s="78"/>
      <c r="L696" s="78"/>
      <c r="M696" s="78"/>
      <c r="N696" s="78"/>
      <c r="O696" s="78"/>
      <c r="P696" s="78"/>
      <c r="Q696" s="78"/>
      <c r="R696" s="78"/>
      <c r="S696" s="78"/>
    </row>
    <row r="697" ht="15.75" customHeight="1">
      <c r="A697" s="36"/>
      <c r="B697" s="78"/>
      <c r="C697" s="78"/>
      <c r="D697" s="78"/>
      <c r="E697" s="78"/>
      <c r="F697" s="78"/>
      <c r="G697" s="78"/>
      <c r="H697" s="78"/>
      <c r="I697" s="78"/>
      <c r="J697" s="78"/>
      <c r="K697" s="78"/>
      <c r="L697" s="78"/>
      <c r="M697" s="78"/>
      <c r="N697" s="78"/>
      <c r="O697" s="78"/>
      <c r="P697" s="78"/>
      <c r="Q697" s="78"/>
      <c r="R697" s="78"/>
      <c r="S697" s="78"/>
    </row>
    <row r="698" ht="15.75" customHeight="1">
      <c r="A698" s="36"/>
      <c r="B698" s="78"/>
      <c r="C698" s="78"/>
      <c r="D698" s="78"/>
      <c r="E698" s="78"/>
      <c r="F698" s="78"/>
      <c r="G698" s="78"/>
      <c r="H698" s="78"/>
      <c r="I698" s="78"/>
      <c r="J698" s="78"/>
      <c r="K698" s="78"/>
      <c r="L698" s="78"/>
      <c r="M698" s="78"/>
      <c r="N698" s="78"/>
      <c r="O698" s="78"/>
      <c r="P698" s="78"/>
      <c r="Q698" s="78"/>
      <c r="R698" s="78"/>
      <c r="S698" s="78"/>
    </row>
    <row r="699" ht="15.75" customHeight="1">
      <c r="A699" s="36"/>
      <c r="B699" s="78"/>
      <c r="C699" s="78"/>
      <c r="D699" s="78"/>
      <c r="E699" s="78"/>
      <c r="F699" s="78"/>
      <c r="G699" s="78"/>
      <c r="H699" s="78"/>
      <c r="I699" s="78"/>
      <c r="J699" s="78"/>
      <c r="K699" s="78"/>
      <c r="L699" s="78"/>
      <c r="M699" s="78"/>
      <c r="N699" s="78"/>
      <c r="O699" s="78"/>
      <c r="P699" s="78"/>
      <c r="Q699" s="78"/>
      <c r="R699" s="78"/>
      <c r="S699" s="78"/>
    </row>
    <row r="700" ht="15.75" customHeight="1">
      <c r="A700" s="36"/>
      <c r="B700" s="78"/>
      <c r="C700" s="78"/>
      <c r="D700" s="78"/>
      <c r="E700" s="78"/>
      <c r="F700" s="78"/>
      <c r="G700" s="78"/>
      <c r="H700" s="78"/>
      <c r="I700" s="78"/>
      <c r="J700" s="78"/>
      <c r="K700" s="78"/>
      <c r="L700" s="78"/>
      <c r="M700" s="78"/>
      <c r="N700" s="78"/>
      <c r="O700" s="78"/>
      <c r="P700" s="78"/>
      <c r="Q700" s="78"/>
      <c r="R700" s="78"/>
      <c r="S700" s="78"/>
    </row>
    <row r="701" ht="15.75" customHeight="1">
      <c r="A701" s="36"/>
      <c r="B701" s="78"/>
      <c r="C701" s="78"/>
      <c r="D701" s="78"/>
      <c r="E701" s="78"/>
      <c r="F701" s="78"/>
      <c r="G701" s="78"/>
      <c r="H701" s="78"/>
      <c r="I701" s="78"/>
      <c r="J701" s="78"/>
      <c r="K701" s="78"/>
      <c r="L701" s="78"/>
      <c r="M701" s="78"/>
      <c r="N701" s="78"/>
      <c r="O701" s="78"/>
      <c r="P701" s="78"/>
      <c r="Q701" s="78"/>
      <c r="R701" s="78"/>
      <c r="S701" s="78"/>
    </row>
    <row r="702" ht="15.75" customHeight="1">
      <c r="A702" s="36"/>
      <c r="B702" s="78"/>
      <c r="C702" s="78"/>
      <c r="D702" s="78"/>
      <c r="E702" s="78"/>
      <c r="F702" s="78"/>
      <c r="G702" s="78"/>
      <c r="H702" s="78"/>
      <c r="I702" s="78"/>
      <c r="J702" s="78"/>
      <c r="K702" s="78"/>
      <c r="L702" s="78"/>
      <c r="M702" s="78"/>
      <c r="N702" s="78"/>
      <c r="O702" s="78"/>
      <c r="P702" s="78"/>
      <c r="Q702" s="78"/>
      <c r="R702" s="78"/>
      <c r="S702" s="78"/>
    </row>
    <row r="703" ht="15.75" customHeight="1">
      <c r="A703" s="36"/>
      <c r="B703" s="78"/>
      <c r="C703" s="78"/>
      <c r="D703" s="78"/>
      <c r="E703" s="78"/>
      <c r="F703" s="78"/>
      <c r="G703" s="78"/>
      <c r="H703" s="78"/>
      <c r="I703" s="78"/>
      <c r="J703" s="78"/>
      <c r="K703" s="78"/>
      <c r="L703" s="78"/>
      <c r="M703" s="78"/>
      <c r="N703" s="78"/>
      <c r="O703" s="78"/>
      <c r="P703" s="78"/>
      <c r="Q703" s="78"/>
      <c r="R703" s="78"/>
      <c r="S703" s="78"/>
    </row>
    <row r="704" ht="15.75" customHeight="1">
      <c r="A704" s="36"/>
      <c r="B704" s="78"/>
      <c r="C704" s="78"/>
      <c r="D704" s="78"/>
      <c r="E704" s="78"/>
      <c r="F704" s="78"/>
      <c r="G704" s="78"/>
      <c r="H704" s="78"/>
      <c r="I704" s="78"/>
      <c r="J704" s="78"/>
      <c r="K704" s="78"/>
      <c r="L704" s="78"/>
      <c r="M704" s="78"/>
      <c r="N704" s="78"/>
      <c r="O704" s="78"/>
      <c r="P704" s="78"/>
      <c r="Q704" s="78"/>
      <c r="R704" s="78"/>
      <c r="S704" s="78"/>
    </row>
    <row r="705" ht="15.75" customHeight="1">
      <c r="A705" s="36"/>
      <c r="B705" s="78"/>
      <c r="C705" s="78"/>
      <c r="D705" s="78"/>
      <c r="E705" s="78"/>
      <c r="F705" s="78"/>
      <c r="G705" s="78"/>
      <c r="H705" s="78"/>
      <c r="I705" s="78"/>
      <c r="J705" s="78"/>
      <c r="K705" s="78"/>
      <c r="L705" s="78"/>
      <c r="M705" s="78"/>
      <c r="N705" s="78"/>
      <c r="O705" s="78"/>
      <c r="P705" s="78"/>
      <c r="Q705" s="78"/>
      <c r="R705" s="78"/>
      <c r="S705" s="78"/>
    </row>
    <row r="706" ht="15.75" customHeight="1">
      <c r="A706" s="36"/>
      <c r="B706" s="78"/>
      <c r="C706" s="78"/>
      <c r="D706" s="78"/>
      <c r="E706" s="78"/>
      <c r="F706" s="78"/>
      <c r="G706" s="78"/>
      <c r="H706" s="78"/>
      <c r="I706" s="78"/>
      <c r="J706" s="78"/>
      <c r="K706" s="78"/>
      <c r="L706" s="78"/>
      <c r="M706" s="78"/>
      <c r="N706" s="78"/>
      <c r="O706" s="78"/>
      <c r="P706" s="78"/>
      <c r="Q706" s="78"/>
      <c r="R706" s="78"/>
      <c r="S706" s="78"/>
    </row>
    <row r="707" ht="15.75" customHeight="1">
      <c r="A707" s="36"/>
      <c r="B707" s="78"/>
      <c r="C707" s="78"/>
      <c r="D707" s="78"/>
      <c r="E707" s="78"/>
      <c r="F707" s="78"/>
      <c r="G707" s="78"/>
      <c r="H707" s="78"/>
      <c r="I707" s="78"/>
      <c r="J707" s="78"/>
      <c r="K707" s="78"/>
      <c r="L707" s="78"/>
      <c r="M707" s="78"/>
      <c r="N707" s="78"/>
      <c r="O707" s="78"/>
      <c r="P707" s="78"/>
      <c r="Q707" s="78"/>
      <c r="R707" s="78"/>
      <c r="S707" s="78"/>
    </row>
    <row r="708" ht="15.75" customHeight="1">
      <c r="A708" s="36"/>
      <c r="B708" s="78"/>
      <c r="C708" s="78"/>
      <c r="D708" s="78"/>
      <c r="E708" s="78"/>
      <c r="F708" s="78"/>
      <c r="G708" s="78"/>
      <c r="H708" s="78"/>
      <c r="I708" s="78"/>
      <c r="J708" s="78"/>
      <c r="K708" s="78"/>
      <c r="L708" s="78"/>
      <c r="M708" s="78"/>
      <c r="N708" s="78"/>
      <c r="O708" s="78"/>
      <c r="P708" s="78"/>
      <c r="Q708" s="78"/>
      <c r="R708" s="78"/>
      <c r="S708" s="78"/>
    </row>
    <row r="709" ht="15.75" customHeight="1">
      <c r="A709" s="36"/>
      <c r="B709" s="78"/>
      <c r="C709" s="78"/>
      <c r="D709" s="78"/>
      <c r="E709" s="78"/>
      <c r="F709" s="78"/>
      <c r="G709" s="78"/>
      <c r="H709" s="78"/>
      <c r="I709" s="78"/>
      <c r="J709" s="78"/>
      <c r="K709" s="78"/>
      <c r="L709" s="78"/>
      <c r="M709" s="78"/>
      <c r="N709" s="78"/>
      <c r="O709" s="78"/>
      <c r="P709" s="78"/>
      <c r="Q709" s="78"/>
      <c r="R709" s="78"/>
      <c r="S709" s="78"/>
    </row>
    <row r="710" ht="15.75" customHeight="1">
      <c r="A710" s="36"/>
      <c r="B710" s="78"/>
      <c r="C710" s="78"/>
      <c r="D710" s="78"/>
      <c r="E710" s="78"/>
      <c r="F710" s="78"/>
      <c r="G710" s="78"/>
      <c r="H710" s="78"/>
      <c r="I710" s="78"/>
      <c r="J710" s="78"/>
      <c r="K710" s="78"/>
      <c r="L710" s="78"/>
      <c r="M710" s="78"/>
      <c r="N710" s="78"/>
      <c r="O710" s="78"/>
      <c r="P710" s="78"/>
      <c r="Q710" s="78"/>
      <c r="R710" s="78"/>
      <c r="S710" s="78"/>
    </row>
    <row r="711" ht="15.75" customHeight="1">
      <c r="A711" s="36"/>
      <c r="B711" s="78"/>
      <c r="C711" s="78"/>
      <c r="D711" s="78"/>
      <c r="E711" s="78"/>
      <c r="F711" s="78"/>
      <c r="G711" s="78"/>
      <c r="H711" s="78"/>
      <c r="I711" s="78"/>
      <c r="J711" s="78"/>
      <c r="K711" s="78"/>
      <c r="L711" s="78"/>
      <c r="M711" s="78"/>
      <c r="N711" s="78"/>
      <c r="O711" s="78"/>
      <c r="P711" s="78"/>
      <c r="Q711" s="78"/>
      <c r="R711" s="78"/>
      <c r="S711" s="78"/>
    </row>
    <row r="712" ht="15.75" customHeight="1">
      <c r="A712" s="36"/>
      <c r="B712" s="78"/>
      <c r="C712" s="78"/>
      <c r="D712" s="78"/>
      <c r="E712" s="78"/>
      <c r="F712" s="78"/>
      <c r="G712" s="78"/>
      <c r="H712" s="78"/>
      <c r="I712" s="78"/>
      <c r="J712" s="78"/>
      <c r="K712" s="78"/>
      <c r="L712" s="78"/>
      <c r="M712" s="78"/>
      <c r="N712" s="78"/>
      <c r="O712" s="78"/>
      <c r="P712" s="78"/>
      <c r="Q712" s="78"/>
      <c r="R712" s="78"/>
      <c r="S712" s="78"/>
    </row>
    <row r="713" ht="15.75" customHeight="1">
      <c r="A713" s="36"/>
      <c r="B713" s="78"/>
      <c r="C713" s="78"/>
      <c r="D713" s="78"/>
      <c r="E713" s="78"/>
      <c r="F713" s="78"/>
      <c r="G713" s="78"/>
      <c r="H713" s="78"/>
      <c r="I713" s="78"/>
      <c r="J713" s="78"/>
      <c r="K713" s="78"/>
      <c r="L713" s="78"/>
      <c r="M713" s="78"/>
      <c r="N713" s="78"/>
      <c r="O713" s="78"/>
      <c r="P713" s="78"/>
      <c r="Q713" s="78"/>
      <c r="R713" s="78"/>
      <c r="S713" s="78"/>
    </row>
    <row r="714" ht="15.75" customHeight="1">
      <c r="A714" s="36"/>
      <c r="B714" s="78"/>
      <c r="C714" s="78"/>
      <c r="D714" s="78"/>
      <c r="E714" s="78"/>
      <c r="F714" s="78"/>
      <c r="G714" s="78"/>
      <c r="H714" s="78"/>
      <c r="I714" s="78"/>
      <c r="J714" s="78"/>
      <c r="K714" s="78"/>
      <c r="L714" s="78"/>
      <c r="M714" s="78"/>
      <c r="N714" s="78"/>
      <c r="O714" s="78"/>
      <c r="P714" s="78"/>
      <c r="Q714" s="78"/>
      <c r="R714" s="78"/>
      <c r="S714" s="78"/>
    </row>
    <row r="715" ht="15.75" customHeight="1">
      <c r="A715" s="36"/>
      <c r="B715" s="78"/>
      <c r="C715" s="78"/>
      <c r="D715" s="78"/>
      <c r="E715" s="78"/>
      <c r="F715" s="78"/>
      <c r="G715" s="78"/>
      <c r="H715" s="78"/>
      <c r="I715" s="78"/>
      <c r="J715" s="78"/>
      <c r="K715" s="78"/>
      <c r="L715" s="78"/>
      <c r="M715" s="78"/>
      <c r="N715" s="78"/>
      <c r="O715" s="78"/>
      <c r="P715" s="78"/>
      <c r="Q715" s="78"/>
      <c r="R715" s="78"/>
      <c r="S715" s="78"/>
    </row>
    <row r="716" ht="15.75" customHeight="1">
      <c r="A716" s="36"/>
      <c r="B716" s="78"/>
      <c r="C716" s="78"/>
      <c r="D716" s="78"/>
      <c r="E716" s="78"/>
      <c r="F716" s="78"/>
      <c r="G716" s="78"/>
      <c r="H716" s="78"/>
      <c r="I716" s="78"/>
      <c r="J716" s="78"/>
      <c r="K716" s="78"/>
      <c r="L716" s="78"/>
      <c r="M716" s="78"/>
      <c r="N716" s="78"/>
      <c r="O716" s="78"/>
      <c r="P716" s="78"/>
      <c r="Q716" s="78"/>
      <c r="R716" s="78"/>
      <c r="S716" s="78"/>
    </row>
    <row r="717" ht="15.75" customHeight="1">
      <c r="A717" s="36"/>
      <c r="B717" s="78"/>
      <c r="C717" s="78"/>
      <c r="D717" s="78"/>
      <c r="E717" s="78"/>
      <c r="F717" s="78"/>
      <c r="G717" s="78"/>
      <c r="H717" s="78"/>
      <c r="I717" s="78"/>
      <c r="J717" s="78"/>
      <c r="K717" s="78"/>
      <c r="L717" s="78"/>
      <c r="M717" s="78"/>
      <c r="N717" s="78"/>
      <c r="O717" s="78"/>
      <c r="P717" s="78"/>
      <c r="Q717" s="78"/>
      <c r="R717" s="78"/>
      <c r="S717" s="78"/>
    </row>
    <row r="718" ht="15.75" customHeight="1">
      <c r="A718" s="36"/>
      <c r="B718" s="78"/>
      <c r="C718" s="78"/>
      <c r="D718" s="78"/>
      <c r="E718" s="78"/>
      <c r="F718" s="78"/>
      <c r="G718" s="78"/>
      <c r="H718" s="78"/>
      <c r="I718" s="78"/>
      <c r="J718" s="78"/>
      <c r="K718" s="78"/>
      <c r="L718" s="78"/>
      <c r="M718" s="78"/>
      <c r="N718" s="78"/>
      <c r="O718" s="78"/>
      <c r="P718" s="78"/>
      <c r="Q718" s="78"/>
      <c r="R718" s="78"/>
      <c r="S718" s="78"/>
    </row>
    <row r="719" ht="15.75" customHeight="1">
      <c r="A719" s="36"/>
      <c r="B719" s="78"/>
      <c r="C719" s="78"/>
      <c r="D719" s="78"/>
      <c r="E719" s="78"/>
      <c r="F719" s="78"/>
      <c r="G719" s="78"/>
      <c r="H719" s="78"/>
      <c r="I719" s="78"/>
      <c r="J719" s="78"/>
      <c r="K719" s="78"/>
      <c r="L719" s="78"/>
      <c r="M719" s="78"/>
      <c r="N719" s="78"/>
      <c r="O719" s="78"/>
      <c r="P719" s="78"/>
      <c r="Q719" s="78"/>
      <c r="R719" s="78"/>
      <c r="S719" s="78"/>
    </row>
    <row r="720" ht="15.75" customHeight="1">
      <c r="A720" s="36"/>
      <c r="B720" s="78"/>
      <c r="C720" s="78"/>
      <c r="D720" s="78"/>
      <c r="E720" s="78"/>
      <c r="F720" s="78"/>
      <c r="G720" s="78"/>
      <c r="H720" s="78"/>
      <c r="I720" s="78"/>
      <c r="J720" s="78"/>
      <c r="K720" s="78"/>
      <c r="L720" s="78"/>
      <c r="M720" s="78"/>
      <c r="N720" s="78"/>
      <c r="O720" s="78"/>
      <c r="P720" s="78"/>
      <c r="Q720" s="78"/>
      <c r="R720" s="78"/>
      <c r="S720" s="78"/>
    </row>
    <row r="721" ht="15.75" customHeight="1">
      <c r="A721" s="36"/>
      <c r="B721" s="78"/>
      <c r="C721" s="78"/>
      <c r="D721" s="78"/>
      <c r="E721" s="78"/>
      <c r="F721" s="78"/>
      <c r="G721" s="78"/>
      <c r="H721" s="78"/>
      <c r="I721" s="78"/>
      <c r="J721" s="78"/>
      <c r="K721" s="78"/>
      <c r="L721" s="78"/>
      <c r="M721" s="78"/>
      <c r="N721" s="78"/>
      <c r="O721" s="78"/>
      <c r="P721" s="78"/>
      <c r="Q721" s="78"/>
      <c r="R721" s="78"/>
      <c r="S721" s="78"/>
    </row>
    <row r="722" ht="15.75" customHeight="1">
      <c r="A722" s="36"/>
      <c r="B722" s="78"/>
      <c r="C722" s="78"/>
      <c r="D722" s="78"/>
      <c r="E722" s="78"/>
      <c r="F722" s="78"/>
      <c r="G722" s="78"/>
      <c r="H722" s="78"/>
      <c r="I722" s="78"/>
      <c r="J722" s="78"/>
      <c r="K722" s="78"/>
      <c r="L722" s="78"/>
      <c r="M722" s="78"/>
      <c r="N722" s="78"/>
      <c r="O722" s="78"/>
      <c r="P722" s="78"/>
      <c r="Q722" s="78"/>
      <c r="R722" s="78"/>
      <c r="S722" s="78"/>
    </row>
    <row r="723" ht="15.75" customHeight="1">
      <c r="A723" s="36"/>
      <c r="B723" s="78"/>
      <c r="C723" s="78"/>
      <c r="D723" s="78"/>
      <c r="E723" s="78"/>
      <c r="F723" s="78"/>
      <c r="G723" s="78"/>
      <c r="H723" s="78"/>
      <c r="I723" s="78"/>
      <c r="J723" s="78"/>
      <c r="K723" s="78"/>
      <c r="L723" s="78"/>
      <c r="M723" s="78"/>
      <c r="N723" s="78"/>
      <c r="O723" s="78"/>
      <c r="P723" s="78"/>
      <c r="Q723" s="78"/>
      <c r="R723" s="78"/>
      <c r="S723" s="78"/>
    </row>
    <row r="724" ht="15.75" customHeight="1">
      <c r="A724" s="36"/>
      <c r="B724" s="78"/>
      <c r="C724" s="78"/>
      <c r="D724" s="78"/>
      <c r="E724" s="78"/>
      <c r="F724" s="78"/>
      <c r="G724" s="78"/>
      <c r="H724" s="78"/>
      <c r="I724" s="78"/>
      <c r="J724" s="78"/>
      <c r="K724" s="78"/>
      <c r="L724" s="78"/>
      <c r="M724" s="78"/>
      <c r="N724" s="78"/>
      <c r="O724" s="78"/>
      <c r="P724" s="78"/>
      <c r="Q724" s="78"/>
      <c r="R724" s="78"/>
      <c r="S724" s="78"/>
    </row>
    <row r="725" ht="15.75" customHeight="1">
      <c r="A725" s="36"/>
      <c r="B725" s="78"/>
      <c r="C725" s="78"/>
      <c r="D725" s="78"/>
      <c r="E725" s="78"/>
      <c r="F725" s="78"/>
      <c r="G725" s="78"/>
      <c r="H725" s="78"/>
      <c r="I725" s="78"/>
      <c r="J725" s="78"/>
      <c r="K725" s="78"/>
      <c r="L725" s="78"/>
      <c r="M725" s="78"/>
      <c r="N725" s="78"/>
      <c r="O725" s="78"/>
      <c r="P725" s="78"/>
      <c r="Q725" s="78"/>
      <c r="R725" s="78"/>
      <c r="S725" s="78"/>
    </row>
    <row r="726" ht="15.75" customHeight="1">
      <c r="A726" s="36"/>
      <c r="B726" s="78"/>
      <c r="C726" s="78"/>
      <c r="D726" s="78"/>
      <c r="E726" s="78"/>
      <c r="F726" s="78"/>
      <c r="G726" s="78"/>
      <c r="H726" s="78"/>
      <c r="I726" s="78"/>
      <c r="J726" s="78"/>
      <c r="K726" s="78"/>
      <c r="L726" s="78"/>
      <c r="M726" s="78"/>
      <c r="N726" s="78"/>
      <c r="O726" s="78"/>
      <c r="P726" s="78"/>
      <c r="Q726" s="78"/>
      <c r="R726" s="78"/>
      <c r="S726" s="78"/>
    </row>
    <row r="727" ht="15.75" customHeight="1">
      <c r="A727" s="36"/>
      <c r="B727" s="78"/>
      <c r="C727" s="78"/>
      <c r="D727" s="78"/>
      <c r="E727" s="78"/>
      <c r="F727" s="78"/>
      <c r="G727" s="78"/>
      <c r="H727" s="78"/>
      <c r="I727" s="78"/>
      <c r="J727" s="78"/>
      <c r="K727" s="78"/>
      <c r="L727" s="78"/>
      <c r="M727" s="78"/>
      <c r="N727" s="78"/>
      <c r="O727" s="78"/>
      <c r="P727" s="78"/>
      <c r="Q727" s="78"/>
      <c r="R727" s="78"/>
      <c r="S727" s="78"/>
    </row>
    <row r="728" ht="15.75" customHeight="1">
      <c r="A728" s="36"/>
      <c r="B728" s="78"/>
      <c r="C728" s="78"/>
      <c r="D728" s="78"/>
      <c r="E728" s="78"/>
      <c r="F728" s="78"/>
      <c r="G728" s="78"/>
      <c r="H728" s="78"/>
      <c r="I728" s="78"/>
      <c r="J728" s="78"/>
      <c r="K728" s="78"/>
      <c r="L728" s="78"/>
      <c r="M728" s="78"/>
      <c r="N728" s="78"/>
      <c r="O728" s="78"/>
      <c r="P728" s="78"/>
      <c r="Q728" s="78"/>
      <c r="R728" s="78"/>
      <c r="S728" s="78"/>
    </row>
    <row r="729" ht="15.75" customHeight="1">
      <c r="A729" s="36"/>
      <c r="B729" s="78"/>
      <c r="C729" s="78"/>
      <c r="D729" s="78"/>
      <c r="E729" s="78"/>
      <c r="F729" s="78"/>
      <c r="G729" s="78"/>
      <c r="H729" s="78"/>
      <c r="I729" s="78"/>
      <c r="J729" s="78"/>
      <c r="K729" s="78"/>
      <c r="L729" s="78"/>
      <c r="M729" s="78"/>
      <c r="N729" s="78"/>
      <c r="O729" s="78"/>
      <c r="P729" s="78"/>
      <c r="Q729" s="78"/>
      <c r="R729" s="78"/>
      <c r="S729" s="78"/>
    </row>
    <row r="730" ht="15.75" customHeight="1">
      <c r="A730" s="36"/>
      <c r="B730" s="78"/>
      <c r="C730" s="78"/>
      <c r="D730" s="78"/>
      <c r="E730" s="78"/>
      <c r="F730" s="78"/>
      <c r="G730" s="78"/>
      <c r="H730" s="78"/>
      <c r="I730" s="78"/>
      <c r="J730" s="78"/>
      <c r="K730" s="78"/>
      <c r="L730" s="78"/>
      <c r="M730" s="78"/>
      <c r="N730" s="78"/>
      <c r="O730" s="78"/>
      <c r="P730" s="78"/>
      <c r="Q730" s="78"/>
      <c r="R730" s="78"/>
      <c r="S730" s="78"/>
    </row>
    <row r="731" ht="15.75" customHeight="1">
      <c r="A731" s="36"/>
      <c r="B731" s="78"/>
      <c r="C731" s="78"/>
      <c r="D731" s="78"/>
      <c r="E731" s="78"/>
      <c r="F731" s="78"/>
      <c r="G731" s="78"/>
      <c r="H731" s="78"/>
      <c r="I731" s="78"/>
      <c r="J731" s="78"/>
      <c r="K731" s="78"/>
      <c r="L731" s="78"/>
      <c r="M731" s="78"/>
      <c r="N731" s="78"/>
      <c r="O731" s="78"/>
      <c r="P731" s="78"/>
      <c r="Q731" s="78"/>
      <c r="R731" s="78"/>
      <c r="S731" s="78"/>
    </row>
    <row r="732" ht="15.75" customHeight="1">
      <c r="A732" s="36"/>
      <c r="B732" s="78"/>
      <c r="C732" s="78"/>
      <c r="D732" s="78"/>
      <c r="E732" s="78"/>
      <c r="F732" s="78"/>
      <c r="G732" s="78"/>
      <c r="H732" s="78"/>
      <c r="I732" s="78"/>
      <c r="J732" s="78"/>
      <c r="K732" s="78"/>
      <c r="L732" s="78"/>
      <c r="M732" s="78"/>
      <c r="N732" s="78"/>
      <c r="O732" s="78"/>
      <c r="P732" s="78"/>
      <c r="Q732" s="78"/>
      <c r="R732" s="78"/>
      <c r="S732" s="78"/>
    </row>
    <row r="733" ht="15.75" customHeight="1">
      <c r="A733" s="36"/>
      <c r="B733" s="78"/>
      <c r="C733" s="78"/>
      <c r="D733" s="78"/>
      <c r="E733" s="78"/>
      <c r="F733" s="78"/>
      <c r="G733" s="78"/>
      <c r="H733" s="78"/>
      <c r="I733" s="78"/>
      <c r="J733" s="78"/>
      <c r="K733" s="78"/>
      <c r="L733" s="78"/>
      <c r="M733" s="78"/>
      <c r="N733" s="78"/>
      <c r="O733" s="78"/>
      <c r="P733" s="78"/>
      <c r="Q733" s="78"/>
      <c r="R733" s="78"/>
      <c r="S733" s="78"/>
    </row>
    <row r="734" ht="15.75" customHeight="1">
      <c r="A734" s="36"/>
      <c r="B734" s="78"/>
      <c r="C734" s="78"/>
      <c r="D734" s="78"/>
      <c r="E734" s="78"/>
      <c r="F734" s="78"/>
      <c r="G734" s="78"/>
      <c r="H734" s="78"/>
      <c r="I734" s="78"/>
      <c r="J734" s="78"/>
      <c r="K734" s="78"/>
      <c r="L734" s="78"/>
      <c r="M734" s="78"/>
      <c r="N734" s="78"/>
      <c r="O734" s="78"/>
      <c r="P734" s="78"/>
      <c r="Q734" s="78"/>
      <c r="R734" s="78"/>
      <c r="S734" s="78"/>
    </row>
    <row r="735" ht="15.75" customHeight="1">
      <c r="A735" s="36"/>
      <c r="B735" s="78"/>
      <c r="C735" s="78"/>
      <c r="D735" s="78"/>
      <c r="E735" s="78"/>
      <c r="F735" s="78"/>
      <c r="G735" s="78"/>
      <c r="H735" s="78"/>
      <c r="I735" s="78"/>
      <c r="J735" s="78"/>
      <c r="K735" s="78"/>
      <c r="L735" s="78"/>
      <c r="M735" s="78"/>
      <c r="N735" s="78"/>
      <c r="O735" s="78"/>
      <c r="P735" s="78"/>
      <c r="Q735" s="78"/>
      <c r="R735" s="78"/>
      <c r="S735" s="78"/>
    </row>
    <row r="736" ht="15.75" customHeight="1">
      <c r="A736" s="36"/>
      <c r="B736" s="78"/>
      <c r="C736" s="78"/>
      <c r="D736" s="78"/>
      <c r="E736" s="78"/>
      <c r="F736" s="78"/>
      <c r="G736" s="78"/>
      <c r="H736" s="78"/>
      <c r="I736" s="78"/>
      <c r="J736" s="78"/>
      <c r="K736" s="78"/>
      <c r="L736" s="78"/>
      <c r="M736" s="78"/>
      <c r="N736" s="78"/>
      <c r="O736" s="78"/>
      <c r="P736" s="78"/>
      <c r="Q736" s="78"/>
      <c r="R736" s="78"/>
      <c r="S736" s="78"/>
    </row>
    <row r="737" ht="15.75" customHeight="1">
      <c r="A737" s="36"/>
      <c r="B737" s="78"/>
      <c r="C737" s="78"/>
      <c r="D737" s="78"/>
      <c r="E737" s="78"/>
      <c r="F737" s="78"/>
      <c r="G737" s="78"/>
      <c r="H737" s="78"/>
      <c r="I737" s="78"/>
      <c r="J737" s="78"/>
      <c r="K737" s="78"/>
      <c r="L737" s="78"/>
      <c r="M737" s="78"/>
      <c r="N737" s="78"/>
      <c r="O737" s="78"/>
      <c r="P737" s="78"/>
      <c r="Q737" s="78"/>
      <c r="R737" s="78"/>
      <c r="S737" s="78"/>
    </row>
    <row r="738" ht="15.75" customHeight="1">
      <c r="A738" s="36"/>
      <c r="B738" s="78"/>
      <c r="C738" s="78"/>
      <c r="D738" s="78"/>
      <c r="E738" s="78"/>
      <c r="F738" s="78"/>
      <c r="G738" s="78"/>
      <c r="H738" s="78"/>
      <c r="I738" s="78"/>
      <c r="J738" s="78"/>
      <c r="K738" s="78"/>
      <c r="L738" s="78"/>
      <c r="M738" s="78"/>
      <c r="N738" s="78"/>
      <c r="O738" s="78"/>
      <c r="P738" s="78"/>
      <c r="Q738" s="78"/>
      <c r="R738" s="78"/>
      <c r="S738" s="78"/>
    </row>
    <row r="739" ht="15.75" customHeight="1">
      <c r="A739" s="36"/>
      <c r="B739" s="78"/>
      <c r="C739" s="78"/>
      <c r="D739" s="78"/>
      <c r="E739" s="78"/>
      <c r="F739" s="78"/>
      <c r="G739" s="78"/>
      <c r="H739" s="78"/>
      <c r="I739" s="78"/>
      <c r="J739" s="78"/>
      <c r="K739" s="78"/>
      <c r="L739" s="78"/>
      <c r="M739" s="78"/>
      <c r="N739" s="78"/>
      <c r="O739" s="78"/>
      <c r="P739" s="78"/>
      <c r="Q739" s="78"/>
      <c r="R739" s="78"/>
      <c r="S739" s="78"/>
    </row>
    <row r="740" ht="15.75" customHeight="1">
      <c r="A740" s="36"/>
      <c r="B740" s="78"/>
      <c r="C740" s="78"/>
      <c r="D740" s="78"/>
      <c r="E740" s="78"/>
      <c r="F740" s="78"/>
      <c r="G740" s="78"/>
      <c r="H740" s="78"/>
      <c r="I740" s="78"/>
      <c r="J740" s="78"/>
      <c r="K740" s="78"/>
      <c r="L740" s="78"/>
      <c r="M740" s="78"/>
      <c r="N740" s="78"/>
      <c r="O740" s="78"/>
      <c r="P740" s="78"/>
      <c r="Q740" s="78"/>
      <c r="R740" s="78"/>
      <c r="S740" s="78"/>
    </row>
    <row r="741" ht="15.75" customHeight="1">
      <c r="A741" s="36"/>
      <c r="B741" s="78"/>
      <c r="C741" s="78"/>
      <c r="D741" s="78"/>
      <c r="E741" s="78"/>
      <c r="F741" s="78"/>
      <c r="G741" s="78"/>
      <c r="H741" s="78"/>
      <c r="I741" s="78"/>
      <c r="J741" s="78"/>
      <c r="K741" s="78"/>
      <c r="L741" s="78"/>
      <c r="M741" s="78"/>
      <c r="N741" s="78"/>
      <c r="O741" s="78"/>
      <c r="P741" s="78"/>
      <c r="Q741" s="78"/>
      <c r="R741" s="78"/>
      <c r="S741" s="78"/>
    </row>
    <row r="742" ht="15.75" customHeight="1">
      <c r="A742" s="36"/>
      <c r="B742" s="78"/>
      <c r="C742" s="78"/>
      <c r="D742" s="78"/>
      <c r="E742" s="78"/>
      <c r="F742" s="78"/>
      <c r="G742" s="78"/>
      <c r="H742" s="78"/>
      <c r="I742" s="78"/>
      <c r="J742" s="78"/>
      <c r="K742" s="78"/>
      <c r="L742" s="78"/>
      <c r="M742" s="78"/>
      <c r="N742" s="78"/>
      <c r="O742" s="78"/>
      <c r="P742" s="78"/>
      <c r="Q742" s="78"/>
      <c r="R742" s="78"/>
      <c r="S742" s="78"/>
    </row>
    <row r="743" ht="15.75" customHeight="1">
      <c r="A743" s="36"/>
      <c r="B743" s="78"/>
      <c r="C743" s="78"/>
      <c r="D743" s="78"/>
      <c r="E743" s="78"/>
      <c r="F743" s="78"/>
      <c r="G743" s="78"/>
      <c r="H743" s="78"/>
      <c r="I743" s="78"/>
      <c r="J743" s="78"/>
      <c r="K743" s="78"/>
      <c r="L743" s="78"/>
      <c r="M743" s="78"/>
      <c r="N743" s="78"/>
      <c r="O743" s="78"/>
      <c r="P743" s="78"/>
      <c r="Q743" s="78"/>
      <c r="R743" s="78"/>
      <c r="S743" s="78"/>
    </row>
    <row r="744" ht="15.75" customHeight="1">
      <c r="A744" s="36"/>
      <c r="B744" s="78"/>
      <c r="C744" s="78"/>
      <c r="D744" s="78"/>
      <c r="E744" s="78"/>
      <c r="F744" s="78"/>
      <c r="G744" s="78"/>
      <c r="H744" s="78"/>
      <c r="I744" s="78"/>
      <c r="J744" s="78"/>
      <c r="K744" s="78"/>
      <c r="L744" s="78"/>
      <c r="M744" s="78"/>
      <c r="N744" s="78"/>
      <c r="O744" s="78"/>
      <c r="P744" s="78"/>
      <c r="Q744" s="78"/>
      <c r="R744" s="78"/>
      <c r="S744" s="78"/>
    </row>
    <row r="745" ht="15.75" customHeight="1">
      <c r="A745" s="36"/>
      <c r="B745" s="78"/>
      <c r="C745" s="78"/>
      <c r="D745" s="78"/>
      <c r="E745" s="78"/>
      <c r="F745" s="78"/>
      <c r="G745" s="78"/>
      <c r="H745" s="78"/>
      <c r="I745" s="78"/>
      <c r="J745" s="78"/>
      <c r="K745" s="78"/>
      <c r="L745" s="78"/>
      <c r="M745" s="78"/>
      <c r="N745" s="78"/>
      <c r="O745" s="78"/>
      <c r="P745" s="78"/>
      <c r="Q745" s="78"/>
      <c r="R745" s="78"/>
      <c r="S745" s="78"/>
    </row>
    <row r="746" ht="15.75" customHeight="1">
      <c r="A746" s="36"/>
      <c r="B746" s="78"/>
      <c r="C746" s="78"/>
      <c r="D746" s="78"/>
      <c r="E746" s="78"/>
      <c r="F746" s="78"/>
      <c r="G746" s="78"/>
      <c r="H746" s="78"/>
      <c r="I746" s="78"/>
      <c r="J746" s="78"/>
      <c r="K746" s="78"/>
      <c r="L746" s="78"/>
      <c r="M746" s="78"/>
      <c r="N746" s="78"/>
      <c r="O746" s="78"/>
      <c r="P746" s="78"/>
      <c r="Q746" s="78"/>
      <c r="R746" s="78"/>
      <c r="S746" s="78"/>
    </row>
    <row r="747" ht="15.75" customHeight="1">
      <c r="A747" s="36"/>
      <c r="B747" s="78"/>
      <c r="C747" s="78"/>
      <c r="D747" s="78"/>
      <c r="E747" s="78"/>
      <c r="F747" s="78"/>
      <c r="G747" s="78"/>
      <c r="H747" s="78"/>
      <c r="I747" s="78"/>
      <c r="J747" s="78"/>
      <c r="K747" s="78"/>
      <c r="L747" s="78"/>
      <c r="M747" s="78"/>
      <c r="N747" s="78"/>
      <c r="O747" s="78"/>
      <c r="P747" s="78"/>
      <c r="Q747" s="78"/>
      <c r="R747" s="78"/>
      <c r="S747" s="78"/>
    </row>
    <row r="748" ht="15.75" customHeight="1">
      <c r="A748" s="36"/>
      <c r="B748" s="78"/>
      <c r="C748" s="78"/>
      <c r="D748" s="78"/>
      <c r="E748" s="78"/>
      <c r="F748" s="78"/>
      <c r="G748" s="78"/>
      <c r="H748" s="78"/>
      <c r="I748" s="78"/>
      <c r="J748" s="78"/>
      <c r="K748" s="78"/>
      <c r="L748" s="78"/>
      <c r="M748" s="78"/>
      <c r="N748" s="78"/>
      <c r="O748" s="78"/>
      <c r="P748" s="78"/>
      <c r="Q748" s="78"/>
      <c r="R748" s="78"/>
      <c r="S748" s="78"/>
    </row>
    <row r="749" ht="15.75" customHeight="1">
      <c r="A749" s="36"/>
      <c r="B749" s="78"/>
      <c r="C749" s="78"/>
      <c r="D749" s="78"/>
      <c r="E749" s="78"/>
      <c r="F749" s="78"/>
      <c r="G749" s="78"/>
      <c r="H749" s="78"/>
      <c r="I749" s="78"/>
      <c r="J749" s="78"/>
      <c r="K749" s="78"/>
      <c r="L749" s="78"/>
      <c r="M749" s="78"/>
      <c r="N749" s="78"/>
      <c r="O749" s="78"/>
      <c r="P749" s="78"/>
      <c r="Q749" s="78"/>
      <c r="R749" s="78"/>
      <c r="S749" s="78"/>
    </row>
    <row r="750" ht="15.75" customHeight="1">
      <c r="A750" s="36"/>
      <c r="B750" s="78"/>
      <c r="C750" s="78"/>
      <c r="D750" s="78"/>
      <c r="E750" s="78"/>
      <c r="F750" s="78"/>
      <c r="G750" s="78"/>
      <c r="H750" s="78"/>
      <c r="I750" s="78"/>
      <c r="J750" s="78"/>
      <c r="K750" s="78"/>
      <c r="L750" s="78"/>
      <c r="M750" s="78"/>
      <c r="N750" s="78"/>
      <c r="O750" s="78"/>
      <c r="P750" s="78"/>
      <c r="Q750" s="78"/>
      <c r="R750" s="78"/>
      <c r="S750" s="78"/>
    </row>
    <row r="751" ht="15.75" customHeight="1">
      <c r="A751" s="36"/>
      <c r="B751" s="78"/>
      <c r="C751" s="78"/>
      <c r="D751" s="78"/>
      <c r="E751" s="78"/>
      <c r="F751" s="78"/>
      <c r="G751" s="78"/>
      <c r="H751" s="78"/>
      <c r="I751" s="78"/>
      <c r="J751" s="78"/>
      <c r="K751" s="78"/>
      <c r="L751" s="78"/>
      <c r="M751" s="78"/>
      <c r="N751" s="78"/>
      <c r="O751" s="78"/>
      <c r="P751" s="78"/>
      <c r="Q751" s="78"/>
      <c r="R751" s="78"/>
      <c r="S751" s="78"/>
    </row>
    <row r="752" ht="15.75" customHeight="1">
      <c r="A752" s="36"/>
      <c r="B752" s="78"/>
      <c r="C752" s="78"/>
      <c r="D752" s="78"/>
      <c r="E752" s="78"/>
      <c r="F752" s="78"/>
      <c r="G752" s="78"/>
      <c r="H752" s="78"/>
      <c r="I752" s="78"/>
      <c r="J752" s="78"/>
      <c r="K752" s="78"/>
      <c r="L752" s="78"/>
      <c r="M752" s="78"/>
      <c r="N752" s="78"/>
      <c r="O752" s="78"/>
      <c r="P752" s="78"/>
      <c r="Q752" s="78"/>
      <c r="R752" s="78"/>
      <c r="S752" s="78"/>
    </row>
    <row r="753" ht="15.75" customHeight="1">
      <c r="A753" s="36"/>
      <c r="B753" s="78"/>
      <c r="C753" s="78"/>
      <c r="D753" s="78"/>
      <c r="E753" s="78"/>
      <c r="F753" s="78"/>
      <c r="G753" s="78"/>
      <c r="H753" s="78"/>
      <c r="I753" s="78"/>
      <c r="J753" s="78"/>
      <c r="K753" s="78"/>
      <c r="L753" s="78"/>
      <c r="M753" s="78"/>
      <c r="N753" s="78"/>
      <c r="O753" s="78"/>
      <c r="P753" s="78"/>
      <c r="Q753" s="78"/>
      <c r="R753" s="78"/>
      <c r="S753" s="78"/>
    </row>
    <row r="754" ht="15.75" customHeight="1">
      <c r="A754" s="36"/>
      <c r="B754" s="78"/>
      <c r="C754" s="78"/>
      <c r="D754" s="78"/>
      <c r="E754" s="78"/>
      <c r="F754" s="78"/>
      <c r="G754" s="78"/>
      <c r="H754" s="78"/>
      <c r="I754" s="78"/>
      <c r="J754" s="78"/>
      <c r="K754" s="78"/>
      <c r="L754" s="78"/>
      <c r="M754" s="78"/>
      <c r="N754" s="78"/>
      <c r="O754" s="78"/>
      <c r="P754" s="78"/>
      <c r="Q754" s="78"/>
      <c r="R754" s="78"/>
      <c r="S754" s="78"/>
    </row>
    <row r="755" ht="15.75" customHeight="1">
      <c r="A755" s="36"/>
      <c r="B755" s="78"/>
      <c r="C755" s="78"/>
      <c r="D755" s="78"/>
      <c r="E755" s="78"/>
      <c r="F755" s="78"/>
      <c r="G755" s="78"/>
      <c r="H755" s="78"/>
      <c r="I755" s="78"/>
      <c r="J755" s="78"/>
      <c r="K755" s="78"/>
      <c r="L755" s="78"/>
      <c r="M755" s="78"/>
      <c r="N755" s="78"/>
      <c r="O755" s="78"/>
      <c r="P755" s="78"/>
      <c r="Q755" s="78"/>
      <c r="R755" s="78"/>
      <c r="S755" s="78"/>
    </row>
    <row r="756" ht="15.75" customHeight="1">
      <c r="A756" s="36"/>
      <c r="B756" s="78"/>
      <c r="C756" s="78"/>
      <c r="D756" s="78"/>
      <c r="E756" s="78"/>
      <c r="F756" s="78"/>
      <c r="G756" s="78"/>
      <c r="H756" s="78"/>
      <c r="I756" s="78"/>
      <c r="J756" s="78"/>
      <c r="K756" s="78"/>
      <c r="L756" s="78"/>
      <c r="M756" s="78"/>
      <c r="N756" s="78"/>
      <c r="O756" s="78"/>
      <c r="P756" s="78"/>
      <c r="Q756" s="78"/>
      <c r="R756" s="78"/>
      <c r="S756" s="78"/>
    </row>
    <row r="757" ht="15.75" customHeight="1">
      <c r="A757" s="36"/>
      <c r="B757" s="78"/>
      <c r="C757" s="78"/>
      <c r="D757" s="78"/>
      <c r="E757" s="78"/>
      <c r="F757" s="78"/>
      <c r="G757" s="78"/>
      <c r="H757" s="78"/>
      <c r="I757" s="78"/>
      <c r="J757" s="78"/>
      <c r="K757" s="78"/>
      <c r="L757" s="78"/>
      <c r="M757" s="78"/>
      <c r="N757" s="78"/>
      <c r="O757" s="78"/>
      <c r="P757" s="78"/>
      <c r="Q757" s="78"/>
      <c r="R757" s="78"/>
      <c r="S757" s="78"/>
    </row>
    <row r="758" ht="15.75" customHeight="1">
      <c r="A758" s="36"/>
      <c r="B758" s="78"/>
      <c r="C758" s="78"/>
      <c r="D758" s="78"/>
      <c r="E758" s="78"/>
      <c r="F758" s="78"/>
      <c r="G758" s="78"/>
      <c r="H758" s="78"/>
      <c r="I758" s="78"/>
      <c r="J758" s="78"/>
      <c r="K758" s="78"/>
      <c r="L758" s="78"/>
      <c r="M758" s="78"/>
      <c r="N758" s="78"/>
      <c r="O758" s="78"/>
      <c r="P758" s="78"/>
      <c r="Q758" s="78"/>
      <c r="R758" s="78"/>
      <c r="S758" s="78"/>
    </row>
    <row r="759" ht="15.75" customHeight="1">
      <c r="A759" s="36"/>
      <c r="B759" s="78"/>
      <c r="C759" s="78"/>
      <c r="D759" s="78"/>
      <c r="E759" s="78"/>
      <c r="F759" s="78"/>
      <c r="G759" s="78"/>
      <c r="H759" s="78"/>
      <c r="I759" s="78"/>
      <c r="J759" s="78"/>
      <c r="K759" s="78"/>
      <c r="L759" s="78"/>
      <c r="M759" s="78"/>
      <c r="N759" s="78"/>
      <c r="O759" s="78"/>
      <c r="P759" s="78"/>
      <c r="Q759" s="78"/>
      <c r="R759" s="78"/>
      <c r="S759" s="78"/>
    </row>
    <row r="760" ht="15.75" customHeight="1">
      <c r="A760" s="36"/>
      <c r="B760" s="78"/>
      <c r="C760" s="78"/>
      <c r="D760" s="78"/>
      <c r="E760" s="78"/>
      <c r="F760" s="78"/>
      <c r="G760" s="78"/>
      <c r="H760" s="78"/>
      <c r="I760" s="78"/>
      <c r="J760" s="78"/>
      <c r="K760" s="78"/>
      <c r="L760" s="78"/>
      <c r="M760" s="78"/>
      <c r="N760" s="78"/>
      <c r="O760" s="78"/>
      <c r="P760" s="78"/>
      <c r="Q760" s="78"/>
      <c r="R760" s="78"/>
      <c r="S760" s="78"/>
    </row>
    <row r="761" ht="15.75" customHeight="1">
      <c r="A761" s="36"/>
      <c r="B761" s="78"/>
      <c r="C761" s="78"/>
      <c r="D761" s="78"/>
      <c r="E761" s="78"/>
      <c r="F761" s="78"/>
      <c r="G761" s="78"/>
      <c r="H761" s="78"/>
      <c r="I761" s="78"/>
      <c r="J761" s="78"/>
      <c r="K761" s="78"/>
      <c r="L761" s="78"/>
      <c r="M761" s="78"/>
      <c r="N761" s="78"/>
      <c r="O761" s="78"/>
      <c r="P761" s="78"/>
      <c r="Q761" s="78"/>
      <c r="R761" s="78"/>
      <c r="S761" s="78"/>
    </row>
    <row r="762" ht="15.75" customHeight="1">
      <c r="A762" s="36"/>
      <c r="B762" s="78"/>
      <c r="C762" s="78"/>
      <c r="D762" s="78"/>
      <c r="E762" s="78"/>
      <c r="F762" s="78"/>
      <c r="G762" s="78"/>
      <c r="H762" s="78"/>
      <c r="I762" s="78"/>
      <c r="J762" s="78"/>
      <c r="K762" s="78"/>
      <c r="L762" s="78"/>
      <c r="M762" s="78"/>
      <c r="N762" s="78"/>
      <c r="O762" s="78"/>
      <c r="P762" s="78"/>
      <c r="Q762" s="78"/>
      <c r="R762" s="78"/>
      <c r="S762" s="78"/>
    </row>
    <row r="763" ht="15.75" customHeight="1">
      <c r="A763" s="36"/>
      <c r="B763" s="78"/>
      <c r="C763" s="78"/>
      <c r="D763" s="78"/>
      <c r="E763" s="78"/>
      <c r="F763" s="78"/>
      <c r="G763" s="78"/>
      <c r="H763" s="78"/>
      <c r="I763" s="78"/>
      <c r="J763" s="78"/>
      <c r="K763" s="78"/>
      <c r="L763" s="78"/>
      <c r="M763" s="78"/>
      <c r="N763" s="78"/>
      <c r="O763" s="78"/>
      <c r="P763" s="78"/>
      <c r="Q763" s="78"/>
      <c r="R763" s="78"/>
      <c r="S763" s="78"/>
    </row>
    <row r="764" ht="15.75" customHeight="1">
      <c r="A764" s="36"/>
      <c r="B764" s="78"/>
      <c r="C764" s="78"/>
      <c r="D764" s="78"/>
      <c r="E764" s="78"/>
      <c r="F764" s="78"/>
      <c r="G764" s="78"/>
      <c r="H764" s="78"/>
      <c r="I764" s="78"/>
      <c r="J764" s="78"/>
      <c r="K764" s="78"/>
      <c r="L764" s="78"/>
      <c r="M764" s="78"/>
      <c r="N764" s="78"/>
      <c r="O764" s="78"/>
      <c r="P764" s="78"/>
      <c r="Q764" s="78"/>
      <c r="R764" s="78"/>
      <c r="S764" s="78"/>
    </row>
    <row r="765" ht="15.75" customHeight="1">
      <c r="A765" s="36"/>
      <c r="B765" s="78"/>
      <c r="C765" s="78"/>
      <c r="D765" s="78"/>
      <c r="E765" s="78"/>
      <c r="F765" s="78"/>
      <c r="G765" s="78"/>
      <c r="H765" s="78"/>
      <c r="I765" s="78"/>
      <c r="J765" s="78"/>
      <c r="K765" s="78"/>
      <c r="L765" s="78"/>
      <c r="M765" s="78"/>
      <c r="N765" s="78"/>
      <c r="O765" s="78"/>
      <c r="P765" s="78"/>
      <c r="Q765" s="78"/>
      <c r="R765" s="78"/>
      <c r="S765" s="78"/>
    </row>
    <row r="766" ht="15.75" customHeight="1">
      <c r="A766" s="36"/>
      <c r="B766" s="78"/>
      <c r="C766" s="78"/>
      <c r="D766" s="78"/>
      <c r="E766" s="78"/>
      <c r="F766" s="78"/>
      <c r="G766" s="78"/>
      <c r="H766" s="78"/>
      <c r="I766" s="78"/>
      <c r="J766" s="78"/>
      <c r="K766" s="78"/>
      <c r="L766" s="78"/>
      <c r="M766" s="78"/>
      <c r="N766" s="78"/>
      <c r="O766" s="78"/>
      <c r="P766" s="78"/>
      <c r="Q766" s="78"/>
      <c r="R766" s="78"/>
      <c r="S766" s="78"/>
    </row>
    <row r="767" ht="15.75" customHeight="1">
      <c r="A767" s="36"/>
      <c r="B767" s="78"/>
      <c r="C767" s="78"/>
      <c r="D767" s="78"/>
      <c r="E767" s="78"/>
      <c r="F767" s="78"/>
      <c r="G767" s="78"/>
      <c r="H767" s="78"/>
      <c r="I767" s="78"/>
      <c r="J767" s="78"/>
      <c r="K767" s="78"/>
      <c r="L767" s="78"/>
      <c r="M767" s="78"/>
      <c r="N767" s="78"/>
      <c r="O767" s="78"/>
      <c r="P767" s="78"/>
      <c r="Q767" s="78"/>
      <c r="R767" s="78"/>
      <c r="S767" s="78"/>
    </row>
    <row r="768" ht="15.75" customHeight="1">
      <c r="A768" s="36"/>
      <c r="B768" s="78"/>
      <c r="C768" s="78"/>
      <c r="D768" s="78"/>
      <c r="E768" s="78"/>
      <c r="F768" s="78"/>
      <c r="G768" s="78"/>
      <c r="H768" s="78"/>
      <c r="I768" s="78"/>
      <c r="J768" s="78"/>
      <c r="K768" s="78"/>
      <c r="L768" s="78"/>
      <c r="M768" s="78"/>
      <c r="N768" s="78"/>
      <c r="O768" s="78"/>
      <c r="P768" s="78"/>
      <c r="Q768" s="78"/>
      <c r="R768" s="78"/>
      <c r="S768" s="78"/>
    </row>
    <row r="769" ht="15.75" customHeight="1">
      <c r="A769" s="36"/>
      <c r="B769" s="78"/>
      <c r="C769" s="78"/>
      <c r="D769" s="78"/>
      <c r="E769" s="78"/>
      <c r="F769" s="78"/>
      <c r="G769" s="78"/>
      <c r="H769" s="78"/>
      <c r="I769" s="78"/>
      <c r="J769" s="78"/>
      <c r="K769" s="78"/>
      <c r="L769" s="78"/>
      <c r="M769" s="78"/>
      <c r="N769" s="78"/>
      <c r="O769" s="78"/>
      <c r="P769" s="78"/>
      <c r="Q769" s="78"/>
      <c r="R769" s="78"/>
      <c r="S769" s="78"/>
    </row>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P2:Q2"/>
    <mergeCell ref="R2:S2"/>
    <mergeCell ref="B2:C2"/>
    <mergeCell ref="D2:E2"/>
    <mergeCell ref="F2:G2"/>
    <mergeCell ref="H2:I2"/>
    <mergeCell ref="J2:K2"/>
    <mergeCell ref="L2:M2"/>
    <mergeCell ref="N2:O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0"/>
  <cols>
    <col customWidth="1" min="1" max="1" width="38.25"/>
    <col customWidth="1" min="2" max="2" width="31.5"/>
    <col customWidth="1" min="3" max="3" width="56.25"/>
    <col customWidth="1" min="4" max="4" width="24.25"/>
    <col customWidth="1" min="5" max="5" width="25.0"/>
    <col customWidth="1" min="6" max="6" width="11.25"/>
    <col customWidth="1" min="7" max="7" width="32.13"/>
    <col customWidth="1" min="8" max="8" width="10.13"/>
    <col customWidth="1" min="9" max="9" width="19.75"/>
    <col customWidth="1" min="10" max="10" width="26.38"/>
    <col customWidth="1" min="11" max="11" width="26.63"/>
    <col customWidth="1" min="12" max="12" width="26.38"/>
    <col customWidth="1" min="13" max="13" width="25.88"/>
    <col customWidth="1" min="14" max="14" width="27.38"/>
    <col customWidth="1" min="15" max="17" width="27.63"/>
    <col customWidth="1" min="18" max="18" width="14.25"/>
    <col customWidth="1" min="19" max="19" width="24.63"/>
    <col customWidth="1" min="20" max="20" width="13.5"/>
    <col customWidth="1" min="21" max="21" width="21.5"/>
    <col customWidth="1" min="22" max="22" width="25.13"/>
    <col customWidth="1" min="23" max="23" width="8.63"/>
    <col customWidth="1" min="24" max="24" width="28.63"/>
  </cols>
  <sheetData>
    <row r="1">
      <c r="A1" s="79" t="s">
        <v>324</v>
      </c>
      <c r="B1" s="80"/>
      <c r="E1" s="10"/>
      <c r="F1" s="10"/>
      <c r="G1" s="10"/>
      <c r="H1" s="10"/>
      <c r="I1" s="81"/>
      <c r="J1" s="10"/>
      <c r="K1" s="10"/>
      <c r="L1" s="10"/>
      <c r="M1" s="10"/>
      <c r="N1" s="10"/>
      <c r="O1" s="10"/>
      <c r="P1" s="10"/>
      <c r="Q1" s="10"/>
      <c r="R1" s="82"/>
      <c r="S1" s="10"/>
      <c r="T1" s="10"/>
      <c r="U1" s="83"/>
      <c r="V1" s="10"/>
    </row>
    <row r="2">
      <c r="A2" s="79"/>
      <c r="B2" s="80"/>
      <c r="C2" s="79"/>
      <c r="D2" s="79"/>
      <c r="E2" s="10"/>
      <c r="F2" s="10"/>
      <c r="G2" s="10"/>
      <c r="H2" s="10"/>
      <c r="I2" s="81"/>
      <c r="J2" s="10"/>
      <c r="K2" s="10"/>
      <c r="L2" s="10"/>
      <c r="M2" s="10"/>
      <c r="N2" s="10"/>
      <c r="O2" s="10"/>
      <c r="P2" s="10"/>
      <c r="Q2" s="10"/>
      <c r="R2" s="82"/>
      <c r="S2" s="10"/>
      <c r="T2" s="10"/>
      <c r="U2" s="83"/>
      <c r="V2" s="10"/>
      <c r="X2" s="84" t="s">
        <v>325</v>
      </c>
    </row>
    <row r="3" ht="22.5" customHeight="1">
      <c r="A3" s="1" t="s">
        <v>326</v>
      </c>
      <c r="B3" s="85" t="s">
        <v>327</v>
      </c>
      <c r="C3" s="1" t="s">
        <v>328</v>
      </c>
      <c r="D3" s="1" t="s">
        <v>329</v>
      </c>
      <c r="E3" s="9" t="s">
        <v>330</v>
      </c>
      <c r="F3" s="9" t="s">
        <v>331</v>
      </c>
      <c r="G3" s="9" t="s">
        <v>332</v>
      </c>
      <c r="H3" s="9" t="s">
        <v>333</v>
      </c>
      <c r="I3" s="1" t="s">
        <v>334</v>
      </c>
      <c r="J3" s="9" t="s">
        <v>26</v>
      </c>
      <c r="K3" s="9" t="s">
        <v>24</v>
      </c>
      <c r="L3" s="9" t="s">
        <v>28</v>
      </c>
      <c r="M3" s="9" t="s">
        <v>22</v>
      </c>
      <c r="N3" s="9" t="s">
        <v>20</v>
      </c>
      <c r="O3" s="9" t="s">
        <v>18</v>
      </c>
      <c r="P3" s="9" t="s">
        <v>14</v>
      </c>
      <c r="Q3" s="9" t="s">
        <v>16</v>
      </c>
      <c r="R3" s="8" t="s">
        <v>335</v>
      </c>
      <c r="S3" s="9" t="s">
        <v>336</v>
      </c>
      <c r="T3" s="9" t="s">
        <v>337</v>
      </c>
      <c r="U3" s="9" t="s">
        <v>338</v>
      </c>
      <c r="V3" s="9" t="s">
        <v>339</v>
      </c>
      <c r="X3" s="86" t="str">
        <f>IFERROR(__xludf.DUMMYFUNCTION("IMPORTRANGE(""1wULbzX32WdYsx-lj2U3uUNBBe2INVIRDtcK0d-Dvl90"",""26-27!A1"")"),"PORTFÓLIO DEFENSIVO SAFRA 26/27")</f>
        <v>PORTFÓLIO DEFENSIVO SAFRA 26/27</v>
      </c>
    </row>
    <row r="4" ht="22.5" hidden="1" customHeight="1">
      <c r="A4" s="87" t="s">
        <v>340</v>
      </c>
      <c r="B4" s="88" t="s">
        <v>6</v>
      </c>
      <c r="C4" s="89" t="s">
        <v>341</v>
      </c>
      <c r="D4" s="89" t="s">
        <v>342</v>
      </c>
      <c r="E4" s="89">
        <v>765.0</v>
      </c>
      <c r="F4" s="4" t="s">
        <v>343</v>
      </c>
      <c r="G4" s="90" t="str">
        <f t="shared" ref="G4:G21" si="1">HYPERLINK("https://www.google.com/search?q=" &amp; C4 &amp; "+bula+agrofit+pdf", "📄 Ver bula")</f>
        <v>📄 Ver bula</v>
      </c>
      <c r="H4" s="9">
        <f>IFERROR(__xludf.DUMMYFUNCTION("IFERROR(VLOOKUP(C4,
IMPORTRANGE(""1wULbzX32WdYsx-lj2U3uUNBBe2INVIRDtcK0d-Dvl90"",
""26-27!C:K""),
8,
FALSE),
"""")"),0.2)</f>
        <v>0.2</v>
      </c>
      <c r="I4" s="91" t="s">
        <v>344</v>
      </c>
      <c r="J4" s="9">
        <f>IFERROR(SUM(
IF('TL01'!$B$3=J$3,SUMIF('TL01'!$C$10:$C$224,$C4,'TL01'!$J$10:$J$224),0),
IF('TL01'!$B$229=J$3,SUMIF('TL01'!$C$238:$C$451,$C4,'TL01'!$J$238:$J$451),0),
IF('TL02'!$B$3=J$3,SUMIF('TL02'!$C$10:$C$224,$C4,'TL02'!$J$10:$J$224),0),
IF('TL02'!$B$229=J$3,SUMIF('TL02'!$C$238:$C$451,$C4,'TL02'!$J$238:$J$451),0),
IF('TL03'!$B$3=J$3,SUMIF('TL03'!$C$10:$C$224,$C4,'TL03'!$J$10:$J$224),0),
IF('TL03'!$B$229=J$3,SUMIF('TL03'!$C$238:$C$451,$C4,'TL03'!$J$238:$J$451),0),
IF('TL04'!$B$3=J$3,SUMIF('TL04'!$C$10:$C$224,$C4,'TL04'!$J$10:$J$224),0),
IF('TL04'!$B$229=J$3,SUMIF('TL04'!$C$238:$C$451,$C4,'TL04'!$J$238:$J$451),0),
IF('TL05'!$B$3=J$3,SUMIF('TL05'!$C$10:$C$224,$C4,'TL05'!$J$10:$J$224),0),
IF('TL05'!$B$229=J$3,SUMIF('TL05'!$C$238:$C$451,$C4,'TL05'!$J$238:$J$451),0),
IF('TL06'!$B$3=J$3,SUMIF('TL06'!$C$10:$C$224,$C4,'TL06'!$J$10:$J$224),0),
IF('TL06'!$B$229=J$3,SUMIF('TL06'!$C$238:$C$451,$C4,'TL06'!$J$238:$J$451),0),
IF('TL07'!$B$3=J$3,SUMIF('TL07'!$C$10:$C$224,$C4,'TL07'!$J$10:$J$224),0),
IF('TL07'!$B$229=J$3,SUMIF('TL07'!$C$238:$C$451,$C4,'TL07'!$J$238:$J$451),0),
IF('TL08'!$B$3=J$3,SUMIF('TL08'!$C$10:$C$224,$C4,'TL08'!$J$10:$J$224),0),
IF('TL08'!$B$229=J$3,SUMIF('TL08'!$C$238:$C$451,$C4,'TL08'!$J$238:$J$451),0),
IF('TL09'!$B$3=J$3,SUMIF('TL09'!$C$10:$C$224,$C4,'TL09'!$J$10:$J$224),0),
IF('TL09'!$B$229=J$3,SUMIF('TL09'!$C$238:$C$451,$C4,'TL09'!$J$238:$J$451),0),
IF('TL10'!$B$3=J$3,SUMIF('TL10'!$C$10:$C$224,$C4,'TL10'!$J$10:$J$224),0),
IF('TL10'!$B$229=J$3,SUMIF('TL10'!$C$238:$C$451,$C4,'TL10'!$J$238:$J$451),0),
IF('TL11'!$B$3=J$3,SUMIF('TL11'!$C$10:$C$224,$C4,'TL11'!$J$10:$J$224),0),
IF('TL11'!$B$229=J$3,SUMIF('TL11'!$C$238:$C$451,$C4,'TL11'!$J$238:$J$451),0),
IF('TL12'!$B$3=J$3,SUMIF('TL12'!$C$10:$C$224,$C4,'TL12'!$J$10:$J$224),0),
IF('TL12'!$B$229=J$3,SUMIF('TL12'!$C$238:$C$451,$C4,'TL12'!$J$238:$J$451),0),
IF('TL13'!$B$3=J$3,SUMIF('TL13'!$C$10:$C$224,$C4,'TL13'!$J$10:$J$224),0),
IF('TL13'!$B$229=J$3,SUMIF('TL13'!$C$238:$C$451,$C4,'TL13'!$J$238:$J$451),0),
IF('TL14'!$B$3=J$3,SUMIF('TL14'!$C$10:$C$224,$C4,'TL14'!$J$10:$J$224),0),
IF('TL14'!$B$229=J$3,SUMIF('TL14'!$C$238:$C$451,$C4,'TL14'!$J$238:$J$451),0),
IF('TL15'!$B$3=J$3,SUMIF('TL15'!$C$10:$C$224,$C4,'TL15'!$J$10:$J$224),0),
IF('TL15'!$B$229=J$3,SUMIF('TL15'!$C$238:$C$451,$C4,'TL15'!$J$238:$J$451),0),
IF('TL16'!$B$3=J$3,SUMIF('TL16'!$C$10:$C$224,$C4,'TL16'!$J$10:$J$224),0),
IF('TL16'!$B$229=J$3,SUMIF('TL16'!$C$238:$C$451,$C4,'TL16'!$J$238:$J$451),0),
IF('TL17'!$B$3=J$3,SUMIF('TL17'!$C$10:$C$224,$C4,'TL17'!$J$10:$J$224),0),
IF('TL17'!$B$229=J$3,SUMIF('TL17'!$C$238:$C$451,$C4,'TL17'!$J$238:$J$451),0),
IF('TL18'!$B$3=J$3,SUMIF('TL18'!$C$10:$C$224,$C4,'TL18'!$J$10:$J$224),0),
IF('TL18'!$B$229=J$3,SUMIF('TL18'!$C$238:$C$451,$C4,'TL18'!$J$238:$J$451),0),
IF('TL19'!$B$3=J$3,SUMIF('TL19'!$C$10:$C$224,$C4,'TL19'!$J$10:$J$224),0),
IF('TL19'!$B$229=J$3,SUMIF('TL19'!$C$238:$C$451,$C4,'TL19'!$J$238:$J$451),0)
),0)</f>
        <v>0</v>
      </c>
      <c r="K4" s="9">
        <f>IFERROR(SUM(
IF('TL01'!$B$3=K$3,SUMIF('TL01'!$C$10:$C$224,$C4,'TL01'!$J$10:$J$224),0),
IF('TL01'!$B$229=K$3,SUMIF('TL01'!$C$238:$C$451,$C4,'TL01'!$J$238:$J$451),0),
IF('TL02'!$B$3=K$3,SUMIF('TL02'!$C$10:$C$224,$C4,'TL02'!$J$10:$J$224),0),
IF('TL02'!$B$229=K$3,SUMIF('TL02'!$C$238:$C$451,$C4,'TL02'!$J$238:$J$451),0),
IF('TL03'!$B$3=K$3,SUMIF('TL03'!$C$10:$C$224,$C4,'TL03'!$J$10:$J$224),0),
IF('TL03'!$B$229=K$3,SUMIF('TL03'!$C$238:$C$451,$C4,'TL03'!$J$238:$J$451),0),
IF('TL04'!$B$3=K$3,SUMIF('TL04'!$C$10:$C$224,$C4,'TL04'!$J$10:$J$224),0),
IF('TL04'!$B$229=K$3,SUMIF('TL04'!$C$238:$C$451,$C4,'TL04'!$J$238:$J$451),0),
IF('TL05'!$B$3=K$3,SUMIF('TL05'!$C$10:$C$224,$C4,'TL05'!$J$10:$J$224),0),
IF('TL05'!$B$229=K$3,SUMIF('TL05'!$C$238:$C$451,$C4,'TL05'!$J$238:$J$451),0),
IF('TL06'!$B$3=K$3,SUMIF('TL06'!$C$10:$C$224,$C4,'TL06'!$J$10:$J$224),0),
IF('TL06'!$B$229=K$3,SUMIF('TL06'!$C$238:$C$451,$C4,'TL06'!$J$238:$J$451),0),
IF('TL07'!$B$3=K$3,SUMIF('TL07'!$C$10:$C$224,$C4,'TL07'!$J$10:$J$224),0),
IF('TL07'!$B$229=K$3,SUMIF('TL07'!$C$238:$C$451,$C4,'TL07'!$J$238:$J$451),0),
IF('TL08'!$B$3=K$3,SUMIF('TL08'!$C$10:$C$224,$C4,'TL08'!$J$10:$J$224),0),
IF('TL08'!$B$229=K$3,SUMIF('TL08'!$C$238:$C$451,$C4,'TL08'!$J$238:$J$451),0),
IF('TL09'!$B$3=K$3,SUMIF('TL09'!$C$10:$C$224,$C4,'TL09'!$J$10:$J$224),0),
IF('TL09'!$B$229=K$3,SUMIF('TL09'!$C$238:$C$451,$C4,'TL09'!$J$238:$J$451),0),
IF('TL10'!$B$3=K$3,SUMIF('TL10'!$C$10:$C$224,$C4,'TL10'!$J$10:$J$224),0),
IF('TL10'!$B$229=K$3,SUMIF('TL10'!$C$238:$C$451,$C4,'TL10'!$J$238:$J$451),0),
IF('TL11'!$B$3=K$3,SUMIF('TL11'!$C$10:$C$224,$C4,'TL11'!$J$10:$J$224),0),
IF('TL11'!$B$229=K$3,SUMIF('TL11'!$C$238:$C$451,$C4,'TL11'!$J$238:$J$451),0),
IF('TL12'!$B$3=K$3,SUMIF('TL12'!$C$10:$C$224,$C4,'TL12'!$J$10:$J$224),0),
IF('TL12'!$B$229=K$3,SUMIF('TL12'!$C$238:$C$451,$C4,'TL12'!$J$238:$J$451),0),
IF('TL13'!$B$3=K$3,SUMIF('TL13'!$C$10:$C$224,$C4,'TL13'!$J$10:$J$224),0),
IF('TL13'!$B$229=K$3,SUMIF('TL13'!$C$238:$C$451,$C4,'TL13'!$J$238:$J$451),0),
IF('TL14'!$B$3=K$3,SUMIF('TL14'!$C$10:$C$224,$C4,'TL14'!$J$10:$J$224),0),
IF('TL14'!$B$229=K$3,SUMIF('TL14'!$C$238:$C$451,$C4,'TL14'!$J$238:$J$451),0),
IF('TL15'!$B$3=K$3,SUMIF('TL15'!$C$10:$C$224,$C4,'TL15'!$J$10:$J$224),0),
IF('TL15'!$B$229=K$3,SUMIF('TL15'!$C$238:$C$451,$C4,'TL15'!$J$238:$J$451),0),
IF('TL16'!$B$3=K$3,SUMIF('TL16'!$C$10:$C$224,$C4,'TL16'!$J$10:$J$224),0),
IF('TL16'!$B$229=K$3,SUMIF('TL16'!$C$238:$C$451,$C4,'TL16'!$J$238:$J$451),0),
IF('TL17'!$B$3=K$3,SUMIF('TL17'!$C$10:$C$224,$C4,'TL17'!$J$10:$J$224),0),
IF('TL17'!$B$229=K$3,SUMIF('TL17'!$C$238:$C$451,$C4,'TL17'!$J$238:$J$451),0),
IF('TL18'!$B$3=K$3,SUMIF('TL18'!$C$10:$C$224,$C4,'TL18'!$J$10:$J$224),0),
IF('TL18'!$B$229=K$3,SUMIF('TL18'!$C$238:$C$451,$C4,'TL18'!$J$238:$J$451),0),
IF('TL19'!$B$3=K$3,SUMIF('TL19'!$C$10:$C$224,$C4,'TL19'!$J$10:$J$224),0),
IF('TL19'!$B$229=K$3,SUMIF('TL19'!$C$238:$C$451,$C4,'TL19'!$J$238:$J$451),0)
),0)</f>
        <v>60</v>
      </c>
      <c r="L4" s="9">
        <f>IFERROR(SUM(
IF('TL01'!$B$3=L$3,SUMIF('TL01'!$C$10:$C$224,$C4,'TL01'!$J$10:$J$224),0),
IF('TL01'!$B$229=L$3,SUMIF('TL01'!$C$238:$C$451,$C4,'TL01'!$J$238:$J$451),0),
IF('TL02'!$B$3=L$3,SUMIF('TL02'!$C$10:$C$224,$C4,'TL02'!$J$10:$J$224),0),
IF('TL02'!$B$229=L$3,SUMIF('TL02'!$C$238:$C$451,$C4,'TL02'!$J$238:$J$451),0),
IF('TL03'!$B$3=L$3,SUMIF('TL03'!$C$10:$C$224,$C4,'TL03'!$J$10:$J$224),0),
IF('TL03'!$B$229=L$3,SUMIF('TL03'!$C$238:$C$451,$C4,'TL03'!$J$238:$J$451),0),
IF('TL04'!$B$3=L$3,SUMIF('TL04'!$C$10:$C$224,$C4,'TL04'!$J$10:$J$224),0),
IF('TL04'!$B$229=L$3,SUMIF('TL04'!$C$238:$C$451,$C4,'TL04'!$J$238:$J$451),0),
IF('TL05'!$B$3=L$3,SUMIF('TL05'!$C$10:$C$224,$C4,'TL05'!$J$10:$J$224),0),
IF('TL05'!$B$229=L$3,SUMIF('TL05'!$C$238:$C$451,$C4,'TL05'!$J$238:$J$451),0),
IF('TL06'!$B$3=L$3,SUMIF('TL06'!$C$10:$C$224,$C4,'TL06'!$J$10:$J$224),0),
IF('TL06'!$B$229=L$3,SUMIF('TL06'!$C$238:$C$451,$C4,'TL06'!$J$238:$J$451),0),
IF('TL07'!$B$3=L$3,SUMIF('TL07'!$C$10:$C$224,$C4,'TL07'!$J$10:$J$224),0),
IF('TL07'!$B$229=L$3,SUMIF('TL07'!$C$238:$C$451,$C4,'TL07'!$J$238:$J$451),0),
IF('TL08'!$B$3=L$3,SUMIF('TL08'!$C$10:$C$224,$C4,'TL08'!$J$10:$J$224),0),
IF('TL08'!$B$229=L$3,SUMIF('TL08'!$C$238:$C$451,$C4,'TL08'!$J$238:$J$451),0),
IF('TL09'!$B$3=L$3,SUMIF('TL09'!$C$10:$C$224,$C4,'TL09'!$J$10:$J$224),0),
IF('TL09'!$B$229=L$3,SUMIF('TL09'!$C$238:$C$451,$C4,'TL09'!$J$238:$J$451),0),
IF('TL10'!$B$3=L$3,SUMIF('TL10'!$C$10:$C$224,$C4,'TL10'!$J$10:$J$224),0),
IF('TL10'!$B$229=L$3,SUMIF('TL10'!$C$238:$C$451,$C4,'TL10'!$J$238:$J$451),0),
IF('TL11'!$B$3=L$3,SUMIF('TL11'!$C$10:$C$224,$C4,'TL11'!$J$10:$J$224),0),
IF('TL11'!$B$229=L$3,SUMIF('TL11'!$C$238:$C$451,$C4,'TL11'!$J$238:$J$451),0),
IF('TL12'!$B$3=L$3,SUMIF('TL12'!$C$10:$C$224,$C4,'TL12'!$J$10:$J$224),0),
IF('TL12'!$B$229=L$3,SUMIF('TL12'!$C$238:$C$451,$C4,'TL12'!$J$238:$J$451),0),
IF('TL13'!$B$3=L$3,SUMIF('TL13'!$C$10:$C$224,$C4,'TL13'!$J$10:$J$224),0),
IF('TL13'!$B$229=L$3,SUMIF('TL13'!$C$238:$C$451,$C4,'TL13'!$J$238:$J$451),0),
IF('TL14'!$B$3=L$3,SUMIF('TL14'!$C$10:$C$224,$C4,'TL14'!$J$10:$J$224),0),
IF('TL14'!$B$229=L$3,SUMIF('TL14'!$C$238:$C$451,$C4,'TL14'!$J$238:$J$451),0),
IF('TL15'!$B$3=L$3,SUMIF('TL15'!$C$10:$C$224,$C4,'TL15'!$J$10:$J$224),0),
IF('TL15'!$B$229=L$3,SUMIF('TL15'!$C$238:$C$451,$C4,'TL15'!$J$238:$J$451),0),
IF('TL16'!$B$3=L$3,SUMIF('TL16'!$C$10:$C$224,$C4,'TL16'!$J$10:$J$224),0),
IF('TL16'!$B$229=L$3,SUMIF('TL16'!$C$238:$C$451,$C4,'TL16'!$J$238:$J$451),0),
IF('TL17'!$B$3=L$3,SUMIF('TL17'!$C$10:$C$224,$C4,'TL17'!$J$10:$J$224),0),
IF('TL17'!$B$229=L$3,SUMIF('TL17'!$C$238:$C$451,$C4,'TL17'!$J$238:$J$451),0),
IF('TL18'!$B$3=L$3,SUMIF('TL18'!$C$10:$C$224,$C4,'TL18'!$J$10:$J$224),0),
IF('TL18'!$B$229=L$3,SUMIF('TL18'!$C$238:$C$451,$C4,'TL18'!$J$238:$J$451),0),
IF('TL19'!$B$3=L$3,SUMIF('TL19'!$C$10:$C$224,$C4,'TL19'!$J$10:$J$224),0),
IF('TL19'!$B$229=L$3,SUMIF('TL19'!$C$238:$C$451,$C4,'TL19'!$J$238:$J$451),0)
),0)</f>
        <v>44</v>
      </c>
      <c r="M4" s="9">
        <f>IFERROR(SUM(
IF('TL01'!$B$3=M$3,SUMIF('TL01'!$C$10:$C$224,$C4,'TL01'!$J$10:$J$224),0),
IF('TL01'!$B$229=M$3,SUMIF('TL01'!$C$238:$C$451,$C4,'TL01'!$J$238:$J$451),0),
IF('TL02'!$B$3=M$3,SUMIF('TL02'!$C$10:$C$224,$C4,'TL02'!$J$10:$J$224),0),
IF('TL02'!$B$229=M$3,SUMIF('TL02'!$C$238:$C$451,$C4,'TL02'!$J$238:$J$451),0),
IF('TL03'!$B$3=M$3,SUMIF('TL03'!$C$10:$C$224,$C4,'TL03'!$J$10:$J$224),0),
IF('TL03'!$B$229=M$3,SUMIF('TL03'!$C$238:$C$451,$C4,'TL03'!$J$238:$J$451),0),
IF('TL04'!$B$3=M$3,SUMIF('TL04'!$C$10:$C$224,$C4,'TL04'!$J$10:$J$224),0),
IF('TL04'!$B$229=M$3,SUMIF('TL04'!$C$238:$C$451,$C4,'TL04'!$J$238:$J$451),0),
IF('TL05'!$B$3=M$3,SUMIF('TL05'!$C$10:$C$224,$C4,'TL05'!$J$10:$J$224),0),
IF('TL05'!$B$229=M$3,SUMIF('TL05'!$C$238:$C$451,$C4,'TL05'!$J$238:$J$451),0),
IF('TL06'!$B$3=M$3,SUMIF('TL06'!$C$10:$C$224,$C4,'TL06'!$J$10:$J$224),0),
IF('TL06'!$B$229=M$3,SUMIF('TL06'!$C$238:$C$451,$C4,'TL06'!$J$238:$J$451),0),
IF('TL07'!$B$3=M$3,SUMIF('TL07'!$C$10:$C$224,$C4,'TL07'!$J$10:$J$224),0),
IF('TL07'!$B$229=M$3,SUMIF('TL07'!$C$238:$C$451,$C4,'TL07'!$J$238:$J$451),0),
IF('TL08'!$B$3=M$3,SUMIF('TL08'!$C$10:$C$224,$C4,'TL08'!$J$10:$J$224),0),
IF('TL08'!$B$229=M$3,SUMIF('TL08'!$C$238:$C$451,$C4,'TL08'!$J$238:$J$451),0),
IF('TL09'!$B$3=M$3,SUMIF('TL09'!$C$10:$C$224,$C4,'TL09'!$J$10:$J$224),0),
IF('TL09'!$B$229=M$3,SUMIF('TL09'!$C$238:$C$451,$C4,'TL09'!$J$238:$J$451),0),
IF('TL10'!$B$3=M$3,SUMIF('TL10'!$C$10:$C$224,$C4,'TL10'!$J$10:$J$224),0),
IF('TL10'!$B$229=M$3,SUMIF('TL10'!$C$238:$C$451,$C4,'TL10'!$J$238:$J$451),0),
IF('TL11'!$B$3=M$3,SUMIF('TL11'!$C$10:$C$224,$C4,'TL11'!$J$10:$J$224),0),
IF('TL11'!$B$229=M$3,SUMIF('TL11'!$C$238:$C$451,$C4,'TL11'!$J$238:$J$451),0),
IF('TL12'!$B$3=M$3,SUMIF('TL12'!$C$10:$C$224,$C4,'TL12'!$J$10:$J$224),0),
IF('TL12'!$B$229=M$3,SUMIF('TL12'!$C$238:$C$451,$C4,'TL12'!$J$238:$J$451),0),
IF('TL13'!$B$3=M$3,SUMIF('TL13'!$C$10:$C$224,$C4,'TL13'!$J$10:$J$224),0),
IF('TL13'!$B$229=M$3,SUMIF('TL13'!$C$238:$C$451,$C4,'TL13'!$J$238:$J$451),0),
IF('TL14'!$B$3=M$3,SUMIF('TL14'!$C$10:$C$224,$C4,'TL14'!$J$10:$J$224),0),
IF('TL14'!$B$229=M$3,SUMIF('TL14'!$C$238:$C$451,$C4,'TL14'!$J$238:$J$451),0),
IF('TL15'!$B$3=M$3,SUMIF('TL15'!$C$10:$C$224,$C4,'TL15'!$J$10:$J$224),0),
IF('TL15'!$B$229=M$3,SUMIF('TL15'!$C$238:$C$451,$C4,'TL15'!$J$238:$J$451),0),
IF('TL16'!$B$3=M$3,SUMIF('TL16'!$C$10:$C$224,$C4,'TL16'!$J$10:$J$224),0),
IF('TL16'!$B$229=M$3,SUMIF('TL16'!$C$238:$C$451,$C4,'TL16'!$J$238:$J$451),0),
IF('TL17'!$B$3=M$3,SUMIF('TL17'!$C$10:$C$224,$C4,'TL17'!$J$10:$J$224),0),
IF('TL17'!$B$229=M$3,SUMIF('TL17'!$C$238:$C$451,$C4,'TL17'!$J$238:$J$451),0),
IF('TL18'!$B$3=M$3,SUMIF('TL18'!$C$10:$C$224,$C4,'TL18'!$J$10:$J$224),0),
IF('TL18'!$B$229=M$3,SUMIF('TL18'!$C$238:$C$451,$C4,'TL18'!$J$238:$J$451),0),
IF('TL19'!$B$3=M$3,SUMIF('TL19'!$C$10:$C$224,$C4,'TL19'!$J$10:$J$224),0),
IF('TL19'!$B$229=M$3,SUMIF('TL19'!$C$238:$C$451,$C4,'TL19'!$J$238:$J$451),0)
),0)</f>
        <v>0</v>
      </c>
      <c r="N4" s="9">
        <f>IFERROR(SUM(
IF('TL01'!$B$3=N$3,SUMIF('TL01'!$C$10:$C$224,$C4,'TL01'!$J$10:$J$224),0),
IF('TL01'!$B$229=N$3,SUMIF('TL01'!$C$238:$C$451,$C4,'TL01'!$J$238:$J$451),0),
IF('TL02'!$B$3=N$3,SUMIF('TL02'!$C$10:$C$224,$C4,'TL02'!$J$10:$J$224),0),
IF('TL02'!$B$229=N$3,SUMIF('TL02'!$C$238:$C$451,$C4,'TL02'!$J$238:$J$451),0),
IF('TL03'!$B$3=N$3,SUMIF('TL03'!$C$10:$C$224,$C4,'TL03'!$J$10:$J$224),0),
IF('TL03'!$B$229=N$3,SUMIF('TL03'!$C$238:$C$451,$C4,'TL03'!$J$238:$J$451),0),
IF('TL04'!$B$3=N$3,SUMIF('TL04'!$C$10:$C$224,$C4,'TL04'!$J$10:$J$224),0),
IF('TL04'!$B$229=N$3,SUMIF('TL04'!$C$238:$C$451,$C4,'TL04'!$J$238:$J$451),0),
IF('TL05'!$B$3=N$3,SUMIF('TL05'!$C$10:$C$224,$C4,'TL05'!$J$10:$J$224),0),
IF('TL05'!$B$229=N$3,SUMIF('TL05'!$C$238:$C$451,$C4,'TL05'!$J$238:$J$451),0),
IF('TL06'!$B$3=N$3,SUMIF('TL06'!$C$10:$C$224,$C4,'TL06'!$J$10:$J$224),0),
IF('TL06'!$B$229=N$3,SUMIF('TL06'!$C$238:$C$451,$C4,'TL06'!$J$238:$J$451),0),
IF('TL07'!$B$3=N$3,SUMIF('TL07'!$C$10:$C$224,$C4,'TL07'!$J$10:$J$224),0),
IF('TL07'!$B$229=N$3,SUMIF('TL07'!$C$238:$C$451,$C4,'TL07'!$J$238:$J$451),0),
IF('TL08'!$B$3=N$3,SUMIF('TL08'!$C$10:$C$224,$C4,'TL08'!$J$10:$J$224),0),
IF('TL08'!$B$229=N$3,SUMIF('TL08'!$C$238:$C$451,$C4,'TL08'!$J$238:$J$451),0),
IF('TL09'!$B$3=N$3,SUMIF('TL09'!$C$10:$C$224,$C4,'TL09'!$J$10:$J$224),0),
IF('TL09'!$B$229=N$3,SUMIF('TL09'!$C$238:$C$451,$C4,'TL09'!$J$238:$J$451),0),
IF('TL10'!$B$3=N$3,SUMIF('TL10'!$C$10:$C$224,$C4,'TL10'!$J$10:$J$224),0),
IF('TL10'!$B$229=N$3,SUMIF('TL10'!$C$238:$C$451,$C4,'TL10'!$J$238:$J$451),0),
IF('TL11'!$B$3=N$3,SUMIF('TL11'!$C$10:$C$224,$C4,'TL11'!$J$10:$J$224),0),
IF('TL11'!$B$229=N$3,SUMIF('TL11'!$C$238:$C$451,$C4,'TL11'!$J$238:$J$451),0),
IF('TL12'!$B$3=N$3,SUMIF('TL12'!$C$10:$C$224,$C4,'TL12'!$J$10:$J$224),0),
IF('TL12'!$B$229=N$3,SUMIF('TL12'!$C$238:$C$451,$C4,'TL12'!$J$238:$J$451),0),
IF('TL13'!$B$3=N$3,SUMIF('TL13'!$C$10:$C$224,$C4,'TL13'!$J$10:$J$224),0),
IF('TL13'!$B$229=N$3,SUMIF('TL13'!$C$238:$C$451,$C4,'TL13'!$J$238:$J$451),0),
IF('TL14'!$B$3=N$3,SUMIF('TL14'!$C$10:$C$224,$C4,'TL14'!$J$10:$J$224),0),
IF('TL14'!$B$229=N$3,SUMIF('TL14'!$C$238:$C$451,$C4,'TL14'!$J$238:$J$451),0),
IF('TL15'!$B$3=N$3,SUMIF('TL15'!$C$10:$C$224,$C4,'TL15'!$J$10:$J$224),0),
IF('TL15'!$B$229=N$3,SUMIF('TL15'!$C$238:$C$451,$C4,'TL15'!$J$238:$J$451),0),
IF('TL16'!$B$3=N$3,SUMIF('TL16'!$C$10:$C$224,$C4,'TL16'!$J$10:$J$224),0),
IF('TL16'!$B$229=N$3,SUMIF('TL16'!$C$238:$C$451,$C4,'TL16'!$J$238:$J$451),0),
IF('TL17'!$B$3=N$3,SUMIF('TL17'!$C$10:$C$224,$C4,'TL17'!$J$10:$J$224),0),
IF('TL17'!$B$229=N$3,SUMIF('TL17'!$C$238:$C$451,$C4,'TL17'!$J$238:$J$451),0),
IF('TL18'!$B$3=N$3,SUMIF('TL18'!$C$10:$C$224,$C4,'TL18'!$J$10:$J$224),0),
IF('TL18'!$B$229=N$3,SUMIF('TL18'!$C$238:$C$451,$C4,'TL18'!$J$238:$J$451),0),
IF('TL19'!$B$3=N$3,SUMIF('TL19'!$C$10:$C$224,$C4,'TL19'!$J$10:$J$224),0),
IF('TL19'!$B$229=N$3,SUMIF('TL19'!$C$238:$C$451,$C4,'TL19'!$J$238:$J$451),0)
),0)</f>
        <v>0</v>
      </c>
      <c r="O4" s="9">
        <f>IFERROR(SUM(
IF('TL01'!$B$3=O$3,SUMIF('TL01'!$C$10:$C$224,$C4,'TL01'!$J$10:$J$224),0),
IF('TL01'!$B$229=O$3,SUMIF('TL01'!$C$238:$C$451,$C4,'TL01'!$J$238:$J$451),0),
IF('TL02'!$B$3=O$3,SUMIF('TL02'!$C$10:$C$224,$C4,'TL02'!$J$10:$J$224),0),
IF('TL02'!$B$229=O$3,SUMIF('TL02'!$C$238:$C$451,$C4,'TL02'!$J$238:$J$451),0),
IF('TL03'!$B$3=O$3,SUMIF('TL03'!$C$10:$C$224,$C4,'TL03'!$J$10:$J$224),0),
IF('TL03'!$B$229=O$3,SUMIF('TL03'!$C$238:$C$451,$C4,'TL03'!$J$238:$J$451),0),
IF('TL04'!$B$3=O$3,SUMIF('TL04'!$C$10:$C$224,$C4,'TL04'!$J$10:$J$224),0),
IF('TL04'!$B$229=O$3,SUMIF('TL04'!$C$238:$C$451,$C4,'TL04'!$J$238:$J$451),0),
IF('TL05'!$B$3=O$3,SUMIF('TL05'!$C$10:$C$224,$C4,'TL05'!$J$10:$J$224),0),
IF('TL05'!$B$229=O$3,SUMIF('TL05'!$C$238:$C$451,$C4,'TL05'!$J$238:$J$451),0),
IF('TL06'!$B$3=O$3,SUMIF('TL06'!$C$10:$C$224,$C4,'TL06'!$J$10:$J$224),0),
IF('TL06'!$B$229=O$3,SUMIF('TL06'!$C$238:$C$451,$C4,'TL06'!$J$238:$J$451),0),
IF('TL07'!$B$3=O$3,SUMIF('TL07'!$C$10:$C$224,$C4,'TL07'!$J$10:$J$224),0),
IF('TL07'!$B$229=O$3,SUMIF('TL07'!$C$238:$C$451,$C4,'TL07'!$J$238:$J$451),0),
IF('TL08'!$B$3=O$3,SUMIF('TL08'!$C$10:$C$224,$C4,'TL08'!$J$10:$J$224),0),
IF('TL08'!$B$229=O$3,SUMIF('TL08'!$C$238:$C$451,$C4,'TL08'!$J$238:$J$451),0),
IF('TL09'!$B$3=O$3,SUMIF('TL09'!$C$10:$C$224,$C4,'TL09'!$J$10:$J$224),0),
IF('TL09'!$B$229=O$3,SUMIF('TL09'!$C$238:$C$451,$C4,'TL09'!$J$238:$J$451),0),
IF('TL10'!$B$3=O$3,SUMIF('TL10'!$C$10:$C$224,$C4,'TL10'!$J$10:$J$224),0),
IF('TL10'!$B$229=O$3,SUMIF('TL10'!$C$238:$C$451,$C4,'TL10'!$J$238:$J$451),0),
IF('TL11'!$B$3=O$3,SUMIF('TL11'!$C$10:$C$224,$C4,'TL11'!$J$10:$J$224),0),
IF('TL11'!$B$229=O$3,SUMIF('TL11'!$C$238:$C$451,$C4,'TL11'!$J$238:$J$451),0),
IF('TL12'!$B$3=O$3,SUMIF('TL12'!$C$10:$C$224,$C4,'TL12'!$J$10:$J$224),0),
IF('TL12'!$B$229=O$3,SUMIF('TL12'!$C$238:$C$451,$C4,'TL12'!$J$238:$J$451),0),
IF('TL13'!$B$3=O$3,SUMIF('TL13'!$C$10:$C$224,$C4,'TL13'!$J$10:$J$224),0),
IF('TL13'!$B$229=O$3,SUMIF('TL13'!$C$238:$C$451,$C4,'TL13'!$J$238:$J$451),0),
IF('TL14'!$B$3=O$3,SUMIF('TL14'!$C$10:$C$224,$C4,'TL14'!$J$10:$J$224),0),
IF('TL14'!$B$229=O$3,SUMIF('TL14'!$C$238:$C$451,$C4,'TL14'!$J$238:$J$451),0),
IF('TL15'!$B$3=O$3,SUMIF('TL15'!$C$10:$C$224,$C4,'TL15'!$J$10:$J$224),0),
IF('TL15'!$B$229=O$3,SUMIF('TL15'!$C$238:$C$451,$C4,'TL15'!$J$238:$J$451),0),
IF('TL16'!$B$3=O$3,SUMIF('TL16'!$C$10:$C$224,$C4,'TL16'!$J$10:$J$224),0),
IF('TL16'!$B$229=O$3,SUMIF('TL16'!$C$238:$C$451,$C4,'TL16'!$J$238:$J$451),0),
IF('TL17'!$B$3=O$3,SUMIF('TL17'!$C$10:$C$224,$C4,'TL17'!$J$10:$J$224),0),
IF('TL17'!$B$229=O$3,SUMIF('TL17'!$C$238:$C$451,$C4,'TL17'!$J$238:$J$451),0),
IF('TL18'!$B$3=O$3,SUMIF('TL18'!$C$10:$C$224,$C4,'TL18'!$J$10:$J$224),0),
IF('TL18'!$B$229=O$3,SUMIF('TL18'!$C$238:$C$451,$C4,'TL18'!$J$238:$J$451),0),
IF('TL19'!$B$3=O$3,SUMIF('TL19'!$C$10:$C$224,$C4,'TL19'!$J$10:$J$224),0),
IF('TL19'!$B$229=O$3,SUMIF('TL19'!$C$238:$C$451,$C4,'TL19'!$J$238:$J$451),0)
),0)</f>
        <v>0</v>
      </c>
      <c r="P4" s="9">
        <f>IFERROR(SUM(
IF('TL01'!$B$3=P$3,SUMIF('TL01'!$C$10:$C$224,$C4,'TL01'!$J$10:$J$224),0),
IF('TL01'!$B$229=P$3,SUMIF('TL01'!$C$238:$C$451,$C4,'TL01'!$J$238:$J$451),0),
IF('TL02'!$B$3=P$3,SUMIF('TL02'!$C$10:$C$224,$C4,'TL02'!$J$10:$J$224),0),
IF('TL02'!$B$229=P$3,SUMIF('TL02'!$C$238:$C$451,$C4,'TL02'!$J$238:$J$451),0),
IF('TL03'!$B$3=P$3,SUMIF('TL03'!$C$10:$C$224,$C4,'TL03'!$J$10:$J$224),0),
IF('TL03'!$B$229=P$3,SUMIF('TL03'!$C$238:$C$451,$C4,'TL03'!$J$238:$J$451),0),
IF('TL04'!$B$3=P$3,SUMIF('TL04'!$C$10:$C$224,$C4,'TL04'!$J$10:$J$224),0),
IF('TL04'!$B$229=P$3,SUMIF('TL04'!$C$238:$C$451,$C4,'TL04'!$J$238:$J$451),0),
IF('TL05'!$B$3=P$3,SUMIF('TL05'!$C$10:$C$224,$C4,'TL05'!$J$10:$J$224),0),
IF('TL05'!$B$229=P$3,SUMIF('TL05'!$C$238:$C$451,$C4,'TL05'!$J$238:$J$451),0),
IF('TL06'!$B$3=P$3,SUMIF('TL06'!$C$10:$C$224,$C4,'TL06'!$J$10:$J$224),0),
IF('TL06'!$B$229=P$3,SUMIF('TL06'!$C$238:$C$451,$C4,'TL06'!$J$238:$J$451),0),
IF('TL07'!$B$3=P$3,SUMIF('TL07'!$C$10:$C$224,$C4,'TL07'!$J$10:$J$224),0),
IF('TL07'!$B$229=P$3,SUMIF('TL07'!$C$238:$C$451,$C4,'TL07'!$J$238:$J$451),0),
IF('TL08'!$B$3=P$3,SUMIF('TL08'!$C$10:$C$224,$C4,'TL08'!$J$10:$J$224),0),
IF('TL08'!$B$229=P$3,SUMIF('TL08'!$C$238:$C$451,$C4,'TL08'!$J$238:$J$451),0),
IF('TL09'!$B$3=P$3,SUMIF('TL09'!$C$10:$C$224,$C4,'TL09'!$J$10:$J$224),0),
IF('TL09'!$B$229=P$3,SUMIF('TL09'!$C$238:$C$451,$C4,'TL09'!$J$238:$J$451),0),
IF('TL10'!$B$3=P$3,SUMIF('TL10'!$C$10:$C$224,$C4,'TL10'!$J$10:$J$224),0),
IF('TL10'!$B$229=P$3,SUMIF('TL10'!$C$238:$C$451,$C4,'TL10'!$J$238:$J$451),0),
IF('TL11'!$B$3=P$3,SUMIF('TL11'!$C$10:$C$224,$C4,'TL11'!$J$10:$J$224),0),
IF('TL11'!$B$229=P$3,SUMIF('TL11'!$C$238:$C$451,$C4,'TL11'!$J$238:$J$451),0),
IF('TL12'!$B$3=P$3,SUMIF('TL12'!$C$10:$C$224,$C4,'TL12'!$J$10:$J$224),0),
IF('TL12'!$B$229=P$3,SUMIF('TL12'!$C$238:$C$451,$C4,'TL12'!$J$238:$J$451),0),
IF('TL13'!$B$3=P$3,SUMIF('TL13'!$C$10:$C$224,$C4,'TL13'!$J$10:$J$224),0),
IF('TL13'!$B$229=P$3,SUMIF('TL13'!$C$238:$C$451,$C4,'TL13'!$J$238:$J$451),0),
IF('TL14'!$B$3=P$3,SUMIF('TL14'!$C$10:$C$224,$C4,'TL14'!$J$10:$J$224),0),
IF('TL14'!$B$229=P$3,SUMIF('TL14'!$C$238:$C$451,$C4,'TL14'!$J$238:$J$451),0),
IF('TL15'!$B$3=P$3,SUMIF('TL15'!$C$10:$C$224,$C4,'TL15'!$J$10:$J$224),0),
IF('TL15'!$B$229=P$3,SUMIF('TL15'!$C$238:$C$451,$C4,'TL15'!$J$238:$J$451),0),
IF('TL16'!$B$3=P$3,SUMIF('TL16'!$C$10:$C$224,$C4,'TL16'!$J$10:$J$224),0),
IF('TL16'!$B$229=P$3,SUMIF('TL16'!$C$238:$C$451,$C4,'TL16'!$J$238:$J$451),0),
IF('TL17'!$B$3=P$3,SUMIF('TL17'!$C$10:$C$224,$C4,'TL17'!$J$10:$J$224),0),
IF('TL17'!$B$229=P$3,SUMIF('TL17'!$C$238:$C$451,$C4,'TL17'!$J$238:$J$451),0),
IF('TL18'!$B$3=P$3,SUMIF('TL18'!$C$10:$C$224,$C4,'TL18'!$J$10:$J$224),0),
IF('TL18'!$B$229=P$3,SUMIF('TL18'!$C$238:$C$451,$C4,'TL18'!$J$238:$J$451),0),
IF('TL19'!$B$3=P$3,SUMIF('TL19'!$C$10:$C$224,$C4,'TL19'!$J$10:$J$224),0),
IF('TL19'!$B$229=P$3,SUMIF('TL19'!$C$238:$C$451,$C4,'TL19'!$J$238:$J$451),0)
),0)</f>
        <v>428</v>
      </c>
      <c r="Q4" s="9">
        <f>IFERROR(SUM(
IF('TL01'!$B$3=Q$3,SUMIF('TL01'!$C$10:$C$224,$C4,'TL01'!$J$10:$J$224),0),
IF('TL01'!$B$229=Q$3,SUMIF('TL01'!$C$238:$C$451,$C4,'TL01'!$J$238:$J$451),0),
IF('TL02'!$B$3=Q$3,SUMIF('TL02'!$C$10:$C$224,$C4,'TL02'!$J$10:$J$224),0),
IF('TL02'!$B$229=Q$3,SUMIF('TL02'!$C$238:$C$451,$C4,'TL02'!$J$238:$J$451),0),
IF('TL03'!$B$3=Q$3,SUMIF('TL03'!$C$10:$C$224,$C4,'TL03'!$J$10:$J$224),0),
IF('TL03'!$B$229=Q$3,SUMIF('TL03'!$C$238:$C$451,$C4,'TL03'!$J$238:$J$451),0),
IF('TL04'!$B$3=Q$3,SUMIF('TL04'!$C$10:$C$224,$C4,'TL04'!$J$10:$J$224),0),
IF('TL04'!$B$229=Q$3,SUMIF('TL04'!$C$238:$C$451,$C4,'TL04'!$J$238:$J$451),0),
IF('TL05'!$B$3=Q$3,SUMIF('TL05'!$C$10:$C$224,$C4,'TL05'!$J$10:$J$224),0),
IF('TL05'!$B$229=Q$3,SUMIF('TL05'!$C$238:$C$451,$C4,'TL05'!$J$238:$J$451),0),
IF('TL06'!$B$3=Q$3,SUMIF('TL06'!$C$10:$C$224,$C4,'TL06'!$J$10:$J$224),0),
IF('TL06'!$B$229=Q$3,SUMIF('TL06'!$C$238:$C$451,$C4,'TL06'!$J$238:$J$451),0),
IF('TL07'!$B$3=Q$3,SUMIF('TL07'!$C$10:$C$224,$C4,'TL07'!$J$10:$J$224),0),
IF('TL07'!$B$229=Q$3,SUMIF('TL07'!$C$238:$C$451,$C4,'TL07'!$J$238:$J$451),0),
IF('TL08'!$B$3=Q$3,SUMIF('TL08'!$C$10:$C$224,$C4,'TL08'!$J$10:$J$224),0),
IF('TL08'!$B$229=Q$3,SUMIF('TL08'!$C$238:$C$451,$C4,'TL08'!$J$238:$J$451),0),
IF('TL09'!$B$3=Q$3,SUMIF('TL09'!$C$10:$C$224,$C4,'TL09'!$J$10:$J$224),0),
IF('TL09'!$B$229=Q$3,SUMIF('TL09'!$C$238:$C$451,$C4,'TL09'!$J$238:$J$451),0),
IF('TL10'!$B$3=Q$3,SUMIF('TL10'!$C$10:$C$224,$C4,'TL10'!$J$10:$J$224),0),
IF('TL10'!$B$229=Q$3,SUMIF('TL10'!$C$238:$C$451,$C4,'TL10'!$J$238:$J$451),0),
IF('TL11'!$B$3=Q$3,SUMIF('TL11'!$C$10:$C$224,$C4,'TL11'!$J$10:$J$224),0),
IF('TL11'!$B$229=Q$3,SUMIF('TL11'!$C$238:$C$451,$C4,'TL11'!$J$238:$J$451),0),
IF('TL12'!$B$3=Q$3,SUMIF('TL12'!$C$10:$C$224,$C4,'TL12'!$J$10:$J$224),0),
IF('TL12'!$B$229=Q$3,SUMIF('TL12'!$C$238:$C$451,$C4,'TL12'!$J$238:$J$451),0),
IF('TL13'!$B$3=Q$3,SUMIF('TL13'!$C$10:$C$224,$C4,'TL13'!$J$10:$J$224),0),
IF('TL13'!$B$229=Q$3,SUMIF('TL13'!$C$238:$C$451,$C4,'TL13'!$J$238:$J$451),0),
IF('TL14'!$B$3=Q$3,SUMIF('TL14'!$C$10:$C$224,$C4,'TL14'!$J$10:$J$224),0),
IF('TL14'!$B$229=Q$3,SUMIF('TL14'!$C$238:$C$451,$C4,'TL14'!$J$238:$J$451),0),
IF('TL15'!$B$3=Q$3,SUMIF('TL15'!$C$10:$C$224,$C4,'TL15'!$J$10:$J$224),0),
IF('TL15'!$B$229=Q$3,SUMIF('TL15'!$C$238:$C$451,$C4,'TL15'!$J$238:$J$451),0),
IF('TL16'!$B$3=Q$3,SUMIF('TL16'!$C$10:$C$224,$C4,'TL16'!$J$10:$J$224),0),
IF('TL16'!$B$229=Q$3,SUMIF('TL16'!$C$238:$C$451,$C4,'TL16'!$J$238:$J$451),0),
IF('TL17'!$B$3=Q$3,SUMIF('TL17'!$C$10:$C$224,$C4,'TL17'!$J$10:$J$224),0),
IF('TL17'!$B$229=Q$3,SUMIF('TL17'!$C$238:$C$451,$C4,'TL17'!$J$238:$J$451),0),
IF('TL18'!$B$3=Q$3,SUMIF('TL18'!$C$10:$C$224,$C4,'TL18'!$J$10:$J$224),0),
IF('TL18'!$B$229=Q$3,SUMIF('TL18'!$C$238:$C$451,$C4,'TL18'!$J$238:$J$451),0),
IF('TL19'!$B$3=Q$3,SUMIF('TL19'!$C$10:$C$224,$C4,'TL19'!$J$10:$J$224),0),
IF('TL19'!$B$229=Q$3,SUMIF('TL19'!$C$238:$C$451,$C4,'TL19'!$J$238:$J$451),0)
),0)</f>
        <v>64</v>
      </c>
      <c r="R4" s="9">
        <f>IFERROR(
SUM(
SUMIF('TL01'!C:C,C4,'TL01'!J:J),
SUMIF('TL02'!C:C,C4,'TL02'!J:J),
SUMIF('TL03'!C:C,C4,'TL03'!J:J),
SUMIF('TL04'!C:C,C4,'TL04'!J:J),
SUMIF('TL05'!C:C,C4,'TL05'!J:J),
SUMIF('TL06'!C:C,C4,'TL06'!J:J),
SUMIF('TL07'!C:C,C4,'TL07'!J:J),
SUMIF('TL08'!C:C,C4,'TL08'!J:J),
SUMIF('TL09'!C:C,C4,'TL09'!J:J),
SUMIF('TL10'!C:C,C4,'TL10'!J:J),
SUMIF('TL11'!C:C,C4,'TL11'!J:J),
SUMIF('TL12'!C:C,C4,'TL12'!J:J),
SUMIF('TL13'!C:C,C4,'TL13'!J:J),
SUMIF('TL14'!C:C,C4,'TL14'!J:J),
SUMIF('TL15'!C:C,C4,'TL15'!J:J),
SUMIF('TL16'!C:C,C4,'TL16'!J:J),
SUMIF('TL17'!C:C,C4,'TL17'!J:J),
SUMIF('TL18'!C:C,C4,'TL18'!J:J),SUMIF('TL19'!C:C,C4,'TL19'!J:J))
,0)</f>
        <v>596</v>
      </c>
      <c r="S4" s="17">
        <f>IFERROR(__xludf.DUMMYFUNCTION("IFERROR(VLOOKUP(C4,
IMPORTRANGE(""1wULbzX32WdYsx-lj2U3uUNBBe2INVIRDtcK0d-Dvl90"",
""26-27!C:G""),
5,
FALSE),
"""")"),16.49487)</f>
        <v>16.49487</v>
      </c>
      <c r="T4" s="9"/>
      <c r="U4" s="92">
        <f t="shared" ref="U4:U433" si="2">R4-T4</f>
        <v>596</v>
      </c>
      <c r="V4" s="93">
        <f t="shared" ref="V4:V433" si="3">U4*S4</f>
        <v>9830.94252</v>
      </c>
      <c r="X4" s="79" t="str">
        <f>IFERROR(__xludf.DUMMYFUNCTION("IMPORTRANGE(""1wULbzX32WdYsx-lj2U3uUNBBe2INVIRDtcK0d-Dvl90"",""26-27!A1"")"),"PORTFÓLIO DEFENSIVO SAFRA 26/27")</f>
        <v>PORTFÓLIO DEFENSIVO SAFRA 26/27</v>
      </c>
    </row>
    <row r="5" ht="22.5" hidden="1" customHeight="1">
      <c r="A5" s="94" t="s">
        <v>345</v>
      </c>
      <c r="B5" s="95" t="s">
        <v>6</v>
      </c>
      <c r="C5" s="96" t="s">
        <v>346</v>
      </c>
      <c r="D5" s="96" t="s">
        <v>347</v>
      </c>
      <c r="E5" s="96">
        <v>782.0</v>
      </c>
      <c r="F5" s="4" t="s">
        <v>343</v>
      </c>
      <c r="G5" s="90" t="str">
        <f t="shared" si="1"/>
        <v>📄 Ver bula</v>
      </c>
      <c r="H5" s="9">
        <f>IFERROR(__xludf.DUMMYFUNCTION("IFERROR(VLOOKUP(C5,
IMPORTRANGE(""1wULbzX32WdYsx-lj2U3uUNBBe2INVIRDtcK0d-Dvl90"",
""26-27!C:K""),
8,
FALSE),
"""")"),0.2)</f>
        <v>0.2</v>
      </c>
      <c r="I5" s="97" t="s">
        <v>344</v>
      </c>
      <c r="J5" s="9">
        <f>IFERROR(SUM(
IF('TL01'!$B$3=J$3,SUMIF('TL01'!$C$10:$C$224,$C5,'TL01'!$J$10:$J$224),0),
IF('TL01'!$B$229=J$3,SUMIF('TL01'!$C$238:$C$451,$C5,'TL01'!$J$238:$J$451),0),
IF('TL02'!$B$3=J$3,SUMIF('TL02'!$C$10:$C$224,$C5,'TL02'!$J$10:$J$224),0),
IF('TL02'!$B$229=J$3,SUMIF('TL02'!$C$238:$C$451,$C5,'TL02'!$J$238:$J$451),0),
IF('TL03'!$B$3=J$3,SUMIF('TL03'!$C$10:$C$224,$C5,'TL03'!$J$10:$J$224),0),
IF('TL03'!$B$229=J$3,SUMIF('TL03'!$C$238:$C$451,$C5,'TL03'!$J$238:$J$451),0),
IF('TL04'!$B$3=J$3,SUMIF('TL04'!$C$10:$C$224,$C5,'TL04'!$J$10:$J$224),0),
IF('TL04'!$B$229=J$3,SUMIF('TL04'!$C$238:$C$451,$C5,'TL04'!$J$238:$J$451),0),
IF('TL05'!$B$3=J$3,SUMIF('TL05'!$C$10:$C$224,$C5,'TL05'!$J$10:$J$224),0),
IF('TL05'!$B$229=J$3,SUMIF('TL05'!$C$238:$C$451,$C5,'TL05'!$J$238:$J$451),0),
IF('TL06'!$B$3=J$3,SUMIF('TL06'!$C$10:$C$224,$C5,'TL06'!$J$10:$J$224),0),
IF('TL06'!$B$229=J$3,SUMIF('TL06'!$C$238:$C$451,$C5,'TL06'!$J$238:$J$451),0),
IF('TL07'!$B$3=J$3,SUMIF('TL07'!$C$10:$C$224,$C5,'TL07'!$J$10:$J$224),0),
IF('TL07'!$B$229=J$3,SUMIF('TL07'!$C$238:$C$451,$C5,'TL07'!$J$238:$J$451),0),
IF('TL08'!$B$3=J$3,SUMIF('TL08'!$C$10:$C$224,$C5,'TL08'!$J$10:$J$224),0),
IF('TL08'!$B$229=J$3,SUMIF('TL08'!$C$238:$C$451,$C5,'TL08'!$J$238:$J$451),0),
IF('TL09'!$B$3=J$3,SUMIF('TL09'!$C$10:$C$224,$C5,'TL09'!$J$10:$J$224),0),
IF('TL09'!$B$229=J$3,SUMIF('TL09'!$C$238:$C$451,$C5,'TL09'!$J$238:$J$451),0),
IF('TL10'!$B$3=J$3,SUMIF('TL10'!$C$10:$C$224,$C5,'TL10'!$J$10:$J$224),0),
IF('TL10'!$B$229=J$3,SUMIF('TL10'!$C$238:$C$451,$C5,'TL10'!$J$238:$J$451),0),
IF('TL11'!$B$3=J$3,SUMIF('TL11'!$C$10:$C$224,$C5,'TL11'!$J$10:$J$224),0),
IF('TL11'!$B$229=J$3,SUMIF('TL11'!$C$238:$C$451,$C5,'TL11'!$J$238:$J$451),0),
IF('TL12'!$B$3=J$3,SUMIF('TL12'!$C$10:$C$224,$C5,'TL12'!$J$10:$J$224),0),
IF('TL12'!$B$229=J$3,SUMIF('TL12'!$C$238:$C$451,$C5,'TL12'!$J$238:$J$451),0),
IF('TL13'!$B$3=J$3,SUMIF('TL13'!$C$10:$C$224,$C5,'TL13'!$J$10:$J$224),0),
IF('TL13'!$B$229=J$3,SUMIF('TL13'!$C$238:$C$451,$C5,'TL13'!$J$238:$J$451),0),
IF('TL14'!$B$3=J$3,SUMIF('TL14'!$C$10:$C$224,$C5,'TL14'!$J$10:$J$224),0),
IF('TL14'!$B$229=J$3,SUMIF('TL14'!$C$238:$C$451,$C5,'TL14'!$J$238:$J$451),0),
IF('TL15'!$B$3=J$3,SUMIF('TL15'!$C$10:$C$224,$C5,'TL15'!$J$10:$J$224),0),
IF('TL15'!$B$229=J$3,SUMIF('TL15'!$C$238:$C$451,$C5,'TL15'!$J$238:$J$451),0),
IF('TL16'!$B$3=J$3,SUMIF('TL16'!$C$10:$C$224,$C5,'TL16'!$J$10:$J$224),0),
IF('TL16'!$B$229=J$3,SUMIF('TL16'!$C$238:$C$451,$C5,'TL16'!$J$238:$J$451),0),
IF('TL17'!$B$3=J$3,SUMIF('TL17'!$C$10:$C$224,$C5,'TL17'!$J$10:$J$224),0),
IF('TL17'!$B$229=J$3,SUMIF('TL17'!$C$238:$C$451,$C5,'TL17'!$J$238:$J$451),0),
IF('TL18'!$B$3=J$3,SUMIF('TL18'!$C$10:$C$224,$C5,'TL18'!$J$10:$J$224),0),
IF('TL18'!$B$229=J$3,SUMIF('TL18'!$C$238:$C$451,$C5,'TL18'!$J$238:$J$451),0),
IF('TL19'!$B$3=J$3,SUMIF('TL19'!$C$10:$C$224,$C5,'TL19'!$J$10:$J$224),0),
IF('TL19'!$B$229=J$3,SUMIF('TL19'!$C$238:$C$451,$C5,'TL19'!$J$238:$J$451),0)
),0)</f>
        <v>0</v>
      </c>
      <c r="K5" s="9">
        <f>IFERROR(SUM(
IF('TL01'!$B$3=K$3,SUMIF('TL01'!$C$10:$C$224,$C5,'TL01'!$J$10:$J$224),0),
IF('TL01'!$B$229=K$3,SUMIF('TL01'!$C$238:$C$451,$C5,'TL01'!$J$238:$J$451),0),
IF('TL02'!$B$3=K$3,SUMIF('TL02'!$C$10:$C$224,$C5,'TL02'!$J$10:$J$224),0),
IF('TL02'!$B$229=K$3,SUMIF('TL02'!$C$238:$C$451,$C5,'TL02'!$J$238:$J$451),0),
IF('TL03'!$B$3=K$3,SUMIF('TL03'!$C$10:$C$224,$C5,'TL03'!$J$10:$J$224),0),
IF('TL03'!$B$229=K$3,SUMIF('TL03'!$C$238:$C$451,$C5,'TL03'!$J$238:$J$451),0),
IF('TL04'!$B$3=K$3,SUMIF('TL04'!$C$10:$C$224,$C5,'TL04'!$J$10:$J$224),0),
IF('TL04'!$B$229=K$3,SUMIF('TL04'!$C$238:$C$451,$C5,'TL04'!$J$238:$J$451),0),
IF('TL05'!$B$3=K$3,SUMIF('TL05'!$C$10:$C$224,$C5,'TL05'!$J$10:$J$224),0),
IF('TL05'!$B$229=K$3,SUMIF('TL05'!$C$238:$C$451,$C5,'TL05'!$J$238:$J$451),0),
IF('TL06'!$B$3=K$3,SUMIF('TL06'!$C$10:$C$224,$C5,'TL06'!$J$10:$J$224),0),
IF('TL06'!$B$229=K$3,SUMIF('TL06'!$C$238:$C$451,$C5,'TL06'!$J$238:$J$451),0),
IF('TL07'!$B$3=K$3,SUMIF('TL07'!$C$10:$C$224,$C5,'TL07'!$J$10:$J$224),0),
IF('TL07'!$B$229=K$3,SUMIF('TL07'!$C$238:$C$451,$C5,'TL07'!$J$238:$J$451),0),
IF('TL08'!$B$3=K$3,SUMIF('TL08'!$C$10:$C$224,$C5,'TL08'!$J$10:$J$224),0),
IF('TL08'!$B$229=K$3,SUMIF('TL08'!$C$238:$C$451,$C5,'TL08'!$J$238:$J$451),0),
IF('TL09'!$B$3=K$3,SUMIF('TL09'!$C$10:$C$224,$C5,'TL09'!$J$10:$J$224),0),
IF('TL09'!$B$229=K$3,SUMIF('TL09'!$C$238:$C$451,$C5,'TL09'!$J$238:$J$451),0),
IF('TL10'!$B$3=K$3,SUMIF('TL10'!$C$10:$C$224,$C5,'TL10'!$J$10:$J$224),0),
IF('TL10'!$B$229=K$3,SUMIF('TL10'!$C$238:$C$451,$C5,'TL10'!$J$238:$J$451),0),
IF('TL11'!$B$3=K$3,SUMIF('TL11'!$C$10:$C$224,$C5,'TL11'!$J$10:$J$224),0),
IF('TL11'!$B$229=K$3,SUMIF('TL11'!$C$238:$C$451,$C5,'TL11'!$J$238:$J$451),0),
IF('TL12'!$B$3=K$3,SUMIF('TL12'!$C$10:$C$224,$C5,'TL12'!$J$10:$J$224),0),
IF('TL12'!$B$229=K$3,SUMIF('TL12'!$C$238:$C$451,$C5,'TL12'!$J$238:$J$451),0),
IF('TL13'!$B$3=K$3,SUMIF('TL13'!$C$10:$C$224,$C5,'TL13'!$J$10:$J$224),0),
IF('TL13'!$B$229=K$3,SUMIF('TL13'!$C$238:$C$451,$C5,'TL13'!$J$238:$J$451),0),
IF('TL14'!$B$3=K$3,SUMIF('TL14'!$C$10:$C$224,$C5,'TL14'!$J$10:$J$224),0),
IF('TL14'!$B$229=K$3,SUMIF('TL14'!$C$238:$C$451,$C5,'TL14'!$J$238:$J$451),0),
IF('TL15'!$B$3=K$3,SUMIF('TL15'!$C$10:$C$224,$C5,'TL15'!$J$10:$J$224),0),
IF('TL15'!$B$229=K$3,SUMIF('TL15'!$C$238:$C$451,$C5,'TL15'!$J$238:$J$451),0),
IF('TL16'!$B$3=K$3,SUMIF('TL16'!$C$10:$C$224,$C5,'TL16'!$J$10:$J$224),0),
IF('TL16'!$B$229=K$3,SUMIF('TL16'!$C$238:$C$451,$C5,'TL16'!$J$238:$J$451),0),
IF('TL17'!$B$3=K$3,SUMIF('TL17'!$C$10:$C$224,$C5,'TL17'!$J$10:$J$224),0),
IF('TL17'!$B$229=K$3,SUMIF('TL17'!$C$238:$C$451,$C5,'TL17'!$J$238:$J$451),0),
IF('TL18'!$B$3=K$3,SUMIF('TL18'!$C$10:$C$224,$C5,'TL18'!$J$10:$J$224),0),
IF('TL18'!$B$229=K$3,SUMIF('TL18'!$C$238:$C$451,$C5,'TL18'!$J$238:$J$451),0),
IF('TL19'!$B$3=K$3,SUMIF('TL19'!$C$10:$C$224,$C5,'TL19'!$J$10:$J$224),0),
IF('TL19'!$B$229=K$3,SUMIF('TL19'!$C$238:$C$451,$C5,'TL19'!$J$238:$J$451),0)
),0)</f>
        <v>0</v>
      </c>
      <c r="L5" s="9">
        <f>IFERROR(SUM(
IF('TL01'!$B$3=L$3,SUMIF('TL01'!$C$10:$C$224,$C5,'TL01'!$J$10:$J$224),0),
IF('TL01'!$B$229=L$3,SUMIF('TL01'!$C$238:$C$451,$C5,'TL01'!$J$238:$J$451),0),
IF('TL02'!$B$3=L$3,SUMIF('TL02'!$C$10:$C$224,$C5,'TL02'!$J$10:$J$224),0),
IF('TL02'!$B$229=L$3,SUMIF('TL02'!$C$238:$C$451,$C5,'TL02'!$J$238:$J$451),0),
IF('TL03'!$B$3=L$3,SUMIF('TL03'!$C$10:$C$224,$C5,'TL03'!$J$10:$J$224),0),
IF('TL03'!$B$229=L$3,SUMIF('TL03'!$C$238:$C$451,$C5,'TL03'!$J$238:$J$451),0),
IF('TL04'!$B$3=L$3,SUMIF('TL04'!$C$10:$C$224,$C5,'TL04'!$J$10:$J$224),0),
IF('TL04'!$B$229=L$3,SUMIF('TL04'!$C$238:$C$451,$C5,'TL04'!$J$238:$J$451),0),
IF('TL05'!$B$3=L$3,SUMIF('TL05'!$C$10:$C$224,$C5,'TL05'!$J$10:$J$224),0),
IF('TL05'!$B$229=L$3,SUMIF('TL05'!$C$238:$C$451,$C5,'TL05'!$J$238:$J$451),0),
IF('TL06'!$B$3=L$3,SUMIF('TL06'!$C$10:$C$224,$C5,'TL06'!$J$10:$J$224),0),
IF('TL06'!$B$229=L$3,SUMIF('TL06'!$C$238:$C$451,$C5,'TL06'!$J$238:$J$451),0),
IF('TL07'!$B$3=L$3,SUMIF('TL07'!$C$10:$C$224,$C5,'TL07'!$J$10:$J$224),0),
IF('TL07'!$B$229=L$3,SUMIF('TL07'!$C$238:$C$451,$C5,'TL07'!$J$238:$J$451),0),
IF('TL08'!$B$3=L$3,SUMIF('TL08'!$C$10:$C$224,$C5,'TL08'!$J$10:$J$224),0),
IF('TL08'!$B$229=L$3,SUMIF('TL08'!$C$238:$C$451,$C5,'TL08'!$J$238:$J$451),0),
IF('TL09'!$B$3=L$3,SUMIF('TL09'!$C$10:$C$224,$C5,'TL09'!$J$10:$J$224),0),
IF('TL09'!$B$229=L$3,SUMIF('TL09'!$C$238:$C$451,$C5,'TL09'!$J$238:$J$451),0),
IF('TL10'!$B$3=L$3,SUMIF('TL10'!$C$10:$C$224,$C5,'TL10'!$J$10:$J$224),0),
IF('TL10'!$B$229=L$3,SUMIF('TL10'!$C$238:$C$451,$C5,'TL10'!$J$238:$J$451),0),
IF('TL11'!$B$3=L$3,SUMIF('TL11'!$C$10:$C$224,$C5,'TL11'!$J$10:$J$224),0),
IF('TL11'!$B$229=L$3,SUMIF('TL11'!$C$238:$C$451,$C5,'TL11'!$J$238:$J$451),0),
IF('TL12'!$B$3=L$3,SUMIF('TL12'!$C$10:$C$224,$C5,'TL12'!$J$10:$J$224),0),
IF('TL12'!$B$229=L$3,SUMIF('TL12'!$C$238:$C$451,$C5,'TL12'!$J$238:$J$451),0),
IF('TL13'!$B$3=L$3,SUMIF('TL13'!$C$10:$C$224,$C5,'TL13'!$J$10:$J$224),0),
IF('TL13'!$B$229=L$3,SUMIF('TL13'!$C$238:$C$451,$C5,'TL13'!$J$238:$J$451),0),
IF('TL14'!$B$3=L$3,SUMIF('TL14'!$C$10:$C$224,$C5,'TL14'!$J$10:$J$224),0),
IF('TL14'!$B$229=L$3,SUMIF('TL14'!$C$238:$C$451,$C5,'TL14'!$J$238:$J$451),0),
IF('TL15'!$B$3=L$3,SUMIF('TL15'!$C$10:$C$224,$C5,'TL15'!$J$10:$J$224),0),
IF('TL15'!$B$229=L$3,SUMIF('TL15'!$C$238:$C$451,$C5,'TL15'!$J$238:$J$451),0),
IF('TL16'!$B$3=L$3,SUMIF('TL16'!$C$10:$C$224,$C5,'TL16'!$J$10:$J$224),0),
IF('TL16'!$B$229=L$3,SUMIF('TL16'!$C$238:$C$451,$C5,'TL16'!$J$238:$J$451),0),
IF('TL17'!$B$3=L$3,SUMIF('TL17'!$C$10:$C$224,$C5,'TL17'!$J$10:$J$224),0),
IF('TL17'!$B$229=L$3,SUMIF('TL17'!$C$238:$C$451,$C5,'TL17'!$J$238:$J$451),0),
IF('TL18'!$B$3=L$3,SUMIF('TL18'!$C$10:$C$224,$C5,'TL18'!$J$10:$J$224),0),
IF('TL18'!$B$229=L$3,SUMIF('TL18'!$C$238:$C$451,$C5,'TL18'!$J$238:$J$451),0),
IF('TL19'!$B$3=L$3,SUMIF('TL19'!$C$10:$C$224,$C5,'TL19'!$J$10:$J$224),0),
IF('TL19'!$B$229=L$3,SUMIF('TL19'!$C$238:$C$451,$C5,'TL19'!$J$238:$J$451),0)
),0)</f>
        <v>0</v>
      </c>
      <c r="M5" s="9">
        <f>IFERROR(SUM(
IF('TL01'!$B$3=M$3,SUMIF('TL01'!$C$10:$C$224,$C5,'TL01'!$J$10:$J$224),0),
IF('TL01'!$B$229=M$3,SUMIF('TL01'!$C$238:$C$451,$C5,'TL01'!$J$238:$J$451),0),
IF('TL02'!$B$3=M$3,SUMIF('TL02'!$C$10:$C$224,$C5,'TL02'!$J$10:$J$224),0),
IF('TL02'!$B$229=M$3,SUMIF('TL02'!$C$238:$C$451,$C5,'TL02'!$J$238:$J$451),0),
IF('TL03'!$B$3=M$3,SUMIF('TL03'!$C$10:$C$224,$C5,'TL03'!$J$10:$J$224),0),
IF('TL03'!$B$229=M$3,SUMIF('TL03'!$C$238:$C$451,$C5,'TL03'!$J$238:$J$451),0),
IF('TL04'!$B$3=M$3,SUMIF('TL04'!$C$10:$C$224,$C5,'TL04'!$J$10:$J$224),0),
IF('TL04'!$B$229=M$3,SUMIF('TL04'!$C$238:$C$451,$C5,'TL04'!$J$238:$J$451),0),
IF('TL05'!$B$3=M$3,SUMIF('TL05'!$C$10:$C$224,$C5,'TL05'!$J$10:$J$224),0),
IF('TL05'!$B$229=M$3,SUMIF('TL05'!$C$238:$C$451,$C5,'TL05'!$J$238:$J$451),0),
IF('TL06'!$B$3=M$3,SUMIF('TL06'!$C$10:$C$224,$C5,'TL06'!$J$10:$J$224),0),
IF('TL06'!$B$229=M$3,SUMIF('TL06'!$C$238:$C$451,$C5,'TL06'!$J$238:$J$451),0),
IF('TL07'!$B$3=M$3,SUMIF('TL07'!$C$10:$C$224,$C5,'TL07'!$J$10:$J$224),0),
IF('TL07'!$B$229=M$3,SUMIF('TL07'!$C$238:$C$451,$C5,'TL07'!$J$238:$J$451),0),
IF('TL08'!$B$3=M$3,SUMIF('TL08'!$C$10:$C$224,$C5,'TL08'!$J$10:$J$224),0),
IF('TL08'!$B$229=M$3,SUMIF('TL08'!$C$238:$C$451,$C5,'TL08'!$J$238:$J$451),0),
IF('TL09'!$B$3=M$3,SUMIF('TL09'!$C$10:$C$224,$C5,'TL09'!$J$10:$J$224),0),
IF('TL09'!$B$229=M$3,SUMIF('TL09'!$C$238:$C$451,$C5,'TL09'!$J$238:$J$451),0),
IF('TL10'!$B$3=M$3,SUMIF('TL10'!$C$10:$C$224,$C5,'TL10'!$J$10:$J$224),0),
IF('TL10'!$B$229=M$3,SUMIF('TL10'!$C$238:$C$451,$C5,'TL10'!$J$238:$J$451),0),
IF('TL11'!$B$3=M$3,SUMIF('TL11'!$C$10:$C$224,$C5,'TL11'!$J$10:$J$224),0),
IF('TL11'!$B$229=M$3,SUMIF('TL11'!$C$238:$C$451,$C5,'TL11'!$J$238:$J$451),0),
IF('TL12'!$B$3=M$3,SUMIF('TL12'!$C$10:$C$224,$C5,'TL12'!$J$10:$J$224),0),
IF('TL12'!$B$229=M$3,SUMIF('TL12'!$C$238:$C$451,$C5,'TL12'!$J$238:$J$451),0),
IF('TL13'!$B$3=M$3,SUMIF('TL13'!$C$10:$C$224,$C5,'TL13'!$J$10:$J$224),0),
IF('TL13'!$B$229=M$3,SUMIF('TL13'!$C$238:$C$451,$C5,'TL13'!$J$238:$J$451),0),
IF('TL14'!$B$3=M$3,SUMIF('TL14'!$C$10:$C$224,$C5,'TL14'!$J$10:$J$224),0),
IF('TL14'!$B$229=M$3,SUMIF('TL14'!$C$238:$C$451,$C5,'TL14'!$J$238:$J$451),0),
IF('TL15'!$B$3=M$3,SUMIF('TL15'!$C$10:$C$224,$C5,'TL15'!$J$10:$J$224),0),
IF('TL15'!$B$229=M$3,SUMIF('TL15'!$C$238:$C$451,$C5,'TL15'!$J$238:$J$451),0),
IF('TL16'!$B$3=M$3,SUMIF('TL16'!$C$10:$C$224,$C5,'TL16'!$J$10:$J$224),0),
IF('TL16'!$B$229=M$3,SUMIF('TL16'!$C$238:$C$451,$C5,'TL16'!$J$238:$J$451),0),
IF('TL17'!$B$3=M$3,SUMIF('TL17'!$C$10:$C$224,$C5,'TL17'!$J$10:$J$224),0),
IF('TL17'!$B$229=M$3,SUMIF('TL17'!$C$238:$C$451,$C5,'TL17'!$J$238:$J$451),0),
IF('TL18'!$B$3=M$3,SUMIF('TL18'!$C$10:$C$224,$C5,'TL18'!$J$10:$J$224),0),
IF('TL18'!$B$229=M$3,SUMIF('TL18'!$C$238:$C$451,$C5,'TL18'!$J$238:$J$451),0),
IF('TL19'!$B$3=M$3,SUMIF('TL19'!$C$10:$C$224,$C5,'TL19'!$J$10:$J$224),0),
IF('TL19'!$B$229=M$3,SUMIF('TL19'!$C$238:$C$451,$C5,'TL19'!$J$238:$J$451),0)
),0)</f>
        <v>0</v>
      </c>
      <c r="N5" s="9">
        <f>IFERROR(SUM(
IF('TL01'!$B$3=N$3,SUMIF('TL01'!$C$10:$C$224,$C5,'TL01'!$J$10:$J$224),0),
IF('TL01'!$B$229=N$3,SUMIF('TL01'!$C$238:$C$451,$C5,'TL01'!$J$238:$J$451),0),
IF('TL02'!$B$3=N$3,SUMIF('TL02'!$C$10:$C$224,$C5,'TL02'!$J$10:$J$224),0),
IF('TL02'!$B$229=N$3,SUMIF('TL02'!$C$238:$C$451,$C5,'TL02'!$J$238:$J$451),0),
IF('TL03'!$B$3=N$3,SUMIF('TL03'!$C$10:$C$224,$C5,'TL03'!$J$10:$J$224),0),
IF('TL03'!$B$229=N$3,SUMIF('TL03'!$C$238:$C$451,$C5,'TL03'!$J$238:$J$451),0),
IF('TL04'!$B$3=N$3,SUMIF('TL04'!$C$10:$C$224,$C5,'TL04'!$J$10:$J$224),0),
IF('TL04'!$B$229=N$3,SUMIF('TL04'!$C$238:$C$451,$C5,'TL04'!$J$238:$J$451),0),
IF('TL05'!$B$3=N$3,SUMIF('TL05'!$C$10:$C$224,$C5,'TL05'!$J$10:$J$224),0),
IF('TL05'!$B$229=N$3,SUMIF('TL05'!$C$238:$C$451,$C5,'TL05'!$J$238:$J$451),0),
IF('TL06'!$B$3=N$3,SUMIF('TL06'!$C$10:$C$224,$C5,'TL06'!$J$10:$J$224),0),
IF('TL06'!$B$229=N$3,SUMIF('TL06'!$C$238:$C$451,$C5,'TL06'!$J$238:$J$451),0),
IF('TL07'!$B$3=N$3,SUMIF('TL07'!$C$10:$C$224,$C5,'TL07'!$J$10:$J$224),0),
IF('TL07'!$B$229=N$3,SUMIF('TL07'!$C$238:$C$451,$C5,'TL07'!$J$238:$J$451),0),
IF('TL08'!$B$3=N$3,SUMIF('TL08'!$C$10:$C$224,$C5,'TL08'!$J$10:$J$224),0),
IF('TL08'!$B$229=N$3,SUMIF('TL08'!$C$238:$C$451,$C5,'TL08'!$J$238:$J$451),0),
IF('TL09'!$B$3=N$3,SUMIF('TL09'!$C$10:$C$224,$C5,'TL09'!$J$10:$J$224),0),
IF('TL09'!$B$229=N$3,SUMIF('TL09'!$C$238:$C$451,$C5,'TL09'!$J$238:$J$451),0),
IF('TL10'!$B$3=N$3,SUMIF('TL10'!$C$10:$C$224,$C5,'TL10'!$J$10:$J$224),0),
IF('TL10'!$B$229=N$3,SUMIF('TL10'!$C$238:$C$451,$C5,'TL10'!$J$238:$J$451),0),
IF('TL11'!$B$3=N$3,SUMIF('TL11'!$C$10:$C$224,$C5,'TL11'!$J$10:$J$224),0),
IF('TL11'!$B$229=N$3,SUMIF('TL11'!$C$238:$C$451,$C5,'TL11'!$J$238:$J$451),0),
IF('TL12'!$B$3=N$3,SUMIF('TL12'!$C$10:$C$224,$C5,'TL12'!$J$10:$J$224),0),
IF('TL12'!$B$229=N$3,SUMIF('TL12'!$C$238:$C$451,$C5,'TL12'!$J$238:$J$451),0),
IF('TL13'!$B$3=N$3,SUMIF('TL13'!$C$10:$C$224,$C5,'TL13'!$J$10:$J$224),0),
IF('TL13'!$B$229=N$3,SUMIF('TL13'!$C$238:$C$451,$C5,'TL13'!$J$238:$J$451),0),
IF('TL14'!$B$3=N$3,SUMIF('TL14'!$C$10:$C$224,$C5,'TL14'!$J$10:$J$224),0),
IF('TL14'!$B$229=N$3,SUMIF('TL14'!$C$238:$C$451,$C5,'TL14'!$J$238:$J$451),0),
IF('TL15'!$B$3=N$3,SUMIF('TL15'!$C$10:$C$224,$C5,'TL15'!$J$10:$J$224),0),
IF('TL15'!$B$229=N$3,SUMIF('TL15'!$C$238:$C$451,$C5,'TL15'!$J$238:$J$451),0),
IF('TL16'!$B$3=N$3,SUMIF('TL16'!$C$10:$C$224,$C5,'TL16'!$J$10:$J$224),0),
IF('TL16'!$B$229=N$3,SUMIF('TL16'!$C$238:$C$451,$C5,'TL16'!$J$238:$J$451),0),
IF('TL17'!$B$3=N$3,SUMIF('TL17'!$C$10:$C$224,$C5,'TL17'!$J$10:$J$224),0),
IF('TL17'!$B$229=N$3,SUMIF('TL17'!$C$238:$C$451,$C5,'TL17'!$J$238:$J$451),0),
IF('TL18'!$B$3=N$3,SUMIF('TL18'!$C$10:$C$224,$C5,'TL18'!$J$10:$J$224),0),
IF('TL18'!$B$229=N$3,SUMIF('TL18'!$C$238:$C$451,$C5,'TL18'!$J$238:$J$451),0),
IF('TL19'!$B$3=N$3,SUMIF('TL19'!$C$10:$C$224,$C5,'TL19'!$J$10:$J$224),0),
IF('TL19'!$B$229=N$3,SUMIF('TL19'!$C$238:$C$451,$C5,'TL19'!$J$238:$J$451),0)
),0)</f>
        <v>0</v>
      </c>
      <c r="O5" s="9">
        <f>IFERROR(SUM(
IF('TL01'!$B$3=O$3,SUMIF('TL01'!$C$10:$C$224,$C5,'TL01'!$J$10:$J$224),0),
IF('TL01'!$B$229=O$3,SUMIF('TL01'!$C$238:$C$451,$C5,'TL01'!$J$238:$J$451),0),
IF('TL02'!$B$3=O$3,SUMIF('TL02'!$C$10:$C$224,$C5,'TL02'!$J$10:$J$224),0),
IF('TL02'!$B$229=O$3,SUMIF('TL02'!$C$238:$C$451,$C5,'TL02'!$J$238:$J$451),0),
IF('TL03'!$B$3=O$3,SUMIF('TL03'!$C$10:$C$224,$C5,'TL03'!$J$10:$J$224),0),
IF('TL03'!$B$229=O$3,SUMIF('TL03'!$C$238:$C$451,$C5,'TL03'!$J$238:$J$451),0),
IF('TL04'!$B$3=O$3,SUMIF('TL04'!$C$10:$C$224,$C5,'TL04'!$J$10:$J$224),0),
IF('TL04'!$B$229=O$3,SUMIF('TL04'!$C$238:$C$451,$C5,'TL04'!$J$238:$J$451),0),
IF('TL05'!$B$3=O$3,SUMIF('TL05'!$C$10:$C$224,$C5,'TL05'!$J$10:$J$224),0),
IF('TL05'!$B$229=O$3,SUMIF('TL05'!$C$238:$C$451,$C5,'TL05'!$J$238:$J$451),0),
IF('TL06'!$B$3=O$3,SUMIF('TL06'!$C$10:$C$224,$C5,'TL06'!$J$10:$J$224),0),
IF('TL06'!$B$229=O$3,SUMIF('TL06'!$C$238:$C$451,$C5,'TL06'!$J$238:$J$451),0),
IF('TL07'!$B$3=O$3,SUMIF('TL07'!$C$10:$C$224,$C5,'TL07'!$J$10:$J$224),0),
IF('TL07'!$B$229=O$3,SUMIF('TL07'!$C$238:$C$451,$C5,'TL07'!$J$238:$J$451),0),
IF('TL08'!$B$3=O$3,SUMIF('TL08'!$C$10:$C$224,$C5,'TL08'!$J$10:$J$224),0),
IF('TL08'!$B$229=O$3,SUMIF('TL08'!$C$238:$C$451,$C5,'TL08'!$J$238:$J$451),0),
IF('TL09'!$B$3=O$3,SUMIF('TL09'!$C$10:$C$224,$C5,'TL09'!$J$10:$J$224),0),
IF('TL09'!$B$229=O$3,SUMIF('TL09'!$C$238:$C$451,$C5,'TL09'!$J$238:$J$451),0),
IF('TL10'!$B$3=O$3,SUMIF('TL10'!$C$10:$C$224,$C5,'TL10'!$J$10:$J$224),0),
IF('TL10'!$B$229=O$3,SUMIF('TL10'!$C$238:$C$451,$C5,'TL10'!$J$238:$J$451),0),
IF('TL11'!$B$3=O$3,SUMIF('TL11'!$C$10:$C$224,$C5,'TL11'!$J$10:$J$224),0),
IF('TL11'!$B$229=O$3,SUMIF('TL11'!$C$238:$C$451,$C5,'TL11'!$J$238:$J$451),0),
IF('TL12'!$B$3=O$3,SUMIF('TL12'!$C$10:$C$224,$C5,'TL12'!$J$10:$J$224),0),
IF('TL12'!$B$229=O$3,SUMIF('TL12'!$C$238:$C$451,$C5,'TL12'!$J$238:$J$451),0),
IF('TL13'!$B$3=O$3,SUMIF('TL13'!$C$10:$C$224,$C5,'TL13'!$J$10:$J$224),0),
IF('TL13'!$B$229=O$3,SUMIF('TL13'!$C$238:$C$451,$C5,'TL13'!$J$238:$J$451),0),
IF('TL14'!$B$3=O$3,SUMIF('TL14'!$C$10:$C$224,$C5,'TL14'!$J$10:$J$224),0),
IF('TL14'!$B$229=O$3,SUMIF('TL14'!$C$238:$C$451,$C5,'TL14'!$J$238:$J$451),0),
IF('TL15'!$B$3=O$3,SUMIF('TL15'!$C$10:$C$224,$C5,'TL15'!$J$10:$J$224),0),
IF('TL15'!$B$229=O$3,SUMIF('TL15'!$C$238:$C$451,$C5,'TL15'!$J$238:$J$451),0),
IF('TL16'!$B$3=O$3,SUMIF('TL16'!$C$10:$C$224,$C5,'TL16'!$J$10:$J$224),0),
IF('TL16'!$B$229=O$3,SUMIF('TL16'!$C$238:$C$451,$C5,'TL16'!$J$238:$J$451),0),
IF('TL17'!$B$3=O$3,SUMIF('TL17'!$C$10:$C$224,$C5,'TL17'!$J$10:$J$224),0),
IF('TL17'!$B$229=O$3,SUMIF('TL17'!$C$238:$C$451,$C5,'TL17'!$J$238:$J$451),0),
IF('TL18'!$B$3=O$3,SUMIF('TL18'!$C$10:$C$224,$C5,'TL18'!$J$10:$J$224),0),
IF('TL18'!$B$229=O$3,SUMIF('TL18'!$C$238:$C$451,$C5,'TL18'!$J$238:$J$451),0),
IF('TL19'!$B$3=O$3,SUMIF('TL19'!$C$10:$C$224,$C5,'TL19'!$J$10:$J$224),0),
IF('TL19'!$B$229=O$3,SUMIF('TL19'!$C$238:$C$451,$C5,'TL19'!$J$238:$J$451),0)
),0)</f>
        <v>0</v>
      </c>
      <c r="P5" s="9">
        <f>IFERROR(SUM(
IF('TL01'!$B$3=P$3,SUMIF('TL01'!$C$10:$C$224,$C5,'TL01'!$J$10:$J$224),0),
IF('TL01'!$B$229=P$3,SUMIF('TL01'!$C$238:$C$451,$C5,'TL01'!$J$238:$J$451),0),
IF('TL02'!$B$3=P$3,SUMIF('TL02'!$C$10:$C$224,$C5,'TL02'!$J$10:$J$224),0),
IF('TL02'!$B$229=P$3,SUMIF('TL02'!$C$238:$C$451,$C5,'TL02'!$J$238:$J$451),0),
IF('TL03'!$B$3=P$3,SUMIF('TL03'!$C$10:$C$224,$C5,'TL03'!$J$10:$J$224),0),
IF('TL03'!$B$229=P$3,SUMIF('TL03'!$C$238:$C$451,$C5,'TL03'!$J$238:$J$451),0),
IF('TL04'!$B$3=P$3,SUMIF('TL04'!$C$10:$C$224,$C5,'TL04'!$J$10:$J$224),0),
IF('TL04'!$B$229=P$3,SUMIF('TL04'!$C$238:$C$451,$C5,'TL04'!$J$238:$J$451),0),
IF('TL05'!$B$3=P$3,SUMIF('TL05'!$C$10:$C$224,$C5,'TL05'!$J$10:$J$224),0),
IF('TL05'!$B$229=P$3,SUMIF('TL05'!$C$238:$C$451,$C5,'TL05'!$J$238:$J$451),0),
IF('TL06'!$B$3=P$3,SUMIF('TL06'!$C$10:$C$224,$C5,'TL06'!$J$10:$J$224),0),
IF('TL06'!$B$229=P$3,SUMIF('TL06'!$C$238:$C$451,$C5,'TL06'!$J$238:$J$451),0),
IF('TL07'!$B$3=P$3,SUMIF('TL07'!$C$10:$C$224,$C5,'TL07'!$J$10:$J$224),0),
IF('TL07'!$B$229=P$3,SUMIF('TL07'!$C$238:$C$451,$C5,'TL07'!$J$238:$J$451),0),
IF('TL08'!$B$3=P$3,SUMIF('TL08'!$C$10:$C$224,$C5,'TL08'!$J$10:$J$224),0),
IF('TL08'!$B$229=P$3,SUMIF('TL08'!$C$238:$C$451,$C5,'TL08'!$J$238:$J$451),0),
IF('TL09'!$B$3=P$3,SUMIF('TL09'!$C$10:$C$224,$C5,'TL09'!$J$10:$J$224),0),
IF('TL09'!$B$229=P$3,SUMIF('TL09'!$C$238:$C$451,$C5,'TL09'!$J$238:$J$451),0),
IF('TL10'!$B$3=P$3,SUMIF('TL10'!$C$10:$C$224,$C5,'TL10'!$J$10:$J$224),0),
IF('TL10'!$B$229=P$3,SUMIF('TL10'!$C$238:$C$451,$C5,'TL10'!$J$238:$J$451),0),
IF('TL11'!$B$3=P$3,SUMIF('TL11'!$C$10:$C$224,$C5,'TL11'!$J$10:$J$224),0),
IF('TL11'!$B$229=P$3,SUMIF('TL11'!$C$238:$C$451,$C5,'TL11'!$J$238:$J$451),0),
IF('TL12'!$B$3=P$3,SUMIF('TL12'!$C$10:$C$224,$C5,'TL12'!$J$10:$J$224),0),
IF('TL12'!$B$229=P$3,SUMIF('TL12'!$C$238:$C$451,$C5,'TL12'!$J$238:$J$451),0),
IF('TL13'!$B$3=P$3,SUMIF('TL13'!$C$10:$C$224,$C5,'TL13'!$J$10:$J$224),0),
IF('TL13'!$B$229=P$3,SUMIF('TL13'!$C$238:$C$451,$C5,'TL13'!$J$238:$J$451),0),
IF('TL14'!$B$3=P$3,SUMIF('TL14'!$C$10:$C$224,$C5,'TL14'!$J$10:$J$224),0),
IF('TL14'!$B$229=P$3,SUMIF('TL14'!$C$238:$C$451,$C5,'TL14'!$J$238:$J$451),0),
IF('TL15'!$B$3=P$3,SUMIF('TL15'!$C$10:$C$224,$C5,'TL15'!$J$10:$J$224),0),
IF('TL15'!$B$229=P$3,SUMIF('TL15'!$C$238:$C$451,$C5,'TL15'!$J$238:$J$451),0),
IF('TL16'!$B$3=P$3,SUMIF('TL16'!$C$10:$C$224,$C5,'TL16'!$J$10:$J$224),0),
IF('TL16'!$B$229=P$3,SUMIF('TL16'!$C$238:$C$451,$C5,'TL16'!$J$238:$J$451),0),
IF('TL17'!$B$3=P$3,SUMIF('TL17'!$C$10:$C$224,$C5,'TL17'!$J$10:$J$224),0),
IF('TL17'!$B$229=P$3,SUMIF('TL17'!$C$238:$C$451,$C5,'TL17'!$J$238:$J$451),0),
IF('TL18'!$B$3=P$3,SUMIF('TL18'!$C$10:$C$224,$C5,'TL18'!$J$10:$J$224),0),
IF('TL18'!$B$229=P$3,SUMIF('TL18'!$C$238:$C$451,$C5,'TL18'!$J$238:$J$451),0),
IF('TL19'!$B$3=P$3,SUMIF('TL19'!$C$10:$C$224,$C5,'TL19'!$J$10:$J$224),0),
IF('TL19'!$B$229=P$3,SUMIF('TL19'!$C$238:$C$451,$C5,'TL19'!$J$238:$J$451),0)
),0)</f>
        <v>0</v>
      </c>
      <c r="Q5" s="9">
        <f>IFERROR(SUM(
IF('TL01'!$B$3=Q$3,SUMIF('TL01'!$C$10:$C$224,$C5,'TL01'!$J$10:$J$224),0),
IF('TL01'!$B$229=Q$3,SUMIF('TL01'!$C$238:$C$451,$C5,'TL01'!$J$238:$J$451),0),
IF('TL02'!$B$3=Q$3,SUMIF('TL02'!$C$10:$C$224,$C5,'TL02'!$J$10:$J$224),0),
IF('TL02'!$B$229=Q$3,SUMIF('TL02'!$C$238:$C$451,$C5,'TL02'!$J$238:$J$451),0),
IF('TL03'!$B$3=Q$3,SUMIF('TL03'!$C$10:$C$224,$C5,'TL03'!$J$10:$J$224),0),
IF('TL03'!$B$229=Q$3,SUMIF('TL03'!$C$238:$C$451,$C5,'TL03'!$J$238:$J$451),0),
IF('TL04'!$B$3=Q$3,SUMIF('TL04'!$C$10:$C$224,$C5,'TL04'!$J$10:$J$224),0),
IF('TL04'!$B$229=Q$3,SUMIF('TL04'!$C$238:$C$451,$C5,'TL04'!$J$238:$J$451),0),
IF('TL05'!$B$3=Q$3,SUMIF('TL05'!$C$10:$C$224,$C5,'TL05'!$J$10:$J$224),0),
IF('TL05'!$B$229=Q$3,SUMIF('TL05'!$C$238:$C$451,$C5,'TL05'!$J$238:$J$451),0),
IF('TL06'!$B$3=Q$3,SUMIF('TL06'!$C$10:$C$224,$C5,'TL06'!$J$10:$J$224),0),
IF('TL06'!$B$229=Q$3,SUMIF('TL06'!$C$238:$C$451,$C5,'TL06'!$J$238:$J$451),0),
IF('TL07'!$B$3=Q$3,SUMIF('TL07'!$C$10:$C$224,$C5,'TL07'!$J$10:$J$224),0),
IF('TL07'!$B$229=Q$3,SUMIF('TL07'!$C$238:$C$451,$C5,'TL07'!$J$238:$J$451),0),
IF('TL08'!$B$3=Q$3,SUMIF('TL08'!$C$10:$C$224,$C5,'TL08'!$J$10:$J$224),0),
IF('TL08'!$B$229=Q$3,SUMIF('TL08'!$C$238:$C$451,$C5,'TL08'!$J$238:$J$451),0),
IF('TL09'!$B$3=Q$3,SUMIF('TL09'!$C$10:$C$224,$C5,'TL09'!$J$10:$J$224),0),
IF('TL09'!$B$229=Q$3,SUMIF('TL09'!$C$238:$C$451,$C5,'TL09'!$J$238:$J$451),0),
IF('TL10'!$B$3=Q$3,SUMIF('TL10'!$C$10:$C$224,$C5,'TL10'!$J$10:$J$224),0),
IF('TL10'!$B$229=Q$3,SUMIF('TL10'!$C$238:$C$451,$C5,'TL10'!$J$238:$J$451),0),
IF('TL11'!$B$3=Q$3,SUMIF('TL11'!$C$10:$C$224,$C5,'TL11'!$J$10:$J$224),0),
IF('TL11'!$B$229=Q$3,SUMIF('TL11'!$C$238:$C$451,$C5,'TL11'!$J$238:$J$451),0),
IF('TL12'!$B$3=Q$3,SUMIF('TL12'!$C$10:$C$224,$C5,'TL12'!$J$10:$J$224),0),
IF('TL12'!$B$229=Q$3,SUMIF('TL12'!$C$238:$C$451,$C5,'TL12'!$J$238:$J$451),0),
IF('TL13'!$B$3=Q$3,SUMIF('TL13'!$C$10:$C$224,$C5,'TL13'!$J$10:$J$224),0),
IF('TL13'!$B$229=Q$3,SUMIF('TL13'!$C$238:$C$451,$C5,'TL13'!$J$238:$J$451),0),
IF('TL14'!$B$3=Q$3,SUMIF('TL14'!$C$10:$C$224,$C5,'TL14'!$J$10:$J$224),0),
IF('TL14'!$B$229=Q$3,SUMIF('TL14'!$C$238:$C$451,$C5,'TL14'!$J$238:$J$451),0),
IF('TL15'!$B$3=Q$3,SUMIF('TL15'!$C$10:$C$224,$C5,'TL15'!$J$10:$J$224),0),
IF('TL15'!$B$229=Q$3,SUMIF('TL15'!$C$238:$C$451,$C5,'TL15'!$J$238:$J$451),0),
IF('TL16'!$B$3=Q$3,SUMIF('TL16'!$C$10:$C$224,$C5,'TL16'!$J$10:$J$224),0),
IF('TL16'!$B$229=Q$3,SUMIF('TL16'!$C$238:$C$451,$C5,'TL16'!$J$238:$J$451),0),
IF('TL17'!$B$3=Q$3,SUMIF('TL17'!$C$10:$C$224,$C5,'TL17'!$J$10:$J$224),0),
IF('TL17'!$B$229=Q$3,SUMIF('TL17'!$C$238:$C$451,$C5,'TL17'!$J$238:$J$451),0),
IF('TL18'!$B$3=Q$3,SUMIF('TL18'!$C$10:$C$224,$C5,'TL18'!$J$10:$J$224),0),
IF('TL18'!$B$229=Q$3,SUMIF('TL18'!$C$238:$C$451,$C5,'TL18'!$J$238:$J$451),0),
IF('TL19'!$B$3=Q$3,SUMIF('TL19'!$C$10:$C$224,$C5,'TL19'!$J$10:$J$224),0),
IF('TL19'!$B$229=Q$3,SUMIF('TL19'!$C$238:$C$451,$C5,'TL19'!$J$238:$J$451),0)
),0)</f>
        <v>0</v>
      </c>
      <c r="R5" s="9">
        <f>IFERROR(
SUM(
SUMIF('TL01'!C:C,C5,'TL01'!J:J),
SUMIF('TL02'!C:C,C5,'TL02'!J:J),
SUMIF('TL03'!C:C,C5,'TL03'!J:J),
SUMIF('TL04'!C:C,C5,'TL04'!J:J),
SUMIF('TL05'!C:C,C5,'TL05'!J:J),
SUMIF('TL06'!C:C,C5,'TL06'!J:J),
SUMIF('TL07'!C:C,C5,'TL07'!J:J),
SUMIF('TL08'!C:C,C5,'TL08'!J:J),
SUMIF('TL09'!C:C,C5,'TL09'!J:J),
SUMIF('TL10'!C:C,C5,'TL10'!J:J),
SUMIF('TL11'!C:C,C5,'TL11'!J:J),
SUMIF('TL12'!C:C,C5,'TL12'!J:J),
SUMIF('TL13'!C:C,C5,'TL13'!J:J),
SUMIF('TL14'!C:C,C5,'TL14'!J:J),
SUMIF('TL15'!C:C,C5,'TL15'!J:J),
SUMIF('TL16'!C:C,C5,'TL16'!J:J),
SUMIF('TL17'!C:C,C5,'TL17'!J:J),
SUMIF('TL18'!C:C,C5,'TL18'!J:J),SUMIF('TL19'!C:C,C5,'TL19'!J:J))
,0)</f>
        <v>0</v>
      </c>
      <c r="S5" s="17">
        <f>IFERROR(__xludf.DUMMYFUNCTION("IFERROR(VLOOKUP(C5,
IMPORTRANGE(""1wULbzX32WdYsx-lj2U3uUNBBe2INVIRDtcK0d-Dvl90"",
""26-27!C:G""),
5,
FALSE),
"""")"),15.13232)</f>
        <v>15.13232</v>
      </c>
      <c r="T5" s="9"/>
      <c r="U5" s="92">
        <f t="shared" si="2"/>
        <v>0</v>
      </c>
      <c r="V5" s="93">
        <f t="shared" si="3"/>
        <v>0</v>
      </c>
    </row>
    <row r="6" ht="22.5" hidden="1" customHeight="1">
      <c r="A6" s="87" t="s">
        <v>345</v>
      </c>
      <c r="B6" s="88" t="s">
        <v>6</v>
      </c>
      <c r="C6" s="89" t="s">
        <v>348</v>
      </c>
      <c r="D6" s="89" t="s">
        <v>349</v>
      </c>
      <c r="E6" s="89">
        <v>824.3</v>
      </c>
      <c r="F6" s="4" t="s">
        <v>343</v>
      </c>
      <c r="G6" s="90" t="str">
        <f t="shared" si="1"/>
        <v>📄 Ver bula</v>
      </c>
      <c r="H6" s="9">
        <f>IFERROR(__xludf.DUMMYFUNCTION("IFERROR(VLOOKUP(C6,
IMPORTRANGE(""1wULbzX32WdYsx-lj2U3uUNBBe2INVIRDtcK0d-Dvl90"",
""26-27!C:K""),
8,
FALSE),
"""")"),0.2)</f>
        <v>0.2</v>
      </c>
      <c r="I6" s="91" t="s">
        <v>344</v>
      </c>
      <c r="J6" s="9">
        <f>IFERROR(SUM(
IF('TL01'!$B$3=J$3,SUMIF('TL01'!$C$10:$C$224,$C6,'TL01'!$J$10:$J$224),0),
IF('TL01'!$B$229=J$3,SUMIF('TL01'!$C$238:$C$451,$C6,'TL01'!$J$238:$J$451),0),
IF('TL02'!$B$3=J$3,SUMIF('TL02'!$C$10:$C$224,$C6,'TL02'!$J$10:$J$224),0),
IF('TL02'!$B$229=J$3,SUMIF('TL02'!$C$238:$C$451,$C6,'TL02'!$J$238:$J$451),0),
IF('TL03'!$B$3=J$3,SUMIF('TL03'!$C$10:$C$224,$C6,'TL03'!$J$10:$J$224),0),
IF('TL03'!$B$229=J$3,SUMIF('TL03'!$C$238:$C$451,$C6,'TL03'!$J$238:$J$451),0),
IF('TL04'!$B$3=J$3,SUMIF('TL04'!$C$10:$C$224,$C6,'TL04'!$J$10:$J$224),0),
IF('TL04'!$B$229=J$3,SUMIF('TL04'!$C$238:$C$451,$C6,'TL04'!$J$238:$J$451),0),
IF('TL05'!$B$3=J$3,SUMIF('TL05'!$C$10:$C$224,$C6,'TL05'!$J$10:$J$224),0),
IF('TL05'!$B$229=J$3,SUMIF('TL05'!$C$238:$C$451,$C6,'TL05'!$J$238:$J$451),0),
IF('TL06'!$B$3=J$3,SUMIF('TL06'!$C$10:$C$224,$C6,'TL06'!$J$10:$J$224),0),
IF('TL06'!$B$229=J$3,SUMIF('TL06'!$C$238:$C$451,$C6,'TL06'!$J$238:$J$451),0),
IF('TL07'!$B$3=J$3,SUMIF('TL07'!$C$10:$C$224,$C6,'TL07'!$J$10:$J$224),0),
IF('TL07'!$B$229=J$3,SUMIF('TL07'!$C$238:$C$451,$C6,'TL07'!$J$238:$J$451),0),
IF('TL08'!$B$3=J$3,SUMIF('TL08'!$C$10:$C$224,$C6,'TL08'!$J$10:$J$224),0),
IF('TL08'!$B$229=J$3,SUMIF('TL08'!$C$238:$C$451,$C6,'TL08'!$J$238:$J$451),0),
IF('TL09'!$B$3=J$3,SUMIF('TL09'!$C$10:$C$224,$C6,'TL09'!$J$10:$J$224),0),
IF('TL09'!$B$229=J$3,SUMIF('TL09'!$C$238:$C$451,$C6,'TL09'!$J$238:$J$451),0),
IF('TL10'!$B$3=J$3,SUMIF('TL10'!$C$10:$C$224,$C6,'TL10'!$J$10:$J$224),0),
IF('TL10'!$B$229=J$3,SUMIF('TL10'!$C$238:$C$451,$C6,'TL10'!$J$238:$J$451),0),
IF('TL11'!$B$3=J$3,SUMIF('TL11'!$C$10:$C$224,$C6,'TL11'!$J$10:$J$224),0),
IF('TL11'!$B$229=J$3,SUMIF('TL11'!$C$238:$C$451,$C6,'TL11'!$J$238:$J$451),0),
IF('TL12'!$B$3=J$3,SUMIF('TL12'!$C$10:$C$224,$C6,'TL12'!$J$10:$J$224),0),
IF('TL12'!$B$229=J$3,SUMIF('TL12'!$C$238:$C$451,$C6,'TL12'!$J$238:$J$451),0),
IF('TL13'!$B$3=J$3,SUMIF('TL13'!$C$10:$C$224,$C6,'TL13'!$J$10:$J$224),0),
IF('TL13'!$B$229=J$3,SUMIF('TL13'!$C$238:$C$451,$C6,'TL13'!$J$238:$J$451),0),
IF('TL14'!$B$3=J$3,SUMIF('TL14'!$C$10:$C$224,$C6,'TL14'!$J$10:$J$224),0),
IF('TL14'!$B$229=J$3,SUMIF('TL14'!$C$238:$C$451,$C6,'TL14'!$J$238:$J$451),0),
IF('TL15'!$B$3=J$3,SUMIF('TL15'!$C$10:$C$224,$C6,'TL15'!$J$10:$J$224),0),
IF('TL15'!$B$229=J$3,SUMIF('TL15'!$C$238:$C$451,$C6,'TL15'!$J$238:$J$451),0),
IF('TL16'!$B$3=J$3,SUMIF('TL16'!$C$10:$C$224,$C6,'TL16'!$J$10:$J$224),0),
IF('TL16'!$B$229=J$3,SUMIF('TL16'!$C$238:$C$451,$C6,'TL16'!$J$238:$J$451),0),
IF('TL17'!$B$3=J$3,SUMIF('TL17'!$C$10:$C$224,$C6,'TL17'!$J$10:$J$224),0),
IF('TL17'!$B$229=J$3,SUMIF('TL17'!$C$238:$C$451,$C6,'TL17'!$J$238:$J$451),0),
IF('TL18'!$B$3=J$3,SUMIF('TL18'!$C$10:$C$224,$C6,'TL18'!$J$10:$J$224),0),
IF('TL18'!$B$229=J$3,SUMIF('TL18'!$C$238:$C$451,$C6,'TL18'!$J$238:$J$451),0),
IF('TL19'!$B$3=J$3,SUMIF('TL19'!$C$10:$C$224,$C6,'TL19'!$J$10:$J$224),0),
IF('TL19'!$B$229=J$3,SUMIF('TL19'!$C$238:$C$451,$C6,'TL19'!$J$238:$J$451),0)
),0)</f>
        <v>0</v>
      </c>
      <c r="K6" s="9">
        <f>IFERROR(SUM(
IF('TL01'!$B$3=K$3,SUMIF('TL01'!$C$10:$C$224,$C6,'TL01'!$J$10:$J$224),0),
IF('TL01'!$B$229=K$3,SUMIF('TL01'!$C$238:$C$451,$C6,'TL01'!$J$238:$J$451),0),
IF('TL02'!$B$3=K$3,SUMIF('TL02'!$C$10:$C$224,$C6,'TL02'!$J$10:$J$224),0),
IF('TL02'!$B$229=K$3,SUMIF('TL02'!$C$238:$C$451,$C6,'TL02'!$J$238:$J$451),0),
IF('TL03'!$B$3=K$3,SUMIF('TL03'!$C$10:$C$224,$C6,'TL03'!$J$10:$J$224),0),
IF('TL03'!$B$229=K$3,SUMIF('TL03'!$C$238:$C$451,$C6,'TL03'!$J$238:$J$451),0),
IF('TL04'!$B$3=K$3,SUMIF('TL04'!$C$10:$C$224,$C6,'TL04'!$J$10:$J$224),0),
IF('TL04'!$B$229=K$3,SUMIF('TL04'!$C$238:$C$451,$C6,'TL04'!$J$238:$J$451),0),
IF('TL05'!$B$3=K$3,SUMIF('TL05'!$C$10:$C$224,$C6,'TL05'!$J$10:$J$224),0),
IF('TL05'!$B$229=K$3,SUMIF('TL05'!$C$238:$C$451,$C6,'TL05'!$J$238:$J$451),0),
IF('TL06'!$B$3=K$3,SUMIF('TL06'!$C$10:$C$224,$C6,'TL06'!$J$10:$J$224),0),
IF('TL06'!$B$229=K$3,SUMIF('TL06'!$C$238:$C$451,$C6,'TL06'!$J$238:$J$451),0),
IF('TL07'!$B$3=K$3,SUMIF('TL07'!$C$10:$C$224,$C6,'TL07'!$J$10:$J$224),0),
IF('TL07'!$B$229=K$3,SUMIF('TL07'!$C$238:$C$451,$C6,'TL07'!$J$238:$J$451),0),
IF('TL08'!$B$3=K$3,SUMIF('TL08'!$C$10:$C$224,$C6,'TL08'!$J$10:$J$224),0),
IF('TL08'!$B$229=K$3,SUMIF('TL08'!$C$238:$C$451,$C6,'TL08'!$J$238:$J$451),0),
IF('TL09'!$B$3=K$3,SUMIF('TL09'!$C$10:$C$224,$C6,'TL09'!$J$10:$J$224),0),
IF('TL09'!$B$229=K$3,SUMIF('TL09'!$C$238:$C$451,$C6,'TL09'!$J$238:$J$451),0),
IF('TL10'!$B$3=K$3,SUMIF('TL10'!$C$10:$C$224,$C6,'TL10'!$J$10:$J$224),0),
IF('TL10'!$B$229=K$3,SUMIF('TL10'!$C$238:$C$451,$C6,'TL10'!$J$238:$J$451),0),
IF('TL11'!$B$3=K$3,SUMIF('TL11'!$C$10:$C$224,$C6,'TL11'!$J$10:$J$224),0),
IF('TL11'!$B$229=K$3,SUMIF('TL11'!$C$238:$C$451,$C6,'TL11'!$J$238:$J$451),0),
IF('TL12'!$B$3=K$3,SUMIF('TL12'!$C$10:$C$224,$C6,'TL12'!$J$10:$J$224),0),
IF('TL12'!$B$229=K$3,SUMIF('TL12'!$C$238:$C$451,$C6,'TL12'!$J$238:$J$451),0),
IF('TL13'!$B$3=K$3,SUMIF('TL13'!$C$10:$C$224,$C6,'TL13'!$J$10:$J$224),0),
IF('TL13'!$B$229=K$3,SUMIF('TL13'!$C$238:$C$451,$C6,'TL13'!$J$238:$J$451),0),
IF('TL14'!$B$3=K$3,SUMIF('TL14'!$C$10:$C$224,$C6,'TL14'!$J$10:$J$224),0),
IF('TL14'!$B$229=K$3,SUMIF('TL14'!$C$238:$C$451,$C6,'TL14'!$J$238:$J$451),0),
IF('TL15'!$B$3=K$3,SUMIF('TL15'!$C$10:$C$224,$C6,'TL15'!$J$10:$J$224),0),
IF('TL15'!$B$229=K$3,SUMIF('TL15'!$C$238:$C$451,$C6,'TL15'!$J$238:$J$451),0),
IF('TL16'!$B$3=K$3,SUMIF('TL16'!$C$10:$C$224,$C6,'TL16'!$J$10:$J$224),0),
IF('TL16'!$B$229=K$3,SUMIF('TL16'!$C$238:$C$451,$C6,'TL16'!$J$238:$J$451),0),
IF('TL17'!$B$3=K$3,SUMIF('TL17'!$C$10:$C$224,$C6,'TL17'!$J$10:$J$224),0),
IF('TL17'!$B$229=K$3,SUMIF('TL17'!$C$238:$C$451,$C6,'TL17'!$J$238:$J$451),0),
IF('TL18'!$B$3=K$3,SUMIF('TL18'!$C$10:$C$224,$C6,'TL18'!$J$10:$J$224),0),
IF('TL18'!$B$229=K$3,SUMIF('TL18'!$C$238:$C$451,$C6,'TL18'!$J$238:$J$451),0),
IF('TL19'!$B$3=K$3,SUMIF('TL19'!$C$10:$C$224,$C6,'TL19'!$J$10:$J$224),0),
IF('TL19'!$B$229=K$3,SUMIF('TL19'!$C$238:$C$451,$C6,'TL19'!$J$238:$J$451),0)
),0)</f>
        <v>0</v>
      </c>
      <c r="L6" s="9">
        <f>IFERROR(SUM(
IF('TL01'!$B$3=L$3,SUMIF('TL01'!$C$10:$C$224,$C6,'TL01'!$J$10:$J$224),0),
IF('TL01'!$B$229=L$3,SUMIF('TL01'!$C$238:$C$451,$C6,'TL01'!$J$238:$J$451),0),
IF('TL02'!$B$3=L$3,SUMIF('TL02'!$C$10:$C$224,$C6,'TL02'!$J$10:$J$224),0),
IF('TL02'!$B$229=L$3,SUMIF('TL02'!$C$238:$C$451,$C6,'TL02'!$J$238:$J$451),0),
IF('TL03'!$B$3=L$3,SUMIF('TL03'!$C$10:$C$224,$C6,'TL03'!$J$10:$J$224),0),
IF('TL03'!$B$229=L$3,SUMIF('TL03'!$C$238:$C$451,$C6,'TL03'!$J$238:$J$451),0),
IF('TL04'!$B$3=L$3,SUMIF('TL04'!$C$10:$C$224,$C6,'TL04'!$J$10:$J$224),0),
IF('TL04'!$B$229=L$3,SUMIF('TL04'!$C$238:$C$451,$C6,'TL04'!$J$238:$J$451),0),
IF('TL05'!$B$3=L$3,SUMIF('TL05'!$C$10:$C$224,$C6,'TL05'!$J$10:$J$224),0),
IF('TL05'!$B$229=L$3,SUMIF('TL05'!$C$238:$C$451,$C6,'TL05'!$J$238:$J$451),0),
IF('TL06'!$B$3=L$3,SUMIF('TL06'!$C$10:$C$224,$C6,'TL06'!$J$10:$J$224),0),
IF('TL06'!$B$229=L$3,SUMIF('TL06'!$C$238:$C$451,$C6,'TL06'!$J$238:$J$451),0),
IF('TL07'!$B$3=L$3,SUMIF('TL07'!$C$10:$C$224,$C6,'TL07'!$J$10:$J$224),0),
IF('TL07'!$B$229=L$3,SUMIF('TL07'!$C$238:$C$451,$C6,'TL07'!$J$238:$J$451),0),
IF('TL08'!$B$3=L$3,SUMIF('TL08'!$C$10:$C$224,$C6,'TL08'!$J$10:$J$224),0),
IF('TL08'!$B$229=L$3,SUMIF('TL08'!$C$238:$C$451,$C6,'TL08'!$J$238:$J$451),0),
IF('TL09'!$B$3=L$3,SUMIF('TL09'!$C$10:$C$224,$C6,'TL09'!$J$10:$J$224),0),
IF('TL09'!$B$229=L$3,SUMIF('TL09'!$C$238:$C$451,$C6,'TL09'!$J$238:$J$451),0),
IF('TL10'!$B$3=L$3,SUMIF('TL10'!$C$10:$C$224,$C6,'TL10'!$J$10:$J$224),0),
IF('TL10'!$B$229=L$3,SUMIF('TL10'!$C$238:$C$451,$C6,'TL10'!$J$238:$J$451),0),
IF('TL11'!$B$3=L$3,SUMIF('TL11'!$C$10:$C$224,$C6,'TL11'!$J$10:$J$224),0),
IF('TL11'!$B$229=L$3,SUMIF('TL11'!$C$238:$C$451,$C6,'TL11'!$J$238:$J$451),0),
IF('TL12'!$B$3=L$3,SUMIF('TL12'!$C$10:$C$224,$C6,'TL12'!$J$10:$J$224),0),
IF('TL12'!$B$229=L$3,SUMIF('TL12'!$C$238:$C$451,$C6,'TL12'!$J$238:$J$451),0),
IF('TL13'!$B$3=L$3,SUMIF('TL13'!$C$10:$C$224,$C6,'TL13'!$J$10:$J$224),0),
IF('TL13'!$B$229=L$3,SUMIF('TL13'!$C$238:$C$451,$C6,'TL13'!$J$238:$J$451),0),
IF('TL14'!$B$3=L$3,SUMIF('TL14'!$C$10:$C$224,$C6,'TL14'!$J$10:$J$224),0),
IF('TL14'!$B$229=L$3,SUMIF('TL14'!$C$238:$C$451,$C6,'TL14'!$J$238:$J$451),0),
IF('TL15'!$B$3=L$3,SUMIF('TL15'!$C$10:$C$224,$C6,'TL15'!$J$10:$J$224),0),
IF('TL15'!$B$229=L$3,SUMIF('TL15'!$C$238:$C$451,$C6,'TL15'!$J$238:$J$451),0),
IF('TL16'!$B$3=L$3,SUMIF('TL16'!$C$10:$C$224,$C6,'TL16'!$J$10:$J$224),0),
IF('TL16'!$B$229=L$3,SUMIF('TL16'!$C$238:$C$451,$C6,'TL16'!$J$238:$J$451),0),
IF('TL17'!$B$3=L$3,SUMIF('TL17'!$C$10:$C$224,$C6,'TL17'!$J$10:$J$224),0),
IF('TL17'!$B$229=L$3,SUMIF('TL17'!$C$238:$C$451,$C6,'TL17'!$J$238:$J$451),0),
IF('TL18'!$B$3=L$3,SUMIF('TL18'!$C$10:$C$224,$C6,'TL18'!$J$10:$J$224),0),
IF('TL18'!$B$229=L$3,SUMIF('TL18'!$C$238:$C$451,$C6,'TL18'!$J$238:$J$451),0),
IF('TL19'!$B$3=L$3,SUMIF('TL19'!$C$10:$C$224,$C6,'TL19'!$J$10:$J$224),0),
IF('TL19'!$B$229=L$3,SUMIF('TL19'!$C$238:$C$451,$C6,'TL19'!$J$238:$J$451),0)
),0)</f>
        <v>0</v>
      </c>
      <c r="M6" s="9">
        <f>IFERROR(SUM(
IF('TL01'!$B$3=M$3,SUMIF('TL01'!$C$10:$C$224,$C6,'TL01'!$J$10:$J$224),0),
IF('TL01'!$B$229=M$3,SUMIF('TL01'!$C$238:$C$451,$C6,'TL01'!$J$238:$J$451),0),
IF('TL02'!$B$3=M$3,SUMIF('TL02'!$C$10:$C$224,$C6,'TL02'!$J$10:$J$224),0),
IF('TL02'!$B$229=M$3,SUMIF('TL02'!$C$238:$C$451,$C6,'TL02'!$J$238:$J$451),0),
IF('TL03'!$B$3=M$3,SUMIF('TL03'!$C$10:$C$224,$C6,'TL03'!$J$10:$J$224),0),
IF('TL03'!$B$229=M$3,SUMIF('TL03'!$C$238:$C$451,$C6,'TL03'!$J$238:$J$451),0),
IF('TL04'!$B$3=M$3,SUMIF('TL04'!$C$10:$C$224,$C6,'TL04'!$J$10:$J$224),0),
IF('TL04'!$B$229=M$3,SUMIF('TL04'!$C$238:$C$451,$C6,'TL04'!$J$238:$J$451),0),
IF('TL05'!$B$3=M$3,SUMIF('TL05'!$C$10:$C$224,$C6,'TL05'!$J$10:$J$224),0),
IF('TL05'!$B$229=M$3,SUMIF('TL05'!$C$238:$C$451,$C6,'TL05'!$J$238:$J$451),0),
IF('TL06'!$B$3=M$3,SUMIF('TL06'!$C$10:$C$224,$C6,'TL06'!$J$10:$J$224),0),
IF('TL06'!$B$229=M$3,SUMIF('TL06'!$C$238:$C$451,$C6,'TL06'!$J$238:$J$451),0),
IF('TL07'!$B$3=M$3,SUMIF('TL07'!$C$10:$C$224,$C6,'TL07'!$J$10:$J$224),0),
IF('TL07'!$B$229=M$3,SUMIF('TL07'!$C$238:$C$451,$C6,'TL07'!$J$238:$J$451),0),
IF('TL08'!$B$3=M$3,SUMIF('TL08'!$C$10:$C$224,$C6,'TL08'!$J$10:$J$224),0),
IF('TL08'!$B$229=M$3,SUMIF('TL08'!$C$238:$C$451,$C6,'TL08'!$J$238:$J$451),0),
IF('TL09'!$B$3=M$3,SUMIF('TL09'!$C$10:$C$224,$C6,'TL09'!$J$10:$J$224),0),
IF('TL09'!$B$229=M$3,SUMIF('TL09'!$C$238:$C$451,$C6,'TL09'!$J$238:$J$451),0),
IF('TL10'!$B$3=M$3,SUMIF('TL10'!$C$10:$C$224,$C6,'TL10'!$J$10:$J$224),0),
IF('TL10'!$B$229=M$3,SUMIF('TL10'!$C$238:$C$451,$C6,'TL10'!$J$238:$J$451),0),
IF('TL11'!$B$3=M$3,SUMIF('TL11'!$C$10:$C$224,$C6,'TL11'!$J$10:$J$224),0),
IF('TL11'!$B$229=M$3,SUMIF('TL11'!$C$238:$C$451,$C6,'TL11'!$J$238:$J$451),0),
IF('TL12'!$B$3=M$3,SUMIF('TL12'!$C$10:$C$224,$C6,'TL12'!$J$10:$J$224),0),
IF('TL12'!$B$229=M$3,SUMIF('TL12'!$C$238:$C$451,$C6,'TL12'!$J$238:$J$451),0),
IF('TL13'!$B$3=M$3,SUMIF('TL13'!$C$10:$C$224,$C6,'TL13'!$J$10:$J$224),0),
IF('TL13'!$B$229=M$3,SUMIF('TL13'!$C$238:$C$451,$C6,'TL13'!$J$238:$J$451),0),
IF('TL14'!$B$3=M$3,SUMIF('TL14'!$C$10:$C$224,$C6,'TL14'!$J$10:$J$224),0),
IF('TL14'!$B$229=M$3,SUMIF('TL14'!$C$238:$C$451,$C6,'TL14'!$J$238:$J$451),0),
IF('TL15'!$B$3=M$3,SUMIF('TL15'!$C$10:$C$224,$C6,'TL15'!$J$10:$J$224),0),
IF('TL15'!$B$229=M$3,SUMIF('TL15'!$C$238:$C$451,$C6,'TL15'!$J$238:$J$451),0),
IF('TL16'!$B$3=M$3,SUMIF('TL16'!$C$10:$C$224,$C6,'TL16'!$J$10:$J$224),0),
IF('TL16'!$B$229=M$3,SUMIF('TL16'!$C$238:$C$451,$C6,'TL16'!$J$238:$J$451),0),
IF('TL17'!$B$3=M$3,SUMIF('TL17'!$C$10:$C$224,$C6,'TL17'!$J$10:$J$224),0),
IF('TL17'!$B$229=M$3,SUMIF('TL17'!$C$238:$C$451,$C6,'TL17'!$J$238:$J$451),0),
IF('TL18'!$B$3=M$3,SUMIF('TL18'!$C$10:$C$224,$C6,'TL18'!$J$10:$J$224),0),
IF('TL18'!$B$229=M$3,SUMIF('TL18'!$C$238:$C$451,$C6,'TL18'!$J$238:$J$451),0),
IF('TL19'!$B$3=M$3,SUMIF('TL19'!$C$10:$C$224,$C6,'TL19'!$J$10:$J$224),0),
IF('TL19'!$B$229=M$3,SUMIF('TL19'!$C$238:$C$451,$C6,'TL19'!$J$238:$J$451),0)
),0)</f>
        <v>0</v>
      </c>
      <c r="N6" s="9">
        <f>IFERROR(SUM(
IF('TL01'!$B$3=N$3,SUMIF('TL01'!$C$10:$C$224,$C6,'TL01'!$J$10:$J$224),0),
IF('TL01'!$B$229=N$3,SUMIF('TL01'!$C$238:$C$451,$C6,'TL01'!$J$238:$J$451),0),
IF('TL02'!$B$3=N$3,SUMIF('TL02'!$C$10:$C$224,$C6,'TL02'!$J$10:$J$224),0),
IF('TL02'!$B$229=N$3,SUMIF('TL02'!$C$238:$C$451,$C6,'TL02'!$J$238:$J$451),0),
IF('TL03'!$B$3=N$3,SUMIF('TL03'!$C$10:$C$224,$C6,'TL03'!$J$10:$J$224),0),
IF('TL03'!$B$229=N$3,SUMIF('TL03'!$C$238:$C$451,$C6,'TL03'!$J$238:$J$451),0),
IF('TL04'!$B$3=N$3,SUMIF('TL04'!$C$10:$C$224,$C6,'TL04'!$J$10:$J$224),0),
IF('TL04'!$B$229=N$3,SUMIF('TL04'!$C$238:$C$451,$C6,'TL04'!$J$238:$J$451),0),
IF('TL05'!$B$3=N$3,SUMIF('TL05'!$C$10:$C$224,$C6,'TL05'!$J$10:$J$224),0),
IF('TL05'!$B$229=N$3,SUMIF('TL05'!$C$238:$C$451,$C6,'TL05'!$J$238:$J$451),0),
IF('TL06'!$B$3=N$3,SUMIF('TL06'!$C$10:$C$224,$C6,'TL06'!$J$10:$J$224),0),
IF('TL06'!$B$229=N$3,SUMIF('TL06'!$C$238:$C$451,$C6,'TL06'!$J$238:$J$451),0),
IF('TL07'!$B$3=N$3,SUMIF('TL07'!$C$10:$C$224,$C6,'TL07'!$J$10:$J$224),0),
IF('TL07'!$B$229=N$3,SUMIF('TL07'!$C$238:$C$451,$C6,'TL07'!$J$238:$J$451),0),
IF('TL08'!$B$3=N$3,SUMIF('TL08'!$C$10:$C$224,$C6,'TL08'!$J$10:$J$224),0),
IF('TL08'!$B$229=N$3,SUMIF('TL08'!$C$238:$C$451,$C6,'TL08'!$J$238:$J$451),0),
IF('TL09'!$B$3=N$3,SUMIF('TL09'!$C$10:$C$224,$C6,'TL09'!$J$10:$J$224),0),
IF('TL09'!$B$229=N$3,SUMIF('TL09'!$C$238:$C$451,$C6,'TL09'!$J$238:$J$451),0),
IF('TL10'!$B$3=N$3,SUMIF('TL10'!$C$10:$C$224,$C6,'TL10'!$J$10:$J$224),0),
IF('TL10'!$B$229=N$3,SUMIF('TL10'!$C$238:$C$451,$C6,'TL10'!$J$238:$J$451),0),
IF('TL11'!$B$3=N$3,SUMIF('TL11'!$C$10:$C$224,$C6,'TL11'!$J$10:$J$224),0),
IF('TL11'!$B$229=N$3,SUMIF('TL11'!$C$238:$C$451,$C6,'TL11'!$J$238:$J$451),0),
IF('TL12'!$B$3=N$3,SUMIF('TL12'!$C$10:$C$224,$C6,'TL12'!$J$10:$J$224),0),
IF('TL12'!$B$229=N$3,SUMIF('TL12'!$C$238:$C$451,$C6,'TL12'!$J$238:$J$451),0),
IF('TL13'!$B$3=N$3,SUMIF('TL13'!$C$10:$C$224,$C6,'TL13'!$J$10:$J$224),0),
IF('TL13'!$B$229=N$3,SUMIF('TL13'!$C$238:$C$451,$C6,'TL13'!$J$238:$J$451),0),
IF('TL14'!$B$3=N$3,SUMIF('TL14'!$C$10:$C$224,$C6,'TL14'!$J$10:$J$224),0),
IF('TL14'!$B$229=N$3,SUMIF('TL14'!$C$238:$C$451,$C6,'TL14'!$J$238:$J$451),0),
IF('TL15'!$B$3=N$3,SUMIF('TL15'!$C$10:$C$224,$C6,'TL15'!$J$10:$J$224),0),
IF('TL15'!$B$229=N$3,SUMIF('TL15'!$C$238:$C$451,$C6,'TL15'!$J$238:$J$451),0),
IF('TL16'!$B$3=N$3,SUMIF('TL16'!$C$10:$C$224,$C6,'TL16'!$J$10:$J$224),0),
IF('TL16'!$B$229=N$3,SUMIF('TL16'!$C$238:$C$451,$C6,'TL16'!$J$238:$J$451),0),
IF('TL17'!$B$3=N$3,SUMIF('TL17'!$C$10:$C$224,$C6,'TL17'!$J$10:$J$224),0),
IF('TL17'!$B$229=N$3,SUMIF('TL17'!$C$238:$C$451,$C6,'TL17'!$J$238:$J$451),0),
IF('TL18'!$B$3=N$3,SUMIF('TL18'!$C$10:$C$224,$C6,'TL18'!$J$10:$J$224),0),
IF('TL18'!$B$229=N$3,SUMIF('TL18'!$C$238:$C$451,$C6,'TL18'!$J$238:$J$451),0),
IF('TL19'!$B$3=N$3,SUMIF('TL19'!$C$10:$C$224,$C6,'TL19'!$J$10:$J$224),0),
IF('TL19'!$B$229=N$3,SUMIF('TL19'!$C$238:$C$451,$C6,'TL19'!$J$238:$J$451),0)
),0)</f>
        <v>0</v>
      </c>
      <c r="O6" s="9">
        <f>IFERROR(SUM(
IF('TL01'!$B$3=O$3,SUMIF('TL01'!$C$10:$C$224,$C6,'TL01'!$J$10:$J$224),0),
IF('TL01'!$B$229=O$3,SUMIF('TL01'!$C$238:$C$451,$C6,'TL01'!$J$238:$J$451),0),
IF('TL02'!$B$3=O$3,SUMIF('TL02'!$C$10:$C$224,$C6,'TL02'!$J$10:$J$224),0),
IF('TL02'!$B$229=O$3,SUMIF('TL02'!$C$238:$C$451,$C6,'TL02'!$J$238:$J$451),0),
IF('TL03'!$B$3=O$3,SUMIF('TL03'!$C$10:$C$224,$C6,'TL03'!$J$10:$J$224),0),
IF('TL03'!$B$229=O$3,SUMIF('TL03'!$C$238:$C$451,$C6,'TL03'!$J$238:$J$451),0),
IF('TL04'!$B$3=O$3,SUMIF('TL04'!$C$10:$C$224,$C6,'TL04'!$J$10:$J$224),0),
IF('TL04'!$B$229=O$3,SUMIF('TL04'!$C$238:$C$451,$C6,'TL04'!$J$238:$J$451),0),
IF('TL05'!$B$3=O$3,SUMIF('TL05'!$C$10:$C$224,$C6,'TL05'!$J$10:$J$224),0),
IF('TL05'!$B$229=O$3,SUMIF('TL05'!$C$238:$C$451,$C6,'TL05'!$J$238:$J$451),0),
IF('TL06'!$B$3=O$3,SUMIF('TL06'!$C$10:$C$224,$C6,'TL06'!$J$10:$J$224),0),
IF('TL06'!$B$229=O$3,SUMIF('TL06'!$C$238:$C$451,$C6,'TL06'!$J$238:$J$451),0),
IF('TL07'!$B$3=O$3,SUMIF('TL07'!$C$10:$C$224,$C6,'TL07'!$J$10:$J$224),0),
IF('TL07'!$B$229=O$3,SUMIF('TL07'!$C$238:$C$451,$C6,'TL07'!$J$238:$J$451),0),
IF('TL08'!$B$3=O$3,SUMIF('TL08'!$C$10:$C$224,$C6,'TL08'!$J$10:$J$224),0),
IF('TL08'!$B$229=O$3,SUMIF('TL08'!$C$238:$C$451,$C6,'TL08'!$J$238:$J$451),0),
IF('TL09'!$B$3=O$3,SUMIF('TL09'!$C$10:$C$224,$C6,'TL09'!$J$10:$J$224),0),
IF('TL09'!$B$229=O$3,SUMIF('TL09'!$C$238:$C$451,$C6,'TL09'!$J$238:$J$451),0),
IF('TL10'!$B$3=O$3,SUMIF('TL10'!$C$10:$C$224,$C6,'TL10'!$J$10:$J$224),0),
IF('TL10'!$B$229=O$3,SUMIF('TL10'!$C$238:$C$451,$C6,'TL10'!$J$238:$J$451),0),
IF('TL11'!$B$3=O$3,SUMIF('TL11'!$C$10:$C$224,$C6,'TL11'!$J$10:$J$224),0),
IF('TL11'!$B$229=O$3,SUMIF('TL11'!$C$238:$C$451,$C6,'TL11'!$J$238:$J$451),0),
IF('TL12'!$B$3=O$3,SUMIF('TL12'!$C$10:$C$224,$C6,'TL12'!$J$10:$J$224),0),
IF('TL12'!$B$229=O$3,SUMIF('TL12'!$C$238:$C$451,$C6,'TL12'!$J$238:$J$451),0),
IF('TL13'!$B$3=O$3,SUMIF('TL13'!$C$10:$C$224,$C6,'TL13'!$J$10:$J$224),0),
IF('TL13'!$B$229=O$3,SUMIF('TL13'!$C$238:$C$451,$C6,'TL13'!$J$238:$J$451),0),
IF('TL14'!$B$3=O$3,SUMIF('TL14'!$C$10:$C$224,$C6,'TL14'!$J$10:$J$224),0),
IF('TL14'!$B$229=O$3,SUMIF('TL14'!$C$238:$C$451,$C6,'TL14'!$J$238:$J$451),0),
IF('TL15'!$B$3=O$3,SUMIF('TL15'!$C$10:$C$224,$C6,'TL15'!$J$10:$J$224),0),
IF('TL15'!$B$229=O$3,SUMIF('TL15'!$C$238:$C$451,$C6,'TL15'!$J$238:$J$451),0),
IF('TL16'!$B$3=O$3,SUMIF('TL16'!$C$10:$C$224,$C6,'TL16'!$J$10:$J$224),0),
IF('TL16'!$B$229=O$3,SUMIF('TL16'!$C$238:$C$451,$C6,'TL16'!$J$238:$J$451),0),
IF('TL17'!$B$3=O$3,SUMIF('TL17'!$C$10:$C$224,$C6,'TL17'!$J$10:$J$224),0),
IF('TL17'!$B$229=O$3,SUMIF('TL17'!$C$238:$C$451,$C6,'TL17'!$J$238:$J$451),0),
IF('TL18'!$B$3=O$3,SUMIF('TL18'!$C$10:$C$224,$C6,'TL18'!$J$10:$J$224),0),
IF('TL18'!$B$229=O$3,SUMIF('TL18'!$C$238:$C$451,$C6,'TL18'!$J$238:$J$451),0),
IF('TL19'!$B$3=O$3,SUMIF('TL19'!$C$10:$C$224,$C6,'TL19'!$J$10:$J$224),0),
IF('TL19'!$B$229=O$3,SUMIF('TL19'!$C$238:$C$451,$C6,'TL19'!$J$238:$J$451),0)
),0)</f>
        <v>0</v>
      </c>
      <c r="P6" s="9">
        <f>IFERROR(SUM(
IF('TL01'!$B$3=P$3,SUMIF('TL01'!$C$10:$C$224,$C6,'TL01'!$J$10:$J$224),0),
IF('TL01'!$B$229=P$3,SUMIF('TL01'!$C$238:$C$451,$C6,'TL01'!$J$238:$J$451),0),
IF('TL02'!$B$3=P$3,SUMIF('TL02'!$C$10:$C$224,$C6,'TL02'!$J$10:$J$224),0),
IF('TL02'!$B$229=P$3,SUMIF('TL02'!$C$238:$C$451,$C6,'TL02'!$J$238:$J$451),0),
IF('TL03'!$B$3=P$3,SUMIF('TL03'!$C$10:$C$224,$C6,'TL03'!$J$10:$J$224),0),
IF('TL03'!$B$229=P$3,SUMIF('TL03'!$C$238:$C$451,$C6,'TL03'!$J$238:$J$451),0),
IF('TL04'!$B$3=P$3,SUMIF('TL04'!$C$10:$C$224,$C6,'TL04'!$J$10:$J$224),0),
IF('TL04'!$B$229=P$3,SUMIF('TL04'!$C$238:$C$451,$C6,'TL04'!$J$238:$J$451),0),
IF('TL05'!$B$3=P$3,SUMIF('TL05'!$C$10:$C$224,$C6,'TL05'!$J$10:$J$224),0),
IF('TL05'!$B$229=P$3,SUMIF('TL05'!$C$238:$C$451,$C6,'TL05'!$J$238:$J$451),0),
IF('TL06'!$B$3=P$3,SUMIF('TL06'!$C$10:$C$224,$C6,'TL06'!$J$10:$J$224),0),
IF('TL06'!$B$229=P$3,SUMIF('TL06'!$C$238:$C$451,$C6,'TL06'!$J$238:$J$451),0),
IF('TL07'!$B$3=P$3,SUMIF('TL07'!$C$10:$C$224,$C6,'TL07'!$J$10:$J$224),0),
IF('TL07'!$B$229=P$3,SUMIF('TL07'!$C$238:$C$451,$C6,'TL07'!$J$238:$J$451),0),
IF('TL08'!$B$3=P$3,SUMIF('TL08'!$C$10:$C$224,$C6,'TL08'!$J$10:$J$224),0),
IF('TL08'!$B$229=P$3,SUMIF('TL08'!$C$238:$C$451,$C6,'TL08'!$J$238:$J$451),0),
IF('TL09'!$B$3=P$3,SUMIF('TL09'!$C$10:$C$224,$C6,'TL09'!$J$10:$J$224),0),
IF('TL09'!$B$229=P$3,SUMIF('TL09'!$C$238:$C$451,$C6,'TL09'!$J$238:$J$451),0),
IF('TL10'!$B$3=P$3,SUMIF('TL10'!$C$10:$C$224,$C6,'TL10'!$J$10:$J$224),0),
IF('TL10'!$B$229=P$3,SUMIF('TL10'!$C$238:$C$451,$C6,'TL10'!$J$238:$J$451),0),
IF('TL11'!$B$3=P$3,SUMIF('TL11'!$C$10:$C$224,$C6,'TL11'!$J$10:$J$224),0),
IF('TL11'!$B$229=P$3,SUMIF('TL11'!$C$238:$C$451,$C6,'TL11'!$J$238:$J$451),0),
IF('TL12'!$B$3=P$3,SUMIF('TL12'!$C$10:$C$224,$C6,'TL12'!$J$10:$J$224),0),
IF('TL12'!$B$229=P$3,SUMIF('TL12'!$C$238:$C$451,$C6,'TL12'!$J$238:$J$451),0),
IF('TL13'!$B$3=P$3,SUMIF('TL13'!$C$10:$C$224,$C6,'TL13'!$J$10:$J$224),0),
IF('TL13'!$B$229=P$3,SUMIF('TL13'!$C$238:$C$451,$C6,'TL13'!$J$238:$J$451),0),
IF('TL14'!$B$3=P$3,SUMIF('TL14'!$C$10:$C$224,$C6,'TL14'!$J$10:$J$224),0),
IF('TL14'!$B$229=P$3,SUMIF('TL14'!$C$238:$C$451,$C6,'TL14'!$J$238:$J$451),0),
IF('TL15'!$B$3=P$3,SUMIF('TL15'!$C$10:$C$224,$C6,'TL15'!$J$10:$J$224),0),
IF('TL15'!$B$229=P$3,SUMIF('TL15'!$C$238:$C$451,$C6,'TL15'!$J$238:$J$451),0),
IF('TL16'!$B$3=P$3,SUMIF('TL16'!$C$10:$C$224,$C6,'TL16'!$J$10:$J$224),0),
IF('TL16'!$B$229=P$3,SUMIF('TL16'!$C$238:$C$451,$C6,'TL16'!$J$238:$J$451),0),
IF('TL17'!$B$3=P$3,SUMIF('TL17'!$C$10:$C$224,$C6,'TL17'!$J$10:$J$224),0),
IF('TL17'!$B$229=P$3,SUMIF('TL17'!$C$238:$C$451,$C6,'TL17'!$J$238:$J$451),0),
IF('TL18'!$B$3=P$3,SUMIF('TL18'!$C$10:$C$224,$C6,'TL18'!$J$10:$J$224),0),
IF('TL18'!$B$229=P$3,SUMIF('TL18'!$C$238:$C$451,$C6,'TL18'!$J$238:$J$451),0),
IF('TL19'!$B$3=P$3,SUMIF('TL19'!$C$10:$C$224,$C6,'TL19'!$J$10:$J$224),0),
IF('TL19'!$B$229=P$3,SUMIF('TL19'!$C$238:$C$451,$C6,'TL19'!$J$238:$J$451),0)
),0)</f>
        <v>0</v>
      </c>
      <c r="Q6" s="9">
        <f>IFERROR(SUM(
IF('TL01'!$B$3=Q$3,SUMIF('TL01'!$C$10:$C$224,$C6,'TL01'!$J$10:$J$224),0),
IF('TL01'!$B$229=Q$3,SUMIF('TL01'!$C$238:$C$451,$C6,'TL01'!$J$238:$J$451),0),
IF('TL02'!$B$3=Q$3,SUMIF('TL02'!$C$10:$C$224,$C6,'TL02'!$J$10:$J$224),0),
IF('TL02'!$B$229=Q$3,SUMIF('TL02'!$C$238:$C$451,$C6,'TL02'!$J$238:$J$451),0),
IF('TL03'!$B$3=Q$3,SUMIF('TL03'!$C$10:$C$224,$C6,'TL03'!$J$10:$J$224),0),
IF('TL03'!$B$229=Q$3,SUMIF('TL03'!$C$238:$C$451,$C6,'TL03'!$J$238:$J$451),0),
IF('TL04'!$B$3=Q$3,SUMIF('TL04'!$C$10:$C$224,$C6,'TL04'!$J$10:$J$224),0),
IF('TL04'!$B$229=Q$3,SUMIF('TL04'!$C$238:$C$451,$C6,'TL04'!$J$238:$J$451),0),
IF('TL05'!$B$3=Q$3,SUMIF('TL05'!$C$10:$C$224,$C6,'TL05'!$J$10:$J$224),0),
IF('TL05'!$B$229=Q$3,SUMIF('TL05'!$C$238:$C$451,$C6,'TL05'!$J$238:$J$451),0),
IF('TL06'!$B$3=Q$3,SUMIF('TL06'!$C$10:$C$224,$C6,'TL06'!$J$10:$J$224),0),
IF('TL06'!$B$229=Q$3,SUMIF('TL06'!$C$238:$C$451,$C6,'TL06'!$J$238:$J$451),0),
IF('TL07'!$B$3=Q$3,SUMIF('TL07'!$C$10:$C$224,$C6,'TL07'!$J$10:$J$224),0),
IF('TL07'!$B$229=Q$3,SUMIF('TL07'!$C$238:$C$451,$C6,'TL07'!$J$238:$J$451),0),
IF('TL08'!$B$3=Q$3,SUMIF('TL08'!$C$10:$C$224,$C6,'TL08'!$J$10:$J$224),0),
IF('TL08'!$B$229=Q$3,SUMIF('TL08'!$C$238:$C$451,$C6,'TL08'!$J$238:$J$451),0),
IF('TL09'!$B$3=Q$3,SUMIF('TL09'!$C$10:$C$224,$C6,'TL09'!$J$10:$J$224),0),
IF('TL09'!$B$229=Q$3,SUMIF('TL09'!$C$238:$C$451,$C6,'TL09'!$J$238:$J$451),0),
IF('TL10'!$B$3=Q$3,SUMIF('TL10'!$C$10:$C$224,$C6,'TL10'!$J$10:$J$224),0),
IF('TL10'!$B$229=Q$3,SUMIF('TL10'!$C$238:$C$451,$C6,'TL10'!$J$238:$J$451),0),
IF('TL11'!$B$3=Q$3,SUMIF('TL11'!$C$10:$C$224,$C6,'TL11'!$J$10:$J$224),0),
IF('TL11'!$B$229=Q$3,SUMIF('TL11'!$C$238:$C$451,$C6,'TL11'!$J$238:$J$451),0),
IF('TL12'!$B$3=Q$3,SUMIF('TL12'!$C$10:$C$224,$C6,'TL12'!$J$10:$J$224),0),
IF('TL12'!$B$229=Q$3,SUMIF('TL12'!$C$238:$C$451,$C6,'TL12'!$J$238:$J$451),0),
IF('TL13'!$B$3=Q$3,SUMIF('TL13'!$C$10:$C$224,$C6,'TL13'!$J$10:$J$224),0),
IF('TL13'!$B$229=Q$3,SUMIF('TL13'!$C$238:$C$451,$C6,'TL13'!$J$238:$J$451),0),
IF('TL14'!$B$3=Q$3,SUMIF('TL14'!$C$10:$C$224,$C6,'TL14'!$J$10:$J$224),0),
IF('TL14'!$B$229=Q$3,SUMIF('TL14'!$C$238:$C$451,$C6,'TL14'!$J$238:$J$451),0),
IF('TL15'!$B$3=Q$3,SUMIF('TL15'!$C$10:$C$224,$C6,'TL15'!$J$10:$J$224),0),
IF('TL15'!$B$229=Q$3,SUMIF('TL15'!$C$238:$C$451,$C6,'TL15'!$J$238:$J$451),0),
IF('TL16'!$B$3=Q$3,SUMIF('TL16'!$C$10:$C$224,$C6,'TL16'!$J$10:$J$224),0),
IF('TL16'!$B$229=Q$3,SUMIF('TL16'!$C$238:$C$451,$C6,'TL16'!$J$238:$J$451),0),
IF('TL17'!$B$3=Q$3,SUMIF('TL17'!$C$10:$C$224,$C6,'TL17'!$J$10:$J$224),0),
IF('TL17'!$B$229=Q$3,SUMIF('TL17'!$C$238:$C$451,$C6,'TL17'!$J$238:$J$451),0),
IF('TL18'!$B$3=Q$3,SUMIF('TL18'!$C$10:$C$224,$C6,'TL18'!$J$10:$J$224),0),
IF('TL18'!$B$229=Q$3,SUMIF('TL18'!$C$238:$C$451,$C6,'TL18'!$J$238:$J$451),0),
IF('TL19'!$B$3=Q$3,SUMIF('TL19'!$C$10:$C$224,$C6,'TL19'!$J$10:$J$224),0),
IF('TL19'!$B$229=Q$3,SUMIF('TL19'!$C$238:$C$451,$C6,'TL19'!$J$238:$J$451),0)
),0)</f>
        <v>0</v>
      </c>
      <c r="R6" s="9">
        <f>IFERROR(
SUM(
SUMIF('TL01'!C:C,C6,'TL01'!J:J),
SUMIF('TL02'!C:C,C6,'TL02'!J:J),
SUMIF('TL03'!C:C,C6,'TL03'!J:J),
SUMIF('TL04'!C:C,C6,'TL04'!J:J),
SUMIF('TL05'!C:C,C6,'TL05'!J:J),
SUMIF('TL06'!C:C,C6,'TL06'!J:J),
SUMIF('TL07'!C:C,C6,'TL07'!J:J),
SUMIF('TL08'!C:C,C6,'TL08'!J:J),
SUMIF('TL09'!C:C,C6,'TL09'!J:J),
SUMIF('TL10'!C:C,C6,'TL10'!J:J),
SUMIF('TL11'!C:C,C6,'TL11'!J:J),
SUMIF('TL12'!C:C,C6,'TL12'!J:J),
SUMIF('TL13'!C:C,C6,'TL13'!J:J),
SUMIF('TL14'!C:C,C6,'TL14'!J:J),
SUMIF('TL15'!C:C,C6,'TL15'!J:J),
SUMIF('TL16'!C:C,C6,'TL16'!J:J),
SUMIF('TL17'!C:C,C6,'TL17'!J:J),
SUMIF('TL18'!C:C,C6,'TL18'!J:J),SUMIF('TL19'!C:C,C6,'TL19'!J:J))
,0)</f>
        <v>0</v>
      </c>
      <c r="S6" s="17">
        <f>IFERROR(__xludf.DUMMYFUNCTION("IFERROR(VLOOKUP(C6,
IMPORTRANGE(""1wULbzX32WdYsx-lj2U3uUNBBe2INVIRDtcK0d-Dvl90"",
""26-27!C:G""),
5,
FALSE),
"""")"),18.46656)</f>
        <v>18.46656</v>
      </c>
      <c r="T6" s="9"/>
      <c r="U6" s="92">
        <f t="shared" si="2"/>
        <v>0</v>
      </c>
      <c r="V6" s="93">
        <f t="shared" si="3"/>
        <v>0</v>
      </c>
    </row>
    <row r="7" ht="22.5" hidden="1" customHeight="1">
      <c r="A7" s="94" t="s">
        <v>350</v>
      </c>
      <c r="B7" s="95" t="s">
        <v>6</v>
      </c>
      <c r="C7" s="96" t="s">
        <v>351</v>
      </c>
      <c r="D7" s="96" t="s">
        <v>352</v>
      </c>
      <c r="E7" s="96">
        <v>720.0</v>
      </c>
      <c r="F7" s="4" t="s">
        <v>343</v>
      </c>
      <c r="G7" s="90" t="str">
        <f t="shared" si="1"/>
        <v>📄 Ver bula</v>
      </c>
      <c r="H7" s="9">
        <f>IFERROR(__xludf.DUMMYFUNCTION("IFERROR(VLOOKUP(C7,
IMPORTRANGE(""1wULbzX32WdYsx-lj2U3uUNBBe2INVIRDtcK0d-Dvl90"",
""26-27!C:K""),
8,
FALSE),
"""")"),0.08)</f>
        <v>0.08</v>
      </c>
      <c r="I7" s="97" t="s">
        <v>344</v>
      </c>
      <c r="J7" s="9">
        <f>IFERROR(SUM(
IF('TL01'!$B$3=J$3,SUMIF('TL01'!$C$10:$C$224,$C7,'TL01'!$J$10:$J$224),0),
IF('TL01'!$B$229=J$3,SUMIF('TL01'!$C$238:$C$451,$C7,'TL01'!$J$238:$J$451),0),
IF('TL02'!$B$3=J$3,SUMIF('TL02'!$C$10:$C$224,$C7,'TL02'!$J$10:$J$224),0),
IF('TL02'!$B$229=J$3,SUMIF('TL02'!$C$238:$C$451,$C7,'TL02'!$J$238:$J$451),0),
IF('TL03'!$B$3=J$3,SUMIF('TL03'!$C$10:$C$224,$C7,'TL03'!$J$10:$J$224),0),
IF('TL03'!$B$229=J$3,SUMIF('TL03'!$C$238:$C$451,$C7,'TL03'!$J$238:$J$451),0),
IF('TL04'!$B$3=J$3,SUMIF('TL04'!$C$10:$C$224,$C7,'TL04'!$J$10:$J$224),0),
IF('TL04'!$B$229=J$3,SUMIF('TL04'!$C$238:$C$451,$C7,'TL04'!$J$238:$J$451),0),
IF('TL05'!$B$3=J$3,SUMIF('TL05'!$C$10:$C$224,$C7,'TL05'!$J$10:$J$224),0),
IF('TL05'!$B$229=J$3,SUMIF('TL05'!$C$238:$C$451,$C7,'TL05'!$J$238:$J$451),0),
IF('TL06'!$B$3=J$3,SUMIF('TL06'!$C$10:$C$224,$C7,'TL06'!$J$10:$J$224),0),
IF('TL06'!$B$229=J$3,SUMIF('TL06'!$C$238:$C$451,$C7,'TL06'!$J$238:$J$451),0),
IF('TL07'!$B$3=J$3,SUMIF('TL07'!$C$10:$C$224,$C7,'TL07'!$J$10:$J$224),0),
IF('TL07'!$B$229=J$3,SUMIF('TL07'!$C$238:$C$451,$C7,'TL07'!$J$238:$J$451),0),
IF('TL08'!$B$3=J$3,SUMIF('TL08'!$C$10:$C$224,$C7,'TL08'!$J$10:$J$224),0),
IF('TL08'!$B$229=J$3,SUMIF('TL08'!$C$238:$C$451,$C7,'TL08'!$J$238:$J$451),0),
IF('TL09'!$B$3=J$3,SUMIF('TL09'!$C$10:$C$224,$C7,'TL09'!$J$10:$J$224),0),
IF('TL09'!$B$229=J$3,SUMIF('TL09'!$C$238:$C$451,$C7,'TL09'!$J$238:$J$451),0),
IF('TL10'!$B$3=J$3,SUMIF('TL10'!$C$10:$C$224,$C7,'TL10'!$J$10:$J$224),0),
IF('TL10'!$B$229=J$3,SUMIF('TL10'!$C$238:$C$451,$C7,'TL10'!$J$238:$J$451),0),
IF('TL11'!$B$3=J$3,SUMIF('TL11'!$C$10:$C$224,$C7,'TL11'!$J$10:$J$224),0),
IF('TL11'!$B$229=J$3,SUMIF('TL11'!$C$238:$C$451,$C7,'TL11'!$J$238:$J$451),0),
IF('TL12'!$B$3=J$3,SUMIF('TL12'!$C$10:$C$224,$C7,'TL12'!$J$10:$J$224),0),
IF('TL12'!$B$229=J$3,SUMIF('TL12'!$C$238:$C$451,$C7,'TL12'!$J$238:$J$451),0),
IF('TL13'!$B$3=J$3,SUMIF('TL13'!$C$10:$C$224,$C7,'TL13'!$J$10:$J$224),0),
IF('TL13'!$B$229=J$3,SUMIF('TL13'!$C$238:$C$451,$C7,'TL13'!$J$238:$J$451),0),
IF('TL14'!$B$3=J$3,SUMIF('TL14'!$C$10:$C$224,$C7,'TL14'!$J$10:$J$224),0),
IF('TL14'!$B$229=J$3,SUMIF('TL14'!$C$238:$C$451,$C7,'TL14'!$J$238:$J$451),0),
IF('TL15'!$B$3=J$3,SUMIF('TL15'!$C$10:$C$224,$C7,'TL15'!$J$10:$J$224),0),
IF('TL15'!$B$229=J$3,SUMIF('TL15'!$C$238:$C$451,$C7,'TL15'!$J$238:$J$451),0),
IF('TL16'!$B$3=J$3,SUMIF('TL16'!$C$10:$C$224,$C7,'TL16'!$J$10:$J$224),0),
IF('TL16'!$B$229=J$3,SUMIF('TL16'!$C$238:$C$451,$C7,'TL16'!$J$238:$J$451),0),
IF('TL17'!$B$3=J$3,SUMIF('TL17'!$C$10:$C$224,$C7,'TL17'!$J$10:$J$224),0),
IF('TL17'!$B$229=J$3,SUMIF('TL17'!$C$238:$C$451,$C7,'TL17'!$J$238:$J$451),0),
IF('TL18'!$B$3=J$3,SUMIF('TL18'!$C$10:$C$224,$C7,'TL18'!$J$10:$J$224),0),
IF('TL18'!$B$229=J$3,SUMIF('TL18'!$C$238:$C$451,$C7,'TL18'!$J$238:$J$451),0),
IF('TL19'!$B$3=J$3,SUMIF('TL19'!$C$10:$C$224,$C7,'TL19'!$J$10:$J$224),0),
IF('TL19'!$B$229=J$3,SUMIF('TL19'!$C$238:$C$451,$C7,'TL19'!$J$238:$J$451),0)
),0)</f>
        <v>0</v>
      </c>
      <c r="K7" s="9">
        <f>IFERROR(SUM(
IF('TL01'!$B$3=K$3,SUMIF('TL01'!$C$10:$C$224,$C7,'TL01'!$J$10:$J$224),0),
IF('TL01'!$B$229=K$3,SUMIF('TL01'!$C$238:$C$451,$C7,'TL01'!$J$238:$J$451),0),
IF('TL02'!$B$3=K$3,SUMIF('TL02'!$C$10:$C$224,$C7,'TL02'!$J$10:$J$224),0),
IF('TL02'!$B$229=K$3,SUMIF('TL02'!$C$238:$C$451,$C7,'TL02'!$J$238:$J$451),0),
IF('TL03'!$B$3=K$3,SUMIF('TL03'!$C$10:$C$224,$C7,'TL03'!$J$10:$J$224),0),
IF('TL03'!$B$229=K$3,SUMIF('TL03'!$C$238:$C$451,$C7,'TL03'!$J$238:$J$451),0),
IF('TL04'!$B$3=K$3,SUMIF('TL04'!$C$10:$C$224,$C7,'TL04'!$J$10:$J$224),0),
IF('TL04'!$B$229=K$3,SUMIF('TL04'!$C$238:$C$451,$C7,'TL04'!$J$238:$J$451),0),
IF('TL05'!$B$3=K$3,SUMIF('TL05'!$C$10:$C$224,$C7,'TL05'!$J$10:$J$224),0),
IF('TL05'!$B$229=K$3,SUMIF('TL05'!$C$238:$C$451,$C7,'TL05'!$J$238:$J$451),0),
IF('TL06'!$B$3=K$3,SUMIF('TL06'!$C$10:$C$224,$C7,'TL06'!$J$10:$J$224),0),
IF('TL06'!$B$229=K$3,SUMIF('TL06'!$C$238:$C$451,$C7,'TL06'!$J$238:$J$451),0),
IF('TL07'!$B$3=K$3,SUMIF('TL07'!$C$10:$C$224,$C7,'TL07'!$J$10:$J$224),0),
IF('TL07'!$B$229=K$3,SUMIF('TL07'!$C$238:$C$451,$C7,'TL07'!$J$238:$J$451),0),
IF('TL08'!$B$3=K$3,SUMIF('TL08'!$C$10:$C$224,$C7,'TL08'!$J$10:$J$224),0),
IF('TL08'!$B$229=K$3,SUMIF('TL08'!$C$238:$C$451,$C7,'TL08'!$J$238:$J$451),0),
IF('TL09'!$B$3=K$3,SUMIF('TL09'!$C$10:$C$224,$C7,'TL09'!$J$10:$J$224),0),
IF('TL09'!$B$229=K$3,SUMIF('TL09'!$C$238:$C$451,$C7,'TL09'!$J$238:$J$451),0),
IF('TL10'!$B$3=K$3,SUMIF('TL10'!$C$10:$C$224,$C7,'TL10'!$J$10:$J$224),0),
IF('TL10'!$B$229=K$3,SUMIF('TL10'!$C$238:$C$451,$C7,'TL10'!$J$238:$J$451),0),
IF('TL11'!$B$3=K$3,SUMIF('TL11'!$C$10:$C$224,$C7,'TL11'!$J$10:$J$224),0),
IF('TL11'!$B$229=K$3,SUMIF('TL11'!$C$238:$C$451,$C7,'TL11'!$J$238:$J$451),0),
IF('TL12'!$B$3=K$3,SUMIF('TL12'!$C$10:$C$224,$C7,'TL12'!$J$10:$J$224),0),
IF('TL12'!$B$229=K$3,SUMIF('TL12'!$C$238:$C$451,$C7,'TL12'!$J$238:$J$451),0),
IF('TL13'!$B$3=K$3,SUMIF('TL13'!$C$10:$C$224,$C7,'TL13'!$J$10:$J$224),0),
IF('TL13'!$B$229=K$3,SUMIF('TL13'!$C$238:$C$451,$C7,'TL13'!$J$238:$J$451),0),
IF('TL14'!$B$3=K$3,SUMIF('TL14'!$C$10:$C$224,$C7,'TL14'!$J$10:$J$224),0),
IF('TL14'!$B$229=K$3,SUMIF('TL14'!$C$238:$C$451,$C7,'TL14'!$J$238:$J$451),0),
IF('TL15'!$B$3=K$3,SUMIF('TL15'!$C$10:$C$224,$C7,'TL15'!$J$10:$J$224),0),
IF('TL15'!$B$229=K$3,SUMIF('TL15'!$C$238:$C$451,$C7,'TL15'!$J$238:$J$451),0),
IF('TL16'!$B$3=K$3,SUMIF('TL16'!$C$10:$C$224,$C7,'TL16'!$J$10:$J$224),0),
IF('TL16'!$B$229=K$3,SUMIF('TL16'!$C$238:$C$451,$C7,'TL16'!$J$238:$J$451),0),
IF('TL17'!$B$3=K$3,SUMIF('TL17'!$C$10:$C$224,$C7,'TL17'!$J$10:$J$224),0),
IF('TL17'!$B$229=K$3,SUMIF('TL17'!$C$238:$C$451,$C7,'TL17'!$J$238:$J$451),0),
IF('TL18'!$B$3=K$3,SUMIF('TL18'!$C$10:$C$224,$C7,'TL18'!$J$10:$J$224),0),
IF('TL18'!$B$229=K$3,SUMIF('TL18'!$C$238:$C$451,$C7,'TL18'!$J$238:$J$451),0),
IF('TL19'!$B$3=K$3,SUMIF('TL19'!$C$10:$C$224,$C7,'TL19'!$J$10:$J$224),0),
IF('TL19'!$B$229=K$3,SUMIF('TL19'!$C$238:$C$451,$C7,'TL19'!$J$238:$J$451),0)
),0)</f>
        <v>0</v>
      </c>
      <c r="L7" s="9">
        <f>IFERROR(SUM(
IF('TL01'!$B$3=L$3,SUMIF('TL01'!$C$10:$C$224,$C7,'TL01'!$J$10:$J$224),0),
IF('TL01'!$B$229=L$3,SUMIF('TL01'!$C$238:$C$451,$C7,'TL01'!$J$238:$J$451),0),
IF('TL02'!$B$3=L$3,SUMIF('TL02'!$C$10:$C$224,$C7,'TL02'!$J$10:$J$224),0),
IF('TL02'!$B$229=L$3,SUMIF('TL02'!$C$238:$C$451,$C7,'TL02'!$J$238:$J$451),0),
IF('TL03'!$B$3=L$3,SUMIF('TL03'!$C$10:$C$224,$C7,'TL03'!$J$10:$J$224),0),
IF('TL03'!$B$229=L$3,SUMIF('TL03'!$C$238:$C$451,$C7,'TL03'!$J$238:$J$451),0),
IF('TL04'!$B$3=L$3,SUMIF('TL04'!$C$10:$C$224,$C7,'TL04'!$J$10:$J$224),0),
IF('TL04'!$B$229=L$3,SUMIF('TL04'!$C$238:$C$451,$C7,'TL04'!$J$238:$J$451),0),
IF('TL05'!$B$3=L$3,SUMIF('TL05'!$C$10:$C$224,$C7,'TL05'!$J$10:$J$224),0),
IF('TL05'!$B$229=L$3,SUMIF('TL05'!$C$238:$C$451,$C7,'TL05'!$J$238:$J$451),0),
IF('TL06'!$B$3=L$3,SUMIF('TL06'!$C$10:$C$224,$C7,'TL06'!$J$10:$J$224),0),
IF('TL06'!$B$229=L$3,SUMIF('TL06'!$C$238:$C$451,$C7,'TL06'!$J$238:$J$451),0),
IF('TL07'!$B$3=L$3,SUMIF('TL07'!$C$10:$C$224,$C7,'TL07'!$J$10:$J$224),0),
IF('TL07'!$B$229=L$3,SUMIF('TL07'!$C$238:$C$451,$C7,'TL07'!$J$238:$J$451),0),
IF('TL08'!$B$3=L$3,SUMIF('TL08'!$C$10:$C$224,$C7,'TL08'!$J$10:$J$224),0),
IF('TL08'!$B$229=L$3,SUMIF('TL08'!$C$238:$C$451,$C7,'TL08'!$J$238:$J$451),0),
IF('TL09'!$B$3=L$3,SUMIF('TL09'!$C$10:$C$224,$C7,'TL09'!$J$10:$J$224),0),
IF('TL09'!$B$229=L$3,SUMIF('TL09'!$C$238:$C$451,$C7,'TL09'!$J$238:$J$451),0),
IF('TL10'!$B$3=L$3,SUMIF('TL10'!$C$10:$C$224,$C7,'TL10'!$J$10:$J$224),0),
IF('TL10'!$B$229=L$3,SUMIF('TL10'!$C$238:$C$451,$C7,'TL10'!$J$238:$J$451),0),
IF('TL11'!$B$3=L$3,SUMIF('TL11'!$C$10:$C$224,$C7,'TL11'!$J$10:$J$224),0),
IF('TL11'!$B$229=L$3,SUMIF('TL11'!$C$238:$C$451,$C7,'TL11'!$J$238:$J$451),0),
IF('TL12'!$B$3=L$3,SUMIF('TL12'!$C$10:$C$224,$C7,'TL12'!$J$10:$J$224),0),
IF('TL12'!$B$229=L$3,SUMIF('TL12'!$C$238:$C$451,$C7,'TL12'!$J$238:$J$451),0),
IF('TL13'!$B$3=L$3,SUMIF('TL13'!$C$10:$C$224,$C7,'TL13'!$J$10:$J$224),0),
IF('TL13'!$B$229=L$3,SUMIF('TL13'!$C$238:$C$451,$C7,'TL13'!$J$238:$J$451),0),
IF('TL14'!$B$3=L$3,SUMIF('TL14'!$C$10:$C$224,$C7,'TL14'!$J$10:$J$224),0),
IF('TL14'!$B$229=L$3,SUMIF('TL14'!$C$238:$C$451,$C7,'TL14'!$J$238:$J$451),0),
IF('TL15'!$B$3=L$3,SUMIF('TL15'!$C$10:$C$224,$C7,'TL15'!$J$10:$J$224),0),
IF('TL15'!$B$229=L$3,SUMIF('TL15'!$C$238:$C$451,$C7,'TL15'!$J$238:$J$451),0),
IF('TL16'!$B$3=L$3,SUMIF('TL16'!$C$10:$C$224,$C7,'TL16'!$J$10:$J$224),0),
IF('TL16'!$B$229=L$3,SUMIF('TL16'!$C$238:$C$451,$C7,'TL16'!$J$238:$J$451),0),
IF('TL17'!$B$3=L$3,SUMIF('TL17'!$C$10:$C$224,$C7,'TL17'!$J$10:$J$224),0),
IF('TL17'!$B$229=L$3,SUMIF('TL17'!$C$238:$C$451,$C7,'TL17'!$J$238:$J$451),0),
IF('TL18'!$B$3=L$3,SUMIF('TL18'!$C$10:$C$224,$C7,'TL18'!$J$10:$J$224),0),
IF('TL18'!$B$229=L$3,SUMIF('TL18'!$C$238:$C$451,$C7,'TL18'!$J$238:$J$451),0),
IF('TL19'!$B$3=L$3,SUMIF('TL19'!$C$10:$C$224,$C7,'TL19'!$J$10:$J$224),0),
IF('TL19'!$B$229=L$3,SUMIF('TL19'!$C$238:$C$451,$C7,'TL19'!$J$238:$J$451),0)
),0)</f>
        <v>0</v>
      </c>
      <c r="M7" s="9">
        <f>IFERROR(SUM(
IF('TL01'!$B$3=M$3,SUMIF('TL01'!$C$10:$C$224,$C7,'TL01'!$J$10:$J$224),0),
IF('TL01'!$B$229=M$3,SUMIF('TL01'!$C$238:$C$451,$C7,'TL01'!$J$238:$J$451),0),
IF('TL02'!$B$3=M$3,SUMIF('TL02'!$C$10:$C$224,$C7,'TL02'!$J$10:$J$224),0),
IF('TL02'!$B$229=M$3,SUMIF('TL02'!$C$238:$C$451,$C7,'TL02'!$J$238:$J$451),0),
IF('TL03'!$B$3=M$3,SUMIF('TL03'!$C$10:$C$224,$C7,'TL03'!$J$10:$J$224),0),
IF('TL03'!$B$229=M$3,SUMIF('TL03'!$C$238:$C$451,$C7,'TL03'!$J$238:$J$451),0),
IF('TL04'!$B$3=M$3,SUMIF('TL04'!$C$10:$C$224,$C7,'TL04'!$J$10:$J$224),0),
IF('TL04'!$B$229=M$3,SUMIF('TL04'!$C$238:$C$451,$C7,'TL04'!$J$238:$J$451),0),
IF('TL05'!$B$3=M$3,SUMIF('TL05'!$C$10:$C$224,$C7,'TL05'!$J$10:$J$224),0),
IF('TL05'!$B$229=M$3,SUMIF('TL05'!$C$238:$C$451,$C7,'TL05'!$J$238:$J$451),0),
IF('TL06'!$B$3=M$3,SUMIF('TL06'!$C$10:$C$224,$C7,'TL06'!$J$10:$J$224),0),
IF('TL06'!$B$229=M$3,SUMIF('TL06'!$C$238:$C$451,$C7,'TL06'!$J$238:$J$451),0),
IF('TL07'!$B$3=M$3,SUMIF('TL07'!$C$10:$C$224,$C7,'TL07'!$J$10:$J$224),0),
IF('TL07'!$B$229=M$3,SUMIF('TL07'!$C$238:$C$451,$C7,'TL07'!$J$238:$J$451),0),
IF('TL08'!$B$3=M$3,SUMIF('TL08'!$C$10:$C$224,$C7,'TL08'!$J$10:$J$224),0),
IF('TL08'!$B$229=M$3,SUMIF('TL08'!$C$238:$C$451,$C7,'TL08'!$J$238:$J$451),0),
IF('TL09'!$B$3=M$3,SUMIF('TL09'!$C$10:$C$224,$C7,'TL09'!$J$10:$J$224),0),
IF('TL09'!$B$229=M$3,SUMIF('TL09'!$C$238:$C$451,$C7,'TL09'!$J$238:$J$451),0),
IF('TL10'!$B$3=M$3,SUMIF('TL10'!$C$10:$C$224,$C7,'TL10'!$J$10:$J$224),0),
IF('TL10'!$B$229=M$3,SUMIF('TL10'!$C$238:$C$451,$C7,'TL10'!$J$238:$J$451),0),
IF('TL11'!$B$3=M$3,SUMIF('TL11'!$C$10:$C$224,$C7,'TL11'!$J$10:$J$224),0),
IF('TL11'!$B$229=M$3,SUMIF('TL11'!$C$238:$C$451,$C7,'TL11'!$J$238:$J$451),0),
IF('TL12'!$B$3=M$3,SUMIF('TL12'!$C$10:$C$224,$C7,'TL12'!$J$10:$J$224),0),
IF('TL12'!$B$229=M$3,SUMIF('TL12'!$C$238:$C$451,$C7,'TL12'!$J$238:$J$451),0),
IF('TL13'!$B$3=M$3,SUMIF('TL13'!$C$10:$C$224,$C7,'TL13'!$J$10:$J$224),0),
IF('TL13'!$B$229=M$3,SUMIF('TL13'!$C$238:$C$451,$C7,'TL13'!$J$238:$J$451),0),
IF('TL14'!$B$3=M$3,SUMIF('TL14'!$C$10:$C$224,$C7,'TL14'!$J$10:$J$224),0),
IF('TL14'!$B$229=M$3,SUMIF('TL14'!$C$238:$C$451,$C7,'TL14'!$J$238:$J$451),0),
IF('TL15'!$B$3=M$3,SUMIF('TL15'!$C$10:$C$224,$C7,'TL15'!$J$10:$J$224),0),
IF('TL15'!$B$229=M$3,SUMIF('TL15'!$C$238:$C$451,$C7,'TL15'!$J$238:$J$451),0),
IF('TL16'!$B$3=M$3,SUMIF('TL16'!$C$10:$C$224,$C7,'TL16'!$J$10:$J$224),0),
IF('TL16'!$B$229=M$3,SUMIF('TL16'!$C$238:$C$451,$C7,'TL16'!$J$238:$J$451),0),
IF('TL17'!$B$3=M$3,SUMIF('TL17'!$C$10:$C$224,$C7,'TL17'!$J$10:$J$224),0),
IF('TL17'!$B$229=M$3,SUMIF('TL17'!$C$238:$C$451,$C7,'TL17'!$J$238:$J$451),0),
IF('TL18'!$B$3=M$3,SUMIF('TL18'!$C$10:$C$224,$C7,'TL18'!$J$10:$J$224),0),
IF('TL18'!$B$229=M$3,SUMIF('TL18'!$C$238:$C$451,$C7,'TL18'!$J$238:$J$451),0),
IF('TL19'!$B$3=M$3,SUMIF('TL19'!$C$10:$C$224,$C7,'TL19'!$J$10:$J$224),0),
IF('TL19'!$B$229=M$3,SUMIF('TL19'!$C$238:$C$451,$C7,'TL19'!$J$238:$J$451),0)
),0)</f>
        <v>0</v>
      </c>
      <c r="N7" s="9">
        <f>IFERROR(SUM(
IF('TL01'!$B$3=N$3,SUMIF('TL01'!$C$10:$C$224,$C7,'TL01'!$J$10:$J$224),0),
IF('TL01'!$B$229=N$3,SUMIF('TL01'!$C$238:$C$451,$C7,'TL01'!$J$238:$J$451),0),
IF('TL02'!$B$3=N$3,SUMIF('TL02'!$C$10:$C$224,$C7,'TL02'!$J$10:$J$224),0),
IF('TL02'!$B$229=N$3,SUMIF('TL02'!$C$238:$C$451,$C7,'TL02'!$J$238:$J$451),0),
IF('TL03'!$B$3=N$3,SUMIF('TL03'!$C$10:$C$224,$C7,'TL03'!$J$10:$J$224),0),
IF('TL03'!$B$229=N$3,SUMIF('TL03'!$C$238:$C$451,$C7,'TL03'!$J$238:$J$451),0),
IF('TL04'!$B$3=N$3,SUMIF('TL04'!$C$10:$C$224,$C7,'TL04'!$J$10:$J$224),0),
IF('TL04'!$B$229=N$3,SUMIF('TL04'!$C$238:$C$451,$C7,'TL04'!$J$238:$J$451),0),
IF('TL05'!$B$3=N$3,SUMIF('TL05'!$C$10:$C$224,$C7,'TL05'!$J$10:$J$224),0),
IF('TL05'!$B$229=N$3,SUMIF('TL05'!$C$238:$C$451,$C7,'TL05'!$J$238:$J$451),0),
IF('TL06'!$B$3=N$3,SUMIF('TL06'!$C$10:$C$224,$C7,'TL06'!$J$10:$J$224),0),
IF('TL06'!$B$229=N$3,SUMIF('TL06'!$C$238:$C$451,$C7,'TL06'!$J$238:$J$451),0),
IF('TL07'!$B$3=N$3,SUMIF('TL07'!$C$10:$C$224,$C7,'TL07'!$J$10:$J$224),0),
IF('TL07'!$B$229=N$3,SUMIF('TL07'!$C$238:$C$451,$C7,'TL07'!$J$238:$J$451),0),
IF('TL08'!$B$3=N$3,SUMIF('TL08'!$C$10:$C$224,$C7,'TL08'!$J$10:$J$224),0),
IF('TL08'!$B$229=N$3,SUMIF('TL08'!$C$238:$C$451,$C7,'TL08'!$J$238:$J$451),0),
IF('TL09'!$B$3=N$3,SUMIF('TL09'!$C$10:$C$224,$C7,'TL09'!$J$10:$J$224),0),
IF('TL09'!$B$229=N$3,SUMIF('TL09'!$C$238:$C$451,$C7,'TL09'!$J$238:$J$451),0),
IF('TL10'!$B$3=N$3,SUMIF('TL10'!$C$10:$C$224,$C7,'TL10'!$J$10:$J$224),0),
IF('TL10'!$B$229=N$3,SUMIF('TL10'!$C$238:$C$451,$C7,'TL10'!$J$238:$J$451),0),
IF('TL11'!$B$3=N$3,SUMIF('TL11'!$C$10:$C$224,$C7,'TL11'!$J$10:$J$224),0),
IF('TL11'!$B$229=N$3,SUMIF('TL11'!$C$238:$C$451,$C7,'TL11'!$J$238:$J$451),0),
IF('TL12'!$B$3=N$3,SUMIF('TL12'!$C$10:$C$224,$C7,'TL12'!$J$10:$J$224),0),
IF('TL12'!$B$229=N$3,SUMIF('TL12'!$C$238:$C$451,$C7,'TL12'!$J$238:$J$451),0),
IF('TL13'!$B$3=N$3,SUMIF('TL13'!$C$10:$C$224,$C7,'TL13'!$J$10:$J$224),0),
IF('TL13'!$B$229=N$3,SUMIF('TL13'!$C$238:$C$451,$C7,'TL13'!$J$238:$J$451),0),
IF('TL14'!$B$3=N$3,SUMIF('TL14'!$C$10:$C$224,$C7,'TL14'!$J$10:$J$224),0),
IF('TL14'!$B$229=N$3,SUMIF('TL14'!$C$238:$C$451,$C7,'TL14'!$J$238:$J$451),0),
IF('TL15'!$B$3=N$3,SUMIF('TL15'!$C$10:$C$224,$C7,'TL15'!$J$10:$J$224),0),
IF('TL15'!$B$229=N$3,SUMIF('TL15'!$C$238:$C$451,$C7,'TL15'!$J$238:$J$451),0),
IF('TL16'!$B$3=N$3,SUMIF('TL16'!$C$10:$C$224,$C7,'TL16'!$J$10:$J$224),0),
IF('TL16'!$B$229=N$3,SUMIF('TL16'!$C$238:$C$451,$C7,'TL16'!$J$238:$J$451),0),
IF('TL17'!$B$3=N$3,SUMIF('TL17'!$C$10:$C$224,$C7,'TL17'!$J$10:$J$224),0),
IF('TL17'!$B$229=N$3,SUMIF('TL17'!$C$238:$C$451,$C7,'TL17'!$J$238:$J$451),0),
IF('TL18'!$B$3=N$3,SUMIF('TL18'!$C$10:$C$224,$C7,'TL18'!$J$10:$J$224),0),
IF('TL18'!$B$229=N$3,SUMIF('TL18'!$C$238:$C$451,$C7,'TL18'!$J$238:$J$451),0),
IF('TL19'!$B$3=N$3,SUMIF('TL19'!$C$10:$C$224,$C7,'TL19'!$J$10:$J$224),0),
IF('TL19'!$B$229=N$3,SUMIF('TL19'!$C$238:$C$451,$C7,'TL19'!$J$238:$J$451),0)
),0)</f>
        <v>0</v>
      </c>
      <c r="O7" s="9">
        <f>IFERROR(SUM(
IF('TL01'!$B$3=O$3,SUMIF('TL01'!$C$10:$C$224,$C7,'TL01'!$J$10:$J$224),0),
IF('TL01'!$B$229=O$3,SUMIF('TL01'!$C$238:$C$451,$C7,'TL01'!$J$238:$J$451),0),
IF('TL02'!$B$3=O$3,SUMIF('TL02'!$C$10:$C$224,$C7,'TL02'!$J$10:$J$224),0),
IF('TL02'!$B$229=O$3,SUMIF('TL02'!$C$238:$C$451,$C7,'TL02'!$J$238:$J$451),0),
IF('TL03'!$B$3=O$3,SUMIF('TL03'!$C$10:$C$224,$C7,'TL03'!$J$10:$J$224),0),
IF('TL03'!$B$229=O$3,SUMIF('TL03'!$C$238:$C$451,$C7,'TL03'!$J$238:$J$451),0),
IF('TL04'!$B$3=O$3,SUMIF('TL04'!$C$10:$C$224,$C7,'TL04'!$J$10:$J$224),0),
IF('TL04'!$B$229=O$3,SUMIF('TL04'!$C$238:$C$451,$C7,'TL04'!$J$238:$J$451),0),
IF('TL05'!$B$3=O$3,SUMIF('TL05'!$C$10:$C$224,$C7,'TL05'!$J$10:$J$224),0),
IF('TL05'!$B$229=O$3,SUMIF('TL05'!$C$238:$C$451,$C7,'TL05'!$J$238:$J$451),0),
IF('TL06'!$B$3=O$3,SUMIF('TL06'!$C$10:$C$224,$C7,'TL06'!$J$10:$J$224),0),
IF('TL06'!$B$229=O$3,SUMIF('TL06'!$C$238:$C$451,$C7,'TL06'!$J$238:$J$451),0),
IF('TL07'!$B$3=O$3,SUMIF('TL07'!$C$10:$C$224,$C7,'TL07'!$J$10:$J$224),0),
IF('TL07'!$B$229=O$3,SUMIF('TL07'!$C$238:$C$451,$C7,'TL07'!$J$238:$J$451),0),
IF('TL08'!$B$3=O$3,SUMIF('TL08'!$C$10:$C$224,$C7,'TL08'!$J$10:$J$224),0),
IF('TL08'!$B$229=O$3,SUMIF('TL08'!$C$238:$C$451,$C7,'TL08'!$J$238:$J$451),0),
IF('TL09'!$B$3=O$3,SUMIF('TL09'!$C$10:$C$224,$C7,'TL09'!$J$10:$J$224),0),
IF('TL09'!$B$229=O$3,SUMIF('TL09'!$C$238:$C$451,$C7,'TL09'!$J$238:$J$451),0),
IF('TL10'!$B$3=O$3,SUMIF('TL10'!$C$10:$C$224,$C7,'TL10'!$J$10:$J$224),0),
IF('TL10'!$B$229=O$3,SUMIF('TL10'!$C$238:$C$451,$C7,'TL10'!$J$238:$J$451),0),
IF('TL11'!$B$3=O$3,SUMIF('TL11'!$C$10:$C$224,$C7,'TL11'!$J$10:$J$224),0),
IF('TL11'!$B$229=O$3,SUMIF('TL11'!$C$238:$C$451,$C7,'TL11'!$J$238:$J$451),0),
IF('TL12'!$B$3=O$3,SUMIF('TL12'!$C$10:$C$224,$C7,'TL12'!$J$10:$J$224),0),
IF('TL12'!$B$229=O$3,SUMIF('TL12'!$C$238:$C$451,$C7,'TL12'!$J$238:$J$451),0),
IF('TL13'!$B$3=O$3,SUMIF('TL13'!$C$10:$C$224,$C7,'TL13'!$J$10:$J$224),0),
IF('TL13'!$B$229=O$3,SUMIF('TL13'!$C$238:$C$451,$C7,'TL13'!$J$238:$J$451),0),
IF('TL14'!$B$3=O$3,SUMIF('TL14'!$C$10:$C$224,$C7,'TL14'!$J$10:$J$224),0),
IF('TL14'!$B$229=O$3,SUMIF('TL14'!$C$238:$C$451,$C7,'TL14'!$J$238:$J$451),0),
IF('TL15'!$B$3=O$3,SUMIF('TL15'!$C$10:$C$224,$C7,'TL15'!$J$10:$J$224),0),
IF('TL15'!$B$229=O$3,SUMIF('TL15'!$C$238:$C$451,$C7,'TL15'!$J$238:$J$451),0),
IF('TL16'!$B$3=O$3,SUMIF('TL16'!$C$10:$C$224,$C7,'TL16'!$J$10:$J$224),0),
IF('TL16'!$B$229=O$3,SUMIF('TL16'!$C$238:$C$451,$C7,'TL16'!$J$238:$J$451),0),
IF('TL17'!$B$3=O$3,SUMIF('TL17'!$C$10:$C$224,$C7,'TL17'!$J$10:$J$224),0),
IF('TL17'!$B$229=O$3,SUMIF('TL17'!$C$238:$C$451,$C7,'TL17'!$J$238:$J$451),0),
IF('TL18'!$B$3=O$3,SUMIF('TL18'!$C$10:$C$224,$C7,'TL18'!$J$10:$J$224),0),
IF('TL18'!$B$229=O$3,SUMIF('TL18'!$C$238:$C$451,$C7,'TL18'!$J$238:$J$451),0),
IF('TL19'!$B$3=O$3,SUMIF('TL19'!$C$10:$C$224,$C7,'TL19'!$J$10:$J$224),0),
IF('TL19'!$B$229=O$3,SUMIF('TL19'!$C$238:$C$451,$C7,'TL19'!$J$238:$J$451),0)
),0)</f>
        <v>0</v>
      </c>
      <c r="P7" s="9">
        <f>IFERROR(SUM(
IF('TL01'!$B$3=P$3,SUMIF('TL01'!$C$10:$C$224,$C7,'TL01'!$J$10:$J$224),0),
IF('TL01'!$B$229=P$3,SUMIF('TL01'!$C$238:$C$451,$C7,'TL01'!$J$238:$J$451),0),
IF('TL02'!$B$3=P$3,SUMIF('TL02'!$C$10:$C$224,$C7,'TL02'!$J$10:$J$224),0),
IF('TL02'!$B$229=P$3,SUMIF('TL02'!$C$238:$C$451,$C7,'TL02'!$J$238:$J$451),0),
IF('TL03'!$B$3=P$3,SUMIF('TL03'!$C$10:$C$224,$C7,'TL03'!$J$10:$J$224),0),
IF('TL03'!$B$229=P$3,SUMIF('TL03'!$C$238:$C$451,$C7,'TL03'!$J$238:$J$451),0),
IF('TL04'!$B$3=P$3,SUMIF('TL04'!$C$10:$C$224,$C7,'TL04'!$J$10:$J$224),0),
IF('TL04'!$B$229=P$3,SUMIF('TL04'!$C$238:$C$451,$C7,'TL04'!$J$238:$J$451),0),
IF('TL05'!$B$3=P$3,SUMIF('TL05'!$C$10:$C$224,$C7,'TL05'!$J$10:$J$224),0),
IF('TL05'!$B$229=P$3,SUMIF('TL05'!$C$238:$C$451,$C7,'TL05'!$J$238:$J$451),0),
IF('TL06'!$B$3=P$3,SUMIF('TL06'!$C$10:$C$224,$C7,'TL06'!$J$10:$J$224),0),
IF('TL06'!$B$229=P$3,SUMIF('TL06'!$C$238:$C$451,$C7,'TL06'!$J$238:$J$451),0),
IF('TL07'!$B$3=P$3,SUMIF('TL07'!$C$10:$C$224,$C7,'TL07'!$J$10:$J$224),0),
IF('TL07'!$B$229=P$3,SUMIF('TL07'!$C$238:$C$451,$C7,'TL07'!$J$238:$J$451),0),
IF('TL08'!$B$3=P$3,SUMIF('TL08'!$C$10:$C$224,$C7,'TL08'!$J$10:$J$224),0),
IF('TL08'!$B$229=P$3,SUMIF('TL08'!$C$238:$C$451,$C7,'TL08'!$J$238:$J$451),0),
IF('TL09'!$B$3=P$3,SUMIF('TL09'!$C$10:$C$224,$C7,'TL09'!$J$10:$J$224),0),
IF('TL09'!$B$229=P$3,SUMIF('TL09'!$C$238:$C$451,$C7,'TL09'!$J$238:$J$451),0),
IF('TL10'!$B$3=P$3,SUMIF('TL10'!$C$10:$C$224,$C7,'TL10'!$J$10:$J$224),0),
IF('TL10'!$B$229=P$3,SUMIF('TL10'!$C$238:$C$451,$C7,'TL10'!$J$238:$J$451),0),
IF('TL11'!$B$3=P$3,SUMIF('TL11'!$C$10:$C$224,$C7,'TL11'!$J$10:$J$224),0),
IF('TL11'!$B$229=P$3,SUMIF('TL11'!$C$238:$C$451,$C7,'TL11'!$J$238:$J$451),0),
IF('TL12'!$B$3=P$3,SUMIF('TL12'!$C$10:$C$224,$C7,'TL12'!$J$10:$J$224),0),
IF('TL12'!$B$229=P$3,SUMIF('TL12'!$C$238:$C$451,$C7,'TL12'!$J$238:$J$451),0),
IF('TL13'!$B$3=P$3,SUMIF('TL13'!$C$10:$C$224,$C7,'TL13'!$J$10:$J$224),0),
IF('TL13'!$B$229=P$3,SUMIF('TL13'!$C$238:$C$451,$C7,'TL13'!$J$238:$J$451),0),
IF('TL14'!$B$3=P$3,SUMIF('TL14'!$C$10:$C$224,$C7,'TL14'!$J$10:$J$224),0),
IF('TL14'!$B$229=P$3,SUMIF('TL14'!$C$238:$C$451,$C7,'TL14'!$J$238:$J$451),0),
IF('TL15'!$B$3=P$3,SUMIF('TL15'!$C$10:$C$224,$C7,'TL15'!$J$10:$J$224),0),
IF('TL15'!$B$229=P$3,SUMIF('TL15'!$C$238:$C$451,$C7,'TL15'!$J$238:$J$451),0),
IF('TL16'!$B$3=P$3,SUMIF('TL16'!$C$10:$C$224,$C7,'TL16'!$J$10:$J$224),0),
IF('TL16'!$B$229=P$3,SUMIF('TL16'!$C$238:$C$451,$C7,'TL16'!$J$238:$J$451),0),
IF('TL17'!$B$3=P$3,SUMIF('TL17'!$C$10:$C$224,$C7,'TL17'!$J$10:$J$224),0),
IF('TL17'!$B$229=P$3,SUMIF('TL17'!$C$238:$C$451,$C7,'TL17'!$J$238:$J$451),0),
IF('TL18'!$B$3=P$3,SUMIF('TL18'!$C$10:$C$224,$C7,'TL18'!$J$10:$J$224),0),
IF('TL18'!$B$229=P$3,SUMIF('TL18'!$C$238:$C$451,$C7,'TL18'!$J$238:$J$451),0),
IF('TL19'!$B$3=P$3,SUMIF('TL19'!$C$10:$C$224,$C7,'TL19'!$J$10:$J$224),0),
IF('TL19'!$B$229=P$3,SUMIF('TL19'!$C$238:$C$451,$C7,'TL19'!$J$238:$J$451),0)
),0)</f>
        <v>497.8</v>
      </c>
      <c r="Q7" s="9">
        <f>IFERROR(SUM(
IF('TL01'!$B$3=Q$3,SUMIF('TL01'!$C$10:$C$224,$C7,'TL01'!$J$10:$J$224),0),
IF('TL01'!$B$229=Q$3,SUMIF('TL01'!$C$238:$C$451,$C7,'TL01'!$J$238:$J$451),0),
IF('TL02'!$B$3=Q$3,SUMIF('TL02'!$C$10:$C$224,$C7,'TL02'!$J$10:$J$224),0),
IF('TL02'!$B$229=Q$3,SUMIF('TL02'!$C$238:$C$451,$C7,'TL02'!$J$238:$J$451),0),
IF('TL03'!$B$3=Q$3,SUMIF('TL03'!$C$10:$C$224,$C7,'TL03'!$J$10:$J$224),0),
IF('TL03'!$B$229=Q$3,SUMIF('TL03'!$C$238:$C$451,$C7,'TL03'!$J$238:$J$451),0),
IF('TL04'!$B$3=Q$3,SUMIF('TL04'!$C$10:$C$224,$C7,'TL04'!$J$10:$J$224),0),
IF('TL04'!$B$229=Q$3,SUMIF('TL04'!$C$238:$C$451,$C7,'TL04'!$J$238:$J$451),0),
IF('TL05'!$B$3=Q$3,SUMIF('TL05'!$C$10:$C$224,$C7,'TL05'!$J$10:$J$224),0),
IF('TL05'!$B$229=Q$3,SUMIF('TL05'!$C$238:$C$451,$C7,'TL05'!$J$238:$J$451),0),
IF('TL06'!$B$3=Q$3,SUMIF('TL06'!$C$10:$C$224,$C7,'TL06'!$J$10:$J$224),0),
IF('TL06'!$B$229=Q$3,SUMIF('TL06'!$C$238:$C$451,$C7,'TL06'!$J$238:$J$451),0),
IF('TL07'!$B$3=Q$3,SUMIF('TL07'!$C$10:$C$224,$C7,'TL07'!$J$10:$J$224),0),
IF('TL07'!$B$229=Q$3,SUMIF('TL07'!$C$238:$C$451,$C7,'TL07'!$J$238:$J$451),0),
IF('TL08'!$B$3=Q$3,SUMIF('TL08'!$C$10:$C$224,$C7,'TL08'!$J$10:$J$224),0),
IF('TL08'!$B$229=Q$3,SUMIF('TL08'!$C$238:$C$451,$C7,'TL08'!$J$238:$J$451),0),
IF('TL09'!$B$3=Q$3,SUMIF('TL09'!$C$10:$C$224,$C7,'TL09'!$J$10:$J$224),0),
IF('TL09'!$B$229=Q$3,SUMIF('TL09'!$C$238:$C$451,$C7,'TL09'!$J$238:$J$451),0),
IF('TL10'!$B$3=Q$3,SUMIF('TL10'!$C$10:$C$224,$C7,'TL10'!$J$10:$J$224),0),
IF('TL10'!$B$229=Q$3,SUMIF('TL10'!$C$238:$C$451,$C7,'TL10'!$J$238:$J$451),0),
IF('TL11'!$B$3=Q$3,SUMIF('TL11'!$C$10:$C$224,$C7,'TL11'!$J$10:$J$224),0),
IF('TL11'!$B$229=Q$3,SUMIF('TL11'!$C$238:$C$451,$C7,'TL11'!$J$238:$J$451),0),
IF('TL12'!$B$3=Q$3,SUMIF('TL12'!$C$10:$C$224,$C7,'TL12'!$J$10:$J$224),0),
IF('TL12'!$B$229=Q$3,SUMIF('TL12'!$C$238:$C$451,$C7,'TL12'!$J$238:$J$451),0),
IF('TL13'!$B$3=Q$3,SUMIF('TL13'!$C$10:$C$224,$C7,'TL13'!$J$10:$J$224),0),
IF('TL13'!$B$229=Q$3,SUMIF('TL13'!$C$238:$C$451,$C7,'TL13'!$J$238:$J$451),0),
IF('TL14'!$B$3=Q$3,SUMIF('TL14'!$C$10:$C$224,$C7,'TL14'!$J$10:$J$224),0),
IF('TL14'!$B$229=Q$3,SUMIF('TL14'!$C$238:$C$451,$C7,'TL14'!$J$238:$J$451),0),
IF('TL15'!$B$3=Q$3,SUMIF('TL15'!$C$10:$C$224,$C7,'TL15'!$J$10:$J$224),0),
IF('TL15'!$B$229=Q$3,SUMIF('TL15'!$C$238:$C$451,$C7,'TL15'!$J$238:$J$451),0),
IF('TL16'!$B$3=Q$3,SUMIF('TL16'!$C$10:$C$224,$C7,'TL16'!$J$10:$J$224),0),
IF('TL16'!$B$229=Q$3,SUMIF('TL16'!$C$238:$C$451,$C7,'TL16'!$J$238:$J$451),0),
IF('TL17'!$B$3=Q$3,SUMIF('TL17'!$C$10:$C$224,$C7,'TL17'!$J$10:$J$224),0),
IF('TL17'!$B$229=Q$3,SUMIF('TL17'!$C$238:$C$451,$C7,'TL17'!$J$238:$J$451),0),
IF('TL18'!$B$3=Q$3,SUMIF('TL18'!$C$10:$C$224,$C7,'TL18'!$J$10:$J$224),0),
IF('TL18'!$B$229=Q$3,SUMIF('TL18'!$C$238:$C$451,$C7,'TL18'!$J$238:$J$451),0),
IF('TL19'!$B$3=Q$3,SUMIF('TL19'!$C$10:$C$224,$C7,'TL19'!$J$10:$J$224),0),
IF('TL19'!$B$229=Q$3,SUMIF('TL19'!$C$238:$C$451,$C7,'TL19'!$J$238:$J$451),0)
),0)</f>
        <v>0</v>
      </c>
      <c r="R7" s="9">
        <f>IFERROR(
SUM(
SUMIF('TL01'!C:C,C7,'TL01'!J:J),
SUMIF('TL02'!C:C,C7,'TL02'!J:J),
SUMIF('TL03'!C:C,C7,'TL03'!J:J),
SUMIF('TL04'!C:C,C7,'TL04'!J:J),
SUMIF('TL05'!C:C,C7,'TL05'!J:J),
SUMIF('TL06'!C:C,C7,'TL06'!J:J),
SUMIF('TL07'!C:C,C7,'TL07'!J:J),
SUMIF('TL08'!C:C,C7,'TL08'!J:J),
SUMIF('TL09'!C:C,C7,'TL09'!J:J),
SUMIF('TL10'!C:C,C7,'TL10'!J:J),
SUMIF('TL11'!C:C,C7,'TL11'!J:J),
SUMIF('TL12'!C:C,C7,'TL12'!J:J),
SUMIF('TL13'!C:C,C7,'TL13'!J:J),
SUMIF('TL14'!C:C,C7,'TL14'!J:J),
SUMIF('TL15'!C:C,C7,'TL15'!J:J),
SUMIF('TL16'!C:C,C7,'TL16'!J:J),
SUMIF('TL17'!C:C,C7,'TL17'!J:J),
SUMIF('TL18'!C:C,C7,'TL18'!J:J),SUMIF('TL19'!C:C,C7,'TL19'!J:J))
,0)</f>
        <v>497.8</v>
      </c>
      <c r="S7" s="17">
        <f>IFERROR(__xludf.DUMMYFUNCTION("IFERROR(VLOOKUP(C7,
IMPORTRANGE(""1wULbzX32WdYsx-lj2U3uUNBBe2INVIRDtcK0d-Dvl90"",
""26-27!C:G""),
5,
FALSE),
"""")"),14.843780000000002)</f>
        <v>14.84378</v>
      </c>
      <c r="T7" s="9"/>
      <c r="U7" s="92">
        <f t="shared" si="2"/>
        <v>497.8</v>
      </c>
      <c r="V7" s="93">
        <f t="shared" si="3"/>
        <v>7389.233684</v>
      </c>
    </row>
    <row r="8" ht="22.5" hidden="1" customHeight="1">
      <c r="A8" s="87" t="s">
        <v>353</v>
      </c>
      <c r="B8" s="88" t="s">
        <v>6</v>
      </c>
      <c r="C8" s="89" t="s">
        <v>354</v>
      </c>
      <c r="D8" s="89" t="s">
        <v>355</v>
      </c>
      <c r="E8" s="89">
        <v>761.0</v>
      </c>
      <c r="F8" s="4" t="s">
        <v>343</v>
      </c>
      <c r="G8" s="90" t="str">
        <f t="shared" si="1"/>
        <v>📄 Ver bula</v>
      </c>
      <c r="H8" s="9">
        <f>IFERROR(__xludf.DUMMYFUNCTION("IFERROR(VLOOKUP(C8,
IMPORTRANGE(""1wULbzX32WdYsx-lj2U3uUNBBe2INVIRDtcK0d-Dvl90"",
""26-27!C:K""),
8,
FALSE),
"""")"),0.2)</f>
        <v>0.2</v>
      </c>
      <c r="I8" s="91" t="s">
        <v>344</v>
      </c>
      <c r="J8" s="9">
        <f>IFERROR(SUM(
IF('TL01'!$B$3=J$3,SUMIF('TL01'!$C$10:$C$224,$C8,'TL01'!$J$10:$J$224),0),
IF('TL01'!$B$229=J$3,SUMIF('TL01'!$C$238:$C$451,$C8,'TL01'!$J$238:$J$451),0),
IF('TL02'!$B$3=J$3,SUMIF('TL02'!$C$10:$C$224,$C8,'TL02'!$J$10:$J$224),0),
IF('TL02'!$B$229=J$3,SUMIF('TL02'!$C$238:$C$451,$C8,'TL02'!$J$238:$J$451),0),
IF('TL03'!$B$3=J$3,SUMIF('TL03'!$C$10:$C$224,$C8,'TL03'!$J$10:$J$224),0),
IF('TL03'!$B$229=J$3,SUMIF('TL03'!$C$238:$C$451,$C8,'TL03'!$J$238:$J$451),0),
IF('TL04'!$B$3=J$3,SUMIF('TL04'!$C$10:$C$224,$C8,'TL04'!$J$10:$J$224),0),
IF('TL04'!$B$229=J$3,SUMIF('TL04'!$C$238:$C$451,$C8,'TL04'!$J$238:$J$451),0),
IF('TL05'!$B$3=J$3,SUMIF('TL05'!$C$10:$C$224,$C8,'TL05'!$J$10:$J$224),0),
IF('TL05'!$B$229=J$3,SUMIF('TL05'!$C$238:$C$451,$C8,'TL05'!$J$238:$J$451),0),
IF('TL06'!$B$3=J$3,SUMIF('TL06'!$C$10:$C$224,$C8,'TL06'!$J$10:$J$224),0),
IF('TL06'!$B$229=J$3,SUMIF('TL06'!$C$238:$C$451,$C8,'TL06'!$J$238:$J$451),0),
IF('TL07'!$B$3=J$3,SUMIF('TL07'!$C$10:$C$224,$C8,'TL07'!$J$10:$J$224),0),
IF('TL07'!$B$229=J$3,SUMIF('TL07'!$C$238:$C$451,$C8,'TL07'!$J$238:$J$451),0),
IF('TL08'!$B$3=J$3,SUMIF('TL08'!$C$10:$C$224,$C8,'TL08'!$J$10:$J$224),0),
IF('TL08'!$B$229=J$3,SUMIF('TL08'!$C$238:$C$451,$C8,'TL08'!$J$238:$J$451),0),
IF('TL09'!$B$3=J$3,SUMIF('TL09'!$C$10:$C$224,$C8,'TL09'!$J$10:$J$224),0),
IF('TL09'!$B$229=J$3,SUMIF('TL09'!$C$238:$C$451,$C8,'TL09'!$J$238:$J$451),0),
IF('TL10'!$B$3=J$3,SUMIF('TL10'!$C$10:$C$224,$C8,'TL10'!$J$10:$J$224),0),
IF('TL10'!$B$229=J$3,SUMIF('TL10'!$C$238:$C$451,$C8,'TL10'!$J$238:$J$451),0),
IF('TL11'!$B$3=J$3,SUMIF('TL11'!$C$10:$C$224,$C8,'TL11'!$J$10:$J$224),0),
IF('TL11'!$B$229=J$3,SUMIF('TL11'!$C$238:$C$451,$C8,'TL11'!$J$238:$J$451),0),
IF('TL12'!$B$3=J$3,SUMIF('TL12'!$C$10:$C$224,$C8,'TL12'!$J$10:$J$224),0),
IF('TL12'!$B$229=J$3,SUMIF('TL12'!$C$238:$C$451,$C8,'TL12'!$J$238:$J$451),0),
IF('TL13'!$B$3=J$3,SUMIF('TL13'!$C$10:$C$224,$C8,'TL13'!$J$10:$J$224),0),
IF('TL13'!$B$229=J$3,SUMIF('TL13'!$C$238:$C$451,$C8,'TL13'!$J$238:$J$451),0),
IF('TL14'!$B$3=J$3,SUMIF('TL14'!$C$10:$C$224,$C8,'TL14'!$J$10:$J$224),0),
IF('TL14'!$B$229=J$3,SUMIF('TL14'!$C$238:$C$451,$C8,'TL14'!$J$238:$J$451),0),
IF('TL15'!$B$3=J$3,SUMIF('TL15'!$C$10:$C$224,$C8,'TL15'!$J$10:$J$224),0),
IF('TL15'!$B$229=J$3,SUMIF('TL15'!$C$238:$C$451,$C8,'TL15'!$J$238:$J$451),0),
IF('TL16'!$B$3=J$3,SUMIF('TL16'!$C$10:$C$224,$C8,'TL16'!$J$10:$J$224),0),
IF('TL16'!$B$229=J$3,SUMIF('TL16'!$C$238:$C$451,$C8,'TL16'!$J$238:$J$451),0),
IF('TL17'!$B$3=J$3,SUMIF('TL17'!$C$10:$C$224,$C8,'TL17'!$J$10:$J$224),0),
IF('TL17'!$B$229=J$3,SUMIF('TL17'!$C$238:$C$451,$C8,'TL17'!$J$238:$J$451),0),
IF('TL18'!$B$3=J$3,SUMIF('TL18'!$C$10:$C$224,$C8,'TL18'!$J$10:$J$224),0),
IF('TL18'!$B$229=J$3,SUMIF('TL18'!$C$238:$C$451,$C8,'TL18'!$J$238:$J$451),0),
IF('TL19'!$B$3=J$3,SUMIF('TL19'!$C$10:$C$224,$C8,'TL19'!$J$10:$J$224),0),
IF('TL19'!$B$229=J$3,SUMIF('TL19'!$C$238:$C$451,$C8,'TL19'!$J$238:$J$451),0)
),0)</f>
        <v>588</v>
      </c>
      <c r="K8" s="9">
        <f>IFERROR(SUM(
IF('TL01'!$B$3=K$3,SUMIF('TL01'!$C$10:$C$224,$C8,'TL01'!$J$10:$J$224),0),
IF('TL01'!$B$229=K$3,SUMIF('TL01'!$C$238:$C$451,$C8,'TL01'!$J$238:$J$451),0),
IF('TL02'!$B$3=K$3,SUMIF('TL02'!$C$10:$C$224,$C8,'TL02'!$J$10:$J$224),0),
IF('TL02'!$B$229=K$3,SUMIF('TL02'!$C$238:$C$451,$C8,'TL02'!$J$238:$J$451),0),
IF('TL03'!$B$3=K$3,SUMIF('TL03'!$C$10:$C$224,$C8,'TL03'!$J$10:$J$224),0),
IF('TL03'!$B$229=K$3,SUMIF('TL03'!$C$238:$C$451,$C8,'TL03'!$J$238:$J$451),0),
IF('TL04'!$B$3=K$3,SUMIF('TL04'!$C$10:$C$224,$C8,'TL04'!$J$10:$J$224),0),
IF('TL04'!$B$229=K$3,SUMIF('TL04'!$C$238:$C$451,$C8,'TL04'!$J$238:$J$451),0),
IF('TL05'!$B$3=K$3,SUMIF('TL05'!$C$10:$C$224,$C8,'TL05'!$J$10:$J$224),0),
IF('TL05'!$B$229=K$3,SUMIF('TL05'!$C$238:$C$451,$C8,'TL05'!$J$238:$J$451),0),
IF('TL06'!$B$3=K$3,SUMIF('TL06'!$C$10:$C$224,$C8,'TL06'!$J$10:$J$224),0),
IF('TL06'!$B$229=K$3,SUMIF('TL06'!$C$238:$C$451,$C8,'TL06'!$J$238:$J$451),0),
IF('TL07'!$B$3=K$3,SUMIF('TL07'!$C$10:$C$224,$C8,'TL07'!$J$10:$J$224),0),
IF('TL07'!$B$229=K$3,SUMIF('TL07'!$C$238:$C$451,$C8,'TL07'!$J$238:$J$451),0),
IF('TL08'!$B$3=K$3,SUMIF('TL08'!$C$10:$C$224,$C8,'TL08'!$J$10:$J$224),0),
IF('TL08'!$B$229=K$3,SUMIF('TL08'!$C$238:$C$451,$C8,'TL08'!$J$238:$J$451),0),
IF('TL09'!$B$3=K$3,SUMIF('TL09'!$C$10:$C$224,$C8,'TL09'!$J$10:$J$224),0),
IF('TL09'!$B$229=K$3,SUMIF('TL09'!$C$238:$C$451,$C8,'TL09'!$J$238:$J$451),0),
IF('TL10'!$B$3=K$3,SUMIF('TL10'!$C$10:$C$224,$C8,'TL10'!$J$10:$J$224),0),
IF('TL10'!$B$229=K$3,SUMIF('TL10'!$C$238:$C$451,$C8,'TL10'!$J$238:$J$451),0),
IF('TL11'!$B$3=K$3,SUMIF('TL11'!$C$10:$C$224,$C8,'TL11'!$J$10:$J$224),0),
IF('TL11'!$B$229=K$3,SUMIF('TL11'!$C$238:$C$451,$C8,'TL11'!$J$238:$J$451),0),
IF('TL12'!$B$3=K$3,SUMIF('TL12'!$C$10:$C$224,$C8,'TL12'!$J$10:$J$224),0),
IF('TL12'!$B$229=K$3,SUMIF('TL12'!$C$238:$C$451,$C8,'TL12'!$J$238:$J$451),0),
IF('TL13'!$B$3=K$3,SUMIF('TL13'!$C$10:$C$224,$C8,'TL13'!$J$10:$J$224),0),
IF('TL13'!$B$229=K$3,SUMIF('TL13'!$C$238:$C$451,$C8,'TL13'!$J$238:$J$451),0),
IF('TL14'!$B$3=K$3,SUMIF('TL14'!$C$10:$C$224,$C8,'TL14'!$J$10:$J$224),0),
IF('TL14'!$B$229=K$3,SUMIF('TL14'!$C$238:$C$451,$C8,'TL14'!$J$238:$J$451),0),
IF('TL15'!$B$3=K$3,SUMIF('TL15'!$C$10:$C$224,$C8,'TL15'!$J$10:$J$224),0),
IF('TL15'!$B$229=K$3,SUMIF('TL15'!$C$238:$C$451,$C8,'TL15'!$J$238:$J$451),0),
IF('TL16'!$B$3=K$3,SUMIF('TL16'!$C$10:$C$224,$C8,'TL16'!$J$10:$J$224),0),
IF('TL16'!$B$229=K$3,SUMIF('TL16'!$C$238:$C$451,$C8,'TL16'!$J$238:$J$451),0),
IF('TL17'!$B$3=K$3,SUMIF('TL17'!$C$10:$C$224,$C8,'TL17'!$J$10:$J$224),0),
IF('TL17'!$B$229=K$3,SUMIF('TL17'!$C$238:$C$451,$C8,'TL17'!$J$238:$J$451),0),
IF('TL18'!$B$3=K$3,SUMIF('TL18'!$C$10:$C$224,$C8,'TL18'!$J$10:$J$224),0),
IF('TL18'!$B$229=K$3,SUMIF('TL18'!$C$238:$C$451,$C8,'TL18'!$J$238:$J$451),0),
IF('TL19'!$B$3=K$3,SUMIF('TL19'!$C$10:$C$224,$C8,'TL19'!$J$10:$J$224),0),
IF('TL19'!$B$229=K$3,SUMIF('TL19'!$C$238:$C$451,$C8,'TL19'!$J$238:$J$451),0)
),0)</f>
        <v>420</v>
      </c>
      <c r="L8" s="9">
        <f>IFERROR(SUM(
IF('TL01'!$B$3=L$3,SUMIF('TL01'!$C$10:$C$224,$C8,'TL01'!$J$10:$J$224),0),
IF('TL01'!$B$229=L$3,SUMIF('TL01'!$C$238:$C$451,$C8,'TL01'!$J$238:$J$451),0),
IF('TL02'!$B$3=L$3,SUMIF('TL02'!$C$10:$C$224,$C8,'TL02'!$J$10:$J$224),0),
IF('TL02'!$B$229=L$3,SUMIF('TL02'!$C$238:$C$451,$C8,'TL02'!$J$238:$J$451),0),
IF('TL03'!$B$3=L$3,SUMIF('TL03'!$C$10:$C$224,$C8,'TL03'!$J$10:$J$224),0),
IF('TL03'!$B$229=L$3,SUMIF('TL03'!$C$238:$C$451,$C8,'TL03'!$J$238:$J$451),0),
IF('TL04'!$B$3=L$3,SUMIF('TL04'!$C$10:$C$224,$C8,'TL04'!$J$10:$J$224),0),
IF('TL04'!$B$229=L$3,SUMIF('TL04'!$C$238:$C$451,$C8,'TL04'!$J$238:$J$451),0),
IF('TL05'!$B$3=L$3,SUMIF('TL05'!$C$10:$C$224,$C8,'TL05'!$J$10:$J$224),0),
IF('TL05'!$B$229=L$3,SUMIF('TL05'!$C$238:$C$451,$C8,'TL05'!$J$238:$J$451),0),
IF('TL06'!$B$3=L$3,SUMIF('TL06'!$C$10:$C$224,$C8,'TL06'!$J$10:$J$224),0),
IF('TL06'!$B$229=L$3,SUMIF('TL06'!$C$238:$C$451,$C8,'TL06'!$J$238:$J$451),0),
IF('TL07'!$B$3=L$3,SUMIF('TL07'!$C$10:$C$224,$C8,'TL07'!$J$10:$J$224),0),
IF('TL07'!$B$229=L$3,SUMIF('TL07'!$C$238:$C$451,$C8,'TL07'!$J$238:$J$451),0),
IF('TL08'!$B$3=L$3,SUMIF('TL08'!$C$10:$C$224,$C8,'TL08'!$J$10:$J$224),0),
IF('TL08'!$B$229=L$3,SUMIF('TL08'!$C$238:$C$451,$C8,'TL08'!$J$238:$J$451),0),
IF('TL09'!$B$3=L$3,SUMIF('TL09'!$C$10:$C$224,$C8,'TL09'!$J$10:$J$224),0),
IF('TL09'!$B$229=L$3,SUMIF('TL09'!$C$238:$C$451,$C8,'TL09'!$J$238:$J$451),0),
IF('TL10'!$B$3=L$3,SUMIF('TL10'!$C$10:$C$224,$C8,'TL10'!$J$10:$J$224),0),
IF('TL10'!$B$229=L$3,SUMIF('TL10'!$C$238:$C$451,$C8,'TL10'!$J$238:$J$451),0),
IF('TL11'!$B$3=L$3,SUMIF('TL11'!$C$10:$C$224,$C8,'TL11'!$J$10:$J$224),0),
IF('TL11'!$B$229=L$3,SUMIF('TL11'!$C$238:$C$451,$C8,'TL11'!$J$238:$J$451),0),
IF('TL12'!$B$3=L$3,SUMIF('TL12'!$C$10:$C$224,$C8,'TL12'!$J$10:$J$224),0),
IF('TL12'!$B$229=L$3,SUMIF('TL12'!$C$238:$C$451,$C8,'TL12'!$J$238:$J$451),0),
IF('TL13'!$B$3=L$3,SUMIF('TL13'!$C$10:$C$224,$C8,'TL13'!$J$10:$J$224),0),
IF('TL13'!$B$229=L$3,SUMIF('TL13'!$C$238:$C$451,$C8,'TL13'!$J$238:$J$451),0),
IF('TL14'!$B$3=L$3,SUMIF('TL14'!$C$10:$C$224,$C8,'TL14'!$J$10:$J$224),0),
IF('TL14'!$B$229=L$3,SUMIF('TL14'!$C$238:$C$451,$C8,'TL14'!$J$238:$J$451),0),
IF('TL15'!$B$3=L$3,SUMIF('TL15'!$C$10:$C$224,$C8,'TL15'!$J$10:$J$224),0),
IF('TL15'!$B$229=L$3,SUMIF('TL15'!$C$238:$C$451,$C8,'TL15'!$J$238:$J$451),0),
IF('TL16'!$B$3=L$3,SUMIF('TL16'!$C$10:$C$224,$C8,'TL16'!$J$10:$J$224),0),
IF('TL16'!$B$229=L$3,SUMIF('TL16'!$C$238:$C$451,$C8,'TL16'!$J$238:$J$451),0),
IF('TL17'!$B$3=L$3,SUMIF('TL17'!$C$10:$C$224,$C8,'TL17'!$J$10:$J$224),0),
IF('TL17'!$B$229=L$3,SUMIF('TL17'!$C$238:$C$451,$C8,'TL17'!$J$238:$J$451),0),
IF('TL18'!$B$3=L$3,SUMIF('TL18'!$C$10:$C$224,$C8,'TL18'!$J$10:$J$224),0),
IF('TL18'!$B$229=L$3,SUMIF('TL18'!$C$238:$C$451,$C8,'TL18'!$J$238:$J$451),0),
IF('TL19'!$B$3=L$3,SUMIF('TL19'!$C$10:$C$224,$C8,'TL19'!$J$10:$J$224),0),
IF('TL19'!$B$229=L$3,SUMIF('TL19'!$C$238:$C$451,$C8,'TL19'!$J$238:$J$451),0)
),0)</f>
        <v>308</v>
      </c>
      <c r="M8" s="9">
        <f>IFERROR(SUM(
IF('TL01'!$B$3=M$3,SUMIF('TL01'!$C$10:$C$224,$C8,'TL01'!$J$10:$J$224),0),
IF('TL01'!$B$229=M$3,SUMIF('TL01'!$C$238:$C$451,$C8,'TL01'!$J$238:$J$451),0),
IF('TL02'!$B$3=M$3,SUMIF('TL02'!$C$10:$C$224,$C8,'TL02'!$J$10:$J$224),0),
IF('TL02'!$B$229=M$3,SUMIF('TL02'!$C$238:$C$451,$C8,'TL02'!$J$238:$J$451),0),
IF('TL03'!$B$3=M$3,SUMIF('TL03'!$C$10:$C$224,$C8,'TL03'!$J$10:$J$224),0),
IF('TL03'!$B$229=M$3,SUMIF('TL03'!$C$238:$C$451,$C8,'TL03'!$J$238:$J$451),0),
IF('TL04'!$B$3=M$3,SUMIF('TL04'!$C$10:$C$224,$C8,'TL04'!$J$10:$J$224),0),
IF('TL04'!$B$229=M$3,SUMIF('TL04'!$C$238:$C$451,$C8,'TL04'!$J$238:$J$451),0),
IF('TL05'!$B$3=M$3,SUMIF('TL05'!$C$10:$C$224,$C8,'TL05'!$J$10:$J$224),0),
IF('TL05'!$B$229=M$3,SUMIF('TL05'!$C$238:$C$451,$C8,'TL05'!$J$238:$J$451),0),
IF('TL06'!$B$3=M$3,SUMIF('TL06'!$C$10:$C$224,$C8,'TL06'!$J$10:$J$224),0),
IF('TL06'!$B$229=M$3,SUMIF('TL06'!$C$238:$C$451,$C8,'TL06'!$J$238:$J$451),0),
IF('TL07'!$B$3=M$3,SUMIF('TL07'!$C$10:$C$224,$C8,'TL07'!$J$10:$J$224),0),
IF('TL07'!$B$229=M$3,SUMIF('TL07'!$C$238:$C$451,$C8,'TL07'!$J$238:$J$451),0),
IF('TL08'!$B$3=M$3,SUMIF('TL08'!$C$10:$C$224,$C8,'TL08'!$J$10:$J$224),0),
IF('TL08'!$B$229=M$3,SUMIF('TL08'!$C$238:$C$451,$C8,'TL08'!$J$238:$J$451),0),
IF('TL09'!$B$3=M$3,SUMIF('TL09'!$C$10:$C$224,$C8,'TL09'!$J$10:$J$224),0),
IF('TL09'!$B$229=M$3,SUMIF('TL09'!$C$238:$C$451,$C8,'TL09'!$J$238:$J$451),0),
IF('TL10'!$B$3=M$3,SUMIF('TL10'!$C$10:$C$224,$C8,'TL10'!$J$10:$J$224),0),
IF('TL10'!$B$229=M$3,SUMIF('TL10'!$C$238:$C$451,$C8,'TL10'!$J$238:$J$451),0),
IF('TL11'!$B$3=M$3,SUMIF('TL11'!$C$10:$C$224,$C8,'TL11'!$J$10:$J$224),0),
IF('TL11'!$B$229=M$3,SUMIF('TL11'!$C$238:$C$451,$C8,'TL11'!$J$238:$J$451),0),
IF('TL12'!$B$3=M$3,SUMIF('TL12'!$C$10:$C$224,$C8,'TL12'!$J$10:$J$224),0),
IF('TL12'!$B$229=M$3,SUMIF('TL12'!$C$238:$C$451,$C8,'TL12'!$J$238:$J$451),0),
IF('TL13'!$B$3=M$3,SUMIF('TL13'!$C$10:$C$224,$C8,'TL13'!$J$10:$J$224),0),
IF('TL13'!$B$229=M$3,SUMIF('TL13'!$C$238:$C$451,$C8,'TL13'!$J$238:$J$451),0),
IF('TL14'!$B$3=M$3,SUMIF('TL14'!$C$10:$C$224,$C8,'TL14'!$J$10:$J$224),0),
IF('TL14'!$B$229=M$3,SUMIF('TL14'!$C$238:$C$451,$C8,'TL14'!$J$238:$J$451),0),
IF('TL15'!$B$3=M$3,SUMIF('TL15'!$C$10:$C$224,$C8,'TL15'!$J$10:$J$224),0),
IF('TL15'!$B$229=M$3,SUMIF('TL15'!$C$238:$C$451,$C8,'TL15'!$J$238:$J$451),0),
IF('TL16'!$B$3=M$3,SUMIF('TL16'!$C$10:$C$224,$C8,'TL16'!$J$10:$J$224),0),
IF('TL16'!$B$229=M$3,SUMIF('TL16'!$C$238:$C$451,$C8,'TL16'!$J$238:$J$451),0),
IF('TL17'!$B$3=M$3,SUMIF('TL17'!$C$10:$C$224,$C8,'TL17'!$J$10:$J$224),0),
IF('TL17'!$B$229=M$3,SUMIF('TL17'!$C$238:$C$451,$C8,'TL17'!$J$238:$J$451),0),
IF('TL18'!$B$3=M$3,SUMIF('TL18'!$C$10:$C$224,$C8,'TL18'!$J$10:$J$224),0),
IF('TL18'!$B$229=M$3,SUMIF('TL18'!$C$238:$C$451,$C8,'TL18'!$J$238:$J$451),0),
IF('TL19'!$B$3=M$3,SUMIF('TL19'!$C$10:$C$224,$C8,'TL19'!$J$10:$J$224),0),
IF('TL19'!$B$229=M$3,SUMIF('TL19'!$C$238:$C$451,$C8,'TL19'!$J$238:$J$451),0)
),0)</f>
        <v>40</v>
      </c>
      <c r="N8" s="9">
        <f>IFERROR(SUM(
IF('TL01'!$B$3=N$3,SUMIF('TL01'!$C$10:$C$224,$C8,'TL01'!$J$10:$J$224),0),
IF('TL01'!$B$229=N$3,SUMIF('TL01'!$C$238:$C$451,$C8,'TL01'!$J$238:$J$451),0),
IF('TL02'!$B$3=N$3,SUMIF('TL02'!$C$10:$C$224,$C8,'TL02'!$J$10:$J$224),0),
IF('TL02'!$B$229=N$3,SUMIF('TL02'!$C$238:$C$451,$C8,'TL02'!$J$238:$J$451),0),
IF('TL03'!$B$3=N$3,SUMIF('TL03'!$C$10:$C$224,$C8,'TL03'!$J$10:$J$224),0),
IF('TL03'!$B$229=N$3,SUMIF('TL03'!$C$238:$C$451,$C8,'TL03'!$J$238:$J$451),0),
IF('TL04'!$B$3=N$3,SUMIF('TL04'!$C$10:$C$224,$C8,'TL04'!$J$10:$J$224),0),
IF('TL04'!$B$229=N$3,SUMIF('TL04'!$C$238:$C$451,$C8,'TL04'!$J$238:$J$451),0),
IF('TL05'!$B$3=N$3,SUMIF('TL05'!$C$10:$C$224,$C8,'TL05'!$J$10:$J$224),0),
IF('TL05'!$B$229=N$3,SUMIF('TL05'!$C$238:$C$451,$C8,'TL05'!$J$238:$J$451),0),
IF('TL06'!$B$3=N$3,SUMIF('TL06'!$C$10:$C$224,$C8,'TL06'!$J$10:$J$224),0),
IF('TL06'!$B$229=N$3,SUMIF('TL06'!$C$238:$C$451,$C8,'TL06'!$J$238:$J$451),0),
IF('TL07'!$B$3=N$3,SUMIF('TL07'!$C$10:$C$224,$C8,'TL07'!$J$10:$J$224),0),
IF('TL07'!$B$229=N$3,SUMIF('TL07'!$C$238:$C$451,$C8,'TL07'!$J$238:$J$451),0),
IF('TL08'!$B$3=N$3,SUMIF('TL08'!$C$10:$C$224,$C8,'TL08'!$J$10:$J$224),0),
IF('TL08'!$B$229=N$3,SUMIF('TL08'!$C$238:$C$451,$C8,'TL08'!$J$238:$J$451),0),
IF('TL09'!$B$3=N$3,SUMIF('TL09'!$C$10:$C$224,$C8,'TL09'!$J$10:$J$224),0),
IF('TL09'!$B$229=N$3,SUMIF('TL09'!$C$238:$C$451,$C8,'TL09'!$J$238:$J$451),0),
IF('TL10'!$B$3=N$3,SUMIF('TL10'!$C$10:$C$224,$C8,'TL10'!$J$10:$J$224),0),
IF('TL10'!$B$229=N$3,SUMIF('TL10'!$C$238:$C$451,$C8,'TL10'!$J$238:$J$451),0),
IF('TL11'!$B$3=N$3,SUMIF('TL11'!$C$10:$C$224,$C8,'TL11'!$J$10:$J$224),0),
IF('TL11'!$B$229=N$3,SUMIF('TL11'!$C$238:$C$451,$C8,'TL11'!$J$238:$J$451),0),
IF('TL12'!$B$3=N$3,SUMIF('TL12'!$C$10:$C$224,$C8,'TL12'!$J$10:$J$224),0),
IF('TL12'!$B$229=N$3,SUMIF('TL12'!$C$238:$C$451,$C8,'TL12'!$J$238:$J$451),0),
IF('TL13'!$B$3=N$3,SUMIF('TL13'!$C$10:$C$224,$C8,'TL13'!$J$10:$J$224),0),
IF('TL13'!$B$229=N$3,SUMIF('TL13'!$C$238:$C$451,$C8,'TL13'!$J$238:$J$451),0),
IF('TL14'!$B$3=N$3,SUMIF('TL14'!$C$10:$C$224,$C8,'TL14'!$J$10:$J$224),0),
IF('TL14'!$B$229=N$3,SUMIF('TL14'!$C$238:$C$451,$C8,'TL14'!$J$238:$J$451),0),
IF('TL15'!$B$3=N$3,SUMIF('TL15'!$C$10:$C$224,$C8,'TL15'!$J$10:$J$224),0),
IF('TL15'!$B$229=N$3,SUMIF('TL15'!$C$238:$C$451,$C8,'TL15'!$J$238:$J$451),0),
IF('TL16'!$B$3=N$3,SUMIF('TL16'!$C$10:$C$224,$C8,'TL16'!$J$10:$J$224),0),
IF('TL16'!$B$229=N$3,SUMIF('TL16'!$C$238:$C$451,$C8,'TL16'!$J$238:$J$451),0),
IF('TL17'!$B$3=N$3,SUMIF('TL17'!$C$10:$C$224,$C8,'TL17'!$J$10:$J$224),0),
IF('TL17'!$B$229=N$3,SUMIF('TL17'!$C$238:$C$451,$C8,'TL17'!$J$238:$J$451),0),
IF('TL18'!$B$3=N$3,SUMIF('TL18'!$C$10:$C$224,$C8,'TL18'!$J$10:$J$224),0),
IF('TL18'!$B$229=N$3,SUMIF('TL18'!$C$238:$C$451,$C8,'TL18'!$J$238:$J$451),0),
IF('TL19'!$B$3=N$3,SUMIF('TL19'!$C$10:$C$224,$C8,'TL19'!$J$10:$J$224),0),
IF('TL19'!$B$229=N$3,SUMIF('TL19'!$C$238:$C$451,$C8,'TL19'!$J$238:$J$451),0)
),0)</f>
        <v>75.2</v>
      </c>
      <c r="O8" s="9">
        <f>IFERROR(SUM(
IF('TL01'!$B$3=O$3,SUMIF('TL01'!$C$10:$C$224,$C8,'TL01'!$J$10:$J$224),0),
IF('TL01'!$B$229=O$3,SUMIF('TL01'!$C$238:$C$451,$C8,'TL01'!$J$238:$J$451),0),
IF('TL02'!$B$3=O$3,SUMIF('TL02'!$C$10:$C$224,$C8,'TL02'!$J$10:$J$224),0),
IF('TL02'!$B$229=O$3,SUMIF('TL02'!$C$238:$C$451,$C8,'TL02'!$J$238:$J$451),0),
IF('TL03'!$B$3=O$3,SUMIF('TL03'!$C$10:$C$224,$C8,'TL03'!$J$10:$J$224),0),
IF('TL03'!$B$229=O$3,SUMIF('TL03'!$C$238:$C$451,$C8,'TL03'!$J$238:$J$451),0),
IF('TL04'!$B$3=O$3,SUMIF('TL04'!$C$10:$C$224,$C8,'TL04'!$J$10:$J$224),0),
IF('TL04'!$B$229=O$3,SUMIF('TL04'!$C$238:$C$451,$C8,'TL04'!$J$238:$J$451),0),
IF('TL05'!$B$3=O$3,SUMIF('TL05'!$C$10:$C$224,$C8,'TL05'!$J$10:$J$224),0),
IF('TL05'!$B$229=O$3,SUMIF('TL05'!$C$238:$C$451,$C8,'TL05'!$J$238:$J$451),0),
IF('TL06'!$B$3=O$3,SUMIF('TL06'!$C$10:$C$224,$C8,'TL06'!$J$10:$J$224),0),
IF('TL06'!$B$229=O$3,SUMIF('TL06'!$C$238:$C$451,$C8,'TL06'!$J$238:$J$451),0),
IF('TL07'!$B$3=O$3,SUMIF('TL07'!$C$10:$C$224,$C8,'TL07'!$J$10:$J$224),0),
IF('TL07'!$B$229=O$3,SUMIF('TL07'!$C$238:$C$451,$C8,'TL07'!$J$238:$J$451),0),
IF('TL08'!$B$3=O$3,SUMIF('TL08'!$C$10:$C$224,$C8,'TL08'!$J$10:$J$224),0),
IF('TL08'!$B$229=O$3,SUMIF('TL08'!$C$238:$C$451,$C8,'TL08'!$J$238:$J$451),0),
IF('TL09'!$B$3=O$3,SUMIF('TL09'!$C$10:$C$224,$C8,'TL09'!$J$10:$J$224),0),
IF('TL09'!$B$229=O$3,SUMIF('TL09'!$C$238:$C$451,$C8,'TL09'!$J$238:$J$451),0),
IF('TL10'!$B$3=O$3,SUMIF('TL10'!$C$10:$C$224,$C8,'TL10'!$J$10:$J$224),0),
IF('TL10'!$B$229=O$3,SUMIF('TL10'!$C$238:$C$451,$C8,'TL10'!$J$238:$J$451),0),
IF('TL11'!$B$3=O$3,SUMIF('TL11'!$C$10:$C$224,$C8,'TL11'!$J$10:$J$224),0),
IF('TL11'!$B$229=O$3,SUMIF('TL11'!$C$238:$C$451,$C8,'TL11'!$J$238:$J$451),0),
IF('TL12'!$B$3=O$3,SUMIF('TL12'!$C$10:$C$224,$C8,'TL12'!$J$10:$J$224),0),
IF('TL12'!$B$229=O$3,SUMIF('TL12'!$C$238:$C$451,$C8,'TL12'!$J$238:$J$451),0),
IF('TL13'!$B$3=O$3,SUMIF('TL13'!$C$10:$C$224,$C8,'TL13'!$J$10:$J$224),0),
IF('TL13'!$B$229=O$3,SUMIF('TL13'!$C$238:$C$451,$C8,'TL13'!$J$238:$J$451),0),
IF('TL14'!$B$3=O$3,SUMIF('TL14'!$C$10:$C$224,$C8,'TL14'!$J$10:$J$224),0),
IF('TL14'!$B$229=O$3,SUMIF('TL14'!$C$238:$C$451,$C8,'TL14'!$J$238:$J$451),0),
IF('TL15'!$B$3=O$3,SUMIF('TL15'!$C$10:$C$224,$C8,'TL15'!$J$10:$J$224),0),
IF('TL15'!$B$229=O$3,SUMIF('TL15'!$C$238:$C$451,$C8,'TL15'!$J$238:$J$451),0),
IF('TL16'!$B$3=O$3,SUMIF('TL16'!$C$10:$C$224,$C8,'TL16'!$J$10:$J$224),0),
IF('TL16'!$B$229=O$3,SUMIF('TL16'!$C$238:$C$451,$C8,'TL16'!$J$238:$J$451),0),
IF('TL17'!$B$3=O$3,SUMIF('TL17'!$C$10:$C$224,$C8,'TL17'!$J$10:$J$224),0),
IF('TL17'!$B$229=O$3,SUMIF('TL17'!$C$238:$C$451,$C8,'TL17'!$J$238:$J$451),0),
IF('TL18'!$B$3=O$3,SUMIF('TL18'!$C$10:$C$224,$C8,'TL18'!$J$10:$J$224),0),
IF('TL18'!$B$229=O$3,SUMIF('TL18'!$C$238:$C$451,$C8,'TL18'!$J$238:$J$451),0),
IF('TL19'!$B$3=O$3,SUMIF('TL19'!$C$10:$C$224,$C8,'TL19'!$J$10:$J$224),0),
IF('TL19'!$B$229=O$3,SUMIF('TL19'!$C$238:$C$451,$C8,'TL19'!$J$238:$J$451),0)
),0)</f>
        <v>220</v>
      </c>
      <c r="P8" s="9">
        <f>IFERROR(SUM(
IF('TL01'!$B$3=P$3,SUMIF('TL01'!$C$10:$C$224,$C8,'TL01'!$J$10:$J$224),0),
IF('TL01'!$B$229=P$3,SUMIF('TL01'!$C$238:$C$451,$C8,'TL01'!$J$238:$J$451),0),
IF('TL02'!$B$3=P$3,SUMIF('TL02'!$C$10:$C$224,$C8,'TL02'!$J$10:$J$224),0),
IF('TL02'!$B$229=P$3,SUMIF('TL02'!$C$238:$C$451,$C8,'TL02'!$J$238:$J$451),0),
IF('TL03'!$B$3=P$3,SUMIF('TL03'!$C$10:$C$224,$C8,'TL03'!$J$10:$J$224),0),
IF('TL03'!$B$229=P$3,SUMIF('TL03'!$C$238:$C$451,$C8,'TL03'!$J$238:$J$451),0),
IF('TL04'!$B$3=P$3,SUMIF('TL04'!$C$10:$C$224,$C8,'TL04'!$J$10:$J$224),0),
IF('TL04'!$B$229=P$3,SUMIF('TL04'!$C$238:$C$451,$C8,'TL04'!$J$238:$J$451),0),
IF('TL05'!$B$3=P$3,SUMIF('TL05'!$C$10:$C$224,$C8,'TL05'!$J$10:$J$224),0),
IF('TL05'!$B$229=P$3,SUMIF('TL05'!$C$238:$C$451,$C8,'TL05'!$J$238:$J$451),0),
IF('TL06'!$B$3=P$3,SUMIF('TL06'!$C$10:$C$224,$C8,'TL06'!$J$10:$J$224),0),
IF('TL06'!$B$229=P$3,SUMIF('TL06'!$C$238:$C$451,$C8,'TL06'!$J$238:$J$451),0),
IF('TL07'!$B$3=P$3,SUMIF('TL07'!$C$10:$C$224,$C8,'TL07'!$J$10:$J$224),0),
IF('TL07'!$B$229=P$3,SUMIF('TL07'!$C$238:$C$451,$C8,'TL07'!$J$238:$J$451),0),
IF('TL08'!$B$3=P$3,SUMIF('TL08'!$C$10:$C$224,$C8,'TL08'!$J$10:$J$224),0),
IF('TL08'!$B$229=P$3,SUMIF('TL08'!$C$238:$C$451,$C8,'TL08'!$J$238:$J$451),0),
IF('TL09'!$B$3=P$3,SUMIF('TL09'!$C$10:$C$224,$C8,'TL09'!$J$10:$J$224),0),
IF('TL09'!$B$229=P$3,SUMIF('TL09'!$C$238:$C$451,$C8,'TL09'!$J$238:$J$451),0),
IF('TL10'!$B$3=P$3,SUMIF('TL10'!$C$10:$C$224,$C8,'TL10'!$J$10:$J$224),0),
IF('TL10'!$B$229=P$3,SUMIF('TL10'!$C$238:$C$451,$C8,'TL10'!$J$238:$J$451),0),
IF('TL11'!$B$3=P$3,SUMIF('TL11'!$C$10:$C$224,$C8,'TL11'!$J$10:$J$224),0),
IF('TL11'!$B$229=P$3,SUMIF('TL11'!$C$238:$C$451,$C8,'TL11'!$J$238:$J$451),0),
IF('TL12'!$B$3=P$3,SUMIF('TL12'!$C$10:$C$224,$C8,'TL12'!$J$10:$J$224),0),
IF('TL12'!$B$229=P$3,SUMIF('TL12'!$C$238:$C$451,$C8,'TL12'!$J$238:$J$451),0),
IF('TL13'!$B$3=P$3,SUMIF('TL13'!$C$10:$C$224,$C8,'TL13'!$J$10:$J$224),0),
IF('TL13'!$B$229=P$3,SUMIF('TL13'!$C$238:$C$451,$C8,'TL13'!$J$238:$J$451),0),
IF('TL14'!$B$3=P$3,SUMIF('TL14'!$C$10:$C$224,$C8,'TL14'!$J$10:$J$224),0),
IF('TL14'!$B$229=P$3,SUMIF('TL14'!$C$238:$C$451,$C8,'TL14'!$J$238:$J$451),0),
IF('TL15'!$B$3=P$3,SUMIF('TL15'!$C$10:$C$224,$C8,'TL15'!$J$10:$J$224),0),
IF('TL15'!$B$229=P$3,SUMIF('TL15'!$C$238:$C$451,$C8,'TL15'!$J$238:$J$451),0),
IF('TL16'!$B$3=P$3,SUMIF('TL16'!$C$10:$C$224,$C8,'TL16'!$J$10:$J$224),0),
IF('TL16'!$B$229=P$3,SUMIF('TL16'!$C$238:$C$451,$C8,'TL16'!$J$238:$J$451),0),
IF('TL17'!$B$3=P$3,SUMIF('TL17'!$C$10:$C$224,$C8,'TL17'!$J$10:$J$224),0),
IF('TL17'!$B$229=P$3,SUMIF('TL17'!$C$238:$C$451,$C8,'TL17'!$J$238:$J$451),0),
IF('TL18'!$B$3=P$3,SUMIF('TL18'!$C$10:$C$224,$C8,'TL18'!$J$10:$J$224),0),
IF('TL18'!$B$229=P$3,SUMIF('TL18'!$C$238:$C$451,$C8,'TL18'!$J$238:$J$451),0),
IF('TL19'!$B$3=P$3,SUMIF('TL19'!$C$10:$C$224,$C8,'TL19'!$J$10:$J$224),0),
IF('TL19'!$B$229=P$3,SUMIF('TL19'!$C$238:$C$451,$C8,'TL19'!$J$238:$J$451),0)
),0)</f>
        <v>1013.6</v>
      </c>
      <c r="Q8" s="9">
        <f>IFERROR(SUM(
IF('TL01'!$B$3=Q$3,SUMIF('TL01'!$C$10:$C$224,$C8,'TL01'!$J$10:$J$224),0),
IF('TL01'!$B$229=Q$3,SUMIF('TL01'!$C$238:$C$451,$C8,'TL01'!$J$238:$J$451),0),
IF('TL02'!$B$3=Q$3,SUMIF('TL02'!$C$10:$C$224,$C8,'TL02'!$J$10:$J$224),0),
IF('TL02'!$B$229=Q$3,SUMIF('TL02'!$C$238:$C$451,$C8,'TL02'!$J$238:$J$451),0),
IF('TL03'!$B$3=Q$3,SUMIF('TL03'!$C$10:$C$224,$C8,'TL03'!$J$10:$J$224),0),
IF('TL03'!$B$229=Q$3,SUMIF('TL03'!$C$238:$C$451,$C8,'TL03'!$J$238:$J$451),0),
IF('TL04'!$B$3=Q$3,SUMIF('TL04'!$C$10:$C$224,$C8,'TL04'!$J$10:$J$224),0),
IF('TL04'!$B$229=Q$3,SUMIF('TL04'!$C$238:$C$451,$C8,'TL04'!$J$238:$J$451),0),
IF('TL05'!$B$3=Q$3,SUMIF('TL05'!$C$10:$C$224,$C8,'TL05'!$J$10:$J$224),0),
IF('TL05'!$B$229=Q$3,SUMIF('TL05'!$C$238:$C$451,$C8,'TL05'!$J$238:$J$451),0),
IF('TL06'!$B$3=Q$3,SUMIF('TL06'!$C$10:$C$224,$C8,'TL06'!$J$10:$J$224),0),
IF('TL06'!$B$229=Q$3,SUMIF('TL06'!$C$238:$C$451,$C8,'TL06'!$J$238:$J$451),0),
IF('TL07'!$B$3=Q$3,SUMIF('TL07'!$C$10:$C$224,$C8,'TL07'!$J$10:$J$224),0),
IF('TL07'!$B$229=Q$3,SUMIF('TL07'!$C$238:$C$451,$C8,'TL07'!$J$238:$J$451),0),
IF('TL08'!$B$3=Q$3,SUMIF('TL08'!$C$10:$C$224,$C8,'TL08'!$J$10:$J$224),0),
IF('TL08'!$B$229=Q$3,SUMIF('TL08'!$C$238:$C$451,$C8,'TL08'!$J$238:$J$451),0),
IF('TL09'!$B$3=Q$3,SUMIF('TL09'!$C$10:$C$224,$C8,'TL09'!$J$10:$J$224),0),
IF('TL09'!$B$229=Q$3,SUMIF('TL09'!$C$238:$C$451,$C8,'TL09'!$J$238:$J$451),0),
IF('TL10'!$B$3=Q$3,SUMIF('TL10'!$C$10:$C$224,$C8,'TL10'!$J$10:$J$224),0),
IF('TL10'!$B$229=Q$3,SUMIF('TL10'!$C$238:$C$451,$C8,'TL10'!$J$238:$J$451),0),
IF('TL11'!$B$3=Q$3,SUMIF('TL11'!$C$10:$C$224,$C8,'TL11'!$J$10:$J$224),0),
IF('TL11'!$B$229=Q$3,SUMIF('TL11'!$C$238:$C$451,$C8,'TL11'!$J$238:$J$451),0),
IF('TL12'!$B$3=Q$3,SUMIF('TL12'!$C$10:$C$224,$C8,'TL12'!$J$10:$J$224),0),
IF('TL12'!$B$229=Q$3,SUMIF('TL12'!$C$238:$C$451,$C8,'TL12'!$J$238:$J$451),0),
IF('TL13'!$B$3=Q$3,SUMIF('TL13'!$C$10:$C$224,$C8,'TL13'!$J$10:$J$224),0),
IF('TL13'!$B$229=Q$3,SUMIF('TL13'!$C$238:$C$451,$C8,'TL13'!$J$238:$J$451),0),
IF('TL14'!$B$3=Q$3,SUMIF('TL14'!$C$10:$C$224,$C8,'TL14'!$J$10:$J$224),0),
IF('TL14'!$B$229=Q$3,SUMIF('TL14'!$C$238:$C$451,$C8,'TL14'!$J$238:$J$451),0),
IF('TL15'!$B$3=Q$3,SUMIF('TL15'!$C$10:$C$224,$C8,'TL15'!$J$10:$J$224),0),
IF('TL15'!$B$229=Q$3,SUMIF('TL15'!$C$238:$C$451,$C8,'TL15'!$J$238:$J$451),0),
IF('TL16'!$B$3=Q$3,SUMIF('TL16'!$C$10:$C$224,$C8,'TL16'!$J$10:$J$224),0),
IF('TL16'!$B$229=Q$3,SUMIF('TL16'!$C$238:$C$451,$C8,'TL16'!$J$238:$J$451),0),
IF('TL17'!$B$3=Q$3,SUMIF('TL17'!$C$10:$C$224,$C8,'TL17'!$J$10:$J$224),0),
IF('TL17'!$B$229=Q$3,SUMIF('TL17'!$C$238:$C$451,$C8,'TL17'!$J$238:$J$451),0),
IF('TL18'!$B$3=Q$3,SUMIF('TL18'!$C$10:$C$224,$C8,'TL18'!$J$10:$J$224),0),
IF('TL18'!$B$229=Q$3,SUMIF('TL18'!$C$238:$C$451,$C8,'TL18'!$J$238:$J$451),0),
IF('TL19'!$B$3=Q$3,SUMIF('TL19'!$C$10:$C$224,$C8,'TL19'!$J$10:$J$224),0),
IF('TL19'!$B$229=Q$3,SUMIF('TL19'!$C$238:$C$451,$C8,'TL19'!$J$238:$J$451),0)
),0)</f>
        <v>448</v>
      </c>
      <c r="R8" s="9">
        <f>IFERROR(
SUM(
SUMIF('TL01'!C:C,C8,'TL01'!J:J),
SUMIF('TL02'!C:C,C8,'TL02'!J:J),
SUMIF('TL03'!C:C,C8,'TL03'!J:J),
SUMIF('TL04'!C:C,C8,'TL04'!J:J),
SUMIF('TL05'!C:C,C8,'TL05'!J:J),
SUMIF('TL06'!C:C,C8,'TL06'!J:J),
SUMIF('TL07'!C:C,C8,'TL07'!J:J),
SUMIF('TL08'!C:C,C8,'TL08'!J:J),
SUMIF('TL09'!C:C,C8,'TL09'!J:J),
SUMIF('TL10'!C:C,C8,'TL10'!J:J),
SUMIF('TL11'!C:C,C8,'TL11'!J:J),
SUMIF('TL12'!C:C,C8,'TL12'!J:J),
SUMIF('TL13'!C:C,C8,'TL13'!J:J),
SUMIF('TL14'!C:C,C8,'TL14'!J:J),
SUMIF('TL15'!C:C,C8,'TL15'!J:J),
SUMIF('TL16'!C:C,C8,'TL16'!J:J),
SUMIF('TL17'!C:C,C8,'TL17'!J:J),
SUMIF('TL18'!C:C,C8,'TL18'!J:J),SUMIF('TL19'!C:C,C8,'TL19'!J:J))
,0)</f>
        <v>3112.8</v>
      </c>
      <c r="S8" s="17">
        <f>IFERROR(__xludf.DUMMYFUNCTION("IFERROR(VLOOKUP(C8,
IMPORTRANGE(""1wULbzX32WdYsx-lj2U3uUNBBe2INVIRDtcK0d-Dvl90"",
""26-27!C:G""),
5,
FALSE),
"""")"),16.03)</f>
        <v>16.03</v>
      </c>
      <c r="T8" s="9"/>
      <c r="U8" s="92">
        <f t="shared" si="2"/>
        <v>3112.8</v>
      </c>
      <c r="V8" s="93">
        <f t="shared" si="3"/>
        <v>49898.184</v>
      </c>
    </row>
    <row r="9" ht="22.5" hidden="1" customHeight="1">
      <c r="A9" s="94" t="s">
        <v>356</v>
      </c>
      <c r="B9" s="95" t="s">
        <v>6</v>
      </c>
      <c r="C9" s="96" t="s">
        <v>357</v>
      </c>
      <c r="D9" s="96" t="s">
        <v>342</v>
      </c>
      <c r="E9" s="96">
        <v>660.0</v>
      </c>
      <c r="F9" s="4" t="s">
        <v>343</v>
      </c>
      <c r="G9" s="90" t="str">
        <f t="shared" si="1"/>
        <v>📄 Ver bula</v>
      </c>
      <c r="H9" s="9">
        <f>IFERROR(__xludf.DUMMYFUNCTION("IFERROR(VLOOKUP(C9,
IMPORTRANGE(""1wULbzX32WdYsx-lj2U3uUNBBe2INVIRDtcK0d-Dvl90"",
""26-27!C:K""),
8,
FALSE),
"""")"),0.2)</f>
        <v>0.2</v>
      </c>
      <c r="I9" s="97" t="s">
        <v>344</v>
      </c>
      <c r="J9" s="9">
        <f>IFERROR(SUM(
IF('TL01'!$B$3=J$3,SUMIF('TL01'!$C$10:$C$224,$C9,'TL01'!$J$10:$J$224),0),
IF('TL01'!$B$229=J$3,SUMIF('TL01'!$C$238:$C$451,$C9,'TL01'!$J$238:$J$451),0),
IF('TL02'!$B$3=J$3,SUMIF('TL02'!$C$10:$C$224,$C9,'TL02'!$J$10:$J$224),0),
IF('TL02'!$B$229=J$3,SUMIF('TL02'!$C$238:$C$451,$C9,'TL02'!$J$238:$J$451),0),
IF('TL03'!$B$3=J$3,SUMIF('TL03'!$C$10:$C$224,$C9,'TL03'!$J$10:$J$224),0),
IF('TL03'!$B$229=J$3,SUMIF('TL03'!$C$238:$C$451,$C9,'TL03'!$J$238:$J$451),0),
IF('TL04'!$B$3=J$3,SUMIF('TL04'!$C$10:$C$224,$C9,'TL04'!$J$10:$J$224),0),
IF('TL04'!$B$229=J$3,SUMIF('TL04'!$C$238:$C$451,$C9,'TL04'!$J$238:$J$451),0),
IF('TL05'!$B$3=J$3,SUMIF('TL05'!$C$10:$C$224,$C9,'TL05'!$J$10:$J$224),0),
IF('TL05'!$B$229=J$3,SUMIF('TL05'!$C$238:$C$451,$C9,'TL05'!$J$238:$J$451),0),
IF('TL06'!$B$3=J$3,SUMIF('TL06'!$C$10:$C$224,$C9,'TL06'!$J$10:$J$224),0),
IF('TL06'!$B$229=J$3,SUMIF('TL06'!$C$238:$C$451,$C9,'TL06'!$J$238:$J$451),0),
IF('TL07'!$B$3=J$3,SUMIF('TL07'!$C$10:$C$224,$C9,'TL07'!$J$10:$J$224),0),
IF('TL07'!$B$229=J$3,SUMIF('TL07'!$C$238:$C$451,$C9,'TL07'!$J$238:$J$451),0),
IF('TL08'!$B$3=J$3,SUMIF('TL08'!$C$10:$C$224,$C9,'TL08'!$J$10:$J$224),0),
IF('TL08'!$B$229=J$3,SUMIF('TL08'!$C$238:$C$451,$C9,'TL08'!$J$238:$J$451),0),
IF('TL09'!$B$3=J$3,SUMIF('TL09'!$C$10:$C$224,$C9,'TL09'!$J$10:$J$224),0),
IF('TL09'!$B$229=J$3,SUMIF('TL09'!$C$238:$C$451,$C9,'TL09'!$J$238:$J$451),0),
IF('TL10'!$B$3=J$3,SUMIF('TL10'!$C$10:$C$224,$C9,'TL10'!$J$10:$J$224),0),
IF('TL10'!$B$229=J$3,SUMIF('TL10'!$C$238:$C$451,$C9,'TL10'!$J$238:$J$451),0),
IF('TL11'!$B$3=J$3,SUMIF('TL11'!$C$10:$C$224,$C9,'TL11'!$J$10:$J$224),0),
IF('TL11'!$B$229=J$3,SUMIF('TL11'!$C$238:$C$451,$C9,'TL11'!$J$238:$J$451),0),
IF('TL12'!$B$3=J$3,SUMIF('TL12'!$C$10:$C$224,$C9,'TL12'!$J$10:$J$224),0),
IF('TL12'!$B$229=J$3,SUMIF('TL12'!$C$238:$C$451,$C9,'TL12'!$J$238:$J$451),0),
IF('TL13'!$B$3=J$3,SUMIF('TL13'!$C$10:$C$224,$C9,'TL13'!$J$10:$J$224),0),
IF('TL13'!$B$229=J$3,SUMIF('TL13'!$C$238:$C$451,$C9,'TL13'!$J$238:$J$451),0),
IF('TL14'!$B$3=J$3,SUMIF('TL14'!$C$10:$C$224,$C9,'TL14'!$J$10:$J$224),0),
IF('TL14'!$B$229=J$3,SUMIF('TL14'!$C$238:$C$451,$C9,'TL14'!$J$238:$J$451),0),
IF('TL15'!$B$3=J$3,SUMIF('TL15'!$C$10:$C$224,$C9,'TL15'!$J$10:$J$224),0),
IF('TL15'!$B$229=J$3,SUMIF('TL15'!$C$238:$C$451,$C9,'TL15'!$J$238:$J$451),0),
IF('TL16'!$B$3=J$3,SUMIF('TL16'!$C$10:$C$224,$C9,'TL16'!$J$10:$J$224),0),
IF('TL16'!$B$229=J$3,SUMIF('TL16'!$C$238:$C$451,$C9,'TL16'!$J$238:$J$451),0),
IF('TL17'!$B$3=J$3,SUMIF('TL17'!$C$10:$C$224,$C9,'TL17'!$J$10:$J$224),0),
IF('TL17'!$B$229=J$3,SUMIF('TL17'!$C$238:$C$451,$C9,'TL17'!$J$238:$J$451),0),
IF('TL18'!$B$3=J$3,SUMIF('TL18'!$C$10:$C$224,$C9,'TL18'!$J$10:$J$224),0),
IF('TL18'!$B$229=J$3,SUMIF('TL18'!$C$238:$C$451,$C9,'TL18'!$J$238:$J$451),0),
IF('TL19'!$B$3=J$3,SUMIF('TL19'!$C$10:$C$224,$C9,'TL19'!$J$10:$J$224),0),
IF('TL19'!$B$229=J$3,SUMIF('TL19'!$C$238:$C$451,$C9,'TL19'!$J$238:$J$451),0)
),0)</f>
        <v>0</v>
      </c>
      <c r="K9" s="9">
        <f>IFERROR(SUM(
IF('TL01'!$B$3=K$3,SUMIF('TL01'!$C$10:$C$224,$C9,'TL01'!$J$10:$J$224),0),
IF('TL01'!$B$229=K$3,SUMIF('TL01'!$C$238:$C$451,$C9,'TL01'!$J$238:$J$451),0),
IF('TL02'!$B$3=K$3,SUMIF('TL02'!$C$10:$C$224,$C9,'TL02'!$J$10:$J$224),0),
IF('TL02'!$B$229=K$3,SUMIF('TL02'!$C$238:$C$451,$C9,'TL02'!$J$238:$J$451),0),
IF('TL03'!$B$3=K$3,SUMIF('TL03'!$C$10:$C$224,$C9,'TL03'!$J$10:$J$224),0),
IF('TL03'!$B$229=K$3,SUMIF('TL03'!$C$238:$C$451,$C9,'TL03'!$J$238:$J$451),0),
IF('TL04'!$B$3=K$3,SUMIF('TL04'!$C$10:$C$224,$C9,'TL04'!$J$10:$J$224),0),
IF('TL04'!$B$229=K$3,SUMIF('TL04'!$C$238:$C$451,$C9,'TL04'!$J$238:$J$451),0),
IF('TL05'!$B$3=K$3,SUMIF('TL05'!$C$10:$C$224,$C9,'TL05'!$J$10:$J$224),0),
IF('TL05'!$B$229=K$3,SUMIF('TL05'!$C$238:$C$451,$C9,'TL05'!$J$238:$J$451),0),
IF('TL06'!$B$3=K$3,SUMIF('TL06'!$C$10:$C$224,$C9,'TL06'!$J$10:$J$224),0),
IF('TL06'!$B$229=K$3,SUMIF('TL06'!$C$238:$C$451,$C9,'TL06'!$J$238:$J$451),0),
IF('TL07'!$B$3=K$3,SUMIF('TL07'!$C$10:$C$224,$C9,'TL07'!$J$10:$J$224),0),
IF('TL07'!$B$229=K$3,SUMIF('TL07'!$C$238:$C$451,$C9,'TL07'!$J$238:$J$451),0),
IF('TL08'!$B$3=K$3,SUMIF('TL08'!$C$10:$C$224,$C9,'TL08'!$J$10:$J$224),0),
IF('TL08'!$B$229=K$3,SUMIF('TL08'!$C$238:$C$451,$C9,'TL08'!$J$238:$J$451),0),
IF('TL09'!$B$3=K$3,SUMIF('TL09'!$C$10:$C$224,$C9,'TL09'!$J$10:$J$224),0),
IF('TL09'!$B$229=K$3,SUMIF('TL09'!$C$238:$C$451,$C9,'TL09'!$J$238:$J$451),0),
IF('TL10'!$B$3=K$3,SUMIF('TL10'!$C$10:$C$224,$C9,'TL10'!$J$10:$J$224),0),
IF('TL10'!$B$229=K$3,SUMIF('TL10'!$C$238:$C$451,$C9,'TL10'!$J$238:$J$451),0),
IF('TL11'!$B$3=K$3,SUMIF('TL11'!$C$10:$C$224,$C9,'TL11'!$J$10:$J$224),0),
IF('TL11'!$B$229=K$3,SUMIF('TL11'!$C$238:$C$451,$C9,'TL11'!$J$238:$J$451),0),
IF('TL12'!$B$3=K$3,SUMIF('TL12'!$C$10:$C$224,$C9,'TL12'!$J$10:$J$224),0),
IF('TL12'!$B$229=K$3,SUMIF('TL12'!$C$238:$C$451,$C9,'TL12'!$J$238:$J$451),0),
IF('TL13'!$B$3=K$3,SUMIF('TL13'!$C$10:$C$224,$C9,'TL13'!$J$10:$J$224),0),
IF('TL13'!$B$229=K$3,SUMIF('TL13'!$C$238:$C$451,$C9,'TL13'!$J$238:$J$451),0),
IF('TL14'!$B$3=K$3,SUMIF('TL14'!$C$10:$C$224,$C9,'TL14'!$J$10:$J$224),0),
IF('TL14'!$B$229=K$3,SUMIF('TL14'!$C$238:$C$451,$C9,'TL14'!$J$238:$J$451),0),
IF('TL15'!$B$3=K$3,SUMIF('TL15'!$C$10:$C$224,$C9,'TL15'!$J$10:$J$224),0),
IF('TL15'!$B$229=K$3,SUMIF('TL15'!$C$238:$C$451,$C9,'TL15'!$J$238:$J$451),0),
IF('TL16'!$B$3=K$3,SUMIF('TL16'!$C$10:$C$224,$C9,'TL16'!$J$10:$J$224),0),
IF('TL16'!$B$229=K$3,SUMIF('TL16'!$C$238:$C$451,$C9,'TL16'!$J$238:$J$451),0),
IF('TL17'!$B$3=K$3,SUMIF('TL17'!$C$10:$C$224,$C9,'TL17'!$J$10:$J$224),0),
IF('TL17'!$B$229=K$3,SUMIF('TL17'!$C$238:$C$451,$C9,'TL17'!$J$238:$J$451),0),
IF('TL18'!$B$3=K$3,SUMIF('TL18'!$C$10:$C$224,$C9,'TL18'!$J$10:$J$224),0),
IF('TL18'!$B$229=K$3,SUMIF('TL18'!$C$238:$C$451,$C9,'TL18'!$J$238:$J$451),0),
IF('TL19'!$B$3=K$3,SUMIF('TL19'!$C$10:$C$224,$C9,'TL19'!$J$10:$J$224),0),
IF('TL19'!$B$229=K$3,SUMIF('TL19'!$C$238:$C$451,$C9,'TL19'!$J$238:$J$451),0)
),0)</f>
        <v>0</v>
      </c>
      <c r="L9" s="9">
        <f>IFERROR(SUM(
IF('TL01'!$B$3=L$3,SUMIF('TL01'!$C$10:$C$224,$C9,'TL01'!$J$10:$J$224),0),
IF('TL01'!$B$229=L$3,SUMIF('TL01'!$C$238:$C$451,$C9,'TL01'!$J$238:$J$451),0),
IF('TL02'!$B$3=L$3,SUMIF('TL02'!$C$10:$C$224,$C9,'TL02'!$J$10:$J$224),0),
IF('TL02'!$B$229=L$3,SUMIF('TL02'!$C$238:$C$451,$C9,'TL02'!$J$238:$J$451),0),
IF('TL03'!$B$3=L$3,SUMIF('TL03'!$C$10:$C$224,$C9,'TL03'!$J$10:$J$224),0),
IF('TL03'!$B$229=L$3,SUMIF('TL03'!$C$238:$C$451,$C9,'TL03'!$J$238:$J$451),0),
IF('TL04'!$B$3=L$3,SUMIF('TL04'!$C$10:$C$224,$C9,'TL04'!$J$10:$J$224),0),
IF('TL04'!$B$229=L$3,SUMIF('TL04'!$C$238:$C$451,$C9,'TL04'!$J$238:$J$451),0),
IF('TL05'!$B$3=L$3,SUMIF('TL05'!$C$10:$C$224,$C9,'TL05'!$J$10:$J$224),0),
IF('TL05'!$B$229=L$3,SUMIF('TL05'!$C$238:$C$451,$C9,'TL05'!$J$238:$J$451),0),
IF('TL06'!$B$3=L$3,SUMIF('TL06'!$C$10:$C$224,$C9,'TL06'!$J$10:$J$224),0),
IF('TL06'!$B$229=L$3,SUMIF('TL06'!$C$238:$C$451,$C9,'TL06'!$J$238:$J$451),0),
IF('TL07'!$B$3=L$3,SUMIF('TL07'!$C$10:$C$224,$C9,'TL07'!$J$10:$J$224),0),
IF('TL07'!$B$229=L$3,SUMIF('TL07'!$C$238:$C$451,$C9,'TL07'!$J$238:$J$451),0),
IF('TL08'!$B$3=L$3,SUMIF('TL08'!$C$10:$C$224,$C9,'TL08'!$J$10:$J$224),0),
IF('TL08'!$B$229=L$3,SUMIF('TL08'!$C$238:$C$451,$C9,'TL08'!$J$238:$J$451),0),
IF('TL09'!$B$3=L$3,SUMIF('TL09'!$C$10:$C$224,$C9,'TL09'!$J$10:$J$224),0),
IF('TL09'!$B$229=L$3,SUMIF('TL09'!$C$238:$C$451,$C9,'TL09'!$J$238:$J$451),0),
IF('TL10'!$B$3=L$3,SUMIF('TL10'!$C$10:$C$224,$C9,'TL10'!$J$10:$J$224),0),
IF('TL10'!$B$229=L$3,SUMIF('TL10'!$C$238:$C$451,$C9,'TL10'!$J$238:$J$451),0),
IF('TL11'!$B$3=L$3,SUMIF('TL11'!$C$10:$C$224,$C9,'TL11'!$J$10:$J$224),0),
IF('TL11'!$B$229=L$3,SUMIF('TL11'!$C$238:$C$451,$C9,'TL11'!$J$238:$J$451),0),
IF('TL12'!$B$3=L$3,SUMIF('TL12'!$C$10:$C$224,$C9,'TL12'!$J$10:$J$224),0),
IF('TL12'!$B$229=L$3,SUMIF('TL12'!$C$238:$C$451,$C9,'TL12'!$J$238:$J$451),0),
IF('TL13'!$B$3=L$3,SUMIF('TL13'!$C$10:$C$224,$C9,'TL13'!$J$10:$J$224),0),
IF('TL13'!$B$229=L$3,SUMIF('TL13'!$C$238:$C$451,$C9,'TL13'!$J$238:$J$451),0),
IF('TL14'!$B$3=L$3,SUMIF('TL14'!$C$10:$C$224,$C9,'TL14'!$J$10:$J$224),0),
IF('TL14'!$B$229=L$3,SUMIF('TL14'!$C$238:$C$451,$C9,'TL14'!$J$238:$J$451),0),
IF('TL15'!$B$3=L$3,SUMIF('TL15'!$C$10:$C$224,$C9,'TL15'!$J$10:$J$224),0),
IF('TL15'!$B$229=L$3,SUMIF('TL15'!$C$238:$C$451,$C9,'TL15'!$J$238:$J$451),0),
IF('TL16'!$B$3=L$3,SUMIF('TL16'!$C$10:$C$224,$C9,'TL16'!$J$10:$J$224),0),
IF('TL16'!$B$229=L$3,SUMIF('TL16'!$C$238:$C$451,$C9,'TL16'!$J$238:$J$451),0),
IF('TL17'!$B$3=L$3,SUMIF('TL17'!$C$10:$C$224,$C9,'TL17'!$J$10:$J$224),0),
IF('TL17'!$B$229=L$3,SUMIF('TL17'!$C$238:$C$451,$C9,'TL17'!$J$238:$J$451),0),
IF('TL18'!$B$3=L$3,SUMIF('TL18'!$C$10:$C$224,$C9,'TL18'!$J$10:$J$224),0),
IF('TL18'!$B$229=L$3,SUMIF('TL18'!$C$238:$C$451,$C9,'TL18'!$J$238:$J$451),0),
IF('TL19'!$B$3=L$3,SUMIF('TL19'!$C$10:$C$224,$C9,'TL19'!$J$10:$J$224),0),
IF('TL19'!$B$229=L$3,SUMIF('TL19'!$C$238:$C$451,$C9,'TL19'!$J$238:$J$451),0)
),0)</f>
        <v>0</v>
      </c>
      <c r="M9" s="9">
        <f>IFERROR(SUM(
IF('TL01'!$B$3=M$3,SUMIF('TL01'!$C$10:$C$224,$C9,'TL01'!$J$10:$J$224),0),
IF('TL01'!$B$229=M$3,SUMIF('TL01'!$C$238:$C$451,$C9,'TL01'!$J$238:$J$451),0),
IF('TL02'!$B$3=M$3,SUMIF('TL02'!$C$10:$C$224,$C9,'TL02'!$J$10:$J$224),0),
IF('TL02'!$B$229=M$3,SUMIF('TL02'!$C$238:$C$451,$C9,'TL02'!$J$238:$J$451),0),
IF('TL03'!$B$3=M$3,SUMIF('TL03'!$C$10:$C$224,$C9,'TL03'!$J$10:$J$224),0),
IF('TL03'!$B$229=M$3,SUMIF('TL03'!$C$238:$C$451,$C9,'TL03'!$J$238:$J$451),0),
IF('TL04'!$B$3=M$3,SUMIF('TL04'!$C$10:$C$224,$C9,'TL04'!$J$10:$J$224),0),
IF('TL04'!$B$229=M$3,SUMIF('TL04'!$C$238:$C$451,$C9,'TL04'!$J$238:$J$451),0),
IF('TL05'!$B$3=M$3,SUMIF('TL05'!$C$10:$C$224,$C9,'TL05'!$J$10:$J$224),0),
IF('TL05'!$B$229=M$3,SUMIF('TL05'!$C$238:$C$451,$C9,'TL05'!$J$238:$J$451),0),
IF('TL06'!$B$3=M$3,SUMIF('TL06'!$C$10:$C$224,$C9,'TL06'!$J$10:$J$224),0),
IF('TL06'!$B$229=M$3,SUMIF('TL06'!$C$238:$C$451,$C9,'TL06'!$J$238:$J$451),0),
IF('TL07'!$B$3=M$3,SUMIF('TL07'!$C$10:$C$224,$C9,'TL07'!$J$10:$J$224),0),
IF('TL07'!$B$229=M$3,SUMIF('TL07'!$C$238:$C$451,$C9,'TL07'!$J$238:$J$451),0),
IF('TL08'!$B$3=M$3,SUMIF('TL08'!$C$10:$C$224,$C9,'TL08'!$J$10:$J$224),0),
IF('TL08'!$B$229=M$3,SUMIF('TL08'!$C$238:$C$451,$C9,'TL08'!$J$238:$J$451),0),
IF('TL09'!$B$3=M$3,SUMIF('TL09'!$C$10:$C$224,$C9,'TL09'!$J$10:$J$224),0),
IF('TL09'!$B$229=M$3,SUMIF('TL09'!$C$238:$C$451,$C9,'TL09'!$J$238:$J$451),0),
IF('TL10'!$B$3=M$3,SUMIF('TL10'!$C$10:$C$224,$C9,'TL10'!$J$10:$J$224),0),
IF('TL10'!$B$229=M$3,SUMIF('TL10'!$C$238:$C$451,$C9,'TL10'!$J$238:$J$451),0),
IF('TL11'!$B$3=M$3,SUMIF('TL11'!$C$10:$C$224,$C9,'TL11'!$J$10:$J$224),0),
IF('TL11'!$B$229=M$3,SUMIF('TL11'!$C$238:$C$451,$C9,'TL11'!$J$238:$J$451),0),
IF('TL12'!$B$3=M$3,SUMIF('TL12'!$C$10:$C$224,$C9,'TL12'!$J$10:$J$224),0),
IF('TL12'!$B$229=M$3,SUMIF('TL12'!$C$238:$C$451,$C9,'TL12'!$J$238:$J$451),0),
IF('TL13'!$B$3=M$3,SUMIF('TL13'!$C$10:$C$224,$C9,'TL13'!$J$10:$J$224),0),
IF('TL13'!$B$229=M$3,SUMIF('TL13'!$C$238:$C$451,$C9,'TL13'!$J$238:$J$451),0),
IF('TL14'!$B$3=M$3,SUMIF('TL14'!$C$10:$C$224,$C9,'TL14'!$J$10:$J$224),0),
IF('TL14'!$B$229=M$3,SUMIF('TL14'!$C$238:$C$451,$C9,'TL14'!$J$238:$J$451),0),
IF('TL15'!$B$3=M$3,SUMIF('TL15'!$C$10:$C$224,$C9,'TL15'!$J$10:$J$224),0),
IF('TL15'!$B$229=M$3,SUMIF('TL15'!$C$238:$C$451,$C9,'TL15'!$J$238:$J$451),0),
IF('TL16'!$B$3=M$3,SUMIF('TL16'!$C$10:$C$224,$C9,'TL16'!$J$10:$J$224),0),
IF('TL16'!$B$229=M$3,SUMIF('TL16'!$C$238:$C$451,$C9,'TL16'!$J$238:$J$451),0),
IF('TL17'!$B$3=M$3,SUMIF('TL17'!$C$10:$C$224,$C9,'TL17'!$J$10:$J$224),0),
IF('TL17'!$B$229=M$3,SUMIF('TL17'!$C$238:$C$451,$C9,'TL17'!$J$238:$J$451),0),
IF('TL18'!$B$3=M$3,SUMIF('TL18'!$C$10:$C$224,$C9,'TL18'!$J$10:$J$224),0),
IF('TL18'!$B$229=M$3,SUMIF('TL18'!$C$238:$C$451,$C9,'TL18'!$J$238:$J$451),0),
IF('TL19'!$B$3=M$3,SUMIF('TL19'!$C$10:$C$224,$C9,'TL19'!$J$10:$J$224),0),
IF('TL19'!$B$229=M$3,SUMIF('TL19'!$C$238:$C$451,$C9,'TL19'!$J$238:$J$451),0)
),0)</f>
        <v>0</v>
      </c>
      <c r="N9" s="9">
        <f>IFERROR(SUM(
IF('TL01'!$B$3=N$3,SUMIF('TL01'!$C$10:$C$224,$C9,'TL01'!$J$10:$J$224),0),
IF('TL01'!$B$229=N$3,SUMIF('TL01'!$C$238:$C$451,$C9,'TL01'!$J$238:$J$451),0),
IF('TL02'!$B$3=N$3,SUMIF('TL02'!$C$10:$C$224,$C9,'TL02'!$J$10:$J$224),0),
IF('TL02'!$B$229=N$3,SUMIF('TL02'!$C$238:$C$451,$C9,'TL02'!$J$238:$J$451),0),
IF('TL03'!$B$3=N$3,SUMIF('TL03'!$C$10:$C$224,$C9,'TL03'!$J$10:$J$224),0),
IF('TL03'!$B$229=N$3,SUMIF('TL03'!$C$238:$C$451,$C9,'TL03'!$J$238:$J$451),0),
IF('TL04'!$B$3=N$3,SUMIF('TL04'!$C$10:$C$224,$C9,'TL04'!$J$10:$J$224),0),
IF('TL04'!$B$229=N$3,SUMIF('TL04'!$C$238:$C$451,$C9,'TL04'!$J$238:$J$451),0),
IF('TL05'!$B$3=N$3,SUMIF('TL05'!$C$10:$C$224,$C9,'TL05'!$J$10:$J$224),0),
IF('TL05'!$B$229=N$3,SUMIF('TL05'!$C$238:$C$451,$C9,'TL05'!$J$238:$J$451),0),
IF('TL06'!$B$3=N$3,SUMIF('TL06'!$C$10:$C$224,$C9,'TL06'!$J$10:$J$224),0),
IF('TL06'!$B$229=N$3,SUMIF('TL06'!$C$238:$C$451,$C9,'TL06'!$J$238:$J$451),0),
IF('TL07'!$B$3=N$3,SUMIF('TL07'!$C$10:$C$224,$C9,'TL07'!$J$10:$J$224),0),
IF('TL07'!$B$229=N$3,SUMIF('TL07'!$C$238:$C$451,$C9,'TL07'!$J$238:$J$451),0),
IF('TL08'!$B$3=N$3,SUMIF('TL08'!$C$10:$C$224,$C9,'TL08'!$J$10:$J$224),0),
IF('TL08'!$B$229=N$3,SUMIF('TL08'!$C$238:$C$451,$C9,'TL08'!$J$238:$J$451),0),
IF('TL09'!$B$3=N$3,SUMIF('TL09'!$C$10:$C$224,$C9,'TL09'!$J$10:$J$224),0),
IF('TL09'!$B$229=N$3,SUMIF('TL09'!$C$238:$C$451,$C9,'TL09'!$J$238:$J$451),0),
IF('TL10'!$B$3=N$3,SUMIF('TL10'!$C$10:$C$224,$C9,'TL10'!$J$10:$J$224),0),
IF('TL10'!$B$229=N$3,SUMIF('TL10'!$C$238:$C$451,$C9,'TL10'!$J$238:$J$451),0),
IF('TL11'!$B$3=N$3,SUMIF('TL11'!$C$10:$C$224,$C9,'TL11'!$J$10:$J$224),0),
IF('TL11'!$B$229=N$3,SUMIF('TL11'!$C$238:$C$451,$C9,'TL11'!$J$238:$J$451),0),
IF('TL12'!$B$3=N$3,SUMIF('TL12'!$C$10:$C$224,$C9,'TL12'!$J$10:$J$224),0),
IF('TL12'!$B$229=N$3,SUMIF('TL12'!$C$238:$C$451,$C9,'TL12'!$J$238:$J$451),0),
IF('TL13'!$B$3=N$3,SUMIF('TL13'!$C$10:$C$224,$C9,'TL13'!$J$10:$J$224),0),
IF('TL13'!$B$229=N$3,SUMIF('TL13'!$C$238:$C$451,$C9,'TL13'!$J$238:$J$451),0),
IF('TL14'!$B$3=N$3,SUMIF('TL14'!$C$10:$C$224,$C9,'TL14'!$J$10:$J$224),0),
IF('TL14'!$B$229=N$3,SUMIF('TL14'!$C$238:$C$451,$C9,'TL14'!$J$238:$J$451),0),
IF('TL15'!$B$3=N$3,SUMIF('TL15'!$C$10:$C$224,$C9,'TL15'!$J$10:$J$224),0),
IF('TL15'!$B$229=N$3,SUMIF('TL15'!$C$238:$C$451,$C9,'TL15'!$J$238:$J$451),0),
IF('TL16'!$B$3=N$3,SUMIF('TL16'!$C$10:$C$224,$C9,'TL16'!$J$10:$J$224),0),
IF('TL16'!$B$229=N$3,SUMIF('TL16'!$C$238:$C$451,$C9,'TL16'!$J$238:$J$451),0),
IF('TL17'!$B$3=N$3,SUMIF('TL17'!$C$10:$C$224,$C9,'TL17'!$J$10:$J$224),0),
IF('TL17'!$B$229=N$3,SUMIF('TL17'!$C$238:$C$451,$C9,'TL17'!$J$238:$J$451),0),
IF('TL18'!$B$3=N$3,SUMIF('TL18'!$C$10:$C$224,$C9,'TL18'!$J$10:$J$224),0),
IF('TL18'!$B$229=N$3,SUMIF('TL18'!$C$238:$C$451,$C9,'TL18'!$J$238:$J$451),0),
IF('TL19'!$B$3=N$3,SUMIF('TL19'!$C$10:$C$224,$C9,'TL19'!$J$10:$J$224),0),
IF('TL19'!$B$229=N$3,SUMIF('TL19'!$C$238:$C$451,$C9,'TL19'!$J$238:$J$451),0)
),0)</f>
        <v>0</v>
      </c>
      <c r="O9" s="9">
        <f>IFERROR(SUM(
IF('TL01'!$B$3=O$3,SUMIF('TL01'!$C$10:$C$224,$C9,'TL01'!$J$10:$J$224),0),
IF('TL01'!$B$229=O$3,SUMIF('TL01'!$C$238:$C$451,$C9,'TL01'!$J$238:$J$451),0),
IF('TL02'!$B$3=O$3,SUMIF('TL02'!$C$10:$C$224,$C9,'TL02'!$J$10:$J$224),0),
IF('TL02'!$B$229=O$3,SUMIF('TL02'!$C$238:$C$451,$C9,'TL02'!$J$238:$J$451),0),
IF('TL03'!$B$3=O$3,SUMIF('TL03'!$C$10:$C$224,$C9,'TL03'!$J$10:$J$224),0),
IF('TL03'!$B$229=O$3,SUMIF('TL03'!$C$238:$C$451,$C9,'TL03'!$J$238:$J$451),0),
IF('TL04'!$B$3=O$3,SUMIF('TL04'!$C$10:$C$224,$C9,'TL04'!$J$10:$J$224),0),
IF('TL04'!$B$229=O$3,SUMIF('TL04'!$C$238:$C$451,$C9,'TL04'!$J$238:$J$451),0),
IF('TL05'!$B$3=O$3,SUMIF('TL05'!$C$10:$C$224,$C9,'TL05'!$J$10:$J$224),0),
IF('TL05'!$B$229=O$3,SUMIF('TL05'!$C$238:$C$451,$C9,'TL05'!$J$238:$J$451),0),
IF('TL06'!$B$3=O$3,SUMIF('TL06'!$C$10:$C$224,$C9,'TL06'!$J$10:$J$224),0),
IF('TL06'!$B$229=O$3,SUMIF('TL06'!$C$238:$C$451,$C9,'TL06'!$J$238:$J$451),0),
IF('TL07'!$B$3=O$3,SUMIF('TL07'!$C$10:$C$224,$C9,'TL07'!$J$10:$J$224),0),
IF('TL07'!$B$229=O$3,SUMIF('TL07'!$C$238:$C$451,$C9,'TL07'!$J$238:$J$451),0),
IF('TL08'!$B$3=O$3,SUMIF('TL08'!$C$10:$C$224,$C9,'TL08'!$J$10:$J$224),0),
IF('TL08'!$B$229=O$3,SUMIF('TL08'!$C$238:$C$451,$C9,'TL08'!$J$238:$J$451),0),
IF('TL09'!$B$3=O$3,SUMIF('TL09'!$C$10:$C$224,$C9,'TL09'!$J$10:$J$224),0),
IF('TL09'!$B$229=O$3,SUMIF('TL09'!$C$238:$C$451,$C9,'TL09'!$J$238:$J$451),0),
IF('TL10'!$B$3=O$3,SUMIF('TL10'!$C$10:$C$224,$C9,'TL10'!$J$10:$J$224),0),
IF('TL10'!$B$229=O$3,SUMIF('TL10'!$C$238:$C$451,$C9,'TL10'!$J$238:$J$451),0),
IF('TL11'!$B$3=O$3,SUMIF('TL11'!$C$10:$C$224,$C9,'TL11'!$J$10:$J$224),0),
IF('TL11'!$B$229=O$3,SUMIF('TL11'!$C$238:$C$451,$C9,'TL11'!$J$238:$J$451),0),
IF('TL12'!$B$3=O$3,SUMIF('TL12'!$C$10:$C$224,$C9,'TL12'!$J$10:$J$224),0),
IF('TL12'!$B$229=O$3,SUMIF('TL12'!$C$238:$C$451,$C9,'TL12'!$J$238:$J$451),0),
IF('TL13'!$B$3=O$3,SUMIF('TL13'!$C$10:$C$224,$C9,'TL13'!$J$10:$J$224),0),
IF('TL13'!$B$229=O$3,SUMIF('TL13'!$C$238:$C$451,$C9,'TL13'!$J$238:$J$451),0),
IF('TL14'!$B$3=O$3,SUMIF('TL14'!$C$10:$C$224,$C9,'TL14'!$J$10:$J$224),0),
IF('TL14'!$B$229=O$3,SUMIF('TL14'!$C$238:$C$451,$C9,'TL14'!$J$238:$J$451),0),
IF('TL15'!$B$3=O$3,SUMIF('TL15'!$C$10:$C$224,$C9,'TL15'!$J$10:$J$224),0),
IF('TL15'!$B$229=O$3,SUMIF('TL15'!$C$238:$C$451,$C9,'TL15'!$J$238:$J$451),0),
IF('TL16'!$B$3=O$3,SUMIF('TL16'!$C$10:$C$224,$C9,'TL16'!$J$10:$J$224),0),
IF('TL16'!$B$229=O$3,SUMIF('TL16'!$C$238:$C$451,$C9,'TL16'!$J$238:$J$451),0),
IF('TL17'!$B$3=O$3,SUMIF('TL17'!$C$10:$C$224,$C9,'TL17'!$J$10:$J$224),0),
IF('TL17'!$B$229=O$3,SUMIF('TL17'!$C$238:$C$451,$C9,'TL17'!$J$238:$J$451),0),
IF('TL18'!$B$3=O$3,SUMIF('TL18'!$C$10:$C$224,$C9,'TL18'!$J$10:$J$224),0),
IF('TL18'!$B$229=O$3,SUMIF('TL18'!$C$238:$C$451,$C9,'TL18'!$J$238:$J$451),0),
IF('TL19'!$B$3=O$3,SUMIF('TL19'!$C$10:$C$224,$C9,'TL19'!$J$10:$J$224),0),
IF('TL19'!$B$229=O$3,SUMIF('TL19'!$C$238:$C$451,$C9,'TL19'!$J$238:$J$451),0)
),0)</f>
        <v>0</v>
      </c>
      <c r="P9" s="9">
        <f>IFERROR(SUM(
IF('TL01'!$B$3=P$3,SUMIF('TL01'!$C$10:$C$224,$C9,'TL01'!$J$10:$J$224),0),
IF('TL01'!$B$229=P$3,SUMIF('TL01'!$C$238:$C$451,$C9,'TL01'!$J$238:$J$451),0),
IF('TL02'!$B$3=P$3,SUMIF('TL02'!$C$10:$C$224,$C9,'TL02'!$J$10:$J$224),0),
IF('TL02'!$B$229=P$3,SUMIF('TL02'!$C$238:$C$451,$C9,'TL02'!$J$238:$J$451),0),
IF('TL03'!$B$3=P$3,SUMIF('TL03'!$C$10:$C$224,$C9,'TL03'!$J$10:$J$224),0),
IF('TL03'!$B$229=P$3,SUMIF('TL03'!$C$238:$C$451,$C9,'TL03'!$J$238:$J$451),0),
IF('TL04'!$B$3=P$3,SUMIF('TL04'!$C$10:$C$224,$C9,'TL04'!$J$10:$J$224),0),
IF('TL04'!$B$229=P$3,SUMIF('TL04'!$C$238:$C$451,$C9,'TL04'!$J$238:$J$451),0),
IF('TL05'!$B$3=P$3,SUMIF('TL05'!$C$10:$C$224,$C9,'TL05'!$J$10:$J$224),0),
IF('TL05'!$B$229=P$3,SUMIF('TL05'!$C$238:$C$451,$C9,'TL05'!$J$238:$J$451),0),
IF('TL06'!$B$3=P$3,SUMIF('TL06'!$C$10:$C$224,$C9,'TL06'!$J$10:$J$224),0),
IF('TL06'!$B$229=P$3,SUMIF('TL06'!$C$238:$C$451,$C9,'TL06'!$J$238:$J$451),0),
IF('TL07'!$B$3=P$3,SUMIF('TL07'!$C$10:$C$224,$C9,'TL07'!$J$10:$J$224),0),
IF('TL07'!$B$229=P$3,SUMIF('TL07'!$C$238:$C$451,$C9,'TL07'!$J$238:$J$451),0),
IF('TL08'!$B$3=P$3,SUMIF('TL08'!$C$10:$C$224,$C9,'TL08'!$J$10:$J$224),0),
IF('TL08'!$B$229=P$3,SUMIF('TL08'!$C$238:$C$451,$C9,'TL08'!$J$238:$J$451),0),
IF('TL09'!$B$3=P$3,SUMIF('TL09'!$C$10:$C$224,$C9,'TL09'!$J$10:$J$224),0),
IF('TL09'!$B$229=P$3,SUMIF('TL09'!$C$238:$C$451,$C9,'TL09'!$J$238:$J$451),0),
IF('TL10'!$B$3=P$3,SUMIF('TL10'!$C$10:$C$224,$C9,'TL10'!$J$10:$J$224),0),
IF('TL10'!$B$229=P$3,SUMIF('TL10'!$C$238:$C$451,$C9,'TL10'!$J$238:$J$451),0),
IF('TL11'!$B$3=P$3,SUMIF('TL11'!$C$10:$C$224,$C9,'TL11'!$J$10:$J$224),0),
IF('TL11'!$B$229=P$3,SUMIF('TL11'!$C$238:$C$451,$C9,'TL11'!$J$238:$J$451),0),
IF('TL12'!$B$3=P$3,SUMIF('TL12'!$C$10:$C$224,$C9,'TL12'!$J$10:$J$224),0),
IF('TL12'!$B$229=P$3,SUMIF('TL12'!$C$238:$C$451,$C9,'TL12'!$J$238:$J$451),0),
IF('TL13'!$B$3=P$3,SUMIF('TL13'!$C$10:$C$224,$C9,'TL13'!$J$10:$J$224),0),
IF('TL13'!$B$229=P$3,SUMIF('TL13'!$C$238:$C$451,$C9,'TL13'!$J$238:$J$451),0),
IF('TL14'!$B$3=P$3,SUMIF('TL14'!$C$10:$C$224,$C9,'TL14'!$J$10:$J$224),0),
IF('TL14'!$B$229=P$3,SUMIF('TL14'!$C$238:$C$451,$C9,'TL14'!$J$238:$J$451),0),
IF('TL15'!$B$3=P$3,SUMIF('TL15'!$C$10:$C$224,$C9,'TL15'!$J$10:$J$224),0),
IF('TL15'!$B$229=P$3,SUMIF('TL15'!$C$238:$C$451,$C9,'TL15'!$J$238:$J$451),0),
IF('TL16'!$B$3=P$3,SUMIF('TL16'!$C$10:$C$224,$C9,'TL16'!$J$10:$J$224),0),
IF('TL16'!$B$229=P$3,SUMIF('TL16'!$C$238:$C$451,$C9,'TL16'!$J$238:$J$451),0),
IF('TL17'!$B$3=P$3,SUMIF('TL17'!$C$10:$C$224,$C9,'TL17'!$J$10:$J$224),0),
IF('TL17'!$B$229=P$3,SUMIF('TL17'!$C$238:$C$451,$C9,'TL17'!$J$238:$J$451),0),
IF('TL18'!$B$3=P$3,SUMIF('TL18'!$C$10:$C$224,$C9,'TL18'!$J$10:$J$224),0),
IF('TL18'!$B$229=P$3,SUMIF('TL18'!$C$238:$C$451,$C9,'TL18'!$J$238:$J$451),0),
IF('TL19'!$B$3=P$3,SUMIF('TL19'!$C$10:$C$224,$C9,'TL19'!$J$10:$J$224),0),
IF('TL19'!$B$229=P$3,SUMIF('TL19'!$C$238:$C$451,$C9,'TL19'!$J$238:$J$451),0)
),0)</f>
        <v>0</v>
      </c>
      <c r="Q9" s="9">
        <f>IFERROR(SUM(
IF('TL01'!$B$3=Q$3,SUMIF('TL01'!$C$10:$C$224,$C9,'TL01'!$J$10:$J$224),0),
IF('TL01'!$B$229=Q$3,SUMIF('TL01'!$C$238:$C$451,$C9,'TL01'!$J$238:$J$451),0),
IF('TL02'!$B$3=Q$3,SUMIF('TL02'!$C$10:$C$224,$C9,'TL02'!$J$10:$J$224),0),
IF('TL02'!$B$229=Q$3,SUMIF('TL02'!$C$238:$C$451,$C9,'TL02'!$J$238:$J$451),0),
IF('TL03'!$B$3=Q$3,SUMIF('TL03'!$C$10:$C$224,$C9,'TL03'!$J$10:$J$224),0),
IF('TL03'!$B$229=Q$3,SUMIF('TL03'!$C$238:$C$451,$C9,'TL03'!$J$238:$J$451),0),
IF('TL04'!$B$3=Q$3,SUMIF('TL04'!$C$10:$C$224,$C9,'TL04'!$J$10:$J$224),0),
IF('TL04'!$B$229=Q$3,SUMIF('TL04'!$C$238:$C$451,$C9,'TL04'!$J$238:$J$451),0),
IF('TL05'!$B$3=Q$3,SUMIF('TL05'!$C$10:$C$224,$C9,'TL05'!$J$10:$J$224),0),
IF('TL05'!$B$229=Q$3,SUMIF('TL05'!$C$238:$C$451,$C9,'TL05'!$J$238:$J$451),0),
IF('TL06'!$B$3=Q$3,SUMIF('TL06'!$C$10:$C$224,$C9,'TL06'!$J$10:$J$224),0),
IF('TL06'!$B$229=Q$3,SUMIF('TL06'!$C$238:$C$451,$C9,'TL06'!$J$238:$J$451),0),
IF('TL07'!$B$3=Q$3,SUMIF('TL07'!$C$10:$C$224,$C9,'TL07'!$J$10:$J$224),0),
IF('TL07'!$B$229=Q$3,SUMIF('TL07'!$C$238:$C$451,$C9,'TL07'!$J$238:$J$451),0),
IF('TL08'!$B$3=Q$3,SUMIF('TL08'!$C$10:$C$224,$C9,'TL08'!$J$10:$J$224),0),
IF('TL08'!$B$229=Q$3,SUMIF('TL08'!$C$238:$C$451,$C9,'TL08'!$J$238:$J$451),0),
IF('TL09'!$B$3=Q$3,SUMIF('TL09'!$C$10:$C$224,$C9,'TL09'!$J$10:$J$224),0),
IF('TL09'!$B$229=Q$3,SUMIF('TL09'!$C$238:$C$451,$C9,'TL09'!$J$238:$J$451),0),
IF('TL10'!$B$3=Q$3,SUMIF('TL10'!$C$10:$C$224,$C9,'TL10'!$J$10:$J$224),0),
IF('TL10'!$B$229=Q$3,SUMIF('TL10'!$C$238:$C$451,$C9,'TL10'!$J$238:$J$451),0),
IF('TL11'!$B$3=Q$3,SUMIF('TL11'!$C$10:$C$224,$C9,'TL11'!$J$10:$J$224),0),
IF('TL11'!$B$229=Q$3,SUMIF('TL11'!$C$238:$C$451,$C9,'TL11'!$J$238:$J$451),0),
IF('TL12'!$B$3=Q$3,SUMIF('TL12'!$C$10:$C$224,$C9,'TL12'!$J$10:$J$224),0),
IF('TL12'!$B$229=Q$3,SUMIF('TL12'!$C$238:$C$451,$C9,'TL12'!$J$238:$J$451),0),
IF('TL13'!$B$3=Q$3,SUMIF('TL13'!$C$10:$C$224,$C9,'TL13'!$J$10:$J$224),0),
IF('TL13'!$B$229=Q$3,SUMIF('TL13'!$C$238:$C$451,$C9,'TL13'!$J$238:$J$451),0),
IF('TL14'!$B$3=Q$3,SUMIF('TL14'!$C$10:$C$224,$C9,'TL14'!$J$10:$J$224),0),
IF('TL14'!$B$229=Q$3,SUMIF('TL14'!$C$238:$C$451,$C9,'TL14'!$J$238:$J$451),0),
IF('TL15'!$B$3=Q$3,SUMIF('TL15'!$C$10:$C$224,$C9,'TL15'!$J$10:$J$224),0),
IF('TL15'!$B$229=Q$3,SUMIF('TL15'!$C$238:$C$451,$C9,'TL15'!$J$238:$J$451),0),
IF('TL16'!$B$3=Q$3,SUMIF('TL16'!$C$10:$C$224,$C9,'TL16'!$J$10:$J$224),0),
IF('TL16'!$B$229=Q$3,SUMIF('TL16'!$C$238:$C$451,$C9,'TL16'!$J$238:$J$451),0),
IF('TL17'!$B$3=Q$3,SUMIF('TL17'!$C$10:$C$224,$C9,'TL17'!$J$10:$J$224),0),
IF('TL17'!$B$229=Q$3,SUMIF('TL17'!$C$238:$C$451,$C9,'TL17'!$J$238:$J$451),0),
IF('TL18'!$B$3=Q$3,SUMIF('TL18'!$C$10:$C$224,$C9,'TL18'!$J$10:$J$224),0),
IF('TL18'!$B$229=Q$3,SUMIF('TL18'!$C$238:$C$451,$C9,'TL18'!$J$238:$J$451),0),
IF('TL19'!$B$3=Q$3,SUMIF('TL19'!$C$10:$C$224,$C9,'TL19'!$J$10:$J$224),0),
IF('TL19'!$B$229=Q$3,SUMIF('TL19'!$C$238:$C$451,$C9,'TL19'!$J$238:$J$451),0)
),0)</f>
        <v>0</v>
      </c>
      <c r="R9" s="9">
        <f>IFERROR(
SUM(
SUMIF('TL01'!C:C,C9,'TL01'!J:J),
SUMIF('TL02'!C:C,C9,'TL02'!J:J),
SUMIF('TL03'!C:C,C9,'TL03'!J:J),
SUMIF('TL04'!C:C,C9,'TL04'!J:J),
SUMIF('TL05'!C:C,C9,'TL05'!J:J),
SUMIF('TL06'!C:C,C9,'TL06'!J:J),
SUMIF('TL07'!C:C,C9,'TL07'!J:J),
SUMIF('TL08'!C:C,C9,'TL08'!J:J),
SUMIF('TL09'!C:C,C9,'TL09'!J:J),
SUMIF('TL10'!C:C,C9,'TL10'!J:J),
SUMIF('TL11'!C:C,C9,'TL11'!J:J),
SUMIF('TL12'!C:C,C9,'TL12'!J:J),
SUMIF('TL13'!C:C,C9,'TL13'!J:J),
SUMIF('TL14'!C:C,C9,'TL14'!J:J),
SUMIF('TL15'!C:C,C9,'TL15'!J:J),
SUMIF('TL16'!C:C,C9,'TL16'!J:J),
SUMIF('TL17'!C:C,C9,'TL17'!J:J),
SUMIF('TL18'!C:C,C9,'TL18'!J:J),SUMIF('TL19'!C:C,C9,'TL19'!J:J))
,0)</f>
        <v>0</v>
      </c>
      <c r="S9" s="17">
        <f>IFERROR(__xludf.DUMMYFUNCTION("IFERROR(VLOOKUP(C9,
IMPORTRANGE(""1wULbzX32WdYsx-lj2U3uUNBBe2INVIRDtcK0d-Dvl90"",
""26-27!C:G""),
5,
FALSE),
"""")"),13.57741)</f>
        <v>13.57741</v>
      </c>
      <c r="T9" s="9"/>
      <c r="U9" s="92">
        <f t="shared" si="2"/>
        <v>0</v>
      </c>
      <c r="V9" s="93">
        <f t="shared" si="3"/>
        <v>0</v>
      </c>
    </row>
    <row r="10" ht="22.5" hidden="1" customHeight="1">
      <c r="A10" s="87" t="s">
        <v>358</v>
      </c>
      <c r="B10" s="88" t="s">
        <v>6</v>
      </c>
      <c r="C10" s="89" t="s">
        <v>359</v>
      </c>
      <c r="D10" s="89" t="s">
        <v>360</v>
      </c>
      <c r="E10" s="89">
        <v>226.0</v>
      </c>
      <c r="F10" s="4" t="s">
        <v>343</v>
      </c>
      <c r="G10" s="90" t="str">
        <f t="shared" si="1"/>
        <v>📄 Ver bula</v>
      </c>
      <c r="H10" s="9">
        <f>IFERROR(__xludf.DUMMYFUNCTION("IFERROR(VLOOKUP(C10,
IMPORTRANGE(""1wULbzX32WdYsx-lj2U3uUNBBe2INVIRDtcK0d-Dvl90"",
""26-27!C:K""),
8,
FALSE),
"""")"),0.03)</f>
        <v>0.03</v>
      </c>
      <c r="I10" s="91" t="s">
        <v>361</v>
      </c>
      <c r="J10" s="9">
        <f>IFERROR(SUM(
IF('TL01'!$B$3=J$3,SUMIF('TL01'!$C$10:$C$224,$C10,'TL01'!$J$10:$J$224),0),
IF('TL01'!$B$229=J$3,SUMIF('TL01'!$C$238:$C$451,$C10,'TL01'!$J$238:$J$451),0),
IF('TL02'!$B$3=J$3,SUMIF('TL02'!$C$10:$C$224,$C10,'TL02'!$J$10:$J$224),0),
IF('TL02'!$B$229=J$3,SUMIF('TL02'!$C$238:$C$451,$C10,'TL02'!$J$238:$J$451),0),
IF('TL03'!$B$3=J$3,SUMIF('TL03'!$C$10:$C$224,$C10,'TL03'!$J$10:$J$224),0),
IF('TL03'!$B$229=J$3,SUMIF('TL03'!$C$238:$C$451,$C10,'TL03'!$J$238:$J$451),0),
IF('TL04'!$B$3=J$3,SUMIF('TL04'!$C$10:$C$224,$C10,'TL04'!$J$10:$J$224),0),
IF('TL04'!$B$229=J$3,SUMIF('TL04'!$C$238:$C$451,$C10,'TL04'!$J$238:$J$451),0),
IF('TL05'!$B$3=J$3,SUMIF('TL05'!$C$10:$C$224,$C10,'TL05'!$J$10:$J$224),0),
IF('TL05'!$B$229=J$3,SUMIF('TL05'!$C$238:$C$451,$C10,'TL05'!$J$238:$J$451),0),
IF('TL06'!$B$3=J$3,SUMIF('TL06'!$C$10:$C$224,$C10,'TL06'!$J$10:$J$224),0),
IF('TL06'!$B$229=J$3,SUMIF('TL06'!$C$238:$C$451,$C10,'TL06'!$J$238:$J$451),0),
IF('TL07'!$B$3=J$3,SUMIF('TL07'!$C$10:$C$224,$C10,'TL07'!$J$10:$J$224),0),
IF('TL07'!$B$229=J$3,SUMIF('TL07'!$C$238:$C$451,$C10,'TL07'!$J$238:$J$451),0),
IF('TL08'!$B$3=J$3,SUMIF('TL08'!$C$10:$C$224,$C10,'TL08'!$J$10:$J$224),0),
IF('TL08'!$B$229=J$3,SUMIF('TL08'!$C$238:$C$451,$C10,'TL08'!$J$238:$J$451),0),
IF('TL09'!$B$3=J$3,SUMIF('TL09'!$C$10:$C$224,$C10,'TL09'!$J$10:$J$224),0),
IF('TL09'!$B$229=J$3,SUMIF('TL09'!$C$238:$C$451,$C10,'TL09'!$J$238:$J$451),0),
IF('TL10'!$B$3=J$3,SUMIF('TL10'!$C$10:$C$224,$C10,'TL10'!$J$10:$J$224),0),
IF('TL10'!$B$229=J$3,SUMIF('TL10'!$C$238:$C$451,$C10,'TL10'!$J$238:$J$451),0),
IF('TL11'!$B$3=J$3,SUMIF('TL11'!$C$10:$C$224,$C10,'TL11'!$J$10:$J$224),0),
IF('TL11'!$B$229=J$3,SUMIF('TL11'!$C$238:$C$451,$C10,'TL11'!$J$238:$J$451),0),
IF('TL12'!$B$3=J$3,SUMIF('TL12'!$C$10:$C$224,$C10,'TL12'!$J$10:$J$224),0),
IF('TL12'!$B$229=J$3,SUMIF('TL12'!$C$238:$C$451,$C10,'TL12'!$J$238:$J$451),0),
IF('TL13'!$B$3=J$3,SUMIF('TL13'!$C$10:$C$224,$C10,'TL13'!$J$10:$J$224),0),
IF('TL13'!$B$229=J$3,SUMIF('TL13'!$C$238:$C$451,$C10,'TL13'!$J$238:$J$451),0),
IF('TL14'!$B$3=J$3,SUMIF('TL14'!$C$10:$C$224,$C10,'TL14'!$J$10:$J$224),0),
IF('TL14'!$B$229=J$3,SUMIF('TL14'!$C$238:$C$451,$C10,'TL14'!$J$238:$J$451),0),
IF('TL15'!$B$3=J$3,SUMIF('TL15'!$C$10:$C$224,$C10,'TL15'!$J$10:$J$224),0),
IF('TL15'!$B$229=J$3,SUMIF('TL15'!$C$238:$C$451,$C10,'TL15'!$J$238:$J$451),0),
IF('TL16'!$B$3=J$3,SUMIF('TL16'!$C$10:$C$224,$C10,'TL16'!$J$10:$J$224),0),
IF('TL16'!$B$229=J$3,SUMIF('TL16'!$C$238:$C$451,$C10,'TL16'!$J$238:$J$451),0),
IF('TL17'!$B$3=J$3,SUMIF('TL17'!$C$10:$C$224,$C10,'TL17'!$J$10:$J$224),0),
IF('TL17'!$B$229=J$3,SUMIF('TL17'!$C$238:$C$451,$C10,'TL17'!$J$238:$J$451),0),
IF('TL18'!$B$3=J$3,SUMIF('TL18'!$C$10:$C$224,$C10,'TL18'!$J$10:$J$224),0),
IF('TL18'!$B$229=J$3,SUMIF('TL18'!$C$238:$C$451,$C10,'TL18'!$J$238:$J$451),0),
IF('TL19'!$B$3=J$3,SUMIF('TL19'!$C$10:$C$224,$C10,'TL19'!$J$10:$J$224),0),
IF('TL19'!$B$229=J$3,SUMIF('TL19'!$C$238:$C$451,$C10,'TL19'!$J$238:$J$451),0)
),0)</f>
        <v>0</v>
      </c>
      <c r="K10" s="9">
        <f>IFERROR(SUM(
IF('TL01'!$B$3=K$3,SUMIF('TL01'!$C$10:$C$224,$C10,'TL01'!$J$10:$J$224),0),
IF('TL01'!$B$229=K$3,SUMIF('TL01'!$C$238:$C$451,$C10,'TL01'!$J$238:$J$451),0),
IF('TL02'!$B$3=K$3,SUMIF('TL02'!$C$10:$C$224,$C10,'TL02'!$J$10:$J$224),0),
IF('TL02'!$B$229=K$3,SUMIF('TL02'!$C$238:$C$451,$C10,'TL02'!$J$238:$J$451),0),
IF('TL03'!$B$3=K$3,SUMIF('TL03'!$C$10:$C$224,$C10,'TL03'!$J$10:$J$224),0),
IF('TL03'!$B$229=K$3,SUMIF('TL03'!$C$238:$C$451,$C10,'TL03'!$J$238:$J$451),0),
IF('TL04'!$B$3=K$3,SUMIF('TL04'!$C$10:$C$224,$C10,'TL04'!$J$10:$J$224),0),
IF('TL04'!$B$229=K$3,SUMIF('TL04'!$C$238:$C$451,$C10,'TL04'!$J$238:$J$451),0),
IF('TL05'!$B$3=K$3,SUMIF('TL05'!$C$10:$C$224,$C10,'TL05'!$J$10:$J$224),0),
IF('TL05'!$B$229=K$3,SUMIF('TL05'!$C$238:$C$451,$C10,'TL05'!$J$238:$J$451),0),
IF('TL06'!$B$3=K$3,SUMIF('TL06'!$C$10:$C$224,$C10,'TL06'!$J$10:$J$224),0),
IF('TL06'!$B$229=K$3,SUMIF('TL06'!$C$238:$C$451,$C10,'TL06'!$J$238:$J$451),0),
IF('TL07'!$B$3=K$3,SUMIF('TL07'!$C$10:$C$224,$C10,'TL07'!$J$10:$J$224),0),
IF('TL07'!$B$229=K$3,SUMIF('TL07'!$C$238:$C$451,$C10,'TL07'!$J$238:$J$451),0),
IF('TL08'!$B$3=K$3,SUMIF('TL08'!$C$10:$C$224,$C10,'TL08'!$J$10:$J$224),0),
IF('TL08'!$B$229=K$3,SUMIF('TL08'!$C$238:$C$451,$C10,'TL08'!$J$238:$J$451),0),
IF('TL09'!$B$3=K$3,SUMIF('TL09'!$C$10:$C$224,$C10,'TL09'!$J$10:$J$224),0),
IF('TL09'!$B$229=K$3,SUMIF('TL09'!$C$238:$C$451,$C10,'TL09'!$J$238:$J$451),0),
IF('TL10'!$B$3=K$3,SUMIF('TL10'!$C$10:$C$224,$C10,'TL10'!$J$10:$J$224),0),
IF('TL10'!$B$229=K$3,SUMIF('TL10'!$C$238:$C$451,$C10,'TL10'!$J$238:$J$451),0),
IF('TL11'!$B$3=K$3,SUMIF('TL11'!$C$10:$C$224,$C10,'TL11'!$J$10:$J$224),0),
IF('TL11'!$B$229=K$3,SUMIF('TL11'!$C$238:$C$451,$C10,'TL11'!$J$238:$J$451),0),
IF('TL12'!$B$3=K$3,SUMIF('TL12'!$C$10:$C$224,$C10,'TL12'!$J$10:$J$224),0),
IF('TL12'!$B$229=K$3,SUMIF('TL12'!$C$238:$C$451,$C10,'TL12'!$J$238:$J$451),0),
IF('TL13'!$B$3=K$3,SUMIF('TL13'!$C$10:$C$224,$C10,'TL13'!$J$10:$J$224),0),
IF('TL13'!$B$229=K$3,SUMIF('TL13'!$C$238:$C$451,$C10,'TL13'!$J$238:$J$451),0),
IF('TL14'!$B$3=K$3,SUMIF('TL14'!$C$10:$C$224,$C10,'TL14'!$J$10:$J$224),0),
IF('TL14'!$B$229=K$3,SUMIF('TL14'!$C$238:$C$451,$C10,'TL14'!$J$238:$J$451),0),
IF('TL15'!$B$3=K$3,SUMIF('TL15'!$C$10:$C$224,$C10,'TL15'!$J$10:$J$224),0),
IF('TL15'!$B$229=K$3,SUMIF('TL15'!$C$238:$C$451,$C10,'TL15'!$J$238:$J$451),0),
IF('TL16'!$B$3=K$3,SUMIF('TL16'!$C$10:$C$224,$C10,'TL16'!$J$10:$J$224),0),
IF('TL16'!$B$229=K$3,SUMIF('TL16'!$C$238:$C$451,$C10,'TL16'!$J$238:$J$451),0),
IF('TL17'!$B$3=K$3,SUMIF('TL17'!$C$10:$C$224,$C10,'TL17'!$J$10:$J$224),0),
IF('TL17'!$B$229=K$3,SUMIF('TL17'!$C$238:$C$451,$C10,'TL17'!$J$238:$J$451),0),
IF('TL18'!$B$3=K$3,SUMIF('TL18'!$C$10:$C$224,$C10,'TL18'!$J$10:$J$224),0),
IF('TL18'!$B$229=K$3,SUMIF('TL18'!$C$238:$C$451,$C10,'TL18'!$J$238:$J$451),0),
IF('TL19'!$B$3=K$3,SUMIF('TL19'!$C$10:$C$224,$C10,'TL19'!$J$10:$J$224),0),
IF('TL19'!$B$229=K$3,SUMIF('TL19'!$C$238:$C$451,$C10,'TL19'!$J$238:$J$451),0)
),0)</f>
        <v>0</v>
      </c>
      <c r="L10" s="9">
        <f>IFERROR(SUM(
IF('TL01'!$B$3=L$3,SUMIF('TL01'!$C$10:$C$224,$C10,'TL01'!$J$10:$J$224),0),
IF('TL01'!$B$229=L$3,SUMIF('TL01'!$C$238:$C$451,$C10,'TL01'!$J$238:$J$451),0),
IF('TL02'!$B$3=L$3,SUMIF('TL02'!$C$10:$C$224,$C10,'TL02'!$J$10:$J$224),0),
IF('TL02'!$B$229=L$3,SUMIF('TL02'!$C$238:$C$451,$C10,'TL02'!$J$238:$J$451),0),
IF('TL03'!$B$3=L$3,SUMIF('TL03'!$C$10:$C$224,$C10,'TL03'!$J$10:$J$224),0),
IF('TL03'!$B$229=L$3,SUMIF('TL03'!$C$238:$C$451,$C10,'TL03'!$J$238:$J$451),0),
IF('TL04'!$B$3=L$3,SUMIF('TL04'!$C$10:$C$224,$C10,'TL04'!$J$10:$J$224),0),
IF('TL04'!$B$229=L$3,SUMIF('TL04'!$C$238:$C$451,$C10,'TL04'!$J$238:$J$451),0),
IF('TL05'!$B$3=L$3,SUMIF('TL05'!$C$10:$C$224,$C10,'TL05'!$J$10:$J$224),0),
IF('TL05'!$B$229=L$3,SUMIF('TL05'!$C$238:$C$451,$C10,'TL05'!$J$238:$J$451),0),
IF('TL06'!$B$3=L$3,SUMIF('TL06'!$C$10:$C$224,$C10,'TL06'!$J$10:$J$224),0),
IF('TL06'!$B$229=L$3,SUMIF('TL06'!$C$238:$C$451,$C10,'TL06'!$J$238:$J$451),0),
IF('TL07'!$B$3=L$3,SUMIF('TL07'!$C$10:$C$224,$C10,'TL07'!$J$10:$J$224),0),
IF('TL07'!$B$229=L$3,SUMIF('TL07'!$C$238:$C$451,$C10,'TL07'!$J$238:$J$451),0),
IF('TL08'!$B$3=L$3,SUMIF('TL08'!$C$10:$C$224,$C10,'TL08'!$J$10:$J$224),0),
IF('TL08'!$B$229=L$3,SUMIF('TL08'!$C$238:$C$451,$C10,'TL08'!$J$238:$J$451),0),
IF('TL09'!$B$3=L$3,SUMIF('TL09'!$C$10:$C$224,$C10,'TL09'!$J$10:$J$224),0),
IF('TL09'!$B$229=L$3,SUMIF('TL09'!$C$238:$C$451,$C10,'TL09'!$J$238:$J$451),0),
IF('TL10'!$B$3=L$3,SUMIF('TL10'!$C$10:$C$224,$C10,'TL10'!$J$10:$J$224),0),
IF('TL10'!$B$229=L$3,SUMIF('TL10'!$C$238:$C$451,$C10,'TL10'!$J$238:$J$451),0),
IF('TL11'!$B$3=L$3,SUMIF('TL11'!$C$10:$C$224,$C10,'TL11'!$J$10:$J$224),0),
IF('TL11'!$B$229=L$3,SUMIF('TL11'!$C$238:$C$451,$C10,'TL11'!$J$238:$J$451),0),
IF('TL12'!$B$3=L$3,SUMIF('TL12'!$C$10:$C$224,$C10,'TL12'!$J$10:$J$224),0),
IF('TL12'!$B$229=L$3,SUMIF('TL12'!$C$238:$C$451,$C10,'TL12'!$J$238:$J$451),0),
IF('TL13'!$B$3=L$3,SUMIF('TL13'!$C$10:$C$224,$C10,'TL13'!$J$10:$J$224),0),
IF('TL13'!$B$229=L$3,SUMIF('TL13'!$C$238:$C$451,$C10,'TL13'!$J$238:$J$451),0),
IF('TL14'!$B$3=L$3,SUMIF('TL14'!$C$10:$C$224,$C10,'TL14'!$J$10:$J$224),0),
IF('TL14'!$B$229=L$3,SUMIF('TL14'!$C$238:$C$451,$C10,'TL14'!$J$238:$J$451),0),
IF('TL15'!$B$3=L$3,SUMIF('TL15'!$C$10:$C$224,$C10,'TL15'!$J$10:$J$224),0),
IF('TL15'!$B$229=L$3,SUMIF('TL15'!$C$238:$C$451,$C10,'TL15'!$J$238:$J$451),0),
IF('TL16'!$B$3=L$3,SUMIF('TL16'!$C$10:$C$224,$C10,'TL16'!$J$10:$J$224),0),
IF('TL16'!$B$229=L$3,SUMIF('TL16'!$C$238:$C$451,$C10,'TL16'!$J$238:$J$451),0),
IF('TL17'!$B$3=L$3,SUMIF('TL17'!$C$10:$C$224,$C10,'TL17'!$J$10:$J$224),0),
IF('TL17'!$B$229=L$3,SUMIF('TL17'!$C$238:$C$451,$C10,'TL17'!$J$238:$J$451),0),
IF('TL18'!$B$3=L$3,SUMIF('TL18'!$C$10:$C$224,$C10,'TL18'!$J$10:$J$224),0),
IF('TL18'!$B$229=L$3,SUMIF('TL18'!$C$238:$C$451,$C10,'TL18'!$J$238:$J$451),0),
IF('TL19'!$B$3=L$3,SUMIF('TL19'!$C$10:$C$224,$C10,'TL19'!$J$10:$J$224),0),
IF('TL19'!$B$229=L$3,SUMIF('TL19'!$C$238:$C$451,$C10,'TL19'!$J$238:$J$451),0)
),0)</f>
        <v>0</v>
      </c>
      <c r="M10" s="9">
        <f>IFERROR(SUM(
IF('TL01'!$B$3=M$3,SUMIF('TL01'!$C$10:$C$224,$C10,'TL01'!$J$10:$J$224),0),
IF('TL01'!$B$229=M$3,SUMIF('TL01'!$C$238:$C$451,$C10,'TL01'!$J$238:$J$451),0),
IF('TL02'!$B$3=M$3,SUMIF('TL02'!$C$10:$C$224,$C10,'TL02'!$J$10:$J$224),0),
IF('TL02'!$B$229=M$3,SUMIF('TL02'!$C$238:$C$451,$C10,'TL02'!$J$238:$J$451),0),
IF('TL03'!$B$3=M$3,SUMIF('TL03'!$C$10:$C$224,$C10,'TL03'!$J$10:$J$224),0),
IF('TL03'!$B$229=M$3,SUMIF('TL03'!$C$238:$C$451,$C10,'TL03'!$J$238:$J$451),0),
IF('TL04'!$B$3=M$3,SUMIF('TL04'!$C$10:$C$224,$C10,'TL04'!$J$10:$J$224),0),
IF('TL04'!$B$229=M$3,SUMIF('TL04'!$C$238:$C$451,$C10,'TL04'!$J$238:$J$451),0),
IF('TL05'!$B$3=M$3,SUMIF('TL05'!$C$10:$C$224,$C10,'TL05'!$J$10:$J$224),0),
IF('TL05'!$B$229=M$3,SUMIF('TL05'!$C$238:$C$451,$C10,'TL05'!$J$238:$J$451),0),
IF('TL06'!$B$3=M$3,SUMIF('TL06'!$C$10:$C$224,$C10,'TL06'!$J$10:$J$224),0),
IF('TL06'!$B$229=M$3,SUMIF('TL06'!$C$238:$C$451,$C10,'TL06'!$J$238:$J$451),0),
IF('TL07'!$B$3=M$3,SUMIF('TL07'!$C$10:$C$224,$C10,'TL07'!$J$10:$J$224),0),
IF('TL07'!$B$229=M$3,SUMIF('TL07'!$C$238:$C$451,$C10,'TL07'!$J$238:$J$451),0),
IF('TL08'!$B$3=M$3,SUMIF('TL08'!$C$10:$C$224,$C10,'TL08'!$J$10:$J$224),0),
IF('TL08'!$B$229=M$3,SUMIF('TL08'!$C$238:$C$451,$C10,'TL08'!$J$238:$J$451),0),
IF('TL09'!$B$3=M$3,SUMIF('TL09'!$C$10:$C$224,$C10,'TL09'!$J$10:$J$224),0),
IF('TL09'!$B$229=M$3,SUMIF('TL09'!$C$238:$C$451,$C10,'TL09'!$J$238:$J$451),0),
IF('TL10'!$B$3=M$3,SUMIF('TL10'!$C$10:$C$224,$C10,'TL10'!$J$10:$J$224),0),
IF('TL10'!$B$229=M$3,SUMIF('TL10'!$C$238:$C$451,$C10,'TL10'!$J$238:$J$451),0),
IF('TL11'!$B$3=M$3,SUMIF('TL11'!$C$10:$C$224,$C10,'TL11'!$J$10:$J$224),0),
IF('TL11'!$B$229=M$3,SUMIF('TL11'!$C$238:$C$451,$C10,'TL11'!$J$238:$J$451),0),
IF('TL12'!$B$3=M$3,SUMIF('TL12'!$C$10:$C$224,$C10,'TL12'!$J$10:$J$224),0),
IF('TL12'!$B$229=M$3,SUMIF('TL12'!$C$238:$C$451,$C10,'TL12'!$J$238:$J$451),0),
IF('TL13'!$B$3=M$3,SUMIF('TL13'!$C$10:$C$224,$C10,'TL13'!$J$10:$J$224),0),
IF('TL13'!$B$229=M$3,SUMIF('TL13'!$C$238:$C$451,$C10,'TL13'!$J$238:$J$451),0),
IF('TL14'!$B$3=M$3,SUMIF('TL14'!$C$10:$C$224,$C10,'TL14'!$J$10:$J$224),0),
IF('TL14'!$B$229=M$3,SUMIF('TL14'!$C$238:$C$451,$C10,'TL14'!$J$238:$J$451),0),
IF('TL15'!$B$3=M$3,SUMIF('TL15'!$C$10:$C$224,$C10,'TL15'!$J$10:$J$224),0),
IF('TL15'!$B$229=M$3,SUMIF('TL15'!$C$238:$C$451,$C10,'TL15'!$J$238:$J$451),0),
IF('TL16'!$B$3=M$3,SUMIF('TL16'!$C$10:$C$224,$C10,'TL16'!$J$10:$J$224),0),
IF('TL16'!$B$229=M$3,SUMIF('TL16'!$C$238:$C$451,$C10,'TL16'!$J$238:$J$451),0),
IF('TL17'!$B$3=M$3,SUMIF('TL17'!$C$10:$C$224,$C10,'TL17'!$J$10:$J$224),0),
IF('TL17'!$B$229=M$3,SUMIF('TL17'!$C$238:$C$451,$C10,'TL17'!$J$238:$J$451),0),
IF('TL18'!$B$3=M$3,SUMIF('TL18'!$C$10:$C$224,$C10,'TL18'!$J$10:$J$224),0),
IF('TL18'!$B$229=M$3,SUMIF('TL18'!$C$238:$C$451,$C10,'TL18'!$J$238:$J$451),0),
IF('TL19'!$B$3=M$3,SUMIF('TL19'!$C$10:$C$224,$C10,'TL19'!$J$10:$J$224),0),
IF('TL19'!$B$229=M$3,SUMIF('TL19'!$C$238:$C$451,$C10,'TL19'!$J$238:$J$451),0)
),0)</f>
        <v>0</v>
      </c>
      <c r="N10" s="9">
        <f>IFERROR(SUM(
IF('TL01'!$B$3=N$3,SUMIF('TL01'!$C$10:$C$224,$C10,'TL01'!$J$10:$J$224),0),
IF('TL01'!$B$229=N$3,SUMIF('TL01'!$C$238:$C$451,$C10,'TL01'!$J$238:$J$451),0),
IF('TL02'!$B$3=N$3,SUMIF('TL02'!$C$10:$C$224,$C10,'TL02'!$J$10:$J$224),0),
IF('TL02'!$B$229=N$3,SUMIF('TL02'!$C$238:$C$451,$C10,'TL02'!$J$238:$J$451),0),
IF('TL03'!$B$3=N$3,SUMIF('TL03'!$C$10:$C$224,$C10,'TL03'!$J$10:$J$224),0),
IF('TL03'!$B$229=N$3,SUMIF('TL03'!$C$238:$C$451,$C10,'TL03'!$J$238:$J$451),0),
IF('TL04'!$B$3=N$3,SUMIF('TL04'!$C$10:$C$224,$C10,'TL04'!$J$10:$J$224),0),
IF('TL04'!$B$229=N$3,SUMIF('TL04'!$C$238:$C$451,$C10,'TL04'!$J$238:$J$451),0),
IF('TL05'!$B$3=N$3,SUMIF('TL05'!$C$10:$C$224,$C10,'TL05'!$J$10:$J$224),0),
IF('TL05'!$B$229=N$3,SUMIF('TL05'!$C$238:$C$451,$C10,'TL05'!$J$238:$J$451),0),
IF('TL06'!$B$3=N$3,SUMIF('TL06'!$C$10:$C$224,$C10,'TL06'!$J$10:$J$224),0),
IF('TL06'!$B$229=N$3,SUMIF('TL06'!$C$238:$C$451,$C10,'TL06'!$J$238:$J$451),0),
IF('TL07'!$B$3=N$3,SUMIF('TL07'!$C$10:$C$224,$C10,'TL07'!$J$10:$J$224),0),
IF('TL07'!$B$229=N$3,SUMIF('TL07'!$C$238:$C$451,$C10,'TL07'!$J$238:$J$451),0),
IF('TL08'!$B$3=N$3,SUMIF('TL08'!$C$10:$C$224,$C10,'TL08'!$J$10:$J$224),0),
IF('TL08'!$B$229=N$3,SUMIF('TL08'!$C$238:$C$451,$C10,'TL08'!$J$238:$J$451),0),
IF('TL09'!$B$3=N$3,SUMIF('TL09'!$C$10:$C$224,$C10,'TL09'!$J$10:$J$224),0),
IF('TL09'!$B$229=N$3,SUMIF('TL09'!$C$238:$C$451,$C10,'TL09'!$J$238:$J$451),0),
IF('TL10'!$B$3=N$3,SUMIF('TL10'!$C$10:$C$224,$C10,'TL10'!$J$10:$J$224),0),
IF('TL10'!$B$229=N$3,SUMIF('TL10'!$C$238:$C$451,$C10,'TL10'!$J$238:$J$451),0),
IF('TL11'!$B$3=N$3,SUMIF('TL11'!$C$10:$C$224,$C10,'TL11'!$J$10:$J$224),0),
IF('TL11'!$B$229=N$3,SUMIF('TL11'!$C$238:$C$451,$C10,'TL11'!$J$238:$J$451),0),
IF('TL12'!$B$3=N$3,SUMIF('TL12'!$C$10:$C$224,$C10,'TL12'!$J$10:$J$224),0),
IF('TL12'!$B$229=N$3,SUMIF('TL12'!$C$238:$C$451,$C10,'TL12'!$J$238:$J$451),0),
IF('TL13'!$B$3=N$3,SUMIF('TL13'!$C$10:$C$224,$C10,'TL13'!$J$10:$J$224),0),
IF('TL13'!$B$229=N$3,SUMIF('TL13'!$C$238:$C$451,$C10,'TL13'!$J$238:$J$451),0),
IF('TL14'!$B$3=N$3,SUMIF('TL14'!$C$10:$C$224,$C10,'TL14'!$J$10:$J$224),0),
IF('TL14'!$B$229=N$3,SUMIF('TL14'!$C$238:$C$451,$C10,'TL14'!$J$238:$J$451),0),
IF('TL15'!$B$3=N$3,SUMIF('TL15'!$C$10:$C$224,$C10,'TL15'!$J$10:$J$224),0),
IF('TL15'!$B$229=N$3,SUMIF('TL15'!$C$238:$C$451,$C10,'TL15'!$J$238:$J$451),0),
IF('TL16'!$B$3=N$3,SUMIF('TL16'!$C$10:$C$224,$C10,'TL16'!$J$10:$J$224),0),
IF('TL16'!$B$229=N$3,SUMIF('TL16'!$C$238:$C$451,$C10,'TL16'!$J$238:$J$451),0),
IF('TL17'!$B$3=N$3,SUMIF('TL17'!$C$10:$C$224,$C10,'TL17'!$J$10:$J$224),0),
IF('TL17'!$B$229=N$3,SUMIF('TL17'!$C$238:$C$451,$C10,'TL17'!$J$238:$J$451),0),
IF('TL18'!$B$3=N$3,SUMIF('TL18'!$C$10:$C$224,$C10,'TL18'!$J$10:$J$224),0),
IF('TL18'!$B$229=N$3,SUMIF('TL18'!$C$238:$C$451,$C10,'TL18'!$J$238:$J$451),0),
IF('TL19'!$B$3=N$3,SUMIF('TL19'!$C$10:$C$224,$C10,'TL19'!$J$10:$J$224),0),
IF('TL19'!$B$229=N$3,SUMIF('TL19'!$C$238:$C$451,$C10,'TL19'!$J$238:$J$451),0)
),0)</f>
        <v>0</v>
      </c>
      <c r="O10" s="9">
        <f>IFERROR(SUM(
IF('TL01'!$B$3=O$3,SUMIF('TL01'!$C$10:$C$224,$C10,'TL01'!$J$10:$J$224),0),
IF('TL01'!$B$229=O$3,SUMIF('TL01'!$C$238:$C$451,$C10,'TL01'!$J$238:$J$451),0),
IF('TL02'!$B$3=O$3,SUMIF('TL02'!$C$10:$C$224,$C10,'TL02'!$J$10:$J$224),0),
IF('TL02'!$B$229=O$3,SUMIF('TL02'!$C$238:$C$451,$C10,'TL02'!$J$238:$J$451),0),
IF('TL03'!$B$3=O$3,SUMIF('TL03'!$C$10:$C$224,$C10,'TL03'!$J$10:$J$224),0),
IF('TL03'!$B$229=O$3,SUMIF('TL03'!$C$238:$C$451,$C10,'TL03'!$J$238:$J$451),0),
IF('TL04'!$B$3=O$3,SUMIF('TL04'!$C$10:$C$224,$C10,'TL04'!$J$10:$J$224),0),
IF('TL04'!$B$229=O$3,SUMIF('TL04'!$C$238:$C$451,$C10,'TL04'!$J$238:$J$451),0),
IF('TL05'!$B$3=O$3,SUMIF('TL05'!$C$10:$C$224,$C10,'TL05'!$J$10:$J$224),0),
IF('TL05'!$B$229=O$3,SUMIF('TL05'!$C$238:$C$451,$C10,'TL05'!$J$238:$J$451),0),
IF('TL06'!$B$3=O$3,SUMIF('TL06'!$C$10:$C$224,$C10,'TL06'!$J$10:$J$224),0),
IF('TL06'!$B$229=O$3,SUMIF('TL06'!$C$238:$C$451,$C10,'TL06'!$J$238:$J$451),0),
IF('TL07'!$B$3=O$3,SUMIF('TL07'!$C$10:$C$224,$C10,'TL07'!$J$10:$J$224),0),
IF('TL07'!$B$229=O$3,SUMIF('TL07'!$C$238:$C$451,$C10,'TL07'!$J$238:$J$451),0),
IF('TL08'!$B$3=O$3,SUMIF('TL08'!$C$10:$C$224,$C10,'TL08'!$J$10:$J$224),0),
IF('TL08'!$B$229=O$3,SUMIF('TL08'!$C$238:$C$451,$C10,'TL08'!$J$238:$J$451),0),
IF('TL09'!$B$3=O$3,SUMIF('TL09'!$C$10:$C$224,$C10,'TL09'!$J$10:$J$224),0),
IF('TL09'!$B$229=O$3,SUMIF('TL09'!$C$238:$C$451,$C10,'TL09'!$J$238:$J$451),0),
IF('TL10'!$B$3=O$3,SUMIF('TL10'!$C$10:$C$224,$C10,'TL10'!$J$10:$J$224),0),
IF('TL10'!$B$229=O$3,SUMIF('TL10'!$C$238:$C$451,$C10,'TL10'!$J$238:$J$451),0),
IF('TL11'!$B$3=O$3,SUMIF('TL11'!$C$10:$C$224,$C10,'TL11'!$J$10:$J$224),0),
IF('TL11'!$B$229=O$3,SUMIF('TL11'!$C$238:$C$451,$C10,'TL11'!$J$238:$J$451),0),
IF('TL12'!$B$3=O$3,SUMIF('TL12'!$C$10:$C$224,$C10,'TL12'!$J$10:$J$224),0),
IF('TL12'!$B$229=O$3,SUMIF('TL12'!$C$238:$C$451,$C10,'TL12'!$J$238:$J$451),0),
IF('TL13'!$B$3=O$3,SUMIF('TL13'!$C$10:$C$224,$C10,'TL13'!$J$10:$J$224),0),
IF('TL13'!$B$229=O$3,SUMIF('TL13'!$C$238:$C$451,$C10,'TL13'!$J$238:$J$451),0),
IF('TL14'!$B$3=O$3,SUMIF('TL14'!$C$10:$C$224,$C10,'TL14'!$J$10:$J$224),0),
IF('TL14'!$B$229=O$3,SUMIF('TL14'!$C$238:$C$451,$C10,'TL14'!$J$238:$J$451),0),
IF('TL15'!$B$3=O$3,SUMIF('TL15'!$C$10:$C$224,$C10,'TL15'!$J$10:$J$224),0),
IF('TL15'!$B$229=O$3,SUMIF('TL15'!$C$238:$C$451,$C10,'TL15'!$J$238:$J$451),0),
IF('TL16'!$B$3=O$3,SUMIF('TL16'!$C$10:$C$224,$C10,'TL16'!$J$10:$J$224),0),
IF('TL16'!$B$229=O$3,SUMIF('TL16'!$C$238:$C$451,$C10,'TL16'!$J$238:$J$451),0),
IF('TL17'!$B$3=O$3,SUMIF('TL17'!$C$10:$C$224,$C10,'TL17'!$J$10:$J$224),0),
IF('TL17'!$B$229=O$3,SUMIF('TL17'!$C$238:$C$451,$C10,'TL17'!$J$238:$J$451),0),
IF('TL18'!$B$3=O$3,SUMIF('TL18'!$C$10:$C$224,$C10,'TL18'!$J$10:$J$224),0),
IF('TL18'!$B$229=O$3,SUMIF('TL18'!$C$238:$C$451,$C10,'TL18'!$J$238:$J$451),0),
IF('TL19'!$B$3=O$3,SUMIF('TL19'!$C$10:$C$224,$C10,'TL19'!$J$10:$J$224),0),
IF('TL19'!$B$229=O$3,SUMIF('TL19'!$C$238:$C$451,$C10,'TL19'!$J$238:$J$451),0)
),0)</f>
        <v>0</v>
      </c>
      <c r="P10" s="9">
        <f>IFERROR(SUM(
IF('TL01'!$B$3=P$3,SUMIF('TL01'!$C$10:$C$224,$C10,'TL01'!$J$10:$J$224),0),
IF('TL01'!$B$229=P$3,SUMIF('TL01'!$C$238:$C$451,$C10,'TL01'!$J$238:$J$451),0),
IF('TL02'!$B$3=P$3,SUMIF('TL02'!$C$10:$C$224,$C10,'TL02'!$J$10:$J$224),0),
IF('TL02'!$B$229=P$3,SUMIF('TL02'!$C$238:$C$451,$C10,'TL02'!$J$238:$J$451),0),
IF('TL03'!$B$3=P$3,SUMIF('TL03'!$C$10:$C$224,$C10,'TL03'!$J$10:$J$224),0),
IF('TL03'!$B$229=P$3,SUMIF('TL03'!$C$238:$C$451,$C10,'TL03'!$J$238:$J$451),0),
IF('TL04'!$B$3=P$3,SUMIF('TL04'!$C$10:$C$224,$C10,'TL04'!$J$10:$J$224),0),
IF('TL04'!$B$229=P$3,SUMIF('TL04'!$C$238:$C$451,$C10,'TL04'!$J$238:$J$451),0),
IF('TL05'!$B$3=P$3,SUMIF('TL05'!$C$10:$C$224,$C10,'TL05'!$J$10:$J$224),0),
IF('TL05'!$B$229=P$3,SUMIF('TL05'!$C$238:$C$451,$C10,'TL05'!$J$238:$J$451),0),
IF('TL06'!$B$3=P$3,SUMIF('TL06'!$C$10:$C$224,$C10,'TL06'!$J$10:$J$224),0),
IF('TL06'!$B$229=P$3,SUMIF('TL06'!$C$238:$C$451,$C10,'TL06'!$J$238:$J$451),0),
IF('TL07'!$B$3=P$3,SUMIF('TL07'!$C$10:$C$224,$C10,'TL07'!$J$10:$J$224),0),
IF('TL07'!$B$229=P$3,SUMIF('TL07'!$C$238:$C$451,$C10,'TL07'!$J$238:$J$451),0),
IF('TL08'!$B$3=P$3,SUMIF('TL08'!$C$10:$C$224,$C10,'TL08'!$J$10:$J$224),0),
IF('TL08'!$B$229=P$3,SUMIF('TL08'!$C$238:$C$451,$C10,'TL08'!$J$238:$J$451),0),
IF('TL09'!$B$3=P$3,SUMIF('TL09'!$C$10:$C$224,$C10,'TL09'!$J$10:$J$224),0),
IF('TL09'!$B$229=P$3,SUMIF('TL09'!$C$238:$C$451,$C10,'TL09'!$J$238:$J$451),0),
IF('TL10'!$B$3=P$3,SUMIF('TL10'!$C$10:$C$224,$C10,'TL10'!$J$10:$J$224),0),
IF('TL10'!$B$229=P$3,SUMIF('TL10'!$C$238:$C$451,$C10,'TL10'!$J$238:$J$451),0),
IF('TL11'!$B$3=P$3,SUMIF('TL11'!$C$10:$C$224,$C10,'TL11'!$J$10:$J$224),0),
IF('TL11'!$B$229=P$3,SUMIF('TL11'!$C$238:$C$451,$C10,'TL11'!$J$238:$J$451),0),
IF('TL12'!$B$3=P$3,SUMIF('TL12'!$C$10:$C$224,$C10,'TL12'!$J$10:$J$224),0),
IF('TL12'!$B$229=P$3,SUMIF('TL12'!$C$238:$C$451,$C10,'TL12'!$J$238:$J$451),0),
IF('TL13'!$B$3=P$3,SUMIF('TL13'!$C$10:$C$224,$C10,'TL13'!$J$10:$J$224),0),
IF('TL13'!$B$229=P$3,SUMIF('TL13'!$C$238:$C$451,$C10,'TL13'!$J$238:$J$451),0),
IF('TL14'!$B$3=P$3,SUMIF('TL14'!$C$10:$C$224,$C10,'TL14'!$J$10:$J$224),0),
IF('TL14'!$B$229=P$3,SUMIF('TL14'!$C$238:$C$451,$C10,'TL14'!$J$238:$J$451),0),
IF('TL15'!$B$3=P$3,SUMIF('TL15'!$C$10:$C$224,$C10,'TL15'!$J$10:$J$224),0),
IF('TL15'!$B$229=P$3,SUMIF('TL15'!$C$238:$C$451,$C10,'TL15'!$J$238:$J$451),0),
IF('TL16'!$B$3=P$3,SUMIF('TL16'!$C$10:$C$224,$C10,'TL16'!$J$10:$J$224),0),
IF('TL16'!$B$229=P$3,SUMIF('TL16'!$C$238:$C$451,$C10,'TL16'!$J$238:$J$451),0),
IF('TL17'!$B$3=P$3,SUMIF('TL17'!$C$10:$C$224,$C10,'TL17'!$J$10:$J$224),0),
IF('TL17'!$B$229=P$3,SUMIF('TL17'!$C$238:$C$451,$C10,'TL17'!$J$238:$J$451),0),
IF('TL18'!$B$3=P$3,SUMIF('TL18'!$C$10:$C$224,$C10,'TL18'!$J$10:$J$224),0),
IF('TL18'!$B$229=P$3,SUMIF('TL18'!$C$238:$C$451,$C10,'TL18'!$J$238:$J$451),0),
IF('TL19'!$B$3=P$3,SUMIF('TL19'!$C$10:$C$224,$C10,'TL19'!$J$10:$J$224),0),
IF('TL19'!$B$229=P$3,SUMIF('TL19'!$C$238:$C$451,$C10,'TL19'!$J$238:$J$451),0)
),0)</f>
        <v>0</v>
      </c>
      <c r="Q10" s="9">
        <f>IFERROR(SUM(
IF('TL01'!$B$3=Q$3,SUMIF('TL01'!$C$10:$C$224,$C10,'TL01'!$J$10:$J$224),0),
IF('TL01'!$B$229=Q$3,SUMIF('TL01'!$C$238:$C$451,$C10,'TL01'!$J$238:$J$451),0),
IF('TL02'!$B$3=Q$3,SUMIF('TL02'!$C$10:$C$224,$C10,'TL02'!$J$10:$J$224),0),
IF('TL02'!$B$229=Q$3,SUMIF('TL02'!$C$238:$C$451,$C10,'TL02'!$J$238:$J$451),0),
IF('TL03'!$B$3=Q$3,SUMIF('TL03'!$C$10:$C$224,$C10,'TL03'!$J$10:$J$224),0),
IF('TL03'!$B$229=Q$3,SUMIF('TL03'!$C$238:$C$451,$C10,'TL03'!$J$238:$J$451),0),
IF('TL04'!$B$3=Q$3,SUMIF('TL04'!$C$10:$C$224,$C10,'TL04'!$J$10:$J$224),0),
IF('TL04'!$B$229=Q$3,SUMIF('TL04'!$C$238:$C$451,$C10,'TL04'!$J$238:$J$451),0),
IF('TL05'!$B$3=Q$3,SUMIF('TL05'!$C$10:$C$224,$C10,'TL05'!$J$10:$J$224),0),
IF('TL05'!$B$229=Q$3,SUMIF('TL05'!$C$238:$C$451,$C10,'TL05'!$J$238:$J$451),0),
IF('TL06'!$B$3=Q$3,SUMIF('TL06'!$C$10:$C$224,$C10,'TL06'!$J$10:$J$224),0),
IF('TL06'!$B$229=Q$3,SUMIF('TL06'!$C$238:$C$451,$C10,'TL06'!$J$238:$J$451),0),
IF('TL07'!$B$3=Q$3,SUMIF('TL07'!$C$10:$C$224,$C10,'TL07'!$J$10:$J$224),0),
IF('TL07'!$B$229=Q$3,SUMIF('TL07'!$C$238:$C$451,$C10,'TL07'!$J$238:$J$451),0),
IF('TL08'!$B$3=Q$3,SUMIF('TL08'!$C$10:$C$224,$C10,'TL08'!$J$10:$J$224),0),
IF('TL08'!$B$229=Q$3,SUMIF('TL08'!$C$238:$C$451,$C10,'TL08'!$J$238:$J$451),0),
IF('TL09'!$B$3=Q$3,SUMIF('TL09'!$C$10:$C$224,$C10,'TL09'!$J$10:$J$224),0),
IF('TL09'!$B$229=Q$3,SUMIF('TL09'!$C$238:$C$451,$C10,'TL09'!$J$238:$J$451),0),
IF('TL10'!$B$3=Q$3,SUMIF('TL10'!$C$10:$C$224,$C10,'TL10'!$J$10:$J$224),0),
IF('TL10'!$B$229=Q$3,SUMIF('TL10'!$C$238:$C$451,$C10,'TL10'!$J$238:$J$451),0),
IF('TL11'!$B$3=Q$3,SUMIF('TL11'!$C$10:$C$224,$C10,'TL11'!$J$10:$J$224),0),
IF('TL11'!$B$229=Q$3,SUMIF('TL11'!$C$238:$C$451,$C10,'TL11'!$J$238:$J$451),0),
IF('TL12'!$B$3=Q$3,SUMIF('TL12'!$C$10:$C$224,$C10,'TL12'!$J$10:$J$224),0),
IF('TL12'!$B$229=Q$3,SUMIF('TL12'!$C$238:$C$451,$C10,'TL12'!$J$238:$J$451),0),
IF('TL13'!$B$3=Q$3,SUMIF('TL13'!$C$10:$C$224,$C10,'TL13'!$J$10:$J$224),0),
IF('TL13'!$B$229=Q$3,SUMIF('TL13'!$C$238:$C$451,$C10,'TL13'!$J$238:$J$451),0),
IF('TL14'!$B$3=Q$3,SUMIF('TL14'!$C$10:$C$224,$C10,'TL14'!$J$10:$J$224),0),
IF('TL14'!$B$229=Q$3,SUMIF('TL14'!$C$238:$C$451,$C10,'TL14'!$J$238:$J$451),0),
IF('TL15'!$B$3=Q$3,SUMIF('TL15'!$C$10:$C$224,$C10,'TL15'!$J$10:$J$224),0),
IF('TL15'!$B$229=Q$3,SUMIF('TL15'!$C$238:$C$451,$C10,'TL15'!$J$238:$J$451),0),
IF('TL16'!$B$3=Q$3,SUMIF('TL16'!$C$10:$C$224,$C10,'TL16'!$J$10:$J$224),0),
IF('TL16'!$B$229=Q$3,SUMIF('TL16'!$C$238:$C$451,$C10,'TL16'!$J$238:$J$451),0),
IF('TL17'!$B$3=Q$3,SUMIF('TL17'!$C$10:$C$224,$C10,'TL17'!$J$10:$J$224),0),
IF('TL17'!$B$229=Q$3,SUMIF('TL17'!$C$238:$C$451,$C10,'TL17'!$J$238:$J$451),0),
IF('TL18'!$B$3=Q$3,SUMIF('TL18'!$C$10:$C$224,$C10,'TL18'!$J$10:$J$224),0),
IF('TL18'!$B$229=Q$3,SUMIF('TL18'!$C$238:$C$451,$C10,'TL18'!$J$238:$J$451),0),
IF('TL19'!$B$3=Q$3,SUMIF('TL19'!$C$10:$C$224,$C10,'TL19'!$J$10:$J$224),0),
IF('TL19'!$B$229=Q$3,SUMIF('TL19'!$C$238:$C$451,$C10,'TL19'!$J$238:$J$451),0)
),0)</f>
        <v>0</v>
      </c>
      <c r="R10" s="9">
        <f>IFERROR(
SUM(
SUMIF('TL01'!C:C,C10,'TL01'!J:J),
SUMIF('TL02'!C:C,C10,'TL02'!J:J),
SUMIF('TL03'!C:C,C10,'TL03'!J:J),
SUMIF('TL04'!C:C,C10,'TL04'!J:J),
SUMIF('TL05'!C:C,C10,'TL05'!J:J),
SUMIF('TL06'!C:C,C10,'TL06'!J:J),
SUMIF('TL07'!C:C,C10,'TL07'!J:J),
SUMIF('TL08'!C:C,C10,'TL08'!J:J),
SUMIF('TL09'!C:C,C10,'TL09'!J:J),
SUMIF('TL10'!C:C,C10,'TL10'!J:J),
SUMIF('TL11'!C:C,C10,'TL11'!J:J),
SUMIF('TL12'!C:C,C10,'TL12'!J:J),
SUMIF('TL13'!C:C,C10,'TL13'!J:J),
SUMIF('TL14'!C:C,C10,'TL14'!J:J),
SUMIF('TL15'!C:C,C10,'TL15'!J:J),
SUMIF('TL16'!C:C,C10,'TL16'!J:J),
SUMIF('TL17'!C:C,C10,'TL17'!J:J),
SUMIF('TL18'!C:C,C10,'TL18'!J:J),SUMIF('TL19'!C:C,C10,'TL19'!J:J))
,0)</f>
        <v>0</v>
      </c>
      <c r="S10" s="17">
        <f>IFERROR(__xludf.DUMMYFUNCTION("IFERROR(VLOOKUP(C10,
IMPORTRANGE(""1wULbzX32WdYsx-lj2U3uUNBBe2INVIRDtcK0d-Dvl90"",
""26-27!C:G""),
5,
FALSE),
"""")"),28.56546)</f>
        <v>28.56546</v>
      </c>
      <c r="T10" s="9"/>
      <c r="U10" s="92">
        <f t="shared" si="2"/>
        <v>0</v>
      </c>
      <c r="V10" s="93">
        <f t="shared" si="3"/>
        <v>0</v>
      </c>
    </row>
    <row r="11" ht="22.5" hidden="1" customHeight="1">
      <c r="A11" s="94" t="s">
        <v>358</v>
      </c>
      <c r="B11" s="95" t="s">
        <v>6</v>
      </c>
      <c r="C11" s="96" t="s">
        <v>362</v>
      </c>
      <c r="D11" s="96" t="s">
        <v>360</v>
      </c>
      <c r="E11" s="96">
        <v>200.0</v>
      </c>
      <c r="F11" s="4" t="s">
        <v>343</v>
      </c>
      <c r="G11" s="90" t="str">
        <f t="shared" si="1"/>
        <v>📄 Ver bula</v>
      </c>
      <c r="H11" s="9">
        <f>IFERROR(__xludf.DUMMYFUNCTION("IFERROR(VLOOKUP(C11,
IMPORTRANGE(""1wULbzX32WdYsx-lj2U3uUNBBe2INVIRDtcK0d-Dvl90"",
""26-27!C:K""),
8,
FALSE),
"""")"),0.01)</f>
        <v>0.01</v>
      </c>
      <c r="I11" s="97" t="s">
        <v>361</v>
      </c>
      <c r="J11" s="9">
        <f>IFERROR(SUM(
IF('TL01'!$B$3=J$3,SUMIF('TL01'!$C$10:$C$224,$C11,'TL01'!$J$10:$J$224),0),
IF('TL01'!$B$229=J$3,SUMIF('TL01'!$C$238:$C$451,$C11,'TL01'!$J$238:$J$451),0),
IF('TL02'!$B$3=J$3,SUMIF('TL02'!$C$10:$C$224,$C11,'TL02'!$J$10:$J$224),0),
IF('TL02'!$B$229=J$3,SUMIF('TL02'!$C$238:$C$451,$C11,'TL02'!$J$238:$J$451),0),
IF('TL03'!$B$3=J$3,SUMIF('TL03'!$C$10:$C$224,$C11,'TL03'!$J$10:$J$224),0),
IF('TL03'!$B$229=J$3,SUMIF('TL03'!$C$238:$C$451,$C11,'TL03'!$J$238:$J$451),0),
IF('TL04'!$B$3=J$3,SUMIF('TL04'!$C$10:$C$224,$C11,'TL04'!$J$10:$J$224),0),
IF('TL04'!$B$229=J$3,SUMIF('TL04'!$C$238:$C$451,$C11,'TL04'!$J$238:$J$451),0),
IF('TL05'!$B$3=J$3,SUMIF('TL05'!$C$10:$C$224,$C11,'TL05'!$J$10:$J$224),0),
IF('TL05'!$B$229=J$3,SUMIF('TL05'!$C$238:$C$451,$C11,'TL05'!$J$238:$J$451),0),
IF('TL06'!$B$3=J$3,SUMIF('TL06'!$C$10:$C$224,$C11,'TL06'!$J$10:$J$224),0),
IF('TL06'!$B$229=J$3,SUMIF('TL06'!$C$238:$C$451,$C11,'TL06'!$J$238:$J$451),0),
IF('TL07'!$B$3=J$3,SUMIF('TL07'!$C$10:$C$224,$C11,'TL07'!$J$10:$J$224),0),
IF('TL07'!$B$229=J$3,SUMIF('TL07'!$C$238:$C$451,$C11,'TL07'!$J$238:$J$451),0),
IF('TL08'!$B$3=J$3,SUMIF('TL08'!$C$10:$C$224,$C11,'TL08'!$J$10:$J$224),0),
IF('TL08'!$B$229=J$3,SUMIF('TL08'!$C$238:$C$451,$C11,'TL08'!$J$238:$J$451),0),
IF('TL09'!$B$3=J$3,SUMIF('TL09'!$C$10:$C$224,$C11,'TL09'!$J$10:$J$224),0),
IF('TL09'!$B$229=J$3,SUMIF('TL09'!$C$238:$C$451,$C11,'TL09'!$J$238:$J$451),0),
IF('TL10'!$B$3=J$3,SUMIF('TL10'!$C$10:$C$224,$C11,'TL10'!$J$10:$J$224),0),
IF('TL10'!$B$229=J$3,SUMIF('TL10'!$C$238:$C$451,$C11,'TL10'!$J$238:$J$451),0),
IF('TL11'!$B$3=J$3,SUMIF('TL11'!$C$10:$C$224,$C11,'TL11'!$J$10:$J$224),0),
IF('TL11'!$B$229=J$3,SUMIF('TL11'!$C$238:$C$451,$C11,'TL11'!$J$238:$J$451),0),
IF('TL12'!$B$3=J$3,SUMIF('TL12'!$C$10:$C$224,$C11,'TL12'!$J$10:$J$224),0),
IF('TL12'!$B$229=J$3,SUMIF('TL12'!$C$238:$C$451,$C11,'TL12'!$J$238:$J$451),0),
IF('TL13'!$B$3=J$3,SUMIF('TL13'!$C$10:$C$224,$C11,'TL13'!$J$10:$J$224),0),
IF('TL13'!$B$229=J$3,SUMIF('TL13'!$C$238:$C$451,$C11,'TL13'!$J$238:$J$451),0),
IF('TL14'!$B$3=J$3,SUMIF('TL14'!$C$10:$C$224,$C11,'TL14'!$J$10:$J$224),0),
IF('TL14'!$B$229=J$3,SUMIF('TL14'!$C$238:$C$451,$C11,'TL14'!$J$238:$J$451),0),
IF('TL15'!$B$3=J$3,SUMIF('TL15'!$C$10:$C$224,$C11,'TL15'!$J$10:$J$224),0),
IF('TL15'!$B$229=J$3,SUMIF('TL15'!$C$238:$C$451,$C11,'TL15'!$J$238:$J$451),0),
IF('TL16'!$B$3=J$3,SUMIF('TL16'!$C$10:$C$224,$C11,'TL16'!$J$10:$J$224),0),
IF('TL16'!$B$229=J$3,SUMIF('TL16'!$C$238:$C$451,$C11,'TL16'!$J$238:$J$451),0),
IF('TL17'!$B$3=J$3,SUMIF('TL17'!$C$10:$C$224,$C11,'TL17'!$J$10:$J$224),0),
IF('TL17'!$B$229=J$3,SUMIF('TL17'!$C$238:$C$451,$C11,'TL17'!$J$238:$J$451),0),
IF('TL18'!$B$3=J$3,SUMIF('TL18'!$C$10:$C$224,$C11,'TL18'!$J$10:$J$224),0),
IF('TL18'!$B$229=J$3,SUMIF('TL18'!$C$238:$C$451,$C11,'TL18'!$J$238:$J$451),0),
IF('TL19'!$B$3=J$3,SUMIF('TL19'!$C$10:$C$224,$C11,'TL19'!$J$10:$J$224),0),
IF('TL19'!$B$229=J$3,SUMIF('TL19'!$C$238:$C$451,$C11,'TL19'!$J$238:$J$451),0)
),0)</f>
        <v>0</v>
      </c>
      <c r="K11" s="9">
        <f>IFERROR(SUM(
IF('TL01'!$B$3=K$3,SUMIF('TL01'!$C$10:$C$224,$C11,'TL01'!$J$10:$J$224),0),
IF('TL01'!$B$229=K$3,SUMIF('TL01'!$C$238:$C$451,$C11,'TL01'!$J$238:$J$451),0),
IF('TL02'!$B$3=K$3,SUMIF('TL02'!$C$10:$C$224,$C11,'TL02'!$J$10:$J$224),0),
IF('TL02'!$B$229=K$3,SUMIF('TL02'!$C$238:$C$451,$C11,'TL02'!$J$238:$J$451),0),
IF('TL03'!$B$3=K$3,SUMIF('TL03'!$C$10:$C$224,$C11,'TL03'!$J$10:$J$224),0),
IF('TL03'!$B$229=K$3,SUMIF('TL03'!$C$238:$C$451,$C11,'TL03'!$J$238:$J$451),0),
IF('TL04'!$B$3=K$3,SUMIF('TL04'!$C$10:$C$224,$C11,'TL04'!$J$10:$J$224),0),
IF('TL04'!$B$229=K$3,SUMIF('TL04'!$C$238:$C$451,$C11,'TL04'!$J$238:$J$451),0),
IF('TL05'!$B$3=K$3,SUMIF('TL05'!$C$10:$C$224,$C11,'TL05'!$J$10:$J$224),0),
IF('TL05'!$B$229=K$3,SUMIF('TL05'!$C$238:$C$451,$C11,'TL05'!$J$238:$J$451),0),
IF('TL06'!$B$3=K$3,SUMIF('TL06'!$C$10:$C$224,$C11,'TL06'!$J$10:$J$224),0),
IF('TL06'!$B$229=K$3,SUMIF('TL06'!$C$238:$C$451,$C11,'TL06'!$J$238:$J$451),0),
IF('TL07'!$B$3=K$3,SUMIF('TL07'!$C$10:$C$224,$C11,'TL07'!$J$10:$J$224),0),
IF('TL07'!$B$229=K$3,SUMIF('TL07'!$C$238:$C$451,$C11,'TL07'!$J$238:$J$451),0),
IF('TL08'!$B$3=K$3,SUMIF('TL08'!$C$10:$C$224,$C11,'TL08'!$J$10:$J$224),0),
IF('TL08'!$B$229=K$3,SUMIF('TL08'!$C$238:$C$451,$C11,'TL08'!$J$238:$J$451),0),
IF('TL09'!$B$3=K$3,SUMIF('TL09'!$C$10:$C$224,$C11,'TL09'!$J$10:$J$224),0),
IF('TL09'!$B$229=K$3,SUMIF('TL09'!$C$238:$C$451,$C11,'TL09'!$J$238:$J$451),0),
IF('TL10'!$B$3=K$3,SUMIF('TL10'!$C$10:$C$224,$C11,'TL10'!$J$10:$J$224),0),
IF('TL10'!$B$229=K$3,SUMIF('TL10'!$C$238:$C$451,$C11,'TL10'!$J$238:$J$451),0),
IF('TL11'!$B$3=K$3,SUMIF('TL11'!$C$10:$C$224,$C11,'TL11'!$J$10:$J$224),0),
IF('TL11'!$B$229=K$3,SUMIF('TL11'!$C$238:$C$451,$C11,'TL11'!$J$238:$J$451),0),
IF('TL12'!$B$3=K$3,SUMIF('TL12'!$C$10:$C$224,$C11,'TL12'!$J$10:$J$224),0),
IF('TL12'!$B$229=K$3,SUMIF('TL12'!$C$238:$C$451,$C11,'TL12'!$J$238:$J$451),0),
IF('TL13'!$B$3=K$3,SUMIF('TL13'!$C$10:$C$224,$C11,'TL13'!$J$10:$J$224),0),
IF('TL13'!$B$229=K$3,SUMIF('TL13'!$C$238:$C$451,$C11,'TL13'!$J$238:$J$451),0),
IF('TL14'!$B$3=K$3,SUMIF('TL14'!$C$10:$C$224,$C11,'TL14'!$J$10:$J$224),0),
IF('TL14'!$B$229=K$3,SUMIF('TL14'!$C$238:$C$451,$C11,'TL14'!$J$238:$J$451),0),
IF('TL15'!$B$3=K$3,SUMIF('TL15'!$C$10:$C$224,$C11,'TL15'!$J$10:$J$224),0),
IF('TL15'!$B$229=K$3,SUMIF('TL15'!$C$238:$C$451,$C11,'TL15'!$J$238:$J$451),0),
IF('TL16'!$B$3=K$3,SUMIF('TL16'!$C$10:$C$224,$C11,'TL16'!$J$10:$J$224),0),
IF('TL16'!$B$229=K$3,SUMIF('TL16'!$C$238:$C$451,$C11,'TL16'!$J$238:$J$451),0),
IF('TL17'!$B$3=K$3,SUMIF('TL17'!$C$10:$C$224,$C11,'TL17'!$J$10:$J$224),0),
IF('TL17'!$B$229=K$3,SUMIF('TL17'!$C$238:$C$451,$C11,'TL17'!$J$238:$J$451),0),
IF('TL18'!$B$3=K$3,SUMIF('TL18'!$C$10:$C$224,$C11,'TL18'!$J$10:$J$224),0),
IF('TL18'!$B$229=K$3,SUMIF('TL18'!$C$238:$C$451,$C11,'TL18'!$J$238:$J$451),0),
IF('TL19'!$B$3=K$3,SUMIF('TL19'!$C$10:$C$224,$C11,'TL19'!$J$10:$J$224),0),
IF('TL19'!$B$229=K$3,SUMIF('TL19'!$C$238:$C$451,$C11,'TL19'!$J$238:$J$451),0)
),0)</f>
        <v>0</v>
      </c>
      <c r="L11" s="9">
        <f>IFERROR(SUM(
IF('TL01'!$B$3=L$3,SUMIF('TL01'!$C$10:$C$224,$C11,'TL01'!$J$10:$J$224),0),
IF('TL01'!$B$229=L$3,SUMIF('TL01'!$C$238:$C$451,$C11,'TL01'!$J$238:$J$451),0),
IF('TL02'!$B$3=L$3,SUMIF('TL02'!$C$10:$C$224,$C11,'TL02'!$J$10:$J$224),0),
IF('TL02'!$B$229=L$3,SUMIF('TL02'!$C$238:$C$451,$C11,'TL02'!$J$238:$J$451),0),
IF('TL03'!$B$3=L$3,SUMIF('TL03'!$C$10:$C$224,$C11,'TL03'!$J$10:$J$224),0),
IF('TL03'!$B$229=L$3,SUMIF('TL03'!$C$238:$C$451,$C11,'TL03'!$J$238:$J$451),0),
IF('TL04'!$B$3=L$3,SUMIF('TL04'!$C$10:$C$224,$C11,'TL04'!$J$10:$J$224),0),
IF('TL04'!$B$229=L$3,SUMIF('TL04'!$C$238:$C$451,$C11,'TL04'!$J$238:$J$451),0),
IF('TL05'!$B$3=L$3,SUMIF('TL05'!$C$10:$C$224,$C11,'TL05'!$J$10:$J$224),0),
IF('TL05'!$B$229=L$3,SUMIF('TL05'!$C$238:$C$451,$C11,'TL05'!$J$238:$J$451),0),
IF('TL06'!$B$3=L$3,SUMIF('TL06'!$C$10:$C$224,$C11,'TL06'!$J$10:$J$224),0),
IF('TL06'!$B$229=L$3,SUMIF('TL06'!$C$238:$C$451,$C11,'TL06'!$J$238:$J$451),0),
IF('TL07'!$B$3=L$3,SUMIF('TL07'!$C$10:$C$224,$C11,'TL07'!$J$10:$J$224),0),
IF('TL07'!$B$229=L$3,SUMIF('TL07'!$C$238:$C$451,$C11,'TL07'!$J$238:$J$451),0),
IF('TL08'!$B$3=L$3,SUMIF('TL08'!$C$10:$C$224,$C11,'TL08'!$J$10:$J$224),0),
IF('TL08'!$B$229=L$3,SUMIF('TL08'!$C$238:$C$451,$C11,'TL08'!$J$238:$J$451),0),
IF('TL09'!$B$3=L$3,SUMIF('TL09'!$C$10:$C$224,$C11,'TL09'!$J$10:$J$224),0),
IF('TL09'!$B$229=L$3,SUMIF('TL09'!$C$238:$C$451,$C11,'TL09'!$J$238:$J$451),0),
IF('TL10'!$B$3=L$3,SUMIF('TL10'!$C$10:$C$224,$C11,'TL10'!$J$10:$J$224),0),
IF('TL10'!$B$229=L$3,SUMIF('TL10'!$C$238:$C$451,$C11,'TL10'!$J$238:$J$451),0),
IF('TL11'!$B$3=L$3,SUMIF('TL11'!$C$10:$C$224,$C11,'TL11'!$J$10:$J$224),0),
IF('TL11'!$B$229=L$3,SUMIF('TL11'!$C$238:$C$451,$C11,'TL11'!$J$238:$J$451),0),
IF('TL12'!$B$3=L$3,SUMIF('TL12'!$C$10:$C$224,$C11,'TL12'!$J$10:$J$224),0),
IF('TL12'!$B$229=L$3,SUMIF('TL12'!$C$238:$C$451,$C11,'TL12'!$J$238:$J$451),0),
IF('TL13'!$B$3=L$3,SUMIF('TL13'!$C$10:$C$224,$C11,'TL13'!$J$10:$J$224),0),
IF('TL13'!$B$229=L$3,SUMIF('TL13'!$C$238:$C$451,$C11,'TL13'!$J$238:$J$451),0),
IF('TL14'!$B$3=L$3,SUMIF('TL14'!$C$10:$C$224,$C11,'TL14'!$J$10:$J$224),0),
IF('TL14'!$B$229=L$3,SUMIF('TL14'!$C$238:$C$451,$C11,'TL14'!$J$238:$J$451),0),
IF('TL15'!$B$3=L$3,SUMIF('TL15'!$C$10:$C$224,$C11,'TL15'!$J$10:$J$224),0),
IF('TL15'!$B$229=L$3,SUMIF('TL15'!$C$238:$C$451,$C11,'TL15'!$J$238:$J$451),0),
IF('TL16'!$B$3=L$3,SUMIF('TL16'!$C$10:$C$224,$C11,'TL16'!$J$10:$J$224),0),
IF('TL16'!$B$229=L$3,SUMIF('TL16'!$C$238:$C$451,$C11,'TL16'!$J$238:$J$451),0),
IF('TL17'!$B$3=L$3,SUMIF('TL17'!$C$10:$C$224,$C11,'TL17'!$J$10:$J$224),0),
IF('TL17'!$B$229=L$3,SUMIF('TL17'!$C$238:$C$451,$C11,'TL17'!$J$238:$J$451),0),
IF('TL18'!$B$3=L$3,SUMIF('TL18'!$C$10:$C$224,$C11,'TL18'!$J$10:$J$224),0),
IF('TL18'!$B$229=L$3,SUMIF('TL18'!$C$238:$C$451,$C11,'TL18'!$J$238:$J$451),0),
IF('TL19'!$B$3=L$3,SUMIF('TL19'!$C$10:$C$224,$C11,'TL19'!$J$10:$J$224),0),
IF('TL19'!$B$229=L$3,SUMIF('TL19'!$C$238:$C$451,$C11,'TL19'!$J$238:$J$451),0)
),0)</f>
        <v>0</v>
      </c>
      <c r="M11" s="9">
        <f>IFERROR(SUM(
IF('TL01'!$B$3=M$3,SUMIF('TL01'!$C$10:$C$224,$C11,'TL01'!$J$10:$J$224),0),
IF('TL01'!$B$229=M$3,SUMIF('TL01'!$C$238:$C$451,$C11,'TL01'!$J$238:$J$451),0),
IF('TL02'!$B$3=M$3,SUMIF('TL02'!$C$10:$C$224,$C11,'TL02'!$J$10:$J$224),0),
IF('TL02'!$B$229=M$3,SUMIF('TL02'!$C$238:$C$451,$C11,'TL02'!$J$238:$J$451),0),
IF('TL03'!$B$3=M$3,SUMIF('TL03'!$C$10:$C$224,$C11,'TL03'!$J$10:$J$224),0),
IF('TL03'!$B$229=M$3,SUMIF('TL03'!$C$238:$C$451,$C11,'TL03'!$J$238:$J$451),0),
IF('TL04'!$B$3=M$3,SUMIF('TL04'!$C$10:$C$224,$C11,'TL04'!$J$10:$J$224),0),
IF('TL04'!$B$229=M$3,SUMIF('TL04'!$C$238:$C$451,$C11,'TL04'!$J$238:$J$451),0),
IF('TL05'!$B$3=M$3,SUMIF('TL05'!$C$10:$C$224,$C11,'TL05'!$J$10:$J$224),0),
IF('TL05'!$B$229=M$3,SUMIF('TL05'!$C$238:$C$451,$C11,'TL05'!$J$238:$J$451),0),
IF('TL06'!$B$3=M$3,SUMIF('TL06'!$C$10:$C$224,$C11,'TL06'!$J$10:$J$224),0),
IF('TL06'!$B$229=M$3,SUMIF('TL06'!$C$238:$C$451,$C11,'TL06'!$J$238:$J$451),0),
IF('TL07'!$B$3=M$3,SUMIF('TL07'!$C$10:$C$224,$C11,'TL07'!$J$10:$J$224),0),
IF('TL07'!$B$229=M$3,SUMIF('TL07'!$C$238:$C$451,$C11,'TL07'!$J$238:$J$451),0),
IF('TL08'!$B$3=M$3,SUMIF('TL08'!$C$10:$C$224,$C11,'TL08'!$J$10:$J$224),0),
IF('TL08'!$B$229=M$3,SUMIF('TL08'!$C$238:$C$451,$C11,'TL08'!$J$238:$J$451),0),
IF('TL09'!$B$3=M$3,SUMIF('TL09'!$C$10:$C$224,$C11,'TL09'!$J$10:$J$224),0),
IF('TL09'!$B$229=M$3,SUMIF('TL09'!$C$238:$C$451,$C11,'TL09'!$J$238:$J$451),0),
IF('TL10'!$B$3=M$3,SUMIF('TL10'!$C$10:$C$224,$C11,'TL10'!$J$10:$J$224),0),
IF('TL10'!$B$229=M$3,SUMIF('TL10'!$C$238:$C$451,$C11,'TL10'!$J$238:$J$451),0),
IF('TL11'!$B$3=M$3,SUMIF('TL11'!$C$10:$C$224,$C11,'TL11'!$J$10:$J$224),0),
IF('TL11'!$B$229=M$3,SUMIF('TL11'!$C$238:$C$451,$C11,'TL11'!$J$238:$J$451),0),
IF('TL12'!$B$3=M$3,SUMIF('TL12'!$C$10:$C$224,$C11,'TL12'!$J$10:$J$224),0),
IF('TL12'!$B$229=M$3,SUMIF('TL12'!$C$238:$C$451,$C11,'TL12'!$J$238:$J$451),0),
IF('TL13'!$B$3=M$3,SUMIF('TL13'!$C$10:$C$224,$C11,'TL13'!$J$10:$J$224),0),
IF('TL13'!$B$229=M$3,SUMIF('TL13'!$C$238:$C$451,$C11,'TL13'!$J$238:$J$451),0),
IF('TL14'!$B$3=M$3,SUMIF('TL14'!$C$10:$C$224,$C11,'TL14'!$J$10:$J$224),0),
IF('TL14'!$B$229=M$3,SUMIF('TL14'!$C$238:$C$451,$C11,'TL14'!$J$238:$J$451),0),
IF('TL15'!$B$3=M$3,SUMIF('TL15'!$C$10:$C$224,$C11,'TL15'!$J$10:$J$224),0),
IF('TL15'!$B$229=M$3,SUMIF('TL15'!$C$238:$C$451,$C11,'TL15'!$J$238:$J$451),0),
IF('TL16'!$B$3=M$3,SUMIF('TL16'!$C$10:$C$224,$C11,'TL16'!$J$10:$J$224),0),
IF('TL16'!$B$229=M$3,SUMIF('TL16'!$C$238:$C$451,$C11,'TL16'!$J$238:$J$451),0),
IF('TL17'!$B$3=M$3,SUMIF('TL17'!$C$10:$C$224,$C11,'TL17'!$J$10:$J$224),0),
IF('TL17'!$B$229=M$3,SUMIF('TL17'!$C$238:$C$451,$C11,'TL17'!$J$238:$J$451),0),
IF('TL18'!$B$3=M$3,SUMIF('TL18'!$C$10:$C$224,$C11,'TL18'!$J$10:$J$224),0),
IF('TL18'!$B$229=M$3,SUMIF('TL18'!$C$238:$C$451,$C11,'TL18'!$J$238:$J$451),0),
IF('TL19'!$B$3=M$3,SUMIF('TL19'!$C$10:$C$224,$C11,'TL19'!$J$10:$J$224),0),
IF('TL19'!$B$229=M$3,SUMIF('TL19'!$C$238:$C$451,$C11,'TL19'!$J$238:$J$451),0)
),0)</f>
        <v>0</v>
      </c>
      <c r="N11" s="9">
        <f>IFERROR(SUM(
IF('TL01'!$B$3=N$3,SUMIF('TL01'!$C$10:$C$224,$C11,'TL01'!$J$10:$J$224),0),
IF('TL01'!$B$229=N$3,SUMIF('TL01'!$C$238:$C$451,$C11,'TL01'!$J$238:$J$451),0),
IF('TL02'!$B$3=N$3,SUMIF('TL02'!$C$10:$C$224,$C11,'TL02'!$J$10:$J$224),0),
IF('TL02'!$B$229=N$3,SUMIF('TL02'!$C$238:$C$451,$C11,'TL02'!$J$238:$J$451),0),
IF('TL03'!$B$3=N$3,SUMIF('TL03'!$C$10:$C$224,$C11,'TL03'!$J$10:$J$224),0),
IF('TL03'!$B$229=N$3,SUMIF('TL03'!$C$238:$C$451,$C11,'TL03'!$J$238:$J$451),0),
IF('TL04'!$B$3=N$3,SUMIF('TL04'!$C$10:$C$224,$C11,'TL04'!$J$10:$J$224),0),
IF('TL04'!$B$229=N$3,SUMIF('TL04'!$C$238:$C$451,$C11,'TL04'!$J$238:$J$451),0),
IF('TL05'!$B$3=N$3,SUMIF('TL05'!$C$10:$C$224,$C11,'TL05'!$J$10:$J$224),0),
IF('TL05'!$B$229=N$3,SUMIF('TL05'!$C$238:$C$451,$C11,'TL05'!$J$238:$J$451),0),
IF('TL06'!$B$3=N$3,SUMIF('TL06'!$C$10:$C$224,$C11,'TL06'!$J$10:$J$224),0),
IF('TL06'!$B$229=N$3,SUMIF('TL06'!$C$238:$C$451,$C11,'TL06'!$J$238:$J$451),0),
IF('TL07'!$B$3=N$3,SUMIF('TL07'!$C$10:$C$224,$C11,'TL07'!$J$10:$J$224),0),
IF('TL07'!$B$229=N$3,SUMIF('TL07'!$C$238:$C$451,$C11,'TL07'!$J$238:$J$451),0),
IF('TL08'!$B$3=N$3,SUMIF('TL08'!$C$10:$C$224,$C11,'TL08'!$J$10:$J$224),0),
IF('TL08'!$B$229=N$3,SUMIF('TL08'!$C$238:$C$451,$C11,'TL08'!$J$238:$J$451),0),
IF('TL09'!$B$3=N$3,SUMIF('TL09'!$C$10:$C$224,$C11,'TL09'!$J$10:$J$224),0),
IF('TL09'!$B$229=N$3,SUMIF('TL09'!$C$238:$C$451,$C11,'TL09'!$J$238:$J$451),0),
IF('TL10'!$B$3=N$3,SUMIF('TL10'!$C$10:$C$224,$C11,'TL10'!$J$10:$J$224),0),
IF('TL10'!$B$229=N$3,SUMIF('TL10'!$C$238:$C$451,$C11,'TL10'!$J$238:$J$451),0),
IF('TL11'!$B$3=N$3,SUMIF('TL11'!$C$10:$C$224,$C11,'TL11'!$J$10:$J$224),0),
IF('TL11'!$B$229=N$3,SUMIF('TL11'!$C$238:$C$451,$C11,'TL11'!$J$238:$J$451),0),
IF('TL12'!$B$3=N$3,SUMIF('TL12'!$C$10:$C$224,$C11,'TL12'!$J$10:$J$224),0),
IF('TL12'!$B$229=N$3,SUMIF('TL12'!$C$238:$C$451,$C11,'TL12'!$J$238:$J$451),0),
IF('TL13'!$B$3=N$3,SUMIF('TL13'!$C$10:$C$224,$C11,'TL13'!$J$10:$J$224),0),
IF('TL13'!$B$229=N$3,SUMIF('TL13'!$C$238:$C$451,$C11,'TL13'!$J$238:$J$451),0),
IF('TL14'!$B$3=N$3,SUMIF('TL14'!$C$10:$C$224,$C11,'TL14'!$J$10:$J$224),0),
IF('TL14'!$B$229=N$3,SUMIF('TL14'!$C$238:$C$451,$C11,'TL14'!$J$238:$J$451),0),
IF('TL15'!$B$3=N$3,SUMIF('TL15'!$C$10:$C$224,$C11,'TL15'!$J$10:$J$224),0),
IF('TL15'!$B$229=N$3,SUMIF('TL15'!$C$238:$C$451,$C11,'TL15'!$J$238:$J$451),0),
IF('TL16'!$B$3=N$3,SUMIF('TL16'!$C$10:$C$224,$C11,'TL16'!$J$10:$J$224),0),
IF('TL16'!$B$229=N$3,SUMIF('TL16'!$C$238:$C$451,$C11,'TL16'!$J$238:$J$451),0),
IF('TL17'!$B$3=N$3,SUMIF('TL17'!$C$10:$C$224,$C11,'TL17'!$J$10:$J$224),0),
IF('TL17'!$B$229=N$3,SUMIF('TL17'!$C$238:$C$451,$C11,'TL17'!$J$238:$J$451),0),
IF('TL18'!$B$3=N$3,SUMIF('TL18'!$C$10:$C$224,$C11,'TL18'!$J$10:$J$224),0),
IF('TL18'!$B$229=N$3,SUMIF('TL18'!$C$238:$C$451,$C11,'TL18'!$J$238:$J$451),0),
IF('TL19'!$B$3=N$3,SUMIF('TL19'!$C$10:$C$224,$C11,'TL19'!$J$10:$J$224),0),
IF('TL19'!$B$229=N$3,SUMIF('TL19'!$C$238:$C$451,$C11,'TL19'!$J$238:$J$451),0)
),0)</f>
        <v>0</v>
      </c>
      <c r="O11" s="9">
        <f>IFERROR(SUM(
IF('TL01'!$B$3=O$3,SUMIF('TL01'!$C$10:$C$224,$C11,'TL01'!$J$10:$J$224),0),
IF('TL01'!$B$229=O$3,SUMIF('TL01'!$C$238:$C$451,$C11,'TL01'!$J$238:$J$451),0),
IF('TL02'!$B$3=O$3,SUMIF('TL02'!$C$10:$C$224,$C11,'TL02'!$J$10:$J$224),0),
IF('TL02'!$B$229=O$3,SUMIF('TL02'!$C$238:$C$451,$C11,'TL02'!$J$238:$J$451),0),
IF('TL03'!$B$3=O$3,SUMIF('TL03'!$C$10:$C$224,$C11,'TL03'!$J$10:$J$224),0),
IF('TL03'!$B$229=O$3,SUMIF('TL03'!$C$238:$C$451,$C11,'TL03'!$J$238:$J$451),0),
IF('TL04'!$B$3=O$3,SUMIF('TL04'!$C$10:$C$224,$C11,'TL04'!$J$10:$J$224),0),
IF('TL04'!$B$229=O$3,SUMIF('TL04'!$C$238:$C$451,$C11,'TL04'!$J$238:$J$451),0),
IF('TL05'!$B$3=O$3,SUMIF('TL05'!$C$10:$C$224,$C11,'TL05'!$J$10:$J$224),0),
IF('TL05'!$B$229=O$3,SUMIF('TL05'!$C$238:$C$451,$C11,'TL05'!$J$238:$J$451),0),
IF('TL06'!$B$3=O$3,SUMIF('TL06'!$C$10:$C$224,$C11,'TL06'!$J$10:$J$224),0),
IF('TL06'!$B$229=O$3,SUMIF('TL06'!$C$238:$C$451,$C11,'TL06'!$J$238:$J$451),0),
IF('TL07'!$B$3=O$3,SUMIF('TL07'!$C$10:$C$224,$C11,'TL07'!$J$10:$J$224),0),
IF('TL07'!$B$229=O$3,SUMIF('TL07'!$C$238:$C$451,$C11,'TL07'!$J$238:$J$451),0),
IF('TL08'!$B$3=O$3,SUMIF('TL08'!$C$10:$C$224,$C11,'TL08'!$J$10:$J$224),0),
IF('TL08'!$B$229=O$3,SUMIF('TL08'!$C$238:$C$451,$C11,'TL08'!$J$238:$J$451),0),
IF('TL09'!$B$3=O$3,SUMIF('TL09'!$C$10:$C$224,$C11,'TL09'!$J$10:$J$224),0),
IF('TL09'!$B$229=O$3,SUMIF('TL09'!$C$238:$C$451,$C11,'TL09'!$J$238:$J$451),0),
IF('TL10'!$B$3=O$3,SUMIF('TL10'!$C$10:$C$224,$C11,'TL10'!$J$10:$J$224),0),
IF('TL10'!$B$229=O$3,SUMIF('TL10'!$C$238:$C$451,$C11,'TL10'!$J$238:$J$451),0),
IF('TL11'!$B$3=O$3,SUMIF('TL11'!$C$10:$C$224,$C11,'TL11'!$J$10:$J$224),0),
IF('TL11'!$B$229=O$3,SUMIF('TL11'!$C$238:$C$451,$C11,'TL11'!$J$238:$J$451),0),
IF('TL12'!$B$3=O$3,SUMIF('TL12'!$C$10:$C$224,$C11,'TL12'!$J$10:$J$224),0),
IF('TL12'!$B$229=O$3,SUMIF('TL12'!$C$238:$C$451,$C11,'TL12'!$J$238:$J$451),0),
IF('TL13'!$B$3=O$3,SUMIF('TL13'!$C$10:$C$224,$C11,'TL13'!$J$10:$J$224),0),
IF('TL13'!$B$229=O$3,SUMIF('TL13'!$C$238:$C$451,$C11,'TL13'!$J$238:$J$451),0),
IF('TL14'!$B$3=O$3,SUMIF('TL14'!$C$10:$C$224,$C11,'TL14'!$J$10:$J$224),0),
IF('TL14'!$B$229=O$3,SUMIF('TL14'!$C$238:$C$451,$C11,'TL14'!$J$238:$J$451),0),
IF('TL15'!$B$3=O$3,SUMIF('TL15'!$C$10:$C$224,$C11,'TL15'!$J$10:$J$224),0),
IF('TL15'!$B$229=O$3,SUMIF('TL15'!$C$238:$C$451,$C11,'TL15'!$J$238:$J$451),0),
IF('TL16'!$B$3=O$3,SUMIF('TL16'!$C$10:$C$224,$C11,'TL16'!$J$10:$J$224),0),
IF('TL16'!$B$229=O$3,SUMIF('TL16'!$C$238:$C$451,$C11,'TL16'!$J$238:$J$451),0),
IF('TL17'!$B$3=O$3,SUMIF('TL17'!$C$10:$C$224,$C11,'TL17'!$J$10:$J$224),0),
IF('TL17'!$B$229=O$3,SUMIF('TL17'!$C$238:$C$451,$C11,'TL17'!$J$238:$J$451),0),
IF('TL18'!$B$3=O$3,SUMIF('TL18'!$C$10:$C$224,$C11,'TL18'!$J$10:$J$224),0),
IF('TL18'!$B$229=O$3,SUMIF('TL18'!$C$238:$C$451,$C11,'TL18'!$J$238:$J$451),0),
IF('TL19'!$B$3=O$3,SUMIF('TL19'!$C$10:$C$224,$C11,'TL19'!$J$10:$J$224),0),
IF('TL19'!$B$229=O$3,SUMIF('TL19'!$C$238:$C$451,$C11,'TL19'!$J$238:$J$451),0)
),0)</f>
        <v>0</v>
      </c>
      <c r="P11" s="9">
        <f>IFERROR(SUM(
IF('TL01'!$B$3=P$3,SUMIF('TL01'!$C$10:$C$224,$C11,'TL01'!$J$10:$J$224),0),
IF('TL01'!$B$229=P$3,SUMIF('TL01'!$C$238:$C$451,$C11,'TL01'!$J$238:$J$451),0),
IF('TL02'!$B$3=P$3,SUMIF('TL02'!$C$10:$C$224,$C11,'TL02'!$J$10:$J$224),0),
IF('TL02'!$B$229=P$3,SUMIF('TL02'!$C$238:$C$451,$C11,'TL02'!$J$238:$J$451),0),
IF('TL03'!$B$3=P$3,SUMIF('TL03'!$C$10:$C$224,$C11,'TL03'!$J$10:$J$224),0),
IF('TL03'!$B$229=P$3,SUMIF('TL03'!$C$238:$C$451,$C11,'TL03'!$J$238:$J$451),0),
IF('TL04'!$B$3=P$3,SUMIF('TL04'!$C$10:$C$224,$C11,'TL04'!$J$10:$J$224),0),
IF('TL04'!$B$229=P$3,SUMIF('TL04'!$C$238:$C$451,$C11,'TL04'!$J$238:$J$451),0),
IF('TL05'!$B$3=P$3,SUMIF('TL05'!$C$10:$C$224,$C11,'TL05'!$J$10:$J$224),0),
IF('TL05'!$B$229=P$3,SUMIF('TL05'!$C$238:$C$451,$C11,'TL05'!$J$238:$J$451),0),
IF('TL06'!$B$3=P$3,SUMIF('TL06'!$C$10:$C$224,$C11,'TL06'!$J$10:$J$224),0),
IF('TL06'!$B$229=P$3,SUMIF('TL06'!$C$238:$C$451,$C11,'TL06'!$J$238:$J$451),0),
IF('TL07'!$B$3=P$3,SUMIF('TL07'!$C$10:$C$224,$C11,'TL07'!$J$10:$J$224),0),
IF('TL07'!$B$229=P$3,SUMIF('TL07'!$C$238:$C$451,$C11,'TL07'!$J$238:$J$451),0),
IF('TL08'!$B$3=P$3,SUMIF('TL08'!$C$10:$C$224,$C11,'TL08'!$J$10:$J$224),0),
IF('TL08'!$B$229=P$3,SUMIF('TL08'!$C$238:$C$451,$C11,'TL08'!$J$238:$J$451),0),
IF('TL09'!$B$3=P$3,SUMIF('TL09'!$C$10:$C$224,$C11,'TL09'!$J$10:$J$224),0),
IF('TL09'!$B$229=P$3,SUMIF('TL09'!$C$238:$C$451,$C11,'TL09'!$J$238:$J$451),0),
IF('TL10'!$B$3=P$3,SUMIF('TL10'!$C$10:$C$224,$C11,'TL10'!$J$10:$J$224),0),
IF('TL10'!$B$229=P$3,SUMIF('TL10'!$C$238:$C$451,$C11,'TL10'!$J$238:$J$451),0),
IF('TL11'!$B$3=P$3,SUMIF('TL11'!$C$10:$C$224,$C11,'TL11'!$J$10:$J$224),0),
IF('TL11'!$B$229=P$3,SUMIF('TL11'!$C$238:$C$451,$C11,'TL11'!$J$238:$J$451),0),
IF('TL12'!$B$3=P$3,SUMIF('TL12'!$C$10:$C$224,$C11,'TL12'!$J$10:$J$224),0),
IF('TL12'!$B$229=P$3,SUMIF('TL12'!$C$238:$C$451,$C11,'TL12'!$J$238:$J$451),0),
IF('TL13'!$B$3=P$3,SUMIF('TL13'!$C$10:$C$224,$C11,'TL13'!$J$10:$J$224),0),
IF('TL13'!$B$229=P$3,SUMIF('TL13'!$C$238:$C$451,$C11,'TL13'!$J$238:$J$451),0),
IF('TL14'!$B$3=P$3,SUMIF('TL14'!$C$10:$C$224,$C11,'TL14'!$J$10:$J$224),0),
IF('TL14'!$B$229=P$3,SUMIF('TL14'!$C$238:$C$451,$C11,'TL14'!$J$238:$J$451),0),
IF('TL15'!$B$3=P$3,SUMIF('TL15'!$C$10:$C$224,$C11,'TL15'!$J$10:$J$224),0),
IF('TL15'!$B$229=P$3,SUMIF('TL15'!$C$238:$C$451,$C11,'TL15'!$J$238:$J$451),0),
IF('TL16'!$B$3=P$3,SUMIF('TL16'!$C$10:$C$224,$C11,'TL16'!$J$10:$J$224),0),
IF('TL16'!$B$229=P$3,SUMIF('TL16'!$C$238:$C$451,$C11,'TL16'!$J$238:$J$451),0),
IF('TL17'!$B$3=P$3,SUMIF('TL17'!$C$10:$C$224,$C11,'TL17'!$J$10:$J$224),0),
IF('TL17'!$B$229=P$3,SUMIF('TL17'!$C$238:$C$451,$C11,'TL17'!$J$238:$J$451),0),
IF('TL18'!$B$3=P$3,SUMIF('TL18'!$C$10:$C$224,$C11,'TL18'!$J$10:$J$224),0),
IF('TL18'!$B$229=P$3,SUMIF('TL18'!$C$238:$C$451,$C11,'TL18'!$J$238:$J$451),0),
IF('TL19'!$B$3=P$3,SUMIF('TL19'!$C$10:$C$224,$C11,'TL19'!$J$10:$J$224),0),
IF('TL19'!$B$229=P$3,SUMIF('TL19'!$C$238:$C$451,$C11,'TL19'!$J$238:$J$451),0)
),0)</f>
        <v>0</v>
      </c>
      <c r="Q11" s="9">
        <f>IFERROR(SUM(
IF('TL01'!$B$3=Q$3,SUMIF('TL01'!$C$10:$C$224,$C11,'TL01'!$J$10:$J$224),0),
IF('TL01'!$B$229=Q$3,SUMIF('TL01'!$C$238:$C$451,$C11,'TL01'!$J$238:$J$451),0),
IF('TL02'!$B$3=Q$3,SUMIF('TL02'!$C$10:$C$224,$C11,'TL02'!$J$10:$J$224),0),
IF('TL02'!$B$229=Q$3,SUMIF('TL02'!$C$238:$C$451,$C11,'TL02'!$J$238:$J$451),0),
IF('TL03'!$B$3=Q$3,SUMIF('TL03'!$C$10:$C$224,$C11,'TL03'!$J$10:$J$224),0),
IF('TL03'!$B$229=Q$3,SUMIF('TL03'!$C$238:$C$451,$C11,'TL03'!$J$238:$J$451),0),
IF('TL04'!$B$3=Q$3,SUMIF('TL04'!$C$10:$C$224,$C11,'TL04'!$J$10:$J$224),0),
IF('TL04'!$B$229=Q$3,SUMIF('TL04'!$C$238:$C$451,$C11,'TL04'!$J$238:$J$451),0),
IF('TL05'!$B$3=Q$3,SUMIF('TL05'!$C$10:$C$224,$C11,'TL05'!$J$10:$J$224),0),
IF('TL05'!$B$229=Q$3,SUMIF('TL05'!$C$238:$C$451,$C11,'TL05'!$J$238:$J$451),0),
IF('TL06'!$B$3=Q$3,SUMIF('TL06'!$C$10:$C$224,$C11,'TL06'!$J$10:$J$224),0),
IF('TL06'!$B$229=Q$3,SUMIF('TL06'!$C$238:$C$451,$C11,'TL06'!$J$238:$J$451),0),
IF('TL07'!$B$3=Q$3,SUMIF('TL07'!$C$10:$C$224,$C11,'TL07'!$J$10:$J$224),0),
IF('TL07'!$B$229=Q$3,SUMIF('TL07'!$C$238:$C$451,$C11,'TL07'!$J$238:$J$451),0),
IF('TL08'!$B$3=Q$3,SUMIF('TL08'!$C$10:$C$224,$C11,'TL08'!$J$10:$J$224),0),
IF('TL08'!$B$229=Q$3,SUMIF('TL08'!$C$238:$C$451,$C11,'TL08'!$J$238:$J$451),0),
IF('TL09'!$B$3=Q$3,SUMIF('TL09'!$C$10:$C$224,$C11,'TL09'!$J$10:$J$224),0),
IF('TL09'!$B$229=Q$3,SUMIF('TL09'!$C$238:$C$451,$C11,'TL09'!$J$238:$J$451),0),
IF('TL10'!$B$3=Q$3,SUMIF('TL10'!$C$10:$C$224,$C11,'TL10'!$J$10:$J$224),0),
IF('TL10'!$B$229=Q$3,SUMIF('TL10'!$C$238:$C$451,$C11,'TL10'!$J$238:$J$451),0),
IF('TL11'!$B$3=Q$3,SUMIF('TL11'!$C$10:$C$224,$C11,'TL11'!$J$10:$J$224),0),
IF('TL11'!$B$229=Q$3,SUMIF('TL11'!$C$238:$C$451,$C11,'TL11'!$J$238:$J$451),0),
IF('TL12'!$B$3=Q$3,SUMIF('TL12'!$C$10:$C$224,$C11,'TL12'!$J$10:$J$224),0),
IF('TL12'!$B$229=Q$3,SUMIF('TL12'!$C$238:$C$451,$C11,'TL12'!$J$238:$J$451),0),
IF('TL13'!$B$3=Q$3,SUMIF('TL13'!$C$10:$C$224,$C11,'TL13'!$J$10:$J$224),0),
IF('TL13'!$B$229=Q$3,SUMIF('TL13'!$C$238:$C$451,$C11,'TL13'!$J$238:$J$451),0),
IF('TL14'!$B$3=Q$3,SUMIF('TL14'!$C$10:$C$224,$C11,'TL14'!$J$10:$J$224),0),
IF('TL14'!$B$229=Q$3,SUMIF('TL14'!$C$238:$C$451,$C11,'TL14'!$J$238:$J$451),0),
IF('TL15'!$B$3=Q$3,SUMIF('TL15'!$C$10:$C$224,$C11,'TL15'!$J$10:$J$224),0),
IF('TL15'!$B$229=Q$3,SUMIF('TL15'!$C$238:$C$451,$C11,'TL15'!$J$238:$J$451),0),
IF('TL16'!$B$3=Q$3,SUMIF('TL16'!$C$10:$C$224,$C11,'TL16'!$J$10:$J$224),0),
IF('TL16'!$B$229=Q$3,SUMIF('TL16'!$C$238:$C$451,$C11,'TL16'!$J$238:$J$451),0),
IF('TL17'!$B$3=Q$3,SUMIF('TL17'!$C$10:$C$224,$C11,'TL17'!$J$10:$J$224),0),
IF('TL17'!$B$229=Q$3,SUMIF('TL17'!$C$238:$C$451,$C11,'TL17'!$J$238:$J$451),0),
IF('TL18'!$B$3=Q$3,SUMIF('TL18'!$C$10:$C$224,$C11,'TL18'!$J$10:$J$224),0),
IF('TL18'!$B$229=Q$3,SUMIF('TL18'!$C$238:$C$451,$C11,'TL18'!$J$238:$J$451),0),
IF('TL19'!$B$3=Q$3,SUMIF('TL19'!$C$10:$C$224,$C11,'TL19'!$J$10:$J$224),0),
IF('TL19'!$B$229=Q$3,SUMIF('TL19'!$C$238:$C$451,$C11,'TL19'!$J$238:$J$451),0)
),0)</f>
        <v>0</v>
      </c>
      <c r="R11" s="9">
        <f>IFERROR(
SUM(
SUMIF('TL01'!C:C,C11,'TL01'!J:J),
SUMIF('TL02'!C:C,C11,'TL02'!J:J),
SUMIF('TL03'!C:C,C11,'TL03'!J:J),
SUMIF('TL04'!C:C,C11,'TL04'!J:J),
SUMIF('TL05'!C:C,C11,'TL05'!J:J),
SUMIF('TL06'!C:C,C11,'TL06'!J:J),
SUMIF('TL07'!C:C,C11,'TL07'!J:J),
SUMIF('TL08'!C:C,C11,'TL08'!J:J),
SUMIF('TL09'!C:C,C11,'TL09'!J:J),
SUMIF('TL10'!C:C,C11,'TL10'!J:J),
SUMIF('TL11'!C:C,C11,'TL11'!J:J),
SUMIF('TL12'!C:C,C11,'TL12'!J:J),
SUMIF('TL13'!C:C,C11,'TL13'!J:J),
SUMIF('TL14'!C:C,C11,'TL14'!J:J),
SUMIF('TL15'!C:C,C11,'TL15'!J:J),
SUMIF('TL16'!C:C,C11,'TL16'!J:J),
SUMIF('TL17'!C:C,C11,'TL17'!J:J),
SUMIF('TL18'!C:C,C11,'TL18'!J:J),SUMIF('TL19'!C:C,C11,'TL19'!J:J))
,0)</f>
        <v>0</v>
      </c>
      <c r="S11" s="17">
        <f>IFERROR(__xludf.DUMMYFUNCTION("IFERROR(VLOOKUP(C11,
IMPORTRANGE(""1wULbzX32WdYsx-lj2U3uUNBBe2INVIRDtcK0d-Dvl90"",
""26-27!C:G""),
5,
FALSE),
"""")"),35.746900000000004)</f>
        <v>35.7469</v>
      </c>
      <c r="T11" s="9"/>
      <c r="U11" s="92">
        <f t="shared" si="2"/>
        <v>0</v>
      </c>
      <c r="V11" s="93">
        <f t="shared" si="3"/>
        <v>0</v>
      </c>
    </row>
    <row r="12" ht="22.5" hidden="1" customHeight="1">
      <c r="A12" s="87" t="s">
        <v>358</v>
      </c>
      <c r="B12" s="88" t="s">
        <v>6</v>
      </c>
      <c r="C12" s="89" t="s">
        <v>363</v>
      </c>
      <c r="D12" s="89" t="s">
        <v>364</v>
      </c>
      <c r="E12" s="89">
        <v>752.0</v>
      </c>
      <c r="F12" s="4" t="s">
        <v>343</v>
      </c>
      <c r="G12" s="90" t="str">
        <f t="shared" si="1"/>
        <v>📄 Ver bula</v>
      </c>
      <c r="H12" s="9">
        <f>IFERROR(__xludf.DUMMYFUNCTION("IFERROR(VLOOKUP(C12,
IMPORTRANGE(""1wULbzX32WdYsx-lj2U3uUNBBe2INVIRDtcK0d-Dvl90"",
""26-27!C:K""),
8,
FALSE),
"""")"),0.2)</f>
        <v>0.2</v>
      </c>
      <c r="I12" s="91" t="s">
        <v>344</v>
      </c>
      <c r="J12" s="9">
        <f>IFERROR(SUM(
IF('TL01'!$B$3=J$3,SUMIF('TL01'!$C$10:$C$224,$C12,'TL01'!$J$10:$J$224),0),
IF('TL01'!$B$229=J$3,SUMIF('TL01'!$C$238:$C$451,$C12,'TL01'!$J$238:$J$451),0),
IF('TL02'!$B$3=J$3,SUMIF('TL02'!$C$10:$C$224,$C12,'TL02'!$J$10:$J$224),0),
IF('TL02'!$B$229=J$3,SUMIF('TL02'!$C$238:$C$451,$C12,'TL02'!$J$238:$J$451),0),
IF('TL03'!$B$3=J$3,SUMIF('TL03'!$C$10:$C$224,$C12,'TL03'!$J$10:$J$224),0),
IF('TL03'!$B$229=J$3,SUMIF('TL03'!$C$238:$C$451,$C12,'TL03'!$J$238:$J$451),0),
IF('TL04'!$B$3=J$3,SUMIF('TL04'!$C$10:$C$224,$C12,'TL04'!$J$10:$J$224),0),
IF('TL04'!$B$229=J$3,SUMIF('TL04'!$C$238:$C$451,$C12,'TL04'!$J$238:$J$451),0),
IF('TL05'!$B$3=J$3,SUMIF('TL05'!$C$10:$C$224,$C12,'TL05'!$J$10:$J$224),0),
IF('TL05'!$B$229=J$3,SUMIF('TL05'!$C$238:$C$451,$C12,'TL05'!$J$238:$J$451),0),
IF('TL06'!$B$3=J$3,SUMIF('TL06'!$C$10:$C$224,$C12,'TL06'!$J$10:$J$224),0),
IF('TL06'!$B$229=J$3,SUMIF('TL06'!$C$238:$C$451,$C12,'TL06'!$J$238:$J$451),0),
IF('TL07'!$B$3=J$3,SUMIF('TL07'!$C$10:$C$224,$C12,'TL07'!$J$10:$J$224),0),
IF('TL07'!$B$229=J$3,SUMIF('TL07'!$C$238:$C$451,$C12,'TL07'!$J$238:$J$451),0),
IF('TL08'!$B$3=J$3,SUMIF('TL08'!$C$10:$C$224,$C12,'TL08'!$J$10:$J$224),0),
IF('TL08'!$B$229=J$3,SUMIF('TL08'!$C$238:$C$451,$C12,'TL08'!$J$238:$J$451),0),
IF('TL09'!$B$3=J$3,SUMIF('TL09'!$C$10:$C$224,$C12,'TL09'!$J$10:$J$224),0),
IF('TL09'!$B$229=J$3,SUMIF('TL09'!$C$238:$C$451,$C12,'TL09'!$J$238:$J$451),0),
IF('TL10'!$B$3=J$3,SUMIF('TL10'!$C$10:$C$224,$C12,'TL10'!$J$10:$J$224),0),
IF('TL10'!$B$229=J$3,SUMIF('TL10'!$C$238:$C$451,$C12,'TL10'!$J$238:$J$451),0),
IF('TL11'!$B$3=J$3,SUMIF('TL11'!$C$10:$C$224,$C12,'TL11'!$J$10:$J$224),0),
IF('TL11'!$B$229=J$3,SUMIF('TL11'!$C$238:$C$451,$C12,'TL11'!$J$238:$J$451),0),
IF('TL12'!$B$3=J$3,SUMIF('TL12'!$C$10:$C$224,$C12,'TL12'!$J$10:$J$224),0),
IF('TL12'!$B$229=J$3,SUMIF('TL12'!$C$238:$C$451,$C12,'TL12'!$J$238:$J$451),0),
IF('TL13'!$B$3=J$3,SUMIF('TL13'!$C$10:$C$224,$C12,'TL13'!$J$10:$J$224),0),
IF('TL13'!$B$229=J$3,SUMIF('TL13'!$C$238:$C$451,$C12,'TL13'!$J$238:$J$451),0),
IF('TL14'!$B$3=J$3,SUMIF('TL14'!$C$10:$C$224,$C12,'TL14'!$J$10:$J$224),0),
IF('TL14'!$B$229=J$3,SUMIF('TL14'!$C$238:$C$451,$C12,'TL14'!$J$238:$J$451),0),
IF('TL15'!$B$3=J$3,SUMIF('TL15'!$C$10:$C$224,$C12,'TL15'!$J$10:$J$224),0),
IF('TL15'!$B$229=J$3,SUMIF('TL15'!$C$238:$C$451,$C12,'TL15'!$J$238:$J$451),0),
IF('TL16'!$B$3=J$3,SUMIF('TL16'!$C$10:$C$224,$C12,'TL16'!$J$10:$J$224),0),
IF('TL16'!$B$229=J$3,SUMIF('TL16'!$C$238:$C$451,$C12,'TL16'!$J$238:$J$451),0),
IF('TL17'!$B$3=J$3,SUMIF('TL17'!$C$10:$C$224,$C12,'TL17'!$J$10:$J$224),0),
IF('TL17'!$B$229=J$3,SUMIF('TL17'!$C$238:$C$451,$C12,'TL17'!$J$238:$J$451),0),
IF('TL18'!$B$3=J$3,SUMIF('TL18'!$C$10:$C$224,$C12,'TL18'!$J$10:$J$224),0),
IF('TL18'!$B$229=J$3,SUMIF('TL18'!$C$238:$C$451,$C12,'TL18'!$J$238:$J$451),0),
IF('TL19'!$B$3=J$3,SUMIF('TL19'!$C$10:$C$224,$C12,'TL19'!$J$10:$J$224),0),
IF('TL19'!$B$229=J$3,SUMIF('TL19'!$C$238:$C$451,$C12,'TL19'!$J$238:$J$451),0)
),0)</f>
        <v>0</v>
      </c>
      <c r="K12" s="9">
        <f>IFERROR(SUM(
IF('TL01'!$B$3=K$3,SUMIF('TL01'!$C$10:$C$224,$C12,'TL01'!$J$10:$J$224),0),
IF('TL01'!$B$229=K$3,SUMIF('TL01'!$C$238:$C$451,$C12,'TL01'!$J$238:$J$451),0),
IF('TL02'!$B$3=K$3,SUMIF('TL02'!$C$10:$C$224,$C12,'TL02'!$J$10:$J$224),0),
IF('TL02'!$B$229=K$3,SUMIF('TL02'!$C$238:$C$451,$C12,'TL02'!$J$238:$J$451),0),
IF('TL03'!$B$3=K$3,SUMIF('TL03'!$C$10:$C$224,$C12,'TL03'!$J$10:$J$224),0),
IF('TL03'!$B$229=K$3,SUMIF('TL03'!$C$238:$C$451,$C12,'TL03'!$J$238:$J$451),0),
IF('TL04'!$B$3=K$3,SUMIF('TL04'!$C$10:$C$224,$C12,'TL04'!$J$10:$J$224),0),
IF('TL04'!$B$229=K$3,SUMIF('TL04'!$C$238:$C$451,$C12,'TL04'!$J$238:$J$451),0),
IF('TL05'!$B$3=K$3,SUMIF('TL05'!$C$10:$C$224,$C12,'TL05'!$J$10:$J$224),0),
IF('TL05'!$B$229=K$3,SUMIF('TL05'!$C$238:$C$451,$C12,'TL05'!$J$238:$J$451),0),
IF('TL06'!$B$3=K$3,SUMIF('TL06'!$C$10:$C$224,$C12,'TL06'!$J$10:$J$224),0),
IF('TL06'!$B$229=K$3,SUMIF('TL06'!$C$238:$C$451,$C12,'TL06'!$J$238:$J$451),0),
IF('TL07'!$B$3=K$3,SUMIF('TL07'!$C$10:$C$224,$C12,'TL07'!$J$10:$J$224),0),
IF('TL07'!$B$229=K$3,SUMIF('TL07'!$C$238:$C$451,$C12,'TL07'!$J$238:$J$451),0),
IF('TL08'!$B$3=K$3,SUMIF('TL08'!$C$10:$C$224,$C12,'TL08'!$J$10:$J$224),0),
IF('TL08'!$B$229=K$3,SUMIF('TL08'!$C$238:$C$451,$C12,'TL08'!$J$238:$J$451),0),
IF('TL09'!$B$3=K$3,SUMIF('TL09'!$C$10:$C$224,$C12,'TL09'!$J$10:$J$224),0),
IF('TL09'!$B$229=K$3,SUMIF('TL09'!$C$238:$C$451,$C12,'TL09'!$J$238:$J$451),0),
IF('TL10'!$B$3=K$3,SUMIF('TL10'!$C$10:$C$224,$C12,'TL10'!$J$10:$J$224),0),
IF('TL10'!$B$229=K$3,SUMIF('TL10'!$C$238:$C$451,$C12,'TL10'!$J$238:$J$451),0),
IF('TL11'!$B$3=K$3,SUMIF('TL11'!$C$10:$C$224,$C12,'TL11'!$J$10:$J$224),0),
IF('TL11'!$B$229=K$3,SUMIF('TL11'!$C$238:$C$451,$C12,'TL11'!$J$238:$J$451),0),
IF('TL12'!$B$3=K$3,SUMIF('TL12'!$C$10:$C$224,$C12,'TL12'!$J$10:$J$224),0),
IF('TL12'!$B$229=K$3,SUMIF('TL12'!$C$238:$C$451,$C12,'TL12'!$J$238:$J$451),0),
IF('TL13'!$B$3=K$3,SUMIF('TL13'!$C$10:$C$224,$C12,'TL13'!$J$10:$J$224),0),
IF('TL13'!$B$229=K$3,SUMIF('TL13'!$C$238:$C$451,$C12,'TL13'!$J$238:$J$451),0),
IF('TL14'!$B$3=K$3,SUMIF('TL14'!$C$10:$C$224,$C12,'TL14'!$J$10:$J$224),0),
IF('TL14'!$B$229=K$3,SUMIF('TL14'!$C$238:$C$451,$C12,'TL14'!$J$238:$J$451),0),
IF('TL15'!$B$3=K$3,SUMIF('TL15'!$C$10:$C$224,$C12,'TL15'!$J$10:$J$224),0),
IF('TL15'!$B$229=K$3,SUMIF('TL15'!$C$238:$C$451,$C12,'TL15'!$J$238:$J$451),0),
IF('TL16'!$B$3=K$3,SUMIF('TL16'!$C$10:$C$224,$C12,'TL16'!$J$10:$J$224),0),
IF('TL16'!$B$229=K$3,SUMIF('TL16'!$C$238:$C$451,$C12,'TL16'!$J$238:$J$451),0),
IF('TL17'!$B$3=K$3,SUMIF('TL17'!$C$10:$C$224,$C12,'TL17'!$J$10:$J$224),0),
IF('TL17'!$B$229=K$3,SUMIF('TL17'!$C$238:$C$451,$C12,'TL17'!$J$238:$J$451),0),
IF('TL18'!$B$3=K$3,SUMIF('TL18'!$C$10:$C$224,$C12,'TL18'!$J$10:$J$224),0),
IF('TL18'!$B$229=K$3,SUMIF('TL18'!$C$238:$C$451,$C12,'TL18'!$J$238:$J$451),0),
IF('TL19'!$B$3=K$3,SUMIF('TL19'!$C$10:$C$224,$C12,'TL19'!$J$10:$J$224),0),
IF('TL19'!$B$229=K$3,SUMIF('TL19'!$C$238:$C$451,$C12,'TL19'!$J$238:$J$451),0)
),0)</f>
        <v>0</v>
      </c>
      <c r="L12" s="9">
        <f>IFERROR(SUM(
IF('TL01'!$B$3=L$3,SUMIF('TL01'!$C$10:$C$224,$C12,'TL01'!$J$10:$J$224),0),
IF('TL01'!$B$229=L$3,SUMIF('TL01'!$C$238:$C$451,$C12,'TL01'!$J$238:$J$451),0),
IF('TL02'!$B$3=L$3,SUMIF('TL02'!$C$10:$C$224,$C12,'TL02'!$J$10:$J$224),0),
IF('TL02'!$B$229=L$3,SUMIF('TL02'!$C$238:$C$451,$C12,'TL02'!$J$238:$J$451),0),
IF('TL03'!$B$3=L$3,SUMIF('TL03'!$C$10:$C$224,$C12,'TL03'!$J$10:$J$224),0),
IF('TL03'!$B$229=L$3,SUMIF('TL03'!$C$238:$C$451,$C12,'TL03'!$J$238:$J$451),0),
IF('TL04'!$B$3=L$3,SUMIF('TL04'!$C$10:$C$224,$C12,'TL04'!$J$10:$J$224),0),
IF('TL04'!$B$229=L$3,SUMIF('TL04'!$C$238:$C$451,$C12,'TL04'!$J$238:$J$451),0),
IF('TL05'!$B$3=L$3,SUMIF('TL05'!$C$10:$C$224,$C12,'TL05'!$J$10:$J$224),0),
IF('TL05'!$B$229=L$3,SUMIF('TL05'!$C$238:$C$451,$C12,'TL05'!$J$238:$J$451),0),
IF('TL06'!$B$3=L$3,SUMIF('TL06'!$C$10:$C$224,$C12,'TL06'!$J$10:$J$224),0),
IF('TL06'!$B$229=L$3,SUMIF('TL06'!$C$238:$C$451,$C12,'TL06'!$J$238:$J$451),0),
IF('TL07'!$B$3=L$3,SUMIF('TL07'!$C$10:$C$224,$C12,'TL07'!$J$10:$J$224),0),
IF('TL07'!$B$229=L$3,SUMIF('TL07'!$C$238:$C$451,$C12,'TL07'!$J$238:$J$451),0),
IF('TL08'!$B$3=L$3,SUMIF('TL08'!$C$10:$C$224,$C12,'TL08'!$J$10:$J$224),0),
IF('TL08'!$B$229=L$3,SUMIF('TL08'!$C$238:$C$451,$C12,'TL08'!$J$238:$J$451),0),
IF('TL09'!$B$3=L$3,SUMIF('TL09'!$C$10:$C$224,$C12,'TL09'!$J$10:$J$224),0),
IF('TL09'!$B$229=L$3,SUMIF('TL09'!$C$238:$C$451,$C12,'TL09'!$J$238:$J$451),0),
IF('TL10'!$B$3=L$3,SUMIF('TL10'!$C$10:$C$224,$C12,'TL10'!$J$10:$J$224),0),
IF('TL10'!$B$229=L$3,SUMIF('TL10'!$C$238:$C$451,$C12,'TL10'!$J$238:$J$451),0),
IF('TL11'!$B$3=L$3,SUMIF('TL11'!$C$10:$C$224,$C12,'TL11'!$J$10:$J$224),0),
IF('TL11'!$B$229=L$3,SUMIF('TL11'!$C$238:$C$451,$C12,'TL11'!$J$238:$J$451),0),
IF('TL12'!$B$3=L$3,SUMIF('TL12'!$C$10:$C$224,$C12,'TL12'!$J$10:$J$224),0),
IF('TL12'!$B$229=L$3,SUMIF('TL12'!$C$238:$C$451,$C12,'TL12'!$J$238:$J$451),0),
IF('TL13'!$B$3=L$3,SUMIF('TL13'!$C$10:$C$224,$C12,'TL13'!$J$10:$J$224),0),
IF('TL13'!$B$229=L$3,SUMIF('TL13'!$C$238:$C$451,$C12,'TL13'!$J$238:$J$451),0),
IF('TL14'!$B$3=L$3,SUMIF('TL14'!$C$10:$C$224,$C12,'TL14'!$J$10:$J$224),0),
IF('TL14'!$B$229=L$3,SUMIF('TL14'!$C$238:$C$451,$C12,'TL14'!$J$238:$J$451),0),
IF('TL15'!$B$3=L$3,SUMIF('TL15'!$C$10:$C$224,$C12,'TL15'!$J$10:$J$224),0),
IF('TL15'!$B$229=L$3,SUMIF('TL15'!$C$238:$C$451,$C12,'TL15'!$J$238:$J$451),0),
IF('TL16'!$B$3=L$3,SUMIF('TL16'!$C$10:$C$224,$C12,'TL16'!$J$10:$J$224),0),
IF('TL16'!$B$229=L$3,SUMIF('TL16'!$C$238:$C$451,$C12,'TL16'!$J$238:$J$451),0),
IF('TL17'!$B$3=L$3,SUMIF('TL17'!$C$10:$C$224,$C12,'TL17'!$J$10:$J$224),0),
IF('TL17'!$B$229=L$3,SUMIF('TL17'!$C$238:$C$451,$C12,'TL17'!$J$238:$J$451),0),
IF('TL18'!$B$3=L$3,SUMIF('TL18'!$C$10:$C$224,$C12,'TL18'!$J$10:$J$224),0),
IF('TL18'!$B$229=L$3,SUMIF('TL18'!$C$238:$C$451,$C12,'TL18'!$J$238:$J$451),0),
IF('TL19'!$B$3=L$3,SUMIF('TL19'!$C$10:$C$224,$C12,'TL19'!$J$10:$J$224),0),
IF('TL19'!$B$229=L$3,SUMIF('TL19'!$C$238:$C$451,$C12,'TL19'!$J$238:$J$451),0)
),0)</f>
        <v>0</v>
      </c>
      <c r="M12" s="9">
        <f>IFERROR(SUM(
IF('TL01'!$B$3=M$3,SUMIF('TL01'!$C$10:$C$224,$C12,'TL01'!$J$10:$J$224),0),
IF('TL01'!$B$229=M$3,SUMIF('TL01'!$C$238:$C$451,$C12,'TL01'!$J$238:$J$451),0),
IF('TL02'!$B$3=M$3,SUMIF('TL02'!$C$10:$C$224,$C12,'TL02'!$J$10:$J$224),0),
IF('TL02'!$B$229=M$3,SUMIF('TL02'!$C$238:$C$451,$C12,'TL02'!$J$238:$J$451),0),
IF('TL03'!$B$3=M$3,SUMIF('TL03'!$C$10:$C$224,$C12,'TL03'!$J$10:$J$224),0),
IF('TL03'!$B$229=M$3,SUMIF('TL03'!$C$238:$C$451,$C12,'TL03'!$J$238:$J$451),0),
IF('TL04'!$B$3=M$3,SUMIF('TL04'!$C$10:$C$224,$C12,'TL04'!$J$10:$J$224),0),
IF('TL04'!$B$229=M$3,SUMIF('TL04'!$C$238:$C$451,$C12,'TL04'!$J$238:$J$451),0),
IF('TL05'!$B$3=M$3,SUMIF('TL05'!$C$10:$C$224,$C12,'TL05'!$J$10:$J$224),0),
IF('TL05'!$B$229=M$3,SUMIF('TL05'!$C$238:$C$451,$C12,'TL05'!$J$238:$J$451),0),
IF('TL06'!$B$3=M$3,SUMIF('TL06'!$C$10:$C$224,$C12,'TL06'!$J$10:$J$224),0),
IF('TL06'!$B$229=M$3,SUMIF('TL06'!$C$238:$C$451,$C12,'TL06'!$J$238:$J$451),0),
IF('TL07'!$B$3=M$3,SUMIF('TL07'!$C$10:$C$224,$C12,'TL07'!$J$10:$J$224),0),
IF('TL07'!$B$229=M$3,SUMIF('TL07'!$C$238:$C$451,$C12,'TL07'!$J$238:$J$451),0),
IF('TL08'!$B$3=M$3,SUMIF('TL08'!$C$10:$C$224,$C12,'TL08'!$J$10:$J$224),0),
IF('TL08'!$B$229=M$3,SUMIF('TL08'!$C$238:$C$451,$C12,'TL08'!$J$238:$J$451),0),
IF('TL09'!$B$3=M$3,SUMIF('TL09'!$C$10:$C$224,$C12,'TL09'!$J$10:$J$224),0),
IF('TL09'!$B$229=M$3,SUMIF('TL09'!$C$238:$C$451,$C12,'TL09'!$J$238:$J$451),0),
IF('TL10'!$B$3=M$3,SUMIF('TL10'!$C$10:$C$224,$C12,'TL10'!$J$10:$J$224),0),
IF('TL10'!$B$229=M$3,SUMIF('TL10'!$C$238:$C$451,$C12,'TL10'!$J$238:$J$451),0),
IF('TL11'!$B$3=M$3,SUMIF('TL11'!$C$10:$C$224,$C12,'TL11'!$J$10:$J$224),0),
IF('TL11'!$B$229=M$3,SUMIF('TL11'!$C$238:$C$451,$C12,'TL11'!$J$238:$J$451),0),
IF('TL12'!$B$3=M$3,SUMIF('TL12'!$C$10:$C$224,$C12,'TL12'!$J$10:$J$224),0),
IF('TL12'!$B$229=M$3,SUMIF('TL12'!$C$238:$C$451,$C12,'TL12'!$J$238:$J$451),0),
IF('TL13'!$B$3=M$3,SUMIF('TL13'!$C$10:$C$224,$C12,'TL13'!$J$10:$J$224),0),
IF('TL13'!$B$229=M$3,SUMIF('TL13'!$C$238:$C$451,$C12,'TL13'!$J$238:$J$451),0),
IF('TL14'!$B$3=M$3,SUMIF('TL14'!$C$10:$C$224,$C12,'TL14'!$J$10:$J$224),0),
IF('TL14'!$B$229=M$3,SUMIF('TL14'!$C$238:$C$451,$C12,'TL14'!$J$238:$J$451),0),
IF('TL15'!$B$3=M$3,SUMIF('TL15'!$C$10:$C$224,$C12,'TL15'!$J$10:$J$224),0),
IF('TL15'!$B$229=M$3,SUMIF('TL15'!$C$238:$C$451,$C12,'TL15'!$J$238:$J$451),0),
IF('TL16'!$B$3=M$3,SUMIF('TL16'!$C$10:$C$224,$C12,'TL16'!$J$10:$J$224),0),
IF('TL16'!$B$229=M$3,SUMIF('TL16'!$C$238:$C$451,$C12,'TL16'!$J$238:$J$451),0),
IF('TL17'!$B$3=M$3,SUMIF('TL17'!$C$10:$C$224,$C12,'TL17'!$J$10:$J$224),0),
IF('TL17'!$B$229=M$3,SUMIF('TL17'!$C$238:$C$451,$C12,'TL17'!$J$238:$J$451),0),
IF('TL18'!$B$3=M$3,SUMIF('TL18'!$C$10:$C$224,$C12,'TL18'!$J$10:$J$224),0),
IF('TL18'!$B$229=M$3,SUMIF('TL18'!$C$238:$C$451,$C12,'TL18'!$J$238:$J$451),0),
IF('TL19'!$B$3=M$3,SUMIF('TL19'!$C$10:$C$224,$C12,'TL19'!$J$10:$J$224),0),
IF('TL19'!$B$229=M$3,SUMIF('TL19'!$C$238:$C$451,$C12,'TL19'!$J$238:$J$451),0)
),0)</f>
        <v>0</v>
      </c>
      <c r="N12" s="9">
        <f>IFERROR(SUM(
IF('TL01'!$B$3=N$3,SUMIF('TL01'!$C$10:$C$224,$C12,'TL01'!$J$10:$J$224),0),
IF('TL01'!$B$229=N$3,SUMIF('TL01'!$C$238:$C$451,$C12,'TL01'!$J$238:$J$451),0),
IF('TL02'!$B$3=N$3,SUMIF('TL02'!$C$10:$C$224,$C12,'TL02'!$J$10:$J$224),0),
IF('TL02'!$B$229=N$3,SUMIF('TL02'!$C$238:$C$451,$C12,'TL02'!$J$238:$J$451),0),
IF('TL03'!$B$3=N$3,SUMIF('TL03'!$C$10:$C$224,$C12,'TL03'!$J$10:$J$224),0),
IF('TL03'!$B$229=N$3,SUMIF('TL03'!$C$238:$C$451,$C12,'TL03'!$J$238:$J$451),0),
IF('TL04'!$B$3=N$3,SUMIF('TL04'!$C$10:$C$224,$C12,'TL04'!$J$10:$J$224),0),
IF('TL04'!$B$229=N$3,SUMIF('TL04'!$C$238:$C$451,$C12,'TL04'!$J$238:$J$451),0),
IF('TL05'!$B$3=N$3,SUMIF('TL05'!$C$10:$C$224,$C12,'TL05'!$J$10:$J$224),0),
IF('TL05'!$B$229=N$3,SUMIF('TL05'!$C$238:$C$451,$C12,'TL05'!$J$238:$J$451),0),
IF('TL06'!$B$3=N$3,SUMIF('TL06'!$C$10:$C$224,$C12,'TL06'!$J$10:$J$224),0),
IF('TL06'!$B$229=N$3,SUMIF('TL06'!$C$238:$C$451,$C12,'TL06'!$J$238:$J$451),0),
IF('TL07'!$B$3=N$3,SUMIF('TL07'!$C$10:$C$224,$C12,'TL07'!$J$10:$J$224),0),
IF('TL07'!$B$229=N$3,SUMIF('TL07'!$C$238:$C$451,$C12,'TL07'!$J$238:$J$451),0),
IF('TL08'!$B$3=N$3,SUMIF('TL08'!$C$10:$C$224,$C12,'TL08'!$J$10:$J$224),0),
IF('TL08'!$B$229=N$3,SUMIF('TL08'!$C$238:$C$451,$C12,'TL08'!$J$238:$J$451),0),
IF('TL09'!$B$3=N$3,SUMIF('TL09'!$C$10:$C$224,$C12,'TL09'!$J$10:$J$224),0),
IF('TL09'!$B$229=N$3,SUMIF('TL09'!$C$238:$C$451,$C12,'TL09'!$J$238:$J$451),0),
IF('TL10'!$B$3=N$3,SUMIF('TL10'!$C$10:$C$224,$C12,'TL10'!$J$10:$J$224),0),
IF('TL10'!$B$229=N$3,SUMIF('TL10'!$C$238:$C$451,$C12,'TL10'!$J$238:$J$451),0),
IF('TL11'!$B$3=N$3,SUMIF('TL11'!$C$10:$C$224,$C12,'TL11'!$J$10:$J$224),0),
IF('TL11'!$B$229=N$3,SUMIF('TL11'!$C$238:$C$451,$C12,'TL11'!$J$238:$J$451),0),
IF('TL12'!$B$3=N$3,SUMIF('TL12'!$C$10:$C$224,$C12,'TL12'!$J$10:$J$224),0),
IF('TL12'!$B$229=N$3,SUMIF('TL12'!$C$238:$C$451,$C12,'TL12'!$J$238:$J$451),0),
IF('TL13'!$B$3=N$3,SUMIF('TL13'!$C$10:$C$224,$C12,'TL13'!$J$10:$J$224),0),
IF('TL13'!$B$229=N$3,SUMIF('TL13'!$C$238:$C$451,$C12,'TL13'!$J$238:$J$451),0),
IF('TL14'!$B$3=N$3,SUMIF('TL14'!$C$10:$C$224,$C12,'TL14'!$J$10:$J$224),0),
IF('TL14'!$B$229=N$3,SUMIF('TL14'!$C$238:$C$451,$C12,'TL14'!$J$238:$J$451),0),
IF('TL15'!$B$3=N$3,SUMIF('TL15'!$C$10:$C$224,$C12,'TL15'!$J$10:$J$224),0),
IF('TL15'!$B$229=N$3,SUMIF('TL15'!$C$238:$C$451,$C12,'TL15'!$J$238:$J$451),0),
IF('TL16'!$B$3=N$3,SUMIF('TL16'!$C$10:$C$224,$C12,'TL16'!$J$10:$J$224),0),
IF('TL16'!$B$229=N$3,SUMIF('TL16'!$C$238:$C$451,$C12,'TL16'!$J$238:$J$451),0),
IF('TL17'!$B$3=N$3,SUMIF('TL17'!$C$10:$C$224,$C12,'TL17'!$J$10:$J$224),0),
IF('TL17'!$B$229=N$3,SUMIF('TL17'!$C$238:$C$451,$C12,'TL17'!$J$238:$J$451),0),
IF('TL18'!$B$3=N$3,SUMIF('TL18'!$C$10:$C$224,$C12,'TL18'!$J$10:$J$224),0),
IF('TL18'!$B$229=N$3,SUMIF('TL18'!$C$238:$C$451,$C12,'TL18'!$J$238:$J$451),0),
IF('TL19'!$B$3=N$3,SUMIF('TL19'!$C$10:$C$224,$C12,'TL19'!$J$10:$J$224),0),
IF('TL19'!$B$229=N$3,SUMIF('TL19'!$C$238:$C$451,$C12,'TL19'!$J$238:$J$451),0)
),0)</f>
        <v>0</v>
      </c>
      <c r="O12" s="9">
        <f>IFERROR(SUM(
IF('TL01'!$B$3=O$3,SUMIF('TL01'!$C$10:$C$224,$C12,'TL01'!$J$10:$J$224),0),
IF('TL01'!$B$229=O$3,SUMIF('TL01'!$C$238:$C$451,$C12,'TL01'!$J$238:$J$451),0),
IF('TL02'!$B$3=O$3,SUMIF('TL02'!$C$10:$C$224,$C12,'TL02'!$J$10:$J$224),0),
IF('TL02'!$B$229=O$3,SUMIF('TL02'!$C$238:$C$451,$C12,'TL02'!$J$238:$J$451),0),
IF('TL03'!$B$3=O$3,SUMIF('TL03'!$C$10:$C$224,$C12,'TL03'!$J$10:$J$224),0),
IF('TL03'!$B$229=O$3,SUMIF('TL03'!$C$238:$C$451,$C12,'TL03'!$J$238:$J$451),0),
IF('TL04'!$B$3=O$3,SUMIF('TL04'!$C$10:$C$224,$C12,'TL04'!$J$10:$J$224),0),
IF('TL04'!$B$229=O$3,SUMIF('TL04'!$C$238:$C$451,$C12,'TL04'!$J$238:$J$451),0),
IF('TL05'!$B$3=O$3,SUMIF('TL05'!$C$10:$C$224,$C12,'TL05'!$J$10:$J$224),0),
IF('TL05'!$B$229=O$3,SUMIF('TL05'!$C$238:$C$451,$C12,'TL05'!$J$238:$J$451),0),
IF('TL06'!$B$3=O$3,SUMIF('TL06'!$C$10:$C$224,$C12,'TL06'!$J$10:$J$224),0),
IF('TL06'!$B$229=O$3,SUMIF('TL06'!$C$238:$C$451,$C12,'TL06'!$J$238:$J$451),0),
IF('TL07'!$B$3=O$3,SUMIF('TL07'!$C$10:$C$224,$C12,'TL07'!$J$10:$J$224),0),
IF('TL07'!$B$229=O$3,SUMIF('TL07'!$C$238:$C$451,$C12,'TL07'!$J$238:$J$451),0),
IF('TL08'!$B$3=O$3,SUMIF('TL08'!$C$10:$C$224,$C12,'TL08'!$J$10:$J$224),0),
IF('TL08'!$B$229=O$3,SUMIF('TL08'!$C$238:$C$451,$C12,'TL08'!$J$238:$J$451),0),
IF('TL09'!$B$3=O$3,SUMIF('TL09'!$C$10:$C$224,$C12,'TL09'!$J$10:$J$224),0),
IF('TL09'!$B$229=O$3,SUMIF('TL09'!$C$238:$C$451,$C12,'TL09'!$J$238:$J$451),0),
IF('TL10'!$B$3=O$3,SUMIF('TL10'!$C$10:$C$224,$C12,'TL10'!$J$10:$J$224),0),
IF('TL10'!$B$229=O$3,SUMIF('TL10'!$C$238:$C$451,$C12,'TL10'!$J$238:$J$451),0),
IF('TL11'!$B$3=O$3,SUMIF('TL11'!$C$10:$C$224,$C12,'TL11'!$J$10:$J$224),0),
IF('TL11'!$B$229=O$3,SUMIF('TL11'!$C$238:$C$451,$C12,'TL11'!$J$238:$J$451),0),
IF('TL12'!$B$3=O$3,SUMIF('TL12'!$C$10:$C$224,$C12,'TL12'!$J$10:$J$224),0),
IF('TL12'!$B$229=O$3,SUMIF('TL12'!$C$238:$C$451,$C12,'TL12'!$J$238:$J$451),0),
IF('TL13'!$B$3=O$3,SUMIF('TL13'!$C$10:$C$224,$C12,'TL13'!$J$10:$J$224),0),
IF('TL13'!$B$229=O$3,SUMIF('TL13'!$C$238:$C$451,$C12,'TL13'!$J$238:$J$451),0),
IF('TL14'!$B$3=O$3,SUMIF('TL14'!$C$10:$C$224,$C12,'TL14'!$J$10:$J$224),0),
IF('TL14'!$B$229=O$3,SUMIF('TL14'!$C$238:$C$451,$C12,'TL14'!$J$238:$J$451),0),
IF('TL15'!$B$3=O$3,SUMIF('TL15'!$C$10:$C$224,$C12,'TL15'!$J$10:$J$224),0),
IF('TL15'!$B$229=O$3,SUMIF('TL15'!$C$238:$C$451,$C12,'TL15'!$J$238:$J$451),0),
IF('TL16'!$B$3=O$3,SUMIF('TL16'!$C$10:$C$224,$C12,'TL16'!$J$10:$J$224),0),
IF('TL16'!$B$229=O$3,SUMIF('TL16'!$C$238:$C$451,$C12,'TL16'!$J$238:$J$451),0),
IF('TL17'!$B$3=O$3,SUMIF('TL17'!$C$10:$C$224,$C12,'TL17'!$J$10:$J$224),0),
IF('TL17'!$B$229=O$3,SUMIF('TL17'!$C$238:$C$451,$C12,'TL17'!$J$238:$J$451),0),
IF('TL18'!$B$3=O$3,SUMIF('TL18'!$C$10:$C$224,$C12,'TL18'!$J$10:$J$224),0),
IF('TL18'!$B$229=O$3,SUMIF('TL18'!$C$238:$C$451,$C12,'TL18'!$J$238:$J$451),0),
IF('TL19'!$B$3=O$3,SUMIF('TL19'!$C$10:$C$224,$C12,'TL19'!$J$10:$J$224),0),
IF('TL19'!$B$229=O$3,SUMIF('TL19'!$C$238:$C$451,$C12,'TL19'!$J$238:$J$451),0)
),0)</f>
        <v>0</v>
      </c>
      <c r="P12" s="9">
        <f>IFERROR(SUM(
IF('TL01'!$B$3=P$3,SUMIF('TL01'!$C$10:$C$224,$C12,'TL01'!$J$10:$J$224),0),
IF('TL01'!$B$229=P$3,SUMIF('TL01'!$C$238:$C$451,$C12,'TL01'!$J$238:$J$451),0),
IF('TL02'!$B$3=P$3,SUMIF('TL02'!$C$10:$C$224,$C12,'TL02'!$J$10:$J$224),0),
IF('TL02'!$B$229=P$3,SUMIF('TL02'!$C$238:$C$451,$C12,'TL02'!$J$238:$J$451),0),
IF('TL03'!$B$3=P$3,SUMIF('TL03'!$C$10:$C$224,$C12,'TL03'!$J$10:$J$224),0),
IF('TL03'!$B$229=P$3,SUMIF('TL03'!$C$238:$C$451,$C12,'TL03'!$J$238:$J$451),0),
IF('TL04'!$B$3=P$3,SUMIF('TL04'!$C$10:$C$224,$C12,'TL04'!$J$10:$J$224),0),
IF('TL04'!$B$229=P$3,SUMIF('TL04'!$C$238:$C$451,$C12,'TL04'!$J$238:$J$451),0),
IF('TL05'!$B$3=P$3,SUMIF('TL05'!$C$10:$C$224,$C12,'TL05'!$J$10:$J$224),0),
IF('TL05'!$B$229=P$3,SUMIF('TL05'!$C$238:$C$451,$C12,'TL05'!$J$238:$J$451),0),
IF('TL06'!$B$3=P$3,SUMIF('TL06'!$C$10:$C$224,$C12,'TL06'!$J$10:$J$224),0),
IF('TL06'!$B$229=P$3,SUMIF('TL06'!$C$238:$C$451,$C12,'TL06'!$J$238:$J$451),0),
IF('TL07'!$B$3=P$3,SUMIF('TL07'!$C$10:$C$224,$C12,'TL07'!$J$10:$J$224),0),
IF('TL07'!$B$229=P$3,SUMIF('TL07'!$C$238:$C$451,$C12,'TL07'!$J$238:$J$451),0),
IF('TL08'!$B$3=P$3,SUMIF('TL08'!$C$10:$C$224,$C12,'TL08'!$J$10:$J$224),0),
IF('TL08'!$B$229=P$3,SUMIF('TL08'!$C$238:$C$451,$C12,'TL08'!$J$238:$J$451),0),
IF('TL09'!$B$3=P$3,SUMIF('TL09'!$C$10:$C$224,$C12,'TL09'!$J$10:$J$224),0),
IF('TL09'!$B$229=P$3,SUMIF('TL09'!$C$238:$C$451,$C12,'TL09'!$J$238:$J$451),0),
IF('TL10'!$B$3=P$3,SUMIF('TL10'!$C$10:$C$224,$C12,'TL10'!$J$10:$J$224),0),
IF('TL10'!$B$229=P$3,SUMIF('TL10'!$C$238:$C$451,$C12,'TL10'!$J$238:$J$451),0),
IF('TL11'!$B$3=P$3,SUMIF('TL11'!$C$10:$C$224,$C12,'TL11'!$J$10:$J$224),0),
IF('TL11'!$B$229=P$3,SUMIF('TL11'!$C$238:$C$451,$C12,'TL11'!$J$238:$J$451),0),
IF('TL12'!$B$3=P$3,SUMIF('TL12'!$C$10:$C$224,$C12,'TL12'!$J$10:$J$224),0),
IF('TL12'!$B$229=P$3,SUMIF('TL12'!$C$238:$C$451,$C12,'TL12'!$J$238:$J$451),0),
IF('TL13'!$B$3=P$3,SUMIF('TL13'!$C$10:$C$224,$C12,'TL13'!$J$10:$J$224),0),
IF('TL13'!$B$229=P$3,SUMIF('TL13'!$C$238:$C$451,$C12,'TL13'!$J$238:$J$451),0),
IF('TL14'!$B$3=P$3,SUMIF('TL14'!$C$10:$C$224,$C12,'TL14'!$J$10:$J$224),0),
IF('TL14'!$B$229=P$3,SUMIF('TL14'!$C$238:$C$451,$C12,'TL14'!$J$238:$J$451),0),
IF('TL15'!$B$3=P$3,SUMIF('TL15'!$C$10:$C$224,$C12,'TL15'!$J$10:$J$224),0),
IF('TL15'!$B$229=P$3,SUMIF('TL15'!$C$238:$C$451,$C12,'TL15'!$J$238:$J$451),0),
IF('TL16'!$B$3=P$3,SUMIF('TL16'!$C$10:$C$224,$C12,'TL16'!$J$10:$J$224),0),
IF('TL16'!$B$229=P$3,SUMIF('TL16'!$C$238:$C$451,$C12,'TL16'!$J$238:$J$451),0),
IF('TL17'!$B$3=P$3,SUMIF('TL17'!$C$10:$C$224,$C12,'TL17'!$J$10:$J$224),0),
IF('TL17'!$B$229=P$3,SUMIF('TL17'!$C$238:$C$451,$C12,'TL17'!$J$238:$J$451),0),
IF('TL18'!$B$3=P$3,SUMIF('TL18'!$C$10:$C$224,$C12,'TL18'!$J$10:$J$224),0),
IF('TL18'!$B$229=P$3,SUMIF('TL18'!$C$238:$C$451,$C12,'TL18'!$J$238:$J$451),0),
IF('TL19'!$B$3=P$3,SUMIF('TL19'!$C$10:$C$224,$C12,'TL19'!$J$10:$J$224),0),
IF('TL19'!$B$229=P$3,SUMIF('TL19'!$C$238:$C$451,$C12,'TL19'!$J$238:$J$451),0)
),0)</f>
        <v>0</v>
      </c>
      <c r="Q12" s="9">
        <f>IFERROR(SUM(
IF('TL01'!$B$3=Q$3,SUMIF('TL01'!$C$10:$C$224,$C12,'TL01'!$J$10:$J$224),0),
IF('TL01'!$B$229=Q$3,SUMIF('TL01'!$C$238:$C$451,$C12,'TL01'!$J$238:$J$451),0),
IF('TL02'!$B$3=Q$3,SUMIF('TL02'!$C$10:$C$224,$C12,'TL02'!$J$10:$J$224),0),
IF('TL02'!$B$229=Q$3,SUMIF('TL02'!$C$238:$C$451,$C12,'TL02'!$J$238:$J$451),0),
IF('TL03'!$B$3=Q$3,SUMIF('TL03'!$C$10:$C$224,$C12,'TL03'!$J$10:$J$224),0),
IF('TL03'!$B$229=Q$3,SUMIF('TL03'!$C$238:$C$451,$C12,'TL03'!$J$238:$J$451),0),
IF('TL04'!$B$3=Q$3,SUMIF('TL04'!$C$10:$C$224,$C12,'TL04'!$J$10:$J$224),0),
IF('TL04'!$B$229=Q$3,SUMIF('TL04'!$C$238:$C$451,$C12,'TL04'!$J$238:$J$451),0),
IF('TL05'!$B$3=Q$3,SUMIF('TL05'!$C$10:$C$224,$C12,'TL05'!$J$10:$J$224),0),
IF('TL05'!$B$229=Q$3,SUMIF('TL05'!$C$238:$C$451,$C12,'TL05'!$J$238:$J$451),0),
IF('TL06'!$B$3=Q$3,SUMIF('TL06'!$C$10:$C$224,$C12,'TL06'!$J$10:$J$224),0),
IF('TL06'!$B$229=Q$3,SUMIF('TL06'!$C$238:$C$451,$C12,'TL06'!$J$238:$J$451),0),
IF('TL07'!$B$3=Q$3,SUMIF('TL07'!$C$10:$C$224,$C12,'TL07'!$J$10:$J$224),0),
IF('TL07'!$B$229=Q$3,SUMIF('TL07'!$C$238:$C$451,$C12,'TL07'!$J$238:$J$451),0),
IF('TL08'!$B$3=Q$3,SUMIF('TL08'!$C$10:$C$224,$C12,'TL08'!$J$10:$J$224),0),
IF('TL08'!$B$229=Q$3,SUMIF('TL08'!$C$238:$C$451,$C12,'TL08'!$J$238:$J$451),0),
IF('TL09'!$B$3=Q$3,SUMIF('TL09'!$C$10:$C$224,$C12,'TL09'!$J$10:$J$224),0),
IF('TL09'!$B$229=Q$3,SUMIF('TL09'!$C$238:$C$451,$C12,'TL09'!$J$238:$J$451),0),
IF('TL10'!$B$3=Q$3,SUMIF('TL10'!$C$10:$C$224,$C12,'TL10'!$J$10:$J$224),0),
IF('TL10'!$B$229=Q$3,SUMIF('TL10'!$C$238:$C$451,$C12,'TL10'!$J$238:$J$451),0),
IF('TL11'!$B$3=Q$3,SUMIF('TL11'!$C$10:$C$224,$C12,'TL11'!$J$10:$J$224),0),
IF('TL11'!$B$229=Q$3,SUMIF('TL11'!$C$238:$C$451,$C12,'TL11'!$J$238:$J$451),0),
IF('TL12'!$B$3=Q$3,SUMIF('TL12'!$C$10:$C$224,$C12,'TL12'!$J$10:$J$224),0),
IF('TL12'!$B$229=Q$3,SUMIF('TL12'!$C$238:$C$451,$C12,'TL12'!$J$238:$J$451),0),
IF('TL13'!$B$3=Q$3,SUMIF('TL13'!$C$10:$C$224,$C12,'TL13'!$J$10:$J$224),0),
IF('TL13'!$B$229=Q$3,SUMIF('TL13'!$C$238:$C$451,$C12,'TL13'!$J$238:$J$451),0),
IF('TL14'!$B$3=Q$3,SUMIF('TL14'!$C$10:$C$224,$C12,'TL14'!$J$10:$J$224),0),
IF('TL14'!$B$229=Q$3,SUMIF('TL14'!$C$238:$C$451,$C12,'TL14'!$J$238:$J$451),0),
IF('TL15'!$B$3=Q$3,SUMIF('TL15'!$C$10:$C$224,$C12,'TL15'!$J$10:$J$224),0),
IF('TL15'!$B$229=Q$3,SUMIF('TL15'!$C$238:$C$451,$C12,'TL15'!$J$238:$J$451),0),
IF('TL16'!$B$3=Q$3,SUMIF('TL16'!$C$10:$C$224,$C12,'TL16'!$J$10:$J$224),0),
IF('TL16'!$B$229=Q$3,SUMIF('TL16'!$C$238:$C$451,$C12,'TL16'!$J$238:$J$451),0),
IF('TL17'!$B$3=Q$3,SUMIF('TL17'!$C$10:$C$224,$C12,'TL17'!$J$10:$J$224),0),
IF('TL17'!$B$229=Q$3,SUMIF('TL17'!$C$238:$C$451,$C12,'TL17'!$J$238:$J$451),0),
IF('TL18'!$B$3=Q$3,SUMIF('TL18'!$C$10:$C$224,$C12,'TL18'!$J$10:$J$224),0),
IF('TL18'!$B$229=Q$3,SUMIF('TL18'!$C$238:$C$451,$C12,'TL18'!$J$238:$J$451),0),
IF('TL19'!$B$3=Q$3,SUMIF('TL19'!$C$10:$C$224,$C12,'TL19'!$J$10:$J$224),0),
IF('TL19'!$B$229=Q$3,SUMIF('TL19'!$C$238:$C$451,$C12,'TL19'!$J$238:$J$451),0)
),0)</f>
        <v>0</v>
      </c>
      <c r="R12" s="9">
        <f>IFERROR(
SUM(
SUMIF('TL01'!C:C,C12,'TL01'!J:J),
SUMIF('TL02'!C:C,C12,'TL02'!J:J),
SUMIF('TL03'!C:C,C12,'TL03'!J:J),
SUMIF('TL04'!C:C,C12,'TL04'!J:J),
SUMIF('TL05'!C:C,C12,'TL05'!J:J),
SUMIF('TL06'!C:C,C12,'TL06'!J:J),
SUMIF('TL07'!C:C,C12,'TL07'!J:J),
SUMIF('TL08'!C:C,C12,'TL08'!J:J),
SUMIF('TL09'!C:C,C12,'TL09'!J:J),
SUMIF('TL10'!C:C,C12,'TL10'!J:J),
SUMIF('TL11'!C:C,C12,'TL11'!J:J),
SUMIF('TL12'!C:C,C12,'TL12'!J:J),
SUMIF('TL13'!C:C,C12,'TL13'!J:J),
SUMIF('TL14'!C:C,C12,'TL14'!J:J),
SUMIF('TL15'!C:C,C12,'TL15'!J:J),
SUMIF('TL16'!C:C,C12,'TL16'!J:J),
SUMIF('TL17'!C:C,C12,'TL17'!J:J),
SUMIF('TL18'!C:C,C12,'TL18'!J:J),SUMIF('TL19'!C:C,C12,'TL19'!J:J))
,0)</f>
        <v>0</v>
      </c>
      <c r="S12" s="17">
        <f>IFERROR(__xludf.DUMMYFUNCTION("IFERROR(VLOOKUP(C12,
IMPORTRANGE(""1wULbzX32WdYsx-lj2U3uUNBBe2INVIRDtcK0d-Dvl90"",
""26-27!C:G""),
5,
FALSE),
"""")"),32.39663)</f>
        <v>32.39663</v>
      </c>
      <c r="T12" s="9"/>
      <c r="U12" s="92">
        <f t="shared" si="2"/>
        <v>0</v>
      </c>
      <c r="V12" s="93">
        <f t="shared" si="3"/>
        <v>0</v>
      </c>
    </row>
    <row r="13" ht="22.5" hidden="1" customHeight="1">
      <c r="A13" s="94" t="s">
        <v>353</v>
      </c>
      <c r="B13" s="95" t="s">
        <v>4</v>
      </c>
      <c r="C13" s="96" t="s">
        <v>365</v>
      </c>
      <c r="D13" s="96" t="s">
        <v>366</v>
      </c>
      <c r="E13" s="96" t="s">
        <v>367</v>
      </c>
      <c r="F13" s="4" t="s">
        <v>343</v>
      </c>
      <c r="G13" s="90" t="str">
        <f t="shared" si="1"/>
        <v>📄 Ver bula</v>
      </c>
      <c r="H13" s="9">
        <f>IFERROR(__xludf.DUMMYFUNCTION("IFERROR(VLOOKUP(C13,
IMPORTRANGE(""1wULbzX32WdYsx-lj2U3uUNBBe2INVIRDtcK0d-Dvl90"",
""26-27!C:K""),
8,
FALSE),
"""")"),0.33)</f>
        <v>0.33</v>
      </c>
      <c r="I13" s="97" t="s">
        <v>344</v>
      </c>
      <c r="J13" s="9">
        <f>IFERROR(SUM(
IF('TL01'!$B$3=J$3,SUMIF('TL01'!$C$10:$C$224,$C13,'TL01'!$J$10:$J$224),0),
IF('TL01'!$B$229=J$3,SUMIF('TL01'!$C$238:$C$451,$C13,'TL01'!$J$238:$J$451),0),
IF('TL02'!$B$3=J$3,SUMIF('TL02'!$C$10:$C$224,$C13,'TL02'!$J$10:$J$224),0),
IF('TL02'!$B$229=J$3,SUMIF('TL02'!$C$238:$C$451,$C13,'TL02'!$J$238:$J$451),0),
IF('TL03'!$B$3=J$3,SUMIF('TL03'!$C$10:$C$224,$C13,'TL03'!$J$10:$J$224),0),
IF('TL03'!$B$229=J$3,SUMIF('TL03'!$C$238:$C$451,$C13,'TL03'!$J$238:$J$451),0),
IF('TL04'!$B$3=J$3,SUMIF('TL04'!$C$10:$C$224,$C13,'TL04'!$J$10:$J$224),0),
IF('TL04'!$B$229=J$3,SUMIF('TL04'!$C$238:$C$451,$C13,'TL04'!$J$238:$J$451),0),
IF('TL05'!$B$3=J$3,SUMIF('TL05'!$C$10:$C$224,$C13,'TL05'!$J$10:$J$224),0),
IF('TL05'!$B$229=J$3,SUMIF('TL05'!$C$238:$C$451,$C13,'TL05'!$J$238:$J$451),0),
IF('TL06'!$B$3=J$3,SUMIF('TL06'!$C$10:$C$224,$C13,'TL06'!$J$10:$J$224),0),
IF('TL06'!$B$229=J$3,SUMIF('TL06'!$C$238:$C$451,$C13,'TL06'!$J$238:$J$451),0),
IF('TL07'!$B$3=J$3,SUMIF('TL07'!$C$10:$C$224,$C13,'TL07'!$J$10:$J$224),0),
IF('TL07'!$B$229=J$3,SUMIF('TL07'!$C$238:$C$451,$C13,'TL07'!$J$238:$J$451),0),
IF('TL08'!$B$3=J$3,SUMIF('TL08'!$C$10:$C$224,$C13,'TL08'!$J$10:$J$224),0),
IF('TL08'!$B$229=J$3,SUMIF('TL08'!$C$238:$C$451,$C13,'TL08'!$J$238:$J$451),0),
IF('TL09'!$B$3=J$3,SUMIF('TL09'!$C$10:$C$224,$C13,'TL09'!$J$10:$J$224),0),
IF('TL09'!$B$229=J$3,SUMIF('TL09'!$C$238:$C$451,$C13,'TL09'!$J$238:$J$451),0),
IF('TL10'!$B$3=J$3,SUMIF('TL10'!$C$10:$C$224,$C13,'TL10'!$J$10:$J$224),0),
IF('TL10'!$B$229=J$3,SUMIF('TL10'!$C$238:$C$451,$C13,'TL10'!$J$238:$J$451),0),
IF('TL11'!$B$3=J$3,SUMIF('TL11'!$C$10:$C$224,$C13,'TL11'!$J$10:$J$224),0),
IF('TL11'!$B$229=J$3,SUMIF('TL11'!$C$238:$C$451,$C13,'TL11'!$J$238:$J$451),0),
IF('TL12'!$B$3=J$3,SUMIF('TL12'!$C$10:$C$224,$C13,'TL12'!$J$10:$J$224),0),
IF('TL12'!$B$229=J$3,SUMIF('TL12'!$C$238:$C$451,$C13,'TL12'!$J$238:$J$451),0),
IF('TL13'!$B$3=J$3,SUMIF('TL13'!$C$10:$C$224,$C13,'TL13'!$J$10:$J$224),0),
IF('TL13'!$B$229=J$3,SUMIF('TL13'!$C$238:$C$451,$C13,'TL13'!$J$238:$J$451),0),
IF('TL14'!$B$3=J$3,SUMIF('TL14'!$C$10:$C$224,$C13,'TL14'!$J$10:$J$224),0),
IF('TL14'!$B$229=J$3,SUMIF('TL14'!$C$238:$C$451,$C13,'TL14'!$J$238:$J$451),0),
IF('TL15'!$B$3=J$3,SUMIF('TL15'!$C$10:$C$224,$C13,'TL15'!$J$10:$J$224),0),
IF('TL15'!$B$229=J$3,SUMIF('TL15'!$C$238:$C$451,$C13,'TL15'!$J$238:$J$451),0),
IF('TL16'!$B$3=J$3,SUMIF('TL16'!$C$10:$C$224,$C13,'TL16'!$J$10:$J$224),0),
IF('TL16'!$B$229=J$3,SUMIF('TL16'!$C$238:$C$451,$C13,'TL16'!$J$238:$J$451),0),
IF('TL17'!$B$3=J$3,SUMIF('TL17'!$C$10:$C$224,$C13,'TL17'!$J$10:$J$224),0),
IF('TL17'!$B$229=J$3,SUMIF('TL17'!$C$238:$C$451,$C13,'TL17'!$J$238:$J$451),0),
IF('TL18'!$B$3=J$3,SUMIF('TL18'!$C$10:$C$224,$C13,'TL18'!$J$10:$J$224),0),
IF('TL18'!$B$229=J$3,SUMIF('TL18'!$C$238:$C$451,$C13,'TL18'!$J$238:$J$451),0),
IF('TL19'!$B$3=J$3,SUMIF('TL19'!$C$10:$C$224,$C13,'TL19'!$J$10:$J$224),0),
IF('TL19'!$B$229=J$3,SUMIF('TL19'!$C$238:$C$451,$C13,'TL19'!$J$238:$J$451),0)
),0)</f>
        <v>0</v>
      </c>
      <c r="K13" s="9">
        <f>IFERROR(SUM(
IF('TL01'!$B$3=K$3,SUMIF('TL01'!$C$10:$C$224,$C13,'TL01'!$J$10:$J$224),0),
IF('TL01'!$B$229=K$3,SUMIF('TL01'!$C$238:$C$451,$C13,'TL01'!$J$238:$J$451),0),
IF('TL02'!$B$3=K$3,SUMIF('TL02'!$C$10:$C$224,$C13,'TL02'!$J$10:$J$224),0),
IF('TL02'!$B$229=K$3,SUMIF('TL02'!$C$238:$C$451,$C13,'TL02'!$J$238:$J$451),0),
IF('TL03'!$B$3=K$3,SUMIF('TL03'!$C$10:$C$224,$C13,'TL03'!$J$10:$J$224),0),
IF('TL03'!$B$229=K$3,SUMIF('TL03'!$C$238:$C$451,$C13,'TL03'!$J$238:$J$451),0),
IF('TL04'!$B$3=K$3,SUMIF('TL04'!$C$10:$C$224,$C13,'TL04'!$J$10:$J$224),0),
IF('TL04'!$B$229=K$3,SUMIF('TL04'!$C$238:$C$451,$C13,'TL04'!$J$238:$J$451),0),
IF('TL05'!$B$3=K$3,SUMIF('TL05'!$C$10:$C$224,$C13,'TL05'!$J$10:$J$224),0),
IF('TL05'!$B$229=K$3,SUMIF('TL05'!$C$238:$C$451,$C13,'TL05'!$J$238:$J$451),0),
IF('TL06'!$B$3=K$3,SUMIF('TL06'!$C$10:$C$224,$C13,'TL06'!$J$10:$J$224),0),
IF('TL06'!$B$229=K$3,SUMIF('TL06'!$C$238:$C$451,$C13,'TL06'!$J$238:$J$451),0),
IF('TL07'!$B$3=K$3,SUMIF('TL07'!$C$10:$C$224,$C13,'TL07'!$J$10:$J$224),0),
IF('TL07'!$B$229=K$3,SUMIF('TL07'!$C$238:$C$451,$C13,'TL07'!$J$238:$J$451),0),
IF('TL08'!$B$3=K$3,SUMIF('TL08'!$C$10:$C$224,$C13,'TL08'!$J$10:$J$224),0),
IF('TL08'!$B$229=K$3,SUMIF('TL08'!$C$238:$C$451,$C13,'TL08'!$J$238:$J$451),0),
IF('TL09'!$B$3=K$3,SUMIF('TL09'!$C$10:$C$224,$C13,'TL09'!$J$10:$J$224),0),
IF('TL09'!$B$229=K$3,SUMIF('TL09'!$C$238:$C$451,$C13,'TL09'!$J$238:$J$451),0),
IF('TL10'!$B$3=K$3,SUMIF('TL10'!$C$10:$C$224,$C13,'TL10'!$J$10:$J$224),0),
IF('TL10'!$B$229=K$3,SUMIF('TL10'!$C$238:$C$451,$C13,'TL10'!$J$238:$J$451),0),
IF('TL11'!$B$3=K$3,SUMIF('TL11'!$C$10:$C$224,$C13,'TL11'!$J$10:$J$224),0),
IF('TL11'!$B$229=K$3,SUMIF('TL11'!$C$238:$C$451,$C13,'TL11'!$J$238:$J$451),0),
IF('TL12'!$B$3=K$3,SUMIF('TL12'!$C$10:$C$224,$C13,'TL12'!$J$10:$J$224),0),
IF('TL12'!$B$229=K$3,SUMIF('TL12'!$C$238:$C$451,$C13,'TL12'!$J$238:$J$451),0),
IF('TL13'!$B$3=K$3,SUMIF('TL13'!$C$10:$C$224,$C13,'TL13'!$J$10:$J$224),0),
IF('TL13'!$B$229=K$3,SUMIF('TL13'!$C$238:$C$451,$C13,'TL13'!$J$238:$J$451),0),
IF('TL14'!$B$3=K$3,SUMIF('TL14'!$C$10:$C$224,$C13,'TL14'!$J$10:$J$224),0),
IF('TL14'!$B$229=K$3,SUMIF('TL14'!$C$238:$C$451,$C13,'TL14'!$J$238:$J$451),0),
IF('TL15'!$B$3=K$3,SUMIF('TL15'!$C$10:$C$224,$C13,'TL15'!$J$10:$J$224),0),
IF('TL15'!$B$229=K$3,SUMIF('TL15'!$C$238:$C$451,$C13,'TL15'!$J$238:$J$451),0),
IF('TL16'!$B$3=K$3,SUMIF('TL16'!$C$10:$C$224,$C13,'TL16'!$J$10:$J$224),0),
IF('TL16'!$B$229=K$3,SUMIF('TL16'!$C$238:$C$451,$C13,'TL16'!$J$238:$J$451),0),
IF('TL17'!$B$3=K$3,SUMIF('TL17'!$C$10:$C$224,$C13,'TL17'!$J$10:$J$224),0),
IF('TL17'!$B$229=K$3,SUMIF('TL17'!$C$238:$C$451,$C13,'TL17'!$J$238:$J$451),0),
IF('TL18'!$B$3=K$3,SUMIF('TL18'!$C$10:$C$224,$C13,'TL18'!$J$10:$J$224),0),
IF('TL18'!$B$229=K$3,SUMIF('TL18'!$C$238:$C$451,$C13,'TL18'!$J$238:$J$451),0),
IF('TL19'!$B$3=K$3,SUMIF('TL19'!$C$10:$C$224,$C13,'TL19'!$J$10:$J$224),0),
IF('TL19'!$B$229=K$3,SUMIF('TL19'!$C$238:$C$451,$C13,'TL19'!$J$238:$J$451),0)
),0)</f>
        <v>0</v>
      </c>
      <c r="L13" s="9">
        <f>IFERROR(SUM(
IF('TL01'!$B$3=L$3,SUMIF('TL01'!$C$10:$C$224,$C13,'TL01'!$J$10:$J$224),0),
IF('TL01'!$B$229=L$3,SUMIF('TL01'!$C$238:$C$451,$C13,'TL01'!$J$238:$J$451),0),
IF('TL02'!$B$3=L$3,SUMIF('TL02'!$C$10:$C$224,$C13,'TL02'!$J$10:$J$224),0),
IF('TL02'!$B$229=L$3,SUMIF('TL02'!$C$238:$C$451,$C13,'TL02'!$J$238:$J$451),0),
IF('TL03'!$B$3=L$3,SUMIF('TL03'!$C$10:$C$224,$C13,'TL03'!$J$10:$J$224),0),
IF('TL03'!$B$229=L$3,SUMIF('TL03'!$C$238:$C$451,$C13,'TL03'!$J$238:$J$451),0),
IF('TL04'!$B$3=L$3,SUMIF('TL04'!$C$10:$C$224,$C13,'TL04'!$J$10:$J$224),0),
IF('TL04'!$B$229=L$3,SUMIF('TL04'!$C$238:$C$451,$C13,'TL04'!$J$238:$J$451),0),
IF('TL05'!$B$3=L$3,SUMIF('TL05'!$C$10:$C$224,$C13,'TL05'!$J$10:$J$224),0),
IF('TL05'!$B$229=L$3,SUMIF('TL05'!$C$238:$C$451,$C13,'TL05'!$J$238:$J$451),0),
IF('TL06'!$B$3=L$3,SUMIF('TL06'!$C$10:$C$224,$C13,'TL06'!$J$10:$J$224),0),
IF('TL06'!$B$229=L$3,SUMIF('TL06'!$C$238:$C$451,$C13,'TL06'!$J$238:$J$451),0),
IF('TL07'!$B$3=L$3,SUMIF('TL07'!$C$10:$C$224,$C13,'TL07'!$J$10:$J$224),0),
IF('TL07'!$B$229=L$3,SUMIF('TL07'!$C$238:$C$451,$C13,'TL07'!$J$238:$J$451),0),
IF('TL08'!$B$3=L$3,SUMIF('TL08'!$C$10:$C$224,$C13,'TL08'!$J$10:$J$224),0),
IF('TL08'!$B$229=L$3,SUMIF('TL08'!$C$238:$C$451,$C13,'TL08'!$J$238:$J$451),0),
IF('TL09'!$B$3=L$3,SUMIF('TL09'!$C$10:$C$224,$C13,'TL09'!$J$10:$J$224),0),
IF('TL09'!$B$229=L$3,SUMIF('TL09'!$C$238:$C$451,$C13,'TL09'!$J$238:$J$451),0),
IF('TL10'!$B$3=L$3,SUMIF('TL10'!$C$10:$C$224,$C13,'TL10'!$J$10:$J$224),0),
IF('TL10'!$B$229=L$3,SUMIF('TL10'!$C$238:$C$451,$C13,'TL10'!$J$238:$J$451),0),
IF('TL11'!$B$3=L$3,SUMIF('TL11'!$C$10:$C$224,$C13,'TL11'!$J$10:$J$224),0),
IF('TL11'!$B$229=L$3,SUMIF('TL11'!$C$238:$C$451,$C13,'TL11'!$J$238:$J$451),0),
IF('TL12'!$B$3=L$3,SUMIF('TL12'!$C$10:$C$224,$C13,'TL12'!$J$10:$J$224),0),
IF('TL12'!$B$229=L$3,SUMIF('TL12'!$C$238:$C$451,$C13,'TL12'!$J$238:$J$451),0),
IF('TL13'!$B$3=L$3,SUMIF('TL13'!$C$10:$C$224,$C13,'TL13'!$J$10:$J$224),0),
IF('TL13'!$B$229=L$3,SUMIF('TL13'!$C$238:$C$451,$C13,'TL13'!$J$238:$J$451),0),
IF('TL14'!$B$3=L$3,SUMIF('TL14'!$C$10:$C$224,$C13,'TL14'!$J$10:$J$224),0),
IF('TL14'!$B$229=L$3,SUMIF('TL14'!$C$238:$C$451,$C13,'TL14'!$J$238:$J$451),0),
IF('TL15'!$B$3=L$3,SUMIF('TL15'!$C$10:$C$224,$C13,'TL15'!$J$10:$J$224),0),
IF('TL15'!$B$229=L$3,SUMIF('TL15'!$C$238:$C$451,$C13,'TL15'!$J$238:$J$451),0),
IF('TL16'!$B$3=L$3,SUMIF('TL16'!$C$10:$C$224,$C13,'TL16'!$J$10:$J$224),0),
IF('TL16'!$B$229=L$3,SUMIF('TL16'!$C$238:$C$451,$C13,'TL16'!$J$238:$J$451),0),
IF('TL17'!$B$3=L$3,SUMIF('TL17'!$C$10:$C$224,$C13,'TL17'!$J$10:$J$224),0),
IF('TL17'!$B$229=L$3,SUMIF('TL17'!$C$238:$C$451,$C13,'TL17'!$J$238:$J$451),0),
IF('TL18'!$B$3=L$3,SUMIF('TL18'!$C$10:$C$224,$C13,'TL18'!$J$10:$J$224),0),
IF('TL18'!$B$229=L$3,SUMIF('TL18'!$C$238:$C$451,$C13,'TL18'!$J$238:$J$451),0),
IF('TL19'!$B$3=L$3,SUMIF('TL19'!$C$10:$C$224,$C13,'TL19'!$J$10:$J$224),0),
IF('TL19'!$B$229=L$3,SUMIF('TL19'!$C$238:$C$451,$C13,'TL19'!$J$238:$J$451),0)
),0)</f>
        <v>0</v>
      </c>
      <c r="M13" s="9">
        <f>IFERROR(SUM(
IF('TL01'!$B$3=M$3,SUMIF('TL01'!$C$10:$C$224,$C13,'TL01'!$J$10:$J$224),0),
IF('TL01'!$B$229=M$3,SUMIF('TL01'!$C$238:$C$451,$C13,'TL01'!$J$238:$J$451),0),
IF('TL02'!$B$3=M$3,SUMIF('TL02'!$C$10:$C$224,$C13,'TL02'!$J$10:$J$224),0),
IF('TL02'!$B$229=M$3,SUMIF('TL02'!$C$238:$C$451,$C13,'TL02'!$J$238:$J$451),0),
IF('TL03'!$B$3=M$3,SUMIF('TL03'!$C$10:$C$224,$C13,'TL03'!$J$10:$J$224),0),
IF('TL03'!$B$229=M$3,SUMIF('TL03'!$C$238:$C$451,$C13,'TL03'!$J$238:$J$451),0),
IF('TL04'!$B$3=M$3,SUMIF('TL04'!$C$10:$C$224,$C13,'TL04'!$J$10:$J$224),0),
IF('TL04'!$B$229=M$3,SUMIF('TL04'!$C$238:$C$451,$C13,'TL04'!$J$238:$J$451),0),
IF('TL05'!$B$3=M$3,SUMIF('TL05'!$C$10:$C$224,$C13,'TL05'!$J$10:$J$224),0),
IF('TL05'!$B$229=M$3,SUMIF('TL05'!$C$238:$C$451,$C13,'TL05'!$J$238:$J$451),0),
IF('TL06'!$B$3=M$3,SUMIF('TL06'!$C$10:$C$224,$C13,'TL06'!$J$10:$J$224),0),
IF('TL06'!$B$229=M$3,SUMIF('TL06'!$C$238:$C$451,$C13,'TL06'!$J$238:$J$451),0),
IF('TL07'!$B$3=M$3,SUMIF('TL07'!$C$10:$C$224,$C13,'TL07'!$J$10:$J$224),0),
IF('TL07'!$B$229=M$3,SUMIF('TL07'!$C$238:$C$451,$C13,'TL07'!$J$238:$J$451),0),
IF('TL08'!$B$3=M$3,SUMIF('TL08'!$C$10:$C$224,$C13,'TL08'!$J$10:$J$224),0),
IF('TL08'!$B$229=M$3,SUMIF('TL08'!$C$238:$C$451,$C13,'TL08'!$J$238:$J$451),0),
IF('TL09'!$B$3=M$3,SUMIF('TL09'!$C$10:$C$224,$C13,'TL09'!$J$10:$J$224),0),
IF('TL09'!$B$229=M$3,SUMIF('TL09'!$C$238:$C$451,$C13,'TL09'!$J$238:$J$451),0),
IF('TL10'!$B$3=M$3,SUMIF('TL10'!$C$10:$C$224,$C13,'TL10'!$J$10:$J$224),0),
IF('TL10'!$B$229=M$3,SUMIF('TL10'!$C$238:$C$451,$C13,'TL10'!$J$238:$J$451),0),
IF('TL11'!$B$3=M$3,SUMIF('TL11'!$C$10:$C$224,$C13,'TL11'!$J$10:$J$224),0),
IF('TL11'!$B$229=M$3,SUMIF('TL11'!$C$238:$C$451,$C13,'TL11'!$J$238:$J$451),0),
IF('TL12'!$B$3=M$3,SUMIF('TL12'!$C$10:$C$224,$C13,'TL12'!$J$10:$J$224),0),
IF('TL12'!$B$229=M$3,SUMIF('TL12'!$C$238:$C$451,$C13,'TL12'!$J$238:$J$451),0),
IF('TL13'!$B$3=M$3,SUMIF('TL13'!$C$10:$C$224,$C13,'TL13'!$J$10:$J$224),0),
IF('TL13'!$B$229=M$3,SUMIF('TL13'!$C$238:$C$451,$C13,'TL13'!$J$238:$J$451),0),
IF('TL14'!$B$3=M$3,SUMIF('TL14'!$C$10:$C$224,$C13,'TL14'!$J$10:$J$224),0),
IF('TL14'!$B$229=M$3,SUMIF('TL14'!$C$238:$C$451,$C13,'TL14'!$J$238:$J$451),0),
IF('TL15'!$B$3=M$3,SUMIF('TL15'!$C$10:$C$224,$C13,'TL15'!$J$10:$J$224),0),
IF('TL15'!$B$229=M$3,SUMIF('TL15'!$C$238:$C$451,$C13,'TL15'!$J$238:$J$451),0),
IF('TL16'!$B$3=M$3,SUMIF('TL16'!$C$10:$C$224,$C13,'TL16'!$J$10:$J$224),0),
IF('TL16'!$B$229=M$3,SUMIF('TL16'!$C$238:$C$451,$C13,'TL16'!$J$238:$J$451),0),
IF('TL17'!$B$3=M$3,SUMIF('TL17'!$C$10:$C$224,$C13,'TL17'!$J$10:$J$224),0),
IF('TL17'!$B$229=M$3,SUMIF('TL17'!$C$238:$C$451,$C13,'TL17'!$J$238:$J$451),0),
IF('TL18'!$B$3=M$3,SUMIF('TL18'!$C$10:$C$224,$C13,'TL18'!$J$10:$J$224),0),
IF('TL18'!$B$229=M$3,SUMIF('TL18'!$C$238:$C$451,$C13,'TL18'!$J$238:$J$451),0),
IF('TL19'!$B$3=M$3,SUMIF('TL19'!$C$10:$C$224,$C13,'TL19'!$J$10:$J$224),0),
IF('TL19'!$B$229=M$3,SUMIF('TL19'!$C$238:$C$451,$C13,'TL19'!$J$238:$J$451),0)
),0)</f>
        <v>0</v>
      </c>
      <c r="N13" s="9">
        <f>IFERROR(SUM(
IF('TL01'!$B$3=N$3,SUMIF('TL01'!$C$10:$C$224,$C13,'TL01'!$J$10:$J$224),0),
IF('TL01'!$B$229=N$3,SUMIF('TL01'!$C$238:$C$451,$C13,'TL01'!$J$238:$J$451),0),
IF('TL02'!$B$3=N$3,SUMIF('TL02'!$C$10:$C$224,$C13,'TL02'!$J$10:$J$224),0),
IF('TL02'!$B$229=N$3,SUMIF('TL02'!$C$238:$C$451,$C13,'TL02'!$J$238:$J$451),0),
IF('TL03'!$B$3=N$3,SUMIF('TL03'!$C$10:$C$224,$C13,'TL03'!$J$10:$J$224),0),
IF('TL03'!$B$229=N$3,SUMIF('TL03'!$C$238:$C$451,$C13,'TL03'!$J$238:$J$451),0),
IF('TL04'!$B$3=N$3,SUMIF('TL04'!$C$10:$C$224,$C13,'TL04'!$J$10:$J$224),0),
IF('TL04'!$B$229=N$3,SUMIF('TL04'!$C$238:$C$451,$C13,'TL04'!$J$238:$J$451),0),
IF('TL05'!$B$3=N$3,SUMIF('TL05'!$C$10:$C$224,$C13,'TL05'!$J$10:$J$224),0),
IF('TL05'!$B$229=N$3,SUMIF('TL05'!$C$238:$C$451,$C13,'TL05'!$J$238:$J$451),0),
IF('TL06'!$B$3=N$3,SUMIF('TL06'!$C$10:$C$224,$C13,'TL06'!$J$10:$J$224),0),
IF('TL06'!$B$229=N$3,SUMIF('TL06'!$C$238:$C$451,$C13,'TL06'!$J$238:$J$451),0),
IF('TL07'!$B$3=N$3,SUMIF('TL07'!$C$10:$C$224,$C13,'TL07'!$J$10:$J$224),0),
IF('TL07'!$B$229=N$3,SUMIF('TL07'!$C$238:$C$451,$C13,'TL07'!$J$238:$J$451),0),
IF('TL08'!$B$3=N$3,SUMIF('TL08'!$C$10:$C$224,$C13,'TL08'!$J$10:$J$224),0),
IF('TL08'!$B$229=N$3,SUMIF('TL08'!$C$238:$C$451,$C13,'TL08'!$J$238:$J$451),0),
IF('TL09'!$B$3=N$3,SUMIF('TL09'!$C$10:$C$224,$C13,'TL09'!$J$10:$J$224),0),
IF('TL09'!$B$229=N$3,SUMIF('TL09'!$C$238:$C$451,$C13,'TL09'!$J$238:$J$451),0),
IF('TL10'!$B$3=N$3,SUMIF('TL10'!$C$10:$C$224,$C13,'TL10'!$J$10:$J$224),0),
IF('TL10'!$B$229=N$3,SUMIF('TL10'!$C$238:$C$451,$C13,'TL10'!$J$238:$J$451),0),
IF('TL11'!$B$3=N$3,SUMIF('TL11'!$C$10:$C$224,$C13,'TL11'!$J$10:$J$224),0),
IF('TL11'!$B$229=N$3,SUMIF('TL11'!$C$238:$C$451,$C13,'TL11'!$J$238:$J$451),0),
IF('TL12'!$B$3=N$3,SUMIF('TL12'!$C$10:$C$224,$C13,'TL12'!$J$10:$J$224),0),
IF('TL12'!$B$229=N$3,SUMIF('TL12'!$C$238:$C$451,$C13,'TL12'!$J$238:$J$451),0),
IF('TL13'!$B$3=N$3,SUMIF('TL13'!$C$10:$C$224,$C13,'TL13'!$J$10:$J$224),0),
IF('TL13'!$B$229=N$3,SUMIF('TL13'!$C$238:$C$451,$C13,'TL13'!$J$238:$J$451),0),
IF('TL14'!$B$3=N$3,SUMIF('TL14'!$C$10:$C$224,$C13,'TL14'!$J$10:$J$224),0),
IF('TL14'!$B$229=N$3,SUMIF('TL14'!$C$238:$C$451,$C13,'TL14'!$J$238:$J$451),0),
IF('TL15'!$B$3=N$3,SUMIF('TL15'!$C$10:$C$224,$C13,'TL15'!$J$10:$J$224),0),
IF('TL15'!$B$229=N$3,SUMIF('TL15'!$C$238:$C$451,$C13,'TL15'!$J$238:$J$451),0),
IF('TL16'!$B$3=N$3,SUMIF('TL16'!$C$10:$C$224,$C13,'TL16'!$J$10:$J$224),0),
IF('TL16'!$B$229=N$3,SUMIF('TL16'!$C$238:$C$451,$C13,'TL16'!$J$238:$J$451),0),
IF('TL17'!$B$3=N$3,SUMIF('TL17'!$C$10:$C$224,$C13,'TL17'!$J$10:$J$224),0),
IF('TL17'!$B$229=N$3,SUMIF('TL17'!$C$238:$C$451,$C13,'TL17'!$J$238:$J$451),0),
IF('TL18'!$B$3=N$3,SUMIF('TL18'!$C$10:$C$224,$C13,'TL18'!$J$10:$J$224),0),
IF('TL18'!$B$229=N$3,SUMIF('TL18'!$C$238:$C$451,$C13,'TL18'!$J$238:$J$451),0),
IF('TL19'!$B$3=N$3,SUMIF('TL19'!$C$10:$C$224,$C13,'TL19'!$J$10:$J$224),0),
IF('TL19'!$B$229=N$3,SUMIF('TL19'!$C$238:$C$451,$C13,'TL19'!$J$238:$J$451),0)
),0)</f>
        <v>0</v>
      </c>
      <c r="O13" s="9">
        <f>IFERROR(SUM(
IF('TL01'!$B$3=O$3,SUMIF('TL01'!$C$10:$C$224,$C13,'TL01'!$J$10:$J$224),0),
IF('TL01'!$B$229=O$3,SUMIF('TL01'!$C$238:$C$451,$C13,'TL01'!$J$238:$J$451),0),
IF('TL02'!$B$3=O$3,SUMIF('TL02'!$C$10:$C$224,$C13,'TL02'!$J$10:$J$224),0),
IF('TL02'!$B$229=O$3,SUMIF('TL02'!$C$238:$C$451,$C13,'TL02'!$J$238:$J$451),0),
IF('TL03'!$B$3=O$3,SUMIF('TL03'!$C$10:$C$224,$C13,'TL03'!$J$10:$J$224),0),
IF('TL03'!$B$229=O$3,SUMIF('TL03'!$C$238:$C$451,$C13,'TL03'!$J$238:$J$451),0),
IF('TL04'!$B$3=O$3,SUMIF('TL04'!$C$10:$C$224,$C13,'TL04'!$J$10:$J$224),0),
IF('TL04'!$B$229=O$3,SUMIF('TL04'!$C$238:$C$451,$C13,'TL04'!$J$238:$J$451),0),
IF('TL05'!$B$3=O$3,SUMIF('TL05'!$C$10:$C$224,$C13,'TL05'!$J$10:$J$224),0),
IF('TL05'!$B$229=O$3,SUMIF('TL05'!$C$238:$C$451,$C13,'TL05'!$J$238:$J$451),0),
IF('TL06'!$B$3=O$3,SUMIF('TL06'!$C$10:$C$224,$C13,'TL06'!$J$10:$J$224),0),
IF('TL06'!$B$229=O$3,SUMIF('TL06'!$C$238:$C$451,$C13,'TL06'!$J$238:$J$451),0),
IF('TL07'!$B$3=O$3,SUMIF('TL07'!$C$10:$C$224,$C13,'TL07'!$J$10:$J$224),0),
IF('TL07'!$B$229=O$3,SUMIF('TL07'!$C$238:$C$451,$C13,'TL07'!$J$238:$J$451),0),
IF('TL08'!$B$3=O$3,SUMIF('TL08'!$C$10:$C$224,$C13,'TL08'!$J$10:$J$224),0),
IF('TL08'!$B$229=O$3,SUMIF('TL08'!$C$238:$C$451,$C13,'TL08'!$J$238:$J$451),0),
IF('TL09'!$B$3=O$3,SUMIF('TL09'!$C$10:$C$224,$C13,'TL09'!$J$10:$J$224),0),
IF('TL09'!$B$229=O$3,SUMIF('TL09'!$C$238:$C$451,$C13,'TL09'!$J$238:$J$451),0),
IF('TL10'!$B$3=O$3,SUMIF('TL10'!$C$10:$C$224,$C13,'TL10'!$J$10:$J$224),0),
IF('TL10'!$B$229=O$3,SUMIF('TL10'!$C$238:$C$451,$C13,'TL10'!$J$238:$J$451),0),
IF('TL11'!$B$3=O$3,SUMIF('TL11'!$C$10:$C$224,$C13,'TL11'!$J$10:$J$224),0),
IF('TL11'!$B$229=O$3,SUMIF('TL11'!$C$238:$C$451,$C13,'TL11'!$J$238:$J$451),0),
IF('TL12'!$B$3=O$3,SUMIF('TL12'!$C$10:$C$224,$C13,'TL12'!$J$10:$J$224),0),
IF('TL12'!$B$229=O$3,SUMIF('TL12'!$C$238:$C$451,$C13,'TL12'!$J$238:$J$451),0),
IF('TL13'!$B$3=O$3,SUMIF('TL13'!$C$10:$C$224,$C13,'TL13'!$J$10:$J$224),0),
IF('TL13'!$B$229=O$3,SUMIF('TL13'!$C$238:$C$451,$C13,'TL13'!$J$238:$J$451),0),
IF('TL14'!$B$3=O$3,SUMIF('TL14'!$C$10:$C$224,$C13,'TL14'!$J$10:$J$224),0),
IF('TL14'!$B$229=O$3,SUMIF('TL14'!$C$238:$C$451,$C13,'TL14'!$J$238:$J$451),0),
IF('TL15'!$B$3=O$3,SUMIF('TL15'!$C$10:$C$224,$C13,'TL15'!$J$10:$J$224),0),
IF('TL15'!$B$229=O$3,SUMIF('TL15'!$C$238:$C$451,$C13,'TL15'!$J$238:$J$451),0),
IF('TL16'!$B$3=O$3,SUMIF('TL16'!$C$10:$C$224,$C13,'TL16'!$J$10:$J$224),0),
IF('TL16'!$B$229=O$3,SUMIF('TL16'!$C$238:$C$451,$C13,'TL16'!$J$238:$J$451),0),
IF('TL17'!$B$3=O$3,SUMIF('TL17'!$C$10:$C$224,$C13,'TL17'!$J$10:$J$224),0),
IF('TL17'!$B$229=O$3,SUMIF('TL17'!$C$238:$C$451,$C13,'TL17'!$J$238:$J$451),0),
IF('TL18'!$B$3=O$3,SUMIF('TL18'!$C$10:$C$224,$C13,'TL18'!$J$10:$J$224),0),
IF('TL18'!$B$229=O$3,SUMIF('TL18'!$C$238:$C$451,$C13,'TL18'!$J$238:$J$451),0),
IF('TL19'!$B$3=O$3,SUMIF('TL19'!$C$10:$C$224,$C13,'TL19'!$J$10:$J$224),0),
IF('TL19'!$B$229=O$3,SUMIF('TL19'!$C$238:$C$451,$C13,'TL19'!$J$238:$J$451),0)
),0)</f>
        <v>0</v>
      </c>
      <c r="P13" s="9">
        <f>IFERROR(SUM(
IF('TL01'!$B$3=P$3,SUMIF('TL01'!$C$10:$C$224,$C13,'TL01'!$J$10:$J$224),0),
IF('TL01'!$B$229=P$3,SUMIF('TL01'!$C$238:$C$451,$C13,'TL01'!$J$238:$J$451),0),
IF('TL02'!$B$3=P$3,SUMIF('TL02'!$C$10:$C$224,$C13,'TL02'!$J$10:$J$224),0),
IF('TL02'!$B$229=P$3,SUMIF('TL02'!$C$238:$C$451,$C13,'TL02'!$J$238:$J$451),0),
IF('TL03'!$B$3=P$3,SUMIF('TL03'!$C$10:$C$224,$C13,'TL03'!$J$10:$J$224),0),
IF('TL03'!$B$229=P$3,SUMIF('TL03'!$C$238:$C$451,$C13,'TL03'!$J$238:$J$451),0),
IF('TL04'!$B$3=P$3,SUMIF('TL04'!$C$10:$C$224,$C13,'TL04'!$J$10:$J$224),0),
IF('TL04'!$B$229=P$3,SUMIF('TL04'!$C$238:$C$451,$C13,'TL04'!$J$238:$J$451),0),
IF('TL05'!$B$3=P$3,SUMIF('TL05'!$C$10:$C$224,$C13,'TL05'!$J$10:$J$224),0),
IF('TL05'!$B$229=P$3,SUMIF('TL05'!$C$238:$C$451,$C13,'TL05'!$J$238:$J$451),0),
IF('TL06'!$B$3=P$3,SUMIF('TL06'!$C$10:$C$224,$C13,'TL06'!$J$10:$J$224),0),
IF('TL06'!$B$229=P$3,SUMIF('TL06'!$C$238:$C$451,$C13,'TL06'!$J$238:$J$451),0),
IF('TL07'!$B$3=P$3,SUMIF('TL07'!$C$10:$C$224,$C13,'TL07'!$J$10:$J$224),0),
IF('TL07'!$B$229=P$3,SUMIF('TL07'!$C$238:$C$451,$C13,'TL07'!$J$238:$J$451),0),
IF('TL08'!$B$3=P$3,SUMIF('TL08'!$C$10:$C$224,$C13,'TL08'!$J$10:$J$224),0),
IF('TL08'!$B$229=P$3,SUMIF('TL08'!$C$238:$C$451,$C13,'TL08'!$J$238:$J$451),0),
IF('TL09'!$B$3=P$3,SUMIF('TL09'!$C$10:$C$224,$C13,'TL09'!$J$10:$J$224),0),
IF('TL09'!$B$229=P$3,SUMIF('TL09'!$C$238:$C$451,$C13,'TL09'!$J$238:$J$451),0),
IF('TL10'!$B$3=P$3,SUMIF('TL10'!$C$10:$C$224,$C13,'TL10'!$J$10:$J$224),0),
IF('TL10'!$B$229=P$3,SUMIF('TL10'!$C$238:$C$451,$C13,'TL10'!$J$238:$J$451),0),
IF('TL11'!$B$3=P$3,SUMIF('TL11'!$C$10:$C$224,$C13,'TL11'!$J$10:$J$224),0),
IF('TL11'!$B$229=P$3,SUMIF('TL11'!$C$238:$C$451,$C13,'TL11'!$J$238:$J$451),0),
IF('TL12'!$B$3=P$3,SUMIF('TL12'!$C$10:$C$224,$C13,'TL12'!$J$10:$J$224),0),
IF('TL12'!$B$229=P$3,SUMIF('TL12'!$C$238:$C$451,$C13,'TL12'!$J$238:$J$451),0),
IF('TL13'!$B$3=P$3,SUMIF('TL13'!$C$10:$C$224,$C13,'TL13'!$J$10:$J$224),0),
IF('TL13'!$B$229=P$3,SUMIF('TL13'!$C$238:$C$451,$C13,'TL13'!$J$238:$J$451),0),
IF('TL14'!$B$3=P$3,SUMIF('TL14'!$C$10:$C$224,$C13,'TL14'!$J$10:$J$224),0),
IF('TL14'!$B$229=P$3,SUMIF('TL14'!$C$238:$C$451,$C13,'TL14'!$J$238:$J$451),0),
IF('TL15'!$B$3=P$3,SUMIF('TL15'!$C$10:$C$224,$C13,'TL15'!$J$10:$J$224),0),
IF('TL15'!$B$229=P$3,SUMIF('TL15'!$C$238:$C$451,$C13,'TL15'!$J$238:$J$451),0),
IF('TL16'!$B$3=P$3,SUMIF('TL16'!$C$10:$C$224,$C13,'TL16'!$J$10:$J$224),0),
IF('TL16'!$B$229=P$3,SUMIF('TL16'!$C$238:$C$451,$C13,'TL16'!$J$238:$J$451),0),
IF('TL17'!$B$3=P$3,SUMIF('TL17'!$C$10:$C$224,$C13,'TL17'!$J$10:$J$224),0),
IF('TL17'!$B$229=P$3,SUMIF('TL17'!$C$238:$C$451,$C13,'TL17'!$J$238:$J$451),0),
IF('TL18'!$B$3=P$3,SUMIF('TL18'!$C$10:$C$224,$C13,'TL18'!$J$10:$J$224),0),
IF('TL18'!$B$229=P$3,SUMIF('TL18'!$C$238:$C$451,$C13,'TL18'!$J$238:$J$451),0),
IF('TL19'!$B$3=P$3,SUMIF('TL19'!$C$10:$C$224,$C13,'TL19'!$J$10:$J$224),0),
IF('TL19'!$B$229=P$3,SUMIF('TL19'!$C$238:$C$451,$C13,'TL19'!$J$238:$J$451),0)
),0)</f>
        <v>0</v>
      </c>
      <c r="Q13" s="9">
        <f>IFERROR(SUM(
IF('TL01'!$B$3=Q$3,SUMIF('TL01'!$C$10:$C$224,$C13,'TL01'!$J$10:$J$224),0),
IF('TL01'!$B$229=Q$3,SUMIF('TL01'!$C$238:$C$451,$C13,'TL01'!$J$238:$J$451),0),
IF('TL02'!$B$3=Q$3,SUMIF('TL02'!$C$10:$C$224,$C13,'TL02'!$J$10:$J$224),0),
IF('TL02'!$B$229=Q$3,SUMIF('TL02'!$C$238:$C$451,$C13,'TL02'!$J$238:$J$451),0),
IF('TL03'!$B$3=Q$3,SUMIF('TL03'!$C$10:$C$224,$C13,'TL03'!$J$10:$J$224),0),
IF('TL03'!$B$229=Q$3,SUMIF('TL03'!$C$238:$C$451,$C13,'TL03'!$J$238:$J$451),0),
IF('TL04'!$B$3=Q$3,SUMIF('TL04'!$C$10:$C$224,$C13,'TL04'!$J$10:$J$224),0),
IF('TL04'!$B$229=Q$3,SUMIF('TL04'!$C$238:$C$451,$C13,'TL04'!$J$238:$J$451),0),
IF('TL05'!$B$3=Q$3,SUMIF('TL05'!$C$10:$C$224,$C13,'TL05'!$J$10:$J$224),0),
IF('TL05'!$B$229=Q$3,SUMIF('TL05'!$C$238:$C$451,$C13,'TL05'!$J$238:$J$451),0),
IF('TL06'!$B$3=Q$3,SUMIF('TL06'!$C$10:$C$224,$C13,'TL06'!$J$10:$J$224),0),
IF('TL06'!$B$229=Q$3,SUMIF('TL06'!$C$238:$C$451,$C13,'TL06'!$J$238:$J$451),0),
IF('TL07'!$B$3=Q$3,SUMIF('TL07'!$C$10:$C$224,$C13,'TL07'!$J$10:$J$224),0),
IF('TL07'!$B$229=Q$3,SUMIF('TL07'!$C$238:$C$451,$C13,'TL07'!$J$238:$J$451),0),
IF('TL08'!$B$3=Q$3,SUMIF('TL08'!$C$10:$C$224,$C13,'TL08'!$J$10:$J$224),0),
IF('TL08'!$B$229=Q$3,SUMIF('TL08'!$C$238:$C$451,$C13,'TL08'!$J$238:$J$451),0),
IF('TL09'!$B$3=Q$3,SUMIF('TL09'!$C$10:$C$224,$C13,'TL09'!$J$10:$J$224),0),
IF('TL09'!$B$229=Q$3,SUMIF('TL09'!$C$238:$C$451,$C13,'TL09'!$J$238:$J$451),0),
IF('TL10'!$B$3=Q$3,SUMIF('TL10'!$C$10:$C$224,$C13,'TL10'!$J$10:$J$224),0),
IF('TL10'!$B$229=Q$3,SUMIF('TL10'!$C$238:$C$451,$C13,'TL10'!$J$238:$J$451),0),
IF('TL11'!$B$3=Q$3,SUMIF('TL11'!$C$10:$C$224,$C13,'TL11'!$J$10:$J$224),0),
IF('TL11'!$B$229=Q$3,SUMIF('TL11'!$C$238:$C$451,$C13,'TL11'!$J$238:$J$451),0),
IF('TL12'!$B$3=Q$3,SUMIF('TL12'!$C$10:$C$224,$C13,'TL12'!$J$10:$J$224),0),
IF('TL12'!$B$229=Q$3,SUMIF('TL12'!$C$238:$C$451,$C13,'TL12'!$J$238:$J$451),0),
IF('TL13'!$B$3=Q$3,SUMIF('TL13'!$C$10:$C$224,$C13,'TL13'!$J$10:$J$224),0),
IF('TL13'!$B$229=Q$3,SUMIF('TL13'!$C$238:$C$451,$C13,'TL13'!$J$238:$J$451),0),
IF('TL14'!$B$3=Q$3,SUMIF('TL14'!$C$10:$C$224,$C13,'TL14'!$J$10:$J$224),0),
IF('TL14'!$B$229=Q$3,SUMIF('TL14'!$C$238:$C$451,$C13,'TL14'!$J$238:$J$451),0),
IF('TL15'!$B$3=Q$3,SUMIF('TL15'!$C$10:$C$224,$C13,'TL15'!$J$10:$J$224),0),
IF('TL15'!$B$229=Q$3,SUMIF('TL15'!$C$238:$C$451,$C13,'TL15'!$J$238:$J$451),0),
IF('TL16'!$B$3=Q$3,SUMIF('TL16'!$C$10:$C$224,$C13,'TL16'!$J$10:$J$224),0),
IF('TL16'!$B$229=Q$3,SUMIF('TL16'!$C$238:$C$451,$C13,'TL16'!$J$238:$J$451),0),
IF('TL17'!$B$3=Q$3,SUMIF('TL17'!$C$10:$C$224,$C13,'TL17'!$J$10:$J$224),0),
IF('TL17'!$B$229=Q$3,SUMIF('TL17'!$C$238:$C$451,$C13,'TL17'!$J$238:$J$451),0),
IF('TL18'!$B$3=Q$3,SUMIF('TL18'!$C$10:$C$224,$C13,'TL18'!$J$10:$J$224),0),
IF('TL18'!$B$229=Q$3,SUMIF('TL18'!$C$238:$C$451,$C13,'TL18'!$J$238:$J$451),0),
IF('TL19'!$B$3=Q$3,SUMIF('TL19'!$C$10:$C$224,$C13,'TL19'!$J$10:$J$224),0),
IF('TL19'!$B$229=Q$3,SUMIF('TL19'!$C$238:$C$451,$C13,'TL19'!$J$238:$J$451),0)
),0)</f>
        <v>0</v>
      </c>
      <c r="R13" s="9">
        <f>IFERROR(
SUM(
SUMIF('TL01'!C:C,C13,'TL01'!J:J),
SUMIF('TL02'!C:C,C13,'TL02'!J:J),
SUMIF('TL03'!C:C,C13,'TL03'!J:J),
SUMIF('TL04'!C:C,C13,'TL04'!J:J),
SUMIF('TL05'!C:C,C13,'TL05'!J:J),
SUMIF('TL06'!C:C,C13,'TL06'!J:J),
SUMIF('TL07'!C:C,C13,'TL07'!J:J),
SUMIF('TL08'!C:C,C13,'TL08'!J:J),
SUMIF('TL09'!C:C,C13,'TL09'!J:J),
SUMIF('TL10'!C:C,C13,'TL10'!J:J),
SUMIF('TL11'!C:C,C13,'TL11'!J:J),
SUMIF('TL12'!C:C,C13,'TL12'!J:J),
SUMIF('TL13'!C:C,C13,'TL13'!J:J),
SUMIF('TL14'!C:C,C13,'TL14'!J:J),
SUMIF('TL15'!C:C,C13,'TL15'!J:J),
SUMIF('TL16'!C:C,C13,'TL16'!J:J),
SUMIF('TL17'!C:C,C13,'TL17'!J:J),
SUMIF('TL18'!C:C,C13,'TL18'!J:J),SUMIF('TL19'!C:C,C13,'TL19'!J:J))
,0)</f>
        <v>0</v>
      </c>
      <c r="S13" s="17">
        <f>IFERROR(__xludf.DUMMYFUNCTION("IFERROR(VLOOKUP(C13,
IMPORTRANGE(""1wULbzX32WdYsx-lj2U3uUNBBe2INVIRDtcK0d-Dvl90"",
""26-27!C:G""),
5,
FALSE),
"""")"),235.011)</f>
        <v>235.011</v>
      </c>
      <c r="T13" s="9"/>
      <c r="U13" s="92">
        <f t="shared" si="2"/>
        <v>0</v>
      </c>
      <c r="V13" s="93">
        <f t="shared" si="3"/>
        <v>0</v>
      </c>
    </row>
    <row r="14" ht="22.5" hidden="1" customHeight="1">
      <c r="A14" s="87" t="s">
        <v>356</v>
      </c>
      <c r="B14" s="95" t="s">
        <v>3</v>
      </c>
      <c r="C14" s="89" t="s">
        <v>368</v>
      </c>
      <c r="D14" s="89" t="s">
        <v>369</v>
      </c>
      <c r="E14" s="98"/>
      <c r="F14" s="4" t="s">
        <v>343</v>
      </c>
      <c r="G14" s="90" t="str">
        <f t="shared" si="1"/>
        <v>📄 Ver bula</v>
      </c>
      <c r="H14" s="9">
        <f>IFERROR(__xludf.DUMMYFUNCTION("IFERROR(VLOOKUP(C14,
IMPORTRANGE(""1wULbzX32WdYsx-lj2U3uUNBBe2INVIRDtcK0d-Dvl90"",
""26-27!C:K""),
8,
FALSE),
"""")"),0.01)</f>
        <v>0.01</v>
      </c>
      <c r="I14" s="91" t="s">
        <v>370</v>
      </c>
      <c r="J14" s="9">
        <f>IFERROR(SUM(
IF('TL01'!$B$3=J$3,SUMIF('TL01'!$C$10:$C$224,$C14,'TL01'!$J$10:$J$224),0),
IF('TL01'!$B$229=J$3,SUMIF('TL01'!$C$238:$C$451,$C14,'TL01'!$J$238:$J$451),0),
IF('TL02'!$B$3=J$3,SUMIF('TL02'!$C$10:$C$224,$C14,'TL02'!$J$10:$J$224),0),
IF('TL02'!$B$229=J$3,SUMIF('TL02'!$C$238:$C$451,$C14,'TL02'!$J$238:$J$451),0),
IF('TL03'!$B$3=J$3,SUMIF('TL03'!$C$10:$C$224,$C14,'TL03'!$J$10:$J$224),0),
IF('TL03'!$B$229=J$3,SUMIF('TL03'!$C$238:$C$451,$C14,'TL03'!$J$238:$J$451),0),
IF('TL04'!$B$3=J$3,SUMIF('TL04'!$C$10:$C$224,$C14,'TL04'!$J$10:$J$224),0),
IF('TL04'!$B$229=J$3,SUMIF('TL04'!$C$238:$C$451,$C14,'TL04'!$J$238:$J$451),0),
IF('TL05'!$B$3=J$3,SUMIF('TL05'!$C$10:$C$224,$C14,'TL05'!$J$10:$J$224),0),
IF('TL05'!$B$229=J$3,SUMIF('TL05'!$C$238:$C$451,$C14,'TL05'!$J$238:$J$451),0),
IF('TL06'!$B$3=J$3,SUMIF('TL06'!$C$10:$C$224,$C14,'TL06'!$J$10:$J$224),0),
IF('TL06'!$B$229=J$3,SUMIF('TL06'!$C$238:$C$451,$C14,'TL06'!$J$238:$J$451),0),
IF('TL07'!$B$3=J$3,SUMIF('TL07'!$C$10:$C$224,$C14,'TL07'!$J$10:$J$224),0),
IF('TL07'!$B$229=J$3,SUMIF('TL07'!$C$238:$C$451,$C14,'TL07'!$J$238:$J$451),0),
IF('TL08'!$B$3=J$3,SUMIF('TL08'!$C$10:$C$224,$C14,'TL08'!$J$10:$J$224),0),
IF('TL08'!$B$229=J$3,SUMIF('TL08'!$C$238:$C$451,$C14,'TL08'!$J$238:$J$451),0),
IF('TL09'!$B$3=J$3,SUMIF('TL09'!$C$10:$C$224,$C14,'TL09'!$J$10:$J$224),0),
IF('TL09'!$B$229=J$3,SUMIF('TL09'!$C$238:$C$451,$C14,'TL09'!$J$238:$J$451),0),
IF('TL10'!$B$3=J$3,SUMIF('TL10'!$C$10:$C$224,$C14,'TL10'!$J$10:$J$224),0),
IF('TL10'!$B$229=J$3,SUMIF('TL10'!$C$238:$C$451,$C14,'TL10'!$J$238:$J$451),0),
IF('TL11'!$B$3=J$3,SUMIF('TL11'!$C$10:$C$224,$C14,'TL11'!$J$10:$J$224),0),
IF('TL11'!$B$229=J$3,SUMIF('TL11'!$C$238:$C$451,$C14,'TL11'!$J$238:$J$451),0),
IF('TL12'!$B$3=J$3,SUMIF('TL12'!$C$10:$C$224,$C14,'TL12'!$J$10:$J$224),0),
IF('TL12'!$B$229=J$3,SUMIF('TL12'!$C$238:$C$451,$C14,'TL12'!$J$238:$J$451),0),
IF('TL13'!$B$3=J$3,SUMIF('TL13'!$C$10:$C$224,$C14,'TL13'!$J$10:$J$224),0),
IF('TL13'!$B$229=J$3,SUMIF('TL13'!$C$238:$C$451,$C14,'TL13'!$J$238:$J$451),0),
IF('TL14'!$B$3=J$3,SUMIF('TL14'!$C$10:$C$224,$C14,'TL14'!$J$10:$J$224),0),
IF('TL14'!$B$229=J$3,SUMIF('TL14'!$C$238:$C$451,$C14,'TL14'!$J$238:$J$451),0),
IF('TL15'!$B$3=J$3,SUMIF('TL15'!$C$10:$C$224,$C14,'TL15'!$J$10:$J$224),0),
IF('TL15'!$B$229=J$3,SUMIF('TL15'!$C$238:$C$451,$C14,'TL15'!$J$238:$J$451),0),
IF('TL16'!$B$3=J$3,SUMIF('TL16'!$C$10:$C$224,$C14,'TL16'!$J$10:$J$224),0),
IF('TL16'!$B$229=J$3,SUMIF('TL16'!$C$238:$C$451,$C14,'TL16'!$J$238:$J$451),0),
IF('TL17'!$B$3=J$3,SUMIF('TL17'!$C$10:$C$224,$C14,'TL17'!$J$10:$J$224),0),
IF('TL17'!$B$229=J$3,SUMIF('TL17'!$C$238:$C$451,$C14,'TL17'!$J$238:$J$451),0),
IF('TL18'!$B$3=J$3,SUMIF('TL18'!$C$10:$C$224,$C14,'TL18'!$J$10:$J$224),0),
IF('TL18'!$B$229=J$3,SUMIF('TL18'!$C$238:$C$451,$C14,'TL18'!$J$238:$J$451),0),
IF('TL19'!$B$3=J$3,SUMIF('TL19'!$C$10:$C$224,$C14,'TL19'!$J$10:$J$224),0),
IF('TL19'!$B$229=J$3,SUMIF('TL19'!$C$238:$C$451,$C14,'TL19'!$J$238:$J$451),0)
),0)</f>
        <v>0</v>
      </c>
      <c r="K14" s="9">
        <f>IFERROR(SUM(
IF('TL01'!$B$3=K$3,SUMIF('TL01'!$C$10:$C$224,$C14,'TL01'!$J$10:$J$224),0),
IF('TL01'!$B$229=K$3,SUMIF('TL01'!$C$238:$C$451,$C14,'TL01'!$J$238:$J$451),0),
IF('TL02'!$B$3=K$3,SUMIF('TL02'!$C$10:$C$224,$C14,'TL02'!$J$10:$J$224),0),
IF('TL02'!$B$229=K$3,SUMIF('TL02'!$C$238:$C$451,$C14,'TL02'!$J$238:$J$451),0),
IF('TL03'!$B$3=K$3,SUMIF('TL03'!$C$10:$C$224,$C14,'TL03'!$J$10:$J$224),0),
IF('TL03'!$B$229=K$3,SUMIF('TL03'!$C$238:$C$451,$C14,'TL03'!$J$238:$J$451),0),
IF('TL04'!$B$3=K$3,SUMIF('TL04'!$C$10:$C$224,$C14,'TL04'!$J$10:$J$224),0),
IF('TL04'!$B$229=K$3,SUMIF('TL04'!$C$238:$C$451,$C14,'TL04'!$J$238:$J$451),0),
IF('TL05'!$B$3=K$3,SUMIF('TL05'!$C$10:$C$224,$C14,'TL05'!$J$10:$J$224),0),
IF('TL05'!$B$229=K$3,SUMIF('TL05'!$C$238:$C$451,$C14,'TL05'!$J$238:$J$451),0),
IF('TL06'!$B$3=K$3,SUMIF('TL06'!$C$10:$C$224,$C14,'TL06'!$J$10:$J$224),0),
IF('TL06'!$B$229=K$3,SUMIF('TL06'!$C$238:$C$451,$C14,'TL06'!$J$238:$J$451),0),
IF('TL07'!$B$3=K$3,SUMIF('TL07'!$C$10:$C$224,$C14,'TL07'!$J$10:$J$224),0),
IF('TL07'!$B$229=K$3,SUMIF('TL07'!$C$238:$C$451,$C14,'TL07'!$J$238:$J$451),0),
IF('TL08'!$B$3=K$3,SUMIF('TL08'!$C$10:$C$224,$C14,'TL08'!$J$10:$J$224),0),
IF('TL08'!$B$229=K$3,SUMIF('TL08'!$C$238:$C$451,$C14,'TL08'!$J$238:$J$451),0),
IF('TL09'!$B$3=K$3,SUMIF('TL09'!$C$10:$C$224,$C14,'TL09'!$J$10:$J$224),0),
IF('TL09'!$B$229=K$3,SUMIF('TL09'!$C$238:$C$451,$C14,'TL09'!$J$238:$J$451),0),
IF('TL10'!$B$3=K$3,SUMIF('TL10'!$C$10:$C$224,$C14,'TL10'!$J$10:$J$224),0),
IF('TL10'!$B$229=K$3,SUMIF('TL10'!$C$238:$C$451,$C14,'TL10'!$J$238:$J$451),0),
IF('TL11'!$B$3=K$3,SUMIF('TL11'!$C$10:$C$224,$C14,'TL11'!$J$10:$J$224),0),
IF('TL11'!$B$229=K$3,SUMIF('TL11'!$C$238:$C$451,$C14,'TL11'!$J$238:$J$451),0),
IF('TL12'!$B$3=K$3,SUMIF('TL12'!$C$10:$C$224,$C14,'TL12'!$J$10:$J$224),0),
IF('TL12'!$B$229=K$3,SUMIF('TL12'!$C$238:$C$451,$C14,'TL12'!$J$238:$J$451),0),
IF('TL13'!$B$3=K$3,SUMIF('TL13'!$C$10:$C$224,$C14,'TL13'!$J$10:$J$224),0),
IF('TL13'!$B$229=K$3,SUMIF('TL13'!$C$238:$C$451,$C14,'TL13'!$J$238:$J$451),0),
IF('TL14'!$B$3=K$3,SUMIF('TL14'!$C$10:$C$224,$C14,'TL14'!$J$10:$J$224),0),
IF('TL14'!$B$229=K$3,SUMIF('TL14'!$C$238:$C$451,$C14,'TL14'!$J$238:$J$451),0),
IF('TL15'!$B$3=K$3,SUMIF('TL15'!$C$10:$C$224,$C14,'TL15'!$J$10:$J$224),0),
IF('TL15'!$B$229=K$3,SUMIF('TL15'!$C$238:$C$451,$C14,'TL15'!$J$238:$J$451),0),
IF('TL16'!$B$3=K$3,SUMIF('TL16'!$C$10:$C$224,$C14,'TL16'!$J$10:$J$224),0),
IF('TL16'!$B$229=K$3,SUMIF('TL16'!$C$238:$C$451,$C14,'TL16'!$J$238:$J$451),0),
IF('TL17'!$B$3=K$3,SUMIF('TL17'!$C$10:$C$224,$C14,'TL17'!$J$10:$J$224),0),
IF('TL17'!$B$229=K$3,SUMIF('TL17'!$C$238:$C$451,$C14,'TL17'!$J$238:$J$451),0),
IF('TL18'!$B$3=K$3,SUMIF('TL18'!$C$10:$C$224,$C14,'TL18'!$J$10:$J$224),0),
IF('TL18'!$B$229=K$3,SUMIF('TL18'!$C$238:$C$451,$C14,'TL18'!$J$238:$J$451),0),
IF('TL19'!$B$3=K$3,SUMIF('TL19'!$C$10:$C$224,$C14,'TL19'!$J$10:$J$224),0),
IF('TL19'!$B$229=K$3,SUMIF('TL19'!$C$238:$C$451,$C14,'TL19'!$J$238:$J$451),0)
),0)</f>
        <v>0</v>
      </c>
      <c r="L14" s="9">
        <f>IFERROR(SUM(
IF('TL01'!$B$3=L$3,SUMIF('TL01'!$C$10:$C$224,$C14,'TL01'!$J$10:$J$224),0),
IF('TL01'!$B$229=L$3,SUMIF('TL01'!$C$238:$C$451,$C14,'TL01'!$J$238:$J$451),0),
IF('TL02'!$B$3=L$3,SUMIF('TL02'!$C$10:$C$224,$C14,'TL02'!$J$10:$J$224),0),
IF('TL02'!$B$229=L$3,SUMIF('TL02'!$C$238:$C$451,$C14,'TL02'!$J$238:$J$451),0),
IF('TL03'!$B$3=L$3,SUMIF('TL03'!$C$10:$C$224,$C14,'TL03'!$J$10:$J$224),0),
IF('TL03'!$B$229=L$3,SUMIF('TL03'!$C$238:$C$451,$C14,'TL03'!$J$238:$J$451),0),
IF('TL04'!$B$3=L$3,SUMIF('TL04'!$C$10:$C$224,$C14,'TL04'!$J$10:$J$224),0),
IF('TL04'!$B$229=L$3,SUMIF('TL04'!$C$238:$C$451,$C14,'TL04'!$J$238:$J$451),0),
IF('TL05'!$B$3=L$3,SUMIF('TL05'!$C$10:$C$224,$C14,'TL05'!$J$10:$J$224),0),
IF('TL05'!$B$229=L$3,SUMIF('TL05'!$C$238:$C$451,$C14,'TL05'!$J$238:$J$451),0),
IF('TL06'!$B$3=L$3,SUMIF('TL06'!$C$10:$C$224,$C14,'TL06'!$J$10:$J$224),0),
IF('TL06'!$B$229=L$3,SUMIF('TL06'!$C$238:$C$451,$C14,'TL06'!$J$238:$J$451),0),
IF('TL07'!$B$3=L$3,SUMIF('TL07'!$C$10:$C$224,$C14,'TL07'!$J$10:$J$224),0),
IF('TL07'!$B$229=L$3,SUMIF('TL07'!$C$238:$C$451,$C14,'TL07'!$J$238:$J$451),0),
IF('TL08'!$B$3=L$3,SUMIF('TL08'!$C$10:$C$224,$C14,'TL08'!$J$10:$J$224),0),
IF('TL08'!$B$229=L$3,SUMIF('TL08'!$C$238:$C$451,$C14,'TL08'!$J$238:$J$451),0),
IF('TL09'!$B$3=L$3,SUMIF('TL09'!$C$10:$C$224,$C14,'TL09'!$J$10:$J$224),0),
IF('TL09'!$B$229=L$3,SUMIF('TL09'!$C$238:$C$451,$C14,'TL09'!$J$238:$J$451),0),
IF('TL10'!$B$3=L$3,SUMIF('TL10'!$C$10:$C$224,$C14,'TL10'!$J$10:$J$224),0),
IF('TL10'!$B$229=L$3,SUMIF('TL10'!$C$238:$C$451,$C14,'TL10'!$J$238:$J$451),0),
IF('TL11'!$B$3=L$3,SUMIF('TL11'!$C$10:$C$224,$C14,'TL11'!$J$10:$J$224),0),
IF('TL11'!$B$229=L$3,SUMIF('TL11'!$C$238:$C$451,$C14,'TL11'!$J$238:$J$451),0),
IF('TL12'!$B$3=L$3,SUMIF('TL12'!$C$10:$C$224,$C14,'TL12'!$J$10:$J$224),0),
IF('TL12'!$B$229=L$3,SUMIF('TL12'!$C$238:$C$451,$C14,'TL12'!$J$238:$J$451),0),
IF('TL13'!$B$3=L$3,SUMIF('TL13'!$C$10:$C$224,$C14,'TL13'!$J$10:$J$224),0),
IF('TL13'!$B$229=L$3,SUMIF('TL13'!$C$238:$C$451,$C14,'TL13'!$J$238:$J$451),0),
IF('TL14'!$B$3=L$3,SUMIF('TL14'!$C$10:$C$224,$C14,'TL14'!$J$10:$J$224),0),
IF('TL14'!$B$229=L$3,SUMIF('TL14'!$C$238:$C$451,$C14,'TL14'!$J$238:$J$451),0),
IF('TL15'!$B$3=L$3,SUMIF('TL15'!$C$10:$C$224,$C14,'TL15'!$J$10:$J$224),0),
IF('TL15'!$B$229=L$3,SUMIF('TL15'!$C$238:$C$451,$C14,'TL15'!$J$238:$J$451),0),
IF('TL16'!$B$3=L$3,SUMIF('TL16'!$C$10:$C$224,$C14,'TL16'!$J$10:$J$224),0),
IF('TL16'!$B$229=L$3,SUMIF('TL16'!$C$238:$C$451,$C14,'TL16'!$J$238:$J$451),0),
IF('TL17'!$B$3=L$3,SUMIF('TL17'!$C$10:$C$224,$C14,'TL17'!$J$10:$J$224),0),
IF('TL17'!$B$229=L$3,SUMIF('TL17'!$C$238:$C$451,$C14,'TL17'!$J$238:$J$451),0),
IF('TL18'!$B$3=L$3,SUMIF('TL18'!$C$10:$C$224,$C14,'TL18'!$J$10:$J$224),0),
IF('TL18'!$B$229=L$3,SUMIF('TL18'!$C$238:$C$451,$C14,'TL18'!$J$238:$J$451),0),
IF('TL19'!$B$3=L$3,SUMIF('TL19'!$C$10:$C$224,$C14,'TL19'!$J$10:$J$224),0),
IF('TL19'!$B$229=L$3,SUMIF('TL19'!$C$238:$C$451,$C14,'TL19'!$J$238:$J$451),0)
),0)</f>
        <v>0</v>
      </c>
      <c r="M14" s="9">
        <f>IFERROR(SUM(
IF('TL01'!$B$3=M$3,SUMIF('TL01'!$C$10:$C$224,$C14,'TL01'!$J$10:$J$224),0),
IF('TL01'!$B$229=M$3,SUMIF('TL01'!$C$238:$C$451,$C14,'TL01'!$J$238:$J$451),0),
IF('TL02'!$B$3=M$3,SUMIF('TL02'!$C$10:$C$224,$C14,'TL02'!$J$10:$J$224),0),
IF('TL02'!$B$229=M$3,SUMIF('TL02'!$C$238:$C$451,$C14,'TL02'!$J$238:$J$451),0),
IF('TL03'!$B$3=M$3,SUMIF('TL03'!$C$10:$C$224,$C14,'TL03'!$J$10:$J$224),0),
IF('TL03'!$B$229=M$3,SUMIF('TL03'!$C$238:$C$451,$C14,'TL03'!$J$238:$J$451),0),
IF('TL04'!$B$3=M$3,SUMIF('TL04'!$C$10:$C$224,$C14,'TL04'!$J$10:$J$224),0),
IF('TL04'!$B$229=M$3,SUMIF('TL04'!$C$238:$C$451,$C14,'TL04'!$J$238:$J$451),0),
IF('TL05'!$B$3=M$3,SUMIF('TL05'!$C$10:$C$224,$C14,'TL05'!$J$10:$J$224),0),
IF('TL05'!$B$229=M$3,SUMIF('TL05'!$C$238:$C$451,$C14,'TL05'!$J$238:$J$451),0),
IF('TL06'!$B$3=M$3,SUMIF('TL06'!$C$10:$C$224,$C14,'TL06'!$J$10:$J$224),0),
IF('TL06'!$B$229=M$3,SUMIF('TL06'!$C$238:$C$451,$C14,'TL06'!$J$238:$J$451),0),
IF('TL07'!$B$3=M$3,SUMIF('TL07'!$C$10:$C$224,$C14,'TL07'!$J$10:$J$224),0),
IF('TL07'!$B$229=M$3,SUMIF('TL07'!$C$238:$C$451,$C14,'TL07'!$J$238:$J$451),0),
IF('TL08'!$B$3=M$3,SUMIF('TL08'!$C$10:$C$224,$C14,'TL08'!$J$10:$J$224),0),
IF('TL08'!$B$229=M$3,SUMIF('TL08'!$C$238:$C$451,$C14,'TL08'!$J$238:$J$451),0),
IF('TL09'!$B$3=M$3,SUMIF('TL09'!$C$10:$C$224,$C14,'TL09'!$J$10:$J$224),0),
IF('TL09'!$B$229=M$3,SUMIF('TL09'!$C$238:$C$451,$C14,'TL09'!$J$238:$J$451),0),
IF('TL10'!$B$3=M$3,SUMIF('TL10'!$C$10:$C$224,$C14,'TL10'!$J$10:$J$224),0),
IF('TL10'!$B$229=M$3,SUMIF('TL10'!$C$238:$C$451,$C14,'TL10'!$J$238:$J$451),0),
IF('TL11'!$B$3=M$3,SUMIF('TL11'!$C$10:$C$224,$C14,'TL11'!$J$10:$J$224),0),
IF('TL11'!$B$229=M$3,SUMIF('TL11'!$C$238:$C$451,$C14,'TL11'!$J$238:$J$451),0),
IF('TL12'!$B$3=M$3,SUMIF('TL12'!$C$10:$C$224,$C14,'TL12'!$J$10:$J$224),0),
IF('TL12'!$B$229=M$3,SUMIF('TL12'!$C$238:$C$451,$C14,'TL12'!$J$238:$J$451),0),
IF('TL13'!$B$3=M$3,SUMIF('TL13'!$C$10:$C$224,$C14,'TL13'!$J$10:$J$224),0),
IF('TL13'!$B$229=M$3,SUMIF('TL13'!$C$238:$C$451,$C14,'TL13'!$J$238:$J$451),0),
IF('TL14'!$B$3=M$3,SUMIF('TL14'!$C$10:$C$224,$C14,'TL14'!$J$10:$J$224),0),
IF('TL14'!$B$229=M$3,SUMIF('TL14'!$C$238:$C$451,$C14,'TL14'!$J$238:$J$451),0),
IF('TL15'!$B$3=M$3,SUMIF('TL15'!$C$10:$C$224,$C14,'TL15'!$J$10:$J$224),0),
IF('TL15'!$B$229=M$3,SUMIF('TL15'!$C$238:$C$451,$C14,'TL15'!$J$238:$J$451),0),
IF('TL16'!$B$3=M$3,SUMIF('TL16'!$C$10:$C$224,$C14,'TL16'!$J$10:$J$224),0),
IF('TL16'!$B$229=M$3,SUMIF('TL16'!$C$238:$C$451,$C14,'TL16'!$J$238:$J$451),0),
IF('TL17'!$B$3=M$3,SUMIF('TL17'!$C$10:$C$224,$C14,'TL17'!$J$10:$J$224),0),
IF('TL17'!$B$229=M$3,SUMIF('TL17'!$C$238:$C$451,$C14,'TL17'!$J$238:$J$451),0),
IF('TL18'!$B$3=M$3,SUMIF('TL18'!$C$10:$C$224,$C14,'TL18'!$J$10:$J$224),0),
IF('TL18'!$B$229=M$3,SUMIF('TL18'!$C$238:$C$451,$C14,'TL18'!$J$238:$J$451),0),
IF('TL19'!$B$3=M$3,SUMIF('TL19'!$C$10:$C$224,$C14,'TL19'!$J$10:$J$224),0),
IF('TL19'!$B$229=M$3,SUMIF('TL19'!$C$238:$C$451,$C14,'TL19'!$J$238:$J$451),0)
),0)</f>
        <v>0</v>
      </c>
      <c r="N14" s="9">
        <f>IFERROR(SUM(
IF('TL01'!$B$3=N$3,SUMIF('TL01'!$C$10:$C$224,$C14,'TL01'!$J$10:$J$224),0),
IF('TL01'!$B$229=N$3,SUMIF('TL01'!$C$238:$C$451,$C14,'TL01'!$J$238:$J$451),0),
IF('TL02'!$B$3=N$3,SUMIF('TL02'!$C$10:$C$224,$C14,'TL02'!$J$10:$J$224),0),
IF('TL02'!$B$229=N$3,SUMIF('TL02'!$C$238:$C$451,$C14,'TL02'!$J$238:$J$451),0),
IF('TL03'!$B$3=N$3,SUMIF('TL03'!$C$10:$C$224,$C14,'TL03'!$J$10:$J$224),0),
IF('TL03'!$B$229=N$3,SUMIF('TL03'!$C$238:$C$451,$C14,'TL03'!$J$238:$J$451),0),
IF('TL04'!$B$3=N$3,SUMIF('TL04'!$C$10:$C$224,$C14,'TL04'!$J$10:$J$224),0),
IF('TL04'!$B$229=N$3,SUMIF('TL04'!$C$238:$C$451,$C14,'TL04'!$J$238:$J$451),0),
IF('TL05'!$B$3=N$3,SUMIF('TL05'!$C$10:$C$224,$C14,'TL05'!$J$10:$J$224),0),
IF('TL05'!$B$229=N$3,SUMIF('TL05'!$C$238:$C$451,$C14,'TL05'!$J$238:$J$451),0),
IF('TL06'!$B$3=N$3,SUMIF('TL06'!$C$10:$C$224,$C14,'TL06'!$J$10:$J$224),0),
IF('TL06'!$B$229=N$3,SUMIF('TL06'!$C$238:$C$451,$C14,'TL06'!$J$238:$J$451),0),
IF('TL07'!$B$3=N$3,SUMIF('TL07'!$C$10:$C$224,$C14,'TL07'!$J$10:$J$224),0),
IF('TL07'!$B$229=N$3,SUMIF('TL07'!$C$238:$C$451,$C14,'TL07'!$J$238:$J$451),0),
IF('TL08'!$B$3=N$3,SUMIF('TL08'!$C$10:$C$224,$C14,'TL08'!$J$10:$J$224),0),
IF('TL08'!$B$229=N$3,SUMIF('TL08'!$C$238:$C$451,$C14,'TL08'!$J$238:$J$451),0),
IF('TL09'!$B$3=N$3,SUMIF('TL09'!$C$10:$C$224,$C14,'TL09'!$J$10:$J$224),0),
IF('TL09'!$B$229=N$3,SUMIF('TL09'!$C$238:$C$451,$C14,'TL09'!$J$238:$J$451),0),
IF('TL10'!$B$3=N$3,SUMIF('TL10'!$C$10:$C$224,$C14,'TL10'!$J$10:$J$224),0),
IF('TL10'!$B$229=N$3,SUMIF('TL10'!$C$238:$C$451,$C14,'TL10'!$J$238:$J$451),0),
IF('TL11'!$B$3=N$3,SUMIF('TL11'!$C$10:$C$224,$C14,'TL11'!$J$10:$J$224),0),
IF('TL11'!$B$229=N$3,SUMIF('TL11'!$C$238:$C$451,$C14,'TL11'!$J$238:$J$451),0),
IF('TL12'!$B$3=N$3,SUMIF('TL12'!$C$10:$C$224,$C14,'TL12'!$J$10:$J$224),0),
IF('TL12'!$B$229=N$3,SUMIF('TL12'!$C$238:$C$451,$C14,'TL12'!$J$238:$J$451),0),
IF('TL13'!$B$3=N$3,SUMIF('TL13'!$C$10:$C$224,$C14,'TL13'!$J$10:$J$224),0),
IF('TL13'!$B$229=N$3,SUMIF('TL13'!$C$238:$C$451,$C14,'TL13'!$J$238:$J$451),0),
IF('TL14'!$B$3=N$3,SUMIF('TL14'!$C$10:$C$224,$C14,'TL14'!$J$10:$J$224),0),
IF('TL14'!$B$229=N$3,SUMIF('TL14'!$C$238:$C$451,$C14,'TL14'!$J$238:$J$451),0),
IF('TL15'!$B$3=N$3,SUMIF('TL15'!$C$10:$C$224,$C14,'TL15'!$J$10:$J$224),0),
IF('TL15'!$B$229=N$3,SUMIF('TL15'!$C$238:$C$451,$C14,'TL15'!$J$238:$J$451),0),
IF('TL16'!$B$3=N$3,SUMIF('TL16'!$C$10:$C$224,$C14,'TL16'!$J$10:$J$224),0),
IF('TL16'!$B$229=N$3,SUMIF('TL16'!$C$238:$C$451,$C14,'TL16'!$J$238:$J$451),0),
IF('TL17'!$B$3=N$3,SUMIF('TL17'!$C$10:$C$224,$C14,'TL17'!$J$10:$J$224),0),
IF('TL17'!$B$229=N$3,SUMIF('TL17'!$C$238:$C$451,$C14,'TL17'!$J$238:$J$451),0),
IF('TL18'!$B$3=N$3,SUMIF('TL18'!$C$10:$C$224,$C14,'TL18'!$J$10:$J$224),0),
IF('TL18'!$B$229=N$3,SUMIF('TL18'!$C$238:$C$451,$C14,'TL18'!$J$238:$J$451),0),
IF('TL19'!$B$3=N$3,SUMIF('TL19'!$C$10:$C$224,$C14,'TL19'!$J$10:$J$224),0),
IF('TL19'!$B$229=N$3,SUMIF('TL19'!$C$238:$C$451,$C14,'TL19'!$J$238:$J$451),0)
),0)</f>
        <v>0</v>
      </c>
      <c r="O14" s="9">
        <f>IFERROR(SUM(
IF('TL01'!$B$3=O$3,SUMIF('TL01'!$C$10:$C$224,$C14,'TL01'!$J$10:$J$224),0),
IF('TL01'!$B$229=O$3,SUMIF('TL01'!$C$238:$C$451,$C14,'TL01'!$J$238:$J$451),0),
IF('TL02'!$B$3=O$3,SUMIF('TL02'!$C$10:$C$224,$C14,'TL02'!$J$10:$J$224),0),
IF('TL02'!$B$229=O$3,SUMIF('TL02'!$C$238:$C$451,$C14,'TL02'!$J$238:$J$451),0),
IF('TL03'!$B$3=O$3,SUMIF('TL03'!$C$10:$C$224,$C14,'TL03'!$J$10:$J$224),0),
IF('TL03'!$B$229=O$3,SUMIF('TL03'!$C$238:$C$451,$C14,'TL03'!$J$238:$J$451),0),
IF('TL04'!$B$3=O$3,SUMIF('TL04'!$C$10:$C$224,$C14,'TL04'!$J$10:$J$224),0),
IF('TL04'!$B$229=O$3,SUMIF('TL04'!$C$238:$C$451,$C14,'TL04'!$J$238:$J$451),0),
IF('TL05'!$B$3=O$3,SUMIF('TL05'!$C$10:$C$224,$C14,'TL05'!$J$10:$J$224),0),
IF('TL05'!$B$229=O$3,SUMIF('TL05'!$C$238:$C$451,$C14,'TL05'!$J$238:$J$451),0),
IF('TL06'!$B$3=O$3,SUMIF('TL06'!$C$10:$C$224,$C14,'TL06'!$J$10:$J$224),0),
IF('TL06'!$B$229=O$3,SUMIF('TL06'!$C$238:$C$451,$C14,'TL06'!$J$238:$J$451),0),
IF('TL07'!$B$3=O$3,SUMIF('TL07'!$C$10:$C$224,$C14,'TL07'!$J$10:$J$224),0),
IF('TL07'!$B$229=O$3,SUMIF('TL07'!$C$238:$C$451,$C14,'TL07'!$J$238:$J$451),0),
IF('TL08'!$B$3=O$3,SUMIF('TL08'!$C$10:$C$224,$C14,'TL08'!$J$10:$J$224),0),
IF('TL08'!$B$229=O$3,SUMIF('TL08'!$C$238:$C$451,$C14,'TL08'!$J$238:$J$451),0),
IF('TL09'!$B$3=O$3,SUMIF('TL09'!$C$10:$C$224,$C14,'TL09'!$J$10:$J$224),0),
IF('TL09'!$B$229=O$3,SUMIF('TL09'!$C$238:$C$451,$C14,'TL09'!$J$238:$J$451),0),
IF('TL10'!$B$3=O$3,SUMIF('TL10'!$C$10:$C$224,$C14,'TL10'!$J$10:$J$224),0),
IF('TL10'!$B$229=O$3,SUMIF('TL10'!$C$238:$C$451,$C14,'TL10'!$J$238:$J$451),0),
IF('TL11'!$B$3=O$3,SUMIF('TL11'!$C$10:$C$224,$C14,'TL11'!$J$10:$J$224),0),
IF('TL11'!$B$229=O$3,SUMIF('TL11'!$C$238:$C$451,$C14,'TL11'!$J$238:$J$451),0),
IF('TL12'!$B$3=O$3,SUMIF('TL12'!$C$10:$C$224,$C14,'TL12'!$J$10:$J$224),0),
IF('TL12'!$B$229=O$3,SUMIF('TL12'!$C$238:$C$451,$C14,'TL12'!$J$238:$J$451),0),
IF('TL13'!$B$3=O$3,SUMIF('TL13'!$C$10:$C$224,$C14,'TL13'!$J$10:$J$224),0),
IF('TL13'!$B$229=O$3,SUMIF('TL13'!$C$238:$C$451,$C14,'TL13'!$J$238:$J$451),0),
IF('TL14'!$B$3=O$3,SUMIF('TL14'!$C$10:$C$224,$C14,'TL14'!$J$10:$J$224),0),
IF('TL14'!$B$229=O$3,SUMIF('TL14'!$C$238:$C$451,$C14,'TL14'!$J$238:$J$451),0),
IF('TL15'!$B$3=O$3,SUMIF('TL15'!$C$10:$C$224,$C14,'TL15'!$J$10:$J$224),0),
IF('TL15'!$B$229=O$3,SUMIF('TL15'!$C$238:$C$451,$C14,'TL15'!$J$238:$J$451),0),
IF('TL16'!$B$3=O$3,SUMIF('TL16'!$C$10:$C$224,$C14,'TL16'!$J$10:$J$224),0),
IF('TL16'!$B$229=O$3,SUMIF('TL16'!$C$238:$C$451,$C14,'TL16'!$J$238:$J$451),0),
IF('TL17'!$B$3=O$3,SUMIF('TL17'!$C$10:$C$224,$C14,'TL17'!$J$10:$J$224),0),
IF('TL17'!$B$229=O$3,SUMIF('TL17'!$C$238:$C$451,$C14,'TL17'!$J$238:$J$451),0),
IF('TL18'!$B$3=O$3,SUMIF('TL18'!$C$10:$C$224,$C14,'TL18'!$J$10:$J$224),0),
IF('TL18'!$B$229=O$3,SUMIF('TL18'!$C$238:$C$451,$C14,'TL18'!$J$238:$J$451),0),
IF('TL19'!$B$3=O$3,SUMIF('TL19'!$C$10:$C$224,$C14,'TL19'!$J$10:$J$224),0),
IF('TL19'!$B$229=O$3,SUMIF('TL19'!$C$238:$C$451,$C14,'TL19'!$J$238:$J$451),0)
),0)</f>
        <v>0</v>
      </c>
      <c r="P14" s="9">
        <f>IFERROR(SUM(
IF('TL01'!$B$3=P$3,SUMIF('TL01'!$C$10:$C$224,$C14,'TL01'!$J$10:$J$224),0),
IF('TL01'!$B$229=P$3,SUMIF('TL01'!$C$238:$C$451,$C14,'TL01'!$J$238:$J$451),0),
IF('TL02'!$B$3=P$3,SUMIF('TL02'!$C$10:$C$224,$C14,'TL02'!$J$10:$J$224),0),
IF('TL02'!$B$229=P$3,SUMIF('TL02'!$C$238:$C$451,$C14,'TL02'!$J$238:$J$451),0),
IF('TL03'!$B$3=P$3,SUMIF('TL03'!$C$10:$C$224,$C14,'TL03'!$J$10:$J$224),0),
IF('TL03'!$B$229=P$3,SUMIF('TL03'!$C$238:$C$451,$C14,'TL03'!$J$238:$J$451),0),
IF('TL04'!$B$3=P$3,SUMIF('TL04'!$C$10:$C$224,$C14,'TL04'!$J$10:$J$224),0),
IF('TL04'!$B$229=P$3,SUMIF('TL04'!$C$238:$C$451,$C14,'TL04'!$J$238:$J$451),0),
IF('TL05'!$B$3=P$3,SUMIF('TL05'!$C$10:$C$224,$C14,'TL05'!$J$10:$J$224),0),
IF('TL05'!$B$229=P$3,SUMIF('TL05'!$C$238:$C$451,$C14,'TL05'!$J$238:$J$451),0),
IF('TL06'!$B$3=P$3,SUMIF('TL06'!$C$10:$C$224,$C14,'TL06'!$J$10:$J$224),0),
IF('TL06'!$B$229=P$3,SUMIF('TL06'!$C$238:$C$451,$C14,'TL06'!$J$238:$J$451),0),
IF('TL07'!$B$3=P$3,SUMIF('TL07'!$C$10:$C$224,$C14,'TL07'!$J$10:$J$224),0),
IF('TL07'!$B$229=P$3,SUMIF('TL07'!$C$238:$C$451,$C14,'TL07'!$J$238:$J$451),0),
IF('TL08'!$B$3=P$3,SUMIF('TL08'!$C$10:$C$224,$C14,'TL08'!$J$10:$J$224),0),
IF('TL08'!$B$229=P$3,SUMIF('TL08'!$C$238:$C$451,$C14,'TL08'!$J$238:$J$451),0),
IF('TL09'!$B$3=P$3,SUMIF('TL09'!$C$10:$C$224,$C14,'TL09'!$J$10:$J$224),0),
IF('TL09'!$B$229=P$3,SUMIF('TL09'!$C$238:$C$451,$C14,'TL09'!$J$238:$J$451),0),
IF('TL10'!$B$3=P$3,SUMIF('TL10'!$C$10:$C$224,$C14,'TL10'!$J$10:$J$224),0),
IF('TL10'!$B$229=P$3,SUMIF('TL10'!$C$238:$C$451,$C14,'TL10'!$J$238:$J$451),0),
IF('TL11'!$B$3=P$3,SUMIF('TL11'!$C$10:$C$224,$C14,'TL11'!$J$10:$J$224),0),
IF('TL11'!$B$229=P$3,SUMIF('TL11'!$C$238:$C$451,$C14,'TL11'!$J$238:$J$451),0),
IF('TL12'!$B$3=P$3,SUMIF('TL12'!$C$10:$C$224,$C14,'TL12'!$J$10:$J$224),0),
IF('TL12'!$B$229=P$3,SUMIF('TL12'!$C$238:$C$451,$C14,'TL12'!$J$238:$J$451),0),
IF('TL13'!$B$3=P$3,SUMIF('TL13'!$C$10:$C$224,$C14,'TL13'!$J$10:$J$224),0),
IF('TL13'!$B$229=P$3,SUMIF('TL13'!$C$238:$C$451,$C14,'TL13'!$J$238:$J$451),0),
IF('TL14'!$B$3=P$3,SUMIF('TL14'!$C$10:$C$224,$C14,'TL14'!$J$10:$J$224),0),
IF('TL14'!$B$229=P$3,SUMIF('TL14'!$C$238:$C$451,$C14,'TL14'!$J$238:$J$451),0),
IF('TL15'!$B$3=P$3,SUMIF('TL15'!$C$10:$C$224,$C14,'TL15'!$J$10:$J$224),0),
IF('TL15'!$B$229=P$3,SUMIF('TL15'!$C$238:$C$451,$C14,'TL15'!$J$238:$J$451),0),
IF('TL16'!$B$3=P$3,SUMIF('TL16'!$C$10:$C$224,$C14,'TL16'!$J$10:$J$224),0),
IF('TL16'!$B$229=P$3,SUMIF('TL16'!$C$238:$C$451,$C14,'TL16'!$J$238:$J$451),0),
IF('TL17'!$B$3=P$3,SUMIF('TL17'!$C$10:$C$224,$C14,'TL17'!$J$10:$J$224),0),
IF('TL17'!$B$229=P$3,SUMIF('TL17'!$C$238:$C$451,$C14,'TL17'!$J$238:$J$451),0),
IF('TL18'!$B$3=P$3,SUMIF('TL18'!$C$10:$C$224,$C14,'TL18'!$J$10:$J$224),0),
IF('TL18'!$B$229=P$3,SUMIF('TL18'!$C$238:$C$451,$C14,'TL18'!$J$238:$J$451),0),
IF('TL19'!$B$3=P$3,SUMIF('TL19'!$C$10:$C$224,$C14,'TL19'!$J$10:$J$224),0),
IF('TL19'!$B$229=P$3,SUMIF('TL19'!$C$238:$C$451,$C14,'TL19'!$J$238:$J$451),0)
),0)</f>
        <v>0</v>
      </c>
      <c r="Q14" s="9">
        <f>IFERROR(SUM(
IF('TL01'!$B$3=Q$3,SUMIF('TL01'!$C$10:$C$224,$C14,'TL01'!$J$10:$J$224),0),
IF('TL01'!$B$229=Q$3,SUMIF('TL01'!$C$238:$C$451,$C14,'TL01'!$J$238:$J$451),0),
IF('TL02'!$B$3=Q$3,SUMIF('TL02'!$C$10:$C$224,$C14,'TL02'!$J$10:$J$224),0),
IF('TL02'!$B$229=Q$3,SUMIF('TL02'!$C$238:$C$451,$C14,'TL02'!$J$238:$J$451),0),
IF('TL03'!$B$3=Q$3,SUMIF('TL03'!$C$10:$C$224,$C14,'TL03'!$J$10:$J$224),0),
IF('TL03'!$B$229=Q$3,SUMIF('TL03'!$C$238:$C$451,$C14,'TL03'!$J$238:$J$451),0),
IF('TL04'!$B$3=Q$3,SUMIF('TL04'!$C$10:$C$224,$C14,'TL04'!$J$10:$J$224),0),
IF('TL04'!$B$229=Q$3,SUMIF('TL04'!$C$238:$C$451,$C14,'TL04'!$J$238:$J$451),0),
IF('TL05'!$B$3=Q$3,SUMIF('TL05'!$C$10:$C$224,$C14,'TL05'!$J$10:$J$224),0),
IF('TL05'!$B$229=Q$3,SUMIF('TL05'!$C$238:$C$451,$C14,'TL05'!$J$238:$J$451),0),
IF('TL06'!$B$3=Q$3,SUMIF('TL06'!$C$10:$C$224,$C14,'TL06'!$J$10:$J$224),0),
IF('TL06'!$B$229=Q$3,SUMIF('TL06'!$C$238:$C$451,$C14,'TL06'!$J$238:$J$451),0),
IF('TL07'!$B$3=Q$3,SUMIF('TL07'!$C$10:$C$224,$C14,'TL07'!$J$10:$J$224),0),
IF('TL07'!$B$229=Q$3,SUMIF('TL07'!$C$238:$C$451,$C14,'TL07'!$J$238:$J$451),0),
IF('TL08'!$B$3=Q$3,SUMIF('TL08'!$C$10:$C$224,$C14,'TL08'!$J$10:$J$224),0),
IF('TL08'!$B$229=Q$3,SUMIF('TL08'!$C$238:$C$451,$C14,'TL08'!$J$238:$J$451),0),
IF('TL09'!$B$3=Q$3,SUMIF('TL09'!$C$10:$C$224,$C14,'TL09'!$J$10:$J$224),0),
IF('TL09'!$B$229=Q$3,SUMIF('TL09'!$C$238:$C$451,$C14,'TL09'!$J$238:$J$451),0),
IF('TL10'!$B$3=Q$3,SUMIF('TL10'!$C$10:$C$224,$C14,'TL10'!$J$10:$J$224),0),
IF('TL10'!$B$229=Q$3,SUMIF('TL10'!$C$238:$C$451,$C14,'TL10'!$J$238:$J$451),0),
IF('TL11'!$B$3=Q$3,SUMIF('TL11'!$C$10:$C$224,$C14,'TL11'!$J$10:$J$224),0),
IF('TL11'!$B$229=Q$3,SUMIF('TL11'!$C$238:$C$451,$C14,'TL11'!$J$238:$J$451),0),
IF('TL12'!$B$3=Q$3,SUMIF('TL12'!$C$10:$C$224,$C14,'TL12'!$J$10:$J$224),0),
IF('TL12'!$B$229=Q$3,SUMIF('TL12'!$C$238:$C$451,$C14,'TL12'!$J$238:$J$451),0),
IF('TL13'!$B$3=Q$3,SUMIF('TL13'!$C$10:$C$224,$C14,'TL13'!$J$10:$J$224),0),
IF('TL13'!$B$229=Q$3,SUMIF('TL13'!$C$238:$C$451,$C14,'TL13'!$J$238:$J$451),0),
IF('TL14'!$B$3=Q$3,SUMIF('TL14'!$C$10:$C$224,$C14,'TL14'!$J$10:$J$224),0),
IF('TL14'!$B$229=Q$3,SUMIF('TL14'!$C$238:$C$451,$C14,'TL14'!$J$238:$J$451),0),
IF('TL15'!$B$3=Q$3,SUMIF('TL15'!$C$10:$C$224,$C14,'TL15'!$J$10:$J$224),0),
IF('TL15'!$B$229=Q$3,SUMIF('TL15'!$C$238:$C$451,$C14,'TL15'!$J$238:$J$451),0),
IF('TL16'!$B$3=Q$3,SUMIF('TL16'!$C$10:$C$224,$C14,'TL16'!$J$10:$J$224),0),
IF('TL16'!$B$229=Q$3,SUMIF('TL16'!$C$238:$C$451,$C14,'TL16'!$J$238:$J$451),0),
IF('TL17'!$B$3=Q$3,SUMIF('TL17'!$C$10:$C$224,$C14,'TL17'!$J$10:$J$224),0),
IF('TL17'!$B$229=Q$3,SUMIF('TL17'!$C$238:$C$451,$C14,'TL17'!$J$238:$J$451),0),
IF('TL18'!$B$3=Q$3,SUMIF('TL18'!$C$10:$C$224,$C14,'TL18'!$J$10:$J$224),0),
IF('TL18'!$B$229=Q$3,SUMIF('TL18'!$C$238:$C$451,$C14,'TL18'!$J$238:$J$451),0),
IF('TL19'!$B$3=Q$3,SUMIF('TL19'!$C$10:$C$224,$C14,'TL19'!$J$10:$J$224),0),
IF('TL19'!$B$229=Q$3,SUMIF('TL19'!$C$238:$C$451,$C14,'TL19'!$J$238:$J$451),0)
),0)</f>
        <v>0</v>
      </c>
      <c r="R14" s="9">
        <f>IFERROR(
SUM(
SUMIF('TL01'!C:C,C14,'TL01'!J:J),
SUMIF('TL02'!C:C,C14,'TL02'!J:J),
SUMIF('TL03'!C:C,C14,'TL03'!J:J),
SUMIF('TL04'!C:C,C14,'TL04'!J:J),
SUMIF('TL05'!C:C,C14,'TL05'!J:J),
SUMIF('TL06'!C:C,C14,'TL06'!J:J),
SUMIF('TL07'!C:C,C14,'TL07'!J:J),
SUMIF('TL08'!C:C,C14,'TL08'!J:J),
SUMIF('TL09'!C:C,C14,'TL09'!J:J),
SUMIF('TL10'!C:C,C14,'TL10'!J:J),
SUMIF('TL11'!C:C,C14,'TL11'!J:J),
SUMIF('TL12'!C:C,C14,'TL12'!J:J),
SUMIF('TL13'!C:C,C14,'TL13'!J:J),
SUMIF('TL14'!C:C,C14,'TL14'!J:J),
SUMIF('TL15'!C:C,C14,'TL15'!J:J),
SUMIF('TL16'!C:C,C14,'TL16'!J:J),
SUMIF('TL17'!C:C,C14,'TL17'!J:J),
SUMIF('TL18'!C:C,C14,'TL18'!J:J),SUMIF('TL19'!C:C,C14,'TL19'!J:J))
,0)</f>
        <v>0</v>
      </c>
      <c r="S14" s="17">
        <f>IFERROR(__xludf.DUMMYFUNCTION("IFERROR(VLOOKUP(C14,
IMPORTRANGE(""1wULbzX32WdYsx-lj2U3uUNBBe2INVIRDtcK0d-Dvl90"",
""26-27!C:G""),
5,
FALSE),
"""")"),5551.686)</f>
        <v>5551.686</v>
      </c>
      <c r="T14" s="9"/>
      <c r="U14" s="92">
        <f t="shared" si="2"/>
        <v>0</v>
      </c>
      <c r="V14" s="93">
        <f t="shared" si="3"/>
        <v>0</v>
      </c>
    </row>
    <row r="15" ht="22.5" hidden="1" customHeight="1">
      <c r="A15" s="94" t="s">
        <v>356</v>
      </c>
      <c r="B15" s="95" t="s">
        <v>3</v>
      </c>
      <c r="C15" s="96" t="s">
        <v>371</v>
      </c>
      <c r="D15" s="96" t="s">
        <v>372</v>
      </c>
      <c r="E15" s="99"/>
      <c r="F15" s="4" t="s">
        <v>343</v>
      </c>
      <c r="G15" s="90" t="str">
        <f t="shared" si="1"/>
        <v>📄 Ver bula</v>
      </c>
      <c r="H15" s="9">
        <f>IFERROR(__xludf.DUMMYFUNCTION("IFERROR(VLOOKUP(C15,
IMPORTRANGE(""1wULbzX32WdYsx-lj2U3uUNBBe2INVIRDtcK0d-Dvl90"",
""26-27!C:K""),
8,
FALSE),
"""")"),0.15)</f>
        <v>0.15</v>
      </c>
      <c r="I15" s="97" t="s">
        <v>373</v>
      </c>
      <c r="J15" s="9">
        <f>IFERROR(SUM(
IF('TL01'!$B$3=J$3,SUMIF('TL01'!$C$10:$C$224,$C15,'TL01'!$J$10:$J$224),0),
IF('TL01'!$B$229=J$3,SUMIF('TL01'!$C$238:$C$451,$C15,'TL01'!$J$238:$J$451),0),
IF('TL02'!$B$3=J$3,SUMIF('TL02'!$C$10:$C$224,$C15,'TL02'!$J$10:$J$224),0),
IF('TL02'!$B$229=J$3,SUMIF('TL02'!$C$238:$C$451,$C15,'TL02'!$J$238:$J$451),0),
IF('TL03'!$B$3=J$3,SUMIF('TL03'!$C$10:$C$224,$C15,'TL03'!$J$10:$J$224),0),
IF('TL03'!$B$229=J$3,SUMIF('TL03'!$C$238:$C$451,$C15,'TL03'!$J$238:$J$451),0),
IF('TL04'!$B$3=J$3,SUMIF('TL04'!$C$10:$C$224,$C15,'TL04'!$J$10:$J$224),0),
IF('TL04'!$B$229=J$3,SUMIF('TL04'!$C$238:$C$451,$C15,'TL04'!$J$238:$J$451),0),
IF('TL05'!$B$3=J$3,SUMIF('TL05'!$C$10:$C$224,$C15,'TL05'!$J$10:$J$224),0),
IF('TL05'!$B$229=J$3,SUMIF('TL05'!$C$238:$C$451,$C15,'TL05'!$J$238:$J$451),0),
IF('TL06'!$B$3=J$3,SUMIF('TL06'!$C$10:$C$224,$C15,'TL06'!$J$10:$J$224),0),
IF('TL06'!$B$229=J$3,SUMIF('TL06'!$C$238:$C$451,$C15,'TL06'!$J$238:$J$451),0),
IF('TL07'!$B$3=J$3,SUMIF('TL07'!$C$10:$C$224,$C15,'TL07'!$J$10:$J$224),0),
IF('TL07'!$B$229=J$3,SUMIF('TL07'!$C$238:$C$451,$C15,'TL07'!$J$238:$J$451),0),
IF('TL08'!$B$3=J$3,SUMIF('TL08'!$C$10:$C$224,$C15,'TL08'!$J$10:$J$224),0),
IF('TL08'!$B$229=J$3,SUMIF('TL08'!$C$238:$C$451,$C15,'TL08'!$J$238:$J$451),0),
IF('TL09'!$B$3=J$3,SUMIF('TL09'!$C$10:$C$224,$C15,'TL09'!$J$10:$J$224),0),
IF('TL09'!$B$229=J$3,SUMIF('TL09'!$C$238:$C$451,$C15,'TL09'!$J$238:$J$451),0),
IF('TL10'!$B$3=J$3,SUMIF('TL10'!$C$10:$C$224,$C15,'TL10'!$J$10:$J$224),0),
IF('TL10'!$B$229=J$3,SUMIF('TL10'!$C$238:$C$451,$C15,'TL10'!$J$238:$J$451),0),
IF('TL11'!$B$3=J$3,SUMIF('TL11'!$C$10:$C$224,$C15,'TL11'!$J$10:$J$224),0),
IF('TL11'!$B$229=J$3,SUMIF('TL11'!$C$238:$C$451,$C15,'TL11'!$J$238:$J$451),0),
IF('TL12'!$B$3=J$3,SUMIF('TL12'!$C$10:$C$224,$C15,'TL12'!$J$10:$J$224),0),
IF('TL12'!$B$229=J$3,SUMIF('TL12'!$C$238:$C$451,$C15,'TL12'!$J$238:$J$451),0),
IF('TL13'!$B$3=J$3,SUMIF('TL13'!$C$10:$C$224,$C15,'TL13'!$J$10:$J$224),0),
IF('TL13'!$B$229=J$3,SUMIF('TL13'!$C$238:$C$451,$C15,'TL13'!$J$238:$J$451),0),
IF('TL14'!$B$3=J$3,SUMIF('TL14'!$C$10:$C$224,$C15,'TL14'!$J$10:$J$224),0),
IF('TL14'!$B$229=J$3,SUMIF('TL14'!$C$238:$C$451,$C15,'TL14'!$J$238:$J$451),0),
IF('TL15'!$B$3=J$3,SUMIF('TL15'!$C$10:$C$224,$C15,'TL15'!$J$10:$J$224),0),
IF('TL15'!$B$229=J$3,SUMIF('TL15'!$C$238:$C$451,$C15,'TL15'!$J$238:$J$451),0),
IF('TL16'!$B$3=J$3,SUMIF('TL16'!$C$10:$C$224,$C15,'TL16'!$J$10:$J$224),0),
IF('TL16'!$B$229=J$3,SUMIF('TL16'!$C$238:$C$451,$C15,'TL16'!$J$238:$J$451),0),
IF('TL17'!$B$3=J$3,SUMIF('TL17'!$C$10:$C$224,$C15,'TL17'!$J$10:$J$224),0),
IF('TL17'!$B$229=J$3,SUMIF('TL17'!$C$238:$C$451,$C15,'TL17'!$J$238:$J$451),0),
IF('TL18'!$B$3=J$3,SUMIF('TL18'!$C$10:$C$224,$C15,'TL18'!$J$10:$J$224),0),
IF('TL18'!$B$229=J$3,SUMIF('TL18'!$C$238:$C$451,$C15,'TL18'!$J$238:$J$451),0),
IF('TL19'!$B$3=J$3,SUMIF('TL19'!$C$10:$C$224,$C15,'TL19'!$J$10:$J$224),0),
IF('TL19'!$B$229=J$3,SUMIF('TL19'!$C$238:$C$451,$C15,'TL19'!$J$238:$J$451),0)
),0)</f>
        <v>0</v>
      </c>
      <c r="K15" s="9">
        <f>IFERROR(SUM(
IF('TL01'!$B$3=K$3,SUMIF('TL01'!$C$10:$C$224,$C15,'TL01'!$J$10:$J$224),0),
IF('TL01'!$B$229=K$3,SUMIF('TL01'!$C$238:$C$451,$C15,'TL01'!$J$238:$J$451),0),
IF('TL02'!$B$3=K$3,SUMIF('TL02'!$C$10:$C$224,$C15,'TL02'!$J$10:$J$224),0),
IF('TL02'!$B$229=K$3,SUMIF('TL02'!$C$238:$C$451,$C15,'TL02'!$J$238:$J$451),0),
IF('TL03'!$B$3=K$3,SUMIF('TL03'!$C$10:$C$224,$C15,'TL03'!$J$10:$J$224),0),
IF('TL03'!$B$229=K$3,SUMIF('TL03'!$C$238:$C$451,$C15,'TL03'!$J$238:$J$451),0),
IF('TL04'!$B$3=K$3,SUMIF('TL04'!$C$10:$C$224,$C15,'TL04'!$J$10:$J$224),0),
IF('TL04'!$B$229=K$3,SUMIF('TL04'!$C$238:$C$451,$C15,'TL04'!$J$238:$J$451),0),
IF('TL05'!$B$3=K$3,SUMIF('TL05'!$C$10:$C$224,$C15,'TL05'!$J$10:$J$224),0),
IF('TL05'!$B$229=K$3,SUMIF('TL05'!$C$238:$C$451,$C15,'TL05'!$J$238:$J$451),0),
IF('TL06'!$B$3=K$3,SUMIF('TL06'!$C$10:$C$224,$C15,'TL06'!$J$10:$J$224),0),
IF('TL06'!$B$229=K$3,SUMIF('TL06'!$C$238:$C$451,$C15,'TL06'!$J$238:$J$451),0),
IF('TL07'!$B$3=K$3,SUMIF('TL07'!$C$10:$C$224,$C15,'TL07'!$J$10:$J$224),0),
IF('TL07'!$B$229=K$3,SUMIF('TL07'!$C$238:$C$451,$C15,'TL07'!$J$238:$J$451),0),
IF('TL08'!$B$3=K$3,SUMIF('TL08'!$C$10:$C$224,$C15,'TL08'!$J$10:$J$224),0),
IF('TL08'!$B$229=K$3,SUMIF('TL08'!$C$238:$C$451,$C15,'TL08'!$J$238:$J$451),0),
IF('TL09'!$B$3=K$3,SUMIF('TL09'!$C$10:$C$224,$C15,'TL09'!$J$10:$J$224),0),
IF('TL09'!$B$229=K$3,SUMIF('TL09'!$C$238:$C$451,$C15,'TL09'!$J$238:$J$451),0),
IF('TL10'!$B$3=K$3,SUMIF('TL10'!$C$10:$C$224,$C15,'TL10'!$J$10:$J$224),0),
IF('TL10'!$B$229=K$3,SUMIF('TL10'!$C$238:$C$451,$C15,'TL10'!$J$238:$J$451),0),
IF('TL11'!$B$3=K$3,SUMIF('TL11'!$C$10:$C$224,$C15,'TL11'!$J$10:$J$224),0),
IF('TL11'!$B$229=K$3,SUMIF('TL11'!$C$238:$C$451,$C15,'TL11'!$J$238:$J$451),0),
IF('TL12'!$B$3=K$3,SUMIF('TL12'!$C$10:$C$224,$C15,'TL12'!$J$10:$J$224),0),
IF('TL12'!$B$229=K$3,SUMIF('TL12'!$C$238:$C$451,$C15,'TL12'!$J$238:$J$451),0),
IF('TL13'!$B$3=K$3,SUMIF('TL13'!$C$10:$C$224,$C15,'TL13'!$J$10:$J$224),0),
IF('TL13'!$B$229=K$3,SUMIF('TL13'!$C$238:$C$451,$C15,'TL13'!$J$238:$J$451),0),
IF('TL14'!$B$3=K$3,SUMIF('TL14'!$C$10:$C$224,$C15,'TL14'!$J$10:$J$224),0),
IF('TL14'!$B$229=K$3,SUMIF('TL14'!$C$238:$C$451,$C15,'TL14'!$J$238:$J$451),0),
IF('TL15'!$B$3=K$3,SUMIF('TL15'!$C$10:$C$224,$C15,'TL15'!$J$10:$J$224),0),
IF('TL15'!$B$229=K$3,SUMIF('TL15'!$C$238:$C$451,$C15,'TL15'!$J$238:$J$451),0),
IF('TL16'!$B$3=K$3,SUMIF('TL16'!$C$10:$C$224,$C15,'TL16'!$J$10:$J$224),0),
IF('TL16'!$B$229=K$3,SUMIF('TL16'!$C$238:$C$451,$C15,'TL16'!$J$238:$J$451),0),
IF('TL17'!$B$3=K$3,SUMIF('TL17'!$C$10:$C$224,$C15,'TL17'!$J$10:$J$224),0),
IF('TL17'!$B$229=K$3,SUMIF('TL17'!$C$238:$C$451,$C15,'TL17'!$J$238:$J$451),0),
IF('TL18'!$B$3=K$3,SUMIF('TL18'!$C$10:$C$224,$C15,'TL18'!$J$10:$J$224),0),
IF('TL18'!$B$229=K$3,SUMIF('TL18'!$C$238:$C$451,$C15,'TL18'!$J$238:$J$451),0),
IF('TL19'!$B$3=K$3,SUMIF('TL19'!$C$10:$C$224,$C15,'TL19'!$J$10:$J$224),0),
IF('TL19'!$B$229=K$3,SUMIF('TL19'!$C$238:$C$451,$C15,'TL19'!$J$238:$J$451),0)
),0)</f>
        <v>0</v>
      </c>
      <c r="L15" s="9">
        <f>IFERROR(SUM(
IF('TL01'!$B$3=L$3,SUMIF('TL01'!$C$10:$C$224,$C15,'TL01'!$J$10:$J$224),0),
IF('TL01'!$B$229=L$3,SUMIF('TL01'!$C$238:$C$451,$C15,'TL01'!$J$238:$J$451),0),
IF('TL02'!$B$3=L$3,SUMIF('TL02'!$C$10:$C$224,$C15,'TL02'!$J$10:$J$224),0),
IF('TL02'!$B$229=L$3,SUMIF('TL02'!$C$238:$C$451,$C15,'TL02'!$J$238:$J$451),0),
IF('TL03'!$B$3=L$3,SUMIF('TL03'!$C$10:$C$224,$C15,'TL03'!$J$10:$J$224),0),
IF('TL03'!$B$229=L$3,SUMIF('TL03'!$C$238:$C$451,$C15,'TL03'!$J$238:$J$451),0),
IF('TL04'!$B$3=L$3,SUMIF('TL04'!$C$10:$C$224,$C15,'TL04'!$J$10:$J$224),0),
IF('TL04'!$B$229=L$3,SUMIF('TL04'!$C$238:$C$451,$C15,'TL04'!$J$238:$J$451),0),
IF('TL05'!$B$3=L$3,SUMIF('TL05'!$C$10:$C$224,$C15,'TL05'!$J$10:$J$224),0),
IF('TL05'!$B$229=L$3,SUMIF('TL05'!$C$238:$C$451,$C15,'TL05'!$J$238:$J$451),0),
IF('TL06'!$B$3=L$3,SUMIF('TL06'!$C$10:$C$224,$C15,'TL06'!$J$10:$J$224),0),
IF('TL06'!$B$229=L$3,SUMIF('TL06'!$C$238:$C$451,$C15,'TL06'!$J$238:$J$451),0),
IF('TL07'!$B$3=L$3,SUMIF('TL07'!$C$10:$C$224,$C15,'TL07'!$J$10:$J$224),0),
IF('TL07'!$B$229=L$3,SUMIF('TL07'!$C$238:$C$451,$C15,'TL07'!$J$238:$J$451),0),
IF('TL08'!$B$3=L$3,SUMIF('TL08'!$C$10:$C$224,$C15,'TL08'!$J$10:$J$224),0),
IF('TL08'!$B$229=L$3,SUMIF('TL08'!$C$238:$C$451,$C15,'TL08'!$J$238:$J$451),0),
IF('TL09'!$B$3=L$3,SUMIF('TL09'!$C$10:$C$224,$C15,'TL09'!$J$10:$J$224),0),
IF('TL09'!$B$229=L$3,SUMIF('TL09'!$C$238:$C$451,$C15,'TL09'!$J$238:$J$451),0),
IF('TL10'!$B$3=L$3,SUMIF('TL10'!$C$10:$C$224,$C15,'TL10'!$J$10:$J$224),0),
IF('TL10'!$B$229=L$3,SUMIF('TL10'!$C$238:$C$451,$C15,'TL10'!$J$238:$J$451),0),
IF('TL11'!$B$3=L$3,SUMIF('TL11'!$C$10:$C$224,$C15,'TL11'!$J$10:$J$224),0),
IF('TL11'!$B$229=L$3,SUMIF('TL11'!$C$238:$C$451,$C15,'TL11'!$J$238:$J$451),0),
IF('TL12'!$B$3=L$3,SUMIF('TL12'!$C$10:$C$224,$C15,'TL12'!$J$10:$J$224),0),
IF('TL12'!$B$229=L$3,SUMIF('TL12'!$C$238:$C$451,$C15,'TL12'!$J$238:$J$451),0),
IF('TL13'!$B$3=L$3,SUMIF('TL13'!$C$10:$C$224,$C15,'TL13'!$J$10:$J$224),0),
IF('TL13'!$B$229=L$3,SUMIF('TL13'!$C$238:$C$451,$C15,'TL13'!$J$238:$J$451),0),
IF('TL14'!$B$3=L$3,SUMIF('TL14'!$C$10:$C$224,$C15,'TL14'!$J$10:$J$224),0),
IF('TL14'!$B$229=L$3,SUMIF('TL14'!$C$238:$C$451,$C15,'TL14'!$J$238:$J$451),0),
IF('TL15'!$B$3=L$3,SUMIF('TL15'!$C$10:$C$224,$C15,'TL15'!$J$10:$J$224),0),
IF('TL15'!$B$229=L$3,SUMIF('TL15'!$C$238:$C$451,$C15,'TL15'!$J$238:$J$451),0),
IF('TL16'!$B$3=L$3,SUMIF('TL16'!$C$10:$C$224,$C15,'TL16'!$J$10:$J$224),0),
IF('TL16'!$B$229=L$3,SUMIF('TL16'!$C$238:$C$451,$C15,'TL16'!$J$238:$J$451),0),
IF('TL17'!$B$3=L$3,SUMIF('TL17'!$C$10:$C$224,$C15,'TL17'!$J$10:$J$224),0),
IF('TL17'!$B$229=L$3,SUMIF('TL17'!$C$238:$C$451,$C15,'TL17'!$J$238:$J$451),0),
IF('TL18'!$B$3=L$3,SUMIF('TL18'!$C$10:$C$224,$C15,'TL18'!$J$10:$J$224),0),
IF('TL18'!$B$229=L$3,SUMIF('TL18'!$C$238:$C$451,$C15,'TL18'!$J$238:$J$451),0),
IF('TL19'!$B$3=L$3,SUMIF('TL19'!$C$10:$C$224,$C15,'TL19'!$J$10:$J$224),0),
IF('TL19'!$B$229=L$3,SUMIF('TL19'!$C$238:$C$451,$C15,'TL19'!$J$238:$J$451),0)
),0)</f>
        <v>0</v>
      </c>
      <c r="M15" s="9">
        <f>IFERROR(SUM(
IF('TL01'!$B$3=M$3,SUMIF('TL01'!$C$10:$C$224,$C15,'TL01'!$J$10:$J$224),0),
IF('TL01'!$B$229=M$3,SUMIF('TL01'!$C$238:$C$451,$C15,'TL01'!$J$238:$J$451),0),
IF('TL02'!$B$3=M$3,SUMIF('TL02'!$C$10:$C$224,$C15,'TL02'!$J$10:$J$224),0),
IF('TL02'!$B$229=M$3,SUMIF('TL02'!$C$238:$C$451,$C15,'TL02'!$J$238:$J$451),0),
IF('TL03'!$B$3=M$3,SUMIF('TL03'!$C$10:$C$224,$C15,'TL03'!$J$10:$J$224),0),
IF('TL03'!$B$229=M$3,SUMIF('TL03'!$C$238:$C$451,$C15,'TL03'!$J$238:$J$451),0),
IF('TL04'!$B$3=M$3,SUMIF('TL04'!$C$10:$C$224,$C15,'TL04'!$J$10:$J$224),0),
IF('TL04'!$B$229=M$3,SUMIF('TL04'!$C$238:$C$451,$C15,'TL04'!$J$238:$J$451),0),
IF('TL05'!$B$3=M$3,SUMIF('TL05'!$C$10:$C$224,$C15,'TL05'!$J$10:$J$224),0),
IF('TL05'!$B$229=M$3,SUMIF('TL05'!$C$238:$C$451,$C15,'TL05'!$J$238:$J$451),0),
IF('TL06'!$B$3=M$3,SUMIF('TL06'!$C$10:$C$224,$C15,'TL06'!$J$10:$J$224),0),
IF('TL06'!$B$229=M$3,SUMIF('TL06'!$C$238:$C$451,$C15,'TL06'!$J$238:$J$451),0),
IF('TL07'!$B$3=M$3,SUMIF('TL07'!$C$10:$C$224,$C15,'TL07'!$J$10:$J$224),0),
IF('TL07'!$B$229=M$3,SUMIF('TL07'!$C$238:$C$451,$C15,'TL07'!$J$238:$J$451),0),
IF('TL08'!$B$3=M$3,SUMIF('TL08'!$C$10:$C$224,$C15,'TL08'!$J$10:$J$224),0),
IF('TL08'!$B$229=M$3,SUMIF('TL08'!$C$238:$C$451,$C15,'TL08'!$J$238:$J$451),0),
IF('TL09'!$B$3=M$3,SUMIF('TL09'!$C$10:$C$224,$C15,'TL09'!$J$10:$J$224),0),
IF('TL09'!$B$229=M$3,SUMIF('TL09'!$C$238:$C$451,$C15,'TL09'!$J$238:$J$451),0),
IF('TL10'!$B$3=M$3,SUMIF('TL10'!$C$10:$C$224,$C15,'TL10'!$J$10:$J$224),0),
IF('TL10'!$B$229=M$3,SUMIF('TL10'!$C$238:$C$451,$C15,'TL10'!$J$238:$J$451),0),
IF('TL11'!$B$3=M$3,SUMIF('TL11'!$C$10:$C$224,$C15,'TL11'!$J$10:$J$224),0),
IF('TL11'!$B$229=M$3,SUMIF('TL11'!$C$238:$C$451,$C15,'TL11'!$J$238:$J$451),0),
IF('TL12'!$B$3=M$3,SUMIF('TL12'!$C$10:$C$224,$C15,'TL12'!$J$10:$J$224),0),
IF('TL12'!$B$229=M$3,SUMIF('TL12'!$C$238:$C$451,$C15,'TL12'!$J$238:$J$451),0),
IF('TL13'!$B$3=M$3,SUMIF('TL13'!$C$10:$C$224,$C15,'TL13'!$J$10:$J$224),0),
IF('TL13'!$B$229=M$3,SUMIF('TL13'!$C$238:$C$451,$C15,'TL13'!$J$238:$J$451),0),
IF('TL14'!$B$3=M$3,SUMIF('TL14'!$C$10:$C$224,$C15,'TL14'!$J$10:$J$224),0),
IF('TL14'!$B$229=M$3,SUMIF('TL14'!$C$238:$C$451,$C15,'TL14'!$J$238:$J$451),0),
IF('TL15'!$B$3=M$3,SUMIF('TL15'!$C$10:$C$224,$C15,'TL15'!$J$10:$J$224),0),
IF('TL15'!$B$229=M$3,SUMIF('TL15'!$C$238:$C$451,$C15,'TL15'!$J$238:$J$451),0),
IF('TL16'!$B$3=M$3,SUMIF('TL16'!$C$10:$C$224,$C15,'TL16'!$J$10:$J$224),0),
IF('TL16'!$B$229=M$3,SUMIF('TL16'!$C$238:$C$451,$C15,'TL16'!$J$238:$J$451),0),
IF('TL17'!$B$3=M$3,SUMIF('TL17'!$C$10:$C$224,$C15,'TL17'!$J$10:$J$224),0),
IF('TL17'!$B$229=M$3,SUMIF('TL17'!$C$238:$C$451,$C15,'TL17'!$J$238:$J$451),0),
IF('TL18'!$B$3=M$3,SUMIF('TL18'!$C$10:$C$224,$C15,'TL18'!$J$10:$J$224),0),
IF('TL18'!$B$229=M$3,SUMIF('TL18'!$C$238:$C$451,$C15,'TL18'!$J$238:$J$451),0),
IF('TL19'!$B$3=M$3,SUMIF('TL19'!$C$10:$C$224,$C15,'TL19'!$J$10:$J$224),0),
IF('TL19'!$B$229=M$3,SUMIF('TL19'!$C$238:$C$451,$C15,'TL19'!$J$238:$J$451),0)
),0)</f>
        <v>0</v>
      </c>
      <c r="N15" s="9">
        <f>IFERROR(SUM(
IF('TL01'!$B$3=N$3,SUMIF('TL01'!$C$10:$C$224,$C15,'TL01'!$J$10:$J$224),0),
IF('TL01'!$B$229=N$3,SUMIF('TL01'!$C$238:$C$451,$C15,'TL01'!$J$238:$J$451),0),
IF('TL02'!$B$3=N$3,SUMIF('TL02'!$C$10:$C$224,$C15,'TL02'!$J$10:$J$224),0),
IF('TL02'!$B$229=N$3,SUMIF('TL02'!$C$238:$C$451,$C15,'TL02'!$J$238:$J$451),0),
IF('TL03'!$B$3=N$3,SUMIF('TL03'!$C$10:$C$224,$C15,'TL03'!$J$10:$J$224),0),
IF('TL03'!$B$229=N$3,SUMIF('TL03'!$C$238:$C$451,$C15,'TL03'!$J$238:$J$451),0),
IF('TL04'!$B$3=N$3,SUMIF('TL04'!$C$10:$C$224,$C15,'TL04'!$J$10:$J$224),0),
IF('TL04'!$B$229=N$3,SUMIF('TL04'!$C$238:$C$451,$C15,'TL04'!$J$238:$J$451),0),
IF('TL05'!$B$3=N$3,SUMIF('TL05'!$C$10:$C$224,$C15,'TL05'!$J$10:$J$224),0),
IF('TL05'!$B$229=N$3,SUMIF('TL05'!$C$238:$C$451,$C15,'TL05'!$J$238:$J$451),0),
IF('TL06'!$B$3=N$3,SUMIF('TL06'!$C$10:$C$224,$C15,'TL06'!$J$10:$J$224),0),
IF('TL06'!$B$229=N$3,SUMIF('TL06'!$C$238:$C$451,$C15,'TL06'!$J$238:$J$451),0),
IF('TL07'!$B$3=N$3,SUMIF('TL07'!$C$10:$C$224,$C15,'TL07'!$J$10:$J$224),0),
IF('TL07'!$B$229=N$3,SUMIF('TL07'!$C$238:$C$451,$C15,'TL07'!$J$238:$J$451),0),
IF('TL08'!$B$3=N$3,SUMIF('TL08'!$C$10:$C$224,$C15,'TL08'!$J$10:$J$224),0),
IF('TL08'!$B$229=N$3,SUMIF('TL08'!$C$238:$C$451,$C15,'TL08'!$J$238:$J$451),0),
IF('TL09'!$B$3=N$3,SUMIF('TL09'!$C$10:$C$224,$C15,'TL09'!$J$10:$J$224),0),
IF('TL09'!$B$229=N$3,SUMIF('TL09'!$C$238:$C$451,$C15,'TL09'!$J$238:$J$451),0),
IF('TL10'!$B$3=N$3,SUMIF('TL10'!$C$10:$C$224,$C15,'TL10'!$J$10:$J$224),0),
IF('TL10'!$B$229=N$3,SUMIF('TL10'!$C$238:$C$451,$C15,'TL10'!$J$238:$J$451),0),
IF('TL11'!$B$3=N$3,SUMIF('TL11'!$C$10:$C$224,$C15,'TL11'!$J$10:$J$224),0),
IF('TL11'!$B$229=N$3,SUMIF('TL11'!$C$238:$C$451,$C15,'TL11'!$J$238:$J$451),0),
IF('TL12'!$B$3=N$3,SUMIF('TL12'!$C$10:$C$224,$C15,'TL12'!$J$10:$J$224),0),
IF('TL12'!$B$229=N$3,SUMIF('TL12'!$C$238:$C$451,$C15,'TL12'!$J$238:$J$451),0),
IF('TL13'!$B$3=N$3,SUMIF('TL13'!$C$10:$C$224,$C15,'TL13'!$J$10:$J$224),0),
IF('TL13'!$B$229=N$3,SUMIF('TL13'!$C$238:$C$451,$C15,'TL13'!$J$238:$J$451),0),
IF('TL14'!$B$3=N$3,SUMIF('TL14'!$C$10:$C$224,$C15,'TL14'!$J$10:$J$224),0),
IF('TL14'!$B$229=N$3,SUMIF('TL14'!$C$238:$C$451,$C15,'TL14'!$J$238:$J$451),0),
IF('TL15'!$B$3=N$3,SUMIF('TL15'!$C$10:$C$224,$C15,'TL15'!$J$10:$J$224),0),
IF('TL15'!$B$229=N$3,SUMIF('TL15'!$C$238:$C$451,$C15,'TL15'!$J$238:$J$451),0),
IF('TL16'!$B$3=N$3,SUMIF('TL16'!$C$10:$C$224,$C15,'TL16'!$J$10:$J$224),0),
IF('TL16'!$B$229=N$3,SUMIF('TL16'!$C$238:$C$451,$C15,'TL16'!$J$238:$J$451),0),
IF('TL17'!$B$3=N$3,SUMIF('TL17'!$C$10:$C$224,$C15,'TL17'!$J$10:$J$224),0),
IF('TL17'!$B$229=N$3,SUMIF('TL17'!$C$238:$C$451,$C15,'TL17'!$J$238:$J$451),0),
IF('TL18'!$B$3=N$3,SUMIF('TL18'!$C$10:$C$224,$C15,'TL18'!$J$10:$J$224),0),
IF('TL18'!$B$229=N$3,SUMIF('TL18'!$C$238:$C$451,$C15,'TL18'!$J$238:$J$451),0),
IF('TL19'!$B$3=N$3,SUMIF('TL19'!$C$10:$C$224,$C15,'TL19'!$J$10:$J$224),0),
IF('TL19'!$B$229=N$3,SUMIF('TL19'!$C$238:$C$451,$C15,'TL19'!$J$238:$J$451),0)
),0)</f>
        <v>0</v>
      </c>
      <c r="O15" s="9">
        <f>IFERROR(SUM(
IF('TL01'!$B$3=O$3,SUMIF('TL01'!$C$10:$C$224,$C15,'TL01'!$J$10:$J$224),0),
IF('TL01'!$B$229=O$3,SUMIF('TL01'!$C$238:$C$451,$C15,'TL01'!$J$238:$J$451),0),
IF('TL02'!$B$3=O$3,SUMIF('TL02'!$C$10:$C$224,$C15,'TL02'!$J$10:$J$224),0),
IF('TL02'!$B$229=O$3,SUMIF('TL02'!$C$238:$C$451,$C15,'TL02'!$J$238:$J$451),0),
IF('TL03'!$B$3=O$3,SUMIF('TL03'!$C$10:$C$224,$C15,'TL03'!$J$10:$J$224),0),
IF('TL03'!$B$229=O$3,SUMIF('TL03'!$C$238:$C$451,$C15,'TL03'!$J$238:$J$451),0),
IF('TL04'!$B$3=O$3,SUMIF('TL04'!$C$10:$C$224,$C15,'TL04'!$J$10:$J$224),0),
IF('TL04'!$B$229=O$3,SUMIF('TL04'!$C$238:$C$451,$C15,'TL04'!$J$238:$J$451),0),
IF('TL05'!$B$3=O$3,SUMIF('TL05'!$C$10:$C$224,$C15,'TL05'!$J$10:$J$224),0),
IF('TL05'!$B$229=O$3,SUMIF('TL05'!$C$238:$C$451,$C15,'TL05'!$J$238:$J$451),0),
IF('TL06'!$B$3=O$3,SUMIF('TL06'!$C$10:$C$224,$C15,'TL06'!$J$10:$J$224),0),
IF('TL06'!$B$229=O$3,SUMIF('TL06'!$C$238:$C$451,$C15,'TL06'!$J$238:$J$451),0),
IF('TL07'!$B$3=O$3,SUMIF('TL07'!$C$10:$C$224,$C15,'TL07'!$J$10:$J$224),0),
IF('TL07'!$B$229=O$3,SUMIF('TL07'!$C$238:$C$451,$C15,'TL07'!$J$238:$J$451),0),
IF('TL08'!$B$3=O$3,SUMIF('TL08'!$C$10:$C$224,$C15,'TL08'!$J$10:$J$224),0),
IF('TL08'!$B$229=O$3,SUMIF('TL08'!$C$238:$C$451,$C15,'TL08'!$J$238:$J$451),0),
IF('TL09'!$B$3=O$3,SUMIF('TL09'!$C$10:$C$224,$C15,'TL09'!$J$10:$J$224),0),
IF('TL09'!$B$229=O$3,SUMIF('TL09'!$C$238:$C$451,$C15,'TL09'!$J$238:$J$451),0),
IF('TL10'!$B$3=O$3,SUMIF('TL10'!$C$10:$C$224,$C15,'TL10'!$J$10:$J$224),0),
IF('TL10'!$B$229=O$3,SUMIF('TL10'!$C$238:$C$451,$C15,'TL10'!$J$238:$J$451),0),
IF('TL11'!$B$3=O$3,SUMIF('TL11'!$C$10:$C$224,$C15,'TL11'!$J$10:$J$224),0),
IF('TL11'!$B$229=O$3,SUMIF('TL11'!$C$238:$C$451,$C15,'TL11'!$J$238:$J$451),0),
IF('TL12'!$B$3=O$3,SUMIF('TL12'!$C$10:$C$224,$C15,'TL12'!$J$10:$J$224),0),
IF('TL12'!$B$229=O$3,SUMIF('TL12'!$C$238:$C$451,$C15,'TL12'!$J$238:$J$451),0),
IF('TL13'!$B$3=O$3,SUMIF('TL13'!$C$10:$C$224,$C15,'TL13'!$J$10:$J$224),0),
IF('TL13'!$B$229=O$3,SUMIF('TL13'!$C$238:$C$451,$C15,'TL13'!$J$238:$J$451),0),
IF('TL14'!$B$3=O$3,SUMIF('TL14'!$C$10:$C$224,$C15,'TL14'!$J$10:$J$224),0),
IF('TL14'!$B$229=O$3,SUMIF('TL14'!$C$238:$C$451,$C15,'TL14'!$J$238:$J$451),0),
IF('TL15'!$B$3=O$3,SUMIF('TL15'!$C$10:$C$224,$C15,'TL15'!$J$10:$J$224),0),
IF('TL15'!$B$229=O$3,SUMIF('TL15'!$C$238:$C$451,$C15,'TL15'!$J$238:$J$451),0),
IF('TL16'!$B$3=O$3,SUMIF('TL16'!$C$10:$C$224,$C15,'TL16'!$J$10:$J$224),0),
IF('TL16'!$B$229=O$3,SUMIF('TL16'!$C$238:$C$451,$C15,'TL16'!$J$238:$J$451),0),
IF('TL17'!$B$3=O$3,SUMIF('TL17'!$C$10:$C$224,$C15,'TL17'!$J$10:$J$224),0),
IF('TL17'!$B$229=O$3,SUMIF('TL17'!$C$238:$C$451,$C15,'TL17'!$J$238:$J$451),0),
IF('TL18'!$B$3=O$3,SUMIF('TL18'!$C$10:$C$224,$C15,'TL18'!$J$10:$J$224),0),
IF('TL18'!$B$229=O$3,SUMIF('TL18'!$C$238:$C$451,$C15,'TL18'!$J$238:$J$451),0),
IF('TL19'!$B$3=O$3,SUMIF('TL19'!$C$10:$C$224,$C15,'TL19'!$J$10:$J$224),0),
IF('TL19'!$B$229=O$3,SUMIF('TL19'!$C$238:$C$451,$C15,'TL19'!$J$238:$J$451),0)
),0)</f>
        <v>0</v>
      </c>
      <c r="P15" s="9">
        <f>IFERROR(SUM(
IF('TL01'!$B$3=P$3,SUMIF('TL01'!$C$10:$C$224,$C15,'TL01'!$J$10:$J$224),0),
IF('TL01'!$B$229=P$3,SUMIF('TL01'!$C$238:$C$451,$C15,'TL01'!$J$238:$J$451),0),
IF('TL02'!$B$3=P$3,SUMIF('TL02'!$C$10:$C$224,$C15,'TL02'!$J$10:$J$224),0),
IF('TL02'!$B$229=P$3,SUMIF('TL02'!$C$238:$C$451,$C15,'TL02'!$J$238:$J$451),0),
IF('TL03'!$B$3=P$3,SUMIF('TL03'!$C$10:$C$224,$C15,'TL03'!$J$10:$J$224),0),
IF('TL03'!$B$229=P$3,SUMIF('TL03'!$C$238:$C$451,$C15,'TL03'!$J$238:$J$451),0),
IF('TL04'!$B$3=P$3,SUMIF('TL04'!$C$10:$C$224,$C15,'TL04'!$J$10:$J$224),0),
IF('TL04'!$B$229=P$3,SUMIF('TL04'!$C$238:$C$451,$C15,'TL04'!$J$238:$J$451),0),
IF('TL05'!$B$3=P$3,SUMIF('TL05'!$C$10:$C$224,$C15,'TL05'!$J$10:$J$224),0),
IF('TL05'!$B$229=P$3,SUMIF('TL05'!$C$238:$C$451,$C15,'TL05'!$J$238:$J$451),0),
IF('TL06'!$B$3=P$3,SUMIF('TL06'!$C$10:$C$224,$C15,'TL06'!$J$10:$J$224),0),
IF('TL06'!$B$229=P$3,SUMIF('TL06'!$C$238:$C$451,$C15,'TL06'!$J$238:$J$451),0),
IF('TL07'!$B$3=P$3,SUMIF('TL07'!$C$10:$C$224,$C15,'TL07'!$J$10:$J$224),0),
IF('TL07'!$B$229=P$3,SUMIF('TL07'!$C$238:$C$451,$C15,'TL07'!$J$238:$J$451),0),
IF('TL08'!$B$3=P$3,SUMIF('TL08'!$C$10:$C$224,$C15,'TL08'!$J$10:$J$224),0),
IF('TL08'!$B$229=P$3,SUMIF('TL08'!$C$238:$C$451,$C15,'TL08'!$J$238:$J$451),0),
IF('TL09'!$B$3=P$3,SUMIF('TL09'!$C$10:$C$224,$C15,'TL09'!$J$10:$J$224),0),
IF('TL09'!$B$229=P$3,SUMIF('TL09'!$C$238:$C$451,$C15,'TL09'!$J$238:$J$451),0),
IF('TL10'!$B$3=P$3,SUMIF('TL10'!$C$10:$C$224,$C15,'TL10'!$J$10:$J$224),0),
IF('TL10'!$B$229=P$3,SUMIF('TL10'!$C$238:$C$451,$C15,'TL10'!$J$238:$J$451),0),
IF('TL11'!$B$3=P$3,SUMIF('TL11'!$C$10:$C$224,$C15,'TL11'!$J$10:$J$224),0),
IF('TL11'!$B$229=P$3,SUMIF('TL11'!$C$238:$C$451,$C15,'TL11'!$J$238:$J$451),0),
IF('TL12'!$B$3=P$3,SUMIF('TL12'!$C$10:$C$224,$C15,'TL12'!$J$10:$J$224),0),
IF('TL12'!$B$229=P$3,SUMIF('TL12'!$C$238:$C$451,$C15,'TL12'!$J$238:$J$451),0),
IF('TL13'!$B$3=P$3,SUMIF('TL13'!$C$10:$C$224,$C15,'TL13'!$J$10:$J$224),0),
IF('TL13'!$B$229=P$3,SUMIF('TL13'!$C$238:$C$451,$C15,'TL13'!$J$238:$J$451),0),
IF('TL14'!$B$3=P$3,SUMIF('TL14'!$C$10:$C$224,$C15,'TL14'!$J$10:$J$224),0),
IF('TL14'!$B$229=P$3,SUMIF('TL14'!$C$238:$C$451,$C15,'TL14'!$J$238:$J$451),0),
IF('TL15'!$B$3=P$3,SUMIF('TL15'!$C$10:$C$224,$C15,'TL15'!$J$10:$J$224),0),
IF('TL15'!$B$229=P$3,SUMIF('TL15'!$C$238:$C$451,$C15,'TL15'!$J$238:$J$451),0),
IF('TL16'!$B$3=P$3,SUMIF('TL16'!$C$10:$C$224,$C15,'TL16'!$J$10:$J$224),0),
IF('TL16'!$B$229=P$3,SUMIF('TL16'!$C$238:$C$451,$C15,'TL16'!$J$238:$J$451),0),
IF('TL17'!$B$3=P$3,SUMIF('TL17'!$C$10:$C$224,$C15,'TL17'!$J$10:$J$224),0),
IF('TL17'!$B$229=P$3,SUMIF('TL17'!$C$238:$C$451,$C15,'TL17'!$J$238:$J$451),0),
IF('TL18'!$B$3=P$3,SUMIF('TL18'!$C$10:$C$224,$C15,'TL18'!$J$10:$J$224),0),
IF('TL18'!$B$229=P$3,SUMIF('TL18'!$C$238:$C$451,$C15,'TL18'!$J$238:$J$451),0),
IF('TL19'!$B$3=P$3,SUMIF('TL19'!$C$10:$C$224,$C15,'TL19'!$J$10:$J$224),0),
IF('TL19'!$B$229=P$3,SUMIF('TL19'!$C$238:$C$451,$C15,'TL19'!$J$238:$J$451),0)
),0)</f>
        <v>0</v>
      </c>
      <c r="Q15" s="9">
        <f>IFERROR(SUM(
IF('TL01'!$B$3=Q$3,SUMIF('TL01'!$C$10:$C$224,$C15,'TL01'!$J$10:$J$224),0),
IF('TL01'!$B$229=Q$3,SUMIF('TL01'!$C$238:$C$451,$C15,'TL01'!$J$238:$J$451),0),
IF('TL02'!$B$3=Q$3,SUMIF('TL02'!$C$10:$C$224,$C15,'TL02'!$J$10:$J$224),0),
IF('TL02'!$B$229=Q$3,SUMIF('TL02'!$C$238:$C$451,$C15,'TL02'!$J$238:$J$451),0),
IF('TL03'!$B$3=Q$3,SUMIF('TL03'!$C$10:$C$224,$C15,'TL03'!$J$10:$J$224),0),
IF('TL03'!$B$229=Q$3,SUMIF('TL03'!$C$238:$C$451,$C15,'TL03'!$J$238:$J$451),0),
IF('TL04'!$B$3=Q$3,SUMIF('TL04'!$C$10:$C$224,$C15,'TL04'!$J$10:$J$224),0),
IF('TL04'!$B$229=Q$3,SUMIF('TL04'!$C$238:$C$451,$C15,'TL04'!$J$238:$J$451),0),
IF('TL05'!$B$3=Q$3,SUMIF('TL05'!$C$10:$C$224,$C15,'TL05'!$J$10:$J$224),0),
IF('TL05'!$B$229=Q$3,SUMIF('TL05'!$C$238:$C$451,$C15,'TL05'!$J$238:$J$451),0),
IF('TL06'!$B$3=Q$3,SUMIF('TL06'!$C$10:$C$224,$C15,'TL06'!$J$10:$J$224),0),
IF('TL06'!$B$229=Q$3,SUMIF('TL06'!$C$238:$C$451,$C15,'TL06'!$J$238:$J$451),0),
IF('TL07'!$B$3=Q$3,SUMIF('TL07'!$C$10:$C$224,$C15,'TL07'!$J$10:$J$224),0),
IF('TL07'!$B$229=Q$3,SUMIF('TL07'!$C$238:$C$451,$C15,'TL07'!$J$238:$J$451),0),
IF('TL08'!$B$3=Q$3,SUMIF('TL08'!$C$10:$C$224,$C15,'TL08'!$J$10:$J$224),0),
IF('TL08'!$B$229=Q$3,SUMIF('TL08'!$C$238:$C$451,$C15,'TL08'!$J$238:$J$451),0),
IF('TL09'!$B$3=Q$3,SUMIF('TL09'!$C$10:$C$224,$C15,'TL09'!$J$10:$J$224),0),
IF('TL09'!$B$229=Q$3,SUMIF('TL09'!$C$238:$C$451,$C15,'TL09'!$J$238:$J$451),0),
IF('TL10'!$B$3=Q$3,SUMIF('TL10'!$C$10:$C$224,$C15,'TL10'!$J$10:$J$224),0),
IF('TL10'!$B$229=Q$3,SUMIF('TL10'!$C$238:$C$451,$C15,'TL10'!$J$238:$J$451),0),
IF('TL11'!$B$3=Q$3,SUMIF('TL11'!$C$10:$C$224,$C15,'TL11'!$J$10:$J$224),0),
IF('TL11'!$B$229=Q$3,SUMIF('TL11'!$C$238:$C$451,$C15,'TL11'!$J$238:$J$451),0),
IF('TL12'!$B$3=Q$3,SUMIF('TL12'!$C$10:$C$224,$C15,'TL12'!$J$10:$J$224),0),
IF('TL12'!$B$229=Q$3,SUMIF('TL12'!$C$238:$C$451,$C15,'TL12'!$J$238:$J$451),0),
IF('TL13'!$B$3=Q$3,SUMIF('TL13'!$C$10:$C$224,$C15,'TL13'!$J$10:$J$224),0),
IF('TL13'!$B$229=Q$3,SUMIF('TL13'!$C$238:$C$451,$C15,'TL13'!$J$238:$J$451),0),
IF('TL14'!$B$3=Q$3,SUMIF('TL14'!$C$10:$C$224,$C15,'TL14'!$J$10:$J$224),0),
IF('TL14'!$B$229=Q$3,SUMIF('TL14'!$C$238:$C$451,$C15,'TL14'!$J$238:$J$451),0),
IF('TL15'!$B$3=Q$3,SUMIF('TL15'!$C$10:$C$224,$C15,'TL15'!$J$10:$J$224),0),
IF('TL15'!$B$229=Q$3,SUMIF('TL15'!$C$238:$C$451,$C15,'TL15'!$J$238:$J$451),0),
IF('TL16'!$B$3=Q$3,SUMIF('TL16'!$C$10:$C$224,$C15,'TL16'!$J$10:$J$224),0),
IF('TL16'!$B$229=Q$3,SUMIF('TL16'!$C$238:$C$451,$C15,'TL16'!$J$238:$J$451),0),
IF('TL17'!$B$3=Q$3,SUMIF('TL17'!$C$10:$C$224,$C15,'TL17'!$J$10:$J$224),0),
IF('TL17'!$B$229=Q$3,SUMIF('TL17'!$C$238:$C$451,$C15,'TL17'!$J$238:$J$451),0),
IF('TL18'!$B$3=Q$3,SUMIF('TL18'!$C$10:$C$224,$C15,'TL18'!$J$10:$J$224),0),
IF('TL18'!$B$229=Q$3,SUMIF('TL18'!$C$238:$C$451,$C15,'TL18'!$J$238:$J$451),0),
IF('TL19'!$B$3=Q$3,SUMIF('TL19'!$C$10:$C$224,$C15,'TL19'!$J$10:$J$224),0),
IF('TL19'!$B$229=Q$3,SUMIF('TL19'!$C$238:$C$451,$C15,'TL19'!$J$238:$J$451),0)
),0)</f>
        <v>0</v>
      </c>
      <c r="R15" s="9">
        <f>IFERROR(
SUM(
SUMIF('TL01'!C:C,C15,'TL01'!J:J),
SUMIF('TL02'!C:C,C15,'TL02'!J:J),
SUMIF('TL03'!C:C,C15,'TL03'!J:J),
SUMIF('TL04'!C:C,C15,'TL04'!J:J),
SUMIF('TL05'!C:C,C15,'TL05'!J:J),
SUMIF('TL06'!C:C,C15,'TL06'!J:J),
SUMIF('TL07'!C:C,C15,'TL07'!J:J),
SUMIF('TL08'!C:C,C15,'TL08'!J:J),
SUMIF('TL09'!C:C,C15,'TL09'!J:J),
SUMIF('TL10'!C:C,C15,'TL10'!J:J),
SUMIF('TL11'!C:C,C15,'TL11'!J:J),
SUMIF('TL12'!C:C,C15,'TL12'!J:J),
SUMIF('TL13'!C:C,C15,'TL13'!J:J),
SUMIF('TL14'!C:C,C15,'TL14'!J:J),
SUMIF('TL15'!C:C,C15,'TL15'!J:J),
SUMIF('TL16'!C:C,C15,'TL16'!J:J),
SUMIF('TL17'!C:C,C15,'TL17'!J:J),
SUMIF('TL18'!C:C,C15,'TL18'!J:J),SUMIF('TL19'!C:C,C15,'TL19'!J:J))
,0)</f>
        <v>0</v>
      </c>
      <c r="S15" s="17">
        <f>IFERROR(__xludf.DUMMYFUNCTION("IFERROR(VLOOKUP(C15,
IMPORTRANGE(""1wULbzX32WdYsx-lj2U3uUNBBe2INVIRDtcK0d-Dvl90"",
""26-27!C:G""),
5,
FALSE),
"""")"),659.015)</f>
        <v>659.015</v>
      </c>
      <c r="T15" s="9"/>
      <c r="U15" s="92">
        <f t="shared" si="2"/>
        <v>0</v>
      </c>
      <c r="V15" s="93">
        <f t="shared" si="3"/>
        <v>0</v>
      </c>
    </row>
    <row r="16" ht="22.5" hidden="1" customHeight="1">
      <c r="A16" s="87" t="s">
        <v>358</v>
      </c>
      <c r="B16" s="95" t="s">
        <v>3</v>
      </c>
      <c r="C16" s="89" t="s">
        <v>374</v>
      </c>
      <c r="D16" s="89" t="s">
        <v>375</v>
      </c>
      <c r="E16" s="89" t="s">
        <v>376</v>
      </c>
      <c r="F16" s="4" t="s">
        <v>343</v>
      </c>
      <c r="G16" s="90" t="str">
        <f t="shared" si="1"/>
        <v>📄 Ver bula</v>
      </c>
      <c r="H16" s="9">
        <f>IFERROR(__xludf.DUMMYFUNCTION("IFERROR(VLOOKUP(C16,
IMPORTRANGE(""1wULbzX32WdYsx-lj2U3uUNBBe2INVIRDtcK0d-Dvl90"",
""26-27!C:K""),
8,
FALSE),
"""")"),0.125)</f>
        <v>0.125</v>
      </c>
      <c r="I16" s="91" t="s">
        <v>377</v>
      </c>
      <c r="J16" s="9">
        <f>IFERROR(SUM(
IF('TL01'!$B$3=J$3,SUMIF('TL01'!$C$10:$C$224,$C16,'TL01'!$J$10:$J$224),0),
IF('TL01'!$B$229=J$3,SUMIF('TL01'!$C$238:$C$451,$C16,'TL01'!$J$238:$J$451),0),
IF('TL02'!$B$3=J$3,SUMIF('TL02'!$C$10:$C$224,$C16,'TL02'!$J$10:$J$224),0),
IF('TL02'!$B$229=J$3,SUMIF('TL02'!$C$238:$C$451,$C16,'TL02'!$J$238:$J$451),0),
IF('TL03'!$B$3=J$3,SUMIF('TL03'!$C$10:$C$224,$C16,'TL03'!$J$10:$J$224),0),
IF('TL03'!$B$229=J$3,SUMIF('TL03'!$C$238:$C$451,$C16,'TL03'!$J$238:$J$451),0),
IF('TL04'!$B$3=J$3,SUMIF('TL04'!$C$10:$C$224,$C16,'TL04'!$J$10:$J$224),0),
IF('TL04'!$B$229=J$3,SUMIF('TL04'!$C$238:$C$451,$C16,'TL04'!$J$238:$J$451),0),
IF('TL05'!$B$3=J$3,SUMIF('TL05'!$C$10:$C$224,$C16,'TL05'!$J$10:$J$224),0),
IF('TL05'!$B$229=J$3,SUMIF('TL05'!$C$238:$C$451,$C16,'TL05'!$J$238:$J$451),0),
IF('TL06'!$B$3=J$3,SUMIF('TL06'!$C$10:$C$224,$C16,'TL06'!$J$10:$J$224),0),
IF('TL06'!$B$229=J$3,SUMIF('TL06'!$C$238:$C$451,$C16,'TL06'!$J$238:$J$451),0),
IF('TL07'!$B$3=J$3,SUMIF('TL07'!$C$10:$C$224,$C16,'TL07'!$J$10:$J$224),0),
IF('TL07'!$B$229=J$3,SUMIF('TL07'!$C$238:$C$451,$C16,'TL07'!$J$238:$J$451),0),
IF('TL08'!$B$3=J$3,SUMIF('TL08'!$C$10:$C$224,$C16,'TL08'!$J$10:$J$224),0),
IF('TL08'!$B$229=J$3,SUMIF('TL08'!$C$238:$C$451,$C16,'TL08'!$J$238:$J$451),0),
IF('TL09'!$B$3=J$3,SUMIF('TL09'!$C$10:$C$224,$C16,'TL09'!$J$10:$J$224),0),
IF('TL09'!$B$229=J$3,SUMIF('TL09'!$C$238:$C$451,$C16,'TL09'!$J$238:$J$451),0),
IF('TL10'!$B$3=J$3,SUMIF('TL10'!$C$10:$C$224,$C16,'TL10'!$J$10:$J$224),0),
IF('TL10'!$B$229=J$3,SUMIF('TL10'!$C$238:$C$451,$C16,'TL10'!$J$238:$J$451),0),
IF('TL11'!$B$3=J$3,SUMIF('TL11'!$C$10:$C$224,$C16,'TL11'!$J$10:$J$224),0),
IF('TL11'!$B$229=J$3,SUMIF('TL11'!$C$238:$C$451,$C16,'TL11'!$J$238:$J$451),0),
IF('TL12'!$B$3=J$3,SUMIF('TL12'!$C$10:$C$224,$C16,'TL12'!$J$10:$J$224),0),
IF('TL12'!$B$229=J$3,SUMIF('TL12'!$C$238:$C$451,$C16,'TL12'!$J$238:$J$451),0),
IF('TL13'!$B$3=J$3,SUMIF('TL13'!$C$10:$C$224,$C16,'TL13'!$J$10:$J$224),0),
IF('TL13'!$B$229=J$3,SUMIF('TL13'!$C$238:$C$451,$C16,'TL13'!$J$238:$J$451),0),
IF('TL14'!$B$3=J$3,SUMIF('TL14'!$C$10:$C$224,$C16,'TL14'!$J$10:$J$224),0),
IF('TL14'!$B$229=J$3,SUMIF('TL14'!$C$238:$C$451,$C16,'TL14'!$J$238:$J$451),0),
IF('TL15'!$B$3=J$3,SUMIF('TL15'!$C$10:$C$224,$C16,'TL15'!$J$10:$J$224),0),
IF('TL15'!$B$229=J$3,SUMIF('TL15'!$C$238:$C$451,$C16,'TL15'!$J$238:$J$451),0),
IF('TL16'!$B$3=J$3,SUMIF('TL16'!$C$10:$C$224,$C16,'TL16'!$J$10:$J$224),0),
IF('TL16'!$B$229=J$3,SUMIF('TL16'!$C$238:$C$451,$C16,'TL16'!$J$238:$J$451),0),
IF('TL17'!$B$3=J$3,SUMIF('TL17'!$C$10:$C$224,$C16,'TL17'!$J$10:$J$224),0),
IF('TL17'!$B$229=J$3,SUMIF('TL17'!$C$238:$C$451,$C16,'TL17'!$J$238:$J$451),0),
IF('TL18'!$B$3=J$3,SUMIF('TL18'!$C$10:$C$224,$C16,'TL18'!$J$10:$J$224),0),
IF('TL18'!$B$229=J$3,SUMIF('TL18'!$C$238:$C$451,$C16,'TL18'!$J$238:$J$451),0),
IF('TL19'!$B$3=J$3,SUMIF('TL19'!$C$10:$C$224,$C16,'TL19'!$J$10:$J$224),0),
IF('TL19'!$B$229=J$3,SUMIF('TL19'!$C$238:$C$451,$C16,'TL19'!$J$238:$J$451),0)
),0)</f>
        <v>0</v>
      </c>
      <c r="K16" s="9">
        <f>IFERROR(SUM(
IF('TL01'!$B$3=K$3,SUMIF('TL01'!$C$10:$C$224,$C16,'TL01'!$J$10:$J$224),0),
IF('TL01'!$B$229=K$3,SUMIF('TL01'!$C$238:$C$451,$C16,'TL01'!$J$238:$J$451),0),
IF('TL02'!$B$3=K$3,SUMIF('TL02'!$C$10:$C$224,$C16,'TL02'!$J$10:$J$224),0),
IF('TL02'!$B$229=K$3,SUMIF('TL02'!$C$238:$C$451,$C16,'TL02'!$J$238:$J$451),0),
IF('TL03'!$B$3=K$3,SUMIF('TL03'!$C$10:$C$224,$C16,'TL03'!$J$10:$J$224),0),
IF('TL03'!$B$229=K$3,SUMIF('TL03'!$C$238:$C$451,$C16,'TL03'!$J$238:$J$451),0),
IF('TL04'!$B$3=K$3,SUMIF('TL04'!$C$10:$C$224,$C16,'TL04'!$J$10:$J$224),0),
IF('TL04'!$B$229=K$3,SUMIF('TL04'!$C$238:$C$451,$C16,'TL04'!$J$238:$J$451),0),
IF('TL05'!$B$3=K$3,SUMIF('TL05'!$C$10:$C$224,$C16,'TL05'!$J$10:$J$224),0),
IF('TL05'!$B$229=K$3,SUMIF('TL05'!$C$238:$C$451,$C16,'TL05'!$J$238:$J$451),0),
IF('TL06'!$B$3=K$3,SUMIF('TL06'!$C$10:$C$224,$C16,'TL06'!$J$10:$J$224),0),
IF('TL06'!$B$229=K$3,SUMIF('TL06'!$C$238:$C$451,$C16,'TL06'!$J$238:$J$451),0),
IF('TL07'!$B$3=K$3,SUMIF('TL07'!$C$10:$C$224,$C16,'TL07'!$J$10:$J$224),0),
IF('TL07'!$B$229=K$3,SUMIF('TL07'!$C$238:$C$451,$C16,'TL07'!$J$238:$J$451),0),
IF('TL08'!$B$3=K$3,SUMIF('TL08'!$C$10:$C$224,$C16,'TL08'!$J$10:$J$224),0),
IF('TL08'!$B$229=K$3,SUMIF('TL08'!$C$238:$C$451,$C16,'TL08'!$J$238:$J$451),0),
IF('TL09'!$B$3=K$3,SUMIF('TL09'!$C$10:$C$224,$C16,'TL09'!$J$10:$J$224),0),
IF('TL09'!$B$229=K$3,SUMIF('TL09'!$C$238:$C$451,$C16,'TL09'!$J$238:$J$451),0),
IF('TL10'!$B$3=K$3,SUMIF('TL10'!$C$10:$C$224,$C16,'TL10'!$J$10:$J$224),0),
IF('TL10'!$B$229=K$3,SUMIF('TL10'!$C$238:$C$451,$C16,'TL10'!$J$238:$J$451),0),
IF('TL11'!$B$3=K$3,SUMIF('TL11'!$C$10:$C$224,$C16,'TL11'!$J$10:$J$224),0),
IF('TL11'!$B$229=K$3,SUMIF('TL11'!$C$238:$C$451,$C16,'TL11'!$J$238:$J$451),0),
IF('TL12'!$B$3=K$3,SUMIF('TL12'!$C$10:$C$224,$C16,'TL12'!$J$10:$J$224),0),
IF('TL12'!$B$229=K$3,SUMIF('TL12'!$C$238:$C$451,$C16,'TL12'!$J$238:$J$451),0),
IF('TL13'!$B$3=K$3,SUMIF('TL13'!$C$10:$C$224,$C16,'TL13'!$J$10:$J$224),0),
IF('TL13'!$B$229=K$3,SUMIF('TL13'!$C$238:$C$451,$C16,'TL13'!$J$238:$J$451),0),
IF('TL14'!$B$3=K$3,SUMIF('TL14'!$C$10:$C$224,$C16,'TL14'!$J$10:$J$224),0),
IF('TL14'!$B$229=K$3,SUMIF('TL14'!$C$238:$C$451,$C16,'TL14'!$J$238:$J$451),0),
IF('TL15'!$B$3=K$3,SUMIF('TL15'!$C$10:$C$224,$C16,'TL15'!$J$10:$J$224),0),
IF('TL15'!$B$229=K$3,SUMIF('TL15'!$C$238:$C$451,$C16,'TL15'!$J$238:$J$451),0),
IF('TL16'!$B$3=K$3,SUMIF('TL16'!$C$10:$C$224,$C16,'TL16'!$J$10:$J$224),0),
IF('TL16'!$B$229=K$3,SUMIF('TL16'!$C$238:$C$451,$C16,'TL16'!$J$238:$J$451),0),
IF('TL17'!$B$3=K$3,SUMIF('TL17'!$C$10:$C$224,$C16,'TL17'!$J$10:$J$224),0),
IF('TL17'!$B$229=K$3,SUMIF('TL17'!$C$238:$C$451,$C16,'TL17'!$J$238:$J$451),0),
IF('TL18'!$B$3=K$3,SUMIF('TL18'!$C$10:$C$224,$C16,'TL18'!$J$10:$J$224),0),
IF('TL18'!$B$229=K$3,SUMIF('TL18'!$C$238:$C$451,$C16,'TL18'!$J$238:$J$451),0),
IF('TL19'!$B$3=K$3,SUMIF('TL19'!$C$10:$C$224,$C16,'TL19'!$J$10:$J$224),0),
IF('TL19'!$B$229=K$3,SUMIF('TL19'!$C$238:$C$451,$C16,'TL19'!$J$238:$J$451),0)
),0)</f>
        <v>0</v>
      </c>
      <c r="L16" s="9">
        <f>IFERROR(SUM(
IF('TL01'!$B$3=L$3,SUMIF('TL01'!$C$10:$C$224,$C16,'TL01'!$J$10:$J$224),0),
IF('TL01'!$B$229=L$3,SUMIF('TL01'!$C$238:$C$451,$C16,'TL01'!$J$238:$J$451),0),
IF('TL02'!$B$3=L$3,SUMIF('TL02'!$C$10:$C$224,$C16,'TL02'!$J$10:$J$224),0),
IF('TL02'!$B$229=L$3,SUMIF('TL02'!$C$238:$C$451,$C16,'TL02'!$J$238:$J$451),0),
IF('TL03'!$B$3=L$3,SUMIF('TL03'!$C$10:$C$224,$C16,'TL03'!$J$10:$J$224),0),
IF('TL03'!$B$229=L$3,SUMIF('TL03'!$C$238:$C$451,$C16,'TL03'!$J$238:$J$451),0),
IF('TL04'!$B$3=L$3,SUMIF('TL04'!$C$10:$C$224,$C16,'TL04'!$J$10:$J$224),0),
IF('TL04'!$B$229=L$3,SUMIF('TL04'!$C$238:$C$451,$C16,'TL04'!$J$238:$J$451),0),
IF('TL05'!$B$3=L$3,SUMIF('TL05'!$C$10:$C$224,$C16,'TL05'!$J$10:$J$224),0),
IF('TL05'!$B$229=L$3,SUMIF('TL05'!$C$238:$C$451,$C16,'TL05'!$J$238:$J$451),0),
IF('TL06'!$B$3=L$3,SUMIF('TL06'!$C$10:$C$224,$C16,'TL06'!$J$10:$J$224),0),
IF('TL06'!$B$229=L$3,SUMIF('TL06'!$C$238:$C$451,$C16,'TL06'!$J$238:$J$451),0),
IF('TL07'!$B$3=L$3,SUMIF('TL07'!$C$10:$C$224,$C16,'TL07'!$J$10:$J$224),0),
IF('TL07'!$B$229=L$3,SUMIF('TL07'!$C$238:$C$451,$C16,'TL07'!$J$238:$J$451),0),
IF('TL08'!$B$3=L$3,SUMIF('TL08'!$C$10:$C$224,$C16,'TL08'!$J$10:$J$224),0),
IF('TL08'!$B$229=L$3,SUMIF('TL08'!$C$238:$C$451,$C16,'TL08'!$J$238:$J$451),0),
IF('TL09'!$B$3=L$3,SUMIF('TL09'!$C$10:$C$224,$C16,'TL09'!$J$10:$J$224),0),
IF('TL09'!$B$229=L$3,SUMIF('TL09'!$C$238:$C$451,$C16,'TL09'!$J$238:$J$451),0),
IF('TL10'!$B$3=L$3,SUMIF('TL10'!$C$10:$C$224,$C16,'TL10'!$J$10:$J$224),0),
IF('TL10'!$B$229=L$3,SUMIF('TL10'!$C$238:$C$451,$C16,'TL10'!$J$238:$J$451),0),
IF('TL11'!$B$3=L$3,SUMIF('TL11'!$C$10:$C$224,$C16,'TL11'!$J$10:$J$224),0),
IF('TL11'!$B$229=L$3,SUMIF('TL11'!$C$238:$C$451,$C16,'TL11'!$J$238:$J$451),0),
IF('TL12'!$B$3=L$3,SUMIF('TL12'!$C$10:$C$224,$C16,'TL12'!$J$10:$J$224),0),
IF('TL12'!$B$229=L$3,SUMIF('TL12'!$C$238:$C$451,$C16,'TL12'!$J$238:$J$451),0),
IF('TL13'!$B$3=L$3,SUMIF('TL13'!$C$10:$C$224,$C16,'TL13'!$J$10:$J$224),0),
IF('TL13'!$B$229=L$3,SUMIF('TL13'!$C$238:$C$451,$C16,'TL13'!$J$238:$J$451),0),
IF('TL14'!$B$3=L$3,SUMIF('TL14'!$C$10:$C$224,$C16,'TL14'!$J$10:$J$224),0),
IF('TL14'!$B$229=L$3,SUMIF('TL14'!$C$238:$C$451,$C16,'TL14'!$J$238:$J$451),0),
IF('TL15'!$B$3=L$3,SUMIF('TL15'!$C$10:$C$224,$C16,'TL15'!$J$10:$J$224),0),
IF('TL15'!$B$229=L$3,SUMIF('TL15'!$C$238:$C$451,$C16,'TL15'!$J$238:$J$451),0),
IF('TL16'!$B$3=L$3,SUMIF('TL16'!$C$10:$C$224,$C16,'TL16'!$J$10:$J$224),0),
IF('TL16'!$B$229=L$3,SUMIF('TL16'!$C$238:$C$451,$C16,'TL16'!$J$238:$J$451),0),
IF('TL17'!$B$3=L$3,SUMIF('TL17'!$C$10:$C$224,$C16,'TL17'!$J$10:$J$224),0),
IF('TL17'!$B$229=L$3,SUMIF('TL17'!$C$238:$C$451,$C16,'TL17'!$J$238:$J$451),0),
IF('TL18'!$B$3=L$3,SUMIF('TL18'!$C$10:$C$224,$C16,'TL18'!$J$10:$J$224),0),
IF('TL18'!$B$229=L$3,SUMIF('TL18'!$C$238:$C$451,$C16,'TL18'!$J$238:$J$451),0),
IF('TL19'!$B$3=L$3,SUMIF('TL19'!$C$10:$C$224,$C16,'TL19'!$J$10:$J$224),0),
IF('TL19'!$B$229=L$3,SUMIF('TL19'!$C$238:$C$451,$C16,'TL19'!$J$238:$J$451),0)
),0)</f>
        <v>0</v>
      </c>
      <c r="M16" s="9">
        <f>IFERROR(SUM(
IF('TL01'!$B$3=M$3,SUMIF('TL01'!$C$10:$C$224,$C16,'TL01'!$J$10:$J$224),0),
IF('TL01'!$B$229=M$3,SUMIF('TL01'!$C$238:$C$451,$C16,'TL01'!$J$238:$J$451),0),
IF('TL02'!$B$3=M$3,SUMIF('TL02'!$C$10:$C$224,$C16,'TL02'!$J$10:$J$224),0),
IF('TL02'!$B$229=M$3,SUMIF('TL02'!$C$238:$C$451,$C16,'TL02'!$J$238:$J$451),0),
IF('TL03'!$B$3=M$3,SUMIF('TL03'!$C$10:$C$224,$C16,'TL03'!$J$10:$J$224),0),
IF('TL03'!$B$229=M$3,SUMIF('TL03'!$C$238:$C$451,$C16,'TL03'!$J$238:$J$451),0),
IF('TL04'!$B$3=M$3,SUMIF('TL04'!$C$10:$C$224,$C16,'TL04'!$J$10:$J$224),0),
IF('TL04'!$B$229=M$3,SUMIF('TL04'!$C$238:$C$451,$C16,'TL04'!$J$238:$J$451),0),
IF('TL05'!$B$3=M$3,SUMIF('TL05'!$C$10:$C$224,$C16,'TL05'!$J$10:$J$224),0),
IF('TL05'!$B$229=M$3,SUMIF('TL05'!$C$238:$C$451,$C16,'TL05'!$J$238:$J$451),0),
IF('TL06'!$B$3=M$3,SUMIF('TL06'!$C$10:$C$224,$C16,'TL06'!$J$10:$J$224),0),
IF('TL06'!$B$229=M$3,SUMIF('TL06'!$C$238:$C$451,$C16,'TL06'!$J$238:$J$451),0),
IF('TL07'!$B$3=M$3,SUMIF('TL07'!$C$10:$C$224,$C16,'TL07'!$J$10:$J$224),0),
IF('TL07'!$B$229=M$3,SUMIF('TL07'!$C$238:$C$451,$C16,'TL07'!$J$238:$J$451),0),
IF('TL08'!$B$3=M$3,SUMIF('TL08'!$C$10:$C$224,$C16,'TL08'!$J$10:$J$224),0),
IF('TL08'!$B$229=M$3,SUMIF('TL08'!$C$238:$C$451,$C16,'TL08'!$J$238:$J$451),0),
IF('TL09'!$B$3=M$3,SUMIF('TL09'!$C$10:$C$224,$C16,'TL09'!$J$10:$J$224),0),
IF('TL09'!$B$229=M$3,SUMIF('TL09'!$C$238:$C$451,$C16,'TL09'!$J$238:$J$451),0),
IF('TL10'!$B$3=M$3,SUMIF('TL10'!$C$10:$C$224,$C16,'TL10'!$J$10:$J$224),0),
IF('TL10'!$B$229=M$3,SUMIF('TL10'!$C$238:$C$451,$C16,'TL10'!$J$238:$J$451),0),
IF('TL11'!$B$3=M$3,SUMIF('TL11'!$C$10:$C$224,$C16,'TL11'!$J$10:$J$224),0),
IF('TL11'!$B$229=M$3,SUMIF('TL11'!$C$238:$C$451,$C16,'TL11'!$J$238:$J$451),0),
IF('TL12'!$B$3=M$3,SUMIF('TL12'!$C$10:$C$224,$C16,'TL12'!$J$10:$J$224),0),
IF('TL12'!$B$229=M$3,SUMIF('TL12'!$C$238:$C$451,$C16,'TL12'!$J$238:$J$451),0),
IF('TL13'!$B$3=M$3,SUMIF('TL13'!$C$10:$C$224,$C16,'TL13'!$J$10:$J$224),0),
IF('TL13'!$B$229=M$3,SUMIF('TL13'!$C$238:$C$451,$C16,'TL13'!$J$238:$J$451),0),
IF('TL14'!$B$3=M$3,SUMIF('TL14'!$C$10:$C$224,$C16,'TL14'!$J$10:$J$224),0),
IF('TL14'!$B$229=M$3,SUMIF('TL14'!$C$238:$C$451,$C16,'TL14'!$J$238:$J$451),0),
IF('TL15'!$B$3=M$3,SUMIF('TL15'!$C$10:$C$224,$C16,'TL15'!$J$10:$J$224),0),
IF('TL15'!$B$229=M$3,SUMIF('TL15'!$C$238:$C$451,$C16,'TL15'!$J$238:$J$451),0),
IF('TL16'!$B$3=M$3,SUMIF('TL16'!$C$10:$C$224,$C16,'TL16'!$J$10:$J$224),0),
IF('TL16'!$B$229=M$3,SUMIF('TL16'!$C$238:$C$451,$C16,'TL16'!$J$238:$J$451),0),
IF('TL17'!$B$3=M$3,SUMIF('TL17'!$C$10:$C$224,$C16,'TL17'!$J$10:$J$224),0),
IF('TL17'!$B$229=M$3,SUMIF('TL17'!$C$238:$C$451,$C16,'TL17'!$J$238:$J$451),0),
IF('TL18'!$B$3=M$3,SUMIF('TL18'!$C$10:$C$224,$C16,'TL18'!$J$10:$J$224),0),
IF('TL18'!$B$229=M$3,SUMIF('TL18'!$C$238:$C$451,$C16,'TL18'!$J$238:$J$451),0),
IF('TL19'!$B$3=M$3,SUMIF('TL19'!$C$10:$C$224,$C16,'TL19'!$J$10:$J$224),0),
IF('TL19'!$B$229=M$3,SUMIF('TL19'!$C$238:$C$451,$C16,'TL19'!$J$238:$J$451),0)
),0)</f>
        <v>0</v>
      </c>
      <c r="N16" s="9">
        <f>IFERROR(SUM(
IF('TL01'!$B$3=N$3,SUMIF('TL01'!$C$10:$C$224,$C16,'TL01'!$J$10:$J$224),0),
IF('TL01'!$B$229=N$3,SUMIF('TL01'!$C$238:$C$451,$C16,'TL01'!$J$238:$J$451),0),
IF('TL02'!$B$3=N$3,SUMIF('TL02'!$C$10:$C$224,$C16,'TL02'!$J$10:$J$224),0),
IF('TL02'!$B$229=N$3,SUMIF('TL02'!$C$238:$C$451,$C16,'TL02'!$J$238:$J$451),0),
IF('TL03'!$B$3=N$3,SUMIF('TL03'!$C$10:$C$224,$C16,'TL03'!$J$10:$J$224),0),
IF('TL03'!$B$229=N$3,SUMIF('TL03'!$C$238:$C$451,$C16,'TL03'!$J$238:$J$451),0),
IF('TL04'!$B$3=N$3,SUMIF('TL04'!$C$10:$C$224,$C16,'TL04'!$J$10:$J$224),0),
IF('TL04'!$B$229=N$3,SUMIF('TL04'!$C$238:$C$451,$C16,'TL04'!$J$238:$J$451),0),
IF('TL05'!$B$3=N$3,SUMIF('TL05'!$C$10:$C$224,$C16,'TL05'!$J$10:$J$224),0),
IF('TL05'!$B$229=N$3,SUMIF('TL05'!$C$238:$C$451,$C16,'TL05'!$J$238:$J$451),0),
IF('TL06'!$B$3=N$3,SUMIF('TL06'!$C$10:$C$224,$C16,'TL06'!$J$10:$J$224),0),
IF('TL06'!$B$229=N$3,SUMIF('TL06'!$C$238:$C$451,$C16,'TL06'!$J$238:$J$451),0),
IF('TL07'!$B$3=N$3,SUMIF('TL07'!$C$10:$C$224,$C16,'TL07'!$J$10:$J$224),0),
IF('TL07'!$B$229=N$3,SUMIF('TL07'!$C$238:$C$451,$C16,'TL07'!$J$238:$J$451),0),
IF('TL08'!$B$3=N$3,SUMIF('TL08'!$C$10:$C$224,$C16,'TL08'!$J$10:$J$224),0),
IF('TL08'!$B$229=N$3,SUMIF('TL08'!$C$238:$C$451,$C16,'TL08'!$J$238:$J$451),0),
IF('TL09'!$B$3=N$3,SUMIF('TL09'!$C$10:$C$224,$C16,'TL09'!$J$10:$J$224),0),
IF('TL09'!$B$229=N$3,SUMIF('TL09'!$C$238:$C$451,$C16,'TL09'!$J$238:$J$451),0),
IF('TL10'!$B$3=N$3,SUMIF('TL10'!$C$10:$C$224,$C16,'TL10'!$J$10:$J$224),0),
IF('TL10'!$B$229=N$3,SUMIF('TL10'!$C$238:$C$451,$C16,'TL10'!$J$238:$J$451),0),
IF('TL11'!$B$3=N$3,SUMIF('TL11'!$C$10:$C$224,$C16,'TL11'!$J$10:$J$224),0),
IF('TL11'!$B$229=N$3,SUMIF('TL11'!$C$238:$C$451,$C16,'TL11'!$J$238:$J$451),0),
IF('TL12'!$B$3=N$3,SUMIF('TL12'!$C$10:$C$224,$C16,'TL12'!$J$10:$J$224),0),
IF('TL12'!$B$229=N$3,SUMIF('TL12'!$C$238:$C$451,$C16,'TL12'!$J$238:$J$451),0),
IF('TL13'!$B$3=N$3,SUMIF('TL13'!$C$10:$C$224,$C16,'TL13'!$J$10:$J$224),0),
IF('TL13'!$B$229=N$3,SUMIF('TL13'!$C$238:$C$451,$C16,'TL13'!$J$238:$J$451),0),
IF('TL14'!$B$3=N$3,SUMIF('TL14'!$C$10:$C$224,$C16,'TL14'!$J$10:$J$224),0),
IF('TL14'!$B$229=N$3,SUMIF('TL14'!$C$238:$C$451,$C16,'TL14'!$J$238:$J$451),0),
IF('TL15'!$B$3=N$3,SUMIF('TL15'!$C$10:$C$224,$C16,'TL15'!$J$10:$J$224),0),
IF('TL15'!$B$229=N$3,SUMIF('TL15'!$C$238:$C$451,$C16,'TL15'!$J$238:$J$451),0),
IF('TL16'!$B$3=N$3,SUMIF('TL16'!$C$10:$C$224,$C16,'TL16'!$J$10:$J$224),0),
IF('TL16'!$B$229=N$3,SUMIF('TL16'!$C$238:$C$451,$C16,'TL16'!$J$238:$J$451),0),
IF('TL17'!$B$3=N$3,SUMIF('TL17'!$C$10:$C$224,$C16,'TL17'!$J$10:$J$224),0),
IF('TL17'!$B$229=N$3,SUMIF('TL17'!$C$238:$C$451,$C16,'TL17'!$J$238:$J$451),0),
IF('TL18'!$B$3=N$3,SUMIF('TL18'!$C$10:$C$224,$C16,'TL18'!$J$10:$J$224),0),
IF('TL18'!$B$229=N$3,SUMIF('TL18'!$C$238:$C$451,$C16,'TL18'!$J$238:$J$451),0),
IF('TL19'!$B$3=N$3,SUMIF('TL19'!$C$10:$C$224,$C16,'TL19'!$J$10:$J$224),0),
IF('TL19'!$B$229=N$3,SUMIF('TL19'!$C$238:$C$451,$C16,'TL19'!$J$238:$J$451),0)
),0)</f>
        <v>0</v>
      </c>
      <c r="O16" s="9">
        <f>IFERROR(SUM(
IF('TL01'!$B$3=O$3,SUMIF('TL01'!$C$10:$C$224,$C16,'TL01'!$J$10:$J$224),0),
IF('TL01'!$B$229=O$3,SUMIF('TL01'!$C$238:$C$451,$C16,'TL01'!$J$238:$J$451),0),
IF('TL02'!$B$3=O$3,SUMIF('TL02'!$C$10:$C$224,$C16,'TL02'!$J$10:$J$224),0),
IF('TL02'!$B$229=O$3,SUMIF('TL02'!$C$238:$C$451,$C16,'TL02'!$J$238:$J$451),0),
IF('TL03'!$B$3=O$3,SUMIF('TL03'!$C$10:$C$224,$C16,'TL03'!$J$10:$J$224),0),
IF('TL03'!$B$229=O$3,SUMIF('TL03'!$C$238:$C$451,$C16,'TL03'!$J$238:$J$451),0),
IF('TL04'!$B$3=O$3,SUMIF('TL04'!$C$10:$C$224,$C16,'TL04'!$J$10:$J$224),0),
IF('TL04'!$B$229=O$3,SUMIF('TL04'!$C$238:$C$451,$C16,'TL04'!$J$238:$J$451),0),
IF('TL05'!$B$3=O$3,SUMIF('TL05'!$C$10:$C$224,$C16,'TL05'!$J$10:$J$224),0),
IF('TL05'!$B$229=O$3,SUMIF('TL05'!$C$238:$C$451,$C16,'TL05'!$J$238:$J$451),0),
IF('TL06'!$B$3=O$3,SUMIF('TL06'!$C$10:$C$224,$C16,'TL06'!$J$10:$J$224),0),
IF('TL06'!$B$229=O$3,SUMIF('TL06'!$C$238:$C$451,$C16,'TL06'!$J$238:$J$451),0),
IF('TL07'!$B$3=O$3,SUMIF('TL07'!$C$10:$C$224,$C16,'TL07'!$J$10:$J$224),0),
IF('TL07'!$B$229=O$3,SUMIF('TL07'!$C$238:$C$451,$C16,'TL07'!$J$238:$J$451),0),
IF('TL08'!$B$3=O$3,SUMIF('TL08'!$C$10:$C$224,$C16,'TL08'!$J$10:$J$224),0),
IF('TL08'!$B$229=O$3,SUMIF('TL08'!$C$238:$C$451,$C16,'TL08'!$J$238:$J$451),0),
IF('TL09'!$B$3=O$3,SUMIF('TL09'!$C$10:$C$224,$C16,'TL09'!$J$10:$J$224),0),
IF('TL09'!$B$229=O$3,SUMIF('TL09'!$C$238:$C$451,$C16,'TL09'!$J$238:$J$451),0),
IF('TL10'!$B$3=O$3,SUMIF('TL10'!$C$10:$C$224,$C16,'TL10'!$J$10:$J$224),0),
IF('TL10'!$B$229=O$3,SUMIF('TL10'!$C$238:$C$451,$C16,'TL10'!$J$238:$J$451),0),
IF('TL11'!$B$3=O$3,SUMIF('TL11'!$C$10:$C$224,$C16,'TL11'!$J$10:$J$224),0),
IF('TL11'!$B$229=O$3,SUMIF('TL11'!$C$238:$C$451,$C16,'TL11'!$J$238:$J$451),0),
IF('TL12'!$B$3=O$3,SUMIF('TL12'!$C$10:$C$224,$C16,'TL12'!$J$10:$J$224),0),
IF('TL12'!$B$229=O$3,SUMIF('TL12'!$C$238:$C$451,$C16,'TL12'!$J$238:$J$451),0),
IF('TL13'!$B$3=O$3,SUMIF('TL13'!$C$10:$C$224,$C16,'TL13'!$J$10:$J$224),0),
IF('TL13'!$B$229=O$3,SUMIF('TL13'!$C$238:$C$451,$C16,'TL13'!$J$238:$J$451),0),
IF('TL14'!$B$3=O$3,SUMIF('TL14'!$C$10:$C$224,$C16,'TL14'!$J$10:$J$224),0),
IF('TL14'!$B$229=O$3,SUMIF('TL14'!$C$238:$C$451,$C16,'TL14'!$J$238:$J$451),0),
IF('TL15'!$B$3=O$3,SUMIF('TL15'!$C$10:$C$224,$C16,'TL15'!$J$10:$J$224),0),
IF('TL15'!$B$229=O$3,SUMIF('TL15'!$C$238:$C$451,$C16,'TL15'!$J$238:$J$451),0),
IF('TL16'!$B$3=O$3,SUMIF('TL16'!$C$10:$C$224,$C16,'TL16'!$J$10:$J$224),0),
IF('TL16'!$B$229=O$3,SUMIF('TL16'!$C$238:$C$451,$C16,'TL16'!$J$238:$J$451),0),
IF('TL17'!$B$3=O$3,SUMIF('TL17'!$C$10:$C$224,$C16,'TL17'!$J$10:$J$224),0),
IF('TL17'!$B$229=O$3,SUMIF('TL17'!$C$238:$C$451,$C16,'TL17'!$J$238:$J$451),0),
IF('TL18'!$B$3=O$3,SUMIF('TL18'!$C$10:$C$224,$C16,'TL18'!$J$10:$J$224),0),
IF('TL18'!$B$229=O$3,SUMIF('TL18'!$C$238:$C$451,$C16,'TL18'!$J$238:$J$451),0),
IF('TL19'!$B$3=O$3,SUMIF('TL19'!$C$10:$C$224,$C16,'TL19'!$J$10:$J$224),0),
IF('TL19'!$B$229=O$3,SUMIF('TL19'!$C$238:$C$451,$C16,'TL19'!$J$238:$J$451),0)
),0)</f>
        <v>0</v>
      </c>
      <c r="P16" s="9">
        <f>IFERROR(SUM(
IF('TL01'!$B$3=P$3,SUMIF('TL01'!$C$10:$C$224,$C16,'TL01'!$J$10:$J$224),0),
IF('TL01'!$B$229=P$3,SUMIF('TL01'!$C$238:$C$451,$C16,'TL01'!$J$238:$J$451),0),
IF('TL02'!$B$3=P$3,SUMIF('TL02'!$C$10:$C$224,$C16,'TL02'!$J$10:$J$224),0),
IF('TL02'!$B$229=P$3,SUMIF('TL02'!$C$238:$C$451,$C16,'TL02'!$J$238:$J$451),0),
IF('TL03'!$B$3=P$3,SUMIF('TL03'!$C$10:$C$224,$C16,'TL03'!$J$10:$J$224),0),
IF('TL03'!$B$229=P$3,SUMIF('TL03'!$C$238:$C$451,$C16,'TL03'!$J$238:$J$451),0),
IF('TL04'!$B$3=P$3,SUMIF('TL04'!$C$10:$C$224,$C16,'TL04'!$J$10:$J$224),0),
IF('TL04'!$B$229=P$3,SUMIF('TL04'!$C$238:$C$451,$C16,'TL04'!$J$238:$J$451),0),
IF('TL05'!$B$3=P$3,SUMIF('TL05'!$C$10:$C$224,$C16,'TL05'!$J$10:$J$224),0),
IF('TL05'!$B$229=P$3,SUMIF('TL05'!$C$238:$C$451,$C16,'TL05'!$J$238:$J$451),0),
IF('TL06'!$B$3=P$3,SUMIF('TL06'!$C$10:$C$224,$C16,'TL06'!$J$10:$J$224),0),
IF('TL06'!$B$229=P$3,SUMIF('TL06'!$C$238:$C$451,$C16,'TL06'!$J$238:$J$451),0),
IF('TL07'!$B$3=P$3,SUMIF('TL07'!$C$10:$C$224,$C16,'TL07'!$J$10:$J$224),0),
IF('TL07'!$B$229=P$3,SUMIF('TL07'!$C$238:$C$451,$C16,'TL07'!$J$238:$J$451),0),
IF('TL08'!$B$3=P$3,SUMIF('TL08'!$C$10:$C$224,$C16,'TL08'!$J$10:$J$224),0),
IF('TL08'!$B$229=P$3,SUMIF('TL08'!$C$238:$C$451,$C16,'TL08'!$J$238:$J$451),0),
IF('TL09'!$B$3=P$3,SUMIF('TL09'!$C$10:$C$224,$C16,'TL09'!$J$10:$J$224),0),
IF('TL09'!$B$229=P$3,SUMIF('TL09'!$C$238:$C$451,$C16,'TL09'!$J$238:$J$451),0),
IF('TL10'!$B$3=P$3,SUMIF('TL10'!$C$10:$C$224,$C16,'TL10'!$J$10:$J$224),0),
IF('TL10'!$B$229=P$3,SUMIF('TL10'!$C$238:$C$451,$C16,'TL10'!$J$238:$J$451),0),
IF('TL11'!$B$3=P$3,SUMIF('TL11'!$C$10:$C$224,$C16,'TL11'!$J$10:$J$224),0),
IF('TL11'!$B$229=P$3,SUMIF('TL11'!$C$238:$C$451,$C16,'TL11'!$J$238:$J$451),0),
IF('TL12'!$B$3=P$3,SUMIF('TL12'!$C$10:$C$224,$C16,'TL12'!$J$10:$J$224),0),
IF('TL12'!$B$229=P$3,SUMIF('TL12'!$C$238:$C$451,$C16,'TL12'!$J$238:$J$451),0),
IF('TL13'!$B$3=P$3,SUMIF('TL13'!$C$10:$C$224,$C16,'TL13'!$J$10:$J$224),0),
IF('TL13'!$B$229=P$3,SUMIF('TL13'!$C$238:$C$451,$C16,'TL13'!$J$238:$J$451),0),
IF('TL14'!$B$3=P$3,SUMIF('TL14'!$C$10:$C$224,$C16,'TL14'!$J$10:$J$224),0),
IF('TL14'!$B$229=P$3,SUMIF('TL14'!$C$238:$C$451,$C16,'TL14'!$J$238:$J$451),0),
IF('TL15'!$B$3=P$3,SUMIF('TL15'!$C$10:$C$224,$C16,'TL15'!$J$10:$J$224),0),
IF('TL15'!$B$229=P$3,SUMIF('TL15'!$C$238:$C$451,$C16,'TL15'!$J$238:$J$451),0),
IF('TL16'!$B$3=P$3,SUMIF('TL16'!$C$10:$C$224,$C16,'TL16'!$J$10:$J$224),0),
IF('TL16'!$B$229=P$3,SUMIF('TL16'!$C$238:$C$451,$C16,'TL16'!$J$238:$J$451),0),
IF('TL17'!$B$3=P$3,SUMIF('TL17'!$C$10:$C$224,$C16,'TL17'!$J$10:$J$224),0),
IF('TL17'!$B$229=P$3,SUMIF('TL17'!$C$238:$C$451,$C16,'TL17'!$J$238:$J$451),0),
IF('TL18'!$B$3=P$3,SUMIF('TL18'!$C$10:$C$224,$C16,'TL18'!$J$10:$J$224),0),
IF('TL18'!$B$229=P$3,SUMIF('TL18'!$C$238:$C$451,$C16,'TL18'!$J$238:$J$451),0),
IF('TL19'!$B$3=P$3,SUMIF('TL19'!$C$10:$C$224,$C16,'TL19'!$J$10:$J$224),0),
IF('TL19'!$B$229=P$3,SUMIF('TL19'!$C$238:$C$451,$C16,'TL19'!$J$238:$J$451),0)
),0)</f>
        <v>0</v>
      </c>
      <c r="Q16" s="9">
        <f>IFERROR(SUM(
IF('TL01'!$B$3=Q$3,SUMIF('TL01'!$C$10:$C$224,$C16,'TL01'!$J$10:$J$224),0),
IF('TL01'!$B$229=Q$3,SUMIF('TL01'!$C$238:$C$451,$C16,'TL01'!$J$238:$J$451),0),
IF('TL02'!$B$3=Q$3,SUMIF('TL02'!$C$10:$C$224,$C16,'TL02'!$J$10:$J$224),0),
IF('TL02'!$B$229=Q$3,SUMIF('TL02'!$C$238:$C$451,$C16,'TL02'!$J$238:$J$451),0),
IF('TL03'!$B$3=Q$3,SUMIF('TL03'!$C$10:$C$224,$C16,'TL03'!$J$10:$J$224),0),
IF('TL03'!$B$229=Q$3,SUMIF('TL03'!$C$238:$C$451,$C16,'TL03'!$J$238:$J$451),0),
IF('TL04'!$B$3=Q$3,SUMIF('TL04'!$C$10:$C$224,$C16,'TL04'!$J$10:$J$224),0),
IF('TL04'!$B$229=Q$3,SUMIF('TL04'!$C$238:$C$451,$C16,'TL04'!$J$238:$J$451),0),
IF('TL05'!$B$3=Q$3,SUMIF('TL05'!$C$10:$C$224,$C16,'TL05'!$J$10:$J$224),0),
IF('TL05'!$B$229=Q$3,SUMIF('TL05'!$C$238:$C$451,$C16,'TL05'!$J$238:$J$451),0),
IF('TL06'!$B$3=Q$3,SUMIF('TL06'!$C$10:$C$224,$C16,'TL06'!$J$10:$J$224),0),
IF('TL06'!$B$229=Q$3,SUMIF('TL06'!$C$238:$C$451,$C16,'TL06'!$J$238:$J$451),0),
IF('TL07'!$B$3=Q$3,SUMIF('TL07'!$C$10:$C$224,$C16,'TL07'!$J$10:$J$224),0),
IF('TL07'!$B$229=Q$3,SUMIF('TL07'!$C$238:$C$451,$C16,'TL07'!$J$238:$J$451),0),
IF('TL08'!$B$3=Q$3,SUMIF('TL08'!$C$10:$C$224,$C16,'TL08'!$J$10:$J$224),0),
IF('TL08'!$B$229=Q$3,SUMIF('TL08'!$C$238:$C$451,$C16,'TL08'!$J$238:$J$451),0),
IF('TL09'!$B$3=Q$3,SUMIF('TL09'!$C$10:$C$224,$C16,'TL09'!$J$10:$J$224),0),
IF('TL09'!$B$229=Q$3,SUMIF('TL09'!$C$238:$C$451,$C16,'TL09'!$J$238:$J$451),0),
IF('TL10'!$B$3=Q$3,SUMIF('TL10'!$C$10:$C$224,$C16,'TL10'!$J$10:$J$224),0),
IF('TL10'!$B$229=Q$3,SUMIF('TL10'!$C$238:$C$451,$C16,'TL10'!$J$238:$J$451),0),
IF('TL11'!$B$3=Q$3,SUMIF('TL11'!$C$10:$C$224,$C16,'TL11'!$J$10:$J$224),0),
IF('TL11'!$B$229=Q$3,SUMIF('TL11'!$C$238:$C$451,$C16,'TL11'!$J$238:$J$451),0),
IF('TL12'!$B$3=Q$3,SUMIF('TL12'!$C$10:$C$224,$C16,'TL12'!$J$10:$J$224),0),
IF('TL12'!$B$229=Q$3,SUMIF('TL12'!$C$238:$C$451,$C16,'TL12'!$J$238:$J$451),0),
IF('TL13'!$B$3=Q$3,SUMIF('TL13'!$C$10:$C$224,$C16,'TL13'!$J$10:$J$224),0),
IF('TL13'!$B$229=Q$3,SUMIF('TL13'!$C$238:$C$451,$C16,'TL13'!$J$238:$J$451),0),
IF('TL14'!$B$3=Q$3,SUMIF('TL14'!$C$10:$C$224,$C16,'TL14'!$J$10:$J$224),0),
IF('TL14'!$B$229=Q$3,SUMIF('TL14'!$C$238:$C$451,$C16,'TL14'!$J$238:$J$451),0),
IF('TL15'!$B$3=Q$3,SUMIF('TL15'!$C$10:$C$224,$C16,'TL15'!$J$10:$J$224),0),
IF('TL15'!$B$229=Q$3,SUMIF('TL15'!$C$238:$C$451,$C16,'TL15'!$J$238:$J$451),0),
IF('TL16'!$B$3=Q$3,SUMIF('TL16'!$C$10:$C$224,$C16,'TL16'!$J$10:$J$224),0),
IF('TL16'!$B$229=Q$3,SUMIF('TL16'!$C$238:$C$451,$C16,'TL16'!$J$238:$J$451),0),
IF('TL17'!$B$3=Q$3,SUMIF('TL17'!$C$10:$C$224,$C16,'TL17'!$J$10:$J$224),0),
IF('TL17'!$B$229=Q$3,SUMIF('TL17'!$C$238:$C$451,$C16,'TL17'!$J$238:$J$451),0),
IF('TL18'!$B$3=Q$3,SUMIF('TL18'!$C$10:$C$224,$C16,'TL18'!$J$10:$J$224),0),
IF('TL18'!$B$229=Q$3,SUMIF('TL18'!$C$238:$C$451,$C16,'TL18'!$J$238:$J$451),0),
IF('TL19'!$B$3=Q$3,SUMIF('TL19'!$C$10:$C$224,$C16,'TL19'!$J$10:$J$224),0),
IF('TL19'!$B$229=Q$3,SUMIF('TL19'!$C$238:$C$451,$C16,'TL19'!$J$238:$J$451),0)
),0)</f>
        <v>0</v>
      </c>
      <c r="R16" s="9">
        <f>IFERROR(
SUM(
SUMIF('TL01'!C:C,C16,'TL01'!J:J),
SUMIF('TL02'!C:C,C16,'TL02'!J:J),
SUMIF('TL03'!C:C,C16,'TL03'!J:J),
SUMIF('TL04'!C:C,C16,'TL04'!J:J),
SUMIF('TL05'!C:C,C16,'TL05'!J:J),
SUMIF('TL06'!C:C,C16,'TL06'!J:J),
SUMIF('TL07'!C:C,C16,'TL07'!J:J),
SUMIF('TL08'!C:C,C16,'TL08'!J:J),
SUMIF('TL09'!C:C,C16,'TL09'!J:J),
SUMIF('TL10'!C:C,C16,'TL10'!J:J),
SUMIF('TL11'!C:C,C16,'TL11'!J:J),
SUMIF('TL12'!C:C,C16,'TL12'!J:J),
SUMIF('TL13'!C:C,C16,'TL13'!J:J),
SUMIF('TL14'!C:C,C16,'TL14'!J:J),
SUMIF('TL15'!C:C,C16,'TL15'!J:J),
SUMIF('TL16'!C:C,C16,'TL16'!J:J),
SUMIF('TL17'!C:C,C16,'TL17'!J:J),
SUMIF('TL18'!C:C,C16,'TL18'!J:J),SUMIF('TL19'!C:C,C16,'TL19'!J:J))
,0)</f>
        <v>0</v>
      </c>
      <c r="S16" s="17">
        <f>IFERROR(__xludf.DUMMYFUNCTION("IFERROR(VLOOKUP(C16,
IMPORTRANGE(""1wULbzX32WdYsx-lj2U3uUNBBe2INVIRDtcK0d-Dvl90"",
""26-27!C:G""),
5,
FALSE),
"""")"),95.494)</f>
        <v>95.494</v>
      </c>
      <c r="T16" s="9"/>
      <c r="U16" s="92">
        <f t="shared" si="2"/>
        <v>0</v>
      </c>
      <c r="V16" s="93">
        <f t="shared" si="3"/>
        <v>0</v>
      </c>
    </row>
    <row r="17" ht="22.5" hidden="1" customHeight="1">
      <c r="A17" s="94" t="s">
        <v>378</v>
      </c>
      <c r="B17" s="95" t="s">
        <v>3</v>
      </c>
      <c r="C17" s="96" t="s">
        <v>379</v>
      </c>
      <c r="D17" s="96" t="s">
        <v>380</v>
      </c>
      <c r="E17" s="96" t="s">
        <v>381</v>
      </c>
      <c r="F17" s="4" t="s">
        <v>343</v>
      </c>
      <c r="G17" s="90" t="str">
        <f t="shared" si="1"/>
        <v>📄 Ver bula</v>
      </c>
      <c r="H17" s="9">
        <f>IFERROR(__xludf.DUMMYFUNCTION("IFERROR(VLOOKUP(C17,
IMPORTRANGE(""1wULbzX32WdYsx-lj2U3uUNBBe2INVIRDtcK0d-Dvl90"",
""26-27!C:K""),
8,
FALSE),
"""")"),0.3)</f>
        <v>0.3</v>
      </c>
      <c r="I17" s="97" t="s">
        <v>382</v>
      </c>
      <c r="J17" s="9">
        <f>IFERROR(SUM(
IF('TL01'!$B$3=J$3,SUMIF('TL01'!$C$10:$C$224,$C17,'TL01'!$J$10:$J$224),0),
IF('TL01'!$B$229=J$3,SUMIF('TL01'!$C$238:$C$451,$C17,'TL01'!$J$238:$J$451),0),
IF('TL02'!$B$3=J$3,SUMIF('TL02'!$C$10:$C$224,$C17,'TL02'!$J$10:$J$224),0),
IF('TL02'!$B$229=J$3,SUMIF('TL02'!$C$238:$C$451,$C17,'TL02'!$J$238:$J$451),0),
IF('TL03'!$B$3=J$3,SUMIF('TL03'!$C$10:$C$224,$C17,'TL03'!$J$10:$J$224),0),
IF('TL03'!$B$229=J$3,SUMIF('TL03'!$C$238:$C$451,$C17,'TL03'!$J$238:$J$451),0),
IF('TL04'!$B$3=J$3,SUMIF('TL04'!$C$10:$C$224,$C17,'TL04'!$J$10:$J$224),0),
IF('TL04'!$B$229=J$3,SUMIF('TL04'!$C$238:$C$451,$C17,'TL04'!$J$238:$J$451),0),
IF('TL05'!$B$3=J$3,SUMIF('TL05'!$C$10:$C$224,$C17,'TL05'!$J$10:$J$224),0),
IF('TL05'!$B$229=J$3,SUMIF('TL05'!$C$238:$C$451,$C17,'TL05'!$J$238:$J$451),0),
IF('TL06'!$B$3=J$3,SUMIF('TL06'!$C$10:$C$224,$C17,'TL06'!$J$10:$J$224),0),
IF('TL06'!$B$229=J$3,SUMIF('TL06'!$C$238:$C$451,$C17,'TL06'!$J$238:$J$451),0),
IF('TL07'!$B$3=J$3,SUMIF('TL07'!$C$10:$C$224,$C17,'TL07'!$J$10:$J$224),0),
IF('TL07'!$B$229=J$3,SUMIF('TL07'!$C$238:$C$451,$C17,'TL07'!$J$238:$J$451),0),
IF('TL08'!$B$3=J$3,SUMIF('TL08'!$C$10:$C$224,$C17,'TL08'!$J$10:$J$224),0),
IF('TL08'!$B$229=J$3,SUMIF('TL08'!$C$238:$C$451,$C17,'TL08'!$J$238:$J$451),0),
IF('TL09'!$B$3=J$3,SUMIF('TL09'!$C$10:$C$224,$C17,'TL09'!$J$10:$J$224),0),
IF('TL09'!$B$229=J$3,SUMIF('TL09'!$C$238:$C$451,$C17,'TL09'!$J$238:$J$451),0),
IF('TL10'!$B$3=J$3,SUMIF('TL10'!$C$10:$C$224,$C17,'TL10'!$J$10:$J$224),0),
IF('TL10'!$B$229=J$3,SUMIF('TL10'!$C$238:$C$451,$C17,'TL10'!$J$238:$J$451),0),
IF('TL11'!$B$3=J$3,SUMIF('TL11'!$C$10:$C$224,$C17,'TL11'!$J$10:$J$224),0),
IF('TL11'!$B$229=J$3,SUMIF('TL11'!$C$238:$C$451,$C17,'TL11'!$J$238:$J$451),0),
IF('TL12'!$B$3=J$3,SUMIF('TL12'!$C$10:$C$224,$C17,'TL12'!$J$10:$J$224),0),
IF('TL12'!$B$229=J$3,SUMIF('TL12'!$C$238:$C$451,$C17,'TL12'!$J$238:$J$451),0),
IF('TL13'!$B$3=J$3,SUMIF('TL13'!$C$10:$C$224,$C17,'TL13'!$J$10:$J$224),0),
IF('TL13'!$B$229=J$3,SUMIF('TL13'!$C$238:$C$451,$C17,'TL13'!$J$238:$J$451),0),
IF('TL14'!$B$3=J$3,SUMIF('TL14'!$C$10:$C$224,$C17,'TL14'!$J$10:$J$224),0),
IF('TL14'!$B$229=J$3,SUMIF('TL14'!$C$238:$C$451,$C17,'TL14'!$J$238:$J$451),0),
IF('TL15'!$B$3=J$3,SUMIF('TL15'!$C$10:$C$224,$C17,'TL15'!$J$10:$J$224),0),
IF('TL15'!$B$229=J$3,SUMIF('TL15'!$C$238:$C$451,$C17,'TL15'!$J$238:$J$451),0),
IF('TL16'!$B$3=J$3,SUMIF('TL16'!$C$10:$C$224,$C17,'TL16'!$J$10:$J$224),0),
IF('TL16'!$B$229=J$3,SUMIF('TL16'!$C$238:$C$451,$C17,'TL16'!$J$238:$J$451),0),
IF('TL17'!$B$3=J$3,SUMIF('TL17'!$C$10:$C$224,$C17,'TL17'!$J$10:$J$224),0),
IF('TL17'!$B$229=J$3,SUMIF('TL17'!$C$238:$C$451,$C17,'TL17'!$J$238:$J$451),0),
IF('TL18'!$B$3=J$3,SUMIF('TL18'!$C$10:$C$224,$C17,'TL18'!$J$10:$J$224),0),
IF('TL18'!$B$229=J$3,SUMIF('TL18'!$C$238:$C$451,$C17,'TL18'!$J$238:$J$451),0),
IF('TL19'!$B$3=J$3,SUMIF('TL19'!$C$10:$C$224,$C17,'TL19'!$J$10:$J$224),0),
IF('TL19'!$B$229=J$3,SUMIF('TL19'!$C$238:$C$451,$C17,'TL19'!$J$238:$J$451),0)
),0)</f>
        <v>0</v>
      </c>
      <c r="K17" s="9">
        <f>IFERROR(SUM(
IF('TL01'!$B$3=K$3,SUMIF('TL01'!$C$10:$C$224,$C17,'TL01'!$J$10:$J$224),0),
IF('TL01'!$B$229=K$3,SUMIF('TL01'!$C$238:$C$451,$C17,'TL01'!$J$238:$J$451),0),
IF('TL02'!$B$3=K$3,SUMIF('TL02'!$C$10:$C$224,$C17,'TL02'!$J$10:$J$224),0),
IF('TL02'!$B$229=K$3,SUMIF('TL02'!$C$238:$C$451,$C17,'TL02'!$J$238:$J$451),0),
IF('TL03'!$B$3=K$3,SUMIF('TL03'!$C$10:$C$224,$C17,'TL03'!$J$10:$J$224),0),
IF('TL03'!$B$229=K$3,SUMIF('TL03'!$C$238:$C$451,$C17,'TL03'!$J$238:$J$451),0),
IF('TL04'!$B$3=K$3,SUMIF('TL04'!$C$10:$C$224,$C17,'TL04'!$J$10:$J$224),0),
IF('TL04'!$B$229=K$3,SUMIF('TL04'!$C$238:$C$451,$C17,'TL04'!$J$238:$J$451),0),
IF('TL05'!$B$3=K$3,SUMIF('TL05'!$C$10:$C$224,$C17,'TL05'!$J$10:$J$224),0),
IF('TL05'!$B$229=K$3,SUMIF('TL05'!$C$238:$C$451,$C17,'TL05'!$J$238:$J$451),0),
IF('TL06'!$B$3=K$3,SUMIF('TL06'!$C$10:$C$224,$C17,'TL06'!$J$10:$J$224),0),
IF('TL06'!$B$229=K$3,SUMIF('TL06'!$C$238:$C$451,$C17,'TL06'!$J$238:$J$451),0),
IF('TL07'!$B$3=K$3,SUMIF('TL07'!$C$10:$C$224,$C17,'TL07'!$J$10:$J$224),0),
IF('TL07'!$B$229=K$3,SUMIF('TL07'!$C$238:$C$451,$C17,'TL07'!$J$238:$J$451),0),
IF('TL08'!$B$3=K$3,SUMIF('TL08'!$C$10:$C$224,$C17,'TL08'!$J$10:$J$224),0),
IF('TL08'!$B$229=K$3,SUMIF('TL08'!$C$238:$C$451,$C17,'TL08'!$J$238:$J$451),0),
IF('TL09'!$B$3=K$3,SUMIF('TL09'!$C$10:$C$224,$C17,'TL09'!$J$10:$J$224),0),
IF('TL09'!$B$229=K$3,SUMIF('TL09'!$C$238:$C$451,$C17,'TL09'!$J$238:$J$451),0),
IF('TL10'!$B$3=K$3,SUMIF('TL10'!$C$10:$C$224,$C17,'TL10'!$J$10:$J$224),0),
IF('TL10'!$B$229=K$3,SUMIF('TL10'!$C$238:$C$451,$C17,'TL10'!$J$238:$J$451),0),
IF('TL11'!$B$3=K$3,SUMIF('TL11'!$C$10:$C$224,$C17,'TL11'!$J$10:$J$224),0),
IF('TL11'!$B$229=K$3,SUMIF('TL11'!$C$238:$C$451,$C17,'TL11'!$J$238:$J$451),0),
IF('TL12'!$B$3=K$3,SUMIF('TL12'!$C$10:$C$224,$C17,'TL12'!$J$10:$J$224),0),
IF('TL12'!$B$229=K$3,SUMIF('TL12'!$C$238:$C$451,$C17,'TL12'!$J$238:$J$451),0),
IF('TL13'!$B$3=K$3,SUMIF('TL13'!$C$10:$C$224,$C17,'TL13'!$J$10:$J$224),0),
IF('TL13'!$B$229=K$3,SUMIF('TL13'!$C$238:$C$451,$C17,'TL13'!$J$238:$J$451),0),
IF('TL14'!$B$3=K$3,SUMIF('TL14'!$C$10:$C$224,$C17,'TL14'!$J$10:$J$224),0),
IF('TL14'!$B$229=K$3,SUMIF('TL14'!$C$238:$C$451,$C17,'TL14'!$J$238:$J$451),0),
IF('TL15'!$B$3=K$3,SUMIF('TL15'!$C$10:$C$224,$C17,'TL15'!$J$10:$J$224),0),
IF('TL15'!$B$229=K$3,SUMIF('TL15'!$C$238:$C$451,$C17,'TL15'!$J$238:$J$451),0),
IF('TL16'!$B$3=K$3,SUMIF('TL16'!$C$10:$C$224,$C17,'TL16'!$J$10:$J$224),0),
IF('TL16'!$B$229=K$3,SUMIF('TL16'!$C$238:$C$451,$C17,'TL16'!$J$238:$J$451),0),
IF('TL17'!$B$3=K$3,SUMIF('TL17'!$C$10:$C$224,$C17,'TL17'!$J$10:$J$224),0),
IF('TL17'!$B$229=K$3,SUMIF('TL17'!$C$238:$C$451,$C17,'TL17'!$J$238:$J$451),0),
IF('TL18'!$B$3=K$3,SUMIF('TL18'!$C$10:$C$224,$C17,'TL18'!$J$10:$J$224),0),
IF('TL18'!$B$229=K$3,SUMIF('TL18'!$C$238:$C$451,$C17,'TL18'!$J$238:$J$451),0),
IF('TL19'!$B$3=K$3,SUMIF('TL19'!$C$10:$C$224,$C17,'TL19'!$J$10:$J$224),0),
IF('TL19'!$B$229=K$3,SUMIF('TL19'!$C$238:$C$451,$C17,'TL19'!$J$238:$J$451),0)
),0)</f>
        <v>0</v>
      </c>
      <c r="L17" s="9">
        <f>IFERROR(SUM(
IF('TL01'!$B$3=L$3,SUMIF('TL01'!$C$10:$C$224,$C17,'TL01'!$J$10:$J$224),0),
IF('TL01'!$B$229=L$3,SUMIF('TL01'!$C$238:$C$451,$C17,'TL01'!$J$238:$J$451),0),
IF('TL02'!$B$3=L$3,SUMIF('TL02'!$C$10:$C$224,$C17,'TL02'!$J$10:$J$224),0),
IF('TL02'!$B$229=L$3,SUMIF('TL02'!$C$238:$C$451,$C17,'TL02'!$J$238:$J$451),0),
IF('TL03'!$B$3=L$3,SUMIF('TL03'!$C$10:$C$224,$C17,'TL03'!$J$10:$J$224),0),
IF('TL03'!$B$229=L$3,SUMIF('TL03'!$C$238:$C$451,$C17,'TL03'!$J$238:$J$451),0),
IF('TL04'!$B$3=L$3,SUMIF('TL04'!$C$10:$C$224,$C17,'TL04'!$J$10:$J$224),0),
IF('TL04'!$B$229=L$3,SUMIF('TL04'!$C$238:$C$451,$C17,'TL04'!$J$238:$J$451),0),
IF('TL05'!$B$3=L$3,SUMIF('TL05'!$C$10:$C$224,$C17,'TL05'!$J$10:$J$224),0),
IF('TL05'!$B$229=L$3,SUMIF('TL05'!$C$238:$C$451,$C17,'TL05'!$J$238:$J$451),0),
IF('TL06'!$B$3=L$3,SUMIF('TL06'!$C$10:$C$224,$C17,'TL06'!$J$10:$J$224),0),
IF('TL06'!$B$229=L$3,SUMIF('TL06'!$C$238:$C$451,$C17,'TL06'!$J$238:$J$451),0),
IF('TL07'!$B$3=L$3,SUMIF('TL07'!$C$10:$C$224,$C17,'TL07'!$J$10:$J$224),0),
IF('TL07'!$B$229=L$3,SUMIF('TL07'!$C$238:$C$451,$C17,'TL07'!$J$238:$J$451),0),
IF('TL08'!$B$3=L$3,SUMIF('TL08'!$C$10:$C$224,$C17,'TL08'!$J$10:$J$224),0),
IF('TL08'!$B$229=L$3,SUMIF('TL08'!$C$238:$C$451,$C17,'TL08'!$J$238:$J$451),0),
IF('TL09'!$B$3=L$3,SUMIF('TL09'!$C$10:$C$224,$C17,'TL09'!$J$10:$J$224),0),
IF('TL09'!$B$229=L$3,SUMIF('TL09'!$C$238:$C$451,$C17,'TL09'!$J$238:$J$451),0),
IF('TL10'!$B$3=L$3,SUMIF('TL10'!$C$10:$C$224,$C17,'TL10'!$J$10:$J$224),0),
IF('TL10'!$B$229=L$3,SUMIF('TL10'!$C$238:$C$451,$C17,'TL10'!$J$238:$J$451),0),
IF('TL11'!$B$3=L$3,SUMIF('TL11'!$C$10:$C$224,$C17,'TL11'!$J$10:$J$224),0),
IF('TL11'!$B$229=L$3,SUMIF('TL11'!$C$238:$C$451,$C17,'TL11'!$J$238:$J$451),0),
IF('TL12'!$B$3=L$3,SUMIF('TL12'!$C$10:$C$224,$C17,'TL12'!$J$10:$J$224),0),
IF('TL12'!$B$229=L$3,SUMIF('TL12'!$C$238:$C$451,$C17,'TL12'!$J$238:$J$451),0),
IF('TL13'!$B$3=L$3,SUMIF('TL13'!$C$10:$C$224,$C17,'TL13'!$J$10:$J$224),0),
IF('TL13'!$B$229=L$3,SUMIF('TL13'!$C$238:$C$451,$C17,'TL13'!$J$238:$J$451),0),
IF('TL14'!$B$3=L$3,SUMIF('TL14'!$C$10:$C$224,$C17,'TL14'!$J$10:$J$224),0),
IF('TL14'!$B$229=L$3,SUMIF('TL14'!$C$238:$C$451,$C17,'TL14'!$J$238:$J$451),0),
IF('TL15'!$B$3=L$3,SUMIF('TL15'!$C$10:$C$224,$C17,'TL15'!$J$10:$J$224),0),
IF('TL15'!$B$229=L$3,SUMIF('TL15'!$C$238:$C$451,$C17,'TL15'!$J$238:$J$451),0),
IF('TL16'!$B$3=L$3,SUMIF('TL16'!$C$10:$C$224,$C17,'TL16'!$J$10:$J$224),0),
IF('TL16'!$B$229=L$3,SUMIF('TL16'!$C$238:$C$451,$C17,'TL16'!$J$238:$J$451),0),
IF('TL17'!$B$3=L$3,SUMIF('TL17'!$C$10:$C$224,$C17,'TL17'!$J$10:$J$224),0),
IF('TL17'!$B$229=L$3,SUMIF('TL17'!$C$238:$C$451,$C17,'TL17'!$J$238:$J$451),0),
IF('TL18'!$B$3=L$3,SUMIF('TL18'!$C$10:$C$224,$C17,'TL18'!$J$10:$J$224),0),
IF('TL18'!$B$229=L$3,SUMIF('TL18'!$C$238:$C$451,$C17,'TL18'!$J$238:$J$451),0),
IF('TL19'!$B$3=L$3,SUMIF('TL19'!$C$10:$C$224,$C17,'TL19'!$J$10:$J$224),0),
IF('TL19'!$B$229=L$3,SUMIF('TL19'!$C$238:$C$451,$C17,'TL19'!$J$238:$J$451),0)
),0)</f>
        <v>0</v>
      </c>
      <c r="M17" s="9">
        <f>IFERROR(SUM(
IF('TL01'!$B$3=M$3,SUMIF('TL01'!$C$10:$C$224,$C17,'TL01'!$J$10:$J$224),0),
IF('TL01'!$B$229=M$3,SUMIF('TL01'!$C$238:$C$451,$C17,'TL01'!$J$238:$J$451),0),
IF('TL02'!$B$3=M$3,SUMIF('TL02'!$C$10:$C$224,$C17,'TL02'!$J$10:$J$224),0),
IF('TL02'!$B$229=M$3,SUMIF('TL02'!$C$238:$C$451,$C17,'TL02'!$J$238:$J$451),0),
IF('TL03'!$B$3=M$3,SUMIF('TL03'!$C$10:$C$224,$C17,'TL03'!$J$10:$J$224),0),
IF('TL03'!$B$229=M$3,SUMIF('TL03'!$C$238:$C$451,$C17,'TL03'!$J$238:$J$451),0),
IF('TL04'!$B$3=M$3,SUMIF('TL04'!$C$10:$C$224,$C17,'TL04'!$J$10:$J$224),0),
IF('TL04'!$B$229=M$3,SUMIF('TL04'!$C$238:$C$451,$C17,'TL04'!$J$238:$J$451),0),
IF('TL05'!$B$3=M$3,SUMIF('TL05'!$C$10:$C$224,$C17,'TL05'!$J$10:$J$224),0),
IF('TL05'!$B$229=M$3,SUMIF('TL05'!$C$238:$C$451,$C17,'TL05'!$J$238:$J$451),0),
IF('TL06'!$B$3=M$3,SUMIF('TL06'!$C$10:$C$224,$C17,'TL06'!$J$10:$J$224),0),
IF('TL06'!$B$229=M$3,SUMIF('TL06'!$C$238:$C$451,$C17,'TL06'!$J$238:$J$451),0),
IF('TL07'!$B$3=M$3,SUMIF('TL07'!$C$10:$C$224,$C17,'TL07'!$J$10:$J$224),0),
IF('TL07'!$B$229=M$3,SUMIF('TL07'!$C$238:$C$451,$C17,'TL07'!$J$238:$J$451),0),
IF('TL08'!$B$3=M$3,SUMIF('TL08'!$C$10:$C$224,$C17,'TL08'!$J$10:$J$224),0),
IF('TL08'!$B$229=M$3,SUMIF('TL08'!$C$238:$C$451,$C17,'TL08'!$J$238:$J$451),0),
IF('TL09'!$B$3=M$3,SUMIF('TL09'!$C$10:$C$224,$C17,'TL09'!$J$10:$J$224),0),
IF('TL09'!$B$229=M$3,SUMIF('TL09'!$C$238:$C$451,$C17,'TL09'!$J$238:$J$451),0),
IF('TL10'!$B$3=M$3,SUMIF('TL10'!$C$10:$C$224,$C17,'TL10'!$J$10:$J$224),0),
IF('TL10'!$B$229=M$3,SUMIF('TL10'!$C$238:$C$451,$C17,'TL10'!$J$238:$J$451),0),
IF('TL11'!$B$3=M$3,SUMIF('TL11'!$C$10:$C$224,$C17,'TL11'!$J$10:$J$224),0),
IF('TL11'!$B$229=M$3,SUMIF('TL11'!$C$238:$C$451,$C17,'TL11'!$J$238:$J$451),0),
IF('TL12'!$B$3=M$3,SUMIF('TL12'!$C$10:$C$224,$C17,'TL12'!$J$10:$J$224),0),
IF('TL12'!$B$229=M$3,SUMIF('TL12'!$C$238:$C$451,$C17,'TL12'!$J$238:$J$451),0),
IF('TL13'!$B$3=M$3,SUMIF('TL13'!$C$10:$C$224,$C17,'TL13'!$J$10:$J$224),0),
IF('TL13'!$B$229=M$3,SUMIF('TL13'!$C$238:$C$451,$C17,'TL13'!$J$238:$J$451),0),
IF('TL14'!$B$3=M$3,SUMIF('TL14'!$C$10:$C$224,$C17,'TL14'!$J$10:$J$224),0),
IF('TL14'!$B$229=M$3,SUMIF('TL14'!$C$238:$C$451,$C17,'TL14'!$J$238:$J$451),0),
IF('TL15'!$B$3=M$3,SUMIF('TL15'!$C$10:$C$224,$C17,'TL15'!$J$10:$J$224),0),
IF('TL15'!$B$229=M$3,SUMIF('TL15'!$C$238:$C$451,$C17,'TL15'!$J$238:$J$451),0),
IF('TL16'!$B$3=M$3,SUMIF('TL16'!$C$10:$C$224,$C17,'TL16'!$J$10:$J$224),0),
IF('TL16'!$B$229=M$3,SUMIF('TL16'!$C$238:$C$451,$C17,'TL16'!$J$238:$J$451),0),
IF('TL17'!$B$3=M$3,SUMIF('TL17'!$C$10:$C$224,$C17,'TL17'!$J$10:$J$224),0),
IF('TL17'!$B$229=M$3,SUMIF('TL17'!$C$238:$C$451,$C17,'TL17'!$J$238:$J$451),0),
IF('TL18'!$B$3=M$3,SUMIF('TL18'!$C$10:$C$224,$C17,'TL18'!$J$10:$J$224),0),
IF('TL18'!$B$229=M$3,SUMIF('TL18'!$C$238:$C$451,$C17,'TL18'!$J$238:$J$451),0),
IF('TL19'!$B$3=M$3,SUMIF('TL19'!$C$10:$C$224,$C17,'TL19'!$J$10:$J$224),0),
IF('TL19'!$B$229=M$3,SUMIF('TL19'!$C$238:$C$451,$C17,'TL19'!$J$238:$J$451),0)
),0)</f>
        <v>0</v>
      </c>
      <c r="N17" s="9">
        <f>IFERROR(SUM(
IF('TL01'!$B$3=N$3,SUMIF('TL01'!$C$10:$C$224,$C17,'TL01'!$J$10:$J$224),0),
IF('TL01'!$B$229=N$3,SUMIF('TL01'!$C$238:$C$451,$C17,'TL01'!$J$238:$J$451),0),
IF('TL02'!$B$3=N$3,SUMIF('TL02'!$C$10:$C$224,$C17,'TL02'!$J$10:$J$224),0),
IF('TL02'!$B$229=N$3,SUMIF('TL02'!$C$238:$C$451,$C17,'TL02'!$J$238:$J$451),0),
IF('TL03'!$B$3=N$3,SUMIF('TL03'!$C$10:$C$224,$C17,'TL03'!$J$10:$J$224),0),
IF('TL03'!$B$229=N$3,SUMIF('TL03'!$C$238:$C$451,$C17,'TL03'!$J$238:$J$451),0),
IF('TL04'!$B$3=N$3,SUMIF('TL04'!$C$10:$C$224,$C17,'TL04'!$J$10:$J$224),0),
IF('TL04'!$B$229=N$3,SUMIF('TL04'!$C$238:$C$451,$C17,'TL04'!$J$238:$J$451),0),
IF('TL05'!$B$3=N$3,SUMIF('TL05'!$C$10:$C$224,$C17,'TL05'!$J$10:$J$224),0),
IF('TL05'!$B$229=N$3,SUMIF('TL05'!$C$238:$C$451,$C17,'TL05'!$J$238:$J$451),0),
IF('TL06'!$B$3=N$3,SUMIF('TL06'!$C$10:$C$224,$C17,'TL06'!$J$10:$J$224),0),
IF('TL06'!$B$229=N$3,SUMIF('TL06'!$C$238:$C$451,$C17,'TL06'!$J$238:$J$451),0),
IF('TL07'!$B$3=N$3,SUMIF('TL07'!$C$10:$C$224,$C17,'TL07'!$J$10:$J$224),0),
IF('TL07'!$B$229=N$3,SUMIF('TL07'!$C$238:$C$451,$C17,'TL07'!$J$238:$J$451),0),
IF('TL08'!$B$3=N$3,SUMIF('TL08'!$C$10:$C$224,$C17,'TL08'!$J$10:$J$224),0),
IF('TL08'!$B$229=N$3,SUMIF('TL08'!$C$238:$C$451,$C17,'TL08'!$J$238:$J$451),0),
IF('TL09'!$B$3=N$3,SUMIF('TL09'!$C$10:$C$224,$C17,'TL09'!$J$10:$J$224),0),
IF('TL09'!$B$229=N$3,SUMIF('TL09'!$C$238:$C$451,$C17,'TL09'!$J$238:$J$451),0),
IF('TL10'!$B$3=N$3,SUMIF('TL10'!$C$10:$C$224,$C17,'TL10'!$J$10:$J$224),0),
IF('TL10'!$B$229=N$3,SUMIF('TL10'!$C$238:$C$451,$C17,'TL10'!$J$238:$J$451),0),
IF('TL11'!$B$3=N$3,SUMIF('TL11'!$C$10:$C$224,$C17,'TL11'!$J$10:$J$224),0),
IF('TL11'!$B$229=N$3,SUMIF('TL11'!$C$238:$C$451,$C17,'TL11'!$J$238:$J$451),0),
IF('TL12'!$B$3=N$3,SUMIF('TL12'!$C$10:$C$224,$C17,'TL12'!$J$10:$J$224),0),
IF('TL12'!$B$229=N$3,SUMIF('TL12'!$C$238:$C$451,$C17,'TL12'!$J$238:$J$451),0),
IF('TL13'!$B$3=N$3,SUMIF('TL13'!$C$10:$C$224,$C17,'TL13'!$J$10:$J$224),0),
IF('TL13'!$B$229=N$3,SUMIF('TL13'!$C$238:$C$451,$C17,'TL13'!$J$238:$J$451),0),
IF('TL14'!$B$3=N$3,SUMIF('TL14'!$C$10:$C$224,$C17,'TL14'!$J$10:$J$224),0),
IF('TL14'!$B$229=N$3,SUMIF('TL14'!$C$238:$C$451,$C17,'TL14'!$J$238:$J$451),0),
IF('TL15'!$B$3=N$3,SUMIF('TL15'!$C$10:$C$224,$C17,'TL15'!$J$10:$J$224),0),
IF('TL15'!$B$229=N$3,SUMIF('TL15'!$C$238:$C$451,$C17,'TL15'!$J$238:$J$451),0),
IF('TL16'!$B$3=N$3,SUMIF('TL16'!$C$10:$C$224,$C17,'TL16'!$J$10:$J$224),0),
IF('TL16'!$B$229=N$3,SUMIF('TL16'!$C$238:$C$451,$C17,'TL16'!$J$238:$J$451),0),
IF('TL17'!$B$3=N$3,SUMIF('TL17'!$C$10:$C$224,$C17,'TL17'!$J$10:$J$224),0),
IF('TL17'!$B$229=N$3,SUMIF('TL17'!$C$238:$C$451,$C17,'TL17'!$J$238:$J$451),0),
IF('TL18'!$B$3=N$3,SUMIF('TL18'!$C$10:$C$224,$C17,'TL18'!$J$10:$J$224),0),
IF('TL18'!$B$229=N$3,SUMIF('TL18'!$C$238:$C$451,$C17,'TL18'!$J$238:$J$451),0),
IF('TL19'!$B$3=N$3,SUMIF('TL19'!$C$10:$C$224,$C17,'TL19'!$J$10:$J$224),0),
IF('TL19'!$B$229=N$3,SUMIF('TL19'!$C$238:$C$451,$C17,'TL19'!$J$238:$J$451),0)
),0)</f>
        <v>0</v>
      </c>
      <c r="O17" s="9">
        <f>IFERROR(SUM(
IF('TL01'!$B$3=O$3,SUMIF('TL01'!$C$10:$C$224,$C17,'TL01'!$J$10:$J$224),0),
IF('TL01'!$B$229=O$3,SUMIF('TL01'!$C$238:$C$451,$C17,'TL01'!$J$238:$J$451),0),
IF('TL02'!$B$3=O$3,SUMIF('TL02'!$C$10:$C$224,$C17,'TL02'!$J$10:$J$224),0),
IF('TL02'!$B$229=O$3,SUMIF('TL02'!$C$238:$C$451,$C17,'TL02'!$J$238:$J$451),0),
IF('TL03'!$B$3=O$3,SUMIF('TL03'!$C$10:$C$224,$C17,'TL03'!$J$10:$J$224),0),
IF('TL03'!$B$229=O$3,SUMIF('TL03'!$C$238:$C$451,$C17,'TL03'!$J$238:$J$451),0),
IF('TL04'!$B$3=O$3,SUMIF('TL04'!$C$10:$C$224,$C17,'TL04'!$J$10:$J$224),0),
IF('TL04'!$B$229=O$3,SUMIF('TL04'!$C$238:$C$451,$C17,'TL04'!$J$238:$J$451),0),
IF('TL05'!$B$3=O$3,SUMIF('TL05'!$C$10:$C$224,$C17,'TL05'!$J$10:$J$224),0),
IF('TL05'!$B$229=O$3,SUMIF('TL05'!$C$238:$C$451,$C17,'TL05'!$J$238:$J$451),0),
IF('TL06'!$B$3=O$3,SUMIF('TL06'!$C$10:$C$224,$C17,'TL06'!$J$10:$J$224),0),
IF('TL06'!$B$229=O$3,SUMIF('TL06'!$C$238:$C$451,$C17,'TL06'!$J$238:$J$451),0),
IF('TL07'!$B$3=O$3,SUMIF('TL07'!$C$10:$C$224,$C17,'TL07'!$J$10:$J$224),0),
IF('TL07'!$B$229=O$3,SUMIF('TL07'!$C$238:$C$451,$C17,'TL07'!$J$238:$J$451),0),
IF('TL08'!$B$3=O$3,SUMIF('TL08'!$C$10:$C$224,$C17,'TL08'!$J$10:$J$224),0),
IF('TL08'!$B$229=O$3,SUMIF('TL08'!$C$238:$C$451,$C17,'TL08'!$J$238:$J$451),0),
IF('TL09'!$B$3=O$3,SUMIF('TL09'!$C$10:$C$224,$C17,'TL09'!$J$10:$J$224),0),
IF('TL09'!$B$229=O$3,SUMIF('TL09'!$C$238:$C$451,$C17,'TL09'!$J$238:$J$451),0),
IF('TL10'!$B$3=O$3,SUMIF('TL10'!$C$10:$C$224,$C17,'TL10'!$J$10:$J$224),0),
IF('TL10'!$B$229=O$3,SUMIF('TL10'!$C$238:$C$451,$C17,'TL10'!$J$238:$J$451),0),
IF('TL11'!$B$3=O$3,SUMIF('TL11'!$C$10:$C$224,$C17,'TL11'!$J$10:$J$224),0),
IF('TL11'!$B$229=O$3,SUMIF('TL11'!$C$238:$C$451,$C17,'TL11'!$J$238:$J$451),0),
IF('TL12'!$B$3=O$3,SUMIF('TL12'!$C$10:$C$224,$C17,'TL12'!$J$10:$J$224),0),
IF('TL12'!$B$229=O$3,SUMIF('TL12'!$C$238:$C$451,$C17,'TL12'!$J$238:$J$451),0),
IF('TL13'!$B$3=O$3,SUMIF('TL13'!$C$10:$C$224,$C17,'TL13'!$J$10:$J$224),0),
IF('TL13'!$B$229=O$3,SUMIF('TL13'!$C$238:$C$451,$C17,'TL13'!$J$238:$J$451),0),
IF('TL14'!$B$3=O$3,SUMIF('TL14'!$C$10:$C$224,$C17,'TL14'!$J$10:$J$224),0),
IF('TL14'!$B$229=O$3,SUMIF('TL14'!$C$238:$C$451,$C17,'TL14'!$J$238:$J$451),0),
IF('TL15'!$B$3=O$3,SUMIF('TL15'!$C$10:$C$224,$C17,'TL15'!$J$10:$J$224),0),
IF('TL15'!$B$229=O$3,SUMIF('TL15'!$C$238:$C$451,$C17,'TL15'!$J$238:$J$451),0),
IF('TL16'!$B$3=O$3,SUMIF('TL16'!$C$10:$C$224,$C17,'TL16'!$J$10:$J$224),0),
IF('TL16'!$B$229=O$3,SUMIF('TL16'!$C$238:$C$451,$C17,'TL16'!$J$238:$J$451),0),
IF('TL17'!$B$3=O$3,SUMIF('TL17'!$C$10:$C$224,$C17,'TL17'!$J$10:$J$224),0),
IF('TL17'!$B$229=O$3,SUMIF('TL17'!$C$238:$C$451,$C17,'TL17'!$J$238:$J$451),0),
IF('TL18'!$B$3=O$3,SUMIF('TL18'!$C$10:$C$224,$C17,'TL18'!$J$10:$J$224),0),
IF('TL18'!$B$229=O$3,SUMIF('TL18'!$C$238:$C$451,$C17,'TL18'!$J$238:$J$451),0),
IF('TL19'!$B$3=O$3,SUMIF('TL19'!$C$10:$C$224,$C17,'TL19'!$J$10:$J$224),0),
IF('TL19'!$B$229=O$3,SUMIF('TL19'!$C$238:$C$451,$C17,'TL19'!$J$238:$J$451),0)
),0)</f>
        <v>0</v>
      </c>
      <c r="P17" s="9">
        <f>IFERROR(SUM(
IF('TL01'!$B$3=P$3,SUMIF('TL01'!$C$10:$C$224,$C17,'TL01'!$J$10:$J$224),0),
IF('TL01'!$B$229=P$3,SUMIF('TL01'!$C$238:$C$451,$C17,'TL01'!$J$238:$J$451),0),
IF('TL02'!$B$3=P$3,SUMIF('TL02'!$C$10:$C$224,$C17,'TL02'!$J$10:$J$224),0),
IF('TL02'!$B$229=P$3,SUMIF('TL02'!$C$238:$C$451,$C17,'TL02'!$J$238:$J$451),0),
IF('TL03'!$B$3=P$3,SUMIF('TL03'!$C$10:$C$224,$C17,'TL03'!$J$10:$J$224),0),
IF('TL03'!$B$229=P$3,SUMIF('TL03'!$C$238:$C$451,$C17,'TL03'!$J$238:$J$451),0),
IF('TL04'!$B$3=P$3,SUMIF('TL04'!$C$10:$C$224,$C17,'TL04'!$J$10:$J$224),0),
IF('TL04'!$B$229=P$3,SUMIF('TL04'!$C$238:$C$451,$C17,'TL04'!$J$238:$J$451),0),
IF('TL05'!$B$3=P$3,SUMIF('TL05'!$C$10:$C$224,$C17,'TL05'!$J$10:$J$224),0),
IF('TL05'!$B$229=P$3,SUMIF('TL05'!$C$238:$C$451,$C17,'TL05'!$J$238:$J$451),0),
IF('TL06'!$B$3=P$3,SUMIF('TL06'!$C$10:$C$224,$C17,'TL06'!$J$10:$J$224),0),
IF('TL06'!$B$229=P$3,SUMIF('TL06'!$C$238:$C$451,$C17,'TL06'!$J$238:$J$451),0),
IF('TL07'!$B$3=P$3,SUMIF('TL07'!$C$10:$C$224,$C17,'TL07'!$J$10:$J$224),0),
IF('TL07'!$B$229=P$3,SUMIF('TL07'!$C$238:$C$451,$C17,'TL07'!$J$238:$J$451),0),
IF('TL08'!$B$3=P$3,SUMIF('TL08'!$C$10:$C$224,$C17,'TL08'!$J$10:$J$224),0),
IF('TL08'!$B$229=P$3,SUMIF('TL08'!$C$238:$C$451,$C17,'TL08'!$J$238:$J$451),0),
IF('TL09'!$B$3=P$3,SUMIF('TL09'!$C$10:$C$224,$C17,'TL09'!$J$10:$J$224),0),
IF('TL09'!$B$229=P$3,SUMIF('TL09'!$C$238:$C$451,$C17,'TL09'!$J$238:$J$451),0),
IF('TL10'!$B$3=P$3,SUMIF('TL10'!$C$10:$C$224,$C17,'TL10'!$J$10:$J$224),0),
IF('TL10'!$B$229=P$3,SUMIF('TL10'!$C$238:$C$451,$C17,'TL10'!$J$238:$J$451),0),
IF('TL11'!$B$3=P$3,SUMIF('TL11'!$C$10:$C$224,$C17,'TL11'!$J$10:$J$224),0),
IF('TL11'!$B$229=P$3,SUMIF('TL11'!$C$238:$C$451,$C17,'TL11'!$J$238:$J$451),0),
IF('TL12'!$B$3=P$3,SUMIF('TL12'!$C$10:$C$224,$C17,'TL12'!$J$10:$J$224),0),
IF('TL12'!$B$229=P$3,SUMIF('TL12'!$C$238:$C$451,$C17,'TL12'!$J$238:$J$451),0),
IF('TL13'!$B$3=P$3,SUMIF('TL13'!$C$10:$C$224,$C17,'TL13'!$J$10:$J$224),0),
IF('TL13'!$B$229=P$3,SUMIF('TL13'!$C$238:$C$451,$C17,'TL13'!$J$238:$J$451),0),
IF('TL14'!$B$3=P$3,SUMIF('TL14'!$C$10:$C$224,$C17,'TL14'!$J$10:$J$224),0),
IF('TL14'!$B$229=P$3,SUMIF('TL14'!$C$238:$C$451,$C17,'TL14'!$J$238:$J$451),0),
IF('TL15'!$B$3=P$3,SUMIF('TL15'!$C$10:$C$224,$C17,'TL15'!$J$10:$J$224),0),
IF('TL15'!$B$229=P$3,SUMIF('TL15'!$C$238:$C$451,$C17,'TL15'!$J$238:$J$451),0),
IF('TL16'!$B$3=P$3,SUMIF('TL16'!$C$10:$C$224,$C17,'TL16'!$J$10:$J$224),0),
IF('TL16'!$B$229=P$3,SUMIF('TL16'!$C$238:$C$451,$C17,'TL16'!$J$238:$J$451),0),
IF('TL17'!$B$3=P$3,SUMIF('TL17'!$C$10:$C$224,$C17,'TL17'!$J$10:$J$224),0),
IF('TL17'!$B$229=P$3,SUMIF('TL17'!$C$238:$C$451,$C17,'TL17'!$J$238:$J$451),0),
IF('TL18'!$B$3=P$3,SUMIF('TL18'!$C$10:$C$224,$C17,'TL18'!$J$10:$J$224),0),
IF('TL18'!$B$229=P$3,SUMIF('TL18'!$C$238:$C$451,$C17,'TL18'!$J$238:$J$451),0),
IF('TL19'!$B$3=P$3,SUMIF('TL19'!$C$10:$C$224,$C17,'TL19'!$J$10:$J$224),0),
IF('TL19'!$B$229=P$3,SUMIF('TL19'!$C$238:$C$451,$C17,'TL19'!$J$238:$J$451),0)
),0)</f>
        <v>0</v>
      </c>
      <c r="Q17" s="9">
        <f>IFERROR(SUM(
IF('TL01'!$B$3=Q$3,SUMIF('TL01'!$C$10:$C$224,$C17,'TL01'!$J$10:$J$224),0),
IF('TL01'!$B$229=Q$3,SUMIF('TL01'!$C$238:$C$451,$C17,'TL01'!$J$238:$J$451),0),
IF('TL02'!$B$3=Q$3,SUMIF('TL02'!$C$10:$C$224,$C17,'TL02'!$J$10:$J$224),0),
IF('TL02'!$B$229=Q$3,SUMIF('TL02'!$C$238:$C$451,$C17,'TL02'!$J$238:$J$451),0),
IF('TL03'!$B$3=Q$3,SUMIF('TL03'!$C$10:$C$224,$C17,'TL03'!$J$10:$J$224),0),
IF('TL03'!$B$229=Q$3,SUMIF('TL03'!$C$238:$C$451,$C17,'TL03'!$J$238:$J$451),0),
IF('TL04'!$B$3=Q$3,SUMIF('TL04'!$C$10:$C$224,$C17,'TL04'!$J$10:$J$224),0),
IF('TL04'!$B$229=Q$3,SUMIF('TL04'!$C$238:$C$451,$C17,'TL04'!$J$238:$J$451),0),
IF('TL05'!$B$3=Q$3,SUMIF('TL05'!$C$10:$C$224,$C17,'TL05'!$J$10:$J$224),0),
IF('TL05'!$B$229=Q$3,SUMIF('TL05'!$C$238:$C$451,$C17,'TL05'!$J$238:$J$451),0),
IF('TL06'!$B$3=Q$3,SUMIF('TL06'!$C$10:$C$224,$C17,'TL06'!$J$10:$J$224),0),
IF('TL06'!$B$229=Q$3,SUMIF('TL06'!$C$238:$C$451,$C17,'TL06'!$J$238:$J$451),0),
IF('TL07'!$B$3=Q$3,SUMIF('TL07'!$C$10:$C$224,$C17,'TL07'!$J$10:$J$224),0),
IF('TL07'!$B$229=Q$3,SUMIF('TL07'!$C$238:$C$451,$C17,'TL07'!$J$238:$J$451),0),
IF('TL08'!$B$3=Q$3,SUMIF('TL08'!$C$10:$C$224,$C17,'TL08'!$J$10:$J$224),0),
IF('TL08'!$B$229=Q$3,SUMIF('TL08'!$C$238:$C$451,$C17,'TL08'!$J$238:$J$451),0),
IF('TL09'!$B$3=Q$3,SUMIF('TL09'!$C$10:$C$224,$C17,'TL09'!$J$10:$J$224),0),
IF('TL09'!$B$229=Q$3,SUMIF('TL09'!$C$238:$C$451,$C17,'TL09'!$J$238:$J$451),0),
IF('TL10'!$B$3=Q$3,SUMIF('TL10'!$C$10:$C$224,$C17,'TL10'!$J$10:$J$224),0),
IF('TL10'!$B$229=Q$3,SUMIF('TL10'!$C$238:$C$451,$C17,'TL10'!$J$238:$J$451),0),
IF('TL11'!$B$3=Q$3,SUMIF('TL11'!$C$10:$C$224,$C17,'TL11'!$J$10:$J$224),0),
IF('TL11'!$B$229=Q$3,SUMIF('TL11'!$C$238:$C$451,$C17,'TL11'!$J$238:$J$451),0),
IF('TL12'!$B$3=Q$3,SUMIF('TL12'!$C$10:$C$224,$C17,'TL12'!$J$10:$J$224),0),
IF('TL12'!$B$229=Q$3,SUMIF('TL12'!$C$238:$C$451,$C17,'TL12'!$J$238:$J$451),0),
IF('TL13'!$B$3=Q$3,SUMIF('TL13'!$C$10:$C$224,$C17,'TL13'!$J$10:$J$224),0),
IF('TL13'!$B$229=Q$3,SUMIF('TL13'!$C$238:$C$451,$C17,'TL13'!$J$238:$J$451),0),
IF('TL14'!$B$3=Q$3,SUMIF('TL14'!$C$10:$C$224,$C17,'TL14'!$J$10:$J$224),0),
IF('TL14'!$B$229=Q$3,SUMIF('TL14'!$C$238:$C$451,$C17,'TL14'!$J$238:$J$451),0),
IF('TL15'!$B$3=Q$3,SUMIF('TL15'!$C$10:$C$224,$C17,'TL15'!$J$10:$J$224),0),
IF('TL15'!$B$229=Q$3,SUMIF('TL15'!$C$238:$C$451,$C17,'TL15'!$J$238:$J$451),0),
IF('TL16'!$B$3=Q$3,SUMIF('TL16'!$C$10:$C$224,$C17,'TL16'!$J$10:$J$224),0),
IF('TL16'!$B$229=Q$3,SUMIF('TL16'!$C$238:$C$451,$C17,'TL16'!$J$238:$J$451),0),
IF('TL17'!$B$3=Q$3,SUMIF('TL17'!$C$10:$C$224,$C17,'TL17'!$J$10:$J$224),0),
IF('TL17'!$B$229=Q$3,SUMIF('TL17'!$C$238:$C$451,$C17,'TL17'!$J$238:$J$451),0),
IF('TL18'!$B$3=Q$3,SUMIF('TL18'!$C$10:$C$224,$C17,'TL18'!$J$10:$J$224),0),
IF('TL18'!$B$229=Q$3,SUMIF('TL18'!$C$238:$C$451,$C17,'TL18'!$J$238:$J$451),0),
IF('TL19'!$B$3=Q$3,SUMIF('TL19'!$C$10:$C$224,$C17,'TL19'!$J$10:$J$224),0),
IF('TL19'!$B$229=Q$3,SUMIF('TL19'!$C$238:$C$451,$C17,'TL19'!$J$238:$J$451),0)
),0)</f>
        <v>0</v>
      </c>
      <c r="R17" s="9">
        <f>IFERROR(
SUM(
SUMIF('TL01'!C:C,C17,'TL01'!J:J),
SUMIF('TL02'!C:C,C17,'TL02'!J:J),
SUMIF('TL03'!C:C,C17,'TL03'!J:J),
SUMIF('TL04'!C:C,C17,'TL04'!J:J),
SUMIF('TL05'!C:C,C17,'TL05'!J:J),
SUMIF('TL06'!C:C,C17,'TL06'!J:J),
SUMIF('TL07'!C:C,C17,'TL07'!J:J),
SUMIF('TL08'!C:C,C17,'TL08'!J:J),
SUMIF('TL09'!C:C,C17,'TL09'!J:J),
SUMIF('TL10'!C:C,C17,'TL10'!J:J),
SUMIF('TL11'!C:C,C17,'TL11'!J:J),
SUMIF('TL12'!C:C,C17,'TL12'!J:J),
SUMIF('TL13'!C:C,C17,'TL13'!J:J),
SUMIF('TL14'!C:C,C17,'TL14'!J:J),
SUMIF('TL15'!C:C,C17,'TL15'!J:J),
SUMIF('TL16'!C:C,C17,'TL16'!J:J),
SUMIF('TL17'!C:C,C17,'TL17'!J:J),
SUMIF('TL18'!C:C,C17,'TL18'!J:J),SUMIF('TL19'!C:C,C17,'TL19'!J:J))
,0)</f>
        <v>0</v>
      </c>
      <c r="S17" s="17">
        <f>IFERROR(__xludf.DUMMYFUNCTION("IFERROR(VLOOKUP(C17,
IMPORTRANGE(""1wULbzX32WdYsx-lj2U3uUNBBe2INVIRDtcK0d-Dvl90"",
""26-27!C:G""),
5,
FALSE),
"""")"),72.21456)</f>
        <v>72.21456</v>
      </c>
      <c r="T17" s="9"/>
      <c r="U17" s="92">
        <f t="shared" si="2"/>
        <v>0</v>
      </c>
      <c r="V17" s="93">
        <f t="shared" si="3"/>
        <v>0</v>
      </c>
    </row>
    <row r="18" ht="22.5" hidden="1" customHeight="1">
      <c r="A18" s="87" t="s">
        <v>358</v>
      </c>
      <c r="B18" s="100" t="s">
        <v>3</v>
      </c>
      <c r="C18" s="89" t="s">
        <v>383</v>
      </c>
      <c r="D18" s="89" t="s">
        <v>384</v>
      </c>
      <c r="E18" s="89" t="s">
        <v>385</v>
      </c>
      <c r="F18" s="4" t="s">
        <v>343</v>
      </c>
      <c r="G18" s="90" t="str">
        <f t="shared" si="1"/>
        <v>📄 Ver bula</v>
      </c>
      <c r="H18" s="9">
        <f>IFERROR(__xludf.DUMMYFUNCTION("IFERROR(VLOOKUP(C18,
IMPORTRANGE(""1wULbzX32WdYsx-lj2U3uUNBBe2INVIRDtcK0d-Dvl90"",
""26-27!C:K""),
8,
FALSE),
"""")"),1.0)</f>
        <v>1</v>
      </c>
      <c r="I18" s="91" t="s">
        <v>382</v>
      </c>
      <c r="J18" s="9">
        <f>IFERROR(SUM(
IF('TL01'!$B$3=J$3,SUMIF('TL01'!$C$10:$C$224,$C18,'TL01'!$J$10:$J$224),0),
IF('TL01'!$B$229=J$3,SUMIF('TL01'!$C$238:$C$451,$C18,'TL01'!$J$238:$J$451),0),
IF('TL02'!$B$3=J$3,SUMIF('TL02'!$C$10:$C$224,$C18,'TL02'!$J$10:$J$224),0),
IF('TL02'!$B$229=J$3,SUMIF('TL02'!$C$238:$C$451,$C18,'TL02'!$J$238:$J$451),0),
IF('TL03'!$B$3=J$3,SUMIF('TL03'!$C$10:$C$224,$C18,'TL03'!$J$10:$J$224),0),
IF('TL03'!$B$229=J$3,SUMIF('TL03'!$C$238:$C$451,$C18,'TL03'!$J$238:$J$451),0),
IF('TL04'!$B$3=J$3,SUMIF('TL04'!$C$10:$C$224,$C18,'TL04'!$J$10:$J$224),0),
IF('TL04'!$B$229=J$3,SUMIF('TL04'!$C$238:$C$451,$C18,'TL04'!$J$238:$J$451),0),
IF('TL05'!$B$3=J$3,SUMIF('TL05'!$C$10:$C$224,$C18,'TL05'!$J$10:$J$224),0),
IF('TL05'!$B$229=J$3,SUMIF('TL05'!$C$238:$C$451,$C18,'TL05'!$J$238:$J$451),0),
IF('TL06'!$B$3=J$3,SUMIF('TL06'!$C$10:$C$224,$C18,'TL06'!$J$10:$J$224),0),
IF('TL06'!$B$229=J$3,SUMIF('TL06'!$C$238:$C$451,$C18,'TL06'!$J$238:$J$451),0),
IF('TL07'!$B$3=J$3,SUMIF('TL07'!$C$10:$C$224,$C18,'TL07'!$J$10:$J$224),0),
IF('TL07'!$B$229=J$3,SUMIF('TL07'!$C$238:$C$451,$C18,'TL07'!$J$238:$J$451),0),
IF('TL08'!$B$3=J$3,SUMIF('TL08'!$C$10:$C$224,$C18,'TL08'!$J$10:$J$224),0),
IF('TL08'!$B$229=J$3,SUMIF('TL08'!$C$238:$C$451,$C18,'TL08'!$J$238:$J$451),0),
IF('TL09'!$B$3=J$3,SUMIF('TL09'!$C$10:$C$224,$C18,'TL09'!$J$10:$J$224),0),
IF('TL09'!$B$229=J$3,SUMIF('TL09'!$C$238:$C$451,$C18,'TL09'!$J$238:$J$451),0),
IF('TL10'!$B$3=J$3,SUMIF('TL10'!$C$10:$C$224,$C18,'TL10'!$J$10:$J$224),0),
IF('TL10'!$B$229=J$3,SUMIF('TL10'!$C$238:$C$451,$C18,'TL10'!$J$238:$J$451),0),
IF('TL11'!$B$3=J$3,SUMIF('TL11'!$C$10:$C$224,$C18,'TL11'!$J$10:$J$224),0),
IF('TL11'!$B$229=J$3,SUMIF('TL11'!$C$238:$C$451,$C18,'TL11'!$J$238:$J$451),0),
IF('TL12'!$B$3=J$3,SUMIF('TL12'!$C$10:$C$224,$C18,'TL12'!$J$10:$J$224),0),
IF('TL12'!$B$229=J$3,SUMIF('TL12'!$C$238:$C$451,$C18,'TL12'!$J$238:$J$451),0),
IF('TL13'!$B$3=J$3,SUMIF('TL13'!$C$10:$C$224,$C18,'TL13'!$J$10:$J$224),0),
IF('TL13'!$B$229=J$3,SUMIF('TL13'!$C$238:$C$451,$C18,'TL13'!$J$238:$J$451),0),
IF('TL14'!$B$3=J$3,SUMIF('TL14'!$C$10:$C$224,$C18,'TL14'!$J$10:$J$224),0),
IF('TL14'!$B$229=J$3,SUMIF('TL14'!$C$238:$C$451,$C18,'TL14'!$J$238:$J$451),0),
IF('TL15'!$B$3=J$3,SUMIF('TL15'!$C$10:$C$224,$C18,'TL15'!$J$10:$J$224),0),
IF('TL15'!$B$229=J$3,SUMIF('TL15'!$C$238:$C$451,$C18,'TL15'!$J$238:$J$451),0),
IF('TL16'!$B$3=J$3,SUMIF('TL16'!$C$10:$C$224,$C18,'TL16'!$J$10:$J$224),0),
IF('TL16'!$B$229=J$3,SUMIF('TL16'!$C$238:$C$451,$C18,'TL16'!$J$238:$J$451),0),
IF('TL17'!$B$3=J$3,SUMIF('TL17'!$C$10:$C$224,$C18,'TL17'!$J$10:$J$224),0),
IF('TL17'!$B$229=J$3,SUMIF('TL17'!$C$238:$C$451,$C18,'TL17'!$J$238:$J$451),0),
IF('TL18'!$B$3=J$3,SUMIF('TL18'!$C$10:$C$224,$C18,'TL18'!$J$10:$J$224),0),
IF('TL18'!$B$229=J$3,SUMIF('TL18'!$C$238:$C$451,$C18,'TL18'!$J$238:$J$451),0),
IF('TL19'!$B$3=J$3,SUMIF('TL19'!$C$10:$C$224,$C18,'TL19'!$J$10:$J$224),0),
IF('TL19'!$B$229=J$3,SUMIF('TL19'!$C$238:$C$451,$C18,'TL19'!$J$238:$J$451),0)
),0)</f>
        <v>0</v>
      </c>
      <c r="K18" s="9">
        <f>IFERROR(SUM(
IF('TL01'!$B$3=K$3,SUMIF('TL01'!$C$10:$C$224,$C18,'TL01'!$J$10:$J$224),0),
IF('TL01'!$B$229=K$3,SUMIF('TL01'!$C$238:$C$451,$C18,'TL01'!$J$238:$J$451),0),
IF('TL02'!$B$3=K$3,SUMIF('TL02'!$C$10:$C$224,$C18,'TL02'!$J$10:$J$224),0),
IF('TL02'!$B$229=K$3,SUMIF('TL02'!$C$238:$C$451,$C18,'TL02'!$J$238:$J$451),0),
IF('TL03'!$B$3=K$3,SUMIF('TL03'!$C$10:$C$224,$C18,'TL03'!$J$10:$J$224),0),
IF('TL03'!$B$229=K$3,SUMIF('TL03'!$C$238:$C$451,$C18,'TL03'!$J$238:$J$451),0),
IF('TL04'!$B$3=K$3,SUMIF('TL04'!$C$10:$C$224,$C18,'TL04'!$J$10:$J$224),0),
IF('TL04'!$B$229=K$3,SUMIF('TL04'!$C$238:$C$451,$C18,'TL04'!$J$238:$J$451),0),
IF('TL05'!$B$3=K$3,SUMIF('TL05'!$C$10:$C$224,$C18,'TL05'!$J$10:$J$224),0),
IF('TL05'!$B$229=K$3,SUMIF('TL05'!$C$238:$C$451,$C18,'TL05'!$J$238:$J$451),0),
IF('TL06'!$B$3=K$3,SUMIF('TL06'!$C$10:$C$224,$C18,'TL06'!$J$10:$J$224),0),
IF('TL06'!$B$229=K$3,SUMIF('TL06'!$C$238:$C$451,$C18,'TL06'!$J$238:$J$451),0),
IF('TL07'!$B$3=K$3,SUMIF('TL07'!$C$10:$C$224,$C18,'TL07'!$J$10:$J$224),0),
IF('TL07'!$B$229=K$3,SUMIF('TL07'!$C$238:$C$451,$C18,'TL07'!$J$238:$J$451),0),
IF('TL08'!$B$3=K$3,SUMIF('TL08'!$C$10:$C$224,$C18,'TL08'!$J$10:$J$224),0),
IF('TL08'!$B$229=K$3,SUMIF('TL08'!$C$238:$C$451,$C18,'TL08'!$J$238:$J$451),0),
IF('TL09'!$B$3=K$3,SUMIF('TL09'!$C$10:$C$224,$C18,'TL09'!$J$10:$J$224),0),
IF('TL09'!$B$229=K$3,SUMIF('TL09'!$C$238:$C$451,$C18,'TL09'!$J$238:$J$451),0),
IF('TL10'!$B$3=K$3,SUMIF('TL10'!$C$10:$C$224,$C18,'TL10'!$J$10:$J$224),0),
IF('TL10'!$B$229=K$3,SUMIF('TL10'!$C$238:$C$451,$C18,'TL10'!$J$238:$J$451),0),
IF('TL11'!$B$3=K$3,SUMIF('TL11'!$C$10:$C$224,$C18,'TL11'!$J$10:$J$224),0),
IF('TL11'!$B$229=K$3,SUMIF('TL11'!$C$238:$C$451,$C18,'TL11'!$J$238:$J$451),0),
IF('TL12'!$B$3=K$3,SUMIF('TL12'!$C$10:$C$224,$C18,'TL12'!$J$10:$J$224),0),
IF('TL12'!$B$229=K$3,SUMIF('TL12'!$C$238:$C$451,$C18,'TL12'!$J$238:$J$451),0),
IF('TL13'!$B$3=K$3,SUMIF('TL13'!$C$10:$C$224,$C18,'TL13'!$J$10:$J$224),0),
IF('TL13'!$B$229=K$3,SUMIF('TL13'!$C$238:$C$451,$C18,'TL13'!$J$238:$J$451),0),
IF('TL14'!$B$3=K$3,SUMIF('TL14'!$C$10:$C$224,$C18,'TL14'!$J$10:$J$224),0),
IF('TL14'!$B$229=K$3,SUMIF('TL14'!$C$238:$C$451,$C18,'TL14'!$J$238:$J$451),0),
IF('TL15'!$B$3=K$3,SUMIF('TL15'!$C$10:$C$224,$C18,'TL15'!$J$10:$J$224),0),
IF('TL15'!$B$229=K$3,SUMIF('TL15'!$C$238:$C$451,$C18,'TL15'!$J$238:$J$451),0),
IF('TL16'!$B$3=K$3,SUMIF('TL16'!$C$10:$C$224,$C18,'TL16'!$J$10:$J$224),0),
IF('TL16'!$B$229=K$3,SUMIF('TL16'!$C$238:$C$451,$C18,'TL16'!$J$238:$J$451),0),
IF('TL17'!$B$3=K$3,SUMIF('TL17'!$C$10:$C$224,$C18,'TL17'!$J$10:$J$224),0),
IF('TL17'!$B$229=K$3,SUMIF('TL17'!$C$238:$C$451,$C18,'TL17'!$J$238:$J$451),0),
IF('TL18'!$B$3=K$3,SUMIF('TL18'!$C$10:$C$224,$C18,'TL18'!$J$10:$J$224),0),
IF('TL18'!$B$229=K$3,SUMIF('TL18'!$C$238:$C$451,$C18,'TL18'!$J$238:$J$451),0),
IF('TL19'!$B$3=K$3,SUMIF('TL19'!$C$10:$C$224,$C18,'TL19'!$J$10:$J$224),0),
IF('TL19'!$B$229=K$3,SUMIF('TL19'!$C$238:$C$451,$C18,'TL19'!$J$238:$J$451),0)
),0)</f>
        <v>0</v>
      </c>
      <c r="L18" s="9">
        <f>IFERROR(SUM(
IF('TL01'!$B$3=L$3,SUMIF('TL01'!$C$10:$C$224,$C18,'TL01'!$J$10:$J$224),0),
IF('TL01'!$B$229=L$3,SUMIF('TL01'!$C$238:$C$451,$C18,'TL01'!$J$238:$J$451),0),
IF('TL02'!$B$3=L$3,SUMIF('TL02'!$C$10:$C$224,$C18,'TL02'!$J$10:$J$224),0),
IF('TL02'!$B$229=L$3,SUMIF('TL02'!$C$238:$C$451,$C18,'TL02'!$J$238:$J$451),0),
IF('TL03'!$B$3=L$3,SUMIF('TL03'!$C$10:$C$224,$C18,'TL03'!$J$10:$J$224),0),
IF('TL03'!$B$229=L$3,SUMIF('TL03'!$C$238:$C$451,$C18,'TL03'!$J$238:$J$451),0),
IF('TL04'!$B$3=L$3,SUMIF('TL04'!$C$10:$C$224,$C18,'TL04'!$J$10:$J$224),0),
IF('TL04'!$B$229=L$3,SUMIF('TL04'!$C$238:$C$451,$C18,'TL04'!$J$238:$J$451),0),
IF('TL05'!$B$3=L$3,SUMIF('TL05'!$C$10:$C$224,$C18,'TL05'!$J$10:$J$224),0),
IF('TL05'!$B$229=L$3,SUMIF('TL05'!$C$238:$C$451,$C18,'TL05'!$J$238:$J$451),0),
IF('TL06'!$B$3=L$3,SUMIF('TL06'!$C$10:$C$224,$C18,'TL06'!$J$10:$J$224),0),
IF('TL06'!$B$229=L$3,SUMIF('TL06'!$C$238:$C$451,$C18,'TL06'!$J$238:$J$451),0),
IF('TL07'!$B$3=L$3,SUMIF('TL07'!$C$10:$C$224,$C18,'TL07'!$J$10:$J$224),0),
IF('TL07'!$B$229=L$3,SUMIF('TL07'!$C$238:$C$451,$C18,'TL07'!$J$238:$J$451),0),
IF('TL08'!$B$3=L$3,SUMIF('TL08'!$C$10:$C$224,$C18,'TL08'!$J$10:$J$224),0),
IF('TL08'!$B$229=L$3,SUMIF('TL08'!$C$238:$C$451,$C18,'TL08'!$J$238:$J$451),0),
IF('TL09'!$B$3=L$3,SUMIF('TL09'!$C$10:$C$224,$C18,'TL09'!$J$10:$J$224),0),
IF('TL09'!$B$229=L$3,SUMIF('TL09'!$C$238:$C$451,$C18,'TL09'!$J$238:$J$451),0),
IF('TL10'!$B$3=L$3,SUMIF('TL10'!$C$10:$C$224,$C18,'TL10'!$J$10:$J$224),0),
IF('TL10'!$B$229=L$3,SUMIF('TL10'!$C$238:$C$451,$C18,'TL10'!$J$238:$J$451),0),
IF('TL11'!$B$3=L$3,SUMIF('TL11'!$C$10:$C$224,$C18,'TL11'!$J$10:$J$224),0),
IF('TL11'!$B$229=L$3,SUMIF('TL11'!$C$238:$C$451,$C18,'TL11'!$J$238:$J$451),0),
IF('TL12'!$B$3=L$3,SUMIF('TL12'!$C$10:$C$224,$C18,'TL12'!$J$10:$J$224),0),
IF('TL12'!$B$229=L$3,SUMIF('TL12'!$C$238:$C$451,$C18,'TL12'!$J$238:$J$451),0),
IF('TL13'!$B$3=L$3,SUMIF('TL13'!$C$10:$C$224,$C18,'TL13'!$J$10:$J$224),0),
IF('TL13'!$B$229=L$3,SUMIF('TL13'!$C$238:$C$451,$C18,'TL13'!$J$238:$J$451),0),
IF('TL14'!$B$3=L$3,SUMIF('TL14'!$C$10:$C$224,$C18,'TL14'!$J$10:$J$224),0),
IF('TL14'!$B$229=L$3,SUMIF('TL14'!$C$238:$C$451,$C18,'TL14'!$J$238:$J$451),0),
IF('TL15'!$B$3=L$3,SUMIF('TL15'!$C$10:$C$224,$C18,'TL15'!$J$10:$J$224),0),
IF('TL15'!$B$229=L$3,SUMIF('TL15'!$C$238:$C$451,$C18,'TL15'!$J$238:$J$451),0),
IF('TL16'!$B$3=L$3,SUMIF('TL16'!$C$10:$C$224,$C18,'TL16'!$J$10:$J$224),0),
IF('TL16'!$B$229=L$3,SUMIF('TL16'!$C$238:$C$451,$C18,'TL16'!$J$238:$J$451),0),
IF('TL17'!$B$3=L$3,SUMIF('TL17'!$C$10:$C$224,$C18,'TL17'!$J$10:$J$224),0),
IF('TL17'!$B$229=L$3,SUMIF('TL17'!$C$238:$C$451,$C18,'TL17'!$J$238:$J$451),0),
IF('TL18'!$B$3=L$3,SUMIF('TL18'!$C$10:$C$224,$C18,'TL18'!$J$10:$J$224),0),
IF('TL18'!$B$229=L$3,SUMIF('TL18'!$C$238:$C$451,$C18,'TL18'!$J$238:$J$451),0),
IF('TL19'!$B$3=L$3,SUMIF('TL19'!$C$10:$C$224,$C18,'TL19'!$J$10:$J$224),0),
IF('TL19'!$B$229=L$3,SUMIF('TL19'!$C$238:$C$451,$C18,'TL19'!$J$238:$J$451),0)
),0)</f>
        <v>0</v>
      </c>
      <c r="M18" s="9">
        <f>IFERROR(SUM(
IF('TL01'!$B$3=M$3,SUMIF('TL01'!$C$10:$C$224,$C18,'TL01'!$J$10:$J$224),0),
IF('TL01'!$B$229=M$3,SUMIF('TL01'!$C$238:$C$451,$C18,'TL01'!$J$238:$J$451),0),
IF('TL02'!$B$3=M$3,SUMIF('TL02'!$C$10:$C$224,$C18,'TL02'!$J$10:$J$224),0),
IF('TL02'!$B$229=M$3,SUMIF('TL02'!$C$238:$C$451,$C18,'TL02'!$J$238:$J$451),0),
IF('TL03'!$B$3=M$3,SUMIF('TL03'!$C$10:$C$224,$C18,'TL03'!$J$10:$J$224),0),
IF('TL03'!$B$229=M$3,SUMIF('TL03'!$C$238:$C$451,$C18,'TL03'!$J$238:$J$451),0),
IF('TL04'!$B$3=M$3,SUMIF('TL04'!$C$10:$C$224,$C18,'TL04'!$J$10:$J$224),0),
IF('TL04'!$B$229=M$3,SUMIF('TL04'!$C$238:$C$451,$C18,'TL04'!$J$238:$J$451),0),
IF('TL05'!$B$3=M$3,SUMIF('TL05'!$C$10:$C$224,$C18,'TL05'!$J$10:$J$224),0),
IF('TL05'!$B$229=M$3,SUMIF('TL05'!$C$238:$C$451,$C18,'TL05'!$J$238:$J$451),0),
IF('TL06'!$B$3=M$3,SUMIF('TL06'!$C$10:$C$224,$C18,'TL06'!$J$10:$J$224),0),
IF('TL06'!$B$229=M$3,SUMIF('TL06'!$C$238:$C$451,$C18,'TL06'!$J$238:$J$451),0),
IF('TL07'!$B$3=M$3,SUMIF('TL07'!$C$10:$C$224,$C18,'TL07'!$J$10:$J$224),0),
IF('TL07'!$B$229=M$3,SUMIF('TL07'!$C$238:$C$451,$C18,'TL07'!$J$238:$J$451),0),
IF('TL08'!$B$3=M$3,SUMIF('TL08'!$C$10:$C$224,$C18,'TL08'!$J$10:$J$224),0),
IF('TL08'!$B$229=M$3,SUMIF('TL08'!$C$238:$C$451,$C18,'TL08'!$J$238:$J$451),0),
IF('TL09'!$B$3=M$3,SUMIF('TL09'!$C$10:$C$224,$C18,'TL09'!$J$10:$J$224),0),
IF('TL09'!$B$229=M$3,SUMIF('TL09'!$C$238:$C$451,$C18,'TL09'!$J$238:$J$451),0),
IF('TL10'!$B$3=M$3,SUMIF('TL10'!$C$10:$C$224,$C18,'TL10'!$J$10:$J$224),0),
IF('TL10'!$B$229=M$3,SUMIF('TL10'!$C$238:$C$451,$C18,'TL10'!$J$238:$J$451),0),
IF('TL11'!$B$3=M$3,SUMIF('TL11'!$C$10:$C$224,$C18,'TL11'!$J$10:$J$224),0),
IF('TL11'!$B$229=M$3,SUMIF('TL11'!$C$238:$C$451,$C18,'TL11'!$J$238:$J$451),0),
IF('TL12'!$B$3=M$3,SUMIF('TL12'!$C$10:$C$224,$C18,'TL12'!$J$10:$J$224),0),
IF('TL12'!$B$229=M$3,SUMIF('TL12'!$C$238:$C$451,$C18,'TL12'!$J$238:$J$451),0),
IF('TL13'!$B$3=M$3,SUMIF('TL13'!$C$10:$C$224,$C18,'TL13'!$J$10:$J$224),0),
IF('TL13'!$B$229=M$3,SUMIF('TL13'!$C$238:$C$451,$C18,'TL13'!$J$238:$J$451),0),
IF('TL14'!$B$3=M$3,SUMIF('TL14'!$C$10:$C$224,$C18,'TL14'!$J$10:$J$224),0),
IF('TL14'!$B$229=M$3,SUMIF('TL14'!$C$238:$C$451,$C18,'TL14'!$J$238:$J$451),0),
IF('TL15'!$B$3=M$3,SUMIF('TL15'!$C$10:$C$224,$C18,'TL15'!$J$10:$J$224),0),
IF('TL15'!$B$229=M$3,SUMIF('TL15'!$C$238:$C$451,$C18,'TL15'!$J$238:$J$451),0),
IF('TL16'!$B$3=M$3,SUMIF('TL16'!$C$10:$C$224,$C18,'TL16'!$J$10:$J$224),0),
IF('TL16'!$B$229=M$3,SUMIF('TL16'!$C$238:$C$451,$C18,'TL16'!$J$238:$J$451),0),
IF('TL17'!$B$3=M$3,SUMIF('TL17'!$C$10:$C$224,$C18,'TL17'!$J$10:$J$224),0),
IF('TL17'!$B$229=M$3,SUMIF('TL17'!$C$238:$C$451,$C18,'TL17'!$J$238:$J$451),0),
IF('TL18'!$B$3=M$3,SUMIF('TL18'!$C$10:$C$224,$C18,'TL18'!$J$10:$J$224),0),
IF('TL18'!$B$229=M$3,SUMIF('TL18'!$C$238:$C$451,$C18,'TL18'!$J$238:$J$451),0),
IF('TL19'!$B$3=M$3,SUMIF('TL19'!$C$10:$C$224,$C18,'TL19'!$J$10:$J$224),0),
IF('TL19'!$B$229=M$3,SUMIF('TL19'!$C$238:$C$451,$C18,'TL19'!$J$238:$J$451),0)
),0)</f>
        <v>0</v>
      </c>
      <c r="N18" s="9">
        <f>IFERROR(SUM(
IF('TL01'!$B$3=N$3,SUMIF('TL01'!$C$10:$C$224,$C18,'TL01'!$J$10:$J$224),0),
IF('TL01'!$B$229=N$3,SUMIF('TL01'!$C$238:$C$451,$C18,'TL01'!$J$238:$J$451),0),
IF('TL02'!$B$3=N$3,SUMIF('TL02'!$C$10:$C$224,$C18,'TL02'!$J$10:$J$224),0),
IF('TL02'!$B$229=N$3,SUMIF('TL02'!$C$238:$C$451,$C18,'TL02'!$J$238:$J$451),0),
IF('TL03'!$B$3=N$3,SUMIF('TL03'!$C$10:$C$224,$C18,'TL03'!$J$10:$J$224),0),
IF('TL03'!$B$229=N$3,SUMIF('TL03'!$C$238:$C$451,$C18,'TL03'!$J$238:$J$451),0),
IF('TL04'!$B$3=N$3,SUMIF('TL04'!$C$10:$C$224,$C18,'TL04'!$J$10:$J$224),0),
IF('TL04'!$B$229=N$3,SUMIF('TL04'!$C$238:$C$451,$C18,'TL04'!$J$238:$J$451),0),
IF('TL05'!$B$3=N$3,SUMIF('TL05'!$C$10:$C$224,$C18,'TL05'!$J$10:$J$224),0),
IF('TL05'!$B$229=N$3,SUMIF('TL05'!$C$238:$C$451,$C18,'TL05'!$J$238:$J$451),0),
IF('TL06'!$B$3=N$3,SUMIF('TL06'!$C$10:$C$224,$C18,'TL06'!$J$10:$J$224),0),
IF('TL06'!$B$229=N$3,SUMIF('TL06'!$C$238:$C$451,$C18,'TL06'!$J$238:$J$451),0),
IF('TL07'!$B$3=N$3,SUMIF('TL07'!$C$10:$C$224,$C18,'TL07'!$J$10:$J$224),0),
IF('TL07'!$B$229=N$3,SUMIF('TL07'!$C$238:$C$451,$C18,'TL07'!$J$238:$J$451),0),
IF('TL08'!$B$3=N$3,SUMIF('TL08'!$C$10:$C$224,$C18,'TL08'!$J$10:$J$224),0),
IF('TL08'!$B$229=N$3,SUMIF('TL08'!$C$238:$C$451,$C18,'TL08'!$J$238:$J$451),0),
IF('TL09'!$B$3=N$3,SUMIF('TL09'!$C$10:$C$224,$C18,'TL09'!$J$10:$J$224),0),
IF('TL09'!$B$229=N$3,SUMIF('TL09'!$C$238:$C$451,$C18,'TL09'!$J$238:$J$451),0),
IF('TL10'!$B$3=N$3,SUMIF('TL10'!$C$10:$C$224,$C18,'TL10'!$J$10:$J$224),0),
IF('TL10'!$B$229=N$3,SUMIF('TL10'!$C$238:$C$451,$C18,'TL10'!$J$238:$J$451),0),
IF('TL11'!$B$3=N$3,SUMIF('TL11'!$C$10:$C$224,$C18,'TL11'!$J$10:$J$224),0),
IF('TL11'!$B$229=N$3,SUMIF('TL11'!$C$238:$C$451,$C18,'TL11'!$J$238:$J$451),0),
IF('TL12'!$B$3=N$3,SUMIF('TL12'!$C$10:$C$224,$C18,'TL12'!$J$10:$J$224),0),
IF('TL12'!$B$229=N$3,SUMIF('TL12'!$C$238:$C$451,$C18,'TL12'!$J$238:$J$451),0),
IF('TL13'!$B$3=N$3,SUMIF('TL13'!$C$10:$C$224,$C18,'TL13'!$J$10:$J$224),0),
IF('TL13'!$B$229=N$3,SUMIF('TL13'!$C$238:$C$451,$C18,'TL13'!$J$238:$J$451),0),
IF('TL14'!$B$3=N$3,SUMIF('TL14'!$C$10:$C$224,$C18,'TL14'!$J$10:$J$224),0),
IF('TL14'!$B$229=N$3,SUMIF('TL14'!$C$238:$C$451,$C18,'TL14'!$J$238:$J$451),0),
IF('TL15'!$B$3=N$3,SUMIF('TL15'!$C$10:$C$224,$C18,'TL15'!$J$10:$J$224),0),
IF('TL15'!$B$229=N$3,SUMIF('TL15'!$C$238:$C$451,$C18,'TL15'!$J$238:$J$451),0),
IF('TL16'!$B$3=N$3,SUMIF('TL16'!$C$10:$C$224,$C18,'TL16'!$J$10:$J$224),0),
IF('TL16'!$B$229=N$3,SUMIF('TL16'!$C$238:$C$451,$C18,'TL16'!$J$238:$J$451),0),
IF('TL17'!$B$3=N$3,SUMIF('TL17'!$C$10:$C$224,$C18,'TL17'!$J$10:$J$224),0),
IF('TL17'!$B$229=N$3,SUMIF('TL17'!$C$238:$C$451,$C18,'TL17'!$J$238:$J$451),0),
IF('TL18'!$B$3=N$3,SUMIF('TL18'!$C$10:$C$224,$C18,'TL18'!$J$10:$J$224),0),
IF('TL18'!$B$229=N$3,SUMIF('TL18'!$C$238:$C$451,$C18,'TL18'!$J$238:$J$451),0),
IF('TL19'!$B$3=N$3,SUMIF('TL19'!$C$10:$C$224,$C18,'TL19'!$J$10:$J$224),0),
IF('TL19'!$B$229=N$3,SUMIF('TL19'!$C$238:$C$451,$C18,'TL19'!$J$238:$J$451),0)
),0)</f>
        <v>0</v>
      </c>
      <c r="O18" s="9">
        <f>IFERROR(SUM(
IF('TL01'!$B$3=O$3,SUMIF('TL01'!$C$10:$C$224,$C18,'TL01'!$J$10:$J$224),0),
IF('TL01'!$B$229=O$3,SUMIF('TL01'!$C$238:$C$451,$C18,'TL01'!$J$238:$J$451),0),
IF('TL02'!$B$3=O$3,SUMIF('TL02'!$C$10:$C$224,$C18,'TL02'!$J$10:$J$224),0),
IF('TL02'!$B$229=O$3,SUMIF('TL02'!$C$238:$C$451,$C18,'TL02'!$J$238:$J$451),0),
IF('TL03'!$B$3=O$3,SUMIF('TL03'!$C$10:$C$224,$C18,'TL03'!$J$10:$J$224),0),
IF('TL03'!$B$229=O$3,SUMIF('TL03'!$C$238:$C$451,$C18,'TL03'!$J$238:$J$451),0),
IF('TL04'!$B$3=O$3,SUMIF('TL04'!$C$10:$C$224,$C18,'TL04'!$J$10:$J$224),0),
IF('TL04'!$B$229=O$3,SUMIF('TL04'!$C$238:$C$451,$C18,'TL04'!$J$238:$J$451),0),
IF('TL05'!$B$3=O$3,SUMIF('TL05'!$C$10:$C$224,$C18,'TL05'!$J$10:$J$224),0),
IF('TL05'!$B$229=O$3,SUMIF('TL05'!$C$238:$C$451,$C18,'TL05'!$J$238:$J$451),0),
IF('TL06'!$B$3=O$3,SUMIF('TL06'!$C$10:$C$224,$C18,'TL06'!$J$10:$J$224),0),
IF('TL06'!$B$229=O$3,SUMIF('TL06'!$C$238:$C$451,$C18,'TL06'!$J$238:$J$451),0),
IF('TL07'!$B$3=O$3,SUMIF('TL07'!$C$10:$C$224,$C18,'TL07'!$J$10:$J$224),0),
IF('TL07'!$B$229=O$3,SUMIF('TL07'!$C$238:$C$451,$C18,'TL07'!$J$238:$J$451),0),
IF('TL08'!$B$3=O$3,SUMIF('TL08'!$C$10:$C$224,$C18,'TL08'!$J$10:$J$224),0),
IF('TL08'!$B$229=O$3,SUMIF('TL08'!$C$238:$C$451,$C18,'TL08'!$J$238:$J$451),0),
IF('TL09'!$B$3=O$3,SUMIF('TL09'!$C$10:$C$224,$C18,'TL09'!$J$10:$J$224),0),
IF('TL09'!$B$229=O$3,SUMIF('TL09'!$C$238:$C$451,$C18,'TL09'!$J$238:$J$451),0),
IF('TL10'!$B$3=O$3,SUMIF('TL10'!$C$10:$C$224,$C18,'TL10'!$J$10:$J$224),0),
IF('TL10'!$B$229=O$3,SUMIF('TL10'!$C$238:$C$451,$C18,'TL10'!$J$238:$J$451),0),
IF('TL11'!$B$3=O$3,SUMIF('TL11'!$C$10:$C$224,$C18,'TL11'!$J$10:$J$224),0),
IF('TL11'!$B$229=O$3,SUMIF('TL11'!$C$238:$C$451,$C18,'TL11'!$J$238:$J$451),0),
IF('TL12'!$B$3=O$3,SUMIF('TL12'!$C$10:$C$224,$C18,'TL12'!$J$10:$J$224),0),
IF('TL12'!$B$229=O$3,SUMIF('TL12'!$C$238:$C$451,$C18,'TL12'!$J$238:$J$451),0),
IF('TL13'!$B$3=O$3,SUMIF('TL13'!$C$10:$C$224,$C18,'TL13'!$J$10:$J$224),0),
IF('TL13'!$B$229=O$3,SUMIF('TL13'!$C$238:$C$451,$C18,'TL13'!$J$238:$J$451),0),
IF('TL14'!$B$3=O$3,SUMIF('TL14'!$C$10:$C$224,$C18,'TL14'!$J$10:$J$224),0),
IF('TL14'!$B$229=O$3,SUMIF('TL14'!$C$238:$C$451,$C18,'TL14'!$J$238:$J$451),0),
IF('TL15'!$B$3=O$3,SUMIF('TL15'!$C$10:$C$224,$C18,'TL15'!$J$10:$J$224),0),
IF('TL15'!$B$229=O$3,SUMIF('TL15'!$C$238:$C$451,$C18,'TL15'!$J$238:$J$451),0),
IF('TL16'!$B$3=O$3,SUMIF('TL16'!$C$10:$C$224,$C18,'TL16'!$J$10:$J$224),0),
IF('TL16'!$B$229=O$3,SUMIF('TL16'!$C$238:$C$451,$C18,'TL16'!$J$238:$J$451),0),
IF('TL17'!$B$3=O$3,SUMIF('TL17'!$C$10:$C$224,$C18,'TL17'!$J$10:$J$224),0),
IF('TL17'!$B$229=O$3,SUMIF('TL17'!$C$238:$C$451,$C18,'TL17'!$J$238:$J$451),0),
IF('TL18'!$B$3=O$3,SUMIF('TL18'!$C$10:$C$224,$C18,'TL18'!$J$10:$J$224),0),
IF('TL18'!$B$229=O$3,SUMIF('TL18'!$C$238:$C$451,$C18,'TL18'!$J$238:$J$451),0),
IF('TL19'!$B$3=O$3,SUMIF('TL19'!$C$10:$C$224,$C18,'TL19'!$J$10:$J$224),0),
IF('TL19'!$B$229=O$3,SUMIF('TL19'!$C$238:$C$451,$C18,'TL19'!$J$238:$J$451),0)
),0)</f>
        <v>0</v>
      </c>
      <c r="P18" s="9">
        <f>IFERROR(SUM(
IF('TL01'!$B$3=P$3,SUMIF('TL01'!$C$10:$C$224,$C18,'TL01'!$J$10:$J$224),0),
IF('TL01'!$B$229=P$3,SUMIF('TL01'!$C$238:$C$451,$C18,'TL01'!$J$238:$J$451),0),
IF('TL02'!$B$3=P$3,SUMIF('TL02'!$C$10:$C$224,$C18,'TL02'!$J$10:$J$224),0),
IF('TL02'!$B$229=P$3,SUMIF('TL02'!$C$238:$C$451,$C18,'TL02'!$J$238:$J$451),0),
IF('TL03'!$B$3=P$3,SUMIF('TL03'!$C$10:$C$224,$C18,'TL03'!$J$10:$J$224),0),
IF('TL03'!$B$229=P$3,SUMIF('TL03'!$C$238:$C$451,$C18,'TL03'!$J$238:$J$451),0),
IF('TL04'!$B$3=P$3,SUMIF('TL04'!$C$10:$C$224,$C18,'TL04'!$J$10:$J$224),0),
IF('TL04'!$B$229=P$3,SUMIF('TL04'!$C$238:$C$451,$C18,'TL04'!$J$238:$J$451),0),
IF('TL05'!$B$3=P$3,SUMIF('TL05'!$C$10:$C$224,$C18,'TL05'!$J$10:$J$224),0),
IF('TL05'!$B$229=P$3,SUMIF('TL05'!$C$238:$C$451,$C18,'TL05'!$J$238:$J$451),0),
IF('TL06'!$B$3=P$3,SUMIF('TL06'!$C$10:$C$224,$C18,'TL06'!$J$10:$J$224),0),
IF('TL06'!$B$229=P$3,SUMIF('TL06'!$C$238:$C$451,$C18,'TL06'!$J$238:$J$451),0),
IF('TL07'!$B$3=P$3,SUMIF('TL07'!$C$10:$C$224,$C18,'TL07'!$J$10:$J$224),0),
IF('TL07'!$B$229=P$3,SUMIF('TL07'!$C$238:$C$451,$C18,'TL07'!$J$238:$J$451),0),
IF('TL08'!$B$3=P$3,SUMIF('TL08'!$C$10:$C$224,$C18,'TL08'!$J$10:$J$224),0),
IF('TL08'!$B$229=P$3,SUMIF('TL08'!$C$238:$C$451,$C18,'TL08'!$J$238:$J$451),0),
IF('TL09'!$B$3=P$3,SUMIF('TL09'!$C$10:$C$224,$C18,'TL09'!$J$10:$J$224),0),
IF('TL09'!$B$229=P$3,SUMIF('TL09'!$C$238:$C$451,$C18,'TL09'!$J$238:$J$451),0),
IF('TL10'!$B$3=P$3,SUMIF('TL10'!$C$10:$C$224,$C18,'TL10'!$J$10:$J$224),0),
IF('TL10'!$B$229=P$3,SUMIF('TL10'!$C$238:$C$451,$C18,'TL10'!$J$238:$J$451),0),
IF('TL11'!$B$3=P$3,SUMIF('TL11'!$C$10:$C$224,$C18,'TL11'!$J$10:$J$224),0),
IF('TL11'!$B$229=P$3,SUMIF('TL11'!$C$238:$C$451,$C18,'TL11'!$J$238:$J$451),0),
IF('TL12'!$B$3=P$3,SUMIF('TL12'!$C$10:$C$224,$C18,'TL12'!$J$10:$J$224),0),
IF('TL12'!$B$229=P$3,SUMIF('TL12'!$C$238:$C$451,$C18,'TL12'!$J$238:$J$451),0),
IF('TL13'!$B$3=P$3,SUMIF('TL13'!$C$10:$C$224,$C18,'TL13'!$J$10:$J$224),0),
IF('TL13'!$B$229=P$3,SUMIF('TL13'!$C$238:$C$451,$C18,'TL13'!$J$238:$J$451),0),
IF('TL14'!$B$3=P$3,SUMIF('TL14'!$C$10:$C$224,$C18,'TL14'!$J$10:$J$224),0),
IF('TL14'!$B$229=P$3,SUMIF('TL14'!$C$238:$C$451,$C18,'TL14'!$J$238:$J$451),0),
IF('TL15'!$B$3=P$3,SUMIF('TL15'!$C$10:$C$224,$C18,'TL15'!$J$10:$J$224),0),
IF('TL15'!$B$229=P$3,SUMIF('TL15'!$C$238:$C$451,$C18,'TL15'!$J$238:$J$451),0),
IF('TL16'!$B$3=P$3,SUMIF('TL16'!$C$10:$C$224,$C18,'TL16'!$J$10:$J$224),0),
IF('TL16'!$B$229=P$3,SUMIF('TL16'!$C$238:$C$451,$C18,'TL16'!$J$238:$J$451),0),
IF('TL17'!$B$3=P$3,SUMIF('TL17'!$C$10:$C$224,$C18,'TL17'!$J$10:$J$224),0),
IF('TL17'!$B$229=P$3,SUMIF('TL17'!$C$238:$C$451,$C18,'TL17'!$J$238:$J$451),0),
IF('TL18'!$B$3=P$3,SUMIF('TL18'!$C$10:$C$224,$C18,'TL18'!$J$10:$J$224),0),
IF('TL18'!$B$229=P$3,SUMIF('TL18'!$C$238:$C$451,$C18,'TL18'!$J$238:$J$451),0),
IF('TL19'!$B$3=P$3,SUMIF('TL19'!$C$10:$C$224,$C18,'TL19'!$J$10:$J$224),0),
IF('TL19'!$B$229=P$3,SUMIF('TL19'!$C$238:$C$451,$C18,'TL19'!$J$238:$J$451),0)
),0)</f>
        <v>0</v>
      </c>
      <c r="Q18" s="9">
        <f>IFERROR(SUM(
IF('TL01'!$B$3=Q$3,SUMIF('TL01'!$C$10:$C$224,$C18,'TL01'!$J$10:$J$224),0),
IF('TL01'!$B$229=Q$3,SUMIF('TL01'!$C$238:$C$451,$C18,'TL01'!$J$238:$J$451),0),
IF('TL02'!$B$3=Q$3,SUMIF('TL02'!$C$10:$C$224,$C18,'TL02'!$J$10:$J$224),0),
IF('TL02'!$B$229=Q$3,SUMIF('TL02'!$C$238:$C$451,$C18,'TL02'!$J$238:$J$451),0),
IF('TL03'!$B$3=Q$3,SUMIF('TL03'!$C$10:$C$224,$C18,'TL03'!$J$10:$J$224),0),
IF('TL03'!$B$229=Q$3,SUMIF('TL03'!$C$238:$C$451,$C18,'TL03'!$J$238:$J$451),0),
IF('TL04'!$B$3=Q$3,SUMIF('TL04'!$C$10:$C$224,$C18,'TL04'!$J$10:$J$224),0),
IF('TL04'!$B$229=Q$3,SUMIF('TL04'!$C$238:$C$451,$C18,'TL04'!$J$238:$J$451),0),
IF('TL05'!$B$3=Q$3,SUMIF('TL05'!$C$10:$C$224,$C18,'TL05'!$J$10:$J$224),0),
IF('TL05'!$B$229=Q$3,SUMIF('TL05'!$C$238:$C$451,$C18,'TL05'!$J$238:$J$451),0),
IF('TL06'!$B$3=Q$3,SUMIF('TL06'!$C$10:$C$224,$C18,'TL06'!$J$10:$J$224),0),
IF('TL06'!$B$229=Q$3,SUMIF('TL06'!$C$238:$C$451,$C18,'TL06'!$J$238:$J$451),0),
IF('TL07'!$B$3=Q$3,SUMIF('TL07'!$C$10:$C$224,$C18,'TL07'!$J$10:$J$224),0),
IF('TL07'!$B$229=Q$3,SUMIF('TL07'!$C$238:$C$451,$C18,'TL07'!$J$238:$J$451),0),
IF('TL08'!$B$3=Q$3,SUMIF('TL08'!$C$10:$C$224,$C18,'TL08'!$J$10:$J$224),0),
IF('TL08'!$B$229=Q$3,SUMIF('TL08'!$C$238:$C$451,$C18,'TL08'!$J$238:$J$451),0),
IF('TL09'!$B$3=Q$3,SUMIF('TL09'!$C$10:$C$224,$C18,'TL09'!$J$10:$J$224),0),
IF('TL09'!$B$229=Q$3,SUMIF('TL09'!$C$238:$C$451,$C18,'TL09'!$J$238:$J$451),0),
IF('TL10'!$B$3=Q$3,SUMIF('TL10'!$C$10:$C$224,$C18,'TL10'!$J$10:$J$224),0),
IF('TL10'!$B$229=Q$3,SUMIF('TL10'!$C$238:$C$451,$C18,'TL10'!$J$238:$J$451),0),
IF('TL11'!$B$3=Q$3,SUMIF('TL11'!$C$10:$C$224,$C18,'TL11'!$J$10:$J$224),0),
IF('TL11'!$B$229=Q$3,SUMIF('TL11'!$C$238:$C$451,$C18,'TL11'!$J$238:$J$451),0),
IF('TL12'!$B$3=Q$3,SUMIF('TL12'!$C$10:$C$224,$C18,'TL12'!$J$10:$J$224),0),
IF('TL12'!$B$229=Q$3,SUMIF('TL12'!$C$238:$C$451,$C18,'TL12'!$J$238:$J$451),0),
IF('TL13'!$B$3=Q$3,SUMIF('TL13'!$C$10:$C$224,$C18,'TL13'!$J$10:$J$224),0),
IF('TL13'!$B$229=Q$3,SUMIF('TL13'!$C$238:$C$451,$C18,'TL13'!$J$238:$J$451),0),
IF('TL14'!$B$3=Q$3,SUMIF('TL14'!$C$10:$C$224,$C18,'TL14'!$J$10:$J$224),0),
IF('TL14'!$B$229=Q$3,SUMIF('TL14'!$C$238:$C$451,$C18,'TL14'!$J$238:$J$451),0),
IF('TL15'!$B$3=Q$3,SUMIF('TL15'!$C$10:$C$224,$C18,'TL15'!$J$10:$J$224),0),
IF('TL15'!$B$229=Q$3,SUMIF('TL15'!$C$238:$C$451,$C18,'TL15'!$J$238:$J$451),0),
IF('TL16'!$B$3=Q$3,SUMIF('TL16'!$C$10:$C$224,$C18,'TL16'!$J$10:$J$224),0),
IF('TL16'!$B$229=Q$3,SUMIF('TL16'!$C$238:$C$451,$C18,'TL16'!$J$238:$J$451),0),
IF('TL17'!$B$3=Q$3,SUMIF('TL17'!$C$10:$C$224,$C18,'TL17'!$J$10:$J$224),0),
IF('TL17'!$B$229=Q$3,SUMIF('TL17'!$C$238:$C$451,$C18,'TL17'!$J$238:$J$451),0),
IF('TL18'!$B$3=Q$3,SUMIF('TL18'!$C$10:$C$224,$C18,'TL18'!$J$10:$J$224),0),
IF('TL18'!$B$229=Q$3,SUMIF('TL18'!$C$238:$C$451,$C18,'TL18'!$J$238:$J$451),0),
IF('TL19'!$B$3=Q$3,SUMIF('TL19'!$C$10:$C$224,$C18,'TL19'!$J$10:$J$224),0),
IF('TL19'!$B$229=Q$3,SUMIF('TL19'!$C$238:$C$451,$C18,'TL19'!$J$238:$J$451),0)
),0)</f>
        <v>0</v>
      </c>
      <c r="R18" s="9">
        <f>IFERROR(
SUM(
SUMIF('TL01'!C:C,C18,'TL01'!J:J),
SUMIF('TL02'!C:C,C18,'TL02'!J:J),
SUMIF('TL03'!C:C,C18,'TL03'!J:J),
SUMIF('TL04'!C:C,C18,'TL04'!J:J),
SUMIF('TL05'!C:C,C18,'TL05'!J:J),
SUMIF('TL06'!C:C,C18,'TL06'!J:J),
SUMIF('TL07'!C:C,C18,'TL07'!J:J),
SUMIF('TL08'!C:C,C18,'TL08'!J:J),
SUMIF('TL09'!C:C,C18,'TL09'!J:J),
SUMIF('TL10'!C:C,C18,'TL10'!J:J),
SUMIF('TL11'!C:C,C18,'TL11'!J:J),
SUMIF('TL12'!C:C,C18,'TL12'!J:J),
SUMIF('TL13'!C:C,C18,'TL13'!J:J),
SUMIF('TL14'!C:C,C18,'TL14'!J:J),
SUMIF('TL15'!C:C,C18,'TL15'!J:J),
SUMIF('TL16'!C:C,C18,'TL16'!J:J),
SUMIF('TL17'!C:C,C18,'TL17'!J:J),
SUMIF('TL18'!C:C,C18,'TL18'!J:J),SUMIF('TL19'!C:C,C18,'TL19'!J:J))
,0)</f>
        <v>0</v>
      </c>
      <c r="S18" s="17">
        <f>IFERROR(__xludf.DUMMYFUNCTION("IFERROR(VLOOKUP(C18,
IMPORTRANGE(""1wULbzX32WdYsx-lj2U3uUNBBe2INVIRDtcK0d-Dvl90"",
""26-27!C:G""),
5,
FALSE),
"""")"),54.397000000000006)</f>
        <v>54.397</v>
      </c>
      <c r="T18" s="9"/>
      <c r="U18" s="92">
        <f t="shared" si="2"/>
        <v>0</v>
      </c>
      <c r="V18" s="93">
        <f t="shared" si="3"/>
        <v>0</v>
      </c>
    </row>
    <row r="19" ht="22.5" hidden="1" customHeight="1">
      <c r="A19" s="94" t="s">
        <v>358</v>
      </c>
      <c r="B19" s="95" t="s">
        <v>3</v>
      </c>
      <c r="C19" s="96" t="s">
        <v>386</v>
      </c>
      <c r="D19" s="96" t="s">
        <v>387</v>
      </c>
      <c r="E19" s="96">
        <v>150.0</v>
      </c>
      <c r="F19" s="4" t="s">
        <v>343</v>
      </c>
      <c r="G19" s="90" t="str">
        <f t="shared" si="1"/>
        <v>📄 Ver bula</v>
      </c>
      <c r="H19" s="9">
        <f>IFERROR(__xludf.DUMMYFUNCTION("IFERROR(VLOOKUP(C19,
IMPORTRANGE(""1wULbzX32WdYsx-lj2U3uUNBBe2INVIRDtcK0d-Dvl90"",
""26-27!C:K""),
8,
FALSE),
"""")"),0.25)</f>
        <v>0.25</v>
      </c>
      <c r="I19" s="97" t="s">
        <v>361</v>
      </c>
      <c r="J19" s="9">
        <f>IFERROR(SUM(
IF('TL01'!$B$3=J$3,SUMIF('TL01'!$C$10:$C$224,$C19,'TL01'!$J$10:$J$224),0),
IF('TL01'!$B$229=J$3,SUMIF('TL01'!$C$238:$C$451,$C19,'TL01'!$J$238:$J$451),0),
IF('TL02'!$B$3=J$3,SUMIF('TL02'!$C$10:$C$224,$C19,'TL02'!$J$10:$J$224),0),
IF('TL02'!$B$229=J$3,SUMIF('TL02'!$C$238:$C$451,$C19,'TL02'!$J$238:$J$451),0),
IF('TL03'!$B$3=J$3,SUMIF('TL03'!$C$10:$C$224,$C19,'TL03'!$J$10:$J$224),0),
IF('TL03'!$B$229=J$3,SUMIF('TL03'!$C$238:$C$451,$C19,'TL03'!$J$238:$J$451),0),
IF('TL04'!$B$3=J$3,SUMIF('TL04'!$C$10:$C$224,$C19,'TL04'!$J$10:$J$224),0),
IF('TL04'!$B$229=J$3,SUMIF('TL04'!$C$238:$C$451,$C19,'TL04'!$J$238:$J$451),0),
IF('TL05'!$B$3=J$3,SUMIF('TL05'!$C$10:$C$224,$C19,'TL05'!$J$10:$J$224),0),
IF('TL05'!$B$229=J$3,SUMIF('TL05'!$C$238:$C$451,$C19,'TL05'!$J$238:$J$451),0),
IF('TL06'!$B$3=J$3,SUMIF('TL06'!$C$10:$C$224,$C19,'TL06'!$J$10:$J$224),0),
IF('TL06'!$B$229=J$3,SUMIF('TL06'!$C$238:$C$451,$C19,'TL06'!$J$238:$J$451),0),
IF('TL07'!$B$3=J$3,SUMIF('TL07'!$C$10:$C$224,$C19,'TL07'!$J$10:$J$224),0),
IF('TL07'!$B$229=J$3,SUMIF('TL07'!$C$238:$C$451,$C19,'TL07'!$J$238:$J$451),0),
IF('TL08'!$B$3=J$3,SUMIF('TL08'!$C$10:$C$224,$C19,'TL08'!$J$10:$J$224),0),
IF('TL08'!$B$229=J$3,SUMIF('TL08'!$C$238:$C$451,$C19,'TL08'!$J$238:$J$451),0),
IF('TL09'!$B$3=J$3,SUMIF('TL09'!$C$10:$C$224,$C19,'TL09'!$J$10:$J$224),0),
IF('TL09'!$B$229=J$3,SUMIF('TL09'!$C$238:$C$451,$C19,'TL09'!$J$238:$J$451),0),
IF('TL10'!$B$3=J$3,SUMIF('TL10'!$C$10:$C$224,$C19,'TL10'!$J$10:$J$224),0),
IF('TL10'!$B$229=J$3,SUMIF('TL10'!$C$238:$C$451,$C19,'TL10'!$J$238:$J$451),0),
IF('TL11'!$B$3=J$3,SUMIF('TL11'!$C$10:$C$224,$C19,'TL11'!$J$10:$J$224),0),
IF('TL11'!$B$229=J$3,SUMIF('TL11'!$C$238:$C$451,$C19,'TL11'!$J$238:$J$451),0),
IF('TL12'!$B$3=J$3,SUMIF('TL12'!$C$10:$C$224,$C19,'TL12'!$J$10:$J$224),0),
IF('TL12'!$B$229=J$3,SUMIF('TL12'!$C$238:$C$451,$C19,'TL12'!$J$238:$J$451),0),
IF('TL13'!$B$3=J$3,SUMIF('TL13'!$C$10:$C$224,$C19,'TL13'!$J$10:$J$224),0),
IF('TL13'!$B$229=J$3,SUMIF('TL13'!$C$238:$C$451,$C19,'TL13'!$J$238:$J$451),0),
IF('TL14'!$B$3=J$3,SUMIF('TL14'!$C$10:$C$224,$C19,'TL14'!$J$10:$J$224),0),
IF('TL14'!$B$229=J$3,SUMIF('TL14'!$C$238:$C$451,$C19,'TL14'!$J$238:$J$451),0),
IF('TL15'!$B$3=J$3,SUMIF('TL15'!$C$10:$C$224,$C19,'TL15'!$J$10:$J$224),0),
IF('TL15'!$B$229=J$3,SUMIF('TL15'!$C$238:$C$451,$C19,'TL15'!$J$238:$J$451),0),
IF('TL16'!$B$3=J$3,SUMIF('TL16'!$C$10:$C$224,$C19,'TL16'!$J$10:$J$224),0),
IF('TL16'!$B$229=J$3,SUMIF('TL16'!$C$238:$C$451,$C19,'TL16'!$J$238:$J$451),0),
IF('TL17'!$B$3=J$3,SUMIF('TL17'!$C$10:$C$224,$C19,'TL17'!$J$10:$J$224),0),
IF('TL17'!$B$229=J$3,SUMIF('TL17'!$C$238:$C$451,$C19,'TL17'!$J$238:$J$451),0),
IF('TL18'!$B$3=J$3,SUMIF('TL18'!$C$10:$C$224,$C19,'TL18'!$J$10:$J$224),0),
IF('TL18'!$B$229=J$3,SUMIF('TL18'!$C$238:$C$451,$C19,'TL18'!$J$238:$J$451),0),
IF('TL19'!$B$3=J$3,SUMIF('TL19'!$C$10:$C$224,$C19,'TL19'!$J$10:$J$224),0),
IF('TL19'!$B$229=J$3,SUMIF('TL19'!$C$238:$C$451,$C19,'TL19'!$J$238:$J$451),0)
),0)</f>
        <v>0</v>
      </c>
      <c r="K19" s="9">
        <f>IFERROR(SUM(
IF('TL01'!$B$3=K$3,SUMIF('TL01'!$C$10:$C$224,$C19,'TL01'!$J$10:$J$224),0),
IF('TL01'!$B$229=K$3,SUMIF('TL01'!$C$238:$C$451,$C19,'TL01'!$J$238:$J$451),0),
IF('TL02'!$B$3=K$3,SUMIF('TL02'!$C$10:$C$224,$C19,'TL02'!$J$10:$J$224),0),
IF('TL02'!$B$229=K$3,SUMIF('TL02'!$C$238:$C$451,$C19,'TL02'!$J$238:$J$451),0),
IF('TL03'!$B$3=K$3,SUMIF('TL03'!$C$10:$C$224,$C19,'TL03'!$J$10:$J$224),0),
IF('TL03'!$B$229=K$3,SUMIF('TL03'!$C$238:$C$451,$C19,'TL03'!$J$238:$J$451),0),
IF('TL04'!$B$3=K$3,SUMIF('TL04'!$C$10:$C$224,$C19,'TL04'!$J$10:$J$224),0),
IF('TL04'!$B$229=K$3,SUMIF('TL04'!$C$238:$C$451,$C19,'TL04'!$J$238:$J$451),0),
IF('TL05'!$B$3=K$3,SUMIF('TL05'!$C$10:$C$224,$C19,'TL05'!$J$10:$J$224),0),
IF('TL05'!$B$229=K$3,SUMIF('TL05'!$C$238:$C$451,$C19,'TL05'!$J$238:$J$451),0),
IF('TL06'!$B$3=K$3,SUMIF('TL06'!$C$10:$C$224,$C19,'TL06'!$J$10:$J$224),0),
IF('TL06'!$B$229=K$3,SUMIF('TL06'!$C$238:$C$451,$C19,'TL06'!$J$238:$J$451),0),
IF('TL07'!$B$3=K$3,SUMIF('TL07'!$C$10:$C$224,$C19,'TL07'!$J$10:$J$224),0),
IF('TL07'!$B$229=K$3,SUMIF('TL07'!$C$238:$C$451,$C19,'TL07'!$J$238:$J$451),0),
IF('TL08'!$B$3=K$3,SUMIF('TL08'!$C$10:$C$224,$C19,'TL08'!$J$10:$J$224),0),
IF('TL08'!$B$229=K$3,SUMIF('TL08'!$C$238:$C$451,$C19,'TL08'!$J$238:$J$451),0),
IF('TL09'!$B$3=K$3,SUMIF('TL09'!$C$10:$C$224,$C19,'TL09'!$J$10:$J$224),0),
IF('TL09'!$B$229=K$3,SUMIF('TL09'!$C$238:$C$451,$C19,'TL09'!$J$238:$J$451),0),
IF('TL10'!$B$3=K$3,SUMIF('TL10'!$C$10:$C$224,$C19,'TL10'!$J$10:$J$224),0),
IF('TL10'!$B$229=K$3,SUMIF('TL10'!$C$238:$C$451,$C19,'TL10'!$J$238:$J$451),0),
IF('TL11'!$B$3=K$3,SUMIF('TL11'!$C$10:$C$224,$C19,'TL11'!$J$10:$J$224),0),
IF('TL11'!$B$229=K$3,SUMIF('TL11'!$C$238:$C$451,$C19,'TL11'!$J$238:$J$451),0),
IF('TL12'!$B$3=K$3,SUMIF('TL12'!$C$10:$C$224,$C19,'TL12'!$J$10:$J$224),0),
IF('TL12'!$B$229=K$3,SUMIF('TL12'!$C$238:$C$451,$C19,'TL12'!$J$238:$J$451),0),
IF('TL13'!$B$3=K$3,SUMIF('TL13'!$C$10:$C$224,$C19,'TL13'!$J$10:$J$224),0),
IF('TL13'!$B$229=K$3,SUMIF('TL13'!$C$238:$C$451,$C19,'TL13'!$J$238:$J$451),0),
IF('TL14'!$B$3=K$3,SUMIF('TL14'!$C$10:$C$224,$C19,'TL14'!$J$10:$J$224),0),
IF('TL14'!$B$229=K$3,SUMIF('TL14'!$C$238:$C$451,$C19,'TL14'!$J$238:$J$451),0),
IF('TL15'!$B$3=K$3,SUMIF('TL15'!$C$10:$C$224,$C19,'TL15'!$J$10:$J$224),0),
IF('TL15'!$B$229=K$3,SUMIF('TL15'!$C$238:$C$451,$C19,'TL15'!$J$238:$J$451),0),
IF('TL16'!$B$3=K$3,SUMIF('TL16'!$C$10:$C$224,$C19,'TL16'!$J$10:$J$224),0),
IF('TL16'!$B$229=K$3,SUMIF('TL16'!$C$238:$C$451,$C19,'TL16'!$J$238:$J$451),0),
IF('TL17'!$B$3=K$3,SUMIF('TL17'!$C$10:$C$224,$C19,'TL17'!$J$10:$J$224),0),
IF('TL17'!$B$229=K$3,SUMIF('TL17'!$C$238:$C$451,$C19,'TL17'!$J$238:$J$451),0),
IF('TL18'!$B$3=K$3,SUMIF('TL18'!$C$10:$C$224,$C19,'TL18'!$J$10:$J$224),0),
IF('TL18'!$B$229=K$3,SUMIF('TL18'!$C$238:$C$451,$C19,'TL18'!$J$238:$J$451),0),
IF('TL19'!$B$3=K$3,SUMIF('TL19'!$C$10:$C$224,$C19,'TL19'!$J$10:$J$224),0),
IF('TL19'!$B$229=K$3,SUMIF('TL19'!$C$238:$C$451,$C19,'TL19'!$J$238:$J$451),0)
),0)</f>
        <v>0</v>
      </c>
      <c r="L19" s="9">
        <f>IFERROR(SUM(
IF('TL01'!$B$3=L$3,SUMIF('TL01'!$C$10:$C$224,$C19,'TL01'!$J$10:$J$224),0),
IF('TL01'!$B$229=L$3,SUMIF('TL01'!$C$238:$C$451,$C19,'TL01'!$J$238:$J$451),0),
IF('TL02'!$B$3=L$3,SUMIF('TL02'!$C$10:$C$224,$C19,'TL02'!$J$10:$J$224),0),
IF('TL02'!$B$229=L$3,SUMIF('TL02'!$C$238:$C$451,$C19,'TL02'!$J$238:$J$451),0),
IF('TL03'!$B$3=L$3,SUMIF('TL03'!$C$10:$C$224,$C19,'TL03'!$J$10:$J$224),0),
IF('TL03'!$B$229=L$3,SUMIF('TL03'!$C$238:$C$451,$C19,'TL03'!$J$238:$J$451),0),
IF('TL04'!$B$3=L$3,SUMIF('TL04'!$C$10:$C$224,$C19,'TL04'!$J$10:$J$224),0),
IF('TL04'!$B$229=L$3,SUMIF('TL04'!$C$238:$C$451,$C19,'TL04'!$J$238:$J$451),0),
IF('TL05'!$B$3=L$3,SUMIF('TL05'!$C$10:$C$224,$C19,'TL05'!$J$10:$J$224),0),
IF('TL05'!$B$229=L$3,SUMIF('TL05'!$C$238:$C$451,$C19,'TL05'!$J$238:$J$451),0),
IF('TL06'!$B$3=L$3,SUMIF('TL06'!$C$10:$C$224,$C19,'TL06'!$J$10:$J$224),0),
IF('TL06'!$B$229=L$3,SUMIF('TL06'!$C$238:$C$451,$C19,'TL06'!$J$238:$J$451),0),
IF('TL07'!$B$3=L$3,SUMIF('TL07'!$C$10:$C$224,$C19,'TL07'!$J$10:$J$224),0),
IF('TL07'!$B$229=L$3,SUMIF('TL07'!$C$238:$C$451,$C19,'TL07'!$J$238:$J$451),0),
IF('TL08'!$B$3=L$3,SUMIF('TL08'!$C$10:$C$224,$C19,'TL08'!$J$10:$J$224),0),
IF('TL08'!$B$229=L$3,SUMIF('TL08'!$C$238:$C$451,$C19,'TL08'!$J$238:$J$451),0),
IF('TL09'!$B$3=L$3,SUMIF('TL09'!$C$10:$C$224,$C19,'TL09'!$J$10:$J$224),0),
IF('TL09'!$B$229=L$3,SUMIF('TL09'!$C$238:$C$451,$C19,'TL09'!$J$238:$J$451),0),
IF('TL10'!$B$3=L$3,SUMIF('TL10'!$C$10:$C$224,$C19,'TL10'!$J$10:$J$224),0),
IF('TL10'!$B$229=L$3,SUMIF('TL10'!$C$238:$C$451,$C19,'TL10'!$J$238:$J$451),0),
IF('TL11'!$B$3=L$3,SUMIF('TL11'!$C$10:$C$224,$C19,'TL11'!$J$10:$J$224),0),
IF('TL11'!$B$229=L$3,SUMIF('TL11'!$C$238:$C$451,$C19,'TL11'!$J$238:$J$451),0),
IF('TL12'!$B$3=L$3,SUMIF('TL12'!$C$10:$C$224,$C19,'TL12'!$J$10:$J$224),0),
IF('TL12'!$B$229=L$3,SUMIF('TL12'!$C$238:$C$451,$C19,'TL12'!$J$238:$J$451),0),
IF('TL13'!$B$3=L$3,SUMIF('TL13'!$C$10:$C$224,$C19,'TL13'!$J$10:$J$224),0),
IF('TL13'!$B$229=L$3,SUMIF('TL13'!$C$238:$C$451,$C19,'TL13'!$J$238:$J$451),0),
IF('TL14'!$B$3=L$3,SUMIF('TL14'!$C$10:$C$224,$C19,'TL14'!$J$10:$J$224),0),
IF('TL14'!$B$229=L$3,SUMIF('TL14'!$C$238:$C$451,$C19,'TL14'!$J$238:$J$451),0),
IF('TL15'!$B$3=L$3,SUMIF('TL15'!$C$10:$C$224,$C19,'TL15'!$J$10:$J$224),0),
IF('TL15'!$B$229=L$3,SUMIF('TL15'!$C$238:$C$451,$C19,'TL15'!$J$238:$J$451),0),
IF('TL16'!$B$3=L$3,SUMIF('TL16'!$C$10:$C$224,$C19,'TL16'!$J$10:$J$224),0),
IF('TL16'!$B$229=L$3,SUMIF('TL16'!$C$238:$C$451,$C19,'TL16'!$J$238:$J$451),0),
IF('TL17'!$B$3=L$3,SUMIF('TL17'!$C$10:$C$224,$C19,'TL17'!$J$10:$J$224),0),
IF('TL17'!$B$229=L$3,SUMIF('TL17'!$C$238:$C$451,$C19,'TL17'!$J$238:$J$451),0),
IF('TL18'!$B$3=L$3,SUMIF('TL18'!$C$10:$C$224,$C19,'TL18'!$J$10:$J$224),0),
IF('TL18'!$B$229=L$3,SUMIF('TL18'!$C$238:$C$451,$C19,'TL18'!$J$238:$J$451),0),
IF('TL19'!$B$3=L$3,SUMIF('TL19'!$C$10:$C$224,$C19,'TL19'!$J$10:$J$224),0),
IF('TL19'!$B$229=L$3,SUMIF('TL19'!$C$238:$C$451,$C19,'TL19'!$J$238:$J$451),0)
),0)</f>
        <v>0</v>
      </c>
      <c r="M19" s="9">
        <f>IFERROR(SUM(
IF('TL01'!$B$3=M$3,SUMIF('TL01'!$C$10:$C$224,$C19,'TL01'!$J$10:$J$224),0),
IF('TL01'!$B$229=M$3,SUMIF('TL01'!$C$238:$C$451,$C19,'TL01'!$J$238:$J$451),0),
IF('TL02'!$B$3=M$3,SUMIF('TL02'!$C$10:$C$224,$C19,'TL02'!$J$10:$J$224),0),
IF('TL02'!$B$229=M$3,SUMIF('TL02'!$C$238:$C$451,$C19,'TL02'!$J$238:$J$451),0),
IF('TL03'!$B$3=M$3,SUMIF('TL03'!$C$10:$C$224,$C19,'TL03'!$J$10:$J$224),0),
IF('TL03'!$B$229=M$3,SUMIF('TL03'!$C$238:$C$451,$C19,'TL03'!$J$238:$J$451),0),
IF('TL04'!$B$3=M$3,SUMIF('TL04'!$C$10:$C$224,$C19,'TL04'!$J$10:$J$224),0),
IF('TL04'!$B$229=M$3,SUMIF('TL04'!$C$238:$C$451,$C19,'TL04'!$J$238:$J$451),0),
IF('TL05'!$B$3=M$3,SUMIF('TL05'!$C$10:$C$224,$C19,'TL05'!$J$10:$J$224),0),
IF('TL05'!$B$229=M$3,SUMIF('TL05'!$C$238:$C$451,$C19,'TL05'!$J$238:$J$451),0),
IF('TL06'!$B$3=M$3,SUMIF('TL06'!$C$10:$C$224,$C19,'TL06'!$J$10:$J$224),0),
IF('TL06'!$B$229=M$3,SUMIF('TL06'!$C$238:$C$451,$C19,'TL06'!$J$238:$J$451),0),
IF('TL07'!$B$3=M$3,SUMIF('TL07'!$C$10:$C$224,$C19,'TL07'!$J$10:$J$224),0),
IF('TL07'!$B$229=M$3,SUMIF('TL07'!$C$238:$C$451,$C19,'TL07'!$J$238:$J$451),0),
IF('TL08'!$B$3=M$3,SUMIF('TL08'!$C$10:$C$224,$C19,'TL08'!$J$10:$J$224),0),
IF('TL08'!$B$229=M$3,SUMIF('TL08'!$C$238:$C$451,$C19,'TL08'!$J$238:$J$451),0),
IF('TL09'!$B$3=M$3,SUMIF('TL09'!$C$10:$C$224,$C19,'TL09'!$J$10:$J$224),0),
IF('TL09'!$B$229=M$3,SUMIF('TL09'!$C$238:$C$451,$C19,'TL09'!$J$238:$J$451),0),
IF('TL10'!$B$3=M$3,SUMIF('TL10'!$C$10:$C$224,$C19,'TL10'!$J$10:$J$224),0),
IF('TL10'!$B$229=M$3,SUMIF('TL10'!$C$238:$C$451,$C19,'TL10'!$J$238:$J$451),0),
IF('TL11'!$B$3=M$3,SUMIF('TL11'!$C$10:$C$224,$C19,'TL11'!$J$10:$J$224),0),
IF('TL11'!$B$229=M$3,SUMIF('TL11'!$C$238:$C$451,$C19,'TL11'!$J$238:$J$451),0),
IF('TL12'!$B$3=M$3,SUMIF('TL12'!$C$10:$C$224,$C19,'TL12'!$J$10:$J$224),0),
IF('TL12'!$B$229=M$3,SUMIF('TL12'!$C$238:$C$451,$C19,'TL12'!$J$238:$J$451),0),
IF('TL13'!$B$3=M$3,SUMIF('TL13'!$C$10:$C$224,$C19,'TL13'!$J$10:$J$224),0),
IF('TL13'!$B$229=M$3,SUMIF('TL13'!$C$238:$C$451,$C19,'TL13'!$J$238:$J$451),0),
IF('TL14'!$B$3=M$3,SUMIF('TL14'!$C$10:$C$224,$C19,'TL14'!$J$10:$J$224),0),
IF('TL14'!$B$229=M$3,SUMIF('TL14'!$C$238:$C$451,$C19,'TL14'!$J$238:$J$451),0),
IF('TL15'!$B$3=M$3,SUMIF('TL15'!$C$10:$C$224,$C19,'TL15'!$J$10:$J$224),0),
IF('TL15'!$B$229=M$3,SUMIF('TL15'!$C$238:$C$451,$C19,'TL15'!$J$238:$J$451),0),
IF('TL16'!$B$3=M$3,SUMIF('TL16'!$C$10:$C$224,$C19,'TL16'!$J$10:$J$224),0),
IF('TL16'!$B$229=M$3,SUMIF('TL16'!$C$238:$C$451,$C19,'TL16'!$J$238:$J$451),0),
IF('TL17'!$B$3=M$3,SUMIF('TL17'!$C$10:$C$224,$C19,'TL17'!$J$10:$J$224),0),
IF('TL17'!$B$229=M$3,SUMIF('TL17'!$C$238:$C$451,$C19,'TL17'!$J$238:$J$451),0),
IF('TL18'!$B$3=M$3,SUMIF('TL18'!$C$10:$C$224,$C19,'TL18'!$J$10:$J$224),0),
IF('TL18'!$B$229=M$3,SUMIF('TL18'!$C$238:$C$451,$C19,'TL18'!$J$238:$J$451),0),
IF('TL19'!$B$3=M$3,SUMIF('TL19'!$C$10:$C$224,$C19,'TL19'!$J$10:$J$224),0),
IF('TL19'!$B$229=M$3,SUMIF('TL19'!$C$238:$C$451,$C19,'TL19'!$J$238:$J$451),0)
),0)</f>
        <v>0</v>
      </c>
      <c r="N19" s="9">
        <f>IFERROR(SUM(
IF('TL01'!$B$3=N$3,SUMIF('TL01'!$C$10:$C$224,$C19,'TL01'!$J$10:$J$224),0),
IF('TL01'!$B$229=N$3,SUMIF('TL01'!$C$238:$C$451,$C19,'TL01'!$J$238:$J$451),0),
IF('TL02'!$B$3=N$3,SUMIF('TL02'!$C$10:$C$224,$C19,'TL02'!$J$10:$J$224),0),
IF('TL02'!$B$229=N$3,SUMIF('TL02'!$C$238:$C$451,$C19,'TL02'!$J$238:$J$451),0),
IF('TL03'!$B$3=N$3,SUMIF('TL03'!$C$10:$C$224,$C19,'TL03'!$J$10:$J$224),0),
IF('TL03'!$B$229=N$3,SUMIF('TL03'!$C$238:$C$451,$C19,'TL03'!$J$238:$J$451),0),
IF('TL04'!$B$3=N$3,SUMIF('TL04'!$C$10:$C$224,$C19,'TL04'!$J$10:$J$224),0),
IF('TL04'!$B$229=N$3,SUMIF('TL04'!$C$238:$C$451,$C19,'TL04'!$J$238:$J$451),0),
IF('TL05'!$B$3=N$3,SUMIF('TL05'!$C$10:$C$224,$C19,'TL05'!$J$10:$J$224),0),
IF('TL05'!$B$229=N$3,SUMIF('TL05'!$C$238:$C$451,$C19,'TL05'!$J$238:$J$451),0),
IF('TL06'!$B$3=N$3,SUMIF('TL06'!$C$10:$C$224,$C19,'TL06'!$J$10:$J$224),0),
IF('TL06'!$B$229=N$3,SUMIF('TL06'!$C$238:$C$451,$C19,'TL06'!$J$238:$J$451),0),
IF('TL07'!$B$3=N$3,SUMIF('TL07'!$C$10:$C$224,$C19,'TL07'!$J$10:$J$224),0),
IF('TL07'!$B$229=N$3,SUMIF('TL07'!$C$238:$C$451,$C19,'TL07'!$J$238:$J$451),0),
IF('TL08'!$B$3=N$3,SUMIF('TL08'!$C$10:$C$224,$C19,'TL08'!$J$10:$J$224),0),
IF('TL08'!$B$229=N$3,SUMIF('TL08'!$C$238:$C$451,$C19,'TL08'!$J$238:$J$451),0),
IF('TL09'!$B$3=N$3,SUMIF('TL09'!$C$10:$C$224,$C19,'TL09'!$J$10:$J$224),0),
IF('TL09'!$B$229=N$3,SUMIF('TL09'!$C$238:$C$451,$C19,'TL09'!$J$238:$J$451),0),
IF('TL10'!$B$3=N$3,SUMIF('TL10'!$C$10:$C$224,$C19,'TL10'!$J$10:$J$224),0),
IF('TL10'!$B$229=N$3,SUMIF('TL10'!$C$238:$C$451,$C19,'TL10'!$J$238:$J$451),0),
IF('TL11'!$B$3=N$3,SUMIF('TL11'!$C$10:$C$224,$C19,'TL11'!$J$10:$J$224),0),
IF('TL11'!$B$229=N$3,SUMIF('TL11'!$C$238:$C$451,$C19,'TL11'!$J$238:$J$451),0),
IF('TL12'!$B$3=N$3,SUMIF('TL12'!$C$10:$C$224,$C19,'TL12'!$J$10:$J$224),0),
IF('TL12'!$B$229=N$3,SUMIF('TL12'!$C$238:$C$451,$C19,'TL12'!$J$238:$J$451),0),
IF('TL13'!$B$3=N$3,SUMIF('TL13'!$C$10:$C$224,$C19,'TL13'!$J$10:$J$224),0),
IF('TL13'!$B$229=N$3,SUMIF('TL13'!$C$238:$C$451,$C19,'TL13'!$J$238:$J$451),0),
IF('TL14'!$B$3=N$3,SUMIF('TL14'!$C$10:$C$224,$C19,'TL14'!$J$10:$J$224),0),
IF('TL14'!$B$229=N$3,SUMIF('TL14'!$C$238:$C$451,$C19,'TL14'!$J$238:$J$451),0),
IF('TL15'!$B$3=N$3,SUMIF('TL15'!$C$10:$C$224,$C19,'TL15'!$J$10:$J$224),0),
IF('TL15'!$B$229=N$3,SUMIF('TL15'!$C$238:$C$451,$C19,'TL15'!$J$238:$J$451),0),
IF('TL16'!$B$3=N$3,SUMIF('TL16'!$C$10:$C$224,$C19,'TL16'!$J$10:$J$224),0),
IF('TL16'!$B$229=N$3,SUMIF('TL16'!$C$238:$C$451,$C19,'TL16'!$J$238:$J$451),0),
IF('TL17'!$B$3=N$3,SUMIF('TL17'!$C$10:$C$224,$C19,'TL17'!$J$10:$J$224),0),
IF('TL17'!$B$229=N$3,SUMIF('TL17'!$C$238:$C$451,$C19,'TL17'!$J$238:$J$451),0),
IF('TL18'!$B$3=N$3,SUMIF('TL18'!$C$10:$C$224,$C19,'TL18'!$J$10:$J$224),0),
IF('TL18'!$B$229=N$3,SUMIF('TL18'!$C$238:$C$451,$C19,'TL18'!$J$238:$J$451),0),
IF('TL19'!$B$3=N$3,SUMIF('TL19'!$C$10:$C$224,$C19,'TL19'!$J$10:$J$224),0),
IF('TL19'!$B$229=N$3,SUMIF('TL19'!$C$238:$C$451,$C19,'TL19'!$J$238:$J$451),0)
),0)</f>
        <v>0</v>
      </c>
      <c r="O19" s="9">
        <f>IFERROR(SUM(
IF('TL01'!$B$3=O$3,SUMIF('TL01'!$C$10:$C$224,$C19,'TL01'!$J$10:$J$224),0),
IF('TL01'!$B$229=O$3,SUMIF('TL01'!$C$238:$C$451,$C19,'TL01'!$J$238:$J$451),0),
IF('TL02'!$B$3=O$3,SUMIF('TL02'!$C$10:$C$224,$C19,'TL02'!$J$10:$J$224),0),
IF('TL02'!$B$229=O$3,SUMIF('TL02'!$C$238:$C$451,$C19,'TL02'!$J$238:$J$451),0),
IF('TL03'!$B$3=O$3,SUMIF('TL03'!$C$10:$C$224,$C19,'TL03'!$J$10:$J$224),0),
IF('TL03'!$B$229=O$3,SUMIF('TL03'!$C$238:$C$451,$C19,'TL03'!$J$238:$J$451),0),
IF('TL04'!$B$3=O$3,SUMIF('TL04'!$C$10:$C$224,$C19,'TL04'!$J$10:$J$224),0),
IF('TL04'!$B$229=O$3,SUMIF('TL04'!$C$238:$C$451,$C19,'TL04'!$J$238:$J$451),0),
IF('TL05'!$B$3=O$3,SUMIF('TL05'!$C$10:$C$224,$C19,'TL05'!$J$10:$J$224),0),
IF('TL05'!$B$229=O$3,SUMIF('TL05'!$C$238:$C$451,$C19,'TL05'!$J$238:$J$451),0),
IF('TL06'!$B$3=O$3,SUMIF('TL06'!$C$10:$C$224,$C19,'TL06'!$J$10:$J$224),0),
IF('TL06'!$B$229=O$3,SUMIF('TL06'!$C$238:$C$451,$C19,'TL06'!$J$238:$J$451),0),
IF('TL07'!$B$3=O$3,SUMIF('TL07'!$C$10:$C$224,$C19,'TL07'!$J$10:$J$224),0),
IF('TL07'!$B$229=O$3,SUMIF('TL07'!$C$238:$C$451,$C19,'TL07'!$J$238:$J$451),0),
IF('TL08'!$B$3=O$3,SUMIF('TL08'!$C$10:$C$224,$C19,'TL08'!$J$10:$J$224),0),
IF('TL08'!$B$229=O$3,SUMIF('TL08'!$C$238:$C$451,$C19,'TL08'!$J$238:$J$451),0),
IF('TL09'!$B$3=O$3,SUMIF('TL09'!$C$10:$C$224,$C19,'TL09'!$J$10:$J$224),0),
IF('TL09'!$B$229=O$3,SUMIF('TL09'!$C$238:$C$451,$C19,'TL09'!$J$238:$J$451),0),
IF('TL10'!$B$3=O$3,SUMIF('TL10'!$C$10:$C$224,$C19,'TL10'!$J$10:$J$224),0),
IF('TL10'!$B$229=O$3,SUMIF('TL10'!$C$238:$C$451,$C19,'TL10'!$J$238:$J$451),0),
IF('TL11'!$B$3=O$3,SUMIF('TL11'!$C$10:$C$224,$C19,'TL11'!$J$10:$J$224),0),
IF('TL11'!$B$229=O$3,SUMIF('TL11'!$C$238:$C$451,$C19,'TL11'!$J$238:$J$451),0),
IF('TL12'!$B$3=O$3,SUMIF('TL12'!$C$10:$C$224,$C19,'TL12'!$J$10:$J$224),0),
IF('TL12'!$B$229=O$3,SUMIF('TL12'!$C$238:$C$451,$C19,'TL12'!$J$238:$J$451),0),
IF('TL13'!$B$3=O$3,SUMIF('TL13'!$C$10:$C$224,$C19,'TL13'!$J$10:$J$224),0),
IF('TL13'!$B$229=O$3,SUMIF('TL13'!$C$238:$C$451,$C19,'TL13'!$J$238:$J$451),0),
IF('TL14'!$B$3=O$3,SUMIF('TL14'!$C$10:$C$224,$C19,'TL14'!$J$10:$J$224),0),
IF('TL14'!$B$229=O$3,SUMIF('TL14'!$C$238:$C$451,$C19,'TL14'!$J$238:$J$451),0),
IF('TL15'!$B$3=O$3,SUMIF('TL15'!$C$10:$C$224,$C19,'TL15'!$J$10:$J$224),0),
IF('TL15'!$B$229=O$3,SUMIF('TL15'!$C$238:$C$451,$C19,'TL15'!$J$238:$J$451),0),
IF('TL16'!$B$3=O$3,SUMIF('TL16'!$C$10:$C$224,$C19,'TL16'!$J$10:$J$224),0),
IF('TL16'!$B$229=O$3,SUMIF('TL16'!$C$238:$C$451,$C19,'TL16'!$J$238:$J$451),0),
IF('TL17'!$B$3=O$3,SUMIF('TL17'!$C$10:$C$224,$C19,'TL17'!$J$10:$J$224),0),
IF('TL17'!$B$229=O$3,SUMIF('TL17'!$C$238:$C$451,$C19,'TL17'!$J$238:$J$451),0),
IF('TL18'!$B$3=O$3,SUMIF('TL18'!$C$10:$C$224,$C19,'TL18'!$J$10:$J$224),0),
IF('TL18'!$B$229=O$3,SUMIF('TL18'!$C$238:$C$451,$C19,'TL18'!$J$238:$J$451),0),
IF('TL19'!$B$3=O$3,SUMIF('TL19'!$C$10:$C$224,$C19,'TL19'!$J$10:$J$224),0),
IF('TL19'!$B$229=O$3,SUMIF('TL19'!$C$238:$C$451,$C19,'TL19'!$J$238:$J$451),0)
),0)</f>
        <v>0</v>
      </c>
      <c r="P19" s="9">
        <f>IFERROR(SUM(
IF('TL01'!$B$3=P$3,SUMIF('TL01'!$C$10:$C$224,$C19,'TL01'!$J$10:$J$224),0),
IF('TL01'!$B$229=P$3,SUMIF('TL01'!$C$238:$C$451,$C19,'TL01'!$J$238:$J$451),0),
IF('TL02'!$B$3=P$3,SUMIF('TL02'!$C$10:$C$224,$C19,'TL02'!$J$10:$J$224),0),
IF('TL02'!$B$229=P$3,SUMIF('TL02'!$C$238:$C$451,$C19,'TL02'!$J$238:$J$451),0),
IF('TL03'!$B$3=P$3,SUMIF('TL03'!$C$10:$C$224,$C19,'TL03'!$J$10:$J$224),0),
IF('TL03'!$B$229=P$3,SUMIF('TL03'!$C$238:$C$451,$C19,'TL03'!$J$238:$J$451),0),
IF('TL04'!$B$3=P$3,SUMIF('TL04'!$C$10:$C$224,$C19,'TL04'!$J$10:$J$224),0),
IF('TL04'!$B$229=P$3,SUMIF('TL04'!$C$238:$C$451,$C19,'TL04'!$J$238:$J$451),0),
IF('TL05'!$B$3=P$3,SUMIF('TL05'!$C$10:$C$224,$C19,'TL05'!$J$10:$J$224),0),
IF('TL05'!$B$229=P$3,SUMIF('TL05'!$C$238:$C$451,$C19,'TL05'!$J$238:$J$451),0),
IF('TL06'!$B$3=P$3,SUMIF('TL06'!$C$10:$C$224,$C19,'TL06'!$J$10:$J$224),0),
IF('TL06'!$B$229=P$3,SUMIF('TL06'!$C$238:$C$451,$C19,'TL06'!$J$238:$J$451),0),
IF('TL07'!$B$3=P$3,SUMIF('TL07'!$C$10:$C$224,$C19,'TL07'!$J$10:$J$224),0),
IF('TL07'!$B$229=P$3,SUMIF('TL07'!$C$238:$C$451,$C19,'TL07'!$J$238:$J$451),0),
IF('TL08'!$B$3=P$3,SUMIF('TL08'!$C$10:$C$224,$C19,'TL08'!$J$10:$J$224),0),
IF('TL08'!$B$229=P$3,SUMIF('TL08'!$C$238:$C$451,$C19,'TL08'!$J$238:$J$451),0),
IF('TL09'!$B$3=P$3,SUMIF('TL09'!$C$10:$C$224,$C19,'TL09'!$J$10:$J$224),0),
IF('TL09'!$B$229=P$3,SUMIF('TL09'!$C$238:$C$451,$C19,'TL09'!$J$238:$J$451),0),
IF('TL10'!$B$3=P$3,SUMIF('TL10'!$C$10:$C$224,$C19,'TL10'!$J$10:$J$224),0),
IF('TL10'!$B$229=P$3,SUMIF('TL10'!$C$238:$C$451,$C19,'TL10'!$J$238:$J$451),0),
IF('TL11'!$B$3=P$3,SUMIF('TL11'!$C$10:$C$224,$C19,'TL11'!$J$10:$J$224),0),
IF('TL11'!$B$229=P$3,SUMIF('TL11'!$C$238:$C$451,$C19,'TL11'!$J$238:$J$451),0),
IF('TL12'!$B$3=P$3,SUMIF('TL12'!$C$10:$C$224,$C19,'TL12'!$J$10:$J$224),0),
IF('TL12'!$B$229=P$3,SUMIF('TL12'!$C$238:$C$451,$C19,'TL12'!$J$238:$J$451),0),
IF('TL13'!$B$3=P$3,SUMIF('TL13'!$C$10:$C$224,$C19,'TL13'!$J$10:$J$224),0),
IF('TL13'!$B$229=P$3,SUMIF('TL13'!$C$238:$C$451,$C19,'TL13'!$J$238:$J$451),0),
IF('TL14'!$B$3=P$3,SUMIF('TL14'!$C$10:$C$224,$C19,'TL14'!$J$10:$J$224),0),
IF('TL14'!$B$229=P$3,SUMIF('TL14'!$C$238:$C$451,$C19,'TL14'!$J$238:$J$451),0),
IF('TL15'!$B$3=P$3,SUMIF('TL15'!$C$10:$C$224,$C19,'TL15'!$J$10:$J$224),0),
IF('TL15'!$B$229=P$3,SUMIF('TL15'!$C$238:$C$451,$C19,'TL15'!$J$238:$J$451),0),
IF('TL16'!$B$3=P$3,SUMIF('TL16'!$C$10:$C$224,$C19,'TL16'!$J$10:$J$224),0),
IF('TL16'!$B$229=P$3,SUMIF('TL16'!$C$238:$C$451,$C19,'TL16'!$J$238:$J$451),0),
IF('TL17'!$B$3=P$3,SUMIF('TL17'!$C$10:$C$224,$C19,'TL17'!$J$10:$J$224),0),
IF('TL17'!$B$229=P$3,SUMIF('TL17'!$C$238:$C$451,$C19,'TL17'!$J$238:$J$451),0),
IF('TL18'!$B$3=P$3,SUMIF('TL18'!$C$10:$C$224,$C19,'TL18'!$J$10:$J$224),0),
IF('TL18'!$B$229=P$3,SUMIF('TL18'!$C$238:$C$451,$C19,'TL18'!$J$238:$J$451),0),
IF('TL19'!$B$3=P$3,SUMIF('TL19'!$C$10:$C$224,$C19,'TL19'!$J$10:$J$224),0),
IF('TL19'!$B$229=P$3,SUMIF('TL19'!$C$238:$C$451,$C19,'TL19'!$J$238:$J$451),0)
),0)</f>
        <v>0</v>
      </c>
      <c r="Q19" s="9">
        <f>IFERROR(SUM(
IF('TL01'!$B$3=Q$3,SUMIF('TL01'!$C$10:$C$224,$C19,'TL01'!$J$10:$J$224),0),
IF('TL01'!$B$229=Q$3,SUMIF('TL01'!$C$238:$C$451,$C19,'TL01'!$J$238:$J$451),0),
IF('TL02'!$B$3=Q$3,SUMIF('TL02'!$C$10:$C$224,$C19,'TL02'!$J$10:$J$224),0),
IF('TL02'!$B$229=Q$3,SUMIF('TL02'!$C$238:$C$451,$C19,'TL02'!$J$238:$J$451),0),
IF('TL03'!$B$3=Q$3,SUMIF('TL03'!$C$10:$C$224,$C19,'TL03'!$J$10:$J$224),0),
IF('TL03'!$B$229=Q$3,SUMIF('TL03'!$C$238:$C$451,$C19,'TL03'!$J$238:$J$451),0),
IF('TL04'!$B$3=Q$3,SUMIF('TL04'!$C$10:$C$224,$C19,'TL04'!$J$10:$J$224),0),
IF('TL04'!$B$229=Q$3,SUMIF('TL04'!$C$238:$C$451,$C19,'TL04'!$J$238:$J$451),0),
IF('TL05'!$B$3=Q$3,SUMIF('TL05'!$C$10:$C$224,$C19,'TL05'!$J$10:$J$224),0),
IF('TL05'!$B$229=Q$3,SUMIF('TL05'!$C$238:$C$451,$C19,'TL05'!$J$238:$J$451),0),
IF('TL06'!$B$3=Q$3,SUMIF('TL06'!$C$10:$C$224,$C19,'TL06'!$J$10:$J$224),0),
IF('TL06'!$B$229=Q$3,SUMIF('TL06'!$C$238:$C$451,$C19,'TL06'!$J$238:$J$451),0),
IF('TL07'!$B$3=Q$3,SUMIF('TL07'!$C$10:$C$224,$C19,'TL07'!$J$10:$J$224),0),
IF('TL07'!$B$229=Q$3,SUMIF('TL07'!$C$238:$C$451,$C19,'TL07'!$J$238:$J$451),0),
IF('TL08'!$B$3=Q$3,SUMIF('TL08'!$C$10:$C$224,$C19,'TL08'!$J$10:$J$224),0),
IF('TL08'!$B$229=Q$3,SUMIF('TL08'!$C$238:$C$451,$C19,'TL08'!$J$238:$J$451),0),
IF('TL09'!$B$3=Q$3,SUMIF('TL09'!$C$10:$C$224,$C19,'TL09'!$J$10:$J$224),0),
IF('TL09'!$B$229=Q$3,SUMIF('TL09'!$C$238:$C$451,$C19,'TL09'!$J$238:$J$451),0),
IF('TL10'!$B$3=Q$3,SUMIF('TL10'!$C$10:$C$224,$C19,'TL10'!$J$10:$J$224),0),
IF('TL10'!$B$229=Q$3,SUMIF('TL10'!$C$238:$C$451,$C19,'TL10'!$J$238:$J$451),0),
IF('TL11'!$B$3=Q$3,SUMIF('TL11'!$C$10:$C$224,$C19,'TL11'!$J$10:$J$224),0),
IF('TL11'!$B$229=Q$3,SUMIF('TL11'!$C$238:$C$451,$C19,'TL11'!$J$238:$J$451),0),
IF('TL12'!$B$3=Q$3,SUMIF('TL12'!$C$10:$C$224,$C19,'TL12'!$J$10:$J$224),0),
IF('TL12'!$B$229=Q$3,SUMIF('TL12'!$C$238:$C$451,$C19,'TL12'!$J$238:$J$451),0),
IF('TL13'!$B$3=Q$3,SUMIF('TL13'!$C$10:$C$224,$C19,'TL13'!$J$10:$J$224),0),
IF('TL13'!$B$229=Q$3,SUMIF('TL13'!$C$238:$C$451,$C19,'TL13'!$J$238:$J$451),0),
IF('TL14'!$B$3=Q$3,SUMIF('TL14'!$C$10:$C$224,$C19,'TL14'!$J$10:$J$224),0),
IF('TL14'!$B$229=Q$3,SUMIF('TL14'!$C$238:$C$451,$C19,'TL14'!$J$238:$J$451),0),
IF('TL15'!$B$3=Q$3,SUMIF('TL15'!$C$10:$C$224,$C19,'TL15'!$J$10:$J$224),0),
IF('TL15'!$B$229=Q$3,SUMIF('TL15'!$C$238:$C$451,$C19,'TL15'!$J$238:$J$451),0),
IF('TL16'!$B$3=Q$3,SUMIF('TL16'!$C$10:$C$224,$C19,'TL16'!$J$10:$J$224),0),
IF('TL16'!$B$229=Q$3,SUMIF('TL16'!$C$238:$C$451,$C19,'TL16'!$J$238:$J$451),0),
IF('TL17'!$B$3=Q$3,SUMIF('TL17'!$C$10:$C$224,$C19,'TL17'!$J$10:$J$224),0),
IF('TL17'!$B$229=Q$3,SUMIF('TL17'!$C$238:$C$451,$C19,'TL17'!$J$238:$J$451),0),
IF('TL18'!$B$3=Q$3,SUMIF('TL18'!$C$10:$C$224,$C19,'TL18'!$J$10:$J$224),0),
IF('TL18'!$B$229=Q$3,SUMIF('TL18'!$C$238:$C$451,$C19,'TL18'!$J$238:$J$451),0),
IF('TL19'!$B$3=Q$3,SUMIF('TL19'!$C$10:$C$224,$C19,'TL19'!$J$10:$J$224),0),
IF('TL19'!$B$229=Q$3,SUMIF('TL19'!$C$238:$C$451,$C19,'TL19'!$J$238:$J$451),0)
),0)</f>
        <v>0</v>
      </c>
      <c r="R19" s="9">
        <f>IFERROR(
SUM(
SUMIF('TL01'!C:C,C19,'TL01'!J:J),
SUMIF('TL02'!C:C,C19,'TL02'!J:J),
SUMIF('TL03'!C:C,C19,'TL03'!J:J),
SUMIF('TL04'!C:C,C19,'TL04'!J:J),
SUMIF('TL05'!C:C,C19,'TL05'!J:J),
SUMIF('TL06'!C:C,C19,'TL06'!J:J),
SUMIF('TL07'!C:C,C19,'TL07'!J:J),
SUMIF('TL08'!C:C,C19,'TL08'!J:J),
SUMIF('TL09'!C:C,C19,'TL09'!J:J),
SUMIF('TL10'!C:C,C19,'TL10'!J:J),
SUMIF('TL11'!C:C,C19,'TL11'!J:J),
SUMIF('TL12'!C:C,C19,'TL12'!J:J),
SUMIF('TL13'!C:C,C19,'TL13'!J:J),
SUMIF('TL14'!C:C,C19,'TL14'!J:J),
SUMIF('TL15'!C:C,C19,'TL15'!J:J),
SUMIF('TL16'!C:C,C19,'TL16'!J:J),
SUMIF('TL17'!C:C,C19,'TL17'!J:J),
SUMIF('TL18'!C:C,C19,'TL18'!J:J),SUMIF('TL19'!C:C,C19,'TL19'!J:J))
,0)</f>
        <v>0</v>
      </c>
      <c r="S19" s="17">
        <f>IFERROR(__xludf.DUMMYFUNCTION("IFERROR(VLOOKUP(C19,
IMPORTRANGE(""1wULbzX32WdYsx-lj2U3uUNBBe2INVIRDtcK0d-Dvl90"",
""26-27!C:G""),
5,
FALSE),
"""")"),287.413)</f>
        <v>287.413</v>
      </c>
      <c r="T19" s="9"/>
      <c r="U19" s="92">
        <f t="shared" si="2"/>
        <v>0</v>
      </c>
      <c r="V19" s="93">
        <f t="shared" si="3"/>
        <v>0</v>
      </c>
    </row>
    <row r="20" ht="22.5" hidden="1" customHeight="1">
      <c r="A20" s="87" t="s">
        <v>378</v>
      </c>
      <c r="B20" s="88" t="s">
        <v>388</v>
      </c>
      <c r="C20" s="89" t="s">
        <v>389</v>
      </c>
      <c r="D20" s="89" t="s">
        <v>390</v>
      </c>
      <c r="E20" s="89" t="s">
        <v>391</v>
      </c>
      <c r="F20" s="4" t="s">
        <v>392</v>
      </c>
      <c r="G20" s="90" t="str">
        <f t="shared" si="1"/>
        <v>📄 Ver bula</v>
      </c>
      <c r="H20" s="9">
        <f>IFERROR(__xludf.DUMMYFUNCTION("IFERROR(VLOOKUP(C20,
IMPORTRANGE(""1wULbzX32WdYsx-lj2U3uUNBBe2INVIRDtcK0d-Dvl90"",
""26-27!C:K""),
8,
FALSE),
"""")"),0.2)</f>
        <v>0.2</v>
      </c>
      <c r="I20" s="91" t="s">
        <v>377</v>
      </c>
      <c r="J20" s="9">
        <f>IFERROR(SUM(
IF('TL01'!$B$3=J$3,SUMIF('TL01'!$C$10:$C$224,$C20,'TL01'!$J$10:$J$224),0),
IF('TL01'!$B$229=J$3,SUMIF('TL01'!$C$238:$C$451,$C20,'TL01'!$J$238:$J$451),0),
IF('TL02'!$B$3=J$3,SUMIF('TL02'!$C$10:$C$224,$C20,'TL02'!$J$10:$J$224),0),
IF('TL02'!$B$229=J$3,SUMIF('TL02'!$C$238:$C$451,$C20,'TL02'!$J$238:$J$451),0),
IF('TL03'!$B$3=J$3,SUMIF('TL03'!$C$10:$C$224,$C20,'TL03'!$J$10:$J$224),0),
IF('TL03'!$B$229=J$3,SUMIF('TL03'!$C$238:$C$451,$C20,'TL03'!$J$238:$J$451),0),
IF('TL04'!$B$3=J$3,SUMIF('TL04'!$C$10:$C$224,$C20,'TL04'!$J$10:$J$224),0),
IF('TL04'!$B$229=J$3,SUMIF('TL04'!$C$238:$C$451,$C20,'TL04'!$J$238:$J$451),0),
IF('TL05'!$B$3=J$3,SUMIF('TL05'!$C$10:$C$224,$C20,'TL05'!$J$10:$J$224),0),
IF('TL05'!$B$229=J$3,SUMIF('TL05'!$C$238:$C$451,$C20,'TL05'!$J$238:$J$451),0),
IF('TL06'!$B$3=J$3,SUMIF('TL06'!$C$10:$C$224,$C20,'TL06'!$J$10:$J$224),0),
IF('TL06'!$B$229=J$3,SUMIF('TL06'!$C$238:$C$451,$C20,'TL06'!$J$238:$J$451),0),
IF('TL07'!$B$3=J$3,SUMIF('TL07'!$C$10:$C$224,$C20,'TL07'!$J$10:$J$224),0),
IF('TL07'!$B$229=J$3,SUMIF('TL07'!$C$238:$C$451,$C20,'TL07'!$J$238:$J$451),0),
IF('TL08'!$B$3=J$3,SUMIF('TL08'!$C$10:$C$224,$C20,'TL08'!$J$10:$J$224),0),
IF('TL08'!$B$229=J$3,SUMIF('TL08'!$C$238:$C$451,$C20,'TL08'!$J$238:$J$451),0),
IF('TL09'!$B$3=J$3,SUMIF('TL09'!$C$10:$C$224,$C20,'TL09'!$J$10:$J$224),0),
IF('TL09'!$B$229=J$3,SUMIF('TL09'!$C$238:$C$451,$C20,'TL09'!$J$238:$J$451),0),
IF('TL10'!$B$3=J$3,SUMIF('TL10'!$C$10:$C$224,$C20,'TL10'!$J$10:$J$224),0),
IF('TL10'!$B$229=J$3,SUMIF('TL10'!$C$238:$C$451,$C20,'TL10'!$J$238:$J$451),0),
IF('TL11'!$B$3=J$3,SUMIF('TL11'!$C$10:$C$224,$C20,'TL11'!$J$10:$J$224),0),
IF('TL11'!$B$229=J$3,SUMIF('TL11'!$C$238:$C$451,$C20,'TL11'!$J$238:$J$451),0),
IF('TL12'!$B$3=J$3,SUMIF('TL12'!$C$10:$C$224,$C20,'TL12'!$J$10:$J$224),0),
IF('TL12'!$B$229=J$3,SUMIF('TL12'!$C$238:$C$451,$C20,'TL12'!$J$238:$J$451),0),
IF('TL13'!$B$3=J$3,SUMIF('TL13'!$C$10:$C$224,$C20,'TL13'!$J$10:$J$224),0),
IF('TL13'!$B$229=J$3,SUMIF('TL13'!$C$238:$C$451,$C20,'TL13'!$J$238:$J$451),0),
IF('TL14'!$B$3=J$3,SUMIF('TL14'!$C$10:$C$224,$C20,'TL14'!$J$10:$J$224),0),
IF('TL14'!$B$229=J$3,SUMIF('TL14'!$C$238:$C$451,$C20,'TL14'!$J$238:$J$451),0),
IF('TL15'!$B$3=J$3,SUMIF('TL15'!$C$10:$C$224,$C20,'TL15'!$J$10:$J$224),0),
IF('TL15'!$B$229=J$3,SUMIF('TL15'!$C$238:$C$451,$C20,'TL15'!$J$238:$J$451),0),
IF('TL16'!$B$3=J$3,SUMIF('TL16'!$C$10:$C$224,$C20,'TL16'!$J$10:$J$224),0),
IF('TL16'!$B$229=J$3,SUMIF('TL16'!$C$238:$C$451,$C20,'TL16'!$J$238:$J$451),0),
IF('TL17'!$B$3=J$3,SUMIF('TL17'!$C$10:$C$224,$C20,'TL17'!$J$10:$J$224),0),
IF('TL17'!$B$229=J$3,SUMIF('TL17'!$C$238:$C$451,$C20,'TL17'!$J$238:$J$451),0),
IF('TL18'!$B$3=J$3,SUMIF('TL18'!$C$10:$C$224,$C20,'TL18'!$J$10:$J$224),0),
IF('TL18'!$B$229=J$3,SUMIF('TL18'!$C$238:$C$451,$C20,'TL18'!$J$238:$J$451),0),
IF('TL19'!$B$3=J$3,SUMIF('TL19'!$C$10:$C$224,$C20,'TL19'!$J$10:$J$224),0),
IF('TL19'!$B$229=J$3,SUMIF('TL19'!$C$238:$C$451,$C20,'TL19'!$J$238:$J$451),0)
),0)</f>
        <v>0</v>
      </c>
      <c r="K20" s="9">
        <f>IFERROR(SUM(
IF('TL01'!$B$3=K$3,SUMIF('TL01'!$C$10:$C$224,$C20,'TL01'!$J$10:$J$224),0),
IF('TL01'!$B$229=K$3,SUMIF('TL01'!$C$238:$C$451,$C20,'TL01'!$J$238:$J$451),0),
IF('TL02'!$B$3=K$3,SUMIF('TL02'!$C$10:$C$224,$C20,'TL02'!$J$10:$J$224),0),
IF('TL02'!$B$229=K$3,SUMIF('TL02'!$C$238:$C$451,$C20,'TL02'!$J$238:$J$451),0),
IF('TL03'!$B$3=K$3,SUMIF('TL03'!$C$10:$C$224,$C20,'TL03'!$J$10:$J$224),0),
IF('TL03'!$B$229=K$3,SUMIF('TL03'!$C$238:$C$451,$C20,'TL03'!$J$238:$J$451),0),
IF('TL04'!$B$3=K$3,SUMIF('TL04'!$C$10:$C$224,$C20,'TL04'!$J$10:$J$224),0),
IF('TL04'!$B$229=K$3,SUMIF('TL04'!$C$238:$C$451,$C20,'TL04'!$J$238:$J$451),0),
IF('TL05'!$B$3=K$3,SUMIF('TL05'!$C$10:$C$224,$C20,'TL05'!$J$10:$J$224),0),
IF('TL05'!$B$229=K$3,SUMIF('TL05'!$C$238:$C$451,$C20,'TL05'!$J$238:$J$451),0),
IF('TL06'!$B$3=K$3,SUMIF('TL06'!$C$10:$C$224,$C20,'TL06'!$J$10:$J$224),0),
IF('TL06'!$B$229=K$3,SUMIF('TL06'!$C$238:$C$451,$C20,'TL06'!$J$238:$J$451),0),
IF('TL07'!$B$3=K$3,SUMIF('TL07'!$C$10:$C$224,$C20,'TL07'!$J$10:$J$224),0),
IF('TL07'!$B$229=K$3,SUMIF('TL07'!$C$238:$C$451,$C20,'TL07'!$J$238:$J$451),0),
IF('TL08'!$B$3=K$3,SUMIF('TL08'!$C$10:$C$224,$C20,'TL08'!$J$10:$J$224),0),
IF('TL08'!$B$229=K$3,SUMIF('TL08'!$C$238:$C$451,$C20,'TL08'!$J$238:$J$451),0),
IF('TL09'!$B$3=K$3,SUMIF('TL09'!$C$10:$C$224,$C20,'TL09'!$J$10:$J$224),0),
IF('TL09'!$B$229=K$3,SUMIF('TL09'!$C$238:$C$451,$C20,'TL09'!$J$238:$J$451),0),
IF('TL10'!$B$3=K$3,SUMIF('TL10'!$C$10:$C$224,$C20,'TL10'!$J$10:$J$224),0),
IF('TL10'!$B$229=K$3,SUMIF('TL10'!$C$238:$C$451,$C20,'TL10'!$J$238:$J$451),0),
IF('TL11'!$B$3=K$3,SUMIF('TL11'!$C$10:$C$224,$C20,'TL11'!$J$10:$J$224),0),
IF('TL11'!$B$229=K$3,SUMIF('TL11'!$C$238:$C$451,$C20,'TL11'!$J$238:$J$451),0),
IF('TL12'!$B$3=K$3,SUMIF('TL12'!$C$10:$C$224,$C20,'TL12'!$J$10:$J$224),0),
IF('TL12'!$B$229=K$3,SUMIF('TL12'!$C$238:$C$451,$C20,'TL12'!$J$238:$J$451),0),
IF('TL13'!$B$3=K$3,SUMIF('TL13'!$C$10:$C$224,$C20,'TL13'!$J$10:$J$224),0),
IF('TL13'!$B$229=K$3,SUMIF('TL13'!$C$238:$C$451,$C20,'TL13'!$J$238:$J$451),0),
IF('TL14'!$B$3=K$3,SUMIF('TL14'!$C$10:$C$224,$C20,'TL14'!$J$10:$J$224),0),
IF('TL14'!$B$229=K$3,SUMIF('TL14'!$C$238:$C$451,$C20,'TL14'!$J$238:$J$451),0),
IF('TL15'!$B$3=K$3,SUMIF('TL15'!$C$10:$C$224,$C20,'TL15'!$J$10:$J$224),0),
IF('TL15'!$B$229=K$3,SUMIF('TL15'!$C$238:$C$451,$C20,'TL15'!$J$238:$J$451),0),
IF('TL16'!$B$3=K$3,SUMIF('TL16'!$C$10:$C$224,$C20,'TL16'!$J$10:$J$224),0),
IF('TL16'!$B$229=K$3,SUMIF('TL16'!$C$238:$C$451,$C20,'TL16'!$J$238:$J$451),0),
IF('TL17'!$B$3=K$3,SUMIF('TL17'!$C$10:$C$224,$C20,'TL17'!$J$10:$J$224),0),
IF('TL17'!$B$229=K$3,SUMIF('TL17'!$C$238:$C$451,$C20,'TL17'!$J$238:$J$451),0),
IF('TL18'!$B$3=K$3,SUMIF('TL18'!$C$10:$C$224,$C20,'TL18'!$J$10:$J$224),0),
IF('TL18'!$B$229=K$3,SUMIF('TL18'!$C$238:$C$451,$C20,'TL18'!$J$238:$J$451),0),
IF('TL19'!$B$3=K$3,SUMIF('TL19'!$C$10:$C$224,$C20,'TL19'!$J$10:$J$224),0),
IF('TL19'!$B$229=K$3,SUMIF('TL19'!$C$238:$C$451,$C20,'TL19'!$J$238:$J$451),0)
),0)</f>
        <v>0</v>
      </c>
      <c r="L20" s="9">
        <f>IFERROR(SUM(
IF('TL01'!$B$3=L$3,SUMIF('TL01'!$C$10:$C$224,$C20,'TL01'!$J$10:$J$224),0),
IF('TL01'!$B$229=L$3,SUMIF('TL01'!$C$238:$C$451,$C20,'TL01'!$J$238:$J$451),0),
IF('TL02'!$B$3=L$3,SUMIF('TL02'!$C$10:$C$224,$C20,'TL02'!$J$10:$J$224),0),
IF('TL02'!$B$229=L$3,SUMIF('TL02'!$C$238:$C$451,$C20,'TL02'!$J$238:$J$451),0),
IF('TL03'!$B$3=L$3,SUMIF('TL03'!$C$10:$C$224,$C20,'TL03'!$J$10:$J$224),0),
IF('TL03'!$B$229=L$3,SUMIF('TL03'!$C$238:$C$451,$C20,'TL03'!$J$238:$J$451),0),
IF('TL04'!$B$3=L$3,SUMIF('TL04'!$C$10:$C$224,$C20,'TL04'!$J$10:$J$224),0),
IF('TL04'!$B$229=L$3,SUMIF('TL04'!$C$238:$C$451,$C20,'TL04'!$J$238:$J$451),0),
IF('TL05'!$B$3=L$3,SUMIF('TL05'!$C$10:$C$224,$C20,'TL05'!$J$10:$J$224),0),
IF('TL05'!$B$229=L$3,SUMIF('TL05'!$C$238:$C$451,$C20,'TL05'!$J$238:$J$451),0),
IF('TL06'!$B$3=L$3,SUMIF('TL06'!$C$10:$C$224,$C20,'TL06'!$J$10:$J$224),0),
IF('TL06'!$B$229=L$3,SUMIF('TL06'!$C$238:$C$451,$C20,'TL06'!$J$238:$J$451),0),
IF('TL07'!$B$3=L$3,SUMIF('TL07'!$C$10:$C$224,$C20,'TL07'!$J$10:$J$224),0),
IF('TL07'!$B$229=L$3,SUMIF('TL07'!$C$238:$C$451,$C20,'TL07'!$J$238:$J$451),0),
IF('TL08'!$B$3=L$3,SUMIF('TL08'!$C$10:$C$224,$C20,'TL08'!$J$10:$J$224),0),
IF('TL08'!$B$229=L$3,SUMIF('TL08'!$C$238:$C$451,$C20,'TL08'!$J$238:$J$451),0),
IF('TL09'!$B$3=L$3,SUMIF('TL09'!$C$10:$C$224,$C20,'TL09'!$J$10:$J$224),0),
IF('TL09'!$B$229=L$3,SUMIF('TL09'!$C$238:$C$451,$C20,'TL09'!$J$238:$J$451),0),
IF('TL10'!$B$3=L$3,SUMIF('TL10'!$C$10:$C$224,$C20,'TL10'!$J$10:$J$224),0),
IF('TL10'!$B$229=L$3,SUMIF('TL10'!$C$238:$C$451,$C20,'TL10'!$J$238:$J$451),0),
IF('TL11'!$B$3=L$3,SUMIF('TL11'!$C$10:$C$224,$C20,'TL11'!$J$10:$J$224),0),
IF('TL11'!$B$229=L$3,SUMIF('TL11'!$C$238:$C$451,$C20,'TL11'!$J$238:$J$451),0),
IF('TL12'!$B$3=L$3,SUMIF('TL12'!$C$10:$C$224,$C20,'TL12'!$J$10:$J$224),0),
IF('TL12'!$B$229=L$3,SUMIF('TL12'!$C$238:$C$451,$C20,'TL12'!$J$238:$J$451),0),
IF('TL13'!$B$3=L$3,SUMIF('TL13'!$C$10:$C$224,$C20,'TL13'!$J$10:$J$224),0),
IF('TL13'!$B$229=L$3,SUMIF('TL13'!$C$238:$C$451,$C20,'TL13'!$J$238:$J$451),0),
IF('TL14'!$B$3=L$3,SUMIF('TL14'!$C$10:$C$224,$C20,'TL14'!$J$10:$J$224),0),
IF('TL14'!$B$229=L$3,SUMIF('TL14'!$C$238:$C$451,$C20,'TL14'!$J$238:$J$451),0),
IF('TL15'!$B$3=L$3,SUMIF('TL15'!$C$10:$C$224,$C20,'TL15'!$J$10:$J$224),0),
IF('TL15'!$B$229=L$3,SUMIF('TL15'!$C$238:$C$451,$C20,'TL15'!$J$238:$J$451),0),
IF('TL16'!$B$3=L$3,SUMIF('TL16'!$C$10:$C$224,$C20,'TL16'!$J$10:$J$224),0),
IF('TL16'!$B$229=L$3,SUMIF('TL16'!$C$238:$C$451,$C20,'TL16'!$J$238:$J$451),0),
IF('TL17'!$B$3=L$3,SUMIF('TL17'!$C$10:$C$224,$C20,'TL17'!$J$10:$J$224),0),
IF('TL17'!$B$229=L$3,SUMIF('TL17'!$C$238:$C$451,$C20,'TL17'!$J$238:$J$451),0),
IF('TL18'!$B$3=L$3,SUMIF('TL18'!$C$10:$C$224,$C20,'TL18'!$J$10:$J$224),0),
IF('TL18'!$B$229=L$3,SUMIF('TL18'!$C$238:$C$451,$C20,'TL18'!$J$238:$J$451),0),
IF('TL19'!$B$3=L$3,SUMIF('TL19'!$C$10:$C$224,$C20,'TL19'!$J$10:$J$224),0),
IF('TL19'!$B$229=L$3,SUMIF('TL19'!$C$238:$C$451,$C20,'TL19'!$J$238:$J$451),0)
),0)</f>
        <v>0</v>
      </c>
      <c r="M20" s="9">
        <f>IFERROR(SUM(
IF('TL01'!$B$3=M$3,SUMIF('TL01'!$C$10:$C$224,$C20,'TL01'!$J$10:$J$224),0),
IF('TL01'!$B$229=M$3,SUMIF('TL01'!$C$238:$C$451,$C20,'TL01'!$J$238:$J$451),0),
IF('TL02'!$B$3=M$3,SUMIF('TL02'!$C$10:$C$224,$C20,'TL02'!$J$10:$J$224),0),
IF('TL02'!$B$229=M$3,SUMIF('TL02'!$C$238:$C$451,$C20,'TL02'!$J$238:$J$451),0),
IF('TL03'!$B$3=M$3,SUMIF('TL03'!$C$10:$C$224,$C20,'TL03'!$J$10:$J$224),0),
IF('TL03'!$B$229=M$3,SUMIF('TL03'!$C$238:$C$451,$C20,'TL03'!$J$238:$J$451),0),
IF('TL04'!$B$3=M$3,SUMIF('TL04'!$C$10:$C$224,$C20,'TL04'!$J$10:$J$224),0),
IF('TL04'!$B$229=M$3,SUMIF('TL04'!$C$238:$C$451,$C20,'TL04'!$J$238:$J$451),0),
IF('TL05'!$B$3=M$3,SUMIF('TL05'!$C$10:$C$224,$C20,'TL05'!$J$10:$J$224),0),
IF('TL05'!$B$229=M$3,SUMIF('TL05'!$C$238:$C$451,$C20,'TL05'!$J$238:$J$451),0),
IF('TL06'!$B$3=M$3,SUMIF('TL06'!$C$10:$C$224,$C20,'TL06'!$J$10:$J$224),0),
IF('TL06'!$B$229=M$3,SUMIF('TL06'!$C$238:$C$451,$C20,'TL06'!$J$238:$J$451),0),
IF('TL07'!$B$3=M$3,SUMIF('TL07'!$C$10:$C$224,$C20,'TL07'!$J$10:$J$224),0),
IF('TL07'!$B$229=M$3,SUMIF('TL07'!$C$238:$C$451,$C20,'TL07'!$J$238:$J$451),0),
IF('TL08'!$B$3=M$3,SUMIF('TL08'!$C$10:$C$224,$C20,'TL08'!$J$10:$J$224),0),
IF('TL08'!$B$229=M$3,SUMIF('TL08'!$C$238:$C$451,$C20,'TL08'!$J$238:$J$451),0),
IF('TL09'!$B$3=M$3,SUMIF('TL09'!$C$10:$C$224,$C20,'TL09'!$J$10:$J$224),0),
IF('TL09'!$B$229=M$3,SUMIF('TL09'!$C$238:$C$451,$C20,'TL09'!$J$238:$J$451),0),
IF('TL10'!$B$3=M$3,SUMIF('TL10'!$C$10:$C$224,$C20,'TL10'!$J$10:$J$224),0),
IF('TL10'!$B$229=M$3,SUMIF('TL10'!$C$238:$C$451,$C20,'TL10'!$J$238:$J$451),0),
IF('TL11'!$B$3=M$3,SUMIF('TL11'!$C$10:$C$224,$C20,'TL11'!$J$10:$J$224),0),
IF('TL11'!$B$229=M$3,SUMIF('TL11'!$C$238:$C$451,$C20,'TL11'!$J$238:$J$451),0),
IF('TL12'!$B$3=M$3,SUMIF('TL12'!$C$10:$C$224,$C20,'TL12'!$J$10:$J$224),0),
IF('TL12'!$B$229=M$3,SUMIF('TL12'!$C$238:$C$451,$C20,'TL12'!$J$238:$J$451),0),
IF('TL13'!$B$3=M$3,SUMIF('TL13'!$C$10:$C$224,$C20,'TL13'!$J$10:$J$224),0),
IF('TL13'!$B$229=M$3,SUMIF('TL13'!$C$238:$C$451,$C20,'TL13'!$J$238:$J$451),0),
IF('TL14'!$B$3=M$3,SUMIF('TL14'!$C$10:$C$224,$C20,'TL14'!$J$10:$J$224),0),
IF('TL14'!$B$229=M$3,SUMIF('TL14'!$C$238:$C$451,$C20,'TL14'!$J$238:$J$451),0),
IF('TL15'!$B$3=M$3,SUMIF('TL15'!$C$10:$C$224,$C20,'TL15'!$J$10:$J$224),0),
IF('TL15'!$B$229=M$3,SUMIF('TL15'!$C$238:$C$451,$C20,'TL15'!$J$238:$J$451),0),
IF('TL16'!$B$3=M$3,SUMIF('TL16'!$C$10:$C$224,$C20,'TL16'!$J$10:$J$224),0),
IF('TL16'!$B$229=M$3,SUMIF('TL16'!$C$238:$C$451,$C20,'TL16'!$J$238:$J$451),0),
IF('TL17'!$B$3=M$3,SUMIF('TL17'!$C$10:$C$224,$C20,'TL17'!$J$10:$J$224),0),
IF('TL17'!$B$229=M$3,SUMIF('TL17'!$C$238:$C$451,$C20,'TL17'!$J$238:$J$451),0),
IF('TL18'!$B$3=M$3,SUMIF('TL18'!$C$10:$C$224,$C20,'TL18'!$J$10:$J$224),0),
IF('TL18'!$B$229=M$3,SUMIF('TL18'!$C$238:$C$451,$C20,'TL18'!$J$238:$J$451),0),
IF('TL19'!$B$3=M$3,SUMIF('TL19'!$C$10:$C$224,$C20,'TL19'!$J$10:$J$224),0),
IF('TL19'!$B$229=M$3,SUMIF('TL19'!$C$238:$C$451,$C20,'TL19'!$J$238:$J$451),0)
),0)</f>
        <v>0</v>
      </c>
      <c r="N20" s="9">
        <f>IFERROR(SUM(
IF('TL01'!$B$3=N$3,SUMIF('TL01'!$C$10:$C$224,$C20,'TL01'!$J$10:$J$224),0),
IF('TL01'!$B$229=N$3,SUMIF('TL01'!$C$238:$C$451,$C20,'TL01'!$J$238:$J$451),0),
IF('TL02'!$B$3=N$3,SUMIF('TL02'!$C$10:$C$224,$C20,'TL02'!$J$10:$J$224),0),
IF('TL02'!$B$229=N$3,SUMIF('TL02'!$C$238:$C$451,$C20,'TL02'!$J$238:$J$451),0),
IF('TL03'!$B$3=N$3,SUMIF('TL03'!$C$10:$C$224,$C20,'TL03'!$J$10:$J$224),0),
IF('TL03'!$B$229=N$3,SUMIF('TL03'!$C$238:$C$451,$C20,'TL03'!$J$238:$J$451),0),
IF('TL04'!$B$3=N$3,SUMIF('TL04'!$C$10:$C$224,$C20,'TL04'!$J$10:$J$224),0),
IF('TL04'!$B$229=N$3,SUMIF('TL04'!$C$238:$C$451,$C20,'TL04'!$J$238:$J$451),0),
IF('TL05'!$B$3=N$3,SUMIF('TL05'!$C$10:$C$224,$C20,'TL05'!$J$10:$J$224),0),
IF('TL05'!$B$229=N$3,SUMIF('TL05'!$C$238:$C$451,$C20,'TL05'!$J$238:$J$451),0),
IF('TL06'!$B$3=N$3,SUMIF('TL06'!$C$10:$C$224,$C20,'TL06'!$J$10:$J$224),0),
IF('TL06'!$B$229=N$3,SUMIF('TL06'!$C$238:$C$451,$C20,'TL06'!$J$238:$J$451),0),
IF('TL07'!$B$3=N$3,SUMIF('TL07'!$C$10:$C$224,$C20,'TL07'!$J$10:$J$224),0),
IF('TL07'!$B$229=N$3,SUMIF('TL07'!$C$238:$C$451,$C20,'TL07'!$J$238:$J$451),0),
IF('TL08'!$B$3=N$3,SUMIF('TL08'!$C$10:$C$224,$C20,'TL08'!$J$10:$J$224),0),
IF('TL08'!$B$229=N$3,SUMIF('TL08'!$C$238:$C$451,$C20,'TL08'!$J$238:$J$451),0),
IF('TL09'!$B$3=N$3,SUMIF('TL09'!$C$10:$C$224,$C20,'TL09'!$J$10:$J$224),0),
IF('TL09'!$B$229=N$3,SUMIF('TL09'!$C$238:$C$451,$C20,'TL09'!$J$238:$J$451),0),
IF('TL10'!$B$3=N$3,SUMIF('TL10'!$C$10:$C$224,$C20,'TL10'!$J$10:$J$224),0),
IF('TL10'!$B$229=N$3,SUMIF('TL10'!$C$238:$C$451,$C20,'TL10'!$J$238:$J$451),0),
IF('TL11'!$B$3=N$3,SUMIF('TL11'!$C$10:$C$224,$C20,'TL11'!$J$10:$J$224),0),
IF('TL11'!$B$229=N$3,SUMIF('TL11'!$C$238:$C$451,$C20,'TL11'!$J$238:$J$451),0),
IF('TL12'!$B$3=N$3,SUMIF('TL12'!$C$10:$C$224,$C20,'TL12'!$J$10:$J$224),0),
IF('TL12'!$B$229=N$3,SUMIF('TL12'!$C$238:$C$451,$C20,'TL12'!$J$238:$J$451),0),
IF('TL13'!$B$3=N$3,SUMIF('TL13'!$C$10:$C$224,$C20,'TL13'!$J$10:$J$224),0),
IF('TL13'!$B$229=N$3,SUMIF('TL13'!$C$238:$C$451,$C20,'TL13'!$J$238:$J$451),0),
IF('TL14'!$B$3=N$3,SUMIF('TL14'!$C$10:$C$224,$C20,'TL14'!$J$10:$J$224),0),
IF('TL14'!$B$229=N$3,SUMIF('TL14'!$C$238:$C$451,$C20,'TL14'!$J$238:$J$451),0),
IF('TL15'!$B$3=N$3,SUMIF('TL15'!$C$10:$C$224,$C20,'TL15'!$J$10:$J$224),0),
IF('TL15'!$B$229=N$3,SUMIF('TL15'!$C$238:$C$451,$C20,'TL15'!$J$238:$J$451),0),
IF('TL16'!$B$3=N$3,SUMIF('TL16'!$C$10:$C$224,$C20,'TL16'!$J$10:$J$224),0),
IF('TL16'!$B$229=N$3,SUMIF('TL16'!$C$238:$C$451,$C20,'TL16'!$J$238:$J$451),0),
IF('TL17'!$B$3=N$3,SUMIF('TL17'!$C$10:$C$224,$C20,'TL17'!$J$10:$J$224),0),
IF('TL17'!$B$229=N$3,SUMIF('TL17'!$C$238:$C$451,$C20,'TL17'!$J$238:$J$451),0),
IF('TL18'!$B$3=N$3,SUMIF('TL18'!$C$10:$C$224,$C20,'TL18'!$J$10:$J$224),0),
IF('TL18'!$B$229=N$3,SUMIF('TL18'!$C$238:$C$451,$C20,'TL18'!$J$238:$J$451),0),
IF('TL19'!$B$3=N$3,SUMIF('TL19'!$C$10:$C$224,$C20,'TL19'!$J$10:$J$224),0),
IF('TL19'!$B$229=N$3,SUMIF('TL19'!$C$238:$C$451,$C20,'TL19'!$J$238:$J$451),0)
),0)</f>
        <v>0</v>
      </c>
      <c r="O20" s="9">
        <f>IFERROR(SUM(
IF('TL01'!$B$3=O$3,SUMIF('TL01'!$C$10:$C$224,$C20,'TL01'!$J$10:$J$224),0),
IF('TL01'!$B$229=O$3,SUMIF('TL01'!$C$238:$C$451,$C20,'TL01'!$J$238:$J$451),0),
IF('TL02'!$B$3=O$3,SUMIF('TL02'!$C$10:$C$224,$C20,'TL02'!$J$10:$J$224),0),
IF('TL02'!$B$229=O$3,SUMIF('TL02'!$C$238:$C$451,$C20,'TL02'!$J$238:$J$451),0),
IF('TL03'!$B$3=O$3,SUMIF('TL03'!$C$10:$C$224,$C20,'TL03'!$J$10:$J$224),0),
IF('TL03'!$B$229=O$3,SUMIF('TL03'!$C$238:$C$451,$C20,'TL03'!$J$238:$J$451),0),
IF('TL04'!$B$3=O$3,SUMIF('TL04'!$C$10:$C$224,$C20,'TL04'!$J$10:$J$224),0),
IF('TL04'!$B$229=O$3,SUMIF('TL04'!$C$238:$C$451,$C20,'TL04'!$J$238:$J$451),0),
IF('TL05'!$B$3=O$3,SUMIF('TL05'!$C$10:$C$224,$C20,'TL05'!$J$10:$J$224),0),
IF('TL05'!$B$229=O$3,SUMIF('TL05'!$C$238:$C$451,$C20,'TL05'!$J$238:$J$451),0),
IF('TL06'!$B$3=O$3,SUMIF('TL06'!$C$10:$C$224,$C20,'TL06'!$J$10:$J$224),0),
IF('TL06'!$B$229=O$3,SUMIF('TL06'!$C$238:$C$451,$C20,'TL06'!$J$238:$J$451),0),
IF('TL07'!$B$3=O$3,SUMIF('TL07'!$C$10:$C$224,$C20,'TL07'!$J$10:$J$224),0),
IF('TL07'!$B$229=O$3,SUMIF('TL07'!$C$238:$C$451,$C20,'TL07'!$J$238:$J$451),0),
IF('TL08'!$B$3=O$3,SUMIF('TL08'!$C$10:$C$224,$C20,'TL08'!$J$10:$J$224),0),
IF('TL08'!$B$229=O$3,SUMIF('TL08'!$C$238:$C$451,$C20,'TL08'!$J$238:$J$451),0),
IF('TL09'!$B$3=O$3,SUMIF('TL09'!$C$10:$C$224,$C20,'TL09'!$J$10:$J$224),0),
IF('TL09'!$B$229=O$3,SUMIF('TL09'!$C$238:$C$451,$C20,'TL09'!$J$238:$J$451),0),
IF('TL10'!$B$3=O$3,SUMIF('TL10'!$C$10:$C$224,$C20,'TL10'!$J$10:$J$224),0),
IF('TL10'!$B$229=O$3,SUMIF('TL10'!$C$238:$C$451,$C20,'TL10'!$J$238:$J$451),0),
IF('TL11'!$B$3=O$3,SUMIF('TL11'!$C$10:$C$224,$C20,'TL11'!$J$10:$J$224),0),
IF('TL11'!$B$229=O$3,SUMIF('TL11'!$C$238:$C$451,$C20,'TL11'!$J$238:$J$451),0),
IF('TL12'!$B$3=O$3,SUMIF('TL12'!$C$10:$C$224,$C20,'TL12'!$J$10:$J$224),0),
IF('TL12'!$B$229=O$3,SUMIF('TL12'!$C$238:$C$451,$C20,'TL12'!$J$238:$J$451),0),
IF('TL13'!$B$3=O$3,SUMIF('TL13'!$C$10:$C$224,$C20,'TL13'!$J$10:$J$224),0),
IF('TL13'!$B$229=O$3,SUMIF('TL13'!$C$238:$C$451,$C20,'TL13'!$J$238:$J$451),0),
IF('TL14'!$B$3=O$3,SUMIF('TL14'!$C$10:$C$224,$C20,'TL14'!$J$10:$J$224),0),
IF('TL14'!$B$229=O$3,SUMIF('TL14'!$C$238:$C$451,$C20,'TL14'!$J$238:$J$451),0),
IF('TL15'!$B$3=O$3,SUMIF('TL15'!$C$10:$C$224,$C20,'TL15'!$J$10:$J$224),0),
IF('TL15'!$B$229=O$3,SUMIF('TL15'!$C$238:$C$451,$C20,'TL15'!$J$238:$J$451),0),
IF('TL16'!$B$3=O$3,SUMIF('TL16'!$C$10:$C$224,$C20,'TL16'!$J$10:$J$224),0),
IF('TL16'!$B$229=O$3,SUMIF('TL16'!$C$238:$C$451,$C20,'TL16'!$J$238:$J$451),0),
IF('TL17'!$B$3=O$3,SUMIF('TL17'!$C$10:$C$224,$C20,'TL17'!$J$10:$J$224),0),
IF('TL17'!$B$229=O$3,SUMIF('TL17'!$C$238:$C$451,$C20,'TL17'!$J$238:$J$451),0),
IF('TL18'!$B$3=O$3,SUMIF('TL18'!$C$10:$C$224,$C20,'TL18'!$J$10:$J$224),0),
IF('TL18'!$B$229=O$3,SUMIF('TL18'!$C$238:$C$451,$C20,'TL18'!$J$238:$J$451),0),
IF('TL19'!$B$3=O$3,SUMIF('TL19'!$C$10:$C$224,$C20,'TL19'!$J$10:$J$224),0),
IF('TL19'!$B$229=O$3,SUMIF('TL19'!$C$238:$C$451,$C20,'TL19'!$J$238:$J$451),0)
),0)</f>
        <v>0</v>
      </c>
      <c r="P20" s="9">
        <f>IFERROR(SUM(
IF('TL01'!$B$3=P$3,SUMIF('TL01'!$C$10:$C$224,$C20,'TL01'!$J$10:$J$224),0),
IF('TL01'!$B$229=P$3,SUMIF('TL01'!$C$238:$C$451,$C20,'TL01'!$J$238:$J$451),0),
IF('TL02'!$B$3=P$3,SUMIF('TL02'!$C$10:$C$224,$C20,'TL02'!$J$10:$J$224),0),
IF('TL02'!$B$229=P$3,SUMIF('TL02'!$C$238:$C$451,$C20,'TL02'!$J$238:$J$451),0),
IF('TL03'!$B$3=P$3,SUMIF('TL03'!$C$10:$C$224,$C20,'TL03'!$J$10:$J$224),0),
IF('TL03'!$B$229=P$3,SUMIF('TL03'!$C$238:$C$451,$C20,'TL03'!$J$238:$J$451),0),
IF('TL04'!$B$3=P$3,SUMIF('TL04'!$C$10:$C$224,$C20,'TL04'!$J$10:$J$224),0),
IF('TL04'!$B$229=P$3,SUMIF('TL04'!$C$238:$C$451,$C20,'TL04'!$J$238:$J$451),0),
IF('TL05'!$B$3=P$3,SUMIF('TL05'!$C$10:$C$224,$C20,'TL05'!$J$10:$J$224),0),
IF('TL05'!$B$229=P$3,SUMIF('TL05'!$C$238:$C$451,$C20,'TL05'!$J$238:$J$451),0),
IF('TL06'!$B$3=P$3,SUMIF('TL06'!$C$10:$C$224,$C20,'TL06'!$J$10:$J$224),0),
IF('TL06'!$B$229=P$3,SUMIF('TL06'!$C$238:$C$451,$C20,'TL06'!$J$238:$J$451),0),
IF('TL07'!$B$3=P$3,SUMIF('TL07'!$C$10:$C$224,$C20,'TL07'!$J$10:$J$224),0),
IF('TL07'!$B$229=P$3,SUMIF('TL07'!$C$238:$C$451,$C20,'TL07'!$J$238:$J$451),0),
IF('TL08'!$B$3=P$3,SUMIF('TL08'!$C$10:$C$224,$C20,'TL08'!$J$10:$J$224),0),
IF('TL08'!$B$229=P$3,SUMIF('TL08'!$C$238:$C$451,$C20,'TL08'!$J$238:$J$451),0),
IF('TL09'!$B$3=P$3,SUMIF('TL09'!$C$10:$C$224,$C20,'TL09'!$J$10:$J$224),0),
IF('TL09'!$B$229=P$3,SUMIF('TL09'!$C$238:$C$451,$C20,'TL09'!$J$238:$J$451),0),
IF('TL10'!$B$3=P$3,SUMIF('TL10'!$C$10:$C$224,$C20,'TL10'!$J$10:$J$224),0),
IF('TL10'!$B$229=P$3,SUMIF('TL10'!$C$238:$C$451,$C20,'TL10'!$J$238:$J$451),0),
IF('TL11'!$B$3=P$3,SUMIF('TL11'!$C$10:$C$224,$C20,'TL11'!$J$10:$J$224),0),
IF('TL11'!$B$229=P$3,SUMIF('TL11'!$C$238:$C$451,$C20,'TL11'!$J$238:$J$451),0),
IF('TL12'!$B$3=P$3,SUMIF('TL12'!$C$10:$C$224,$C20,'TL12'!$J$10:$J$224),0),
IF('TL12'!$B$229=P$3,SUMIF('TL12'!$C$238:$C$451,$C20,'TL12'!$J$238:$J$451),0),
IF('TL13'!$B$3=P$3,SUMIF('TL13'!$C$10:$C$224,$C20,'TL13'!$J$10:$J$224),0),
IF('TL13'!$B$229=P$3,SUMIF('TL13'!$C$238:$C$451,$C20,'TL13'!$J$238:$J$451),0),
IF('TL14'!$B$3=P$3,SUMIF('TL14'!$C$10:$C$224,$C20,'TL14'!$J$10:$J$224),0),
IF('TL14'!$B$229=P$3,SUMIF('TL14'!$C$238:$C$451,$C20,'TL14'!$J$238:$J$451),0),
IF('TL15'!$B$3=P$3,SUMIF('TL15'!$C$10:$C$224,$C20,'TL15'!$J$10:$J$224),0),
IF('TL15'!$B$229=P$3,SUMIF('TL15'!$C$238:$C$451,$C20,'TL15'!$J$238:$J$451),0),
IF('TL16'!$B$3=P$3,SUMIF('TL16'!$C$10:$C$224,$C20,'TL16'!$J$10:$J$224),0),
IF('TL16'!$B$229=P$3,SUMIF('TL16'!$C$238:$C$451,$C20,'TL16'!$J$238:$J$451),0),
IF('TL17'!$B$3=P$3,SUMIF('TL17'!$C$10:$C$224,$C20,'TL17'!$J$10:$J$224),0),
IF('TL17'!$B$229=P$3,SUMIF('TL17'!$C$238:$C$451,$C20,'TL17'!$J$238:$J$451),0),
IF('TL18'!$B$3=P$3,SUMIF('TL18'!$C$10:$C$224,$C20,'TL18'!$J$10:$J$224),0),
IF('TL18'!$B$229=P$3,SUMIF('TL18'!$C$238:$C$451,$C20,'TL18'!$J$238:$J$451),0),
IF('TL19'!$B$3=P$3,SUMIF('TL19'!$C$10:$C$224,$C20,'TL19'!$J$10:$J$224),0),
IF('TL19'!$B$229=P$3,SUMIF('TL19'!$C$238:$C$451,$C20,'TL19'!$J$238:$J$451),0)
),0)</f>
        <v>0</v>
      </c>
      <c r="Q20" s="9">
        <f>IFERROR(SUM(
IF('TL01'!$B$3=Q$3,SUMIF('TL01'!$C$10:$C$224,$C20,'TL01'!$J$10:$J$224),0),
IF('TL01'!$B$229=Q$3,SUMIF('TL01'!$C$238:$C$451,$C20,'TL01'!$J$238:$J$451),0),
IF('TL02'!$B$3=Q$3,SUMIF('TL02'!$C$10:$C$224,$C20,'TL02'!$J$10:$J$224),0),
IF('TL02'!$B$229=Q$3,SUMIF('TL02'!$C$238:$C$451,$C20,'TL02'!$J$238:$J$451),0),
IF('TL03'!$B$3=Q$3,SUMIF('TL03'!$C$10:$C$224,$C20,'TL03'!$J$10:$J$224),0),
IF('TL03'!$B$229=Q$3,SUMIF('TL03'!$C$238:$C$451,$C20,'TL03'!$J$238:$J$451),0),
IF('TL04'!$B$3=Q$3,SUMIF('TL04'!$C$10:$C$224,$C20,'TL04'!$J$10:$J$224),0),
IF('TL04'!$B$229=Q$3,SUMIF('TL04'!$C$238:$C$451,$C20,'TL04'!$J$238:$J$451),0),
IF('TL05'!$B$3=Q$3,SUMIF('TL05'!$C$10:$C$224,$C20,'TL05'!$J$10:$J$224),0),
IF('TL05'!$B$229=Q$3,SUMIF('TL05'!$C$238:$C$451,$C20,'TL05'!$J$238:$J$451),0),
IF('TL06'!$B$3=Q$3,SUMIF('TL06'!$C$10:$C$224,$C20,'TL06'!$J$10:$J$224),0),
IF('TL06'!$B$229=Q$3,SUMIF('TL06'!$C$238:$C$451,$C20,'TL06'!$J$238:$J$451),0),
IF('TL07'!$B$3=Q$3,SUMIF('TL07'!$C$10:$C$224,$C20,'TL07'!$J$10:$J$224),0),
IF('TL07'!$B$229=Q$3,SUMIF('TL07'!$C$238:$C$451,$C20,'TL07'!$J$238:$J$451),0),
IF('TL08'!$B$3=Q$3,SUMIF('TL08'!$C$10:$C$224,$C20,'TL08'!$J$10:$J$224),0),
IF('TL08'!$B$229=Q$3,SUMIF('TL08'!$C$238:$C$451,$C20,'TL08'!$J$238:$J$451),0),
IF('TL09'!$B$3=Q$3,SUMIF('TL09'!$C$10:$C$224,$C20,'TL09'!$J$10:$J$224),0),
IF('TL09'!$B$229=Q$3,SUMIF('TL09'!$C$238:$C$451,$C20,'TL09'!$J$238:$J$451),0),
IF('TL10'!$B$3=Q$3,SUMIF('TL10'!$C$10:$C$224,$C20,'TL10'!$J$10:$J$224),0),
IF('TL10'!$B$229=Q$3,SUMIF('TL10'!$C$238:$C$451,$C20,'TL10'!$J$238:$J$451),0),
IF('TL11'!$B$3=Q$3,SUMIF('TL11'!$C$10:$C$224,$C20,'TL11'!$J$10:$J$224),0),
IF('TL11'!$B$229=Q$3,SUMIF('TL11'!$C$238:$C$451,$C20,'TL11'!$J$238:$J$451),0),
IF('TL12'!$B$3=Q$3,SUMIF('TL12'!$C$10:$C$224,$C20,'TL12'!$J$10:$J$224),0),
IF('TL12'!$B$229=Q$3,SUMIF('TL12'!$C$238:$C$451,$C20,'TL12'!$J$238:$J$451),0),
IF('TL13'!$B$3=Q$3,SUMIF('TL13'!$C$10:$C$224,$C20,'TL13'!$J$10:$J$224),0),
IF('TL13'!$B$229=Q$3,SUMIF('TL13'!$C$238:$C$451,$C20,'TL13'!$J$238:$J$451),0),
IF('TL14'!$B$3=Q$3,SUMIF('TL14'!$C$10:$C$224,$C20,'TL14'!$J$10:$J$224),0),
IF('TL14'!$B$229=Q$3,SUMIF('TL14'!$C$238:$C$451,$C20,'TL14'!$J$238:$J$451),0),
IF('TL15'!$B$3=Q$3,SUMIF('TL15'!$C$10:$C$224,$C20,'TL15'!$J$10:$J$224),0),
IF('TL15'!$B$229=Q$3,SUMIF('TL15'!$C$238:$C$451,$C20,'TL15'!$J$238:$J$451),0),
IF('TL16'!$B$3=Q$3,SUMIF('TL16'!$C$10:$C$224,$C20,'TL16'!$J$10:$J$224),0),
IF('TL16'!$B$229=Q$3,SUMIF('TL16'!$C$238:$C$451,$C20,'TL16'!$J$238:$J$451),0),
IF('TL17'!$B$3=Q$3,SUMIF('TL17'!$C$10:$C$224,$C20,'TL17'!$J$10:$J$224),0),
IF('TL17'!$B$229=Q$3,SUMIF('TL17'!$C$238:$C$451,$C20,'TL17'!$J$238:$J$451),0),
IF('TL18'!$B$3=Q$3,SUMIF('TL18'!$C$10:$C$224,$C20,'TL18'!$J$10:$J$224),0),
IF('TL18'!$B$229=Q$3,SUMIF('TL18'!$C$238:$C$451,$C20,'TL18'!$J$238:$J$451),0),
IF('TL19'!$B$3=Q$3,SUMIF('TL19'!$C$10:$C$224,$C20,'TL19'!$J$10:$J$224),0),
IF('TL19'!$B$229=Q$3,SUMIF('TL19'!$C$238:$C$451,$C20,'TL19'!$J$238:$J$451),0)
),0)</f>
        <v>0</v>
      </c>
      <c r="R20" s="9">
        <f>IFERROR(
SUM(
SUMIF('TL01'!C:C,C20,'TL01'!J:J),
SUMIF('TL02'!C:C,C20,'TL02'!J:J),
SUMIF('TL03'!C:C,C20,'TL03'!J:J),
SUMIF('TL04'!C:C,C20,'TL04'!J:J),
SUMIF('TL05'!C:C,C20,'TL05'!J:J),
SUMIF('TL06'!C:C,C20,'TL06'!J:J),
SUMIF('TL07'!C:C,C20,'TL07'!J:J),
SUMIF('TL08'!C:C,C20,'TL08'!J:J),
SUMIF('TL09'!C:C,C20,'TL09'!J:J),
SUMIF('TL10'!C:C,C20,'TL10'!J:J),
SUMIF('TL11'!C:C,C20,'TL11'!J:J),
SUMIF('TL12'!C:C,C20,'TL12'!J:J),
SUMIF('TL13'!C:C,C20,'TL13'!J:J),
SUMIF('TL14'!C:C,C20,'TL14'!J:J),
SUMIF('TL15'!C:C,C20,'TL15'!J:J),
SUMIF('TL16'!C:C,C20,'TL16'!J:J),
SUMIF('TL17'!C:C,C20,'TL17'!J:J),
SUMIF('TL18'!C:C,C20,'TL18'!J:J),SUMIF('TL19'!C:C,C20,'TL19'!J:J))
,0)</f>
        <v>0</v>
      </c>
      <c r="S20" s="17">
        <f>IFERROR(__xludf.DUMMYFUNCTION("IFERROR(VLOOKUP(C20,
IMPORTRANGE(""1wULbzX32WdYsx-lj2U3uUNBBe2INVIRDtcK0d-Dvl90"",
""26-27!C:G""),
5,
FALSE),
"""")"),502.873)</f>
        <v>502.873</v>
      </c>
      <c r="T20" s="9"/>
      <c r="U20" s="92">
        <f t="shared" si="2"/>
        <v>0</v>
      </c>
      <c r="V20" s="93">
        <f t="shared" si="3"/>
        <v>0</v>
      </c>
    </row>
    <row r="21" ht="22.5" hidden="1" customHeight="1">
      <c r="A21" s="94" t="s">
        <v>356</v>
      </c>
      <c r="B21" s="95" t="s">
        <v>393</v>
      </c>
      <c r="C21" s="96" t="s">
        <v>394</v>
      </c>
      <c r="D21" s="96" t="s">
        <v>395</v>
      </c>
      <c r="E21" s="96">
        <v>270.0</v>
      </c>
      <c r="F21" s="4" t="s">
        <v>392</v>
      </c>
      <c r="G21" s="90" t="str">
        <f t="shared" si="1"/>
        <v>📄 Ver bula</v>
      </c>
      <c r="H21" s="9">
        <f>IFERROR(__xludf.DUMMYFUNCTION("IFERROR(VLOOKUP(C21,
IMPORTRANGE(""1wULbzX32WdYsx-lj2U3uUNBBe2INVIRDtcK0d-Dvl90"",
""26-27!C:K""),
8,
FALSE),
"""")"),0.01)</f>
        <v>0.01</v>
      </c>
      <c r="I21" s="97" t="s">
        <v>396</v>
      </c>
      <c r="J21" s="9">
        <f>IFERROR(SUM(
IF('TL01'!$B$3=J$3,SUMIF('TL01'!$C$10:$C$224,$C21,'TL01'!$J$10:$J$224),0),
IF('TL01'!$B$229=J$3,SUMIF('TL01'!$C$238:$C$451,$C21,'TL01'!$J$238:$J$451),0),
IF('TL02'!$B$3=J$3,SUMIF('TL02'!$C$10:$C$224,$C21,'TL02'!$J$10:$J$224),0),
IF('TL02'!$B$229=J$3,SUMIF('TL02'!$C$238:$C$451,$C21,'TL02'!$J$238:$J$451),0),
IF('TL03'!$B$3=J$3,SUMIF('TL03'!$C$10:$C$224,$C21,'TL03'!$J$10:$J$224),0),
IF('TL03'!$B$229=J$3,SUMIF('TL03'!$C$238:$C$451,$C21,'TL03'!$J$238:$J$451),0),
IF('TL04'!$B$3=J$3,SUMIF('TL04'!$C$10:$C$224,$C21,'TL04'!$J$10:$J$224),0),
IF('TL04'!$B$229=J$3,SUMIF('TL04'!$C$238:$C$451,$C21,'TL04'!$J$238:$J$451),0),
IF('TL05'!$B$3=J$3,SUMIF('TL05'!$C$10:$C$224,$C21,'TL05'!$J$10:$J$224),0),
IF('TL05'!$B$229=J$3,SUMIF('TL05'!$C$238:$C$451,$C21,'TL05'!$J$238:$J$451),0),
IF('TL06'!$B$3=J$3,SUMIF('TL06'!$C$10:$C$224,$C21,'TL06'!$J$10:$J$224),0),
IF('TL06'!$B$229=J$3,SUMIF('TL06'!$C$238:$C$451,$C21,'TL06'!$J$238:$J$451),0),
IF('TL07'!$B$3=J$3,SUMIF('TL07'!$C$10:$C$224,$C21,'TL07'!$J$10:$J$224),0),
IF('TL07'!$B$229=J$3,SUMIF('TL07'!$C$238:$C$451,$C21,'TL07'!$J$238:$J$451),0),
IF('TL08'!$B$3=J$3,SUMIF('TL08'!$C$10:$C$224,$C21,'TL08'!$J$10:$J$224),0),
IF('TL08'!$B$229=J$3,SUMIF('TL08'!$C$238:$C$451,$C21,'TL08'!$J$238:$J$451),0),
IF('TL09'!$B$3=J$3,SUMIF('TL09'!$C$10:$C$224,$C21,'TL09'!$J$10:$J$224),0),
IF('TL09'!$B$229=J$3,SUMIF('TL09'!$C$238:$C$451,$C21,'TL09'!$J$238:$J$451),0),
IF('TL10'!$B$3=J$3,SUMIF('TL10'!$C$10:$C$224,$C21,'TL10'!$J$10:$J$224),0),
IF('TL10'!$B$229=J$3,SUMIF('TL10'!$C$238:$C$451,$C21,'TL10'!$J$238:$J$451),0),
IF('TL11'!$B$3=J$3,SUMIF('TL11'!$C$10:$C$224,$C21,'TL11'!$J$10:$J$224),0),
IF('TL11'!$B$229=J$3,SUMIF('TL11'!$C$238:$C$451,$C21,'TL11'!$J$238:$J$451),0),
IF('TL12'!$B$3=J$3,SUMIF('TL12'!$C$10:$C$224,$C21,'TL12'!$J$10:$J$224),0),
IF('TL12'!$B$229=J$3,SUMIF('TL12'!$C$238:$C$451,$C21,'TL12'!$J$238:$J$451),0),
IF('TL13'!$B$3=J$3,SUMIF('TL13'!$C$10:$C$224,$C21,'TL13'!$J$10:$J$224),0),
IF('TL13'!$B$229=J$3,SUMIF('TL13'!$C$238:$C$451,$C21,'TL13'!$J$238:$J$451),0),
IF('TL14'!$B$3=J$3,SUMIF('TL14'!$C$10:$C$224,$C21,'TL14'!$J$10:$J$224),0),
IF('TL14'!$B$229=J$3,SUMIF('TL14'!$C$238:$C$451,$C21,'TL14'!$J$238:$J$451),0),
IF('TL15'!$B$3=J$3,SUMIF('TL15'!$C$10:$C$224,$C21,'TL15'!$J$10:$J$224),0),
IF('TL15'!$B$229=J$3,SUMIF('TL15'!$C$238:$C$451,$C21,'TL15'!$J$238:$J$451),0),
IF('TL16'!$B$3=J$3,SUMIF('TL16'!$C$10:$C$224,$C21,'TL16'!$J$10:$J$224),0),
IF('TL16'!$B$229=J$3,SUMIF('TL16'!$C$238:$C$451,$C21,'TL16'!$J$238:$J$451),0),
IF('TL17'!$B$3=J$3,SUMIF('TL17'!$C$10:$C$224,$C21,'TL17'!$J$10:$J$224),0),
IF('TL17'!$B$229=J$3,SUMIF('TL17'!$C$238:$C$451,$C21,'TL17'!$J$238:$J$451),0),
IF('TL18'!$B$3=J$3,SUMIF('TL18'!$C$10:$C$224,$C21,'TL18'!$J$10:$J$224),0),
IF('TL18'!$B$229=J$3,SUMIF('TL18'!$C$238:$C$451,$C21,'TL18'!$J$238:$J$451),0),
IF('TL19'!$B$3=J$3,SUMIF('TL19'!$C$10:$C$224,$C21,'TL19'!$J$10:$J$224),0),
IF('TL19'!$B$229=J$3,SUMIF('TL19'!$C$238:$C$451,$C21,'TL19'!$J$238:$J$451),0)
),0)</f>
        <v>0</v>
      </c>
      <c r="K21" s="9">
        <f>IFERROR(SUM(
IF('TL01'!$B$3=K$3,SUMIF('TL01'!$C$10:$C$224,$C21,'TL01'!$J$10:$J$224),0),
IF('TL01'!$B$229=K$3,SUMIF('TL01'!$C$238:$C$451,$C21,'TL01'!$J$238:$J$451),0),
IF('TL02'!$B$3=K$3,SUMIF('TL02'!$C$10:$C$224,$C21,'TL02'!$J$10:$J$224),0),
IF('TL02'!$B$229=K$3,SUMIF('TL02'!$C$238:$C$451,$C21,'TL02'!$J$238:$J$451),0),
IF('TL03'!$B$3=K$3,SUMIF('TL03'!$C$10:$C$224,$C21,'TL03'!$J$10:$J$224),0),
IF('TL03'!$B$229=K$3,SUMIF('TL03'!$C$238:$C$451,$C21,'TL03'!$J$238:$J$451),0),
IF('TL04'!$B$3=K$3,SUMIF('TL04'!$C$10:$C$224,$C21,'TL04'!$J$10:$J$224),0),
IF('TL04'!$B$229=K$3,SUMIF('TL04'!$C$238:$C$451,$C21,'TL04'!$J$238:$J$451),0),
IF('TL05'!$B$3=K$3,SUMIF('TL05'!$C$10:$C$224,$C21,'TL05'!$J$10:$J$224),0),
IF('TL05'!$B$229=K$3,SUMIF('TL05'!$C$238:$C$451,$C21,'TL05'!$J$238:$J$451),0),
IF('TL06'!$B$3=K$3,SUMIF('TL06'!$C$10:$C$224,$C21,'TL06'!$J$10:$J$224),0),
IF('TL06'!$B$229=K$3,SUMIF('TL06'!$C$238:$C$451,$C21,'TL06'!$J$238:$J$451),0),
IF('TL07'!$B$3=K$3,SUMIF('TL07'!$C$10:$C$224,$C21,'TL07'!$J$10:$J$224),0),
IF('TL07'!$B$229=K$3,SUMIF('TL07'!$C$238:$C$451,$C21,'TL07'!$J$238:$J$451),0),
IF('TL08'!$B$3=K$3,SUMIF('TL08'!$C$10:$C$224,$C21,'TL08'!$J$10:$J$224),0),
IF('TL08'!$B$229=K$3,SUMIF('TL08'!$C$238:$C$451,$C21,'TL08'!$J$238:$J$451),0),
IF('TL09'!$B$3=K$3,SUMIF('TL09'!$C$10:$C$224,$C21,'TL09'!$J$10:$J$224),0),
IF('TL09'!$B$229=K$3,SUMIF('TL09'!$C$238:$C$451,$C21,'TL09'!$J$238:$J$451),0),
IF('TL10'!$B$3=K$3,SUMIF('TL10'!$C$10:$C$224,$C21,'TL10'!$J$10:$J$224),0),
IF('TL10'!$B$229=K$3,SUMIF('TL10'!$C$238:$C$451,$C21,'TL10'!$J$238:$J$451),0),
IF('TL11'!$B$3=K$3,SUMIF('TL11'!$C$10:$C$224,$C21,'TL11'!$J$10:$J$224),0),
IF('TL11'!$B$229=K$3,SUMIF('TL11'!$C$238:$C$451,$C21,'TL11'!$J$238:$J$451),0),
IF('TL12'!$B$3=K$3,SUMIF('TL12'!$C$10:$C$224,$C21,'TL12'!$J$10:$J$224),0),
IF('TL12'!$B$229=K$3,SUMIF('TL12'!$C$238:$C$451,$C21,'TL12'!$J$238:$J$451),0),
IF('TL13'!$B$3=K$3,SUMIF('TL13'!$C$10:$C$224,$C21,'TL13'!$J$10:$J$224),0),
IF('TL13'!$B$229=K$3,SUMIF('TL13'!$C$238:$C$451,$C21,'TL13'!$J$238:$J$451),0),
IF('TL14'!$B$3=K$3,SUMIF('TL14'!$C$10:$C$224,$C21,'TL14'!$J$10:$J$224),0),
IF('TL14'!$B$229=K$3,SUMIF('TL14'!$C$238:$C$451,$C21,'TL14'!$J$238:$J$451),0),
IF('TL15'!$B$3=K$3,SUMIF('TL15'!$C$10:$C$224,$C21,'TL15'!$J$10:$J$224),0),
IF('TL15'!$B$229=K$3,SUMIF('TL15'!$C$238:$C$451,$C21,'TL15'!$J$238:$J$451),0),
IF('TL16'!$B$3=K$3,SUMIF('TL16'!$C$10:$C$224,$C21,'TL16'!$J$10:$J$224),0),
IF('TL16'!$B$229=K$3,SUMIF('TL16'!$C$238:$C$451,$C21,'TL16'!$J$238:$J$451),0),
IF('TL17'!$B$3=K$3,SUMIF('TL17'!$C$10:$C$224,$C21,'TL17'!$J$10:$J$224),0),
IF('TL17'!$B$229=K$3,SUMIF('TL17'!$C$238:$C$451,$C21,'TL17'!$J$238:$J$451),0),
IF('TL18'!$B$3=K$3,SUMIF('TL18'!$C$10:$C$224,$C21,'TL18'!$J$10:$J$224),0),
IF('TL18'!$B$229=K$3,SUMIF('TL18'!$C$238:$C$451,$C21,'TL18'!$J$238:$J$451),0),
IF('TL19'!$B$3=K$3,SUMIF('TL19'!$C$10:$C$224,$C21,'TL19'!$J$10:$J$224),0),
IF('TL19'!$B$229=K$3,SUMIF('TL19'!$C$238:$C$451,$C21,'TL19'!$J$238:$J$451),0)
),0)</f>
        <v>0</v>
      </c>
      <c r="L21" s="9">
        <f>IFERROR(SUM(
IF('TL01'!$B$3=L$3,SUMIF('TL01'!$C$10:$C$224,$C21,'TL01'!$J$10:$J$224),0),
IF('TL01'!$B$229=L$3,SUMIF('TL01'!$C$238:$C$451,$C21,'TL01'!$J$238:$J$451),0),
IF('TL02'!$B$3=L$3,SUMIF('TL02'!$C$10:$C$224,$C21,'TL02'!$J$10:$J$224),0),
IF('TL02'!$B$229=L$3,SUMIF('TL02'!$C$238:$C$451,$C21,'TL02'!$J$238:$J$451),0),
IF('TL03'!$B$3=L$3,SUMIF('TL03'!$C$10:$C$224,$C21,'TL03'!$J$10:$J$224),0),
IF('TL03'!$B$229=L$3,SUMIF('TL03'!$C$238:$C$451,$C21,'TL03'!$J$238:$J$451),0),
IF('TL04'!$B$3=L$3,SUMIF('TL04'!$C$10:$C$224,$C21,'TL04'!$J$10:$J$224),0),
IF('TL04'!$B$229=L$3,SUMIF('TL04'!$C$238:$C$451,$C21,'TL04'!$J$238:$J$451),0),
IF('TL05'!$B$3=L$3,SUMIF('TL05'!$C$10:$C$224,$C21,'TL05'!$J$10:$J$224),0),
IF('TL05'!$B$229=L$3,SUMIF('TL05'!$C$238:$C$451,$C21,'TL05'!$J$238:$J$451),0),
IF('TL06'!$B$3=L$3,SUMIF('TL06'!$C$10:$C$224,$C21,'TL06'!$J$10:$J$224),0),
IF('TL06'!$B$229=L$3,SUMIF('TL06'!$C$238:$C$451,$C21,'TL06'!$J$238:$J$451),0),
IF('TL07'!$B$3=L$3,SUMIF('TL07'!$C$10:$C$224,$C21,'TL07'!$J$10:$J$224),0),
IF('TL07'!$B$229=L$3,SUMIF('TL07'!$C$238:$C$451,$C21,'TL07'!$J$238:$J$451),0),
IF('TL08'!$B$3=L$3,SUMIF('TL08'!$C$10:$C$224,$C21,'TL08'!$J$10:$J$224),0),
IF('TL08'!$B$229=L$3,SUMIF('TL08'!$C$238:$C$451,$C21,'TL08'!$J$238:$J$451),0),
IF('TL09'!$B$3=L$3,SUMIF('TL09'!$C$10:$C$224,$C21,'TL09'!$J$10:$J$224),0),
IF('TL09'!$B$229=L$3,SUMIF('TL09'!$C$238:$C$451,$C21,'TL09'!$J$238:$J$451),0),
IF('TL10'!$B$3=L$3,SUMIF('TL10'!$C$10:$C$224,$C21,'TL10'!$J$10:$J$224),0),
IF('TL10'!$B$229=L$3,SUMIF('TL10'!$C$238:$C$451,$C21,'TL10'!$J$238:$J$451),0),
IF('TL11'!$B$3=L$3,SUMIF('TL11'!$C$10:$C$224,$C21,'TL11'!$J$10:$J$224),0),
IF('TL11'!$B$229=L$3,SUMIF('TL11'!$C$238:$C$451,$C21,'TL11'!$J$238:$J$451),0),
IF('TL12'!$B$3=L$3,SUMIF('TL12'!$C$10:$C$224,$C21,'TL12'!$J$10:$J$224),0),
IF('TL12'!$B$229=L$3,SUMIF('TL12'!$C$238:$C$451,$C21,'TL12'!$J$238:$J$451),0),
IF('TL13'!$B$3=L$3,SUMIF('TL13'!$C$10:$C$224,$C21,'TL13'!$J$10:$J$224),0),
IF('TL13'!$B$229=L$3,SUMIF('TL13'!$C$238:$C$451,$C21,'TL13'!$J$238:$J$451),0),
IF('TL14'!$B$3=L$3,SUMIF('TL14'!$C$10:$C$224,$C21,'TL14'!$J$10:$J$224),0),
IF('TL14'!$B$229=L$3,SUMIF('TL14'!$C$238:$C$451,$C21,'TL14'!$J$238:$J$451),0),
IF('TL15'!$B$3=L$3,SUMIF('TL15'!$C$10:$C$224,$C21,'TL15'!$J$10:$J$224),0),
IF('TL15'!$B$229=L$3,SUMIF('TL15'!$C$238:$C$451,$C21,'TL15'!$J$238:$J$451),0),
IF('TL16'!$B$3=L$3,SUMIF('TL16'!$C$10:$C$224,$C21,'TL16'!$J$10:$J$224),0),
IF('TL16'!$B$229=L$3,SUMIF('TL16'!$C$238:$C$451,$C21,'TL16'!$J$238:$J$451),0),
IF('TL17'!$B$3=L$3,SUMIF('TL17'!$C$10:$C$224,$C21,'TL17'!$J$10:$J$224),0),
IF('TL17'!$B$229=L$3,SUMIF('TL17'!$C$238:$C$451,$C21,'TL17'!$J$238:$J$451),0),
IF('TL18'!$B$3=L$3,SUMIF('TL18'!$C$10:$C$224,$C21,'TL18'!$J$10:$J$224),0),
IF('TL18'!$B$229=L$3,SUMIF('TL18'!$C$238:$C$451,$C21,'TL18'!$J$238:$J$451),0),
IF('TL19'!$B$3=L$3,SUMIF('TL19'!$C$10:$C$224,$C21,'TL19'!$J$10:$J$224),0),
IF('TL19'!$B$229=L$3,SUMIF('TL19'!$C$238:$C$451,$C21,'TL19'!$J$238:$J$451),0)
),0)</f>
        <v>0</v>
      </c>
      <c r="M21" s="9">
        <f>IFERROR(SUM(
IF('TL01'!$B$3=M$3,SUMIF('TL01'!$C$10:$C$224,$C21,'TL01'!$J$10:$J$224),0),
IF('TL01'!$B$229=M$3,SUMIF('TL01'!$C$238:$C$451,$C21,'TL01'!$J$238:$J$451),0),
IF('TL02'!$B$3=M$3,SUMIF('TL02'!$C$10:$C$224,$C21,'TL02'!$J$10:$J$224),0),
IF('TL02'!$B$229=M$3,SUMIF('TL02'!$C$238:$C$451,$C21,'TL02'!$J$238:$J$451),0),
IF('TL03'!$B$3=M$3,SUMIF('TL03'!$C$10:$C$224,$C21,'TL03'!$J$10:$J$224),0),
IF('TL03'!$B$229=M$3,SUMIF('TL03'!$C$238:$C$451,$C21,'TL03'!$J$238:$J$451),0),
IF('TL04'!$B$3=M$3,SUMIF('TL04'!$C$10:$C$224,$C21,'TL04'!$J$10:$J$224),0),
IF('TL04'!$B$229=M$3,SUMIF('TL04'!$C$238:$C$451,$C21,'TL04'!$J$238:$J$451),0),
IF('TL05'!$B$3=M$3,SUMIF('TL05'!$C$10:$C$224,$C21,'TL05'!$J$10:$J$224),0),
IF('TL05'!$B$229=M$3,SUMIF('TL05'!$C$238:$C$451,$C21,'TL05'!$J$238:$J$451),0),
IF('TL06'!$B$3=M$3,SUMIF('TL06'!$C$10:$C$224,$C21,'TL06'!$J$10:$J$224),0),
IF('TL06'!$B$229=M$3,SUMIF('TL06'!$C$238:$C$451,$C21,'TL06'!$J$238:$J$451),0),
IF('TL07'!$B$3=M$3,SUMIF('TL07'!$C$10:$C$224,$C21,'TL07'!$J$10:$J$224),0),
IF('TL07'!$B$229=M$3,SUMIF('TL07'!$C$238:$C$451,$C21,'TL07'!$J$238:$J$451),0),
IF('TL08'!$B$3=M$3,SUMIF('TL08'!$C$10:$C$224,$C21,'TL08'!$J$10:$J$224),0),
IF('TL08'!$B$229=M$3,SUMIF('TL08'!$C$238:$C$451,$C21,'TL08'!$J$238:$J$451),0),
IF('TL09'!$B$3=M$3,SUMIF('TL09'!$C$10:$C$224,$C21,'TL09'!$J$10:$J$224),0),
IF('TL09'!$B$229=M$3,SUMIF('TL09'!$C$238:$C$451,$C21,'TL09'!$J$238:$J$451),0),
IF('TL10'!$B$3=M$3,SUMIF('TL10'!$C$10:$C$224,$C21,'TL10'!$J$10:$J$224),0),
IF('TL10'!$B$229=M$3,SUMIF('TL10'!$C$238:$C$451,$C21,'TL10'!$J$238:$J$451),0),
IF('TL11'!$B$3=M$3,SUMIF('TL11'!$C$10:$C$224,$C21,'TL11'!$J$10:$J$224),0),
IF('TL11'!$B$229=M$3,SUMIF('TL11'!$C$238:$C$451,$C21,'TL11'!$J$238:$J$451),0),
IF('TL12'!$B$3=M$3,SUMIF('TL12'!$C$10:$C$224,$C21,'TL12'!$J$10:$J$224),0),
IF('TL12'!$B$229=M$3,SUMIF('TL12'!$C$238:$C$451,$C21,'TL12'!$J$238:$J$451),0),
IF('TL13'!$B$3=M$3,SUMIF('TL13'!$C$10:$C$224,$C21,'TL13'!$J$10:$J$224),0),
IF('TL13'!$B$229=M$3,SUMIF('TL13'!$C$238:$C$451,$C21,'TL13'!$J$238:$J$451),0),
IF('TL14'!$B$3=M$3,SUMIF('TL14'!$C$10:$C$224,$C21,'TL14'!$J$10:$J$224),0),
IF('TL14'!$B$229=M$3,SUMIF('TL14'!$C$238:$C$451,$C21,'TL14'!$J$238:$J$451),0),
IF('TL15'!$B$3=M$3,SUMIF('TL15'!$C$10:$C$224,$C21,'TL15'!$J$10:$J$224),0),
IF('TL15'!$B$229=M$3,SUMIF('TL15'!$C$238:$C$451,$C21,'TL15'!$J$238:$J$451),0),
IF('TL16'!$B$3=M$3,SUMIF('TL16'!$C$10:$C$224,$C21,'TL16'!$J$10:$J$224),0),
IF('TL16'!$B$229=M$3,SUMIF('TL16'!$C$238:$C$451,$C21,'TL16'!$J$238:$J$451),0),
IF('TL17'!$B$3=M$3,SUMIF('TL17'!$C$10:$C$224,$C21,'TL17'!$J$10:$J$224),0),
IF('TL17'!$B$229=M$3,SUMIF('TL17'!$C$238:$C$451,$C21,'TL17'!$J$238:$J$451),0),
IF('TL18'!$B$3=M$3,SUMIF('TL18'!$C$10:$C$224,$C21,'TL18'!$J$10:$J$224),0),
IF('TL18'!$B$229=M$3,SUMIF('TL18'!$C$238:$C$451,$C21,'TL18'!$J$238:$J$451),0),
IF('TL19'!$B$3=M$3,SUMIF('TL19'!$C$10:$C$224,$C21,'TL19'!$J$10:$J$224),0),
IF('TL19'!$B$229=M$3,SUMIF('TL19'!$C$238:$C$451,$C21,'TL19'!$J$238:$J$451),0)
),0)</f>
        <v>0</v>
      </c>
      <c r="N21" s="9">
        <f>IFERROR(SUM(
IF('TL01'!$B$3=N$3,SUMIF('TL01'!$C$10:$C$224,$C21,'TL01'!$J$10:$J$224),0),
IF('TL01'!$B$229=N$3,SUMIF('TL01'!$C$238:$C$451,$C21,'TL01'!$J$238:$J$451),0),
IF('TL02'!$B$3=N$3,SUMIF('TL02'!$C$10:$C$224,$C21,'TL02'!$J$10:$J$224),0),
IF('TL02'!$B$229=N$3,SUMIF('TL02'!$C$238:$C$451,$C21,'TL02'!$J$238:$J$451),0),
IF('TL03'!$B$3=N$3,SUMIF('TL03'!$C$10:$C$224,$C21,'TL03'!$J$10:$J$224),0),
IF('TL03'!$B$229=N$3,SUMIF('TL03'!$C$238:$C$451,$C21,'TL03'!$J$238:$J$451),0),
IF('TL04'!$B$3=N$3,SUMIF('TL04'!$C$10:$C$224,$C21,'TL04'!$J$10:$J$224),0),
IF('TL04'!$B$229=N$3,SUMIF('TL04'!$C$238:$C$451,$C21,'TL04'!$J$238:$J$451),0),
IF('TL05'!$B$3=N$3,SUMIF('TL05'!$C$10:$C$224,$C21,'TL05'!$J$10:$J$224),0),
IF('TL05'!$B$229=N$3,SUMIF('TL05'!$C$238:$C$451,$C21,'TL05'!$J$238:$J$451),0),
IF('TL06'!$B$3=N$3,SUMIF('TL06'!$C$10:$C$224,$C21,'TL06'!$J$10:$J$224),0),
IF('TL06'!$B$229=N$3,SUMIF('TL06'!$C$238:$C$451,$C21,'TL06'!$J$238:$J$451),0),
IF('TL07'!$B$3=N$3,SUMIF('TL07'!$C$10:$C$224,$C21,'TL07'!$J$10:$J$224),0),
IF('TL07'!$B$229=N$3,SUMIF('TL07'!$C$238:$C$451,$C21,'TL07'!$J$238:$J$451),0),
IF('TL08'!$B$3=N$3,SUMIF('TL08'!$C$10:$C$224,$C21,'TL08'!$J$10:$J$224),0),
IF('TL08'!$B$229=N$3,SUMIF('TL08'!$C$238:$C$451,$C21,'TL08'!$J$238:$J$451),0),
IF('TL09'!$B$3=N$3,SUMIF('TL09'!$C$10:$C$224,$C21,'TL09'!$J$10:$J$224),0),
IF('TL09'!$B$229=N$3,SUMIF('TL09'!$C$238:$C$451,$C21,'TL09'!$J$238:$J$451),0),
IF('TL10'!$B$3=N$3,SUMIF('TL10'!$C$10:$C$224,$C21,'TL10'!$J$10:$J$224),0),
IF('TL10'!$B$229=N$3,SUMIF('TL10'!$C$238:$C$451,$C21,'TL10'!$J$238:$J$451),0),
IF('TL11'!$B$3=N$3,SUMIF('TL11'!$C$10:$C$224,$C21,'TL11'!$J$10:$J$224),0),
IF('TL11'!$B$229=N$3,SUMIF('TL11'!$C$238:$C$451,$C21,'TL11'!$J$238:$J$451),0),
IF('TL12'!$B$3=N$3,SUMIF('TL12'!$C$10:$C$224,$C21,'TL12'!$J$10:$J$224),0),
IF('TL12'!$B$229=N$3,SUMIF('TL12'!$C$238:$C$451,$C21,'TL12'!$J$238:$J$451),0),
IF('TL13'!$B$3=N$3,SUMIF('TL13'!$C$10:$C$224,$C21,'TL13'!$J$10:$J$224),0),
IF('TL13'!$B$229=N$3,SUMIF('TL13'!$C$238:$C$451,$C21,'TL13'!$J$238:$J$451),0),
IF('TL14'!$B$3=N$3,SUMIF('TL14'!$C$10:$C$224,$C21,'TL14'!$J$10:$J$224),0),
IF('TL14'!$B$229=N$3,SUMIF('TL14'!$C$238:$C$451,$C21,'TL14'!$J$238:$J$451),0),
IF('TL15'!$B$3=N$3,SUMIF('TL15'!$C$10:$C$224,$C21,'TL15'!$J$10:$J$224),0),
IF('TL15'!$B$229=N$3,SUMIF('TL15'!$C$238:$C$451,$C21,'TL15'!$J$238:$J$451),0),
IF('TL16'!$B$3=N$3,SUMIF('TL16'!$C$10:$C$224,$C21,'TL16'!$J$10:$J$224),0),
IF('TL16'!$B$229=N$3,SUMIF('TL16'!$C$238:$C$451,$C21,'TL16'!$J$238:$J$451),0),
IF('TL17'!$B$3=N$3,SUMIF('TL17'!$C$10:$C$224,$C21,'TL17'!$J$10:$J$224),0),
IF('TL17'!$B$229=N$3,SUMIF('TL17'!$C$238:$C$451,$C21,'TL17'!$J$238:$J$451),0),
IF('TL18'!$B$3=N$3,SUMIF('TL18'!$C$10:$C$224,$C21,'TL18'!$J$10:$J$224),0),
IF('TL18'!$B$229=N$3,SUMIF('TL18'!$C$238:$C$451,$C21,'TL18'!$J$238:$J$451),0),
IF('TL19'!$B$3=N$3,SUMIF('TL19'!$C$10:$C$224,$C21,'TL19'!$J$10:$J$224),0),
IF('TL19'!$B$229=N$3,SUMIF('TL19'!$C$238:$C$451,$C21,'TL19'!$J$238:$J$451),0)
),0)</f>
        <v>0</v>
      </c>
      <c r="O21" s="9">
        <f>IFERROR(SUM(
IF('TL01'!$B$3=O$3,SUMIF('TL01'!$C$10:$C$224,$C21,'TL01'!$J$10:$J$224),0),
IF('TL01'!$B$229=O$3,SUMIF('TL01'!$C$238:$C$451,$C21,'TL01'!$J$238:$J$451),0),
IF('TL02'!$B$3=O$3,SUMIF('TL02'!$C$10:$C$224,$C21,'TL02'!$J$10:$J$224),0),
IF('TL02'!$B$229=O$3,SUMIF('TL02'!$C$238:$C$451,$C21,'TL02'!$J$238:$J$451),0),
IF('TL03'!$B$3=O$3,SUMIF('TL03'!$C$10:$C$224,$C21,'TL03'!$J$10:$J$224),0),
IF('TL03'!$B$229=O$3,SUMIF('TL03'!$C$238:$C$451,$C21,'TL03'!$J$238:$J$451),0),
IF('TL04'!$B$3=O$3,SUMIF('TL04'!$C$10:$C$224,$C21,'TL04'!$J$10:$J$224),0),
IF('TL04'!$B$229=O$3,SUMIF('TL04'!$C$238:$C$451,$C21,'TL04'!$J$238:$J$451),0),
IF('TL05'!$B$3=O$3,SUMIF('TL05'!$C$10:$C$224,$C21,'TL05'!$J$10:$J$224),0),
IF('TL05'!$B$229=O$3,SUMIF('TL05'!$C$238:$C$451,$C21,'TL05'!$J$238:$J$451),0),
IF('TL06'!$B$3=O$3,SUMIF('TL06'!$C$10:$C$224,$C21,'TL06'!$J$10:$J$224),0),
IF('TL06'!$B$229=O$3,SUMIF('TL06'!$C$238:$C$451,$C21,'TL06'!$J$238:$J$451),0),
IF('TL07'!$B$3=O$3,SUMIF('TL07'!$C$10:$C$224,$C21,'TL07'!$J$10:$J$224),0),
IF('TL07'!$B$229=O$3,SUMIF('TL07'!$C$238:$C$451,$C21,'TL07'!$J$238:$J$451),0),
IF('TL08'!$B$3=O$3,SUMIF('TL08'!$C$10:$C$224,$C21,'TL08'!$J$10:$J$224),0),
IF('TL08'!$B$229=O$3,SUMIF('TL08'!$C$238:$C$451,$C21,'TL08'!$J$238:$J$451),0),
IF('TL09'!$B$3=O$3,SUMIF('TL09'!$C$10:$C$224,$C21,'TL09'!$J$10:$J$224),0),
IF('TL09'!$B$229=O$3,SUMIF('TL09'!$C$238:$C$451,$C21,'TL09'!$J$238:$J$451),0),
IF('TL10'!$B$3=O$3,SUMIF('TL10'!$C$10:$C$224,$C21,'TL10'!$J$10:$J$224),0),
IF('TL10'!$B$229=O$3,SUMIF('TL10'!$C$238:$C$451,$C21,'TL10'!$J$238:$J$451),0),
IF('TL11'!$B$3=O$3,SUMIF('TL11'!$C$10:$C$224,$C21,'TL11'!$J$10:$J$224),0),
IF('TL11'!$B$229=O$3,SUMIF('TL11'!$C$238:$C$451,$C21,'TL11'!$J$238:$J$451),0),
IF('TL12'!$B$3=O$3,SUMIF('TL12'!$C$10:$C$224,$C21,'TL12'!$J$10:$J$224),0),
IF('TL12'!$B$229=O$3,SUMIF('TL12'!$C$238:$C$451,$C21,'TL12'!$J$238:$J$451),0),
IF('TL13'!$B$3=O$3,SUMIF('TL13'!$C$10:$C$224,$C21,'TL13'!$J$10:$J$224),0),
IF('TL13'!$B$229=O$3,SUMIF('TL13'!$C$238:$C$451,$C21,'TL13'!$J$238:$J$451),0),
IF('TL14'!$B$3=O$3,SUMIF('TL14'!$C$10:$C$224,$C21,'TL14'!$J$10:$J$224),0),
IF('TL14'!$B$229=O$3,SUMIF('TL14'!$C$238:$C$451,$C21,'TL14'!$J$238:$J$451),0),
IF('TL15'!$B$3=O$3,SUMIF('TL15'!$C$10:$C$224,$C21,'TL15'!$J$10:$J$224),0),
IF('TL15'!$B$229=O$3,SUMIF('TL15'!$C$238:$C$451,$C21,'TL15'!$J$238:$J$451),0),
IF('TL16'!$B$3=O$3,SUMIF('TL16'!$C$10:$C$224,$C21,'TL16'!$J$10:$J$224),0),
IF('TL16'!$B$229=O$3,SUMIF('TL16'!$C$238:$C$451,$C21,'TL16'!$J$238:$J$451),0),
IF('TL17'!$B$3=O$3,SUMIF('TL17'!$C$10:$C$224,$C21,'TL17'!$J$10:$J$224),0),
IF('TL17'!$B$229=O$3,SUMIF('TL17'!$C$238:$C$451,$C21,'TL17'!$J$238:$J$451),0),
IF('TL18'!$B$3=O$3,SUMIF('TL18'!$C$10:$C$224,$C21,'TL18'!$J$10:$J$224),0),
IF('TL18'!$B$229=O$3,SUMIF('TL18'!$C$238:$C$451,$C21,'TL18'!$J$238:$J$451),0),
IF('TL19'!$B$3=O$3,SUMIF('TL19'!$C$10:$C$224,$C21,'TL19'!$J$10:$J$224),0),
IF('TL19'!$B$229=O$3,SUMIF('TL19'!$C$238:$C$451,$C21,'TL19'!$J$238:$J$451),0)
),0)</f>
        <v>0</v>
      </c>
      <c r="P21" s="9">
        <f>IFERROR(SUM(
IF('TL01'!$B$3=P$3,SUMIF('TL01'!$C$10:$C$224,$C21,'TL01'!$J$10:$J$224),0),
IF('TL01'!$B$229=P$3,SUMIF('TL01'!$C$238:$C$451,$C21,'TL01'!$J$238:$J$451),0),
IF('TL02'!$B$3=P$3,SUMIF('TL02'!$C$10:$C$224,$C21,'TL02'!$J$10:$J$224),0),
IF('TL02'!$B$229=P$3,SUMIF('TL02'!$C$238:$C$451,$C21,'TL02'!$J$238:$J$451),0),
IF('TL03'!$B$3=P$3,SUMIF('TL03'!$C$10:$C$224,$C21,'TL03'!$J$10:$J$224),0),
IF('TL03'!$B$229=P$3,SUMIF('TL03'!$C$238:$C$451,$C21,'TL03'!$J$238:$J$451),0),
IF('TL04'!$B$3=P$3,SUMIF('TL04'!$C$10:$C$224,$C21,'TL04'!$J$10:$J$224),0),
IF('TL04'!$B$229=P$3,SUMIF('TL04'!$C$238:$C$451,$C21,'TL04'!$J$238:$J$451),0),
IF('TL05'!$B$3=P$3,SUMIF('TL05'!$C$10:$C$224,$C21,'TL05'!$J$10:$J$224),0),
IF('TL05'!$B$229=P$3,SUMIF('TL05'!$C$238:$C$451,$C21,'TL05'!$J$238:$J$451),0),
IF('TL06'!$B$3=P$3,SUMIF('TL06'!$C$10:$C$224,$C21,'TL06'!$J$10:$J$224),0),
IF('TL06'!$B$229=P$3,SUMIF('TL06'!$C$238:$C$451,$C21,'TL06'!$J$238:$J$451),0),
IF('TL07'!$B$3=P$3,SUMIF('TL07'!$C$10:$C$224,$C21,'TL07'!$J$10:$J$224),0),
IF('TL07'!$B$229=P$3,SUMIF('TL07'!$C$238:$C$451,$C21,'TL07'!$J$238:$J$451),0),
IF('TL08'!$B$3=P$3,SUMIF('TL08'!$C$10:$C$224,$C21,'TL08'!$J$10:$J$224),0),
IF('TL08'!$B$229=P$3,SUMIF('TL08'!$C$238:$C$451,$C21,'TL08'!$J$238:$J$451),0),
IF('TL09'!$B$3=P$3,SUMIF('TL09'!$C$10:$C$224,$C21,'TL09'!$J$10:$J$224),0),
IF('TL09'!$B$229=P$3,SUMIF('TL09'!$C$238:$C$451,$C21,'TL09'!$J$238:$J$451),0),
IF('TL10'!$B$3=P$3,SUMIF('TL10'!$C$10:$C$224,$C21,'TL10'!$J$10:$J$224),0),
IF('TL10'!$B$229=P$3,SUMIF('TL10'!$C$238:$C$451,$C21,'TL10'!$J$238:$J$451),0),
IF('TL11'!$B$3=P$3,SUMIF('TL11'!$C$10:$C$224,$C21,'TL11'!$J$10:$J$224),0),
IF('TL11'!$B$229=P$3,SUMIF('TL11'!$C$238:$C$451,$C21,'TL11'!$J$238:$J$451),0),
IF('TL12'!$B$3=P$3,SUMIF('TL12'!$C$10:$C$224,$C21,'TL12'!$J$10:$J$224),0),
IF('TL12'!$B$229=P$3,SUMIF('TL12'!$C$238:$C$451,$C21,'TL12'!$J$238:$J$451),0),
IF('TL13'!$B$3=P$3,SUMIF('TL13'!$C$10:$C$224,$C21,'TL13'!$J$10:$J$224),0),
IF('TL13'!$B$229=P$3,SUMIF('TL13'!$C$238:$C$451,$C21,'TL13'!$J$238:$J$451),0),
IF('TL14'!$B$3=P$3,SUMIF('TL14'!$C$10:$C$224,$C21,'TL14'!$J$10:$J$224),0),
IF('TL14'!$B$229=P$3,SUMIF('TL14'!$C$238:$C$451,$C21,'TL14'!$J$238:$J$451),0),
IF('TL15'!$B$3=P$3,SUMIF('TL15'!$C$10:$C$224,$C21,'TL15'!$J$10:$J$224),0),
IF('TL15'!$B$229=P$3,SUMIF('TL15'!$C$238:$C$451,$C21,'TL15'!$J$238:$J$451),0),
IF('TL16'!$B$3=P$3,SUMIF('TL16'!$C$10:$C$224,$C21,'TL16'!$J$10:$J$224),0),
IF('TL16'!$B$229=P$3,SUMIF('TL16'!$C$238:$C$451,$C21,'TL16'!$J$238:$J$451),0),
IF('TL17'!$B$3=P$3,SUMIF('TL17'!$C$10:$C$224,$C21,'TL17'!$J$10:$J$224),0),
IF('TL17'!$B$229=P$3,SUMIF('TL17'!$C$238:$C$451,$C21,'TL17'!$J$238:$J$451),0),
IF('TL18'!$B$3=P$3,SUMIF('TL18'!$C$10:$C$224,$C21,'TL18'!$J$10:$J$224),0),
IF('TL18'!$B$229=P$3,SUMIF('TL18'!$C$238:$C$451,$C21,'TL18'!$J$238:$J$451),0),
IF('TL19'!$B$3=P$3,SUMIF('TL19'!$C$10:$C$224,$C21,'TL19'!$J$10:$J$224),0),
IF('TL19'!$B$229=P$3,SUMIF('TL19'!$C$238:$C$451,$C21,'TL19'!$J$238:$J$451),0)
),0)</f>
        <v>0</v>
      </c>
      <c r="Q21" s="9">
        <f>IFERROR(SUM(
IF('TL01'!$B$3=Q$3,SUMIF('TL01'!$C$10:$C$224,$C21,'TL01'!$J$10:$J$224),0),
IF('TL01'!$B$229=Q$3,SUMIF('TL01'!$C$238:$C$451,$C21,'TL01'!$J$238:$J$451),0),
IF('TL02'!$B$3=Q$3,SUMIF('TL02'!$C$10:$C$224,$C21,'TL02'!$J$10:$J$224),0),
IF('TL02'!$B$229=Q$3,SUMIF('TL02'!$C$238:$C$451,$C21,'TL02'!$J$238:$J$451),0),
IF('TL03'!$B$3=Q$3,SUMIF('TL03'!$C$10:$C$224,$C21,'TL03'!$J$10:$J$224),0),
IF('TL03'!$B$229=Q$3,SUMIF('TL03'!$C$238:$C$451,$C21,'TL03'!$J$238:$J$451),0),
IF('TL04'!$B$3=Q$3,SUMIF('TL04'!$C$10:$C$224,$C21,'TL04'!$J$10:$J$224),0),
IF('TL04'!$B$229=Q$3,SUMIF('TL04'!$C$238:$C$451,$C21,'TL04'!$J$238:$J$451),0),
IF('TL05'!$B$3=Q$3,SUMIF('TL05'!$C$10:$C$224,$C21,'TL05'!$J$10:$J$224),0),
IF('TL05'!$B$229=Q$3,SUMIF('TL05'!$C$238:$C$451,$C21,'TL05'!$J$238:$J$451),0),
IF('TL06'!$B$3=Q$3,SUMIF('TL06'!$C$10:$C$224,$C21,'TL06'!$J$10:$J$224),0),
IF('TL06'!$B$229=Q$3,SUMIF('TL06'!$C$238:$C$451,$C21,'TL06'!$J$238:$J$451),0),
IF('TL07'!$B$3=Q$3,SUMIF('TL07'!$C$10:$C$224,$C21,'TL07'!$J$10:$J$224),0),
IF('TL07'!$B$229=Q$3,SUMIF('TL07'!$C$238:$C$451,$C21,'TL07'!$J$238:$J$451),0),
IF('TL08'!$B$3=Q$3,SUMIF('TL08'!$C$10:$C$224,$C21,'TL08'!$J$10:$J$224),0),
IF('TL08'!$B$229=Q$3,SUMIF('TL08'!$C$238:$C$451,$C21,'TL08'!$J$238:$J$451),0),
IF('TL09'!$B$3=Q$3,SUMIF('TL09'!$C$10:$C$224,$C21,'TL09'!$J$10:$J$224),0),
IF('TL09'!$B$229=Q$3,SUMIF('TL09'!$C$238:$C$451,$C21,'TL09'!$J$238:$J$451),0),
IF('TL10'!$B$3=Q$3,SUMIF('TL10'!$C$10:$C$224,$C21,'TL10'!$J$10:$J$224),0),
IF('TL10'!$B$229=Q$3,SUMIF('TL10'!$C$238:$C$451,$C21,'TL10'!$J$238:$J$451),0),
IF('TL11'!$B$3=Q$3,SUMIF('TL11'!$C$10:$C$224,$C21,'TL11'!$J$10:$J$224),0),
IF('TL11'!$B$229=Q$3,SUMIF('TL11'!$C$238:$C$451,$C21,'TL11'!$J$238:$J$451),0),
IF('TL12'!$B$3=Q$3,SUMIF('TL12'!$C$10:$C$224,$C21,'TL12'!$J$10:$J$224),0),
IF('TL12'!$B$229=Q$3,SUMIF('TL12'!$C$238:$C$451,$C21,'TL12'!$J$238:$J$451),0),
IF('TL13'!$B$3=Q$3,SUMIF('TL13'!$C$10:$C$224,$C21,'TL13'!$J$10:$J$224),0),
IF('TL13'!$B$229=Q$3,SUMIF('TL13'!$C$238:$C$451,$C21,'TL13'!$J$238:$J$451),0),
IF('TL14'!$B$3=Q$3,SUMIF('TL14'!$C$10:$C$224,$C21,'TL14'!$J$10:$J$224),0),
IF('TL14'!$B$229=Q$3,SUMIF('TL14'!$C$238:$C$451,$C21,'TL14'!$J$238:$J$451),0),
IF('TL15'!$B$3=Q$3,SUMIF('TL15'!$C$10:$C$224,$C21,'TL15'!$J$10:$J$224),0),
IF('TL15'!$B$229=Q$3,SUMIF('TL15'!$C$238:$C$451,$C21,'TL15'!$J$238:$J$451),0),
IF('TL16'!$B$3=Q$3,SUMIF('TL16'!$C$10:$C$224,$C21,'TL16'!$J$10:$J$224),0),
IF('TL16'!$B$229=Q$3,SUMIF('TL16'!$C$238:$C$451,$C21,'TL16'!$J$238:$J$451),0),
IF('TL17'!$B$3=Q$3,SUMIF('TL17'!$C$10:$C$224,$C21,'TL17'!$J$10:$J$224),0),
IF('TL17'!$B$229=Q$3,SUMIF('TL17'!$C$238:$C$451,$C21,'TL17'!$J$238:$J$451),0),
IF('TL18'!$B$3=Q$3,SUMIF('TL18'!$C$10:$C$224,$C21,'TL18'!$J$10:$J$224),0),
IF('TL18'!$B$229=Q$3,SUMIF('TL18'!$C$238:$C$451,$C21,'TL18'!$J$238:$J$451),0),
IF('TL19'!$B$3=Q$3,SUMIF('TL19'!$C$10:$C$224,$C21,'TL19'!$J$10:$J$224),0),
IF('TL19'!$B$229=Q$3,SUMIF('TL19'!$C$238:$C$451,$C21,'TL19'!$J$238:$J$451),0)
),0)</f>
        <v>0</v>
      </c>
      <c r="R21" s="9">
        <f>IFERROR(
SUM(
SUMIF('TL01'!C:C,C21,'TL01'!J:J),
SUMIF('TL02'!C:C,C21,'TL02'!J:J),
SUMIF('TL03'!C:C,C21,'TL03'!J:J),
SUMIF('TL04'!C:C,C21,'TL04'!J:J),
SUMIF('TL05'!C:C,C21,'TL05'!J:J),
SUMIF('TL06'!C:C,C21,'TL06'!J:J),
SUMIF('TL07'!C:C,C21,'TL07'!J:J),
SUMIF('TL08'!C:C,C21,'TL08'!J:J),
SUMIF('TL09'!C:C,C21,'TL09'!J:J),
SUMIF('TL10'!C:C,C21,'TL10'!J:J),
SUMIF('TL11'!C:C,C21,'TL11'!J:J),
SUMIF('TL12'!C:C,C21,'TL12'!J:J),
SUMIF('TL13'!C:C,C21,'TL13'!J:J),
SUMIF('TL14'!C:C,C21,'TL14'!J:J),
SUMIF('TL15'!C:C,C21,'TL15'!J:J),
SUMIF('TL16'!C:C,C21,'TL16'!J:J),
SUMIF('TL17'!C:C,C21,'TL17'!J:J),
SUMIF('TL18'!C:C,C21,'TL18'!J:J),SUMIF('TL19'!C:C,C21,'TL19'!J:J))
,0)</f>
        <v>0</v>
      </c>
      <c r="S21" s="17">
        <f>IFERROR(__xludf.DUMMYFUNCTION("IFERROR(VLOOKUP(C21,
IMPORTRANGE(""1wULbzX32WdYsx-lj2U3uUNBBe2INVIRDtcK0d-Dvl90"",
""26-27!C:G""),
5,
FALSE),
"""")"),3018.3019999999997)</f>
        <v>3018.302</v>
      </c>
      <c r="T21" s="9"/>
      <c r="U21" s="92">
        <f t="shared" si="2"/>
        <v>0</v>
      </c>
      <c r="V21" s="93">
        <f t="shared" si="3"/>
        <v>0</v>
      </c>
    </row>
    <row r="22" ht="22.5" hidden="1" customHeight="1">
      <c r="A22" s="101"/>
      <c r="B22" s="102" t="s">
        <v>8</v>
      </c>
      <c r="C22" s="103" t="s">
        <v>397</v>
      </c>
      <c r="D22" s="103" t="s">
        <v>398</v>
      </c>
      <c r="E22" s="104"/>
      <c r="F22" s="4" t="s">
        <v>399</v>
      </c>
      <c r="G22" s="9"/>
      <c r="H22" s="9" t="str">
        <f>IFERROR(__xludf.DUMMYFUNCTION("IFERROR(VLOOKUP(C22,
IMPORTRANGE(""1wULbzX32WdYsx-lj2U3uUNBBe2INVIRDtcK0d-Dvl90"",
""26-27!C:K""),
8,
FALSE),
"""")"),"")</f>
        <v/>
      </c>
      <c r="I22" s="105"/>
      <c r="J22" s="9">
        <f>IFERROR(SUM(
IF('TL01'!$B$3=J$3,SUMIF('TL01'!$C$10:$C$224,$C22,'TL01'!$J$10:$J$224),0),
IF('TL01'!$B$229=J$3,SUMIF('TL01'!$C$238:$C$451,$C22,'TL01'!$J$238:$J$451),0),
IF('TL02'!$B$3=J$3,SUMIF('TL02'!$C$10:$C$224,$C22,'TL02'!$J$10:$J$224),0),
IF('TL02'!$B$229=J$3,SUMIF('TL02'!$C$238:$C$451,$C22,'TL02'!$J$238:$J$451),0),
IF('TL03'!$B$3=J$3,SUMIF('TL03'!$C$10:$C$224,$C22,'TL03'!$J$10:$J$224),0),
IF('TL03'!$B$229=J$3,SUMIF('TL03'!$C$238:$C$451,$C22,'TL03'!$J$238:$J$451),0),
IF('TL04'!$B$3=J$3,SUMIF('TL04'!$C$10:$C$224,$C22,'TL04'!$J$10:$J$224),0),
IF('TL04'!$B$229=J$3,SUMIF('TL04'!$C$238:$C$451,$C22,'TL04'!$J$238:$J$451),0),
IF('TL05'!$B$3=J$3,SUMIF('TL05'!$C$10:$C$224,$C22,'TL05'!$J$10:$J$224),0),
IF('TL05'!$B$229=J$3,SUMIF('TL05'!$C$238:$C$451,$C22,'TL05'!$J$238:$J$451),0),
IF('TL06'!$B$3=J$3,SUMIF('TL06'!$C$10:$C$224,$C22,'TL06'!$J$10:$J$224),0),
IF('TL06'!$B$229=J$3,SUMIF('TL06'!$C$238:$C$451,$C22,'TL06'!$J$238:$J$451),0),
IF('TL07'!$B$3=J$3,SUMIF('TL07'!$C$10:$C$224,$C22,'TL07'!$J$10:$J$224),0),
IF('TL07'!$B$229=J$3,SUMIF('TL07'!$C$238:$C$451,$C22,'TL07'!$J$238:$J$451),0),
IF('TL08'!$B$3=J$3,SUMIF('TL08'!$C$10:$C$224,$C22,'TL08'!$J$10:$J$224),0),
IF('TL08'!$B$229=J$3,SUMIF('TL08'!$C$238:$C$451,$C22,'TL08'!$J$238:$J$451),0),
IF('TL09'!$B$3=J$3,SUMIF('TL09'!$C$10:$C$224,$C22,'TL09'!$J$10:$J$224),0),
IF('TL09'!$B$229=J$3,SUMIF('TL09'!$C$238:$C$451,$C22,'TL09'!$J$238:$J$451),0),
IF('TL10'!$B$3=J$3,SUMIF('TL10'!$C$10:$C$224,$C22,'TL10'!$J$10:$J$224),0),
IF('TL10'!$B$229=J$3,SUMIF('TL10'!$C$238:$C$451,$C22,'TL10'!$J$238:$J$451),0),
IF('TL11'!$B$3=J$3,SUMIF('TL11'!$C$10:$C$224,$C22,'TL11'!$J$10:$J$224),0),
IF('TL11'!$B$229=J$3,SUMIF('TL11'!$C$238:$C$451,$C22,'TL11'!$J$238:$J$451),0),
IF('TL12'!$B$3=J$3,SUMIF('TL12'!$C$10:$C$224,$C22,'TL12'!$J$10:$J$224),0),
IF('TL12'!$B$229=J$3,SUMIF('TL12'!$C$238:$C$451,$C22,'TL12'!$J$238:$J$451),0),
IF('TL13'!$B$3=J$3,SUMIF('TL13'!$C$10:$C$224,$C22,'TL13'!$J$10:$J$224),0),
IF('TL13'!$B$229=J$3,SUMIF('TL13'!$C$238:$C$451,$C22,'TL13'!$J$238:$J$451),0),
IF('TL14'!$B$3=J$3,SUMIF('TL14'!$C$10:$C$224,$C22,'TL14'!$J$10:$J$224),0),
IF('TL14'!$B$229=J$3,SUMIF('TL14'!$C$238:$C$451,$C22,'TL14'!$J$238:$J$451),0),
IF('TL15'!$B$3=J$3,SUMIF('TL15'!$C$10:$C$224,$C22,'TL15'!$J$10:$J$224),0),
IF('TL15'!$B$229=J$3,SUMIF('TL15'!$C$238:$C$451,$C22,'TL15'!$J$238:$J$451),0),
IF('TL16'!$B$3=J$3,SUMIF('TL16'!$C$10:$C$224,$C22,'TL16'!$J$10:$J$224),0),
IF('TL16'!$B$229=J$3,SUMIF('TL16'!$C$238:$C$451,$C22,'TL16'!$J$238:$J$451),0),
IF('TL17'!$B$3=J$3,SUMIF('TL17'!$C$10:$C$224,$C22,'TL17'!$J$10:$J$224),0),
IF('TL17'!$B$229=J$3,SUMIF('TL17'!$C$238:$C$451,$C22,'TL17'!$J$238:$J$451),0),
IF('TL18'!$B$3=J$3,SUMIF('TL18'!$C$10:$C$224,$C22,'TL18'!$J$10:$J$224),0),
IF('TL18'!$B$229=J$3,SUMIF('TL18'!$C$238:$C$451,$C22,'TL18'!$J$238:$J$451),0),
IF('TL19'!$B$3=J$3,SUMIF('TL19'!$C$10:$C$224,$C22,'TL19'!$J$10:$J$224),0),
IF('TL19'!$B$229=J$3,SUMIF('TL19'!$C$238:$C$451,$C22,'TL19'!$J$238:$J$451),0)
),0)</f>
        <v>1470</v>
      </c>
      <c r="K22" s="9">
        <f>IFERROR(SUM(
IF('TL01'!$B$3=K$3,SUMIF('TL01'!$C$10:$C$224,$C22,'TL01'!$J$10:$J$224),0),
IF('TL01'!$B$229=K$3,SUMIF('TL01'!$C$238:$C$451,$C22,'TL01'!$J$238:$J$451),0),
IF('TL02'!$B$3=K$3,SUMIF('TL02'!$C$10:$C$224,$C22,'TL02'!$J$10:$J$224),0),
IF('TL02'!$B$229=K$3,SUMIF('TL02'!$C$238:$C$451,$C22,'TL02'!$J$238:$J$451),0),
IF('TL03'!$B$3=K$3,SUMIF('TL03'!$C$10:$C$224,$C22,'TL03'!$J$10:$J$224),0),
IF('TL03'!$B$229=K$3,SUMIF('TL03'!$C$238:$C$451,$C22,'TL03'!$J$238:$J$451),0),
IF('TL04'!$B$3=K$3,SUMIF('TL04'!$C$10:$C$224,$C22,'TL04'!$J$10:$J$224),0),
IF('TL04'!$B$229=K$3,SUMIF('TL04'!$C$238:$C$451,$C22,'TL04'!$J$238:$J$451),0),
IF('TL05'!$B$3=K$3,SUMIF('TL05'!$C$10:$C$224,$C22,'TL05'!$J$10:$J$224),0),
IF('TL05'!$B$229=K$3,SUMIF('TL05'!$C$238:$C$451,$C22,'TL05'!$J$238:$J$451),0),
IF('TL06'!$B$3=K$3,SUMIF('TL06'!$C$10:$C$224,$C22,'TL06'!$J$10:$J$224),0),
IF('TL06'!$B$229=K$3,SUMIF('TL06'!$C$238:$C$451,$C22,'TL06'!$J$238:$J$451),0),
IF('TL07'!$B$3=K$3,SUMIF('TL07'!$C$10:$C$224,$C22,'TL07'!$J$10:$J$224),0),
IF('TL07'!$B$229=K$3,SUMIF('TL07'!$C$238:$C$451,$C22,'TL07'!$J$238:$J$451),0),
IF('TL08'!$B$3=K$3,SUMIF('TL08'!$C$10:$C$224,$C22,'TL08'!$J$10:$J$224),0),
IF('TL08'!$B$229=K$3,SUMIF('TL08'!$C$238:$C$451,$C22,'TL08'!$J$238:$J$451),0),
IF('TL09'!$B$3=K$3,SUMIF('TL09'!$C$10:$C$224,$C22,'TL09'!$J$10:$J$224),0),
IF('TL09'!$B$229=K$3,SUMIF('TL09'!$C$238:$C$451,$C22,'TL09'!$J$238:$J$451),0),
IF('TL10'!$B$3=K$3,SUMIF('TL10'!$C$10:$C$224,$C22,'TL10'!$J$10:$J$224),0),
IF('TL10'!$B$229=K$3,SUMIF('TL10'!$C$238:$C$451,$C22,'TL10'!$J$238:$J$451),0),
IF('TL11'!$B$3=K$3,SUMIF('TL11'!$C$10:$C$224,$C22,'TL11'!$J$10:$J$224),0),
IF('TL11'!$B$229=K$3,SUMIF('TL11'!$C$238:$C$451,$C22,'TL11'!$J$238:$J$451),0),
IF('TL12'!$B$3=K$3,SUMIF('TL12'!$C$10:$C$224,$C22,'TL12'!$J$10:$J$224),0),
IF('TL12'!$B$229=K$3,SUMIF('TL12'!$C$238:$C$451,$C22,'TL12'!$J$238:$J$451),0),
IF('TL13'!$B$3=K$3,SUMIF('TL13'!$C$10:$C$224,$C22,'TL13'!$J$10:$J$224),0),
IF('TL13'!$B$229=K$3,SUMIF('TL13'!$C$238:$C$451,$C22,'TL13'!$J$238:$J$451),0),
IF('TL14'!$B$3=K$3,SUMIF('TL14'!$C$10:$C$224,$C22,'TL14'!$J$10:$J$224),0),
IF('TL14'!$B$229=K$3,SUMIF('TL14'!$C$238:$C$451,$C22,'TL14'!$J$238:$J$451),0),
IF('TL15'!$B$3=K$3,SUMIF('TL15'!$C$10:$C$224,$C22,'TL15'!$J$10:$J$224),0),
IF('TL15'!$B$229=K$3,SUMIF('TL15'!$C$238:$C$451,$C22,'TL15'!$J$238:$J$451),0),
IF('TL16'!$B$3=K$3,SUMIF('TL16'!$C$10:$C$224,$C22,'TL16'!$J$10:$J$224),0),
IF('TL16'!$B$229=K$3,SUMIF('TL16'!$C$238:$C$451,$C22,'TL16'!$J$238:$J$451),0),
IF('TL17'!$B$3=K$3,SUMIF('TL17'!$C$10:$C$224,$C22,'TL17'!$J$10:$J$224),0),
IF('TL17'!$B$229=K$3,SUMIF('TL17'!$C$238:$C$451,$C22,'TL17'!$J$238:$J$451),0),
IF('TL18'!$B$3=K$3,SUMIF('TL18'!$C$10:$C$224,$C22,'TL18'!$J$10:$J$224),0),
IF('TL18'!$B$229=K$3,SUMIF('TL18'!$C$238:$C$451,$C22,'TL18'!$J$238:$J$451),0),
IF('TL19'!$B$3=K$3,SUMIF('TL19'!$C$10:$C$224,$C22,'TL19'!$J$10:$J$224),0),
IF('TL19'!$B$229=K$3,SUMIF('TL19'!$C$238:$C$451,$C22,'TL19'!$J$238:$J$451),0)
),0)</f>
        <v>900</v>
      </c>
      <c r="L22" s="9">
        <f>IFERROR(SUM(
IF('TL01'!$B$3=L$3,SUMIF('TL01'!$C$10:$C$224,$C22,'TL01'!$J$10:$J$224),0),
IF('TL01'!$B$229=L$3,SUMIF('TL01'!$C$238:$C$451,$C22,'TL01'!$J$238:$J$451),0),
IF('TL02'!$B$3=L$3,SUMIF('TL02'!$C$10:$C$224,$C22,'TL02'!$J$10:$J$224),0),
IF('TL02'!$B$229=L$3,SUMIF('TL02'!$C$238:$C$451,$C22,'TL02'!$J$238:$J$451),0),
IF('TL03'!$B$3=L$3,SUMIF('TL03'!$C$10:$C$224,$C22,'TL03'!$J$10:$J$224),0),
IF('TL03'!$B$229=L$3,SUMIF('TL03'!$C$238:$C$451,$C22,'TL03'!$J$238:$J$451),0),
IF('TL04'!$B$3=L$3,SUMIF('TL04'!$C$10:$C$224,$C22,'TL04'!$J$10:$J$224),0),
IF('TL04'!$B$229=L$3,SUMIF('TL04'!$C$238:$C$451,$C22,'TL04'!$J$238:$J$451),0),
IF('TL05'!$B$3=L$3,SUMIF('TL05'!$C$10:$C$224,$C22,'TL05'!$J$10:$J$224),0),
IF('TL05'!$B$229=L$3,SUMIF('TL05'!$C$238:$C$451,$C22,'TL05'!$J$238:$J$451),0),
IF('TL06'!$B$3=L$3,SUMIF('TL06'!$C$10:$C$224,$C22,'TL06'!$J$10:$J$224),0),
IF('TL06'!$B$229=L$3,SUMIF('TL06'!$C$238:$C$451,$C22,'TL06'!$J$238:$J$451),0),
IF('TL07'!$B$3=L$3,SUMIF('TL07'!$C$10:$C$224,$C22,'TL07'!$J$10:$J$224),0),
IF('TL07'!$B$229=L$3,SUMIF('TL07'!$C$238:$C$451,$C22,'TL07'!$J$238:$J$451),0),
IF('TL08'!$B$3=L$3,SUMIF('TL08'!$C$10:$C$224,$C22,'TL08'!$J$10:$J$224),0),
IF('TL08'!$B$229=L$3,SUMIF('TL08'!$C$238:$C$451,$C22,'TL08'!$J$238:$J$451),0),
IF('TL09'!$B$3=L$3,SUMIF('TL09'!$C$10:$C$224,$C22,'TL09'!$J$10:$J$224),0),
IF('TL09'!$B$229=L$3,SUMIF('TL09'!$C$238:$C$451,$C22,'TL09'!$J$238:$J$451),0),
IF('TL10'!$B$3=L$3,SUMIF('TL10'!$C$10:$C$224,$C22,'TL10'!$J$10:$J$224),0),
IF('TL10'!$B$229=L$3,SUMIF('TL10'!$C$238:$C$451,$C22,'TL10'!$J$238:$J$451),0),
IF('TL11'!$B$3=L$3,SUMIF('TL11'!$C$10:$C$224,$C22,'TL11'!$J$10:$J$224),0),
IF('TL11'!$B$229=L$3,SUMIF('TL11'!$C$238:$C$451,$C22,'TL11'!$J$238:$J$451),0),
IF('TL12'!$B$3=L$3,SUMIF('TL12'!$C$10:$C$224,$C22,'TL12'!$J$10:$J$224),0),
IF('TL12'!$B$229=L$3,SUMIF('TL12'!$C$238:$C$451,$C22,'TL12'!$J$238:$J$451),0),
IF('TL13'!$B$3=L$3,SUMIF('TL13'!$C$10:$C$224,$C22,'TL13'!$J$10:$J$224),0),
IF('TL13'!$B$229=L$3,SUMIF('TL13'!$C$238:$C$451,$C22,'TL13'!$J$238:$J$451),0),
IF('TL14'!$B$3=L$3,SUMIF('TL14'!$C$10:$C$224,$C22,'TL14'!$J$10:$J$224),0),
IF('TL14'!$B$229=L$3,SUMIF('TL14'!$C$238:$C$451,$C22,'TL14'!$J$238:$J$451),0),
IF('TL15'!$B$3=L$3,SUMIF('TL15'!$C$10:$C$224,$C22,'TL15'!$J$10:$J$224),0),
IF('TL15'!$B$229=L$3,SUMIF('TL15'!$C$238:$C$451,$C22,'TL15'!$J$238:$J$451),0),
IF('TL16'!$B$3=L$3,SUMIF('TL16'!$C$10:$C$224,$C22,'TL16'!$J$10:$J$224),0),
IF('TL16'!$B$229=L$3,SUMIF('TL16'!$C$238:$C$451,$C22,'TL16'!$J$238:$J$451),0),
IF('TL17'!$B$3=L$3,SUMIF('TL17'!$C$10:$C$224,$C22,'TL17'!$J$10:$J$224),0),
IF('TL17'!$B$229=L$3,SUMIF('TL17'!$C$238:$C$451,$C22,'TL17'!$J$238:$J$451),0),
IF('TL18'!$B$3=L$3,SUMIF('TL18'!$C$10:$C$224,$C22,'TL18'!$J$10:$J$224),0),
IF('TL18'!$B$229=L$3,SUMIF('TL18'!$C$238:$C$451,$C22,'TL18'!$J$238:$J$451),0),
IF('TL19'!$B$3=L$3,SUMIF('TL19'!$C$10:$C$224,$C22,'TL19'!$J$10:$J$224),0),
IF('TL19'!$B$229=L$3,SUMIF('TL19'!$C$238:$C$451,$C22,'TL19'!$J$238:$J$451),0)
),0)</f>
        <v>660</v>
      </c>
      <c r="M22" s="9">
        <f>IFERROR(SUM(
IF('TL01'!$B$3=M$3,SUMIF('TL01'!$C$10:$C$224,$C22,'TL01'!$J$10:$J$224),0),
IF('TL01'!$B$229=M$3,SUMIF('TL01'!$C$238:$C$451,$C22,'TL01'!$J$238:$J$451),0),
IF('TL02'!$B$3=M$3,SUMIF('TL02'!$C$10:$C$224,$C22,'TL02'!$J$10:$J$224),0),
IF('TL02'!$B$229=M$3,SUMIF('TL02'!$C$238:$C$451,$C22,'TL02'!$J$238:$J$451),0),
IF('TL03'!$B$3=M$3,SUMIF('TL03'!$C$10:$C$224,$C22,'TL03'!$J$10:$J$224),0),
IF('TL03'!$B$229=M$3,SUMIF('TL03'!$C$238:$C$451,$C22,'TL03'!$J$238:$J$451),0),
IF('TL04'!$B$3=M$3,SUMIF('TL04'!$C$10:$C$224,$C22,'TL04'!$J$10:$J$224),0),
IF('TL04'!$B$229=M$3,SUMIF('TL04'!$C$238:$C$451,$C22,'TL04'!$J$238:$J$451),0),
IF('TL05'!$B$3=M$3,SUMIF('TL05'!$C$10:$C$224,$C22,'TL05'!$J$10:$J$224),0),
IF('TL05'!$B$229=M$3,SUMIF('TL05'!$C$238:$C$451,$C22,'TL05'!$J$238:$J$451),0),
IF('TL06'!$B$3=M$3,SUMIF('TL06'!$C$10:$C$224,$C22,'TL06'!$J$10:$J$224),0),
IF('TL06'!$B$229=M$3,SUMIF('TL06'!$C$238:$C$451,$C22,'TL06'!$J$238:$J$451),0),
IF('TL07'!$B$3=M$3,SUMIF('TL07'!$C$10:$C$224,$C22,'TL07'!$J$10:$J$224),0),
IF('TL07'!$B$229=M$3,SUMIF('TL07'!$C$238:$C$451,$C22,'TL07'!$J$238:$J$451),0),
IF('TL08'!$B$3=M$3,SUMIF('TL08'!$C$10:$C$224,$C22,'TL08'!$J$10:$J$224),0),
IF('TL08'!$B$229=M$3,SUMIF('TL08'!$C$238:$C$451,$C22,'TL08'!$J$238:$J$451),0),
IF('TL09'!$B$3=M$3,SUMIF('TL09'!$C$10:$C$224,$C22,'TL09'!$J$10:$J$224),0),
IF('TL09'!$B$229=M$3,SUMIF('TL09'!$C$238:$C$451,$C22,'TL09'!$J$238:$J$451),0),
IF('TL10'!$B$3=M$3,SUMIF('TL10'!$C$10:$C$224,$C22,'TL10'!$J$10:$J$224),0),
IF('TL10'!$B$229=M$3,SUMIF('TL10'!$C$238:$C$451,$C22,'TL10'!$J$238:$J$451),0),
IF('TL11'!$B$3=M$3,SUMIF('TL11'!$C$10:$C$224,$C22,'TL11'!$J$10:$J$224),0),
IF('TL11'!$B$229=M$3,SUMIF('TL11'!$C$238:$C$451,$C22,'TL11'!$J$238:$J$451),0),
IF('TL12'!$B$3=M$3,SUMIF('TL12'!$C$10:$C$224,$C22,'TL12'!$J$10:$J$224),0),
IF('TL12'!$B$229=M$3,SUMIF('TL12'!$C$238:$C$451,$C22,'TL12'!$J$238:$J$451),0),
IF('TL13'!$B$3=M$3,SUMIF('TL13'!$C$10:$C$224,$C22,'TL13'!$J$10:$J$224),0),
IF('TL13'!$B$229=M$3,SUMIF('TL13'!$C$238:$C$451,$C22,'TL13'!$J$238:$J$451),0),
IF('TL14'!$B$3=M$3,SUMIF('TL14'!$C$10:$C$224,$C22,'TL14'!$J$10:$J$224),0),
IF('TL14'!$B$229=M$3,SUMIF('TL14'!$C$238:$C$451,$C22,'TL14'!$J$238:$J$451),0),
IF('TL15'!$B$3=M$3,SUMIF('TL15'!$C$10:$C$224,$C22,'TL15'!$J$10:$J$224),0),
IF('TL15'!$B$229=M$3,SUMIF('TL15'!$C$238:$C$451,$C22,'TL15'!$J$238:$J$451),0),
IF('TL16'!$B$3=M$3,SUMIF('TL16'!$C$10:$C$224,$C22,'TL16'!$J$10:$J$224),0),
IF('TL16'!$B$229=M$3,SUMIF('TL16'!$C$238:$C$451,$C22,'TL16'!$J$238:$J$451),0),
IF('TL17'!$B$3=M$3,SUMIF('TL17'!$C$10:$C$224,$C22,'TL17'!$J$10:$J$224),0),
IF('TL17'!$B$229=M$3,SUMIF('TL17'!$C$238:$C$451,$C22,'TL17'!$J$238:$J$451),0),
IF('TL18'!$B$3=M$3,SUMIF('TL18'!$C$10:$C$224,$C22,'TL18'!$J$10:$J$224),0),
IF('TL18'!$B$229=M$3,SUMIF('TL18'!$C$238:$C$451,$C22,'TL18'!$J$238:$J$451),0),
IF('TL19'!$B$3=M$3,SUMIF('TL19'!$C$10:$C$224,$C22,'TL19'!$J$10:$J$224),0),
IF('TL19'!$B$229=M$3,SUMIF('TL19'!$C$238:$C$451,$C22,'TL19'!$J$238:$J$451),0)
),0)</f>
        <v>0</v>
      </c>
      <c r="N22" s="9">
        <f>IFERROR(SUM(
IF('TL01'!$B$3=N$3,SUMIF('TL01'!$C$10:$C$224,$C22,'TL01'!$J$10:$J$224),0),
IF('TL01'!$B$229=N$3,SUMIF('TL01'!$C$238:$C$451,$C22,'TL01'!$J$238:$J$451),0),
IF('TL02'!$B$3=N$3,SUMIF('TL02'!$C$10:$C$224,$C22,'TL02'!$J$10:$J$224),0),
IF('TL02'!$B$229=N$3,SUMIF('TL02'!$C$238:$C$451,$C22,'TL02'!$J$238:$J$451),0),
IF('TL03'!$B$3=N$3,SUMIF('TL03'!$C$10:$C$224,$C22,'TL03'!$J$10:$J$224),0),
IF('TL03'!$B$229=N$3,SUMIF('TL03'!$C$238:$C$451,$C22,'TL03'!$J$238:$J$451),0),
IF('TL04'!$B$3=N$3,SUMIF('TL04'!$C$10:$C$224,$C22,'TL04'!$J$10:$J$224),0),
IF('TL04'!$B$229=N$3,SUMIF('TL04'!$C$238:$C$451,$C22,'TL04'!$J$238:$J$451),0),
IF('TL05'!$B$3=N$3,SUMIF('TL05'!$C$10:$C$224,$C22,'TL05'!$J$10:$J$224),0),
IF('TL05'!$B$229=N$3,SUMIF('TL05'!$C$238:$C$451,$C22,'TL05'!$J$238:$J$451),0),
IF('TL06'!$B$3=N$3,SUMIF('TL06'!$C$10:$C$224,$C22,'TL06'!$J$10:$J$224),0),
IF('TL06'!$B$229=N$3,SUMIF('TL06'!$C$238:$C$451,$C22,'TL06'!$J$238:$J$451),0),
IF('TL07'!$B$3=N$3,SUMIF('TL07'!$C$10:$C$224,$C22,'TL07'!$J$10:$J$224),0),
IF('TL07'!$B$229=N$3,SUMIF('TL07'!$C$238:$C$451,$C22,'TL07'!$J$238:$J$451),0),
IF('TL08'!$B$3=N$3,SUMIF('TL08'!$C$10:$C$224,$C22,'TL08'!$J$10:$J$224),0),
IF('TL08'!$B$229=N$3,SUMIF('TL08'!$C$238:$C$451,$C22,'TL08'!$J$238:$J$451),0),
IF('TL09'!$B$3=N$3,SUMIF('TL09'!$C$10:$C$224,$C22,'TL09'!$J$10:$J$224),0),
IF('TL09'!$B$229=N$3,SUMIF('TL09'!$C$238:$C$451,$C22,'TL09'!$J$238:$J$451),0),
IF('TL10'!$B$3=N$3,SUMIF('TL10'!$C$10:$C$224,$C22,'TL10'!$J$10:$J$224),0),
IF('TL10'!$B$229=N$3,SUMIF('TL10'!$C$238:$C$451,$C22,'TL10'!$J$238:$J$451),0),
IF('TL11'!$B$3=N$3,SUMIF('TL11'!$C$10:$C$224,$C22,'TL11'!$J$10:$J$224),0),
IF('TL11'!$B$229=N$3,SUMIF('TL11'!$C$238:$C$451,$C22,'TL11'!$J$238:$J$451),0),
IF('TL12'!$B$3=N$3,SUMIF('TL12'!$C$10:$C$224,$C22,'TL12'!$J$10:$J$224),0),
IF('TL12'!$B$229=N$3,SUMIF('TL12'!$C$238:$C$451,$C22,'TL12'!$J$238:$J$451),0),
IF('TL13'!$B$3=N$3,SUMIF('TL13'!$C$10:$C$224,$C22,'TL13'!$J$10:$J$224),0),
IF('TL13'!$B$229=N$3,SUMIF('TL13'!$C$238:$C$451,$C22,'TL13'!$J$238:$J$451),0),
IF('TL14'!$B$3=N$3,SUMIF('TL14'!$C$10:$C$224,$C22,'TL14'!$J$10:$J$224),0),
IF('TL14'!$B$229=N$3,SUMIF('TL14'!$C$238:$C$451,$C22,'TL14'!$J$238:$J$451),0),
IF('TL15'!$B$3=N$3,SUMIF('TL15'!$C$10:$C$224,$C22,'TL15'!$J$10:$J$224),0),
IF('TL15'!$B$229=N$3,SUMIF('TL15'!$C$238:$C$451,$C22,'TL15'!$J$238:$J$451),0),
IF('TL16'!$B$3=N$3,SUMIF('TL16'!$C$10:$C$224,$C22,'TL16'!$J$10:$J$224),0),
IF('TL16'!$B$229=N$3,SUMIF('TL16'!$C$238:$C$451,$C22,'TL16'!$J$238:$J$451),0),
IF('TL17'!$B$3=N$3,SUMIF('TL17'!$C$10:$C$224,$C22,'TL17'!$J$10:$J$224),0),
IF('TL17'!$B$229=N$3,SUMIF('TL17'!$C$238:$C$451,$C22,'TL17'!$J$238:$J$451),0),
IF('TL18'!$B$3=N$3,SUMIF('TL18'!$C$10:$C$224,$C22,'TL18'!$J$10:$J$224),0),
IF('TL18'!$B$229=N$3,SUMIF('TL18'!$C$238:$C$451,$C22,'TL18'!$J$238:$J$451),0),
IF('TL19'!$B$3=N$3,SUMIF('TL19'!$C$10:$C$224,$C22,'TL19'!$J$10:$J$224),0),
IF('TL19'!$B$229=N$3,SUMIF('TL19'!$C$238:$C$451,$C22,'TL19'!$J$238:$J$451),0)
),0)</f>
        <v>0</v>
      </c>
      <c r="O22" s="9">
        <f>IFERROR(SUM(
IF('TL01'!$B$3=O$3,SUMIF('TL01'!$C$10:$C$224,$C22,'TL01'!$J$10:$J$224),0),
IF('TL01'!$B$229=O$3,SUMIF('TL01'!$C$238:$C$451,$C22,'TL01'!$J$238:$J$451),0),
IF('TL02'!$B$3=O$3,SUMIF('TL02'!$C$10:$C$224,$C22,'TL02'!$J$10:$J$224),0),
IF('TL02'!$B$229=O$3,SUMIF('TL02'!$C$238:$C$451,$C22,'TL02'!$J$238:$J$451),0),
IF('TL03'!$B$3=O$3,SUMIF('TL03'!$C$10:$C$224,$C22,'TL03'!$J$10:$J$224),0),
IF('TL03'!$B$229=O$3,SUMIF('TL03'!$C$238:$C$451,$C22,'TL03'!$J$238:$J$451),0),
IF('TL04'!$B$3=O$3,SUMIF('TL04'!$C$10:$C$224,$C22,'TL04'!$J$10:$J$224),0),
IF('TL04'!$B$229=O$3,SUMIF('TL04'!$C$238:$C$451,$C22,'TL04'!$J$238:$J$451),0),
IF('TL05'!$B$3=O$3,SUMIF('TL05'!$C$10:$C$224,$C22,'TL05'!$J$10:$J$224),0),
IF('TL05'!$B$229=O$3,SUMIF('TL05'!$C$238:$C$451,$C22,'TL05'!$J$238:$J$451),0),
IF('TL06'!$B$3=O$3,SUMIF('TL06'!$C$10:$C$224,$C22,'TL06'!$J$10:$J$224),0),
IF('TL06'!$B$229=O$3,SUMIF('TL06'!$C$238:$C$451,$C22,'TL06'!$J$238:$J$451),0),
IF('TL07'!$B$3=O$3,SUMIF('TL07'!$C$10:$C$224,$C22,'TL07'!$J$10:$J$224),0),
IF('TL07'!$B$229=O$3,SUMIF('TL07'!$C$238:$C$451,$C22,'TL07'!$J$238:$J$451),0),
IF('TL08'!$B$3=O$3,SUMIF('TL08'!$C$10:$C$224,$C22,'TL08'!$J$10:$J$224),0),
IF('TL08'!$B$229=O$3,SUMIF('TL08'!$C$238:$C$451,$C22,'TL08'!$J$238:$J$451),0),
IF('TL09'!$B$3=O$3,SUMIF('TL09'!$C$10:$C$224,$C22,'TL09'!$J$10:$J$224),0),
IF('TL09'!$B$229=O$3,SUMIF('TL09'!$C$238:$C$451,$C22,'TL09'!$J$238:$J$451),0),
IF('TL10'!$B$3=O$3,SUMIF('TL10'!$C$10:$C$224,$C22,'TL10'!$J$10:$J$224),0),
IF('TL10'!$B$229=O$3,SUMIF('TL10'!$C$238:$C$451,$C22,'TL10'!$J$238:$J$451),0),
IF('TL11'!$B$3=O$3,SUMIF('TL11'!$C$10:$C$224,$C22,'TL11'!$J$10:$J$224),0),
IF('TL11'!$B$229=O$3,SUMIF('TL11'!$C$238:$C$451,$C22,'TL11'!$J$238:$J$451),0),
IF('TL12'!$B$3=O$3,SUMIF('TL12'!$C$10:$C$224,$C22,'TL12'!$J$10:$J$224),0),
IF('TL12'!$B$229=O$3,SUMIF('TL12'!$C$238:$C$451,$C22,'TL12'!$J$238:$J$451),0),
IF('TL13'!$B$3=O$3,SUMIF('TL13'!$C$10:$C$224,$C22,'TL13'!$J$10:$J$224),0),
IF('TL13'!$B$229=O$3,SUMIF('TL13'!$C$238:$C$451,$C22,'TL13'!$J$238:$J$451),0),
IF('TL14'!$B$3=O$3,SUMIF('TL14'!$C$10:$C$224,$C22,'TL14'!$J$10:$J$224),0),
IF('TL14'!$B$229=O$3,SUMIF('TL14'!$C$238:$C$451,$C22,'TL14'!$J$238:$J$451),0),
IF('TL15'!$B$3=O$3,SUMIF('TL15'!$C$10:$C$224,$C22,'TL15'!$J$10:$J$224),0),
IF('TL15'!$B$229=O$3,SUMIF('TL15'!$C$238:$C$451,$C22,'TL15'!$J$238:$J$451),0),
IF('TL16'!$B$3=O$3,SUMIF('TL16'!$C$10:$C$224,$C22,'TL16'!$J$10:$J$224),0),
IF('TL16'!$B$229=O$3,SUMIF('TL16'!$C$238:$C$451,$C22,'TL16'!$J$238:$J$451),0),
IF('TL17'!$B$3=O$3,SUMIF('TL17'!$C$10:$C$224,$C22,'TL17'!$J$10:$J$224),0),
IF('TL17'!$B$229=O$3,SUMIF('TL17'!$C$238:$C$451,$C22,'TL17'!$J$238:$J$451),0),
IF('TL18'!$B$3=O$3,SUMIF('TL18'!$C$10:$C$224,$C22,'TL18'!$J$10:$J$224),0),
IF('TL18'!$B$229=O$3,SUMIF('TL18'!$C$238:$C$451,$C22,'TL18'!$J$238:$J$451),0),
IF('TL19'!$B$3=O$3,SUMIF('TL19'!$C$10:$C$224,$C22,'TL19'!$J$10:$J$224),0),
IF('TL19'!$B$229=O$3,SUMIF('TL19'!$C$238:$C$451,$C22,'TL19'!$J$238:$J$451),0)
),0)</f>
        <v>1100</v>
      </c>
      <c r="P22" s="9">
        <f>IFERROR(SUM(
IF('TL01'!$B$3=P$3,SUMIF('TL01'!$C$10:$C$224,$C22,'TL01'!$J$10:$J$224),0),
IF('TL01'!$B$229=P$3,SUMIF('TL01'!$C$238:$C$451,$C22,'TL01'!$J$238:$J$451),0),
IF('TL02'!$B$3=P$3,SUMIF('TL02'!$C$10:$C$224,$C22,'TL02'!$J$10:$J$224),0),
IF('TL02'!$B$229=P$3,SUMIF('TL02'!$C$238:$C$451,$C22,'TL02'!$J$238:$J$451),0),
IF('TL03'!$B$3=P$3,SUMIF('TL03'!$C$10:$C$224,$C22,'TL03'!$J$10:$J$224),0),
IF('TL03'!$B$229=P$3,SUMIF('TL03'!$C$238:$C$451,$C22,'TL03'!$J$238:$J$451),0),
IF('TL04'!$B$3=P$3,SUMIF('TL04'!$C$10:$C$224,$C22,'TL04'!$J$10:$J$224),0),
IF('TL04'!$B$229=P$3,SUMIF('TL04'!$C$238:$C$451,$C22,'TL04'!$J$238:$J$451),0),
IF('TL05'!$B$3=P$3,SUMIF('TL05'!$C$10:$C$224,$C22,'TL05'!$J$10:$J$224),0),
IF('TL05'!$B$229=P$3,SUMIF('TL05'!$C$238:$C$451,$C22,'TL05'!$J$238:$J$451),0),
IF('TL06'!$B$3=P$3,SUMIF('TL06'!$C$10:$C$224,$C22,'TL06'!$J$10:$J$224),0),
IF('TL06'!$B$229=P$3,SUMIF('TL06'!$C$238:$C$451,$C22,'TL06'!$J$238:$J$451),0),
IF('TL07'!$B$3=P$3,SUMIF('TL07'!$C$10:$C$224,$C22,'TL07'!$J$10:$J$224),0),
IF('TL07'!$B$229=P$3,SUMIF('TL07'!$C$238:$C$451,$C22,'TL07'!$J$238:$J$451),0),
IF('TL08'!$B$3=P$3,SUMIF('TL08'!$C$10:$C$224,$C22,'TL08'!$J$10:$J$224),0),
IF('TL08'!$B$229=P$3,SUMIF('TL08'!$C$238:$C$451,$C22,'TL08'!$J$238:$J$451),0),
IF('TL09'!$B$3=P$3,SUMIF('TL09'!$C$10:$C$224,$C22,'TL09'!$J$10:$J$224),0),
IF('TL09'!$B$229=P$3,SUMIF('TL09'!$C$238:$C$451,$C22,'TL09'!$J$238:$J$451),0),
IF('TL10'!$B$3=P$3,SUMIF('TL10'!$C$10:$C$224,$C22,'TL10'!$J$10:$J$224),0),
IF('TL10'!$B$229=P$3,SUMIF('TL10'!$C$238:$C$451,$C22,'TL10'!$J$238:$J$451),0),
IF('TL11'!$B$3=P$3,SUMIF('TL11'!$C$10:$C$224,$C22,'TL11'!$J$10:$J$224),0),
IF('TL11'!$B$229=P$3,SUMIF('TL11'!$C$238:$C$451,$C22,'TL11'!$J$238:$J$451),0),
IF('TL12'!$B$3=P$3,SUMIF('TL12'!$C$10:$C$224,$C22,'TL12'!$J$10:$J$224),0),
IF('TL12'!$B$229=P$3,SUMIF('TL12'!$C$238:$C$451,$C22,'TL12'!$J$238:$J$451),0),
IF('TL13'!$B$3=P$3,SUMIF('TL13'!$C$10:$C$224,$C22,'TL13'!$J$10:$J$224),0),
IF('TL13'!$B$229=P$3,SUMIF('TL13'!$C$238:$C$451,$C22,'TL13'!$J$238:$J$451),0),
IF('TL14'!$B$3=P$3,SUMIF('TL14'!$C$10:$C$224,$C22,'TL14'!$J$10:$J$224),0),
IF('TL14'!$B$229=P$3,SUMIF('TL14'!$C$238:$C$451,$C22,'TL14'!$J$238:$J$451),0),
IF('TL15'!$B$3=P$3,SUMIF('TL15'!$C$10:$C$224,$C22,'TL15'!$J$10:$J$224),0),
IF('TL15'!$B$229=P$3,SUMIF('TL15'!$C$238:$C$451,$C22,'TL15'!$J$238:$J$451),0),
IF('TL16'!$B$3=P$3,SUMIF('TL16'!$C$10:$C$224,$C22,'TL16'!$J$10:$J$224),0),
IF('TL16'!$B$229=P$3,SUMIF('TL16'!$C$238:$C$451,$C22,'TL16'!$J$238:$J$451),0),
IF('TL17'!$B$3=P$3,SUMIF('TL17'!$C$10:$C$224,$C22,'TL17'!$J$10:$J$224),0),
IF('TL17'!$B$229=P$3,SUMIF('TL17'!$C$238:$C$451,$C22,'TL17'!$J$238:$J$451),0),
IF('TL18'!$B$3=P$3,SUMIF('TL18'!$C$10:$C$224,$C22,'TL18'!$J$10:$J$224),0),
IF('TL18'!$B$229=P$3,SUMIF('TL18'!$C$238:$C$451,$C22,'TL18'!$J$238:$J$451),0),
IF('TL19'!$B$3=P$3,SUMIF('TL19'!$C$10:$C$224,$C22,'TL19'!$J$10:$J$224),0),
IF('TL19'!$B$229=P$3,SUMIF('TL19'!$C$238:$C$451,$C22,'TL19'!$J$238:$J$451),0)
),0)</f>
        <v>3654</v>
      </c>
      <c r="Q22" s="9">
        <f>IFERROR(SUM(
IF('TL01'!$B$3=Q$3,SUMIF('TL01'!$C$10:$C$224,$C22,'TL01'!$J$10:$J$224),0),
IF('TL01'!$B$229=Q$3,SUMIF('TL01'!$C$238:$C$451,$C22,'TL01'!$J$238:$J$451),0),
IF('TL02'!$B$3=Q$3,SUMIF('TL02'!$C$10:$C$224,$C22,'TL02'!$J$10:$J$224),0),
IF('TL02'!$B$229=Q$3,SUMIF('TL02'!$C$238:$C$451,$C22,'TL02'!$J$238:$J$451),0),
IF('TL03'!$B$3=Q$3,SUMIF('TL03'!$C$10:$C$224,$C22,'TL03'!$J$10:$J$224),0),
IF('TL03'!$B$229=Q$3,SUMIF('TL03'!$C$238:$C$451,$C22,'TL03'!$J$238:$J$451),0),
IF('TL04'!$B$3=Q$3,SUMIF('TL04'!$C$10:$C$224,$C22,'TL04'!$J$10:$J$224),0),
IF('TL04'!$B$229=Q$3,SUMIF('TL04'!$C$238:$C$451,$C22,'TL04'!$J$238:$J$451),0),
IF('TL05'!$B$3=Q$3,SUMIF('TL05'!$C$10:$C$224,$C22,'TL05'!$J$10:$J$224),0),
IF('TL05'!$B$229=Q$3,SUMIF('TL05'!$C$238:$C$451,$C22,'TL05'!$J$238:$J$451),0),
IF('TL06'!$B$3=Q$3,SUMIF('TL06'!$C$10:$C$224,$C22,'TL06'!$J$10:$J$224),0),
IF('TL06'!$B$229=Q$3,SUMIF('TL06'!$C$238:$C$451,$C22,'TL06'!$J$238:$J$451),0),
IF('TL07'!$B$3=Q$3,SUMIF('TL07'!$C$10:$C$224,$C22,'TL07'!$J$10:$J$224),0),
IF('TL07'!$B$229=Q$3,SUMIF('TL07'!$C$238:$C$451,$C22,'TL07'!$J$238:$J$451),0),
IF('TL08'!$B$3=Q$3,SUMIF('TL08'!$C$10:$C$224,$C22,'TL08'!$J$10:$J$224),0),
IF('TL08'!$B$229=Q$3,SUMIF('TL08'!$C$238:$C$451,$C22,'TL08'!$J$238:$J$451),0),
IF('TL09'!$B$3=Q$3,SUMIF('TL09'!$C$10:$C$224,$C22,'TL09'!$J$10:$J$224),0),
IF('TL09'!$B$229=Q$3,SUMIF('TL09'!$C$238:$C$451,$C22,'TL09'!$J$238:$J$451),0),
IF('TL10'!$B$3=Q$3,SUMIF('TL10'!$C$10:$C$224,$C22,'TL10'!$J$10:$J$224),0),
IF('TL10'!$B$229=Q$3,SUMIF('TL10'!$C$238:$C$451,$C22,'TL10'!$J$238:$J$451),0),
IF('TL11'!$B$3=Q$3,SUMIF('TL11'!$C$10:$C$224,$C22,'TL11'!$J$10:$J$224),0),
IF('TL11'!$B$229=Q$3,SUMIF('TL11'!$C$238:$C$451,$C22,'TL11'!$J$238:$J$451),0),
IF('TL12'!$B$3=Q$3,SUMIF('TL12'!$C$10:$C$224,$C22,'TL12'!$J$10:$J$224),0),
IF('TL12'!$B$229=Q$3,SUMIF('TL12'!$C$238:$C$451,$C22,'TL12'!$J$238:$J$451),0),
IF('TL13'!$B$3=Q$3,SUMIF('TL13'!$C$10:$C$224,$C22,'TL13'!$J$10:$J$224),0),
IF('TL13'!$B$229=Q$3,SUMIF('TL13'!$C$238:$C$451,$C22,'TL13'!$J$238:$J$451),0),
IF('TL14'!$B$3=Q$3,SUMIF('TL14'!$C$10:$C$224,$C22,'TL14'!$J$10:$J$224),0),
IF('TL14'!$B$229=Q$3,SUMIF('TL14'!$C$238:$C$451,$C22,'TL14'!$J$238:$J$451),0),
IF('TL15'!$B$3=Q$3,SUMIF('TL15'!$C$10:$C$224,$C22,'TL15'!$J$10:$J$224),0),
IF('TL15'!$B$229=Q$3,SUMIF('TL15'!$C$238:$C$451,$C22,'TL15'!$J$238:$J$451),0),
IF('TL16'!$B$3=Q$3,SUMIF('TL16'!$C$10:$C$224,$C22,'TL16'!$J$10:$J$224),0),
IF('TL16'!$B$229=Q$3,SUMIF('TL16'!$C$238:$C$451,$C22,'TL16'!$J$238:$J$451),0),
IF('TL17'!$B$3=Q$3,SUMIF('TL17'!$C$10:$C$224,$C22,'TL17'!$J$10:$J$224),0),
IF('TL17'!$B$229=Q$3,SUMIF('TL17'!$C$238:$C$451,$C22,'TL17'!$J$238:$J$451),0),
IF('TL18'!$B$3=Q$3,SUMIF('TL18'!$C$10:$C$224,$C22,'TL18'!$J$10:$J$224),0),
IF('TL18'!$B$229=Q$3,SUMIF('TL18'!$C$238:$C$451,$C22,'TL18'!$J$238:$J$451),0),
IF('TL19'!$B$3=Q$3,SUMIF('TL19'!$C$10:$C$224,$C22,'TL19'!$J$10:$J$224),0),
IF('TL19'!$B$229=Q$3,SUMIF('TL19'!$C$238:$C$451,$C22,'TL19'!$J$238:$J$451),0)
),0)</f>
        <v>960</v>
      </c>
      <c r="R22" s="9">
        <f>IFERROR(
SUM(
SUMIF('TL01'!C:C,C22,'TL01'!J:J),
SUMIF('TL02'!C:C,C22,'TL02'!J:J),
SUMIF('TL03'!C:C,C22,'TL03'!J:J),
SUMIF('TL04'!C:C,C22,'TL04'!J:J),
SUMIF('TL05'!C:C,C22,'TL05'!J:J),
SUMIF('TL06'!C:C,C22,'TL06'!J:J),
SUMIF('TL07'!C:C,C22,'TL07'!J:J),
SUMIF('TL08'!C:C,C22,'TL08'!J:J),
SUMIF('TL09'!C:C,C22,'TL09'!J:J),
SUMIF('TL10'!C:C,C22,'TL10'!J:J),
SUMIF('TL11'!C:C,C22,'TL11'!J:J),
SUMIF('TL12'!C:C,C22,'TL12'!J:J),
SUMIF('TL13'!C:C,C22,'TL13'!J:J),
SUMIF('TL14'!C:C,C22,'TL14'!J:J),
SUMIF('TL15'!C:C,C22,'TL15'!J:J),
SUMIF('TL16'!C:C,C22,'TL16'!J:J),
SUMIF('TL17'!C:C,C22,'TL17'!J:J),
SUMIF('TL18'!C:C,C22,'TL18'!J:J),SUMIF('TL19'!C:C,C22,'TL19'!J:J))
,0)</f>
        <v>8744</v>
      </c>
      <c r="S22" s="17" t="str">
        <f>IFERROR(__xludf.DUMMYFUNCTION("IFERROR(VLOOKUP(C22,
IMPORTRANGE(""1wULbzX32WdYsx-lj2U3uUNBBe2INVIRDtcK0d-Dvl90"",
""26-27!C:G""),
5,
FALSE),
"""")"),"")</f>
        <v/>
      </c>
      <c r="T22" s="9">
        <v>4000.0</v>
      </c>
      <c r="U22" s="92">
        <f t="shared" si="2"/>
        <v>4744</v>
      </c>
      <c r="V22" s="93">
        <f t="shared" si="3"/>
        <v>0</v>
      </c>
    </row>
    <row r="23" ht="22.5" hidden="1" customHeight="1">
      <c r="A23" s="106"/>
      <c r="B23" s="107" t="s">
        <v>8</v>
      </c>
      <c r="C23" s="108" t="s">
        <v>400</v>
      </c>
      <c r="D23" s="108"/>
      <c r="E23" s="109"/>
      <c r="F23" s="4" t="s">
        <v>399</v>
      </c>
      <c r="G23" s="9"/>
      <c r="H23" s="9" t="str">
        <f>IFERROR(__xludf.DUMMYFUNCTION("IFERROR(VLOOKUP(C23,
IMPORTRANGE(""1wULbzX32WdYsx-lj2U3uUNBBe2INVIRDtcK0d-Dvl90"",
""26-27!C:K""),
8,
FALSE),
"""")"),"")</f>
        <v/>
      </c>
      <c r="I23" s="110"/>
      <c r="J23" s="9">
        <f>IFERROR(SUM(
IF('TL01'!$B$3=J$3,SUMIF('TL01'!$C$10:$C$224,$C23,'TL01'!$J$10:$J$224),0),
IF('TL01'!$B$229=J$3,SUMIF('TL01'!$C$238:$C$451,$C23,'TL01'!$J$238:$J$451),0),
IF('TL02'!$B$3=J$3,SUMIF('TL02'!$C$10:$C$224,$C23,'TL02'!$J$10:$J$224),0),
IF('TL02'!$B$229=J$3,SUMIF('TL02'!$C$238:$C$451,$C23,'TL02'!$J$238:$J$451),0),
IF('TL03'!$B$3=J$3,SUMIF('TL03'!$C$10:$C$224,$C23,'TL03'!$J$10:$J$224),0),
IF('TL03'!$B$229=J$3,SUMIF('TL03'!$C$238:$C$451,$C23,'TL03'!$J$238:$J$451),0),
IF('TL04'!$B$3=J$3,SUMIF('TL04'!$C$10:$C$224,$C23,'TL04'!$J$10:$J$224),0),
IF('TL04'!$B$229=J$3,SUMIF('TL04'!$C$238:$C$451,$C23,'TL04'!$J$238:$J$451),0),
IF('TL05'!$B$3=J$3,SUMIF('TL05'!$C$10:$C$224,$C23,'TL05'!$J$10:$J$224),0),
IF('TL05'!$B$229=J$3,SUMIF('TL05'!$C$238:$C$451,$C23,'TL05'!$J$238:$J$451),0),
IF('TL06'!$B$3=J$3,SUMIF('TL06'!$C$10:$C$224,$C23,'TL06'!$J$10:$J$224),0),
IF('TL06'!$B$229=J$3,SUMIF('TL06'!$C$238:$C$451,$C23,'TL06'!$J$238:$J$451),0),
IF('TL07'!$B$3=J$3,SUMIF('TL07'!$C$10:$C$224,$C23,'TL07'!$J$10:$J$224),0),
IF('TL07'!$B$229=J$3,SUMIF('TL07'!$C$238:$C$451,$C23,'TL07'!$J$238:$J$451),0),
IF('TL08'!$B$3=J$3,SUMIF('TL08'!$C$10:$C$224,$C23,'TL08'!$J$10:$J$224),0),
IF('TL08'!$B$229=J$3,SUMIF('TL08'!$C$238:$C$451,$C23,'TL08'!$J$238:$J$451),0),
IF('TL09'!$B$3=J$3,SUMIF('TL09'!$C$10:$C$224,$C23,'TL09'!$J$10:$J$224),0),
IF('TL09'!$B$229=J$3,SUMIF('TL09'!$C$238:$C$451,$C23,'TL09'!$J$238:$J$451),0),
IF('TL10'!$B$3=J$3,SUMIF('TL10'!$C$10:$C$224,$C23,'TL10'!$J$10:$J$224),0),
IF('TL10'!$B$229=J$3,SUMIF('TL10'!$C$238:$C$451,$C23,'TL10'!$J$238:$J$451),0),
IF('TL11'!$B$3=J$3,SUMIF('TL11'!$C$10:$C$224,$C23,'TL11'!$J$10:$J$224),0),
IF('TL11'!$B$229=J$3,SUMIF('TL11'!$C$238:$C$451,$C23,'TL11'!$J$238:$J$451),0),
IF('TL12'!$B$3=J$3,SUMIF('TL12'!$C$10:$C$224,$C23,'TL12'!$J$10:$J$224),0),
IF('TL12'!$B$229=J$3,SUMIF('TL12'!$C$238:$C$451,$C23,'TL12'!$J$238:$J$451),0),
IF('TL13'!$B$3=J$3,SUMIF('TL13'!$C$10:$C$224,$C23,'TL13'!$J$10:$J$224),0),
IF('TL13'!$B$229=J$3,SUMIF('TL13'!$C$238:$C$451,$C23,'TL13'!$J$238:$J$451),0),
IF('TL14'!$B$3=J$3,SUMIF('TL14'!$C$10:$C$224,$C23,'TL14'!$J$10:$J$224),0),
IF('TL14'!$B$229=J$3,SUMIF('TL14'!$C$238:$C$451,$C23,'TL14'!$J$238:$J$451),0),
IF('TL15'!$B$3=J$3,SUMIF('TL15'!$C$10:$C$224,$C23,'TL15'!$J$10:$J$224),0),
IF('TL15'!$B$229=J$3,SUMIF('TL15'!$C$238:$C$451,$C23,'TL15'!$J$238:$J$451),0),
IF('TL16'!$B$3=J$3,SUMIF('TL16'!$C$10:$C$224,$C23,'TL16'!$J$10:$J$224),0),
IF('TL16'!$B$229=J$3,SUMIF('TL16'!$C$238:$C$451,$C23,'TL16'!$J$238:$J$451),0),
IF('TL17'!$B$3=J$3,SUMIF('TL17'!$C$10:$C$224,$C23,'TL17'!$J$10:$J$224),0),
IF('TL17'!$B$229=J$3,SUMIF('TL17'!$C$238:$C$451,$C23,'TL17'!$J$238:$J$451),0),
IF('TL18'!$B$3=J$3,SUMIF('TL18'!$C$10:$C$224,$C23,'TL18'!$J$10:$J$224),0),
IF('TL18'!$B$229=J$3,SUMIF('TL18'!$C$238:$C$451,$C23,'TL18'!$J$238:$J$451),0),
IF('TL19'!$B$3=J$3,SUMIF('TL19'!$C$10:$C$224,$C23,'TL19'!$J$10:$J$224),0),
IF('TL19'!$B$229=J$3,SUMIF('TL19'!$C$238:$C$451,$C23,'TL19'!$J$238:$J$451),0)
),0)</f>
        <v>0</v>
      </c>
      <c r="K23" s="9">
        <f>IFERROR(SUM(
IF('TL01'!$B$3=K$3,SUMIF('TL01'!$C$10:$C$224,$C23,'TL01'!$J$10:$J$224),0),
IF('TL01'!$B$229=K$3,SUMIF('TL01'!$C$238:$C$451,$C23,'TL01'!$J$238:$J$451),0),
IF('TL02'!$B$3=K$3,SUMIF('TL02'!$C$10:$C$224,$C23,'TL02'!$J$10:$J$224),0),
IF('TL02'!$B$229=K$3,SUMIF('TL02'!$C$238:$C$451,$C23,'TL02'!$J$238:$J$451),0),
IF('TL03'!$B$3=K$3,SUMIF('TL03'!$C$10:$C$224,$C23,'TL03'!$J$10:$J$224),0),
IF('TL03'!$B$229=K$3,SUMIF('TL03'!$C$238:$C$451,$C23,'TL03'!$J$238:$J$451),0),
IF('TL04'!$B$3=K$3,SUMIF('TL04'!$C$10:$C$224,$C23,'TL04'!$J$10:$J$224),0),
IF('TL04'!$B$229=K$3,SUMIF('TL04'!$C$238:$C$451,$C23,'TL04'!$J$238:$J$451),0),
IF('TL05'!$B$3=K$3,SUMIF('TL05'!$C$10:$C$224,$C23,'TL05'!$J$10:$J$224),0),
IF('TL05'!$B$229=K$3,SUMIF('TL05'!$C$238:$C$451,$C23,'TL05'!$J$238:$J$451),0),
IF('TL06'!$B$3=K$3,SUMIF('TL06'!$C$10:$C$224,$C23,'TL06'!$J$10:$J$224),0),
IF('TL06'!$B$229=K$3,SUMIF('TL06'!$C$238:$C$451,$C23,'TL06'!$J$238:$J$451),0),
IF('TL07'!$B$3=K$3,SUMIF('TL07'!$C$10:$C$224,$C23,'TL07'!$J$10:$J$224),0),
IF('TL07'!$B$229=K$3,SUMIF('TL07'!$C$238:$C$451,$C23,'TL07'!$J$238:$J$451),0),
IF('TL08'!$B$3=K$3,SUMIF('TL08'!$C$10:$C$224,$C23,'TL08'!$J$10:$J$224),0),
IF('TL08'!$B$229=K$3,SUMIF('TL08'!$C$238:$C$451,$C23,'TL08'!$J$238:$J$451),0),
IF('TL09'!$B$3=K$3,SUMIF('TL09'!$C$10:$C$224,$C23,'TL09'!$J$10:$J$224),0),
IF('TL09'!$B$229=K$3,SUMIF('TL09'!$C$238:$C$451,$C23,'TL09'!$J$238:$J$451),0),
IF('TL10'!$B$3=K$3,SUMIF('TL10'!$C$10:$C$224,$C23,'TL10'!$J$10:$J$224),0),
IF('TL10'!$B$229=K$3,SUMIF('TL10'!$C$238:$C$451,$C23,'TL10'!$J$238:$J$451),0),
IF('TL11'!$B$3=K$3,SUMIF('TL11'!$C$10:$C$224,$C23,'TL11'!$J$10:$J$224),0),
IF('TL11'!$B$229=K$3,SUMIF('TL11'!$C$238:$C$451,$C23,'TL11'!$J$238:$J$451),0),
IF('TL12'!$B$3=K$3,SUMIF('TL12'!$C$10:$C$224,$C23,'TL12'!$J$10:$J$224),0),
IF('TL12'!$B$229=K$3,SUMIF('TL12'!$C$238:$C$451,$C23,'TL12'!$J$238:$J$451),0),
IF('TL13'!$B$3=K$3,SUMIF('TL13'!$C$10:$C$224,$C23,'TL13'!$J$10:$J$224),0),
IF('TL13'!$B$229=K$3,SUMIF('TL13'!$C$238:$C$451,$C23,'TL13'!$J$238:$J$451),0),
IF('TL14'!$B$3=K$3,SUMIF('TL14'!$C$10:$C$224,$C23,'TL14'!$J$10:$J$224),0),
IF('TL14'!$B$229=K$3,SUMIF('TL14'!$C$238:$C$451,$C23,'TL14'!$J$238:$J$451),0),
IF('TL15'!$B$3=K$3,SUMIF('TL15'!$C$10:$C$224,$C23,'TL15'!$J$10:$J$224),0),
IF('TL15'!$B$229=K$3,SUMIF('TL15'!$C$238:$C$451,$C23,'TL15'!$J$238:$J$451),0),
IF('TL16'!$B$3=K$3,SUMIF('TL16'!$C$10:$C$224,$C23,'TL16'!$J$10:$J$224),0),
IF('TL16'!$B$229=K$3,SUMIF('TL16'!$C$238:$C$451,$C23,'TL16'!$J$238:$J$451),0),
IF('TL17'!$B$3=K$3,SUMIF('TL17'!$C$10:$C$224,$C23,'TL17'!$J$10:$J$224),0),
IF('TL17'!$B$229=K$3,SUMIF('TL17'!$C$238:$C$451,$C23,'TL17'!$J$238:$J$451),0),
IF('TL18'!$B$3=K$3,SUMIF('TL18'!$C$10:$C$224,$C23,'TL18'!$J$10:$J$224),0),
IF('TL18'!$B$229=K$3,SUMIF('TL18'!$C$238:$C$451,$C23,'TL18'!$J$238:$J$451),0),
IF('TL19'!$B$3=K$3,SUMIF('TL19'!$C$10:$C$224,$C23,'TL19'!$J$10:$J$224),0),
IF('TL19'!$B$229=K$3,SUMIF('TL19'!$C$238:$C$451,$C23,'TL19'!$J$238:$J$451),0)
),0)</f>
        <v>0</v>
      </c>
      <c r="L23" s="9">
        <f>IFERROR(SUM(
IF('TL01'!$B$3=L$3,SUMIF('TL01'!$C$10:$C$224,$C23,'TL01'!$J$10:$J$224),0),
IF('TL01'!$B$229=L$3,SUMIF('TL01'!$C$238:$C$451,$C23,'TL01'!$J$238:$J$451),0),
IF('TL02'!$B$3=L$3,SUMIF('TL02'!$C$10:$C$224,$C23,'TL02'!$J$10:$J$224),0),
IF('TL02'!$B$229=L$3,SUMIF('TL02'!$C$238:$C$451,$C23,'TL02'!$J$238:$J$451),0),
IF('TL03'!$B$3=L$3,SUMIF('TL03'!$C$10:$C$224,$C23,'TL03'!$J$10:$J$224),0),
IF('TL03'!$B$229=L$3,SUMIF('TL03'!$C$238:$C$451,$C23,'TL03'!$J$238:$J$451),0),
IF('TL04'!$B$3=L$3,SUMIF('TL04'!$C$10:$C$224,$C23,'TL04'!$J$10:$J$224),0),
IF('TL04'!$B$229=L$3,SUMIF('TL04'!$C$238:$C$451,$C23,'TL04'!$J$238:$J$451),0),
IF('TL05'!$B$3=L$3,SUMIF('TL05'!$C$10:$C$224,$C23,'TL05'!$J$10:$J$224),0),
IF('TL05'!$B$229=L$3,SUMIF('TL05'!$C$238:$C$451,$C23,'TL05'!$J$238:$J$451),0),
IF('TL06'!$B$3=L$3,SUMIF('TL06'!$C$10:$C$224,$C23,'TL06'!$J$10:$J$224),0),
IF('TL06'!$B$229=L$3,SUMIF('TL06'!$C$238:$C$451,$C23,'TL06'!$J$238:$J$451),0),
IF('TL07'!$B$3=L$3,SUMIF('TL07'!$C$10:$C$224,$C23,'TL07'!$J$10:$J$224),0),
IF('TL07'!$B$229=L$3,SUMIF('TL07'!$C$238:$C$451,$C23,'TL07'!$J$238:$J$451),0),
IF('TL08'!$B$3=L$3,SUMIF('TL08'!$C$10:$C$224,$C23,'TL08'!$J$10:$J$224),0),
IF('TL08'!$B$229=L$3,SUMIF('TL08'!$C$238:$C$451,$C23,'TL08'!$J$238:$J$451),0),
IF('TL09'!$B$3=L$3,SUMIF('TL09'!$C$10:$C$224,$C23,'TL09'!$J$10:$J$224),0),
IF('TL09'!$B$229=L$3,SUMIF('TL09'!$C$238:$C$451,$C23,'TL09'!$J$238:$J$451),0),
IF('TL10'!$B$3=L$3,SUMIF('TL10'!$C$10:$C$224,$C23,'TL10'!$J$10:$J$224),0),
IF('TL10'!$B$229=L$3,SUMIF('TL10'!$C$238:$C$451,$C23,'TL10'!$J$238:$J$451),0),
IF('TL11'!$B$3=L$3,SUMIF('TL11'!$C$10:$C$224,$C23,'TL11'!$J$10:$J$224),0),
IF('TL11'!$B$229=L$3,SUMIF('TL11'!$C$238:$C$451,$C23,'TL11'!$J$238:$J$451),0),
IF('TL12'!$B$3=L$3,SUMIF('TL12'!$C$10:$C$224,$C23,'TL12'!$J$10:$J$224),0),
IF('TL12'!$B$229=L$3,SUMIF('TL12'!$C$238:$C$451,$C23,'TL12'!$J$238:$J$451),0),
IF('TL13'!$B$3=L$3,SUMIF('TL13'!$C$10:$C$224,$C23,'TL13'!$J$10:$J$224),0),
IF('TL13'!$B$229=L$3,SUMIF('TL13'!$C$238:$C$451,$C23,'TL13'!$J$238:$J$451),0),
IF('TL14'!$B$3=L$3,SUMIF('TL14'!$C$10:$C$224,$C23,'TL14'!$J$10:$J$224),0),
IF('TL14'!$B$229=L$3,SUMIF('TL14'!$C$238:$C$451,$C23,'TL14'!$J$238:$J$451),0),
IF('TL15'!$B$3=L$3,SUMIF('TL15'!$C$10:$C$224,$C23,'TL15'!$J$10:$J$224),0),
IF('TL15'!$B$229=L$3,SUMIF('TL15'!$C$238:$C$451,$C23,'TL15'!$J$238:$J$451),0),
IF('TL16'!$B$3=L$3,SUMIF('TL16'!$C$10:$C$224,$C23,'TL16'!$J$10:$J$224),0),
IF('TL16'!$B$229=L$3,SUMIF('TL16'!$C$238:$C$451,$C23,'TL16'!$J$238:$J$451),0),
IF('TL17'!$B$3=L$3,SUMIF('TL17'!$C$10:$C$224,$C23,'TL17'!$J$10:$J$224),0),
IF('TL17'!$B$229=L$3,SUMIF('TL17'!$C$238:$C$451,$C23,'TL17'!$J$238:$J$451),0),
IF('TL18'!$B$3=L$3,SUMIF('TL18'!$C$10:$C$224,$C23,'TL18'!$J$10:$J$224),0),
IF('TL18'!$B$229=L$3,SUMIF('TL18'!$C$238:$C$451,$C23,'TL18'!$J$238:$J$451),0),
IF('TL19'!$B$3=L$3,SUMIF('TL19'!$C$10:$C$224,$C23,'TL19'!$J$10:$J$224),0),
IF('TL19'!$B$229=L$3,SUMIF('TL19'!$C$238:$C$451,$C23,'TL19'!$J$238:$J$451),0)
),0)</f>
        <v>0</v>
      </c>
      <c r="M23" s="9">
        <f>IFERROR(SUM(
IF('TL01'!$B$3=M$3,SUMIF('TL01'!$C$10:$C$224,$C23,'TL01'!$J$10:$J$224),0),
IF('TL01'!$B$229=M$3,SUMIF('TL01'!$C$238:$C$451,$C23,'TL01'!$J$238:$J$451),0),
IF('TL02'!$B$3=M$3,SUMIF('TL02'!$C$10:$C$224,$C23,'TL02'!$J$10:$J$224),0),
IF('TL02'!$B$229=M$3,SUMIF('TL02'!$C$238:$C$451,$C23,'TL02'!$J$238:$J$451),0),
IF('TL03'!$B$3=M$3,SUMIF('TL03'!$C$10:$C$224,$C23,'TL03'!$J$10:$J$224),0),
IF('TL03'!$B$229=M$3,SUMIF('TL03'!$C$238:$C$451,$C23,'TL03'!$J$238:$J$451),0),
IF('TL04'!$B$3=M$3,SUMIF('TL04'!$C$10:$C$224,$C23,'TL04'!$J$10:$J$224),0),
IF('TL04'!$B$229=M$3,SUMIF('TL04'!$C$238:$C$451,$C23,'TL04'!$J$238:$J$451),0),
IF('TL05'!$B$3=M$3,SUMIF('TL05'!$C$10:$C$224,$C23,'TL05'!$J$10:$J$224),0),
IF('TL05'!$B$229=M$3,SUMIF('TL05'!$C$238:$C$451,$C23,'TL05'!$J$238:$J$451),0),
IF('TL06'!$B$3=M$3,SUMIF('TL06'!$C$10:$C$224,$C23,'TL06'!$J$10:$J$224),0),
IF('TL06'!$B$229=M$3,SUMIF('TL06'!$C$238:$C$451,$C23,'TL06'!$J$238:$J$451),0),
IF('TL07'!$B$3=M$3,SUMIF('TL07'!$C$10:$C$224,$C23,'TL07'!$J$10:$J$224),0),
IF('TL07'!$B$229=M$3,SUMIF('TL07'!$C$238:$C$451,$C23,'TL07'!$J$238:$J$451),0),
IF('TL08'!$B$3=M$3,SUMIF('TL08'!$C$10:$C$224,$C23,'TL08'!$J$10:$J$224),0),
IF('TL08'!$B$229=M$3,SUMIF('TL08'!$C$238:$C$451,$C23,'TL08'!$J$238:$J$451),0),
IF('TL09'!$B$3=M$3,SUMIF('TL09'!$C$10:$C$224,$C23,'TL09'!$J$10:$J$224),0),
IF('TL09'!$B$229=M$3,SUMIF('TL09'!$C$238:$C$451,$C23,'TL09'!$J$238:$J$451),0),
IF('TL10'!$B$3=M$3,SUMIF('TL10'!$C$10:$C$224,$C23,'TL10'!$J$10:$J$224),0),
IF('TL10'!$B$229=M$3,SUMIF('TL10'!$C$238:$C$451,$C23,'TL10'!$J$238:$J$451),0),
IF('TL11'!$B$3=M$3,SUMIF('TL11'!$C$10:$C$224,$C23,'TL11'!$J$10:$J$224),0),
IF('TL11'!$B$229=M$3,SUMIF('TL11'!$C$238:$C$451,$C23,'TL11'!$J$238:$J$451),0),
IF('TL12'!$B$3=M$3,SUMIF('TL12'!$C$10:$C$224,$C23,'TL12'!$J$10:$J$224),0),
IF('TL12'!$B$229=M$3,SUMIF('TL12'!$C$238:$C$451,$C23,'TL12'!$J$238:$J$451),0),
IF('TL13'!$B$3=M$3,SUMIF('TL13'!$C$10:$C$224,$C23,'TL13'!$J$10:$J$224),0),
IF('TL13'!$B$229=M$3,SUMIF('TL13'!$C$238:$C$451,$C23,'TL13'!$J$238:$J$451),0),
IF('TL14'!$B$3=M$3,SUMIF('TL14'!$C$10:$C$224,$C23,'TL14'!$J$10:$J$224),0),
IF('TL14'!$B$229=M$3,SUMIF('TL14'!$C$238:$C$451,$C23,'TL14'!$J$238:$J$451),0),
IF('TL15'!$B$3=M$3,SUMIF('TL15'!$C$10:$C$224,$C23,'TL15'!$J$10:$J$224),0),
IF('TL15'!$B$229=M$3,SUMIF('TL15'!$C$238:$C$451,$C23,'TL15'!$J$238:$J$451),0),
IF('TL16'!$B$3=M$3,SUMIF('TL16'!$C$10:$C$224,$C23,'TL16'!$J$10:$J$224),0),
IF('TL16'!$B$229=M$3,SUMIF('TL16'!$C$238:$C$451,$C23,'TL16'!$J$238:$J$451),0),
IF('TL17'!$B$3=M$3,SUMIF('TL17'!$C$10:$C$224,$C23,'TL17'!$J$10:$J$224),0),
IF('TL17'!$B$229=M$3,SUMIF('TL17'!$C$238:$C$451,$C23,'TL17'!$J$238:$J$451),0),
IF('TL18'!$B$3=M$3,SUMIF('TL18'!$C$10:$C$224,$C23,'TL18'!$J$10:$J$224),0),
IF('TL18'!$B$229=M$3,SUMIF('TL18'!$C$238:$C$451,$C23,'TL18'!$J$238:$J$451),0),
IF('TL19'!$B$3=M$3,SUMIF('TL19'!$C$10:$C$224,$C23,'TL19'!$J$10:$J$224),0),
IF('TL19'!$B$229=M$3,SUMIF('TL19'!$C$238:$C$451,$C23,'TL19'!$J$238:$J$451),0)
),0)</f>
        <v>0</v>
      </c>
      <c r="N23" s="9">
        <f>IFERROR(SUM(
IF('TL01'!$B$3=N$3,SUMIF('TL01'!$C$10:$C$224,$C23,'TL01'!$J$10:$J$224),0),
IF('TL01'!$B$229=N$3,SUMIF('TL01'!$C$238:$C$451,$C23,'TL01'!$J$238:$J$451),0),
IF('TL02'!$B$3=N$3,SUMIF('TL02'!$C$10:$C$224,$C23,'TL02'!$J$10:$J$224),0),
IF('TL02'!$B$229=N$3,SUMIF('TL02'!$C$238:$C$451,$C23,'TL02'!$J$238:$J$451),0),
IF('TL03'!$B$3=N$3,SUMIF('TL03'!$C$10:$C$224,$C23,'TL03'!$J$10:$J$224),0),
IF('TL03'!$B$229=N$3,SUMIF('TL03'!$C$238:$C$451,$C23,'TL03'!$J$238:$J$451),0),
IF('TL04'!$B$3=N$3,SUMIF('TL04'!$C$10:$C$224,$C23,'TL04'!$J$10:$J$224),0),
IF('TL04'!$B$229=N$3,SUMIF('TL04'!$C$238:$C$451,$C23,'TL04'!$J$238:$J$451),0),
IF('TL05'!$B$3=N$3,SUMIF('TL05'!$C$10:$C$224,$C23,'TL05'!$J$10:$J$224),0),
IF('TL05'!$B$229=N$3,SUMIF('TL05'!$C$238:$C$451,$C23,'TL05'!$J$238:$J$451),0),
IF('TL06'!$B$3=N$3,SUMIF('TL06'!$C$10:$C$224,$C23,'TL06'!$J$10:$J$224),0),
IF('TL06'!$B$229=N$3,SUMIF('TL06'!$C$238:$C$451,$C23,'TL06'!$J$238:$J$451),0),
IF('TL07'!$B$3=N$3,SUMIF('TL07'!$C$10:$C$224,$C23,'TL07'!$J$10:$J$224),0),
IF('TL07'!$B$229=N$3,SUMIF('TL07'!$C$238:$C$451,$C23,'TL07'!$J$238:$J$451),0),
IF('TL08'!$B$3=N$3,SUMIF('TL08'!$C$10:$C$224,$C23,'TL08'!$J$10:$J$224),0),
IF('TL08'!$B$229=N$3,SUMIF('TL08'!$C$238:$C$451,$C23,'TL08'!$J$238:$J$451),0),
IF('TL09'!$B$3=N$3,SUMIF('TL09'!$C$10:$C$224,$C23,'TL09'!$J$10:$J$224),0),
IF('TL09'!$B$229=N$3,SUMIF('TL09'!$C$238:$C$451,$C23,'TL09'!$J$238:$J$451),0),
IF('TL10'!$B$3=N$3,SUMIF('TL10'!$C$10:$C$224,$C23,'TL10'!$J$10:$J$224),0),
IF('TL10'!$B$229=N$3,SUMIF('TL10'!$C$238:$C$451,$C23,'TL10'!$J$238:$J$451),0),
IF('TL11'!$B$3=N$3,SUMIF('TL11'!$C$10:$C$224,$C23,'TL11'!$J$10:$J$224),0),
IF('TL11'!$B$229=N$3,SUMIF('TL11'!$C$238:$C$451,$C23,'TL11'!$J$238:$J$451),0),
IF('TL12'!$B$3=N$3,SUMIF('TL12'!$C$10:$C$224,$C23,'TL12'!$J$10:$J$224),0),
IF('TL12'!$B$229=N$3,SUMIF('TL12'!$C$238:$C$451,$C23,'TL12'!$J$238:$J$451),0),
IF('TL13'!$B$3=N$3,SUMIF('TL13'!$C$10:$C$224,$C23,'TL13'!$J$10:$J$224),0),
IF('TL13'!$B$229=N$3,SUMIF('TL13'!$C$238:$C$451,$C23,'TL13'!$J$238:$J$451),0),
IF('TL14'!$B$3=N$3,SUMIF('TL14'!$C$10:$C$224,$C23,'TL14'!$J$10:$J$224),0),
IF('TL14'!$B$229=N$3,SUMIF('TL14'!$C$238:$C$451,$C23,'TL14'!$J$238:$J$451),0),
IF('TL15'!$B$3=N$3,SUMIF('TL15'!$C$10:$C$224,$C23,'TL15'!$J$10:$J$224),0),
IF('TL15'!$B$229=N$3,SUMIF('TL15'!$C$238:$C$451,$C23,'TL15'!$J$238:$J$451),0),
IF('TL16'!$B$3=N$3,SUMIF('TL16'!$C$10:$C$224,$C23,'TL16'!$J$10:$J$224),0),
IF('TL16'!$B$229=N$3,SUMIF('TL16'!$C$238:$C$451,$C23,'TL16'!$J$238:$J$451),0),
IF('TL17'!$B$3=N$3,SUMIF('TL17'!$C$10:$C$224,$C23,'TL17'!$J$10:$J$224),0),
IF('TL17'!$B$229=N$3,SUMIF('TL17'!$C$238:$C$451,$C23,'TL17'!$J$238:$J$451),0),
IF('TL18'!$B$3=N$3,SUMIF('TL18'!$C$10:$C$224,$C23,'TL18'!$J$10:$J$224),0),
IF('TL18'!$B$229=N$3,SUMIF('TL18'!$C$238:$C$451,$C23,'TL18'!$J$238:$J$451),0),
IF('TL19'!$B$3=N$3,SUMIF('TL19'!$C$10:$C$224,$C23,'TL19'!$J$10:$J$224),0),
IF('TL19'!$B$229=N$3,SUMIF('TL19'!$C$238:$C$451,$C23,'TL19'!$J$238:$J$451),0)
),0)</f>
        <v>0</v>
      </c>
      <c r="O23" s="9">
        <f>IFERROR(SUM(
IF('TL01'!$B$3=O$3,SUMIF('TL01'!$C$10:$C$224,$C23,'TL01'!$J$10:$J$224),0),
IF('TL01'!$B$229=O$3,SUMIF('TL01'!$C$238:$C$451,$C23,'TL01'!$J$238:$J$451),0),
IF('TL02'!$B$3=O$3,SUMIF('TL02'!$C$10:$C$224,$C23,'TL02'!$J$10:$J$224),0),
IF('TL02'!$B$229=O$3,SUMIF('TL02'!$C$238:$C$451,$C23,'TL02'!$J$238:$J$451),0),
IF('TL03'!$B$3=O$3,SUMIF('TL03'!$C$10:$C$224,$C23,'TL03'!$J$10:$J$224),0),
IF('TL03'!$B$229=O$3,SUMIF('TL03'!$C$238:$C$451,$C23,'TL03'!$J$238:$J$451),0),
IF('TL04'!$B$3=O$3,SUMIF('TL04'!$C$10:$C$224,$C23,'TL04'!$J$10:$J$224),0),
IF('TL04'!$B$229=O$3,SUMIF('TL04'!$C$238:$C$451,$C23,'TL04'!$J$238:$J$451),0),
IF('TL05'!$B$3=O$3,SUMIF('TL05'!$C$10:$C$224,$C23,'TL05'!$J$10:$J$224),0),
IF('TL05'!$B$229=O$3,SUMIF('TL05'!$C$238:$C$451,$C23,'TL05'!$J$238:$J$451),0),
IF('TL06'!$B$3=O$3,SUMIF('TL06'!$C$10:$C$224,$C23,'TL06'!$J$10:$J$224),0),
IF('TL06'!$B$229=O$3,SUMIF('TL06'!$C$238:$C$451,$C23,'TL06'!$J$238:$J$451),0),
IF('TL07'!$B$3=O$3,SUMIF('TL07'!$C$10:$C$224,$C23,'TL07'!$J$10:$J$224),0),
IF('TL07'!$B$229=O$3,SUMIF('TL07'!$C$238:$C$451,$C23,'TL07'!$J$238:$J$451),0),
IF('TL08'!$B$3=O$3,SUMIF('TL08'!$C$10:$C$224,$C23,'TL08'!$J$10:$J$224),0),
IF('TL08'!$B$229=O$3,SUMIF('TL08'!$C$238:$C$451,$C23,'TL08'!$J$238:$J$451),0),
IF('TL09'!$B$3=O$3,SUMIF('TL09'!$C$10:$C$224,$C23,'TL09'!$J$10:$J$224),0),
IF('TL09'!$B$229=O$3,SUMIF('TL09'!$C$238:$C$451,$C23,'TL09'!$J$238:$J$451),0),
IF('TL10'!$B$3=O$3,SUMIF('TL10'!$C$10:$C$224,$C23,'TL10'!$J$10:$J$224),0),
IF('TL10'!$B$229=O$3,SUMIF('TL10'!$C$238:$C$451,$C23,'TL10'!$J$238:$J$451),0),
IF('TL11'!$B$3=O$3,SUMIF('TL11'!$C$10:$C$224,$C23,'TL11'!$J$10:$J$224),0),
IF('TL11'!$B$229=O$3,SUMIF('TL11'!$C$238:$C$451,$C23,'TL11'!$J$238:$J$451),0),
IF('TL12'!$B$3=O$3,SUMIF('TL12'!$C$10:$C$224,$C23,'TL12'!$J$10:$J$224),0),
IF('TL12'!$B$229=O$3,SUMIF('TL12'!$C$238:$C$451,$C23,'TL12'!$J$238:$J$451),0),
IF('TL13'!$B$3=O$3,SUMIF('TL13'!$C$10:$C$224,$C23,'TL13'!$J$10:$J$224),0),
IF('TL13'!$B$229=O$3,SUMIF('TL13'!$C$238:$C$451,$C23,'TL13'!$J$238:$J$451),0),
IF('TL14'!$B$3=O$3,SUMIF('TL14'!$C$10:$C$224,$C23,'TL14'!$J$10:$J$224),0),
IF('TL14'!$B$229=O$3,SUMIF('TL14'!$C$238:$C$451,$C23,'TL14'!$J$238:$J$451),0),
IF('TL15'!$B$3=O$3,SUMIF('TL15'!$C$10:$C$224,$C23,'TL15'!$J$10:$J$224),0),
IF('TL15'!$B$229=O$3,SUMIF('TL15'!$C$238:$C$451,$C23,'TL15'!$J$238:$J$451),0),
IF('TL16'!$B$3=O$3,SUMIF('TL16'!$C$10:$C$224,$C23,'TL16'!$J$10:$J$224),0),
IF('TL16'!$B$229=O$3,SUMIF('TL16'!$C$238:$C$451,$C23,'TL16'!$J$238:$J$451),0),
IF('TL17'!$B$3=O$3,SUMIF('TL17'!$C$10:$C$224,$C23,'TL17'!$J$10:$J$224),0),
IF('TL17'!$B$229=O$3,SUMIF('TL17'!$C$238:$C$451,$C23,'TL17'!$J$238:$J$451),0),
IF('TL18'!$B$3=O$3,SUMIF('TL18'!$C$10:$C$224,$C23,'TL18'!$J$10:$J$224),0),
IF('TL18'!$B$229=O$3,SUMIF('TL18'!$C$238:$C$451,$C23,'TL18'!$J$238:$J$451),0),
IF('TL19'!$B$3=O$3,SUMIF('TL19'!$C$10:$C$224,$C23,'TL19'!$J$10:$J$224),0),
IF('TL19'!$B$229=O$3,SUMIF('TL19'!$C$238:$C$451,$C23,'TL19'!$J$238:$J$451),0)
),0)</f>
        <v>0</v>
      </c>
      <c r="P23" s="9">
        <f>IFERROR(SUM(
IF('TL01'!$B$3=P$3,SUMIF('TL01'!$C$10:$C$224,$C23,'TL01'!$J$10:$J$224),0),
IF('TL01'!$B$229=P$3,SUMIF('TL01'!$C$238:$C$451,$C23,'TL01'!$J$238:$J$451),0),
IF('TL02'!$B$3=P$3,SUMIF('TL02'!$C$10:$C$224,$C23,'TL02'!$J$10:$J$224),0),
IF('TL02'!$B$229=P$3,SUMIF('TL02'!$C$238:$C$451,$C23,'TL02'!$J$238:$J$451),0),
IF('TL03'!$B$3=P$3,SUMIF('TL03'!$C$10:$C$224,$C23,'TL03'!$J$10:$J$224),0),
IF('TL03'!$B$229=P$3,SUMIF('TL03'!$C$238:$C$451,$C23,'TL03'!$J$238:$J$451),0),
IF('TL04'!$B$3=P$3,SUMIF('TL04'!$C$10:$C$224,$C23,'TL04'!$J$10:$J$224),0),
IF('TL04'!$B$229=P$3,SUMIF('TL04'!$C$238:$C$451,$C23,'TL04'!$J$238:$J$451),0),
IF('TL05'!$B$3=P$3,SUMIF('TL05'!$C$10:$C$224,$C23,'TL05'!$J$10:$J$224),0),
IF('TL05'!$B$229=P$3,SUMIF('TL05'!$C$238:$C$451,$C23,'TL05'!$J$238:$J$451),0),
IF('TL06'!$B$3=P$3,SUMIF('TL06'!$C$10:$C$224,$C23,'TL06'!$J$10:$J$224),0),
IF('TL06'!$B$229=P$3,SUMIF('TL06'!$C$238:$C$451,$C23,'TL06'!$J$238:$J$451),0),
IF('TL07'!$B$3=P$3,SUMIF('TL07'!$C$10:$C$224,$C23,'TL07'!$J$10:$J$224),0),
IF('TL07'!$B$229=P$3,SUMIF('TL07'!$C$238:$C$451,$C23,'TL07'!$J$238:$J$451),0),
IF('TL08'!$B$3=P$3,SUMIF('TL08'!$C$10:$C$224,$C23,'TL08'!$J$10:$J$224),0),
IF('TL08'!$B$229=P$3,SUMIF('TL08'!$C$238:$C$451,$C23,'TL08'!$J$238:$J$451),0),
IF('TL09'!$B$3=P$3,SUMIF('TL09'!$C$10:$C$224,$C23,'TL09'!$J$10:$J$224),0),
IF('TL09'!$B$229=P$3,SUMIF('TL09'!$C$238:$C$451,$C23,'TL09'!$J$238:$J$451),0),
IF('TL10'!$B$3=P$3,SUMIF('TL10'!$C$10:$C$224,$C23,'TL10'!$J$10:$J$224),0),
IF('TL10'!$B$229=P$3,SUMIF('TL10'!$C$238:$C$451,$C23,'TL10'!$J$238:$J$451),0),
IF('TL11'!$B$3=P$3,SUMIF('TL11'!$C$10:$C$224,$C23,'TL11'!$J$10:$J$224),0),
IF('TL11'!$B$229=P$3,SUMIF('TL11'!$C$238:$C$451,$C23,'TL11'!$J$238:$J$451),0),
IF('TL12'!$B$3=P$3,SUMIF('TL12'!$C$10:$C$224,$C23,'TL12'!$J$10:$J$224),0),
IF('TL12'!$B$229=P$3,SUMIF('TL12'!$C$238:$C$451,$C23,'TL12'!$J$238:$J$451),0),
IF('TL13'!$B$3=P$3,SUMIF('TL13'!$C$10:$C$224,$C23,'TL13'!$J$10:$J$224),0),
IF('TL13'!$B$229=P$3,SUMIF('TL13'!$C$238:$C$451,$C23,'TL13'!$J$238:$J$451),0),
IF('TL14'!$B$3=P$3,SUMIF('TL14'!$C$10:$C$224,$C23,'TL14'!$J$10:$J$224),0),
IF('TL14'!$B$229=P$3,SUMIF('TL14'!$C$238:$C$451,$C23,'TL14'!$J$238:$J$451),0),
IF('TL15'!$B$3=P$3,SUMIF('TL15'!$C$10:$C$224,$C23,'TL15'!$J$10:$J$224),0),
IF('TL15'!$B$229=P$3,SUMIF('TL15'!$C$238:$C$451,$C23,'TL15'!$J$238:$J$451),0),
IF('TL16'!$B$3=P$3,SUMIF('TL16'!$C$10:$C$224,$C23,'TL16'!$J$10:$J$224),0),
IF('TL16'!$B$229=P$3,SUMIF('TL16'!$C$238:$C$451,$C23,'TL16'!$J$238:$J$451),0),
IF('TL17'!$B$3=P$3,SUMIF('TL17'!$C$10:$C$224,$C23,'TL17'!$J$10:$J$224),0),
IF('TL17'!$B$229=P$3,SUMIF('TL17'!$C$238:$C$451,$C23,'TL17'!$J$238:$J$451),0),
IF('TL18'!$B$3=P$3,SUMIF('TL18'!$C$10:$C$224,$C23,'TL18'!$J$10:$J$224),0),
IF('TL18'!$B$229=P$3,SUMIF('TL18'!$C$238:$C$451,$C23,'TL18'!$J$238:$J$451),0),
IF('TL19'!$B$3=P$3,SUMIF('TL19'!$C$10:$C$224,$C23,'TL19'!$J$10:$J$224),0),
IF('TL19'!$B$229=P$3,SUMIF('TL19'!$C$238:$C$451,$C23,'TL19'!$J$238:$J$451),0)
),0)</f>
        <v>0</v>
      </c>
      <c r="Q23" s="9">
        <f>IFERROR(SUM(
IF('TL01'!$B$3=Q$3,SUMIF('TL01'!$C$10:$C$224,$C23,'TL01'!$J$10:$J$224),0),
IF('TL01'!$B$229=Q$3,SUMIF('TL01'!$C$238:$C$451,$C23,'TL01'!$J$238:$J$451),0),
IF('TL02'!$B$3=Q$3,SUMIF('TL02'!$C$10:$C$224,$C23,'TL02'!$J$10:$J$224),0),
IF('TL02'!$B$229=Q$3,SUMIF('TL02'!$C$238:$C$451,$C23,'TL02'!$J$238:$J$451),0),
IF('TL03'!$B$3=Q$3,SUMIF('TL03'!$C$10:$C$224,$C23,'TL03'!$J$10:$J$224),0),
IF('TL03'!$B$229=Q$3,SUMIF('TL03'!$C$238:$C$451,$C23,'TL03'!$J$238:$J$451),0),
IF('TL04'!$B$3=Q$3,SUMIF('TL04'!$C$10:$C$224,$C23,'TL04'!$J$10:$J$224),0),
IF('TL04'!$B$229=Q$3,SUMIF('TL04'!$C$238:$C$451,$C23,'TL04'!$J$238:$J$451),0),
IF('TL05'!$B$3=Q$3,SUMIF('TL05'!$C$10:$C$224,$C23,'TL05'!$J$10:$J$224),0),
IF('TL05'!$B$229=Q$3,SUMIF('TL05'!$C$238:$C$451,$C23,'TL05'!$J$238:$J$451),0),
IF('TL06'!$B$3=Q$3,SUMIF('TL06'!$C$10:$C$224,$C23,'TL06'!$J$10:$J$224),0),
IF('TL06'!$B$229=Q$3,SUMIF('TL06'!$C$238:$C$451,$C23,'TL06'!$J$238:$J$451),0),
IF('TL07'!$B$3=Q$3,SUMIF('TL07'!$C$10:$C$224,$C23,'TL07'!$J$10:$J$224),0),
IF('TL07'!$B$229=Q$3,SUMIF('TL07'!$C$238:$C$451,$C23,'TL07'!$J$238:$J$451),0),
IF('TL08'!$B$3=Q$3,SUMIF('TL08'!$C$10:$C$224,$C23,'TL08'!$J$10:$J$224),0),
IF('TL08'!$B$229=Q$3,SUMIF('TL08'!$C$238:$C$451,$C23,'TL08'!$J$238:$J$451),0),
IF('TL09'!$B$3=Q$3,SUMIF('TL09'!$C$10:$C$224,$C23,'TL09'!$J$10:$J$224),0),
IF('TL09'!$B$229=Q$3,SUMIF('TL09'!$C$238:$C$451,$C23,'TL09'!$J$238:$J$451),0),
IF('TL10'!$B$3=Q$3,SUMIF('TL10'!$C$10:$C$224,$C23,'TL10'!$J$10:$J$224),0),
IF('TL10'!$B$229=Q$3,SUMIF('TL10'!$C$238:$C$451,$C23,'TL10'!$J$238:$J$451),0),
IF('TL11'!$B$3=Q$3,SUMIF('TL11'!$C$10:$C$224,$C23,'TL11'!$J$10:$J$224),0),
IF('TL11'!$B$229=Q$3,SUMIF('TL11'!$C$238:$C$451,$C23,'TL11'!$J$238:$J$451),0),
IF('TL12'!$B$3=Q$3,SUMIF('TL12'!$C$10:$C$224,$C23,'TL12'!$J$10:$J$224),0),
IF('TL12'!$B$229=Q$3,SUMIF('TL12'!$C$238:$C$451,$C23,'TL12'!$J$238:$J$451),0),
IF('TL13'!$B$3=Q$3,SUMIF('TL13'!$C$10:$C$224,$C23,'TL13'!$J$10:$J$224),0),
IF('TL13'!$B$229=Q$3,SUMIF('TL13'!$C$238:$C$451,$C23,'TL13'!$J$238:$J$451),0),
IF('TL14'!$B$3=Q$3,SUMIF('TL14'!$C$10:$C$224,$C23,'TL14'!$J$10:$J$224),0),
IF('TL14'!$B$229=Q$3,SUMIF('TL14'!$C$238:$C$451,$C23,'TL14'!$J$238:$J$451),0),
IF('TL15'!$B$3=Q$3,SUMIF('TL15'!$C$10:$C$224,$C23,'TL15'!$J$10:$J$224),0),
IF('TL15'!$B$229=Q$3,SUMIF('TL15'!$C$238:$C$451,$C23,'TL15'!$J$238:$J$451),0),
IF('TL16'!$B$3=Q$3,SUMIF('TL16'!$C$10:$C$224,$C23,'TL16'!$J$10:$J$224),0),
IF('TL16'!$B$229=Q$3,SUMIF('TL16'!$C$238:$C$451,$C23,'TL16'!$J$238:$J$451),0),
IF('TL17'!$B$3=Q$3,SUMIF('TL17'!$C$10:$C$224,$C23,'TL17'!$J$10:$J$224),0),
IF('TL17'!$B$229=Q$3,SUMIF('TL17'!$C$238:$C$451,$C23,'TL17'!$J$238:$J$451),0),
IF('TL18'!$B$3=Q$3,SUMIF('TL18'!$C$10:$C$224,$C23,'TL18'!$J$10:$J$224),0),
IF('TL18'!$B$229=Q$3,SUMIF('TL18'!$C$238:$C$451,$C23,'TL18'!$J$238:$J$451),0),
IF('TL19'!$B$3=Q$3,SUMIF('TL19'!$C$10:$C$224,$C23,'TL19'!$J$10:$J$224),0),
IF('TL19'!$B$229=Q$3,SUMIF('TL19'!$C$238:$C$451,$C23,'TL19'!$J$238:$J$451),0)
),0)</f>
        <v>0</v>
      </c>
      <c r="R23" s="9">
        <f>IFERROR(
SUM(
SUMIF('TL01'!C:C,C23,'TL01'!J:J),
SUMIF('TL02'!C:C,C23,'TL02'!J:J),
SUMIF('TL03'!C:C,C23,'TL03'!J:J),
SUMIF('TL04'!C:C,C23,'TL04'!J:J),
SUMIF('TL05'!C:C,C23,'TL05'!J:J),
SUMIF('TL06'!C:C,C23,'TL06'!J:J),
SUMIF('TL07'!C:C,C23,'TL07'!J:J),
SUMIF('TL08'!C:C,C23,'TL08'!J:J),
SUMIF('TL09'!C:C,C23,'TL09'!J:J),
SUMIF('TL10'!C:C,C23,'TL10'!J:J),
SUMIF('TL11'!C:C,C23,'TL11'!J:J),
SUMIF('TL12'!C:C,C23,'TL12'!J:J),
SUMIF('TL13'!C:C,C23,'TL13'!J:J),
SUMIF('TL14'!C:C,C23,'TL14'!J:J),
SUMIF('TL15'!C:C,C23,'TL15'!J:J),
SUMIF('TL16'!C:C,C23,'TL16'!J:J),
SUMIF('TL17'!C:C,C23,'TL17'!J:J),
SUMIF('TL18'!C:C,C23,'TL18'!J:J),SUMIF('TL19'!C:C,C23,'TL19'!J:J))
,0)</f>
        <v>0</v>
      </c>
      <c r="S23" s="17" t="str">
        <f>IFERROR(__xludf.DUMMYFUNCTION("IFERROR(VLOOKUP(C23,
IMPORTRANGE(""1wULbzX32WdYsx-lj2U3uUNBBe2INVIRDtcK0d-Dvl90"",
""26-27!C:G""),
5,
FALSE),
"""")"),"")</f>
        <v/>
      </c>
      <c r="T23" s="9"/>
      <c r="U23" s="92">
        <f t="shared" si="2"/>
        <v>0</v>
      </c>
      <c r="V23" s="93">
        <f t="shared" si="3"/>
        <v>0</v>
      </c>
    </row>
    <row r="24" ht="22.5" hidden="1" customHeight="1">
      <c r="A24" s="101"/>
      <c r="B24" s="102" t="s">
        <v>7</v>
      </c>
      <c r="C24" s="103" t="s">
        <v>401</v>
      </c>
      <c r="D24" s="103" t="s">
        <v>402</v>
      </c>
      <c r="E24" s="104"/>
      <c r="F24" s="4" t="s">
        <v>399</v>
      </c>
      <c r="G24" s="9"/>
      <c r="H24" s="9" t="str">
        <f>IFERROR(__xludf.DUMMYFUNCTION("IFERROR(VLOOKUP(C24,
IMPORTRANGE(""1wULbzX32WdYsx-lj2U3uUNBBe2INVIRDtcK0d-Dvl90"",
""26-27!C:K""),
8,
FALSE),
"""")"),"")</f>
        <v/>
      </c>
      <c r="I24" s="105"/>
      <c r="J24" s="9">
        <f>IFERROR(SUM(
IF('TL01'!$B$3=J$3,SUMIF('TL01'!$C$10:$C$224,$C24,'TL01'!$J$10:$J$224),0),
IF('TL01'!$B$229=J$3,SUMIF('TL01'!$C$238:$C$451,$C24,'TL01'!$J$238:$J$451),0),
IF('TL02'!$B$3=J$3,SUMIF('TL02'!$C$10:$C$224,$C24,'TL02'!$J$10:$J$224),0),
IF('TL02'!$B$229=J$3,SUMIF('TL02'!$C$238:$C$451,$C24,'TL02'!$J$238:$J$451),0),
IF('TL03'!$B$3=J$3,SUMIF('TL03'!$C$10:$C$224,$C24,'TL03'!$J$10:$J$224),0),
IF('TL03'!$B$229=J$3,SUMIF('TL03'!$C$238:$C$451,$C24,'TL03'!$J$238:$J$451),0),
IF('TL04'!$B$3=J$3,SUMIF('TL04'!$C$10:$C$224,$C24,'TL04'!$J$10:$J$224),0),
IF('TL04'!$B$229=J$3,SUMIF('TL04'!$C$238:$C$451,$C24,'TL04'!$J$238:$J$451),0),
IF('TL05'!$B$3=J$3,SUMIF('TL05'!$C$10:$C$224,$C24,'TL05'!$J$10:$J$224),0),
IF('TL05'!$B$229=J$3,SUMIF('TL05'!$C$238:$C$451,$C24,'TL05'!$J$238:$J$451),0),
IF('TL06'!$B$3=J$3,SUMIF('TL06'!$C$10:$C$224,$C24,'TL06'!$J$10:$J$224),0),
IF('TL06'!$B$229=J$3,SUMIF('TL06'!$C$238:$C$451,$C24,'TL06'!$J$238:$J$451),0),
IF('TL07'!$B$3=J$3,SUMIF('TL07'!$C$10:$C$224,$C24,'TL07'!$J$10:$J$224),0),
IF('TL07'!$B$229=J$3,SUMIF('TL07'!$C$238:$C$451,$C24,'TL07'!$J$238:$J$451),0),
IF('TL08'!$B$3=J$3,SUMIF('TL08'!$C$10:$C$224,$C24,'TL08'!$J$10:$J$224),0),
IF('TL08'!$B$229=J$3,SUMIF('TL08'!$C$238:$C$451,$C24,'TL08'!$J$238:$J$451),0),
IF('TL09'!$B$3=J$3,SUMIF('TL09'!$C$10:$C$224,$C24,'TL09'!$J$10:$J$224),0),
IF('TL09'!$B$229=J$3,SUMIF('TL09'!$C$238:$C$451,$C24,'TL09'!$J$238:$J$451),0),
IF('TL10'!$B$3=J$3,SUMIF('TL10'!$C$10:$C$224,$C24,'TL10'!$J$10:$J$224),0),
IF('TL10'!$B$229=J$3,SUMIF('TL10'!$C$238:$C$451,$C24,'TL10'!$J$238:$J$451),0),
IF('TL11'!$B$3=J$3,SUMIF('TL11'!$C$10:$C$224,$C24,'TL11'!$J$10:$J$224),0),
IF('TL11'!$B$229=J$3,SUMIF('TL11'!$C$238:$C$451,$C24,'TL11'!$J$238:$J$451),0),
IF('TL12'!$B$3=J$3,SUMIF('TL12'!$C$10:$C$224,$C24,'TL12'!$J$10:$J$224),0),
IF('TL12'!$B$229=J$3,SUMIF('TL12'!$C$238:$C$451,$C24,'TL12'!$J$238:$J$451),0),
IF('TL13'!$B$3=J$3,SUMIF('TL13'!$C$10:$C$224,$C24,'TL13'!$J$10:$J$224),0),
IF('TL13'!$B$229=J$3,SUMIF('TL13'!$C$238:$C$451,$C24,'TL13'!$J$238:$J$451),0),
IF('TL14'!$B$3=J$3,SUMIF('TL14'!$C$10:$C$224,$C24,'TL14'!$J$10:$J$224),0),
IF('TL14'!$B$229=J$3,SUMIF('TL14'!$C$238:$C$451,$C24,'TL14'!$J$238:$J$451),0),
IF('TL15'!$B$3=J$3,SUMIF('TL15'!$C$10:$C$224,$C24,'TL15'!$J$10:$J$224),0),
IF('TL15'!$B$229=J$3,SUMIF('TL15'!$C$238:$C$451,$C24,'TL15'!$J$238:$J$451),0),
IF('TL16'!$B$3=J$3,SUMIF('TL16'!$C$10:$C$224,$C24,'TL16'!$J$10:$J$224),0),
IF('TL16'!$B$229=J$3,SUMIF('TL16'!$C$238:$C$451,$C24,'TL16'!$J$238:$J$451),0),
IF('TL17'!$B$3=J$3,SUMIF('TL17'!$C$10:$C$224,$C24,'TL17'!$J$10:$J$224),0),
IF('TL17'!$B$229=J$3,SUMIF('TL17'!$C$238:$C$451,$C24,'TL17'!$J$238:$J$451),0),
IF('TL18'!$B$3=J$3,SUMIF('TL18'!$C$10:$C$224,$C24,'TL18'!$J$10:$J$224),0),
IF('TL18'!$B$229=J$3,SUMIF('TL18'!$C$238:$C$451,$C24,'TL18'!$J$238:$J$451),0),
IF('TL19'!$B$3=J$3,SUMIF('TL19'!$C$10:$C$224,$C24,'TL19'!$J$10:$J$224),0),
IF('TL19'!$B$229=J$3,SUMIF('TL19'!$C$238:$C$451,$C24,'TL19'!$J$238:$J$451),0)
),0)</f>
        <v>0</v>
      </c>
      <c r="K24" s="9">
        <f>IFERROR(SUM(
IF('TL01'!$B$3=K$3,SUMIF('TL01'!$C$10:$C$224,$C24,'TL01'!$J$10:$J$224),0),
IF('TL01'!$B$229=K$3,SUMIF('TL01'!$C$238:$C$451,$C24,'TL01'!$J$238:$J$451),0),
IF('TL02'!$B$3=K$3,SUMIF('TL02'!$C$10:$C$224,$C24,'TL02'!$J$10:$J$224),0),
IF('TL02'!$B$229=K$3,SUMIF('TL02'!$C$238:$C$451,$C24,'TL02'!$J$238:$J$451),0),
IF('TL03'!$B$3=K$3,SUMIF('TL03'!$C$10:$C$224,$C24,'TL03'!$J$10:$J$224),0),
IF('TL03'!$B$229=K$3,SUMIF('TL03'!$C$238:$C$451,$C24,'TL03'!$J$238:$J$451),0),
IF('TL04'!$B$3=K$3,SUMIF('TL04'!$C$10:$C$224,$C24,'TL04'!$J$10:$J$224),0),
IF('TL04'!$B$229=K$3,SUMIF('TL04'!$C$238:$C$451,$C24,'TL04'!$J$238:$J$451),0),
IF('TL05'!$B$3=K$3,SUMIF('TL05'!$C$10:$C$224,$C24,'TL05'!$J$10:$J$224),0),
IF('TL05'!$B$229=K$3,SUMIF('TL05'!$C$238:$C$451,$C24,'TL05'!$J$238:$J$451),0),
IF('TL06'!$B$3=K$3,SUMIF('TL06'!$C$10:$C$224,$C24,'TL06'!$J$10:$J$224),0),
IF('TL06'!$B$229=K$3,SUMIF('TL06'!$C$238:$C$451,$C24,'TL06'!$J$238:$J$451),0),
IF('TL07'!$B$3=K$3,SUMIF('TL07'!$C$10:$C$224,$C24,'TL07'!$J$10:$J$224),0),
IF('TL07'!$B$229=K$3,SUMIF('TL07'!$C$238:$C$451,$C24,'TL07'!$J$238:$J$451),0),
IF('TL08'!$B$3=K$3,SUMIF('TL08'!$C$10:$C$224,$C24,'TL08'!$J$10:$J$224),0),
IF('TL08'!$B$229=K$3,SUMIF('TL08'!$C$238:$C$451,$C24,'TL08'!$J$238:$J$451),0),
IF('TL09'!$B$3=K$3,SUMIF('TL09'!$C$10:$C$224,$C24,'TL09'!$J$10:$J$224),0),
IF('TL09'!$B$229=K$3,SUMIF('TL09'!$C$238:$C$451,$C24,'TL09'!$J$238:$J$451),0),
IF('TL10'!$B$3=K$3,SUMIF('TL10'!$C$10:$C$224,$C24,'TL10'!$J$10:$J$224),0),
IF('TL10'!$B$229=K$3,SUMIF('TL10'!$C$238:$C$451,$C24,'TL10'!$J$238:$J$451),0),
IF('TL11'!$B$3=K$3,SUMIF('TL11'!$C$10:$C$224,$C24,'TL11'!$J$10:$J$224),0),
IF('TL11'!$B$229=K$3,SUMIF('TL11'!$C$238:$C$451,$C24,'TL11'!$J$238:$J$451),0),
IF('TL12'!$B$3=K$3,SUMIF('TL12'!$C$10:$C$224,$C24,'TL12'!$J$10:$J$224),0),
IF('TL12'!$B$229=K$3,SUMIF('TL12'!$C$238:$C$451,$C24,'TL12'!$J$238:$J$451),0),
IF('TL13'!$B$3=K$3,SUMIF('TL13'!$C$10:$C$224,$C24,'TL13'!$J$10:$J$224),0),
IF('TL13'!$B$229=K$3,SUMIF('TL13'!$C$238:$C$451,$C24,'TL13'!$J$238:$J$451),0),
IF('TL14'!$B$3=K$3,SUMIF('TL14'!$C$10:$C$224,$C24,'TL14'!$J$10:$J$224),0),
IF('TL14'!$B$229=K$3,SUMIF('TL14'!$C$238:$C$451,$C24,'TL14'!$J$238:$J$451),0),
IF('TL15'!$B$3=K$3,SUMIF('TL15'!$C$10:$C$224,$C24,'TL15'!$J$10:$J$224),0),
IF('TL15'!$B$229=K$3,SUMIF('TL15'!$C$238:$C$451,$C24,'TL15'!$J$238:$J$451),0),
IF('TL16'!$B$3=K$3,SUMIF('TL16'!$C$10:$C$224,$C24,'TL16'!$J$10:$J$224),0),
IF('TL16'!$B$229=K$3,SUMIF('TL16'!$C$238:$C$451,$C24,'TL16'!$J$238:$J$451),0),
IF('TL17'!$B$3=K$3,SUMIF('TL17'!$C$10:$C$224,$C24,'TL17'!$J$10:$J$224),0),
IF('TL17'!$B$229=K$3,SUMIF('TL17'!$C$238:$C$451,$C24,'TL17'!$J$238:$J$451),0),
IF('TL18'!$B$3=K$3,SUMIF('TL18'!$C$10:$C$224,$C24,'TL18'!$J$10:$J$224),0),
IF('TL18'!$B$229=K$3,SUMIF('TL18'!$C$238:$C$451,$C24,'TL18'!$J$238:$J$451),0),
IF('TL19'!$B$3=K$3,SUMIF('TL19'!$C$10:$C$224,$C24,'TL19'!$J$10:$J$224),0),
IF('TL19'!$B$229=K$3,SUMIF('TL19'!$C$238:$C$451,$C24,'TL19'!$J$238:$J$451),0)
),0)</f>
        <v>0</v>
      </c>
      <c r="L24" s="9">
        <f>IFERROR(SUM(
IF('TL01'!$B$3=L$3,SUMIF('TL01'!$C$10:$C$224,$C24,'TL01'!$J$10:$J$224),0),
IF('TL01'!$B$229=L$3,SUMIF('TL01'!$C$238:$C$451,$C24,'TL01'!$J$238:$J$451),0),
IF('TL02'!$B$3=L$3,SUMIF('TL02'!$C$10:$C$224,$C24,'TL02'!$J$10:$J$224),0),
IF('TL02'!$B$229=L$3,SUMIF('TL02'!$C$238:$C$451,$C24,'TL02'!$J$238:$J$451),0),
IF('TL03'!$B$3=L$3,SUMIF('TL03'!$C$10:$C$224,$C24,'TL03'!$J$10:$J$224),0),
IF('TL03'!$B$229=L$3,SUMIF('TL03'!$C$238:$C$451,$C24,'TL03'!$J$238:$J$451),0),
IF('TL04'!$B$3=L$3,SUMIF('TL04'!$C$10:$C$224,$C24,'TL04'!$J$10:$J$224),0),
IF('TL04'!$B$229=L$3,SUMIF('TL04'!$C$238:$C$451,$C24,'TL04'!$J$238:$J$451),0),
IF('TL05'!$B$3=L$3,SUMIF('TL05'!$C$10:$C$224,$C24,'TL05'!$J$10:$J$224),0),
IF('TL05'!$B$229=L$3,SUMIF('TL05'!$C$238:$C$451,$C24,'TL05'!$J$238:$J$451),0),
IF('TL06'!$B$3=L$3,SUMIF('TL06'!$C$10:$C$224,$C24,'TL06'!$J$10:$J$224),0),
IF('TL06'!$B$229=L$3,SUMIF('TL06'!$C$238:$C$451,$C24,'TL06'!$J$238:$J$451),0),
IF('TL07'!$B$3=L$3,SUMIF('TL07'!$C$10:$C$224,$C24,'TL07'!$J$10:$J$224),0),
IF('TL07'!$B$229=L$3,SUMIF('TL07'!$C$238:$C$451,$C24,'TL07'!$J$238:$J$451),0),
IF('TL08'!$B$3=L$3,SUMIF('TL08'!$C$10:$C$224,$C24,'TL08'!$J$10:$J$224),0),
IF('TL08'!$B$229=L$3,SUMIF('TL08'!$C$238:$C$451,$C24,'TL08'!$J$238:$J$451),0),
IF('TL09'!$B$3=L$3,SUMIF('TL09'!$C$10:$C$224,$C24,'TL09'!$J$10:$J$224),0),
IF('TL09'!$B$229=L$3,SUMIF('TL09'!$C$238:$C$451,$C24,'TL09'!$J$238:$J$451),0),
IF('TL10'!$B$3=L$3,SUMIF('TL10'!$C$10:$C$224,$C24,'TL10'!$J$10:$J$224),0),
IF('TL10'!$B$229=L$3,SUMIF('TL10'!$C$238:$C$451,$C24,'TL10'!$J$238:$J$451),0),
IF('TL11'!$B$3=L$3,SUMIF('TL11'!$C$10:$C$224,$C24,'TL11'!$J$10:$J$224),0),
IF('TL11'!$B$229=L$3,SUMIF('TL11'!$C$238:$C$451,$C24,'TL11'!$J$238:$J$451),0),
IF('TL12'!$B$3=L$3,SUMIF('TL12'!$C$10:$C$224,$C24,'TL12'!$J$10:$J$224),0),
IF('TL12'!$B$229=L$3,SUMIF('TL12'!$C$238:$C$451,$C24,'TL12'!$J$238:$J$451),0),
IF('TL13'!$B$3=L$3,SUMIF('TL13'!$C$10:$C$224,$C24,'TL13'!$J$10:$J$224),0),
IF('TL13'!$B$229=L$3,SUMIF('TL13'!$C$238:$C$451,$C24,'TL13'!$J$238:$J$451),0),
IF('TL14'!$B$3=L$3,SUMIF('TL14'!$C$10:$C$224,$C24,'TL14'!$J$10:$J$224),0),
IF('TL14'!$B$229=L$3,SUMIF('TL14'!$C$238:$C$451,$C24,'TL14'!$J$238:$J$451),0),
IF('TL15'!$B$3=L$3,SUMIF('TL15'!$C$10:$C$224,$C24,'TL15'!$J$10:$J$224),0),
IF('TL15'!$B$229=L$3,SUMIF('TL15'!$C$238:$C$451,$C24,'TL15'!$J$238:$J$451),0),
IF('TL16'!$B$3=L$3,SUMIF('TL16'!$C$10:$C$224,$C24,'TL16'!$J$10:$J$224),0),
IF('TL16'!$B$229=L$3,SUMIF('TL16'!$C$238:$C$451,$C24,'TL16'!$J$238:$J$451),0),
IF('TL17'!$B$3=L$3,SUMIF('TL17'!$C$10:$C$224,$C24,'TL17'!$J$10:$J$224),0),
IF('TL17'!$B$229=L$3,SUMIF('TL17'!$C$238:$C$451,$C24,'TL17'!$J$238:$J$451),0),
IF('TL18'!$B$3=L$3,SUMIF('TL18'!$C$10:$C$224,$C24,'TL18'!$J$10:$J$224),0),
IF('TL18'!$B$229=L$3,SUMIF('TL18'!$C$238:$C$451,$C24,'TL18'!$J$238:$J$451),0),
IF('TL19'!$B$3=L$3,SUMIF('TL19'!$C$10:$C$224,$C24,'TL19'!$J$10:$J$224),0),
IF('TL19'!$B$229=L$3,SUMIF('TL19'!$C$238:$C$451,$C24,'TL19'!$J$238:$J$451),0)
),0)</f>
        <v>0</v>
      </c>
      <c r="M24" s="9">
        <f>IFERROR(SUM(
IF('TL01'!$B$3=M$3,SUMIF('TL01'!$C$10:$C$224,$C24,'TL01'!$J$10:$J$224),0),
IF('TL01'!$B$229=M$3,SUMIF('TL01'!$C$238:$C$451,$C24,'TL01'!$J$238:$J$451),0),
IF('TL02'!$B$3=M$3,SUMIF('TL02'!$C$10:$C$224,$C24,'TL02'!$J$10:$J$224),0),
IF('TL02'!$B$229=M$3,SUMIF('TL02'!$C$238:$C$451,$C24,'TL02'!$J$238:$J$451),0),
IF('TL03'!$B$3=M$3,SUMIF('TL03'!$C$10:$C$224,$C24,'TL03'!$J$10:$J$224),0),
IF('TL03'!$B$229=M$3,SUMIF('TL03'!$C$238:$C$451,$C24,'TL03'!$J$238:$J$451),0),
IF('TL04'!$B$3=M$3,SUMIF('TL04'!$C$10:$C$224,$C24,'TL04'!$J$10:$J$224),0),
IF('TL04'!$B$229=M$3,SUMIF('TL04'!$C$238:$C$451,$C24,'TL04'!$J$238:$J$451),0),
IF('TL05'!$B$3=M$3,SUMIF('TL05'!$C$10:$C$224,$C24,'TL05'!$J$10:$J$224),0),
IF('TL05'!$B$229=M$3,SUMIF('TL05'!$C$238:$C$451,$C24,'TL05'!$J$238:$J$451),0),
IF('TL06'!$B$3=M$3,SUMIF('TL06'!$C$10:$C$224,$C24,'TL06'!$J$10:$J$224),0),
IF('TL06'!$B$229=M$3,SUMIF('TL06'!$C$238:$C$451,$C24,'TL06'!$J$238:$J$451),0),
IF('TL07'!$B$3=M$3,SUMIF('TL07'!$C$10:$C$224,$C24,'TL07'!$J$10:$J$224),0),
IF('TL07'!$B$229=M$3,SUMIF('TL07'!$C$238:$C$451,$C24,'TL07'!$J$238:$J$451),0),
IF('TL08'!$B$3=M$3,SUMIF('TL08'!$C$10:$C$224,$C24,'TL08'!$J$10:$J$224),0),
IF('TL08'!$B$229=M$3,SUMIF('TL08'!$C$238:$C$451,$C24,'TL08'!$J$238:$J$451),0),
IF('TL09'!$B$3=M$3,SUMIF('TL09'!$C$10:$C$224,$C24,'TL09'!$J$10:$J$224),0),
IF('TL09'!$B$229=M$3,SUMIF('TL09'!$C$238:$C$451,$C24,'TL09'!$J$238:$J$451),0),
IF('TL10'!$B$3=M$3,SUMIF('TL10'!$C$10:$C$224,$C24,'TL10'!$J$10:$J$224),0),
IF('TL10'!$B$229=M$3,SUMIF('TL10'!$C$238:$C$451,$C24,'TL10'!$J$238:$J$451),0),
IF('TL11'!$B$3=M$3,SUMIF('TL11'!$C$10:$C$224,$C24,'TL11'!$J$10:$J$224),0),
IF('TL11'!$B$229=M$3,SUMIF('TL11'!$C$238:$C$451,$C24,'TL11'!$J$238:$J$451),0),
IF('TL12'!$B$3=M$3,SUMIF('TL12'!$C$10:$C$224,$C24,'TL12'!$J$10:$J$224),0),
IF('TL12'!$B$229=M$3,SUMIF('TL12'!$C$238:$C$451,$C24,'TL12'!$J$238:$J$451),0),
IF('TL13'!$B$3=M$3,SUMIF('TL13'!$C$10:$C$224,$C24,'TL13'!$J$10:$J$224),0),
IF('TL13'!$B$229=M$3,SUMIF('TL13'!$C$238:$C$451,$C24,'TL13'!$J$238:$J$451),0),
IF('TL14'!$B$3=M$3,SUMIF('TL14'!$C$10:$C$224,$C24,'TL14'!$J$10:$J$224),0),
IF('TL14'!$B$229=M$3,SUMIF('TL14'!$C$238:$C$451,$C24,'TL14'!$J$238:$J$451),0),
IF('TL15'!$B$3=M$3,SUMIF('TL15'!$C$10:$C$224,$C24,'TL15'!$J$10:$J$224),0),
IF('TL15'!$B$229=M$3,SUMIF('TL15'!$C$238:$C$451,$C24,'TL15'!$J$238:$J$451),0),
IF('TL16'!$B$3=M$3,SUMIF('TL16'!$C$10:$C$224,$C24,'TL16'!$J$10:$J$224),0),
IF('TL16'!$B$229=M$3,SUMIF('TL16'!$C$238:$C$451,$C24,'TL16'!$J$238:$J$451),0),
IF('TL17'!$B$3=M$3,SUMIF('TL17'!$C$10:$C$224,$C24,'TL17'!$J$10:$J$224),0),
IF('TL17'!$B$229=M$3,SUMIF('TL17'!$C$238:$C$451,$C24,'TL17'!$J$238:$J$451),0),
IF('TL18'!$B$3=M$3,SUMIF('TL18'!$C$10:$C$224,$C24,'TL18'!$J$10:$J$224),0),
IF('TL18'!$B$229=M$3,SUMIF('TL18'!$C$238:$C$451,$C24,'TL18'!$J$238:$J$451),0),
IF('TL19'!$B$3=M$3,SUMIF('TL19'!$C$10:$C$224,$C24,'TL19'!$J$10:$J$224),0),
IF('TL19'!$B$229=M$3,SUMIF('TL19'!$C$238:$C$451,$C24,'TL19'!$J$238:$J$451),0)
),0)</f>
        <v>0</v>
      </c>
      <c r="N24" s="9">
        <f>IFERROR(SUM(
IF('TL01'!$B$3=N$3,SUMIF('TL01'!$C$10:$C$224,$C24,'TL01'!$J$10:$J$224),0),
IF('TL01'!$B$229=N$3,SUMIF('TL01'!$C$238:$C$451,$C24,'TL01'!$J$238:$J$451),0),
IF('TL02'!$B$3=N$3,SUMIF('TL02'!$C$10:$C$224,$C24,'TL02'!$J$10:$J$224),0),
IF('TL02'!$B$229=N$3,SUMIF('TL02'!$C$238:$C$451,$C24,'TL02'!$J$238:$J$451),0),
IF('TL03'!$B$3=N$3,SUMIF('TL03'!$C$10:$C$224,$C24,'TL03'!$J$10:$J$224),0),
IF('TL03'!$B$229=N$3,SUMIF('TL03'!$C$238:$C$451,$C24,'TL03'!$J$238:$J$451),0),
IF('TL04'!$B$3=N$3,SUMIF('TL04'!$C$10:$C$224,$C24,'TL04'!$J$10:$J$224),0),
IF('TL04'!$B$229=N$3,SUMIF('TL04'!$C$238:$C$451,$C24,'TL04'!$J$238:$J$451),0),
IF('TL05'!$B$3=N$3,SUMIF('TL05'!$C$10:$C$224,$C24,'TL05'!$J$10:$J$224),0),
IF('TL05'!$B$229=N$3,SUMIF('TL05'!$C$238:$C$451,$C24,'TL05'!$J$238:$J$451),0),
IF('TL06'!$B$3=N$3,SUMIF('TL06'!$C$10:$C$224,$C24,'TL06'!$J$10:$J$224),0),
IF('TL06'!$B$229=N$3,SUMIF('TL06'!$C$238:$C$451,$C24,'TL06'!$J$238:$J$451),0),
IF('TL07'!$B$3=N$3,SUMIF('TL07'!$C$10:$C$224,$C24,'TL07'!$J$10:$J$224),0),
IF('TL07'!$B$229=N$3,SUMIF('TL07'!$C$238:$C$451,$C24,'TL07'!$J$238:$J$451),0),
IF('TL08'!$B$3=N$3,SUMIF('TL08'!$C$10:$C$224,$C24,'TL08'!$J$10:$J$224),0),
IF('TL08'!$B$229=N$3,SUMIF('TL08'!$C$238:$C$451,$C24,'TL08'!$J$238:$J$451),0),
IF('TL09'!$B$3=N$3,SUMIF('TL09'!$C$10:$C$224,$C24,'TL09'!$J$10:$J$224),0),
IF('TL09'!$B$229=N$3,SUMIF('TL09'!$C$238:$C$451,$C24,'TL09'!$J$238:$J$451),0),
IF('TL10'!$B$3=N$3,SUMIF('TL10'!$C$10:$C$224,$C24,'TL10'!$J$10:$J$224),0),
IF('TL10'!$B$229=N$3,SUMIF('TL10'!$C$238:$C$451,$C24,'TL10'!$J$238:$J$451),0),
IF('TL11'!$B$3=N$3,SUMIF('TL11'!$C$10:$C$224,$C24,'TL11'!$J$10:$J$224),0),
IF('TL11'!$B$229=N$3,SUMIF('TL11'!$C$238:$C$451,$C24,'TL11'!$J$238:$J$451),0),
IF('TL12'!$B$3=N$3,SUMIF('TL12'!$C$10:$C$224,$C24,'TL12'!$J$10:$J$224),0),
IF('TL12'!$B$229=N$3,SUMIF('TL12'!$C$238:$C$451,$C24,'TL12'!$J$238:$J$451),0),
IF('TL13'!$B$3=N$3,SUMIF('TL13'!$C$10:$C$224,$C24,'TL13'!$J$10:$J$224),0),
IF('TL13'!$B$229=N$3,SUMIF('TL13'!$C$238:$C$451,$C24,'TL13'!$J$238:$J$451),0),
IF('TL14'!$B$3=N$3,SUMIF('TL14'!$C$10:$C$224,$C24,'TL14'!$J$10:$J$224),0),
IF('TL14'!$B$229=N$3,SUMIF('TL14'!$C$238:$C$451,$C24,'TL14'!$J$238:$J$451),0),
IF('TL15'!$B$3=N$3,SUMIF('TL15'!$C$10:$C$224,$C24,'TL15'!$J$10:$J$224),0),
IF('TL15'!$B$229=N$3,SUMIF('TL15'!$C$238:$C$451,$C24,'TL15'!$J$238:$J$451),0),
IF('TL16'!$B$3=N$3,SUMIF('TL16'!$C$10:$C$224,$C24,'TL16'!$J$10:$J$224),0),
IF('TL16'!$B$229=N$3,SUMIF('TL16'!$C$238:$C$451,$C24,'TL16'!$J$238:$J$451),0),
IF('TL17'!$B$3=N$3,SUMIF('TL17'!$C$10:$C$224,$C24,'TL17'!$J$10:$J$224),0),
IF('TL17'!$B$229=N$3,SUMIF('TL17'!$C$238:$C$451,$C24,'TL17'!$J$238:$J$451),0),
IF('TL18'!$B$3=N$3,SUMIF('TL18'!$C$10:$C$224,$C24,'TL18'!$J$10:$J$224),0),
IF('TL18'!$B$229=N$3,SUMIF('TL18'!$C$238:$C$451,$C24,'TL18'!$J$238:$J$451),0),
IF('TL19'!$B$3=N$3,SUMIF('TL19'!$C$10:$C$224,$C24,'TL19'!$J$10:$J$224),0),
IF('TL19'!$B$229=N$3,SUMIF('TL19'!$C$238:$C$451,$C24,'TL19'!$J$238:$J$451),0)
),0)</f>
        <v>0</v>
      </c>
      <c r="O24" s="9">
        <f>IFERROR(SUM(
IF('TL01'!$B$3=O$3,SUMIF('TL01'!$C$10:$C$224,$C24,'TL01'!$J$10:$J$224),0),
IF('TL01'!$B$229=O$3,SUMIF('TL01'!$C$238:$C$451,$C24,'TL01'!$J$238:$J$451),0),
IF('TL02'!$B$3=O$3,SUMIF('TL02'!$C$10:$C$224,$C24,'TL02'!$J$10:$J$224),0),
IF('TL02'!$B$229=O$3,SUMIF('TL02'!$C$238:$C$451,$C24,'TL02'!$J$238:$J$451),0),
IF('TL03'!$B$3=O$3,SUMIF('TL03'!$C$10:$C$224,$C24,'TL03'!$J$10:$J$224),0),
IF('TL03'!$B$229=O$3,SUMIF('TL03'!$C$238:$C$451,$C24,'TL03'!$J$238:$J$451),0),
IF('TL04'!$B$3=O$3,SUMIF('TL04'!$C$10:$C$224,$C24,'TL04'!$J$10:$J$224),0),
IF('TL04'!$B$229=O$3,SUMIF('TL04'!$C$238:$C$451,$C24,'TL04'!$J$238:$J$451),0),
IF('TL05'!$B$3=O$3,SUMIF('TL05'!$C$10:$C$224,$C24,'TL05'!$J$10:$J$224),0),
IF('TL05'!$B$229=O$3,SUMIF('TL05'!$C$238:$C$451,$C24,'TL05'!$J$238:$J$451),0),
IF('TL06'!$B$3=O$3,SUMIF('TL06'!$C$10:$C$224,$C24,'TL06'!$J$10:$J$224),0),
IF('TL06'!$B$229=O$3,SUMIF('TL06'!$C$238:$C$451,$C24,'TL06'!$J$238:$J$451),0),
IF('TL07'!$B$3=O$3,SUMIF('TL07'!$C$10:$C$224,$C24,'TL07'!$J$10:$J$224),0),
IF('TL07'!$B$229=O$3,SUMIF('TL07'!$C$238:$C$451,$C24,'TL07'!$J$238:$J$451),0),
IF('TL08'!$B$3=O$3,SUMIF('TL08'!$C$10:$C$224,$C24,'TL08'!$J$10:$J$224),0),
IF('TL08'!$B$229=O$3,SUMIF('TL08'!$C$238:$C$451,$C24,'TL08'!$J$238:$J$451),0),
IF('TL09'!$B$3=O$3,SUMIF('TL09'!$C$10:$C$224,$C24,'TL09'!$J$10:$J$224),0),
IF('TL09'!$B$229=O$3,SUMIF('TL09'!$C$238:$C$451,$C24,'TL09'!$J$238:$J$451),0),
IF('TL10'!$B$3=O$3,SUMIF('TL10'!$C$10:$C$224,$C24,'TL10'!$J$10:$J$224),0),
IF('TL10'!$B$229=O$3,SUMIF('TL10'!$C$238:$C$451,$C24,'TL10'!$J$238:$J$451),0),
IF('TL11'!$B$3=O$3,SUMIF('TL11'!$C$10:$C$224,$C24,'TL11'!$J$10:$J$224),0),
IF('TL11'!$B$229=O$3,SUMIF('TL11'!$C$238:$C$451,$C24,'TL11'!$J$238:$J$451),0),
IF('TL12'!$B$3=O$3,SUMIF('TL12'!$C$10:$C$224,$C24,'TL12'!$J$10:$J$224),0),
IF('TL12'!$B$229=O$3,SUMIF('TL12'!$C$238:$C$451,$C24,'TL12'!$J$238:$J$451),0),
IF('TL13'!$B$3=O$3,SUMIF('TL13'!$C$10:$C$224,$C24,'TL13'!$J$10:$J$224),0),
IF('TL13'!$B$229=O$3,SUMIF('TL13'!$C$238:$C$451,$C24,'TL13'!$J$238:$J$451),0),
IF('TL14'!$B$3=O$3,SUMIF('TL14'!$C$10:$C$224,$C24,'TL14'!$J$10:$J$224),0),
IF('TL14'!$B$229=O$3,SUMIF('TL14'!$C$238:$C$451,$C24,'TL14'!$J$238:$J$451),0),
IF('TL15'!$B$3=O$3,SUMIF('TL15'!$C$10:$C$224,$C24,'TL15'!$J$10:$J$224),0),
IF('TL15'!$B$229=O$3,SUMIF('TL15'!$C$238:$C$451,$C24,'TL15'!$J$238:$J$451),0),
IF('TL16'!$B$3=O$3,SUMIF('TL16'!$C$10:$C$224,$C24,'TL16'!$J$10:$J$224),0),
IF('TL16'!$B$229=O$3,SUMIF('TL16'!$C$238:$C$451,$C24,'TL16'!$J$238:$J$451),0),
IF('TL17'!$B$3=O$3,SUMIF('TL17'!$C$10:$C$224,$C24,'TL17'!$J$10:$J$224),0),
IF('TL17'!$B$229=O$3,SUMIF('TL17'!$C$238:$C$451,$C24,'TL17'!$J$238:$J$451),0),
IF('TL18'!$B$3=O$3,SUMIF('TL18'!$C$10:$C$224,$C24,'TL18'!$J$10:$J$224),0),
IF('TL18'!$B$229=O$3,SUMIF('TL18'!$C$238:$C$451,$C24,'TL18'!$J$238:$J$451),0),
IF('TL19'!$B$3=O$3,SUMIF('TL19'!$C$10:$C$224,$C24,'TL19'!$J$10:$J$224),0),
IF('TL19'!$B$229=O$3,SUMIF('TL19'!$C$238:$C$451,$C24,'TL19'!$J$238:$J$451),0)
),0)</f>
        <v>0</v>
      </c>
      <c r="P24" s="9">
        <f>IFERROR(SUM(
IF('TL01'!$B$3=P$3,SUMIF('TL01'!$C$10:$C$224,$C24,'TL01'!$J$10:$J$224),0),
IF('TL01'!$B$229=P$3,SUMIF('TL01'!$C$238:$C$451,$C24,'TL01'!$J$238:$J$451),0),
IF('TL02'!$B$3=P$3,SUMIF('TL02'!$C$10:$C$224,$C24,'TL02'!$J$10:$J$224),0),
IF('TL02'!$B$229=P$3,SUMIF('TL02'!$C$238:$C$451,$C24,'TL02'!$J$238:$J$451),0),
IF('TL03'!$B$3=P$3,SUMIF('TL03'!$C$10:$C$224,$C24,'TL03'!$J$10:$J$224),0),
IF('TL03'!$B$229=P$3,SUMIF('TL03'!$C$238:$C$451,$C24,'TL03'!$J$238:$J$451),0),
IF('TL04'!$B$3=P$3,SUMIF('TL04'!$C$10:$C$224,$C24,'TL04'!$J$10:$J$224),0),
IF('TL04'!$B$229=P$3,SUMIF('TL04'!$C$238:$C$451,$C24,'TL04'!$J$238:$J$451),0),
IF('TL05'!$B$3=P$3,SUMIF('TL05'!$C$10:$C$224,$C24,'TL05'!$J$10:$J$224),0),
IF('TL05'!$B$229=P$3,SUMIF('TL05'!$C$238:$C$451,$C24,'TL05'!$J$238:$J$451),0),
IF('TL06'!$B$3=P$3,SUMIF('TL06'!$C$10:$C$224,$C24,'TL06'!$J$10:$J$224),0),
IF('TL06'!$B$229=P$3,SUMIF('TL06'!$C$238:$C$451,$C24,'TL06'!$J$238:$J$451),0),
IF('TL07'!$B$3=P$3,SUMIF('TL07'!$C$10:$C$224,$C24,'TL07'!$J$10:$J$224),0),
IF('TL07'!$B$229=P$3,SUMIF('TL07'!$C$238:$C$451,$C24,'TL07'!$J$238:$J$451),0),
IF('TL08'!$B$3=P$3,SUMIF('TL08'!$C$10:$C$224,$C24,'TL08'!$J$10:$J$224),0),
IF('TL08'!$B$229=P$3,SUMIF('TL08'!$C$238:$C$451,$C24,'TL08'!$J$238:$J$451),0),
IF('TL09'!$B$3=P$3,SUMIF('TL09'!$C$10:$C$224,$C24,'TL09'!$J$10:$J$224),0),
IF('TL09'!$B$229=P$3,SUMIF('TL09'!$C$238:$C$451,$C24,'TL09'!$J$238:$J$451),0),
IF('TL10'!$B$3=P$3,SUMIF('TL10'!$C$10:$C$224,$C24,'TL10'!$J$10:$J$224),0),
IF('TL10'!$B$229=P$3,SUMIF('TL10'!$C$238:$C$451,$C24,'TL10'!$J$238:$J$451),0),
IF('TL11'!$B$3=P$3,SUMIF('TL11'!$C$10:$C$224,$C24,'TL11'!$J$10:$J$224),0),
IF('TL11'!$B$229=P$3,SUMIF('TL11'!$C$238:$C$451,$C24,'TL11'!$J$238:$J$451),0),
IF('TL12'!$B$3=P$3,SUMIF('TL12'!$C$10:$C$224,$C24,'TL12'!$J$10:$J$224),0),
IF('TL12'!$B$229=P$3,SUMIF('TL12'!$C$238:$C$451,$C24,'TL12'!$J$238:$J$451),0),
IF('TL13'!$B$3=P$3,SUMIF('TL13'!$C$10:$C$224,$C24,'TL13'!$J$10:$J$224),0),
IF('TL13'!$B$229=P$3,SUMIF('TL13'!$C$238:$C$451,$C24,'TL13'!$J$238:$J$451),0),
IF('TL14'!$B$3=P$3,SUMIF('TL14'!$C$10:$C$224,$C24,'TL14'!$J$10:$J$224),0),
IF('TL14'!$B$229=P$3,SUMIF('TL14'!$C$238:$C$451,$C24,'TL14'!$J$238:$J$451),0),
IF('TL15'!$B$3=P$3,SUMIF('TL15'!$C$10:$C$224,$C24,'TL15'!$J$10:$J$224),0),
IF('TL15'!$B$229=P$3,SUMIF('TL15'!$C$238:$C$451,$C24,'TL15'!$J$238:$J$451),0),
IF('TL16'!$B$3=P$3,SUMIF('TL16'!$C$10:$C$224,$C24,'TL16'!$J$10:$J$224),0),
IF('TL16'!$B$229=P$3,SUMIF('TL16'!$C$238:$C$451,$C24,'TL16'!$J$238:$J$451),0),
IF('TL17'!$B$3=P$3,SUMIF('TL17'!$C$10:$C$224,$C24,'TL17'!$J$10:$J$224),0),
IF('TL17'!$B$229=P$3,SUMIF('TL17'!$C$238:$C$451,$C24,'TL17'!$J$238:$J$451),0),
IF('TL18'!$B$3=P$3,SUMIF('TL18'!$C$10:$C$224,$C24,'TL18'!$J$10:$J$224),0),
IF('TL18'!$B$229=P$3,SUMIF('TL18'!$C$238:$C$451,$C24,'TL18'!$J$238:$J$451),0),
IF('TL19'!$B$3=P$3,SUMIF('TL19'!$C$10:$C$224,$C24,'TL19'!$J$10:$J$224),0),
IF('TL19'!$B$229=P$3,SUMIF('TL19'!$C$238:$C$451,$C24,'TL19'!$J$238:$J$451),0)
),0)</f>
        <v>0</v>
      </c>
      <c r="Q24" s="9">
        <f>IFERROR(SUM(
IF('TL01'!$B$3=Q$3,SUMIF('TL01'!$C$10:$C$224,$C24,'TL01'!$J$10:$J$224),0),
IF('TL01'!$B$229=Q$3,SUMIF('TL01'!$C$238:$C$451,$C24,'TL01'!$J$238:$J$451),0),
IF('TL02'!$B$3=Q$3,SUMIF('TL02'!$C$10:$C$224,$C24,'TL02'!$J$10:$J$224),0),
IF('TL02'!$B$229=Q$3,SUMIF('TL02'!$C$238:$C$451,$C24,'TL02'!$J$238:$J$451),0),
IF('TL03'!$B$3=Q$3,SUMIF('TL03'!$C$10:$C$224,$C24,'TL03'!$J$10:$J$224),0),
IF('TL03'!$B$229=Q$3,SUMIF('TL03'!$C$238:$C$451,$C24,'TL03'!$J$238:$J$451),0),
IF('TL04'!$B$3=Q$3,SUMIF('TL04'!$C$10:$C$224,$C24,'TL04'!$J$10:$J$224),0),
IF('TL04'!$B$229=Q$3,SUMIF('TL04'!$C$238:$C$451,$C24,'TL04'!$J$238:$J$451),0),
IF('TL05'!$B$3=Q$3,SUMIF('TL05'!$C$10:$C$224,$C24,'TL05'!$J$10:$J$224),0),
IF('TL05'!$B$229=Q$3,SUMIF('TL05'!$C$238:$C$451,$C24,'TL05'!$J$238:$J$451),0),
IF('TL06'!$B$3=Q$3,SUMIF('TL06'!$C$10:$C$224,$C24,'TL06'!$J$10:$J$224),0),
IF('TL06'!$B$229=Q$3,SUMIF('TL06'!$C$238:$C$451,$C24,'TL06'!$J$238:$J$451),0),
IF('TL07'!$B$3=Q$3,SUMIF('TL07'!$C$10:$C$224,$C24,'TL07'!$J$10:$J$224),0),
IF('TL07'!$B$229=Q$3,SUMIF('TL07'!$C$238:$C$451,$C24,'TL07'!$J$238:$J$451),0),
IF('TL08'!$B$3=Q$3,SUMIF('TL08'!$C$10:$C$224,$C24,'TL08'!$J$10:$J$224),0),
IF('TL08'!$B$229=Q$3,SUMIF('TL08'!$C$238:$C$451,$C24,'TL08'!$J$238:$J$451),0),
IF('TL09'!$B$3=Q$3,SUMIF('TL09'!$C$10:$C$224,$C24,'TL09'!$J$10:$J$224),0),
IF('TL09'!$B$229=Q$3,SUMIF('TL09'!$C$238:$C$451,$C24,'TL09'!$J$238:$J$451),0),
IF('TL10'!$B$3=Q$3,SUMIF('TL10'!$C$10:$C$224,$C24,'TL10'!$J$10:$J$224),0),
IF('TL10'!$B$229=Q$3,SUMIF('TL10'!$C$238:$C$451,$C24,'TL10'!$J$238:$J$451),0),
IF('TL11'!$B$3=Q$3,SUMIF('TL11'!$C$10:$C$224,$C24,'TL11'!$J$10:$J$224),0),
IF('TL11'!$B$229=Q$3,SUMIF('TL11'!$C$238:$C$451,$C24,'TL11'!$J$238:$J$451),0),
IF('TL12'!$B$3=Q$3,SUMIF('TL12'!$C$10:$C$224,$C24,'TL12'!$J$10:$J$224),0),
IF('TL12'!$B$229=Q$3,SUMIF('TL12'!$C$238:$C$451,$C24,'TL12'!$J$238:$J$451),0),
IF('TL13'!$B$3=Q$3,SUMIF('TL13'!$C$10:$C$224,$C24,'TL13'!$J$10:$J$224),0),
IF('TL13'!$B$229=Q$3,SUMIF('TL13'!$C$238:$C$451,$C24,'TL13'!$J$238:$J$451),0),
IF('TL14'!$B$3=Q$3,SUMIF('TL14'!$C$10:$C$224,$C24,'TL14'!$J$10:$J$224),0),
IF('TL14'!$B$229=Q$3,SUMIF('TL14'!$C$238:$C$451,$C24,'TL14'!$J$238:$J$451),0),
IF('TL15'!$B$3=Q$3,SUMIF('TL15'!$C$10:$C$224,$C24,'TL15'!$J$10:$J$224),0),
IF('TL15'!$B$229=Q$3,SUMIF('TL15'!$C$238:$C$451,$C24,'TL15'!$J$238:$J$451),0),
IF('TL16'!$B$3=Q$3,SUMIF('TL16'!$C$10:$C$224,$C24,'TL16'!$J$10:$J$224),0),
IF('TL16'!$B$229=Q$3,SUMIF('TL16'!$C$238:$C$451,$C24,'TL16'!$J$238:$J$451),0),
IF('TL17'!$B$3=Q$3,SUMIF('TL17'!$C$10:$C$224,$C24,'TL17'!$J$10:$J$224),0),
IF('TL17'!$B$229=Q$3,SUMIF('TL17'!$C$238:$C$451,$C24,'TL17'!$J$238:$J$451),0),
IF('TL18'!$B$3=Q$3,SUMIF('TL18'!$C$10:$C$224,$C24,'TL18'!$J$10:$J$224),0),
IF('TL18'!$B$229=Q$3,SUMIF('TL18'!$C$238:$C$451,$C24,'TL18'!$J$238:$J$451),0),
IF('TL19'!$B$3=Q$3,SUMIF('TL19'!$C$10:$C$224,$C24,'TL19'!$J$10:$J$224),0),
IF('TL19'!$B$229=Q$3,SUMIF('TL19'!$C$238:$C$451,$C24,'TL19'!$J$238:$J$451),0)
),0)</f>
        <v>0</v>
      </c>
      <c r="R24" s="9">
        <f>IFERROR(
SUM(
SUMIF('TL01'!C:C,C24,'TL01'!J:J),
SUMIF('TL02'!C:C,C24,'TL02'!J:J),
SUMIF('TL03'!C:C,C24,'TL03'!J:J),
SUMIF('TL04'!C:C,C24,'TL04'!J:J),
SUMIF('TL05'!C:C,C24,'TL05'!J:J),
SUMIF('TL06'!C:C,C24,'TL06'!J:J),
SUMIF('TL07'!C:C,C24,'TL07'!J:J),
SUMIF('TL08'!C:C,C24,'TL08'!J:J),
SUMIF('TL09'!C:C,C24,'TL09'!J:J),
SUMIF('TL10'!C:C,C24,'TL10'!J:J),
SUMIF('TL11'!C:C,C24,'TL11'!J:J),
SUMIF('TL12'!C:C,C24,'TL12'!J:J),
SUMIF('TL13'!C:C,C24,'TL13'!J:J),
SUMIF('TL14'!C:C,C24,'TL14'!J:J),
SUMIF('TL15'!C:C,C24,'TL15'!J:J),
SUMIF('TL16'!C:C,C24,'TL16'!J:J),
SUMIF('TL17'!C:C,C24,'TL17'!J:J),
SUMIF('TL18'!C:C,C24,'TL18'!J:J),SUMIF('TL19'!C:C,C24,'TL19'!J:J))
,0)</f>
        <v>0</v>
      </c>
      <c r="S24" s="17" t="str">
        <f>IFERROR(__xludf.DUMMYFUNCTION("IFERROR(VLOOKUP(C24,
IMPORTRANGE(""1wULbzX32WdYsx-lj2U3uUNBBe2INVIRDtcK0d-Dvl90"",
""26-27!C:G""),
5,
FALSE),
"""")"),"")</f>
        <v/>
      </c>
      <c r="T24" s="9"/>
      <c r="U24" s="92">
        <f t="shared" si="2"/>
        <v>0</v>
      </c>
      <c r="V24" s="93">
        <f t="shared" si="3"/>
        <v>0</v>
      </c>
    </row>
    <row r="25" ht="22.5" hidden="1" customHeight="1">
      <c r="A25" s="106"/>
      <c r="B25" s="107" t="s">
        <v>7</v>
      </c>
      <c r="C25" s="108" t="s">
        <v>403</v>
      </c>
      <c r="D25" s="108" t="s">
        <v>404</v>
      </c>
      <c r="E25" s="109"/>
      <c r="F25" s="4" t="s">
        <v>399</v>
      </c>
      <c r="G25" s="9"/>
      <c r="H25" s="9" t="str">
        <f>IFERROR(__xludf.DUMMYFUNCTION("IFERROR(VLOOKUP(C25,
IMPORTRANGE(""1wULbzX32WdYsx-lj2U3uUNBBe2INVIRDtcK0d-Dvl90"",
""26-27!C:K""),
8,
FALSE),
"""")"),"")</f>
        <v/>
      </c>
      <c r="I25" s="110"/>
      <c r="J25" s="9">
        <f>IFERROR(SUM(
IF('TL01'!$B$3=J$3,SUMIF('TL01'!$C$10:$C$224,$C25,'TL01'!$J$10:$J$224),0),
IF('TL01'!$B$229=J$3,SUMIF('TL01'!$C$238:$C$451,$C25,'TL01'!$J$238:$J$451),0),
IF('TL02'!$B$3=J$3,SUMIF('TL02'!$C$10:$C$224,$C25,'TL02'!$J$10:$J$224),0),
IF('TL02'!$B$229=J$3,SUMIF('TL02'!$C$238:$C$451,$C25,'TL02'!$J$238:$J$451),0),
IF('TL03'!$B$3=J$3,SUMIF('TL03'!$C$10:$C$224,$C25,'TL03'!$J$10:$J$224),0),
IF('TL03'!$B$229=J$3,SUMIF('TL03'!$C$238:$C$451,$C25,'TL03'!$J$238:$J$451),0),
IF('TL04'!$B$3=J$3,SUMIF('TL04'!$C$10:$C$224,$C25,'TL04'!$J$10:$J$224),0),
IF('TL04'!$B$229=J$3,SUMIF('TL04'!$C$238:$C$451,$C25,'TL04'!$J$238:$J$451),0),
IF('TL05'!$B$3=J$3,SUMIF('TL05'!$C$10:$C$224,$C25,'TL05'!$J$10:$J$224),0),
IF('TL05'!$B$229=J$3,SUMIF('TL05'!$C$238:$C$451,$C25,'TL05'!$J$238:$J$451),0),
IF('TL06'!$B$3=J$3,SUMIF('TL06'!$C$10:$C$224,$C25,'TL06'!$J$10:$J$224),0),
IF('TL06'!$B$229=J$3,SUMIF('TL06'!$C$238:$C$451,$C25,'TL06'!$J$238:$J$451),0),
IF('TL07'!$B$3=J$3,SUMIF('TL07'!$C$10:$C$224,$C25,'TL07'!$J$10:$J$224),0),
IF('TL07'!$B$229=J$3,SUMIF('TL07'!$C$238:$C$451,$C25,'TL07'!$J$238:$J$451),0),
IF('TL08'!$B$3=J$3,SUMIF('TL08'!$C$10:$C$224,$C25,'TL08'!$J$10:$J$224),0),
IF('TL08'!$B$229=J$3,SUMIF('TL08'!$C$238:$C$451,$C25,'TL08'!$J$238:$J$451),0),
IF('TL09'!$B$3=J$3,SUMIF('TL09'!$C$10:$C$224,$C25,'TL09'!$J$10:$J$224),0),
IF('TL09'!$B$229=J$3,SUMIF('TL09'!$C$238:$C$451,$C25,'TL09'!$J$238:$J$451),0),
IF('TL10'!$B$3=J$3,SUMIF('TL10'!$C$10:$C$224,$C25,'TL10'!$J$10:$J$224),0),
IF('TL10'!$B$229=J$3,SUMIF('TL10'!$C$238:$C$451,$C25,'TL10'!$J$238:$J$451),0),
IF('TL11'!$B$3=J$3,SUMIF('TL11'!$C$10:$C$224,$C25,'TL11'!$J$10:$J$224),0),
IF('TL11'!$B$229=J$3,SUMIF('TL11'!$C$238:$C$451,$C25,'TL11'!$J$238:$J$451),0),
IF('TL12'!$B$3=J$3,SUMIF('TL12'!$C$10:$C$224,$C25,'TL12'!$J$10:$J$224),0),
IF('TL12'!$B$229=J$3,SUMIF('TL12'!$C$238:$C$451,$C25,'TL12'!$J$238:$J$451),0),
IF('TL13'!$B$3=J$3,SUMIF('TL13'!$C$10:$C$224,$C25,'TL13'!$J$10:$J$224),0),
IF('TL13'!$B$229=J$3,SUMIF('TL13'!$C$238:$C$451,$C25,'TL13'!$J$238:$J$451),0),
IF('TL14'!$B$3=J$3,SUMIF('TL14'!$C$10:$C$224,$C25,'TL14'!$J$10:$J$224),0),
IF('TL14'!$B$229=J$3,SUMIF('TL14'!$C$238:$C$451,$C25,'TL14'!$J$238:$J$451),0),
IF('TL15'!$B$3=J$3,SUMIF('TL15'!$C$10:$C$224,$C25,'TL15'!$J$10:$J$224),0),
IF('TL15'!$B$229=J$3,SUMIF('TL15'!$C$238:$C$451,$C25,'TL15'!$J$238:$J$451),0),
IF('TL16'!$B$3=J$3,SUMIF('TL16'!$C$10:$C$224,$C25,'TL16'!$J$10:$J$224),0),
IF('TL16'!$B$229=J$3,SUMIF('TL16'!$C$238:$C$451,$C25,'TL16'!$J$238:$J$451),0),
IF('TL17'!$B$3=J$3,SUMIF('TL17'!$C$10:$C$224,$C25,'TL17'!$J$10:$J$224),0),
IF('TL17'!$B$229=J$3,SUMIF('TL17'!$C$238:$C$451,$C25,'TL17'!$J$238:$J$451),0),
IF('TL18'!$B$3=J$3,SUMIF('TL18'!$C$10:$C$224,$C25,'TL18'!$J$10:$J$224),0),
IF('TL18'!$B$229=J$3,SUMIF('TL18'!$C$238:$C$451,$C25,'TL18'!$J$238:$J$451),0),
IF('TL19'!$B$3=J$3,SUMIF('TL19'!$C$10:$C$224,$C25,'TL19'!$J$10:$J$224),0),
IF('TL19'!$B$229=J$3,SUMIF('TL19'!$C$238:$C$451,$C25,'TL19'!$J$238:$J$451),0)
),0)</f>
        <v>0</v>
      </c>
      <c r="K25" s="9">
        <f>IFERROR(SUM(
IF('TL01'!$B$3=K$3,SUMIF('TL01'!$C$10:$C$224,$C25,'TL01'!$J$10:$J$224),0),
IF('TL01'!$B$229=K$3,SUMIF('TL01'!$C$238:$C$451,$C25,'TL01'!$J$238:$J$451),0),
IF('TL02'!$B$3=K$3,SUMIF('TL02'!$C$10:$C$224,$C25,'TL02'!$J$10:$J$224),0),
IF('TL02'!$B$229=K$3,SUMIF('TL02'!$C$238:$C$451,$C25,'TL02'!$J$238:$J$451),0),
IF('TL03'!$B$3=K$3,SUMIF('TL03'!$C$10:$C$224,$C25,'TL03'!$J$10:$J$224),0),
IF('TL03'!$B$229=K$3,SUMIF('TL03'!$C$238:$C$451,$C25,'TL03'!$J$238:$J$451),0),
IF('TL04'!$B$3=K$3,SUMIF('TL04'!$C$10:$C$224,$C25,'TL04'!$J$10:$J$224),0),
IF('TL04'!$B$229=K$3,SUMIF('TL04'!$C$238:$C$451,$C25,'TL04'!$J$238:$J$451),0),
IF('TL05'!$B$3=K$3,SUMIF('TL05'!$C$10:$C$224,$C25,'TL05'!$J$10:$J$224),0),
IF('TL05'!$B$229=K$3,SUMIF('TL05'!$C$238:$C$451,$C25,'TL05'!$J$238:$J$451),0),
IF('TL06'!$B$3=K$3,SUMIF('TL06'!$C$10:$C$224,$C25,'TL06'!$J$10:$J$224),0),
IF('TL06'!$B$229=K$3,SUMIF('TL06'!$C$238:$C$451,$C25,'TL06'!$J$238:$J$451),0),
IF('TL07'!$B$3=K$3,SUMIF('TL07'!$C$10:$C$224,$C25,'TL07'!$J$10:$J$224),0),
IF('TL07'!$B$229=K$3,SUMIF('TL07'!$C$238:$C$451,$C25,'TL07'!$J$238:$J$451),0),
IF('TL08'!$B$3=K$3,SUMIF('TL08'!$C$10:$C$224,$C25,'TL08'!$J$10:$J$224),0),
IF('TL08'!$B$229=K$3,SUMIF('TL08'!$C$238:$C$451,$C25,'TL08'!$J$238:$J$451),0),
IF('TL09'!$B$3=K$3,SUMIF('TL09'!$C$10:$C$224,$C25,'TL09'!$J$10:$J$224),0),
IF('TL09'!$B$229=K$3,SUMIF('TL09'!$C$238:$C$451,$C25,'TL09'!$J$238:$J$451),0),
IF('TL10'!$B$3=K$3,SUMIF('TL10'!$C$10:$C$224,$C25,'TL10'!$J$10:$J$224),0),
IF('TL10'!$B$229=K$3,SUMIF('TL10'!$C$238:$C$451,$C25,'TL10'!$J$238:$J$451),0),
IF('TL11'!$B$3=K$3,SUMIF('TL11'!$C$10:$C$224,$C25,'TL11'!$J$10:$J$224),0),
IF('TL11'!$B$229=K$3,SUMIF('TL11'!$C$238:$C$451,$C25,'TL11'!$J$238:$J$451),0),
IF('TL12'!$B$3=K$3,SUMIF('TL12'!$C$10:$C$224,$C25,'TL12'!$J$10:$J$224),0),
IF('TL12'!$B$229=K$3,SUMIF('TL12'!$C$238:$C$451,$C25,'TL12'!$J$238:$J$451),0),
IF('TL13'!$B$3=K$3,SUMIF('TL13'!$C$10:$C$224,$C25,'TL13'!$J$10:$J$224),0),
IF('TL13'!$B$229=K$3,SUMIF('TL13'!$C$238:$C$451,$C25,'TL13'!$J$238:$J$451),0),
IF('TL14'!$B$3=K$3,SUMIF('TL14'!$C$10:$C$224,$C25,'TL14'!$J$10:$J$224),0),
IF('TL14'!$B$229=K$3,SUMIF('TL14'!$C$238:$C$451,$C25,'TL14'!$J$238:$J$451),0),
IF('TL15'!$B$3=K$3,SUMIF('TL15'!$C$10:$C$224,$C25,'TL15'!$J$10:$J$224),0),
IF('TL15'!$B$229=K$3,SUMIF('TL15'!$C$238:$C$451,$C25,'TL15'!$J$238:$J$451),0),
IF('TL16'!$B$3=K$3,SUMIF('TL16'!$C$10:$C$224,$C25,'TL16'!$J$10:$J$224),0),
IF('TL16'!$B$229=K$3,SUMIF('TL16'!$C$238:$C$451,$C25,'TL16'!$J$238:$J$451),0),
IF('TL17'!$B$3=K$3,SUMIF('TL17'!$C$10:$C$224,$C25,'TL17'!$J$10:$J$224),0),
IF('TL17'!$B$229=K$3,SUMIF('TL17'!$C$238:$C$451,$C25,'TL17'!$J$238:$J$451),0),
IF('TL18'!$B$3=K$3,SUMIF('TL18'!$C$10:$C$224,$C25,'TL18'!$J$10:$J$224),0),
IF('TL18'!$B$229=K$3,SUMIF('TL18'!$C$238:$C$451,$C25,'TL18'!$J$238:$J$451),0),
IF('TL19'!$B$3=K$3,SUMIF('TL19'!$C$10:$C$224,$C25,'TL19'!$J$10:$J$224),0),
IF('TL19'!$B$229=K$3,SUMIF('TL19'!$C$238:$C$451,$C25,'TL19'!$J$238:$J$451),0)
),0)</f>
        <v>0</v>
      </c>
      <c r="L25" s="9">
        <f>IFERROR(SUM(
IF('TL01'!$B$3=L$3,SUMIF('TL01'!$C$10:$C$224,$C25,'TL01'!$J$10:$J$224),0),
IF('TL01'!$B$229=L$3,SUMIF('TL01'!$C$238:$C$451,$C25,'TL01'!$J$238:$J$451),0),
IF('TL02'!$B$3=L$3,SUMIF('TL02'!$C$10:$C$224,$C25,'TL02'!$J$10:$J$224),0),
IF('TL02'!$B$229=L$3,SUMIF('TL02'!$C$238:$C$451,$C25,'TL02'!$J$238:$J$451),0),
IF('TL03'!$B$3=L$3,SUMIF('TL03'!$C$10:$C$224,$C25,'TL03'!$J$10:$J$224),0),
IF('TL03'!$B$229=L$3,SUMIF('TL03'!$C$238:$C$451,$C25,'TL03'!$J$238:$J$451),0),
IF('TL04'!$B$3=L$3,SUMIF('TL04'!$C$10:$C$224,$C25,'TL04'!$J$10:$J$224),0),
IF('TL04'!$B$229=L$3,SUMIF('TL04'!$C$238:$C$451,$C25,'TL04'!$J$238:$J$451),0),
IF('TL05'!$B$3=L$3,SUMIF('TL05'!$C$10:$C$224,$C25,'TL05'!$J$10:$J$224),0),
IF('TL05'!$B$229=L$3,SUMIF('TL05'!$C$238:$C$451,$C25,'TL05'!$J$238:$J$451),0),
IF('TL06'!$B$3=L$3,SUMIF('TL06'!$C$10:$C$224,$C25,'TL06'!$J$10:$J$224),0),
IF('TL06'!$B$229=L$3,SUMIF('TL06'!$C$238:$C$451,$C25,'TL06'!$J$238:$J$451),0),
IF('TL07'!$B$3=L$3,SUMIF('TL07'!$C$10:$C$224,$C25,'TL07'!$J$10:$J$224),0),
IF('TL07'!$B$229=L$3,SUMIF('TL07'!$C$238:$C$451,$C25,'TL07'!$J$238:$J$451),0),
IF('TL08'!$B$3=L$3,SUMIF('TL08'!$C$10:$C$224,$C25,'TL08'!$J$10:$J$224),0),
IF('TL08'!$B$229=L$3,SUMIF('TL08'!$C$238:$C$451,$C25,'TL08'!$J$238:$J$451),0),
IF('TL09'!$B$3=L$3,SUMIF('TL09'!$C$10:$C$224,$C25,'TL09'!$J$10:$J$224),0),
IF('TL09'!$B$229=L$3,SUMIF('TL09'!$C$238:$C$451,$C25,'TL09'!$J$238:$J$451),0),
IF('TL10'!$B$3=L$3,SUMIF('TL10'!$C$10:$C$224,$C25,'TL10'!$J$10:$J$224),0),
IF('TL10'!$B$229=L$3,SUMIF('TL10'!$C$238:$C$451,$C25,'TL10'!$J$238:$J$451),0),
IF('TL11'!$B$3=L$3,SUMIF('TL11'!$C$10:$C$224,$C25,'TL11'!$J$10:$J$224),0),
IF('TL11'!$B$229=L$3,SUMIF('TL11'!$C$238:$C$451,$C25,'TL11'!$J$238:$J$451),0),
IF('TL12'!$B$3=L$3,SUMIF('TL12'!$C$10:$C$224,$C25,'TL12'!$J$10:$J$224),0),
IF('TL12'!$B$229=L$3,SUMIF('TL12'!$C$238:$C$451,$C25,'TL12'!$J$238:$J$451),0),
IF('TL13'!$B$3=L$3,SUMIF('TL13'!$C$10:$C$224,$C25,'TL13'!$J$10:$J$224),0),
IF('TL13'!$B$229=L$3,SUMIF('TL13'!$C$238:$C$451,$C25,'TL13'!$J$238:$J$451),0),
IF('TL14'!$B$3=L$3,SUMIF('TL14'!$C$10:$C$224,$C25,'TL14'!$J$10:$J$224),0),
IF('TL14'!$B$229=L$3,SUMIF('TL14'!$C$238:$C$451,$C25,'TL14'!$J$238:$J$451),0),
IF('TL15'!$B$3=L$3,SUMIF('TL15'!$C$10:$C$224,$C25,'TL15'!$J$10:$J$224),0),
IF('TL15'!$B$229=L$3,SUMIF('TL15'!$C$238:$C$451,$C25,'TL15'!$J$238:$J$451),0),
IF('TL16'!$B$3=L$3,SUMIF('TL16'!$C$10:$C$224,$C25,'TL16'!$J$10:$J$224),0),
IF('TL16'!$B$229=L$3,SUMIF('TL16'!$C$238:$C$451,$C25,'TL16'!$J$238:$J$451),0),
IF('TL17'!$B$3=L$3,SUMIF('TL17'!$C$10:$C$224,$C25,'TL17'!$J$10:$J$224),0),
IF('TL17'!$B$229=L$3,SUMIF('TL17'!$C$238:$C$451,$C25,'TL17'!$J$238:$J$451),0),
IF('TL18'!$B$3=L$3,SUMIF('TL18'!$C$10:$C$224,$C25,'TL18'!$J$10:$J$224),0),
IF('TL18'!$B$229=L$3,SUMIF('TL18'!$C$238:$C$451,$C25,'TL18'!$J$238:$J$451),0),
IF('TL19'!$B$3=L$3,SUMIF('TL19'!$C$10:$C$224,$C25,'TL19'!$J$10:$J$224),0),
IF('TL19'!$B$229=L$3,SUMIF('TL19'!$C$238:$C$451,$C25,'TL19'!$J$238:$J$451),0)
),0)</f>
        <v>0</v>
      </c>
      <c r="M25" s="9">
        <f>IFERROR(SUM(
IF('TL01'!$B$3=M$3,SUMIF('TL01'!$C$10:$C$224,$C25,'TL01'!$J$10:$J$224),0),
IF('TL01'!$B$229=M$3,SUMIF('TL01'!$C$238:$C$451,$C25,'TL01'!$J$238:$J$451),0),
IF('TL02'!$B$3=M$3,SUMIF('TL02'!$C$10:$C$224,$C25,'TL02'!$J$10:$J$224),0),
IF('TL02'!$B$229=M$3,SUMIF('TL02'!$C$238:$C$451,$C25,'TL02'!$J$238:$J$451),0),
IF('TL03'!$B$3=M$3,SUMIF('TL03'!$C$10:$C$224,$C25,'TL03'!$J$10:$J$224),0),
IF('TL03'!$B$229=M$3,SUMIF('TL03'!$C$238:$C$451,$C25,'TL03'!$J$238:$J$451),0),
IF('TL04'!$B$3=M$3,SUMIF('TL04'!$C$10:$C$224,$C25,'TL04'!$J$10:$J$224),0),
IF('TL04'!$B$229=M$3,SUMIF('TL04'!$C$238:$C$451,$C25,'TL04'!$J$238:$J$451),0),
IF('TL05'!$B$3=M$3,SUMIF('TL05'!$C$10:$C$224,$C25,'TL05'!$J$10:$J$224),0),
IF('TL05'!$B$229=M$3,SUMIF('TL05'!$C$238:$C$451,$C25,'TL05'!$J$238:$J$451),0),
IF('TL06'!$B$3=M$3,SUMIF('TL06'!$C$10:$C$224,$C25,'TL06'!$J$10:$J$224),0),
IF('TL06'!$B$229=M$3,SUMIF('TL06'!$C$238:$C$451,$C25,'TL06'!$J$238:$J$451),0),
IF('TL07'!$B$3=M$3,SUMIF('TL07'!$C$10:$C$224,$C25,'TL07'!$J$10:$J$224),0),
IF('TL07'!$B$229=M$3,SUMIF('TL07'!$C$238:$C$451,$C25,'TL07'!$J$238:$J$451),0),
IF('TL08'!$B$3=M$3,SUMIF('TL08'!$C$10:$C$224,$C25,'TL08'!$J$10:$J$224),0),
IF('TL08'!$B$229=M$3,SUMIF('TL08'!$C$238:$C$451,$C25,'TL08'!$J$238:$J$451),0),
IF('TL09'!$B$3=M$3,SUMIF('TL09'!$C$10:$C$224,$C25,'TL09'!$J$10:$J$224),0),
IF('TL09'!$B$229=M$3,SUMIF('TL09'!$C$238:$C$451,$C25,'TL09'!$J$238:$J$451),0),
IF('TL10'!$B$3=M$3,SUMIF('TL10'!$C$10:$C$224,$C25,'TL10'!$J$10:$J$224),0),
IF('TL10'!$B$229=M$3,SUMIF('TL10'!$C$238:$C$451,$C25,'TL10'!$J$238:$J$451),0),
IF('TL11'!$B$3=M$3,SUMIF('TL11'!$C$10:$C$224,$C25,'TL11'!$J$10:$J$224),0),
IF('TL11'!$B$229=M$3,SUMIF('TL11'!$C$238:$C$451,$C25,'TL11'!$J$238:$J$451),0),
IF('TL12'!$B$3=M$3,SUMIF('TL12'!$C$10:$C$224,$C25,'TL12'!$J$10:$J$224),0),
IF('TL12'!$B$229=M$3,SUMIF('TL12'!$C$238:$C$451,$C25,'TL12'!$J$238:$J$451),0),
IF('TL13'!$B$3=M$3,SUMIF('TL13'!$C$10:$C$224,$C25,'TL13'!$J$10:$J$224),0),
IF('TL13'!$B$229=M$3,SUMIF('TL13'!$C$238:$C$451,$C25,'TL13'!$J$238:$J$451),0),
IF('TL14'!$B$3=M$3,SUMIF('TL14'!$C$10:$C$224,$C25,'TL14'!$J$10:$J$224),0),
IF('TL14'!$B$229=M$3,SUMIF('TL14'!$C$238:$C$451,$C25,'TL14'!$J$238:$J$451),0),
IF('TL15'!$B$3=M$3,SUMIF('TL15'!$C$10:$C$224,$C25,'TL15'!$J$10:$J$224),0),
IF('TL15'!$B$229=M$3,SUMIF('TL15'!$C$238:$C$451,$C25,'TL15'!$J$238:$J$451),0),
IF('TL16'!$B$3=M$3,SUMIF('TL16'!$C$10:$C$224,$C25,'TL16'!$J$10:$J$224),0),
IF('TL16'!$B$229=M$3,SUMIF('TL16'!$C$238:$C$451,$C25,'TL16'!$J$238:$J$451),0),
IF('TL17'!$B$3=M$3,SUMIF('TL17'!$C$10:$C$224,$C25,'TL17'!$J$10:$J$224),0),
IF('TL17'!$B$229=M$3,SUMIF('TL17'!$C$238:$C$451,$C25,'TL17'!$J$238:$J$451),0),
IF('TL18'!$B$3=M$3,SUMIF('TL18'!$C$10:$C$224,$C25,'TL18'!$J$10:$J$224),0),
IF('TL18'!$B$229=M$3,SUMIF('TL18'!$C$238:$C$451,$C25,'TL18'!$J$238:$J$451),0),
IF('TL19'!$B$3=M$3,SUMIF('TL19'!$C$10:$C$224,$C25,'TL19'!$J$10:$J$224),0),
IF('TL19'!$B$229=M$3,SUMIF('TL19'!$C$238:$C$451,$C25,'TL19'!$J$238:$J$451),0)
),0)</f>
        <v>0</v>
      </c>
      <c r="N25" s="9">
        <f>IFERROR(SUM(
IF('TL01'!$B$3=N$3,SUMIF('TL01'!$C$10:$C$224,$C25,'TL01'!$J$10:$J$224),0),
IF('TL01'!$B$229=N$3,SUMIF('TL01'!$C$238:$C$451,$C25,'TL01'!$J$238:$J$451),0),
IF('TL02'!$B$3=N$3,SUMIF('TL02'!$C$10:$C$224,$C25,'TL02'!$J$10:$J$224),0),
IF('TL02'!$B$229=N$3,SUMIF('TL02'!$C$238:$C$451,$C25,'TL02'!$J$238:$J$451),0),
IF('TL03'!$B$3=N$3,SUMIF('TL03'!$C$10:$C$224,$C25,'TL03'!$J$10:$J$224),0),
IF('TL03'!$B$229=N$3,SUMIF('TL03'!$C$238:$C$451,$C25,'TL03'!$J$238:$J$451),0),
IF('TL04'!$B$3=N$3,SUMIF('TL04'!$C$10:$C$224,$C25,'TL04'!$J$10:$J$224),0),
IF('TL04'!$B$229=N$3,SUMIF('TL04'!$C$238:$C$451,$C25,'TL04'!$J$238:$J$451),0),
IF('TL05'!$B$3=N$3,SUMIF('TL05'!$C$10:$C$224,$C25,'TL05'!$J$10:$J$224),0),
IF('TL05'!$B$229=N$3,SUMIF('TL05'!$C$238:$C$451,$C25,'TL05'!$J$238:$J$451),0),
IF('TL06'!$B$3=N$3,SUMIF('TL06'!$C$10:$C$224,$C25,'TL06'!$J$10:$J$224),0),
IF('TL06'!$B$229=N$3,SUMIF('TL06'!$C$238:$C$451,$C25,'TL06'!$J$238:$J$451),0),
IF('TL07'!$B$3=N$3,SUMIF('TL07'!$C$10:$C$224,$C25,'TL07'!$J$10:$J$224),0),
IF('TL07'!$B$229=N$3,SUMIF('TL07'!$C$238:$C$451,$C25,'TL07'!$J$238:$J$451),0),
IF('TL08'!$B$3=N$3,SUMIF('TL08'!$C$10:$C$224,$C25,'TL08'!$J$10:$J$224),0),
IF('TL08'!$B$229=N$3,SUMIF('TL08'!$C$238:$C$451,$C25,'TL08'!$J$238:$J$451),0),
IF('TL09'!$B$3=N$3,SUMIF('TL09'!$C$10:$C$224,$C25,'TL09'!$J$10:$J$224),0),
IF('TL09'!$B$229=N$3,SUMIF('TL09'!$C$238:$C$451,$C25,'TL09'!$J$238:$J$451),0),
IF('TL10'!$B$3=N$3,SUMIF('TL10'!$C$10:$C$224,$C25,'TL10'!$J$10:$J$224),0),
IF('TL10'!$B$229=N$3,SUMIF('TL10'!$C$238:$C$451,$C25,'TL10'!$J$238:$J$451),0),
IF('TL11'!$B$3=N$3,SUMIF('TL11'!$C$10:$C$224,$C25,'TL11'!$J$10:$J$224),0),
IF('TL11'!$B$229=N$3,SUMIF('TL11'!$C$238:$C$451,$C25,'TL11'!$J$238:$J$451),0),
IF('TL12'!$B$3=N$3,SUMIF('TL12'!$C$10:$C$224,$C25,'TL12'!$J$10:$J$224),0),
IF('TL12'!$B$229=N$3,SUMIF('TL12'!$C$238:$C$451,$C25,'TL12'!$J$238:$J$451),0),
IF('TL13'!$B$3=N$3,SUMIF('TL13'!$C$10:$C$224,$C25,'TL13'!$J$10:$J$224),0),
IF('TL13'!$B$229=N$3,SUMIF('TL13'!$C$238:$C$451,$C25,'TL13'!$J$238:$J$451),0),
IF('TL14'!$B$3=N$3,SUMIF('TL14'!$C$10:$C$224,$C25,'TL14'!$J$10:$J$224),0),
IF('TL14'!$B$229=N$3,SUMIF('TL14'!$C$238:$C$451,$C25,'TL14'!$J$238:$J$451),0),
IF('TL15'!$B$3=N$3,SUMIF('TL15'!$C$10:$C$224,$C25,'TL15'!$J$10:$J$224),0),
IF('TL15'!$B$229=N$3,SUMIF('TL15'!$C$238:$C$451,$C25,'TL15'!$J$238:$J$451),0),
IF('TL16'!$B$3=N$3,SUMIF('TL16'!$C$10:$C$224,$C25,'TL16'!$J$10:$J$224),0),
IF('TL16'!$B$229=N$3,SUMIF('TL16'!$C$238:$C$451,$C25,'TL16'!$J$238:$J$451),0),
IF('TL17'!$B$3=N$3,SUMIF('TL17'!$C$10:$C$224,$C25,'TL17'!$J$10:$J$224),0),
IF('TL17'!$B$229=N$3,SUMIF('TL17'!$C$238:$C$451,$C25,'TL17'!$J$238:$J$451),0),
IF('TL18'!$B$3=N$3,SUMIF('TL18'!$C$10:$C$224,$C25,'TL18'!$J$10:$J$224),0),
IF('TL18'!$B$229=N$3,SUMIF('TL18'!$C$238:$C$451,$C25,'TL18'!$J$238:$J$451),0),
IF('TL19'!$B$3=N$3,SUMIF('TL19'!$C$10:$C$224,$C25,'TL19'!$J$10:$J$224),0),
IF('TL19'!$B$229=N$3,SUMIF('TL19'!$C$238:$C$451,$C25,'TL19'!$J$238:$J$451),0)
),0)</f>
        <v>0</v>
      </c>
      <c r="O25" s="9">
        <f>IFERROR(SUM(
IF('TL01'!$B$3=O$3,SUMIF('TL01'!$C$10:$C$224,$C25,'TL01'!$J$10:$J$224),0),
IF('TL01'!$B$229=O$3,SUMIF('TL01'!$C$238:$C$451,$C25,'TL01'!$J$238:$J$451),0),
IF('TL02'!$B$3=O$3,SUMIF('TL02'!$C$10:$C$224,$C25,'TL02'!$J$10:$J$224),0),
IF('TL02'!$B$229=O$3,SUMIF('TL02'!$C$238:$C$451,$C25,'TL02'!$J$238:$J$451),0),
IF('TL03'!$B$3=O$3,SUMIF('TL03'!$C$10:$C$224,$C25,'TL03'!$J$10:$J$224),0),
IF('TL03'!$B$229=O$3,SUMIF('TL03'!$C$238:$C$451,$C25,'TL03'!$J$238:$J$451),0),
IF('TL04'!$B$3=O$3,SUMIF('TL04'!$C$10:$C$224,$C25,'TL04'!$J$10:$J$224),0),
IF('TL04'!$B$229=O$3,SUMIF('TL04'!$C$238:$C$451,$C25,'TL04'!$J$238:$J$451),0),
IF('TL05'!$B$3=O$3,SUMIF('TL05'!$C$10:$C$224,$C25,'TL05'!$J$10:$J$224),0),
IF('TL05'!$B$229=O$3,SUMIF('TL05'!$C$238:$C$451,$C25,'TL05'!$J$238:$J$451),0),
IF('TL06'!$B$3=O$3,SUMIF('TL06'!$C$10:$C$224,$C25,'TL06'!$J$10:$J$224),0),
IF('TL06'!$B$229=O$3,SUMIF('TL06'!$C$238:$C$451,$C25,'TL06'!$J$238:$J$451),0),
IF('TL07'!$B$3=O$3,SUMIF('TL07'!$C$10:$C$224,$C25,'TL07'!$J$10:$J$224),0),
IF('TL07'!$B$229=O$3,SUMIF('TL07'!$C$238:$C$451,$C25,'TL07'!$J$238:$J$451),0),
IF('TL08'!$B$3=O$3,SUMIF('TL08'!$C$10:$C$224,$C25,'TL08'!$J$10:$J$224),0),
IF('TL08'!$B$229=O$3,SUMIF('TL08'!$C$238:$C$451,$C25,'TL08'!$J$238:$J$451),0),
IF('TL09'!$B$3=O$3,SUMIF('TL09'!$C$10:$C$224,$C25,'TL09'!$J$10:$J$224),0),
IF('TL09'!$B$229=O$3,SUMIF('TL09'!$C$238:$C$451,$C25,'TL09'!$J$238:$J$451),0),
IF('TL10'!$B$3=O$3,SUMIF('TL10'!$C$10:$C$224,$C25,'TL10'!$J$10:$J$224),0),
IF('TL10'!$B$229=O$3,SUMIF('TL10'!$C$238:$C$451,$C25,'TL10'!$J$238:$J$451),0),
IF('TL11'!$B$3=O$3,SUMIF('TL11'!$C$10:$C$224,$C25,'TL11'!$J$10:$J$224),0),
IF('TL11'!$B$229=O$3,SUMIF('TL11'!$C$238:$C$451,$C25,'TL11'!$J$238:$J$451),0),
IF('TL12'!$B$3=O$3,SUMIF('TL12'!$C$10:$C$224,$C25,'TL12'!$J$10:$J$224),0),
IF('TL12'!$B$229=O$3,SUMIF('TL12'!$C$238:$C$451,$C25,'TL12'!$J$238:$J$451),0),
IF('TL13'!$B$3=O$3,SUMIF('TL13'!$C$10:$C$224,$C25,'TL13'!$J$10:$J$224),0),
IF('TL13'!$B$229=O$3,SUMIF('TL13'!$C$238:$C$451,$C25,'TL13'!$J$238:$J$451),0),
IF('TL14'!$B$3=O$3,SUMIF('TL14'!$C$10:$C$224,$C25,'TL14'!$J$10:$J$224),0),
IF('TL14'!$B$229=O$3,SUMIF('TL14'!$C$238:$C$451,$C25,'TL14'!$J$238:$J$451),0),
IF('TL15'!$B$3=O$3,SUMIF('TL15'!$C$10:$C$224,$C25,'TL15'!$J$10:$J$224),0),
IF('TL15'!$B$229=O$3,SUMIF('TL15'!$C$238:$C$451,$C25,'TL15'!$J$238:$J$451),0),
IF('TL16'!$B$3=O$3,SUMIF('TL16'!$C$10:$C$224,$C25,'TL16'!$J$10:$J$224),0),
IF('TL16'!$B$229=O$3,SUMIF('TL16'!$C$238:$C$451,$C25,'TL16'!$J$238:$J$451),0),
IF('TL17'!$B$3=O$3,SUMIF('TL17'!$C$10:$C$224,$C25,'TL17'!$J$10:$J$224),0),
IF('TL17'!$B$229=O$3,SUMIF('TL17'!$C$238:$C$451,$C25,'TL17'!$J$238:$J$451),0),
IF('TL18'!$B$3=O$3,SUMIF('TL18'!$C$10:$C$224,$C25,'TL18'!$J$10:$J$224),0),
IF('TL18'!$B$229=O$3,SUMIF('TL18'!$C$238:$C$451,$C25,'TL18'!$J$238:$J$451),0),
IF('TL19'!$B$3=O$3,SUMIF('TL19'!$C$10:$C$224,$C25,'TL19'!$J$10:$J$224),0),
IF('TL19'!$B$229=O$3,SUMIF('TL19'!$C$238:$C$451,$C25,'TL19'!$J$238:$J$451),0)
),0)</f>
        <v>0</v>
      </c>
      <c r="P25" s="9">
        <f>IFERROR(SUM(
IF('TL01'!$B$3=P$3,SUMIF('TL01'!$C$10:$C$224,$C25,'TL01'!$J$10:$J$224),0),
IF('TL01'!$B$229=P$3,SUMIF('TL01'!$C$238:$C$451,$C25,'TL01'!$J$238:$J$451),0),
IF('TL02'!$B$3=P$3,SUMIF('TL02'!$C$10:$C$224,$C25,'TL02'!$J$10:$J$224),0),
IF('TL02'!$B$229=P$3,SUMIF('TL02'!$C$238:$C$451,$C25,'TL02'!$J$238:$J$451),0),
IF('TL03'!$B$3=P$3,SUMIF('TL03'!$C$10:$C$224,$C25,'TL03'!$J$10:$J$224),0),
IF('TL03'!$B$229=P$3,SUMIF('TL03'!$C$238:$C$451,$C25,'TL03'!$J$238:$J$451),0),
IF('TL04'!$B$3=P$3,SUMIF('TL04'!$C$10:$C$224,$C25,'TL04'!$J$10:$J$224),0),
IF('TL04'!$B$229=P$3,SUMIF('TL04'!$C$238:$C$451,$C25,'TL04'!$J$238:$J$451),0),
IF('TL05'!$B$3=P$3,SUMIF('TL05'!$C$10:$C$224,$C25,'TL05'!$J$10:$J$224),0),
IF('TL05'!$B$229=P$3,SUMIF('TL05'!$C$238:$C$451,$C25,'TL05'!$J$238:$J$451),0),
IF('TL06'!$B$3=P$3,SUMIF('TL06'!$C$10:$C$224,$C25,'TL06'!$J$10:$J$224),0),
IF('TL06'!$B$229=P$3,SUMIF('TL06'!$C$238:$C$451,$C25,'TL06'!$J$238:$J$451),0),
IF('TL07'!$B$3=P$3,SUMIF('TL07'!$C$10:$C$224,$C25,'TL07'!$J$10:$J$224),0),
IF('TL07'!$B$229=P$3,SUMIF('TL07'!$C$238:$C$451,$C25,'TL07'!$J$238:$J$451),0),
IF('TL08'!$B$3=P$3,SUMIF('TL08'!$C$10:$C$224,$C25,'TL08'!$J$10:$J$224),0),
IF('TL08'!$B$229=P$3,SUMIF('TL08'!$C$238:$C$451,$C25,'TL08'!$J$238:$J$451),0),
IF('TL09'!$B$3=P$3,SUMIF('TL09'!$C$10:$C$224,$C25,'TL09'!$J$10:$J$224),0),
IF('TL09'!$B$229=P$3,SUMIF('TL09'!$C$238:$C$451,$C25,'TL09'!$J$238:$J$451),0),
IF('TL10'!$B$3=P$3,SUMIF('TL10'!$C$10:$C$224,$C25,'TL10'!$J$10:$J$224),0),
IF('TL10'!$B$229=P$3,SUMIF('TL10'!$C$238:$C$451,$C25,'TL10'!$J$238:$J$451),0),
IF('TL11'!$B$3=P$3,SUMIF('TL11'!$C$10:$C$224,$C25,'TL11'!$J$10:$J$224),0),
IF('TL11'!$B$229=P$3,SUMIF('TL11'!$C$238:$C$451,$C25,'TL11'!$J$238:$J$451),0),
IF('TL12'!$B$3=P$3,SUMIF('TL12'!$C$10:$C$224,$C25,'TL12'!$J$10:$J$224),0),
IF('TL12'!$B$229=P$3,SUMIF('TL12'!$C$238:$C$451,$C25,'TL12'!$J$238:$J$451),0),
IF('TL13'!$B$3=P$3,SUMIF('TL13'!$C$10:$C$224,$C25,'TL13'!$J$10:$J$224),0),
IF('TL13'!$B$229=P$3,SUMIF('TL13'!$C$238:$C$451,$C25,'TL13'!$J$238:$J$451),0),
IF('TL14'!$B$3=P$3,SUMIF('TL14'!$C$10:$C$224,$C25,'TL14'!$J$10:$J$224),0),
IF('TL14'!$B$229=P$3,SUMIF('TL14'!$C$238:$C$451,$C25,'TL14'!$J$238:$J$451),0),
IF('TL15'!$B$3=P$3,SUMIF('TL15'!$C$10:$C$224,$C25,'TL15'!$J$10:$J$224),0),
IF('TL15'!$B$229=P$3,SUMIF('TL15'!$C$238:$C$451,$C25,'TL15'!$J$238:$J$451),0),
IF('TL16'!$B$3=P$3,SUMIF('TL16'!$C$10:$C$224,$C25,'TL16'!$J$10:$J$224),0),
IF('TL16'!$B$229=P$3,SUMIF('TL16'!$C$238:$C$451,$C25,'TL16'!$J$238:$J$451),0),
IF('TL17'!$B$3=P$3,SUMIF('TL17'!$C$10:$C$224,$C25,'TL17'!$J$10:$J$224),0),
IF('TL17'!$B$229=P$3,SUMIF('TL17'!$C$238:$C$451,$C25,'TL17'!$J$238:$J$451),0),
IF('TL18'!$B$3=P$3,SUMIF('TL18'!$C$10:$C$224,$C25,'TL18'!$J$10:$J$224),0),
IF('TL18'!$B$229=P$3,SUMIF('TL18'!$C$238:$C$451,$C25,'TL18'!$J$238:$J$451),0),
IF('TL19'!$B$3=P$3,SUMIF('TL19'!$C$10:$C$224,$C25,'TL19'!$J$10:$J$224),0),
IF('TL19'!$B$229=P$3,SUMIF('TL19'!$C$238:$C$451,$C25,'TL19'!$J$238:$J$451),0)
),0)</f>
        <v>0</v>
      </c>
      <c r="Q25" s="9">
        <f>IFERROR(SUM(
IF('TL01'!$B$3=Q$3,SUMIF('TL01'!$C$10:$C$224,$C25,'TL01'!$J$10:$J$224),0),
IF('TL01'!$B$229=Q$3,SUMIF('TL01'!$C$238:$C$451,$C25,'TL01'!$J$238:$J$451),0),
IF('TL02'!$B$3=Q$3,SUMIF('TL02'!$C$10:$C$224,$C25,'TL02'!$J$10:$J$224),0),
IF('TL02'!$B$229=Q$3,SUMIF('TL02'!$C$238:$C$451,$C25,'TL02'!$J$238:$J$451),0),
IF('TL03'!$B$3=Q$3,SUMIF('TL03'!$C$10:$C$224,$C25,'TL03'!$J$10:$J$224),0),
IF('TL03'!$B$229=Q$3,SUMIF('TL03'!$C$238:$C$451,$C25,'TL03'!$J$238:$J$451),0),
IF('TL04'!$B$3=Q$3,SUMIF('TL04'!$C$10:$C$224,$C25,'TL04'!$J$10:$J$224),0),
IF('TL04'!$B$229=Q$3,SUMIF('TL04'!$C$238:$C$451,$C25,'TL04'!$J$238:$J$451),0),
IF('TL05'!$B$3=Q$3,SUMIF('TL05'!$C$10:$C$224,$C25,'TL05'!$J$10:$J$224),0),
IF('TL05'!$B$229=Q$3,SUMIF('TL05'!$C$238:$C$451,$C25,'TL05'!$J$238:$J$451),0),
IF('TL06'!$B$3=Q$3,SUMIF('TL06'!$C$10:$C$224,$C25,'TL06'!$J$10:$J$224),0),
IF('TL06'!$B$229=Q$3,SUMIF('TL06'!$C$238:$C$451,$C25,'TL06'!$J$238:$J$451),0),
IF('TL07'!$B$3=Q$3,SUMIF('TL07'!$C$10:$C$224,$C25,'TL07'!$J$10:$J$224),0),
IF('TL07'!$B$229=Q$3,SUMIF('TL07'!$C$238:$C$451,$C25,'TL07'!$J$238:$J$451),0),
IF('TL08'!$B$3=Q$3,SUMIF('TL08'!$C$10:$C$224,$C25,'TL08'!$J$10:$J$224),0),
IF('TL08'!$B$229=Q$3,SUMIF('TL08'!$C$238:$C$451,$C25,'TL08'!$J$238:$J$451),0),
IF('TL09'!$B$3=Q$3,SUMIF('TL09'!$C$10:$C$224,$C25,'TL09'!$J$10:$J$224),0),
IF('TL09'!$B$229=Q$3,SUMIF('TL09'!$C$238:$C$451,$C25,'TL09'!$J$238:$J$451),0),
IF('TL10'!$B$3=Q$3,SUMIF('TL10'!$C$10:$C$224,$C25,'TL10'!$J$10:$J$224),0),
IF('TL10'!$B$229=Q$3,SUMIF('TL10'!$C$238:$C$451,$C25,'TL10'!$J$238:$J$451),0),
IF('TL11'!$B$3=Q$3,SUMIF('TL11'!$C$10:$C$224,$C25,'TL11'!$J$10:$J$224),0),
IF('TL11'!$B$229=Q$3,SUMIF('TL11'!$C$238:$C$451,$C25,'TL11'!$J$238:$J$451),0),
IF('TL12'!$B$3=Q$3,SUMIF('TL12'!$C$10:$C$224,$C25,'TL12'!$J$10:$J$224),0),
IF('TL12'!$B$229=Q$3,SUMIF('TL12'!$C$238:$C$451,$C25,'TL12'!$J$238:$J$451),0),
IF('TL13'!$B$3=Q$3,SUMIF('TL13'!$C$10:$C$224,$C25,'TL13'!$J$10:$J$224),0),
IF('TL13'!$B$229=Q$3,SUMIF('TL13'!$C$238:$C$451,$C25,'TL13'!$J$238:$J$451),0),
IF('TL14'!$B$3=Q$3,SUMIF('TL14'!$C$10:$C$224,$C25,'TL14'!$J$10:$J$224),0),
IF('TL14'!$B$229=Q$3,SUMIF('TL14'!$C$238:$C$451,$C25,'TL14'!$J$238:$J$451),0),
IF('TL15'!$B$3=Q$3,SUMIF('TL15'!$C$10:$C$224,$C25,'TL15'!$J$10:$J$224),0),
IF('TL15'!$B$229=Q$3,SUMIF('TL15'!$C$238:$C$451,$C25,'TL15'!$J$238:$J$451),0),
IF('TL16'!$B$3=Q$3,SUMIF('TL16'!$C$10:$C$224,$C25,'TL16'!$J$10:$J$224),0),
IF('TL16'!$B$229=Q$3,SUMIF('TL16'!$C$238:$C$451,$C25,'TL16'!$J$238:$J$451),0),
IF('TL17'!$B$3=Q$3,SUMIF('TL17'!$C$10:$C$224,$C25,'TL17'!$J$10:$J$224),0),
IF('TL17'!$B$229=Q$3,SUMIF('TL17'!$C$238:$C$451,$C25,'TL17'!$J$238:$J$451),0),
IF('TL18'!$B$3=Q$3,SUMIF('TL18'!$C$10:$C$224,$C25,'TL18'!$J$10:$J$224),0),
IF('TL18'!$B$229=Q$3,SUMIF('TL18'!$C$238:$C$451,$C25,'TL18'!$J$238:$J$451),0),
IF('TL19'!$B$3=Q$3,SUMIF('TL19'!$C$10:$C$224,$C25,'TL19'!$J$10:$J$224),0),
IF('TL19'!$B$229=Q$3,SUMIF('TL19'!$C$238:$C$451,$C25,'TL19'!$J$238:$J$451),0)
),0)</f>
        <v>0</v>
      </c>
      <c r="R25" s="9">
        <f>IFERROR(
SUM(
SUMIF('TL01'!C:C,C25,'TL01'!J:J),
SUMIF('TL02'!C:C,C25,'TL02'!J:J),
SUMIF('TL03'!C:C,C25,'TL03'!J:J),
SUMIF('TL04'!C:C,C25,'TL04'!J:J),
SUMIF('TL05'!C:C,C25,'TL05'!J:J),
SUMIF('TL06'!C:C,C25,'TL06'!J:J),
SUMIF('TL07'!C:C,C25,'TL07'!J:J),
SUMIF('TL08'!C:C,C25,'TL08'!J:J),
SUMIF('TL09'!C:C,C25,'TL09'!J:J),
SUMIF('TL10'!C:C,C25,'TL10'!J:J),
SUMIF('TL11'!C:C,C25,'TL11'!J:J),
SUMIF('TL12'!C:C,C25,'TL12'!J:J),
SUMIF('TL13'!C:C,C25,'TL13'!J:J),
SUMIF('TL14'!C:C,C25,'TL14'!J:J),
SUMIF('TL15'!C:C,C25,'TL15'!J:J),
SUMIF('TL16'!C:C,C25,'TL16'!J:J),
SUMIF('TL17'!C:C,C25,'TL17'!J:J),
SUMIF('TL18'!C:C,C25,'TL18'!J:J),SUMIF('TL19'!C:C,C25,'TL19'!J:J))
,0)</f>
        <v>0</v>
      </c>
      <c r="S25" s="17" t="str">
        <f>IFERROR(__xludf.DUMMYFUNCTION("IFERROR(VLOOKUP(C25,
IMPORTRANGE(""1wULbzX32WdYsx-lj2U3uUNBBe2INVIRDtcK0d-Dvl90"",
""26-27!C:G""),
5,
FALSE),
"""")"),"")</f>
        <v/>
      </c>
      <c r="T25" s="9"/>
      <c r="U25" s="92">
        <f t="shared" si="2"/>
        <v>0</v>
      </c>
      <c r="V25" s="93">
        <f t="shared" si="3"/>
        <v>0</v>
      </c>
    </row>
    <row r="26" ht="22.5" hidden="1" customHeight="1">
      <c r="A26" s="101"/>
      <c r="B26" s="102" t="s">
        <v>7</v>
      </c>
      <c r="C26" s="103" t="s">
        <v>405</v>
      </c>
      <c r="D26" s="103" t="s">
        <v>406</v>
      </c>
      <c r="E26" s="104"/>
      <c r="F26" s="4" t="s">
        <v>399</v>
      </c>
      <c r="G26" s="9"/>
      <c r="H26" s="9" t="str">
        <f>IFERROR(__xludf.DUMMYFUNCTION("IFERROR(VLOOKUP(C26,
IMPORTRANGE(""1wULbzX32WdYsx-lj2U3uUNBBe2INVIRDtcK0d-Dvl90"",
""26-27!C:K""),
8,
FALSE),
"""")"),"")</f>
        <v/>
      </c>
      <c r="I26" s="105"/>
      <c r="J26" s="9">
        <f>IFERROR(SUM(
IF('TL01'!$B$3=J$3,SUMIF('TL01'!$C$10:$C$224,$C26,'TL01'!$J$10:$J$224),0),
IF('TL01'!$B$229=J$3,SUMIF('TL01'!$C$238:$C$451,$C26,'TL01'!$J$238:$J$451),0),
IF('TL02'!$B$3=J$3,SUMIF('TL02'!$C$10:$C$224,$C26,'TL02'!$J$10:$J$224),0),
IF('TL02'!$B$229=J$3,SUMIF('TL02'!$C$238:$C$451,$C26,'TL02'!$J$238:$J$451),0),
IF('TL03'!$B$3=J$3,SUMIF('TL03'!$C$10:$C$224,$C26,'TL03'!$J$10:$J$224),0),
IF('TL03'!$B$229=J$3,SUMIF('TL03'!$C$238:$C$451,$C26,'TL03'!$J$238:$J$451),0),
IF('TL04'!$B$3=J$3,SUMIF('TL04'!$C$10:$C$224,$C26,'TL04'!$J$10:$J$224),0),
IF('TL04'!$B$229=J$3,SUMIF('TL04'!$C$238:$C$451,$C26,'TL04'!$J$238:$J$451),0),
IF('TL05'!$B$3=J$3,SUMIF('TL05'!$C$10:$C$224,$C26,'TL05'!$J$10:$J$224),0),
IF('TL05'!$B$229=J$3,SUMIF('TL05'!$C$238:$C$451,$C26,'TL05'!$J$238:$J$451),0),
IF('TL06'!$B$3=J$3,SUMIF('TL06'!$C$10:$C$224,$C26,'TL06'!$J$10:$J$224),0),
IF('TL06'!$B$229=J$3,SUMIF('TL06'!$C$238:$C$451,$C26,'TL06'!$J$238:$J$451),0),
IF('TL07'!$B$3=J$3,SUMIF('TL07'!$C$10:$C$224,$C26,'TL07'!$J$10:$J$224),0),
IF('TL07'!$B$229=J$3,SUMIF('TL07'!$C$238:$C$451,$C26,'TL07'!$J$238:$J$451),0),
IF('TL08'!$B$3=J$3,SUMIF('TL08'!$C$10:$C$224,$C26,'TL08'!$J$10:$J$224),0),
IF('TL08'!$B$229=J$3,SUMIF('TL08'!$C$238:$C$451,$C26,'TL08'!$J$238:$J$451),0),
IF('TL09'!$B$3=J$3,SUMIF('TL09'!$C$10:$C$224,$C26,'TL09'!$J$10:$J$224),0),
IF('TL09'!$B$229=J$3,SUMIF('TL09'!$C$238:$C$451,$C26,'TL09'!$J$238:$J$451),0),
IF('TL10'!$B$3=J$3,SUMIF('TL10'!$C$10:$C$224,$C26,'TL10'!$J$10:$J$224),0),
IF('TL10'!$B$229=J$3,SUMIF('TL10'!$C$238:$C$451,$C26,'TL10'!$J$238:$J$451),0),
IF('TL11'!$B$3=J$3,SUMIF('TL11'!$C$10:$C$224,$C26,'TL11'!$J$10:$J$224),0),
IF('TL11'!$B$229=J$3,SUMIF('TL11'!$C$238:$C$451,$C26,'TL11'!$J$238:$J$451),0),
IF('TL12'!$B$3=J$3,SUMIF('TL12'!$C$10:$C$224,$C26,'TL12'!$J$10:$J$224),0),
IF('TL12'!$B$229=J$3,SUMIF('TL12'!$C$238:$C$451,$C26,'TL12'!$J$238:$J$451),0),
IF('TL13'!$B$3=J$3,SUMIF('TL13'!$C$10:$C$224,$C26,'TL13'!$J$10:$J$224),0),
IF('TL13'!$B$229=J$3,SUMIF('TL13'!$C$238:$C$451,$C26,'TL13'!$J$238:$J$451),0),
IF('TL14'!$B$3=J$3,SUMIF('TL14'!$C$10:$C$224,$C26,'TL14'!$J$10:$J$224),0),
IF('TL14'!$B$229=J$3,SUMIF('TL14'!$C$238:$C$451,$C26,'TL14'!$J$238:$J$451),0),
IF('TL15'!$B$3=J$3,SUMIF('TL15'!$C$10:$C$224,$C26,'TL15'!$J$10:$J$224),0),
IF('TL15'!$B$229=J$3,SUMIF('TL15'!$C$238:$C$451,$C26,'TL15'!$J$238:$J$451),0),
IF('TL16'!$B$3=J$3,SUMIF('TL16'!$C$10:$C$224,$C26,'TL16'!$J$10:$J$224),0),
IF('TL16'!$B$229=J$3,SUMIF('TL16'!$C$238:$C$451,$C26,'TL16'!$J$238:$J$451),0),
IF('TL17'!$B$3=J$3,SUMIF('TL17'!$C$10:$C$224,$C26,'TL17'!$J$10:$J$224),0),
IF('TL17'!$B$229=J$3,SUMIF('TL17'!$C$238:$C$451,$C26,'TL17'!$J$238:$J$451),0),
IF('TL18'!$B$3=J$3,SUMIF('TL18'!$C$10:$C$224,$C26,'TL18'!$J$10:$J$224),0),
IF('TL18'!$B$229=J$3,SUMIF('TL18'!$C$238:$C$451,$C26,'TL18'!$J$238:$J$451),0),
IF('TL19'!$B$3=J$3,SUMIF('TL19'!$C$10:$C$224,$C26,'TL19'!$J$10:$J$224),0),
IF('TL19'!$B$229=J$3,SUMIF('TL19'!$C$238:$C$451,$C26,'TL19'!$J$238:$J$451),0)
),0)</f>
        <v>122.5</v>
      </c>
      <c r="K26" s="9">
        <f>IFERROR(SUM(
IF('TL01'!$B$3=K$3,SUMIF('TL01'!$C$10:$C$224,$C26,'TL01'!$J$10:$J$224),0),
IF('TL01'!$B$229=K$3,SUMIF('TL01'!$C$238:$C$451,$C26,'TL01'!$J$238:$J$451),0),
IF('TL02'!$B$3=K$3,SUMIF('TL02'!$C$10:$C$224,$C26,'TL02'!$J$10:$J$224),0),
IF('TL02'!$B$229=K$3,SUMIF('TL02'!$C$238:$C$451,$C26,'TL02'!$J$238:$J$451),0),
IF('TL03'!$B$3=K$3,SUMIF('TL03'!$C$10:$C$224,$C26,'TL03'!$J$10:$J$224),0),
IF('TL03'!$B$229=K$3,SUMIF('TL03'!$C$238:$C$451,$C26,'TL03'!$J$238:$J$451),0),
IF('TL04'!$B$3=K$3,SUMIF('TL04'!$C$10:$C$224,$C26,'TL04'!$J$10:$J$224),0),
IF('TL04'!$B$229=K$3,SUMIF('TL04'!$C$238:$C$451,$C26,'TL04'!$J$238:$J$451),0),
IF('TL05'!$B$3=K$3,SUMIF('TL05'!$C$10:$C$224,$C26,'TL05'!$J$10:$J$224),0),
IF('TL05'!$B$229=K$3,SUMIF('TL05'!$C$238:$C$451,$C26,'TL05'!$J$238:$J$451),0),
IF('TL06'!$B$3=K$3,SUMIF('TL06'!$C$10:$C$224,$C26,'TL06'!$J$10:$J$224),0),
IF('TL06'!$B$229=K$3,SUMIF('TL06'!$C$238:$C$451,$C26,'TL06'!$J$238:$J$451),0),
IF('TL07'!$B$3=K$3,SUMIF('TL07'!$C$10:$C$224,$C26,'TL07'!$J$10:$J$224),0),
IF('TL07'!$B$229=K$3,SUMIF('TL07'!$C$238:$C$451,$C26,'TL07'!$J$238:$J$451),0),
IF('TL08'!$B$3=K$3,SUMIF('TL08'!$C$10:$C$224,$C26,'TL08'!$J$10:$J$224),0),
IF('TL08'!$B$229=K$3,SUMIF('TL08'!$C$238:$C$451,$C26,'TL08'!$J$238:$J$451),0),
IF('TL09'!$B$3=K$3,SUMIF('TL09'!$C$10:$C$224,$C26,'TL09'!$J$10:$J$224),0),
IF('TL09'!$B$229=K$3,SUMIF('TL09'!$C$238:$C$451,$C26,'TL09'!$J$238:$J$451),0),
IF('TL10'!$B$3=K$3,SUMIF('TL10'!$C$10:$C$224,$C26,'TL10'!$J$10:$J$224),0),
IF('TL10'!$B$229=K$3,SUMIF('TL10'!$C$238:$C$451,$C26,'TL10'!$J$238:$J$451),0),
IF('TL11'!$B$3=K$3,SUMIF('TL11'!$C$10:$C$224,$C26,'TL11'!$J$10:$J$224),0),
IF('TL11'!$B$229=K$3,SUMIF('TL11'!$C$238:$C$451,$C26,'TL11'!$J$238:$J$451),0),
IF('TL12'!$B$3=K$3,SUMIF('TL12'!$C$10:$C$224,$C26,'TL12'!$J$10:$J$224),0),
IF('TL12'!$B$229=K$3,SUMIF('TL12'!$C$238:$C$451,$C26,'TL12'!$J$238:$J$451),0),
IF('TL13'!$B$3=K$3,SUMIF('TL13'!$C$10:$C$224,$C26,'TL13'!$J$10:$J$224),0),
IF('TL13'!$B$229=K$3,SUMIF('TL13'!$C$238:$C$451,$C26,'TL13'!$J$238:$J$451),0),
IF('TL14'!$B$3=K$3,SUMIF('TL14'!$C$10:$C$224,$C26,'TL14'!$J$10:$J$224),0),
IF('TL14'!$B$229=K$3,SUMIF('TL14'!$C$238:$C$451,$C26,'TL14'!$J$238:$J$451),0),
IF('TL15'!$B$3=K$3,SUMIF('TL15'!$C$10:$C$224,$C26,'TL15'!$J$10:$J$224),0),
IF('TL15'!$B$229=K$3,SUMIF('TL15'!$C$238:$C$451,$C26,'TL15'!$J$238:$J$451),0),
IF('TL16'!$B$3=K$3,SUMIF('TL16'!$C$10:$C$224,$C26,'TL16'!$J$10:$J$224),0),
IF('TL16'!$B$229=K$3,SUMIF('TL16'!$C$238:$C$451,$C26,'TL16'!$J$238:$J$451),0),
IF('TL17'!$B$3=K$3,SUMIF('TL17'!$C$10:$C$224,$C26,'TL17'!$J$10:$J$224),0),
IF('TL17'!$B$229=K$3,SUMIF('TL17'!$C$238:$C$451,$C26,'TL17'!$J$238:$J$451),0),
IF('TL18'!$B$3=K$3,SUMIF('TL18'!$C$10:$C$224,$C26,'TL18'!$J$10:$J$224),0),
IF('TL18'!$B$229=K$3,SUMIF('TL18'!$C$238:$C$451,$C26,'TL18'!$J$238:$J$451),0),
IF('TL19'!$B$3=K$3,SUMIF('TL19'!$C$10:$C$224,$C26,'TL19'!$J$10:$J$224),0),
IF('TL19'!$B$229=K$3,SUMIF('TL19'!$C$238:$C$451,$C26,'TL19'!$J$238:$J$451),0)
),0)</f>
        <v>90</v>
      </c>
      <c r="L26" s="9">
        <f>IFERROR(SUM(
IF('TL01'!$B$3=L$3,SUMIF('TL01'!$C$10:$C$224,$C26,'TL01'!$J$10:$J$224),0),
IF('TL01'!$B$229=L$3,SUMIF('TL01'!$C$238:$C$451,$C26,'TL01'!$J$238:$J$451),0),
IF('TL02'!$B$3=L$3,SUMIF('TL02'!$C$10:$C$224,$C26,'TL02'!$J$10:$J$224),0),
IF('TL02'!$B$229=L$3,SUMIF('TL02'!$C$238:$C$451,$C26,'TL02'!$J$238:$J$451),0),
IF('TL03'!$B$3=L$3,SUMIF('TL03'!$C$10:$C$224,$C26,'TL03'!$J$10:$J$224),0),
IF('TL03'!$B$229=L$3,SUMIF('TL03'!$C$238:$C$451,$C26,'TL03'!$J$238:$J$451),0),
IF('TL04'!$B$3=L$3,SUMIF('TL04'!$C$10:$C$224,$C26,'TL04'!$J$10:$J$224),0),
IF('TL04'!$B$229=L$3,SUMIF('TL04'!$C$238:$C$451,$C26,'TL04'!$J$238:$J$451),0),
IF('TL05'!$B$3=L$3,SUMIF('TL05'!$C$10:$C$224,$C26,'TL05'!$J$10:$J$224),0),
IF('TL05'!$B$229=L$3,SUMIF('TL05'!$C$238:$C$451,$C26,'TL05'!$J$238:$J$451),0),
IF('TL06'!$B$3=L$3,SUMIF('TL06'!$C$10:$C$224,$C26,'TL06'!$J$10:$J$224),0),
IF('TL06'!$B$229=L$3,SUMIF('TL06'!$C$238:$C$451,$C26,'TL06'!$J$238:$J$451),0),
IF('TL07'!$B$3=L$3,SUMIF('TL07'!$C$10:$C$224,$C26,'TL07'!$J$10:$J$224),0),
IF('TL07'!$B$229=L$3,SUMIF('TL07'!$C$238:$C$451,$C26,'TL07'!$J$238:$J$451),0),
IF('TL08'!$B$3=L$3,SUMIF('TL08'!$C$10:$C$224,$C26,'TL08'!$J$10:$J$224),0),
IF('TL08'!$B$229=L$3,SUMIF('TL08'!$C$238:$C$451,$C26,'TL08'!$J$238:$J$451),0),
IF('TL09'!$B$3=L$3,SUMIF('TL09'!$C$10:$C$224,$C26,'TL09'!$J$10:$J$224),0),
IF('TL09'!$B$229=L$3,SUMIF('TL09'!$C$238:$C$451,$C26,'TL09'!$J$238:$J$451),0),
IF('TL10'!$B$3=L$3,SUMIF('TL10'!$C$10:$C$224,$C26,'TL10'!$J$10:$J$224),0),
IF('TL10'!$B$229=L$3,SUMIF('TL10'!$C$238:$C$451,$C26,'TL10'!$J$238:$J$451),0),
IF('TL11'!$B$3=L$3,SUMIF('TL11'!$C$10:$C$224,$C26,'TL11'!$J$10:$J$224),0),
IF('TL11'!$B$229=L$3,SUMIF('TL11'!$C$238:$C$451,$C26,'TL11'!$J$238:$J$451),0),
IF('TL12'!$B$3=L$3,SUMIF('TL12'!$C$10:$C$224,$C26,'TL12'!$J$10:$J$224),0),
IF('TL12'!$B$229=L$3,SUMIF('TL12'!$C$238:$C$451,$C26,'TL12'!$J$238:$J$451),0),
IF('TL13'!$B$3=L$3,SUMIF('TL13'!$C$10:$C$224,$C26,'TL13'!$J$10:$J$224),0),
IF('TL13'!$B$229=L$3,SUMIF('TL13'!$C$238:$C$451,$C26,'TL13'!$J$238:$J$451),0),
IF('TL14'!$B$3=L$3,SUMIF('TL14'!$C$10:$C$224,$C26,'TL14'!$J$10:$J$224),0),
IF('TL14'!$B$229=L$3,SUMIF('TL14'!$C$238:$C$451,$C26,'TL14'!$J$238:$J$451),0),
IF('TL15'!$B$3=L$3,SUMIF('TL15'!$C$10:$C$224,$C26,'TL15'!$J$10:$J$224),0),
IF('TL15'!$B$229=L$3,SUMIF('TL15'!$C$238:$C$451,$C26,'TL15'!$J$238:$J$451),0),
IF('TL16'!$B$3=L$3,SUMIF('TL16'!$C$10:$C$224,$C26,'TL16'!$J$10:$J$224),0),
IF('TL16'!$B$229=L$3,SUMIF('TL16'!$C$238:$C$451,$C26,'TL16'!$J$238:$J$451),0),
IF('TL17'!$B$3=L$3,SUMIF('TL17'!$C$10:$C$224,$C26,'TL17'!$J$10:$J$224),0),
IF('TL17'!$B$229=L$3,SUMIF('TL17'!$C$238:$C$451,$C26,'TL17'!$J$238:$J$451),0),
IF('TL18'!$B$3=L$3,SUMIF('TL18'!$C$10:$C$224,$C26,'TL18'!$J$10:$J$224),0),
IF('TL18'!$B$229=L$3,SUMIF('TL18'!$C$238:$C$451,$C26,'TL18'!$J$238:$J$451),0),
IF('TL19'!$B$3=L$3,SUMIF('TL19'!$C$10:$C$224,$C26,'TL19'!$J$10:$J$224),0),
IF('TL19'!$B$229=L$3,SUMIF('TL19'!$C$238:$C$451,$C26,'TL19'!$J$238:$J$451),0)
),0)</f>
        <v>66</v>
      </c>
      <c r="M26" s="9">
        <f>IFERROR(SUM(
IF('TL01'!$B$3=M$3,SUMIF('TL01'!$C$10:$C$224,$C26,'TL01'!$J$10:$J$224),0),
IF('TL01'!$B$229=M$3,SUMIF('TL01'!$C$238:$C$451,$C26,'TL01'!$J$238:$J$451),0),
IF('TL02'!$B$3=M$3,SUMIF('TL02'!$C$10:$C$224,$C26,'TL02'!$J$10:$J$224),0),
IF('TL02'!$B$229=M$3,SUMIF('TL02'!$C$238:$C$451,$C26,'TL02'!$J$238:$J$451),0),
IF('TL03'!$B$3=M$3,SUMIF('TL03'!$C$10:$C$224,$C26,'TL03'!$J$10:$J$224),0),
IF('TL03'!$B$229=M$3,SUMIF('TL03'!$C$238:$C$451,$C26,'TL03'!$J$238:$J$451),0),
IF('TL04'!$B$3=M$3,SUMIF('TL04'!$C$10:$C$224,$C26,'TL04'!$J$10:$J$224),0),
IF('TL04'!$B$229=M$3,SUMIF('TL04'!$C$238:$C$451,$C26,'TL04'!$J$238:$J$451),0),
IF('TL05'!$B$3=M$3,SUMIF('TL05'!$C$10:$C$224,$C26,'TL05'!$J$10:$J$224),0),
IF('TL05'!$B$229=M$3,SUMIF('TL05'!$C$238:$C$451,$C26,'TL05'!$J$238:$J$451),0),
IF('TL06'!$B$3=M$3,SUMIF('TL06'!$C$10:$C$224,$C26,'TL06'!$J$10:$J$224),0),
IF('TL06'!$B$229=M$3,SUMIF('TL06'!$C$238:$C$451,$C26,'TL06'!$J$238:$J$451),0),
IF('TL07'!$B$3=M$3,SUMIF('TL07'!$C$10:$C$224,$C26,'TL07'!$J$10:$J$224),0),
IF('TL07'!$B$229=M$3,SUMIF('TL07'!$C$238:$C$451,$C26,'TL07'!$J$238:$J$451),0),
IF('TL08'!$B$3=M$3,SUMIF('TL08'!$C$10:$C$224,$C26,'TL08'!$J$10:$J$224),0),
IF('TL08'!$B$229=M$3,SUMIF('TL08'!$C$238:$C$451,$C26,'TL08'!$J$238:$J$451),0),
IF('TL09'!$B$3=M$3,SUMIF('TL09'!$C$10:$C$224,$C26,'TL09'!$J$10:$J$224),0),
IF('TL09'!$B$229=M$3,SUMIF('TL09'!$C$238:$C$451,$C26,'TL09'!$J$238:$J$451),0),
IF('TL10'!$B$3=M$3,SUMIF('TL10'!$C$10:$C$224,$C26,'TL10'!$J$10:$J$224),0),
IF('TL10'!$B$229=M$3,SUMIF('TL10'!$C$238:$C$451,$C26,'TL10'!$J$238:$J$451),0),
IF('TL11'!$B$3=M$3,SUMIF('TL11'!$C$10:$C$224,$C26,'TL11'!$J$10:$J$224),0),
IF('TL11'!$B$229=M$3,SUMIF('TL11'!$C$238:$C$451,$C26,'TL11'!$J$238:$J$451),0),
IF('TL12'!$B$3=M$3,SUMIF('TL12'!$C$10:$C$224,$C26,'TL12'!$J$10:$J$224),0),
IF('TL12'!$B$229=M$3,SUMIF('TL12'!$C$238:$C$451,$C26,'TL12'!$J$238:$J$451),0),
IF('TL13'!$B$3=M$3,SUMIF('TL13'!$C$10:$C$224,$C26,'TL13'!$J$10:$J$224),0),
IF('TL13'!$B$229=M$3,SUMIF('TL13'!$C$238:$C$451,$C26,'TL13'!$J$238:$J$451),0),
IF('TL14'!$B$3=M$3,SUMIF('TL14'!$C$10:$C$224,$C26,'TL14'!$J$10:$J$224),0),
IF('TL14'!$B$229=M$3,SUMIF('TL14'!$C$238:$C$451,$C26,'TL14'!$J$238:$J$451),0),
IF('TL15'!$B$3=M$3,SUMIF('TL15'!$C$10:$C$224,$C26,'TL15'!$J$10:$J$224),0),
IF('TL15'!$B$229=M$3,SUMIF('TL15'!$C$238:$C$451,$C26,'TL15'!$J$238:$J$451),0),
IF('TL16'!$B$3=M$3,SUMIF('TL16'!$C$10:$C$224,$C26,'TL16'!$J$10:$J$224),0),
IF('TL16'!$B$229=M$3,SUMIF('TL16'!$C$238:$C$451,$C26,'TL16'!$J$238:$J$451),0),
IF('TL17'!$B$3=M$3,SUMIF('TL17'!$C$10:$C$224,$C26,'TL17'!$J$10:$J$224),0),
IF('TL17'!$B$229=M$3,SUMIF('TL17'!$C$238:$C$451,$C26,'TL17'!$J$238:$J$451),0),
IF('TL18'!$B$3=M$3,SUMIF('TL18'!$C$10:$C$224,$C26,'TL18'!$J$10:$J$224),0),
IF('TL18'!$B$229=M$3,SUMIF('TL18'!$C$238:$C$451,$C26,'TL18'!$J$238:$J$451),0),
IF('TL19'!$B$3=M$3,SUMIF('TL19'!$C$10:$C$224,$C26,'TL19'!$J$10:$J$224),0),
IF('TL19'!$B$229=M$3,SUMIF('TL19'!$C$238:$C$451,$C26,'TL19'!$J$238:$J$451),0)
),0)</f>
        <v>80</v>
      </c>
      <c r="N26" s="9">
        <f>IFERROR(SUM(
IF('TL01'!$B$3=N$3,SUMIF('TL01'!$C$10:$C$224,$C26,'TL01'!$J$10:$J$224),0),
IF('TL01'!$B$229=N$3,SUMIF('TL01'!$C$238:$C$451,$C26,'TL01'!$J$238:$J$451),0),
IF('TL02'!$B$3=N$3,SUMIF('TL02'!$C$10:$C$224,$C26,'TL02'!$J$10:$J$224),0),
IF('TL02'!$B$229=N$3,SUMIF('TL02'!$C$238:$C$451,$C26,'TL02'!$J$238:$J$451),0),
IF('TL03'!$B$3=N$3,SUMIF('TL03'!$C$10:$C$224,$C26,'TL03'!$J$10:$J$224),0),
IF('TL03'!$B$229=N$3,SUMIF('TL03'!$C$238:$C$451,$C26,'TL03'!$J$238:$J$451),0),
IF('TL04'!$B$3=N$3,SUMIF('TL04'!$C$10:$C$224,$C26,'TL04'!$J$10:$J$224),0),
IF('TL04'!$B$229=N$3,SUMIF('TL04'!$C$238:$C$451,$C26,'TL04'!$J$238:$J$451),0),
IF('TL05'!$B$3=N$3,SUMIF('TL05'!$C$10:$C$224,$C26,'TL05'!$J$10:$J$224),0),
IF('TL05'!$B$229=N$3,SUMIF('TL05'!$C$238:$C$451,$C26,'TL05'!$J$238:$J$451),0),
IF('TL06'!$B$3=N$3,SUMIF('TL06'!$C$10:$C$224,$C26,'TL06'!$J$10:$J$224),0),
IF('TL06'!$B$229=N$3,SUMIF('TL06'!$C$238:$C$451,$C26,'TL06'!$J$238:$J$451),0),
IF('TL07'!$B$3=N$3,SUMIF('TL07'!$C$10:$C$224,$C26,'TL07'!$J$10:$J$224),0),
IF('TL07'!$B$229=N$3,SUMIF('TL07'!$C$238:$C$451,$C26,'TL07'!$J$238:$J$451),0),
IF('TL08'!$B$3=N$3,SUMIF('TL08'!$C$10:$C$224,$C26,'TL08'!$J$10:$J$224),0),
IF('TL08'!$B$229=N$3,SUMIF('TL08'!$C$238:$C$451,$C26,'TL08'!$J$238:$J$451),0),
IF('TL09'!$B$3=N$3,SUMIF('TL09'!$C$10:$C$224,$C26,'TL09'!$J$10:$J$224),0),
IF('TL09'!$B$229=N$3,SUMIF('TL09'!$C$238:$C$451,$C26,'TL09'!$J$238:$J$451),0),
IF('TL10'!$B$3=N$3,SUMIF('TL10'!$C$10:$C$224,$C26,'TL10'!$J$10:$J$224),0),
IF('TL10'!$B$229=N$3,SUMIF('TL10'!$C$238:$C$451,$C26,'TL10'!$J$238:$J$451),0),
IF('TL11'!$B$3=N$3,SUMIF('TL11'!$C$10:$C$224,$C26,'TL11'!$J$10:$J$224),0),
IF('TL11'!$B$229=N$3,SUMIF('TL11'!$C$238:$C$451,$C26,'TL11'!$J$238:$J$451),0),
IF('TL12'!$B$3=N$3,SUMIF('TL12'!$C$10:$C$224,$C26,'TL12'!$J$10:$J$224),0),
IF('TL12'!$B$229=N$3,SUMIF('TL12'!$C$238:$C$451,$C26,'TL12'!$J$238:$J$451),0),
IF('TL13'!$B$3=N$3,SUMIF('TL13'!$C$10:$C$224,$C26,'TL13'!$J$10:$J$224),0),
IF('TL13'!$B$229=N$3,SUMIF('TL13'!$C$238:$C$451,$C26,'TL13'!$J$238:$J$451),0),
IF('TL14'!$B$3=N$3,SUMIF('TL14'!$C$10:$C$224,$C26,'TL14'!$J$10:$J$224),0),
IF('TL14'!$B$229=N$3,SUMIF('TL14'!$C$238:$C$451,$C26,'TL14'!$J$238:$J$451),0),
IF('TL15'!$B$3=N$3,SUMIF('TL15'!$C$10:$C$224,$C26,'TL15'!$J$10:$J$224),0),
IF('TL15'!$B$229=N$3,SUMIF('TL15'!$C$238:$C$451,$C26,'TL15'!$J$238:$J$451),0),
IF('TL16'!$B$3=N$3,SUMIF('TL16'!$C$10:$C$224,$C26,'TL16'!$J$10:$J$224),0),
IF('TL16'!$B$229=N$3,SUMIF('TL16'!$C$238:$C$451,$C26,'TL16'!$J$238:$J$451),0),
IF('TL17'!$B$3=N$3,SUMIF('TL17'!$C$10:$C$224,$C26,'TL17'!$J$10:$J$224),0),
IF('TL17'!$B$229=N$3,SUMIF('TL17'!$C$238:$C$451,$C26,'TL17'!$J$238:$J$451),0),
IF('TL18'!$B$3=N$3,SUMIF('TL18'!$C$10:$C$224,$C26,'TL18'!$J$10:$J$224),0),
IF('TL18'!$B$229=N$3,SUMIF('TL18'!$C$238:$C$451,$C26,'TL18'!$J$238:$J$451),0),
IF('TL19'!$B$3=N$3,SUMIF('TL19'!$C$10:$C$224,$C26,'TL19'!$J$10:$J$224),0),
IF('TL19'!$B$229=N$3,SUMIF('TL19'!$C$238:$C$451,$C26,'TL19'!$J$238:$J$451),0)
),0)</f>
        <v>75.2</v>
      </c>
      <c r="O26" s="9">
        <f>IFERROR(SUM(
IF('TL01'!$B$3=O$3,SUMIF('TL01'!$C$10:$C$224,$C26,'TL01'!$J$10:$J$224),0),
IF('TL01'!$B$229=O$3,SUMIF('TL01'!$C$238:$C$451,$C26,'TL01'!$J$238:$J$451),0),
IF('TL02'!$B$3=O$3,SUMIF('TL02'!$C$10:$C$224,$C26,'TL02'!$J$10:$J$224),0),
IF('TL02'!$B$229=O$3,SUMIF('TL02'!$C$238:$C$451,$C26,'TL02'!$J$238:$J$451),0),
IF('TL03'!$B$3=O$3,SUMIF('TL03'!$C$10:$C$224,$C26,'TL03'!$J$10:$J$224),0),
IF('TL03'!$B$229=O$3,SUMIF('TL03'!$C$238:$C$451,$C26,'TL03'!$J$238:$J$451),0),
IF('TL04'!$B$3=O$3,SUMIF('TL04'!$C$10:$C$224,$C26,'TL04'!$J$10:$J$224),0),
IF('TL04'!$B$229=O$3,SUMIF('TL04'!$C$238:$C$451,$C26,'TL04'!$J$238:$J$451),0),
IF('TL05'!$B$3=O$3,SUMIF('TL05'!$C$10:$C$224,$C26,'TL05'!$J$10:$J$224),0),
IF('TL05'!$B$229=O$3,SUMIF('TL05'!$C$238:$C$451,$C26,'TL05'!$J$238:$J$451),0),
IF('TL06'!$B$3=O$3,SUMIF('TL06'!$C$10:$C$224,$C26,'TL06'!$J$10:$J$224),0),
IF('TL06'!$B$229=O$3,SUMIF('TL06'!$C$238:$C$451,$C26,'TL06'!$J$238:$J$451),0),
IF('TL07'!$B$3=O$3,SUMIF('TL07'!$C$10:$C$224,$C26,'TL07'!$J$10:$J$224),0),
IF('TL07'!$B$229=O$3,SUMIF('TL07'!$C$238:$C$451,$C26,'TL07'!$J$238:$J$451),0),
IF('TL08'!$B$3=O$3,SUMIF('TL08'!$C$10:$C$224,$C26,'TL08'!$J$10:$J$224),0),
IF('TL08'!$B$229=O$3,SUMIF('TL08'!$C$238:$C$451,$C26,'TL08'!$J$238:$J$451),0),
IF('TL09'!$B$3=O$3,SUMIF('TL09'!$C$10:$C$224,$C26,'TL09'!$J$10:$J$224),0),
IF('TL09'!$B$229=O$3,SUMIF('TL09'!$C$238:$C$451,$C26,'TL09'!$J$238:$J$451),0),
IF('TL10'!$B$3=O$3,SUMIF('TL10'!$C$10:$C$224,$C26,'TL10'!$J$10:$J$224),0),
IF('TL10'!$B$229=O$3,SUMIF('TL10'!$C$238:$C$451,$C26,'TL10'!$J$238:$J$451),0),
IF('TL11'!$B$3=O$3,SUMIF('TL11'!$C$10:$C$224,$C26,'TL11'!$J$10:$J$224),0),
IF('TL11'!$B$229=O$3,SUMIF('TL11'!$C$238:$C$451,$C26,'TL11'!$J$238:$J$451),0),
IF('TL12'!$B$3=O$3,SUMIF('TL12'!$C$10:$C$224,$C26,'TL12'!$J$10:$J$224),0),
IF('TL12'!$B$229=O$3,SUMIF('TL12'!$C$238:$C$451,$C26,'TL12'!$J$238:$J$451),0),
IF('TL13'!$B$3=O$3,SUMIF('TL13'!$C$10:$C$224,$C26,'TL13'!$J$10:$J$224),0),
IF('TL13'!$B$229=O$3,SUMIF('TL13'!$C$238:$C$451,$C26,'TL13'!$J$238:$J$451),0),
IF('TL14'!$B$3=O$3,SUMIF('TL14'!$C$10:$C$224,$C26,'TL14'!$J$10:$J$224),0),
IF('TL14'!$B$229=O$3,SUMIF('TL14'!$C$238:$C$451,$C26,'TL14'!$J$238:$J$451),0),
IF('TL15'!$B$3=O$3,SUMIF('TL15'!$C$10:$C$224,$C26,'TL15'!$J$10:$J$224),0),
IF('TL15'!$B$229=O$3,SUMIF('TL15'!$C$238:$C$451,$C26,'TL15'!$J$238:$J$451),0),
IF('TL16'!$B$3=O$3,SUMIF('TL16'!$C$10:$C$224,$C26,'TL16'!$J$10:$J$224),0),
IF('TL16'!$B$229=O$3,SUMIF('TL16'!$C$238:$C$451,$C26,'TL16'!$J$238:$J$451),0),
IF('TL17'!$B$3=O$3,SUMIF('TL17'!$C$10:$C$224,$C26,'TL17'!$J$10:$J$224),0),
IF('TL17'!$B$229=O$3,SUMIF('TL17'!$C$238:$C$451,$C26,'TL17'!$J$238:$J$451),0),
IF('TL18'!$B$3=O$3,SUMIF('TL18'!$C$10:$C$224,$C26,'TL18'!$J$10:$J$224),0),
IF('TL18'!$B$229=O$3,SUMIF('TL18'!$C$238:$C$451,$C26,'TL18'!$J$238:$J$451),0),
IF('TL19'!$B$3=O$3,SUMIF('TL19'!$C$10:$C$224,$C26,'TL19'!$J$10:$J$224),0),
IF('TL19'!$B$229=O$3,SUMIF('TL19'!$C$238:$C$451,$C26,'TL19'!$J$238:$J$451),0)
),0)</f>
        <v>88</v>
      </c>
      <c r="P26" s="9">
        <f>IFERROR(SUM(
IF('TL01'!$B$3=P$3,SUMIF('TL01'!$C$10:$C$224,$C26,'TL01'!$J$10:$J$224),0),
IF('TL01'!$B$229=P$3,SUMIF('TL01'!$C$238:$C$451,$C26,'TL01'!$J$238:$J$451),0),
IF('TL02'!$B$3=P$3,SUMIF('TL02'!$C$10:$C$224,$C26,'TL02'!$J$10:$J$224),0),
IF('TL02'!$B$229=P$3,SUMIF('TL02'!$C$238:$C$451,$C26,'TL02'!$J$238:$J$451),0),
IF('TL03'!$B$3=P$3,SUMIF('TL03'!$C$10:$C$224,$C26,'TL03'!$J$10:$J$224),0),
IF('TL03'!$B$229=P$3,SUMIF('TL03'!$C$238:$C$451,$C26,'TL03'!$J$238:$J$451),0),
IF('TL04'!$B$3=P$3,SUMIF('TL04'!$C$10:$C$224,$C26,'TL04'!$J$10:$J$224),0),
IF('TL04'!$B$229=P$3,SUMIF('TL04'!$C$238:$C$451,$C26,'TL04'!$J$238:$J$451),0),
IF('TL05'!$B$3=P$3,SUMIF('TL05'!$C$10:$C$224,$C26,'TL05'!$J$10:$J$224),0),
IF('TL05'!$B$229=P$3,SUMIF('TL05'!$C$238:$C$451,$C26,'TL05'!$J$238:$J$451),0),
IF('TL06'!$B$3=P$3,SUMIF('TL06'!$C$10:$C$224,$C26,'TL06'!$J$10:$J$224),0),
IF('TL06'!$B$229=P$3,SUMIF('TL06'!$C$238:$C$451,$C26,'TL06'!$J$238:$J$451),0),
IF('TL07'!$B$3=P$3,SUMIF('TL07'!$C$10:$C$224,$C26,'TL07'!$J$10:$J$224),0),
IF('TL07'!$B$229=P$3,SUMIF('TL07'!$C$238:$C$451,$C26,'TL07'!$J$238:$J$451),0),
IF('TL08'!$B$3=P$3,SUMIF('TL08'!$C$10:$C$224,$C26,'TL08'!$J$10:$J$224),0),
IF('TL08'!$B$229=P$3,SUMIF('TL08'!$C$238:$C$451,$C26,'TL08'!$J$238:$J$451),0),
IF('TL09'!$B$3=P$3,SUMIF('TL09'!$C$10:$C$224,$C26,'TL09'!$J$10:$J$224),0),
IF('TL09'!$B$229=P$3,SUMIF('TL09'!$C$238:$C$451,$C26,'TL09'!$J$238:$J$451),0),
IF('TL10'!$B$3=P$3,SUMIF('TL10'!$C$10:$C$224,$C26,'TL10'!$J$10:$J$224),0),
IF('TL10'!$B$229=P$3,SUMIF('TL10'!$C$238:$C$451,$C26,'TL10'!$J$238:$J$451),0),
IF('TL11'!$B$3=P$3,SUMIF('TL11'!$C$10:$C$224,$C26,'TL11'!$J$10:$J$224),0),
IF('TL11'!$B$229=P$3,SUMIF('TL11'!$C$238:$C$451,$C26,'TL11'!$J$238:$J$451),0),
IF('TL12'!$B$3=P$3,SUMIF('TL12'!$C$10:$C$224,$C26,'TL12'!$J$10:$J$224),0),
IF('TL12'!$B$229=P$3,SUMIF('TL12'!$C$238:$C$451,$C26,'TL12'!$J$238:$J$451),0),
IF('TL13'!$B$3=P$3,SUMIF('TL13'!$C$10:$C$224,$C26,'TL13'!$J$10:$J$224),0),
IF('TL13'!$B$229=P$3,SUMIF('TL13'!$C$238:$C$451,$C26,'TL13'!$J$238:$J$451),0),
IF('TL14'!$B$3=P$3,SUMIF('TL14'!$C$10:$C$224,$C26,'TL14'!$J$10:$J$224),0),
IF('TL14'!$B$229=P$3,SUMIF('TL14'!$C$238:$C$451,$C26,'TL14'!$J$238:$J$451),0),
IF('TL15'!$B$3=P$3,SUMIF('TL15'!$C$10:$C$224,$C26,'TL15'!$J$10:$J$224),0),
IF('TL15'!$B$229=P$3,SUMIF('TL15'!$C$238:$C$451,$C26,'TL15'!$J$238:$J$451),0),
IF('TL16'!$B$3=P$3,SUMIF('TL16'!$C$10:$C$224,$C26,'TL16'!$J$10:$J$224),0),
IF('TL16'!$B$229=P$3,SUMIF('TL16'!$C$238:$C$451,$C26,'TL16'!$J$238:$J$451),0),
IF('TL17'!$B$3=P$3,SUMIF('TL17'!$C$10:$C$224,$C26,'TL17'!$J$10:$J$224),0),
IF('TL17'!$B$229=P$3,SUMIF('TL17'!$C$238:$C$451,$C26,'TL17'!$J$238:$J$451),0),
IF('TL18'!$B$3=P$3,SUMIF('TL18'!$C$10:$C$224,$C26,'TL18'!$J$10:$J$224),0),
IF('TL18'!$B$229=P$3,SUMIF('TL18'!$C$238:$C$451,$C26,'TL18'!$J$238:$J$451),0),
IF('TL19'!$B$3=P$3,SUMIF('TL19'!$C$10:$C$224,$C26,'TL19'!$J$10:$J$224),0),
IF('TL19'!$B$229=P$3,SUMIF('TL19'!$C$238:$C$451,$C26,'TL19'!$J$238:$J$451),0)
),0)</f>
        <v>243.6</v>
      </c>
      <c r="Q26" s="9">
        <f>IFERROR(SUM(
IF('TL01'!$B$3=Q$3,SUMIF('TL01'!$C$10:$C$224,$C26,'TL01'!$J$10:$J$224),0),
IF('TL01'!$B$229=Q$3,SUMIF('TL01'!$C$238:$C$451,$C26,'TL01'!$J$238:$J$451),0),
IF('TL02'!$B$3=Q$3,SUMIF('TL02'!$C$10:$C$224,$C26,'TL02'!$J$10:$J$224),0),
IF('TL02'!$B$229=Q$3,SUMIF('TL02'!$C$238:$C$451,$C26,'TL02'!$J$238:$J$451),0),
IF('TL03'!$B$3=Q$3,SUMIF('TL03'!$C$10:$C$224,$C26,'TL03'!$J$10:$J$224),0),
IF('TL03'!$B$229=Q$3,SUMIF('TL03'!$C$238:$C$451,$C26,'TL03'!$J$238:$J$451),0),
IF('TL04'!$B$3=Q$3,SUMIF('TL04'!$C$10:$C$224,$C26,'TL04'!$J$10:$J$224),0),
IF('TL04'!$B$229=Q$3,SUMIF('TL04'!$C$238:$C$451,$C26,'TL04'!$J$238:$J$451),0),
IF('TL05'!$B$3=Q$3,SUMIF('TL05'!$C$10:$C$224,$C26,'TL05'!$J$10:$J$224),0),
IF('TL05'!$B$229=Q$3,SUMIF('TL05'!$C$238:$C$451,$C26,'TL05'!$J$238:$J$451),0),
IF('TL06'!$B$3=Q$3,SUMIF('TL06'!$C$10:$C$224,$C26,'TL06'!$J$10:$J$224),0),
IF('TL06'!$B$229=Q$3,SUMIF('TL06'!$C$238:$C$451,$C26,'TL06'!$J$238:$J$451),0),
IF('TL07'!$B$3=Q$3,SUMIF('TL07'!$C$10:$C$224,$C26,'TL07'!$J$10:$J$224),0),
IF('TL07'!$B$229=Q$3,SUMIF('TL07'!$C$238:$C$451,$C26,'TL07'!$J$238:$J$451),0),
IF('TL08'!$B$3=Q$3,SUMIF('TL08'!$C$10:$C$224,$C26,'TL08'!$J$10:$J$224),0),
IF('TL08'!$B$229=Q$3,SUMIF('TL08'!$C$238:$C$451,$C26,'TL08'!$J$238:$J$451),0),
IF('TL09'!$B$3=Q$3,SUMIF('TL09'!$C$10:$C$224,$C26,'TL09'!$J$10:$J$224),0),
IF('TL09'!$B$229=Q$3,SUMIF('TL09'!$C$238:$C$451,$C26,'TL09'!$J$238:$J$451),0),
IF('TL10'!$B$3=Q$3,SUMIF('TL10'!$C$10:$C$224,$C26,'TL10'!$J$10:$J$224),0),
IF('TL10'!$B$229=Q$3,SUMIF('TL10'!$C$238:$C$451,$C26,'TL10'!$J$238:$J$451),0),
IF('TL11'!$B$3=Q$3,SUMIF('TL11'!$C$10:$C$224,$C26,'TL11'!$J$10:$J$224),0),
IF('TL11'!$B$229=Q$3,SUMIF('TL11'!$C$238:$C$451,$C26,'TL11'!$J$238:$J$451),0),
IF('TL12'!$B$3=Q$3,SUMIF('TL12'!$C$10:$C$224,$C26,'TL12'!$J$10:$J$224),0),
IF('TL12'!$B$229=Q$3,SUMIF('TL12'!$C$238:$C$451,$C26,'TL12'!$J$238:$J$451),0),
IF('TL13'!$B$3=Q$3,SUMIF('TL13'!$C$10:$C$224,$C26,'TL13'!$J$10:$J$224),0),
IF('TL13'!$B$229=Q$3,SUMIF('TL13'!$C$238:$C$451,$C26,'TL13'!$J$238:$J$451),0),
IF('TL14'!$B$3=Q$3,SUMIF('TL14'!$C$10:$C$224,$C26,'TL14'!$J$10:$J$224),0),
IF('TL14'!$B$229=Q$3,SUMIF('TL14'!$C$238:$C$451,$C26,'TL14'!$J$238:$J$451),0),
IF('TL15'!$B$3=Q$3,SUMIF('TL15'!$C$10:$C$224,$C26,'TL15'!$J$10:$J$224),0),
IF('TL15'!$B$229=Q$3,SUMIF('TL15'!$C$238:$C$451,$C26,'TL15'!$J$238:$J$451),0),
IF('TL16'!$B$3=Q$3,SUMIF('TL16'!$C$10:$C$224,$C26,'TL16'!$J$10:$J$224),0),
IF('TL16'!$B$229=Q$3,SUMIF('TL16'!$C$238:$C$451,$C26,'TL16'!$J$238:$J$451),0),
IF('TL17'!$B$3=Q$3,SUMIF('TL17'!$C$10:$C$224,$C26,'TL17'!$J$10:$J$224),0),
IF('TL17'!$B$229=Q$3,SUMIF('TL17'!$C$238:$C$451,$C26,'TL17'!$J$238:$J$451),0),
IF('TL18'!$B$3=Q$3,SUMIF('TL18'!$C$10:$C$224,$C26,'TL18'!$J$10:$J$224),0),
IF('TL18'!$B$229=Q$3,SUMIF('TL18'!$C$238:$C$451,$C26,'TL18'!$J$238:$J$451),0),
IF('TL19'!$B$3=Q$3,SUMIF('TL19'!$C$10:$C$224,$C26,'TL19'!$J$10:$J$224),0),
IF('TL19'!$B$229=Q$3,SUMIF('TL19'!$C$238:$C$451,$C26,'TL19'!$J$238:$J$451),0)
),0)</f>
        <v>64</v>
      </c>
      <c r="R26" s="9">
        <f>IFERROR(
SUM(
SUMIF('TL01'!C:C,C26,'TL01'!J:J),
SUMIF('TL02'!C:C,C26,'TL02'!J:J),
SUMIF('TL03'!C:C,C26,'TL03'!J:J),
SUMIF('TL04'!C:C,C26,'TL04'!J:J),
SUMIF('TL05'!C:C,C26,'TL05'!J:J),
SUMIF('TL06'!C:C,C26,'TL06'!J:J),
SUMIF('TL07'!C:C,C26,'TL07'!J:J),
SUMIF('TL08'!C:C,C26,'TL08'!J:J),
SUMIF('TL09'!C:C,C26,'TL09'!J:J),
SUMIF('TL10'!C:C,C26,'TL10'!J:J),
SUMIF('TL11'!C:C,C26,'TL11'!J:J),
SUMIF('TL12'!C:C,C26,'TL12'!J:J),
SUMIF('TL13'!C:C,C26,'TL13'!J:J),
SUMIF('TL14'!C:C,C26,'TL14'!J:J),
SUMIF('TL15'!C:C,C26,'TL15'!J:J),
SUMIF('TL16'!C:C,C26,'TL16'!J:J),
SUMIF('TL17'!C:C,C26,'TL17'!J:J),
SUMIF('TL18'!C:C,C26,'TL18'!J:J),SUMIF('TL19'!C:C,C26,'TL19'!J:J))
,0)</f>
        <v>829.3</v>
      </c>
      <c r="S26" s="17" t="str">
        <f>IFERROR(__xludf.DUMMYFUNCTION("IFERROR(VLOOKUP(C26,
IMPORTRANGE(""1wULbzX32WdYsx-lj2U3uUNBBe2INVIRDtcK0d-Dvl90"",
""26-27!C:G""),
5,
FALSE),
"""")"),"")</f>
        <v/>
      </c>
      <c r="T26" s="9">
        <v>387.0</v>
      </c>
      <c r="U26" s="92">
        <f t="shared" si="2"/>
        <v>442.3</v>
      </c>
      <c r="V26" s="93">
        <f t="shared" si="3"/>
        <v>0</v>
      </c>
    </row>
    <row r="27" ht="22.5" hidden="1" customHeight="1">
      <c r="A27" s="106"/>
      <c r="B27" s="107" t="s">
        <v>7</v>
      </c>
      <c r="C27" s="108" t="s">
        <v>407</v>
      </c>
      <c r="D27" s="108" t="s">
        <v>408</v>
      </c>
      <c r="E27" s="109"/>
      <c r="F27" s="4" t="s">
        <v>399</v>
      </c>
      <c r="G27" s="9"/>
      <c r="H27" s="9" t="str">
        <f>IFERROR(__xludf.DUMMYFUNCTION("IFERROR(VLOOKUP(C27,
IMPORTRANGE(""1wULbzX32WdYsx-lj2U3uUNBBe2INVIRDtcK0d-Dvl90"",
""26-27!C:K""),
8,
FALSE),
"""")"),"")</f>
        <v/>
      </c>
      <c r="I27" s="110"/>
      <c r="J27" s="9">
        <f>IFERROR(SUM(
IF('TL01'!$B$3=J$3,SUMIF('TL01'!$C$10:$C$224,$C27,'TL01'!$J$10:$J$224),0),
IF('TL01'!$B$229=J$3,SUMIF('TL01'!$C$238:$C$451,$C27,'TL01'!$J$238:$J$451),0),
IF('TL02'!$B$3=J$3,SUMIF('TL02'!$C$10:$C$224,$C27,'TL02'!$J$10:$J$224),0),
IF('TL02'!$B$229=J$3,SUMIF('TL02'!$C$238:$C$451,$C27,'TL02'!$J$238:$J$451),0),
IF('TL03'!$B$3=J$3,SUMIF('TL03'!$C$10:$C$224,$C27,'TL03'!$J$10:$J$224),0),
IF('TL03'!$B$229=J$3,SUMIF('TL03'!$C$238:$C$451,$C27,'TL03'!$J$238:$J$451),0),
IF('TL04'!$B$3=J$3,SUMIF('TL04'!$C$10:$C$224,$C27,'TL04'!$J$10:$J$224),0),
IF('TL04'!$B$229=J$3,SUMIF('TL04'!$C$238:$C$451,$C27,'TL04'!$J$238:$J$451),0),
IF('TL05'!$B$3=J$3,SUMIF('TL05'!$C$10:$C$224,$C27,'TL05'!$J$10:$J$224),0),
IF('TL05'!$B$229=J$3,SUMIF('TL05'!$C$238:$C$451,$C27,'TL05'!$J$238:$J$451),0),
IF('TL06'!$B$3=J$3,SUMIF('TL06'!$C$10:$C$224,$C27,'TL06'!$J$10:$J$224),0),
IF('TL06'!$B$229=J$3,SUMIF('TL06'!$C$238:$C$451,$C27,'TL06'!$J$238:$J$451),0),
IF('TL07'!$B$3=J$3,SUMIF('TL07'!$C$10:$C$224,$C27,'TL07'!$J$10:$J$224),0),
IF('TL07'!$B$229=J$3,SUMIF('TL07'!$C$238:$C$451,$C27,'TL07'!$J$238:$J$451),0),
IF('TL08'!$B$3=J$3,SUMIF('TL08'!$C$10:$C$224,$C27,'TL08'!$J$10:$J$224),0),
IF('TL08'!$B$229=J$3,SUMIF('TL08'!$C$238:$C$451,$C27,'TL08'!$J$238:$J$451),0),
IF('TL09'!$B$3=J$3,SUMIF('TL09'!$C$10:$C$224,$C27,'TL09'!$J$10:$J$224),0),
IF('TL09'!$B$229=J$3,SUMIF('TL09'!$C$238:$C$451,$C27,'TL09'!$J$238:$J$451),0),
IF('TL10'!$B$3=J$3,SUMIF('TL10'!$C$10:$C$224,$C27,'TL10'!$J$10:$J$224),0),
IF('TL10'!$B$229=J$3,SUMIF('TL10'!$C$238:$C$451,$C27,'TL10'!$J$238:$J$451),0),
IF('TL11'!$B$3=J$3,SUMIF('TL11'!$C$10:$C$224,$C27,'TL11'!$J$10:$J$224),0),
IF('TL11'!$B$229=J$3,SUMIF('TL11'!$C$238:$C$451,$C27,'TL11'!$J$238:$J$451),0),
IF('TL12'!$B$3=J$3,SUMIF('TL12'!$C$10:$C$224,$C27,'TL12'!$J$10:$J$224),0),
IF('TL12'!$B$229=J$3,SUMIF('TL12'!$C$238:$C$451,$C27,'TL12'!$J$238:$J$451),0),
IF('TL13'!$B$3=J$3,SUMIF('TL13'!$C$10:$C$224,$C27,'TL13'!$J$10:$J$224),0),
IF('TL13'!$B$229=J$3,SUMIF('TL13'!$C$238:$C$451,$C27,'TL13'!$J$238:$J$451),0),
IF('TL14'!$B$3=J$3,SUMIF('TL14'!$C$10:$C$224,$C27,'TL14'!$J$10:$J$224),0),
IF('TL14'!$B$229=J$3,SUMIF('TL14'!$C$238:$C$451,$C27,'TL14'!$J$238:$J$451),0),
IF('TL15'!$B$3=J$3,SUMIF('TL15'!$C$10:$C$224,$C27,'TL15'!$J$10:$J$224),0),
IF('TL15'!$B$229=J$3,SUMIF('TL15'!$C$238:$C$451,$C27,'TL15'!$J$238:$J$451),0),
IF('TL16'!$B$3=J$3,SUMIF('TL16'!$C$10:$C$224,$C27,'TL16'!$J$10:$J$224),0),
IF('TL16'!$B$229=J$3,SUMIF('TL16'!$C$238:$C$451,$C27,'TL16'!$J$238:$J$451),0),
IF('TL17'!$B$3=J$3,SUMIF('TL17'!$C$10:$C$224,$C27,'TL17'!$J$10:$J$224),0),
IF('TL17'!$B$229=J$3,SUMIF('TL17'!$C$238:$C$451,$C27,'TL17'!$J$238:$J$451),0),
IF('TL18'!$B$3=J$3,SUMIF('TL18'!$C$10:$C$224,$C27,'TL18'!$J$10:$J$224),0),
IF('TL18'!$B$229=J$3,SUMIF('TL18'!$C$238:$C$451,$C27,'TL18'!$J$238:$J$451),0),
IF('TL19'!$B$3=J$3,SUMIF('TL19'!$C$10:$C$224,$C27,'TL19'!$J$10:$J$224),0),
IF('TL19'!$B$229=J$3,SUMIF('TL19'!$C$238:$C$451,$C27,'TL19'!$J$238:$J$451),0)
),0)</f>
        <v>0</v>
      </c>
      <c r="K27" s="9">
        <f>IFERROR(SUM(
IF('TL01'!$B$3=K$3,SUMIF('TL01'!$C$10:$C$224,$C27,'TL01'!$J$10:$J$224),0),
IF('TL01'!$B$229=K$3,SUMIF('TL01'!$C$238:$C$451,$C27,'TL01'!$J$238:$J$451),0),
IF('TL02'!$B$3=K$3,SUMIF('TL02'!$C$10:$C$224,$C27,'TL02'!$J$10:$J$224),0),
IF('TL02'!$B$229=K$3,SUMIF('TL02'!$C$238:$C$451,$C27,'TL02'!$J$238:$J$451),0),
IF('TL03'!$B$3=K$3,SUMIF('TL03'!$C$10:$C$224,$C27,'TL03'!$J$10:$J$224),0),
IF('TL03'!$B$229=K$3,SUMIF('TL03'!$C$238:$C$451,$C27,'TL03'!$J$238:$J$451),0),
IF('TL04'!$B$3=K$3,SUMIF('TL04'!$C$10:$C$224,$C27,'TL04'!$J$10:$J$224),0),
IF('TL04'!$B$229=K$3,SUMIF('TL04'!$C$238:$C$451,$C27,'TL04'!$J$238:$J$451),0),
IF('TL05'!$B$3=K$3,SUMIF('TL05'!$C$10:$C$224,$C27,'TL05'!$J$10:$J$224),0),
IF('TL05'!$B$229=K$3,SUMIF('TL05'!$C$238:$C$451,$C27,'TL05'!$J$238:$J$451),0),
IF('TL06'!$B$3=K$3,SUMIF('TL06'!$C$10:$C$224,$C27,'TL06'!$J$10:$J$224),0),
IF('TL06'!$B$229=K$3,SUMIF('TL06'!$C$238:$C$451,$C27,'TL06'!$J$238:$J$451),0),
IF('TL07'!$B$3=K$3,SUMIF('TL07'!$C$10:$C$224,$C27,'TL07'!$J$10:$J$224),0),
IF('TL07'!$B$229=K$3,SUMIF('TL07'!$C$238:$C$451,$C27,'TL07'!$J$238:$J$451),0),
IF('TL08'!$B$3=K$3,SUMIF('TL08'!$C$10:$C$224,$C27,'TL08'!$J$10:$J$224),0),
IF('TL08'!$B$229=K$3,SUMIF('TL08'!$C$238:$C$451,$C27,'TL08'!$J$238:$J$451),0),
IF('TL09'!$B$3=K$3,SUMIF('TL09'!$C$10:$C$224,$C27,'TL09'!$J$10:$J$224),0),
IF('TL09'!$B$229=K$3,SUMIF('TL09'!$C$238:$C$451,$C27,'TL09'!$J$238:$J$451),0),
IF('TL10'!$B$3=K$3,SUMIF('TL10'!$C$10:$C$224,$C27,'TL10'!$J$10:$J$224),0),
IF('TL10'!$B$229=K$3,SUMIF('TL10'!$C$238:$C$451,$C27,'TL10'!$J$238:$J$451),0),
IF('TL11'!$B$3=K$3,SUMIF('TL11'!$C$10:$C$224,$C27,'TL11'!$J$10:$J$224),0),
IF('TL11'!$B$229=K$3,SUMIF('TL11'!$C$238:$C$451,$C27,'TL11'!$J$238:$J$451),0),
IF('TL12'!$B$3=K$3,SUMIF('TL12'!$C$10:$C$224,$C27,'TL12'!$J$10:$J$224),0),
IF('TL12'!$B$229=K$3,SUMIF('TL12'!$C$238:$C$451,$C27,'TL12'!$J$238:$J$451),0),
IF('TL13'!$B$3=K$3,SUMIF('TL13'!$C$10:$C$224,$C27,'TL13'!$J$10:$J$224),0),
IF('TL13'!$B$229=K$3,SUMIF('TL13'!$C$238:$C$451,$C27,'TL13'!$J$238:$J$451),0),
IF('TL14'!$B$3=K$3,SUMIF('TL14'!$C$10:$C$224,$C27,'TL14'!$J$10:$J$224),0),
IF('TL14'!$B$229=K$3,SUMIF('TL14'!$C$238:$C$451,$C27,'TL14'!$J$238:$J$451),0),
IF('TL15'!$B$3=K$3,SUMIF('TL15'!$C$10:$C$224,$C27,'TL15'!$J$10:$J$224),0),
IF('TL15'!$B$229=K$3,SUMIF('TL15'!$C$238:$C$451,$C27,'TL15'!$J$238:$J$451),0),
IF('TL16'!$B$3=K$3,SUMIF('TL16'!$C$10:$C$224,$C27,'TL16'!$J$10:$J$224),0),
IF('TL16'!$B$229=K$3,SUMIF('TL16'!$C$238:$C$451,$C27,'TL16'!$J$238:$J$451),0),
IF('TL17'!$B$3=K$3,SUMIF('TL17'!$C$10:$C$224,$C27,'TL17'!$J$10:$J$224),0),
IF('TL17'!$B$229=K$3,SUMIF('TL17'!$C$238:$C$451,$C27,'TL17'!$J$238:$J$451),0),
IF('TL18'!$B$3=K$3,SUMIF('TL18'!$C$10:$C$224,$C27,'TL18'!$J$10:$J$224),0),
IF('TL18'!$B$229=K$3,SUMIF('TL18'!$C$238:$C$451,$C27,'TL18'!$J$238:$J$451),0),
IF('TL19'!$B$3=K$3,SUMIF('TL19'!$C$10:$C$224,$C27,'TL19'!$J$10:$J$224),0),
IF('TL19'!$B$229=K$3,SUMIF('TL19'!$C$238:$C$451,$C27,'TL19'!$J$238:$J$451),0)
),0)</f>
        <v>0</v>
      </c>
      <c r="L27" s="9">
        <f>IFERROR(SUM(
IF('TL01'!$B$3=L$3,SUMIF('TL01'!$C$10:$C$224,$C27,'TL01'!$J$10:$J$224),0),
IF('TL01'!$B$229=L$3,SUMIF('TL01'!$C$238:$C$451,$C27,'TL01'!$J$238:$J$451),0),
IF('TL02'!$B$3=L$3,SUMIF('TL02'!$C$10:$C$224,$C27,'TL02'!$J$10:$J$224),0),
IF('TL02'!$B$229=L$3,SUMIF('TL02'!$C$238:$C$451,$C27,'TL02'!$J$238:$J$451),0),
IF('TL03'!$B$3=L$3,SUMIF('TL03'!$C$10:$C$224,$C27,'TL03'!$J$10:$J$224),0),
IF('TL03'!$B$229=L$3,SUMIF('TL03'!$C$238:$C$451,$C27,'TL03'!$J$238:$J$451),0),
IF('TL04'!$B$3=L$3,SUMIF('TL04'!$C$10:$C$224,$C27,'TL04'!$J$10:$J$224),0),
IF('TL04'!$B$229=L$3,SUMIF('TL04'!$C$238:$C$451,$C27,'TL04'!$J$238:$J$451),0),
IF('TL05'!$B$3=L$3,SUMIF('TL05'!$C$10:$C$224,$C27,'TL05'!$J$10:$J$224),0),
IF('TL05'!$B$229=L$3,SUMIF('TL05'!$C$238:$C$451,$C27,'TL05'!$J$238:$J$451),0),
IF('TL06'!$B$3=L$3,SUMIF('TL06'!$C$10:$C$224,$C27,'TL06'!$J$10:$J$224),0),
IF('TL06'!$B$229=L$3,SUMIF('TL06'!$C$238:$C$451,$C27,'TL06'!$J$238:$J$451),0),
IF('TL07'!$B$3=L$3,SUMIF('TL07'!$C$10:$C$224,$C27,'TL07'!$J$10:$J$224),0),
IF('TL07'!$B$229=L$3,SUMIF('TL07'!$C$238:$C$451,$C27,'TL07'!$J$238:$J$451),0),
IF('TL08'!$B$3=L$3,SUMIF('TL08'!$C$10:$C$224,$C27,'TL08'!$J$10:$J$224),0),
IF('TL08'!$B$229=L$3,SUMIF('TL08'!$C$238:$C$451,$C27,'TL08'!$J$238:$J$451),0),
IF('TL09'!$B$3=L$3,SUMIF('TL09'!$C$10:$C$224,$C27,'TL09'!$J$10:$J$224),0),
IF('TL09'!$B$229=L$3,SUMIF('TL09'!$C$238:$C$451,$C27,'TL09'!$J$238:$J$451),0),
IF('TL10'!$B$3=L$3,SUMIF('TL10'!$C$10:$C$224,$C27,'TL10'!$J$10:$J$224),0),
IF('TL10'!$B$229=L$3,SUMIF('TL10'!$C$238:$C$451,$C27,'TL10'!$J$238:$J$451),0),
IF('TL11'!$B$3=L$3,SUMIF('TL11'!$C$10:$C$224,$C27,'TL11'!$J$10:$J$224),0),
IF('TL11'!$B$229=L$3,SUMIF('TL11'!$C$238:$C$451,$C27,'TL11'!$J$238:$J$451),0),
IF('TL12'!$B$3=L$3,SUMIF('TL12'!$C$10:$C$224,$C27,'TL12'!$J$10:$J$224),0),
IF('TL12'!$B$229=L$3,SUMIF('TL12'!$C$238:$C$451,$C27,'TL12'!$J$238:$J$451),0),
IF('TL13'!$B$3=L$3,SUMIF('TL13'!$C$10:$C$224,$C27,'TL13'!$J$10:$J$224),0),
IF('TL13'!$B$229=L$3,SUMIF('TL13'!$C$238:$C$451,$C27,'TL13'!$J$238:$J$451),0),
IF('TL14'!$B$3=L$3,SUMIF('TL14'!$C$10:$C$224,$C27,'TL14'!$J$10:$J$224),0),
IF('TL14'!$B$229=L$3,SUMIF('TL14'!$C$238:$C$451,$C27,'TL14'!$J$238:$J$451),0),
IF('TL15'!$B$3=L$3,SUMIF('TL15'!$C$10:$C$224,$C27,'TL15'!$J$10:$J$224),0),
IF('TL15'!$B$229=L$3,SUMIF('TL15'!$C$238:$C$451,$C27,'TL15'!$J$238:$J$451),0),
IF('TL16'!$B$3=L$3,SUMIF('TL16'!$C$10:$C$224,$C27,'TL16'!$J$10:$J$224),0),
IF('TL16'!$B$229=L$3,SUMIF('TL16'!$C$238:$C$451,$C27,'TL16'!$J$238:$J$451),0),
IF('TL17'!$B$3=L$3,SUMIF('TL17'!$C$10:$C$224,$C27,'TL17'!$J$10:$J$224),0),
IF('TL17'!$B$229=L$3,SUMIF('TL17'!$C$238:$C$451,$C27,'TL17'!$J$238:$J$451),0),
IF('TL18'!$B$3=L$3,SUMIF('TL18'!$C$10:$C$224,$C27,'TL18'!$J$10:$J$224),0),
IF('TL18'!$B$229=L$3,SUMIF('TL18'!$C$238:$C$451,$C27,'TL18'!$J$238:$J$451),0),
IF('TL19'!$B$3=L$3,SUMIF('TL19'!$C$10:$C$224,$C27,'TL19'!$J$10:$J$224),0),
IF('TL19'!$B$229=L$3,SUMIF('TL19'!$C$238:$C$451,$C27,'TL19'!$J$238:$J$451),0)
),0)</f>
        <v>0</v>
      </c>
      <c r="M27" s="9">
        <f>IFERROR(SUM(
IF('TL01'!$B$3=M$3,SUMIF('TL01'!$C$10:$C$224,$C27,'TL01'!$J$10:$J$224),0),
IF('TL01'!$B$229=M$3,SUMIF('TL01'!$C$238:$C$451,$C27,'TL01'!$J$238:$J$451),0),
IF('TL02'!$B$3=M$3,SUMIF('TL02'!$C$10:$C$224,$C27,'TL02'!$J$10:$J$224),0),
IF('TL02'!$B$229=M$3,SUMIF('TL02'!$C$238:$C$451,$C27,'TL02'!$J$238:$J$451),0),
IF('TL03'!$B$3=M$3,SUMIF('TL03'!$C$10:$C$224,$C27,'TL03'!$J$10:$J$224),0),
IF('TL03'!$B$229=M$3,SUMIF('TL03'!$C$238:$C$451,$C27,'TL03'!$J$238:$J$451),0),
IF('TL04'!$B$3=M$3,SUMIF('TL04'!$C$10:$C$224,$C27,'TL04'!$J$10:$J$224),0),
IF('TL04'!$B$229=M$3,SUMIF('TL04'!$C$238:$C$451,$C27,'TL04'!$J$238:$J$451),0),
IF('TL05'!$B$3=M$3,SUMIF('TL05'!$C$10:$C$224,$C27,'TL05'!$J$10:$J$224),0),
IF('TL05'!$B$229=M$3,SUMIF('TL05'!$C$238:$C$451,$C27,'TL05'!$J$238:$J$451),0),
IF('TL06'!$B$3=M$3,SUMIF('TL06'!$C$10:$C$224,$C27,'TL06'!$J$10:$J$224),0),
IF('TL06'!$B$229=M$3,SUMIF('TL06'!$C$238:$C$451,$C27,'TL06'!$J$238:$J$451),0),
IF('TL07'!$B$3=M$3,SUMIF('TL07'!$C$10:$C$224,$C27,'TL07'!$J$10:$J$224),0),
IF('TL07'!$B$229=M$3,SUMIF('TL07'!$C$238:$C$451,$C27,'TL07'!$J$238:$J$451),0),
IF('TL08'!$B$3=M$3,SUMIF('TL08'!$C$10:$C$224,$C27,'TL08'!$J$10:$J$224),0),
IF('TL08'!$B$229=M$3,SUMIF('TL08'!$C$238:$C$451,$C27,'TL08'!$J$238:$J$451),0),
IF('TL09'!$B$3=M$3,SUMIF('TL09'!$C$10:$C$224,$C27,'TL09'!$J$10:$J$224),0),
IF('TL09'!$B$229=M$3,SUMIF('TL09'!$C$238:$C$451,$C27,'TL09'!$J$238:$J$451),0),
IF('TL10'!$B$3=M$3,SUMIF('TL10'!$C$10:$C$224,$C27,'TL10'!$J$10:$J$224),0),
IF('TL10'!$B$229=M$3,SUMIF('TL10'!$C$238:$C$451,$C27,'TL10'!$J$238:$J$451),0),
IF('TL11'!$B$3=M$3,SUMIF('TL11'!$C$10:$C$224,$C27,'TL11'!$J$10:$J$224),0),
IF('TL11'!$B$229=M$3,SUMIF('TL11'!$C$238:$C$451,$C27,'TL11'!$J$238:$J$451),0),
IF('TL12'!$B$3=M$3,SUMIF('TL12'!$C$10:$C$224,$C27,'TL12'!$J$10:$J$224),0),
IF('TL12'!$B$229=M$3,SUMIF('TL12'!$C$238:$C$451,$C27,'TL12'!$J$238:$J$451),0),
IF('TL13'!$B$3=M$3,SUMIF('TL13'!$C$10:$C$224,$C27,'TL13'!$J$10:$J$224),0),
IF('TL13'!$B$229=M$3,SUMIF('TL13'!$C$238:$C$451,$C27,'TL13'!$J$238:$J$451),0),
IF('TL14'!$B$3=M$3,SUMIF('TL14'!$C$10:$C$224,$C27,'TL14'!$J$10:$J$224),0),
IF('TL14'!$B$229=M$3,SUMIF('TL14'!$C$238:$C$451,$C27,'TL14'!$J$238:$J$451),0),
IF('TL15'!$B$3=M$3,SUMIF('TL15'!$C$10:$C$224,$C27,'TL15'!$J$10:$J$224),0),
IF('TL15'!$B$229=M$3,SUMIF('TL15'!$C$238:$C$451,$C27,'TL15'!$J$238:$J$451),0),
IF('TL16'!$B$3=M$3,SUMIF('TL16'!$C$10:$C$224,$C27,'TL16'!$J$10:$J$224),0),
IF('TL16'!$B$229=M$3,SUMIF('TL16'!$C$238:$C$451,$C27,'TL16'!$J$238:$J$451),0),
IF('TL17'!$B$3=M$3,SUMIF('TL17'!$C$10:$C$224,$C27,'TL17'!$J$10:$J$224),0),
IF('TL17'!$B$229=M$3,SUMIF('TL17'!$C$238:$C$451,$C27,'TL17'!$J$238:$J$451),0),
IF('TL18'!$B$3=M$3,SUMIF('TL18'!$C$10:$C$224,$C27,'TL18'!$J$10:$J$224),0),
IF('TL18'!$B$229=M$3,SUMIF('TL18'!$C$238:$C$451,$C27,'TL18'!$J$238:$J$451),0),
IF('TL19'!$B$3=M$3,SUMIF('TL19'!$C$10:$C$224,$C27,'TL19'!$J$10:$J$224),0),
IF('TL19'!$B$229=M$3,SUMIF('TL19'!$C$238:$C$451,$C27,'TL19'!$J$238:$J$451),0)
),0)</f>
        <v>0</v>
      </c>
      <c r="N27" s="9">
        <f>IFERROR(SUM(
IF('TL01'!$B$3=N$3,SUMIF('TL01'!$C$10:$C$224,$C27,'TL01'!$J$10:$J$224),0),
IF('TL01'!$B$229=N$3,SUMIF('TL01'!$C$238:$C$451,$C27,'TL01'!$J$238:$J$451),0),
IF('TL02'!$B$3=N$3,SUMIF('TL02'!$C$10:$C$224,$C27,'TL02'!$J$10:$J$224),0),
IF('TL02'!$B$229=N$3,SUMIF('TL02'!$C$238:$C$451,$C27,'TL02'!$J$238:$J$451),0),
IF('TL03'!$B$3=N$3,SUMIF('TL03'!$C$10:$C$224,$C27,'TL03'!$J$10:$J$224),0),
IF('TL03'!$B$229=N$3,SUMIF('TL03'!$C$238:$C$451,$C27,'TL03'!$J$238:$J$451),0),
IF('TL04'!$B$3=N$3,SUMIF('TL04'!$C$10:$C$224,$C27,'TL04'!$J$10:$J$224),0),
IF('TL04'!$B$229=N$3,SUMIF('TL04'!$C$238:$C$451,$C27,'TL04'!$J$238:$J$451),0),
IF('TL05'!$B$3=N$3,SUMIF('TL05'!$C$10:$C$224,$C27,'TL05'!$J$10:$J$224),0),
IF('TL05'!$B$229=N$3,SUMIF('TL05'!$C$238:$C$451,$C27,'TL05'!$J$238:$J$451),0),
IF('TL06'!$B$3=N$3,SUMIF('TL06'!$C$10:$C$224,$C27,'TL06'!$J$10:$J$224),0),
IF('TL06'!$B$229=N$3,SUMIF('TL06'!$C$238:$C$451,$C27,'TL06'!$J$238:$J$451),0),
IF('TL07'!$B$3=N$3,SUMIF('TL07'!$C$10:$C$224,$C27,'TL07'!$J$10:$J$224),0),
IF('TL07'!$B$229=N$3,SUMIF('TL07'!$C$238:$C$451,$C27,'TL07'!$J$238:$J$451),0),
IF('TL08'!$B$3=N$3,SUMIF('TL08'!$C$10:$C$224,$C27,'TL08'!$J$10:$J$224),0),
IF('TL08'!$B$229=N$3,SUMIF('TL08'!$C$238:$C$451,$C27,'TL08'!$J$238:$J$451),0),
IF('TL09'!$B$3=N$3,SUMIF('TL09'!$C$10:$C$224,$C27,'TL09'!$J$10:$J$224),0),
IF('TL09'!$B$229=N$3,SUMIF('TL09'!$C$238:$C$451,$C27,'TL09'!$J$238:$J$451),0),
IF('TL10'!$B$3=N$3,SUMIF('TL10'!$C$10:$C$224,$C27,'TL10'!$J$10:$J$224),0),
IF('TL10'!$B$229=N$3,SUMIF('TL10'!$C$238:$C$451,$C27,'TL10'!$J$238:$J$451),0),
IF('TL11'!$B$3=N$3,SUMIF('TL11'!$C$10:$C$224,$C27,'TL11'!$J$10:$J$224),0),
IF('TL11'!$B$229=N$3,SUMIF('TL11'!$C$238:$C$451,$C27,'TL11'!$J$238:$J$451),0),
IF('TL12'!$B$3=N$3,SUMIF('TL12'!$C$10:$C$224,$C27,'TL12'!$J$10:$J$224),0),
IF('TL12'!$B$229=N$3,SUMIF('TL12'!$C$238:$C$451,$C27,'TL12'!$J$238:$J$451),0),
IF('TL13'!$B$3=N$3,SUMIF('TL13'!$C$10:$C$224,$C27,'TL13'!$J$10:$J$224),0),
IF('TL13'!$B$229=N$3,SUMIF('TL13'!$C$238:$C$451,$C27,'TL13'!$J$238:$J$451),0),
IF('TL14'!$B$3=N$3,SUMIF('TL14'!$C$10:$C$224,$C27,'TL14'!$J$10:$J$224),0),
IF('TL14'!$B$229=N$3,SUMIF('TL14'!$C$238:$C$451,$C27,'TL14'!$J$238:$J$451),0),
IF('TL15'!$B$3=N$3,SUMIF('TL15'!$C$10:$C$224,$C27,'TL15'!$J$10:$J$224),0),
IF('TL15'!$B$229=N$3,SUMIF('TL15'!$C$238:$C$451,$C27,'TL15'!$J$238:$J$451),0),
IF('TL16'!$B$3=N$3,SUMIF('TL16'!$C$10:$C$224,$C27,'TL16'!$J$10:$J$224),0),
IF('TL16'!$B$229=N$3,SUMIF('TL16'!$C$238:$C$451,$C27,'TL16'!$J$238:$J$451),0),
IF('TL17'!$B$3=N$3,SUMIF('TL17'!$C$10:$C$224,$C27,'TL17'!$J$10:$J$224),0),
IF('TL17'!$B$229=N$3,SUMIF('TL17'!$C$238:$C$451,$C27,'TL17'!$J$238:$J$451),0),
IF('TL18'!$B$3=N$3,SUMIF('TL18'!$C$10:$C$224,$C27,'TL18'!$J$10:$J$224),0),
IF('TL18'!$B$229=N$3,SUMIF('TL18'!$C$238:$C$451,$C27,'TL18'!$J$238:$J$451),0),
IF('TL19'!$B$3=N$3,SUMIF('TL19'!$C$10:$C$224,$C27,'TL19'!$J$10:$J$224),0),
IF('TL19'!$B$229=N$3,SUMIF('TL19'!$C$238:$C$451,$C27,'TL19'!$J$238:$J$451),0)
),0)</f>
        <v>0</v>
      </c>
      <c r="O27" s="9">
        <f>IFERROR(SUM(
IF('TL01'!$B$3=O$3,SUMIF('TL01'!$C$10:$C$224,$C27,'TL01'!$J$10:$J$224),0),
IF('TL01'!$B$229=O$3,SUMIF('TL01'!$C$238:$C$451,$C27,'TL01'!$J$238:$J$451),0),
IF('TL02'!$B$3=O$3,SUMIF('TL02'!$C$10:$C$224,$C27,'TL02'!$J$10:$J$224),0),
IF('TL02'!$B$229=O$3,SUMIF('TL02'!$C$238:$C$451,$C27,'TL02'!$J$238:$J$451),0),
IF('TL03'!$B$3=O$3,SUMIF('TL03'!$C$10:$C$224,$C27,'TL03'!$J$10:$J$224),0),
IF('TL03'!$B$229=O$3,SUMIF('TL03'!$C$238:$C$451,$C27,'TL03'!$J$238:$J$451),0),
IF('TL04'!$B$3=O$3,SUMIF('TL04'!$C$10:$C$224,$C27,'TL04'!$J$10:$J$224),0),
IF('TL04'!$B$229=O$3,SUMIF('TL04'!$C$238:$C$451,$C27,'TL04'!$J$238:$J$451),0),
IF('TL05'!$B$3=O$3,SUMIF('TL05'!$C$10:$C$224,$C27,'TL05'!$J$10:$J$224),0),
IF('TL05'!$B$229=O$3,SUMIF('TL05'!$C$238:$C$451,$C27,'TL05'!$J$238:$J$451),0),
IF('TL06'!$B$3=O$3,SUMIF('TL06'!$C$10:$C$224,$C27,'TL06'!$J$10:$J$224),0),
IF('TL06'!$B$229=O$3,SUMIF('TL06'!$C$238:$C$451,$C27,'TL06'!$J$238:$J$451),0),
IF('TL07'!$B$3=O$3,SUMIF('TL07'!$C$10:$C$224,$C27,'TL07'!$J$10:$J$224),0),
IF('TL07'!$B$229=O$3,SUMIF('TL07'!$C$238:$C$451,$C27,'TL07'!$J$238:$J$451),0),
IF('TL08'!$B$3=O$3,SUMIF('TL08'!$C$10:$C$224,$C27,'TL08'!$J$10:$J$224),0),
IF('TL08'!$B$229=O$3,SUMIF('TL08'!$C$238:$C$451,$C27,'TL08'!$J$238:$J$451),0),
IF('TL09'!$B$3=O$3,SUMIF('TL09'!$C$10:$C$224,$C27,'TL09'!$J$10:$J$224),0),
IF('TL09'!$B$229=O$3,SUMIF('TL09'!$C$238:$C$451,$C27,'TL09'!$J$238:$J$451),0),
IF('TL10'!$B$3=O$3,SUMIF('TL10'!$C$10:$C$224,$C27,'TL10'!$J$10:$J$224),0),
IF('TL10'!$B$229=O$3,SUMIF('TL10'!$C$238:$C$451,$C27,'TL10'!$J$238:$J$451),0),
IF('TL11'!$B$3=O$3,SUMIF('TL11'!$C$10:$C$224,$C27,'TL11'!$J$10:$J$224),0),
IF('TL11'!$B$229=O$3,SUMIF('TL11'!$C$238:$C$451,$C27,'TL11'!$J$238:$J$451),0),
IF('TL12'!$B$3=O$3,SUMIF('TL12'!$C$10:$C$224,$C27,'TL12'!$J$10:$J$224),0),
IF('TL12'!$B$229=O$3,SUMIF('TL12'!$C$238:$C$451,$C27,'TL12'!$J$238:$J$451),0),
IF('TL13'!$B$3=O$3,SUMIF('TL13'!$C$10:$C$224,$C27,'TL13'!$J$10:$J$224),0),
IF('TL13'!$B$229=O$3,SUMIF('TL13'!$C$238:$C$451,$C27,'TL13'!$J$238:$J$451),0),
IF('TL14'!$B$3=O$3,SUMIF('TL14'!$C$10:$C$224,$C27,'TL14'!$J$10:$J$224),0),
IF('TL14'!$B$229=O$3,SUMIF('TL14'!$C$238:$C$451,$C27,'TL14'!$J$238:$J$451),0),
IF('TL15'!$B$3=O$3,SUMIF('TL15'!$C$10:$C$224,$C27,'TL15'!$J$10:$J$224),0),
IF('TL15'!$B$229=O$3,SUMIF('TL15'!$C$238:$C$451,$C27,'TL15'!$J$238:$J$451),0),
IF('TL16'!$B$3=O$3,SUMIF('TL16'!$C$10:$C$224,$C27,'TL16'!$J$10:$J$224),0),
IF('TL16'!$B$229=O$3,SUMIF('TL16'!$C$238:$C$451,$C27,'TL16'!$J$238:$J$451),0),
IF('TL17'!$B$3=O$3,SUMIF('TL17'!$C$10:$C$224,$C27,'TL17'!$J$10:$J$224),0),
IF('TL17'!$B$229=O$3,SUMIF('TL17'!$C$238:$C$451,$C27,'TL17'!$J$238:$J$451),0),
IF('TL18'!$B$3=O$3,SUMIF('TL18'!$C$10:$C$224,$C27,'TL18'!$J$10:$J$224),0),
IF('TL18'!$B$229=O$3,SUMIF('TL18'!$C$238:$C$451,$C27,'TL18'!$J$238:$J$451),0),
IF('TL19'!$B$3=O$3,SUMIF('TL19'!$C$10:$C$224,$C27,'TL19'!$J$10:$J$224),0),
IF('TL19'!$B$229=O$3,SUMIF('TL19'!$C$238:$C$451,$C27,'TL19'!$J$238:$J$451),0)
),0)</f>
        <v>0</v>
      </c>
      <c r="P27" s="9">
        <f>IFERROR(SUM(
IF('TL01'!$B$3=P$3,SUMIF('TL01'!$C$10:$C$224,$C27,'TL01'!$J$10:$J$224),0),
IF('TL01'!$B$229=P$3,SUMIF('TL01'!$C$238:$C$451,$C27,'TL01'!$J$238:$J$451),0),
IF('TL02'!$B$3=P$3,SUMIF('TL02'!$C$10:$C$224,$C27,'TL02'!$J$10:$J$224),0),
IF('TL02'!$B$229=P$3,SUMIF('TL02'!$C$238:$C$451,$C27,'TL02'!$J$238:$J$451),0),
IF('TL03'!$B$3=P$3,SUMIF('TL03'!$C$10:$C$224,$C27,'TL03'!$J$10:$J$224),0),
IF('TL03'!$B$229=P$3,SUMIF('TL03'!$C$238:$C$451,$C27,'TL03'!$J$238:$J$451),0),
IF('TL04'!$B$3=P$3,SUMIF('TL04'!$C$10:$C$224,$C27,'TL04'!$J$10:$J$224),0),
IF('TL04'!$B$229=P$3,SUMIF('TL04'!$C$238:$C$451,$C27,'TL04'!$J$238:$J$451),0),
IF('TL05'!$B$3=P$3,SUMIF('TL05'!$C$10:$C$224,$C27,'TL05'!$J$10:$J$224),0),
IF('TL05'!$B$229=P$3,SUMIF('TL05'!$C$238:$C$451,$C27,'TL05'!$J$238:$J$451),0),
IF('TL06'!$B$3=P$3,SUMIF('TL06'!$C$10:$C$224,$C27,'TL06'!$J$10:$J$224),0),
IF('TL06'!$B$229=P$3,SUMIF('TL06'!$C$238:$C$451,$C27,'TL06'!$J$238:$J$451),0),
IF('TL07'!$B$3=P$3,SUMIF('TL07'!$C$10:$C$224,$C27,'TL07'!$J$10:$J$224),0),
IF('TL07'!$B$229=P$3,SUMIF('TL07'!$C$238:$C$451,$C27,'TL07'!$J$238:$J$451),0),
IF('TL08'!$B$3=P$3,SUMIF('TL08'!$C$10:$C$224,$C27,'TL08'!$J$10:$J$224),0),
IF('TL08'!$B$229=P$3,SUMIF('TL08'!$C$238:$C$451,$C27,'TL08'!$J$238:$J$451),0),
IF('TL09'!$B$3=P$3,SUMIF('TL09'!$C$10:$C$224,$C27,'TL09'!$J$10:$J$224),0),
IF('TL09'!$B$229=P$3,SUMIF('TL09'!$C$238:$C$451,$C27,'TL09'!$J$238:$J$451),0),
IF('TL10'!$B$3=P$3,SUMIF('TL10'!$C$10:$C$224,$C27,'TL10'!$J$10:$J$224),0),
IF('TL10'!$B$229=P$3,SUMIF('TL10'!$C$238:$C$451,$C27,'TL10'!$J$238:$J$451),0),
IF('TL11'!$B$3=P$3,SUMIF('TL11'!$C$10:$C$224,$C27,'TL11'!$J$10:$J$224),0),
IF('TL11'!$B$229=P$3,SUMIF('TL11'!$C$238:$C$451,$C27,'TL11'!$J$238:$J$451),0),
IF('TL12'!$B$3=P$3,SUMIF('TL12'!$C$10:$C$224,$C27,'TL12'!$J$10:$J$224),0),
IF('TL12'!$B$229=P$3,SUMIF('TL12'!$C$238:$C$451,$C27,'TL12'!$J$238:$J$451),0),
IF('TL13'!$B$3=P$3,SUMIF('TL13'!$C$10:$C$224,$C27,'TL13'!$J$10:$J$224),0),
IF('TL13'!$B$229=P$3,SUMIF('TL13'!$C$238:$C$451,$C27,'TL13'!$J$238:$J$451),0),
IF('TL14'!$B$3=P$3,SUMIF('TL14'!$C$10:$C$224,$C27,'TL14'!$J$10:$J$224),0),
IF('TL14'!$B$229=P$3,SUMIF('TL14'!$C$238:$C$451,$C27,'TL14'!$J$238:$J$451),0),
IF('TL15'!$B$3=P$3,SUMIF('TL15'!$C$10:$C$224,$C27,'TL15'!$J$10:$J$224),0),
IF('TL15'!$B$229=P$3,SUMIF('TL15'!$C$238:$C$451,$C27,'TL15'!$J$238:$J$451),0),
IF('TL16'!$B$3=P$3,SUMIF('TL16'!$C$10:$C$224,$C27,'TL16'!$J$10:$J$224),0),
IF('TL16'!$B$229=P$3,SUMIF('TL16'!$C$238:$C$451,$C27,'TL16'!$J$238:$J$451),0),
IF('TL17'!$B$3=P$3,SUMIF('TL17'!$C$10:$C$224,$C27,'TL17'!$J$10:$J$224),0),
IF('TL17'!$B$229=P$3,SUMIF('TL17'!$C$238:$C$451,$C27,'TL17'!$J$238:$J$451),0),
IF('TL18'!$B$3=P$3,SUMIF('TL18'!$C$10:$C$224,$C27,'TL18'!$J$10:$J$224),0),
IF('TL18'!$B$229=P$3,SUMIF('TL18'!$C$238:$C$451,$C27,'TL18'!$J$238:$J$451),0),
IF('TL19'!$B$3=P$3,SUMIF('TL19'!$C$10:$C$224,$C27,'TL19'!$J$10:$J$224),0),
IF('TL19'!$B$229=P$3,SUMIF('TL19'!$C$238:$C$451,$C27,'TL19'!$J$238:$J$451),0)
),0)</f>
        <v>0</v>
      </c>
      <c r="Q27" s="9">
        <f>IFERROR(SUM(
IF('TL01'!$B$3=Q$3,SUMIF('TL01'!$C$10:$C$224,$C27,'TL01'!$J$10:$J$224),0),
IF('TL01'!$B$229=Q$3,SUMIF('TL01'!$C$238:$C$451,$C27,'TL01'!$J$238:$J$451),0),
IF('TL02'!$B$3=Q$3,SUMIF('TL02'!$C$10:$C$224,$C27,'TL02'!$J$10:$J$224),0),
IF('TL02'!$B$229=Q$3,SUMIF('TL02'!$C$238:$C$451,$C27,'TL02'!$J$238:$J$451),0),
IF('TL03'!$B$3=Q$3,SUMIF('TL03'!$C$10:$C$224,$C27,'TL03'!$J$10:$J$224),0),
IF('TL03'!$B$229=Q$3,SUMIF('TL03'!$C$238:$C$451,$C27,'TL03'!$J$238:$J$451),0),
IF('TL04'!$B$3=Q$3,SUMIF('TL04'!$C$10:$C$224,$C27,'TL04'!$J$10:$J$224),0),
IF('TL04'!$B$229=Q$3,SUMIF('TL04'!$C$238:$C$451,$C27,'TL04'!$J$238:$J$451),0),
IF('TL05'!$B$3=Q$3,SUMIF('TL05'!$C$10:$C$224,$C27,'TL05'!$J$10:$J$224),0),
IF('TL05'!$B$229=Q$3,SUMIF('TL05'!$C$238:$C$451,$C27,'TL05'!$J$238:$J$451),0),
IF('TL06'!$B$3=Q$3,SUMIF('TL06'!$C$10:$C$224,$C27,'TL06'!$J$10:$J$224),0),
IF('TL06'!$B$229=Q$3,SUMIF('TL06'!$C$238:$C$451,$C27,'TL06'!$J$238:$J$451),0),
IF('TL07'!$B$3=Q$3,SUMIF('TL07'!$C$10:$C$224,$C27,'TL07'!$J$10:$J$224),0),
IF('TL07'!$B$229=Q$3,SUMIF('TL07'!$C$238:$C$451,$C27,'TL07'!$J$238:$J$451),0),
IF('TL08'!$B$3=Q$3,SUMIF('TL08'!$C$10:$C$224,$C27,'TL08'!$J$10:$J$224),0),
IF('TL08'!$B$229=Q$3,SUMIF('TL08'!$C$238:$C$451,$C27,'TL08'!$J$238:$J$451),0),
IF('TL09'!$B$3=Q$3,SUMIF('TL09'!$C$10:$C$224,$C27,'TL09'!$J$10:$J$224),0),
IF('TL09'!$B$229=Q$3,SUMIF('TL09'!$C$238:$C$451,$C27,'TL09'!$J$238:$J$451),0),
IF('TL10'!$B$3=Q$3,SUMIF('TL10'!$C$10:$C$224,$C27,'TL10'!$J$10:$J$224),0),
IF('TL10'!$B$229=Q$3,SUMIF('TL10'!$C$238:$C$451,$C27,'TL10'!$J$238:$J$451),0),
IF('TL11'!$B$3=Q$3,SUMIF('TL11'!$C$10:$C$224,$C27,'TL11'!$J$10:$J$224),0),
IF('TL11'!$B$229=Q$3,SUMIF('TL11'!$C$238:$C$451,$C27,'TL11'!$J$238:$J$451),0),
IF('TL12'!$B$3=Q$3,SUMIF('TL12'!$C$10:$C$224,$C27,'TL12'!$J$10:$J$224),0),
IF('TL12'!$B$229=Q$3,SUMIF('TL12'!$C$238:$C$451,$C27,'TL12'!$J$238:$J$451),0),
IF('TL13'!$B$3=Q$3,SUMIF('TL13'!$C$10:$C$224,$C27,'TL13'!$J$10:$J$224),0),
IF('TL13'!$B$229=Q$3,SUMIF('TL13'!$C$238:$C$451,$C27,'TL13'!$J$238:$J$451),0),
IF('TL14'!$B$3=Q$3,SUMIF('TL14'!$C$10:$C$224,$C27,'TL14'!$J$10:$J$224),0),
IF('TL14'!$B$229=Q$3,SUMIF('TL14'!$C$238:$C$451,$C27,'TL14'!$J$238:$J$451),0),
IF('TL15'!$B$3=Q$3,SUMIF('TL15'!$C$10:$C$224,$C27,'TL15'!$J$10:$J$224),0),
IF('TL15'!$B$229=Q$3,SUMIF('TL15'!$C$238:$C$451,$C27,'TL15'!$J$238:$J$451),0),
IF('TL16'!$B$3=Q$3,SUMIF('TL16'!$C$10:$C$224,$C27,'TL16'!$J$10:$J$224),0),
IF('TL16'!$B$229=Q$3,SUMIF('TL16'!$C$238:$C$451,$C27,'TL16'!$J$238:$J$451),0),
IF('TL17'!$B$3=Q$3,SUMIF('TL17'!$C$10:$C$224,$C27,'TL17'!$J$10:$J$224),0),
IF('TL17'!$B$229=Q$3,SUMIF('TL17'!$C$238:$C$451,$C27,'TL17'!$J$238:$J$451),0),
IF('TL18'!$B$3=Q$3,SUMIF('TL18'!$C$10:$C$224,$C27,'TL18'!$J$10:$J$224),0),
IF('TL18'!$B$229=Q$3,SUMIF('TL18'!$C$238:$C$451,$C27,'TL18'!$J$238:$J$451),0),
IF('TL19'!$B$3=Q$3,SUMIF('TL19'!$C$10:$C$224,$C27,'TL19'!$J$10:$J$224),0),
IF('TL19'!$B$229=Q$3,SUMIF('TL19'!$C$238:$C$451,$C27,'TL19'!$J$238:$J$451),0)
),0)</f>
        <v>0</v>
      </c>
      <c r="R27" s="9">
        <f>IFERROR(
SUM(
SUMIF('TL01'!C:C,C27,'TL01'!J:J),
SUMIF('TL02'!C:C,C27,'TL02'!J:J),
SUMIF('TL03'!C:C,C27,'TL03'!J:J),
SUMIF('TL04'!C:C,C27,'TL04'!J:J),
SUMIF('TL05'!C:C,C27,'TL05'!J:J),
SUMIF('TL06'!C:C,C27,'TL06'!J:J),
SUMIF('TL07'!C:C,C27,'TL07'!J:J),
SUMIF('TL08'!C:C,C27,'TL08'!J:J),
SUMIF('TL09'!C:C,C27,'TL09'!J:J),
SUMIF('TL10'!C:C,C27,'TL10'!J:J),
SUMIF('TL11'!C:C,C27,'TL11'!J:J),
SUMIF('TL12'!C:C,C27,'TL12'!J:J),
SUMIF('TL13'!C:C,C27,'TL13'!J:J),
SUMIF('TL14'!C:C,C27,'TL14'!J:J),
SUMIF('TL15'!C:C,C27,'TL15'!J:J),
SUMIF('TL16'!C:C,C27,'TL16'!J:J),
SUMIF('TL17'!C:C,C27,'TL17'!J:J),
SUMIF('TL18'!C:C,C27,'TL18'!J:J),SUMIF('TL19'!C:C,C27,'TL19'!J:J))
,0)</f>
        <v>0</v>
      </c>
      <c r="S27" s="17" t="str">
        <f>IFERROR(__xludf.DUMMYFUNCTION("IFERROR(VLOOKUP(C27,
IMPORTRANGE(""1wULbzX32WdYsx-lj2U3uUNBBe2INVIRDtcK0d-Dvl90"",
""26-27!C:G""),
5,
FALSE),
"""")"),"")</f>
        <v/>
      </c>
      <c r="T27" s="9"/>
      <c r="U27" s="92">
        <f t="shared" si="2"/>
        <v>0</v>
      </c>
      <c r="V27" s="93">
        <f t="shared" si="3"/>
        <v>0</v>
      </c>
    </row>
    <row r="28" ht="22.5" hidden="1" customHeight="1">
      <c r="A28" s="101"/>
      <c r="B28" s="102" t="s">
        <v>7</v>
      </c>
      <c r="C28" s="103" t="s">
        <v>409</v>
      </c>
      <c r="D28" s="103" t="s">
        <v>410</v>
      </c>
      <c r="E28" s="104"/>
      <c r="F28" s="4" t="s">
        <v>399</v>
      </c>
      <c r="G28" s="9"/>
      <c r="H28" s="9" t="str">
        <f>IFERROR(__xludf.DUMMYFUNCTION("IFERROR(VLOOKUP(C28,
IMPORTRANGE(""1wULbzX32WdYsx-lj2U3uUNBBe2INVIRDtcK0d-Dvl90"",
""26-27!C:K""),
8,
FALSE),
"""")"),"")</f>
        <v/>
      </c>
      <c r="I28" s="105"/>
      <c r="J28" s="9">
        <f>IFERROR(SUM(
IF('TL01'!$B$3=J$3,SUMIF('TL01'!$C$10:$C$224,$C28,'TL01'!$J$10:$J$224),0),
IF('TL01'!$B$229=J$3,SUMIF('TL01'!$C$238:$C$451,$C28,'TL01'!$J$238:$J$451),0),
IF('TL02'!$B$3=J$3,SUMIF('TL02'!$C$10:$C$224,$C28,'TL02'!$J$10:$J$224),0),
IF('TL02'!$B$229=J$3,SUMIF('TL02'!$C$238:$C$451,$C28,'TL02'!$J$238:$J$451),0),
IF('TL03'!$B$3=J$3,SUMIF('TL03'!$C$10:$C$224,$C28,'TL03'!$J$10:$J$224),0),
IF('TL03'!$B$229=J$3,SUMIF('TL03'!$C$238:$C$451,$C28,'TL03'!$J$238:$J$451),0),
IF('TL04'!$B$3=J$3,SUMIF('TL04'!$C$10:$C$224,$C28,'TL04'!$J$10:$J$224),0),
IF('TL04'!$B$229=J$3,SUMIF('TL04'!$C$238:$C$451,$C28,'TL04'!$J$238:$J$451),0),
IF('TL05'!$B$3=J$3,SUMIF('TL05'!$C$10:$C$224,$C28,'TL05'!$J$10:$J$224),0),
IF('TL05'!$B$229=J$3,SUMIF('TL05'!$C$238:$C$451,$C28,'TL05'!$J$238:$J$451),0),
IF('TL06'!$B$3=J$3,SUMIF('TL06'!$C$10:$C$224,$C28,'TL06'!$J$10:$J$224),0),
IF('TL06'!$B$229=J$3,SUMIF('TL06'!$C$238:$C$451,$C28,'TL06'!$J$238:$J$451),0),
IF('TL07'!$B$3=J$3,SUMIF('TL07'!$C$10:$C$224,$C28,'TL07'!$J$10:$J$224),0),
IF('TL07'!$B$229=J$3,SUMIF('TL07'!$C$238:$C$451,$C28,'TL07'!$J$238:$J$451),0),
IF('TL08'!$B$3=J$3,SUMIF('TL08'!$C$10:$C$224,$C28,'TL08'!$J$10:$J$224),0),
IF('TL08'!$B$229=J$3,SUMIF('TL08'!$C$238:$C$451,$C28,'TL08'!$J$238:$J$451),0),
IF('TL09'!$B$3=J$3,SUMIF('TL09'!$C$10:$C$224,$C28,'TL09'!$J$10:$J$224),0),
IF('TL09'!$B$229=J$3,SUMIF('TL09'!$C$238:$C$451,$C28,'TL09'!$J$238:$J$451),0),
IF('TL10'!$B$3=J$3,SUMIF('TL10'!$C$10:$C$224,$C28,'TL10'!$J$10:$J$224),0),
IF('TL10'!$B$229=J$3,SUMIF('TL10'!$C$238:$C$451,$C28,'TL10'!$J$238:$J$451),0),
IF('TL11'!$B$3=J$3,SUMIF('TL11'!$C$10:$C$224,$C28,'TL11'!$J$10:$J$224),0),
IF('TL11'!$B$229=J$3,SUMIF('TL11'!$C$238:$C$451,$C28,'TL11'!$J$238:$J$451),0),
IF('TL12'!$B$3=J$3,SUMIF('TL12'!$C$10:$C$224,$C28,'TL12'!$J$10:$J$224),0),
IF('TL12'!$B$229=J$3,SUMIF('TL12'!$C$238:$C$451,$C28,'TL12'!$J$238:$J$451),0),
IF('TL13'!$B$3=J$3,SUMIF('TL13'!$C$10:$C$224,$C28,'TL13'!$J$10:$J$224),0),
IF('TL13'!$B$229=J$3,SUMIF('TL13'!$C$238:$C$451,$C28,'TL13'!$J$238:$J$451),0),
IF('TL14'!$B$3=J$3,SUMIF('TL14'!$C$10:$C$224,$C28,'TL14'!$J$10:$J$224),0),
IF('TL14'!$B$229=J$3,SUMIF('TL14'!$C$238:$C$451,$C28,'TL14'!$J$238:$J$451),0),
IF('TL15'!$B$3=J$3,SUMIF('TL15'!$C$10:$C$224,$C28,'TL15'!$J$10:$J$224),0),
IF('TL15'!$B$229=J$3,SUMIF('TL15'!$C$238:$C$451,$C28,'TL15'!$J$238:$J$451),0),
IF('TL16'!$B$3=J$3,SUMIF('TL16'!$C$10:$C$224,$C28,'TL16'!$J$10:$J$224),0),
IF('TL16'!$B$229=J$3,SUMIF('TL16'!$C$238:$C$451,$C28,'TL16'!$J$238:$J$451),0),
IF('TL17'!$B$3=J$3,SUMIF('TL17'!$C$10:$C$224,$C28,'TL17'!$J$10:$J$224),0),
IF('TL17'!$B$229=J$3,SUMIF('TL17'!$C$238:$C$451,$C28,'TL17'!$J$238:$J$451),0),
IF('TL18'!$B$3=J$3,SUMIF('TL18'!$C$10:$C$224,$C28,'TL18'!$J$10:$J$224),0),
IF('TL18'!$B$229=J$3,SUMIF('TL18'!$C$238:$C$451,$C28,'TL18'!$J$238:$J$451),0),
IF('TL19'!$B$3=J$3,SUMIF('TL19'!$C$10:$C$224,$C28,'TL19'!$J$10:$J$224),0),
IF('TL19'!$B$229=J$3,SUMIF('TL19'!$C$238:$C$451,$C28,'TL19'!$J$238:$J$451),0)
),0)</f>
        <v>0</v>
      </c>
      <c r="K28" s="9">
        <f>IFERROR(SUM(
IF('TL01'!$B$3=K$3,SUMIF('TL01'!$C$10:$C$224,$C28,'TL01'!$J$10:$J$224),0),
IF('TL01'!$B$229=K$3,SUMIF('TL01'!$C$238:$C$451,$C28,'TL01'!$J$238:$J$451),0),
IF('TL02'!$B$3=K$3,SUMIF('TL02'!$C$10:$C$224,$C28,'TL02'!$J$10:$J$224),0),
IF('TL02'!$B$229=K$3,SUMIF('TL02'!$C$238:$C$451,$C28,'TL02'!$J$238:$J$451),0),
IF('TL03'!$B$3=K$3,SUMIF('TL03'!$C$10:$C$224,$C28,'TL03'!$J$10:$J$224),0),
IF('TL03'!$B$229=K$3,SUMIF('TL03'!$C$238:$C$451,$C28,'TL03'!$J$238:$J$451),0),
IF('TL04'!$B$3=K$3,SUMIF('TL04'!$C$10:$C$224,$C28,'TL04'!$J$10:$J$224),0),
IF('TL04'!$B$229=K$3,SUMIF('TL04'!$C$238:$C$451,$C28,'TL04'!$J$238:$J$451),0),
IF('TL05'!$B$3=K$3,SUMIF('TL05'!$C$10:$C$224,$C28,'TL05'!$J$10:$J$224),0),
IF('TL05'!$B$229=K$3,SUMIF('TL05'!$C$238:$C$451,$C28,'TL05'!$J$238:$J$451),0),
IF('TL06'!$B$3=K$3,SUMIF('TL06'!$C$10:$C$224,$C28,'TL06'!$J$10:$J$224),0),
IF('TL06'!$B$229=K$3,SUMIF('TL06'!$C$238:$C$451,$C28,'TL06'!$J$238:$J$451),0),
IF('TL07'!$B$3=K$3,SUMIF('TL07'!$C$10:$C$224,$C28,'TL07'!$J$10:$J$224),0),
IF('TL07'!$B$229=K$3,SUMIF('TL07'!$C$238:$C$451,$C28,'TL07'!$J$238:$J$451),0),
IF('TL08'!$B$3=K$3,SUMIF('TL08'!$C$10:$C$224,$C28,'TL08'!$J$10:$J$224),0),
IF('TL08'!$B$229=K$3,SUMIF('TL08'!$C$238:$C$451,$C28,'TL08'!$J$238:$J$451),0),
IF('TL09'!$B$3=K$3,SUMIF('TL09'!$C$10:$C$224,$C28,'TL09'!$J$10:$J$224),0),
IF('TL09'!$B$229=K$3,SUMIF('TL09'!$C$238:$C$451,$C28,'TL09'!$J$238:$J$451),0),
IF('TL10'!$B$3=K$3,SUMIF('TL10'!$C$10:$C$224,$C28,'TL10'!$J$10:$J$224),0),
IF('TL10'!$B$229=K$3,SUMIF('TL10'!$C$238:$C$451,$C28,'TL10'!$J$238:$J$451),0),
IF('TL11'!$B$3=K$3,SUMIF('TL11'!$C$10:$C$224,$C28,'TL11'!$J$10:$J$224),0),
IF('TL11'!$B$229=K$3,SUMIF('TL11'!$C$238:$C$451,$C28,'TL11'!$J$238:$J$451),0),
IF('TL12'!$B$3=K$3,SUMIF('TL12'!$C$10:$C$224,$C28,'TL12'!$J$10:$J$224),0),
IF('TL12'!$B$229=K$3,SUMIF('TL12'!$C$238:$C$451,$C28,'TL12'!$J$238:$J$451),0),
IF('TL13'!$B$3=K$3,SUMIF('TL13'!$C$10:$C$224,$C28,'TL13'!$J$10:$J$224),0),
IF('TL13'!$B$229=K$3,SUMIF('TL13'!$C$238:$C$451,$C28,'TL13'!$J$238:$J$451),0),
IF('TL14'!$B$3=K$3,SUMIF('TL14'!$C$10:$C$224,$C28,'TL14'!$J$10:$J$224),0),
IF('TL14'!$B$229=K$3,SUMIF('TL14'!$C$238:$C$451,$C28,'TL14'!$J$238:$J$451),0),
IF('TL15'!$B$3=K$3,SUMIF('TL15'!$C$10:$C$224,$C28,'TL15'!$J$10:$J$224),0),
IF('TL15'!$B$229=K$3,SUMIF('TL15'!$C$238:$C$451,$C28,'TL15'!$J$238:$J$451),0),
IF('TL16'!$B$3=K$3,SUMIF('TL16'!$C$10:$C$224,$C28,'TL16'!$J$10:$J$224),0),
IF('TL16'!$B$229=K$3,SUMIF('TL16'!$C$238:$C$451,$C28,'TL16'!$J$238:$J$451),0),
IF('TL17'!$B$3=K$3,SUMIF('TL17'!$C$10:$C$224,$C28,'TL17'!$J$10:$J$224),0),
IF('TL17'!$B$229=K$3,SUMIF('TL17'!$C$238:$C$451,$C28,'TL17'!$J$238:$J$451),0),
IF('TL18'!$B$3=K$3,SUMIF('TL18'!$C$10:$C$224,$C28,'TL18'!$J$10:$J$224),0),
IF('TL18'!$B$229=K$3,SUMIF('TL18'!$C$238:$C$451,$C28,'TL18'!$J$238:$J$451),0),
IF('TL19'!$B$3=K$3,SUMIF('TL19'!$C$10:$C$224,$C28,'TL19'!$J$10:$J$224),0),
IF('TL19'!$B$229=K$3,SUMIF('TL19'!$C$238:$C$451,$C28,'TL19'!$J$238:$J$451),0)
),0)</f>
        <v>0</v>
      </c>
      <c r="L28" s="9">
        <f>IFERROR(SUM(
IF('TL01'!$B$3=L$3,SUMIF('TL01'!$C$10:$C$224,$C28,'TL01'!$J$10:$J$224),0),
IF('TL01'!$B$229=L$3,SUMIF('TL01'!$C$238:$C$451,$C28,'TL01'!$J$238:$J$451),0),
IF('TL02'!$B$3=L$3,SUMIF('TL02'!$C$10:$C$224,$C28,'TL02'!$J$10:$J$224),0),
IF('TL02'!$B$229=L$3,SUMIF('TL02'!$C$238:$C$451,$C28,'TL02'!$J$238:$J$451),0),
IF('TL03'!$B$3=L$3,SUMIF('TL03'!$C$10:$C$224,$C28,'TL03'!$J$10:$J$224),0),
IF('TL03'!$B$229=L$3,SUMIF('TL03'!$C$238:$C$451,$C28,'TL03'!$J$238:$J$451),0),
IF('TL04'!$B$3=L$3,SUMIF('TL04'!$C$10:$C$224,$C28,'TL04'!$J$10:$J$224),0),
IF('TL04'!$B$229=L$3,SUMIF('TL04'!$C$238:$C$451,$C28,'TL04'!$J$238:$J$451),0),
IF('TL05'!$B$3=L$3,SUMIF('TL05'!$C$10:$C$224,$C28,'TL05'!$J$10:$J$224),0),
IF('TL05'!$B$229=L$3,SUMIF('TL05'!$C$238:$C$451,$C28,'TL05'!$J$238:$J$451),0),
IF('TL06'!$B$3=L$3,SUMIF('TL06'!$C$10:$C$224,$C28,'TL06'!$J$10:$J$224),0),
IF('TL06'!$B$229=L$3,SUMIF('TL06'!$C$238:$C$451,$C28,'TL06'!$J$238:$J$451),0),
IF('TL07'!$B$3=L$3,SUMIF('TL07'!$C$10:$C$224,$C28,'TL07'!$J$10:$J$224),0),
IF('TL07'!$B$229=L$3,SUMIF('TL07'!$C$238:$C$451,$C28,'TL07'!$J$238:$J$451),0),
IF('TL08'!$B$3=L$3,SUMIF('TL08'!$C$10:$C$224,$C28,'TL08'!$J$10:$J$224),0),
IF('TL08'!$B$229=L$3,SUMIF('TL08'!$C$238:$C$451,$C28,'TL08'!$J$238:$J$451),0),
IF('TL09'!$B$3=L$3,SUMIF('TL09'!$C$10:$C$224,$C28,'TL09'!$J$10:$J$224),0),
IF('TL09'!$B$229=L$3,SUMIF('TL09'!$C$238:$C$451,$C28,'TL09'!$J$238:$J$451),0),
IF('TL10'!$B$3=L$3,SUMIF('TL10'!$C$10:$C$224,$C28,'TL10'!$J$10:$J$224),0),
IF('TL10'!$B$229=L$3,SUMIF('TL10'!$C$238:$C$451,$C28,'TL10'!$J$238:$J$451),0),
IF('TL11'!$B$3=L$3,SUMIF('TL11'!$C$10:$C$224,$C28,'TL11'!$J$10:$J$224),0),
IF('TL11'!$B$229=L$3,SUMIF('TL11'!$C$238:$C$451,$C28,'TL11'!$J$238:$J$451),0),
IF('TL12'!$B$3=L$3,SUMIF('TL12'!$C$10:$C$224,$C28,'TL12'!$J$10:$J$224),0),
IF('TL12'!$B$229=L$3,SUMIF('TL12'!$C$238:$C$451,$C28,'TL12'!$J$238:$J$451),0),
IF('TL13'!$B$3=L$3,SUMIF('TL13'!$C$10:$C$224,$C28,'TL13'!$J$10:$J$224),0),
IF('TL13'!$B$229=L$3,SUMIF('TL13'!$C$238:$C$451,$C28,'TL13'!$J$238:$J$451),0),
IF('TL14'!$B$3=L$3,SUMIF('TL14'!$C$10:$C$224,$C28,'TL14'!$J$10:$J$224),0),
IF('TL14'!$B$229=L$3,SUMIF('TL14'!$C$238:$C$451,$C28,'TL14'!$J$238:$J$451),0),
IF('TL15'!$B$3=L$3,SUMIF('TL15'!$C$10:$C$224,$C28,'TL15'!$J$10:$J$224),0),
IF('TL15'!$B$229=L$3,SUMIF('TL15'!$C$238:$C$451,$C28,'TL15'!$J$238:$J$451),0),
IF('TL16'!$B$3=L$3,SUMIF('TL16'!$C$10:$C$224,$C28,'TL16'!$J$10:$J$224),0),
IF('TL16'!$B$229=L$3,SUMIF('TL16'!$C$238:$C$451,$C28,'TL16'!$J$238:$J$451),0),
IF('TL17'!$B$3=L$3,SUMIF('TL17'!$C$10:$C$224,$C28,'TL17'!$J$10:$J$224),0),
IF('TL17'!$B$229=L$3,SUMIF('TL17'!$C$238:$C$451,$C28,'TL17'!$J$238:$J$451),0),
IF('TL18'!$B$3=L$3,SUMIF('TL18'!$C$10:$C$224,$C28,'TL18'!$J$10:$J$224),0),
IF('TL18'!$B$229=L$3,SUMIF('TL18'!$C$238:$C$451,$C28,'TL18'!$J$238:$J$451),0),
IF('TL19'!$B$3=L$3,SUMIF('TL19'!$C$10:$C$224,$C28,'TL19'!$J$10:$J$224),0),
IF('TL19'!$B$229=L$3,SUMIF('TL19'!$C$238:$C$451,$C28,'TL19'!$J$238:$J$451),0)
),0)</f>
        <v>0</v>
      </c>
      <c r="M28" s="9">
        <f>IFERROR(SUM(
IF('TL01'!$B$3=M$3,SUMIF('TL01'!$C$10:$C$224,$C28,'TL01'!$J$10:$J$224),0),
IF('TL01'!$B$229=M$3,SUMIF('TL01'!$C$238:$C$451,$C28,'TL01'!$J$238:$J$451),0),
IF('TL02'!$B$3=M$3,SUMIF('TL02'!$C$10:$C$224,$C28,'TL02'!$J$10:$J$224),0),
IF('TL02'!$B$229=M$3,SUMIF('TL02'!$C$238:$C$451,$C28,'TL02'!$J$238:$J$451),0),
IF('TL03'!$B$3=M$3,SUMIF('TL03'!$C$10:$C$224,$C28,'TL03'!$J$10:$J$224),0),
IF('TL03'!$B$229=M$3,SUMIF('TL03'!$C$238:$C$451,$C28,'TL03'!$J$238:$J$451),0),
IF('TL04'!$B$3=M$3,SUMIF('TL04'!$C$10:$C$224,$C28,'TL04'!$J$10:$J$224),0),
IF('TL04'!$B$229=M$3,SUMIF('TL04'!$C$238:$C$451,$C28,'TL04'!$J$238:$J$451),0),
IF('TL05'!$B$3=M$3,SUMIF('TL05'!$C$10:$C$224,$C28,'TL05'!$J$10:$J$224),0),
IF('TL05'!$B$229=M$3,SUMIF('TL05'!$C$238:$C$451,$C28,'TL05'!$J$238:$J$451),0),
IF('TL06'!$B$3=M$3,SUMIF('TL06'!$C$10:$C$224,$C28,'TL06'!$J$10:$J$224),0),
IF('TL06'!$B$229=M$3,SUMIF('TL06'!$C$238:$C$451,$C28,'TL06'!$J$238:$J$451),0),
IF('TL07'!$B$3=M$3,SUMIF('TL07'!$C$10:$C$224,$C28,'TL07'!$J$10:$J$224),0),
IF('TL07'!$B$229=M$3,SUMIF('TL07'!$C$238:$C$451,$C28,'TL07'!$J$238:$J$451),0),
IF('TL08'!$B$3=M$3,SUMIF('TL08'!$C$10:$C$224,$C28,'TL08'!$J$10:$J$224),0),
IF('TL08'!$B$229=M$3,SUMIF('TL08'!$C$238:$C$451,$C28,'TL08'!$J$238:$J$451),0),
IF('TL09'!$B$3=M$3,SUMIF('TL09'!$C$10:$C$224,$C28,'TL09'!$J$10:$J$224),0),
IF('TL09'!$B$229=M$3,SUMIF('TL09'!$C$238:$C$451,$C28,'TL09'!$J$238:$J$451),0),
IF('TL10'!$B$3=M$3,SUMIF('TL10'!$C$10:$C$224,$C28,'TL10'!$J$10:$J$224),0),
IF('TL10'!$B$229=M$3,SUMIF('TL10'!$C$238:$C$451,$C28,'TL10'!$J$238:$J$451),0),
IF('TL11'!$B$3=M$3,SUMIF('TL11'!$C$10:$C$224,$C28,'TL11'!$J$10:$J$224),0),
IF('TL11'!$B$229=M$3,SUMIF('TL11'!$C$238:$C$451,$C28,'TL11'!$J$238:$J$451),0),
IF('TL12'!$B$3=M$3,SUMIF('TL12'!$C$10:$C$224,$C28,'TL12'!$J$10:$J$224),0),
IF('TL12'!$B$229=M$3,SUMIF('TL12'!$C$238:$C$451,$C28,'TL12'!$J$238:$J$451),0),
IF('TL13'!$B$3=M$3,SUMIF('TL13'!$C$10:$C$224,$C28,'TL13'!$J$10:$J$224),0),
IF('TL13'!$B$229=M$3,SUMIF('TL13'!$C$238:$C$451,$C28,'TL13'!$J$238:$J$451),0),
IF('TL14'!$B$3=M$3,SUMIF('TL14'!$C$10:$C$224,$C28,'TL14'!$J$10:$J$224),0),
IF('TL14'!$B$229=M$3,SUMIF('TL14'!$C$238:$C$451,$C28,'TL14'!$J$238:$J$451),0),
IF('TL15'!$B$3=M$3,SUMIF('TL15'!$C$10:$C$224,$C28,'TL15'!$J$10:$J$224),0),
IF('TL15'!$B$229=M$3,SUMIF('TL15'!$C$238:$C$451,$C28,'TL15'!$J$238:$J$451),0),
IF('TL16'!$B$3=M$3,SUMIF('TL16'!$C$10:$C$224,$C28,'TL16'!$J$10:$J$224),0),
IF('TL16'!$B$229=M$3,SUMIF('TL16'!$C$238:$C$451,$C28,'TL16'!$J$238:$J$451),0),
IF('TL17'!$B$3=M$3,SUMIF('TL17'!$C$10:$C$224,$C28,'TL17'!$J$10:$J$224),0),
IF('TL17'!$B$229=M$3,SUMIF('TL17'!$C$238:$C$451,$C28,'TL17'!$J$238:$J$451),0),
IF('TL18'!$B$3=M$3,SUMIF('TL18'!$C$10:$C$224,$C28,'TL18'!$J$10:$J$224),0),
IF('TL18'!$B$229=M$3,SUMIF('TL18'!$C$238:$C$451,$C28,'TL18'!$J$238:$J$451),0),
IF('TL19'!$B$3=M$3,SUMIF('TL19'!$C$10:$C$224,$C28,'TL19'!$J$10:$J$224),0),
IF('TL19'!$B$229=M$3,SUMIF('TL19'!$C$238:$C$451,$C28,'TL19'!$J$238:$J$451),0)
),0)</f>
        <v>40</v>
      </c>
      <c r="N28" s="9">
        <f>IFERROR(SUM(
IF('TL01'!$B$3=N$3,SUMIF('TL01'!$C$10:$C$224,$C28,'TL01'!$J$10:$J$224),0),
IF('TL01'!$B$229=N$3,SUMIF('TL01'!$C$238:$C$451,$C28,'TL01'!$J$238:$J$451),0),
IF('TL02'!$B$3=N$3,SUMIF('TL02'!$C$10:$C$224,$C28,'TL02'!$J$10:$J$224),0),
IF('TL02'!$B$229=N$3,SUMIF('TL02'!$C$238:$C$451,$C28,'TL02'!$J$238:$J$451),0),
IF('TL03'!$B$3=N$3,SUMIF('TL03'!$C$10:$C$224,$C28,'TL03'!$J$10:$J$224),0),
IF('TL03'!$B$229=N$3,SUMIF('TL03'!$C$238:$C$451,$C28,'TL03'!$J$238:$J$451),0),
IF('TL04'!$B$3=N$3,SUMIF('TL04'!$C$10:$C$224,$C28,'TL04'!$J$10:$J$224),0),
IF('TL04'!$B$229=N$3,SUMIF('TL04'!$C$238:$C$451,$C28,'TL04'!$J$238:$J$451),0),
IF('TL05'!$B$3=N$3,SUMIF('TL05'!$C$10:$C$224,$C28,'TL05'!$J$10:$J$224),0),
IF('TL05'!$B$229=N$3,SUMIF('TL05'!$C$238:$C$451,$C28,'TL05'!$J$238:$J$451),0),
IF('TL06'!$B$3=N$3,SUMIF('TL06'!$C$10:$C$224,$C28,'TL06'!$J$10:$J$224),0),
IF('TL06'!$B$229=N$3,SUMIF('TL06'!$C$238:$C$451,$C28,'TL06'!$J$238:$J$451),0),
IF('TL07'!$B$3=N$3,SUMIF('TL07'!$C$10:$C$224,$C28,'TL07'!$J$10:$J$224),0),
IF('TL07'!$B$229=N$3,SUMIF('TL07'!$C$238:$C$451,$C28,'TL07'!$J$238:$J$451),0),
IF('TL08'!$B$3=N$3,SUMIF('TL08'!$C$10:$C$224,$C28,'TL08'!$J$10:$J$224),0),
IF('TL08'!$B$229=N$3,SUMIF('TL08'!$C$238:$C$451,$C28,'TL08'!$J$238:$J$451),0),
IF('TL09'!$B$3=N$3,SUMIF('TL09'!$C$10:$C$224,$C28,'TL09'!$J$10:$J$224),0),
IF('TL09'!$B$229=N$3,SUMIF('TL09'!$C$238:$C$451,$C28,'TL09'!$J$238:$J$451),0),
IF('TL10'!$B$3=N$3,SUMIF('TL10'!$C$10:$C$224,$C28,'TL10'!$J$10:$J$224),0),
IF('TL10'!$B$229=N$3,SUMIF('TL10'!$C$238:$C$451,$C28,'TL10'!$J$238:$J$451),0),
IF('TL11'!$B$3=N$3,SUMIF('TL11'!$C$10:$C$224,$C28,'TL11'!$J$10:$J$224),0),
IF('TL11'!$B$229=N$3,SUMIF('TL11'!$C$238:$C$451,$C28,'TL11'!$J$238:$J$451),0),
IF('TL12'!$B$3=N$3,SUMIF('TL12'!$C$10:$C$224,$C28,'TL12'!$J$10:$J$224),0),
IF('TL12'!$B$229=N$3,SUMIF('TL12'!$C$238:$C$451,$C28,'TL12'!$J$238:$J$451),0),
IF('TL13'!$B$3=N$3,SUMIF('TL13'!$C$10:$C$224,$C28,'TL13'!$J$10:$J$224),0),
IF('TL13'!$B$229=N$3,SUMIF('TL13'!$C$238:$C$451,$C28,'TL13'!$J$238:$J$451),0),
IF('TL14'!$B$3=N$3,SUMIF('TL14'!$C$10:$C$224,$C28,'TL14'!$J$10:$J$224),0),
IF('TL14'!$B$229=N$3,SUMIF('TL14'!$C$238:$C$451,$C28,'TL14'!$J$238:$J$451),0),
IF('TL15'!$B$3=N$3,SUMIF('TL15'!$C$10:$C$224,$C28,'TL15'!$J$10:$J$224),0),
IF('TL15'!$B$229=N$3,SUMIF('TL15'!$C$238:$C$451,$C28,'TL15'!$J$238:$J$451),0),
IF('TL16'!$B$3=N$3,SUMIF('TL16'!$C$10:$C$224,$C28,'TL16'!$J$10:$J$224),0),
IF('TL16'!$B$229=N$3,SUMIF('TL16'!$C$238:$C$451,$C28,'TL16'!$J$238:$J$451),0),
IF('TL17'!$B$3=N$3,SUMIF('TL17'!$C$10:$C$224,$C28,'TL17'!$J$10:$J$224),0),
IF('TL17'!$B$229=N$3,SUMIF('TL17'!$C$238:$C$451,$C28,'TL17'!$J$238:$J$451),0),
IF('TL18'!$B$3=N$3,SUMIF('TL18'!$C$10:$C$224,$C28,'TL18'!$J$10:$J$224),0),
IF('TL18'!$B$229=N$3,SUMIF('TL18'!$C$238:$C$451,$C28,'TL18'!$J$238:$J$451),0),
IF('TL19'!$B$3=N$3,SUMIF('TL19'!$C$10:$C$224,$C28,'TL19'!$J$10:$J$224),0),
IF('TL19'!$B$229=N$3,SUMIF('TL19'!$C$238:$C$451,$C28,'TL19'!$J$238:$J$451),0)
),0)</f>
        <v>0</v>
      </c>
      <c r="O28" s="9">
        <f>IFERROR(SUM(
IF('TL01'!$B$3=O$3,SUMIF('TL01'!$C$10:$C$224,$C28,'TL01'!$J$10:$J$224),0),
IF('TL01'!$B$229=O$3,SUMIF('TL01'!$C$238:$C$451,$C28,'TL01'!$J$238:$J$451),0),
IF('TL02'!$B$3=O$3,SUMIF('TL02'!$C$10:$C$224,$C28,'TL02'!$J$10:$J$224),0),
IF('TL02'!$B$229=O$3,SUMIF('TL02'!$C$238:$C$451,$C28,'TL02'!$J$238:$J$451),0),
IF('TL03'!$B$3=O$3,SUMIF('TL03'!$C$10:$C$224,$C28,'TL03'!$J$10:$J$224),0),
IF('TL03'!$B$229=O$3,SUMIF('TL03'!$C$238:$C$451,$C28,'TL03'!$J$238:$J$451),0),
IF('TL04'!$B$3=O$3,SUMIF('TL04'!$C$10:$C$224,$C28,'TL04'!$J$10:$J$224),0),
IF('TL04'!$B$229=O$3,SUMIF('TL04'!$C$238:$C$451,$C28,'TL04'!$J$238:$J$451),0),
IF('TL05'!$B$3=O$3,SUMIF('TL05'!$C$10:$C$224,$C28,'TL05'!$J$10:$J$224),0),
IF('TL05'!$B$229=O$3,SUMIF('TL05'!$C$238:$C$451,$C28,'TL05'!$J$238:$J$451),0),
IF('TL06'!$B$3=O$3,SUMIF('TL06'!$C$10:$C$224,$C28,'TL06'!$J$10:$J$224),0),
IF('TL06'!$B$229=O$3,SUMIF('TL06'!$C$238:$C$451,$C28,'TL06'!$J$238:$J$451),0),
IF('TL07'!$B$3=O$3,SUMIF('TL07'!$C$10:$C$224,$C28,'TL07'!$J$10:$J$224),0),
IF('TL07'!$B$229=O$3,SUMIF('TL07'!$C$238:$C$451,$C28,'TL07'!$J$238:$J$451),0),
IF('TL08'!$B$3=O$3,SUMIF('TL08'!$C$10:$C$224,$C28,'TL08'!$J$10:$J$224),0),
IF('TL08'!$B$229=O$3,SUMIF('TL08'!$C$238:$C$451,$C28,'TL08'!$J$238:$J$451),0),
IF('TL09'!$B$3=O$3,SUMIF('TL09'!$C$10:$C$224,$C28,'TL09'!$J$10:$J$224),0),
IF('TL09'!$B$229=O$3,SUMIF('TL09'!$C$238:$C$451,$C28,'TL09'!$J$238:$J$451),0),
IF('TL10'!$B$3=O$3,SUMIF('TL10'!$C$10:$C$224,$C28,'TL10'!$J$10:$J$224),0),
IF('TL10'!$B$229=O$3,SUMIF('TL10'!$C$238:$C$451,$C28,'TL10'!$J$238:$J$451),0),
IF('TL11'!$B$3=O$3,SUMIF('TL11'!$C$10:$C$224,$C28,'TL11'!$J$10:$J$224),0),
IF('TL11'!$B$229=O$3,SUMIF('TL11'!$C$238:$C$451,$C28,'TL11'!$J$238:$J$451),0),
IF('TL12'!$B$3=O$3,SUMIF('TL12'!$C$10:$C$224,$C28,'TL12'!$J$10:$J$224),0),
IF('TL12'!$B$229=O$3,SUMIF('TL12'!$C$238:$C$451,$C28,'TL12'!$J$238:$J$451),0),
IF('TL13'!$B$3=O$3,SUMIF('TL13'!$C$10:$C$224,$C28,'TL13'!$J$10:$J$224),0),
IF('TL13'!$B$229=O$3,SUMIF('TL13'!$C$238:$C$451,$C28,'TL13'!$J$238:$J$451),0),
IF('TL14'!$B$3=O$3,SUMIF('TL14'!$C$10:$C$224,$C28,'TL14'!$J$10:$J$224),0),
IF('TL14'!$B$229=O$3,SUMIF('TL14'!$C$238:$C$451,$C28,'TL14'!$J$238:$J$451),0),
IF('TL15'!$B$3=O$3,SUMIF('TL15'!$C$10:$C$224,$C28,'TL15'!$J$10:$J$224),0),
IF('TL15'!$B$229=O$3,SUMIF('TL15'!$C$238:$C$451,$C28,'TL15'!$J$238:$J$451),0),
IF('TL16'!$B$3=O$3,SUMIF('TL16'!$C$10:$C$224,$C28,'TL16'!$J$10:$J$224),0),
IF('TL16'!$B$229=O$3,SUMIF('TL16'!$C$238:$C$451,$C28,'TL16'!$J$238:$J$451),0),
IF('TL17'!$B$3=O$3,SUMIF('TL17'!$C$10:$C$224,$C28,'TL17'!$J$10:$J$224),0),
IF('TL17'!$B$229=O$3,SUMIF('TL17'!$C$238:$C$451,$C28,'TL17'!$J$238:$J$451),0),
IF('TL18'!$B$3=O$3,SUMIF('TL18'!$C$10:$C$224,$C28,'TL18'!$J$10:$J$224),0),
IF('TL18'!$B$229=O$3,SUMIF('TL18'!$C$238:$C$451,$C28,'TL18'!$J$238:$J$451),0),
IF('TL19'!$B$3=O$3,SUMIF('TL19'!$C$10:$C$224,$C28,'TL19'!$J$10:$J$224),0),
IF('TL19'!$B$229=O$3,SUMIF('TL19'!$C$238:$C$451,$C28,'TL19'!$J$238:$J$451),0)
),0)</f>
        <v>0</v>
      </c>
      <c r="P28" s="9">
        <f>IFERROR(SUM(
IF('TL01'!$B$3=P$3,SUMIF('TL01'!$C$10:$C$224,$C28,'TL01'!$J$10:$J$224),0),
IF('TL01'!$B$229=P$3,SUMIF('TL01'!$C$238:$C$451,$C28,'TL01'!$J$238:$J$451),0),
IF('TL02'!$B$3=P$3,SUMIF('TL02'!$C$10:$C$224,$C28,'TL02'!$J$10:$J$224),0),
IF('TL02'!$B$229=P$3,SUMIF('TL02'!$C$238:$C$451,$C28,'TL02'!$J$238:$J$451),0),
IF('TL03'!$B$3=P$3,SUMIF('TL03'!$C$10:$C$224,$C28,'TL03'!$J$10:$J$224),0),
IF('TL03'!$B$229=P$3,SUMIF('TL03'!$C$238:$C$451,$C28,'TL03'!$J$238:$J$451),0),
IF('TL04'!$B$3=P$3,SUMIF('TL04'!$C$10:$C$224,$C28,'TL04'!$J$10:$J$224),0),
IF('TL04'!$B$229=P$3,SUMIF('TL04'!$C$238:$C$451,$C28,'TL04'!$J$238:$J$451),0),
IF('TL05'!$B$3=P$3,SUMIF('TL05'!$C$10:$C$224,$C28,'TL05'!$J$10:$J$224),0),
IF('TL05'!$B$229=P$3,SUMIF('TL05'!$C$238:$C$451,$C28,'TL05'!$J$238:$J$451),0),
IF('TL06'!$B$3=P$3,SUMIF('TL06'!$C$10:$C$224,$C28,'TL06'!$J$10:$J$224),0),
IF('TL06'!$B$229=P$3,SUMIF('TL06'!$C$238:$C$451,$C28,'TL06'!$J$238:$J$451),0),
IF('TL07'!$B$3=P$3,SUMIF('TL07'!$C$10:$C$224,$C28,'TL07'!$J$10:$J$224),0),
IF('TL07'!$B$229=P$3,SUMIF('TL07'!$C$238:$C$451,$C28,'TL07'!$J$238:$J$451),0),
IF('TL08'!$B$3=P$3,SUMIF('TL08'!$C$10:$C$224,$C28,'TL08'!$J$10:$J$224),0),
IF('TL08'!$B$229=P$3,SUMIF('TL08'!$C$238:$C$451,$C28,'TL08'!$J$238:$J$451),0),
IF('TL09'!$B$3=P$3,SUMIF('TL09'!$C$10:$C$224,$C28,'TL09'!$J$10:$J$224),0),
IF('TL09'!$B$229=P$3,SUMIF('TL09'!$C$238:$C$451,$C28,'TL09'!$J$238:$J$451),0),
IF('TL10'!$B$3=P$3,SUMIF('TL10'!$C$10:$C$224,$C28,'TL10'!$J$10:$J$224),0),
IF('TL10'!$B$229=P$3,SUMIF('TL10'!$C$238:$C$451,$C28,'TL10'!$J$238:$J$451),0),
IF('TL11'!$B$3=P$3,SUMIF('TL11'!$C$10:$C$224,$C28,'TL11'!$J$10:$J$224),0),
IF('TL11'!$B$229=P$3,SUMIF('TL11'!$C$238:$C$451,$C28,'TL11'!$J$238:$J$451),0),
IF('TL12'!$B$3=P$3,SUMIF('TL12'!$C$10:$C$224,$C28,'TL12'!$J$10:$J$224),0),
IF('TL12'!$B$229=P$3,SUMIF('TL12'!$C$238:$C$451,$C28,'TL12'!$J$238:$J$451),0),
IF('TL13'!$B$3=P$3,SUMIF('TL13'!$C$10:$C$224,$C28,'TL13'!$J$10:$J$224),0),
IF('TL13'!$B$229=P$3,SUMIF('TL13'!$C$238:$C$451,$C28,'TL13'!$J$238:$J$451),0),
IF('TL14'!$B$3=P$3,SUMIF('TL14'!$C$10:$C$224,$C28,'TL14'!$J$10:$J$224),0),
IF('TL14'!$B$229=P$3,SUMIF('TL14'!$C$238:$C$451,$C28,'TL14'!$J$238:$J$451),0),
IF('TL15'!$B$3=P$3,SUMIF('TL15'!$C$10:$C$224,$C28,'TL15'!$J$10:$J$224),0),
IF('TL15'!$B$229=P$3,SUMIF('TL15'!$C$238:$C$451,$C28,'TL15'!$J$238:$J$451),0),
IF('TL16'!$B$3=P$3,SUMIF('TL16'!$C$10:$C$224,$C28,'TL16'!$J$10:$J$224),0),
IF('TL16'!$B$229=P$3,SUMIF('TL16'!$C$238:$C$451,$C28,'TL16'!$J$238:$J$451),0),
IF('TL17'!$B$3=P$3,SUMIF('TL17'!$C$10:$C$224,$C28,'TL17'!$J$10:$J$224),0),
IF('TL17'!$B$229=P$3,SUMIF('TL17'!$C$238:$C$451,$C28,'TL17'!$J$238:$J$451),0),
IF('TL18'!$B$3=P$3,SUMIF('TL18'!$C$10:$C$224,$C28,'TL18'!$J$10:$J$224),0),
IF('TL18'!$B$229=P$3,SUMIF('TL18'!$C$238:$C$451,$C28,'TL18'!$J$238:$J$451),0),
IF('TL19'!$B$3=P$3,SUMIF('TL19'!$C$10:$C$224,$C28,'TL19'!$J$10:$J$224),0),
IF('TL19'!$B$229=P$3,SUMIF('TL19'!$C$238:$C$451,$C28,'TL19'!$J$238:$J$451),0)
),0)</f>
        <v>0</v>
      </c>
      <c r="Q28" s="9">
        <f>IFERROR(SUM(
IF('TL01'!$B$3=Q$3,SUMIF('TL01'!$C$10:$C$224,$C28,'TL01'!$J$10:$J$224),0),
IF('TL01'!$B$229=Q$3,SUMIF('TL01'!$C$238:$C$451,$C28,'TL01'!$J$238:$J$451),0),
IF('TL02'!$B$3=Q$3,SUMIF('TL02'!$C$10:$C$224,$C28,'TL02'!$J$10:$J$224),0),
IF('TL02'!$B$229=Q$3,SUMIF('TL02'!$C$238:$C$451,$C28,'TL02'!$J$238:$J$451),0),
IF('TL03'!$B$3=Q$3,SUMIF('TL03'!$C$10:$C$224,$C28,'TL03'!$J$10:$J$224),0),
IF('TL03'!$B$229=Q$3,SUMIF('TL03'!$C$238:$C$451,$C28,'TL03'!$J$238:$J$451),0),
IF('TL04'!$B$3=Q$3,SUMIF('TL04'!$C$10:$C$224,$C28,'TL04'!$J$10:$J$224),0),
IF('TL04'!$B$229=Q$3,SUMIF('TL04'!$C$238:$C$451,$C28,'TL04'!$J$238:$J$451),0),
IF('TL05'!$B$3=Q$3,SUMIF('TL05'!$C$10:$C$224,$C28,'TL05'!$J$10:$J$224),0),
IF('TL05'!$B$229=Q$3,SUMIF('TL05'!$C$238:$C$451,$C28,'TL05'!$J$238:$J$451),0),
IF('TL06'!$B$3=Q$3,SUMIF('TL06'!$C$10:$C$224,$C28,'TL06'!$J$10:$J$224),0),
IF('TL06'!$B$229=Q$3,SUMIF('TL06'!$C$238:$C$451,$C28,'TL06'!$J$238:$J$451),0),
IF('TL07'!$B$3=Q$3,SUMIF('TL07'!$C$10:$C$224,$C28,'TL07'!$J$10:$J$224),0),
IF('TL07'!$B$229=Q$3,SUMIF('TL07'!$C$238:$C$451,$C28,'TL07'!$J$238:$J$451),0),
IF('TL08'!$B$3=Q$3,SUMIF('TL08'!$C$10:$C$224,$C28,'TL08'!$J$10:$J$224),0),
IF('TL08'!$B$229=Q$3,SUMIF('TL08'!$C$238:$C$451,$C28,'TL08'!$J$238:$J$451),0),
IF('TL09'!$B$3=Q$3,SUMIF('TL09'!$C$10:$C$224,$C28,'TL09'!$J$10:$J$224),0),
IF('TL09'!$B$229=Q$3,SUMIF('TL09'!$C$238:$C$451,$C28,'TL09'!$J$238:$J$451),0),
IF('TL10'!$B$3=Q$3,SUMIF('TL10'!$C$10:$C$224,$C28,'TL10'!$J$10:$J$224),0),
IF('TL10'!$B$229=Q$3,SUMIF('TL10'!$C$238:$C$451,$C28,'TL10'!$J$238:$J$451),0),
IF('TL11'!$B$3=Q$3,SUMIF('TL11'!$C$10:$C$224,$C28,'TL11'!$J$10:$J$224),0),
IF('TL11'!$B$229=Q$3,SUMIF('TL11'!$C$238:$C$451,$C28,'TL11'!$J$238:$J$451),0),
IF('TL12'!$B$3=Q$3,SUMIF('TL12'!$C$10:$C$224,$C28,'TL12'!$J$10:$J$224),0),
IF('TL12'!$B$229=Q$3,SUMIF('TL12'!$C$238:$C$451,$C28,'TL12'!$J$238:$J$451),0),
IF('TL13'!$B$3=Q$3,SUMIF('TL13'!$C$10:$C$224,$C28,'TL13'!$J$10:$J$224),0),
IF('TL13'!$B$229=Q$3,SUMIF('TL13'!$C$238:$C$451,$C28,'TL13'!$J$238:$J$451),0),
IF('TL14'!$B$3=Q$3,SUMIF('TL14'!$C$10:$C$224,$C28,'TL14'!$J$10:$J$224),0),
IF('TL14'!$B$229=Q$3,SUMIF('TL14'!$C$238:$C$451,$C28,'TL14'!$J$238:$J$451),0),
IF('TL15'!$B$3=Q$3,SUMIF('TL15'!$C$10:$C$224,$C28,'TL15'!$J$10:$J$224),0),
IF('TL15'!$B$229=Q$3,SUMIF('TL15'!$C$238:$C$451,$C28,'TL15'!$J$238:$J$451),0),
IF('TL16'!$B$3=Q$3,SUMIF('TL16'!$C$10:$C$224,$C28,'TL16'!$J$10:$J$224),0),
IF('TL16'!$B$229=Q$3,SUMIF('TL16'!$C$238:$C$451,$C28,'TL16'!$J$238:$J$451),0),
IF('TL17'!$B$3=Q$3,SUMIF('TL17'!$C$10:$C$224,$C28,'TL17'!$J$10:$J$224),0),
IF('TL17'!$B$229=Q$3,SUMIF('TL17'!$C$238:$C$451,$C28,'TL17'!$J$238:$J$451),0),
IF('TL18'!$B$3=Q$3,SUMIF('TL18'!$C$10:$C$224,$C28,'TL18'!$J$10:$J$224),0),
IF('TL18'!$B$229=Q$3,SUMIF('TL18'!$C$238:$C$451,$C28,'TL18'!$J$238:$J$451),0),
IF('TL19'!$B$3=Q$3,SUMIF('TL19'!$C$10:$C$224,$C28,'TL19'!$J$10:$J$224),0),
IF('TL19'!$B$229=Q$3,SUMIF('TL19'!$C$238:$C$451,$C28,'TL19'!$J$238:$J$451),0)
),0)</f>
        <v>0</v>
      </c>
      <c r="R28" s="9">
        <f>IFERROR(
SUM(
SUMIF('TL01'!C:C,C28,'TL01'!J:J),
SUMIF('TL02'!C:C,C28,'TL02'!J:J),
SUMIF('TL03'!C:C,C28,'TL03'!J:J),
SUMIF('TL04'!C:C,C28,'TL04'!J:J),
SUMIF('TL05'!C:C,C28,'TL05'!J:J),
SUMIF('TL06'!C:C,C28,'TL06'!J:J),
SUMIF('TL07'!C:C,C28,'TL07'!J:J),
SUMIF('TL08'!C:C,C28,'TL08'!J:J),
SUMIF('TL09'!C:C,C28,'TL09'!J:J),
SUMIF('TL10'!C:C,C28,'TL10'!J:J),
SUMIF('TL11'!C:C,C28,'TL11'!J:J),
SUMIF('TL12'!C:C,C28,'TL12'!J:J),
SUMIF('TL13'!C:C,C28,'TL13'!J:J),
SUMIF('TL14'!C:C,C28,'TL14'!J:J),
SUMIF('TL15'!C:C,C28,'TL15'!J:J),
SUMIF('TL16'!C:C,C28,'TL16'!J:J),
SUMIF('TL17'!C:C,C28,'TL17'!J:J),
SUMIF('TL18'!C:C,C28,'TL18'!J:J),SUMIF('TL19'!C:C,C28,'TL19'!J:J))
,0)</f>
        <v>40</v>
      </c>
      <c r="S28" s="17" t="str">
        <f>IFERROR(__xludf.DUMMYFUNCTION("IFERROR(VLOOKUP(C28,
IMPORTRANGE(""1wULbzX32WdYsx-lj2U3uUNBBe2INVIRDtcK0d-Dvl90"",
""26-27!C:G""),
5,
FALSE),
"""")"),"")</f>
        <v/>
      </c>
      <c r="T28" s="9"/>
      <c r="U28" s="92">
        <f t="shared" si="2"/>
        <v>40</v>
      </c>
      <c r="V28" s="93">
        <f t="shared" si="3"/>
        <v>0</v>
      </c>
    </row>
    <row r="29" ht="22.5" hidden="1" customHeight="1">
      <c r="A29" s="106"/>
      <c r="B29" s="107" t="s">
        <v>7</v>
      </c>
      <c r="C29" s="108" t="s">
        <v>411</v>
      </c>
      <c r="D29" s="108" t="s">
        <v>412</v>
      </c>
      <c r="E29" s="109"/>
      <c r="F29" s="4" t="s">
        <v>399</v>
      </c>
      <c r="G29" s="9"/>
      <c r="H29" s="9" t="str">
        <f>IFERROR(__xludf.DUMMYFUNCTION("IFERROR(VLOOKUP(C29,
IMPORTRANGE(""1wULbzX32WdYsx-lj2U3uUNBBe2INVIRDtcK0d-Dvl90"",
""26-27!C:K""),
8,
FALSE),
"""")"),"")</f>
        <v/>
      </c>
      <c r="I29" s="110"/>
      <c r="J29" s="9">
        <f>IFERROR(SUM(
IF('TL01'!$B$3=J$3,SUMIF('TL01'!$C$10:$C$224,$C29,'TL01'!$J$10:$J$224),0),
IF('TL01'!$B$229=J$3,SUMIF('TL01'!$C$238:$C$451,$C29,'TL01'!$J$238:$J$451),0),
IF('TL02'!$B$3=J$3,SUMIF('TL02'!$C$10:$C$224,$C29,'TL02'!$J$10:$J$224),0),
IF('TL02'!$B$229=J$3,SUMIF('TL02'!$C$238:$C$451,$C29,'TL02'!$J$238:$J$451),0),
IF('TL03'!$B$3=J$3,SUMIF('TL03'!$C$10:$C$224,$C29,'TL03'!$J$10:$J$224),0),
IF('TL03'!$B$229=J$3,SUMIF('TL03'!$C$238:$C$451,$C29,'TL03'!$J$238:$J$451),0),
IF('TL04'!$B$3=J$3,SUMIF('TL04'!$C$10:$C$224,$C29,'TL04'!$J$10:$J$224),0),
IF('TL04'!$B$229=J$3,SUMIF('TL04'!$C$238:$C$451,$C29,'TL04'!$J$238:$J$451),0),
IF('TL05'!$B$3=J$3,SUMIF('TL05'!$C$10:$C$224,$C29,'TL05'!$J$10:$J$224),0),
IF('TL05'!$B$229=J$3,SUMIF('TL05'!$C$238:$C$451,$C29,'TL05'!$J$238:$J$451),0),
IF('TL06'!$B$3=J$3,SUMIF('TL06'!$C$10:$C$224,$C29,'TL06'!$J$10:$J$224),0),
IF('TL06'!$B$229=J$3,SUMIF('TL06'!$C$238:$C$451,$C29,'TL06'!$J$238:$J$451),0),
IF('TL07'!$B$3=J$3,SUMIF('TL07'!$C$10:$C$224,$C29,'TL07'!$J$10:$J$224),0),
IF('TL07'!$B$229=J$3,SUMIF('TL07'!$C$238:$C$451,$C29,'TL07'!$J$238:$J$451),0),
IF('TL08'!$B$3=J$3,SUMIF('TL08'!$C$10:$C$224,$C29,'TL08'!$J$10:$J$224),0),
IF('TL08'!$B$229=J$3,SUMIF('TL08'!$C$238:$C$451,$C29,'TL08'!$J$238:$J$451),0),
IF('TL09'!$B$3=J$3,SUMIF('TL09'!$C$10:$C$224,$C29,'TL09'!$J$10:$J$224),0),
IF('TL09'!$B$229=J$3,SUMIF('TL09'!$C$238:$C$451,$C29,'TL09'!$J$238:$J$451),0),
IF('TL10'!$B$3=J$3,SUMIF('TL10'!$C$10:$C$224,$C29,'TL10'!$J$10:$J$224),0),
IF('TL10'!$B$229=J$3,SUMIF('TL10'!$C$238:$C$451,$C29,'TL10'!$J$238:$J$451),0),
IF('TL11'!$B$3=J$3,SUMIF('TL11'!$C$10:$C$224,$C29,'TL11'!$J$10:$J$224),0),
IF('TL11'!$B$229=J$3,SUMIF('TL11'!$C$238:$C$451,$C29,'TL11'!$J$238:$J$451),0),
IF('TL12'!$B$3=J$3,SUMIF('TL12'!$C$10:$C$224,$C29,'TL12'!$J$10:$J$224),0),
IF('TL12'!$B$229=J$3,SUMIF('TL12'!$C$238:$C$451,$C29,'TL12'!$J$238:$J$451),0),
IF('TL13'!$B$3=J$3,SUMIF('TL13'!$C$10:$C$224,$C29,'TL13'!$J$10:$J$224),0),
IF('TL13'!$B$229=J$3,SUMIF('TL13'!$C$238:$C$451,$C29,'TL13'!$J$238:$J$451),0),
IF('TL14'!$B$3=J$3,SUMIF('TL14'!$C$10:$C$224,$C29,'TL14'!$J$10:$J$224),0),
IF('TL14'!$B$229=J$3,SUMIF('TL14'!$C$238:$C$451,$C29,'TL14'!$J$238:$J$451),0),
IF('TL15'!$B$3=J$3,SUMIF('TL15'!$C$10:$C$224,$C29,'TL15'!$J$10:$J$224),0),
IF('TL15'!$B$229=J$3,SUMIF('TL15'!$C$238:$C$451,$C29,'TL15'!$J$238:$J$451),0),
IF('TL16'!$B$3=J$3,SUMIF('TL16'!$C$10:$C$224,$C29,'TL16'!$J$10:$J$224),0),
IF('TL16'!$B$229=J$3,SUMIF('TL16'!$C$238:$C$451,$C29,'TL16'!$J$238:$J$451),0),
IF('TL17'!$B$3=J$3,SUMIF('TL17'!$C$10:$C$224,$C29,'TL17'!$J$10:$J$224),0),
IF('TL17'!$B$229=J$3,SUMIF('TL17'!$C$238:$C$451,$C29,'TL17'!$J$238:$J$451),0),
IF('TL18'!$B$3=J$3,SUMIF('TL18'!$C$10:$C$224,$C29,'TL18'!$J$10:$J$224),0),
IF('TL18'!$B$229=J$3,SUMIF('TL18'!$C$238:$C$451,$C29,'TL18'!$J$238:$J$451),0),
IF('TL19'!$B$3=J$3,SUMIF('TL19'!$C$10:$C$224,$C29,'TL19'!$J$10:$J$224),0),
IF('TL19'!$B$229=J$3,SUMIF('TL19'!$C$238:$C$451,$C29,'TL19'!$J$238:$J$451),0)
),0)</f>
        <v>0</v>
      </c>
      <c r="K29" s="9">
        <f>IFERROR(SUM(
IF('TL01'!$B$3=K$3,SUMIF('TL01'!$C$10:$C$224,$C29,'TL01'!$J$10:$J$224),0),
IF('TL01'!$B$229=K$3,SUMIF('TL01'!$C$238:$C$451,$C29,'TL01'!$J$238:$J$451),0),
IF('TL02'!$B$3=K$3,SUMIF('TL02'!$C$10:$C$224,$C29,'TL02'!$J$10:$J$224),0),
IF('TL02'!$B$229=K$3,SUMIF('TL02'!$C$238:$C$451,$C29,'TL02'!$J$238:$J$451),0),
IF('TL03'!$B$3=K$3,SUMIF('TL03'!$C$10:$C$224,$C29,'TL03'!$J$10:$J$224),0),
IF('TL03'!$B$229=K$3,SUMIF('TL03'!$C$238:$C$451,$C29,'TL03'!$J$238:$J$451),0),
IF('TL04'!$B$3=K$3,SUMIF('TL04'!$C$10:$C$224,$C29,'TL04'!$J$10:$J$224),0),
IF('TL04'!$B$229=K$3,SUMIF('TL04'!$C$238:$C$451,$C29,'TL04'!$J$238:$J$451),0),
IF('TL05'!$B$3=K$3,SUMIF('TL05'!$C$10:$C$224,$C29,'TL05'!$J$10:$J$224),0),
IF('TL05'!$B$229=K$3,SUMIF('TL05'!$C$238:$C$451,$C29,'TL05'!$J$238:$J$451),0),
IF('TL06'!$B$3=K$3,SUMIF('TL06'!$C$10:$C$224,$C29,'TL06'!$J$10:$J$224),0),
IF('TL06'!$B$229=K$3,SUMIF('TL06'!$C$238:$C$451,$C29,'TL06'!$J$238:$J$451),0),
IF('TL07'!$B$3=K$3,SUMIF('TL07'!$C$10:$C$224,$C29,'TL07'!$J$10:$J$224),0),
IF('TL07'!$B$229=K$3,SUMIF('TL07'!$C$238:$C$451,$C29,'TL07'!$J$238:$J$451),0),
IF('TL08'!$B$3=K$3,SUMIF('TL08'!$C$10:$C$224,$C29,'TL08'!$J$10:$J$224),0),
IF('TL08'!$B$229=K$3,SUMIF('TL08'!$C$238:$C$451,$C29,'TL08'!$J$238:$J$451),0),
IF('TL09'!$B$3=K$3,SUMIF('TL09'!$C$10:$C$224,$C29,'TL09'!$J$10:$J$224),0),
IF('TL09'!$B$229=K$3,SUMIF('TL09'!$C$238:$C$451,$C29,'TL09'!$J$238:$J$451),0),
IF('TL10'!$B$3=K$3,SUMIF('TL10'!$C$10:$C$224,$C29,'TL10'!$J$10:$J$224),0),
IF('TL10'!$B$229=K$3,SUMIF('TL10'!$C$238:$C$451,$C29,'TL10'!$J$238:$J$451),0),
IF('TL11'!$B$3=K$3,SUMIF('TL11'!$C$10:$C$224,$C29,'TL11'!$J$10:$J$224),0),
IF('TL11'!$B$229=K$3,SUMIF('TL11'!$C$238:$C$451,$C29,'TL11'!$J$238:$J$451),0),
IF('TL12'!$B$3=K$3,SUMIF('TL12'!$C$10:$C$224,$C29,'TL12'!$J$10:$J$224),0),
IF('TL12'!$B$229=K$3,SUMIF('TL12'!$C$238:$C$451,$C29,'TL12'!$J$238:$J$451),0),
IF('TL13'!$B$3=K$3,SUMIF('TL13'!$C$10:$C$224,$C29,'TL13'!$J$10:$J$224),0),
IF('TL13'!$B$229=K$3,SUMIF('TL13'!$C$238:$C$451,$C29,'TL13'!$J$238:$J$451),0),
IF('TL14'!$B$3=K$3,SUMIF('TL14'!$C$10:$C$224,$C29,'TL14'!$J$10:$J$224),0),
IF('TL14'!$B$229=K$3,SUMIF('TL14'!$C$238:$C$451,$C29,'TL14'!$J$238:$J$451),0),
IF('TL15'!$B$3=K$3,SUMIF('TL15'!$C$10:$C$224,$C29,'TL15'!$J$10:$J$224),0),
IF('TL15'!$B$229=K$3,SUMIF('TL15'!$C$238:$C$451,$C29,'TL15'!$J$238:$J$451),0),
IF('TL16'!$B$3=K$3,SUMIF('TL16'!$C$10:$C$224,$C29,'TL16'!$J$10:$J$224),0),
IF('TL16'!$B$229=K$3,SUMIF('TL16'!$C$238:$C$451,$C29,'TL16'!$J$238:$J$451),0),
IF('TL17'!$B$3=K$3,SUMIF('TL17'!$C$10:$C$224,$C29,'TL17'!$J$10:$J$224),0),
IF('TL17'!$B$229=K$3,SUMIF('TL17'!$C$238:$C$451,$C29,'TL17'!$J$238:$J$451),0),
IF('TL18'!$B$3=K$3,SUMIF('TL18'!$C$10:$C$224,$C29,'TL18'!$J$10:$J$224),0),
IF('TL18'!$B$229=K$3,SUMIF('TL18'!$C$238:$C$451,$C29,'TL18'!$J$238:$J$451),0),
IF('TL19'!$B$3=K$3,SUMIF('TL19'!$C$10:$C$224,$C29,'TL19'!$J$10:$J$224),0),
IF('TL19'!$B$229=K$3,SUMIF('TL19'!$C$238:$C$451,$C29,'TL19'!$J$238:$J$451),0)
),0)</f>
        <v>0</v>
      </c>
      <c r="L29" s="9">
        <f>IFERROR(SUM(
IF('TL01'!$B$3=L$3,SUMIF('TL01'!$C$10:$C$224,$C29,'TL01'!$J$10:$J$224),0),
IF('TL01'!$B$229=L$3,SUMIF('TL01'!$C$238:$C$451,$C29,'TL01'!$J$238:$J$451),0),
IF('TL02'!$B$3=L$3,SUMIF('TL02'!$C$10:$C$224,$C29,'TL02'!$J$10:$J$224),0),
IF('TL02'!$B$229=L$3,SUMIF('TL02'!$C$238:$C$451,$C29,'TL02'!$J$238:$J$451),0),
IF('TL03'!$B$3=L$3,SUMIF('TL03'!$C$10:$C$224,$C29,'TL03'!$J$10:$J$224),0),
IF('TL03'!$B$229=L$3,SUMIF('TL03'!$C$238:$C$451,$C29,'TL03'!$J$238:$J$451),0),
IF('TL04'!$B$3=L$3,SUMIF('TL04'!$C$10:$C$224,$C29,'TL04'!$J$10:$J$224),0),
IF('TL04'!$B$229=L$3,SUMIF('TL04'!$C$238:$C$451,$C29,'TL04'!$J$238:$J$451),0),
IF('TL05'!$B$3=L$3,SUMIF('TL05'!$C$10:$C$224,$C29,'TL05'!$J$10:$J$224),0),
IF('TL05'!$B$229=L$3,SUMIF('TL05'!$C$238:$C$451,$C29,'TL05'!$J$238:$J$451),0),
IF('TL06'!$B$3=L$3,SUMIF('TL06'!$C$10:$C$224,$C29,'TL06'!$J$10:$J$224),0),
IF('TL06'!$B$229=L$3,SUMIF('TL06'!$C$238:$C$451,$C29,'TL06'!$J$238:$J$451),0),
IF('TL07'!$B$3=L$3,SUMIF('TL07'!$C$10:$C$224,$C29,'TL07'!$J$10:$J$224),0),
IF('TL07'!$B$229=L$3,SUMIF('TL07'!$C$238:$C$451,$C29,'TL07'!$J$238:$J$451),0),
IF('TL08'!$B$3=L$3,SUMIF('TL08'!$C$10:$C$224,$C29,'TL08'!$J$10:$J$224),0),
IF('TL08'!$B$229=L$3,SUMIF('TL08'!$C$238:$C$451,$C29,'TL08'!$J$238:$J$451),0),
IF('TL09'!$B$3=L$3,SUMIF('TL09'!$C$10:$C$224,$C29,'TL09'!$J$10:$J$224),0),
IF('TL09'!$B$229=L$3,SUMIF('TL09'!$C$238:$C$451,$C29,'TL09'!$J$238:$J$451),0),
IF('TL10'!$B$3=L$3,SUMIF('TL10'!$C$10:$C$224,$C29,'TL10'!$J$10:$J$224),0),
IF('TL10'!$B$229=L$3,SUMIF('TL10'!$C$238:$C$451,$C29,'TL10'!$J$238:$J$451),0),
IF('TL11'!$B$3=L$3,SUMIF('TL11'!$C$10:$C$224,$C29,'TL11'!$J$10:$J$224),0),
IF('TL11'!$B$229=L$3,SUMIF('TL11'!$C$238:$C$451,$C29,'TL11'!$J$238:$J$451),0),
IF('TL12'!$B$3=L$3,SUMIF('TL12'!$C$10:$C$224,$C29,'TL12'!$J$10:$J$224),0),
IF('TL12'!$B$229=L$3,SUMIF('TL12'!$C$238:$C$451,$C29,'TL12'!$J$238:$J$451),0),
IF('TL13'!$B$3=L$3,SUMIF('TL13'!$C$10:$C$224,$C29,'TL13'!$J$10:$J$224),0),
IF('TL13'!$B$229=L$3,SUMIF('TL13'!$C$238:$C$451,$C29,'TL13'!$J$238:$J$451),0),
IF('TL14'!$B$3=L$3,SUMIF('TL14'!$C$10:$C$224,$C29,'TL14'!$J$10:$J$224),0),
IF('TL14'!$B$229=L$3,SUMIF('TL14'!$C$238:$C$451,$C29,'TL14'!$J$238:$J$451),0),
IF('TL15'!$B$3=L$3,SUMIF('TL15'!$C$10:$C$224,$C29,'TL15'!$J$10:$J$224),0),
IF('TL15'!$B$229=L$3,SUMIF('TL15'!$C$238:$C$451,$C29,'TL15'!$J$238:$J$451),0),
IF('TL16'!$B$3=L$3,SUMIF('TL16'!$C$10:$C$224,$C29,'TL16'!$J$10:$J$224),0),
IF('TL16'!$B$229=L$3,SUMIF('TL16'!$C$238:$C$451,$C29,'TL16'!$J$238:$J$451),0),
IF('TL17'!$B$3=L$3,SUMIF('TL17'!$C$10:$C$224,$C29,'TL17'!$J$10:$J$224),0),
IF('TL17'!$B$229=L$3,SUMIF('TL17'!$C$238:$C$451,$C29,'TL17'!$J$238:$J$451),0),
IF('TL18'!$B$3=L$3,SUMIF('TL18'!$C$10:$C$224,$C29,'TL18'!$J$10:$J$224),0),
IF('TL18'!$B$229=L$3,SUMIF('TL18'!$C$238:$C$451,$C29,'TL18'!$J$238:$J$451),0),
IF('TL19'!$B$3=L$3,SUMIF('TL19'!$C$10:$C$224,$C29,'TL19'!$J$10:$J$224),0),
IF('TL19'!$B$229=L$3,SUMIF('TL19'!$C$238:$C$451,$C29,'TL19'!$J$238:$J$451),0)
),0)</f>
        <v>0</v>
      </c>
      <c r="M29" s="9">
        <f>IFERROR(SUM(
IF('TL01'!$B$3=M$3,SUMIF('TL01'!$C$10:$C$224,$C29,'TL01'!$J$10:$J$224),0),
IF('TL01'!$B$229=M$3,SUMIF('TL01'!$C$238:$C$451,$C29,'TL01'!$J$238:$J$451),0),
IF('TL02'!$B$3=M$3,SUMIF('TL02'!$C$10:$C$224,$C29,'TL02'!$J$10:$J$224),0),
IF('TL02'!$B$229=M$3,SUMIF('TL02'!$C$238:$C$451,$C29,'TL02'!$J$238:$J$451),0),
IF('TL03'!$B$3=M$3,SUMIF('TL03'!$C$10:$C$224,$C29,'TL03'!$J$10:$J$224),0),
IF('TL03'!$B$229=M$3,SUMIF('TL03'!$C$238:$C$451,$C29,'TL03'!$J$238:$J$451),0),
IF('TL04'!$B$3=M$3,SUMIF('TL04'!$C$10:$C$224,$C29,'TL04'!$J$10:$J$224),0),
IF('TL04'!$B$229=M$3,SUMIF('TL04'!$C$238:$C$451,$C29,'TL04'!$J$238:$J$451),0),
IF('TL05'!$B$3=M$3,SUMIF('TL05'!$C$10:$C$224,$C29,'TL05'!$J$10:$J$224),0),
IF('TL05'!$B$229=M$3,SUMIF('TL05'!$C$238:$C$451,$C29,'TL05'!$J$238:$J$451),0),
IF('TL06'!$B$3=M$3,SUMIF('TL06'!$C$10:$C$224,$C29,'TL06'!$J$10:$J$224),0),
IF('TL06'!$B$229=M$3,SUMIF('TL06'!$C$238:$C$451,$C29,'TL06'!$J$238:$J$451),0),
IF('TL07'!$B$3=M$3,SUMIF('TL07'!$C$10:$C$224,$C29,'TL07'!$J$10:$J$224),0),
IF('TL07'!$B$229=M$3,SUMIF('TL07'!$C$238:$C$451,$C29,'TL07'!$J$238:$J$451),0),
IF('TL08'!$B$3=M$3,SUMIF('TL08'!$C$10:$C$224,$C29,'TL08'!$J$10:$J$224),0),
IF('TL08'!$B$229=M$3,SUMIF('TL08'!$C$238:$C$451,$C29,'TL08'!$J$238:$J$451),0),
IF('TL09'!$B$3=M$3,SUMIF('TL09'!$C$10:$C$224,$C29,'TL09'!$J$10:$J$224),0),
IF('TL09'!$B$229=M$3,SUMIF('TL09'!$C$238:$C$451,$C29,'TL09'!$J$238:$J$451),0),
IF('TL10'!$B$3=M$3,SUMIF('TL10'!$C$10:$C$224,$C29,'TL10'!$J$10:$J$224),0),
IF('TL10'!$B$229=M$3,SUMIF('TL10'!$C$238:$C$451,$C29,'TL10'!$J$238:$J$451),0),
IF('TL11'!$B$3=M$3,SUMIF('TL11'!$C$10:$C$224,$C29,'TL11'!$J$10:$J$224),0),
IF('TL11'!$B$229=M$3,SUMIF('TL11'!$C$238:$C$451,$C29,'TL11'!$J$238:$J$451),0),
IF('TL12'!$B$3=M$3,SUMIF('TL12'!$C$10:$C$224,$C29,'TL12'!$J$10:$J$224),0),
IF('TL12'!$B$229=M$3,SUMIF('TL12'!$C$238:$C$451,$C29,'TL12'!$J$238:$J$451),0),
IF('TL13'!$B$3=M$3,SUMIF('TL13'!$C$10:$C$224,$C29,'TL13'!$J$10:$J$224),0),
IF('TL13'!$B$229=M$3,SUMIF('TL13'!$C$238:$C$451,$C29,'TL13'!$J$238:$J$451),0),
IF('TL14'!$B$3=M$3,SUMIF('TL14'!$C$10:$C$224,$C29,'TL14'!$J$10:$J$224),0),
IF('TL14'!$B$229=M$3,SUMIF('TL14'!$C$238:$C$451,$C29,'TL14'!$J$238:$J$451),0),
IF('TL15'!$B$3=M$3,SUMIF('TL15'!$C$10:$C$224,$C29,'TL15'!$J$10:$J$224),0),
IF('TL15'!$B$229=M$3,SUMIF('TL15'!$C$238:$C$451,$C29,'TL15'!$J$238:$J$451),0),
IF('TL16'!$B$3=M$3,SUMIF('TL16'!$C$10:$C$224,$C29,'TL16'!$J$10:$J$224),0),
IF('TL16'!$B$229=M$3,SUMIF('TL16'!$C$238:$C$451,$C29,'TL16'!$J$238:$J$451),0),
IF('TL17'!$B$3=M$3,SUMIF('TL17'!$C$10:$C$224,$C29,'TL17'!$J$10:$J$224),0),
IF('TL17'!$B$229=M$3,SUMIF('TL17'!$C$238:$C$451,$C29,'TL17'!$J$238:$J$451),0),
IF('TL18'!$B$3=M$3,SUMIF('TL18'!$C$10:$C$224,$C29,'TL18'!$J$10:$J$224),0),
IF('TL18'!$B$229=M$3,SUMIF('TL18'!$C$238:$C$451,$C29,'TL18'!$J$238:$J$451),0),
IF('TL19'!$B$3=M$3,SUMIF('TL19'!$C$10:$C$224,$C29,'TL19'!$J$10:$J$224),0),
IF('TL19'!$B$229=M$3,SUMIF('TL19'!$C$238:$C$451,$C29,'TL19'!$J$238:$J$451),0)
),0)</f>
        <v>0</v>
      </c>
      <c r="N29" s="9">
        <f>IFERROR(SUM(
IF('TL01'!$B$3=N$3,SUMIF('TL01'!$C$10:$C$224,$C29,'TL01'!$J$10:$J$224),0),
IF('TL01'!$B$229=N$3,SUMIF('TL01'!$C$238:$C$451,$C29,'TL01'!$J$238:$J$451),0),
IF('TL02'!$B$3=N$3,SUMIF('TL02'!$C$10:$C$224,$C29,'TL02'!$J$10:$J$224),0),
IF('TL02'!$B$229=N$3,SUMIF('TL02'!$C$238:$C$451,$C29,'TL02'!$J$238:$J$451),0),
IF('TL03'!$B$3=N$3,SUMIF('TL03'!$C$10:$C$224,$C29,'TL03'!$J$10:$J$224),0),
IF('TL03'!$B$229=N$3,SUMIF('TL03'!$C$238:$C$451,$C29,'TL03'!$J$238:$J$451),0),
IF('TL04'!$B$3=N$3,SUMIF('TL04'!$C$10:$C$224,$C29,'TL04'!$J$10:$J$224),0),
IF('TL04'!$B$229=N$3,SUMIF('TL04'!$C$238:$C$451,$C29,'TL04'!$J$238:$J$451),0),
IF('TL05'!$B$3=N$3,SUMIF('TL05'!$C$10:$C$224,$C29,'TL05'!$J$10:$J$224),0),
IF('TL05'!$B$229=N$3,SUMIF('TL05'!$C$238:$C$451,$C29,'TL05'!$J$238:$J$451),0),
IF('TL06'!$B$3=N$3,SUMIF('TL06'!$C$10:$C$224,$C29,'TL06'!$J$10:$J$224),0),
IF('TL06'!$B$229=N$3,SUMIF('TL06'!$C$238:$C$451,$C29,'TL06'!$J$238:$J$451),0),
IF('TL07'!$B$3=N$3,SUMIF('TL07'!$C$10:$C$224,$C29,'TL07'!$J$10:$J$224),0),
IF('TL07'!$B$229=N$3,SUMIF('TL07'!$C$238:$C$451,$C29,'TL07'!$J$238:$J$451),0),
IF('TL08'!$B$3=N$3,SUMIF('TL08'!$C$10:$C$224,$C29,'TL08'!$J$10:$J$224),0),
IF('TL08'!$B$229=N$3,SUMIF('TL08'!$C$238:$C$451,$C29,'TL08'!$J$238:$J$451),0),
IF('TL09'!$B$3=N$3,SUMIF('TL09'!$C$10:$C$224,$C29,'TL09'!$J$10:$J$224),0),
IF('TL09'!$B$229=N$3,SUMIF('TL09'!$C$238:$C$451,$C29,'TL09'!$J$238:$J$451),0),
IF('TL10'!$B$3=N$3,SUMIF('TL10'!$C$10:$C$224,$C29,'TL10'!$J$10:$J$224),0),
IF('TL10'!$B$229=N$3,SUMIF('TL10'!$C$238:$C$451,$C29,'TL10'!$J$238:$J$451),0),
IF('TL11'!$B$3=N$3,SUMIF('TL11'!$C$10:$C$224,$C29,'TL11'!$J$10:$J$224),0),
IF('TL11'!$B$229=N$3,SUMIF('TL11'!$C$238:$C$451,$C29,'TL11'!$J$238:$J$451),0),
IF('TL12'!$B$3=N$3,SUMIF('TL12'!$C$10:$C$224,$C29,'TL12'!$J$10:$J$224),0),
IF('TL12'!$B$229=N$3,SUMIF('TL12'!$C$238:$C$451,$C29,'TL12'!$J$238:$J$451),0),
IF('TL13'!$B$3=N$3,SUMIF('TL13'!$C$10:$C$224,$C29,'TL13'!$J$10:$J$224),0),
IF('TL13'!$B$229=N$3,SUMIF('TL13'!$C$238:$C$451,$C29,'TL13'!$J$238:$J$451),0),
IF('TL14'!$B$3=N$3,SUMIF('TL14'!$C$10:$C$224,$C29,'TL14'!$J$10:$J$224),0),
IF('TL14'!$B$229=N$3,SUMIF('TL14'!$C$238:$C$451,$C29,'TL14'!$J$238:$J$451),0),
IF('TL15'!$B$3=N$3,SUMIF('TL15'!$C$10:$C$224,$C29,'TL15'!$J$10:$J$224),0),
IF('TL15'!$B$229=N$3,SUMIF('TL15'!$C$238:$C$451,$C29,'TL15'!$J$238:$J$451),0),
IF('TL16'!$B$3=N$3,SUMIF('TL16'!$C$10:$C$224,$C29,'TL16'!$J$10:$J$224),0),
IF('TL16'!$B$229=N$3,SUMIF('TL16'!$C$238:$C$451,$C29,'TL16'!$J$238:$J$451),0),
IF('TL17'!$B$3=N$3,SUMIF('TL17'!$C$10:$C$224,$C29,'TL17'!$J$10:$J$224),0),
IF('TL17'!$B$229=N$3,SUMIF('TL17'!$C$238:$C$451,$C29,'TL17'!$J$238:$J$451),0),
IF('TL18'!$B$3=N$3,SUMIF('TL18'!$C$10:$C$224,$C29,'TL18'!$J$10:$J$224),0),
IF('TL18'!$B$229=N$3,SUMIF('TL18'!$C$238:$C$451,$C29,'TL18'!$J$238:$J$451),0),
IF('TL19'!$B$3=N$3,SUMIF('TL19'!$C$10:$C$224,$C29,'TL19'!$J$10:$J$224),0),
IF('TL19'!$B$229=N$3,SUMIF('TL19'!$C$238:$C$451,$C29,'TL19'!$J$238:$J$451),0)
),0)</f>
        <v>0</v>
      </c>
      <c r="O29" s="9">
        <f>IFERROR(SUM(
IF('TL01'!$B$3=O$3,SUMIF('TL01'!$C$10:$C$224,$C29,'TL01'!$J$10:$J$224),0),
IF('TL01'!$B$229=O$3,SUMIF('TL01'!$C$238:$C$451,$C29,'TL01'!$J$238:$J$451),0),
IF('TL02'!$B$3=O$3,SUMIF('TL02'!$C$10:$C$224,$C29,'TL02'!$J$10:$J$224),0),
IF('TL02'!$B$229=O$3,SUMIF('TL02'!$C$238:$C$451,$C29,'TL02'!$J$238:$J$451),0),
IF('TL03'!$B$3=O$3,SUMIF('TL03'!$C$10:$C$224,$C29,'TL03'!$J$10:$J$224),0),
IF('TL03'!$B$229=O$3,SUMIF('TL03'!$C$238:$C$451,$C29,'TL03'!$J$238:$J$451),0),
IF('TL04'!$B$3=O$3,SUMIF('TL04'!$C$10:$C$224,$C29,'TL04'!$J$10:$J$224),0),
IF('TL04'!$B$229=O$3,SUMIF('TL04'!$C$238:$C$451,$C29,'TL04'!$J$238:$J$451),0),
IF('TL05'!$B$3=O$3,SUMIF('TL05'!$C$10:$C$224,$C29,'TL05'!$J$10:$J$224),0),
IF('TL05'!$B$229=O$3,SUMIF('TL05'!$C$238:$C$451,$C29,'TL05'!$J$238:$J$451),0),
IF('TL06'!$B$3=O$3,SUMIF('TL06'!$C$10:$C$224,$C29,'TL06'!$J$10:$J$224),0),
IF('TL06'!$B$229=O$3,SUMIF('TL06'!$C$238:$C$451,$C29,'TL06'!$J$238:$J$451),0),
IF('TL07'!$B$3=O$3,SUMIF('TL07'!$C$10:$C$224,$C29,'TL07'!$J$10:$J$224),0),
IF('TL07'!$B$229=O$3,SUMIF('TL07'!$C$238:$C$451,$C29,'TL07'!$J$238:$J$451),0),
IF('TL08'!$B$3=O$3,SUMIF('TL08'!$C$10:$C$224,$C29,'TL08'!$J$10:$J$224),0),
IF('TL08'!$B$229=O$3,SUMIF('TL08'!$C$238:$C$451,$C29,'TL08'!$J$238:$J$451),0),
IF('TL09'!$B$3=O$3,SUMIF('TL09'!$C$10:$C$224,$C29,'TL09'!$J$10:$J$224),0),
IF('TL09'!$B$229=O$3,SUMIF('TL09'!$C$238:$C$451,$C29,'TL09'!$J$238:$J$451),0),
IF('TL10'!$B$3=O$3,SUMIF('TL10'!$C$10:$C$224,$C29,'TL10'!$J$10:$J$224),0),
IF('TL10'!$B$229=O$3,SUMIF('TL10'!$C$238:$C$451,$C29,'TL10'!$J$238:$J$451),0),
IF('TL11'!$B$3=O$3,SUMIF('TL11'!$C$10:$C$224,$C29,'TL11'!$J$10:$J$224),0),
IF('TL11'!$B$229=O$3,SUMIF('TL11'!$C$238:$C$451,$C29,'TL11'!$J$238:$J$451),0),
IF('TL12'!$B$3=O$3,SUMIF('TL12'!$C$10:$C$224,$C29,'TL12'!$J$10:$J$224),0),
IF('TL12'!$B$229=O$3,SUMIF('TL12'!$C$238:$C$451,$C29,'TL12'!$J$238:$J$451),0),
IF('TL13'!$B$3=O$3,SUMIF('TL13'!$C$10:$C$224,$C29,'TL13'!$J$10:$J$224),0),
IF('TL13'!$B$229=O$3,SUMIF('TL13'!$C$238:$C$451,$C29,'TL13'!$J$238:$J$451),0),
IF('TL14'!$B$3=O$3,SUMIF('TL14'!$C$10:$C$224,$C29,'TL14'!$J$10:$J$224),0),
IF('TL14'!$B$229=O$3,SUMIF('TL14'!$C$238:$C$451,$C29,'TL14'!$J$238:$J$451),0),
IF('TL15'!$B$3=O$3,SUMIF('TL15'!$C$10:$C$224,$C29,'TL15'!$J$10:$J$224),0),
IF('TL15'!$B$229=O$3,SUMIF('TL15'!$C$238:$C$451,$C29,'TL15'!$J$238:$J$451),0),
IF('TL16'!$B$3=O$3,SUMIF('TL16'!$C$10:$C$224,$C29,'TL16'!$J$10:$J$224),0),
IF('TL16'!$B$229=O$3,SUMIF('TL16'!$C$238:$C$451,$C29,'TL16'!$J$238:$J$451),0),
IF('TL17'!$B$3=O$3,SUMIF('TL17'!$C$10:$C$224,$C29,'TL17'!$J$10:$J$224),0),
IF('TL17'!$B$229=O$3,SUMIF('TL17'!$C$238:$C$451,$C29,'TL17'!$J$238:$J$451),0),
IF('TL18'!$B$3=O$3,SUMIF('TL18'!$C$10:$C$224,$C29,'TL18'!$J$10:$J$224),0),
IF('TL18'!$B$229=O$3,SUMIF('TL18'!$C$238:$C$451,$C29,'TL18'!$J$238:$J$451),0),
IF('TL19'!$B$3=O$3,SUMIF('TL19'!$C$10:$C$224,$C29,'TL19'!$J$10:$J$224),0),
IF('TL19'!$B$229=O$3,SUMIF('TL19'!$C$238:$C$451,$C29,'TL19'!$J$238:$J$451),0)
),0)</f>
        <v>0</v>
      </c>
      <c r="P29" s="9">
        <f>IFERROR(SUM(
IF('TL01'!$B$3=P$3,SUMIF('TL01'!$C$10:$C$224,$C29,'TL01'!$J$10:$J$224),0),
IF('TL01'!$B$229=P$3,SUMIF('TL01'!$C$238:$C$451,$C29,'TL01'!$J$238:$J$451),0),
IF('TL02'!$B$3=P$3,SUMIF('TL02'!$C$10:$C$224,$C29,'TL02'!$J$10:$J$224),0),
IF('TL02'!$B$229=P$3,SUMIF('TL02'!$C$238:$C$451,$C29,'TL02'!$J$238:$J$451),0),
IF('TL03'!$B$3=P$3,SUMIF('TL03'!$C$10:$C$224,$C29,'TL03'!$J$10:$J$224),0),
IF('TL03'!$B$229=P$3,SUMIF('TL03'!$C$238:$C$451,$C29,'TL03'!$J$238:$J$451),0),
IF('TL04'!$B$3=P$3,SUMIF('TL04'!$C$10:$C$224,$C29,'TL04'!$J$10:$J$224),0),
IF('TL04'!$B$229=P$3,SUMIF('TL04'!$C$238:$C$451,$C29,'TL04'!$J$238:$J$451),0),
IF('TL05'!$B$3=P$3,SUMIF('TL05'!$C$10:$C$224,$C29,'TL05'!$J$10:$J$224),0),
IF('TL05'!$B$229=P$3,SUMIF('TL05'!$C$238:$C$451,$C29,'TL05'!$J$238:$J$451),0),
IF('TL06'!$B$3=P$3,SUMIF('TL06'!$C$10:$C$224,$C29,'TL06'!$J$10:$J$224),0),
IF('TL06'!$B$229=P$3,SUMIF('TL06'!$C$238:$C$451,$C29,'TL06'!$J$238:$J$451),0),
IF('TL07'!$B$3=P$3,SUMIF('TL07'!$C$10:$C$224,$C29,'TL07'!$J$10:$J$224),0),
IF('TL07'!$B$229=P$3,SUMIF('TL07'!$C$238:$C$451,$C29,'TL07'!$J$238:$J$451),0),
IF('TL08'!$B$3=P$3,SUMIF('TL08'!$C$10:$C$224,$C29,'TL08'!$J$10:$J$224),0),
IF('TL08'!$B$229=P$3,SUMIF('TL08'!$C$238:$C$451,$C29,'TL08'!$J$238:$J$451),0),
IF('TL09'!$B$3=P$3,SUMIF('TL09'!$C$10:$C$224,$C29,'TL09'!$J$10:$J$224),0),
IF('TL09'!$B$229=P$3,SUMIF('TL09'!$C$238:$C$451,$C29,'TL09'!$J$238:$J$451),0),
IF('TL10'!$B$3=P$3,SUMIF('TL10'!$C$10:$C$224,$C29,'TL10'!$J$10:$J$224),0),
IF('TL10'!$B$229=P$3,SUMIF('TL10'!$C$238:$C$451,$C29,'TL10'!$J$238:$J$451),0),
IF('TL11'!$B$3=P$3,SUMIF('TL11'!$C$10:$C$224,$C29,'TL11'!$J$10:$J$224),0),
IF('TL11'!$B$229=P$3,SUMIF('TL11'!$C$238:$C$451,$C29,'TL11'!$J$238:$J$451),0),
IF('TL12'!$B$3=P$3,SUMIF('TL12'!$C$10:$C$224,$C29,'TL12'!$J$10:$J$224),0),
IF('TL12'!$B$229=P$3,SUMIF('TL12'!$C$238:$C$451,$C29,'TL12'!$J$238:$J$451),0),
IF('TL13'!$B$3=P$3,SUMIF('TL13'!$C$10:$C$224,$C29,'TL13'!$J$10:$J$224),0),
IF('TL13'!$B$229=P$3,SUMIF('TL13'!$C$238:$C$451,$C29,'TL13'!$J$238:$J$451),0),
IF('TL14'!$B$3=P$3,SUMIF('TL14'!$C$10:$C$224,$C29,'TL14'!$J$10:$J$224),0),
IF('TL14'!$B$229=P$3,SUMIF('TL14'!$C$238:$C$451,$C29,'TL14'!$J$238:$J$451),0),
IF('TL15'!$B$3=P$3,SUMIF('TL15'!$C$10:$C$224,$C29,'TL15'!$J$10:$J$224),0),
IF('TL15'!$B$229=P$3,SUMIF('TL15'!$C$238:$C$451,$C29,'TL15'!$J$238:$J$451),0),
IF('TL16'!$B$3=P$3,SUMIF('TL16'!$C$10:$C$224,$C29,'TL16'!$J$10:$J$224),0),
IF('TL16'!$B$229=P$3,SUMIF('TL16'!$C$238:$C$451,$C29,'TL16'!$J$238:$J$451),0),
IF('TL17'!$B$3=P$3,SUMIF('TL17'!$C$10:$C$224,$C29,'TL17'!$J$10:$J$224),0),
IF('TL17'!$B$229=P$3,SUMIF('TL17'!$C$238:$C$451,$C29,'TL17'!$J$238:$J$451),0),
IF('TL18'!$B$3=P$3,SUMIF('TL18'!$C$10:$C$224,$C29,'TL18'!$J$10:$J$224),0),
IF('TL18'!$B$229=P$3,SUMIF('TL18'!$C$238:$C$451,$C29,'TL18'!$J$238:$J$451),0),
IF('TL19'!$B$3=P$3,SUMIF('TL19'!$C$10:$C$224,$C29,'TL19'!$J$10:$J$224),0),
IF('TL19'!$B$229=P$3,SUMIF('TL19'!$C$238:$C$451,$C29,'TL19'!$J$238:$J$451),0)
),0)</f>
        <v>0</v>
      </c>
      <c r="Q29" s="9">
        <f>IFERROR(SUM(
IF('TL01'!$B$3=Q$3,SUMIF('TL01'!$C$10:$C$224,$C29,'TL01'!$J$10:$J$224),0),
IF('TL01'!$B$229=Q$3,SUMIF('TL01'!$C$238:$C$451,$C29,'TL01'!$J$238:$J$451),0),
IF('TL02'!$B$3=Q$3,SUMIF('TL02'!$C$10:$C$224,$C29,'TL02'!$J$10:$J$224),0),
IF('TL02'!$B$229=Q$3,SUMIF('TL02'!$C$238:$C$451,$C29,'TL02'!$J$238:$J$451),0),
IF('TL03'!$B$3=Q$3,SUMIF('TL03'!$C$10:$C$224,$C29,'TL03'!$J$10:$J$224),0),
IF('TL03'!$B$229=Q$3,SUMIF('TL03'!$C$238:$C$451,$C29,'TL03'!$J$238:$J$451),0),
IF('TL04'!$B$3=Q$3,SUMIF('TL04'!$C$10:$C$224,$C29,'TL04'!$J$10:$J$224),0),
IF('TL04'!$B$229=Q$3,SUMIF('TL04'!$C$238:$C$451,$C29,'TL04'!$J$238:$J$451),0),
IF('TL05'!$B$3=Q$3,SUMIF('TL05'!$C$10:$C$224,$C29,'TL05'!$J$10:$J$224),0),
IF('TL05'!$B$229=Q$3,SUMIF('TL05'!$C$238:$C$451,$C29,'TL05'!$J$238:$J$451),0),
IF('TL06'!$B$3=Q$3,SUMIF('TL06'!$C$10:$C$224,$C29,'TL06'!$J$10:$J$224),0),
IF('TL06'!$B$229=Q$3,SUMIF('TL06'!$C$238:$C$451,$C29,'TL06'!$J$238:$J$451),0),
IF('TL07'!$B$3=Q$3,SUMIF('TL07'!$C$10:$C$224,$C29,'TL07'!$J$10:$J$224),0),
IF('TL07'!$B$229=Q$3,SUMIF('TL07'!$C$238:$C$451,$C29,'TL07'!$J$238:$J$451),0),
IF('TL08'!$B$3=Q$3,SUMIF('TL08'!$C$10:$C$224,$C29,'TL08'!$J$10:$J$224),0),
IF('TL08'!$B$229=Q$3,SUMIF('TL08'!$C$238:$C$451,$C29,'TL08'!$J$238:$J$451),0),
IF('TL09'!$B$3=Q$3,SUMIF('TL09'!$C$10:$C$224,$C29,'TL09'!$J$10:$J$224),0),
IF('TL09'!$B$229=Q$3,SUMIF('TL09'!$C$238:$C$451,$C29,'TL09'!$J$238:$J$451),0),
IF('TL10'!$B$3=Q$3,SUMIF('TL10'!$C$10:$C$224,$C29,'TL10'!$J$10:$J$224),0),
IF('TL10'!$B$229=Q$3,SUMIF('TL10'!$C$238:$C$451,$C29,'TL10'!$J$238:$J$451),0),
IF('TL11'!$B$3=Q$3,SUMIF('TL11'!$C$10:$C$224,$C29,'TL11'!$J$10:$J$224),0),
IF('TL11'!$B$229=Q$3,SUMIF('TL11'!$C$238:$C$451,$C29,'TL11'!$J$238:$J$451),0),
IF('TL12'!$B$3=Q$3,SUMIF('TL12'!$C$10:$C$224,$C29,'TL12'!$J$10:$J$224),0),
IF('TL12'!$B$229=Q$3,SUMIF('TL12'!$C$238:$C$451,$C29,'TL12'!$J$238:$J$451),0),
IF('TL13'!$B$3=Q$3,SUMIF('TL13'!$C$10:$C$224,$C29,'TL13'!$J$10:$J$224),0),
IF('TL13'!$B$229=Q$3,SUMIF('TL13'!$C$238:$C$451,$C29,'TL13'!$J$238:$J$451),0),
IF('TL14'!$B$3=Q$3,SUMIF('TL14'!$C$10:$C$224,$C29,'TL14'!$J$10:$J$224),0),
IF('TL14'!$B$229=Q$3,SUMIF('TL14'!$C$238:$C$451,$C29,'TL14'!$J$238:$J$451),0),
IF('TL15'!$B$3=Q$3,SUMIF('TL15'!$C$10:$C$224,$C29,'TL15'!$J$10:$J$224),0),
IF('TL15'!$B$229=Q$3,SUMIF('TL15'!$C$238:$C$451,$C29,'TL15'!$J$238:$J$451),0),
IF('TL16'!$B$3=Q$3,SUMIF('TL16'!$C$10:$C$224,$C29,'TL16'!$J$10:$J$224),0),
IF('TL16'!$B$229=Q$3,SUMIF('TL16'!$C$238:$C$451,$C29,'TL16'!$J$238:$J$451),0),
IF('TL17'!$B$3=Q$3,SUMIF('TL17'!$C$10:$C$224,$C29,'TL17'!$J$10:$J$224),0),
IF('TL17'!$B$229=Q$3,SUMIF('TL17'!$C$238:$C$451,$C29,'TL17'!$J$238:$J$451),0),
IF('TL18'!$B$3=Q$3,SUMIF('TL18'!$C$10:$C$224,$C29,'TL18'!$J$10:$J$224),0),
IF('TL18'!$B$229=Q$3,SUMIF('TL18'!$C$238:$C$451,$C29,'TL18'!$J$238:$J$451),0),
IF('TL19'!$B$3=Q$3,SUMIF('TL19'!$C$10:$C$224,$C29,'TL19'!$J$10:$J$224),0),
IF('TL19'!$B$229=Q$3,SUMIF('TL19'!$C$238:$C$451,$C29,'TL19'!$J$238:$J$451),0)
),0)</f>
        <v>0</v>
      </c>
      <c r="R29" s="9">
        <f>IFERROR(
SUM(
SUMIF('TL01'!C:C,C29,'TL01'!J:J),
SUMIF('TL02'!C:C,C29,'TL02'!J:J),
SUMIF('TL03'!C:C,C29,'TL03'!J:J),
SUMIF('TL04'!C:C,C29,'TL04'!J:J),
SUMIF('TL05'!C:C,C29,'TL05'!J:J),
SUMIF('TL06'!C:C,C29,'TL06'!J:J),
SUMIF('TL07'!C:C,C29,'TL07'!J:J),
SUMIF('TL08'!C:C,C29,'TL08'!J:J),
SUMIF('TL09'!C:C,C29,'TL09'!J:J),
SUMIF('TL10'!C:C,C29,'TL10'!J:J),
SUMIF('TL11'!C:C,C29,'TL11'!J:J),
SUMIF('TL12'!C:C,C29,'TL12'!J:J),
SUMIF('TL13'!C:C,C29,'TL13'!J:J),
SUMIF('TL14'!C:C,C29,'TL14'!J:J),
SUMIF('TL15'!C:C,C29,'TL15'!J:J),
SUMIF('TL16'!C:C,C29,'TL16'!J:J),
SUMIF('TL17'!C:C,C29,'TL17'!J:J),
SUMIF('TL18'!C:C,C29,'TL18'!J:J),SUMIF('TL19'!C:C,C29,'TL19'!J:J))
,0)</f>
        <v>0</v>
      </c>
      <c r="S29" s="17" t="str">
        <f>IFERROR(__xludf.DUMMYFUNCTION("IFERROR(VLOOKUP(C29,
IMPORTRANGE(""1wULbzX32WdYsx-lj2U3uUNBBe2INVIRDtcK0d-Dvl90"",
""26-27!C:G""),
5,
FALSE),
"""")"),"")</f>
        <v/>
      </c>
      <c r="T29" s="9"/>
      <c r="U29" s="92">
        <f t="shared" si="2"/>
        <v>0</v>
      </c>
      <c r="V29" s="93">
        <f t="shared" si="3"/>
        <v>0</v>
      </c>
    </row>
    <row r="30" ht="22.5" hidden="1" customHeight="1">
      <c r="A30" s="101"/>
      <c r="B30" s="102" t="s">
        <v>7</v>
      </c>
      <c r="C30" s="103" t="s">
        <v>413</v>
      </c>
      <c r="D30" s="103" t="s">
        <v>414</v>
      </c>
      <c r="E30" s="104"/>
      <c r="F30" s="4" t="s">
        <v>399</v>
      </c>
      <c r="G30" s="9"/>
      <c r="H30" s="9" t="str">
        <f>IFERROR(__xludf.DUMMYFUNCTION("IFERROR(VLOOKUP(C30,
IMPORTRANGE(""1wULbzX32WdYsx-lj2U3uUNBBe2INVIRDtcK0d-Dvl90"",
""26-27!C:K""),
8,
FALSE),
"""")"),"")</f>
        <v/>
      </c>
      <c r="I30" s="105"/>
      <c r="J30" s="9">
        <f>IFERROR(SUM(
IF('TL01'!$B$3=J$3,SUMIF('TL01'!$C$10:$C$224,$C30,'TL01'!$J$10:$J$224),0),
IF('TL01'!$B$229=J$3,SUMIF('TL01'!$C$238:$C$451,$C30,'TL01'!$J$238:$J$451),0),
IF('TL02'!$B$3=J$3,SUMIF('TL02'!$C$10:$C$224,$C30,'TL02'!$J$10:$J$224),0),
IF('TL02'!$B$229=J$3,SUMIF('TL02'!$C$238:$C$451,$C30,'TL02'!$J$238:$J$451),0),
IF('TL03'!$B$3=J$3,SUMIF('TL03'!$C$10:$C$224,$C30,'TL03'!$J$10:$J$224),0),
IF('TL03'!$B$229=J$3,SUMIF('TL03'!$C$238:$C$451,$C30,'TL03'!$J$238:$J$451),0),
IF('TL04'!$B$3=J$3,SUMIF('TL04'!$C$10:$C$224,$C30,'TL04'!$J$10:$J$224),0),
IF('TL04'!$B$229=J$3,SUMIF('TL04'!$C$238:$C$451,$C30,'TL04'!$J$238:$J$451),0),
IF('TL05'!$B$3=J$3,SUMIF('TL05'!$C$10:$C$224,$C30,'TL05'!$J$10:$J$224),0),
IF('TL05'!$B$229=J$3,SUMIF('TL05'!$C$238:$C$451,$C30,'TL05'!$J$238:$J$451),0),
IF('TL06'!$B$3=J$3,SUMIF('TL06'!$C$10:$C$224,$C30,'TL06'!$J$10:$J$224),0),
IF('TL06'!$B$229=J$3,SUMIF('TL06'!$C$238:$C$451,$C30,'TL06'!$J$238:$J$451),0),
IF('TL07'!$B$3=J$3,SUMIF('TL07'!$C$10:$C$224,$C30,'TL07'!$J$10:$J$224),0),
IF('TL07'!$B$229=J$3,SUMIF('TL07'!$C$238:$C$451,$C30,'TL07'!$J$238:$J$451),0),
IF('TL08'!$B$3=J$3,SUMIF('TL08'!$C$10:$C$224,$C30,'TL08'!$J$10:$J$224),0),
IF('TL08'!$B$229=J$3,SUMIF('TL08'!$C$238:$C$451,$C30,'TL08'!$J$238:$J$451),0),
IF('TL09'!$B$3=J$3,SUMIF('TL09'!$C$10:$C$224,$C30,'TL09'!$J$10:$J$224),0),
IF('TL09'!$B$229=J$3,SUMIF('TL09'!$C$238:$C$451,$C30,'TL09'!$J$238:$J$451),0),
IF('TL10'!$B$3=J$3,SUMIF('TL10'!$C$10:$C$224,$C30,'TL10'!$J$10:$J$224),0),
IF('TL10'!$B$229=J$3,SUMIF('TL10'!$C$238:$C$451,$C30,'TL10'!$J$238:$J$451),0),
IF('TL11'!$B$3=J$3,SUMIF('TL11'!$C$10:$C$224,$C30,'TL11'!$J$10:$J$224),0),
IF('TL11'!$B$229=J$3,SUMIF('TL11'!$C$238:$C$451,$C30,'TL11'!$J$238:$J$451),0),
IF('TL12'!$B$3=J$3,SUMIF('TL12'!$C$10:$C$224,$C30,'TL12'!$J$10:$J$224),0),
IF('TL12'!$B$229=J$3,SUMIF('TL12'!$C$238:$C$451,$C30,'TL12'!$J$238:$J$451),0),
IF('TL13'!$B$3=J$3,SUMIF('TL13'!$C$10:$C$224,$C30,'TL13'!$J$10:$J$224),0),
IF('TL13'!$B$229=J$3,SUMIF('TL13'!$C$238:$C$451,$C30,'TL13'!$J$238:$J$451),0),
IF('TL14'!$B$3=J$3,SUMIF('TL14'!$C$10:$C$224,$C30,'TL14'!$J$10:$J$224),0),
IF('TL14'!$B$229=J$3,SUMIF('TL14'!$C$238:$C$451,$C30,'TL14'!$J$238:$J$451),0),
IF('TL15'!$B$3=J$3,SUMIF('TL15'!$C$10:$C$224,$C30,'TL15'!$J$10:$J$224),0),
IF('TL15'!$B$229=J$3,SUMIF('TL15'!$C$238:$C$451,$C30,'TL15'!$J$238:$J$451),0),
IF('TL16'!$B$3=J$3,SUMIF('TL16'!$C$10:$C$224,$C30,'TL16'!$J$10:$J$224),0),
IF('TL16'!$B$229=J$3,SUMIF('TL16'!$C$238:$C$451,$C30,'TL16'!$J$238:$J$451),0),
IF('TL17'!$B$3=J$3,SUMIF('TL17'!$C$10:$C$224,$C30,'TL17'!$J$10:$J$224),0),
IF('TL17'!$B$229=J$3,SUMIF('TL17'!$C$238:$C$451,$C30,'TL17'!$J$238:$J$451),0),
IF('TL18'!$B$3=J$3,SUMIF('TL18'!$C$10:$C$224,$C30,'TL18'!$J$10:$J$224),0),
IF('TL18'!$B$229=J$3,SUMIF('TL18'!$C$238:$C$451,$C30,'TL18'!$J$238:$J$451),0),
IF('TL19'!$B$3=J$3,SUMIF('TL19'!$C$10:$C$224,$C30,'TL19'!$J$10:$J$224),0),
IF('TL19'!$B$229=J$3,SUMIF('TL19'!$C$238:$C$451,$C30,'TL19'!$J$238:$J$451),0)
),0)</f>
        <v>54</v>
      </c>
      <c r="K30" s="9">
        <f>IFERROR(SUM(
IF('TL01'!$B$3=K$3,SUMIF('TL01'!$C$10:$C$224,$C30,'TL01'!$J$10:$J$224),0),
IF('TL01'!$B$229=K$3,SUMIF('TL01'!$C$238:$C$451,$C30,'TL01'!$J$238:$J$451),0),
IF('TL02'!$B$3=K$3,SUMIF('TL02'!$C$10:$C$224,$C30,'TL02'!$J$10:$J$224),0),
IF('TL02'!$B$229=K$3,SUMIF('TL02'!$C$238:$C$451,$C30,'TL02'!$J$238:$J$451),0),
IF('TL03'!$B$3=K$3,SUMIF('TL03'!$C$10:$C$224,$C30,'TL03'!$J$10:$J$224),0),
IF('TL03'!$B$229=K$3,SUMIF('TL03'!$C$238:$C$451,$C30,'TL03'!$J$238:$J$451),0),
IF('TL04'!$B$3=K$3,SUMIF('TL04'!$C$10:$C$224,$C30,'TL04'!$J$10:$J$224),0),
IF('TL04'!$B$229=K$3,SUMIF('TL04'!$C$238:$C$451,$C30,'TL04'!$J$238:$J$451),0),
IF('TL05'!$B$3=K$3,SUMIF('TL05'!$C$10:$C$224,$C30,'TL05'!$J$10:$J$224),0),
IF('TL05'!$B$229=K$3,SUMIF('TL05'!$C$238:$C$451,$C30,'TL05'!$J$238:$J$451),0),
IF('TL06'!$B$3=K$3,SUMIF('TL06'!$C$10:$C$224,$C30,'TL06'!$J$10:$J$224),0),
IF('TL06'!$B$229=K$3,SUMIF('TL06'!$C$238:$C$451,$C30,'TL06'!$J$238:$J$451),0),
IF('TL07'!$B$3=K$3,SUMIF('TL07'!$C$10:$C$224,$C30,'TL07'!$J$10:$J$224),0),
IF('TL07'!$B$229=K$3,SUMIF('TL07'!$C$238:$C$451,$C30,'TL07'!$J$238:$J$451),0),
IF('TL08'!$B$3=K$3,SUMIF('TL08'!$C$10:$C$224,$C30,'TL08'!$J$10:$J$224),0),
IF('TL08'!$B$229=K$3,SUMIF('TL08'!$C$238:$C$451,$C30,'TL08'!$J$238:$J$451),0),
IF('TL09'!$B$3=K$3,SUMIF('TL09'!$C$10:$C$224,$C30,'TL09'!$J$10:$J$224),0),
IF('TL09'!$B$229=K$3,SUMIF('TL09'!$C$238:$C$451,$C30,'TL09'!$J$238:$J$451),0),
IF('TL10'!$B$3=K$3,SUMIF('TL10'!$C$10:$C$224,$C30,'TL10'!$J$10:$J$224),0),
IF('TL10'!$B$229=K$3,SUMIF('TL10'!$C$238:$C$451,$C30,'TL10'!$J$238:$J$451),0),
IF('TL11'!$B$3=K$3,SUMIF('TL11'!$C$10:$C$224,$C30,'TL11'!$J$10:$J$224),0),
IF('TL11'!$B$229=K$3,SUMIF('TL11'!$C$238:$C$451,$C30,'TL11'!$J$238:$J$451),0),
IF('TL12'!$B$3=K$3,SUMIF('TL12'!$C$10:$C$224,$C30,'TL12'!$J$10:$J$224),0),
IF('TL12'!$B$229=K$3,SUMIF('TL12'!$C$238:$C$451,$C30,'TL12'!$J$238:$J$451),0),
IF('TL13'!$B$3=K$3,SUMIF('TL13'!$C$10:$C$224,$C30,'TL13'!$J$10:$J$224),0),
IF('TL13'!$B$229=K$3,SUMIF('TL13'!$C$238:$C$451,$C30,'TL13'!$J$238:$J$451),0),
IF('TL14'!$B$3=K$3,SUMIF('TL14'!$C$10:$C$224,$C30,'TL14'!$J$10:$J$224),0),
IF('TL14'!$B$229=K$3,SUMIF('TL14'!$C$238:$C$451,$C30,'TL14'!$J$238:$J$451),0),
IF('TL15'!$B$3=K$3,SUMIF('TL15'!$C$10:$C$224,$C30,'TL15'!$J$10:$J$224),0),
IF('TL15'!$B$229=K$3,SUMIF('TL15'!$C$238:$C$451,$C30,'TL15'!$J$238:$J$451),0),
IF('TL16'!$B$3=K$3,SUMIF('TL16'!$C$10:$C$224,$C30,'TL16'!$J$10:$J$224),0),
IF('TL16'!$B$229=K$3,SUMIF('TL16'!$C$238:$C$451,$C30,'TL16'!$J$238:$J$451),0),
IF('TL17'!$B$3=K$3,SUMIF('TL17'!$C$10:$C$224,$C30,'TL17'!$J$10:$J$224),0),
IF('TL17'!$B$229=K$3,SUMIF('TL17'!$C$238:$C$451,$C30,'TL17'!$J$238:$J$451),0),
IF('TL18'!$B$3=K$3,SUMIF('TL18'!$C$10:$C$224,$C30,'TL18'!$J$10:$J$224),0),
IF('TL18'!$B$229=K$3,SUMIF('TL18'!$C$238:$C$451,$C30,'TL18'!$J$238:$J$451),0),
IF('TL19'!$B$3=K$3,SUMIF('TL19'!$C$10:$C$224,$C30,'TL19'!$J$10:$J$224),0),
IF('TL19'!$B$229=K$3,SUMIF('TL19'!$C$238:$C$451,$C30,'TL19'!$J$238:$J$451),0)
),0)</f>
        <v>60</v>
      </c>
      <c r="L30" s="9">
        <f>IFERROR(SUM(
IF('TL01'!$B$3=L$3,SUMIF('TL01'!$C$10:$C$224,$C30,'TL01'!$J$10:$J$224),0),
IF('TL01'!$B$229=L$3,SUMIF('TL01'!$C$238:$C$451,$C30,'TL01'!$J$238:$J$451),0),
IF('TL02'!$B$3=L$3,SUMIF('TL02'!$C$10:$C$224,$C30,'TL02'!$J$10:$J$224),0),
IF('TL02'!$B$229=L$3,SUMIF('TL02'!$C$238:$C$451,$C30,'TL02'!$J$238:$J$451),0),
IF('TL03'!$B$3=L$3,SUMIF('TL03'!$C$10:$C$224,$C30,'TL03'!$J$10:$J$224),0),
IF('TL03'!$B$229=L$3,SUMIF('TL03'!$C$238:$C$451,$C30,'TL03'!$J$238:$J$451),0),
IF('TL04'!$B$3=L$3,SUMIF('TL04'!$C$10:$C$224,$C30,'TL04'!$J$10:$J$224),0),
IF('TL04'!$B$229=L$3,SUMIF('TL04'!$C$238:$C$451,$C30,'TL04'!$J$238:$J$451),0),
IF('TL05'!$B$3=L$3,SUMIF('TL05'!$C$10:$C$224,$C30,'TL05'!$J$10:$J$224),0),
IF('TL05'!$B$229=L$3,SUMIF('TL05'!$C$238:$C$451,$C30,'TL05'!$J$238:$J$451),0),
IF('TL06'!$B$3=L$3,SUMIF('TL06'!$C$10:$C$224,$C30,'TL06'!$J$10:$J$224),0),
IF('TL06'!$B$229=L$3,SUMIF('TL06'!$C$238:$C$451,$C30,'TL06'!$J$238:$J$451),0),
IF('TL07'!$B$3=L$3,SUMIF('TL07'!$C$10:$C$224,$C30,'TL07'!$J$10:$J$224),0),
IF('TL07'!$B$229=L$3,SUMIF('TL07'!$C$238:$C$451,$C30,'TL07'!$J$238:$J$451),0),
IF('TL08'!$B$3=L$3,SUMIF('TL08'!$C$10:$C$224,$C30,'TL08'!$J$10:$J$224),0),
IF('TL08'!$B$229=L$3,SUMIF('TL08'!$C$238:$C$451,$C30,'TL08'!$J$238:$J$451),0),
IF('TL09'!$B$3=L$3,SUMIF('TL09'!$C$10:$C$224,$C30,'TL09'!$J$10:$J$224),0),
IF('TL09'!$B$229=L$3,SUMIF('TL09'!$C$238:$C$451,$C30,'TL09'!$J$238:$J$451),0),
IF('TL10'!$B$3=L$3,SUMIF('TL10'!$C$10:$C$224,$C30,'TL10'!$J$10:$J$224),0),
IF('TL10'!$B$229=L$3,SUMIF('TL10'!$C$238:$C$451,$C30,'TL10'!$J$238:$J$451),0),
IF('TL11'!$B$3=L$3,SUMIF('TL11'!$C$10:$C$224,$C30,'TL11'!$J$10:$J$224),0),
IF('TL11'!$B$229=L$3,SUMIF('TL11'!$C$238:$C$451,$C30,'TL11'!$J$238:$J$451),0),
IF('TL12'!$B$3=L$3,SUMIF('TL12'!$C$10:$C$224,$C30,'TL12'!$J$10:$J$224),0),
IF('TL12'!$B$229=L$3,SUMIF('TL12'!$C$238:$C$451,$C30,'TL12'!$J$238:$J$451),0),
IF('TL13'!$B$3=L$3,SUMIF('TL13'!$C$10:$C$224,$C30,'TL13'!$J$10:$J$224),0),
IF('TL13'!$B$229=L$3,SUMIF('TL13'!$C$238:$C$451,$C30,'TL13'!$J$238:$J$451),0),
IF('TL14'!$B$3=L$3,SUMIF('TL14'!$C$10:$C$224,$C30,'TL14'!$J$10:$J$224),0),
IF('TL14'!$B$229=L$3,SUMIF('TL14'!$C$238:$C$451,$C30,'TL14'!$J$238:$J$451),0),
IF('TL15'!$B$3=L$3,SUMIF('TL15'!$C$10:$C$224,$C30,'TL15'!$J$10:$J$224),0),
IF('TL15'!$B$229=L$3,SUMIF('TL15'!$C$238:$C$451,$C30,'TL15'!$J$238:$J$451),0),
IF('TL16'!$B$3=L$3,SUMIF('TL16'!$C$10:$C$224,$C30,'TL16'!$J$10:$J$224),0),
IF('TL16'!$B$229=L$3,SUMIF('TL16'!$C$238:$C$451,$C30,'TL16'!$J$238:$J$451),0),
IF('TL17'!$B$3=L$3,SUMIF('TL17'!$C$10:$C$224,$C30,'TL17'!$J$10:$J$224),0),
IF('TL17'!$B$229=L$3,SUMIF('TL17'!$C$238:$C$451,$C30,'TL17'!$J$238:$J$451),0),
IF('TL18'!$B$3=L$3,SUMIF('TL18'!$C$10:$C$224,$C30,'TL18'!$J$10:$J$224),0),
IF('TL18'!$B$229=L$3,SUMIF('TL18'!$C$238:$C$451,$C30,'TL18'!$J$238:$J$451),0),
IF('TL19'!$B$3=L$3,SUMIF('TL19'!$C$10:$C$224,$C30,'TL19'!$J$10:$J$224),0),
IF('TL19'!$B$229=L$3,SUMIF('TL19'!$C$238:$C$451,$C30,'TL19'!$J$238:$J$451),0)
),0)</f>
        <v>44</v>
      </c>
      <c r="M30" s="9">
        <f>IFERROR(SUM(
IF('TL01'!$B$3=M$3,SUMIF('TL01'!$C$10:$C$224,$C30,'TL01'!$J$10:$J$224),0),
IF('TL01'!$B$229=M$3,SUMIF('TL01'!$C$238:$C$451,$C30,'TL01'!$J$238:$J$451),0),
IF('TL02'!$B$3=M$3,SUMIF('TL02'!$C$10:$C$224,$C30,'TL02'!$J$10:$J$224),0),
IF('TL02'!$B$229=M$3,SUMIF('TL02'!$C$238:$C$451,$C30,'TL02'!$J$238:$J$451),0),
IF('TL03'!$B$3=M$3,SUMIF('TL03'!$C$10:$C$224,$C30,'TL03'!$J$10:$J$224),0),
IF('TL03'!$B$229=M$3,SUMIF('TL03'!$C$238:$C$451,$C30,'TL03'!$J$238:$J$451),0),
IF('TL04'!$B$3=M$3,SUMIF('TL04'!$C$10:$C$224,$C30,'TL04'!$J$10:$J$224),0),
IF('TL04'!$B$229=M$3,SUMIF('TL04'!$C$238:$C$451,$C30,'TL04'!$J$238:$J$451),0),
IF('TL05'!$B$3=M$3,SUMIF('TL05'!$C$10:$C$224,$C30,'TL05'!$J$10:$J$224),0),
IF('TL05'!$B$229=M$3,SUMIF('TL05'!$C$238:$C$451,$C30,'TL05'!$J$238:$J$451),0),
IF('TL06'!$B$3=M$3,SUMIF('TL06'!$C$10:$C$224,$C30,'TL06'!$J$10:$J$224),0),
IF('TL06'!$B$229=M$3,SUMIF('TL06'!$C$238:$C$451,$C30,'TL06'!$J$238:$J$451),0),
IF('TL07'!$B$3=M$3,SUMIF('TL07'!$C$10:$C$224,$C30,'TL07'!$J$10:$J$224),0),
IF('TL07'!$B$229=M$3,SUMIF('TL07'!$C$238:$C$451,$C30,'TL07'!$J$238:$J$451),0),
IF('TL08'!$B$3=M$3,SUMIF('TL08'!$C$10:$C$224,$C30,'TL08'!$J$10:$J$224),0),
IF('TL08'!$B$229=M$3,SUMIF('TL08'!$C$238:$C$451,$C30,'TL08'!$J$238:$J$451),0),
IF('TL09'!$B$3=M$3,SUMIF('TL09'!$C$10:$C$224,$C30,'TL09'!$J$10:$J$224),0),
IF('TL09'!$B$229=M$3,SUMIF('TL09'!$C$238:$C$451,$C30,'TL09'!$J$238:$J$451),0),
IF('TL10'!$B$3=M$3,SUMIF('TL10'!$C$10:$C$224,$C30,'TL10'!$J$10:$J$224),0),
IF('TL10'!$B$229=M$3,SUMIF('TL10'!$C$238:$C$451,$C30,'TL10'!$J$238:$J$451),0),
IF('TL11'!$B$3=M$3,SUMIF('TL11'!$C$10:$C$224,$C30,'TL11'!$J$10:$J$224),0),
IF('TL11'!$B$229=M$3,SUMIF('TL11'!$C$238:$C$451,$C30,'TL11'!$J$238:$J$451),0),
IF('TL12'!$B$3=M$3,SUMIF('TL12'!$C$10:$C$224,$C30,'TL12'!$J$10:$J$224),0),
IF('TL12'!$B$229=M$3,SUMIF('TL12'!$C$238:$C$451,$C30,'TL12'!$J$238:$J$451),0),
IF('TL13'!$B$3=M$3,SUMIF('TL13'!$C$10:$C$224,$C30,'TL13'!$J$10:$J$224),0),
IF('TL13'!$B$229=M$3,SUMIF('TL13'!$C$238:$C$451,$C30,'TL13'!$J$238:$J$451),0),
IF('TL14'!$B$3=M$3,SUMIF('TL14'!$C$10:$C$224,$C30,'TL14'!$J$10:$J$224),0),
IF('TL14'!$B$229=M$3,SUMIF('TL14'!$C$238:$C$451,$C30,'TL14'!$J$238:$J$451),0),
IF('TL15'!$B$3=M$3,SUMIF('TL15'!$C$10:$C$224,$C30,'TL15'!$J$10:$J$224),0),
IF('TL15'!$B$229=M$3,SUMIF('TL15'!$C$238:$C$451,$C30,'TL15'!$J$238:$J$451),0),
IF('TL16'!$B$3=M$3,SUMIF('TL16'!$C$10:$C$224,$C30,'TL16'!$J$10:$J$224),0),
IF('TL16'!$B$229=M$3,SUMIF('TL16'!$C$238:$C$451,$C30,'TL16'!$J$238:$J$451),0),
IF('TL17'!$B$3=M$3,SUMIF('TL17'!$C$10:$C$224,$C30,'TL17'!$J$10:$J$224),0),
IF('TL17'!$B$229=M$3,SUMIF('TL17'!$C$238:$C$451,$C30,'TL17'!$J$238:$J$451),0),
IF('TL18'!$B$3=M$3,SUMIF('TL18'!$C$10:$C$224,$C30,'TL18'!$J$10:$J$224),0),
IF('TL18'!$B$229=M$3,SUMIF('TL18'!$C$238:$C$451,$C30,'TL18'!$J$238:$J$451),0),
IF('TL19'!$B$3=M$3,SUMIF('TL19'!$C$10:$C$224,$C30,'TL19'!$J$10:$J$224),0),
IF('TL19'!$B$229=M$3,SUMIF('TL19'!$C$238:$C$451,$C30,'TL19'!$J$238:$J$451),0)
),0)</f>
        <v>0</v>
      </c>
      <c r="N30" s="9">
        <f>IFERROR(SUM(
IF('TL01'!$B$3=N$3,SUMIF('TL01'!$C$10:$C$224,$C30,'TL01'!$J$10:$J$224),0),
IF('TL01'!$B$229=N$3,SUMIF('TL01'!$C$238:$C$451,$C30,'TL01'!$J$238:$J$451),0),
IF('TL02'!$B$3=N$3,SUMIF('TL02'!$C$10:$C$224,$C30,'TL02'!$J$10:$J$224),0),
IF('TL02'!$B$229=N$3,SUMIF('TL02'!$C$238:$C$451,$C30,'TL02'!$J$238:$J$451),0),
IF('TL03'!$B$3=N$3,SUMIF('TL03'!$C$10:$C$224,$C30,'TL03'!$J$10:$J$224),0),
IF('TL03'!$B$229=N$3,SUMIF('TL03'!$C$238:$C$451,$C30,'TL03'!$J$238:$J$451),0),
IF('TL04'!$B$3=N$3,SUMIF('TL04'!$C$10:$C$224,$C30,'TL04'!$J$10:$J$224),0),
IF('TL04'!$B$229=N$3,SUMIF('TL04'!$C$238:$C$451,$C30,'TL04'!$J$238:$J$451),0),
IF('TL05'!$B$3=N$3,SUMIF('TL05'!$C$10:$C$224,$C30,'TL05'!$J$10:$J$224),0),
IF('TL05'!$B$229=N$3,SUMIF('TL05'!$C$238:$C$451,$C30,'TL05'!$J$238:$J$451),0),
IF('TL06'!$B$3=N$3,SUMIF('TL06'!$C$10:$C$224,$C30,'TL06'!$J$10:$J$224),0),
IF('TL06'!$B$229=N$3,SUMIF('TL06'!$C$238:$C$451,$C30,'TL06'!$J$238:$J$451),0),
IF('TL07'!$B$3=N$3,SUMIF('TL07'!$C$10:$C$224,$C30,'TL07'!$J$10:$J$224),0),
IF('TL07'!$B$229=N$3,SUMIF('TL07'!$C$238:$C$451,$C30,'TL07'!$J$238:$J$451),0),
IF('TL08'!$B$3=N$3,SUMIF('TL08'!$C$10:$C$224,$C30,'TL08'!$J$10:$J$224),0),
IF('TL08'!$B$229=N$3,SUMIF('TL08'!$C$238:$C$451,$C30,'TL08'!$J$238:$J$451),0),
IF('TL09'!$B$3=N$3,SUMIF('TL09'!$C$10:$C$224,$C30,'TL09'!$J$10:$J$224),0),
IF('TL09'!$B$229=N$3,SUMIF('TL09'!$C$238:$C$451,$C30,'TL09'!$J$238:$J$451),0),
IF('TL10'!$B$3=N$3,SUMIF('TL10'!$C$10:$C$224,$C30,'TL10'!$J$10:$J$224),0),
IF('TL10'!$B$229=N$3,SUMIF('TL10'!$C$238:$C$451,$C30,'TL10'!$J$238:$J$451),0),
IF('TL11'!$B$3=N$3,SUMIF('TL11'!$C$10:$C$224,$C30,'TL11'!$J$10:$J$224),0),
IF('TL11'!$B$229=N$3,SUMIF('TL11'!$C$238:$C$451,$C30,'TL11'!$J$238:$J$451),0),
IF('TL12'!$B$3=N$3,SUMIF('TL12'!$C$10:$C$224,$C30,'TL12'!$J$10:$J$224),0),
IF('TL12'!$B$229=N$3,SUMIF('TL12'!$C$238:$C$451,$C30,'TL12'!$J$238:$J$451),0),
IF('TL13'!$B$3=N$3,SUMIF('TL13'!$C$10:$C$224,$C30,'TL13'!$J$10:$J$224),0),
IF('TL13'!$B$229=N$3,SUMIF('TL13'!$C$238:$C$451,$C30,'TL13'!$J$238:$J$451),0),
IF('TL14'!$B$3=N$3,SUMIF('TL14'!$C$10:$C$224,$C30,'TL14'!$J$10:$J$224),0),
IF('TL14'!$B$229=N$3,SUMIF('TL14'!$C$238:$C$451,$C30,'TL14'!$J$238:$J$451),0),
IF('TL15'!$B$3=N$3,SUMIF('TL15'!$C$10:$C$224,$C30,'TL15'!$J$10:$J$224),0),
IF('TL15'!$B$229=N$3,SUMIF('TL15'!$C$238:$C$451,$C30,'TL15'!$J$238:$J$451),0),
IF('TL16'!$B$3=N$3,SUMIF('TL16'!$C$10:$C$224,$C30,'TL16'!$J$10:$J$224),0),
IF('TL16'!$B$229=N$3,SUMIF('TL16'!$C$238:$C$451,$C30,'TL16'!$J$238:$J$451),0),
IF('TL17'!$B$3=N$3,SUMIF('TL17'!$C$10:$C$224,$C30,'TL17'!$J$10:$J$224),0),
IF('TL17'!$B$229=N$3,SUMIF('TL17'!$C$238:$C$451,$C30,'TL17'!$J$238:$J$451),0),
IF('TL18'!$B$3=N$3,SUMIF('TL18'!$C$10:$C$224,$C30,'TL18'!$J$10:$J$224),0),
IF('TL18'!$B$229=N$3,SUMIF('TL18'!$C$238:$C$451,$C30,'TL18'!$J$238:$J$451),0),
IF('TL19'!$B$3=N$3,SUMIF('TL19'!$C$10:$C$224,$C30,'TL19'!$J$10:$J$224),0),
IF('TL19'!$B$229=N$3,SUMIF('TL19'!$C$238:$C$451,$C30,'TL19'!$J$238:$J$451),0)
),0)</f>
        <v>75.2</v>
      </c>
      <c r="O30" s="9">
        <f>IFERROR(SUM(
IF('TL01'!$B$3=O$3,SUMIF('TL01'!$C$10:$C$224,$C30,'TL01'!$J$10:$J$224),0),
IF('TL01'!$B$229=O$3,SUMIF('TL01'!$C$238:$C$451,$C30,'TL01'!$J$238:$J$451),0),
IF('TL02'!$B$3=O$3,SUMIF('TL02'!$C$10:$C$224,$C30,'TL02'!$J$10:$J$224),0),
IF('TL02'!$B$229=O$3,SUMIF('TL02'!$C$238:$C$451,$C30,'TL02'!$J$238:$J$451),0),
IF('TL03'!$B$3=O$3,SUMIF('TL03'!$C$10:$C$224,$C30,'TL03'!$J$10:$J$224),0),
IF('TL03'!$B$229=O$3,SUMIF('TL03'!$C$238:$C$451,$C30,'TL03'!$J$238:$J$451),0),
IF('TL04'!$B$3=O$3,SUMIF('TL04'!$C$10:$C$224,$C30,'TL04'!$J$10:$J$224),0),
IF('TL04'!$B$229=O$3,SUMIF('TL04'!$C$238:$C$451,$C30,'TL04'!$J$238:$J$451),0),
IF('TL05'!$B$3=O$3,SUMIF('TL05'!$C$10:$C$224,$C30,'TL05'!$J$10:$J$224),0),
IF('TL05'!$B$229=O$3,SUMIF('TL05'!$C$238:$C$451,$C30,'TL05'!$J$238:$J$451),0),
IF('TL06'!$B$3=O$3,SUMIF('TL06'!$C$10:$C$224,$C30,'TL06'!$J$10:$J$224),0),
IF('TL06'!$B$229=O$3,SUMIF('TL06'!$C$238:$C$451,$C30,'TL06'!$J$238:$J$451),0),
IF('TL07'!$B$3=O$3,SUMIF('TL07'!$C$10:$C$224,$C30,'TL07'!$J$10:$J$224),0),
IF('TL07'!$B$229=O$3,SUMIF('TL07'!$C$238:$C$451,$C30,'TL07'!$J$238:$J$451),0),
IF('TL08'!$B$3=O$3,SUMIF('TL08'!$C$10:$C$224,$C30,'TL08'!$J$10:$J$224),0),
IF('TL08'!$B$229=O$3,SUMIF('TL08'!$C$238:$C$451,$C30,'TL08'!$J$238:$J$451),0),
IF('TL09'!$B$3=O$3,SUMIF('TL09'!$C$10:$C$224,$C30,'TL09'!$J$10:$J$224),0),
IF('TL09'!$B$229=O$3,SUMIF('TL09'!$C$238:$C$451,$C30,'TL09'!$J$238:$J$451),0),
IF('TL10'!$B$3=O$3,SUMIF('TL10'!$C$10:$C$224,$C30,'TL10'!$J$10:$J$224),0),
IF('TL10'!$B$229=O$3,SUMIF('TL10'!$C$238:$C$451,$C30,'TL10'!$J$238:$J$451),0),
IF('TL11'!$B$3=O$3,SUMIF('TL11'!$C$10:$C$224,$C30,'TL11'!$J$10:$J$224),0),
IF('TL11'!$B$229=O$3,SUMIF('TL11'!$C$238:$C$451,$C30,'TL11'!$J$238:$J$451),0),
IF('TL12'!$B$3=O$3,SUMIF('TL12'!$C$10:$C$224,$C30,'TL12'!$J$10:$J$224),0),
IF('TL12'!$B$229=O$3,SUMIF('TL12'!$C$238:$C$451,$C30,'TL12'!$J$238:$J$451),0),
IF('TL13'!$B$3=O$3,SUMIF('TL13'!$C$10:$C$224,$C30,'TL13'!$J$10:$J$224),0),
IF('TL13'!$B$229=O$3,SUMIF('TL13'!$C$238:$C$451,$C30,'TL13'!$J$238:$J$451),0),
IF('TL14'!$B$3=O$3,SUMIF('TL14'!$C$10:$C$224,$C30,'TL14'!$J$10:$J$224),0),
IF('TL14'!$B$229=O$3,SUMIF('TL14'!$C$238:$C$451,$C30,'TL14'!$J$238:$J$451),0),
IF('TL15'!$B$3=O$3,SUMIF('TL15'!$C$10:$C$224,$C30,'TL15'!$J$10:$J$224),0),
IF('TL15'!$B$229=O$3,SUMIF('TL15'!$C$238:$C$451,$C30,'TL15'!$J$238:$J$451),0),
IF('TL16'!$B$3=O$3,SUMIF('TL16'!$C$10:$C$224,$C30,'TL16'!$J$10:$J$224),0),
IF('TL16'!$B$229=O$3,SUMIF('TL16'!$C$238:$C$451,$C30,'TL16'!$J$238:$J$451),0),
IF('TL17'!$B$3=O$3,SUMIF('TL17'!$C$10:$C$224,$C30,'TL17'!$J$10:$J$224),0),
IF('TL17'!$B$229=O$3,SUMIF('TL17'!$C$238:$C$451,$C30,'TL17'!$J$238:$J$451),0),
IF('TL18'!$B$3=O$3,SUMIF('TL18'!$C$10:$C$224,$C30,'TL18'!$J$10:$J$224),0),
IF('TL18'!$B$229=O$3,SUMIF('TL18'!$C$238:$C$451,$C30,'TL18'!$J$238:$J$451),0),
IF('TL19'!$B$3=O$3,SUMIF('TL19'!$C$10:$C$224,$C30,'TL19'!$J$10:$J$224),0),
IF('TL19'!$B$229=O$3,SUMIF('TL19'!$C$238:$C$451,$C30,'TL19'!$J$238:$J$451),0)
),0)</f>
        <v>0</v>
      </c>
      <c r="P30" s="9">
        <f>IFERROR(SUM(
IF('TL01'!$B$3=P$3,SUMIF('TL01'!$C$10:$C$224,$C30,'TL01'!$J$10:$J$224),0),
IF('TL01'!$B$229=P$3,SUMIF('TL01'!$C$238:$C$451,$C30,'TL01'!$J$238:$J$451),0),
IF('TL02'!$B$3=P$3,SUMIF('TL02'!$C$10:$C$224,$C30,'TL02'!$J$10:$J$224),0),
IF('TL02'!$B$229=P$3,SUMIF('TL02'!$C$238:$C$451,$C30,'TL02'!$J$238:$J$451),0),
IF('TL03'!$B$3=P$3,SUMIF('TL03'!$C$10:$C$224,$C30,'TL03'!$J$10:$J$224),0),
IF('TL03'!$B$229=P$3,SUMIF('TL03'!$C$238:$C$451,$C30,'TL03'!$J$238:$J$451),0),
IF('TL04'!$B$3=P$3,SUMIF('TL04'!$C$10:$C$224,$C30,'TL04'!$J$10:$J$224),0),
IF('TL04'!$B$229=P$3,SUMIF('TL04'!$C$238:$C$451,$C30,'TL04'!$J$238:$J$451),0),
IF('TL05'!$B$3=P$3,SUMIF('TL05'!$C$10:$C$224,$C30,'TL05'!$J$10:$J$224),0),
IF('TL05'!$B$229=P$3,SUMIF('TL05'!$C$238:$C$451,$C30,'TL05'!$J$238:$J$451),0),
IF('TL06'!$B$3=P$3,SUMIF('TL06'!$C$10:$C$224,$C30,'TL06'!$J$10:$J$224),0),
IF('TL06'!$B$229=P$3,SUMIF('TL06'!$C$238:$C$451,$C30,'TL06'!$J$238:$J$451),0),
IF('TL07'!$B$3=P$3,SUMIF('TL07'!$C$10:$C$224,$C30,'TL07'!$J$10:$J$224),0),
IF('TL07'!$B$229=P$3,SUMIF('TL07'!$C$238:$C$451,$C30,'TL07'!$J$238:$J$451),0),
IF('TL08'!$B$3=P$3,SUMIF('TL08'!$C$10:$C$224,$C30,'TL08'!$J$10:$J$224),0),
IF('TL08'!$B$229=P$3,SUMIF('TL08'!$C$238:$C$451,$C30,'TL08'!$J$238:$J$451),0),
IF('TL09'!$B$3=P$3,SUMIF('TL09'!$C$10:$C$224,$C30,'TL09'!$J$10:$J$224),0),
IF('TL09'!$B$229=P$3,SUMIF('TL09'!$C$238:$C$451,$C30,'TL09'!$J$238:$J$451),0),
IF('TL10'!$B$3=P$3,SUMIF('TL10'!$C$10:$C$224,$C30,'TL10'!$J$10:$J$224),0),
IF('TL10'!$B$229=P$3,SUMIF('TL10'!$C$238:$C$451,$C30,'TL10'!$J$238:$J$451),0),
IF('TL11'!$B$3=P$3,SUMIF('TL11'!$C$10:$C$224,$C30,'TL11'!$J$10:$J$224),0),
IF('TL11'!$B$229=P$3,SUMIF('TL11'!$C$238:$C$451,$C30,'TL11'!$J$238:$J$451),0),
IF('TL12'!$B$3=P$3,SUMIF('TL12'!$C$10:$C$224,$C30,'TL12'!$J$10:$J$224),0),
IF('TL12'!$B$229=P$3,SUMIF('TL12'!$C$238:$C$451,$C30,'TL12'!$J$238:$J$451),0),
IF('TL13'!$B$3=P$3,SUMIF('TL13'!$C$10:$C$224,$C30,'TL13'!$J$10:$J$224),0),
IF('TL13'!$B$229=P$3,SUMIF('TL13'!$C$238:$C$451,$C30,'TL13'!$J$238:$J$451),0),
IF('TL14'!$B$3=P$3,SUMIF('TL14'!$C$10:$C$224,$C30,'TL14'!$J$10:$J$224),0),
IF('TL14'!$B$229=P$3,SUMIF('TL14'!$C$238:$C$451,$C30,'TL14'!$J$238:$J$451),0),
IF('TL15'!$B$3=P$3,SUMIF('TL15'!$C$10:$C$224,$C30,'TL15'!$J$10:$J$224),0),
IF('TL15'!$B$229=P$3,SUMIF('TL15'!$C$238:$C$451,$C30,'TL15'!$J$238:$J$451),0),
IF('TL16'!$B$3=P$3,SUMIF('TL16'!$C$10:$C$224,$C30,'TL16'!$J$10:$J$224),0),
IF('TL16'!$B$229=P$3,SUMIF('TL16'!$C$238:$C$451,$C30,'TL16'!$J$238:$J$451),0),
IF('TL17'!$B$3=P$3,SUMIF('TL17'!$C$10:$C$224,$C30,'TL17'!$J$10:$J$224),0),
IF('TL17'!$B$229=P$3,SUMIF('TL17'!$C$238:$C$451,$C30,'TL17'!$J$238:$J$451),0),
IF('TL18'!$B$3=P$3,SUMIF('TL18'!$C$10:$C$224,$C30,'TL18'!$J$10:$J$224),0),
IF('TL18'!$B$229=P$3,SUMIF('TL18'!$C$238:$C$451,$C30,'TL18'!$J$238:$J$451),0),
IF('TL19'!$B$3=P$3,SUMIF('TL19'!$C$10:$C$224,$C30,'TL19'!$J$10:$J$224),0),
IF('TL19'!$B$229=P$3,SUMIF('TL19'!$C$238:$C$451,$C30,'TL19'!$J$238:$J$451),0)
),0)</f>
        <v>0</v>
      </c>
      <c r="Q30" s="9">
        <f>IFERROR(SUM(
IF('TL01'!$B$3=Q$3,SUMIF('TL01'!$C$10:$C$224,$C30,'TL01'!$J$10:$J$224),0),
IF('TL01'!$B$229=Q$3,SUMIF('TL01'!$C$238:$C$451,$C30,'TL01'!$J$238:$J$451),0),
IF('TL02'!$B$3=Q$3,SUMIF('TL02'!$C$10:$C$224,$C30,'TL02'!$J$10:$J$224),0),
IF('TL02'!$B$229=Q$3,SUMIF('TL02'!$C$238:$C$451,$C30,'TL02'!$J$238:$J$451),0),
IF('TL03'!$B$3=Q$3,SUMIF('TL03'!$C$10:$C$224,$C30,'TL03'!$J$10:$J$224),0),
IF('TL03'!$B$229=Q$3,SUMIF('TL03'!$C$238:$C$451,$C30,'TL03'!$J$238:$J$451),0),
IF('TL04'!$B$3=Q$3,SUMIF('TL04'!$C$10:$C$224,$C30,'TL04'!$J$10:$J$224),0),
IF('TL04'!$B$229=Q$3,SUMIF('TL04'!$C$238:$C$451,$C30,'TL04'!$J$238:$J$451),0),
IF('TL05'!$B$3=Q$3,SUMIF('TL05'!$C$10:$C$224,$C30,'TL05'!$J$10:$J$224),0),
IF('TL05'!$B$229=Q$3,SUMIF('TL05'!$C$238:$C$451,$C30,'TL05'!$J$238:$J$451),0),
IF('TL06'!$B$3=Q$3,SUMIF('TL06'!$C$10:$C$224,$C30,'TL06'!$J$10:$J$224),0),
IF('TL06'!$B$229=Q$3,SUMIF('TL06'!$C$238:$C$451,$C30,'TL06'!$J$238:$J$451),0),
IF('TL07'!$B$3=Q$3,SUMIF('TL07'!$C$10:$C$224,$C30,'TL07'!$J$10:$J$224),0),
IF('TL07'!$B$229=Q$3,SUMIF('TL07'!$C$238:$C$451,$C30,'TL07'!$J$238:$J$451),0),
IF('TL08'!$B$3=Q$3,SUMIF('TL08'!$C$10:$C$224,$C30,'TL08'!$J$10:$J$224),0),
IF('TL08'!$B$229=Q$3,SUMIF('TL08'!$C$238:$C$451,$C30,'TL08'!$J$238:$J$451),0),
IF('TL09'!$B$3=Q$3,SUMIF('TL09'!$C$10:$C$224,$C30,'TL09'!$J$10:$J$224),0),
IF('TL09'!$B$229=Q$3,SUMIF('TL09'!$C$238:$C$451,$C30,'TL09'!$J$238:$J$451),0),
IF('TL10'!$B$3=Q$3,SUMIF('TL10'!$C$10:$C$224,$C30,'TL10'!$J$10:$J$224),0),
IF('TL10'!$B$229=Q$3,SUMIF('TL10'!$C$238:$C$451,$C30,'TL10'!$J$238:$J$451),0),
IF('TL11'!$B$3=Q$3,SUMIF('TL11'!$C$10:$C$224,$C30,'TL11'!$J$10:$J$224),0),
IF('TL11'!$B$229=Q$3,SUMIF('TL11'!$C$238:$C$451,$C30,'TL11'!$J$238:$J$451),0),
IF('TL12'!$B$3=Q$3,SUMIF('TL12'!$C$10:$C$224,$C30,'TL12'!$J$10:$J$224),0),
IF('TL12'!$B$229=Q$3,SUMIF('TL12'!$C$238:$C$451,$C30,'TL12'!$J$238:$J$451),0),
IF('TL13'!$B$3=Q$3,SUMIF('TL13'!$C$10:$C$224,$C30,'TL13'!$J$10:$J$224),0),
IF('TL13'!$B$229=Q$3,SUMIF('TL13'!$C$238:$C$451,$C30,'TL13'!$J$238:$J$451),0),
IF('TL14'!$B$3=Q$3,SUMIF('TL14'!$C$10:$C$224,$C30,'TL14'!$J$10:$J$224),0),
IF('TL14'!$B$229=Q$3,SUMIF('TL14'!$C$238:$C$451,$C30,'TL14'!$J$238:$J$451),0),
IF('TL15'!$B$3=Q$3,SUMIF('TL15'!$C$10:$C$224,$C30,'TL15'!$J$10:$J$224),0),
IF('TL15'!$B$229=Q$3,SUMIF('TL15'!$C$238:$C$451,$C30,'TL15'!$J$238:$J$451),0),
IF('TL16'!$B$3=Q$3,SUMIF('TL16'!$C$10:$C$224,$C30,'TL16'!$J$10:$J$224),0),
IF('TL16'!$B$229=Q$3,SUMIF('TL16'!$C$238:$C$451,$C30,'TL16'!$J$238:$J$451),0),
IF('TL17'!$B$3=Q$3,SUMIF('TL17'!$C$10:$C$224,$C30,'TL17'!$J$10:$J$224),0),
IF('TL17'!$B$229=Q$3,SUMIF('TL17'!$C$238:$C$451,$C30,'TL17'!$J$238:$J$451),0),
IF('TL18'!$B$3=Q$3,SUMIF('TL18'!$C$10:$C$224,$C30,'TL18'!$J$10:$J$224),0),
IF('TL18'!$B$229=Q$3,SUMIF('TL18'!$C$238:$C$451,$C30,'TL18'!$J$238:$J$451),0),
IF('TL19'!$B$3=Q$3,SUMIF('TL19'!$C$10:$C$224,$C30,'TL19'!$J$10:$J$224),0),
IF('TL19'!$B$229=Q$3,SUMIF('TL19'!$C$238:$C$451,$C30,'TL19'!$J$238:$J$451),0)
),0)</f>
        <v>0</v>
      </c>
      <c r="R30" s="9">
        <f>IFERROR(
SUM(
SUMIF('TL01'!C:C,C30,'TL01'!J:J),
SUMIF('TL02'!C:C,C30,'TL02'!J:J),
SUMIF('TL03'!C:C,C30,'TL03'!J:J),
SUMIF('TL04'!C:C,C30,'TL04'!J:J),
SUMIF('TL05'!C:C,C30,'TL05'!J:J),
SUMIF('TL06'!C:C,C30,'TL06'!J:J),
SUMIF('TL07'!C:C,C30,'TL07'!J:J),
SUMIF('TL08'!C:C,C30,'TL08'!J:J),
SUMIF('TL09'!C:C,C30,'TL09'!J:J),
SUMIF('TL10'!C:C,C30,'TL10'!J:J),
SUMIF('TL11'!C:C,C30,'TL11'!J:J),
SUMIF('TL12'!C:C,C30,'TL12'!J:J),
SUMIF('TL13'!C:C,C30,'TL13'!J:J),
SUMIF('TL14'!C:C,C30,'TL14'!J:J),
SUMIF('TL15'!C:C,C30,'TL15'!J:J),
SUMIF('TL16'!C:C,C30,'TL16'!J:J),
SUMIF('TL17'!C:C,C30,'TL17'!J:J),
SUMIF('TL18'!C:C,C30,'TL18'!J:J),SUMIF('TL19'!C:C,C30,'TL19'!J:J))
,0)</f>
        <v>233.2</v>
      </c>
      <c r="S30" s="17" t="str">
        <f>IFERROR(__xludf.DUMMYFUNCTION("IFERROR(VLOOKUP(C30,
IMPORTRANGE(""1wULbzX32WdYsx-lj2U3uUNBBe2INVIRDtcK0d-Dvl90"",
""26-27!C:G""),
5,
FALSE),
"""")"),"")</f>
        <v/>
      </c>
      <c r="T30" s="9"/>
      <c r="U30" s="92">
        <f t="shared" si="2"/>
        <v>233.2</v>
      </c>
      <c r="V30" s="93">
        <f t="shared" si="3"/>
        <v>0</v>
      </c>
    </row>
    <row r="31" ht="22.5" hidden="1" customHeight="1">
      <c r="A31" s="106"/>
      <c r="B31" s="107" t="s">
        <v>7</v>
      </c>
      <c r="C31" s="108" t="s">
        <v>415</v>
      </c>
      <c r="D31" s="108" t="s">
        <v>416</v>
      </c>
      <c r="E31" s="109"/>
      <c r="F31" s="4" t="s">
        <v>399</v>
      </c>
      <c r="G31" s="9"/>
      <c r="H31" s="9" t="str">
        <f>IFERROR(__xludf.DUMMYFUNCTION("IFERROR(VLOOKUP(C31,
IMPORTRANGE(""1wULbzX32WdYsx-lj2U3uUNBBe2INVIRDtcK0d-Dvl90"",
""26-27!C:K""),
8,
FALSE),
"""")"),"")</f>
        <v/>
      </c>
      <c r="I31" s="110"/>
      <c r="J31" s="9">
        <f>IFERROR(SUM(
IF('TL01'!$B$3=J$3,SUMIF('TL01'!$C$10:$C$224,$C31,'TL01'!$J$10:$J$224),0),
IF('TL01'!$B$229=J$3,SUMIF('TL01'!$C$238:$C$451,$C31,'TL01'!$J$238:$J$451),0),
IF('TL02'!$B$3=J$3,SUMIF('TL02'!$C$10:$C$224,$C31,'TL02'!$J$10:$J$224),0),
IF('TL02'!$B$229=J$3,SUMIF('TL02'!$C$238:$C$451,$C31,'TL02'!$J$238:$J$451),0),
IF('TL03'!$B$3=J$3,SUMIF('TL03'!$C$10:$C$224,$C31,'TL03'!$J$10:$J$224),0),
IF('TL03'!$B$229=J$3,SUMIF('TL03'!$C$238:$C$451,$C31,'TL03'!$J$238:$J$451),0),
IF('TL04'!$B$3=J$3,SUMIF('TL04'!$C$10:$C$224,$C31,'TL04'!$J$10:$J$224),0),
IF('TL04'!$B$229=J$3,SUMIF('TL04'!$C$238:$C$451,$C31,'TL04'!$J$238:$J$451),0),
IF('TL05'!$B$3=J$3,SUMIF('TL05'!$C$10:$C$224,$C31,'TL05'!$J$10:$J$224),0),
IF('TL05'!$B$229=J$3,SUMIF('TL05'!$C$238:$C$451,$C31,'TL05'!$J$238:$J$451),0),
IF('TL06'!$B$3=J$3,SUMIF('TL06'!$C$10:$C$224,$C31,'TL06'!$J$10:$J$224),0),
IF('TL06'!$B$229=J$3,SUMIF('TL06'!$C$238:$C$451,$C31,'TL06'!$J$238:$J$451),0),
IF('TL07'!$B$3=J$3,SUMIF('TL07'!$C$10:$C$224,$C31,'TL07'!$J$10:$J$224),0),
IF('TL07'!$B$229=J$3,SUMIF('TL07'!$C$238:$C$451,$C31,'TL07'!$J$238:$J$451),0),
IF('TL08'!$B$3=J$3,SUMIF('TL08'!$C$10:$C$224,$C31,'TL08'!$J$10:$J$224),0),
IF('TL08'!$B$229=J$3,SUMIF('TL08'!$C$238:$C$451,$C31,'TL08'!$J$238:$J$451),0),
IF('TL09'!$B$3=J$3,SUMIF('TL09'!$C$10:$C$224,$C31,'TL09'!$J$10:$J$224),0),
IF('TL09'!$B$229=J$3,SUMIF('TL09'!$C$238:$C$451,$C31,'TL09'!$J$238:$J$451),0),
IF('TL10'!$B$3=J$3,SUMIF('TL10'!$C$10:$C$224,$C31,'TL10'!$J$10:$J$224),0),
IF('TL10'!$B$229=J$3,SUMIF('TL10'!$C$238:$C$451,$C31,'TL10'!$J$238:$J$451),0),
IF('TL11'!$B$3=J$3,SUMIF('TL11'!$C$10:$C$224,$C31,'TL11'!$J$10:$J$224),0),
IF('TL11'!$B$229=J$3,SUMIF('TL11'!$C$238:$C$451,$C31,'TL11'!$J$238:$J$451),0),
IF('TL12'!$B$3=J$3,SUMIF('TL12'!$C$10:$C$224,$C31,'TL12'!$J$10:$J$224),0),
IF('TL12'!$B$229=J$3,SUMIF('TL12'!$C$238:$C$451,$C31,'TL12'!$J$238:$J$451),0),
IF('TL13'!$B$3=J$3,SUMIF('TL13'!$C$10:$C$224,$C31,'TL13'!$J$10:$J$224),0),
IF('TL13'!$B$229=J$3,SUMIF('TL13'!$C$238:$C$451,$C31,'TL13'!$J$238:$J$451),0),
IF('TL14'!$B$3=J$3,SUMIF('TL14'!$C$10:$C$224,$C31,'TL14'!$J$10:$J$224),0),
IF('TL14'!$B$229=J$3,SUMIF('TL14'!$C$238:$C$451,$C31,'TL14'!$J$238:$J$451),0),
IF('TL15'!$B$3=J$3,SUMIF('TL15'!$C$10:$C$224,$C31,'TL15'!$J$10:$J$224),0),
IF('TL15'!$B$229=J$3,SUMIF('TL15'!$C$238:$C$451,$C31,'TL15'!$J$238:$J$451),0),
IF('TL16'!$B$3=J$3,SUMIF('TL16'!$C$10:$C$224,$C31,'TL16'!$J$10:$J$224),0),
IF('TL16'!$B$229=J$3,SUMIF('TL16'!$C$238:$C$451,$C31,'TL16'!$J$238:$J$451),0),
IF('TL17'!$B$3=J$3,SUMIF('TL17'!$C$10:$C$224,$C31,'TL17'!$J$10:$J$224),0),
IF('TL17'!$B$229=J$3,SUMIF('TL17'!$C$238:$C$451,$C31,'TL17'!$J$238:$J$451),0),
IF('TL18'!$B$3=J$3,SUMIF('TL18'!$C$10:$C$224,$C31,'TL18'!$J$10:$J$224),0),
IF('TL18'!$B$229=J$3,SUMIF('TL18'!$C$238:$C$451,$C31,'TL18'!$J$238:$J$451),0),
IF('TL19'!$B$3=J$3,SUMIF('TL19'!$C$10:$C$224,$C31,'TL19'!$J$10:$J$224),0),
IF('TL19'!$B$229=J$3,SUMIF('TL19'!$C$238:$C$451,$C31,'TL19'!$J$238:$J$451),0)
),0)</f>
        <v>0</v>
      </c>
      <c r="K31" s="9">
        <f>IFERROR(SUM(
IF('TL01'!$B$3=K$3,SUMIF('TL01'!$C$10:$C$224,$C31,'TL01'!$J$10:$J$224),0),
IF('TL01'!$B$229=K$3,SUMIF('TL01'!$C$238:$C$451,$C31,'TL01'!$J$238:$J$451),0),
IF('TL02'!$B$3=K$3,SUMIF('TL02'!$C$10:$C$224,$C31,'TL02'!$J$10:$J$224),0),
IF('TL02'!$B$229=K$3,SUMIF('TL02'!$C$238:$C$451,$C31,'TL02'!$J$238:$J$451),0),
IF('TL03'!$B$3=K$3,SUMIF('TL03'!$C$10:$C$224,$C31,'TL03'!$J$10:$J$224),0),
IF('TL03'!$B$229=K$3,SUMIF('TL03'!$C$238:$C$451,$C31,'TL03'!$J$238:$J$451),0),
IF('TL04'!$B$3=K$3,SUMIF('TL04'!$C$10:$C$224,$C31,'TL04'!$J$10:$J$224),0),
IF('TL04'!$B$229=K$3,SUMIF('TL04'!$C$238:$C$451,$C31,'TL04'!$J$238:$J$451),0),
IF('TL05'!$B$3=K$3,SUMIF('TL05'!$C$10:$C$224,$C31,'TL05'!$J$10:$J$224),0),
IF('TL05'!$B$229=K$3,SUMIF('TL05'!$C$238:$C$451,$C31,'TL05'!$J$238:$J$451),0),
IF('TL06'!$B$3=K$3,SUMIF('TL06'!$C$10:$C$224,$C31,'TL06'!$J$10:$J$224),0),
IF('TL06'!$B$229=K$3,SUMIF('TL06'!$C$238:$C$451,$C31,'TL06'!$J$238:$J$451),0),
IF('TL07'!$B$3=K$3,SUMIF('TL07'!$C$10:$C$224,$C31,'TL07'!$J$10:$J$224),0),
IF('TL07'!$B$229=K$3,SUMIF('TL07'!$C$238:$C$451,$C31,'TL07'!$J$238:$J$451),0),
IF('TL08'!$B$3=K$3,SUMIF('TL08'!$C$10:$C$224,$C31,'TL08'!$J$10:$J$224),0),
IF('TL08'!$B$229=K$3,SUMIF('TL08'!$C$238:$C$451,$C31,'TL08'!$J$238:$J$451),0),
IF('TL09'!$B$3=K$3,SUMIF('TL09'!$C$10:$C$224,$C31,'TL09'!$J$10:$J$224),0),
IF('TL09'!$B$229=K$3,SUMIF('TL09'!$C$238:$C$451,$C31,'TL09'!$J$238:$J$451),0),
IF('TL10'!$B$3=K$3,SUMIF('TL10'!$C$10:$C$224,$C31,'TL10'!$J$10:$J$224),0),
IF('TL10'!$B$229=K$3,SUMIF('TL10'!$C$238:$C$451,$C31,'TL10'!$J$238:$J$451),0),
IF('TL11'!$B$3=K$3,SUMIF('TL11'!$C$10:$C$224,$C31,'TL11'!$J$10:$J$224),0),
IF('TL11'!$B$229=K$3,SUMIF('TL11'!$C$238:$C$451,$C31,'TL11'!$J$238:$J$451),0),
IF('TL12'!$B$3=K$3,SUMIF('TL12'!$C$10:$C$224,$C31,'TL12'!$J$10:$J$224),0),
IF('TL12'!$B$229=K$3,SUMIF('TL12'!$C$238:$C$451,$C31,'TL12'!$J$238:$J$451),0),
IF('TL13'!$B$3=K$3,SUMIF('TL13'!$C$10:$C$224,$C31,'TL13'!$J$10:$J$224),0),
IF('TL13'!$B$229=K$3,SUMIF('TL13'!$C$238:$C$451,$C31,'TL13'!$J$238:$J$451),0),
IF('TL14'!$B$3=K$3,SUMIF('TL14'!$C$10:$C$224,$C31,'TL14'!$J$10:$J$224),0),
IF('TL14'!$B$229=K$3,SUMIF('TL14'!$C$238:$C$451,$C31,'TL14'!$J$238:$J$451),0),
IF('TL15'!$B$3=K$3,SUMIF('TL15'!$C$10:$C$224,$C31,'TL15'!$J$10:$J$224),0),
IF('TL15'!$B$229=K$3,SUMIF('TL15'!$C$238:$C$451,$C31,'TL15'!$J$238:$J$451),0),
IF('TL16'!$B$3=K$3,SUMIF('TL16'!$C$10:$C$224,$C31,'TL16'!$J$10:$J$224),0),
IF('TL16'!$B$229=K$3,SUMIF('TL16'!$C$238:$C$451,$C31,'TL16'!$J$238:$J$451),0),
IF('TL17'!$B$3=K$3,SUMIF('TL17'!$C$10:$C$224,$C31,'TL17'!$J$10:$J$224),0),
IF('TL17'!$B$229=K$3,SUMIF('TL17'!$C$238:$C$451,$C31,'TL17'!$J$238:$J$451),0),
IF('TL18'!$B$3=K$3,SUMIF('TL18'!$C$10:$C$224,$C31,'TL18'!$J$10:$J$224),0),
IF('TL18'!$B$229=K$3,SUMIF('TL18'!$C$238:$C$451,$C31,'TL18'!$J$238:$J$451),0),
IF('TL19'!$B$3=K$3,SUMIF('TL19'!$C$10:$C$224,$C31,'TL19'!$J$10:$J$224),0),
IF('TL19'!$B$229=K$3,SUMIF('TL19'!$C$238:$C$451,$C31,'TL19'!$J$238:$J$451),0)
),0)</f>
        <v>0</v>
      </c>
      <c r="L31" s="9">
        <f>IFERROR(SUM(
IF('TL01'!$B$3=L$3,SUMIF('TL01'!$C$10:$C$224,$C31,'TL01'!$J$10:$J$224),0),
IF('TL01'!$B$229=L$3,SUMIF('TL01'!$C$238:$C$451,$C31,'TL01'!$J$238:$J$451),0),
IF('TL02'!$B$3=L$3,SUMIF('TL02'!$C$10:$C$224,$C31,'TL02'!$J$10:$J$224),0),
IF('TL02'!$B$229=L$3,SUMIF('TL02'!$C$238:$C$451,$C31,'TL02'!$J$238:$J$451),0),
IF('TL03'!$B$3=L$3,SUMIF('TL03'!$C$10:$C$224,$C31,'TL03'!$J$10:$J$224),0),
IF('TL03'!$B$229=L$3,SUMIF('TL03'!$C$238:$C$451,$C31,'TL03'!$J$238:$J$451),0),
IF('TL04'!$B$3=L$3,SUMIF('TL04'!$C$10:$C$224,$C31,'TL04'!$J$10:$J$224),0),
IF('TL04'!$B$229=L$3,SUMIF('TL04'!$C$238:$C$451,$C31,'TL04'!$J$238:$J$451),0),
IF('TL05'!$B$3=L$3,SUMIF('TL05'!$C$10:$C$224,$C31,'TL05'!$J$10:$J$224),0),
IF('TL05'!$B$229=L$3,SUMIF('TL05'!$C$238:$C$451,$C31,'TL05'!$J$238:$J$451),0),
IF('TL06'!$B$3=L$3,SUMIF('TL06'!$C$10:$C$224,$C31,'TL06'!$J$10:$J$224),0),
IF('TL06'!$B$229=L$3,SUMIF('TL06'!$C$238:$C$451,$C31,'TL06'!$J$238:$J$451),0),
IF('TL07'!$B$3=L$3,SUMIF('TL07'!$C$10:$C$224,$C31,'TL07'!$J$10:$J$224),0),
IF('TL07'!$B$229=L$3,SUMIF('TL07'!$C$238:$C$451,$C31,'TL07'!$J$238:$J$451),0),
IF('TL08'!$B$3=L$3,SUMIF('TL08'!$C$10:$C$224,$C31,'TL08'!$J$10:$J$224),0),
IF('TL08'!$B$229=L$3,SUMIF('TL08'!$C$238:$C$451,$C31,'TL08'!$J$238:$J$451),0),
IF('TL09'!$B$3=L$3,SUMIF('TL09'!$C$10:$C$224,$C31,'TL09'!$J$10:$J$224),0),
IF('TL09'!$B$229=L$3,SUMIF('TL09'!$C$238:$C$451,$C31,'TL09'!$J$238:$J$451),0),
IF('TL10'!$B$3=L$3,SUMIF('TL10'!$C$10:$C$224,$C31,'TL10'!$J$10:$J$224),0),
IF('TL10'!$B$229=L$3,SUMIF('TL10'!$C$238:$C$451,$C31,'TL10'!$J$238:$J$451),0),
IF('TL11'!$B$3=L$3,SUMIF('TL11'!$C$10:$C$224,$C31,'TL11'!$J$10:$J$224),0),
IF('TL11'!$B$229=L$3,SUMIF('TL11'!$C$238:$C$451,$C31,'TL11'!$J$238:$J$451),0),
IF('TL12'!$B$3=L$3,SUMIF('TL12'!$C$10:$C$224,$C31,'TL12'!$J$10:$J$224),0),
IF('TL12'!$B$229=L$3,SUMIF('TL12'!$C$238:$C$451,$C31,'TL12'!$J$238:$J$451),0),
IF('TL13'!$B$3=L$3,SUMIF('TL13'!$C$10:$C$224,$C31,'TL13'!$J$10:$J$224),0),
IF('TL13'!$B$229=L$3,SUMIF('TL13'!$C$238:$C$451,$C31,'TL13'!$J$238:$J$451),0),
IF('TL14'!$B$3=L$3,SUMIF('TL14'!$C$10:$C$224,$C31,'TL14'!$J$10:$J$224),0),
IF('TL14'!$B$229=L$3,SUMIF('TL14'!$C$238:$C$451,$C31,'TL14'!$J$238:$J$451),0),
IF('TL15'!$B$3=L$3,SUMIF('TL15'!$C$10:$C$224,$C31,'TL15'!$J$10:$J$224),0),
IF('TL15'!$B$229=L$3,SUMIF('TL15'!$C$238:$C$451,$C31,'TL15'!$J$238:$J$451),0),
IF('TL16'!$B$3=L$3,SUMIF('TL16'!$C$10:$C$224,$C31,'TL16'!$J$10:$J$224),0),
IF('TL16'!$B$229=L$3,SUMIF('TL16'!$C$238:$C$451,$C31,'TL16'!$J$238:$J$451),0),
IF('TL17'!$B$3=L$3,SUMIF('TL17'!$C$10:$C$224,$C31,'TL17'!$J$10:$J$224),0),
IF('TL17'!$B$229=L$3,SUMIF('TL17'!$C$238:$C$451,$C31,'TL17'!$J$238:$J$451),0),
IF('TL18'!$B$3=L$3,SUMIF('TL18'!$C$10:$C$224,$C31,'TL18'!$J$10:$J$224),0),
IF('TL18'!$B$229=L$3,SUMIF('TL18'!$C$238:$C$451,$C31,'TL18'!$J$238:$J$451),0),
IF('TL19'!$B$3=L$3,SUMIF('TL19'!$C$10:$C$224,$C31,'TL19'!$J$10:$J$224),0),
IF('TL19'!$B$229=L$3,SUMIF('TL19'!$C$238:$C$451,$C31,'TL19'!$J$238:$J$451),0)
),0)</f>
        <v>0</v>
      </c>
      <c r="M31" s="9">
        <f>IFERROR(SUM(
IF('TL01'!$B$3=M$3,SUMIF('TL01'!$C$10:$C$224,$C31,'TL01'!$J$10:$J$224),0),
IF('TL01'!$B$229=M$3,SUMIF('TL01'!$C$238:$C$451,$C31,'TL01'!$J$238:$J$451),0),
IF('TL02'!$B$3=M$3,SUMIF('TL02'!$C$10:$C$224,$C31,'TL02'!$J$10:$J$224),0),
IF('TL02'!$B$229=M$3,SUMIF('TL02'!$C$238:$C$451,$C31,'TL02'!$J$238:$J$451),0),
IF('TL03'!$B$3=M$3,SUMIF('TL03'!$C$10:$C$224,$C31,'TL03'!$J$10:$J$224),0),
IF('TL03'!$B$229=M$3,SUMIF('TL03'!$C$238:$C$451,$C31,'TL03'!$J$238:$J$451),0),
IF('TL04'!$B$3=M$3,SUMIF('TL04'!$C$10:$C$224,$C31,'TL04'!$J$10:$J$224),0),
IF('TL04'!$B$229=M$3,SUMIF('TL04'!$C$238:$C$451,$C31,'TL04'!$J$238:$J$451),0),
IF('TL05'!$B$3=M$3,SUMIF('TL05'!$C$10:$C$224,$C31,'TL05'!$J$10:$J$224),0),
IF('TL05'!$B$229=M$3,SUMIF('TL05'!$C$238:$C$451,$C31,'TL05'!$J$238:$J$451),0),
IF('TL06'!$B$3=M$3,SUMIF('TL06'!$C$10:$C$224,$C31,'TL06'!$J$10:$J$224),0),
IF('TL06'!$B$229=M$3,SUMIF('TL06'!$C$238:$C$451,$C31,'TL06'!$J$238:$J$451),0),
IF('TL07'!$B$3=M$3,SUMIF('TL07'!$C$10:$C$224,$C31,'TL07'!$J$10:$J$224),0),
IF('TL07'!$B$229=M$3,SUMIF('TL07'!$C$238:$C$451,$C31,'TL07'!$J$238:$J$451),0),
IF('TL08'!$B$3=M$3,SUMIF('TL08'!$C$10:$C$224,$C31,'TL08'!$J$10:$J$224),0),
IF('TL08'!$B$229=M$3,SUMIF('TL08'!$C$238:$C$451,$C31,'TL08'!$J$238:$J$451),0),
IF('TL09'!$B$3=M$3,SUMIF('TL09'!$C$10:$C$224,$C31,'TL09'!$J$10:$J$224),0),
IF('TL09'!$B$229=M$3,SUMIF('TL09'!$C$238:$C$451,$C31,'TL09'!$J$238:$J$451),0),
IF('TL10'!$B$3=M$3,SUMIF('TL10'!$C$10:$C$224,$C31,'TL10'!$J$10:$J$224),0),
IF('TL10'!$B$229=M$3,SUMIF('TL10'!$C$238:$C$451,$C31,'TL10'!$J$238:$J$451),0),
IF('TL11'!$B$3=M$3,SUMIF('TL11'!$C$10:$C$224,$C31,'TL11'!$J$10:$J$224),0),
IF('TL11'!$B$229=M$3,SUMIF('TL11'!$C$238:$C$451,$C31,'TL11'!$J$238:$J$451),0),
IF('TL12'!$B$3=M$3,SUMIF('TL12'!$C$10:$C$224,$C31,'TL12'!$J$10:$J$224),0),
IF('TL12'!$B$229=M$3,SUMIF('TL12'!$C$238:$C$451,$C31,'TL12'!$J$238:$J$451),0),
IF('TL13'!$B$3=M$3,SUMIF('TL13'!$C$10:$C$224,$C31,'TL13'!$J$10:$J$224),0),
IF('TL13'!$B$229=M$3,SUMIF('TL13'!$C$238:$C$451,$C31,'TL13'!$J$238:$J$451),0),
IF('TL14'!$B$3=M$3,SUMIF('TL14'!$C$10:$C$224,$C31,'TL14'!$J$10:$J$224),0),
IF('TL14'!$B$229=M$3,SUMIF('TL14'!$C$238:$C$451,$C31,'TL14'!$J$238:$J$451),0),
IF('TL15'!$B$3=M$3,SUMIF('TL15'!$C$10:$C$224,$C31,'TL15'!$J$10:$J$224),0),
IF('TL15'!$B$229=M$3,SUMIF('TL15'!$C$238:$C$451,$C31,'TL15'!$J$238:$J$451),0),
IF('TL16'!$B$3=M$3,SUMIF('TL16'!$C$10:$C$224,$C31,'TL16'!$J$10:$J$224),0),
IF('TL16'!$B$229=M$3,SUMIF('TL16'!$C$238:$C$451,$C31,'TL16'!$J$238:$J$451),0),
IF('TL17'!$B$3=M$3,SUMIF('TL17'!$C$10:$C$224,$C31,'TL17'!$J$10:$J$224),0),
IF('TL17'!$B$229=M$3,SUMIF('TL17'!$C$238:$C$451,$C31,'TL17'!$J$238:$J$451),0),
IF('TL18'!$B$3=M$3,SUMIF('TL18'!$C$10:$C$224,$C31,'TL18'!$J$10:$J$224),0),
IF('TL18'!$B$229=M$3,SUMIF('TL18'!$C$238:$C$451,$C31,'TL18'!$J$238:$J$451),0),
IF('TL19'!$B$3=M$3,SUMIF('TL19'!$C$10:$C$224,$C31,'TL19'!$J$10:$J$224),0),
IF('TL19'!$B$229=M$3,SUMIF('TL19'!$C$238:$C$451,$C31,'TL19'!$J$238:$J$451),0)
),0)</f>
        <v>0</v>
      </c>
      <c r="N31" s="9">
        <f>IFERROR(SUM(
IF('TL01'!$B$3=N$3,SUMIF('TL01'!$C$10:$C$224,$C31,'TL01'!$J$10:$J$224),0),
IF('TL01'!$B$229=N$3,SUMIF('TL01'!$C$238:$C$451,$C31,'TL01'!$J$238:$J$451),0),
IF('TL02'!$B$3=N$3,SUMIF('TL02'!$C$10:$C$224,$C31,'TL02'!$J$10:$J$224),0),
IF('TL02'!$B$229=N$3,SUMIF('TL02'!$C$238:$C$451,$C31,'TL02'!$J$238:$J$451),0),
IF('TL03'!$B$3=N$3,SUMIF('TL03'!$C$10:$C$224,$C31,'TL03'!$J$10:$J$224),0),
IF('TL03'!$B$229=N$3,SUMIF('TL03'!$C$238:$C$451,$C31,'TL03'!$J$238:$J$451),0),
IF('TL04'!$B$3=N$3,SUMIF('TL04'!$C$10:$C$224,$C31,'TL04'!$J$10:$J$224),0),
IF('TL04'!$B$229=N$3,SUMIF('TL04'!$C$238:$C$451,$C31,'TL04'!$J$238:$J$451),0),
IF('TL05'!$B$3=N$3,SUMIF('TL05'!$C$10:$C$224,$C31,'TL05'!$J$10:$J$224),0),
IF('TL05'!$B$229=N$3,SUMIF('TL05'!$C$238:$C$451,$C31,'TL05'!$J$238:$J$451),0),
IF('TL06'!$B$3=N$3,SUMIF('TL06'!$C$10:$C$224,$C31,'TL06'!$J$10:$J$224),0),
IF('TL06'!$B$229=N$3,SUMIF('TL06'!$C$238:$C$451,$C31,'TL06'!$J$238:$J$451),0),
IF('TL07'!$B$3=N$3,SUMIF('TL07'!$C$10:$C$224,$C31,'TL07'!$J$10:$J$224),0),
IF('TL07'!$B$229=N$3,SUMIF('TL07'!$C$238:$C$451,$C31,'TL07'!$J$238:$J$451),0),
IF('TL08'!$B$3=N$3,SUMIF('TL08'!$C$10:$C$224,$C31,'TL08'!$J$10:$J$224),0),
IF('TL08'!$B$229=N$3,SUMIF('TL08'!$C$238:$C$451,$C31,'TL08'!$J$238:$J$451),0),
IF('TL09'!$B$3=N$3,SUMIF('TL09'!$C$10:$C$224,$C31,'TL09'!$J$10:$J$224),0),
IF('TL09'!$B$229=N$3,SUMIF('TL09'!$C$238:$C$451,$C31,'TL09'!$J$238:$J$451),0),
IF('TL10'!$B$3=N$3,SUMIF('TL10'!$C$10:$C$224,$C31,'TL10'!$J$10:$J$224),0),
IF('TL10'!$B$229=N$3,SUMIF('TL10'!$C$238:$C$451,$C31,'TL10'!$J$238:$J$451),0),
IF('TL11'!$B$3=N$3,SUMIF('TL11'!$C$10:$C$224,$C31,'TL11'!$J$10:$J$224),0),
IF('TL11'!$B$229=N$3,SUMIF('TL11'!$C$238:$C$451,$C31,'TL11'!$J$238:$J$451),0),
IF('TL12'!$B$3=N$3,SUMIF('TL12'!$C$10:$C$224,$C31,'TL12'!$J$10:$J$224),0),
IF('TL12'!$B$229=N$3,SUMIF('TL12'!$C$238:$C$451,$C31,'TL12'!$J$238:$J$451),0),
IF('TL13'!$B$3=N$3,SUMIF('TL13'!$C$10:$C$224,$C31,'TL13'!$J$10:$J$224),0),
IF('TL13'!$B$229=N$3,SUMIF('TL13'!$C$238:$C$451,$C31,'TL13'!$J$238:$J$451),0),
IF('TL14'!$B$3=N$3,SUMIF('TL14'!$C$10:$C$224,$C31,'TL14'!$J$10:$J$224),0),
IF('TL14'!$B$229=N$3,SUMIF('TL14'!$C$238:$C$451,$C31,'TL14'!$J$238:$J$451),0),
IF('TL15'!$B$3=N$3,SUMIF('TL15'!$C$10:$C$224,$C31,'TL15'!$J$10:$J$224),0),
IF('TL15'!$B$229=N$3,SUMIF('TL15'!$C$238:$C$451,$C31,'TL15'!$J$238:$J$451),0),
IF('TL16'!$B$3=N$3,SUMIF('TL16'!$C$10:$C$224,$C31,'TL16'!$J$10:$J$224),0),
IF('TL16'!$B$229=N$3,SUMIF('TL16'!$C$238:$C$451,$C31,'TL16'!$J$238:$J$451),0),
IF('TL17'!$B$3=N$3,SUMIF('TL17'!$C$10:$C$224,$C31,'TL17'!$J$10:$J$224),0),
IF('TL17'!$B$229=N$3,SUMIF('TL17'!$C$238:$C$451,$C31,'TL17'!$J$238:$J$451),0),
IF('TL18'!$B$3=N$3,SUMIF('TL18'!$C$10:$C$224,$C31,'TL18'!$J$10:$J$224),0),
IF('TL18'!$B$229=N$3,SUMIF('TL18'!$C$238:$C$451,$C31,'TL18'!$J$238:$J$451),0),
IF('TL19'!$B$3=N$3,SUMIF('TL19'!$C$10:$C$224,$C31,'TL19'!$J$10:$J$224),0),
IF('TL19'!$B$229=N$3,SUMIF('TL19'!$C$238:$C$451,$C31,'TL19'!$J$238:$J$451),0)
),0)</f>
        <v>0</v>
      </c>
      <c r="O31" s="9">
        <f>IFERROR(SUM(
IF('TL01'!$B$3=O$3,SUMIF('TL01'!$C$10:$C$224,$C31,'TL01'!$J$10:$J$224),0),
IF('TL01'!$B$229=O$3,SUMIF('TL01'!$C$238:$C$451,$C31,'TL01'!$J$238:$J$451),0),
IF('TL02'!$B$3=O$3,SUMIF('TL02'!$C$10:$C$224,$C31,'TL02'!$J$10:$J$224),0),
IF('TL02'!$B$229=O$3,SUMIF('TL02'!$C$238:$C$451,$C31,'TL02'!$J$238:$J$451),0),
IF('TL03'!$B$3=O$3,SUMIF('TL03'!$C$10:$C$224,$C31,'TL03'!$J$10:$J$224),0),
IF('TL03'!$B$229=O$3,SUMIF('TL03'!$C$238:$C$451,$C31,'TL03'!$J$238:$J$451),0),
IF('TL04'!$B$3=O$3,SUMIF('TL04'!$C$10:$C$224,$C31,'TL04'!$J$10:$J$224),0),
IF('TL04'!$B$229=O$3,SUMIF('TL04'!$C$238:$C$451,$C31,'TL04'!$J$238:$J$451),0),
IF('TL05'!$B$3=O$3,SUMIF('TL05'!$C$10:$C$224,$C31,'TL05'!$J$10:$J$224),0),
IF('TL05'!$B$229=O$3,SUMIF('TL05'!$C$238:$C$451,$C31,'TL05'!$J$238:$J$451),0),
IF('TL06'!$B$3=O$3,SUMIF('TL06'!$C$10:$C$224,$C31,'TL06'!$J$10:$J$224),0),
IF('TL06'!$B$229=O$3,SUMIF('TL06'!$C$238:$C$451,$C31,'TL06'!$J$238:$J$451),0),
IF('TL07'!$B$3=O$3,SUMIF('TL07'!$C$10:$C$224,$C31,'TL07'!$J$10:$J$224),0),
IF('TL07'!$B$229=O$3,SUMIF('TL07'!$C$238:$C$451,$C31,'TL07'!$J$238:$J$451),0),
IF('TL08'!$B$3=O$3,SUMIF('TL08'!$C$10:$C$224,$C31,'TL08'!$J$10:$J$224),0),
IF('TL08'!$B$229=O$3,SUMIF('TL08'!$C$238:$C$451,$C31,'TL08'!$J$238:$J$451),0),
IF('TL09'!$B$3=O$3,SUMIF('TL09'!$C$10:$C$224,$C31,'TL09'!$J$10:$J$224),0),
IF('TL09'!$B$229=O$3,SUMIF('TL09'!$C$238:$C$451,$C31,'TL09'!$J$238:$J$451),0),
IF('TL10'!$B$3=O$3,SUMIF('TL10'!$C$10:$C$224,$C31,'TL10'!$J$10:$J$224),0),
IF('TL10'!$B$229=O$3,SUMIF('TL10'!$C$238:$C$451,$C31,'TL10'!$J$238:$J$451),0),
IF('TL11'!$B$3=O$3,SUMIF('TL11'!$C$10:$C$224,$C31,'TL11'!$J$10:$J$224),0),
IF('TL11'!$B$229=O$3,SUMIF('TL11'!$C$238:$C$451,$C31,'TL11'!$J$238:$J$451),0),
IF('TL12'!$B$3=O$3,SUMIF('TL12'!$C$10:$C$224,$C31,'TL12'!$J$10:$J$224),0),
IF('TL12'!$B$229=O$3,SUMIF('TL12'!$C$238:$C$451,$C31,'TL12'!$J$238:$J$451),0),
IF('TL13'!$B$3=O$3,SUMIF('TL13'!$C$10:$C$224,$C31,'TL13'!$J$10:$J$224),0),
IF('TL13'!$B$229=O$3,SUMIF('TL13'!$C$238:$C$451,$C31,'TL13'!$J$238:$J$451),0),
IF('TL14'!$B$3=O$3,SUMIF('TL14'!$C$10:$C$224,$C31,'TL14'!$J$10:$J$224),0),
IF('TL14'!$B$229=O$3,SUMIF('TL14'!$C$238:$C$451,$C31,'TL14'!$J$238:$J$451),0),
IF('TL15'!$B$3=O$3,SUMIF('TL15'!$C$10:$C$224,$C31,'TL15'!$J$10:$J$224),0),
IF('TL15'!$B$229=O$3,SUMIF('TL15'!$C$238:$C$451,$C31,'TL15'!$J$238:$J$451),0),
IF('TL16'!$B$3=O$3,SUMIF('TL16'!$C$10:$C$224,$C31,'TL16'!$J$10:$J$224),0),
IF('TL16'!$B$229=O$3,SUMIF('TL16'!$C$238:$C$451,$C31,'TL16'!$J$238:$J$451),0),
IF('TL17'!$B$3=O$3,SUMIF('TL17'!$C$10:$C$224,$C31,'TL17'!$J$10:$J$224),0),
IF('TL17'!$B$229=O$3,SUMIF('TL17'!$C$238:$C$451,$C31,'TL17'!$J$238:$J$451),0),
IF('TL18'!$B$3=O$3,SUMIF('TL18'!$C$10:$C$224,$C31,'TL18'!$J$10:$J$224),0),
IF('TL18'!$B$229=O$3,SUMIF('TL18'!$C$238:$C$451,$C31,'TL18'!$J$238:$J$451),0),
IF('TL19'!$B$3=O$3,SUMIF('TL19'!$C$10:$C$224,$C31,'TL19'!$J$10:$J$224),0),
IF('TL19'!$B$229=O$3,SUMIF('TL19'!$C$238:$C$451,$C31,'TL19'!$J$238:$J$451),0)
),0)</f>
        <v>0</v>
      </c>
      <c r="P31" s="9">
        <f>IFERROR(SUM(
IF('TL01'!$B$3=P$3,SUMIF('TL01'!$C$10:$C$224,$C31,'TL01'!$J$10:$J$224),0),
IF('TL01'!$B$229=P$3,SUMIF('TL01'!$C$238:$C$451,$C31,'TL01'!$J$238:$J$451),0),
IF('TL02'!$B$3=P$3,SUMIF('TL02'!$C$10:$C$224,$C31,'TL02'!$J$10:$J$224),0),
IF('TL02'!$B$229=P$3,SUMIF('TL02'!$C$238:$C$451,$C31,'TL02'!$J$238:$J$451),0),
IF('TL03'!$B$3=P$3,SUMIF('TL03'!$C$10:$C$224,$C31,'TL03'!$J$10:$J$224),0),
IF('TL03'!$B$229=P$3,SUMIF('TL03'!$C$238:$C$451,$C31,'TL03'!$J$238:$J$451),0),
IF('TL04'!$B$3=P$3,SUMIF('TL04'!$C$10:$C$224,$C31,'TL04'!$J$10:$J$224),0),
IF('TL04'!$B$229=P$3,SUMIF('TL04'!$C$238:$C$451,$C31,'TL04'!$J$238:$J$451),0),
IF('TL05'!$B$3=P$3,SUMIF('TL05'!$C$10:$C$224,$C31,'TL05'!$J$10:$J$224),0),
IF('TL05'!$B$229=P$3,SUMIF('TL05'!$C$238:$C$451,$C31,'TL05'!$J$238:$J$451),0),
IF('TL06'!$B$3=P$3,SUMIF('TL06'!$C$10:$C$224,$C31,'TL06'!$J$10:$J$224),0),
IF('TL06'!$B$229=P$3,SUMIF('TL06'!$C$238:$C$451,$C31,'TL06'!$J$238:$J$451),0),
IF('TL07'!$B$3=P$3,SUMIF('TL07'!$C$10:$C$224,$C31,'TL07'!$J$10:$J$224),0),
IF('TL07'!$B$229=P$3,SUMIF('TL07'!$C$238:$C$451,$C31,'TL07'!$J$238:$J$451),0),
IF('TL08'!$B$3=P$3,SUMIF('TL08'!$C$10:$C$224,$C31,'TL08'!$J$10:$J$224),0),
IF('TL08'!$B$229=P$3,SUMIF('TL08'!$C$238:$C$451,$C31,'TL08'!$J$238:$J$451),0),
IF('TL09'!$B$3=P$3,SUMIF('TL09'!$C$10:$C$224,$C31,'TL09'!$J$10:$J$224),0),
IF('TL09'!$B$229=P$3,SUMIF('TL09'!$C$238:$C$451,$C31,'TL09'!$J$238:$J$451),0),
IF('TL10'!$B$3=P$3,SUMIF('TL10'!$C$10:$C$224,$C31,'TL10'!$J$10:$J$224),0),
IF('TL10'!$B$229=P$3,SUMIF('TL10'!$C$238:$C$451,$C31,'TL10'!$J$238:$J$451),0),
IF('TL11'!$B$3=P$3,SUMIF('TL11'!$C$10:$C$224,$C31,'TL11'!$J$10:$J$224),0),
IF('TL11'!$B$229=P$3,SUMIF('TL11'!$C$238:$C$451,$C31,'TL11'!$J$238:$J$451),0),
IF('TL12'!$B$3=P$3,SUMIF('TL12'!$C$10:$C$224,$C31,'TL12'!$J$10:$J$224),0),
IF('TL12'!$B$229=P$3,SUMIF('TL12'!$C$238:$C$451,$C31,'TL12'!$J$238:$J$451),0),
IF('TL13'!$B$3=P$3,SUMIF('TL13'!$C$10:$C$224,$C31,'TL13'!$J$10:$J$224),0),
IF('TL13'!$B$229=P$3,SUMIF('TL13'!$C$238:$C$451,$C31,'TL13'!$J$238:$J$451),0),
IF('TL14'!$B$3=P$3,SUMIF('TL14'!$C$10:$C$224,$C31,'TL14'!$J$10:$J$224),0),
IF('TL14'!$B$229=P$3,SUMIF('TL14'!$C$238:$C$451,$C31,'TL14'!$J$238:$J$451),0),
IF('TL15'!$B$3=P$3,SUMIF('TL15'!$C$10:$C$224,$C31,'TL15'!$J$10:$J$224),0),
IF('TL15'!$B$229=P$3,SUMIF('TL15'!$C$238:$C$451,$C31,'TL15'!$J$238:$J$451),0),
IF('TL16'!$B$3=P$3,SUMIF('TL16'!$C$10:$C$224,$C31,'TL16'!$J$10:$J$224),0),
IF('TL16'!$B$229=P$3,SUMIF('TL16'!$C$238:$C$451,$C31,'TL16'!$J$238:$J$451),0),
IF('TL17'!$B$3=P$3,SUMIF('TL17'!$C$10:$C$224,$C31,'TL17'!$J$10:$J$224),0),
IF('TL17'!$B$229=P$3,SUMIF('TL17'!$C$238:$C$451,$C31,'TL17'!$J$238:$J$451),0),
IF('TL18'!$B$3=P$3,SUMIF('TL18'!$C$10:$C$224,$C31,'TL18'!$J$10:$J$224),0),
IF('TL18'!$B$229=P$3,SUMIF('TL18'!$C$238:$C$451,$C31,'TL18'!$J$238:$J$451),0),
IF('TL19'!$B$3=P$3,SUMIF('TL19'!$C$10:$C$224,$C31,'TL19'!$J$10:$J$224),0),
IF('TL19'!$B$229=P$3,SUMIF('TL19'!$C$238:$C$451,$C31,'TL19'!$J$238:$J$451),0)
),0)</f>
        <v>0</v>
      </c>
      <c r="Q31" s="9">
        <f>IFERROR(SUM(
IF('TL01'!$B$3=Q$3,SUMIF('TL01'!$C$10:$C$224,$C31,'TL01'!$J$10:$J$224),0),
IF('TL01'!$B$229=Q$3,SUMIF('TL01'!$C$238:$C$451,$C31,'TL01'!$J$238:$J$451),0),
IF('TL02'!$B$3=Q$3,SUMIF('TL02'!$C$10:$C$224,$C31,'TL02'!$J$10:$J$224),0),
IF('TL02'!$B$229=Q$3,SUMIF('TL02'!$C$238:$C$451,$C31,'TL02'!$J$238:$J$451),0),
IF('TL03'!$B$3=Q$3,SUMIF('TL03'!$C$10:$C$224,$C31,'TL03'!$J$10:$J$224),0),
IF('TL03'!$B$229=Q$3,SUMIF('TL03'!$C$238:$C$451,$C31,'TL03'!$J$238:$J$451),0),
IF('TL04'!$B$3=Q$3,SUMIF('TL04'!$C$10:$C$224,$C31,'TL04'!$J$10:$J$224),0),
IF('TL04'!$B$229=Q$3,SUMIF('TL04'!$C$238:$C$451,$C31,'TL04'!$J$238:$J$451),0),
IF('TL05'!$B$3=Q$3,SUMIF('TL05'!$C$10:$C$224,$C31,'TL05'!$J$10:$J$224),0),
IF('TL05'!$B$229=Q$3,SUMIF('TL05'!$C$238:$C$451,$C31,'TL05'!$J$238:$J$451),0),
IF('TL06'!$B$3=Q$3,SUMIF('TL06'!$C$10:$C$224,$C31,'TL06'!$J$10:$J$224),0),
IF('TL06'!$B$229=Q$3,SUMIF('TL06'!$C$238:$C$451,$C31,'TL06'!$J$238:$J$451),0),
IF('TL07'!$B$3=Q$3,SUMIF('TL07'!$C$10:$C$224,$C31,'TL07'!$J$10:$J$224),0),
IF('TL07'!$B$229=Q$3,SUMIF('TL07'!$C$238:$C$451,$C31,'TL07'!$J$238:$J$451),0),
IF('TL08'!$B$3=Q$3,SUMIF('TL08'!$C$10:$C$224,$C31,'TL08'!$J$10:$J$224),0),
IF('TL08'!$B$229=Q$3,SUMIF('TL08'!$C$238:$C$451,$C31,'TL08'!$J$238:$J$451),0),
IF('TL09'!$B$3=Q$3,SUMIF('TL09'!$C$10:$C$224,$C31,'TL09'!$J$10:$J$224),0),
IF('TL09'!$B$229=Q$3,SUMIF('TL09'!$C$238:$C$451,$C31,'TL09'!$J$238:$J$451),0),
IF('TL10'!$B$3=Q$3,SUMIF('TL10'!$C$10:$C$224,$C31,'TL10'!$J$10:$J$224),0),
IF('TL10'!$B$229=Q$3,SUMIF('TL10'!$C$238:$C$451,$C31,'TL10'!$J$238:$J$451),0),
IF('TL11'!$B$3=Q$3,SUMIF('TL11'!$C$10:$C$224,$C31,'TL11'!$J$10:$J$224),0),
IF('TL11'!$B$229=Q$3,SUMIF('TL11'!$C$238:$C$451,$C31,'TL11'!$J$238:$J$451),0),
IF('TL12'!$B$3=Q$3,SUMIF('TL12'!$C$10:$C$224,$C31,'TL12'!$J$10:$J$224),0),
IF('TL12'!$B$229=Q$3,SUMIF('TL12'!$C$238:$C$451,$C31,'TL12'!$J$238:$J$451),0),
IF('TL13'!$B$3=Q$3,SUMIF('TL13'!$C$10:$C$224,$C31,'TL13'!$J$10:$J$224),0),
IF('TL13'!$B$229=Q$3,SUMIF('TL13'!$C$238:$C$451,$C31,'TL13'!$J$238:$J$451),0),
IF('TL14'!$B$3=Q$3,SUMIF('TL14'!$C$10:$C$224,$C31,'TL14'!$J$10:$J$224),0),
IF('TL14'!$B$229=Q$3,SUMIF('TL14'!$C$238:$C$451,$C31,'TL14'!$J$238:$J$451),0),
IF('TL15'!$B$3=Q$3,SUMIF('TL15'!$C$10:$C$224,$C31,'TL15'!$J$10:$J$224),0),
IF('TL15'!$B$229=Q$3,SUMIF('TL15'!$C$238:$C$451,$C31,'TL15'!$J$238:$J$451),0),
IF('TL16'!$B$3=Q$3,SUMIF('TL16'!$C$10:$C$224,$C31,'TL16'!$J$10:$J$224),0),
IF('TL16'!$B$229=Q$3,SUMIF('TL16'!$C$238:$C$451,$C31,'TL16'!$J$238:$J$451),0),
IF('TL17'!$B$3=Q$3,SUMIF('TL17'!$C$10:$C$224,$C31,'TL17'!$J$10:$J$224),0),
IF('TL17'!$B$229=Q$3,SUMIF('TL17'!$C$238:$C$451,$C31,'TL17'!$J$238:$J$451),0),
IF('TL18'!$B$3=Q$3,SUMIF('TL18'!$C$10:$C$224,$C31,'TL18'!$J$10:$J$224),0),
IF('TL18'!$B$229=Q$3,SUMIF('TL18'!$C$238:$C$451,$C31,'TL18'!$J$238:$J$451),0),
IF('TL19'!$B$3=Q$3,SUMIF('TL19'!$C$10:$C$224,$C31,'TL19'!$J$10:$J$224),0),
IF('TL19'!$B$229=Q$3,SUMIF('TL19'!$C$238:$C$451,$C31,'TL19'!$J$238:$J$451),0)
),0)</f>
        <v>0</v>
      </c>
      <c r="R31" s="9">
        <f>IFERROR(
SUM(
SUMIF('TL01'!C:C,C31,'TL01'!J:J),
SUMIF('TL02'!C:C,C31,'TL02'!J:J),
SUMIF('TL03'!C:C,C31,'TL03'!J:J),
SUMIF('TL04'!C:C,C31,'TL04'!J:J),
SUMIF('TL05'!C:C,C31,'TL05'!J:J),
SUMIF('TL06'!C:C,C31,'TL06'!J:J),
SUMIF('TL07'!C:C,C31,'TL07'!J:J),
SUMIF('TL08'!C:C,C31,'TL08'!J:J),
SUMIF('TL09'!C:C,C31,'TL09'!J:J),
SUMIF('TL10'!C:C,C31,'TL10'!J:J),
SUMIF('TL11'!C:C,C31,'TL11'!J:J),
SUMIF('TL12'!C:C,C31,'TL12'!J:J),
SUMIF('TL13'!C:C,C31,'TL13'!J:J),
SUMIF('TL14'!C:C,C31,'TL14'!J:J),
SUMIF('TL15'!C:C,C31,'TL15'!J:J),
SUMIF('TL16'!C:C,C31,'TL16'!J:J),
SUMIF('TL17'!C:C,C31,'TL17'!J:J),
SUMIF('TL18'!C:C,C31,'TL18'!J:J),SUMIF('TL19'!C:C,C31,'TL19'!J:J))
,0)</f>
        <v>0</v>
      </c>
      <c r="S31" s="17" t="str">
        <f>IFERROR(__xludf.DUMMYFUNCTION("IFERROR(VLOOKUP(C31,
IMPORTRANGE(""1wULbzX32WdYsx-lj2U3uUNBBe2INVIRDtcK0d-Dvl90"",
""26-27!C:G""),
5,
FALSE),
"""")"),"")</f>
        <v/>
      </c>
      <c r="T31" s="9"/>
      <c r="U31" s="92">
        <f t="shared" si="2"/>
        <v>0</v>
      </c>
      <c r="V31" s="93">
        <f t="shared" si="3"/>
        <v>0</v>
      </c>
    </row>
    <row r="32" ht="22.5" hidden="1" customHeight="1">
      <c r="A32" s="101"/>
      <c r="B32" s="102" t="s">
        <v>7</v>
      </c>
      <c r="C32" s="103" t="s">
        <v>417</v>
      </c>
      <c r="D32" s="103" t="s">
        <v>418</v>
      </c>
      <c r="E32" s="104"/>
      <c r="F32" s="4" t="s">
        <v>399</v>
      </c>
      <c r="G32" s="9"/>
      <c r="H32" s="9" t="str">
        <f>IFERROR(__xludf.DUMMYFUNCTION("IFERROR(VLOOKUP(C32,
IMPORTRANGE(""1wULbzX32WdYsx-lj2U3uUNBBe2INVIRDtcK0d-Dvl90"",
""26-27!C:K""),
8,
FALSE),
"""")"),"")</f>
        <v/>
      </c>
      <c r="I32" s="105"/>
      <c r="J32" s="9">
        <f>IFERROR(SUM(
IF('TL01'!$B$3=J$3,SUMIF('TL01'!$C$10:$C$224,$C32,'TL01'!$J$10:$J$224),0),
IF('TL01'!$B$229=J$3,SUMIF('TL01'!$C$238:$C$451,$C32,'TL01'!$J$238:$J$451),0),
IF('TL02'!$B$3=J$3,SUMIF('TL02'!$C$10:$C$224,$C32,'TL02'!$J$10:$J$224),0),
IF('TL02'!$B$229=J$3,SUMIF('TL02'!$C$238:$C$451,$C32,'TL02'!$J$238:$J$451),0),
IF('TL03'!$B$3=J$3,SUMIF('TL03'!$C$10:$C$224,$C32,'TL03'!$J$10:$J$224),0),
IF('TL03'!$B$229=J$3,SUMIF('TL03'!$C$238:$C$451,$C32,'TL03'!$J$238:$J$451),0),
IF('TL04'!$B$3=J$3,SUMIF('TL04'!$C$10:$C$224,$C32,'TL04'!$J$10:$J$224),0),
IF('TL04'!$B$229=J$3,SUMIF('TL04'!$C$238:$C$451,$C32,'TL04'!$J$238:$J$451),0),
IF('TL05'!$B$3=J$3,SUMIF('TL05'!$C$10:$C$224,$C32,'TL05'!$J$10:$J$224),0),
IF('TL05'!$B$229=J$3,SUMIF('TL05'!$C$238:$C$451,$C32,'TL05'!$J$238:$J$451),0),
IF('TL06'!$B$3=J$3,SUMIF('TL06'!$C$10:$C$224,$C32,'TL06'!$J$10:$J$224),0),
IF('TL06'!$B$229=J$3,SUMIF('TL06'!$C$238:$C$451,$C32,'TL06'!$J$238:$J$451),0),
IF('TL07'!$B$3=J$3,SUMIF('TL07'!$C$10:$C$224,$C32,'TL07'!$J$10:$J$224),0),
IF('TL07'!$B$229=J$3,SUMIF('TL07'!$C$238:$C$451,$C32,'TL07'!$J$238:$J$451),0),
IF('TL08'!$B$3=J$3,SUMIF('TL08'!$C$10:$C$224,$C32,'TL08'!$J$10:$J$224),0),
IF('TL08'!$B$229=J$3,SUMIF('TL08'!$C$238:$C$451,$C32,'TL08'!$J$238:$J$451),0),
IF('TL09'!$B$3=J$3,SUMIF('TL09'!$C$10:$C$224,$C32,'TL09'!$J$10:$J$224),0),
IF('TL09'!$B$229=J$3,SUMIF('TL09'!$C$238:$C$451,$C32,'TL09'!$J$238:$J$451),0),
IF('TL10'!$B$3=J$3,SUMIF('TL10'!$C$10:$C$224,$C32,'TL10'!$J$10:$J$224),0),
IF('TL10'!$B$229=J$3,SUMIF('TL10'!$C$238:$C$451,$C32,'TL10'!$J$238:$J$451),0),
IF('TL11'!$B$3=J$3,SUMIF('TL11'!$C$10:$C$224,$C32,'TL11'!$J$10:$J$224),0),
IF('TL11'!$B$229=J$3,SUMIF('TL11'!$C$238:$C$451,$C32,'TL11'!$J$238:$J$451),0),
IF('TL12'!$B$3=J$3,SUMIF('TL12'!$C$10:$C$224,$C32,'TL12'!$J$10:$J$224),0),
IF('TL12'!$B$229=J$3,SUMIF('TL12'!$C$238:$C$451,$C32,'TL12'!$J$238:$J$451),0),
IF('TL13'!$B$3=J$3,SUMIF('TL13'!$C$10:$C$224,$C32,'TL13'!$J$10:$J$224),0),
IF('TL13'!$B$229=J$3,SUMIF('TL13'!$C$238:$C$451,$C32,'TL13'!$J$238:$J$451),0),
IF('TL14'!$B$3=J$3,SUMIF('TL14'!$C$10:$C$224,$C32,'TL14'!$J$10:$J$224),0),
IF('TL14'!$B$229=J$3,SUMIF('TL14'!$C$238:$C$451,$C32,'TL14'!$J$238:$J$451),0),
IF('TL15'!$B$3=J$3,SUMIF('TL15'!$C$10:$C$224,$C32,'TL15'!$J$10:$J$224),0),
IF('TL15'!$B$229=J$3,SUMIF('TL15'!$C$238:$C$451,$C32,'TL15'!$J$238:$J$451),0),
IF('TL16'!$B$3=J$3,SUMIF('TL16'!$C$10:$C$224,$C32,'TL16'!$J$10:$J$224),0),
IF('TL16'!$B$229=J$3,SUMIF('TL16'!$C$238:$C$451,$C32,'TL16'!$J$238:$J$451),0),
IF('TL17'!$B$3=J$3,SUMIF('TL17'!$C$10:$C$224,$C32,'TL17'!$J$10:$J$224),0),
IF('TL17'!$B$229=J$3,SUMIF('TL17'!$C$238:$C$451,$C32,'TL17'!$J$238:$J$451),0),
IF('TL18'!$B$3=J$3,SUMIF('TL18'!$C$10:$C$224,$C32,'TL18'!$J$10:$J$224),0),
IF('TL18'!$B$229=J$3,SUMIF('TL18'!$C$238:$C$451,$C32,'TL18'!$J$238:$J$451),0),
IF('TL19'!$B$3=J$3,SUMIF('TL19'!$C$10:$C$224,$C32,'TL19'!$J$10:$J$224),0),
IF('TL19'!$B$229=J$3,SUMIF('TL19'!$C$238:$C$451,$C32,'TL19'!$J$238:$J$451),0)
),0)</f>
        <v>98</v>
      </c>
      <c r="K32" s="9">
        <f>IFERROR(SUM(
IF('TL01'!$B$3=K$3,SUMIF('TL01'!$C$10:$C$224,$C32,'TL01'!$J$10:$J$224),0),
IF('TL01'!$B$229=K$3,SUMIF('TL01'!$C$238:$C$451,$C32,'TL01'!$J$238:$J$451),0),
IF('TL02'!$B$3=K$3,SUMIF('TL02'!$C$10:$C$224,$C32,'TL02'!$J$10:$J$224),0),
IF('TL02'!$B$229=K$3,SUMIF('TL02'!$C$238:$C$451,$C32,'TL02'!$J$238:$J$451),0),
IF('TL03'!$B$3=K$3,SUMIF('TL03'!$C$10:$C$224,$C32,'TL03'!$J$10:$J$224),0),
IF('TL03'!$B$229=K$3,SUMIF('TL03'!$C$238:$C$451,$C32,'TL03'!$J$238:$J$451),0),
IF('TL04'!$B$3=K$3,SUMIF('TL04'!$C$10:$C$224,$C32,'TL04'!$J$10:$J$224),0),
IF('TL04'!$B$229=K$3,SUMIF('TL04'!$C$238:$C$451,$C32,'TL04'!$J$238:$J$451),0),
IF('TL05'!$B$3=K$3,SUMIF('TL05'!$C$10:$C$224,$C32,'TL05'!$J$10:$J$224),0),
IF('TL05'!$B$229=K$3,SUMIF('TL05'!$C$238:$C$451,$C32,'TL05'!$J$238:$J$451),0),
IF('TL06'!$B$3=K$3,SUMIF('TL06'!$C$10:$C$224,$C32,'TL06'!$J$10:$J$224),0),
IF('TL06'!$B$229=K$3,SUMIF('TL06'!$C$238:$C$451,$C32,'TL06'!$J$238:$J$451),0),
IF('TL07'!$B$3=K$3,SUMIF('TL07'!$C$10:$C$224,$C32,'TL07'!$J$10:$J$224),0),
IF('TL07'!$B$229=K$3,SUMIF('TL07'!$C$238:$C$451,$C32,'TL07'!$J$238:$J$451),0),
IF('TL08'!$B$3=K$3,SUMIF('TL08'!$C$10:$C$224,$C32,'TL08'!$J$10:$J$224),0),
IF('TL08'!$B$229=K$3,SUMIF('TL08'!$C$238:$C$451,$C32,'TL08'!$J$238:$J$451),0),
IF('TL09'!$B$3=K$3,SUMIF('TL09'!$C$10:$C$224,$C32,'TL09'!$J$10:$J$224),0),
IF('TL09'!$B$229=K$3,SUMIF('TL09'!$C$238:$C$451,$C32,'TL09'!$J$238:$J$451),0),
IF('TL10'!$B$3=K$3,SUMIF('TL10'!$C$10:$C$224,$C32,'TL10'!$J$10:$J$224),0),
IF('TL10'!$B$229=K$3,SUMIF('TL10'!$C$238:$C$451,$C32,'TL10'!$J$238:$J$451),0),
IF('TL11'!$B$3=K$3,SUMIF('TL11'!$C$10:$C$224,$C32,'TL11'!$J$10:$J$224),0),
IF('TL11'!$B$229=K$3,SUMIF('TL11'!$C$238:$C$451,$C32,'TL11'!$J$238:$J$451),0),
IF('TL12'!$B$3=K$3,SUMIF('TL12'!$C$10:$C$224,$C32,'TL12'!$J$10:$J$224),0),
IF('TL12'!$B$229=K$3,SUMIF('TL12'!$C$238:$C$451,$C32,'TL12'!$J$238:$J$451),0),
IF('TL13'!$B$3=K$3,SUMIF('TL13'!$C$10:$C$224,$C32,'TL13'!$J$10:$J$224),0),
IF('TL13'!$B$229=K$3,SUMIF('TL13'!$C$238:$C$451,$C32,'TL13'!$J$238:$J$451),0),
IF('TL14'!$B$3=K$3,SUMIF('TL14'!$C$10:$C$224,$C32,'TL14'!$J$10:$J$224),0),
IF('TL14'!$B$229=K$3,SUMIF('TL14'!$C$238:$C$451,$C32,'TL14'!$J$238:$J$451),0),
IF('TL15'!$B$3=K$3,SUMIF('TL15'!$C$10:$C$224,$C32,'TL15'!$J$10:$J$224),0),
IF('TL15'!$B$229=K$3,SUMIF('TL15'!$C$238:$C$451,$C32,'TL15'!$J$238:$J$451),0),
IF('TL16'!$B$3=K$3,SUMIF('TL16'!$C$10:$C$224,$C32,'TL16'!$J$10:$J$224),0),
IF('TL16'!$B$229=K$3,SUMIF('TL16'!$C$238:$C$451,$C32,'TL16'!$J$238:$J$451),0),
IF('TL17'!$B$3=K$3,SUMIF('TL17'!$C$10:$C$224,$C32,'TL17'!$J$10:$J$224),0),
IF('TL17'!$B$229=K$3,SUMIF('TL17'!$C$238:$C$451,$C32,'TL17'!$J$238:$J$451),0),
IF('TL18'!$B$3=K$3,SUMIF('TL18'!$C$10:$C$224,$C32,'TL18'!$J$10:$J$224),0),
IF('TL18'!$B$229=K$3,SUMIF('TL18'!$C$238:$C$451,$C32,'TL18'!$J$238:$J$451),0),
IF('TL19'!$B$3=K$3,SUMIF('TL19'!$C$10:$C$224,$C32,'TL19'!$J$10:$J$224),0),
IF('TL19'!$B$229=K$3,SUMIF('TL19'!$C$238:$C$451,$C32,'TL19'!$J$238:$J$451),0)
),0)</f>
        <v>0</v>
      </c>
      <c r="L32" s="9">
        <f>IFERROR(SUM(
IF('TL01'!$B$3=L$3,SUMIF('TL01'!$C$10:$C$224,$C32,'TL01'!$J$10:$J$224),0),
IF('TL01'!$B$229=L$3,SUMIF('TL01'!$C$238:$C$451,$C32,'TL01'!$J$238:$J$451),0),
IF('TL02'!$B$3=L$3,SUMIF('TL02'!$C$10:$C$224,$C32,'TL02'!$J$10:$J$224),0),
IF('TL02'!$B$229=L$3,SUMIF('TL02'!$C$238:$C$451,$C32,'TL02'!$J$238:$J$451),0),
IF('TL03'!$B$3=L$3,SUMIF('TL03'!$C$10:$C$224,$C32,'TL03'!$J$10:$J$224),0),
IF('TL03'!$B$229=L$3,SUMIF('TL03'!$C$238:$C$451,$C32,'TL03'!$J$238:$J$451),0),
IF('TL04'!$B$3=L$3,SUMIF('TL04'!$C$10:$C$224,$C32,'TL04'!$J$10:$J$224),0),
IF('TL04'!$B$229=L$3,SUMIF('TL04'!$C$238:$C$451,$C32,'TL04'!$J$238:$J$451),0),
IF('TL05'!$B$3=L$3,SUMIF('TL05'!$C$10:$C$224,$C32,'TL05'!$J$10:$J$224),0),
IF('TL05'!$B$229=L$3,SUMIF('TL05'!$C$238:$C$451,$C32,'TL05'!$J$238:$J$451),0),
IF('TL06'!$B$3=L$3,SUMIF('TL06'!$C$10:$C$224,$C32,'TL06'!$J$10:$J$224),0),
IF('TL06'!$B$229=L$3,SUMIF('TL06'!$C$238:$C$451,$C32,'TL06'!$J$238:$J$451),0),
IF('TL07'!$B$3=L$3,SUMIF('TL07'!$C$10:$C$224,$C32,'TL07'!$J$10:$J$224),0),
IF('TL07'!$B$229=L$3,SUMIF('TL07'!$C$238:$C$451,$C32,'TL07'!$J$238:$J$451),0),
IF('TL08'!$B$3=L$3,SUMIF('TL08'!$C$10:$C$224,$C32,'TL08'!$J$10:$J$224),0),
IF('TL08'!$B$229=L$3,SUMIF('TL08'!$C$238:$C$451,$C32,'TL08'!$J$238:$J$451),0),
IF('TL09'!$B$3=L$3,SUMIF('TL09'!$C$10:$C$224,$C32,'TL09'!$J$10:$J$224),0),
IF('TL09'!$B$229=L$3,SUMIF('TL09'!$C$238:$C$451,$C32,'TL09'!$J$238:$J$451),0),
IF('TL10'!$B$3=L$3,SUMIF('TL10'!$C$10:$C$224,$C32,'TL10'!$J$10:$J$224),0),
IF('TL10'!$B$229=L$3,SUMIF('TL10'!$C$238:$C$451,$C32,'TL10'!$J$238:$J$451),0),
IF('TL11'!$B$3=L$3,SUMIF('TL11'!$C$10:$C$224,$C32,'TL11'!$J$10:$J$224),0),
IF('TL11'!$B$229=L$3,SUMIF('TL11'!$C$238:$C$451,$C32,'TL11'!$J$238:$J$451),0),
IF('TL12'!$B$3=L$3,SUMIF('TL12'!$C$10:$C$224,$C32,'TL12'!$J$10:$J$224),0),
IF('TL12'!$B$229=L$3,SUMIF('TL12'!$C$238:$C$451,$C32,'TL12'!$J$238:$J$451),0),
IF('TL13'!$B$3=L$3,SUMIF('TL13'!$C$10:$C$224,$C32,'TL13'!$J$10:$J$224),0),
IF('TL13'!$B$229=L$3,SUMIF('TL13'!$C$238:$C$451,$C32,'TL13'!$J$238:$J$451),0),
IF('TL14'!$B$3=L$3,SUMIF('TL14'!$C$10:$C$224,$C32,'TL14'!$J$10:$J$224),0),
IF('TL14'!$B$229=L$3,SUMIF('TL14'!$C$238:$C$451,$C32,'TL14'!$J$238:$J$451),0),
IF('TL15'!$B$3=L$3,SUMIF('TL15'!$C$10:$C$224,$C32,'TL15'!$J$10:$J$224),0),
IF('TL15'!$B$229=L$3,SUMIF('TL15'!$C$238:$C$451,$C32,'TL15'!$J$238:$J$451),0),
IF('TL16'!$B$3=L$3,SUMIF('TL16'!$C$10:$C$224,$C32,'TL16'!$J$10:$J$224),0),
IF('TL16'!$B$229=L$3,SUMIF('TL16'!$C$238:$C$451,$C32,'TL16'!$J$238:$J$451),0),
IF('TL17'!$B$3=L$3,SUMIF('TL17'!$C$10:$C$224,$C32,'TL17'!$J$10:$J$224),0),
IF('TL17'!$B$229=L$3,SUMIF('TL17'!$C$238:$C$451,$C32,'TL17'!$J$238:$J$451),0),
IF('TL18'!$B$3=L$3,SUMIF('TL18'!$C$10:$C$224,$C32,'TL18'!$J$10:$J$224),0),
IF('TL18'!$B$229=L$3,SUMIF('TL18'!$C$238:$C$451,$C32,'TL18'!$J$238:$J$451),0),
IF('TL19'!$B$3=L$3,SUMIF('TL19'!$C$10:$C$224,$C32,'TL19'!$J$10:$J$224),0),
IF('TL19'!$B$229=L$3,SUMIF('TL19'!$C$238:$C$451,$C32,'TL19'!$J$238:$J$451),0)
),0)</f>
        <v>0</v>
      </c>
      <c r="M32" s="9">
        <f>IFERROR(SUM(
IF('TL01'!$B$3=M$3,SUMIF('TL01'!$C$10:$C$224,$C32,'TL01'!$J$10:$J$224),0),
IF('TL01'!$B$229=M$3,SUMIF('TL01'!$C$238:$C$451,$C32,'TL01'!$J$238:$J$451),0),
IF('TL02'!$B$3=M$3,SUMIF('TL02'!$C$10:$C$224,$C32,'TL02'!$J$10:$J$224),0),
IF('TL02'!$B$229=M$3,SUMIF('TL02'!$C$238:$C$451,$C32,'TL02'!$J$238:$J$451),0),
IF('TL03'!$B$3=M$3,SUMIF('TL03'!$C$10:$C$224,$C32,'TL03'!$J$10:$J$224),0),
IF('TL03'!$B$229=M$3,SUMIF('TL03'!$C$238:$C$451,$C32,'TL03'!$J$238:$J$451),0),
IF('TL04'!$B$3=M$3,SUMIF('TL04'!$C$10:$C$224,$C32,'TL04'!$J$10:$J$224),0),
IF('TL04'!$B$229=M$3,SUMIF('TL04'!$C$238:$C$451,$C32,'TL04'!$J$238:$J$451),0),
IF('TL05'!$B$3=M$3,SUMIF('TL05'!$C$10:$C$224,$C32,'TL05'!$J$10:$J$224),0),
IF('TL05'!$B$229=M$3,SUMIF('TL05'!$C$238:$C$451,$C32,'TL05'!$J$238:$J$451),0),
IF('TL06'!$B$3=M$3,SUMIF('TL06'!$C$10:$C$224,$C32,'TL06'!$J$10:$J$224),0),
IF('TL06'!$B$229=M$3,SUMIF('TL06'!$C$238:$C$451,$C32,'TL06'!$J$238:$J$451),0),
IF('TL07'!$B$3=M$3,SUMIF('TL07'!$C$10:$C$224,$C32,'TL07'!$J$10:$J$224),0),
IF('TL07'!$B$229=M$3,SUMIF('TL07'!$C$238:$C$451,$C32,'TL07'!$J$238:$J$451),0),
IF('TL08'!$B$3=M$3,SUMIF('TL08'!$C$10:$C$224,$C32,'TL08'!$J$10:$J$224),0),
IF('TL08'!$B$229=M$3,SUMIF('TL08'!$C$238:$C$451,$C32,'TL08'!$J$238:$J$451),0),
IF('TL09'!$B$3=M$3,SUMIF('TL09'!$C$10:$C$224,$C32,'TL09'!$J$10:$J$224),0),
IF('TL09'!$B$229=M$3,SUMIF('TL09'!$C$238:$C$451,$C32,'TL09'!$J$238:$J$451),0),
IF('TL10'!$B$3=M$3,SUMIF('TL10'!$C$10:$C$224,$C32,'TL10'!$J$10:$J$224),0),
IF('TL10'!$B$229=M$3,SUMIF('TL10'!$C$238:$C$451,$C32,'TL10'!$J$238:$J$451),0),
IF('TL11'!$B$3=M$3,SUMIF('TL11'!$C$10:$C$224,$C32,'TL11'!$J$10:$J$224),0),
IF('TL11'!$B$229=M$3,SUMIF('TL11'!$C$238:$C$451,$C32,'TL11'!$J$238:$J$451),0),
IF('TL12'!$B$3=M$3,SUMIF('TL12'!$C$10:$C$224,$C32,'TL12'!$J$10:$J$224),0),
IF('TL12'!$B$229=M$3,SUMIF('TL12'!$C$238:$C$451,$C32,'TL12'!$J$238:$J$451),0),
IF('TL13'!$B$3=M$3,SUMIF('TL13'!$C$10:$C$224,$C32,'TL13'!$J$10:$J$224),0),
IF('TL13'!$B$229=M$3,SUMIF('TL13'!$C$238:$C$451,$C32,'TL13'!$J$238:$J$451),0),
IF('TL14'!$B$3=M$3,SUMIF('TL14'!$C$10:$C$224,$C32,'TL14'!$J$10:$J$224),0),
IF('TL14'!$B$229=M$3,SUMIF('TL14'!$C$238:$C$451,$C32,'TL14'!$J$238:$J$451),0),
IF('TL15'!$B$3=M$3,SUMIF('TL15'!$C$10:$C$224,$C32,'TL15'!$J$10:$J$224),0),
IF('TL15'!$B$229=M$3,SUMIF('TL15'!$C$238:$C$451,$C32,'TL15'!$J$238:$J$451),0),
IF('TL16'!$B$3=M$3,SUMIF('TL16'!$C$10:$C$224,$C32,'TL16'!$J$10:$J$224),0),
IF('TL16'!$B$229=M$3,SUMIF('TL16'!$C$238:$C$451,$C32,'TL16'!$J$238:$J$451),0),
IF('TL17'!$B$3=M$3,SUMIF('TL17'!$C$10:$C$224,$C32,'TL17'!$J$10:$J$224),0),
IF('TL17'!$B$229=M$3,SUMIF('TL17'!$C$238:$C$451,$C32,'TL17'!$J$238:$J$451),0),
IF('TL18'!$B$3=M$3,SUMIF('TL18'!$C$10:$C$224,$C32,'TL18'!$J$10:$J$224),0),
IF('TL18'!$B$229=M$3,SUMIF('TL18'!$C$238:$C$451,$C32,'TL18'!$J$238:$J$451),0),
IF('TL19'!$B$3=M$3,SUMIF('TL19'!$C$10:$C$224,$C32,'TL19'!$J$10:$J$224),0),
IF('TL19'!$B$229=M$3,SUMIF('TL19'!$C$238:$C$451,$C32,'TL19'!$J$238:$J$451),0)
),0)</f>
        <v>70</v>
      </c>
      <c r="N32" s="9">
        <f>IFERROR(SUM(
IF('TL01'!$B$3=N$3,SUMIF('TL01'!$C$10:$C$224,$C32,'TL01'!$J$10:$J$224),0),
IF('TL01'!$B$229=N$3,SUMIF('TL01'!$C$238:$C$451,$C32,'TL01'!$J$238:$J$451),0),
IF('TL02'!$B$3=N$3,SUMIF('TL02'!$C$10:$C$224,$C32,'TL02'!$J$10:$J$224),0),
IF('TL02'!$B$229=N$3,SUMIF('TL02'!$C$238:$C$451,$C32,'TL02'!$J$238:$J$451),0),
IF('TL03'!$B$3=N$3,SUMIF('TL03'!$C$10:$C$224,$C32,'TL03'!$J$10:$J$224),0),
IF('TL03'!$B$229=N$3,SUMIF('TL03'!$C$238:$C$451,$C32,'TL03'!$J$238:$J$451),0),
IF('TL04'!$B$3=N$3,SUMIF('TL04'!$C$10:$C$224,$C32,'TL04'!$J$10:$J$224),0),
IF('TL04'!$B$229=N$3,SUMIF('TL04'!$C$238:$C$451,$C32,'TL04'!$J$238:$J$451),0),
IF('TL05'!$B$3=N$3,SUMIF('TL05'!$C$10:$C$224,$C32,'TL05'!$J$10:$J$224),0),
IF('TL05'!$B$229=N$3,SUMIF('TL05'!$C$238:$C$451,$C32,'TL05'!$J$238:$J$451),0),
IF('TL06'!$B$3=N$3,SUMIF('TL06'!$C$10:$C$224,$C32,'TL06'!$J$10:$J$224),0),
IF('TL06'!$B$229=N$3,SUMIF('TL06'!$C$238:$C$451,$C32,'TL06'!$J$238:$J$451),0),
IF('TL07'!$B$3=N$3,SUMIF('TL07'!$C$10:$C$224,$C32,'TL07'!$J$10:$J$224),0),
IF('TL07'!$B$229=N$3,SUMIF('TL07'!$C$238:$C$451,$C32,'TL07'!$J$238:$J$451),0),
IF('TL08'!$B$3=N$3,SUMIF('TL08'!$C$10:$C$224,$C32,'TL08'!$J$10:$J$224),0),
IF('TL08'!$B$229=N$3,SUMIF('TL08'!$C$238:$C$451,$C32,'TL08'!$J$238:$J$451),0),
IF('TL09'!$B$3=N$3,SUMIF('TL09'!$C$10:$C$224,$C32,'TL09'!$J$10:$J$224),0),
IF('TL09'!$B$229=N$3,SUMIF('TL09'!$C$238:$C$451,$C32,'TL09'!$J$238:$J$451),0),
IF('TL10'!$B$3=N$3,SUMIF('TL10'!$C$10:$C$224,$C32,'TL10'!$J$10:$J$224),0),
IF('TL10'!$B$229=N$3,SUMIF('TL10'!$C$238:$C$451,$C32,'TL10'!$J$238:$J$451),0),
IF('TL11'!$B$3=N$3,SUMIF('TL11'!$C$10:$C$224,$C32,'TL11'!$J$10:$J$224),0),
IF('TL11'!$B$229=N$3,SUMIF('TL11'!$C$238:$C$451,$C32,'TL11'!$J$238:$J$451),0),
IF('TL12'!$B$3=N$3,SUMIF('TL12'!$C$10:$C$224,$C32,'TL12'!$J$10:$J$224),0),
IF('TL12'!$B$229=N$3,SUMIF('TL12'!$C$238:$C$451,$C32,'TL12'!$J$238:$J$451),0),
IF('TL13'!$B$3=N$3,SUMIF('TL13'!$C$10:$C$224,$C32,'TL13'!$J$10:$J$224),0),
IF('TL13'!$B$229=N$3,SUMIF('TL13'!$C$238:$C$451,$C32,'TL13'!$J$238:$J$451),0),
IF('TL14'!$B$3=N$3,SUMIF('TL14'!$C$10:$C$224,$C32,'TL14'!$J$10:$J$224),0),
IF('TL14'!$B$229=N$3,SUMIF('TL14'!$C$238:$C$451,$C32,'TL14'!$J$238:$J$451),0),
IF('TL15'!$B$3=N$3,SUMIF('TL15'!$C$10:$C$224,$C32,'TL15'!$J$10:$J$224),0),
IF('TL15'!$B$229=N$3,SUMIF('TL15'!$C$238:$C$451,$C32,'TL15'!$J$238:$J$451),0),
IF('TL16'!$B$3=N$3,SUMIF('TL16'!$C$10:$C$224,$C32,'TL16'!$J$10:$J$224),0),
IF('TL16'!$B$229=N$3,SUMIF('TL16'!$C$238:$C$451,$C32,'TL16'!$J$238:$J$451),0),
IF('TL17'!$B$3=N$3,SUMIF('TL17'!$C$10:$C$224,$C32,'TL17'!$J$10:$J$224),0),
IF('TL17'!$B$229=N$3,SUMIF('TL17'!$C$238:$C$451,$C32,'TL17'!$J$238:$J$451),0),
IF('TL18'!$B$3=N$3,SUMIF('TL18'!$C$10:$C$224,$C32,'TL18'!$J$10:$J$224),0),
IF('TL18'!$B$229=N$3,SUMIF('TL18'!$C$238:$C$451,$C32,'TL18'!$J$238:$J$451),0),
IF('TL19'!$B$3=N$3,SUMIF('TL19'!$C$10:$C$224,$C32,'TL19'!$J$10:$J$224),0),
IF('TL19'!$B$229=N$3,SUMIF('TL19'!$C$238:$C$451,$C32,'TL19'!$J$238:$J$451),0)
),0)</f>
        <v>0</v>
      </c>
      <c r="O32" s="9">
        <f>IFERROR(SUM(
IF('TL01'!$B$3=O$3,SUMIF('TL01'!$C$10:$C$224,$C32,'TL01'!$J$10:$J$224),0),
IF('TL01'!$B$229=O$3,SUMIF('TL01'!$C$238:$C$451,$C32,'TL01'!$J$238:$J$451),0),
IF('TL02'!$B$3=O$3,SUMIF('TL02'!$C$10:$C$224,$C32,'TL02'!$J$10:$J$224),0),
IF('TL02'!$B$229=O$3,SUMIF('TL02'!$C$238:$C$451,$C32,'TL02'!$J$238:$J$451),0),
IF('TL03'!$B$3=O$3,SUMIF('TL03'!$C$10:$C$224,$C32,'TL03'!$J$10:$J$224),0),
IF('TL03'!$B$229=O$3,SUMIF('TL03'!$C$238:$C$451,$C32,'TL03'!$J$238:$J$451),0),
IF('TL04'!$B$3=O$3,SUMIF('TL04'!$C$10:$C$224,$C32,'TL04'!$J$10:$J$224),0),
IF('TL04'!$B$229=O$3,SUMIF('TL04'!$C$238:$C$451,$C32,'TL04'!$J$238:$J$451),0),
IF('TL05'!$B$3=O$3,SUMIF('TL05'!$C$10:$C$224,$C32,'TL05'!$J$10:$J$224),0),
IF('TL05'!$B$229=O$3,SUMIF('TL05'!$C$238:$C$451,$C32,'TL05'!$J$238:$J$451),0),
IF('TL06'!$B$3=O$3,SUMIF('TL06'!$C$10:$C$224,$C32,'TL06'!$J$10:$J$224),0),
IF('TL06'!$B$229=O$3,SUMIF('TL06'!$C$238:$C$451,$C32,'TL06'!$J$238:$J$451),0),
IF('TL07'!$B$3=O$3,SUMIF('TL07'!$C$10:$C$224,$C32,'TL07'!$J$10:$J$224),0),
IF('TL07'!$B$229=O$3,SUMIF('TL07'!$C$238:$C$451,$C32,'TL07'!$J$238:$J$451),0),
IF('TL08'!$B$3=O$3,SUMIF('TL08'!$C$10:$C$224,$C32,'TL08'!$J$10:$J$224),0),
IF('TL08'!$B$229=O$3,SUMIF('TL08'!$C$238:$C$451,$C32,'TL08'!$J$238:$J$451),0),
IF('TL09'!$B$3=O$3,SUMIF('TL09'!$C$10:$C$224,$C32,'TL09'!$J$10:$J$224),0),
IF('TL09'!$B$229=O$3,SUMIF('TL09'!$C$238:$C$451,$C32,'TL09'!$J$238:$J$451),0),
IF('TL10'!$B$3=O$3,SUMIF('TL10'!$C$10:$C$224,$C32,'TL10'!$J$10:$J$224),0),
IF('TL10'!$B$229=O$3,SUMIF('TL10'!$C$238:$C$451,$C32,'TL10'!$J$238:$J$451),0),
IF('TL11'!$B$3=O$3,SUMIF('TL11'!$C$10:$C$224,$C32,'TL11'!$J$10:$J$224),0),
IF('TL11'!$B$229=O$3,SUMIF('TL11'!$C$238:$C$451,$C32,'TL11'!$J$238:$J$451),0),
IF('TL12'!$B$3=O$3,SUMIF('TL12'!$C$10:$C$224,$C32,'TL12'!$J$10:$J$224),0),
IF('TL12'!$B$229=O$3,SUMIF('TL12'!$C$238:$C$451,$C32,'TL12'!$J$238:$J$451),0),
IF('TL13'!$B$3=O$3,SUMIF('TL13'!$C$10:$C$224,$C32,'TL13'!$J$10:$J$224),0),
IF('TL13'!$B$229=O$3,SUMIF('TL13'!$C$238:$C$451,$C32,'TL13'!$J$238:$J$451),0),
IF('TL14'!$B$3=O$3,SUMIF('TL14'!$C$10:$C$224,$C32,'TL14'!$J$10:$J$224),0),
IF('TL14'!$B$229=O$3,SUMIF('TL14'!$C$238:$C$451,$C32,'TL14'!$J$238:$J$451),0),
IF('TL15'!$B$3=O$3,SUMIF('TL15'!$C$10:$C$224,$C32,'TL15'!$J$10:$J$224),0),
IF('TL15'!$B$229=O$3,SUMIF('TL15'!$C$238:$C$451,$C32,'TL15'!$J$238:$J$451),0),
IF('TL16'!$B$3=O$3,SUMIF('TL16'!$C$10:$C$224,$C32,'TL16'!$J$10:$J$224),0),
IF('TL16'!$B$229=O$3,SUMIF('TL16'!$C$238:$C$451,$C32,'TL16'!$J$238:$J$451),0),
IF('TL17'!$B$3=O$3,SUMIF('TL17'!$C$10:$C$224,$C32,'TL17'!$J$10:$J$224),0),
IF('TL17'!$B$229=O$3,SUMIF('TL17'!$C$238:$C$451,$C32,'TL17'!$J$238:$J$451),0),
IF('TL18'!$B$3=O$3,SUMIF('TL18'!$C$10:$C$224,$C32,'TL18'!$J$10:$J$224),0),
IF('TL18'!$B$229=O$3,SUMIF('TL18'!$C$238:$C$451,$C32,'TL18'!$J$238:$J$451),0),
IF('TL19'!$B$3=O$3,SUMIF('TL19'!$C$10:$C$224,$C32,'TL19'!$J$10:$J$224),0),
IF('TL19'!$B$229=O$3,SUMIF('TL19'!$C$238:$C$451,$C32,'TL19'!$J$238:$J$451),0)
),0)</f>
        <v>55</v>
      </c>
      <c r="P32" s="9">
        <f>IFERROR(SUM(
IF('TL01'!$B$3=P$3,SUMIF('TL01'!$C$10:$C$224,$C32,'TL01'!$J$10:$J$224),0),
IF('TL01'!$B$229=P$3,SUMIF('TL01'!$C$238:$C$451,$C32,'TL01'!$J$238:$J$451),0),
IF('TL02'!$B$3=P$3,SUMIF('TL02'!$C$10:$C$224,$C32,'TL02'!$J$10:$J$224),0),
IF('TL02'!$B$229=P$3,SUMIF('TL02'!$C$238:$C$451,$C32,'TL02'!$J$238:$J$451),0),
IF('TL03'!$B$3=P$3,SUMIF('TL03'!$C$10:$C$224,$C32,'TL03'!$J$10:$J$224),0),
IF('TL03'!$B$229=P$3,SUMIF('TL03'!$C$238:$C$451,$C32,'TL03'!$J$238:$J$451),0),
IF('TL04'!$B$3=P$3,SUMIF('TL04'!$C$10:$C$224,$C32,'TL04'!$J$10:$J$224),0),
IF('TL04'!$B$229=P$3,SUMIF('TL04'!$C$238:$C$451,$C32,'TL04'!$J$238:$J$451),0),
IF('TL05'!$B$3=P$3,SUMIF('TL05'!$C$10:$C$224,$C32,'TL05'!$J$10:$J$224),0),
IF('TL05'!$B$229=P$3,SUMIF('TL05'!$C$238:$C$451,$C32,'TL05'!$J$238:$J$451),0),
IF('TL06'!$B$3=P$3,SUMIF('TL06'!$C$10:$C$224,$C32,'TL06'!$J$10:$J$224),0),
IF('TL06'!$B$229=P$3,SUMIF('TL06'!$C$238:$C$451,$C32,'TL06'!$J$238:$J$451),0),
IF('TL07'!$B$3=P$3,SUMIF('TL07'!$C$10:$C$224,$C32,'TL07'!$J$10:$J$224),0),
IF('TL07'!$B$229=P$3,SUMIF('TL07'!$C$238:$C$451,$C32,'TL07'!$J$238:$J$451),0),
IF('TL08'!$B$3=P$3,SUMIF('TL08'!$C$10:$C$224,$C32,'TL08'!$J$10:$J$224),0),
IF('TL08'!$B$229=P$3,SUMIF('TL08'!$C$238:$C$451,$C32,'TL08'!$J$238:$J$451),0),
IF('TL09'!$B$3=P$3,SUMIF('TL09'!$C$10:$C$224,$C32,'TL09'!$J$10:$J$224),0),
IF('TL09'!$B$229=P$3,SUMIF('TL09'!$C$238:$C$451,$C32,'TL09'!$J$238:$J$451),0),
IF('TL10'!$B$3=P$3,SUMIF('TL10'!$C$10:$C$224,$C32,'TL10'!$J$10:$J$224),0),
IF('TL10'!$B$229=P$3,SUMIF('TL10'!$C$238:$C$451,$C32,'TL10'!$J$238:$J$451),0),
IF('TL11'!$B$3=P$3,SUMIF('TL11'!$C$10:$C$224,$C32,'TL11'!$J$10:$J$224),0),
IF('TL11'!$B$229=P$3,SUMIF('TL11'!$C$238:$C$451,$C32,'TL11'!$J$238:$J$451),0),
IF('TL12'!$B$3=P$3,SUMIF('TL12'!$C$10:$C$224,$C32,'TL12'!$J$10:$J$224),0),
IF('TL12'!$B$229=P$3,SUMIF('TL12'!$C$238:$C$451,$C32,'TL12'!$J$238:$J$451),0),
IF('TL13'!$B$3=P$3,SUMIF('TL13'!$C$10:$C$224,$C32,'TL13'!$J$10:$J$224),0),
IF('TL13'!$B$229=P$3,SUMIF('TL13'!$C$238:$C$451,$C32,'TL13'!$J$238:$J$451),0),
IF('TL14'!$B$3=P$3,SUMIF('TL14'!$C$10:$C$224,$C32,'TL14'!$J$10:$J$224),0),
IF('TL14'!$B$229=P$3,SUMIF('TL14'!$C$238:$C$451,$C32,'TL14'!$J$238:$J$451),0),
IF('TL15'!$B$3=P$3,SUMIF('TL15'!$C$10:$C$224,$C32,'TL15'!$J$10:$J$224),0),
IF('TL15'!$B$229=P$3,SUMIF('TL15'!$C$238:$C$451,$C32,'TL15'!$J$238:$J$451),0),
IF('TL16'!$B$3=P$3,SUMIF('TL16'!$C$10:$C$224,$C32,'TL16'!$J$10:$J$224),0),
IF('TL16'!$B$229=P$3,SUMIF('TL16'!$C$238:$C$451,$C32,'TL16'!$J$238:$J$451),0),
IF('TL17'!$B$3=P$3,SUMIF('TL17'!$C$10:$C$224,$C32,'TL17'!$J$10:$J$224),0),
IF('TL17'!$B$229=P$3,SUMIF('TL17'!$C$238:$C$451,$C32,'TL17'!$J$238:$J$451),0),
IF('TL18'!$B$3=P$3,SUMIF('TL18'!$C$10:$C$224,$C32,'TL18'!$J$10:$J$224),0),
IF('TL18'!$B$229=P$3,SUMIF('TL18'!$C$238:$C$451,$C32,'TL18'!$J$238:$J$451),0),
IF('TL19'!$B$3=P$3,SUMIF('TL19'!$C$10:$C$224,$C32,'TL19'!$J$10:$J$224),0),
IF('TL19'!$B$229=P$3,SUMIF('TL19'!$C$238:$C$451,$C32,'TL19'!$J$238:$J$451),0)
),0)</f>
        <v>0</v>
      </c>
      <c r="Q32" s="9">
        <f>IFERROR(SUM(
IF('TL01'!$B$3=Q$3,SUMIF('TL01'!$C$10:$C$224,$C32,'TL01'!$J$10:$J$224),0),
IF('TL01'!$B$229=Q$3,SUMIF('TL01'!$C$238:$C$451,$C32,'TL01'!$J$238:$J$451),0),
IF('TL02'!$B$3=Q$3,SUMIF('TL02'!$C$10:$C$224,$C32,'TL02'!$J$10:$J$224),0),
IF('TL02'!$B$229=Q$3,SUMIF('TL02'!$C$238:$C$451,$C32,'TL02'!$J$238:$J$451),0),
IF('TL03'!$B$3=Q$3,SUMIF('TL03'!$C$10:$C$224,$C32,'TL03'!$J$10:$J$224),0),
IF('TL03'!$B$229=Q$3,SUMIF('TL03'!$C$238:$C$451,$C32,'TL03'!$J$238:$J$451),0),
IF('TL04'!$B$3=Q$3,SUMIF('TL04'!$C$10:$C$224,$C32,'TL04'!$J$10:$J$224),0),
IF('TL04'!$B$229=Q$3,SUMIF('TL04'!$C$238:$C$451,$C32,'TL04'!$J$238:$J$451),0),
IF('TL05'!$B$3=Q$3,SUMIF('TL05'!$C$10:$C$224,$C32,'TL05'!$J$10:$J$224),0),
IF('TL05'!$B$229=Q$3,SUMIF('TL05'!$C$238:$C$451,$C32,'TL05'!$J$238:$J$451),0),
IF('TL06'!$B$3=Q$3,SUMIF('TL06'!$C$10:$C$224,$C32,'TL06'!$J$10:$J$224),0),
IF('TL06'!$B$229=Q$3,SUMIF('TL06'!$C$238:$C$451,$C32,'TL06'!$J$238:$J$451),0),
IF('TL07'!$B$3=Q$3,SUMIF('TL07'!$C$10:$C$224,$C32,'TL07'!$J$10:$J$224),0),
IF('TL07'!$B$229=Q$3,SUMIF('TL07'!$C$238:$C$451,$C32,'TL07'!$J$238:$J$451),0),
IF('TL08'!$B$3=Q$3,SUMIF('TL08'!$C$10:$C$224,$C32,'TL08'!$J$10:$J$224),0),
IF('TL08'!$B$229=Q$3,SUMIF('TL08'!$C$238:$C$451,$C32,'TL08'!$J$238:$J$451),0),
IF('TL09'!$B$3=Q$3,SUMIF('TL09'!$C$10:$C$224,$C32,'TL09'!$J$10:$J$224),0),
IF('TL09'!$B$229=Q$3,SUMIF('TL09'!$C$238:$C$451,$C32,'TL09'!$J$238:$J$451),0),
IF('TL10'!$B$3=Q$3,SUMIF('TL10'!$C$10:$C$224,$C32,'TL10'!$J$10:$J$224),0),
IF('TL10'!$B$229=Q$3,SUMIF('TL10'!$C$238:$C$451,$C32,'TL10'!$J$238:$J$451),0),
IF('TL11'!$B$3=Q$3,SUMIF('TL11'!$C$10:$C$224,$C32,'TL11'!$J$10:$J$224),0),
IF('TL11'!$B$229=Q$3,SUMIF('TL11'!$C$238:$C$451,$C32,'TL11'!$J$238:$J$451),0),
IF('TL12'!$B$3=Q$3,SUMIF('TL12'!$C$10:$C$224,$C32,'TL12'!$J$10:$J$224),0),
IF('TL12'!$B$229=Q$3,SUMIF('TL12'!$C$238:$C$451,$C32,'TL12'!$J$238:$J$451),0),
IF('TL13'!$B$3=Q$3,SUMIF('TL13'!$C$10:$C$224,$C32,'TL13'!$J$10:$J$224),0),
IF('TL13'!$B$229=Q$3,SUMIF('TL13'!$C$238:$C$451,$C32,'TL13'!$J$238:$J$451),0),
IF('TL14'!$B$3=Q$3,SUMIF('TL14'!$C$10:$C$224,$C32,'TL14'!$J$10:$J$224),0),
IF('TL14'!$B$229=Q$3,SUMIF('TL14'!$C$238:$C$451,$C32,'TL14'!$J$238:$J$451),0),
IF('TL15'!$B$3=Q$3,SUMIF('TL15'!$C$10:$C$224,$C32,'TL15'!$J$10:$J$224),0),
IF('TL15'!$B$229=Q$3,SUMIF('TL15'!$C$238:$C$451,$C32,'TL15'!$J$238:$J$451),0),
IF('TL16'!$B$3=Q$3,SUMIF('TL16'!$C$10:$C$224,$C32,'TL16'!$J$10:$J$224),0),
IF('TL16'!$B$229=Q$3,SUMIF('TL16'!$C$238:$C$451,$C32,'TL16'!$J$238:$J$451),0),
IF('TL17'!$B$3=Q$3,SUMIF('TL17'!$C$10:$C$224,$C32,'TL17'!$J$10:$J$224),0),
IF('TL17'!$B$229=Q$3,SUMIF('TL17'!$C$238:$C$451,$C32,'TL17'!$J$238:$J$451),0),
IF('TL18'!$B$3=Q$3,SUMIF('TL18'!$C$10:$C$224,$C32,'TL18'!$J$10:$J$224),0),
IF('TL18'!$B$229=Q$3,SUMIF('TL18'!$C$238:$C$451,$C32,'TL18'!$J$238:$J$451),0),
IF('TL19'!$B$3=Q$3,SUMIF('TL19'!$C$10:$C$224,$C32,'TL19'!$J$10:$J$224),0),
IF('TL19'!$B$229=Q$3,SUMIF('TL19'!$C$238:$C$451,$C32,'TL19'!$J$238:$J$451),0)
),0)</f>
        <v>0</v>
      </c>
      <c r="R32" s="9">
        <f>IFERROR(
SUM(
SUMIF('TL01'!C:C,C32,'TL01'!J:J),
SUMIF('TL02'!C:C,C32,'TL02'!J:J),
SUMIF('TL03'!C:C,C32,'TL03'!J:J),
SUMIF('TL04'!C:C,C32,'TL04'!J:J),
SUMIF('TL05'!C:C,C32,'TL05'!J:J),
SUMIF('TL06'!C:C,C32,'TL06'!J:J),
SUMIF('TL07'!C:C,C32,'TL07'!J:J),
SUMIF('TL08'!C:C,C32,'TL08'!J:J),
SUMIF('TL09'!C:C,C32,'TL09'!J:J),
SUMIF('TL10'!C:C,C32,'TL10'!J:J),
SUMIF('TL11'!C:C,C32,'TL11'!J:J),
SUMIF('TL12'!C:C,C32,'TL12'!J:J),
SUMIF('TL13'!C:C,C32,'TL13'!J:J),
SUMIF('TL14'!C:C,C32,'TL14'!J:J),
SUMIF('TL15'!C:C,C32,'TL15'!J:J),
SUMIF('TL16'!C:C,C32,'TL16'!J:J),
SUMIF('TL17'!C:C,C32,'TL17'!J:J),
SUMIF('TL18'!C:C,C32,'TL18'!J:J),SUMIF('TL19'!C:C,C32,'TL19'!J:J))
,0)</f>
        <v>223</v>
      </c>
      <c r="S32" s="17" t="str">
        <f>IFERROR(__xludf.DUMMYFUNCTION("IFERROR(VLOOKUP(C32,
IMPORTRANGE(""1wULbzX32WdYsx-lj2U3uUNBBe2INVIRDtcK0d-Dvl90"",
""26-27!C:G""),
5,
FALSE),
"""")"),"")</f>
        <v/>
      </c>
      <c r="T32" s="9"/>
      <c r="U32" s="92">
        <f t="shared" si="2"/>
        <v>223</v>
      </c>
      <c r="V32" s="93">
        <f t="shared" si="3"/>
        <v>0</v>
      </c>
    </row>
    <row r="33" ht="22.5" hidden="1" customHeight="1">
      <c r="A33" s="106"/>
      <c r="B33" s="107" t="s">
        <v>7</v>
      </c>
      <c r="C33" s="108" t="s">
        <v>419</v>
      </c>
      <c r="D33" s="108" t="s">
        <v>420</v>
      </c>
      <c r="E33" s="109"/>
      <c r="F33" s="4" t="s">
        <v>399</v>
      </c>
      <c r="G33" s="9"/>
      <c r="H33" s="9" t="str">
        <f>IFERROR(__xludf.DUMMYFUNCTION("IFERROR(VLOOKUP(C33,
IMPORTRANGE(""1wULbzX32WdYsx-lj2U3uUNBBe2INVIRDtcK0d-Dvl90"",
""26-27!C:K""),
8,
FALSE),
"""")"),"")</f>
        <v/>
      </c>
      <c r="I33" s="110"/>
      <c r="J33" s="9">
        <f>IFERROR(SUM(
IF('TL01'!$B$3=J$3,SUMIF('TL01'!$C$10:$C$224,$C33,'TL01'!$J$10:$J$224),0),
IF('TL01'!$B$229=J$3,SUMIF('TL01'!$C$238:$C$451,$C33,'TL01'!$J$238:$J$451),0),
IF('TL02'!$B$3=J$3,SUMIF('TL02'!$C$10:$C$224,$C33,'TL02'!$J$10:$J$224),0),
IF('TL02'!$B$229=J$3,SUMIF('TL02'!$C$238:$C$451,$C33,'TL02'!$J$238:$J$451),0),
IF('TL03'!$B$3=J$3,SUMIF('TL03'!$C$10:$C$224,$C33,'TL03'!$J$10:$J$224),0),
IF('TL03'!$B$229=J$3,SUMIF('TL03'!$C$238:$C$451,$C33,'TL03'!$J$238:$J$451),0),
IF('TL04'!$B$3=J$3,SUMIF('TL04'!$C$10:$C$224,$C33,'TL04'!$J$10:$J$224),0),
IF('TL04'!$B$229=J$3,SUMIF('TL04'!$C$238:$C$451,$C33,'TL04'!$J$238:$J$451),0),
IF('TL05'!$B$3=J$3,SUMIF('TL05'!$C$10:$C$224,$C33,'TL05'!$J$10:$J$224),0),
IF('TL05'!$B$229=J$3,SUMIF('TL05'!$C$238:$C$451,$C33,'TL05'!$J$238:$J$451),0),
IF('TL06'!$B$3=J$3,SUMIF('TL06'!$C$10:$C$224,$C33,'TL06'!$J$10:$J$224),0),
IF('TL06'!$B$229=J$3,SUMIF('TL06'!$C$238:$C$451,$C33,'TL06'!$J$238:$J$451),0),
IF('TL07'!$B$3=J$3,SUMIF('TL07'!$C$10:$C$224,$C33,'TL07'!$J$10:$J$224),0),
IF('TL07'!$B$229=J$3,SUMIF('TL07'!$C$238:$C$451,$C33,'TL07'!$J$238:$J$451),0),
IF('TL08'!$B$3=J$3,SUMIF('TL08'!$C$10:$C$224,$C33,'TL08'!$J$10:$J$224),0),
IF('TL08'!$B$229=J$3,SUMIF('TL08'!$C$238:$C$451,$C33,'TL08'!$J$238:$J$451),0),
IF('TL09'!$B$3=J$3,SUMIF('TL09'!$C$10:$C$224,$C33,'TL09'!$J$10:$J$224),0),
IF('TL09'!$B$229=J$3,SUMIF('TL09'!$C$238:$C$451,$C33,'TL09'!$J$238:$J$451),0),
IF('TL10'!$B$3=J$3,SUMIF('TL10'!$C$10:$C$224,$C33,'TL10'!$J$10:$J$224),0),
IF('TL10'!$B$229=J$3,SUMIF('TL10'!$C$238:$C$451,$C33,'TL10'!$J$238:$J$451),0),
IF('TL11'!$B$3=J$3,SUMIF('TL11'!$C$10:$C$224,$C33,'TL11'!$J$10:$J$224),0),
IF('TL11'!$B$229=J$3,SUMIF('TL11'!$C$238:$C$451,$C33,'TL11'!$J$238:$J$451),0),
IF('TL12'!$B$3=J$3,SUMIF('TL12'!$C$10:$C$224,$C33,'TL12'!$J$10:$J$224),0),
IF('TL12'!$B$229=J$3,SUMIF('TL12'!$C$238:$C$451,$C33,'TL12'!$J$238:$J$451),0),
IF('TL13'!$B$3=J$3,SUMIF('TL13'!$C$10:$C$224,$C33,'TL13'!$J$10:$J$224),0),
IF('TL13'!$B$229=J$3,SUMIF('TL13'!$C$238:$C$451,$C33,'TL13'!$J$238:$J$451),0),
IF('TL14'!$B$3=J$3,SUMIF('TL14'!$C$10:$C$224,$C33,'TL14'!$J$10:$J$224),0),
IF('TL14'!$B$229=J$3,SUMIF('TL14'!$C$238:$C$451,$C33,'TL14'!$J$238:$J$451),0),
IF('TL15'!$B$3=J$3,SUMIF('TL15'!$C$10:$C$224,$C33,'TL15'!$J$10:$J$224),0),
IF('TL15'!$B$229=J$3,SUMIF('TL15'!$C$238:$C$451,$C33,'TL15'!$J$238:$J$451),0),
IF('TL16'!$B$3=J$3,SUMIF('TL16'!$C$10:$C$224,$C33,'TL16'!$J$10:$J$224),0),
IF('TL16'!$B$229=J$3,SUMIF('TL16'!$C$238:$C$451,$C33,'TL16'!$J$238:$J$451),0),
IF('TL17'!$B$3=J$3,SUMIF('TL17'!$C$10:$C$224,$C33,'TL17'!$J$10:$J$224),0),
IF('TL17'!$B$229=J$3,SUMIF('TL17'!$C$238:$C$451,$C33,'TL17'!$J$238:$J$451),0),
IF('TL18'!$B$3=J$3,SUMIF('TL18'!$C$10:$C$224,$C33,'TL18'!$J$10:$J$224),0),
IF('TL18'!$B$229=J$3,SUMIF('TL18'!$C$238:$C$451,$C33,'TL18'!$J$238:$J$451),0),
IF('TL19'!$B$3=J$3,SUMIF('TL19'!$C$10:$C$224,$C33,'TL19'!$J$10:$J$224),0),
IF('TL19'!$B$229=J$3,SUMIF('TL19'!$C$238:$C$451,$C33,'TL19'!$J$238:$J$451),0)
),0)</f>
        <v>122.5</v>
      </c>
      <c r="K33" s="9">
        <f>IFERROR(SUM(
IF('TL01'!$B$3=K$3,SUMIF('TL01'!$C$10:$C$224,$C33,'TL01'!$J$10:$J$224),0),
IF('TL01'!$B$229=K$3,SUMIF('TL01'!$C$238:$C$451,$C33,'TL01'!$J$238:$J$451),0),
IF('TL02'!$B$3=K$3,SUMIF('TL02'!$C$10:$C$224,$C33,'TL02'!$J$10:$J$224),0),
IF('TL02'!$B$229=K$3,SUMIF('TL02'!$C$238:$C$451,$C33,'TL02'!$J$238:$J$451),0),
IF('TL03'!$B$3=K$3,SUMIF('TL03'!$C$10:$C$224,$C33,'TL03'!$J$10:$J$224),0),
IF('TL03'!$B$229=K$3,SUMIF('TL03'!$C$238:$C$451,$C33,'TL03'!$J$238:$J$451),0),
IF('TL04'!$B$3=K$3,SUMIF('TL04'!$C$10:$C$224,$C33,'TL04'!$J$10:$J$224),0),
IF('TL04'!$B$229=K$3,SUMIF('TL04'!$C$238:$C$451,$C33,'TL04'!$J$238:$J$451),0),
IF('TL05'!$B$3=K$3,SUMIF('TL05'!$C$10:$C$224,$C33,'TL05'!$J$10:$J$224),0),
IF('TL05'!$B$229=K$3,SUMIF('TL05'!$C$238:$C$451,$C33,'TL05'!$J$238:$J$451),0),
IF('TL06'!$B$3=K$3,SUMIF('TL06'!$C$10:$C$224,$C33,'TL06'!$J$10:$J$224),0),
IF('TL06'!$B$229=K$3,SUMIF('TL06'!$C$238:$C$451,$C33,'TL06'!$J$238:$J$451),0),
IF('TL07'!$B$3=K$3,SUMIF('TL07'!$C$10:$C$224,$C33,'TL07'!$J$10:$J$224),0),
IF('TL07'!$B$229=K$3,SUMIF('TL07'!$C$238:$C$451,$C33,'TL07'!$J$238:$J$451),0),
IF('TL08'!$B$3=K$3,SUMIF('TL08'!$C$10:$C$224,$C33,'TL08'!$J$10:$J$224),0),
IF('TL08'!$B$229=K$3,SUMIF('TL08'!$C$238:$C$451,$C33,'TL08'!$J$238:$J$451),0),
IF('TL09'!$B$3=K$3,SUMIF('TL09'!$C$10:$C$224,$C33,'TL09'!$J$10:$J$224),0),
IF('TL09'!$B$229=K$3,SUMIF('TL09'!$C$238:$C$451,$C33,'TL09'!$J$238:$J$451),0),
IF('TL10'!$B$3=K$3,SUMIF('TL10'!$C$10:$C$224,$C33,'TL10'!$J$10:$J$224),0),
IF('TL10'!$B$229=K$3,SUMIF('TL10'!$C$238:$C$451,$C33,'TL10'!$J$238:$J$451),0),
IF('TL11'!$B$3=K$3,SUMIF('TL11'!$C$10:$C$224,$C33,'TL11'!$J$10:$J$224),0),
IF('TL11'!$B$229=K$3,SUMIF('TL11'!$C$238:$C$451,$C33,'TL11'!$J$238:$J$451),0),
IF('TL12'!$B$3=K$3,SUMIF('TL12'!$C$10:$C$224,$C33,'TL12'!$J$10:$J$224),0),
IF('TL12'!$B$229=K$3,SUMIF('TL12'!$C$238:$C$451,$C33,'TL12'!$J$238:$J$451),0),
IF('TL13'!$B$3=K$3,SUMIF('TL13'!$C$10:$C$224,$C33,'TL13'!$J$10:$J$224),0),
IF('TL13'!$B$229=K$3,SUMIF('TL13'!$C$238:$C$451,$C33,'TL13'!$J$238:$J$451),0),
IF('TL14'!$B$3=K$3,SUMIF('TL14'!$C$10:$C$224,$C33,'TL14'!$J$10:$J$224),0),
IF('TL14'!$B$229=K$3,SUMIF('TL14'!$C$238:$C$451,$C33,'TL14'!$J$238:$J$451),0),
IF('TL15'!$B$3=K$3,SUMIF('TL15'!$C$10:$C$224,$C33,'TL15'!$J$10:$J$224),0),
IF('TL15'!$B$229=K$3,SUMIF('TL15'!$C$238:$C$451,$C33,'TL15'!$J$238:$J$451),0),
IF('TL16'!$B$3=K$3,SUMIF('TL16'!$C$10:$C$224,$C33,'TL16'!$J$10:$J$224),0),
IF('TL16'!$B$229=K$3,SUMIF('TL16'!$C$238:$C$451,$C33,'TL16'!$J$238:$J$451),0),
IF('TL17'!$B$3=K$3,SUMIF('TL17'!$C$10:$C$224,$C33,'TL17'!$J$10:$J$224),0),
IF('TL17'!$B$229=K$3,SUMIF('TL17'!$C$238:$C$451,$C33,'TL17'!$J$238:$J$451),0),
IF('TL18'!$B$3=K$3,SUMIF('TL18'!$C$10:$C$224,$C33,'TL18'!$J$10:$J$224),0),
IF('TL18'!$B$229=K$3,SUMIF('TL18'!$C$238:$C$451,$C33,'TL18'!$J$238:$J$451),0),
IF('TL19'!$B$3=K$3,SUMIF('TL19'!$C$10:$C$224,$C33,'TL19'!$J$10:$J$224),0),
IF('TL19'!$B$229=K$3,SUMIF('TL19'!$C$238:$C$451,$C33,'TL19'!$J$238:$J$451),0)
),0)</f>
        <v>0</v>
      </c>
      <c r="L33" s="9">
        <f>IFERROR(SUM(
IF('TL01'!$B$3=L$3,SUMIF('TL01'!$C$10:$C$224,$C33,'TL01'!$J$10:$J$224),0),
IF('TL01'!$B$229=L$3,SUMIF('TL01'!$C$238:$C$451,$C33,'TL01'!$J$238:$J$451),0),
IF('TL02'!$B$3=L$3,SUMIF('TL02'!$C$10:$C$224,$C33,'TL02'!$J$10:$J$224),0),
IF('TL02'!$B$229=L$3,SUMIF('TL02'!$C$238:$C$451,$C33,'TL02'!$J$238:$J$451),0),
IF('TL03'!$B$3=L$3,SUMIF('TL03'!$C$10:$C$224,$C33,'TL03'!$J$10:$J$224),0),
IF('TL03'!$B$229=L$3,SUMIF('TL03'!$C$238:$C$451,$C33,'TL03'!$J$238:$J$451),0),
IF('TL04'!$B$3=L$3,SUMIF('TL04'!$C$10:$C$224,$C33,'TL04'!$J$10:$J$224),0),
IF('TL04'!$B$229=L$3,SUMIF('TL04'!$C$238:$C$451,$C33,'TL04'!$J$238:$J$451),0),
IF('TL05'!$B$3=L$3,SUMIF('TL05'!$C$10:$C$224,$C33,'TL05'!$J$10:$J$224),0),
IF('TL05'!$B$229=L$3,SUMIF('TL05'!$C$238:$C$451,$C33,'TL05'!$J$238:$J$451),0),
IF('TL06'!$B$3=L$3,SUMIF('TL06'!$C$10:$C$224,$C33,'TL06'!$J$10:$J$224),0),
IF('TL06'!$B$229=L$3,SUMIF('TL06'!$C$238:$C$451,$C33,'TL06'!$J$238:$J$451),0),
IF('TL07'!$B$3=L$3,SUMIF('TL07'!$C$10:$C$224,$C33,'TL07'!$J$10:$J$224),0),
IF('TL07'!$B$229=L$3,SUMIF('TL07'!$C$238:$C$451,$C33,'TL07'!$J$238:$J$451),0),
IF('TL08'!$B$3=L$3,SUMIF('TL08'!$C$10:$C$224,$C33,'TL08'!$J$10:$J$224),0),
IF('TL08'!$B$229=L$3,SUMIF('TL08'!$C$238:$C$451,$C33,'TL08'!$J$238:$J$451),0),
IF('TL09'!$B$3=L$3,SUMIF('TL09'!$C$10:$C$224,$C33,'TL09'!$J$10:$J$224),0),
IF('TL09'!$B$229=L$3,SUMIF('TL09'!$C$238:$C$451,$C33,'TL09'!$J$238:$J$451),0),
IF('TL10'!$B$3=L$3,SUMIF('TL10'!$C$10:$C$224,$C33,'TL10'!$J$10:$J$224),0),
IF('TL10'!$B$229=L$3,SUMIF('TL10'!$C$238:$C$451,$C33,'TL10'!$J$238:$J$451),0),
IF('TL11'!$B$3=L$3,SUMIF('TL11'!$C$10:$C$224,$C33,'TL11'!$J$10:$J$224),0),
IF('TL11'!$B$229=L$3,SUMIF('TL11'!$C$238:$C$451,$C33,'TL11'!$J$238:$J$451),0),
IF('TL12'!$B$3=L$3,SUMIF('TL12'!$C$10:$C$224,$C33,'TL12'!$J$10:$J$224),0),
IF('TL12'!$B$229=L$3,SUMIF('TL12'!$C$238:$C$451,$C33,'TL12'!$J$238:$J$451),0),
IF('TL13'!$B$3=L$3,SUMIF('TL13'!$C$10:$C$224,$C33,'TL13'!$J$10:$J$224),0),
IF('TL13'!$B$229=L$3,SUMIF('TL13'!$C$238:$C$451,$C33,'TL13'!$J$238:$J$451),0),
IF('TL14'!$B$3=L$3,SUMIF('TL14'!$C$10:$C$224,$C33,'TL14'!$J$10:$J$224),0),
IF('TL14'!$B$229=L$3,SUMIF('TL14'!$C$238:$C$451,$C33,'TL14'!$J$238:$J$451),0),
IF('TL15'!$B$3=L$3,SUMIF('TL15'!$C$10:$C$224,$C33,'TL15'!$J$10:$J$224),0),
IF('TL15'!$B$229=L$3,SUMIF('TL15'!$C$238:$C$451,$C33,'TL15'!$J$238:$J$451),0),
IF('TL16'!$B$3=L$3,SUMIF('TL16'!$C$10:$C$224,$C33,'TL16'!$J$10:$J$224),0),
IF('TL16'!$B$229=L$3,SUMIF('TL16'!$C$238:$C$451,$C33,'TL16'!$J$238:$J$451),0),
IF('TL17'!$B$3=L$3,SUMIF('TL17'!$C$10:$C$224,$C33,'TL17'!$J$10:$J$224),0),
IF('TL17'!$B$229=L$3,SUMIF('TL17'!$C$238:$C$451,$C33,'TL17'!$J$238:$J$451),0),
IF('TL18'!$B$3=L$3,SUMIF('TL18'!$C$10:$C$224,$C33,'TL18'!$J$10:$J$224),0),
IF('TL18'!$B$229=L$3,SUMIF('TL18'!$C$238:$C$451,$C33,'TL18'!$J$238:$J$451),0),
IF('TL19'!$B$3=L$3,SUMIF('TL19'!$C$10:$C$224,$C33,'TL19'!$J$10:$J$224),0),
IF('TL19'!$B$229=L$3,SUMIF('TL19'!$C$238:$C$451,$C33,'TL19'!$J$238:$J$451),0)
),0)</f>
        <v>0</v>
      </c>
      <c r="M33" s="9">
        <f>IFERROR(SUM(
IF('TL01'!$B$3=M$3,SUMIF('TL01'!$C$10:$C$224,$C33,'TL01'!$J$10:$J$224),0),
IF('TL01'!$B$229=M$3,SUMIF('TL01'!$C$238:$C$451,$C33,'TL01'!$J$238:$J$451),0),
IF('TL02'!$B$3=M$3,SUMIF('TL02'!$C$10:$C$224,$C33,'TL02'!$J$10:$J$224),0),
IF('TL02'!$B$229=M$3,SUMIF('TL02'!$C$238:$C$451,$C33,'TL02'!$J$238:$J$451),0),
IF('TL03'!$B$3=M$3,SUMIF('TL03'!$C$10:$C$224,$C33,'TL03'!$J$10:$J$224),0),
IF('TL03'!$B$229=M$3,SUMIF('TL03'!$C$238:$C$451,$C33,'TL03'!$J$238:$J$451),0),
IF('TL04'!$B$3=M$3,SUMIF('TL04'!$C$10:$C$224,$C33,'TL04'!$J$10:$J$224),0),
IF('TL04'!$B$229=M$3,SUMIF('TL04'!$C$238:$C$451,$C33,'TL04'!$J$238:$J$451),0),
IF('TL05'!$B$3=M$3,SUMIF('TL05'!$C$10:$C$224,$C33,'TL05'!$J$10:$J$224),0),
IF('TL05'!$B$229=M$3,SUMIF('TL05'!$C$238:$C$451,$C33,'TL05'!$J$238:$J$451),0),
IF('TL06'!$B$3=M$3,SUMIF('TL06'!$C$10:$C$224,$C33,'TL06'!$J$10:$J$224),0),
IF('TL06'!$B$229=M$3,SUMIF('TL06'!$C$238:$C$451,$C33,'TL06'!$J$238:$J$451),0),
IF('TL07'!$B$3=M$3,SUMIF('TL07'!$C$10:$C$224,$C33,'TL07'!$J$10:$J$224),0),
IF('TL07'!$B$229=M$3,SUMIF('TL07'!$C$238:$C$451,$C33,'TL07'!$J$238:$J$451),0),
IF('TL08'!$B$3=M$3,SUMIF('TL08'!$C$10:$C$224,$C33,'TL08'!$J$10:$J$224),0),
IF('TL08'!$B$229=M$3,SUMIF('TL08'!$C$238:$C$451,$C33,'TL08'!$J$238:$J$451),0),
IF('TL09'!$B$3=M$3,SUMIF('TL09'!$C$10:$C$224,$C33,'TL09'!$J$10:$J$224),0),
IF('TL09'!$B$229=M$3,SUMIF('TL09'!$C$238:$C$451,$C33,'TL09'!$J$238:$J$451),0),
IF('TL10'!$B$3=M$3,SUMIF('TL10'!$C$10:$C$224,$C33,'TL10'!$J$10:$J$224),0),
IF('TL10'!$B$229=M$3,SUMIF('TL10'!$C$238:$C$451,$C33,'TL10'!$J$238:$J$451),0),
IF('TL11'!$B$3=M$3,SUMIF('TL11'!$C$10:$C$224,$C33,'TL11'!$J$10:$J$224),0),
IF('TL11'!$B$229=M$3,SUMIF('TL11'!$C$238:$C$451,$C33,'TL11'!$J$238:$J$451),0),
IF('TL12'!$B$3=M$3,SUMIF('TL12'!$C$10:$C$224,$C33,'TL12'!$J$10:$J$224),0),
IF('TL12'!$B$229=M$3,SUMIF('TL12'!$C$238:$C$451,$C33,'TL12'!$J$238:$J$451),0),
IF('TL13'!$B$3=M$3,SUMIF('TL13'!$C$10:$C$224,$C33,'TL13'!$J$10:$J$224),0),
IF('TL13'!$B$229=M$3,SUMIF('TL13'!$C$238:$C$451,$C33,'TL13'!$J$238:$J$451),0),
IF('TL14'!$B$3=M$3,SUMIF('TL14'!$C$10:$C$224,$C33,'TL14'!$J$10:$J$224),0),
IF('TL14'!$B$229=M$3,SUMIF('TL14'!$C$238:$C$451,$C33,'TL14'!$J$238:$J$451),0),
IF('TL15'!$B$3=M$3,SUMIF('TL15'!$C$10:$C$224,$C33,'TL15'!$J$10:$J$224),0),
IF('TL15'!$B$229=M$3,SUMIF('TL15'!$C$238:$C$451,$C33,'TL15'!$J$238:$J$451),0),
IF('TL16'!$B$3=M$3,SUMIF('TL16'!$C$10:$C$224,$C33,'TL16'!$J$10:$J$224),0),
IF('TL16'!$B$229=M$3,SUMIF('TL16'!$C$238:$C$451,$C33,'TL16'!$J$238:$J$451),0),
IF('TL17'!$B$3=M$3,SUMIF('TL17'!$C$10:$C$224,$C33,'TL17'!$J$10:$J$224),0),
IF('TL17'!$B$229=M$3,SUMIF('TL17'!$C$238:$C$451,$C33,'TL17'!$J$238:$J$451),0),
IF('TL18'!$B$3=M$3,SUMIF('TL18'!$C$10:$C$224,$C33,'TL18'!$J$10:$J$224),0),
IF('TL18'!$B$229=M$3,SUMIF('TL18'!$C$238:$C$451,$C33,'TL18'!$J$238:$J$451),0),
IF('TL19'!$B$3=M$3,SUMIF('TL19'!$C$10:$C$224,$C33,'TL19'!$J$10:$J$224),0),
IF('TL19'!$B$229=M$3,SUMIF('TL19'!$C$238:$C$451,$C33,'TL19'!$J$238:$J$451),0)
),0)</f>
        <v>80</v>
      </c>
      <c r="N33" s="9">
        <f>IFERROR(SUM(
IF('TL01'!$B$3=N$3,SUMIF('TL01'!$C$10:$C$224,$C33,'TL01'!$J$10:$J$224),0),
IF('TL01'!$B$229=N$3,SUMIF('TL01'!$C$238:$C$451,$C33,'TL01'!$J$238:$J$451),0),
IF('TL02'!$B$3=N$3,SUMIF('TL02'!$C$10:$C$224,$C33,'TL02'!$J$10:$J$224),0),
IF('TL02'!$B$229=N$3,SUMIF('TL02'!$C$238:$C$451,$C33,'TL02'!$J$238:$J$451),0),
IF('TL03'!$B$3=N$3,SUMIF('TL03'!$C$10:$C$224,$C33,'TL03'!$J$10:$J$224),0),
IF('TL03'!$B$229=N$3,SUMIF('TL03'!$C$238:$C$451,$C33,'TL03'!$J$238:$J$451),0),
IF('TL04'!$B$3=N$3,SUMIF('TL04'!$C$10:$C$224,$C33,'TL04'!$J$10:$J$224),0),
IF('TL04'!$B$229=N$3,SUMIF('TL04'!$C$238:$C$451,$C33,'TL04'!$J$238:$J$451),0),
IF('TL05'!$B$3=N$3,SUMIF('TL05'!$C$10:$C$224,$C33,'TL05'!$J$10:$J$224),0),
IF('TL05'!$B$229=N$3,SUMIF('TL05'!$C$238:$C$451,$C33,'TL05'!$J$238:$J$451),0),
IF('TL06'!$B$3=N$3,SUMIF('TL06'!$C$10:$C$224,$C33,'TL06'!$J$10:$J$224),0),
IF('TL06'!$B$229=N$3,SUMIF('TL06'!$C$238:$C$451,$C33,'TL06'!$J$238:$J$451),0),
IF('TL07'!$B$3=N$3,SUMIF('TL07'!$C$10:$C$224,$C33,'TL07'!$J$10:$J$224),0),
IF('TL07'!$B$229=N$3,SUMIF('TL07'!$C$238:$C$451,$C33,'TL07'!$J$238:$J$451),0),
IF('TL08'!$B$3=N$3,SUMIF('TL08'!$C$10:$C$224,$C33,'TL08'!$J$10:$J$224),0),
IF('TL08'!$B$229=N$3,SUMIF('TL08'!$C$238:$C$451,$C33,'TL08'!$J$238:$J$451),0),
IF('TL09'!$B$3=N$3,SUMIF('TL09'!$C$10:$C$224,$C33,'TL09'!$J$10:$J$224),0),
IF('TL09'!$B$229=N$3,SUMIF('TL09'!$C$238:$C$451,$C33,'TL09'!$J$238:$J$451),0),
IF('TL10'!$B$3=N$3,SUMIF('TL10'!$C$10:$C$224,$C33,'TL10'!$J$10:$J$224),0),
IF('TL10'!$B$229=N$3,SUMIF('TL10'!$C$238:$C$451,$C33,'TL10'!$J$238:$J$451),0),
IF('TL11'!$B$3=N$3,SUMIF('TL11'!$C$10:$C$224,$C33,'TL11'!$J$10:$J$224),0),
IF('TL11'!$B$229=N$3,SUMIF('TL11'!$C$238:$C$451,$C33,'TL11'!$J$238:$J$451),0),
IF('TL12'!$B$3=N$3,SUMIF('TL12'!$C$10:$C$224,$C33,'TL12'!$J$10:$J$224),0),
IF('TL12'!$B$229=N$3,SUMIF('TL12'!$C$238:$C$451,$C33,'TL12'!$J$238:$J$451),0),
IF('TL13'!$B$3=N$3,SUMIF('TL13'!$C$10:$C$224,$C33,'TL13'!$J$10:$J$224),0),
IF('TL13'!$B$229=N$3,SUMIF('TL13'!$C$238:$C$451,$C33,'TL13'!$J$238:$J$451),0),
IF('TL14'!$B$3=N$3,SUMIF('TL14'!$C$10:$C$224,$C33,'TL14'!$J$10:$J$224),0),
IF('TL14'!$B$229=N$3,SUMIF('TL14'!$C$238:$C$451,$C33,'TL14'!$J$238:$J$451),0),
IF('TL15'!$B$3=N$3,SUMIF('TL15'!$C$10:$C$224,$C33,'TL15'!$J$10:$J$224),0),
IF('TL15'!$B$229=N$3,SUMIF('TL15'!$C$238:$C$451,$C33,'TL15'!$J$238:$J$451),0),
IF('TL16'!$B$3=N$3,SUMIF('TL16'!$C$10:$C$224,$C33,'TL16'!$J$10:$J$224),0),
IF('TL16'!$B$229=N$3,SUMIF('TL16'!$C$238:$C$451,$C33,'TL16'!$J$238:$J$451),0),
IF('TL17'!$B$3=N$3,SUMIF('TL17'!$C$10:$C$224,$C33,'TL17'!$J$10:$J$224),0),
IF('TL17'!$B$229=N$3,SUMIF('TL17'!$C$238:$C$451,$C33,'TL17'!$J$238:$J$451),0),
IF('TL18'!$B$3=N$3,SUMIF('TL18'!$C$10:$C$224,$C33,'TL18'!$J$10:$J$224),0),
IF('TL18'!$B$229=N$3,SUMIF('TL18'!$C$238:$C$451,$C33,'TL18'!$J$238:$J$451),0),
IF('TL19'!$B$3=N$3,SUMIF('TL19'!$C$10:$C$224,$C33,'TL19'!$J$10:$J$224),0),
IF('TL19'!$B$229=N$3,SUMIF('TL19'!$C$238:$C$451,$C33,'TL19'!$J$238:$J$451),0)
),0)</f>
        <v>150.4</v>
      </c>
      <c r="O33" s="9">
        <f>IFERROR(SUM(
IF('TL01'!$B$3=O$3,SUMIF('TL01'!$C$10:$C$224,$C33,'TL01'!$J$10:$J$224),0),
IF('TL01'!$B$229=O$3,SUMIF('TL01'!$C$238:$C$451,$C33,'TL01'!$J$238:$J$451),0),
IF('TL02'!$B$3=O$3,SUMIF('TL02'!$C$10:$C$224,$C33,'TL02'!$J$10:$J$224),0),
IF('TL02'!$B$229=O$3,SUMIF('TL02'!$C$238:$C$451,$C33,'TL02'!$J$238:$J$451),0),
IF('TL03'!$B$3=O$3,SUMIF('TL03'!$C$10:$C$224,$C33,'TL03'!$J$10:$J$224),0),
IF('TL03'!$B$229=O$3,SUMIF('TL03'!$C$238:$C$451,$C33,'TL03'!$J$238:$J$451),0),
IF('TL04'!$B$3=O$3,SUMIF('TL04'!$C$10:$C$224,$C33,'TL04'!$J$10:$J$224),0),
IF('TL04'!$B$229=O$3,SUMIF('TL04'!$C$238:$C$451,$C33,'TL04'!$J$238:$J$451),0),
IF('TL05'!$B$3=O$3,SUMIF('TL05'!$C$10:$C$224,$C33,'TL05'!$J$10:$J$224),0),
IF('TL05'!$B$229=O$3,SUMIF('TL05'!$C$238:$C$451,$C33,'TL05'!$J$238:$J$451),0),
IF('TL06'!$B$3=O$3,SUMIF('TL06'!$C$10:$C$224,$C33,'TL06'!$J$10:$J$224),0),
IF('TL06'!$B$229=O$3,SUMIF('TL06'!$C$238:$C$451,$C33,'TL06'!$J$238:$J$451),0),
IF('TL07'!$B$3=O$3,SUMIF('TL07'!$C$10:$C$224,$C33,'TL07'!$J$10:$J$224),0),
IF('TL07'!$B$229=O$3,SUMIF('TL07'!$C$238:$C$451,$C33,'TL07'!$J$238:$J$451),0),
IF('TL08'!$B$3=O$3,SUMIF('TL08'!$C$10:$C$224,$C33,'TL08'!$J$10:$J$224),0),
IF('TL08'!$B$229=O$3,SUMIF('TL08'!$C$238:$C$451,$C33,'TL08'!$J$238:$J$451),0),
IF('TL09'!$B$3=O$3,SUMIF('TL09'!$C$10:$C$224,$C33,'TL09'!$J$10:$J$224),0),
IF('TL09'!$B$229=O$3,SUMIF('TL09'!$C$238:$C$451,$C33,'TL09'!$J$238:$J$451),0),
IF('TL10'!$B$3=O$3,SUMIF('TL10'!$C$10:$C$224,$C33,'TL10'!$J$10:$J$224),0),
IF('TL10'!$B$229=O$3,SUMIF('TL10'!$C$238:$C$451,$C33,'TL10'!$J$238:$J$451),0),
IF('TL11'!$B$3=O$3,SUMIF('TL11'!$C$10:$C$224,$C33,'TL11'!$J$10:$J$224),0),
IF('TL11'!$B$229=O$3,SUMIF('TL11'!$C$238:$C$451,$C33,'TL11'!$J$238:$J$451),0),
IF('TL12'!$B$3=O$3,SUMIF('TL12'!$C$10:$C$224,$C33,'TL12'!$J$10:$J$224),0),
IF('TL12'!$B$229=O$3,SUMIF('TL12'!$C$238:$C$451,$C33,'TL12'!$J$238:$J$451),0),
IF('TL13'!$B$3=O$3,SUMIF('TL13'!$C$10:$C$224,$C33,'TL13'!$J$10:$J$224),0),
IF('TL13'!$B$229=O$3,SUMIF('TL13'!$C$238:$C$451,$C33,'TL13'!$J$238:$J$451),0),
IF('TL14'!$B$3=O$3,SUMIF('TL14'!$C$10:$C$224,$C33,'TL14'!$J$10:$J$224),0),
IF('TL14'!$B$229=O$3,SUMIF('TL14'!$C$238:$C$451,$C33,'TL14'!$J$238:$J$451),0),
IF('TL15'!$B$3=O$3,SUMIF('TL15'!$C$10:$C$224,$C33,'TL15'!$J$10:$J$224),0),
IF('TL15'!$B$229=O$3,SUMIF('TL15'!$C$238:$C$451,$C33,'TL15'!$J$238:$J$451),0),
IF('TL16'!$B$3=O$3,SUMIF('TL16'!$C$10:$C$224,$C33,'TL16'!$J$10:$J$224),0),
IF('TL16'!$B$229=O$3,SUMIF('TL16'!$C$238:$C$451,$C33,'TL16'!$J$238:$J$451),0),
IF('TL17'!$B$3=O$3,SUMIF('TL17'!$C$10:$C$224,$C33,'TL17'!$J$10:$J$224),0),
IF('TL17'!$B$229=O$3,SUMIF('TL17'!$C$238:$C$451,$C33,'TL17'!$J$238:$J$451),0),
IF('TL18'!$B$3=O$3,SUMIF('TL18'!$C$10:$C$224,$C33,'TL18'!$J$10:$J$224),0),
IF('TL18'!$B$229=O$3,SUMIF('TL18'!$C$238:$C$451,$C33,'TL18'!$J$238:$J$451),0),
IF('TL19'!$B$3=O$3,SUMIF('TL19'!$C$10:$C$224,$C33,'TL19'!$J$10:$J$224),0),
IF('TL19'!$B$229=O$3,SUMIF('TL19'!$C$238:$C$451,$C33,'TL19'!$J$238:$J$451),0)
),0)</f>
        <v>132</v>
      </c>
      <c r="P33" s="9">
        <f>IFERROR(SUM(
IF('TL01'!$B$3=P$3,SUMIF('TL01'!$C$10:$C$224,$C33,'TL01'!$J$10:$J$224),0),
IF('TL01'!$B$229=P$3,SUMIF('TL01'!$C$238:$C$451,$C33,'TL01'!$J$238:$J$451),0),
IF('TL02'!$B$3=P$3,SUMIF('TL02'!$C$10:$C$224,$C33,'TL02'!$J$10:$J$224),0),
IF('TL02'!$B$229=P$3,SUMIF('TL02'!$C$238:$C$451,$C33,'TL02'!$J$238:$J$451),0),
IF('TL03'!$B$3=P$3,SUMIF('TL03'!$C$10:$C$224,$C33,'TL03'!$J$10:$J$224),0),
IF('TL03'!$B$229=P$3,SUMIF('TL03'!$C$238:$C$451,$C33,'TL03'!$J$238:$J$451),0),
IF('TL04'!$B$3=P$3,SUMIF('TL04'!$C$10:$C$224,$C33,'TL04'!$J$10:$J$224),0),
IF('TL04'!$B$229=P$3,SUMIF('TL04'!$C$238:$C$451,$C33,'TL04'!$J$238:$J$451),0),
IF('TL05'!$B$3=P$3,SUMIF('TL05'!$C$10:$C$224,$C33,'TL05'!$J$10:$J$224),0),
IF('TL05'!$B$229=P$3,SUMIF('TL05'!$C$238:$C$451,$C33,'TL05'!$J$238:$J$451),0),
IF('TL06'!$B$3=P$3,SUMIF('TL06'!$C$10:$C$224,$C33,'TL06'!$J$10:$J$224),0),
IF('TL06'!$B$229=P$3,SUMIF('TL06'!$C$238:$C$451,$C33,'TL06'!$J$238:$J$451),0),
IF('TL07'!$B$3=P$3,SUMIF('TL07'!$C$10:$C$224,$C33,'TL07'!$J$10:$J$224),0),
IF('TL07'!$B$229=P$3,SUMIF('TL07'!$C$238:$C$451,$C33,'TL07'!$J$238:$J$451),0),
IF('TL08'!$B$3=P$3,SUMIF('TL08'!$C$10:$C$224,$C33,'TL08'!$J$10:$J$224),0),
IF('TL08'!$B$229=P$3,SUMIF('TL08'!$C$238:$C$451,$C33,'TL08'!$J$238:$J$451),0),
IF('TL09'!$B$3=P$3,SUMIF('TL09'!$C$10:$C$224,$C33,'TL09'!$J$10:$J$224),0),
IF('TL09'!$B$229=P$3,SUMIF('TL09'!$C$238:$C$451,$C33,'TL09'!$J$238:$J$451),0),
IF('TL10'!$B$3=P$3,SUMIF('TL10'!$C$10:$C$224,$C33,'TL10'!$J$10:$J$224),0),
IF('TL10'!$B$229=P$3,SUMIF('TL10'!$C$238:$C$451,$C33,'TL10'!$J$238:$J$451),0),
IF('TL11'!$B$3=P$3,SUMIF('TL11'!$C$10:$C$224,$C33,'TL11'!$J$10:$J$224),0),
IF('TL11'!$B$229=P$3,SUMIF('TL11'!$C$238:$C$451,$C33,'TL11'!$J$238:$J$451),0),
IF('TL12'!$B$3=P$3,SUMIF('TL12'!$C$10:$C$224,$C33,'TL12'!$J$10:$J$224),0),
IF('TL12'!$B$229=P$3,SUMIF('TL12'!$C$238:$C$451,$C33,'TL12'!$J$238:$J$451),0),
IF('TL13'!$B$3=P$3,SUMIF('TL13'!$C$10:$C$224,$C33,'TL13'!$J$10:$J$224),0),
IF('TL13'!$B$229=P$3,SUMIF('TL13'!$C$238:$C$451,$C33,'TL13'!$J$238:$J$451),0),
IF('TL14'!$B$3=P$3,SUMIF('TL14'!$C$10:$C$224,$C33,'TL14'!$J$10:$J$224),0),
IF('TL14'!$B$229=P$3,SUMIF('TL14'!$C$238:$C$451,$C33,'TL14'!$J$238:$J$451),0),
IF('TL15'!$B$3=P$3,SUMIF('TL15'!$C$10:$C$224,$C33,'TL15'!$J$10:$J$224),0),
IF('TL15'!$B$229=P$3,SUMIF('TL15'!$C$238:$C$451,$C33,'TL15'!$J$238:$J$451),0),
IF('TL16'!$B$3=P$3,SUMIF('TL16'!$C$10:$C$224,$C33,'TL16'!$J$10:$J$224),0),
IF('TL16'!$B$229=P$3,SUMIF('TL16'!$C$238:$C$451,$C33,'TL16'!$J$238:$J$451),0),
IF('TL17'!$B$3=P$3,SUMIF('TL17'!$C$10:$C$224,$C33,'TL17'!$J$10:$J$224),0),
IF('TL17'!$B$229=P$3,SUMIF('TL17'!$C$238:$C$451,$C33,'TL17'!$J$238:$J$451),0),
IF('TL18'!$B$3=P$3,SUMIF('TL18'!$C$10:$C$224,$C33,'TL18'!$J$10:$J$224),0),
IF('TL18'!$B$229=P$3,SUMIF('TL18'!$C$238:$C$451,$C33,'TL18'!$J$238:$J$451),0),
IF('TL19'!$B$3=P$3,SUMIF('TL19'!$C$10:$C$224,$C33,'TL19'!$J$10:$J$224),0),
IF('TL19'!$B$229=P$3,SUMIF('TL19'!$C$238:$C$451,$C33,'TL19'!$J$238:$J$451),0)
),0)</f>
        <v>0</v>
      </c>
      <c r="Q33" s="9">
        <f>IFERROR(SUM(
IF('TL01'!$B$3=Q$3,SUMIF('TL01'!$C$10:$C$224,$C33,'TL01'!$J$10:$J$224),0),
IF('TL01'!$B$229=Q$3,SUMIF('TL01'!$C$238:$C$451,$C33,'TL01'!$J$238:$J$451),0),
IF('TL02'!$B$3=Q$3,SUMIF('TL02'!$C$10:$C$224,$C33,'TL02'!$J$10:$J$224),0),
IF('TL02'!$B$229=Q$3,SUMIF('TL02'!$C$238:$C$451,$C33,'TL02'!$J$238:$J$451),0),
IF('TL03'!$B$3=Q$3,SUMIF('TL03'!$C$10:$C$224,$C33,'TL03'!$J$10:$J$224),0),
IF('TL03'!$B$229=Q$3,SUMIF('TL03'!$C$238:$C$451,$C33,'TL03'!$J$238:$J$451),0),
IF('TL04'!$B$3=Q$3,SUMIF('TL04'!$C$10:$C$224,$C33,'TL04'!$J$10:$J$224),0),
IF('TL04'!$B$229=Q$3,SUMIF('TL04'!$C$238:$C$451,$C33,'TL04'!$J$238:$J$451),0),
IF('TL05'!$B$3=Q$3,SUMIF('TL05'!$C$10:$C$224,$C33,'TL05'!$J$10:$J$224),0),
IF('TL05'!$B$229=Q$3,SUMIF('TL05'!$C$238:$C$451,$C33,'TL05'!$J$238:$J$451),0),
IF('TL06'!$B$3=Q$3,SUMIF('TL06'!$C$10:$C$224,$C33,'TL06'!$J$10:$J$224),0),
IF('TL06'!$B$229=Q$3,SUMIF('TL06'!$C$238:$C$451,$C33,'TL06'!$J$238:$J$451),0),
IF('TL07'!$B$3=Q$3,SUMIF('TL07'!$C$10:$C$224,$C33,'TL07'!$J$10:$J$224),0),
IF('TL07'!$B$229=Q$3,SUMIF('TL07'!$C$238:$C$451,$C33,'TL07'!$J$238:$J$451),0),
IF('TL08'!$B$3=Q$3,SUMIF('TL08'!$C$10:$C$224,$C33,'TL08'!$J$10:$J$224),0),
IF('TL08'!$B$229=Q$3,SUMIF('TL08'!$C$238:$C$451,$C33,'TL08'!$J$238:$J$451),0),
IF('TL09'!$B$3=Q$3,SUMIF('TL09'!$C$10:$C$224,$C33,'TL09'!$J$10:$J$224),0),
IF('TL09'!$B$229=Q$3,SUMIF('TL09'!$C$238:$C$451,$C33,'TL09'!$J$238:$J$451),0),
IF('TL10'!$B$3=Q$3,SUMIF('TL10'!$C$10:$C$224,$C33,'TL10'!$J$10:$J$224),0),
IF('TL10'!$B$229=Q$3,SUMIF('TL10'!$C$238:$C$451,$C33,'TL10'!$J$238:$J$451),0),
IF('TL11'!$B$3=Q$3,SUMIF('TL11'!$C$10:$C$224,$C33,'TL11'!$J$10:$J$224),0),
IF('TL11'!$B$229=Q$3,SUMIF('TL11'!$C$238:$C$451,$C33,'TL11'!$J$238:$J$451),0),
IF('TL12'!$B$3=Q$3,SUMIF('TL12'!$C$10:$C$224,$C33,'TL12'!$J$10:$J$224),0),
IF('TL12'!$B$229=Q$3,SUMIF('TL12'!$C$238:$C$451,$C33,'TL12'!$J$238:$J$451),0),
IF('TL13'!$B$3=Q$3,SUMIF('TL13'!$C$10:$C$224,$C33,'TL13'!$J$10:$J$224),0),
IF('TL13'!$B$229=Q$3,SUMIF('TL13'!$C$238:$C$451,$C33,'TL13'!$J$238:$J$451),0),
IF('TL14'!$B$3=Q$3,SUMIF('TL14'!$C$10:$C$224,$C33,'TL14'!$J$10:$J$224),0),
IF('TL14'!$B$229=Q$3,SUMIF('TL14'!$C$238:$C$451,$C33,'TL14'!$J$238:$J$451),0),
IF('TL15'!$B$3=Q$3,SUMIF('TL15'!$C$10:$C$224,$C33,'TL15'!$J$10:$J$224),0),
IF('TL15'!$B$229=Q$3,SUMIF('TL15'!$C$238:$C$451,$C33,'TL15'!$J$238:$J$451),0),
IF('TL16'!$B$3=Q$3,SUMIF('TL16'!$C$10:$C$224,$C33,'TL16'!$J$10:$J$224),0),
IF('TL16'!$B$229=Q$3,SUMIF('TL16'!$C$238:$C$451,$C33,'TL16'!$J$238:$J$451),0),
IF('TL17'!$B$3=Q$3,SUMIF('TL17'!$C$10:$C$224,$C33,'TL17'!$J$10:$J$224),0),
IF('TL17'!$B$229=Q$3,SUMIF('TL17'!$C$238:$C$451,$C33,'TL17'!$J$238:$J$451),0),
IF('TL18'!$B$3=Q$3,SUMIF('TL18'!$C$10:$C$224,$C33,'TL18'!$J$10:$J$224),0),
IF('TL18'!$B$229=Q$3,SUMIF('TL18'!$C$238:$C$451,$C33,'TL18'!$J$238:$J$451),0),
IF('TL19'!$B$3=Q$3,SUMIF('TL19'!$C$10:$C$224,$C33,'TL19'!$J$10:$J$224),0),
IF('TL19'!$B$229=Q$3,SUMIF('TL19'!$C$238:$C$451,$C33,'TL19'!$J$238:$J$451),0)
),0)</f>
        <v>0</v>
      </c>
      <c r="R33" s="9">
        <f>IFERROR(
SUM(
SUMIF('TL01'!C:C,C33,'TL01'!J:J),
SUMIF('TL02'!C:C,C33,'TL02'!J:J),
SUMIF('TL03'!C:C,C33,'TL03'!J:J),
SUMIF('TL04'!C:C,C33,'TL04'!J:J),
SUMIF('TL05'!C:C,C33,'TL05'!J:J),
SUMIF('TL06'!C:C,C33,'TL06'!J:J),
SUMIF('TL07'!C:C,C33,'TL07'!J:J),
SUMIF('TL08'!C:C,C33,'TL08'!J:J),
SUMIF('TL09'!C:C,C33,'TL09'!J:J),
SUMIF('TL10'!C:C,C33,'TL10'!J:J),
SUMIF('TL11'!C:C,C33,'TL11'!J:J),
SUMIF('TL12'!C:C,C33,'TL12'!J:J),
SUMIF('TL13'!C:C,C33,'TL13'!J:J),
SUMIF('TL14'!C:C,C33,'TL14'!J:J),
SUMIF('TL15'!C:C,C33,'TL15'!J:J),
SUMIF('TL16'!C:C,C33,'TL16'!J:J),
SUMIF('TL17'!C:C,C33,'TL17'!J:J),
SUMIF('TL18'!C:C,C33,'TL18'!J:J),SUMIF('TL19'!C:C,C33,'TL19'!J:J))
,0)</f>
        <v>484.9</v>
      </c>
      <c r="S33" s="17" t="str">
        <f>IFERROR(__xludf.DUMMYFUNCTION("IFERROR(VLOOKUP(C33,
IMPORTRANGE(""1wULbzX32WdYsx-lj2U3uUNBBe2INVIRDtcK0d-Dvl90"",
""26-27!C:G""),
5,
FALSE),
"""")"),"")</f>
        <v/>
      </c>
      <c r="T33" s="9"/>
      <c r="U33" s="92">
        <f t="shared" si="2"/>
        <v>484.9</v>
      </c>
      <c r="V33" s="93">
        <f t="shared" si="3"/>
        <v>0</v>
      </c>
    </row>
    <row r="34" ht="22.5" hidden="1" customHeight="1">
      <c r="A34" s="101"/>
      <c r="B34" s="102" t="s">
        <v>7</v>
      </c>
      <c r="C34" s="103" t="s">
        <v>421</v>
      </c>
      <c r="D34" s="103" t="s">
        <v>422</v>
      </c>
      <c r="E34" s="104"/>
      <c r="F34" s="4" t="s">
        <v>399</v>
      </c>
      <c r="G34" s="9"/>
      <c r="H34" s="9" t="str">
        <f>IFERROR(__xludf.DUMMYFUNCTION("IFERROR(VLOOKUP(C34,
IMPORTRANGE(""1wULbzX32WdYsx-lj2U3uUNBBe2INVIRDtcK0d-Dvl90"",
""26-27!C:K""),
8,
FALSE),
"""")"),"")</f>
        <v/>
      </c>
      <c r="I34" s="105"/>
      <c r="J34" s="9">
        <f>IFERROR(SUM(
IF('TL01'!$B$3=J$3,SUMIF('TL01'!$C$10:$C$224,$C34,'TL01'!$J$10:$J$224),0),
IF('TL01'!$B$229=J$3,SUMIF('TL01'!$C$238:$C$451,$C34,'TL01'!$J$238:$J$451),0),
IF('TL02'!$B$3=J$3,SUMIF('TL02'!$C$10:$C$224,$C34,'TL02'!$J$10:$J$224),0),
IF('TL02'!$B$229=J$3,SUMIF('TL02'!$C$238:$C$451,$C34,'TL02'!$J$238:$J$451),0),
IF('TL03'!$B$3=J$3,SUMIF('TL03'!$C$10:$C$224,$C34,'TL03'!$J$10:$J$224),0),
IF('TL03'!$B$229=J$3,SUMIF('TL03'!$C$238:$C$451,$C34,'TL03'!$J$238:$J$451),0),
IF('TL04'!$B$3=J$3,SUMIF('TL04'!$C$10:$C$224,$C34,'TL04'!$J$10:$J$224),0),
IF('TL04'!$B$229=J$3,SUMIF('TL04'!$C$238:$C$451,$C34,'TL04'!$J$238:$J$451),0),
IF('TL05'!$B$3=J$3,SUMIF('TL05'!$C$10:$C$224,$C34,'TL05'!$J$10:$J$224),0),
IF('TL05'!$B$229=J$3,SUMIF('TL05'!$C$238:$C$451,$C34,'TL05'!$J$238:$J$451),0),
IF('TL06'!$B$3=J$3,SUMIF('TL06'!$C$10:$C$224,$C34,'TL06'!$J$10:$J$224),0),
IF('TL06'!$B$229=J$3,SUMIF('TL06'!$C$238:$C$451,$C34,'TL06'!$J$238:$J$451),0),
IF('TL07'!$B$3=J$3,SUMIF('TL07'!$C$10:$C$224,$C34,'TL07'!$J$10:$J$224),0),
IF('TL07'!$B$229=J$3,SUMIF('TL07'!$C$238:$C$451,$C34,'TL07'!$J$238:$J$451),0),
IF('TL08'!$B$3=J$3,SUMIF('TL08'!$C$10:$C$224,$C34,'TL08'!$J$10:$J$224),0),
IF('TL08'!$B$229=J$3,SUMIF('TL08'!$C$238:$C$451,$C34,'TL08'!$J$238:$J$451),0),
IF('TL09'!$B$3=J$3,SUMIF('TL09'!$C$10:$C$224,$C34,'TL09'!$J$10:$J$224),0),
IF('TL09'!$B$229=J$3,SUMIF('TL09'!$C$238:$C$451,$C34,'TL09'!$J$238:$J$451),0),
IF('TL10'!$B$3=J$3,SUMIF('TL10'!$C$10:$C$224,$C34,'TL10'!$J$10:$J$224),0),
IF('TL10'!$B$229=J$3,SUMIF('TL10'!$C$238:$C$451,$C34,'TL10'!$J$238:$J$451),0),
IF('TL11'!$B$3=J$3,SUMIF('TL11'!$C$10:$C$224,$C34,'TL11'!$J$10:$J$224),0),
IF('TL11'!$B$229=J$3,SUMIF('TL11'!$C$238:$C$451,$C34,'TL11'!$J$238:$J$451),0),
IF('TL12'!$B$3=J$3,SUMIF('TL12'!$C$10:$C$224,$C34,'TL12'!$J$10:$J$224),0),
IF('TL12'!$B$229=J$3,SUMIF('TL12'!$C$238:$C$451,$C34,'TL12'!$J$238:$J$451),0),
IF('TL13'!$B$3=J$3,SUMIF('TL13'!$C$10:$C$224,$C34,'TL13'!$J$10:$J$224),0),
IF('TL13'!$B$229=J$3,SUMIF('TL13'!$C$238:$C$451,$C34,'TL13'!$J$238:$J$451),0),
IF('TL14'!$B$3=J$3,SUMIF('TL14'!$C$10:$C$224,$C34,'TL14'!$J$10:$J$224),0),
IF('TL14'!$B$229=J$3,SUMIF('TL14'!$C$238:$C$451,$C34,'TL14'!$J$238:$J$451),0),
IF('TL15'!$B$3=J$3,SUMIF('TL15'!$C$10:$C$224,$C34,'TL15'!$J$10:$J$224),0),
IF('TL15'!$B$229=J$3,SUMIF('TL15'!$C$238:$C$451,$C34,'TL15'!$J$238:$J$451),0),
IF('TL16'!$B$3=J$3,SUMIF('TL16'!$C$10:$C$224,$C34,'TL16'!$J$10:$J$224),0),
IF('TL16'!$B$229=J$3,SUMIF('TL16'!$C$238:$C$451,$C34,'TL16'!$J$238:$J$451),0),
IF('TL17'!$B$3=J$3,SUMIF('TL17'!$C$10:$C$224,$C34,'TL17'!$J$10:$J$224),0),
IF('TL17'!$B$229=J$3,SUMIF('TL17'!$C$238:$C$451,$C34,'TL17'!$J$238:$J$451),0),
IF('TL18'!$B$3=J$3,SUMIF('TL18'!$C$10:$C$224,$C34,'TL18'!$J$10:$J$224),0),
IF('TL18'!$B$229=J$3,SUMIF('TL18'!$C$238:$C$451,$C34,'TL18'!$J$238:$J$451),0),
IF('TL19'!$B$3=J$3,SUMIF('TL19'!$C$10:$C$224,$C34,'TL19'!$J$10:$J$224),0),
IF('TL19'!$B$229=J$3,SUMIF('TL19'!$C$238:$C$451,$C34,'TL19'!$J$238:$J$451),0)
),0)</f>
        <v>0</v>
      </c>
      <c r="K34" s="9">
        <f>IFERROR(SUM(
IF('TL01'!$B$3=K$3,SUMIF('TL01'!$C$10:$C$224,$C34,'TL01'!$J$10:$J$224),0),
IF('TL01'!$B$229=K$3,SUMIF('TL01'!$C$238:$C$451,$C34,'TL01'!$J$238:$J$451),0),
IF('TL02'!$B$3=K$3,SUMIF('TL02'!$C$10:$C$224,$C34,'TL02'!$J$10:$J$224),0),
IF('TL02'!$B$229=K$3,SUMIF('TL02'!$C$238:$C$451,$C34,'TL02'!$J$238:$J$451),0),
IF('TL03'!$B$3=K$3,SUMIF('TL03'!$C$10:$C$224,$C34,'TL03'!$J$10:$J$224),0),
IF('TL03'!$B$229=K$3,SUMIF('TL03'!$C$238:$C$451,$C34,'TL03'!$J$238:$J$451),0),
IF('TL04'!$B$3=K$3,SUMIF('TL04'!$C$10:$C$224,$C34,'TL04'!$J$10:$J$224),0),
IF('TL04'!$B$229=K$3,SUMIF('TL04'!$C$238:$C$451,$C34,'TL04'!$J$238:$J$451),0),
IF('TL05'!$B$3=K$3,SUMIF('TL05'!$C$10:$C$224,$C34,'TL05'!$J$10:$J$224),0),
IF('TL05'!$B$229=K$3,SUMIF('TL05'!$C$238:$C$451,$C34,'TL05'!$J$238:$J$451),0),
IF('TL06'!$B$3=K$3,SUMIF('TL06'!$C$10:$C$224,$C34,'TL06'!$J$10:$J$224),0),
IF('TL06'!$B$229=K$3,SUMIF('TL06'!$C$238:$C$451,$C34,'TL06'!$J$238:$J$451),0),
IF('TL07'!$B$3=K$3,SUMIF('TL07'!$C$10:$C$224,$C34,'TL07'!$J$10:$J$224),0),
IF('TL07'!$B$229=K$3,SUMIF('TL07'!$C$238:$C$451,$C34,'TL07'!$J$238:$J$451),0),
IF('TL08'!$B$3=K$3,SUMIF('TL08'!$C$10:$C$224,$C34,'TL08'!$J$10:$J$224),0),
IF('TL08'!$B$229=K$3,SUMIF('TL08'!$C$238:$C$451,$C34,'TL08'!$J$238:$J$451),0),
IF('TL09'!$B$3=K$3,SUMIF('TL09'!$C$10:$C$224,$C34,'TL09'!$J$10:$J$224),0),
IF('TL09'!$B$229=K$3,SUMIF('TL09'!$C$238:$C$451,$C34,'TL09'!$J$238:$J$451),0),
IF('TL10'!$B$3=K$3,SUMIF('TL10'!$C$10:$C$224,$C34,'TL10'!$J$10:$J$224),0),
IF('TL10'!$B$229=K$3,SUMIF('TL10'!$C$238:$C$451,$C34,'TL10'!$J$238:$J$451),0),
IF('TL11'!$B$3=K$3,SUMIF('TL11'!$C$10:$C$224,$C34,'TL11'!$J$10:$J$224),0),
IF('TL11'!$B$229=K$3,SUMIF('TL11'!$C$238:$C$451,$C34,'TL11'!$J$238:$J$451),0),
IF('TL12'!$B$3=K$3,SUMIF('TL12'!$C$10:$C$224,$C34,'TL12'!$J$10:$J$224),0),
IF('TL12'!$B$229=K$3,SUMIF('TL12'!$C$238:$C$451,$C34,'TL12'!$J$238:$J$451),0),
IF('TL13'!$B$3=K$3,SUMIF('TL13'!$C$10:$C$224,$C34,'TL13'!$J$10:$J$224),0),
IF('TL13'!$B$229=K$3,SUMIF('TL13'!$C$238:$C$451,$C34,'TL13'!$J$238:$J$451),0),
IF('TL14'!$B$3=K$3,SUMIF('TL14'!$C$10:$C$224,$C34,'TL14'!$J$10:$J$224),0),
IF('TL14'!$B$229=K$3,SUMIF('TL14'!$C$238:$C$451,$C34,'TL14'!$J$238:$J$451),0),
IF('TL15'!$B$3=K$3,SUMIF('TL15'!$C$10:$C$224,$C34,'TL15'!$J$10:$J$224),0),
IF('TL15'!$B$229=K$3,SUMIF('TL15'!$C$238:$C$451,$C34,'TL15'!$J$238:$J$451),0),
IF('TL16'!$B$3=K$3,SUMIF('TL16'!$C$10:$C$224,$C34,'TL16'!$J$10:$J$224),0),
IF('TL16'!$B$229=K$3,SUMIF('TL16'!$C$238:$C$451,$C34,'TL16'!$J$238:$J$451),0),
IF('TL17'!$B$3=K$3,SUMIF('TL17'!$C$10:$C$224,$C34,'TL17'!$J$10:$J$224),0),
IF('TL17'!$B$229=K$3,SUMIF('TL17'!$C$238:$C$451,$C34,'TL17'!$J$238:$J$451),0),
IF('TL18'!$B$3=K$3,SUMIF('TL18'!$C$10:$C$224,$C34,'TL18'!$J$10:$J$224),0),
IF('TL18'!$B$229=K$3,SUMIF('TL18'!$C$238:$C$451,$C34,'TL18'!$J$238:$J$451),0),
IF('TL19'!$B$3=K$3,SUMIF('TL19'!$C$10:$C$224,$C34,'TL19'!$J$10:$J$224),0),
IF('TL19'!$B$229=K$3,SUMIF('TL19'!$C$238:$C$451,$C34,'TL19'!$J$238:$J$451),0)
),0)</f>
        <v>0</v>
      </c>
      <c r="L34" s="9">
        <f>IFERROR(SUM(
IF('TL01'!$B$3=L$3,SUMIF('TL01'!$C$10:$C$224,$C34,'TL01'!$J$10:$J$224),0),
IF('TL01'!$B$229=L$3,SUMIF('TL01'!$C$238:$C$451,$C34,'TL01'!$J$238:$J$451),0),
IF('TL02'!$B$3=L$3,SUMIF('TL02'!$C$10:$C$224,$C34,'TL02'!$J$10:$J$224),0),
IF('TL02'!$B$229=L$3,SUMIF('TL02'!$C$238:$C$451,$C34,'TL02'!$J$238:$J$451),0),
IF('TL03'!$B$3=L$3,SUMIF('TL03'!$C$10:$C$224,$C34,'TL03'!$J$10:$J$224),0),
IF('TL03'!$B$229=L$3,SUMIF('TL03'!$C$238:$C$451,$C34,'TL03'!$J$238:$J$451),0),
IF('TL04'!$B$3=L$3,SUMIF('TL04'!$C$10:$C$224,$C34,'TL04'!$J$10:$J$224),0),
IF('TL04'!$B$229=L$3,SUMIF('TL04'!$C$238:$C$451,$C34,'TL04'!$J$238:$J$451),0),
IF('TL05'!$B$3=L$3,SUMIF('TL05'!$C$10:$C$224,$C34,'TL05'!$J$10:$J$224),0),
IF('TL05'!$B$229=L$3,SUMIF('TL05'!$C$238:$C$451,$C34,'TL05'!$J$238:$J$451),0),
IF('TL06'!$B$3=L$3,SUMIF('TL06'!$C$10:$C$224,$C34,'TL06'!$J$10:$J$224),0),
IF('TL06'!$B$229=L$3,SUMIF('TL06'!$C$238:$C$451,$C34,'TL06'!$J$238:$J$451),0),
IF('TL07'!$B$3=L$3,SUMIF('TL07'!$C$10:$C$224,$C34,'TL07'!$J$10:$J$224),0),
IF('TL07'!$B$229=L$3,SUMIF('TL07'!$C$238:$C$451,$C34,'TL07'!$J$238:$J$451),0),
IF('TL08'!$B$3=L$3,SUMIF('TL08'!$C$10:$C$224,$C34,'TL08'!$J$10:$J$224),0),
IF('TL08'!$B$229=L$3,SUMIF('TL08'!$C$238:$C$451,$C34,'TL08'!$J$238:$J$451),0),
IF('TL09'!$B$3=L$3,SUMIF('TL09'!$C$10:$C$224,$C34,'TL09'!$J$10:$J$224),0),
IF('TL09'!$B$229=L$3,SUMIF('TL09'!$C$238:$C$451,$C34,'TL09'!$J$238:$J$451),0),
IF('TL10'!$B$3=L$3,SUMIF('TL10'!$C$10:$C$224,$C34,'TL10'!$J$10:$J$224),0),
IF('TL10'!$B$229=L$3,SUMIF('TL10'!$C$238:$C$451,$C34,'TL10'!$J$238:$J$451),0),
IF('TL11'!$B$3=L$3,SUMIF('TL11'!$C$10:$C$224,$C34,'TL11'!$J$10:$J$224),0),
IF('TL11'!$B$229=L$3,SUMIF('TL11'!$C$238:$C$451,$C34,'TL11'!$J$238:$J$451),0),
IF('TL12'!$B$3=L$3,SUMIF('TL12'!$C$10:$C$224,$C34,'TL12'!$J$10:$J$224),0),
IF('TL12'!$B$229=L$3,SUMIF('TL12'!$C$238:$C$451,$C34,'TL12'!$J$238:$J$451),0),
IF('TL13'!$B$3=L$3,SUMIF('TL13'!$C$10:$C$224,$C34,'TL13'!$J$10:$J$224),0),
IF('TL13'!$B$229=L$3,SUMIF('TL13'!$C$238:$C$451,$C34,'TL13'!$J$238:$J$451),0),
IF('TL14'!$B$3=L$3,SUMIF('TL14'!$C$10:$C$224,$C34,'TL14'!$J$10:$J$224),0),
IF('TL14'!$B$229=L$3,SUMIF('TL14'!$C$238:$C$451,$C34,'TL14'!$J$238:$J$451),0),
IF('TL15'!$B$3=L$3,SUMIF('TL15'!$C$10:$C$224,$C34,'TL15'!$J$10:$J$224),0),
IF('TL15'!$B$229=L$3,SUMIF('TL15'!$C$238:$C$451,$C34,'TL15'!$J$238:$J$451),0),
IF('TL16'!$B$3=L$3,SUMIF('TL16'!$C$10:$C$224,$C34,'TL16'!$J$10:$J$224),0),
IF('TL16'!$B$229=L$3,SUMIF('TL16'!$C$238:$C$451,$C34,'TL16'!$J$238:$J$451),0),
IF('TL17'!$B$3=L$3,SUMIF('TL17'!$C$10:$C$224,$C34,'TL17'!$J$10:$J$224),0),
IF('TL17'!$B$229=L$3,SUMIF('TL17'!$C$238:$C$451,$C34,'TL17'!$J$238:$J$451),0),
IF('TL18'!$B$3=L$3,SUMIF('TL18'!$C$10:$C$224,$C34,'TL18'!$J$10:$J$224),0),
IF('TL18'!$B$229=L$3,SUMIF('TL18'!$C$238:$C$451,$C34,'TL18'!$J$238:$J$451),0),
IF('TL19'!$B$3=L$3,SUMIF('TL19'!$C$10:$C$224,$C34,'TL19'!$J$10:$J$224),0),
IF('TL19'!$B$229=L$3,SUMIF('TL19'!$C$238:$C$451,$C34,'TL19'!$J$238:$J$451),0)
),0)</f>
        <v>0</v>
      </c>
      <c r="M34" s="9">
        <f>IFERROR(SUM(
IF('TL01'!$B$3=M$3,SUMIF('TL01'!$C$10:$C$224,$C34,'TL01'!$J$10:$J$224),0),
IF('TL01'!$B$229=M$3,SUMIF('TL01'!$C$238:$C$451,$C34,'TL01'!$J$238:$J$451),0),
IF('TL02'!$B$3=M$3,SUMIF('TL02'!$C$10:$C$224,$C34,'TL02'!$J$10:$J$224),0),
IF('TL02'!$B$229=M$3,SUMIF('TL02'!$C$238:$C$451,$C34,'TL02'!$J$238:$J$451),0),
IF('TL03'!$B$3=M$3,SUMIF('TL03'!$C$10:$C$224,$C34,'TL03'!$J$10:$J$224),0),
IF('TL03'!$B$229=M$3,SUMIF('TL03'!$C$238:$C$451,$C34,'TL03'!$J$238:$J$451),0),
IF('TL04'!$B$3=M$3,SUMIF('TL04'!$C$10:$C$224,$C34,'TL04'!$J$10:$J$224),0),
IF('TL04'!$B$229=M$3,SUMIF('TL04'!$C$238:$C$451,$C34,'TL04'!$J$238:$J$451),0),
IF('TL05'!$B$3=M$3,SUMIF('TL05'!$C$10:$C$224,$C34,'TL05'!$J$10:$J$224),0),
IF('TL05'!$B$229=M$3,SUMIF('TL05'!$C$238:$C$451,$C34,'TL05'!$J$238:$J$451),0),
IF('TL06'!$B$3=M$3,SUMIF('TL06'!$C$10:$C$224,$C34,'TL06'!$J$10:$J$224),0),
IF('TL06'!$B$229=M$3,SUMIF('TL06'!$C$238:$C$451,$C34,'TL06'!$J$238:$J$451),0),
IF('TL07'!$B$3=M$3,SUMIF('TL07'!$C$10:$C$224,$C34,'TL07'!$J$10:$J$224),0),
IF('TL07'!$B$229=M$3,SUMIF('TL07'!$C$238:$C$451,$C34,'TL07'!$J$238:$J$451),0),
IF('TL08'!$B$3=M$3,SUMIF('TL08'!$C$10:$C$224,$C34,'TL08'!$J$10:$J$224),0),
IF('TL08'!$B$229=M$3,SUMIF('TL08'!$C$238:$C$451,$C34,'TL08'!$J$238:$J$451),0),
IF('TL09'!$B$3=M$3,SUMIF('TL09'!$C$10:$C$224,$C34,'TL09'!$J$10:$J$224),0),
IF('TL09'!$B$229=M$3,SUMIF('TL09'!$C$238:$C$451,$C34,'TL09'!$J$238:$J$451),0),
IF('TL10'!$B$3=M$3,SUMIF('TL10'!$C$10:$C$224,$C34,'TL10'!$J$10:$J$224),0),
IF('TL10'!$B$229=M$3,SUMIF('TL10'!$C$238:$C$451,$C34,'TL10'!$J$238:$J$451),0),
IF('TL11'!$B$3=M$3,SUMIF('TL11'!$C$10:$C$224,$C34,'TL11'!$J$10:$J$224),0),
IF('TL11'!$B$229=M$3,SUMIF('TL11'!$C$238:$C$451,$C34,'TL11'!$J$238:$J$451),0),
IF('TL12'!$B$3=M$3,SUMIF('TL12'!$C$10:$C$224,$C34,'TL12'!$J$10:$J$224),0),
IF('TL12'!$B$229=M$3,SUMIF('TL12'!$C$238:$C$451,$C34,'TL12'!$J$238:$J$451),0),
IF('TL13'!$B$3=M$3,SUMIF('TL13'!$C$10:$C$224,$C34,'TL13'!$J$10:$J$224),0),
IF('TL13'!$B$229=M$3,SUMIF('TL13'!$C$238:$C$451,$C34,'TL13'!$J$238:$J$451),0),
IF('TL14'!$B$3=M$3,SUMIF('TL14'!$C$10:$C$224,$C34,'TL14'!$J$10:$J$224),0),
IF('TL14'!$B$229=M$3,SUMIF('TL14'!$C$238:$C$451,$C34,'TL14'!$J$238:$J$451),0),
IF('TL15'!$B$3=M$3,SUMIF('TL15'!$C$10:$C$224,$C34,'TL15'!$J$10:$J$224),0),
IF('TL15'!$B$229=M$3,SUMIF('TL15'!$C$238:$C$451,$C34,'TL15'!$J$238:$J$451),0),
IF('TL16'!$B$3=M$3,SUMIF('TL16'!$C$10:$C$224,$C34,'TL16'!$J$10:$J$224),0),
IF('TL16'!$B$229=M$3,SUMIF('TL16'!$C$238:$C$451,$C34,'TL16'!$J$238:$J$451),0),
IF('TL17'!$B$3=M$3,SUMIF('TL17'!$C$10:$C$224,$C34,'TL17'!$J$10:$J$224),0),
IF('TL17'!$B$229=M$3,SUMIF('TL17'!$C$238:$C$451,$C34,'TL17'!$J$238:$J$451),0),
IF('TL18'!$B$3=M$3,SUMIF('TL18'!$C$10:$C$224,$C34,'TL18'!$J$10:$J$224),0),
IF('TL18'!$B$229=M$3,SUMIF('TL18'!$C$238:$C$451,$C34,'TL18'!$J$238:$J$451),0),
IF('TL19'!$B$3=M$3,SUMIF('TL19'!$C$10:$C$224,$C34,'TL19'!$J$10:$J$224),0),
IF('TL19'!$B$229=M$3,SUMIF('TL19'!$C$238:$C$451,$C34,'TL19'!$J$238:$J$451),0)
),0)</f>
        <v>0</v>
      </c>
      <c r="N34" s="9">
        <f>IFERROR(SUM(
IF('TL01'!$B$3=N$3,SUMIF('TL01'!$C$10:$C$224,$C34,'TL01'!$J$10:$J$224),0),
IF('TL01'!$B$229=N$3,SUMIF('TL01'!$C$238:$C$451,$C34,'TL01'!$J$238:$J$451),0),
IF('TL02'!$B$3=N$3,SUMIF('TL02'!$C$10:$C$224,$C34,'TL02'!$J$10:$J$224),0),
IF('TL02'!$B$229=N$3,SUMIF('TL02'!$C$238:$C$451,$C34,'TL02'!$J$238:$J$451),0),
IF('TL03'!$B$3=N$3,SUMIF('TL03'!$C$10:$C$224,$C34,'TL03'!$J$10:$J$224),0),
IF('TL03'!$B$229=N$3,SUMIF('TL03'!$C$238:$C$451,$C34,'TL03'!$J$238:$J$451),0),
IF('TL04'!$B$3=N$3,SUMIF('TL04'!$C$10:$C$224,$C34,'TL04'!$J$10:$J$224),0),
IF('TL04'!$B$229=N$3,SUMIF('TL04'!$C$238:$C$451,$C34,'TL04'!$J$238:$J$451),0),
IF('TL05'!$B$3=N$3,SUMIF('TL05'!$C$10:$C$224,$C34,'TL05'!$J$10:$J$224),0),
IF('TL05'!$B$229=N$3,SUMIF('TL05'!$C$238:$C$451,$C34,'TL05'!$J$238:$J$451),0),
IF('TL06'!$B$3=N$3,SUMIF('TL06'!$C$10:$C$224,$C34,'TL06'!$J$10:$J$224),0),
IF('TL06'!$B$229=N$3,SUMIF('TL06'!$C$238:$C$451,$C34,'TL06'!$J$238:$J$451),0),
IF('TL07'!$B$3=N$3,SUMIF('TL07'!$C$10:$C$224,$C34,'TL07'!$J$10:$J$224),0),
IF('TL07'!$B$229=N$3,SUMIF('TL07'!$C$238:$C$451,$C34,'TL07'!$J$238:$J$451),0),
IF('TL08'!$B$3=N$3,SUMIF('TL08'!$C$10:$C$224,$C34,'TL08'!$J$10:$J$224),0),
IF('TL08'!$B$229=N$3,SUMIF('TL08'!$C$238:$C$451,$C34,'TL08'!$J$238:$J$451),0),
IF('TL09'!$B$3=N$3,SUMIF('TL09'!$C$10:$C$224,$C34,'TL09'!$J$10:$J$224),0),
IF('TL09'!$B$229=N$3,SUMIF('TL09'!$C$238:$C$451,$C34,'TL09'!$J$238:$J$451),0),
IF('TL10'!$B$3=N$3,SUMIF('TL10'!$C$10:$C$224,$C34,'TL10'!$J$10:$J$224),0),
IF('TL10'!$B$229=N$3,SUMIF('TL10'!$C$238:$C$451,$C34,'TL10'!$J$238:$J$451),0),
IF('TL11'!$B$3=N$3,SUMIF('TL11'!$C$10:$C$224,$C34,'TL11'!$J$10:$J$224),0),
IF('TL11'!$B$229=N$3,SUMIF('TL11'!$C$238:$C$451,$C34,'TL11'!$J$238:$J$451),0),
IF('TL12'!$B$3=N$3,SUMIF('TL12'!$C$10:$C$224,$C34,'TL12'!$J$10:$J$224),0),
IF('TL12'!$B$229=N$3,SUMIF('TL12'!$C$238:$C$451,$C34,'TL12'!$J$238:$J$451),0),
IF('TL13'!$B$3=N$3,SUMIF('TL13'!$C$10:$C$224,$C34,'TL13'!$J$10:$J$224),0),
IF('TL13'!$B$229=N$3,SUMIF('TL13'!$C$238:$C$451,$C34,'TL13'!$J$238:$J$451),0),
IF('TL14'!$B$3=N$3,SUMIF('TL14'!$C$10:$C$224,$C34,'TL14'!$J$10:$J$224),0),
IF('TL14'!$B$229=N$3,SUMIF('TL14'!$C$238:$C$451,$C34,'TL14'!$J$238:$J$451),0),
IF('TL15'!$B$3=N$3,SUMIF('TL15'!$C$10:$C$224,$C34,'TL15'!$J$10:$J$224),0),
IF('TL15'!$B$229=N$3,SUMIF('TL15'!$C$238:$C$451,$C34,'TL15'!$J$238:$J$451),0),
IF('TL16'!$B$3=N$3,SUMIF('TL16'!$C$10:$C$224,$C34,'TL16'!$J$10:$J$224),0),
IF('TL16'!$B$229=N$3,SUMIF('TL16'!$C$238:$C$451,$C34,'TL16'!$J$238:$J$451),0),
IF('TL17'!$B$3=N$3,SUMIF('TL17'!$C$10:$C$224,$C34,'TL17'!$J$10:$J$224),0),
IF('TL17'!$B$229=N$3,SUMIF('TL17'!$C$238:$C$451,$C34,'TL17'!$J$238:$J$451),0),
IF('TL18'!$B$3=N$3,SUMIF('TL18'!$C$10:$C$224,$C34,'TL18'!$J$10:$J$224),0),
IF('TL18'!$B$229=N$3,SUMIF('TL18'!$C$238:$C$451,$C34,'TL18'!$J$238:$J$451),0),
IF('TL19'!$B$3=N$3,SUMIF('TL19'!$C$10:$C$224,$C34,'TL19'!$J$10:$J$224),0),
IF('TL19'!$B$229=N$3,SUMIF('TL19'!$C$238:$C$451,$C34,'TL19'!$J$238:$J$451),0)
),0)</f>
        <v>0</v>
      </c>
      <c r="O34" s="9">
        <f>IFERROR(SUM(
IF('TL01'!$B$3=O$3,SUMIF('TL01'!$C$10:$C$224,$C34,'TL01'!$J$10:$J$224),0),
IF('TL01'!$B$229=O$3,SUMIF('TL01'!$C$238:$C$451,$C34,'TL01'!$J$238:$J$451),0),
IF('TL02'!$B$3=O$3,SUMIF('TL02'!$C$10:$C$224,$C34,'TL02'!$J$10:$J$224),0),
IF('TL02'!$B$229=O$3,SUMIF('TL02'!$C$238:$C$451,$C34,'TL02'!$J$238:$J$451),0),
IF('TL03'!$B$3=O$3,SUMIF('TL03'!$C$10:$C$224,$C34,'TL03'!$J$10:$J$224),0),
IF('TL03'!$B$229=O$3,SUMIF('TL03'!$C$238:$C$451,$C34,'TL03'!$J$238:$J$451),0),
IF('TL04'!$B$3=O$3,SUMIF('TL04'!$C$10:$C$224,$C34,'TL04'!$J$10:$J$224),0),
IF('TL04'!$B$229=O$3,SUMIF('TL04'!$C$238:$C$451,$C34,'TL04'!$J$238:$J$451),0),
IF('TL05'!$B$3=O$3,SUMIF('TL05'!$C$10:$C$224,$C34,'TL05'!$J$10:$J$224),0),
IF('TL05'!$B$229=O$3,SUMIF('TL05'!$C$238:$C$451,$C34,'TL05'!$J$238:$J$451),0),
IF('TL06'!$B$3=O$3,SUMIF('TL06'!$C$10:$C$224,$C34,'TL06'!$J$10:$J$224),0),
IF('TL06'!$B$229=O$3,SUMIF('TL06'!$C$238:$C$451,$C34,'TL06'!$J$238:$J$451),0),
IF('TL07'!$B$3=O$3,SUMIF('TL07'!$C$10:$C$224,$C34,'TL07'!$J$10:$J$224),0),
IF('TL07'!$B$229=O$3,SUMIF('TL07'!$C$238:$C$451,$C34,'TL07'!$J$238:$J$451),0),
IF('TL08'!$B$3=O$3,SUMIF('TL08'!$C$10:$C$224,$C34,'TL08'!$J$10:$J$224),0),
IF('TL08'!$B$229=O$3,SUMIF('TL08'!$C$238:$C$451,$C34,'TL08'!$J$238:$J$451),0),
IF('TL09'!$B$3=O$3,SUMIF('TL09'!$C$10:$C$224,$C34,'TL09'!$J$10:$J$224),0),
IF('TL09'!$B$229=O$3,SUMIF('TL09'!$C$238:$C$451,$C34,'TL09'!$J$238:$J$451),0),
IF('TL10'!$B$3=O$3,SUMIF('TL10'!$C$10:$C$224,$C34,'TL10'!$J$10:$J$224),0),
IF('TL10'!$B$229=O$3,SUMIF('TL10'!$C$238:$C$451,$C34,'TL10'!$J$238:$J$451),0),
IF('TL11'!$B$3=O$3,SUMIF('TL11'!$C$10:$C$224,$C34,'TL11'!$J$10:$J$224),0),
IF('TL11'!$B$229=O$3,SUMIF('TL11'!$C$238:$C$451,$C34,'TL11'!$J$238:$J$451),0),
IF('TL12'!$B$3=O$3,SUMIF('TL12'!$C$10:$C$224,$C34,'TL12'!$J$10:$J$224),0),
IF('TL12'!$B$229=O$3,SUMIF('TL12'!$C$238:$C$451,$C34,'TL12'!$J$238:$J$451),0),
IF('TL13'!$B$3=O$3,SUMIF('TL13'!$C$10:$C$224,$C34,'TL13'!$J$10:$J$224),0),
IF('TL13'!$B$229=O$3,SUMIF('TL13'!$C$238:$C$451,$C34,'TL13'!$J$238:$J$451),0),
IF('TL14'!$B$3=O$3,SUMIF('TL14'!$C$10:$C$224,$C34,'TL14'!$J$10:$J$224),0),
IF('TL14'!$B$229=O$3,SUMIF('TL14'!$C$238:$C$451,$C34,'TL14'!$J$238:$J$451),0),
IF('TL15'!$B$3=O$3,SUMIF('TL15'!$C$10:$C$224,$C34,'TL15'!$J$10:$J$224),0),
IF('TL15'!$B$229=O$3,SUMIF('TL15'!$C$238:$C$451,$C34,'TL15'!$J$238:$J$451),0),
IF('TL16'!$B$3=O$3,SUMIF('TL16'!$C$10:$C$224,$C34,'TL16'!$J$10:$J$224),0),
IF('TL16'!$B$229=O$3,SUMIF('TL16'!$C$238:$C$451,$C34,'TL16'!$J$238:$J$451),0),
IF('TL17'!$B$3=O$3,SUMIF('TL17'!$C$10:$C$224,$C34,'TL17'!$J$10:$J$224),0),
IF('TL17'!$B$229=O$3,SUMIF('TL17'!$C$238:$C$451,$C34,'TL17'!$J$238:$J$451),0),
IF('TL18'!$B$3=O$3,SUMIF('TL18'!$C$10:$C$224,$C34,'TL18'!$J$10:$J$224),0),
IF('TL18'!$B$229=O$3,SUMIF('TL18'!$C$238:$C$451,$C34,'TL18'!$J$238:$J$451),0),
IF('TL19'!$B$3=O$3,SUMIF('TL19'!$C$10:$C$224,$C34,'TL19'!$J$10:$J$224),0),
IF('TL19'!$B$229=O$3,SUMIF('TL19'!$C$238:$C$451,$C34,'TL19'!$J$238:$J$451),0)
),0)</f>
        <v>0</v>
      </c>
      <c r="P34" s="9">
        <f>IFERROR(SUM(
IF('TL01'!$B$3=P$3,SUMIF('TL01'!$C$10:$C$224,$C34,'TL01'!$J$10:$J$224),0),
IF('TL01'!$B$229=P$3,SUMIF('TL01'!$C$238:$C$451,$C34,'TL01'!$J$238:$J$451),0),
IF('TL02'!$B$3=P$3,SUMIF('TL02'!$C$10:$C$224,$C34,'TL02'!$J$10:$J$224),0),
IF('TL02'!$B$229=P$3,SUMIF('TL02'!$C$238:$C$451,$C34,'TL02'!$J$238:$J$451),0),
IF('TL03'!$B$3=P$3,SUMIF('TL03'!$C$10:$C$224,$C34,'TL03'!$J$10:$J$224),0),
IF('TL03'!$B$229=P$3,SUMIF('TL03'!$C$238:$C$451,$C34,'TL03'!$J$238:$J$451),0),
IF('TL04'!$B$3=P$3,SUMIF('TL04'!$C$10:$C$224,$C34,'TL04'!$J$10:$J$224),0),
IF('TL04'!$B$229=P$3,SUMIF('TL04'!$C$238:$C$451,$C34,'TL04'!$J$238:$J$451),0),
IF('TL05'!$B$3=P$3,SUMIF('TL05'!$C$10:$C$224,$C34,'TL05'!$J$10:$J$224),0),
IF('TL05'!$B$229=P$3,SUMIF('TL05'!$C$238:$C$451,$C34,'TL05'!$J$238:$J$451),0),
IF('TL06'!$B$3=P$3,SUMIF('TL06'!$C$10:$C$224,$C34,'TL06'!$J$10:$J$224),0),
IF('TL06'!$B$229=P$3,SUMIF('TL06'!$C$238:$C$451,$C34,'TL06'!$J$238:$J$451),0),
IF('TL07'!$B$3=P$3,SUMIF('TL07'!$C$10:$C$224,$C34,'TL07'!$J$10:$J$224),0),
IF('TL07'!$B$229=P$3,SUMIF('TL07'!$C$238:$C$451,$C34,'TL07'!$J$238:$J$451),0),
IF('TL08'!$B$3=P$3,SUMIF('TL08'!$C$10:$C$224,$C34,'TL08'!$J$10:$J$224),0),
IF('TL08'!$B$229=P$3,SUMIF('TL08'!$C$238:$C$451,$C34,'TL08'!$J$238:$J$451),0),
IF('TL09'!$B$3=P$3,SUMIF('TL09'!$C$10:$C$224,$C34,'TL09'!$J$10:$J$224),0),
IF('TL09'!$B$229=P$3,SUMIF('TL09'!$C$238:$C$451,$C34,'TL09'!$J$238:$J$451),0),
IF('TL10'!$B$3=P$3,SUMIF('TL10'!$C$10:$C$224,$C34,'TL10'!$J$10:$J$224),0),
IF('TL10'!$B$229=P$3,SUMIF('TL10'!$C$238:$C$451,$C34,'TL10'!$J$238:$J$451),0),
IF('TL11'!$B$3=P$3,SUMIF('TL11'!$C$10:$C$224,$C34,'TL11'!$J$10:$J$224),0),
IF('TL11'!$B$229=P$3,SUMIF('TL11'!$C$238:$C$451,$C34,'TL11'!$J$238:$J$451),0),
IF('TL12'!$B$3=P$3,SUMIF('TL12'!$C$10:$C$224,$C34,'TL12'!$J$10:$J$224),0),
IF('TL12'!$B$229=P$3,SUMIF('TL12'!$C$238:$C$451,$C34,'TL12'!$J$238:$J$451),0),
IF('TL13'!$B$3=P$3,SUMIF('TL13'!$C$10:$C$224,$C34,'TL13'!$J$10:$J$224),0),
IF('TL13'!$B$229=P$3,SUMIF('TL13'!$C$238:$C$451,$C34,'TL13'!$J$238:$J$451),0),
IF('TL14'!$B$3=P$3,SUMIF('TL14'!$C$10:$C$224,$C34,'TL14'!$J$10:$J$224),0),
IF('TL14'!$B$229=P$3,SUMIF('TL14'!$C$238:$C$451,$C34,'TL14'!$J$238:$J$451),0),
IF('TL15'!$B$3=P$3,SUMIF('TL15'!$C$10:$C$224,$C34,'TL15'!$J$10:$J$224),0),
IF('TL15'!$B$229=P$3,SUMIF('TL15'!$C$238:$C$451,$C34,'TL15'!$J$238:$J$451),0),
IF('TL16'!$B$3=P$3,SUMIF('TL16'!$C$10:$C$224,$C34,'TL16'!$J$10:$J$224),0),
IF('TL16'!$B$229=P$3,SUMIF('TL16'!$C$238:$C$451,$C34,'TL16'!$J$238:$J$451),0),
IF('TL17'!$B$3=P$3,SUMIF('TL17'!$C$10:$C$224,$C34,'TL17'!$J$10:$J$224),0),
IF('TL17'!$B$229=P$3,SUMIF('TL17'!$C$238:$C$451,$C34,'TL17'!$J$238:$J$451),0),
IF('TL18'!$B$3=P$3,SUMIF('TL18'!$C$10:$C$224,$C34,'TL18'!$J$10:$J$224),0),
IF('TL18'!$B$229=P$3,SUMIF('TL18'!$C$238:$C$451,$C34,'TL18'!$J$238:$J$451),0),
IF('TL19'!$B$3=P$3,SUMIF('TL19'!$C$10:$C$224,$C34,'TL19'!$J$10:$J$224),0),
IF('TL19'!$B$229=P$3,SUMIF('TL19'!$C$238:$C$451,$C34,'TL19'!$J$238:$J$451),0)
),0)</f>
        <v>0</v>
      </c>
      <c r="Q34" s="9">
        <f>IFERROR(SUM(
IF('TL01'!$B$3=Q$3,SUMIF('TL01'!$C$10:$C$224,$C34,'TL01'!$J$10:$J$224),0),
IF('TL01'!$B$229=Q$3,SUMIF('TL01'!$C$238:$C$451,$C34,'TL01'!$J$238:$J$451),0),
IF('TL02'!$B$3=Q$3,SUMIF('TL02'!$C$10:$C$224,$C34,'TL02'!$J$10:$J$224),0),
IF('TL02'!$B$229=Q$3,SUMIF('TL02'!$C$238:$C$451,$C34,'TL02'!$J$238:$J$451),0),
IF('TL03'!$B$3=Q$3,SUMIF('TL03'!$C$10:$C$224,$C34,'TL03'!$J$10:$J$224),0),
IF('TL03'!$B$229=Q$3,SUMIF('TL03'!$C$238:$C$451,$C34,'TL03'!$J$238:$J$451),0),
IF('TL04'!$B$3=Q$3,SUMIF('TL04'!$C$10:$C$224,$C34,'TL04'!$J$10:$J$224),0),
IF('TL04'!$B$229=Q$3,SUMIF('TL04'!$C$238:$C$451,$C34,'TL04'!$J$238:$J$451),0),
IF('TL05'!$B$3=Q$3,SUMIF('TL05'!$C$10:$C$224,$C34,'TL05'!$J$10:$J$224),0),
IF('TL05'!$B$229=Q$3,SUMIF('TL05'!$C$238:$C$451,$C34,'TL05'!$J$238:$J$451),0),
IF('TL06'!$B$3=Q$3,SUMIF('TL06'!$C$10:$C$224,$C34,'TL06'!$J$10:$J$224),0),
IF('TL06'!$B$229=Q$3,SUMIF('TL06'!$C$238:$C$451,$C34,'TL06'!$J$238:$J$451),0),
IF('TL07'!$B$3=Q$3,SUMIF('TL07'!$C$10:$C$224,$C34,'TL07'!$J$10:$J$224),0),
IF('TL07'!$B$229=Q$3,SUMIF('TL07'!$C$238:$C$451,$C34,'TL07'!$J$238:$J$451),0),
IF('TL08'!$B$3=Q$3,SUMIF('TL08'!$C$10:$C$224,$C34,'TL08'!$J$10:$J$224),0),
IF('TL08'!$B$229=Q$3,SUMIF('TL08'!$C$238:$C$451,$C34,'TL08'!$J$238:$J$451),0),
IF('TL09'!$B$3=Q$3,SUMIF('TL09'!$C$10:$C$224,$C34,'TL09'!$J$10:$J$224),0),
IF('TL09'!$B$229=Q$3,SUMIF('TL09'!$C$238:$C$451,$C34,'TL09'!$J$238:$J$451),0),
IF('TL10'!$B$3=Q$3,SUMIF('TL10'!$C$10:$C$224,$C34,'TL10'!$J$10:$J$224),0),
IF('TL10'!$B$229=Q$3,SUMIF('TL10'!$C$238:$C$451,$C34,'TL10'!$J$238:$J$451),0),
IF('TL11'!$B$3=Q$3,SUMIF('TL11'!$C$10:$C$224,$C34,'TL11'!$J$10:$J$224),0),
IF('TL11'!$B$229=Q$3,SUMIF('TL11'!$C$238:$C$451,$C34,'TL11'!$J$238:$J$451),0),
IF('TL12'!$B$3=Q$3,SUMIF('TL12'!$C$10:$C$224,$C34,'TL12'!$J$10:$J$224),0),
IF('TL12'!$B$229=Q$3,SUMIF('TL12'!$C$238:$C$451,$C34,'TL12'!$J$238:$J$451),0),
IF('TL13'!$B$3=Q$3,SUMIF('TL13'!$C$10:$C$224,$C34,'TL13'!$J$10:$J$224),0),
IF('TL13'!$B$229=Q$3,SUMIF('TL13'!$C$238:$C$451,$C34,'TL13'!$J$238:$J$451),0),
IF('TL14'!$B$3=Q$3,SUMIF('TL14'!$C$10:$C$224,$C34,'TL14'!$J$10:$J$224),0),
IF('TL14'!$B$229=Q$3,SUMIF('TL14'!$C$238:$C$451,$C34,'TL14'!$J$238:$J$451),0),
IF('TL15'!$B$3=Q$3,SUMIF('TL15'!$C$10:$C$224,$C34,'TL15'!$J$10:$J$224),0),
IF('TL15'!$B$229=Q$3,SUMIF('TL15'!$C$238:$C$451,$C34,'TL15'!$J$238:$J$451),0),
IF('TL16'!$B$3=Q$3,SUMIF('TL16'!$C$10:$C$224,$C34,'TL16'!$J$10:$J$224),0),
IF('TL16'!$B$229=Q$3,SUMIF('TL16'!$C$238:$C$451,$C34,'TL16'!$J$238:$J$451),0),
IF('TL17'!$B$3=Q$3,SUMIF('TL17'!$C$10:$C$224,$C34,'TL17'!$J$10:$J$224),0),
IF('TL17'!$B$229=Q$3,SUMIF('TL17'!$C$238:$C$451,$C34,'TL17'!$J$238:$J$451),0),
IF('TL18'!$B$3=Q$3,SUMIF('TL18'!$C$10:$C$224,$C34,'TL18'!$J$10:$J$224),0),
IF('TL18'!$B$229=Q$3,SUMIF('TL18'!$C$238:$C$451,$C34,'TL18'!$J$238:$J$451),0),
IF('TL19'!$B$3=Q$3,SUMIF('TL19'!$C$10:$C$224,$C34,'TL19'!$J$10:$J$224),0),
IF('TL19'!$B$229=Q$3,SUMIF('TL19'!$C$238:$C$451,$C34,'TL19'!$J$238:$J$451),0)
),0)</f>
        <v>0</v>
      </c>
      <c r="R34" s="9">
        <f>IFERROR(
SUM(
SUMIF('TL01'!C:C,C34,'TL01'!J:J),
SUMIF('TL02'!C:C,C34,'TL02'!J:J),
SUMIF('TL03'!C:C,C34,'TL03'!J:J),
SUMIF('TL04'!C:C,C34,'TL04'!J:J),
SUMIF('TL05'!C:C,C34,'TL05'!J:J),
SUMIF('TL06'!C:C,C34,'TL06'!J:J),
SUMIF('TL07'!C:C,C34,'TL07'!J:J),
SUMIF('TL08'!C:C,C34,'TL08'!J:J),
SUMIF('TL09'!C:C,C34,'TL09'!J:J),
SUMIF('TL10'!C:C,C34,'TL10'!J:J),
SUMIF('TL11'!C:C,C34,'TL11'!J:J),
SUMIF('TL12'!C:C,C34,'TL12'!J:J),
SUMIF('TL13'!C:C,C34,'TL13'!J:J),
SUMIF('TL14'!C:C,C34,'TL14'!J:J),
SUMIF('TL15'!C:C,C34,'TL15'!J:J),
SUMIF('TL16'!C:C,C34,'TL16'!J:J),
SUMIF('TL17'!C:C,C34,'TL17'!J:J),
SUMIF('TL18'!C:C,C34,'TL18'!J:J),SUMIF('TL19'!C:C,C34,'TL19'!J:J))
,0)</f>
        <v>0</v>
      </c>
      <c r="S34" s="17" t="str">
        <f>IFERROR(__xludf.DUMMYFUNCTION("IFERROR(VLOOKUP(C34,
IMPORTRANGE(""1wULbzX32WdYsx-lj2U3uUNBBe2INVIRDtcK0d-Dvl90"",
""26-27!C:G""),
5,
FALSE),
"""")"),"")</f>
        <v/>
      </c>
      <c r="T34" s="9"/>
      <c r="U34" s="92">
        <f t="shared" si="2"/>
        <v>0</v>
      </c>
      <c r="V34" s="93">
        <f t="shared" si="3"/>
        <v>0</v>
      </c>
    </row>
    <row r="35" ht="22.5" hidden="1" customHeight="1">
      <c r="A35" s="106"/>
      <c r="B35" s="107" t="s">
        <v>7</v>
      </c>
      <c r="C35" s="108" t="s">
        <v>423</v>
      </c>
      <c r="D35" s="108" t="s">
        <v>424</v>
      </c>
      <c r="E35" s="109"/>
      <c r="F35" s="4" t="s">
        <v>399</v>
      </c>
      <c r="G35" s="9"/>
      <c r="H35" s="9" t="str">
        <f>IFERROR(__xludf.DUMMYFUNCTION("IFERROR(VLOOKUP(C35,
IMPORTRANGE(""1wULbzX32WdYsx-lj2U3uUNBBe2INVIRDtcK0d-Dvl90"",
""26-27!C:K""),
8,
FALSE),
"""")"),"")</f>
        <v/>
      </c>
      <c r="I35" s="110"/>
      <c r="J35" s="9">
        <f>IFERROR(SUM(
IF('TL01'!$B$3=J$3,SUMIF('TL01'!$C$10:$C$224,$C35,'TL01'!$J$10:$J$224),0),
IF('TL01'!$B$229=J$3,SUMIF('TL01'!$C$238:$C$451,$C35,'TL01'!$J$238:$J$451),0),
IF('TL02'!$B$3=J$3,SUMIF('TL02'!$C$10:$C$224,$C35,'TL02'!$J$10:$J$224),0),
IF('TL02'!$B$229=J$3,SUMIF('TL02'!$C$238:$C$451,$C35,'TL02'!$J$238:$J$451),0),
IF('TL03'!$B$3=J$3,SUMIF('TL03'!$C$10:$C$224,$C35,'TL03'!$J$10:$J$224),0),
IF('TL03'!$B$229=J$3,SUMIF('TL03'!$C$238:$C$451,$C35,'TL03'!$J$238:$J$451),0),
IF('TL04'!$B$3=J$3,SUMIF('TL04'!$C$10:$C$224,$C35,'TL04'!$J$10:$J$224),0),
IF('TL04'!$B$229=J$3,SUMIF('TL04'!$C$238:$C$451,$C35,'TL04'!$J$238:$J$451),0),
IF('TL05'!$B$3=J$3,SUMIF('TL05'!$C$10:$C$224,$C35,'TL05'!$J$10:$J$224),0),
IF('TL05'!$B$229=J$3,SUMIF('TL05'!$C$238:$C$451,$C35,'TL05'!$J$238:$J$451),0),
IF('TL06'!$B$3=J$3,SUMIF('TL06'!$C$10:$C$224,$C35,'TL06'!$J$10:$J$224),0),
IF('TL06'!$B$229=J$3,SUMIF('TL06'!$C$238:$C$451,$C35,'TL06'!$J$238:$J$451),0),
IF('TL07'!$B$3=J$3,SUMIF('TL07'!$C$10:$C$224,$C35,'TL07'!$J$10:$J$224),0),
IF('TL07'!$B$229=J$3,SUMIF('TL07'!$C$238:$C$451,$C35,'TL07'!$J$238:$J$451),0),
IF('TL08'!$B$3=J$3,SUMIF('TL08'!$C$10:$C$224,$C35,'TL08'!$J$10:$J$224),0),
IF('TL08'!$B$229=J$3,SUMIF('TL08'!$C$238:$C$451,$C35,'TL08'!$J$238:$J$451),0),
IF('TL09'!$B$3=J$3,SUMIF('TL09'!$C$10:$C$224,$C35,'TL09'!$J$10:$J$224),0),
IF('TL09'!$B$229=J$3,SUMIF('TL09'!$C$238:$C$451,$C35,'TL09'!$J$238:$J$451),0),
IF('TL10'!$B$3=J$3,SUMIF('TL10'!$C$10:$C$224,$C35,'TL10'!$J$10:$J$224),0),
IF('TL10'!$B$229=J$3,SUMIF('TL10'!$C$238:$C$451,$C35,'TL10'!$J$238:$J$451),0),
IF('TL11'!$B$3=J$3,SUMIF('TL11'!$C$10:$C$224,$C35,'TL11'!$J$10:$J$224),0),
IF('TL11'!$B$229=J$3,SUMIF('TL11'!$C$238:$C$451,$C35,'TL11'!$J$238:$J$451),0),
IF('TL12'!$B$3=J$3,SUMIF('TL12'!$C$10:$C$224,$C35,'TL12'!$J$10:$J$224),0),
IF('TL12'!$B$229=J$3,SUMIF('TL12'!$C$238:$C$451,$C35,'TL12'!$J$238:$J$451),0),
IF('TL13'!$B$3=J$3,SUMIF('TL13'!$C$10:$C$224,$C35,'TL13'!$J$10:$J$224),0),
IF('TL13'!$B$229=J$3,SUMIF('TL13'!$C$238:$C$451,$C35,'TL13'!$J$238:$J$451),0),
IF('TL14'!$B$3=J$3,SUMIF('TL14'!$C$10:$C$224,$C35,'TL14'!$J$10:$J$224),0),
IF('TL14'!$B$229=J$3,SUMIF('TL14'!$C$238:$C$451,$C35,'TL14'!$J$238:$J$451),0),
IF('TL15'!$B$3=J$3,SUMIF('TL15'!$C$10:$C$224,$C35,'TL15'!$J$10:$J$224),0),
IF('TL15'!$B$229=J$3,SUMIF('TL15'!$C$238:$C$451,$C35,'TL15'!$J$238:$J$451),0),
IF('TL16'!$B$3=J$3,SUMIF('TL16'!$C$10:$C$224,$C35,'TL16'!$J$10:$J$224),0),
IF('TL16'!$B$229=J$3,SUMIF('TL16'!$C$238:$C$451,$C35,'TL16'!$J$238:$J$451),0),
IF('TL17'!$B$3=J$3,SUMIF('TL17'!$C$10:$C$224,$C35,'TL17'!$J$10:$J$224),0),
IF('TL17'!$B$229=J$3,SUMIF('TL17'!$C$238:$C$451,$C35,'TL17'!$J$238:$J$451),0),
IF('TL18'!$B$3=J$3,SUMIF('TL18'!$C$10:$C$224,$C35,'TL18'!$J$10:$J$224),0),
IF('TL18'!$B$229=J$3,SUMIF('TL18'!$C$238:$C$451,$C35,'TL18'!$J$238:$J$451),0),
IF('TL19'!$B$3=J$3,SUMIF('TL19'!$C$10:$C$224,$C35,'TL19'!$J$10:$J$224),0),
IF('TL19'!$B$229=J$3,SUMIF('TL19'!$C$238:$C$451,$C35,'TL19'!$J$238:$J$451),0)
),0)</f>
        <v>176</v>
      </c>
      <c r="K35" s="9">
        <f>IFERROR(SUM(
IF('TL01'!$B$3=K$3,SUMIF('TL01'!$C$10:$C$224,$C35,'TL01'!$J$10:$J$224),0),
IF('TL01'!$B$229=K$3,SUMIF('TL01'!$C$238:$C$451,$C35,'TL01'!$J$238:$J$451),0),
IF('TL02'!$B$3=K$3,SUMIF('TL02'!$C$10:$C$224,$C35,'TL02'!$J$10:$J$224),0),
IF('TL02'!$B$229=K$3,SUMIF('TL02'!$C$238:$C$451,$C35,'TL02'!$J$238:$J$451),0),
IF('TL03'!$B$3=K$3,SUMIF('TL03'!$C$10:$C$224,$C35,'TL03'!$J$10:$J$224),0),
IF('TL03'!$B$229=K$3,SUMIF('TL03'!$C$238:$C$451,$C35,'TL03'!$J$238:$J$451),0),
IF('TL04'!$B$3=K$3,SUMIF('TL04'!$C$10:$C$224,$C35,'TL04'!$J$10:$J$224),0),
IF('TL04'!$B$229=K$3,SUMIF('TL04'!$C$238:$C$451,$C35,'TL04'!$J$238:$J$451),0),
IF('TL05'!$B$3=K$3,SUMIF('TL05'!$C$10:$C$224,$C35,'TL05'!$J$10:$J$224),0),
IF('TL05'!$B$229=K$3,SUMIF('TL05'!$C$238:$C$451,$C35,'TL05'!$J$238:$J$451),0),
IF('TL06'!$B$3=K$3,SUMIF('TL06'!$C$10:$C$224,$C35,'TL06'!$J$10:$J$224),0),
IF('TL06'!$B$229=K$3,SUMIF('TL06'!$C$238:$C$451,$C35,'TL06'!$J$238:$J$451),0),
IF('TL07'!$B$3=K$3,SUMIF('TL07'!$C$10:$C$224,$C35,'TL07'!$J$10:$J$224),0),
IF('TL07'!$B$229=K$3,SUMIF('TL07'!$C$238:$C$451,$C35,'TL07'!$J$238:$J$451),0),
IF('TL08'!$B$3=K$3,SUMIF('TL08'!$C$10:$C$224,$C35,'TL08'!$J$10:$J$224),0),
IF('TL08'!$B$229=K$3,SUMIF('TL08'!$C$238:$C$451,$C35,'TL08'!$J$238:$J$451),0),
IF('TL09'!$B$3=K$3,SUMIF('TL09'!$C$10:$C$224,$C35,'TL09'!$J$10:$J$224),0),
IF('TL09'!$B$229=K$3,SUMIF('TL09'!$C$238:$C$451,$C35,'TL09'!$J$238:$J$451),0),
IF('TL10'!$B$3=K$3,SUMIF('TL10'!$C$10:$C$224,$C35,'TL10'!$J$10:$J$224),0),
IF('TL10'!$B$229=K$3,SUMIF('TL10'!$C$238:$C$451,$C35,'TL10'!$J$238:$J$451),0),
IF('TL11'!$B$3=K$3,SUMIF('TL11'!$C$10:$C$224,$C35,'TL11'!$J$10:$J$224),0),
IF('TL11'!$B$229=K$3,SUMIF('TL11'!$C$238:$C$451,$C35,'TL11'!$J$238:$J$451),0),
IF('TL12'!$B$3=K$3,SUMIF('TL12'!$C$10:$C$224,$C35,'TL12'!$J$10:$J$224),0),
IF('TL12'!$B$229=K$3,SUMIF('TL12'!$C$238:$C$451,$C35,'TL12'!$J$238:$J$451),0),
IF('TL13'!$B$3=K$3,SUMIF('TL13'!$C$10:$C$224,$C35,'TL13'!$J$10:$J$224),0),
IF('TL13'!$B$229=K$3,SUMIF('TL13'!$C$238:$C$451,$C35,'TL13'!$J$238:$J$451),0),
IF('TL14'!$B$3=K$3,SUMIF('TL14'!$C$10:$C$224,$C35,'TL14'!$J$10:$J$224),0),
IF('TL14'!$B$229=K$3,SUMIF('TL14'!$C$238:$C$451,$C35,'TL14'!$J$238:$J$451),0),
IF('TL15'!$B$3=K$3,SUMIF('TL15'!$C$10:$C$224,$C35,'TL15'!$J$10:$J$224),0),
IF('TL15'!$B$229=K$3,SUMIF('TL15'!$C$238:$C$451,$C35,'TL15'!$J$238:$J$451),0),
IF('TL16'!$B$3=K$3,SUMIF('TL16'!$C$10:$C$224,$C35,'TL16'!$J$10:$J$224),0),
IF('TL16'!$B$229=K$3,SUMIF('TL16'!$C$238:$C$451,$C35,'TL16'!$J$238:$J$451),0),
IF('TL17'!$B$3=K$3,SUMIF('TL17'!$C$10:$C$224,$C35,'TL17'!$J$10:$J$224),0),
IF('TL17'!$B$229=K$3,SUMIF('TL17'!$C$238:$C$451,$C35,'TL17'!$J$238:$J$451),0),
IF('TL18'!$B$3=K$3,SUMIF('TL18'!$C$10:$C$224,$C35,'TL18'!$J$10:$J$224),0),
IF('TL18'!$B$229=K$3,SUMIF('TL18'!$C$238:$C$451,$C35,'TL18'!$J$238:$J$451),0),
IF('TL19'!$B$3=K$3,SUMIF('TL19'!$C$10:$C$224,$C35,'TL19'!$J$10:$J$224),0),
IF('TL19'!$B$229=K$3,SUMIF('TL19'!$C$238:$C$451,$C35,'TL19'!$J$238:$J$451),0)
),0)</f>
        <v>0</v>
      </c>
      <c r="L35" s="9">
        <f>IFERROR(SUM(
IF('TL01'!$B$3=L$3,SUMIF('TL01'!$C$10:$C$224,$C35,'TL01'!$J$10:$J$224),0),
IF('TL01'!$B$229=L$3,SUMIF('TL01'!$C$238:$C$451,$C35,'TL01'!$J$238:$J$451),0),
IF('TL02'!$B$3=L$3,SUMIF('TL02'!$C$10:$C$224,$C35,'TL02'!$J$10:$J$224),0),
IF('TL02'!$B$229=L$3,SUMIF('TL02'!$C$238:$C$451,$C35,'TL02'!$J$238:$J$451),0),
IF('TL03'!$B$3=L$3,SUMIF('TL03'!$C$10:$C$224,$C35,'TL03'!$J$10:$J$224),0),
IF('TL03'!$B$229=L$3,SUMIF('TL03'!$C$238:$C$451,$C35,'TL03'!$J$238:$J$451),0),
IF('TL04'!$B$3=L$3,SUMIF('TL04'!$C$10:$C$224,$C35,'TL04'!$J$10:$J$224),0),
IF('TL04'!$B$229=L$3,SUMIF('TL04'!$C$238:$C$451,$C35,'TL04'!$J$238:$J$451),0),
IF('TL05'!$B$3=L$3,SUMIF('TL05'!$C$10:$C$224,$C35,'TL05'!$J$10:$J$224),0),
IF('TL05'!$B$229=L$3,SUMIF('TL05'!$C$238:$C$451,$C35,'TL05'!$J$238:$J$451),0),
IF('TL06'!$B$3=L$3,SUMIF('TL06'!$C$10:$C$224,$C35,'TL06'!$J$10:$J$224),0),
IF('TL06'!$B$229=L$3,SUMIF('TL06'!$C$238:$C$451,$C35,'TL06'!$J$238:$J$451),0),
IF('TL07'!$B$3=L$3,SUMIF('TL07'!$C$10:$C$224,$C35,'TL07'!$J$10:$J$224),0),
IF('TL07'!$B$229=L$3,SUMIF('TL07'!$C$238:$C$451,$C35,'TL07'!$J$238:$J$451),0),
IF('TL08'!$B$3=L$3,SUMIF('TL08'!$C$10:$C$224,$C35,'TL08'!$J$10:$J$224),0),
IF('TL08'!$B$229=L$3,SUMIF('TL08'!$C$238:$C$451,$C35,'TL08'!$J$238:$J$451),0),
IF('TL09'!$B$3=L$3,SUMIF('TL09'!$C$10:$C$224,$C35,'TL09'!$J$10:$J$224),0),
IF('TL09'!$B$229=L$3,SUMIF('TL09'!$C$238:$C$451,$C35,'TL09'!$J$238:$J$451),0),
IF('TL10'!$B$3=L$3,SUMIF('TL10'!$C$10:$C$224,$C35,'TL10'!$J$10:$J$224),0),
IF('TL10'!$B$229=L$3,SUMIF('TL10'!$C$238:$C$451,$C35,'TL10'!$J$238:$J$451),0),
IF('TL11'!$B$3=L$3,SUMIF('TL11'!$C$10:$C$224,$C35,'TL11'!$J$10:$J$224),0),
IF('TL11'!$B$229=L$3,SUMIF('TL11'!$C$238:$C$451,$C35,'TL11'!$J$238:$J$451),0),
IF('TL12'!$B$3=L$3,SUMIF('TL12'!$C$10:$C$224,$C35,'TL12'!$J$10:$J$224),0),
IF('TL12'!$B$229=L$3,SUMIF('TL12'!$C$238:$C$451,$C35,'TL12'!$J$238:$J$451),0),
IF('TL13'!$B$3=L$3,SUMIF('TL13'!$C$10:$C$224,$C35,'TL13'!$J$10:$J$224),0),
IF('TL13'!$B$229=L$3,SUMIF('TL13'!$C$238:$C$451,$C35,'TL13'!$J$238:$J$451),0),
IF('TL14'!$B$3=L$3,SUMIF('TL14'!$C$10:$C$224,$C35,'TL14'!$J$10:$J$224),0),
IF('TL14'!$B$229=L$3,SUMIF('TL14'!$C$238:$C$451,$C35,'TL14'!$J$238:$J$451),0),
IF('TL15'!$B$3=L$3,SUMIF('TL15'!$C$10:$C$224,$C35,'TL15'!$J$10:$J$224),0),
IF('TL15'!$B$229=L$3,SUMIF('TL15'!$C$238:$C$451,$C35,'TL15'!$J$238:$J$451),0),
IF('TL16'!$B$3=L$3,SUMIF('TL16'!$C$10:$C$224,$C35,'TL16'!$J$10:$J$224),0),
IF('TL16'!$B$229=L$3,SUMIF('TL16'!$C$238:$C$451,$C35,'TL16'!$J$238:$J$451),0),
IF('TL17'!$B$3=L$3,SUMIF('TL17'!$C$10:$C$224,$C35,'TL17'!$J$10:$J$224),0),
IF('TL17'!$B$229=L$3,SUMIF('TL17'!$C$238:$C$451,$C35,'TL17'!$J$238:$J$451),0),
IF('TL18'!$B$3=L$3,SUMIF('TL18'!$C$10:$C$224,$C35,'TL18'!$J$10:$J$224),0),
IF('TL18'!$B$229=L$3,SUMIF('TL18'!$C$238:$C$451,$C35,'TL18'!$J$238:$J$451),0),
IF('TL19'!$B$3=L$3,SUMIF('TL19'!$C$10:$C$224,$C35,'TL19'!$J$10:$J$224),0),
IF('TL19'!$B$229=L$3,SUMIF('TL19'!$C$238:$C$451,$C35,'TL19'!$J$238:$J$451),0)
),0)</f>
        <v>0</v>
      </c>
      <c r="M35" s="9">
        <f>IFERROR(SUM(
IF('TL01'!$B$3=M$3,SUMIF('TL01'!$C$10:$C$224,$C35,'TL01'!$J$10:$J$224),0),
IF('TL01'!$B$229=M$3,SUMIF('TL01'!$C$238:$C$451,$C35,'TL01'!$J$238:$J$451),0),
IF('TL02'!$B$3=M$3,SUMIF('TL02'!$C$10:$C$224,$C35,'TL02'!$J$10:$J$224),0),
IF('TL02'!$B$229=M$3,SUMIF('TL02'!$C$238:$C$451,$C35,'TL02'!$J$238:$J$451),0),
IF('TL03'!$B$3=M$3,SUMIF('TL03'!$C$10:$C$224,$C35,'TL03'!$J$10:$J$224),0),
IF('TL03'!$B$229=M$3,SUMIF('TL03'!$C$238:$C$451,$C35,'TL03'!$J$238:$J$451),0),
IF('TL04'!$B$3=M$3,SUMIF('TL04'!$C$10:$C$224,$C35,'TL04'!$J$10:$J$224),0),
IF('TL04'!$B$229=M$3,SUMIF('TL04'!$C$238:$C$451,$C35,'TL04'!$J$238:$J$451),0),
IF('TL05'!$B$3=M$3,SUMIF('TL05'!$C$10:$C$224,$C35,'TL05'!$J$10:$J$224),0),
IF('TL05'!$B$229=M$3,SUMIF('TL05'!$C$238:$C$451,$C35,'TL05'!$J$238:$J$451),0),
IF('TL06'!$B$3=M$3,SUMIF('TL06'!$C$10:$C$224,$C35,'TL06'!$J$10:$J$224),0),
IF('TL06'!$B$229=M$3,SUMIF('TL06'!$C$238:$C$451,$C35,'TL06'!$J$238:$J$451),0),
IF('TL07'!$B$3=M$3,SUMIF('TL07'!$C$10:$C$224,$C35,'TL07'!$J$10:$J$224),0),
IF('TL07'!$B$229=M$3,SUMIF('TL07'!$C$238:$C$451,$C35,'TL07'!$J$238:$J$451),0),
IF('TL08'!$B$3=M$3,SUMIF('TL08'!$C$10:$C$224,$C35,'TL08'!$J$10:$J$224),0),
IF('TL08'!$B$229=M$3,SUMIF('TL08'!$C$238:$C$451,$C35,'TL08'!$J$238:$J$451),0),
IF('TL09'!$B$3=M$3,SUMIF('TL09'!$C$10:$C$224,$C35,'TL09'!$J$10:$J$224),0),
IF('TL09'!$B$229=M$3,SUMIF('TL09'!$C$238:$C$451,$C35,'TL09'!$J$238:$J$451),0),
IF('TL10'!$B$3=M$3,SUMIF('TL10'!$C$10:$C$224,$C35,'TL10'!$J$10:$J$224),0),
IF('TL10'!$B$229=M$3,SUMIF('TL10'!$C$238:$C$451,$C35,'TL10'!$J$238:$J$451),0),
IF('TL11'!$B$3=M$3,SUMIF('TL11'!$C$10:$C$224,$C35,'TL11'!$J$10:$J$224),0),
IF('TL11'!$B$229=M$3,SUMIF('TL11'!$C$238:$C$451,$C35,'TL11'!$J$238:$J$451),0),
IF('TL12'!$B$3=M$3,SUMIF('TL12'!$C$10:$C$224,$C35,'TL12'!$J$10:$J$224),0),
IF('TL12'!$B$229=M$3,SUMIF('TL12'!$C$238:$C$451,$C35,'TL12'!$J$238:$J$451),0),
IF('TL13'!$B$3=M$3,SUMIF('TL13'!$C$10:$C$224,$C35,'TL13'!$J$10:$J$224),0),
IF('TL13'!$B$229=M$3,SUMIF('TL13'!$C$238:$C$451,$C35,'TL13'!$J$238:$J$451),0),
IF('TL14'!$B$3=M$3,SUMIF('TL14'!$C$10:$C$224,$C35,'TL14'!$J$10:$J$224),0),
IF('TL14'!$B$229=M$3,SUMIF('TL14'!$C$238:$C$451,$C35,'TL14'!$J$238:$J$451),0),
IF('TL15'!$B$3=M$3,SUMIF('TL15'!$C$10:$C$224,$C35,'TL15'!$J$10:$J$224),0),
IF('TL15'!$B$229=M$3,SUMIF('TL15'!$C$238:$C$451,$C35,'TL15'!$J$238:$J$451),0),
IF('TL16'!$B$3=M$3,SUMIF('TL16'!$C$10:$C$224,$C35,'TL16'!$J$10:$J$224),0),
IF('TL16'!$B$229=M$3,SUMIF('TL16'!$C$238:$C$451,$C35,'TL16'!$J$238:$J$451),0),
IF('TL17'!$B$3=M$3,SUMIF('TL17'!$C$10:$C$224,$C35,'TL17'!$J$10:$J$224),0),
IF('TL17'!$B$229=M$3,SUMIF('TL17'!$C$238:$C$451,$C35,'TL17'!$J$238:$J$451),0),
IF('TL18'!$B$3=M$3,SUMIF('TL18'!$C$10:$C$224,$C35,'TL18'!$J$10:$J$224),0),
IF('TL18'!$B$229=M$3,SUMIF('TL18'!$C$238:$C$451,$C35,'TL18'!$J$238:$J$451),0),
IF('TL19'!$B$3=M$3,SUMIF('TL19'!$C$10:$C$224,$C35,'TL19'!$J$10:$J$224),0),
IF('TL19'!$B$229=M$3,SUMIF('TL19'!$C$238:$C$451,$C35,'TL19'!$J$238:$J$451),0)
),0)</f>
        <v>0</v>
      </c>
      <c r="N35" s="9">
        <f>IFERROR(SUM(
IF('TL01'!$B$3=N$3,SUMIF('TL01'!$C$10:$C$224,$C35,'TL01'!$J$10:$J$224),0),
IF('TL01'!$B$229=N$3,SUMIF('TL01'!$C$238:$C$451,$C35,'TL01'!$J$238:$J$451),0),
IF('TL02'!$B$3=N$3,SUMIF('TL02'!$C$10:$C$224,$C35,'TL02'!$J$10:$J$224),0),
IF('TL02'!$B$229=N$3,SUMIF('TL02'!$C$238:$C$451,$C35,'TL02'!$J$238:$J$451),0),
IF('TL03'!$B$3=N$3,SUMIF('TL03'!$C$10:$C$224,$C35,'TL03'!$J$10:$J$224),0),
IF('TL03'!$B$229=N$3,SUMIF('TL03'!$C$238:$C$451,$C35,'TL03'!$J$238:$J$451),0),
IF('TL04'!$B$3=N$3,SUMIF('TL04'!$C$10:$C$224,$C35,'TL04'!$J$10:$J$224),0),
IF('TL04'!$B$229=N$3,SUMIF('TL04'!$C$238:$C$451,$C35,'TL04'!$J$238:$J$451),0),
IF('TL05'!$B$3=N$3,SUMIF('TL05'!$C$10:$C$224,$C35,'TL05'!$J$10:$J$224),0),
IF('TL05'!$B$229=N$3,SUMIF('TL05'!$C$238:$C$451,$C35,'TL05'!$J$238:$J$451),0),
IF('TL06'!$B$3=N$3,SUMIF('TL06'!$C$10:$C$224,$C35,'TL06'!$J$10:$J$224),0),
IF('TL06'!$B$229=N$3,SUMIF('TL06'!$C$238:$C$451,$C35,'TL06'!$J$238:$J$451),0),
IF('TL07'!$B$3=N$3,SUMIF('TL07'!$C$10:$C$224,$C35,'TL07'!$J$10:$J$224),0),
IF('TL07'!$B$229=N$3,SUMIF('TL07'!$C$238:$C$451,$C35,'TL07'!$J$238:$J$451),0),
IF('TL08'!$B$3=N$3,SUMIF('TL08'!$C$10:$C$224,$C35,'TL08'!$J$10:$J$224),0),
IF('TL08'!$B$229=N$3,SUMIF('TL08'!$C$238:$C$451,$C35,'TL08'!$J$238:$J$451),0),
IF('TL09'!$B$3=N$3,SUMIF('TL09'!$C$10:$C$224,$C35,'TL09'!$J$10:$J$224),0),
IF('TL09'!$B$229=N$3,SUMIF('TL09'!$C$238:$C$451,$C35,'TL09'!$J$238:$J$451),0),
IF('TL10'!$B$3=N$3,SUMIF('TL10'!$C$10:$C$224,$C35,'TL10'!$J$10:$J$224),0),
IF('TL10'!$B$229=N$3,SUMIF('TL10'!$C$238:$C$451,$C35,'TL10'!$J$238:$J$451),0),
IF('TL11'!$B$3=N$3,SUMIF('TL11'!$C$10:$C$224,$C35,'TL11'!$J$10:$J$224),0),
IF('TL11'!$B$229=N$3,SUMIF('TL11'!$C$238:$C$451,$C35,'TL11'!$J$238:$J$451),0),
IF('TL12'!$B$3=N$3,SUMIF('TL12'!$C$10:$C$224,$C35,'TL12'!$J$10:$J$224),0),
IF('TL12'!$B$229=N$3,SUMIF('TL12'!$C$238:$C$451,$C35,'TL12'!$J$238:$J$451),0),
IF('TL13'!$B$3=N$3,SUMIF('TL13'!$C$10:$C$224,$C35,'TL13'!$J$10:$J$224),0),
IF('TL13'!$B$229=N$3,SUMIF('TL13'!$C$238:$C$451,$C35,'TL13'!$J$238:$J$451),0),
IF('TL14'!$B$3=N$3,SUMIF('TL14'!$C$10:$C$224,$C35,'TL14'!$J$10:$J$224),0),
IF('TL14'!$B$229=N$3,SUMIF('TL14'!$C$238:$C$451,$C35,'TL14'!$J$238:$J$451),0),
IF('TL15'!$B$3=N$3,SUMIF('TL15'!$C$10:$C$224,$C35,'TL15'!$J$10:$J$224),0),
IF('TL15'!$B$229=N$3,SUMIF('TL15'!$C$238:$C$451,$C35,'TL15'!$J$238:$J$451),0),
IF('TL16'!$B$3=N$3,SUMIF('TL16'!$C$10:$C$224,$C35,'TL16'!$J$10:$J$224),0),
IF('TL16'!$B$229=N$3,SUMIF('TL16'!$C$238:$C$451,$C35,'TL16'!$J$238:$J$451),0),
IF('TL17'!$B$3=N$3,SUMIF('TL17'!$C$10:$C$224,$C35,'TL17'!$J$10:$J$224),0),
IF('TL17'!$B$229=N$3,SUMIF('TL17'!$C$238:$C$451,$C35,'TL17'!$J$238:$J$451),0),
IF('TL18'!$B$3=N$3,SUMIF('TL18'!$C$10:$C$224,$C35,'TL18'!$J$10:$J$224),0),
IF('TL18'!$B$229=N$3,SUMIF('TL18'!$C$238:$C$451,$C35,'TL18'!$J$238:$J$451),0),
IF('TL19'!$B$3=N$3,SUMIF('TL19'!$C$10:$C$224,$C35,'TL19'!$J$10:$J$224),0),
IF('TL19'!$B$229=N$3,SUMIF('TL19'!$C$238:$C$451,$C35,'TL19'!$J$238:$J$451),0)
),0)</f>
        <v>0</v>
      </c>
      <c r="O35" s="9">
        <f>IFERROR(SUM(
IF('TL01'!$B$3=O$3,SUMIF('TL01'!$C$10:$C$224,$C35,'TL01'!$J$10:$J$224),0),
IF('TL01'!$B$229=O$3,SUMIF('TL01'!$C$238:$C$451,$C35,'TL01'!$J$238:$J$451),0),
IF('TL02'!$B$3=O$3,SUMIF('TL02'!$C$10:$C$224,$C35,'TL02'!$J$10:$J$224),0),
IF('TL02'!$B$229=O$3,SUMIF('TL02'!$C$238:$C$451,$C35,'TL02'!$J$238:$J$451),0),
IF('TL03'!$B$3=O$3,SUMIF('TL03'!$C$10:$C$224,$C35,'TL03'!$J$10:$J$224),0),
IF('TL03'!$B$229=O$3,SUMIF('TL03'!$C$238:$C$451,$C35,'TL03'!$J$238:$J$451),0),
IF('TL04'!$B$3=O$3,SUMIF('TL04'!$C$10:$C$224,$C35,'TL04'!$J$10:$J$224),0),
IF('TL04'!$B$229=O$3,SUMIF('TL04'!$C$238:$C$451,$C35,'TL04'!$J$238:$J$451),0),
IF('TL05'!$B$3=O$3,SUMIF('TL05'!$C$10:$C$224,$C35,'TL05'!$J$10:$J$224),0),
IF('TL05'!$B$229=O$3,SUMIF('TL05'!$C$238:$C$451,$C35,'TL05'!$J$238:$J$451),0),
IF('TL06'!$B$3=O$3,SUMIF('TL06'!$C$10:$C$224,$C35,'TL06'!$J$10:$J$224),0),
IF('TL06'!$B$229=O$3,SUMIF('TL06'!$C$238:$C$451,$C35,'TL06'!$J$238:$J$451),0),
IF('TL07'!$B$3=O$3,SUMIF('TL07'!$C$10:$C$224,$C35,'TL07'!$J$10:$J$224),0),
IF('TL07'!$B$229=O$3,SUMIF('TL07'!$C$238:$C$451,$C35,'TL07'!$J$238:$J$451),0),
IF('TL08'!$B$3=O$3,SUMIF('TL08'!$C$10:$C$224,$C35,'TL08'!$J$10:$J$224),0),
IF('TL08'!$B$229=O$3,SUMIF('TL08'!$C$238:$C$451,$C35,'TL08'!$J$238:$J$451),0),
IF('TL09'!$B$3=O$3,SUMIF('TL09'!$C$10:$C$224,$C35,'TL09'!$J$10:$J$224),0),
IF('TL09'!$B$229=O$3,SUMIF('TL09'!$C$238:$C$451,$C35,'TL09'!$J$238:$J$451),0),
IF('TL10'!$B$3=O$3,SUMIF('TL10'!$C$10:$C$224,$C35,'TL10'!$J$10:$J$224),0),
IF('TL10'!$B$229=O$3,SUMIF('TL10'!$C$238:$C$451,$C35,'TL10'!$J$238:$J$451),0),
IF('TL11'!$B$3=O$3,SUMIF('TL11'!$C$10:$C$224,$C35,'TL11'!$J$10:$J$224),0),
IF('TL11'!$B$229=O$3,SUMIF('TL11'!$C$238:$C$451,$C35,'TL11'!$J$238:$J$451),0),
IF('TL12'!$B$3=O$3,SUMIF('TL12'!$C$10:$C$224,$C35,'TL12'!$J$10:$J$224),0),
IF('TL12'!$B$229=O$3,SUMIF('TL12'!$C$238:$C$451,$C35,'TL12'!$J$238:$J$451),0),
IF('TL13'!$B$3=O$3,SUMIF('TL13'!$C$10:$C$224,$C35,'TL13'!$J$10:$J$224),0),
IF('TL13'!$B$229=O$3,SUMIF('TL13'!$C$238:$C$451,$C35,'TL13'!$J$238:$J$451),0),
IF('TL14'!$B$3=O$3,SUMIF('TL14'!$C$10:$C$224,$C35,'TL14'!$J$10:$J$224),0),
IF('TL14'!$B$229=O$3,SUMIF('TL14'!$C$238:$C$451,$C35,'TL14'!$J$238:$J$451),0),
IF('TL15'!$B$3=O$3,SUMIF('TL15'!$C$10:$C$224,$C35,'TL15'!$J$10:$J$224),0),
IF('TL15'!$B$229=O$3,SUMIF('TL15'!$C$238:$C$451,$C35,'TL15'!$J$238:$J$451),0),
IF('TL16'!$B$3=O$3,SUMIF('TL16'!$C$10:$C$224,$C35,'TL16'!$J$10:$J$224),0),
IF('TL16'!$B$229=O$3,SUMIF('TL16'!$C$238:$C$451,$C35,'TL16'!$J$238:$J$451),0),
IF('TL17'!$B$3=O$3,SUMIF('TL17'!$C$10:$C$224,$C35,'TL17'!$J$10:$J$224),0),
IF('TL17'!$B$229=O$3,SUMIF('TL17'!$C$238:$C$451,$C35,'TL17'!$J$238:$J$451),0),
IF('TL18'!$B$3=O$3,SUMIF('TL18'!$C$10:$C$224,$C35,'TL18'!$J$10:$J$224),0),
IF('TL18'!$B$229=O$3,SUMIF('TL18'!$C$238:$C$451,$C35,'TL18'!$J$238:$J$451),0),
IF('TL19'!$B$3=O$3,SUMIF('TL19'!$C$10:$C$224,$C35,'TL19'!$J$10:$J$224),0),
IF('TL19'!$B$229=O$3,SUMIF('TL19'!$C$238:$C$451,$C35,'TL19'!$J$238:$J$451),0)
),0)</f>
        <v>110</v>
      </c>
      <c r="P35" s="9">
        <f>IFERROR(SUM(
IF('TL01'!$B$3=P$3,SUMIF('TL01'!$C$10:$C$224,$C35,'TL01'!$J$10:$J$224),0),
IF('TL01'!$B$229=P$3,SUMIF('TL01'!$C$238:$C$451,$C35,'TL01'!$J$238:$J$451),0),
IF('TL02'!$B$3=P$3,SUMIF('TL02'!$C$10:$C$224,$C35,'TL02'!$J$10:$J$224),0),
IF('TL02'!$B$229=P$3,SUMIF('TL02'!$C$238:$C$451,$C35,'TL02'!$J$238:$J$451),0),
IF('TL03'!$B$3=P$3,SUMIF('TL03'!$C$10:$C$224,$C35,'TL03'!$J$10:$J$224),0),
IF('TL03'!$B$229=P$3,SUMIF('TL03'!$C$238:$C$451,$C35,'TL03'!$J$238:$J$451),0),
IF('TL04'!$B$3=P$3,SUMIF('TL04'!$C$10:$C$224,$C35,'TL04'!$J$10:$J$224),0),
IF('TL04'!$B$229=P$3,SUMIF('TL04'!$C$238:$C$451,$C35,'TL04'!$J$238:$J$451),0),
IF('TL05'!$B$3=P$3,SUMIF('TL05'!$C$10:$C$224,$C35,'TL05'!$J$10:$J$224),0),
IF('TL05'!$B$229=P$3,SUMIF('TL05'!$C$238:$C$451,$C35,'TL05'!$J$238:$J$451),0),
IF('TL06'!$B$3=P$3,SUMIF('TL06'!$C$10:$C$224,$C35,'TL06'!$J$10:$J$224),0),
IF('TL06'!$B$229=P$3,SUMIF('TL06'!$C$238:$C$451,$C35,'TL06'!$J$238:$J$451),0),
IF('TL07'!$B$3=P$3,SUMIF('TL07'!$C$10:$C$224,$C35,'TL07'!$J$10:$J$224),0),
IF('TL07'!$B$229=P$3,SUMIF('TL07'!$C$238:$C$451,$C35,'TL07'!$J$238:$J$451),0),
IF('TL08'!$B$3=P$3,SUMIF('TL08'!$C$10:$C$224,$C35,'TL08'!$J$10:$J$224),0),
IF('TL08'!$B$229=P$3,SUMIF('TL08'!$C$238:$C$451,$C35,'TL08'!$J$238:$J$451),0),
IF('TL09'!$B$3=P$3,SUMIF('TL09'!$C$10:$C$224,$C35,'TL09'!$J$10:$J$224),0),
IF('TL09'!$B$229=P$3,SUMIF('TL09'!$C$238:$C$451,$C35,'TL09'!$J$238:$J$451),0),
IF('TL10'!$B$3=P$3,SUMIF('TL10'!$C$10:$C$224,$C35,'TL10'!$J$10:$J$224),0),
IF('TL10'!$B$229=P$3,SUMIF('TL10'!$C$238:$C$451,$C35,'TL10'!$J$238:$J$451),0),
IF('TL11'!$B$3=P$3,SUMIF('TL11'!$C$10:$C$224,$C35,'TL11'!$J$10:$J$224),0),
IF('TL11'!$B$229=P$3,SUMIF('TL11'!$C$238:$C$451,$C35,'TL11'!$J$238:$J$451),0),
IF('TL12'!$B$3=P$3,SUMIF('TL12'!$C$10:$C$224,$C35,'TL12'!$J$10:$J$224),0),
IF('TL12'!$B$229=P$3,SUMIF('TL12'!$C$238:$C$451,$C35,'TL12'!$J$238:$J$451),0),
IF('TL13'!$B$3=P$3,SUMIF('TL13'!$C$10:$C$224,$C35,'TL13'!$J$10:$J$224),0),
IF('TL13'!$B$229=P$3,SUMIF('TL13'!$C$238:$C$451,$C35,'TL13'!$J$238:$J$451),0),
IF('TL14'!$B$3=P$3,SUMIF('TL14'!$C$10:$C$224,$C35,'TL14'!$J$10:$J$224),0),
IF('TL14'!$B$229=P$3,SUMIF('TL14'!$C$238:$C$451,$C35,'TL14'!$J$238:$J$451),0),
IF('TL15'!$B$3=P$3,SUMIF('TL15'!$C$10:$C$224,$C35,'TL15'!$J$10:$J$224),0),
IF('TL15'!$B$229=P$3,SUMIF('TL15'!$C$238:$C$451,$C35,'TL15'!$J$238:$J$451),0),
IF('TL16'!$B$3=P$3,SUMIF('TL16'!$C$10:$C$224,$C35,'TL16'!$J$10:$J$224),0),
IF('TL16'!$B$229=P$3,SUMIF('TL16'!$C$238:$C$451,$C35,'TL16'!$J$238:$J$451),0),
IF('TL17'!$B$3=P$3,SUMIF('TL17'!$C$10:$C$224,$C35,'TL17'!$J$10:$J$224),0),
IF('TL17'!$B$229=P$3,SUMIF('TL17'!$C$238:$C$451,$C35,'TL17'!$J$238:$J$451),0),
IF('TL18'!$B$3=P$3,SUMIF('TL18'!$C$10:$C$224,$C35,'TL18'!$J$10:$J$224),0),
IF('TL18'!$B$229=P$3,SUMIF('TL18'!$C$238:$C$451,$C35,'TL18'!$J$238:$J$451),0),
IF('TL19'!$B$3=P$3,SUMIF('TL19'!$C$10:$C$224,$C35,'TL19'!$J$10:$J$224),0),
IF('TL19'!$B$229=P$3,SUMIF('TL19'!$C$238:$C$451,$C35,'TL19'!$J$238:$J$451),0)
),0)</f>
        <v>609</v>
      </c>
      <c r="Q35" s="9">
        <f>IFERROR(SUM(
IF('TL01'!$B$3=Q$3,SUMIF('TL01'!$C$10:$C$224,$C35,'TL01'!$J$10:$J$224),0),
IF('TL01'!$B$229=Q$3,SUMIF('TL01'!$C$238:$C$451,$C35,'TL01'!$J$238:$J$451),0),
IF('TL02'!$B$3=Q$3,SUMIF('TL02'!$C$10:$C$224,$C35,'TL02'!$J$10:$J$224),0),
IF('TL02'!$B$229=Q$3,SUMIF('TL02'!$C$238:$C$451,$C35,'TL02'!$J$238:$J$451),0),
IF('TL03'!$B$3=Q$3,SUMIF('TL03'!$C$10:$C$224,$C35,'TL03'!$J$10:$J$224),0),
IF('TL03'!$B$229=Q$3,SUMIF('TL03'!$C$238:$C$451,$C35,'TL03'!$J$238:$J$451),0),
IF('TL04'!$B$3=Q$3,SUMIF('TL04'!$C$10:$C$224,$C35,'TL04'!$J$10:$J$224),0),
IF('TL04'!$B$229=Q$3,SUMIF('TL04'!$C$238:$C$451,$C35,'TL04'!$J$238:$J$451),0),
IF('TL05'!$B$3=Q$3,SUMIF('TL05'!$C$10:$C$224,$C35,'TL05'!$J$10:$J$224),0),
IF('TL05'!$B$229=Q$3,SUMIF('TL05'!$C$238:$C$451,$C35,'TL05'!$J$238:$J$451),0),
IF('TL06'!$B$3=Q$3,SUMIF('TL06'!$C$10:$C$224,$C35,'TL06'!$J$10:$J$224),0),
IF('TL06'!$B$229=Q$3,SUMIF('TL06'!$C$238:$C$451,$C35,'TL06'!$J$238:$J$451),0),
IF('TL07'!$B$3=Q$3,SUMIF('TL07'!$C$10:$C$224,$C35,'TL07'!$J$10:$J$224),0),
IF('TL07'!$B$229=Q$3,SUMIF('TL07'!$C$238:$C$451,$C35,'TL07'!$J$238:$J$451),0),
IF('TL08'!$B$3=Q$3,SUMIF('TL08'!$C$10:$C$224,$C35,'TL08'!$J$10:$J$224),0),
IF('TL08'!$B$229=Q$3,SUMIF('TL08'!$C$238:$C$451,$C35,'TL08'!$J$238:$J$451),0),
IF('TL09'!$B$3=Q$3,SUMIF('TL09'!$C$10:$C$224,$C35,'TL09'!$J$10:$J$224),0),
IF('TL09'!$B$229=Q$3,SUMIF('TL09'!$C$238:$C$451,$C35,'TL09'!$J$238:$J$451),0),
IF('TL10'!$B$3=Q$3,SUMIF('TL10'!$C$10:$C$224,$C35,'TL10'!$J$10:$J$224),0),
IF('TL10'!$B$229=Q$3,SUMIF('TL10'!$C$238:$C$451,$C35,'TL10'!$J$238:$J$451),0),
IF('TL11'!$B$3=Q$3,SUMIF('TL11'!$C$10:$C$224,$C35,'TL11'!$J$10:$J$224),0),
IF('TL11'!$B$229=Q$3,SUMIF('TL11'!$C$238:$C$451,$C35,'TL11'!$J$238:$J$451),0),
IF('TL12'!$B$3=Q$3,SUMIF('TL12'!$C$10:$C$224,$C35,'TL12'!$J$10:$J$224),0),
IF('TL12'!$B$229=Q$3,SUMIF('TL12'!$C$238:$C$451,$C35,'TL12'!$J$238:$J$451),0),
IF('TL13'!$B$3=Q$3,SUMIF('TL13'!$C$10:$C$224,$C35,'TL13'!$J$10:$J$224),0),
IF('TL13'!$B$229=Q$3,SUMIF('TL13'!$C$238:$C$451,$C35,'TL13'!$J$238:$J$451),0),
IF('TL14'!$B$3=Q$3,SUMIF('TL14'!$C$10:$C$224,$C35,'TL14'!$J$10:$J$224),0),
IF('TL14'!$B$229=Q$3,SUMIF('TL14'!$C$238:$C$451,$C35,'TL14'!$J$238:$J$451),0),
IF('TL15'!$B$3=Q$3,SUMIF('TL15'!$C$10:$C$224,$C35,'TL15'!$J$10:$J$224),0),
IF('TL15'!$B$229=Q$3,SUMIF('TL15'!$C$238:$C$451,$C35,'TL15'!$J$238:$J$451),0),
IF('TL16'!$B$3=Q$3,SUMIF('TL16'!$C$10:$C$224,$C35,'TL16'!$J$10:$J$224),0),
IF('TL16'!$B$229=Q$3,SUMIF('TL16'!$C$238:$C$451,$C35,'TL16'!$J$238:$J$451),0),
IF('TL17'!$B$3=Q$3,SUMIF('TL17'!$C$10:$C$224,$C35,'TL17'!$J$10:$J$224),0),
IF('TL17'!$B$229=Q$3,SUMIF('TL17'!$C$238:$C$451,$C35,'TL17'!$J$238:$J$451),0),
IF('TL18'!$B$3=Q$3,SUMIF('TL18'!$C$10:$C$224,$C35,'TL18'!$J$10:$J$224),0),
IF('TL18'!$B$229=Q$3,SUMIF('TL18'!$C$238:$C$451,$C35,'TL18'!$J$238:$J$451),0),
IF('TL19'!$B$3=Q$3,SUMIF('TL19'!$C$10:$C$224,$C35,'TL19'!$J$10:$J$224),0),
IF('TL19'!$B$229=Q$3,SUMIF('TL19'!$C$238:$C$451,$C35,'TL19'!$J$238:$J$451),0)
),0)</f>
        <v>160</v>
      </c>
      <c r="R35" s="9">
        <f>IFERROR(
SUM(
SUMIF('TL01'!C:C,C35,'TL01'!J:J),
SUMIF('TL02'!C:C,C35,'TL02'!J:J),
SUMIF('TL03'!C:C,C35,'TL03'!J:J),
SUMIF('TL04'!C:C,C35,'TL04'!J:J),
SUMIF('TL05'!C:C,C35,'TL05'!J:J),
SUMIF('TL06'!C:C,C35,'TL06'!J:J),
SUMIF('TL07'!C:C,C35,'TL07'!J:J),
SUMIF('TL08'!C:C,C35,'TL08'!J:J),
SUMIF('TL09'!C:C,C35,'TL09'!J:J),
SUMIF('TL10'!C:C,C35,'TL10'!J:J),
SUMIF('TL11'!C:C,C35,'TL11'!J:J),
SUMIF('TL12'!C:C,C35,'TL12'!J:J),
SUMIF('TL13'!C:C,C35,'TL13'!J:J),
SUMIF('TL14'!C:C,C35,'TL14'!J:J),
SUMIF('TL15'!C:C,C35,'TL15'!J:J),
SUMIF('TL16'!C:C,C35,'TL16'!J:J),
SUMIF('TL17'!C:C,C35,'TL17'!J:J),
SUMIF('TL18'!C:C,C35,'TL18'!J:J),SUMIF('TL19'!C:C,C35,'TL19'!J:J))
,0)</f>
        <v>1055</v>
      </c>
      <c r="S35" s="17" t="str">
        <f>IFERROR(__xludf.DUMMYFUNCTION("IFERROR(VLOOKUP(C35,
IMPORTRANGE(""1wULbzX32WdYsx-lj2U3uUNBBe2INVIRDtcK0d-Dvl90"",
""26-27!C:G""),
5,
FALSE),
"""")"),"")</f>
        <v/>
      </c>
      <c r="T35" s="9">
        <v>750.0</v>
      </c>
      <c r="U35" s="92">
        <f t="shared" si="2"/>
        <v>305</v>
      </c>
      <c r="V35" s="93">
        <f t="shared" si="3"/>
        <v>0</v>
      </c>
    </row>
    <row r="36" ht="22.5" hidden="1" customHeight="1">
      <c r="A36" s="101"/>
      <c r="B36" s="102" t="s">
        <v>7</v>
      </c>
      <c r="C36" s="103" t="s">
        <v>425</v>
      </c>
      <c r="D36" s="103" t="s">
        <v>426</v>
      </c>
      <c r="E36" s="104"/>
      <c r="F36" s="4" t="s">
        <v>399</v>
      </c>
      <c r="G36" s="9"/>
      <c r="H36" s="9" t="str">
        <f>IFERROR(__xludf.DUMMYFUNCTION("IFERROR(VLOOKUP(C36,
IMPORTRANGE(""1wULbzX32WdYsx-lj2U3uUNBBe2INVIRDtcK0d-Dvl90"",
""26-27!C:K""),
8,
FALSE),
"""")"),"")</f>
        <v/>
      </c>
      <c r="I36" s="105"/>
      <c r="J36" s="9">
        <f>IFERROR(SUM(
IF('TL01'!$B$3=J$3,SUMIF('TL01'!$C$10:$C$224,$C36,'TL01'!$J$10:$J$224),0),
IF('TL01'!$B$229=J$3,SUMIF('TL01'!$C$238:$C$451,$C36,'TL01'!$J$238:$J$451),0),
IF('TL02'!$B$3=J$3,SUMIF('TL02'!$C$10:$C$224,$C36,'TL02'!$J$10:$J$224),0),
IF('TL02'!$B$229=J$3,SUMIF('TL02'!$C$238:$C$451,$C36,'TL02'!$J$238:$J$451),0),
IF('TL03'!$B$3=J$3,SUMIF('TL03'!$C$10:$C$224,$C36,'TL03'!$J$10:$J$224),0),
IF('TL03'!$B$229=J$3,SUMIF('TL03'!$C$238:$C$451,$C36,'TL03'!$J$238:$J$451),0),
IF('TL04'!$B$3=J$3,SUMIF('TL04'!$C$10:$C$224,$C36,'TL04'!$J$10:$J$224),0),
IF('TL04'!$B$229=J$3,SUMIF('TL04'!$C$238:$C$451,$C36,'TL04'!$J$238:$J$451),0),
IF('TL05'!$B$3=J$3,SUMIF('TL05'!$C$10:$C$224,$C36,'TL05'!$J$10:$J$224),0),
IF('TL05'!$B$229=J$3,SUMIF('TL05'!$C$238:$C$451,$C36,'TL05'!$J$238:$J$451),0),
IF('TL06'!$B$3=J$3,SUMIF('TL06'!$C$10:$C$224,$C36,'TL06'!$J$10:$J$224),0),
IF('TL06'!$B$229=J$3,SUMIF('TL06'!$C$238:$C$451,$C36,'TL06'!$J$238:$J$451),0),
IF('TL07'!$B$3=J$3,SUMIF('TL07'!$C$10:$C$224,$C36,'TL07'!$J$10:$J$224),0),
IF('TL07'!$B$229=J$3,SUMIF('TL07'!$C$238:$C$451,$C36,'TL07'!$J$238:$J$451),0),
IF('TL08'!$B$3=J$3,SUMIF('TL08'!$C$10:$C$224,$C36,'TL08'!$J$10:$J$224),0),
IF('TL08'!$B$229=J$3,SUMIF('TL08'!$C$238:$C$451,$C36,'TL08'!$J$238:$J$451),0),
IF('TL09'!$B$3=J$3,SUMIF('TL09'!$C$10:$C$224,$C36,'TL09'!$J$10:$J$224),0),
IF('TL09'!$B$229=J$3,SUMIF('TL09'!$C$238:$C$451,$C36,'TL09'!$J$238:$J$451),0),
IF('TL10'!$B$3=J$3,SUMIF('TL10'!$C$10:$C$224,$C36,'TL10'!$J$10:$J$224),0),
IF('TL10'!$B$229=J$3,SUMIF('TL10'!$C$238:$C$451,$C36,'TL10'!$J$238:$J$451),0),
IF('TL11'!$B$3=J$3,SUMIF('TL11'!$C$10:$C$224,$C36,'TL11'!$J$10:$J$224),0),
IF('TL11'!$B$229=J$3,SUMIF('TL11'!$C$238:$C$451,$C36,'TL11'!$J$238:$J$451),0),
IF('TL12'!$B$3=J$3,SUMIF('TL12'!$C$10:$C$224,$C36,'TL12'!$J$10:$J$224),0),
IF('TL12'!$B$229=J$3,SUMIF('TL12'!$C$238:$C$451,$C36,'TL12'!$J$238:$J$451),0),
IF('TL13'!$B$3=J$3,SUMIF('TL13'!$C$10:$C$224,$C36,'TL13'!$J$10:$J$224),0),
IF('TL13'!$B$229=J$3,SUMIF('TL13'!$C$238:$C$451,$C36,'TL13'!$J$238:$J$451),0),
IF('TL14'!$B$3=J$3,SUMIF('TL14'!$C$10:$C$224,$C36,'TL14'!$J$10:$J$224),0),
IF('TL14'!$B$229=J$3,SUMIF('TL14'!$C$238:$C$451,$C36,'TL14'!$J$238:$J$451),0),
IF('TL15'!$B$3=J$3,SUMIF('TL15'!$C$10:$C$224,$C36,'TL15'!$J$10:$J$224),0),
IF('TL15'!$B$229=J$3,SUMIF('TL15'!$C$238:$C$451,$C36,'TL15'!$J$238:$J$451),0),
IF('TL16'!$B$3=J$3,SUMIF('TL16'!$C$10:$C$224,$C36,'TL16'!$J$10:$J$224),0),
IF('TL16'!$B$229=J$3,SUMIF('TL16'!$C$238:$C$451,$C36,'TL16'!$J$238:$J$451),0),
IF('TL17'!$B$3=J$3,SUMIF('TL17'!$C$10:$C$224,$C36,'TL17'!$J$10:$J$224),0),
IF('TL17'!$B$229=J$3,SUMIF('TL17'!$C$238:$C$451,$C36,'TL17'!$J$238:$J$451),0),
IF('TL18'!$B$3=J$3,SUMIF('TL18'!$C$10:$C$224,$C36,'TL18'!$J$10:$J$224),0),
IF('TL18'!$B$229=J$3,SUMIF('TL18'!$C$238:$C$451,$C36,'TL18'!$J$238:$J$451),0),
IF('TL19'!$B$3=J$3,SUMIF('TL19'!$C$10:$C$224,$C36,'TL19'!$J$10:$J$224),0),
IF('TL19'!$B$229=J$3,SUMIF('TL19'!$C$238:$C$451,$C36,'TL19'!$J$238:$J$451),0)
),0)</f>
        <v>0</v>
      </c>
      <c r="K36" s="9">
        <f>IFERROR(SUM(
IF('TL01'!$B$3=K$3,SUMIF('TL01'!$C$10:$C$224,$C36,'TL01'!$J$10:$J$224),0),
IF('TL01'!$B$229=K$3,SUMIF('TL01'!$C$238:$C$451,$C36,'TL01'!$J$238:$J$451),0),
IF('TL02'!$B$3=K$3,SUMIF('TL02'!$C$10:$C$224,$C36,'TL02'!$J$10:$J$224),0),
IF('TL02'!$B$229=K$3,SUMIF('TL02'!$C$238:$C$451,$C36,'TL02'!$J$238:$J$451),0),
IF('TL03'!$B$3=K$3,SUMIF('TL03'!$C$10:$C$224,$C36,'TL03'!$J$10:$J$224),0),
IF('TL03'!$B$229=K$3,SUMIF('TL03'!$C$238:$C$451,$C36,'TL03'!$J$238:$J$451),0),
IF('TL04'!$B$3=K$3,SUMIF('TL04'!$C$10:$C$224,$C36,'TL04'!$J$10:$J$224),0),
IF('TL04'!$B$229=K$3,SUMIF('TL04'!$C$238:$C$451,$C36,'TL04'!$J$238:$J$451),0),
IF('TL05'!$B$3=K$3,SUMIF('TL05'!$C$10:$C$224,$C36,'TL05'!$J$10:$J$224),0),
IF('TL05'!$B$229=K$3,SUMIF('TL05'!$C$238:$C$451,$C36,'TL05'!$J$238:$J$451),0),
IF('TL06'!$B$3=K$3,SUMIF('TL06'!$C$10:$C$224,$C36,'TL06'!$J$10:$J$224),0),
IF('TL06'!$B$229=K$3,SUMIF('TL06'!$C$238:$C$451,$C36,'TL06'!$J$238:$J$451),0),
IF('TL07'!$B$3=K$3,SUMIF('TL07'!$C$10:$C$224,$C36,'TL07'!$J$10:$J$224),0),
IF('TL07'!$B$229=K$3,SUMIF('TL07'!$C$238:$C$451,$C36,'TL07'!$J$238:$J$451),0),
IF('TL08'!$B$3=K$3,SUMIF('TL08'!$C$10:$C$224,$C36,'TL08'!$J$10:$J$224),0),
IF('TL08'!$B$229=K$3,SUMIF('TL08'!$C$238:$C$451,$C36,'TL08'!$J$238:$J$451),0),
IF('TL09'!$B$3=K$3,SUMIF('TL09'!$C$10:$C$224,$C36,'TL09'!$J$10:$J$224),0),
IF('TL09'!$B$229=K$3,SUMIF('TL09'!$C$238:$C$451,$C36,'TL09'!$J$238:$J$451),0),
IF('TL10'!$B$3=K$3,SUMIF('TL10'!$C$10:$C$224,$C36,'TL10'!$J$10:$J$224),0),
IF('TL10'!$B$229=K$3,SUMIF('TL10'!$C$238:$C$451,$C36,'TL10'!$J$238:$J$451),0),
IF('TL11'!$B$3=K$3,SUMIF('TL11'!$C$10:$C$224,$C36,'TL11'!$J$10:$J$224),0),
IF('TL11'!$B$229=K$3,SUMIF('TL11'!$C$238:$C$451,$C36,'TL11'!$J$238:$J$451),0),
IF('TL12'!$B$3=K$3,SUMIF('TL12'!$C$10:$C$224,$C36,'TL12'!$J$10:$J$224),0),
IF('TL12'!$B$229=K$3,SUMIF('TL12'!$C$238:$C$451,$C36,'TL12'!$J$238:$J$451),0),
IF('TL13'!$B$3=K$3,SUMIF('TL13'!$C$10:$C$224,$C36,'TL13'!$J$10:$J$224),0),
IF('TL13'!$B$229=K$3,SUMIF('TL13'!$C$238:$C$451,$C36,'TL13'!$J$238:$J$451),0),
IF('TL14'!$B$3=K$3,SUMIF('TL14'!$C$10:$C$224,$C36,'TL14'!$J$10:$J$224),0),
IF('TL14'!$B$229=K$3,SUMIF('TL14'!$C$238:$C$451,$C36,'TL14'!$J$238:$J$451),0),
IF('TL15'!$B$3=K$3,SUMIF('TL15'!$C$10:$C$224,$C36,'TL15'!$J$10:$J$224),0),
IF('TL15'!$B$229=K$3,SUMIF('TL15'!$C$238:$C$451,$C36,'TL15'!$J$238:$J$451),0),
IF('TL16'!$B$3=K$3,SUMIF('TL16'!$C$10:$C$224,$C36,'TL16'!$J$10:$J$224),0),
IF('TL16'!$B$229=K$3,SUMIF('TL16'!$C$238:$C$451,$C36,'TL16'!$J$238:$J$451),0),
IF('TL17'!$B$3=K$3,SUMIF('TL17'!$C$10:$C$224,$C36,'TL17'!$J$10:$J$224),0),
IF('TL17'!$B$229=K$3,SUMIF('TL17'!$C$238:$C$451,$C36,'TL17'!$J$238:$J$451),0),
IF('TL18'!$B$3=K$3,SUMIF('TL18'!$C$10:$C$224,$C36,'TL18'!$J$10:$J$224),0),
IF('TL18'!$B$229=K$3,SUMIF('TL18'!$C$238:$C$451,$C36,'TL18'!$J$238:$J$451),0),
IF('TL19'!$B$3=K$3,SUMIF('TL19'!$C$10:$C$224,$C36,'TL19'!$J$10:$J$224),0),
IF('TL19'!$B$229=K$3,SUMIF('TL19'!$C$238:$C$451,$C36,'TL19'!$J$238:$J$451),0)
),0)</f>
        <v>0</v>
      </c>
      <c r="L36" s="9">
        <f>IFERROR(SUM(
IF('TL01'!$B$3=L$3,SUMIF('TL01'!$C$10:$C$224,$C36,'TL01'!$J$10:$J$224),0),
IF('TL01'!$B$229=L$3,SUMIF('TL01'!$C$238:$C$451,$C36,'TL01'!$J$238:$J$451),0),
IF('TL02'!$B$3=L$3,SUMIF('TL02'!$C$10:$C$224,$C36,'TL02'!$J$10:$J$224),0),
IF('TL02'!$B$229=L$3,SUMIF('TL02'!$C$238:$C$451,$C36,'TL02'!$J$238:$J$451),0),
IF('TL03'!$B$3=L$3,SUMIF('TL03'!$C$10:$C$224,$C36,'TL03'!$J$10:$J$224),0),
IF('TL03'!$B$229=L$3,SUMIF('TL03'!$C$238:$C$451,$C36,'TL03'!$J$238:$J$451),0),
IF('TL04'!$B$3=L$3,SUMIF('TL04'!$C$10:$C$224,$C36,'TL04'!$J$10:$J$224),0),
IF('TL04'!$B$229=L$3,SUMIF('TL04'!$C$238:$C$451,$C36,'TL04'!$J$238:$J$451),0),
IF('TL05'!$B$3=L$3,SUMIF('TL05'!$C$10:$C$224,$C36,'TL05'!$J$10:$J$224),0),
IF('TL05'!$B$229=L$3,SUMIF('TL05'!$C$238:$C$451,$C36,'TL05'!$J$238:$J$451),0),
IF('TL06'!$B$3=L$3,SUMIF('TL06'!$C$10:$C$224,$C36,'TL06'!$J$10:$J$224),0),
IF('TL06'!$B$229=L$3,SUMIF('TL06'!$C$238:$C$451,$C36,'TL06'!$J$238:$J$451),0),
IF('TL07'!$B$3=L$3,SUMIF('TL07'!$C$10:$C$224,$C36,'TL07'!$J$10:$J$224),0),
IF('TL07'!$B$229=L$3,SUMIF('TL07'!$C$238:$C$451,$C36,'TL07'!$J$238:$J$451),0),
IF('TL08'!$B$3=L$3,SUMIF('TL08'!$C$10:$C$224,$C36,'TL08'!$J$10:$J$224),0),
IF('TL08'!$B$229=L$3,SUMIF('TL08'!$C$238:$C$451,$C36,'TL08'!$J$238:$J$451),0),
IF('TL09'!$B$3=L$3,SUMIF('TL09'!$C$10:$C$224,$C36,'TL09'!$J$10:$J$224),0),
IF('TL09'!$B$229=L$3,SUMIF('TL09'!$C$238:$C$451,$C36,'TL09'!$J$238:$J$451),0),
IF('TL10'!$B$3=L$3,SUMIF('TL10'!$C$10:$C$224,$C36,'TL10'!$J$10:$J$224),0),
IF('TL10'!$B$229=L$3,SUMIF('TL10'!$C$238:$C$451,$C36,'TL10'!$J$238:$J$451),0),
IF('TL11'!$B$3=L$3,SUMIF('TL11'!$C$10:$C$224,$C36,'TL11'!$J$10:$J$224),0),
IF('TL11'!$B$229=L$3,SUMIF('TL11'!$C$238:$C$451,$C36,'TL11'!$J$238:$J$451),0),
IF('TL12'!$B$3=L$3,SUMIF('TL12'!$C$10:$C$224,$C36,'TL12'!$J$10:$J$224),0),
IF('TL12'!$B$229=L$3,SUMIF('TL12'!$C$238:$C$451,$C36,'TL12'!$J$238:$J$451),0),
IF('TL13'!$B$3=L$3,SUMIF('TL13'!$C$10:$C$224,$C36,'TL13'!$J$10:$J$224),0),
IF('TL13'!$B$229=L$3,SUMIF('TL13'!$C$238:$C$451,$C36,'TL13'!$J$238:$J$451),0),
IF('TL14'!$B$3=L$3,SUMIF('TL14'!$C$10:$C$224,$C36,'TL14'!$J$10:$J$224),0),
IF('TL14'!$B$229=L$3,SUMIF('TL14'!$C$238:$C$451,$C36,'TL14'!$J$238:$J$451),0),
IF('TL15'!$B$3=L$3,SUMIF('TL15'!$C$10:$C$224,$C36,'TL15'!$J$10:$J$224),0),
IF('TL15'!$B$229=L$3,SUMIF('TL15'!$C$238:$C$451,$C36,'TL15'!$J$238:$J$451),0),
IF('TL16'!$B$3=L$3,SUMIF('TL16'!$C$10:$C$224,$C36,'TL16'!$J$10:$J$224),0),
IF('TL16'!$B$229=L$3,SUMIF('TL16'!$C$238:$C$451,$C36,'TL16'!$J$238:$J$451),0),
IF('TL17'!$B$3=L$3,SUMIF('TL17'!$C$10:$C$224,$C36,'TL17'!$J$10:$J$224),0),
IF('TL17'!$B$229=L$3,SUMIF('TL17'!$C$238:$C$451,$C36,'TL17'!$J$238:$J$451),0),
IF('TL18'!$B$3=L$3,SUMIF('TL18'!$C$10:$C$224,$C36,'TL18'!$J$10:$J$224),0),
IF('TL18'!$B$229=L$3,SUMIF('TL18'!$C$238:$C$451,$C36,'TL18'!$J$238:$J$451),0),
IF('TL19'!$B$3=L$3,SUMIF('TL19'!$C$10:$C$224,$C36,'TL19'!$J$10:$J$224),0),
IF('TL19'!$B$229=L$3,SUMIF('TL19'!$C$238:$C$451,$C36,'TL19'!$J$238:$J$451),0)
),0)</f>
        <v>0</v>
      </c>
      <c r="M36" s="9">
        <f>IFERROR(SUM(
IF('TL01'!$B$3=M$3,SUMIF('TL01'!$C$10:$C$224,$C36,'TL01'!$J$10:$J$224),0),
IF('TL01'!$B$229=M$3,SUMIF('TL01'!$C$238:$C$451,$C36,'TL01'!$J$238:$J$451),0),
IF('TL02'!$B$3=M$3,SUMIF('TL02'!$C$10:$C$224,$C36,'TL02'!$J$10:$J$224),0),
IF('TL02'!$B$229=M$3,SUMIF('TL02'!$C$238:$C$451,$C36,'TL02'!$J$238:$J$451),0),
IF('TL03'!$B$3=M$3,SUMIF('TL03'!$C$10:$C$224,$C36,'TL03'!$J$10:$J$224),0),
IF('TL03'!$B$229=M$3,SUMIF('TL03'!$C$238:$C$451,$C36,'TL03'!$J$238:$J$451),0),
IF('TL04'!$B$3=M$3,SUMIF('TL04'!$C$10:$C$224,$C36,'TL04'!$J$10:$J$224),0),
IF('TL04'!$B$229=M$3,SUMIF('TL04'!$C$238:$C$451,$C36,'TL04'!$J$238:$J$451),0),
IF('TL05'!$B$3=M$3,SUMIF('TL05'!$C$10:$C$224,$C36,'TL05'!$J$10:$J$224),0),
IF('TL05'!$B$229=M$3,SUMIF('TL05'!$C$238:$C$451,$C36,'TL05'!$J$238:$J$451),0),
IF('TL06'!$B$3=M$3,SUMIF('TL06'!$C$10:$C$224,$C36,'TL06'!$J$10:$J$224),0),
IF('TL06'!$B$229=M$3,SUMIF('TL06'!$C$238:$C$451,$C36,'TL06'!$J$238:$J$451),0),
IF('TL07'!$B$3=M$3,SUMIF('TL07'!$C$10:$C$224,$C36,'TL07'!$J$10:$J$224),0),
IF('TL07'!$B$229=M$3,SUMIF('TL07'!$C$238:$C$451,$C36,'TL07'!$J$238:$J$451),0),
IF('TL08'!$B$3=M$3,SUMIF('TL08'!$C$10:$C$224,$C36,'TL08'!$J$10:$J$224),0),
IF('TL08'!$B$229=M$3,SUMIF('TL08'!$C$238:$C$451,$C36,'TL08'!$J$238:$J$451),0),
IF('TL09'!$B$3=M$3,SUMIF('TL09'!$C$10:$C$224,$C36,'TL09'!$J$10:$J$224),0),
IF('TL09'!$B$229=M$3,SUMIF('TL09'!$C$238:$C$451,$C36,'TL09'!$J$238:$J$451),0),
IF('TL10'!$B$3=M$3,SUMIF('TL10'!$C$10:$C$224,$C36,'TL10'!$J$10:$J$224),0),
IF('TL10'!$B$229=M$3,SUMIF('TL10'!$C$238:$C$451,$C36,'TL10'!$J$238:$J$451),0),
IF('TL11'!$B$3=M$3,SUMIF('TL11'!$C$10:$C$224,$C36,'TL11'!$J$10:$J$224),0),
IF('TL11'!$B$229=M$3,SUMIF('TL11'!$C$238:$C$451,$C36,'TL11'!$J$238:$J$451),0),
IF('TL12'!$B$3=M$3,SUMIF('TL12'!$C$10:$C$224,$C36,'TL12'!$J$10:$J$224),0),
IF('TL12'!$B$229=M$3,SUMIF('TL12'!$C$238:$C$451,$C36,'TL12'!$J$238:$J$451),0),
IF('TL13'!$B$3=M$3,SUMIF('TL13'!$C$10:$C$224,$C36,'TL13'!$J$10:$J$224),0),
IF('TL13'!$B$229=M$3,SUMIF('TL13'!$C$238:$C$451,$C36,'TL13'!$J$238:$J$451),0),
IF('TL14'!$B$3=M$3,SUMIF('TL14'!$C$10:$C$224,$C36,'TL14'!$J$10:$J$224),0),
IF('TL14'!$B$229=M$3,SUMIF('TL14'!$C$238:$C$451,$C36,'TL14'!$J$238:$J$451),0),
IF('TL15'!$B$3=M$3,SUMIF('TL15'!$C$10:$C$224,$C36,'TL15'!$J$10:$J$224),0),
IF('TL15'!$B$229=M$3,SUMIF('TL15'!$C$238:$C$451,$C36,'TL15'!$J$238:$J$451),0),
IF('TL16'!$B$3=M$3,SUMIF('TL16'!$C$10:$C$224,$C36,'TL16'!$J$10:$J$224),0),
IF('TL16'!$B$229=M$3,SUMIF('TL16'!$C$238:$C$451,$C36,'TL16'!$J$238:$J$451),0),
IF('TL17'!$B$3=M$3,SUMIF('TL17'!$C$10:$C$224,$C36,'TL17'!$J$10:$J$224),0),
IF('TL17'!$B$229=M$3,SUMIF('TL17'!$C$238:$C$451,$C36,'TL17'!$J$238:$J$451),0),
IF('TL18'!$B$3=M$3,SUMIF('TL18'!$C$10:$C$224,$C36,'TL18'!$J$10:$J$224),0),
IF('TL18'!$B$229=M$3,SUMIF('TL18'!$C$238:$C$451,$C36,'TL18'!$J$238:$J$451),0),
IF('TL19'!$B$3=M$3,SUMIF('TL19'!$C$10:$C$224,$C36,'TL19'!$J$10:$J$224),0),
IF('TL19'!$B$229=M$3,SUMIF('TL19'!$C$238:$C$451,$C36,'TL19'!$J$238:$J$451),0)
),0)</f>
        <v>0</v>
      </c>
      <c r="N36" s="9">
        <f>IFERROR(SUM(
IF('TL01'!$B$3=N$3,SUMIF('TL01'!$C$10:$C$224,$C36,'TL01'!$J$10:$J$224),0),
IF('TL01'!$B$229=N$3,SUMIF('TL01'!$C$238:$C$451,$C36,'TL01'!$J$238:$J$451),0),
IF('TL02'!$B$3=N$3,SUMIF('TL02'!$C$10:$C$224,$C36,'TL02'!$J$10:$J$224),0),
IF('TL02'!$B$229=N$3,SUMIF('TL02'!$C$238:$C$451,$C36,'TL02'!$J$238:$J$451),0),
IF('TL03'!$B$3=N$3,SUMIF('TL03'!$C$10:$C$224,$C36,'TL03'!$J$10:$J$224),0),
IF('TL03'!$B$229=N$3,SUMIF('TL03'!$C$238:$C$451,$C36,'TL03'!$J$238:$J$451),0),
IF('TL04'!$B$3=N$3,SUMIF('TL04'!$C$10:$C$224,$C36,'TL04'!$J$10:$J$224),0),
IF('TL04'!$B$229=N$3,SUMIF('TL04'!$C$238:$C$451,$C36,'TL04'!$J$238:$J$451),0),
IF('TL05'!$B$3=N$3,SUMIF('TL05'!$C$10:$C$224,$C36,'TL05'!$J$10:$J$224),0),
IF('TL05'!$B$229=N$3,SUMIF('TL05'!$C$238:$C$451,$C36,'TL05'!$J$238:$J$451),0),
IF('TL06'!$B$3=N$3,SUMIF('TL06'!$C$10:$C$224,$C36,'TL06'!$J$10:$J$224),0),
IF('TL06'!$B$229=N$3,SUMIF('TL06'!$C$238:$C$451,$C36,'TL06'!$J$238:$J$451),0),
IF('TL07'!$B$3=N$3,SUMIF('TL07'!$C$10:$C$224,$C36,'TL07'!$J$10:$J$224),0),
IF('TL07'!$B$229=N$3,SUMIF('TL07'!$C$238:$C$451,$C36,'TL07'!$J$238:$J$451),0),
IF('TL08'!$B$3=N$3,SUMIF('TL08'!$C$10:$C$224,$C36,'TL08'!$J$10:$J$224),0),
IF('TL08'!$B$229=N$3,SUMIF('TL08'!$C$238:$C$451,$C36,'TL08'!$J$238:$J$451),0),
IF('TL09'!$B$3=N$3,SUMIF('TL09'!$C$10:$C$224,$C36,'TL09'!$J$10:$J$224),0),
IF('TL09'!$B$229=N$3,SUMIF('TL09'!$C$238:$C$451,$C36,'TL09'!$J$238:$J$451),0),
IF('TL10'!$B$3=N$3,SUMIF('TL10'!$C$10:$C$224,$C36,'TL10'!$J$10:$J$224),0),
IF('TL10'!$B$229=N$3,SUMIF('TL10'!$C$238:$C$451,$C36,'TL10'!$J$238:$J$451),0),
IF('TL11'!$B$3=N$3,SUMIF('TL11'!$C$10:$C$224,$C36,'TL11'!$J$10:$J$224),0),
IF('TL11'!$B$229=N$3,SUMIF('TL11'!$C$238:$C$451,$C36,'TL11'!$J$238:$J$451),0),
IF('TL12'!$B$3=N$3,SUMIF('TL12'!$C$10:$C$224,$C36,'TL12'!$J$10:$J$224),0),
IF('TL12'!$B$229=N$3,SUMIF('TL12'!$C$238:$C$451,$C36,'TL12'!$J$238:$J$451),0),
IF('TL13'!$B$3=N$3,SUMIF('TL13'!$C$10:$C$224,$C36,'TL13'!$J$10:$J$224),0),
IF('TL13'!$B$229=N$3,SUMIF('TL13'!$C$238:$C$451,$C36,'TL13'!$J$238:$J$451),0),
IF('TL14'!$B$3=N$3,SUMIF('TL14'!$C$10:$C$224,$C36,'TL14'!$J$10:$J$224),0),
IF('TL14'!$B$229=N$3,SUMIF('TL14'!$C$238:$C$451,$C36,'TL14'!$J$238:$J$451),0),
IF('TL15'!$B$3=N$3,SUMIF('TL15'!$C$10:$C$224,$C36,'TL15'!$J$10:$J$224),0),
IF('TL15'!$B$229=N$3,SUMIF('TL15'!$C$238:$C$451,$C36,'TL15'!$J$238:$J$451),0),
IF('TL16'!$B$3=N$3,SUMIF('TL16'!$C$10:$C$224,$C36,'TL16'!$J$10:$J$224),0),
IF('TL16'!$B$229=N$3,SUMIF('TL16'!$C$238:$C$451,$C36,'TL16'!$J$238:$J$451),0),
IF('TL17'!$B$3=N$3,SUMIF('TL17'!$C$10:$C$224,$C36,'TL17'!$J$10:$J$224),0),
IF('TL17'!$B$229=N$3,SUMIF('TL17'!$C$238:$C$451,$C36,'TL17'!$J$238:$J$451),0),
IF('TL18'!$B$3=N$3,SUMIF('TL18'!$C$10:$C$224,$C36,'TL18'!$J$10:$J$224),0),
IF('TL18'!$B$229=N$3,SUMIF('TL18'!$C$238:$C$451,$C36,'TL18'!$J$238:$J$451),0),
IF('TL19'!$B$3=N$3,SUMIF('TL19'!$C$10:$C$224,$C36,'TL19'!$J$10:$J$224),0),
IF('TL19'!$B$229=N$3,SUMIF('TL19'!$C$238:$C$451,$C36,'TL19'!$J$238:$J$451),0)
),0)</f>
        <v>0</v>
      </c>
      <c r="O36" s="9">
        <f>IFERROR(SUM(
IF('TL01'!$B$3=O$3,SUMIF('TL01'!$C$10:$C$224,$C36,'TL01'!$J$10:$J$224),0),
IF('TL01'!$B$229=O$3,SUMIF('TL01'!$C$238:$C$451,$C36,'TL01'!$J$238:$J$451),0),
IF('TL02'!$B$3=O$3,SUMIF('TL02'!$C$10:$C$224,$C36,'TL02'!$J$10:$J$224),0),
IF('TL02'!$B$229=O$3,SUMIF('TL02'!$C$238:$C$451,$C36,'TL02'!$J$238:$J$451),0),
IF('TL03'!$B$3=O$3,SUMIF('TL03'!$C$10:$C$224,$C36,'TL03'!$J$10:$J$224),0),
IF('TL03'!$B$229=O$3,SUMIF('TL03'!$C$238:$C$451,$C36,'TL03'!$J$238:$J$451),0),
IF('TL04'!$B$3=O$3,SUMIF('TL04'!$C$10:$C$224,$C36,'TL04'!$J$10:$J$224),0),
IF('TL04'!$B$229=O$3,SUMIF('TL04'!$C$238:$C$451,$C36,'TL04'!$J$238:$J$451),0),
IF('TL05'!$B$3=O$3,SUMIF('TL05'!$C$10:$C$224,$C36,'TL05'!$J$10:$J$224),0),
IF('TL05'!$B$229=O$3,SUMIF('TL05'!$C$238:$C$451,$C36,'TL05'!$J$238:$J$451),0),
IF('TL06'!$B$3=O$3,SUMIF('TL06'!$C$10:$C$224,$C36,'TL06'!$J$10:$J$224),0),
IF('TL06'!$B$229=O$3,SUMIF('TL06'!$C$238:$C$451,$C36,'TL06'!$J$238:$J$451),0),
IF('TL07'!$B$3=O$3,SUMIF('TL07'!$C$10:$C$224,$C36,'TL07'!$J$10:$J$224),0),
IF('TL07'!$B$229=O$3,SUMIF('TL07'!$C$238:$C$451,$C36,'TL07'!$J$238:$J$451),0),
IF('TL08'!$B$3=O$3,SUMIF('TL08'!$C$10:$C$224,$C36,'TL08'!$J$10:$J$224),0),
IF('TL08'!$B$229=O$3,SUMIF('TL08'!$C$238:$C$451,$C36,'TL08'!$J$238:$J$451),0),
IF('TL09'!$B$3=O$3,SUMIF('TL09'!$C$10:$C$224,$C36,'TL09'!$J$10:$J$224),0),
IF('TL09'!$B$229=O$3,SUMIF('TL09'!$C$238:$C$451,$C36,'TL09'!$J$238:$J$451),0),
IF('TL10'!$B$3=O$3,SUMIF('TL10'!$C$10:$C$224,$C36,'TL10'!$J$10:$J$224),0),
IF('TL10'!$B$229=O$3,SUMIF('TL10'!$C$238:$C$451,$C36,'TL10'!$J$238:$J$451),0),
IF('TL11'!$B$3=O$3,SUMIF('TL11'!$C$10:$C$224,$C36,'TL11'!$J$10:$J$224),0),
IF('TL11'!$B$229=O$3,SUMIF('TL11'!$C$238:$C$451,$C36,'TL11'!$J$238:$J$451),0),
IF('TL12'!$B$3=O$3,SUMIF('TL12'!$C$10:$C$224,$C36,'TL12'!$J$10:$J$224),0),
IF('TL12'!$B$229=O$3,SUMIF('TL12'!$C$238:$C$451,$C36,'TL12'!$J$238:$J$451),0),
IF('TL13'!$B$3=O$3,SUMIF('TL13'!$C$10:$C$224,$C36,'TL13'!$J$10:$J$224),0),
IF('TL13'!$B$229=O$3,SUMIF('TL13'!$C$238:$C$451,$C36,'TL13'!$J$238:$J$451),0),
IF('TL14'!$B$3=O$3,SUMIF('TL14'!$C$10:$C$224,$C36,'TL14'!$J$10:$J$224),0),
IF('TL14'!$B$229=O$3,SUMIF('TL14'!$C$238:$C$451,$C36,'TL14'!$J$238:$J$451),0),
IF('TL15'!$B$3=O$3,SUMIF('TL15'!$C$10:$C$224,$C36,'TL15'!$J$10:$J$224),0),
IF('TL15'!$B$229=O$3,SUMIF('TL15'!$C$238:$C$451,$C36,'TL15'!$J$238:$J$451),0),
IF('TL16'!$B$3=O$3,SUMIF('TL16'!$C$10:$C$224,$C36,'TL16'!$J$10:$J$224),0),
IF('TL16'!$B$229=O$3,SUMIF('TL16'!$C$238:$C$451,$C36,'TL16'!$J$238:$J$451),0),
IF('TL17'!$B$3=O$3,SUMIF('TL17'!$C$10:$C$224,$C36,'TL17'!$J$10:$J$224),0),
IF('TL17'!$B$229=O$3,SUMIF('TL17'!$C$238:$C$451,$C36,'TL17'!$J$238:$J$451),0),
IF('TL18'!$B$3=O$3,SUMIF('TL18'!$C$10:$C$224,$C36,'TL18'!$J$10:$J$224),0),
IF('TL18'!$B$229=O$3,SUMIF('TL18'!$C$238:$C$451,$C36,'TL18'!$J$238:$J$451),0),
IF('TL19'!$B$3=O$3,SUMIF('TL19'!$C$10:$C$224,$C36,'TL19'!$J$10:$J$224),0),
IF('TL19'!$B$229=O$3,SUMIF('TL19'!$C$238:$C$451,$C36,'TL19'!$J$238:$J$451),0)
),0)</f>
        <v>33</v>
      </c>
      <c r="P36" s="9">
        <f>IFERROR(SUM(
IF('TL01'!$B$3=P$3,SUMIF('TL01'!$C$10:$C$224,$C36,'TL01'!$J$10:$J$224),0),
IF('TL01'!$B$229=P$3,SUMIF('TL01'!$C$238:$C$451,$C36,'TL01'!$J$238:$J$451),0),
IF('TL02'!$B$3=P$3,SUMIF('TL02'!$C$10:$C$224,$C36,'TL02'!$J$10:$J$224),0),
IF('TL02'!$B$229=P$3,SUMIF('TL02'!$C$238:$C$451,$C36,'TL02'!$J$238:$J$451),0),
IF('TL03'!$B$3=P$3,SUMIF('TL03'!$C$10:$C$224,$C36,'TL03'!$J$10:$J$224),0),
IF('TL03'!$B$229=P$3,SUMIF('TL03'!$C$238:$C$451,$C36,'TL03'!$J$238:$J$451),0),
IF('TL04'!$B$3=P$3,SUMIF('TL04'!$C$10:$C$224,$C36,'TL04'!$J$10:$J$224),0),
IF('TL04'!$B$229=P$3,SUMIF('TL04'!$C$238:$C$451,$C36,'TL04'!$J$238:$J$451),0),
IF('TL05'!$B$3=P$3,SUMIF('TL05'!$C$10:$C$224,$C36,'TL05'!$J$10:$J$224),0),
IF('TL05'!$B$229=P$3,SUMIF('TL05'!$C$238:$C$451,$C36,'TL05'!$J$238:$J$451),0),
IF('TL06'!$B$3=P$3,SUMIF('TL06'!$C$10:$C$224,$C36,'TL06'!$J$10:$J$224),0),
IF('TL06'!$B$229=P$3,SUMIF('TL06'!$C$238:$C$451,$C36,'TL06'!$J$238:$J$451),0),
IF('TL07'!$B$3=P$3,SUMIF('TL07'!$C$10:$C$224,$C36,'TL07'!$J$10:$J$224),0),
IF('TL07'!$B$229=P$3,SUMIF('TL07'!$C$238:$C$451,$C36,'TL07'!$J$238:$J$451),0),
IF('TL08'!$B$3=P$3,SUMIF('TL08'!$C$10:$C$224,$C36,'TL08'!$J$10:$J$224),0),
IF('TL08'!$B$229=P$3,SUMIF('TL08'!$C$238:$C$451,$C36,'TL08'!$J$238:$J$451),0),
IF('TL09'!$B$3=P$3,SUMIF('TL09'!$C$10:$C$224,$C36,'TL09'!$J$10:$J$224),0),
IF('TL09'!$B$229=P$3,SUMIF('TL09'!$C$238:$C$451,$C36,'TL09'!$J$238:$J$451),0),
IF('TL10'!$B$3=P$3,SUMIF('TL10'!$C$10:$C$224,$C36,'TL10'!$J$10:$J$224),0),
IF('TL10'!$B$229=P$3,SUMIF('TL10'!$C$238:$C$451,$C36,'TL10'!$J$238:$J$451),0),
IF('TL11'!$B$3=P$3,SUMIF('TL11'!$C$10:$C$224,$C36,'TL11'!$J$10:$J$224),0),
IF('TL11'!$B$229=P$3,SUMIF('TL11'!$C$238:$C$451,$C36,'TL11'!$J$238:$J$451),0),
IF('TL12'!$B$3=P$3,SUMIF('TL12'!$C$10:$C$224,$C36,'TL12'!$J$10:$J$224),0),
IF('TL12'!$B$229=P$3,SUMIF('TL12'!$C$238:$C$451,$C36,'TL12'!$J$238:$J$451),0),
IF('TL13'!$B$3=P$3,SUMIF('TL13'!$C$10:$C$224,$C36,'TL13'!$J$10:$J$224),0),
IF('TL13'!$B$229=P$3,SUMIF('TL13'!$C$238:$C$451,$C36,'TL13'!$J$238:$J$451),0),
IF('TL14'!$B$3=P$3,SUMIF('TL14'!$C$10:$C$224,$C36,'TL14'!$J$10:$J$224),0),
IF('TL14'!$B$229=P$3,SUMIF('TL14'!$C$238:$C$451,$C36,'TL14'!$J$238:$J$451),0),
IF('TL15'!$B$3=P$3,SUMIF('TL15'!$C$10:$C$224,$C36,'TL15'!$J$10:$J$224),0),
IF('TL15'!$B$229=P$3,SUMIF('TL15'!$C$238:$C$451,$C36,'TL15'!$J$238:$J$451),0),
IF('TL16'!$B$3=P$3,SUMIF('TL16'!$C$10:$C$224,$C36,'TL16'!$J$10:$J$224),0),
IF('TL16'!$B$229=P$3,SUMIF('TL16'!$C$238:$C$451,$C36,'TL16'!$J$238:$J$451),0),
IF('TL17'!$B$3=P$3,SUMIF('TL17'!$C$10:$C$224,$C36,'TL17'!$J$10:$J$224),0),
IF('TL17'!$B$229=P$3,SUMIF('TL17'!$C$238:$C$451,$C36,'TL17'!$J$238:$J$451),0),
IF('TL18'!$B$3=P$3,SUMIF('TL18'!$C$10:$C$224,$C36,'TL18'!$J$10:$J$224),0),
IF('TL18'!$B$229=P$3,SUMIF('TL18'!$C$238:$C$451,$C36,'TL18'!$J$238:$J$451),0),
IF('TL19'!$B$3=P$3,SUMIF('TL19'!$C$10:$C$224,$C36,'TL19'!$J$10:$J$224),0),
IF('TL19'!$B$229=P$3,SUMIF('TL19'!$C$238:$C$451,$C36,'TL19'!$J$238:$J$451),0)
),0)</f>
        <v>0</v>
      </c>
      <c r="Q36" s="9">
        <f>IFERROR(SUM(
IF('TL01'!$B$3=Q$3,SUMIF('TL01'!$C$10:$C$224,$C36,'TL01'!$J$10:$J$224),0),
IF('TL01'!$B$229=Q$3,SUMIF('TL01'!$C$238:$C$451,$C36,'TL01'!$J$238:$J$451),0),
IF('TL02'!$B$3=Q$3,SUMIF('TL02'!$C$10:$C$224,$C36,'TL02'!$J$10:$J$224),0),
IF('TL02'!$B$229=Q$3,SUMIF('TL02'!$C$238:$C$451,$C36,'TL02'!$J$238:$J$451),0),
IF('TL03'!$B$3=Q$3,SUMIF('TL03'!$C$10:$C$224,$C36,'TL03'!$J$10:$J$224),0),
IF('TL03'!$B$229=Q$3,SUMIF('TL03'!$C$238:$C$451,$C36,'TL03'!$J$238:$J$451),0),
IF('TL04'!$B$3=Q$3,SUMIF('TL04'!$C$10:$C$224,$C36,'TL04'!$J$10:$J$224),0),
IF('TL04'!$B$229=Q$3,SUMIF('TL04'!$C$238:$C$451,$C36,'TL04'!$J$238:$J$451),0),
IF('TL05'!$B$3=Q$3,SUMIF('TL05'!$C$10:$C$224,$C36,'TL05'!$J$10:$J$224),0),
IF('TL05'!$B$229=Q$3,SUMIF('TL05'!$C$238:$C$451,$C36,'TL05'!$J$238:$J$451),0),
IF('TL06'!$B$3=Q$3,SUMIF('TL06'!$C$10:$C$224,$C36,'TL06'!$J$10:$J$224),0),
IF('TL06'!$B$229=Q$3,SUMIF('TL06'!$C$238:$C$451,$C36,'TL06'!$J$238:$J$451),0),
IF('TL07'!$B$3=Q$3,SUMIF('TL07'!$C$10:$C$224,$C36,'TL07'!$J$10:$J$224),0),
IF('TL07'!$B$229=Q$3,SUMIF('TL07'!$C$238:$C$451,$C36,'TL07'!$J$238:$J$451),0),
IF('TL08'!$B$3=Q$3,SUMIF('TL08'!$C$10:$C$224,$C36,'TL08'!$J$10:$J$224),0),
IF('TL08'!$B$229=Q$3,SUMIF('TL08'!$C$238:$C$451,$C36,'TL08'!$J$238:$J$451),0),
IF('TL09'!$B$3=Q$3,SUMIF('TL09'!$C$10:$C$224,$C36,'TL09'!$J$10:$J$224),0),
IF('TL09'!$B$229=Q$3,SUMIF('TL09'!$C$238:$C$451,$C36,'TL09'!$J$238:$J$451),0),
IF('TL10'!$B$3=Q$3,SUMIF('TL10'!$C$10:$C$224,$C36,'TL10'!$J$10:$J$224),0),
IF('TL10'!$B$229=Q$3,SUMIF('TL10'!$C$238:$C$451,$C36,'TL10'!$J$238:$J$451),0),
IF('TL11'!$B$3=Q$3,SUMIF('TL11'!$C$10:$C$224,$C36,'TL11'!$J$10:$J$224),0),
IF('TL11'!$B$229=Q$3,SUMIF('TL11'!$C$238:$C$451,$C36,'TL11'!$J$238:$J$451),0),
IF('TL12'!$B$3=Q$3,SUMIF('TL12'!$C$10:$C$224,$C36,'TL12'!$J$10:$J$224),0),
IF('TL12'!$B$229=Q$3,SUMIF('TL12'!$C$238:$C$451,$C36,'TL12'!$J$238:$J$451),0),
IF('TL13'!$B$3=Q$3,SUMIF('TL13'!$C$10:$C$224,$C36,'TL13'!$J$10:$J$224),0),
IF('TL13'!$B$229=Q$3,SUMIF('TL13'!$C$238:$C$451,$C36,'TL13'!$J$238:$J$451),0),
IF('TL14'!$B$3=Q$3,SUMIF('TL14'!$C$10:$C$224,$C36,'TL14'!$J$10:$J$224),0),
IF('TL14'!$B$229=Q$3,SUMIF('TL14'!$C$238:$C$451,$C36,'TL14'!$J$238:$J$451),0),
IF('TL15'!$B$3=Q$3,SUMIF('TL15'!$C$10:$C$224,$C36,'TL15'!$J$10:$J$224),0),
IF('TL15'!$B$229=Q$3,SUMIF('TL15'!$C$238:$C$451,$C36,'TL15'!$J$238:$J$451),0),
IF('TL16'!$B$3=Q$3,SUMIF('TL16'!$C$10:$C$224,$C36,'TL16'!$J$10:$J$224),0),
IF('TL16'!$B$229=Q$3,SUMIF('TL16'!$C$238:$C$451,$C36,'TL16'!$J$238:$J$451),0),
IF('TL17'!$B$3=Q$3,SUMIF('TL17'!$C$10:$C$224,$C36,'TL17'!$J$10:$J$224),0),
IF('TL17'!$B$229=Q$3,SUMIF('TL17'!$C$238:$C$451,$C36,'TL17'!$J$238:$J$451),0),
IF('TL18'!$B$3=Q$3,SUMIF('TL18'!$C$10:$C$224,$C36,'TL18'!$J$10:$J$224),0),
IF('TL18'!$B$229=Q$3,SUMIF('TL18'!$C$238:$C$451,$C36,'TL18'!$J$238:$J$451),0),
IF('TL19'!$B$3=Q$3,SUMIF('TL19'!$C$10:$C$224,$C36,'TL19'!$J$10:$J$224),0),
IF('TL19'!$B$229=Q$3,SUMIF('TL19'!$C$238:$C$451,$C36,'TL19'!$J$238:$J$451),0)
),0)</f>
        <v>0</v>
      </c>
      <c r="R36" s="9">
        <f>IFERROR(
SUM(
SUMIF('TL01'!C:C,C36,'TL01'!J:J),
SUMIF('TL02'!C:C,C36,'TL02'!J:J),
SUMIF('TL03'!C:C,C36,'TL03'!J:J),
SUMIF('TL04'!C:C,C36,'TL04'!J:J),
SUMIF('TL05'!C:C,C36,'TL05'!J:J),
SUMIF('TL06'!C:C,C36,'TL06'!J:J),
SUMIF('TL07'!C:C,C36,'TL07'!J:J),
SUMIF('TL08'!C:C,C36,'TL08'!J:J),
SUMIF('TL09'!C:C,C36,'TL09'!J:J),
SUMIF('TL10'!C:C,C36,'TL10'!J:J),
SUMIF('TL11'!C:C,C36,'TL11'!J:J),
SUMIF('TL12'!C:C,C36,'TL12'!J:J),
SUMIF('TL13'!C:C,C36,'TL13'!J:J),
SUMIF('TL14'!C:C,C36,'TL14'!J:J),
SUMIF('TL15'!C:C,C36,'TL15'!J:J),
SUMIF('TL16'!C:C,C36,'TL16'!J:J),
SUMIF('TL17'!C:C,C36,'TL17'!J:J),
SUMIF('TL18'!C:C,C36,'TL18'!J:J),SUMIF('TL19'!C:C,C36,'TL19'!J:J))
,0)</f>
        <v>33</v>
      </c>
      <c r="S36" s="17" t="str">
        <f>IFERROR(__xludf.DUMMYFUNCTION("IFERROR(VLOOKUP(C36,
IMPORTRANGE(""1wULbzX32WdYsx-lj2U3uUNBBe2INVIRDtcK0d-Dvl90"",
""26-27!C:G""),
5,
FALSE),
"""")"),"")</f>
        <v/>
      </c>
      <c r="T36" s="9"/>
      <c r="U36" s="92">
        <f t="shared" si="2"/>
        <v>33</v>
      </c>
      <c r="V36" s="93">
        <f t="shared" si="3"/>
        <v>0</v>
      </c>
    </row>
    <row r="37" ht="22.5" hidden="1" customHeight="1">
      <c r="A37" s="106"/>
      <c r="B37" s="107" t="s">
        <v>7</v>
      </c>
      <c r="C37" s="108" t="s">
        <v>427</v>
      </c>
      <c r="D37" s="108" t="s">
        <v>428</v>
      </c>
      <c r="E37" s="109"/>
      <c r="F37" s="4" t="s">
        <v>399</v>
      </c>
      <c r="G37" s="9"/>
      <c r="H37" s="9" t="str">
        <f>IFERROR(__xludf.DUMMYFUNCTION("IFERROR(VLOOKUP(C37,
IMPORTRANGE(""1wULbzX32WdYsx-lj2U3uUNBBe2INVIRDtcK0d-Dvl90"",
""26-27!C:K""),
8,
FALSE),
"""")"),"")</f>
        <v/>
      </c>
      <c r="I37" s="110"/>
      <c r="J37" s="9">
        <f>IFERROR(SUM(
IF('TL01'!$B$3=J$3,SUMIF('TL01'!$C$10:$C$224,$C37,'TL01'!$J$10:$J$224),0),
IF('TL01'!$B$229=J$3,SUMIF('TL01'!$C$238:$C$451,$C37,'TL01'!$J$238:$J$451),0),
IF('TL02'!$B$3=J$3,SUMIF('TL02'!$C$10:$C$224,$C37,'TL02'!$J$10:$J$224),0),
IF('TL02'!$B$229=J$3,SUMIF('TL02'!$C$238:$C$451,$C37,'TL02'!$J$238:$J$451),0),
IF('TL03'!$B$3=J$3,SUMIF('TL03'!$C$10:$C$224,$C37,'TL03'!$J$10:$J$224),0),
IF('TL03'!$B$229=J$3,SUMIF('TL03'!$C$238:$C$451,$C37,'TL03'!$J$238:$J$451),0),
IF('TL04'!$B$3=J$3,SUMIF('TL04'!$C$10:$C$224,$C37,'TL04'!$J$10:$J$224),0),
IF('TL04'!$B$229=J$3,SUMIF('TL04'!$C$238:$C$451,$C37,'TL04'!$J$238:$J$451),0),
IF('TL05'!$B$3=J$3,SUMIF('TL05'!$C$10:$C$224,$C37,'TL05'!$J$10:$J$224),0),
IF('TL05'!$B$229=J$3,SUMIF('TL05'!$C$238:$C$451,$C37,'TL05'!$J$238:$J$451),0),
IF('TL06'!$B$3=J$3,SUMIF('TL06'!$C$10:$C$224,$C37,'TL06'!$J$10:$J$224),0),
IF('TL06'!$B$229=J$3,SUMIF('TL06'!$C$238:$C$451,$C37,'TL06'!$J$238:$J$451),0),
IF('TL07'!$B$3=J$3,SUMIF('TL07'!$C$10:$C$224,$C37,'TL07'!$J$10:$J$224),0),
IF('TL07'!$B$229=J$3,SUMIF('TL07'!$C$238:$C$451,$C37,'TL07'!$J$238:$J$451),0),
IF('TL08'!$B$3=J$3,SUMIF('TL08'!$C$10:$C$224,$C37,'TL08'!$J$10:$J$224),0),
IF('TL08'!$B$229=J$3,SUMIF('TL08'!$C$238:$C$451,$C37,'TL08'!$J$238:$J$451),0),
IF('TL09'!$B$3=J$3,SUMIF('TL09'!$C$10:$C$224,$C37,'TL09'!$J$10:$J$224),0),
IF('TL09'!$B$229=J$3,SUMIF('TL09'!$C$238:$C$451,$C37,'TL09'!$J$238:$J$451),0),
IF('TL10'!$B$3=J$3,SUMIF('TL10'!$C$10:$C$224,$C37,'TL10'!$J$10:$J$224),0),
IF('TL10'!$B$229=J$3,SUMIF('TL10'!$C$238:$C$451,$C37,'TL10'!$J$238:$J$451),0),
IF('TL11'!$B$3=J$3,SUMIF('TL11'!$C$10:$C$224,$C37,'TL11'!$J$10:$J$224),0),
IF('TL11'!$B$229=J$3,SUMIF('TL11'!$C$238:$C$451,$C37,'TL11'!$J$238:$J$451),0),
IF('TL12'!$B$3=J$3,SUMIF('TL12'!$C$10:$C$224,$C37,'TL12'!$J$10:$J$224),0),
IF('TL12'!$B$229=J$3,SUMIF('TL12'!$C$238:$C$451,$C37,'TL12'!$J$238:$J$451),0),
IF('TL13'!$B$3=J$3,SUMIF('TL13'!$C$10:$C$224,$C37,'TL13'!$J$10:$J$224),0),
IF('TL13'!$B$229=J$3,SUMIF('TL13'!$C$238:$C$451,$C37,'TL13'!$J$238:$J$451),0),
IF('TL14'!$B$3=J$3,SUMIF('TL14'!$C$10:$C$224,$C37,'TL14'!$J$10:$J$224),0),
IF('TL14'!$B$229=J$3,SUMIF('TL14'!$C$238:$C$451,$C37,'TL14'!$J$238:$J$451),0),
IF('TL15'!$B$3=J$3,SUMIF('TL15'!$C$10:$C$224,$C37,'TL15'!$J$10:$J$224),0),
IF('TL15'!$B$229=J$3,SUMIF('TL15'!$C$238:$C$451,$C37,'TL15'!$J$238:$J$451),0),
IF('TL16'!$B$3=J$3,SUMIF('TL16'!$C$10:$C$224,$C37,'TL16'!$J$10:$J$224),0),
IF('TL16'!$B$229=J$3,SUMIF('TL16'!$C$238:$C$451,$C37,'TL16'!$J$238:$J$451),0),
IF('TL17'!$B$3=J$3,SUMIF('TL17'!$C$10:$C$224,$C37,'TL17'!$J$10:$J$224),0),
IF('TL17'!$B$229=J$3,SUMIF('TL17'!$C$238:$C$451,$C37,'TL17'!$J$238:$J$451),0),
IF('TL18'!$B$3=J$3,SUMIF('TL18'!$C$10:$C$224,$C37,'TL18'!$J$10:$J$224),0),
IF('TL18'!$B$229=J$3,SUMIF('TL18'!$C$238:$C$451,$C37,'TL18'!$J$238:$J$451),0),
IF('TL19'!$B$3=J$3,SUMIF('TL19'!$C$10:$C$224,$C37,'TL19'!$J$10:$J$224),0),
IF('TL19'!$B$229=J$3,SUMIF('TL19'!$C$238:$C$451,$C37,'TL19'!$J$238:$J$451),0)
),0)</f>
        <v>0</v>
      </c>
      <c r="K37" s="9">
        <f>IFERROR(SUM(
IF('TL01'!$B$3=K$3,SUMIF('TL01'!$C$10:$C$224,$C37,'TL01'!$J$10:$J$224),0),
IF('TL01'!$B$229=K$3,SUMIF('TL01'!$C$238:$C$451,$C37,'TL01'!$J$238:$J$451),0),
IF('TL02'!$B$3=K$3,SUMIF('TL02'!$C$10:$C$224,$C37,'TL02'!$J$10:$J$224),0),
IF('TL02'!$B$229=K$3,SUMIF('TL02'!$C$238:$C$451,$C37,'TL02'!$J$238:$J$451),0),
IF('TL03'!$B$3=K$3,SUMIF('TL03'!$C$10:$C$224,$C37,'TL03'!$J$10:$J$224),0),
IF('TL03'!$B$229=K$3,SUMIF('TL03'!$C$238:$C$451,$C37,'TL03'!$J$238:$J$451),0),
IF('TL04'!$B$3=K$3,SUMIF('TL04'!$C$10:$C$224,$C37,'TL04'!$J$10:$J$224),0),
IF('TL04'!$B$229=K$3,SUMIF('TL04'!$C$238:$C$451,$C37,'TL04'!$J$238:$J$451),0),
IF('TL05'!$B$3=K$3,SUMIF('TL05'!$C$10:$C$224,$C37,'TL05'!$J$10:$J$224),0),
IF('TL05'!$B$229=K$3,SUMIF('TL05'!$C$238:$C$451,$C37,'TL05'!$J$238:$J$451),0),
IF('TL06'!$B$3=K$3,SUMIF('TL06'!$C$10:$C$224,$C37,'TL06'!$J$10:$J$224),0),
IF('TL06'!$B$229=K$3,SUMIF('TL06'!$C$238:$C$451,$C37,'TL06'!$J$238:$J$451),0),
IF('TL07'!$B$3=K$3,SUMIF('TL07'!$C$10:$C$224,$C37,'TL07'!$J$10:$J$224),0),
IF('TL07'!$B$229=K$3,SUMIF('TL07'!$C$238:$C$451,$C37,'TL07'!$J$238:$J$451),0),
IF('TL08'!$B$3=K$3,SUMIF('TL08'!$C$10:$C$224,$C37,'TL08'!$J$10:$J$224),0),
IF('TL08'!$B$229=K$3,SUMIF('TL08'!$C$238:$C$451,$C37,'TL08'!$J$238:$J$451),0),
IF('TL09'!$B$3=K$3,SUMIF('TL09'!$C$10:$C$224,$C37,'TL09'!$J$10:$J$224),0),
IF('TL09'!$B$229=K$3,SUMIF('TL09'!$C$238:$C$451,$C37,'TL09'!$J$238:$J$451),0),
IF('TL10'!$B$3=K$3,SUMIF('TL10'!$C$10:$C$224,$C37,'TL10'!$J$10:$J$224),0),
IF('TL10'!$B$229=K$3,SUMIF('TL10'!$C$238:$C$451,$C37,'TL10'!$J$238:$J$451),0),
IF('TL11'!$B$3=K$3,SUMIF('TL11'!$C$10:$C$224,$C37,'TL11'!$J$10:$J$224),0),
IF('TL11'!$B$229=K$3,SUMIF('TL11'!$C$238:$C$451,$C37,'TL11'!$J$238:$J$451),0),
IF('TL12'!$B$3=K$3,SUMIF('TL12'!$C$10:$C$224,$C37,'TL12'!$J$10:$J$224),0),
IF('TL12'!$B$229=K$3,SUMIF('TL12'!$C$238:$C$451,$C37,'TL12'!$J$238:$J$451),0),
IF('TL13'!$B$3=K$3,SUMIF('TL13'!$C$10:$C$224,$C37,'TL13'!$J$10:$J$224),0),
IF('TL13'!$B$229=K$3,SUMIF('TL13'!$C$238:$C$451,$C37,'TL13'!$J$238:$J$451),0),
IF('TL14'!$B$3=K$3,SUMIF('TL14'!$C$10:$C$224,$C37,'TL14'!$J$10:$J$224),0),
IF('TL14'!$B$229=K$3,SUMIF('TL14'!$C$238:$C$451,$C37,'TL14'!$J$238:$J$451),0),
IF('TL15'!$B$3=K$3,SUMIF('TL15'!$C$10:$C$224,$C37,'TL15'!$J$10:$J$224),0),
IF('TL15'!$B$229=K$3,SUMIF('TL15'!$C$238:$C$451,$C37,'TL15'!$J$238:$J$451),0),
IF('TL16'!$B$3=K$3,SUMIF('TL16'!$C$10:$C$224,$C37,'TL16'!$J$10:$J$224),0),
IF('TL16'!$B$229=K$3,SUMIF('TL16'!$C$238:$C$451,$C37,'TL16'!$J$238:$J$451),0),
IF('TL17'!$B$3=K$3,SUMIF('TL17'!$C$10:$C$224,$C37,'TL17'!$J$10:$J$224),0),
IF('TL17'!$B$229=K$3,SUMIF('TL17'!$C$238:$C$451,$C37,'TL17'!$J$238:$J$451),0),
IF('TL18'!$B$3=K$3,SUMIF('TL18'!$C$10:$C$224,$C37,'TL18'!$J$10:$J$224),0),
IF('TL18'!$B$229=K$3,SUMIF('TL18'!$C$238:$C$451,$C37,'TL18'!$J$238:$J$451),0),
IF('TL19'!$B$3=K$3,SUMIF('TL19'!$C$10:$C$224,$C37,'TL19'!$J$10:$J$224),0),
IF('TL19'!$B$229=K$3,SUMIF('TL19'!$C$238:$C$451,$C37,'TL19'!$J$238:$J$451),0)
),0)</f>
        <v>0</v>
      </c>
      <c r="L37" s="9">
        <f>IFERROR(SUM(
IF('TL01'!$B$3=L$3,SUMIF('TL01'!$C$10:$C$224,$C37,'TL01'!$J$10:$J$224),0),
IF('TL01'!$B$229=L$3,SUMIF('TL01'!$C$238:$C$451,$C37,'TL01'!$J$238:$J$451),0),
IF('TL02'!$B$3=L$3,SUMIF('TL02'!$C$10:$C$224,$C37,'TL02'!$J$10:$J$224),0),
IF('TL02'!$B$229=L$3,SUMIF('TL02'!$C$238:$C$451,$C37,'TL02'!$J$238:$J$451),0),
IF('TL03'!$B$3=L$3,SUMIF('TL03'!$C$10:$C$224,$C37,'TL03'!$J$10:$J$224),0),
IF('TL03'!$B$229=L$3,SUMIF('TL03'!$C$238:$C$451,$C37,'TL03'!$J$238:$J$451),0),
IF('TL04'!$B$3=L$3,SUMIF('TL04'!$C$10:$C$224,$C37,'TL04'!$J$10:$J$224),0),
IF('TL04'!$B$229=L$3,SUMIF('TL04'!$C$238:$C$451,$C37,'TL04'!$J$238:$J$451),0),
IF('TL05'!$B$3=L$3,SUMIF('TL05'!$C$10:$C$224,$C37,'TL05'!$J$10:$J$224),0),
IF('TL05'!$B$229=L$3,SUMIF('TL05'!$C$238:$C$451,$C37,'TL05'!$J$238:$J$451),0),
IF('TL06'!$B$3=L$3,SUMIF('TL06'!$C$10:$C$224,$C37,'TL06'!$J$10:$J$224),0),
IF('TL06'!$B$229=L$3,SUMIF('TL06'!$C$238:$C$451,$C37,'TL06'!$J$238:$J$451),0),
IF('TL07'!$B$3=L$3,SUMIF('TL07'!$C$10:$C$224,$C37,'TL07'!$J$10:$J$224),0),
IF('TL07'!$B$229=L$3,SUMIF('TL07'!$C$238:$C$451,$C37,'TL07'!$J$238:$J$451),0),
IF('TL08'!$B$3=L$3,SUMIF('TL08'!$C$10:$C$224,$C37,'TL08'!$J$10:$J$224),0),
IF('TL08'!$B$229=L$3,SUMIF('TL08'!$C$238:$C$451,$C37,'TL08'!$J$238:$J$451),0),
IF('TL09'!$B$3=L$3,SUMIF('TL09'!$C$10:$C$224,$C37,'TL09'!$J$10:$J$224),0),
IF('TL09'!$B$229=L$3,SUMIF('TL09'!$C$238:$C$451,$C37,'TL09'!$J$238:$J$451),0),
IF('TL10'!$B$3=L$3,SUMIF('TL10'!$C$10:$C$224,$C37,'TL10'!$J$10:$J$224),0),
IF('TL10'!$B$229=L$3,SUMIF('TL10'!$C$238:$C$451,$C37,'TL10'!$J$238:$J$451),0),
IF('TL11'!$B$3=L$3,SUMIF('TL11'!$C$10:$C$224,$C37,'TL11'!$J$10:$J$224),0),
IF('TL11'!$B$229=L$3,SUMIF('TL11'!$C$238:$C$451,$C37,'TL11'!$J$238:$J$451),0),
IF('TL12'!$B$3=L$3,SUMIF('TL12'!$C$10:$C$224,$C37,'TL12'!$J$10:$J$224),0),
IF('TL12'!$B$229=L$3,SUMIF('TL12'!$C$238:$C$451,$C37,'TL12'!$J$238:$J$451),0),
IF('TL13'!$B$3=L$3,SUMIF('TL13'!$C$10:$C$224,$C37,'TL13'!$J$10:$J$224),0),
IF('TL13'!$B$229=L$3,SUMIF('TL13'!$C$238:$C$451,$C37,'TL13'!$J$238:$J$451),0),
IF('TL14'!$B$3=L$3,SUMIF('TL14'!$C$10:$C$224,$C37,'TL14'!$J$10:$J$224),0),
IF('TL14'!$B$229=L$3,SUMIF('TL14'!$C$238:$C$451,$C37,'TL14'!$J$238:$J$451),0),
IF('TL15'!$B$3=L$3,SUMIF('TL15'!$C$10:$C$224,$C37,'TL15'!$J$10:$J$224),0),
IF('TL15'!$B$229=L$3,SUMIF('TL15'!$C$238:$C$451,$C37,'TL15'!$J$238:$J$451),0),
IF('TL16'!$B$3=L$3,SUMIF('TL16'!$C$10:$C$224,$C37,'TL16'!$J$10:$J$224),0),
IF('TL16'!$B$229=L$3,SUMIF('TL16'!$C$238:$C$451,$C37,'TL16'!$J$238:$J$451),0),
IF('TL17'!$B$3=L$3,SUMIF('TL17'!$C$10:$C$224,$C37,'TL17'!$J$10:$J$224),0),
IF('TL17'!$B$229=L$3,SUMIF('TL17'!$C$238:$C$451,$C37,'TL17'!$J$238:$J$451),0),
IF('TL18'!$B$3=L$3,SUMIF('TL18'!$C$10:$C$224,$C37,'TL18'!$J$10:$J$224),0),
IF('TL18'!$B$229=L$3,SUMIF('TL18'!$C$238:$C$451,$C37,'TL18'!$J$238:$J$451),0),
IF('TL19'!$B$3=L$3,SUMIF('TL19'!$C$10:$C$224,$C37,'TL19'!$J$10:$J$224),0),
IF('TL19'!$B$229=L$3,SUMIF('TL19'!$C$238:$C$451,$C37,'TL19'!$J$238:$J$451),0)
),0)</f>
        <v>0</v>
      </c>
      <c r="M37" s="9">
        <f>IFERROR(SUM(
IF('TL01'!$B$3=M$3,SUMIF('TL01'!$C$10:$C$224,$C37,'TL01'!$J$10:$J$224),0),
IF('TL01'!$B$229=M$3,SUMIF('TL01'!$C$238:$C$451,$C37,'TL01'!$J$238:$J$451),0),
IF('TL02'!$B$3=M$3,SUMIF('TL02'!$C$10:$C$224,$C37,'TL02'!$J$10:$J$224),0),
IF('TL02'!$B$229=M$3,SUMIF('TL02'!$C$238:$C$451,$C37,'TL02'!$J$238:$J$451),0),
IF('TL03'!$B$3=M$3,SUMIF('TL03'!$C$10:$C$224,$C37,'TL03'!$J$10:$J$224),0),
IF('TL03'!$B$229=M$3,SUMIF('TL03'!$C$238:$C$451,$C37,'TL03'!$J$238:$J$451),0),
IF('TL04'!$B$3=M$3,SUMIF('TL04'!$C$10:$C$224,$C37,'TL04'!$J$10:$J$224),0),
IF('TL04'!$B$229=M$3,SUMIF('TL04'!$C$238:$C$451,$C37,'TL04'!$J$238:$J$451),0),
IF('TL05'!$B$3=M$3,SUMIF('TL05'!$C$10:$C$224,$C37,'TL05'!$J$10:$J$224),0),
IF('TL05'!$B$229=M$3,SUMIF('TL05'!$C$238:$C$451,$C37,'TL05'!$J$238:$J$451),0),
IF('TL06'!$B$3=M$3,SUMIF('TL06'!$C$10:$C$224,$C37,'TL06'!$J$10:$J$224),0),
IF('TL06'!$B$229=M$3,SUMIF('TL06'!$C$238:$C$451,$C37,'TL06'!$J$238:$J$451),0),
IF('TL07'!$B$3=M$3,SUMIF('TL07'!$C$10:$C$224,$C37,'TL07'!$J$10:$J$224),0),
IF('TL07'!$B$229=M$3,SUMIF('TL07'!$C$238:$C$451,$C37,'TL07'!$J$238:$J$451),0),
IF('TL08'!$B$3=M$3,SUMIF('TL08'!$C$10:$C$224,$C37,'TL08'!$J$10:$J$224),0),
IF('TL08'!$B$229=M$3,SUMIF('TL08'!$C$238:$C$451,$C37,'TL08'!$J$238:$J$451),0),
IF('TL09'!$B$3=M$3,SUMIF('TL09'!$C$10:$C$224,$C37,'TL09'!$J$10:$J$224),0),
IF('TL09'!$B$229=M$3,SUMIF('TL09'!$C$238:$C$451,$C37,'TL09'!$J$238:$J$451),0),
IF('TL10'!$B$3=M$3,SUMIF('TL10'!$C$10:$C$224,$C37,'TL10'!$J$10:$J$224),0),
IF('TL10'!$B$229=M$3,SUMIF('TL10'!$C$238:$C$451,$C37,'TL10'!$J$238:$J$451),0),
IF('TL11'!$B$3=M$3,SUMIF('TL11'!$C$10:$C$224,$C37,'TL11'!$J$10:$J$224),0),
IF('TL11'!$B$229=M$3,SUMIF('TL11'!$C$238:$C$451,$C37,'TL11'!$J$238:$J$451),0),
IF('TL12'!$B$3=M$3,SUMIF('TL12'!$C$10:$C$224,$C37,'TL12'!$J$10:$J$224),0),
IF('TL12'!$B$229=M$3,SUMIF('TL12'!$C$238:$C$451,$C37,'TL12'!$J$238:$J$451),0),
IF('TL13'!$B$3=M$3,SUMIF('TL13'!$C$10:$C$224,$C37,'TL13'!$J$10:$J$224),0),
IF('TL13'!$B$229=M$3,SUMIF('TL13'!$C$238:$C$451,$C37,'TL13'!$J$238:$J$451),0),
IF('TL14'!$B$3=M$3,SUMIF('TL14'!$C$10:$C$224,$C37,'TL14'!$J$10:$J$224),0),
IF('TL14'!$B$229=M$3,SUMIF('TL14'!$C$238:$C$451,$C37,'TL14'!$J$238:$J$451),0),
IF('TL15'!$B$3=M$3,SUMIF('TL15'!$C$10:$C$224,$C37,'TL15'!$J$10:$J$224),0),
IF('TL15'!$B$229=M$3,SUMIF('TL15'!$C$238:$C$451,$C37,'TL15'!$J$238:$J$451),0),
IF('TL16'!$B$3=M$3,SUMIF('TL16'!$C$10:$C$224,$C37,'TL16'!$J$10:$J$224),0),
IF('TL16'!$B$229=M$3,SUMIF('TL16'!$C$238:$C$451,$C37,'TL16'!$J$238:$J$451),0),
IF('TL17'!$B$3=M$3,SUMIF('TL17'!$C$10:$C$224,$C37,'TL17'!$J$10:$J$224),0),
IF('TL17'!$B$229=M$3,SUMIF('TL17'!$C$238:$C$451,$C37,'TL17'!$J$238:$J$451),0),
IF('TL18'!$B$3=M$3,SUMIF('TL18'!$C$10:$C$224,$C37,'TL18'!$J$10:$J$224),0),
IF('TL18'!$B$229=M$3,SUMIF('TL18'!$C$238:$C$451,$C37,'TL18'!$J$238:$J$451),0),
IF('TL19'!$B$3=M$3,SUMIF('TL19'!$C$10:$C$224,$C37,'TL19'!$J$10:$J$224),0),
IF('TL19'!$B$229=M$3,SUMIF('TL19'!$C$238:$C$451,$C37,'TL19'!$J$238:$J$451),0)
),0)</f>
        <v>0</v>
      </c>
      <c r="N37" s="9">
        <f>IFERROR(SUM(
IF('TL01'!$B$3=N$3,SUMIF('TL01'!$C$10:$C$224,$C37,'TL01'!$J$10:$J$224),0),
IF('TL01'!$B$229=N$3,SUMIF('TL01'!$C$238:$C$451,$C37,'TL01'!$J$238:$J$451),0),
IF('TL02'!$B$3=N$3,SUMIF('TL02'!$C$10:$C$224,$C37,'TL02'!$J$10:$J$224),0),
IF('TL02'!$B$229=N$3,SUMIF('TL02'!$C$238:$C$451,$C37,'TL02'!$J$238:$J$451),0),
IF('TL03'!$B$3=N$3,SUMIF('TL03'!$C$10:$C$224,$C37,'TL03'!$J$10:$J$224),0),
IF('TL03'!$B$229=N$3,SUMIF('TL03'!$C$238:$C$451,$C37,'TL03'!$J$238:$J$451),0),
IF('TL04'!$B$3=N$3,SUMIF('TL04'!$C$10:$C$224,$C37,'TL04'!$J$10:$J$224),0),
IF('TL04'!$B$229=N$3,SUMIF('TL04'!$C$238:$C$451,$C37,'TL04'!$J$238:$J$451),0),
IF('TL05'!$B$3=N$3,SUMIF('TL05'!$C$10:$C$224,$C37,'TL05'!$J$10:$J$224),0),
IF('TL05'!$B$229=N$3,SUMIF('TL05'!$C$238:$C$451,$C37,'TL05'!$J$238:$J$451),0),
IF('TL06'!$B$3=N$3,SUMIF('TL06'!$C$10:$C$224,$C37,'TL06'!$J$10:$J$224),0),
IF('TL06'!$B$229=N$3,SUMIF('TL06'!$C$238:$C$451,$C37,'TL06'!$J$238:$J$451),0),
IF('TL07'!$B$3=N$3,SUMIF('TL07'!$C$10:$C$224,$C37,'TL07'!$J$10:$J$224),0),
IF('TL07'!$B$229=N$3,SUMIF('TL07'!$C$238:$C$451,$C37,'TL07'!$J$238:$J$451),0),
IF('TL08'!$B$3=N$3,SUMIF('TL08'!$C$10:$C$224,$C37,'TL08'!$J$10:$J$224),0),
IF('TL08'!$B$229=N$3,SUMIF('TL08'!$C$238:$C$451,$C37,'TL08'!$J$238:$J$451),0),
IF('TL09'!$B$3=N$3,SUMIF('TL09'!$C$10:$C$224,$C37,'TL09'!$J$10:$J$224),0),
IF('TL09'!$B$229=N$3,SUMIF('TL09'!$C$238:$C$451,$C37,'TL09'!$J$238:$J$451),0),
IF('TL10'!$B$3=N$3,SUMIF('TL10'!$C$10:$C$224,$C37,'TL10'!$J$10:$J$224),0),
IF('TL10'!$B$229=N$3,SUMIF('TL10'!$C$238:$C$451,$C37,'TL10'!$J$238:$J$451),0),
IF('TL11'!$B$3=N$3,SUMIF('TL11'!$C$10:$C$224,$C37,'TL11'!$J$10:$J$224),0),
IF('TL11'!$B$229=N$3,SUMIF('TL11'!$C$238:$C$451,$C37,'TL11'!$J$238:$J$451),0),
IF('TL12'!$B$3=N$3,SUMIF('TL12'!$C$10:$C$224,$C37,'TL12'!$J$10:$J$224),0),
IF('TL12'!$B$229=N$3,SUMIF('TL12'!$C$238:$C$451,$C37,'TL12'!$J$238:$J$451),0),
IF('TL13'!$B$3=N$3,SUMIF('TL13'!$C$10:$C$224,$C37,'TL13'!$J$10:$J$224),0),
IF('TL13'!$B$229=N$3,SUMIF('TL13'!$C$238:$C$451,$C37,'TL13'!$J$238:$J$451),0),
IF('TL14'!$B$3=N$3,SUMIF('TL14'!$C$10:$C$224,$C37,'TL14'!$J$10:$J$224),0),
IF('TL14'!$B$229=N$3,SUMIF('TL14'!$C$238:$C$451,$C37,'TL14'!$J$238:$J$451),0),
IF('TL15'!$B$3=N$3,SUMIF('TL15'!$C$10:$C$224,$C37,'TL15'!$J$10:$J$224),0),
IF('TL15'!$B$229=N$3,SUMIF('TL15'!$C$238:$C$451,$C37,'TL15'!$J$238:$J$451),0),
IF('TL16'!$B$3=N$3,SUMIF('TL16'!$C$10:$C$224,$C37,'TL16'!$J$10:$J$224),0),
IF('TL16'!$B$229=N$3,SUMIF('TL16'!$C$238:$C$451,$C37,'TL16'!$J$238:$J$451),0),
IF('TL17'!$B$3=N$3,SUMIF('TL17'!$C$10:$C$224,$C37,'TL17'!$J$10:$J$224),0),
IF('TL17'!$B$229=N$3,SUMIF('TL17'!$C$238:$C$451,$C37,'TL17'!$J$238:$J$451),0),
IF('TL18'!$B$3=N$3,SUMIF('TL18'!$C$10:$C$224,$C37,'TL18'!$J$10:$J$224),0),
IF('TL18'!$B$229=N$3,SUMIF('TL18'!$C$238:$C$451,$C37,'TL18'!$J$238:$J$451),0),
IF('TL19'!$B$3=N$3,SUMIF('TL19'!$C$10:$C$224,$C37,'TL19'!$J$10:$J$224),0),
IF('TL19'!$B$229=N$3,SUMIF('TL19'!$C$238:$C$451,$C37,'TL19'!$J$238:$J$451),0)
),0)</f>
        <v>0</v>
      </c>
      <c r="O37" s="9">
        <f>IFERROR(SUM(
IF('TL01'!$B$3=O$3,SUMIF('TL01'!$C$10:$C$224,$C37,'TL01'!$J$10:$J$224),0),
IF('TL01'!$B$229=O$3,SUMIF('TL01'!$C$238:$C$451,$C37,'TL01'!$J$238:$J$451),0),
IF('TL02'!$B$3=O$3,SUMIF('TL02'!$C$10:$C$224,$C37,'TL02'!$J$10:$J$224),0),
IF('TL02'!$B$229=O$3,SUMIF('TL02'!$C$238:$C$451,$C37,'TL02'!$J$238:$J$451),0),
IF('TL03'!$B$3=O$3,SUMIF('TL03'!$C$10:$C$224,$C37,'TL03'!$J$10:$J$224),0),
IF('TL03'!$B$229=O$3,SUMIF('TL03'!$C$238:$C$451,$C37,'TL03'!$J$238:$J$451),0),
IF('TL04'!$B$3=O$3,SUMIF('TL04'!$C$10:$C$224,$C37,'TL04'!$J$10:$J$224),0),
IF('TL04'!$B$229=O$3,SUMIF('TL04'!$C$238:$C$451,$C37,'TL04'!$J$238:$J$451),0),
IF('TL05'!$B$3=O$3,SUMIF('TL05'!$C$10:$C$224,$C37,'TL05'!$J$10:$J$224),0),
IF('TL05'!$B$229=O$3,SUMIF('TL05'!$C$238:$C$451,$C37,'TL05'!$J$238:$J$451),0),
IF('TL06'!$B$3=O$3,SUMIF('TL06'!$C$10:$C$224,$C37,'TL06'!$J$10:$J$224),0),
IF('TL06'!$B$229=O$3,SUMIF('TL06'!$C$238:$C$451,$C37,'TL06'!$J$238:$J$451),0),
IF('TL07'!$B$3=O$3,SUMIF('TL07'!$C$10:$C$224,$C37,'TL07'!$J$10:$J$224),0),
IF('TL07'!$B$229=O$3,SUMIF('TL07'!$C$238:$C$451,$C37,'TL07'!$J$238:$J$451),0),
IF('TL08'!$B$3=O$3,SUMIF('TL08'!$C$10:$C$224,$C37,'TL08'!$J$10:$J$224),0),
IF('TL08'!$B$229=O$3,SUMIF('TL08'!$C$238:$C$451,$C37,'TL08'!$J$238:$J$451),0),
IF('TL09'!$B$3=O$3,SUMIF('TL09'!$C$10:$C$224,$C37,'TL09'!$J$10:$J$224),0),
IF('TL09'!$B$229=O$3,SUMIF('TL09'!$C$238:$C$451,$C37,'TL09'!$J$238:$J$451),0),
IF('TL10'!$B$3=O$3,SUMIF('TL10'!$C$10:$C$224,$C37,'TL10'!$J$10:$J$224),0),
IF('TL10'!$B$229=O$3,SUMIF('TL10'!$C$238:$C$451,$C37,'TL10'!$J$238:$J$451),0),
IF('TL11'!$B$3=O$3,SUMIF('TL11'!$C$10:$C$224,$C37,'TL11'!$J$10:$J$224),0),
IF('TL11'!$B$229=O$3,SUMIF('TL11'!$C$238:$C$451,$C37,'TL11'!$J$238:$J$451),0),
IF('TL12'!$B$3=O$3,SUMIF('TL12'!$C$10:$C$224,$C37,'TL12'!$J$10:$J$224),0),
IF('TL12'!$B$229=O$3,SUMIF('TL12'!$C$238:$C$451,$C37,'TL12'!$J$238:$J$451),0),
IF('TL13'!$B$3=O$3,SUMIF('TL13'!$C$10:$C$224,$C37,'TL13'!$J$10:$J$224),0),
IF('TL13'!$B$229=O$3,SUMIF('TL13'!$C$238:$C$451,$C37,'TL13'!$J$238:$J$451),0),
IF('TL14'!$B$3=O$3,SUMIF('TL14'!$C$10:$C$224,$C37,'TL14'!$J$10:$J$224),0),
IF('TL14'!$B$229=O$3,SUMIF('TL14'!$C$238:$C$451,$C37,'TL14'!$J$238:$J$451),0),
IF('TL15'!$B$3=O$3,SUMIF('TL15'!$C$10:$C$224,$C37,'TL15'!$J$10:$J$224),0),
IF('TL15'!$B$229=O$3,SUMIF('TL15'!$C$238:$C$451,$C37,'TL15'!$J$238:$J$451),0),
IF('TL16'!$B$3=O$3,SUMIF('TL16'!$C$10:$C$224,$C37,'TL16'!$J$10:$J$224),0),
IF('TL16'!$B$229=O$3,SUMIF('TL16'!$C$238:$C$451,$C37,'TL16'!$J$238:$J$451),0),
IF('TL17'!$B$3=O$3,SUMIF('TL17'!$C$10:$C$224,$C37,'TL17'!$J$10:$J$224),0),
IF('TL17'!$B$229=O$3,SUMIF('TL17'!$C$238:$C$451,$C37,'TL17'!$J$238:$J$451),0),
IF('TL18'!$B$3=O$3,SUMIF('TL18'!$C$10:$C$224,$C37,'TL18'!$J$10:$J$224),0),
IF('TL18'!$B$229=O$3,SUMIF('TL18'!$C$238:$C$451,$C37,'TL18'!$J$238:$J$451),0),
IF('TL19'!$B$3=O$3,SUMIF('TL19'!$C$10:$C$224,$C37,'TL19'!$J$10:$J$224),0),
IF('TL19'!$B$229=O$3,SUMIF('TL19'!$C$238:$C$451,$C37,'TL19'!$J$238:$J$451),0)
),0)</f>
        <v>0</v>
      </c>
      <c r="P37" s="9">
        <f>IFERROR(SUM(
IF('TL01'!$B$3=P$3,SUMIF('TL01'!$C$10:$C$224,$C37,'TL01'!$J$10:$J$224),0),
IF('TL01'!$B$229=P$3,SUMIF('TL01'!$C$238:$C$451,$C37,'TL01'!$J$238:$J$451),0),
IF('TL02'!$B$3=P$3,SUMIF('TL02'!$C$10:$C$224,$C37,'TL02'!$J$10:$J$224),0),
IF('TL02'!$B$229=P$3,SUMIF('TL02'!$C$238:$C$451,$C37,'TL02'!$J$238:$J$451),0),
IF('TL03'!$B$3=P$3,SUMIF('TL03'!$C$10:$C$224,$C37,'TL03'!$J$10:$J$224),0),
IF('TL03'!$B$229=P$3,SUMIF('TL03'!$C$238:$C$451,$C37,'TL03'!$J$238:$J$451),0),
IF('TL04'!$B$3=P$3,SUMIF('TL04'!$C$10:$C$224,$C37,'TL04'!$J$10:$J$224),0),
IF('TL04'!$B$229=P$3,SUMIF('TL04'!$C$238:$C$451,$C37,'TL04'!$J$238:$J$451),0),
IF('TL05'!$B$3=P$3,SUMIF('TL05'!$C$10:$C$224,$C37,'TL05'!$J$10:$J$224),0),
IF('TL05'!$B$229=P$3,SUMIF('TL05'!$C$238:$C$451,$C37,'TL05'!$J$238:$J$451),0),
IF('TL06'!$B$3=P$3,SUMIF('TL06'!$C$10:$C$224,$C37,'TL06'!$J$10:$J$224),0),
IF('TL06'!$B$229=P$3,SUMIF('TL06'!$C$238:$C$451,$C37,'TL06'!$J$238:$J$451),0),
IF('TL07'!$B$3=P$3,SUMIF('TL07'!$C$10:$C$224,$C37,'TL07'!$J$10:$J$224),0),
IF('TL07'!$B$229=P$3,SUMIF('TL07'!$C$238:$C$451,$C37,'TL07'!$J$238:$J$451),0),
IF('TL08'!$B$3=P$3,SUMIF('TL08'!$C$10:$C$224,$C37,'TL08'!$J$10:$J$224),0),
IF('TL08'!$B$229=P$3,SUMIF('TL08'!$C$238:$C$451,$C37,'TL08'!$J$238:$J$451),0),
IF('TL09'!$B$3=P$3,SUMIF('TL09'!$C$10:$C$224,$C37,'TL09'!$J$10:$J$224),0),
IF('TL09'!$B$229=P$3,SUMIF('TL09'!$C$238:$C$451,$C37,'TL09'!$J$238:$J$451),0),
IF('TL10'!$B$3=P$3,SUMIF('TL10'!$C$10:$C$224,$C37,'TL10'!$J$10:$J$224),0),
IF('TL10'!$B$229=P$3,SUMIF('TL10'!$C$238:$C$451,$C37,'TL10'!$J$238:$J$451),0),
IF('TL11'!$B$3=P$3,SUMIF('TL11'!$C$10:$C$224,$C37,'TL11'!$J$10:$J$224),0),
IF('TL11'!$B$229=P$3,SUMIF('TL11'!$C$238:$C$451,$C37,'TL11'!$J$238:$J$451),0),
IF('TL12'!$B$3=P$3,SUMIF('TL12'!$C$10:$C$224,$C37,'TL12'!$J$10:$J$224),0),
IF('TL12'!$B$229=P$3,SUMIF('TL12'!$C$238:$C$451,$C37,'TL12'!$J$238:$J$451),0),
IF('TL13'!$B$3=P$3,SUMIF('TL13'!$C$10:$C$224,$C37,'TL13'!$J$10:$J$224),0),
IF('TL13'!$B$229=P$3,SUMIF('TL13'!$C$238:$C$451,$C37,'TL13'!$J$238:$J$451),0),
IF('TL14'!$B$3=P$3,SUMIF('TL14'!$C$10:$C$224,$C37,'TL14'!$J$10:$J$224),0),
IF('TL14'!$B$229=P$3,SUMIF('TL14'!$C$238:$C$451,$C37,'TL14'!$J$238:$J$451),0),
IF('TL15'!$B$3=P$3,SUMIF('TL15'!$C$10:$C$224,$C37,'TL15'!$J$10:$J$224),0),
IF('TL15'!$B$229=P$3,SUMIF('TL15'!$C$238:$C$451,$C37,'TL15'!$J$238:$J$451),0),
IF('TL16'!$B$3=P$3,SUMIF('TL16'!$C$10:$C$224,$C37,'TL16'!$J$10:$J$224),0),
IF('TL16'!$B$229=P$3,SUMIF('TL16'!$C$238:$C$451,$C37,'TL16'!$J$238:$J$451),0),
IF('TL17'!$B$3=P$3,SUMIF('TL17'!$C$10:$C$224,$C37,'TL17'!$J$10:$J$224),0),
IF('TL17'!$B$229=P$3,SUMIF('TL17'!$C$238:$C$451,$C37,'TL17'!$J$238:$J$451),0),
IF('TL18'!$B$3=P$3,SUMIF('TL18'!$C$10:$C$224,$C37,'TL18'!$J$10:$J$224),0),
IF('TL18'!$B$229=P$3,SUMIF('TL18'!$C$238:$C$451,$C37,'TL18'!$J$238:$J$451),0),
IF('TL19'!$B$3=P$3,SUMIF('TL19'!$C$10:$C$224,$C37,'TL19'!$J$10:$J$224),0),
IF('TL19'!$B$229=P$3,SUMIF('TL19'!$C$238:$C$451,$C37,'TL19'!$J$238:$J$451),0)
),0)</f>
        <v>0</v>
      </c>
      <c r="Q37" s="9">
        <f>IFERROR(SUM(
IF('TL01'!$B$3=Q$3,SUMIF('TL01'!$C$10:$C$224,$C37,'TL01'!$J$10:$J$224),0),
IF('TL01'!$B$229=Q$3,SUMIF('TL01'!$C$238:$C$451,$C37,'TL01'!$J$238:$J$451),0),
IF('TL02'!$B$3=Q$3,SUMIF('TL02'!$C$10:$C$224,$C37,'TL02'!$J$10:$J$224),0),
IF('TL02'!$B$229=Q$3,SUMIF('TL02'!$C$238:$C$451,$C37,'TL02'!$J$238:$J$451),0),
IF('TL03'!$B$3=Q$3,SUMIF('TL03'!$C$10:$C$224,$C37,'TL03'!$J$10:$J$224),0),
IF('TL03'!$B$229=Q$3,SUMIF('TL03'!$C$238:$C$451,$C37,'TL03'!$J$238:$J$451),0),
IF('TL04'!$B$3=Q$3,SUMIF('TL04'!$C$10:$C$224,$C37,'TL04'!$J$10:$J$224),0),
IF('TL04'!$B$229=Q$3,SUMIF('TL04'!$C$238:$C$451,$C37,'TL04'!$J$238:$J$451),0),
IF('TL05'!$B$3=Q$3,SUMIF('TL05'!$C$10:$C$224,$C37,'TL05'!$J$10:$J$224),0),
IF('TL05'!$B$229=Q$3,SUMIF('TL05'!$C$238:$C$451,$C37,'TL05'!$J$238:$J$451),0),
IF('TL06'!$B$3=Q$3,SUMIF('TL06'!$C$10:$C$224,$C37,'TL06'!$J$10:$J$224),0),
IF('TL06'!$B$229=Q$3,SUMIF('TL06'!$C$238:$C$451,$C37,'TL06'!$J$238:$J$451),0),
IF('TL07'!$B$3=Q$3,SUMIF('TL07'!$C$10:$C$224,$C37,'TL07'!$J$10:$J$224),0),
IF('TL07'!$B$229=Q$3,SUMIF('TL07'!$C$238:$C$451,$C37,'TL07'!$J$238:$J$451),0),
IF('TL08'!$B$3=Q$3,SUMIF('TL08'!$C$10:$C$224,$C37,'TL08'!$J$10:$J$224),0),
IF('TL08'!$B$229=Q$3,SUMIF('TL08'!$C$238:$C$451,$C37,'TL08'!$J$238:$J$451),0),
IF('TL09'!$B$3=Q$3,SUMIF('TL09'!$C$10:$C$224,$C37,'TL09'!$J$10:$J$224),0),
IF('TL09'!$B$229=Q$3,SUMIF('TL09'!$C$238:$C$451,$C37,'TL09'!$J$238:$J$451),0),
IF('TL10'!$B$3=Q$3,SUMIF('TL10'!$C$10:$C$224,$C37,'TL10'!$J$10:$J$224),0),
IF('TL10'!$B$229=Q$3,SUMIF('TL10'!$C$238:$C$451,$C37,'TL10'!$J$238:$J$451),0),
IF('TL11'!$B$3=Q$3,SUMIF('TL11'!$C$10:$C$224,$C37,'TL11'!$J$10:$J$224),0),
IF('TL11'!$B$229=Q$3,SUMIF('TL11'!$C$238:$C$451,$C37,'TL11'!$J$238:$J$451),0),
IF('TL12'!$B$3=Q$3,SUMIF('TL12'!$C$10:$C$224,$C37,'TL12'!$J$10:$J$224),0),
IF('TL12'!$B$229=Q$3,SUMIF('TL12'!$C$238:$C$451,$C37,'TL12'!$J$238:$J$451),0),
IF('TL13'!$B$3=Q$3,SUMIF('TL13'!$C$10:$C$224,$C37,'TL13'!$J$10:$J$224),0),
IF('TL13'!$B$229=Q$3,SUMIF('TL13'!$C$238:$C$451,$C37,'TL13'!$J$238:$J$451),0),
IF('TL14'!$B$3=Q$3,SUMIF('TL14'!$C$10:$C$224,$C37,'TL14'!$J$10:$J$224),0),
IF('TL14'!$B$229=Q$3,SUMIF('TL14'!$C$238:$C$451,$C37,'TL14'!$J$238:$J$451),0),
IF('TL15'!$B$3=Q$3,SUMIF('TL15'!$C$10:$C$224,$C37,'TL15'!$J$10:$J$224),0),
IF('TL15'!$B$229=Q$3,SUMIF('TL15'!$C$238:$C$451,$C37,'TL15'!$J$238:$J$451),0),
IF('TL16'!$B$3=Q$3,SUMIF('TL16'!$C$10:$C$224,$C37,'TL16'!$J$10:$J$224),0),
IF('TL16'!$B$229=Q$3,SUMIF('TL16'!$C$238:$C$451,$C37,'TL16'!$J$238:$J$451),0),
IF('TL17'!$B$3=Q$3,SUMIF('TL17'!$C$10:$C$224,$C37,'TL17'!$J$10:$J$224),0),
IF('TL17'!$B$229=Q$3,SUMIF('TL17'!$C$238:$C$451,$C37,'TL17'!$J$238:$J$451),0),
IF('TL18'!$B$3=Q$3,SUMIF('TL18'!$C$10:$C$224,$C37,'TL18'!$J$10:$J$224),0),
IF('TL18'!$B$229=Q$3,SUMIF('TL18'!$C$238:$C$451,$C37,'TL18'!$J$238:$J$451),0),
IF('TL19'!$B$3=Q$3,SUMIF('TL19'!$C$10:$C$224,$C37,'TL19'!$J$10:$J$224),0),
IF('TL19'!$B$229=Q$3,SUMIF('TL19'!$C$238:$C$451,$C37,'TL19'!$J$238:$J$451),0)
),0)</f>
        <v>0</v>
      </c>
      <c r="R37" s="9">
        <f>IFERROR(
SUM(
SUMIF('TL01'!C:C,C37,'TL01'!J:J),
SUMIF('TL02'!C:C,C37,'TL02'!J:J),
SUMIF('TL03'!C:C,C37,'TL03'!J:J),
SUMIF('TL04'!C:C,C37,'TL04'!J:J),
SUMIF('TL05'!C:C,C37,'TL05'!J:J),
SUMIF('TL06'!C:C,C37,'TL06'!J:J),
SUMIF('TL07'!C:C,C37,'TL07'!J:J),
SUMIF('TL08'!C:C,C37,'TL08'!J:J),
SUMIF('TL09'!C:C,C37,'TL09'!J:J),
SUMIF('TL10'!C:C,C37,'TL10'!J:J),
SUMIF('TL11'!C:C,C37,'TL11'!J:J),
SUMIF('TL12'!C:C,C37,'TL12'!J:J),
SUMIF('TL13'!C:C,C37,'TL13'!J:J),
SUMIF('TL14'!C:C,C37,'TL14'!J:J),
SUMIF('TL15'!C:C,C37,'TL15'!J:J),
SUMIF('TL16'!C:C,C37,'TL16'!J:J),
SUMIF('TL17'!C:C,C37,'TL17'!J:J),
SUMIF('TL18'!C:C,C37,'TL18'!J:J),SUMIF('TL19'!C:C,C37,'TL19'!J:J))
,0)</f>
        <v>0</v>
      </c>
      <c r="S37" s="17" t="str">
        <f>IFERROR(__xludf.DUMMYFUNCTION("IFERROR(VLOOKUP(C37,
IMPORTRANGE(""1wULbzX32WdYsx-lj2U3uUNBBe2INVIRDtcK0d-Dvl90"",
""26-27!C:G""),
5,
FALSE),
"""")"),"")</f>
        <v/>
      </c>
      <c r="T37" s="9"/>
      <c r="U37" s="92">
        <f t="shared" si="2"/>
        <v>0</v>
      </c>
      <c r="V37" s="93">
        <f t="shared" si="3"/>
        <v>0</v>
      </c>
    </row>
    <row r="38" ht="22.5" hidden="1" customHeight="1">
      <c r="A38" s="101"/>
      <c r="B38" s="102" t="s">
        <v>7</v>
      </c>
      <c r="C38" s="103" t="s">
        <v>429</v>
      </c>
      <c r="D38" s="103" t="s">
        <v>430</v>
      </c>
      <c r="E38" s="104"/>
      <c r="F38" s="4" t="s">
        <v>399</v>
      </c>
      <c r="G38" s="9"/>
      <c r="H38" s="9" t="str">
        <f>IFERROR(__xludf.DUMMYFUNCTION("IFERROR(VLOOKUP(C38,
IMPORTRANGE(""1wULbzX32WdYsx-lj2U3uUNBBe2INVIRDtcK0d-Dvl90"",
""26-27!C:K""),
8,
FALSE),
"""")"),"")</f>
        <v/>
      </c>
      <c r="I38" s="105"/>
      <c r="J38" s="9">
        <f>IFERROR(SUM(
IF('TL01'!$B$3=J$3,SUMIF('TL01'!$C$10:$C$224,$C38,'TL01'!$J$10:$J$224),0),
IF('TL01'!$B$229=J$3,SUMIF('TL01'!$C$238:$C$451,$C38,'TL01'!$J$238:$J$451),0),
IF('TL02'!$B$3=J$3,SUMIF('TL02'!$C$10:$C$224,$C38,'TL02'!$J$10:$J$224),0),
IF('TL02'!$B$229=J$3,SUMIF('TL02'!$C$238:$C$451,$C38,'TL02'!$J$238:$J$451),0),
IF('TL03'!$B$3=J$3,SUMIF('TL03'!$C$10:$C$224,$C38,'TL03'!$J$10:$J$224),0),
IF('TL03'!$B$229=J$3,SUMIF('TL03'!$C$238:$C$451,$C38,'TL03'!$J$238:$J$451),0),
IF('TL04'!$B$3=J$3,SUMIF('TL04'!$C$10:$C$224,$C38,'TL04'!$J$10:$J$224),0),
IF('TL04'!$B$229=J$3,SUMIF('TL04'!$C$238:$C$451,$C38,'TL04'!$J$238:$J$451),0),
IF('TL05'!$B$3=J$3,SUMIF('TL05'!$C$10:$C$224,$C38,'TL05'!$J$10:$J$224),0),
IF('TL05'!$B$229=J$3,SUMIF('TL05'!$C$238:$C$451,$C38,'TL05'!$J$238:$J$451),0),
IF('TL06'!$B$3=J$3,SUMIF('TL06'!$C$10:$C$224,$C38,'TL06'!$J$10:$J$224),0),
IF('TL06'!$B$229=J$3,SUMIF('TL06'!$C$238:$C$451,$C38,'TL06'!$J$238:$J$451),0),
IF('TL07'!$B$3=J$3,SUMIF('TL07'!$C$10:$C$224,$C38,'TL07'!$J$10:$J$224),0),
IF('TL07'!$B$229=J$3,SUMIF('TL07'!$C$238:$C$451,$C38,'TL07'!$J$238:$J$451),0),
IF('TL08'!$B$3=J$3,SUMIF('TL08'!$C$10:$C$224,$C38,'TL08'!$J$10:$J$224),0),
IF('TL08'!$B$229=J$3,SUMIF('TL08'!$C$238:$C$451,$C38,'TL08'!$J$238:$J$451),0),
IF('TL09'!$B$3=J$3,SUMIF('TL09'!$C$10:$C$224,$C38,'TL09'!$J$10:$J$224),0),
IF('TL09'!$B$229=J$3,SUMIF('TL09'!$C$238:$C$451,$C38,'TL09'!$J$238:$J$451),0),
IF('TL10'!$B$3=J$3,SUMIF('TL10'!$C$10:$C$224,$C38,'TL10'!$J$10:$J$224),0),
IF('TL10'!$B$229=J$3,SUMIF('TL10'!$C$238:$C$451,$C38,'TL10'!$J$238:$J$451),0),
IF('TL11'!$B$3=J$3,SUMIF('TL11'!$C$10:$C$224,$C38,'TL11'!$J$10:$J$224),0),
IF('TL11'!$B$229=J$3,SUMIF('TL11'!$C$238:$C$451,$C38,'TL11'!$J$238:$J$451),0),
IF('TL12'!$B$3=J$3,SUMIF('TL12'!$C$10:$C$224,$C38,'TL12'!$J$10:$J$224),0),
IF('TL12'!$B$229=J$3,SUMIF('TL12'!$C$238:$C$451,$C38,'TL12'!$J$238:$J$451),0),
IF('TL13'!$B$3=J$3,SUMIF('TL13'!$C$10:$C$224,$C38,'TL13'!$J$10:$J$224),0),
IF('TL13'!$B$229=J$3,SUMIF('TL13'!$C$238:$C$451,$C38,'TL13'!$J$238:$J$451),0),
IF('TL14'!$B$3=J$3,SUMIF('TL14'!$C$10:$C$224,$C38,'TL14'!$J$10:$J$224),0),
IF('TL14'!$B$229=J$3,SUMIF('TL14'!$C$238:$C$451,$C38,'TL14'!$J$238:$J$451),0),
IF('TL15'!$B$3=J$3,SUMIF('TL15'!$C$10:$C$224,$C38,'TL15'!$J$10:$J$224),0),
IF('TL15'!$B$229=J$3,SUMIF('TL15'!$C$238:$C$451,$C38,'TL15'!$J$238:$J$451),0),
IF('TL16'!$B$3=J$3,SUMIF('TL16'!$C$10:$C$224,$C38,'TL16'!$J$10:$J$224),0),
IF('TL16'!$B$229=J$3,SUMIF('TL16'!$C$238:$C$451,$C38,'TL16'!$J$238:$J$451),0),
IF('TL17'!$B$3=J$3,SUMIF('TL17'!$C$10:$C$224,$C38,'TL17'!$J$10:$J$224),0),
IF('TL17'!$B$229=J$3,SUMIF('TL17'!$C$238:$C$451,$C38,'TL17'!$J$238:$J$451),0),
IF('TL18'!$B$3=J$3,SUMIF('TL18'!$C$10:$C$224,$C38,'TL18'!$J$10:$J$224),0),
IF('TL18'!$B$229=J$3,SUMIF('TL18'!$C$238:$C$451,$C38,'TL18'!$J$238:$J$451),0),
IF('TL19'!$B$3=J$3,SUMIF('TL19'!$C$10:$C$224,$C38,'TL19'!$J$10:$J$224),0),
IF('TL19'!$B$229=J$3,SUMIF('TL19'!$C$238:$C$451,$C38,'TL19'!$J$238:$J$451),0)
),0)</f>
        <v>24.5</v>
      </c>
      <c r="K38" s="9">
        <f>IFERROR(SUM(
IF('TL01'!$B$3=K$3,SUMIF('TL01'!$C$10:$C$224,$C38,'TL01'!$J$10:$J$224),0),
IF('TL01'!$B$229=K$3,SUMIF('TL01'!$C$238:$C$451,$C38,'TL01'!$J$238:$J$451),0),
IF('TL02'!$B$3=K$3,SUMIF('TL02'!$C$10:$C$224,$C38,'TL02'!$J$10:$J$224),0),
IF('TL02'!$B$229=K$3,SUMIF('TL02'!$C$238:$C$451,$C38,'TL02'!$J$238:$J$451),0),
IF('TL03'!$B$3=K$3,SUMIF('TL03'!$C$10:$C$224,$C38,'TL03'!$J$10:$J$224),0),
IF('TL03'!$B$229=K$3,SUMIF('TL03'!$C$238:$C$451,$C38,'TL03'!$J$238:$J$451),0),
IF('TL04'!$B$3=K$3,SUMIF('TL04'!$C$10:$C$224,$C38,'TL04'!$J$10:$J$224),0),
IF('TL04'!$B$229=K$3,SUMIF('TL04'!$C$238:$C$451,$C38,'TL04'!$J$238:$J$451),0),
IF('TL05'!$B$3=K$3,SUMIF('TL05'!$C$10:$C$224,$C38,'TL05'!$J$10:$J$224),0),
IF('TL05'!$B$229=K$3,SUMIF('TL05'!$C$238:$C$451,$C38,'TL05'!$J$238:$J$451),0),
IF('TL06'!$B$3=K$3,SUMIF('TL06'!$C$10:$C$224,$C38,'TL06'!$J$10:$J$224),0),
IF('TL06'!$B$229=K$3,SUMIF('TL06'!$C$238:$C$451,$C38,'TL06'!$J$238:$J$451),0),
IF('TL07'!$B$3=K$3,SUMIF('TL07'!$C$10:$C$224,$C38,'TL07'!$J$10:$J$224),0),
IF('TL07'!$B$229=K$3,SUMIF('TL07'!$C$238:$C$451,$C38,'TL07'!$J$238:$J$451),0),
IF('TL08'!$B$3=K$3,SUMIF('TL08'!$C$10:$C$224,$C38,'TL08'!$J$10:$J$224),0),
IF('TL08'!$B$229=K$3,SUMIF('TL08'!$C$238:$C$451,$C38,'TL08'!$J$238:$J$451),0),
IF('TL09'!$B$3=K$3,SUMIF('TL09'!$C$10:$C$224,$C38,'TL09'!$J$10:$J$224),0),
IF('TL09'!$B$229=K$3,SUMIF('TL09'!$C$238:$C$451,$C38,'TL09'!$J$238:$J$451),0),
IF('TL10'!$B$3=K$3,SUMIF('TL10'!$C$10:$C$224,$C38,'TL10'!$J$10:$J$224),0),
IF('TL10'!$B$229=K$3,SUMIF('TL10'!$C$238:$C$451,$C38,'TL10'!$J$238:$J$451),0),
IF('TL11'!$B$3=K$3,SUMIF('TL11'!$C$10:$C$224,$C38,'TL11'!$J$10:$J$224),0),
IF('TL11'!$B$229=K$3,SUMIF('TL11'!$C$238:$C$451,$C38,'TL11'!$J$238:$J$451),0),
IF('TL12'!$B$3=K$3,SUMIF('TL12'!$C$10:$C$224,$C38,'TL12'!$J$10:$J$224),0),
IF('TL12'!$B$229=K$3,SUMIF('TL12'!$C$238:$C$451,$C38,'TL12'!$J$238:$J$451),0),
IF('TL13'!$B$3=K$3,SUMIF('TL13'!$C$10:$C$224,$C38,'TL13'!$J$10:$J$224),0),
IF('TL13'!$B$229=K$3,SUMIF('TL13'!$C$238:$C$451,$C38,'TL13'!$J$238:$J$451),0),
IF('TL14'!$B$3=K$3,SUMIF('TL14'!$C$10:$C$224,$C38,'TL14'!$J$10:$J$224),0),
IF('TL14'!$B$229=K$3,SUMIF('TL14'!$C$238:$C$451,$C38,'TL14'!$J$238:$J$451),0),
IF('TL15'!$B$3=K$3,SUMIF('TL15'!$C$10:$C$224,$C38,'TL15'!$J$10:$J$224),0),
IF('TL15'!$B$229=K$3,SUMIF('TL15'!$C$238:$C$451,$C38,'TL15'!$J$238:$J$451),0),
IF('TL16'!$B$3=K$3,SUMIF('TL16'!$C$10:$C$224,$C38,'TL16'!$J$10:$J$224),0),
IF('TL16'!$B$229=K$3,SUMIF('TL16'!$C$238:$C$451,$C38,'TL16'!$J$238:$J$451),0),
IF('TL17'!$B$3=K$3,SUMIF('TL17'!$C$10:$C$224,$C38,'TL17'!$J$10:$J$224),0),
IF('TL17'!$B$229=K$3,SUMIF('TL17'!$C$238:$C$451,$C38,'TL17'!$J$238:$J$451),0),
IF('TL18'!$B$3=K$3,SUMIF('TL18'!$C$10:$C$224,$C38,'TL18'!$J$10:$J$224),0),
IF('TL18'!$B$229=K$3,SUMIF('TL18'!$C$238:$C$451,$C38,'TL18'!$J$238:$J$451),0),
IF('TL19'!$B$3=K$3,SUMIF('TL19'!$C$10:$C$224,$C38,'TL19'!$J$10:$J$224),0),
IF('TL19'!$B$229=K$3,SUMIF('TL19'!$C$238:$C$451,$C38,'TL19'!$J$238:$J$451),0)
),0)</f>
        <v>15</v>
      </c>
      <c r="L38" s="9">
        <f>IFERROR(SUM(
IF('TL01'!$B$3=L$3,SUMIF('TL01'!$C$10:$C$224,$C38,'TL01'!$J$10:$J$224),0),
IF('TL01'!$B$229=L$3,SUMIF('TL01'!$C$238:$C$451,$C38,'TL01'!$J$238:$J$451),0),
IF('TL02'!$B$3=L$3,SUMIF('TL02'!$C$10:$C$224,$C38,'TL02'!$J$10:$J$224),0),
IF('TL02'!$B$229=L$3,SUMIF('TL02'!$C$238:$C$451,$C38,'TL02'!$J$238:$J$451),0),
IF('TL03'!$B$3=L$3,SUMIF('TL03'!$C$10:$C$224,$C38,'TL03'!$J$10:$J$224),0),
IF('TL03'!$B$229=L$3,SUMIF('TL03'!$C$238:$C$451,$C38,'TL03'!$J$238:$J$451),0),
IF('TL04'!$B$3=L$3,SUMIF('TL04'!$C$10:$C$224,$C38,'TL04'!$J$10:$J$224),0),
IF('TL04'!$B$229=L$3,SUMIF('TL04'!$C$238:$C$451,$C38,'TL04'!$J$238:$J$451),0),
IF('TL05'!$B$3=L$3,SUMIF('TL05'!$C$10:$C$224,$C38,'TL05'!$J$10:$J$224),0),
IF('TL05'!$B$229=L$3,SUMIF('TL05'!$C$238:$C$451,$C38,'TL05'!$J$238:$J$451),0),
IF('TL06'!$B$3=L$3,SUMIF('TL06'!$C$10:$C$224,$C38,'TL06'!$J$10:$J$224),0),
IF('TL06'!$B$229=L$3,SUMIF('TL06'!$C$238:$C$451,$C38,'TL06'!$J$238:$J$451),0),
IF('TL07'!$B$3=L$3,SUMIF('TL07'!$C$10:$C$224,$C38,'TL07'!$J$10:$J$224),0),
IF('TL07'!$B$229=L$3,SUMIF('TL07'!$C$238:$C$451,$C38,'TL07'!$J$238:$J$451),0),
IF('TL08'!$B$3=L$3,SUMIF('TL08'!$C$10:$C$224,$C38,'TL08'!$J$10:$J$224),0),
IF('TL08'!$B$229=L$3,SUMIF('TL08'!$C$238:$C$451,$C38,'TL08'!$J$238:$J$451),0),
IF('TL09'!$B$3=L$3,SUMIF('TL09'!$C$10:$C$224,$C38,'TL09'!$J$10:$J$224),0),
IF('TL09'!$B$229=L$3,SUMIF('TL09'!$C$238:$C$451,$C38,'TL09'!$J$238:$J$451),0),
IF('TL10'!$B$3=L$3,SUMIF('TL10'!$C$10:$C$224,$C38,'TL10'!$J$10:$J$224),0),
IF('TL10'!$B$229=L$3,SUMIF('TL10'!$C$238:$C$451,$C38,'TL10'!$J$238:$J$451),0),
IF('TL11'!$B$3=L$3,SUMIF('TL11'!$C$10:$C$224,$C38,'TL11'!$J$10:$J$224),0),
IF('TL11'!$B$229=L$3,SUMIF('TL11'!$C$238:$C$451,$C38,'TL11'!$J$238:$J$451),0),
IF('TL12'!$B$3=L$3,SUMIF('TL12'!$C$10:$C$224,$C38,'TL12'!$J$10:$J$224),0),
IF('TL12'!$B$229=L$3,SUMIF('TL12'!$C$238:$C$451,$C38,'TL12'!$J$238:$J$451),0),
IF('TL13'!$B$3=L$3,SUMIF('TL13'!$C$10:$C$224,$C38,'TL13'!$J$10:$J$224),0),
IF('TL13'!$B$229=L$3,SUMIF('TL13'!$C$238:$C$451,$C38,'TL13'!$J$238:$J$451),0),
IF('TL14'!$B$3=L$3,SUMIF('TL14'!$C$10:$C$224,$C38,'TL14'!$J$10:$J$224),0),
IF('TL14'!$B$229=L$3,SUMIF('TL14'!$C$238:$C$451,$C38,'TL14'!$J$238:$J$451),0),
IF('TL15'!$B$3=L$3,SUMIF('TL15'!$C$10:$C$224,$C38,'TL15'!$J$10:$J$224),0),
IF('TL15'!$B$229=L$3,SUMIF('TL15'!$C$238:$C$451,$C38,'TL15'!$J$238:$J$451),0),
IF('TL16'!$B$3=L$3,SUMIF('TL16'!$C$10:$C$224,$C38,'TL16'!$J$10:$J$224),0),
IF('TL16'!$B$229=L$3,SUMIF('TL16'!$C$238:$C$451,$C38,'TL16'!$J$238:$J$451),0),
IF('TL17'!$B$3=L$3,SUMIF('TL17'!$C$10:$C$224,$C38,'TL17'!$J$10:$J$224),0),
IF('TL17'!$B$229=L$3,SUMIF('TL17'!$C$238:$C$451,$C38,'TL17'!$J$238:$J$451),0),
IF('TL18'!$B$3=L$3,SUMIF('TL18'!$C$10:$C$224,$C38,'TL18'!$J$10:$J$224),0),
IF('TL18'!$B$229=L$3,SUMIF('TL18'!$C$238:$C$451,$C38,'TL18'!$J$238:$J$451),0),
IF('TL19'!$B$3=L$3,SUMIF('TL19'!$C$10:$C$224,$C38,'TL19'!$J$10:$J$224),0),
IF('TL19'!$B$229=L$3,SUMIF('TL19'!$C$238:$C$451,$C38,'TL19'!$J$238:$J$451),0)
),0)</f>
        <v>11</v>
      </c>
      <c r="M38" s="9">
        <f>IFERROR(SUM(
IF('TL01'!$B$3=M$3,SUMIF('TL01'!$C$10:$C$224,$C38,'TL01'!$J$10:$J$224),0),
IF('TL01'!$B$229=M$3,SUMIF('TL01'!$C$238:$C$451,$C38,'TL01'!$J$238:$J$451),0),
IF('TL02'!$B$3=M$3,SUMIF('TL02'!$C$10:$C$224,$C38,'TL02'!$J$10:$J$224),0),
IF('TL02'!$B$229=M$3,SUMIF('TL02'!$C$238:$C$451,$C38,'TL02'!$J$238:$J$451),0),
IF('TL03'!$B$3=M$3,SUMIF('TL03'!$C$10:$C$224,$C38,'TL03'!$J$10:$J$224),0),
IF('TL03'!$B$229=M$3,SUMIF('TL03'!$C$238:$C$451,$C38,'TL03'!$J$238:$J$451),0),
IF('TL04'!$B$3=M$3,SUMIF('TL04'!$C$10:$C$224,$C38,'TL04'!$J$10:$J$224),0),
IF('TL04'!$B$229=M$3,SUMIF('TL04'!$C$238:$C$451,$C38,'TL04'!$J$238:$J$451),0),
IF('TL05'!$B$3=M$3,SUMIF('TL05'!$C$10:$C$224,$C38,'TL05'!$J$10:$J$224),0),
IF('TL05'!$B$229=M$3,SUMIF('TL05'!$C$238:$C$451,$C38,'TL05'!$J$238:$J$451),0),
IF('TL06'!$B$3=M$3,SUMIF('TL06'!$C$10:$C$224,$C38,'TL06'!$J$10:$J$224),0),
IF('TL06'!$B$229=M$3,SUMIF('TL06'!$C$238:$C$451,$C38,'TL06'!$J$238:$J$451),0),
IF('TL07'!$B$3=M$3,SUMIF('TL07'!$C$10:$C$224,$C38,'TL07'!$J$10:$J$224),0),
IF('TL07'!$B$229=M$3,SUMIF('TL07'!$C$238:$C$451,$C38,'TL07'!$J$238:$J$451),0),
IF('TL08'!$B$3=M$3,SUMIF('TL08'!$C$10:$C$224,$C38,'TL08'!$J$10:$J$224),0),
IF('TL08'!$B$229=M$3,SUMIF('TL08'!$C$238:$C$451,$C38,'TL08'!$J$238:$J$451),0),
IF('TL09'!$B$3=M$3,SUMIF('TL09'!$C$10:$C$224,$C38,'TL09'!$J$10:$J$224),0),
IF('TL09'!$B$229=M$3,SUMIF('TL09'!$C$238:$C$451,$C38,'TL09'!$J$238:$J$451),0),
IF('TL10'!$B$3=M$3,SUMIF('TL10'!$C$10:$C$224,$C38,'TL10'!$J$10:$J$224),0),
IF('TL10'!$B$229=M$3,SUMIF('TL10'!$C$238:$C$451,$C38,'TL10'!$J$238:$J$451),0),
IF('TL11'!$B$3=M$3,SUMIF('TL11'!$C$10:$C$224,$C38,'TL11'!$J$10:$J$224),0),
IF('TL11'!$B$229=M$3,SUMIF('TL11'!$C$238:$C$451,$C38,'TL11'!$J$238:$J$451),0),
IF('TL12'!$B$3=M$3,SUMIF('TL12'!$C$10:$C$224,$C38,'TL12'!$J$10:$J$224),0),
IF('TL12'!$B$229=M$3,SUMIF('TL12'!$C$238:$C$451,$C38,'TL12'!$J$238:$J$451),0),
IF('TL13'!$B$3=M$3,SUMIF('TL13'!$C$10:$C$224,$C38,'TL13'!$J$10:$J$224),0),
IF('TL13'!$B$229=M$3,SUMIF('TL13'!$C$238:$C$451,$C38,'TL13'!$J$238:$J$451),0),
IF('TL14'!$B$3=M$3,SUMIF('TL14'!$C$10:$C$224,$C38,'TL14'!$J$10:$J$224),0),
IF('TL14'!$B$229=M$3,SUMIF('TL14'!$C$238:$C$451,$C38,'TL14'!$J$238:$J$451),0),
IF('TL15'!$B$3=M$3,SUMIF('TL15'!$C$10:$C$224,$C38,'TL15'!$J$10:$J$224),0),
IF('TL15'!$B$229=M$3,SUMIF('TL15'!$C$238:$C$451,$C38,'TL15'!$J$238:$J$451),0),
IF('TL16'!$B$3=M$3,SUMIF('TL16'!$C$10:$C$224,$C38,'TL16'!$J$10:$J$224),0),
IF('TL16'!$B$229=M$3,SUMIF('TL16'!$C$238:$C$451,$C38,'TL16'!$J$238:$J$451),0),
IF('TL17'!$B$3=M$3,SUMIF('TL17'!$C$10:$C$224,$C38,'TL17'!$J$10:$J$224),0),
IF('TL17'!$B$229=M$3,SUMIF('TL17'!$C$238:$C$451,$C38,'TL17'!$J$238:$J$451),0),
IF('TL18'!$B$3=M$3,SUMIF('TL18'!$C$10:$C$224,$C38,'TL18'!$J$10:$J$224),0),
IF('TL18'!$B$229=M$3,SUMIF('TL18'!$C$238:$C$451,$C38,'TL18'!$J$238:$J$451),0),
IF('TL19'!$B$3=M$3,SUMIF('TL19'!$C$10:$C$224,$C38,'TL19'!$J$10:$J$224),0),
IF('TL19'!$B$229=M$3,SUMIF('TL19'!$C$238:$C$451,$C38,'TL19'!$J$238:$J$451),0)
),0)</f>
        <v>0</v>
      </c>
      <c r="N38" s="9">
        <f>IFERROR(SUM(
IF('TL01'!$B$3=N$3,SUMIF('TL01'!$C$10:$C$224,$C38,'TL01'!$J$10:$J$224),0),
IF('TL01'!$B$229=N$3,SUMIF('TL01'!$C$238:$C$451,$C38,'TL01'!$J$238:$J$451),0),
IF('TL02'!$B$3=N$3,SUMIF('TL02'!$C$10:$C$224,$C38,'TL02'!$J$10:$J$224),0),
IF('TL02'!$B$229=N$3,SUMIF('TL02'!$C$238:$C$451,$C38,'TL02'!$J$238:$J$451),0),
IF('TL03'!$B$3=N$3,SUMIF('TL03'!$C$10:$C$224,$C38,'TL03'!$J$10:$J$224),0),
IF('TL03'!$B$229=N$3,SUMIF('TL03'!$C$238:$C$451,$C38,'TL03'!$J$238:$J$451),0),
IF('TL04'!$B$3=N$3,SUMIF('TL04'!$C$10:$C$224,$C38,'TL04'!$J$10:$J$224),0),
IF('TL04'!$B$229=N$3,SUMIF('TL04'!$C$238:$C$451,$C38,'TL04'!$J$238:$J$451),0),
IF('TL05'!$B$3=N$3,SUMIF('TL05'!$C$10:$C$224,$C38,'TL05'!$J$10:$J$224),0),
IF('TL05'!$B$229=N$3,SUMIF('TL05'!$C$238:$C$451,$C38,'TL05'!$J$238:$J$451),0),
IF('TL06'!$B$3=N$3,SUMIF('TL06'!$C$10:$C$224,$C38,'TL06'!$J$10:$J$224),0),
IF('TL06'!$B$229=N$3,SUMIF('TL06'!$C$238:$C$451,$C38,'TL06'!$J$238:$J$451),0),
IF('TL07'!$B$3=N$3,SUMIF('TL07'!$C$10:$C$224,$C38,'TL07'!$J$10:$J$224),0),
IF('TL07'!$B$229=N$3,SUMIF('TL07'!$C$238:$C$451,$C38,'TL07'!$J$238:$J$451),0),
IF('TL08'!$B$3=N$3,SUMIF('TL08'!$C$10:$C$224,$C38,'TL08'!$J$10:$J$224),0),
IF('TL08'!$B$229=N$3,SUMIF('TL08'!$C$238:$C$451,$C38,'TL08'!$J$238:$J$451),0),
IF('TL09'!$B$3=N$3,SUMIF('TL09'!$C$10:$C$224,$C38,'TL09'!$J$10:$J$224),0),
IF('TL09'!$B$229=N$3,SUMIF('TL09'!$C$238:$C$451,$C38,'TL09'!$J$238:$J$451),0),
IF('TL10'!$B$3=N$3,SUMIF('TL10'!$C$10:$C$224,$C38,'TL10'!$J$10:$J$224),0),
IF('TL10'!$B$229=N$3,SUMIF('TL10'!$C$238:$C$451,$C38,'TL10'!$J$238:$J$451),0),
IF('TL11'!$B$3=N$3,SUMIF('TL11'!$C$10:$C$224,$C38,'TL11'!$J$10:$J$224),0),
IF('TL11'!$B$229=N$3,SUMIF('TL11'!$C$238:$C$451,$C38,'TL11'!$J$238:$J$451),0),
IF('TL12'!$B$3=N$3,SUMIF('TL12'!$C$10:$C$224,$C38,'TL12'!$J$10:$J$224),0),
IF('TL12'!$B$229=N$3,SUMIF('TL12'!$C$238:$C$451,$C38,'TL12'!$J$238:$J$451),0),
IF('TL13'!$B$3=N$3,SUMIF('TL13'!$C$10:$C$224,$C38,'TL13'!$J$10:$J$224),0),
IF('TL13'!$B$229=N$3,SUMIF('TL13'!$C$238:$C$451,$C38,'TL13'!$J$238:$J$451),0),
IF('TL14'!$B$3=N$3,SUMIF('TL14'!$C$10:$C$224,$C38,'TL14'!$J$10:$J$224),0),
IF('TL14'!$B$229=N$3,SUMIF('TL14'!$C$238:$C$451,$C38,'TL14'!$J$238:$J$451),0),
IF('TL15'!$B$3=N$3,SUMIF('TL15'!$C$10:$C$224,$C38,'TL15'!$J$10:$J$224),0),
IF('TL15'!$B$229=N$3,SUMIF('TL15'!$C$238:$C$451,$C38,'TL15'!$J$238:$J$451),0),
IF('TL16'!$B$3=N$3,SUMIF('TL16'!$C$10:$C$224,$C38,'TL16'!$J$10:$J$224),0),
IF('TL16'!$B$229=N$3,SUMIF('TL16'!$C$238:$C$451,$C38,'TL16'!$J$238:$J$451),0),
IF('TL17'!$B$3=N$3,SUMIF('TL17'!$C$10:$C$224,$C38,'TL17'!$J$10:$J$224),0),
IF('TL17'!$B$229=N$3,SUMIF('TL17'!$C$238:$C$451,$C38,'TL17'!$J$238:$J$451),0),
IF('TL18'!$B$3=N$3,SUMIF('TL18'!$C$10:$C$224,$C38,'TL18'!$J$10:$J$224),0),
IF('TL18'!$B$229=N$3,SUMIF('TL18'!$C$238:$C$451,$C38,'TL18'!$J$238:$J$451),0),
IF('TL19'!$B$3=N$3,SUMIF('TL19'!$C$10:$C$224,$C38,'TL19'!$J$10:$J$224),0),
IF('TL19'!$B$229=N$3,SUMIF('TL19'!$C$238:$C$451,$C38,'TL19'!$J$238:$J$451),0)
),0)</f>
        <v>0</v>
      </c>
      <c r="O38" s="9">
        <f>IFERROR(SUM(
IF('TL01'!$B$3=O$3,SUMIF('TL01'!$C$10:$C$224,$C38,'TL01'!$J$10:$J$224),0),
IF('TL01'!$B$229=O$3,SUMIF('TL01'!$C$238:$C$451,$C38,'TL01'!$J$238:$J$451),0),
IF('TL02'!$B$3=O$3,SUMIF('TL02'!$C$10:$C$224,$C38,'TL02'!$J$10:$J$224),0),
IF('TL02'!$B$229=O$3,SUMIF('TL02'!$C$238:$C$451,$C38,'TL02'!$J$238:$J$451),0),
IF('TL03'!$B$3=O$3,SUMIF('TL03'!$C$10:$C$224,$C38,'TL03'!$J$10:$J$224),0),
IF('TL03'!$B$229=O$3,SUMIF('TL03'!$C$238:$C$451,$C38,'TL03'!$J$238:$J$451),0),
IF('TL04'!$B$3=O$3,SUMIF('TL04'!$C$10:$C$224,$C38,'TL04'!$J$10:$J$224),0),
IF('TL04'!$B$229=O$3,SUMIF('TL04'!$C$238:$C$451,$C38,'TL04'!$J$238:$J$451),0),
IF('TL05'!$B$3=O$3,SUMIF('TL05'!$C$10:$C$224,$C38,'TL05'!$J$10:$J$224),0),
IF('TL05'!$B$229=O$3,SUMIF('TL05'!$C$238:$C$451,$C38,'TL05'!$J$238:$J$451),0),
IF('TL06'!$B$3=O$3,SUMIF('TL06'!$C$10:$C$224,$C38,'TL06'!$J$10:$J$224),0),
IF('TL06'!$B$229=O$3,SUMIF('TL06'!$C$238:$C$451,$C38,'TL06'!$J$238:$J$451),0),
IF('TL07'!$B$3=O$3,SUMIF('TL07'!$C$10:$C$224,$C38,'TL07'!$J$10:$J$224),0),
IF('TL07'!$B$229=O$3,SUMIF('TL07'!$C$238:$C$451,$C38,'TL07'!$J$238:$J$451),0),
IF('TL08'!$B$3=O$3,SUMIF('TL08'!$C$10:$C$224,$C38,'TL08'!$J$10:$J$224),0),
IF('TL08'!$B$229=O$3,SUMIF('TL08'!$C$238:$C$451,$C38,'TL08'!$J$238:$J$451),0),
IF('TL09'!$B$3=O$3,SUMIF('TL09'!$C$10:$C$224,$C38,'TL09'!$J$10:$J$224),0),
IF('TL09'!$B$229=O$3,SUMIF('TL09'!$C$238:$C$451,$C38,'TL09'!$J$238:$J$451),0),
IF('TL10'!$B$3=O$3,SUMIF('TL10'!$C$10:$C$224,$C38,'TL10'!$J$10:$J$224),0),
IF('TL10'!$B$229=O$3,SUMIF('TL10'!$C$238:$C$451,$C38,'TL10'!$J$238:$J$451),0),
IF('TL11'!$B$3=O$3,SUMIF('TL11'!$C$10:$C$224,$C38,'TL11'!$J$10:$J$224),0),
IF('TL11'!$B$229=O$3,SUMIF('TL11'!$C$238:$C$451,$C38,'TL11'!$J$238:$J$451),0),
IF('TL12'!$B$3=O$3,SUMIF('TL12'!$C$10:$C$224,$C38,'TL12'!$J$10:$J$224),0),
IF('TL12'!$B$229=O$3,SUMIF('TL12'!$C$238:$C$451,$C38,'TL12'!$J$238:$J$451),0),
IF('TL13'!$B$3=O$3,SUMIF('TL13'!$C$10:$C$224,$C38,'TL13'!$J$10:$J$224),0),
IF('TL13'!$B$229=O$3,SUMIF('TL13'!$C$238:$C$451,$C38,'TL13'!$J$238:$J$451),0),
IF('TL14'!$B$3=O$3,SUMIF('TL14'!$C$10:$C$224,$C38,'TL14'!$J$10:$J$224),0),
IF('TL14'!$B$229=O$3,SUMIF('TL14'!$C$238:$C$451,$C38,'TL14'!$J$238:$J$451),0),
IF('TL15'!$B$3=O$3,SUMIF('TL15'!$C$10:$C$224,$C38,'TL15'!$J$10:$J$224),0),
IF('TL15'!$B$229=O$3,SUMIF('TL15'!$C$238:$C$451,$C38,'TL15'!$J$238:$J$451),0),
IF('TL16'!$B$3=O$3,SUMIF('TL16'!$C$10:$C$224,$C38,'TL16'!$J$10:$J$224),0),
IF('TL16'!$B$229=O$3,SUMIF('TL16'!$C$238:$C$451,$C38,'TL16'!$J$238:$J$451),0),
IF('TL17'!$B$3=O$3,SUMIF('TL17'!$C$10:$C$224,$C38,'TL17'!$J$10:$J$224),0),
IF('TL17'!$B$229=O$3,SUMIF('TL17'!$C$238:$C$451,$C38,'TL17'!$J$238:$J$451),0),
IF('TL18'!$B$3=O$3,SUMIF('TL18'!$C$10:$C$224,$C38,'TL18'!$J$10:$J$224),0),
IF('TL18'!$B$229=O$3,SUMIF('TL18'!$C$238:$C$451,$C38,'TL18'!$J$238:$J$451),0),
IF('TL19'!$B$3=O$3,SUMIF('TL19'!$C$10:$C$224,$C38,'TL19'!$J$10:$J$224),0),
IF('TL19'!$B$229=O$3,SUMIF('TL19'!$C$238:$C$451,$C38,'TL19'!$J$238:$J$451),0)
),0)</f>
        <v>0</v>
      </c>
      <c r="P38" s="9">
        <f>IFERROR(SUM(
IF('TL01'!$B$3=P$3,SUMIF('TL01'!$C$10:$C$224,$C38,'TL01'!$J$10:$J$224),0),
IF('TL01'!$B$229=P$3,SUMIF('TL01'!$C$238:$C$451,$C38,'TL01'!$J$238:$J$451),0),
IF('TL02'!$B$3=P$3,SUMIF('TL02'!$C$10:$C$224,$C38,'TL02'!$J$10:$J$224),0),
IF('TL02'!$B$229=P$3,SUMIF('TL02'!$C$238:$C$451,$C38,'TL02'!$J$238:$J$451),0),
IF('TL03'!$B$3=P$3,SUMIF('TL03'!$C$10:$C$224,$C38,'TL03'!$J$10:$J$224),0),
IF('TL03'!$B$229=P$3,SUMIF('TL03'!$C$238:$C$451,$C38,'TL03'!$J$238:$J$451),0),
IF('TL04'!$B$3=P$3,SUMIF('TL04'!$C$10:$C$224,$C38,'TL04'!$J$10:$J$224),0),
IF('TL04'!$B$229=P$3,SUMIF('TL04'!$C$238:$C$451,$C38,'TL04'!$J$238:$J$451),0),
IF('TL05'!$B$3=P$3,SUMIF('TL05'!$C$10:$C$224,$C38,'TL05'!$J$10:$J$224),0),
IF('TL05'!$B$229=P$3,SUMIF('TL05'!$C$238:$C$451,$C38,'TL05'!$J$238:$J$451),0),
IF('TL06'!$B$3=P$3,SUMIF('TL06'!$C$10:$C$224,$C38,'TL06'!$J$10:$J$224),0),
IF('TL06'!$B$229=P$3,SUMIF('TL06'!$C$238:$C$451,$C38,'TL06'!$J$238:$J$451),0),
IF('TL07'!$B$3=P$3,SUMIF('TL07'!$C$10:$C$224,$C38,'TL07'!$J$10:$J$224),0),
IF('TL07'!$B$229=P$3,SUMIF('TL07'!$C$238:$C$451,$C38,'TL07'!$J$238:$J$451),0),
IF('TL08'!$B$3=P$3,SUMIF('TL08'!$C$10:$C$224,$C38,'TL08'!$J$10:$J$224),0),
IF('TL08'!$B$229=P$3,SUMIF('TL08'!$C$238:$C$451,$C38,'TL08'!$J$238:$J$451),0),
IF('TL09'!$B$3=P$3,SUMIF('TL09'!$C$10:$C$224,$C38,'TL09'!$J$10:$J$224),0),
IF('TL09'!$B$229=P$3,SUMIF('TL09'!$C$238:$C$451,$C38,'TL09'!$J$238:$J$451),0),
IF('TL10'!$B$3=P$3,SUMIF('TL10'!$C$10:$C$224,$C38,'TL10'!$J$10:$J$224),0),
IF('TL10'!$B$229=P$3,SUMIF('TL10'!$C$238:$C$451,$C38,'TL10'!$J$238:$J$451),0),
IF('TL11'!$B$3=P$3,SUMIF('TL11'!$C$10:$C$224,$C38,'TL11'!$J$10:$J$224),0),
IF('TL11'!$B$229=P$3,SUMIF('TL11'!$C$238:$C$451,$C38,'TL11'!$J$238:$J$451),0),
IF('TL12'!$B$3=P$3,SUMIF('TL12'!$C$10:$C$224,$C38,'TL12'!$J$10:$J$224),0),
IF('TL12'!$B$229=P$3,SUMIF('TL12'!$C$238:$C$451,$C38,'TL12'!$J$238:$J$451),0),
IF('TL13'!$B$3=P$3,SUMIF('TL13'!$C$10:$C$224,$C38,'TL13'!$J$10:$J$224),0),
IF('TL13'!$B$229=P$3,SUMIF('TL13'!$C$238:$C$451,$C38,'TL13'!$J$238:$J$451),0),
IF('TL14'!$B$3=P$3,SUMIF('TL14'!$C$10:$C$224,$C38,'TL14'!$J$10:$J$224),0),
IF('TL14'!$B$229=P$3,SUMIF('TL14'!$C$238:$C$451,$C38,'TL14'!$J$238:$J$451),0),
IF('TL15'!$B$3=P$3,SUMIF('TL15'!$C$10:$C$224,$C38,'TL15'!$J$10:$J$224),0),
IF('TL15'!$B$229=P$3,SUMIF('TL15'!$C$238:$C$451,$C38,'TL15'!$J$238:$J$451),0),
IF('TL16'!$B$3=P$3,SUMIF('TL16'!$C$10:$C$224,$C38,'TL16'!$J$10:$J$224),0),
IF('TL16'!$B$229=P$3,SUMIF('TL16'!$C$238:$C$451,$C38,'TL16'!$J$238:$J$451),0),
IF('TL17'!$B$3=P$3,SUMIF('TL17'!$C$10:$C$224,$C38,'TL17'!$J$10:$J$224),0),
IF('TL17'!$B$229=P$3,SUMIF('TL17'!$C$238:$C$451,$C38,'TL17'!$J$238:$J$451),0),
IF('TL18'!$B$3=P$3,SUMIF('TL18'!$C$10:$C$224,$C38,'TL18'!$J$10:$J$224),0),
IF('TL18'!$B$229=P$3,SUMIF('TL18'!$C$238:$C$451,$C38,'TL18'!$J$238:$J$451),0),
IF('TL19'!$B$3=P$3,SUMIF('TL19'!$C$10:$C$224,$C38,'TL19'!$J$10:$J$224),0),
IF('TL19'!$B$229=P$3,SUMIF('TL19'!$C$238:$C$451,$C38,'TL19'!$J$238:$J$451),0)
),0)</f>
        <v>60.9</v>
      </c>
      <c r="Q38" s="9">
        <f>IFERROR(SUM(
IF('TL01'!$B$3=Q$3,SUMIF('TL01'!$C$10:$C$224,$C38,'TL01'!$J$10:$J$224),0),
IF('TL01'!$B$229=Q$3,SUMIF('TL01'!$C$238:$C$451,$C38,'TL01'!$J$238:$J$451),0),
IF('TL02'!$B$3=Q$3,SUMIF('TL02'!$C$10:$C$224,$C38,'TL02'!$J$10:$J$224),0),
IF('TL02'!$B$229=Q$3,SUMIF('TL02'!$C$238:$C$451,$C38,'TL02'!$J$238:$J$451),0),
IF('TL03'!$B$3=Q$3,SUMIF('TL03'!$C$10:$C$224,$C38,'TL03'!$J$10:$J$224),0),
IF('TL03'!$B$229=Q$3,SUMIF('TL03'!$C$238:$C$451,$C38,'TL03'!$J$238:$J$451),0),
IF('TL04'!$B$3=Q$3,SUMIF('TL04'!$C$10:$C$224,$C38,'TL04'!$J$10:$J$224),0),
IF('TL04'!$B$229=Q$3,SUMIF('TL04'!$C$238:$C$451,$C38,'TL04'!$J$238:$J$451),0),
IF('TL05'!$B$3=Q$3,SUMIF('TL05'!$C$10:$C$224,$C38,'TL05'!$J$10:$J$224),0),
IF('TL05'!$B$229=Q$3,SUMIF('TL05'!$C$238:$C$451,$C38,'TL05'!$J$238:$J$451),0),
IF('TL06'!$B$3=Q$3,SUMIF('TL06'!$C$10:$C$224,$C38,'TL06'!$J$10:$J$224),0),
IF('TL06'!$B$229=Q$3,SUMIF('TL06'!$C$238:$C$451,$C38,'TL06'!$J$238:$J$451),0),
IF('TL07'!$B$3=Q$3,SUMIF('TL07'!$C$10:$C$224,$C38,'TL07'!$J$10:$J$224),0),
IF('TL07'!$B$229=Q$3,SUMIF('TL07'!$C$238:$C$451,$C38,'TL07'!$J$238:$J$451),0),
IF('TL08'!$B$3=Q$3,SUMIF('TL08'!$C$10:$C$224,$C38,'TL08'!$J$10:$J$224),0),
IF('TL08'!$B$229=Q$3,SUMIF('TL08'!$C$238:$C$451,$C38,'TL08'!$J$238:$J$451),0),
IF('TL09'!$B$3=Q$3,SUMIF('TL09'!$C$10:$C$224,$C38,'TL09'!$J$10:$J$224),0),
IF('TL09'!$B$229=Q$3,SUMIF('TL09'!$C$238:$C$451,$C38,'TL09'!$J$238:$J$451),0),
IF('TL10'!$B$3=Q$3,SUMIF('TL10'!$C$10:$C$224,$C38,'TL10'!$J$10:$J$224),0),
IF('TL10'!$B$229=Q$3,SUMIF('TL10'!$C$238:$C$451,$C38,'TL10'!$J$238:$J$451),0),
IF('TL11'!$B$3=Q$3,SUMIF('TL11'!$C$10:$C$224,$C38,'TL11'!$J$10:$J$224),0),
IF('TL11'!$B$229=Q$3,SUMIF('TL11'!$C$238:$C$451,$C38,'TL11'!$J$238:$J$451),0),
IF('TL12'!$B$3=Q$3,SUMIF('TL12'!$C$10:$C$224,$C38,'TL12'!$J$10:$J$224),0),
IF('TL12'!$B$229=Q$3,SUMIF('TL12'!$C$238:$C$451,$C38,'TL12'!$J$238:$J$451),0),
IF('TL13'!$B$3=Q$3,SUMIF('TL13'!$C$10:$C$224,$C38,'TL13'!$J$10:$J$224),0),
IF('TL13'!$B$229=Q$3,SUMIF('TL13'!$C$238:$C$451,$C38,'TL13'!$J$238:$J$451),0),
IF('TL14'!$B$3=Q$3,SUMIF('TL14'!$C$10:$C$224,$C38,'TL14'!$J$10:$J$224),0),
IF('TL14'!$B$229=Q$3,SUMIF('TL14'!$C$238:$C$451,$C38,'TL14'!$J$238:$J$451),0),
IF('TL15'!$B$3=Q$3,SUMIF('TL15'!$C$10:$C$224,$C38,'TL15'!$J$10:$J$224),0),
IF('TL15'!$B$229=Q$3,SUMIF('TL15'!$C$238:$C$451,$C38,'TL15'!$J$238:$J$451),0),
IF('TL16'!$B$3=Q$3,SUMIF('TL16'!$C$10:$C$224,$C38,'TL16'!$J$10:$J$224),0),
IF('TL16'!$B$229=Q$3,SUMIF('TL16'!$C$238:$C$451,$C38,'TL16'!$J$238:$J$451),0),
IF('TL17'!$B$3=Q$3,SUMIF('TL17'!$C$10:$C$224,$C38,'TL17'!$J$10:$J$224),0),
IF('TL17'!$B$229=Q$3,SUMIF('TL17'!$C$238:$C$451,$C38,'TL17'!$J$238:$J$451),0),
IF('TL18'!$B$3=Q$3,SUMIF('TL18'!$C$10:$C$224,$C38,'TL18'!$J$10:$J$224),0),
IF('TL18'!$B$229=Q$3,SUMIF('TL18'!$C$238:$C$451,$C38,'TL18'!$J$238:$J$451),0),
IF('TL19'!$B$3=Q$3,SUMIF('TL19'!$C$10:$C$224,$C38,'TL19'!$J$10:$J$224),0),
IF('TL19'!$B$229=Q$3,SUMIF('TL19'!$C$238:$C$451,$C38,'TL19'!$J$238:$J$451),0)
),0)</f>
        <v>16</v>
      </c>
      <c r="R38" s="9">
        <f>IFERROR(
SUM(
SUMIF('TL01'!C:C,C38,'TL01'!J:J),
SUMIF('TL02'!C:C,C38,'TL02'!J:J),
SUMIF('TL03'!C:C,C38,'TL03'!J:J),
SUMIF('TL04'!C:C,C38,'TL04'!J:J),
SUMIF('TL05'!C:C,C38,'TL05'!J:J),
SUMIF('TL06'!C:C,C38,'TL06'!J:J),
SUMIF('TL07'!C:C,C38,'TL07'!J:J),
SUMIF('TL08'!C:C,C38,'TL08'!J:J),
SUMIF('TL09'!C:C,C38,'TL09'!J:J),
SUMIF('TL10'!C:C,C38,'TL10'!J:J),
SUMIF('TL11'!C:C,C38,'TL11'!J:J),
SUMIF('TL12'!C:C,C38,'TL12'!J:J),
SUMIF('TL13'!C:C,C38,'TL13'!J:J),
SUMIF('TL14'!C:C,C38,'TL14'!J:J),
SUMIF('TL15'!C:C,C38,'TL15'!J:J),
SUMIF('TL16'!C:C,C38,'TL16'!J:J),
SUMIF('TL17'!C:C,C38,'TL17'!J:J),
SUMIF('TL18'!C:C,C38,'TL18'!J:J),SUMIF('TL19'!C:C,C38,'TL19'!J:J))
,0)</f>
        <v>127.4</v>
      </c>
      <c r="S38" s="17" t="str">
        <f>IFERROR(__xludf.DUMMYFUNCTION("IFERROR(VLOOKUP(C38,
IMPORTRANGE(""1wULbzX32WdYsx-lj2U3uUNBBe2INVIRDtcK0d-Dvl90"",
""26-27!C:G""),
5,
FALSE),
"""")"),"")</f>
        <v/>
      </c>
      <c r="T38" s="9"/>
      <c r="U38" s="92">
        <f t="shared" si="2"/>
        <v>127.4</v>
      </c>
      <c r="V38" s="93">
        <f t="shared" si="3"/>
        <v>0</v>
      </c>
    </row>
    <row r="39" ht="22.5" hidden="1" customHeight="1">
      <c r="A39" s="111" t="s">
        <v>340</v>
      </c>
      <c r="B39" s="112" t="s">
        <v>0</v>
      </c>
      <c r="C39" s="113" t="s">
        <v>431</v>
      </c>
      <c r="D39" s="113" t="s">
        <v>432</v>
      </c>
      <c r="E39" s="113" t="s">
        <v>433</v>
      </c>
      <c r="F39" s="4" t="s">
        <v>343</v>
      </c>
      <c r="G39" s="90" t="str">
        <f t="shared" ref="G39:G250" si="4">HYPERLINK("https://www.google.com/search?q=" &amp; C39 &amp; "+bula+agrofit+pdf", "📄 Ver bula")</f>
        <v>📄 Ver bula</v>
      </c>
      <c r="H39" s="9">
        <f>IFERROR(__xludf.DUMMYFUNCTION("IFERROR(VLOOKUP(C39,
IMPORTRANGE(""1wULbzX32WdYsx-lj2U3uUNBBe2INVIRDtcK0d-Dvl90"",
""26-27!C:K""),
8,
FALSE),
"""")"),2.0)</f>
        <v>2</v>
      </c>
      <c r="I39" s="114" t="s">
        <v>344</v>
      </c>
      <c r="J39" s="9">
        <f>IFERROR(SUM(
IF('TL01'!$B$3=J$3,SUMIF('TL01'!$C$10:$C$224,$C39,'TL01'!$J$10:$J$224),0),
IF('TL01'!$B$229=J$3,SUMIF('TL01'!$C$238:$C$451,$C39,'TL01'!$J$238:$J$451),0),
IF('TL02'!$B$3=J$3,SUMIF('TL02'!$C$10:$C$224,$C39,'TL02'!$J$10:$J$224),0),
IF('TL02'!$B$229=J$3,SUMIF('TL02'!$C$238:$C$451,$C39,'TL02'!$J$238:$J$451),0),
IF('TL03'!$B$3=J$3,SUMIF('TL03'!$C$10:$C$224,$C39,'TL03'!$J$10:$J$224),0),
IF('TL03'!$B$229=J$3,SUMIF('TL03'!$C$238:$C$451,$C39,'TL03'!$J$238:$J$451),0),
IF('TL04'!$B$3=J$3,SUMIF('TL04'!$C$10:$C$224,$C39,'TL04'!$J$10:$J$224),0),
IF('TL04'!$B$229=J$3,SUMIF('TL04'!$C$238:$C$451,$C39,'TL04'!$J$238:$J$451),0),
IF('TL05'!$B$3=J$3,SUMIF('TL05'!$C$10:$C$224,$C39,'TL05'!$J$10:$J$224),0),
IF('TL05'!$B$229=J$3,SUMIF('TL05'!$C$238:$C$451,$C39,'TL05'!$J$238:$J$451),0),
IF('TL06'!$B$3=J$3,SUMIF('TL06'!$C$10:$C$224,$C39,'TL06'!$J$10:$J$224),0),
IF('TL06'!$B$229=J$3,SUMIF('TL06'!$C$238:$C$451,$C39,'TL06'!$J$238:$J$451),0),
IF('TL07'!$B$3=J$3,SUMIF('TL07'!$C$10:$C$224,$C39,'TL07'!$J$10:$J$224),0),
IF('TL07'!$B$229=J$3,SUMIF('TL07'!$C$238:$C$451,$C39,'TL07'!$J$238:$J$451),0),
IF('TL08'!$B$3=J$3,SUMIF('TL08'!$C$10:$C$224,$C39,'TL08'!$J$10:$J$224),0),
IF('TL08'!$B$229=J$3,SUMIF('TL08'!$C$238:$C$451,$C39,'TL08'!$J$238:$J$451),0),
IF('TL09'!$B$3=J$3,SUMIF('TL09'!$C$10:$C$224,$C39,'TL09'!$J$10:$J$224),0),
IF('TL09'!$B$229=J$3,SUMIF('TL09'!$C$238:$C$451,$C39,'TL09'!$J$238:$J$451),0),
IF('TL10'!$B$3=J$3,SUMIF('TL10'!$C$10:$C$224,$C39,'TL10'!$J$10:$J$224),0),
IF('TL10'!$B$229=J$3,SUMIF('TL10'!$C$238:$C$451,$C39,'TL10'!$J$238:$J$451),0),
IF('TL11'!$B$3=J$3,SUMIF('TL11'!$C$10:$C$224,$C39,'TL11'!$J$10:$J$224),0),
IF('TL11'!$B$229=J$3,SUMIF('TL11'!$C$238:$C$451,$C39,'TL11'!$J$238:$J$451),0),
IF('TL12'!$B$3=J$3,SUMIF('TL12'!$C$10:$C$224,$C39,'TL12'!$J$10:$J$224),0),
IF('TL12'!$B$229=J$3,SUMIF('TL12'!$C$238:$C$451,$C39,'TL12'!$J$238:$J$451),0),
IF('TL13'!$B$3=J$3,SUMIF('TL13'!$C$10:$C$224,$C39,'TL13'!$J$10:$J$224),0),
IF('TL13'!$B$229=J$3,SUMIF('TL13'!$C$238:$C$451,$C39,'TL13'!$J$238:$J$451),0),
IF('TL14'!$B$3=J$3,SUMIF('TL14'!$C$10:$C$224,$C39,'TL14'!$J$10:$J$224),0),
IF('TL14'!$B$229=J$3,SUMIF('TL14'!$C$238:$C$451,$C39,'TL14'!$J$238:$J$451),0),
IF('TL15'!$B$3=J$3,SUMIF('TL15'!$C$10:$C$224,$C39,'TL15'!$J$10:$J$224),0),
IF('TL15'!$B$229=J$3,SUMIF('TL15'!$C$238:$C$451,$C39,'TL15'!$J$238:$J$451),0),
IF('TL16'!$B$3=J$3,SUMIF('TL16'!$C$10:$C$224,$C39,'TL16'!$J$10:$J$224),0),
IF('TL16'!$B$229=J$3,SUMIF('TL16'!$C$238:$C$451,$C39,'TL16'!$J$238:$J$451),0),
IF('TL17'!$B$3=J$3,SUMIF('TL17'!$C$10:$C$224,$C39,'TL17'!$J$10:$J$224),0),
IF('TL17'!$B$229=J$3,SUMIF('TL17'!$C$238:$C$451,$C39,'TL17'!$J$238:$J$451),0),
IF('TL18'!$B$3=J$3,SUMIF('TL18'!$C$10:$C$224,$C39,'TL18'!$J$10:$J$224),0),
IF('TL18'!$B$229=J$3,SUMIF('TL18'!$C$238:$C$451,$C39,'TL18'!$J$238:$J$451),0),
IF('TL19'!$B$3=J$3,SUMIF('TL19'!$C$10:$C$224,$C39,'TL19'!$J$10:$J$224),0),
IF('TL19'!$B$229=J$3,SUMIF('TL19'!$C$238:$C$451,$C39,'TL19'!$J$238:$J$451),0)
),0)</f>
        <v>0</v>
      </c>
      <c r="K39" s="9">
        <f>IFERROR(SUM(
IF('TL01'!$B$3=K$3,SUMIF('TL01'!$C$10:$C$224,$C39,'TL01'!$J$10:$J$224),0),
IF('TL01'!$B$229=K$3,SUMIF('TL01'!$C$238:$C$451,$C39,'TL01'!$J$238:$J$451),0),
IF('TL02'!$B$3=K$3,SUMIF('TL02'!$C$10:$C$224,$C39,'TL02'!$J$10:$J$224),0),
IF('TL02'!$B$229=K$3,SUMIF('TL02'!$C$238:$C$451,$C39,'TL02'!$J$238:$J$451),0),
IF('TL03'!$B$3=K$3,SUMIF('TL03'!$C$10:$C$224,$C39,'TL03'!$J$10:$J$224),0),
IF('TL03'!$B$229=K$3,SUMIF('TL03'!$C$238:$C$451,$C39,'TL03'!$J$238:$J$451),0),
IF('TL04'!$B$3=K$3,SUMIF('TL04'!$C$10:$C$224,$C39,'TL04'!$J$10:$J$224),0),
IF('TL04'!$B$229=K$3,SUMIF('TL04'!$C$238:$C$451,$C39,'TL04'!$J$238:$J$451),0),
IF('TL05'!$B$3=K$3,SUMIF('TL05'!$C$10:$C$224,$C39,'TL05'!$J$10:$J$224),0),
IF('TL05'!$B$229=K$3,SUMIF('TL05'!$C$238:$C$451,$C39,'TL05'!$J$238:$J$451),0),
IF('TL06'!$B$3=K$3,SUMIF('TL06'!$C$10:$C$224,$C39,'TL06'!$J$10:$J$224),0),
IF('TL06'!$B$229=K$3,SUMIF('TL06'!$C$238:$C$451,$C39,'TL06'!$J$238:$J$451),0),
IF('TL07'!$B$3=K$3,SUMIF('TL07'!$C$10:$C$224,$C39,'TL07'!$J$10:$J$224),0),
IF('TL07'!$B$229=K$3,SUMIF('TL07'!$C$238:$C$451,$C39,'TL07'!$J$238:$J$451),0),
IF('TL08'!$B$3=K$3,SUMIF('TL08'!$C$10:$C$224,$C39,'TL08'!$J$10:$J$224),0),
IF('TL08'!$B$229=K$3,SUMIF('TL08'!$C$238:$C$451,$C39,'TL08'!$J$238:$J$451),0),
IF('TL09'!$B$3=K$3,SUMIF('TL09'!$C$10:$C$224,$C39,'TL09'!$J$10:$J$224),0),
IF('TL09'!$B$229=K$3,SUMIF('TL09'!$C$238:$C$451,$C39,'TL09'!$J$238:$J$451),0),
IF('TL10'!$B$3=K$3,SUMIF('TL10'!$C$10:$C$224,$C39,'TL10'!$J$10:$J$224),0),
IF('TL10'!$B$229=K$3,SUMIF('TL10'!$C$238:$C$451,$C39,'TL10'!$J$238:$J$451),0),
IF('TL11'!$B$3=K$3,SUMIF('TL11'!$C$10:$C$224,$C39,'TL11'!$J$10:$J$224),0),
IF('TL11'!$B$229=K$3,SUMIF('TL11'!$C$238:$C$451,$C39,'TL11'!$J$238:$J$451),0),
IF('TL12'!$B$3=K$3,SUMIF('TL12'!$C$10:$C$224,$C39,'TL12'!$J$10:$J$224),0),
IF('TL12'!$B$229=K$3,SUMIF('TL12'!$C$238:$C$451,$C39,'TL12'!$J$238:$J$451),0),
IF('TL13'!$B$3=K$3,SUMIF('TL13'!$C$10:$C$224,$C39,'TL13'!$J$10:$J$224),0),
IF('TL13'!$B$229=K$3,SUMIF('TL13'!$C$238:$C$451,$C39,'TL13'!$J$238:$J$451),0),
IF('TL14'!$B$3=K$3,SUMIF('TL14'!$C$10:$C$224,$C39,'TL14'!$J$10:$J$224),0),
IF('TL14'!$B$229=K$3,SUMIF('TL14'!$C$238:$C$451,$C39,'TL14'!$J$238:$J$451),0),
IF('TL15'!$B$3=K$3,SUMIF('TL15'!$C$10:$C$224,$C39,'TL15'!$J$10:$J$224),0),
IF('TL15'!$B$229=K$3,SUMIF('TL15'!$C$238:$C$451,$C39,'TL15'!$J$238:$J$451),0),
IF('TL16'!$B$3=K$3,SUMIF('TL16'!$C$10:$C$224,$C39,'TL16'!$J$10:$J$224),0),
IF('TL16'!$B$229=K$3,SUMIF('TL16'!$C$238:$C$451,$C39,'TL16'!$J$238:$J$451),0),
IF('TL17'!$B$3=K$3,SUMIF('TL17'!$C$10:$C$224,$C39,'TL17'!$J$10:$J$224),0),
IF('TL17'!$B$229=K$3,SUMIF('TL17'!$C$238:$C$451,$C39,'TL17'!$J$238:$J$451),0),
IF('TL18'!$B$3=K$3,SUMIF('TL18'!$C$10:$C$224,$C39,'TL18'!$J$10:$J$224),0),
IF('TL18'!$B$229=K$3,SUMIF('TL18'!$C$238:$C$451,$C39,'TL18'!$J$238:$J$451),0),
IF('TL19'!$B$3=K$3,SUMIF('TL19'!$C$10:$C$224,$C39,'TL19'!$J$10:$J$224),0),
IF('TL19'!$B$229=K$3,SUMIF('TL19'!$C$238:$C$451,$C39,'TL19'!$J$238:$J$451),0)
),0)</f>
        <v>0</v>
      </c>
      <c r="L39" s="9">
        <f>IFERROR(SUM(
IF('TL01'!$B$3=L$3,SUMIF('TL01'!$C$10:$C$224,$C39,'TL01'!$J$10:$J$224),0),
IF('TL01'!$B$229=L$3,SUMIF('TL01'!$C$238:$C$451,$C39,'TL01'!$J$238:$J$451),0),
IF('TL02'!$B$3=L$3,SUMIF('TL02'!$C$10:$C$224,$C39,'TL02'!$J$10:$J$224),0),
IF('TL02'!$B$229=L$3,SUMIF('TL02'!$C$238:$C$451,$C39,'TL02'!$J$238:$J$451),0),
IF('TL03'!$B$3=L$3,SUMIF('TL03'!$C$10:$C$224,$C39,'TL03'!$J$10:$J$224),0),
IF('TL03'!$B$229=L$3,SUMIF('TL03'!$C$238:$C$451,$C39,'TL03'!$J$238:$J$451),0),
IF('TL04'!$B$3=L$3,SUMIF('TL04'!$C$10:$C$224,$C39,'TL04'!$J$10:$J$224),0),
IF('TL04'!$B$229=L$3,SUMIF('TL04'!$C$238:$C$451,$C39,'TL04'!$J$238:$J$451),0),
IF('TL05'!$B$3=L$3,SUMIF('TL05'!$C$10:$C$224,$C39,'TL05'!$J$10:$J$224),0),
IF('TL05'!$B$229=L$3,SUMIF('TL05'!$C$238:$C$451,$C39,'TL05'!$J$238:$J$451),0),
IF('TL06'!$B$3=L$3,SUMIF('TL06'!$C$10:$C$224,$C39,'TL06'!$J$10:$J$224),0),
IF('TL06'!$B$229=L$3,SUMIF('TL06'!$C$238:$C$451,$C39,'TL06'!$J$238:$J$451),0),
IF('TL07'!$B$3=L$3,SUMIF('TL07'!$C$10:$C$224,$C39,'TL07'!$J$10:$J$224),0),
IF('TL07'!$B$229=L$3,SUMIF('TL07'!$C$238:$C$451,$C39,'TL07'!$J$238:$J$451),0),
IF('TL08'!$B$3=L$3,SUMIF('TL08'!$C$10:$C$224,$C39,'TL08'!$J$10:$J$224),0),
IF('TL08'!$B$229=L$3,SUMIF('TL08'!$C$238:$C$451,$C39,'TL08'!$J$238:$J$451),0),
IF('TL09'!$B$3=L$3,SUMIF('TL09'!$C$10:$C$224,$C39,'TL09'!$J$10:$J$224),0),
IF('TL09'!$B$229=L$3,SUMIF('TL09'!$C$238:$C$451,$C39,'TL09'!$J$238:$J$451),0),
IF('TL10'!$B$3=L$3,SUMIF('TL10'!$C$10:$C$224,$C39,'TL10'!$J$10:$J$224),0),
IF('TL10'!$B$229=L$3,SUMIF('TL10'!$C$238:$C$451,$C39,'TL10'!$J$238:$J$451),0),
IF('TL11'!$B$3=L$3,SUMIF('TL11'!$C$10:$C$224,$C39,'TL11'!$J$10:$J$224),0),
IF('TL11'!$B$229=L$3,SUMIF('TL11'!$C$238:$C$451,$C39,'TL11'!$J$238:$J$451),0),
IF('TL12'!$B$3=L$3,SUMIF('TL12'!$C$10:$C$224,$C39,'TL12'!$J$10:$J$224),0),
IF('TL12'!$B$229=L$3,SUMIF('TL12'!$C$238:$C$451,$C39,'TL12'!$J$238:$J$451),0),
IF('TL13'!$B$3=L$3,SUMIF('TL13'!$C$10:$C$224,$C39,'TL13'!$J$10:$J$224),0),
IF('TL13'!$B$229=L$3,SUMIF('TL13'!$C$238:$C$451,$C39,'TL13'!$J$238:$J$451),0),
IF('TL14'!$B$3=L$3,SUMIF('TL14'!$C$10:$C$224,$C39,'TL14'!$J$10:$J$224),0),
IF('TL14'!$B$229=L$3,SUMIF('TL14'!$C$238:$C$451,$C39,'TL14'!$J$238:$J$451),0),
IF('TL15'!$B$3=L$3,SUMIF('TL15'!$C$10:$C$224,$C39,'TL15'!$J$10:$J$224),0),
IF('TL15'!$B$229=L$3,SUMIF('TL15'!$C$238:$C$451,$C39,'TL15'!$J$238:$J$451),0),
IF('TL16'!$B$3=L$3,SUMIF('TL16'!$C$10:$C$224,$C39,'TL16'!$J$10:$J$224),0),
IF('TL16'!$B$229=L$3,SUMIF('TL16'!$C$238:$C$451,$C39,'TL16'!$J$238:$J$451),0),
IF('TL17'!$B$3=L$3,SUMIF('TL17'!$C$10:$C$224,$C39,'TL17'!$J$10:$J$224),0),
IF('TL17'!$B$229=L$3,SUMIF('TL17'!$C$238:$C$451,$C39,'TL17'!$J$238:$J$451),0),
IF('TL18'!$B$3=L$3,SUMIF('TL18'!$C$10:$C$224,$C39,'TL18'!$J$10:$J$224),0),
IF('TL18'!$B$229=L$3,SUMIF('TL18'!$C$238:$C$451,$C39,'TL18'!$J$238:$J$451),0),
IF('TL19'!$B$3=L$3,SUMIF('TL19'!$C$10:$C$224,$C39,'TL19'!$J$10:$J$224),0),
IF('TL19'!$B$229=L$3,SUMIF('TL19'!$C$238:$C$451,$C39,'TL19'!$J$238:$J$451),0)
),0)</f>
        <v>0</v>
      </c>
      <c r="M39" s="9">
        <f>IFERROR(SUM(
IF('TL01'!$B$3=M$3,SUMIF('TL01'!$C$10:$C$224,$C39,'TL01'!$J$10:$J$224),0),
IF('TL01'!$B$229=M$3,SUMIF('TL01'!$C$238:$C$451,$C39,'TL01'!$J$238:$J$451),0),
IF('TL02'!$B$3=M$3,SUMIF('TL02'!$C$10:$C$224,$C39,'TL02'!$J$10:$J$224),0),
IF('TL02'!$B$229=M$3,SUMIF('TL02'!$C$238:$C$451,$C39,'TL02'!$J$238:$J$451),0),
IF('TL03'!$B$3=M$3,SUMIF('TL03'!$C$10:$C$224,$C39,'TL03'!$J$10:$J$224),0),
IF('TL03'!$B$229=M$3,SUMIF('TL03'!$C$238:$C$451,$C39,'TL03'!$J$238:$J$451),0),
IF('TL04'!$B$3=M$3,SUMIF('TL04'!$C$10:$C$224,$C39,'TL04'!$J$10:$J$224),0),
IF('TL04'!$B$229=M$3,SUMIF('TL04'!$C$238:$C$451,$C39,'TL04'!$J$238:$J$451),0),
IF('TL05'!$B$3=M$3,SUMIF('TL05'!$C$10:$C$224,$C39,'TL05'!$J$10:$J$224),0),
IF('TL05'!$B$229=M$3,SUMIF('TL05'!$C$238:$C$451,$C39,'TL05'!$J$238:$J$451),0),
IF('TL06'!$B$3=M$3,SUMIF('TL06'!$C$10:$C$224,$C39,'TL06'!$J$10:$J$224),0),
IF('TL06'!$B$229=M$3,SUMIF('TL06'!$C$238:$C$451,$C39,'TL06'!$J$238:$J$451),0),
IF('TL07'!$B$3=M$3,SUMIF('TL07'!$C$10:$C$224,$C39,'TL07'!$J$10:$J$224),0),
IF('TL07'!$B$229=M$3,SUMIF('TL07'!$C$238:$C$451,$C39,'TL07'!$J$238:$J$451),0),
IF('TL08'!$B$3=M$3,SUMIF('TL08'!$C$10:$C$224,$C39,'TL08'!$J$10:$J$224),0),
IF('TL08'!$B$229=M$3,SUMIF('TL08'!$C$238:$C$451,$C39,'TL08'!$J$238:$J$451),0),
IF('TL09'!$B$3=M$3,SUMIF('TL09'!$C$10:$C$224,$C39,'TL09'!$J$10:$J$224),0),
IF('TL09'!$B$229=M$3,SUMIF('TL09'!$C$238:$C$451,$C39,'TL09'!$J$238:$J$451),0),
IF('TL10'!$B$3=M$3,SUMIF('TL10'!$C$10:$C$224,$C39,'TL10'!$J$10:$J$224),0),
IF('TL10'!$B$229=M$3,SUMIF('TL10'!$C$238:$C$451,$C39,'TL10'!$J$238:$J$451),0),
IF('TL11'!$B$3=M$3,SUMIF('TL11'!$C$10:$C$224,$C39,'TL11'!$J$10:$J$224),0),
IF('TL11'!$B$229=M$3,SUMIF('TL11'!$C$238:$C$451,$C39,'TL11'!$J$238:$J$451),0),
IF('TL12'!$B$3=M$3,SUMIF('TL12'!$C$10:$C$224,$C39,'TL12'!$J$10:$J$224),0),
IF('TL12'!$B$229=M$3,SUMIF('TL12'!$C$238:$C$451,$C39,'TL12'!$J$238:$J$451),0),
IF('TL13'!$B$3=M$3,SUMIF('TL13'!$C$10:$C$224,$C39,'TL13'!$J$10:$J$224),0),
IF('TL13'!$B$229=M$3,SUMIF('TL13'!$C$238:$C$451,$C39,'TL13'!$J$238:$J$451),0),
IF('TL14'!$B$3=M$3,SUMIF('TL14'!$C$10:$C$224,$C39,'TL14'!$J$10:$J$224),0),
IF('TL14'!$B$229=M$3,SUMIF('TL14'!$C$238:$C$451,$C39,'TL14'!$J$238:$J$451),0),
IF('TL15'!$B$3=M$3,SUMIF('TL15'!$C$10:$C$224,$C39,'TL15'!$J$10:$J$224),0),
IF('TL15'!$B$229=M$3,SUMIF('TL15'!$C$238:$C$451,$C39,'TL15'!$J$238:$J$451),0),
IF('TL16'!$B$3=M$3,SUMIF('TL16'!$C$10:$C$224,$C39,'TL16'!$J$10:$J$224),0),
IF('TL16'!$B$229=M$3,SUMIF('TL16'!$C$238:$C$451,$C39,'TL16'!$J$238:$J$451),0),
IF('TL17'!$B$3=M$3,SUMIF('TL17'!$C$10:$C$224,$C39,'TL17'!$J$10:$J$224),0),
IF('TL17'!$B$229=M$3,SUMIF('TL17'!$C$238:$C$451,$C39,'TL17'!$J$238:$J$451),0),
IF('TL18'!$B$3=M$3,SUMIF('TL18'!$C$10:$C$224,$C39,'TL18'!$J$10:$J$224),0),
IF('TL18'!$B$229=M$3,SUMIF('TL18'!$C$238:$C$451,$C39,'TL18'!$J$238:$J$451),0),
IF('TL19'!$B$3=M$3,SUMIF('TL19'!$C$10:$C$224,$C39,'TL19'!$J$10:$J$224),0),
IF('TL19'!$B$229=M$3,SUMIF('TL19'!$C$238:$C$451,$C39,'TL19'!$J$238:$J$451),0)
),0)</f>
        <v>0</v>
      </c>
      <c r="N39" s="9">
        <f>IFERROR(SUM(
IF('TL01'!$B$3=N$3,SUMIF('TL01'!$C$10:$C$224,$C39,'TL01'!$J$10:$J$224),0),
IF('TL01'!$B$229=N$3,SUMIF('TL01'!$C$238:$C$451,$C39,'TL01'!$J$238:$J$451),0),
IF('TL02'!$B$3=N$3,SUMIF('TL02'!$C$10:$C$224,$C39,'TL02'!$J$10:$J$224),0),
IF('TL02'!$B$229=N$3,SUMIF('TL02'!$C$238:$C$451,$C39,'TL02'!$J$238:$J$451),0),
IF('TL03'!$B$3=N$3,SUMIF('TL03'!$C$10:$C$224,$C39,'TL03'!$J$10:$J$224),0),
IF('TL03'!$B$229=N$3,SUMIF('TL03'!$C$238:$C$451,$C39,'TL03'!$J$238:$J$451),0),
IF('TL04'!$B$3=N$3,SUMIF('TL04'!$C$10:$C$224,$C39,'TL04'!$J$10:$J$224),0),
IF('TL04'!$B$229=N$3,SUMIF('TL04'!$C$238:$C$451,$C39,'TL04'!$J$238:$J$451),0),
IF('TL05'!$B$3=N$3,SUMIF('TL05'!$C$10:$C$224,$C39,'TL05'!$J$10:$J$224),0),
IF('TL05'!$B$229=N$3,SUMIF('TL05'!$C$238:$C$451,$C39,'TL05'!$J$238:$J$451),0),
IF('TL06'!$B$3=N$3,SUMIF('TL06'!$C$10:$C$224,$C39,'TL06'!$J$10:$J$224),0),
IF('TL06'!$B$229=N$3,SUMIF('TL06'!$C$238:$C$451,$C39,'TL06'!$J$238:$J$451),0),
IF('TL07'!$B$3=N$3,SUMIF('TL07'!$C$10:$C$224,$C39,'TL07'!$J$10:$J$224),0),
IF('TL07'!$B$229=N$3,SUMIF('TL07'!$C$238:$C$451,$C39,'TL07'!$J$238:$J$451),0),
IF('TL08'!$B$3=N$3,SUMIF('TL08'!$C$10:$C$224,$C39,'TL08'!$J$10:$J$224),0),
IF('TL08'!$B$229=N$3,SUMIF('TL08'!$C$238:$C$451,$C39,'TL08'!$J$238:$J$451),0),
IF('TL09'!$B$3=N$3,SUMIF('TL09'!$C$10:$C$224,$C39,'TL09'!$J$10:$J$224),0),
IF('TL09'!$B$229=N$3,SUMIF('TL09'!$C$238:$C$451,$C39,'TL09'!$J$238:$J$451),0),
IF('TL10'!$B$3=N$3,SUMIF('TL10'!$C$10:$C$224,$C39,'TL10'!$J$10:$J$224),0),
IF('TL10'!$B$229=N$3,SUMIF('TL10'!$C$238:$C$451,$C39,'TL10'!$J$238:$J$451),0),
IF('TL11'!$B$3=N$3,SUMIF('TL11'!$C$10:$C$224,$C39,'TL11'!$J$10:$J$224),0),
IF('TL11'!$B$229=N$3,SUMIF('TL11'!$C$238:$C$451,$C39,'TL11'!$J$238:$J$451),0),
IF('TL12'!$B$3=N$3,SUMIF('TL12'!$C$10:$C$224,$C39,'TL12'!$J$10:$J$224),0),
IF('TL12'!$B$229=N$3,SUMIF('TL12'!$C$238:$C$451,$C39,'TL12'!$J$238:$J$451),0),
IF('TL13'!$B$3=N$3,SUMIF('TL13'!$C$10:$C$224,$C39,'TL13'!$J$10:$J$224),0),
IF('TL13'!$B$229=N$3,SUMIF('TL13'!$C$238:$C$451,$C39,'TL13'!$J$238:$J$451),0),
IF('TL14'!$B$3=N$3,SUMIF('TL14'!$C$10:$C$224,$C39,'TL14'!$J$10:$J$224),0),
IF('TL14'!$B$229=N$3,SUMIF('TL14'!$C$238:$C$451,$C39,'TL14'!$J$238:$J$451),0),
IF('TL15'!$B$3=N$3,SUMIF('TL15'!$C$10:$C$224,$C39,'TL15'!$J$10:$J$224),0),
IF('TL15'!$B$229=N$3,SUMIF('TL15'!$C$238:$C$451,$C39,'TL15'!$J$238:$J$451),0),
IF('TL16'!$B$3=N$3,SUMIF('TL16'!$C$10:$C$224,$C39,'TL16'!$J$10:$J$224),0),
IF('TL16'!$B$229=N$3,SUMIF('TL16'!$C$238:$C$451,$C39,'TL16'!$J$238:$J$451),0),
IF('TL17'!$B$3=N$3,SUMIF('TL17'!$C$10:$C$224,$C39,'TL17'!$J$10:$J$224),0),
IF('TL17'!$B$229=N$3,SUMIF('TL17'!$C$238:$C$451,$C39,'TL17'!$J$238:$J$451),0),
IF('TL18'!$B$3=N$3,SUMIF('TL18'!$C$10:$C$224,$C39,'TL18'!$J$10:$J$224),0),
IF('TL18'!$B$229=N$3,SUMIF('TL18'!$C$238:$C$451,$C39,'TL18'!$J$238:$J$451),0),
IF('TL19'!$B$3=N$3,SUMIF('TL19'!$C$10:$C$224,$C39,'TL19'!$J$10:$J$224),0),
IF('TL19'!$B$229=N$3,SUMIF('TL19'!$C$238:$C$451,$C39,'TL19'!$J$238:$J$451),0)
),0)</f>
        <v>0</v>
      </c>
      <c r="O39" s="9">
        <f>IFERROR(SUM(
IF('TL01'!$B$3=O$3,SUMIF('TL01'!$C$10:$C$224,$C39,'TL01'!$J$10:$J$224),0),
IF('TL01'!$B$229=O$3,SUMIF('TL01'!$C$238:$C$451,$C39,'TL01'!$J$238:$J$451),0),
IF('TL02'!$B$3=O$3,SUMIF('TL02'!$C$10:$C$224,$C39,'TL02'!$J$10:$J$224),0),
IF('TL02'!$B$229=O$3,SUMIF('TL02'!$C$238:$C$451,$C39,'TL02'!$J$238:$J$451),0),
IF('TL03'!$B$3=O$3,SUMIF('TL03'!$C$10:$C$224,$C39,'TL03'!$J$10:$J$224),0),
IF('TL03'!$B$229=O$3,SUMIF('TL03'!$C$238:$C$451,$C39,'TL03'!$J$238:$J$451),0),
IF('TL04'!$B$3=O$3,SUMIF('TL04'!$C$10:$C$224,$C39,'TL04'!$J$10:$J$224),0),
IF('TL04'!$B$229=O$3,SUMIF('TL04'!$C$238:$C$451,$C39,'TL04'!$J$238:$J$451),0),
IF('TL05'!$B$3=O$3,SUMIF('TL05'!$C$10:$C$224,$C39,'TL05'!$J$10:$J$224),0),
IF('TL05'!$B$229=O$3,SUMIF('TL05'!$C$238:$C$451,$C39,'TL05'!$J$238:$J$451),0),
IF('TL06'!$B$3=O$3,SUMIF('TL06'!$C$10:$C$224,$C39,'TL06'!$J$10:$J$224),0),
IF('TL06'!$B$229=O$3,SUMIF('TL06'!$C$238:$C$451,$C39,'TL06'!$J$238:$J$451),0),
IF('TL07'!$B$3=O$3,SUMIF('TL07'!$C$10:$C$224,$C39,'TL07'!$J$10:$J$224),0),
IF('TL07'!$B$229=O$3,SUMIF('TL07'!$C$238:$C$451,$C39,'TL07'!$J$238:$J$451),0),
IF('TL08'!$B$3=O$3,SUMIF('TL08'!$C$10:$C$224,$C39,'TL08'!$J$10:$J$224),0),
IF('TL08'!$B$229=O$3,SUMIF('TL08'!$C$238:$C$451,$C39,'TL08'!$J$238:$J$451),0),
IF('TL09'!$B$3=O$3,SUMIF('TL09'!$C$10:$C$224,$C39,'TL09'!$J$10:$J$224),0),
IF('TL09'!$B$229=O$3,SUMIF('TL09'!$C$238:$C$451,$C39,'TL09'!$J$238:$J$451),0),
IF('TL10'!$B$3=O$3,SUMIF('TL10'!$C$10:$C$224,$C39,'TL10'!$J$10:$J$224),0),
IF('TL10'!$B$229=O$3,SUMIF('TL10'!$C$238:$C$451,$C39,'TL10'!$J$238:$J$451),0),
IF('TL11'!$B$3=O$3,SUMIF('TL11'!$C$10:$C$224,$C39,'TL11'!$J$10:$J$224),0),
IF('TL11'!$B$229=O$3,SUMIF('TL11'!$C$238:$C$451,$C39,'TL11'!$J$238:$J$451),0),
IF('TL12'!$B$3=O$3,SUMIF('TL12'!$C$10:$C$224,$C39,'TL12'!$J$10:$J$224),0),
IF('TL12'!$B$229=O$3,SUMIF('TL12'!$C$238:$C$451,$C39,'TL12'!$J$238:$J$451),0),
IF('TL13'!$B$3=O$3,SUMIF('TL13'!$C$10:$C$224,$C39,'TL13'!$J$10:$J$224),0),
IF('TL13'!$B$229=O$3,SUMIF('TL13'!$C$238:$C$451,$C39,'TL13'!$J$238:$J$451),0),
IF('TL14'!$B$3=O$3,SUMIF('TL14'!$C$10:$C$224,$C39,'TL14'!$J$10:$J$224),0),
IF('TL14'!$B$229=O$3,SUMIF('TL14'!$C$238:$C$451,$C39,'TL14'!$J$238:$J$451),0),
IF('TL15'!$B$3=O$3,SUMIF('TL15'!$C$10:$C$224,$C39,'TL15'!$J$10:$J$224),0),
IF('TL15'!$B$229=O$3,SUMIF('TL15'!$C$238:$C$451,$C39,'TL15'!$J$238:$J$451),0),
IF('TL16'!$B$3=O$3,SUMIF('TL16'!$C$10:$C$224,$C39,'TL16'!$J$10:$J$224),0),
IF('TL16'!$B$229=O$3,SUMIF('TL16'!$C$238:$C$451,$C39,'TL16'!$J$238:$J$451),0),
IF('TL17'!$B$3=O$3,SUMIF('TL17'!$C$10:$C$224,$C39,'TL17'!$J$10:$J$224),0),
IF('TL17'!$B$229=O$3,SUMIF('TL17'!$C$238:$C$451,$C39,'TL17'!$J$238:$J$451),0),
IF('TL18'!$B$3=O$3,SUMIF('TL18'!$C$10:$C$224,$C39,'TL18'!$J$10:$J$224),0),
IF('TL18'!$B$229=O$3,SUMIF('TL18'!$C$238:$C$451,$C39,'TL18'!$J$238:$J$451),0),
IF('TL19'!$B$3=O$3,SUMIF('TL19'!$C$10:$C$224,$C39,'TL19'!$J$10:$J$224),0),
IF('TL19'!$B$229=O$3,SUMIF('TL19'!$C$238:$C$451,$C39,'TL19'!$J$238:$J$451),0)
),0)</f>
        <v>0</v>
      </c>
      <c r="P39" s="9">
        <f>IFERROR(SUM(
IF('TL01'!$B$3=P$3,SUMIF('TL01'!$C$10:$C$224,$C39,'TL01'!$J$10:$J$224),0),
IF('TL01'!$B$229=P$3,SUMIF('TL01'!$C$238:$C$451,$C39,'TL01'!$J$238:$J$451),0),
IF('TL02'!$B$3=P$3,SUMIF('TL02'!$C$10:$C$224,$C39,'TL02'!$J$10:$J$224),0),
IF('TL02'!$B$229=P$3,SUMIF('TL02'!$C$238:$C$451,$C39,'TL02'!$J$238:$J$451),0),
IF('TL03'!$B$3=P$3,SUMIF('TL03'!$C$10:$C$224,$C39,'TL03'!$J$10:$J$224),0),
IF('TL03'!$B$229=P$3,SUMIF('TL03'!$C$238:$C$451,$C39,'TL03'!$J$238:$J$451),0),
IF('TL04'!$B$3=P$3,SUMIF('TL04'!$C$10:$C$224,$C39,'TL04'!$J$10:$J$224),0),
IF('TL04'!$B$229=P$3,SUMIF('TL04'!$C$238:$C$451,$C39,'TL04'!$J$238:$J$451),0),
IF('TL05'!$B$3=P$3,SUMIF('TL05'!$C$10:$C$224,$C39,'TL05'!$J$10:$J$224),0),
IF('TL05'!$B$229=P$3,SUMIF('TL05'!$C$238:$C$451,$C39,'TL05'!$J$238:$J$451),0),
IF('TL06'!$B$3=P$3,SUMIF('TL06'!$C$10:$C$224,$C39,'TL06'!$J$10:$J$224),0),
IF('TL06'!$B$229=P$3,SUMIF('TL06'!$C$238:$C$451,$C39,'TL06'!$J$238:$J$451),0),
IF('TL07'!$B$3=P$3,SUMIF('TL07'!$C$10:$C$224,$C39,'TL07'!$J$10:$J$224),0),
IF('TL07'!$B$229=P$3,SUMIF('TL07'!$C$238:$C$451,$C39,'TL07'!$J$238:$J$451),0),
IF('TL08'!$B$3=P$3,SUMIF('TL08'!$C$10:$C$224,$C39,'TL08'!$J$10:$J$224),0),
IF('TL08'!$B$229=P$3,SUMIF('TL08'!$C$238:$C$451,$C39,'TL08'!$J$238:$J$451),0),
IF('TL09'!$B$3=P$3,SUMIF('TL09'!$C$10:$C$224,$C39,'TL09'!$J$10:$J$224),0),
IF('TL09'!$B$229=P$3,SUMIF('TL09'!$C$238:$C$451,$C39,'TL09'!$J$238:$J$451),0),
IF('TL10'!$B$3=P$3,SUMIF('TL10'!$C$10:$C$224,$C39,'TL10'!$J$10:$J$224),0),
IF('TL10'!$B$229=P$3,SUMIF('TL10'!$C$238:$C$451,$C39,'TL10'!$J$238:$J$451),0),
IF('TL11'!$B$3=P$3,SUMIF('TL11'!$C$10:$C$224,$C39,'TL11'!$J$10:$J$224),0),
IF('TL11'!$B$229=P$3,SUMIF('TL11'!$C$238:$C$451,$C39,'TL11'!$J$238:$J$451),0),
IF('TL12'!$B$3=P$3,SUMIF('TL12'!$C$10:$C$224,$C39,'TL12'!$J$10:$J$224),0),
IF('TL12'!$B$229=P$3,SUMIF('TL12'!$C$238:$C$451,$C39,'TL12'!$J$238:$J$451),0),
IF('TL13'!$B$3=P$3,SUMIF('TL13'!$C$10:$C$224,$C39,'TL13'!$J$10:$J$224),0),
IF('TL13'!$B$229=P$3,SUMIF('TL13'!$C$238:$C$451,$C39,'TL13'!$J$238:$J$451),0),
IF('TL14'!$B$3=P$3,SUMIF('TL14'!$C$10:$C$224,$C39,'TL14'!$J$10:$J$224),0),
IF('TL14'!$B$229=P$3,SUMIF('TL14'!$C$238:$C$451,$C39,'TL14'!$J$238:$J$451),0),
IF('TL15'!$B$3=P$3,SUMIF('TL15'!$C$10:$C$224,$C39,'TL15'!$J$10:$J$224),0),
IF('TL15'!$B$229=P$3,SUMIF('TL15'!$C$238:$C$451,$C39,'TL15'!$J$238:$J$451),0),
IF('TL16'!$B$3=P$3,SUMIF('TL16'!$C$10:$C$224,$C39,'TL16'!$J$10:$J$224),0),
IF('TL16'!$B$229=P$3,SUMIF('TL16'!$C$238:$C$451,$C39,'TL16'!$J$238:$J$451),0),
IF('TL17'!$B$3=P$3,SUMIF('TL17'!$C$10:$C$224,$C39,'TL17'!$J$10:$J$224),0),
IF('TL17'!$B$229=P$3,SUMIF('TL17'!$C$238:$C$451,$C39,'TL17'!$J$238:$J$451),0),
IF('TL18'!$B$3=P$3,SUMIF('TL18'!$C$10:$C$224,$C39,'TL18'!$J$10:$J$224),0),
IF('TL18'!$B$229=P$3,SUMIF('TL18'!$C$238:$C$451,$C39,'TL18'!$J$238:$J$451),0),
IF('TL19'!$B$3=P$3,SUMIF('TL19'!$C$10:$C$224,$C39,'TL19'!$J$10:$J$224),0),
IF('TL19'!$B$229=P$3,SUMIF('TL19'!$C$238:$C$451,$C39,'TL19'!$J$238:$J$451),0)
),0)</f>
        <v>0</v>
      </c>
      <c r="Q39" s="9">
        <f>IFERROR(SUM(
IF('TL01'!$B$3=Q$3,SUMIF('TL01'!$C$10:$C$224,$C39,'TL01'!$J$10:$J$224),0),
IF('TL01'!$B$229=Q$3,SUMIF('TL01'!$C$238:$C$451,$C39,'TL01'!$J$238:$J$451),0),
IF('TL02'!$B$3=Q$3,SUMIF('TL02'!$C$10:$C$224,$C39,'TL02'!$J$10:$J$224),0),
IF('TL02'!$B$229=Q$3,SUMIF('TL02'!$C$238:$C$451,$C39,'TL02'!$J$238:$J$451),0),
IF('TL03'!$B$3=Q$3,SUMIF('TL03'!$C$10:$C$224,$C39,'TL03'!$J$10:$J$224),0),
IF('TL03'!$B$229=Q$3,SUMIF('TL03'!$C$238:$C$451,$C39,'TL03'!$J$238:$J$451),0),
IF('TL04'!$B$3=Q$3,SUMIF('TL04'!$C$10:$C$224,$C39,'TL04'!$J$10:$J$224),0),
IF('TL04'!$B$229=Q$3,SUMIF('TL04'!$C$238:$C$451,$C39,'TL04'!$J$238:$J$451),0),
IF('TL05'!$B$3=Q$3,SUMIF('TL05'!$C$10:$C$224,$C39,'TL05'!$J$10:$J$224),0),
IF('TL05'!$B$229=Q$3,SUMIF('TL05'!$C$238:$C$451,$C39,'TL05'!$J$238:$J$451),0),
IF('TL06'!$B$3=Q$3,SUMIF('TL06'!$C$10:$C$224,$C39,'TL06'!$J$10:$J$224),0),
IF('TL06'!$B$229=Q$3,SUMIF('TL06'!$C$238:$C$451,$C39,'TL06'!$J$238:$J$451),0),
IF('TL07'!$B$3=Q$3,SUMIF('TL07'!$C$10:$C$224,$C39,'TL07'!$J$10:$J$224),0),
IF('TL07'!$B$229=Q$3,SUMIF('TL07'!$C$238:$C$451,$C39,'TL07'!$J$238:$J$451),0),
IF('TL08'!$B$3=Q$3,SUMIF('TL08'!$C$10:$C$224,$C39,'TL08'!$J$10:$J$224),0),
IF('TL08'!$B$229=Q$3,SUMIF('TL08'!$C$238:$C$451,$C39,'TL08'!$J$238:$J$451),0),
IF('TL09'!$B$3=Q$3,SUMIF('TL09'!$C$10:$C$224,$C39,'TL09'!$J$10:$J$224),0),
IF('TL09'!$B$229=Q$3,SUMIF('TL09'!$C$238:$C$451,$C39,'TL09'!$J$238:$J$451),0),
IF('TL10'!$B$3=Q$3,SUMIF('TL10'!$C$10:$C$224,$C39,'TL10'!$J$10:$J$224),0),
IF('TL10'!$B$229=Q$3,SUMIF('TL10'!$C$238:$C$451,$C39,'TL10'!$J$238:$J$451),0),
IF('TL11'!$B$3=Q$3,SUMIF('TL11'!$C$10:$C$224,$C39,'TL11'!$J$10:$J$224),0),
IF('TL11'!$B$229=Q$3,SUMIF('TL11'!$C$238:$C$451,$C39,'TL11'!$J$238:$J$451),0),
IF('TL12'!$B$3=Q$3,SUMIF('TL12'!$C$10:$C$224,$C39,'TL12'!$J$10:$J$224),0),
IF('TL12'!$B$229=Q$3,SUMIF('TL12'!$C$238:$C$451,$C39,'TL12'!$J$238:$J$451),0),
IF('TL13'!$B$3=Q$3,SUMIF('TL13'!$C$10:$C$224,$C39,'TL13'!$J$10:$J$224),0),
IF('TL13'!$B$229=Q$3,SUMIF('TL13'!$C$238:$C$451,$C39,'TL13'!$J$238:$J$451),0),
IF('TL14'!$B$3=Q$3,SUMIF('TL14'!$C$10:$C$224,$C39,'TL14'!$J$10:$J$224),0),
IF('TL14'!$B$229=Q$3,SUMIF('TL14'!$C$238:$C$451,$C39,'TL14'!$J$238:$J$451),0),
IF('TL15'!$B$3=Q$3,SUMIF('TL15'!$C$10:$C$224,$C39,'TL15'!$J$10:$J$224),0),
IF('TL15'!$B$229=Q$3,SUMIF('TL15'!$C$238:$C$451,$C39,'TL15'!$J$238:$J$451),0),
IF('TL16'!$B$3=Q$3,SUMIF('TL16'!$C$10:$C$224,$C39,'TL16'!$J$10:$J$224),0),
IF('TL16'!$B$229=Q$3,SUMIF('TL16'!$C$238:$C$451,$C39,'TL16'!$J$238:$J$451),0),
IF('TL17'!$B$3=Q$3,SUMIF('TL17'!$C$10:$C$224,$C39,'TL17'!$J$10:$J$224),0),
IF('TL17'!$B$229=Q$3,SUMIF('TL17'!$C$238:$C$451,$C39,'TL17'!$J$238:$J$451),0),
IF('TL18'!$B$3=Q$3,SUMIF('TL18'!$C$10:$C$224,$C39,'TL18'!$J$10:$J$224),0),
IF('TL18'!$B$229=Q$3,SUMIF('TL18'!$C$238:$C$451,$C39,'TL18'!$J$238:$J$451),0),
IF('TL19'!$B$3=Q$3,SUMIF('TL19'!$C$10:$C$224,$C39,'TL19'!$J$10:$J$224),0),
IF('TL19'!$B$229=Q$3,SUMIF('TL19'!$C$238:$C$451,$C39,'TL19'!$J$238:$J$451),0)
),0)</f>
        <v>0</v>
      </c>
      <c r="R39" s="9">
        <f>IFERROR(
SUM(
SUMIF('TL01'!C:C,C39,'TL01'!J:J),
SUMIF('TL02'!C:C,C39,'TL02'!J:J),
SUMIF('TL03'!C:C,C39,'TL03'!J:J),
SUMIF('TL04'!C:C,C39,'TL04'!J:J),
SUMIF('TL05'!C:C,C39,'TL05'!J:J),
SUMIF('TL06'!C:C,C39,'TL06'!J:J),
SUMIF('TL07'!C:C,C39,'TL07'!J:J),
SUMIF('TL08'!C:C,C39,'TL08'!J:J),
SUMIF('TL09'!C:C,C39,'TL09'!J:J),
SUMIF('TL10'!C:C,C39,'TL10'!J:J),
SUMIF('TL11'!C:C,C39,'TL11'!J:J),
SUMIF('TL12'!C:C,C39,'TL12'!J:J),
SUMIF('TL13'!C:C,C39,'TL13'!J:J),
SUMIF('TL14'!C:C,C39,'TL14'!J:J),
SUMIF('TL15'!C:C,C39,'TL15'!J:J),
SUMIF('TL16'!C:C,C39,'TL16'!J:J),
SUMIF('TL17'!C:C,C39,'TL17'!J:J),
SUMIF('TL18'!C:C,C39,'TL18'!J:J),SUMIF('TL19'!C:C,C39,'TL19'!J:J))
,0)</f>
        <v>0</v>
      </c>
      <c r="S39" s="17">
        <f>IFERROR(__xludf.DUMMYFUNCTION("IFERROR(VLOOKUP(C39,
IMPORTRANGE(""1wULbzX32WdYsx-lj2U3uUNBBe2INVIRDtcK0d-Dvl90"",
""26-27!C:G""),
5,
FALSE),
"""")"),36.07344)</f>
        <v>36.07344</v>
      </c>
      <c r="T39" s="9"/>
      <c r="U39" s="92">
        <f t="shared" si="2"/>
        <v>0</v>
      </c>
      <c r="V39" s="93">
        <f t="shared" si="3"/>
        <v>0</v>
      </c>
    </row>
    <row r="40" ht="15.75" hidden="1" customHeight="1">
      <c r="A40" s="115" t="s">
        <v>340</v>
      </c>
      <c r="B40" s="100" t="s">
        <v>0</v>
      </c>
      <c r="C40" s="116" t="s">
        <v>434</v>
      </c>
      <c r="D40" s="116" t="s">
        <v>435</v>
      </c>
      <c r="E40" s="116" t="s">
        <v>436</v>
      </c>
      <c r="F40" s="4" t="s">
        <v>343</v>
      </c>
      <c r="G40" s="90" t="str">
        <f t="shared" si="4"/>
        <v>📄 Ver bula</v>
      </c>
      <c r="H40" s="9">
        <f>IFERROR(__xludf.DUMMYFUNCTION("IFERROR(VLOOKUP(C40,
IMPORTRANGE(""1wULbzX32WdYsx-lj2U3uUNBBe2INVIRDtcK0d-Dvl90"",
""26-27!C:K""),
8,
FALSE),
"""")"),0.5)</f>
        <v>0.5</v>
      </c>
      <c r="I40" s="117" t="s">
        <v>344</v>
      </c>
      <c r="J40" s="9">
        <f>IFERROR(SUM(
IF('TL01'!$B$3=J$3,SUMIF('TL01'!$C$10:$C$224,$C40,'TL01'!$J$10:$J$224),0),
IF('TL01'!$B$229=J$3,SUMIF('TL01'!$C$238:$C$451,$C40,'TL01'!$J$238:$J$451),0),
IF('TL02'!$B$3=J$3,SUMIF('TL02'!$C$10:$C$224,$C40,'TL02'!$J$10:$J$224),0),
IF('TL02'!$B$229=J$3,SUMIF('TL02'!$C$238:$C$451,$C40,'TL02'!$J$238:$J$451),0),
IF('TL03'!$B$3=J$3,SUMIF('TL03'!$C$10:$C$224,$C40,'TL03'!$J$10:$J$224),0),
IF('TL03'!$B$229=J$3,SUMIF('TL03'!$C$238:$C$451,$C40,'TL03'!$J$238:$J$451),0),
IF('TL04'!$B$3=J$3,SUMIF('TL04'!$C$10:$C$224,$C40,'TL04'!$J$10:$J$224),0),
IF('TL04'!$B$229=J$3,SUMIF('TL04'!$C$238:$C$451,$C40,'TL04'!$J$238:$J$451),0),
IF('TL05'!$B$3=J$3,SUMIF('TL05'!$C$10:$C$224,$C40,'TL05'!$J$10:$J$224),0),
IF('TL05'!$B$229=J$3,SUMIF('TL05'!$C$238:$C$451,$C40,'TL05'!$J$238:$J$451),0),
IF('TL06'!$B$3=J$3,SUMIF('TL06'!$C$10:$C$224,$C40,'TL06'!$J$10:$J$224),0),
IF('TL06'!$B$229=J$3,SUMIF('TL06'!$C$238:$C$451,$C40,'TL06'!$J$238:$J$451),0),
IF('TL07'!$B$3=J$3,SUMIF('TL07'!$C$10:$C$224,$C40,'TL07'!$J$10:$J$224),0),
IF('TL07'!$B$229=J$3,SUMIF('TL07'!$C$238:$C$451,$C40,'TL07'!$J$238:$J$451),0),
IF('TL08'!$B$3=J$3,SUMIF('TL08'!$C$10:$C$224,$C40,'TL08'!$J$10:$J$224),0),
IF('TL08'!$B$229=J$3,SUMIF('TL08'!$C$238:$C$451,$C40,'TL08'!$J$238:$J$451),0),
IF('TL09'!$B$3=J$3,SUMIF('TL09'!$C$10:$C$224,$C40,'TL09'!$J$10:$J$224),0),
IF('TL09'!$B$229=J$3,SUMIF('TL09'!$C$238:$C$451,$C40,'TL09'!$J$238:$J$451),0),
IF('TL10'!$B$3=J$3,SUMIF('TL10'!$C$10:$C$224,$C40,'TL10'!$J$10:$J$224),0),
IF('TL10'!$B$229=J$3,SUMIF('TL10'!$C$238:$C$451,$C40,'TL10'!$J$238:$J$451),0),
IF('TL11'!$B$3=J$3,SUMIF('TL11'!$C$10:$C$224,$C40,'TL11'!$J$10:$J$224),0),
IF('TL11'!$B$229=J$3,SUMIF('TL11'!$C$238:$C$451,$C40,'TL11'!$J$238:$J$451),0),
IF('TL12'!$B$3=J$3,SUMIF('TL12'!$C$10:$C$224,$C40,'TL12'!$J$10:$J$224),0),
IF('TL12'!$B$229=J$3,SUMIF('TL12'!$C$238:$C$451,$C40,'TL12'!$J$238:$J$451),0),
IF('TL13'!$B$3=J$3,SUMIF('TL13'!$C$10:$C$224,$C40,'TL13'!$J$10:$J$224),0),
IF('TL13'!$B$229=J$3,SUMIF('TL13'!$C$238:$C$451,$C40,'TL13'!$J$238:$J$451),0),
IF('TL14'!$B$3=J$3,SUMIF('TL14'!$C$10:$C$224,$C40,'TL14'!$J$10:$J$224),0),
IF('TL14'!$B$229=J$3,SUMIF('TL14'!$C$238:$C$451,$C40,'TL14'!$J$238:$J$451),0),
IF('TL15'!$B$3=J$3,SUMIF('TL15'!$C$10:$C$224,$C40,'TL15'!$J$10:$J$224),0),
IF('TL15'!$B$229=J$3,SUMIF('TL15'!$C$238:$C$451,$C40,'TL15'!$J$238:$J$451),0),
IF('TL16'!$B$3=J$3,SUMIF('TL16'!$C$10:$C$224,$C40,'TL16'!$J$10:$J$224),0),
IF('TL16'!$B$229=J$3,SUMIF('TL16'!$C$238:$C$451,$C40,'TL16'!$J$238:$J$451),0),
IF('TL17'!$B$3=J$3,SUMIF('TL17'!$C$10:$C$224,$C40,'TL17'!$J$10:$J$224),0),
IF('TL17'!$B$229=J$3,SUMIF('TL17'!$C$238:$C$451,$C40,'TL17'!$J$238:$J$451),0),
IF('TL18'!$B$3=J$3,SUMIF('TL18'!$C$10:$C$224,$C40,'TL18'!$J$10:$J$224),0),
IF('TL18'!$B$229=J$3,SUMIF('TL18'!$C$238:$C$451,$C40,'TL18'!$J$238:$J$451),0),
IF('TL19'!$B$3=J$3,SUMIF('TL19'!$C$10:$C$224,$C40,'TL19'!$J$10:$J$224),0),
IF('TL19'!$B$229=J$3,SUMIF('TL19'!$C$238:$C$451,$C40,'TL19'!$J$238:$J$451),0)
),0)</f>
        <v>735</v>
      </c>
      <c r="K40" s="9">
        <f>IFERROR(SUM(
IF('TL01'!$B$3=K$3,SUMIF('TL01'!$C$10:$C$224,$C40,'TL01'!$J$10:$J$224),0),
IF('TL01'!$B$229=K$3,SUMIF('TL01'!$C$238:$C$451,$C40,'TL01'!$J$238:$J$451),0),
IF('TL02'!$B$3=K$3,SUMIF('TL02'!$C$10:$C$224,$C40,'TL02'!$J$10:$J$224),0),
IF('TL02'!$B$229=K$3,SUMIF('TL02'!$C$238:$C$451,$C40,'TL02'!$J$238:$J$451),0),
IF('TL03'!$B$3=K$3,SUMIF('TL03'!$C$10:$C$224,$C40,'TL03'!$J$10:$J$224),0),
IF('TL03'!$B$229=K$3,SUMIF('TL03'!$C$238:$C$451,$C40,'TL03'!$J$238:$J$451),0),
IF('TL04'!$B$3=K$3,SUMIF('TL04'!$C$10:$C$224,$C40,'TL04'!$J$10:$J$224),0),
IF('TL04'!$B$229=K$3,SUMIF('TL04'!$C$238:$C$451,$C40,'TL04'!$J$238:$J$451),0),
IF('TL05'!$B$3=K$3,SUMIF('TL05'!$C$10:$C$224,$C40,'TL05'!$J$10:$J$224),0),
IF('TL05'!$B$229=K$3,SUMIF('TL05'!$C$238:$C$451,$C40,'TL05'!$J$238:$J$451),0),
IF('TL06'!$B$3=K$3,SUMIF('TL06'!$C$10:$C$224,$C40,'TL06'!$J$10:$J$224),0),
IF('TL06'!$B$229=K$3,SUMIF('TL06'!$C$238:$C$451,$C40,'TL06'!$J$238:$J$451),0),
IF('TL07'!$B$3=K$3,SUMIF('TL07'!$C$10:$C$224,$C40,'TL07'!$J$10:$J$224),0),
IF('TL07'!$B$229=K$3,SUMIF('TL07'!$C$238:$C$451,$C40,'TL07'!$J$238:$J$451),0),
IF('TL08'!$B$3=K$3,SUMIF('TL08'!$C$10:$C$224,$C40,'TL08'!$J$10:$J$224),0),
IF('TL08'!$B$229=K$3,SUMIF('TL08'!$C$238:$C$451,$C40,'TL08'!$J$238:$J$451),0),
IF('TL09'!$B$3=K$3,SUMIF('TL09'!$C$10:$C$224,$C40,'TL09'!$J$10:$J$224),0),
IF('TL09'!$B$229=K$3,SUMIF('TL09'!$C$238:$C$451,$C40,'TL09'!$J$238:$J$451),0),
IF('TL10'!$B$3=K$3,SUMIF('TL10'!$C$10:$C$224,$C40,'TL10'!$J$10:$J$224),0),
IF('TL10'!$B$229=K$3,SUMIF('TL10'!$C$238:$C$451,$C40,'TL10'!$J$238:$J$451),0),
IF('TL11'!$B$3=K$3,SUMIF('TL11'!$C$10:$C$224,$C40,'TL11'!$J$10:$J$224),0),
IF('TL11'!$B$229=K$3,SUMIF('TL11'!$C$238:$C$451,$C40,'TL11'!$J$238:$J$451),0),
IF('TL12'!$B$3=K$3,SUMIF('TL12'!$C$10:$C$224,$C40,'TL12'!$J$10:$J$224),0),
IF('TL12'!$B$229=K$3,SUMIF('TL12'!$C$238:$C$451,$C40,'TL12'!$J$238:$J$451),0),
IF('TL13'!$B$3=K$3,SUMIF('TL13'!$C$10:$C$224,$C40,'TL13'!$J$10:$J$224),0),
IF('TL13'!$B$229=K$3,SUMIF('TL13'!$C$238:$C$451,$C40,'TL13'!$J$238:$J$451),0),
IF('TL14'!$B$3=K$3,SUMIF('TL14'!$C$10:$C$224,$C40,'TL14'!$J$10:$J$224),0),
IF('TL14'!$B$229=K$3,SUMIF('TL14'!$C$238:$C$451,$C40,'TL14'!$J$238:$J$451),0),
IF('TL15'!$B$3=K$3,SUMIF('TL15'!$C$10:$C$224,$C40,'TL15'!$J$10:$J$224),0),
IF('TL15'!$B$229=K$3,SUMIF('TL15'!$C$238:$C$451,$C40,'TL15'!$J$238:$J$451),0),
IF('TL16'!$B$3=K$3,SUMIF('TL16'!$C$10:$C$224,$C40,'TL16'!$J$10:$J$224),0),
IF('TL16'!$B$229=K$3,SUMIF('TL16'!$C$238:$C$451,$C40,'TL16'!$J$238:$J$451),0),
IF('TL17'!$B$3=K$3,SUMIF('TL17'!$C$10:$C$224,$C40,'TL17'!$J$10:$J$224),0),
IF('TL17'!$B$229=K$3,SUMIF('TL17'!$C$238:$C$451,$C40,'TL17'!$J$238:$J$451),0),
IF('TL18'!$B$3=K$3,SUMIF('TL18'!$C$10:$C$224,$C40,'TL18'!$J$10:$J$224),0),
IF('TL18'!$B$229=K$3,SUMIF('TL18'!$C$238:$C$451,$C40,'TL18'!$J$238:$J$451),0),
IF('TL19'!$B$3=K$3,SUMIF('TL19'!$C$10:$C$224,$C40,'TL19'!$J$10:$J$224),0),
IF('TL19'!$B$229=K$3,SUMIF('TL19'!$C$238:$C$451,$C40,'TL19'!$J$238:$J$451),0)
),0)</f>
        <v>300</v>
      </c>
      <c r="L40" s="9">
        <f>IFERROR(SUM(
IF('TL01'!$B$3=L$3,SUMIF('TL01'!$C$10:$C$224,$C40,'TL01'!$J$10:$J$224),0),
IF('TL01'!$B$229=L$3,SUMIF('TL01'!$C$238:$C$451,$C40,'TL01'!$J$238:$J$451),0),
IF('TL02'!$B$3=L$3,SUMIF('TL02'!$C$10:$C$224,$C40,'TL02'!$J$10:$J$224),0),
IF('TL02'!$B$229=L$3,SUMIF('TL02'!$C$238:$C$451,$C40,'TL02'!$J$238:$J$451),0),
IF('TL03'!$B$3=L$3,SUMIF('TL03'!$C$10:$C$224,$C40,'TL03'!$J$10:$J$224),0),
IF('TL03'!$B$229=L$3,SUMIF('TL03'!$C$238:$C$451,$C40,'TL03'!$J$238:$J$451),0),
IF('TL04'!$B$3=L$3,SUMIF('TL04'!$C$10:$C$224,$C40,'TL04'!$J$10:$J$224),0),
IF('TL04'!$B$229=L$3,SUMIF('TL04'!$C$238:$C$451,$C40,'TL04'!$J$238:$J$451),0),
IF('TL05'!$B$3=L$3,SUMIF('TL05'!$C$10:$C$224,$C40,'TL05'!$J$10:$J$224),0),
IF('TL05'!$B$229=L$3,SUMIF('TL05'!$C$238:$C$451,$C40,'TL05'!$J$238:$J$451),0),
IF('TL06'!$B$3=L$3,SUMIF('TL06'!$C$10:$C$224,$C40,'TL06'!$J$10:$J$224),0),
IF('TL06'!$B$229=L$3,SUMIF('TL06'!$C$238:$C$451,$C40,'TL06'!$J$238:$J$451),0),
IF('TL07'!$B$3=L$3,SUMIF('TL07'!$C$10:$C$224,$C40,'TL07'!$J$10:$J$224),0),
IF('TL07'!$B$229=L$3,SUMIF('TL07'!$C$238:$C$451,$C40,'TL07'!$J$238:$J$451),0),
IF('TL08'!$B$3=L$3,SUMIF('TL08'!$C$10:$C$224,$C40,'TL08'!$J$10:$J$224),0),
IF('TL08'!$B$229=L$3,SUMIF('TL08'!$C$238:$C$451,$C40,'TL08'!$J$238:$J$451),0),
IF('TL09'!$B$3=L$3,SUMIF('TL09'!$C$10:$C$224,$C40,'TL09'!$J$10:$J$224),0),
IF('TL09'!$B$229=L$3,SUMIF('TL09'!$C$238:$C$451,$C40,'TL09'!$J$238:$J$451),0),
IF('TL10'!$B$3=L$3,SUMIF('TL10'!$C$10:$C$224,$C40,'TL10'!$J$10:$J$224),0),
IF('TL10'!$B$229=L$3,SUMIF('TL10'!$C$238:$C$451,$C40,'TL10'!$J$238:$J$451),0),
IF('TL11'!$B$3=L$3,SUMIF('TL11'!$C$10:$C$224,$C40,'TL11'!$J$10:$J$224),0),
IF('TL11'!$B$229=L$3,SUMIF('TL11'!$C$238:$C$451,$C40,'TL11'!$J$238:$J$451),0),
IF('TL12'!$B$3=L$3,SUMIF('TL12'!$C$10:$C$224,$C40,'TL12'!$J$10:$J$224),0),
IF('TL12'!$B$229=L$3,SUMIF('TL12'!$C$238:$C$451,$C40,'TL12'!$J$238:$J$451),0),
IF('TL13'!$B$3=L$3,SUMIF('TL13'!$C$10:$C$224,$C40,'TL13'!$J$10:$J$224),0),
IF('TL13'!$B$229=L$3,SUMIF('TL13'!$C$238:$C$451,$C40,'TL13'!$J$238:$J$451),0),
IF('TL14'!$B$3=L$3,SUMIF('TL14'!$C$10:$C$224,$C40,'TL14'!$J$10:$J$224),0),
IF('TL14'!$B$229=L$3,SUMIF('TL14'!$C$238:$C$451,$C40,'TL14'!$J$238:$J$451),0),
IF('TL15'!$B$3=L$3,SUMIF('TL15'!$C$10:$C$224,$C40,'TL15'!$J$10:$J$224),0),
IF('TL15'!$B$229=L$3,SUMIF('TL15'!$C$238:$C$451,$C40,'TL15'!$J$238:$J$451),0),
IF('TL16'!$B$3=L$3,SUMIF('TL16'!$C$10:$C$224,$C40,'TL16'!$J$10:$J$224),0),
IF('TL16'!$B$229=L$3,SUMIF('TL16'!$C$238:$C$451,$C40,'TL16'!$J$238:$J$451),0),
IF('TL17'!$B$3=L$3,SUMIF('TL17'!$C$10:$C$224,$C40,'TL17'!$J$10:$J$224),0),
IF('TL17'!$B$229=L$3,SUMIF('TL17'!$C$238:$C$451,$C40,'TL17'!$J$238:$J$451),0),
IF('TL18'!$B$3=L$3,SUMIF('TL18'!$C$10:$C$224,$C40,'TL18'!$J$10:$J$224),0),
IF('TL18'!$B$229=L$3,SUMIF('TL18'!$C$238:$C$451,$C40,'TL18'!$J$238:$J$451),0),
IF('TL19'!$B$3=L$3,SUMIF('TL19'!$C$10:$C$224,$C40,'TL19'!$J$10:$J$224),0),
IF('TL19'!$B$229=L$3,SUMIF('TL19'!$C$238:$C$451,$C40,'TL19'!$J$238:$J$451),0)
),0)</f>
        <v>220</v>
      </c>
      <c r="M40" s="9">
        <f>IFERROR(SUM(
IF('TL01'!$B$3=M$3,SUMIF('TL01'!$C$10:$C$224,$C40,'TL01'!$J$10:$J$224),0),
IF('TL01'!$B$229=M$3,SUMIF('TL01'!$C$238:$C$451,$C40,'TL01'!$J$238:$J$451),0),
IF('TL02'!$B$3=M$3,SUMIF('TL02'!$C$10:$C$224,$C40,'TL02'!$J$10:$J$224),0),
IF('TL02'!$B$229=M$3,SUMIF('TL02'!$C$238:$C$451,$C40,'TL02'!$J$238:$J$451),0),
IF('TL03'!$B$3=M$3,SUMIF('TL03'!$C$10:$C$224,$C40,'TL03'!$J$10:$J$224),0),
IF('TL03'!$B$229=M$3,SUMIF('TL03'!$C$238:$C$451,$C40,'TL03'!$J$238:$J$451),0),
IF('TL04'!$B$3=M$3,SUMIF('TL04'!$C$10:$C$224,$C40,'TL04'!$J$10:$J$224),0),
IF('TL04'!$B$229=M$3,SUMIF('TL04'!$C$238:$C$451,$C40,'TL04'!$J$238:$J$451),0),
IF('TL05'!$B$3=M$3,SUMIF('TL05'!$C$10:$C$224,$C40,'TL05'!$J$10:$J$224),0),
IF('TL05'!$B$229=M$3,SUMIF('TL05'!$C$238:$C$451,$C40,'TL05'!$J$238:$J$451),0),
IF('TL06'!$B$3=M$3,SUMIF('TL06'!$C$10:$C$224,$C40,'TL06'!$J$10:$J$224),0),
IF('TL06'!$B$229=M$3,SUMIF('TL06'!$C$238:$C$451,$C40,'TL06'!$J$238:$J$451),0),
IF('TL07'!$B$3=M$3,SUMIF('TL07'!$C$10:$C$224,$C40,'TL07'!$J$10:$J$224),0),
IF('TL07'!$B$229=M$3,SUMIF('TL07'!$C$238:$C$451,$C40,'TL07'!$J$238:$J$451),0),
IF('TL08'!$B$3=M$3,SUMIF('TL08'!$C$10:$C$224,$C40,'TL08'!$J$10:$J$224),0),
IF('TL08'!$B$229=M$3,SUMIF('TL08'!$C$238:$C$451,$C40,'TL08'!$J$238:$J$451),0),
IF('TL09'!$B$3=M$3,SUMIF('TL09'!$C$10:$C$224,$C40,'TL09'!$J$10:$J$224),0),
IF('TL09'!$B$229=M$3,SUMIF('TL09'!$C$238:$C$451,$C40,'TL09'!$J$238:$J$451),0),
IF('TL10'!$B$3=M$3,SUMIF('TL10'!$C$10:$C$224,$C40,'TL10'!$J$10:$J$224),0),
IF('TL10'!$B$229=M$3,SUMIF('TL10'!$C$238:$C$451,$C40,'TL10'!$J$238:$J$451),0),
IF('TL11'!$B$3=M$3,SUMIF('TL11'!$C$10:$C$224,$C40,'TL11'!$J$10:$J$224),0),
IF('TL11'!$B$229=M$3,SUMIF('TL11'!$C$238:$C$451,$C40,'TL11'!$J$238:$J$451),0),
IF('TL12'!$B$3=M$3,SUMIF('TL12'!$C$10:$C$224,$C40,'TL12'!$J$10:$J$224),0),
IF('TL12'!$B$229=M$3,SUMIF('TL12'!$C$238:$C$451,$C40,'TL12'!$J$238:$J$451),0),
IF('TL13'!$B$3=M$3,SUMIF('TL13'!$C$10:$C$224,$C40,'TL13'!$J$10:$J$224),0),
IF('TL13'!$B$229=M$3,SUMIF('TL13'!$C$238:$C$451,$C40,'TL13'!$J$238:$J$451),0),
IF('TL14'!$B$3=M$3,SUMIF('TL14'!$C$10:$C$224,$C40,'TL14'!$J$10:$J$224),0),
IF('TL14'!$B$229=M$3,SUMIF('TL14'!$C$238:$C$451,$C40,'TL14'!$J$238:$J$451),0),
IF('TL15'!$B$3=M$3,SUMIF('TL15'!$C$10:$C$224,$C40,'TL15'!$J$10:$J$224),0),
IF('TL15'!$B$229=M$3,SUMIF('TL15'!$C$238:$C$451,$C40,'TL15'!$J$238:$J$451),0),
IF('TL16'!$B$3=M$3,SUMIF('TL16'!$C$10:$C$224,$C40,'TL16'!$J$10:$J$224),0),
IF('TL16'!$B$229=M$3,SUMIF('TL16'!$C$238:$C$451,$C40,'TL16'!$J$238:$J$451),0),
IF('TL17'!$B$3=M$3,SUMIF('TL17'!$C$10:$C$224,$C40,'TL17'!$J$10:$J$224),0),
IF('TL17'!$B$229=M$3,SUMIF('TL17'!$C$238:$C$451,$C40,'TL17'!$J$238:$J$451),0),
IF('TL18'!$B$3=M$3,SUMIF('TL18'!$C$10:$C$224,$C40,'TL18'!$J$10:$J$224),0),
IF('TL18'!$B$229=M$3,SUMIF('TL18'!$C$238:$C$451,$C40,'TL18'!$J$238:$J$451),0),
IF('TL19'!$B$3=M$3,SUMIF('TL19'!$C$10:$C$224,$C40,'TL19'!$J$10:$J$224),0),
IF('TL19'!$B$229=M$3,SUMIF('TL19'!$C$238:$C$451,$C40,'TL19'!$J$238:$J$451),0)
),0)</f>
        <v>0</v>
      </c>
      <c r="N40" s="9">
        <f>IFERROR(SUM(
IF('TL01'!$B$3=N$3,SUMIF('TL01'!$C$10:$C$224,$C40,'TL01'!$J$10:$J$224),0),
IF('TL01'!$B$229=N$3,SUMIF('TL01'!$C$238:$C$451,$C40,'TL01'!$J$238:$J$451),0),
IF('TL02'!$B$3=N$3,SUMIF('TL02'!$C$10:$C$224,$C40,'TL02'!$J$10:$J$224),0),
IF('TL02'!$B$229=N$3,SUMIF('TL02'!$C$238:$C$451,$C40,'TL02'!$J$238:$J$451),0),
IF('TL03'!$B$3=N$3,SUMIF('TL03'!$C$10:$C$224,$C40,'TL03'!$J$10:$J$224),0),
IF('TL03'!$B$229=N$3,SUMIF('TL03'!$C$238:$C$451,$C40,'TL03'!$J$238:$J$451),0),
IF('TL04'!$B$3=N$3,SUMIF('TL04'!$C$10:$C$224,$C40,'TL04'!$J$10:$J$224),0),
IF('TL04'!$B$229=N$3,SUMIF('TL04'!$C$238:$C$451,$C40,'TL04'!$J$238:$J$451),0),
IF('TL05'!$B$3=N$3,SUMIF('TL05'!$C$10:$C$224,$C40,'TL05'!$J$10:$J$224),0),
IF('TL05'!$B$229=N$3,SUMIF('TL05'!$C$238:$C$451,$C40,'TL05'!$J$238:$J$451),0),
IF('TL06'!$B$3=N$3,SUMIF('TL06'!$C$10:$C$224,$C40,'TL06'!$J$10:$J$224),0),
IF('TL06'!$B$229=N$3,SUMIF('TL06'!$C$238:$C$451,$C40,'TL06'!$J$238:$J$451),0),
IF('TL07'!$B$3=N$3,SUMIF('TL07'!$C$10:$C$224,$C40,'TL07'!$J$10:$J$224),0),
IF('TL07'!$B$229=N$3,SUMIF('TL07'!$C$238:$C$451,$C40,'TL07'!$J$238:$J$451),0),
IF('TL08'!$B$3=N$3,SUMIF('TL08'!$C$10:$C$224,$C40,'TL08'!$J$10:$J$224),0),
IF('TL08'!$B$229=N$3,SUMIF('TL08'!$C$238:$C$451,$C40,'TL08'!$J$238:$J$451),0),
IF('TL09'!$B$3=N$3,SUMIF('TL09'!$C$10:$C$224,$C40,'TL09'!$J$10:$J$224),0),
IF('TL09'!$B$229=N$3,SUMIF('TL09'!$C$238:$C$451,$C40,'TL09'!$J$238:$J$451),0),
IF('TL10'!$B$3=N$3,SUMIF('TL10'!$C$10:$C$224,$C40,'TL10'!$J$10:$J$224),0),
IF('TL10'!$B$229=N$3,SUMIF('TL10'!$C$238:$C$451,$C40,'TL10'!$J$238:$J$451),0),
IF('TL11'!$B$3=N$3,SUMIF('TL11'!$C$10:$C$224,$C40,'TL11'!$J$10:$J$224),0),
IF('TL11'!$B$229=N$3,SUMIF('TL11'!$C$238:$C$451,$C40,'TL11'!$J$238:$J$451),0),
IF('TL12'!$B$3=N$3,SUMIF('TL12'!$C$10:$C$224,$C40,'TL12'!$J$10:$J$224),0),
IF('TL12'!$B$229=N$3,SUMIF('TL12'!$C$238:$C$451,$C40,'TL12'!$J$238:$J$451),0),
IF('TL13'!$B$3=N$3,SUMIF('TL13'!$C$10:$C$224,$C40,'TL13'!$J$10:$J$224),0),
IF('TL13'!$B$229=N$3,SUMIF('TL13'!$C$238:$C$451,$C40,'TL13'!$J$238:$J$451),0),
IF('TL14'!$B$3=N$3,SUMIF('TL14'!$C$10:$C$224,$C40,'TL14'!$J$10:$J$224),0),
IF('TL14'!$B$229=N$3,SUMIF('TL14'!$C$238:$C$451,$C40,'TL14'!$J$238:$J$451),0),
IF('TL15'!$B$3=N$3,SUMIF('TL15'!$C$10:$C$224,$C40,'TL15'!$J$10:$J$224),0),
IF('TL15'!$B$229=N$3,SUMIF('TL15'!$C$238:$C$451,$C40,'TL15'!$J$238:$J$451),0),
IF('TL16'!$B$3=N$3,SUMIF('TL16'!$C$10:$C$224,$C40,'TL16'!$J$10:$J$224),0),
IF('TL16'!$B$229=N$3,SUMIF('TL16'!$C$238:$C$451,$C40,'TL16'!$J$238:$J$451),0),
IF('TL17'!$B$3=N$3,SUMIF('TL17'!$C$10:$C$224,$C40,'TL17'!$J$10:$J$224),0),
IF('TL17'!$B$229=N$3,SUMIF('TL17'!$C$238:$C$451,$C40,'TL17'!$J$238:$J$451),0),
IF('TL18'!$B$3=N$3,SUMIF('TL18'!$C$10:$C$224,$C40,'TL18'!$J$10:$J$224),0),
IF('TL18'!$B$229=N$3,SUMIF('TL18'!$C$238:$C$451,$C40,'TL18'!$J$238:$J$451),0),
IF('TL19'!$B$3=N$3,SUMIF('TL19'!$C$10:$C$224,$C40,'TL19'!$J$10:$J$224),0),
IF('TL19'!$B$229=N$3,SUMIF('TL19'!$C$238:$C$451,$C40,'TL19'!$J$238:$J$451),0)
),0)</f>
        <v>136.5</v>
      </c>
      <c r="O40" s="9">
        <f>IFERROR(SUM(
IF('TL01'!$B$3=O$3,SUMIF('TL01'!$C$10:$C$224,$C40,'TL01'!$J$10:$J$224),0),
IF('TL01'!$B$229=O$3,SUMIF('TL01'!$C$238:$C$451,$C40,'TL01'!$J$238:$J$451),0),
IF('TL02'!$B$3=O$3,SUMIF('TL02'!$C$10:$C$224,$C40,'TL02'!$J$10:$J$224),0),
IF('TL02'!$B$229=O$3,SUMIF('TL02'!$C$238:$C$451,$C40,'TL02'!$J$238:$J$451),0),
IF('TL03'!$B$3=O$3,SUMIF('TL03'!$C$10:$C$224,$C40,'TL03'!$J$10:$J$224),0),
IF('TL03'!$B$229=O$3,SUMIF('TL03'!$C$238:$C$451,$C40,'TL03'!$J$238:$J$451),0),
IF('TL04'!$B$3=O$3,SUMIF('TL04'!$C$10:$C$224,$C40,'TL04'!$J$10:$J$224),0),
IF('TL04'!$B$229=O$3,SUMIF('TL04'!$C$238:$C$451,$C40,'TL04'!$J$238:$J$451),0),
IF('TL05'!$B$3=O$3,SUMIF('TL05'!$C$10:$C$224,$C40,'TL05'!$J$10:$J$224),0),
IF('TL05'!$B$229=O$3,SUMIF('TL05'!$C$238:$C$451,$C40,'TL05'!$J$238:$J$451),0),
IF('TL06'!$B$3=O$3,SUMIF('TL06'!$C$10:$C$224,$C40,'TL06'!$J$10:$J$224),0),
IF('TL06'!$B$229=O$3,SUMIF('TL06'!$C$238:$C$451,$C40,'TL06'!$J$238:$J$451),0),
IF('TL07'!$B$3=O$3,SUMIF('TL07'!$C$10:$C$224,$C40,'TL07'!$J$10:$J$224),0),
IF('TL07'!$B$229=O$3,SUMIF('TL07'!$C$238:$C$451,$C40,'TL07'!$J$238:$J$451),0),
IF('TL08'!$B$3=O$3,SUMIF('TL08'!$C$10:$C$224,$C40,'TL08'!$J$10:$J$224),0),
IF('TL08'!$B$229=O$3,SUMIF('TL08'!$C$238:$C$451,$C40,'TL08'!$J$238:$J$451),0),
IF('TL09'!$B$3=O$3,SUMIF('TL09'!$C$10:$C$224,$C40,'TL09'!$J$10:$J$224),0),
IF('TL09'!$B$229=O$3,SUMIF('TL09'!$C$238:$C$451,$C40,'TL09'!$J$238:$J$451),0),
IF('TL10'!$B$3=O$3,SUMIF('TL10'!$C$10:$C$224,$C40,'TL10'!$J$10:$J$224),0),
IF('TL10'!$B$229=O$3,SUMIF('TL10'!$C$238:$C$451,$C40,'TL10'!$J$238:$J$451),0),
IF('TL11'!$B$3=O$3,SUMIF('TL11'!$C$10:$C$224,$C40,'TL11'!$J$10:$J$224),0),
IF('TL11'!$B$229=O$3,SUMIF('TL11'!$C$238:$C$451,$C40,'TL11'!$J$238:$J$451),0),
IF('TL12'!$B$3=O$3,SUMIF('TL12'!$C$10:$C$224,$C40,'TL12'!$J$10:$J$224),0),
IF('TL12'!$B$229=O$3,SUMIF('TL12'!$C$238:$C$451,$C40,'TL12'!$J$238:$J$451),0),
IF('TL13'!$B$3=O$3,SUMIF('TL13'!$C$10:$C$224,$C40,'TL13'!$J$10:$J$224),0),
IF('TL13'!$B$229=O$3,SUMIF('TL13'!$C$238:$C$451,$C40,'TL13'!$J$238:$J$451),0),
IF('TL14'!$B$3=O$3,SUMIF('TL14'!$C$10:$C$224,$C40,'TL14'!$J$10:$J$224),0),
IF('TL14'!$B$229=O$3,SUMIF('TL14'!$C$238:$C$451,$C40,'TL14'!$J$238:$J$451),0),
IF('TL15'!$B$3=O$3,SUMIF('TL15'!$C$10:$C$224,$C40,'TL15'!$J$10:$J$224),0),
IF('TL15'!$B$229=O$3,SUMIF('TL15'!$C$238:$C$451,$C40,'TL15'!$J$238:$J$451),0),
IF('TL16'!$B$3=O$3,SUMIF('TL16'!$C$10:$C$224,$C40,'TL16'!$J$10:$J$224),0),
IF('TL16'!$B$229=O$3,SUMIF('TL16'!$C$238:$C$451,$C40,'TL16'!$J$238:$J$451),0),
IF('TL17'!$B$3=O$3,SUMIF('TL17'!$C$10:$C$224,$C40,'TL17'!$J$10:$J$224),0),
IF('TL17'!$B$229=O$3,SUMIF('TL17'!$C$238:$C$451,$C40,'TL17'!$J$238:$J$451),0),
IF('TL18'!$B$3=O$3,SUMIF('TL18'!$C$10:$C$224,$C40,'TL18'!$J$10:$J$224),0),
IF('TL18'!$B$229=O$3,SUMIF('TL18'!$C$238:$C$451,$C40,'TL18'!$J$238:$J$451),0),
IF('TL19'!$B$3=O$3,SUMIF('TL19'!$C$10:$C$224,$C40,'TL19'!$J$10:$J$224),0),
IF('TL19'!$B$229=O$3,SUMIF('TL19'!$C$238:$C$451,$C40,'TL19'!$J$238:$J$451),0)
),0)</f>
        <v>0</v>
      </c>
      <c r="P40" s="9">
        <f>IFERROR(SUM(
IF('TL01'!$B$3=P$3,SUMIF('TL01'!$C$10:$C$224,$C40,'TL01'!$J$10:$J$224),0),
IF('TL01'!$B$229=P$3,SUMIF('TL01'!$C$238:$C$451,$C40,'TL01'!$J$238:$J$451),0),
IF('TL02'!$B$3=P$3,SUMIF('TL02'!$C$10:$C$224,$C40,'TL02'!$J$10:$J$224),0),
IF('TL02'!$B$229=P$3,SUMIF('TL02'!$C$238:$C$451,$C40,'TL02'!$J$238:$J$451),0),
IF('TL03'!$B$3=P$3,SUMIF('TL03'!$C$10:$C$224,$C40,'TL03'!$J$10:$J$224),0),
IF('TL03'!$B$229=P$3,SUMIF('TL03'!$C$238:$C$451,$C40,'TL03'!$J$238:$J$451),0),
IF('TL04'!$B$3=P$3,SUMIF('TL04'!$C$10:$C$224,$C40,'TL04'!$J$10:$J$224),0),
IF('TL04'!$B$229=P$3,SUMIF('TL04'!$C$238:$C$451,$C40,'TL04'!$J$238:$J$451),0),
IF('TL05'!$B$3=P$3,SUMIF('TL05'!$C$10:$C$224,$C40,'TL05'!$J$10:$J$224),0),
IF('TL05'!$B$229=P$3,SUMIF('TL05'!$C$238:$C$451,$C40,'TL05'!$J$238:$J$451),0),
IF('TL06'!$B$3=P$3,SUMIF('TL06'!$C$10:$C$224,$C40,'TL06'!$J$10:$J$224),0),
IF('TL06'!$B$229=P$3,SUMIF('TL06'!$C$238:$C$451,$C40,'TL06'!$J$238:$J$451),0),
IF('TL07'!$B$3=P$3,SUMIF('TL07'!$C$10:$C$224,$C40,'TL07'!$J$10:$J$224),0),
IF('TL07'!$B$229=P$3,SUMIF('TL07'!$C$238:$C$451,$C40,'TL07'!$J$238:$J$451),0),
IF('TL08'!$B$3=P$3,SUMIF('TL08'!$C$10:$C$224,$C40,'TL08'!$J$10:$J$224),0),
IF('TL08'!$B$229=P$3,SUMIF('TL08'!$C$238:$C$451,$C40,'TL08'!$J$238:$J$451),0),
IF('TL09'!$B$3=P$3,SUMIF('TL09'!$C$10:$C$224,$C40,'TL09'!$J$10:$J$224),0),
IF('TL09'!$B$229=P$3,SUMIF('TL09'!$C$238:$C$451,$C40,'TL09'!$J$238:$J$451),0),
IF('TL10'!$B$3=P$3,SUMIF('TL10'!$C$10:$C$224,$C40,'TL10'!$J$10:$J$224),0),
IF('TL10'!$B$229=P$3,SUMIF('TL10'!$C$238:$C$451,$C40,'TL10'!$J$238:$J$451),0),
IF('TL11'!$B$3=P$3,SUMIF('TL11'!$C$10:$C$224,$C40,'TL11'!$J$10:$J$224),0),
IF('TL11'!$B$229=P$3,SUMIF('TL11'!$C$238:$C$451,$C40,'TL11'!$J$238:$J$451),0),
IF('TL12'!$B$3=P$3,SUMIF('TL12'!$C$10:$C$224,$C40,'TL12'!$J$10:$J$224),0),
IF('TL12'!$B$229=P$3,SUMIF('TL12'!$C$238:$C$451,$C40,'TL12'!$J$238:$J$451),0),
IF('TL13'!$B$3=P$3,SUMIF('TL13'!$C$10:$C$224,$C40,'TL13'!$J$10:$J$224),0),
IF('TL13'!$B$229=P$3,SUMIF('TL13'!$C$238:$C$451,$C40,'TL13'!$J$238:$J$451),0),
IF('TL14'!$B$3=P$3,SUMIF('TL14'!$C$10:$C$224,$C40,'TL14'!$J$10:$J$224),0),
IF('TL14'!$B$229=P$3,SUMIF('TL14'!$C$238:$C$451,$C40,'TL14'!$J$238:$J$451),0),
IF('TL15'!$B$3=P$3,SUMIF('TL15'!$C$10:$C$224,$C40,'TL15'!$J$10:$J$224),0),
IF('TL15'!$B$229=P$3,SUMIF('TL15'!$C$238:$C$451,$C40,'TL15'!$J$238:$J$451),0),
IF('TL16'!$B$3=P$3,SUMIF('TL16'!$C$10:$C$224,$C40,'TL16'!$J$10:$J$224),0),
IF('TL16'!$B$229=P$3,SUMIF('TL16'!$C$238:$C$451,$C40,'TL16'!$J$238:$J$451),0),
IF('TL17'!$B$3=P$3,SUMIF('TL17'!$C$10:$C$224,$C40,'TL17'!$J$10:$J$224),0),
IF('TL17'!$B$229=P$3,SUMIF('TL17'!$C$238:$C$451,$C40,'TL17'!$J$238:$J$451),0),
IF('TL18'!$B$3=P$3,SUMIF('TL18'!$C$10:$C$224,$C40,'TL18'!$J$10:$J$224),0),
IF('TL18'!$B$229=P$3,SUMIF('TL18'!$C$238:$C$451,$C40,'TL18'!$J$238:$J$451),0),
IF('TL19'!$B$3=P$3,SUMIF('TL19'!$C$10:$C$224,$C40,'TL19'!$J$10:$J$224),0),
IF('TL19'!$B$229=P$3,SUMIF('TL19'!$C$238:$C$451,$C40,'TL19'!$J$238:$J$451),0)
),0)</f>
        <v>312.5</v>
      </c>
      <c r="Q40" s="9">
        <f>IFERROR(SUM(
IF('TL01'!$B$3=Q$3,SUMIF('TL01'!$C$10:$C$224,$C40,'TL01'!$J$10:$J$224),0),
IF('TL01'!$B$229=Q$3,SUMIF('TL01'!$C$238:$C$451,$C40,'TL01'!$J$238:$J$451),0),
IF('TL02'!$B$3=Q$3,SUMIF('TL02'!$C$10:$C$224,$C40,'TL02'!$J$10:$J$224),0),
IF('TL02'!$B$229=Q$3,SUMIF('TL02'!$C$238:$C$451,$C40,'TL02'!$J$238:$J$451),0),
IF('TL03'!$B$3=Q$3,SUMIF('TL03'!$C$10:$C$224,$C40,'TL03'!$J$10:$J$224),0),
IF('TL03'!$B$229=Q$3,SUMIF('TL03'!$C$238:$C$451,$C40,'TL03'!$J$238:$J$451),0),
IF('TL04'!$B$3=Q$3,SUMIF('TL04'!$C$10:$C$224,$C40,'TL04'!$J$10:$J$224),0),
IF('TL04'!$B$229=Q$3,SUMIF('TL04'!$C$238:$C$451,$C40,'TL04'!$J$238:$J$451),0),
IF('TL05'!$B$3=Q$3,SUMIF('TL05'!$C$10:$C$224,$C40,'TL05'!$J$10:$J$224),0),
IF('TL05'!$B$229=Q$3,SUMIF('TL05'!$C$238:$C$451,$C40,'TL05'!$J$238:$J$451),0),
IF('TL06'!$B$3=Q$3,SUMIF('TL06'!$C$10:$C$224,$C40,'TL06'!$J$10:$J$224),0),
IF('TL06'!$B$229=Q$3,SUMIF('TL06'!$C$238:$C$451,$C40,'TL06'!$J$238:$J$451),0),
IF('TL07'!$B$3=Q$3,SUMIF('TL07'!$C$10:$C$224,$C40,'TL07'!$J$10:$J$224),0),
IF('TL07'!$B$229=Q$3,SUMIF('TL07'!$C$238:$C$451,$C40,'TL07'!$J$238:$J$451),0),
IF('TL08'!$B$3=Q$3,SUMIF('TL08'!$C$10:$C$224,$C40,'TL08'!$J$10:$J$224),0),
IF('TL08'!$B$229=Q$3,SUMIF('TL08'!$C$238:$C$451,$C40,'TL08'!$J$238:$J$451),0),
IF('TL09'!$B$3=Q$3,SUMIF('TL09'!$C$10:$C$224,$C40,'TL09'!$J$10:$J$224),0),
IF('TL09'!$B$229=Q$3,SUMIF('TL09'!$C$238:$C$451,$C40,'TL09'!$J$238:$J$451),0),
IF('TL10'!$B$3=Q$3,SUMIF('TL10'!$C$10:$C$224,$C40,'TL10'!$J$10:$J$224),0),
IF('TL10'!$B$229=Q$3,SUMIF('TL10'!$C$238:$C$451,$C40,'TL10'!$J$238:$J$451),0),
IF('TL11'!$B$3=Q$3,SUMIF('TL11'!$C$10:$C$224,$C40,'TL11'!$J$10:$J$224),0),
IF('TL11'!$B$229=Q$3,SUMIF('TL11'!$C$238:$C$451,$C40,'TL11'!$J$238:$J$451),0),
IF('TL12'!$B$3=Q$3,SUMIF('TL12'!$C$10:$C$224,$C40,'TL12'!$J$10:$J$224),0),
IF('TL12'!$B$229=Q$3,SUMIF('TL12'!$C$238:$C$451,$C40,'TL12'!$J$238:$J$451),0),
IF('TL13'!$B$3=Q$3,SUMIF('TL13'!$C$10:$C$224,$C40,'TL13'!$J$10:$J$224),0),
IF('TL13'!$B$229=Q$3,SUMIF('TL13'!$C$238:$C$451,$C40,'TL13'!$J$238:$J$451),0),
IF('TL14'!$B$3=Q$3,SUMIF('TL14'!$C$10:$C$224,$C40,'TL14'!$J$10:$J$224),0),
IF('TL14'!$B$229=Q$3,SUMIF('TL14'!$C$238:$C$451,$C40,'TL14'!$J$238:$J$451),0),
IF('TL15'!$B$3=Q$3,SUMIF('TL15'!$C$10:$C$224,$C40,'TL15'!$J$10:$J$224),0),
IF('TL15'!$B$229=Q$3,SUMIF('TL15'!$C$238:$C$451,$C40,'TL15'!$J$238:$J$451),0),
IF('TL16'!$B$3=Q$3,SUMIF('TL16'!$C$10:$C$224,$C40,'TL16'!$J$10:$J$224),0),
IF('TL16'!$B$229=Q$3,SUMIF('TL16'!$C$238:$C$451,$C40,'TL16'!$J$238:$J$451),0),
IF('TL17'!$B$3=Q$3,SUMIF('TL17'!$C$10:$C$224,$C40,'TL17'!$J$10:$J$224),0),
IF('TL17'!$B$229=Q$3,SUMIF('TL17'!$C$238:$C$451,$C40,'TL17'!$J$238:$J$451),0),
IF('TL18'!$B$3=Q$3,SUMIF('TL18'!$C$10:$C$224,$C40,'TL18'!$J$10:$J$224),0),
IF('TL18'!$B$229=Q$3,SUMIF('TL18'!$C$238:$C$451,$C40,'TL18'!$J$238:$J$451),0),
IF('TL19'!$B$3=Q$3,SUMIF('TL19'!$C$10:$C$224,$C40,'TL19'!$J$10:$J$224),0),
IF('TL19'!$B$229=Q$3,SUMIF('TL19'!$C$238:$C$451,$C40,'TL19'!$J$238:$J$451),0)
),0)</f>
        <v>160</v>
      </c>
      <c r="R40" s="9">
        <f>IFERROR(
SUM(
SUMIF('TL01'!C:C,C40,'TL01'!J:J),
SUMIF('TL02'!C:C,C40,'TL02'!J:J),
SUMIF('TL03'!C:C,C40,'TL03'!J:J),
SUMIF('TL04'!C:C,C40,'TL04'!J:J),
SUMIF('TL05'!C:C,C40,'TL05'!J:J),
SUMIF('TL06'!C:C,C40,'TL06'!J:J),
SUMIF('TL07'!C:C,C40,'TL07'!J:J),
SUMIF('TL08'!C:C,C40,'TL08'!J:J),
SUMIF('TL09'!C:C,C40,'TL09'!J:J),
SUMIF('TL10'!C:C,C40,'TL10'!J:J),
SUMIF('TL11'!C:C,C40,'TL11'!J:J),
SUMIF('TL12'!C:C,C40,'TL12'!J:J),
SUMIF('TL13'!C:C,C40,'TL13'!J:J),
SUMIF('TL14'!C:C,C40,'TL14'!J:J),
SUMIF('TL15'!C:C,C40,'TL15'!J:J),
SUMIF('TL16'!C:C,C40,'TL16'!J:J),
SUMIF('TL17'!C:C,C40,'TL17'!J:J),
SUMIF('TL18'!C:C,C40,'TL18'!J:J),SUMIF('TL19'!C:C,C40,'TL19'!J:J))
,0)</f>
        <v>1864</v>
      </c>
      <c r="S40" s="17">
        <f>IFERROR(__xludf.DUMMYFUNCTION("IFERROR(VLOOKUP(C40,
IMPORTRANGE(""1wULbzX32WdYsx-lj2U3uUNBBe2INVIRDtcK0d-Dvl90"",
""26-27!C:G""),
5,
FALSE),
"""")"),35.32896)</f>
        <v>35.32896</v>
      </c>
      <c r="T40" s="9">
        <v>340.0</v>
      </c>
      <c r="U40" s="92">
        <f t="shared" si="2"/>
        <v>1524</v>
      </c>
      <c r="V40" s="93">
        <f t="shared" si="3"/>
        <v>53841.33504</v>
      </c>
    </row>
    <row r="41" ht="15.75" hidden="1" customHeight="1">
      <c r="A41" s="111" t="s">
        <v>340</v>
      </c>
      <c r="B41" s="112" t="s">
        <v>0</v>
      </c>
      <c r="C41" s="113" t="s">
        <v>437</v>
      </c>
      <c r="D41" s="113" t="s">
        <v>438</v>
      </c>
      <c r="E41" s="113" t="s">
        <v>439</v>
      </c>
      <c r="F41" s="4" t="s">
        <v>343</v>
      </c>
      <c r="G41" s="90" t="str">
        <f t="shared" si="4"/>
        <v>📄 Ver bula</v>
      </c>
      <c r="H41" s="9">
        <f>IFERROR(__xludf.DUMMYFUNCTION("IFERROR(VLOOKUP(C41,
IMPORTRANGE(""1wULbzX32WdYsx-lj2U3uUNBBe2INVIRDtcK0d-Dvl90"",
""26-27!C:K""),
8,
FALSE),
"""")"),2.0)</f>
        <v>2</v>
      </c>
      <c r="I41" s="114" t="s">
        <v>344</v>
      </c>
      <c r="J41" s="9">
        <f>IFERROR(SUM(
IF('TL01'!$B$3=J$3,SUMIF('TL01'!$C$10:$C$224,$C41,'TL01'!$J$10:$J$224),0),
IF('TL01'!$B$229=J$3,SUMIF('TL01'!$C$238:$C$451,$C41,'TL01'!$J$238:$J$451),0),
IF('TL02'!$B$3=J$3,SUMIF('TL02'!$C$10:$C$224,$C41,'TL02'!$J$10:$J$224),0),
IF('TL02'!$B$229=J$3,SUMIF('TL02'!$C$238:$C$451,$C41,'TL02'!$J$238:$J$451),0),
IF('TL03'!$B$3=J$3,SUMIF('TL03'!$C$10:$C$224,$C41,'TL03'!$J$10:$J$224),0),
IF('TL03'!$B$229=J$3,SUMIF('TL03'!$C$238:$C$451,$C41,'TL03'!$J$238:$J$451),0),
IF('TL04'!$B$3=J$3,SUMIF('TL04'!$C$10:$C$224,$C41,'TL04'!$J$10:$J$224),0),
IF('TL04'!$B$229=J$3,SUMIF('TL04'!$C$238:$C$451,$C41,'TL04'!$J$238:$J$451),0),
IF('TL05'!$B$3=J$3,SUMIF('TL05'!$C$10:$C$224,$C41,'TL05'!$J$10:$J$224),0),
IF('TL05'!$B$229=J$3,SUMIF('TL05'!$C$238:$C$451,$C41,'TL05'!$J$238:$J$451),0),
IF('TL06'!$B$3=J$3,SUMIF('TL06'!$C$10:$C$224,$C41,'TL06'!$J$10:$J$224),0),
IF('TL06'!$B$229=J$3,SUMIF('TL06'!$C$238:$C$451,$C41,'TL06'!$J$238:$J$451),0),
IF('TL07'!$B$3=J$3,SUMIF('TL07'!$C$10:$C$224,$C41,'TL07'!$J$10:$J$224),0),
IF('TL07'!$B$229=J$3,SUMIF('TL07'!$C$238:$C$451,$C41,'TL07'!$J$238:$J$451),0),
IF('TL08'!$B$3=J$3,SUMIF('TL08'!$C$10:$C$224,$C41,'TL08'!$J$10:$J$224),0),
IF('TL08'!$B$229=J$3,SUMIF('TL08'!$C$238:$C$451,$C41,'TL08'!$J$238:$J$451),0),
IF('TL09'!$B$3=J$3,SUMIF('TL09'!$C$10:$C$224,$C41,'TL09'!$J$10:$J$224),0),
IF('TL09'!$B$229=J$3,SUMIF('TL09'!$C$238:$C$451,$C41,'TL09'!$J$238:$J$451),0),
IF('TL10'!$B$3=J$3,SUMIF('TL10'!$C$10:$C$224,$C41,'TL10'!$J$10:$J$224),0),
IF('TL10'!$B$229=J$3,SUMIF('TL10'!$C$238:$C$451,$C41,'TL10'!$J$238:$J$451),0),
IF('TL11'!$B$3=J$3,SUMIF('TL11'!$C$10:$C$224,$C41,'TL11'!$J$10:$J$224),0),
IF('TL11'!$B$229=J$3,SUMIF('TL11'!$C$238:$C$451,$C41,'TL11'!$J$238:$J$451),0),
IF('TL12'!$B$3=J$3,SUMIF('TL12'!$C$10:$C$224,$C41,'TL12'!$J$10:$J$224),0),
IF('TL12'!$B$229=J$3,SUMIF('TL12'!$C$238:$C$451,$C41,'TL12'!$J$238:$J$451),0),
IF('TL13'!$B$3=J$3,SUMIF('TL13'!$C$10:$C$224,$C41,'TL13'!$J$10:$J$224),0),
IF('TL13'!$B$229=J$3,SUMIF('TL13'!$C$238:$C$451,$C41,'TL13'!$J$238:$J$451),0),
IF('TL14'!$B$3=J$3,SUMIF('TL14'!$C$10:$C$224,$C41,'TL14'!$J$10:$J$224),0),
IF('TL14'!$B$229=J$3,SUMIF('TL14'!$C$238:$C$451,$C41,'TL14'!$J$238:$J$451),0),
IF('TL15'!$B$3=J$3,SUMIF('TL15'!$C$10:$C$224,$C41,'TL15'!$J$10:$J$224),0),
IF('TL15'!$B$229=J$3,SUMIF('TL15'!$C$238:$C$451,$C41,'TL15'!$J$238:$J$451),0),
IF('TL16'!$B$3=J$3,SUMIF('TL16'!$C$10:$C$224,$C41,'TL16'!$J$10:$J$224),0),
IF('TL16'!$B$229=J$3,SUMIF('TL16'!$C$238:$C$451,$C41,'TL16'!$J$238:$J$451),0),
IF('TL17'!$B$3=J$3,SUMIF('TL17'!$C$10:$C$224,$C41,'TL17'!$J$10:$J$224),0),
IF('TL17'!$B$229=J$3,SUMIF('TL17'!$C$238:$C$451,$C41,'TL17'!$J$238:$J$451),0),
IF('TL18'!$B$3=J$3,SUMIF('TL18'!$C$10:$C$224,$C41,'TL18'!$J$10:$J$224),0),
IF('TL18'!$B$229=J$3,SUMIF('TL18'!$C$238:$C$451,$C41,'TL18'!$J$238:$J$451),0),
IF('TL19'!$B$3=J$3,SUMIF('TL19'!$C$10:$C$224,$C41,'TL19'!$J$10:$J$224),0),
IF('TL19'!$B$229=J$3,SUMIF('TL19'!$C$238:$C$451,$C41,'TL19'!$J$238:$J$451),0)
),0)</f>
        <v>0</v>
      </c>
      <c r="K41" s="9">
        <f>IFERROR(SUM(
IF('TL01'!$B$3=K$3,SUMIF('TL01'!$C$10:$C$224,$C41,'TL01'!$J$10:$J$224),0),
IF('TL01'!$B$229=K$3,SUMIF('TL01'!$C$238:$C$451,$C41,'TL01'!$J$238:$J$451),0),
IF('TL02'!$B$3=K$3,SUMIF('TL02'!$C$10:$C$224,$C41,'TL02'!$J$10:$J$224),0),
IF('TL02'!$B$229=K$3,SUMIF('TL02'!$C$238:$C$451,$C41,'TL02'!$J$238:$J$451),0),
IF('TL03'!$B$3=K$3,SUMIF('TL03'!$C$10:$C$224,$C41,'TL03'!$J$10:$J$224),0),
IF('TL03'!$B$229=K$3,SUMIF('TL03'!$C$238:$C$451,$C41,'TL03'!$J$238:$J$451),0),
IF('TL04'!$B$3=K$3,SUMIF('TL04'!$C$10:$C$224,$C41,'TL04'!$J$10:$J$224),0),
IF('TL04'!$B$229=K$3,SUMIF('TL04'!$C$238:$C$451,$C41,'TL04'!$J$238:$J$451),0),
IF('TL05'!$B$3=K$3,SUMIF('TL05'!$C$10:$C$224,$C41,'TL05'!$J$10:$J$224),0),
IF('TL05'!$B$229=K$3,SUMIF('TL05'!$C$238:$C$451,$C41,'TL05'!$J$238:$J$451),0),
IF('TL06'!$B$3=K$3,SUMIF('TL06'!$C$10:$C$224,$C41,'TL06'!$J$10:$J$224),0),
IF('TL06'!$B$229=K$3,SUMIF('TL06'!$C$238:$C$451,$C41,'TL06'!$J$238:$J$451),0),
IF('TL07'!$B$3=K$3,SUMIF('TL07'!$C$10:$C$224,$C41,'TL07'!$J$10:$J$224),0),
IF('TL07'!$B$229=K$3,SUMIF('TL07'!$C$238:$C$451,$C41,'TL07'!$J$238:$J$451),0),
IF('TL08'!$B$3=K$3,SUMIF('TL08'!$C$10:$C$224,$C41,'TL08'!$J$10:$J$224),0),
IF('TL08'!$B$229=K$3,SUMIF('TL08'!$C$238:$C$451,$C41,'TL08'!$J$238:$J$451),0),
IF('TL09'!$B$3=K$3,SUMIF('TL09'!$C$10:$C$224,$C41,'TL09'!$J$10:$J$224),0),
IF('TL09'!$B$229=K$3,SUMIF('TL09'!$C$238:$C$451,$C41,'TL09'!$J$238:$J$451),0),
IF('TL10'!$B$3=K$3,SUMIF('TL10'!$C$10:$C$224,$C41,'TL10'!$J$10:$J$224),0),
IF('TL10'!$B$229=K$3,SUMIF('TL10'!$C$238:$C$451,$C41,'TL10'!$J$238:$J$451),0),
IF('TL11'!$B$3=K$3,SUMIF('TL11'!$C$10:$C$224,$C41,'TL11'!$J$10:$J$224),0),
IF('TL11'!$B$229=K$3,SUMIF('TL11'!$C$238:$C$451,$C41,'TL11'!$J$238:$J$451),0),
IF('TL12'!$B$3=K$3,SUMIF('TL12'!$C$10:$C$224,$C41,'TL12'!$J$10:$J$224),0),
IF('TL12'!$B$229=K$3,SUMIF('TL12'!$C$238:$C$451,$C41,'TL12'!$J$238:$J$451),0),
IF('TL13'!$B$3=K$3,SUMIF('TL13'!$C$10:$C$224,$C41,'TL13'!$J$10:$J$224),0),
IF('TL13'!$B$229=K$3,SUMIF('TL13'!$C$238:$C$451,$C41,'TL13'!$J$238:$J$451),0),
IF('TL14'!$B$3=K$3,SUMIF('TL14'!$C$10:$C$224,$C41,'TL14'!$J$10:$J$224),0),
IF('TL14'!$B$229=K$3,SUMIF('TL14'!$C$238:$C$451,$C41,'TL14'!$J$238:$J$451),0),
IF('TL15'!$B$3=K$3,SUMIF('TL15'!$C$10:$C$224,$C41,'TL15'!$J$10:$J$224),0),
IF('TL15'!$B$229=K$3,SUMIF('TL15'!$C$238:$C$451,$C41,'TL15'!$J$238:$J$451),0),
IF('TL16'!$B$3=K$3,SUMIF('TL16'!$C$10:$C$224,$C41,'TL16'!$J$10:$J$224),0),
IF('TL16'!$B$229=K$3,SUMIF('TL16'!$C$238:$C$451,$C41,'TL16'!$J$238:$J$451),0),
IF('TL17'!$B$3=K$3,SUMIF('TL17'!$C$10:$C$224,$C41,'TL17'!$J$10:$J$224),0),
IF('TL17'!$B$229=K$3,SUMIF('TL17'!$C$238:$C$451,$C41,'TL17'!$J$238:$J$451),0),
IF('TL18'!$B$3=K$3,SUMIF('TL18'!$C$10:$C$224,$C41,'TL18'!$J$10:$J$224),0),
IF('TL18'!$B$229=K$3,SUMIF('TL18'!$C$238:$C$451,$C41,'TL18'!$J$238:$J$451),0),
IF('TL19'!$B$3=K$3,SUMIF('TL19'!$C$10:$C$224,$C41,'TL19'!$J$10:$J$224),0),
IF('TL19'!$B$229=K$3,SUMIF('TL19'!$C$238:$C$451,$C41,'TL19'!$J$238:$J$451),0)
),0)</f>
        <v>0</v>
      </c>
      <c r="L41" s="9">
        <f>IFERROR(SUM(
IF('TL01'!$B$3=L$3,SUMIF('TL01'!$C$10:$C$224,$C41,'TL01'!$J$10:$J$224),0),
IF('TL01'!$B$229=L$3,SUMIF('TL01'!$C$238:$C$451,$C41,'TL01'!$J$238:$J$451),0),
IF('TL02'!$B$3=L$3,SUMIF('TL02'!$C$10:$C$224,$C41,'TL02'!$J$10:$J$224),0),
IF('TL02'!$B$229=L$3,SUMIF('TL02'!$C$238:$C$451,$C41,'TL02'!$J$238:$J$451),0),
IF('TL03'!$B$3=L$3,SUMIF('TL03'!$C$10:$C$224,$C41,'TL03'!$J$10:$J$224),0),
IF('TL03'!$B$229=L$3,SUMIF('TL03'!$C$238:$C$451,$C41,'TL03'!$J$238:$J$451),0),
IF('TL04'!$B$3=L$3,SUMIF('TL04'!$C$10:$C$224,$C41,'TL04'!$J$10:$J$224),0),
IF('TL04'!$B$229=L$3,SUMIF('TL04'!$C$238:$C$451,$C41,'TL04'!$J$238:$J$451),0),
IF('TL05'!$B$3=L$3,SUMIF('TL05'!$C$10:$C$224,$C41,'TL05'!$J$10:$J$224),0),
IF('TL05'!$B$229=L$3,SUMIF('TL05'!$C$238:$C$451,$C41,'TL05'!$J$238:$J$451),0),
IF('TL06'!$B$3=L$3,SUMIF('TL06'!$C$10:$C$224,$C41,'TL06'!$J$10:$J$224),0),
IF('TL06'!$B$229=L$3,SUMIF('TL06'!$C$238:$C$451,$C41,'TL06'!$J$238:$J$451),0),
IF('TL07'!$B$3=L$3,SUMIF('TL07'!$C$10:$C$224,$C41,'TL07'!$J$10:$J$224),0),
IF('TL07'!$B$229=L$3,SUMIF('TL07'!$C$238:$C$451,$C41,'TL07'!$J$238:$J$451),0),
IF('TL08'!$B$3=L$3,SUMIF('TL08'!$C$10:$C$224,$C41,'TL08'!$J$10:$J$224),0),
IF('TL08'!$B$229=L$3,SUMIF('TL08'!$C$238:$C$451,$C41,'TL08'!$J$238:$J$451),0),
IF('TL09'!$B$3=L$3,SUMIF('TL09'!$C$10:$C$224,$C41,'TL09'!$J$10:$J$224),0),
IF('TL09'!$B$229=L$3,SUMIF('TL09'!$C$238:$C$451,$C41,'TL09'!$J$238:$J$451),0),
IF('TL10'!$B$3=L$3,SUMIF('TL10'!$C$10:$C$224,$C41,'TL10'!$J$10:$J$224),0),
IF('TL10'!$B$229=L$3,SUMIF('TL10'!$C$238:$C$451,$C41,'TL10'!$J$238:$J$451),0),
IF('TL11'!$B$3=L$3,SUMIF('TL11'!$C$10:$C$224,$C41,'TL11'!$J$10:$J$224),0),
IF('TL11'!$B$229=L$3,SUMIF('TL11'!$C$238:$C$451,$C41,'TL11'!$J$238:$J$451),0),
IF('TL12'!$B$3=L$3,SUMIF('TL12'!$C$10:$C$224,$C41,'TL12'!$J$10:$J$224),0),
IF('TL12'!$B$229=L$3,SUMIF('TL12'!$C$238:$C$451,$C41,'TL12'!$J$238:$J$451),0),
IF('TL13'!$B$3=L$3,SUMIF('TL13'!$C$10:$C$224,$C41,'TL13'!$J$10:$J$224),0),
IF('TL13'!$B$229=L$3,SUMIF('TL13'!$C$238:$C$451,$C41,'TL13'!$J$238:$J$451),0),
IF('TL14'!$B$3=L$3,SUMIF('TL14'!$C$10:$C$224,$C41,'TL14'!$J$10:$J$224),0),
IF('TL14'!$B$229=L$3,SUMIF('TL14'!$C$238:$C$451,$C41,'TL14'!$J$238:$J$451),0),
IF('TL15'!$B$3=L$3,SUMIF('TL15'!$C$10:$C$224,$C41,'TL15'!$J$10:$J$224),0),
IF('TL15'!$B$229=L$3,SUMIF('TL15'!$C$238:$C$451,$C41,'TL15'!$J$238:$J$451),0),
IF('TL16'!$B$3=L$3,SUMIF('TL16'!$C$10:$C$224,$C41,'TL16'!$J$10:$J$224),0),
IF('TL16'!$B$229=L$3,SUMIF('TL16'!$C$238:$C$451,$C41,'TL16'!$J$238:$J$451),0),
IF('TL17'!$B$3=L$3,SUMIF('TL17'!$C$10:$C$224,$C41,'TL17'!$J$10:$J$224),0),
IF('TL17'!$B$229=L$3,SUMIF('TL17'!$C$238:$C$451,$C41,'TL17'!$J$238:$J$451),0),
IF('TL18'!$B$3=L$3,SUMIF('TL18'!$C$10:$C$224,$C41,'TL18'!$J$10:$J$224),0),
IF('TL18'!$B$229=L$3,SUMIF('TL18'!$C$238:$C$451,$C41,'TL18'!$J$238:$J$451),0),
IF('TL19'!$B$3=L$3,SUMIF('TL19'!$C$10:$C$224,$C41,'TL19'!$J$10:$J$224),0),
IF('TL19'!$B$229=L$3,SUMIF('TL19'!$C$238:$C$451,$C41,'TL19'!$J$238:$J$451),0)
),0)</f>
        <v>0</v>
      </c>
      <c r="M41" s="9">
        <f>IFERROR(SUM(
IF('TL01'!$B$3=M$3,SUMIF('TL01'!$C$10:$C$224,$C41,'TL01'!$J$10:$J$224),0),
IF('TL01'!$B$229=M$3,SUMIF('TL01'!$C$238:$C$451,$C41,'TL01'!$J$238:$J$451),0),
IF('TL02'!$B$3=M$3,SUMIF('TL02'!$C$10:$C$224,$C41,'TL02'!$J$10:$J$224),0),
IF('TL02'!$B$229=M$3,SUMIF('TL02'!$C$238:$C$451,$C41,'TL02'!$J$238:$J$451),0),
IF('TL03'!$B$3=M$3,SUMIF('TL03'!$C$10:$C$224,$C41,'TL03'!$J$10:$J$224),0),
IF('TL03'!$B$229=M$3,SUMIF('TL03'!$C$238:$C$451,$C41,'TL03'!$J$238:$J$451),0),
IF('TL04'!$B$3=M$3,SUMIF('TL04'!$C$10:$C$224,$C41,'TL04'!$J$10:$J$224),0),
IF('TL04'!$B$229=M$3,SUMIF('TL04'!$C$238:$C$451,$C41,'TL04'!$J$238:$J$451),0),
IF('TL05'!$B$3=M$3,SUMIF('TL05'!$C$10:$C$224,$C41,'TL05'!$J$10:$J$224),0),
IF('TL05'!$B$229=M$3,SUMIF('TL05'!$C$238:$C$451,$C41,'TL05'!$J$238:$J$451),0),
IF('TL06'!$B$3=M$3,SUMIF('TL06'!$C$10:$C$224,$C41,'TL06'!$J$10:$J$224),0),
IF('TL06'!$B$229=M$3,SUMIF('TL06'!$C$238:$C$451,$C41,'TL06'!$J$238:$J$451),0),
IF('TL07'!$B$3=M$3,SUMIF('TL07'!$C$10:$C$224,$C41,'TL07'!$J$10:$J$224),0),
IF('TL07'!$B$229=M$3,SUMIF('TL07'!$C$238:$C$451,$C41,'TL07'!$J$238:$J$451),0),
IF('TL08'!$B$3=M$3,SUMIF('TL08'!$C$10:$C$224,$C41,'TL08'!$J$10:$J$224),0),
IF('TL08'!$B$229=M$3,SUMIF('TL08'!$C$238:$C$451,$C41,'TL08'!$J$238:$J$451),0),
IF('TL09'!$B$3=M$3,SUMIF('TL09'!$C$10:$C$224,$C41,'TL09'!$J$10:$J$224),0),
IF('TL09'!$B$229=M$3,SUMIF('TL09'!$C$238:$C$451,$C41,'TL09'!$J$238:$J$451),0),
IF('TL10'!$B$3=M$3,SUMIF('TL10'!$C$10:$C$224,$C41,'TL10'!$J$10:$J$224),0),
IF('TL10'!$B$229=M$3,SUMIF('TL10'!$C$238:$C$451,$C41,'TL10'!$J$238:$J$451),0),
IF('TL11'!$B$3=M$3,SUMIF('TL11'!$C$10:$C$224,$C41,'TL11'!$J$10:$J$224),0),
IF('TL11'!$B$229=M$3,SUMIF('TL11'!$C$238:$C$451,$C41,'TL11'!$J$238:$J$451),0),
IF('TL12'!$B$3=M$3,SUMIF('TL12'!$C$10:$C$224,$C41,'TL12'!$J$10:$J$224),0),
IF('TL12'!$B$229=M$3,SUMIF('TL12'!$C$238:$C$451,$C41,'TL12'!$J$238:$J$451),0),
IF('TL13'!$B$3=M$3,SUMIF('TL13'!$C$10:$C$224,$C41,'TL13'!$J$10:$J$224),0),
IF('TL13'!$B$229=M$3,SUMIF('TL13'!$C$238:$C$451,$C41,'TL13'!$J$238:$J$451),0),
IF('TL14'!$B$3=M$3,SUMIF('TL14'!$C$10:$C$224,$C41,'TL14'!$J$10:$J$224),0),
IF('TL14'!$B$229=M$3,SUMIF('TL14'!$C$238:$C$451,$C41,'TL14'!$J$238:$J$451),0),
IF('TL15'!$B$3=M$3,SUMIF('TL15'!$C$10:$C$224,$C41,'TL15'!$J$10:$J$224),0),
IF('TL15'!$B$229=M$3,SUMIF('TL15'!$C$238:$C$451,$C41,'TL15'!$J$238:$J$451),0),
IF('TL16'!$B$3=M$3,SUMIF('TL16'!$C$10:$C$224,$C41,'TL16'!$J$10:$J$224),0),
IF('TL16'!$B$229=M$3,SUMIF('TL16'!$C$238:$C$451,$C41,'TL16'!$J$238:$J$451),0),
IF('TL17'!$B$3=M$3,SUMIF('TL17'!$C$10:$C$224,$C41,'TL17'!$J$10:$J$224),0),
IF('TL17'!$B$229=M$3,SUMIF('TL17'!$C$238:$C$451,$C41,'TL17'!$J$238:$J$451),0),
IF('TL18'!$B$3=M$3,SUMIF('TL18'!$C$10:$C$224,$C41,'TL18'!$J$10:$J$224),0),
IF('TL18'!$B$229=M$3,SUMIF('TL18'!$C$238:$C$451,$C41,'TL18'!$J$238:$J$451),0),
IF('TL19'!$B$3=M$3,SUMIF('TL19'!$C$10:$C$224,$C41,'TL19'!$J$10:$J$224),0),
IF('TL19'!$B$229=M$3,SUMIF('TL19'!$C$238:$C$451,$C41,'TL19'!$J$238:$J$451),0)
),0)</f>
        <v>0</v>
      </c>
      <c r="N41" s="9">
        <f>IFERROR(SUM(
IF('TL01'!$B$3=N$3,SUMIF('TL01'!$C$10:$C$224,$C41,'TL01'!$J$10:$J$224),0),
IF('TL01'!$B$229=N$3,SUMIF('TL01'!$C$238:$C$451,$C41,'TL01'!$J$238:$J$451),0),
IF('TL02'!$B$3=N$3,SUMIF('TL02'!$C$10:$C$224,$C41,'TL02'!$J$10:$J$224),0),
IF('TL02'!$B$229=N$3,SUMIF('TL02'!$C$238:$C$451,$C41,'TL02'!$J$238:$J$451),0),
IF('TL03'!$B$3=N$3,SUMIF('TL03'!$C$10:$C$224,$C41,'TL03'!$J$10:$J$224),0),
IF('TL03'!$B$229=N$3,SUMIF('TL03'!$C$238:$C$451,$C41,'TL03'!$J$238:$J$451),0),
IF('TL04'!$B$3=N$3,SUMIF('TL04'!$C$10:$C$224,$C41,'TL04'!$J$10:$J$224),0),
IF('TL04'!$B$229=N$3,SUMIF('TL04'!$C$238:$C$451,$C41,'TL04'!$J$238:$J$451),0),
IF('TL05'!$B$3=N$3,SUMIF('TL05'!$C$10:$C$224,$C41,'TL05'!$J$10:$J$224),0),
IF('TL05'!$B$229=N$3,SUMIF('TL05'!$C$238:$C$451,$C41,'TL05'!$J$238:$J$451),0),
IF('TL06'!$B$3=N$3,SUMIF('TL06'!$C$10:$C$224,$C41,'TL06'!$J$10:$J$224),0),
IF('TL06'!$B$229=N$3,SUMIF('TL06'!$C$238:$C$451,$C41,'TL06'!$J$238:$J$451),0),
IF('TL07'!$B$3=N$3,SUMIF('TL07'!$C$10:$C$224,$C41,'TL07'!$J$10:$J$224),0),
IF('TL07'!$B$229=N$3,SUMIF('TL07'!$C$238:$C$451,$C41,'TL07'!$J$238:$J$451),0),
IF('TL08'!$B$3=N$3,SUMIF('TL08'!$C$10:$C$224,$C41,'TL08'!$J$10:$J$224),0),
IF('TL08'!$B$229=N$3,SUMIF('TL08'!$C$238:$C$451,$C41,'TL08'!$J$238:$J$451),0),
IF('TL09'!$B$3=N$3,SUMIF('TL09'!$C$10:$C$224,$C41,'TL09'!$J$10:$J$224),0),
IF('TL09'!$B$229=N$3,SUMIF('TL09'!$C$238:$C$451,$C41,'TL09'!$J$238:$J$451),0),
IF('TL10'!$B$3=N$3,SUMIF('TL10'!$C$10:$C$224,$C41,'TL10'!$J$10:$J$224),0),
IF('TL10'!$B$229=N$3,SUMIF('TL10'!$C$238:$C$451,$C41,'TL10'!$J$238:$J$451),0),
IF('TL11'!$B$3=N$3,SUMIF('TL11'!$C$10:$C$224,$C41,'TL11'!$J$10:$J$224),0),
IF('TL11'!$B$229=N$3,SUMIF('TL11'!$C$238:$C$451,$C41,'TL11'!$J$238:$J$451),0),
IF('TL12'!$B$3=N$3,SUMIF('TL12'!$C$10:$C$224,$C41,'TL12'!$J$10:$J$224),0),
IF('TL12'!$B$229=N$3,SUMIF('TL12'!$C$238:$C$451,$C41,'TL12'!$J$238:$J$451),0),
IF('TL13'!$B$3=N$3,SUMIF('TL13'!$C$10:$C$224,$C41,'TL13'!$J$10:$J$224),0),
IF('TL13'!$B$229=N$3,SUMIF('TL13'!$C$238:$C$451,$C41,'TL13'!$J$238:$J$451),0),
IF('TL14'!$B$3=N$3,SUMIF('TL14'!$C$10:$C$224,$C41,'TL14'!$J$10:$J$224),0),
IF('TL14'!$B$229=N$3,SUMIF('TL14'!$C$238:$C$451,$C41,'TL14'!$J$238:$J$451),0),
IF('TL15'!$B$3=N$3,SUMIF('TL15'!$C$10:$C$224,$C41,'TL15'!$J$10:$J$224),0),
IF('TL15'!$B$229=N$3,SUMIF('TL15'!$C$238:$C$451,$C41,'TL15'!$J$238:$J$451),0),
IF('TL16'!$B$3=N$3,SUMIF('TL16'!$C$10:$C$224,$C41,'TL16'!$J$10:$J$224),0),
IF('TL16'!$B$229=N$3,SUMIF('TL16'!$C$238:$C$451,$C41,'TL16'!$J$238:$J$451),0),
IF('TL17'!$B$3=N$3,SUMIF('TL17'!$C$10:$C$224,$C41,'TL17'!$J$10:$J$224),0),
IF('TL17'!$B$229=N$3,SUMIF('TL17'!$C$238:$C$451,$C41,'TL17'!$J$238:$J$451),0),
IF('TL18'!$B$3=N$3,SUMIF('TL18'!$C$10:$C$224,$C41,'TL18'!$J$10:$J$224),0),
IF('TL18'!$B$229=N$3,SUMIF('TL18'!$C$238:$C$451,$C41,'TL18'!$J$238:$J$451),0),
IF('TL19'!$B$3=N$3,SUMIF('TL19'!$C$10:$C$224,$C41,'TL19'!$J$10:$J$224),0),
IF('TL19'!$B$229=N$3,SUMIF('TL19'!$C$238:$C$451,$C41,'TL19'!$J$238:$J$451),0)
),0)</f>
        <v>0</v>
      </c>
      <c r="O41" s="9">
        <f>IFERROR(SUM(
IF('TL01'!$B$3=O$3,SUMIF('TL01'!$C$10:$C$224,$C41,'TL01'!$J$10:$J$224),0),
IF('TL01'!$B$229=O$3,SUMIF('TL01'!$C$238:$C$451,$C41,'TL01'!$J$238:$J$451),0),
IF('TL02'!$B$3=O$3,SUMIF('TL02'!$C$10:$C$224,$C41,'TL02'!$J$10:$J$224),0),
IF('TL02'!$B$229=O$3,SUMIF('TL02'!$C$238:$C$451,$C41,'TL02'!$J$238:$J$451),0),
IF('TL03'!$B$3=O$3,SUMIF('TL03'!$C$10:$C$224,$C41,'TL03'!$J$10:$J$224),0),
IF('TL03'!$B$229=O$3,SUMIF('TL03'!$C$238:$C$451,$C41,'TL03'!$J$238:$J$451),0),
IF('TL04'!$B$3=O$3,SUMIF('TL04'!$C$10:$C$224,$C41,'TL04'!$J$10:$J$224),0),
IF('TL04'!$B$229=O$3,SUMIF('TL04'!$C$238:$C$451,$C41,'TL04'!$J$238:$J$451),0),
IF('TL05'!$B$3=O$3,SUMIF('TL05'!$C$10:$C$224,$C41,'TL05'!$J$10:$J$224),0),
IF('TL05'!$B$229=O$3,SUMIF('TL05'!$C$238:$C$451,$C41,'TL05'!$J$238:$J$451),0),
IF('TL06'!$B$3=O$3,SUMIF('TL06'!$C$10:$C$224,$C41,'TL06'!$J$10:$J$224),0),
IF('TL06'!$B$229=O$3,SUMIF('TL06'!$C$238:$C$451,$C41,'TL06'!$J$238:$J$451),0),
IF('TL07'!$B$3=O$3,SUMIF('TL07'!$C$10:$C$224,$C41,'TL07'!$J$10:$J$224),0),
IF('TL07'!$B$229=O$3,SUMIF('TL07'!$C$238:$C$451,$C41,'TL07'!$J$238:$J$451),0),
IF('TL08'!$B$3=O$3,SUMIF('TL08'!$C$10:$C$224,$C41,'TL08'!$J$10:$J$224),0),
IF('TL08'!$B$229=O$3,SUMIF('TL08'!$C$238:$C$451,$C41,'TL08'!$J$238:$J$451),0),
IF('TL09'!$B$3=O$3,SUMIF('TL09'!$C$10:$C$224,$C41,'TL09'!$J$10:$J$224),0),
IF('TL09'!$B$229=O$3,SUMIF('TL09'!$C$238:$C$451,$C41,'TL09'!$J$238:$J$451),0),
IF('TL10'!$B$3=O$3,SUMIF('TL10'!$C$10:$C$224,$C41,'TL10'!$J$10:$J$224),0),
IF('TL10'!$B$229=O$3,SUMIF('TL10'!$C$238:$C$451,$C41,'TL10'!$J$238:$J$451),0),
IF('TL11'!$B$3=O$3,SUMIF('TL11'!$C$10:$C$224,$C41,'TL11'!$J$10:$J$224),0),
IF('TL11'!$B$229=O$3,SUMIF('TL11'!$C$238:$C$451,$C41,'TL11'!$J$238:$J$451),0),
IF('TL12'!$B$3=O$3,SUMIF('TL12'!$C$10:$C$224,$C41,'TL12'!$J$10:$J$224),0),
IF('TL12'!$B$229=O$3,SUMIF('TL12'!$C$238:$C$451,$C41,'TL12'!$J$238:$J$451),0),
IF('TL13'!$B$3=O$3,SUMIF('TL13'!$C$10:$C$224,$C41,'TL13'!$J$10:$J$224),0),
IF('TL13'!$B$229=O$3,SUMIF('TL13'!$C$238:$C$451,$C41,'TL13'!$J$238:$J$451),0),
IF('TL14'!$B$3=O$3,SUMIF('TL14'!$C$10:$C$224,$C41,'TL14'!$J$10:$J$224),0),
IF('TL14'!$B$229=O$3,SUMIF('TL14'!$C$238:$C$451,$C41,'TL14'!$J$238:$J$451),0),
IF('TL15'!$B$3=O$3,SUMIF('TL15'!$C$10:$C$224,$C41,'TL15'!$J$10:$J$224),0),
IF('TL15'!$B$229=O$3,SUMIF('TL15'!$C$238:$C$451,$C41,'TL15'!$J$238:$J$451),0),
IF('TL16'!$B$3=O$3,SUMIF('TL16'!$C$10:$C$224,$C41,'TL16'!$J$10:$J$224),0),
IF('TL16'!$B$229=O$3,SUMIF('TL16'!$C$238:$C$451,$C41,'TL16'!$J$238:$J$451),0),
IF('TL17'!$B$3=O$3,SUMIF('TL17'!$C$10:$C$224,$C41,'TL17'!$J$10:$J$224),0),
IF('TL17'!$B$229=O$3,SUMIF('TL17'!$C$238:$C$451,$C41,'TL17'!$J$238:$J$451),0),
IF('TL18'!$B$3=O$3,SUMIF('TL18'!$C$10:$C$224,$C41,'TL18'!$J$10:$J$224),0),
IF('TL18'!$B$229=O$3,SUMIF('TL18'!$C$238:$C$451,$C41,'TL18'!$J$238:$J$451),0),
IF('TL19'!$B$3=O$3,SUMIF('TL19'!$C$10:$C$224,$C41,'TL19'!$J$10:$J$224),0),
IF('TL19'!$B$229=O$3,SUMIF('TL19'!$C$238:$C$451,$C41,'TL19'!$J$238:$J$451),0)
),0)</f>
        <v>0</v>
      </c>
      <c r="P41" s="9">
        <f>IFERROR(SUM(
IF('TL01'!$B$3=P$3,SUMIF('TL01'!$C$10:$C$224,$C41,'TL01'!$J$10:$J$224),0),
IF('TL01'!$B$229=P$3,SUMIF('TL01'!$C$238:$C$451,$C41,'TL01'!$J$238:$J$451),0),
IF('TL02'!$B$3=P$3,SUMIF('TL02'!$C$10:$C$224,$C41,'TL02'!$J$10:$J$224),0),
IF('TL02'!$B$229=P$3,SUMIF('TL02'!$C$238:$C$451,$C41,'TL02'!$J$238:$J$451),0),
IF('TL03'!$B$3=P$3,SUMIF('TL03'!$C$10:$C$224,$C41,'TL03'!$J$10:$J$224),0),
IF('TL03'!$B$229=P$3,SUMIF('TL03'!$C$238:$C$451,$C41,'TL03'!$J$238:$J$451),0),
IF('TL04'!$B$3=P$3,SUMIF('TL04'!$C$10:$C$224,$C41,'TL04'!$J$10:$J$224),0),
IF('TL04'!$B$229=P$3,SUMIF('TL04'!$C$238:$C$451,$C41,'TL04'!$J$238:$J$451),0),
IF('TL05'!$B$3=P$3,SUMIF('TL05'!$C$10:$C$224,$C41,'TL05'!$J$10:$J$224),0),
IF('TL05'!$B$229=P$3,SUMIF('TL05'!$C$238:$C$451,$C41,'TL05'!$J$238:$J$451),0),
IF('TL06'!$B$3=P$3,SUMIF('TL06'!$C$10:$C$224,$C41,'TL06'!$J$10:$J$224),0),
IF('TL06'!$B$229=P$3,SUMIF('TL06'!$C$238:$C$451,$C41,'TL06'!$J$238:$J$451),0),
IF('TL07'!$B$3=P$3,SUMIF('TL07'!$C$10:$C$224,$C41,'TL07'!$J$10:$J$224),0),
IF('TL07'!$B$229=P$3,SUMIF('TL07'!$C$238:$C$451,$C41,'TL07'!$J$238:$J$451),0),
IF('TL08'!$B$3=P$3,SUMIF('TL08'!$C$10:$C$224,$C41,'TL08'!$J$10:$J$224),0),
IF('TL08'!$B$229=P$3,SUMIF('TL08'!$C$238:$C$451,$C41,'TL08'!$J$238:$J$451),0),
IF('TL09'!$B$3=P$3,SUMIF('TL09'!$C$10:$C$224,$C41,'TL09'!$J$10:$J$224),0),
IF('TL09'!$B$229=P$3,SUMIF('TL09'!$C$238:$C$451,$C41,'TL09'!$J$238:$J$451),0),
IF('TL10'!$B$3=P$3,SUMIF('TL10'!$C$10:$C$224,$C41,'TL10'!$J$10:$J$224),0),
IF('TL10'!$B$229=P$3,SUMIF('TL10'!$C$238:$C$451,$C41,'TL10'!$J$238:$J$451),0),
IF('TL11'!$B$3=P$3,SUMIF('TL11'!$C$10:$C$224,$C41,'TL11'!$J$10:$J$224),0),
IF('TL11'!$B$229=P$3,SUMIF('TL11'!$C$238:$C$451,$C41,'TL11'!$J$238:$J$451),0),
IF('TL12'!$B$3=P$3,SUMIF('TL12'!$C$10:$C$224,$C41,'TL12'!$J$10:$J$224),0),
IF('TL12'!$B$229=P$3,SUMIF('TL12'!$C$238:$C$451,$C41,'TL12'!$J$238:$J$451),0),
IF('TL13'!$B$3=P$3,SUMIF('TL13'!$C$10:$C$224,$C41,'TL13'!$J$10:$J$224),0),
IF('TL13'!$B$229=P$3,SUMIF('TL13'!$C$238:$C$451,$C41,'TL13'!$J$238:$J$451),0),
IF('TL14'!$B$3=P$3,SUMIF('TL14'!$C$10:$C$224,$C41,'TL14'!$J$10:$J$224),0),
IF('TL14'!$B$229=P$3,SUMIF('TL14'!$C$238:$C$451,$C41,'TL14'!$J$238:$J$451),0),
IF('TL15'!$B$3=P$3,SUMIF('TL15'!$C$10:$C$224,$C41,'TL15'!$J$10:$J$224),0),
IF('TL15'!$B$229=P$3,SUMIF('TL15'!$C$238:$C$451,$C41,'TL15'!$J$238:$J$451),0),
IF('TL16'!$B$3=P$3,SUMIF('TL16'!$C$10:$C$224,$C41,'TL16'!$J$10:$J$224),0),
IF('TL16'!$B$229=P$3,SUMIF('TL16'!$C$238:$C$451,$C41,'TL16'!$J$238:$J$451),0),
IF('TL17'!$B$3=P$3,SUMIF('TL17'!$C$10:$C$224,$C41,'TL17'!$J$10:$J$224),0),
IF('TL17'!$B$229=P$3,SUMIF('TL17'!$C$238:$C$451,$C41,'TL17'!$J$238:$J$451),0),
IF('TL18'!$B$3=P$3,SUMIF('TL18'!$C$10:$C$224,$C41,'TL18'!$J$10:$J$224),0),
IF('TL18'!$B$229=P$3,SUMIF('TL18'!$C$238:$C$451,$C41,'TL18'!$J$238:$J$451),0),
IF('TL19'!$B$3=P$3,SUMIF('TL19'!$C$10:$C$224,$C41,'TL19'!$J$10:$J$224),0),
IF('TL19'!$B$229=P$3,SUMIF('TL19'!$C$238:$C$451,$C41,'TL19'!$J$238:$J$451),0)
),0)</f>
        <v>0</v>
      </c>
      <c r="Q41" s="9">
        <f>IFERROR(SUM(
IF('TL01'!$B$3=Q$3,SUMIF('TL01'!$C$10:$C$224,$C41,'TL01'!$J$10:$J$224),0),
IF('TL01'!$B$229=Q$3,SUMIF('TL01'!$C$238:$C$451,$C41,'TL01'!$J$238:$J$451),0),
IF('TL02'!$B$3=Q$3,SUMIF('TL02'!$C$10:$C$224,$C41,'TL02'!$J$10:$J$224),0),
IF('TL02'!$B$229=Q$3,SUMIF('TL02'!$C$238:$C$451,$C41,'TL02'!$J$238:$J$451),0),
IF('TL03'!$B$3=Q$3,SUMIF('TL03'!$C$10:$C$224,$C41,'TL03'!$J$10:$J$224),0),
IF('TL03'!$B$229=Q$3,SUMIF('TL03'!$C$238:$C$451,$C41,'TL03'!$J$238:$J$451),0),
IF('TL04'!$B$3=Q$3,SUMIF('TL04'!$C$10:$C$224,$C41,'TL04'!$J$10:$J$224),0),
IF('TL04'!$B$229=Q$3,SUMIF('TL04'!$C$238:$C$451,$C41,'TL04'!$J$238:$J$451),0),
IF('TL05'!$B$3=Q$3,SUMIF('TL05'!$C$10:$C$224,$C41,'TL05'!$J$10:$J$224),0),
IF('TL05'!$B$229=Q$3,SUMIF('TL05'!$C$238:$C$451,$C41,'TL05'!$J$238:$J$451),0),
IF('TL06'!$B$3=Q$3,SUMIF('TL06'!$C$10:$C$224,$C41,'TL06'!$J$10:$J$224),0),
IF('TL06'!$B$229=Q$3,SUMIF('TL06'!$C$238:$C$451,$C41,'TL06'!$J$238:$J$451),0),
IF('TL07'!$B$3=Q$3,SUMIF('TL07'!$C$10:$C$224,$C41,'TL07'!$J$10:$J$224),0),
IF('TL07'!$B$229=Q$3,SUMIF('TL07'!$C$238:$C$451,$C41,'TL07'!$J$238:$J$451),0),
IF('TL08'!$B$3=Q$3,SUMIF('TL08'!$C$10:$C$224,$C41,'TL08'!$J$10:$J$224),0),
IF('TL08'!$B$229=Q$3,SUMIF('TL08'!$C$238:$C$451,$C41,'TL08'!$J$238:$J$451),0),
IF('TL09'!$B$3=Q$3,SUMIF('TL09'!$C$10:$C$224,$C41,'TL09'!$J$10:$J$224),0),
IF('TL09'!$B$229=Q$3,SUMIF('TL09'!$C$238:$C$451,$C41,'TL09'!$J$238:$J$451),0),
IF('TL10'!$B$3=Q$3,SUMIF('TL10'!$C$10:$C$224,$C41,'TL10'!$J$10:$J$224),0),
IF('TL10'!$B$229=Q$3,SUMIF('TL10'!$C$238:$C$451,$C41,'TL10'!$J$238:$J$451),0),
IF('TL11'!$B$3=Q$3,SUMIF('TL11'!$C$10:$C$224,$C41,'TL11'!$J$10:$J$224),0),
IF('TL11'!$B$229=Q$3,SUMIF('TL11'!$C$238:$C$451,$C41,'TL11'!$J$238:$J$451),0),
IF('TL12'!$B$3=Q$3,SUMIF('TL12'!$C$10:$C$224,$C41,'TL12'!$J$10:$J$224),0),
IF('TL12'!$B$229=Q$3,SUMIF('TL12'!$C$238:$C$451,$C41,'TL12'!$J$238:$J$451),0),
IF('TL13'!$B$3=Q$3,SUMIF('TL13'!$C$10:$C$224,$C41,'TL13'!$J$10:$J$224),0),
IF('TL13'!$B$229=Q$3,SUMIF('TL13'!$C$238:$C$451,$C41,'TL13'!$J$238:$J$451),0),
IF('TL14'!$B$3=Q$3,SUMIF('TL14'!$C$10:$C$224,$C41,'TL14'!$J$10:$J$224),0),
IF('TL14'!$B$229=Q$3,SUMIF('TL14'!$C$238:$C$451,$C41,'TL14'!$J$238:$J$451),0),
IF('TL15'!$B$3=Q$3,SUMIF('TL15'!$C$10:$C$224,$C41,'TL15'!$J$10:$J$224),0),
IF('TL15'!$B$229=Q$3,SUMIF('TL15'!$C$238:$C$451,$C41,'TL15'!$J$238:$J$451),0),
IF('TL16'!$B$3=Q$3,SUMIF('TL16'!$C$10:$C$224,$C41,'TL16'!$J$10:$J$224),0),
IF('TL16'!$B$229=Q$3,SUMIF('TL16'!$C$238:$C$451,$C41,'TL16'!$J$238:$J$451),0),
IF('TL17'!$B$3=Q$3,SUMIF('TL17'!$C$10:$C$224,$C41,'TL17'!$J$10:$J$224),0),
IF('TL17'!$B$229=Q$3,SUMIF('TL17'!$C$238:$C$451,$C41,'TL17'!$J$238:$J$451),0),
IF('TL18'!$B$3=Q$3,SUMIF('TL18'!$C$10:$C$224,$C41,'TL18'!$J$10:$J$224),0),
IF('TL18'!$B$229=Q$3,SUMIF('TL18'!$C$238:$C$451,$C41,'TL18'!$J$238:$J$451),0),
IF('TL19'!$B$3=Q$3,SUMIF('TL19'!$C$10:$C$224,$C41,'TL19'!$J$10:$J$224),0),
IF('TL19'!$B$229=Q$3,SUMIF('TL19'!$C$238:$C$451,$C41,'TL19'!$J$238:$J$451),0)
),0)</f>
        <v>0</v>
      </c>
      <c r="R41" s="9">
        <f>IFERROR(
SUM(
SUMIF('TL01'!C:C,C41,'TL01'!J:J),
SUMIF('TL02'!C:C,C41,'TL02'!J:J),
SUMIF('TL03'!C:C,C41,'TL03'!J:J),
SUMIF('TL04'!C:C,C41,'TL04'!J:J),
SUMIF('TL05'!C:C,C41,'TL05'!J:J),
SUMIF('TL06'!C:C,C41,'TL06'!J:J),
SUMIF('TL07'!C:C,C41,'TL07'!J:J),
SUMIF('TL08'!C:C,C41,'TL08'!J:J),
SUMIF('TL09'!C:C,C41,'TL09'!J:J),
SUMIF('TL10'!C:C,C41,'TL10'!J:J),
SUMIF('TL11'!C:C,C41,'TL11'!J:J),
SUMIF('TL12'!C:C,C41,'TL12'!J:J),
SUMIF('TL13'!C:C,C41,'TL13'!J:J),
SUMIF('TL14'!C:C,C41,'TL14'!J:J),
SUMIF('TL15'!C:C,C41,'TL15'!J:J),
SUMIF('TL16'!C:C,C41,'TL16'!J:J),
SUMIF('TL17'!C:C,C41,'TL17'!J:J),
SUMIF('TL18'!C:C,C41,'TL18'!J:J),SUMIF('TL19'!C:C,C41,'TL19'!J:J))
,0)</f>
        <v>0</v>
      </c>
      <c r="S41" s="17">
        <f>IFERROR(__xludf.DUMMYFUNCTION("IFERROR(VLOOKUP(C41,
IMPORTRANGE(""1wULbzX32WdYsx-lj2U3uUNBBe2INVIRDtcK0d-Dvl90"",
""26-27!C:G""),
5,
FALSE),
"""")"),39.25440000000001)</f>
        <v>39.2544</v>
      </c>
      <c r="T41" s="9"/>
      <c r="U41" s="92">
        <f t="shared" si="2"/>
        <v>0</v>
      </c>
      <c r="V41" s="93">
        <f t="shared" si="3"/>
        <v>0</v>
      </c>
    </row>
    <row r="42" ht="15.75" hidden="1" customHeight="1">
      <c r="A42" s="115" t="s">
        <v>345</v>
      </c>
      <c r="B42" s="100" t="s">
        <v>0</v>
      </c>
      <c r="C42" s="116" t="s">
        <v>440</v>
      </c>
      <c r="D42" s="116" t="s">
        <v>441</v>
      </c>
      <c r="E42" s="116" t="s">
        <v>442</v>
      </c>
      <c r="F42" s="4" t="s">
        <v>343</v>
      </c>
      <c r="G42" s="90" t="str">
        <f t="shared" si="4"/>
        <v>📄 Ver bula</v>
      </c>
      <c r="H42" s="9">
        <f>IFERROR(__xludf.DUMMYFUNCTION("IFERROR(VLOOKUP(C42,
IMPORTRANGE(""1wULbzX32WdYsx-lj2U3uUNBBe2INVIRDtcK0d-Dvl90"",
""26-27!C:K""),
8,
FALSE),
"""")"),0.3)</f>
        <v>0.3</v>
      </c>
      <c r="I42" s="117" t="s">
        <v>361</v>
      </c>
      <c r="J42" s="9">
        <f>IFERROR(SUM(
IF('TL01'!$B$3=J$3,SUMIF('TL01'!$C$10:$C$224,$C42,'TL01'!$J$10:$J$224),0),
IF('TL01'!$B$229=J$3,SUMIF('TL01'!$C$238:$C$451,$C42,'TL01'!$J$238:$J$451),0),
IF('TL02'!$B$3=J$3,SUMIF('TL02'!$C$10:$C$224,$C42,'TL02'!$J$10:$J$224),0),
IF('TL02'!$B$229=J$3,SUMIF('TL02'!$C$238:$C$451,$C42,'TL02'!$J$238:$J$451),0),
IF('TL03'!$B$3=J$3,SUMIF('TL03'!$C$10:$C$224,$C42,'TL03'!$J$10:$J$224),0),
IF('TL03'!$B$229=J$3,SUMIF('TL03'!$C$238:$C$451,$C42,'TL03'!$J$238:$J$451),0),
IF('TL04'!$B$3=J$3,SUMIF('TL04'!$C$10:$C$224,$C42,'TL04'!$J$10:$J$224),0),
IF('TL04'!$B$229=J$3,SUMIF('TL04'!$C$238:$C$451,$C42,'TL04'!$J$238:$J$451),0),
IF('TL05'!$B$3=J$3,SUMIF('TL05'!$C$10:$C$224,$C42,'TL05'!$J$10:$J$224),0),
IF('TL05'!$B$229=J$3,SUMIF('TL05'!$C$238:$C$451,$C42,'TL05'!$J$238:$J$451),0),
IF('TL06'!$B$3=J$3,SUMIF('TL06'!$C$10:$C$224,$C42,'TL06'!$J$10:$J$224),0),
IF('TL06'!$B$229=J$3,SUMIF('TL06'!$C$238:$C$451,$C42,'TL06'!$J$238:$J$451),0),
IF('TL07'!$B$3=J$3,SUMIF('TL07'!$C$10:$C$224,$C42,'TL07'!$J$10:$J$224),0),
IF('TL07'!$B$229=J$3,SUMIF('TL07'!$C$238:$C$451,$C42,'TL07'!$J$238:$J$451),0),
IF('TL08'!$B$3=J$3,SUMIF('TL08'!$C$10:$C$224,$C42,'TL08'!$J$10:$J$224),0),
IF('TL08'!$B$229=J$3,SUMIF('TL08'!$C$238:$C$451,$C42,'TL08'!$J$238:$J$451),0),
IF('TL09'!$B$3=J$3,SUMIF('TL09'!$C$10:$C$224,$C42,'TL09'!$J$10:$J$224),0),
IF('TL09'!$B$229=J$3,SUMIF('TL09'!$C$238:$C$451,$C42,'TL09'!$J$238:$J$451),0),
IF('TL10'!$B$3=J$3,SUMIF('TL10'!$C$10:$C$224,$C42,'TL10'!$J$10:$J$224),0),
IF('TL10'!$B$229=J$3,SUMIF('TL10'!$C$238:$C$451,$C42,'TL10'!$J$238:$J$451),0),
IF('TL11'!$B$3=J$3,SUMIF('TL11'!$C$10:$C$224,$C42,'TL11'!$J$10:$J$224),0),
IF('TL11'!$B$229=J$3,SUMIF('TL11'!$C$238:$C$451,$C42,'TL11'!$J$238:$J$451),0),
IF('TL12'!$B$3=J$3,SUMIF('TL12'!$C$10:$C$224,$C42,'TL12'!$J$10:$J$224),0),
IF('TL12'!$B$229=J$3,SUMIF('TL12'!$C$238:$C$451,$C42,'TL12'!$J$238:$J$451),0),
IF('TL13'!$B$3=J$3,SUMIF('TL13'!$C$10:$C$224,$C42,'TL13'!$J$10:$J$224),0),
IF('TL13'!$B$229=J$3,SUMIF('TL13'!$C$238:$C$451,$C42,'TL13'!$J$238:$J$451),0),
IF('TL14'!$B$3=J$3,SUMIF('TL14'!$C$10:$C$224,$C42,'TL14'!$J$10:$J$224),0),
IF('TL14'!$B$229=J$3,SUMIF('TL14'!$C$238:$C$451,$C42,'TL14'!$J$238:$J$451),0),
IF('TL15'!$B$3=J$3,SUMIF('TL15'!$C$10:$C$224,$C42,'TL15'!$J$10:$J$224),0),
IF('TL15'!$B$229=J$3,SUMIF('TL15'!$C$238:$C$451,$C42,'TL15'!$J$238:$J$451),0),
IF('TL16'!$B$3=J$3,SUMIF('TL16'!$C$10:$C$224,$C42,'TL16'!$J$10:$J$224),0),
IF('TL16'!$B$229=J$3,SUMIF('TL16'!$C$238:$C$451,$C42,'TL16'!$J$238:$J$451),0),
IF('TL17'!$B$3=J$3,SUMIF('TL17'!$C$10:$C$224,$C42,'TL17'!$J$10:$J$224),0),
IF('TL17'!$B$229=J$3,SUMIF('TL17'!$C$238:$C$451,$C42,'TL17'!$J$238:$J$451),0),
IF('TL18'!$B$3=J$3,SUMIF('TL18'!$C$10:$C$224,$C42,'TL18'!$J$10:$J$224),0),
IF('TL18'!$B$229=J$3,SUMIF('TL18'!$C$238:$C$451,$C42,'TL18'!$J$238:$J$451),0),
IF('TL19'!$B$3=J$3,SUMIF('TL19'!$C$10:$C$224,$C42,'TL19'!$J$10:$J$224),0),
IF('TL19'!$B$229=J$3,SUMIF('TL19'!$C$238:$C$451,$C42,'TL19'!$J$238:$J$451),0)
),0)</f>
        <v>0</v>
      </c>
      <c r="K42" s="9">
        <f>IFERROR(SUM(
IF('TL01'!$B$3=K$3,SUMIF('TL01'!$C$10:$C$224,$C42,'TL01'!$J$10:$J$224),0),
IF('TL01'!$B$229=K$3,SUMIF('TL01'!$C$238:$C$451,$C42,'TL01'!$J$238:$J$451),0),
IF('TL02'!$B$3=K$3,SUMIF('TL02'!$C$10:$C$224,$C42,'TL02'!$J$10:$J$224),0),
IF('TL02'!$B$229=K$3,SUMIF('TL02'!$C$238:$C$451,$C42,'TL02'!$J$238:$J$451),0),
IF('TL03'!$B$3=K$3,SUMIF('TL03'!$C$10:$C$224,$C42,'TL03'!$J$10:$J$224),0),
IF('TL03'!$B$229=K$3,SUMIF('TL03'!$C$238:$C$451,$C42,'TL03'!$J$238:$J$451),0),
IF('TL04'!$B$3=K$3,SUMIF('TL04'!$C$10:$C$224,$C42,'TL04'!$J$10:$J$224),0),
IF('TL04'!$B$229=K$3,SUMIF('TL04'!$C$238:$C$451,$C42,'TL04'!$J$238:$J$451),0),
IF('TL05'!$B$3=K$3,SUMIF('TL05'!$C$10:$C$224,$C42,'TL05'!$J$10:$J$224),0),
IF('TL05'!$B$229=K$3,SUMIF('TL05'!$C$238:$C$451,$C42,'TL05'!$J$238:$J$451),0),
IF('TL06'!$B$3=K$3,SUMIF('TL06'!$C$10:$C$224,$C42,'TL06'!$J$10:$J$224),0),
IF('TL06'!$B$229=K$3,SUMIF('TL06'!$C$238:$C$451,$C42,'TL06'!$J$238:$J$451),0),
IF('TL07'!$B$3=K$3,SUMIF('TL07'!$C$10:$C$224,$C42,'TL07'!$J$10:$J$224),0),
IF('TL07'!$B$229=K$3,SUMIF('TL07'!$C$238:$C$451,$C42,'TL07'!$J$238:$J$451),0),
IF('TL08'!$B$3=K$3,SUMIF('TL08'!$C$10:$C$224,$C42,'TL08'!$J$10:$J$224),0),
IF('TL08'!$B$229=K$3,SUMIF('TL08'!$C$238:$C$451,$C42,'TL08'!$J$238:$J$451),0),
IF('TL09'!$B$3=K$3,SUMIF('TL09'!$C$10:$C$224,$C42,'TL09'!$J$10:$J$224),0),
IF('TL09'!$B$229=K$3,SUMIF('TL09'!$C$238:$C$451,$C42,'TL09'!$J$238:$J$451),0),
IF('TL10'!$B$3=K$3,SUMIF('TL10'!$C$10:$C$224,$C42,'TL10'!$J$10:$J$224),0),
IF('TL10'!$B$229=K$3,SUMIF('TL10'!$C$238:$C$451,$C42,'TL10'!$J$238:$J$451),0),
IF('TL11'!$B$3=K$3,SUMIF('TL11'!$C$10:$C$224,$C42,'TL11'!$J$10:$J$224),0),
IF('TL11'!$B$229=K$3,SUMIF('TL11'!$C$238:$C$451,$C42,'TL11'!$J$238:$J$451),0),
IF('TL12'!$B$3=K$3,SUMIF('TL12'!$C$10:$C$224,$C42,'TL12'!$J$10:$J$224),0),
IF('TL12'!$B$229=K$3,SUMIF('TL12'!$C$238:$C$451,$C42,'TL12'!$J$238:$J$451),0),
IF('TL13'!$B$3=K$3,SUMIF('TL13'!$C$10:$C$224,$C42,'TL13'!$J$10:$J$224),0),
IF('TL13'!$B$229=K$3,SUMIF('TL13'!$C$238:$C$451,$C42,'TL13'!$J$238:$J$451),0),
IF('TL14'!$B$3=K$3,SUMIF('TL14'!$C$10:$C$224,$C42,'TL14'!$J$10:$J$224),0),
IF('TL14'!$B$229=K$3,SUMIF('TL14'!$C$238:$C$451,$C42,'TL14'!$J$238:$J$451),0),
IF('TL15'!$B$3=K$3,SUMIF('TL15'!$C$10:$C$224,$C42,'TL15'!$J$10:$J$224),0),
IF('TL15'!$B$229=K$3,SUMIF('TL15'!$C$238:$C$451,$C42,'TL15'!$J$238:$J$451),0),
IF('TL16'!$B$3=K$3,SUMIF('TL16'!$C$10:$C$224,$C42,'TL16'!$J$10:$J$224),0),
IF('TL16'!$B$229=K$3,SUMIF('TL16'!$C$238:$C$451,$C42,'TL16'!$J$238:$J$451),0),
IF('TL17'!$B$3=K$3,SUMIF('TL17'!$C$10:$C$224,$C42,'TL17'!$J$10:$J$224),0),
IF('TL17'!$B$229=K$3,SUMIF('TL17'!$C$238:$C$451,$C42,'TL17'!$J$238:$J$451),0),
IF('TL18'!$B$3=K$3,SUMIF('TL18'!$C$10:$C$224,$C42,'TL18'!$J$10:$J$224),0),
IF('TL18'!$B$229=K$3,SUMIF('TL18'!$C$238:$C$451,$C42,'TL18'!$J$238:$J$451),0),
IF('TL19'!$B$3=K$3,SUMIF('TL19'!$C$10:$C$224,$C42,'TL19'!$J$10:$J$224),0),
IF('TL19'!$B$229=K$3,SUMIF('TL19'!$C$238:$C$451,$C42,'TL19'!$J$238:$J$451),0)
),0)</f>
        <v>0</v>
      </c>
      <c r="L42" s="9">
        <f>IFERROR(SUM(
IF('TL01'!$B$3=L$3,SUMIF('TL01'!$C$10:$C$224,$C42,'TL01'!$J$10:$J$224),0),
IF('TL01'!$B$229=L$3,SUMIF('TL01'!$C$238:$C$451,$C42,'TL01'!$J$238:$J$451),0),
IF('TL02'!$B$3=L$3,SUMIF('TL02'!$C$10:$C$224,$C42,'TL02'!$J$10:$J$224),0),
IF('TL02'!$B$229=L$3,SUMIF('TL02'!$C$238:$C$451,$C42,'TL02'!$J$238:$J$451),0),
IF('TL03'!$B$3=L$3,SUMIF('TL03'!$C$10:$C$224,$C42,'TL03'!$J$10:$J$224),0),
IF('TL03'!$B$229=L$3,SUMIF('TL03'!$C$238:$C$451,$C42,'TL03'!$J$238:$J$451),0),
IF('TL04'!$B$3=L$3,SUMIF('TL04'!$C$10:$C$224,$C42,'TL04'!$J$10:$J$224),0),
IF('TL04'!$B$229=L$3,SUMIF('TL04'!$C$238:$C$451,$C42,'TL04'!$J$238:$J$451),0),
IF('TL05'!$B$3=L$3,SUMIF('TL05'!$C$10:$C$224,$C42,'TL05'!$J$10:$J$224),0),
IF('TL05'!$B$229=L$3,SUMIF('TL05'!$C$238:$C$451,$C42,'TL05'!$J$238:$J$451),0),
IF('TL06'!$B$3=L$3,SUMIF('TL06'!$C$10:$C$224,$C42,'TL06'!$J$10:$J$224),0),
IF('TL06'!$B$229=L$3,SUMIF('TL06'!$C$238:$C$451,$C42,'TL06'!$J$238:$J$451),0),
IF('TL07'!$B$3=L$3,SUMIF('TL07'!$C$10:$C$224,$C42,'TL07'!$J$10:$J$224),0),
IF('TL07'!$B$229=L$3,SUMIF('TL07'!$C$238:$C$451,$C42,'TL07'!$J$238:$J$451),0),
IF('TL08'!$B$3=L$3,SUMIF('TL08'!$C$10:$C$224,$C42,'TL08'!$J$10:$J$224),0),
IF('TL08'!$B$229=L$3,SUMIF('TL08'!$C$238:$C$451,$C42,'TL08'!$J$238:$J$451),0),
IF('TL09'!$B$3=L$3,SUMIF('TL09'!$C$10:$C$224,$C42,'TL09'!$J$10:$J$224),0),
IF('TL09'!$B$229=L$3,SUMIF('TL09'!$C$238:$C$451,$C42,'TL09'!$J$238:$J$451),0),
IF('TL10'!$B$3=L$3,SUMIF('TL10'!$C$10:$C$224,$C42,'TL10'!$J$10:$J$224),0),
IF('TL10'!$B$229=L$3,SUMIF('TL10'!$C$238:$C$451,$C42,'TL10'!$J$238:$J$451),0),
IF('TL11'!$B$3=L$3,SUMIF('TL11'!$C$10:$C$224,$C42,'TL11'!$J$10:$J$224),0),
IF('TL11'!$B$229=L$3,SUMIF('TL11'!$C$238:$C$451,$C42,'TL11'!$J$238:$J$451),0),
IF('TL12'!$B$3=L$3,SUMIF('TL12'!$C$10:$C$224,$C42,'TL12'!$J$10:$J$224),0),
IF('TL12'!$B$229=L$3,SUMIF('TL12'!$C$238:$C$451,$C42,'TL12'!$J$238:$J$451),0),
IF('TL13'!$B$3=L$3,SUMIF('TL13'!$C$10:$C$224,$C42,'TL13'!$J$10:$J$224),0),
IF('TL13'!$B$229=L$3,SUMIF('TL13'!$C$238:$C$451,$C42,'TL13'!$J$238:$J$451),0),
IF('TL14'!$B$3=L$3,SUMIF('TL14'!$C$10:$C$224,$C42,'TL14'!$J$10:$J$224),0),
IF('TL14'!$B$229=L$3,SUMIF('TL14'!$C$238:$C$451,$C42,'TL14'!$J$238:$J$451),0),
IF('TL15'!$B$3=L$3,SUMIF('TL15'!$C$10:$C$224,$C42,'TL15'!$J$10:$J$224),0),
IF('TL15'!$B$229=L$3,SUMIF('TL15'!$C$238:$C$451,$C42,'TL15'!$J$238:$J$451),0),
IF('TL16'!$B$3=L$3,SUMIF('TL16'!$C$10:$C$224,$C42,'TL16'!$J$10:$J$224),0),
IF('TL16'!$B$229=L$3,SUMIF('TL16'!$C$238:$C$451,$C42,'TL16'!$J$238:$J$451),0),
IF('TL17'!$B$3=L$3,SUMIF('TL17'!$C$10:$C$224,$C42,'TL17'!$J$10:$J$224),0),
IF('TL17'!$B$229=L$3,SUMIF('TL17'!$C$238:$C$451,$C42,'TL17'!$J$238:$J$451),0),
IF('TL18'!$B$3=L$3,SUMIF('TL18'!$C$10:$C$224,$C42,'TL18'!$J$10:$J$224),0),
IF('TL18'!$B$229=L$3,SUMIF('TL18'!$C$238:$C$451,$C42,'TL18'!$J$238:$J$451),0),
IF('TL19'!$B$3=L$3,SUMIF('TL19'!$C$10:$C$224,$C42,'TL19'!$J$10:$J$224),0),
IF('TL19'!$B$229=L$3,SUMIF('TL19'!$C$238:$C$451,$C42,'TL19'!$J$238:$J$451),0)
),0)</f>
        <v>0</v>
      </c>
      <c r="M42" s="9">
        <f>IFERROR(SUM(
IF('TL01'!$B$3=M$3,SUMIF('TL01'!$C$10:$C$224,$C42,'TL01'!$J$10:$J$224),0),
IF('TL01'!$B$229=M$3,SUMIF('TL01'!$C$238:$C$451,$C42,'TL01'!$J$238:$J$451),0),
IF('TL02'!$B$3=M$3,SUMIF('TL02'!$C$10:$C$224,$C42,'TL02'!$J$10:$J$224),0),
IF('TL02'!$B$229=M$3,SUMIF('TL02'!$C$238:$C$451,$C42,'TL02'!$J$238:$J$451),0),
IF('TL03'!$B$3=M$3,SUMIF('TL03'!$C$10:$C$224,$C42,'TL03'!$J$10:$J$224),0),
IF('TL03'!$B$229=M$3,SUMIF('TL03'!$C$238:$C$451,$C42,'TL03'!$J$238:$J$451),0),
IF('TL04'!$B$3=M$3,SUMIF('TL04'!$C$10:$C$224,$C42,'TL04'!$J$10:$J$224),0),
IF('TL04'!$B$229=M$3,SUMIF('TL04'!$C$238:$C$451,$C42,'TL04'!$J$238:$J$451),0),
IF('TL05'!$B$3=M$3,SUMIF('TL05'!$C$10:$C$224,$C42,'TL05'!$J$10:$J$224),0),
IF('TL05'!$B$229=M$3,SUMIF('TL05'!$C$238:$C$451,$C42,'TL05'!$J$238:$J$451),0),
IF('TL06'!$B$3=M$3,SUMIF('TL06'!$C$10:$C$224,$C42,'TL06'!$J$10:$J$224),0),
IF('TL06'!$B$229=M$3,SUMIF('TL06'!$C$238:$C$451,$C42,'TL06'!$J$238:$J$451),0),
IF('TL07'!$B$3=M$3,SUMIF('TL07'!$C$10:$C$224,$C42,'TL07'!$J$10:$J$224),0),
IF('TL07'!$B$229=M$3,SUMIF('TL07'!$C$238:$C$451,$C42,'TL07'!$J$238:$J$451),0),
IF('TL08'!$B$3=M$3,SUMIF('TL08'!$C$10:$C$224,$C42,'TL08'!$J$10:$J$224),0),
IF('TL08'!$B$229=M$3,SUMIF('TL08'!$C$238:$C$451,$C42,'TL08'!$J$238:$J$451),0),
IF('TL09'!$B$3=M$3,SUMIF('TL09'!$C$10:$C$224,$C42,'TL09'!$J$10:$J$224),0),
IF('TL09'!$B$229=M$3,SUMIF('TL09'!$C$238:$C$451,$C42,'TL09'!$J$238:$J$451),0),
IF('TL10'!$B$3=M$3,SUMIF('TL10'!$C$10:$C$224,$C42,'TL10'!$J$10:$J$224),0),
IF('TL10'!$B$229=M$3,SUMIF('TL10'!$C$238:$C$451,$C42,'TL10'!$J$238:$J$451),0),
IF('TL11'!$B$3=M$3,SUMIF('TL11'!$C$10:$C$224,$C42,'TL11'!$J$10:$J$224),0),
IF('TL11'!$B$229=M$3,SUMIF('TL11'!$C$238:$C$451,$C42,'TL11'!$J$238:$J$451),0),
IF('TL12'!$B$3=M$3,SUMIF('TL12'!$C$10:$C$224,$C42,'TL12'!$J$10:$J$224),0),
IF('TL12'!$B$229=M$3,SUMIF('TL12'!$C$238:$C$451,$C42,'TL12'!$J$238:$J$451),0),
IF('TL13'!$B$3=M$3,SUMIF('TL13'!$C$10:$C$224,$C42,'TL13'!$J$10:$J$224),0),
IF('TL13'!$B$229=M$3,SUMIF('TL13'!$C$238:$C$451,$C42,'TL13'!$J$238:$J$451),0),
IF('TL14'!$B$3=M$3,SUMIF('TL14'!$C$10:$C$224,$C42,'TL14'!$J$10:$J$224),0),
IF('TL14'!$B$229=M$3,SUMIF('TL14'!$C$238:$C$451,$C42,'TL14'!$J$238:$J$451),0),
IF('TL15'!$B$3=M$3,SUMIF('TL15'!$C$10:$C$224,$C42,'TL15'!$J$10:$J$224),0),
IF('TL15'!$B$229=M$3,SUMIF('TL15'!$C$238:$C$451,$C42,'TL15'!$J$238:$J$451),0),
IF('TL16'!$B$3=M$3,SUMIF('TL16'!$C$10:$C$224,$C42,'TL16'!$J$10:$J$224),0),
IF('TL16'!$B$229=M$3,SUMIF('TL16'!$C$238:$C$451,$C42,'TL16'!$J$238:$J$451),0),
IF('TL17'!$B$3=M$3,SUMIF('TL17'!$C$10:$C$224,$C42,'TL17'!$J$10:$J$224),0),
IF('TL17'!$B$229=M$3,SUMIF('TL17'!$C$238:$C$451,$C42,'TL17'!$J$238:$J$451),0),
IF('TL18'!$B$3=M$3,SUMIF('TL18'!$C$10:$C$224,$C42,'TL18'!$J$10:$J$224),0),
IF('TL18'!$B$229=M$3,SUMIF('TL18'!$C$238:$C$451,$C42,'TL18'!$J$238:$J$451),0),
IF('TL19'!$B$3=M$3,SUMIF('TL19'!$C$10:$C$224,$C42,'TL19'!$J$10:$J$224),0),
IF('TL19'!$B$229=M$3,SUMIF('TL19'!$C$238:$C$451,$C42,'TL19'!$J$238:$J$451),0)
),0)</f>
        <v>0</v>
      </c>
      <c r="N42" s="9">
        <f>IFERROR(SUM(
IF('TL01'!$B$3=N$3,SUMIF('TL01'!$C$10:$C$224,$C42,'TL01'!$J$10:$J$224),0),
IF('TL01'!$B$229=N$3,SUMIF('TL01'!$C$238:$C$451,$C42,'TL01'!$J$238:$J$451),0),
IF('TL02'!$B$3=N$3,SUMIF('TL02'!$C$10:$C$224,$C42,'TL02'!$J$10:$J$224),0),
IF('TL02'!$B$229=N$3,SUMIF('TL02'!$C$238:$C$451,$C42,'TL02'!$J$238:$J$451),0),
IF('TL03'!$B$3=N$3,SUMIF('TL03'!$C$10:$C$224,$C42,'TL03'!$J$10:$J$224),0),
IF('TL03'!$B$229=N$3,SUMIF('TL03'!$C$238:$C$451,$C42,'TL03'!$J$238:$J$451),0),
IF('TL04'!$B$3=N$3,SUMIF('TL04'!$C$10:$C$224,$C42,'TL04'!$J$10:$J$224),0),
IF('TL04'!$B$229=N$3,SUMIF('TL04'!$C$238:$C$451,$C42,'TL04'!$J$238:$J$451),0),
IF('TL05'!$B$3=N$3,SUMIF('TL05'!$C$10:$C$224,$C42,'TL05'!$J$10:$J$224),0),
IF('TL05'!$B$229=N$3,SUMIF('TL05'!$C$238:$C$451,$C42,'TL05'!$J$238:$J$451),0),
IF('TL06'!$B$3=N$3,SUMIF('TL06'!$C$10:$C$224,$C42,'TL06'!$J$10:$J$224),0),
IF('TL06'!$B$229=N$3,SUMIF('TL06'!$C$238:$C$451,$C42,'TL06'!$J$238:$J$451),0),
IF('TL07'!$B$3=N$3,SUMIF('TL07'!$C$10:$C$224,$C42,'TL07'!$J$10:$J$224),0),
IF('TL07'!$B$229=N$3,SUMIF('TL07'!$C$238:$C$451,$C42,'TL07'!$J$238:$J$451),0),
IF('TL08'!$B$3=N$3,SUMIF('TL08'!$C$10:$C$224,$C42,'TL08'!$J$10:$J$224),0),
IF('TL08'!$B$229=N$3,SUMIF('TL08'!$C$238:$C$451,$C42,'TL08'!$J$238:$J$451),0),
IF('TL09'!$B$3=N$3,SUMIF('TL09'!$C$10:$C$224,$C42,'TL09'!$J$10:$J$224),0),
IF('TL09'!$B$229=N$3,SUMIF('TL09'!$C$238:$C$451,$C42,'TL09'!$J$238:$J$451),0),
IF('TL10'!$B$3=N$3,SUMIF('TL10'!$C$10:$C$224,$C42,'TL10'!$J$10:$J$224),0),
IF('TL10'!$B$229=N$3,SUMIF('TL10'!$C$238:$C$451,$C42,'TL10'!$J$238:$J$451),0),
IF('TL11'!$B$3=N$3,SUMIF('TL11'!$C$10:$C$224,$C42,'TL11'!$J$10:$J$224),0),
IF('TL11'!$B$229=N$3,SUMIF('TL11'!$C$238:$C$451,$C42,'TL11'!$J$238:$J$451),0),
IF('TL12'!$B$3=N$3,SUMIF('TL12'!$C$10:$C$224,$C42,'TL12'!$J$10:$J$224),0),
IF('TL12'!$B$229=N$3,SUMIF('TL12'!$C$238:$C$451,$C42,'TL12'!$J$238:$J$451),0),
IF('TL13'!$B$3=N$3,SUMIF('TL13'!$C$10:$C$224,$C42,'TL13'!$J$10:$J$224),0),
IF('TL13'!$B$229=N$3,SUMIF('TL13'!$C$238:$C$451,$C42,'TL13'!$J$238:$J$451),0),
IF('TL14'!$B$3=N$3,SUMIF('TL14'!$C$10:$C$224,$C42,'TL14'!$J$10:$J$224),0),
IF('TL14'!$B$229=N$3,SUMIF('TL14'!$C$238:$C$451,$C42,'TL14'!$J$238:$J$451),0),
IF('TL15'!$B$3=N$3,SUMIF('TL15'!$C$10:$C$224,$C42,'TL15'!$J$10:$J$224),0),
IF('TL15'!$B$229=N$3,SUMIF('TL15'!$C$238:$C$451,$C42,'TL15'!$J$238:$J$451),0),
IF('TL16'!$B$3=N$3,SUMIF('TL16'!$C$10:$C$224,$C42,'TL16'!$J$10:$J$224),0),
IF('TL16'!$B$229=N$3,SUMIF('TL16'!$C$238:$C$451,$C42,'TL16'!$J$238:$J$451),0),
IF('TL17'!$B$3=N$3,SUMIF('TL17'!$C$10:$C$224,$C42,'TL17'!$J$10:$J$224),0),
IF('TL17'!$B$229=N$3,SUMIF('TL17'!$C$238:$C$451,$C42,'TL17'!$J$238:$J$451),0),
IF('TL18'!$B$3=N$3,SUMIF('TL18'!$C$10:$C$224,$C42,'TL18'!$J$10:$J$224),0),
IF('TL18'!$B$229=N$3,SUMIF('TL18'!$C$238:$C$451,$C42,'TL18'!$J$238:$J$451),0),
IF('TL19'!$B$3=N$3,SUMIF('TL19'!$C$10:$C$224,$C42,'TL19'!$J$10:$J$224),0),
IF('TL19'!$B$229=N$3,SUMIF('TL19'!$C$238:$C$451,$C42,'TL19'!$J$238:$J$451),0)
),0)</f>
        <v>0</v>
      </c>
      <c r="O42" s="9">
        <f>IFERROR(SUM(
IF('TL01'!$B$3=O$3,SUMIF('TL01'!$C$10:$C$224,$C42,'TL01'!$J$10:$J$224),0),
IF('TL01'!$B$229=O$3,SUMIF('TL01'!$C$238:$C$451,$C42,'TL01'!$J$238:$J$451),0),
IF('TL02'!$B$3=O$3,SUMIF('TL02'!$C$10:$C$224,$C42,'TL02'!$J$10:$J$224),0),
IF('TL02'!$B$229=O$3,SUMIF('TL02'!$C$238:$C$451,$C42,'TL02'!$J$238:$J$451),0),
IF('TL03'!$B$3=O$3,SUMIF('TL03'!$C$10:$C$224,$C42,'TL03'!$J$10:$J$224),0),
IF('TL03'!$B$229=O$3,SUMIF('TL03'!$C$238:$C$451,$C42,'TL03'!$J$238:$J$451),0),
IF('TL04'!$B$3=O$3,SUMIF('TL04'!$C$10:$C$224,$C42,'TL04'!$J$10:$J$224),0),
IF('TL04'!$B$229=O$3,SUMIF('TL04'!$C$238:$C$451,$C42,'TL04'!$J$238:$J$451),0),
IF('TL05'!$B$3=O$3,SUMIF('TL05'!$C$10:$C$224,$C42,'TL05'!$J$10:$J$224),0),
IF('TL05'!$B$229=O$3,SUMIF('TL05'!$C$238:$C$451,$C42,'TL05'!$J$238:$J$451),0),
IF('TL06'!$B$3=O$3,SUMIF('TL06'!$C$10:$C$224,$C42,'TL06'!$J$10:$J$224),0),
IF('TL06'!$B$229=O$3,SUMIF('TL06'!$C$238:$C$451,$C42,'TL06'!$J$238:$J$451),0),
IF('TL07'!$B$3=O$3,SUMIF('TL07'!$C$10:$C$224,$C42,'TL07'!$J$10:$J$224),0),
IF('TL07'!$B$229=O$3,SUMIF('TL07'!$C$238:$C$451,$C42,'TL07'!$J$238:$J$451),0),
IF('TL08'!$B$3=O$3,SUMIF('TL08'!$C$10:$C$224,$C42,'TL08'!$J$10:$J$224),0),
IF('TL08'!$B$229=O$3,SUMIF('TL08'!$C$238:$C$451,$C42,'TL08'!$J$238:$J$451),0),
IF('TL09'!$B$3=O$3,SUMIF('TL09'!$C$10:$C$224,$C42,'TL09'!$J$10:$J$224),0),
IF('TL09'!$B$229=O$3,SUMIF('TL09'!$C$238:$C$451,$C42,'TL09'!$J$238:$J$451),0),
IF('TL10'!$B$3=O$3,SUMIF('TL10'!$C$10:$C$224,$C42,'TL10'!$J$10:$J$224),0),
IF('TL10'!$B$229=O$3,SUMIF('TL10'!$C$238:$C$451,$C42,'TL10'!$J$238:$J$451),0),
IF('TL11'!$B$3=O$3,SUMIF('TL11'!$C$10:$C$224,$C42,'TL11'!$J$10:$J$224),0),
IF('TL11'!$B$229=O$3,SUMIF('TL11'!$C$238:$C$451,$C42,'TL11'!$J$238:$J$451),0),
IF('TL12'!$B$3=O$3,SUMIF('TL12'!$C$10:$C$224,$C42,'TL12'!$J$10:$J$224),0),
IF('TL12'!$B$229=O$3,SUMIF('TL12'!$C$238:$C$451,$C42,'TL12'!$J$238:$J$451),0),
IF('TL13'!$B$3=O$3,SUMIF('TL13'!$C$10:$C$224,$C42,'TL13'!$J$10:$J$224),0),
IF('TL13'!$B$229=O$3,SUMIF('TL13'!$C$238:$C$451,$C42,'TL13'!$J$238:$J$451),0),
IF('TL14'!$B$3=O$3,SUMIF('TL14'!$C$10:$C$224,$C42,'TL14'!$J$10:$J$224),0),
IF('TL14'!$B$229=O$3,SUMIF('TL14'!$C$238:$C$451,$C42,'TL14'!$J$238:$J$451),0),
IF('TL15'!$B$3=O$3,SUMIF('TL15'!$C$10:$C$224,$C42,'TL15'!$J$10:$J$224),0),
IF('TL15'!$B$229=O$3,SUMIF('TL15'!$C$238:$C$451,$C42,'TL15'!$J$238:$J$451),0),
IF('TL16'!$B$3=O$3,SUMIF('TL16'!$C$10:$C$224,$C42,'TL16'!$J$10:$J$224),0),
IF('TL16'!$B$229=O$3,SUMIF('TL16'!$C$238:$C$451,$C42,'TL16'!$J$238:$J$451),0),
IF('TL17'!$B$3=O$3,SUMIF('TL17'!$C$10:$C$224,$C42,'TL17'!$J$10:$J$224),0),
IF('TL17'!$B$229=O$3,SUMIF('TL17'!$C$238:$C$451,$C42,'TL17'!$J$238:$J$451),0),
IF('TL18'!$B$3=O$3,SUMIF('TL18'!$C$10:$C$224,$C42,'TL18'!$J$10:$J$224),0),
IF('TL18'!$B$229=O$3,SUMIF('TL18'!$C$238:$C$451,$C42,'TL18'!$J$238:$J$451),0),
IF('TL19'!$B$3=O$3,SUMIF('TL19'!$C$10:$C$224,$C42,'TL19'!$J$10:$J$224),0),
IF('TL19'!$B$229=O$3,SUMIF('TL19'!$C$238:$C$451,$C42,'TL19'!$J$238:$J$451),0)
),0)</f>
        <v>0</v>
      </c>
      <c r="P42" s="9">
        <f>IFERROR(SUM(
IF('TL01'!$B$3=P$3,SUMIF('TL01'!$C$10:$C$224,$C42,'TL01'!$J$10:$J$224),0),
IF('TL01'!$B$229=P$3,SUMIF('TL01'!$C$238:$C$451,$C42,'TL01'!$J$238:$J$451),0),
IF('TL02'!$B$3=P$3,SUMIF('TL02'!$C$10:$C$224,$C42,'TL02'!$J$10:$J$224),0),
IF('TL02'!$B$229=P$3,SUMIF('TL02'!$C$238:$C$451,$C42,'TL02'!$J$238:$J$451),0),
IF('TL03'!$B$3=P$3,SUMIF('TL03'!$C$10:$C$224,$C42,'TL03'!$J$10:$J$224),0),
IF('TL03'!$B$229=P$3,SUMIF('TL03'!$C$238:$C$451,$C42,'TL03'!$J$238:$J$451),0),
IF('TL04'!$B$3=P$3,SUMIF('TL04'!$C$10:$C$224,$C42,'TL04'!$J$10:$J$224),0),
IF('TL04'!$B$229=P$3,SUMIF('TL04'!$C$238:$C$451,$C42,'TL04'!$J$238:$J$451),0),
IF('TL05'!$B$3=P$3,SUMIF('TL05'!$C$10:$C$224,$C42,'TL05'!$J$10:$J$224),0),
IF('TL05'!$B$229=P$3,SUMIF('TL05'!$C$238:$C$451,$C42,'TL05'!$J$238:$J$451),0),
IF('TL06'!$B$3=P$3,SUMIF('TL06'!$C$10:$C$224,$C42,'TL06'!$J$10:$J$224),0),
IF('TL06'!$B$229=P$3,SUMIF('TL06'!$C$238:$C$451,$C42,'TL06'!$J$238:$J$451),0),
IF('TL07'!$B$3=P$3,SUMIF('TL07'!$C$10:$C$224,$C42,'TL07'!$J$10:$J$224),0),
IF('TL07'!$B$229=P$3,SUMIF('TL07'!$C$238:$C$451,$C42,'TL07'!$J$238:$J$451),0),
IF('TL08'!$B$3=P$3,SUMIF('TL08'!$C$10:$C$224,$C42,'TL08'!$J$10:$J$224),0),
IF('TL08'!$B$229=P$3,SUMIF('TL08'!$C$238:$C$451,$C42,'TL08'!$J$238:$J$451),0),
IF('TL09'!$B$3=P$3,SUMIF('TL09'!$C$10:$C$224,$C42,'TL09'!$J$10:$J$224),0),
IF('TL09'!$B$229=P$3,SUMIF('TL09'!$C$238:$C$451,$C42,'TL09'!$J$238:$J$451),0),
IF('TL10'!$B$3=P$3,SUMIF('TL10'!$C$10:$C$224,$C42,'TL10'!$J$10:$J$224),0),
IF('TL10'!$B$229=P$3,SUMIF('TL10'!$C$238:$C$451,$C42,'TL10'!$J$238:$J$451),0),
IF('TL11'!$B$3=P$3,SUMIF('TL11'!$C$10:$C$224,$C42,'TL11'!$J$10:$J$224),0),
IF('TL11'!$B$229=P$3,SUMIF('TL11'!$C$238:$C$451,$C42,'TL11'!$J$238:$J$451),0),
IF('TL12'!$B$3=P$3,SUMIF('TL12'!$C$10:$C$224,$C42,'TL12'!$J$10:$J$224),0),
IF('TL12'!$B$229=P$3,SUMIF('TL12'!$C$238:$C$451,$C42,'TL12'!$J$238:$J$451),0),
IF('TL13'!$B$3=P$3,SUMIF('TL13'!$C$10:$C$224,$C42,'TL13'!$J$10:$J$224),0),
IF('TL13'!$B$229=P$3,SUMIF('TL13'!$C$238:$C$451,$C42,'TL13'!$J$238:$J$451),0),
IF('TL14'!$B$3=P$3,SUMIF('TL14'!$C$10:$C$224,$C42,'TL14'!$J$10:$J$224),0),
IF('TL14'!$B$229=P$3,SUMIF('TL14'!$C$238:$C$451,$C42,'TL14'!$J$238:$J$451),0),
IF('TL15'!$B$3=P$3,SUMIF('TL15'!$C$10:$C$224,$C42,'TL15'!$J$10:$J$224),0),
IF('TL15'!$B$229=P$3,SUMIF('TL15'!$C$238:$C$451,$C42,'TL15'!$J$238:$J$451),0),
IF('TL16'!$B$3=P$3,SUMIF('TL16'!$C$10:$C$224,$C42,'TL16'!$J$10:$J$224),0),
IF('TL16'!$B$229=P$3,SUMIF('TL16'!$C$238:$C$451,$C42,'TL16'!$J$238:$J$451),0),
IF('TL17'!$B$3=P$3,SUMIF('TL17'!$C$10:$C$224,$C42,'TL17'!$J$10:$J$224),0),
IF('TL17'!$B$229=P$3,SUMIF('TL17'!$C$238:$C$451,$C42,'TL17'!$J$238:$J$451),0),
IF('TL18'!$B$3=P$3,SUMIF('TL18'!$C$10:$C$224,$C42,'TL18'!$J$10:$J$224),0),
IF('TL18'!$B$229=P$3,SUMIF('TL18'!$C$238:$C$451,$C42,'TL18'!$J$238:$J$451),0),
IF('TL19'!$B$3=P$3,SUMIF('TL19'!$C$10:$C$224,$C42,'TL19'!$J$10:$J$224),0),
IF('TL19'!$B$229=P$3,SUMIF('TL19'!$C$238:$C$451,$C42,'TL19'!$J$238:$J$451),0)
),0)</f>
        <v>0</v>
      </c>
      <c r="Q42" s="9">
        <f>IFERROR(SUM(
IF('TL01'!$B$3=Q$3,SUMIF('TL01'!$C$10:$C$224,$C42,'TL01'!$J$10:$J$224),0),
IF('TL01'!$B$229=Q$3,SUMIF('TL01'!$C$238:$C$451,$C42,'TL01'!$J$238:$J$451),0),
IF('TL02'!$B$3=Q$3,SUMIF('TL02'!$C$10:$C$224,$C42,'TL02'!$J$10:$J$224),0),
IF('TL02'!$B$229=Q$3,SUMIF('TL02'!$C$238:$C$451,$C42,'TL02'!$J$238:$J$451),0),
IF('TL03'!$B$3=Q$3,SUMIF('TL03'!$C$10:$C$224,$C42,'TL03'!$J$10:$J$224),0),
IF('TL03'!$B$229=Q$3,SUMIF('TL03'!$C$238:$C$451,$C42,'TL03'!$J$238:$J$451),0),
IF('TL04'!$B$3=Q$3,SUMIF('TL04'!$C$10:$C$224,$C42,'TL04'!$J$10:$J$224),0),
IF('TL04'!$B$229=Q$3,SUMIF('TL04'!$C$238:$C$451,$C42,'TL04'!$J$238:$J$451),0),
IF('TL05'!$B$3=Q$3,SUMIF('TL05'!$C$10:$C$224,$C42,'TL05'!$J$10:$J$224),0),
IF('TL05'!$B$229=Q$3,SUMIF('TL05'!$C$238:$C$451,$C42,'TL05'!$J$238:$J$451),0),
IF('TL06'!$B$3=Q$3,SUMIF('TL06'!$C$10:$C$224,$C42,'TL06'!$J$10:$J$224),0),
IF('TL06'!$B$229=Q$3,SUMIF('TL06'!$C$238:$C$451,$C42,'TL06'!$J$238:$J$451),0),
IF('TL07'!$B$3=Q$3,SUMIF('TL07'!$C$10:$C$224,$C42,'TL07'!$J$10:$J$224),0),
IF('TL07'!$B$229=Q$3,SUMIF('TL07'!$C$238:$C$451,$C42,'TL07'!$J$238:$J$451),0),
IF('TL08'!$B$3=Q$3,SUMIF('TL08'!$C$10:$C$224,$C42,'TL08'!$J$10:$J$224),0),
IF('TL08'!$B$229=Q$3,SUMIF('TL08'!$C$238:$C$451,$C42,'TL08'!$J$238:$J$451),0),
IF('TL09'!$B$3=Q$3,SUMIF('TL09'!$C$10:$C$224,$C42,'TL09'!$J$10:$J$224),0),
IF('TL09'!$B$229=Q$3,SUMIF('TL09'!$C$238:$C$451,$C42,'TL09'!$J$238:$J$451),0),
IF('TL10'!$B$3=Q$3,SUMIF('TL10'!$C$10:$C$224,$C42,'TL10'!$J$10:$J$224),0),
IF('TL10'!$B$229=Q$3,SUMIF('TL10'!$C$238:$C$451,$C42,'TL10'!$J$238:$J$451),0),
IF('TL11'!$B$3=Q$3,SUMIF('TL11'!$C$10:$C$224,$C42,'TL11'!$J$10:$J$224),0),
IF('TL11'!$B$229=Q$3,SUMIF('TL11'!$C$238:$C$451,$C42,'TL11'!$J$238:$J$451),0),
IF('TL12'!$B$3=Q$3,SUMIF('TL12'!$C$10:$C$224,$C42,'TL12'!$J$10:$J$224),0),
IF('TL12'!$B$229=Q$3,SUMIF('TL12'!$C$238:$C$451,$C42,'TL12'!$J$238:$J$451),0),
IF('TL13'!$B$3=Q$3,SUMIF('TL13'!$C$10:$C$224,$C42,'TL13'!$J$10:$J$224),0),
IF('TL13'!$B$229=Q$3,SUMIF('TL13'!$C$238:$C$451,$C42,'TL13'!$J$238:$J$451),0),
IF('TL14'!$B$3=Q$3,SUMIF('TL14'!$C$10:$C$224,$C42,'TL14'!$J$10:$J$224),0),
IF('TL14'!$B$229=Q$3,SUMIF('TL14'!$C$238:$C$451,$C42,'TL14'!$J$238:$J$451),0),
IF('TL15'!$B$3=Q$3,SUMIF('TL15'!$C$10:$C$224,$C42,'TL15'!$J$10:$J$224),0),
IF('TL15'!$B$229=Q$3,SUMIF('TL15'!$C$238:$C$451,$C42,'TL15'!$J$238:$J$451),0),
IF('TL16'!$B$3=Q$3,SUMIF('TL16'!$C$10:$C$224,$C42,'TL16'!$J$10:$J$224),0),
IF('TL16'!$B$229=Q$3,SUMIF('TL16'!$C$238:$C$451,$C42,'TL16'!$J$238:$J$451),0),
IF('TL17'!$B$3=Q$3,SUMIF('TL17'!$C$10:$C$224,$C42,'TL17'!$J$10:$J$224),0),
IF('TL17'!$B$229=Q$3,SUMIF('TL17'!$C$238:$C$451,$C42,'TL17'!$J$238:$J$451),0),
IF('TL18'!$B$3=Q$3,SUMIF('TL18'!$C$10:$C$224,$C42,'TL18'!$J$10:$J$224),0),
IF('TL18'!$B$229=Q$3,SUMIF('TL18'!$C$238:$C$451,$C42,'TL18'!$J$238:$J$451),0),
IF('TL19'!$B$3=Q$3,SUMIF('TL19'!$C$10:$C$224,$C42,'TL19'!$J$10:$J$224),0),
IF('TL19'!$B$229=Q$3,SUMIF('TL19'!$C$238:$C$451,$C42,'TL19'!$J$238:$J$451),0)
),0)</f>
        <v>0</v>
      </c>
      <c r="R42" s="9">
        <f>IFERROR(
SUM(
SUMIF('TL01'!C:C,C42,'TL01'!J:J),
SUMIF('TL02'!C:C,C42,'TL02'!J:J),
SUMIF('TL03'!C:C,C42,'TL03'!J:J),
SUMIF('TL04'!C:C,C42,'TL04'!J:J),
SUMIF('TL05'!C:C,C42,'TL05'!J:J),
SUMIF('TL06'!C:C,C42,'TL06'!J:J),
SUMIF('TL07'!C:C,C42,'TL07'!J:J),
SUMIF('TL08'!C:C,C42,'TL08'!J:J),
SUMIF('TL09'!C:C,C42,'TL09'!J:J),
SUMIF('TL10'!C:C,C42,'TL10'!J:J),
SUMIF('TL11'!C:C,C42,'TL11'!J:J),
SUMIF('TL12'!C:C,C42,'TL12'!J:J),
SUMIF('TL13'!C:C,C42,'TL13'!J:J),
SUMIF('TL14'!C:C,C42,'TL14'!J:J),
SUMIF('TL15'!C:C,C42,'TL15'!J:J),
SUMIF('TL16'!C:C,C42,'TL16'!J:J),
SUMIF('TL17'!C:C,C42,'TL17'!J:J),
SUMIF('TL18'!C:C,C42,'TL18'!J:J),SUMIF('TL19'!C:C,C42,'TL19'!J:J))
,0)</f>
        <v>0</v>
      </c>
      <c r="S42" s="17">
        <f>IFERROR(__xludf.DUMMYFUNCTION("IFERROR(VLOOKUP(C42,
IMPORTRANGE(""1wULbzX32WdYsx-lj2U3uUNBBe2INVIRDtcK0d-Dvl90"",
""26-27!C:G""),
5,
FALSE),
"""")"),137.32272)</f>
        <v>137.32272</v>
      </c>
      <c r="T42" s="9"/>
      <c r="U42" s="92">
        <f t="shared" si="2"/>
        <v>0</v>
      </c>
      <c r="V42" s="93">
        <f t="shared" si="3"/>
        <v>0</v>
      </c>
    </row>
    <row r="43" ht="15.75" hidden="1" customHeight="1">
      <c r="A43" s="111" t="s">
        <v>345</v>
      </c>
      <c r="B43" s="112" t="s">
        <v>0</v>
      </c>
      <c r="C43" s="113" t="s">
        <v>443</v>
      </c>
      <c r="D43" s="113" t="s">
        <v>444</v>
      </c>
      <c r="E43" s="113" t="s">
        <v>445</v>
      </c>
      <c r="F43" s="4" t="s">
        <v>343</v>
      </c>
      <c r="G43" s="90" t="str">
        <f t="shared" si="4"/>
        <v>📄 Ver bula</v>
      </c>
      <c r="H43" s="9">
        <f>IFERROR(__xludf.DUMMYFUNCTION("IFERROR(VLOOKUP(C43,
IMPORTRANGE(""1wULbzX32WdYsx-lj2U3uUNBBe2INVIRDtcK0d-Dvl90"",
""26-27!C:K""),
8,
FALSE),
"""")"),0.7)</f>
        <v>0.7</v>
      </c>
      <c r="I43" s="114" t="s">
        <v>446</v>
      </c>
      <c r="J43" s="9">
        <f>IFERROR(SUM(
IF('TL01'!$B$3=J$3,SUMIF('TL01'!$C$10:$C$224,$C43,'TL01'!$J$10:$J$224),0),
IF('TL01'!$B$229=J$3,SUMIF('TL01'!$C$238:$C$451,$C43,'TL01'!$J$238:$J$451),0),
IF('TL02'!$B$3=J$3,SUMIF('TL02'!$C$10:$C$224,$C43,'TL02'!$J$10:$J$224),0),
IF('TL02'!$B$229=J$3,SUMIF('TL02'!$C$238:$C$451,$C43,'TL02'!$J$238:$J$451),0),
IF('TL03'!$B$3=J$3,SUMIF('TL03'!$C$10:$C$224,$C43,'TL03'!$J$10:$J$224),0),
IF('TL03'!$B$229=J$3,SUMIF('TL03'!$C$238:$C$451,$C43,'TL03'!$J$238:$J$451),0),
IF('TL04'!$B$3=J$3,SUMIF('TL04'!$C$10:$C$224,$C43,'TL04'!$J$10:$J$224),0),
IF('TL04'!$B$229=J$3,SUMIF('TL04'!$C$238:$C$451,$C43,'TL04'!$J$238:$J$451),0),
IF('TL05'!$B$3=J$3,SUMIF('TL05'!$C$10:$C$224,$C43,'TL05'!$J$10:$J$224),0),
IF('TL05'!$B$229=J$3,SUMIF('TL05'!$C$238:$C$451,$C43,'TL05'!$J$238:$J$451),0),
IF('TL06'!$B$3=J$3,SUMIF('TL06'!$C$10:$C$224,$C43,'TL06'!$J$10:$J$224),0),
IF('TL06'!$B$229=J$3,SUMIF('TL06'!$C$238:$C$451,$C43,'TL06'!$J$238:$J$451),0),
IF('TL07'!$B$3=J$3,SUMIF('TL07'!$C$10:$C$224,$C43,'TL07'!$J$10:$J$224),0),
IF('TL07'!$B$229=J$3,SUMIF('TL07'!$C$238:$C$451,$C43,'TL07'!$J$238:$J$451),0),
IF('TL08'!$B$3=J$3,SUMIF('TL08'!$C$10:$C$224,$C43,'TL08'!$J$10:$J$224),0),
IF('TL08'!$B$229=J$3,SUMIF('TL08'!$C$238:$C$451,$C43,'TL08'!$J$238:$J$451),0),
IF('TL09'!$B$3=J$3,SUMIF('TL09'!$C$10:$C$224,$C43,'TL09'!$J$10:$J$224),0),
IF('TL09'!$B$229=J$3,SUMIF('TL09'!$C$238:$C$451,$C43,'TL09'!$J$238:$J$451),0),
IF('TL10'!$B$3=J$3,SUMIF('TL10'!$C$10:$C$224,$C43,'TL10'!$J$10:$J$224),0),
IF('TL10'!$B$229=J$3,SUMIF('TL10'!$C$238:$C$451,$C43,'TL10'!$J$238:$J$451),0),
IF('TL11'!$B$3=J$3,SUMIF('TL11'!$C$10:$C$224,$C43,'TL11'!$J$10:$J$224),0),
IF('TL11'!$B$229=J$3,SUMIF('TL11'!$C$238:$C$451,$C43,'TL11'!$J$238:$J$451),0),
IF('TL12'!$B$3=J$3,SUMIF('TL12'!$C$10:$C$224,$C43,'TL12'!$J$10:$J$224),0),
IF('TL12'!$B$229=J$3,SUMIF('TL12'!$C$238:$C$451,$C43,'TL12'!$J$238:$J$451),0),
IF('TL13'!$B$3=J$3,SUMIF('TL13'!$C$10:$C$224,$C43,'TL13'!$J$10:$J$224),0),
IF('TL13'!$B$229=J$3,SUMIF('TL13'!$C$238:$C$451,$C43,'TL13'!$J$238:$J$451),0),
IF('TL14'!$B$3=J$3,SUMIF('TL14'!$C$10:$C$224,$C43,'TL14'!$J$10:$J$224),0),
IF('TL14'!$B$229=J$3,SUMIF('TL14'!$C$238:$C$451,$C43,'TL14'!$J$238:$J$451),0),
IF('TL15'!$B$3=J$3,SUMIF('TL15'!$C$10:$C$224,$C43,'TL15'!$J$10:$J$224),0),
IF('TL15'!$B$229=J$3,SUMIF('TL15'!$C$238:$C$451,$C43,'TL15'!$J$238:$J$451),0),
IF('TL16'!$B$3=J$3,SUMIF('TL16'!$C$10:$C$224,$C43,'TL16'!$J$10:$J$224),0),
IF('TL16'!$B$229=J$3,SUMIF('TL16'!$C$238:$C$451,$C43,'TL16'!$J$238:$J$451),0),
IF('TL17'!$B$3=J$3,SUMIF('TL17'!$C$10:$C$224,$C43,'TL17'!$J$10:$J$224),0),
IF('TL17'!$B$229=J$3,SUMIF('TL17'!$C$238:$C$451,$C43,'TL17'!$J$238:$J$451),0),
IF('TL18'!$B$3=J$3,SUMIF('TL18'!$C$10:$C$224,$C43,'TL18'!$J$10:$J$224),0),
IF('TL18'!$B$229=J$3,SUMIF('TL18'!$C$238:$C$451,$C43,'TL18'!$J$238:$J$451),0),
IF('TL19'!$B$3=J$3,SUMIF('TL19'!$C$10:$C$224,$C43,'TL19'!$J$10:$J$224),0),
IF('TL19'!$B$229=J$3,SUMIF('TL19'!$C$238:$C$451,$C43,'TL19'!$J$238:$J$451),0)
),0)</f>
        <v>0</v>
      </c>
      <c r="K43" s="9">
        <f>IFERROR(SUM(
IF('TL01'!$B$3=K$3,SUMIF('TL01'!$C$10:$C$224,$C43,'TL01'!$J$10:$J$224),0),
IF('TL01'!$B$229=K$3,SUMIF('TL01'!$C$238:$C$451,$C43,'TL01'!$J$238:$J$451),0),
IF('TL02'!$B$3=K$3,SUMIF('TL02'!$C$10:$C$224,$C43,'TL02'!$J$10:$J$224),0),
IF('TL02'!$B$229=K$3,SUMIF('TL02'!$C$238:$C$451,$C43,'TL02'!$J$238:$J$451),0),
IF('TL03'!$B$3=K$3,SUMIF('TL03'!$C$10:$C$224,$C43,'TL03'!$J$10:$J$224),0),
IF('TL03'!$B$229=K$3,SUMIF('TL03'!$C$238:$C$451,$C43,'TL03'!$J$238:$J$451),0),
IF('TL04'!$B$3=K$3,SUMIF('TL04'!$C$10:$C$224,$C43,'TL04'!$J$10:$J$224),0),
IF('TL04'!$B$229=K$3,SUMIF('TL04'!$C$238:$C$451,$C43,'TL04'!$J$238:$J$451),0),
IF('TL05'!$B$3=K$3,SUMIF('TL05'!$C$10:$C$224,$C43,'TL05'!$J$10:$J$224),0),
IF('TL05'!$B$229=K$3,SUMIF('TL05'!$C$238:$C$451,$C43,'TL05'!$J$238:$J$451),0),
IF('TL06'!$B$3=K$3,SUMIF('TL06'!$C$10:$C$224,$C43,'TL06'!$J$10:$J$224),0),
IF('TL06'!$B$229=K$3,SUMIF('TL06'!$C$238:$C$451,$C43,'TL06'!$J$238:$J$451),0),
IF('TL07'!$B$3=K$3,SUMIF('TL07'!$C$10:$C$224,$C43,'TL07'!$J$10:$J$224),0),
IF('TL07'!$B$229=K$3,SUMIF('TL07'!$C$238:$C$451,$C43,'TL07'!$J$238:$J$451),0),
IF('TL08'!$B$3=K$3,SUMIF('TL08'!$C$10:$C$224,$C43,'TL08'!$J$10:$J$224),0),
IF('TL08'!$B$229=K$3,SUMIF('TL08'!$C$238:$C$451,$C43,'TL08'!$J$238:$J$451),0),
IF('TL09'!$B$3=K$3,SUMIF('TL09'!$C$10:$C$224,$C43,'TL09'!$J$10:$J$224),0),
IF('TL09'!$B$229=K$3,SUMIF('TL09'!$C$238:$C$451,$C43,'TL09'!$J$238:$J$451),0),
IF('TL10'!$B$3=K$3,SUMIF('TL10'!$C$10:$C$224,$C43,'TL10'!$J$10:$J$224),0),
IF('TL10'!$B$229=K$3,SUMIF('TL10'!$C$238:$C$451,$C43,'TL10'!$J$238:$J$451),0),
IF('TL11'!$B$3=K$3,SUMIF('TL11'!$C$10:$C$224,$C43,'TL11'!$J$10:$J$224),0),
IF('TL11'!$B$229=K$3,SUMIF('TL11'!$C$238:$C$451,$C43,'TL11'!$J$238:$J$451),0),
IF('TL12'!$B$3=K$3,SUMIF('TL12'!$C$10:$C$224,$C43,'TL12'!$J$10:$J$224),0),
IF('TL12'!$B$229=K$3,SUMIF('TL12'!$C$238:$C$451,$C43,'TL12'!$J$238:$J$451),0),
IF('TL13'!$B$3=K$3,SUMIF('TL13'!$C$10:$C$224,$C43,'TL13'!$J$10:$J$224),0),
IF('TL13'!$B$229=K$3,SUMIF('TL13'!$C$238:$C$451,$C43,'TL13'!$J$238:$J$451),0),
IF('TL14'!$B$3=K$3,SUMIF('TL14'!$C$10:$C$224,$C43,'TL14'!$J$10:$J$224),0),
IF('TL14'!$B$229=K$3,SUMIF('TL14'!$C$238:$C$451,$C43,'TL14'!$J$238:$J$451),0),
IF('TL15'!$B$3=K$3,SUMIF('TL15'!$C$10:$C$224,$C43,'TL15'!$J$10:$J$224),0),
IF('TL15'!$B$229=K$3,SUMIF('TL15'!$C$238:$C$451,$C43,'TL15'!$J$238:$J$451),0),
IF('TL16'!$B$3=K$3,SUMIF('TL16'!$C$10:$C$224,$C43,'TL16'!$J$10:$J$224),0),
IF('TL16'!$B$229=K$3,SUMIF('TL16'!$C$238:$C$451,$C43,'TL16'!$J$238:$J$451),0),
IF('TL17'!$B$3=K$3,SUMIF('TL17'!$C$10:$C$224,$C43,'TL17'!$J$10:$J$224),0),
IF('TL17'!$B$229=K$3,SUMIF('TL17'!$C$238:$C$451,$C43,'TL17'!$J$238:$J$451),0),
IF('TL18'!$B$3=K$3,SUMIF('TL18'!$C$10:$C$224,$C43,'TL18'!$J$10:$J$224),0),
IF('TL18'!$B$229=K$3,SUMIF('TL18'!$C$238:$C$451,$C43,'TL18'!$J$238:$J$451),0),
IF('TL19'!$B$3=K$3,SUMIF('TL19'!$C$10:$C$224,$C43,'TL19'!$J$10:$J$224),0),
IF('TL19'!$B$229=K$3,SUMIF('TL19'!$C$238:$C$451,$C43,'TL19'!$J$238:$J$451),0)
),0)</f>
        <v>210</v>
      </c>
      <c r="L43" s="9">
        <f>IFERROR(SUM(
IF('TL01'!$B$3=L$3,SUMIF('TL01'!$C$10:$C$224,$C43,'TL01'!$J$10:$J$224),0),
IF('TL01'!$B$229=L$3,SUMIF('TL01'!$C$238:$C$451,$C43,'TL01'!$J$238:$J$451),0),
IF('TL02'!$B$3=L$3,SUMIF('TL02'!$C$10:$C$224,$C43,'TL02'!$J$10:$J$224),0),
IF('TL02'!$B$229=L$3,SUMIF('TL02'!$C$238:$C$451,$C43,'TL02'!$J$238:$J$451),0),
IF('TL03'!$B$3=L$3,SUMIF('TL03'!$C$10:$C$224,$C43,'TL03'!$J$10:$J$224),0),
IF('TL03'!$B$229=L$3,SUMIF('TL03'!$C$238:$C$451,$C43,'TL03'!$J$238:$J$451),0),
IF('TL04'!$B$3=L$3,SUMIF('TL04'!$C$10:$C$224,$C43,'TL04'!$J$10:$J$224),0),
IF('TL04'!$B$229=L$3,SUMIF('TL04'!$C$238:$C$451,$C43,'TL04'!$J$238:$J$451),0),
IF('TL05'!$B$3=L$3,SUMIF('TL05'!$C$10:$C$224,$C43,'TL05'!$J$10:$J$224),0),
IF('TL05'!$B$229=L$3,SUMIF('TL05'!$C$238:$C$451,$C43,'TL05'!$J$238:$J$451),0),
IF('TL06'!$B$3=L$3,SUMIF('TL06'!$C$10:$C$224,$C43,'TL06'!$J$10:$J$224),0),
IF('TL06'!$B$229=L$3,SUMIF('TL06'!$C$238:$C$451,$C43,'TL06'!$J$238:$J$451),0),
IF('TL07'!$B$3=L$3,SUMIF('TL07'!$C$10:$C$224,$C43,'TL07'!$J$10:$J$224),0),
IF('TL07'!$B$229=L$3,SUMIF('TL07'!$C$238:$C$451,$C43,'TL07'!$J$238:$J$451),0),
IF('TL08'!$B$3=L$3,SUMIF('TL08'!$C$10:$C$224,$C43,'TL08'!$J$10:$J$224),0),
IF('TL08'!$B$229=L$3,SUMIF('TL08'!$C$238:$C$451,$C43,'TL08'!$J$238:$J$451),0),
IF('TL09'!$B$3=L$3,SUMIF('TL09'!$C$10:$C$224,$C43,'TL09'!$J$10:$J$224),0),
IF('TL09'!$B$229=L$3,SUMIF('TL09'!$C$238:$C$451,$C43,'TL09'!$J$238:$J$451),0),
IF('TL10'!$B$3=L$3,SUMIF('TL10'!$C$10:$C$224,$C43,'TL10'!$J$10:$J$224),0),
IF('TL10'!$B$229=L$3,SUMIF('TL10'!$C$238:$C$451,$C43,'TL10'!$J$238:$J$451),0),
IF('TL11'!$B$3=L$3,SUMIF('TL11'!$C$10:$C$224,$C43,'TL11'!$J$10:$J$224),0),
IF('TL11'!$B$229=L$3,SUMIF('TL11'!$C$238:$C$451,$C43,'TL11'!$J$238:$J$451),0),
IF('TL12'!$B$3=L$3,SUMIF('TL12'!$C$10:$C$224,$C43,'TL12'!$J$10:$J$224),0),
IF('TL12'!$B$229=L$3,SUMIF('TL12'!$C$238:$C$451,$C43,'TL12'!$J$238:$J$451),0),
IF('TL13'!$B$3=L$3,SUMIF('TL13'!$C$10:$C$224,$C43,'TL13'!$J$10:$J$224),0),
IF('TL13'!$B$229=L$3,SUMIF('TL13'!$C$238:$C$451,$C43,'TL13'!$J$238:$J$451),0),
IF('TL14'!$B$3=L$3,SUMIF('TL14'!$C$10:$C$224,$C43,'TL14'!$J$10:$J$224),0),
IF('TL14'!$B$229=L$3,SUMIF('TL14'!$C$238:$C$451,$C43,'TL14'!$J$238:$J$451),0),
IF('TL15'!$B$3=L$3,SUMIF('TL15'!$C$10:$C$224,$C43,'TL15'!$J$10:$J$224),0),
IF('TL15'!$B$229=L$3,SUMIF('TL15'!$C$238:$C$451,$C43,'TL15'!$J$238:$J$451),0),
IF('TL16'!$B$3=L$3,SUMIF('TL16'!$C$10:$C$224,$C43,'TL16'!$J$10:$J$224),0),
IF('TL16'!$B$229=L$3,SUMIF('TL16'!$C$238:$C$451,$C43,'TL16'!$J$238:$J$451),0),
IF('TL17'!$B$3=L$3,SUMIF('TL17'!$C$10:$C$224,$C43,'TL17'!$J$10:$J$224),0),
IF('TL17'!$B$229=L$3,SUMIF('TL17'!$C$238:$C$451,$C43,'TL17'!$J$238:$J$451),0),
IF('TL18'!$B$3=L$3,SUMIF('TL18'!$C$10:$C$224,$C43,'TL18'!$J$10:$J$224),0),
IF('TL18'!$B$229=L$3,SUMIF('TL18'!$C$238:$C$451,$C43,'TL18'!$J$238:$J$451),0),
IF('TL19'!$B$3=L$3,SUMIF('TL19'!$C$10:$C$224,$C43,'TL19'!$J$10:$J$224),0),
IF('TL19'!$B$229=L$3,SUMIF('TL19'!$C$238:$C$451,$C43,'TL19'!$J$238:$J$451),0)
),0)</f>
        <v>154</v>
      </c>
      <c r="M43" s="9">
        <f>IFERROR(SUM(
IF('TL01'!$B$3=M$3,SUMIF('TL01'!$C$10:$C$224,$C43,'TL01'!$J$10:$J$224),0),
IF('TL01'!$B$229=M$3,SUMIF('TL01'!$C$238:$C$451,$C43,'TL01'!$J$238:$J$451),0),
IF('TL02'!$B$3=M$3,SUMIF('TL02'!$C$10:$C$224,$C43,'TL02'!$J$10:$J$224),0),
IF('TL02'!$B$229=M$3,SUMIF('TL02'!$C$238:$C$451,$C43,'TL02'!$J$238:$J$451),0),
IF('TL03'!$B$3=M$3,SUMIF('TL03'!$C$10:$C$224,$C43,'TL03'!$J$10:$J$224),0),
IF('TL03'!$B$229=M$3,SUMIF('TL03'!$C$238:$C$451,$C43,'TL03'!$J$238:$J$451),0),
IF('TL04'!$B$3=M$3,SUMIF('TL04'!$C$10:$C$224,$C43,'TL04'!$J$10:$J$224),0),
IF('TL04'!$B$229=M$3,SUMIF('TL04'!$C$238:$C$451,$C43,'TL04'!$J$238:$J$451),0),
IF('TL05'!$B$3=M$3,SUMIF('TL05'!$C$10:$C$224,$C43,'TL05'!$J$10:$J$224),0),
IF('TL05'!$B$229=M$3,SUMIF('TL05'!$C$238:$C$451,$C43,'TL05'!$J$238:$J$451),0),
IF('TL06'!$B$3=M$3,SUMIF('TL06'!$C$10:$C$224,$C43,'TL06'!$J$10:$J$224),0),
IF('TL06'!$B$229=M$3,SUMIF('TL06'!$C$238:$C$451,$C43,'TL06'!$J$238:$J$451),0),
IF('TL07'!$B$3=M$3,SUMIF('TL07'!$C$10:$C$224,$C43,'TL07'!$J$10:$J$224),0),
IF('TL07'!$B$229=M$3,SUMIF('TL07'!$C$238:$C$451,$C43,'TL07'!$J$238:$J$451),0),
IF('TL08'!$B$3=M$3,SUMIF('TL08'!$C$10:$C$224,$C43,'TL08'!$J$10:$J$224),0),
IF('TL08'!$B$229=M$3,SUMIF('TL08'!$C$238:$C$451,$C43,'TL08'!$J$238:$J$451),0),
IF('TL09'!$B$3=M$3,SUMIF('TL09'!$C$10:$C$224,$C43,'TL09'!$J$10:$J$224),0),
IF('TL09'!$B$229=M$3,SUMIF('TL09'!$C$238:$C$451,$C43,'TL09'!$J$238:$J$451),0),
IF('TL10'!$B$3=M$3,SUMIF('TL10'!$C$10:$C$224,$C43,'TL10'!$J$10:$J$224),0),
IF('TL10'!$B$229=M$3,SUMIF('TL10'!$C$238:$C$451,$C43,'TL10'!$J$238:$J$451),0),
IF('TL11'!$B$3=M$3,SUMIF('TL11'!$C$10:$C$224,$C43,'TL11'!$J$10:$J$224),0),
IF('TL11'!$B$229=M$3,SUMIF('TL11'!$C$238:$C$451,$C43,'TL11'!$J$238:$J$451),0),
IF('TL12'!$B$3=M$3,SUMIF('TL12'!$C$10:$C$224,$C43,'TL12'!$J$10:$J$224),0),
IF('TL12'!$B$229=M$3,SUMIF('TL12'!$C$238:$C$451,$C43,'TL12'!$J$238:$J$451),0),
IF('TL13'!$B$3=M$3,SUMIF('TL13'!$C$10:$C$224,$C43,'TL13'!$J$10:$J$224),0),
IF('TL13'!$B$229=M$3,SUMIF('TL13'!$C$238:$C$451,$C43,'TL13'!$J$238:$J$451),0),
IF('TL14'!$B$3=M$3,SUMIF('TL14'!$C$10:$C$224,$C43,'TL14'!$J$10:$J$224),0),
IF('TL14'!$B$229=M$3,SUMIF('TL14'!$C$238:$C$451,$C43,'TL14'!$J$238:$J$451),0),
IF('TL15'!$B$3=M$3,SUMIF('TL15'!$C$10:$C$224,$C43,'TL15'!$J$10:$J$224),0),
IF('TL15'!$B$229=M$3,SUMIF('TL15'!$C$238:$C$451,$C43,'TL15'!$J$238:$J$451),0),
IF('TL16'!$B$3=M$3,SUMIF('TL16'!$C$10:$C$224,$C43,'TL16'!$J$10:$J$224),0),
IF('TL16'!$B$229=M$3,SUMIF('TL16'!$C$238:$C$451,$C43,'TL16'!$J$238:$J$451),0),
IF('TL17'!$B$3=M$3,SUMIF('TL17'!$C$10:$C$224,$C43,'TL17'!$J$10:$J$224),0),
IF('TL17'!$B$229=M$3,SUMIF('TL17'!$C$238:$C$451,$C43,'TL17'!$J$238:$J$451),0),
IF('TL18'!$B$3=M$3,SUMIF('TL18'!$C$10:$C$224,$C43,'TL18'!$J$10:$J$224),0),
IF('TL18'!$B$229=M$3,SUMIF('TL18'!$C$238:$C$451,$C43,'TL18'!$J$238:$J$451),0),
IF('TL19'!$B$3=M$3,SUMIF('TL19'!$C$10:$C$224,$C43,'TL19'!$J$10:$J$224),0),
IF('TL19'!$B$229=M$3,SUMIF('TL19'!$C$238:$C$451,$C43,'TL19'!$J$238:$J$451),0)
),0)</f>
        <v>0</v>
      </c>
      <c r="N43" s="9">
        <f>IFERROR(SUM(
IF('TL01'!$B$3=N$3,SUMIF('TL01'!$C$10:$C$224,$C43,'TL01'!$J$10:$J$224),0),
IF('TL01'!$B$229=N$3,SUMIF('TL01'!$C$238:$C$451,$C43,'TL01'!$J$238:$J$451),0),
IF('TL02'!$B$3=N$3,SUMIF('TL02'!$C$10:$C$224,$C43,'TL02'!$J$10:$J$224),0),
IF('TL02'!$B$229=N$3,SUMIF('TL02'!$C$238:$C$451,$C43,'TL02'!$J$238:$J$451),0),
IF('TL03'!$B$3=N$3,SUMIF('TL03'!$C$10:$C$224,$C43,'TL03'!$J$10:$J$224),0),
IF('TL03'!$B$229=N$3,SUMIF('TL03'!$C$238:$C$451,$C43,'TL03'!$J$238:$J$451),0),
IF('TL04'!$B$3=N$3,SUMIF('TL04'!$C$10:$C$224,$C43,'TL04'!$J$10:$J$224),0),
IF('TL04'!$B$229=N$3,SUMIF('TL04'!$C$238:$C$451,$C43,'TL04'!$J$238:$J$451),0),
IF('TL05'!$B$3=N$3,SUMIF('TL05'!$C$10:$C$224,$C43,'TL05'!$J$10:$J$224),0),
IF('TL05'!$B$229=N$3,SUMIF('TL05'!$C$238:$C$451,$C43,'TL05'!$J$238:$J$451),0),
IF('TL06'!$B$3=N$3,SUMIF('TL06'!$C$10:$C$224,$C43,'TL06'!$J$10:$J$224),0),
IF('TL06'!$B$229=N$3,SUMIF('TL06'!$C$238:$C$451,$C43,'TL06'!$J$238:$J$451),0),
IF('TL07'!$B$3=N$3,SUMIF('TL07'!$C$10:$C$224,$C43,'TL07'!$J$10:$J$224),0),
IF('TL07'!$B$229=N$3,SUMIF('TL07'!$C$238:$C$451,$C43,'TL07'!$J$238:$J$451),0),
IF('TL08'!$B$3=N$3,SUMIF('TL08'!$C$10:$C$224,$C43,'TL08'!$J$10:$J$224),0),
IF('TL08'!$B$229=N$3,SUMIF('TL08'!$C$238:$C$451,$C43,'TL08'!$J$238:$J$451),0),
IF('TL09'!$B$3=N$3,SUMIF('TL09'!$C$10:$C$224,$C43,'TL09'!$J$10:$J$224),0),
IF('TL09'!$B$229=N$3,SUMIF('TL09'!$C$238:$C$451,$C43,'TL09'!$J$238:$J$451),0),
IF('TL10'!$B$3=N$3,SUMIF('TL10'!$C$10:$C$224,$C43,'TL10'!$J$10:$J$224),0),
IF('TL10'!$B$229=N$3,SUMIF('TL10'!$C$238:$C$451,$C43,'TL10'!$J$238:$J$451),0),
IF('TL11'!$B$3=N$3,SUMIF('TL11'!$C$10:$C$224,$C43,'TL11'!$J$10:$J$224),0),
IF('TL11'!$B$229=N$3,SUMIF('TL11'!$C$238:$C$451,$C43,'TL11'!$J$238:$J$451),0),
IF('TL12'!$B$3=N$3,SUMIF('TL12'!$C$10:$C$224,$C43,'TL12'!$J$10:$J$224),0),
IF('TL12'!$B$229=N$3,SUMIF('TL12'!$C$238:$C$451,$C43,'TL12'!$J$238:$J$451),0),
IF('TL13'!$B$3=N$3,SUMIF('TL13'!$C$10:$C$224,$C43,'TL13'!$J$10:$J$224),0),
IF('TL13'!$B$229=N$3,SUMIF('TL13'!$C$238:$C$451,$C43,'TL13'!$J$238:$J$451),0),
IF('TL14'!$B$3=N$3,SUMIF('TL14'!$C$10:$C$224,$C43,'TL14'!$J$10:$J$224),0),
IF('TL14'!$B$229=N$3,SUMIF('TL14'!$C$238:$C$451,$C43,'TL14'!$J$238:$J$451),0),
IF('TL15'!$B$3=N$3,SUMIF('TL15'!$C$10:$C$224,$C43,'TL15'!$J$10:$J$224),0),
IF('TL15'!$B$229=N$3,SUMIF('TL15'!$C$238:$C$451,$C43,'TL15'!$J$238:$J$451),0),
IF('TL16'!$B$3=N$3,SUMIF('TL16'!$C$10:$C$224,$C43,'TL16'!$J$10:$J$224),0),
IF('TL16'!$B$229=N$3,SUMIF('TL16'!$C$238:$C$451,$C43,'TL16'!$J$238:$J$451),0),
IF('TL17'!$B$3=N$3,SUMIF('TL17'!$C$10:$C$224,$C43,'TL17'!$J$10:$J$224),0),
IF('TL17'!$B$229=N$3,SUMIF('TL17'!$C$238:$C$451,$C43,'TL17'!$J$238:$J$451),0),
IF('TL18'!$B$3=N$3,SUMIF('TL18'!$C$10:$C$224,$C43,'TL18'!$J$10:$J$224),0),
IF('TL18'!$B$229=N$3,SUMIF('TL18'!$C$238:$C$451,$C43,'TL18'!$J$238:$J$451),0),
IF('TL19'!$B$3=N$3,SUMIF('TL19'!$C$10:$C$224,$C43,'TL19'!$J$10:$J$224),0),
IF('TL19'!$B$229=N$3,SUMIF('TL19'!$C$238:$C$451,$C43,'TL19'!$J$238:$J$451),0)
),0)</f>
        <v>0</v>
      </c>
      <c r="O43" s="9">
        <f>IFERROR(SUM(
IF('TL01'!$B$3=O$3,SUMIF('TL01'!$C$10:$C$224,$C43,'TL01'!$J$10:$J$224),0),
IF('TL01'!$B$229=O$3,SUMIF('TL01'!$C$238:$C$451,$C43,'TL01'!$J$238:$J$451),0),
IF('TL02'!$B$3=O$3,SUMIF('TL02'!$C$10:$C$224,$C43,'TL02'!$J$10:$J$224),0),
IF('TL02'!$B$229=O$3,SUMIF('TL02'!$C$238:$C$451,$C43,'TL02'!$J$238:$J$451),0),
IF('TL03'!$B$3=O$3,SUMIF('TL03'!$C$10:$C$224,$C43,'TL03'!$J$10:$J$224),0),
IF('TL03'!$B$229=O$3,SUMIF('TL03'!$C$238:$C$451,$C43,'TL03'!$J$238:$J$451),0),
IF('TL04'!$B$3=O$3,SUMIF('TL04'!$C$10:$C$224,$C43,'TL04'!$J$10:$J$224),0),
IF('TL04'!$B$229=O$3,SUMIF('TL04'!$C$238:$C$451,$C43,'TL04'!$J$238:$J$451),0),
IF('TL05'!$B$3=O$3,SUMIF('TL05'!$C$10:$C$224,$C43,'TL05'!$J$10:$J$224),0),
IF('TL05'!$B$229=O$3,SUMIF('TL05'!$C$238:$C$451,$C43,'TL05'!$J$238:$J$451),0),
IF('TL06'!$B$3=O$3,SUMIF('TL06'!$C$10:$C$224,$C43,'TL06'!$J$10:$J$224),0),
IF('TL06'!$B$229=O$3,SUMIF('TL06'!$C$238:$C$451,$C43,'TL06'!$J$238:$J$451),0),
IF('TL07'!$B$3=O$3,SUMIF('TL07'!$C$10:$C$224,$C43,'TL07'!$J$10:$J$224),0),
IF('TL07'!$B$229=O$3,SUMIF('TL07'!$C$238:$C$451,$C43,'TL07'!$J$238:$J$451),0),
IF('TL08'!$B$3=O$3,SUMIF('TL08'!$C$10:$C$224,$C43,'TL08'!$J$10:$J$224),0),
IF('TL08'!$B$229=O$3,SUMIF('TL08'!$C$238:$C$451,$C43,'TL08'!$J$238:$J$451),0),
IF('TL09'!$B$3=O$3,SUMIF('TL09'!$C$10:$C$224,$C43,'TL09'!$J$10:$J$224),0),
IF('TL09'!$B$229=O$3,SUMIF('TL09'!$C$238:$C$451,$C43,'TL09'!$J$238:$J$451),0),
IF('TL10'!$B$3=O$3,SUMIF('TL10'!$C$10:$C$224,$C43,'TL10'!$J$10:$J$224),0),
IF('TL10'!$B$229=O$3,SUMIF('TL10'!$C$238:$C$451,$C43,'TL10'!$J$238:$J$451),0),
IF('TL11'!$B$3=O$3,SUMIF('TL11'!$C$10:$C$224,$C43,'TL11'!$J$10:$J$224),0),
IF('TL11'!$B$229=O$3,SUMIF('TL11'!$C$238:$C$451,$C43,'TL11'!$J$238:$J$451),0),
IF('TL12'!$B$3=O$3,SUMIF('TL12'!$C$10:$C$224,$C43,'TL12'!$J$10:$J$224),0),
IF('TL12'!$B$229=O$3,SUMIF('TL12'!$C$238:$C$451,$C43,'TL12'!$J$238:$J$451),0),
IF('TL13'!$B$3=O$3,SUMIF('TL13'!$C$10:$C$224,$C43,'TL13'!$J$10:$J$224),0),
IF('TL13'!$B$229=O$3,SUMIF('TL13'!$C$238:$C$451,$C43,'TL13'!$J$238:$J$451),0),
IF('TL14'!$B$3=O$3,SUMIF('TL14'!$C$10:$C$224,$C43,'TL14'!$J$10:$J$224),0),
IF('TL14'!$B$229=O$3,SUMIF('TL14'!$C$238:$C$451,$C43,'TL14'!$J$238:$J$451),0),
IF('TL15'!$B$3=O$3,SUMIF('TL15'!$C$10:$C$224,$C43,'TL15'!$J$10:$J$224),0),
IF('TL15'!$B$229=O$3,SUMIF('TL15'!$C$238:$C$451,$C43,'TL15'!$J$238:$J$451),0),
IF('TL16'!$B$3=O$3,SUMIF('TL16'!$C$10:$C$224,$C43,'TL16'!$J$10:$J$224),0),
IF('TL16'!$B$229=O$3,SUMIF('TL16'!$C$238:$C$451,$C43,'TL16'!$J$238:$J$451),0),
IF('TL17'!$B$3=O$3,SUMIF('TL17'!$C$10:$C$224,$C43,'TL17'!$J$10:$J$224),0),
IF('TL17'!$B$229=O$3,SUMIF('TL17'!$C$238:$C$451,$C43,'TL17'!$J$238:$J$451),0),
IF('TL18'!$B$3=O$3,SUMIF('TL18'!$C$10:$C$224,$C43,'TL18'!$J$10:$J$224),0),
IF('TL18'!$B$229=O$3,SUMIF('TL18'!$C$238:$C$451,$C43,'TL18'!$J$238:$J$451),0),
IF('TL19'!$B$3=O$3,SUMIF('TL19'!$C$10:$C$224,$C43,'TL19'!$J$10:$J$224),0),
IF('TL19'!$B$229=O$3,SUMIF('TL19'!$C$238:$C$451,$C43,'TL19'!$J$238:$J$451),0)
),0)</f>
        <v>154</v>
      </c>
      <c r="P43" s="9">
        <f>IFERROR(SUM(
IF('TL01'!$B$3=P$3,SUMIF('TL01'!$C$10:$C$224,$C43,'TL01'!$J$10:$J$224),0),
IF('TL01'!$B$229=P$3,SUMIF('TL01'!$C$238:$C$451,$C43,'TL01'!$J$238:$J$451),0),
IF('TL02'!$B$3=P$3,SUMIF('TL02'!$C$10:$C$224,$C43,'TL02'!$J$10:$J$224),0),
IF('TL02'!$B$229=P$3,SUMIF('TL02'!$C$238:$C$451,$C43,'TL02'!$J$238:$J$451),0),
IF('TL03'!$B$3=P$3,SUMIF('TL03'!$C$10:$C$224,$C43,'TL03'!$J$10:$J$224),0),
IF('TL03'!$B$229=P$3,SUMIF('TL03'!$C$238:$C$451,$C43,'TL03'!$J$238:$J$451),0),
IF('TL04'!$B$3=P$3,SUMIF('TL04'!$C$10:$C$224,$C43,'TL04'!$J$10:$J$224),0),
IF('TL04'!$B$229=P$3,SUMIF('TL04'!$C$238:$C$451,$C43,'TL04'!$J$238:$J$451),0),
IF('TL05'!$B$3=P$3,SUMIF('TL05'!$C$10:$C$224,$C43,'TL05'!$J$10:$J$224),0),
IF('TL05'!$B$229=P$3,SUMIF('TL05'!$C$238:$C$451,$C43,'TL05'!$J$238:$J$451),0),
IF('TL06'!$B$3=P$3,SUMIF('TL06'!$C$10:$C$224,$C43,'TL06'!$J$10:$J$224),0),
IF('TL06'!$B$229=P$3,SUMIF('TL06'!$C$238:$C$451,$C43,'TL06'!$J$238:$J$451),0),
IF('TL07'!$B$3=P$3,SUMIF('TL07'!$C$10:$C$224,$C43,'TL07'!$J$10:$J$224),0),
IF('TL07'!$B$229=P$3,SUMIF('TL07'!$C$238:$C$451,$C43,'TL07'!$J$238:$J$451),0),
IF('TL08'!$B$3=P$3,SUMIF('TL08'!$C$10:$C$224,$C43,'TL08'!$J$10:$J$224),0),
IF('TL08'!$B$229=P$3,SUMIF('TL08'!$C$238:$C$451,$C43,'TL08'!$J$238:$J$451),0),
IF('TL09'!$B$3=P$3,SUMIF('TL09'!$C$10:$C$224,$C43,'TL09'!$J$10:$J$224),0),
IF('TL09'!$B$229=P$3,SUMIF('TL09'!$C$238:$C$451,$C43,'TL09'!$J$238:$J$451),0),
IF('TL10'!$B$3=P$3,SUMIF('TL10'!$C$10:$C$224,$C43,'TL10'!$J$10:$J$224),0),
IF('TL10'!$B$229=P$3,SUMIF('TL10'!$C$238:$C$451,$C43,'TL10'!$J$238:$J$451),0),
IF('TL11'!$B$3=P$3,SUMIF('TL11'!$C$10:$C$224,$C43,'TL11'!$J$10:$J$224),0),
IF('TL11'!$B$229=P$3,SUMIF('TL11'!$C$238:$C$451,$C43,'TL11'!$J$238:$J$451),0),
IF('TL12'!$B$3=P$3,SUMIF('TL12'!$C$10:$C$224,$C43,'TL12'!$J$10:$J$224),0),
IF('TL12'!$B$229=P$3,SUMIF('TL12'!$C$238:$C$451,$C43,'TL12'!$J$238:$J$451),0),
IF('TL13'!$B$3=P$3,SUMIF('TL13'!$C$10:$C$224,$C43,'TL13'!$J$10:$J$224),0),
IF('TL13'!$B$229=P$3,SUMIF('TL13'!$C$238:$C$451,$C43,'TL13'!$J$238:$J$451),0),
IF('TL14'!$B$3=P$3,SUMIF('TL14'!$C$10:$C$224,$C43,'TL14'!$J$10:$J$224),0),
IF('TL14'!$B$229=P$3,SUMIF('TL14'!$C$238:$C$451,$C43,'TL14'!$J$238:$J$451),0),
IF('TL15'!$B$3=P$3,SUMIF('TL15'!$C$10:$C$224,$C43,'TL15'!$J$10:$J$224),0),
IF('TL15'!$B$229=P$3,SUMIF('TL15'!$C$238:$C$451,$C43,'TL15'!$J$238:$J$451),0),
IF('TL16'!$B$3=P$3,SUMIF('TL16'!$C$10:$C$224,$C43,'TL16'!$J$10:$J$224),0),
IF('TL16'!$B$229=P$3,SUMIF('TL16'!$C$238:$C$451,$C43,'TL16'!$J$238:$J$451),0),
IF('TL17'!$B$3=P$3,SUMIF('TL17'!$C$10:$C$224,$C43,'TL17'!$J$10:$J$224),0),
IF('TL17'!$B$229=P$3,SUMIF('TL17'!$C$238:$C$451,$C43,'TL17'!$J$238:$J$451),0),
IF('TL18'!$B$3=P$3,SUMIF('TL18'!$C$10:$C$224,$C43,'TL18'!$J$10:$J$224),0),
IF('TL18'!$B$229=P$3,SUMIF('TL18'!$C$238:$C$451,$C43,'TL18'!$J$238:$J$451),0),
IF('TL19'!$B$3=P$3,SUMIF('TL19'!$C$10:$C$224,$C43,'TL19'!$J$10:$J$224),0),
IF('TL19'!$B$229=P$3,SUMIF('TL19'!$C$238:$C$451,$C43,'TL19'!$J$238:$J$451),0)
),0)</f>
        <v>852.6</v>
      </c>
      <c r="Q43" s="9">
        <f>IFERROR(SUM(
IF('TL01'!$B$3=Q$3,SUMIF('TL01'!$C$10:$C$224,$C43,'TL01'!$J$10:$J$224),0),
IF('TL01'!$B$229=Q$3,SUMIF('TL01'!$C$238:$C$451,$C43,'TL01'!$J$238:$J$451),0),
IF('TL02'!$B$3=Q$3,SUMIF('TL02'!$C$10:$C$224,$C43,'TL02'!$J$10:$J$224),0),
IF('TL02'!$B$229=Q$3,SUMIF('TL02'!$C$238:$C$451,$C43,'TL02'!$J$238:$J$451),0),
IF('TL03'!$B$3=Q$3,SUMIF('TL03'!$C$10:$C$224,$C43,'TL03'!$J$10:$J$224),0),
IF('TL03'!$B$229=Q$3,SUMIF('TL03'!$C$238:$C$451,$C43,'TL03'!$J$238:$J$451),0),
IF('TL04'!$B$3=Q$3,SUMIF('TL04'!$C$10:$C$224,$C43,'TL04'!$J$10:$J$224),0),
IF('TL04'!$B$229=Q$3,SUMIF('TL04'!$C$238:$C$451,$C43,'TL04'!$J$238:$J$451),0),
IF('TL05'!$B$3=Q$3,SUMIF('TL05'!$C$10:$C$224,$C43,'TL05'!$J$10:$J$224),0),
IF('TL05'!$B$229=Q$3,SUMIF('TL05'!$C$238:$C$451,$C43,'TL05'!$J$238:$J$451),0),
IF('TL06'!$B$3=Q$3,SUMIF('TL06'!$C$10:$C$224,$C43,'TL06'!$J$10:$J$224),0),
IF('TL06'!$B$229=Q$3,SUMIF('TL06'!$C$238:$C$451,$C43,'TL06'!$J$238:$J$451),0),
IF('TL07'!$B$3=Q$3,SUMIF('TL07'!$C$10:$C$224,$C43,'TL07'!$J$10:$J$224),0),
IF('TL07'!$B$229=Q$3,SUMIF('TL07'!$C$238:$C$451,$C43,'TL07'!$J$238:$J$451),0),
IF('TL08'!$B$3=Q$3,SUMIF('TL08'!$C$10:$C$224,$C43,'TL08'!$J$10:$J$224),0),
IF('TL08'!$B$229=Q$3,SUMIF('TL08'!$C$238:$C$451,$C43,'TL08'!$J$238:$J$451),0),
IF('TL09'!$B$3=Q$3,SUMIF('TL09'!$C$10:$C$224,$C43,'TL09'!$J$10:$J$224),0),
IF('TL09'!$B$229=Q$3,SUMIF('TL09'!$C$238:$C$451,$C43,'TL09'!$J$238:$J$451),0),
IF('TL10'!$B$3=Q$3,SUMIF('TL10'!$C$10:$C$224,$C43,'TL10'!$J$10:$J$224),0),
IF('TL10'!$B$229=Q$3,SUMIF('TL10'!$C$238:$C$451,$C43,'TL10'!$J$238:$J$451),0),
IF('TL11'!$B$3=Q$3,SUMIF('TL11'!$C$10:$C$224,$C43,'TL11'!$J$10:$J$224),0),
IF('TL11'!$B$229=Q$3,SUMIF('TL11'!$C$238:$C$451,$C43,'TL11'!$J$238:$J$451),0),
IF('TL12'!$B$3=Q$3,SUMIF('TL12'!$C$10:$C$224,$C43,'TL12'!$J$10:$J$224),0),
IF('TL12'!$B$229=Q$3,SUMIF('TL12'!$C$238:$C$451,$C43,'TL12'!$J$238:$J$451),0),
IF('TL13'!$B$3=Q$3,SUMIF('TL13'!$C$10:$C$224,$C43,'TL13'!$J$10:$J$224),0),
IF('TL13'!$B$229=Q$3,SUMIF('TL13'!$C$238:$C$451,$C43,'TL13'!$J$238:$J$451),0),
IF('TL14'!$B$3=Q$3,SUMIF('TL14'!$C$10:$C$224,$C43,'TL14'!$J$10:$J$224),0),
IF('TL14'!$B$229=Q$3,SUMIF('TL14'!$C$238:$C$451,$C43,'TL14'!$J$238:$J$451),0),
IF('TL15'!$B$3=Q$3,SUMIF('TL15'!$C$10:$C$224,$C43,'TL15'!$J$10:$J$224),0),
IF('TL15'!$B$229=Q$3,SUMIF('TL15'!$C$238:$C$451,$C43,'TL15'!$J$238:$J$451),0),
IF('TL16'!$B$3=Q$3,SUMIF('TL16'!$C$10:$C$224,$C43,'TL16'!$J$10:$J$224),0),
IF('TL16'!$B$229=Q$3,SUMIF('TL16'!$C$238:$C$451,$C43,'TL16'!$J$238:$J$451),0),
IF('TL17'!$B$3=Q$3,SUMIF('TL17'!$C$10:$C$224,$C43,'TL17'!$J$10:$J$224),0),
IF('TL17'!$B$229=Q$3,SUMIF('TL17'!$C$238:$C$451,$C43,'TL17'!$J$238:$J$451),0),
IF('TL18'!$B$3=Q$3,SUMIF('TL18'!$C$10:$C$224,$C43,'TL18'!$J$10:$J$224),0),
IF('TL18'!$B$229=Q$3,SUMIF('TL18'!$C$238:$C$451,$C43,'TL18'!$J$238:$J$451),0),
IF('TL19'!$B$3=Q$3,SUMIF('TL19'!$C$10:$C$224,$C43,'TL19'!$J$10:$J$224),0),
IF('TL19'!$B$229=Q$3,SUMIF('TL19'!$C$238:$C$451,$C43,'TL19'!$J$238:$J$451),0)
),0)</f>
        <v>224</v>
      </c>
      <c r="R43" s="9">
        <f>IFERROR(
SUM(
SUMIF('TL01'!C:C,C43,'TL01'!J:J),
SUMIF('TL02'!C:C,C43,'TL02'!J:J),
SUMIF('TL03'!C:C,C43,'TL03'!J:J),
SUMIF('TL04'!C:C,C43,'TL04'!J:J),
SUMIF('TL05'!C:C,C43,'TL05'!J:J),
SUMIF('TL06'!C:C,C43,'TL06'!J:J),
SUMIF('TL07'!C:C,C43,'TL07'!J:J),
SUMIF('TL08'!C:C,C43,'TL08'!J:J),
SUMIF('TL09'!C:C,C43,'TL09'!J:J),
SUMIF('TL10'!C:C,C43,'TL10'!J:J),
SUMIF('TL11'!C:C,C43,'TL11'!J:J),
SUMIF('TL12'!C:C,C43,'TL12'!J:J),
SUMIF('TL13'!C:C,C43,'TL13'!J:J),
SUMIF('TL14'!C:C,C43,'TL14'!J:J),
SUMIF('TL15'!C:C,C43,'TL15'!J:J),
SUMIF('TL16'!C:C,C43,'TL16'!J:J),
SUMIF('TL17'!C:C,C43,'TL17'!J:J),
SUMIF('TL18'!C:C,C43,'TL18'!J:J),SUMIF('TL19'!C:C,C43,'TL19'!J:J))
,0)</f>
        <v>1594.6</v>
      </c>
      <c r="S43" s="17">
        <f>IFERROR(__xludf.DUMMYFUNCTION("IFERROR(VLOOKUP(C43,
IMPORTRANGE(""1wULbzX32WdYsx-lj2U3uUNBBe2INVIRDtcK0d-Dvl90"",
""26-27!C:G""),
5,
FALSE),
"""")"),170.55360000000002)</f>
        <v>170.5536</v>
      </c>
      <c r="T43" s="9">
        <v>20.0</v>
      </c>
      <c r="U43" s="92">
        <f t="shared" si="2"/>
        <v>1574.6</v>
      </c>
      <c r="V43" s="93">
        <f t="shared" si="3"/>
        <v>268553.6986</v>
      </c>
    </row>
    <row r="44" ht="15.75" hidden="1" customHeight="1">
      <c r="A44" s="115" t="s">
        <v>345</v>
      </c>
      <c r="B44" s="100" t="s">
        <v>0</v>
      </c>
      <c r="C44" s="116" t="s">
        <v>447</v>
      </c>
      <c r="D44" s="116" t="s">
        <v>448</v>
      </c>
      <c r="E44" s="116" t="s">
        <v>449</v>
      </c>
      <c r="F44" s="4" t="s">
        <v>343</v>
      </c>
      <c r="G44" s="90" t="str">
        <f t="shared" si="4"/>
        <v>📄 Ver bula</v>
      </c>
      <c r="H44" s="9">
        <f>IFERROR(__xludf.DUMMYFUNCTION("IFERROR(VLOOKUP(C44,
IMPORTRANGE(""1wULbzX32WdYsx-lj2U3uUNBBe2INVIRDtcK0d-Dvl90"",
""26-27!C:K""),
8,
FALSE),
"""")"),0.3)</f>
        <v>0.3</v>
      </c>
      <c r="I44" s="117" t="s">
        <v>446</v>
      </c>
      <c r="J44" s="9">
        <f>IFERROR(SUM(
IF('TL01'!$B$3=J$3,SUMIF('TL01'!$C$10:$C$224,$C44,'TL01'!$J$10:$J$224),0),
IF('TL01'!$B$229=J$3,SUMIF('TL01'!$C$238:$C$451,$C44,'TL01'!$J$238:$J$451),0),
IF('TL02'!$B$3=J$3,SUMIF('TL02'!$C$10:$C$224,$C44,'TL02'!$J$10:$J$224),0),
IF('TL02'!$B$229=J$3,SUMIF('TL02'!$C$238:$C$451,$C44,'TL02'!$J$238:$J$451),0),
IF('TL03'!$B$3=J$3,SUMIF('TL03'!$C$10:$C$224,$C44,'TL03'!$J$10:$J$224),0),
IF('TL03'!$B$229=J$3,SUMIF('TL03'!$C$238:$C$451,$C44,'TL03'!$J$238:$J$451),0),
IF('TL04'!$B$3=J$3,SUMIF('TL04'!$C$10:$C$224,$C44,'TL04'!$J$10:$J$224),0),
IF('TL04'!$B$229=J$3,SUMIF('TL04'!$C$238:$C$451,$C44,'TL04'!$J$238:$J$451),0),
IF('TL05'!$B$3=J$3,SUMIF('TL05'!$C$10:$C$224,$C44,'TL05'!$J$10:$J$224),0),
IF('TL05'!$B$229=J$3,SUMIF('TL05'!$C$238:$C$451,$C44,'TL05'!$J$238:$J$451),0),
IF('TL06'!$B$3=J$3,SUMIF('TL06'!$C$10:$C$224,$C44,'TL06'!$J$10:$J$224),0),
IF('TL06'!$B$229=J$3,SUMIF('TL06'!$C$238:$C$451,$C44,'TL06'!$J$238:$J$451),0),
IF('TL07'!$B$3=J$3,SUMIF('TL07'!$C$10:$C$224,$C44,'TL07'!$J$10:$J$224),0),
IF('TL07'!$B$229=J$3,SUMIF('TL07'!$C$238:$C$451,$C44,'TL07'!$J$238:$J$451),0),
IF('TL08'!$B$3=J$3,SUMIF('TL08'!$C$10:$C$224,$C44,'TL08'!$J$10:$J$224),0),
IF('TL08'!$B$229=J$3,SUMIF('TL08'!$C$238:$C$451,$C44,'TL08'!$J$238:$J$451),0),
IF('TL09'!$B$3=J$3,SUMIF('TL09'!$C$10:$C$224,$C44,'TL09'!$J$10:$J$224),0),
IF('TL09'!$B$229=J$3,SUMIF('TL09'!$C$238:$C$451,$C44,'TL09'!$J$238:$J$451),0),
IF('TL10'!$B$3=J$3,SUMIF('TL10'!$C$10:$C$224,$C44,'TL10'!$J$10:$J$224),0),
IF('TL10'!$B$229=J$3,SUMIF('TL10'!$C$238:$C$451,$C44,'TL10'!$J$238:$J$451),0),
IF('TL11'!$B$3=J$3,SUMIF('TL11'!$C$10:$C$224,$C44,'TL11'!$J$10:$J$224),0),
IF('TL11'!$B$229=J$3,SUMIF('TL11'!$C$238:$C$451,$C44,'TL11'!$J$238:$J$451),0),
IF('TL12'!$B$3=J$3,SUMIF('TL12'!$C$10:$C$224,$C44,'TL12'!$J$10:$J$224),0),
IF('TL12'!$B$229=J$3,SUMIF('TL12'!$C$238:$C$451,$C44,'TL12'!$J$238:$J$451),0),
IF('TL13'!$B$3=J$3,SUMIF('TL13'!$C$10:$C$224,$C44,'TL13'!$J$10:$J$224),0),
IF('TL13'!$B$229=J$3,SUMIF('TL13'!$C$238:$C$451,$C44,'TL13'!$J$238:$J$451),0),
IF('TL14'!$B$3=J$3,SUMIF('TL14'!$C$10:$C$224,$C44,'TL14'!$J$10:$J$224),0),
IF('TL14'!$B$229=J$3,SUMIF('TL14'!$C$238:$C$451,$C44,'TL14'!$J$238:$J$451),0),
IF('TL15'!$B$3=J$3,SUMIF('TL15'!$C$10:$C$224,$C44,'TL15'!$J$10:$J$224),0),
IF('TL15'!$B$229=J$3,SUMIF('TL15'!$C$238:$C$451,$C44,'TL15'!$J$238:$J$451),0),
IF('TL16'!$B$3=J$3,SUMIF('TL16'!$C$10:$C$224,$C44,'TL16'!$J$10:$J$224),0),
IF('TL16'!$B$229=J$3,SUMIF('TL16'!$C$238:$C$451,$C44,'TL16'!$J$238:$J$451),0),
IF('TL17'!$B$3=J$3,SUMIF('TL17'!$C$10:$C$224,$C44,'TL17'!$J$10:$J$224),0),
IF('TL17'!$B$229=J$3,SUMIF('TL17'!$C$238:$C$451,$C44,'TL17'!$J$238:$J$451),0),
IF('TL18'!$B$3=J$3,SUMIF('TL18'!$C$10:$C$224,$C44,'TL18'!$J$10:$J$224),0),
IF('TL18'!$B$229=J$3,SUMIF('TL18'!$C$238:$C$451,$C44,'TL18'!$J$238:$J$451),0),
IF('TL19'!$B$3=J$3,SUMIF('TL19'!$C$10:$C$224,$C44,'TL19'!$J$10:$J$224),0),
IF('TL19'!$B$229=J$3,SUMIF('TL19'!$C$238:$C$451,$C44,'TL19'!$J$238:$J$451),0)
),0)</f>
        <v>0</v>
      </c>
      <c r="K44" s="9">
        <f>IFERROR(SUM(
IF('TL01'!$B$3=K$3,SUMIF('TL01'!$C$10:$C$224,$C44,'TL01'!$J$10:$J$224),0),
IF('TL01'!$B$229=K$3,SUMIF('TL01'!$C$238:$C$451,$C44,'TL01'!$J$238:$J$451),0),
IF('TL02'!$B$3=K$3,SUMIF('TL02'!$C$10:$C$224,$C44,'TL02'!$J$10:$J$224),0),
IF('TL02'!$B$229=K$3,SUMIF('TL02'!$C$238:$C$451,$C44,'TL02'!$J$238:$J$451),0),
IF('TL03'!$B$3=K$3,SUMIF('TL03'!$C$10:$C$224,$C44,'TL03'!$J$10:$J$224),0),
IF('TL03'!$B$229=K$3,SUMIF('TL03'!$C$238:$C$451,$C44,'TL03'!$J$238:$J$451),0),
IF('TL04'!$B$3=K$3,SUMIF('TL04'!$C$10:$C$224,$C44,'TL04'!$J$10:$J$224),0),
IF('TL04'!$B$229=K$3,SUMIF('TL04'!$C$238:$C$451,$C44,'TL04'!$J$238:$J$451),0),
IF('TL05'!$B$3=K$3,SUMIF('TL05'!$C$10:$C$224,$C44,'TL05'!$J$10:$J$224),0),
IF('TL05'!$B$229=K$3,SUMIF('TL05'!$C$238:$C$451,$C44,'TL05'!$J$238:$J$451),0),
IF('TL06'!$B$3=K$3,SUMIF('TL06'!$C$10:$C$224,$C44,'TL06'!$J$10:$J$224),0),
IF('TL06'!$B$229=K$3,SUMIF('TL06'!$C$238:$C$451,$C44,'TL06'!$J$238:$J$451),0),
IF('TL07'!$B$3=K$3,SUMIF('TL07'!$C$10:$C$224,$C44,'TL07'!$J$10:$J$224),0),
IF('TL07'!$B$229=K$3,SUMIF('TL07'!$C$238:$C$451,$C44,'TL07'!$J$238:$J$451),0),
IF('TL08'!$B$3=K$3,SUMIF('TL08'!$C$10:$C$224,$C44,'TL08'!$J$10:$J$224),0),
IF('TL08'!$B$229=K$3,SUMIF('TL08'!$C$238:$C$451,$C44,'TL08'!$J$238:$J$451),0),
IF('TL09'!$B$3=K$3,SUMIF('TL09'!$C$10:$C$224,$C44,'TL09'!$J$10:$J$224),0),
IF('TL09'!$B$229=K$3,SUMIF('TL09'!$C$238:$C$451,$C44,'TL09'!$J$238:$J$451),0),
IF('TL10'!$B$3=K$3,SUMIF('TL10'!$C$10:$C$224,$C44,'TL10'!$J$10:$J$224),0),
IF('TL10'!$B$229=K$3,SUMIF('TL10'!$C$238:$C$451,$C44,'TL10'!$J$238:$J$451),0),
IF('TL11'!$B$3=K$3,SUMIF('TL11'!$C$10:$C$224,$C44,'TL11'!$J$10:$J$224),0),
IF('TL11'!$B$229=K$3,SUMIF('TL11'!$C$238:$C$451,$C44,'TL11'!$J$238:$J$451),0),
IF('TL12'!$B$3=K$3,SUMIF('TL12'!$C$10:$C$224,$C44,'TL12'!$J$10:$J$224),0),
IF('TL12'!$B$229=K$3,SUMIF('TL12'!$C$238:$C$451,$C44,'TL12'!$J$238:$J$451),0),
IF('TL13'!$B$3=K$3,SUMIF('TL13'!$C$10:$C$224,$C44,'TL13'!$J$10:$J$224),0),
IF('TL13'!$B$229=K$3,SUMIF('TL13'!$C$238:$C$451,$C44,'TL13'!$J$238:$J$451),0),
IF('TL14'!$B$3=K$3,SUMIF('TL14'!$C$10:$C$224,$C44,'TL14'!$J$10:$J$224),0),
IF('TL14'!$B$229=K$3,SUMIF('TL14'!$C$238:$C$451,$C44,'TL14'!$J$238:$J$451),0),
IF('TL15'!$B$3=K$3,SUMIF('TL15'!$C$10:$C$224,$C44,'TL15'!$J$10:$J$224),0),
IF('TL15'!$B$229=K$3,SUMIF('TL15'!$C$238:$C$451,$C44,'TL15'!$J$238:$J$451),0),
IF('TL16'!$B$3=K$3,SUMIF('TL16'!$C$10:$C$224,$C44,'TL16'!$J$10:$J$224),0),
IF('TL16'!$B$229=K$3,SUMIF('TL16'!$C$238:$C$451,$C44,'TL16'!$J$238:$J$451),0),
IF('TL17'!$B$3=K$3,SUMIF('TL17'!$C$10:$C$224,$C44,'TL17'!$J$10:$J$224),0),
IF('TL17'!$B$229=K$3,SUMIF('TL17'!$C$238:$C$451,$C44,'TL17'!$J$238:$J$451),0),
IF('TL18'!$B$3=K$3,SUMIF('TL18'!$C$10:$C$224,$C44,'TL18'!$J$10:$J$224),0),
IF('TL18'!$B$229=K$3,SUMIF('TL18'!$C$238:$C$451,$C44,'TL18'!$J$238:$J$451),0),
IF('TL19'!$B$3=K$3,SUMIF('TL19'!$C$10:$C$224,$C44,'TL19'!$J$10:$J$224),0),
IF('TL19'!$B$229=K$3,SUMIF('TL19'!$C$238:$C$451,$C44,'TL19'!$J$238:$J$451),0)
),0)</f>
        <v>0</v>
      </c>
      <c r="L44" s="9">
        <f>IFERROR(SUM(
IF('TL01'!$B$3=L$3,SUMIF('TL01'!$C$10:$C$224,$C44,'TL01'!$J$10:$J$224),0),
IF('TL01'!$B$229=L$3,SUMIF('TL01'!$C$238:$C$451,$C44,'TL01'!$J$238:$J$451),0),
IF('TL02'!$B$3=L$3,SUMIF('TL02'!$C$10:$C$224,$C44,'TL02'!$J$10:$J$224),0),
IF('TL02'!$B$229=L$3,SUMIF('TL02'!$C$238:$C$451,$C44,'TL02'!$J$238:$J$451),0),
IF('TL03'!$B$3=L$3,SUMIF('TL03'!$C$10:$C$224,$C44,'TL03'!$J$10:$J$224),0),
IF('TL03'!$B$229=L$3,SUMIF('TL03'!$C$238:$C$451,$C44,'TL03'!$J$238:$J$451),0),
IF('TL04'!$B$3=L$3,SUMIF('TL04'!$C$10:$C$224,$C44,'TL04'!$J$10:$J$224),0),
IF('TL04'!$B$229=L$3,SUMIF('TL04'!$C$238:$C$451,$C44,'TL04'!$J$238:$J$451),0),
IF('TL05'!$B$3=L$3,SUMIF('TL05'!$C$10:$C$224,$C44,'TL05'!$J$10:$J$224),0),
IF('TL05'!$B$229=L$3,SUMIF('TL05'!$C$238:$C$451,$C44,'TL05'!$J$238:$J$451),0),
IF('TL06'!$B$3=L$3,SUMIF('TL06'!$C$10:$C$224,$C44,'TL06'!$J$10:$J$224),0),
IF('TL06'!$B$229=L$3,SUMIF('TL06'!$C$238:$C$451,$C44,'TL06'!$J$238:$J$451),0),
IF('TL07'!$B$3=L$3,SUMIF('TL07'!$C$10:$C$224,$C44,'TL07'!$J$10:$J$224),0),
IF('TL07'!$B$229=L$3,SUMIF('TL07'!$C$238:$C$451,$C44,'TL07'!$J$238:$J$451),0),
IF('TL08'!$B$3=L$3,SUMIF('TL08'!$C$10:$C$224,$C44,'TL08'!$J$10:$J$224),0),
IF('TL08'!$B$229=L$3,SUMIF('TL08'!$C$238:$C$451,$C44,'TL08'!$J$238:$J$451),0),
IF('TL09'!$B$3=L$3,SUMIF('TL09'!$C$10:$C$224,$C44,'TL09'!$J$10:$J$224),0),
IF('TL09'!$B$229=L$3,SUMIF('TL09'!$C$238:$C$451,$C44,'TL09'!$J$238:$J$451),0),
IF('TL10'!$B$3=L$3,SUMIF('TL10'!$C$10:$C$224,$C44,'TL10'!$J$10:$J$224),0),
IF('TL10'!$B$229=L$3,SUMIF('TL10'!$C$238:$C$451,$C44,'TL10'!$J$238:$J$451),0),
IF('TL11'!$B$3=L$3,SUMIF('TL11'!$C$10:$C$224,$C44,'TL11'!$J$10:$J$224),0),
IF('TL11'!$B$229=L$3,SUMIF('TL11'!$C$238:$C$451,$C44,'TL11'!$J$238:$J$451),0),
IF('TL12'!$B$3=L$3,SUMIF('TL12'!$C$10:$C$224,$C44,'TL12'!$J$10:$J$224),0),
IF('TL12'!$B$229=L$3,SUMIF('TL12'!$C$238:$C$451,$C44,'TL12'!$J$238:$J$451),0),
IF('TL13'!$B$3=L$3,SUMIF('TL13'!$C$10:$C$224,$C44,'TL13'!$J$10:$J$224),0),
IF('TL13'!$B$229=L$3,SUMIF('TL13'!$C$238:$C$451,$C44,'TL13'!$J$238:$J$451),0),
IF('TL14'!$B$3=L$3,SUMIF('TL14'!$C$10:$C$224,$C44,'TL14'!$J$10:$J$224),0),
IF('TL14'!$B$229=L$3,SUMIF('TL14'!$C$238:$C$451,$C44,'TL14'!$J$238:$J$451),0),
IF('TL15'!$B$3=L$3,SUMIF('TL15'!$C$10:$C$224,$C44,'TL15'!$J$10:$J$224),0),
IF('TL15'!$B$229=L$3,SUMIF('TL15'!$C$238:$C$451,$C44,'TL15'!$J$238:$J$451),0),
IF('TL16'!$B$3=L$3,SUMIF('TL16'!$C$10:$C$224,$C44,'TL16'!$J$10:$J$224),0),
IF('TL16'!$B$229=L$3,SUMIF('TL16'!$C$238:$C$451,$C44,'TL16'!$J$238:$J$451),0),
IF('TL17'!$B$3=L$3,SUMIF('TL17'!$C$10:$C$224,$C44,'TL17'!$J$10:$J$224),0),
IF('TL17'!$B$229=L$3,SUMIF('TL17'!$C$238:$C$451,$C44,'TL17'!$J$238:$J$451),0),
IF('TL18'!$B$3=L$3,SUMIF('TL18'!$C$10:$C$224,$C44,'TL18'!$J$10:$J$224),0),
IF('TL18'!$B$229=L$3,SUMIF('TL18'!$C$238:$C$451,$C44,'TL18'!$J$238:$J$451),0),
IF('TL19'!$B$3=L$3,SUMIF('TL19'!$C$10:$C$224,$C44,'TL19'!$J$10:$J$224),0),
IF('TL19'!$B$229=L$3,SUMIF('TL19'!$C$238:$C$451,$C44,'TL19'!$J$238:$J$451),0)
),0)</f>
        <v>0</v>
      </c>
      <c r="M44" s="9">
        <f>IFERROR(SUM(
IF('TL01'!$B$3=M$3,SUMIF('TL01'!$C$10:$C$224,$C44,'TL01'!$J$10:$J$224),0),
IF('TL01'!$B$229=M$3,SUMIF('TL01'!$C$238:$C$451,$C44,'TL01'!$J$238:$J$451),0),
IF('TL02'!$B$3=M$3,SUMIF('TL02'!$C$10:$C$224,$C44,'TL02'!$J$10:$J$224),0),
IF('TL02'!$B$229=M$3,SUMIF('TL02'!$C$238:$C$451,$C44,'TL02'!$J$238:$J$451),0),
IF('TL03'!$B$3=M$3,SUMIF('TL03'!$C$10:$C$224,$C44,'TL03'!$J$10:$J$224),0),
IF('TL03'!$B$229=M$3,SUMIF('TL03'!$C$238:$C$451,$C44,'TL03'!$J$238:$J$451),0),
IF('TL04'!$B$3=M$3,SUMIF('TL04'!$C$10:$C$224,$C44,'TL04'!$J$10:$J$224),0),
IF('TL04'!$B$229=M$3,SUMIF('TL04'!$C$238:$C$451,$C44,'TL04'!$J$238:$J$451),0),
IF('TL05'!$B$3=M$3,SUMIF('TL05'!$C$10:$C$224,$C44,'TL05'!$J$10:$J$224),0),
IF('TL05'!$B$229=M$3,SUMIF('TL05'!$C$238:$C$451,$C44,'TL05'!$J$238:$J$451),0),
IF('TL06'!$B$3=M$3,SUMIF('TL06'!$C$10:$C$224,$C44,'TL06'!$J$10:$J$224),0),
IF('TL06'!$B$229=M$3,SUMIF('TL06'!$C$238:$C$451,$C44,'TL06'!$J$238:$J$451),0),
IF('TL07'!$B$3=M$3,SUMIF('TL07'!$C$10:$C$224,$C44,'TL07'!$J$10:$J$224),0),
IF('TL07'!$B$229=M$3,SUMIF('TL07'!$C$238:$C$451,$C44,'TL07'!$J$238:$J$451),0),
IF('TL08'!$B$3=M$3,SUMIF('TL08'!$C$10:$C$224,$C44,'TL08'!$J$10:$J$224),0),
IF('TL08'!$B$229=M$3,SUMIF('TL08'!$C$238:$C$451,$C44,'TL08'!$J$238:$J$451),0),
IF('TL09'!$B$3=M$3,SUMIF('TL09'!$C$10:$C$224,$C44,'TL09'!$J$10:$J$224),0),
IF('TL09'!$B$229=M$3,SUMIF('TL09'!$C$238:$C$451,$C44,'TL09'!$J$238:$J$451),0),
IF('TL10'!$B$3=M$3,SUMIF('TL10'!$C$10:$C$224,$C44,'TL10'!$J$10:$J$224),0),
IF('TL10'!$B$229=M$3,SUMIF('TL10'!$C$238:$C$451,$C44,'TL10'!$J$238:$J$451),0),
IF('TL11'!$B$3=M$3,SUMIF('TL11'!$C$10:$C$224,$C44,'TL11'!$J$10:$J$224),0),
IF('TL11'!$B$229=M$3,SUMIF('TL11'!$C$238:$C$451,$C44,'TL11'!$J$238:$J$451),0),
IF('TL12'!$B$3=M$3,SUMIF('TL12'!$C$10:$C$224,$C44,'TL12'!$J$10:$J$224),0),
IF('TL12'!$B$229=M$3,SUMIF('TL12'!$C$238:$C$451,$C44,'TL12'!$J$238:$J$451),0),
IF('TL13'!$B$3=M$3,SUMIF('TL13'!$C$10:$C$224,$C44,'TL13'!$J$10:$J$224),0),
IF('TL13'!$B$229=M$3,SUMIF('TL13'!$C$238:$C$451,$C44,'TL13'!$J$238:$J$451),0),
IF('TL14'!$B$3=M$3,SUMIF('TL14'!$C$10:$C$224,$C44,'TL14'!$J$10:$J$224),0),
IF('TL14'!$B$229=M$3,SUMIF('TL14'!$C$238:$C$451,$C44,'TL14'!$J$238:$J$451),0),
IF('TL15'!$B$3=M$3,SUMIF('TL15'!$C$10:$C$224,$C44,'TL15'!$J$10:$J$224),0),
IF('TL15'!$B$229=M$3,SUMIF('TL15'!$C$238:$C$451,$C44,'TL15'!$J$238:$J$451),0),
IF('TL16'!$B$3=M$3,SUMIF('TL16'!$C$10:$C$224,$C44,'TL16'!$J$10:$J$224),0),
IF('TL16'!$B$229=M$3,SUMIF('TL16'!$C$238:$C$451,$C44,'TL16'!$J$238:$J$451),0),
IF('TL17'!$B$3=M$3,SUMIF('TL17'!$C$10:$C$224,$C44,'TL17'!$J$10:$J$224),0),
IF('TL17'!$B$229=M$3,SUMIF('TL17'!$C$238:$C$451,$C44,'TL17'!$J$238:$J$451),0),
IF('TL18'!$B$3=M$3,SUMIF('TL18'!$C$10:$C$224,$C44,'TL18'!$J$10:$J$224),0),
IF('TL18'!$B$229=M$3,SUMIF('TL18'!$C$238:$C$451,$C44,'TL18'!$J$238:$J$451),0),
IF('TL19'!$B$3=M$3,SUMIF('TL19'!$C$10:$C$224,$C44,'TL19'!$J$10:$J$224),0),
IF('TL19'!$B$229=M$3,SUMIF('TL19'!$C$238:$C$451,$C44,'TL19'!$J$238:$J$451),0)
),0)</f>
        <v>0</v>
      </c>
      <c r="N44" s="9">
        <f>IFERROR(SUM(
IF('TL01'!$B$3=N$3,SUMIF('TL01'!$C$10:$C$224,$C44,'TL01'!$J$10:$J$224),0),
IF('TL01'!$B$229=N$3,SUMIF('TL01'!$C$238:$C$451,$C44,'TL01'!$J$238:$J$451),0),
IF('TL02'!$B$3=N$3,SUMIF('TL02'!$C$10:$C$224,$C44,'TL02'!$J$10:$J$224),0),
IF('TL02'!$B$229=N$3,SUMIF('TL02'!$C$238:$C$451,$C44,'TL02'!$J$238:$J$451),0),
IF('TL03'!$B$3=N$3,SUMIF('TL03'!$C$10:$C$224,$C44,'TL03'!$J$10:$J$224),0),
IF('TL03'!$B$229=N$3,SUMIF('TL03'!$C$238:$C$451,$C44,'TL03'!$J$238:$J$451),0),
IF('TL04'!$B$3=N$3,SUMIF('TL04'!$C$10:$C$224,$C44,'TL04'!$J$10:$J$224),0),
IF('TL04'!$B$229=N$3,SUMIF('TL04'!$C$238:$C$451,$C44,'TL04'!$J$238:$J$451),0),
IF('TL05'!$B$3=N$3,SUMIF('TL05'!$C$10:$C$224,$C44,'TL05'!$J$10:$J$224),0),
IF('TL05'!$B$229=N$3,SUMIF('TL05'!$C$238:$C$451,$C44,'TL05'!$J$238:$J$451),0),
IF('TL06'!$B$3=N$3,SUMIF('TL06'!$C$10:$C$224,$C44,'TL06'!$J$10:$J$224),0),
IF('TL06'!$B$229=N$3,SUMIF('TL06'!$C$238:$C$451,$C44,'TL06'!$J$238:$J$451),0),
IF('TL07'!$B$3=N$3,SUMIF('TL07'!$C$10:$C$224,$C44,'TL07'!$J$10:$J$224),0),
IF('TL07'!$B$229=N$3,SUMIF('TL07'!$C$238:$C$451,$C44,'TL07'!$J$238:$J$451),0),
IF('TL08'!$B$3=N$3,SUMIF('TL08'!$C$10:$C$224,$C44,'TL08'!$J$10:$J$224),0),
IF('TL08'!$B$229=N$3,SUMIF('TL08'!$C$238:$C$451,$C44,'TL08'!$J$238:$J$451),0),
IF('TL09'!$B$3=N$3,SUMIF('TL09'!$C$10:$C$224,$C44,'TL09'!$J$10:$J$224),0),
IF('TL09'!$B$229=N$3,SUMIF('TL09'!$C$238:$C$451,$C44,'TL09'!$J$238:$J$451),0),
IF('TL10'!$B$3=N$3,SUMIF('TL10'!$C$10:$C$224,$C44,'TL10'!$J$10:$J$224),0),
IF('TL10'!$B$229=N$3,SUMIF('TL10'!$C$238:$C$451,$C44,'TL10'!$J$238:$J$451),0),
IF('TL11'!$B$3=N$3,SUMIF('TL11'!$C$10:$C$224,$C44,'TL11'!$J$10:$J$224),0),
IF('TL11'!$B$229=N$3,SUMIF('TL11'!$C$238:$C$451,$C44,'TL11'!$J$238:$J$451),0),
IF('TL12'!$B$3=N$3,SUMIF('TL12'!$C$10:$C$224,$C44,'TL12'!$J$10:$J$224),0),
IF('TL12'!$B$229=N$3,SUMIF('TL12'!$C$238:$C$451,$C44,'TL12'!$J$238:$J$451),0),
IF('TL13'!$B$3=N$3,SUMIF('TL13'!$C$10:$C$224,$C44,'TL13'!$J$10:$J$224),0),
IF('TL13'!$B$229=N$3,SUMIF('TL13'!$C$238:$C$451,$C44,'TL13'!$J$238:$J$451),0),
IF('TL14'!$B$3=N$3,SUMIF('TL14'!$C$10:$C$224,$C44,'TL14'!$J$10:$J$224),0),
IF('TL14'!$B$229=N$3,SUMIF('TL14'!$C$238:$C$451,$C44,'TL14'!$J$238:$J$451),0),
IF('TL15'!$B$3=N$3,SUMIF('TL15'!$C$10:$C$224,$C44,'TL15'!$J$10:$J$224),0),
IF('TL15'!$B$229=N$3,SUMIF('TL15'!$C$238:$C$451,$C44,'TL15'!$J$238:$J$451),0),
IF('TL16'!$B$3=N$3,SUMIF('TL16'!$C$10:$C$224,$C44,'TL16'!$J$10:$J$224),0),
IF('TL16'!$B$229=N$3,SUMIF('TL16'!$C$238:$C$451,$C44,'TL16'!$J$238:$J$451),0),
IF('TL17'!$B$3=N$3,SUMIF('TL17'!$C$10:$C$224,$C44,'TL17'!$J$10:$J$224),0),
IF('TL17'!$B$229=N$3,SUMIF('TL17'!$C$238:$C$451,$C44,'TL17'!$J$238:$J$451),0),
IF('TL18'!$B$3=N$3,SUMIF('TL18'!$C$10:$C$224,$C44,'TL18'!$J$10:$J$224),0),
IF('TL18'!$B$229=N$3,SUMIF('TL18'!$C$238:$C$451,$C44,'TL18'!$J$238:$J$451),0),
IF('TL19'!$B$3=N$3,SUMIF('TL19'!$C$10:$C$224,$C44,'TL19'!$J$10:$J$224),0),
IF('TL19'!$B$229=N$3,SUMIF('TL19'!$C$238:$C$451,$C44,'TL19'!$J$238:$J$451),0)
),0)</f>
        <v>0</v>
      </c>
      <c r="O44" s="9">
        <f>IFERROR(SUM(
IF('TL01'!$B$3=O$3,SUMIF('TL01'!$C$10:$C$224,$C44,'TL01'!$J$10:$J$224),0),
IF('TL01'!$B$229=O$3,SUMIF('TL01'!$C$238:$C$451,$C44,'TL01'!$J$238:$J$451),0),
IF('TL02'!$B$3=O$3,SUMIF('TL02'!$C$10:$C$224,$C44,'TL02'!$J$10:$J$224),0),
IF('TL02'!$B$229=O$3,SUMIF('TL02'!$C$238:$C$451,$C44,'TL02'!$J$238:$J$451),0),
IF('TL03'!$B$3=O$3,SUMIF('TL03'!$C$10:$C$224,$C44,'TL03'!$J$10:$J$224),0),
IF('TL03'!$B$229=O$3,SUMIF('TL03'!$C$238:$C$451,$C44,'TL03'!$J$238:$J$451),0),
IF('TL04'!$B$3=O$3,SUMIF('TL04'!$C$10:$C$224,$C44,'TL04'!$J$10:$J$224),0),
IF('TL04'!$B$229=O$3,SUMIF('TL04'!$C$238:$C$451,$C44,'TL04'!$J$238:$J$451),0),
IF('TL05'!$B$3=O$3,SUMIF('TL05'!$C$10:$C$224,$C44,'TL05'!$J$10:$J$224),0),
IF('TL05'!$B$229=O$3,SUMIF('TL05'!$C$238:$C$451,$C44,'TL05'!$J$238:$J$451),0),
IF('TL06'!$B$3=O$3,SUMIF('TL06'!$C$10:$C$224,$C44,'TL06'!$J$10:$J$224),0),
IF('TL06'!$B$229=O$3,SUMIF('TL06'!$C$238:$C$451,$C44,'TL06'!$J$238:$J$451),0),
IF('TL07'!$B$3=O$3,SUMIF('TL07'!$C$10:$C$224,$C44,'TL07'!$J$10:$J$224),0),
IF('TL07'!$B$229=O$3,SUMIF('TL07'!$C$238:$C$451,$C44,'TL07'!$J$238:$J$451),0),
IF('TL08'!$B$3=O$3,SUMIF('TL08'!$C$10:$C$224,$C44,'TL08'!$J$10:$J$224),0),
IF('TL08'!$B$229=O$3,SUMIF('TL08'!$C$238:$C$451,$C44,'TL08'!$J$238:$J$451),0),
IF('TL09'!$B$3=O$3,SUMIF('TL09'!$C$10:$C$224,$C44,'TL09'!$J$10:$J$224),0),
IF('TL09'!$B$229=O$3,SUMIF('TL09'!$C$238:$C$451,$C44,'TL09'!$J$238:$J$451),0),
IF('TL10'!$B$3=O$3,SUMIF('TL10'!$C$10:$C$224,$C44,'TL10'!$J$10:$J$224),0),
IF('TL10'!$B$229=O$3,SUMIF('TL10'!$C$238:$C$451,$C44,'TL10'!$J$238:$J$451),0),
IF('TL11'!$B$3=O$3,SUMIF('TL11'!$C$10:$C$224,$C44,'TL11'!$J$10:$J$224),0),
IF('TL11'!$B$229=O$3,SUMIF('TL11'!$C$238:$C$451,$C44,'TL11'!$J$238:$J$451),0),
IF('TL12'!$B$3=O$3,SUMIF('TL12'!$C$10:$C$224,$C44,'TL12'!$J$10:$J$224),0),
IF('TL12'!$B$229=O$3,SUMIF('TL12'!$C$238:$C$451,$C44,'TL12'!$J$238:$J$451),0),
IF('TL13'!$B$3=O$3,SUMIF('TL13'!$C$10:$C$224,$C44,'TL13'!$J$10:$J$224),0),
IF('TL13'!$B$229=O$3,SUMIF('TL13'!$C$238:$C$451,$C44,'TL13'!$J$238:$J$451),0),
IF('TL14'!$B$3=O$3,SUMIF('TL14'!$C$10:$C$224,$C44,'TL14'!$J$10:$J$224),0),
IF('TL14'!$B$229=O$3,SUMIF('TL14'!$C$238:$C$451,$C44,'TL14'!$J$238:$J$451),0),
IF('TL15'!$B$3=O$3,SUMIF('TL15'!$C$10:$C$224,$C44,'TL15'!$J$10:$J$224),0),
IF('TL15'!$B$229=O$3,SUMIF('TL15'!$C$238:$C$451,$C44,'TL15'!$J$238:$J$451),0),
IF('TL16'!$B$3=O$3,SUMIF('TL16'!$C$10:$C$224,$C44,'TL16'!$J$10:$J$224),0),
IF('TL16'!$B$229=O$3,SUMIF('TL16'!$C$238:$C$451,$C44,'TL16'!$J$238:$J$451),0),
IF('TL17'!$B$3=O$3,SUMIF('TL17'!$C$10:$C$224,$C44,'TL17'!$J$10:$J$224),0),
IF('TL17'!$B$229=O$3,SUMIF('TL17'!$C$238:$C$451,$C44,'TL17'!$J$238:$J$451),0),
IF('TL18'!$B$3=O$3,SUMIF('TL18'!$C$10:$C$224,$C44,'TL18'!$J$10:$J$224),0),
IF('TL18'!$B$229=O$3,SUMIF('TL18'!$C$238:$C$451,$C44,'TL18'!$J$238:$J$451),0),
IF('TL19'!$B$3=O$3,SUMIF('TL19'!$C$10:$C$224,$C44,'TL19'!$J$10:$J$224),0),
IF('TL19'!$B$229=O$3,SUMIF('TL19'!$C$238:$C$451,$C44,'TL19'!$J$238:$J$451),0)
),0)</f>
        <v>0</v>
      </c>
      <c r="P44" s="9">
        <f>IFERROR(SUM(
IF('TL01'!$B$3=P$3,SUMIF('TL01'!$C$10:$C$224,$C44,'TL01'!$J$10:$J$224),0),
IF('TL01'!$B$229=P$3,SUMIF('TL01'!$C$238:$C$451,$C44,'TL01'!$J$238:$J$451),0),
IF('TL02'!$B$3=P$3,SUMIF('TL02'!$C$10:$C$224,$C44,'TL02'!$J$10:$J$224),0),
IF('TL02'!$B$229=P$3,SUMIF('TL02'!$C$238:$C$451,$C44,'TL02'!$J$238:$J$451),0),
IF('TL03'!$B$3=P$3,SUMIF('TL03'!$C$10:$C$224,$C44,'TL03'!$J$10:$J$224),0),
IF('TL03'!$B$229=P$3,SUMIF('TL03'!$C$238:$C$451,$C44,'TL03'!$J$238:$J$451),0),
IF('TL04'!$B$3=P$3,SUMIF('TL04'!$C$10:$C$224,$C44,'TL04'!$J$10:$J$224),0),
IF('TL04'!$B$229=P$3,SUMIF('TL04'!$C$238:$C$451,$C44,'TL04'!$J$238:$J$451),0),
IF('TL05'!$B$3=P$3,SUMIF('TL05'!$C$10:$C$224,$C44,'TL05'!$J$10:$J$224),0),
IF('TL05'!$B$229=P$3,SUMIF('TL05'!$C$238:$C$451,$C44,'TL05'!$J$238:$J$451),0),
IF('TL06'!$B$3=P$3,SUMIF('TL06'!$C$10:$C$224,$C44,'TL06'!$J$10:$J$224),0),
IF('TL06'!$B$229=P$3,SUMIF('TL06'!$C$238:$C$451,$C44,'TL06'!$J$238:$J$451),0),
IF('TL07'!$B$3=P$3,SUMIF('TL07'!$C$10:$C$224,$C44,'TL07'!$J$10:$J$224),0),
IF('TL07'!$B$229=P$3,SUMIF('TL07'!$C$238:$C$451,$C44,'TL07'!$J$238:$J$451),0),
IF('TL08'!$B$3=P$3,SUMIF('TL08'!$C$10:$C$224,$C44,'TL08'!$J$10:$J$224),0),
IF('TL08'!$B$229=P$3,SUMIF('TL08'!$C$238:$C$451,$C44,'TL08'!$J$238:$J$451),0),
IF('TL09'!$B$3=P$3,SUMIF('TL09'!$C$10:$C$224,$C44,'TL09'!$J$10:$J$224),0),
IF('TL09'!$B$229=P$3,SUMIF('TL09'!$C$238:$C$451,$C44,'TL09'!$J$238:$J$451),0),
IF('TL10'!$B$3=P$3,SUMIF('TL10'!$C$10:$C$224,$C44,'TL10'!$J$10:$J$224),0),
IF('TL10'!$B$229=P$3,SUMIF('TL10'!$C$238:$C$451,$C44,'TL10'!$J$238:$J$451),0),
IF('TL11'!$B$3=P$3,SUMIF('TL11'!$C$10:$C$224,$C44,'TL11'!$J$10:$J$224),0),
IF('TL11'!$B$229=P$3,SUMIF('TL11'!$C$238:$C$451,$C44,'TL11'!$J$238:$J$451),0),
IF('TL12'!$B$3=P$3,SUMIF('TL12'!$C$10:$C$224,$C44,'TL12'!$J$10:$J$224),0),
IF('TL12'!$B$229=P$3,SUMIF('TL12'!$C$238:$C$451,$C44,'TL12'!$J$238:$J$451),0),
IF('TL13'!$B$3=P$3,SUMIF('TL13'!$C$10:$C$224,$C44,'TL13'!$J$10:$J$224),0),
IF('TL13'!$B$229=P$3,SUMIF('TL13'!$C$238:$C$451,$C44,'TL13'!$J$238:$J$451),0),
IF('TL14'!$B$3=P$3,SUMIF('TL14'!$C$10:$C$224,$C44,'TL14'!$J$10:$J$224),0),
IF('TL14'!$B$229=P$3,SUMIF('TL14'!$C$238:$C$451,$C44,'TL14'!$J$238:$J$451),0),
IF('TL15'!$B$3=P$3,SUMIF('TL15'!$C$10:$C$224,$C44,'TL15'!$J$10:$J$224),0),
IF('TL15'!$B$229=P$3,SUMIF('TL15'!$C$238:$C$451,$C44,'TL15'!$J$238:$J$451),0),
IF('TL16'!$B$3=P$3,SUMIF('TL16'!$C$10:$C$224,$C44,'TL16'!$J$10:$J$224),0),
IF('TL16'!$B$229=P$3,SUMIF('TL16'!$C$238:$C$451,$C44,'TL16'!$J$238:$J$451),0),
IF('TL17'!$B$3=P$3,SUMIF('TL17'!$C$10:$C$224,$C44,'TL17'!$J$10:$J$224),0),
IF('TL17'!$B$229=P$3,SUMIF('TL17'!$C$238:$C$451,$C44,'TL17'!$J$238:$J$451),0),
IF('TL18'!$B$3=P$3,SUMIF('TL18'!$C$10:$C$224,$C44,'TL18'!$J$10:$J$224),0),
IF('TL18'!$B$229=P$3,SUMIF('TL18'!$C$238:$C$451,$C44,'TL18'!$J$238:$J$451),0),
IF('TL19'!$B$3=P$3,SUMIF('TL19'!$C$10:$C$224,$C44,'TL19'!$J$10:$J$224),0),
IF('TL19'!$B$229=P$3,SUMIF('TL19'!$C$238:$C$451,$C44,'TL19'!$J$238:$J$451),0)
),0)</f>
        <v>0</v>
      </c>
      <c r="Q44" s="9">
        <f>IFERROR(SUM(
IF('TL01'!$B$3=Q$3,SUMIF('TL01'!$C$10:$C$224,$C44,'TL01'!$J$10:$J$224),0),
IF('TL01'!$B$229=Q$3,SUMIF('TL01'!$C$238:$C$451,$C44,'TL01'!$J$238:$J$451),0),
IF('TL02'!$B$3=Q$3,SUMIF('TL02'!$C$10:$C$224,$C44,'TL02'!$J$10:$J$224),0),
IF('TL02'!$B$229=Q$3,SUMIF('TL02'!$C$238:$C$451,$C44,'TL02'!$J$238:$J$451),0),
IF('TL03'!$B$3=Q$3,SUMIF('TL03'!$C$10:$C$224,$C44,'TL03'!$J$10:$J$224),0),
IF('TL03'!$B$229=Q$3,SUMIF('TL03'!$C$238:$C$451,$C44,'TL03'!$J$238:$J$451),0),
IF('TL04'!$B$3=Q$3,SUMIF('TL04'!$C$10:$C$224,$C44,'TL04'!$J$10:$J$224),0),
IF('TL04'!$B$229=Q$3,SUMIF('TL04'!$C$238:$C$451,$C44,'TL04'!$J$238:$J$451),0),
IF('TL05'!$B$3=Q$3,SUMIF('TL05'!$C$10:$C$224,$C44,'TL05'!$J$10:$J$224),0),
IF('TL05'!$B$229=Q$3,SUMIF('TL05'!$C$238:$C$451,$C44,'TL05'!$J$238:$J$451),0),
IF('TL06'!$B$3=Q$3,SUMIF('TL06'!$C$10:$C$224,$C44,'TL06'!$J$10:$J$224),0),
IF('TL06'!$B$229=Q$3,SUMIF('TL06'!$C$238:$C$451,$C44,'TL06'!$J$238:$J$451),0),
IF('TL07'!$B$3=Q$3,SUMIF('TL07'!$C$10:$C$224,$C44,'TL07'!$J$10:$J$224),0),
IF('TL07'!$B$229=Q$3,SUMIF('TL07'!$C$238:$C$451,$C44,'TL07'!$J$238:$J$451),0),
IF('TL08'!$B$3=Q$3,SUMIF('TL08'!$C$10:$C$224,$C44,'TL08'!$J$10:$J$224),0),
IF('TL08'!$B$229=Q$3,SUMIF('TL08'!$C$238:$C$451,$C44,'TL08'!$J$238:$J$451),0),
IF('TL09'!$B$3=Q$3,SUMIF('TL09'!$C$10:$C$224,$C44,'TL09'!$J$10:$J$224),0),
IF('TL09'!$B$229=Q$3,SUMIF('TL09'!$C$238:$C$451,$C44,'TL09'!$J$238:$J$451),0),
IF('TL10'!$B$3=Q$3,SUMIF('TL10'!$C$10:$C$224,$C44,'TL10'!$J$10:$J$224),0),
IF('TL10'!$B$229=Q$3,SUMIF('TL10'!$C$238:$C$451,$C44,'TL10'!$J$238:$J$451),0),
IF('TL11'!$B$3=Q$3,SUMIF('TL11'!$C$10:$C$224,$C44,'TL11'!$J$10:$J$224),0),
IF('TL11'!$B$229=Q$3,SUMIF('TL11'!$C$238:$C$451,$C44,'TL11'!$J$238:$J$451),0),
IF('TL12'!$B$3=Q$3,SUMIF('TL12'!$C$10:$C$224,$C44,'TL12'!$J$10:$J$224),0),
IF('TL12'!$B$229=Q$3,SUMIF('TL12'!$C$238:$C$451,$C44,'TL12'!$J$238:$J$451),0),
IF('TL13'!$B$3=Q$3,SUMIF('TL13'!$C$10:$C$224,$C44,'TL13'!$J$10:$J$224),0),
IF('TL13'!$B$229=Q$3,SUMIF('TL13'!$C$238:$C$451,$C44,'TL13'!$J$238:$J$451),0),
IF('TL14'!$B$3=Q$3,SUMIF('TL14'!$C$10:$C$224,$C44,'TL14'!$J$10:$J$224),0),
IF('TL14'!$B$229=Q$3,SUMIF('TL14'!$C$238:$C$451,$C44,'TL14'!$J$238:$J$451),0),
IF('TL15'!$B$3=Q$3,SUMIF('TL15'!$C$10:$C$224,$C44,'TL15'!$J$10:$J$224),0),
IF('TL15'!$B$229=Q$3,SUMIF('TL15'!$C$238:$C$451,$C44,'TL15'!$J$238:$J$451),0),
IF('TL16'!$B$3=Q$3,SUMIF('TL16'!$C$10:$C$224,$C44,'TL16'!$J$10:$J$224),0),
IF('TL16'!$B$229=Q$3,SUMIF('TL16'!$C$238:$C$451,$C44,'TL16'!$J$238:$J$451),0),
IF('TL17'!$B$3=Q$3,SUMIF('TL17'!$C$10:$C$224,$C44,'TL17'!$J$10:$J$224),0),
IF('TL17'!$B$229=Q$3,SUMIF('TL17'!$C$238:$C$451,$C44,'TL17'!$J$238:$J$451),0),
IF('TL18'!$B$3=Q$3,SUMIF('TL18'!$C$10:$C$224,$C44,'TL18'!$J$10:$J$224),0),
IF('TL18'!$B$229=Q$3,SUMIF('TL18'!$C$238:$C$451,$C44,'TL18'!$J$238:$J$451),0),
IF('TL19'!$B$3=Q$3,SUMIF('TL19'!$C$10:$C$224,$C44,'TL19'!$J$10:$J$224),0),
IF('TL19'!$B$229=Q$3,SUMIF('TL19'!$C$238:$C$451,$C44,'TL19'!$J$238:$J$451),0)
),0)</f>
        <v>0</v>
      </c>
      <c r="R44" s="9">
        <f>IFERROR(
SUM(
SUMIF('TL01'!C:C,C44,'TL01'!J:J),
SUMIF('TL02'!C:C,C44,'TL02'!J:J),
SUMIF('TL03'!C:C,C44,'TL03'!J:J),
SUMIF('TL04'!C:C,C44,'TL04'!J:J),
SUMIF('TL05'!C:C,C44,'TL05'!J:J),
SUMIF('TL06'!C:C,C44,'TL06'!J:J),
SUMIF('TL07'!C:C,C44,'TL07'!J:J),
SUMIF('TL08'!C:C,C44,'TL08'!J:J),
SUMIF('TL09'!C:C,C44,'TL09'!J:J),
SUMIF('TL10'!C:C,C44,'TL10'!J:J),
SUMIF('TL11'!C:C,C44,'TL11'!J:J),
SUMIF('TL12'!C:C,C44,'TL12'!J:J),
SUMIF('TL13'!C:C,C44,'TL13'!J:J),
SUMIF('TL14'!C:C,C44,'TL14'!J:J),
SUMIF('TL15'!C:C,C44,'TL15'!J:J),
SUMIF('TL16'!C:C,C44,'TL16'!J:J),
SUMIF('TL17'!C:C,C44,'TL17'!J:J),
SUMIF('TL18'!C:C,C44,'TL18'!J:J),SUMIF('TL19'!C:C,C44,'TL19'!J:J))
,0)</f>
        <v>0</v>
      </c>
      <c r="S44" s="17">
        <f>IFERROR(__xludf.DUMMYFUNCTION("IFERROR(VLOOKUP(C44,
IMPORTRANGE(""1wULbzX32WdYsx-lj2U3uUNBBe2INVIRDtcK0d-Dvl90"",
""26-27!C:G""),
5,
FALSE),
"""")"),297.92736)</f>
        <v>297.92736</v>
      </c>
      <c r="T44" s="9"/>
      <c r="U44" s="92">
        <f t="shared" si="2"/>
        <v>0</v>
      </c>
      <c r="V44" s="93">
        <f t="shared" si="3"/>
        <v>0</v>
      </c>
    </row>
    <row r="45" ht="15.75" hidden="1" customHeight="1">
      <c r="A45" s="111" t="s">
        <v>345</v>
      </c>
      <c r="B45" s="112" t="s">
        <v>0</v>
      </c>
      <c r="C45" s="113" t="s">
        <v>450</v>
      </c>
      <c r="D45" s="113" t="s">
        <v>451</v>
      </c>
      <c r="E45" s="113">
        <v>500.0</v>
      </c>
      <c r="F45" s="4" t="s">
        <v>343</v>
      </c>
      <c r="G45" s="90" t="str">
        <f t="shared" si="4"/>
        <v>📄 Ver bula</v>
      </c>
      <c r="H45" s="9">
        <f>IFERROR(__xludf.DUMMYFUNCTION("IFERROR(VLOOKUP(C45,
IMPORTRANGE(""1wULbzX32WdYsx-lj2U3uUNBBe2INVIRDtcK0d-Dvl90"",
""26-27!C:K""),
8,
FALSE),
"""")"),0.3)</f>
        <v>0.3</v>
      </c>
      <c r="I45" s="114" t="s">
        <v>382</v>
      </c>
      <c r="J45" s="9">
        <f>IFERROR(SUM(
IF('TL01'!$B$3=J$3,SUMIF('TL01'!$C$10:$C$224,$C45,'TL01'!$J$10:$J$224),0),
IF('TL01'!$B$229=J$3,SUMIF('TL01'!$C$238:$C$451,$C45,'TL01'!$J$238:$J$451),0),
IF('TL02'!$B$3=J$3,SUMIF('TL02'!$C$10:$C$224,$C45,'TL02'!$J$10:$J$224),0),
IF('TL02'!$B$229=J$3,SUMIF('TL02'!$C$238:$C$451,$C45,'TL02'!$J$238:$J$451),0),
IF('TL03'!$B$3=J$3,SUMIF('TL03'!$C$10:$C$224,$C45,'TL03'!$J$10:$J$224),0),
IF('TL03'!$B$229=J$3,SUMIF('TL03'!$C$238:$C$451,$C45,'TL03'!$J$238:$J$451),0),
IF('TL04'!$B$3=J$3,SUMIF('TL04'!$C$10:$C$224,$C45,'TL04'!$J$10:$J$224),0),
IF('TL04'!$B$229=J$3,SUMIF('TL04'!$C$238:$C$451,$C45,'TL04'!$J$238:$J$451),0),
IF('TL05'!$B$3=J$3,SUMIF('TL05'!$C$10:$C$224,$C45,'TL05'!$J$10:$J$224),0),
IF('TL05'!$B$229=J$3,SUMIF('TL05'!$C$238:$C$451,$C45,'TL05'!$J$238:$J$451),0),
IF('TL06'!$B$3=J$3,SUMIF('TL06'!$C$10:$C$224,$C45,'TL06'!$J$10:$J$224),0),
IF('TL06'!$B$229=J$3,SUMIF('TL06'!$C$238:$C$451,$C45,'TL06'!$J$238:$J$451),0),
IF('TL07'!$B$3=J$3,SUMIF('TL07'!$C$10:$C$224,$C45,'TL07'!$J$10:$J$224),0),
IF('TL07'!$B$229=J$3,SUMIF('TL07'!$C$238:$C$451,$C45,'TL07'!$J$238:$J$451),0),
IF('TL08'!$B$3=J$3,SUMIF('TL08'!$C$10:$C$224,$C45,'TL08'!$J$10:$J$224),0),
IF('TL08'!$B$229=J$3,SUMIF('TL08'!$C$238:$C$451,$C45,'TL08'!$J$238:$J$451),0),
IF('TL09'!$B$3=J$3,SUMIF('TL09'!$C$10:$C$224,$C45,'TL09'!$J$10:$J$224),0),
IF('TL09'!$B$229=J$3,SUMIF('TL09'!$C$238:$C$451,$C45,'TL09'!$J$238:$J$451),0),
IF('TL10'!$B$3=J$3,SUMIF('TL10'!$C$10:$C$224,$C45,'TL10'!$J$10:$J$224),0),
IF('TL10'!$B$229=J$3,SUMIF('TL10'!$C$238:$C$451,$C45,'TL10'!$J$238:$J$451),0),
IF('TL11'!$B$3=J$3,SUMIF('TL11'!$C$10:$C$224,$C45,'TL11'!$J$10:$J$224),0),
IF('TL11'!$B$229=J$3,SUMIF('TL11'!$C$238:$C$451,$C45,'TL11'!$J$238:$J$451),0),
IF('TL12'!$B$3=J$3,SUMIF('TL12'!$C$10:$C$224,$C45,'TL12'!$J$10:$J$224),0),
IF('TL12'!$B$229=J$3,SUMIF('TL12'!$C$238:$C$451,$C45,'TL12'!$J$238:$J$451),0),
IF('TL13'!$B$3=J$3,SUMIF('TL13'!$C$10:$C$224,$C45,'TL13'!$J$10:$J$224),0),
IF('TL13'!$B$229=J$3,SUMIF('TL13'!$C$238:$C$451,$C45,'TL13'!$J$238:$J$451),0),
IF('TL14'!$B$3=J$3,SUMIF('TL14'!$C$10:$C$224,$C45,'TL14'!$J$10:$J$224),0),
IF('TL14'!$B$229=J$3,SUMIF('TL14'!$C$238:$C$451,$C45,'TL14'!$J$238:$J$451),0),
IF('TL15'!$B$3=J$3,SUMIF('TL15'!$C$10:$C$224,$C45,'TL15'!$J$10:$J$224),0),
IF('TL15'!$B$229=J$3,SUMIF('TL15'!$C$238:$C$451,$C45,'TL15'!$J$238:$J$451),0),
IF('TL16'!$B$3=J$3,SUMIF('TL16'!$C$10:$C$224,$C45,'TL16'!$J$10:$J$224),0),
IF('TL16'!$B$229=J$3,SUMIF('TL16'!$C$238:$C$451,$C45,'TL16'!$J$238:$J$451),0),
IF('TL17'!$B$3=J$3,SUMIF('TL17'!$C$10:$C$224,$C45,'TL17'!$J$10:$J$224),0),
IF('TL17'!$B$229=J$3,SUMIF('TL17'!$C$238:$C$451,$C45,'TL17'!$J$238:$J$451),0),
IF('TL18'!$B$3=J$3,SUMIF('TL18'!$C$10:$C$224,$C45,'TL18'!$J$10:$J$224),0),
IF('TL18'!$B$229=J$3,SUMIF('TL18'!$C$238:$C$451,$C45,'TL18'!$J$238:$J$451),0),
IF('TL19'!$B$3=J$3,SUMIF('TL19'!$C$10:$C$224,$C45,'TL19'!$J$10:$J$224),0),
IF('TL19'!$B$229=J$3,SUMIF('TL19'!$C$238:$C$451,$C45,'TL19'!$J$238:$J$451),0)
),0)</f>
        <v>0</v>
      </c>
      <c r="K45" s="9">
        <f>IFERROR(SUM(
IF('TL01'!$B$3=K$3,SUMIF('TL01'!$C$10:$C$224,$C45,'TL01'!$J$10:$J$224),0),
IF('TL01'!$B$229=K$3,SUMIF('TL01'!$C$238:$C$451,$C45,'TL01'!$J$238:$J$451),0),
IF('TL02'!$B$3=K$3,SUMIF('TL02'!$C$10:$C$224,$C45,'TL02'!$J$10:$J$224),0),
IF('TL02'!$B$229=K$3,SUMIF('TL02'!$C$238:$C$451,$C45,'TL02'!$J$238:$J$451),0),
IF('TL03'!$B$3=K$3,SUMIF('TL03'!$C$10:$C$224,$C45,'TL03'!$J$10:$J$224),0),
IF('TL03'!$B$229=K$3,SUMIF('TL03'!$C$238:$C$451,$C45,'TL03'!$J$238:$J$451),0),
IF('TL04'!$B$3=K$3,SUMIF('TL04'!$C$10:$C$224,$C45,'TL04'!$J$10:$J$224),0),
IF('TL04'!$B$229=K$3,SUMIF('TL04'!$C$238:$C$451,$C45,'TL04'!$J$238:$J$451),0),
IF('TL05'!$B$3=K$3,SUMIF('TL05'!$C$10:$C$224,$C45,'TL05'!$J$10:$J$224),0),
IF('TL05'!$B$229=K$3,SUMIF('TL05'!$C$238:$C$451,$C45,'TL05'!$J$238:$J$451),0),
IF('TL06'!$B$3=K$3,SUMIF('TL06'!$C$10:$C$224,$C45,'TL06'!$J$10:$J$224),0),
IF('TL06'!$B$229=K$3,SUMIF('TL06'!$C$238:$C$451,$C45,'TL06'!$J$238:$J$451),0),
IF('TL07'!$B$3=K$3,SUMIF('TL07'!$C$10:$C$224,$C45,'TL07'!$J$10:$J$224),0),
IF('TL07'!$B$229=K$3,SUMIF('TL07'!$C$238:$C$451,$C45,'TL07'!$J$238:$J$451),0),
IF('TL08'!$B$3=K$3,SUMIF('TL08'!$C$10:$C$224,$C45,'TL08'!$J$10:$J$224),0),
IF('TL08'!$B$229=K$3,SUMIF('TL08'!$C$238:$C$451,$C45,'TL08'!$J$238:$J$451),0),
IF('TL09'!$B$3=K$3,SUMIF('TL09'!$C$10:$C$224,$C45,'TL09'!$J$10:$J$224),0),
IF('TL09'!$B$229=K$3,SUMIF('TL09'!$C$238:$C$451,$C45,'TL09'!$J$238:$J$451),0),
IF('TL10'!$B$3=K$3,SUMIF('TL10'!$C$10:$C$224,$C45,'TL10'!$J$10:$J$224),0),
IF('TL10'!$B$229=K$3,SUMIF('TL10'!$C$238:$C$451,$C45,'TL10'!$J$238:$J$451),0),
IF('TL11'!$B$3=K$3,SUMIF('TL11'!$C$10:$C$224,$C45,'TL11'!$J$10:$J$224),0),
IF('TL11'!$B$229=K$3,SUMIF('TL11'!$C$238:$C$451,$C45,'TL11'!$J$238:$J$451),0),
IF('TL12'!$B$3=K$3,SUMIF('TL12'!$C$10:$C$224,$C45,'TL12'!$J$10:$J$224),0),
IF('TL12'!$B$229=K$3,SUMIF('TL12'!$C$238:$C$451,$C45,'TL12'!$J$238:$J$451),0),
IF('TL13'!$B$3=K$3,SUMIF('TL13'!$C$10:$C$224,$C45,'TL13'!$J$10:$J$224),0),
IF('TL13'!$B$229=K$3,SUMIF('TL13'!$C$238:$C$451,$C45,'TL13'!$J$238:$J$451),0),
IF('TL14'!$B$3=K$3,SUMIF('TL14'!$C$10:$C$224,$C45,'TL14'!$J$10:$J$224),0),
IF('TL14'!$B$229=K$3,SUMIF('TL14'!$C$238:$C$451,$C45,'TL14'!$J$238:$J$451),0),
IF('TL15'!$B$3=K$3,SUMIF('TL15'!$C$10:$C$224,$C45,'TL15'!$J$10:$J$224),0),
IF('TL15'!$B$229=K$3,SUMIF('TL15'!$C$238:$C$451,$C45,'TL15'!$J$238:$J$451),0),
IF('TL16'!$B$3=K$3,SUMIF('TL16'!$C$10:$C$224,$C45,'TL16'!$J$10:$J$224),0),
IF('TL16'!$B$229=K$3,SUMIF('TL16'!$C$238:$C$451,$C45,'TL16'!$J$238:$J$451),0),
IF('TL17'!$B$3=K$3,SUMIF('TL17'!$C$10:$C$224,$C45,'TL17'!$J$10:$J$224),0),
IF('TL17'!$B$229=K$3,SUMIF('TL17'!$C$238:$C$451,$C45,'TL17'!$J$238:$J$451),0),
IF('TL18'!$B$3=K$3,SUMIF('TL18'!$C$10:$C$224,$C45,'TL18'!$J$10:$J$224),0),
IF('TL18'!$B$229=K$3,SUMIF('TL18'!$C$238:$C$451,$C45,'TL18'!$J$238:$J$451),0),
IF('TL19'!$B$3=K$3,SUMIF('TL19'!$C$10:$C$224,$C45,'TL19'!$J$10:$J$224),0),
IF('TL19'!$B$229=K$3,SUMIF('TL19'!$C$238:$C$451,$C45,'TL19'!$J$238:$J$451),0)
),0)</f>
        <v>0</v>
      </c>
      <c r="L45" s="9">
        <f>IFERROR(SUM(
IF('TL01'!$B$3=L$3,SUMIF('TL01'!$C$10:$C$224,$C45,'TL01'!$J$10:$J$224),0),
IF('TL01'!$B$229=L$3,SUMIF('TL01'!$C$238:$C$451,$C45,'TL01'!$J$238:$J$451),0),
IF('TL02'!$B$3=L$3,SUMIF('TL02'!$C$10:$C$224,$C45,'TL02'!$J$10:$J$224),0),
IF('TL02'!$B$229=L$3,SUMIF('TL02'!$C$238:$C$451,$C45,'TL02'!$J$238:$J$451),0),
IF('TL03'!$B$3=L$3,SUMIF('TL03'!$C$10:$C$224,$C45,'TL03'!$J$10:$J$224),0),
IF('TL03'!$B$229=L$3,SUMIF('TL03'!$C$238:$C$451,$C45,'TL03'!$J$238:$J$451),0),
IF('TL04'!$B$3=L$3,SUMIF('TL04'!$C$10:$C$224,$C45,'TL04'!$J$10:$J$224),0),
IF('TL04'!$B$229=L$3,SUMIF('TL04'!$C$238:$C$451,$C45,'TL04'!$J$238:$J$451),0),
IF('TL05'!$B$3=L$3,SUMIF('TL05'!$C$10:$C$224,$C45,'TL05'!$J$10:$J$224),0),
IF('TL05'!$B$229=L$3,SUMIF('TL05'!$C$238:$C$451,$C45,'TL05'!$J$238:$J$451),0),
IF('TL06'!$B$3=L$3,SUMIF('TL06'!$C$10:$C$224,$C45,'TL06'!$J$10:$J$224),0),
IF('TL06'!$B$229=L$3,SUMIF('TL06'!$C$238:$C$451,$C45,'TL06'!$J$238:$J$451),0),
IF('TL07'!$B$3=L$3,SUMIF('TL07'!$C$10:$C$224,$C45,'TL07'!$J$10:$J$224),0),
IF('TL07'!$B$229=L$3,SUMIF('TL07'!$C$238:$C$451,$C45,'TL07'!$J$238:$J$451),0),
IF('TL08'!$B$3=L$3,SUMIF('TL08'!$C$10:$C$224,$C45,'TL08'!$J$10:$J$224),0),
IF('TL08'!$B$229=L$3,SUMIF('TL08'!$C$238:$C$451,$C45,'TL08'!$J$238:$J$451),0),
IF('TL09'!$B$3=L$3,SUMIF('TL09'!$C$10:$C$224,$C45,'TL09'!$J$10:$J$224),0),
IF('TL09'!$B$229=L$3,SUMIF('TL09'!$C$238:$C$451,$C45,'TL09'!$J$238:$J$451),0),
IF('TL10'!$B$3=L$3,SUMIF('TL10'!$C$10:$C$224,$C45,'TL10'!$J$10:$J$224),0),
IF('TL10'!$B$229=L$3,SUMIF('TL10'!$C$238:$C$451,$C45,'TL10'!$J$238:$J$451),0),
IF('TL11'!$B$3=L$3,SUMIF('TL11'!$C$10:$C$224,$C45,'TL11'!$J$10:$J$224),0),
IF('TL11'!$B$229=L$3,SUMIF('TL11'!$C$238:$C$451,$C45,'TL11'!$J$238:$J$451),0),
IF('TL12'!$B$3=L$3,SUMIF('TL12'!$C$10:$C$224,$C45,'TL12'!$J$10:$J$224),0),
IF('TL12'!$B$229=L$3,SUMIF('TL12'!$C$238:$C$451,$C45,'TL12'!$J$238:$J$451),0),
IF('TL13'!$B$3=L$3,SUMIF('TL13'!$C$10:$C$224,$C45,'TL13'!$J$10:$J$224),0),
IF('TL13'!$B$229=L$3,SUMIF('TL13'!$C$238:$C$451,$C45,'TL13'!$J$238:$J$451),0),
IF('TL14'!$B$3=L$3,SUMIF('TL14'!$C$10:$C$224,$C45,'TL14'!$J$10:$J$224),0),
IF('TL14'!$B$229=L$3,SUMIF('TL14'!$C$238:$C$451,$C45,'TL14'!$J$238:$J$451),0),
IF('TL15'!$B$3=L$3,SUMIF('TL15'!$C$10:$C$224,$C45,'TL15'!$J$10:$J$224),0),
IF('TL15'!$B$229=L$3,SUMIF('TL15'!$C$238:$C$451,$C45,'TL15'!$J$238:$J$451),0),
IF('TL16'!$B$3=L$3,SUMIF('TL16'!$C$10:$C$224,$C45,'TL16'!$J$10:$J$224),0),
IF('TL16'!$B$229=L$3,SUMIF('TL16'!$C$238:$C$451,$C45,'TL16'!$J$238:$J$451),0),
IF('TL17'!$B$3=L$3,SUMIF('TL17'!$C$10:$C$224,$C45,'TL17'!$J$10:$J$224),0),
IF('TL17'!$B$229=L$3,SUMIF('TL17'!$C$238:$C$451,$C45,'TL17'!$J$238:$J$451),0),
IF('TL18'!$B$3=L$3,SUMIF('TL18'!$C$10:$C$224,$C45,'TL18'!$J$10:$J$224),0),
IF('TL18'!$B$229=L$3,SUMIF('TL18'!$C$238:$C$451,$C45,'TL18'!$J$238:$J$451),0),
IF('TL19'!$B$3=L$3,SUMIF('TL19'!$C$10:$C$224,$C45,'TL19'!$J$10:$J$224),0),
IF('TL19'!$B$229=L$3,SUMIF('TL19'!$C$238:$C$451,$C45,'TL19'!$J$238:$J$451),0)
),0)</f>
        <v>0</v>
      </c>
      <c r="M45" s="9">
        <f>IFERROR(SUM(
IF('TL01'!$B$3=M$3,SUMIF('TL01'!$C$10:$C$224,$C45,'TL01'!$J$10:$J$224),0),
IF('TL01'!$B$229=M$3,SUMIF('TL01'!$C$238:$C$451,$C45,'TL01'!$J$238:$J$451),0),
IF('TL02'!$B$3=M$3,SUMIF('TL02'!$C$10:$C$224,$C45,'TL02'!$J$10:$J$224),0),
IF('TL02'!$B$229=M$3,SUMIF('TL02'!$C$238:$C$451,$C45,'TL02'!$J$238:$J$451),0),
IF('TL03'!$B$3=M$3,SUMIF('TL03'!$C$10:$C$224,$C45,'TL03'!$J$10:$J$224),0),
IF('TL03'!$B$229=M$3,SUMIF('TL03'!$C$238:$C$451,$C45,'TL03'!$J$238:$J$451),0),
IF('TL04'!$B$3=M$3,SUMIF('TL04'!$C$10:$C$224,$C45,'TL04'!$J$10:$J$224),0),
IF('TL04'!$B$229=M$3,SUMIF('TL04'!$C$238:$C$451,$C45,'TL04'!$J$238:$J$451),0),
IF('TL05'!$B$3=M$3,SUMIF('TL05'!$C$10:$C$224,$C45,'TL05'!$J$10:$J$224),0),
IF('TL05'!$B$229=M$3,SUMIF('TL05'!$C$238:$C$451,$C45,'TL05'!$J$238:$J$451),0),
IF('TL06'!$B$3=M$3,SUMIF('TL06'!$C$10:$C$224,$C45,'TL06'!$J$10:$J$224),0),
IF('TL06'!$B$229=M$3,SUMIF('TL06'!$C$238:$C$451,$C45,'TL06'!$J$238:$J$451),0),
IF('TL07'!$B$3=M$3,SUMIF('TL07'!$C$10:$C$224,$C45,'TL07'!$J$10:$J$224),0),
IF('TL07'!$B$229=M$3,SUMIF('TL07'!$C$238:$C$451,$C45,'TL07'!$J$238:$J$451),0),
IF('TL08'!$B$3=M$3,SUMIF('TL08'!$C$10:$C$224,$C45,'TL08'!$J$10:$J$224),0),
IF('TL08'!$B$229=M$3,SUMIF('TL08'!$C$238:$C$451,$C45,'TL08'!$J$238:$J$451),0),
IF('TL09'!$B$3=M$3,SUMIF('TL09'!$C$10:$C$224,$C45,'TL09'!$J$10:$J$224),0),
IF('TL09'!$B$229=M$3,SUMIF('TL09'!$C$238:$C$451,$C45,'TL09'!$J$238:$J$451),0),
IF('TL10'!$B$3=M$3,SUMIF('TL10'!$C$10:$C$224,$C45,'TL10'!$J$10:$J$224),0),
IF('TL10'!$B$229=M$3,SUMIF('TL10'!$C$238:$C$451,$C45,'TL10'!$J$238:$J$451),0),
IF('TL11'!$B$3=M$3,SUMIF('TL11'!$C$10:$C$224,$C45,'TL11'!$J$10:$J$224),0),
IF('TL11'!$B$229=M$3,SUMIF('TL11'!$C$238:$C$451,$C45,'TL11'!$J$238:$J$451),0),
IF('TL12'!$B$3=M$3,SUMIF('TL12'!$C$10:$C$224,$C45,'TL12'!$J$10:$J$224),0),
IF('TL12'!$B$229=M$3,SUMIF('TL12'!$C$238:$C$451,$C45,'TL12'!$J$238:$J$451),0),
IF('TL13'!$B$3=M$3,SUMIF('TL13'!$C$10:$C$224,$C45,'TL13'!$J$10:$J$224),0),
IF('TL13'!$B$229=M$3,SUMIF('TL13'!$C$238:$C$451,$C45,'TL13'!$J$238:$J$451),0),
IF('TL14'!$B$3=M$3,SUMIF('TL14'!$C$10:$C$224,$C45,'TL14'!$J$10:$J$224),0),
IF('TL14'!$B$229=M$3,SUMIF('TL14'!$C$238:$C$451,$C45,'TL14'!$J$238:$J$451),0),
IF('TL15'!$B$3=M$3,SUMIF('TL15'!$C$10:$C$224,$C45,'TL15'!$J$10:$J$224),0),
IF('TL15'!$B$229=M$3,SUMIF('TL15'!$C$238:$C$451,$C45,'TL15'!$J$238:$J$451),0),
IF('TL16'!$B$3=M$3,SUMIF('TL16'!$C$10:$C$224,$C45,'TL16'!$J$10:$J$224),0),
IF('TL16'!$B$229=M$3,SUMIF('TL16'!$C$238:$C$451,$C45,'TL16'!$J$238:$J$451),0),
IF('TL17'!$B$3=M$3,SUMIF('TL17'!$C$10:$C$224,$C45,'TL17'!$J$10:$J$224),0),
IF('TL17'!$B$229=M$3,SUMIF('TL17'!$C$238:$C$451,$C45,'TL17'!$J$238:$J$451),0),
IF('TL18'!$B$3=M$3,SUMIF('TL18'!$C$10:$C$224,$C45,'TL18'!$J$10:$J$224),0),
IF('TL18'!$B$229=M$3,SUMIF('TL18'!$C$238:$C$451,$C45,'TL18'!$J$238:$J$451),0),
IF('TL19'!$B$3=M$3,SUMIF('TL19'!$C$10:$C$224,$C45,'TL19'!$J$10:$J$224),0),
IF('TL19'!$B$229=M$3,SUMIF('TL19'!$C$238:$C$451,$C45,'TL19'!$J$238:$J$451),0)
),0)</f>
        <v>0</v>
      </c>
      <c r="N45" s="9">
        <f>IFERROR(SUM(
IF('TL01'!$B$3=N$3,SUMIF('TL01'!$C$10:$C$224,$C45,'TL01'!$J$10:$J$224),0),
IF('TL01'!$B$229=N$3,SUMIF('TL01'!$C$238:$C$451,$C45,'TL01'!$J$238:$J$451),0),
IF('TL02'!$B$3=N$3,SUMIF('TL02'!$C$10:$C$224,$C45,'TL02'!$J$10:$J$224),0),
IF('TL02'!$B$229=N$3,SUMIF('TL02'!$C$238:$C$451,$C45,'TL02'!$J$238:$J$451),0),
IF('TL03'!$B$3=N$3,SUMIF('TL03'!$C$10:$C$224,$C45,'TL03'!$J$10:$J$224),0),
IF('TL03'!$B$229=N$3,SUMIF('TL03'!$C$238:$C$451,$C45,'TL03'!$J$238:$J$451),0),
IF('TL04'!$B$3=N$3,SUMIF('TL04'!$C$10:$C$224,$C45,'TL04'!$J$10:$J$224),0),
IF('TL04'!$B$229=N$3,SUMIF('TL04'!$C$238:$C$451,$C45,'TL04'!$J$238:$J$451),0),
IF('TL05'!$B$3=N$3,SUMIF('TL05'!$C$10:$C$224,$C45,'TL05'!$J$10:$J$224),0),
IF('TL05'!$B$229=N$3,SUMIF('TL05'!$C$238:$C$451,$C45,'TL05'!$J$238:$J$451),0),
IF('TL06'!$B$3=N$3,SUMIF('TL06'!$C$10:$C$224,$C45,'TL06'!$J$10:$J$224),0),
IF('TL06'!$B$229=N$3,SUMIF('TL06'!$C$238:$C$451,$C45,'TL06'!$J$238:$J$451),0),
IF('TL07'!$B$3=N$3,SUMIF('TL07'!$C$10:$C$224,$C45,'TL07'!$J$10:$J$224),0),
IF('TL07'!$B$229=N$3,SUMIF('TL07'!$C$238:$C$451,$C45,'TL07'!$J$238:$J$451),0),
IF('TL08'!$B$3=N$3,SUMIF('TL08'!$C$10:$C$224,$C45,'TL08'!$J$10:$J$224),0),
IF('TL08'!$B$229=N$3,SUMIF('TL08'!$C$238:$C$451,$C45,'TL08'!$J$238:$J$451),0),
IF('TL09'!$B$3=N$3,SUMIF('TL09'!$C$10:$C$224,$C45,'TL09'!$J$10:$J$224),0),
IF('TL09'!$B$229=N$3,SUMIF('TL09'!$C$238:$C$451,$C45,'TL09'!$J$238:$J$451),0),
IF('TL10'!$B$3=N$3,SUMIF('TL10'!$C$10:$C$224,$C45,'TL10'!$J$10:$J$224),0),
IF('TL10'!$B$229=N$3,SUMIF('TL10'!$C$238:$C$451,$C45,'TL10'!$J$238:$J$451),0),
IF('TL11'!$B$3=N$3,SUMIF('TL11'!$C$10:$C$224,$C45,'TL11'!$J$10:$J$224),0),
IF('TL11'!$B$229=N$3,SUMIF('TL11'!$C$238:$C$451,$C45,'TL11'!$J$238:$J$451),0),
IF('TL12'!$B$3=N$3,SUMIF('TL12'!$C$10:$C$224,$C45,'TL12'!$J$10:$J$224),0),
IF('TL12'!$B$229=N$3,SUMIF('TL12'!$C$238:$C$451,$C45,'TL12'!$J$238:$J$451),0),
IF('TL13'!$B$3=N$3,SUMIF('TL13'!$C$10:$C$224,$C45,'TL13'!$J$10:$J$224),0),
IF('TL13'!$B$229=N$3,SUMIF('TL13'!$C$238:$C$451,$C45,'TL13'!$J$238:$J$451),0),
IF('TL14'!$B$3=N$3,SUMIF('TL14'!$C$10:$C$224,$C45,'TL14'!$J$10:$J$224),0),
IF('TL14'!$B$229=N$3,SUMIF('TL14'!$C$238:$C$451,$C45,'TL14'!$J$238:$J$451),0),
IF('TL15'!$B$3=N$3,SUMIF('TL15'!$C$10:$C$224,$C45,'TL15'!$J$10:$J$224),0),
IF('TL15'!$B$229=N$3,SUMIF('TL15'!$C$238:$C$451,$C45,'TL15'!$J$238:$J$451),0),
IF('TL16'!$B$3=N$3,SUMIF('TL16'!$C$10:$C$224,$C45,'TL16'!$J$10:$J$224),0),
IF('TL16'!$B$229=N$3,SUMIF('TL16'!$C$238:$C$451,$C45,'TL16'!$J$238:$J$451),0),
IF('TL17'!$B$3=N$3,SUMIF('TL17'!$C$10:$C$224,$C45,'TL17'!$J$10:$J$224),0),
IF('TL17'!$B$229=N$3,SUMIF('TL17'!$C$238:$C$451,$C45,'TL17'!$J$238:$J$451),0),
IF('TL18'!$B$3=N$3,SUMIF('TL18'!$C$10:$C$224,$C45,'TL18'!$J$10:$J$224),0),
IF('TL18'!$B$229=N$3,SUMIF('TL18'!$C$238:$C$451,$C45,'TL18'!$J$238:$J$451),0),
IF('TL19'!$B$3=N$3,SUMIF('TL19'!$C$10:$C$224,$C45,'TL19'!$J$10:$J$224),0),
IF('TL19'!$B$229=N$3,SUMIF('TL19'!$C$238:$C$451,$C45,'TL19'!$J$238:$J$451),0)
),0)</f>
        <v>0</v>
      </c>
      <c r="O45" s="9">
        <f>IFERROR(SUM(
IF('TL01'!$B$3=O$3,SUMIF('TL01'!$C$10:$C$224,$C45,'TL01'!$J$10:$J$224),0),
IF('TL01'!$B$229=O$3,SUMIF('TL01'!$C$238:$C$451,$C45,'TL01'!$J$238:$J$451),0),
IF('TL02'!$B$3=O$3,SUMIF('TL02'!$C$10:$C$224,$C45,'TL02'!$J$10:$J$224),0),
IF('TL02'!$B$229=O$3,SUMIF('TL02'!$C$238:$C$451,$C45,'TL02'!$J$238:$J$451),0),
IF('TL03'!$B$3=O$3,SUMIF('TL03'!$C$10:$C$224,$C45,'TL03'!$J$10:$J$224),0),
IF('TL03'!$B$229=O$3,SUMIF('TL03'!$C$238:$C$451,$C45,'TL03'!$J$238:$J$451),0),
IF('TL04'!$B$3=O$3,SUMIF('TL04'!$C$10:$C$224,$C45,'TL04'!$J$10:$J$224),0),
IF('TL04'!$B$229=O$3,SUMIF('TL04'!$C$238:$C$451,$C45,'TL04'!$J$238:$J$451),0),
IF('TL05'!$B$3=O$3,SUMIF('TL05'!$C$10:$C$224,$C45,'TL05'!$J$10:$J$224),0),
IF('TL05'!$B$229=O$3,SUMIF('TL05'!$C$238:$C$451,$C45,'TL05'!$J$238:$J$451),0),
IF('TL06'!$B$3=O$3,SUMIF('TL06'!$C$10:$C$224,$C45,'TL06'!$J$10:$J$224),0),
IF('TL06'!$B$229=O$3,SUMIF('TL06'!$C$238:$C$451,$C45,'TL06'!$J$238:$J$451),0),
IF('TL07'!$B$3=O$3,SUMIF('TL07'!$C$10:$C$224,$C45,'TL07'!$J$10:$J$224),0),
IF('TL07'!$B$229=O$3,SUMIF('TL07'!$C$238:$C$451,$C45,'TL07'!$J$238:$J$451),0),
IF('TL08'!$B$3=O$3,SUMIF('TL08'!$C$10:$C$224,$C45,'TL08'!$J$10:$J$224),0),
IF('TL08'!$B$229=O$3,SUMIF('TL08'!$C$238:$C$451,$C45,'TL08'!$J$238:$J$451),0),
IF('TL09'!$B$3=O$3,SUMIF('TL09'!$C$10:$C$224,$C45,'TL09'!$J$10:$J$224),0),
IF('TL09'!$B$229=O$3,SUMIF('TL09'!$C$238:$C$451,$C45,'TL09'!$J$238:$J$451),0),
IF('TL10'!$B$3=O$3,SUMIF('TL10'!$C$10:$C$224,$C45,'TL10'!$J$10:$J$224),0),
IF('TL10'!$B$229=O$3,SUMIF('TL10'!$C$238:$C$451,$C45,'TL10'!$J$238:$J$451),0),
IF('TL11'!$B$3=O$3,SUMIF('TL11'!$C$10:$C$224,$C45,'TL11'!$J$10:$J$224),0),
IF('TL11'!$B$229=O$3,SUMIF('TL11'!$C$238:$C$451,$C45,'TL11'!$J$238:$J$451),0),
IF('TL12'!$B$3=O$3,SUMIF('TL12'!$C$10:$C$224,$C45,'TL12'!$J$10:$J$224),0),
IF('TL12'!$B$229=O$3,SUMIF('TL12'!$C$238:$C$451,$C45,'TL12'!$J$238:$J$451),0),
IF('TL13'!$B$3=O$3,SUMIF('TL13'!$C$10:$C$224,$C45,'TL13'!$J$10:$J$224),0),
IF('TL13'!$B$229=O$3,SUMIF('TL13'!$C$238:$C$451,$C45,'TL13'!$J$238:$J$451),0),
IF('TL14'!$B$3=O$3,SUMIF('TL14'!$C$10:$C$224,$C45,'TL14'!$J$10:$J$224),0),
IF('TL14'!$B$229=O$3,SUMIF('TL14'!$C$238:$C$451,$C45,'TL14'!$J$238:$J$451),0),
IF('TL15'!$B$3=O$3,SUMIF('TL15'!$C$10:$C$224,$C45,'TL15'!$J$10:$J$224),0),
IF('TL15'!$B$229=O$3,SUMIF('TL15'!$C$238:$C$451,$C45,'TL15'!$J$238:$J$451),0),
IF('TL16'!$B$3=O$3,SUMIF('TL16'!$C$10:$C$224,$C45,'TL16'!$J$10:$J$224),0),
IF('TL16'!$B$229=O$3,SUMIF('TL16'!$C$238:$C$451,$C45,'TL16'!$J$238:$J$451),0),
IF('TL17'!$B$3=O$3,SUMIF('TL17'!$C$10:$C$224,$C45,'TL17'!$J$10:$J$224),0),
IF('TL17'!$B$229=O$3,SUMIF('TL17'!$C$238:$C$451,$C45,'TL17'!$J$238:$J$451),0),
IF('TL18'!$B$3=O$3,SUMIF('TL18'!$C$10:$C$224,$C45,'TL18'!$J$10:$J$224),0),
IF('TL18'!$B$229=O$3,SUMIF('TL18'!$C$238:$C$451,$C45,'TL18'!$J$238:$J$451),0),
IF('TL19'!$B$3=O$3,SUMIF('TL19'!$C$10:$C$224,$C45,'TL19'!$J$10:$J$224),0),
IF('TL19'!$B$229=O$3,SUMIF('TL19'!$C$238:$C$451,$C45,'TL19'!$J$238:$J$451),0)
),0)</f>
        <v>0</v>
      </c>
      <c r="P45" s="9">
        <f>IFERROR(SUM(
IF('TL01'!$B$3=P$3,SUMIF('TL01'!$C$10:$C$224,$C45,'TL01'!$J$10:$J$224),0),
IF('TL01'!$B$229=P$3,SUMIF('TL01'!$C$238:$C$451,$C45,'TL01'!$J$238:$J$451),0),
IF('TL02'!$B$3=P$3,SUMIF('TL02'!$C$10:$C$224,$C45,'TL02'!$J$10:$J$224),0),
IF('TL02'!$B$229=P$3,SUMIF('TL02'!$C$238:$C$451,$C45,'TL02'!$J$238:$J$451),0),
IF('TL03'!$B$3=P$3,SUMIF('TL03'!$C$10:$C$224,$C45,'TL03'!$J$10:$J$224),0),
IF('TL03'!$B$229=P$3,SUMIF('TL03'!$C$238:$C$451,$C45,'TL03'!$J$238:$J$451),0),
IF('TL04'!$B$3=P$3,SUMIF('TL04'!$C$10:$C$224,$C45,'TL04'!$J$10:$J$224),0),
IF('TL04'!$B$229=P$3,SUMIF('TL04'!$C$238:$C$451,$C45,'TL04'!$J$238:$J$451),0),
IF('TL05'!$B$3=P$3,SUMIF('TL05'!$C$10:$C$224,$C45,'TL05'!$J$10:$J$224),0),
IF('TL05'!$B$229=P$3,SUMIF('TL05'!$C$238:$C$451,$C45,'TL05'!$J$238:$J$451),0),
IF('TL06'!$B$3=P$3,SUMIF('TL06'!$C$10:$C$224,$C45,'TL06'!$J$10:$J$224),0),
IF('TL06'!$B$229=P$3,SUMIF('TL06'!$C$238:$C$451,$C45,'TL06'!$J$238:$J$451),0),
IF('TL07'!$B$3=P$3,SUMIF('TL07'!$C$10:$C$224,$C45,'TL07'!$J$10:$J$224),0),
IF('TL07'!$B$229=P$3,SUMIF('TL07'!$C$238:$C$451,$C45,'TL07'!$J$238:$J$451),0),
IF('TL08'!$B$3=P$3,SUMIF('TL08'!$C$10:$C$224,$C45,'TL08'!$J$10:$J$224),0),
IF('TL08'!$B$229=P$3,SUMIF('TL08'!$C$238:$C$451,$C45,'TL08'!$J$238:$J$451),0),
IF('TL09'!$B$3=P$3,SUMIF('TL09'!$C$10:$C$224,$C45,'TL09'!$J$10:$J$224),0),
IF('TL09'!$B$229=P$3,SUMIF('TL09'!$C$238:$C$451,$C45,'TL09'!$J$238:$J$451),0),
IF('TL10'!$B$3=P$3,SUMIF('TL10'!$C$10:$C$224,$C45,'TL10'!$J$10:$J$224),0),
IF('TL10'!$B$229=P$3,SUMIF('TL10'!$C$238:$C$451,$C45,'TL10'!$J$238:$J$451),0),
IF('TL11'!$B$3=P$3,SUMIF('TL11'!$C$10:$C$224,$C45,'TL11'!$J$10:$J$224),0),
IF('TL11'!$B$229=P$3,SUMIF('TL11'!$C$238:$C$451,$C45,'TL11'!$J$238:$J$451),0),
IF('TL12'!$B$3=P$3,SUMIF('TL12'!$C$10:$C$224,$C45,'TL12'!$J$10:$J$224),0),
IF('TL12'!$B$229=P$3,SUMIF('TL12'!$C$238:$C$451,$C45,'TL12'!$J$238:$J$451),0),
IF('TL13'!$B$3=P$3,SUMIF('TL13'!$C$10:$C$224,$C45,'TL13'!$J$10:$J$224),0),
IF('TL13'!$B$229=P$3,SUMIF('TL13'!$C$238:$C$451,$C45,'TL13'!$J$238:$J$451),0),
IF('TL14'!$B$3=P$3,SUMIF('TL14'!$C$10:$C$224,$C45,'TL14'!$J$10:$J$224),0),
IF('TL14'!$B$229=P$3,SUMIF('TL14'!$C$238:$C$451,$C45,'TL14'!$J$238:$J$451),0),
IF('TL15'!$B$3=P$3,SUMIF('TL15'!$C$10:$C$224,$C45,'TL15'!$J$10:$J$224),0),
IF('TL15'!$B$229=P$3,SUMIF('TL15'!$C$238:$C$451,$C45,'TL15'!$J$238:$J$451),0),
IF('TL16'!$B$3=P$3,SUMIF('TL16'!$C$10:$C$224,$C45,'TL16'!$J$10:$J$224),0),
IF('TL16'!$B$229=P$3,SUMIF('TL16'!$C$238:$C$451,$C45,'TL16'!$J$238:$J$451),0),
IF('TL17'!$B$3=P$3,SUMIF('TL17'!$C$10:$C$224,$C45,'TL17'!$J$10:$J$224),0),
IF('TL17'!$B$229=P$3,SUMIF('TL17'!$C$238:$C$451,$C45,'TL17'!$J$238:$J$451),0),
IF('TL18'!$B$3=P$3,SUMIF('TL18'!$C$10:$C$224,$C45,'TL18'!$J$10:$J$224),0),
IF('TL18'!$B$229=P$3,SUMIF('TL18'!$C$238:$C$451,$C45,'TL18'!$J$238:$J$451),0),
IF('TL19'!$B$3=P$3,SUMIF('TL19'!$C$10:$C$224,$C45,'TL19'!$J$10:$J$224),0),
IF('TL19'!$B$229=P$3,SUMIF('TL19'!$C$238:$C$451,$C45,'TL19'!$J$238:$J$451),0)
),0)</f>
        <v>0</v>
      </c>
      <c r="Q45" s="9">
        <f>IFERROR(SUM(
IF('TL01'!$B$3=Q$3,SUMIF('TL01'!$C$10:$C$224,$C45,'TL01'!$J$10:$J$224),0),
IF('TL01'!$B$229=Q$3,SUMIF('TL01'!$C$238:$C$451,$C45,'TL01'!$J$238:$J$451),0),
IF('TL02'!$B$3=Q$3,SUMIF('TL02'!$C$10:$C$224,$C45,'TL02'!$J$10:$J$224),0),
IF('TL02'!$B$229=Q$3,SUMIF('TL02'!$C$238:$C$451,$C45,'TL02'!$J$238:$J$451),0),
IF('TL03'!$B$3=Q$3,SUMIF('TL03'!$C$10:$C$224,$C45,'TL03'!$J$10:$J$224),0),
IF('TL03'!$B$229=Q$3,SUMIF('TL03'!$C$238:$C$451,$C45,'TL03'!$J$238:$J$451),0),
IF('TL04'!$B$3=Q$3,SUMIF('TL04'!$C$10:$C$224,$C45,'TL04'!$J$10:$J$224),0),
IF('TL04'!$B$229=Q$3,SUMIF('TL04'!$C$238:$C$451,$C45,'TL04'!$J$238:$J$451),0),
IF('TL05'!$B$3=Q$3,SUMIF('TL05'!$C$10:$C$224,$C45,'TL05'!$J$10:$J$224),0),
IF('TL05'!$B$229=Q$3,SUMIF('TL05'!$C$238:$C$451,$C45,'TL05'!$J$238:$J$451),0),
IF('TL06'!$B$3=Q$3,SUMIF('TL06'!$C$10:$C$224,$C45,'TL06'!$J$10:$J$224),0),
IF('TL06'!$B$229=Q$3,SUMIF('TL06'!$C$238:$C$451,$C45,'TL06'!$J$238:$J$451),0),
IF('TL07'!$B$3=Q$3,SUMIF('TL07'!$C$10:$C$224,$C45,'TL07'!$J$10:$J$224),0),
IF('TL07'!$B$229=Q$3,SUMIF('TL07'!$C$238:$C$451,$C45,'TL07'!$J$238:$J$451),0),
IF('TL08'!$B$3=Q$3,SUMIF('TL08'!$C$10:$C$224,$C45,'TL08'!$J$10:$J$224),0),
IF('TL08'!$B$229=Q$3,SUMIF('TL08'!$C$238:$C$451,$C45,'TL08'!$J$238:$J$451),0),
IF('TL09'!$B$3=Q$3,SUMIF('TL09'!$C$10:$C$224,$C45,'TL09'!$J$10:$J$224),0),
IF('TL09'!$B$229=Q$3,SUMIF('TL09'!$C$238:$C$451,$C45,'TL09'!$J$238:$J$451),0),
IF('TL10'!$B$3=Q$3,SUMIF('TL10'!$C$10:$C$224,$C45,'TL10'!$J$10:$J$224),0),
IF('TL10'!$B$229=Q$3,SUMIF('TL10'!$C$238:$C$451,$C45,'TL10'!$J$238:$J$451),0),
IF('TL11'!$B$3=Q$3,SUMIF('TL11'!$C$10:$C$224,$C45,'TL11'!$J$10:$J$224),0),
IF('TL11'!$B$229=Q$3,SUMIF('TL11'!$C$238:$C$451,$C45,'TL11'!$J$238:$J$451),0),
IF('TL12'!$B$3=Q$3,SUMIF('TL12'!$C$10:$C$224,$C45,'TL12'!$J$10:$J$224),0),
IF('TL12'!$B$229=Q$3,SUMIF('TL12'!$C$238:$C$451,$C45,'TL12'!$J$238:$J$451),0),
IF('TL13'!$B$3=Q$3,SUMIF('TL13'!$C$10:$C$224,$C45,'TL13'!$J$10:$J$224),0),
IF('TL13'!$B$229=Q$3,SUMIF('TL13'!$C$238:$C$451,$C45,'TL13'!$J$238:$J$451),0),
IF('TL14'!$B$3=Q$3,SUMIF('TL14'!$C$10:$C$224,$C45,'TL14'!$J$10:$J$224),0),
IF('TL14'!$B$229=Q$3,SUMIF('TL14'!$C$238:$C$451,$C45,'TL14'!$J$238:$J$451),0),
IF('TL15'!$B$3=Q$3,SUMIF('TL15'!$C$10:$C$224,$C45,'TL15'!$J$10:$J$224),0),
IF('TL15'!$B$229=Q$3,SUMIF('TL15'!$C$238:$C$451,$C45,'TL15'!$J$238:$J$451),0),
IF('TL16'!$B$3=Q$3,SUMIF('TL16'!$C$10:$C$224,$C45,'TL16'!$J$10:$J$224),0),
IF('TL16'!$B$229=Q$3,SUMIF('TL16'!$C$238:$C$451,$C45,'TL16'!$J$238:$J$451),0),
IF('TL17'!$B$3=Q$3,SUMIF('TL17'!$C$10:$C$224,$C45,'TL17'!$J$10:$J$224),0),
IF('TL17'!$B$229=Q$3,SUMIF('TL17'!$C$238:$C$451,$C45,'TL17'!$J$238:$J$451),0),
IF('TL18'!$B$3=Q$3,SUMIF('TL18'!$C$10:$C$224,$C45,'TL18'!$J$10:$J$224),0),
IF('TL18'!$B$229=Q$3,SUMIF('TL18'!$C$238:$C$451,$C45,'TL18'!$J$238:$J$451),0),
IF('TL19'!$B$3=Q$3,SUMIF('TL19'!$C$10:$C$224,$C45,'TL19'!$J$10:$J$224),0),
IF('TL19'!$B$229=Q$3,SUMIF('TL19'!$C$238:$C$451,$C45,'TL19'!$J$238:$J$451),0)
),0)</f>
        <v>0</v>
      </c>
      <c r="R45" s="9">
        <f>IFERROR(
SUM(
SUMIF('TL01'!C:C,C45,'TL01'!J:J),
SUMIF('TL02'!C:C,C45,'TL02'!J:J),
SUMIF('TL03'!C:C,C45,'TL03'!J:J),
SUMIF('TL04'!C:C,C45,'TL04'!J:J),
SUMIF('TL05'!C:C,C45,'TL05'!J:J),
SUMIF('TL06'!C:C,C45,'TL06'!J:J),
SUMIF('TL07'!C:C,C45,'TL07'!J:J),
SUMIF('TL08'!C:C,C45,'TL08'!J:J),
SUMIF('TL09'!C:C,C45,'TL09'!J:J),
SUMIF('TL10'!C:C,C45,'TL10'!J:J),
SUMIF('TL11'!C:C,C45,'TL11'!J:J),
SUMIF('TL12'!C:C,C45,'TL12'!J:J),
SUMIF('TL13'!C:C,C45,'TL13'!J:J),
SUMIF('TL14'!C:C,C45,'TL14'!J:J),
SUMIF('TL15'!C:C,C45,'TL15'!J:J),
SUMIF('TL16'!C:C,C45,'TL16'!J:J),
SUMIF('TL17'!C:C,C45,'TL17'!J:J),
SUMIF('TL18'!C:C,C45,'TL18'!J:J),SUMIF('TL19'!C:C,C45,'TL19'!J:J))
,0)</f>
        <v>0</v>
      </c>
      <c r="S45" s="17">
        <f>IFERROR(__xludf.DUMMYFUNCTION("IFERROR(VLOOKUP(C45,
IMPORTRANGE(""1wULbzX32WdYsx-lj2U3uUNBBe2INVIRDtcK0d-Dvl90"",
""26-27!C:G""),
5,
FALSE),
"""")"),421.71408)</f>
        <v>421.71408</v>
      </c>
      <c r="T45" s="9"/>
      <c r="U45" s="92">
        <f t="shared" si="2"/>
        <v>0</v>
      </c>
      <c r="V45" s="93">
        <f t="shared" si="3"/>
        <v>0</v>
      </c>
    </row>
    <row r="46" ht="15.75" hidden="1" customHeight="1">
      <c r="A46" s="115" t="s">
        <v>345</v>
      </c>
      <c r="B46" s="100" t="s">
        <v>0</v>
      </c>
      <c r="C46" s="116" t="s">
        <v>452</v>
      </c>
      <c r="D46" s="116" t="s">
        <v>453</v>
      </c>
      <c r="E46" s="116" t="s">
        <v>454</v>
      </c>
      <c r="F46" s="4" t="s">
        <v>343</v>
      </c>
      <c r="G46" s="90" t="str">
        <f t="shared" si="4"/>
        <v>📄 Ver bula</v>
      </c>
      <c r="H46" s="9">
        <f>IFERROR(__xludf.DUMMYFUNCTION("IFERROR(VLOOKUP(C46,
IMPORTRANGE(""1wULbzX32WdYsx-lj2U3uUNBBe2INVIRDtcK0d-Dvl90"",
""26-27!C:K""),
8,
FALSE),
"""")"),0.75)</f>
        <v>0.75</v>
      </c>
      <c r="I46" s="117" t="s">
        <v>446</v>
      </c>
      <c r="J46" s="9">
        <f>IFERROR(SUM(
IF('TL01'!$B$3=J$3,SUMIF('TL01'!$C$10:$C$224,$C46,'TL01'!$J$10:$J$224),0),
IF('TL01'!$B$229=J$3,SUMIF('TL01'!$C$238:$C$451,$C46,'TL01'!$J$238:$J$451),0),
IF('TL02'!$B$3=J$3,SUMIF('TL02'!$C$10:$C$224,$C46,'TL02'!$J$10:$J$224),0),
IF('TL02'!$B$229=J$3,SUMIF('TL02'!$C$238:$C$451,$C46,'TL02'!$J$238:$J$451),0),
IF('TL03'!$B$3=J$3,SUMIF('TL03'!$C$10:$C$224,$C46,'TL03'!$J$10:$J$224),0),
IF('TL03'!$B$229=J$3,SUMIF('TL03'!$C$238:$C$451,$C46,'TL03'!$J$238:$J$451),0),
IF('TL04'!$B$3=J$3,SUMIF('TL04'!$C$10:$C$224,$C46,'TL04'!$J$10:$J$224),0),
IF('TL04'!$B$229=J$3,SUMIF('TL04'!$C$238:$C$451,$C46,'TL04'!$J$238:$J$451),0),
IF('TL05'!$B$3=J$3,SUMIF('TL05'!$C$10:$C$224,$C46,'TL05'!$J$10:$J$224),0),
IF('TL05'!$B$229=J$3,SUMIF('TL05'!$C$238:$C$451,$C46,'TL05'!$J$238:$J$451),0),
IF('TL06'!$B$3=J$3,SUMIF('TL06'!$C$10:$C$224,$C46,'TL06'!$J$10:$J$224),0),
IF('TL06'!$B$229=J$3,SUMIF('TL06'!$C$238:$C$451,$C46,'TL06'!$J$238:$J$451),0),
IF('TL07'!$B$3=J$3,SUMIF('TL07'!$C$10:$C$224,$C46,'TL07'!$J$10:$J$224),0),
IF('TL07'!$B$229=J$3,SUMIF('TL07'!$C$238:$C$451,$C46,'TL07'!$J$238:$J$451),0),
IF('TL08'!$B$3=J$3,SUMIF('TL08'!$C$10:$C$224,$C46,'TL08'!$J$10:$J$224),0),
IF('TL08'!$B$229=J$3,SUMIF('TL08'!$C$238:$C$451,$C46,'TL08'!$J$238:$J$451),0),
IF('TL09'!$B$3=J$3,SUMIF('TL09'!$C$10:$C$224,$C46,'TL09'!$J$10:$J$224),0),
IF('TL09'!$B$229=J$3,SUMIF('TL09'!$C$238:$C$451,$C46,'TL09'!$J$238:$J$451),0),
IF('TL10'!$B$3=J$3,SUMIF('TL10'!$C$10:$C$224,$C46,'TL10'!$J$10:$J$224),0),
IF('TL10'!$B$229=J$3,SUMIF('TL10'!$C$238:$C$451,$C46,'TL10'!$J$238:$J$451),0),
IF('TL11'!$B$3=J$3,SUMIF('TL11'!$C$10:$C$224,$C46,'TL11'!$J$10:$J$224),0),
IF('TL11'!$B$229=J$3,SUMIF('TL11'!$C$238:$C$451,$C46,'TL11'!$J$238:$J$451),0),
IF('TL12'!$B$3=J$3,SUMIF('TL12'!$C$10:$C$224,$C46,'TL12'!$J$10:$J$224),0),
IF('TL12'!$B$229=J$3,SUMIF('TL12'!$C$238:$C$451,$C46,'TL12'!$J$238:$J$451),0),
IF('TL13'!$B$3=J$3,SUMIF('TL13'!$C$10:$C$224,$C46,'TL13'!$J$10:$J$224),0),
IF('TL13'!$B$229=J$3,SUMIF('TL13'!$C$238:$C$451,$C46,'TL13'!$J$238:$J$451),0),
IF('TL14'!$B$3=J$3,SUMIF('TL14'!$C$10:$C$224,$C46,'TL14'!$J$10:$J$224),0),
IF('TL14'!$B$229=J$3,SUMIF('TL14'!$C$238:$C$451,$C46,'TL14'!$J$238:$J$451),0),
IF('TL15'!$B$3=J$3,SUMIF('TL15'!$C$10:$C$224,$C46,'TL15'!$J$10:$J$224),0),
IF('TL15'!$B$229=J$3,SUMIF('TL15'!$C$238:$C$451,$C46,'TL15'!$J$238:$J$451),0),
IF('TL16'!$B$3=J$3,SUMIF('TL16'!$C$10:$C$224,$C46,'TL16'!$J$10:$J$224),0),
IF('TL16'!$B$229=J$3,SUMIF('TL16'!$C$238:$C$451,$C46,'TL16'!$J$238:$J$451),0),
IF('TL17'!$B$3=J$3,SUMIF('TL17'!$C$10:$C$224,$C46,'TL17'!$J$10:$J$224),0),
IF('TL17'!$B$229=J$3,SUMIF('TL17'!$C$238:$C$451,$C46,'TL17'!$J$238:$J$451),0),
IF('TL18'!$B$3=J$3,SUMIF('TL18'!$C$10:$C$224,$C46,'TL18'!$J$10:$J$224),0),
IF('TL18'!$B$229=J$3,SUMIF('TL18'!$C$238:$C$451,$C46,'TL18'!$J$238:$J$451),0),
IF('TL19'!$B$3=J$3,SUMIF('TL19'!$C$10:$C$224,$C46,'TL19'!$J$10:$J$224),0),
IF('TL19'!$B$229=J$3,SUMIF('TL19'!$C$238:$C$451,$C46,'TL19'!$J$238:$J$451),0)
),0)</f>
        <v>0</v>
      </c>
      <c r="K46" s="9">
        <f>IFERROR(SUM(
IF('TL01'!$B$3=K$3,SUMIF('TL01'!$C$10:$C$224,$C46,'TL01'!$J$10:$J$224),0),
IF('TL01'!$B$229=K$3,SUMIF('TL01'!$C$238:$C$451,$C46,'TL01'!$J$238:$J$451),0),
IF('TL02'!$B$3=K$3,SUMIF('TL02'!$C$10:$C$224,$C46,'TL02'!$J$10:$J$224),0),
IF('TL02'!$B$229=K$3,SUMIF('TL02'!$C$238:$C$451,$C46,'TL02'!$J$238:$J$451),0),
IF('TL03'!$B$3=K$3,SUMIF('TL03'!$C$10:$C$224,$C46,'TL03'!$J$10:$J$224),0),
IF('TL03'!$B$229=K$3,SUMIF('TL03'!$C$238:$C$451,$C46,'TL03'!$J$238:$J$451),0),
IF('TL04'!$B$3=K$3,SUMIF('TL04'!$C$10:$C$224,$C46,'TL04'!$J$10:$J$224),0),
IF('TL04'!$B$229=K$3,SUMIF('TL04'!$C$238:$C$451,$C46,'TL04'!$J$238:$J$451),0),
IF('TL05'!$B$3=K$3,SUMIF('TL05'!$C$10:$C$224,$C46,'TL05'!$J$10:$J$224),0),
IF('TL05'!$B$229=K$3,SUMIF('TL05'!$C$238:$C$451,$C46,'TL05'!$J$238:$J$451),0),
IF('TL06'!$B$3=K$3,SUMIF('TL06'!$C$10:$C$224,$C46,'TL06'!$J$10:$J$224),0),
IF('TL06'!$B$229=K$3,SUMIF('TL06'!$C$238:$C$451,$C46,'TL06'!$J$238:$J$451),0),
IF('TL07'!$B$3=K$3,SUMIF('TL07'!$C$10:$C$224,$C46,'TL07'!$J$10:$J$224),0),
IF('TL07'!$B$229=K$3,SUMIF('TL07'!$C$238:$C$451,$C46,'TL07'!$J$238:$J$451),0),
IF('TL08'!$B$3=K$3,SUMIF('TL08'!$C$10:$C$224,$C46,'TL08'!$J$10:$J$224),0),
IF('TL08'!$B$229=K$3,SUMIF('TL08'!$C$238:$C$451,$C46,'TL08'!$J$238:$J$451),0),
IF('TL09'!$B$3=K$3,SUMIF('TL09'!$C$10:$C$224,$C46,'TL09'!$J$10:$J$224),0),
IF('TL09'!$B$229=K$3,SUMIF('TL09'!$C$238:$C$451,$C46,'TL09'!$J$238:$J$451),0),
IF('TL10'!$B$3=K$3,SUMIF('TL10'!$C$10:$C$224,$C46,'TL10'!$J$10:$J$224),0),
IF('TL10'!$B$229=K$3,SUMIF('TL10'!$C$238:$C$451,$C46,'TL10'!$J$238:$J$451),0),
IF('TL11'!$B$3=K$3,SUMIF('TL11'!$C$10:$C$224,$C46,'TL11'!$J$10:$J$224),0),
IF('TL11'!$B$229=K$3,SUMIF('TL11'!$C$238:$C$451,$C46,'TL11'!$J$238:$J$451),0),
IF('TL12'!$B$3=K$3,SUMIF('TL12'!$C$10:$C$224,$C46,'TL12'!$J$10:$J$224),0),
IF('TL12'!$B$229=K$3,SUMIF('TL12'!$C$238:$C$451,$C46,'TL12'!$J$238:$J$451),0),
IF('TL13'!$B$3=K$3,SUMIF('TL13'!$C$10:$C$224,$C46,'TL13'!$J$10:$J$224),0),
IF('TL13'!$B$229=K$3,SUMIF('TL13'!$C$238:$C$451,$C46,'TL13'!$J$238:$J$451),0),
IF('TL14'!$B$3=K$3,SUMIF('TL14'!$C$10:$C$224,$C46,'TL14'!$J$10:$J$224),0),
IF('TL14'!$B$229=K$3,SUMIF('TL14'!$C$238:$C$451,$C46,'TL14'!$J$238:$J$451),0),
IF('TL15'!$B$3=K$3,SUMIF('TL15'!$C$10:$C$224,$C46,'TL15'!$J$10:$J$224),0),
IF('TL15'!$B$229=K$3,SUMIF('TL15'!$C$238:$C$451,$C46,'TL15'!$J$238:$J$451),0),
IF('TL16'!$B$3=K$3,SUMIF('TL16'!$C$10:$C$224,$C46,'TL16'!$J$10:$J$224),0),
IF('TL16'!$B$229=K$3,SUMIF('TL16'!$C$238:$C$451,$C46,'TL16'!$J$238:$J$451),0),
IF('TL17'!$B$3=K$3,SUMIF('TL17'!$C$10:$C$224,$C46,'TL17'!$J$10:$J$224),0),
IF('TL17'!$B$229=K$3,SUMIF('TL17'!$C$238:$C$451,$C46,'TL17'!$J$238:$J$451),0),
IF('TL18'!$B$3=K$3,SUMIF('TL18'!$C$10:$C$224,$C46,'TL18'!$J$10:$J$224),0),
IF('TL18'!$B$229=K$3,SUMIF('TL18'!$C$238:$C$451,$C46,'TL18'!$J$238:$J$451),0),
IF('TL19'!$B$3=K$3,SUMIF('TL19'!$C$10:$C$224,$C46,'TL19'!$J$10:$J$224),0),
IF('TL19'!$B$229=K$3,SUMIF('TL19'!$C$238:$C$451,$C46,'TL19'!$J$238:$J$451),0)
),0)</f>
        <v>0</v>
      </c>
      <c r="L46" s="9">
        <f>IFERROR(SUM(
IF('TL01'!$B$3=L$3,SUMIF('TL01'!$C$10:$C$224,$C46,'TL01'!$J$10:$J$224),0),
IF('TL01'!$B$229=L$3,SUMIF('TL01'!$C$238:$C$451,$C46,'TL01'!$J$238:$J$451),0),
IF('TL02'!$B$3=L$3,SUMIF('TL02'!$C$10:$C$224,$C46,'TL02'!$J$10:$J$224),0),
IF('TL02'!$B$229=L$3,SUMIF('TL02'!$C$238:$C$451,$C46,'TL02'!$J$238:$J$451),0),
IF('TL03'!$B$3=L$3,SUMIF('TL03'!$C$10:$C$224,$C46,'TL03'!$J$10:$J$224),0),
IF('TL03'!$B$229=L$3,SUMIF('TL03'!$C$238:$C$451,$C46,'TL03'!$J$238:$J$451),0),
IF('TL04'!$B$3=L$3,SUMIF('TL04'!$C$10:$C$224,$C46,'TL04'!$J$10:$J$224),0),
IF('TL04'!$B$229=L$3,SUMIF('TL04'!$C$238:$C$451,$C46,'TL04'!$J$238:$J$451),0),
IF('TL05'!$B$3=L$3,SUMIF('TL05'!$C$10:$C$224,$C46,'TL05'!$J$10:$J$224),0),
IF('TL05'!$B$229=L$3,SUMIF('TL05'!$C$238:$C$451,$C46,'TL05'!$J$238:$J$451),0),
IF('TL06'!$B$3=L$3,SUMIF('TL06'!$C$10:$C$224,$C46,'TL06'!$J$10:$J$224),0),
IF('TL06'!$B$229=L$3,SUMIF('TL06'!$C$238:$C$451,$C46,'TL06'!$J$238:$J$451),0),
IF('TL07'!$B$3=L$3,SUMIF('TL07'!$C$10:$C$224,$C46,'TL07'!$J$10:$J$224),0),
IF('TL07'!$B$229=L$3,SUMIF('TL07'!$C$238:$C$451,$C46,'TL07'!$J$238:$J$451),0),
IF('TL08'!$B$3=L$3,SUMIF('TL08'!$C$10:$C$224,$C46,'TL08'!$J$10:$J$224),0),
IF('TL08'!$B$229=L$3,SUMIF('TL08'!$C$238:$C$451,$C46,'TL08'!$J$238:$J$451),0),
IF('TL09'!$B$3=L$3,SUMIF('TL09'!$C$10:$C$224,$C46,'TL09'!$J$10:$J$224),0),
IF('TL09'!$B$229=L$3,SUMIF('TL09'!$C$238:$C$451,$C46,'TL09'!$J$238:$J$451),0),
IF('TL10'!$B$3=L$3,SUMIF('TL10'!$C$10:$C$224,$C46,'TL10'!$J$10:$J$224),0),
IF('TL10'!$B$229=L$3,SUMIF('TL10'!$C$238:$C$451,$C46,'TL10'!$J$238:$J$451),0),
IF('TL11'!$B$3=L$3,SUMIF('TL11'!$C$10:$C$224,$C46,'TL11'!$J$10:$J$224),0),
IF('TL11'!$B$229=L$3,SUMIF('TL11'!$C$238:$C$451,$C46,'TL11'!$J$238:$J$451),0),
IF('TL12'!$B$3=L$3,SUMIF('TL12'!$C$10:$C$224,$C46,'TL12'!$J$10:$J$224),0),
IF('TL12'!$B$229=L$3,SUMIF('TL12'!$C$238:$C$451,$C46,'TL12'!$J$238:$J$451),0),
IF('TL13'!$B$3=L$3,SUMIF('TL13'!$C$10:$C$224,$C46,'TL13'!$J$10:$J$224),0),
IF('TL13'!$B$229=L$3,SUMIF('TL13'!$C$238:$C$451,$C46,'TL13'!$J$238:$J$451),0),
IF('TL14'!$B$3=L$3,SUMIF('TL14'!$C$10:$C$224,$C46,'TL14'!$J$10:$J$224),0),
IF('TL14'!$B$229=L$3,SUMIF('TL14'!$C$238:$C$451,$C46,'TL14'!$J$238:$J$451),0),
IF('TL15'!$B$3=L$3,SUMIF('TL15'!$C$10:$C$224,$C46,'TL15'!$J$10:$J$224),0),
IF('TL15'!$B$229=L$3,SUMIF('TL15'!$C$238:$C$451,$C46,'TL15'!$J$238:$J$451),0),
IF('TL16'!$B$3=L$3,SUMIF('TL16'!$C$10:$C$224,$C46,'TL16'!$J$10:$J$224),0),
IF('TL16'!$B$229=L$3,SUMIF('TL16'!$C$238:$C$451,$C46,'TL16'!$J$238:$J$451),0),
IF('TL17'!$B$3=L$3,SUMIF('TL17'!$C$10:$C$224,$C46,'TL17'!$J$10:$J$224),0),
IF('TL17'!$B$229=L$3,SUMIF('TL17'!$C$238:$C$451,$C46,'TL17'!$J$238:$J$451),0),
IF('TL18'!$B$3=L$3,SUMIF('TL18'!$C$10:$C$224,$C46,'TL18'!$J$10:$J$224),0),
IF('TL18'!$B$229=L$3,SUMIF('TL18'!$C$238:$C$451,$C46,'TL18'!$J$238:$J$451),0),
IF('TL19'!$B$3=L$3,SUMIF('TL19'!$C$10:$C$224,$C46,'TL19'!$J$10:$J$224),0),
IF('TL19'!$B$229=L$3,SUMIF('TL19'!$C$238:$C$451,$C46,'TL19'!$J$238:$J$451),0)
),0)</f>
        <v>0</v>
      </c>
      <c r="M46" s="9">
        <f>IFERROR(SUM(
IF('TL01'!$B$3=M$3,SUMIF('TL01'!$C$10:$C$224,$C46,'TL01'!$J$10:$J$224),0),
IF('TL01'!$B$229=M$3,SUMIF('TL01'!$C$238:$C$451,$C46,'TL01'!$J$238:$J$451),0),
IF('TL02'!$B$3=M$3,SUMIF('TL02'!$C$10:$C$224,$C46,'TL02'!$J$10:$J$224),0),
IF('TL02'!$B$229=M$3,SUMIF('TL02'!$C$238:$C$451,$C46,'TL02'!$J$238:$J$451),0),
IF('TL03'!$B$3=M$3,SUMIF('TL03'!$C$10:$C$224,$C46,'TL03'!$J$10:$J$224),0),
IF('TL03'!$B$229=M$3,SUMIF('TL03'!$C$238:$C$451,$C46,'TL03'!$J$238:$J$451),0),
IF('TL04'!$B$3=M$3,SUMIF('TL04'!$C$10:$C$224,$C46,'TL04'!$J$10:$J$224),0),
IF('TL04'!$B$229=M$3,SUMIF('TL04'!$C$238:$C$451,$C46,'TL04'!$J$238:$J$451),0),
IF('TL05'!$B$3=M$3,SUMIF('TL05'!$C$10:$C$224,$C46,'TL05'!$J$10:$J$224),0),
IF('TL05'!$B$229=M$3,SUMIF('TL05'!$C$238:$C$451,$C46,'TL05'!$J$238:$J$451),0),
IF('TL06'!$B$3=M$3,SUMIF('TL06'!$C$10:$C$224,$C46,'TL06'!$J$10:$J$224),0),
IF('TL06'!$B$229=M$3,SUMIF('TL06'!$C$238:$C$451,$C46,'TL06'!$J$238:$J$451),0),
IF('TL07'!$B$3=M$3,SUMIF('TL07'!$C$10:$C$224,$C46,'TL07'!$J$10:$J$224),0),
IF('TL07'!$B$229=M$3,SUMIF('TL07'!$C$238:$C$451,$C46,'TL07'!$J$238:$J$451),0),
IF('TL08'!$B$3=M$3,SUMIF('TL08'!$C$10:$C$224,$C46,'TL08'!$J$10:$J$224),0),
IF('TL08'!$B$229=M$3,SUMIF('TL08'!$C$238:$C$451,$C46,'TL08'!$J$238:$J$451),0),
IF('TL09'!$B$3=M$3,SUMIF('TL09'!$C$10:$C$224,$C46,'TL09'!$J$10:$J$224),0),
IF('TL09'!$B$229=M$3,SUMIF('TL09'!$C$238:$C$451,$C46,'TL09'!$J$238:$J$451),0),
IF('TL10'!$B$3=M$3,SUMIF('TL10'!$C$10:$C$224,$C46,'TL10'!$J$10:$J$224),0),
IF('TL10'!$B$229=M$3,SUMIF('TL10'!$C$238:$C$451,$C46,'TL10'!$J$238:$J$451),0),
IF('TL11'!$B$3=M$3,SUMIF('TL11'!$C$10:$C$224,$C46,'TL11'!$J$10:$J$224),0),
IF('TL11'!$B$229=M$3,SUMIF('TL11'!$C$238:$C$451,$C46,'TL11'!$J$238:$J$451),0),
IF('TL12'!$B$3=M$3,SUMIF('TL12'!$C$10:$C$224,$C46,'TL12'!$J$10:$J$224),0),
IF('TL12'!$B$229=M$3,SUMIF('TL12'!$C$238:$C$451,$C46,'TL12'!$J$238:$J$451),0),
IF('TL13'!$B$3=M$3,SUMIF('TL13'!$C$10:$C$224,$C46,'TL13'!$J$10:$J$224),0),
IF('TL13'!$B$229=M$3,SUMIF('TL13'!$C$238:$C$451,$C46,'TL13'!$J$238:$J$451),0),
IF('TL14'!$B$3=M$3,SUMIF('TL14'!$C$10:$C$224,$C46,'TL14'!$J$10:$J$224),0),
IF('TL14'!$B$229=M$3,SUMIF('TL14'!$C$238:$C$451,$C46,'TL14'!$J$238:$J$451),0),
IF('TL15'!$B$3=M$3,SUMIF('TL15'!$C$10:$C$224,$C46,'TL15'!$J$10:$J$224),0),
IF('TL15'!$B$229=M$3,SUMIF('TL15'!$C$238:$C$451,$C46,'TL15'!$J$238:$J$451),0),
IF('TL16'!$B$3=M$3,SUMIF('TL16'!$C$10:$C$224,$C46,'TL16'!$J$10:$J$224),0),
IF('TL16'!$B$229=M$3,SUMIF('TL16'!$C$238:$C$451,$C46,'TL16'!$J$238:$J$451),0),
IF('TL17'!$B$3=M$3,SUMIF('TL17'!$C$10:$C$224,$C46,'TL17'!$J$10:$J$224),0),
IF('TL17'!$B$229=M$3,SUMIF('TL17'!$C$238:$C$451,$C46,'TL17'!$J$238:$J$451),0),
IF('TL18'!$B$3=M$3,SUMIF('TL18'!$C$10:$C$224,$C46,'TL18'!$J$10:$J$224),0),
IF('TL18'!$B$229=M$3,SUMIF('TL18'!$C$238:$C$451,$C46,'TL18'!$J$238:$J$451),0),
IF('TL19'!$B$3=M$3,SUMIF('TL19'!$C$10:$C$224,$C46,'TL19'!$J$10:$J$224),0),
IF('TL19'!$B$229=M$3,SUMIF('TL19'!$C$238:$C$451,$C46,'TL19'!$J$238:$J$451),0)
),0)</f>
        <v>0</v>
      </c>
      <c r="N46" s="9">
        <f>IFERROR(SUM(
IF('TL01'!$B$3=N$3,SUMIF('TL01'!$C$10:$C$224,$C46,'TL01'!$J$10:$J$224),0),
IF('TL01'!$B$229=N$3,SUMIF('TL01'!$C$238:$C$451,$C46,'TL01'!$J$238:$J$451),0),
IF('TL02'!$B$3=N$3,SUMIF('TL02'!$C$10:$C$224,$C46,'TL02'!$J$10:$J$224),0),
IF('TL02'!$B$229=N$3,SUMIF('TL02'!$C$238:$C$451,$C46,'TL02'!$J$238:$J$451),0),
IF('TL03'!$B$3=N$3,SUMIF('TL03'!$C$10:$C$224,$C46,'TL03'!$J$10:$J$224),0),
IF('TL03'!$B$229=N$3,SUMIF('TL03'!$C$238:$C$451,$C46,'TL03'!$J$238:$J$451),0),
IF('TL04'!$B$3=N$3,SUMIF('TL04'!$C$10:$C$224,$C46,'TL04'!$J$10:$J$224),0),
IF('TL04'!$B$229=N$3,SUMIF('TL04'!$C$238:$C$451,$C46,'TL04'!$J$238:$J$451),0),
IF('TL05'!$B$3=N$3,SUMIF('TL05'!$C$10:$C$224,$C46,'TL05'!$J$10:$J$224),0),
IF('TL05'!$B$229=N$3,SUMIF('TL05'!$C$238:$C$451,$C46,'TL05'!$J$238:$J$451),0),
IF('TL06'!$B$3=N$3,SUMIF('TL06'!$C$10:$C$224,$C46,'TL06'!$J$10:$J$224),0),
IF('TL06'!$B$229=N$3,SUMIF('TL06'!$C$238:$C$451,$C46,'TL06'!$J$238:$J$451),0),
IF('TL07'!$B$3=N$3,SUMIF('TL07'!$C$10:$C$224,$C46,'TL07'!$J$10:$J$224),0),
IF('TL07'!$B$229=N$3,SUMIF('TL07'!$C$238:$C$451,$C46,'TL07'!$J$238:$J$451),0),
IF('TL08'!$B$3=N$3,SUMIF('TL08'!$C$10:$C$224,$C46,'TL08'!$J$10:$J$224),0),
IF('TL08'!$B$229=N$3,SUMIF('TL08'!$C$238:$C$451,$C46,'TL08'!$J$238:$J$451),0),
IF('TL09'!$B$3=N$3,SUMIF('TL09'!$C$10:$C$224,$C46,'TL09'!$J$10:$J$224),0),
IF('TL09'!$B$229=N$3,SUMIF('TL09'!$C$238:$C$451,$C46,'TL09'!$J$238:$J$451),0),
IF('TL10'!$B$3=N$3,SUMIF('TL10'!$C$10:$C$224,$C46,'TL10'!$J$10:$J$224),0),
IF('TL10'!$B$229=N$3,SUMIF('TL10'!$C$238:$C$451,$C46,'TL10'!$J$238:$J$451),0),
IF('TL11'!$B$3=N$3,SUMIF('TL11'!$C$10:$C$224,$C46,'TL11'!$J$10:$J$224),0),
IF('TL11'!$B$229=N$3,SUMIF('TL11'!$C$238:$C$451,$C46,'TL11'!$J$238:$J$451),0),
IF('TL12'!$B$3=N$3,SUMIF('TL12'!$C$10:$C$224,$C46,'TL12'!$J$10:$J$224),0),
IF('TL12'!$B$229=N$3,SUMIF('TL12'!$C$238:$C$451,$C46,'TL12'!$J$238:$J$451),0),
IF('TL13'!$B$3=N$3,SUMIF('TL13'!$C$10:$C$224,$C46,'TL13'!$J$10:$J$224),0),
IF('TL13'!$B$229=N$3,SUMIF('TL13'!$C$238:$C$451,$C46,'TL13'!$J$238:$J$451),0),
IF('TL14'!$B$3=N$3,SUMIF('TL14'!$C$10:$C$224,$C46,'TL14'!$J$10:$J$224),0),
IF('TL14'!$B$229=N$3,SUMIF('TL14'!$C$238:$C$451,$C46,'TL14'!$J$238:$J$451),0),
IF('TL15'!$B$3=N$3,SUMIF('TL15'!$C$10:$C$224,$C46,'TL15'!$J$10:$J$224),0),
IF('TL15'!$B$229=N$3,SUMIF('TL15'!$C$238:$C$451,$C46,'TL15'!$J$238:$J$451),0),
IF('TL16'!$B$3=N$3,SUMIF('TL16'!$C$10:$C$224,$C46,'TL16'!$J$10:$J$224),0),
IF('TL16'!$B$229=N$3,SUMIF('TL16'!$C$238:$C$451,$C46,'TL16'!$J$238:$J$451),0),
IF('TL17'!$B$3=N$3,SUMIF('TL17'!$C$10:$C$224,$C46,'TL17'!$J$10:$J$224),0),
IF('TL17'!$B$229=N$3,SUMIF('TL17'!$C$238:$C$451,$C46,'TL17'!$J$238:$J$451),0),
IF('TL18'!$B$3=N$3,SUMIF('TL18'!$C$10:$C$224,$C46,'TL18'!$J$10:$J$224),0),
IF('TL18'!$B$229=N$3,SUMIF('TL18'!$C$238:$C$451,$C46,'TL18'!$J$238:$J$451),0),
IF('TL19'!$B$3=N$3,SUMIF('TL19'!$C$10:$C$224,$C46,'TL19'!$J$10:$J$224),0),
IF('TL19'!$B$229=N$3,SUMIF('TL19'!$C$238:$C$451,$C46,'TL19'!$J$238:$J$451),0)
),0)</f>
        <v>0</v>
      </c>
      <c r="O46" s="9">
        <f>IFERROR(SUM(
IF('TL01'!$B$3=O$3,SUMIF('TL01'!$C$10:$C$224,$C46,'TL01'!$J$10:$J$224),0),
IF('TL01'!$B$229=O$3,SUMIF('TL01'!$C$238:$C$451,$C46,'TL01'!$J$238:$J$451),0),
IF('TL02'!$B$3=O$3,SUMIF('TL02'!$C$10:$C$224,$C46,'TL02'!$J$10:$J$224),0),
IF('TL02'!$B$229=O$3,SUMIF('TL02'!$C$238:$C$451,$C46,'TL02'!$J$238:$J$451),0),
IF('TL03'!$B$3=O$3,SUMIF('TL03'!$C$10:$C$224,$C46,'TL03'!$J$10:$J$224),0),
IF('TL03'!$B$229=O$3,SUMIF('TL03'!$C$238:$C$451,$C46,'TL03'!$J$238:$J$451),0),
IF('TL04'!$B$3=O$3,SUMIF('TL04'!$C$10:$C$224,$C46,'TL04'!$J$10:$J$224),0),
IF('TL04'!$B$229=O$3,SUMIF('TL04'!$C$238:$C$451,$C46,'TL04'!$J$238:$J$451),0),
IF('TL05'!$B$3=O$3,SUMIF('TL05'!$C$10:$C$224,$C46,'TL05'!$J$10:$J$224),0),
IF('TL05'!$B$229=O$3,SUMIF('TL05'!$C$238:$C$451,$C46,'TL05'!$J$238:$J$451),0),
IF('TL06'!$B$3=O$3,SUMIF('TL06'!$C$10:$C$224,$C46,'TL06'!$J$10:$J$224),0),
IF('TL06'!$B$229=O$3,SUMIF('TL06'!$C$238:$C$451,$C46,'TL06'!$J$238:$J$451),0),
IF('TL07'!$B$3=O$3,SUMIF('TL07'!$C$10:$C$224,$C46,'TL07'!$J$10:$J$224),0),
IF('TL07'!$B$229=O$3,SUMIF('TL07'!$C$238:$C$451,$C46,'TL07'!$J$238:$J$451),0),
IF('TL08'!$B$3=O$3,SUMIF('TL08'!$C$10:$C$224,$C46,'TL08'!$J$10:$J$224),0),
IF('TL08'!$B$229=O$3,SUMIF('TL08'!$C$238:$C$451,$C46,'TL08'!$J$238:$J$451),0),
IF('TL09'!$B$3=O$3,SUMIF('TL09'!$C$10:$C$224,$C46,'TL09'!$J$10:$J$224),0),
IF('TL09'!$B$229=O$3,SUMIF('TL09'!$C$238:$C$451,$C46,'TL09'!$J$238:$J$451),0),
IF('TL10'!$B$3=O$3,SUMIF('TL10'!$C$10:$C$224,$C46,'TL10'!$J$10:$J$224),0),
IF('TL10'!$B$229=O$3,SUMIF('TL10'!$C$238:$C$451,$C46,'TL10'!$J$238:$J$451),0),
IF('TL11'!$B$3=O$3,SUMIF('TL11'!$C$10:$C$224,$C46,'TL11'!$J$10:$J$224),0),
IF('TL11'!$B$229=O$3,SUMIF('TL11'!$C$238:$C$451,$C46,'TL11'!$J$238:$J$451),0),
IF('TL12'!$B$3=O$3,SUMIF('TL12'!$C$10:$C$224,$C46,'TL12'!$J$10:$J$224),0),
IF('TL12'!$B$229=O$3,SUMIF('TL12'!$C$238:$C$451,$C46,'TL12'!$J$238:$J$451),0),
IF('TL13'!$B$3=O$3,SUMIF('TL13'!$C$10:$C$224,$C46,'TL13'!$J$10:$J$224),0),
IF('TL13'!$B$229=O$3,SUMIF('TL13'!$C$238:$C$451,$C46,'TL13'!$J$238:$J$451),0),
IF('TL14'!$B$3=O$3,SUMIF('TL14'!$C$10:$C$224,$C46,'TL14'!$J$10:$J$224),0),
IF('TL14'!$B$229=O$3,SUMIF('TL14'!$C$238:$C$451,$C46,'TL14'!$J$238:$J$451),0),
IF('TL15'!$B$3=O$3,SUMIF('TL15'!$C$10:$C$224,$C46,'TL15'!$J$10:$J$224),0),
IF('TL15'!$B$229=O$3,SUMIF('TL15'!$C$238:$C$451,$C46,'TL15'!$J$238:$J$451),0),
IF('TL16'!$B$3=O$3,SUMIF('TL16'!$C$10:$C$224,$C46,'TL16'!$J$10:$J$224),0),
IF('TL16'!$B$229=O$3,SUMIF('TL16'!$C$238:$C$451,$C46,'TL16'!$J$238:$J$451),0),
IF('TL17'!$B$3=O$3,SUMIF('TL17'!$C$10:$C$224,$C46,'TL17'!$J$10:$J$224),0),
IF('TL17'!$B$229=O$3,SUMIF('TL17'!$C$238:$C$451,$C46,'TL17'!$J$238:$J$451),0),
IF('TL18'!$B$3=O$3,SUMIF('TL18'!$C$10:$C$224,$C46,'TL18'!$J$10:$J$224),0),
IF('TL18'!$B$229=O$3,SUMIF('TL18'!$C$238:$C$451,$C46,'TL18'!$J$238:$J$451),0),
IF('TL19'!$B$3=O$3,SUMIF('TL19'!$C$10:$C$224,$C46,'TL19'!$J$10:$J$224),0),
IF('TL19'!$B$229=O$3,SUMIF('TL19'!$C$238:$C$451,$C46,'TL19'!$J$238:$J$451),0)
),0)</f>
        <v>0</v>
      </c>
      <c r="P46" s="9">
        <f>IFERROR(SUM(
IF('TL01'!$B$3=P$3,SUMIF('TL01'!$C$10:$C$224,$C46,'TL01'!$J$10:$J$224),0),
IF('TL01'!$B$229=P$3,SUMIF('TL01'!$C$238:$C$451,$C46,'TL01'!$J$238:$J$451),0),
IF('TL02'!$B$3=P$3,SUMIF('TL02'!$C$10:$C$224,$C46,'TL02'!$J$10:$J$224),0),
IF('TL02'!$B$229=P$3,SUMIF('TL02'!$C$238:$C$451,$C46,'TL02'!$J$238:$J$451),0),
IF('TL03'!$B$3=P$3,SUMIF('TL03'!$C$10:$C$224,$C46,'TL03'!$J$10:$J$224),0),
IF('TL03'!$B$229=P$3,SUMIF('TL03'!$C$238:$C$451,$C46,'TL03'!$J$238:$J$451),0),
IF('TL04'!$B$3=P$3,SUMIF('TL04'!$C$10:$C$224,$C46,'TL04'!$J$10:$J$224),0),
IF('TL04'!$B$229=P$3,SUMIF('TL04'!$C$238:$C$451,$C46,'TL04'!$J$238:$J$451),0),
IF('TL05'!$B$3=P$3,SUMIF('TL05'!$C$10:$C$224,$C46,'TL05'!$J$10:$J$224),0),
IF('TL05'!$B$229=P$3,SUMIF('TL05'!$C$238:$C$451,$C46,'TL05'!$J$238:$J$451),0),
IF('TL06'!$B$3=P$3,SUMIF('TL06'!$C$10:$C$224,$C46,'TL06'!$J$10:$J$224),0),
IF('TL06'!$B$229=P$3,SUMIF('TL06'!$C$238:$C$451,$C46,'TL06'!$J$238:$J$451),0),
IF('TL07'!$B$3=P$3,SUMIF('TL07'!$C$10:$C$224,$C46,'TL07'!$J$10:$J$224),0),
IF('TL07'!$B$229=P$3,SUMIF('TL07'!$C$238:$C$451,$C46,'TL07'!$J$238:$J$451),0),
IF('TL08'!$B$3=P$3,SUMIF('TL08'!$C$10:$C$224,$C46,'TL08'!$J$10:$J$224),0),
IF('TL08'!$B$229=P$3,SUMIF('TL08'!$C$238:$C$451,$C46,'TL08'!$J$238:$J$451),0),
IF('TL09'!$B$3=P$3,SUMIF('TL09'!$C$10:$C$224,$C46,'TL09'!$J$10:$J$224),0),
IF('TL09'!$B$229=P$3,SUMIF('TL09'!$C$238:$C$451,$C46,'TL09'!$J$238:$J$451),0),
IF('TL10'!$B$3=P$3,SUMIF('TL10'!$C$10:$C$224,$C46,'TL10'!$J$10:$J$224),0),
IF('TL10'!$B$229=P$3,SUMIF('TL10'!$C$238:$C$451,$C46,'TL10'!$J$238:$J$451),0),
IF('TL11'!$B$3=P$3,SUMIF('TL11'!$C$10:$C$224,$C46,'TL11'!$J$10:$J$224),0),
IF('TL11'!$B$229=P$3,SUMIF('TL11'!$C$238:$C$451,$C46,'TL11'!$J$238:$J$451),0),
IF('TL12'!$B$3=P$3,SUMIF('TL12'!$C$10:$C$224,$C46,'TL12'!$J$10:$J$224),0),
IF('TL12'!$B$229=P$3,SUMIF('TL12'!$C$238:$C$451,$C46,'TL12'!$J$238:$J$451),0),
IF('TL13'!$B$3=P$3,SUMIF('TL13'!$C$10:$C$224,$C46,'TL13'!$J$10:$J$224),0),
IF('TL13'!$B$229=P$3,SUMIF('TL13'!$C$238:$C$451,$C46,'TL13'!$J$238:$J$451),0),
IF('TL14'!$B$3=P$3,SUMIF('TL14'!$C$10:$C$224,$C46,'TL14'!$J$10:$J$224),0),
IF('TL14'!$B$229=P$3,SUMIF('TL14'!$C$238:$C$451,$C46,'TL14'!$J$238:$J$451),0),
IF('TL15'!$B$3=P$3,SUMIF('TL15'!$C$10:$C$224,$C46,'TL15'!$J$10:$J$224),0),
IF('TL15'!$B$229=P$3,SUMIF('TL15'!$C$238:$C$451,$C46,'TL15'!$J$238:$J$451),0),
IF('TL16'!$B$3=P$3,SUMIF('TL16'!$C$10:$C$224,$C46,'TL16'!$J$10:$J$224),0),
IF('TL16'!$B$229=P$3,SUMIF('TL16'!$C$238:$C$451,$C46,'TL16'!$J$238:$J$451),0),
IF('TL17'!$B$3=P$3,SUMIF('TL17'!$C$10:$C$224,$C46,'TL17'!$J$10:$J$224),0),
IF('TL17'!$B$229=P$3,SUMIF('TL17'!$C$238:$C$451,$C46,'TL17'!$J$238:$J$451),0),
IF('TL18'!$B$3=P$3,SUMIF('TL18'!$C$10:$C$224,$C46,'TL18'!$J$10:$J$224),0),
IF('TL18'!$B$229=P$3,SUMIF('TL18'!$C$238:$C$451,$C46,'TL18'!$J$238:$J$451),0),
IF('TL19'!$B$3=P$3,SUMIF('TL19'!$C$10:$C$224,$C46,'TL19'!$J$10:$J$224),0),
IF('TL19'!$B$229=P$3,SUMIF('TL19'!$C$238:$C$451,$C46,'TL19'!$J$238:$J$451),0)
),0)</f>
        <v>0</v>
      </c>
      <c r="Q46" s="9">
        <f>IFERROR(SUM(
IF('TL01'!$B$3=Q$3,SUMIF('TL01'!$C$10:$C$224,$C46,'TL01'!$J$10:$J$224),0),
IF('TL01'!$B$229=Q$3,SUMIF('TL01'!$C$238:$C$451,$C46,'TL01'!$J$238:$J$451),0),
IF('TL02'!$B$3=Q$3,SUMIF('TL02'!$C$10:$C$224,$C46,'TL02'!$J$10:$J$224),0),
IF('TL02'!$B$229=Q$3,SUMIF('TL02'!$C$238:$C$451,$C46,'TL02'!$J$238:$J$451),0),
IF('TL03'!$B$3=Q$3,SUMIF('TL03'!$C$10:$C$224,$C46,'TL03'!$J$10:$J$224),0),
IF('TL03'!$B$229=Q$3,SUMIF('TL03'!$C$238:$C$451,$C46,'TL03'!$J$238:$J$451),0),
IF('TL04'!$B$3=Q$3,SUMIF('TL04'!$C$10:$C$224,$C46,'TL04'!$J$10:$J$224),0),
IF('TL04'!$B$229=Q$3,SUMIF('TL04'!$C$238:$C$451,$C46,'TL04'!$J$238:$J$451),0),
IF('TL05'!$B$3=Q$3,SUMIF('TL05'!$C$10:$C$224,$C46,'TL05'!$J$10:$J$224),0),
IF('TL05'!$B$229=Q$3,SUMIF('TL05'!$C$238:$C$451,$C46,'TL05'!$J$238:$J$451),0),
IF('TL06'!$B$3=Q$3,SUMIF('TL06'!$C$10:$C$224,$C46,'TL06'!$J$10:$J$224),0),
IF('TL06'!$B$229=Q$3,SUMIF('TL06'!$C$238:$C$451,$C46,'TL06'!$J$238:$J$451),0),
IF('TL07'!$B$3=Q$3,SUMIF('TL07'!$C$10:$C$224,$C46,'TL07'!$J$10:$J$224),0),
IF('TL07'!$B$229=Q$3,SUMIF('TL07'!$C$238:$C$451,$C46,'TL07'!$J$238:$J$451),0),
IF('TL08'!$B$3=Q$3,SUMIF('TL08'!$C$10:$C$224,$C46,'TL08'!$J$10:$J$224),0),
IF('TL08'!$B$229=Q$3,SUMIF('TL08'!$C$238:$C$451,$C46,'TL08'!$J$238:$J$451),0),
IF('TL09'!$B$3=Q$3,SUMIF('TL09'!$C$10:$C$224,$C46,'TL09'!$J$10:$J$224),0),
IF('TL09'!$B$229=Q$3,SUMIF('TL09'!$C$238:$C$451,$C46,'TL09'!$J$238:$J$451),0),
IF('TL10'!$B$3=Q$3,SUMIF('TL10'!$C$10:$C$224,$C46,'TL10'!$J$10:$J$224),0),
IF('TL10'!$B$229=Q$3,SUMIF('TL10'!$C$238:$C$451,$C46,'TL10'!$J$238:$J$451),0),
IF('TL11'!$B$3=Q$3,SUMIF('TL11'!$C$10:$C$224,$C46,'TL11'!$J$10:$J$224),0),
IF('TL11'!$B$229=Q$3,SUMIF('TL11'!$C$238:$C$451,$C46,'TL11'!$J$238:$J$451),0),
IF('TL12'!$B$3=Q$3,SUMIF('TL12'!$C$10:$C$224,$C46,'TL12'!$J$10:$J$224),0),
IF('TL12'!$B$229=Q$3,SUMIF('TL12'!$C$238:$C$451,$C46,'TL12'!$J$238:$J$451),0),
IF('TL13'!$B$3=Q$3,SUMIF('TL13'!$C$10:$C$224,$C46,'TL13'!$J$10:$J$224),0),
IF('TL13'!$B$229=Q$3,SUMIF('TL13'!$C$238:$C$451,$C46,'TL13'!$J$238:$J$451),0),
IF('TL14'!$B$3=Q$3,SUMIF('TL14'!$C$10:$C$224,$C46,'TL14'!$J$10:$J$224),0),
IF('TL14'!$B$229=Q$3,SUMIF('TL14'!$C$238:$C$451,$C46,'TL14'!$J$238:$J$451),0),
IF('TL15'!$B$3=Q$3,SUMIF('TL15'!$C$10:$C$224,$C46,'TL15'!$J$10:$J$224),0),
IF('TL15'!$B$229=Q$3,SUMIF('TL15'!$C$238:$C$451,$C46,'TL15'!$J$238:$J$451),0),
IF('TL16'!$B$3=Q$3,SUMIF('TL16'!$C$10:$C$224,$C46,'TL16'!$J$10:$J$224),0),
IF('TL16'!$B$229=Q$3,SUMIF('TL16'!$C$238:$C$451,$C46,'TL16'!$J$238:$J$451),0),
IF('TL17'!$B$3=Q$3,SUMIF('TL17'!$C$10:$C$224,$C46,'TL17'!$J$10:$J$224),0),
IF('TL17'!$B$229=Q$3,SUMIF('TL17'!$C$238:$C$451,$C46,'TL17'!$J$238:$J$451),0),
IF('TL18'!$B$3=Q$3,SUMIF('TL18'!$C$10:$C$224,$C46,'TL18'!$J$10:$J$224),0),
IF('TL18'!$B$229=Q$3,SUMIF('TL18'!$C$238:$C$451,$C46,'TL18'!$J$238:$J$451),0),
IF('TL19'!$B$3=Q$3,SUMIF('TL19'!$C$10:$C$224,$C46,'TL19'!$J$10:$J$224),0),
IF('TL19'!$B$229=Q$3,SUMIF('TL19'!$C$238:$C$451,$C46,'TL19'!$J$238:$J$451),0)
),0)</f>
        <v>0</v>
      </c>
      <c r="R46" s="9">
        <f>IFERROR(
SUM(
SUMIF('TL01'!C:C,C46,'TL01'!J:J),
SUMIF('TL02'!C:C,C46,'TL02'!J:J),
SUMIF('TL03'!C:C,C46,'TL03'!J:J),
SUMIF('TL04'!C:C,C46,'TL04'!J:J),
SUMIF('TL05'!C:C,C46,'TL05'!J:J),
SUMIF('TL06'!C:C,C46,'TL06'!J:J),
SUMIF('TL07'!C:C,C46,'TL07'!J:J),
SUMIF('TL08'!C:C,C46,'TL08'!J:J),
SUMIF('TL09'!C:C,C46,'TL09'!J:J),
SUMIF('TL10'!C:C,C46,'TL10'!J:J),
SUMIF('TL11'!C:C,C46,'TL11'!J:J),
SUMIF('TL12'!C:C,C46,'TL12'!J:J),
SUMIF('TL13'!C:C,C46,'TL13'!J:J),
SUMIF('TL14'!C:C,C46,'TL14'!J:J),
SUMIF('TL15'!C:C,C46,'TL15'!J:J),
SUMIF('TL16'!C:C,C46,'TL16'!J:J),
SUMIF('TL17'!C:C,C46,'TL17'!J:J),
SUMIF('TL18'!C:C,C46,'TL18'!J:J),SUMIF('TL19'!C:C,C46,'TL19'!J:J))
,0)</f>
        <v>0</v>
      </c>
      <c r="S46" s="17">
        <f>IFERROR(__xludf.DUMMYFUNCTION("IFERROR(VLOOKUP(C46,
IMPORTRANGE(""1wULbzX32WdYsx-lj2U3uUNBBe2INVIRDtcK0d-Dvl90"",
""26-27!C:G""),
5,
FALSE),
"""")"),149.50512000000003)</f>
        <v>149.50512</v>
      </c>
      <c r="T46" s="9"/>
      <c r="U46" s="92">
        <f t="shared" si="2"/>
        <v>0</v>
      </c>
      <c r="V46" s="93">
        <f t="shared" si="3"/>
        <v>0</v>
      </c>
    </row>
    <row r="47" ht="15.75" hidden="1" customHeight="1">
      <c r="A47" s="111" t="s">
        <v>345</v>
      </c>
      <c r="B47" s="112" t="s">
        <v>0</v>
      </c>
      <c r="C47" s="113" t="s">
        <v>455</v>
      </c>
      <c r="D47" s="113" t="s">
        <v>456</v>
      </c>
      <c r="E47" s="113" t="s">
        <v>391</v>
      </c>
      <c r="F47" s="4" t="s">
        <v>343</v>
      </c>
      <c r="G47" s="90" t="str">
        <f t="shared" si="4"/>
        <v>📄 Ver bula</v>
      </c>
      <c r="H47" s="9">
        <f>IFERROR(__xludf.DUMMYFUNCTION("IFERROR(VLOOKUP(C47,
IMPORTRANGE(""1wULbzX32WdYsx-lj2U3uUNBBe2INVIRDtcK0d-Dvl90"",
""26-27!C:K""),
8,
FALSE),
"""")"),0.6)</f>
        <v>0.6</v>
      </c>
      <c r="I47" s="114" t="s">
        <v>361</v>
      </c>
      <c r="J47" s="9">
        <f>IFERROR(SUM(
IF('TL01'!$B$3=J$3,SUMIF('TL01'!$C$10:$C$224,$C47,'TL01'!$J$10:$J$224),0),
IF('TL01'!$B$229=J$3,SUMIF('TL01'!$C$238:$C$451,$C47,'TL01'!$J$238:$J$451),0),
IF('TL02'!$B$3=J$3,SUMIF('TL02'!$C$10:$C$224,$C47,'TL02'!$J$10:$J$224),0),
IF('TL02'!$B$229=J$3,SUMIF('TL02'!$C$238:$C$451,$C47,'TL02'!$J$238:$J$451),0),
IF('TL03'!$B$3=J$3,SUMIF('TL03'!$C$10:$C$224,$C47,'TL03'!$J$10:$J$224),0),
IF('TL03'!$B$229=J$3,SUMIF('TL03'!$C$238:$C$451,$C47,'TL03'!$J$238:$J$451),0),
IF('TL04'!$B$3=J$3,SUMIF('TL04'!$C$10:$C$224,$C47,'TL04'!$J$10:$J$224),0),
IF('TL04'!$B$229=J$3,SUMIF('TL04'!$C$238:$C$451,$C47,'TL04'!$J$238:$J$451),0),
IF('TL05'!$B$3=J$3,SUMIF('TL05'!$C$10:$C$224,$C47,'TL05'!$J$10:$J$224),0),
IF('TL05'!$B$229=J$3,SUMIF('TL05'!$C$238:$C$451,$C47,'TL05'!$J$238:$J$451),0),
IF('TL06'!$B$3=J$3,SUMIF('TL06'!$C$10:$C$224,$C47,'TL06'!$J$10:$J$224),0),
IF('TL06'!$B$229=J$3,SUMIF('TL06'!$C$238:$C$451,$C47,'TL06'!$J$238:$J$451),0),
IF('TL07'!$B$3=J$3,SUMIF('TL07'!$C$10:$C$224,$C47,'TL07'!$J$10:$J$224),0),
IF('TL07'!$B$229=J$3,SUMIF('TL07'!$C$238:$C$451,$C47,'TL07'!$J$238:$J$451),0),
IF('TL08'!$B$3=J$3,SUMIF('TL08'!$C$10:$C$224,$C47,'TL08'!$J$10:$J$224),0),
IF('TL08'!$B$229=J$3,SUMIF('TL08'!$C$238:$C$451,$C47,'TL08'!$J$238:$J$451),0),
IF('TL09'!$B$3=J$3,SUMIF('TL09'!$C$10:$C$224,$C47,'TL09'!$J$10:$J$224),0),
IF('TL09'!$B$229=J$3,SUMIF('TL09'!$C$238:$C$451,$C47,'TL09'!$J$238:$J$451),0),
IF('TL10'!$B$3=J$3,SUMIF('TL10'!$C$10:$C$224,$C47,'TL10'!$J$10:$J$224),0),
IF('TL10'!$B$229=J$3,SUMIF('TL10'!$C$238:$C$451,$C47,'TL10'!$J$238:$J$451),0),
IF('TL11'!$B$3=J$3,SUMIF('TL11'!$C$10:$C$224,$C47,'TL11'!$J$10:$J$224),0),
IF('TL11'!$B$229=J$3,SUMIF('TL11'!$C$238:$C$451,$C47,'TL11'!$J$238:$J$451),0),
IF('TL12'!$B$3=J$3,SUMIF('TL12'!$C$10:$C$224,$C47,'TL12'!$J$10:$J$224),0),
IF('TL12'!$B$229=J$3,SUMIF('TL12'!$C$238:$C$451,$C47,'TL12'!$J$238:$J$451),0),
IF('TL13'!$B$3=J$3,SUMIF('TL13'!$C$10:$C$224,$C47,'TL13'!$J$10:$J$224),0),
IF('TL13'!$B$229=J$3,SUMIF('TL13'!$C$238:$C$451,$C47,'TL13'!$J$238:$J$451),0),
IF('TL14'!$B$3=J$3,SUMIF('TL14'!$C$10:$C$224,$C47,'TL14'!$J$10:$J$224),0),
IF('TL14'!$B$229=J$3,SUMIF('TL14'!$C$238:$C$451,$C47,'TL14'!$J$238:$J$451),0),
IF('TL15'!$B$3=J$3,SUMIF('TL15'!$C$10:$C$224,$C47,'TL15'!$J$10:$J$224),0),
IF('TL15'!$B$229=J$3,SUMIF('TL15'!$C$238:$C$451,$C47,'TL15'!$J$238:$J$451),0),
IF('TL16'!$B$3=J$3,SUMIF('TL16'!$C$10:$C$224,$C47,'TL16'!$J$10:$J$224),0),
IF('TL16'!$B$229=J$3,SUMIF('TL16'!$C$238:$C$451,$C47,'TL16'!$J$238:$J$451),0),
IF('TL17'!$B$3=J$3,SUMIF('TL17'!$C$10:$C$224,$C47,'TL17'!$J$10:$J$224),0),
IF('TL17'!$B$229=J$3,SUMIF('TL17'!$C$238:$C$451,$C47,'TL17'!$J$238:$J$451),0),
IF('TL18'!$B$3=J$3,SUMIF('TL18'!$C$10:$C$224,$C47,'TL18'!$J$10:$J$224),0),
IF('TL18'!$B$229=J$3,SUMIF('TL18'!$C$238:$C$451,$C47,'TL18'!$J$238:$J$451),0),
IF('TL19'!$B$3=J$3,SUMIF('TL19'!$C$10:$C$224,$C47,'TL19'!$J$10:$J$224),0),
IF('TL19'!$B$229=J$3,SUMIF('TL19'!$C$238:$C$451,$C47,'TL19'!$J$238:$J$451),0)
),0)</f>
        <v>0</v>
      </c>
      <c r="K47" s="9">
        <f>IFERROR(SUM(
IF('TL01'!$B$3=K$3,SUMIF('TL01'!$C$10:$C$224,$C47,'TL01'!$J$10:$J$224),0),
IF('TL01'!$B$229=K$3,SUMIF('TL01'!$C$238:$C$451,$C47,'TL01'!$J$238:$J$451),0),
IF('TL02'!$B$3=K$3,SUMIF('TL02'!$C$10:$C$224,$C47,'TL02'!$J$10:$J$224),0),
IF('TL02'!$B$229=K$3,SUMIF('TL02'!$C$238:$C$451,$C47,'TL02'!$J$238:$J$451),0),
IF('TL03'!$B$3=K$3,SUMIF('TL03'!$C$10:$C$224,$C47,'TL03'!$J$10:$J$224),0),
IF('TL03'!$B$229=K$3,SUMIF('TL03'!$C$238:$C$451,$C47,'TL03'!$J$238:$J$451),0),
IF('TL04'!$B$3=K$3,SUMIF('TL04'!$C$10:$C$224,$C47,'TL04'!$J$10:$J$224),0),
IF('TL04'!$B$229=K$3,SUMIF('TL04'!$C$238:$C$451,$C47,'TL04'!$J$238:$J$451),0),
IF('TL05'!$B$3=K$3,SUMIF('TL05'!$C$10:$C$224,$C47,'TL05'!$J$10:$J$224),0),
IF('TL05'!$B$229=K$3,SUMIF('TL05'!$C$238:$C$451,$C47,'TL05'!$J$238:$J$451),0),
IF('TL06'!$B$3=K$3,SUMIF('TL06'!$C$10:$C$224,$C47,'TL06'!$J$10:$J$224),0),
IF('TL06'!$B$229=K$3,SUMIF('TL06'!$C$238:$C$451,$C47,'TL06'!$J$238:$J$451),0),
IF('TL07'!$B$3=K$3,SUMIF('TL07'!$C$10:$C$224,$C47,'TL07'!$J$10:$J$224),0),
IF('TL07'!$B$229=K$3,SUMIF('TL07'!$C$238:$C$451,$C47,'TL07'!$J$238:$J$451),0),
IF('TL08'!$B$3=K$3,SUMIF('TL08'!$C$10:$C$224,$C47,'TL08'!$J$10:$J$224),0),
IF('TL08'!$B$229=K$3,SUMIF('TL08'!$C$238:$C$451,$C47,'TL08'!$J$238:$J$451),0),
IF('TL09'!$B$3=K$3,SUMIF('TL09'!$C$10:$C$224,$C47,'TL09'!$J$10:$J$224),0),
IF('TL09'!$B$229=K$3,SUMIF('TL09'!$C$238:$C$451,$C47,'TL09'!$J$238:$J$451),0),
IF('TL10'!$B$3=K$3,SUMIF('TL10'!$C$10:$C$224,$C47,'TL10'!$J$10:$J$224),0),
IF('TL10'!$B$229=K$3,SUMIF('TL10'!$C$238:$C$451,$C47,'TL10'!$J$238:$J$451),0),
IF('TL11'!$B$3=K$3,SUMIF('TL11'!$C$10:$C$224,$C47,'TL11'!$J$10:$J$224),0),
IF('TL11'!$B$229=K$3,SUMIF('TL11'!$C$238:$C$451,$C47,'TL11'!$J$238:$J$451),0),
IF('TL12'!$B$3=K$3,SUMIF('TL12'!$C$10:$C$224,$C47,'TL12'!$J$10:$J$224),0),
IF('TL12'!$B$229=K$3,SUMIF('TL12'!$C$238:$C$451,$C47,'TL12'!$J$238:$J$451),0),
IF('TL13'!$B$3=K$3,SUMIF('TL13'!$C$10:$C$224,$C47,'TL13'!$J$10:$J$224),0),
IF('TL13'!$B$229=K$3,SUMIF('TL13'!$C$238:$C$451,$C47,'TL13'!$J$238:$J$451),0),
IF('TL14'!$B$3=K$3,SUMIF('TL14'!$C$10:$C$224,$C47,'TL14'!$J$10:$J$224),0),
IF('TL14'!$B$229=K$3,SUMIF('TL14'!$C$238:$C$451,$C47,'TL14'!$J$238:$J$451),0),
IF('TL15'!$B$3=K$3,SUMIF('TL15'!$C$10:$C$224,$C47,'TL15'!$J$10:$J$224),0),
IF('TL15'!$B$229=K$3,SUMIF('TL15'!$C$238:$C$451,$C47,'TL15'!$J$238:$J$451),0),
IF('TL16'!$B$3=K$3,SUMIF('TL16'!$C$10:$C$224,$C47,'TL16'!$J$10:$J$224),0),
IF('TL16'!$B$229=K$3,SUMIF('TL16'!$C$238:$C$451,$C47,'TL16'!$J$238:$J$451),0),
IF('TL17'!$B$3=K$3,SUMIF('TL17'!$C$10:$C$224,$C47,'TL17'!$J$10:$J$224),0),
IF('TL17'!$B$229=K$3,SUMIF('TL17'!$C$238:$C$451,$C47,'TL17'!$J$238:$J$451),0),
IF('TL18'!$B$3=K$3,SUMIF('TL18'!$C$10:$C$224,$C47,'TL18'!$J$10:$J$224),0),
IF('TL18'!$B$229=K$3,SUMIF('TL18'!$C$238:$C$451,$C47,'TL18'!$J$238:$J$451),0),
IF('TL19'!$B$3=K$3,SUMIF('TL19'!$C$10:$C$224,$C47,'TL19'!$J$10:$J$224),0),
IF('TL19'!$B$229=K$3,SUMIF('TL19'!$C$238:$C$451,$C47,'TL19'!$J$238:$J$451),0)
),0)</f>
        <v>0</v>
      </c>
      <c r="L47" s="9">
        <f>IFERROR(SUM(
IF('TL01'!$B$3=L$3,SUMIF('TL01'!$C$10:$C$224,$C47,'TL01'!$J$10:$J$224),0),
IF('TL01'!$B$229=L$3,SUMIF('TL01'!$C$238:$C$451,$C47,'TL01'!$J$238:$J$451),0),
IF('TL02'!$B$3=L$3,SUMIF('TL02'!$C$10:$C$224,$C47,'TL02'!$J$10:$J$224),0),
IF('TL02'!$B$229=L$3,SUMIF('TL02'!$C$238:$C$451,$C47,'TL02'!$J$238:$J$451),0),
IF('TL03'!$B$3=L$3,SUMIF('TL03'!$C$10:$C$224,$C47,'TL03'!$J$10:$J$224),0),
IF('TL03'!$B$229=L$3,SUMIF('TL03'!$C$238:$C$451,$C47,'TL03'!$J$238:$J$451),0),
IF('TL04'!$B$3=L$3,SUMIF('TL04'!$C$10:$C$224,$C47,'TL04'!$J$10:$J$224),0),
IF('TL04'!$B$229=L$3,SUMIF('TL04'!$C$238:$C$451,$C47,'TL04'!$J$238:$J$451),0),
IF('TL05'!$B$3=L$3,SUMIF('TL05'!$C$10:$C$224,$C47,'TL05'!$J$10:$J$224),0),
IF('TL05'!$B$229=L$3,SUMIF('TL05'!$C$238:$C$451,$C47,'TL05'!$J$238:$J$451),0),
IF('TL06'!$B$3=L$3,SUMIF('TL06'!$C$10:$C$224,$C47,'TL06'!$J$10:$J$224),0),
IF('TL06'!$B$229=L$3,SUMIF('TL06'!$C$238:$C$451,$C47,'TL06'!$J$238:$J$451),0),
IF('TL07'!$B$3=L$3,SUMIF('TL07'!$C$10:$C$224,$C47,'TL07'!$J$10:$J$224),0),
IF('TL07'!$B$229=L$3,SUMIF('TL07'!$C$238:$C$451,$C47,'TL07'!$J$238:$J$451),0),
IF('TL08'!$B$3=L$3,SUMIF('TL08'!$C$10:$C$224,$C47,'TL08'!$J$10:$J$224),0),
IF('TL08'!$B$229=L$3,SUMIF('TL08'!$C$238:$C$451,$C47,'TL08'!$J$238:$J$451),0),
IF('TL09'!$B$3=L$3,SUMIF('TL09'!$C$10:$C$224,$C47,'TL09'!$J$10:$J$224),0),
IF('TL09'!$B$229=L$3,SUMIF('TL09'!$C$238:$C$451,$C47,'TL09'!$J$238:$J$451),0),
IF('TL10'!$B$3=L$3,SUMIF('TL10'!$C$10:$C$224,$C47,'TL10'!$J$10:$J$224),0),
IF('TL10'!$B$229=L$3,SUMIF('TL10'!$C$238:$C$451,$C47,'TL10'!$J$238:$J$451),0),
IF('TL11'!$B$3=L$3,SUMIF('TL11'!$C$10:$C$224,$C47,'TL11'!$J$10:$J$224),0),
IF('TL11'!$B$229=L$3,SUMIF('TL11'!$C$238:$C$451,$C47,'TL11'!$J$238:$J$451),0),
IF('TL12'!$B$3=L$3,SUMIF('TL12'!$C$10:$C$224,$C47,'TL12'!$J$10:$J$224),0),
IF('TL12'!$B$229=L$3,SUMIF('TL12'!$C$238:$C$451,$C47,'TL12'!$J$238:$J$451),0),
IF('TL13'!$B$3=L$3,SUMIF('TL13'!$C$10:$C$224,$C47,'TL13'!$J$10:$J$224),0),
IF('TL13'!$B$229=L$3,SUMIF('TL13'!$C$238:$C$451,$C47,'TL13'!$J$238:$J$451),0),
IF('TL14'!$B$3=L$3,SUMIF('TL14'!$C$10:$C$224,$C47,'TL14'!$J$10:$J$224),0),
IF('TL14'!$B$229=L$3,SUMIF('TL14'!$C$238:$C$451,$C47,'TL14'!$J$238:$J$451),0),
IF('TL15'!$B$3=L$3,SUMIF('TL15'!$C$10:$C$224,$C47,'TL15'!$J$10:$J$224),0),
IF('TL15'!$B$229=L$3,SUMIF('TL15'!$C$238:$C$451,$C47,'TL15'!$J$238:$J$451),0),
IF('TL16'!$B$3=L$3,SUMIF('TL16'!$C$10:$C$224,$C47,'TL16'!$J$10:$J$224),0),
IF('TL16'!$B$229=L$3,SUMIF('TL16'!$C$238:$C$451,$C47,'TL16'!$J$238:$J$451),0),
IF('TL17'!$B$3=L$3,SUMIF('TL17'!$C$10:$C$224,$C47,'TL17'!$J$10:$J$224),0),
IF('TL17'!$B$229=L$3,SUMIF('TL17'!$C$238:$C$451,$C47,'TL17'!$J$238:$J$451),0),
IF('TL18'!$B$3=L$3,SUMIF('TL18'!$C$10:$C$224,$C47,'TL18'!$J$10:$J$224),0),
IF('TL18'!$B$229=L$3,SUMIF('TL18'!$C$238:$C$451,$C47,'TL18'!$J$238:$J$451),0),
IF('TL19'!$B$3=L$3,SUMIF('TL19'!$C$10:$C$224,$C47,'TL19'!$J$10:$J$224),0),
IF('TL19'!$B$229=L$3,SUMIF('TL19'!$C$238:$C$451,$C47,'TL19'!$J$238:$J$451),0)
),0)</f>
        <v>0</v>
      </c>
      <c r="M47" s="9">
        <f>IFERROR(SUM(
IF('TL01'!$B$3=M$3,SUMIF('TL01'!$C$10:$C$224,$C47,'TL01'!$J$10:$J$224),0),
IF('TL01'!$B$229=M$3,SUMIF('TL01'!$C$238:$C$451,$C47,'TL01'!$J$238:$J$451),0),
IF('TL02'!$B$3=M$3,SUMIF('TL02'!$C$10:$C$224,$C47,'TL02'!$J$10:$J$224),0),
IF('TL02'!$B$229=M$3,SUMIF('TL02'!$C$238:$C$451,$C47,'TL02'!$J$238:$J$451),0),
IF('TL03'!$B$3=M$3,SUMIF('TL03'!$C$10:$C$224,$C47,'TL03'!$J$10:$J$224),0),
IF('TL03'!$B$229=M$3,SUMIF('TL03'!$C$238:$C$451,$C47,'TL03'!$J$238:$J$451),0),
IF('TL04'!$B$3=M$3,SUMIF('TL04'!$C$10:$C$224,$C47,'TL04'!$J$10:$J$224),0),
IF('TL04'!$B$229=M$3,SUMIF('TL04'!$C$238:$C$451,$C47,'TL04'!$J$238:$J$451),0),
IF('TL05'!$B$3=M$3,SUMIF('TL05'!$C$10:$C$224,$C47,'TL05'!$J$10:$J$224),0),
IF('TL05'!$B$229=M$3,SUMIF('TL05'!$C$238:$C$451,$C47,'TL05'!$J$238:$J$451),0),
IF('TL06'!$B$3=M$3,SUMIF('TL06'!$C$10:$C$224,$C47,'TL06'!$J$10:$J$224),0),
IF('TL06'!$B$229=M$3,SUMIF('TL06'!$C$238:$C$451,$C47,'TL06'!$J$238:$J$451),0),
IF('TL07'!$B$3=M$3,SUMIF('TL07'!$C$10:$C$224,$C47,'TL07'!$J$10:$J$224),0),
IF('TL07'!$B$229=M$3,SUMIF('TL07'!$C$238:$C$451,$C47,'TL07'!$J$238:$J$451),0),
IF('TL08'!$B$3=M$3,SUMIF('TL08'!$C$10:$C$224,$C47,'TL08'!$J$10:$J$224),0),
IF('TL08'!$B$229=M$3,SUMIF('TL08'!$C$238:$C$451,$C47,'TL08'!$J$238:$J$451),0),
IF('TL09'!$B$3=M$3,SUMIF('TL09'!$C$10:$C$224,$C47,'TL09'!$J$10:$J$224),0),
IF('TL09'!$B$229=M$3,SUMIF('TL09'!$C$238:$C$451,$C47,'TL09'!$J$238:$J$451),0),
IF('TL10'!$B$3=M$3,SUMIF('TL10'!$C$10:$C$224,$C47,'TL10'!$J$10:$J$224),0),
IF('TL10'!$B$229=M$3,SUMIF('TL10'!$C$238:$C$451,$C47,'TL10'!$J$238:$J$451),0),
IF('TL11'!$B$3=M$3,SUMIF('TL11'!$C$10:$C$224,$C47,'TL11'!$J$10:$J$224),0),
IF('TL11'!$B$229=M$3,SUMIF('TL11'!$C$238:$C$451,$C47,'TL11'!$J$238:$J$451),0),
IF('TL12'!$B$3=M$3,SUMIF('TL12'!$C$10:$C$224,$C47,'TL12'!$J$10:$J$224),0),
IF('TL12'!$B$229=M$3,SUMIF('TL12'!$C$238:$C$451,$C47,'TL12'!$J$238:$J$451),0),
IF('TL13'!$B$3=M$3,SUMIF('TL13'!$C$10:$C$224,$C47,'TL13'!$J$10:$J$224),0),
IF('TL13'!$B$229=M$3,SUMIF('TL13'!$C$238:$C$451,$C47,'TL13'!$J$238:$J$451),0),
IF('TL14'!$B$3=M$3,SUMIF('TL14'!$C$10:$C$224,$C47,'TL14'!$J$10:$J$224),0),
IF('TL14'!$B$229=M$3,SUMIF('TL14'!$C$238:$C$451,$C47,'TL14'!$J$238:$J$451),0),
IF('TL15'!$B$3=M$3,SUMIF('TL15'!$C$10:$C$224,$C47,'TL15'!$J$10:$J$224),0),
IF('TL15'!$B$229=M$3,SUMIF('TL15'!$C$238:$C$451,$C47,'TL15'!$J$238:$J$451),0),
IF('TL16'!$B$3=M$3,SUMIF('TL16'!$C$10:$C$224,$C47,'TL16'!$J$10:$J$224),0),
IF('TL16'!$B$229=M$3,SUMIF('TL16'!$C$238:$C$451,$C47,'TL16'!$J$238:$J$451),0),
IF('TL17'!$B$3=M$3,SUMIF('TL17'!$C$10:$C$224,$C47,'TL17'!$J$10:$J$224),0),
IF('TL17'!$B$229=M$3,SUMIF('TL17'!$C$238:$C$451,$C47,'TL17'!$J$238:$J$451),0),
IF('TL18'!$B$3=M$3,SUMIF('TL18'!$C$10:$C$224,$C47,'TL18'!$J$10:$J$224),0),
IF('TL18'!$B$229=M$3,SUMIF('TL18'!$C$238:$C$451,$C47,'TL18'!$J$238:$J$451),0),
IF('TL19'!$B$3=M$3,SUMIF('TL19'!$C$10:$C$224,$C47,'TL19'!$J$10:$J$224),0),
IF('TL19'!$B$229=M$3,SUMIF('TL19'!$C$238:$C$451,$C47,'TL19'!$J$238:$J$451),0)
),0)</f>
        <v>0</v>
      </c>
      <c r="N47" s="9">
        <f>IFERROR(SUM(
IF('TL01'!$B$3=N$3,SUMIF('TL01'!$C$10:$C$224,$C47,'TL01'!$J$10:$J$224),0),
IF('TL01'!$B$229=N$3,SUMIF('TL01'!$C$238:$C$451,$C47,'TL01'!$J$238:$J$451),0),
IF('TL02'!$B$3=N$3,SUMIF('TL02'!$C$10:$C$224,$C47,'TL02'!$J$10:$J$224),0),
IF('TL02'!$B$229=N$3,SUMIF('TL02'!$C$238:$C$451,$C47,'TL02'!$J$238:$J$451),0),
IF('TL03'!$B$3=N$3,SUMIF('TL03'!$C$10:$C$224,$C47,'TL03'!$J$10:$J$224),0),
IF('TL03'!$B$229=N$3,SUMIF('TL03'!$C$238:$C$451,$C47,'TL03'!$J$238:$J$451),0),
IF('TL04'!$B$3=N$3,SUMIF('TL04'!$C$10:$C$224,$C47,'TL04'!$J$10:$J$224),0),
IF('TL04'!$B$229=N$3,SUMIF('TL04'!$C$238:$C$451,$C47,'TL04'!$J$238:$J$451),0),
IF('TL05'!$B$3=N$3,SUMIF('TL05'!$C$10:$C$224,$C47,'TL05'!$J$10:$J$224),0),
IF('TL05'!$B$229=N$3,SUMIF('TL05'!$C$238:$C$451,$C47,'TL05'!$J$238:$J$451),0),
IF('TL06'!$B$3=N$3,SUMIF('TL06'!$C$10:$C$224,$C47,'TL06'!$J$10:$J$224),0),
IF('TL06'!$B$229=N$3,SUMIF('TL06'!$C$238:$C$451,$C47,'TL06'!$J$238:$J$451),0),
IF('TL07'!$B$3=N$3,SUMIF('TL07'!$C$10:$C$224,$C47,'TL07'!$J$10:$J$224),0),
IF('TL07'!$B$229=N$3,SUMIF('TL07'!$C$238:$C$451,$C47,'TL07'!$J$238:$J$451),0),
IF('TL08'!$B$3=N$3,SUMIF('TL08'!$C$10:$C$224,$C47,'TL08'!$J$10:$J$224),0),
IF('TL08'!$B$229=N$3,SUMIF('TL08'!$C$238:$C$451,$C47,'TL08'!$J$238:$J$451),0),
IF('TL09'!$B$3=N$3,SUMIF('TL09'!$C$10:$C$224,$C47,'TL09'!$J$10:$J$224),0),
IF('TL09'!$B$229=N$3,SUMIF('TL09'!$C$238:$C$451,$C47,'TL09'!$J$238:$J$451),0),
IF('TL10'!$B$3=N$3,SUMIF('TL10'!$C$10:$C$224,$C47,'TL10'!$J$10:$J$224),0),
IF('TL10'!$B$229=N$3,SUMIF('TL10'!$C$238:$C$451,$C47,'TL10'!$J$238:$J$451),0),
IF('TL11'!$B$3=N$3,SUMIF('TL11'!$C$10:$C$224,$C47,'TL11'!$J$10:$J$224),0),
IF('TL11'!$B$229=N$3,SUMIF('TL11'!$C$238:$C$451,$C47,'TL11'!$J$238:$J$451),0),
IF('TL12'!$B$3=N$3,SUMIF('TL12'!$C$10:$C$224,$C47,'TL12'!$J$10:$J$224),0),
IF('TL12'!$B$229=N$3,SUMIF('TL12'!$C$238:$C$451,$C47,'TL12'!$J$238:$J$451),0),
IF('TL13'!$B$3=N$3,SUMIF('TL13'!$C$10:$C$224,$C47,'TL13'!$J$10:$J$224),0),
IF('TL13'!$B$229=N$3,SUMIF('TL13'!$C$238:$C$451,$C47,'TL13'!$J$238:$J$451),0),
IF('TL14'!$B$3=N$3,SUMIF('TL14'!$C$10:$C$224,$C47,'TL14'!$J$10:$J$224),0),
IF('TL14'!$B$229=N$3,SUMIF('TL14'!$C$238:$C$451,$C47,'TL14'!$J$238:$J$451),0),
IF('TL15'!$B$3=N$3,SUMIF('TL15'!$C$10:$C$224,$C47,'TL15'!$J$10:$J$224),0),
IF('TL15'!$B$229=N$3,SUMIF('TL15'!$C$238:$C$451,$C47,'TL15'!$J$238:$J$451),0),
IF('TL16'!$B$3=N$3,SUMIF('TL16'!$C$10:$C$224,$C47,'TL16'!$J$10:$J$224),0),
IF('TL16'!$B$229=N$3,SUMIF('TL16'!$C$238:$C$451,$C47,'TL16'!$J$238:$J$451),0),
IF('TL17'!$B$3=N$3,SUMIF('TL17'!$C$10:$C$224,$C47,'TL17'!$J$10:$J$224),0),
IF('TL17'!$B$229=N$3,SUMIF('TL17'!$C$238:$C$451,$C47,'TL17'!$J$238:$J$451),0),
IF('TL18'!$B$3=N$3,SUMIF('TL18'!$C$10:$C$224,$C47,'TL18'!$J$10:$J$224),0),
IF('TL18'!$B$229=N$3,SUMIF('TL18'!$C$238:$C$451,$C47,'TL18'!$J$238:$J$451),0),
IF('TL19'!$B$3=N$3,SUMIF('TL19'!$C$10:$C$224,$C47,'TL19'!$J$10:$J$224),0),
IF('TL19'!$B$229=N$3,SUMIF('TL19'!$C$238:$C$451,$C47,'TL19'!$J$238:$J$451),0)
),0)</f>
        <v>0</v>
      </c>
      <c r="O47" s="9">
        <f>IFERROR(SUM(
IF('TL01'!$B$3=O$3,SUMIF('TL01'!$C$10:$C$224,$C47,'TL01'!$J$10:$J$224),0),
IF('TL01'!$B$229=O$3,SUMIF('TL01'!$C$238:$C$451,$C47,'TL01'!$J$238:$J$451),0),
IF('TL02'!$B$3=O$3,SUMIF('TL02'!$C$10:$C$224,$C47,'TL02'!$J$10:$J$224),0),
IF('TL02'!$B$229=O$3,SUMIF('TL02'!$C$238:$C$451,$C47,'TL02'!$J$238:$J$451),0),
IF('TL03'!$B$3=O$3,SUMIF('TL03'!$C$10:$C$224,$C47,'TL03'!$J$10:$J$224),0),
IF('TL03'!$B$229=O$3,SUMIF('TL03'!$C$238:$C$451,$C47,'TL03'!$J$238:$J$451),0),
IF('TL04'!$B$3=O$3,SUMIF('TL04'!$C$10:$C$224,$C47,'TL04'!$J$10:$J$224),0),
IF('TL04'!$B$229=O$3,SUMIF('TL04'!$C$238:$C$451,$C47,'TL04'!$J$238:$J$451),0),
IF('TL05'!$B$3=O$3,SUMIF('TL05'!$C$10:$C$224,$C47,'TL05'!$J$10:$J$224),0),
IF('TL05'!$B$229=O$3,SUMIF('TL05'!$C$238:$C$451,$C47,'TL05'!$J$238:$J$451),0),
IF('TL06'!$B$3=O$3,SUMIF('TL06'!$C$10:$C$224,$C47,'TL06'!$J$10:$J$224),0),
IF('TL06'!$B$229=O$3,SUMIF('TL06'!$C$238:$C$451,$C47,'TL06'!$J$238:$J$451),0),
IF('TL07'!$B$3=O$3,SUMIF('TL07'!$C$10:$C$224,$C47,'TL07'!$J$10:$J$224),0),
IF('TL07'!$B$229=O$3,SUMIF('TL07'!$C$238:$C$451,$C47,'TL07'!$J$238:$J$451),0),
IF('TL08'!$B$3=O$3,SUMIF('TL08'!$C$10:$C$224,$C47,'TL08'!$J$10:$J$224),0),
IF('TL08'!$B$229=O$3,SUMIF('TL08'!$C$238:$C$451,$C47,'TL08'!$J$238:$J$451),0),
IF('TL09'!$B$3=O$3,SUMIF('TL09'!$C$10:$C$224,$C47,'TL09'!$J$10:$J$224),0),
IF('TL09'!$B$229=O$3,SUMIF('TL09'!$C$238:$C$451,$C47,'TL09'!$J$238:$J$451),0),
IF('TL10'!$B$3=O$3,SUMIF('TL10'!$C$10:$C$224,$C47,'TL10'!$J$10:$J$224),0),
IF('TL10'!$B$229=O$3,SUMIF('TL10'!$C$238:$C$451,$C47,'TL10'!$J$238:$J$451),0),
IF('TL11'!$B$3=O$3,SUMIF('TL11'!$C$10:$C$224,$C47,'TL11'!$J$10:$J$224),0),
IF('TL11'!$B$229=O$3,SUMIF('TL11'!$C$238:$C$451,$C47,'TL11'!$J$238:$J$451),0),
IF('TL12'!$B$3=O$3,SUMIF('TL12'!$C$10:$C$224,$C47,'TL12'!$J$10:$J$224),0),
IF('TL12'!$B$229=O$3,SUMIF('TL12'!$C$238:$C$451,$C47,'TL12'!$J$238:$J$451),0),
IF('TL13'!$B$3=O$3,SUMIF('TL13'!$C$10:$C$224,$C47,'TL13'!$J$10:$J$224),0),
IF('TL13'!$B$229=O$3,SUMIF('TL13'!$C$238:$C$451,$C47,'TL13'!$J$238:$J$451),0),
IF('TL14'!$B$3=O$3,SUMIF('TL14'!$C$10:$C$224,$C47,'TL14'!$J$10:$J$224),0),
IF('TL14'!$B$229=O$3,SUMIF('TL14'!$C$238:$C$451,$C47,'TL14'!$J$238:$J$451),0),
IF('TL15'!$B$3=O$3,SUMIF('TL15'!$C$10:$C$224,$C47,'TL15'!$J$10:$J$224),0),
IF('TL15'!$B$229=O$3,SUMIF('TL15'!$C$238:$C$451,$C47,'TL15'!$J$238:$J$451),0),
IF('TL16'!$B$3=O$3,SUMIF('TL16'!$C$10:$C$224,$C47,'TL16'!$J$10:$J$224),0),
IF('TL16'!$B$229=O$3,SUMIF('TL16'!$C$238:$C$451,$C47,'TL16'!$J$238:$J$451),0),
IF('TL17'!$B$3=O$3,SUMIF('TL17'!$C$10:$C$224,$C47,'TL17'!$J$10:$J$224),0),
IF('TL17'!$B$229=O$3,SUMIF('TL17'!$C$238:$C$451,$C47,'TL17'!$J$238:$J$451),0),
IF('TL18'!$B$3=O$3,SUMIF('TL18'!$C$10:$C$224,$C47,'TL18'!$J$10:$J$224),0),
IF('TL18'!$B$229=O$3,SUMIF('TL18'!$C$238:$C$451,$C47,'TL18'!$J$238:$J$451),0),
IF('TL19'!$B$3=O$3,SUMIF('TL19'!$C$10:$C$224,$C47,'TL19'!$J$10:$J$224),0),
IF('TL19'!$B$229=O$3,SUMIF('TL19'!$C$238:$C$451,$C47,'TL19'!$J$238:$J$451),0)
),0)</f>
        <v>0</v>
      </c>
      <c r="P47" s="9">
        <f>IFERROR(SUM(
IF('TL01'!$B$3=P$3,SUMIF('TL01'!$C$10:$C$224,$C47,'TL01'!$J$10:$J$224),0),
IF('TL01'!$B$229=P$3,SUMIF('TL01'!$C$238:$C$451,$C47,'TL01'!$J$238:$J$451),0),
IF('TL02'!$B$3=P$3,SUMIF('TL02'!$C$10:$C$224,$C47,'TL02'!$J$10:$J$224),0),
IF('TL02'!$B$229=P$3,SUMIF('TL02'!$C$238:$C$451,$C47,'TL02'!$J$238:$J$451),0),
IF('TL03'!$B$3=P$3,SUMIF('TL03'!$C$10:$C$224,$C47,'TL03'!$J$10:$J$224),0),
IF('TL03'!$B$229=P$3,SUMIF('TL03'!$C$238:$C$451,$C47,'TL03'!$J$238:$J$451),0),
IF('TL04'!$B$3=P$3,SUMIF('TL04'!$C$10:$C$224,$C47,'TL04'!$J$10:$J$224),0),
IF('TL04'!$B$229=P$3,SUMIF('TL04'!$C$238:$C$451,$C47,'TL04'!$J$238:$J$451),0),
IF('TL05'!$B$3=P$3,SUMIF('TL05'!$C$10:$C$224,$C47,'TL05'!$J$10:$J$224),0),
IF('TL05'!$B$229=P$3,SUMIF('TL05'!$C$238:$C$451,$C47,'TL05'!$J$238:$J$451),0),
IF('TL06'!$B$3=P$3,SUMIF('TL06'!$C$10:$C$224,$C47,'TL06'!$J$10:$J$224),0),
IF('TL06'!$B$229=P$3,SUMIF('TL06'!$C$238:$C$451,$C47,'TL06'!$J$238:$J$451),0),
IF('TL07'!$B$3=P$3,SUMIF('TL07'!$C$10:$C$224,$C47,'TL07'!$J$10:$J$224),0),
IF('TL07'!$B$229=P$3,SUMIF('TL07'!$C$238:$C$451,$C47,'TL07'!$J$238:$J$451),0),
IF('TL08'!$B$3=P$3,SUMIF('TL08'!$C$10:$C$224,$C47,'TL08'!$J$10:$J$224),0),
IF('TL08'!$B$229=P$3,SUMIF('TL08'!$C$238:$C$451,$C47,'TL08'!$J$238:$J$451),0),
IF('TL09'!$B$3=P$3,SUMIF('TL09'!$C$10:$C$224,$C47,'TL09'!$J$10:$J$224),0),
IF('TL09'!$B$229=P$3,SUMIF('TL09'!$C$238:$C$451,$C47,'TL09'!$J$238:$J$451),0),
IF('TL10'!$B$3=P$3,SUMIF('TL10'!$C$10:$C$224,$C47,'TL10'!$J$10:$J$224),0),
IF('TL10'!$B$229=P$3,SUMIF('TL10'!$C$238:$C$451,$C47,'TL10'!$J$238:$J$451),0),
IF('TL11'!$B$3=P$3,SUMIF('TL11'!$C$10:$C$224,$C47,'TL11'!$J$10:$J$224),0),
IF('TL11'!$B$229=P$3,SUMIF('TL11'!$C$238:$C$451,$C47,'TL11'!$J$238:$J$451),0),
IF('TL12'!$B$3=P$3,SUMIF('TL12'!$C$10:$C$224,$C47,'TL12'!$J$10:$J$224),0),
IF('TL12'!$B$229=P$3,SUMIF('TL12'!$C$238:$C$451,$C47,'TL12'!$J$238:$J$451),0),
IF('TL13'!$B$3=P$3,SUMIF('TL13'!$C$10:$C$224,$C47,'TL13'!$J$10:$J$224),0),
IF('TL13'!$B$229=P$3,SUMIF('TL13'!$C$238:$C$451,$C47,'TL13'!$J$238:$J$451),0),
IF('TL14'!$B$3=P$3,SUMIF('TL14'!$C$10:$C$224,$C47,'TL14'!$J$10:$J$224),0),
IF('TL14'!$B$229=P$3,SUMIF('TL14'!$C$238:$C$451,$C47,'TL14'!$J$238:$J$451),0),
IF('TL15'!$B$3=P$3,SUMIF('TL15'!$C$10:$C$224,$C47,'TL15'!$J$10:$J$224),0),
IF('TL15'!$B$229=P$3,SUMIF('TL15'!$C$238:$C$451,$C47,'TL15'!$J$238:$J$451),0),
IF('TL16'!$B$3=P$3,SUMIF('TL16'!$C$10:$C$224,$C47,'TL16'!$J$10:$J$224),0),
IF('TL16'!$B$229=P$3,SUMIF('TL16'!$C$238:$C$451,$C47,'TL16'!$J$238:$J$451),0),
IF('TL17'!$B$3=P$3,SUMIF('TL17'!$C$10:$C$224,$C47,'TL17'!$J$10:$J$224),0),
IF('TL17'!$B$229=P$3,SUMIF('TL17'!$C$238:$C$451,$C47,'TL17'!$J$238:$J$451),0),
IF('TL18'!$B$3=P$3,SUMIF('TL18'!$C$10:$C$224,$C47,'TL18'!$J$10:$J$224),0),
IF('TL18'!$B$229=P$3,SUMIF('TL18'!$C$238:$C$451,$C47,'TL18'!$J$238:$J$451),0),
IF('TL19'!$B$3=P$3,SUMIF('TL19'!$C$10:$C$224,$C47,'TL19'!$J$10:$J$224),0),
IF('TL19'!$B$229=P$3,SUMIF('TL19'!$C$238:$C$451,$C47,'TL19'!$J$238:$J$451),0)
),0)</f>
        <v>0</v>
      </c>
      <c r="Q47" s="9">
        <f>IFERROR(SUM(
IF('TL01'!$B$3=Q$3,SUMIF('TL01'!$C$10:$C$224,$C47,'TL01'!$J$10:$J$224),0),
IF('TL01'!$B$229=Q$3,SUMIF('TL01'!$C$238:$C$451,$C47,'TL01'!$J$238:$J$451),0),
IF('TL02'!$B$3=Q$3,SUMIF('TL02'!$C$10:$C$224,$C47,'TL02'!$J$10:$J$224),0),
IF('TL02'!$B$229=Q$3,SUMIF('TL02'!$C$238:$C$451,$C47,'TL02'!$J$238:$J$451),0),
IF('TL03'!$B$3=Q$3,SUMIF('TL03'!$C$10:$C$224,$C47,'TL03'!$J$10:$J$224),0),
IF('TL03'!$B$229=Q$3,SUMIF('TL03'!$C$238:$C$451,$C47,'TL03'!$J$238:$J$451),0),
IF('TL04'!$B$3=Q$3,SUMIF('TL04'!$C$10:$C$224,$C47,'TL04'!$J$10:$J$224),0),
IF('TL04'!$B$229=Q$3,SUMIF('TL04'!$C$238:$C$451,$C47,'TL04'!$J$238:$J$451),0),
IF('TL05'!$B$3=Q$3,SUMIF('TL05'!$C$10:$C$224,$C47,'TL05'!$J$10:$J$224),0),
IF('TL05'!$B$229=Q$3,SUMIF('TL05'!$C$238:$C$451,$C47,'TL05'!$J$238:$J$451),0),
IF('TL06'!$B$3=Q$3,SUMIF('TL06'!$C$10:$C$224,$C47,'TL06'!$J$10:$J$224),0),
IF('TL06'!$B$229=Q$3,SUMIF('TL06'!$C$238:$C$451,$C47,'TL06'!$J$238:$J$451),0),
IF('TL07'!$B$3=Q$3,SUMIF('TL07'!$C$10:$C$224,$C47,'TL07'!$J$10:$J$224),0),
IF('TL07'!$B$229=Q$3,SUMIF('TL07'!$C$238:$C$451,$C47,'TL07'!$J$238:$J$451),0),
IF('TL08'!$B$3=Q$3,SUMIF('TL08'!$C$10:$C$224,$C47,'TL08'!$J$10:$J$224),0),
IF('TL08'!$B$229=Q$3,SUMIF('TL08'!$C$238:$C$451,$C47,'TL08'!$J$238:$J$451),0),
IF('TL09'!$B$3=Q$3,SUMIF('TL09'!$C$10:$C$224,$C47,'TL09'!$J$10:$J$224),0),
IF('TL09'!$B$229=Q$3,SUMIF('TL09'!$C$238:$C$451,$C47,'TL09'!$J$238:$J$451),0),
IF('TL10'!$B$3=Q$3,SUMIF('TL10'!$C$10:$C$224,$C47,'TL10'!$J$10:$J$224),0),
IF('TL10'!$B$229=Q$3,SUMIF('TL10'!$C$238:$C$451,$C47,'TL10'!$J$238:$J$451),0),
IF('TL11'!$B$3=Q$3,SUMIF('TL11'!$C$10:$C$224,$C47,'TL11'!$J$10:$J$224),0),
IF('TL11'!$B$229=Q$3,SUMIF('TL11'!$C$238:$C$451,$C47,'TL11'!$J$238:$J$451),0),
IF('TL12'!$B$3=Q$3,SUMIF('TL12'!$C$10:$C$224,$C47,'TL12'!$J$10:$J$224),0),
IF('TL12'!$B$229=Q$3,SUMIF('TL12'!$C$238:$C$451,$C47,'TL12'!$J$238:$J$451),0),
IF('TL13'!$B$3=Q$3,SUMIF('TL13'!$C$10:$C$224,$C47,'TL13'!$J$10:$J$224),0),
IF('TL13'!$B$229=Q$3,SUMIF('TL13'!$C$238:$C$451,$C47,'TL13'!$J$238:$J$451),0),
IF('TL14'!$B$3=Q$3,SUMIF('TL14'!$C$10:$C$224,$C47,'TL14'!$J$10:$J$224),0),
IF('TL14'!$B$229=Q$3,SUMIF('TL14'!$C$238:$C$451,$C47,'TL14'!$J$238:$J$451),0),
IF('TL15'!$B$3=Q$3,SUMIF('TL15'!$C$10:$C$224,$C47,'TL15'!$J$10:$J$224),0),
IF('TL15'!$B$229=Q$3,SUMIF('TL15'!$C$238:$C$451,$C47,'TL15'!$J$238:$J$451),0),
IF('TL16'!$B$3=Q$3,SUMIF('TL16'!$C$10:$C$224,$C47,'TL16'!$J$10:$J$224),0),
IF('TL16'!$B$229=Q$3,SUMIF('TL16'!$C$238:$C$451,$C47,'TL16'!$J$238:$J$451),0),
IF('TL17'!$B$3=Q$3,SUMIF('TL17'!$C$10:$C$224,$C47,'TL17'!$J$10:$J$224),0),
IF('TL17'!$B$229=Q$3,SUMIF('TL17'!$C$238:$C$451,$C47,'TL17'!$J$238:$J$451),0),
IF('TL18'!$B$3=Q$3,SUMIF('TL18'!$C$10:$C$224,$C47,'TL18'!$J$10:$J$224),0),
IF('TL18'!$B$229=Q$3,SUMIF('TL18'!$C$238:$C$451,$C47,'TL18'!$J$238:$J$451),0),
IF('TL19'!$B$3=Q$3,SUMIF('TL19'!$C$10:$C$224,$C47,'TL19'!$J$10:$J$224),0),
IF('TL19'!$B$229=Q$3,SUMIF('TL19'!$C$238:$C$451,$C47,'TL19'!$J$238:$J$451),0)
),0)</f>
        <v>0</v>
      </c>
      <c r="R47" s="9">
        <f>IFERROR(
SUM(
SUMIF('TL01'!C:C,C47,'TL01'!J:J),
SUMIF('TL02'!C:C,C47,'TL02'!J:J),
SUMIF('TL03'!C:C,C47,'TL03'!J:J),
SUMIF('TL04'!C:C,C47,'TL04'!J:J),
SUMIF('TL05'!C:C,C47,'TL05'!J:J),
SUMIF('TL06'!C:C,C47,'TL06'!J:J),
SUMIF('TL07'!C:C,C47,'TL07'!J:J),
SUMIF('TL08'!C:C,C47,'TL08'!J:J),
SUMIF('TL09'!C:C,C47,'TL09'!J:J),
SUMIF('TL10'!C:C,C47,'TL10'!J:J),
SUMIF('TL11'!C:C,C47,'TL11'!J:J),
SUMIF('TL12'!C:C,C47,'TL12'!J:J),
SUMIF('TL13'!C:C,C47,'TL13'!J:J),
SUMIF('TL14'!C:C,C47,'TL14'!J:J),
SUMIF('TL15'!C:C,C47,'TL15'!J:J),
SUMIF('TL16'!C:C,C47,'TL16'!J:J),
SUMIF('TL17'!C:C,C47,'TL17'!J:J),
SUMIF('TL18'!C:C,C47,'TL18'!J:J),SUMIF('TL19'!C:C,C47,'TL19'!J:J))
,0)</f>
        <v>0</v>
      </c>
      <c r="S47" s="17">
        <f>IFERROR(__xludf.DUMMYFUNCTION("IFERROR(VLOOKUP(C47,
IMPORTRANGE(""1wULbzX32WdYsx-lj2U3uUNBBe2INVIRDtcK0d-Dvl90"",
""26-27!C:G""),
5,
FALSE),
"""")"),160.40160000000003)</f>
        <v>160.4016</v>
      </c>
      <c r="T47" s="9"/>
      <c r="U47" s="92">
        <f t="shared" si="2"/>
        <v>0</v>
      </c>
      <c r="V47" s="93">
        <f t="shared" si="3"/>
        <v>0</v>
      </c>
    </row>
    <row r="48" ht="15.75" hidden="1" customHeight="1">
      <c r="A48" s="115" t="s">
        <v>345</v>
      </c>
      <c r="B48" s="100" t="s">
        <v>0</v>
      </c>
      <c r="C48" s="116" t="s">
        <v>457</v>
      </c>
      <c r="D48" s="116" t="s">
        <v>458</v>
      </c>
      <c r="E48" s="116" t="s">
        <v>459</v>
      </c>
      <c r="F48" s="4" t="s">
        <v>343</v>
      </c>
      <c r="G48" s="90" t="str">
        <f t="shared" si="4"/>
        <v>📄 Ver bula</v>
      </c>
      <c r="H48" s="9">
        <f>IFERROR(__xludf.DUMMYFUNCTION("IFERROR(VLOOKUP(C48,
IMPORTRANGE(""1wULbzX32WdYsx-lj2U3uUNBBe2INVIRDtcK0d-Dvl90"",
""26-27!C:K""),
8,
FALSE),
"""")"),0.35)</f>
        <v>0.35</v>
      </c>
      <c r="I48" s="117" t="s">
        <v>361</v>
      </c>
      <c r="J48" s="9">
        <f>IFERROR(SUM(
IF('TL01'!$B$3=J$3,SUMIF('TL01'!$C$10:$C$224,$C48,'TL01'!$J$10:$J$224),0),
IF('TL01'!$B$229=J$3,SUMIF('TL01'!$C$238:$C$451,$C48,'TL01'!$J$238:$J$451),0),
IF('TL02'!$B$3=J$3,SUMIF('TL02'!$C$10:$C$224,$C48,'TL02'!$J$10:$J$224),0),
IF('TL02'!$B$229=J$3,SUMIF('TL02'!$C$238:$C$451,$C48,'TL02'!$J$238:$J$451),0),
IF('TL03'!$B$3=J$3,SUMIF('TL03'!$C$10:$C$224,$C48,'TL03'!$J$10:$J$224),0),
IF('TL03'!$B$229=J$3,SUMIF('TL03'!$C$238:$C$451,$C48,'TL03'!$J$238:$J$451),0),
IF('TL04'!$B$3=J$3,SUMIF('TL04'!$C$10:$C$224,$C48,'TL04'!$J$10:$J$224),0),
IF('TL04'!$B$229=J$3,SUMIF('TL04'!$C$238:$C$451,$C48,'TL04'!$J$238:$J$451),0),
IF('TL05'!$B$3=J$3,SUMIF('TL05'!$C$10:$C$224,$C48,'TL05'!$J$10:$J$224),0),
IF('TL05'!$B$229=J$3,SUMIF('TL05'!$C$238:$C$451,$C48,'TL05'!$J$238:$J$451),0),
IF('TL06'!$B$3=J$3,SUMIF('TL06'!$C$10:$C$224,$C48,'TL06'!$J$10:$J$224),0),
IF('TL06'!$B$229=J$3,SUMIF('TL06'!$C$238:$C$451,$C48,'TL06'!$J$238:$J$451),0),
IF('TL07'!$B$3=J$3,SUMIF('TL07'!$C$10:$C$224,$C48,'TL07'!$J$10:$J$224),0),
IF('TL07'!$B$229=J$3,SUMIF('TL07'!$C$238:$C$451,$C48,'TL07'!$J$238:$J$451),0),
IF('TL08'!$B$3=J$3,SUMIF('TL08'!$C$10:$C$224,$C48,'TL08'!$J$10:$J$224),0),
IF('TL08'!$B$229=J$3,SUMIF('TL08'!$C$238:$C$451,$C48,'TL08'!$J$238:$J$451),0),
IF('TL09'!$B$3=J$3,SUMIF('TL09'!$C$10:$C$224,$C48,'TL09'!$J$10:$J$224),0),
IF('TL09'!$B$229=J$3,SUMIF('TL09'!$C$238:$C$451,$C48,'TL09'!$J$238:$J$451),0),
IF('TL10'!$B$3=J$3,SUMIF('TL10'!$C$10:$C$224,$C48,'TL10'!$J$10:$J$224),0),
IF('TL10'!$B$229=J$3,SUMIF('TL10'!$C$238:$C$451,$C48,'TL10'!$J$238:$J$451),0),
IF('TL11'!$B$3=J$3,SUMIF('TL11'!$C$10:$C$224,$C48,'TL11'!$J$10:$J$224),0),
IF('TL11'!$B$229=J$3,SUMIF('TL11'!$C$238:$C$451,$C48,'TL11'!$J$238:$J$451),0),
IF('TL12'!$B$3=J$3,SUMIF('TL12'!$C$10:$C$224,$C48,'TL12'!$J$10:$J$224),0),
IF('TL12'!$B$229=J$3,SUMIF('TL12'!$C$238:$C$451,$C48,'TL12'!$J$238:$J$451),0),
IF('TL13'!$B$3=J$3,SUMIF('TL13'!$C$10:$C$224,$C48,'TL13'!$J$10:$J$224),0),
IF('TL13'!$B$229=J$3,SUMIF('TL13'!$C$238:$C$451,$C48,'TL13'!$J$238:$J$451),0),
IF('TL14'!$B$3=J$3,SUMIF('TL14'!$C$10:$C$224,$C48,'TL14'!$J$10:$J$224),0),
IF('TL14'!$B$229=J$3,SUMIF('TL14'!$C$238:$C$451,$C48,'TL14'!$J$238:$J$451),0),
IF('TL15'!$B$3=J$3,SUMIF('TL15'!$C$10:$C$224,$C48,'TL15'!$J$10:$J$224),0),
IF('TL15'!$B$229=J$3,SUMIF('TL15'!$C$238:$C$451,$C48,'TL15'!$J$238:$J$451),0),
IF('TL16'!$B$3=J$3,SUMIF('TL16'!$C$10:$C$224,$C48,'TL16'!$J$10:$J$224),0),
IF('TL16'!$B$229=J$3,SUMIF('TL16'!$C$238:$C$451,$C48,'TL16'!$J$238:$J$451),0),
IF('TL17'!$B$3=J$3,SUMIF('TL17'!$C$10:$C$224,$C48,'TL17'!$J$10:$J$224),0),
IF('TL17'!$B$229=J$3,SUMIF('TL17'!$C$238:$C$451,$C48,'TL17'!$J$238:$J$451),0),
IF('TL18'!$B$3=J$3,SUMIF('TL18'!$C$10:$C$224,$C48,'TL18'!$J$10:$J$224),0),
IF('TL18'!$B$229=J$3,SUMIF('TL18'!$C$238:$C$451,$C48,'TL18'!$J$238:$J$451),0),
IF('TL19'!$B$3=J$3,SUMIF('TL19'!$C$10:$C$224,$C48,'TL19'!$J$10:$J$224),0),
IF('TL19'!$B$229=J$3,SUMIF('TL19'!$C$238:$C$451,$C48,'TL19'!$J$238:$J$451),0)
),0)</f>
        <v>0</v>
      </c>
      <c r="K48" s="9">
        <f>IFERROR(SUM(
IF('TL01'!$B$3=K$3,SUMIF('TL01'!$C$10:$C$224,$C48,'TL01'!$J$10:$J$224),0),
IF('TL01'!$B$229=K$3,SUMIF('TL01'!$C$238:$C$451,$C48,'TL01'!$J$238:$J$451),0),
IF('TL02'!$B$3=K$3,SUMIF('TL02'!$C$10:$C$224,$C48,'TL02'!$J$10:$J$224),0),
IF('TL02'!$B$229=K$3,SUMIF('TL02'!$C$238:$C$451,$C48,'TL02'!$J$238:$J$451),0),
IF('TL03'!$B$3=K$3,SUMIF('TL03'!$C$10:$C$224,$C48,'TL03'!$J$10:$J$224),0),
IF('TL03'!$B$229=K$3,SUMIF('TL03'!$C$238:$C$451,$C48,'TL03'!$J$238:$J$451),0),
IF('TL04'!$B$3=K$3,SUMIF('TL04'!$C$10:$C$224,$C48,'TL04'!$J$10:$J$224),0),
IF('TL04'!$B$229=K$3,SUMIF('TL04'!$C$238:$C$451,$C48,'TL04'!$J$238:$J$451),0),
IF('TL05'!$B$3=K$3,SUMIF('TL05'!$C$10:$C$224,$C48,'TL05'!$J$10:$J$224),0),
IF('TL05'!$B$229=K$3,SUMIF('TL05'!$C$238:$C$451,$C48,'TL05'!$J$238:$J$451),0),
IF('TL06'!$B$3=K$3,SUMIF('TL06'!$C$10:$C$224,$C48,'TL06'!$J$10:$J$224),0),
IF('TL06'!$B$229=K$3,SUMIF('TL06'!$C$238:$C$451,$C48,'TL06'!$J$238:$J$451),0),
IF('TL07'!$B$3=K$3,SUMIF('TL07'!$C$10:$C$224,$C48,'TL07'!$J$10:$J$224),0),
IF('TL07'!$B$229=K$3,SUMIF('TL07'!$C$238:$C$451,$C48,'TL07'!$J$238:$J$451),0),
IF('TL08'!$B$3=K$3,SUMIF('TL08'!$C$10:$C$224,$C48,'TL08'!$J$10:$J$224),0),
IF('TL08'!$B$229=K$3,SUMIF('TL08'!$C$238:$C$451,$C48,'TL08'!$J$238:$J$451),0),
IF('TL09'!$B$3=K$3,SUMIF('TL09'!$C$10:$C$224,$C48,'TL09'!$J$10:$J$224),0),
IF('TL09'!$B$229=K$3,SUMIF('TL09'!$C$238:$C$451,$C48,'TL09'!$J$238:$J$451),0),
IF('TL10'!$B$3=K$3,SUMIF('TL10'!$C$10:$C$224,$C48,'TL10'!$J$10:$J$224),0),
IF('TL10'!$B$229=K$3,SUMIF('TL10'!$C$238:$C$451,$C48,'TL10'!$J$238:$J$451),0),
IF('TL11'!$B$3=K$3,SUMIF('TL11'!$C$10:$C$224,$C48,'TL11'!$J$10:$J$224),0),
IF('TL11'!$B$229=K$3,SUMIF('TL11'!$C$238:$C$451,$C48,'TL11'!$J$238:$J$451),0),
IF('TL12'!$B$3=K$3,SUMIF('TL12'!$C$10:$C$224,$C48,'TL12'!$J$10:$J$224),0),
IF('TL12'!$B$229=K$3,SUMIF('TL12'!$C$238:$C$451,$C48,'TL12'!$J$238:$J$451),0),
IF('TL13'!$B$3=K$3,SUMIF('TL13'!$C$10:$C$224,$C48,'TL13'!$J$10:$J$224),0),
IF('TL13'!$B$229=K$3,SUMIF('TL13'!$C$238:$C$451,$C48,'TL13'!$J$238:$J$451),0),
IF('TL14'!$B$3=K$3,SUMIF('TL14'!$C$10:$C$224,$C48,'TL14'!$J$10:$J$224),0),
IF('TL14'!$B$229=K$3,SUMIF('TL14'!$C$238:$C$451,$C48,'TL14'!$J$238:$J$451),0),
IF('TL15'!$B$3=K$3,SUMIF('TL15'!$C$10:$C$224,$C48,'TL15'!$J$10:$J$224),0),
IF('TL15'!$B$229=K$3,SUMIF('TL15'!$C$238:$C$451,$C48,'TL15'!$J$238:$J$451),0),
IF('TL16'!$B$3=K$3,SUMIF('TL16'!$C$10:$C$224,$C48,'TL16'!$J$10:$J$224),0),
IF('TL16'!$B$229=K$3,SUMIF('TL16'!$C$238:$C$451,$C48,'TL16'!$J$238:$J$451),0),
IF('TL17'!$B$3=K$3,SUMIF('TL17'!$C$10:$C$224,$C48,'TL17'!$J$10:$J$224),0),
IF('TL17'!$B$229=K$3,SUMIF('TL17'!$C$238:$C$451,$C48,'TL17'!$J$238:$J$451),0),
IF('TL18'!$B$3=K$3,SUMIF('TL18'!$C$10:$C$224,$C48,'TL18'!$J$10:$J$224),0),
IF('TL18'!$B$229=K$3,SUMIF('TL18'!$C$238:$C$451,$C48,'TL18'!$J$238:$J$451),0),
IF('TL19'!$B$3=K$3,SUMIF('TL19'!$C$10:$C$224,$C48,'TL19'!$J$10:$J$224),0),
IF('TL19'!$B$229=K$3,SUMIF('TL19'!$C$238:$C$451,$C48,'TL19'!$J$238:$J$451),0)
),0)</f>
        <v>0</v>
      </c>
      <c r="L48" s="9">
        <f>IFERROR(SUM(
IF('TL01'!$B$3=L$3,SUMIF('TL01'!$C$10:$C$224,$C48,'TL01'!$J$10:$J$224),0),
IF('TL01'!$B$229=L$3,SUMIF('TL01'!$C$238:$C$451,$C48,'TL01'!$J$238:$J$451),0),
IF('TL02'!$B$3=L$3,SUMIF('TL02'!$C$10:$C$224,$C48,'TL02'!$J$10:$J$224),0),
IF('TL02'!$B$229=L$3,SUMIF('TL02'!$C$238:$C$451,$C48,'TL02'!$J$238:$J$451),0),
IF('TL03'!$B$3=L$3,SUMIF('TL03'!$C$10:$C$224,$C48,'TL03'!$J$10:$J$224),0),
IF('TL03'!$B$229=L$3,SUMIF('TL03'!$C$238:$C$451,$C48,'TL03'!$J$238:$J$451),0),
IF('TL04'!$B$3=L$3,SUMIF('TL04'!$C$10:$C$224,$C48,'TL04'!$J$10:$J$224),0),
IF('TL04'!$B$229=L$3,SUMIF('TL04'!$C$238:$C$451,$C48,'TL04'!$J$238:$J$451),0),
IF('TL05'!$B$3=L$3,SUMIF('TL05'!$C$10:$C$224,$C48,'TL05'!$J$10:$J$224),0),
IF('TL05'!$B$229=L$3,SUMIF('TL05'!$C$238:$C$451,$C48,'TL05'!$J$238:$J$451),0),
IF('TL06'!$B$3=L$3,SUMIF('TL06'!$C$10:$C$224,$C48,'TL06'!$J$10:$J$224),0),
IF('TL06'!$B$229=L$3,SUMIF('TL06'!$C$238:$C$451,$C48,'TL06'!$J$238:$J$451),0),
IF('TL07'!$B$3=L$3,SUMIF('TL07'!$C$10:$C$224,$C48,'TL07'!$J$10:$J$224),0),
IF('TL07'!$B$229=L$3,SUMIF('TL07'!$C$238:$C$451,$C48,'TL07'!$J$238:$J$451),0),
IF('TL08'!$B$3=L$3,SUMIF('TL08'!$C$10:$C$224,$C48,'TL08'!$J$10:$J$224),0),
IF('TL08'!$B$229=L$3,SUMIF('TL08'!$C$238:$C$451,$C48,'TL08'!$J$238:$J$451),0),
IF('TL09'!$B$3=L$3,SUMIF('TL09'!$C$10:$C$224,$C48,'TL09'!$J$10:$J$224),0),
IF('TL09'!$B$229=L$3,SUMIF('TL09'!$C$238:$C$451,$C48,'TL09'!$J$238:$J$451),0),
IF('TL10'!$B$3=L$3,SUMIF('TL10'!$C$10:$C$224,$C48,'TL10'!$J$10:$J$224),0),
IF('TL10'!$B$229=L$3,SUMIF('TL10'!$C$238:$C$451,$C48,'TL10'!$J$238:$J$451),0),
IF('TL11'!$B$3=L$3,SUMIF('TL11'!$C$10:$C$224,$C48,'TL11'!$J$10:$J$224),0),
IF('TL11'!$B$229=L$3,SUMIF('TL11'!$C$238:$C$451,$C48,'TL11'!$J$238:$J$451),0),
IF('TL12'!$B$3=L$3,SUMIF('TL12'!$C$10:$C$224,$C48,'TL12'!$J$10:$J$224),0),
IF('TL12'!$B$229=L$3,SUMIF('TL12'!$C$238:$C$451,$C48,'TL12'!$J$238:$J$451),0),
IF('TL13'!$B$3=L$3,SUMIF('TL13'!$C$10:$C$224,$C48,'TL13'!$J$10:$J$224),0),
IF('TL13'!$B$229=L$3,SUMIF('TL13'!$C$238:$C$451,$C48,'TL13'!$J$238:$J$451),0),
IF('TL14'!$B$3=L$3,SUMIF('TL14'!$C$10:$C$224,$C48,'TL14'!$J$10:$J$224),0),
IF('TL14'!$B$229=L$3,SUMIF('TL14'!$C$238:$C$451,$C48,'TL14'!$J$238:$J$451),0),
IF('TL15'!$B$3=L$3,SUMIF('TL15'!$C$10:$C$224,$C48,'TL15'!$J$10:$J$224),0),
IF('TL15'!$B$229=L$3,SUMIF('TL15'!$C$238:$C$451,$C48,'TL15'!$J$238:$J$451),0),
IF('TL16'!$B$3=L$3,SUMIF('TL16'!$C$10:$C$224,$C48,'TL16'!$J$10:$J$224),0),
IF('TL16'!$B$229=L$3,SUMIF('TL16'!$C$238:$C$451,$C48,'TL16'!$J$238:$J$451),0),
IF('TL17'!$B$3=L$3,SUMIF('TL17'!$C$10:$C$224,$C48,'TL17'!$J$10:$J$224),0),
IF('TL17'!$B$229=L$3,SUMIF('TL17'!$C$238:$C$451,$C48,'TL17'!$J$238:$J$451),0),
IF('TL18'!$B$3=L$3,SUMIF('TL18'!$C$10:$C$224,$C48,'TL18'!$J$10:$J$224),0),
IF('TL18'!$B$229=L$3,SUMIF('TL18'!$C$238:$C$451,$C48,'TL18'!$J$238:$J$451),0),
IF('TL19'!$B$3=L$3,SUMIF('TL19'!$C$10:$C$224,$C48,'TL19'!$J$10:$J$224),0),
IF('TL19'!$B$229=L$3,SUMIF('TL19'!$C$238:$C$451,$C48,'TL19'!$J$238:$J$451),0)
),0)</f>
        <v>0</v>
      </c>
      <c r="M48" s="9">
        <f>IFERROR(SUM(
IF('TL01'!$B$3=M$3,SUMIF('TL01'!$C$10:$C$224,$C48,'TL01'!$J$10:$J$224),0),
IF('TL01'!$B$229=M$3,SUMIF('TL01'!$C$238:$C$451,$C48,'TL01'!$J$238:$J$451),0),
IF('TL02'!$B$3=M$3,SUMIF('TL02'!$C$10:$C$224,$C48,'TL02'!$J$10:$J$224),0),
IF('TL02'!$B$229=M$3,SUMIF('TL02'!$C$238:$C$451,$C48,'TL02'!$J$238:$J$451),0),
IF('TL03'!$B$3=M$3,SUMIF('TL03'!$C$10:$C$224,$C48,'TL03'!$J$10:$J$224),0),
IF('TL03'!$B$229=M$3,SUMIF('TL03'!$C$238:$C$451,$C48,'TL03'!$J$238:$J$451),0),
IF('TL04'!$B$3=M$3,SUMIF('TL04'!$C$10:$C$224,$C48,'TL04'!$J$10:$J$224),0),
IF('TL04'!$B$229=M$3,SUMIF('TL04'!$C$238:$C$451,$C48,'TL04'!$J$238:$J$451),0),
IF('TL05'!$B$3=M$3,SUMIF('TL05'!$C$10:$C$224,$C48,'TL05'!$J$10:$J$224),0),
IF('TL05'!$B$229=M$3,SUMIF('TL05'!$C$238:$C$451,$C48,'TL05'!$J$238:$J$451),0),
IF('TL06'!$B$3=M$3,SUMIF('TL06'!$C$10:$C$224,$C48,'TL06'!$J$10:$J$224),0),
IF('TL06'!$B$229=M$3,SUMIF('TL06'!$C$238:$C$451,$C48,'TL06'!$J$238:$J$451),0),
IF('TL07'!$B$3=M$3,SUMIF('TL07'!$C$10:$C$224,$C48,'TL07'!$J$10:$J$224),0),
IF('TL07'!$B$229=M$3,SUMIF('TL07'!$C$238:$C$451,$C48,'TL07'!$J$238:$J$451),0),
IF('TL08'!$B$3=M$3,SUMIF('TL08'!$C$10:$C$224,$C48,'TL08'!$J$10:$J$224),0),
IF('TL08'!$B$229=M$3,SUMIF('TL08'!$C$238:$C$451,$C48,'TL08'!$J$238:$J$451),0),
IF('TL09'!$B$3=M$3,SUMIF('TL09'!$C$10:$C$224,$C48,'TL09'!$J$10:$J$224),0),
IF('TL09'!$B$229=M$3,SUMIF('TL09'!$C$238:$C$451,$C48,'TL09'!$J$238:$J$451),0),
IF('TL10'!$B$3=M$3,SUMIF('TL10'!$C$10:$C$224,$C48,'TL10'!$J$10:$J$224),0),
IF('TL10'!$B$229=M$3,SUMIF('TL10'!$C$238:$C$451,$C48,'TL10'!$J$238:$J$451),0),
IF('TL11'!$B$3=M$3,SUMIF('TL11'!$C$10:$C$224,$C48,'TL11'!$J$10:$J$224),0),
IF('TL11'!$B$229=M$3,SUMIF('TL11'!$C$238:$C$451,$C48,'TL11'!$J$238:$J$451),0),
IF('TL12'!$B$3=M$3,SUMIF('TL12'!$C$10:$C$224,$C48,'TL12'!$J$10:$J$224),0),
IF('TL12'!$B$229=M$3,SUMIF('TL12'!$C$238:$C$451,$C48,'TL12'!$J$238:$J$451),0),
IF('TL13'!$B$3=M$3,SUMIF('TL13'!$C$10:$C$224,$C48,'TL13'!$J$10:$J$224),0),
IF('TL13'!$B$229=M$3,SUMIF('TL13'!$C$238:$C$451,$C48,'TL13'!$J$238:$J$451),0),
IF('TL14'!$B$3=M$3,SUMIF('TL14'!$C$10:$C$224,$C48,'TL14'!$J$10:$J$224),0),
IF('TL14'!$B$229=M$3,SUMIF('TL14'!$C$238:$C$451,$C48,'TL14'!$J$238:$J$451),0),
IF('TL15'!$B$3=M$3,SUMIF('TL15'!$C$10:$C$224,$C48,'TL15'!$J$10:$J$224),0),
IF('TL15'!$B$229=M$3,SUMIF('TL15'!$C$238:$C$451,$C48,'TL15'!$J$238:$J$451),0),
IF('TL16'!$B$3=M$3,SUMIF('TL16'!$C$10:$C$224,$C48,'TL16'!$J$10:$J$224),0),
IF('TL16'!$B$229=M$3,SUMIF('TL16'!$C$238:$C$451,$C48,'TL16'!$J$238:$J$451),0),
IF('TL17'!$B$3=M$3,SUMIF('TL17'!$C$10:$C$224,$C48,'TL17'!$J$10:$J$224),0),
IF('TL17'!$B$229=M$3,SUMIF('TL17'!$C$238:$C$451,$C48,'TL17'!$J$238:$J$451),0),
IF('TL18'!$B$3=M$3,SUMIF('TL18'!$C$10:$C$224,$C48,'TL18'!$J$10:$J$224),0),
IF('TL18'!$B$229=M$3,SUMIF('TL18'!$C$238:$C$451,$C48,'TL18'!$J$238:$J$451),0),
IF('TL19'!$B$3=M$3,SUMIF('TL19'!$C$10:$C$224,$C48,'TL19'!$J$10:$J$224),0),
IF('TL19'!$B$229=M$3,SUMIF('TL19'!$C$238:$C$451,$C48,'TL19'!$J$238:$J$451),0)
),0)</f>
        <v>0</v>
      </c>
      <c r="N48" s="9">
        <f>IFERROR(SUM(
IF('TL01'!$B$3=N$3,SUMIF('TL01'!$C$10:$C$224,$C48,'TL01'!$J$10:$J$224),0),
IF('TL01'!$B$229=N$3,SUMIF('TL01'!$C$238:$C$451,$C48,'TL01'!$J$238:$J$451),0),
IF('TL02'!$B$3=N$3,SUMIF('TL02'!$C$10:$C$224,$C48,'TL02'!$J$10:$J$224),0),
IF('TL02'!$B$229=N$3,SUMIF('TL02'!$C$238:$C$451,$C48,'TL02'!$J$238:$J$451),0),
IF('TL03'!$B$3=N$3,SUMIF('TL03'!$C$10:$C$224,$C48,'TL03'!$J$10:$J$224),0),
IF('TL03'!$B$229=N$3,SUMIF('TL03'!$C$238:$C$451,$C48,'TL03'!$J$238:$J$451),0),
IF('TL04'!$B$3=N$3,SUMIF('TL04'!$C$10:$C$224,$C48,'TL04'!$J$10:$J$224),0),
IF('TL04'!$B$229=N$3,SUMIF('TL04'!$C$238:$C$451,$C48,'TL04'!$J$238:$J$451),0),
IF('TL05'!$B$3=N$3,SUMIF('TL05'!$C$10:$C$224,$C48,'TL05'!$J$10:$J$224),0),
IF('TL05'!$B$229=N$3,SUMIF('TL05'!$C$238:$C$451,$C48,'TL05'!$J$238:$J$451),0),
IF('TL06'!$B$3=N$3,SUMIF('TL06'!$C$10:$C$224,$C48,'TL06'!$J$10:$J$224),0),
IF('TL06'!$B$229=N$3,SUMIF('TL06'!$C$238:$C$451,$C48,'TL06'!$J$238:$J$451),0),
IF('TL07'!$B$3=N$3,SUMIF('TL07'!$C$10:$C$224,$C48,'TL07'!$J$10:$J$224),0),
IF('TL07'!$B$229=N$3,SUMIF('TL07'!$C$238:$C$451,$C48,'TL07'!$J$238:$J$451),0),
IF('TL08'!$B$3=N$3,SUMIF('TL08'!$C$10:$C$224,$C48,'TL08'!$J$10:$J$224),0),
IF('TL08'!$B$229=N$3,SUMIF('TL08'!$C$238:$C$451,$C48,'TL08'!$J$238:$J$451),0),
IF('TL09'!$B$3=N$3,SUMIF('TL09'!$C$10:$C$224,$C48,'TL09'!$J$10:$J$224),0),
IF('TL09'!$B$229=N$3,SUMIF('TL09'!$C$238:$C$451,$C48,'TL09'!$J$238:$J$451),0),
IF('TL10'!$B$3=N$3,SUMIF('TL10'!$C$10:$C$224,$C48,'TL10'!$J$10:$J$224),0),
IF('TL10'!$B$229=N$3,SUMIF('TL10'!$C$238:$C$451,$C48,'TL10'!$J$238:$J$451),0),
IF('TL11'!$B$3=N$3,SUMIF('TL11'!$C$10:$C$224,$C48,'TL11'!$J$10:$J$224),0),
IF('TL11'!$B$229=N$3,SUMIF('TL11'!$C$238:$C$451,$C48,'TL11'!$J$238:$J$451),0),
IF('TL12'!$B$3=N$3,SUMIF('TL12'!$C$10:$C$224,$C48,'TL12'!$J$10:$J$224),0),
IF('TL12'!$B$229=N$3,SUMIF('TL12'!$C$238:$C$451,$C48,'TL12'!$J$238:$J$451),0),
IF('TL13'!$B$3=N$3,SUMIF('TL13'!$C$10:$C$224,$C48,'TL13'!$J$10:$J$224),0),
IF('TL13'!$B$229=N$3,SUMIF('TL13'!$C$238:$C$451,$C48,'TL13'!$J$238:$J$451),0),
IF('TL14'!$B$3=N$3,SUMIF('TL14'!$C$10:$C$224,$C48,'TL14'!$J$10:$J$224),0),
IF('TL14'!$B$229=N$3,SUMIF('TL14'!$C$238:$C$451,$C48,'TL14'!$J$238:$J$451),0),
IF('TL15'!$B$3=N$3,SUMIF('TL15'!$C$10:$C$224,$C48,'TL15'!$J$10:$J$224),0),
IF('TL15'!$B$229=N$3,SUMIF('TL15'!$C$238:$C$451,$C48,'TL15'!$J$238:$J$451),0),
IF('TL16'!$B$3=N$3,SUMIF('TL16'!$C$10:$C$224,$C48,'TL16'!$J$10:$J$224),0),
IF('TL16'!$B$229=N$3,SUMIF('TL16'!$C$238:$C$451,$C48,'TL16'!$J$238:$J$451),0),
IF('TL17'!$B$3=N$3,SUMIF('TL17'!$C$10:$C$224,$C48,'TL17'!$J$10:$J$224),0),
IF('TL17'!$B$229=N$3,SUMIF('TL17'!$C$238:$C$451,$C48,'TL17'!$J$238:$J$451),0),
IF('TL18'!$B$3=N$3,SUMIF('TL18'!$C$10:$C$224,$C48,'TL18'!$J$10:$J$224),0),
IF('TL18'!$B$229=N$3,SUMIF('TL18'!$C$238:$C$451,$C48,'TL18'!$J$238:$J$451),0),
IF('TL19'!$B$3=N$3,SUMIF('TL19'!$C$10:$C$224,$C48,'TL19'!$J$10:$J$224),0),
IF('TL19'!$B$229=N$3,SUMIF('TL19'!$C$238:$C$451,$C48,'TL19'!$J$238:$J$451),0)
),0)</f>
        <v>0</v>
      </c>
      <c r="O48" s="9">
        <f>IFERROR(SUM(
IF('TL01'!$B$3=O$3,SUMIF('TL01'!$C$10:$C$224,$C48,'TL01'!$J$10:$J$224),0),
IF('TL01'!$B$229=O$3,SUMIF('TL01'!$C$238:$C$451,$C48,'TL01'!$J$238:$J$451),0),
IF('TL02'!$B$3=O$3,SUMIF('TL02'!$C$10:$C$224,$C48,'TL02'!$J$10:$J$224),0),
IF('TL02'!$B$229=O$3,SUMIF('TL02'!$C$238:$C$451,$C48,'TL02'!$J$238:$J$451),0),
IF('TL03'!$B$3=O$3,SUMIF('TL03'!$C$10:$C$224,$C48,'TL03'!$J$10:$J$224),0),
IF('TL03'!$B$229=O$3,SUMIF('TL03'!$C$238:$C$451,$C48,'TL03'!$J$238:$J$451),0),
IF('TL04'!$B$3=O$3,SUMIF('TL04'!$C$10:$C$224,$C48,'TL04'!$J$10:$J$224),0),
IF('TL04'!$B$229=O$3,SUMIF('TL04'!$C$238:$C$451,$C48,'TL04'!$J$238:$J$451),0),
IF('TL05'!$B$3=O$3,SUMIF('TL05'!$C$10:$C$224,$C48,'TL05'!$J$10:$J$224),0),
IF('TL05'!$B$229=O$3,SUMIF('TL05'!$C$238:$C$451,$C48,'TL05'!$J$238:$J$451),0),
IF('TL06'!$B$3=O$3,SUMIF('TL06'!$C$10:$C$224,$C48,'TL06'!$J$10:$J$224),0),
IF('TL06'!$B$229=O$3,SUMIF('TL06'!$C$238:$C$451,$C48,'TL06'!$J$238:$J$451),0),
IF('TL07'!$B$3=O$3,SUMIF('TL07'!$C$10:$C$224,$C48,'TL07'!$J$10:$J$224),0),
IF('TL07'!$B$229=O$3,SUMIF('TL07'!$C$238:$C$451,$C48,'TL07'!$J$238:$J$451),0),
IF('TL08'!$B$3=O$3,SUMIF('TL08'!$C$10:$C$224,$C48,'TL08'!$J$10:$J$224),0),
IF('TL08'!$B$229=O$3,SUMIF('TL08'!$C$238:$C$451,$C48,'TL08'!$J$238:$J$451),0),
IF('TL09'!$B$3=O$3,SUMIF('TL09'!$C$10:$C$224,$C48,'TL09'!$J$10:$J$224),0),
IF('TL09'!$B$229=O$3,SUMIF('TL09'!$C$238:$C$451,$C48,'TL09'!$J$238:$J$451),0),
IF('TL10'!$B$3=O$3,SUMIF('TL10'!$C$10:$C$224,$C48,'TL10'!$J$10:$J$224),0),
IF('TL10'!$B$229=O$3,SUMIF('TL10'!$C$238:$C$451,$C48,'TL10'!$J$238:$J$451),0),
IF('TL11'!$B$3=O$3,SUMIF('TL11'!$C$10:$C$224,$C48,'TL11'!$J$10:$J$224),0),
IF('TL11'!$B$229=O$3,SUMIF('TL11'!$C$238:$C$451,$C48,'TL11'!$J$238:$J$451),0),
IF('TL12'!$B$3=O$3,SUMIF('TL12'!$C$10:$C$224,$C48,'TL12'!$J$10:$J$224),0),
IF('TL12'!$B$229=O$3,SUMIF('TL12'!$C$238:$C$451,$C48,'TL12'!$J$238:$J$451),0),
IF('TL13'!$B$3=O$3,SUMIF('TL13'!$C$10:$C$224,$C48,'TL13'!$J$10:$J$224),0),
IF('TL13'!$B$229=O$3,SUMIF('TL13'!$C$238:$C$451,$C48,'TL13'!$J$238:$J$451),0),
IF('TL14'!$B$3=O$3,SUMIF('TL14'!$C$10:$C$224,$C48,'TL14'!$J$10:$J$224),0),
IF('TL14'!$B$229=O$3,SUMIF('TL14'!$C$238:$C$451,$C48,'TL14'!$J$238:$J$451),0),
IF('TL15'!$B$3=O$3,SUMIF('TL15'!$C$10:$C$224,$C48,'TL15'!$J$10:$J$224),0),
IF('TL15'!$B$229=O$3,SUMIF('TL15'!$C$238:$C$451,$C48,'TL15'!$J$238:$J$451),0),
IF('TL16'!$B$3=O$3,SUMIF('TL16'!$C$10:$C$224,$C48,'TL16'!$J$10:$J$224),0),
IF('TL16'!$B$229=O$3,SUMIF('TL16'!$C$238:$C$451,$C48,'TL16'!$J$238:$J$451),0),
IF('TL17'!$B$3=O$3,SUMIF('TL17'!$C$10:$C$224,$C48,'TL17'!$J$10:$J$224),0),
IF('TL17'!$B$229=O$3,SUMIF('TL17'!$C$238:$C$451,$C48,'TL17'!$J$238:$J$451),0),
IF('TL18'!$B$3=O$3,SUMIF('TL18'!$C$10:$C$224,$C48,'TL18'!$J$10:$J$224),0),
IF('TL18'!$B$229=O$3,SUMIF('TL18'!$C$238:$C$451,$C48,'TL18'!$J$238:$J$451),0),
IF('TL19'!$B$3=O$3,SUMIF('TL19'!$C$10:$C$224,$C48,'TL19'!$J$10:$J$224),0),
IF('TL19'!$B$229=O$3,SUMIF('TL19'!$C$238:$C$451,$C48,'TL19'!$J$238:$J$451),0)
),0)</f>
        <v>0</v>
      </c>
      <c r="P48" s="9">
        <f>IFERROR(SUM(
IF('TL01'!$B$3=P$3,SUMIF('TL01'!$C$10:$C$224,$C48,'TL01'!$J$10:$J$224),0),
IF('TL01'!$B$229=P$3,SUMIF('TL01'!$C$238:$C$451,$C48,'TL01'!$J$238:$J$451),0),
IF('TL02'!$B$3=P$3,SUMIF('TL02'!$C$10:$C$224,$C48,'TL02'!$J$10:$J$224),0),
IF('TL02'!$B$229=P$3,SUMIF('TL02'!$C$238:$C$451,$C48,'TL02'!$J$238:$J$451),0),
IF('TL03'!$B$3=P$3,SUMIF('TL03'!$C$10:$C$224,$C48,'TL03'!$J$10:$J$224),0),
IF('TL03'!$B$229=P$3,SUMIF('TL03'!$C$238:$C$451,$C48,'TL03'!$J$238:$J$451),0),
IF('TL04'!$B$3=P$3,SUMIF('TL04'!$C$10:$C$224,$C48,'TL04'!$J$10:$J$224),0),
IF('TL04'!$B$229=P$3,SUMIF('TL04'!$C$238:$C$451,$C48,'TL04'!$J$238:$J$451),0),
IF('TL05'!$B$3=P$3,SUMIF('TL05'!$C$10:$C$224,$C48,'TL05'!$J$10:$J$224),0),
IF('TL05'!$B$229=P$3,SUMIF('TL05'!$C$238:$C$451,$C48,'TL05'!$J$238:$J$451),0),
IF('TL06'!$B$3=P$3,SUMIF('TL06'!$C$10:$C$224,$C48,'TL06'!$J$10:$J$224),0),
IF('TL06'!$B$229=P$3,SUMIF('TL06'!$C$238:$C$451,$C48,'TL06'!$J$238:$J$451),0),
IF('TL07'!$B$3=P$3,SUMIF('TL07'!$C$10:$C$224,$C48,'TL07'!$J$10:$J$224),0),
IF('TL07'!$B$229=P$3,SUMIF('TL07'!$C$238:$C$451,$C48,'TL07'!$J$238:$J$451),0),
IF('TL08'!$B$3=P$3,SUMIF('TL08'!$C$10:$C$224,$C48,'TL08'!$J$10:$J$224),0),
IF('TL08'!$B$229=P$3,SUMIF('TL08'!$C$238:$C$451,$C48,'TL08'!$J$238:$J$451),0),
IF('TL09'!$B$3=P$3,SUMIF('TL09'!$C$10:$C$224,$C48,'TL09'!$J$10:$J$224),0),
IF('TL09'!$B$229=P$3,SUMIF('TL09'!$C$238:$C$451,$C48,'TL09'!$J$238:$J$451),0),
IF('TL10'!$B$3=P$3,SUMIF('TL10'!$C$10:$C$224,$C48,'TL10'!$J$10:$J$224),0),
IF('TL10'!$B$229=P$3,SUMIF('TL10'!$C$238:$C$451,$C48,'TL10'!$J$238:$J$451),0),
IF('TL11'!$B$3=P$3,SUMIF('TL11'!$C$10:$C$224,$C48,'TL11'!$J$10:$J$224),0),
IF('TL11'!$B$229=P$3,SUMIF('TL11'!$C$238:$C$451,$C48,'TL11'!$J$238:$J$451),0),
IF('TL12'!$B$3=P$3,SUMIF('TL12'!$C$10:$C$224,$C48,'TL12'!$J$10:$J$224),0),
IF('TL12'!$B$229=P$3,SUMIF('TL12'!$C$238:$C$451,$C48,'TL12'!$J$238:$J$451),0),
IF('TL13'!$B$3=P$3,SUMIF('TL13'!$C$10:$C$224,$C48,'TL13'!$J$10:$J$224),0),
IF('TL13'!$B$229=P$3,SUMIF('TL13'!$C$238:$C$451,$C48,'TL13'!$J$238:$J$451),0),
IF('TL14'!$B$3=P$3,SUMIF('TL14'!$C$10:$C$224,$C48,'TL14'!$J$10:$J$224),0),
IF('TL14'!$B$229=P$3,SUMIF('TL14'!$C$238:$C$451,$C48,'TL14'!$J$238:$J$451),0),
IF('TL15'!$B$3=P$3,SUMIF('TL15'!$C$10:$C$224,$C48,'TL15'!$J$10:$J$224),0),
IF('TL15'!$B$229=P$3,SUMIF('TL15'!$C$238:$C$451,$C48,'TL15'!$J$238:$J$451),0),
IF('TL16'!$B$3=P$3,SUMIF('TL16'!$C$10:$C$224,$C48,'TL16'!$J$10:$J$224),0),
IF('TL16'!$B$229=P$3,SUMIF('TL16'!$C$238:$C$451,$C48,'TL16'!$J$238:$J$451),0),
IF('TL17'!$B$3=P$3,SUMIF('TL17'!$C$10:$C$224,$C48,'TL17'!$J$10:$J$224),0),
IF('TL17'!$B$229=P$3,SUMIF('TL17'!$C$238:$C$451,$C48,'TL17'!$J$238:$J$451),0),
IF('TL18'!$B$3=P$3,SUMIF('TL18'!$C$10:$C$224,$C48,'TL18'!$J$10:$J$224),0),
IF('TL18'!$B$229=P$3,SUMIF('TL18'!$C$238:$C$451,$C48,'TL18'!$J$238:$J$451),0),
IF('TL19'!$B$3=P$3,SUMIF('TL19'!$C$10:$C$224,$C48,'TL19'!$J$10:$J$224),0),
IF('TL19'!$B$229=P$3,SUMIF('TL19'!$C$238:$C$451,$C48,'TL19'!$J$238:$J$451),0)
),0)</f>
        <v>0</v>
      </c>
      <c r="Q48" s="9">
        <f>IFERROR(SUM(
IF('TL01'!$B$3=Q$3,SUMIF('TL01'!$C$10:$C$224,$C48,'TL01'!$J$10:$J$224),0),
IF('TL01'!$B$229=Q$3,SUMIF('TL01'!$C$238:$C$451,$C48,'TL01'!$J$238:$J$451),0),
IF('TL02'!$B$3=Q$3,SUMIF('TL02'!$C$10:$C$224,$C48,'TL02'!$J$10:$J$224),0),
IF('TL02'!$B$229=Q$3,SUMIF('TL02'!$C$238:$C$451,$C48,'TL02'!$J$238:$J$451),0),
IF('TL03'!$B$3=Q$3,SUMIF('TL03'!$C$10:$C$224,$C48,'TL03'!$J$10:$J$224),0),
IF('TL03'!$B$229=Q$3,SUMIF('TL03'!$C$238:$C$451,$C48,'TL03'!$J$238:$J$451),0),
IF('TL04'!$B$3=Q$3,SUMIF('TL04'!$C$10:$C$224,$C48,'TL04'!$J$10:$J$224),0),
IF('TL04'!$B$229=Q$3,SUMIF('TL04'!$C$238:$C$451,$C48,'TL04'!$J$238:$J$451),0),
IF('TL05'!$B$3=Q$3,SUMIF('TL05'!$C$10:$C$224,$C48,'TL05'!$J$10:$J$224),0),
IF('TL05'!$B$229=Q$3,SUMIF('TL05'!$C$238:$C$451,$C48,'TL05'!$J$238:$J$451),0),
IF('TL06'!$B$3=Q$3,SUMIF('TL06'!$C$10:$C$224,$C48,'TL06'!$J$10:$J$224),0),
IF('TL06'!$B$229=Q$3,SUMIF('TL06'!$C$238:$C$451,$C48,'TL06'!$J$238:$J$451),0),
IF('TL07'!$B$3=Q$3,SUMIF('TL07'!$C$10:$C$224,$C48,'TL07'!$J$10:$J$224),0),
IF('TL07'!$B$229=Q$3,SUMIF('TL07'!$C$238:$C$451,$C48,'TL07'!$J$238:$J$451),0),
IF('TL08'!$B$3=Q$3,SUMIF('TL08'!$C$10:$C$224,$C48,'TL08'!$J$10:$J$224),0),
IF('TL08'!$B$229=Q$3,SUMIF('TL08'!$C$238:$C$451,$C48,'TL08'!$J$238:$J$451),0),
IF('TL09'!$B$3=Q$3,SUMIF('TL09'!$C$10:$C$224,$C48,'TL09'!$J$10:$J$224),0),
IF('TL09'!$B$229=Q$3,SUMIF('TL09'!$C$238:$C$451,$C48,'TL09'!$J$238:$J$451),0),
IF('TL10'!$B$3=Q$3,SUMIF('TL10'!$C$10:$C$224,$C48,'TL10'!$J$10:$J$224),0),
IF('TL10'!$B$229=Q$3,SUMIF('TL10'!$C$238:$C$451,$C48,'TL10'!$J$238:$J$451),0),
IF('TL11'!$B$3=Q$3,SUMIF('TL11'!$C$10:$C$224,$C48,'TL11'!$J$10:$J$224),0),
IF('TL11'!$B$229=Q$3,SUMIF('TL11'!$C$238:$C$451,$C48,'TL11'!$J$238:$J$451),0),
IF('TL12'!$B$3=Q$3,SUMIF('TL12'!$C$10:$C$224,$C48,'TL12'!$J$10:$J$224),0),
IF('TL12'!$B$229=Q$3,SUMIF('TL12'!$C$238:$C$451,$C48,'TL12'!$J$238:$J$451),0),
IF('TL13'!$B$3=Q$3,SUMIF('TL13'!$C$10:$C$224,$C48,'TL13'!$J$10:$J$224),0),
IF('TL13'!$B$229=Q$3,SUMIF('TL13'!$C$238:$C$451,$C48,'TL13'!$J$238:$J$451),0),
IF('TL14'!$B$3=Q$3,SUMIF('TL14'!$C$10:$C$224,$C48,'TL14'!$J$10:$J$224),0),
IF('TL14'!$B$229=Q$3,SUMIF('TL14'!$C$238:$C$451,$C48,'TL14'!$J$238:$J$451),0),
IF('TL15'!$B$3=Q$3,SUMIF('TL15'!$C$10:$C$224,$C48,'TL15'!$J$10:$J$224),0),
IF('TL15'!$B$229=Q$3,SUMIF('TL15'!$C$238:$C$451,$C48,'TL15'!$J$238:$J$451),0),
IF('TL16'!$B$3=Q$3,SUMIF('TL16'!$C$10:$C$224,$C48,'TL16'!$J$10:$J$224),0),
IF('TL16'!$B$229=Q$3,SUMIF('TL16'!$C$238:$C$451,$C48,'TL16'!$J$238:$J$451),0),
IF('TL17'!$B$3=Q$3,SUMIF('TL17'!$C$10:$C$224,$C48,'TL17'!$J$10:$J$224),0),
IF('TL17'!$B$229=Q$3,SUMIF('TL17'!$C$238:$C$451,$C48,'TL17'!$J$238:$J$451),0),
IF('TL18'!$B$3=Q$3,SUMIF('TL18'!$C$10:$C$224,$C48,'TL18'!$J$10:$J$224),0),
IF('TL18'!$B$229=Q$3,SUMIF('TL18'!$C$238:$C$451,$C48,'TL18'!$J$238:$J$451),0),
IF('TL19'!$B$3=Q$3,SUMIF('TL19'!$C$10:$C$224,$C48,'TL19'!$J$10:$J$224),0),
IF('TL19'!$B$229=Q$3,SUMIF('TL19'!$C$238:$C$451,$C48,'TL19'!$J$238:$J$451),0)
),0)</f>
        <v>0</v>
      </c>
      <c r="R48" s="9">
        <f>IFERROR(
SUM(
SUMIF('TL01'!C:C,C48,'TL01'!J:J),
SUMIF('TL02'!C:C,C48,'TL02'!J:J),
SUMIF('TL03'!C:C,C48,'TL03'!J:J),
SUMIF('TL04'!C:C,C48,'TL04'!J:J),
SUMIF('TL05'!C:C,C48,'TL05'!J:J),
SUMIF('TL06'!C:C,C48,'TL06'!J:J),
SUMIF('TL07'!C:C,C48,'TL07'!J:J),
SUMIF('TL08'!C:C,C48,'TL08'!J:J),
SUMIF('TL09'!C:C,C48,'TL09'!J:J),
SUMIF('TL10'!C:C,C48,'TL10'!J:J),
SUMIF('TL11'!C:C,C48,'TL11'!J:J),
SUMIF('TL12'!C:C,C48,'TL12'!J:J),
SUMIF('TL13'!C:C,C48,'TL13'!J:J),
SUMIF('TL14'!C:C,C48,'TL14'!J:J),
SUMIF('TL15'!C:C,C48,'TL15'!J:J),
SUMIF('TL16'!C:C,C48,'TL16'!J:J),
SUMIF('TL17'!C:C,C48,'TL17'!J:J),
SUMIF('TL18'!C:C,C48,'TL18'!J:J),SUMIF('TL19'!C:C,C48,'TL19'!J:J))
,0)</f>
        <v>0</v>
      </c>
      <c r="S48" s="17">
        <f>IFERROR(__xludf.DUMMYFUNCTION("IFERROR(VLOOKUP(C48,
IMPORTRANGE(""1wULbzX32WdYsx-lj2U3uUNBBe2INVIRDtcK0d-Dvl90"",
""26-27!C:G""),
5,
FALSE),
"""")"),230.85648000000003)</f>
        <v>230.85648</v>
      </c>
      <c r="T48" s="9"/>
      <c r="U48" s="92">
        <f t="shared" si="2"/>
        <v>0</v>
      </c>
      <c r="V48" s="93">
        <f t="shared" si="3"/>
        <v>0</v>
      </c>
    </row>
    <row r="49" ht="15.75" hidden="1" customHeight="1">
      <c r="A49" s="111" t="s">
        <v>345</v>
      </c>
      <c r="B49" s="112" t="s">
        <v>0</v>
      </c>
      <c r="C49" s="113" t="s">
        <v>460</v>
      </c>
      <c r="D49" s="113" t="s">
        <v>461</v>
      </c>
      <c r="E49" s="113" t="s">
        <v>391</v>
      </c>
      <c r="F49" s="4" t="s">
        <v>343</v>
      </c>
      <c r="G49" s="90" t="str">
        <f t="shared" si="4"/>
        <v>📄 Ver bula</v>
      </c>
      <c r="H49" s="9">
        <f>IFERROR(__xludf.DUMMYFUNCTION("IFERROR(VLOOKUP(C49,
IMPORTRANGE(""1wULbzX32WdYsx-lj2U3uUNBBe2INVIRDtcK0d-Dvl90"",
""26-27!C:K""),
8,
FALSE),
"""")"),1.0)</f>
        <v>1</v>
      </c>
      <c r="I49" s="114" t="s">
        <v>361</v>
      </c>
      <c r="J49" s="9">
        <f>IFERROR(SUM(
IF('TL01'!$B$3=J$3,SUMIF('TL01'!$C$10:$C$224,$C49,'TL01'!$J$10:$J$224),0),
IF('TL01'!$B$229=J$3,SUMIF('TL01'!$C$238:$C$451,$C49,'TL01'!$J$238:$J$451),0),
IF('TL02'!$B$3=J$3,SUMIF('TL02'!$C$10:$C$224,$C49,'TL02'!$J$10:$J$224),0),
IF('TL02'!$B$229=J$3,SUMIF('TL02'!$C$238:$C$451,$C49,'TL02'!$J$238:$J$451),0),
IF('TL03'!$B$3=J$3,SUMIF('TL03'!$C$10:$C$224,$C49,'TL03'!$J$10:$J$224),0),
IF('TL03'!$B$229=J$3,SUMIF('TL03'!$C$238:$C$451,$C49,'TL03'!$J$238:$J$451),0),
IF('TL04'!$B$3=J$3,SUMIF('TL04'!$C$10:$C$224,$C49,'TL04'!$J$10:$J$224),0),
IF('TL04'!$B$229=J$3,SUMIF('TL04'!$C$238:$C$451,$C49,'TL04'!$J$238:$J$451),0),
IF('TL05'!$B$3=J$3,SUMIF('TL05'!$C$10:$C$224,$C49,'TL05'!$J$10:$J$224),0),
IF('TL05'!$B$229=J$3,SUMIF('TL05'!$C$238:$C$451,$C49,'TL05'!$J$238:$J$451),0),
IF('TL06'!$B$3=J$3,SUMIF('TL06'!$C$10:$C$224,$C49,'TL06'!$J$10:$J$224),0),
IF('TL06'!$B$229=J$3,SUMIF('TL06'!$C$238:$C$451,$C49,'TL06'!$J$238:$J$451),0),
IF('TL07'!$B$3=J$3,SUMIF('TL07'!$C$10:$C$224,$C49,'TL07'!$J$10:$J$224),0),
IF('TL07'!$B$229=J$3,SUMIF('TL07'!$C$238:$C$451,$C49,'TL07'!$J$238:$J$451),0),
IF('TL08'!$B$3=J$3,SUMIF('TL08'!$C$10:$C$224,$C49,'TL08'!$J$10:$J$224),0),
IF('TL08'!$B$229=J$3,SUMIF('TL08'!$C$238:$C$451,$C49,'TL08'!$J$238:$J$451),0),
IF('TL09'!$B$3=J$3,SUMIF('TL09'!$C$10:$C$224,$C49,'TL09'!$J$10:$J$224),0),
IF('TL09'!$B$229=J$3,SUMIF('TL09'!$C$238:$C$451,$C49,'TL09'!$J$238:$J$451),0),
IF('TL10'!$B$3=J$3,SUMIF('TL10'!$C$10:$C$224,$C49,'TL10'!$J$10:$J$224),0),
IF('TL10'!$B$229=J$3,SUMIF('TL10'!$C$238:$C$451,$C49,'TL10'!$J$238:$J$451),0),
IF('TL11'!$B$3=J$3,SUMIF('TL11'!$C$10:$C$224,$C49,'TL11'!$J$10:$J$224),0),
IF('TL11'!$B$229=J$3,SUMIF('TL11'!$C$238:$C$451,$C49,'TL11'!$J$238:$J$451),0),
IF('TL12'!$B$3=J$3,SUMIF('TL12'!$C$10:$C$224,$C49,'TL12'!$J$10:$J$224),0),
IF('TL12'!$B$229=J$3,SUMIF('TL12'!$C$238:$C$451,$C49,'TL12'!$J$238:$J$451),0),
IF('TL13'!$B$3=J$3,SUMIF('TL13'!$C$10:$C$224,$C49,'TL13'!$J$10:$J$224),0),
IF('TL13'!$B$229=J$3,SUMIF('TL13'!$C$238:$C$451,$C49,'TL13'!$J$238:$J$451),0),
IF('TL14'!$B$3=J$3,SUMIF('TL14'!$C$10:$C$224,$C49,'TL14'!$J$10:$J$224),0),
IF('TL14'!$B$229=J$3,SUMIF('TL14'!$C$238:$C$451,$C49,'TL14'!$J$238:$J$451),0),
IF('TL15'!$B$3=J$3,SUMIF('TL15'!$C$10:$C$224,$C49,'TL15'!$J$10:$J$224),0),
IF('TL15'!$B$229=J$3,SUMIF('TL15'!$C$238:$C$451,$C49,'TL15'!$J$238:$J$451),0),
IF('TL16'!$B$3=J$3,SUMIF('TL16'!$C$10:$C$224,$C49,'TL16'!$J$10:$J$224),0),
IF('TL16'!$B$229=J$3,SUMIF('TL16'!$C$238:$C$451,$C49,'TL16'!$J$238:$J$451),0),
IF('TL17'!$B$3=J$3,SUMIF('TL17'!$C$10:$C$224,$C49,'TL17'!$J$10:$J$224),0),
IF('TL17'!$B$229=J$3,SUMIF('TL17'!$C$238:$C$451,$C49,'TL17'!$J$238:$J$451),0),
IF('TL18'!$B$3=J$3,SUMIF('TL18'!$C$10:$C$224,$C49,'TL18'!$J$10:$J$224),0),
IF('TL18'!$B$229=J$3,SUMIF('TL18'!$C$238:$C$451,$C49,'TL18'!$J$238:$J$451),0),
IF('TL19'!$B$3=J$3,SUMIF('TL19'!$C$10:$C$224,$C49,'TL19'!$J$10:$J$224),0),
IF('TL19'!$B$229=J$3,SUMIF('TL19'!$C$238:$C$451,$C49,'TL19'!$J$238:$J$451),0)
),0)</f>
        <v>0</v>
      </c>
      <c r="K49" s="9">
        <f>IFERROR(SUM(
IF('TL01'!$B$3=K$3,SUMIF('TL01'!$C$10:$C$224,$C49,'TL01'!$J$10:$J$224),0),
IF('TL01'!$B$229=K$3,SUMIF('TL01'!$C$238:$C$451,$C49,'TL01'!$J$238:$J$451),0),
IF('TL02'!$B$3=K$3,SUMIF('TL02'!$C$10:$C$224,$C49,'TL02'!$J$10:$J$224),0),
IF('TL02'!$B$229=K$3,SUMIF('TL02'!$C$238:$C$451,$C49,'TL02'!$J$238:$J$451),0),
IF('TL03'!$B$3=K$3,SUMIF('TL03'!$C$10:$C$224,$C49,'TL03'!$J$10:$J$224),0),
IF('TL03'!$B$229=K$3,SUMIF('TL03'!$C$238:$C$451,$C49,'TL03'!$J$238:$J$451),0),
IF('TL04'!$B$3=K$3,SUMIF('TL04'!$C$10:$C$224,$C49,'TL04'!$J$10:$J$224),0),
IF('TL04'!$B$229=K$3,SUMIF('TL04'!$C$238:$C$451,$C49,'TL04'!$J$238:$J$451),0),
IF('TL05'!$B$3=K$3,SUMIF('TL05'!$C$10:$C$224,$C49,'TL05'!$J$10:$J$224),0),
IF('TL05'!$B$229=K$3,SUMIF('TL05'!$C$238:$C$451,$C49,'TL05'!$J$238:$J$451),0),
IF('TL06'!$B$3=K$3,SUMIF('TL06'!$C$10:$C$224,$C49,'TL06'!$J$10:$J$224),0),
IF('TL06'!$B$229=K$3,SUMIF('TL06'!$C$238:$C$451,$C49,'TL06'!$J$238:$J$451),0),
IF('TL07'!$B$3=K$3,SUMIF('TL07'!$C$10:$C$224,$C49,'TL07'!$J$10:$J$224),0),
IF('TL07'!$B$229=K$3,SUMIF('TL07'!$C$238:$C$451,$C49,'TL07'!$J$238:$J$451),0),
IF('TL08'!$B$3=K$3,SUMIF('TL08'!$C$10:$C$224,$C49,'TL08'!$J$10:$J$224),0),
IF('TL08'!$B$229=K$3,SUMIF('TL08'!$C$238:$C$451,$C49,'TL08'!$J$238:$J$451),0),
IF('TL09'!$B$3=K$3,SUMIF('TL09'!$C$10:$C$224,$C49,'TL09'!$J$10:$J$224),0),
IF('TL09'!$B$229=K$3,SUMIF('TL09'!$C$238:$C$451,$C49,'TL09'!$J$238:$J$451),0),
IF('TL10'!$B$3=K$3,SUMIF('TL10'!$C$10:$C$224,$C49,'TL10'!$J$10:$J$224),0),
IF('TL10'!$B$229=K$3,SUMIF('TL10'!$C$238:$C$451,$C49,'TL10'!$J$238:$J$451),0),
IF('TL11'!$B$3=K$3,SUMIF('TL11'!$C$10:$C$224,$C49,'TL11'!$J$10:$J$224),0),
IF('TL11'!$B$229=K$3,SUMIF('TL11'!$C$238:$C$451,$C49,'TL11'!$J$238:$J$451),0),
IF('TL12'!$B$3=K$3,SUMIF('TL12'!$C$10:$C$224,$C49,'TL12'!$J$10:$J$224),0),
IF('TL12'!$B$229=K$3,SUMIF('TL12'!$C$238:$C$451,$C49,'TL12'!$J$238:$J$451),0),
IF('TL13'!$B$3=K$3,SUMIF('TL13'!$C$10:$C$224,$C49,'TL13'!$J$10:$J$224),0),
IF('TL13'!$B$229=K$3,SUMIF('TL13'!$C$238:$C$451,$C49,'TL13'!$J$238:$J$451),0),
IF('TL14'!$B$3=K$3,SUMIF('TL14'!$C$10:$C$224,$C49,'TL14'!$J$10:$J$224),0),
IF('TL14'!$B$229=K$3,SUMIF('TL14'!$C$238:$C$451,$C49,'TL14'!$J$238:$J$451),0),
IF('TL15'!$B$3=K$3,SUMIF('TL15'!$C$10:$C$224,$C49,'TL15'!$J$10:$J$224),0),
IF('TL15'!$B$229=K$3,SUMIF('TL15'!$C$238:$C$451,$C49,'TL15'!$J$238:$J$451),0),
IF('TL16'!$B$3=K$3,SUMIF('TL16'!$C$10:$C$224,$C49,'TL16'!$J$10:$J$224),0),
IF('TL16'!$B$229=K$3,SUMIF('TL16'!$C$238:$C$451,$C49,'TL16'!$J$238:$J$451),0),
IF('TL17'!$B$3=K$3,SUMIF('TL17'!$C$10:$C$224,$C49,'TL17'!$J$10:$J$224),0),
IF('TL17'!$B$229=K$3,SUMIF('TL17'!$C$238:$C$451,$C49,'TL17'!$J$238:$J$451),0),
IF('TL18'!$B$3=K$3,SUMIF('TL18'!$C$10:$C$224,$C49,'TL18'!$J$10:$J$224),0),
IF('TL18'!$B$229=K$3,SUMIF('TL18'!$C$238:$C$451,$C49,'TL18'!$J$238:$J$451),0),
IF('TL19'!$B$3=K$3,SUMIF('TL19'!$C$10:$C$224,$C49,'TL19'!$J$10:$J$224),0),
IF('TL19'!$B$229=K$3,SUMIF('TL19'!$C$238:$C$451,$C49,'TL19'!$J$238:$J$451),0)
),0)</f>
        <v>0</v>
      </c>
      <c r="L49" s="9">
        <f>IFERROR(SUM(
IF('TL01'!$B$3=L$3,SUMIF('TL01'!$C$10:$C$224,$C49,'TL01'!$J$10:$J$224),0),
IF('TL01'!$B$229=L$3,SUMIF('TL01'!$C$238:$C$451,$C49,'TL01'!$J$238:$J$451),0),
IF('TL02'!$B$3=L$3,SUMIF('TL02'!$C$10:$C$224,$C49,'TL02'!$J$10:$J$224),0),
IF('TL02'!$B$229=L$3,SUMIF('TL02'!$C$238:$C$451,$C49,'TL02'!$J$238:$J$451),0),
IF('TL03'!$B$3=L$3,SUMIF('TL03'!$C$10:$C$224,$C49,'TL03'!$J$10:$J$224),0),
IF('TL03'!$B$229=L$3,SUMIF('TL03'!$C$238:$C$451,$C49,'TL03'!$J$238:$J$451),0),
IF('TL04'!$B$3=L$3,SUMIF('TL04'!$C$10:$C$224,$C49,'TL04'!$J$10:$J$224),0),
IF('TL04'!$B$229=L$3,SUMIF('TL04'!$C$238:$C$451,$C49,'TL04'!$J$238:$J$451),0),
IF('TL05'!$B$3=L$3,SUMIF('TL05'!$C$10:$C$224,$C49,'TL05'!$J$10:$J$224),0),
IF('TL05'!$B$229=L$3,SUMIF('TL05'!$C$238:$C$451,$C49,'TL05'!$J$238:$J$451),0),
IF('TL06'!$B$3=L$3,SUMIF('TL06'!$C$10:$C$224,$C49,'TL06'!$J$10:$J$224),0),
IF('TL06'!$B$229=L$3,SUMIF('TL06'!$C$238:$C$451,$C49,'TL06'!$J$238:$J$451),0),
IF('TL07'!$B$3=L$3,SUMIF('TL07'!$C$10:$C$224,$C49,'TL07'!$J$10:$J$224),0),
IF('TL07'!$B$229=L$3,SUMIF('TL07'!$C$238:$C$451,$C49,'TL07'!$J$238:$J$451),0),
IF('TL08'!$B$3=L$3,SUMIF('TL08'!$C$10:$C$224,$C49,'TL08'!$J$10:$J$224),0),
IF('TL08'!$B$229=L$3,SUMIF('TL08'!$C$238:$C$451,$C49,'TL08'!$J$238:$J$451),0),
IF('TL09'!$B$3=L$3,SUMIF('TL09'!$C$10:$C$224,$C49,'TL09'!$J$10:$J$224),0),
IF('TL09'!$B$229=L$3,SUMIF('TL09'!$C$238:$C$451,$C49,'TL09'!$J$238:$J$451),0),
IF('TL10'!$B$3=L$3,SUMIF('TL10'!$C$10:$C$224,$C49,'TL10'!$J$10:$J$224),0),
IF('TL10'!$B$229=L$3,SUMIF('TL10'!$C$238:$C$451,$C49,'TL10'!$J$238:$J$451),0),
IF('TL11'!$B$3=L$3,SUMIF('TL11'!$C$10:$C$224,$C49,'TL11'!$J$10:$J$224),0),
IF('TL11'!$B$229=L$3,SUMIF('TL11'!$C$238:$C$451,$C49,'TL11'!$J$238:$J$451),0),
IF('TL12'!$B$3=L$3,SUMIF('TL12'!$C$10:$C$224,$C49,'TL12'!$J$10:$J$224),0),
IF('TL12'!$B$229=L$3,SUMIF('TL12'!$C$238:$C$451,$C49,'TL12'!$J$238:$J$451),0),
IF('TL13'!$B$3=L$3,SUMIF('TL13'!$C$10:$C$224,$C49,'TL13'!$J$10:$J$224),0),
IF('TL13'!$B$229=L$3,SUMIF('TL13'!$C$238:$C$451,$C49,'TL13'!$J$238:$J$451),0),
IF('TL14'!$B$3=L$3,SUMIF('TL14'!$C$10:$C$224,$C49,'TL14'!$J$10:$J$224),0),
IF('TL14'!$B$229=L$3,SUMIF('TL14'!$C$238:$C$451,$C49,'TL14'!$J$238:$J$451),0),
IF('TL15'!$B$3=L$3,SUMIF('TL15'!$C$10:$C$224,$C49,'TL15'!$J$10:$J$224),0),
IF('TL15'!$B$229=L$3,SUMIF('TL15'!$C$238:$C$451,$C49,'TL15'!$J$238:$J$451),0),
IF('TL16'!$B$3=L$3,SUMIF('TL16'!$C$10:$C$224,$C49,'TL16'!$J$10:$J$224),0),
IF('TL16'!$B$229=L$3,SUMIF('TL16'!$C$238:$C$451,$C49,'TL16'!$J$238:$J$451),0),
IF('TL17'!$B$3=L$3,SUMIF('TL17'!$C$10:$C$224,$C49,'TL17'!$J$10:$J$224),0),
IF('TL17'!$B$229=L$3,SUMIF('TL17'!$C$238:$C$451,$C49,'TL17'!$J$238:$J$451),0),
IF('TL18'!$B$3=L$3,SUMIF('TL18'!$C$10:$C$224,$C49,'TL18'!$J$10:$J$224),0),
IF('TL18'!$B$229=L$3,SUMIF('TL18'!$C$238:$C$451,$C49,'TL18'!$J$238:$J$451),0),
IF('TL19'!$B$3=L$3,SUMIF('TL19'!$C$10:$C$224,$C49,'TL19'!$J$10:$J$224),0),
IF('TL19'!$B$229=L$3,SUMIF('TL19'!$C$238:$C$451,$C49,'TL19'!$J$238:$J$451),0)
),0)</f>
        <v>0</v>
      </c>
      <c r="M49" s="9">
        <f>IFERROR(SUM(
IF('TL01'!$B$3=M$3,SUMIF('TL01'!$C$10:$C$224,$C49,'TL01'!$J$10:$J$224),0),
IF('TL01'!$B$229=M$3,SUMIF('TL01'!$C$238:$C$451,$C49,'TL01'!$J$238:$J$451),0),
IF('TL02'!$B$3=M$3,SUMIF('TL02'!$C$10:$C$224,$C49,'TL02'!$J$10:$J$224),0),
IF('TL02'!$B$229=M$3,SUMIF('TL02'!$C$238:$C$451,$C49,'TL02'!$J$238:$J$451),0),
IF('TL03'!$B$3=M$3,SUMIF('TL03'!$C$10:$C$224,$C49,'TL03'!$J$10:$J$224),0),
IF('TL03'!$B$229=M$3,SUMIF('TL03'!$C$238:$C$451,$C49,'TL03'!$J$238:$J$451),0),
IF('TL04'!$B$3=M$3,SUMIF('TL04'!$C$10:$C$224,$C49,'TL04'!$J$10:$J$224),0),
IF('TL04'!$B$229=M$3,SUMIF('TL04'!$C$238:$C$451,$C49,'TL04'!$J$238:$J$451),0),
IF('TL05'!$B$3=M$3,SUMIF('TL05'!$C$10:$C$224,$C49,'TL05'!$J$10:$J$224),0),
IF('TL05'!$B$229=M$3,SUMIF('TL05'!$C$238:$C$451,$C49,'TL05'!$J$238:$J$451),0),
IF('TL06'!$B$3=M$3,SUMIF('TL06'!$C$10:$C$224,$C49,'TL06'!$J$10:$J$224),0),
IF('TL06'!$B$229=M$3,SUMIF('TL06'!$C$238:$C$451,$C49,'TL06'!$J$238:$J$451),0),
IF('TL07'!$B$3=M$3,SUMIF('TL07'!$C$10:$C$224,$C49,'TL07'!$J$10:$J$224),0),
IF('TL07'!$B$229=M$3,SUMIF('TL07'!$C$238:$C$451,$C49,'TL07'!$J$238:$J$451),0),
IF('TL08'!$B$3=M$3,SUMIF('TL08'!$C$10:$C$224,$C49,'TL08'!$J$10:$J$224),0),
IF('TL08'!$B$229=M$3,SUMIF('TL08'!$C$238:$C$451,$C49,'TL08'!$J$238:$J$451),0),
IF('TL09'!$B$3=M$3,SUMIF('TL09'!$C$10:$C$224,$C49,'TL09'!$J$10:$J$224),0),
IF('TL09'!$B$229=M$3,SUMIF('TL09'!$C$238:$C$451,$C49,'TL09'!$J$238:$J$451),0),
IF('TL10'!$B$3=M$3,SUMIF('TL10'!$C$10:$C$224,$C49,'TL10'!$J$10:$J$224),0),
IF('TL10'!$B$229=M$3,SUMIF('TL10'!$C$238:$C$451,$C49,'TL10'!$J$238:$J$451),0),
IF('TL11'!$B$3=M$3,SUMIF('TL11'!$C$10:$C$224,$C49,'TL11'!$J$10:$J$224),0),
IF('TL11'!$B$229=M$3,SUMIF('TL11'!$C$238:$C$451,$C49,'TL11'!$J$238:$J$451),0),
IF('TL12'!$B$3=M$3,SUMIF('TL12'!$C$10:$C$224,$C49,'TL12'!$J$10:$J$224),0),
IF('TL12'!$B$229=M$3,SUMIF('TL12'!$C$238:$C$451,$C49,'TL12'!$J$238:$J$451),0),
IF('TL13'!$B$3=M$3,SUMIF('TL13'!$C$10:$C$224,$C49,'TL13'!$J$10:$J$224),0),
IF('TL13'!$B$229=M$3,SUMIF('TL13'!$C$238:$C$451,$C49,'TL13'!$J$238:$J$451),0),
IF('TL14'!$B$3=M$3,SUMIF('TL14'!$C$10:$C$224,$C49,'TL14'!$J$10:$J$224),0),
IF('TL14'!$B$229=M$3,SUMIF('TL14'!$C$238:$C$451,$C49,'TL14'!$J$238:$J$451),0),
IF('TL15'!$B$3=M$3,SUMIF('TL15'!$C$10:$C$224,$C49,'TL15'!$J$10:$J$224),0),
IF('TL15'!$B$229=M$3,SUMIF('TL15'!$C$238:$C$451,$C49,'TL15'!$J$238:$J$451),0),
IF('TL16'!$B$3=M$3,SUMIF('TL16'!$C$10:$C$224,$C49,'TL16'!$J$10:$J$224),0),
IF('TL16'!$B$229=M$3,SUMIF('TL16'!$C$238:$C$451,$C49,'TL16'!$J$238:$J$451),0),
IF('TL17'!$B$3=M$3,SUMIF('TL17'!$C$10:$C$224,$C49,'TL17'!$J$10:$J$224),0),
IF('TL17'!$B$229=M$3,SUMIF('TL17'!$C$238:$C$451,$C49,'TL17'!$J$238:$J$451),0),
IF('TL18'!$B$3=M$3,SUMIF('TL18'!$C$10:$C$224,$C49,'TL18'!$J$10:$J$224),0),
IF('TL18'!$B$229=M$3,SUMIF('TL18'!$C$238:$C$451,$C49,'TL18'!$J$238:$J$451),0),
IF('TL19'!$B$3=M$3,SUMIF('TL19'!$C$10:$C$224,$C49,'TL19'!$J$10:$J$224),0),
IF('TL19'!$B$229=M$3,SUMIF('TL19'!$C$238:$C$451,$C49,'TL19'!$J$238:$J$451),0)
),0)</f>
        <v>0</v>
      </c>
      <c r="N49" s="9">
        <f>IFERROR(SUM(
IF('TL01'!$B$3=N$3,SUMIF('TL01'!$C$10:$C$224,$C49,'TL01'!$J$10:$J$224),0),
IF('TL01'!$B$229=N$3,SUMIF('TL01'!$C$238:$C$451,$C49,'TL01'!$J$238:$J$451),0),
IF('TL02'!$B$3=N$3,SUMIF('TL02'!$C$10:$C$224,$C49,'TL02'!$J$10:$J$224),0),
IF('TL02'!$B$229=N$3,SUMIF('TL02'!$C$238:$C$451,$C49,'TL02'!$J$238:$J$451),0),
IF('TL03'!$B$3=N$3,SUMIF('TL03'!$C$10:$C$224,$C49,'TL03'!$J$10:$J$224),0),
IF('TL03'!$B$229=N$3,SUMIF('TL03'!$C$238:$C$451,$C49,'TL03'!$J$238:$J$451),0),
IF('TL04'!$B$3=N$3,SUMIF('TL04'!$C$10:$C$224,$C49,'TL04'!$J$10:$J$224),0),
IF('TL04'!$B$229=N$3,SUMIF('TL04'!$C$238:$C$451,$C49,'TL04'!$J$238:$J$451),0),
IF('TL05'!$B$3=N$3,SUMIF('TL05'!$C$10:$C$224,$C49,'TL05'!$J$10:$J$224),0),
IF('TL05'!$B$229=N$3,SUMIF('TL05'!$C$238:$C$451,$C49,'TL05'!$J$238:$J$451),0),
IF('TL06'!$B$3=N$3,SUMIF('TL06'!$C$10:$C$224,$C49,'TL06'!$J$10:$J$224),0),
IF('TL06'!$B$229=N$3,SUMIF('TL06'!$C$238:$C$451,$C49,'TL06'!$J$238:$J$451),0),
IF('TL07'!$B$3=N$3,SUMIF('TL07'!$C$10:$C$224,$C49,'TL07'!$J$10:$J$224),0),
IF('TL07'!$B$229=N$3,SUMIF('TL07'!$C$238:$C$451,$C49,'TL07'!$J$238:$J$451),0),
IF('TL08'!$B$3=N$3,SUMIF('TL08'!$C$10:$C$224,$C49,'TL08'!$J$10:$J$224),0),
IF('TL08'!$B$229=N$3,SUMIF('TL08'!$C$238:$C$451,$C49,'TL08'!$J$238:$J$451),0),
IF('TL09'!$B$3=N$3,SUMIF('TL09'!$C$10:$C$224,$C49,'TL09'!$J$10:$J$224),0),
IF('TL09'!$B$229=N$3,SUMIF('TL09'!$C$238:$C$451,$C49,'TL09'!$J$238:$J$451),0),
IF('TL10'!$B$3=N$3,SUMIF('TL10'!$C$10:$C$224,$C49,'TL10'!$J$10:$J$224),0),
IF('TL10'!$B$229=N$3,SUMIF('TL10'!$C$238:$C$451,$C49,'TL10'!$J$238:$J$451),0),
IF('TL11'!$B$3=N$3,SUMIF('TL11'!$C$10:$C$224,$C49,'TL11'!$J$10:$J$224),0),
IF('TL11'!$B$229=N$3,SUMIF('TL11'!$C$238:$C$451,$C49,'TL11'!$J$238:$J$451),0),
IF('TL12'!$B$3=N$3,SUMIF('TL12'!$C$10:$C$224,$C49,'TL12'!$J$10:$J$224),0),
IF('TL12'!$B$229=N$3,SUMIF('TL12'!$C$238:$C$451,$C49,'TL12'!$J$238:$J$451),0),
IF('TL13'!$B$3=N$3,SUMIF('TL13'!$C$10:$C$224,$C49,'TL13'!$J$10:$J$224),0),
IF('TL13'!$B$229=N$3,SUMIF('TL13'!$C$238:$C$451,$C49,'TL13'!$J$238:$J$451),0),
IF('TL14'!$B$3=N$3,SUMIF('TL14'!$C$10:$C$224,$C49,'TL14'!$J$10:$J$224),0),
IF('TL14'!$B$229=N$3,SUMIF('TL14'!$C$238:$C$451,$C49,'TL14'!$J$238:$J$451),0),
IF('TL15'!$B$3=N$3,SUMIF('TL15'!$C$10:$C$224,$C49,'TL15'!$J$10:$J$224),0),
IF('TL15'!$B$229=N$3,SUMIF('TL15'!$C$238:$C$451,$C49,'TL15'!$J$238:$J$451),0),
IF('TL16'!$B$3=N$3,SUMIF('TL16'!$C$10:$C$224,$C49,'TL16'!$J$10:$J$224),0),
IF('TL16'!$B$229=N$3,SUMIF('TL16'!$C$238:$C$451,$C49,'TL16'!$J$238:$J$451),0),
IF('TL17'!$B$3=N$3,SUMIF('TL17'!$C$10:$C$224,$C49,'TL17'!$J$10:$J$224),0),
IF('TL17'!$B$229=N$3,SUMIF('TL17'!$C$238:$C$451,$C49,'TL17'!$J$238:$J$451),0),
IF('TL18'!$B$3=N$3,SUMIF('TL18'!$C$10:$C$224,$C49,'TL18'!$J$10:$J$224),0),
IF('TL18'!$B$229=N$3,SUMIF('TL18'!$C$238:$C$451,$C49,'TL18'!$J$238:$J$451),0),
IF('TL19'!$B$3=N$3,SUMIF('TL19'!$C$10:$C$224,$C49,'TL19'!$J$10:$J$224),0),
IF('TL19'!$B$229=N$3,SUMIF('TL19'!$C$238:$C$451,$C49,'TL19'!$J$238:$J$451),0)
),0)</f>
        <v>0</v>
      </c>
      <c r="O49" s="9">
        <f>IFERROR(SUM(
IF('TL01'!$B$3=O$3,SUMIF('TL01'!$C$10:$C$224,$C49,'TL01'!$J$10:$J$224),0),
IF('TL01'!$B$229=O$3,SUMIF('TL01'!$C$238:$C$451,$C49,'TL01'!$J$238:$J$451),0),
IF('TL02'!$B$3=O$3,SUMIF('TL02'!$C$10:$C$224,$C49,'TL02'!$J$10:$J$224),0),
IF('TL02'!$B$229=O$3,SUMIF('TL02'!$C$238:$C$451,$C49,'TL02'!$J$238:$J$451),0),
IF('TL03'!$B$3=O$3,SUMIF('TL03'!$C$10:$C$224,$C49,'TL03'!$J$10:$J$224),0),
IF('TL03'!$B$229=O$3,SUMIF('TL03'!$C$238:$C$451,$C49,'TL03'!$J$238:$J$451),0),
IF('TL04'!$B$3=O$3,SUMIF('TL04'!$C$10:$C$224,$C49,'TL04'!$J$10:$J$224),0),
IF('TL04'!$B$229=O$3,SUMIF('TL04'!$C$238:$C$451,$C49,'TL04'!$J$238:$J$451),0),
IF('TL05'!$B$3=O$3,SUMIF('TL05'!$C$10:$C$224,$C49,'TL05'!$J$10:$J$224),0),
IF('TL05'!$B$229=O$3,SUMIF('TL05'!$C$238:$C$451,$C49,'TL05'!$J$238:$J$451),0),
IF('TL06'!$B$3=O$3,SUMIF('TL06'!$C$10:$C$224,$C49,'TL06'!$J$10:$J$224),0),
IF('TL06'!$B$229=O$3,SUMIF('TL06'!$C$238:$C$451,$C49,'TL06'!$J$238:$J$451),0),
IF('TL07'!$B$3=O$3,SUMIF('TL07'!$C$10:$C$224,$C49,'TL07'!$J$10:$J$224),0),
IF('TL07'!$B$229=O$3,SUMIF('TL07'!$C$238:$C$451,$C49,'TL07'!$J$238:$J$451),0),
IF('TL08'!$B$3=O$3,SUMIF('TL08'!$C$10:$C$224,$C49,'TL08'!$J$10:$J$224),0),
IF('TL08'!$B$229=O$3,SUMIF('TL08'!$C$238:$C$451,$C49,'TL08'!$J$238:$J$451),0),
IF('TL09'!$B$3=O$3,SUMIF('TL09'!$C$10:$C$224,$C49,'TL09'!$J$10:$J$224),0),
IF('TL09'!$B$229=O$3,SUMIF('TL09'!$C$238:$C$451,$C49,'TL09'!$J$238:$J$451),0),
IF('TL10'!$B$3=O$3,SUMIF('TL10'!$C$10:$C$224,$C49,'TL10'!$J$10:$J$224),0),
IF('TL10'!$B$229=O$3,SUMIF('TL10'!$C$238:$C$451,$C49,'TL10'!$J$238:$J$451),0),
IF('TL11'!$B$3=O$3,SUMIF('TL11'!$C$10:$C$224,$C49,'TL11'!$J$10:$J$224),0),
IF('TL11'!$B$229=O$3,SUMIF('TL11'!$C$238:$C$451,$C49,'TL11'!$J$238:$J$451),0),
IF('TL12'!$B$3=O$3,SUMIF('TL12'!$C$10:$C$224,$C49,'TL12'!$J$10:$J$224),0),
IF('TL12'!$B$229=O$3,SUMIF('TL12'!$C$238:$C$451,$C49,'TL12'!$J$238:$J$451),0),
IF('TL13'!$B$3=O$3,SUMIF('TL13'!$C$10:$C$224,$C49,'TL13'!$J$10:$J$224),0),
IF('TL13'!$B$229=O$3,SUMIF('TL13'!$C$238:$C$451,$C49,'TL13'!$J$238:$J$451),0),
IF('TL14'!$B$3=O$3,SUMIF('TL14'!$C$10:$C$224,$C49,'TL14'!$J$10:$J$224),0),
IF('TL14'!$B$229=O$3,SUMIF('TL14'!$C$238:$C$451,$C49,'TL14'!$J$238:$J$451),0),
IF('TL15'!$B$3=O$3,SUMIF('TL15'!$C$10:$C$224,$C49,'TL15'!$J$10:$J$224),0),
IF('TL15'!$B$229=O$3,SUMIF('TL15'!$C$238:$C$451,$C49,'TL15'!$J$238:$J$451),0),
IF('TL16'!$B$3=O$3,SUMIF('TL16'!$C$10:$C$224,$C49,'TL16'!$J$10:$J$224),0),
IF('TL16'!$B$229=O$3,SUMIF('TL16'!$C$238:$C$451,$C49,'TL16'!$J$238:$J$451),0),
IF('TL17'!$B$3=O$3,SUMIF('TL17'!$C$10:$C$224,$C49,'TL17'!$J$10:$J$224),0),
IF('TL17'!$B$229=O$3,SUMIF('TL17'!$C$238:$C$451,$C49,'TL17'!$J$238:$J$451),0),
IF('TL18'!$B$3=O$3,SUMIF('TL18'!$C$10:$C$224,$C49,'TL18'!$J$10:$J$224),0),
IF('TL18'!$B$229=O$3,SUMIF('TL18'!$C$238:$C$451,$C49,'TL18'!$J$238:$J$451),0),
IF('TL19'!$B$3=O$3,SUMIF('TL19'!$C$10:$C$224,$C49,'TL19'!$J$10:$J$224),0),
IF('TL19'!$B$229=O$3,SUMIF('TL19'!$C$238:$C$451,$C49,'TL19'!$J$238:$J$451),0)
),0)</f>
        <v>0</v>
      </c>
      <c r="P49" s="9">
        <f>IFERROR(SUM(
IF('TL01'!$B$3=P$3,SUMIF('TL01'!$C$10:$C$224,$C49,'TL01'!$J$10:$J$224),0),
IF('TL01'!$B$229=P$3,SUMIF('TL01'!$C$238:$C$451,$C49,'TL01'!$J$238:$J$451),0),
IF('TL02'!$B$3=P$3,SUMIF('TL02'!$C$10:$C$224,$C49,'TL02'!$J$10:$J$224),0),
IF('TL02'!$B$229=P$3,SUMIF('TL02'!$C$238:$C$451,$C49,'TL02'!$J$238:$J$451),0),
IF('TL03'!$B$3=P$3,SUMIF('TL03'!$C$10:$C$224,$C49,'TL03'!$J$10:$J$224),0),
IF('TL03'!$B$229=P$3,SUMIF('TL03'!$C$238:$C$451,$C49,'TL03'!$J$238:$J$451),0),
IF('TL04'!$B$3=P$3,SUMIF('TL04'!$C$10:$C$224,$C49,'TL04'!$J$10:$J$224),0),
IF('TL04'!$B$229=P$3,SUMIF('TL04'!$C$238:$C$451,$C49,'TL04'!$J$238:$J$451),0),
IF('TL05'!$B$3=P$3,SUMIF('TL05'!$C$10:$C$224,$C49,'TL05'!$J$10:$J$224),0),
IF('TL05'!$B$229=P$3,SUMIF('TL05'!$C$238:$C$451,$C49,'TL05'!$J$238:$J$451),0),
IF('TL06'!$B$3=P$3,SUMIF('TL06'!$C$10:$C$224,$C49,'TL06'!$J$10:$J$224),0),
IF('TL06'!$B$229=P$3,SUMIF('TL06'!$C$238:$C$451,$C49,'TL06'!$J$238:$J$451),0),
IF('TL07'!$B$3=P$3,SUMIF('TL07'!$C$10:$C$224,$C49,'TL07'!$J$10:$J$224),0),
IF('TL07'!$B$229=P$3,SUMIF('TL07'!$C$238:$C$451,$C49,'TL07'!$J$238:$J$451),0),
IF('TL08'!$B$3=P$3,SUMIF('TL08'!$C$10:$C$224,$C49,'TL08'!$J$10:$J$224),0),
IF('TL08'!$B$229=P$3,SUMIF('TL08'!$C$238:$C$451,$C49,'TL08'!$J$238:$J$451),0),
IF('TL09'!$B$3=P$3,SUMIF('TL09'!$C$10:$C$224,$C49,'TL09'!$J$10:$J$224),0),
IF('TL09'!$B$229=P$3,SUMIF('TL09'!$C$238:$C$451,$C49,'TL09'!$J$238:$J$451),0),
IF('TL10'!$B$3=P$3,SUMIF('TL10'!$C$10:$C$224,$C49,'TL10'!$J$10:$J$224),0),
IF('TL10'!$B$229=P$3,SUMIF('TL10'!$C$238:$C$451,$C49,'TL10'!$J$238:$J$451),0),
IF('TL11'!$B$3=P$3,SUMIF('TL11'!$C$10:$C$224,$C49,'TL11'!$J$10:$J$224),0),
IF('TL11'!$B$229=P$3,SUMIF('TL11'!$C$238:$C$451,$C49,'TL11'!$J$238:$J$451),0),
IF('TL12'!$B$3=P$3,SUMIF('TL12'!$C$10:$C$224,$C49,'TL12'!$J$10:$J$224),0),
IF('TL12'!$B$229=P$3,SUMIF('TL12'!$C$238:$C$451,$C49,'TL12'!$J$238:$J$451),0),
IF('TL13'!$B$3=P$3,SUMIF('TL13'!$C$10:$C$224,$C49,'TL13'!$J$10:$J$224),0),
IF('TL13'!$B$229=P$3,SUMIF('TL13'!$C$238:$C$451,$C49,'TL13'!$J$238:$J$451),0),
IF('TL14'!$B$3=P$3,SUMIF('TL14'!$C$10:$C$224,$C49,'TL14'!$J$10:$J$224),0),
IF('TL14'!$B$229=P$3,SUMIF('TL14'!$C$238:$C$451,$C49,'TL14'!$J$238:$J$451),0),
IF('TL15'!$B$3=P$3,SUMIF('TL15'!$C$10:$C$224,$C49,'TL15'!$J$10:$J$224),0),
IF('TL15'!$B$229=P$3,SUMIF('TL15'!$C$238:$C$451,$C49,'TL15'!$J$238:$J$451),0),
IF('TL16'!$B$3=P$3,SUMIF('TL16'!$C$10:$C$224,$C49,'TL16'!$J$10:$J$224),0),
IF('TL16'!$B$229=P$3,SUMIF('TL16'!$C$238:$C$451,$C49,'TL16'!$J$238:$J$451),0),
IF('TL17'!$B$3=P$3,SUMIF('TL17'!$C$10:$C$224,$C49,'TL17'!$J$10:$J$224),0),
IF('TL17'!$B$229=P$3,SUMIF('TL17'!$C$238:$C$451,$C49,'TL17'!$J$238:$J$451),0),
IF('TL18'!$B$3=P$3,SUMIF('TL18'!$C$10:$C$224,$C49,'TL18'!$J$10:$J$224),0),
IF('TL18'!$B$229=P$3,SUMIF('TL18'!$C$238:$C$451,$C49,'TL18'!$J$238:$J$451),0),
IF('TL19'!$B$3=P$3,SUMIF('TL19'!$C$10:$C$224,$C49,'TL19'!$J$10:$J$224),0),
IF('TL19'!$B$229=P$3,SUMIF('TL19'!$C$238:$C$451,$C49,'TL19'!$J$238:$J$451),0)
),0)</f>
        <v>0</v>
      </c>
      <c r="Q49" s="9">
        <f>IFERROR(SUM(
IF('TL01'!$B$3=Q$3,SUMIF('TL01'!$C$10:$C$224,$C49,'TL01'!$J$10:$J$224),0),
IF('TL01'!$B$229=Q$3,SUMIF('TL01'!$C$238:$C$451,$C49,'TL01'!$J$238:$J$451),0),
IF('TL02'!$B$3=Q$3,SUMIF('TL02'!$C$10:$C$224,$C49,'TL02'!$J$10:$J$224),0),
IF('TL02'!$B$229=Q$3,SUMIF('TL02'!$C$238:$C$451,$C49,'TL02'!$J$238:$J$451),0),
IF('TL03'!$B$3=Q$3,SUMIF('TL03'!$C$10:$C$224,$C49,'TL03'!$J$10:$J$224),0),
IF('TL03'!$B$229=Q$3,SUMIF('TL03'!$C$238:$C$451,$C49,'TL03'!$J$238:$J$451),0),
IF('TL04'!$B$3=Q$3,SUMIF('TL04'!$C$10:$C$224,$C49,'TL04'!$J$10:$J$224),0),
IF('TL04'!$B$229=Q$3,SUMIF('TL04'!$C$238:$C$451,$C49,'TL04'!$J$238:$J$451),0),
IF('TL05'!$B$3=Q$3,SUMIF('TL05'!$C$10:$C$224,$C49,'TL05'!$J$10:$J$224),0),
IF('TL05'!$B$229=Q$3,SUMIF('TL05'!$C$238:$C$451,$C49,'TL05'!$J$238:$J$451),0),
IF('TL06'!$B$3=Q$3,SUMIF('TL06'!$C$10:$C$224,$C49,'TL06'!$J$10:$J$224),0),
IF('TL06'!$B$229=Q$3,SUMIF('TL06'!$C$238:$C$451,$C49,'TL06'!$J$238:$J$451),0),
IF('TL07'!$B$3=Q$3,SUMIF('TL07'!$C$10:$C$224,$C49,'TL07'!$J$10:$J$224),0),
IF('TL07'!$B$229=Q$3,SUMIF('TL07'!$C$238:$C$451,$C49,'TL07'!$J$238:$J$451),0),
IF('TL08'!$B$3=Q$3,SUMIF('TL08'!$C$10:$C$224,$C49,'TL08'!$J$10:$J$224),0),
IF('TL08'!$B$229=Q$3,SUMIF('TL08'!$C$238:$C$451,$C49,'TL08'!$J$238:$J$451),0),
IF('TL09'!$B$3=Q$3,SUMIF('TL09'!$C$10:$C$224,$C49,'TL09'!$J$10:$J$224),0),
IF('TL09'!$B$229=Q$3,SUMIF('TL09'!$C$238:$C$451,$C49,'TL09'!$J$238:$J$451),0),
IF('TL10'!$B$3=Q$3,SUMIF('TL10'!$C$10:$C$224,$C49,'TL10'!$J$10:$J$224),0),
IF('TL10'!$B$229=Q$3,SUMIF('TL10'!$C$238:$C$451,$C49,'TL10'!$J$238:$J$451),0),
IF('TL11'!$B$3=Q$3,SUMIF('TL11'!$C$10:$C$224,$C49,'TL11'!$J$10:$J$224),0),
IF('TL11'!$B$229=Q$3,SUMIF('TL11'!$C$238:$C$451,$C49,'TL11'!$J$238:$J$451),0),
IF('TL12'!$B$3=Q$3,SUMIF('TL12'!$C$10:$C$224,$C49,'TL12'!$J$10:$J$224),0),
IF('TL12'!$B$229=Q$3,SUMIF('TL12'!$C$238:$C$451,$C49,'TL12'!$J$238:$J$451),0),
IF('TL13'!$B$3=Q$3,SUMIF('TL13'!$C$10:$C$224,$C49,'TL13'!$J$10:$J$224),0),
IF('TL13'!$B$229=Q$3,SUMIF('TL13'!$C$238:$C$451,$C49,'TL13'!$J$238:$J$451),0),
IF('TL14'!$B$3=Q$3,SUMIF('TL14'!$C$10:$C$224,$C49,'TL14'!$J$10:$J$224),0),
IF('TL14'!$B$229=Q$3,SUMIF('TL14'!$C$238:$C$451,$C49,'TL14'!$J$238:$J$451),0),
IF('TL15'!$B$3=Q$3,SUMIF('TL15'!$C$10:$C$224,$C49,'TL15'!$J$10:$J$224),0),
IF('TL15'!$B$229=Q$3,SUMIF('TL15'!$C$238:$C$451,$C49,'TL15'!$J$238:$J$451),0),
IF('TL16'!$B$3=Q$3,SUMIF('TL16'!$C$10:$C$224,$C49,'TL16'!$J$10:$J$224),0),
IF('TL16'!$B$229=Q$3,SUMIF('TL16'!$C$238:$C$451,$C49,'TL16'!$J$238:$J$451),0),
IF('TL17'!$B$3=Q$3,SUMIF('TL17'!$C$10:$C$224,$C49,'TL17'!$J$10:$J$224),0),
IF('TL17'!$B$229=Q$3,SUMIF('TL17'!$C$238:$C$451,$C49,'TL17'!$J$238:$J$451),0),
IF('TL18'!$B$3=Q$3,SUMIF('TL18'!$C$10:$C$224,$C49,'TL18'!$J$10:$J$224),0),
IF('TL18'!$B$229=Q$3,SUMIF('TL18'!$C$238:$C$451,$C49,'TL18'!$J$238:$J$451),0),
IF('TL19'!$B$3=Q$3,SUMIF('TL19'!$C$10:$C$224,$C49,'TL19'!$J$10:$J$224),0),
IF('TL19'!$B$229=Q$3,SUMIF('TL19'!$C$238:$C$451,$C49,'TL19'!$J$238:$J$451),0)
),0)</f>
        <v>0</v>
      </c>
      <c r="R49" s="9">
        <f>IFERROR(
SUM(
SUMIF('TL01'!C:C,C49,'TL01'!J:J),
SUMIF('TL02'!C:C,C49,'TL02'!J:J),
SUMIF('TL03'!C:C,C49,'TL03'!J:J),
SUMIF('TL04'!C:C,C49,'TL04'!J:J),
SUMIF('TL05'!C:C,C49,'TL05'!J:J),
SUMIF('TL06'!C:C,C49,'TL06'!J:J),
SUMIF('TL07'!C:C,C49,'TL07'!J:J),
SUMIF('TL08'!C:C,C49,'TL08'!J:J),
SUMIF('TL09'!C:C,C49,'TL09'!J:J),
SUMIF('TL10'!C:C,C49,'TL10'!J:J),
SUMIF('TL11'!C:C,C49,'TL11'!J:J),
SUMIF('TL12'!C:C,C49,'TL12'!J:J),
SUMIF('TL13'!C:C,C49,'TL13'!J:J),
SUMIF('TL14'!C:C,C49,'TL14'!J:J),
SUMIF('TL15'!C:C,C49,'TL15'!J:J),
SUMIF('TL16'!C:C,C49,'TL16'!J:J),
SUMIF('TL17'!C:C,C49,'TL17'!J:J),
SUMIF('TL18'!C:C,C49,'TL18'!J:J),SUMIF('TL19'!C:C,C49,'TL19'!J:J))
,0)</f>
        <v>0</v>
      </c>
      <c r="S49" s="17">
        <f>IFERROR(__xludf.DUMMYFUNCTION("IFERROR(VLOOKUP(C49,
IMPORTRANGE(""1wULbzX32WdYsx-lj2U3uUNBBe2INVIRDtcK0d-Dvl90"",
""26-27!C:G""),
5,
FALSE),
"""")"),136.84896000000003)</f>
        <v>136.84896</v>
      </c>
      <c r="T49" s="9"/>
      <c r="U49" s="92">
        <f t="shared" si="2"/>
        <v>0</v>
      </c>
      <c r="V49" s="93">
        <f t="shared" si="3"/>
        <v>0</v>
      </c>
    </row>
    <row r="50" ht="15.75" hidden="1" customHeight="1">
      <c r="A50" s="115" t="s">
        <v>350</v>
      </c>
      <c r="B50" s="100" t="s">
        <v>0</v>
      </c>
      <c r="C50" s="116" t="s">
        <v>462</v>
      </c>
      <c r="D50" s="116" t="s">
        <v>463</v>
      </c>
      <c r="E50" s="116">
        <v>500.0</v>
      </c>
      <c r="F50" s="4" t="s">
        <v>343</v>
      </c>
      <c r="G50" s="90" t="str">
        <f t="shared" si="4"/>
        <v>📄 Ver bula</v>
      </c>
      <c r="H50" s="9">
        <f>IFERROR(__xludf.DUMMYFUNCTION("IFERROR(VLOOKUP(C50,
IMPORTRANGE(""1wULbzX32WdYsx-lj2U3uUNBBe2INVIRDtcK0d-Dvl90"",
""26-27!C:K""),
8,
FALSE),
"""")"),0.4)</f>
        <v>0.4</v>
      </c>
      <c r="I50" s="117" t="s">
        <v>361</v>
      </c>
      <c r="J50" s="9">
        <f>IFERROR(SUM(
IF('TL01'!$B$3=J$3,SUMIF('TL01'!$C$10:$C$224,$C50,'TL01'!$J$10:$J$224),0),
IF('TL01'!$B$229=J$3,SUMIF('TL01'!$C$238:$C$451,$C50,'TL01'!$J$238:$J$451),0),
IF('TL02'!$B$3=J$3,SUMIF('TL02'!$C$10:$C$224,$C50,'TL02'!$J$10:$J$224),0),
IF('TL02'!$B$229=J$3,SUMIF('TL02'!$C$238:$C$451,$C50,'TL02'!$J$238:$J$451),0),
IF('TL03'!$B$3=J$3,SUMIF('TL03'!$C$10:$C$224,$C50,'TL03'!$J$10:$J$224),0),
IF('TL03'!$B$229=J$3,SUMIF('TL03'!$C$238:$C$451,$C50,'TL03'!$J$238:$J$451),0),
IF('TL04'!$B$3=J$3,SUMIF('TL04'!$C$10:$C$224,$C50,'TL04'!$J$10:$J$224),0),
IF('TL04'!$B$229=J$3,SUMIF('TL04'!$C$238:$C$451,$C50,'TL04'!$J$238:$J$451),0),
IF('TL05'!$B$3=J$3,SUMIF('TL05'!$C$10:$C$224,$C50,'TL05'!$J$10:$J$224),0),
IF('TL05'!$B$229=J$3,SUMIF('TL05'!$C$238:$C$451,$C50,'TL05'!$J$238:$J$451),0),
IF('TL06'!$B$3=J$3,SUMIF('TL06'!$C$10:$C$224,$C50,'TL06'!$J$10:$J$224),0),
IF('TL06'!$B$229=J$3,SUMIF('TL06'!$C$238:$C$451,$C50,'TL06'!$J$238:$J$451),0),
IF('TL07'!$B$3=J$3,SUMIF('TL07'!$C$10:$C$224,$C50,'TL07'!$J$10:$J$224),0),
IF('TL07'!$B$229=J$3,SUMIF('TL07'!$C$238:$C$451,$C50,'TL07'!$J$238:$J$451),0),
IF('TL08'!$B$3=J$3,SUMIF('TL08'!$C$10:$C$224,$C50,'TL08'!$J$10:$J$224),0),
IF('TL08'!$B$229=J$3,SUMIF('TL08'!$C$238:$C$451,$C50,'TL08'!$J$238:$J$451),0),
IF('TL09'!$B$3=J$3,SUMIF('TL09'!$C$10:$C$224,$C50,'TL09'!$J$10:$J$224),0),
IF('TL09'!$B$229=J$3,SUMIF('TL09'!$C$238:$C$451,$C50,'TL09'!$J$238:$J$451),0),
IF('TL10'!$B$3=J$3,SUMIF('TL10'!$C$10:$C$224,$C50,'TL10'!$J$10:$J$224),0),
IF('TL10'!$B$229=J$3,SUMIF('TL10'!$C$238:$C$451,$C50,'TL10'!$J$238:$J$451),0),
IF('TL11'!$B$3=J$3,SUMIF('TL11'!$C$10:$C$224,$C50,'TL11'!$J$10:$J$224),0),
IF('TL11'!$B$229=J$3,SUMIF('TL11'!$C$238:$C$451,$C50,'TL11'!$J$238:$J$451),0),
IF('TL12'!$B$3=J$3,SUMIF('TL12'!$C$10:$C$224,$C50,'TL12'!$J$10:$J$224),0),
IF('TL12'!$B$229=J$3,SUMIF('TL12'!$C$238:$C$451,$C50,'TL12'!$J$238:$J$451),0),
IF('TL13'!$B$3=J$3,SUMIF('TL13'!$C$10:$C$224,$C50,'TL13'!$J$10:$J$224),0),
IF('TL13'!$B$229=J$3,SUMIF('TL13'!$C$238:$C$451,$C50,'TL13'!$J$238:$J$451),0),
IF('TL14'!$B$3=J$3,SUMIF('TL14'!$C$10:$C$224,$C50,'TL14'!$J$10:$J$224),0),
IF('TL14'!$B$229=J$3,SUMIF('TL14'!$C$238:$C$451,$C50,'TL14'!$J$238:$J$451),0),
IF('TL15'!$B$3=J$3,SUMIF('TL15'!$C$10:$C$224,$C50,'TL15'!$J$10:$J$224),0),
IF('TL15'!$B$229=J$3,SUMIF('TL15'!$C$238:$C$451,$C50,'TL15'!$J$238:$J$451),0),
IF('TL16'!$B$3=J$3,SUMIF('TL16'!$C$10:$C$224,$C50,'TL16'!$J$10:$J$224),0),
IF('TL16'!$B$229=J$3,SUMIF('TL16'!$C$238:$C$451,$C50,'TL16'!$J$238:$J$451),0),
IF('TL17'!$B$3=J$3,SUMIF('TL17'!$C$10:$C$224,$C50,'TL17'!$J$10:$J$224),0),
IF('TL17'!$B$229=J$3,SUMIF('TL17'!$C$238:$C$451,$C50,'TL17'!$J$238:$J$451),0),
IF('TL18'!$B$3=J$3,SUMIF('TL18'!$C$10:$C$224,$C50,'TL18'!$J$10:$J$224),0),
IF('TL18'!$B$229=J$3,SUMIF('TL18'!$C$238:$C$451,$C50,'TL18'!$J$238:$J$451),0),
IF('TL19'!$B$3=J$3,SUMIF('TL19'!$C$10:$C$224,$C50,'TL19'!$J$10:$J$224),0),
IF('TL19'!$B$229=J$3,SUMIF('TL19'!$C$238:$C$451,$C50,'TL19'!$J$238:$J$451),0)
),0)</f>
        <v>0</v>
      </c>
      <c r="K50" s="9">
        <f>IFERROR(SUM(
IF('TL01'!$B$3=K$3,SUMIF('TL01'!$C$10:$C$224,$C50,'TL01'!$J$10:$J$224),0),
IF('TL01'!$B$229=K$3,SUMIF('TL01'!$C$238:$C$451,$C50,'TL01'!$J$238:$J$451),0),
IF('TL02'!$B$3=K$3,SUMIF('TL02'!$C$10:$C$224,$C50,'TL02'!$J$10:$J$224),0),
IF('TL02'!$B$229=K$3,SUMIF('TL02'!$C$238:$C$451,$C50,'TL02'!$J$238:$J$451),0),
IF('TL03'!$B$3=K$3,SUMIF('TL03'!$C$10:$C$224,$C50,'TL03'!$J$10:$J$224),0),
IF('TL03'!$B$229=K$3,SUMIF('TL03'!$C$238:$C$451,$C50,'TL03'!$J$238:$J$451),0),
IF('TL04'!$B$3=K$3,SUMIF('TL04'!$C$10:$C$224,$C50,'TL04'!$J$10:$J$224),0),
IF('TL04'!$B$229=K$3,SUMIF('TL04'!$C$238:$C$451,$C50,'TL04'!$J$238:$J$451),0),
IF('TL05'!$B$3=K$3,SUMIF('TL05'!$C$10:$C$224,$C50,'TL05'!$J$10:$J$224),0),
IF('TL05'!$B$229=K$3,SUMIF('TL05'!$C$238:$C$451,$C50,'TL05'!$J$238:$J$451),0),
IF('TL06'!$B$3=K$3,SUMIF('TL06'!$C$10:$C$224,$C50,'TL06'!$J$10:$J$224),0),
IF('TL06'!$B$229=K$3,SUMIF('TL06'!$C$238:$C$451,$C50,'TL06'!$J$238:$J$451),0),
IF('TL07'!$B$3=K$3,SUMIF('TL07'!$C$10:$C$224,$C50,'TL07'!$J$10:$J$224),0),
IF('TL07'!$B$229=K$3,SUMIF('TL07'!$C$238:$C$451,$C50,'TL07'!$J$238:$J$451),0),
IF('TL08'!$B$3=K$3,SUMIF('TL08'!$C$10:$C$224,$C50,'TL08'!$J$10:$J$224),0),
IF('TL08'!$B$229=K$3,SUMIF('TL08'!$C$238:$C$451,$C50,'TL08'!$J$238:$J$451),0),
IF('TL09'!$B$3=K$3,SUMIF('TL09'!$C$10:$C$224,$C50,'TL09'!$J$10:$J$224),0),
IF('TL09'!$B$229=K$3,SUMIF('TL09'!$C$238:$C$451,$C50,'TL09'!$J$238:$J$451),0),
IF('TL10'!$B$3=K$3,SUMIF('TL10'!$C$10:$C$224,$C50,'TL10'!$J$10:$J$224),0),
IF('TL10'!$B$229=K$3,SUMIF('TL10'!$C$238:$C$451,$C50,'TL10'!$J$238:$J$451),0),
IF('TL11'!$B$3=K$3,SUMIF('TL11'!$C$10:$C$224,$C50,'TL11'!$J$10:$J$224),0),
IF('TL11'!$B$229=K$3,SUMIF('TL11'!$C$238:$C$451,$C50,'TL11'!$J$238:$J$451),0),
IF('TL12'!$B$3=K$3,SUMIF('TL12'!$C$10:$C$224,$C50,'TL12'!$J$10:$J$224),0),
IF('TL12'!$B$229=K$3,SUMIF('TL12'!$C$238:$C$451,$C50,'TL12'!$J$238:$J$451),0),
IF('TL13'!$B$3=K$3,SUMIF('TL13'!$C$10:$C$224,$C50,'TL13'!$J$10:$J$224),0),
IF('TL13'!$B$229=K$3,SUMIF('TL13'!$C$238:$C$451,$C50,'TL13'!$J$238:$J$451),0),
IF('TL14'!$B$3=K$3,SUMIF('TL14'!$C$10:$C$224,$C50,'TL14'!$J$10:$J$224),0),
IF('TL14'!$B$229=K$3,SUMIF('TL14'!$C$238:$C$451,$C50,'TL14'!$J$238:$J$451),0),
IF('TL15'!$B$3=K$3,SUMIF('TL15'!$C$10:$C$224,$C50,'TL15'!$J$10:$J$224),0),
IF('TL15'!$B$229=K$3,SUMIF('TL15'!$C$238:$C$451,$C50,'TL15'!$J$238:$J$451),0),
IF('TL16'!$B$3=K$3,SUMIF('TL16'!$C$10:$C$224,$C50,'TL16'!$J$10:$J$224),0),
IF('TL16'!$B$229=K$3,SUMIF('TL16'!$C$238:$C$451,$C50,'TL16'!$J$238:$J$451),0),
IF('TL17'!$B$3=K$3,SUMIF('TL17'!$C$10:$C$224,$C50,'TL17'!$J$10:$J$224),0),
IF('TL17'!$B$229=K$3,SUMIF('TL17'!$C$238:$C$451,$C50,'TL17'!$J$238:$J$451),0),
IF('TL18'!$B$3=K$3,SUMIF('TL18'!$C$10:$C$224,$C50,'TL18'!$J$10:$J$224),0),
IF('TL18'!$B$229=K$3,SUMIF('TL18'!$C$238:$C$451,$C50,'TL18'!$J$238:$J$451),0),
IF('TL19'!$B$3=K$3,SUMIF('TL19'!$C$10:$C$224,$C50,'TL19'!$J$10:$J$224),0),
IF('TL19'!$B$229=K$3,SUMIF('TL19'!$C$238:$C$451,$C50,'TL19'!$J$238:$J$451),0)
),0)</f>
        <v>0</v>
      </c>
      <c r="L50" s="9">
        <f>IFERROR(SUM(
IF('TL01'!$B$3=L$3,SUMIF('TL01'!$C$10:$C$224,$C50,'TL01'!$J$10:$J$224),0),
IF('TL01'!$B$229=L$3,SUMIF('TL01'!$C$238:$C$451,$C50,'TL01'!$J$238:$J$451),0),
IF('TL02'!$B$3=L$3,SUMIF('TL02'!$C$10:$C$224,$C50,'TL02'!$J$10:$J$224),0),
IF('TL02'!$B$229=L$3,SUMIF('TL02'!$C$238:$C$451,$C50,'TL02'!$J$238:$J$451),0),
IF('TL03'!$B$3=L$3,SUMIF('TL03'!$C$10:$C$224,$C50,'TL03'!$J$10:$J$224),0),
IF('TL03'!$B$229=L$3,SUMIF('TL03'!$C$238:$C$451,$C50,'TL03'!$J$238:$J$451),0),
IF('TL04'!$B$3=L$3,SUMIF('TL04'!$C$10:$C$224,$C50,'TL04'!$J$10:$J$224),0),
IF('TL04'!$B$229=L$3,SUMIF('TL04'!$C$238:$C$451,$C50,'TL04'!$J$238:$J$451),0),
IF('TL05'!$B$3=L$3,SUMIF('TL05'!$C$10:$C$224,$C50,'TL05'!$J$10:$J$224),0),
IF('TL05'!$B$229=L$3,SUMIF('TL05'!$C$238:$C$451,$C50,'TL05'!$J$238:$J$451),0),
IF('TL06'!$B$3=L$3,SUMIF('TL06'!$C$10:$C$224,$C50,'TL06'!$J$10:$J$224),0),
IF('TL06'!$B$229=L$3,SUMIF('TL06'!$C$238:$C$451,$C50,'TL06'!$J$238:$J$451),0),
IF('TL07'!$B$3=L$3,SUMIF('TL07'!$C$10:$C$224,$C50,'TL07'!$J$10:$J$224),0),
IF('TL07'!$B$229=L$3,SUMIF('TL07'!$C$238:$C$451,$C50,'TL07'!$J$238:$J$451),0),
IF('TL08'!$B$3=L$3,SUMIF('TL08'!$C$10:$C$224,$C50,'TL08'!$J$10:$J$224),0),
IF('TL08'!$B$229=L$3,SUMIF('TL08'!$C$238:$C$451,$C50,'TL08'!$J$238:$J$451),0),
IF('TL09'!$B$3=L$3,SUMIF('TL09'!$C$10:$C$224,$C50,'TL09'!$J$10:$J$224),0),
IF('TL09'!$B$229=L$3,SUMIF('TL09'!$C$238:$C$451,$C50,'TL09'!$J$238:$J$451),0),
IF('TL10'!$B$3=L$3,SUMIF('TL10'!$C$10:$C$224,$C50,'TL10'!$J$10:$J$224),0),
IF('TL10'!$B$229=L$3,SUMIF('TL10'!$C$238:$C$451,$C50,'TL10'!$J$238:$J$451),0),
IF('TL11'!$B$3=L$3,SUMIF('TL11'!$C$10:$C$224,$C50,'TL11'!$J$10:$J$224),0),
IF('TL11'!$B$229=L$3,SUMIF('TL11'!$C$238:$C$451,$C50,'TL11'!$J$238:$J$451),0),
IF('TL12'!$B$3=L$3,SUMIF('TL12'!$C$10:$C$224,$C50,'TL12'!$J$10:$J$224),0),
IF('TL12'!$B$229=L$3,SUMIF('TL12'!$C$238:$C$451,$C50,'TL12'!$J$238:$J$451),0),
IF('TL13'!$B$3=L$3,SUMIF('TL13'!$C$10:$C$224,$C50,'TL13'!$J$10:$J$224),0),
IF('TL13'!$B$229=L$3,SUMIF('TL13'!$C$238:$C$451,$C50,'TL13'!$J$238:$J$451),0),
IF('TL14'!$B$3=L$3,SUMIF('TL14'!$C$10:$C$224,$C50,'TL14'!$J$10:$J$224),0),
IF('TL14'!$B$229=L$3,SUMIF('TL14'!$C$238:$C$451,$C50,'TL14'!$J$238:$J$451),0),
IF('TL15'!$B$3=L$3,SUMIF('TL15'!$C$10:$C$224,$C50,'TL15'!$J$10:$J$224),0),
IF('TL15'!$B$229=L$3,SUMIF('TL15'!$C$238:$C$451,$C50,'TL15'!$J$238:$J$451),0),
IF('TL16'!$B$3=L$3,SUMIF('TL16'!$C$10:$C$224,$C50,'TL16'!$J$10:$J$224),0),
IF('TL16'!$B$229=L$3,SUMIF('TL16'!$C$238:$C$451,$C50,'TL16'!$J$238:$J$451),0),
IF('TL17'!$B$3=L$3,SUMIF('TL17'!$C$10:$C$224,$C50,'TL17'!$J$10:$J$224),0),
IF('TL17'!$B$229=L$3,SUMIF('TL17'!$C$238:$C$451,$C50,'TL17'!$J$238:$J$451),0),
IF('TL18'!$B$3=L$3,SUMIF('TL18'!$C$10:$C$224,$C50,'TL18'!$J$10:$J$224),0),
IF('TL18'!$B$229=L$3,SUMIF('TL18'!$C$238:$C$451,$C50,'TL18'!$J$238:$J$451),0),
IF('TL19'!$B$3=L$3,SUMIF('TL19'!$C$10:$C$224,$C50,'TL19'!$J$10:$J$224),0),
IF('TL19'!$B$229=L$3,SUMIF('TL19'!$C$238:$C$451,$C50,'TL19'!$J$238:$J$451),0)
),0)</f>
        <v>0</v>
      </c>
      <c r="M50" s="9">
        <f>IFERROR(SUM(
IF('TL01'!$B$3=M$3,SUMIF('TL01'!$C$10:$C$224,$C50,'TL01'!$J$10:$J$224),0),
IF('TL01'!$B$229=M$3,SUMIF('TL01'!$C$238:$C$451,$C50,'TL01'!$J$238:$J$451),0),
IF('TL02'!$B$3=M$3,SUMIF('TL02'!$C$10:$C$224,$C50,'TL02'!$J$10:$J$224),0),
IF('TL02'!$B$229=M$3,SUMIF('TL02'!$C$238:$C$451,$C50,'TL02'!$J$238:$J$451),0),
IF('TL03'!$B$3=M$3,SUMIF('TL03'!$C$10:$C$224,$C50,'TL03'!$J$10:$J$224),0),
IF('TL03'!$B$229=M$3,SUMIF('TL03'!$C$238:$C$451,$C50,'TL03'!$J$238:$J$451),0),
IF('TL04'!$B$3=M$3,SUMIF('TL04'!$C$10:$C$224,$C50,'TL04'!$J$10:$J$224),0),
IF('TL04'!$B$229=M$3,SUMIF('TL04'!$C$238:$C$451,$C50,'TL04'!$J$238:$J$451),0),
IF('TL05'!$B$3=M$3,SUMIF('TL05'!$C$10:$C$224,$C50,'TL05'!$J$10:$J$224),0),
IF('TL05'!$B$229=M$3,SUMIF('TL05'!$C$238:$C$451,$C50,'TL05'!$J$238:$J$451),0),
IF('TL06'!$B$3=M$3,SUMIF('TL06'!$C$10:$C$224,$C50,'TL06'!$J$10:$J$224),0),
IF('TL06'!$B$229=M$3,SUMIF('TL06'!$C$238:$C$451,$C50,'TL06'!$J$238:$J$451),0),
IF('TL07'!$B$3=M$3,SUMIF('TL07'!$C$10:$C$224,$C50,'TL07'!$J$10:$J$224),0),
IF('TL07'!$B$229=M$3,SUMIF('TL07'!$C$238:$C$451,$C50,'TL07'!$J$238:$J$451),0),
IF('TL08'!$B$3=M$3,SUMIF('TL08'!$C$10:$C$224,$C50,'TL08'!$J$10:$J$224),0),
IF('TL08'!$B$229=M$3,SUMIF('TL08'!$C$238:$C$451,$C50,'TL08'!$J$238:$J$451),0),
IF('TL09'!$B$3=M$3,SUMIF('TL09'!$C$10:$C$224,$C50,'TL09'!$J$10:$J$224),0),
IF('TL09'!$B$229=M$3,SUMIF('TL09'!$C$238:$C$451,$C50,'TL09'!$J$238:$J$451),0),
IF('TL10'!$B$3=M$3,SUMIF('TL10'!$C$10:$C$224,$C50,'TL10'!$J$10:$J$224),0),
IF('TL10'!$B$229=M$3,SUMIF('TL10'!$C$238:$C$451,$C50,'TL10'!$J$238:$J$451),0),
IF('TL11'!$B$3=M$3,SUMIF('TL11'!$C$10:$C$224,$C50,'TL11'!$J$10:$J$224),0),
IF('TL11'!$B$229=M$3,SUMIF('TL11'!$C$238:$C$451,$C50,'TL11'!$J$238:$J$451),0),
IF('TL12'!$B$3=M$3,SUMIF('TL12'!$C$10:$C$224,$C50,'TL12'!$J$10:$J$224),0),
IF('TL12'!$B$229=M$3,SUMIF('TL12'!$C$238:$C$451,$C50,'TL12'!$J$238:$J$451),0),
IF('TL13'!$B$3=M$3,SUMIF('TL13'!$C$10:$C$224,$C50,'TL13'!$J$10:$J$224),0),
IF('TL13'!$B$229=M$3,SUMIF('TL13'!$C$238:$C$451,$C50,'TL13'!$J$238:$J$451),0),
IF('TL14'!$B$3=M$3,SUMIF('TL14'!$C$10:$C$224,$C50,'TL14'!$J$10:$J$224),0),
IF('TL14'!$B$229=M$3,SUMIF('TL14'!$C$238:$C$451,$C50,'TL14'!$J$238:$J$451),0),
IF('TL15'!$B$3=M$3,SUMIF('TL15'!$C$10:$C$224,$C50,'TL15'!$J$10:$J$224),0),
IF('TL15'!$B$229=M$3,SUMIF('TL15'!$C$238:$C$451,$C50,'TL15'!$J$238:$J$451),0),
IF('TL16'!$B$3=M$3,SUMIF('TL16'!$C$10:$C$224,$C50,'TL16'!$J$10:$J$224),0),
IF('TL16'!$B$229=M$3,SUMIF('TL16'!$C$238:$C$451,$C50,'TL16'!$J$238:$J$451),0),
IF('TL17'!$B$3=M$3,SUMIF('TL17'!$C$10:$C$224,$C50,'TL17'!$J$10:$J$224),0),
IF('TL17'!$B$229=M$3,SUMIF('TL17'!$C$238:$C$451,$C50,'TL17'!$J$238:$J$451),0),
IF('TL18'!$B$3=M$3,SUMIF('TL18'!$C$10:$C$224,$C50,'TL18'!$J$10:$J$224),0),
IF('TL18'!$B$229=M$3,SUMIF('TL18'!$C$238:$C$451,$C50,'TL18'!$J$238:$J$451),0),
IF('TL19'!$B$3=M$3,SUMIF('TL19'!$C$10:$C$224,$C50,'TL19'!$J$10:$J$224),0),
IF('TL19'!$B$229=M$3,SUMIF('TL19'!$C$238:$C$451,$C50,'TL19'!$J$238:$J$451),0)
),0)</f>
        <v>0</v>
      </c>
      <c r="N50" s="9">
        <f>IFERROR(SUM(
IF('TL01'!$B$3=N$3,SUMIF('TL01'!$C$10:$C$224,$C50,'TL01'!$J$10:$J$224),0),
IF('TL01'!$B$229=N$3,SUMIF('TL01'!$C$238:$C$451,$C50,'TL01'!$J$238:$J$451),0),
IF('TL02'!$B$3=N$3,SUMIF('TL02'!$C$10:$C$224,$C50,'TL02'!$J$10:$J$224),0),
IF('TL02'!$B$229=N$3,SUMIF('TL02'!$C$238:$C$451,$C50,'TL02'!$J$238:$J$451),0),
IF('TL03'!$B$3=N$3,SUMIF('TL03'!$C$10:$C$224,$C50,'TL03'!$J$10:$J$224),0),
IF('TL03'!$B$229=N$3,SUMIF('TL03'!$C$238:$C$451,$C50,'TL03'!$J$238:$J$451),0),
IF('TL04'!$B$3=N$3,SUMIF('TL04'!$C$10:$C$224,$C50,'TL04'!$J$10:$J$224),0),
IF('TL04'!$B$229=N$3,SUMIF('TL04'!$C$238:$C$451,$C50,'TL04'!$J$238:$J$451),0),
IF('TL05'!$B$3=N$3,SUMIF('TL05'!$C$10:$C$224,$C50,'TL05'!$J$10:$J$224),0),
IF('TL05'!$B$229=N$3,SUMIF('TL05'!$C$238:$C$451,$C50,'TL05'!$J$238:$J$451),0),
IF('TL06'!$B$3=N$3,SUMIF('TL06'!$C$10:$C$224,$C50,'TL06'!$J$10:$J$224),0),
IF('TL06'!$B$229=N$3,SUMIF('TL06'!$C$238:$C$451,$C50,'TL06'!$J$238:$J$451),0),
IF('TL07'!$B$3=N$3,SUMIF('TL07'!$C$10:$C$224,$C50,'TL07'!$J$10:$J$224),0),
IF('TL07'!$B$229=N$3,SUMIF('TL07'!$C$238:$C$451,$C50,'TL07'!$J$238:$J$451),0),
IF('TL08'!$B$3=N$3,SUMIF('TL08'!$C$10:$C$224,$C50,'TL08'!$J$10:$J$224),0),
IF('TL08'!$B$229=N$3,SUMIF('TL08'!$C$238:$C$451,$C50,'TL08'!$J$238:$J$451),0),
IF('TL09'!$B$3=N$3,SUMIF('TL09'!$C$10:$C$224,$C50,'TL09'!$J$10:$J$224),0),
IF('TL09'!$B$229=N$3,SUMIF('TL09'!$C$238:$C$451,$C50,'TL09'!$J$238:$J$451),0),
IF('TL10'!$B$3=N$3,SUMIF('TL10'!$C$10:$C$224,$C50,'TL10'!$J$10:$J$224),0),
IF('TL10'!$B$229=N$3,SUMIF('TL10'!$C$238:$C$451,$C50,'TL10'!$J$238:$J$451),0),
IF('TL11'!$B$3=N$3,SUMIF('TL11'!$C$10:$C$224,$C50,'TL11'!$J$10:$J$224),0),
IF('TL11'!$B$229=N$3,SUMIF('TL11'!$C$238:$C$451,$C50,'TL11'!$J$238:$J$451),0),
IF('TL12'!$B$3=N$3,SUMIF('TL12'!$C$10:$C$224,$C50,'TL12'!$J$10:$J$224),0),
IF('TL12'!$B$229=N$3,SUMIF('TL12'!$C$238:$C$451,$C50,'TL12'!$J$238:$J$451),0),
IF('TL13'!$B$3=N$3,SUMIF('TL13'!$C$10:$C$224,$C50,'TL13'!$J$10:$J$224),0),
IF('TL13'!$B$229=N$3,SUMIF('TL13'!$C$238:$C$451,$C50,'TL13'!$J$238:$J$451),0),
IF('TL14'!$B$3=N$3,SUMIF('TL14'!$C$10:$C$224,$C50,'TL14'!$J$10:$J$224),0),
IF('TL14'!$B$229=N$3,SUMIF('TL14'!$C$238:$C$451,$C50,'TL14'!$J$238:$J$451),0),
IF('TL15'!$B$3=N$3,SUMIF('TL15'!$C$10:$C$224,$C50,'TL15'!$J$10:$J$224),0),
IF('TL15'!$B$229=N$3,SUMIF('TL15'!$C$238:$C$451,$C50,'TL15'!$J$238:$J$451),0),
IF('TL16'!$B$3=N$3,SUMIF('TL16'!$C$10:$C$224,$C50,'TL16'!$J$10:$J$224),0),
IF('TL16'!$B$229=N$3,SUMIF('TL16'!$C$238:$C$451,$C50,'TL16'!$J$238:$J$451),0),
IF('TL17'!$B$3=N$3,SUMIF('TL17'!$C$10:$C$224,$C50,'TL17'!$J$10:$J$224),0),
IF('TL17'!$B$229=N$3,SUMIF('TL17'!$C$238:$C$451,$C50,'TL17'!$J$238:$J$451),0),
IF('TL18'!$B$3=N$3,SUMIF('TL18'!$C$10:$C$224,$C50,'TL18'!$J$10:$J$224),0),
IF('TL18'!$B$229=N$3,SUMIF('TL18'!$C$238:$C$451,$C50,'TL18'!$J$238:$J$451),0),
IF('TL19'!$B$3=N$3,SUMIF('TL19'!$C$10:$C$224,$C50,'TL19'!$J$10:$J$224),0),
IF('TL19'!$B$229=N$3,SUMIF('TL19'!$C$238:$C$451,$C50,'TL19'!$J$238:$J$451),0)
),0)</f>
        <v>0</v>
      </c>
      <c r="O50" s="9">
        <f>IFERROR(SUM(
IF('TL01'!$B$3=O$3,SUMIF('TL01'!$C$10:$C$224,$C50,'TL01'!$J$10:$J$224),0),
IF('TL01'!$B$229=O$3,SUMIF('TL01'!$C$238:$C$451,$C50,'TL01'!$J$238:$J$451),0),
IF('TL02'!$B$3=O$3,SUMIF('TL02'!$C$10:$C$224,$C50,'TL02'!$J$10:$J$224),0),
IF('TL02'!$B$229=O$3,SUMIF('TL02'!$C$238:$C$451,$C50,'TL02'!$J$238:$J$451),0),
IF('TL03'!$B$3=O$3,SUMIF('TL03'!$C$10:$C$224,$C50,'TL03'!$J$10:$J$224),0),
IF('TL03'!$B$229=O$3,SUMIF('TL03'!$C$238:$C$451,$C50,'TL03'!$J$238:$J$451),0),
IF('TL04'!$B$3=O$3,SUMIF('TL04'!$C$10:$C$224,$C50,'TL04'!$J$10:$J$224),0),
IF('TL04'!$B$229=O$3,SUMIF('TL04'!$C$238:$C$451,$C50,'TL04'!$J$238:$J$451),0),
IF('TL05'!$B$3=O$3,SUMIF('TL05'!$C$10:$C$224,$C50,'TL05'!$J$10:$J$224),0),
IF('TL05'!$B$229=O$3,SUMIF('TL05'!$C$238:$C$451,$C50,'TL05'!$J$238:$J$451),0),
IF('TL06'!$B$3=O$3,SUMIF('TL06'!$C$10:$C$224,$C50,'TL06'!$J$10:$J$224),0),
IF('TL06'!$B$229=O$3,SUMIF('TL06'!$C$238:$C$451,$C50,'TL06'!$J$238:$J$451),0),
IF('TL07'!$B$3=O$3,SUMIF('TL07'!$C$10:$C$224,$C50,'TL07'!$J$10:$J$224),0),
IF('TL07'!$B$229=O$3,SUMIF('TL07'!$C$238:$C$451,$C50,'TL07'!$J$238:$J$451),0),
IF('TL08'!$B$3=O$3,SUMIF('TL08'!$C$10:$C$224,$C50,'TL08'!$J$10:$J$224),0),
IF('TL08'!$B$229=O$3,SUMIF('TL08'!$C$238:$C$451,$C50,'TL08'!$J$238:$J$451),0),
IF('TL09'!$B$3=O$3,SUMIF('TL09'!$C$10:$C$224,$C50,'TL09'!$J$10:$J$224),0),
IF('TL09'!$B$229=O$3,SUMIF('TL09'!$C$238:$C$451,$C50,'TL09'!$J$238:$J$451),0),
IF('TL10'!$B$3=O$3,SUMIF('TL10'!$C$10:$C$224,$C50,'TL10'!$J$10:$J$224),0),
IF('TL10'!$B$229=O$3,SUMIF('TL10'!$C$238:$C$451,$C50,'TL10'!$J$238:$J$451),0),
IF('TL11'!$B$3=O$3,SUMIF('TL11'!$C$10:$C$224,$C50,'TL11'!$J$10:$J$224),0),
IF('TL11'!$B$229=O$3,SUMIF('TL11'!$C$238:$C$451,$C50,'TL11'!$J$238:$J$451),0),
IF('TL12'!$B$3=O$3,SUMIF('TL12'!$C$10:$C$224,$C50,'TL12'!$J$10:$J$224),0),
IF('TL12'!$B$229=O$3,SUMIF('TL12'!$C$238:$C$451,$C50,'TL12'!$J$238:$J$451),0),
IF('TL13'!$B$3=O$3,SUMIF('TL13'!$C$10:$C$224,$C50,'TL13'!$J$10:$J$224),0),
IF('TL13'!$B$229=O$3,SUMIF('TL13'!$C$238:$C$451,$C50,'TL13'!$J$238:$J$451),0),
IF('TL14'!$B$3=O$3,SUMIF('TL14'!$C$10:$C$224,$C50,'TL14'!$J$10:$J$224),0),
IF('TL14'!$B$229=O$3,SUMIF('TL14'!$C$238:$C$451,$C50,'TL14'!$J$238:$J$451),0),
IF('TL15'!$B$3=O$3,SUMIF('TL15'!$C$10:$C$224,$C50,'TL15'!$J$10:$J$224),0),
IF('TL15'!$B$229=O$3,SUMIF('TL15'!$C$238:$C$451,$C50,'TL15'!$J$238:$J$451),0),
IF('TL16'!$B$3=O$3,SUMIF('TL16'!$C$10:$C$224,$C50,'TL16'!$J$10:$J$224),0),
IF('TL16'!$B$229=O$3,SUMIF('TL16'!$C$238:$C$451,$C50,'TL16'!$J$238:$J$451),0),
IF('TL17'!$B$3=O$3,SUMIF('TL17'!$C$10:$C$224,$C50,'TL17'!$J$10:$J$224),0),
IF('TL17'!$B$229=O$3,SUMIF('TL17'!$C$238:$C$451,$C50,'TL17'!$J$238:$J$451),0),
IF('TL18'!$B$3=O$3,SUMIF('TL18'!$C$10:$C$224,$C50,'TL18'!$J$10:$J$224),0),
IF('TL18'!$B$229=O$3,SUMIF('TL18'!$C$238:$C$451,$C50,'TL18'!$J$238:$J$451),0),
IF('TL19'!$B$3=O$3,SUMIF('TL19'!$C$10:$C$224,$C50,'TL19'!$J$10:$J$224),0),
IF('TL19'!$B$229=O$3,SUMIF('TL19'!$C$238:$C$451,$C50,'TL19'!$J$238:$J$451),0)
),0)</f>
        <v>0</v>
      </c>
      <c r="P50" s="9">
        <f>IFERROR(SUM(
IF('TL01'!$B$3=P$3,SUMIF('TL01'!$C$10:$C$224,$C50,'TL01'!$J$10:$J$224),0),
IF('TL01'!$B$229=P$3,SUMIF('TL01'!$C$238:$C$451,$C50,'TL01'!$J$238:$J$451),0),
IF('TL02'!$B$3=P$3,SUMIF('TL02'!$C$10:$C$224,$C50,'TL02'!$J$10:$J$224),0),
IF('TL02'!$B$229=P$3,SUMIF('TL02'!$C$238:$C$451,$C50,'TL02'!$J$238:$J$451),0),
IF('TL03'!$B$3=P$3,SUMIF('TL03'!$C$10:$C$224,$C50,'TL03'!$J$10:$J$224),0),
IF('TL03'!$B$229=P$3,SUMIF('TL03'!$C$238:$C$451,$C50,'TL03'!$J$238:$J$451),0),
IF('TL04'!$B$3=P$3,SUMIF('TL04'!$C$10:$C$224,$C50,'TL04'!$J$10:$J$224),0),
IF('TL04'!$B$229=P$3,SUMIF('TL04'!$C$238:$C$451,$C50,'TL04'!$J$238:$J$451),0),
IF('TL05'!$B$3=P$3,SUMIF('TL05'!$C$10:$C$224,$C50,'TL05'!$J$10:$J$224),0),
IF('TL05'!$B$229=P$3,SUMIF('TL05'!$C$238:$C$451,$C50,'TL05'!$J$238:$J$451),0),
IF('TL06'!$B$3=P$3,SUMIF('TL06'!$C$10:$C$224,$C50,'TL06'!$J$10:$J$224),0),
IF('TL06'!$B$229=P$3,SUMIF('TL06'!$C$238:$C$451,$C50,'TL06'!$J$238:$J$451),0),
IF('TL07'!$B$3=P$3,SUMIF('TL07'!$C$10:$C$224,$C50,'TL07'!$J$10:$J$224),0),
IF('TL07'!$B$229=P$3,SUMIF('TL07'!$C$238:$C$451,$C50,'TL07'!$J$238:$J$451),0),
IF('TL08'!$B$3=P$3,SUMIF('TL08'!$C$10:$C$224,$C50,'TL08'!$J$10:$J$224),0),
IF('TL08'!$B$229=P$3,SUMIF('TL08'!$C$238:$C$451,$C50,'TL08'!$J$238:$J$451),0),
IF('TL09'!$B$3=P$3,SUMIF('TL09'!$C$10:$C$224,$C50,'TL09'!$J$10:$J$224),0),
IF('TL09'!$B$229=P$3,SUMIF('TL09'!$C$238:$C$451,$C50,'TL09'!$J$238:$J$451),0),
IF('TL10'!$B$3=P$3,SUMIF('TL10'!$C$10:$C$224,$C50,'TL10'!$J$10:$J$224),0),
IF('TL10'!$B$229=P$3,SUMIF('TL10'!$C$238:$C$451,$C50,'TL10'!$J$238:$J$451),0),
IF('TL11'!$B$3=P$3,SUMIF('TL11'!$C$10:$C$224,$C50,'TL11'!$J$10:$J$224),0),
IF('TL11'!$B$229=P$3,SUMIF('TL11'!$C$238:$C$451,$C50,'TL11'!$J$238:$J$451),0),
IF('TL12'!$B$3=P$3,SUMIF('TL12'!$C$10:$C$224,$C50,'TL12'!$J$10:$J$224),0),
IF('TL12'!$B$229=P$3,SUMIF('TL12'!$C$238:$C$451,$C50,'TL12'!$J$238:$J$451),0),
IF('TL13'!$B$3=P$3,SUMIF('TL13'!$C$10:$C$224,$C50,'TL13'!$J$10:$J$224),0),
IF('TL13'!$B$229=P$3,SUMIF('TL13'!$C$238:$C$451,$C50,'TL13'!$J$238:$J$451),0),
IF('TL14'!$B$3=P$3,SUMIF('TL14'!$C$10:$C$224,$C50,'TL14'!$J$10:$J$224),0),
IF('TL14'!$B$229=P$3,SUMIF('TL14'!$C$238:$C$451,$C50,'TL14'!$J$238:$J$451),0),
IF('TL15'!$B$3=P$3,SUMIF('TL15'!$C$10:$C$224,$C50,'TL15'!$J$10:$J$224),0),
IF('TL15'!$B$229=P$3,SUMIF('TL15'!$C$238:$C$451,$C50,'TL15'!$J$238:$J$451),0),
IF('TL16'!$B$3=P$3,SUMIF('TL16'!$C$10:$C$224,$C50,'TL16'!$J$10:$J$224),0),
IF('TL16'!$B$229=P$3,SUMIF('TL16'!$C$238:$C$451,$C50,'TL16'!$J$238:$J$451),0),
IF('TL17'!$B$3=P$3,SUMIF('TL17'!$C$10:$C$224,$C50,'TL17'!$J$10:$J$224),0),
IF('TL17'!$B$229=P$3,SUMIF('TL17'!$C$238:$C$451,$C50,'TL17'!$J$238:$J$451),0),
IF('TL18'!$B$3=P$3,SUMIF('TL18'!$C$10:$C$224,$C50,'TL18'!$J$10:$J$224),0),
IF('TL18'!$B$229=P$3,SUMIF('TL18'!$C$238:$C$451,$C50,'TL18'!$J$238:$J$451),0),
IF('TL19'!$B$3=P$3,SUMIF('TL19'!$C$10:$C$224,$C50,'TL19'!$J$10:$J$224),0),
IF('TL19'!$B$229=P$3,SUMIF('TL19'!$C$238:$C$451,$C50,'TL19'!$J$238:$J$451),0)
),0)</f>
        <v>0</v>
      </c>
      <c r="Q50" s="9">
        <f>IFERROR(SUM(
IF('TL01'!$B$3=Q$3,SUMIF('TL01'!$C$10:$C$224,$C50,'TL01'!$J$10:$J$224),0),
IF('TL01'!$B$229=Q$3,SUMIF('TL01'!$C$238:$C$451,$C50,'TL01'!$J$238:$J$451),0),
IF('TL02'!$B$3=Q$3,SUMIF('TL02'!$C$10:$C$224,$C50,'TL02'!$J$10:$J$224),0),
IF('TL02'!$B$229=Q$3,SUMIF('TL02'!$C$238:$C$451,$C50,'TL02'!$J$238:$J$451),0),
IF('TL03'!$B$3=Q$3,SUMIF('TL03'!$C$10:$C$224,$C50,'TL03'!$J$10:$J$224),0),
IF('TL03'!$B$229=Q$3,SUMIF('TL03'!$C$238:$C$451,$C50,'TL03'!$J$238:$J$451),0),
IF('TL04'!$B$3=Q$3,SUMIF('TL04'!$C$10:$C$224,$C50,'TL04'!$J$10:$J$224),0),
IF('TL04'!$B$229=Q$3,SUMIF('TL04'!$C$238:$C$451,$C50,'TL04'!$J$238:$J$451),0),
IF('TL05'!$B$3=Q$3,SUMIF('TL05'!$C$10:$C$224,$C50,'TL05'!$J$10:$J$224),0),
IF('TL05'!$B$229=Q$3,SUMIF('TL05'!$C$238:$C$451,$C50,'TL05'!$J$238:$J$451),0),
IF('TL06'!$B$3=Q$3,SUMIF('TL06'!$C$10:$C$224,$C50,'TL06'!$J$10:$J$224),0),
IF('TL06'!$B$229=Q$3,SUMIF('TL06'!$C$238:$C$451,$C50,'TL06'!$J$238:$J$451),0),
IF('TL07'!$B$3=Q$3,SUMIF('TL07'!$C$10:$C$224,$C50,'TL07'!$J$10:$J$224),0),
IF('TL07'!$B$229=Q$3,SUMIF('TL07'!$C$238:$C$451,$C50,'TL07'!$J$238:$J$451),0),
IF('TL08'!$B$3=Q$3,SUMIF('TL08'!$C$10:$C$224,$C50,'TL08'!$J$10:$J$224),0),
IF('TL08'!$B$229=Q$3,SUMIF('TL08'!$C$238:$C$451,$C50,'TL08'!$J$238:$J$451),0),
IF('TL09'!$B$3=Q$3,SUMIF('TL09'!$C$10:$C$224,$C50,'TL09'!$J$10:$J$224),0),
IF('TL09'!$B$229=Q$3,SUMIF('TL09'!$C$238:$C$451,$C50,'TL09'!$J$238:$J$451),0),
IF('TL10'!$B$3=Q$3,SUMIF('TL10'!$C$10:$C$224,$C50,'TL10'!$J$10:$J$224),0),
IF('TL10'!$B$229=Q$3,SUMIF('TL10'!$C$238:$C$451,$C50,'TL10'!$J$238:$J$451),0),
IF('TL11'!$B$3=Q$3,SUMIF('TL11'!$C$10:$C$224,$C50,'TL11'!$J$10:$J$224),0),
IF('TL11'!$B$229=Q$3,SUMIF('TL11'!$C$238:$C$451,$C50,'TL11'!$J$238:$J$451),0),
IF('TL12'!$B$3=Q$3,SUMIF('TL12'!$C$10:$C$224,$C50,'TL12'!$J$10:$J$224),0),
IF('TL12'!$B$229=Q$3,SUMIF('TL12'!$C$238:$C$451,$C50,'TL12'!$J$238:$J$451),0),
IF('TL13'!$B$3=Q$3,SUMIF('TL13'!$C$10:$C$224,$C50,'TL13'!$J$10:$J$224),0),
IF('TL13'!$B$229=Q$3,SUMIF('TL13'!$C$238:$C$451,$C50,'TL13'!$J$238:$J$451),0),
IF('TL14'!$B$3=Q$3,SUMIF('TL14'!$C$10:$C$224,$C50,'TL14'!$J$10:$J$224),0),
IF('TL14'!$B$229=Q$3,SUMIF('TL14'!$C$238:$C$451,$C50,'TL14'!$J$238:$J$451),0),
IF('TL15'!$B$3=Q$3,SUMIF('TL15'!$C$10:$C$224,$C50,'TL15'!$J$10:$J$224),0),
IF('TL15'!$B$229=Q$3,SUMIF('TL15'!$C$238:$C$451,$C50,'TL15'!$J$238:$J$451),0),
IF('TL16'!$B$3=Q$3,SUMIF('TL16'!$C$10:$C$224,$C50,'TL16'!$J$10:$J$224),0),
IF('TL16'!$B$229=Q$3,SUMIF('TL16'!$C$238:$C$451,$C50,'TL16'!$J$238:$J$451),0),
IF('TL17'!$B$3=Q$3,SUMIF('TL17'!$C$10:$C$224,$C50,'TL17'!$J$10:$J$224),0),
IF('TL17'!$B$229=Q$3,SUMIF('TL17'!$C$238:$C$451,$C50,'TL17'!$J$238:$J$451),0),
IF('TL18'!$B$3=Q$3,SUMIF('TL18'!$C$10:$C$224,$C50,'TL18'!$J$10:$J$224),0),
IF('TL18'!$B$229=Q$3,SUMIF('TL18'!$C$238:$C$451,$C50,'TL18'!$J$238:$J$451),0),
IF('TL19'!$B$3=Q$3,SUMIF('TL19'!$C$10:$C$224,$C50,'TL19'!$J$10:$J$224),0),
IF('TL19'!$B$229=Q$3,SUMIF('TL19'!$C$238:$C$451,$C50,'TL19'!$J$238:$J$451),0)
),0)</f>
        <v>0</v>
      </c>
      <c r="R50" s="9">
        <f>IFERROR(
SUM(
SUMIF('TL01'!C:C,C50,'TL01'!J:J),
SUMIF('TL02'!C:C,C50,'TL02'!J:J),
SUMIF('TL03'!C:C,C50,'TL03'!J:J),
SUMIF('TL04'!C:C,C50,'TL04'!J:J),
SUMIF('TL05'!C:C,C50,'TL05'!J:J),
SUMIF('TL06'!C:C,C50,'TL06'!J:J),
SUMIF('TL07'!C:C,C50,'TL07'!J:J),
SUMIF('TL08'!C:C,C50,'TL08'!J:J),
SUMIF('TL09'!C:C,C50,'TL09'!J:J),
SUMIF('TL10'!C:C,C50,'TL10'!J:J),
SUMIF('TL11'!C:C,C50,'TL11'!J:J),
SUMIF('TL12'!C:C,C50,'TL12'!J:J),
SUMIF('TL13'!C:C,C50,'TL13'!J:J),
SUMIF('TL14'!C:C,C50,'TL14'!J:J),
SUMIF('TL15'!C:C,C50,'TL15'!J:J),
SUMIF('TL16'!C:C,C50,'TL16'!J:J),
SUMIF('TL17'!C:C,C50,'TL17'!J:J),
SUMIF('TL18'!C:C,C50,'TL18'!J:J),SUMIF('TL19'!C:C,C50,'TL19'!J:J))
,0)</f>
        <v>0</v>
      </c>
      <c r="S50" s="17">
        <f>IFERROR(__xludf.DUMMYFUNCTION("IFERROR(VLOOKUP(C50,
IMPORTRANGE(""1wULbzX32WdYsx-lj2U3uUNBBe2INVIRDtcK0d-Dvl90"",
""26-27!C:G""),
5,
FALSE),
"""")"),399.92112000000003)</f>
        <v>399.92112</v>
      </c>
      <c r="T50" s="9"/>
      <c r="U50" s="92">
        <f t="shared" si="2"/>
        <v>0</v>
      </c>
      <c r="V50" s="93">
        <f t="shared" si="3"/>
        <v>0</v>
      </c>
    </row>
    <row r="51" ht="15.75" hidden="1" customHeight="1">
      <c r="A51" s="111" t="s">
        <v>350</v>
      </c>
      <c r="B51" s="112" t="s">
        <v>0</v>
      </c>
      <c r="C51" s="113" t="s">
        <v>464</v>
      </c>
      <c r="D51" s="113" t="s">
        <v>465</v>
      </c>
      <c r="E51" s="113" t="s">
        <v>466</v>
      </c>
      <c r="F51" s="4" t="s">
        <v>343</v>
      </c>
      <c r="G51" s="90" t="str">
        <f t="shared" si="4"/>
        <v>📄 Ver bula</v>
      </c>
      <c r="H51" s="9">
        <f>IFERROR(__xludf.DUMMYFUNCTION("IFERROR(VLOOKUP(C51,
IMPORTRANGE(""1wULbzX32WdYsx-lj2U3uUNBBe2INVIRDtcK0d-Dvl90"",
""26-27!C:K""),
8,
FALSE),
"""")"),0.35)</f>
        <v>0.35</v>
      </c>
      <c r="I51" s="114" t="s">
        <v>344</v>
      </c>
      <c r="J51" s="9">
        <f>IFERROR(SUM(
IF('TL01'!$B$3=J$3,SUMIF('TL01'!$C$10:$C$224,$C51,'TL01'!$J$10:$J$224),0),
IF('TL01'!$B$229=J$3,SUMIF('TL01'!$C$238:$C$451,$C51,'TL01'!$J$238:$J$451),0),
IF('TL02'!$B$3=J$3,SUMIF('TL02'!$C$10:$C$224,$C51,'TL02'!$J$10:$J$224),0),
IF('TL02'!$B$229=J$3,SUMIF('TL02'!$C$238:$C$451,$C51,'TL02'!$J$238:$J$451),0),
IF('TL03'!$B$3=J$3,SUMIF('TL03'!$C$10:$C$224,$C51,'TL03'!$J$10:$J$224),0),
IF('TL03'!$B$229=J$3,SUMIF('TL03'!$C$238:$C$451,$C51,'TL03'!$J$238:$J$451),0),
IF('TL04'!$B$3=J$3,SUMIF('TL04'!$C$10:$C$224,$C51,'TL04'!$J$10:$J$224),0),
IF('TL04'!$B$229=J$3,SUMIF('TL04'!$C$238:$C$451,$C51,'TL04'!$J$238:$J$451),0),
IF('TL05'!$B$3=J$3,SUMIF('TL05'!$C$10:$C$224,$C51,'TL05'!$J$10:$J$224),0),
IF('TL05'!$B$229=J$3,SUMIF('TL05'!$C$238:$C$451,$C51,'TL05'!$J$238:$J$451),0),
IF('TL06'!$B$3=J$3,SUMIF('TL06'!$C$10:$C$224,$C51,'TL06'!$J$10:$J$224),0),
IF('TL06'!$B$229=J$3,SUMIF('TL06'!$C$238:$C$451,$C51,'TL06'!$J$238:$J$451),0),
IF('TL07'!$B$3=J$3,SUMIF('TL07'!$C$10:$C$224,$C51,'TL07'!$J$10:$J$224),0),
IF('TL07'!$B$229=J$3,SUMIF('TL07'!$C$238:$C$451,$C51,'TL07'!$J$238:$J$451),0),
IF('TL08'!$B$3=J$3,SUMIF('TL08'!$C$10:$C$224,$C51,'TL08'!$J$10:$J$224),0),
IF('TL08'!$B$229=J$3,SUMIF('TL08'!$C$238:$C$451,$C51,'TL08'!$J$238:$J$451),0),
IF('TL09'!$B$3=J$3,SUMIF('TL09'!$C$10:$C$224,$C51,'TL09'!$J$10:$J$224),0),
IF('TL09'!$B$229=J$3,SUMIF('TL09'!$C$238:$C$451,$C51,'TL09'!$J$238:$J$451),0),
IF('TL10'!$B$3=J$3,SUMIF('TL10'!$C$10:$C$224,$C51,'TL10'!$J$10:$J$224),0),
IF('TL10'!$B$229=J$3,SUMIF('TL10'!$C$238:$C$451,$C51,'TL10'!$J$238:$J$451),0),
IF('TL11'!$B$3=J$3,SUMIF('TL11'!$C$10:$C$224,$C51,'TL11'!$J$10:$J$224),0),
IF('TL11'!$B$229=J$3,SUMIF('TL11'!$C$238:$C$451,$C51,'TL11'!$J$238:$J$451),0),
IF('TL12'!$B$3=J$3,SUMIF('TL12'!$C$10:$C$224,$C51,'TL12'!$J$10:$J$224),0),
IF('TL12'!$B$229=J$3,SUMIF('TL12'!$C$238:$C$451,$C51,'TL12'!$J$238:$J$451),0),
IF('TL13'!$B$3=J$3,SUMIF('TL13'!$C$10:$C$224,$C51,'TL13'!$J$10:$J$224),0),
IF('TL13'!$B$229=J$3,SUMIF('TL13'!$C$238:$C$451,$C51,'TL13'!$J$238:$J$451),0),
IF('TL14'!$B$3=J$3,SUMIF('TL14'!$C$10:$C$224,$C51,'TL14'!$J$10:$J$224),0),
IF('TL14'!$B$229=J$3,SUMIF('TL14'!$C$238:$C$451,$C51,'TL14'!$J$238:$J$451),0),
IF('TL15'!$B$3=J$3,SUMIF('TL15'!$C$10:$C$224,$C51,'TL15'!$J$10:$J$224),0),
IF('TL15'!$B$229=J$3,SUMIF('TL15'!$C$238:$C$451,$C51,'TL15'!$J$238:$J$451),0),
IF('TL16'!$B$3=J$3,SUMIF('TL16'!$C$10:$C$224,$C51,'TL16'!$J$10:$J$224),0),
IF('TL16'!$B$229=J$3,SUMIF('TL16'!$C$238:$C$451,$C51,'TL16'!$J$238:$J$451),0),
IF('TL17'!$B$3=J$3,SUMIF('TL17'!$C$10:$C$224,$C51,'TL17'!$J$10:$J$224),0),
IF('TL17'!$B$229=J$3,SUMIF('TL17'!$C$238:$C$451,$C51,'TL17'!$J$238:$J$451),0),
IF('TL18'!$B$3=J$3,SUMIF('TL18'!$C$10:$C$224,$C51,'TL18'!$J$10:$J$224),0),
IF('TL18'!$B$229=J$3,SUMIF('TL18'!$C$238:$C$451,$C51,'TL18'!$J$238:$J$451),0),
IF('TL19'!$B$3=J$3,SUMIF('TL19'!$C$10:$C$224,$C51,'TL19'!$J$10:$J$224),0),
IF('TL19'!$B$229=J$3,SUMIF('TL19'!$C$238:$C$451,$C51,'TL19'!$J$238:$J$451),0)
),0)</f>
        <v>0</v>
      </c>
      <c r="K51" s="9">
        <f>IFERROR(SUM(
IF('TL01'!$B$3=K$3,SUMIF('TL01'!$C$10:$C$224,$C51,'TL01'!$J$10:$J$224),0),
IF('TL01'!$B$229=K$3,SUMIF('TL01'!$C$238:$C$451,$C51,'TL01'!$J$238:$J$451),0),
IF('TL02'!$B$3=K$3,SUMIF('TL02'!$C$10:$C$224,$C51,'TL02'!$J$10:$J$224),0),
IF('TL02'!$B$229=K$3,SUMIF('TL02'!$C$238:$C$451,$C51,'TL02'!$J$238:$J$451),0),
IF('TL03'!$B$3=K$3,SUMIF('TL03'!$C$10:$C$224,$C51,'TL03'!$J$10:$J$224),0),
IF('TL03'!$B$229=K$3,SUMIF('TL03'!$C$238:$C$451,$C51,'TL03'!$J$238:$J$451),0),
IF('TL04'!$B$3=K$3,SUMIF('TL04'!$C$10:$C$224,$C51,'TL04'!$J$10:$J$224),0),
IF('TL04'!$B$229=K$3,SUMIF('TL04'!$C$238:$C$451,$C51,'TL04'!$J$238:$J$451),0),
IF('TL05'!$B$3=K$3,SUMIF('TL05'!$C$10:$C$224,$C51,'TL05'!$J$10:$J$224),0),
IF('TL05'!$B$229=K$3,SUMIF('TL05'!$C$238:$C$451,$C51,'TL05'!$J$238:$J$451),0),
IF('TL06'!$B$3=K$3,SUMIF('TL06'!$C$10:$C$224,$C51,'TL06'!$J$10:$J$224),0),
IF('TL06'!$B$229=K$3,SUMIF('TL06'!$C$238:$C$451,$C51,'TL06'!$J$238:$J$451),0),
IF('TL07'!$B$3=K$3,SUMIF('TL07'!$C$10:$C$224,$C51,'TL07'!$J$10:$J$224),0),
IF('TL07'!$B$229=K$3,SUMIF('TL07'!$C$238:$C$451,$C51,'TL07'!$J$238:$J$451),0),
IF('TL08'!$B$3=K$3,SUMIF('TL08'!$C$10:$C$224,$C51,'TL08'!$J$10:$J$224),0),
IF('TL08'!$B$229=K$3,SUMIF('TL08'!$C$238:$C$451,$C51,'TL08'!$J$238:$J$451),0),
IF('TL09'!$B$3=K$3,SUMIF('TL09'!$C$10:$C$224,$C51,'TL09'!$J$10:$J$224),0),
IF('TL09'!$B$229=K$3,SUMIF('TL09'!$C$238:$C$451,$C51,'TL09'!$J$238:$J$451),0),
IF('TL10'!$B$3=K$3,SUMIF('TL10'!$C$10:$C$224,$C51,'TL10'!$J$10:$J$224),0),
IF('TL10'!$B$229=K$3,SUMIF('TL10'!$C$238:$C$451,$C51,'TL10'!$J$238:$J$451),0),
IF('TL11'!$B$3=K$3,SUMIF('TL11'!$C$10:$C$224,$C51,'TL11'!$J$10:$J$224),0),
IF('TL11'!$B$229=K$3,SUMIF('TL11'!$C$238:$C$451,$C51,'TL11'!$J$238:$J$451),0),
IF('TL12'!$B$3=K$3,SUMIF('TL12'!$C$10:$C$224,$C51,'TL12'!$J$10:$J$224),0),
IF('TL12'!$B$229=K$3,SUMIF('TL12'!$C$238:$C$451,$C51,'TL12'!$J$238:$J$451),0),
IF('TL13'!$B$3=K$3,SUMIF('TL13'!$C$10:$C$224,$C51,'TL13'!$J$10:$J$224),0),
IF('TL13'!$B$229=K$3,SUMIF('TL13'!$C$238:$C$451,$C51,'TL13'!$J$238:$J$451),0),
IF('TL14'!$B$3=K$3,SUMIF('TL14'!$C$10:$C$224,$C51,'TL14'!$J$10:$J$224),0),
IF('TL14'!$B$229=K$3,SUMIF('TL14'!$C$238:$C$451,$C51,'TL14'!$J$238:$J$451),0),
IF('TL15'!$B$3=K$3,SUMIF('TL15'!$C$10:$C$224,$C51,'TL15'!$J$10:$J$224),0),
IF('TL15'!$B$229=K$3,SUMIF('TL15'!$C$238:$C$451,$C51,'TL15'!$J$238:$J$451),0),
IF('TL16'!$B$3=K$3,SUMIF('TL16'!$C$10:$C$224,$C51,'TL16'!$J$10:$J$224),0),
IF('TL16'!$B$229=K$3,SUMIF('TL16'!$C$238:$C$451,$C51,'TL16'!$J$238:$J$451),0),
IF('TL17'!$B$3=K$3,SUMIF('TL17'!$C$10:$C$224,$C51,'TL17'!$J$10:$J$224),0),
IF('TL17'!$B$229=K$3,SUMIF('TL17'!$C$238:$C$451,$C51,'TL17'!$J$238:$J$451),0),
IF('TL18'!$B$3=K$3,SUMIF('TL18'!$C$10:$C$224,$C51,'TL18'!$J$10:$J$224),0),
IF('TL18'!$B$229=K$3,SUMIF('TL18'!$C$238:$C$451,$C51,'TL18'!$J$238:$J$451),0),
IF('TL19'!$B$3=K$3,SUMIF('TL19'!$C$10:$C$224,$C51,'TL19'!$J$10:$J$224),0),
IF('TL19'!$B$229=K$3,SUMIF('TL19'!$C$238:$C$451,$C51,'TL19'!$J$238:$J$451),0)
),0)</f>
        <v>0</v>
      </c>
      <c r="L51" s="9">
        <f>IFERROR(SUM(
IF('TL01'!$B$3=L$3,SUMIF('TL01'!$C$10:$C$224,$C51,'TL01'!$J$10:$J$224),0),
IF('TL01'!$B$229=L$3,SUMIF('TL01'!$C$238:$C$451,$C51,'TL01'!$J$238:$J$451),0),
IF('TL02'!$B$3=L$3,SUMIF('TL02'!$C$10:$C$224,$C51,'TL02'!$J$10:$J$224),0),
IF('TL02'!$B$229=L$3,SUMIF('TL02'!$C$238:$C$451,$C51,'TL02'!$J$238:$J$451),0),
IF('TL03'!$B$3=L$3,SUMIF('TL03'!$C$10:$C$224,$C51,'TL03'!$J$10:$J$224),0),
IF('TL03'!$B$229=L$3,SUMIF('TL03'!$C$238:$C$451,$C51,'TL03'!$J$238:$J$451),0),
IF('TL04'!$B$3=L$3,SUMIF('TL04'!$C$10:$C$224,$C51,'TL04'!$J$10:$J$224),0),
IF('TL04'!$B$229=L$3,SUMIF('TL04'!$C$238:$C$451,$C51,'TL04'!$J$238:$J$451),0),
IF('TL05'!$B$3=L$3,SUMIF('TL05'!$C$10:$C$224,$C51,'TL05'!$J$10:$J$224),0),
IF('TL05'!$B$229=L$3,SUMIF('TL05'!$C$238:$C$451,$C51,'TL05'!$J$238:$J$451),0),
IF('TL06'!$B$3=L$3,SUMIF('TL06'!$C$10:$C$224,$C51,'TL06'!$J$10:$J$224),0),
IF('TL06'!$B$229=L$3,SUMIF('TL06'!$C$238:$C$451,$C51,'TL06'!$J$238:$J$451),0),
IF('TL07'!$B$3=L$3,SUMIF('TL07'!$C$10:$C$224,$C51,'TL07'!$J$10:$J$224),0),
IF('TL07'!$B$229=L$3,SUMIF('TL07'!$C$238:$C$451,$C51,'TL07'!$J$238:$J$451),0),
IF('TL08'!$B$3=L$3,SUMIF('TL08'!$C$10:$C$224,$C51,'TL08'!$J$10:$J$224),0),
IF('TL08'!$B$229=L$3,SUMIF('TL08'!$C$238:$C$451,$C51,'TL08'!$J$238:$J$451),0),
IF('TL09'!$B$3=L$3,SUMIF('TL09'!$C$10:$C$224,$C51,'TL09'!$J$10:$J$224),0),
IF('TL09'!$B$229=L$3,SUMIF('TL09'!$C$238:$C$451,$C51,'TL09'!$J$238:$J$451),0),
IF('TL10'!$B$3=L$3,SUMIF('TL10'!$C$10:$C$224,$C51,'TL10'!$J$10:$J$224),0),
IF('TL10'!$B$229=L$3,SUMIF('TL10'!$C$238:$C$451,$C51,'TL10'!$J$238:$J$451),0),
IF('TL11'!$B$3=L$3,SUMIF('TL11'!$C$10:$C$224,$C51,'TL11'!$J$10:$J$224),0),
IF('TL11'!$B$229=L$3,SUMIF('TL11'!$C$238:$C$451,$C51,'TL11'!$J$238:$J$451),0),
IF('TL12'!$B$3=L$3,SUMIF('TL12'!$C$10:$C$224,$C51,'TL12'!$J$10:$J$224),0),
IF('TL12'!$B$229=L$3,SUMIF('TL12'!$C$238:$C$451,$C51,'TL12'!$J$238:$J$451),0),
IF('TL13'!$B$3=L$3,SUMIF('TL13'!$C$10:$C$224,$C51,'TL13'!$J$10:$J$224),0),
IF('TL13'!$B$229=L$3,SUMIF('TL13'!$C$238:$C$451,$C51,'TL13'!$J$238:$J$451),0),
IF('TL14'!$B$3=L$3,SUMIF('TL14'!$C$10:$C$224,$C51,'TL14'!$J$10:$J$224),0),
IF('TL14'!$B$229=L$3,SUMIF('TL14'!$C$238:$C$451,$C51,'TL14'!$J$238:$J$451),0),
IF('TL15'!$B$3=L$3,SUMIF('TL15'!$C$10:$C$224,$C51,'TL15'!$J$10:$J$224),0),
IF('TL15'!$B$229=L$3,SUMIF('TL15'!$C$238:$C$451,$C51,'TL15'!$J$238:$J$451),0),
IF('TL16'!$B$3=L$3,SUMIF('TL16'!$C$10:$C$224,$C51,'TL16'!$J$10:$J$224),0),
IF('TL16'!$B$229=L$3,SUMIF('TL16'!$C$238:$C$451,$C51,'TL16'!$J$238:$J$451),0),
IF('TL17'!$B$3=L$3,SUMIF('TL17'!$C$10:$C$224,$C51,'TL17'!$J$10:$J$224),0),
IF('TL17'!$B$229=L$3,SUMIF('TL17'!$C$238:$C$451,$C51,'TL17'!$J$238:$J$451),0),
IF('TL18'!$B$3=L$3,SUMIF('TL18'!$C$10:$C$224,$C51,'TL18'!$J$10:$J$224),0),
IF('TL18'!$B$229=L$3,SUMIF('TL18'!$C$238:$C$451,$C51,'TL18'!$J$238:$J$451),0),
IF('TL19'!$B$3=L$3,SUMIF('TL19'!$C$10:$C$224,$C51,'TL19'!$J$10:$J$224),0),
IF('TL19'!$B$229=L$3,SUMIF('TL19'!$C$238:$C$451,$C51,'TL19'!$J$238:$J$451),0)
),0)</f>
        <v>0</v>
      </c>
      <c r="M51" s="9">
        <f>IFERROR(SUM(
IF('TL01'!$B$3=M$3,SUMIF('TL01'!$C$10:$C$224,$C51,'TL01'!$J$10:$J$224),0),
IF('TL01'!$B$229=M$3,SUMIF('TL01'!$C$238:$C$451,$C51,'TL01'!$J$238:$J$451),0),
IF('TL02'!$B$3=M$3,SUMIF('TL02'!$C$10:$C$224,$C51,'TL02'!$J$10:$J$224),0),
IF('TL02'!$B$229=M$3,SUMIF('TL02'!$C$238:$C$451,$C51,'TL02'!$J$238:$J$451),0),
IF('TL03'!$B$3=M$3,SUMIF('TL03'!$C$10:$C$224,$C51,'TL03'!$J$10:$J$224),0),
IF('TL03'!$B$229=M$3,SUMIF('TL03'!$C$238:$C$451,$C51,'TL03'!$J$238:$J$451),0),
IF('TL04'!$B$3=M$3,SUMIF('TL04'!$C$10:$C$224,$C51,'TL04'!$J$10:$J$224),0),
IF('TL04'!$B$229=M$3,SUMIF('TL04'!$C$238:$C$451,$C51,'TL04'!$J$238:$J$451),0),
IF('TL05'!$B$3=M$3,SUMIF('TL05'!$C$10:$C$224,$C51,'TL05'!$J$10:$J$224),0),
IF('TL05'!$B$229=M$3,SUMIF('TL05'!$C$238:$C$451,$C51,'TL05'!$J$238:$J$451),0),
IF('TL06'!$B$3=M$3,SUMIF('TL06'!$C$10:$C$224,$C51,'TL06'!$J$10:$J$224),0),
IF('TL06'!$B$229=M$3,SUMIF('TL06'!$C$238:$C$451,$C51,'TL06'!$J$238:$J$451),0),
IF('TL07'!$B$3=M$3,SUMIF('TL07'!$C$10:$C$224,$C51,'TL07'!$J$10:$J$224),0),
IF('TL07'!$B$229=M$3,SUMIF('TL07'!$C$238:$C$451,$C51,'TL07'!$J$238:$J$451),0),
IF('TL08'!$B$3=M$3,SUMIF('TL08'!$C$10:$C$224,$C51,'TL08'!$J$10:$J$224),0),
IF('TL08'!$B$229=M$3,SUMIF('TL08'!$C$238:$C$451,$C51,'TL08'!$J$238:$J$451),0),
IF('TL09'!$B$3=M$3,SUMIF('TL09'!$C$10:$C$224,$C51,'TL09'!$J$10:$J$224),0),
IF('TL09'!$B$229=M$3,SUMIF('TL09'!$C$238:$C$451,$C51,'TL09'!$J$238:$J$451),0),
IF('TL10'!$B$3=M$3,SUMIF('TL10'!$C$10:$C$224,$C51,'TL10'!$J$10:$J$224),0),
IF('TL10'!$B$229=M$3,SUMIF('TL10'!$C$238:$C$451,$C51,'TL10'!$J$238:$J$451),0),
IF('TL11'!$B$3=M$3,SUMIF('TL11'!$C$10:$C$224,$C51,'TL11'!$J$10:$J$224),0),
IF('TL11'!$B$229=M$3,SUMIF('TL11'!$C$238:$C$451,$C51,'TL11'!$J$238:$J$451),0),
IF('TL12'!$B$3=M$3,SUMIF('TL12'!$C$10:$C$224,$C51,'TL12'!$J$10:$J$224),0),
IF('TL12'!$B$229=M$3,SUMIF('TL12'!$C$238:$C$451,$C51,'TL12'!$J$238:$J$451),0),
IF('TL13'!$B$3=M$3,SUMIF('TL13'!$C$10:$C$224,$C51,'TL13'!$J$10:$J$224),0),
IF('TL13'!$B$229=M$3,SUMIF('TL13'!$C$238:$C$451,$C51,'TL13'!$J$238:$J$451),0),
IF('TL14'!$B$3=M$3,SUMIF('TL14'!$C$10:$C$224,$C51,'TL14'!$J$10:$J$224),0),
IF('TL14'!$B$229=M$3,SUMIF('TL14'!$C$238:$C$451,$C51,'TL14'!$J$238:$J$451),0),
IF('TL15'!$B$3=M$3,SUMIF('TL15'!$C$10:$C$224,$C51,'TL15'!$J$10:$J$224),0),
IF('TL15'!$B$229=M$3,SUMIF('TL15'!$C$238:$C$451,$C51,'TL15'!$J$238:$J$451),0),
IF('TL16'!$B$3=M$3,SUMIF('TL16'!$C$10:$C$224,$C51,'TL16'!$J$10:$J$224),0),
IF('TL16'!$B$229=M$3,SUMIF('TL16'!$C$238:$C$451,$C51,'TL16'!$J$238:$J$451),0),
IF('TL17'!$B$3=M$3,SUMIF('TL17'!$C$10:$C$224,$C51,'TL17'!$J$10:$J$224),0),
IF('TL17'!$B$229=M$3,SUMIF('TL17'!$C$238:$C$451,$C51,'TL17'!$J$238:$J$451),0),
IF('TL18'!$B$3=M$3,SUMIF('TL18'!$C$10:$C$224,$C51,'TL18'!$J$10:$J$224),0),
IF('TL18'!$B$229=M$3,SUMIF('TL18'!$C$238:$C$451,$C51,'TL18'!$J$238:$J$451),0),
IF('TL19'!$B$3=M$3,SUMIF('TL19'!$C$10:$C$224,$C51,'TL19'!$J$10:$J$224),0),
IF('TL19'!$B$229=M$3,SUMIF('TL19'!$C$238:$C$451,$C51,'TL19'!$J$238:$J$451),0)
),0)</f>
        <v>0</v>
      </c>
      <c r="N51" s="9">
        <f>IFERROR(SUM(
IF('TL01'!$B$3=N$3,SUMIF('TL01'!$C$10:$C$224,$C51,'TL01'!$J$10:$J$224),0),
IF('TL01'!$B$229=N$3,SUMIF('TL01'!$C$238:$C$451,$C51,'TL01'!$J$238:$J$451),0),
IF('TL02'!$B$3=N$3,SUMIF('TL02'!$C$10:$C$224,$C51,'TL02'!$J$10:$J$224),0),
IF('TL02'!$B$229=N$3,SUMIF('TL02'!$C$238:$C$451,$C51,'TL02'!$J$238:$J$451),0),
IF('TL03'!$B$3=N$3,SUMIF('TL03'!$C$10:$C$224,$C51,'TL03'!$J$10:$J$224),0),
IF('TL03'!$B$229=N$3,SUMIF('TL03'!$C$238:$C$451,$C51,'TL03'!$J$238:$J$451),0),
IF('TL04'!$B$3=N$3,SUMIF('TL04'!$C$10:$C$224,$C51,'TL04'!$J$10:$J$224),0),
IF('TL04'!$B$229=N$3,SUMIF('TL04'!$C$238:$C$451,$C51,'TL04'!$J$238:$J$451),0),
IF('TL05'!$B$3=N$3,SUMIF('TL05'!$C$10:$C$224,$C51,'TL05'!$J$10:$J$224),0),
IF('TL05'!$B$229=N$3,SUMIF('TL05'!$C$238:$C$451,$C51,'TL05'!$J$238:$J$451),0),
IF('TL06'!$B$3=N$3,SUMIF('TL06'!$C$10:$C$224,$C51,'TL06'!$J$10:$J$224),0),
IF('TL06'!$B$229=N$3,SUMIF('TL06'!$C$238:$C$451,$C51,'TL06'!$J$238:$J$451),0),
IF('TL07'!$B$3=N$3,SUMIF('TL07'!$C$10:$C$224,$C51,'TL07'!$J$10:$J$224),0),
IF('TL07'!$B$229=N$3,SUMIF('TL07'!$C$238:$C$451,$C51,'TL07'!$J$238:$J$451),0),
IF('TL08'!$B$3=N$3,SUMIF('TL08'!$C$10:$C$224,$C51,'TL08'!$J$10:$J$224),0),
IF('TL08'!$B$229=N$3,SUMIF('TL08'!$C$238:$C$451,$C51,'TL08'!$J$238:$J$451),0),
IF('TL09'!$B$3=N$3,SUMIF('TL09'!$C$10:$C$224,$C51,'TL09'!$J$10:$J$224),0),
IF('TL09'!$B$229=N$3,SUMIF('TL09'!$C$238:$C$451,$C51,'TL09'!$J$238:$J$451),0),
IF('TL10'!$B$3=N$3,SUMIF('TL10'!$C$10:$C$224,$C51,'TL10'!$J$10:$J$224),0),
IF('TL10'!$B$229=N$3,SUMIF('TL10'!$C$238:$C$451,$C51,'TL10'!$J$238:$J$451),0),
IF('TL11'!$B$3=N$3,SUMIF('TL11'!$C$10:$C$224,$C51,'TL11'!$J$10:$J$224),0),
IF('TL11'!$B$229=N$3,SUMIF('TL11'!$C$238:$C$451,$C51,'TL11'!$J$238:$J$451),0),
IF('TL12'!$B$3=N$3,SUMIF('TL12'!$C$10:$C$224,$C51,'TL12'!$J$10:$J$224),0),
IF('TL12'!$B$229=N$3,SUMIF('TL12'!$C$238:$C$451,$C51,'TL12'!$J$238:$J$451),0),
IF('TL13'!$B$3=N$3,SUMIF('TL13'!$C$10:$C$224,$C51,'TL13'!$J$10:$J$224),0),
IF('TL13'!$B$229=N$3,SUMIF('TL13'!$C$238:$C$451,$C51,'TL13'!$J$238:$J$451),0),
IF('TL14'!$B$3=N$3,SUMIF('TL14'!$C$10:$C$224,$C51,'TL14'!$J$10:$J$224),0),
IF('TL14'!$B$229=N$3,SUMIF('TL14'!$C$238:$C$451,$C51,'TL14'!$J$238:$J$451),0),
IF('TL15'!$B$3=N$3,SUMIF('TL15'!$C$10:$C$224,$C51,'TL15'!$J$10:$J$224),0),
IF('TL15'!$B$229=N$3,SUMIF('TL15'!$C$238:$C$451,$C51,'TL15'!$J$238:$J$451),0),
IF('TL16'!$B$3=N$3,SUMIF('TL16'!$C$10:$C$224,$C51,'TL16'!$J$10:$J$224),0),
IF('TL16'!$B$229=N$3,SUMIF('TL16'!$C$238:$C$451,$C51,'TL16'!$J$238:$J$451),0),
IF('TL17'!$B$3=N$3,SUMIF('TL17'!$C$10:$C$224,$C51,'TL17'!$J$10:$J$224),0),
IF('TL17'!$B$229=N$3,SUMIF('TL17'!$C$238:$C$451,$C51,'TL17'!$J$238:$J$451),0),
IF('TL18'!$B$3=N$3,SUMIF('TL18'!$C$10:$C$224,$C51,'TL18'!$J$10:$J$224),0),
IF('TL18'!$B$229=N$3,SUMIF('TL18'!$C$238:$C$451,$C51,'TL18'!$J$238:$J$451),0),
IF('TL19'!$B$3=N$3,SUMIF('TL19'!$C$10:$C$224,$C51,'TL19'!$J$10:$J$224),0),
IF('TL19'!$B$229=N$3,SUMIF('TL19'!$C$238:$C$451,$C51,'TL19'!$J$238:$J$451),0)
),0)</f>
        <v>0</v>
      </c>
      <c r="O51" s="9">
        <f>IFERROR(SUM(
IF('TL01'!$B$3=O$3,SUMIF('TL01'!$C$10:$C$224,$C51,'TL01'!$J$10:$J$224),0),
IF('TL01'!$B$229=O$3,SUMIF('TL01'!$C$238:$C$451,$C51,'TL01'!$J$238:$J$451),0),
IF('TL02'!$B$3=O$3,SUMIF('TL02'!$C$10:$C$224,$C51,'TL02'!$J$10:$J$224),0),
IF('TL02'!$B$229=O$3,SUMIF('TL02'!$C$238:$C$451,$C51,'TL02'!$J$238:$J$451),0),
IF('TL03'!$B$3=O$3,SUMIF('TL03'!$C$10:$C$224,$C51,'TL03'!$J$10:$J$224),0),
IF('TL03'!$B$229=O$3,SUMIF('TL03'!$C$238:$C$451,$C51,'TL03'!$J$238:$J$451),0),
IF('TL04'!$B$3=O$3,SUMIF('TL04'!$C$10:$C$224,$C51,'TL04'!$J$10:$J$224),0),
IF('TL04'!$B$229=O$3,SUMIF('TL04'!$C$238:$C$451,$C51,'TL04'!$J$238:$J$451),0),
IF('TL05'!$B$3=O$3,SUMIF('TL05'!$C$10:$C$224,$C51,'TL05'!$J$10:$J$224),0),
IF('TL05'!$B$229=O$3,SUMIF('TL05'!$C$238:$C$451,$C51,'TL05'!$J$238:$J$451),0),
IF('TL06'!$B$3=O$3,SUMIF('TL06'!$C$10:$C$224,$C51,'TL06'!$J$10:$J$224),0),
IF('TL06'!$B$229=O$3,SUMIF('TL06'!$C$238:$C$451,$C51,'TL06'!$J$238:$J$451),0),
IF('TL07'!$B$3=O$3,SUMIF('TL07'!$C$10:$C$224,$C51,'TL07'!$J$10:$J$224),0),
IF('TL07'!$B$229=O$3,SUMIF('TL07'!$C$238:$C$451,$C51,'TL07'!$J$238:$J$451),0),
IF('TL08'!$B$3=O$3,SUMIF('TL08'!$C$10:$C$224,$C51,'TL08'!$J$10:$J$224),0),
IF('TL08'!$B$229=O$3,SUMIF('TL08'!$C$238:$C$451,$C51,'TL08'!$J$238:$J$451),0),
IF('TL09'!$B$3=O$3,SUMIF('TL09'!$C$10:$C$224,$C51,'TL09'!$J$10:$J$224),0),
IF('TL09'!$B$229=O$3,SUMIF('TL09'!$C$238:$C$451,$C51,'TL09'!$J$238:$J$451),0),
IF('TL10'!$B$3=O$3,SUMIF('TL10'!$C$10:$C$224,$C51,'TL10'!$J$10:$J$224),0),
IF('TL10'!$B$229=O$3,SUMIF('TL10'!$C$238:$C$451,$C51,'TL10'!$J$238:$J$451),0),
IF('TL11'!$B$3=O$3,SUMIF('TL11'!$C$10:$C$224,$C51,'TL11'!$J$10:$J$224),0),
IF('TL11'!$B$229=O$3,SUMIF('TL11'!$C$238:$C$451,$C51,'TL11'!$J$238:$J$451),0),
IF('TL12'!$B$3=O$3,SUMIF('TL12'!$C$10:$C$224,$C51,'TL12'!$J$10:$J$224),0),
IF('TL12'!$B$229=O$3,SUMIF('TL12'!$C$238:$C$451,$C51,'TL12'!$J$238:$J$451),0),
IF('TL13'!$B$3=O$3,SUMIF('TL13'!$C$10:$C$224,$C51,'TL13'!$J$10:$J$224),0),
IF('TL13'!$B$229=O$3,SUMIF('TL13'!$C$238:$C$451,$C51,'TL13'!$J$238:$J$451),0),
IF('TL14'!$B$3=O$3,SUMIF('TL14'!$C$10:$C$224,$C51,'TL14'!$J$10:$J$224),0),
IF('TL14'!$B$229=O$3,SUMIF('TL14'!$C$238:$C$451,$C51,'TL14'!$J$238:$J$451),0),
IF('TL15'!$B$3=O$3,SUMIF('TL15'!$C$10:$C$224,$C51,'TL15'!$J$10:$J$224),0),
IF('TL15'!$B$229=O$3,SUMIF('TL15'!$C$238:$C$451,$C51,'TL15'!$J$238:$J$451),0),
IF('TL16'!$B$3=O$3,SUMIF('TL16'!$C$10:$C$224,$C51,'TL16'!$J$10:$J$224),0),
IF('TL16'!$B$229=O$3,SUMIF('TL16'!$C$238:$C$451,$C51,'TL16'!$J$238:$J$451),0),
IF('TL17'!$B$3=O$3,SUMIF('TL17'!$C$10:$C$224,$C51,'TL17'!$J$10:$J$224),0),
IF('TL17'!$B$229=O$3,SUMIF('TL17'!$C$238:$C$451,$C51,'TL17'!$J$238:$J$451),0),
IF('TL18'!$B$3=O$3,SUMIF('TL18'!$C$10:$C$224,$C51,'TL18'!$J$10:$J$224),0),
IF('TL18'!$B$229=O$3,SUMIF('TL18'!$C$238:$C$451,$C51,'TL18'!$J$238:$J$451),0),
IF('TL19'!$B$3=O$3,SUMIF('TL19'!$C$10:$C$224,$C51,'TL19'!$J$10:$J$224),0),
IF('TL19'!$B$229=O$3,SUMIF('TL19'!$C$238:$C$451,$C51,'TL19'!$J$238:$J$451),0)
),0)</f>
        <v>0</v>
      </c>
      <c r="P51" s="9">
        <f>IFERROR(SUM(
IF('TL01'!$B$3=P$3,SUMIF('TL01'!$C$10:$C$224,$C51,'TL01'!$J$10:$J$224),0),
IF('TL01'!$B$229=P$3,SUMIF('TL01'!$C$238:$C$451,$C51,'TL01'!$J$238:$J$451),0),
IF('TL02'!$B$3=P$3,SUMIF('TL02'!$C$10:$C$224,$C51,'TL02'!$J$10:$J$224),0),
IF('TL02'!$B$229=P$3,SUMIF('TL02'!$C$238:$C$451,$C51,'TL02'!$J$238:$J$451),0),
IF('TL03'!$B$3=P$3,SUMIF('TL03'!$C$10:$C$224,$C51,'TL03'!$J$10:$J$224),0),
IF('TL03'!$B$229=P$3,SUMIF('TL03'!$C$238:$C$451,$C51,'TL03'!$J$238:$J$451),0),
IF('TL04'!$B$3=P$3,SUMIF('TL04'!$C$10:$C$224,$C51,'TL04'!$J$10:$J$224),0),
IF('TL04'!$B$229=P$3,SUMIF('TL04'!$C$238:$C$451,$C51,'TL04'!$J$238:$J$451),0),
IF('TL05'!$B$3=P$3,SUMIF('TL05'!$C$10:$C$224,$C51,'TL05'!$J$10:$J$224),0),
IF('TL05'!$B$229=P$3,SUMIF('TL05'!$C$238:$C$451,$C51,'TL05'!$J$238:$J$451),0),
IF('TL06'!$B$3=P$3,SUMIF('TL06'!$C$10:$C$224,$C51,'TL06'!$J$10:$J$224),0),
IF('TL06'!$B$229=P$3,SUMIF('TL06'!$C$238:$C$451,$C51,'TL06'!$J$238:$J$451),0),
IF('TL07'!$B$3=P$3,SUMIF('TL07'!$C$10:$C$224,$C51,'TL07'!$J$10:$J$224),0),
IF('TL07'!$B$229=P$3,SUMIF('TL07'!$C$238:$C$451,$C51,'TL07'!$J$238:$J$451),0),
IF('TL08'!$B$3=P$3,SUMIF('TL08'!$C$10:$C$224,$C51,'TL08'!$J$10:$J$224),0),
IF('TL08'!$B$229=P$3,SUMIF('TL08'!$C$238:$C$451,$C51,'TL08'!$J$238:$J$451),0),
IF('TL09'!$B$3=P$3,SUMIF('TL09'!$C$10:$C$224,$C51,'TL09'!$J$10:$J$224),0),
IF('TL09'!$B$229=P$3,SUMIF('TL09'!$C$238:$C$451,$C51,'TL09'!$J$238:$J$451),0),
IF('TL10'!$B$3=P$3,SUMIF('TL10'!$C$10:$C$224,$C51,'TL10'!$J$10:$J$224),0),
IF('TL10'!$B$229=P$3,SUMIF('TL10'!$C$238:$C$451,$C51,'TL10'!$J$238:$J$451),0),
IF('TL11'!$B$3=P$3,SUMIF('TL11'!$C$10:$C$224,$C51,'TL11'!$J$10:$J$224),0),
IF('TL11'!$B$229=P$3,SUMIF('TL11'!$C$238:$C$451,$C51,'TL11'!$J$238:$J$451),0),
IF('TL12'!$B$3=P$3,SUMIF('TL12'!$C$10:$C$224,$C51,'TL12'!$J$10:$J$224),0),
IF('TL12'!$B$229=P$3,SUMIF('TL12'!$C$238:$C$451,$C51,'TL12'!$J$238:$J$451),0),
IF('TL13'!$B$3=P$3,SUMIF('TL13'!$C$10:$C$224,$C51,'TL13'!$J$10:$J$224),0),
IF('TL13'!$B$229=P$3,SUMIF('TL13'!$C$238:$C$451,$C51,'TL13'!$J$238:$J$451),0),
IF('TL14'!$B$3=P$3,SUMIF('TL14'!$C$10:$C$224,$C51,'TL14'!$J$10:$J$224),0),
IF('TL14'!$B$229=P$3,SUMIF('TL14'!$C$238:$C$451,$C51,'TL14'!$J$238:$J$451),0),
IF('TL15'!$B$3=P$3,SUMIF('TL15'!$C$10:$C$224,$C51,'TL15'!$J$10:$J$224),0),
IF('TL15'!$B$229=P$3,SUMIF('TL15'!$C$238:$C$451,$C51,'TL15'!$J$238:$J$451),0),
IF('TL16'!$B$3=P$3,SUMIF('TL16'!$C$10:$C$224,$C51,'TL16'!$J$10:$J$224),0),
IF('TL16'!$B$229=P$3,SUMIF('TL16'!$C$238:$C$451,$C51,'TL16'!$J$238:$J$451),0),
IF('TL17'!$B$3=P$3,SUMIF('TL17'!$C$10:$C$224,$C51,'TL17'!$J$10:$J$224),0),
IF('TL17'!$B$229=P$3,SUMIF('TL17'!$C$238:$C$451,$C51,'TL17'!$J$238:$J$451),0),
IF('TL18'!$B$3=P$3,SUMIF('TL18'!$C$10:$C$224,$C51,'TL18'!$J$10:$J$224),0),
IF('TL18'!$B$229=P$3,SUMIF('TL18'!$C$238:$C$451,$C51,'TL18'!$J$238:$J$451),0),
IF('TL19'!$B$3=P$3,SUMIF('TL19'!$C$10:$C$224,$C51,'TL19'!$J$10:$J$224),0),
IF('TL19'!$B$229=P$3,SUMIF('TL19'!$C$238:$C$451,$C51,'TL19'!$J$238:$J$451),0)
),0)</f>
        <v>0</v>
      </c>
      <c r="Q51" s="9">
        <f>IFERROR(SUM(
IF('TL01'!$B$3=Q$3,SUMIF('TL01'!$C$10:$C$224,$C51,'TL01'!$J$10:$J$224),0),
IF('TL01'!$B$229=Q$3,SUMIF('TL01'!$C$238:$C$451,$C51,'TL01'!$J$238:$J$451),0),
IF('TL02'!$B$3=Q$3,SUMIF('TL02'!$C$10:$C$224,$C51,'TL02'!$J$10:$J$224),0),
IF('TL02'!$B$229=Q$3,SUMIF('TL02'!$C$238:$C$451,$C51,'TL02'!$J$238:$J$451),0),
IF('TL03'!$B$3=Q$3,SUMIF('TL03'!$C$10:$C$224,$C51,'TL03'!$J$10:$J$224),0),
IF('TL03'!$B$229=Q$3,SUMIF('TL03'!$C$238:$C$451,$C51,'TL03'!$J$238:$J$451),0),
IF('TL04'!$B$3=Q$3,SUMIF('TL04'!$C$10:$C$224,$C51,'TL04'!$J$10:$J$224),0),
IF('TL04'!$B$229=Q$3,SUMIF('TL04'!$C$238:$C$451,$C51,'TL04'!$J$238:$J$451),0),
IF('TL05'!$B$3=Q$3,SUMIF('TL05'!$C$10:$C$224,$C51,'TL05'!$J$10:$J$224),0),
IF('TL05'!$B$229=Q$3,SUMIF('TL05'!$C$238:$C$451,$C51,'TL05'!$J$238:$J$451),0),
IF('TL06'!$B$3=Q$3,SUMIF('TL06'!$C$10:$C$224,$C51,'TL06'!$J$10:$J$224),0),
IF('TL06'!$B$229=Q$3,SUMIF('TL06'!$C$238:$C$451,$C51,'TL06'!$J$238:$J$451),0),
IF('TL07'!$B$3=Q$3,SUMIF('TL07'!$C$10:$C$224,$C51,'TL07'!$J$10:$J$224),0),
IF('TL07'!$B$229=Q$3,SUMIF('TL07'!$C$238:$C$451,$C51,'TL07'!$J$238:$J$451),0),
IF('TL08'!$B$3=Q$3,SUMIF('TL08'!$C$10:$C$224,$C51,'TL08'!$J$10:$J$224),0),
IF('TL08'!$B$229=Q$3,SUMIF('TL08'!$C$238:$C$451,$C51,'TL08'!$J$238:$J$451),0),
IF('TL09'!$B$3=Q$3,SUMIF('TL09'!$C$10:$C$224,$C51,'TL09'!$J$10:$J$224),0),
IF('TL09'!$B$229=Q$3,SUMIF('TL09'!$C$238:$C$451,$C51,'TL09'!$J$238:$J$451),0),
IF('TL10'!$B$3=Q$3,SUMIF('TL10'!$C$10:$C$224,$C51,'TL10'!$J$10:$J$224),0),
IF('TL10'!$B$229=Q$3,SUMIF('TL10'!$C$238:$C$451,$C51,'TL10'!$J$238:$J$451),0),
IF('TL11'!$B$3=Q$3,SUMIF('TL11'!$C$10:$C$224,$C51,'TL11'!$J$10:$J$224),0),
IF('TL11'!$B$229=Q$3,SUMIF('TL11'!$C$238:$C$451,$C51,'TL11'!$J$238:$J$451),0),
IF('TL12'!$B$3=Q$3,SUMIF('TL12'!$C$10:$C$224,$C51,'TL12'!$J$10:$J$224),0),
IF('TL12'!$B$229=Q$3,SUMIF('TL12'!$C$238:$C$451,$C51,'TL12'!$J$238:$J$451),0),
IF('TL13'!$B$3=Q$3,SUMIF('TL13'!$C$10:$C$224,$C51,'TL13'!$J$10:$J$224),0),
IF('TL13'!$B$229=Q$3,SUMIF('TL13'!$C$238:$C$451,$C51,'TL13'!$J$238:$J$451),0),
IF('TL14'!$B$3=Q$3,SUMIF('TL14'!$C$10:$C$224,$C51,'TL14'!$J$10:$J$224),0),
IF('TL14'!$B$229=Q$3,SUMIF('TL14'!$C$238:$C$451,$C51,'TL14'!$J$238:$J$451),0),
IF('TL15'!$B$3=Q$3,SUMIF('TL15'!$C$10:$C$224,$C51,'TL15'!$J$10:$J$224),0),
IF('TL15'!$B$229=Q$3,SUMIF('TL15'!$C$238:$C$451,$C51,'TL15'!$J$238:$J$451),0),
IF('TL16'!$B$3=Q$3,SUMIF('TL16'!$C$10:$C$224,$C51,'TL16'!$J$10:$J$224),0),
IF('TL16'!$B$229=Q$3,SUMIF('TL16'!$C$238:$C$451,$C51,'TL16'!$J$238:$J$451),0),
IF('TL17'!$B$3=Q$3,SUMIF('TL17'!$C$10:$C$224,$C51,'TL17'!$J$10:$J$224),0),
IF('TL17'!$B$229=Q$3,SUMIF('TL17'!$C$238:$C$451,$C51,'TL17'!$J$238:$J$451),0),
IF('TL18'!$B$3=Q$3,SUMIF('TL18'!$C$10:$C$224,$C51,'TL18'!$J$10:$J$224),0),
IF('TL18'!$B$229=Q$3,SUMIF('TL18'!$C$238:$C$451,$C51,'TL18'!$J$238:$J$451),0),
IF('TL19'!$B$3=Q$3,SUMIF('TL19'!$C$10:$C$224,$C51,'TL19'!$J$10:$J$224),0),
IF('TL19'!$B$229=Q$3,SUMIF('TL19'!$C$238:$C$451,$C51,'TL19'!$J$238:$J$451),0)
),0)</f>
        <v>0</v>
      </c>
      <c r="R51" s="9">
        <f>IFERROR(
SUM(
SUMIF('TL01'!C:C,C51,'TL01'!J:J),
SUMIF('TL02'!C:C,C51,'TL02'!J:J),
SUMIF('TL03'!C:C,C51,'TL03'!J:J),
SUMIF('TL04'!C:C,C51,'TL04'!J:J),
SUMIF('TL05'!C:C,C51,'TL05'!J:J),
SUMIF('TL06'!C:C,C51,'TL06'!J:J),
SUMIF('TL07'!C:C,C51,'TL07'!J:J),
SUMIF('TL08'!C:C,C51,'TL08'!J:J),
SUMIF('TL09'!C:C,C51,'TL09'!J:J),
SUMIF('TL10'!C:C,C51,'TL10'!J:J),
SUMIF('TL11'!C:C,C51,'TL11'!J:J),
SUMIF('TL12'!C:C,C51,'TL12'!J:J),
SUMIF('TL13'!C:C,C51,'TL13'!J:J),
SUMIF('TL14'!C:C,C51,'TL14'!J:J),
SUMIF('TL15'!C:C,C51,'TL15'!J:J),
SUMIF('TL16'!C:C,C51,'TL16'!J:J),
SUMIF('TL17'!C:C,C51,'TL17'!J:J),
SUMIF('TL18'!C:C,C51,'TL18'!J:J),SUMIF('TL19'!C:C,C51,'TL19'!J:J))
,0)</f>
        <v>0</v>
      </c>
      <c r="S51" s="17">
        <f>IFERROR(__xludf.DUMMYFUNCTION("IFERROR(VLOOKUP(C51,
IMPORTRANGE(""1wULbzX32WdYsx-lj2U3uUNBBe2INVIRDtcK0d-Dvl90"",
""26-27!C:G""),
5,
FALSE),
"""")"),267.74208000000004)</f>
        <v>267.74208</v>
      </c>
      <c r="T51" s="9"/>
      <c r="U51" s="92">
        <f t="shared" si="2"/>
        <v>0</v>
      </c>
      <c r="V51" s="93">
        <f t="shared" si="3"/>
        <v>0</v>
      </c>
    </row>
    <row r="52" ht="15.75" hidden="1" customHeight="1">
      <c r="A52" s="115" t="s">
        <v>350</v>
      </c>
      <c r="B52" s="100" t="s">
        <v>0</v>
      </c>
      <c r="C52" s="116" t="s">
        <v>467</v>
      </c>
      <c r="D52" s="116" t="s">
        <v>468</v>
      </c>
      <c r="E52" s="116" t="s">
        <v>469</v>
      </c>
      <c r="F52" s="4" t="s">
        <v>343</v>
      </c>
      <c r="G52" s="90" t="str">
        <f t="shared" si="4"/>
        <v>📄 Ver bula</v>
      </c>
      <c r="H52" s="9">
        <f>IFERROR(__xludf.DUMMYFUNCTION("IFERROR(VLOOKUP(C52,
IMPORTRANGE(""1wULbzX32WdYsx-lj2U3uUNBBe2INVIRDtcK0d-Dvl90"",
""26-27!C:K""),
8,
FALSE),
"""")"),0.5)</f>
        <v>0.5</v>
      </c>
      <c r="I52" s="117" t="s">
        <v>344</v>
      </c>
      <c r="J52" s="9">
        <f>IFERROR(SUM(
IF('TL01'!$B$3=J$3,SUMIF('TL01'!$C$10:$C$224,$C52,'TL01'!$J$10:$J$224),0),
IF('TL01'!$B$229=J$3,SUMIF('TL01'!$C$238:$C$451,$C52,'TL01'!$J$238:$J$451),0),
IF('TL02'!$B$3=J$3,SUMIF('TL02'!$C$10:$C$224,$C52,'TL02'!$J$10:$J$224),0),
IF('TL02'!$B$229=J$3,SUMIF('TL02'!$C$238:$C$451,$C52,'TL02'!$J$238:$J$451),0),
IF('TL03'!$B$3=J$3,SUMIF('TL03'!$C$10:$C$224,$C52,'TL03'!$J$10:$J$224),0),
IF('TL03'!$B$229=J$3,SUMIF('TL03'!$C$238:$C$451,$C52,'TL03'!$J$238:$J$451),0),
IF('TL04'!$B$3=J$3,SUMIF('TL04'!$C$10:$C$224,$C52,'TL04'!$J$10:$J$224),0),
IF('TL04'!$B$229=J$3,SUMIF('TL04'!$C$238:$C$451,$C52,'TL04'!$J$238:$J$451),0),
IF('TL05'!$B$3=J$3,SUMIF('TL05'!$C$10:$C$224,$C52,'TL05'!$J$10:$J$224),0),
IF('TL05'!$B$229=J$3,SUMIF('TL05'!$C$238:$C$451,$C52,'TL05'!$J$238:$J$451),0),
IF('TL06'!$B$3=J$3,SUMIF('TL06'!$C$10:$C$224,$C52,'TL06'!$J$10:$J$224),0),
IF('TL06'!$B$229=J$3,SUMIF('TL06'!$C$238:$C$451,$C52,'TL06'!$J$238:$J$451),0),
IF('TL07'!$B$3=J$3,SUMIF('TL07'!$C$10:$C$224,$C52,'TL07'!$J$10:$J$224),0),
IF('TL07'!$B$229=J$3,SUMIF('TL07'!$C$238:$C$451,$C52,'TL07'!$J$238:$J$451),0),
IF('TL08'!$B$3=J$3,SUMIF('TL08'!$C$10:$C$224,$C52,'TL08'!$J$10:$J$224),0),
IF('TL08'!$B$229=J$3,SUMIF('TL08'!$C$238:$C$451,$C52,'TL08'!$J$238:$J$451),0),
IF('TL09'!$B$3=J$3,SUMIF('TL09'!$C$10:$C$224,$C52,'TL09'!$J$10:$J$224),0),
IF('TL09'!$B$229=J$3,SUMIF('TL09'!$C$238:$C$451,$C52,'TL09'!$J$238:$J$451),0),
IF('TL10'!$B$3=J$3,SUMIF('TL10'!$C$10:$C$224,$C52,'TL10'!$J$10:$J$224),0),
IF('TL10'!$B$229=J$3,SUMIF('TL10'!$C$238:$C$451,$C52,'TL10'!$J$238:$J$451),0),
IF('TL11'!$B$3=J$3,SUMIF('TL11'!$C$10:$C$224,$C52,'TL11'!$J$10:$J$224),0),
IF('TL11'!$B$229=J$3,SUMIF('TL11'!$C$238:$C$451,$C52,'TL11'!$J$238:$J$451),0),
IF('TL12'!$B$3=J$3,SUMIF('TL12'!$C$10:$C$224,$C52,'TL12'!$J$10:$J$224),0),
IF('TL12'!$B$229=J$3,SUMIF('TL12'!$C$238:$C$451,$C52,'TL12'!$J$238:$J$451),0),
IF('TL13'!$B$3=J$3,SUMIF('TL13'!$C$10:$C$224,$C52,'TL13'!$J$10:$J$224),0),
IF('TL13'!$B$229=J$3,SUMIF('TL13'!$C$238:$C$451,$C52,'TL13'!$J$238:$J$451),0),
IF('TL14'!$B$3=J$3,SUMIF('TL14'!$C$10:$C$224,$C52,'TL14'!$J$10:$J$224),0),
IF('TL14'!$B$229=J$3,SUMIF('TL14'!$C$238:$C$451,$C52,'TL14'!$J$238:$J$451),0),
IF('TL15'!$B$3=J$3,SUMIF('TL15'!$C$10:$C$224,$C52,'TL15'!$J$10:$J$224),0),
IF('TL15'!$B$229=J$3,SUMIF('TL15'!$C$238:$C$451,$C52,'TL15'!$J$238:$J$451),0),
IF('TL16'!$B$3=J$3,SUMIF('TL16'!$C$10:$C$224,$C52,'TL16'!$J$10:$J$224),0),
IF('TL16'!$B$229=J$3,SUMIF('TL16'!$C$238:$C$451,$C52,'TL16'!$J$238:$J$451),0),
IF('TL17'!$B$3=J$3,SUMIF('TL17'!$C$10:$C$224,$C52,'TL17'!$J$10:$J$224),0),
IF('TL17'!$B$229=J$3,SUMIF('TL17'!$C$238:$C$451,$C52,'TL17'!$J$238:$J$451),0),
IF('TL18'!$B$3=J$3,SUMIF('TL18'!$C$10:$C$224,$C52,'TL18'!$J$10:$J$224),0),
IF('TL18'!$B$229=J$3,SUMIF('TL18'!$C$238:$C$451,$C52,'TL18'!$J$238:$J$451),0),
IF('TL19'!$B$3=J$3,SUMIF('TL19'!$C$10:$C$224,$C52,'TL19'!$J$10:$J$224),0),
IF('TL19'!$B$229=J$3,SUMIF('TL19'!$C$238:$C$451,$C52,'TL19'!$J$238:$J$451),0)
),0)</f>
        <v>0</v>
      </c>
      <c r="K52" s="9">
        <f>IFERROR(SUM(
IF('TL01'!$B$3=K$3,SUMIF('TL01'!$C$10:$C$224,$C52,'TL01'!$J$10:$J$224),0),
IF('TL01'!$B$229=K$3,SUMIF('TL01'!$C$238:$C$451,$C52,'TL01'!$J$238:$J$451),0),
IF('TL02'!$B$3=K$3,SUMIF('TL02'!$C$10:$C$224,$C52,'TL02'!$J$10:$J$224),0),
IF('TL02'!$B$229=K$3,SUMIF('TL02'!$C$238:$C$451,$C52,'TL02'!$J$238:$J$451),0),
IF('TL03'!$B$3=K$3,SUMIF('TL03'!$C$10:$C$224,$C52,'TL03'!$J$10:$J$224),0),
IF('TL03'!$B$229=K$3,SUMIF('TL03'!$C$238:$C$451,$C52,'TL03'!$J$238:$J$451),0),
IF('TL04'!$B$3=K$3,SUMIF('TL04'!$C$10:$C$224,$C52,'TL04'!$J$10:$J$224),0),
IF('TL04'!$B$229=K$3,SUMIF('TL04'!$C$238:$C$451,$C52,'TL04'!$J$238:$J$451),0),
IF('TL05'!$B$3=K$3,SUMIF('TL05'!$C$10:$C$224,$C52,'TL05'!$J$10:$J$224),0),
IF('TL05'!$B$229=K$3,SUMIF('TL05'!$C$238:$C$451,$C52,'TL05'!$J$238:$J$451),0),
IF('TL06'!$B$3=K$3,SUMIF('TL06'!$C$10:$C$224,$C52,'TL06'!$J$10:$J$224),0),
IF('TL06'!$B$229=K$3,SUMIF('TL06'!$C$238:$C$451,$C52,'TL06'!$J$238:$J$451),0),
IF('TL07'!$B$3=K$3,SUMIF('TL07'!$C$10:$C$224,$C52,'TL07'!$J$10:$J$224),0),
IF('TL07'!$B$229=K$3,SUMIF('TL07'!$C$238:$C$451,$C52,'TL07'!$J$238:$J$451),0),
IF('TL08'!$B$3=K$3,SUMIF('TL08'!$C$10:$C$224,$C52,'TL08'!$J$10:$J$224),0),
IF('TL08'!$B$229=K$3,SUMIF('TL08'!$C$238:$C$451,$C52,'TL08'!$J$238:$J$451),0),
IF('TL09'!$B$3=K$3,SUMIF('TL09'!$C$10:$C$224,$C52,'TL09'!$J$10:$J$224),0),
IF('TL09'!$B$229=K$3,SUMIF('TL09'!$C$238:$C$451,$C52,'TL09'!$J$238:$J$451),0),
IF('TL10'!$B$3=K$3,SUMIF('TL10'!$C$10:$C$224,$C52,'TL10'!$J$10:$J$224),0),
IF('TL10'!$B$229=K$3,SUMIF('TL10'!$C$238:$C$451,$C52,'TL10'!$J$238:$J$451),0),
IF('TL11'!$B$3=K$3,SUMIF('TL11'!$C$10:$C$224,$C52,'TL11'!$J$10:$J$224),0),
IF('TL11'!$B$229=K$3,SUMIF('TL11'!$C$238:$C$451,$C52,'TL11'!$J$238:$J$451),0),
IF('TL12'!$B$3=K$3,SUMIF('TL12'!$C$10:$C$224,$C52,'TL12'!$J$10:$J$224),0),
IF('TL12'!$B$229=K$3,SUMIF('TL12'!$C$238:$C$451,$C52,'TL12'!$J$238:$J$451),0),
IF('TL13'!$B$3=K$3,SUMIF('TL13'!$C$10:$C$224,$C52,'TL13'!$J$10:$J$224),0),
IF('TL13'!$B$229=K$3,SUMIF('TL13'!$C$238:$C$451,$C52,'TL13'!$J$238:$J$451),0),
IF('TL14'!$B$3=K$3,SUMIF('TL14'!$C$10:$C$224,$C52,'TL14'!$J$10:$J$224),0),
IF('TL14'!$B$229=K$3,SUMIF('TL14'!$C$238:$C$451,$C52,'TL14'!$J$238:$J$451),0),
IF('TL15'!$B$3=K$3,SUMIF('TL15'!$C$10:$C$224,$C52,'TL15'!$J$10:$J$224),0),
IF('TL15'!$B$229=K$3,SUMIF('TL15'!$C$238:$C$451,$C52,'TL15'!$J$238:$J$451),0),
IF('TL16'!$B$3=K$3,SUMIF('TL16'!$C$10:$C$224,$C52,'TL16'!$J$10:$J$224),0),
IF('TL16'!$B$229=K$3,SUMIF('TL16'!$C$238:$C$451,$C52,'TL16'!$J$238:$J$451),0),
IF('TL17'!$B$3=K$3,SUMIF('TL17'!$C$10:$C$224,$C52,'TL17'!$J$10:$J$224),0),
IF('TL17'!$B$229=K$3,SUMIF('TL17'!$C$238:$C$451,$C52,'TL17'!$J$238:$J$451),0),
IF('TL18'!$B$3=K$3,SUMIF('TL18'!$C$10:$C$224,$C52,'TL18'!$J$10:$J$224),0),
IF('TL18'!$B$229=K$3,SUMIF('TL18'!$C$238:$C$451,$C52,'TL18'!$J$238:$J$451),0),
IF('TL19'!$B$3=K$3,SUMIF('TL19'!$C$10:$C$224,$C52,'TL19'!$J$10:$J$224),0),
IF('TL19'!$B$229=K$3,SUMIF('TL19'!$C$238:$C$451,$C52,'TL19'!$J$238:$J$451),0)
),0)</f>
        <v>150</v>
      </c>
      <c r="L52" s="9">
        <f>IFERROR(SUM(
IF('TL01'!$B$3=L$3,SUMIF('TL01'!$C$10:$C$224,$C52,'TL01'!$J$10:$J$224),0),
IF('TL01'!$B$229=L$3,SUMIF('TL01'!$C$238:$C$451,$C52,'TL01'!$J$238:$J$451),0),
IF('TL02'!$B$3=L$3,SUMIF('TL02'!$C$10:$C$224,$C52,'TL02'!$J$10:$J$224),0),
IF('TL02'!$B$229=L$3,SUMIF('TL02'!$C$238:$C$451,$C52,'TL02'!$J$238:$J$451),0),
IF('TL03'!$B$3=L$3,SUMIF('TL03'!$C$10:$C$224,$C52,'TL03'!$J$10:$J$224),0),
IF('TL03'!$B$229=L$3,SUMIF('TL03'!$C$238:$C$451,$C52,'TL03'!$J$238:$J$451),0),
IF('TL04'!$B$3=L$3,SUMIF('TL04'!$C$10:$C$224,$C52,'TL04'!$J$10:$J$224),0),
IF('TL04'!$B$229=L$3,SUMIF('TL04'!$C$238:$C$451,$C52,'TL04'!$J$238:$J$451),0),
IF('TL05'!$B$3=L$3,SUMIF('TL05'!$C$10:$C$224,$C52,'TL05'!$J$10:$J$224),0),
IF('TL05'!$B$229=L$3,SUMIF('TL05'!$C$238:$C$451,$C52,'TL05'!$J$238:$J$451),0),
IF('TL06'!$B$3=L$3,SUMIF('TL06'!$C$10:$C$224,$C52,'TL06'!$J$10:$J$224),0),
IF('TL06'!$B$229=L$3,SUMIF('TL06'!$C$238:$C$451,$C52,'TL06'!$J$238:$J$451),0),
IF('TL07'!$B$3=L$3,SUMIF('TL07'!$C$10:$C$224,$C52,'TL07'!$J$10:$J$224),0),
IF('TL07'!$B$229=L$3,SUMIF('TL07'!$C$238:$C$451,$C52,'TL07'!$J$238:$J$451),0),
IF('TL08'!$B$3=L$3,SUMIF('TL08'!$C$10:$C$224,$C52,'TL08'!$J$10:$J$224),0),
IF('TL08'!$B$229=L$3,SUMIF('TL08'!$C$238:$C$451,$C52,'TL08'!$J$238:$J$451),0),
IF('TL09'!$B$3=L$3,SUMIF('TL09'!$C$10:$C$224,$C52,'TL09'!$J$10:$J$224),0),
IF('TL09'!$B$229=L$3,SUMIF('TL09'!$C$238:$C$451,$C52,'TL09'!$J$238:$J$451),0),
IF('TL10'!$B$3=L$3,SUMIF('TL10'!$C$10:$C$224,$C52,'TL10'!$J$10:$J$224),0),
IF('TL10'!$B$229=L$3,SUMIF('TL10'!$C$238:$C$451,$C52,'TL10'!$J$238:$J$451),0),
IF('TL11'!$B$3=L$3,SUMIF('TL11'!$C$10:$C$224,$C52,'TL11'!$J$10:$J$224),0),
IF('TL11'!$B$229=L$3,SUMIF('TL11'!$C$238:$C$451,$C52,'TL11'!$J$238:$J$451),0),
IF('TL12'!$B$3=L$3,SUMIF('TL12'!$C$10:$C$224,$C52,'TL12'!$J$10:$J$224),0),
IF('TL12'!$B$229=L$3,SUMIF('TL12'!$C$238:$C$451,$C52,'TL12'!$J$238:$J$451),0),
IF('TL13'!$B$3=L$3,SUMIF('TL13'!$C$10:$C$224,$C52,'TL13'!$J$10:$J$224),0),
IF('TL13'!$B$229=L$3,SUMIF('TL13'!$C$238:$C$451,$C52,'TL13'!$J$238:$J$451),0),
IF('TL14'!$B$3=L$3,SUMIF('TL14'!$C$10:$C$224,$C52,'TL14'!$J$10:$J$224),0),
IF('TL14'!$B$229=L$3,SUMIF('TL14'!$C$238:$C$451,$C52,'TL14'!$J$238:$J$451),0),
IF('TL15'!$B$3=L$3,SUMIF('TL15'!$C$10:$C$224,$C52,'TL15'!$J$10:$J$224),0),
IF('TL15'!$B$229=L$3,SUMIF('TL15'!$C$238:$C$451,$C52,'TL15'!$J$238:$J$451),0),
IF('TL16'!$B$3=L$3,SUMIF('TL16'!$C$10:$C$224,$C52,'TL16'!$J$10:$J$224),0),
IF('TL16'!$B$229=L$3,SUMIF('TL16'!$C$238:$C$451,$C52,'TL16'!$J$238:$J$451),0),
IF('TL17'!$B$3=L$3,SUMIF('TL17'!$C$10:$C$224,$C52,'TL17'!$J$10:$J$224),0),
IF('TL17'!$B$229=L$3,SUMIF('TL17'!$C$238:$C$451,$C52,'TL17'!$J$238:$J$451),0),
IF('TL18'!$B$3=L$3,SUMIF('TL18'!$C$10:$C$224,$C52,'TL18'!$J$10:$J$224),0),
IF('TL18'!$B$229=L$3,SUMIF('TL18'!$C$238:$C$451,$C52,'TL18'!$J$238:$J$451),0),
IF('TL19'!$B$3=L$3,SUMIF('TL19'!$C$10:$C$224,$C52,'TL19'!$J$10:$J$224),0),
IF('TL19'!$B$229=L$3,SUMIF('TL19'!$C$238:$C$451,$C52,'TL19'!$J$238:$J$451),0)
),0)</f>
        <v>110</v>
      </c>
      <c r="M52" s="9">
        <f>IFERROR(SUM(
IF('TL01'!$B$3=M$3,SUMIF('TL01'!$C$10:$C$224,$C52,'TL01'!$J$10:$J$224),0),
IF('TL01'!$B$229=M$3,SUMIF('TL01'!$C$238:$C$451,$C52,'TL01'!$J$238:$J$451),0),
IF('TL02'!$B$3=M$3,SUMIF('TL02'!$C$10:$C$224,$C52,'TL02'!$J$10:$J$224),0),
IF('TL02'!$B$229=M$3,SUMIF('TL02'!$C$238:$C$451,$C52,'TL02'!$J$238:$J$451),0),
IF('TL03'!$B$3=M$3,SUMIF('TL03'!$C$10:$C$224,$C52,'TL03'!$J$10:$J$224),0),
IF('TL03'!$B$229=M$3,SUMIF('TL03'!$C$238:$C$451,$C52,'TL03'!$J$238:$J$451),0),
IF('TL04'!$B$3=M$3,SUMIF('TL04'!$C$10:$C$224,$C52,'TL04'!$J$10:$J$224),0),
IF('TL04'!$B$229=M$3,SUMIF('TL04'!$C$238:$C$451,$C52,'TL04'!$J$238:$J$451),0),
IF('TL05'!$B$3=M$3,SUMIF('TL05'!$C$10:$C$224,$C52,'TL05'!$J$10:$J$224),0),
IF('TL05'!$B$229=M$3,SUMIF('TL05'!$C$238:$C$451,$C52,'TL05'!$J$238:$J$451),0),
IF('TL06'!$B$3=M$3,SUMIF('TL06'!$C$10:$C$224,$C52,'TL06'!$J$10:$J$224),0),
IF('TL06'!$B$229=M$3,SUMIF('TL06'!$C$238:$C$451,$C52,'TL06'!$J$238:$J$451),0),
IF('TL07'!$B$3=M$3,SUMIF('TL07'!$C$10:$C$224,$C52,'TL07'!$J$10:$J$224),0),
IF('TL07'!$B$229=M$3,SUMIF('TL07'!$C$238:$C$451,$C52,'TL07'!$J$238:$J$451),0),
IF('TL08'!$B$3=M$3,SUMIF('TL08'!$C$10:$C$224,$C52,'TL08'!$J$10:$J$224),0),
IF('TL08'!$B$229=M$3,SUMIF('TL08'!$C$238:$C$451,$C52,'TL08'!$J$238:$J$451),0),
IF('TL09'!$B$3=M$3,SUMIF('TL09'!$C$10:$C$224,$C52,'TL09'!$J$10:$J$224),0),
IF('TL09'!$B$229=M$3,SUMIF('TL09'!$C$238:$C$451,$C52,'TL09'!$J$238:$J$451),0),
IF('TL10'!$B$3=M$3,SUMIF('TL10'!$C$10:$C$224,$C52,'TL10'!$J$10:$J$224),0),
IF('TL10'!$B$229=M$3,SUMIF('TL10'!$C$238:$C$451,$C52,'TL10'!$J$238:$J$451),0),
IF('TL11'!$B$3=M$3,SUMIF('TL11'!$C$10:$C$224,$C52,'TL11'!$J$10:$J$224),0),
IF('TL11'!$B$229=M$3,SUMIF('TL11'!$C$238:$C$451,$C52,'TL11'!$J$238:$J$451),0),
IF('TL12'!$B$3=M$3,SUMIF('TL12'!$C$10:$C$224,$C52,'TL12'!$J$10:$J$224),0),
IF('TL12'!$B$229=M$3,SUMIF('TL12'!$C$238:$C$451,$C52,'TL12'!$J$238:$J$451),0),
IF('TL13'!$B$3=M$3,SUMIF('TL13'!$C$10:$C$224,$C52,'TL13'!$J$10:$J$224),0),
IF('TL13'!$B$229=M$3,SUMIF('TL13'!$C$238:$C$451,$C52,'TL13'!$J$238:$J$451),0),
IF('TL14'!$B$3=M$3,SUMIF('TL14'!$C$10:$C$224,$C52,'TL14'!$J$10:$J$224),0),
IF('TL14'!$B$229=M$3,SUMIF('TL14'!$C$238:$C$451,$C52,'TL14'!$J$238:$J$451),0),
IF('TL15'!$B$3=M$3,SUMIF('TL15'!$C$10:$C$224,$C52,'TL15'!$J$10:$J$224),0),
IF('TL15'!$B$229=M$3,SUMIF('TL15'!$C$238:$C$451,$C52,'TL15'!$J$238:$J$451),0),
IF('TL16'!$B$3=M$3,SUMIF('TL16'!$C$10:$C$224,$C52,'TL16'!$J$10:$J$224),0),
IF('TL16'!$B$229=M$3,SUMIF('TL16'!$C$238:$C$451,$C52,'TL16'!$J$238:$J$451),0),
IF('TL17'!$B$3=M$3,SUMIF('TL17'!$C$10:$C$224,$C52,'TL17'!$J$10:$J$224),0),
IF('TL17'!$B$229=M$3,SUMIF('TL17'!$C$238:$C$451,$C52,'TL17'!$J$238:$J$451),0),
IF('TL18'!$B$3=M$3,SUMIF('TL18'!$C$10:$C$224,$C52,'TL18'!$J$10:$J$224),0),
IF('TL18'!$B$229=M$3,SUMIF('TL18'!$C$238:$C$451,$C52,'TL18'!$J$238:$J$451),0),
IF('TL19'!$B$3=M$3,SUMIF('TL19'!$C$10:$C$224,$C52,'TL19'!$J$10:$J$224),0),
IF('TL19'!$B$229=M$3,SUMIF('TL19'!$C$238:$C$451,$C52,'TL19'!$J$238:$J$451),0)
),0)</f>
        <v>0</v>
      </c>
      <c r="N52" s="9">
        <f>IFERROR(SUM(
IF('TL01'!$B$3=N$3,SUMIF('TL01'!$C$10:$C$224,$C52,'TL01'!$J$10:$J$224),0),
IF('TL01'!$B$229=N$3,SUMIF('TL01'!$C$238:$C$451,$C52,'TL01'!$J$238:$J$451),0),
IF('TL02'!$B$3=N$3,SUMIF('TL02'!$C$10:$C$224,$C52,'TL02'!$J$10:$J$224),0),
IF('TL02'!$B$229=N$3,SUMIF('TL02'!$C$238:$C$451,$C52,'TL02'!$J$238:$J$451),0),
IF('TL03'!$B$3=N$3,SUMIF('TL03'!$C$10:$C$224,$C52,'TL03'!$J$10:$J$224),0),
IF('TL03'!$B$229=N$3,SUMIF('TL03'!$C$238:$C$451,$C52,'TL03'!$J$238:$J$451),0),
IF('TL04'!$B$3=N$3,SUMIF('TL04'!$C$10:$C$224,$C52,'TL04'!$J$10:$J$224),0),
IF('TL04'!$B$229=N$3,SUMIF('TL04'!$C$238:$C$451,$C52,'TL04'!$J$238:$J$451),0),
IF('TL05'!$B$3=N$3,SUMIF('TL05'!$C$10:$C$224,$C52,'TL05'!$J$10:$J$224),0),
IF('TL05'!$B$229=N$3,SUMIF('TL05'!$C$238:$C$451,$C52,'TL05'!$J$238:$J$451),0),
IF('TL06'!$B$3=N$3,SUMIF('TL06'!$C$10:$C$224,$C52,'TL06'!$J$10:$J$224),0),
IF('TL06'!$B$229=N$3,SUMIF('TL06'!$C$238:$C$451,$C52,'TL06'!$J$238:$J$451),0),
IF('TL07'!$B$3=N$3,SUMIF('TL07'!$C$10:$C$224,$C52,'TL07'!$J$10:$J$224),0),
IF('TL07'!$B$229=N$3,SUMIF('TL07'!$C$238:$C$451,$C52,'TL07'!$J$238:$J$451),0),
IF('TL08'!$B$3=N$3,SUMIF('TL08'!$C$10:$C$224,$C52,'TL08'!$J$10:$J$224),0),
IF('TL08'!$B$229=N$3,SUMIF('TL08'!$C$238:$C$451,$C52,'TL08'!$J$238:$J$451),0),
IF('TL09'!$B$3=N$3,SUMIF('TL09'!$C$10:$C$224,$C52,'TL09'!$J$10:$J$224),0),
IF('TL09'!$B$229=N$3,SUMIF('TL09'!$C$238:$C$451,$C52,'TL09'!$J$238:$J$451),0),
IF('TL10'!$B$3=N$3,SUMIF('TL10'!$C$10:$C$224,$C52,'TL10'!$J$10:$J$224),0),
IF('TL10'!$B$229=N$3,SUMIF('TL10'!$C$238:$C$451,$C52,'TL10'!$J$238:$J$451),0),
IF('TL11'!$B$3=N$3,SUMIF('TL11'!$C$10:$C$224,$C52,'TL11'!$J$10:$J$224),0),
IF('TL11'!$B$229=N$3,SUMIF('TL11'!$C$238:$C$451,$C52,'TL11'!$J$238:$J$451),0),
IF('TL12'!$B$3=N$3,SUMIF('TL12'!$C$10:$C$224,$C52,'TL12'!$J$10:$J$224),0),
IF('TL12'!$B$229=N$3,SUMIF('TL12'!$C$238:$C$451,$C52,'TL12'!$J$238:$J$451),0),
IF('TL13'!$B$3=N$3,SUMIF('TL13'!$C$10:$C$224,$C52,'TL13'!$J$10:$J$224),0),
IF('TL13'!$B$229=N$3,SUMIF('TL13'!$C$238:$C$451,$C52,'TL13'!$J$238:$J$451),0),
IF('TL14'!$B$3=N$3,SUMIF('TL14'!$C$10:$C$224,$C52,'TL14'!$J$10:$J$224),0),
IF('TL14'!$B$229=N$3,SUMIF('TL14'!$C$238:$C$451,$C52,'TL14'!$J$238:$J$451),0),
IF('TL15'!$B$3=N$3,SUMIF('TL15'!$C$10:$C$224,$C52,'TL15'!$J$10:$J$224),0),
IF('TL15'!$B$229=N$3,SUMIF('TL15'!$C$238:$C$451,$C52,'TL15'!$J$238:$J$451),0),
IF('TL16'!$B$3=N$3,SUMIF('TL16'!$C$10:$C$224,$C52,'TL16'!$J$10:$J$224),0),
IF('TL16'!$B$229=N$3,SUMIF('TL16'!$C$238:$C$451,$C52,'TL16'!$J$238:$J$451),0),
IF('TL17'!$B$3=N$3,SUMIF('TL17'!$C$10:$C$224,$C52,'TL17'!$J$10:$J$224),0),
IF('TL17'!$B$229=N$3,SUMIF('TL17'!$C$238:$C$451,$C52,'TL17'!$J$238:$J$451),0),
IF('TL18'!$B$3=N$3,SUMIF('TL18'!$C$10:$C$224,$C52,'TL18'!$J$10:$J$224),0),
IF('TL18'!$B$229=N$3,SUMIF('TL18'!$C$238:$C$451,$C52,'TL18'!$J$238:$J$451),0),
IF('TL19'!$B$3=N$3,SUMIF('TL19'!$C$10:$C$224,$C52,'TL19'!$J$10:$J$224),0),
IF('TL19'!$B$229=N$3,SUMIF('TL19'!$C$238:$C$451,$C52,'TL19'!$J$238:$J$451),0)
),0)</f>
        <v>0</v>
      </c>
      <c r="O52" s="9">
        <f>IFERROR(SUM(
IF('TL01'!$B$3=O$3,SUMIF('TL01'!$C$10:$C$224,$C52,'TL01'!$J$10:$J$224),0),
IF('TL01'!$B$229=O$3,SUMIF('TL01'!$C$238:$C$451,$C52,'TL01'!$J$238:$J$451),0),
IF('TL02'!$B$3=O$3,SUMIF('TL02'!$C$10:$C$224,$C52,'TL02'!$J$10:$J$224),0),
IF('TL02'!$B$229=O$3,SUMIF('TL02'!$C$238:$C$451,$C52,'TL02'!$J$238:$J$451),0),
IF('TL03'!$B$3=O$3,SUMIF('TL03'!$C$10:$C$224,$C52,'TL03'!$J$10:$J$224),0),
IF('TL03'!$B$229=O$3,SUMIF('TL03'!$C$238:$C$451,$C52,'TL03'!$J$238:$J$451),0),
IF('TL04'!$B$3=O$3,SUMIF('TL04'!$C$10:$C$224,$C52,'TL04'!$J$10:$J$224),0),
IF('TL04'!$B$229=O$3,SUMIF('TL04'!$C$238:$C$451,$C52,'TL04'!$J$238:$J$451),0),
IF('TL05'!$B$3=O$3,SUMIF('TL05'!$C$10:$C$224,$C52,'TL05'!$J$10:$J$224),0),
IF('TL05'!$B$229=O$3,SUMIF('TL05'!$C$238:$C$451,$C52,'TL05'!$J$238:$J$451),0),
IF('TL06'!$B$3=O$3,SUMIF('TL06'!$C$10:$C$224,$C52,'TL06'!$J$10:$J$224),0),
IF('TL06'!$B$229=O$3,SUMIF('TL06'!$C$238:$C$451,$C52,'TL06'!$J$238:$J$451),0),
IF('TL07'!$B$3=O$3,SUMIF('TL07'!$C$10:$C$224,$C52,'TL07'!$J$10:$J$224),0),
IF('TL07'!$B$229=O$3,SUMIF('TL07'!$C$238:$C$451,$C52,'TL07'!$J$238:$J$451),0),
IF('TL08'!$B$3=O$3,SUMIF('TL08'!$C$10:$C$224,$C52,'TL08'!$J$10:$J$224),0),
IF('TL08'!$B$229=O$3,SUMIF('TL08'!$C$238:$C$451,$C52,'TL08'!$J$238:$J$451),0),
IF('TL09'!$B$3=O$3,SUMIF('TL09'!$C$10:$C$224,$C52,'TL09'!$J$10:$J$224),0),
IF('TL09'!$B$229=O$3,SUMIF('TL09'!$C$238:$C$451,$C52,'TL09'!$J$238:$J$451),0),
IF('TL10'!$B$3=O$3,SUMIF('TL10'!$C$10:$C$224,$C52,'TL10'!$J$10:$J$224),0),
IF('TL10'!$B$229=O$3,SUMIF('TL10'!$C$238:$C$451,$C52,'TL10'!$J$238:$J$451),0),
IF('TL11'!$B$3=O$3,SUMIF('TL11'!$C$10:$C$224,$C52,'TL11'!$J$10:$J$224),0),
IF('TL11'!$B$229=O$3,SUMIF('TL11'!$C$238:$C$451,$C52,'TL11'!$J$238:$J$451),0),
IF('TL12'!$B$3=O$3,SUMIF('TL12'!$C$10:$C$224,$C52,'TL12'!$J$10:$J$224),0),
IF('TL12'!$B$229=O$3,SUMIF('TL12'!$C$238:$C$451,$C52,'TL12'!$J$238:$J$451),0),
IF('TL13'!$B$3=O$3,SUMIF('TL13'!$C$10:$C$224,$C52,'TL13'!$J$10:$J$224),0),
IF('TL13'!$B$229=O$3,SUMIF('TL13'!$C$238:$C$451,$C52,'TL13'!$J$238:$J$451),0),
IF('TL14'!$B$3=O$3,SUMIF('TL14'!$C$10:$C$224,$C52,'TL14'!$J$10:$J$224),0),
IF('TL14'!$B$229=O$3,SUMIF('TL14'!$C$238:$C$451,$C52,'TL14'!$J$238:$J$451),0),
IF('TL15'!$B$3=O$3,SUMIF('TL15'!$C$10:$C$224,$C52,'TL15'!$J$10:$J$224),0),
IF('TL15'!$B$229=O$3,SUMIF('TL15'!$C$238:$C$451,$C52,'TL15'!$J$238:$J$451),0),
IF('TL16'!$B$3=O$3,SUMIF('TL16'!$C$10:$C$224,$C52,'TL16'!$J$10:$J$224),0),
IF('TL16'!$B$229=O$3,SUMIF('TL16'!$C$238:$C$451,$C52,'TL16'!$J$238:$J$451),0),
IF('TL17'!$B$3=O$3,SUMIF('TL17'!$C$10:$C$224,$C52,'TL17'!$J$10:$J$224),0),
IF('TL17'!$B$229=O$3,SUMIF('TL17'!$C$238:$C$451,$C52,'TL17'!$J$238:$J$451),0),
IF('TL18'!$B$3=O$3,SUMIF('TL18'!$C$10:$C$224,$C52,'TL18'!$J$10:$J$224),0),
IF('TL18'!$B$229=O$3,SUMIF('TL18'!$C$238:$C$451,$C52,'TL18'!$J$238:$J$451),0),
IF('TL19'!$B$3=O$3,SUMIF('TL19'!$C$10:$C$224,$C52,'TL19'!$J$10:$J$224),0),
IF('TL19'!$B$229=O$3,SUMIF('TL19'!$C$238:$C$451,$C52,'TL19'!$J$238:$J$451),0)
),0)</f>
        <v>0</v>
      </c>
      <c r="P52" s="9">
        <f>IFERROR(SUM(
IF('TL01'!$B$3=P$3,SUMIF('TL01'!$C$10:$C$224,$C52,'TL01'!$J$10:$J$224),0),
IF('TL01'!$B$229=P$3,SUMIF('TL01'!$C$238:$C$451,$C52,'TL01'!$J$238:$J$451),0),
IF('TL02'!$B$3=P$3,SUMIF('TL02'!$C$10:$C$224,$C52,'TL02'!$J$10:$J$224),0),
IF('TL02'!$B$229=P$3,SUMIF('TL02'!$C$238:$C$451,$C52,'TL02'!$J$238:$J$451),0),
IF('TL03'!$B$3=P$3,SUMIF('TL03'!$C$10:$C$224,$C52,'TL03'!$J$10:$J$224),0),
IF('TL03'!$B$229=P$3,SUMIF('TL03'!$C$238:$C$451,$C52,'TL03'!$J$238:$J$451),0),
IF('TL04'!$B$3=P$3,SUMIF('TL04'!$C$10:$C$224,$C52,'TL04'!$J$10:$J$224),0),
IF('TL04'!$B$229=P$3,SUMIF('TL04'!$C$238:$C$451,$C52,'TL04'!$J$238:$J$451),0),
IF('TL05'!$B$3=P$3,SUMIF('TL05'!$C$10:$C$224,$C52,'TL05'!$J$10:$J$224),0),
IF('TL05'!$B$229=P$3,SUMIF('TL05'!$C$238:$C$451,$C52,'TL05'!$J$238:$J$451),0),
IF('TL06'!$B$3=P$3,SUMIF('TL06'!$C$10:$C$224,$C52,'TL06'!$J$10:$J$224),0),
IF('TL06'!$B$229=P$3,SUMIF('TL06'!$C$238:$C$451,$C52,'TL06'!$J$238:$J$451),0),
IF('TL07'!$B$3=P$3,SUMIF('TL07'!$C$10:$C$224,$C52,'TL07'!$J$10:$J$224),0),
IF('TL07'!$B$229=P$3,SUMIF('TL07'!$C$238:$C$451,$C52,'TL07'!$J$238:$J$451),0),
IF('TL08'!$B$3=P$3,SUMIF('TL08'!$C$10:$C$224,$C52,'TL08'!$J$10:$J$224),0),
IF('TL08'!$B$229=P$3,SUMIF('TL08'!$C$238:$C$451,$C52,'TL08'!$J$238:$J$451),0),
IF('TL09'!$B$3=P$3,SUMIF('TL09'!$C$10:$C$224,$C52,'TL09'!$J$10:$J$224),0),
IF('TL09'!$B$229=P$3,SUMIF('TL09'!$C$238:$C$451,$C52,'TL09'!$J$238:$J$451),0),
IF('TL10'!$B$3=P$3,SUMIF('TL10'!$C$10:$C$224,$C52,'TL10'!$J$10:$J$224),0),
IF('TL10'!$B$229=P$3,SUMIF('TL10'!$C$238:$C$451,$C52,'TL10'!$J$238:$J$451),0),
IF('TL11'!$B$3=P$3,SUMIF('TL11'!$C$10:$C$224,$C52,'TL11'!$J$10:$J$224),0),
IF('TL11'!$B$229=P$3,SUMIF('TL11'!$C$238:$C$451,$C52,'TL11'!$J$238:$J$451),0),
IF('TL12'!$B$3=P$3,SUMIF('TL12'!$C$10:$C$224,$C52,'TL12'!$J$10:$J$224),0),
IF('TL12'!$B$229=P$3,SUMIF('TL12'!$C$238:$C$451,$C52,'TL12'!$J$238:$J$451),0),
IF('TL13'!$B$3=P$3,SUMIF('TL13'!$C$10:$C$224,$C52,'TL13'!$J$10:$J$224),0),
IF('TL13'!$B$229=P$3,SUMIF('TL13'!$C$238:$C$451,$C52,'TL13'!$J$238:$J$451),0),
IF('TL14'!$B$3=P$3,SUMIF('TL14'!$C$10:$C$224,$C52,'TL14'!$J$10:$J$224),0),
IF('TL14'!$B$229=P$3,SUMIF('TL14'!$C$238:$C$451,$C52,'TL14'!$J$238:$J$451),0),
IF('TL15'!$B$3=P$3,SUMIF('TL15'!$C$10:$C$224,$C52,'TL15'!$J$10:$J$224),0),
IF('TL15'!$B$229=P$3,SUMIF('TL15'!$C$238:$C$451,$C52,'TL15'!$J$238:$J$451),0),
IF('TL16'!$B$3=P$3,SUMIF('TL16'!$C$10:$C$224,$C52,'TL16'!$J$10:$J$224),0),
IF('TL16'!$B$229=P$3,SUMIF('TL16'!$C$238:$C$451,$C52,'TL16'!$J$238:$J$451),0),
IF('TL17'!$B$3=P$3,SUMIF('TL17'!$C$10:$C$224,$C52,'TL17'!$J$10:$J$224),0),
IF('TL17'!$B$229=P$3,SUMIF('TL17'!$C$238:$C$451,$C52,'TL17'!$J$238:$J$451),0),
IF('TL18'!$B$3=P$3,SUMIF('TL18'!$C$10:$C$224,$C52,'TL18'!$J$10:$J$224),0),
IF('TL18'!$B$229=P$3,SUMIF('TL18'!$C$238:$C$451,$C52,'TL18'!$J$238:$J$451),0),
IF('TL19'!$B$3=P$3,SUMIF('TL19'!$C$10:$C$224,$C52,'TL19'!$J$10:$J$224),0),
IF('TL19'!$B$229=P$3,SUMIF('TL19'!$C$238:$C$451,$C52,'TL19'!$J$238:$J$451),0)
),0)</f>
        <v>609</v>
      </c>
      <c r="Q52" s="9">
        <f>IFERROR(SUM(
IF('TL01'!$B$3=Q$3,SUMIF('TL01'!$C$10:$C$224,$C52,'TL01'!$J$10:$J$224),0),
IF('TL01'!$B$229=Q$3,SUMIF('TL01'!$C$238:$C$451,$C52,'TL01'!$J$238:$J$451),0),
IF('TL02'!$B$3=Q$3,SUMIF('TL02'!$C$10:$C$224,$C52,'TL02'!$J$10:$J$224),0),
IF('TL02'!$B$229=Q$3,SUMIF('TL02'!$C$238:$C$451,$C52,'TL02'!$J$238:$J$451),0),
IF('TL03'!$B$3=Q$3,SUMIF('TL03'!$C$10:$C$224,$C52,'TL03'!$J$10:$J$224),0),
IF('TL03'!$B$229=Q$3,SUMIF('TL03'!$C$238:$C$451,$C52,'TL03'!$J$238:$J$451),0),
IF('TL04'!$B$3=Q$3,SUMIF('TL04'!$C$10:$C$224,$C52,'TL04'!$J$10:$J$224),0),
IF('TL04'!$B$229=Q$3,SUMIF('TL04'!$C$238:$C$451,$C52,'TL04'!$J$238:$J$451),0),
IF('TL05'!$B$3=Q$3,SUMIF('TL05'!$C$10:$C$224,$C52,'TL05'!$J$10:$J$224),0),
IF('TL05'!$B$229=Q$3,SUMIF('TL05'!$C$238:$C$451,$C52,'TL05'!$J$238:$J$451),0),
IF('TL06'!$B$3=Q$3,SUMIF('TL06'!$C$10:$C$224,$C52,'TL06'!$J$10:$J$224),0),
IF('TL06'!$B$229=Q$3,SUMIF('TL06'!$C$238:$C$451,$C52,'TL06'!$J$238:$J$451),0),
IF('TL07'!$B$3=Q$3,SUMIF('TL07'!$C$10:$C$224,$C52,'TL07'!$J$10:$J$224),0),
IF('TL07'!$B$229=Q$3,SUMIF('TL07'!$C$238:$C$451,$C52,'TL07'!$J$238:$J$451),0),
IF('TL08'!$B$3=Q$3,SUMIF('TL08'!$C$10:$C$224,$C52,'TL08'!$J$10:$J$224),0),
IF('TL08'!$B$229=Q$3,SUMIF('TL08'!$C$238:$C$451,$C52,'TL08'!$J$238:$J$451),0),
IF('TL09'!$B$3=Q$3,SUMIF('TL09'!$C$10:$C$224,$C52,'TL09'!$J$10:$J$224),0),
IF('TL09'!$B$229=Q$3,SUMIF('TL09'!$C$238:$C$451,$C52,'TL09'!$J$238:$J$451),0),
IF('TL10'!$B$3=Q$3,SUMIF('TL10'!$C$10:$C$224,$C52,'TL10'!$J$10:$J$224),0),
IF('TL10'!$B$229=Q$3,SUMIF('TL10'!$C$238:$C$451,$C52,'TL10'!$J$238:$J$451),0),
IF('TL11'!$B$3=Q$3,SUMIF('TL11'!$C$10:$C$224,$C52,'TL11'!$J$10:$J$224),0),
IF('TL11'!$B$229=Q$3,SUMIF('TL11'!$C$238:$C$451,$C52,'TL11'!$J$238:$J$451),0),
IF('TL12'!$B$3=Q$3,SUMIF('TL12'!$C$10:$C$224,$C52,'TL12'!$J$10:$J$224),0),
IF('TL12'!$B$229=Q$3,SUMIF('TL12'!$C$238:$C$451,$C52,'TL12'!$J$238:$J$451),0),
IF('TL13'!$B$3=Q$3,SUMIF('TL13'!$C$10:$C$224,$C52,'TL13'!$J$10:$J$224),0),
IF('TL13'!$B$229=Q$3,SUMIF('TL13'!$C$238:$C$451,$C52,'TL13'!$J$238:$J$451),0),
IF('TL14'!$B$3=Q$3,SUMIF('TL14'!$C$10:$C$224,$C52,'TL14'!$J$10:$J$224),0),
IF('TL14'!$B$229=Q$3,SUMIF('TL14'!$C$238:$C$451,$C52,'TL14'!$J$238:$J$451),0),
IF('TL15'!$B$3=Q$3,SUMIF('TL15'!$C$10:$C$224,$C52,'TL15'!$J$10:$J$224),0),
IF('TL15'!$B$229=Q$3,SUMIF('TL15'!$C$238:$C$451,$C52,'TL15'!$J$238:$J$451),0),
IF('TL16'!$B$3=Q$3,SUMIF('TL16'!$C$10:$C$224,$C52,'TL16'!$J$10:$J$224),0),
IF('TL16'!$B$229=Q$3,SUMIF('TL16'!$C$238:$C$451,$C52,'TL16'!$J$238:$J$451),0),
IF('TL17'!$B$3=Q$3,SUMIF('TL17'!$C$10:$C$224,$C52,'TL17'!$J$10:$J$224),0),
IF('TL17'!$B$229=Q$3,SUMIF('TL17'!$C$238:$C$451,$C52,'TL17'!$J$238:$J$451),0),
IF('TL18'!$B$3=Q$3,SUMIF('TL18'!$C$10:$C$224,$C52,'TL18'!$J$10:$J$224),0),
IF('TL18'!$B$229=Q$3,SUMIF('TL18'!$C$238:$C$451,$C52,'TL18'!$J$238:$J$451),0),
IF('TL19'!$B$3=Q$3,SUMIF('TL19'!$C$10:$C$224,$C52,'TL19'!$J$10:$J$224),0),
IF('TL19'!$B$229=Q$3,SUMIF('TL19'!$C$238:$C$451,$C52,'TL19'!$J$238:$J$451),0)
),0)</f>
        <v>160</v>
      </c>
      <c r="R52" s="9">
        <f>IFERROR(
SUM(
SUMIF('TL01'!C:C,C52,'TL01'!J:J),
SUMIF('TL02'!C:C,C52,'TL02'!J:J),
SUMIF('TL03'!C:C,C52,'TL03'!J:J),
SUMIF('TL04'!C:C,C52,'TL04'!J:J),
SUMIF('TL05'!C:C,C52,'TL05'!J:J),
SUMIF('TL06'!C:C,C52,'TL06'!J:J),
SUMIF('TL07'!C:C,C52,'TL07'!J:J),
SUMIF('TL08'!C:C,C52,'TL08'!J:J),
SUMIF('TL09'!C:C,C52,'TL09'!J:J),
SUMIF('TL10'!C:C,C52,'TL10'!J:J),
SUMIF('TL11'!C:C,C52,'TL11'!J:J),
SUMIF('TL12'!C:C,C52,'TL12'!J:J),
SUMIF('TL13'!C:C,C52,'TL13'!J:J),
SUMIF('TL14'!C:C,C52,'TL14'!J:J),
SUMIF('TL15'!C:C,C52,'TL15'!J:J),
SUMIF('TL16'!C:C,C52,'TL16'!J:J),
SUMIF('TL17'!C:C,C52,'TL17'!J:J),
SUMIF('TL18'!C:C,C52,'TL18'!J:J),SUMIF('TL19'!C:C,C52,'TL19'!J:J))
,0)</f>
        <v>1029</v>
      </c>
      <c r="S52" s="17">
        <f>IFERROR(__xludf.DUMMYFUNCTION("IFERROR(VLOOKUP(C52,
IMPORTRANGE(""1wULbzX32WdYsx-lj2U3uUNBBe2INVIRDtcK0d-Dvl90"",
""26-27!C:G""),
5,
FALSE),
"""")"),198.16704000000001)</f>
        <v>198.16704</v>
      </c>
      <c r="T52" s="9">
        <v>220.0</v>
      </c>
      <c r="U52" s="92">
        <f t="shared" si="2"/>
        <v>809</v>
      </c>
      <c r="V52" s="93">
        <f t="shared" si="3"/>
        <v>160317.1354</v>
      </c>
    </row>
    <row r="53" ht="15.75" hidden="1" customHeight="1">
      <c r="A53" s="111" t="s">
        <v>350</v>
      </c>
      <c r="B53" s="112" t="s">
        <v>0</v>
      </c>
      <c r="C53" s="113" t="s">
        <v>470</v>
      </c>
      <c r="D53" s="113" t="s">
        <v>471</v>
      </c>
      <c r="E53" s="113" t="s">
        <v>472</v>
      </c>
      <c r="F53" s="4" t="s">
        <v>343</v>
      </c>
      <c r="G53" s="90" t="str">
        <f t="shared" si="4"/>
        <v>📄 Ver bula</v>
      </c>
      <c r="H53" s="9">
        <f>IFERROR(__xludf.DUMMYFUNCTION("IFERROR(VLOOKUP(C53,
IMPORTRANGE(""1wULbzX32WdYsx-lj2U3uUNBBe2INVIRDtcK0d-Dvl90"",
""26-27!C:K""),
8,
FALSE),
"""")"),0.6)</f>
        <v>0.6</v>
      </c>
      <c r="I53" s="114" t="s">
        <v>344</v>
      </c>
      <c r="J53" s="9">
        <f>IFERROR(SUM(
IF('TL01'!$B$3=J$3,SUMIF('TL01'!$C$10:$C$224,$C53,'TL01'!$J$10:$J$224),0),
IF('TL01'!$B$229=J$3,SUMIF('TL01'!$C$238:$C$451,$C53,'TL01'!$J$238:$J$451),0),
IF('TL02'!$B$3=J$3,SUMIF('TL02'!$C$10:$C$224,$C53,'TL02'!$J$10:$J$224),0),
IF('TL02'!$B$229=J$3,SUMIF('TL02'!$C$238:$C$451,$C53,'TL02'!$J$238:$J$451),0),
IF('TL03'!$B$3=J$3,SUMIF('TL03'!$C$10:$C$224,$C53,'TL03'!$J$10:$J$224),0),
IF('TL03'!$B$229=J$3,SUMIF('TL03'!$C$238:$C$451,$C53,'TL03'!$J$238:$J$451),0),
IF('TL04'!$B$3=J$3,SUMIF('TL04'!$C$10:$C$224,$C53,'TL04'!$J$10:$J$224),0),
IF('TL04'!$B$229=J$3,SUMIF('TL04'!$C$238:$C$451,$C53,'TL04'!$J$238:$J$451),0),
IF('TL05'!$B$3=J$3,SUMIF('TL05'!$C$10:$C$224,$C53,'TL05'!$J$10:$J$224),0),
IF('TL05'!$B$229=J$3,SUMIF('TL05'!$C$238:$C$451,$C53,'TL05'!$J$238:$J$451),0),
IF('TL06'!$B$3=J$3,SUMIF('TL06'!$C$10:$C$224,$C53,'TL06'!$J$10:$J$224),0),
IF('TL06'!$B$229=J$3,SUMIF('TL06'!$C$238:$C$451,$C53,'TL06'!$J$238:$J$451),0),
IF('TL07'!$B$3=J$3,SUMIF('TL07'!$C$10:$C$224,$C53,'TL07'!$J$10:$J$224),0),
IF('TL07'!$B$229=J$3,SUMIF('TL07'!$C$238:$C$451,$C53,'TL07'!$J$238:$J$451),0),
IF('TL08'!$B$3=J$3,SUMIF('TL08'!$C$10:$C$224,$C53,'TL08'!$J$10:$J$224),0),
IF('TL08'!$B$229=J$3,SUMIF('TL08'!$C$238:$C$451,$C53,'TL08'!$J$238:$J$451),0),
IF('TL09'!$B$3=J$3,SUMIF('TL09'!$C$10:$C$224,$C53,'TL09'!$J$10:$J$224),0),
IF('TL09'!$B$229=J$3,SUMIF('TL09'!$C$238:$C$451,$C53,'TL09'!$J$238:$J$451),0),
IF('TL10'!$B$3=J$3,SUMIF('TL10'!$C$10:$C$224,$C53,'TL10'!$J$10:$J$224),0),
IF('TL10'!$B$229=J$3,SUMIF('TL10'!$C$238:$C$451,$C53,'TL10'!$J$238:$J$451),0),
IF('TL11'!$B$3=J$3,SUMIF('TL11'!$C$10:$C$224,$C53,'TL11'!$J$10:$J$224),0),
IF('TL11'!$B$229=J$3,SUMIF('TL11'!$C$238:$C$451,$C53,'TL11'!$J$238:$J$451),0),
IF('TL12'!$B$3=J$3,SUMIF('TL12'!$C$10:$C$224,$C53,'TL12'!$J$10:$J$224),0),
IF('TL12'!$B$229=J$3,SUMIF('TL12'!$C$238:$C$451,$C53,'TL12'!$J$238:$J$451),0),
IF('TL13'!$B$3=J$3,SUMIF('TL13'!$C$10:$C$224,$C53,'TL13'!$J$10:$J$224),0),
IF('TL13'!$B$229=J$3,SUMIF('TL13'!$C$238:$C$451,$C53,'TL13'!$J$238:$J$451),0),
IF('TL14'!$B$3=J$3,SUMIF('TL14'!$C$10:$C$224,$C53,'TL14'!$J$10:$J$224),0),
IF('TL14'!$B$229=J$3,SUMIF('TL14'!$C$238:$C$451,$C53,'TL14'!$J$238:$J$451),0),
IF('TL15'!$B$3=J$3,SUMIF('TL15'!$C$10:$C$224,$C53,'TL15'!$J$10:$J$224),0),
IF('TL15'!$B$229=J$3,SUMIF('TL15'!$C$238:$C$451,$C53,'TL15'!$J$238:$J$451),0),
IF('TL16'!$B$3=J$3,SUMIF('TL16'!$C$10:$C$224,$C53,'TL16'!$J$10:$J$224),0),
IF('TL16'!$B$229=J$3,SUMIF('TL16'!$C$238:$C$451,$C53,'TL16'!$J$238:$J$451),0),
IF('TL17'!$B$3=J$3,SUMIF('TL17'!$C$10:$C$224,$C53,'TL17'!$J$10:$J$224),0),
IF('TL17'!$B$229=J$3,SUMIF('TL17'!$C$238:$C$451,$C53,'TL17'!$J$238:$J$451),0),
IF('TL18'!$B$3=J$3,SUMIF('TL18'!$C$10:$C$224,$C53,'TL18'!$J$10:$J$224),0),
IF('TL18'!$B$229=J$3,SUMIF('TL18'!$C$238:$C$451,$C53,'TL18'!$J$238:$J$451),0),
IF('TL19'!$B$3=J$3,SUMIF('TL19'!$C$10:$C$224,$C53,'TL19'!$J$10:$J$224),0),
IF('TL19'!$B$229=J$3,SUMIF('TL19'!$C$238:$C$451,$C53,'TL19'!$J$238:$J$451),0)
),0)</f>
        <v>0</v>
      </c>
      <c r="K53" s="9">
        <f>IFERROR(SUM(
IF('TL01'!$B$3=K$3,SUMIF('TL01'!$C$10:$C$224,$C53,'TL01'!$J$10:$J$224),0),
IF('TL01'!$B$229=K$3,SUMIF('TL01'!$C$238:$C$451,$C53,'TL01'!$J$238:$J$451),0),
IF('TL02'!$B$3=K$3,SUMIF('TL02'!$C$10:$C$224,$C53,'TL02'!$J$10:$J$224),0),
IF('TL02'!$B$229=K$3,SUMIF('TL02'!$C$238:$C$451,$C53,'TL02'!$J$238:$J$451),0),
IF('TL03'!$B$3=K$3,SUMIF('TL03'!$C$10:$C$224,$C53,'TL03'!$J$10:$J$224),0),
IF('TL03'!$B$229=K$3,SUMIF('TL03'!$C$238:$C$451,$C53,'TL03'!$J$238:$J$451),0),
IF('TL04'!$B$3=K$3,SUMIF('TL04'!$C$10:$C$224,$C53,'TL04'!$J$10:$J$224),0),
IF('TL04'!$B$229=K$3,SUMIF('TL04'!$C$238:$C$451,$C53,'TL04'!$J$238:$J$451),0),
IF('TL05'!$B$3=K$3,SUMIF('TL05'!$C$10:$C$224,$C53,'TL05'!$J$10:$J$224),0),
IF('TL05'!$B$229=K$3,SUMIF('TL05'!$C$238:$C$451,$C53,'TL05'!$J$238:$J$451),0),
IF('TL06'!$B$3=K$3,SUMIF('TL06'!$C$10:$C$224,$C53,'TL06'!$J$10:$J$224),0),
IF('TL06'!$B$229=K$3,SUMIF('TL06'!$C$238:$C$451,$C53,'TL06'!$J$238:$J$451),0),
IF('TL07'!$B$3=K$3,SUMIF('TL07'!$C$10:$C$224,$C53,'TL07'!$J$10:$J$224),0),
IF('TL07'!$B$229=K$3,SUMIF('TL07'!$C$238:$C$451,$C53,'TL07'!$J$238:$J$451),0),
IF('TL08'!$B$3=K$3,SUMIF('TL08'!$C$10:$C$224,$C53,'TL08'!$J$10:$J$224),0),
IF('TL08'!$B$229=K$3,SUMIF('TL08'!$C$238:$C$451,$C53,'TL08'!$J$238:$J$451),0),
IF('TL09'!$B$3=K$3,SUMIF('TL09'!$C$10:$C$224,$C53,'TL09'!$J$10:$J$224),0),
IF('TL09'!$B$229=K$3,SUMIF('TL09'!$C$238:$C$451,$C53,'TL09'!$J$238:$J$451),0),
IF('TL10'!$B$3=K$3,SUMIF('TL10'!$C$10:$C$224,$C53,'TL10'!$J$10:$J$224),0),
IF('TL10'!$B$229=K$3,SUMIF('TL10'!$C$238:$C$451,$C53,'TL10'!$J$238:$J$451),0),
IF('TL11'!$B$3=K$3,SUMIF('TL11'!$C$10:$C$224,$C53,'TL11'!$J$10:$J$224),0),
IF('TL11'!$B$229=K$3,SUMIF('TL11'!$C$238:$C$451,$C53,'TL11'!$J$238:$J$451),0),
IF('TL12'!$B$3=K$3,SUMIF('TL12'!$C$10:$C$224,$C53,'TL12'!$J$10:$J$224),0),
IF('TL12'!$B$229=K$3,SUMIF('TL12'!$C$238:$C$451,$C53,'TL12'!$J$238:$J$451),0),
IF('TL13'!$B$3=K$3,SUMIF('TL13'!$C$10:$C$224,$C53,'TL13'!$J$10:$J$224),0),
IF('TL13'!$B$229=K$3,SUMIF('TL13'!$C$238:$C$451,$C53,'TL13'!$J$238:$J$451),0),
IF('TL14'!$B$3=K$3,SUMIF('TL14'!$C$10:$C$224,$C53,'TL14'!$J$10:$J$224),0),
IF('TL14'!$B$229=K$3,SUMIF('TL14'!$C$238:$C$451,$C53,'TL14'!$J$238:$J$451),0),
IF('TL15'!$B$3=K$3,SUMIF('TL15'!$C$10:$C$224,$C53,'TL15'!$J$10:$J$224),0),
IF('TL15'!$B$229=K$3,SUMIF('TL15'!$C$238:$C$451,$C53,'TL15'!$J$238:$J$451),0),
IF('TL16'!$B$3=K$3,SUMIF('TL16'!$C$10:$C$224,$C53,'TL16'!$J$10:$J$224),0),
IF('TL16'!$B$229=K$3,SUMIF('TL16'!$C$238:$C$451,$C53,'TL16'!$J$238:$J$451),0),
IF('TL17'!$B$3=K$3,SUMIF('TL17'!$C$10:$C$224,$C53,'TL17'!$J$10:$J$224),0),
IF('TL17'!$B$229=K$3,SUMIF('TL17'!$C$238:$C$451,$C53,'TL17'!$J$238:$J$451),0),
IF('TL18'!$B$3=K$3,SUMIF('TL18'!$C$10:$C$224,$C53,'TL18'!$J$10:$J$224),0),
IF('TL18'!$B$229=K$3,SUMIF('TL18'!$C$238:$C$451,$C53,'TL18'!$J$238:$J$451),0),
IF('TL19'!$B$3=K$3,SUMIF('TL19'!$C$10:$C$224,$C53,'TL19'!$J$10:$J$224),0),
IF('TL19'!$B$229=K$3,SUMIF('TL19'!$C$238:$C$451,$C53,'TL19'!$J$238:$J$451),0)
),0)</f>
        <v>0</v>
      </c>
      <c r="L53" s="9">
        <f>IFERROR(SUM(
IF('TL01'!$B$3=L$3,SUMIF('TL01'!$C$10:$C$224,$C53,'TL01'!$J$10:$J$224),0),
IF('TL01'!$B$229=L$3,SUMIF('TL01'!$C$238:$C$451,$C53,'TL01'!$J$238:$J$451),0),
IF('TL02'!$B$3=L$3,SUMIF('TL02'!$C$10:$C$224,$C53,'TL02'!$J$10:$J$224),0),
IF('TL02'!$B$229=L$3,SUMIF('TL02'!$C$238:$C$451,$C53,'TL02'!$J$238:$J$451),0),
IF('TL03'!$B$3=L$3,SUMIF('TL03'!$C$10:$C$224,$C53,'TL03'!$J$10:$J$224),0),
IF('TL03'!$B$229=L$3,SUMIF('TL03'!$C$238:$C$451,$C53,'TL03'!$J$238:$J$451),0),
IF('TL04'!$B$3=L$3,SUMIF('TL04'!$C$10:$C$224,$C53,'TL04'!$J$10:$J$224),0),
IF('TL04'!$B$229=L$3,SUMIF('TL04'!$C$238:$C$451,$C53,'TL04'!$J$238:$J$451),0),
IF('TL05'!$B$3=L$3,SUMIF('TL05'!$C$10:$C$224,$C53,'TL05'!$J$10:$J$224),0),
IF('TL05'!$B$229=L$3,SUMIF('TL05'!$C$238:$C$451,$C53,'TL05'!$J$238:$J$451),0),
IF('TL06'!$B$3=L$3,SUMIF('TL06'!$C$10:$C$224,$C53,'TL06'!$J$10:$J$224),0),
IF('TL06'!$B$229=L$3,SUMIF('TL06'!$C$238:$C$451,$C53,'TL06'!$J$238:$J$451),0),
IF('TL07'!$B$3=L$3,SUMIF('TL07'!$C$10:$C$224,$C53,'TL07'!$J$10:$J$224),0),
IF('TL07'!$B$229=L$3,SUMIF('TL07'!$C$238:$C$451,$C53,'TL07'!$J$238:$J$451),0),
IF('TL08'!$B$3=L$3,SUMIF('TL08'!$C$10:$C$224,$C53,'TL08'!$J$10:$J$224),0),
IF('TL08'!$B$229=L$3,SUMIF('TL08'!$C$238:$C$451,$C53,'TL08'!$J$238:$J$451),0),
IF('TL09'!$B$3=L$3,SUMIF('TL09'!$C$10:$C$224,$C53,'TL09'!$J$10:$J$224),0),
IF('TL09'!$B$229=L$3,SUMIF('TL09'!$C$238:$C$451,$C53,'TL09'!$J$238:$J$451),0),
IF('TL10'!$B$3=L$3,SUMIF('TL10'!$C$10:$C$224,$C53,'TL10'!$J$10:$J$224),0),
IF('TL10'!$B$229=L$3,SUMIF('TL10'!$C$238:$C$451,$C53,'TL10'!$J$238:$J$451),0),
IF('TL11'!$B$3=L$3,SUMIF('TL11'!$C$10:$C$224,$C53,'TL11'!$J$10:$J$224),0),
IF('TL11'!$B$229=L$3,SUMIF('TL11'!$C$238:$C$451,$C53,'TL11'!$J$238:$J$451),0),
IF('TL12'!$B$3=L$3,SUMIF('TL12'!$C$10:$C$224,$C53,'TL12'!$J$10:$J$224),0),
IF('TL12'!$B$229=L$3,SUMIF('TL12'!$C$238:$C$451,$C53,'TL12'!$J$238:$J$451),0),
IF('TL13'!$B$3=L$3,SUMIF('TL13'!$C$10:$C$224,$C53,'TL13'!$J$10:$J$224),0),
IF('TL13'!$B$229=L$3,SUMIF('TL13'!$C$238:$C$451,$C53,'TL13'!$J$238:$J$451),0),
IF('TL14'!$B$3=L$3,SUMIF('TL14'!$C$10:$C$224,$C53,'TL14'!$J$10:$J$224),0),
IF('TL14'!$B$229=L$3,SUMIF('TL14'!$C$238:$C$451,$C53,'TL14'!$J$238:$J$451),0),
IF('TL15'!$B$3=L$3,SUMIF('TL15'!$C$10:$C$224,$C53,'TL15'!$J$10:$J$224),0),
IF('TL15'!$B$229=L$3,SUMIF('TL15'!$C$238:$C$451,$C53,'TL15'!$J$238:$J$451),0),
IF('TL16'!$B$3=L$3,SUMIF('TL16'!$C$10:$C$224,$C53,'TL16'!$J$10:$J$224),0),
IF('TL16'!$B$229=L$3,SUMIF('TL16'!$C$238:$C$451,$C53,'TL16'!$J$238:$J$451),0),
IF('TL17'!$B$3=L$3,SUMIF('TL17'!$C$10:$C$224,$C53,'TL17'!$J$10:$J$224),0),
IF('TL17'!$B$229=L$3,SUMIF('TL17'!$C$238:$C$451,$C53,'TL17'!$J$238:$J$451),0),
IF('TL18'!$B$3=L$3,SUMIF('TL18'!$C$10:$C$224,$C53,'TL18'!$J$10:$J$224),0),
IF('TL18'!$B$229=L$3,SUMIF('TL18'!$C$238:$C$451,$C53,'TL18'!$J$238:$J$451),0),
IF('TL19'!$B$3=L$3,SUMIF('TL19'!$C$10:$C$224,$C53,'TL19'!$J$10:$J$224),0),
IF('TL19'!$B$229=L$3,SUMIF('TL19'!$C$238:$C$451,$C53,'TL19'!$J$238:$J$451),0)
),0)</f>
        <v>0</v>
      </c>
      <c r="M53" s="9">
        <f>IFERROR(SUM(
IF('TL01'!$B$3=M$3,SUMIF('TL01'!$C$10:$C$224,$C53,'TL01'!$J$10:$J$224),0),
IF('TL01'!$B$229=M$3,SUMIF('TL01'!$C$238:$C$451,$C53,'TL01'!$J$238:$J$451),0),
IF('TL02'!$B$3=M$3,SUMIF('TL02'!$C$10:$C$224,$C53,'TL02'!$J$10:$J$224),0),
IF('TL02'!$B$229=M$3,SUMIF('TL02'!$C$238:$C$451,$C53,'TL02'!$J$238:$J$451),0),
IF('TL03'!$B$3=M$3,SUMIF('TL03'!$C$10:$C$224,$C53,'TL03'!$J$10:$J$224),0),
IF('TL03'!$B$229=M$3,SUMIF('TL03'!$C$238:$C$451,$C53,'TL03'!$J$238:$J$451),0),
IF('TL04'!$B$3=M$3,SUMIF('TL04'!$C$10:$C$224,$C53,'TL04'!$J$10:$J$224),0),
IF('TL04'!$B$229=M$3,SUMIF('TL04'!$C$238:$C$451,$C53,'TL04'!$J$238:$J$451),0),
IF('TL05'!$B$3=M$3,SUMIF('TL05'!$C$10:$C$224,$C53,'TL05'!$J$10:$J$224),0),
IF('TL05'!$B$229=M$3,SUMIF('TL05'!$C$238:$C$451,$C53,'TL05'!$J$238:$J$451),0),
IF('TL06'!$B$3=M$3,SUMIF('TL06'!$C$10:$C$224,$C53,'TL06'!$J$10:$J$224),0),
IF('TL06'!$B$229=M$3,SUMIF('TL06'!$C$238:$C$451,$C53,'TL06'!$J$238:$J$451),0),
IF('TL07'!$B$3=M$3,SUMIF('TL07'!$C$10:$C$224,$C53,'TL07'!$J$10:$J$224),0),
IF('TL07'!$B$229=M$3,SUMIF('TL07'!$C$238:$C$451,$C53,'TL07'!$J$238:$J$451),0),
IF('TL08'!$B$3=M$3,SUMIF('TL08'!$C$10:$C$224,$C53,'TL08'!$J$10:$J$224),0),
IF('TL08'!$B$229=M$3,SUMIF('TL08'!$C$238:$C$451,$C53,'TL08'!$J$238:$J$451),0),
IF('TL09'!$B$3=M$3,SUMIF('TL09'!$C$10:$C$224,$C53,'TL09'!$J$10:$J$224),0),
IF('TL09'!$B$229=M$3,SUMIF('TL09'!$C$238:$C$451,$C53,'TL09'!$J$238:$J$451),0),
IF('TL10'!$B$3=M$3,SUMIF('TL10'!$C$10:$C$224,$C53,'TL10'!$J$10:$J$224),0),
IF('TL10'!$B$229=M$3,SUMIF('TL10'!$C$238:$C$451,$C53,'TL10'!$J$238:$J$451),0),
IF('TL11'!$B$3=M$3,SUMIF('TL11'!$C$10:$C$224,$C53,'TL11'!$J$10:$J$224),0),
IF('TL11'!$B$229=M$3,SUMIF('TL11'!$C$238:$C$451,$C53,'TL11'!$J$238:$J$451),0),
IF('TL12'!$B$3=M$3,SUMIF('TL12'!$C$10:$C$224,$C53,'TL12'!$J$10:$J$224),0),
IF('TL12'!$B$229=M$3,SUMIF('TL12'!$C$238:$C$451,$C53,'TL12'!$J$238:$J$451),0),
IF('TL13'!$B$3=M$3,SUMIF('TL13'!$C$10:$C$224,$C53,'TL13'!$J$10:$J$224),0),
IF('TL13'!$B$229=M$3,SUMIF('TL13'!$C$238:$C$451,$C53,'TL13'!$J$238:$J$451),0),
IF('TL14'!$B$3=M$3,SUMIF('TL14'!$C$10:$C$224,$C53,'TL14'!$J$10:$J$224),0),
IF('TL14'!$B$229=M$3,SUMIF('TL14'!$C$238:$C$451,$C53,'TL14'!$J$238:$J$451),0),
IF('TL15'!$B$3=M$3,SUMIF('TL15'!$C$10:$C$224,$C53,'TL15'!$J$10:$J$224),0),
IF('TL15'!$B$229=M$3,SUMIF('TL15'!$C$238:$C$451,$C53,'TL15'!$J$238:$J$451),0),
IF('TL16'!$B$3=M$3,SUMIF('TL16'!$C$10:$C$224,$C53,'TL16'!$J$10:$J$224),0),
IF('TL16'!$B$229=M$3,SUMIF('TL16'!$C$238:$C$451,$C53,'TL16'!$J$238:$J$451),0),
IF('TL17'!$B$3=M$3,SUMIF('TL17'!$C$10:$C$224,$C53,'TL17'!$J$10:$J$224),0),
IF('TL17'!$B$229=M$3,SUMIF('TL17'!$C$238:$C$451,$C53,'TL17'!$J$238:$J$451),0),
IF('TL18'!$B$3=M$3,SUMIF('TL18'!$C$10:$C$224,$C53,'TL18'!$J$10:$J$224),0),
IF('TL18'!$B$229=M$3,SUMIF('TL18'!$C$238:$C$451,$C53,'TL18'!$J$238:$J$451),0),
IF('TL19'!$B$3=M$3,SUMIF('TL19'!$C$10:$C$224,$C53,'TL19'!$J$10:$J$224),0),
IF('TL19'!$B$229=M$3,SUMIF('TL19'!$C$238:$C$451,$C53,'TL19'!$J$238:$J$451),0)
),0)</f>
        <v>0</v>
      </c>
      <c r="N53" s="9">
        <f>IFERROR(SUM(
IF('TL01'!$B$3=N$3,SUMIF('TL01'!$C$10:$C$224,$C53,'TL01'!$J$10:$J$224),0),
IF('TL01'!$B$229=N$3,SUMIF('TL01'!$C$238:$C$451,$C53,'TL01'!$J$238:$J$451),0),
IF('TL02'!$B$3=N$3,SUMIF('TL02'!$C$10:$C$224,$C53,'TL02'!$J$10:$J$224),0),
IF('TL02'!$B$229=N$3,SUMIF('TL02'!$C$238:$C$451,$C53,'TL02'!$J$238:$J$451),0),
IF('TL03'!$B$3=N$3,SUMIF('TL03'!$C$10:$C$224,$C53,'TL03'!$J$10:$J$224),0),
IF('TL03'!$B$229=N$3,SUMIF('TL03'!$C$238:$C$451,$C53,'TL03'!$J$238:$J$451),0),
IF('TL04'!$B$3=N$3,SUMIF('TL04'!$C$10:$C$224,$C53,'TL04'!$J$10:$J$224),0),
IF('TL04'!$B$229=N$3,SUMIF('TL04'!$C$238:$C$451,$C53,'TL04'!$J$238:$J$451),0),
IF('TL05'!$B$3=N$3,SUMIF('TL05'!$C$10:$C$224,$C53,'TL05'!$J$10:$J$224),0),
IF('TL05'!$B$229=N$3,SUMIF('TL05'!$C$238:$C$451,$C53,'TL05'!$J$238:$J$451),0),
IF('TL06'!$B$3=N$3,SUMIF('TL06'!$C$10:$C$224,$C53,'TL06'!$J$10:$J$224),0),
IF('TL06'!$B$229=N$3,SUMIF('TL06'!$C$238:$C$451,$C53,'TL06'!$J$238:$J$451),0),
IF('TL07'!$B$3=N$3,SUMIF('TL07'!$C$10:$C$224,$C53,'TL07'!$J$10:$J$224),0),
IF('TL07'!$B$229=N$3,SUMIF('TL07'!$C$238:$C$451,$C53,'TL07'!$J$238:$J$451),0),
IF('TL08'!$B$3=N$3,SUMIF('TL08'!$C$10:$C$224,$C53,'TL08'!$J$10:$J$224),0),
IF('TL08'!$B$229=N$3,SUMIF('TL08'!$C$238:$C$451,$C53,'TL08'!$J$238:$J$451),0),
IF('TL09'!$B$3=N$3,SUMIF('TL09'!$C$10:$C$224,$C53,'TL09'!$J$10:$J$224),0),
IF('TL09'!$B$229=N$3,SUMIF('TL09'!$C$238:$C$451,$C53,'TL09'!$J$238:$J$451),0),
IF('TL10'!$B$3=N$3,SUMIF('TL10'!$C$10:$C$224,$C53,'TL10'!$J$10:$J$224),0),
IF('TL10'!$B$229=N$3,SUMIF('TL10'!$C$238:$C$451,$C53,'TL10'!$J$238:$J$451),0),
IF('TL11'!$B$3=N$3,SUMIF('TL11'!$C$10:$C$224,$C53,'TL11'!$J$10:$J$224),0),
IF('TL11'!$B$229=N$3,SUMIF('TL11'!$C$238:$C$451,$C53,'TL11'!$J$238:$J$451),0),
IF('TL12'!$B$3=N$3,SUMIF('TL12'!$C$10:$C$224,$C53,'TL12'!$J$10:$J$224),0),
IF('TL12'!$B$229=N$3,SUMIF('TL12'!$C$238:$C$451,$C53,'TL12'!$J$238:$J$451),0),
IF('TL13'!$B$3=N$3,SUMIF('TL13'!$C$10:$C$224,$C53,'TL13'!$J$10:$J$224),0),
IF('TL13'!$B$229=N$3,SUMIF('TL13'!$C$238:$C$451,$C53,'TL13'!$J$238:$J$451),0),
IF('TL14'!$B$3=N$3,SUMIF('TL14'!$C$10:$C$224,$C53,'TL14'!$J$10:$J$224),0),
IF('TL14'!$B$229=N$3,SUMIF('TL14'!$C$238:$C$451,$C53,'TL14'!$J$238:$J$451),0),
IF('TL15'!$B$3=N$3,SUMIF('TL15'!$C$10:$C$224,$C53,'TL15'!$J$10:$J$224),0),
IF('TL15'!$B$229=N$3,SUMIF('TL15'!$C$238:$C$451,$C53,'TL15'!$J$238:$J$451),0),
IF('TL16'!$B$3=N$3,SUMIF('TL16'!$C$10:$C$224,$C53,'TL16'!$J$10:$J$224),0),
IF('TL16'!$B$229=N$3,SUMIF('TL16'!$C$238:$C$451,$C53,'TL16'!$J$238:$J$451),0),
IF('TL17'!$B$3=N$3,SUMIF('TL17'!$C$10:$C$224,$C53,'TL17'!$J$10:$J$224),0),
IF('TL17'!$B$229=N$3,SUMIF('TL17'!$C$238:$C$451,$C53,'TL17'!$J$238:$J$451),0),
IF('TL18'!$B$3=N$3,SUMIF('TL18'!$C$10:$C$224,$C53,'TL18'!$J$10:$J$224),0),
IF('TL18'!$B$229=N$3,SUMIF('TL18'!$C$238:$C$451,$C53,'TL18'!$J$238:$J$451),0),
IF('TL19'!$B$3=N$3,SUMIF('TL19'!$C$10:$C$224,$C53,'TL19'!$J$10:$J$224),0),
IF('TL19'!$B$229=N$3,SUMIF('TL19'!$C$238:$C$451,$C53,'TL19'!$J$238:$J$451),0)
),0)</f>
        <v>0</v>
      </c>
      <c r="O53" s="9">
        <f>IFERROR(SUM(
IF('TL01'!$B$3=O$3,SUMIF('TL01'!$C$10:$C$224,$C53,'TL01'!$J$10:$J$224),0),
IF('TL01'!$B$229=O$3,SUMIF('TL01'!$C$238:$C$451,$C53,'TL01'!$J$238:$J$451),0),
IF('TL02'!$B$3=O$3,SUMIF('TL02'!$C$10:$C$224,$C53,'TL02'!$J$10:$J$224),0),
IF('TL02'!$B$229=O$3,SUMIF('TL02'!$C$238:$C$451,$C53,'TL02'!$J$238:$J$451),0),
IF('TL03'!$B$3=O$3,SUMIF('TL03'!$C$10:$C$224,$C53,'TL03'!$J$10:$J$224),0),
IF('TL03'!$B$229=O$3,SUMIF('TL03'!$C$238:$C$451,$C53,'TL03'!$J$238:$J$451),0),
IF('TL04'!$B$3=O$3,SUMIF('TL04'!$C$10:$C$224,$C53,'TL04'!$J$10:$J$224),0),
IF('TL04'!$B$229=O$3,SUMIF('TL04'!$C$238:$C$451,$C53,'TL04'!$J$238:$J$451),0),
IF('TL05'!$B$3=O$3,SUMIF('TL05'!$C$10:$C$224,$C53,'TL05'!$J$10:$J$224),0),
IF('TL05'!$B$229=O$3,SUMIF('TL05'!$C$238:$C$451,$C53,'TL05'!$J$238:$J$451),0),
IF('TL06'!$B$3=O$3,SUMIF('TL06'!$C$10:$C$224,$C53,'TL06'!$J$10:$J$224),0),
IF('TL06'!$B$229=O$3,SUMIF('TL06'!$C$238:$C$451,$C53,'TL06'!$J$238:$J$451),0),
IF('TL07'!$B$3=O$3,SUMIF('TL07'!$C$10:$C$224,$C53,'TL07'!$J$10:$J$224),0),
IF('TL07'!$B$229=O$3,SUMIF('TL07'!$C$238:$C$451,$C53,'TL07'!$J$238:$J$451),0),
IF('TL08'!$B$3=O$3,SUMIF('TL08'!$C$10:$C$224,$C53,'TL08'!$J$10:$J$224),0),
IF('TL08'!$B$229=O$3,SUMIF('TL08'!$C$238:$C$451,$C53,'TL08'!$J$238:$J$451),0),
IF('TL09'!$B$3=O$3,SUMIF('TL09'!$C$10:$C$224,$C53,'TL09'!$J$10:$J$224),0),
IF('TL09'!$B$229=O$3,SUMIF('TL09'!$C$238:$C$451,$C53,'TL09'!$J$238:$J$451),0),
IF('TL10'!$B$3=O$3,SUMIF('TL10'!$C$10:$C$224,$C53,'TL10'!$J$10:$J$224),0),
IF('TL10'!$B$229=O$3,SUMIF('TL10'!$C$238:$C$451,$C53,'TL10'!$J$238:$J$451),0),
IF('TL11'!$B$3=O$3,SUMIF('TL11'!$C$10:$C$224,$C53,'TL11'!$J$10:$J$224),0),
IF('TL11'!$B$229=O$3,SUMIF('TL11'!$C$238:$C$451,$C53,'TL11'!$J$238:$J$451),0),
IF('TL12'!$B$3=O$3,SUMIF('TL12'!$C$10:$C$224,$C53,'TL12'!$J$10:$J$224),0),
IF('TL12'!$B$229=O$3,SUMIF('TL12'!$C$238:$C$451,$C53,'TL12'!$J$238:$J$451),0),
IF('TL13'!$B$3=O$3,SUMIF('TL13'!$C$10:$C$224,$C53,'TL13'!$J$10:$J$224),0),
IF('TL13'!$B$229=O$3,SUMIF('TL13'!$C$238:$C$451,$C53,'TL13'!$J$238:$J$451),0),
IF('TL14'!$B$3=O$3,SUMIF('TL14'!$C$10:$C$224,$C53,'TL14'!$J$10:$J$224),0),
IF('TL14'!$B$229=O$3,SUMIF('TL14'!$C$238:$C$451,$C53,'TL14'!$J$238:$J$451),0),
IF('TL15'!$B$3=O$3,SUMIF('TL15'!$C$10:$C$224,$C53,'TL15'!$J$10:$J$224),0),
IF('TL15'!$B$229=O$3,SUMIF('TL15'!$C$238:$C$451,$C53,'TL15'!$J$238:$J$451),0),
IF('TL16'!$B$3=O$3,SUMIF('TL16'!$C$10:$C$224,$C53,'TL16'!$J$10:$J$224),0),
IF('TL16'!$B$229=O$3,SUMIF('TL16'!$C$238:$C$451,$C53,'TL16'!$J$238:$J$451),0),
IF('TL17'!$B$3=O$3,SUMIF('TL17'!$C$10:$C$224,$C53,'TL17'!$J$10:$J$224),0),
IF('TL17'!$B$229=O$3,SUMIF('TL17'!$C$238:$C$451,$C53,'TL17'!$J$238:$J$451),0),
IF('TL18'!$B$3=O$3,SUMIF('TL18'!$C$10:$C$224,$C53,'TL18'!$J$10:$J$224),0),
IF('TL18'!$B$229=O$3,SUMIF('TL18'!$C$238:$C$451,$C53,'TL18'!$J$238:$J$451),0),
IF('TL19'!$B$3=O$3,SUMIF('TL19'!$C$10:$C$224,$C53,'TL19'!$J$10:$J$224),0),
IF('TL19'!$B$229=O$3,SUMIF('TL19'!$C$238:$C$451,$C53,'TL19'!$J$238:$J$451),0)
),0)</f>
        <v>220</v>
      </c>
      <c r="P53" s="9">
        <f>IFERROR(SUM(
IF('TL01'!$B$3=P$3,SUMIF('TL01'!$C$10:$C$224,$C53,'TL01'!$J$10:$J$224),0),
IF('TL01'!$B$229=P$3,SUMIF('TL01'!$C$238:$C$451,$C53,'TL01'!$J$238:$J$451),0),
IF('TL02'!$B$3=P$3,SUMIF('TL02'!$C$10:$C$224,$C53,'TL02'!$J$10:$J$224),0),
IF('TL02'!$B$229=P$3,SUMIF('TL02'!$C$238:$C$451,$C53,'TL02'!$J$238:$J$451),0),
IF('TL03'!$B$3=P$3,SUMIF('TL03'!$C$10:$C$224,$C53,'TL03'!$J$10:$J$224),0),
IF('TL03'!$B$229=P$3,SUMIF('TL03'!$C$238:$C$451,$C53,'TL03'!$J$238:$J$451),0),
IF('TL04'!$B$3=P$3,SUMIF('TL04'!$C$10:$C$224,$C53,'TL04'!$J$10:$J$224),0),
IF('TL04'!$B$229=P$3,SUMIF('TL04'!$C$238:$C$451,$C53,'TL04'!$J$238:$J$451),0),
IF('TL05'!$B$3=P$3,SUMIF('TL05'!$C$10:$C$224,$C53,'TL05'!$J$10:$J$224),0),
IF('TL05'!$B$229=P$3,SUMIF('TL05'!$C$238:$C$451,$C53,'TL05'!$J$238:$J$451),0),
IF('TL06'!$B$3=P$3,SUMIF('TL06'!$C$10:$C$224,$C53,'TL06'!$J$10:$J$224),0),
IF('TL06'!$B$229=P$3,SUMIF('TL06'!$C$238:$C$451,$C53,'TL06'!$J$238:$J$451),0),
IF('TL07'!$B$3=P$3,SUMIF('TL07'!$C$10:$C$224,$C53,'TL07'!$J$10:$J$224),0),
IF('TL07'!$B$229=P$3,SUMIF('TL07'!$C$238:$C$451,$C53,'TL07'!$J$238:$J$451),0),
IF('TL08'!$B$3=P$3,SUMIF('TL08'!$C$10:$C$224,$C53,'TL08'!$J$10:$J$224),0),
IF('TL08'!$B$229=P$3,SUMIF('TL08'!$C$238:$C$451,$C53,'TL08'!$J$238:$J$451),0),
IF('TL09'!$B$3=P$3,SUMIF('TL09'!$C$10:$C$224,$C53,'TL09'!$J$10:$J$224),0),
IF('TL09'!$B$229=P$3,SUMIF('TL09'!$C$238:$C$451,$C53,'TL09'!$J$238:$J$451),0),
IF('TL10'!$B$3=P$3,SUMIF('TL10'!$C$10:$C$224,$C53,'TL10'!$J$10:$J$224),0),
IF('TL10'!$B$229=P$3,SUMIF('TL10'!$C$238:$C$451,$C53,'TL10'!$J$238:$J$451),0),
IF('TL11'!$B$3=P$3,SUMIF('TL11'!$C$10:$C$224,$C53,'TL11'!$J$10:$J$224),0),
IF('TL11'!$B$229=P$3,SUMIF('TL11'!$C$238:$C$451,$C53,'TL11'!$J$238:$J$451),0),
IF('TL12'!$B$3=P$3,SUMIF('TL12'!$C$10:$C$224,$C53,'TL12'!$J$10:$J$224),0),
IF('TL12'!$B$229=P$3,SUMIF('TL12'!$C$238:$C$451,$C53,'TL12'!$J$238:$J$451),0),
IF('TL13'!$B$3=P$3,SUMIF('TL13'!$C$10:$C$224,$C53,'TL13'!$J$10:$J$224),0),
IF('TL13'!$B$229=P$3,SUMIF('TL13'!$C$238:$C$451,$C53,'TL13'!$J$238:$J$451),0),
IF('TL14'!$B$3=P$3,SUMIF('TL14'!$C$10:$C$224,$C53,'TL14'!$J$10:$J$224),0),
IF('TL14'!$B$229=P$3,SUMIF('TL14'!$C$238:$C$451,$C53,'TL14'!$J$238:$J$451),0),
IF('TL15'!$B$3=P$3,SUMIF('TL15'!$C$10:$C$224,$C53,'TL15'!$J$10:$J$224),0),
IF('TL15'!$B$229=P$3,SUMIF('TL15'!$C$238:$C$451,$C53,'TL15'!$J$238:$J$451),0),
IF('TL16'!$B$3=P$3,SUMIF('TL16'!$C$10:$C$224,$C53,'TL16'!$J$10:$J$224),0),
IF('TL16'!$B$229=P$3,SUMIF('TL16'!$C$238:$C$451,$C53,'TL16'!$J$238:$J$451),0),
IF('TL17'!$B$3=P$3,SUMIF('TL17'!$C$10:$C$224,$C53,'TL17'!$J$10:$J$224),0),
IF('TL17'!$B$229=P$3,SUMIF('TL17'!$C$238:$C$451,$C53,'TL17'!$J$238:$J$451),0),
IF('TL18'!$B$3=P$3,SUMIF('TL18'!$C$10:$C$224,$C53,'TL18'!$J$10:$J$224),0),
IF('TL18'!$B$229=P$3,SUMIF('TL18'!$C$238:$C$451,$C53,'TL18'!$J$238:$J$451),0),
IF('TL19'!$B$3=P$3,SUMIF('TL19'!$C$10:$C$224,$C53,'TL19'!$J$10:$J$224),0),
IF('TL19'!$B$229=P$3,SUMIF('TL19'!$C$238:$C$451,$C53,'TL19'!$J$238:$J$451),0)
),0)</f>
        <v>187.8</v>
      </c>
      <c r="Q53" s="9">
        <f>IFERROR(SUM(
IF('TL01'!$B$3=Q$3,SUMIF('TL01'!$C$10:$C$224,$C53,'TL01'!$J$10:$J$224),0),
IF('TL01'!$B$229=Q$3,SUMIF('TL01'!$C$238:$C$451,$C53,'TL01'!$J$238:$J$451),0),
IF('TL02'!$B$3=Q$3,SUMIF('TL02'!$C$10:$C$224,$C53,'TL02'!$J$10:$J$224),0),
IF('TL02'!$B$229=Q$3,SUMIF('TL02'!$C$238:$C$451,$C53,'TL02'!$J$238:$J$451),0),
IF('TL03'!$B$3=Q$3,SUMIF('TL03'!$C$10:$C$224,$C53,'TL03'!$J$10:$J$224),0),
IF('TL03'!$B$229=Q$3,SUMIF('TL03'!$C$238:$C$451,$C53,'TL03'!$J$238:$J$451),0),
IF('TL04'!$B$3=Q$3,SUMIF('TL04'!$C$10:$C$224,$C53,'TL04'!$J$10:$J$224),0),
IF('TL04'!$B$229=Q$3,SUMIF('TL04'!$C$238:$C$451,$C53,'TL04'!$J$238:$J$451),0),
IF('TL05'!$B$3=Q$3,SUMIF('TL05'!$C$10:$C$224,$C53,'TL05'!$J$10:$J$224),0),
IF('TL05'!$B$229=Q$3,SUMIF('TL05'!$C$238:$C$451,$C53,'TL05'!$J$238:$J$451),0),
IF('TL06'!$B$3=Q$3,SUMIF('TL06'!$C$10:$C$224,$C53,'TL06'!$J$10:$J$224),0),
IF('TL06'!$B$229=Q$3,SUMIF('TL06'!$C$238:$C$451,$C53,'TL06'!$J$238:$J$451),0),
IF('TL07'!$B$3=Q$3,SUMIF('TL07'!$C$10:$C$224,$C53,'TL07'!$J$10:$J$224),0),
IF('TL07'!$B$229=Q$3,SUMIF('TL07'!$C$238:$C$451,$C53,'TL07'!$J$238:$J$451),0),
IF('TL08'!$B$3=Q$3,SUMIF('TL08'!$C$10:$C$224,$C53,'TL08'!$J$10:$J$224),0),
IF('TL08'!$B$229=Q$3,SUMIF('TL08'!$C$238:$C$451,$C53,'TL08'!$J$238:$J$451),0),
IF('TL09'!$B$3=Q$3,SUMIF('TL09'!$C$10:$C$224,$C53,'TL09'!$J$10:$J$224),0),
IF('TL09'!$B$229=Q$3,SUMIF('TL09'!$C$238:$C$451,$C53,'TL09'!$J$238:$J$451),0),
IF('TL10'!$B$3=Q$3,SUMIF('TL10'!$C$10:$C$224,$C53,'TL10'!$J$10:$J$224),0),
IF('TL10'!$B$229=Q$3,SUMIF('TL10'!$C$238:$C$451,$C53,'TL10'!$J$238:$J$451),0),
IF('TL11'!$B$3=Q$3,SUMIF('TL11'!$C$10:$C$224,$C53,'TL11'!$J$10:$J$224),0),
IF('TL11'!$B$229=Q$3,SUMIF('TL11'!$C$238:$C$451,$C53,'TL11'!$J$238:$J$451),0),
IF('TL12'!$B$3=Q$3,SUMIF('TL12'!$C$10:$C$224,$C53,'TL12'!$J$10:$J$224),0),
IF('TL12'!$B$229=Q$3,SUMIF('TL12'!$C$238:$C$451,$C53,'TL12'!$J$238:$J$451),0),
IF('TL13'!$B$3=Q$3,SUMIF('TL13'!$C$10:$C$224,$C53,'TL13'!$J$10:$J$224),0),
IF('TL13'!$B$229=Q$3,SUMIF('TL13'!$C$238:$C$451,$C53,'TL13'!$J$238:$J$451),0),
IF('TL14'!$B$3=Q$3,SUMIF('TL14'!$C$10:$C$224,$C53,'TL14'!$J$10:$J$224),0),
IF('TL14'!$B$229=Q$3,SUMIF('TL14'!$C$238:$C$451,$C53,'TL14'!$J$238:$J$451),0),
IF('TL15'!$B$3=Q$3,SUMIF('TL15'!$C$10:$C$224,$C53,'TL15'!$J$10:$J$224),0),
IF('TL15'!$B$229=Q$3,SUMIF('TL15'!$C$238:$C$451,$C53,'TL15'!$J$238:$J$451),0),
IF('TL16'!$B$3=Q$3,SUMIF('TL16'!$C$10:$C$224,$C53,'TL16'!$J$10:$J$224),0),
IF('TL16'!$B$229=Q$3,SUMIF('TL16'!$C$238:$C$451,$C53,'TL16'!$J$238:$J$451),0),
IF('TL17'!$B$3=Q$3,SUMIF('TL17'!$C$10:$C$224,$C53,'TL17'!$J$10:$J$224),0),
IF('TL17'!$B$229=Q$3,SUMIF('TL17'!$C$238:$C$451,$C53,'TL17'!$J$238:$J$451),0),
IF('TL18'!$B$3=Q$3,SUMIF('TL18'!$C$10:$C$224,$C53,'TL18'!$J$10:$J$224),0),
IF('TL18'!$B$229=Q$3,SUMIF('TL18'!$C$238:$C$451,$C53,'TL18'!$J$238:$J$451),0),
IF('TL19'!$B$3=Q$3,SUMIF('TL19'!$C$10:$C$224,$C53,'TL19'!$J$10:$J$224),0),
IF('TL19'!$B$229=Q$3,SUMIF('TL19'!$C$238:$C$451,$C53,'TL19'!$J$238:$J$451),0)
),0)</f>
        <v>0</v>
      </c>
      <c r="R53" s="9">
        <f>IFERROR(
SUM(
SUMIF('TL01'!C:C,C53,'TL01'!J:J),
SUMIF('TL02'!C:C,C53,'TL02'!J:J),
SUMIF('TL03'!C:C,C53,'TL03'!J:J),
SUMIF('TL04'!C:C,C53,'TL04'!J:J),
SUMIF('TL05'!C:C,C53,'TL05'!J:J),
SUMIF('TL06'!C:C,C53,'TL06'!J:J),
SUMIF('TL07'!C:C,C53,'TL07'!J:J),
SUMIF('TL08'!C:C,C53,'TL08'!J:J),
SUMIF('TL09'!C:C,C53,'TL09'!J:J),
SUMIF('TL10'!C:C,C53,'TL10'!J:J),
SUMIF('TL11'!C:C,C53,'TL11'!J:J),
SUMIF('TL12'!C:C,C53,'TL12'!J:J),
SUMIF('TL13'!C:C,C53,'TL13'!J:J),
SUMIF('TL14'!C:C,C53,'TL14'!J:J),
SUMIF('TL15'!C:C,C53,'TL15'!J:J),
SUMIF('TL16'!C:C,C53,'TL16'!J:J),
SUMIF('TL17'!C:C,C53,'TL17'!J:J),
SUMIF('TL18'!C:C,C53,'TL18'!J:J),SUMIF('TL19'!C:C,C53,'TL19'!J:J))
,0)</f>
        <v>407.8</v>
      </c>
      <c r="S53" s="17">
        <f>IFERROR(__xludf.DUMMYFUNCTION("IFERROR(VLOOKUP(C53,
IMPORTRANGE(""1wULbzX32WdYsx-lj2U3uUNBBe2INVIRDtcK0d-Dvl90"",
""26-27!C:G""),
5,
FALSE),
"""")"),61.79184000000001)</f>
        <v>61.79184</v>
      </c>
      <c r="T53" s="9">
        <v>780.0</v>
      </c>
      <c r="U53" s="92">
        <f t="shared" si="2"/>
        <v>-372.2</v>
      </c>
      <c r="V53" s="93">
        <f t="shared" si="3"/>
        <v>-22998.92285</v>
      </c>
    </row>
    <row r="54" ht="15.75" hidden="1" customHeight="1">
      <c r="A54" s="115" t="s">
        <v>350</v>
      </c>
      <c r="B54" s="100" t="s">
        <v>0</v>
      </c>
      <c r="C54" s="116" t="s">
        <v>473</v>
      </c>
      <c r="D54" s="116" t="s">
        <v>474</v>
      </c>
      <c r="E54" s="116" t="s">
        <v>475</v>
      </c>
      <c r="F54" s="4" t="s">
        <v>343</v>
      </c>
      <c r="G54" s="90" t="str">
        <f t="shared" si="4"/>
        <v>📄 Ver bula</v>
      </c>
      <c r="H54" s="9">
        <f>IFERROR(__xludf.DUMMYFUNCTION("IFERROR(VLOOKUP(C54,
IMPORTRANGE(""1wULbzX32WdYsx-lj2U3uUNBBe2INVIRDtcK0d-Dvl90"",
""26-27!C:K""),
8,
FALSE),
"""")"),1.0)</f>
        <v>1</v>
      </c>
      <c r="I54" s="117" t="s">
        <v>361</v>
      </c>
      <c r="J54" s="9">
        <f>IFERROR(SUM(
IF('TL01'!$B$3=J$3,SUMIF('TL01'!$C$10:$C$224,$C54,'TL01'!$J$10:$J$224),0),
IF('TL01'!$B$229=J$3,SUMIF('TL01'!$C$238:$C$451,$C54,'TL01'!$J$238:$J$451),0),
IF('TL02'!$B$3=J$3,SUMIF('TL02'!$C$10:$C$224,$C54,'TL02'!$J$10:$J$224),0),
IF('TL02'!$B$229=J$3,SUMIF('TL02'!$C$238:$C$451,$C54,'TL02'!$J$238:$J$451),0),
IF('TL03'!$B$3=J$3,SUMIF('TL03'!$C$10:$C$224,$C54,'TL03'!$J$10:$J$224),0),
IF('TL03'!$B$229=J$3,SUMIF('TL03'!$C$238:$C$451,$C54,'TL03'!$J$238:$J$451),0),
IF('TL04'!$B$3=J$3,SUMIF('TL04'!$C$10:$C$224,$C54,'TL04'!$J$10:$J$224),0),
IF('TL04'!$B$229=J$3,SUMIF('TL04'!$C$238:$C$451,$C54,'TL04'!$J$238:$J$451),0),
IF('TL05'!$B$3=J$3,SUMIF('TL05'!$C$10:$C$224,$C54,'TL05'!$J$10:$J$224),0),
IF('TL05'!$B$229=J$3,SUMIF('TL05'!$C$238:$C$451,$C54,'TL05'!$J$238:$J$451),0),
IF('TL06'!$B$3=J$3,SUMIF('TL06'!$C$10:$C$224,$C54,'TL06'!$J$10:$J$224),0),
IF('TL06'!$B$229=J$3,SUMIF('TL06'!$C$238:$C$451,$C54,'TL06'!$J$238:$J$451),0),
IF('TL07'!$B$3=J$3,SUMIF('TL07'!$C$10:$C$224,$C54,'TL07'!$J$10:$J$224),0),
IF('TL07'!$B$229=J$3,SUMIF('TL07'!$C$238:$C$451,$C54,'TL07'!$J$238:$J$451),0),
IF('TL08'!$B$3=J$3,SUMIF('TL08'!$C$10:$C$224,$C54,'TL08'!$J$10:$J$224),0),
IF('TL08'!$B$229=J$3,SUMIF('TL08'!$C$238:$C$451,$C54,'TL08'!$J$238:$J$451),0),
IF('TL09'!$B$3=J$3,SUMIF('TL09'!$C$10:$C$224,$C54,'TL09'!$J$10:$J$224),0),
IF('TL09'!$B$229=J$3,SUMIF('TL09'!$C$238:$C$451,$C54,'TL09'!$J$238:$J$451),0),
IF('TL10'!$B$3=J$3,SUMIF('TL10'!$C$10:$C$224,$C54,'TL10'!$J$10:$J$224),0),
IF('TL10'!$B$229=J$3,SUMIF('TL10'!$C$238:$C$451,$C54,'TL10'!$J$238:$J$451),0),
IF('TL11'!$B$3=J$3,SUMIF('TL11'!$C$10:$C$224,$C54,'TL11'!$J$10:$J$224),0),
IF('TL11'!$B$229=J$3,SUMIF('TL11'!$C$238:$C$451,$C54,'TL11'!$J$238:$J$451),0),
IF('TL12'!$B$3=J$3,SUMIF('TL12'!$C$10:$C$224,$C54,'TL12'!$J$10:$J$224),0),
IF('TL12'!$B$229=J$3,SUMIF('TL12'!$C$238:$C$451,$C54,'TL12'!$J$238:$J$451),0),
IF('TL13'!$B$3=J$3,SUMIF('TL13'!$C$10:$C$224,$C54,'TL13'!$J$10:$J$224),0),
IF('TL13'!$B$229=J$3,SUMIF('TL13'!$C$238:$C$451,$C54,'TL13'!$J$238:$J$451),0),
IF('TL14'!$B$3=J$3,SUMIF('TL14'!$C$10:$C$224,$C54,'TL14'!$J$10:$J$224),0),
IF('TL14'!$B$229=J$3,SUMIF('TL14'!$C$238:$C$451,$C54,'TL14'!$J$238:$J$451),0),
IF('TL15'!$B$3=J$3,SUMIF('TL15'!$C$10:$C$224,$C54,'TL15'!$J$10:$J$224),0),
IF('TL15'!$B$229=J$3,SUMIF('TL15'!$C$238:$C$451,$C54,'TL15'!$J$238:$J$451),0),
IF('TL16'!$B$3=J$3,SUMIF('TL16'!$C$10:$C$224,$C54,'TL16'!$J$10:$J$224),0),
IF('TL16'!$B$229=J$3,SUMIF('TL16'!$C$238:$C$451,$C54,'TL16'!$J$238:$J$451),0),
IF('TL17'!$B$3=J$3,SUMIF('TL17'!$C$10:$C$224,$C54,'TL17'!$J$10:$J$224),0),
IF('TL17'!$B$229=J$3,SUMIF('TL17'!$C$238:$C$451,$C54,'TL17'!$J$238:$J$451),0),
IF('TL18'!$B$3=J$3,SUMIF('TL18'!$C$10:$C$224,$C54,'TL18'!$J$10:$J$224),0),
IF('TL18'!$B$229=J$3,SUMIF('TL18'!$C$238:$C$451,$C54,'TL18'!$J$238:$J$451),0),
IF('TL19'!$B$3=J$3,SUMIF('TL19'!$C$10:$C$224,$C54,'TL19'!$J$10:$J$224),0),
IF('TL19'!$B$229=J$3,SUMIF('TL19'!$C$238:$C$451,$C54,'TL19'!$J$238:$J$451),0)
),0)</f>
        <v>0</v>
      </c>
      <c r="K54" s="9">
        <f>IFERROR(SUM(
IF('TL01'!$B$3=K$3,SUMIF('TL01'!$C$10:$C$224,$C54,'TL01'!$J$10:$J$224),0),
IF('TL01'!$B$229=K$3,SUMIF('TL01'!$C$238:$C$451,$C54,'TL01'!$J$238:$J$451),0),
IF('TL02'!$B$3=K$3,SUMIF('TL02'!$C$10:$C$224,$C54,'TL02'!$J$10:$J$224),0),
IF('TL02'!$B$229=K$3,SUMIF('TL02'!$C$238:$C$451,$C54,'TL02'!$J$238:$J$451),0),
IF('TL03'!$B$3=K$3,SUMIF('TL03'!$C$10:$C$224,$C54,'TL03'!$J$10:$J$224),0),
IF('TL03'!$B$229=K$3,SUMIF('TL03'!$C$238:$C$451,$C54,'TL03'!$J$238:$J$451),0),
IF('TL04'!$B$3=K$3,SUMIF('TL04'!$C$10:$C$224,$C54,'TL04'!$J$10:$J$224),0),
IF('TL04'!$B$229=K$3,SUMIF('TL04'!$C$238:$C$451,$C54,'TL04'!$J$238:$J$451),0),
IF('TL05'!$B$3=K$3,SUMIF('TL05'!$C$10:$C$224,$C54,'TL05'!$J$10:$J$224),0),
IF('TL05'!$B$229=K$3,SUMIF('TL05'!$C$238:$C$451,$C54,'TL05'!$J$238:$J$451),0),
IF('TL06'!$B$3=K$3,SUMIF('TL06'!$C$10:$C$224,$C54,'TL06'!$J$10:$J$224),0),
IF('TL06'!$B$229=K$3,SUMIF('TL06'!$C$238:$C$451,$C54,'TL06'!$J$238:$J$451),0),
IF('TL07'!$B$3=K$3,SUMIF('TL07'!$C$10:$C$224,$C54,'TL07'!$J$10:$J$224),0),
IF('TL07'!$B$229=K$3,SUMIF('TL07'!$C$238:$C$451,$C54,'TL07'!$J$238:$J$451),0),
IF('TL08'!$B$3=K$3,SUMIF('TL08'!$C$10:$C$224,$C54,'TL08'!$J$10:$J$224),0),
IF('TL08'!$B$229=K$3,SUMIF('TL08'!$C$238:$C$451,$C54,'TL08'!$J$238:$J$451),0),
IF('TL09'!$B$3=K$3,SUMIF('TL09'!$C$10:$C$224,$C54,'TL09'!$J$10:$J$224),0),
IF('TL09'!$B$229=K$3,SUMIF('TL09'!$C$238:$C$451,$C54,'TL09'!$J$238:$J$451),0),
IF('TL10'!$B$3=K$3,SUMIF('TL10'!$C$10:$C$224,$C54,'TL10'!$J$10:$J$224),0),
IF('TL10'!$B$229=K$3,SUMIF('TL10'!$C$238:$C$451,$C54,'TL10'!$J$238:$J$451),0),
IF('TL11'!$B$3=K$3,SUMIF('TL11'!$C$10:$C$224,$C54,'TL11'!$J$10:$J$224),0),
IF('TL11'!$B$229=K$3,SUMIF('TL11'!$C$238:$C$451,$C54,'TL11'!$J$238:$J$451),0),
IF('TL12'!$B$3=K$3,SUMIF('TL12'!$C$10:$C$224,$C54,'TL12'!$J$10:$J$224),0),
IF('TL12'!$B$229=K$3,SUMIF('TL12'!$C$238:$C$451,$C54,'TL12'!$J$238:$J$451),0),
IF('TL13'!$B$3=K$3,SUMIF('TL13'!$C$10:$C$224,$C54,'TL13'!$J$10:$J$224),0),
IF('TL13'!$B$229=K$3,SUMIF('TL13'!$C$238:$C$451,$C54,'TL13'!$J$238:$J$451),0),
IF('TL14'!$B$3=K$3,SUMIF('TL14'!$C$10:$C$224,$C54,'TL14'!$J$10:$J$224),0),
IF('TL14'!$B$229=K$3,SUMIF('TL14'!$C$238:$C$451,$C54,'TL14'!$J$238:$J$451),0),
IF('TL15'!$B$3=K$3,SUMIF('TL15'!$C$10:$C$224,$C54,'TL15'!$J$10:$J$224),0),
IF('TL15'!$B$229=K$3,SUMIF('TL15'!$C$238:$C$451,$C54,'TL15'!$J$238:$J$451),0),
IF('TL16'!$B$3=K$3,SUMIF('TL16'!$C$10:$C$224,$C54,'TL16'!$J$10:$J$224),0),
IF('TL16'!$B$229=K$3,SUMIF('TL16'!$C$238:$C$451,$C54,'TL16'!$J$238:$J$451),0),
IF('TL17'!$B$3=K$3,SUMIF('TL17'!$C$10:$C$224,$C54,'TL17'!$J$10:$J$224),0),
IF('TL17'!$B$229=K$3,SUMIF('TL17'!$C$238:$C$451,$C54,'TL17'!$J$238:$J$451),0),
IF('TL18'!$B$3=K$3,SUMIF('TL18'!$C$10:$C$224,$C54,'TL18'!$J$10:$J$224),0),
IF('TL18'!$B$229=K$3,SUMIF('TL18'!$C$238:$C$451,$C54,'TL18'!$J$238:$J$451),0),
IF('TL19'!$B$3=K$3,SUMIF('TL19'!$C$10:$C$224,$C54,'TL19'!$J$10:$J$224),0),
IF('TL19'!$B$229=K$3,SUMIF('TL19'!$C$238:$C$451,$C54,'TL19'!$J$238:$J$451),0)
),0)</f>
        <v>0</v>
      </c>
      <c r="L54" s="9">
        <f>IFERROR(SUM(
IF('TL01'!$B$3=L$3,SUMIF('TL01'!$C$10:$C$224,$C54,'TL01'!$J$10:$J$224),0),
IF('TL01'!$B$229=L$3,SUMIF('TL01'!$C$238:$C$451,$C54,'TL01'!$J$238:$J$451),0),
IF('TL02'!$B$3=L$3,SUMIF('TL02'!$C$10:$C$224,$C54,'TL02'!$J$10:$J$224),0),
IF('TL02'!$B$229=L$3,SUMIF('TL02'!$C$238:$C$451,$C54,'TL02'!$J$238:$J$451),0),
IF('TL03'!$B$3=L$3,SUMIF('TL03'!$C$10:$C$224,$C54,'TL03'!$J$10:$J$224),0),
IF('TL03'!$B$229=L$3,SUMIF('TL03'!$C$238:$C$451,$C54,'TL03'!$J$238:$J$451),0),
IF('TL04'!$B$3=L$3,SUMIF('TL04'!$C$10:$C$224,$C54,'TL04'!$J$10:$J$224),0),
IF('TL04'!$B$229=L$3,SUMIF('TL04'!$C$238:$C$451,$C54,'TL04'!$J$238:$J$451),0),
IF('TL05'!$B$3=L$3,SUMIF('TL05'!$C$10:$C$224,$C54,'TL05'!$J$10:$J$224),0),
IF('TL05'!$B$229=L$3,SUMIF('TL05'!$C$238:$C$451,$C54,'TL05'!$J$238:$J$451),0),
IF('TL06'!$B$3=L$3,SUMIF('TL06'!$C$10:$C$224,$C54,'TL06'!$J$10:$J$224),0),
IF('TL06'!$B$229=L$3,SUMIF('TL06'!$C$238:$C$451,$C54,'TL06'!$J$238:$J$451),0),
IF('TL07'!$B$3=L$3,SUMIF('TL07'!$C$10:$C$224,$C54,'TL07'!$J$10:$J$224),0),
IF('TL07'!$B$229=L$3,SUMIF('TL07'!$C$238:$C$451,$C54,'TL07'!$J$238:$J$451),0),
IF('TL08'!$B$3=L$3,SUMIF('TL08'!$C$10:$C$224,$C54,'TL08'!$J$10:$J$224),0),
IF('TL08'!$B$229=L$3,SUMIF('TL08'!$C$238:$C$451,$C54,'TL08'!$J$238:$J$451),0),
IF('TL09'!$B$3=L$3,SUMIF('TL09'!$C$10:$C$224,$C54,'TL09'!$J$10:$J$224),0),
IF('TL09'!$B$229=L$3,SUMIF('TL09'!$C$238:$C$451,$C54,'TL09'!$J$238:$J$451),0),
IF('TL10'!$B$3=L$3,SUMIF('TL10'!$C$10:$C$224,$C54,'TL10'!$J$10:$J$224),0),
IF('TL10'!$B$229=L$3,SUMIF('TL10'!$C$238:$C$451,$C54,'TL10'!$J$238:$J$451),0),
IF('TL11'!$B$3=L$3,SUMIF('TL11'!$C$10:$C$224,$C54,'TL11'!$J$10:$J$224),0),
IF('TL11'!$B$229=L$3,SUMIF('TL11'!$C$238:$C$451,$C54,'TL11'!$J$238:$J$451),0),
IF('TL12'!$B$3=L$3,SUMIF('TL12'!$C$10:$C$224,$C54,'TL12'!$J$10:$J$224),0),
IF('TL12'!$B$229=L$3,SUMIF('TL12'!$C$238:$C$451,$C54,'TL12'!$J$238:$J$451),0),
IF('TL13'!$B$3=L$3,SUMIF('TL13'!$C$10:$C$224,$C54,'TL13'!$J$10:$J$224),0),
IF('TL13'!$B$229=L$3,SUMIF('TL13'!$C$238:$C$451,$C54,'TL13'!$J$238:$J$451),0),
IF('TL14'!$B$3=L$3,SUMIF('TL14'!$C$10:$C$224,$C54,'TL14'!$J$10:$J$224),0),
IF('TL14'!$B$229=L$3,SUMIF('TL14'!$C$238:$C$451,$C54,'TL14'!$J$238:$J$451),0),
IF('TL15'!$B$3=L$3,SUMIF('TL15'!$C$10:$C$224,$C54,'TL15'!$J$10:$J$224),0),
IF('TL15'!$B$229=L$3,SUMIF('TL15'!$C$238:$C$451,$C54,'TL15'!$J$238:$J$451),0),
IF('TL16'!$B$3=L$3,SUMIF('TL16'!$C$10:$C$224,$C54,'TL16'!$J$10:$J$224),0),
IF('TL16'!$B$229=L$3,SUMIF('TL16'!$C$238:$C$451,$C54,'TL16'!$J$238:$J$451),0),
IF('TL17'!$B$3=L$3,SUMIF('TL17'!$C$10:$C$224,$C54,'TL17'!$J$10:$J$224),0),
IF('TL17'!$B$229=L$3,SUMIF('TL17'!$C$238:$C$451,$C54,'TL17'!$J$238:$J$451),0),
IF('TL18'!$B$3=L$3,SUMIF('TL18'!$C$10:$C$224,$C54,'TL18'!$J$10:$J$224),0),
IF('TL18'!$B$229=L$3,SUMIF('TL18'!$C$238:$C$451,$C54,'TL18'!$J$238:$J$451),0),
IF('TL19'!$B$3=L$3,SUMIF('TL19'!$C$10:$C$224,$C54,'TL19'!$J$10:$J$224),0),
IF('TL19'!$B$229=L$3,SUMIF('TL19'!$C$238:$C$451,$C54,'TL19'!$J$238:$J$451),0)
),0)</f>
        <v>0</v>
      </c>
      <c r="M54" s="9">
        <f>IFERROR(SUM(
IF('TL01'!$B$3=M$3,SUMIF('TL01'!$C$10:$C$224,$C54,'TL01'!$J$10:$J$224),0),
IF('TL01'!$B$229=M$3,SUMIF('TL01'!$C$238:$C$451,$C54,'TL01'!$J$238:$J$451),0),
IF('TL02'!$B$3=M$3,SUMIF('TL02'!$C$10:$C$224,$C54,'TL02'!$J$10:$J$224),0),
IF('TL02'!$B$229=M$3,SUMIF('TL02'!$C$238:$C$451,$C54,'TL02'!$J$238:$J$451),0),
IF('TL03'!$B$3=M$3,SUMIF('TL03'!$C$10:$C$224,$C54,'TL03'!$J$10:$J$224),0),
IF('TL03'!$B$229=M$3,SUMIF('TL03'!$C$238:$C$451,$C54,'TL03'!$J$238:$J$451),0),
IF('TL04'!$B$3=M$3,SUMIF('TL04'!$C$10:$C$224,$C54,'TL04'!$J$10:$J$224),0),
IF('TL04'!$B$229=M$3,SUMIF('TL04'!$C$238:$C$451,$C54,'TL04'!$J$238:$J$451),0),
IF('TL05'!$B$3=M$3,SUMIF('TL05'!$C$10:$C$224,$C54,'TL05'!$J$10:$J$224),0),
IF('TL05'!$B$229=M$3,SUMIF('TL05'!$C$238:$C$451,$C54,'TL05'!$J$238:$J$451),0),
IF('TL06'!$B$3=M$3,SUMIF('TL06'!$C$10:$C$224,$C54,'TL06'!$J$10:$J$224),0),
IF('TL06'!$B$229=M$3,SUMIF('TL06'!$C$238:$C$451,$C54,'TL06'!$J$238:$J$451),0),
IF('TL07'!$B$3=M$3,SUMIF('TL07'!$C$10:$C$224,$C54,'TL07'!$J$10:$J$224),0),
IF('TL07'!$B$229=M$3,SUMIF('TL07'!$C$238:$C$451,$C54,'TL07'!$J$238:$J$451),0),
IF('TL08'!$B$3=M$3,SUMIF('TL08'!$C$10:$C$224,$C54,'TL08'!$J$10:$J$224),0),
IF('TL08'!$B$229=M$3,SUMIF('TL08'!$C$238:$C$451,$C54,'TL08'!$J$238:$J$451),0),
IF('TL09'!$B$3=M$3,SUMIF('TL09'!$C$10:$C$224,$C54,'TL09'!$J$10:$J$224),0),
IF('TL09'!$B$229=M$3,SUMIF('TL09'!$C$238:$C$451,$C54,'TL09'!$J$238:$J$451),0),
IF('TL10'!$B$3=M$3,SUMIF('TL10'!$C$10:$C$224,$C54,'TL10'!$J$10:$J$224),0),
IF('TL10'!$B$229=M$3,SUMIF('TL10'!$C$238:$C$451,$C54,'TL10'!$J$238:$J$451),0),
IF('TL11'!$B$3=M$3,SUMIF('TL11'!$C$10:$C$224,$C54,'TL11'!$J$10:$J$224),0),
IF('TL11'!$B$229=M$3,SUMIF('TL11'!$C$238:$C$451,$C54,'TL11'!$J$238:$J$451),0),
IF('TL12'!$B$3=M$3,SUMIF('TL12'!$C$10:$C$224,$C54,'TL12'!$J$10:$J$224),0),
IF('TL12'!$B$229=M$3,SUMIF('TL12'!$C$238:$C$451,$C54,'TL12'!$J$238:$J$451),0),
IF('TL13'!$B$3=M$3,SUMIF('TL13'!$C$10:$C$224,$C54,'TL13'!$J$10:$J$224),0),
IF('TL13'!$B$229=M$3,SUMIF('TL13'!$C$238:$C$451,$C54,'TL13'!$J$238:$J$451),0),
IF('TL14'!$B$3=M$3,SUMIF('TL14'!$C$10:$C$224,$C54,'TL14'!$J$10:$J$224),0),
IF('TL14'!$B$229=M$3,SUMIF('TL14'!$C$238:$C$451,$C54,'TL14'!$J$238:$J$451),0),
IF('TL15'!$B$3=M$3,SUMIF('TL15'!$C$10:$C$224,$C54,'TL15'!$J$10:$J$224),0),
IF('TL15'!$B$229=M$3,SUMIF('TL15'!$C$238:$C$451,$C54,'TL15'!$J$238:$J$451),0),
IF('TL16'!$B$3=M$3,SUMIF('TL16'!$C$10:$C$224,$C54,'TL16'!$J$10:$J$224),0),
IF('TL16'!$B$229=M$3,SUMIF('TL16'!$C$238:$C$451,$C54,'TL16'!$J$238:$J$451),0),
IF('TL17'!$B$3=M$3,SUMIF('TL17'!$C$10:$C$224,$C54,'TL17'!$J$10:$J$224),0),
IF('TL17'!$B$229=M$3,SUMIF('TL17'!$C$238:$C$451,$C54,'TL17'!$J$238:$J$451),0),
IF('TL18'!$B$3=M$3,SUMIF('TL18'!$C$10:$C$224,$C54,'TL18'!$J$10:$J$224),0),
IF('TL18'!$B$229=M$3,SUMIF('TL18'!$C$238:$C$451,$C54,'TL18'!$J$238:$J$451),0),
IF('TL19'!$B$3=M$3,SUMIF('TL19'!$C$10:$C$224,$C54,'TL19'!$J$10:$J$224),0),
IF('TL19'!$B$229=M$3,SUMIF('TL19'!$C$238:$C$451,$C54,'TL19'!$J$238:$J$451),0)
),0)</f>
        <v>0</v>
      </c>
      <c r="N54" s="9">
        <f>IFERROR(SUM(
IF('TL01'!$B$3=N$3,SUMIF('TL01'!$C$10:$C$224,$C54,'TL01'!$J$10:$J$224),0),
IF('TL01'!$B$229=N$3,SUMIF('TL01'!$C$238:$C$451,$C54,'TL01'!$J$238:$J$451),0),
IF('TL02'!$B$3=N$3,SUMIF('TL02'!$C$10:$C$224,$C54,'TL02'!$J$10:$J$224),0),
IF('TL02'!$B$229=N$3,SUMIF('TL02'!$C$238:$C$451,$C54,'TL02'!$J$238:$J$451),0),
IF('TL03'!$B$3=N$3,SUMIF('TL03'!$C$10:$C$224,$C54,'TL03'!$J$10:$J$224),0),
IF('TL03'!$B$229=N$3,SUMIF('TL03'!$C$238:$C$451,$C54,'TL03'!$J$238:$J$451),0),
IF('TL04'!$B$3=N$3,SUMIF('TL04'!$C$10:$C$224,$C54,'TL04'!$J$10:$J$224),0),
IF('TL04'!$B$229=N$3,SUMIF('TL04'!$C$238:$C$451,$C54,'TL04'!$J$238:$J$451),0),
IF('TL05'!$B$3=N$3,SUMIF('TL05'!$C$10:$C$224,$C54,'TL05'!$J$10:$J$224),0),
IF('TL05'!$B$229=N$3,SUMIF('TL05'!$C$238:$C$451,$C54,'TL05'!$J$238:$J$451),0),
IF('TL06'!$B$3=N$3,SUMIF('TL06'!$C$10:$C$224,$C54,'TL06'!$J$10:$J$224),0),
IF('TL06'!$B$229=N$3,SUMIF('TL06'!$C$238:$C$451,$C54,'TL06'!$J$238:$J$451),0),
IF('TL07'!$B$3=N$3,SUMIF('TL07'!$C$10:$C$224,$C54,'TL07'!$J$10:$J$224),0),
IF('TL07'!$B$229=N$3,SUMIF('TL07'!$C$238:$C$451,$C54,'TL07'!$J$238:$J$451),0),
IF('TL08'!$B$3=N$3,SUMIF('TL08'!$C$10:$C$224,$C54,'TL08'!$J$10:$J$224),0),
IF('TL08'!$B$229=N$3,SUMIF('TL08'!$C$238:$C$451,$C54,'TL08'!$J$238:$J$451),0),
IF('TL09'!$B$3=N$3,SUMIF('TL09'!$C$10:$C$224,$C54,'TL09'!$J$10:$J$224),0),
IF('TL09'!$B$229=N$3,SUMIF('TL09'!$C$238:$C$451,$C54,'TL09'!$J$238:$J$451),0),
IF('TL10'!$B$3=N$3,SUMIF('TL10'!$C$10:$C$224,$C54,'TL10'!$J$10:$J$224),0),
IF('TL10'!$B$229=N$3,SUMIF('TL10'!$C$238:$C$451,$C54,'TL10'!$J$238:$J$451),0),
IF('TL11'!$B$3=N$3,SUMIF('TL11'!$C$10:$C$224,$C54,'TL11'!$J$10:$J$224),0),
IF('TL11'!$B$229=N$3,SUMIF('TL11'!$C$238:$C$451,$C54,'TL11'!$J$238:$J$451),0),
IF('TL12'!$B$3=N$3,SUMIF('TL12'!$C$10:$C$224,$C54,'TL12'!$J$10:$J$224),0),
IF('TL12'!$B$229=N$3,SUMIF('TL12'!$C$238:$C$451,$C54,'TL12'!$J$238:$J$451),0),
IF('TL13'!$B$3=N$3,SUMIF('TL13'!$C$10:$C$224,$C54,'TL13'!$J$10:$J$224),0),
IF('TL13'!$B$229=N$3,SUMIF('TL13'!$C$238:$C$451,$C54,'TL13'!$J$238:$J$451),0),
IF('TL14'!$B$3=N$3,SUMIF('TL14'!$C$10:$C$224,$C54,'TL14'!$J$10:$J$224),0),
IF('TL14'!$B$229=N$3,SUMIF('TL14'!$C$238:$C$451,$C54,'TL14'!$J$238:$J$451),0),
IF('TL15'!$B$3=N$3,SUMIF('TL15'!$C$10:$C$224,$C54,'TL15'!$J$10:$J$224),0),
IF('TL15'!$B$229=N$3,SUMIF('TL15'!$C$238:$C$451,$C54,'TL15'!$J$238:$J$451),0),
IF('TL16'!$B$3=N$3,SUMIF('TL16'!$C$10:$C$224,$C54,'TL16'!$J$10:$J$224),0),
IF('TL16'!$B$229=N$3,SUMIF('TL16'!$C$238:$C$451,$C54,'TL16'!$J$238:$J$451),0),
IF('TL17'!$B$3=N$3,SUMIF('TL17'!$C$10:$C$224,$C54,'TL17'!$J$10:$J$224),0),
IF('TL17'!$B$229=N$3,SUMIF('TL17'!$C$238:$C$451,$C54,'TL17'!$J$238:$J$451),0),
IF('TL18'!$B$3=N$3,SUMIF('TL18'!$C$10:$C$224,$C54,'TL18'!$J$10:$J$224),0),
IF('TL18'!$B$229=N$3,SUMIF('TL18'!$C$238:$C$451,$C54,'TL18'!$J$238:$J$451),0),
IF('TL19'!$B$3=N$3,SUMIF('TL19'!$C$10:$C$224,$C54,'TL19'!$J$10:$J$224),0),
IF('TL19'!$B$229=N$3,SUMIF('TL19'!$C$238:$C$451,$C54,'TL19'!$J$238:$J$451),0)
),0)</f>
        <v>0</v>
      </c>
      <c r="O54" s="9">
        <f>IFERROR(SUM(
IF('TL01'!$B$3=O$3,SUMIF('TL01'!$C$10:$C$224,$C54,'TL01'!$J$10:$J$224),0),
IF('TL01'!$B$229=O$3,SUMIF('TL01'!$C$238:$C$451,$C54,'TL01'!$J$238:$J$451),0),
IF('TL02'!$B$3=O$3,SUMIF('TL02'!$C$10:$C$224,$C54,'TL02'!$J$10:$J$224),0),
IF('TL02'!$B$229=O$3,SUMIF('TL02'!$C$238:$C$451,$C54,'TL02'!$J$238:$J$451),0),
IF('TL03'!$B$3=O$3,SUMIF('TL03'!$C$10:$C$224,$C54,'TL03'!$J$10:$J$224),0),
IF('TL03'!$B$229=O$3,SUMIF('TL03'!$C$238:$C$451,$C54,'TL03'!$J$238:$J$451),0),
IF('TL04'!$B$3=O$3,SUMIF('TL04'!$C$10:$C$224,$C54,'TL04'!$J$10:$J$224),0),
IF('TL04'!$B$229=O$3,SUMIF('TL04'!$C$238:$C$451,$C54,'TL04'!$J$238:$J$451),0),
IF('TL05'!$B$3=O$3,SUMIF('TL05'!$C$10:$C$224,$C54,'TL05'!$J$10:$J$224),0),
IF('TL05'!$B$229=O$3,SUMIF('TL05'!$C$238:$C$451,$C54,'TL05'!$J$238:$J$451),0),
IF('TL06'!$B$3=O$3,SUMIF('TL06'!$C$10:$C$224,$C54,'TL06'!$J$10:$J$224),0),
IF('TL06'!$B$229=O$3,SUMIF('TL06'!$C$238:$C$451,$C54,'TL06'!$J$238:$J$451),0),
IF('TL07'!$B$3=O$3,SUMIF('TL07'!$C$10:$C$224,$C54,'TL07'!$J$10:$J$224),0),
IF('TL07'!$B$229=O$3,SUMIF('TL07'!$C$238:$C$451,$C54,'TL07'!$J$238:$J$451),0),
IF('TL08'!$B$3=O$3,SUMIF('TL08'!$C$10:$C$224,$C54,'TL08'!$J$10:$J$224),0),
IF('TL08'!$B$229=O$3,SUMIF('TL08'!$C$238:$C$451,$C54,'TL08'!$J$238:$J$451),0),
IF('TL09'!$B$3=O$3,SUMIF('TL09'!$C$10:$C$224,$C54,'TL09'!$J$10:$J$224),0),
IF('TL09'!$B$229=O$3,SUMIF('TL09'!$C$238:$C$451,$C54,'TL09'!$J$238:$J$451),0),
IF('TL10'!$B$3=O$3,SUMIF('TL10'!$C$10:$C$224,$C54,'TL10'!$J$10:$J$224),0),
IF('TL10'!$B$229=O$3,SUMIF('TL10'!$C$238:$C$451,$C54,'TL10'!$J$238:$J$451),0),
IF('TL11'!$B$3=O$3,SUMIF('TL11'!$C$10:$C$224,$C54,'TL11'!$J$10:$J$224),0),
IF('TL11'!$B$229=O$3,SUMIF('TL11'!$C$238:$C$451,$C54,'TL11'!$J$238:$J$451),0),
IF('TL12'!$B$3=O$3,SUMIF('TL12'!$C$10:$C$224,$C54,'TL12'!$J$10:$J$224),0),
IF('TL12'!$B$229=O$3,SUMIF('TL12'!$C$238:$C$451,$C54,'TL12'!$J$238:$J$451),0),
IF('TL13'!$B$3=O$3,SUMIF('TL13'!$C$10:$C$224,$C54,'TL13'!$J$10:$J$224),0),
IF('TL13'!$B$229=O$3,SUMIF('TL13'!$C$238:$C$451,$C54,'TL13'!$J$238:$J$451),0),
IF('TL14'!$B$3=O$3,SUMIF('TL14'!$C$10:$C$224,$C54,'TL14'!$J$10:$J$224),0),
IF('TL14'!$B$229=O$3,SUMIF('TL14'!$C$238:$C$451,$C54,'TL14'!$J$238:$J$451),0),
IF('TL15'!$B$3=O$3,SUMIF('TL15'!$C$10:$C$224,$C54,'TL15'!$J$10:$J$224),0),
IF('TL15'!$B$229=O$3,SUMIF('TL15'!$C$238:$C$451,$C54,'TL15'!$J$238:$J$451),0),
IF('TL16'!$B$3=O$3,SUMIF('TL16'!$C$10:$C$224,$C54,'TL16'!$J$10:$J$224),0),
IF('TL16'!$B$229=O$3,SUMIF('TL16'!$C$238:$C$451,$C54,'TL16'!$J$238:$J$451),0),
IF('TL17'!$B$3=O$3,SUMIF('TL17'!$C$10:$C$224,$C54,'TL17'!$J$10:$J$224),0),
IF('TL17'!$B$229=O$3,SUMIF('TL17'!$C$238:$C$451,$C54,'TL17'!$J$238:$J$451),0),
IF('TL18'!$B$3=O$3,SUMIF('TL18'!$C$10:$C$224,$C54,'TL18'!$J$10:$J$224),0),
IF('TL18'!$B$229=O$3,SUMIF('TL18'!$C$238:$C$451,$C54,'TL18'!$J$238:$J$451),0),
IF('TL19'!$B$3=O$3,SUMIF('TL19'!$C$10:$C$224,$C54,'TL19'!$J$10:$J$224),0),
IF('TL19'!$B$229=O$3,SUMIF('TL19'!$C$238:$C$451,$C54,'TL19'!$J$238:$J$451),0)
),0)</f>
        <v>0</v>
      </c>
      <c r="P54" s="9">
        <f>IFERROR(SUM(
IF('TL01'!$B$3=P$3,SUMIF('TL01'!$C$10:$C$224,$C54,'TL01'!$J$10:$J$224),0),
IF('TL01'!$B$229=P$3,SUMIF('TL01'!$C$238:$C$451,$C54,'TL01'!$J$238:$J$451),0),
IF('TL02'!$B$3=P$3,SUMIF('TL02'!$C$10:$C$224,$C54,'TL02'!$J$10:$J$224),0),
IF('TL02'!$B$229=P$3,SUMIF('TL02'!$C$238:$C$451,$C54,'TL02'!$J$238:$J$451),0),
IF('TL03'!$B$3=P$3,SUMIF('TL03'!$C$10:$C$224,$C54,'TL03'!$J$10:$J$224),0),
IF('TL03'!$B$229=P$3,SUMIF('TL03'!$C$238:$C$451,$C54,'TL03'!$J$238:$J$451),0),
IF('TL04'!$B$3=P$3,SUMIF('TL04'!$C$10:$C$224,$C54,'TL04'!$J$10:$J$224),0),
IF('TL04'!$B$229=P$3,SUMIF('TL04'!$C$238:$C$451,$C54,'TL04'!$J$238:$J$451),0),
IF('TL05'!$B$3=P$3,SUMIF('TL05'!$C$10:$C$224,$C54,'TL05'!$J$10:$J$224),0),
IF('TL05'!$B$229=P$3,SUMIF('TL05'!$C$238:$C$451,$C54,'TL05'!$J$238:$J$451),0),
IF('TL06'!$B$3=P$3,SUMIF('TL06'!$C$10:$C$224,$C54,'TL06'!$J$10:$J$224),0),
IF('TL06'!$B$229=P$3,SUMIF('TL06'!$C$238:$C$451,$C54,'TL06'!$J$238:$J$451),0),
IF('TL07'!$B$3=P$3,SUMIF('TL07'!$C$10:$C$224,$C54,'TL07'!$J$10:$J$224),0),
IF('TL07'!$B$229=P$3,SUMIF('TL07'!$C$238:$C$451,$C54,'TL07'!$J$238:$J$451),0),
IF('TL08'!$B$3=P$3,SUMIF('TL08'!$C$10:$C$224,$C54,'TL08'!$J$10:$J$224),0),
IF('TL08'!$B$229=P$3,SUMIF('TL08'!$C$238:$C$451,$C54,'TL08'!$J$238:$J$451),0),
IF('TL09'!$B$3=P$3,SUMIF('TL09'!$C$10:$C$224,$C54,'TL09'!$J$10:$J$224),0),
IF('TL09'!$B$229=P$3,SUMIF('TL09'!$C$238:$C$451,$C54,'TL09'!$J$238:$J$451),0),
IF('TL10'!$B$3=P$3,SUMIF('TL10'!$C$10:$C$224,$C54,'TL10'!$J$10:$J$224),0),
IF('TL10'!$B$229=P$3,SUMIF('TL10'!$C$238:$C$451,$C54,'TL10'!$J$238:$J$451),0),
IF('TL11'!$B$3=P$3,SUMIF('TL11'!$C$10:$C$224,$C54,'TL11'!$J$10:$J$224),0),
IF('TL11'!$B$229=P$3,SUMIF('TL11'!$C$238:$C$451,$C54,'TL11'!$J$238:$J$451),0),
IF('TL12'!$B$3=P$3,SUMIF('TL12'!$C$10:$C$224,$C54,'TL12'!$J$10:$J$224),0),
IF('TL12'!$B$229=P$3,SUMIF('TL12'!$C$238:$C$451,$C54,'TL12'!$J$238:$J$451),0),
IF('TL13'!$B$3=P$3,SUMIF('TL13'!$C$10:$C$224,$C54,'TL13'!$J$10:$J$224),0),
IF('TL13'!$B$229=P$3,SUMIF('TL13'!$C$238:$C$451,$C54,'TL13'!$J$238:$J$451),0),
IF('TL14'!$B$3=P$3,SUMIF('TL14'!$C$10:$C$224,$C54,'TL14'!$J$10:$J$224),0),
IF('TL14'!$B$229=P$3,SUMIF('TL14'!$C$238:$C$451,$C54,'TL14'!$J$238:$J$451),0),
IF('TL15'!$B$3=P$3,SUMIF('TL15'!$C$10:$C$224,$C54,'TL15'!$J$10:$J$224),0),
IF('TL15'!$B$229=P$3,SUMIF('TL15'!$C$238:$C$451,$C54,'TL15'!$J$238:$J$451),0),
IF('TL16'!$B$3=P$3,SUMIF('TL16'!$C$10:$C$224,$C54,'TL16'!$J$10:$J$224),0),
IF('TL16'!$B$229=P$3,SUMIF('TL16'!$C$238:$C$451,$C54,'TL16'!$J$238:$J$451),0),
IF('TL17'!$B$3=P$3,SUMIF('TL17'!$C$10:$C$224,$C54,'TL17'!$J$10:$J$224),0),
IF('TL17'!$B$229=P$3,SUMIF('TL17'!$C$238:$C$451,$C54,'TL17'!$J$238:$J$451),0),
IF('TL18'!$B$3=P$3,SUMIF('TL18'!$C$10:$C$224,$C54,'TL18'!$J$10:$J$224),0),
IF('TL18'!$B$229=P$3,SUMIF('TL18'!$C$238:$C$451,$C54,'TL18'!$J$238:$J$451),0),
IF('TL19'!$B$3=P$3,SUMIF('TL19'!$C$10:$C$224,$C54,'TL19'!$J$10:$J$224),0),
IF('TL19'!$B$229=P$3,SUMIF('TL19'!$C$238:$C$451,$C54,'TL19'!$J$238:$J$451),0)
),0)</f>
        <v>0</v>
      </c>
      <c r="Q54" s="9">
        <f>IFERROR(SUM(
IF('TL01'!$B$3=Q$3,SUMIF('TL01'!$C$10:$C$224,$C54,'TL01'!$J$10:$J$224),0),
IF('TL01'!$B$229=Q$3,SUMIF('TL01'!$C$238:$C$451,$C54,'TL01'!$J$238:$J$451),0),
IF('TL02'!$B$3=Q$3,SUMIF('TL02'!$C$10:$C$224,$C54,'TL02'!$J$10:$J$224),0),
IF('TL02'!$B$229=Q$3,SUMIF('TL02'!$C$238:$C$451,$C54,'TL02'!$J$238:$J$451),0),
IF('TL03'!$B$3=Q$3,SUMIF('TL03'!$C$10:$C$224,$C54,'TL03'!$J$10:$J$224),0),
IF('TL03'!$B$229=Q$3,SUMIF('TL03'!$C$238:$C$451,$C54,'TL03'!$J$238:$J$451),0),
IF('TL04'!$B$3=Q$3,SUMIF('TL04'!$C$10:$C$224,$C54,'TL04'!$J$10:$J$224),0),
IF('TL04'!$B$229=Q$3,SUMIF('TL04'!$C$238:$C$451,$C54,'TL04'!$J$238:$J$451),0),
IF('TL05'!$B$3=Q$3,SUMIF('TL05'!$C$10:$C$224,$C54,'TL05'!$J$10:$J$224),0),
IF('TL05'!$B$229=Q$3,SUMIF('TL05'!$C$238:$C$451,$C54,'TL05'!$J$238:$J$451),0),
IF('TL06'!$B$3=Q$3,SUMIF('TL06'!$C$10:$C$224,$C54,'TL06'!$J$10:$J$224),0),
IF('TL06'!$B$229=Q$3,SUMIF('TL06'!$C$238:$C$451,$C54,'TL06'!$J$238:$J$451),0),
IF('TL07'!$B$3=Q$3,SUMIF('TL07'!$C$10:$C$224,$C54,'TL07'!$J$10:$J$224),0),
IF('TL07'!$B$229=Q$3,SUMIF('TL07'!$C$238:$C$451,$C54,'TL07'!$J$238:$J$451),0),
IF('TL08'!$B$3=Q$3,SUMIF('TL08'!$C$10:$C$224,$C54,'TL08'!$J$10:$J$224),0),
IF('TL08'!$B$229=Q$3,SUMIF('TL08'!$C$238:$C$451,$C54,'TL08'!$J$238:$J$451),0),
IF('TL09'!$B$3=Q$3,SUMIF('TL09'!$C$10:$C$224,$C54,'TL09'!$J$10:$J$224),0),
IF('TL09'!$B$229=Q$3,SUMIF('TL09'!$C$238:$C$451,$C54,'TL09'!$J$238:$J$451),0),
IF('TL10'!$B$3=Q$3,SUMIF('TL10'!$C$10:$C$224,$C54,'TL10'!$J$10:$J$224),0),
IF('TL10'!$B$229=Q$3,SUMIF('TL10'!$C$238:$C$451,$C54,'TL10'!$J$238:$J$451),0),
IF('TL11'!$B$3=Q$3,SUMIF('TL11'!$C$10:$C$224,$C54,'TL11'!$J$10:$J$224),0),
IF('TL11'!$B$229=Q$3,SUMIF('TL11'!$C$238:$C$451,$C54,'TL11'!$J$238:$J$451),0),
IF('TL12'!$B$3=Q$3,SUMIF('TL12'!$C$10:$C$224,$C54,'TL12'!$J$10:$J$224),0),
IF('TL12'!$B$229=Q$3,SUMIF('TL12'!$C$238:$C$451,$C54,'TL12'!$J$238:$J$451),0),
IF('TL13'!$B$3=Q$3,SUMIF('TL13'!$C$10:$C$224,$C54,'TL13'!$J$10:$J$224),0),
IF('TL13'!$B$229=Q$3,SUMIF('TL13'!$C$238:$C$451,$C54,'TL13'!$J$238:$J$451),0),
IF('TL14'!$B$3=Q$3,SUMIF('TL14'!$C$10:$C$224,$C54,'TL14'!$J$10:$J$224),0),
IF('TL14'!$B$229=Q$3,SUMIF('TL14'!$C$238:$C$451,$C54,'TL14'!$J$238:$J$451),0),
IF('TL15'!$B$3=Q$3,SUMIF('TL15'!$C$10:$C$224,$C54,'TL15'!$J$10:$J$224),0),
IF('TL15'!$B$229=Q$3,SUMIF('TL15'!$C$238:$C$451,$C54,'TL15'!$J$238:$J$451),0),
IF('TL16'!$B$3=Q$3,SUMIF('TL16'!$C$10:$C$224,$C54,'TL16'!$J$10:$J$224),0),
IF('TL16'!$B$229=Q$3,SUMIF('TL16'!$C$238:$C$451,$C54,'TL16'!$J$238:$J$451),0),
IF('TL17'!$B$3=Q$3,SUMIF('TL17'!$C$10:$C$224,$C54,'TL17'!$J$10:$J$224),0),
IF('TL17'!$B$229=Q$3,SUMIF('TL17'!$C$238:$C$451,$C54,'TL17'!$J$238:$J$451),0),
IF('TL18'!$B$3=Q$3,SUMIF('TL18'!$C$10:$C$224,$C54,'TL18'!$J$10:$J$224),0),
IF('TL18'!$B$229=Q$3,SUMIF('TL18'!$C$238:$C$451,$C54,'TL18'!$J$238:$J$451),0),
IF('TL19'!$B$3=Q$3,SUMIF('TL19'!$C$10:$C$224,$C54,'TL19'!$J$10:$J$224),0),
IF('TL19'!$B$229=Q$3,SUMIF('TL19'!$C$238:$C$451,$C54,'TL19'!$J$238:$J$451),0)
),0)</f>
        <v>0</v>
      </c>
      <c r="R54" s="9">
        <f>IFERROR(
SUM(
SUMIF('TL01'!C:C,C54,'TL01'!J:J),
SUMIF('TL02'!C:C,C54,'TL02'!J:J),
SUMIF('TL03'!C:C,C54,'TL03'!J:J),
SUMIF('TL04'!C:C,C54,'TL04'!J:J),
SUMIF('TL05'!C:C,C54,'TL05'!J:J),
SUMIF('TL06'!C:C,C54,'TL06'!J:J),
SUMIF('TL07'!C:C,C54,'TL07'!J:J),
SUMIF('TL08'!C:C,C54,'TL08'!J:J),
SUMIF('TL09'!C:C,C54,'TL09'!J:J),
SUMIF('TL10'!C:C,C54,'TL10'!J:J),
SUMIF('TL11'!C:C,C54,'TL11'!J:J),
SUMIF('TL12'!C:C,C54,'TL12'!J:J),
SUMIF('TL13'!C:C,C54,'TL13'!J:J),
SUMIF('TL14'!C:C,C54,'TL14'!J:J),
SUMIF('TL15'!C:C,C54,'TL15'!J:J),
SUMIF('TL16'!C:C,C54,'TL16'!J:J),
SUMIF('TL17'!C:C,C54,'TL17'!J:J),
SUMIF('TL18'!C:C,C54,'TL18'!J:J),SUMIF('TL19'!C:C,C54,'TL19'!J:J))
,0)</f>
        <v>0</v>
      </c>
      <c r="S54" s="17">
        <f>IFERROR(__xludf.DUMMYFUNCTION("IFERROR(VLOOKUP(C54,
IMPORTRANGE(""1wULbzX32WdYsx-lj2U3uUNBBe2INVIRDtcK0d-Dvl90"",
""26-27!C:G""),
5,
FALSE),
"""")"),83.31408000000002)</f>
        <v>83.31408</v>
      </c>
      <c r="T54" s="9"/>
      <c r="U54" s="92">
        <f t="shared" si="2"/>
        <v>0</v>
      </c>
      <c r="V54" s="93">
        <f t="shared" si="3"/>
        <v>0</v>
      </c>
    </row>
    <row r="55" ht="15.75" hidden="1" customHeight="1">
      <c r="A55" s="111" t="s">
        <v>350</v>
      </c>
      <c r="B55" s="112" t="s">
        <v>0</v>
      </c>
      <c r="C55" s="113" t="s">
        <v>476</v>
      </c>
      <c r="D55" s="113" t="s">
        <v>477</v>
      </c>
      <c r="E55" s="113" t="s">
        <v>478</v>
      </c>
      <c r="F55" s="4" t="s">
        <v>343</v>
      </c>
      <c r="G55" s="90" t="str">
        <f t="shared" si="4"/>
        <v>📄 Ver bula</v>
      </c>
      <c r="H55" s="9">
        <f>IFERROR(__xludf.DUMMYFUNCTION("IFERROR(VLOOKUP(C55,
IMPORTRANGE(""1wULbzX32WdYsx-lj2U3uUNBBe2INVIRDtcK0d-Dvl90"",
""26-27!C:K""),
8,
FALSE),
"""")"),0.2)</f>
        <v>0.2</v>
      </c>
      <c r="I55" s="114" t="s">
        <v>361</v>
      </c>
      <c r="J55" s="9">
        <f>IFERROR(SUM(
IF('TL01'!$B$3=J$3,SUMIF('TL01'!$C$10:$C$224,$C55,'TL01'!$J$10:$J$224),0),
IF('TL01'!$B$229=J$3,SUMIF('TL01'!$C$238:$C$451,$C55,'TL01'!$J$238:$J$451),0),
IF('TL02'!$B$3=J$3,SUMIF('TL02'!$C$10:$C$224,$C55,'TL02'!$J$10:$J$224),0),
IF('TL02'!$B$229=J$3,SUMIF('TL02'!$C$238:$C$451,$C55,'TL02'!$J$238:$J$451),0),
IF('TL03'!$B$3=J$3,SUMIF('TL03'!$C$10:$C$224,$C55,'TL03'!$J$10:$J$224),0),
IF('TL03'!$B$229=J$3,SUMIF('TL03'!$C$238:$C$451,$C55,'TL03'!$J$238:$J$451),0),
IF('TL04'!$B$3=J$3,SUMIF('TL04'!$C$10:$C$224,$C55,'TL04'!$J$10:$J$224),0),
IF('TL04'!$B$229=J$3,SUMIF('TL04'!$C$238:$C$451,$C55,'TL04'!$J$238:$J$451),0),
IF('TL05'!$B$3=J$3,SUMIF('TL05'!$C$10:$C$224,$C55,'TL05'!$J$10:$J$224),0),
IF('TL05'!$B$229=J$3,SUMIF('TL05'!$C$238:$C$451,$C55,'TL05'!$J$238:$J$451),0),
IF('TL06'!$B$3=J$3,SUMIF('TL06'!$C$10:$C$224,$C55,'TL06'!$J$10:$J$224),0),
IF('TL06'!$B$229=J$3,SUMIF('TL06'!$C$238:$C$451,$C55,'TL06'!$J$238:$J$451),0),
IF('TL07'!$B$3=J$3,SUMIF('TL07'!$C$10:$C$224,$C55,'TL07'!$J$10:$J$224),0),
IF('TL07'!$B$229=J$3,SUMIF('TL07'!$C$238:$C$451,$C55,'TL07'!$J$238:$J$451),0),
IF('TL08'!$B$3=J$3,SUMIF('TL08'!$C$10:$C$224,$C55,'TL08'!$J$10:$J$224),0),
IF('TL08'!$B$229=J$3,SUMIF('TL08'!$C$238:$C$451,$C55,'TL08'!$J$238:$J$451),0),
IF('TL09'!$B$3=J$3,SUMIF('TL09'!$C$10:$C$224,$C55,'TL09'!$J$10:$J$224),0),
IF('TL09'!$B$229=J$3,SUMIF('TL09'!$C$238:$C$451,$C55,'TL09'!$J$238:$J$451),0),
IF('TL10'!$B$3=J$3,SUMIF('TL10'!$C$10:$C$224,$C55,'TL10'!$J$10:$J$224),0),
IF('TL10'!$B$229=J$3,SUMIF('TL10'!$C$238:$C$451,$C55,'TL10'!$J$238:$J$451),0),
IF('TL11'!$B$3=J$3,SUMIF('TL11'!$C$10:$C$224,$C55,'TL11'!$J$10:$J$224),0),
IF('TL11'!$B$229=J$3,SUMIF('TL11'!$C$238:$C$451,$C55,'TL11'!$J$238:$J$451),0),
IF('TL12'!$B$3=J$3,SUMIF('TL12'!$C$10:$C$224,$C55,'TL12'!$J$10:$J$224),0),
IF('TL12'!$B$229=J$3,SUMIF('TL12'!$C$238:$C$451,$C55,'TL12'!$J$238:$J$451),0),
IF('TL13'!$B$3=J$3,SUMIF('TL13'!$C$10:$C$224,$C55,'TL13'!$J$10:$J$224),0),
IF('TL13'!$B$229=J$3,SUMIF('TL13'!$C$238:$C$451,$C55,'TL13'!$J$238:$J$451),0),
IF('TL14'!$B$3=J$3,SUMIF('TL14'!$C$10:$C$224,$C55,'TL14'!$J$10:$J$224),0),
IF('TL14'!$B$229=J$3,SUMIF('TL14'!$C$238:$C$451,$C55,'TL14'!$J$238:$J$451),0),
IF('TL15'!$B$3=J$3,SUMIF('TL15'!$C$10:$C$224,$C55,'TL15'!$J$10:$J$224),0),
IF('TL15'!$B$229=J$3,SUMIF('TL15'!$C$238:$C$451,$C55,'TL15'!$J$238:$J$451),0),
IF('TL16'!$B$3=J$3,SUMIF('TL16'!$C$10:$C$224,$C55,'TL16'!$J$10:$J$224),0),
IF('TL16'!$B$229=J$3,SUMIF('TL16'!$C$238:$C$451,$C55,'TL16'!$J$238:$J$451),0),
IF('TL17'!$B$3=J$3,SUMIF('TL17'!$C$10:$C$224,$C55,'TL17'!$J$10:$J$224),0),
IF('TL17'!$B$229=J$3,SUMIF('TL17'!$C$238:$C$451,$C55,'TL17'!$J$238:$J$451),0),
IF('TL18'!$B$3=J$3,SUMIF('TL18'!$C$10:$C$224,$C55,'TL18'!$J$10:$J$224),0),
IF('TL18'!$B$229=J$3,SUMIF('TL18'!$C$238:$C$451,$C55,'TL18'!$J$238:$J$451),0),
IF('TL19'!$B$3=J$3,SUMIF('TL19'!$C$10:$C$224,$C55,'TL19'!$J$10:$J$224),0),
IF('TL19'!$B$229=J$3,SUMIF('TL19'!$C$238:$C$451,$C55,'TL19'!$J$238:$J$451),0)
),0)</f>
        <v>0</v>
      </c>
      <c r="K55" s="9">
        <f>IFERROR(SUM(
IF('TL01'!$B$3=K$3,SUMIF('TL01'!$C$10:$C$224,$C55,'TL01'!$J$10:$J$224),0),
IF('TL01'!$B$229=K$3,SUMIF('TL01'!$C$238:$C$451,$C55,'TL01'!$J$238:$J$451),0),
IF('TL02'!$B$3=K$3,SUMIF('TL02'!$C$10:$C$224,$C55,'TL02'!$J$10:$J$224),0),
IF('TL02'!$B$229=K$3,SUMIF('TL02'!$C$238:$C$451,$C55,'TL02'!$J$238:$J$451),0),
IF('TL03'!$B$3=K$3,SUMIF('TL03'!$C$10:$C$224,$C55,'TL03'!$J$10:$J$224),0),
IF('TL03'!$B$229=K$3,SUMIF('TL03'!$C$238:$C$451,$C55,'TL03'!$J$238:$J$451),0),
IF('TL04'!$B$3=K$3,SUMIF('TL04'!$C$10:$C$224,$C55,'TL04'!$J$10:$J$224),0),
IF('TL04'!$B$229=K$3,SUMIF('TL04'!$C$238:$C$451,$C55,'TL04'!$J$238:$J$451),0),
IF('TL05'!$B$3=K$3,SUMIF('TL05'!$C$10:$C$224,$C55,'TL05'!$J$10:$J$224),0),
IF('TL05'!$B$229=K$3,SUMIF('TL05'!$C$238:$C$451,$C55,'TL05'!$J$238:$J$451),0),
IF('TL06'!$B$3=K$3,SUMIF('TL06'!$C$10:$C$224,$C55,'TL06'!$J$10:$J$224),0),
IF('TL06'!$B$229=K$3,SUMIF('TL06'!$C$238:$C$451,$C55,'TL06'!$J$238:$J$451),0),
IF('TL07'!$B$3=K$3,SUMIF('TL07'!$C$10:$C$224,$C55,'TL07'!$J$10:$J$224),0),
IF('TL07'!$B$229=K$3,SUMIF('TL07'!$C$238:$C$451,$C55,'TL07'!$J$238:$J$451),0),
IF('TL08'!$B$3=K$3,SUMIF('TL08'!$C$10:$C$224,$C55,'TL08'!$J$10:$J$224),0),
IF('TL08'!$B$229=K$3,SUMIF('TL08'!$C$238:$C$451,$C55,'TL08'!$J$238:$J$451),0),
IF('TL09'!$B$3=K$3,SUMIF('TL09'!$C$10:$C$224,$C55,'TL09'!$J$10:$J$224),0),
IF('TL09'!$B$229=K$3,SUMIF('TL09'!$C$238:$C$451,$C55,'TL09'!$J$238:$J$451),0),
IF('TL10'!$B$3=K$3,SUMIF('TL10'!$C$10:$C$224,$C55,'TL10'!$J$10:$J$224),0),
IF('TL10'!$B$229=K$3,SUMIF('TL10'!$C$238:$C$451,$C55,'TL10'!$J$238:$J$451),0),
IF('TL11'!$B$3=K$3,SUMIF('TL11'!$C$10:$C$224,$C55,'TL11'!$J$10:$J$224),0),
IF('TL11'!$B$229=K$3,SUMIF('TL11'!$C$238:$C$451,$C55,'TL11'!$J$238:$J$451),0),
IF('TL12'!$B$3=K$3,SUMIF('TL12'!$C$10:$C$224,$C55,'TL12'!$J$10:$J$224),0),
IF('TL12'!$B$229=K$3,SUMIF('TL12'!$C$238:$C$451,$C55,'TL12'!$J$238:$J$451),0),
IF('TL13'!$B$3=K$3,SUMIF('TL13'!$C$10:$C$224,$C55,'TL13'!$J$10:$J$224),0),
IF('TL13'!$B$229=K$3,SUMIF('TL13'!$C$238:$C$451,$C55,'TL13'!$J$238:$J$451),0),
IF('TL14'!$B$3=K$3,SUMIF('TL14'!$C$10:$C$224,$C55,'TL14'!$J$10:$J$224),0),
IF('TL14'!$B$229=K$3,SUMIF('TL14'!$C$238:$C$451,$C55,'TL14'!$J$238:$J$451),0),
IF('TL15'!$B$3=K$3,SUMIF('TL15'!$C$10:$C$224,$C55,'TL15'!$J$10:$J$224),0),
IF('TL15'!$B$229=K$3,SUMIF('TL15'!$C$238:$C$451,$C55,'TL15'!$J$238:$J$451),0),
IF('TL16'!$B$3=K$3,SUMIF('TL16'!$C$10:$C$224,$C55,'TL16'!$J$10:$J$224),0),
IF('TL16'!$B$229=K$3,SUMIF('TL16'!$C$238:$C$451,$C55,'TL16'!$J$238:$J$451),0),
IF('TL17'!$B$3=K$3,SUMIF('TL17'!$C$10:$C$224,$C55,'TL17'!$J$10:$J$224),0),
IF('TL17'!$B$229=K$3,SUMIF('TL17'!$C$238:$C$451,$C55,'TL17'!$J$238:$J$451),0),
IF('TL18'!$B$3=K$3,SUMIF('TL18'!$C$10:$C$224,$C55,'TL18'!$J$10:$J$224),0),
IF('TL18'!$B$229=K$3,SUMIF('TL18'!$C$238:$C$451,$C55,'TL18'!$J$238:$J$451),0),
IF('TL19'!$B$3=K$3,SUMIF('TL19'!$C$10:$C$224,$C55,'TL19'!$J$10:$J$224),0),
IF('TL19'!$B$229=K$3,SUMIF('TL19'!$C$238:$C$451,$C55,'TL19'!$J$238:$J$451),0)
),0)</f>
        <v>0</v>
      </c>
      <c r="L55" s="9">
        <f>IFERROR(SUM(
IF('TL01'!$B$3=L$3,SUMIF('TL01'!$C$10:$C$224,$C55,'TL01'!$J$10:$J$224),0),
IF('TL01'!$B$229=L$3,SUMIF('TL01'!$C$238:$C$451,$C55,'TL01'!$J$238:$J$451),0),
IF('TL02'!$B$3=L$3,SUMIF('TL02'!$C$10:$C$224,$C55,'TL02'!$J$10:$J$224),0),
IF('TL02'!$B$229=L$3,SUMIF('TL02'!$C$238:$C$451,$C55,'TL02'!$J$238:$J$451),0),
IF('TL03'!$B$3=L$3,SUMIF('TL03'!$C$10:$C$224,$C55,'TL03'!$J$10:$J$224),0),
IF('TL03'!$B$229=L$3,SUMIF('TL03'!$C$238:$C$451,$C55,'TL03'!$J$238:$J$451),0),
IF('TL04'!$B$3=L$3,SUMIF('TL04'!$C$10:$C$224,$C55,'TL04'!$J$10:$J$224),0),
IF('TL04'!$B$229=L$3,SUMIF('TL04'!$C$238:$C$451,$C55,'TL04'!$J$238:$J$451),0),
IF('TL05'!$B$3=L$3,SUMIF('TL05'!$C$10:$C$224,$C55,'TL05'!$J$10:$J$224),0),
IF('TL05'!$B$229=L$3,SUMIF('TL05'!$C$238:$C$451,$C55,'TL05'!$J$238:$J$451),0),
IF('TL06'!$B$3=L$3,SUMIF('TL06'!$C$10:$C$224,$C55,'TL06'!$J$10:$J$224),0),
IF('TL06'!$B$229=L$3,SUMIF('TL06'!$C$238:$C$451,$C55,'TL06'!$J$238:$J$451),0),
IF('TL07'!$B$3=L$3,SUMIF('TL07'!$C$10:$C$224,$C55,'TL07'!$J$10:$J$224),0),
IF('TL07'!$B$229=L$3,SUMIF('TL07'!$C$238:$C$451,$C55,'TL07'!$J$238:$J$451),0),
IF('TL08'!$B$3=L$3,SUMIF('TL08'!$C$10:$C$224,$C55,'TL08'!$J$10:$J$224),0),
IF('TL08'!$B$229=L$3,SUMIF('TL08'!$C$238:$C$451,$C55,'TL08'!$J$238:$J$451),0),
IF('TL09'!$B$3=L$3,SUMIF('TL09'!$C$10:$C$224,$C55,'TL09'!$J$10:$J$224),0),
IF('TL09'!$B$229=L$3,SUMIF('TL09'!$C$238:$C$451,$C55,'TL09'!$J$238:$J$451),0),
IF('TL10'!$B$3=L$3,SUMIF('TL10'!$C$10:$C$224,$C55,'TL10'!$J$10:$J$224),0),
IF('TL10'!$B$229=L$3,SUMIF('TL10'!$C$238:$C$451,$C55,'TL10'!$J$238:$J$451),0),
IF('TL11'!$B$3=L$3,SUMIF('TL11'!$C$10:$C$224,$C55,'TL11'!$J$10:$J$224),0),
IF('TL11'!$B$229=L$3,SUMIF('TL11'!$C$238:$C$451,$C55,'TL11'!$J$238:$J$451),0),
IF('TL12'!$B$3=L$3,SUMIF('TL12'!$C$10:$C$224,$C55,'TL12'!$J$10:$J$224),0),
IF('TL12'!$B$229=L$3,SUMIF('TL12'!$C$238:$C$451,$C55,'TL12'!$J$238:$J$451),0),
IF('TL13'!$B$3=L$3,SUMIF('TL13'!$C$10:$C$224,$C55,'TL13'!$J$10:$J$224),0),
IF('TL13'!$B$229=L$3,SUMIF('TL13'!$C$238:$C$451,$C55,'TL13'!$J$238:$J$451),0),
IF('TL14'!$B$3=L$3,SUMIF('TL14'!$C$10:$C$224,$C55,'TL14'!$J$10:$J$224),0),
IF('TL14'!$B$229=L$3,SUMIF('TL14'!$C$238:$C$451,$C55,'TL14'!$J$238:$J$451),0),
IF('TL15'!$B$3=L$3,SUMIF('TL15'!$C$10:$C$224,$C55,'TL15'!$J$10:$J$224),0),
IF('TL15'!$B$229=L$3,SUMIF('TL15'!$C$238:$C$451,$C55,'TL15'!$J$238:$J$451),0),
IF('TL16'!$B$3=L$3,SUMIF('TL16'!$C$10:$C$224,$C55,'TL16'!$J$10:$J$224),0),
IF('TL16'!$B$229=L$3,SUMIF('TL16'!$C$238:$C$451,$C55,'TL16'!$J$238:$J$451),0),
IF('TL17'!$B$3=L$3,SUMIF('TL17'!$C$10:$C$224,$C55,'TL17'!$J$10:$J$224),0),
IF('TL17'!$B$229=L$3,SUMIF('TL17'!$C$238:$C$451,$C55,'TL17'!$J$238:$J$451),0),
IF('TL18'!$B$3=L$3,SUMIF('TL18'!$C$10:$C$224,$C55,'TL18'!$J$10:$J$224),0),
IF('TL18'!$B$229=L$3,SUMIF('TL18'!$C$238:$C$451,$C55,'TL18'!$J$238:$J$451),0),
IF('TL19'!$B$3=L$3,SUMIF('TL19'!$C$10:$C$224,$C55,'TL19'!$J$10:$J$224),0),
IF('TL19'!$B$229=L$3,SUMIF('TL19'!$C$238:$C$451,$C55,'TL19'!$J$238:$J$451),0)
),0)</f>
        <v>0</v>
      </c>
      <c r="M55" s="9">
        <f>IFERROR(SUM(
IF('TL01'!$B$3=M$3,SUMIF('TL01'!$C$10:$C$224,$C55,'TL01'!$J$10:$J$224),0),
IF('TL01'!$B$229=M$3,SUMIF('TL01'!$C$238:$C$451,$C55,'TL01'!$J$238:$J$451),0),
IF('TL02'!$B$3=M$3,SUMIF('TL02'!$C$10:$C$224,$C55,'TL02'!$J$10:$J$224),0),
IF('TL02'!$B$229=M$3,SUMIF('TL02'!$C$238:$C$451,$C55,'TL02'!$J$238:$J$451),0),
IF('TL03'!$B$3=M$3,SUMIF('TL03'!$C$10:$C$224,$C55,'TL03'!$J$10:$J$224),0),
IF('TL03'!$B$229=M$3,SUMIF('TL03'!$C$238:$C$451,$C55,'TL03'!$J$238:$J$451),0),
IF('TL04'!$B$3=M$3,SUMIF('TL04'!$C$10:$C$224,$C55,'TL04'!$J$10:$J$224),0),
IF('TL04'!$B$229=M$3,SUMIF('TL04'!$C$238:$C$451,$C55,'TL04'!$J$238:$J$451),0),
IF('TL05'!$B$3=M$3,SUMIF('TL05'!$C$10:$C$224,$C55,'TL05'!$J$10:$J$224),0),
IF('TL05'!$B$229=M$3,SUMIF('TL05'!$C$238:$C$451,$C55,'TL05'!$J$238:$J$451),0),
IF('TL06'!$B$3=M$3,SUMIF('TL06'!$C$10:$C$224,$C55,'TL06'!$J$10:$J$224),0),
IF('TL06'!$B$229=M$3,SUMIF('TL06'!$C$238:$C$451,$C55,'TL06'!$J$238:$J$451),0),
IF('TL07'!$B$3=M$3,SUMIF('TL07'!$C$10:$C$224,$C55,'TL07'!$J$10:$J$224),0),
IF('TL07'!$B$229=M$3,SUMIF('TL07'!$C$238:$C$451,$C55,'TL07'!$J$238:$J$451),0),
IF('TL08'!$B$3=M$3,SUMIF('TL08'!$C$10:$C$224,$C55,'TL08'!$J$10:$J$224),0),
IF('TL08'!$B$229=M$3,SUMIF('TL08'!$C$238:$C$451,$C55,'TL08'!$J$238:$J$451),0),
IF('TL09'!$B$3=M$3,SUMIF('TL09'!$C$10:$C$224,$C55,'TL09'!$J$10:$J$224),0),
IF('TL09'!$B$229=M$3,SUMIF('TL09'!$C$238:$C$451,$C55,'TL09'!$J$238:$J$451),0),
IF('TL10'!$B$3=M$3,SUMIF('TL10'!$C$10:$C$224,$C55,'TL10'!$J$10:$J$224),0),
IF('TL10'!$B$229=M$3,SUMIF('TL10'!$C$238:$C$451,$C55,'TL10'!$J$238:$J$451),0),
IF('TL11'!$B$3=M$3,SUMIF('TL11'!$C$10:$C$224,$C55,'TL11'!$J$10:$J$224),0),
IF('TL11'!$B$229=M$3,SUMIF('TL11'!$C$238:$C$451,$C55,'TL11'!$J$238:$J$451),0),
IF('TL12'!$B$3=M$3,SUMIF('TL12'!$C$10:$C$224,$C55,'TL12'!$J$10:$J$224),0),
IF('TL12'!$B$229=M$3,SUMIF('TL12'!$C$238:$C$451,$C55,'TL12'!$J$238:$J$451),0),
IF('TL13'!$B$3=M$3,SUMIF('TL13'!$C$10:$C$224,$C55,'TL13'!$J$10:$J$224),0),
IF('TL13'!$B$229=M$3,SUMIF('TL13'!$C$238:$C$451,$C55,'TL13'!$J$238:$J$451),0),
IF('TL14'!$B$3=M$3,SUMIF('TL14'!$C$10:$C$224,$C55,'TL14'!$J$10:$J$224),0),
IF('TL14'!$B$229=M$3,SUMIF('TL14'!$C$238:$C$451,$C55,'TL14'!$J$238:$J$451),0),
IF('TL15'!$B$3=M$3,SUMIF('TL15'!$C$10:$C$224,$C55,'TL15'!$J$10:$J$224),0),
IF('TL15'!$B$229=M$3,SUMIF('TL15'!$C$238:$C$451,$C55,'TL15'!$J$238:$J$451),0),
IF('TL16'!$B$3=M$3,SUMIF('TL16'!$C$10:$C$224,$C55,'TL16'!$J$10:$J$224),0),
IF('TL16'!$B$229=M$3,SUMIF('TL16'!$C$238:$C$451,$C55,'TL16'!$J$238:$J$451),0),
IF('TL17'!$B$3=M$3,SUMIF('TL17'!$C$10:$C$224,$C55,'TL17'!$J$10:$J$224),0),
IF('TL17'!$B$229=M$3,SUMIF('TL17'!$C$238:$C$451,$C55,'TL17'!$J$238:$J$451),0),
IF('TL18'!$B$3=M$3,SUMIF('TL18'!$C$10:$C$224,$C55,'TL18'!$J$10:$J$224),0),
IF('TL18'!$B$229=M$3,SUMIF('TL18'!$C$238:$C$451,$C55,'TL18'!$J$238:$J$451),0),
IF('TL19'!$B$3=M$3,SUMIF('TL19'!$C$10:$C$224,$C55,'TL19'!$J$10:$J$224),0),
IF('TL19'!$B$229=M$3,SUMIF('TL19'!$C$238:$C$451,$C55,'TL19'!$J$238:$J$451),0)
),0)</f>
        <v>0</v>
      </c>
      <c r="N55" s="9">
        <f>IFERROR(SUM(
IF('TL01'!$B$3=N$3,SUMIF('TL01'!$C$10:$C$224,$C55,'TL01'!$J$10:$J$224),0),
IF('TL01'!$B$229=N$3,SUMIF('TL01'!$C$238:$C$451,$C55,'TL01'!$J$238:$J$451),0),
IF('TL02'!$B$3=N$3,SUMIF('TL02'!$C$10:$C$224,$C55,'TL02'!$J$10:$J$224),0),
IF('TL02'!$B$229=N$3,SUMIF('TL02'!$C$238:$C$451,$C55,'TL02'!$J$238:$J$451),0),
IF('TL03'!$B$3=N$3,SUMIF('TL03'!$C$10:$C$224,$C55,'TL03'!$J$10:$J$224),0),
IF('TL03'!$B$229=N$3,SUMIF('TL03'!$C$238:$C$451,$C55,'TL03'!$J$238:$J$451),0),
IF('TL04'!$B$3=N$3,SUMIF('TL04'!$C$10:$C$224,$C55,'TL04'!$J$10:$J$224),0),
IF('TL04'!$B$229=N$3,SUMIF('TL04'!$C$238:$C$451,$C55,'TL04'!$J$238:$J$451),0),
IF('TL05'!$B$3=N$3,SUMIF('TL05'!$C$10:$C$224,$C55,'TL05'!$J$10:$J$224),0),
IF('TL05'!$B$229=N$3,SUMIF('TL05'!$C$238:$C$451,$C55,'TL05'!$J$238:$J$451),0),
IF('TL06'!$B$3=N$3,SUMIF('TL06'!$C$10:$C$224,$C55,'TL06'!$J$10:$J$224),0),
IF('TL06'!$B$229=N$3,SUMIF('TL06'!$C$238:$C$451,$C55,'TL06'!$J$238:$J$451),0),
IF('TL07'!$B$3=N$3,SUMIF('TL07'!$C$10:$C$224,$C55,'TL07'!$J$10:$J$224),0),
IF('TL07'!$B$229=N$3,SUMIF('TL07'!$C$238:$C$451,$C55,'TL07'!$J$238:$J$451),0),
IF('TL08'!$B$3=N$3,SUMIF('TL08'!$C$10:$C$224,$C55,'TL08'!$J$10:$J$224),0),
IF('TL08'!$B$229=N$3,SUMIF('TL08'!$C$238:$C$451,$C55,'TL08'!$J$238:$J$451),0),
IF('TL09'!$B$3=N$3,SUMIF('TL09'!$C$10:$C$224,$C55,'TL09'!$J$10:$J$224),0),
IF('TL09'!$B$229=N$3,SUMIF('TL09'!$C$238:$C$451,$C55,'TL09'!$J$238:$J$451),0),
IF('TL10'!$B$3=N$3,SUMIF('TL10'!$C$10:$C$224,$C55,'TL10'!$J$10:$J$224),0),
IF('TL10'!$B$229=N$3,SUMIF('TL10'!$C$238:$C$451,$C55,'TL10'!$J$238:$J$451),0),
IF('TL11'!$B$3=N$3,SUMIF('TL11'!$C$10:$C$224,$C55,'TL11'!$J$10:$J$224),0),
IF('TL11'!$B$229=N$3,SUMIF('TL11'!$C$238:$C$451,$C55,'TL11'!$J$238:$J$451),0),
IF('TL12'!$B$3=N$3,SUMIF('TL12'!$C$10:$C$224,$C55,'TL12'!$J$10:$J$224),0),
IF('TL12'!$B$229=N$3,SUMIF('TL12'!$C$238:$C$451,$C55,'TL12'!$J$238:$J$451),0),
IF('TL13'!$B$3=N$3,SUMIF('TL13'!$C$10:$C$224,$C55,'TL13'!$J$10:$J$224),0),
IF('TL13'!$B$229=N$3,SUMIF('TL13'!$C$238:$C$451,$C55,'TL13'!$J$238:$J$451),0),
IF('TL14'!$B$3=N$3,SUMIF('TL14'!$C$10:$C$224,$C55,'TL14'!$J$10:$J$224),0),
IF('TL14'!$B$229=N$3,SUMIF('TL14'!$C$238:$C$451,$C55,'TL14'!$J$238:$J$451),0),
IF('TL15'!$B$3=N$3,SUMIF('TL15'!$C$10:$C$224,$C55,'TL15'!$J$10:$J$224),0),
IF('TL15'!$B$229=N$3,SUMIF('TL15'!$C$238:$C$451,$C55,'TL15'!$J$238:$J$451),0),
IF('TL16'!$B$3=N$3,SUMIF('TL16'!$C$10:$C$224,$C55,'TL16'!$J$10:$J$224),0),
IF('TL16'!$B$229=N$3,SUMIF('TL16'!$C$238:$C$451,$C55,'TL16'!$J$238:$J$451),0),
IF('TL17'!$B$3=N$3,SUMIF('TL17'!$C$10:$C$224,$C55,'TL17'!$J$10:$J$224),0),
IF('TL17'!$B$229=N$3,SUMIF('TL17'!$C$238:$C$451,$C55,'TL17'!$J$238:$J$451),0),
IF('TL18'!$B$3=N$3,SUMIF('TL18'!$C$10:$C$224,$C55,'TL18'!$J$10:$J$224),0),
IF('TL18'!$B$229=N$3,SUMIF('TL18'!$C$238:$C$451,$C55,'TL18'!$J$238:$J$451),0),
IF('TL19'!$B$3=N$3,SUMIF('TL19'!$C$10:$C$224,$C55,'TL19'!$J$10:$J$224),0),
IF('TL19'!$B$229=N$3,SUMIF('TL19'!$C$238:$C$451,$C55,'TL19'!$J$238:$J$451),0)
),0)</f>
        <v>0</v>
      </c>
      <c r="O55" s="9">
        <f>IFERROR(SUM(
IF('TL01'!$B$3=O$3,SUMIF('TL01'!$C$10:$C$224,$C55,'TL01'!$J$10:$J$224),0),
IF('TL01'!$B$229=O$3,SUMIF('TL01'!$C$238:$C$451,$C55,'TL01'!$J$238:$J$451),0),
IF('TL02'!$B$3=O$3,SUMIF('TL02'!$C$10:$C$224,$C55,'TL02'!$J$10:$J$224),0),
IF('TL02'!$B$229=O$3,SUMIF('TL02'!$C$238:$C$451,$C55,'TL02'!$J$238:$J$451),0),
IF('TL03'!$B$3=O$3,SUMIF('TL03'!$C$10:$C$224,$C55,'TL03'!$J$10:$J$224),0),
IF('TL03'!$B$229=O$3,SUMIF('TL03'!$C$238:$C$451,$C55,'TL03'!$J$238:$J$451),0),
IF('TL04'!$B$3=O$3,SUMIF('TL04'!$C$10:$C$224,$C55,'TL04'!$J$10:$J$224),0),
IF('TL04'!$B$229=O$3,SUMIF('TL04'!$C$238:$C$451,$C55,'TL04'!$J$238:$J$451),0),
IF('TL05'!$B$3=O$3,SUMIF('TL05'!$C$10:$C$224,$C55,'TL05'!$J$10:$J$224),0),
IF('TL05'!$B$229=O$3,SUMIF('TL05'!$C$238:$C$451,$C55,'TL05'!$J$238:$J$451),0),
IF('TL06'!$B$3=O$3,SUMIF('TL06'!$C$10:$C$224,$C55,'TL06'!$J$10:$J$224),0),
IF('TL06'!$B$229=O$3,SUMIF('TL06'!$C$238:$C$451,$C55,'TL06'!$J$238:$J$451),0),
IF('TL07'!$B$3=O$3,SUMIF('TL07'!$C$10:$C$224,$C55,'TL07'!$J$10:$J$224),0),
IF('TL07'!$B$229=O$3,SUMIF('TL07'!$C$238:$C$451,$C55,'TL07'!$J$238:$J$451),0),
IF('TL08'!$B$3=O$3,SUMIF('TL08'!$C$10:$C$224,$C55,'TL08'!$J$10:$J$224),0),
IF('TL08'!$B$229=O$3,SUMIF('TL08'!$C$238:$C$451,$C55,'TL08'!$J$238:$J$451),0),
IF('TL09'!$B$3=O$3,SUMIF('TL09'!$C$10:$C$224,$C55,'TL09'!$J$10:$J$224),0),
IF('TL09'!$B$229=O$3,SUMIF('TL09'!$C$238:$C$451,$C55,'TL09'!$J$238:$J$451),0),
IF('TL10'!$B$3=O$3,SUMIF('TL10'!$C$10:$C$224,$C55,'TL10'!$J$10:$J$224),0),
IF('TL10'!$B$229=O$3,SUMIF('TL10'!$C$238:$C$451,$C55,'TL10'!$J$238:$J$451),0),
IF('TL11'!$B$3=O$3,SUMIF('TL11'!$C$10:$C$224,$C55,'TL11'!$J$10:$J$224),0),
IF('TL11'!$B$229=O$3,SUMIF('TL11'!$C$238:$C$451,$C55,'TL11'!$J$238:$J$451),0),
IF('TL12'!$B$3=O$3,SUMIF('TL12'!$C$10:$C$224,$C55,'TL12'!$J$10:$J$224),0),
IF('TL12'!$B$229=O$3,SUMIF('TL12'!$C$238:$C$451,$C55,'TL12'!$J$238:$J$451),0),
IF('TL13'!$B$3=O$3,SUMIF('TL13'!$C$10:$C$224,$C55,'TL13'!$J$10:$J$224),0),
IF('TL13'!$B$229=O$3,SUMIF('TL13'!$C$238:$C$451,$C55,'TL13'!$J$238:$J$451),0),
IF('TL14'!$B$3=O$3,SUMIF('TL14'!$C$10:$C$224,$C55,'TL14'!$J$10:$J$224),0),
IF('TL14'!$B$229=O$3,SUMIF('TL14'!$C$238:$C$451,$C55,'TL14'!$J$238:$J$451),0),
IF('TL15'!$B$3=O$3,SUMIF('TL15'!$C$10:$C$224,$C55,'TL15'!$J$10:$J$224),0),
IF('TL15'!$B$229=O$3,SUMIF('TL15'!$C$238:$C$451,$C55,'TL15'!$J$238:$J$451),0),
IF('TL16'!$B$3=O$3,SUMIF('TL16'!$C$10:$C$224,$C55,'TL16'!$J$10:$J$224),0),
IF('TL16'!$B$229=O$3,SUMIF('TL16'!$C$238:$C$451,$C55,'TL16'!$J$238:$J$451),0),
IF('TL17'!$B$3=O$3,SUMIF('TL17'!$C$10:$C$224,$C55,'TL17'!$J$10:$J$224),0),
IF('TL17'!$B$229=O$3,SUMIF('TL17'!$C$238:$C$451,$C55,'TL17'!$J$238:$J$451),0),
IF('TL18'!$B$3=O$3,SUMIF('TL18'!$C$10:$C$224,$C55,'TL18'!$J$10:$J$224),0),
IF('TL18'!$B$229=O$3,SUMIF('TL18'!$C$238:$C$451,$C55,'TL18'!$J$238:$J$451),0),
IF('TL19'!$B$3=O$3,SUMIF('TL19'!$C$10:$C$224,$C55,'TL19'!$J$10:$J$224),0),
IF('TL19'!$B$229=O$3,SUMIF('TL19'!$C$238:$C$451,$C55,'TL19'!$J$238:$J$451),0)
),0)</f>
        <v>0</v>
      </c>
      <c r="P55" s="9">
        <f>IFERROR(SUM(
IF('TL01'!$B$3=P$3,SUMIF('TL01'!$C$10:$C$224,$C55,'TL01'!$J$10:$J$224),0),
IF('TL01'!$B$229=P$3,SUMIF('TL01'!$C$238:$C$451,$C55,'TL01'!$J$238:$J$451),0),
IF('TL02'!$B$3=P$3,SUMIF('TL02'!$C$10:$C$224,$C55,'TL02'!$J$10:$J$224),0),
IF('TL02'!$B$229=P$3,SUMIF('TL02'!$C$238:$C$451,$C55,'TL02'!$J$238:$J$451),0),
IF('TL03'!$B$3=P$3,SUMIF('TL03'!$C$10:$C$224,$C55,'TL03'!$J$10:$J$224),0),
IF('TL03'!$B$229=P$3,SUMIF('TL03'!$C$238:$C$451,$C55,'TL03'!$J$238:$J$451),0),
IF('TL04'!$B$3=P$3,SUMIF('TL04'!$C$10:$C$224,$C55,'TL04'!$J$10:$J$224),0),
IF('TL04'!$B$229=P$3,SUMIF('TL04'!$C$238:$C$451,$C55,'TL04'!$J$238:$J$451),0),
IF('TL05'!$B$3=P$3,SUMIF('TL05'!$C$10:$C$224,$C55,'TL05'!$J$10:$J$224),0),
IF('TL05'!$B$229=P$3,SUMIF('TL05'!$C$238:$C$451,$C55,'TL05'!$J$238:$J$451),0),
IF('TL06'!$B$3=P$3,SUMIF('TL06'!$C$10:$C$224,$C55,'TL06'!$J$10:$J$224),0),
IF('TL06'!$B$229=P$3,SUMIF('TL06'!$C$238:$C$451,$C55,'TL06'!$J$238:$J$451),0),
IF('TL07'!$B$3=P$3,SUMIF('TL07'!$C$10:$C$224,$C55,'TL07'!$J$10:$J$224),0),
IF('TL07'!$B$229=P$3,SUMIF('TL07'!$C$238:$C$451,$C55,'TL07'!$J$238:$J$451),0),
IF('TL08'!$B$3=P$3,SUMIF('TL08'!$C$10:$C$224,$C55,'TL08'!$J$10:$J$224),0),
IF('TL08'!$B$229=P$3,SUMIF('TL08'!$C$238:$C$451,$C55,'TL08'!$J$238:$J$451),0),
IF('TL09'!$B$3=P$3,SUMIF('TL09'!$C$10:$C$224,$C55,'TL09'!$J$10:$J$224),0),
IF('TL09'!$B$229=P$3,SUMIF('TL09'!$C$238:$C$451,$C55,'TL09'!$J$238:$J$451),0),
IF('TL10'!$B$3=P$3,SUMIF('TL10'!$C$10:$C$224,$C55,'TL10'!$J$10:$J$224),0),
IF('TL10'!$B$229=P$3,SUMIF('TL10'!$C$238:$C$451,$C55,'TL10'!$J$238:$J$451),0),
IF('TL11'!$B$3=P$3,SUMIF('TL11'!$C$10:$C$224,$C55,'TL11'!$J$10:$J$224),0),
IF('TL11'!$B$229=P$3,SUMIF('TL11'!$C$238:$C$451,$C55,'TL11'!$J$238:$J$451),0),
IF('TL12'!$B$3=P$3,SUMIF('TL12'!$C$10:$C$224,$C55,'TL12'!$J$10:$J$224),0),
IF('TL12'!$B$229=P$3,SUMIF('TL12'!$C$238:$C$451,$C55,'TL12'!$J$238:$J$451),0),
IF('TL13'!$B$3=P$3,SUMIF('TL13'!$C$10:$C$224,$C55,'TL13'!$J$10:$J$224),0),
IF('TL13'!$B$229=P$3,SUMIF('TL13'!$C$238:$C$451,$C55,'TL13'!$J$238:$J$451),0),
IF('TL14'!$B$3=P$3,SUMIF('TL14'!$C$10:$C$224,$C55,'TL14'!$J$10:$J$224),0),
IF('TL14'!$B$229=P$3,SUMIF('TL14'!$C$238:$C$451,$C55,'TL14'!$J$238:$J$451),0),
IF('TL15'!$B$3=P$3,SUMIF('TL15'!$C$10:$C$224,$C55,'TL15'!$J$10:$J$224),0),
IF('TL15'!$B$229=P$3,SUMIF('TL15'!$C$238:$C$451,$C55,'TL15'!$J$238:$J$451),0),
IF('TL16'!$B$3=P$3,SUMIF('TL16'!$C$10:$C$224,$C55,'TL16'!$J$10:$J$224),0),
IF('TL16'!$B$229=P$3,SUMIF('TL16'!$C$238:$C$451,$C55,'TL16'!$J$238:$J$451),0),
IF('TL17'!$B$3=P$3,SUMIF('TL17'!$C$10:$C$224,$C55,'TL17'!$J$10:$J$224),0),
IF('TL17'!$B$229=P$3,SUMIF('TL17'!$C$238:$C$451,$C55,'TL17'!$J$238:$J$451),0),
IF('TL18'!$B$3=P$3,SUMIF('TL18'!$C$10:$C$224,$C55,'TL18'!$J$10:$J$224),0),
IF('TL18'!$B$229=P$3,SUMIF('TL18'!$C$238:$C$451,$C55,'TL18'!$J$238:$J$451),0),
IF('TL19'!$B$3=P$3,SUMIF('TL19'!$C$10:$C$224,$C55,'TL19'!$J$10:$J$224),0),
IF('TL19'!$B$229=P$3,SUMIF('TL19'!$C$238:$C$451,$C55,'TL19'!$J$238:$J$451),0)
),0)</f>
        <v>0</v>
      </c>
      <c r="Q55" s="9">
        <f>IFERROR(SUM(
IF('TL01'!$B$3=Q$3,SUMIF('TL01'!$C$10:$C$224,$C55,'TL01'!$J$10:$J$224),0),
IF('TL01'!$B$229=Q$3,SUMIF('TL01'!$C$238:$C$451,$C55,'TL01'!$J$238:$J$451),0),
IF('TL02'!$B$3=Q$3,SUMIF('TL02'!$C$10:$C$224,$C55,'TL02'!$J$10:$J$224),0),
IF('TL02'!$B$229=Q$3,SUMIF('TL02'!$C$238:$C$451,$C55,'TL02'!$J$238:$J$451),0),
IF('TL03'!$B$3=Q$3,SUMIF('TL03'!$C$10:$C$224,$C55,'TL03'!$J$10:$J$224),0),
IF('TL03'!$B$229=Q$3,SUMIF('TL03'!$C$238:$C$451,$C55,'TL03'!$J$238:$J$451),0),
IF('TL04'!$B$3=Q$3,SUMIF('TL04'!$C$10:$C$224,$C55,'TL04'!$J$10:$J$224),0),
IF('TL04'!$B$229=Q$3,SUMIF('TL04'!$C$238:$C$451,$C55,'TL04'!$J$238:$J$451),0),
IF('TL05'!$B$3=Q$3,SUMIF('TL05'!$C$10:$C$224,$C55,'TL05'!$J$10:$J$224),0),
IF('TL05'!$B$229=Q$3,SUMIF('TL05'!$C$238:$C$451,$C55,'TL05'!$J$238:$J$451),0),
IF('TL06'!$B$3=Q$3,SUMIF('TL06'!$C$10:$C$224,$C55,'TL06'!$J$10:$J$224),0),
IF('TL06'!$B$229=Q$3,SUMIF('TL06'!$C$238:$C$451,$C55,'TL06'!$J$238:$J$451),0),
IF('TL07'!$B$3=Q$3,SUMIF('TL07'!$C$10:$C$224,$C55,'TL07'!$J$10:$J$224),0),
IF('TL07'!$B$229=Q$3,SUMIF('TL07'!$C$238:$C$451,$C55,'TL07'!$J$238:$J$451),0),
IF('TL08'!$B$3=Q$3,SUMIF('TL08'!$C$10:$C$224,$C55,'TL08'!$J$10:$J$224),0),
IF('TL08'!$B$229=Q$3,SUMIF('TL08'!$C$238:$C$451,$C55,'TL08'!$J$238:$J$451),0),
IF('TL09'!$B$3=Q$3,SUMIF('TL09'!$C$10:$C$224,$C55,'TL09'!$J$10:$J$224),0),
IF('TL09'!$B$229=Q$3,SUMIF('TL09'!$C$238:$C$451,$C55,'TL09'!$J$238:$J$451),0),
IF('TL10'!$B$3=Q$3,SUMIF('TL10'!$C$10:$C$224,$C55,'TL10'!$J$10:$J$224),0),
IF('TL10'!$B$229=Q$3,SUMIF('TL10'!$C$238:$C$451,$C55,'TL10'!$J$238:$J$451),0),
IF('TL11'!$B$3=Q$3,SUMIF('TL11'!$C$10:$C$224,$C55,'TL11'!$J$10:$J$224),0),
IF('TL11'!$B$229=Q$3,SUMIF('TL11'!$C$238:$C$451,$C55,'TL11'!$J$238:$J$451),0),
IF('TL12'!$B$3=Q$3,SUMIF('TL12'!$C$10:$C$224,$C55,'TL12'!$J$10:$J$224),0),
IF('TL12'!$B$229=Q$3,SUMIF('TL12'!$C$238:$C$451,$C55,'TL12'!$J$238:$J$451),0),
IF('TL13'!$B$3=Q$3,SUMIF('TL13'!$C$10:$C$224,$C55,'TL13'!$J$10:$J$224),0),
IF('TL13'!$B$229=Q$3,SUMIF('TL13'!$C$238:$C$451,$C55,'TL13'!$J$238:$J$451),0),
IF('TL14'!$B$3=Q$3,SUMIF('TL14'!$C$10:$C$224,$C55,'TL14'!$J$10:$J$224),0),
IF('TL14'!$B$229=Q$3,SUMIF('TL14'!$C$238:$C$451,$C55,'TL14'!$J$238:$J$451),0),
IF('TL15'!$B$3=Q$3,SUMIF('TL15'!$C$10:$C$224,$C55,'TL15'!$J$10:$J$224),0),
IF('TL15'!$B$229=Q$3,SUMIF('TL15'!$C$238:$C$451,$C55,'TL15'!$J$238:$J$451),0),
IF('TL16'!$B$3=Q$3,SUMIF('TL16'!$C$10:$C$224,$C55,'TL16'!$J$10:$J$224),0),
IF('TL16'!$B$229=Q$3,SUMIF('TL16'!$C$238:$C$451,$C55,'TL16'!$J$238:$J$451),0),
IF('TL17'!$B$3=Q$3,SUMIF('TL17'!$C$10:$C$224,$C55,'TL17'!$J$10:$J$224),0),
IF('TL17'!$B$229=Q$3,SUMIF('TL17'!$C$238:$C$451,$C55,'TL17'!$J$238:$J$451),0),
IF('TL18'!$B$3=Q$3,SUMIF('TL18'!$C$10:$C$224,$C55,'TL18'!$J$10:$J$224),0),
IF('TL18'!$B$229=Q$3,SUMIF('TL18'!$C$238:$C$451,$C55,'TL18'!$J$238:$J$451),0),
IF('TL19'!$B$3=Q$3,SUMIF('TL19'!$C$10:$C$224,$C55,'TL19'!$J$10:$J$224),0),
IF('TL19'!$B$229=Q$3,SUMIF('TL19'!$C$238:$C$451,$C55,'TL19'!$J$238:$J$451),0)
),0)</f>
        <v>0</v>
      </c>
      <c r="R55" s="9">
        <f>IFERROR(
SUM(
SUMIF('TL01'!C:C,C55,'TL01'!J:J),
SUMIF('TL02'!C:C,C55,'TL02'!J:J),
SUMIF('TL03'!C:C,C55,'TL03'!J:J),
SUMIF('TL04'!C:C,C55,'TL04'!J:J),
SUMIF('TL05'!C:C,C55,'TL05'!J:J),
SUMIF('TL06'!C:C,C55,'TL06'!J:J),
SUMIF('TL07'!C:C,C55,'TL07'!J:J),
SUMIF('TL08'!C:C,C55,'TL08'!J:J),
SUMIF('TL09'!C:C,C55,'TL09'!J:J),
SUMIF('TL10'!C:C,C55,'TL10'!J:J),
SUMIF('TL11'!C:C,C55,'TL11'!J:J),
SUMIF('TL12'!C:C,C55,'TL12'!J:J),
SUMIF('TL13'!C:C,C55,'TL13'!J:J),
SUMIF('TL14'!C:C,C55,'TL14'!J:J),
SUMIF('TL15'!C:C,C55,'TL15'!J:J),
SUMIF('TL16'!C:C,C55,'TL16'!J:J),
SUMIF('TL17'!C:C,C55,'TL17'!J:J),
SUMIF('TL18'!C:C,C55,'TL18'!J:J),SUMIF('TL19'!C:C,C55,'TL19'!J:J))
,0)</f>
        <v>0</v>
      </c>
      <c r="S55" s="17">
        <f>IFERROR(__xludf.DUMMYFUNCTION("IFERROR(VLOOKUP(C55,
IMPORTRANGE(""1wULbzX32WdYsx-lj2U3uUNBBe2INVIRDtcK0d-Dvl90"",
""26-27!C:G""),
5,
FALSE),
"""")"),179.14896000000005)</f>
        <v>179.14896</v>
      </c>
      <c r="T55" s="9"/>
      <c r="U55" s="92">
        <f t="shared" si="2"/>
        <v>0</v>
      </c>
      <c r="V55" s="93">
        <f t="shared" si="3"/>
        <v>0</v>
      </c>
    </row>
    <row r="56" ht="15.75" hidden="1" customHeight="1">
      <c r="A56" s="115" t="s">
        <v>350</v>
      </c>
      <c r="B56" s="100" t="s">
        <v>3</v>
      </c>
      <c r="C56" s="116" t="s">
        <v>479</v>
      </c>
      <c r="D56" s="116" t="s">
        <v>463</v>
      </c>
      <c r="E56" s="116">
        <v>500.0</v>
      </c>
      <c r="F56" s="4" t="s">
        <v>343</v>
      </c>
      <c r="G56" s="90" t="str">
        <f t="shared" si="4"/>
        <v>📄 Ver bula</v>
      </c>
      <c r="H56" s="9">
        <f>IFERROR(__xludf.DUMMYFUNCTION("IFERROR(VLOOKUP(C56,
IMPORTRANGE(""1wULbzX32WdYsx-lj2U3uUNBBe2INVIRDtcK0d-Dvl90"",
""26-27!C:K""),
8,
FALSE),
"""")"),0.5)</f>
        <v>0.5</v>
      </c>
      <c r="I56" s="117" t="s">
        <v>361</v>
      </c>
      <c r="J56" s="9">
        <f>IFERROR(SUM(
IF('TL01'!$B$3=J$3,SUMIF('TL01'!$C$10:$C$224,$C56,'TL01'!$J$10:$J$224),0),
IF('TL01'!$B$229=J$3,SUMIF('TL01'!$C$238:$C$451,$C56,'TL01'!$J$238:$J$451),0),
IF('TL02'!$B$3=J$3,SUMIF('TL02'!$C$10:$C$224,$C56,'TL02'!$J$10:$J$224),0),
IF('TL02'!$B$229=J$3,SUMIF('TL02'!$C$238:$C$451,$C56,'TL02'!$J$238:$J$451),0),
IF('TL03'!$B$3=J$3,SUMIF('TL03'!$C$10:$C$224,$C56,'TL03'!$J$10:$J$224),0),
IF('TL03'!$B$229=J$3,SUMIF('TL03'!$C$238:$C$451,$C56,'TL03'!$J$238:$J$451),0),
IF('TL04'!$B$3=J$3,SUMIF('TL04'!$C$10:$C$224,$C56,'TL04'!$J$10:$J$224),0),
IF('TL04'!$B$229=J$3,SUMIF('TL04'!$C$238:$C$451,$C56,'TL04'!$J$238:$J$451),0),
IF('TL05'!$B$3=J$3,SUMIF('TL05'!$C$10:$C$224,$C56,'TL05'!$J$10:$J$224),0),
IF('TL05'!$B$229=J$3,SUMIF('TL05'!$C$238:$C$451,$C56,'TL05'!$J$238:$J$451),0),
IF('TL06'!$B$3=J$3,SUMIF('TL06'!$C$10:$C$224,$C56,'TL06'!$J$10:$J$224),0),
IF('TL06'!$B$229=J$3,SUMIF('TL06'!$C$238:$C$451,$C56,'TL06'!$J$238:$J$451),0),
IF('TL07'!$B$3=J$3,SUMIF('TL07'!$C$10:$C$224,$C56,'TL07'!$J$10:$J$224),0),
IF('TL07'!$B$229=J$3,SUMIF('TL07'!$C$238:$C$451,$C56,'TL07'!$J$238:$J$451),0),
IF('TL08'!$B$3=J$3,SUMIF('TL08'!$C$10:$C$224,$C56,'TL08'!$J$10:$J$224),0),
IF('TL08'!$B$229=J$3,SUMIF('TL08'!$C$238:$C$451,$C56,'TL08'!$J$238:$J$451),0),
IF('TL09'!$B$3=J$3,SUMIF('TL09'!$C$10:$C$224,$C56,'TL09'!$J$10:$J$224),0),
IF('TL09'!$B$229=J$3,SUMIF('TL09'!$C$238:$C$451,$C56,'TL09'!$J$238:$J$451),0),
IF('TL10'!$B$3=J$3,SUMIF('TL10'!$C$10:$C$224,$C56,'TL10'!$J$10:$J$224),0),
IF('TL10'!$B$229=J$3,SUMIF('TL10'!$C$238:$C$451,$C56,'TL10'!$J$238:$J$451),0),
IF('TL11'!$B$3=J$3,SUMIF('TL11'!$C$10:$C$224,$C56,'TL11'!$J$10:$J$224),0),
IF('TL11'!$B$229=J$3,SUMIF('TL11'!$C$238:$C$451,$C56,'TL11'!$J$238:$J$451),0),
IF('TL12'!$B$3=J$3,SUMIF('TL12'!$C$10:$C$224,$C56,'TL12'!$J$10:$J$224),0),
IF('TL12'!$B$229=J$3,SUMIF('TL12'!$C$238:$C$451,$C56,'TL12'!$J$238:$J$451),0),
IF('TL13'!$B$3=J$3,SUMIF('TL13'!$C$10:$C$224,$C56,'TL13'!$J$10:$J$224),0),
IF('TL13'!$B$229=J$3,SUMIF('TL13'!$C$238:$C$451,$C56,'TL13'!$J$238:$J$451),0),
IF('TL14'!$B$3=J$3,SUMIF('TL14'!$C$10:$C$224,$C56,'TL14'!$J$10:$J$224),0),
IF('TL14'!$B$229=J$3,SUMIF('TL14'!$C$238:$C$451,$C56,'TL14'!$J$238:$J$451),0),
IF('TL15'!$B$3=J$3,SUMIF('TL15'!$C$10:$C$224,$C56,'TL15'!$J$10:$J$224),0),
IF('TL15'!$B$229=J$3,SUMIF('TL15'!$C$238:$C$451,$C56,'TL15'!$J$238:$J$451),0),
IF('TL16'!$B$3=J$3,SUMIF('TL16'!$C$10:$C$224,$C56,'TL16'!$J$10:$J$224),0),
IF('TL16'!$B$229=J$3,SUMIF('TL16'!$C$238:$C$451,$C56,'TL16'!$J$238:$J$451),0),
IF('TL17'!$B$3=J$3,SUMIF('TL17'!$C$10:$C$224,$C56,'TL17'!$J$10:$J$224),0),
IF('TL17'!$B$229=J$3,SUMIF('TL17'!$C$238:$C$451,$C56,'TL17'!$J$238:$J$451),0),
IF('TL18'!$B$3=J$3,SUMIF('TL18'!$C$10:$C$224,$C56,'TL18'!$J$10:$J$224),0),
IF('TL18'!$B$229=J$3,SUMIF('TL18'!$C$238:$C$451,$C56,'TL18'!$J$238:$J$451),0),
IF('TL19'!$B$3=J$3,SUMIF('TL19'!$C$10:$C$224,$C56,'TL19'!$J$10:$J$224),0),
IF('TL19'!$B$229=J$3,SUMIF('TL19'!$C$238:$C$451,$C56,'TL19'!$J$238:$J$451),0)
),0)</f>
        <v>0</v>
      </c>
      <c r="K56" s="9">
        <f>IFERROR(SUM(
IF('TL01'!$B$3=K$3,SUMIF('TL01'!$C$10:$C$224,$C56,'TL01'!$J$10:$J$224),0),
IF('TL01'!$B$229=K$3,SUMIF('TL01'!$C$238:$C$451,$C56,'TL01'!$J$238:$J$451),0),
IF('TL02'!$B$3=K$3,SUMIF('TL02'!$C$10:$C$224,$C56,'TL02'!$J$10:$J$224),0),
IF('TL02'!$B$229=K$3,SUMIF('TL02'!$C$238:$C$451,$C56,'TL02'!$J$238:$J$451),0),
IF('TL03'!$B$3=K$3,SUMIF('TL03'!$C$10:$C$224,$C56,'TL03'!$J$10:$J$224),0),
IF('TL03'!$B$229=K$3,SUMIF('TL03'!$C$238:$C$451,$C56,'TL03'!$J$238:$J$451),0),
IF('TL04'!$B$3=K$3,SUMIF('TL04'!$C$10:$C$224,$C56,'TL04'!$J$10:$J$224),0),
IF('TL04'!$B$229=K$3,SUMIF('TL04'!$C$238:$C$451,$C56,'TL04'!$J$238:$J$451),0),
IF('TL05'!$B$3=K$3,SUMIF('TL05'!$C$10:$C$224,$C56,'TL05'!$J$10:$J$224),0),
IF('TL05'!$B$229=K$3,SUMIF('TL05'!$C$238:$C$451,$C56,'TL05'!$J$238:$J$451),0),
IF('TL06'!$B$3=K$3,SUMIF('TL06'!$C$10:$C$224,$C56,'TL06'!$J$10:$J$224),0),
IF('TL06'!$B$229=K$3,SUMIF('TL06'!$C$238:$C$451,$C56,'TL06'!$J$238:$J$451),0),
IF('TL07'!$B$3=K$3,SUMIF('TL07'!$C$10:$C$224,$C56,'TL07'!$J$10:$J$224),0),
IF('TL07'!$B$229=K$3,SUMIF('TL07'!$C$238:$C$451,$C56,'TL07'!$J$238:$J$451),0),
IF('TL08'!$B$3=K$3,SUMIF('TL08'!$C$10:$C$224,$C56,'TL08'!$J$10:$J$224),0),
IF('TL08'!$B$229=K$3,SUMIF('TL08'!$C$238:$C$451,$C56,'TL08'!$J$238:$J$451),0),
IF('TL09'!$B$3=K$3,SUMIF('TL09'!$C$10:$C$224,$C56,'TL09'!$J$10:$J$224),0),
IF('TL09'!$B$229=K$3,SUMIF('TL09'!$C$238:$C$451,$C56,'TL09'!$J$238:$J$451),0),
IF('TL10'!$B$3=K$3,SUMIF('TL10'!$C$10:$C$224,$C56,'TL10'!$J$10:$J$224),0),
IF('TL10'!$B$229=K$3,SUMIF('TL10'!$C$238:$C$451,$C56,'TL10'!$J$238:$J$451),0),
IF('TL11'!$B$3=K$3,SUMIF('TL11'!$C$10:$C$224,$C56,'TL11'!$J$10:$J$224),0),
IF('TL11'!$B$229=K$3,SUMIF('TL11'!$C$238:$C$451,$C56,'TL11'!$J$238:$J$451),0),
IF('TL12'!$B$3=K$3,SUMIF('TL12'!$C$10:$C$224,$C56,'TL12'!$J$10:$J$224),0),
IF('TL12'!$B$229=K$3,SUMIF('TL12'!$C$238:$C$451,$C56,'TL12'!$J$238:$J$451),0),
IF('TL13'!$B$3=K$3,SUMIF('TL13'!$C$10:$C$224,$C56,'TL13'!$J$10:$J$224),0),
IF('TL13'!$B$229=K$3,SUMIF('TL13'!$C$238:$C$451,$C56,'TL13'!$J$238:$J$451),0),
IF('TL14'!$B$3=K$3,SUMIF('TL14'!$C$10:$C$224,$C56,'TL14'!$J$10:$J$224),0),
IF('TL14'!$B$229=K$3,SUMIF('TL14'!$C$238:$C$451,$C56,'TL14'!$J$238:$J$451),0),
IF('TL15'!$B$3=K$3,SUMIF('TL15'!$C$10:$C$224,$C56,'TL15'!$J$10:$J$224),0),
IF('TL15'!$B$229=K$3,SUMIF('TL15'!$C$238:$C$451,$C56,'TL15'!$J$238:$J$451),0),
IF('TL16'!$B$3=K$3,SUMIF('TL16'!$C$10:$C$224,$C56,'TL16'!$J$10:$J$224),0),
IF('TL16'!$B$229=K$3,SUMIF('TL16'!$C$238:$C$451,$C56,'TL16'!$J$238:$J$451),0),
IF('TL17'!$B$3=K$3,SUMIF('TL17'!$C$10:$C$224,$C56,'TL17'!$J$10:$J$224),0),
IF('TL17'!$B$229=K$3,SUMIF('TL17'!$C$238:$C$451,$C56,'TL17'!$J$238:$J$451),0),
IF('TL18'!$B$3=K$3,SUMIF('TL18'!$C$10:$C$224,$C56,'TL18'!$J$10:$J$224),0),
IF('TL18'!$B$229=K$3,SUMIF('TL18'!$C$238:$C$451,$C56,'TL18'!$J$238:$J$451),0),
IF('TL19'!$B$3=K$3,SUMIF('TL19'!$C$10:$C$224,$C56,'TL19'!$J$10:$J$224),0),
IF('TL19'!$B$229=K$3,SUMIF('TL19'!$C$238:$C$451,$C56,'TL19'!$J$238:$J$451),0)
),0)</f>
        <v>0</v>
      </c>
      <c r="L56" s="9">
        <f>IFERROR(SUM(
IF('TL01'!$B$3=L$3,SUMIF('TL01'!$C$10:$C$224,$C56,'TL01'!$J$10:$J$224),0),
IF('TL01'!$B$229=L$3,SUMIF('TL01'!$C$238:$C$451,$C56,'TL01'!$J$238:$J$451),0),
IF('TL02'!$B$3=L$3,SUMIF('TL02'!$C$10:$C$224,$C56,'TL02'!$J$10:$J$224),0),
IF('TL02'!$B$229=L$3,SUMIF('TL02'!$C$238:$C$451,$C56,'TL02'!$J$238:$J$451),0),
IF('TL03'!$B$3=L$3,SUMIF('TL03'!$C$10:$C$224,$C56,'TL03'!$J$10:$J$224),0),
IF('TL03'!$B$229=L$3,SUMIF('TL03'!$C$238:$C$451,$C56,'TL03'!$J$238:$J$451),0),
IF('TL04'!$B$3=L$3,SUMIF('TL04'!$C$10:$C$224,$C56,'TL04'!$J$10:$J$224),0),
IF('TL04'!$B$229=L$3,SUMIF('TL04'!$C$238:$C$451,$C56,'TL04'!$J$238:$J$451),0),
IF('TL05'!$B$3=L$3,SUMIF('TL05'!$C$10:$C$224,$C56,'TL05'!$J$10:$J$224),0),
IF('TL05'!$B$229=L$3,SUMIF('TL05'!$C$238:$C$451,$C56,'TL05'!$J$238:$J$451),0),
IF('TL06'!$B$3=L$3,SUMIF('TL06'!$C$10:$C$224,$C56,'TL06'!$J$10:$J$224),0),
IF('TL06'!$B$229=L$3,SUMIF('TL06'!$C$238:$C$451,$C56,'TL06'!$J$238:$J$451),0),
IF('TL07'!$B$3=L$3,SUMIF('TL07'!$C$10:$C$224,$C56,'TL07'!$J$10:$J$224),0),
IF('TL07'!$B$229=L$3,SUMIF('TL07'!$C$238:$C$451,$C56,'TL07'!$J$238:$J$451),0),
IF('TL08'!$B$3=L$3,SUMIF('TL08'!$C$10:$C$224,$C56,'TL08'!$J$10:$J$224),0),
IF('TL08'!$B$229=L$3,SUMIF('TL08'!$C$238:$C$451,$C56,'TL08'!$J$238:$J$451),0),
IF('TL09'!$B$3=L$3,SUMIF('TL09'!$C$10:$C$224,$C56,'TL09'!$J$10:$J$224),0),
IF('TL09'!$B$229=L$3,SUMIF('TL09'!$C$238:$C$451,$C56,'TL09'!$J$238:$J$451),0),
IF('TL10'!$B$3=L$3,SUMIF('TL10'!$C$10:$C$224,$C56,'TL10'!$J$10:$J$224),0),
IF('TL10'!$B$229=L$3,SUMIF('TL10'!$C$238:$C$451,$C56,'TL10'!$J$238:$J$451),0),
IF('TL11'!$B$3=L$3,SUMIF('TL11'!$C$10:$C$224,$C56,'TL11'!$J$10:$J$224),0),
IF('TL11'!$B$229=L$3,SUMIF('TL11'!$C$238:$C$451,$C56,'TL11'!$J$238:$J$451),0),
IF('TL12'!$B$3=L$3,SUMIF('TL12'!$C$10:$C$224,$C56,'TL12'!$J$10:$J$224),0),
IF('TL12'!$B$229=L$3,SUMIF('TL12'!$C$238:$C$451,$C56,'TL12'!$J$238:$J$451),0),
IF('TL13'!$B$3=L$3,SUMIF('TL13'!$C$10:$C$224,$C56,'TL13'!$J$10:$J$224),0),
IF('TL13'!$B$229=L$3,SUMIF('TL13'!$C$238:$C$451,$C56,'TL13'!$J$238:$J$451),0),
IF('TL14'!$B$3=L$3,SUMIF('TL14'!$C$10:$C$224,$C56,'TL14'!$J$10:$J$224),0),
IF('TL14'!$B$229=L$3,SUMIF('TL14'!$C$238:$C$451,$C56,'TL14'!$J$238:$J$451),0),
IF('TL15'!$B$3=L$3,SUMIF('TL15'!$C$10:$C$224,$C56,'TL15'!$J$10:$J$224),0),
IF('TL15'!$B$229=L$3,SUMIF('TL15'!$C$238:$C$451,$C56,'TL15'!$J$238:$J$451),0),
IF('TL16'!$B$3=L$3,SUMIF('TL16'!$C$10:$C$224,$C56,'TL16'!$J$10:$J$224),0),
IF('TL16'!$B$229=L$3,SUMIF('TL16'!$C$238:$C$451,$C56,'TL16'!$J$238:$J$451),0),
IF('TL17'!$B$3=L$3,SUMIF('TL17'!$C$10:$C$224,$C56,'TL17'!$J$10:$J$224),0),
IF('TL17'!$B$229=L$3,SUMIF('TL17'!$C$238:$C$451,$C56,'TL17'!$J$238:$J$451),0),
IF('TL18'!$B$3=L$3,SUMIF('TL18'!$C$10:$C$224,$C56,'TL18'!$J$10:$J$224),0),
IF('TL18'!$B$229=L$3,SUMIF('TL18'!$C$238:$C$451,$C56,'TL18'!$J$238:$J$451),0),
IF('TL19'!$B$3=L$3,SUMIF('TL19'!$C$10:$C$224,$C56,'TL19'!$J$10:$J$224),0),
IF('TL19'!$B$229=L$3,SUMIF('TL19'!$C$238:$C$451,$C56,'TL19'!$J$238:$J$451),0)
),0)</f>
        <v>0</v>
      </c>
      <c r="M56" s="9">
        <f>IFERROR(SUM(
IF('TL01'!$B$3=M$3,SUMIF('TL01'!$C$10:$C$224,$C56,'TL01'!$J$10:$J$224),0),
IF('TL01'!$B$229=M$3,SUMIF('TL01'!$C$238:$C$451,$C56,'TL01'!$J$238:$J$451),0),
IF('TL02'!$B$3=M$3,SUMIF('TL02'!$C$10:$C$224,$C56,'TL02'!$J$10:$J$224),0),
IF('TL02'!$B$229=M$3,SUMIF('TL02'!$C$238:$C$451,$C56,'TL02'!$J$238:$J$451),0),
IF('TL03'!$B$3=M$3,SUMIF('TL03'!$C$10:$C$224,$C56,'TL03'!$J$10:$J$224),0),
IF('TL03'!$B$229=M$3,SUMIF('TL03'!$C$238:$C$451,$C56,'TL03'!$J$238:$J$451),0),
IF('TL04'!$B$3=M$3,SUMIF('TL04'!$C$10:$C$224,$C56,'TL04'!$J$10:$J$224),0),
IF('TL04'!$B$229=M$3,SUMIF('TL04'!$C$238:$C$451,$C56,'TL04'!$J$238:$J$451),0),
IF('TL05'!$B$3=M$3,SUMIF('TL05'!$C$10:$C$224,$C56,'TL05'!$J$10:$J$224),0),
IF('TL05'!$B$229=M$3,SUMIF('TL05'!$C$238:$C$451,$C56,'TL05'!$J$238:$J$451),0),
IF('TL06'!$B$3=M$3,SUMIF('TL06'!$C$10:$C$224,$C56,'TL06'!$J$10:$J$224),0),
IF('TL06'!$B$229=M$3,SUMIF('TL06'!$C$238:$C$451,$C56,'TL06'!$J$238:$J$451),0),
IF('TL07'!$B$3=M$3,SUMIF('TL07'!$C$10:$C$224,$C56,'TL07'!$J$10:$J$224),0),
IF('TL07'!$B$229=M$3,SUMIF('TL07'!$C$238:$C$451,$C56,'TL07'!$J$238:$J$451),0),
IF('TL08'!$B$3=M$3,SUMIF('TL08'!$C$10:$C$224,$C56,'TL08'!$J$10:$J$224),0),
IF('TL08'!$B$229=M$3,SUMIF('TL08'!$C$238:$C$451,$C56,'TL08'!$J$238:$J$451),0),
IF('TL09'!$B$3=M$3,SUMIF('TL09'!$C$10:$C$224,$C56,'TL09'!$J$10:$J$224),0),
IF('TL09'!$B$229=M$3,SUMIF('TL09'!$C$238:$C$451,$C56,'TL09'!$J$238:$J$451),0),
IF('TL10'!$B$3=M$3,SUMIF('TL10'!$C$10:$C$224,$C56,'TL10'!$J$10:$J$224),0),
IF('TL10'!$B$229=M$3,SUMIF('TL10'!$C$238:$C$451,$C56,'TL10'!$J$238:$J$451),0),
IF('TL11'!$B$3=M$3,SUMIF('TL11'!$C$10:$C$224,$C56,'TL11'!$J$10:$J$224),0),
IF('TL11'!$B$229=M$3,SUMIF('TL11'!$C$238:$C$451,$C56,'TL11'!$J$238:$J$451),0),
IF('TL12'!$B$3=M$3,SUMIF('TL12'!$C$10:$C$224,$C56,'TL12'!$J$10:$J$224),0),
IF('TL12'!$B$229=M$3,SUMIF('TL12'!$C$238:$C$451,$C56,'TL12'!$J$238:$J$451),0),
IF('TL13'!$B$3=M$3,SUMIF('TL13'!$C$10:$C$224,$C56,'TL13'!$J$10:$J$224),0),
IF('TL13'!$B$229=M$3,SUMIF('TL13'!$C$238:$C$451,$C56,'TL13'!$J$238:$J$451),0),
IF('TL14'!$B$3=M$3,SUMIF('TL14'!$C$10:$C$224,$C56,'TL14'!$J$10:$J$224),0),
IF('TL14'!$B$229=M$3,SUMIF('TL14'!$C$238:$C$451,$C56,'TL14'!$J$238:$J$451),0),
IF('TL15'!$B$3=M$3,SUMIF('TL15'!$C$10:$C$224,$C56,'TL15'!$J$10:$J$224),0),
IF('TL15'!$B$229=M$3,SUMIF('TL15'!$C$238:$C$451,$C56,'TL15'!$J$238:$J$451),0),
IF('TL16'!$B$3=M$3,SUMIF('TL16'!$C$10:$C$224,$C56,'TL16'!$J$10:$J$224),0),
IF('TL16'!$B$229=M$3,SUMIF('TL16'!$C$238:$C$451,$C56,'TL16'!$J$238:$J$451),0),
IF('TL17'!$B$3=M$3,SUMIF('TL17'!$C$10:$C$224,$C56,'TL17'!$J$10:$J$224),0),
IF('TL17'!$B$229=M$3,SUMIF('TL17'!$C$238:$C$451,$C56,'TL17'!$J$238:$J$451),0),
IF('TL18'!$B$3=M$3,SUMIF('TL18'!$C$10:$C$224,$C56,'TL18'!$J$10:$J$224),0),
IF('TL18'!$B$229=M$3,SUMIF('TL18'!$C$238:$C$451,$C56,'TL18'!$J$238:$J$451),0),
IF('TL19'!$B$3=M$3,SUMIF('TL19'!$C$10:$C$224,$C56,'TL19'!$J$10:$J$224),0),
IF('TL19'!$B$229=M$3,SUMIF('TL19'!$C$238:$C$451,$C56,'TL19'!$J$238:$J$451),0)
),0)</f>
        <v>0</v>
      </c>
      <c r="N56" s="9">
        <f>IFERROR(SUM(
IF('TL01'!$B$3=N$3,SUMIF('TL01'!$C$10:$C$224,$C56,'TL01'!$J$10:$J$224),0),
IF('TL01'!$B$229=N$3,SUMIF('TL01'!$C$238:$C$451,$C56,'TL01'!$J$238:$J$451),0),
IF('TL02'!$B$3=N$3,SUMIF('TL02'!$C$10:$C$224,$C56,'TL02'!$J$10:$J$224),0),
IF('TL02'!$B$229=N$3,SUMIF('TL02'!$C$238:$C$451,$C56,'TL02'!$J$238:$J$451),0),
IF('TL03'!$B$3=N$3,SUMIF('TL03'!$C$10:$C$224,$C56,'TL03'!$J$10:$J$224),0),
IF('TL03'!$B$229=N$3,SUMIF('TL03'!$C$238:$C$451,$C56,'TL03'!$J$238:$J$451),0),
IF('TL04'!$B$3=N$3,SUMIF('TL04'!$C$10:$C$224,$C56,'TL04'!$J$10:$J$224),0),
IF('TL04'!$B$229=N$3,SUMIF('TL04'!$C$238:$C$451,$C56,'TL04'!$J$238:$J$451),0),
IF('TL05'!$B$3=N$3,SUMIF('TL05'!$C$10:$C$224,$C56,'TL05'!$J$10:$J$224),0),
IF('TL05'!$B$229=N$3,SUMIF('TL05'!$C$238:$C$451,$C56,'TL05'!$J$238:$J$451),0),
IF('TL06'!$B$3=N$3,SUMIF('TL06'!$C$10:$C$224,$C56,'TL06'!$J$10:$J$224),0),
IF('TL06'!$B$229=N$3,SUMIF('TL06'!$C$238:$C$451,$C56,'TL06'!$J$238:$J$451),0),
IF('TL07'!$B$3=N$3,SUMIF('TL07'!$C$10:$C$224,$C56,'TL07'!$J$10:$J$224),0),
IF('TL07'!$B$229=N$3,SUMIF('TL07'!$C$238:$C$451,$C56,'TL07'!$J$238:$J$451),0),
IF('TL08'!$B$3=N$3,SUMIF('TL08'!$C$10:$C$224,$C56,'TL08'!$J$10:$J$224),0),
IF('TL08'!$B$229=N$3,SUMIF('TL08'!$C$238:$C$451,$C56,'TL08'!$J$238:$J$451),0),
IF('TL09'!$B$3=N$3,SUMIF('TL09'!$C$10:$C$224,$C56,'TL09'!$J$10:$J$224),0),
IF('TL09'!$B$229=N$3,SUMIF('TL09'!$C$238:$C$451,$C56,'TL09'!$J$238:$J$451),0),
IF('TL10'!$B$3=N$3,SUMIF('TL10'!$C$10:$C$224,$C56,'TL10'!$J$10:$J$224),0),
IF('TL10'!$B$229=N$3,SUMIF('TL10'!$C$238:$C$451,$C56,'TL10'!$J$238:$J$451),0),
IF('TL11'!$B$3=N$3,SUMIF('TL11'!$C$10:$C$224,$C56,'TL11'!$J$10:$J$224),0),
IF('TL11'!$B$229=N$3,SUMIF('TL11'!$C$238:$C$451,$C56,'TL11'!$J$238:$J$451),0),
IF('TL12'!$B$3=N$3,SUMIF('TL12'!$C$10:$C$224,$C56,'TL12'!$J$10:$J$224),0),
IF('TL12'!$B$229=N$3,SUMIF('TL12'!$C$238:$C$451,$C56,'TL12'!$J$238:$J$451),0),
IF('TL13'!$B$3=N$3,SUMIF('TL13'!$C$10:$C$224,$C56,'TL13'!$J$10:$J$224),0),
IF('TL13'!$B$229=N$3,SUMIF('TL13'!$C$238:$C$451,$C56,'TL13'!$J$238:$J$451),0),
IF('TL14'!$B$3=N$3,SUMIF('TL14'!$C$10:$C$224,$C56,'TL14'!$J$10:$J$224),0),
IF('TL14'!$B$229=N$3,SUMIF('TL14'!$C$238:$C$451,$C56,'TL14'!$J$238:$J$451),0),
IF('TL15'!$B$3=N$3,SUMIF('TL15'!$C$10:$C$224,$C56,'TL15'!$J$10:$J$224),0),
IF('TL15'!$B$229=N$3,SUMIF('TL15'!$C$238:$C$451,$C56,'TL15'!$J$238:$J$451),0),
IF('TL16'!$B$3=N$3,SUMIF('TL16'!$C$10:$C$224,$C56,'TL16'!$J$10:$J$224),0),
IF('TL16'!$B$229=N$3,SUMIF('TL16'!$C$238:$C$451,$C56,'TL16'!$J$238:$J$451),0),
IF('TL17'!$B$3=N$3,SUMIF('TL17'!$C$10:$C$224,$C56,'TL17'!$J$10:$J$224),0),
IF('TL17'!$B$229=N$3,SUMIF('TL17'!$C$238:$C$451,$C56,'TL17'!$J$238:$J$451),0),
IF('TL18'!$B$3=N$3,SUMIF('TL18'!$C$10:$C$224,$C56,'TL18'!$J$10:$J$224),0),
IF('TL18'!$B$229=N$3,SUMIF('TL18'!$C$238:$C$451,$C56,'TL18'!$J$238:$J$451),0),
IF('TL19'!$B$3=N$3,SUMIF('TL19'!$C$10:$C$224,$C56,'TL19'!$J$10:$J$224),0),
IF('TL19'!$B$229=N$3,SUMIF('TL19'!$C$238:$C$451,$C56,'TL19'!$J$238:$J$451),0)
),0)</f>
        <v>0</v>
      </c>
      <c r="O56" s="9">
        <f>IFERROR(SUM(
IF('TL01'!$B$3=O$3,SUMIF('TL01'!$C$10:$C$224,$C56,'TL01'!$J$10:$J$224),0),
IF('TL01'!$B$229=O$3,SUMIF('TL01'!$C$238:$C$451,$C56,'TL01'!$J$238:$J$451),0),
IF('TL02'!$B$3=O$3,SUMIF('TL02'!$C$10:$C$224,$C56,'TL02'!$J$10:$J$224),0),
IF('TL02'!$B$229=O$3,SUMIF('TL02'!$C$238:$C$451,$C56,'TL02'!$J$238:$J$451),0),
IF('TL03'!$B$3=O$3,SUMIF('TL03'!$C$10:$C$224,$C56,'TL03'!$J$10:$J$224),0),
IF('TL03'!$B$229=O$3,SUMIF('TL03'!$C$238:$C$451,$C56,'TL03'!$J$238:$J$451),0),
IF('TL04'!$B$3=O$3,SUMIF('TL04'!$C$10:$C$224,$C56,'TL04'!$J$10:$J$224),0),
IF('TL04'!$B$229=O$3,SUMIF('TL04'!$C$238:$C$451,$C56,'TL04'!$J$238:$J$451),0),
IF('TL05'!$B$3=O$3,SUMIF('TL05'!$C$10:$C$224,$C56,'TL05'!$J$10:$J$224),0),
IF('TL05'!$B$229=O$3,SUMIF('TL05'!$C$238:$C$451,$C56,'TL05'!$J$238:$J$451),0),
IF('TL06'!$B$3=O$3,SUMIF('TL06'!$C$10:$C$224,$C56,'TL06'!$J$10:$J$224),0),
IF('TL06'!$B$229=O$3,SUMIF('TL06'!$C$238:$C$451,$C56,'TL06'!$J$238:$J$451),0),
IF('TL07'!$B$3=O$3,SUMIF('TL07'!$C$10:$C$224,$C56,'TL07'!$J$10:$J$224),0),
IF('TL07'!$B$229=O$3,SUMIF('TL07'!$C$238:$C$451,$C56,'TL07'!$J$238:$J$451),0),
IF('TL08'!$B$3=O$3,SUMIF('TL08'!$C$10:$C$224,$C56,'TL08'!$J$10:$J$224),0),
IF('TL08'!$B$229=O$3,SUMIF('TL08'!$C$238:$C$451,$C56,'TL08'!$J$238:$J$451),0),
IF('TL09'!$B$3=O$3,SUMIF('TL09'!$C$10:$C$224,$C56,'TL09'!$J$10:$J$224),0),
IF('TL09'!$B$229=O$3,SUMIF('TL09'!$C$238:$C$451,$C56,'TL09'!$J$238:$J$451),0),
IF('TL10'!$B$3=O$3,SUMIF('TL10'!$C$10:$C$224,$C56,'TL10'!$J$10:$J$224),0),
IF('TL10'!$B$229=O$3,SUMIF('TL10'!$C$238:$C$451,$C56,'TL10'!$J$238:$J$451),0),
IF('TL11'!$B$3=O$3,SUMIF('TL11'!$C$10:$C$224,$C56,'TL11'!$J$10:$J$224),0),
IF('TL11'!$B$229=O$3,SUMIF('TL11'!$C$238:$C$451,$C56,'TL11'!$J$238:$J$451),0),
IF('TL12'!$B$3=O$3,SUMIF('TL12'!$C$10:$C$224,$C56,'TL12'!$J$10:$J$224),0),
IF('TL12'!$B$229=O$3,SUMIF('TL12'!$C$238:$C$451,$C56,'TL12'!$J$238:$J$451),0),
IF('TL13'!$B$3=O$3,SUMIF('TL13'!$C$10:$C$224,$C56,'TL13'!$J$10:$J$224),0),
IF('TL13'!$B$229=O$3,SUMIF('TL13'!$C$238:$C$451,$C56,'TL13'!$J$238:$J$451),0),
IF('TL14'!$B$3=O$3,SUMIF('TL14'!$C$10:$C$224,$C56,'TL14'!$J$10:$J$224),0),
IF('TL14'!$B$229=O$3,SUMIF('TL14'!$C$238:$C$451,$C56,'TL14'!$J$238:$J$451),0),
IF('TL15'!$B$3=O$3,SUMIF('TL15'!$C$10:$C$224,$C56,'TL15'!$J$10:$J$224),0),
IF('TL15'!$B$229=O$3,SUMIF('TL15'!$C$238:$C$451,$C56,'TL15'!$J$238:$J$451),0),
IF('TL16'!$B$3=O$3,SUMIF('TL16'!$C$10:$C$224,$C56,'TL16'!$J$10:$J$224),0),
IF('TL16'!$B$229=O$3,SUMIF('TL16'!$C$238:$C$451,$C56,'TL16'!$J$238:$J$451),0),
IF('TL17'!$B$3=O$3,SUMIF('TL17'!$C$10:$C$224,$C56,'TL17'!$J$10:$J$224),0),
IF('TL17'!$B$229=O$3,SUMIF('TL17'!$C$238:$C$451,$C56,'TL17'!$J$238:$J$451),0),
IF('TL18'!$B$3=O$3,SUMIF('TL18'!$C$10:$C$224,$C56,'TL18'!$J$10:$J$224),0),
IF('TL18'!$B$229=O$3,SUMIF('TL18'!$C$238:$C$451,$C56,'TL18'!$J$238:$J$451),0),
IF('TL19'!$B$3=O$3,SUMIF('TL19'!$C$10:$C$224,$C56,'TL19'!$J$10:$J$224),0),
IF('TL19'!$B$229=O$3,SUMIF('TL19'!$C$238:$C$451,$C56,'TL19'!$J$238:$J$451),0)
),0)</f>
        <v>0</v>
      </c>
      <c r="P56" s="9">
        <f>IFERROR(SUM(
IF('TL01'!$B$3=P$3,SUMIF('TL01'!$C$10:$C$224,$C56,'TL01'!$J$10:$J$224),0),
IF('TL01'!$B$229=P$3,SUMIF('TL01'!$C$238:$C$451,$C56,'TL01'!$J$238:$J$451),0),
IF('TL02'!$B$3=P$3,SUMIF('TL02'!$C$10:$C$224,$C56,'TL02'!$J$10:$J$224),0),
IF('TL02'!$B$229=P$3,SUMIF('TL02'!$C$238:$C$451,$C56,'TL02'!$J$238:$J$451),0),
IF('TL03'!$B$3=P$3,SUMIF('TL03'!$C$10:$C$224,$C56,'TL03'!$J$10:$J$224),0),
IF('TL03'!$B$229=P$3,SUMIF('TL03'!$C$238:$C$451,$C56,'TL03'!$J$238:$J$451),0),
IF('TL04'!$B$3=P$3,SUMIF('TL04'!$C$10:$C$224,$C56,'TL04'!$J$10:$J$224),0),
IF('TL04'!$B$229=P$3,SUMIF('TL04'!$C$238:$C$451,$C56,'TL04'!$J$238:$J$451),0),
IF('TL05'!$B$3=P$3,SUMIF('TL05'!$C$10:$C$224,$C56,'TL05'!$J$10:$J$224),0),
IF('TL05'!$B$229=P$3,SUMIF('TL05'!$C$238:$C$451,$C56,'TL05'!$J$238:$J$451),0),
IF('TL06'!$B$3=P$3,SUMIF('TL06'!$C$10:$C$224,$C56,'TL06'!$J$10:$J$224),0),
IF('TL06'!$B$229=P$3,SUMIF('TL06'!$C$238:$C$451,$C56,'TL06'!$J$238:$J$451),0),
IF('TL07'!$B$3=P$3,SUMIF('TL07'!$C$10:$C$224,$C56,'TL07'!$J$10:$J$224),0),
IF('TL07'!$B$229=P$3,SUMIF('TL07'!$C$238:$C$451,$C56,'TL07'!$J$238:$J$451),0),
IF('TL08'!$B$3=P$3,SUMIF('TL08'!$C$10:$C$224,$C56,'TL08'!$J$10:$J$224),0),
IF('TL08'!$B$229=P$3,SUMIF('TL08'!$C$238:$C$451,$C56,'TL08'!$J$238:$J$451),0),
IF('TL09'!$B$3=P$3,SUMIF('TL09'!$C$10:$C$224,$C56,'TL09'!$J$10:$J$224),0),
IF('TL09'!$B$229=P$3,SUMIF('TL09'!$C$238:$C$451,$C56,'TL09'!$J$238:$J$451),0),
IF('TL10'!$B$3=P$3,SUMIF('TL10'!$C$10:$C$224,$C56,'TL10'!$J$10:$J$224),0),
IF('TL10'!$B$229=P$3,SUMIF('TL10'!$C$238:$C$451,$C56,'TL10'!$J$238:$J$451),0),
IF('TL11'!$B$3=P$3,SUMIF('TL11'!$C$10:$C$224,$C56,'TL11'!$J$10:$J$224),0),
IF('TL11'!$B$229=P$3,SUMIF('TL11'!$C$238:$C$451,$C56,'TL11'!$J$238:$J$451),0),
IF('TL12'!$B$3=P$3,SUMIF('TL12'!$C$10:$C$224,$C56,'TL12'!$J$10:$J$224),0),
IF('TL12'!$B$229=P$3,SUMIF('TL12'!$C$238:$C$451,$C56,'TL12'!$J$238:$J$451),0),
IF('TL13'!$B$3=P$3,SUMIF('TL13'!$C$10:$C$224,$C56,'TL13'!$J$10:$J$224),0),
IF('TL13'!$B$229=P$3,SUMIF('TL13'!$C$238:$C$451,$C56,'TL13'!$J$238:$J$451),0),
IF('TL14'!$B$3=P$3,SUMIF('TL14'!$C$10:$C$224,$C56,'TL14'!$J$10:$J$224),0),
IF('TL14'!$B$229=P$3,SUMIF('TL14'!$C$238:$C$451,$C56,'TL14'!$J$238:$J$451),0),
IF('TL15'!$B$3=P$3,SUMIF('TL15'!$C$10:$C$224,$C56,'TL15'!$J$10:$J$224),0),
IF('TL15'!$B$229=P$3,SUMIF('TL15'!$C$238:$C$451,$C56,'TL15'!$J$238:$J$451),0),
IF('TL16'!$B$3=P$3,SUMIF('TL16'!$C$10:$C$224,$C56,'TL16'!$J$10:$J$224),0),
IF('TL16'!$B$229=P$3,SUMIF('TL16'!$C$238:$C$451,$C56,'TL16'!$J$238:$J$451),0),
IF('TL17'!$B$3=P$3,SUMIF('TL17'!$C$10:$C$224,$C56,'TL17'!$J$10:$J$224),0),
IF('TL17'!$B$229=P$3,SUMIF('TL17'!$C$238:$C$451,$C56,'TL17'!$J$238:$J$451),0),
IF('TL18'!$B$3=P$3,SUMIF('TL18'!$C$10:$C$224,$C56,'TL18'!$J$10:$J$224),0),
IF('TL18'!$B$229=P$3,SUMIF('TL18'!$C$238:$C$451,$C56,'TL18'!$J$238:$J$451),0),
IF('TL19'!$B$3=P$3,SUMIF('TL19'!$C$10:$C$224,$C56,'TL19'!$J$10:$J$224),0),
IF('TL19'!$B$229=P$3,SUMIF('TL19'!$C$238:$C$451,$C56,'TL19'!$J$238:$J$451),0)
),0)</f>
        <v>0</v>
      </c>
      <c r="Q56" s="9">
        <f>IFERROR(SUM(
IF('TL01'!$B$3=Q$3,SUMIF('TL01'!$C$10:$C$224,$C56,'TL01'!$J$10:$J$224),0),
IF('TL01'!$B$229=Q$3,SUMIF('TL01'!$C$238:$C$451,$C56,'TL01'!$J$238:$J$451),0),
IF('TL02'!$B$3=Q$3,SUMIF('TL02'!$C$10:$C$224,$C56,'TL02'!$J$10:$J$224),0),
IF('TL02'!$B$229=Q$3,SUMIF('TL02'!$C$238:$C$451,$C56,'TL02'!$J$238:$J$451),0),
IF('TL03'!$B$3=Q$3,SUMIF('TL03'!$C$10:$C$224,$C56,'TL03'!$J$10:$J$224),0),
IF('TL03'!$B$229=Q$3,SUMIF('TL03'!$C$238:$C$451,$C56,'TL03'!$J$238:$J$451),0),
IF('TL04'!$B$3=Q$3,SUMIF('TL04'!$C$10:$C$224,$C56,'TL04'!$J$10:$J$224),0),
IF('TL04'!$B$229=Q$3,SUMIF('TL04'!$C$238:$C$451,$C56,'TL04'!$J$238:$J$451),0),
IF('TL05'!$B$3=Q$3,SUMIF('TL05'!$C$10:$C$224,$C56,'TL05'!$J$10:$J$224),0),
IF('TL05'!$B$229=Q$3,SUMIF('TL05'!$C$238:$C$451,$C56,'TL05'!$J$238:$J$451),0),
IF('TL06'!$B$3=Q$3,SUMIF('TL06'!$C$10:$C$224,$C56,'TL06'!$J$10:$J$224),0),
IF('TL06'!$B$229=Q$3,SUMIF('TL06'!$C$238:$C$451,$C56,'TL06'!$J$238:$J$451),0),
IF('TL07'!$B$3=Q$3,SUMIF('TL07'!$C$10:$C$224,$C56,'TL07'!$J$10:$J$224),0),
IF('TL07'!$B$229=Q$3,SUMIF('TL07'!$C$238:$C$451,$C56,'TL07'!$J$238:$J$451),0),
IF('TL08'!$B$3=Q$3,SUMIF('TL08'!$C$10:$C$224,$C56,'TL08'!$J$10:$J$224),0),
IF('TL08'!$B$229=Q$3,SUMIF('TL08'!$C$238:$C$451,$C56,'TL08'!$J$238:$J$451),0),
IF('TL09'!$B$3=Q$3,SUMIF('TL09'!$C$10:$C$224,$C56,'TL09'!$J$10:$J$224),0),
IF('TL09'!$B$229=Q$3,SUMIF('TL09'!$C$238:$C$451,$C56,'TL09'!$J$238:$J$451),0),
IF('TL10'!$B$3=Q$3,SUMIF('TL10'!$C$10:$C$224,$C56,'TL10'!$J$10:$J$224),0),
IF('TL10'!$B$229=Q$3,SUMIF('TL10'!$C$238:$C$451,$C56,'TL10'!$J$238:$J$451),0),
IF('TL11'!$B$3=Q$3,SUMIF('TL11'!$C$10:$C$224,$C56,'TL11'!$J$10:$J$224),0),
IF('TL11'!$B$229=Q$3,SUMIF('TL11'!$C$238:$C$451,$C56,'TL11'!$J$238:$J$451),0),
IF('TL12'!$B$3=Q$3,SUMIF('TL12'!$C$10:$C$224,$C56,'TL12'!$J$10:$J$224),0),
IF('TL12'!$B$229=Q$3,SUMIF('TL12'!$C$238:$C$451,$C56,'TL12'!$J$238:$J$451),0),
IF('TL13'!$B$3=Q$3,SUMIF('TL13'!$C$10:$C$224,$C56,'TL13'!$J$10:$J$224),0),
IF('TL13'!$B$229=Q$3,SUMIF('TL13'!$C$238:$C$451,$C56,'TL13'!$J$238:$J$451),0),
IF('TL14'!$B$3=Q$3,SUMIF('TL14'!$C$10:$C$224,$C56,'TL14'!$J$10:$J$224),0),
IF('TL14'!$B$229=Q$3,SUMIF('TL14'!$C$238:$C$451,$C56,'TL14'!$J$238:$J$451),0),
IF('TL15'!$B$3=Q$3,SUMIF('TL15'!$C$10:$C$224,$C56,'TL15'!$J$10:$J$224),0),
IF('TL15'!$B$229=Q$3,SUMIF('TL15'!$C$238:$C$451,$C56,'TL15'!$J$238:$J$451),0),
IF('TL16'!$B$3=Q$3,SUMIF('TL16'!$C$10:$C$224,$C56,'TL16'!$J$10:$J$224),0),
IF('TL16'!$B$229=Q$3,SUMIF('TL16'!$C$238:$C$451,$C56,'TL16'!$J$238:$J$451),0),
IF('TL17'!$B$3=Q$3,SUMIF('TL17'!$C$10:$C$224,$C56,'TL17'!$J$10:$J$224),0),
IF('TL17'!$B$229=Q$3,SUMIF('TL17'!$C$238:$C$451,$C56,'TL17'!$J$238:$J$451),0),
IF('TL18'!$B$3=Q$3,SUMIF('TL18'!$C$10:$C$224,$C56,'TL18'!$J$10:$J$224),0),
IF('TL18'!$B$229=Q$3,SUMIF('TL18'!$C$238:$C$451,$C56,'TL18'!$J$238:$J$451),0),
IF('TL19'!$B$3=Q$3,SUMIF('TL19'!$C$10:$C$224,$C56,'TL19'!$J$10:$J$224),0),
IF('TL19'!$B$229=Q$3,SUMIF('TL19'!$C$238:$C$451,$C56,'TL19'!$J$238:$J$451),0)
),0)</f>
        <v>25.2</v>
      </c>
      <c r="R56" s="9">
        <f>IFERROR(
SUM(
SUMIF('TL01'!C:C,C56,'TL01'!J:J),
SUMIF('TL02'!C:C,C56,'TL02'!J:J),
SUMIF('TL03'!C:C,C56,'TL03'!J:J),
SUMIF('TL04'!C:C,C56,'TL04'!J:J),
SUMIF('TL05'!C:C,C56,'TL05'!J:J),
SUMIF('TL06'!C:C,C56,'TL06'!J:J),
SUMIF('TL07'!C:C,C56,'TL07'!J:J),
SUMIF('TL08'!C:C,C56,'TL08'!J:J),
SUMIF('TL09'!C:C,C56,'TL09'!J:J),
SUMIF('TL10'!C:C,C56,'TL10'!J:J),
SUMIF('TL11'!C:C,C56,'TL11'!J:J),
SUMIF('TL12'!C:C,C56,'TL12'!J:J),
SUMIF('TL13'!C:C,C56,'TL13'!J:J),
SUMIF('TL14'!C:C,C56,'TL14'!J:J),
SUMIF('TL15'!C:C,C56,'TL15'!J:J),
SUMIF('TL16'!C:C,C56,'TL16'!J:J),
SUMIF('TL17'!C:C,C56,'TL17'!J:J),
SUMIF('TL18'!C:C,C56,'TL18'!J:J),SUMIF('TL19'!C:C,C56,'TL19'!J:J))
,0)</f>
        <v>25.2</v>
      </c>
      <c r="S56" s="17">
        <f>IFERROR(__xludf.DUMMYFUNCTION("IFERROR(VLOOKUP(C56,
IMPORTRANGE(""1wULbzX32WdYsx-lj2U3uUNBBe2INVIRDtcK0d-Dvl90"",
""26-27!C:G""),
5,
FALSE),
"""")"),404.5233600000001)</f>
        <v>404.52336</v>
      </c>
      <c r="T56" s="118">
        <v>25.0</v>
      </c>
      <c r="U56" s="92">
        <f t="shared" si="2"/>
        <v>0.2</v>
      </c>
      <c r="V56" s="93">
        <f t="shared" si="3"/>
        <v>80.904672</v>
      </c>
    </row>
    <row r="57" ht="15.75" hidden="1" customHeight="1">
      <c r="A57" s="111" t="s">
        <v>480</v>
      </c>
      <c r="B57" s="112" t="s">
        <v>0</v>
      </c>
      <c r="C57" s="113" t="s">
        <v>481</v>
      </c>
      <c r="D57" s="113" t="s">
        <v>482</v>
      </c>
      <c r="E57" s="113" t="s">
        <v>483</v>
      </c>
      <c r="F57" s="4" t="s">
        <v>343</v>
      </c>
      <c r="G57" s="90" t="str">
        <f t="shared" si="4"/>
        <v>📄 Ver bula</v>
      </c>
      <c r="H57" s="9">
        <f>IFERROR(__xludf.DUMMYFUNCTION("IFERROR(VLOOKUP(C57,
IMPORTRANGE(""1wULbzX32WdYsx-lj2U3uUNBBe2INVIRDtcK0d-Dvl90"",
""26-27!C:K""),
8,
FALSE),
"""")"),0.3)</f>
        <v>0.3</v>
      </c>
      <c r="I57" s="114" t="s">
        <v>344</v>
      </c>
      <c r="J57" s="9">
        <f>IFERROR(SUM(
IF('TL01'!$B$3=J$3,SUMIF('TL01'!$C$10:$C$224,$C57,'TL01'!$J$10:$J$224),0),
IF('TL01'!$B$229=J$3,SUMIF('TL01'!$C$238:$C$451,$C57,'TL01'!$J$238:$J$451),0),
IF('TL02'!$B$3=J$3,SUMIF('TL02'!$C$10:$C$224,$C57,'TL02'!$J$10:$J$224),0),
IF('TL02'!$B$229=J$3,SUMIF('TL02'!$C$238:$C$451,$C57,'TL02'!$J$238:$J$451),0),
IF('TL03'!$B$3=J$3,SUMIF('TL03'!$C$10:$C$224,$C57,'TL03'!$J$10:$J$224),0),
IF('TL03'!$B$229=J$3,SUMIF('TL03'!$C$238:$C$451,$C57,'TL03'!$J$238:$J$451),0),
IF('TL04'!$B$3=J$3,SUMIF('TL04'!$C$10:$C$224,$C57,'TL04'!$J$10:$J$224),0),
IF('TL04'!$B$229=J$3,SUMIF('TL04'!$C$238:$C$451,$C57,'TL04'!$J$238:$J$451),0),
IF('TL05'!$B$3=J$3,SUMIF('TL05'!$C$10:$C$224,$C57,'TL05'!$J$10:$J$224),0),
IF('TL05'!$B$229=J$3,SUMIF('TL05'!$C$238:$C$451,$C57,'TL05'!$J$238:$J$451),0),
IF('TL06'!$B$3=J$3,SUMIF('TL06'!$C$10:$C$224,$C57,'TL06'!$J$10:$J$224),0),
IF('TL06'!$B$229=J$3,SUMIF('TL06'!$C$238:$C$451,$C57,'TL06'!$J$238:$J$451),0),
IF('TL07'!$B$3=J$3,SUMIF('TL07'!$C$10:$C$224,$C57,'TL07'!$J$10:$J$224),0),
IF('TL07'!$B$229=J$3,SUMIF('TL07'!$C$238:$C$451,$C57,'TL07'!$J$238:$J$451),0),
IF('TL08'!$B$3=J$3,SUMIF('TL08'!$C$10:$C$224,$C57,'TL08'!$J$10:$J$224),0),
IF('TL08'!$B$229=J$3,SUMIF('TL08'!$C$238:$C$451,$C57,'TL08'!$J$238:$J$451),0),
IF('TL09'!$B$3=J$3,SUMIF('TL09'!$C$10:$C$224,$C57,'TL09'!$J$10:$J$224),0),
IF('TL09'!$B$229=J$3,SUMIF('TL09'!$C$238:$C$451,$C57,'TL09'!$J$238:$J$451),0),
IF('TL10'!$B$3=J$3,SUMIF('TL10'!$C$10:$C$224,$C57,'TL10'!$J$10:$J$224),0),
IF('TL10'!$B$229=J$3,SUMIF('TL10'!$C$238:$C$451,$C57,'TL10'!$J$238:$J$451),0),
IF('TL11'!$B$3=J$3,SUMIF('TL11'!$C$10:$C$224,$C57,'TL11'!$J$10:$J$224),0),
IF('TL11'!$B$229=J$3,SUMIF('TL11'!$C$238:$C$451,$C57,'TL11'!$J$238:$J$451),0),
IF('TL12'!$B$3=J$3,SUMIF('TL12'!$C$10:$C$224,$C57,'TL12'!$J$10:$J$224),0),
IF('TL12'!$B$229=J$3,SUMIF('TL12'!$C$238:$C$451,$C57,'TL12'!$J$238:$J$451),0),
IF('TL13'!$B$3=J$3,SUMIF('TL13'!$C$10:$C$224,$C57,'TL13'!$J$10:$J$224),0),
IF('TL13'!$B$229=J$3,SUMIF('TL13'!$C$238:$C$451,$C57,'TL13'!$J$238:$J$451),0),
IF('TL14'!$B$3=J$3,SUMIF('TL14'!$C$10:$C$224,$C57,'TL14'!$J$10:$J$224),0),
IF('TL14'!$B$229=J$3,SUMIF('TL14'!$C$238:$C$451,$C57,'TL14'!$J$238:$J$451),0),
IF('TL15'!$B$3=J$3,SUMIF('TL15'!$C$10:$C$224,$C57,'TL15'!$J$10:$J$224),0),
IF('TL15'!$B$229=J$3,SUMIF('TL15'!$C$238:$C$451,$C57,'TL15'!$J$238:$J$451),0),
IF('TL16'!$B$3=J$3,SUMIF('TL16'!$C$10:$C$224,$C57,'TL16'!$J$10:$J$224),0),
IF('TL16'!$B$229=J$3,SUMIF('TL16'!$C$238:$C$451,$C57,'TL16'!$J$238:$J$451),0),
IF('TL17'!$B$3=J$3,SUMIF('TL17'!$C$10:$C$224,$C57,'TL17'!$J$10:$J$224),0),
IF('TL17'!$B$229=J$3,SUMIF('TL17'!$C$238:$C$451,$C57,'TL17'!$J$238:$J$451),0),
IF('TL18'!$B$3=J$3,SUMIF('TL18'!$C$10:$C$224,$C57,'TL18'!$J$10:$J$224),0),
IF('TL18'!$B$229=J$3,SUMIF('TL18'!$C$238:$C$451,$C57,'TL18'!$J$238:$J$451),0),
IF('TL19'!$B$3=J$3,SUMIF('TL19'!$C$10:$C$224,$C57,'TL19'!$J$10:$J$224),0),
IF('TL19'!$B$229=J$3,SUMIF('TL19'!$C$238:$C$451,$C57,'TL19'!$J$238:$J$451),0)
),0)</f>
        <v>0</v>
      </c>
      <c r="K57" s="9">
        <f>IFERROR(SUM(
IF('TL01'!$B$3=K$3,SUMIF('TL01'!$C$10:$C$224,$C57,'TL01'!$J$10:$J$224),0),
IF('TL01'!$B$229=K$3,SUMIF('TL01'!$C$238:$C$451,$C57,'TL01'!$J$238:$J$451),0),
IF('TL02'!$B$3=K$3,SUMIF('TL02'!$C$10:$C$224,$C57,'TL02'!$J$10:$J$224),0),
IF('TL02'!$B$229=K$3,SUMIF('TL02'!$C$238:$C$451,$C57,'TL02'!$J$238:$J$451),0),
IF('TL03'!$B$3=K$3,SUMIF('TL03'!$C$10:$C$224,$C57,'TL03'!$J$10:$J$224),0),
IF('TL03'!$B$229=K$3,SUMIF('TL03'!$C$238:$C$451,$C57,'TL03'!$J$238:$J$451),0),
IF('TL04'!$B$3=K$3,SUMIF('TL04'!$C$10:$C$224,$C57,'TL04'!$J$10:$J$224),0),
IF('TL04'!$B$229=K$3,SUMIF('TL04'!$C$238:$C$451,$C57,'TL04'!$J$238:$J$451),0),
IF('TL05'!$B$3=K$3,SUMIF('TL05'!$C$10:$C$224,$C57,'TL05'!$J$10:$J$224),0),
IF('TL05'!$B$229=K$3,SUMIF('TL05'!$C$238:$C$451,$C57,'TL05'!$J$238:$J$451),0),
IF('TL06'!$B$3=K$3,SUMIF('TL06'!$C$10:$C$224,$C57,'TL06'!$J$10:$J$224),0),
IF('TL06'!$B$229=K$3,SUMIF('TL06'!$C$238:$C$451,$C57,'TL06'!$J$238:$J$451),0),
IF('TL07'!$B$3=K$3,SUMIF('TL07'!$C$10:$C$224,$C57,'TL07'!$J$10:$J$224),0),
IF('TL07'!$B$229=K$3,SUMIF('TL07'!$C$238:$C$451,$C57,'TL07'!$J$238:$J$451),0),
IF('TL08'!$B$3=K$3,SUMIF('TL08'!$C$10:$C$224,$C57,'TL08'!$J$10:$J$224),0),
IF('TL08'!$B$229=K$3,SUMIF('TL08'!$C$238:$C$451,$C57,'TL08'!$J$238:$J$451),0),
IF('TL09'!$B$3=K$3,SUMIF('TL09'!$C$10:$C$224,$C57,'TL09'!$J$10:$J$224),0),
IF('TL09'!$B$229=K$3,SUMIF('TL09'!$C$238:$C$451,$C57,'TL09'!$J$238:$J$451),0),
IF('TL10'!$B$3=K$3,SUMIF('TL10'!$C$10:$C$224,$C57,'TL10'!$J$10:$J$224),0),
IF('TL10'!$B$229=K$3,SUMIF('TL10'!$C$238:$C$451,$C57,'TL10'!$J$238:$J$451),0),
IF('TL11'!$B$3=K$3,SUMIF('TL11'!$C$10:$C$224,$C57,'TL11'!$J$10:$J$224),0),
IF('TL11'!$B$229=K$3,SUMIF('TL11'!$C$238:$C$451,$C57,'TL11'!$J$238:$J$451),0),
IF('TL12'!$B$3=K$3,SUMIF('TL12'!$C$10:$C$224,$C57,'TL12'!$J$10:$J$224),0),
IF('TL12'!$B$229=K$3,SUMIF('TL12'!$C$238:$C$451,$C57,'TL12'!$J$238:$J$451),0),
IF('TL13'!$B$3=K$3,SUMIF('TL13'!$C$10:$C$224,$C57,'TL13'!$J$10:$J$224),0),
IF('TL13'!$B$229=K$3,SUMIF('TL13'!$C$238:$C$451,$C57,'TL13'!$J$238:$J$451),0),
IF('TL14'!$B$3=K$3,SUMIF('TL14'!$C$10:$C$224,$C57,'TL14'!$J$10:$J$224),0),
IF('TL14'!$B$229=K$3,SUMIF('TL14'!$C$238:$C$451,$C57,'TL14'!$J$238:$J$451),0),
IF('TL15'!$B$3=K$3,SUMIF('TL15'!$C$10:$C$224,$C57,'TL15'!$J$10:$J$224),0),
IF('TL15'!$B$229=K$3,SUMIF('TL15'!$C$238:$C$451,$C57,'TL15'!$J$238:$J$451),0),
IF('TL16'!$B$3=K$3,SUMIF('TL16'!$C$10:$C$224,$C57,'TL16'!$J$10:$J$224),0),
IF('TL16'!$B$229=K$3,SUMIF('TL16'!$C$238:$C$451,$C57,'TL16'!$J$238:$J$451),0),
IF('TL17'!$B$3=K$3,SUMIF('TL17'!$C$10:$C$224,$C57,'TL17'!$J$10:$J$224),0),
IF('TL17'!$B$229=K$3,SUMIF('TL17'!$C$238:$C$451,$C57,'TL17'!$J$238:$J$451),0),
IF('TL18'!$B$3=K$3,SUMIF('TL18'!$C$10:$C$224,$C57,'TL18'!$J$10:$J$224),0),
IF('TL18'!$B$229=K$3,SUMIF('TL18'!$C$238:$C$451,$C57,'TL18'!$J$238:$J$451),0),
IF('TL19'!$B$3=K$3,SUMIF('TL19'!$C$10:$C$224,$C57,'TL19'!$J$10:$J$224),0),
IF('TL19'!$B$229=K$3,SUMIF('TL19'!$C$238:$C$451,$C57,'TL19'!$J$238:$J$451),0)
),0)</f>
        <v>0</v>
      </c>
      <c r="L57" s="9">
        <f>IFERROR(SUM(
IF('TL01'!$B$3=L$3,SUMIF('TL01'!$C$10:$C$224,$C57,'TL01'!$J$10:$J$224),0),
IF('TL01'!$B$229=L$3,SUMIF('TL01'!$C$238:$C$451,$C57,'TL01'!$J$238:$J$451),0),
IF('TL02'!$B$3=L$3,SUMIF('TL02'!$C$10:$C$224,$C57,'TL02'!$J$10:$J$224),0),
IF('TL02'!$B$229=L$3,SUMIF('TL02'!$C$238:$C$451,$C57,'TL02'!$J$238:$J$451),0),
IF('TL03'!$B$3=L$3,SUMIF('TL03'!$C$10:$C$224,$C57,'TL03'!$J$10:$J$224),0),
IF('TL03'!$B$229=L$3,SUMIF('TL03'!$C$238:$C$451,$C57,'TL03'!$J$238:$J$451),0),
IF('TL04'!$B$3=L$3,SUMIF('TL04'!$C$10:$C$224,$C57,'TL04'!$J$10:$J$224),0),
IF('TL04'!$B$229=L$3,SUMIF('TL04'!$C$238:$C$451,$C57,'TL04'!$J$238:$J$451),0),
IF('TL05'!$B$3=L$3,SUMIF('TL05'!$C$10:$C$224,$C57,'TL05'!$J$10:$J$224),0),
IF('TL05'!$B$229=L$3,SUMIF('TL05'!$C$238:$C$451,$C57,'TL05'!$J$238:$J$451),0),
IF('TL06'!$B$3=L$3,SUMIF('TL06'!$C$10:$C$224,$C57,'TL06'!$J$10:$J$224),0),
IF('TL06'!$B$229=L$3,SUMIF('TL06'!$C$238:$C$451,$C57,'TL06'!$J$238:$J$451),0),
IF('TL07'!$B$3=L$3,SUMIF('TL07'!$C$10:$C$224,$C57,'TL07'!$J$10:$J$224),0),
IF('TL07'!$B$229=L$3,SUMIF('TL07'!$C$238:$C$451,$C57,'TL07'!$J$238:$J$451),0),
IF('TL08'!$B$3=L$3,SUMIF('TL08'!$C$10:$C$224,$C57,'TL08'!$J$10:$J$224),0),
IF('TL08'!$B$229=L$3,SUMIF('TL08'!$C$238:$C$451,$C57,'TL08'!$J$238:$J$451),0),
IF('TL09'!$B$3=L$3,SUMIF('TL09'!$C$10:$C$224,$C57,'TL09'!$J$10:$J$224),0),
IF('TL09'!$B$229=L$3,SUMIF('TL09'!$C$238:$C$451,$C57,'TL09'!$J$238:$J$451),0),
IF('TL10'!$B$3=L$3,SUMIF('TL10'!$C$10:$C$224,$C57,'TL10'!$J$10:$J$224),0),
IF('TL10'!$B$229=L$3,SUMIF('TL10'!$C$238:$C$451,$C57,'TL10'!$J$238:$J$451),0),
IF('TL11'!$B$3=L$3,SUMIF('TL11'!$C$10:$C$224,$C57,'TL11'!$J$10:$J$224),0),
IF('TL11'!$B$229=L$3,SUMIF('TL11'!$C$238:$C$451,$C57,'TL11'!$J$238:$J$451),0),
IF('TL12'!$B$3=L$3,SUMIF('TL12'!$C$10:$C$224,$C57,'TL12'!$J$10:$J$224),0),
IF('TL12'!$B$229=L$3,SUMIF('TL12'!$C$238:$C$451,$C57,'TL12'!$J$238:$J$451),0),
IF('TL13'!$B$3=L$3,SUMIF('TL13'!$C$10:$C$224,$C57,'TL13'!$J$10:$J$224),0),
IF('TL13'!$B$229=L$3,SUMIF('TL13'!$C$238:$C$451,$C57,'TL13'!$J$238:$J$451),0),
IF('TL14'!$B$3=L$3,SUMIF('TL14'!$C$10:$C$224,$C57,'TL14'!$J$10:$J$224),0),
IF('TL14'!$B$229=L$3,SUMIF('TL14'!$C$238:$C$451,$C57,'TL14'!$J$238:$J$451),0),
IF('TL15'!$B$3=L$3,SUMIF('TL15'!$C$10:$C$224,$C57,'TL15'!$J$10:$J$224),0),
IF('TL15'!$B$229=L$3,SUMIF('TL15'!$C$238:$C$451,$C57,'TL15'!$J$238:$J$451),0),
IF('TL16'!$B$3=L$3,SUMIF('TL16'!$C$10:$C$224,$C57,'TL16'!$J$10:$J$224),0),
IF('TL16'!$B$229=L$3,SUMIF('TL16'!$C$238:$C$451,$C57,'TL16'!$J$238:$J$451),0),
IF('TL17'!$B$3=L$3,SUMIF('TL17'!$C$10:$C$224,$C57,'TL17'!$J$10:$J$224),0),
IF('TL17'!$B$229=L$3,SUMIF('TL17'!$C$238:$C$451,$C57,'TL17'!$J$238:$J$451),0),
IF('TL18'!$B$3=L$3,SUMIF('TL18'!$C$10:$C$224,$C57,'TL18'!$J$10:$J$224),0),
IF('TL18'!$B$229=L$3,SUMIF('TL18'!$C$238:$C$451,$C57,'TL18'!$J$238:$J$451),0),
IF('TL19'!$B$3=L$3,SUMIF('TL19'!$C$10:$C$224,$C57,'TL19'!$J$10:$J$224),0),
IF('TL19'!$B$229=L$3,SUMIF('TL19'!$C$238:$C$451,$C57,'TL19'!$J$238:$J$451),0)
),0)</f>
        <v>0</v>
      </c>
      <c r="M57" s="9">
        <f>IFERROR(SUM(
IF('TL01'!$B$3=M$3,SUMIF('TL01'!$C$10:$C$224,$C57,'TL01'!$J$10:$J$224),0),
IF('TL01'!$B$229=M$3,SUMIF('TL01'!$C$238:$C$451,$C57,'TL01'!$J$238:$J$451),0),
IF('TL02'!$B$3=M$3,SUMIF('TL02'!$C$10:$C$224,$C57,'TL02'!$J$10:$J$224),0),
IF('TL02'!$B$229=M$3,SUMIF('TL02'!$C$238:$C$451,$C57,'TL02'!$J$238:$J$451),0),
IF('TL03'!$B$3=M$3,SUMIF('TL03'!$C$10:$C$224,$C57,'TL03'!$J$10:$J$224),0),
IF('TL03'!$B$229=M$3,SUMIF('TL03'!$C$238:$C$451,$C57,'TL03'!$J$238:$J$451),0),
IF('TL04'!$B$3=M$3,SUMIF('TL04'!$C$10:$C$224,$C57,'TL04'!$J$10:$J$224),0),
IF('TL04'!$B$229=M$3,SUMIF('TL04'!$C$238:$C$451,$C57,'TL04'!$J$238:$J$451),0),
IF('TL05'!$B$3=M$3,SUMIF('TL05'!$C$10:$C$224,$C57,'TL05'!$J$10:$J$224),0),
IF('TL05'!$B$229=M$3,SUMIF('TL05'!$C$238:$C$451,$C57,'TL05'!$J$238:$J$451),0),
IF('TL06'!$B$3=M$3,SUMIF('TL06'!$C$10:$C$224,$C57,'TL06'!$J$10:$J$224),0),
IF('TL06'!$B$229=M$3,SUMIF('TL06'!$C$238:$C$451,$C57,'TL06'!$J$238:$J$451),0),
IF('TL07'!$B$3=M$3,SUMIF('TL07'!$C$10:$C$224,$C57,'TL07'!$J$10:$J$224),0),
IF('TL07'!$B$229=M$3,SUMIF('TL07'!$C$238:$C$451,$C57,'TL07'!$J$238:$J$451),0),
IF('TL08'!$B$3=M$3,SUMIF('TL08'!$C$10:$C$224,$C57,'TL08'!$J$10:$J$224),0),
IF('TL08'!$B$229=M$3,SUMIF('TL08'!$C$238:$C$451,$C57,'TL08'!$J$238:$J$451),0),
IF('TL09'!$B$3=M$3,SUMIF('TL09'!$C$10:$C$224,$C57,'TL09'!$J$10:$J$224),0),
IF('TL09'!$B$229=M$3,SUMIF('TL09'!$C$238:$C$451,$C57,'TL09'!$J$238:$J$451),0),
IF('TL10'!$B$3=M$3,SUMIF('TL10'!$C$10:$C$224,$C57,'TL10'!$J$10:$J$224),0),
IF('TL10'!$B$229=M$3,SUMIF('TL10'!$C$238:$C$451,$C57,'TL10'!$J$238:$J$451),0),
IF('TL11'!$B$3=M$3,SUMIF('TL11'!$C$10:$C$224,$C57,'TL11'!$J$10:$J$224),0),
IF('TL11'!$B$229=M$3,SUMIF('TL11'!$C$238:$C$451,$C57,'TL11'!$J$238:$J$451),0),
IF('TL12'!$B$3=M$3,SUMIF('TL12'!$C$10:$C$224,$C57,'TL12'!$J$10:$J$224),0),
IF('TL12'!$B$229=M$3,SUMIF('TL12'!$C$238:$C$451,$C57,'TL12'!$J$238:$J$451),0),
IF('TL13'!$B$3=M$3,SUMIF('TL13'!$C$10:$C$224,$C57,'TL13'!$J$10:$J$224),0),
IF('TL13'!$B$229=M$3,SUMIF('TL13'!$C$238:$C$451,$C57,'TL13'!$J$238:$J$451),0),
IF('TL14'!$B$3=M$3,SUMIF('TL14'!$C$10:$C$224,$C57,'TL14'!$J$10:$J$224),0),
IF('TL14'!$B$229=M$3,SUMIF('TL14'!$C$238:$C$451,$C57,'TL14'!$J$238:$J$451),0),
IF('TL15'!$B$3=M$3,SUMIF('TL15'!$C$10:$C$224,$C57,'TL15'!$J$10:$J$224),0),
IF('TL15'!$B$229=M$3,SUMIF('TL15'!$C$238:$C$451,$C57,'TL15'!$J$238:$J$451),0),
IF('TL16'!$B$3=M$3,SUMIF('TL16'!$C$10:$C$224,$C57,'TL16'!$J$10:$J$224),0),
IF('TL16'!$B$229=M$3,SUMIF('TL16'!$C$238:$C$451,$C57,'TL16'!$J$238:$J$451),0),
IF('TL17'!$B$3=M$3,SUMIF('TL17'!$C$10:$C$224,$C57,'TL17'!$J$10:$J$224),0),
IF('TL17'!$B$229=M$3,SUMIF('TL17'!$C$238:$C$451,$C57,'TL17'!$J$238:$J$451),0),
IF('TL18'!$B$3=M$3,SUMIF('TL18'!$C$10:$C$224,$C57,'TL18'!$J$10:$J$224),0),
IF('TL18'!$B$229=M$3,SUMIF('TL18'!$C$238:$C$451,$C57,'TL18'!$J$238:$J$451),0),
IF('TL19'!$B$3=M$3,SUMIF('TL19'!$C$10:$C$224,$C57,'TL19'!$J$10:$J$224),0),
IF('TL19'!$B$229=M$3,SUMIF('TL19'!$C$238:$C$451,$C57,'TL19'!$J$238:$J$451),0)
),0)</f>
        <v>0</v>
      </c>
      <c r="N57" s="9">
        <f>IFERROR(SUM(
IF('TL01'!$B$3=N$3,SUMIF('TL01'!$C$10:$C$224,$C57,'TL01'!$J$10:$J$224),0),
IF('TL01'!$B$229=N$3,SUMIF('TL01'!$C$238:$C$451,$C57,'TL01'!$J$238:$J$451),0),
IF('TL02'!$B$3=N$3,SUMIF('TL02'!$C$10:$C$224,$C57,'TL02'!$J$10:$J$224),0),
IF('TL02'!$B$229=N$3,SUMIF('TL02'!$C$238:$C$451,$C57,'TL02'!$J$238:$J$451),0),
IF('TL03'!$B$3=N$3,SUMIF('TL03'!$C$10:$C$224,$C57,'TL03'!$J$10:$J$224),0),
IF('TL03'!$B$229=N$3,SUMIF('TL03'!$C$238:$C$451,$C57,'TL03'!$J$238:$J$451),0),
IF('TL04'!$B$3=N$3,SUMIF('TL04'!$C$10:$C$224,$C57,'TL04'!$J$10:$J$224),0),
IF('TL04'!$B$229=N$3,SUMIF('TL04'!$C$238:$C$451,$C57,'TL04'!$J$238:$J$451),0),
IF('TL05'!$B$3=N$3,SUMIF('TL05'!$C$10:$C$224,$C57,'TL05'!$J$10:$J$224),0),
IF('TL05'!$B$229=N$3,SUMIF('TL05'!$C$238:$C$451,$C57,'TL05'!$J$238:$J$451),0),
IF('TL06'!$B$3=N$3,SUMIF('TL06'!$C$10:$C$224,$C57,'TL06'!$J$10:$J$224),0),
IF('TL06'!$B$229=N$3,SUMIF('TL06'!$C$238:$C$451,$C57,'TL06'!$J$238:$J$451),0),
IF('TL07'!$B$3=N$3,SUMIF('TL07'!$C$10:$C$224,$C57,'TL07'!$J$10:$J$224),0),
IF('TL07'!$B$229=N$3,SUMIF('TL07'!$C$238:$C$451,$C57,'TL07'!$J$238:$J$451),0),
IF('TL08'!$B$3=N$3,SUMIF('TL08'!$C$10:$C$224,$C57,'TL08'!$J$10:$J$224),0),
IF('TL08'!$B$229=N$3,SUMIF('TL08'!$C$238:$C$451,$C57,'TL08'!$J$238:$J$451),0),
IF('TL09'!$B$3=N$3,SUMIF('TL09'!$C$10:$C$224,$C57,'TL09'!$J$10:$J$224),0),
IF('TL09'!$B$229=N$3,SUMIF('TL09'!$C$238:$C$451,$C57,'TL09'!$J$238:$J$451),0),
IF('TL10'!$B$3=N$3,SUMIF('TL10'!$C$10:$C$224,$C57,'TL10'!$J$10:$J$224),0),
IF('TL10'!$B$229=N$3,SUMIF('TL10'!$C$238:$C$451,$C57,'TL10'!$J$238:$J$451),0),
IF('TL11'!$B$3=N$3,SUMIF('TL11'!$C$10:$C$224,$C57,'TL11'!$J$10:$J$224),0),
IF('TL11'!$B$229=N$3,SUMIF('TL11'!$C$238:$C$451,$C57,'TL11'!$J$238:$J$451),0),
IF('TL12'!$B$3=N$3,SUMIF('TL12'!$C$10:$C$224,$C57,'TL12'!$J$10:$J$224),0),
IF('TL12'!$B$229=N$3,SUMIF('TL12'!$C$238:$C$451,$C57,'TL12'!$J$238:$J$451),0),
IF('TL13'!$B$3=N$3,SUMIF('TL13'!$C$10:$C$224,$C57,'TL13'!$J$10:$J$224),0),
IF('TL13'!$B$229=N$3,SUMIF('TL13'!$C$238:$C$451,$C57,'TL13'!$J$238:$J$451),0),
IF('TL14'!$B$3=N$3,SUMIF('TL14'!$C$10:$C$224,$C57,'TL14'!$J$10:$J$224),0),
IF('TL14'!$B$229=N$3,SUMIF('TL14'!$C$238:$C$451,$C57,'TL14'!$J$238:$J$451),0),
IF('TL15'!$B$3=N$3,SUMIF('TL15'!$C$10:$C$224,$C57,'TL15'!$J$10:$J$224),0),
IF('TL15'!$B$229=N$3,SUMIF('TL15'!$C$238:$C$451,$C57,'TL15'!$J$238:$J$451),0),
IF('TL16'!$B$3=N$3,SUMIF('TL16'!$C$10:$C$224,$C57,'TL16'!$J$10:$J$224),0),
IF('TL16'!$B$229=N$3,SUMIF('TL16'!$C$238:$C$451,$C57,'TL16'!$J$238:$J$451),0),
IF('TL17'!$B$3=N$3,SUMIF('TL17'!$C$10:$C$224,$C57,'TL17'!$J$10:$J$224),0),
IF('TL17'!$B$229=N$3,SUMIF('TL17'!$C$238:$C$451,$C57,'TL17'!$J$238:$J$451),0),
IF('TL18'!$B$3=N$3,SUMIF('TL18'!$C$10:$C$224,$C57,'TL18'!$J$10:$J$224),0),
IF('TL18'!$B$229=N$3,SUMIF('TL18'!$C$238:$C$451,$C57,'TL18'!$J$238:$J$451),0),
IF('TL19'!$B$3=N$3,SUMIF('TL19'!$C$10:$C$224,$C57,'TL19'!$J$10:$J$224),0),
IF('TL19'!$B$229=N$3,SUMIF('TL19'!$C$238:$C$451,$C57,'TL19'!$J$238:$J$451),0)
),0)</f>
        <v>0</v>
      </c>
      <c r="O57" s="9">
        <f>IFERROR(SUM(
IF('TL01'!$B$3=O$3,SUMIF('TL01'!$C$10:$C$224,$C57,'TL01'!$J$10:$J$224),0),
IF('TL01'!$B$229=O$3,SUMIF('TL01'!$C$238:$C$451,$C57,'TL01'!$J$238:$J$451),0),
IF('TL02'!$B$3=O$3,SUMIF('TL02'!$C$10:$C$224,$C57,'TL02'!$J$10:$J$224),0),
IF('TL02'!$B$229=O$3,SUMIF('TL02'!$C$238:$C$451,$C57,'TL02'!$J$238:$J$451),0),
IF('TL03'!$B$3=O$3,SUMIF('TL03'!$C$10:$C$224,$C57,'TL03'!$J$10:$J$224),0),
IF('TL03'!$B$229=O$3,SUMIF('TL03'!$C$238:$C$451,$C57,'TL03'!$J$238:$J$451),0),
IF('TL04'!$B$3=O$3,SUMIF('TL04'!$C$10:$C$224,$C57,'TL04'!$J$10:$J$224),0),
IF('TL04'!$B$229=O$3,SUMIF('TL04'!$C$238:$C$451,$C57,'TL04'!$J$238:$J$451),0),
IF('TL05'!$B$3=O$3,SUMIF('TL05'!$C$10:$C$224,$C57,'TL05'!$J$10:$J$224),0),
IF('TL05'!$B$229=O$3,SUMIF('TL05'!$C$238:$C$451,$C57,'TL05'!$J$238:$J$451),0),
IF('TL06'!$B$3=O$3,SUMIF('TL06'!$C$10:$C$224,$C57,'TL06'!$J$10:$J$224),0),
IF('TL06'!$B$229=O$3,SUMIF('TL06'!$C$238:$C$451,$C57,'TL06'!$J$238:$J$451),0),
IF('TL07'!$B$3=O$3,SUMIF('TL07'!$C$10:$C$224,$C57,'TL07'!$J$10:$J$224),0),
IF('TL07'!$B$229=O$3,SUMIF('TL07'!$C$238:$C$451,$C57,'TL07'!$J$238:$J$451),0),
IF('TL08'!$B$3=O$3,SUMIF('TL08'!$C$10:$C$224,$C57,'TL08'!$J$10:$J$224),0),
IF('TL08'!$B$229=O$3,SUMIF('TL08'!$C$238:$C$451,$C57,'TL08'!$J$238:$J$451),0),
IF('TL09'!$B$3=O$3,SUMIF('TL09'!$C$10:$C$224,$C57,'TL09'!$J$10:$J$224),0),
IF('TL09'!$B$229=O$3,SUMIF('TL09'!$C$238:$C$451,$C57,'TL09'!$J$238:$J$451),0),
IF('TL10'!$B$3=O$3,SUMIF('TL10'!$C$10:$C$224,$C57,'TL10'!$J$10:$J$224),0),
IF('TL10'!$B$229=O$3,SUMIF('TL10'!$C$238:$C$451,$C57,'TL10'!$J$238:$J$451),0),
IF('TL11'!$B$3=O$3,SUMIF('TL11'!$C$10:$C$224,$C57,'TL11'!$J$10:$J$224),0),
IF('TL11'!$B$229=O$3,SUMIF('TL11'!$C$238:$C$451,$C57,'TL11'!$J$238:$J$451),0),
IF('TL12'!$B$3=O$3,SUMIF('TL12'!$C$10:$C$224,$C57,'TL12'!$J$10:$J$224),0),
IF('TL12'!$B$229=O$3,SUMIF('TL12'!$C$238:$C$451,$C57,'TL12'!$J$238:$J$451),0),
IF('TL13'!$B$3=O$3,SUMIF('TL13'!$C$10:$C$224,$C57,'TL13'!$J$10:$J$224),0),
IF('TL13'!$B$229=O$3,SUMIF('TL13'!$C$238:$C$451,$C57,'TL13'!$J$238:$J$451),0),
IF('TL14'!$B$3=O$3,SUMIF('TL14'!$C$10:$C$224,$C57,'TL14'!$J$10:$J$224),0),
IF('TL14'!$B$229=O$3,SUMIF('TL14'!$C$238:$C$451,$C57,'TL14'!$J$238:$J$451),0),
IF('TL15'!$B$3=O$3,SUMIF('TL15'!$C$10:$C$224,$C57,'TL15'!$J$10:$J$224),0),
IF('TL15'!$B$229=O$3,SUMIF('TL15'!$C$238:$C$451,$C57,'TL15'!$J$238:$J$451),0),
IF('TL16'!$B$3=O$3,SUMIF('TL16'!$C$10:$C$224,$C57,'TL16'!$J$10:$J$224),0),
IF('TL16'!$B$229=O$3,SUMIF('TL16'!$C$238:$C$451,$C57,'TL16'!$J$238:$J$451),0),
IF('TL17'!$B$3=O$3,SUMIF('TL17'!$C$10:$C$224,$C57,'TL17'!$J$10:$J$224),0),
IF('TL17'!$B$229=O$3,SUMIF('TL17'!$C$238:$C$451,$C57,'TL17'!$J$238:$J$451),0),
IF('TL18'!$B$3=O$3,SUMIF('TL18'!$C$10:$C$224,$C57,'TL18'!$J$10:$J$224),0),
IF('TL18'!$B$229=O$3,SUMIF('TL18'!$C$238:$C$451,$C57,'TL18'!$J$238:$J$451),0),
IF('TL19'!$B$3=O$3,SUMIF('TL19'!$C$10:$C$224,$C57,'TL19'!$J$10:$J$224),0),
IF('TL19'!$B$229=O$3,SUMIF('TL19'!$C$238:$C$451,$C57,'TL19'!$J$238:$J$451),0)
),0)</f>
        <v>0</v>
      </c>
      <c r="P57" s="9">
        <f>IFERROR(SUM(
IF('TL01'!$B$3=P$3,SUMIF('TL01'!$C$10:$C$224,$C57,'TL01'!$J$10:$J$224),0),
IF('TL01'!$B$229=P$3,SUMIF('TL01'!$C$238:$C$451,$C57,'TL01'!$J$238:$J$451),0),
IF('TL02'!$B$3=P$3,SUMIF('TL02'!$C$10:$C$224,$C57,'TL02'!$J$10:$J$224),0),
IF('TL02'!$B$229=P$3,SUMIF('TL02'!$C$238:$C$451,$C57,'TL02'!$J$238:$J$451),0),
IF('TL03'!$B$3=P$3,SUMIF('TL03'!$C$10:$C$224,$C57,'TL03'!$J$10:$J$224),0),
IF('TL03'!$B$229=P$3,SUMIF('TL03'!$C$238:$C$451,$C57,'TL03'!$J$238:$J$451),0),
IF('TL04'!$B$3=P$3,SUMIF('TL04'!$C$10:$C$224,$C57,'TL04'!$J$10:$J$224),0),
IF('TL04'!$B$229=P$3,SUMIF('TL04'!$C$238:$C$451,$C57,'TL04'!$J$238:$J$451),0),
IF('TL05'!$B$3=P$3,SUMIF('TL05'!$C$10:$C$224,$C57,'TL05'!$J$10:$J$224),0),
IF('TL05'!$B$229=P$3,SUMIF('TL05'!$C$238:$C$451,$C57,'TL05'!$J$238:$J$451),0),
IF('TL06'!$B$3=P$3,SUMIF('TL06'!$C$10:$C$224,$C57,'TL06'!$J$10:$J$224),0),
IF('TL06'!$B$229=P$3,SUMIF('TL06'!$C$238:$C$451,$C57,'TL06'!$J$238:$J$451),0),
IF('TL07'!$B$3=P$3,SUMIF('TL07'!$C$10:$C$224,$C57,'TL07'!$J$10:$J$224),0),
IF('TL07'!$B$229=P$3,SUMIF('TL07'!$C$238:$C$451,$C57,'TL07'!$J$238:$J$451),0),
IF('TL08'!$B$3=P$3,SUMIF('TL08'!$C$10:$C$224,$C57,'TL08'!$J$10:$J$224),0),
IF('TL08'!$B$229=P$3,SUMIF('TL08'!$C$238:$C$451,$C57,'TL08'!$J$238:$J$451),0),
IF('TL09'!$B$3=P$3,SUMIF('TL09'!$C$10:$C$224,$C57,'TL09'!$J$10:$J$224),0),
IF('TL09'!$B$229=P$3,SUMIF('TL09'!$C$238:$C$451,$C57,'TL09'!$J$238:$J$451),0),
IF('TL10'!$B$3=P$3,SUMIF('TL10'!$C$10:$C$224,$C57,'TL10'!$J$10:$J$224),0),
IF('TL10'!$B$229=P$3,SUMIF('TL10'!$C$238:$C$451,$C57,'TL10'!$J$238:$J$451),0),
IF('TL11'!$B$3=P$3,SUMIF('TL11'!$C$10:$C$224,$C57,'TL11'!$J$10:$J$224),0),
IF('TL11'!$B$229=P$3,SUMIF('TL11'!$C$238:$C$451,$C57,'TL11'!$J$238:$J$451),0),
IF('TL12'!$B$3=P$3,SUMIF('TL12'!$C$10:$C$224,$C57,'TL12'!$J$10:$J$224),0),
IF('TL12'!$B$229=P$3,SUMIF('TL12'!$C$238:$C$451,$C57,'TL12'!$J$238:$J$451),0),
IF('TL13'!$B$3=P$3,SUMIF('TL13'!$C$10:$C$224,$C57,'TL13'!$J$10:$J$224),0),
IF('TL13'!$B$229=P$3,SUMIF('TL13'!$C$238:$C$451,$C57,'TL13'!$J$238:$J$451),0),
IF('TL14'!$B$3=P$3,SUMIF('TL14'!$C$10:$C$224,$C57,'TL14'!$J$10:$J$224),0),
IF('TL14'!$B$229=P$3,SUMIF('TL14'!$C$238:$C$451,$C57,'TL14'!$J$238:$J$451),0),
IF('TL15'!$B$3=P$3,SUMIF('TL15'!$C$10:$C$224,$C57,'TL15'!$J$10:$J$224),0),
IF('TL15'!$B$229=P$3,SUMIF('TL15'!$C$238:$C$451,$C57,'TL15'!$J$238:$J$451),0),
IF('TL16'!$B$3=P$3,SUMIF('TL16'!$C$10:$C$224,$C57,'TL16'!$J$10:$J$224),0),
IF('TL16'!$B$229=P$3,SUMIF('TL16'!$C$238:$C$451,$C57,'TL16'!$J$238:$J$451),0),
IF('TL17'!$B$3=P$3,SUMIF('TL17'!$C$10:$C$224,$C57,'TL17'!$J$10:$J$224),0),
IF('TL17'!$B$229=P$3,SUMIF('TL17'!$C$238:$C$451,$C57,'TL17'!$J$238:$J$451),0),
IF('TL18'!$B$3=P$3,SUMIF('TL18'!$C$10:$C$224,$C57,'TL18'!$J$10:$J$224),0),
IF('TL18'!$B$229=P$3,SUMIF('TL18'!$C$238:$C$451,$C57,'TL18'!$J$238:$J$451),0),
IF('TL19'!$B$3=P$3,SUMIF('TL19'!$C$10:$C$224,$C57,'TL19'!$J$10:$J$224),0),
IF('TL19'!$B$229=P$3,SUMIF('TL19'!$C$238:$C$451,$C57,'TL19'!$J$238:$J$451),0)
),0)</f>
        <v>0</v>
      </c>
      <c r="Q57" s="9">
        <f>IFERROR(SUM(
IF('TL01'!$B$3=Q$3,SUMIF('TL01'!$C$10:$C$224,$C57,'TL01'!$J$10:$J$224),0),
IF('TL01'!$B$229=Q$3,SUMIF('TL01'!$C$238:$C$451,$C57,'TL01'!$J$238:$J$451),0),
IF('TL02'!$B$3=Q$3,SUMIF('TL02'!$C$10:$C$224,$C57,'TL02'!$J$10:$J$224),0),
IF('TL02'!$B$229=Q$3,SUMIF('TL02'!$C$238:$C$451,$C57,'TL02'!$J$238:$J$451),0),
IF('TL03'!$B$3=Q$3,SUMIF('TL03'!$C$10:$C$224,$C57,'TL03'!$J$10:$J$224),0),
IF('TL03'!$B$229=Q$3,SUMIF('TL03'!$C$238:$C$451,$C57,'TL03'!$J$238:$J$451),0),
IF('TL04'!$B$3=Q$3,SUMIF('TL04'!$C$10:$C$224,$C57,'TL04'!$J$10:$J$224),0),
IF('TL04'!$B$229=Q$3,SUMIF('TL04'!$C$238:$C$451,$C57,'TL04'!$J$238:$J$451),0),
IF('TL05'!$B$3=Q$3,SUMIF('TL05'!$C$10:$C$224,$C57,'TL05'!$J$10:$J$224),0),
IF('TL05'!$B$229=Q$3,SUMIF('TL05'!$C$238:$C$451,$C57,'TL05'!$J$238:$J$451),0),
IF('TL06'!$B$3=Q$3,SUMIF('TL06'!$C$10:$C$224,$C57,'TL06'!$J$10:$J$224),0),
IF('TL06'!$B$229=Q$3,SUMIF('TL06'!$C$238:$C$451,$C57,'TL06'!$J$238:$J$451),0),
IF('TL07'!$B$3=Q$3,SUMIF('TL07'!$C$10:$C$224,$C57,'TL07'!$J$10:$J$224),0),
IF('TL07'!$B$229=Q$3,SUMIF('TL07'!$C$238:$C$451,$C57,'TL07'!$J$238:$J$451),0),
IF('TL08'!$B$3=Q$3,SUMIF('TL08'!$C$10:$C$224,$C57,'TL08'!$J$10:$J$224),0),
IF('TL08'!$B$229=Q$3,SUMIF('TL08'!$C$238:$C$451,$C57,'TL08'!$J$238:$J$451),0),
IF('TL09'!$B$3=Q$3,SUMIF('TL09'!$C$10:$C$224,$C57,'TL09'!$J$10:$J$224),0),
IF('TL09'!$B$229=Q$3,SUMIF('TL09'!$C$238:$C$451,$C57,'TL09'!$J$238:$J$451),0),
IF('TL10'!$B$3=Q$3,SUMIF('TL10'!$C$10:$C$224,$C57,'TL10'!$J$10:$J$224),0),
IF('TL10'!$B$229=Q$3,SUMIF('TL10'!$C$238:$C$451,$C57,'TL10'!$J$238:$J$451),0),
IF('TL11'!$B$3=Q$3,SUMIF('TL11'!$C$10:$C$224,$C57,'TL11'!$J$10:$J$224),0),
IF('TL11'!$B$229=Q$3,SUMIF('TL11'!$C$238:$C$451,$C57,'TL11'!$J$238:$J$451),0),
IF('TL12'!$B$3=Q$3,SUMIF('TL12'!$C$10:$C$224,$C57,'TL12'!$J$10:$J$224),0),
IF('TL12'!$B$229=Q$3,SUMIF('TL12'!$C$238:$C$451,$C57,'TL12'!$J$238:$J$451),0),
IF('TL13'!$B$3=Q$3,SUMIF('TL13'!$C$10:$C$224,$C57,'TL13'!$J$10:$J$224),0),
IF('TL13'!$B$229=Q$3,SUMIF('TL13'!$C$238:$C$451,$C57,'TL13'!$J$238:$J$451),0),
IF('TL14'!$B$3=Q$3,SUMIF('TL14'!$C$10:$C$224,$C57,'TL14'!$J$10:$J$224),0),
IF('TL14'!$B$229=Q$3,SUMIF('TL14'!$C$238:$C$451,$C57,'TL14'!$J$238:$J$451),0),
IF('TL15'!$B$3=Q$3,SUMIF('TL15'!$C$10:$C$224,$C57,'TL15'!$J$10:$J$224),0),
IF('TL15'!$B$229=Q$3,SUMIF('TL15'!$C$238:$C$451,$C57,'TL15'!$J$238:$J$451),0),
IF('TL16'!$B$3=Q$3,SUMIF('TL16'!$C$10:$C$224,$C57,'TL16'!$J$10:$J$224),0),
IF('TL16'!$B$229=Q$3,SUMIF('TL16'!$C$238:$C$451,$C57,'TL16'!$J$238:$J$451),0),
IF('TL17'!$B$3=Q$3,SUMIF('TL17'!$C$10:$C$224,$C57,'TL17'!$J$10:$J$224),0),
IF('TL17'!$B$229=Q$3,SUMIF('TL17'!$C$238:$C$451,$C57,'TL17'!$J$238:$J$451),0),
IF('TL18'!$B$3=Q$3,SUMIF('TL18'!$C$10:$C$224,$C57,'TL18'!$J$10:$J$224),0),
IF('TL18'!$B$229=Q$3,SUMIF('TL18'!$C$238:$C$451,$C57,'TL18'!$J$238:$J$451),0),
IF('TL19'!$B$3=Q$3,SUMIF('TL19'!$C$10:$C$224,$C57,'TL19'!$J$10:$J$224),0),
IF('TL19'!$B$229=Q$3,SUMIF('TL19'!$C$238:$C$451,$C57,'TL19'!$J$238:$J$451),0)
),0)</f>
        <v>0</v>
      </c>
      <c r="R57" s="9">
        <f>IFERROR(
SUM(
SUMIF('TL01'!C:C,C57,'TL01'!J:J),
SUMIF('TL02'!C:C,C57,'TL02'!J:J),
SUMIF('TL03'!C:C,C57,'TL03'!J:J),
SUMIF('TL04'!C:C,C57,'TL04'!J:J),
SUMIF('TL05'!C:C,C57,'TL05'!J:J),
SUMIF('TL06'!C:C,C57,'TL06'!J:J),
SUMIF('TL07'!C:C,C57,'TL07'!J:J),
SUMIF('TL08'!C:C,C57,'TL08'!J:J),
SUMIF('TL09'!C:C,C57,'TL09'!J:J),
SUMIF('TL10'!C:C,C57,'TL10'!J:J),
SUMIF('TL11'!C:C,C57,'TL11'!J:J),
SUMIF('TL12'!C:C,C57,'TL12'!J:J),
SUMIF('TL13'!C:C,C57,'TL13'!J:J),
SUMIF('TL14'!C:C,C57,'TL14'!J:J),
SUMIF('TL15'!C:C,C57,'TL15'!J:J),
SUMIF('TL16'!C:C,C57,'TL16'!J:J),
SUMIF('TL17'!C:C,C57,'TL17'!J:J),
SUMIF('TL18'!C:C,C57,'TL18'!J:J),SUMIF('TL19'!C:C,C57,'TL19'!J:J))
,0)</f>
        <v>0</v>
      </c>
      <c r="S57" s="17">
        <f>IFERROR(__xludf.DUMMYFUNCTION("IFERROR(VLOOKUP(C57,
IMPORTRANGE(""1wULbzX32WdYsx-lj2U3uUNBBe2INVIRDtcK0d-Dvl90"",
""26-27!C:G""),
5,
FALSE),
"""")"),61.11504000000001)</f>
        <v>61.11504</v>
      </c>
      <c r="T57" s="9"/>
      <c r="U57" s="92">
        <f t="shared" si="2"/>
        <v>0</v>
      </c>
      <c r="V57" s="93">
        <f t="shared" si="3"/>
        <v>0</v>
      </c>
    </row>
    <row r="58" ht="15.75" hidden="1" customHeight="1">
      <c r="A58" s="115" t="s">
        <v>480</v>
      </c>
      <c r="B58" s="100" t="s">
        <v>0</v>
      </c>
      <c r="C58" s="116" t="s">
        <v>484</v>
      </c>
      <c r="D58" s="116" t="s">
        <v>485</v>
      </c>
      <c r="E58" s="116">
        <v>750.0</v>
      </c>
      <c r="F58" s="4" t="s">
        <v>343</v>
      </c>
      <c r="G58" s="90" t="str">
        <f t="shared" si="4"/>
        <v>📄 Ver bula</v>
      </c>
      <c r="H58" s="9">
        <f>IFERROR(__xludf.DUMMYFUNCTION("IFERROR(VLOOKUP(C58,
IMPORTRANGE(""1wULbzX32WdYsx-lj2U3uUNBBe2INVIRDtcK0d-Dvl90"",
""26-27!C:K""),
8,
FALSE),
"""")"),1.5)</f>
        <v>1.5</v>
      </c>
      <c r="I58" s="117" t="s">
        <v>486</v>
      </c>
      <c r="J58" s="9">
        <f>IFERROR(SUM(
IF('TL01'!$B$3=J$3,SUMIF('TL01'!$C$10:$C$224,$C58,'TL01'!$J$10:$J$224),0),
IF('TL01'!$B$229=J$3,SUMIF('TL01'!$C$238:$C$451,$C58,'TL01'!$J$238:$J$451),0),
IF('TL02'!$B$3=J$3,SUMIF('TL02'!$C$10:$C$224,$C58,'TL02'!$J$10:$J$224),0),
IF('TL02'!$B$229=J$3,SUMIF('TL02'!$C$238:$C$451,$C58,'TL02'!$J$238:$J$451),0),
IF('TL03'!$B$3=J$3,SUMIF('TL03'!$C$10:$C$224,$C58,'TL03'!$J$10:$J$224),0),
IF('TL03'!$B$229=J$3,SUMIF('TL03'!$C$238:$C$451,$C58,'TL03'!$J$238:$J$451),0),
IF('TL04'!$B$3=J$3,SUMIF('TL04'!$C$10:$C$224,$C58,'TL04'!$J$10:$J$224),0),
IF('TL04'!$B$229=J$3,SUMIF('TL04'!$C$238:$C$451,$C58,'TL04'!$J$238:$J$451),0),
IF('TL05'!$B$3=J$3,SUMIF('TL05'!$C$10:$C$224,$C58,'TL05'!$J$10:$J$224),0),
IF('TL05'!$B$229=J$3,SUMIF('TL05'!$C$238:$C$451,$C58,'TL05'!$J$238:$J$451),0),
IF('TL06'!$B$3=J$3,SUMIF('TL06'!$C$10:$C$224,$C58,'TL06'!$J$10:$J$224),0),
IF('TL06'!$B$229=J$3,SUMIF('TL06'!$C$238:$C$451,$C58,'TL06'!$J$238:$J$451),0),
IF('TL07'!$B$3=J$3,SUMIF('TL07'!$C$10:$C$224,$C58,'TL07'!$J$10:$J$224),0),
IF('TL07'!$B$229=J$3,SUMIF('TL07'!$C$238:$C$451,$C58,'TL07'!$J$238:$J$451),0),
IF('TL08'!$B$3=J$3,SUMIF('TL08'!$C$10:$C$224,$C58,'TL08'!$J$10:$J$224),0),
IF('TL08'!$B$229=J$3,SUMIF('TL08'!$C$238:$C$451,$C58,'TL08'!$J$238:$J$451),0),
IF('TL09'!$B$3=J$3,SUMIF('TL09'!$C$10:$C$224,$C58,'TL09'!$J$10:$J$224),0),
IF('TL09'!$B$229=J$3,SUMIF('TL09'!$C$238:$C$451,$C58,'TL09'!$J$238:$J$451),0),
IF('TL10'!$B$3=J$3,SUMIF('TL10'!$C$10:$C$224,$C58,'TL10'!$J$10:$J$224),0),
IF('TL10'!$B$229=J$3,SUMIF('TL10'!$C$238:$C$451,$C58,'TL10'!$J$238:$J$451),0),
IF('TL11'!$B$3=J$3,SUMIF('TL11'!$C$10:$C$224,$C58,'TL11'!$J$10:$J$224),0),
IF('TL11'!$B$229=J$3,SUMIF('TL11'!$C$238:$C$451,$C58,'TL11'!$J$238:$J$451),0),
IF('TL12'!$B$3=J$3,SUMIF('TL12'!$C$10:$C$224,$C58,'TL12'!$J$10:$J$224),0),
IF('TL12'!$B$229=J$3,SUMIF('TL12'!$C$238:$C$451,$C58,'TL12'!$J$238:$J$451),0),
IF('TL13'!$B$3=J$3,SUMIF('TL13'!$C$10:$C$224,$C58,'TL13'!$J$10:$J$224),0),
IF('TL13'!$B$229=J$3,SUMIF('TL13'!$C$238:$C$451,$C58,'TL13'!$J$238:$J$451),0),
IF('TL14'!$B$3=J$3,SUMIF('TL14'!$C$10:$C$224,$C58,'TL14'!$J$10:$J$224),0),
IF('TL14'!$B$229=J$3,SUMIF('TL14'!$C$238:$C$451,$C58,'TL14'!$J$238:$J$451),0),
IF('TL15'!$B$3=J$3,SUMIF('TL15'!$C$10:$C$224,$C58,'TL15'!$J$10:$J$224),0),
IF('TL15'!$B$229=J$3,SUMIF('TL15'!$C$238:$C$451,$C58,'TL15'!$J$238:$J$451),0),
IF('TL16'!$B$3=J$3,SUMIF('TL16'!$C$10:$C$224,$C58,'TL16'!$J$10:$J$224),0),
IF('TL16'!$B$229=J$3,SUMIF('TL16'!$C$238:$C$451,$C58,'TL16'!$J$238:$J$451),0),
IF('TL17'!$B$3=J$3,SUMIF('TL17'!$C$10:$C$224,$C58,'TL17'!$J$10:$J$224),0),
IF('TL17'!$B$229=J$3,SUMIF('TL17'!$C$238:$C$451,$C58,'TL17'!$J$238:$J$451),0),
IF('TL18'!$B$3=J$3,SUMIF('TL18'!$C$10:$C$224,$C58,'TL18'!$J$10:$J$224),0),
IF('TL18'!$B$229=J$3,SUMIF('TL18'!$C$238:$C$451,$C58,'TL18'!$J$238:$J$451),0),
IF('TL19'!$B$3=J$3,SUMIF('TL19'!$C$10:$C$224,$C58,'TL19'!$J$10:$J$224),0),
IF('TL19'!$B$229=J$3,SUMIF('TL19'!$C$238:$C$451,$C58,'TL19'!$J$238:$J$451),0)
),0)</f>
        <v>2290</v>
      </c>
      <c r="K58" s="9">
        <f>IFERROR(SUM(
IF('TL01'!$B$3=K$3,SUMIF('TL01'!$C$10:$C$224,$C58,'TL01'!$J$10:$J$224),0),
IF('TL01'!$B$229=K$3,SUMIF('TL01'!$C$238:$C$451,$C58,'TL01'!$J$238:$J$451),0),
IF('TL02'!$B$3=K$3,SUMIF('TL02'!$C$10:$C$224,$C58,'TL02'!$J$10:$J$224),0),
IF('TL02'!$B$229=K$3,SUMIF('TL02'!$C$238:$C$451,$C58,'TL02'!$J$238:$J$451),0),
IF('TL03'!$B$3=K$3,SUMIF('TL03'!$C$10:$C$224,$C58,'TL03'!$J$10:$J$224),0),
IF('TL03'!$B$229=K$3,SUMIF('TL03'!$C$238:$C$451,$C58,'TL03'!$J$238:$J$451),0),
IF('TL04'!$B$3=K$3,SUMIF('TL04'!$C$10:$C$224,$C58,'TL04'!$J$10:$J$224),0),
IF('TL04'!$B$229=K$3,SUMIF('TL04'!$C$238:$C$451,$C58,'TL04'!$J$238:$J$451),0),
IF('TL05'!$B$3=K$3,SUMIF('TL05'!$C$10:$C$224,$C58,'TL05'!$J$10:$J$224),0),
IF('TL05'!$B$229=K$3,SUMIF('TL05'!$C$238:$C$451,$C58,'TL05'!$J$238:$J$451),0),
IF('TL06'!$B$3=K$3,SUMIF('TL06'!$C$10:$C$224,$C58,'TL06'!$J$10:$J$224),0),
IF('TL06'!$B$229=K$3,SUMIF('TL06'!$C$238:$C$451,$C58,'TL06'!$J$238:$J$451),0),
IF('TL07'!$B$3=K$3,SUMIF('TL07'!$C$10:$C$224,$C58,'TL07'!$J$10:$J$224),0),
IF('TL07'!$B$229=K$3,SUMIF('TL07'!$C$238:$C$451,$C58,'TL07'!$J$238:$J$451),0),
IF('TL08'!$B$3=K$3,SUMIF('TL08'!$C$10:$C$224,$C58,'TL08'!$J$10:$J$224),0),
IF('TL08'!$B$229=K$3,SUMIF('TL08'!$C$238:$C$451,$C58,'TL08'!$J$238:$J$451),0),
IF('TL09'!$B$3=K$3,SUMIF('TL09'!$C$10:$C$224,$C58,'TL09'!$J$10:$J$224),0),
IF('TL09'!$B$229=K$3,SUMIF('TL09'!$C$238:$C$451,$C58,'TL09'!$J$238:$J$451),0),
IF('TL10'!$B$3=K$3,SUMIF('TL10'!$C$10:$C$224,$C58,'TL10'!$J$10:$J$224),0),
IF('TL10'!$B$229=K$3,SUMIF('TL10'!$C$238:$C$451,$C58,'TL10'!$J$238:$J$451),0),
IF('TL11'!$B$3=K$3,SUMIF('TL11'!$C$10:$C$224,$C58,'TL11'!$J$10:$J$224),0),
IF('TL11'!$B$229=K$3,SUMIF('TL11'!$C$238:$C$451,$C58,'TL11'!$J$238:$J$451),0),
IF('TL12'!$B$3=K$3,SUMIF('TL12'!$C$10:$C$224,$C58,'TL12'!$J$10:$J$224),0),
IF('TL12'!$B$229=K$3,SUMIF('TL12'!$C$238:$C$451,$C58,'TL12'!$J$238:$J$451),0),
IF('TL13'!$B$3=K$3,SUMIF('TL13'!$C$10:$C$224,$C58,'TL13'!$J$10:$J$224),0),
IF('TL13'!$B$229=K$3,SUMIF('TL13'!$C$238:$C$451,$C58,'TL13'!$J$238:$J$451),0),
IF('TL14'!$B$3=K$3,SUMIF('TL14'!$C$10:$C$224,$C58,'TL14'!$J$10:$J$224),0),
IF('TL14'!$B$229=K$3,SUMIF('TL14'!$C$238:$C$451,$C58,'TL14'!$J$238:$J$451),0),
IF('TL15'!$B$3=K$3,SUMIF('TL15'!$C$10:$C$224,$C58,'TL15'!$J$10:$J$224),0),
IF('TL15'!$B$229=K$3,SUMIF('TL15'!$C$238:$C$451,$C58,'TL15'!$J$238:$J$451),0),
IF('TL16'!$B$3=K$3,SUMIF('TL16'!$C$10:$C$224,$C58,'TL16'!$J$10:$J$224),0),
IF('TL16'!$B$229=K$3,SUMIF('TL16'!$C$238:$C$451,$C58,'TL16'!$J$238:$J$451),0),
IF('TL17'!$B$3=K$3,SUMIF('TL17'!$C$10:$C$224,$C58,'TL17'!$J$10:$J$224),0),
IF('TL17'!$B$229=K$3,SUMIF('TL17'!$C$238:$C$451,$C58,'TL17'!$J$238:$J$451),0),
IF('TL18'!$B$3=K$3,SUMIF('TL18'!$C$10:$C$224,$C58,'TL18'!$J$10:$J$224),0),
IF('TL18'!$B$229=K$3,SUMIF('TL18'!$C$238:$C$451,$C58,'TL18'!$J$238:$J$451),0),
IF('TL19'!$B$3=K$3,SUMIF('TL19'!$C$10:$C$224,$C58,'TL19'!$J$10:$J$224),0),
IF('TL19'!$B$229=K$3,SUMIF('TL19'!$C$238:$C$451,$C58,'TL19'!$J$238:$J$451),0)
),0)</f>
        <v>1350</v>
      </c>
      <c r="L58" s="9">
        <f>IFERROR(SUM(
IF('TL01'!$B$3=L$3,SUMIF('TL01'!$C$10:$C$224,$C58,'TL01'!$J$10:$J$224),0),
IF('TL01'!$B$229=L$3,SUMIF('TL01'!$C$238:$C$451,$C58,'TL01'!$J$238:$J$451),0),
IF('TL02'!$B$3=L$3,SUMIF('TL02'!$C$10:$C$224,$C58,'TL02'!$J$10:$J$224),0),
IF('TL02'!$B$229=L$3,SUMIF('TL02'!$C$238:$C$451,$C58,'TL02'!$J$238:$J$451),0),
IF('TL03'!$B$3=L$3,SUMIF('TL03'!$C$10:$C$224,$C58,'TL03'!$J$10:$J$224),0),
IF('TL03'!$B$229=L$3,SUMIF('TL03'!$C$238:$C$451,$C58,'TL03'!$J$238:$J$451),0),
IF('TL04'!$B$3=L$3,SUMIF('TL04'!$C$10:$C$224,$C58,'TL04'!$J$10:$J$224),0),
IF('TL04'!$B$229=L$3,SUMIF('TL04'!$C$238:$C$451,$C58,'TL04'!$J$238:$J$451),0),
IF('TL05'!$B$3=L$3,SUMIF('TL05'!$C$10:$C$224,$C58,'TL05'!$J$10:$J$224),0),
IF('TL05'!$B$229=L$3,SUMIF('TL05'!$C$238:$C$451,$C58,'TL05'!$J$238:$J$451),0),
IF('TL06'!$B$3=L$3,SUMIF('TL06'!$C$10:$C$224,$C58,'TL06'!$J$10:$J$224),0),
IF('TL06'!$B$229=L$3,SUMIF('TL06'!$C$238:$C$451,$C58,'TL06'!$J$238:$J$451),0),
IF('TL07'!$B$3=L$3,SUMIF('TL07'!$C$10:$C$224,$C58,'TL07'!$J$10:$J$224),0),
IF('TL07'!$B$229=L$3,SUMIF('TL07'!$C$238:$C$451,$C58,'TL07'!$J$238:$J$451),0),
IF('TL08'!$B$3=L$3,SUMIF('TL08'!$C$10:$C$224,$C58,'TL08'!$J$10:$J$224),0),
IF('TL08'!$B$229=L$3,SUMIF('TL08'!$C$238:$C$451,$C58,'TL08'!$J$238:$J$451),0),
IF('TL09'!$B$3=L$3,SUMIF('TL09'!$C$10:$C$224,$C58,'TL09'!$J$10:$J$224),0),
IF('TL09'!$B$229=L$3,SUMIF('TL09'!$C$238:$C$451,$C58,'TL09'!$J$238:$J$451),0),
IF('TL10'!$B$3=L$3,SUMIF('TL10'!$C$10:$C$224,$C58,'TL10'!$J$10:$J$224),0),
IF('TL10'!$B$229=L$3,SUMIF('TL10'!$C$238:$C$451,$C58,'TL10'!$J$238:$J$451),0),
IF('TL11'!$B$3=L$3,SUMIF('TL11'!$C$10:$C$224,$C58,'TL11'!$J$10:$J$224),0),
IF('TL11'!$B$229=L$3,SUMIF('TL11'!$C$238:$C$451,$C58,'TL11'!$J$238:$J$451),0),
IF('TL12'!$B$3=L$3,SUMIF('TL12'!$C$10:$C$224,$C58,'TL12'!$J$10:$J$224),0),
IF('TL12'!$B$229=L$3,SUMIF('TL12'!$C$238:$C$451,$C58,'TL12'!$J$238:$J$451),0),
IF('TL13'!$B$3=L$3,SUMIF('TL13'!$C$10:$C$224,$C58,'TL13'!$J$10:$J$224),0),
IF('TL13'!$B$229=L$3,SUMIF('TL13'!$C$238:$C$451,$C58,'TL13'!$J$238:$J$451),0),
IF('TL14'!$B$3=L$3,SUMIF('TL14'!$C$10:$C$224,$C58,'TL14'!$J$10:$J$224),0),
IF('TL14'!$B$229=L$3,SUMIF('TL14'!$C$238:$C$451,$C58,'TL14'!$J$238:$J$451),0),
IF('TL15'!$B$3=L$3,SUMIF('TL15'!$C$10:$C$224,$C58,'TL15'!$J$10:$J$224),0),
IF('TL15'!$B$229=L$3,SUMIF('TL15'!$C$238:$C$451,$C58,'TL15'!$J$238:$J$451),0),
IF('TL16'!$B$3=L$3,SUMIF('TL16'!$C$10:$C$224,$C58,'TL16'!$J$10:$J$224),0),
IF('TL16'!$B$229=L$3,SUMIF('TL16'!$C$238:$C$451,$C58,'TL16'!$J$238:$J$451),0),
IF('TL17'!$B$3=L$3,SUMIF('TL17'!$C$10:$C$224,$C58,'TL17'!$J$10:$J$224),0),
IF('TL17'!$B$229=L$3,SUMIF('TL17'!$C$238:$C$451,$C58,'TL17'!$J$238:$J$451),0),
IF('TL18'!$B$3=L$3,SUMIF('TL18'!$C$10:$C$224,$C58,'TL18'!$J$10:$J$224),0),
IF('TL18'!$B$229=L$3,SUMIF('TL18'!$C$238:$C$451,$C58,'TL18'!$J$238:$J$451),0),
IF('TL19'!$B$3=L$3,SUMIF('TL19'!$C$10:$C$224,$C58,'TL19'!$J$10:$J$224),0),
IF('TL19'!$B$229=L$3,SUMIF('TL19'!$C$238:$C$451,$C58,'TL19'!$J$238:$J$451),0)
),0)</f>
        <v>990</v>
      </c>
      <c r="M58" s="9">
        <f>IFERROR(SUM(
IF('TL01'!$B$3=M$3,SUMIF('TL01'!$C$10:$C$224,$C58,'TL01'!$J$10:$J$224),0),
IF('TL01'!$B$229=M$3,SUMIF('TL01'!$C$238:$C$451,$C58,'TL01'!$J$238:$J$451),0),
IF('TL02'!$B$3=M$3,SUMIF('TL02'!$C$10:$C$224,$C58,'TL02'!$J$10:$J$224),0),
IF('TL02'!$B$229=M$3,SUMIF('TL02'!$C$238:$C$451,$C58,'TL02'!$J$238:$J$451),0),
IF('TL03'!$B$3=M$3,SUMIF('TL03'!$C$10:$C$224,$C58,'TL03'!$J$10:$J$224),0),
IF('TL03'!$B$229=M$3,SUMIF('TL03'!$C$238:$C$451,$C58,'TL03'!$J$238:$J$451),0),
IF('TL04'!$B$3=M$3,SUMIF('TL04'!$C$10:$C$224,$C58,'TL04'!$J$10:$J$224),0),
IF('TL04'!$B$229=M$3,SUMIF('TL04'!$C$238:$C$451,$C58,'TL04'!$J$238:$J$451),0),
IF('TL05'!$B$3=M$3,SUMIF('TL05'!$C$10:$C$224,$C58,'TL05'!$J$10:$J$224),0),
IF('TL05'!$B$229=M$3,SUMIF('TL05'!$C$238:$C$451,$C58,'TL05'!$J$238:$J$451),0),
IF('TL06'!$B$3=M$3,SUMIF('TL06'!$C$10:$C$224,$C58,'TL06'!$J$10:$J$224),0),
IF('TL06'!$B$229=M$3,SUMIF('TL06'!$C$238:$C$451,$C58,'TL06'!$J$238:$J$451),0),
IF('TL07'!$B$3=M$3,SUMIF('TL07'!$C$10:$C$224,$C58,'TL07'!$J$10:$J$224),0),
IF('TL07'!$B$229=M$3,SUMIF('TL07'!$C$238:$C$451,$C58,'TL07'!$J$238:$J$451),0),
IF('TL08'!$B$3=M$3,SUMIF('TL08'!$C$10:$C$224,$C58,'TL08'!$J$10:$J$224),0),
IF('TL08'!$B$229=M$3,SUMIF('TL08'!$C$238:$C$451,$C58,'TL08'!$J$238:$J$451),0),
IF('TL09'!$B$3=M$3,SUMIF('TL09'!$C$10:$C$224,$C58,'TL09'!$J$10:$J$224),0),
IF('TL09'!$B$229=M$3,SUMIF('TL09'!$C$238:$C$451,$C58,'TL09'!$J$238:$J$451),0),
IF('TL10'!$B$3=M$3,SUMIF('TL10'!$C$10:$C$224,$C58,'TL10'!$J$10:$J$224),0),
IF('TL10'!$B$229=M$3,SUMIF('TL10'!$C$238:$C$451,$C58,'TL10'!$J$238:$J$451),0),
IF('TL11'!$B$3=M$3,SUMIF('TL11'!$C$10:$C$224,$C58,'TL11'!$J$10:$J$224),0),
IF('TL11'!$B$229=M$3,SUMIF('TL11'!$C$238:$C$451,$C58,'TL11'!$J$238:$J$451),0),
IF('TL12'!$B$3=M$3,SUMIF('TL12'!$C$10:$C$224,$C58,'TL12'!$J$10:$J$224),0),
IF('TL12'!$B$229=M$3,SUMIF('TL12'!$C$238:$C$451,$C58,'TL12'!$J$238:$J$451),0),
IF('TL13'!$B$3=M$3,SUMIF('TL13'!$C$10:$C$224,$C58,'TL13'!$J$10:$J$224),0),
IF('TL13'!$B$229=M$3,SUMIF('TL13'!$C$238:$C$451,$C58,'TL13'!$J$238:$J$451),0),
IF('TL14'!$B$3=M$3,SUMIF('TL14'!$C$10:$C$224,$C58,'TL14'!$J$10:$J$224),0),
IF('TL14'!$B$229=M$3,SUMIF('TL14'!$C$238:$C$451,$C58,'TL14'!$J$238:$J$451),0),
IF('TL15'!$B$3=M$3,SUMIF('TL15'!$C$10:$C$224,$C58,'TL15'!$J$10:$J$224),0),
IF('TL15'!$B$229=M$3,SUMIF('TL15'!$C$238:$C$451,$C58,'TL15'!$J$238:$J$451),0),
IF('TL16'!$B$3=M$3,SUMIF('TL16'!$C$10:$C$224,$C58,'TL16'!$J$10:$J$224),0),
IF('TL16'!$B$229=M$3,SUMIF('TL16'!$C$238:$C$451,$C58,'TL16'!$J$238:$J$451),0),
IF('TL17'!$B$3=M$3,SUMIF('TL17'!$C$10:$C$224,$C58,'TL17'!$J$10:$J$224),0),
IF('TL17'!$B$229=M$3,SUMIF('TL17'!$C$238:$C$451,$C58,'TL17'!$J$238:$J$451),0),
IF('TL18'!$B$3=M$3,SUMIF('TL18'!$C$10:$C$224,$C58,'TL18'!$J$10:$J$224),0),
IF('TL18'!$B$229=M$3,SUMIF('TL18'!$C$238:$C$451,$C58,'TL18'!$J$238:$J$451),0),
IF('TL19'!$B$3=M$3,SUMIF('TL19'!$C$10:$C$224,$C58,'TL19'!$J$10:$J$224),0),
IF('TL19'!$B$229=M$3,SUMIF('TL19'!$C$238:$C$451,$C58,'TL19'!$J$238:$J$451),0)
),0)</f>
        <v>0</v>
      </c>
      <c r="N58" s="9">
        <f>IFERROR(SUM(
IF('TL01'!$B$3=N$3,SUMIF('TL01'!$C$10:$C$224,$C58,'TL01'!$J$10:$J$224),0),
IF('TL01'!$B$229=N$3,SUMIF('TL01'!$C$238:$C$451,$C58,'TL01'!$J$238:$J$451),0),
IF('TL02'!$B$3=N$3,SUMIF('TL02'!$C$10:$C$224,$C58,'TL02'!$J$10:$J$224),0),
IF('TL02'!$B$229=N$3,SUMIF('TL02'!$C$238:$C$451,$C58,'TL02'!$J$238:$J$451),0),
IF('TL03'!$B$3=N$3,SUMIF('TL03'!$C$10:$C$224,$C58,'TL03'!$J$10:$J$224),0),
IF('TL03'!$B$229=N$3,SUMIF('TL03'!$C$238:$C$451,$C58,'TL03'!$J$238:$J$451),0),
IF('TL04'!$B$3=N$3,SUMIF('TL04'!$C$10:$C$224,$C58,'TL04'!$J$10:$J$224),0),
IF('TL04'!$B$229=N$3,SUMIF('TL04'!$C$238:$C$451,$C58,'TL04'!$J$238:$J$451),0),
IF('TL05'!$B$3=N$3,SUMIF('TL05'!$C$10:$C$224,$C58,'TL05'!$J$10:$J$224),0),
IF('TL05'!$B$229=N$3,SUMIF('TL05'!$C$238:$C$451,$C58,'TL05'!$J$238:$J$451),0),
IF('TL06'!$B$3=N$3,SUMIF('TL06'!$C$10:$C$224,$C58,'TL06'!$J$10:$J$224),0),
IF('TL06'!$B$229=N$3,SUMIF('TL06'!$C$238:$C$451,$C58,'TL06'!$J$238:$J$451),0),
IF('TL07'!$B$3=N$3,SUMIF('TL07'!$C$10:$C$224,$C58,'TL07'!$J$10:$J$224),0),
IF('TL07'!$B$229=N$3,SUMIF('TL07'!$C$238:$C$451,$C58,'TL07'!$J$238:$J$451),0),
IF('TL08'!$B$3=N$3,SUMIF('TL08'!$C$10:$C$224,$C58,'TL08'!$J$10:$J$224),0),
IF('TL08'!$B$229=N$3,SUMIF('TL08'!$C$238:$C$451,$C58,'TL08'!$J$238:$J$451),0),
IF('TL09'!$B$3=N$3,SUMIF('TL09'!$C$10:$C$224,$C58,'TL09'!$J$10:$J$224),0),
IF('TL09'!$B$229=N$3,SUMIF('TL09'!$C$238:$C$451,$C58,'TL09'!$J$238:$J$451),0),
IF('TL10'!$B$3=N$3,SUMIF('TL10'!$C$10:$C$224,$C58,'TL10'!$J$10:$J$224),0),
IF('TL10'!$B$229=N$3,SUMIF('TL10'!$C$238:$C$451,$C58,'TL10'!$J$238:$J$451),0),
IF('TL11'!$B$3=N$3,SUMIF('TL11'!$C$10:$C$224,$C58,'TL11'!$J$10:$J$224),0),
IF('TL11'!$B$229=N$3,SUMIF('TL11'!$C$238:$C$451,$C58,'TL11'!$J$238:$J$451),0),
IF('TL12'!$B$3=N$3,SUMIF('TL12'!$C$10:$C$224,$C58,'TL12'!$J$10:$J$224),0),
IF('TL12'!$B$229=N$3,SUMIF('TL12'!$C$238:$C$451,$C58,'TL12'!$J$238:$J$451),0),
IF('TL13'!$B$3=N$3,SUMIF('TL13'!$C$10:$C$224,$C58,'TL13'!$J$10:$J$224),0),
IF('TL13'!$B$229=N$3,SUMIF('TL13'!$C$238:$C$451,$C58,'TL13'!$J$238:$J$451),0),
IF('TL14'!$B$3=N$3,SUMIF('TL14'!$C$10:$C$224,$C58,'TL14'!$J$10:$J$224),0),
IF('TL14'!$B$229=N$3,SUMIF('TL14'!$C$238:$C$451,$C58,'TL14'!$J$238:$J$451),0),
IF('TL15'!$B$3=N$3,SUMIF('TL15'!$C$10:$C$224,$C58,'TL15'!$J$10:$J$224),0),
IF('TL15'!$B$229=N$3,SUMIF('TL15'!$C$238:$C$451,$C58,'TL15'!$J$238:$J$451),0),
IF('TL16'!$B$3=N$3,SUMIF('TL16'!$C$10:$C$224,$C58,'TL16'!$J$10:$J$224),0),
IF('TL16'!$B$229=N$3,SUMIF('TL16'!$C$238:$C$451,$C58,'TL16'!$J$238:$J$451),0),
IF('TL17'!$B$3=N$3,SUMIF('TL17'!$C$10:$C$224,$C58,'TL17'!$J$10:$J$224),0),
IF('TL17'!$B$229=N$3,SUMIF('TL17'!$C$238:$C$451,$C58,'TL17'!$J$238:$J$451),0),
IF('TL18'!$B$3=N$3,SUMIF('TL18'!$C$10:$C$224,$C58,'TL18'!$J$10:$J$224),0),
IF('TL18'!$B$229=N$3,SUMIF('TL18'!$C$238:$C$451,$C58,'TL18'!$J$238:$J$451),0),
IF('TL19'!$B$3=N$3,SUMIF('TL19'!$C$10:$C$224,$C58,'TL19'!$J$10:$J$224),0),
IF('TL19'!$B$229=N$3,SUMIF('TL19'!$C$238:$C$451,$C58,'TL19'!$J$238:$J$451),0)
),0)</f>
        <v>0</v>
      </c>
      <c r="O58" s="9">
        <f>IFERROR(SUM(
IF('TL01'!$B$3=O$3,SUMIF('TL01'!$C$10:$C$224,$C58,'TL01'!$J$10:$J$224),0),
IF('TL01'!$B$229=O$3,SUMIF('TL01'!$C$238:$C$451,$C58,'TL01'!$J$238:$J$451),0),
IF('TL02'!$B$3=O$3,SUMIF('TL02'!$C$10:$C$224,$C58,'TL02'!$J$10:$J$224),0),
IF('TL02'!$B$229=O$3,SUMIF('TL02'!$C$238:$C$451,$C58,'TL02'!$J$238:$J$451),0),
IF('TL03'!$B$3=O$3,SUMIF('TL03'!$C$10:$C$224,$C58,'TL03'!$J$10:$J$224),0),
IF('TL03'!$B$229=O$3,SUMIF('TL03'!$C$238:$C$451,$C58,'TL03'!$J$238:$J$451),0),
IF('TL04'!$B$3=O$3,SUMIF('TL04'!$C$10:$C$224,$C58,'TL04'!$J$10:$J$224),0),
IF('TL04'!$B$229=O$3,SUMIF('TL04'!$C$238:$C$451,$C58,'TL04'!$J$238:$J$451),0),
IF('TL05'!$B$3=O$3,SUMIF('TL05'!$C$10:$C$224,$C58,'TL05'!$J$10:$J$224),0),
IF('TL05'!$B$229=O$3,SUMIF('TL05'!$C$238:$C$451,$C58,'TL05'!$J$238:$J$451),0),
IF('TL06'!$B$3=O$3,SUMIF('TL06'!$C$10:$C$224,$C58,'TL06'!$J$10:$J$224),0),
IF('TL06'!$B$229=O$3,SUMIF('TL06'!$C$238:$C$451,$C58,'TL06'!$J$238:$J$451),0),
IF('TL07'!$B$3=O$3,SUMIF('TL07'!$C$10:$C$224,$C58,'TL07'!$J$10:$J$224),0),
IF('TL07'!$B$229=O$3,SUMIF('TL07'!$C$238:$C$451,$C58,'TL07'!$J$238:$J$451),0),
IF('TL08'!$B$3=O$3,SUMIF('TL08'!$C$10:$C$224,$C58,'TL08'!$J$10:$J$224),0),
IF('TL08'!$B$229=O$3,SUMIF('TL08'!$C$238:$C$451,$C58,'TL08'!$J$238:$J$451),0),
IF('TL09'!$B$3=O$3,SUMIF('TL09'!$C$10:$C$224,$C58,'TL09'!$J$10:$J$224),0),
IF('TL09'!$B$229=O$3,SUMIF('TL09'!$C$238:$C$451,$C58,'TL09'!$J$238:$J$451),0),
IF('TL10'!$B$3=O$3,SUMIF('TL10'!$C$10:$C$224,$C58,'TL10'!$J$10:$J$224),0),
IF('TL10'!$B$229=O$3,SUMIF('TL10'!$C$238:$C$451,$C58,'TL10'!$J$238:$J$451),0),
IF('TL11'!$B$3=O$3,SUMIF('TL11'!$C$10:$C$224,$C58,'TL11'!$J$10:$J$224),0),
IF('TL11'!$B$229=O$3,SUMIF('TL11'!$C$238:$C$451,$C58,'TL11'!$J$238:$J$451),0),
IF('TL12'!$B$3=O$3,SUMIF('TL12'!$C$10:$C$224,$C58,'TL12'!$J$10:$J$224),0),
IF('TL12'!$B$229=O$3,SUMIF('TL12'!$C$238:$C$451,$C58,'TL12'!$J$238:$J$451),0),
IF('TL13'!$B$3=O$3,SUMIF('TL13'!$C$10:$C$224,$C58,'TL13'!$J$10:$J$224),0),
IF('TL13'!$B$229=O$3,SUMIF('TL13'!$C$238:$C$451,$C58,'TL13'!$J$238:$J$451),0),
IF('TL14'!$B$3=O$3,SUMIF('TL14'!$C$10:$C$224,$C58,'TL14'!$J$10:$J$224),0),
IF('TL14'!$B$229=O$3,SUMIF('TL14'!$C$238:$C$451,$C58,'TL14'!$J$238:$J$451),0),
IF('TL15'!$B$3=O$3,SUMIF('TL15'!$C$10:$C$224,$C58,'TL15'!$J$10:$J$224),0),
IF('TL15'!$B$229=O$3,SUMIF('TL15'!$C$238:$C$451,$C58,'TL15'!$J$238:$J$451),0),
IF('TL16'!$B$3=O$3,SUMIF('TL16'!$C$10:$C$224,$C58,'TL16'!$J$10:$J$224),0),
IF('TL16'!$B$229=O$3,SUMIF('TL16'!$C$238:$C$451,$C58,'TL16'!$J$238:$J$451),0),
IF('TL17'!$B$3=O$3,SUMIF('TL17'!$C$10:$C$224,$C58,'TL17'!$J$10:$J$224),0),
IF('TL17'!$B$229=O$3,SUMIF('TL17'!$C$238:$C$451,$C58,'TL17'!$J$238:$J$451),0),
IF('TL18'!$B$3=O$3,SUMIF('TL18'!$C$10:$C$224,$C58,'TL18'!$J$10:$J$224),0),
IF('TL18'!$B$229=O$3,SUMIF('TL18'!$C$238:$C$451,$C58,'TL18'!$J$238:$J$451),0),
IF('TL19'!$B$3=O$3,SUMIF('TL19'!$C$10:$C$224,$C58,'TL19'!$J$10:$J$224),0),
IF('TL19'!$B$229=O$3,SUMIF('TL19'!$C$238:$C$451,$C58,'TL19'!$J$238:$J$451),0)
),0)</f>
        <v>660</v>
      </c>
      <c r="P58" s="9">
        <f>IFERROR(SUM(
IF('TL01'!$B$3=P$3,SUMIF('TL01'!$C$10:$C$224,$C58,'TL01'!$J$10:$J$224),0),
IF('TL01'!$B$229=P$3,SUMIF('TL01'!$C$238:$C$451,$C58,'TL01'!$J$238:$J$451),0),
IF('TL02'!$B$3=P$3,SUMIF('TL02'!$C$10:$C$224,$C58,'TL02'!$J$10:$J$224),0),
IF('TL02'!$B$229=P$3,SUMIF('TL02'!$C$238:$C$451,$C58,'TL02'!$J$238:$J$451),0),
IF('TL03'!$B$3=P$3,SUMIF('TL03'!$C$10:$C$224,$C58,'TL03'!$J$10:$J$224),0),
IF('TL03'!$B$229=P$3,SUMIF('TL03'!$C$238:$C$451,$C58,'TL03'!$J$238:$J$451),0),
IF('TL04'!$B$3=P$3,SUMIF('TL04'!$C$10:$C$224,$C58,'TL04'!$J$10:$J$224),0),
IF('TL04'!$B$229=P$3,SUMIF('TL04'!$C$238:$C$451,$C58,'TL04'!$J$238:$J$451),0),
IF('TL05'!$B$3=P$3,SUMIF('TL05'!$C$10:$C$224,$C58,'TL05'!$J$10:$J$224),0),
IF('TL05'!$B$229=P$3,SUMIF('TL05'!$C$238:$C$451,$C58,'TL05'!$J$238:$J$451),0),
IF('TL06'!$B$3=P$3,SUMIF('TL06'!$C$10:$C$224,$C58,'TL06'!$J$10:$J$224),0),
IF('TL06'!$B$229=P$3,SUMIF('TL06'!$C$238:$C$451,$C58,'TL06'!$J$238:$J$451),0),
IF('TL07'!$B$3=P$3,SUMIF('TL07'!$C$10:$C$224,$C58,'TL07'!$J$10:$J$224),0),
IF('TL07'!$B$229=P$3,SUMIF('TL07'!$C$238:$C$451,$C58,'TL07'!$J$238:$J$451),0),
IF('TL08'!$B$3=P$3,SUMIF('TL08'!$C$10:$C$224,$C58,'TL08'!$J$10:$J$224),0),
IF('TL08'!$B$229=P$3,SUMIF('TL08'!$C$238:$C$451,$C58,'TL08'!$J$238:$J$451),0),
IF('TL09'!$B$3=P$3,SUMIF('TL09'!$C$10:$C$224,$C58,'TL09'!$J$10:$J$224),0),
IF('TL09'!$B$229=P$3,SUMIF('TL09'!$C$238:$C$451,$C58,'TL09'!$J$238:$J$451),0),
IF('TL10'!$B$3=P$3,SUMIF('TL10'!$C$10:$C$224,$C58,'TL10'!$J$10:$J$224),0),
IF('TL10'!$B$229=P$3,SUMIF('TL10'!$C$238:$C$451,$C58,'TL10'!$J$238:$J$451),0),
IF('TL11'!$B$3=P$3,SUMIF('TL11'!$C$10:$C$224,$C58,'TL11'!$J$10:$J$224),0),
IF('TL11'!$B$229=P$3,SUMIF('TL11'!$C$238:$C$451,$C58,'TL11'!$J$238:$J$451),0),
IF('TL12'!$B$3=P$3,SUMIF('TL12'!$C$10:$C$224,$C58,'TL12'!$J$10:$J$224),0),
IF('TL12'!$B$229=P$3,SUMIF('TL12'!$C$238:$C$451,$C58,'TL12'!$J$238:$J$451),0),
IF('TL13'!$B$3=P$3,SUMIF('TL13'!$C$10:$C$224,$C58,'TL13'!$J$10:$J$224),0),
IF('TL13'!$B$229=P$3,SUMIF('TL13'!$C$238:$C$451,$C58,'TL13'!$J$238:$J$451),0),
IF('TL14'!$B$3=P$3,SUMIF('TL14'!$C$10:$C$224,$C58,'TL14'!$J$10:$J$224),0),
IF('TL14'!$B$229=P$3,SUMIF('TL14'!$C$238:$C$451,$C58,'TL14'!$J$238:$J$451),0),
IF('TL15'!$B$3=P$3,SUMIF('TL15'!$C$10:$C$224,$C58,'TL15'!$J$10:$J$224),0),
IF('TL15'!$B$229=P$3,SUMIF('TL15'!$C$238:$C$451,$C58,'TL15'!$J$238:$J$451),0),
IF('TL16'!$B$3=P$3,SUMIF('TL16'!$C$10:$C$224,$C58,'TL16'!$J$10:$J$224),0),
IF('TL16'!$B$229=P$3,SUMIF('TL16'!$C$238:$C$451,$C58,'TL16'!$J$238:$J$451),0),
IF('TL17'!$B$3=P$3,SUMIF('TL17'!$C$10:$C$224,$C58,'TL17'!$J$10:$J$224),0),
IF('TL17'!$B$229=P$3,SUMIF('TL17'!$C$238:$C$451,$C58,'TL17'!$J$238:$J$451),0),
IF('TL18'!$B$3=P$3,SUMIF('TL18'!$C$10:$C$224,$C58,'TL18'!$J$10:$J$224),0),
IF('TL18'!$B$229=P$3,SUMIF('TL18'!$C$238:$C$451,$C58,'TL18'!$J$238:$J$451),0),
IF('TL19'!$B$3=P$3,SUMIF('TL19'!$C$10:$C$224,$C58,'TL19'!$J$10:$J$224),0),
IF('TL19'!$B$229=P$3,SUMIF('TL19'!$C$238:$C$451,$C58,'TL19'!$J$238:$J$451),0)
),0)</f>
        <v>5481</v>
      </c>
      <c r="Q58" s="9">
        <f>IFERROR(SUM(
IF('TL01'!$B$3=Q$3,SUMIF('TL01'!$C$10:$C$224,$C58,'TL01'!$J$10:$J$224),0),
IF('TL01'!$B$229=Q$3,SUMIF('TL01'!$C$238:$C$451,$C58,'TL01'!$J$238:$J$451),0),
IF('TL02'!$B$3=Q$3,SUMIF('TL02'!$C$10:$C$224,$C58,'TL02'!$J$10:$J$224),0),
IF('TL02'!$B$229=Q$3,SUMIF('TL02'!$C$238:$C$451,$C58,'TL02'!$J$238:$J$451),0),
IF('TL03'!$B$3=Q$3,SUMIF('TL03'!$C$10:$C$224,$C58,'TL03'!$J$10:$J$224),0),
IF('TL03'!$B$229=Q$3,SUMIF('TL03'!$C$238:$C$451,$C58,'TL03'!$J$238:$J$451),0),
IF('TL04'!$B$3=Q$3,SUMIF('TL04'!$C$10:$C$224,$C58,'TL04'!$J$10:$J$224),0),
IF('TL04'!$B$229=Q$3,SUMIF('TL04'!$C$238:$C$451,$C58,'TL04'!$J$238:$J$451),0),
IF('TL05'!$B$3=Q$3,SUMIF('TL05'!$C$10:$C$224,$C58,'TL05'!$J$10:$J$224),0),
IF('TL05'!$B$229=Q$3,SUMIF('TL05'!$C$238:$C$451,$C58,'TL05'!$J$238:$J$451),0),
IF('TL06'!$B$3=Q$3,SUMIF('TL06'!$C$10:$C$224,$C58,'TL06'!$J$10:$J$224),0),
IF('TL06'!$B$229=Q$3,SUMIF('TL06'!$C$238:$C$451,$C58,'TL06'!$J$238:$J$451),0),
IF('TL07'!$B$3=Q$3,SUMIF('TL07'!$C$10:$C$224,$C58,'TL07'!$J$10:$J$224),0),
IF('TL07'!$B$229=Q$3,SUMIF('TL07'!$C$238:$C$451,$C58,'TL07'!$J$238:$J$451),0),
IF('TL08'!$B$3=Q$3,SUMIF('TL08'!$C$10:$C$224,$C58,'TL08'!$J$10:$J$224),0),
IF('TL08'!$B$229=Q$3,SUMIF('TL08'!$C$238:$C$451,$C58,'TL08'!$J$238:$J$451),0),
IF('TL09'!$B$3=Q$3,SUMIF('TL09'!$C$10:$C$224,$C58,'TL09'!$J$10:$J$224),0),
IF('TL09'!$B$229=Q$3,SUMIF('TL09'!$C$238:$C$451,$C58,'TL09'!$J$238:$J$451),0),
IF('TL10'!$B$3=Q$3,SUMIF('TL10'!$C$10:$C$224,$C58,'TL10'!$J$10:$J$224),0),
IF('TL10'!$B$229=Q$3,SUMIF('TL10'!$C$238:$C$451,$C58,'TL10'!$J$238:$J$451),0),
IF('TL11'!$B$3=Q$3,SUMIF('TL11'!$C$10:$C$224,$C58,'TL11'!$J$10:$J$224),0),
IF('TL11'!$B$229=Q$3,SUMIF('TL11'!$C$238:$C$451,$C58,'TL11'!$J$238:$J$451),0),
IF('TL12'!$B$3=Q$3,SUMIF('TL12'!$C$10:$C$224,$C58,'TL12'!$J$10:$J$224),0),
IF('TL12'!$B$229=Q$3,SUMIF('TL12'!$C$238:$C$451,$C58,'TL12'!$J$238:$J$451),0),
IF('TL13'!$B$3=Q$3,SUMIF('TL13'!$C$10:$C$224,$C58,'TL13'!$J$10:$J$224),0),
IF('TL13'!$B$229=Q$3,SUMIF('TL13'!$C$238:$C$451,$C58,'TL13'!$J$238:$J$451),0),
IF('TL14'!$B$3=Q$3,SUMIF('TL14'!$C$10:$C$224,$C58,'TL14'!$J$10:$J$224),0),
IF('TL14'!$B$229=Q$3,SUMIF('TL14'!$C$238:$C$451,$C58,'TL14'!$J$238:$J$451),0),
IF('TL15'!$B$3=Q$3,SUMIF('TL15'!$C$10:$C$224,$C58,'TL15'!$J$10:$J$224),0),
IF('TL15'!$B$229=Q$3,SUMIF('TL15'!$C$238:$C$451,$C58,'TL15'!$J$238:$J$451),0),
IF('TL16'!$B$3=Q$3,SUMIF('TL16'!$C$10:$C$224,$C58,'TL16'!$J$10:$J$224),0),
IF('TL16'!$B$229=Q$3,SUMIF('TL16'!$C$238:$C$451,$C58,'TL16'!$J$238:$J$451),0),
IF('TL17'!$B$3=Q$3,SUMIF('TL17'!$C$10:$C$224,$C58,'TL17'!$J$10:$J$224),0),
IF('TL17'!$B$229=Q$3,SUMIF('TL17'!$C$238:$C$451,$C58,'TL17'!$J$238:$J$451),0),
IF('TL18'!$B$3=Q$3,SUMIF('TL18'!$C$10:$C$224,$C58,'TL18'!$J$10:$J$224),0),
IF('TL18'!$B$229=Q$3,SUMIF('TL18'!$C$238:$C$451,$C58,'TL18'!$J$238:$J$451),0),
IF('TL19'!$B$3=Q$3,SUMIF('TL19'!$C$10:$C$224,$C58,'TL19'!$J$10:$J$224),0),
IF('TL19'!$B$229=Q$3,SUMIF('TL19'!$C$238:$C$451,$C58,'TL19'!$J$238:$J$451),0)
),0)</f>
        <v>1440</v>
      </c>
      <c r="R58" s="9">
        <f>IFERROR(
SUM(
SUMIF('TL01'!C:C,C58,'TL01'!J:J),
SUMIF('TL02'!C:C,C58,'TL02'!J:J),
SUMIF('TL03'!C:C,C58,'TL03'!J:J),
SUMIF('TL04'!C:C,C58,'TL04'!J:J),
SUMIF('TL05'!C:C,C58,'TL05'!J:J),
SUMIF('TL06'!C:C,C58,'TL06'!J:J),
SUMIF('TL07'!C:C,C58,'TL07'!J:J),
SUMIF('TL08'!C:C,C58,'TL08'!J:J),
SUMIF('TL09'!C:C,C58,'TL09'!J:J),
SUMIF('TL10'!C:C,C58,'TL10'!J:J),
SUMIF('TL11'!C:C,C58,'TL11'!J:J),
SUMIF('TL12'!C:C,C58,'TL12'!J:J),
SUMIF('TL13'!C:C,C58,'TL13'!J:J),
SUMIF('TL14'!C:C,C58,'TL14'!J:J),
SUMIF('TL15'!C:C,C58,'TL15'!J:J),
SUMIF('TL16'!C:C,C58,'TL16'!J:J),
SUMIF('TL17'!C:C,C58,'TL17'!J:J),
SUMIF('TL18'!C:C,C58,'TL18'!J:J),SUMIF('TL19'!C:C,C58,'TL19'!J:J))
,0)</f>
        <v>12211</v>
      </c>
      <c r="S58" s="17">
        <f>IFERROR(__xludf.DUMMYFUNCTION("IFERROR(VLOOKUP(C58,
IMPORTRANGE(""1wULbzX32WdYsx-lj2U3uUNBBe2INVIRDtcK0d-Dvl90"",
""26-27!C:G""),
5,
FALSE),
"""")"),27.681120000000004)</f>
        <v>27.68112</v>
      </c>
      <c r="T58" s="118">
        <f>2580+1100</f>
        <v>3680</v>
      </c>
      <c r="U58" s="92">
        <f t="shared" si="2"/>
        <v>8531</v>
      </c>
      <c r="V58" s="93">
        <f t="shared" si="3"/>
        <v>236147.6347</v>
      </c>
    </row>
    <row r="59" ht="15.75" hidden="1" customHeight="1">
      <c r="A59" s="111" t="s">
        <v>353</v>
      </c>
      <c r="B59" s="112" t="s">
        <v>0</v>
      </c>
      <c r="C59" s="113" t="s">
        <v>487</v>
      </c>
      <c r="D59" s="113" t="s">
        <v>488</v>
      </c>
      <c r="E59" s="113" t="s">
        <v>489</v>
      </c>
      <c r="F59" s="4" t="s">
        <v>343</v>
      </c>
      <c r="G59" s="90" t="str">
        <f t="shared" si="4"/>
        <v>📄 Ver bula</v>
      </c>
      <c r="H59" s="9">
        <f>IFERROR(__xludf.DUMMYFUNCTION("IFERROR(VLOOKUP(C59,
IMPORTRANGE(""1wULbzX32WdYsx-lj2U3uUNBBe2INVIRDtcK0d-Dvl90"",
""26-27!C:K""),
8,
FALSE),
"""")"),0.6)</f>
        <v>0.6</v>
      </c>
      <c r="I59" s="114" t="s">
        <v>344</v>
      </c>
      <c r="J59" s="9">
        <f>IFERROR(SUM(
IF('TL01'!$B$3=J$3,SUMIF('TL01'!$C$10:$C$224,$C59,'TL01'!$J$10:$J$224),0),
IF('TL01'!$B$229=J$3,SUMIF('TL01'!$C$238:$C$451,$C59,'TL01'!$J$238:$J$451),0),
IF('TL02'!$B$3=J$3,SUMIF('TL02'!$C$10:$C$224,$C59,'TL02'!$J$10:$J$224),0),
IF('TL02'!$B$229=J$3,SUMIF('TL02'!$C$238:$C$451,$C59,'TL02'!$J$238:$J$451),0),
IF('TL03'!$B$3=J$3,SUMIF('TL03'!$C$10:$C$224,$C59,'TL03'!$J$10:$J$224),0),
IF('TL03'!$B$229=J$3,SUMIF('TL03'!$C$238:$C$451,$C59,'TL03'!$J$238:$J$451),0),
IF('TL04'!$B$3=J$3,SUMIF('TL04'!$C$10:$C$224,$C59,'TL04'!$J$10:$J$224),0),
IF('TL04'!$B$229=J$3,SUMIF('TL04'!$C$238:$C$451,$C59,'TL04'!$J$238:$J$451),0),
IF('TL05'!$B$3=J$3,SUMIF('TL05'!$C$10:$C$224,$C59,'TL05'!$J$10:$J$224),0),
IF('TL05'!$B$229=J$3,SUMIF('TL05'!$C$238:$C$451,$C59,'TL05'!$J$238:$J$451),0),
IF('TL06'!$B$3=J$3,SUMIF('TL06'!$C$10:$C$224,$C59,'TL06'!$J$10:$J$224),0),
IF('TL06'!$B$229=J$3,SUMIF('TL06'!$C$238:$C$451,$C59,'TL06'!$J$238:$J$451),0),
IF('TL07'!$B$3=J$3,SUMIF('TL07'!$C$10:$C$224,$C59,'TL07'!$J$10:$J$224),0),
IF('TL07'!$B$229=J$3,SUMIF('TL07'!$C$238:$C$451,$C59,'TL07'!$J$238:$J$451),0),
IF('TL08'!$B$3=J$3,SUMIF('TL08'!$C$10:$C$224,$C59,'TL08'!$J$10:$J$224),0),
IF('TL08'!$B$229=J$3,SUMIF('TL08'!$C$238:$C$451,$C59,'TL08'!$J$238:$J$451),0),
IF('TL09'!$B$3=J$3,SUMIF('TL09'!$C$10:$C$224,$C59,'TL09'!$J$10:$J$224),0),
IF('TL09'!$B$229=J$3,SUMIF('TL09'!$C$238:$C$451,$C59,'TL09'!$J$238:$J$451),0),
IF('TL10'!$B$3=J$3,SUMIF('TL10'!$C$10:$C$224,$C59,'TL10'!$J$10:$J$224),0),
IF('TL10'!$B$229=J$3,SUMIF('TL10'!$C$238:$C$451,$C59,'TL10'!$J$238:$J$451),0),
IF('TL11'!$B$3=J$3,SUMIF('TL11'!$C$10:$C$224,$C59,'TL11'!$J$10:$J$224),0),
IF('TL11'!$B$229=J$3,SUMIF('TL11'!$C$238:$C$451,$C59,'TL11'!$J$238:$J$451),0),
IF('TL12'!$B$3=J$3,SUMIF('TL12'!$C$10:$C$224,$C59,'TL12'!$J$10:$J$224),0),
IF('TL12'!$B$229=J$3,SUMIF('TL12'!$C$238:$C$451,$C59,'TL12'!$J$238:$J$451),0),
IF('TL13'!$B$3=J$3,SUMIF('TL13'!$C$10:$C$224,$C59,'TL13'!$J$10:$J$224),0),
IF('TL13'!$B$229=J$3,SUMIF('TL13'!$C$238:$C$451,$C59,'TL13'!$J$238:$J$451),0),
IF('TL14'!$B$3=J$3,SUMIF('TL14'!$C$10:$C$224,$C59,'TL14'!$J$10:$J$224),0),
IF('TL14'!$B$229=J$3,SUMIF('TL14'!$C$238:$C$451,$C59,'TL14'!$J$238:$J$451),0),
IF('TL15'!$B$3=J$3,SUMIF('TL15'!$C$10:$C$224,$C59,'TL15'!$J$10:$J$224),0),
IF('TL15'!$B$229=J$3,SUMIF('TL15'!$C$238:$C$451,$C59,'TL15'!$J$238:$J$451),0),
IF('TL16'!$B$3=J$3,SUMIF('TL16'!$C$10:$C$224,$C59,'TL16'!$J$10:$J$224),0),
IF('TL16'!$B$229=J$3,SUMIF('TL16'!$C$238:$C$451,$C59,'TL16'!$J$238:$J$451),0),
IF('TL17'!$B$3=J$3,SUMIF('TL17'!$C$10:$C$224,$C59,'TL17'!$J$10:$J$224),0),
IF('TL17'!$B$229=J$3,SUMIF('TL17'!$C$238:$C$451,$C59,'TL17'!$J$238:$J$451),0),
IF('TL18'!$B$3=J$3,SUMIF('TL18'!$C$10:$C$224,$C59,'TL18'!$J$10:$J$224),0),
IF('TL18'!$B$229=J$3,SUMIF('TL18'!$C$238:$C$451,$C59,'TL18'!$J$238:$J$451),0),
IF('TL19'!$B$3=J$3,SUMIF('TL19'!$C$10:$C$224,$C59,'TL19'!$J$10:$J$224),0),
IF('TL19'!$B$229=J$3,SUMIF('TL19'!$C$238:$C$451,$C59,'TL19'!$J$238:$J$451),0)
),0)</f>
        <v>294</v>
      </c>
      <c r="K59" s="9">
        <f>IFERROR(SUM(
IF('TL01'!$B$3=K$3,SUMIF('TL01'!$C$10:$C$224,$C59,'TL01'!$J$10:$J$224),0),
IF('TL01'!$B$229=K$3,SUMIF('TL01'!$C$238:$C$451,$C59,'TL01'!$J$238:$J$451),0),
IF('TL02'!$B$3=K$3,SUMIF('TL02'!$C$10:$C$224,$C59,'TL02'!$J$10:$J$224),0),
IF('TL02'!$B$229=K$3,SUMIF('TL02'!$C$238:$C$451,$C59,'TL02'!$J$238:$J$451),0),
IF('TL03'!$B$3=K$3,SUMIF('TL03'!$C$10:$C$224,$C59,'TL03'!$J$10:$J$224),0),
IF('TL03'!$B$229=K$3,SUMIF('TL03'!$C$238:$C$451,$C59,'TL03'!$J$238:$J$451),0),
IF('TL04'!$B$3=K$3,SUMIF('TL04'!$C$10:$C$224,$C59,'TL04'!$J$10:$J$224),0),
IF('TL04'!$B$229=K$3,SUMIF('TL04'!$C$238:$C$451,$C59,'TL04'!$J$238:$J$451),0),
IF('TL05'!$B$3=K$3,SUMIF('TL05'!$C$10:$C$224,$C59,'TL05'!$J$10:$J$224),0),
IF('TL05'!$B$229=K$3,SUMIF('TL05'!$C$238:$C$451,$C59,'TL05'!$J$238:$J$451),0),
IF('TL06'!$B$3=K$3,SUMIF('TL06'!$C$10:$C$224,$C59,'TL06'!$J$10:$J$224),0),
IF('TL06'!$B$229=K$3,SUMIF('TL06'!$C$238:$C$451,$C59,'TL06'!$J$238:$J$451),0),
IF('TL07'!$B$3=K$3,SUMIF('TL07'!$C$10:$C$224,$C59,'TL07'!$J$10:$J$224),0),
IF('TL07'!$B$229=K$3,SUMIF('TL07'!$C$238:$C$451,$C59,'TL07'!$J$238:$J$451),0),
IF('TL08'!$B$3=K$3,SUMIF('TL08'!$C$10:$C$224,$C59,'TL08'!$J$10:$J$224),0),
IF('TL08'!$B$229=K$3,SUMIF('TL08'!$C$238:$C$451,$C59,'TL08'!$J$238:$J$451),0),
IF('TL09'!$B$3=K$3,SUMIF('TL09'!$C$10:$C$224,$C59,'TL09'!$J$10:$J$224),0),
IF('TL09'!$B$229=K$3,SUMIF('TL09'!$C$238:$C$451,$C59,'TL09'!$J$238:$J$451),0),
IF('TL10'!$B$3=K$3,SUMIF('TL10'!$C$10:$C$224,$C59,'TL10'!$J$10:$J$224),0),
IF('TL10'!$B$229=K$3,SUMIF('TL10'!$C$238:$C$451,$C59,'TL10'!$J$238:$J$451),0),
IF('TL11'!$B$3=K$3,SUMIF('TL11'!$C$10:$C$224,$C59,'TL11'!$J$10:$J$224),0),
IF('TL11'!$B$229=K$3,SUMIF('TL11'!$C$238:$C$451,$C59,'TL11'!$J$238:$J$451),0),
IF('TL12'!$B$3=K$3,SUMIF('TL12'!$C$10:$C$224,$C59,'TL12'!$J$10:$J$224),0),
IF('TL12'!$B$229=K$3,SUMIF('TL12'!$C$238:$C$451,$C59,'TL12'!$J$238:$J$451),0),
IF('TL13'!$B$3=K$3,SUMIF('TL13'!$C$10:$C$224,$C59,'TL13'!$J$10:$J$224),0),
IF('TL13'!$B$229=K$3,SUMIF('TL13'!$C$238:$C$451,$C59,'TL13'!$J$238:$J$451),0),
IF('TL14'!$B$3=K$3,SUMIF('TL14'!$C$10:$C$224,$C59,'TL14'!$J$10:$J$224),0),
IF('TL14'!$B$229=K$3,SUMIF('TL14'!$C$238:$C$451,$C59,'TL14'!$J$238:$J$451),0),
IF('TL15'!$B$3=K$3,SUMIF('TL15'!$C$10:$C$224,$C59,'TL15'!$J$10:$J$224),0),
IF('TL15'!$B$229=K$3,SUMIF('TL15'!$C$238:$C$451,$C59,'TL15'!$J$238:$J$451),0),
IF('TL16'!$B$3=K$3,SUMIF('TL16'!$C$10:$C$224,$C59,'TL16'!$J$10:$J$224),0),
IF('TL16'!$B$229=K$3,SUMIF('TL16'!$C$238:$C$451,$C59,'TL16'!$J$238:$J$451),0),
IF('TL17'!$B$3=K$3,SUMIF('TL17'!$C$10:$C$224,$C59,'TL17'!$J$10:$J$224),0),
IF('TL17'!$B$229=K$3,SUMIF('TL17'!$C$238:$C$451,$C59,'TL17'!$J$238:$J$451),0),
IF('TL18'!$B$3=K$3,SUMIF('TL18'!$C$10:$C$224,$C59,'TL18'!$J$10:$J$224),0),
IF('TL18'!$B$229=K$3,SUMIF('TL18'!$C$238:$C$451,$C59,'TL18'!$J$238:$J$451),0),
IF('TL19'!$B$3=K$3,SUMIF('TL19'!$C$10:$C$224,$C59,'TL19'!$J$10:$J$224),0),
IF('TL19'!$B$229=K$3,SUMIF('TL19'!$C$238:$C$451,$C59,'TL19'!$J$238:$J$451),0)
),0)</f>
        <v>180</v>
      </c>
      <c r="L59" s="9">
        <f>IFERROR(SUM(
IF('TL01'!$B$3=L$3,SUMIF('TL01'!$C$10:$C$224,$C59,'TL01'!$J$10:$J$224),0),
IF('TL01'!$B$229=L$3,SUMIF('TL01'!$C$238:$C$451,$C59,'TL01'!$J$238:$J$451),0),
IF('TL02'!$B$3=L$3,SUMIF('TL02'!$C$10:$C$224,$C59,'TL02'!$J$10:$J$224),0),
IF('TL02'!$B$229=L$3,SUMIF('TL02'!$C$238:$C$451,$C59,'TL02'!$J$238:$J$451),0),
IF('TL03'!$B$3=L$3,SUMIF('TL03'!$C$10:$C$224,$C59,'TL03'!$J$10:$J$224),0),
IF('TL03'!$B$229=L$3,SUMIF('TL03'!$C$238:$C$451,$C59,'TL03'!$J$238:$J$451),0),
IF('TL04'!$B$3=L$3,SUMIF('TL04'!$C$10:$C$224,$C59,'TL04'!$J$10:$J$224),0),
IF('TL04'!$B$229=L$3,SUMIF('TL04'!$C$238:$C$451,$C59,'TL04'!$J$238:$J$451),0),
IF('TL05'!$B$3=L$3,SUMIF('TL05'!$C$10:$C$224,$C59,'TL05'!$J$10:$J$224),0),
IF('TL05'!$B$229=L$3,SUMIF('TL05'!$C$238:$C$451,$C59,'TL05'!$J$238:$J$451),0),
IF('TL06'!$B$3=L$3,SUMIF('TL06'!$C$10:$C$224,$C59,'TL06'!$J$10:$J$224),0),
IF('TL06'!$B$229=L$3,SUMIF('TL06'!$C$238:$C$451,$C59,'TL06'!$J$238:$J$451),0),
IF('TL07'!$B$3=L$3,SUMIF('TL07'!$C$10:$C$224,$C59,'TL07'!$J$10:$J$224),0),
IF('TL07'!$B$229=L$3,SUMIF('TL07'!$C$238:$C$451,$C59,'TL07'!$J$238:$J$451),0),
IF('TL08'!$B$3=L$3,SUMIF('TL08'!$C$10:$C$224,$C59,'TL08'!$J$10:$J$224),0),
IF('TL08'!$B$229=L$3,SUMIF('TL08'!$C$238:$C$451,$C59,'TL08'!$J$238:$J$451),0),
IF('TL09'!$B$3=L$3,SUMIF('TL09'!$C$10:$C$224,$C59,'TL09'!$J$10:$J$224),0),
IF('TL09'!$B$229=L$3,SUMIF('TL09'!$C$238:$C$451,$C59,'TL09'!$J$238:$J$451),0),
IF('TL10'!$B$3=L$3,SUMIF('TL10'!$C$10:$C$224,$C59,'TL10'!$J$10:$J$224),0),
IF('TL10'!$B$229=L$3,SUMIF('TL10'!$C$238:$C$451,$C59,'TL10'!$J$238:$J$451),0),
IF('TL11'!$B$3=L$3,SUMIF('TL11'!$C$10:$C$224,$C59,'TL11'!$J$10:$J$224),0),
IF('TL11'!$B$229=L$3,SUMIF('TL11'!$C$238:$C$451,$C59,'TL11'!$J$238:$J$451),0),
IF('TL12'!$B$3=L$3,SUMIF('TL12'!$C$10:$C$224,$C59,'TL12'!$J$10:$J$224),0),
IF('TL12'!$B$229=L$3,SUMIF('TL12'!$C$238:$C$451,$C59,'TL12'!$J$238:$J$451),0),
IF('TL13'!$B$3=L$3,SUMIF('TL13'!$C$10:$C$224,$C59,'TL13'!$J$10:$J$224),0),
IF('TL13'!$B$229=L$3,SUMIF('TL13'!$C$238:$C$451,$C59,'TL13'!$J$238:$J$451),0),
IF('TL14'!$B$3=L$3,SUMIF('TL14'!$C$10:$C$224,$C59,'TL14'!$J$10:$J$224),0),
IF('TL14'!$B$229=L$3,SUMIF('TL14'!$C$238:$C$451,$C59,'TL14'!$J$238:$J$451),0),
IF('TL15'!$B$3=L$3,SUMIF('TL15'!$C$10:$C$224,$C59,'TL15'!$J$10:$J$224),0),
IF('TL15'!$B$229=L$3,SUMIF('TL15'!$C$238:$C$451,$C59,'TL15'!$J$238:$J$451),0),
IF('TL16'!$B$3=L$3,SUMIF('TL16'!$C$10:$C$224,$C59,'TL16'!$J$10:$J$224),0),
IF('TL16'!$B$229=L$3,SUMIF('TL16'!$C$238:$C$451,$C59,'TL16'!$J$238:$J$451),0),
IF('TL17'!$B$3=L$3,SUMIF('TL17'!$C$10:$C$224,$C59,'TL17'!$J$10:$J$224),0),
IF('TL17'!$B$229=L$3,SUMIF('TL17'!$C$238:$C$451,$C59,'TL17'!$J$238:$J$451),0),
IF('TL18'!$B$3=L$3,SUMIF('TL18'!$C$10:$C$224,$C59,'TL18'!$J$10:$J$224),0),
IF('TL18'!$B$229=L$3,SUMIF('TL18'!$C$238:$C$451,$C59,'TL18'!$J$238:$J$451),0),
IF('TL19'!$B$3=L$3,SUMIF('TL19'!$C$10:$C$224,$C59,'TL19'!$J$10:$J$224),0),
IF('TL19'!$B$229=L$3,SUMIF('TL19'!$C$238:$C$451,$C59,'TL19'!$J$238:$J$451),0)
),0)</f>
        <v>132</v>
      </c>
      <c r="M59" s="9">
        <f>IFERROR(SUM(
IF('TL01'!$B$3=M$3,SUMIF('TL01'!$C$10:$C$224,$C59,'TL01'!$J$10:$J$224),0),
IF('TL01'!$B$229=M$3,SUMIF('TL01'!$C$238:$C$451,$C59,'TL01'!$J$238:$J$451),0),
IF('TL02'!$B$3=M$3,SUMIF('TL02'!$C$10:$C$224,$C59,'TL02'!$J$10:$J$224),0),
IF('TL02'!$B$229=M$3,SUMIF('TL02'!$C$238:$C$451,$C59,'TL02'!$J$238:$J$451),0),
IF('TL03'!$B$3=M$3,SUMIF('TL03'!$C$10:$C$224,$C59,'TL03'!$J$10:$J$224),0),
IF('TL03'!$B$229=M$3,SUMIF('TL03'!$C$238:$C$451,$C59,'TL03'!$J$238:$J$451),0),
IF('TL04'!$B$3=M$3,SUMIF('TL04'!$C$10:$C$224,$C59,'TL04'!$J$10:$J$224),0),
IF('TL04'!$B$229=M$3,SUMIF('TL04'!$C$238:$C$451,$C59,'TL04'!$J$238:$J$451),0),
IF('TL05'!$B$3=M$3,SUMIF('TL05'!$C$10:$C$224,$C59,'TL05'!$J$10:$J$224),0),
IF('TL05'!$B$229=M$3,SUMIF('TL05'!$C$238:$C$451,$C59,'TL05'!$J$238:$J$451),0),
IF('TL06'!$B$3=M$3,SUMIF('TL06'!$C$10:$C$224,$C59,'TL06'!$J$10:$J$224),0),
IF('TL06'!$B$229=M$3,SUMIF('TL06'!$C$238:$C$451,$C59,'TL06'!$J$238:$J$451),0),
IF('TL07'!$B$3=M$3,SUMIF('TL07'!$C$10:$C$224,$C59,'TL07'!$J$10:$J$224),0),
IF('TL07'!$B$229=M$3,SUMIF('TL07'!$C$238:$C$451,$C59,'TL07'!$J$238:$J$451),0),
IF('TL08'!$B$3=M$3,SUMIF('TL08'!$C$10:$C$224,$C59,'TL08'!$J$10:$J$224),0),
IF('TL08'!$B$229=M$3,SUMIF('TL08'!$C$238:$C$451,$C59,'TL08'!$J$238:$J$451),0),
IF('TL09'!$B$3=M$3,SUMIF('TL09'!$C$10:$C$224,$C59,'TL09'!$J$10:$J$224),0),
IF('TL09'!$B$229=M$3,SUMIF('TL09'!$C$238:$C$451,$C59,'TL09'!$J$238:$J$451),0),
IF('TL10'!$B$3=M$3,SUMIF('TL10'!$C$10:$C$224,$C59,'TL10'!$J$10:$J$224),0),
IF('TL10'!$B$229=M$3,SUMIF('TL10'!$C$238:$C$451,$C59,'TL10'!$J$238:$J$451),0),
IF('TL11'!$B$3=M$3,SUMIF('TL11'!$C$10:$C$224,$C59,'TL11'!$J$10:$J$224),0),
IF('TL11'!$B$229=M$3,SUMIF('TL11'!$C$238:$C$451,$C59,'TL11'!$J$238:$J$451),0),
IF('TL12'!$B$3=M$3,SUMIF('TL12'!$C$10:$C$224,$C59,'TL12'!$J$10:$J$224),0),
IF('TL12'!$B$229=M$3,SUMIF('TL12'!$C$238:$C$451,$C59,'TL12'!$J$238:$J$451),0),
IF('TL13'!$B$3=M$3,SUMIF('TL13'!$C$10:$C$224,$C59,'TL13'!$J$10:$J$224),0),
IF('TL13'!$B$229=M$3,SUMIF('TL13'!$C$238:$C$451,$C59,'TL13'!$J$238:$J$451),0),
IF('TL14'!$B$3=M$3,SUMIF('TL14'!$C$10:$C$224,$C59,'TL14'!$J$10:$J$224),0),
IF('TL14'!$B$229=M$3,SUMIF('TL14'!$C$238:$C$451,$C59,'TL14'!$J$238:$J$451),0),
IF('TL15'!$B$3=M$3,SUMIF('TL15'!$C$10:$C$224,$C59,'TL15'!$J$10:$J$224),0),
IF('TL15'!$B$229=M$3,SUMIF('TL15'!$C$238:$C$451,$C59,'TL15'!$J$238:$J$451),0),
IF('TL16'!$B$3=M$3,SUMIF('TL16'!$C$10:$C$224,$C59,'TL16'!$J$10:$J$224),0),
IF('TL16'!$B$229=M$3,SUMIF('TL16'!$C$238:$C$451,$C59,'TL16'!$J$238:$J$451),0),
IF('TL17'!$B$3=M$3,SUMIF('TL17'!$C$10:$C$224,$C59,'TL17'!$J$10:$J$224),0),
IF('TL17'!$B$229=M$3,SUMIF('TL17'!$C$238:$C$451,$C59,'TL17'!$J$238:$J$451),0),
IF('TL18'!$B$3=M$3,SUMIF('TL18'!$C$10:$C$224,$C59,'TL18'!$J$10:$J$224),0),
IF('TL18'!$B$229=M$3,SUMIF('TL18'!$C$238:$C$451,$C59,'TL18'!$J$238:$J$451),0),
IF('TL19'!$B$3=M$3,SUMIF('TL19'!$C$10:$C$224,$C59,'TL19'!$J$10:$J$224),0),
IF('TL19'!$B$229=M$3,SUMIF('TL19'!$C$238:$C$451,$C59,'TL19'!$J$238:$J$451),0)
),0)</f>
        <v>0</v>
      </c>
      <c r="N59" s="9">
        <f>IFERROR(SUM(
IF('TL01'!$B$3=N$3,SUMIF('TL01'!$C$10:$C$224,$C59,'TL01'!$J$10:$J$224),0),
IF('TL01'!$B$229=N$3,SUMIF('TL01'!$C$238:$C$451,$C59,'TL01'!$J$238:$J$451),0),
IF('TL02'!$B$3=N$3,SUMIF('TL02'!$C$10:$C$224,$C59,'TL02'!$J$10:$J$224),0),
IF('TL02'!$B$229=N$3,SUMIF('TL02'!$C$238:$C$451,$C59,'TL02'!$J$238:$J$451),0),
IF('TL03'!$B$3=N$3,SUMIF('TL03'!$C$10:$C$224,$C59,'TL03'!$J$10:$J$224),0),
IF('TL03'!$B$229=N$3,SUMIF('TL03'!$C$238:$C$451,$C59,'TL03'!$J$238:$J$451),0),
IF('TL04'!$B$3=N$3,SUMIF('TL04'!$C$10:$C$224,$C59,'TL04'!$J$10:$J$224),0),
IF('TL04'!$B$229=N$3,SUMIF('TL04'!$C$238:$C$451,$C59,'TL04'!$J$238:$J$451),0),
IF('TL05'!$B$3=N$3,SUMIF('TL05'!$C$10:$C$224,$C59,'TL05'!$J$10:$J$224),0),
IF('TL05'!$B$229=N$3,SUMIF('TL05'!$C$238:$C$451,$C59,'TL05'!$J$238:$J$451),0),
IF('TL06'!$B$3=N$3,SUMIF('TL06'!$C$10:$C$224,$C59,'TL06'!$J$10:$J$224),0),
IF('TL06'!$B$229=N$3,SUMIF('TL06'!$C$238:$C$451,$C59,'TL06'!$J$238:$J$451),0),
IF('TL07'!$B$3=N$3,SUMIF('TL07'!$C$10:$C$224,$C59,'TL07'!$J$10:$J$224),0),
IF('TL07'!$B$229=N$3,SUMIF('TL07'!$C$238:$C$451,$C59,'TL07'!$J$238:$J$451),0),
IF('TL08'!$B$3=N$3,SUMIF('TL08'!$C$10:$C$224,$C59,'TL08'!$J$10:$J$224),0),
IF('TL08'!$B$229=N$3,SUMIF('TL08'!$C$238:$C$451,$C59,'TL08'!$J$238:$J$451),0),
IF('TL09'!$B$3=N$3,SUMIF('TL09'!$C$10:$C$224,$C59,'TL09'!$J$10:$J$224),0),
IF('TL09'!$B$229=N$3,SUMIF('TL09'!$C$238:$C$451,$C59,'TL09'!$J$238:$J$451),0),
IF('TL10'!$B$3=N$3,SUMIF('TL10'!$C$10:$C$224,$C59,'TL10'!$J$10:$J$224),0),
IF('TL10'!$B$229=N$3,SUMIF('TL10'!$C$238:$C$451,$C59,'TL10'!$J$238:$J$451),0),
IF('TL11'!$B$3=N$3,SUMIF('TL11'!$C$10:$C$224,$C59,'TL11'!$J$10:$J$224),0),
IF('TL11'!$B$229=N$3,SUMIF('TL11'!$C$238:$C$451,$C59,'TL11'!$J$238:$J$451),0),
IF('TL12'!$B$3=N$3,SUMIF('TL12'!$C$10:$C$224,$C59,'TL12'!$J$10:$J$224),0),
IF('TL12'!$B$229=N$3,SUMIF('TL12'!$C$238:$C$451,$C59,'TL12'!$J$238:$J$451),0),
IF('TL13'!$B$3=N$3,SUMIF('TL13'!$C$10:$C$224,$C59,'TL13'!$J$10:$J$224),0),
IF('TL13'!$B$229=N$3,SUMIF('TL13'!$C$238:$C$451,$C59,'TL13'!$J$238:$J$451),0),
IF('TL14'!$B$3=N$3,SUMIF('TL14'!$C$10:$C$224,$C59,'TL14'!$J$10:$J$224),0),
IF('TL14'!$B$229=N$3,SUMIF('TL14'!$C$238:$C$451,$C59,'TL14'!$J$238:$J$451),0),
IF('TL15'!$B$3=N$3,SUMIF('TL15'!$C$10:$C$224,$C59,'TL15'!$J$10:$J$224),0),
IF('TL15'!$B$229=N$3,SUMIF('TL15'!$C$238:$C$451,$C59,'TL15'!$J$238:$J$451),0),
IF('TL16'!$B$3=N$3,SUMIF('TL16'!$C$10:$C$224,$C59,'TL16'!$J$10:$J$224),0),
IF('TL16'!$B$229=N$3,SUMIF('TL16'!$C$238:$C$451,$C59,'TL16'!$J$238:$J$451),0),
IF('TL17'!$B$3=N$3,SUMIF('TL17'!$C$10:$C$224,$C59,'TL17'!$J$10:$J$224),0),
IF('TL17'!$B$229=N$3,SUMIF('TL17'!$C$238:$C$451,$C59,'TL17'!$J$238:$J$451),0),
IF('TL18'!$B$3=N$3,SUMIF('TL18'!$C$10:$C$224,$C59,'TL18'!$J$10:$J$224),0),
IF('TL18'!$B$229=N$3,SUMIF('TL18'!$C$238:$C$451,$C59,'TL18'!$J$238:$J$451),0),
IF('TL19'!$B$3=N$3,SUMIF('TL19'!$C$10:$C$224,$C59,'TL19'!$J$10:$J$224),0),
IF('TL19'!$B$229=N$3,SUMIF('TL19'!$C$238:$C$451,$C59,'TL19'!$J$238:$J$451),0)
),0)</f>
        <v>0</v>
      </c>
      <c r="O59" s="9">
        <f>IFERROR(SUM(
IF('TL01'!$B$3=O$3,SUMIF('TL01'!$C$10:$C$224,$C59,'TL01'!$J$10:$J$224),0),
IF('TL01'!$B$229=O$3,SUMIF('TL01'!$C$238:$C$451,$C59,'TL01'!$J$238:$J$451),0),
IF('TL02'!$B$3=O$3,SUMIF('TL02'!$C$10:$C$224,$C59,'TL02'!$J$10:$J$224),0),
IF('TL02'!$B$229=O$3,SUMIF('TL02'!$C$238:$C$451,$C59,'TL02'!$J$238:$J$451),0),
IF('TL03'!$B$3=O$3,SUMIF('TL03'!$C$10:$C$224,$C59,'TL03'!$J$10:$J$224),0),
IF('TL03'!$B$229=O$3,SUMIF('TL03'!$C$238:$C$451,$C59,'TL03'!$J$238:$J$451),0),
IF('TL04'!$B$3=O$3,SUMIF('TL04'!$C$10:$C$224,$C59,'TL04'!$J$10:$J$224),0),
IF('TL04'!$B$229=O$3,SUMIF('TL04'!$C$238:$C$451,$C59,'TL04'!$J$238:$J$451),0),
IF('TL05'!$B$3=O$3,SUMIF('TL05'!$C$10:$C$224,$C59,'TL05'!$J$10:$J$224),0),
IF('TL05'!$B$229=O$3,SUMIF('TL05'!$C$238:$C$451,$C59,'TL05'!$J$238:$J$451),0),
IF('TL06'!$B$3=O$3,SUMIF('TL06'!$C$10:$C$224,$C59,'TL06'!$J$10:$J$224),0),
IF('TL06'!$B$229=O$3,SUMIF('TL06'!$C$238:$C$451,$C59,'TL06'!$J$238:$J$451),0),
IF('TL07'!$B$3=O$3,SUMIF('TL07'!$C$10:$C$224,$C59,'TL07'!$J$10:$J$224),0),
IF('TL07'!$B$229=O$3,SUMIF('TL07'!$C$238:$C$451,$C59,'TL07'!$J$238:$J$451),0),
IF('TL08'!$B$3=O$3,SUMIF('TL08'!$C$10:$C$224,$C59,'TL08'!$J$10:$J$224),0),
IF('TL08'!$B$229=O$3,SUMIF('TL08'!$C$238:$C$451,$C59,'TL08'!$J$238:$J$451),0),
IF('TL09'!$B$3=O$3,SUMIF('TL09'!$C$10:$C$224,$C59,'TL09'!$J$10:$J$224),0),
IF('TL09'!$B$229=O$3,SUMIF('TL09'!$C$238:$C$451,$C59,'TL09'!$J$238:$J$451),0),
IF('TL10'!$B$3=O$3,SUMIF('TL10'!$C$10:$C$224,$C59,'TL10'!$J$10:$J$224),0),
IF('TL10'!$B$229=O$3,SUMIF('TL10'!$C$238:$C$451,$C59,'TL10'!$J$238:$J$451),0),
IF('TL11'!$B$3=O$3,SUMIF('TL11'!$C$10:$C$224,$C59,'TL11'!$J$10:$J$224),0),
IF('TL11'!$B$229=O$3,SUMIF('TL11'!$C$238:$C$451,$C59,'TL11'!$J$238:$J$451),0),
IF('TL12'!$B$3=O$3,SUMIF('TL12'!$C$10:$C$224,$C59,'TL12'!$J$10:$J$224),0),
IF('TL12'!$B$229=O$3,SUMIF('TL12'!$C$238:$C$451,$C59,'TL12'!$J$238:$J$451),0),
IF('TL13'!$B$3=O$3,SUMIF('TL13'!$C$10:$C$224,$C59,'TL13'!$J$10:$J$224),0),
IF('TL13'!$B$229=O$3,SUMIF('TL13'!$C$238:$C$451,$C59,'TL13'!$J$238:$J$451),0),
IF('TL14'!$B$3=O$3,SUMIF('TL14'!$C$10:$C$224,$C59,'TL14'!$J$10:$J$224),0),
IF('TL14'!$B$229=O$3,SUMIF('TL14'!$C$238:$C$451,$C59,'TL14'!$J$238:$J$451),0),
IF('TL15'!$B$3=O$3,SUMIF('TL15'!$C$10:$C$224,$C59,'TL15'!$J$10:$J$224),0),
IF('TL15'!$B$229=O$3,SUMIF('TL15'!$C$238:$C$451,$C59,'TL15'!$J$238:$J$451),0),
IF('TL16'!$B$3=O$3,SUMIF('TL16'!$C$10:$C$224,$C59,'TL16'!$J$10:$J$224),0),
IF('TL16'!$B$229=O$3,SUMIF('TL16'!$C$238:$C$451,$C59,'TL16'!$J$238:$J$451),0),
IF('TL17'!$B$3=O$3,SUMIF('TL17'!$C$10:$C$224,$C59,'TL17'!$J$10:$J$224),0),
IF('TL17'!$B$229=O$3,SUMIF('TL17'!$C$238:$C$451,$C59,'TL17'!$J$238:$J$451),0),
IF('TL18'!$B$3=O$3,SUMIF('TL18'!$C$10:$C$224,$C59,'TL18'!$J$10:$J$224),0),
IF('TL18'!$B$229=O$3,SUMIF('TL18'!$C$238:$C$451,$C59,'TL18'!$J$238:$J$451),0),
IF('TL19'!$B$3=O$3,SUMIF('TL19'!$C$10:$C$224,$C59,'TL19'!$J$10:$J$224),0),
IF('TL19'!$B$229=O$3,SUMIF('TL19'!$C$238:$C$451,$C59,'TL19'!$J$238:$J$451),0)
),0)</f>
        <v>0</v>
      </c>
      <c r="P59" s="9">
        <f>IFERROR(SUM(
IF('TL01'!$B$3=P$3,SUMIF('TL01'!$C$10:$C$224,$C59,'TL01'!$J$10:$J$224),0),
IF('TL01'!$B$229=P$3,SUMIF('TL01'!$C$238:$C$451,$C59,'TL01'!$J$238:$J$451),0),
IF('TL02'!$B$3=P$3,SUMIF('TL02'!$C$10:$C$224,$C59,'TL02'!$J$10:$J$224),0),
IF('TL02'!$B$229=P$3,SUMIF('TL02'!$C$238:$C$451,$C59,'TL02'!$J$238:$J$451),0),
IF('TL03'!$B$3=P$3,SUMIF('TL03'!$C$10:$C$224,$C59,'TL03'!$J$10:$J$224),0),
IF('TL03'!$B$229=P$3,SUMIF('TL03'!$C$238:$C$451,$C59,'TL03'!$J$238:$J$451),0),
IF('TL04'!$B$3=P$3,SUMIF('TL04'!$C$10:$C$224,$C59,'TL04'!$J$10:$J$224),0),
IF('TL04'!$B$229=P$3,SUMIF('TL04'!$C$238:$C$451,$C59,'TL04'!$J$238:$J$451),0),
IF('TL05'!$B$3=P$3,SUMIF('TL05'!$C$10:$C$224,$C59,'TL05'!$J$10:$J$224),0),
IF('TL05'!$B$229=P$3,SUMIF('TL05'!$C$238:$C$451,$C59,'TL05'!$J$238:$J$451),0),
IF('TL06'!$B$3=P$3,SUMIF('TL06'!$C$10:$C$224,$C59,'TL06'!$J$10:$J$224),0),
IF('TL06'!$B$229=P$3,SUMIF('TL06'!$C$238:$C$451,$C59,'TL06'!$J$238:$J$451),0),
IF('TL07'!$B$3=P$3,SUMIF('TL07'!$C$10:$C$224,$C59,'TL07'!$J$10:$J$224),0),
IF('TL07'!$B$229=P$3,SUMIF('TL07'!$C$238:$C$451,$C59,'TL07'!$J$238:$J$451),0),
IF('TL08'!$B$3=P$3,SUMIF('TL08'!$C$10:$C$224,$C59,'TL08'!$J$10:$J$224),0),
IF('TL08'!$B$229=P$3,SUMIF('TL08'!$C$238:$C$451,$C59,'TL08'!$J$238:$J$451),0),
IF('TL09'!$B$3=P$3,SUMIF('TL09'!$C$10:$C$224,$C59,'TL09'!$J$10:$J$224),0),
IF('TL09'!$B$229=P$3,SUMIF('TL09'!$C$238:$C$451,$C59,'TL09'!$J$238:$J$451),0),
IF('TL10'!$B$3=P$3,SUMIF('TL10'!$C$10:$C$224,$C59,'TL10'!$J$10:$J$224),0),
IF('TL10'!$B$229=P$3,SUMIF('TL10'!$C$238:$C$451,$C59,'TL10'!$J$238:$J$451),0),
IF('TL11'!$B$3=P$3,SUMIF('TL11'!$C$10:$C$224,$C59,'TL11'!$J$10:$J$224),0),
IF('TL11'!$B$229=P$3,SUMIF('TL11'!$C$238:$C$451,$C59,'TL11'!$J$238:$J$451),0),
IF('TL12'!$B$3=P$3,SUMIF('TL12'!$C$10:$C$224,$C59,'TL12'!$J$10:$J$224),0),
IF('TL12'!$B$229=P$3,SUMIF('TL12'!$C$238:$C$451,$C59,'TL12'!$J$238:$J$451),0),
IF('TL13'!$B$3=P$3,SUMIF('TL13'!$C$10:$C$224,$C59,'TL13'!$J$10:$J$224),0),
IF('TL13'!$B$229=P$3,SUMIF('TL13'!$C$238:$C$451,$C59,'TL13'!$J$238:$J$451),0),
IF('TL14'!$B$3=P$3,SUMIF('TL14'!$C$10:$C$224,$C59,'TL14'!$J$10:$J$224),0),
IF('TL14'!$B$229=P$3,SUMIF('TL14'!$C$238:$C$451,$C59,'TL14'!$J$238:$J$451),0),
IF('TL15'!$B$3=P$3,SUMIF('TL15'!$C$10:$C$224,$C59,'TL15'!$J$10:$J$224),0),
IF('TL15'!$B$229=P$3,SUMIF('TL15'!$C$238:$C$451,$C59,'TL15'!$J$238:$J$451),0),
IF('TL16'!$B$3=P$3,SUMIF('TL16'!$C$10:$C$224,$C59,'TL16'!$J$10:$J$224),0),
IF('TL16'!$B$229=P$3,SUMIF('TL16'!$C$238:$C$451,$C59,'TL16'!$J$238:$J$451),0),
IF('TL17'!$B$3=P$3,SUMIF('TL17'!$C$10:$C$224,$C59,'TL17'!$J$10:$J$224),0),
IF('TL17'!$B$229=P$3,SUMIF('TL17'!$C$238:$C$451,$C59,'TL17'!$J$238:$J$451),0),
IF('TL18'!$B$3=P$3,SUMIF('TL18'!$C$10:$C$224,$C59,'TL18'!$J$10:$J$224),0),
IF('TL18'!$B$229=P$3,SUMIF('TL18'!$C$238:$C$451,$C59,'TL18'!$J$238:$J$451),0),
IF('TL19'!$B$3=P$3,SUMIF('TL19'!$C$10:$C$224,$C59,'TL19'!$J$10:$J$224),0),
IF('TL19'!$B$229=P$3,SUMIF('TL19'!$C$238:$C$451,$C59,'TL19'!$J$238:$J$451),0)
),0)</f>
        <v>730.8</v>
      </c>
      <c r="Q59" s="9">
        <f>IFERROR(SUM(
IF('TL01'!$B$3=Q$3,SUMIF('TL01'!$C$10:$C$224,$C59,'TL01'!$J$10:$J$224),0),
IF('TL01'!$B$229=Q$3,SUMIF('TL01'!$C$238:$C$451,$C59,'TL01'!$J$238:$J$451),0),
IF('TL02'!$B$3=Q$3,SUMIF('TL02'!$C$10:$C$224,$C59,'TL02'!$J$10:$J$224),0),
IF('TL02'!$B$229=Q$3,SUMIF('TL02'!$C$238:$C$451,$C59,'TL02'!$J$238:$J$451),0),
IF('TL03'!$B$3=Q$3,SUMIF('TL03'!$C$10:$C$224,$C59,'TL03'!$J$10:$J$224),0),
IF('TL03'!$B$229=Q$3,SUMIF('TL03'!$C$238:$C$451,$C59,'TL03'!$J$238:$J$451),0),
IF('TL04'!$B$3=Q$3,SUMIF('TL04'!$C$10:$C$224,$C59,'TL04'!$J$10:$J$224),0),
IF('TL04'!$B$229=Q$3,SUMIF('TL04'!$C$238:$C$451,$C59,'TL04'!$J$238:$J$451),0),
IF('TL05'!$B$3=Q$3,SUMIF('TL05'!$C$10:$C$224,$C59,'TL05'!$J$10:$J$224),0),
IF('TL05'!$B$229=Q$3,SUMIF('TL05'!$C$238:$C$451,$C59,'TL05'!$J$238:$J$451),0),
IF('TL06'!$B$3=Q$3,SUMIF('TL06'!$C$10:$C$224,$C59,'TL06'!$J$10:$J$224),0),
IF('TL06'!$B$229=Q$3,SUMIF('TL06'!$C$238:$C$451,$C59,'TL06'!$J$238:$J$451),0),
IF('TL07'!$B$3=Q$3,SUMIF('TL07'!$C$10:$C$224,$C59,'TL07'!$J$10:$J$224),0),
IF('TL07'!$B$229=Q$3,SUMIF('TL07'!$C$238:$C$451,$C59,'TL07'!$J$238:$J$451),0),
IF('TL08'!$B$3=Q$3,SUMIF('TL08'!$C$10:$C$224,$C59,'TL08'!$J$10:$J$224),0),
IF('TL08'!$B$229=Q$3,SUMIF('TL08'!$C$238:$C$451,$C59,'TL08'!$J$238:$J$451),0),
IF('TL09'!$B$3=Q$3,SUMIF('TL09'!$C$10:$C$224,$C59,'TL09'!$J$10:$J$224),0),
IF('TL09'!$B$229=Q$3,SUMIF('TL09'!$C$238:$C$451,$C59,'TL09'!$J$238:$J$451),0),
IF('TL10'!$B$3=Q$3,SUMIF('TL10'!$C$10:$C$224,$C59,'TL10'!$J$10:$J$224),0),
IF('TL10'!$B$229=Q$3,SUMIF('TL10'!$C$238:$C$451,$C59,'TL10'!$J$238:$J$451),0),
IF('TL11'!$B$3=Q$3,SUMIF('TL11'!$C$10:$C$224,$C59,'TL11'!$J$10:$J$224),0),
IF('TL11'!$B$229=Q$3,SUMIF('TL11'!$C$238:$C$451,$C59,'TL11'!$J$238:$J$451),0),
IF('TL12'!$B$3=Q$3,SUMIF('TL12'!$C$10:$C$224,$C59,'TL12'!$J$10:$J$224),0),
IF('TL12'!$B$229=Q$3,SUMIF('TL12'!$C$238:$C$451,$C59,'TL12'!$J$238:$J$451),0),
IF('TL13'!$B$3=Q$3,SUMIF('TL13'!$C$10:$C$224,$C59,'TL13'!$J$10:$J$224),0),
IF('TL13'!$B$229=Q$3,SUMIF('TL13'!$C$238:$C$451,$C59,'TL13'!$J$238:$J$451),0),
IF('TL14'!$B$3=Q$3,SUMIF('TL14'!$C$10:$C$224,$C59,'TL14'!$J$10:$J$224),0),
IF('TL14'!$B$229=Q$3,SUMIF('TL14'!$C$238:$C$451,$C59,'TL14'!$J$238:$J$451),0),
IF('TL15'!$B$3=Q$3,SUMIF('TL15'!$C$10:$C$224,$C59,'TL15'!$J$10:$J$224),0),
IF('TL15'!$B$229=Q$3,SUMIF('TL15'!$C$238:$C$451,$C59,'TL15'!$J$238:$J$451),0),
IF('TL16'!$B$3=Q$3,SUMIF('TL16'!$C$10:$C$224,$C59,'TL16'!$J$10:$J$224),0),
IF('TL16'!$B$229=Q$3,SUMIF('TL16'!$C$238:$C$451,$C59,'TL16'!$J$238:$J$451),0),
IF('TL17'!$B$3=Q$3,SUMIF('TL17'!$C$10:$C$224,$C59,'TL17'!$J$10:$J$224),0),
IF('TL17'!$B$229=Q$3,SUMIF('TL17'!$C$238:$C$451,$C59,'TL17'!$J$238:$J$451),0),
IF('TL18'!$B$3=Q$3,SUMIF('TL18'!$C$10:$C$224,$C59,'TL18'!$J$10:$J$224),0),
IF('TL18'!$B$229=Q$3,SUMIF('TL18'!$C$238:$C$451,$C59,'TL18'!$J$238:$J$451),0),
IF('TL19'!$B$3=Q$3,SUMIF('TL19'!$C$10:$C$224,$C59,'TL19'!$J$10:$J$224),0),
IF('TL19'!$B$229=Q$3,SUMIF('TL19'!$C$238:$C$451,$C59,'TL19'!$J$238:$J$451),0)
),0)</f>
        <v>192</v>
      </c>
      <c r="R59" s="9">
        <f>IFERROR(
SUM(
SUMIF('TL01'!C:C,C59,'TL01'!J:J),
SUMIF('TL02'!C:C,C59,'TL02'!J:J),
SUMIF('TL03'!C:C,C59,'TL03'!J:J),
SUMIF('TL04'!C:C,C59,'TL04'!J:J),
SUMIF('TL05'!C:C,C59,'TL05'!J:J),
SUMIF('TL06'!C:C,C59,'TL06'!J:J),
SUMIF('TL07'!C:C,C59,'TL07'!J:J),
SUMIF('TL08'!C:C,C59,'TL08'!J:J),
SUMIF('TL09'!C:C,C59,'TL09'!J:J),
SUMIF('TL10'!C:C,C59,'TL10'!J:J),
SUMIF('TL11'!C:C,C59,'TL11'!J:J),
SUMIF('TL12'!C:C,C59,'TL12'!J:J),
SUMIF('TL13'!C:C,C59,'TL13'!J:J),
SUMIF('TL14'!C:C,C59,'TL14'!J:J),
SUMIF('TL15'!C:C,C59,'TL15'!J:J),
SUMIF('TL16'!C:C,C59,'TL16'!J:J),
SUMIF('TL17'!C:C,C59,'TL17'!J:J),
SUMIF('TL18'!C:C,C59,'TL18'!J:J),SUMIF('TL19'!C:C,C59,'TL19'!J:J))
,0)</f>
        <v>1528.8</v>
      </c>
      <c r="S59" s="17">
        <f>IFERROR(__xludf.DUMMYFUNCTION("IFERROR(VLOOKUP(C59,
IMPORTRANGE(""1wULbzX32WdYsx-lj2U3uUNBBe2INVIRDtcK0d-Dvl90"",
""26-27!C:G""),
5,
FALSE),
"""")"),65.58192000000001)</f>
        <v>65.58192</v>
      </c>
      <c r="T59" s="9">
        <v>70.0</v>
      </c>
      <c r="U59" s="92">
        <f t="shared" si="2"/>
        <v>1458.8</v>
      </c>
      <c r="V59" s="93">
        <f t="shared" si="3"/>
        <v>95670.9049</v>
      </c>
    </row>
    <row r="60" ht="15.75" hidden="1" customHeight="1">
      <c r="A60" s="115" t="s">
        <v>353</v>
      </c>
      <c r="B60" s="100" t="s">
        <v>0</v>
      </c>
      <c r="C60" s="116" t="s">
        <v>490</v>
      </c>
      <c r="D60" s="116" t="s">
        <v>491</v>
      </c>
      <c r="E60" s="116" t="s">
        <v>492</v>
      </c>
      <c r="F60" s="4" t="s">
        <v>343</v>
      </c>
      <c r="G60" s="90" t="str">
        <f t="shared" si="4"/>
        <v>📄 Ver bula</v>
      </c>
      <c r="H60" s="9">
        <f>IFERROR(__xludf.DUMMYFUNCTION("IFERROR(VLOOKUP(C60,
IMPORTRANGE(""1wULbzX32WdYsx-lj2U3uUNBBe2INVIRDtcK0d-Dvl90"",
""26-27!C:K""),
8,
FALSE),
"""")"),1.0)</f>
        <v>1</v>
      </c>
      <c r="I60" s="117" t="s">
        <v>377</v>
      </c>
      <c r="J60" s="9">
        <f>IFERROR(SUM(
IF('TL01'!$B$3=J$3,SUMIF('TL01'!$C$10:$C$224,$C60,'TL01'!$J$10:$J$224),0),
IF('TL01'!$B$229=J$3,SUMIF('TL01'!$C$238:$C$451,$C60,'TL01'!$J$238:$J$451),0),
IF('TL02'!$B$3=J$3,SUMIF('TL02'!$C$10:$C$224,$C60,'TL02'!$J$10:$J$224),0),
IF('TL02'!$B$229=J$3,SUMIF('TL02'!$C$238:$C$451,$C60,'TL02'!$J$238:$J$451),0),
IF('TL03'!$B$3=J$3,SUMIF('TL03'!$C$10:$C$224,$C60,'TL03'!$J$10:$J$224),0),
IF('TL03'!$B$229=J$3,SUMIF('TL03'!$C$238:$C$451,$C60,'TL03'!$J$238:$J$451),0),
IF('TL04'!$B$3=J$3,SUMIF('TL04'!$C$10:$C$224,$C60,'TL04'!$J$10:$J$224),0),
IF('TL04'!$B$229=J$3,SUMIF('TL04'!$C$238:$C$451,$C60,'TL04'!$J$238:$J$451),0),
IF('TL05'!$B$3=J$3,SUMIF('TL05'!$C$10:$C$224,$C60,'TL05'!$J$10:$J$224),0),
IF('TL05'!$B$229=J$3,SUMIF('TL05'!$C$238:$C$451,$C60,'TL05'!$J$238:$J$451),0),
IF('TL06'!$B$3=J$3,SUMIF('TL06'!$C$10:$C$224,$C60,'TL06'!$J$10:$J$224),0),
IF('TL06'!$B$229=J$3,SUMIF('TL06'!$C$238:$C$451,$C60,'TL06'!$J$238:$J$451),0),
IF('TL07'!$B$3=J$3,SUMIF('TL07'!$C$10:$C$224,$C60,'TL07'!$J$10:$J$224),0),
IF('TL07'!$B$229=J$3,SUMIF('TL07'!$C$238:$C$451,$C60,'TL07'!$J$238:$J$451),0),
IF('TL08'!$B$3=J$3,SUMIF('TL08'!$C$10:$C$224,$C60,'TL08'!$J$10:$J$224),0),
IF('TL08'!$B$229=J$3,SUMIF('TL08'!$C$238:$C$451,$C60,'TL08'!$J$238:$J$451),0),
IF('TL09'!$B$3=J$3,SUMIF('TL09'!$C$10:$C$224,$C60,'TL09'!$J$10:$J$224),0),
IF('TL09'!$B$229=J$3,SUMIF('TL09'!$C$238:$C$451,$C60,'TL09'!$J$238:$J$451),0),
IF('TL10'!$B$3=J$3,SUMIF('TL10'!$C$10:$C$224,$C60,'TL10'!$J$10:$J$224),0),
IF('TL10'!$B$229=J$3,SUMIF('TL10'!$C$238:$C$451,$C60,'TL10'!$J$238:$J$451),0),
IF('TL11'!$B$3=J$3,SUMIF('TL11'!$C$10:$C$224,$C60,'TL11'!$J$10:$J$224),0),
IF('TL11'!$B$229=J$3,SUMIF('TL11'!$C$238:$C$451,$C60,'TL11'!$J$238:$J$451),0),
IF('TL12'!$B$3=J$3,SUMIF('TL12'!$C$10:$C$224,$C60,'TL12'!$J$10:$J$224),0),
IF('TL12'!$B$229=J$3,SUMIF('TL12'!$C$238:$C$451,$C60,'TL12'!$J$238:$J$451),0),
IF('TL13'!$B$3=J$3,SUMIF('TL13'!$C$10:$C$224,$C60,'TL13'!$J$10:$J$224),0),
IF('TL13'!$B$229=J$3,SUMIF('TL13'!$C$238:$C$451,$C60,'TL13'!$J$238:$J$451),0),
IF('TL14'!$B$3=J$3,SUMIF('TL14'!$C$10:$C$224,$C60,'TL14'!$J$10:$J$224),0),
IF('TL14'!$B$229=J$3,SUMIF('TL14'!$C$238:$C$451,$C60,'TL14'!$J$238:$J$451),0),
IF('TL15'!$B$3=J$3,SUMIF('TL15'!$C$10:$C$224,$C60,'TL15'!$J$10:$J$224),0),
IF('TL15'!$B$229=J$3,SUMIF('TL15'!$C$238:$C$451,$C60,'TL15'!$J$238:$J$451),0),
IF('TL16'!$B$3=J$3,SUMIF('TL16'!$C$10:$C$224,$C60,'TL16'!$J$10:$J$224),0),
IF('TL16'!$B$229=J$3,SUMIF('TL16'!$C$238:$C$451,$C60,'TL16'!$J$238:$J$451),0),
IF('TL17'!$B$3=J$3,SUMIF('TL17'!$C$10:$C$224,$C60,'TL17'!$J$10:$J$224),0),
IF('TL17'!$B$229=J$3,SUMIF('TL17'!$C$238:$C$451,$C60,'TL17'!$J$238:$J$451),0),
IF('TL18'!$B$3=J$3,SUMIF('TL18'!$C$10:$C$224,$C60,'TL18'!$J$10:$J$224),0),
IF('TL18'!$B$229=J$3,SUMIF('TL18'!$C$238:$C$451,$C60,'TL18'!$J$238:$J$451),0),
IF('TL19'!$B$3=J$3,SUMIF('TL19'!$C$10:$C$224,$C60,'TL19'!$J$10:$J$224),0),
IF('TL19'!$B$229=J$3,SUMIF('TL19'!$C$238:$C$451,$C60,'TL19'!$J$238:$J$451),0)
),0)</f>
        <v>0</v>
      </c>
      <c r="K60" s="9">
        <f>IFERROR(SUM(
IF('TL01'!$B$3=K$3,SUMIF('TL01'!$C$10:$C$224,$C60,'TL01'!$J$10:$J$224),0),
IF('TL01'!$B$229=K$3,SUMIF('TL01'!$C$238:$C$451,$C60,'TL01'!$J$238:$J$451),0),
IF('TL02'!$B$3=K$3,SUMIF('TL02'!$C$10:$C$224,$C60,'TL02'!$J$10:$J$224),0),
IF('TL02'!$B$229=K$3,SUMIF('TL02'!$C$238:$C$451,$C60,'TL02'!$J$238:$J$451),0),
IF('TL03'!$B$3=K$3,SUMIF('TL03'!$C$10:$C$224,$C60,'TL03'!$J$10:$J$224),0),
IF('TL03'!$B$229=K$3,SUMIF('TL03'!$C$238:$C$451,$C60,'TL03'!$J$238:$J$451),0),
IF('TL04'!$B$3=K$3,SUMIF('TL04'!$C$10:$C$224,$C60,'TL04'!$J$10:$J$224),0),
IF('TL04'!$B$229=K$3,SUMIF('TL04'!$C$238:$C$451,$C60,'TL04'!$J$238:$J$451),0),
IF('TL05'!$B$3=K$3,SUMIF('TL05'!$C$10:$C$224,$C60,'TL05'!$J$10:$J$224),0),
IF('TL05'!$B$229=K$3,SUMIF('TL05'!$C$238:$C$451,$C60,'TL05'!$J$238:$J$451),0),
IF('TL06'!$B$3=K$3,SUMIF('TL06'!$C$10:$C$224,$C60,'TL06'!$J$10:$J$224),0),
IF('TL06'!$B$229=K$3,SUMIF('TL06'!$C$238:$C$451,$C60,'TL06'!$J$238:$J$451),0),
IF('TL07'!$B$3=K$3,SUMIF('TL07'!$C$10:$C$224,$C60,'TL07'!$J$10:$J$224),0),
IF('TL07'!$B$229=K$3,SUMIF('TL07'!$C$238:$C$451,$C60,'TL07'!$J$238:$J$451),0),
IF('TL08'!$B$3=K$3,SUMIF('TL08'!$C$10:$C$224,$C60,'TL08'!$J$10:$J$224),0),
IF('TL08'!$B$229=K$3,SUMIF('TL08'!$C$238:$C$451,$C60,'TL08'!$J$238:$J$451),0),
IF('TL09'!$B$3=K$3,SUMIF('TL09'!$C$10:$C$224,$C60,'TL09'!$J$10:$J$224),0),
IF('TL09'!$B$229=K$3,SUMIF('TL09'!$C$238:$C$451,$C60,'TL09'!$J$238:$J$451),0),
IF('TL10'!$B$3=K$3,SUMIF('TL10'!$C$10:$C$224,$C60,'TL10'!$J$10:$J$224),0),
IF('TL10'!$B$229=K$3,SUMIF('TL10'!$C$238:$C$451,$C60,'TL10'!$J$238:$J$451),0),
IF('TL11'!$B$3=K$3,SUMIF('TL11'!$C$10:$C$224,$C60,'TL11'!$J$10:$J$224),0),
IF('TL11'!$B$229=K$3,SUMIF('TL11'!$C$238:$C$451,$C60,'TL11'!$J$238:$J$451),0),
IF('TL12'!$B$3=K$3,SUMIF('TL12'!$C$10:$C$224,$C60,'TL12'!$J$10:$J$224),0),
IF('TL12'!$B$229=K$3,SUMIF('TL12'!$C$238:$C$451,$C60,'TL12'!$J$238:$J$451),0),
IF('TL13'!$B$3=K$3,SUMIF('TL13'!$C$10:$C$224,$C60,'TL13'!$J$10:$J$224),0),
IF('TL13'!$B$229=K$3,SUMIF('TL13'!$C$238:$C$451,$C60,'TL13'!$J$238:$J$451),0),
IF('TL14'!$B$3=K$3,SUMIF('TL14'!$C$10:$C$224,$C60,'TL14'!$J$10:$J$224),0),
IF('TL14'!$B$229=K$3,SUMIF('TL14'!$C$238:$C$451,$C60,'TL14'!$J$238:$J$451),0),
IF('TL15'!$B$3=K$3,SUMIF('TL15'!$C$10:$C$224,$C60,'TL15'!$J$10:$J$224),0),
IF('TL15'!$B$229=K$3,SUMIF('TL15'!$C$238:$C$451,$C60,'TL15'!$J$238:$J$451),0),
IF('TL16'!$B$3=K$3,SUMIF('TL16'!$C$10:$C$224,$C60,'TL16'!$J$10:$J$224),0),
IF('TL16'!$B$229=K$3,SUMIF('TL16'!$C$238:$C$451,$C60,'TL16'!$J$238:$J$451),0),
IF('TL17'!$B$3=K$3,SUMIF('TL17'!$C$10:$C$224,$C60,'TL17'!$J$10:$J$224),0),
IF('TL17'!$B$229=K$3,SUMIF('TL17'!$C$238:$C$451,$C60,'TL17'!$J$238:$J$451),0),
IF('TL18'!$B$3=K$3,SUMIF('TL18'!$C$10:$C$224,$C60,'TL18'!$J$10:$J$224),0),
IF('TL18'!$B$229=K$3,SUMIF('TL18'!$C$238:$C$451,$C60,'TL18'!$J$238:$J$451),0),
IF('TL19'!$B$3=K$3,SUMIF('TL19'!$C$10:$C$224,$C60,'TL19'!$J$10:$J$224),0),
IF('TL19'!$B$229=K$3,SUMIF('TL19'!$C$238:$C$451,$C60,'TL19'!$J$238:$J$451),0)
),0)</f>
        <v>0</v>
      </c>
      <c r="L60" s="9">
        <f>IFERROR(SUM(
IF('TL01'!$B$3=L$3,SUMIF('TL01'!$C$10:$C$224,$C60,'TL01'!$J$10:$J$224),0),
IF('TL01'!$B$229=L$3,SUMIF('TL01'!$C$238:$C$451,$C60,'TL01'!$J$238:$J$451),0),
IF('TL02'!$B$3=L$3,SUMIF('TL02'!$C$10:$C$224,$C60,'TL02'!$J$10:$J$224),0),
IF('TL02'!$B$229=L$3,SUMIF('TL02'!$C$238:$C$451,$C60,'TL02'!$J$238:$J$451),0),
IF('TL03'!$B$3=L$3,SUMIF('TL03'!$C$10:$C$224,$C60,'TL03'!$J$10:$J$224),0),
IF('TL03'!$B$229=L$3,SUMIF('TL03'!$C$238:$C$451,$C60,'TL03'!$J$238:$J$451),0),
IF('TL04'!$B$3=L$3,SUMIF('TL04'!$C$10:$C$224,$C60,'TL04'!$J$10:$J$224),0),
IF('TL04'!$B$229=L$3,SUMIF('TL04'!$C$238:$C$451,$C60,'TL04'!$J$238:$J$451),0),
IF('TL05'!$B$3=L$3,SUMIF('TL05'!$C$10:$C$224,$C60,'TL05'!$J$10:$J$224),0),
IF('TL05'!$B$229=L$3,SUMIF('TL05'!$C$238:$C$451,$C60,'TL05'!$J$238:$J$451),0),
IF('TL06'!$B$3=L$3,SUMIF('TL06'!$C$10:$C$224,$C60,'TL06'!$J$10:$J$224),0),
IF('TL06'!$B$229=L$3,SUMIF('TL06'!$C$238:$C$451,$C60,'TL06'!$J$238:$J$451),0),
IF('TL07'!$B$3=L$3,SUMIF('TL07'!$C$10:$C$224,$C60,'TL07'!$J$10:$J$224),0),
IF('TL07'!$B$229=L$3,SUMIF('TL07'!$C$238:$C$451,$C60,'TL07'!$J$238:$J$451),0),
IF('TL08'!$B$3=L$3,SUMIF('TL08'!$C$10:$C$224,$C60,'TL08'!$J$10:$J$224),0),
IF('TL08'!$B$229=L$3,SUMIF('TL08'!$C$238:$C$451,$C60,'TL08'!$J$238:$J$451),0),
IF('TL09'!$B$3=L$3,SUMIF('TL09'!$C$10:$C$224,$C60,'TL09'!$J$10:$J$224),0),
IF('TL09'!$B$229=L$3,SUMIF('TL09'!$C$238:$C$451,$C60,'TL09'!$J$238:$J$451),0),
IF('TL10'!$B$3=L$3,SUMIF('TL10'!$C$10:$C$224,$C60,'TL10'!$J$10:$J$224),0),
IF('TL10'!$B$229=L$3,SUMIF('TL10'!$C$238:$C$451,$C60,'TL10'!$J$238:$J$451),0),
IF('TL11'!$B$3=L$3,SUMIF('TL11'!$C$10:$C$224,$C60,'TL11'!$J$10:$J$224),0),
IF('TL11'!$B$229=L$3,SUMIF('TL11'!$C$238:$C$451,$C60,'TL11'!$J$238:$J$451),0),
IF('TL12'!$B$3=L$3,SUMIF('TL12'!$C$10:$C$224,$C60,'TL12'!$J$10:$J$224),0),
IF('TL12'!$B$229=L$3,SUMIF('TL12'!$C$238:$C$451,$C60,'TL12'!$J$238:$J$451),0),
IF('TL13'!$B$3=L$3,SUMIF('TL13'!$C$10:$C$224,$C60,'TL13'!$J$10:$J$224),0),
IF('TL13'!$B$229=L$3,SUMIF('TL13'!$C$238:$C$451,$C60,'TL13'!$J$238:$J$451),0),
IF('TL14'!$B$3=L$3,SUMIF('TL14'!$C$10:$C$224,$C60,'TL14'!$J$10:$J$224),0),
IF('TL14'!$B$229=L$3,SUMIF('TL14'!$C$238:$C$451,$C60,'TL14'!$J$238:$J$451),0),
IF('TL15'!$B$3=L$3,SUMIF('TL15'!$C$10:$C$224,$C60,'TL15'!$J$10:$J$224),0),
IF('TL15'!$B$229=L$3,SUMIF('TL15'!$C$238:$C$451,$C60,'TL15'!$J$238:$J$451),0),
IF('TL16'!$B$3=L$3,SUMIF('TL16'!$C$10:$C$224,$C60,'TL16'!$J$10:$J$224),0),
IF('TL16'!$B$229=L$3,SUMIF('TL16'!$C$238:$C$451,$C60,'TL16'!$J$238:$J$451),0),
IF('TL17'!$B$3=L$3,SUMIF('TL17'!$C$10:$C$224,$C60,'TL17'!$J$10:$J$224),0),
IF('TL17'!$B$229=L$3,SUMIF('TL17'!$C$238:$C$451,$C60,'TL17'!$J$238:$J$451),0),
IF('TL18'!$B$3=L$3,SUMIF('TL18'!$C$10:$C$224,$C60,'TL18'!$J$10:$J$224),0),
IF('TL18'!$B$229=L$3,SUMIF('TL18'!$C$238:$C$451,$C60,'TL18'!$J$238:$J$451),0),
IF('TL19'!$B$3=L$3,SUMIF('TL19'!$C$10:$C$224,$C60,'TL19'!$J$10:$J$224),0),
IF('TL19'!$B$229=L$3,SUMIF('TL19'!$C$238:$C$451,$C60,'TL19'!$J$238:$J$451),0)
),0)</f>
        <v>0</v>
      </c>
      <c r="M60" s="9">
        <f>IFERROR(SUM(
IF('TL01'!$B$3=M$3,SUMIF('TL01'!$C$10:$C$224,$C60,'TL01'!$J$10:$J$224),0),
IF('TL01'!$B$229=M$3,SUMIF('TL01'!$C$238:$C$451,$C60,'TL01'!$J$238:$J$451),0),
IF('TL02'!$B$3=M$3,SUMIF('TL02'!$C$10:$C$224,$C60,'TL02'!$J$10:$J$224),0),
IF('TL02'!$B$229=M$3,SUMIF('TL02'!$C$238:$C$451,$C60,'TL02'!$J$238:$J$451),0),
IF('TL03'!$B$3=M$3,SUMIF('TL03'!$C$10:$C$224,$C60,'TL03'!$J$10:$J$224),0),
IF('TL03'!$B$229=M$3,SUMIF('TL03'!$C$238:$C$451,$C60,'TL03'!$J$238:$J$451),0),
IF('TL04'!$B$3=M$3,SUMIF('TL04'!$C$10:$C$224,$C60,'TL04'!$J$10:$J$224),0),
IF('TL04'!$B$229=M$3,SUMIF('TL04'!$C$238:$C$451,$C60,'TL04'!$J$238:$J$451),0),
IF('TL05'!$B$3=M$3,SUMIF('TL05'!$C$10:$C$224,$C60,'TL05'!$J$10:$J$224),0),
IF('TL05'!$B$229=M$3,SUMIF('TL05'!$C$238:$C$451,$C60,'TL05'!$J$238:$J$451),0),
IF('TL06'!$B$3=M$3,SUMIF('TL06'!$C$10:$C$224,$C60,'TL06'!$J$10:$J$224),0),
IF('TL06'!$B$229=M$3,SUMIF('TL06'!$C$238:$C$451,$C60,'TL06'!$J$238:$J$451),0),
IF('TL07'!$B$3=M$3,SUMIF('TL07'!$C$10:$C$224,$C60,'TL07'!$J$10:$J$224),0),
IF('TL07'!$B$229=M$3,SUMIF('TL07'!$C$238:$C$451,$C60,'TL07'!$J$238:$J$451),0),
IF('TL08'!$B$3=M$3,SUMIF('TL08'!$C$10:$C$224,$C60,'TL08'!$J$10:$J$224),0),
IF('TL08'!$B$229=M$3,SUMIF('TL08'!$C$238:$C$451,$C60,'TL08'!$J$238:$J$451),0),
IF('TL09'!$B$3=M$3,SUMIF('TL09'!$C$10:$C$224,$C60,'TL09'!$J$10:$J$224),0),
IF('TL09'!$B$229=M$3,SUMIF('TL09'!$C$238:$C$451,$C60,'TL09'!$J$238:$J$451),0),
IF('TL10'!$B$3=M$3,SUMIF('TL10'!$C$10:$C$224,$C60,'TL10'!$J$10:$J$224),0),
IF('TL10'!$B$229=M$3,SUMIF('TL10'!$C$238:$C$451,$C60,'TL10'!$J$238:$J$451),0),
IF('TL11'!$B$3=M$3,SUMIF('TL11'!$C$10:$C$224,$C60,'TL11'!$J$10:$J$224),0),
IF('TL11'!$B$229=M$3,SUMIF('TL11'!$C$238:$C$451,$C60,'TL11'!$J$238:$J$451),0),
IF('TL12'!$B$3=M$3,SUMIF('TL12'!$C$10:$C$224,$C60,'TL12'!$J$10:$J$224),0),
IF('TL12'!$B$229=M$3,SUMIF('TL12'!$C$238:$C$451,$C60,'TL12'!$J$238:$J$451),0),
IF('TL13'!$B$3=M$3,SUMIF('TL13'!$C$10:$C$224,$C60,'TL13'!$J$10:$J$224),0),
IF('TL13'!$B$229=M$3,SUMIF('TL13'!$C$238:$C$451,$C60,'TL13'!$J$238:$J$451),0),
IF('TL14'!$B$3=M$3,SUMIF('TL14'!$C$10:$C$224,$C60,'TL14'!$J$10:$J$224),0),
IF('TL14'!$B$229=M$3,SUMIF('TL14'!$C$238:$C$451,$C60,'TL14'!$J$238:$J$451),0),
IF('TL15'!$B$3=M$3,SUMIF('TL15'!$C$10:$C$224,$C60,'TL15'!$J$10:$J$224),0),
IF('TL15'!$B$229=M$3,SUMIF('TL15'!$C$238:$C$451,$C60,'TL15'!$J$238:$J$451),0),
IF('TL16'!$B$3=M$3,SUMIF('TL16'!$C$10:$C$224,$C60,'TL16'!$J$10:$J$224),0),
IF('TL16'!$B$229=M$3,SUMIF('TL16'!$C$238:$C$451,$C60,'TL16'!$J$238:$J$451),0),
IF('TL17'!$B$3=M$3,SUMIF('TL17'!$C$10:$C$224,$C60,'TL17'!$J$10:$J$224),0),
IF('TL17'!$B$229=M$3,SUMIF('TL17'!$C$238:$C$451,$C60,'TL17'!$J$238:$J$451),0),
IF('TL18'!$B$3=M$3,SUMIF('TL18'!$C$10:$C$224,$C60,'TL18'!$J$10:$J$224),0),
IF('TL18'!$B$229=M$3,SUMIF('TL18'!$C$238:$C$451,$C60,'TL18'!$J$238:$J$451),0),
IF('TL19'!$B$3=M$3,SUMIF('TL19'!$C$10:$C$224,$C60,'TL19'!$J$10:$J$224),0),
IF('TL19'!$B$229=M$3,SUMIF('TL19'!$C$238:$C$451,$C60,'TL19'!$J$238:$J$451),0)
),0)</f>
        <v>0</v>
      </c>
      <c r="N60" s="9">
        <f>IFERROR(SUM(
IF('TL01'!$B$3=N$3,SUMIF('TL01'!$C$10:$C$224,$C60,'TL01'!$J$10:$J$224),0),
IF('TL01'!$B$229=N$3,SUMIF('TL01'!$C$238:$C$451,$C60,'TL01'!$J$238:$J$451),0),
IF('TL02'!$B$3=N$3,SUMIF('TL02'!$C$10:$C$224,$C60,'TL02'!$J$10:$J$224),0),
IF('TL02'!$B$229=N$3,SUMIF('TL02'!$C$238:$C$451,$C60,'TL02'!$J$238:$J$451),0),
IF('TL03'!$B$3=N$3,SUMIF('TL03'!$C$10:$C$224,$C60,'TL03'!$J$10:$J$224),0),
IF('TL03'!$B$229=N$3,SUMIF('TL03'!$C$238:$C$451,$C60,'TL03'!$J$238:$J$451),0),
IF('TL04'!$B$3=N$3,SUMIF('TL04'!$C$10:$C$224,$C60,'TL04'!$J$10:$J$224),0),
IF('TL04'!$B$229=N$3,SUMIF('TL04'!$C$238:$C$451,$C60,'TL04'!$J$238:$J$451),0),
IF('TL05'!$B$3=N$3,SUMIF('TL05'!$C$10:$C$224,$C60,'TL05'!$J$10:$J$224),0),
IF('TL05'!$B$229=N$3,SUMIF('TL05'!$C$238:$C$451,$C60,'TL05'!$J$238:$J$451),0),
IF('TL06'!$B$3=N$3,SUMIF('TL06'!$C$10:$C$224,$C60,'TL06'!$J$10:$J$224),0),
IF('TL06'!$B$229=N$3,SUMIF('TL06'!$C$238:$C$451,$C60,'TL06'!$J$238:$J$451),0),
IF('TL07'!$B$3=N$3,SUMIF('TL07'!$C$10:$C$224,$C60,'TL07'!$J$10:$J$224),0),
IF('TL07'!$B$229=N$3,SUMIF('TL07'!$C$238:$C$451,$C60,'TL07'!$J$238:$J$451),0),
IF('TL08'!$B$3=N$3,SUMIF('TL08'!$C$10:$C$224,$C60,'TL08'!$J$10:$J$224),0),
IF('TL08'!$B$229=N$3,SUMIF('TL08'!$C$238:$C$451,$C60,'TL08'!$J$238:$J$451),0),
IF('TL09'!$B$3=N$3,SUMIF('TL09'!$C$10:$C$224,$C60,'TL09'!$J$10:$J$224),0),
IF('TL09'!$B$229=N$3,SUMIF('TL09'!$C$238:$C$451,$C60,'TL09'!$J$238:$J$451),0),
IF('TL10'!$B$3=N$3,SUMIF('TL10'!$C$10:$C$224,$C60,'TL10'!$J$10:$J$224),0),
IF('TL10'!$B$229=N$3,SUMIF('TL10'!$C$238:$C$451,$C60,'TL10'!$J$238:$J$451),0),
IF('TL11'!$B$3=N$3,SUMIF('TL11'!$C$10:$C$224,$C60,'TL11'!$J$10:$J$224),0),
IF('TL11'!$B$229=N$3,SUMIF('TL11'!$C$238:$C$451,$C60,'TL11'!$J$238:$J$451),0),
IF('TL12'!$B$3=N$3,SUMIF('TL12'!$C$10:$C$224,$C60,'TL12'!$J$10:$J$224),0),
IF('TL12'!$B$229=N$3,SUMIF('TL12'!$C$238:$C$451,$C60,'TL12'!$J$238:$J$451),0),
IF('TL13'!$B$3=N$3,SUMIF('TL13'!$C$10:$C$224,$C60,'TL13'!$J$10:$J$224),0),
IF('TL13'!$B$229=N$3,SUMIF('TL13'!$C$238:$C$451,$C60,'TL13'!$J$238:$J$451),0),
IF('TL14'!$B$3=N$3,SUMIF('TL14'!$C$10:$C$224,$C60,'TL14'!$J$10:$J$224),0),
IF('TL14'!$B$229=N$3,SUMIF('TL14'!$C$238:$C$451,$C60,'TL14'!$J$238:$J$451),0),
IF('TL15'!$B$3=N$3,SUMIF('TL15'!$C$10:$C$224,$C60,'TL15'!$J$10:$J$224),0),
IF('TL15'!$B$229=N$3,SUMIF('TL15'!$C$238:$C$451,$C60,'TL15'!$J$238:$J$451),0),
IF('TL16'!$B$3=N$3,SUMIF('TL16'!$C$10:$C$224,$C60,'TL16'!$J$10:$J$224),0),
IF('TL16'!$B$229=N$3,SUMIF('TL16'!$C$238:$C$451,$C60,'TL16'!$J$238:$J$451),0),
IF('TL17'!$B$3=N$3,SUMIF('TL17'!$C$10:$C$224,$C60,'TL17'!$J$10:$J$224),0),
IF('TL17'!$B$229=N$3,SUMIF('TL17'!$C$238:$C$451,$C60,'TL17'!$J$238:$J$451),0),
IF('TL18'!$B$3=N$3,SUMIF('TL18'!$C$10:$C$224,$C60,'TL18'!$J$10:$J$224),0),
IF('TL18'!$B$229=N$3,SUMIF('TL18'!$C$238:$C$451,$C60,'TL18'!$J$238:$J$451),0),
IF('TL19'!$B$3=N$3,SUMIF('TL19'!$C$10:$C$224,$C60,'TL19'!$J$10:$J$224),0),
IF('TL19'!$B$229=N$3,SUMIF('TL19'!$C$238:$C$451,$C60,'TL19'!$J$238:$J$451),0)
),0)</f>
        <v>0</v>
      </c>
      <c r="O60" s="9">
        <f>IFERROR(SUM(
IF('TL01'!$B$3=O$3,SUMIF('TL01'!$C$10:$C$224,$C60,'TL01'!$J$10:$J$224),0),
IF('TL01'!$B$229=O$3,SUMIF('TL01'!$C$238:$C$451,$C60,'TL01'!$J$238:$J$451),0),
IF('TL02'!$B$3=O$3,SUMIF('TL02'!$C$10:$C$224,$C60,'TL02'!$J$10:$J$224),0),
IF('TL02'!$B$229=O$3,SUMIF('TL02'!$C$238:$C$451,$C60,'TL02'!$J$238:$J$451),0),
IF('TL03'!$B$3=O$3,SUMIF('TL03'!$C$10:$C$224,$C60,'TL03'!$J$10:$J$224),0),
IF('TL03'!$B$229=O$3,SUMIF('TL03'!$C$238:$C$451,$C60,'TL03'!$J$238:$J$451),0),
IF('TL04'!$B$3=O$3,SUMIF('TL04'!$C$10:$C$224,$C60,'TL04'!$J$10:$J$224),0),
IF('TL04'!$B$229=O$3,SUMIF('TL04'!$C$238:$C$451,$C60,'TL04'!$J$238:$J$451),0),
IF('TL05'!$B$3=O$3,SUMIF('TL05'!$C$10:$C$224,$C60,'TL05'!$J$10:$J$224),0),
IF('TL05'!$B$229=O$3,SUMIF('TL05'!$C$238:$C$451,$C60,'TL05'!$J$238:$J$451),0),
IF('TL06'!$B$3=O$3,SUMIF('TL06'!$C$10:$C$224,$C60,'TL06'!$J$10:$J$224),0),
IF('TL06'!$B$229=O$3,SUMIF('TL06'!$C$238:$C$451,$C60,'TL06'!$J$238:$J$451),0),
IF('TL07'!$B$3=O$3,SUMIF('TL07'!$C$10:$C$224,$C60,'TL07'!$J$10:$J$224),0),
IF('TL07'!$B$229=O$3,SUMIF('TL07'!$C$238:$C$451,$C60,'TL07'!$J$238:$J$451),0),
IF('TL08'!$B$3=O$3,SUMIF('TL08'!$C$10:$C$224,$C60,'TL08'!$J$10:$J$224),0),
IF('TL08'!$B$229=O$3,SUMIF('TL08'!$C$238:$C$451,$C60,'TL08'!$J$238:$J$451),0),
IF('TL09'!$B$3=O$3,SUMIF('TL09'!$C$10:$C$224,$C60,'TL09'!$J$10:$J$224),0),
IF('TL09'!$B$229=O$3,SUMIF('TL09'!$C$238:$C$451,$C60,'TL09'!$J$238:$J$451),0),
IF('TL10'!$B$3=O$3,SUMIF('TL10'!$C$10:$C$224,$C60,'TL10'!$J$10:$J$224),0),
IF('TL10'!$B$229=O$3,SUMIF('TL10'!$C$238:$C$451,$C60,'TL10'!$J$238:$J$451),0),
IF('TL11'!$B$3=O$3,SUMIF('TL11'!$C$10:$C$224,$C60,'TL11'!$J$10:$J$224),0),
IF('TL11'!$B$229=O$3,SUMIF('TL11'!$C$238:$C$451,$C60,'TL11'!$J$238:$J$451),0),
IF('TL12'!$B$3=O$3,SUMIF('TL12'!$C$10:$C$224,$C60,'TL12'!$J$10:$J$224),0),
IF('TL12'!$B$229=O$3,SUMIF('TL12'!$C$238:$C$451,$C60,'TL12'!$J$238:$J$451),0),
IF('TL13'!$B$3=O$3,SUMIF('TL13'!$C$10:$C$224,$C60,'TL13'!$J$10:$J$224),0),
IF('TL13'!$B$229=O$3,SUMIF('TL13'!$C$238:$C$451,$C60,'TL13'!$J$238:$J$451),0),
IF('TL14'!$B$3=O$3,SUMIF('TL14'!$C$10:$C$224,$C60,'TL14'!$J$10:$J$224),0),
IF('TL14'!$B$229=O$3,SUMIF('TL14'!$C$238:$C$451,$C60,'TL14'!$J$238:$J$451),0),
IF('TL15'!$B$3=O$3,SUMIF('TL15'!$C$10:$C$224,$C60,'TL15'!$J$10:$J$224),0),
IF('TL15'!$B$229=O$3,SUMIF('TL15'!$C$238:$C$451,$C60,'TL15'!$J$238:$J$451),0),
IF('TL16'!$B$3=O$3,SUMIF('TL16'!$C$10:$C$224,$C60,'TL16'!$J$10:$J$224),0),
IF('TL16'!$B$229=O$3,SUMIF('TL16'!$C$238:$C$451,$C60,'TL16'!$J$238:$J$451),0),
IF('TL17'!$B$3=O$3,SUMIF('TL17'!$C$10:$C$224,$C60,'TL17'!$J$10:$J$224),0),
IF('TL17'!$B$229=O$3,SUMIF('TL17'!$C$238:$C$451,$C60,'TL17'!$J$238:$J$451),0),
IF('TL18'!$B$3=O$3,SUMIF('TL18'!$C$10:$C$224,$C60,'TL18'!$J$10:$J$224),0),
IF('TL18'!$B$229=O$3,SUMIF('TL18'!$C$238:$C$451,$C60,'TL18'!$J$238:$J$451),0),
IF('TL19'!$B$3=O$3,SUMIF('TL19'!$C$10:$C$224,$C60,'TL19'!$J$10:$J$224),0),
IF('TL19'!$B$229=O$3,SUMIF('TL19'!$C$238:$C$451,$C60,'TL19'!$J$238:$J$451),0)
),0)</f>
        <v>0</v>
      </c>
      <c r="P60" s="9">
        <f>IFERROR(SUM(
IF('TL01'!$B$3=P$3,SUMIF('TL01'!$C$10:$C$224,$C60,'TL01'!$J$10:$J$224),0),
IF('TL01'!$B$229=P$3,SUMIF('TL01'!$C$238:$C$451,$C60,'TL01'!$J$238:$J$451),0),
IF('TL02'!$B$3=P$3,SUMIF('TL02'!$C$10:$C$224,$C60,'TL02'!$J$10:$J$224),0),
IF('TL02'!$B$229=P$3,SUMIF('TL02'!$C$238:$C$451,$C60,'TL02'!$J$238:$J$451),0),
IF('TL03'!$B$3=P$3,SUMIF('TL03'!$C$10:$C$224,$C60,'TL03'!$J$10:$J$224),0),
IF('TL03'!$B$229=P$3,SUMIF('TL03'!$C$238:$C$451,$C60,'TL03'!$J$238:$J$451),0),
IF('TL04'!$B$3=P$3,SUMIF('TL04'!$C$10:$C$224,$C60,'TL04'!$J$10:$J$224),0),
IF('TL04'!$B$229=P$3,SUMIF('TL04'!$C$238:$C$451,$C60,'TL04'!$J$238:$J$451),0),
IF('TL05'!$B$3=P$3,SUMIF('TL05'!$C$10:$C$224,$C60,'TL05'!$J$10:$J$224),0),
IF('TL05'!$B$229=P$3,SUMIF('TL05'!$C$238:$C$451,$C60,'TL05'!$J$238:$J$451),0),
IF('TL06'!$B$3=P$3,SUMIF('TL06'!$C$10:$C$224,$C60,'TL06'!$J$10:$J$224),0),
IF('TL06'!$B$229=P$3,SUMIF('TL06'!$C$238:$C$451,$C60,'TL06'!$J$238:$J$451),0),
IF('TL07'!$B$3=P$3,SUMIF('TL07'!$C$10:$C$224,$C60,'TL07'!$J$10:$J$224),0),
IF('TL07'!$B$229=P$3,SUMIF('TL07'!$C$238:$C$451,$C60,'TL07'!$J$238:$J$451),0),
IF('TL08'!$B$3=P$3,SUMIF('TL08'!$C$10:$C$224,$C60,'TL08'!$J$10:$J$224),0),
IF('TL08'!$B$229=P$3,SUMIF('TL08'!$C$238:$C$451,$C60,'TL08'!$J$238:$J$451),0),
IF('TL09'!$B$3=P$3,SUMIF('TL09'!$C$10:$C$224,$C60,'TL09'!$J$10:$J$224),0),
IF('TL09'!$B$229=P$3,SUMIF('TL09'!$C$238:$C$451,$C60,'TL09'!$J$238:$J$451),0),
IF('TL10'!$B$3=P$3,SUMIF('TL10'!$C$10:$C$224,$C60,'TL10'!$J$10:$J$224),0),
IF('TL10'!$B$229=P$3,SUMIF('TL10'!$C$238:$C$451,$C60,'TL10'!$J$238:$J$451),0),
IF('TL11'!$B$3=P$3,SUMIF('TL11'!$C$10:$C$224,$C60,'TL11'!$J$10:$J$224),0),
IF('TL11'!$B$229=P$3,SUMIF('TL11'!$C$238:$C$451,$C60,'TL11'!$J$238:$J$451),0),
IF('TL12'!$B$3=P$3,SUMIF('TL12'!$C$10:$C$224,$C60,'TL12'!$J$10:$J$224),0),
IF('TL12'!$B$229=P$3,SUMIF('TL12'!$C$238:$C$451,$C60,'TL12'!$J$238:$J$451),0),
IF('TL13'!$B$3=P$3,SUMIF('TL13'!$C$10:$C$224,$C60,'TL13'!$J$10:$J$224),0),
IF('TL13'!$B$229=P$3,SUMIF('TL13'!$C$238:$C$451,$C60,'TL13'!$J$238:$J$451),0),
IF('TL14'!$B$3=P$3,SUMIF('TL14'!$C$10:$C$224,$C60,'TL14'!$J$10:$J$224),0),
IF('TL14'!$B$229=P$3,SUMIF('TL14'!$C$238:$C$451,$C60,'TL14'!$J$238:$J$451),0),
IF('TL15'!$B$3=P$3,SUMIF('TL15'!$C$10:$C$224,$C60,'TL15'!$J$10:$J$224),0),
IF('TL15'!$B$229=P$3,SUMIF('TL15'!$C$238:$C$451,$C60,'TL15'!$J$238:$J$451),0),
IF('TL16'!$B$3=P$3,SUMIF('TL16'!$C$10:$C$224,$C60,'TL16'!$J$10:$J$224),0),
IF('TL16'!$B$229=P$3,SUMIF('TL16'!$C$238:$C$451,$C60,'TL16'!$J$238:$J$451),0),
IF('TL17'!$B$3=P$3,SUMIF('TL17'!$C$10:$C$224,$C60,'TL17'!$J$10:$J$224),0),
IF('TL17'!$B$229=P$3,SUMIF('TL17'!$C$238:$C$451,$C60,'TL17'!$J$238:$J$451),0),
IF('TL18'!$B$3=P$3,SUMIF('TL18'!$C$10:$C$224,$C60,'TL18'!$J$10:$J$224),0),
IF('TL18'!$B$229=P$3,SUMIF('TL18'!$C$238:$C$451,$C60,'TL18'!$J$238:$J$451),0),
IF('TL19'!$B$3=P$3,SUMIF('TL19'!$C$10:$C$224,$C60,'TL19'!$J$10:$J$224),0),
IF('TL19'!$B$229=P$3,SUMIF('TL19'!$C$238:$C$451,$C60,'TL19'!$J$238:$J$451),0)
),0)</f>
        <v>0</v>
      </c>
      <c r="Q60" s="9">
        <f>IFERROR(SUM(
IF('TL01'!$B$3=Q$3,SUMIF('TL01'!$C$10:$C$224,$C60,'TL01'!$J$10:$J$224),0),
IF('TL01'!$B$229=Q$3,SUMIF('TL01'!$C$238:$C$451,$C60,'TL01'!$J$238:$J$451),0),
IF('TL02'!$B$3=Q$3,SUMIF('TL02'!$C$10:$C$224,$C60,'TL02'!$J$10:$J$224),0),
IF('TL02'!$B$229=Q$3,SUMIF('TL02'!$C$238:$C$451,$C60,'TL02'!$J$238:$J$451),0),
IF('TL03'!$B$3=Q$3,SUMIF('TL03'!$C$10:$C$224,$C60,'TL03'!$J$10:$J$224),0),
IF('TL03'!$B$229=Q$3,SUMIF('TL03'!$C$238:$C$451,$C60,'TL03'!$J$238:$J$451),0),
IF('TL04'!$B$3=Q$3,SUMIF('TL04'!$C$10:$C$224,$C60,'TL04'!$J$10:$J$224),0),
IF('TL04'!$B$229=Q$3,SUMIF('TL04'!$C$238:$C$451,$C60,'TL04'!$J$238:$J$451),0),
IF('TL05'!$B$3=Q$3,SUMIF('TL05'!$C$10:$C$224,$C60,'TL05'!$J$10:$J$224),0),
IF('TL05'!$B$229=Q$3,SUMIF('TL05'!$C$238:$C$451,$C60,'TL05'!$J$238:$J$451),0),
IF('TL06'!$B$3=Q$3,SUMIF('TL06'!$C$10:$C$224,$C60,'TL06'!$J$10:$J$224),0),
IF('TL06'!$B$229=Q$3,SUMIF('TL06'!$C$238:$C$451,$C60,'TL06'!$J$238:$J$451),0),
IF('TL07'!$B$3=Q$3,SUMIF('TL07'!$C$10:$C$224,$C60,'TL07'!$J$10:$J$224),0),
IF('TL07'!$B$229=Q$3,SUMIF('TL07'!$C$238:$C$451,$C60,'TL07'!$J$238:$J$451),0),
IF('TL08'!$B$3=Q$3,SUMIF('TL08'!$C$10:$C$224,$C60,'TL08'!$J$10:$J$224),0),
IF('TL08'!$B$229=Q$3,SUMIF('TL08'!$C$238:$C$451,$C60,'TL08'!$J$238:$J$451),0),
IF('TL09'!$B$3=Q$3,SUMIF('TL09'!$C$10:$C$224,$C60,'TL09'!$J$10:$J$224),0),
IF('TL09'!$B$229=Q$3,SUMIF('TL09'!$C$238:$C$451,$C60,'TL09'!$J$238:$J$451),0),
IF('TL10'!$B$3=Q$3,SUMIF('TL10'!$C$10:$C$224,$C60,'TL10'!$J$10:$J$224),0),
IF('TL10'!$B$229=Q$3,SUMIF('TL10'!$C$238:$C$451,$C60,'TL10'!$J$238:$J$451),0),
IF('TL11'!$B$3=Q$3,SUMIF('TL11'!$C$10:$C$224,$C60,'TL11'!$J$10:$J$224),0),
IF('TL11'!$B$229=Q$3,SUMIF('TL11'!$C$238:$C$451,$C60,'TL11'!$J$238:$J$451),0),
IF('TL12'!$B$3=Q$3,SUMIF('TL12'!$C$10:$C$224,$C60,'TL12'!$J$10:$J$224),0),
IF('TL12'!$B$229=Q$3,SUMIF('TL12'!$C$238:$C$451,$C60,'TL12'!$J$238:$J$451),0),
IF('TL13'!$B$3=Q$3,SUMIF('TL13'!$C$10:$C$224,$C60,'TL13'!$J$10:$J$224),0),
IF('TL13'!$B$229=Q$3,SUMIF('TL13'!$C$238:$C$451,$C60,'TL13'!$J$238:$J$451),0),
IF('TL14'!$B$3=Q$3,SUMIF('TL14'!$C$10:$C$224,$C60,'TL14'!$J$10:$J$224),0),
IF('TL14'!$B$229=Q$3,SUMIF('TL14'!$C$238:$C$451,$C60,'TL14'!$J$238:$J$451),0),
IF('TL15'!$B$3=Q$3,SUMIF('TL15'!$C$10:$C$224,$C60,'TL15'!$J$10:$J$224),0),
IF('TL15'!$B$229=Q$3,SUMIF('TL15'!$C$238:$C$451,$C60,'TL15'!$J$238:$J$451),0),
IF('TL16'!$B$3=Q$3,SUMIF('TL16'!$C$10:$C$224,$C60,'TL16'!$J$10:$J$224),0),
IF('TL16'!$B$229=Q$3,SUMIF('TL16'!$C$238:$C$451,$C60,'TL16'!$J$238:$J$451),0),
IF('TL17'!$B$3=Q$3,SUMIF('TL17'!$C$10:$C$224,$C60,'TL17'!$J$10:$J$224),0),
IF('TL17'!$B$229=Q$3,SUMIF('TL17'!$C$238:$C$451,$C60,'TL17'!$J$238:$J$451),0),
IF('TL18'!$B$3=Q$3,SUMIF('TL18'!$C$10:$C$224,$C60,'TL18'!$J$10:$J$224),0),
IF('TL18'!$B$229=Q$3,SUMIF('TL18'!$C$238:$C$451,$C60,'TL18'!$J$238:$J$451),0),
IF('TL19'!$B$3=Q$3,SUMIF('TL19'!$C$10:$C$224,$C60,'TL19'!$J$10:$J$224),0),
IF('TL19'!$B$229=Q$3,SUMIF('TL19'!$C$238:$C$451,$C60,'TL19'!$J$238:$J$451),0)
),0)</f>
        <v>0</v>
      </c>
      <c r="R60" s="9">
        <f>IFERROR(
SUM(
SUMIF('TL01'!C:C,C60,'TL01'!J:J),
SUMIF('TL02'!C:C,C60,'TL02'!J:J),
SUMIF('TL03'!C:C,C60,'TL03'!J:J),
SUMIF('TL04'!C:C,C60,'TL04'!J:J),
SUMIF('TL05'!C:C,C60,'TL05'!J:J),
SUMIF('TL06'!C:C,C60,'TL06'!J:J),
SUMIF('TL07'!C:C,C60,'TL07'!J:J),
SUMIF('TL08'!C:C,C60,'TL08'!J:J),
SUMIF('TL09'!C:C,C60,'TL09'!J:J),
SUMIF('TL10'!C:C,C60,'TL10'!J:J),
SUMIF('TL11'!C:C,C60,'TL11'!J:J),
SUMIF('TL12'!C:C,C60,'TL12'!J:J),
SUMIF('TL13'!C:C,C60,'TL13'!J:J),
SUMIF('TL14'!C:C,C60,'TL14'!J:J),
SUMIF('TL15'!C:C,C60,'TL15'!J:J),
SUMIF('TL16'!C:C,C60,'TL16'!J:J),
SUMIF('TL17'!C:C,C60,'TL17'!J:J),
SUMIF('TL18'!C:C,C60,'TL18'!J:J),SUMIF('TL19'!C:C,C60,'TL19'!J:J))
,0)</f>
        <v>0</v>
      </c>
      <c r="S60" s="17">
        <f>IFERROR(__xludf.DUMMYFUNCTION("IFERROR(VLOOKUP(C60,
IMPORTRANGE(""1wULbzX32WdYsx-lj2U3uUNBBe2INVIRDtcK0d-Dvl90"",
""26-27!C:G""),
5,
FALSE),
"""")"),74.44800000000001)</f>
        <v>74.448</v>
      </c>
      <c r="T60" s="9"/>
      <c r="U60" s="92">
        <f t="shared" si="2"/>
        <v>0</v>
      </c>
      <c r="V60" s="93">
        <f t="shared" si="3"/>
        <v>0</v>
      </c>
    </row>
    <row r="61" ht="15.75" hidden="1" customHeight="1">
      <c r="A61" s="111" t="s">
        <v>353</v>
      </c>
      <c r="B61" s="112" t="s">
        <v>0</v>
      </c>
      <c r="C61" s="113" t="s">
        <v>493</v>
      </c>
      <c r="D61" s="113" t="s">
        <v>494</v>
      </c>
      <c r="E61" s="113">
        <v>750.0</v>
      </c>
      <c r="F61" s="4" t="s">
        <v>343</v>
      </c>
      <c r="G61" s="90" t="str">
        <f t="shared" si="4"/>
        <v>📄 Ver bula</v>
      </c>
      <c r="H61" s="9" t="str">
        <f>IFERROR(__xludf.DUMMYFUNCTION("IFERROR(VLOOKUP(C61,
IMPORTRANGE(""1wULbzX32WdYsx-lj2U3uUNBBe2INVIRDtcK0d-Dvl90"",
""26-27!C:K""),
8,
FALSE),
"""")"),"")</f>
        <v/>
      </c>
      <c r="I61" s="114" t="s">
        <v>495</v>
      </c>
      <c r="J61" s="9">
        <f>IFERROR(SUM(
IF('TL01'!$B$3=J$3,SUMIF('TL01'!$C$10:$C$224,$C61,'TL01'!$J$10:$J$224),0),
IF('TL01'!$B$229=J$3,SUMIF('TL01'!$C$238:$C$451,$C61,'TL01'!$J$238:$J$451),0),
IF('TL02'!$B$3=J$3,SUMIF('TL02'!$C$10:$C$224,$C61,'TL02'!$J$10:$J$224),0),
IF('TL02'!$B$229=J$3,SUMIF('TL02'!$C$238:$C$451,$C61,'TL02'!$J$238:$J$451),0),
IF('TL03'!$B$3=J$3,SUMIF('TL03'!$C$10:$C$224,$C61,'TL03'!$J$10:$J$224),0),
IF('TL03'!$B$229=J$3,SUMIF('TL03'!$C$238:$C$451,$C61,'TL03'!$J$238:$J$451),0),
IF('TL04'!$B$3=J$3,SUMIF('TL04'!$C$10:$C$224,$C61,'TL04'!$J$10:$J$224),0),
IF('TL04'!$B$229=J$3,SUMIF('TL04'!$C$238:$C$451,$C61,'TL04'!$J$238:$J$451),0),
IF('TL05'!$B$3=J$3,SUMIF('TL05'!$C$10:$C$224,$C61,'TL05'!$J$10:$J$224),0),
IF('TL05'!$B$229=J$3,SUMIF('TL05'!$C$238:$C$451,$C61,'TL05'!$J$238:$J$451),0),
IF('TL06'!$B$3=J$3,SUMIF('TL06'!$C$10:$C$224,$C61,'TL06'!$J$10:$J$224),0),
IF('TL06'!$B$229=J$3,SUMIF('TL06'!$C$238:$C$451,$C61,'TL06'!$J$238:$J$451),0),
IF('TL07'!$B$3=J$3,SUMIF('TL07'!$C$10:$C$224,$C61,'TL07'!$J$10:$J$224),0),
IF('TL07'!$B$229=J$3,SUMIF('TL07'!$C$238:$C$451,$C61,'TL07'!$J$238:$J$451),0),
IF('TL08'!$B$3=J$3,SUMIF('TL08'!$C$10:$C$224,$C61,'TL08'!$J$10:$J$224),0),
IF('TL08'!$B$229=J$3,SUMIF('TL08'!$C$238:$C$451,$C61,'TL08'!$J$238:$J$451),0),
IF('TL09'!$B$3=J$3,SUMIF('TL09'!$C$10:$C$224,$C61,'TL09'!$J$10:$J$224),0),
IF('TL09'!$B$229=J$3,SUMIF('TL09'!$C$238:$C$451,$C61,'TL09'!$J$238:$J$451),0),
IF('TL10'!$B$3=J$3,SUMIF('TL10'!$C$10:$C$224,$C61,'TL10'!$J$10:$J$224),0),
IF('TL10'!$B$229=J$3,SUMIF('TL10'!$C$238:$C$451,$C61,'TL10'!$J$238:$J$451),0),
IF('TL11'!$B$3=J$3,SUMIF('TL11'!$C$10:$C$224,$C61,'TL11'!$J$10:$J$224),0),
IF('TL11'!$B$229=J$3,SUMIF('TL11'!$C$238:$C$451,$C61,'TL11'!$J$238:$J$451),0),
IF('TL12'!$B$3=J$3,SUMIF('TL12'!$C$10:$C$224,$C61,'TL12'!$J$10:$J$224),0),
IF('TL12'!$B$229=J$3,SUMIF('TL12'!$C$238:$C$451,$C61,'TL12'!$J$238:$J$451),0),
IF('TL13'!$B$3=J$3,SUMIF('TL13'!$C$10:$C$224,$C61,'TL13'!$J$10:$J$224),0),
IF('TL13'!$B$229=J$3,SUMIF('TL13'!$C$238:$C$451,$C61,'TL13'!$J$238:$J$451),0),
IF('TL14'!$B$3=J$3,SUMIF('TL14'!$C$10:$C$224,$C61,'TL14'!$J$10:$J$224),0),
IF('TL14'!$B$229=J$3,SUMIF('TL14'!$C$238:$C$451,$C61,'TL14'!$J$238:$J$451),0),
IF('TL15'!$B$3=J$3,SUMIF('TL15'!$C$10:$C$224,$C61,'TL15'!$J$10:$J$224),0),
IF('TL15'!$B$229=J$3,SUMIF('TL15'!$C$238:$C$451,$C61,'TL15'!$J$238:$J$451),0),
IF('TL16'!$B$3=J$3,SUMIF('TL16'!$C$10:$C$224,$C61,'TL16'!$J$10:$J$224),0),
IF('TL16'!$B$229=J$3,SUMIF('TL16'!$C$238:$C$451,$C61,'TL16'!$J$238:$J$451),0),
IF('TL17'!$B$3=J$3,SUMIF('TL17'!$C$10:$C$224,$C61,'TL17'!$J$10:$J$224),0),
IF('TL17'!$B$229=J$3,SUMIF('TL17'!$C$238:$C$451,$C61,'TL17'!$J$238:$J$451),0),
IF('TL18'!$B$3=J$3,SUMIF('TL18'!$C$10:$C$224,$C61,'TL18'!$J$10:$J$224),0),
IF('TL18'!$B$229=J$3,SUMIF('TL18'!$C$238:$C$451,$C61,'TL18'!$J$238:$J$451),0),
IF('TL19'!$B$3=J$3,SUMIF('TL19'!$C$10:$C$224,$C61,'TL19'!$J$10:$J$224),0),
IF('TL19'!$B$229=J$3,SUMIF('TL19'!$C$238:$C$451,$C61,'TL19'!$J$238:$J$451),0)
),0)</f>
        <v>0</v>
      </c>
      <c r="K61" s="9">
        <f>IFERROR(SUM(
IF('TL01'!$B$3=K$3,SUMIF('TL01'!$C$10:$C$224,$C61,'TL01'!$J$10:$J$224),0),
IF('TL01'!$B$229=K$3,SUMIF('TL01'!$C$238:$C$451,$C61,'TL01'!$J$238:$J$451),0),
IF('TL02'!$B$3=K$3,SUMIF('TL02'!$C$10:$C$224,$C61,'TL02'!$J$10:$J$224),0),
IF('TL02'!$B$229=K$3,SUMIF('TL02'!$C$238:$C$451,$C61,'TL02'!$J$238:$J$451),0),
IF('TL03'!$B$3=K$3,SUMIF('TL03'!$C$10:$C$224,$C61,'TL03'!$J$10:$J$224),0),
IF('TL03'!$B$229=K$3,SUMIF('TL03'!$C$238:$C$451,$C61,'TL03'!$J$238:$J$451),0),
IF('TL04'!$B$3=K$3,SUMIF('TL04'!$C$10:$C$224,$C61,'TL04'!$J$10:$J$224),0),
IF('TL04'!$B$229=K$3,SUMIF('TL04'!$C$238:$C$451,$C61,'TL04'!$J$238:$J$451),0),
IF('TL05'!$B$3=K$3,SUMIF('TL05'!$C$10:$C$224,$C61,'TL05'!$J$10:$J$224),0),
IF('TL05'!$B$229=K$3,SUMIF('TL05'!$C$238:$C$451,$C61,'TL05'!$J$238:$J$451),0),
IF('TL06'!$B$3=K$3,SUMIF('TL06'!$C$10:$C$224,$C61,'TL06'!$J$10:$J$224),0),
IF('TL06'!$B$229=K$3,SUMIF('TL06'!$C$238:$C$451,$C61,'TL06'!$J$238:$J$451),0),
IF('TL07'!$B$3=K$3,SUMIF('TL07'!$C$10:$C$224,$C61,'TL07'!$J$10:$J$224),0),
IF('TL07'!$B$229=K$3,SUMIF('TL07'!$C$238:$C$451,$C61,'TL07'!$J$238:$J$451),0),
IF('TL08'!$B$3=K$3,SUMIF('TL08'!$C$10:$C$224,$C61,'TL08'!$J$10:$J$224),0),
IF('TL08'!$B$229=K$3,SUMIF('TL08'!$C$238:$C$451,$C61,'TL08'!$J$238:$J$451),0),
IF('TL09'!$B$3=K$3,SUMIF('TL09'!$C$10:$C$224,$C61,'TL09'!$J$10:$J$224),0),
IF('TL09'!$B$229=K$3,SUMIF('TL09'!$C$238:$C$451,$C61,'TL09'!$J$238:$J$451),0),
IF('TL10'!$B$3=K$3,SUMIF('TL10'!$C$10:$C$224,$C61,'TL10'!$J$10:$J$224),0),
IF('TL10'!$B$229=K$3,SUMIF('TL10'!$C$238:$C$451,$C61,'TL10'!$J$238:$J$451),0),
IF('TL11'!$B$3=K$3,SUMIF('TL11'!$C$10:$C$224,$C61,'TL11'!$J$10:$J$224),0),
IF('TL11'!$B$229=K$3,SUMIF('TL11'!$C$238:$C$451,$C61,'TL11'!$J$238:$J$451),0),
IF('TL12'!$B$3=K$3,SUMIF('TL12'!$C$10:$C$224,$C61,'TL12'!$J$10:$J$224),0),
IF('TL12'!$B$229=K$3,SUMIF('TL12'!$C$238:$C$451,$C61,'TL12'!$J$238:$J$451),0),
IF('TL13'!$B$3=K$3,SUMIF('TL13'!$C$10:$C$224,$C61,'TL13'!$J$10:$J$224),0),
IF('TL13'!$B$229=K$3,SUMIF('TL13'!$C$238:$C$451,$C61,'TL13'!$J$238:$J$451),0),
IF('TL14'!$B$3=K$3,SUMIF('TL14'!$C$10:$C$224,$C61,'TL14'!$J$10:$J$224),0),
IF('TL14'!$B$229=K$3,SUMIF('TL14'!$C$238:$C$451,$C61,'TL14'!$J$238:$J$451),0),
IF('TL15'!$B$3=K$3,SUMIF('TL15'!$C$10:$C$224,$C61,'TL15'!$J$10:$J$224),0),
IF('TL15'!$B$229=K$3,SUMIF('TL15'!$C$238:$C$451,$C61,'TL15'!$J$238:$J$451),0),
IF('TL16'!$B$3=K$3,SUMIF('TL16'!$C$10:$C$224,$C61,'TL16'!$J$10:$J$224),0),
IF('TL16'!$B$229=K$3,SUMIF('TL16'!$C$238:$C$451,$C61,'TL16'!$J$238:$J$451),0),
IF('TL17'!$B$3=K$3,SUMIF('TL17'!$C$10:$C$224,$C61,'TL17'!$J$10:$J$224),0),
IF('TL17'!$B$229=K$3,SUMIF('TL17'!$C$238:$C$451,$C61,'TL17'!$J$238:$J$451),0),
IF('TL18'!$B$3=K$3,SUMIF('TL18'!$C$10:$C$224,$C61,'TL18'!$J$10:$J$224),0),
IF('TL18'!$B$229=K$3,SUMIF('TL18'!$C$238:$C$451,$C61,'TL18'!$J$238:$J$451),0),
IF('TL19'!$B$3=K$3,SUMIF('TL19'!$C$10:$C$224,$C61,'TL19'!$J$10:$J$224),0),
IF('TL19'!$B$229=K$3,SUMIF('TL19'!$C$238:$C$451,$C61,'TL19'!$J$238:$J$451),0)
),0)</f>
        <v>0</v>
      </c>
      <c r="L61" s="9">
        <f>IFERROR(SUM(
IF('TL01'!$B$3=L$3,SUMIF('TL01'!$C$10:$C$224,$C61,'TL01'!$J$10:$J$224),0),
IF('TL01'!$B$229=L$3,SUMIF('TL01'!$C$238:$C$451,$C61,'TL01'!$J$238:$J$451),0),
IF('TL02'!$B$3=L$3,SUMIF('TL02'!$C$10:$C$224,$C61,'TL02'!$J$10:$J$224),0),
IF('TL02'!$B$229=L$3,SUMIF('TL02'!$C$238:$C$451,$C61,'TL02'!$J$238:$J$451),0),
IF('TL03'!$B$3=L$3,SUMIF('TL03'!$C$10:$C$224,$C61,'TL03'!$J$10:$J$224),0),
IF('TL03'!$B$229=L$3,SUMIF('TL03'!$C$238:$C$451,$C61,'TL03'!$J$238:$J$451),0),
IF('TL04'!$B$3=L$3,SUMIF('TL04'!$C$10:$C$224,$C61,'TL04'!$J$10:$J$224),0),
IF('TL04'!$B$229=L$3,SUMIF('TL04'!$C$238:$C$451,$C61,'TL04'!$J$238:$J$451),0),
IF('TL05'!$B$3=L$3,SUMIF('TL05'!$C$10:$C$224,$C61,'TL05'!$J$10:$J$224),0),
IF('TL05'!$B$229=L$3,SUMIF('TL05'!$C$238:$C$451,$C61,'TL05'!$J$238:$J$451),0),
IF('TL06'!$B$3=L$3,SUMIF('TL06'!$C$10:$C$224,$C61,'TL06'!$J$10:$J$224),0),
IF('TL06'!$B$229=L$3,SUMIF('TL06'!$C$238:$C$451,$C61,'TL06'!$J$238:$J$451),0),
IF('TL07'!$B$3=L$3,SUMIF('TL07'!$C$10:$C$224,$C61,'TL07'!$J$10:$J$224),0),
IF('TL07'!$B$229=L$3,SUMIF('TL07'!$C$238:$C$451,$C61,'TL07'!$J$238:$J$451),0),
IF('TL08'!$B$3=L$3,SUMIF('TL08'!$C$10:$C$224,$C61,'TL08'!$J$10:$J$224),0),
IF('TL08'!$B$229=L$3,SUMIF('TL08'!$C$238:$C$451,$C61,'TL08'!$J$238:$J$451),0),
IF('TL09'!$B$3=L$3,SUMIF('TL09'!$C$10:$C$224,$C61,'TL09'!$J$10:$J$224),0),
IF('TL09'!$B$229=L$3,SUMIF('TL09'!$C$238:$C$451,$C61,'TL09'!$J$238:$J$451),0),
IF('TL10'!$B$3=L$3,SUMIF('TL10'!$C$10:$C$224,$C61,'TL10'!$J$10:$J$224),0),
IF('TL10'!$B$229=L$3,SUMIF('TL10'!$C$238:$C$451,$C61,'TL10'!$J$238:$J$451),0),
IF('TL11'!$B$3=L$3,SUMIF('TL11'!$C$10:$C$224,$C61,'TL11'!$J$10:$J$224),0),
IF('TL11'!$B$229=L$3,SUMIF('TL11'!$C$238:$C$451,$C61,'TL11'!$J$238:$J$451),0),
IF('TL12'!$B$3=L$3,SUMIF('TL12'!$C$10:$C$224,$C61,'TL12'!$J$10:$J$224),0),
IF('TL12'!$B$229=L$3,SUMIF('TL12'!$C$238:$C$451,$C61,'TL12'!$J$238:$J$451),0),
IF('TL13'!$B$3=L$3,SUMIF('TL13'!$C$10:$C$224,$C61,'TL13'!$J$10:$J$224),0),
IF('TL13'!$B$229=L$3,SUMIF('TL13'!$C$238:$C$451,$C61,'TL13'!$J$238:$J$451),0),
IF('TL14'!$B$3=L$3,SUMIF('TL14'!$C$10:$C$224,$C61,'TL14'!$J$10:$J$224),0),
IF('TL14'!$B$229=L$3,SUMIF('TL14'!$C$238:$C$451,$C61,'TL14'!$J$238:$J$451),0),
IF('TL15'!$B$3=L$3,SUMIF('TL15'!$C$10:$C$224,$C61,'TL15'!$J$10:$J$224),0),
IF('TL15'!$B$229=L$3,SUMIF('TL15'!$C$238:$C$451,$C61,'TL15'!$J$238:$J$451),0),
IF('TL16'!$B$3=L$3,SUMIF('TL16'!$C$10:$C$224,$C61,'TL16'!$J$10:$J$224),0),
IF('TL16'!$B$229=L$3,SUMIF('TL16'!$C$238:$C$451,$C61,'TL16'!$J$238:$J$451),0),
IF('TL17'!$B$3=L$3,SUMIF('TL17'!$C$10:$C$224,$C61,'TL17'!$J$10:$J$224),0),
IF('TL17'!$B$229=L$3,SUMIF('TL17'!$C$238:$C$451,$C61,'TL17'!$J$238:$J$451),0),
IF('TL18'!$B$3=L$3,SUMIF('TL18'!$C$10:$C$224,$C61,'TL18'!$J$10:$J$224),0),
IF('TL18'!$B$229=L$3,SUMIF('TL18'!$C$238:$C$451,$C61,'TL18'!$J$238:$J$451),0),
IF('TL19'!$B$3=L$3,SUMIF('TL19'!$C$10:$C$224,$C61,'TL19'!$J$10:$J$224),0),
IF('TL19'!$B$229=L$3,SUMIF('TL19'!$C$238:$C$451,$C61,'TL19'!$J$238:$J$451),0)
),0)</f>
        <v>0</v>
      </c>
      <c r="M61" s="9">
        <f>IFERROR(SUM(
IF('TL01'!$B$3=M$3,SUMIF('TL01'!$C$10:$C$224,$C61,'TL01'!$J$10:$J$224),0),
IF('TL01'!$B$229=M$3,SUMIF('TL01'!$C$238:$C$451,$C61,'TL01'!$J$238:$J$451),0),
IF('TL02'!$B$3=M$3,SUMIF('TL02'!$C$10:$C$224,$C61,'TL02'!$J$10:$J$224),0),
IF('TL02'!$B$229=M$3,SUMIF('TL02'!$C$238:$C$451,$C61,'TL02'!$J$238:$J$451),0),
IF('TL03'!$B$3=M$3,SUMIF('TL03'!$C$10:$C$224,$C61,'TL03'!$J$10:$J$224),0),
IF('TL03'!$B$229=M$3,SUMIF('TL03'!$C$238:$C$451,$C61,'TL03'!$J$238:$J$451),0),
IF('TL04'!$B$3=M$3,SUMIF('TL04'!$C$10:$C$224,$C61,'TL04'!$J$10:$J$224),0),
IF('TL04'!$B$229=M$3,SUMIF('TL04'!$C$238:$C$451,$C61,'TL04'!$J$238:$J$451),0),
IF('TL05'!$B$3=M$3,SUMIF('TL05'!$C$10:$C$224,$C61,'TL05'!$J$10:$J$224),0),
IF('TL05'!$B$229=M$3,SUMIF('TL05'!$C$238:$C$451,$C61,'TL05'!$J$238:$J$451),0),
IF('TL06'!$B$3=M$3,SUMIF('TL06'!$C$10:$C$224,$C61,'TL06'!$J$10:$J$224),0),
IF('TL06'!$B$229=M$3,SUMIF('TL06'!$C$238:$C$451,$C61,'TL06'!$J$238:$J$451),0),
IF('TL07'!$B$3=M$3,SUMIF('TL07'!$C$10:$C$224,$C61,'TL07'!$J$10:$J$224),0),
IF('TL07'!$B$229=M$3,SUMIF('TL07'!$C$238:$C$451,$C61,'TL07'!$J$238:$J$451),0),
IF('TL08'!$B$3=M$3,SUMIF('TL08'!$C$10:$C$224,$C61,'TL08'!$J$10:$J$224),0),
IF('TL08'!$B$229=M$3,SUMIF('TL08'!$C$238:$C$451,$C61,'TL08'!$J$238:$J$451),0),
IF('TL09'!$B$3=M$3,SUMIF('TL09'!$C$10:$C$224,$C61,'TL09'!$J$10:$J$224),0),
IF('TL09'!$B$229=M$3,SUMIF('TL09'!$C$238:$C$451,$C61,'TL09'!$J$238:$J$451),0),
IF('TL10'!$B$3=M$3,SUMIF('TL10'!$C$10:$C$224,$C61,'TL10'!$J$10:$J$224),0),
IF('TL10'!$B$229=M$3,SUMIF('TL10'!$C$238:$C$451,$C61,'TL10'!$J$238:$J$451),0),
IF('TL11'!$B$3=M$3,SUMIF('TL11'!$C$10:$C$224,$C61,'TL11'!$J$10:$J$224),0),
IF('TL11'!$B$229=M$3,SUMIF('TL11'!$C$238:$C$451,$C61,'TL11'!$J$238:$J$451),0),
IF('TL12'!$B$3=M$3,SUMIF('TL12'!$C$10:$C$224,$C61,'TL12'!$J$10:$J$224),0),
IF('TL12'!$B$229=M$3,SUMIF('TL12'!$C$238:$C$451,$C61,'TL12'!$J$238:$J$451),0),
IF('TL13'!$B$3=M$3,SUMIF('TL13'!$C$10:$C$224,$C61,'TL13'!$J$10:$J$224),0),
IF('TL13'!$B$229=M$3,SUMIF('TL13'!$C$238:$C$451,$C61,'TL13'!$J$238:$J$451),0),
IF('TL14'!$B$3=M$3,SUMIF('TL14'!$C$10:$C$224,$C61,'TL14'!$J$10:$J$224),0),
IF('TL14'!$B$229=M$3,SUMIF('TL14'!$C$238:$C$451,$C61,'TL14'!$J$238:$J$451),0),
IF('TL15'!$B$3=M$3,SUMIF('TL15'!$C$10:$C$224,$C61,'TL15'!$J$10:$J$224),0),
IF('TL15'!$B$229=M$3,SUMIF('TL15'!$C$238:$C$451,$C61,'TL15'!$J$238:$J$451),0),
IF('TL16'!$B$3=M$3,SUMIF('TL16'!$C$10:$C$224,$C61,'TL16'!$J$10:$J$224),0),
IF('TL16'!$B$229=M$3,SUMIF('TL16'!$C$238:$C$451,$C61,'TL16'!$J$238:$J$451),0),
IF('TL17'!$B$3=M$3,SUMIF('TL17'!$C$10:$C$224,$C61,'TL17'!$J$10:$J$224),0),
IF('TL17'!$B$229=M$3,SUMIF('TL17'!$C$238:$C$451,$C61,'TL17'!$J$238:$J$451),0),
IF('TL18'!$B$3=M$3,SUMIF('TL18'!$C$10:$C$224,$C61,'TL18'!$J$10:$J$224),0),
IF('TL18'!$B$229=M$3,SUMIF('TL18'!$C$238:$C$451,$C61,'TL18'!$J$238:$J$451),0),
IF('TL19'!$B$3=M$3,SUMIF('TL19'!$C$10:$C$224,$C61,'TL19'!$J$10:$J$224),0),
IF('TL19'!$B$229=M$3,SUMIF('TL19'!$C$238:$C$451,$C61,'TL19'!$J$238:$J$451),0)
),0)</f>
        <v>0</v>
      </c>
      <c r="N61" s="9">
        <f>IFERROR(SUM(
IF('TL01'!$B$3=N$3,SUMIF('TL01'!$C$10:$C$224,$C61,'TL01'!$J$10:$J$224),0),
IF('TL01'!$B$229=N$3,SUMIF('TL01'!$C$238:$C$451,$C61,'TL01'!$J$238:$J$451),0),
IF('TL02'!$B$3=N$3,SUMIF('TL02'!$C$10:$C$224,$C61,'TL02'!$J$10:$J$224),0),
IF('TL02'!$B$229=N$3,SUMIF('TL02'!$C$238:$C$451,$C61,'TL02'!$J$238:$J$451),0),
IF('TL03'!$B$3=N$3,SUMIF('TL03'!$C$10:$C$224,$C61,'TL03'!$J$10:$J$224),0),
IF('TL03'!$B$229=N$3,SUMIF('TL03'!$C$238:$C$451,$C61,'TL03'!$J$238:$J$451),0),
IF('TL04'!$B$3=N$3,SUMIF('TL04'!$C$10:$C$224,$C61,'TL04'!$J$10:$J$224),0),
IF('TL04'!$B$229=N$3,SUMIF('TL04'!$C$238:$C$451,$C61,'TL04'!$J$238:$J$451),0),
IF('TL05'!$B$3=N$3,SUMIF('TL05'!$C$10:$C$224,$C61,'TL05'!$J$10:$J$224),0),
IF('TL05'!$B$229=N$3,SUMIF('TL05'!$C$238:$C$451,$C61,'TL05'!$J$238:$J$451),0),
IF('TL06'!$B$3=N$3,SUMIF('TL06'!$C$10:$C$224,$C61,'TL06'!$J$10:$J$224),0),
IF('TL06'!$B$229=N$3,SUMIF('TL06'!$C$238:$C$451,$C61,'TL06'!$J$238:$J$451),0),
IF('TL07'!$B$3=N$3,SUMIF('TL07'!$C$10:$C$224,$C61,'TL07'!$J$10:$J$224),0),
IF('TL07'!$B$229=N$3,SUMIF('TL07'!$C$238:$C$451,$C61,'TL07'!$J$238:$J$451),0),
IF('TL08'!$B$3=N$3,SUMIF('TL08'!$C$10:$C$224,$C61,'TL08'!$J$10:$J$224),0),
IF('TL08'!$B$229=N$3,SUMIF('TL08'!$C$238:$C$451,$C61,'TL08'!$J$238:$J$451),0),
IF('TL09'!$B$3=N$3,SUMIF('TL09'!$C$10:$C$224,$C61,'TL09'!$J$10:$J$224),0),
IF('TL09'!$B$229=N$3,SUMIF('TL09'!$C$238:$C$451,$C61,'TL09'!$J$238:$J$451),0),
IF('TL10'!$B$3=N$3,SUMIF('TL10'!$C$10:$C$224,$C61,'TL10'!$J$10:$J$224),0),
IF('TL10'!$B$229=N$3,SUMIF('TL10'!$C$238:$C$451,$C61,'TL10'!$J$238:$J$451),0),
IF('TL11'!$B$3=N$3,SUMIF('TL11'!$C$10:$C$224,$C61,'TL11'!$J$10:$J$224),0),
IF('TL11'!$B$229=N$3,SUMIF('TL11'!$C$238:$C$451,$C61,'TL11'!$J$238:$J$451),0),
IF('TL12'!$B$3=N$3,SUMIF('TL12'!$C$10:$C$224,$C61,'TL12'!$J$10:$J$224),0),
IF('TL12'!$B$229=N$3,SUMIF('TL12'!$C$238:$C$451,$C61,'TL12'!$J$238:$J$451),0),
IF('TL13'!$B$3=N$3,SUMIF('TL13'!$C$10:$C$224,$C61,'TL13'!$J$10:$J$224),0),
IF('TL13'!$B$229=N$3,SUMIF('TL13'!$C$238:$C$451,$C61,'TL13'!$J$238:$J$451),0),
IF('TL14'!$B$3=N$3,SUMIF('TL14'!$C$10:$C$224,$C61,'TL14'!$J$10:$J$224),0),
IF('TL14'!$B$229=N$3,SUMIF('TL14'!$C$238:$C$451,$C61,'TL14'!$J$238:$J$451),0),
IF('TL15'!$B$3=N$3,SUMIF('TL15'!$C$10:$C$224,$C61,'TL15'!$J$10:$J$224),0),
IF('TL15'!$B$229=N$3,SUMIF('TL15'!$C$238:$C$451,$C61,'TL15'!$J$238:$J$451),0),
IF('TL16'!$B$3=N$3,SUMIF('TL16'!$C$10:$C$224,$C61,'TL16'!$J$10:$J$224),0),
IF('TL16'!$B$229=N$3,SUMIF('TL16'!$C$238:$C$451,$C61,'TL16'!$J$238:$J$451),0),
IF('TL17'!$B$3=N$3,SUMIF('TL17'!$C$10:$C$224,$C61,'TL17'!$J$10:$J$224),0),
IF('TL17'!$B$229=N$3,SUMIF('TL17'!$C$238:$C$451,$C61,'TL17'!$J$238:$J$451),0),
IF('TL18'!$B$3=N$3,SUMIF('TL18'!$C$10:$C$224,$C61,'TL18'!$J$10:$J$224),0),
IF('TL18'!$B$229=N$3,SUMIF('TL18'!$C$238:$C$451,$C61,'TL18'!$J$238:$J$451),0),
IF('TL19'!$B$3=N$3,SUMIF('TL19'!$C$10:$C$224,$C61,'TL19'!$J$10:$J$224),0),
IF('TL19'!$B$229=N$3,SUMIF('TL19'!$C$238:$C$451,$C61,'TL19'!$J$238:$J$451),0)
),0)</f>
        <v>0</v>
      </c>
      <c r="O61" s="9">
        <f>IFERROR(SUM(
IF('TL01'!$B$3=O$3,SUMIF('TL01'!$C$10:$C$224,$C61,'TL01'!$J$10:$J$224),0),
IF('TL01'!$B$229=O$3,SUMIF('TL01'!$C$238:$C$451,$C61,'TL01'!$J$238:$J$451),0),
IF('TL02'!$B$3=O$3,SUMIF('TL02'!$C$10:$C$224,$C61,'TL02'!$J$10:$J$224),0),
IF('TL02'!$B$229=O$3,SUMIF('TL02'!$C$238:$C$451,$C61,'TL02'!$J$238:$J$451),0),
IF('TL03'!$B$3=O$3,SUMIF('TL03'!$C$10:$C$224,$C61,'TL03'!$J$10:$J$224),0),
IF('TL03'!$B$229=O$3,SUMIF('TL03'!$C$238:$C$451,$C61,'TL03'!$J$238:$J$451),0),
IF('TL04'!$B$3=O$3,SUMIF('TL04'!$C$10:$C$224,$C61,'TL04'!$J$10:$J$224),0),
IF('TL04'!$B$229=O$3,SUMIF('TL04'!$C$238:$C$451,$C61,'TL04'!$J$238:$J$451),0),
IF('TL05'!$B$3=O$3,SUMIF('TL05'!$C$10:$C$224,$C61,'TL05'!$J$10:$J$224),0),
IF('TL05'!$B$229=O$3,SUMIF('TL05'!$C$238:$C$451,$C61,'TL05'!$J$238:$J$451),0),
IF('TL06'!$B$3=O$3,SUMIF('TL06'!$C$10:$C$224,$C61,'TL06'!$J$10:$J$224),0),
IF('TL06'!$B$229=O$3,SUMIF('TL06'!$C$238:$C$451,$C61,'TL06'!$J$238:$J$451),0),
IF('TL07'!$B$3=O$3,SUMIF('TL07'!$C$10:$C$224,$C61,'TL07'!$J$10:$J$224),0),
IF('TL07'!$B$229=O$3,SUMIF('TL07'!$C$238:$C$451,$C61,'TL07'!$J$238:$J$451),0),
IF('TL08'!$B$3=O$3,SUMIF('TL08'!$C$10:$C$224,$C61,'TL08'!$J$10:$J$224),0),
IF('TL08'!$B$229=O$3,SUMIF('TL08'!$C$238:$C$451,$C61,'TL08'!$J$238:$J$451),0),
IF('TL09'!$B$3=O$3,SUMIF('TL09'!$C$10:$C$224,$C61,'TL09'!$J$10:$J$224),0),
IF('TL09'!$B$229=O$3,SUMIF('TL09'!$C$238:$C$451,$C61,'TL09'!$J$238:$J$451),0),
IF('TL10'!$B$3=O$3,SUMIF('TL10'!$C$10:$C$224,$C61,'TL10'!$J$10:$J$224),0),
IF('TL10'!$B$229=O$3,SUMIF('TL10'!$C$238:$C$451,$C61,'TL10'!$J$238:$J$451),0),
IF('TL11'!$B$3=O$3,SUMIF('TL11'!$C$10:$C$224,$C61,'TL11'!$J$10:$J$224),0),
IF('TL11'!$B$229=O$3,SUMIF('TL11'!$C$238:$C$451,$C61,'TL11'!$J$238:$J$451),0),
IF('TL12'!$B$3=O$3,SUMIF('TL12'!$C$10:$C$224,$C61,'TL12'!$J$10:$J$224),0),
IF('TL12'!$B$229=O$3,SUMIF('TL12'!$C$238:$C$451,$C61,'TL12'!$J$238:$J$451),0),
IF('TL13'!$B$3=O$3,SUMIF('TL13'!$C$10:$C$224,$C61,'TL13'!$J$10:$J$224),0),
IF('TL13'!$B$229=O$3,SUMIF('TL13'!$C$238:$C$451,$C61,'TL13'!$J$238:$J$451),0),
IF('TL14'!$B$3=O$3,SUMIF('TL14'!$C$10:$C$224,$C61,'TL14'!$J$10:$J$224),0),
IF('TL14'!$B$229=O$3,SUMIF('TL14'!$C$238:$C$451,$C61,'TL14'!$J$238:$J$451),0),
IF('TL15'!$B$3=O$3,SUMIF('TL15'!$C$10:$C$224,$C61,'TL15'!$J$10:$J$224),0),
IF('TL15'!$B$229=O$3,SUMIF('TL15'!$C$238:$C$451,$C61,'TL15'!$J$238:$J$451),0),
IF('TL16'!$B$3=O$3,SUMIF('TL16'!$C$10:$C$224,$C61,'TL16'!$J$10:$J$224),0),
IF('TL16'!$B$229=O$3,SUMIF('TL16'!$C$238:$C$451,$C61,'TL16'!$J$238:$J$451),0),
IF('TL17'!$B$3=O$3,SUMIF('TL17'!$C$10:$C$224,$C61,'TL17'!$J$10:$J$224),0),
IF('TL17'!$B$229=O$3,SUMIF('TL17'!$C$238:$C$451,$C61,'TL17'!$J$238:$J$451),0),
IF('TL18'!$B$3=O$3,SUMIF('TL18'!$C$10:$C$224,$C61,'TL18'!$J$10:$J$224),0),
IF('TL18'!$B$229=O$3,SUMIF('TL18'!$C$238:$C$451,$C61,'TL18'!$J$238:$J$451),0),
IF('TL19'!$B$3=O$3,SUMIF('TL19'!$C$10:$C$224,$C61,'TL19'!$J$10:$J$224),0),
IF('TL19'!$B$229=O$3,SUMIF('TL19'!$C$238:$C$451,$C61,'TL19'!$J$238:$J$451),0)
),0)</f>
        <v>0</v>
      </c>
      <c r="P61" s="9">
        <f>IFERROR(SUM(
IF('TL01'!$B$3=P$3,SUMIF('TL01'!$C$10:$C$224,$C61,'TL01'!$J$10:$J$224),0),
IF('TL01'!$B$229=P$3,SUMIF('TL01'!$C$238:$C$451,$C61,'TL01'!$J$238:$J$451),0),
IF('TL02'!$B$3=P$3,SUMIF('TL02'!$C$10:$C$224,$C61,'TL02'!$J$10:$J$224),0),
IF('TL02'!$B$229=P$3,SUMIF('TL02'!$C$238:$C$451,$C61,'TL02'!$J$238:$J$451),0),
IF('TL03'!$B$3=P$3,SUMIF('TL03'!$C$10:$C$224,$C61,'TL03'!$J$10:$J$224),0),
IF('TL03'!$B$229=P$3,SUMIF('TL03'!$C$238:$C$451,$C61,'TL03'!$J$238:$J$451),0),
IF('TL04'!$B$3=P$3,SUMIF('TL04'!$C$10:$C$224,$C61,'TL04'!$J$10:$J$224),0),
IF('TL04'!$B$229=P$3,SUMIF('TL04'!$C$238:$C$451,$C61,'TL04'!$J$238:$J$451),0),
IF('TL05'!$B$3=P$3,SUMIF('TL05'!$C$10:$C$224,$C61,'TL05'!$J$10:$J$224),0),
IF('TL05'!$B$229=P$3,SUMIF('TL05'!$C$238:$C$451,$C61,'TL05'!$J$238:$J$451),0),
IF('TL06'!$B$3=P$3,SUMIF('TL06'!$C$10:$C$224,$C61,'TL06'!$J$10:$J$224),0),
IF('TL06'!$B$229=P$3,SUMIF('TL06'!$C$238:$C$451,$C61,'TL06'!$J$238:$J$451),0),
IF('TL07'!$B$3=P$3,SUMIF('TL07'!$C$10:$C$224,$C61,'TL07'!$J$10:$J$224),0),
IF('TL07'!$B$229=P$3,SUMIF('TL07'!$C$238:$C$451,$C61,'TL07'!$J$238:$J$451),0),
IF('TL08'!$B$3=P$3,SUMIF('TL08'!$C$10:$C$224,$C61,'TL08'!$J$10:$J$224),0),
IF('TL08'!$B$229=P$3,SUMIF('TL08'!$C$238:$C$451,$C61,'TL08'!$J$238:$J$451),0),
IF('TL09'!$B$3=P$3,SUMIF('TL09'!$C$10:$C$224,$C61,'TL09'!$J$10:$J$224),0),
IF('TL09'!$B$229=P$3,SUMIF('TL09'!$C$238:$C$451,$C61,'TL09'!$J$238:$J$451),0),
IF('TL10'!$B$3=P$3,SUMIF('TL10'!$C$10:$C$224,$C61,'TL10'!$J$10:$J$224),0),
IF('TL10'!$B$229=P$3,SUMIF('TL10'!$C$238:$C$451,$C61,'TL10'!$J$238:$J$451),0),
IF('TL11'!$B$3=P$3,SUMIF('TL11'!$C$10:$C$224,$C61,'TL11'!$J$10:$J$224),0),
IF('TL11'!$B$229=P$3,SUMIF('TL11'!$C$238:$C$451,$C61,'TL11'!$J$238:$J$451),0),
IF('TL12'!$B$3=P$3,SUMIF('TL12'!$C$10:$C$224,$C61,'TL12'!$J$10:$J$224),0),
IF('TL12'!$B$229=P$3,SUMIF('TL12'!$C$238:$C$451,$C61,'TL12'!$J$238:$J$451),0),
IF('TL13'!$B$3=P$3,SUMIF('TL13'!$C$10:$C$224,$C61,'TL13'!$J$10:$J$224),0),
IF('TL13'!$B$229=P$3,SUMIF('TL13'!$C$238:$C$451,$C61,'TL13'!$J$238:$J$451),0),
IF('TL14'!$B$3=P$3,SUMIF('TL14'!$C$10:$C$224,$C61,'TL14'!$J$10:$J$224),0),
IF('TL14'!$B$229=P$3,SUMIF('TL14'!$C$238:$C$451,$C61,'TL14'!$J$238:$J$451),0),
IF('TL15'!$B$3=P$3,SUMIF('TL15'!$C$10:$C$224,$C61,'TL15'!$J$10:$J$224),0),
IF('TL15'!$B$229=P$3,SUMIF('TL15'!$C$238:$C$451,$C61,'TL15'!$J$238:$J$451),0),
IF('TL16'!$B$3=P$3,SUMIF('TL16'!$C$10:$C$224,$C61,'TL16'!$J$10:$J$224),0),
IF('TL16'!$B$229=P$3,SUMIF('TL16'!$C$238:$C$451,$C61,'TL16'!$J$238:$J$451),0),
IF('TL17'!$B$3=P$3,SUMIF('TL17'!$C$10:$C$224,$C61,'TL17'!$J$10:$J$224),0),
IF('TL17'!$B$229=P$3,SUMIF('TL17'!$C$238:$C$451,$C61,'TL17'!$J$238:$J$451),0),
IF('TL18'!$B$3=P$3,SUMIF('TL18'!$C$10:$C$224,$C61,'TL18'!$J$10:$J$224),0),
IF('TL18'!$B$229=P$3,SUMIF('TL18'!$C$238:$C$451,$C61,'TL18'!$J$238:$J$451),0),
IF('TL19'!$B$3=P$3,SUMIF('TL19'!$C$10:$C$224,$C61,'TL19'!$J$10:$J$224),0),
IF('TL19'!$B$229=P$3,SUMIF('TL19'!$C$238:$C$451,$C61,'TL19'!$J$238:$J$451),0)
),0)</f>
        <v>0</v>
      </c>
      <c r="Q61" s="9">
        <f>IFERROR(SUM(
IF('TL01'!$B$3=Q$3,SUMIF('TL01'!$C$10:$C$224,$C61,'TL01'!$J$10:$J$224),0),
IF('TL01'!$B$229=Q$3,SUMIF('TL01'!$C$238:$C$451,$C61,'TL01'!$J$238:$J$451),0),
IF('TL02'!$B$3=Q$3,SUMIF('TL02'!$C$10:$C$224,$C61,'TL02'!$J$10:$J$224),0),
IF('TL02'!$B$229=Q$3,SUMIF('TL02'!$C$238:$C$451,$C61,'TL02'!$J$238:$J$451),0),
IF('TL03'!$B$3=Q$3,SUMIF('TL03'!$C$10:$C$224,$C61,'TL03'!$J$10:$J$224),0),
IF('TL03'!$B$229=Q$3,SUMIF('TL03'!$C$238:$C$451,$C61,'TL03'!$J$238:$J$451),0),
IF('TL04'!$B$3=Q$3,SUMIF('TL04'!$C$10:$C$224,$C61,'TL04'!$J$10:$J$224),0),
IF('TL04'!$B$229=Q$3,SUMIF('TL04'!$C$238:$C$451,$C61,'TL04'!$J$238:$J$451),0),
IF('TL05'!$B$3=Q$3,SUMIF('TL05'!$C$10:$C$224,$C61,'TL05'!$J$10:$J$224),0),
IF('TL05'!$B$229=Q$3,SUMIF('TL05'!$C$238:$C$451,$C61,'TL05'!$J$238:$J$451),0),
IF('TL06'!$B$3=Q$3,SUMIF('TL06'!$C$10:$C$224,$C61,'TL06'!$J$10:$J$224),0),
IF('TL06'!$B$229=Q$3,SUMIF('TL06'!$C$238:$C$451,$C61,'TL06'!$J$238:$J$451),0),
IF('TL07'!$B$3=Q$3,SUMIF('TL07'!$C$10:$C$224,$C61,'TL07'!$J$10:$J$224),0),
IF('TL07'!$B$229=Q$3,SUMIF('TL07'!$C$238:$C$451,$C61,'TL07'!$J$238:$J$451),0),
IF('TL08'!$B$3=Q$3,SUMIF('TL08'!$C$10:$C$224,$C61,'TL08'!$J$10:$J$224),0),
IF('TL08'!$B$229=Q$3,SUMIF('TL08'!$C$238:$C$451,$C61,'TL08'!$J$238:$J$451),0),
IF('TL09'!$B$3=Q$3,SUMIF('TL09'!$C$10:$C$224,$C61,'TL09'!$J$10:$J$224),0),
IF('TL09'!$B$229=Q$3,SUMIF('TL09'!$C$238:$C$451,$C61,'TL09'!$J$238:$J$451),0),
IF('TL10'!$B$3=Q$3,SUMIF('TL10'!$C$10:$C$224,$C61,'TL10'!$J$10:$J$224),0),
IF('TL10'!$B$229=Q$3,SUMIF('TL10'!$C$238:$C$451,$C61,'TL10'!$J$238:$J$451),0),
IF('TL11'!$B$3=Q$3,SUMIF('TL11'!$C$10:$C$224,$C61,'TL11'!$J$10:$J$224),0),
IF('TL11'!$B$229=Q$3,SUMIF('TL11'!$C$238:$C$451,$C61,'TL11'!$J$238:$J$451),0),
IF('TL12'!$B$3=Q$3,SUMIF('TL12'!$C$10:$C$224,$C61,'TL12'!$J$10:$J$224),0),
IF('TL12'!$B$229=Q$3,SUMIF('TL12'!$C$238:$C$451,$C61,'TL12'!$J$238:$J$451),0),
IF('TL13'!$B$3=Q$3,SUMIF('TL13'!$C$10:$C$224,$C61,'TL13'!$J$10:$J$224),0),
IF('TL13'!$B$229=Q$3,SUMIF('TL13'!$C$238:$C$451,$C61,'TL13'!$J$238:$J$451),0),
IF('TL14'!$B$3=Q$3,SUMIF('TL14'!$C$10:$C$224,$C61,'TL14'!$J$10:$J$224),0),
IF('TL14'!$B$229=Q$3,SUMIF('TL14'!$C$238:$C$451,$C61,'TL14'!$J$238:$J$451),0),
IF('TL15'!$B$3=Q$3,SUMIF('TL15'!$C$10:$C$224,$C61,'TL15'!$J$10:$J$224),0),
IF('TL15'!$B$229=Q$3,SUMIF('TL15'!$C$238:$C$451,$C61,'TL15'!$J$238:$J$451),0),
IF('TL16'!$B$3=Q$3,SUMIF('TL16'!$C$10:$C$224,$C61,'TL16'!$J$10:$J$224),0),
IF('TL16'!$B$229=Q$3,SUMIF('TL16'!$C$238:$C$451,$C61,'TL16'!$J$238:$J$451),0),
IF('TL17'!$B$3=Q$3,SUMIF('TL17'!$C$10:$C$224,$C61,'TL17'!$J$10:$J$224),0),
IF('TL17'!$B$229=Q$3,SUMIF('TL17'!$C$238:$C$451,$C61,'TL17'!$J$238:$J$451),0),
IF('TL18'!$B$3=Q$3,SUMIF('TL18'!$C$10:$C$224,$C61,'TL18'!$J$10:$J$224),0),
IF('TL18'!$B$229=Q$3,SUMIF('TL18'!$C$238:$C$451,$C61,'TL18'!$J$238:$J$451),0),
IF('TL19'!$B$3=Q$3,SUMIF('TL19'!$C$10:$C$224,$C61,'TL19'!$J$10:$J$224),0),
IF('TL19'!$B$229=Q$3,SUMIF('TL19'!$C$238:$C$451,$C61,'TL19'!$J$238:$J$451),0)
),0)</f>
        <v>0</v>
      </c>
      <c r="R61" s="9">
        <f>IFERROR(
SUM(
SUMIF('TL01'!C:C,C61,'TL01'!J:J),
SUMIF('TL02'!C:C,C61,'TL02'!J:J),
SUMIF('TL03'!C:C,C61,'TL03'!J:J),
SUMIF('TL04'!C:C,C61,'TL04'!J:J),
SUMIF('TL05'!C:C,C61,'TL05'!J:J),
SUMIF('TL06'!C:C,C61,'TL06'!J:J),
SUMIF('TL07'!C:C,C61,'TL07'!J:J),
SUMIF('TL08'!C:C,C61,'TL08'!J:J),
SUMIF('TL09'!C:C,C61,'TL09'!J:J),
SUMIF('TL10'!C:C,C61,'TL10'!J:J),
SUMIF('TL11'!C:C,C61,'TL11'!J:J),
SUMIF('TL12'!C:C,C61,'TL12'!J:J),
SUMIF('TL13'!C:C,C61,'TL13'!J:J),
SUMIF('TL14'!C:C,C61,'TL14'!J:J),
SUMIF('TL15'!C:C,C61,'TL15'!J:J),
SUMIF('TL16'!C:C,C61,'TL16'!J:J),
SUMIF('TL17'!C:C,C61,'TL17'!J:J),
SUMIF('TL18'!C:C,C61,'TL18'!J:J),SUMIF('TL19'!C:C,C61,'TL19'!J:J))
,0)</f>
        <v>0</v>
      </c>
      <c r="S61" s="17">
        <f>IFERROR(__xludf.DUMMYFUNCTION("IFERROR(VLOOKUP(C61,
IMPORTRANGE(""1wULbzX32WdYsx-lj2U3uUNBBe2INVIRDtcK0d-Dvl90"",
""26-27!C:G""),
5,
FALSE),
"""")"),67.68)</f>
        <v>67.68</v>
      </c>
      <c r="T61" s="9"/>
      <c r="U61" s="92">
        <f t="shared" si="2"/>
        <v>0</v>
      </c>
      <c r="V61" s="93">
        <f t="shared" si="3"/>
        <v>0</v>
      </c>
    </row>
    <row r="62" ht="15.75" hidden="1" customHeight="1">
      <c r="A62" s="115" t="s">
        <v>353</v>
      </c>
      <c r="B62" s="100" t="s">
        <v>0</v>
      </c>
      <c r="C62" s="116" t="s">
        <v>496</v>
      </c>
      <c r="D62" s="116" t="s">
        <v>497</v>
      </c>
      <c r="E62" s="116" t="s">
        <v>498</v>
      </c>
      <c r="F62" s="4" t="s">
        <v>343</v>
      </c>
      <c r="G62" s="90" t="str">
        <f t="shared" si="4"/>
        <v>📄 Ver bula</v>
      </c>
      <c r="H62" s="9" t="str">
        <f>IFERROR(__xludf.DUMMYFUNCTION("IFERROR(VLOOKUP(C62,
IMPORTRANGE(""1wULbzX32WdYsx-lj2U3uUNBBe2INVIRDtcK0d-Dvl90"",
""26-27!C:K""),
8,
FALSE),
"""")"),"")</f>
        <v/>
      </c>
      <c r="I62" s="117" t="s">
        <v>361</v>
      </c>
      <c r="J62" s="9">
        <f>IFERROR(SUM(
IF('TL01'!$B$3=J$3,SUMIF('TL01'!$C$10:$C$224,$C62,'TL01'!$J$10:$J$224),0),
IF('TL01'!$B$229=J$3,SUMIF('TL01'!$C$238:$C$451,$C62,'TL01'!$J$238:$J$451),0),
IF('TL02'!$B$3=J$3,SUMIF('TL02'!$C$10:$C$224,$C62,'TL02'!$J$10:$J$224),0),
IF('TL02'!$B$229=J$3,SUMIF('TL02'!$C$238:$C$451,$C62,'TL02'!$J$238:$J$451),0),
IF('TL03'!$B$3=J$3,SUMIF('TL03'!$C$10:$C$224,$C62,'TL03'!$J$10:$J$224),0),
IF('TL03'!$B$229=J$3,SUMIF('TL03'!$C$238:$C$451,$C62,'TL03'!$J$238:$J$451),0),
IF('TL04'!$B$3=J$3,SUMIF('TL04'!$C$10:$C$224,$C62,'TL04'!$J$10:$J$224),0),
IF('TL04'!$B$229=J$3,SUMIF('TL04'!$C$238:$C$451,$C62,'TL04'!$J$238:$J$451),0),
IF('TL05'!$B$3=J$3,SUMIF('TL05'!$C$10:$C$224,$C62,'TL05'!$J$10:$J$224),0),
IF('TL05'!$B$229=J$3,SUMIF('TL05'!$C$238:$C$451,$C62,'TL05'!$J$238:$J$451),0),
IF('TL06'!$B$3=J$3,SUMIF('TL06'!$C$10:$C$224,$C62,'TL06'!$J$10:$J$224),0),
IF('TL06'!$B$229=J$3,SUMIF('TL06'!$C$238:$C$451,$C62,'TL06'!$J$238:$J$451),0),
IF('TL07'!$B$3=J$3,SUMIF('TL07'!$C$10:$C$224,$C62,'TL07'!$J$10:$J$224),0),
IF('TL07'!$B$229=J$3,SUMIF('TL07'!$C$238:$C$451,$C62,'TL07'!$J$238:$J$451),0),
IF('TL08'!$B$3=J$3,SUMIF('TL08'!$C$10:$C$224,$C62,'TL08'!$J$10:$J$224),0),
IF('TL08'!$B$229=J$3,SUMIF('TL08'!$C$238:$C$451,$C62,'TL08'!$J$238:$J$451),0),
IF('TL09'!$B$3=J$3,SUMIF('TL09'!$C$10:$C$224,$C62,'TL09'!$J$10:$J$224),0),
IF('TL09'!$B$229=J$3,SUMIF('TL09'!$C$238:$C$451,$C62,'TL09'!$J$238:$J$451),0),
IF('TL10'!$B$3=J$3,SUMIF('TL10'!$C$10:$C$224,$C62,'TL10'!$J$10:$J$224),0),
IF('TL10'!$B$229=J$3,SUMIF('TL10'!$C$238:$C$451,$C62,'TL10'!$J$238:$J$451),0),
IF('TL11'!$B$3=J$3,SUMIF('TL11'!$C$10:$C$224,$C62,'TL11'!$J$10:$J$224),0),
IF('TL11'!$B$229=J$3,SUMIF('TL11'!$C$238:$C$451,$C62,'TL11'!$J$238:$J$451),0),
IF('TL12'!$B$3=J$3,SUMIF('TL12'!$C$10:$C$224,$C62,'TL12'!$J$10:$J$224),0),
IF('TL12'!$B$229=J$3,SUMIF('TL12'!$C$238:$C$451,$C62,'TL12'!$J$238:$J$451),0),
IF('TL13'!$B$3=J$3,SUMIF('TL13'!$C$10:$C$224,$C62,'TL13'!$J$10:$J$224),0),
IF('TL13'!$B$229=J$3,SUMIF('TL13'!$C$238:$C$451,$C62,'TL13'!$J$238:$J$451),0),
IF('TL14'!$B$3=J$3,SUMIF('TL14'!$C$10:$C$224,$C62,'TL14'!$J$10:$J$224),0),
IF('TL14'!$B$229=J$3,SUMIF('TL14'!$C$238:$C$451,$C62,'TL14'!$J$238:$J$451),0),
IF('TL15'!$B$3=J$3,SUMIF('TL15'!$C$10:$C$224,$C62,'TL15'!$J$10:$J$224),0),
IF('TL15'!$B$229=J$3,SUMIF('TL15'!$C$238:$C$451,$C62,'TL15'!$J$238:$J$451),0),
IF('TL16'!$B$3=J$3,SUMIF('TL16'!$C$10:$C$224,$C62,'TL16'!$J$10:$J$224),0),
IF('TL16'!$B$229=J$3,SUMIF('TL16'!$C$238:$C$451,$C62,'TL16'!$J$238:$J$451),0),
IF('TL17'!$B$3=J$3,SUMIF('TL17'!$C$10:$C$224,$C62,'TL17'!$J$10:$J$224),0),
IF('TL17'!$B$229=J$3,SUMIF('TL17'!$C$238:$C$451,$C62,'TL17'!$J$238:$J$451),0),
IF('TL18'!$B$3=J$3,SUMIF('TL18'!$C$10:$C$224,$C62,'TL18'!$J$10:$J$224),0),
IF('TL18'!$B$229=J$3,SUMIF('TL18'!$C$238:$C$451,$C62,'TL18'!$J$238:$J$451),0),
IF('TL19'!$B$3=J$3,SUMIF('TL19'!$C$10:$C$224,$C62,'TL19'!$J$10:$J$224),0),
IF('TL19'!$B$229=J$3,SUMIF('TL19'!$C$238:$C$451,$C62,'TL19'!$J$238:$J$451),0)
),0)</f>
        <v>0</v>
      </c>
      <c r="K62" s="9">
        <f>IFERROR(SUM(
IF('TL01'!$B$3=K$3,SUMIF('TL01'!$C$10:$C$224,$C62,'TL01'!$J$10:$J$224),0),
IF('TL01'!$B$229=K$3,SUMIF('TL01'!$C$238:$C$451,$C62,'TL01'!$J$238:$J$451),0),
IF('TL02'!$B$3=K$3,SUMIF('TL02'!$C$10:$C$224,$C62,'TL02'!$J$10:$J$224),0),
IF('TL02'!$B$229=K$3,SUMIF('TL02'!$C$238:$C$451,$C62,'TL02'!$J$238:$J$451),0),
IF('TL03'!$B$3=K$3,SUMIF('TL03'!$C$10:$C$224,$C62,'TL03'!$J$10:$J$224),0),
IF('TL03'!$B$229=K$3,SUMIF('TL03'!$C$238:$C$451,$C62,'TL03'!$J$238:$J$451),0),
IF('TL04'!$B$3=K$3,SUMIF('TL04'!$C$10:$C$224,$C62,'TL04'!$J$10:$J$224),0),
IF('TL04'!$B$229=K$3,SUMIF('TL04'!$C$238:$C$451,$C62,'TL04'!$J$238:$J$451),0),
IF('TL05'!$B$3=K$3,SUMIF('TL05'!$C$10:$C$224,$C62,'TL05'!$J$10:$J$224),0),
IF('TL05'!$B$229=K$3,SUMIF('TL05'!$C$238:$C$451,$C62,'TL05'!$J$238:$J$451),0),
IF('TL06'!$B$3=K$3,SUMIF('TL06'!$C$10:$C$224,$C62,'TL06'!$J$10:$J$224),0),
IF('TL06'!$B$229=K$3,SUMIF('TL06'!$C$238:$C$451,$C62,'TL06'!$J$238:$J$451),0),
IF('TL07'!$B$3=K$3,SUMIF('TL07'!$C$10:$C$224,$C62,'TL07'!$J$10:$J$224),0),
IF('TL07'!$B$229=K$3,SUMIF('TL07'!$C$238:$C$451,$C62,'TL07'!$J$238:$J$451),0),
IF('TL08'!$B$3=K$3,SUMIF('TL08'!$C$10:$C$224,$C62,'TL08'!$J$10:$J$224),0),
IF('TL08'!$B$229=K$3,SUMIF('TL08'!$C$238:$C$451,$C62,'TL08'!$J$238:$J$451),0),
IF('TL09'!$B$3=K$3,SUMIF('TL09'!$C$10:$C$224,$C62,'TL09'!$J$10:$J$224),0),
IF('TL09'!$B$229=K$3,SUMIF('TL09'!$C$238:$C$451,$C62,'TL09'!$J$238:$J$451),0),
IF('TL10'!$B$3=K$3,SUMIF('TL10'!$C$10:$C$224,$C62,'TL10'!$J$10:$J$224),0),
IF('TL10'!$B$229=K$3,SUMIF('TL10'!$C$238:$C$451,$C62,'TL10'!$J$238:$J$451),0),
IF('TL11'!$B$3=K$3,SUMIF('TL11'!$C$10:$C$224,$C62,'TL11'!$J$10:$J$224),0),
IF('TL11'!$B$229=K$3,SUMIF('TL11'!$C$238:$C$451,$C62,'TL11'!$J$238:$J$451),0),
IF('TL12'!$B$3=K$3,SUMIF('TL12'!$C$10:$C$224,$C62,'TL12'!$J$10:$J$224),0),
IF('TL12'!$B$229=K$3,SUMIF('TL12'!$C$238:$C$451,$C62,'TL12'!$J$238:$J$451),0),
IF('TL13'!$B$3=K$3,SUMIF('TL13'!$C$10:$C$224,$C62,'TL13'!$J$10:$J$224),0),
IF('TL13'!$B$229=K$3,SUMIF('TL13'!$C$238:$C$451,$C62,'TL13'!$J$238:$J$451),0),
IF('TL14'!$B$3=K$3,SUMIF('TL14'!$C$10:$C$224,$C62,'TL14'!$J$10:$J$224),0),
IF('TL14'!$B$229=K$3,SUMIF('TL14'!$C$238:$C$451,$C62,'TL14'!$J$238:$J$451),0),
IF('TL15'!$B$3=K$3,SUMIF('TL15'!$C$10:$C$224,$C62,'TL15'!$J$10:$J$224),0),
IF('TL15'!$B$229=K$3,SUMIF('TL15'!$C$238:$C$451,$C62,'TL15'!$J$238:$J$451),0),
IF('TL16'!$B$3=K$3,SUMIF('TL16'!$C$10:$C$224,$C62,'TL16'!$J$10:$J$224),0),
IF('TL16'!$B$229=K$3,SUMIF('TL16'!$C$238:$C$451,$C62,'TL16'!$J$238:$J$451),0),
IF('TL17'!$B$3=K$3,SUMIF('TL17'!$C$10:$C$224,$C62,'TL17'!$J$10:$J$224),0),
IF('TL17'!$B$229=K$3,SUMIF('TL17'!$C$238:$C$451,$C62,'TL17'!$J$238:$J$451),0),
IF('TL18'!$B$3=K$3,SUMIF('TL18'!$C$10:$C$224,$C62,'TL18'!$J$10:$J$224),0),
IF('TL18'!$B$229=K$3,SUMIF('TL18'!$C$238:$C$451,$C62,'TL18'!$J$238:$J$451),0),
IF('TL19'!$B$3=K$3,SUMIF('TL19'!$C$10:$C$224,$C62,'TL19'!$J$10:$J$224),0),
IF('TL19'!$B$229=K$3,SUMIF('TL19'!$C$238:$C$451,$C62,'TL19'!$J$238:$J$451),0)
),0)</f>
        <v>0</v>
      </c>
      <c r="L62" s="9">
        <f>IFERROR(SUM(
IF('TL01'!$B$3=L$3,SUMIF('TL01'!$C$10:$C$224,$C62,'TL01'!$J$10:$J$224),0),
IF('TL01'!$B$229=L$3,SUMIF('TL01'!$C$238:$C$451,$C62,'TL01'!$J$238:$J$451),0),
IF('TL02'!$B$3=L$3,SUMIF('TL02'!$C$10:$C$224,$C62,'TL02'!$J$10:$J$224),0),
IF('TL02'!$B$229=L$3,SUMIF('TL02'!$C$238:$C$451,$C62,'TL02'!$J$238:$J$451),0),
IF('TL03'!$B$3=L$3,SUMIF('TL03'!$C$10:$C$224,$C62,'TL03'!$J$10:$J$224),0),
IF('TL03'!$B$229=L$3,SUMIF('TL03'!$C$238:$C$451,$C62,'TL03'!$J$238:$J$451),0),
IF('TL04'!$B$3=L$3,SUMIF('TL04'!$C$10:$C$224,$C62,'TL04'!$J$10:$J$224),0),
IF('TL04'!$B$229=L$3,SUMIF('TL04'!$C$238:$C$451,$C62,'TL04'!$J$238:$J$451),0),
IF('TL05'!$B$3=L$3,SUMIF('TL05'!$C$10:$C$224,$C62,'TL05'!$J$10:$J$224),0),
IF('TL05'!$B$229=L$3,SUMIF('TL05'!$C$238:$C$451,$C62,'TL05'!$J$238:$J$451),0),
IF('TL06'!$B$3=L$3,SUMIF('TL06'!$C$10:$C$224,$C62,'TL06'!$J$10:$J$224),0),
IF('TL06'!$B$229=L$3,SUMIF('TL06'!$C$238:$C$451,$C62,'TL06'!$J$238:$J$451),0),
IF('TL07'!$B$3=L$3,SUMIF('TL07'!$C$10:$C$224,$C62,'TL07'!$J$10:$J$224),0),
IF('TL07'!$B$229=L$3,SUMIF('TL07'!$C$238:$C$451,$C62,'TL07'!$J$238:$J$451),0),
IF('TL08'!$B$3=L$3,SUMIF('TL08'!$C$10:$C$224,$C62,'TL08'!$J$10:$J$224),0),
IF('TL08'!$B$229=L$3,SUMIF('TL08'!$C$238:$C$451,$C62,'TL08'!$J$238:$J$451),0),
IF('TL09'!$B$3=L$3,SUMIF('TL09'!$C$10:$C$224,$C62,'TL09'!$J$10:$J$224),0),
IF('TL09'!$B$229=L$3,SUMIF('TL09'!$C$238:$C$451,$C62,'TL09'!$J$238:$J$451),0),
IF('TL10'!$B$3=L$3,SUMIF('TL10'!$C$10:$C$224,$C62,'TL10'!$J$10:$J$224),0),
IF('TL10'!$B$229=L$3,SUMIF('TL10'!$C$238:$C$451,$C62,'TL10'!$J$238:$J$451),0),
IF('TL11'!$B$3=L$3,SUMIF('TL11'!$C$10:$C$224,$C62,'TL11'!$J$10:$J$224),0),
IF('TL11'!$B$229=L$3,SUMIF('TL11'!$C$238:$C$451,$C62,'TL11'!$J$238:$J$451),0),
IF('TL12'!$B$3=L$3,SUMIF('TL12'!$C$10:$C$224,$C62,'TL12'!$J$10:$J$224),0),
IF('TL12'!$B$229=L$3,SUMIF('TL12'!$C$238:$C$451,$C62,'TL12'!$J$238:$J$451),0),
IF('TL13'!$B$3=L$3,SUMIF('TL13'!$C$10:$C$224,$C62,'TL13'!$J$10:$J$224),0),
IF('TL13'!$B$229=L$3,SUMIF('TL13'!$C$238:$C$451,$C62,'TL13'!$J$238:$J$451),0),
IF('TL14'!$B$3=L$3,SUMIF('TL14'!$C$10:$C$224,$C62,'TL14'!$J$10:$J$224),0),
IF('TL14'!$B$229=L$3,SUMIF('TL14'!$C$238:$C$451,$C62,'TL14'!$J$238:$J$451),0),
IF('TL15'!$B$3=L$3,SUMIF('TL15'!$C$10:$C$224,$C62,'TL15'!$J$10:$J$224),0),
IF('TL15'!$B$229=L$3,SUMIF('TL15'!$C$238:$C$451,$C62,'TL15'!$J$238:$J$451),0),
IF('TL16'!$B$3=L$3,SUMIF('TL16'!$C$10:$C$224,$C62,'TL16'!$J$10:$J$224),0),
IF('TL16'!$B$229=L$3,SUMIF('TL16'!$C$238:$C$451,$C62,'TL16'!$J$238:$J$451),0),
IF('TL17'!$B$3=L$3,SUMIF('TL17'!$C$10:$C$224,$C62,'TL17'!$J$10:$J$224),0),
IF('TL17'!$B$229=L$3,SUMIF('TL17'!$C$238:$C$451,$C62,'TL17'!$J$238:$J$451),0),
IF('TL18'!$B$3=L$3,SUMIF('TL18'!$C$10:$C$224,$C62,'TL18'!$J$10:$J$224),0),
IF('TL18'!$B$229=L$3,SUMIF('TL18'!$C$238:$C$451,$C62,'TL18'!$J$238:$J$451),0),
IF('TL19'!$B$3=L$3,SUMIF('TL19'!$C$10:$C$224,$C62,'TL19'!$J$10:$J$224),0),
IF('TL19'!$B$229=L$3,SUMIF('TL19'!$C$238:$C$451,$C62,'TL19'!$J$238:$J$451),0)
),0)</f>
        <v>0</v>
      </c>
      <c r="M62" s="9">
        <f>IFERROR(SUM(
IF('TL01'!$B$3=M$3,SUMIF('TL01'!$C$10:$C$224,$C62,'TL01'!$J$10:$J$224),0),
IF('TL01'!$B$229=M$3,SUMIF('TL01'!$C$238:$C$451,$C62,'TL01'!$J$238:$J$451),0),
IF('TL02'!$B$3=M$3,SUMIF('TL02'!$C$10:$C$224,$C62,'TL02'!$J$10:$J$224),0),
IF('TL02'!$B$229=M$3,SUMIF('TL02'!$C$238:$C$451,$C62,'TL02'!$J$238:$J$451),0),
IF('TL03'!$B$3=M$3,SUMIF('TL03'!$C$10:$C$224,$C62,'TL03'!$J$10:$J$224),0),
IF('TL03'!$B$229=M$3,SUMIF('TL03'!$C$238:$C$451,$C62,'TL03'!$J$238:$J$451),0),
IF('TL04'!$B$3=M$3,SUMIF('TL04'!$C$10:$C$224,$C62,'TL04'!$J$10:$J$224),0),
IF('TL04'!$B$229=M$3,SUMIF('TL04'!$C$238:$C$451,$C62,'TL04'!$J$238:$J$451),0),
IF('TL05'!$B$3=M$3,SUMIF('TL05'!$C$10:$C$224,$C62,'TL05'!$J$10:$J$224),0),
IF('TL05'!$B$229=M$3,SUMIF('TL05'!$C$238:$C$451,$C62,'TL05'!$J$238:$J$451),0),
IF('TL06'!$B$3=M$3,SUMIF('TL06'!$C$10:$C$224,$C62,'TL06'!$J$10:$J$224),0),
IF('TL06'!$B$229=M$3,SUMIF('TL06'!$C$238:$C$451,$C62,'TL06'!$J$238:$J$451),0),
IF('TL07'!$B$3=M$3,SUMIF('TL07'!$C$10:$C$224,$C62,'TL07'!$J$10:$J$224),0),
IF('TL07'!$B$229=M$3,SUMIF('TL07'!$C$238:$C$451,$C62,'TL07'!$J$238:$J$451),0),
IF('TL08'!$B$3=M$3,SUMIF('TL08'!$C$10:$C$224,$C62,'TL08'!$J$10:$J$224),0),
IF('TL08'!$B$229=M$3,SUMIF('TL08'!$C$238:$C$451,$C62,'TL08'!$J$238:$J$451),0),
IF('TL09'!$B$3=M$3,SUMIF('TL09'!$C$10:$C$224,$C62,'TL09'!$J$10:$J$224),0),
IF('TL09'!$B$229=M$3,SUMIF('TL09'!$C$238:$C$451,$C62,'TL09'!$J$238:$J$451),0),
IF('TL10'!$B$3=M$3,SUMIF('TL10'!$C$10:$C$224,$C62,'TL10'!$J$10:$J$224),0),
IF('TL10'!$B$229=M$3,SUMIF('TL10'!$C$238:$C$451,$C62,'TL10'!$J$238:$J$451),0),
IF('TL11'!$B$3=M$3,SUMIF('TL11'!$C$10:$C$224,$C62,'TL11'!$J$10:$J$224),0),
IF('TL11'!$B$229=M$3,SUMIF('TL11'!$C$238:$C$451,$C62,'TL11'!$J$238:$J$451),0),
IF('TL12'!$B$3=M$3,SUMIF('TL12'!$C$10:$C$224,$C62,'TL12'!$J$10:$J$224),0),
IF('TL12'!$B$229=M$3,SUMIF('TL12'!$C$238:$C$451,$C62,'TL12'!$J$238:$J$451),0),
IF('TL13'!$B$3=M$3,SUMIF('TL13'!$C$10:$C$224,$C62,'TL13'!$J$10:$J$224),0),
IF('TL13'!$B$229=M$3,SUMIF('TL13'!$C$238:$C$451,$C62,'TL13'!$J$238:$J$451),0),
IF('TL14'!$B$3=M$3,SUMIF('TL14'!$C$10:$C$224,$C62,'TL14'!$J$10:$J$224),0),
IF('TL14'!$B$229=M$3,SUMIF('TL14'!$C$238:$C$451,$C62,'TL14'!$J$238:$J$451),0),
IF('TL15'!$B$3=M$3,SUMIF('TL15'!$C$10:$C$224,$C62,'TL15'!$J$10:$J$224),0),
IF('TL15'!$B$229=M$3,SUMIF('TL15'!$C$238:$C$451,$C62,'TL15'!$J$238:$J$451),0),
IF('TL16'!$B$3=M$3,SUMIF('TL16'!$C$10:$C$224,$C62,'TL16'!$J$10:$J$224),0),
IF('TL16'!$B$229=M$3,SUMIF('TL16'!$C$238:$C$451,$C62,'TL16'!$J$238:$J$451),0),
IF('TL17'!$B$3=M$3,SUMIF('TL17'!$C$10:$C$224,$C62,'TL17'!$J$10:$J$224),0),
IF('TL17'!$B$229=M$3,SUMIF('TL17'!$C$238:$C$451,$C62,'TL17'!$J$238:$J$451),0),
IF('TL18'!$B$3=M$3,SUMIF('TL18'!$C$10:$C$224,$C62,'TL18'!$J$10:$J$224),0),
IF('TL18'!$B$229=M$3,SUMIF('TL18'!$C$238:$C$451,$C62,'TL18'!$J$238:$J$451),0),
IF('TL19'!$B$3=M$3,SUMIF('TL19'!$C$10:$C$224,$C62,'TL19'!$J$10:$J$224),0),
IF('TL19'!$B$229=M$3,SUMIF('TL19'!$C$238:$C$451,$C62,'TL19'!$J$238:$J$451),0)
),0)</f>
        <v>0</v>
      </c>
      <c r="N62" s="9">
        <f>IFERROR(SUM(
IF('TL01'!$B$3=N$3,SUMIF('TL01'!$C$10:$C$224,$C62,'TL01'!$J$10:$J$224),0),
IF('TL01'!$B$229=N$3,SUMIF('TL01'!$C$238:$C$451,$C62,'TL01'!$J$238:$J$451),0),
IF('TL02'!$B$3=N$3,SUMIF('TL02'!$C$10:$C$224,$C62,'TL02'!$J$10:$J$224),0),
IF('TL02'!$B$229=N$3,SUMIF('TL02'!$C$238:$C$451,$C62,'TL02'!$J$238:$J$451),0),
IF('TL03'!$B$3=N$3,SUMIF('TL03'!$C$10:$C$224,$C62,'TL03'!$J$10:$J$224),0),
IF('TL03'!$B$229=N$3,SUMIF('TL03'!$C$238:$C$451,$C62,'TL03'!$J$238:$J$451),0),
IF('TL04'!$B$3=N$3,SUMIF('TL04'!$C$10:$C$224,$C62,'TL04'!$J$10:$J$224),0),
IF('TL04'!$B$229=N$3,SUMIF('TL04'!$C$238:$C$451,$C62,'TL04'!$J$238:$J$451),0),
IF('TL05'!$B$3=N$3,SUMIF('TL05'!$C$10:$C$224,$C62,'TL05'!$J$10:$J$224),0),
IF('TL05'!$B$229=N$3,SUMIF('TL05'!$C$238:$C$451,$C62,'TL05'!$J$238:$J$451),0),
IF('TL06'!$B$3=N$3,SUMIF('TL06'!$C$10:$C$224,$C62,'TL06'!$J$10:$J$224),0),
IF('TL06'!$B$229=N$3,SUMIF('TL06'!$C$238:$C$451,$C62,'TL06'!$J$238:$J$451),0),
IF('TL07'!$B$3=N$3,SUMIF('TL07'!$C$10:$C$224,$C62,'TL07'!$J$10:$J$224),0),
IF('TL07'!$B$229=N$3,SUMIF('TL07'!$C$238:$C$451,$C62,'TL07'!$J$238:$J$451),0),
IF('TL08'!$B$3=N$3,SUMIF('TL08'!$C$10:$C$224,$C62,'TL08'!$J$10:$J$224),0),
IF('TL08'!$B$229=N$3,SUMIF('TL08'!$C$238:$C$451,$C62,'TL08'!$J$238:$J$451),0),
IF('TL09'!$B$3=N$3,SUMIF('TL09'!$C$10:$C$224,$C62,'TL09'!$J$10:$J$224),0),
IF('TL09'!$B$229=N$3,SUMIF('TL09'!$C$238:$C$451,$C62,'TL09'!$J$238:$J$451),0),
IF('TL10'!$B$3=N$3,SUMIF('TL10'!$C$10:$C$224,$C62,'TL10'!$J$10:$J$224),0),
IF('TL10'!$B$229=N$3,SUMIF('TL10'!$C$238:$C$451,$C62,'TL10'!$J$238:$J$451),0),
IF('TL11'!$B$3=N$3,SUMIF('TL11'!$C$10:$C$224,$C62,'TL11'!$J$10:$J$224),0),
IF('TL11'!$B$229=N$3,SUMIF('TL11'!$C$238:$C$451,$C62,'TL11'!$J$238:$J$451),0),
IF('TL12'!$B$3=N$3,SUMIF('TL12'!$C$10:$C$224,$C62,'TL12'!$J$10:$J$224),0),
IF('TL12'!$B$229=N$3,SUMIF('TL12'!$C$238:$C$451,$C62,'TL12'!$J$238:$J$451),0),
IF('TL13'!$B$3=N$3,SUMIF('TL13'!$C$10:$C$224,$C62,'TL13'!$J$10:$J$224),0),
IF('TL13'!$B$229=N$3,SUMIF('TL13'!$C$238:$C$451,$C62,'TL13'!$J$238:$J$451),0),
IF('TL14'!$B$3=N$3,SUMIF('TL14'!$C$10:$C$224,$C62,'TL14'!$J$10:$J$224),0),
IF('TL14'!$B$229=N$3,SUMIF('TL14'!$C$238:$C$451,$C62,'TL14'!$J$238:$J$451),0),
IF('TL15'!$B$3=N$3,SUMIF('TL15'!$C$10:$C$224,$C62,'TL15'!$J$10:$J$224),0),
IF('TL15'!$B$229=N$3,SUMIF('TL15'!$C$238:$C$451,$C62,'TL15'!$J$238:$J$451),0),
IF('TL16'!$B$3=N$3,SUMIF('TL16'!$C$10:$C$224,$C62,'TL16'!$J$10:$J$224),0),
IF('TL16'!$B$229=N$3,SUMIF('TL16'!$C$238:$C$451,$C62,'TL16'!$J$238:$J$451),0),
IF('TL17'!$B$3=N$3,SUMIF('TL17'!$C$10:$C$224,$C62,'TL17'!$J$10:$J$224),0),
IF('TL17'!$B$229=N$3,SUMIF('TL17'!$C$238:$C$451,$C62,'TL17'!$J$238:$J$451),0),
IF('TL18'!$B$3=N$3,SUMIF('TL18'!$C$10:$C$224,$C62,'TL18'!$J$10:$J$224),0),
IF('TL18'!$B$229=N$3,SUMIF('TL18'!$C$238:$C$451,$C62,'TL18'!$J$238:$J$451),0),
IF('TL19'!$B$3=N$3,SUMIF('TL19'!$C$10:$C$224,$C62,'TL19'!$J$10:$J$224),0),
IF('TL19'!$B$229=N$3,SUMIF('TL19'!$C$238:$C$451,$C62,'TL19'!$J$238:$J$451),0)
),0)</f>
        <v>0</v>
      </c>
      <c r="O62" s="9">
        <f>IFERROR(SUM(
IF('TL01'!$B$3=O$3,SUMIF('TL01'!$C$10:$C$224,$C62,'TL01'!$J$10:$J$224),0),
IF('TL01'!$B$229=O$3,SUMIF('TL01'!$C$238:$C$451,$C62,'TL01'!$J$238:$J$451),0),
IF('TL02'!$B$3=O$3,SUMIF('TL02'!$C$10:$C$224,$C62,'TL02'!$J$10:$J$224),0),
IF('TL02'!$B$229=O$3,SUMIF('TL02'!$C$238:$C$451,$C62,'TL02'!$J$238:$J$451),0),
IF('TL03'!$B$3=O$3,SUMIF('TL03'!$C$10:$C$224,$C62,'TL03'!$J$10:$J$224),0),
IF('TL03'!$B$229=O$3,SUMIF('TL03'!$C$238:$C$451,$C62,'TL03'!$J$238:$J$451),0),
IF('TL04'!$B$3=O$3,SUMIF('TL04'!$C$10:$C$224,$C62,'TL04'!$J$10:$J$224),0),
IF('TL04'!$B$229=O$3,SUMIF('TL04'!$C$238:$C$451,$C62,'TL04'!$J$238:$J$451),0),
IF('TL05'!$B$3=O$3,SUMIF('TL05'!$C$10:$C$224,$C62,'TL05'!$J$10:$J$224),0),
IF('TL05'!$B$229=O$3,SUMIF('TL05'!$C$238:$C$451,$C62,'TL05'!$J$238:$J$451),0),
IF('TL06'!$B$3=O$3,SUMIF('TL06'!$C$10:$C$224,$C62,'TL06'!$J$10:$J$224),0),
IF('TL06'!$B$229=O$3,SUMIF('TL06'!$C$238:$C$451,$C62,'TL06'!$J$238:$J$451),0),
IF('TL07'!$B$3=O$3,SUMIF('TL07'!$C$10:$C$224,$C62,'TL07'!$J$10:$J$224),0),
IF('TL07'!$B$229=O$3,SUMIF('TL07'!$C$238:$C$451,$C62,'TL07'!$J$238:$J$451),0),
IF('TL08'!$B$3=O$3,SUMIF('TL08'!$C$10:$C$224,$C62,'TL08'!$J$10:$J$224),0),
IF('TL08'!$B$229=O$3,SUMIF('TL08'!$C$238:$C$451,$C62,'TL08'!$J$238:$J$451),0),
IF('TL09'!$B$3=O$3,SUMIF('TL09'!$C$10:$C$224,$C62,'TL09'!$J$10:$J$224),0),
IF('TL09'!$B$229=O$3,SUMIF('TL09'!$C$238:$C$451,$C62,'TL09'!$J$238:$J$451),0),
IF('TL10'!$B$3=O$3,SUMIF('TL10'!$C$10:$C$224,$C62,'TL10'!$J$10:$J$224),0),
IF('TL10'!$B$229=O$3,SUMIF('TL10'!$C$238:$C$451,$C62,'TL10'!$J$238:$J$451),0),
IF('TL11'!$B$3=O$3,SUMIF('TL11'!$C$10:$C$224,$C62,'TL11'!$J$10:$J$224),0),
IF('TL11'!$B$229=O$3,SUMIF('TL11'!$C$238:$C$451,$C62,'TL11'!$J$238:$J$451),0),
IF('TL12'!$B$3=O$3,SUMIF('TL12'!$C$10:$C$224,$C62,'TL12'!$J$10:$J$224),0),
IF('TL12'!$B$229=O$3,SUMIF('TL12'!$C$238:$C$451,$C62,'TL12'!$J$238:$J$451),0),
IF('TL13'!$B$3=O$3,SUMIF('TL13'!$C$10:$C$224,$C62,'TL13'!$J$10:$J$224),0),
IF('TL13'!$B$229=O$3,SUMIF('TL13'!$C$238:$C$451,$C62,'TL13'!$J$238:$J$451),0),
IF('TL14'!$B$3=O$3,SUMIF('TL14'!$C$10:$C$224,$C62,'TL14'!$J$10:$J$224),0),
IF('TL14'!$B$229=O$3,SUMIF('TL14'!$C$238:$C$451,$C62,'TL14'!$J$238:$J$451),0),
IF('TL15'!$B$3=O$3,SUMIF('TL15'!$C$10:$C$224,$C62,'TL15'!$J$10:$J$224),0),
IF('TL15'!$B$229=O$3,SUMIF('TL15'!$C$238:$C$451,$C62,'TL15'!$J$238:$J$451),0),
IF('TL16'!$B$3=O$3,SUMIF('TL16'!$C$10:$C$224,$C62,'TL16'!$J$10:$J$224),0),
IF('TL16'!$B$229=O$3,SUMIF('TL16'!$C$238:$C$451,$C62,'TL16'!$J$238:$J$451),0),
IF('TL17'!$B$3=O$3,SUMIF('TL17'!$C$10:$C$224,$C62,'TL17'!$J$10:$J$224),0),
IF('TL17'!$B$229=O$3,SUMIF('TL17'!$C$238:$C$451,$C62,'TL17'!$J$238:$J$451),0),
IF('TL18'!$B$3=O$3,SUMIF('TL18'!$C$10:$C$224,$C62,'TL18'!$J$10:$J$224),0),
IF('TL18'!$B$229=O$3,SUMIF('TL18'!$C$238:$C$451,$C62,'TL18'!$J$238:$J$451),0),
IF('TL19'!$B$3=O$3,SUMIF('TL19'!$C$10:$C$224,$C62,'TL19'!$J$10:$J$224),0),
IF('TL19'!$B$229=O$3,SUMIF('TL19'!$C$238:$C$451,$C62,'TL19'!$J$238:$J$451),0)
),0)</f>
        <v>0</v>
      </c>
      <c r="P62" s="9">
        <f>IFERROR(SUM(
IF('TL01'!$B$3=P$3,SUMIF('TL01'!$C$10:$C$224,$C62,'TL01'!$J$10:$J$224),0),
IF('TL01'!$B$229=P$3,SUMIF('TL01'!$C$238:$C$451,$C62,'TL01'!$J$238:$J$451),0),
IF('TL02'!$B$3=P$3,SUMIF('TL02'!$C$10:$C$224,$C62,'TL02'!$J$10:$J$224),0),
IF('TL02'!$B$229=P$3,SUMIF('TL02'!$C$238:$C$451,$C62,'TL02'!$J$238:$J$451),0),
IF('TL03'!$B$3=P$3,SUMIF('TL03'!$C$10:$C$224,$C62,'TL03'!$J$10:$J$224),0),
IF('TL03'!$B$229=P$3,SUMIF('TL03'!$C$238:$C$451,$C62,'TL03'!$J$238:$J$451),0),
IF('TL04'!$B$3=P$3,SUMIF('TL04'!$C$10:$C$224,$C62,'TL04'!$J$10:$J$224),0),
IF('TL04'!$B$229=P$3,SUMIF('TL04'!$C$238:$C$451,$C62,'TL04'!$J$238:$J$451),0),
IF('TL05'!$B$3=P$3,SUMIF('TL05'!$C$10:$C$224,$C62,'TL05'!$J$10:$J$224),0),
IF('TL05'!$B$229=P$3,SUMIF('TL05'!$C$238:$C$451,$C62,'TL05'!$J$238:$J$451),0),
IF('TL06'!$B$3=P$3,SUMIF('TL06'!$C$10:$C$224,$C62,'TL06'!$J$10:$J$224),0),
IF('TL06'!$B$229=P$3,SUMIF('TL06'!$C$238:$C$451,$C62,'TL06'!$J$238:$J$451),0),
IF('TL07'!$B$3=P$3,SUMIF('TL07'!$C$10:$C$224,$C62,'TL07'!$J$10:$J$224),0),
IF('TL07'!$B$229=P$3,SUMIF('TL07'!$C$238:$C$451,$C62,'TL07'!$J$238:$J$451),0),
IF('TL08'!$B$3=P$3,SUMIF('TL08'!$C$10:$C$224,$C62,'TL08'!$J$10:$J$224),0),
IF('TL08'!$B$229=P$3,SUMIF('TL08'!$C$238:$C$451,$C62,'TL08'!$J$238:$J$451),0),
IF('TL09'!$B$3=P$3,SUMIF('TL09'!$C$10:$C$224,$C62,'TL09'!$J$10:$J$224),0),
IF('TL09'!$B$229=P$3,SUMIF('TL09'!$C$238:$C$451,$C62,'TL09'!$J$238:$J$451),0),
IF('TL10'!$B$3=P$3,SUMIF('TL10'!$C$10:$C$224,$C62,'TL10'!$J$10:$J$224),0),
IF('TL10'!$B$229=P$3,SUMIF('TL10'!$C$238:$C$451,$C62,'TL10'!$J$238:$J$451),0),
IF('TL11'!$B$3=P$3,SUMIF('TL11'!$C$10:$C$224,$C62,'TL11'!$J$10:$J$224),0),
IF('TL11'!$B$229=P$3,SUMIF('TL11'!$C$238:$C$451,$C62,'TL11'!$J$238:$J$451),0),
IF('TL12'!$B$3=P$3,SUMIF('TL12'!$C$10:$C$224,$C62,'TL12'!$J$10:$J$224),0),
IF('TL12'!$B$229=P$3,SUMIF('TL12'!$C$238:$C$451,$C62,'TL12'!$J$238:$J$451),0),
IF('TL13'!$B$3=P$3,SUMIF('TL13'!$C$10:$C$224,$C62,'TL13'!$J$10:$J$224),0),
IF('TL13'!$B$229=P$3,SUMIF('TL13'!$C$238:$C$451,$C62,'TL13'!$J$238:$J$451),0),
IF('TL14'!$B$3=P$3,SUMIF('TL14'!$C$10:$C$224,$C62,'TL14'!$J$10:$J$224),0),
IF('TL14'!$B$229=P$3,SUMIF('TL14'!$C$238:$C$451,$C62,'TL14'!$J$238:$J$451),0),
IF('TL15'!$B$3=P$3,SUMIF('TL15'!$C$10:$C$224,$C62,'TL15'!$J$10:$J$224),0),
IF('TL15'!$B$229=P$3,SUMIF('TL15'!$C$238:$C$451,$C62,'TL15'!$J$238:$J$451),0),
IF('TL16'!$B$3=P$3,SUMIF('TL16'!$C$10:$C$224,$C62,'TL16'!$J$10:$J$224),0),
IF('TL16'!$B$229=P$3,SUMIF('TL16'!$C$238:$C$451,$C62,'TL16'!$J$238:$J$451),0),
IF('TL17'!$B$3=P$3,SUMIF('TL17'!$C$10:$C$224,$C62,'TL17'!$J$10:$J$224),0),
IF('TL17'!$B$229=P$3,SUMIF('TL17'!$C$238:$C$451,$C62,'TL17'!$J$238:$J$451),0),
IF('TL18'!$B$3=P$3,SUMIF('TL18'!$C$10:$C$224,$C62,'TL18'!$J$10:$J$224),0),
IF('TL18'!$B$229=P$3,SUMIF('TL18'!$C$238:$C$451,$C62,'TL18'!$J$238:$J$451),0),
IF('TL19'!$B$3=P$3,SUMIF('TL19'!$C$10:$C$224,$C62,'TL19'!$J$10:$J$224),0),
IF('TL19'!$B$229=P$3,SUMIF('TL19'!$C$238:$C$451,$C62,'TL19'!$J$238:$J$451),0)
),0)</f>
        <v>0</v>
      </c>
      <c r="Q62" s="9">
        <f>IFERROR(SUM(
IF('TL01'!$B$3=Q$3,SUMIF('TL01'!$C$10:$C$224,$C62,'TL01'!$J$10:$J$224),0),
IF('TL01'!$B$229=Q$3,SUMIF('TL01'!$C$238:$C$451,$C62,'TL01'!$J$238:$J$451),0),
IF('TL02'!$B$3=Q$3,SUMIF('TL02'!$C$10:$C$224,$C62,'TL02'!$J$10:$J$224),0),
IF('TL02'!$B$229=Q$3,SUMIF('TL02'!$C$238:$C$451,$C62,'TL02'!$J$238:$J$451),0),
IF('TL03'!$B$3=Q$3,SUMIF('TL03'!$C$10:$C$224,$C62,'TL03'!$J$10:$J$224),0),
IF('TL03'!$B$229=Q$3,SUMIF('TL03'!$C$238:$C$451,$C62,'TL03'!$J$238:$J$451),0),
IF('TL04'!$B$3=Q$3,SUMIF('TL04'!$C$10:$C$224,$C62,'TL04'!$J$10:$J$224),0),
IF('TL04'!$B$229=Q$3,SUMIF('TL04'!$C$238:$C$451,$C62,'TL04'!$J$238:$J$451),0),
IF('TL05'!$B$3=Q$3,SUMIF('TL05'!$C$10:$C$224,$C62,'TL05'!$J$10:$J$224),0),
IF('TL05'!$B$229=Q$3,SUMIF('TL05'!$C$238:$C$451,$C62,'TL05'!$J$238:$J$451),0),
IF('TL06'!$B$3=Q$3,SUMIF('TL06'!$C$10:$C$224,$C62,'TL06'!$J$10:$J$224),0),
IF('TL06'!$B$229=Q$3,SUMIF('TL06'!$C$238:$C$451,$C62,'TL06'!$J$238:$J$451),0),
IF('TL07'!$B$3=Q$3,SUMIF('TL07'!$C$10:$C$224,$C62,'TL07'!$J$10:$J$224),0),
IF('TL07'!$B$229=Q$3,SUMIF('TL07'!$C$238:$C$451,$C62,'TL07'!$J$238:$J$451),0),
IF('TL08'!$B$3=Q$3,SUMIF('TL08'!$C$10:$C$224,$C62,'TL08'!$J$10:$J$224),0),
IF('TL08'!$B$229=Q$3,SUMIF('TL08'!$C$238:$C$451,$C62,'TL08'!$J$238:$J$451),0),
IF('TL09'!$B$3=Q$3,SUMIF('TL09'!$C$10:$C$224,$C62,'TL09'!$J$10:$J$224),0),
IF('TL09'!$B$229=Q$3,SUMIF('TL09'!$C$238:$C$451,$C62,'TL09'!$J$238:$J$451),0),
IF('TL10'!$B$3=Q$3,SUMIF('TL10'!$C$10:$C$224,$C62,'TL10'!$J$10:$J$224),0),
IF('TL10'!$B$229=Q$3,SUMIF('TL10'!$C$238:$C$451,$C62,'TL10'!$J$238:$J$451),0),
IF('TL11'!$B$3=Q$3,SUMIF('TL11'!$C$10:$C$224,$C62,'TL11'!$J$10:$J$224),0),
IF('TL11'!$B$229=Q$3,SUMIF('TL11'!$C$238:$C$451,$C62,'TL11'!$J$238:$J$451),0),
IF('TL12'!$B$3=Q$3,SUMIF('TL12'!$C$10:$C$224,$C62,'TL12'!$J$10:$J$224),0),
IF('TL12'!$B$229=Q$3,SUMIF('TL12'!$C$238:$C$451,$C62,'TL12'!$J$238:$J$451),0),
IF('TL13'!$B$3=Q$3,SUMIF('TL13'!$C$10:$C$224,$C62,'TL13'!$J$10:$J$224),0),
IF('TL13'!$B$229=Q$3,SUMIF('TL13'!$C$238:$C$451,$C62,'TL13'!$J$238:$J$451),0),
IF('TL14'!$B$3=Q$3,SUMIF('TL14'!$C$10:$C$224,$C62,'TL14'!$J$10:$J$224),0),
IF('TL14'!$B$229=Q$3,SUMIF('TL14'!$C$238:$C$451,$C62,'TL14'!$J$238:$J$451),0),
IF('TL15'!$B$3=Q$3,SUMIF('TL15'!$C$10:$C$224,$C62,'TL15'!$J$10:$J$224),0),
IF('TL15'!$B$229=Q$3,SUMIF('TL15'!$C$238:$C$451,$C62,'TL15'!$J$238:$J$451),0),
IF('TL16'!$B$3=Q$3,SUMIF('TL16'!$C$10:$C$224,$C62,'TL16'!$J$10:$J$224),0),
IF('TL16'!$B$229=Q$3,SUMIF('TL16'!$C$238:$C$451,$C62,'TL16'!$J$238:$J$451),0),
IF('TL17'!$B$3=Q$3,SUMIF('TL17'!$C$10:$C$224,$C62,'TL17'!$J$10:$J$224),0),
IF('TL17'!$B$229=Q$3,SUMIF('TL17'!$C$238:$C$451,$C62,'TL17'!$J$238:$J$451),0),
IF('TL18'!$B$3=Q$3,SUMIF('TL18'!$C$10:$C$224,$C62,'TL18'!$J$10:$J$224),0),
IF('TL18'!$B$229=Q$3,SUMIF('TL18'!$C$238:$C$451,$C62,'TL18'!$J$238:$J$451),0),
IF('TL19'!$B$3=Q$3,SUMIF('TL19'!$C$10:$C$224,$C62,'TL19'!$J$10:$J$224),0),
IF('TL19'!$B$229=Q$3,SUMIF('TL19'!$C$238:$C$451,$C62,'TL19'!$J$238:$J$451),0)
),0)</f>
        <v>0</v>
      </c>
      <c r="R62" s="9">
        <f>IFERROR(
SUM(
SUMIF('TL01'!C:C,C62,'TL01'!J:J),
SUMIF('TL02'!C:C,C62,'TL02'!J:J),
SUMIF('TL03'!C:C,C62,'TL03'!J:J),
SUMIF('TL04'!C:C,C62,'TL04'!J:J),
SUMIF('TL05'!C:C,C62,'TL05'!J:J),
SUMIF('TL06'!C:C,C62,'TL06'!J:J),
SUMIF('TL07'!C:C,C62,'TL07'!J:J),
SUMIF('TL08'!C:C,C62,'TL08'!J:J),
SUMIF('TL09'!C:C,C62,'TL09'!J:J),
SUMIF('TL10'!C:C,C62,'TL10'!J:J),
SUMIF('TL11'!C:C,C62,'TL11'!J:J),
SUMIF('TL12'!C:C,C62,'TL12'!J:J),
SUMIF('TL13'!C:C,C62,'TL13'!J:J),
SUMIF('TL14'!C:C,C62,'TL14'!J:J),
SUMIF('TL15'!C:C,C62,'TL15'!J:J),
SUMIF('TL16'!C:C,C62,'TL16'!J:J),
SUMIF('TL17'!C:C,C62,'TL17'!J:J),
SUMIF('TL18'!C:C,C62,'TL18'!J:J),SUMIF('TL19'!C:C,C62,'TL19'!J:J))
,0)</f>
        <v>0</v>
      </c>
      <c r="S62" s="17">
        <f>IFERROR(__xludf.DUMMYFUNCTION("IFERROR(VLOOKUP(C62,
IMPORTRANGE(""1wULbzX32WdYsx-lj2U3uUNBBe2INVIRDtcK0d-Dvl90"",
""26-27!C:G""),
5,
FALSE),
"""")"),67.68)</f>
        <v>67.68</v>
      </c>
      <c r="T62" s="9"/>
      <c r="U62" s="92">
        <f t="shared" si="2"/>
        <v>0</v>
      </c>
      <c r="V62" s="93">
        <f t="shared" si="3"/>
        <v>0</v>
      </c>
    </row>
    <row r="63" ht="15.75" hidden="1" customHeight="1">
      <c r="A63" s="111" t="s">
        <v>353</v>
      </c>
      <c r="B63" s="112" t="s">
        <v>0</v>
      </c>
      <c r="C63" s="113" t="s">
        <v>499</v>
      </c>
      <c r="D63" s="113" t="s">
        <v>500</v>
      </c>
      <c r="E63" s="113">
        <v>250.0</v>
      </c>
      <c r="F63" s="4" t="s">
        <v>343</v>
      </c>
      <c r="G63" s="90" t="str">
        <f t="shared" si="4"/>
        <v>📄 Ver bula</v>
      </c>
      <c r="H63" s="9">
        <f>IFERROR(__xludf.DUMMYFUNCTION("IFERROR(VLOOKUP(C63,
IMPORTRANGE(""1wULbzX32WdYsx-lj2U3uUNBBe2INVIRDtcK0d-Dvl90"",
""26-27!C:K""),
8,
FALSE),
"""")"),0.25)</f>
        <v>0.25</v>
      </c>
      <c r="I63" s="114" t="s">
        <v>377</v>
      </c>
      <c r="J63" s="9">
        <f>IFERROR(SUM(
IF('TL01'!$B$3=J$3,SUMIF('TL01'!$C$10:$C$224,$C63,'TL01'!$J$10:$J$224),0),
IF('TL01'!$B$229=J$3,SUMIF('TL01'!$C$238:$C$451,$C63,'TL01'!$J$238:$J$451),0),
IF('TL02'!$B$3=J$3,SUMIF('TL02'!$C$10:$C$224,$C63,'TL02'!$J$10:$J$224),0),
IF('TL02'!$B$229=J$3,SUMIF('TL02'!$C$238:$C$451,$C63,'TL02'!$J$238:$J$451),0),
IF('TL03'!$B$3=J$3,SUMIF('TL03'!$C$10:$C$224,$C63,'TL03'!$J$10:$J$224),0),
IF('TL03'!$B$229=J$3,SUMIF('TL03'!$C$238:$C$451,$C63,'TL03'!$J$238:$J$451),0),
IF('TL04'!$B$3=J$3,SUMIF('TL04'!$C$10:$C$224,$C63,'TL04'!$J$10:$J$224),0),
IF('TL04'!$B$229=J$3,SUMIF('TL04'!$C$238:$C$451,$C63,'TL04'!$J$238:$J$451),0),
IF('TL05'!$B$3=J$3,SUMIF('TL05'!$C$10:$C$224,$C63,'TL05'!$J$10:$J$224),0),
IF('TL05'!$B$229=J$3,SUMIF('TL05'!$C$238:$C$451,$C63,'TL05'!$J$238:$J$451),0),
IF('TL06'!$B$3=J$3,SUMIF('TL06'!$C$10:$C$224,$C63,'TL06'!$J$10:$J$224),0),
IF('TL06'!$B$229=J$3,SUMIF('TL06'!$C$238:$C$451,$C63,'TL06'!$J$238:$J$451),0),
IF('TL07'!$B$3=J$3,SUMIF('TL07'!$C$10:$C$224,$C63,'TL07'!$J$10:$J$224),0),
IF('TL07'!$B$229=J$3,SUMIF('TL07'!$C$238:$C$451,$C63,'TL07'!$J$238:$J$451),0),
IF('TL08'!$B$3=J$3,SUMIF('TL08'!$C$10:$C$224,$C63,'TL08'!$J$10:$J$224),0),
IF('TL08'!$B$229=J$3,SUMIF('TL08'!$C$238:$C$451,$C63,'TL08'!$J$238:$J$451),0),
IF('TL09'!$B$3=J$3,SUMIF('TL09'!$C$10:$C$224,$C63,'TL09'!$J$10:$J$224),0),
IF('TL09'!$B$229=J$3,SUMIF('TL09'!$C$238:$C$451,$C63,'TL09'!$J$238:$J$451),0),
IF('TL10'!$B$3=J$3,SUMIF('TL10'!$C$10:$C$224,$C63,'TL10'!$J$10:$J$224),0),
IF('TL10'!$B$229=J$3,SUMIF('TL10'!$C$238:$C$451,$C63,'TL10'!$J$238:$J$451),0),
IF('TL11'!$B$3=J$3,SUMIF('TL11'!$C$10:$C$224,$C63,'TL11'!$J$10:$J$224),0),
IF('TL11'!$B$229=J$3,SUMIF('TL11'!$C$238:$C$451,$C63,'TL11'!$J$238:$J$451),0),
IF('TL12'!$B$3=J$3,SUMIF('TL12'!$C$10:$C$224,$C63,'TL12'!$J$10:$J$224),0),
IF('TL12'!$B$229=J$3,SUMIF('TL12'!$C$238:$C$451,$C63,'TL12'!$J$238:$J$451),0),
IF('TL13'!$B$3=J$3,SUMIF('TL13'!$C$10:$C$224,$C63,'TL13'!$J$10:$J$224),0),
IF('TL13'!$B$229=J$3,SUMIF('TL13'!$C$238:$C$451,$C63,'TL13'!$J$238:$J$451),0),
IF('TL14'!$B$3=J$3,SUMIF('TL14'!$C$10:$C$224,$C63,'TL14'!$J$10:$J$224),0),
IF('TL14'!$B$229=J$3,SUMIF('TL14'!$C$238:$C$451,$C63,'TL14'!$J$238:$J$451),0),
IF('TL15'!$B$3=J$3,SUMIF('TL15'!$C$10:$C$224,$C63,'TL15'!$J$10:$J$224),0),
IF('TL15'!$B$229=J$3,SUMIF('TL15'!$C$238:$C$451,$C63,'TL15'!$J$238:$J$451),0),
IF('TL16'!$B$3=J$3,SUMIF('TL16'!$C$10:$C$224,$C63,'TL16'!$J$10:$J$224),0),
IF('TL16'!$B$229=J$3,SUMIF('TL16'!$C$238:$C$451,$C63,'TL16'!$J$238:$J$451),0),
IF('TL17'!$B$3=J$3,SUMIF('TL17'!$C$10:$C$224,$C63,'TL17'!$J$10:$J$224),0),
IF('TL17'!$B$229=J$3,SUMIF('TL17'!$C$238:$C$451,$C63,'TL17'!$J$238:$J$451),0),
IF('TL18'!$B$3=J$3,SUMIF('TL18'!$C$10:$C$224,$C63,'TL18'!$J$10:$J$224),0),
IF('TL18'!$B$229=J$3,SUMIF('TL18'!$C$238:$C$451,$C63,'TL18'!$J$238:$J$451),0),
IF('TL19'!$B$3=J$3,SUMIF('TL19'!$C$10:$C$224,$C63,'TL19'!$J$10:$J$224),0),
IF('TL19'!$B$229=J$3,SUMIF('TL19'!$C$238:$C$451,$C63,'TL19'!$J$238:$J$451),0)
),0)</f>
        <v>0</v>
      </c>
      <c r="K63" s="9">
        <f>IFERROR(SUM(
IF('TL01'!$B$3=K$3,SUMIF('TL01'!$C$10:$C$224,$C63,'TL01'!$J$10:$J$224),0),
IF('TL01'!$B$229=K$3,SUMIF('TL01'!$C$238:$C$451,$C63,'TL01'!$J$238:$J$451),0),
IF('TL02'!$B$3=K$3,SUMIF('TL02'!$C$10:$C$224,$C63,'TL02'!$J$10:$J$224),0),
IF('TL02'!$B$229=K$3,SUMIF('TL02'!$C$238:$C$451,$C63,'TL02'!$J$238:$J$451),0),
IF('TL03'!$B$3=K$3,SUMIF('TL03'!$C$10:$C$224,$C63,'TL03'!$J$10:$J$224),0),
IF('TL03'!$B$229=K$3,SUMIF('TL03'!$C$238:$C$451,$C63,'TL03'!$J$238:$J$451),0),
IF('TL04'!$B$3=K$3,SUMIF('TL04'!$C$10:$C$224,$C63,'TL04'!$J$10:$J$224),0),
IF('TL04'!$B$229=K$3,SUMIF('TL04'!$C$238:$C$451,$C63,'TL04'!$J$238:$J$451),0),
IF('TL05'!$B$3=K$3,SUMIF('TL05'!$C$10:$C$224,$C63,'TL05'!$J$10:$J$224),0),
IF('TL05'!$B$229=K$3,SUMIF('TL05'!$C$238:$C$451,$C63,'TL05'!$J$238:$J$451),0),
IF('TL06'!$B$3=K$3,SUMIF('TL06'!$C$10:$C$224,$C63,'TL06'!$J$10:$J$224),0),
IF('TL06'!$B$229=K$3,SUMIF('TL06'!$C$238:$C$451,$C63,'TL06'!$J$238:$J$451),0),
IF('TL07'!$B$3=K$3,SUMIF('TL07'!$C$10:$C$224,$C63,'TL07'!$J$10:$J$224),0),
IF('TL07'!$B$229=K$3,SUMIF('TL07'!$C$238:$C$451,$C63,'TL07'!$J$238:$J$451),0),
IF('TL08'!$B$3=K$3,SUMIF('TL08'!$C$10:$C$224,$C63,'TL08'!$J$10:$J$224),0),
IF('TL08'!$B$229=K$3,SUMIF('TL08'!$C$238:$C$451,$C63,'TL08'!$J$238:$J$451),0),
IF('TL09'!$B$3=K$3,SUMIF('TL09'!$C$10:$C$224,$C63,'TL09'!$J$10:$J$224),0),
IF('TL09'!$B$229=K$3,SUMIF('TL09'!$C$238:$C$451,$C63,'TL09'!$J$238:$J$451),0),
IF('TL10'!$B$3=K$3,SUMIF('TL10'!$C$10:$C$224,$C63,'TL10'!$J$10:$J$224),0),
IF('TL10'!$B$229=K$3,SUMIF('TL10'!$C$238:$C$451,$C63,'TL10'!$J$238:$J$451),0),
IF('TL11'!$B$3=K$3,SUMIF('TL11'!$C$10:$C$224,$C63,'TL11'!$J$10:$J$224),0),
IF('TL11'!$B$229=K$3,SUMIF('TL11'!$C$238:$C$451,$C63,'TL11'!$J$238:$J$451),0),
IF('TL12'!$B$3=K$3,SUMIF('TL12'!$C$10:$C$224,$C63,'TL12'!$J$10:$J$224),0),
IF('TL12'!$B$229=K$3,SUMIF('TL12'!$C$238:$C$451,$C63,'TL12'!$J$238:$J$451),0),
IF('TL13'!$B$3=K$3,SUMIF('TL13'!$C$10:$C$224,$C63,'TL13'!$J$10:$J$224),0),
IF('TL13'!$B$229=K$3,SUMIF('TL13'!$C$238:$C$451,$C63,'TL13'!$J$238:$J$451),0),
IF('TL14'!$B$3=K$3,SUMIF('TL14'!$C$10:$C$224,$C63,'TL14'!$J$10:$J$224),0),
IF('TL14'!$B$229=K$3,SUMIF('TL14'!$C$238:$C$451,$C63,'TL14'!$J$238:$J$451),0),
IF('TL15'!$B$3=K$3,SUMIF('TL15'!$C$10:$C$224,$C63,'TL15'!$J$10:$J$224),0),
IF('TL15'!$B$229=K$3,SUMIF('TL15'!$C$238:$C$451,$C63,'TL15'!$J$238:$J$451),0),
IF('TL16'!$B$3=K$3,SUMIF('TL16'!$C$10:$C$224,$C63,'TL16'!$J$10:$J$224),0),
IF('TL16'!$B$229=K$3,SUMIF('TL16'!$C$238:$C$451,$C63,'TL16'!$J$238:$J$451),0),
IF('TL17'!$B$3=K$3,SUMIF('TL17'!$C$10:$C$224,$C63,'TL17'!$J$10:$J$224),0),
IF('TL17'!$B$229=K$3,SUMIF('TL17'!$C$238:$C$451,$C63,'TL17'!$J$238:$J$451),0),
IF('TL18'!$B$3=K$3,SUMIF('TL18'!$C$10:$C$224,$C63,'TL18'!$J$10:$J$224),0),
IF('TL18'!$B$229=K$3,SUMIF('TL18'!$C$238:$C$451,$C63,'TL18'!$J$238:$J$451),0),
IF('TL19'!$B$3=K$3,SUMIF('TL19'!$C$10:$C$224,$C63,'TL19'!$J$10:$J$224),0),
IF('TL19'!$B$229=K$3,SUMIF('TL19'!$C$238:$C$451,$C63,'TL19'!$J$238:$J$451),0)
),0)</f>
        <v>0</v>
      </c>
      <c r="L63" s="9">
        <f>IFERROR(SUM(
IF('TL01'!$B$3=L$3,SUMIF('TL01'!$C$10:$C$224,$C63,'TL01'!$J$10:$J$224),0),
IF('TL01'!$B$229=L$3,SUMIF('TL01'!$C$238:$C$451,$C63,'TL01'!$J$238:$J$451),0),
IF('TL02'!$B$3=L$3,SUMIF('TL02'!$C$10:$C$224,$C63,'TL02'!$J$10:$J$224),0),
IF('TL02'!$B$229=L$3,SUMIF('TL02'!$C$238:$C$451,$C63,'TL02'!$J$238:$J$451),0),
IF('TL03'!$B$3=L$3,SUMIF('TL03'!$C$10:$C$224,$C63,'TL03'!$J$10:$J$224),0),
IF('TL03'!$B$229=L$3,SUMIF('TL03'!$C$238:$C$451,$C63,'TL03'!$J$238:$J$451),0),
IF('TL04'!$B$3=L$3,SUMIF('TL04'!$C$10:$C$224,$C63,'TL04'!$J$10:$J$224),0),
IF('TL04'!$B$229=L$3,SUMIF('TL04'!$C$238:$C$451,$C63,'TL04'!$J$238:$J$451),0),
IF('TL05'!$B$3=L$3,SUMIF('TL05'!$C$10:$C$224,$C63,'TL05'!$J$10:$J$224),0),
IF('TL05'!$B$229=L$3,SUMIF('TL05'!$C$238:$C$451,$C63,'TL05'!$J$238:$J$451),0),
IF('TL06'!$B$3=L$3,SUMIF('TL06'!$C$10:$C$224,$C63,'TL06'!$J$10:$J$224),0),
IF('TL06'!$B$229=L$3,SUMIF('TL06'!$C$238:$C$451,$C63,'TL06'!$J$238:$J$451),0),
IF('TL07'!$B$3=L$3,SUMIF('TL07'!$C$10:$C$224,$C63,'TL07'!$J$10:$J$224),0),
IF('TL07'!$B$229=L$3,SUMIF('TL07'!$C$238:$C$451,$C63,'TL07'!$J$238:$J$451),0),
IF('TL08'!$B$3=L$3,SUMIF('TL08'!$C$10:$C$224,$C63,'TL08'!$J$10:$J$224),0),
IF('TL08'!$B$229=L$3,SUMIF('TL08'!$C$238:$C$451,$C63,'TL08'!$J$238:$J$451),0),
IF('TL09'!$B$3=L$3,SUMIF('TL09'!$C$10:$C$224,$C63,'TL09'!$J$10:$J$224),0),
IF('TL09'!$B$229=L$3,SUMIF('TL09'!$C$238:$C$451,$C63,'TL09'!$J$238:$J$451),0),
IF('TL10'!$B$3=L$3,SUMIF('TL10'!$C$10:$C$224,$C63,'TL10'!$J$10:$J$224),0),
IF('TL10'!$B$229=L$3,SUMIF('TL10'!$C$238:$C$451,$C63,'TL10'!$J$238:$J$451),0),
IF('TL11'!$B$3=L$3,SUMIF('TL11'!$C$10:$C$224,$C63,'TL11'!$J$10:$J$224),0),
IF('TL11'!$B$229=L$3,SUMIF('TL11'!$C$238:$C$451,$C63,'TL11'!$J$238:$J$451),0),
IF('TL12'!$B$3=L$3,SUMIF('TL12'!$C$10:$C$224,$C63,'TL12'!$J$10:$J$224),0),
IF('TL12'!$B$229=L$3,SUMIF('TL12'!$C$238:$C$451,$C63,'TL12'!$J$238:$J$451),0),
IF('TL13'!$B$3=L$3,SUMIF('TL13'!$C$10:$C$224,$C63,'TL13'!$J$10:$J$224),0),
IF('TL13'!$B$229=L$3,SUMIF('TL13'!$C$238:$C$451,$C63,'TL13'!$J$238:$J$451),0),
IF('TL14'!$B$3=L$3,SUMIF('TL14'!$C$10:$C$224,$C63,'TL14'!$J$10:$J$224),0),
IF('TL14'!$B$229=L$3,SUMIF('TL14'!$C$238:$C$451,$C63,'TL14'!$J$238:$J$451),0),
IF('TL15'!$B$3=L$3,SUMIF('TL15'!$C$10:$C$224,$C63,'TL15'!$J$10:$J$224),0),
IF('TL15'!$B$229=L$3,SUMIF('TL15'!$C$238:$C$451,$C63,'TL15'!$J$238:$J$451),0),
IF('TL16'!$B$3=L$3,SUMIF('TL16'!$C$10:$C$224,$C63,'TL16'!$J$10:$J$224),0),
IF('TL16'!$B$229=L$3,SUMIF('TL16'!$C$238:$C$451,$C63,'TL16'!$J$238:$J$451),0),
IF('TL17'!$B$3=L$3,SUMIF('TL17'!$C$10:$C$224,$C63,'TL17'!$J$10:$J$224),0),
IF('TL17'!$B$229=L$3,SUMIF('TL17'!$C$238:$C$451,$C63,'TL17'!$J$238:$J$451),0),
IF('TL18'!$B$3=L$3,SUMIF('TL18'!$C$10:$C$224,$C63,'TL18'!$J$10:$J$224),0),
IF('TL18'!$B$229=L$3,SUMIF('TL18'!$C$238:$C$451,$C63,'TL18'!$J$238:$J$451),0),
IF('TL19'!$B$3=L$3,SUMIF('TL19'!$C$10:$C$224,$C63,'TL19'!$J$10:$J$224),0),
IF('TL19'!$B$229=L$3,SUMIF('TL19'!$C$238:$C$451,$C63,'TL19'!$J$238:$J$451),0)
),0)</f>
        <v>0</v>
      </c>
      <c r="M63" s="9">
        <f>IFERROR(SUM(
IF('TL01'!$B$3=M$3,SUMIF('TL01'!$C$10:$C$224,$C63,'TL01'!$J$10:$J$224),0),
IF('TL01'!$B$229=M$3,SUMIF('TL01'!$C$238:$C$451,$C63,'TL01'!$J$238:$J$451),0),
IF('TL02'!$B$3=M$3,SUMIF('TL02'!$C$10:$C$224,$C63,'TL02'!$J$10:$J$224),0),
IF('TL02'!$B$229=M$3,SUMIF('TL02'!$C$238:$C$451,$C63,'TL02'!$J$238:$J$451),0),
IF('TL03'!$B$3=M$3,SUMIF('TL03'!$C$10:$C$224,$C63,'TL03'!$J$10:$J$224),0),
IF('TL03'!$B$229=M$3,SUMIF('TL03'!$C$238:$C$451,$C63,'TL03'!$J$238:$J$451),0),
IF('TL04'!$B$3=M$3,SUMIF('TL04'!$C$10:$C$224,$C63,'TL04'!$J$10:$J$224),0),
IF('TL04'!$B$229=M$3,SUMIF('TL04'!$C$238:$C$451,$C63,'TL04'!$J$238:$J$451),0),
IF('TL05'!$B$3=M$3,SUMIF('TL05'!$C$10:$C$224,$C63,'TL05'!$J$10:$J$224),0),
IF('TL05'!$B$229=M$3,SUMIF('TL05'!$C$238:$C$451,$C63,'TL05'!$J$238:$J$451),0),
IF('TL06'!$B$3=M$3,SUMIF('TL06'!$C$10:$C$224,$C63,'TL06'!$J$10:$J$224),0),
IF('TL06'!$B$229=M$3,SUMIF('TL06'!$C$238:$C$451,$C63,'TL06'!$J$238:$J$451),0),
IF('TL07'!$B$3=M$3,SUMIF('TL07'!$C$10:$C$224,$C63,'TL07'!$J$10:$J$224),0),
IF('TL07'!$B$229=M$3,SUMIF('TL07'!$C$238:$C$451,$C63,'TL07'!$J$238:$J$451),0),
IF('TL08'!$B$3=M$3,SUMIF('TL08'!$C$10:$C$224,$C63,'TL08'!$J$10:$J$224),0),
IF('TL08'!$B$229=M$3,SUMIF('TL08'!$C$238:$C$451,$C63,'TL08'!$J$238:$J$451),0),
IF('TL09'!$B$3=M$3,SUMIF('TL09'!$C$10:$C$224,$C63,'TL09'!$J$10:$J$224),0),
IF('TL09'!$B$229=M$3,SUMIF('TL09'!$C$238:$C$451,$C63,'TL09'!$J$238:$J$451),0),
IF('TL10'!$B$3=M$3,SUMIF('TL10'!$C$10:$C$224,$C63,'TL10'!$J$10:$J$224),0),
IF('TL10'!$B$229=M$3,SUMIF('TL10'!$C$238:$C$451,$C63,'TL10'!$J$238:$J$451),0),
IF('TL11'!$B$3=M$3,SUMIF('TL11'!$C$10:$C$224,$C63,'TL11'!$J$10:$J$224),0),
IF('TL11'!$B$229=M$3,SUMIF('TL11'!$C$238:$C$451,$C63,'TL11'!$J$238:$J$451),0),
IF('TL12'!$B$3=M$3,SUMIF('TL12'!$C$10:$C$224,$C63,'TL12'!$J$10:$J$224),0),
IF('TL12'!$B$229=M$3,SUMIF('TL12'!$C$238:$C$451,$C63,'TL12'!$J$238:$J$451),0),
IF('TL13'!$B$3=M$3,SUMIF('TL13'!$C$10:$C$224,$C63,'TL13'!$J$10:$J$224),0),
IF('TL13'!$B$229=M$3,SUMIF('TL13'!$C$238:$C$451,$C63,'TL13'!$J$238:$J$451),0),
IF('TL14'!$B$3=M$3,SUMIF('TL14'!$C$10:$C$224,$C63,'TL14'!$J$10:$J$224),0),
IF('TL14'!$B$229=M$3,SUMIF('TL14'!$C$238:$C$451,$C63,'TL14'!$J$238:$J$451),0),
IF('TL15'!$B$3=M$3,SUMIF('TL15'!$C$10:$C$224,$C63,'TL15'!$J$10:$J$224),0),
IF('TL15'!$B$229=M$3,SUMIF('TL15'!$C$238:$C$451,$C63,'TL15'!$J$238:$J$451),0),
IF('TL16'!$B$3=M$3,SUMIF('TL16'!$C$10:$C$224,$C63,'TL16'!$J$10:$J$224),0),
IF('TL16'!$B$229=M$3,SUMIF('TL16'!$C$238:$C$451,$C63,'TL16'!$J$238:$J$451),0),
IF('TL17'!$B$3=M$3,SUMIF('TL17'!$C$10:$C$224,$C63,'TL17'!$J$10:$J$224),0),
IF('TL17'!$B$229=M$3,SUMIF('TL17'!$C$238:$C$451,$C63,'TL17'!$J$238:$J$451),0),
IF('TL18'!$B$3=M$3,SUMIF('TL18'!$C$10:$C$224,$C63,'TL18'!$J$10:$J$224),0),
IF('TL18'!$B$229=M$3,SUMIF('TL18'!$C$238:$C$451,$C63,'TL18'!$J$238:$J$451),0),
IF('TL19'!$B$3=M$3,SUMIF('TL19'!$C$10:$C$224,$C63,'TL19'!$J$10:$J$224),0),
IF('TL19'!$B$229=M$3,SUMIF('TL19'!$C$238:$C$451,$C63,'TL19'!$J$238:$J$451),0)
),0)</f>
        <v>0</v>
      </c>
      <c r="N63" s="9">
        <f>IFERROR(SUM(
IF('TL01'!$B$3=N$3,SUMIF('TL01'!$C$10:$C$224,$C63,'TL01'!$J$10:$J$224),0),
IF('TL01'!$B$229=N$3,SUMIF('TL01'!$C$238:$C$451,$C63,'TL01'!$J$238:$J$451),0),
IF('TL02'!$B$3=N$3,SUMIF('TL02'!$C$10:$C$224,$C63,'TL02'!$J$10:$J$224),0),
IF('TL02'!$B$229=N$3,SUMIF('TL02'!$C$238:$C$451,$C63,'TL02'!$J$238:$J$451),0),
IF('TL03'!$B$3=N$3,SUMIF('TL03'!$C$10:$C$224,$C63,'TL03'!$J$10:$J$224),0),
IF('TL03'!$B$229=N$3,SUMIF('TL03'!$C$238:$C$451,$C63,'TL03'!$J$238:$J$451),0),
IF('TL04'!$B$3=N$3,SUMIF('TL04'!$C$10:$C$224,$C63,'TL04'!$J$10:$J$224),0),
IF('TL04'!$B$229=N$3,SUMIF('TL04'!$C$238:$C$451,$C63,'TL04'!$J$238:$J$451),0),
IF('TL05'!$B$3=N$3,SUMIF('TL05'!$C$10:$C$224,$C63,'TL05'!$J$10:$J$224),0),
IF('TL05'!$B$229=N$3,SUMIF('TL05'!$C$238:$C$451,$C63,'TL05'!$J$238:$J$451),0),
IF('TL06'!$B$3=N$3,SUMIF('TL06'!$C$10:$C$224,$C63,'TL06'!$J$10:$J$224),0),
IF('TL06'!$B$229=N$3,SUMIF('TL06'!$C$238:$C$451,$C63,'TL06'!$J$238:$J$451),0),
IF('TL07'!$B$3=N$3,SUMIF('TL07'!$C$10:$C$224,$C63,'TL07'!$J$10:$J$224),0),
IF('TL07'!$B$229=N$3,SUMIF('TL07'!$C$238:$C$451,$C63,'TL07'!$J$238:$J$451),0),
IF('TL08'!$B$3=N$3,SUMIF('TL08'!$C$10:$C$224,$C63,'TL08'!$J$10:$J$224),0),
IF('TL08'!$B$229=N$3,SUMIF('TL08'!$C$238:$C$451,$C63,'TL08'!$J$238:$J$451),0),
IF('TL09'!$B$3=N$3,SUMIF('TL09'!$C$10:$C$224,$C63,'TL09'!$J$10:$J$224),0),
IF('TL09'!$B$229=N$3,SUMIF('TL09'!$C$238:$C$451,$C63,'TL09'!$J$238:$J$451),0),
IF('TL10'!$B$3=N$3,SUMIF('TL10'!$C$10:$C$224,$C63,'TL10'!$J$10:$J$224),0),
IF('TL10'!$B$229=N$3,SUMIF('TL10'!$C$238:$C$451,$C63,'TL10'!$J$238:$J$451),0),
IF('TL11'!$B$3=N$3,SUMIF('TL11'!$C$10:$C$224,$C63,'TL11'!$J$10:$J$224),0),
IF('TL11'!$B$229=N$3,SUMIF('TL11'!$C$238:$C$451,$C63,'TL11'!$J$238:$J$451),0),
IF('TL12'!$B$3=N$3,SUMIF('TL12'!$C$10:$C$224,$C63,'TL12'!$J$10:$J$224),0),
IF('TL12'!$B$229=N$3,SUMIF('TL12'!$C$238:$C$451,$C63,'TL12'!$J$238:$J$451),0),
IF('TL13'!$B$3=N$3,SUMIF('TL13'!$C$10:$C$224,$C63,'TL13'!$J$10:$J$224),0),
IF('TL13'!$B$229=N$3,SUMIF('TL13'!$C$238:$C$451,$C63,'TL13'!$J$238:$J$451),0),
IF('TL14'!$B$3=N$3,SUMIF('TL14'!$C$10:$C$224,$C63,'TL14'!$J$10:$J$224),0),
IF('TL14'!$B$229=N$3,SUMIF('TL14'!$C$238:$C$451,$C63,'TL14'!$J$238:$J$451),0),
IF('TL15'!$B$3=N$3,SUMIF('TL15'!$C$10:$C$224,$C63,'TL15'!$J$10:$J$224),0),
IF('TL15'!$B$229=N$3,SUMIF('TL15'!$C$238:$C$451,$C63,'TL15'!$J$238:$J$451),0),
IF('TL16'!$B$3=N$3,SUMIF('TL16'!$C$10:$C$224,$C63,'TL16'!$J$10:$J$224),0),
IF('TL16'!$B$229=N$3,SUMIF('TL16'!$C$238:$C$451,$C63,'TL16'!$J$238:$J$451),0),
IF('TL17'!$B$3=N$3,SUMIF('TL17'!$C$10:$C$224,$C63,'TL17'!$J$10:$J$224),0),
IF('TL17'!$B$229=N$3,SUMIF('TL17'!$C$238:$C$451,$C63,'TL17'!$J$238:$J$451),0),
IF('TL18'!$B$3=N$3,SUMIF('TL18'!$C$10:$C$224,$C63,'TL18'!$J$10:$J$224),0),
IF('TL18'!$B$229=N$3,SUMIF('TL18'!$C$238:$C$451,$C63,'TL18'!$J$238:$J$451),0),
IF('TL19'!$B$3=N$3,SUMIF('TL19'!$C$10:$C$224,$C63,'TL19'!$J$10:$J$224),0),
IF('TL19'!$B$229=N$3,SUMIF('TL19'!$C$238:$C$451,$C63,'TL19'!$J$238:$J$451),0)
),0)</f>
        <v>0</v>
      </c>
      <c r="O63" s="9">
        <f>IFERROR(SUM(
IF('TL01'!$B$3=O$3,SUMIF('TL01'!$C$10:$C$224,$C63,'TL01'!$J$10:$J$224),0),
IF('TL01'!$B$229=O$3,SUMIF('TL01'!$C$238:$C$451,$C63,'TL01'!$J$238:$J$451),0),
IF('TL02'!$B$3=O$3,SUMIF('TL02'!$C$10:$C$224,$C63,'TL02'!$J$10:$J$224),0),
IF('TL02'!$B$229=O$3,SUMIF('TL02'!$C$238:$C$451,$C63,'TL02'!$J$238:$J$451),0),
IF('TL03'!$B$3=O$3,SUMIF('TL03'!$C$10:$C$224,$C63,'TL03'!$J$10:$J$224),0),
IF('TL03'!$B$229=O$3,SUMIF('TL03'!$C$238:$C$451,$C63,'TL03'!$J$238:$J$451),0),
IF('TL04'!$B$3=O$3,SUMIF('TL04'!$C$10:$C$224,$C63,'TL04'!$J$10:$J$224),0),
IF('TL04'!$B$229=O$3,SUMIF('TL04'!$C$238:$C$451,$C63,'TL04'!$J$238:$J$451),0),
IF('TL05'!$B$3=O$3,SUMIF('TL05'!$C$10:$C$224,$C63,'TL05'!$J$10:$J$224),0),
IF('TL05'!$B$229=O$3,SUMIF('TL05'!$C$238:$C$451,$C63,'TL05'!$J$238:$J$451),0),
IF('TL06'!$B$3=O$3,SUMIF('TL06'!$C$10:$C$224,$C63,'TL06'!$J$10:$J$224),0),
IF('TL06'!$B$229=O$3,SUMIF('TL06'!$C$238:$C$451,$C63,'TL06'!$J$238:$J$451),0),
IF('TL07'!$B$3=O$3,SUMIF('TL07'!$C$10:$C$224,$C63,'TL07'!$J$10:$J$224),0),
IF('TL07'!$B$229=O$3,SUMIF('TL07'!$C$238:$C$451,$C63,'TL07'!$J$238:$J$451),0),
IF('TL08'!$B$3=O$3,SUMIF('TL08'!$C$10:$C$224,$C63,'TL08'!$J$10:$J$224),0),
IF('TL08'!$B$229=O$3,SUMIF('TL08'!$C$238:$C$451,$C63,'TL08'!$J$238:$J$451),0),
IF('TL09'!$B$3=O$3,SUMIF('TL09'!$C$10:$C$224,$C63,'TL09'!$J$10:$J$224),0),
IF('TL09'!$B$229=O$3,SUMIF('TL09'!$C$238:$C$451,$C63,'TL09'!$J$238:$J$451),0),
IF('TL10'!$B$3=O$3,SUMIF('TL10'!$C$10:$C$224,$C63,'TL10'!$J$10:$J$224),0),
IF('TL10'!$B$229=O$3,SUMIF('TL10'!$C$238:$C$451,$C63,'TL10'!$J$238:$J$451),0),
IF('TL11'!$B$3=O$3,SUMIF('TL11'!$C$10:$C$224,$C63,'TL11'!$J$10:$J$224),0),
IF('TL11'!$B$229=O$3,SUMIF('TL11'!$C$238:$C$451,$C63,'TL11'!$J$238:$J$451),0),
IF('TL12'!$B$3=O$3,SUMIF('TL12'!$C$10:$C$224,$C63,'TL12'!$J$10:$J$224),0),
IF('TL12'!$B$229=O$3,SUMIF('TL12'!$C$238:$C$451,$C63,'TL12'!$J$238:$J$451),0),
IF('TL13'!$B$3=O$3,SUMIF('TL13'!$C$10:$C$224,$C63,'TL13'!$J$10:$J$224),0),
IF('TL13'!$B$229=O$3,SUMIF('TL13'!$C$238:$C$451,$C63,'TL13'!$J$238:$J$451),0),
IF('TL14'!$B$3=O$3,SUMIF('TL14'!$C$10:$C$224,$C63,'TL14'!$J$10:$J$224),0),
IF('TL14'!$B$229=O$3,SUMIF('TL14'!$C$238:$C$451,$C63,'TL14'!$J$238:$J$451),0),
IF('TL15'!$B$3=O$3,SUMIF('TL15'!$C$10:$C$224,$C63,'TL15'!$J$10:$J$224),0),
IF('TL15'!$B$229=O$3,SUMIF('TL15'!$C$238:$C$451,$C63,'TL15'!$J$238:$J$451),0),
IF('TL16'!$B$3=O$3,SUMIF('TL16'!$C$10:$C$224,$C63,'TL16'!$J$10:$J$224),0),
IF('TL16'!$B$229=O$3,SUMIF('TL16'!$C$238:$C$451,$C63,'TL16'!$J$238:$J$451),0),
IF('TL17'!$B$3=O$3,SUMIF('TL17'!$C$10:$C$224,$C63,'TL17'!$J$10:$J$224),0),
IF('TL17'!$B$229=O$3,SUMIF('TL17'!$C$238:$C$451,$C63,'TL17'!$J$238:$J$451),0),
IF('TL18'!$B$3=O$3,SUMIF('TL18'!$C$10:$C$224,$C63,'TL18'!$J$10:$J$224),0),
IF('TL18'!$B$229=O$3,SUMIF('TL18'!$C$238:$C$451,$C63,'TL18'!$J$238:$J$451),0),
IF('TL19'!$B$3=O$3,SUMIF('TL19'!$C$10:$C$224,$C63,'TL19'!$J$10:$J$224),0),
IF('TL19'!$B$229=O$3,SUMIF('TL19'!$C$238:$C$451,$C63,'TL19'!$J$238:$J$451),0)
),0)</f>
        <v>0</v>
      </c>
      <c r="P63" s="9">
        <f>IFERROR(SUM(
IF('TL01'!$B$3=P$3,SUMIF('TL01'!$C$10:$C$224,$C63,'TL01'!$J$10:$J$224),0),
IF('TL01'!$B$229=P$3,SUMIF('TL01'!$C$238:$C$451,$C63,'TL01'!$J$238:$J$451),0),
IF('TL02'!$B$3=P$3,SUMIF('TL02'!$C$10:$C$224,$C63,'TL02'!$J$10:$J$224),0),
IF('TL02'!$B$229=P$3,SUMIF('TL02'!$C$238:$C$451,$C63,'TL02'!$J$238:$J$451),0),
IF('TL03'!$B$3=P$3,SUMIF('TL03'!$C$10:$C$224,$C63,'TL03'!$J$10:$J$224),0),
IF('TL03'!$B$229=P$3,SUMIF('TL03'!$C$238:$C$451,$C63,'TL03'!$J$238:$J$451),0),
IF('TL04'!$B$3=P$3,SUMIF('TL04'!$C$10:$C$224,$C63,'TL04'!$J$10:$J$224),0),
IF('TL04'!$B$229=P$3,SUMIF('TL04'!$C$238:$C$451,$C63,'TL04'!$J$238:$J$451),0),
IF('TL05'!$B$3=P$3,SUMIF('TL05'!$C$10:$C$224,$C63,'TL05'!$J$10:$J$224),0),
IF('TL05'!$B$229=P$3,SUMIF('TL05'!$C$238:$C$451,$C63,'TL05'!$J$238:$J$451),0),
IF('TL06'!$B$3=P$3,SUMIF('TL06'!$C$10:$C$224,$C63,'TL06'!$J$10:$J$224),0),
IF('TL06'!$B$229=P$3,SUMIF('TL06'!$C$238:$C$451,$C63,'TL06'!$J$238:$J$451),0),
IF('TL07'!$B$3=P$3,SUMIF('TL07'!$C$10:$C$224,$C63,'TL07'!$J$10:$J$224),0),
IF('TL07'!$B$229=P$3,SUMIF('TL07'!$C$238:$C$451,$C63,'TL07'!$J$238:$J$451),0),
IF('TL08'!$B$3=P$3,SUMIF('TL08'!$C$10:$C$224,$C63,'TL08'!$J$10:$J$224),0),
IF('TL08'!$B$229=P$3,SUMIF('TL08'!$C$238:$C$451,$C63,'TL08'!$J$238:$J$451),0),
IF('TL09'!$B$3=P$3,SUMIF('TL09'!$C$10:$C$224,$C63,'TL09'!$J$10:$J$224),0),
IF('TL09'!$B$229=P$3,SUMIF('TL09'!$C$238:$C$451,$C63,'TL09'!$J$238:$J$451),0),
IF('TL10'!$B$3=P$3,SUMIF('TL10'!$C$10:$C$224,$C63,'TL10'!$J$10:$J$224),0),
IF('TL10'!$B$229=P$3,SUMIF('TL10'!$C$238:$C$451,$C63,'TL10'!$J$238:$J$451),0),
IF('TL11'!$B$3=P$3,SUMIF('TL11'!$C$10:$C$224,$C63,'TL11'!$J$10:$J$224),0),
IF('TL11'!$B$229=P$3,SUMIF('TL11'!$C$238:$C$451,$C63,'TL11'!$J$238:$J$451),0),
IF('TL12'!$B$3=P$3,SUMIF('TL12'!$C$10:$C$224,$C63,'TL12'!$J$10:$J$224),0),
IF('TL12'!$B$229=P$3,SUMIF('TL12'!$C$238:$C$451,$C63,'TL12'!$J$238:$J$451),0),
IF('TL13'!$B$3=P$3,SUMIF('TL13'!$C$10:$C$224,$C63,'TL13'!$J$10:$J$224),0),
IF('TL13'!$B$229=P$3,SUMIF('TL13'!$C$238:$C$451,$C63,'TL13'!$J$238:$J$451),0),
IF('TL14'!$B$3=P$3,SUMIF('TL14'!$C$10:$C$224,$C63,'TL14'!$J$10:$J$224),0),
IF('TL14'!$B$229=P$3,SUMIF('TL14'!$C$238:$C$451,$C63,'TL14'!$J$238:$J$451),0),
IF('TL15'!$B$3=P$3,SUMIF('TL15'!$C$10:$C$224,$C63,'TL15'!$J$10:$J$224),0),
IF('TL15'!$B$229=P$3,SUMIF('TL15'!$C$238:$C$451,$C63,'TL15'!$J$238:$J$451),0),
IF('TL16'!$B$3=P$3,SUMIF('TL16'!$C$10:$C$224,$C63,'TL16'!$J$10:$J$224),0),
IF('TL16'!$B$229=P$3,SUMIF('TL16'!$C$238:$C$451,$C63,'TL16'!$J$238:$J$451),0),
IF('TL17'!$B$3=P$3,SUMIF('TL17'!$C$10:$C$224,$C63,'TL17'!$J$10:$J$224),0),
IF('TL17'!$B$229=P$3,SUMIF('TL17'!$C$238:$C$451,$C63,'TL17'!$J$238:$J$451),0),
IF('TL18'!$B$3=P$3,SUMIF('TL18'!$C$10:$C$224,$C63,'TL18'!$J$10:$J$224),0),
IF('TL18'!$B$229=P$3,SUMIF('TL18'!$C$238:$C$451,$C63,'TL18'!$J$238:$J$451),0),
IF('TL19'!$B$3=P$3,SUMIF('TL19'!$C$10:$C$224,$C63,'TL19'!$J$10:$J$224),0),
IF('TL19'!$B$229=P$3,SUMIF('TL19'!$C$238:$C$451,$C63,'TL19'!$J$238:$J$451),0)
),0)</f>
        <v>0</v>
      </c>
      <c r="Q63" s="9">
        <f>IFERROR(SUM(
IF('TL01'!$B$3=Q$3,SUMIF('TL01'!$C$10:$C$224,$C63,'TL01'!$J$10:$J$224),0),
IF('TL01'!$B$229=Q$3,SUMIF('TL01'!$C$238:$C$451,$C63,'TL01'!$J$238:$J$451),0),
IF('TL02'!$B$3=Q$3,SUMIF('TL02'!$C$10:$C$224,$C63,'TL02'!$J$10:$J$224),0),
IF('TL02'!$B$229=Q$3,SUMIF('TL02'!$C$238:$C$451,$C63,'TL02'!$J$238:$J$451),0),
IF('TL03'!$B$3=Q$3,SUMIF('TL03'!$C$10:$C$224,$C63,'TL03'!$J$10:$J$224),0),
IF('TL03'!$B$229=Q$3,SUMIF('TL03'!$C$238:$C$451,$C63,'TL03'!$J$238:$J$451),0),
IF('TL04'!$B$3=Q$3,SUMIF('TL04'!$C$10:$C$224,$C63,'TL04'!$J$10:$J$224),0),
IF('TL04'!$B$229=Q$3,SUMIF('TL04'!$C$238:$C$451,$C63,'TL04'!$J$238:$J$451),0),
IF('TL05'!$B$3=Q$3,SUMIF('TL05'!$C$10:$C$224,$C63,'TL05'!$J$10:$J$224),0),
IF('TL05'!$B$229=Q$3,SUMIF('TL05'!$C$238:$C$451,$C63,'TL05'!$J$238:$J$451),0),
IF('TL06'!$B$3=Q$3,SUMIF('TL06'!$C$10:$C$224,$C63,'TL06'!$J$10:$J$224),0),
IF('TL06'!$B$229=Q$3,SUMIF('TL06'!$C$238:$C$451,$C63,'TL06'!$J$238:$J$451),0),
IF('TL07'!$B$3=Q$3,SUMIF('TL07'!$C$10:$C$224,$C63,'TL07'!$J$10:$J$224),0),
IF('TL07'!$B$229=Q$3,SUMIF('TL07'!$C$238:$C$451,$C63,'TL07'!$J$238:$J$451),0),
IF('TL08'!$B$3=Q$3,SUMIF('TL08'!$C$10:$C$224,$C63,'TL08'!$J$10:$J$224),0),
IF('TL08'!$B$229=Q$3,SUMIF('TL08'!$C$238:$C$451,$C63,'TL08'!$J$238:$J$451),0),
IF('TL09'!$B$3=Q$3,SUMIF('TL09'!$C$10:$C$224,$C63,'TL09'!$J$10:$J$224),0),
IF('TL09'!$B$229=Q$3,SUMIF('TL09'!$C$238:$C$451,$C63,'TL09'!$J$238:$J$451),0),
IF('TL10'!$B$3=Q$3,SUMIF('TL10'!$C$10:$C$224,$C63,'TL10'!$J$10:$J$224),0),
IF('TL10'!$B$229=Q$3,SUMIF('TL10'!$C$238:$C$451,$C63,'TL10'!$J$238:$J$451),0),
IF('TL11'!$B$3=Q$3,SUMIF('TL11'!$C$10:$C$224,$C63,'TL11'!$J$10:$J$224),0),
IF('TL11'!$B$229=Q$3,SUMIF('TL11'!$C$238:$C$451,$C63,'TL11'!$J$238:$J$451),0),
IF('TL12'!$B$3=Q$3,SUMIF('TL12'!$C$10:$C$224,$C63,'TL12'!$J$10:$J$224),0),
IF('TL12'!$B$229=Q$3,SUMIF('TL12'!$C$238:$C$451,$C63,'TL12'!$J$238:$J$451),0),
IF('TL13'!$B$3=Q$3,SUMIF('TL13'!$C$10:$C$224,$C63,'TL13'!$J$10:$J$224),0),
IF('TL13'!$B$229=Q$3,SUMIF('TL13'!$C$238:$C$451,$C63,'TL13'!$J$238:$J$451),0),
IF('TL14'!$B$3=Q$3,SUMIF('TL14'!$C$10:$C$224,$C63,'TL14'!$J$10:$J$224),0),
IF('TL14'!$B$229=Q$3,SUMIF('TL14'!$C$238:$C$451,$C63,'TL14'!$J$238:$J$451),0),
IF('TL15'!$B$3=Q$3,SUMIF('TL15'!$C$10:$C$224,$C63,'TL15'!$J$10:$J$224),0),
IF('TL15'!$B$229=Q$3,SUMIF('TL15'!$C$238:$C$451,$C63,'TL15'!$J$238:$J$451),0),
IF('TL16'!$B$3=Q$3,SUMIF('TL16'!$C$10:$C$224,$C63,'TL16'!$J$10:$J$224),0),
IF('TL16'!$B$229=Q$3,SUMIF('TL16'!$C$238:$C$451,$C63,'TL16'!$J$238:$J$451),0),
IF('TL17'!$B$3=Q$3,SUMIF('TL17'!$C$10:$C$224,$C63,'TL17'!$J$10:$J$224),0),
IF('TL17'!$B$229=Q$3,SUMIF('TL17'!$C$238:$C$451,$C63,'TL17'!$J$238:$J$451),0),
IF('TL18'!$B$3=Q$3,SUMIF('TL18'!$C$10:$C$224,$C63,'TL18'!$J$10:$J$224),0),
IF('TL18'!$B$229=Q$3,SUMIF('TL18'!$C$238:$C$451,$C63,'TL18'!$J$238:$J$451),0),
IF('TL19'!$B$3=Q$3,SUMIF('TL19'!$C$10:$C$224,$C63,'TL19'!$J$10:$J$224),0),
IF('TL19'!$B$229=Q$3,SUMIF('TL19'!$C$238:$C$451,$C63,'TL19'!$J$238:$J$451),0)
),0)</f>
        <v>0</v>
      </c>
      <c r="R63" s="9">
        <f>IFERROR(
SUM(
SUMIF('TL01'!C:C,C63,'TL01'!J:J),
SUMIF('TL02'!C:C,C63,'TL02'!J:J),
SUMIF('TL03'!C:C,C63,'TL03'!J:J),
SUMIF('TL04'!C:C,C63,'TL04'!J:J),
SUMIF('TL05'!C:C,C63,'TL05'!J:J),
SUMIF('TL06'!C:C,C63,'TL06'!J:J),
SUMIF('TL07'!C:C,C63,'TL07'!J:J),
SUMIF('TL08'!C:C,C63,'TL08'!J:J),
SUMIF('TL09'!C:C,C63,'TL09'!J:J),
SUMIF('TL10'!C:C,C63,'TL10'!J:J),
SUMIF('TL11'!C:C,C63,'TL11'!J:J),
SUMIF('TL12'!C:C,C63,'TL12'!J:J),
SUMIF('TL13'!C:C,C63,'TL13'!J:J),
SUMIF('TL14'!C:C,C63,'TL14'!J:J),
SUMIF('TL15'!C:C,C63,'TL15'!J:J),
SUMIF('TL16'!C:C,C63,'TL16'!J:J),
SUMIF('TL17'!C:C,C63,'TL17'!J:J),
SUMIF('TL18'!C:C,C63,'TL18'!J:J),SUMIF('TL19'!C:C,C63,'TL19'!J:J))
,0)</f>
        <v>0</v>
      </c>
      <c r="S63" s="17">
        <f>IFERROR(__xludf.DUMMYFUNCTION("IFERROR(VLOOKUP(C63,
IMPORTRANGE(""1wULbzX32WdYsx-lj2U3uUNBBe2INVIRDtcK0d-Dvl90"",
""26-27!C:G""),
5,
FALSE),
"""")"),149.09904000000003)</f>
        <v>149.09904</v>
      </c>
      <c r="T63" s="9"/>
      <c r="U63" s="92">
        <f t="shared" si="2"/>
        <v>0</v>
      </c>
      <c r="V63" s="93">
        <f t="shared" si="3"/>
        <v>0</v>
      </c>
    </row>
    <row r="64" ht="15.75" hidden="1" customHeight="1">
      <c r="A64" s="115" t="s">
        <v>353</v>
      </c>
      <c r="B64" s="100" t="s">
        <v>0</v>
      </c>
      <c r="C64" s="116" t="s">
        <v>501</v>
      </c>
      <c r="D64" s="116" t="s">
        <v>502</v>
      </c>
      <c r="E64" s="116" t="s">
        <v>503</v>
      </c>
      <c r="F64" s="4" t="s">
        <v>343</v>
      </c>
      <c r="G64" s="90" t="str">
        <f t="shared" si="4"/>
        <v>📄 Ver bula</v>
      </c>
      <c r="H64" s="9">
        <f>IFERROR(__xludf.DUMMYFUNCTION("IFERROR(VLOOKUP(C64,
IMPORTRANGE(""1wULbzX32WdYsx-lj2U3uUNBBe2INVIRDtcK0d-Dvl90"",
""26-27!C:K""),
8,
FALSE),
"""")"),0.7)</f>
        <v>0.7</v>
      </c>
      <c r="I64" s="117" t="s">
        <v>377</v>
      </c>
      <c r="J64" s="9">
        <f>IFERROR(SUM(
IF('TL01'!$B$3=J$3,SUMIF('TL01'!$C$10:$C$224,$C64,'TL01'!$J$10:$J$224),0),
IF('TL01'!$B$229=J$3,SUMIF('TL01'!$C$238:$C$451,$C64,'TL01'!$J$238:$J$451),0),
IF('TL02'!$B$3=J$3,SUMIF('TL02'!$C$10:$C$224,$C64,'TL02'!$J$10:$J$224),0),
IF('TL02'!$B$229=J$3,SUMIF('TL02'!$C$238:$C$451,$C64,'TL02'!$J$238:$J$451),0),
IF('TL03'!$B$3=J$3,SUMIF('TL03'!$C$10:$C$224,$C64,'TL03'!$J$10:$J$224),0),
IF('TL03'!$B$229=J$3,SUMIF('TL03'!$C$238:$C$451,$C64,'TL03'!$J$238:$J$451),0),
IF('TL04'!$B$3=J$3,SUMIF('TL04'!$C$10:$C$224,$C64,'TL04'!$J$10:$J$224),0),
IF('TL04'!$B$229=J$3,SUMIF('TL04'!$C$238:$C$451,$C64,'TL04'!$J$238:$J$451),0),
IF('TL05'!$B$3=J$3,SUMIF('TL05'!$C$10:$C$224,$C64,'TL05'!$J$10:$J$224),0),
IF('TL05'!$B$229=J$3,SUMIF('TL05'!$C$238:$C$451,$C64,'TL05'!$J$238:$J$451),0),
IF('TL06'!$B$3=J$3,SUMIF('TL06'!$C$10:$C$224,$C64,'TL06'!$J$10:$J$224),0),
IF('TL06'!$B$229=J$3,SUMIF('TL06'!$C$238:$C$451,$C64,'TL06'!$J$238:$J$451),0),
IF('TL07'!$B$3=J$3,SUMIF('TL07'!$C$10:$C$224,$C64,'TL07'!$J$10:$J$224),0),
IF('TL07'!$B$229=J$3,SUMIF('TL07'!$C$238:$C$451,$C64,'TL07'!$J$238:$J$451),0),
IF('TL08'!$B$3=J$3,SUMIF('TL08'!$C$10:$C$224,$C64,'TL08'!$J$10:$J$224),0),
IF('TL08'!$B$229=J$3,SUMIF('TL08'!$C$238:$C$451,$C64,'TL08'!$J$238:$J$451),0),
IF('TL09'!$B$3=J$3,SUMIF('TL09'!$C$10:$C$224,$C64,'TL09'!$J$10:$J$224),0),
IF('TL09'!$B$229=J$3,SUMIF('TL09'!$C$238:$C$451,$C64,'TL09'!$J$238:$J$451),0),
IF('TL10'!$B$3=J$3,SUMIF('TL10'!$C$10:$C$224,$C64,'TL10'!$J$10:$J$224),0),
IF('TL10'!$B$229=J$3,SUMIF('TL10'!$C$238:$C$451,$C64,'TL10'!$J$238:$J$451),0),
IF('TL11'!$B$3=J$3,SUMIF('TL11'!$C$10:$C$224,$C64,'TL11'!$J$10:$J$224),0),
IF('TL11'!$B$229=J$3,SUMIF('TL11'!$C$238:$C$451,$C64,'TL11'!$J$238:$J$451),0),
IF('TL12'!$B$3=J$3,SUMIF('TL12'!$C$10:$C$224,$C64,'TL12'!$J$10:$J$224),0),
IF('TL12'!$B$229=J$3,SUMIF('TL12'!$C$238:$C$451,$C64,'TL12'!$J$238:$J$451),0),
IF('TL13'!$B$3=J$3,SUMIF('TL13'!$C$10:$C$224,$C64,'TL13'!$J$10:$J$224),0),
IF('TL13'!$B$229=J$3,SUMIF('TL13'!$C$238:$C$451,$C64,'TL13'!$J$238:$J$451),0),
IF('TL14'!$B$3=J$3,SUMIF('TL14'!$C$10:$C$224,$C64,'TL14'!$J$10:$J$224),0),
IF('TL14'!$B$229=J$3,SUMIF('TL14'!$C$238:$C$451,$C64,'TL14'!$J$238:$J$451),0),
IF('TL15'!$B$3=J$3,SUMIF('TL15'!$C$10:$C$224,$C64,'TL15'!$J$10:$J$224),0),
IF('TL15'!$B$229=J$3,SUMIF('TL15'!$C$238:$C$451,$C64,'TL15'!$J$238:$J$451),0),
IF('TL16'!$B$3=J$3,SUMIF('TL16'!$C$10:$C$224,$C64,'TL16'!$J$10:$J$224),0),
IF('TL16'!$B$229=J$3,SUMIF('TL16'!$C$238:$C$451,$C64,'TL16'!$J$238:$J$451),0),
IF('TL17'!$B$3=J$3,SUMIF('TL17'!$C$10:$C$224,$C64,'TL17'!$J$10:$J$224),0),
IF('TL17'!$B$229=J$3,SUMIF('TL17'!$C$238:$C$451,$C64,'TL17'!$J$238:$J$451),0),
IF('TL18'!$B$3=J$3,SUMIF('TL18'!$C$10:$C$224,$C64,'TL18'!$J$10:$J$224),0),
IF('TL18'!$B$229=J$3,SUMIF('TL18'!$C$238:$C$451,$C64,'TL18'!$J$238:$J$451),0),
IF('TL19'!$B$3=J$3,SUMIF('TL19'!$C$10:$C$224,$C64,'TL19'!$J$10:$J$224),0),
IF('TL19'!$B$229=J$3,SUMIF('TL19'!$C$238:$C$451,$C64,'TL19'!$J$238:$J$451),0)
),0)</f>
        <v>0</v>
      </c>
      <c r="K64" s="9">
        <f>IFERROR(SUM(
IF('TL01'!$B$3=K$3,SUMIF('TL01'!$C$10:$C$224,$C64,'TL01'!$J$10:$J$224),0),
IF('TL01'!$B$229=K$3,SUMIF('TL01'!$C$238:$C$451,$C64,'TL01'!$J$238:$J$451),0),
IF('TL02'!$B$3=K$3,SUMIF('TL02'!$C$10:$C$224,$C64,'TL02'!$J$10:$J$224),0),
IF('TL02'!$B$229=K$3,SUMIF('TL02'!$C$238:$C$451,$C64,'TL02'!$J$238:$J$451),0),
IF('TL03'!$B$3=K$3,SUMIF('TL03'!$C$10:$C$224,$C64,'TL03'!$J$10:$J$224),0),
IF('TL03'!$B$229=K$3,SUMIF('TL03'!$C$238:$C$451,$C64,'TL03'!$J$238:$J$451),0),
IF('TL04'!$B$3=K$3,SUMIF('TL04'!$C$10:$C$224,$C64,'TL04'!$J$10:$J$224),0),
IF('TL04'!$B$229=K$3,SUMIF('TL04'!$C$238:$C$451,$C64,'TL04'!$J$238:$J$451),0),
IF('TL05'!$B$3=K$3,SUMIF('TL05'!$C$10:$C$224,$C64,'TL05'!$J$10:$J$224),0),
IF('TL05'!$B$229=K$3,SUMIF('TL05'!$C$238:$C$451,$C64,'TL05'!$J$238:$J$451),0),
IF('TL06'!$B$3=K$3,SUMIF('TL06'!$C$10:$C$224,$C64,'TL06'!$J$10:$J$224),0),
IF('TL06'!$B$229=K$3,SUMIF('TL06'!$C$238:$C$451,$C64,'TL06'!$J$238:$J$451),0),
IF('TL07'!$B$3=K$3,SUMIF('TL07'!$C$10:$C$224,$C64,'TL07'!$J$10:$J$224),0),
IF('TL07'!$B$229=K$3,SUMIF('TL07'!$C$238:$C$451,$C64,'TL07'!$J$238:$J$451),0),
IF('TL08'!$B$3=K$3,SUMIF('TL08'!$C$10:$C$224,$C64,'TL08'!$J$10:$J$224),0),
IF('TL08'!$B$229=K$3,SUMIF('TL08'!$C$238:$C$451,$C64,'TL08'!$J$238:$J$451),0),
IF('TL09'!$B$3=K$3,SUMIF('TL09'!$C$10:$C$224,$C64,'TL09'!$J$10:$J$224),0),
IF('TL09'!$B$229=K$3,SUMIF('TL09'!$C$238:$C$451,$C64,'TL09'!$J$238:$J$451),0),
IF('TL10'!$B$3=K$3,SUMIF('TL10'!$C$10:$C$224,$C64,'TL10'!$J$10:$J$224),0),
IF('TL10'!$B$229=K$3,SUMIF('TL10'!$C$238:$C$451,$C64,'TL10'!$J$238:$J$451),0),
IF('TL11'!$B$3=K$3,SUMIF('TL11'!$C$10:$C$224,$C64,'TL11'!$J$10:$J$224),0),
IF('TL11'!$B$229=K$3,SUMIF('TL11'!$C$238:$C$451,$C64,'TL11'!$J$238:$J$451),0),
IF('TL12'!$B$3=K$3,SUMIF('TL12'!$C$10:$C$224,$C64,'TL12'!$J$10:$J$224),0),
IF('TL12'!$B$229=K$3,SUMIF('TL12'!$C$238:$C$451,$C64,'TL12'!$J$238:$J$451),0),
IF('TL13'!$B$3=K$3,SUMIF('TL13'!$C$10:$C$224,$C64,'TL13'!$J$10:$J$224),0),
IF('TL13'!$B$229=K$3,SUMIF('TL13'!$C$238:$C$451,$C64,'TL13'!$J$238:$J$451),0),
IF('TL14'!$B$3=K$3,SUMIF('TL14'!$C$10:$C$224,$C64,'TL14'!$J$10:$J$224),0),
IF('TL14'!$B$229=K$3,SUMIF('TL14'!$C$238:$C$451,$C64,'TL14'!$J$238:$J$451),0),
IF('TL15'!$B$3=K$3,SUMIF('TL15'!$C$10:$C$224,$C64,'TL15'!$J$10:$J$224),0),
IF('TL15'!$B$229=K$3,SUMIF('TL15'!$C$238:$C$451,$C64,'TL15'!$J$238:$J$451),0),
IF('TL16'!$B$3=K$3,SUMIF('TL16'!$C$10:$C$224,$C64,'TL16'!$J$10:$J$224),0),
IF('TL16'!$B$229=K$3,SUMIF('TL16'!$C$238:$C$451,$C64,'TL16'!$J$238:$J$451),0),
IF('TL17'!$B$3=K$3,SUMIF('TL17'!$C$10:$C$224,$C64,'TL17'!$J$10:$J$224),0),
IF('TL17'!$B$229=K$3,SUMIF('TL17'!$C$238:$C$451,$C64,'TL17'!$J$238:$J$451),0),
IF('TL18'!$B$3=K$3,SUMIF('TL18'!$C$10:$C$224,$C64,'TL18'!$J$10:$J$224),0),
IF('TL18'!$B$229=K$3,SUMIF('TL18'!$C$238:$C$451,$C64,'TL18'!$J$238:$J$451),0),
IF('TL19'!$B$3=K$3,SUMIF('TL19'!$C$10:$C$224,$C64,'TL19'!$J$10:$J$224),0),
IF('TL19'!$B$229=K$3,SUMIF('TL19'!$C$238:$C$451,$C64,'TL19'!$J$238:$J$451),0)
),0)</f>
        <v>0</v>
      </c>
      <c r="L64" s="9">
        <f>IFERROR(SUM(
IF('TL01'!$B$3=L$3,SUMIF('TL01'!$C$10:$C$224,$C64,'TL01'!$J$10:$J$224),0),
IF('TL01'!$B$229=L$3,SUMIF('TL01'!$C$238:$C$451,$C64,'TL01'!$J$238:$J$451),0),
IF('TL02'!$B$3=L$3,SUMIF('TL02'!$C$10:$C$224,$C64,'TL02'!$J$10:$J$224),0),
IF('TL02'!$B$229=L$3,SUMIF('TL02'!$C$238:$C$451,$C64,'TL02'!$J$238:$J$451),0),
IF('TL03'!$B$3=L$3,SUMIF('TL03'!$C$10:$C$224,$C64,'TL03'!$J$10:$J$224),0),
IF('TL03'!$B$229=L$3,SUMIF('TL03'!$C$238:$C$451,$C64,'TL03'!$J$238:$J$451),0),
IF('TL04'!$B$3=L$3,SUMIF('TL04'!$C$10:$C$224,$C64,'TL04'!$J$10:$J$224),0),
IF('TL04'!$B$229=L$3,SUMIF('TL04'!$C$238:$C$451,$C64,'TL04'!$J$238:$J$451),0),
IF('TL05'!$B$3=L$3,SUMIF('TL05'!$C$10:$C$224,$C64,'TL05'!$J$10:$J$224),0),
IF('TL05'!$B$229=L$3,SUMIF('TL05'!$C$238:$C$451,$C64,'TL05'!$J$238:$J$451),0),
IF('TL06'!$B$3=L$3,SUMIF('TL06'!$C$10:$C$224,$C64,'TL06'!$J$10:$J$224),0),
IF('TL06'!$B$229=L$3,SUMIF('TL06'!$C$238:$C$451,$C64,'TL06'!$J$238:$J$451),0),
IF('TL07'!$B$3=L$3,SUMIF('TL07'!$C$10:$C$224,$C64,'TL07'!$J$10:$J$224),0),
IF('TL07'!$B$229=L$3,SUMIF('TL07'!$C$238:$C$451,$C64,'TL07'!$J$238:$J$451),0),
IF('TL08'!$B$3=L$3,SUMIF('TL08'!$C$10:$C$224,$C64,'TL08'!$J$10:$J$224),0),
IF('TL08'!$B$229=L$3,SUMIF('TL08'!$C$238:$C$451,$C64,'TL08'!$J$238:$J$451),0),
IF('TL09'!$B$3=L$3,SUMIF('TL09'!$C$10:$C$224,$C64,'TL09'!$J$10:$J$224),0),
IF('TL09'!$B$229=L$3,SUMIF('TL09'!$C$238:$C$451,$C64,'TL09'!$J$238:$J$451),0),
IF('TL10'!$B$3=L$3,SUMIF('TL10'!$C$10:$C$224,$C64,'TL10'!$J$10:$J$224),0),
IF('TL10'!$B$229=L$3,SUMIF('TL10'!$C$238:$C$451,$C64,'TL10'!$J$238:$J$451),0),
IF('TL11'!$B$3=L$3,SUMIF('TL11'!$C$10:$C$224,$C64,'TL11'!$J$10:$J$224),0),
IF('TL11'!$B$229=L$3,SUMIF('TL11'!$C$238:$C$451,$C64,'TL11'!$J$238:$J$451),0),
IF('TL12'!$B$3=L$3,SUMIF('TL12'!$C$10:$C$224,$C64,'TL12'!$J$10:$J$224),0),
IF('TL12'!$B$229=L$3,SUMIF('TL12'!$C$238:$C$451,$C64,'TL12'!$J$238:$J$451),0),
IF('TL13'!$B$3=L$3,SUMIF('TL13'!$C$10:$C$224,$C64,'TL13'!$J$10:$J$224),0),
IF('TL13'!$B$229=L$3,SUMIF('TL13'!$C$238:$C$451,$C64,'TL13'!$J$238:$J$451),0),
IF('TL14'!$B$3=L$3,SUMIF('TL14'!$C$10:$C$224,$C64,'TL14'!$J$10:$J$224),0),
IF('TL14'!$B$229=L$3,SUMIF('TL14'!$C$238:$C$451,$C64,'TL14'!$J$238:$J$451),0),
IF('TL15'!$B$3=L$3,SUMIF('TL15'!$C$10:$C$224,$C64,'TL15'!$J$10:$J$224),0),
IF('TL15'!$B$229=L$3,SUMIF('TL15'!$C$238:$C$451,$C64,'TL15'!$J$238:$J$451),0),
IF('TL16'!$B$3=L$3,SUMIF('TL16'!$C$10:$C$224,$C64,'TL16'!$J$10:$J$224),0),
IF('TL16'!$B$229=L$3,SUMIF('TL16'!$C$238:$C$451,$C64,'TL16'!$J$238:$J$451),0),
IF('TL17'!$B$3=L$3,SUMIF('TL17'!$C$10:$C$224,$C64,'TL17'!$J$10:$J$224),0),
IF('TL17'!$B$229=L$3,SUMIF('TL17'!$C$238:$C$451,$C64,'TL17'!$J$238:$J$451),0),
IF('TL18'!$B$3=L$3,SUMIF('TL18'!$C$10:$C$224,$C64,'TL18'!$J$10:$J$224),0),
IF('TL18'!$B$229=L$3,SUMIF('TL18'!$C$238:$C$451,$C64,'TL18'!$J$238:$J$451),0),
IF('TL19'!$B$3=L$3,SUMIF('TL19'!$C$10:$C$224,$C64,'TL19'!$J$10:$J$224),0),
IF('TL19'!$B$229=L$3,SUMIF('TL19'!$C$238:$C$451,$C64,'TL19'!$J$238:$J$451),0)
),0)</f>
        <v>0</v>
      </c>
      <c r="M64" s="9">
        <f>IFERROR(SUM(
IF('TL01'!$B$3=M$3,SUMIF('TL01'!$C$10:$C$224,$C64,'TL01'!$J$10:$J$224),0),
IF('TL01'!$B$229=M$3,SUMIF('TL01'!$C$238:$C$451,$C64,'TL01'!$J$238:$J$451),0),
IF('TL02'!$B$3=M$3,SUMIF('TL02'!$C$10:$C$224,$C64,'TL02'!$J$10:$J$224),0),
IF('TL02'!$B$229=M$3,SUMIF('TL02'!$C$238:$C$451,$C64,'TL02'!$J$238:$J$451),0),
IF('TL03'!$B$3=M$3,SUMIF('TL03'!$C$10:$C$224,$C64,'TL03'!$J$10:$J$224),0),
IF('TL03'!$B$229=M$3,SUMIF('TL03'!$C$238:$C$451,$C64,'TL03'!$J$238:$J$451),0),
IF('TL04'!$B$3=M$3,SUMIF('TL04'!$C$10:$C$224,$C64,'TL04'!$J$10:$J$224),0),
IF('TL04'!$B$229=M$3,SUMIF('TL04'!$C$238:$C$451,$C64,'TL04'!$J$238:$J$451),0),
IF('TL05'!$B$3=M$3,SUMIF('TL05'!$C$10:$C$224,$C64,'TL05'!$J$10:$J$224),0),
IF('TL05'!$B$229=M$3,SUMIF('TL05'!$C$238:$C$451,$C64,'TL05'!$J$238:$J$451),0),
IF('TL06'!$B$3=M$3,SUMIF('TL06'!$C$10:$C$224,$C64,'TL06'!$J$10:$J$224),0),
IF('TL06'!$B$229=M$3,SUMIF('TL06'!$C$238:$C$451,$C64,'TL06'!$J$238:$J$451),0),
IF('TL07'!$B$3=M$3,SUMIF('TL07'!$C$10:$C$224,$C64,'TL07'!$J$10:$J$224),0),
IF('TL07'!$B$229=M$3,SUMIF('TL07'!$C$238:$C$451,$C64,'TL07'!$J$238:$J$451),0),
IF('TL08'!$B$3=M$3,SUMIF('TL08'!$C$10:$C$224,$C64,'TL08'!$J$10:$J$224),0),
IF('TL08'!$B$229=M$3,SUMIF('TL08'!$C$238:$C$451,$C64,'TL08'!$J$238:$J$451),0),
IF('TL09'!$B$3=M$3,SUMIF('TL09'!$C$10:$C$224,$C64,'TL09'!$J$10:$J$224),0),
IF('TL09'!$B$229=M$3,SUMIF('TL09'!$C$238:$C$451,$C64,'TL09'!$J$238:$J$451),0),
IF('TL10'!$B$3=M$3,SUMIF('TL10'!$C$10:$C$224,$C64,'TL10'!$J$10:$J$224),0),
IF('TL10'!$B$229=M$3,SUMIF('TL10'!$C$238:$C$451,$C64,'TL10'!$J$238:$J$451),0),
IF('TL11'!$B$3=M$3,SUMIF('TL11'!$C$10:$C$224,$C64,'TL11'!$J$10:$J$224),0),
IF('TL11'!$B$229=M$3,SUMIF('TL11'!$C$238:$C$451,$C64,'TL11'!$J$238:$J$451),0),
IF('TL12'!$B$3=M$3,SUMIF('TL12'!$C$10:$C$224,$C64,'TL12'!$J$10:$J$224),0),
IF('TL12'!$B$229=M$3,SUMIF('TL12'!$C$238:$C$451,$C64,'TL12'!$J$238:$J$451),0),
IF('TL13'!$B$3=M$3,SUMIF('TL13'!$C$10:$C$224,$C64,'TL13'!$J$10:$J$224),0),
IF('TL13'!$B$229=M$3,SUMIF('TL13'!$C$238:$C$451,$C64,'TL13'!$J$238:$J$451),0),
IF('TL14'!$B$3=M$3,SUMIF('TL14'!$C$10:$C$224,$C64,'TL14'!$J$10:$J$224),0),
IF('TL14'!$B$229=M$3,SUMIF('TL14'!$C$238:$C$451,$C64,'TL14'!$J$238:$J$451),0),
IF('TL15'!$B$3=M$3,SUMIF('TL15'!$C$10:$C$224,$C64,'TL15'!$J$10:$J$224),0),
IF('TL15'!$B$229=M$3,SUMIF('TL15'!$C$238:$C$451,$C64,'TL15'!$J$238:$J$451),0),
IF('TL16'!$B$3=M$3,SUMIF('TL16'!$C$10:$C$224,$C64,'TL16'!$J$10:$J$224),0),
IF('TL16'!$B$229=M$3,SUMIF('TL16'!$C$238:$C$451,$C64,'TL16'!$J$238:$J$451),0),
IF('TL17'!$B$3=M$3,SUMIF('TL17'!$C$10:$C$224,$C64,'TL17'!$J$10:$J$224),0),
IF('TL17'!$B$229=M$3,SUMIF('TL17'!$C$238:$C$451,$C64,'TL17'!$J$238:$J$451),0),
IF('TL18'!$B$3=M$3,SUMIF('TL18'!$C$10:$C$224,$C64,'TL18'!$J$10:$J$224),0),
IF('TL18'!$B$229=M$3,SUMIF('TL18'!$C$238:$C$451,$C64,'TL18'!$J$238:$J$451),0),
IF('TL19'!$B$3=M$3,SUMIF('TL19'!$C$10:$C$224,$C64,'TL19'!$J$10:$J$224),0),
IF('TL19'!$B$229=M$3,SUMIF('TL19'!$C$238:$C$451,$C64,'TL19'!$J$238:$J$451),0)
),0)</f>
        <v>0</v>
      </c>
      <c r="N64" s="9">
        <f>IFERROR(SUM(
IF('TL01'!$B$3=N$3,SUMIF('TL01'!$C$10:$C$224,$C64,'TL01'!$J$10:$J$224),0),
IF('TL01'!$B$229=N$3,SUMIF('TL01'!$C$238:$C$451,$C64,'TL01'!$J$238:$J$451),0),
IF('TL02'!$B$3=N$3,SUMIF('TL02'!$C$10:$C$224,$C64,'TL02'!$J$10:$J$224),0),
IF('TL02'!$B$229=N$3,SUMIF('TL02'!$C$238:$C$451,$C64,'TL02'!$J$238:$J$451),0),
IF('TL03'!$B$3=N$3,SUMIF('TL03'!$C$10:$C$224,$C64,'TL03'!$J$10:$J$224),0),
IF('TL03'!$B$229=N$3,SUMIF('TL03'!$C$238:$C$451,$C64,'TL03'!$J$238:$J$451),0),
IF('TL04'!$B$3=N$3,SUMIF('TL04'!$C$10:$C$224,$C64,'TL04'!$J$10:$J$224),0),
IF('TL04'!$B$229=N$3,SUMIF('TL04'!$C$238:$C$451,$C64,'TL04'!$J$238:$J$451),0),
IF('TL05'!$B$3=N$3,SUMIF('TL05'!$C$10:$C$224,$C64,'TL05'!$J$10:$J$224),0),
IF('TL05'!$B$229=N$3,SUMIF('TL05'!$C$238:$C$451,$C64,'TL05'!$J$238:$J$451),0),
IF('TL06'!$B$3=N$3,SUMIF('TL06'!$C$10:$C$224,$C64,'TL06'!$J$10:$J$224),0),
IF('TL06'!$B$229=N$3,SUMIF('TL06'!$C$238:$C$451,$C64,'TL06'!$J$238:$J$451),0),
IF('TL07'!$B$3=N$3,SUMIF('TL07'!$C$10:$C$224,$C64,'TL07'!$J$10:$J$224),0),
IF('TL07'!$B$229=N$3,SUMIF('TL07'!$C$238:$C$451,$C64,'TL07'!$J$238:$J$451),0),
IF('TL08'!$B$3=N$3,SUMIF('TL08'!$C$10:$C$224,$C64,'TL08'!$J$10:$J$224),0),
IF('TL08'!$B$229=N$3,SUMIF('TL08'!$C$238:$C$451,$C64,'TL08'!$J$238:$J$451),0),
IF('TL09'!$B$3=N$3,SUMIF('TL09'!$C$10:$C$224,$C64,'TL09'!$J$10:$J$224),0),
IF('TL09'!$B$229=N$3,SUMIF('TL09'!$C$238:$C$451,$C64,'TL09'!$J$238:$J$451),0),
IF('TL10'!$B$3=N$3,SUMIF('TL10'!$C$10:$C$224,$C64,'TL10'!$J$10:$J$224),0),
IF('TL10'!$B$229=N$3,SUMIF('TL10'!$C$238:$C$451,$C64,'TL10'!$J$238:$J$451),0),
IF('TL11'!$B$3=N$3,SUMIF('TL11'!$C$10:$C$224,$C64,'TL11'!$J$10:$J$224),0),
IF('TL11'!$B$229=N$3,SUMIF('TL11'!$C$238:$C$451,$C64,'TL11'!$J$238:$J$451),0),
IF('TL12'!$B$3=N$3,SUMIF('TL12'!$C$10:$C$224,$C64,'TL12'!$J$10:$J$224),0),
IF('TL12'!$B$229=N$3,SUMIF('TL12'!$C$238:$C$451,$C64,'TL12'!$J$238:$J$451),0),
IF('TL13'!$B$3=N$3,SUMIF('TL13'!$C$10:$C$224,$C64,'TL13'!$J$10:$J$224),0),
IF('TL13'!$B$229=N$3,SUMIF('TL13'!$C$238:$C$451,$C64,'TL13'!$J$238:$J$451),0),
IF('TL14'!$B$3=N$3,SUMIF('TL14'!$C$10:$C$224,$C64,'TL14'!$J$10:$J$224),0),
IF('TL14'!$B$229=N$3,SUMIF('TL14'!$C$238:$C$451,$C64,'TL14'!$J$238:$J$451),0),
IF('TL15'!$B$3=N$3,SUMIF('TL15'!$C$10:$C$224,$C64,'TL15'!$J$10:$J$224),0),
IF('TL15'!$B$229=N$3,SUMIF('TL15'!$C$238:$C$451,$C64,'TL15'!$J$238:$J$451),0),
IF('TL16'!$B$3=N$3,SUMIF('TL16'!$C$10:$C$224,$C64,'TL16'!$J$10:$J$224),0),
IF('TL16'!$B$229=N$3,SUMIF('TL16'!$C$238:$C$451,$C64,'TL16'!$J$238:$J$451),0),
IF('TL17'!$B$3=N$3,SUMIF('TL17'!$C$10:$C$224,$C64,'TL17'!$J$10:$J$224),0),
IF('TL17'!$B$229=N$3,SUMIF('TL17'!$C$238:$C$451,$C64,'TL17'!$J$238:$J$451),0),
IF('TL18'!$B$3=N$3,SUMIF('TL18'!$C$10:$C$224,$C64,'TL18'!$J$10:$J$224),0),
IF('TL18'!$B$229=N$3,SUMIF('TL18'!$C$238:$C$451,$C64,'TL18'!$J$238:$J$451),0),
IF('TL19'!$B$3=N$3,SUMIF('TL19'!$C$10:$C$224,$C64,'TL19'!$J$10:$J$224),0),
IF('TL19'!$B$229=N$3,SUMIF('TL19'!$C$238:$C$451,$C64,'TL19'!$J$238:$J$451),0)
),0)</f>
        <v>0</v>
      </c>
      <c r="O64" s="9">
        <f>IFERROR(SUM(
IF('TL01'!$B$3=O$3,SUMIF('TL01'!$C$10:$C$224,$C64,'TL01'!$J$10:$J$224),0),
IF('TL01'!$B$229=O$3,SUMIF('TL01'!$C$238:$C$451,$C64,'TL01'!$J$238:$J$451),0),
IF('TL02'!$B$3=O$3,SUMIF('TL02'!$C$10:$C$224,$C64,'TL02'!$J$10:$J$224),0),
IF('TL02'!$B$229=O$3,SUMIF('TL02'!$C$238:$C$451,$C64,'TL02'!$J$238:$J$451),0),
IF('TL03'!$B$3=O$3,SUMIF('TL03'!$C$10:$C$224,$C64,'TL03'!$J$10:$J$224),0),
IF('TL03'!$B$229=O$3,SUMIF('TL03'!$C$238:$C$451,$C64,'TL03'!$J$238:$J$451),0),
IF('TL04'!$B$3=O$3,SUMIF('TL04'!$C$10:$C$224,$C64,'TL04'!$J$10:$J$224),0),
IF('TL04'!$B$229=O$3,SUMIF('TL04'!$C$238:$C$451,$C64,'TL04'!$J$238:$J$451),0),
IF('TL05'!$B$3=O$3,SUMIF('TL05'!$C$10:$C$224,$C64,'TL05'!$J$10:$J$224),0),
IF('TL05'!$B$229=O$3,SUMIF('TL05'!$C$238:$C$451,$C64,'TL05'!$J$238:$J$451),0),
IF('TL06'!$B$3=O$3,SUMIF('TL06'!$C$10:$C$224,$C64,'TL06'!$J$10:$J$224),0),
IF('TL06'!$B$229=O$3,SUMIF('TL06'!$C$238:$C$451,$C64,'TL06'!$J$238:$J$451),0),
IF('TL07'!$B$3=O$3,SUMIF('TL07'!$C$10:$C$224,$C64,'TL07'!$J$10:$J$224),0),
IF('TL07'!$B$229=O$3,SUMIF('TL07'!$C$238:$C$451,$C64,'TL07'!$J$238:$J$451),0),
IF('TL08'!$B$3=O$3,SUMIF('TL08'!$C$10:$C$224,$C64,'TL08'!$J$10:$J$224),0),
IF('TL08'!$B$229=O$3,SUMIF('TL08'!$C$238:$C$451,$C64,'TL08'!$J$238:$J$451),0),
IF('TL09'!$B$3=O$3,SUMIF('TL09'!$C$10:$C$224,$C64,'TL09'!$J$10:$J$224),0),
IF('TL09'!$B$229=O$3,SUMIF('TL09'!$C$238:$C$451,$C64,'TL09'!$J$238:$J$451),0),
IF('TL10'!$B$3=O$3,SUMIF('TL10'!$C$10:$C$224,$C64,'TL10'!$J$10:$J$224),0),
IF('TL10'!$B$229=O$3,SUMIF('TL10'!$C$238:$C$451,$C64,'TL10'!$J$238:$J$451),0),
IF('TL11'!$B$3=O$3,SUMIF('TL11'!$C$10:$C$224,$C64,'TL11'!$J$10:$J$224),0),
IF('TL11'!$B$229=O$3,SUMIF('TL11'!$C$238:$C$451,$C64,'TL11'!$J$238:$J$451),0),
IF('TL12'!$B$3=O$3,SUMIF('TL12'!$C$10:$C$224,$C64,'TL12'!$J$10:$J$224),0),
IF('TL12'!$B$229=O$3,SUMIF('TL12'!$C$238:$C$451,$C64,'TL12'!$J$238:$J$451),0),
IF('TL13'!$B$3=O$3,SUMIF('TL13'!$C$10:$C$224,$C64,'TL13'!$J$10:$J$224),0),
IF('TL13'!$B$229=O$3,SUMIF('TL13'!$C$238:$C$451,$C64,'TL13'!$J$238:$J$451),0),
IF('TL14'!$B$3=O$3,SUMIF('TL14'!$C$10:$C$224,$C64,'TL14'!$J$10:$J$224),0),
IF('TL14'!$B$229=O$3,SUMIF('TL14'!$C$238:$C$451,$C64,'TL14'!$J$238:$J$451),0),
IF('TL15'!$B$3=O$3,SUMIF('TL15'!$C$10:$C$224,$C64,'TL15'!$J$10:$J$224),0),
IF('TL15'!$B$229=O$3,SUMIF('TL15'!$C$238:$C$451,$C64,'TL15'!$J$238:$J$451),0),
IF('TL16'!$B$3=O$3,SUMIF('TL16'!$C$10:$C$224,$C64,'TL16'!$J$10:$J$224),0),
IF('TL16'!$B$229=O$3,SUMIF('TL16'!$C$238:$C$451,$C64,'TL16'!$J$238:$J$451),0),
IF('TL17'!$B$3=O$3,SUMIF('TL17'!$C$10:$C$224,$C64,'TL17'!$J$10:$J$224),0),
IF('TL17'!$B$229=O$3,SUMIF('TL17'!$C$238:$C$451,$C64,'TL17'!$J$238:$J$451),0),
IF('TL18'!$B$3=O$3,SUMIF('TL18'!$C$10:$C$224,$C64,'TL18'!$J$10:$J$224),0),
IF('TL18'!$B$229=O$3,SUMIF('TL18'!$C$238:$C$451,$C64,'TL18'!$J$238:$J$451),0),
IF('TL19'!$B$3=O$3,SUMIF('TL19'!$C$10:$C$224,$C64,'TL19'!$J$10:$J$224),0),
IF('TL19'!$B$229=O$3,SUMIF('TL19'!$C$238:$C$451,$C64,'TL19'!$J$238:$J$451),0)
),0)</f>
        <v>0</v>
      </c>
      <c r="P64" s="9">
        <f>IFERROR(SUM(
IF('TL01'!$B$3=P$3,SUMIF('TL01'!$C$10:$C$224,$C64,'TL01'!$J$10:$J$224),0),
IF('TL01'!$B$229=P$3,SUMIF('TL01'!$C$238:$C$451,$C64,'TL01'!$J$238:$J$451),0),
IF('TL02'!$B$3=P$3,SUMIF('TL02'!$C$10:$C$224,$C64,'TL02'!$J$10:$J$224),0),
IF('TL02'!$B$229=P$3,SUMIF('TL02'!$C$238:$C$451,$C64,'TL02'!$J$238:$J$451),0),
IF('TL03'!$B$3=P$3,SUMIF('TL03'!$C$10:$C$224,$C64,'TL03'!$J$10:$J$224),0),
IF('TL03'!$B$229=P$3,SUMIF('TL03'!$C$238:$C$451,$C64,'TL03'!$J$238:$J$451),0),
IF('TL04'!$B$3=P$3,SUMIF('TL04'!$C$10:$C$224,$C64,'TL04'!$J$10:$J$224),0),
IF('TL04'!$B$229=P$3,SUMIF('TL04'!$C$238:$C$451,$C64,'TL04'!$J$238:$J$451),0),
IF('TL05'!$B$3=P$3,SUMIF('TL05'!$C$10:$C$224,$C64,'TL05'!$J$10:$J$224),0),
IF('TL05'!$B$229=P$3,SUMIF('TL05'!$C$238:$C$451,$C64,'TL05'!$J$238:$J$451),0),
IF('TL06'!$B$3=P$3,SUMIF('TL06'!$C$10:$C$224,$C64,'TL06'!$J$10:$J$224),0),
IF('TL06'!$B$229=P$3,SUMIF('TL06'!$C$238:$C$451,$C64,'TL06'!$J$238:$J$451),0),
IF('TL07'!$B$3=P$3,SUMIF('TL07'!$C$10:$C$224,$C64,'TL07'!$J$10:$J$224),0),
IF('TL07'!$B$229=P$3,SUMIF('TL07'!$C$238:$C$451,$C64,'TL07'!$J$238:$J$451),0),
IF('TL08'!$B$3=P$3,SUMIF('TL08'!$C$10:$C$224,$C64,'TL08'!$J$10:$J$224),0),
IF('TL08'!$B$229=P$3,SUMIF('TL08'!$C$238:$C$451,$C64,'TL08'!$J$238:$J$451),0),
IF('TL09'!$B$3=P$3,SUMIF('TL09'!$C$10:$C$224,$C64,'TL09'!$J$10:$J$224),0),
IF('TL09'!$B$229=P$3,SUMIF('TL09'!$C$238:$C$451,$C64,'TL09'!$J$238:$J$451),0),
IF('TL10'!$B$3=P$3,SUMIF('TL10'!$C$10:$C$224,$C64,'TL10'!$J$10:$J$224),0),
IF('TL10'!$B$229=P$3,SUMIF('TL10'!$C$238:$C$451,$C64,'TL10'!$J$238:$J$451),0),
IF('TL11'!$B$3=P$3,SUMIF('TL11'!$C$10:$C$224,$C64,'TL11'!$J$10:$J$224),0),
IF('TL11'!$B$229=P$3,SUMIF('TL11'!$C$238:$C$451,$C64,'TL11'!$J$238:$J$451),0),
IF('TL12'!$B$3=P$3,SUMIF('TL12'!$C$10:$C$224,$C64,'TL12'!$J$10:$J$224),0),
IF('TL12'!$B$229=P$3,SUMIF('TL12'!$C$238:$C$451,$C64,'TL12'!$J$238:$J$451),0),
IF('TL13'!$B$3=P$3,SUMIF('TL13'!$C$10:$C$224,$C64,'TL13'!$J$10:$J$224),0),
IF('TL13'!$B$229=P$3,SUMIF('TL13'!$C$238:$C$451,$C64,'TL13'!$J$238:$J$451),0),
IF('TL14'!$B$3=P$3,SUMIF('TL14'!$C$10:$C$224,$C64,'TL14'!$J$10:$J$224),0),
IF('TL14'!$B$229=P$3,SUMIF('TL14'!$C$238:$C$451,$C64,'TL14'!$J$238:$J$451),0),
IF('TL15'!$B$3=P$3,SUMIF('TL15'!$C$10:$C$224,$C64,'TL15'!$J$10:$J$224),0),
IF('TL15'!$B$229=P$3,SUMIF('TL15'!$C$238:$C$451,$C64,'TL15'!$J$238:$J$451),0),
IF('TL16'!$B$3=P$3,SUMIF('TL16'!$C$10:$C$224,$C64,'TL16'!$J$10:$J$224),0),
IF('TL16'!$B$229=P$3,SUMIF('TL16'!$C$238:$C$451,$C64,'TL16'!$J$238:$J$451),0),
IF('TL17'!$B$3=P$3,SUMIF('TL17'!$C$10:$C$224,$C64,'TL17'!$J$10:$J$224),0),
IF('TL17'!$B$229=P$3,SUMIF('TL17'!$C$238:$C$451,$C64,'TL17'!$J$238:$J$451),0),
IF('TL18'!$B$3=P$3,SUMIF('TL18'!$C$10:$C$224,$C64,'TL18'!$J$10:$J$224),0),
IF('TL18'!$B$229=P$3,SUMIF('TL18'!$C$238:$C$451,$C64,'TL18'!$J$238:$J$451),0),
IF('TL19'!$B$3=P$3,SUMIF('TL19'!$C$10:$C$224,$C64,'TL19'!$J$10:$J$224),0),
IF('TL19'!$B$229=P$3,SUMIF('TL19'!$C$238:$C$451,$C64,'TL19'!$J$238:$J$451),0)
),0)</f>
        <v>0</v>
      </c>
      <c r="Q64" s="9">
        <f>IFERROR(SUM(
IF('TL01'!$B$3=Q$3,SUMIF('TL01'!$C$10:$C$224,$C64,'TL01'!$J$10:$J$224),0),
IF('TL01'!$B$229=Q$3,SUMIF('TL01'!$C$238:$C$451,$C64,'TL01'!$J$238:$J$451),0),
IF('TL02'!$B$3=Q$3,SUMIF('TL02'!$C$10:$C$224,$C64,'TL02'!$J$10:$J$224),0),
IF('TL02'!$B$229=Q$3,SUMIF('TL02'!$C$238:$C$451,$C64,'TL02'!$J$238:$J$451),0),
IF('TL03'!$B$3=Q$3,SUMIF('TL03'!$C$10:$C$224,$C64,'TL03'!$J$10:$J$224),0),
IF('TL03'!$B$229=Q$3,SUMIF('TL03'!$C$238:$C$451,$C64,'TL03'!$J$238:$J$451),0),
IF('TL04'!$B$3=Q$3,SUMIF('TL04'!$C$10:$C$224,$C64,'TL04'!$J$10:$J$224),0),
IF('TL04'!$B$229=Q$3,SUMIF('TL04'!$C$238:$C$451,$C64,'TL04'!$J$238:$J$451),0),
IF('TL05'!$B$3=Q$3,SUMIF('TL05'!$C$10:$C$224,$C64,'TL05'!$J$10:$J$224),0),
IF('TL05'!$B$229=Q$3,SUMIF('TL05'!$C$238:$C$451,$C64,'TL05'!$J$238:$J$451),0),
IF('TL06'!$B$3=Q$3,SUMIF('TL06'!$C$10:$C$224,$C64,'TL06'!$J$10:$J$224),0),
IF('TL06'!$B$229=Q$3,SUMIF('TL06'!$C$238:$C$451,$C64,'TL06'!$J$238:$J$451),0),
IF('TL07'!$B$3=Q$3,SUMIF('TL07'!$C$10:$C$224,$C64,'TL07'!$J$10:$J$224),0),
IF('TL07'!$B$229=Q$3,SUMIF('TL07'!$C$238:$C$451,$C64,'TL07'!$J$238:$J$451),0),
IF('TL08'!$B$3=Q$3,SUMIF('TL08'!$C$10:$C$224,$C64,'TL08'!$J$10:$J$224),0),
IF('TL08'!$B$229=Q$3,SUMIF('TL08'!$C$238:$C$451,$C64,'TL08'!$J$238:$J$451),0),
IF('TL09'!$B$3=Q$3,SUMIF('TL09'!$C$10:$C$224,$C64,'TL09'!$J$10:$J$224),0),
IF('TL09'!$B$229=Q$3,SUMIF('TL09'!$C$238:$C$451,$C64,'TL09'!$J$238:$J$451),0),
IF('TL10'!$B$3=Q$3,SUMIF('TL10'!$C$10:$C$224,$C64,'TL10'!$J$10:$J$224),0),
IF('TL10'!$B$229=Q$3,SUMIF('TL10'!$C$238:$C$451,$C64,'TL10'!$J$238:$J$451),0),
IF('TL11'!$B$3=Q$3,SUMIF('TL11'!$C$10:$C$224,$C64,'TL11'!$J$10:$J$224),0),
IF('TL11'!$B$229=Q$3,SUMIF('TL11'!$C$238:$C$451,$C64,'TL11'!$J$238:$J$451),0),
IF('TL12'!$B$3=Q$3,SUMIF('TL12'!$C$10:$C$224,$C64,'TL12'!$J$10:$J$224),0),
IF('TL12'!$B$229=Q$3,SUMIF('TL12'!$C$238:$C$451,$C64,'TL12'!$J$238:$J$451),0),
IF('TL13'!$B$3=Q$3,SUMIF('TL13'!$C$10:$C$224,$C64,'TL13'!$J$10:$J$224),0),
IF('TL13'!$B$229=Q$3,SUMIF('TL13'!$C$238:$C$451,$C64,'TL13'!$J$238:$J$451),0),
IF('TL14'!$B$3=Q$3,SUMIF('TL14'!$C$10:$C$224,$C64,'TL14'!$J$10:$J$224),0),
IF('TL14'!$B$229=Q$3,SUMIF('TL14'!$C$238:$C$451,$C64,'TL14'!$J$238:$J$451),0),
IF('TL15'!$B$3=Q$3,SUMIF('TL15'!$C$10:$C$224,$C64,'TL15'!$J$10:$J$224),0),
IF('TL15'!$B$229=Q$3,SUMIF('TL15'!$C$238:$C$451,$C64,'TL15'!$J$238:$J$451),0),
IF('TL16'!$B$3=Q$3,SUMIF('TL16'!$C$10:$C$224,$C64,'TL16'!$J$10:$J$224),0),
IF('TL16'!$B$229=Q$3,SUMIF('TL16'!$C$238:$C$451,$C64,'TL16'!$J$238:$J$451),0),
IF('TL17'!$B$3=Q$3,SUMIF('TL17'!$C$10:$C$224,$C64,'TL17'!$J$10:$J$224),0),
IF('TL17'!$B$229=Q$3,SUMIF('TL17'!$C$238:$C$451,$C64,'TL17'!$J$238:$J$451),0),
IF('TL18'!$B$3=Q$3,SUMIF('TL18'!$C$10:$C$224,$C64,'TL18'!$J$10:$J$224),0),
IF('TL18'!$B$229=Q$3,SUMIF('TL18'!$C$238:$C$451,$C64,'TL18'!$J$238:$J$451),0),
IF('TL19'!$B$3=Q$3,SUMIF('TL19'!$C$10:$C$224,$C64,'TL19'!$J$10:$J$224),0),
IF('TL19'!$B$229=Q$3,SUMIF('TL19'!$C$238:$C$451,$C64,'TL19'!$J$238:$J$451),0)
),0)</f>
        <v>0</v>
      </c>
      <c r="R64" s="9">
        <f>IFERROR(
SUM(
SUMIF('TL01'!C:C,C64,'TL01'!J:J),
SUMIF('TL02'!C:C,C64,'TL02'!J:J),
SUMIF('TL03'!C:C,C64,'TL03'!J:J),
SUMIF('TL04'!C:C,C64,'TL04'!J:J),
SUMIF('TL05'!C:C,C64,'TL05'!J:J),
SUMIF('TL06'!C:C,C64,'TL06'!J:J),
SUMIF('TL07'!C:C,C64,'TL07'!J:J),
SUMIF('TL08'!C:C,C64,'TL08'!J:J),
SUMIF('TL09'!C:C,C64,'TL09'!J:J),
SUMIF('TL10'!C:C,C64,'TL10'!J:J),
SUMIF('TL11'!C:C,C64,'TL11'!J:J),
SUMIF('TL12'!C:C,C64,'TL12'!J:J),
SUMIF('TL13'!C:C,C64,'TL13'!J:J),
SUMIF('TL14'!C:C,C64,'TL14'!J:J),
SUMIF('TL15'!C:C,C64,'TL15'!J:J),
SUMIF('TL16'!C:C,C64,'TL16'!J:J),
SUMIF('TL17'!C:C,C64,'TL17'!J:J),
SUMIF('TL18'!C:C,C64,'TL18'!J:J),SUMIF('TL19'!C:C,C64,'TL19'!J:J))
,0)</f>
        <v>0</v>
      </c>
      <c r="S64" s="17">
        <f>IFERROR(__xludf.DUMMYFUNCTION("IFERROR(VLOOKUP(C64,
IMPORTRANGE(""1wULbzX32WdYsx-lj2U3uUNBBe2INVIRDtcK0d-Dvl90"",
""26-27!C:G""),
5,
FALSE),
"""")"),118.03392000000001)</f>
        <v>118.03392</v>
      </c>
      <c r="T64" s="9"/>
      <c r="U64" s="92">
        <f t="shared" si="2"/>
        <v>0</v>
      </c>
      <c r="V64" s="93">
        <f t="shared" si="3"/>
        <v>0</v>
      </c>
    </row>
    <row r="65" ht="15.75" hidden="1" customHeight="1">
      <c r="A65" s="111" t="s">
        <v>504</v>
      </c>
      <c r="B65" s="112" t="s">
        <v>0</v>
      </c>
      <c r="C65" s="113" t="s">
        <v>505</v>
      </c>
      <c r="D65" s="113" t="s">
        <v>506</v>
      </c>
      <c r="E65" s="113">
        <v>430.0</v>
      </c>
      <c r="F65" s="4" t="s">
        <v>343</v>
      </c>
      <c r="G65" s="90" t="str">
        <f t="shared" si="4"/>
        <v>📄 Ver bula</v>
      </c>
      <c r="H65" s="9">
        <f>IFERROR(__xludf.DUMMYFUNCTION("IFERROR(VLOOKUP(C65,
IMPORTRANGE(""1wULbzX32WdYsx-lj2U3uUNBBe2INVIRDtcK0d-Dvl90"",
""26-27!C:K""),
8,
FALSE),
"""")"),0.4)</f>
        <v>0.4</v>
      </c>
      <c r="I65" s="114" t="s">
        <v>344</v>
      </c>
      <c r="J65" s="9">
        <f>IFERROR(SUM(
IF('TL01'!$B$3=J$3,SUMIF('TL01'!$C$10:$C$224,$C65,'TL01'!$J$10:$J$224),0),
IF('TL01'!$B$229=J$3,SUMIF('TL01'!$C$238:$C$451,$C65,'TL01'!$J$238:$J$451),0),
IF('TL02'!$B$3=J$3,SUMIF('TL02'!$C$10:$C$224,$C65,'TL02'!$J$10:$J$224),0),
IF('TL02'!$B$229=J$3,SUMIF('TL02'!$C$238:$C$451,$C65,'TL02'!$J$238:$J$451),0),
IF('TL03'!$B$3=J$3,SUMIF('TL03'!$C$10:$C$224,$C65,'TL03'!$J$10:$J$224),0),
IF('TL03'!$B$229=J$3,SUMIF('TL03'!$C$238:$C$451,$C65,'TL03'!$J$238:$J$451),0),
IF('TL04'!$B$3=J$3,SUMIF('TL04'!$C$10:$C$224,$C65,'TL04'!$J$10:$J$224),0),
IF('TL04'!$B$229=J$3,SUMIF('TL04'!$C$238:$C$451,$C65,'TL04'!$J$238:$J$451),0),
IF('TL05'!$B$3=J$3,SUMIF('TL05'!$C$10:$C$224,$C65,'TL05'!$J$10:$J$224),0),
IF('TL05'!$B$229=J$3,SUMIF('TL05'!$C$238:$C$451,$C65,'TL05'!$J$238:$J$451),0),
IF('TL06'!$B$3=J$3,SUMIF('TL06'!$C$10:$C$224,$C65,'TL06'!$J$10:$J$224),0),
IF('TL06'!$B$229=J$3,SUMIF('TL06'!$C$238:$C$451,$C65,'TL06'!$J$238:$J$451),0),
IF('TL07'!$B$3=J$3,SUMIF('TL07'!$C$10:$C$224,$C65,'TL07'!$J$10:$J$224),0),
IF('TL07'!$B$229=J$3,SUMIF('TL07'!$C$238:$C$451,$C65,'TL07'!$J$238:$J$451),0),
IF('TL08'!$B$3=J$3,SUMIF('TL08'!$C$10:$C$224,$C65,'TL08'!$J$10:$J$224),0),
IF('TL08'!$B$229=J$3,SUMIF('TL08'!$C$238:$C$451,$C65,'TL08'!$J$238:$J$451),0),
IF('TL09'!$B$3=J$3,SUMIF('TL09'!$C$10:$C$224,$C65,'TL09'!$J$10:$J$224),0),
IF('TL09'!$B$229=J$3,SUMIF('TL09'!$C$238:$C$451,$C65,'TL09'!$J$238:$J$451),0),
IF('TL10'!$B$3=J$3,SUMIF('TL10'!$C$10:$C$224,$C65,'TL10'!$J$10:$J$224),0),
IF('TL10'!$B$229=J$3,SUMIF('TL10'!$C$238:$C$451,$C65,'TL10'!$J$238:$J$451),0),
IF('TL11'!$B$3=J$3,SUMIF('TL11'!$C$10:$C$224,$C65,'TL11'!$J$10:$J$224),0),
IF('TL11'!$B$229=J$3,SUMIF('TL11'!$C$238:$C$451,$C65,'TL11'!$J$238:$J$451),0),
IF('TL12'!$B$3=J$3,SUMIF('TL12'!$C$10:$C$224,$C65,'TL12'!$J$10:$J$224),0),
IF('TL12'!$B$229=J$3,SUMIF('TL12'!$C$238:$C$451,$C65,'TL12'!$J$238:$J$451),0),
IF('TL13'!$B$3=J$3,SUMIF('TL13'!$C$10:$C$224,$C65,'TL13'!$J$10:$J$224),0),
IF('TL13'!$B$229=J$3,SUMIF('TL13'!$C$238:$C$451,$C65,'TL13'!$J$238:$J$451),0),
IF('TL14'!$B$3=J$3,SUMIF('TL14'!$C$10:$C$224,$C65,'TL14'!$J$10:$J$224),0),
IF('TL14'!$B$229=J$3,SUMIF('TL14'!$C$238:$C$451,$C65,'TL14'!$J$238:$J$451),0),
IF('TL15'!$B$3=J$3,SUMIF('TL15'!$C$10:$C$224,$C65,'TL15'!$J$10:$J$224),0),
IF('TL15'!$B$229=J$3,SUMIF('TL15'!$C$238:$C$451,$C65,'TL15'!$J$238:$J$451),0),
IF('TL16'!$B$3=J$3,SUMIF('TL16'!$C$10:$C$224,$C65,'TL16'!$J$10:$J$224),0),
IF('TL16'!$B$229=J$3,SUMIF('TL16'!$C$238:$C$451,$C65,'TL16'!$J$238:$J$451),0),
IF('TL17'!$B$3=J$3,SUMIF('TL17'!$C$10:$C$224,$C65,'TL17'!$J$10:$J$224),0),
IF('TL17'!$B$229=J$3,SUMIF('TL17'!$C$238:$C$451,$C65,'TL17'!$J$238:$J$451),0),
IF('TL18'!$B$3=J$3,SUMIF('TL18'!$C$10:$C$224,$C65,'TL18'!$J$10:$J$224),0),
IF('TL18'!$B$229=J$3,SUMIF('TL18'!$C$238:$C$451,$C65,'TL18'!$J$238:$J$451),0),
IF('TL19'!$B$3=J$3,SUMIF('TL19'!$C$10:$C$224,$C65,'TL19'!$J$10:$J$224),0),
IF('TL19'!$B$229=J$3,SUMIF('TL19'!$C$238:$C$451,$C65,'TL19'!$J$238:$J$451),0)
),0)</f>
        <v>0</v>
      </c>
      <c r="K65" s="9">
        <f>IFERROR(SUM(
IF('TL01'!$B$3=K$3,SUMIF('TL01'!$C$10:$C$224,$C65,'TL01'!$J$10:$J$224),0),
IF('TL01'!$B$229=K$3,SUMIF('TL01'!$C$238:$C$451,$C65,'TL01'!$J$238:$J$451),0),
IF('TL02'!$B$3=K$3,SUMIF('TL02'!$C$10:$C$224,$C65,'TL02'!$J$10:$J$224),0),
IF('TL02'!$B$229=K$3,SUMIF('TL02'!$C$238:$C$451,$C65,'TL02'!$J$238:$J$451),0),
IF('TL03'!$B$3=K$3,SUMIF('TL03'!$C$10:$C$224,$C65,'TL03'!$J$10:$J$224),0),
IF('TL03'!$B$229=K$3,SUMIF('TL03'!$C$238:$C$451,$C65,'TL03'!$J$238:$J$451),0),
IF('TL04'!$B$3=K$3,SUMIF('TL04'!$C$10:$C$224,$C65,'TL04'!$J$10:$J$224),0),
IF('TL04'!$B$229=K$3,SUMIF('TL04'!$C$238:$C$451,$C65,'TL04'!$J$238:$J$451),0),
IF('TL05'!$B$3=K$3,SUMIF('TL05'!$C$10:$C$224,$C65,'TL05'!$J$10:$J$224),0),
IF('TL05'!$B$229=K$3,SUMIF('TL05'!$C$238:$C$451,$C65,'TL05'!$J$238:$J$451),0),
IF('TL06'!$B$3=K$3,SUMIF('TL06'!$C$10:$C$224,$C65,'TL06'!$J$10:$J$224),0),
IF('TL06'!$B$229=K$3,SUMIF('TL06'!$C$238:$C$451,$C65,'TL06'!$J$238:$J$451),0),
IF('TL07'!$B$3=K$3,SUMIF('TL07'!$C$10:$C$224,$C65,'TL07'!$J$10:$J$224),0),
IF('TL07'!$B$229=K$3,SUMIF('TL07'!$C$238:$C$451,$C65,'TL07'!$J$238:$J$451),0),
IF('TL08'!$B$3=K$3,SUMIF('TL08'!$C$10:$C$224,$C65,'TL08'!$J$10:$J$224),0),
IF('TL08'!$B$229=K$3,SUMIF('TL08'!$C$238:$C$451,$C65,'TL08'!$J$238:$J$451),0),
IF('TL09'!$B$3=K$3,SUMIF('TL09'!$C$10:$C$224,$C65,'TL09'!$J$10:$J$224),0),
IF('TL09'!$B$229=K$3,SUMIF('TL09'!$C$238:$C$451,$C65,'TL09'!$J$238:$J$451),0),
IF('TL10'!$B$3=K$3,SUMIF('TL10'!$C$10:$C$224,$C65,'TL10'!$J$10:$J$224),0),
IF('TL10'!$B$229=K$3,SUMIF('TL10'!$C$238:$C$451,$C65,'TL10'!$J$238:$J$451),0),
IF('TL11'!$B$3=K$3,SUMIF('TL11'!$C$10:$C$224,$C65,'TL11'!$J$10:$J$224),0),
IF('TL11'!$B$229=K$3,SUMIF('TL11'!$C$238:$C$451,$C65,'TL11'!$J$238:$J$451),0),
IF('TL12'!$B$3=K$3,SUMIF('TL12'!$C$10:$C$224,$C65,'TL12'!$J$10:$J$224),0),
IF('TL12'!$B$229=K$3,SUMIF('TL12'!$C$238:$C$451,$C65,'TL12'!$J$238:$J$451),0),
IF('TL13'!$B$3=K$3,SUMIF('TL13'!$C$10:$C$224,$C65,'TL13'!$J$10:$J$224),0),
IF('TL13'!$B$229=K$3,SUMIF('TL13'!$C$238:$C$451,$C65,'TL13'!$J$238:$J$451),0),
IF('TL14'!$B$3=K$3,SUMIF('TL14'!$C$10:$C$224,$C65,'TL14'!$J$10:$J$224),0),
IF('TL14'!$B$229=K$3,SUMIF('TL14'!$C$238:$C$451,$C65,'TL14'!$J$238:$J$451),0),
IF('TL15'!$B$3=K$3,SUMIF('TL15'!$C$10:$C$224,$C65,'TL15'!$J$10:$J$224),0),
IF('TL15'!$B$229=K$3,SUMIF('TL15'!$C$238:$C$451,$C65,'TL15'!$J$238:$J$451),0),
IF('TL16'!$B$3=K$3,SUMIF('TL16'!$C$10:$C$224,$C65,'TL16'!$J$10:$J$224),0),
IF('TL16'!$B$229=K$3,SUMIF('TL16'!$C$238:$C$451,$C65,'TL16'!$J$238:$J$451),0),
IF('TL17'!$B$3=K$3,SUMIF('TL17'!$C$10:$C$224,$C65,'TL17'!$J$10:$J$224),0),
IF('TL17'!$B$229=K$3,SUMIF('TL17'!$C$238:$C$451,$C65,'TL17'!$J$238:$J$451),0),
IF('TL18'!$B$3=K$3,SUMIF('TL18'!$C$10:$C$224,$C65,'TL18'!$J$10:$J$224),0),
IF('TL18'!$B$229=K$3,SUMIF('TL18'!$C$238:$C$451,$C65,'TL18'!$J$238:$J$451),0),
IF('TL19'!$B$3=K$3,SUMIF('TL19'!$C$10:$C$224,$C65,'TL19'!$J$10:$J$224),0),
IF('TL19'!$B$229=K$3,SUMIF('TL19'!$C$238:$C$451,$C65,'TL19'!$J$238:$J$451),0)
),0)</f>
        <v>0</v>
      </c>
      <c r="L65" s="9">
        <f>IFERROR(SUM(
IF('TL01'!$B$3=L$3,SUMIF('TL01'!$C$10:$C$224,$C65,'TL01'!$J$10:$J$224),0),
IF('TL01'!$B$229=L$3,SUMIF('TL01'!$C$238:$C$451,$C65,'TL01'!$J$238:$J$451),0),
IF('TL02'!$B$3=L$3,SUMIF('TL02'!$C$10:$C$224,$C65,'TL02'!$J$10:$J$224),0),
IF('TL02'!$B$229=L$3,SUMIF('TL02'!$C$238:$C$451,$C65,'TL02'!$J$238:$J$451),0),
IF('TL03'!$B$3=L$3,SUMIF('TL03'!$C$10:$C$224,$C65,'TL03'!$J$10:$J$224),0),
IF('TL03'!$B$229=L$3,SUMIF('TL03'!$C$238:$C$451,$C65,'TL03'!$J$238:$J$451),0),
IF('TL04'!$B$3=L$3,SUMIF('TL04'!$C$10:$C$224,$C65,'TL04'!$J$10:$J$224),0),
IF('TL04'!$B$229=L$3,SUMIF('TL04'!$C$238:$C$451,$C65,'TL04'!$J$238:$J$451),0),
IF('TL05'!$B$3=L$3,SUMIF('TL05'!$C$10:$C$224,$C65,'TL05'!$J$10:$J$224),0),
IF('TL05'!$B$229=L$3,SUMIF('TL05'!$C$238:$C$451,$C65,'TL05'!$J$238:$J$451),0),
IF('TL06'!$B$3=L$3,SUMIF('TL06'!$C$10:$C$224,$C65,'TL06'!$J$10:$J$224),0),
IF('TL06'!$B$229=L$3,SUMIF('TL06'!$C$238:$C$451,$C65,'TL06'!$J$238:$J$451),0),
IF('TL07'!$B$3=L$3,SUMIF('TL07'!$C$10:$C$224,$C65,'TL07'!$J$10:$J$224),0),
IF('TL07'!$B$229=L$3,SUMIF('TL07'!$C$238:$C$451,$C65,'TL07'!$J$238:$J$451),0),
IF('TL08'!$B$3=L$3,SUMIF('TL08'!$C$10:$C$224,$C65,'TL08'!$J$10:$J$224),0),
IF('TL08'!$B$229=L$3,SUMIF('TL08'!$C$238:$C$451,$C65,'TL08'!$J$238:$J$451),0),
IF('TL09'!$B$3=L$3,SUMIF('TL09'!$C$10:$C$224,$C65,'TL09'!$J$10:$J$224),0),
IF('TL09'!$B$229=L$3,SUMIF('TL09'!$C$238:$C$451,$C65,'TL09'!$J$238:$J$451),0),
IF('TL10'!$B$3=L$3,SUMIF('TL10'!$C$10:$C$224,$C65,'TL10'!$J$10:$J$224),0),
IF('TL10'!$B$229=L$3,SUMIF('TL10'!$C$238:$C$451,$C65,'TL10'!$J$238:$J$451),0),
IF('TL11'!$B$3=L$3,SUMIF('TL11'!$C$10:$C$224,$C65,'TL11'!$J$10:$J$224),0),
IF('TL11'!$B$229=L$3,SUMIF('TL11'!$C$238:$C$451,$C65,'TL11'!$J$238:$J$451),0),
IF('TL12'!$B$3=L$3,SUMIF('TL12'!$C$10:$C$224,$C65,'TL12'!$J$10:$J$224),0),
IF('TL12'!$B$229=L$3,SUMIF('TL12'!$C$238:$C$451,$C65,'TL12'!$J$238:$J$451),0),
IF('TL13'!$B$3=L$3,SUMIF('TL13'!$C$10:$C$224,$C65,'TL13'!$J$10:$J$224),0),
IF('TL13'!$B$229=L$3,SUMIF('TL13'!$C$238:$C$451,$C65,'TL13'!$J$238:$J$451),0),
IF('TL14'!$B$3=L$3,SUMIF('TL14'!$C$10:$C$224,$C65,'TL14'!$J$10:$J$224),0),
IF('TL14'!$B$229=L$3,SUMIF('TL14'!$C$238:$C$451,$C65,'TL14'!$J$238:$J$451),0),
IF('TL15'!$B$3=L$3,SUMIF('TL15'!$C$10:$C$224,$C65,'TL15'!$J$10:$J$224),0),
IF('TL15'!$B$229=L$3,SUMIF('TL15'!$C$238:$C$451,$C65,'TL15'!$J$238:$J$451),0),
IF('TL16'!$B$3=L$3,SUMIF('TL16'!$C$10:$C$224,$C65,'TL16'!$J$10:$J$224),0),
IF('TL16'!$B$229=L$3,SUMIF('TL16'!$C$238:$C$451,$C65,'TL16'!$J$238:$J$451),0),
IF('TL17'!$B$3=L$3,SUMIF('TL17'!$C$10:$C$224,$C65,'TL17'!$J$10:$J$224),0),
IF('TL17'!$B$229=L$3,SUMIF('TL17'!$C$238:$C$451,$C65,'TL17'!$J$238:$J$451),0),
IF('TL18'!$B$3=L$3,SUMIF('TL18'!$C$10:$C$224,$C65,'TL18'!$J$10:$J$224),0),
IF('TL18'!$B$229=L$3,SUMIF('TL18'!$C$238:$C$451,$C65,'TL18'!$J$238:$J$451),0),
IF('TL19'!$B$3=L$3,SUMIF('TL19'!$C$10:$C$224,$C65,'TL19'!$J$10:$J$224),0),
IF('TL19'!$B$229=L$3,SUMIF('TL19'!$C$238:$C$451,$C65,'TL19'!$J$238:$J$451),0)
),0)</f>
        <v>0</v>
      </c>
      <c r="M65" s="9">
        <f>IFERROR(SUM(
IF('TL01'!$B$3=M$3,SUMIF('TL01'!$C$10:$C$224,$C65,'TL01'!$J$10:$J$224),0),
IF('TL01'!$B$229=M$3,SUMIF('TL01'!$C$238:$C$451,$C65,'TL01'!$J$238:$J$451),0),
IF('TL02'!$B$3=M$3,SUMIF('TL02'!$C$10:$C$224,$C65,'TL02'!$J$10:$J$224),0),
IF('TL02'!$B$229=M$3,SUMIF('TL02'!$C$238:$C$451,$C65,'TL02'!$J$238:$J$451),0),
IF('TL03'!$B$3=M$3,SUMIF('TL03'!$C$10:$C$224,$C65,'TL03'!$J$10:$J$224),0),
IF('TL03'!$B$229=M$3,SUMIF('TL03'!$C$238:$C$451,$C65,'TL03'!$J$238:$J$451),0),
IF('TL04'!$B$3=M$3,SUMIF('TL04'!$C$10:$C$224,$C65,'TL04'!$J$10:$J$224),0),
IF('TL04'!$B$229=M$3,SUMIF('TL04'!$C$238:$C$451,$C65,'TL04'!$J$238:$J$451),0),
IF('TL05'!$B$3=M$3,SUMIF('TL05'!$C$10:$C$224,$C65,'TL05'!$J$10:$J$224),0),
IF('TL05'!$B$229=M$3,SUMIF('TL05'!$C$238:$C$451,$C65,'TL05'!$J$238:$J$451),0),
IF('TL06'!$B$3=M$3,SUMIF('TL06'!$C$10:$C$224,$C65,'TL06'!$J$10:$J$224),0),
IF('TL06'!$B$229=M$3,SUMIF('TL06'!$C$238:$C$451,$C65,'TL06'!$J$238:$J$451),0),
IF('TL07'!$B$3=M$3,SUMIF('TL07'!$C$10:$C$224,$C65,'TL07'!$J$10:$J$224),0),
IF('TL07'!$B$229=M$3,SUMIF('TL07'!$C$238:$C$451,$C65,'TL07'!$J$238:$J$451),0),
IF('TL08'!$B$3=M$3,SUMIF('TL08'!$C$10:$C$224,$C65,'TL08'!$J$10:$J$224),0),
IF('TL08'!$B$229=M$3,SUMIF('TL08'!$C$238:$C$451,$C65,'TL08'!$J$238:$J$451),0),
IF('TL09'!$B$3=M$3,SUMIF('TL09'!$C$10:$C$224,$C65,'TL09'!$J$10:$J$224),0),
IF('TL09'!$B$229=M$3,SUMIF('TL09'!$C$238:$C$451,$C65,'TL09'!$J$238:$J$451),0),
IF('TL10'!$B$3=M$3,SUMIF('TL10'!$C$10:$C$224,$C65,'TL10'!$J$10:$J$224),0),
IF('TL10'!$B$229=M$3,SUMIF('TL10'!$C$238:$C$451,$C65,'TL10'!$J$238:$J$451),0),
IF('TL11'!$B$3=M$3,SUMIF('TL11'!$C$10:$C$224,$C65,'TL11'!$J$10:$J$224),0),
IF('TL11'!$B$229=M$3,SUMIF('TL11'!$C$238:$C$451,$C65,'TL11'!$J$238:$J$451),0),
IF('TL12'!$B$3=M$3,SUMIF('TL12'!$C$10:$C$224,$C65,'TL12'!$J$10:$J$224),0),
IF('TL12'!$B$229=M$3,SUMIF('TL12'!$C$238:$C$451,$C65,'TL12'!$J$238:$J$451),0),
IF('TL13'!$B$3=M$3,SUMIF('TL13'!$C$10:$C$224,$C65,'TL13'!$J$10:$J$224),0),
IF('TL13'!$B$229=M$3,SUMIF('TL13'!$C$238:$C$451,$C65,'TL13'!$J$238:$J$451),0),
IF('TL14'!$B$3=M$3,SUMIF('TL14'!$C$10:$C$224,$C65,'TL14'!$J$10:$J$224),0),
IF('TL14'!$B$229=M$3,SUMIF('TL14'!$C$238:$C$451,$C65,'TL14'!$J$238:$J$451),0),
IF('TL15'!$B$3=M$3,SUMIF('TL15'!$C$10:$C$224,$C65,'TL15'!$J$10:$J$224),0),
IF('TL15'!$B$229=M$3,SUMIF('TL15'!$C$238:$C$451,$C65,'TL15'!$J$238:$J$451),0),
IF('TL16'!$B$3=M$3,SUMIF('TL16'!$C$10:$C$224,$C65,'TL16'!$J$10:$J$224),0),
IF('TL16'!$B$229=M$3,SUMIF('TL16'!$C$238:$C$451,$C65,'TL16'!$J$238:$J$451),0),
IF('TL17'!$B$3=M$3,SUMIF('TL17'!$C$10:$C$224,$C65,'TL17'!$J$10:$J$224),0),
IF('TL17'!$B$229=M$3,SUMIF('TL17'!$C$238:$C$451,$C65,'TL17'!$J$238:$J$451),0),
IF('TL18'!$B$3=M$3,SUMIF('TL18'!$C$10:$C$224,$C65,'TL18'!$J$10:$J$224),0),
IF('TL18'!$B$229=M$3,SUMIF('TL18'!$C$238:$C$451,$C65,'TL18'!$J$238:$J$451),0),
IF('TL19'!$B$3=M$3,SUMIF('TL19'!$C$10:$C$224,$C65,'TL19'!$J$10:$J$224),0),
IF('TL19'!$B$229=M$3,SUMIF('TL19'!$C$238:$C$451,$C65,'TL19'!$J$238:$J$451),0)
),0)</f>
        <v>0</v>
      </c>
      <c r="N65" s="9">
        <f>IFERROR(SUM(
IF('TL01'!$B$3=N$3,SUMIF('TL01'!$C$10:$C$224,$C65,'TL01'!$J$10:$J$224),0),
IF('TL01'!$B$229=N$3,SUMIF('TL01'!$C$238:$C$451,$C65,'TL01'!$J$238:$J$451),0),
IF('TL02'!$B$3=N$3,SUMIF('TL02'!$C$10:$C$224,$C65,'TL02'!$J$10:$J$224),0),
IF('TL02'!$B$229=N$3,SUMIF('TL02'!$C$238:$C$451,$C65,'TL02'!$J$238:$J$451),0),
IF('TL03'!$B$3=N$3,SUMIF('TL03'!$C$10:$C$224,$C65,'TL03'!$J$10:$J$224),0),
IF('TL03'!$B$229=N$3,SUMIF('TL03'!$C$238:$C$451,$C65,'TL03'!$J$238:$J$451),0),
IF('TL04'!$B$3=N$3,SUMIF('TL04'!$C$10:$C$224,$C65,'TL04'!$J$10:$J$224),0),
IF('TL04'!$B$229=N$3,SUMIF('TL04'!$C$238:$C$451,$C65,'TL04'!$J$238:$J$451),0),
IF('TL05'!$B$3=N$3,SUMIF('TL05'!$C$10:$C$224,$C65,'TL05'!$J$10:$J$224),0),
IF('TL05'!$B$229=N$3,SUMIF('TL05'!$C$238:$C$451,$C65,'TL05'!$J$238:$J$451),0),
IF('TL06'!$B$3=N$3,SUMIF('TL06'!$C$10:$C$224,$C65,'TL06'!$J$10:$J$224),0),
IF('TL06'!$B$229=N$3,SUMIF('TL06'!$C$238:$C$451,$C65,'TL06'!$J$238:$J$451),0),
IF('TL07'!$B$3=N$3,SUMIF('TL07'!$C$10:$C$224,$C65,'TL07'!$J$10:$J$224),0),
IF('TL07'!$B$229=N$3,SUMIF('TL07'!$C$238:$C$451,$C65,'TL07'!$J$238:$J$451),0),
IF('TL08'!$B$3=N$3,SUMIF('TL08'!$C$10:$C$224,$C65,'TL08'!$J$10:$J$224),0),
IF('TL08'!$B$229=N$3,SUMIF('TL08'!$C$238:$C$451,$C65,'TL08'!$J$238:$J$451),0),
IF('TL09'!$B$3=N$3,SUMIF('TL09'!$C$10:$C$224,$C65,'TL09'!$J$10:$J$224),0),
IF('TL09'!$B$229=N$3,SUMIF('TL09'!$C$238:$C$451,$C65,'TL09'!$J$238:$J$451),0),
IF('TL10'!$B$3=N$3,SUMIF('TL10'!$C$10:$C$224,$C65,'TL10'!$J$10:$J$224),0),
IF('TL10'!$B$229=N$3,SUMIF('TL10'!$C$238:$C$451,$C65,'TL10'!$J$238:$J$451),0),
IF('TL11'!$B$3=N$3,SUMIF('TL11'!$C$10:$C$224,$C65,'TL11'!$J$10:$J$224),0),
IF('TL11'!$B$229=N$3,SUMIF('TL11'!$C$238:$C$451,$C65,'TL11'!$J$238:$J$451),0),
IF('TL12'!$B$3=N$3,SUMIF('TL12'!$C$10:$C$224,$C65,'TL12'!$J$10:$J$224),0),
IF('TL12'!$B$229=N$3,SUMIF('TL12'!$C$238:$C$451,$C65,'TL12'!$J$238:$J$451),0),
IF('TL13'!$B$3=N$3,SUMIF('TL13'!$C$10:$C$224,$C65,'TL13'!$J$10:$J$224),0),
IF('TL13'!$B$229=N$3,SUMIF('TL13'!$C$238:$C$451,$C65,'TL13'!$J$238:$J$451),0),
IF('TL14'!$B$3=N$3,SUMIF('TL14'!$C$10:$C$224,$C65,'TL14'!$J$10:$J$224),0),
IF('TL14'!$B$229=N$3,SUMIF('TL14'!$C$238:$C$451,$C65,'TL14'!$J$238:$J$451),0),
IF('TL15'!$B$3=N$3,SUMIF('TL15'!$C$10:$C$224,$C65,'TL15'!$J$10:$J$224),0),
IF('TL15'!$B$229=N$3,SUMIF('TL15'!$C$238:$C$451,$C65,'TL15'!$J$238:$J$451),0),
IF('TL16'!$B$3=N$3,SUMIF('TL16'!$C$10:$C$224,$C65,'TL16'!$J$10:$J$224),0),
IF('TL16'!$B$229=N$3,SUMIF('TL16'!$C$238:$C$451,$C65,'TL16'!$J$238:$J$451),0),
IF('TL17'!$B$3=N$3,SUMIF('TL17'!$C$10:$C$224,$C65,'TL17'!$J$10:$J$224),0),
IF('TL17'!$B$229=N$3,SUMIF('TL17'!$C$238:$C$451,$C65,'TL17'!$J$238:$J$451),0),
IF('TL18'!$B$3=N$3,SUMIF('TL18'!$C$10:$C$224,$C65,'TL18'!$J$10:$J$224),0),
IF('TL18'!$B$229=N$3,SUMIF('TL18'!$C$238:$C$451,$C65,'TL18'!$J$238:$J$451),0),
IF('TL19'!$B$3=N$3,SUMIF('TL19'!$C$10:$C$224,$C65,'TL19'!$J$10:$J$224),0),
IF('TL19'!$B$229=N$3,SUMIF('TL19'!$C$238:$C$451,$C65,'TL19'!$J$238:$J$451),0)
),0)</f>
        <v>0</v>
      </c>
      <c r="O65" s="9">
        <f>IFERROR(SUM(
IF('TL01'!$B$3=O$3,SUMIF('TL01'!$C$10:$C$224,$C65,'TL01'!$J$10:$J$224),0),
IF('TL01'!$B$229=O$3,SUMIF('TL01'!$C$238:$C$451,$C65,'TL01'!$J$238:$J$451),0),
IF('TL02'!$B$3=O$3,SUMIF('TL02'!$C$10:$C$224,$C65,'TL02'!$J$10:$J$224),0),
IF('TL02'!$B$229=O$3,SUMIF('TL02'!$C$238:$C$451,$C65,'TL02'!$J$238:$J$451),0),
IF('TL03'!$B$3=O$3,SUMIF('TL03'!$C$10:$C$224,$C65,'TL03'!$J$10:$J$224),0),
IF('TL03'!$B$229=O$3,SUMIF('TL03'!$C$238:$C$451,$C65,'TL03'!$J$238:$J$451),0),
IF('TL04'!$B$3=O$3,SUMIF('TL04'!$C$10:$C$224,$C65,'TL04'!$J$10:$J$224),0),
IF('TL04'!$B$229=O$3,SUMIF('TL04'!$C$238:$C$451,$C65,'TL04'!$J$238:$J$451),0),
IF('TL05'!$B$3=O$3,SUMIF('TL05'!$C$10:$C$224,$C65,'TL05'!$J$10:$J$224),0),
IF('TL05'!$B$229=O$3,SUMIF('TL05'!$C$238:$C$451,$C65,'TL05'!$J$238:$J$451),0),
IF('TL06'!$B$3=O$3,SUMIF('TL06'!$C$10:$C$224,$C65,'TL06'!$J$10:$J$224),0),
IF('TL06'!$B$229=O$3,SUMIF('TL06'!$C$238:$C$451,$C65,'TL06'!$J$238:$J$451),0),
IF('TL07'!$B$3=O$3,SUMIF('TL07'!$C$10:$C$224,$C65,'TL07'!$J$10:$J$224),0),
IF('TL07'!$B$229=O$3,SUMIF('TL07'!$C$238:$C$451,$C65,'TL07'!$J$238:$J$451),0),
IF('TL08'!$B$3=O$3,SUMIF('TL08'!$C$10:$C$224,$C65,'TL08'!$J$10:$J$224),0),
IF('TL08'!$B$229=O$3,SUMIF('TL08'!$C$238:$C$451,$C65,'TL08'!$J$238:$J$451),0),
IF('TL09'!$B$3=O$3,SUMIF('TL09'!$C$10:$C$224,$C65,'TL09'!$J$10:$J$224),0),
IF('TL09'!$B$229=O$3,SUMIF('TL09'!$C$238:$C$451,$C65,'TL09'!$J$238:$J$451),0),
IF('TL10'!$B$3=O$3,SUMIF('TL10'!$C$10:$C$224,$C65,'TL10'!$J$10:$J$224),0),
IF('TL10'!$B$229=O$3,SUMIF('TL10'!$C$238:$C$451,$C65,'TL10'!$J$238:$J$451),0),
IF('TL11'!$B$3=O$3,SUMIF('TL11'!$C$10:$C$224,$C65,'TL11'!$J$10:$J$224),0),
IF('TL11'!$B$229=O$3,SUMIF('TL11'!$C$238:$C$451,$C65,'TL11'!$J$238:$J$451),0),
IF('TL12'!$B$3=O$3,SUMIF('TL12'!$C$10:$C$224,$C65,'TL12'!$J$10:$J$224),0),
IF('TL12'!$B$229=O$3,SUMIF('TL12'!$C$238:$C$451,$C65,'TL12'!$J$238:$J$451),0),
IF('TL13'!$B$3=O$3,SUMIF('TL13'!$C$10:$C$224,$C65,'TL13'!$J$10:$J$224),0),
IF('TL13'!$B$229=O$3,SUMIF('TL13'!$C$238:$C$451,$C65,'TL13'!$J$238:$J$451),0),
IF('TL14'!$B$3=O$3,SUMIF('TL14'!$C$10:$C$224,$C65,'TL14'!$J$10:$J$224),0),
IF('TL14'!$B$229=O$3,SUMIF('TL14'!$C$238:$C$451,$C65,'TL14'!$J$238:$J$451),0),
IF('TL15'!$B$3=O$3,SUMIF('TL15'!$C$10:$C$224,$C65,'TL15'!$J$10:$J$224),0),
IF('TL15'!$B$229=O$3,SUMIF('TL15'!$C$238:$C$451,$C65,'TL15'!$J$238:$J$451),0),
IF('TL16'!$B$3=O$3,SUMIF('TL16'!$C$10:$C$224,$C65,'TL16'!$J$10:$J$224),0),
IF('TL16'!$B$229=O$3,SUMIF('TL16'!$C$238:$C$451,$C65,'TL16'!$J$238:$J$451),0),
IF('TL17'!$B$3=O$3,SUMIF('TL17'!$C$10:$C$224,$C65,'TL17'!$J$10:$J$224),0),
IF('TL17'!$B$229=O$3,SUMIF('TL17'!$C$238:$C$451,$C65,'TL17'!$J$238:$J$451),0),
IF('TL18'!$B$3=O$3,SUMIF('TL18'!$C$10:$C$224,$C65,'TL18'!$J$10:$J$224),0),
IF('TL18'!$B$229=O$3,SUMIF('TL18'!$C$238:$C$451,$C65,'TL18'!$J$238:$J$451),0),
IF('TL19'!$B$3=O$3,SUMIF('TL19'!$C$10:$C$224,$C65,'TL19'!$J$10:$J$224),0),
IF('TL19'!$B$229=O$3,SUMIF('TL19'!$C$238:$C$451,$C65,'TL19'!$J$238:$J$451),0)
),0)</f>
        <v>0</v>
      </c>
      <c r="P65" s="9">
        <f>IFERROR(SUM(
IF('TL01'!$B$3=P$3,SUMIF('TL01'!$C$10:$C$224,$C65,'TL01'!$J$10:$J$224),0),
IF('TL01'!$B$229=P$3,SUMIF('TL01'!$C$238:$C$451,$C65,'TL01'!$J$238:$J$451),0),
IF('TL02'!$B$3=P$3,SUMIF('TL02'!$C$10:$C$224,$C65,'TL02'!$J$10:$J$224),0),
IF('TL02'!$B$229=P$3,SUMIF('TL02'!$C$238:$C$451,$C65,'TL02'!$J$238:$J$451),0),
IF('TL03'!$B$3=P$3,SUMIF('TL03'!$C$10:$C$224,$C65,'TL03'!$J$10:$J$224),0),
IF('TL03'!$B$229=P$3,SUMIF('TL03'!$C$238:$C$451,$C65,'TL03'!$J$238:$J$451),0),
IF('TL04'!$B$3=P$3,SUMIF('TL04'!$C$10:$C$224,$C65,'TL04'!$J$10:$J$224),0),
IF('TL04'!$B$229=P$3,SUMIF('TL04'!$C$238:$C$451,$C65,'TL04'!$J$238:$J$451),0),
IF('TL05'!$B$3=P$3,SUMIF('TL05'!$C$10:$C$224,$C65,'TL05'!$J$10:$J$224),0),
IF('TL05'!$B$229=P$3,SUMIF('TL05'!$C$238:$C$451,$C65,'TL05'!$J$238:$J$451),0),
IF('TL06'!$B$3=P$3,SUMIF('TL06'!$C$10:$C$224,$C65,'TL06'!$J$10:$J$224),0),
IF('TL06'!$B$229=P$3,SUMIF('TL06'!$C$238:$C$451,$C65,'TL06'!$J$238:$J$451),0),
IF('TL07'!$B$3=P$3,SUMIF('TL07'!$C$10:$C$224,$C65,'TL07'!$J$10:$J$224),0),
IF('TL07'!$B$229=P$3,SUMIF('TL07'!$C$238:$C$451,$C65,'TL07'!$J$238:$J$451),0),
IF('TL08'!$B$3=P$3,SUMIF('TL08'!$C$10:$C$224,$C65,'TL08'!$J$10:$J$224),0),
IF('TL08'!$B$229=P$3,SUMIF('TL08'!$C$238:$C$451,$C65,'TL08'!$J$238:$J$451),0),
IF('TL09'!$B$3=P$3,SUMIF('TL09'!$C$10:$C$224,$C65,'TL09'!$J$10:$J$224),0),
IF('TL09'!$B$229=P$3,SUMIF('TL09'!$C$238:$C$451,$C65,'TL09'!$J$238:$J$451),0),
IF('TL10'!$B$3=P$3,SUMIF('TL10'!$C$10:$C$224,$C65,'TL10'!$J$10:$J$224),0),
IF('TL10'!$B$229=P$3,SUMIF('TL10'!$C$238:$C$451,$C65,'TL10'!$J$238:$J$451),0),
IF('TL11'!$B$3=P$3,SUMIF('TL11'!$C$10:$C$224,$C65,'TL11'!$J$10:$J$224),0),
IF('TL11'!$B$229=P$3,SUMIF('TL11'!$C$238:$C$451,$C65,'TL11'!$J$238:$J$451),0),
IF('TL12'!$B$3=P$3,SUMIF('TL12'!$C$10:$C$224,$C65,'TL12'!$J$10:$J$224),0),
IF('TL12'!$B$229=P$3,SUMIF('TL12'!$C$238:$C$451,$C65,'TL12'!$J$238:$J$451),0),
IF('TL13'!$B$3=P$3,SUMIF('TL13'!$C$10:$C$224,$C65,'TL13'!$J$10:$J$224),0),
IF('TL13'!$B$229=P$3,SUMIF('TL13'!$C$238:$C$451,$C65,'TL13'!$J$238:$J$451),0),
IF('TL14'!$B$3=P$3,SUMIF('TL14'!$C$10:$C$224,$C65,'TL14'!$J$10:$J$224),0),
IF('TL14'!$B$229=P$3,SUMIF('TL14'!$C$238:$C$451,$C65,'TL14'!$J$238:$J$451),0),
IF('TL15'!$B$3=P$3,SUMIF('TL15'!$C$10:$C$224,$C65,'TL15'!$J$10:$J$224),0),
IF('TL15'!$B$229=P$3,SUMIF('TL15'!$C$238:$C$451,$C65,'TL15'!$J$238:$J$451),0),
IF('TL16'!$B$3=P$3,SUMIF('TL16'!$C$10:$C$224,$C65,'TL16'!$J$10:$J$224),0),
IF('TL16'!$B$229=P$3,SUMIF('TL16'!$C$238:$C$451,$C65,'TL16'!$J$238:$J$451),0),
IF('TL17'!$B$3=P$3,SUMIF('TL17'!$C$10:$C$224,$C65,'TL17'!$J$10:$J$224),0),
IF('TL17'!$B$229=P$3,SUMIF('TL17'!$C$238:$C$451,$C65,'TL17'!$J$238:$J$451),0),
IF('TL18'!$B$3=P$3,SUMIF('TL18'!$C$10:$C$224,$C65,'TL18'!$J$10:$J$224),0),
IF('TL18'!$B$229=P$3,SUMIF('TL18'!$C$238:$C$451,$C65,'TL18'!$J$238:$J$451),0),
IF('TL19'!$B$3=P$3,SUMIF('TL19'!$C$10:$C$224,$C65,'TL19'!$J$10:$J$224),0),
IF('TL19'!$B$229=P$3,SUMIF('TL19'!$C$238:$C$451,$C65,'TL19'!$J$238:$J$451),0)
),0)</f>
        <v>487.2</v>
      </c>
      <c r="Q65" s="9">
        <f>IFERROR(SUM(
IF('TL01'!$B$3=Q$3,SUMIF('TL01'!$C$10:$C$224,$C65,'TL01'!$J$10:$J$224),0),
IF('TL01'!$B$229=Q$3,SUMIF('TL01'!$C$238:$C$451,$C65,'TL01'!$J$238:$J$451),0),
IF('TL02'!$B$3=Q$3,SUMIF('TL02'!$C$10:$C$224,$C65,'TL02'!$J$10:$J$224),0),
IF('TL02'!$B$229=Q$3,SUMIF('TL02'!$C$238:$C$451,$C65,'TL02'!$J$238:$J$451),0),
IF('TL03'!$B$3=Q$3,SUMIF('TL03'!$C$10:$C$224,$C65,'TL03'!$J$10:$J$224),0),
IF('TL03'!$B$229=Q$3,SUMIF('TL03'!$C$238:$C$451,$C65,'TL03'!$J$238:$J$451),0),
IF('TL04'!$B$3=Q$3,SUMIF('TL04'!$C$10:$C$224,$C65,'TL04'!$J$10:$J$224),0),
IF('TL04'!$B$229=Q$3,SUMIF('TL04'!$C$238:$C$451,$C65,'TL04'!$J$238:$J$451),0),
IF('TL05'!$B$3=Q$3,SUMIF('TL05'!$C$10:$C$224,$C65,'TL05'!$J$10:$J$224),0),
IF('TL05'!$B$229=Q$3,SUMIF('TL05'!$C$238:$C$451,$C65,'TL05'!$J$238:$J$451),0),
IF('TL06'!$B$3=Q$3,SUMIF('TL06'!$C$10:$C$224,$C65,'TL06'!$J$10:$J$224),0),
IF('TL06'!$B$229=Q$3,SUMIF('TL06'!$C$238:$C$451,$C65,'TL06'!$J$238:$J$451),0),
IF('TL07'!$B$3=Q$3,SUMIF('TL07'!$C$10:$C$224,$C65,'TL07'!$J$10:$J$224),0),
IF('TL07'!$B$229=Q$3,SUMIF('TL07'!$C$238:$C$451,$C65,'TL07'!$J$238:$J$451),0),
IF('TL08'!$B$3=Q$3,SUMIF('TL08'!$C$10:$C$224,$C65,'TL08'!$J$10:$J$224),0),
IF('TL08'!$B$229=Q$3,SUMIF('TL08'!$C$238:$C$451,$C65,'TL08'!$J$238:$J$451),0),
IF('TL09'!$B$3=Q$3,SUMIF('TL09'!$C$10:$C$224,$C65,'TL09'!$J$10:$J$224),0),
IF('TL09'!$B$229=Q$3,SUMIF('TL09'!$C$238:$C$451,$C65,'TL09'!$J$238:$J$451),0),
IF('TL10'!$B$3=Q$3,SUMIF('TL10'!$C$10:$C$224,$C65,'TL10'!$J$10:$J$224),0),
IF('TL10'!$B$229=Q$3,SUMIF('TL10'!$C$238:$C$451,$C65,'TL10'!$J$238:$J$451),0),
IF('TL11'!$B$3=Q$3,SUMIF('TL11'!$C$10:$C$224,$C65,'TL11'!$J$10:$J$224),0),
IF('TL11'!$B$229=Q$3,SUMIF('TL11'!$C$238:$C$451,$C65,'TL11'!$J$238:$J$451),0),
IF('TL12'!$B$3=Q$3,SUMIF('TL12'!$C$10:$C$224,$C65,'TL12'!$J$10:$J$224),0),
IF('TL12'!$B$229=Q$3,SUMIF('TL12'!$C$238:$C$451,$C65,'TL12'!$J$238:$J$451),0),
IF('TL13'!$B$3=Q$3,SUMIF('TL13'!$C$10:$C$224,$C65,'TL13'!$J$10:$J$224),0),
IF('TL13'!$B$229=Q$3,SUMIF('TL13'!$C$238:$C$451,$C65,'TL13'!$J$238:$J$451),0),
IF('TL14'!$B$3=Q$3,SUMIF('TL14'!$C$10:$C$224,$C65,'TL14'!$J$10:$J$224),0),
IF('TL14'!$B$229=Q$3,SUMIF('TL14'!$C$238:$C$451,$C65,'TL14'!$J$238:$J$451),0),
IF('TL15'!$B$3=Q$3,SUMIF('TL15'!$C$10:$C$224,$C65,'TL15'!$J$10:$J$224),0),
IF('TL15'!$B$229=Q$3,SUMIF('TL15'!$C$238:$C$451,$C65,'TL15'!$J$238:$J$451),0),
IF('TL16'!$B$3=Q$3,SUMIF('TL16'!$C$10:$C$224,$C65,'TL16'!$J$10:$J$224),0),
IF('TL16'!$B$229=Q$3,SUMIF('TL16'!$C$238:$C$451,$C65,'TL16'!$J$238:$J$451),0),
IF('TL17'!$B$3=Q$3,SUMIF('TL17'!$C$10:$C$224,$C65,'TL17'!$J$10:$J$224),0),
IF('TL17'!$B$229=Q$3,SUMIF('TL17'!$C$238:$C$451,$C65,'TL17'!$J$238:$J$451),0),
IF('TL18'!$B$3=Q$3,SUMIF('TL18'!$C$10:$C$224,$C65,'TL18'!$J$10:$J$224),0),
IF('TL18'!$B$229=Q$3,SUMIF('TL18'!$C$238:$C$451,$C65,'TL18'!$J$238:$J$451),0),
IF('TL19'!$B$3=Q$3,SUMIF('TL19'!$C$10:$C$224,$C65,'TL19'!$J$10:$J$224),0),
IF('TL19'!$B$229=Q$3,SUMIF('TL19'!$C$238:$C$451,$C65,'TL19'!$J$238:$J$451),0)
),0)</f>
        <v>128</v>
      </c>
      <c r="R65" s="9">
        <f>IFERROR(
SUM(
SUMIF('TL01'!C:C,C65,'TL01'!J:J),
SUMIF('TL02'!C:C,C65,'TL02'!J:J),
SUMIF('TL03'!C:C,C65,'TL03'!J:J),
SUMIF('TL04'!C:C,C65,'TL04'!J:J),
SUMIF('TL05'!C:C,C65,'TL05'!J:J),
SUMIF('TL06'!C:C,C65,'TL06'!J:J),
SUMIF('TL07'!C:C,C65,'TL07'!J:J),
SUMIF('TL08'!C:C,C65,'TL08'!J:J),
SUMIF('TL09'!C:C,C65,'TL09'!J:J),
SUMIF('TL10'!C:C,C65,'TL10'!J:J),
SUMIF('TL11'!C:C,C65,'TL11'!J:J),
SUMIF('TL12'!C:C,C65,'TL12'!J:J),
SUMIF('TL13'!C:C,C65,'TL13'!J:J),
SUMIF('TL14'!C:C,C65,'TL14'!J:J),
SUMIF('TL15'!C:C,C65,'TL15'!J:J),
SUMIF('TL16'!C:C,C65,'TL16'!J:J),
SUMIF('TL17'!C:C,C65,'TL17'!J:J),
SUMIF('TL18'!C:C,C65,'TL18'!J:J),SUMIF('TL19'!C:C,C65,'TL19'!J:J))
,0)</f>
        <v>615.2</v>
      </c>
      <c r="S65" s="17">
        <f>IFERROR(__xludf.DUMMYFUNCTION("IFERROR(VLOOKUP(C65,
IMPORTRANGE(""1wULbzX32WdYsx-lj2U3uUNBBe2INVIRDtcK0d-Dvl90"",
""26-27!C:G""),
5,
FALSE),
"""")"),30.456)</f>
        <v>30.456</v>
      </c>
      <c r="T65" s="9">
        <v>45.0</v>
      </c>
      <c r="U65" s="92">
        <f t="shared" si="2"/>
        <v>570.2</v>
      </c>
      <c r="V65" s="93">
        <f t="shared" si="3"/>
        <v>17366.0112</v>
      </c>
    </row>
    <row r="66" ht="15.75" hidden="1" customHeight="1">
      <c r="A66" s="115" t="s">
        <v>504</v>
      </c>
      <c r="B66" s="100" t="s">
        <v>0</v>
      </c>
      <c r="C66" s="116" t="s">
        <v>507</v>
      </c>
      <c r="D66" s="116" t="s">
        <v>508</v>
      </c>
      <c r="E66" s="116">
        <v>250.0</v>
      </c>
      <c r="F66" s="4" t="s">
        <v>343</v>
      </c>
      <c r="G66" s="90" t="str">
        <f t="shared" si="4"/>
        <v>📄 Ver bula</v>
      </c>
      <c r="H66" s="9">
        <f>IFERROR(__xludf.DUMMYFUNCTION("IFERROR(VLOOKUP(C66,
IMPORTRANGE(""1wULbzX32WdYsx-lj2U3uUNBBe2INVIRDtcK0d-Dvl90"",
""26-27!C:K""),
8,
FALSE),
"""")"),0.2)</f>
        <v>0.2</v>
      </c>
      <c r="I66" s="117" t="s">
        <v>361</v>
      </c>
      <c r="J66" s="9">
        <f>IFERROR(SUM(
IF('TL01'!$B$3=J$3,SUMIF('TL01'!$C$10:$C$224,$C66,'TL01'!$J$10:$J$224),0),
IF('TL01'!$B$229=J$3,SUMIF('TL01'!$C$238:$C$451,$C66,'TL01'!$J$238:$J$451),0),
IF('TL02'!$B$3=J$3,SUMIF('TL02'!$C$10:$C$224,$C66,'TL02'!$J$10:$J$224),0),
IF('TL02'!$B$229=J$3,SUMIF('TL02'!$C$238:$C$451,$C66,'TL02'!$J$238:$J$451),0),
IF('TL03'!$B$3=J$3,SUMIF('TL03'!$C$10:$C$224,$C66,'TL03'!$J$10:$J$224),0),
IF('TL03'!$B$229=J$3,SUMIF('TL03'!$C$238:$C$451,$C66,'TL03'!$J$238:$J$451),0),
IF('TL04'!$B$3=J$3,SUMIF('TL04'!$C$10:$C$224,$C66,'TL04'!$J$10:$J$224),0),
IF('TL04'!$B$229=J$3,SUMIF('TL04'!$C$238:$C$451,$C66,'TL04'!$J$238:$J$451),0),
IF('TL05'!$B$3=J$3,SUMIF('TL05'!$C$10:$C$224,$C66,'TL05'!$J$10:$J$224),0),
IF('TL05'!$B$229=J$3,SUMIF('TL05'!$C$238:$C$451,$C66,'TL05'!$J$238:$J$451),0),
IF('TL06'!$B$3=J$3,SUMIF('TL06'!$C$10:$C$224,$C66,'TL06'!$J$10:$J$224),0),
IF('TL06'!$B$229=J$3,SUMIF('TL06'!$C$238:$C$451,$C66,'TL06'!$J$238:$J$451),0),
IF('TL07'!$B$3=J$3,SUMIF('TL07'!$C$10:$C$224,$C66,'TL07'!$J$10:$J$224),0),
IF('TL07'!$B$229=J$3,SUMIF('TL07'!$C$238:$C$451,$C66,'TL07'!$J$238:$J$451),0),
IF('TL08'!$B$3=J$3,SUMIF('TL08'!$C$10:$C$224,$C66,'TL08'!$J$10:$J$224),0),
IF('TL08'!$B$229=J$3,SUMIF('TL08'!$C$238:$C$451,$C66,'TL08'!$J$238:$J$451),0),
IF('TL09'!$B$3=J$3,SUMIF('TL09'!$C$10:$C$224,$C66,'TL09'!$J$10:$J$224),0),
IF('TL09'!$B$229=J$3,SUMIF('TL09'!$C$238:$C$451,$C66,'TL09'!$J$238:$J$451),0),
IF('TL10'!$B$3=J$3,SUMIF('TL10'!$C$10:$C$224,$C66,'TL10'!$J$10:$J$224),0),
IF('TL10'!$B$229=J$3,SUMIF('TL10'!$C$238:$C$451,$C66,'TL10'!$J$238:$J$451),0),
IF('TL11'!$B$3=J$3,SUMIF('TL11'!$C$10:$C$224,$C66,'TL11'!$J$10:$J$224),0),
IF('TL11'!$B$229=J$3,SUMIF('TL11'!$C$238:$C$451,$C66,'TL11'!$J$238:$J$451),0),
IF('TL12'!$B$3=J$3,SUMIF('TL12'!$C$10:$C$224,$C66,'TL12'!$J$10:$J$224),0),
IF('TL12'!$B$229=J$3,SUMIF('TL12'!$C$238:$C$451,$C66,'TL12'!$J$238:$J$451),0),
IF('TL13'!$B$3=J$3,SUMIF('TL13'!$C$10:$C$224,$C66,'TL13'!$J$10:$J$224),0),
IF('TL13'!$B$229=J$3,SUMIF('TL13'!$C$238:$C$451,$C66,'TL13'!$J$238:$J$451),0),
IF('TL14'!$B$3=J$3,SUMIF('TL14'!$C$10:$C$224,$C66,'TL14'!$J$10:$J$224),0),
IF('TL14'!$B$229=J$3,SUMIF('TL14'!$C$238:$C$451,$C66,'TL14'!$J$238:$J$451),0),
IF('TL15'!$B$3=J$3,SUMIF('TL15'!$C$10:$C$224,$C66,'TL15'!$J$10:$J$224),0),
IF('TL15'!$B$229=J$3,SUMIF('TL15'!$C$238:$C$451,$C66,'TL15'!$J$238:$J$451),0),
IF('TL16'!$B$3=J$3,SUMIF('TL16'!$C$10:$C$224,$C66,'TL16'!$J$10:$J$224),0),
IF('TL16'!$B$229=J$3,SUMIF('TL16'!$C$238:$C$451,$C66,'TL16'!$J$238:$J$451),0),
IF('TL17'!$B$3=J$3,SUMIF('TL17'!$C$10:$C$224,$C66,'TL17'!$J$10:$J$224),0),
IF('TL17'!$B$229=J$3,SUMIF('TL17'!$C$238:$C$451,$C66,'TL17'!$J$238:$J$451),0),
IF('TL18'!$B$3=J$3,SUMIF('TL18'!$C$10:$C$224,$C66,'TL18'!$J$10:$J$224),0),
IF('TL18'!$B$229=J$3,SUMIF('TL18'!$C$238:$C$451,$C66,'TL18'!$J$238:$J$451),0),
IF('TL19'!$B$3=J$3,SUMIF('TL19'!$C$10:$C$224,$C66,'TL19'!$J$10:$J$224),0),
IF('TL19'!$B$229=J$3,SUMIF('TL19'!$C$238:$C$451,$C66,'TL19'!$J$238:$J$451),0)
),0)</f>
        <v>0</v>
      </c>
      <c r="K66" s="9">
        <f>IFERROR(SUM(
IF('TL01'!$B$3=K$3,SUMIF('TL01'!$C$10:$C$224,$C66,'TL01'!$J$10:$J$224),0),
IF('TL01'!$B$229=K$3,SUMIF('TL01'!$C$238:$C$451,$C66,'TL01'!$J$238:$J$451),0),
IF('TL02'!$B$3=K$3,SUMIF('TL02'!$C$10:$C$224,$C66,'TL02'!$J$10:$J$224),0),
IF('TL02'!$B$229=K$3,SUMIF('TL02'!$C$238:$C$451,$C66,'TL02'!$J$238:$J$451),0),
IF('TL03'!$B$3=K$3,SUMIF('TL03'!$C$10:$C$224,$C66,'TL03'!$J$10:$J$224),0),
IF('TL03'!$B$229=K$3,SUMIF('TL03'!$C$238:$C$451,$C66,'TL03'!$J$238:$J$451),0),
IF('TL04'!$B$3=K$3,SUMIF('TL04'!$C$10:$C$224,$C66,'TL04'!$J$10:$J$224),0),
IF('TL04'!$B$229=K$3,SUMIF('TL04'!$C$238:$C$451,$C66,'TL04'!$J$238:$J$451),0),
IF('TL05'!$B$3=K$3,SUMIF('TL05'!$C$10:$C$224,$C66,'TL05'!$J$10:$J$224),0),
IF('TL05'!$B$229=K$3,SUMIF('TL05'!$C$238:$C$451,$C66,'TL05'!$J$238:$J$451),0),
IF('TL06'!$B$3=K$3,SUMIF('TL06'!$C$10:$C$224,$C66,'TL06'!$J$10:$J$224),0),
IF('TL06'!$B$229=K$3,SUMIF('TL06'!$C$238:$C$451,$C66,'TL06'!$J$238:$J$451),0),
IF('TL07'!$B$3=K$3,SUMIF('TL07'!$C$10:$C$224,$C66,'TL07'!$J$10:$J$224),0),
IF('TL07'!$B$229=K$3,SUMIF('TL07'!$C$238:$C$451,$C66,'TL07'!$J$238:$J$451),0),
IF('TL08'!$B$3=K$3,SUMIF('TL08'!$C$10:$C$224,$C66,'TL08'!$J$10:$J$224),0),
IF('TL08'!$B$229=K$3,SUMIF('TL08'!$C$238:$C$451,$C66,'TL08'!$J$238:$J$451),0),
IF('TL09'!$B$3=K$3,SUMIF('TL09'!$C$10:$C$224,$C66,'TL09'!$J$10:$J$224),0),
IF('TL09'!$B$229=K$3,SUMIF('TL09'!$C$238:$C$451,$C66,'TL09'!$J$238:$J$451),0),
IF('TL10'!$B$3=K$3,SUMIF('TL10'!$C$10:$C$224,$C66,'TL10'!$J$10:$J$224),0),
IF('TL10'!$B$229=K$3,SUMIF('TL10'!$C$238:$C$451,$C66,'TL10'!$J$238:$J$451),0),
IF('TL11'!$B$3=K$3,SUMIF('TL11'!$C$10:$C$224,$C66,'TL11'!$J$10:$J$224),0),
IF('TL11'!$B$229=K$3,SUMIF('TL11'!$C$238:$C$451,$C66,'TL11'!$J$238:$J$451),0),
IF('TL12'!$B$3=K$3,SUMIF('TL12'!$C$10:$C$224,$C66,'TL12'!$J$10:$J$224),0),
IF('TL12'!$B$229=K$3,SUMIF('TL12'!$C$238:$C$451,$C66,'TL12'!$J$238:$J$451),0),
IF('TL13'!$B$3=K$3,SUMIF('TL13'!$C$10:$C$224,$C66,'TL13'!$J$10:$J$224),0),
IF('TL13'!$B$229=K$3,SUMIF('TL13'!$C$238:$C$451,$C66,'TL13'!$J$238:$J$451),0),
IF('TL14'!$B$3=K$3,SUMIF('TL14'!$C$10:$C$224,$C66,'TL14'!$J$10:$J$224),0),
IF('TL14'!$B$229=K$3,SUMIF('TL14'!$C$238:$C$451,$C66,'TL14'!$J$238:$J$451),0),
IF('TL15'!$B$3=K$3,SUMIF('TL15'!$C$10:$C$224,$C66,'TL15'!$J$10:$J$224),0),
IF('TL15'!$B$229=K$3,SUMIF('TL15'!$C$238:$C$451,$C66,'TL15'!$J$238:$J$451),0),
IF('TL16'!$B$3=K$3,SUMIF('TL16'!$C$10:$C$224,$C66,'TL16'!$J$10:$J$224),0),
IF('TL16'!$B$229=K$3,SUMIF('TL16'!$C$238:$C$451,$C66,'TL16'!$J$238:$J$451),0),
IF('TL17'!$B$3=K$3,SUMIF('TL17'!$C$10:$C$224,$C66,'TL17'!$J$10:$J$224),0),
IF('TL17'!$B$229=K$3,SUMIF('TL17'!$C$238:$C$451,$C66,'TL17'!$J$238:$J$451),0),
IF('TL18'!$B$3=K$3,SUMIF('TL18'!$C$10:$C$224,$C66,'TL18'!$J$10:$J$224),0),
IF('TL18'!$B$229=K$3,SUMIF('TL18'!$C$238:$C$451,$C66,'TL18'!$J$238:$J$451),0),
IF('TL19'!$B$3=K$3,SUMIF('TL19'!$C$10:$C$224,$C66,'TL19'!$J$10:$J$224),0),
IF('TL19'!$B$229=K$3,SUMIF('TL19'!$C$238:$C$451,$C66,'TL19'!$J$238:$J$451),0)
),0)</f>
        <v>0</v>
      </c>
      <c r="L66" s="9">
        <f>IFERROR(SUM(
IF('TL01'!$B$3=L$3,SUMIF('TL01'!$C$10:$C$224,$C66,'TL01'!$J$10:$J$224),0),
IF('TL01'!$B$229=L$3,SUMIF('TL01'!$C$238:$C$451,$C66,'TL01'!$J$238:$J$451),0),
IF('TL02'!$B$3=L$3,SUMIF('TL02'!$C$10:$C$224,$C66,'TL02'!$J$10:$J$224),0),
IF('TL02'!$B$229=L$3,SUMIF('TL02'!$C$238:$C$451,$C66,'TL02'!$J$238:$J$451),0),
IF('TL03'!$B$3=L$3,SUMIF('TL03'!$C$10:$C$224,$C66,'TL03'!$J$10:$J$224),0),
IF('TL03'!$B$229=L$3,SUMIF('TL03'!$C$238:$C$451,$C66,'TL03'!$J$238:$J$451),0),
IF('TL04'!$B$3=L$3,SUMIF('TL04'!$C$10:$C$224,$C66,'TL04'!$J$10:$J$224),0),
IF('TL04'!$B$229=L$3,SUMIF('TL04'!$C$238:$C$451,$C66,'TL04'!$J$238:$J$451),0),
IF('TL05'!$B$3=L$3,SUMIF('TL05'!$C$10:$C$224,$C66,'TL05'!$J$10:$J$224),0),
IF('TL05'!$B$229=L$3,SUMIF('TL05'!$C$238:$C$451,$C66,'TL05'!$J$238:$J$451),0),
IF('TL06'!$B$3=L$3,SUMIF('TL06'!$C$10:$C$224,$C66,'TL06'!$J$10:$J$224),0),
IF('TL06'!$B$229=L$3,SUMIF('TL06'!$C$238:$C$451,$C66,'TL06'!$J$238:$J$451),0),
IF('TL07'!$B$3=L$3,SUMIF('TL07'!$C$10:$C$224,$C66,'TL07'!$J$10:$J$224),0),
IF('TL07'!$B$229=L$3,SUMIF('TL07'!$C$238:$C$451,$C66,'TL07'!$J$238:$J$451),0),
IF('TL08'!$B$3=L$3,SUMIF('TL08'!$C$10:$C$224,$C66,'TL08'!$J$10:$J$224),0),
IF('TL08'!$B$229=L$3,SUMIF('TL08'!$C$238:$C$451,$C66,'TL08'!$J$238:$J$451),0),
IF('TL09'!$B$3=L$3,SUMIF('TL09'!$C$10:$C$224,$C66,'TL09'!$J$10:$J$224),0),
IF('TL09'!$B$229=L$3,SUMIF('TL09'!$C$238:$C$451,$C66,'TL09'!$J$238:$J$451),0),
IF('TL10'!$B$3=L$3,SUMIF('TL10'!$C$10:$C$224,$C66,'TL10'!$J$10:$J$224),0),
IF('TL10'!$B$229=L$3,SUMIF('TL10'!$C$238:$C$451,$C66,'TL10'!$J$238:$J$451),0),
IF('TL11'!$B$3=L$3,SUMIF('TL11'!$C$10:$C$224,$C66,'TL11'!$J$10:$J$224),0),
IF('TL11'!$B$229=L$3,SUMIF('TL11'!$C$238:$C$451,$C66,'TL11'!$J$238:$J$451),0),
IF('TL12'!$B$3=L$3,SUMIF('TL12'!$C$10:$C$224,$C66,'TL12'!$J$10:$J$224),0),
IF('TL12'!$B$229=L$3,SUMIF('TL12'!$C$238:$C$451,$C66,'TL12'!$J$238:$J$451),0),
IF('TL13'!$B$3=L$3,SUMIF('TL13'!$C$10:$C$224,$C66,'TL13'!$J$10:$J$224),0),
IF('TL13'!$B$229=L$3,SUMIF('TL13'!$C$238:$C$451,$C66,'TL13'!$J$238:$J$451),0),
IF('TL14'!$B$3=L$3,SUMIF('TL14'!$C$10:$C$224,$C66,'TL14'!$J$10:$J$224),0),
IF('TL14'!$B$229=L$3,SUMIF('TL14'!$C$238:$C$451,$C66,'TL14'!$J$238:$J$451),0),
IF('TL15'!$B$3=L$3,SUMIF('TL15'!$C$10:$C$224,$C66,'TL15'!$J$10:$J$224),0),
IF('TL15'!$B$229=L$3,SUMIF('TL15'!$C$238:$C$451,$C66,'TL15'!$J$238:$J$451),0),
IF('TL16'!$B$3=L$3,SUMIF('TL16'!$C$10:$C$224,$C66,'TL16'!$J$10:$J$224),0),
IF('TL16'!$B$229=L$3,SUMIF('TL16'!$C$238:$C$451,$C66,'TL16'!$J$238:$J$451),0),
IF('TL17'!$B$3=L$3,SUMIF('TL17'!$C$10:$C$224,$C66,'TL17'!$J$10:$J$224),0),
IF('TL17'!$B$229=L$3,SUMIF('TL17'!$C$238:$C$451,$C66,'TL17'!$J$238:$J$451),0),
IF('TL18'!$B$3=L$3,SUMIF('TL18'!$C$10:$C$224,$C66,'TL18'!$J$10:$J$224),0),
IF('TL18'!$B$229=L$3,SUMIF('TL18'!$C$238:$C$451,$C66,'TL18'!$J$238:$J$451),0),
IF('TL19'!$B$3=L$3,SUMIF('TL19'!$C$10:$C$224,$C66,'TL19'!$J$10:$J$224),0),
IF('TL19'!$B$229=L$3,SUMIF('TL19'!$C$238:$C$451,$C66,'TL19'!$J$238:$J$451),0)
),0)</f>
        <v>0</v>
      </c>
      <c r="M66" s="9">
        <f>IFERROR(SUM(
IF('TL01'!$B$3=M$3,SUMIF('TL01'!$C$10:$C$224,$C66,'TL01'!$J$10:$J$224),0),
IF('TL01'!$B$229=M$3,SUMIF('TL01'!$C$238:$C$451,$C66,'TL01'!$J$238:$J$451),0),
IF('TL02'!$B$3=M$3,SUMIF('TL02'!$C$10:$C$224,$C66,'TL02'!$J$10:$J$224),0),
IF('TL02'!$B$229=M$3,SUMIF('TL02'!$C$238:$C$451,$C66,'TL02'!$J$238:$J$451),0),
IF('TL03'!$B$3=M$3,SUMIF('TL03'!$C$10:$C$224,$C66,'TL03'!$J$10:$J$224),0),
IF('TL03'!$B$229=M$3,SUMIF('TL03'!$C$238:$C$451,$C66,'TL03'!$J$238:$J$451),0),
IF('TL04'!$B$3=M$3,SUMIF('TL04'!$C$10:$C$224,$C66,'TL04'!$J$10:$J$224),0),
IF('TL04'!$B$229=M$3,SUMIF('TL04'!$C$238:$C$451,$C66,'TL04'!$J$238:$J$451),0),
IF('TL05'!$B$3=M$3,SUMIF('TL05'!$C$10:$C$224,$C66,'TL05'!$J$10:$J$224),0),
IF('TL05'!$B$229=M$3,SUMIF('TL05'!$C$238:$C$451,$C66,'TL05'!$J$238:$J$451),0),
IF('TL06'!$B$3=M$3,SUMIF('TL06'!$C$10:$C$224,$C66,'TL06'!$J$10:$J$224),0),
IF('TL06'!$B$229=M$3,SUMIF('TL06'!$C$238:$C$451,$C66,'TL06'!$J$238:$J$451),0),
IF('TL07'!$B$3=M$3,SUMIF('TL07'!$C$10:$C$224,$C66,'TL07'!$J$10:$J$224),0),
IF('TL07'!$B$229=M$3,SUMIF('TL07'!$C$238:$C$451,$C66,'TL07'!$J$238:$J$451),0),
IF('TL08'!$B$3=M$3,SUMIF('TL08'!$C$10:$C$224,$C66,'TL08'!$J$10:$J$224),0),
IF('TL08'!$B$229=M$3,SUMIF('TL08'!$C$238:$C$451,$C66,'TL08'!$J$238:$J$451),0),
IF('TL09'!$B$3=M$3,SUMIF('TL09'!$C$10:$C$224,$C66,'TL09'!$J$10:$J$224),0),
IF('TL09'!$B$229=M$3,SUMIF('TL09'!$C$238:$C$451,$C66,'TL09'!$J$238:$J$451),0),
IF('TL10'!$B$3=M$3,SUMIF('TL10'!$C$10:$C$224,$C66,'TL10'!$J$10:$J$224),0),
IF('TL10'!$B$229=M$3,SUMIF('TL10'!$C$238:$C$451,$C66,'TL10'!$J$238:$J$451),0),
IF('TL11'!$B$3=M$3,SUMIF('TL11'!$C$10:$C$224,$C66,'TL11'!$J$10:$J$224),0),
IF('TL11'!$B$229=M$3,SUMIF('TL11'!$C$238:$C$451,$C66,'TL11'!$J$238:$J$451),0),
IF('TL12'!$B$3=M$3,SUMIF('TL12'!$C$10:$C$224,$C66,'TL12'!$J$10:$J$224),0),
IF('TL12'!$B$229=M$3,SUMIF('TL12'!$C$238:$C$451,$C66,'TL12'!$J$238:$J$451),0),
IF('TL13'!$B$3=M$3,SUMIF('TL13'!$C$10:$C$224,$C66,'TL13'!$J$10:$J$224),0),
IF('TL13'!$B$229=M$3,SUMIF('TL13'!$C$238:$C$451,$C66,'TL13'!$J$238:$J$451),0),
IF('TL14'!$B$3=M$3,SUMIF('TL14'!$C$10:$C$224,$C66,'TL14'!$J$10:$J$224),0),
IF('TL14'!$B$229=M$3,SUMIF('TL14'!$C$238:$C$451,$C66,'TL14'!$J$238:$J$451),0),
IF('TL15'!$B$3=M$3,SUMIF('TL15'!$C$10:$C$224,$C66,'TL15'!$J$10:$J$224),0),
IF('TL15'!$B$229=M$3,SUMIF('TL15'!$C$238:$C$451,$C66,'TL15'!$J$238:$J$451),0),
IF('TL16'!$B$3=M$3,SUMIF('TL16'!$C$10:$C$224,$C66,'TL16'!$J$10:$J$224),0),
IF('TL16'!$B$229=M$3,SUMIF('TL16'!$C$238:$C$451,$C66,'TL16'!$J$238:$J$451),0),
IF('TL17'!$B$3=M$3,SUMIF('TL17'!$C$10:$C$224,$C66,'TL17'!$J$10:$J$224),0),
IF('TL17'!$B$229=M$3,SUMIF('TL17'!$C$238:$C$451,$C66,'TL17'!$J$238:$J$451),0),
IF('TL18'!$B$3=M$3,SUMIF('TL18'!$C$10:$C$224,$C66,'TL18'!$J$10:$J$224),0),
IF('TL18'!$B$229=M$3,SUMIF('TL18'!$C$238:$C$451,$C66,'TL18'!$J$238:$J$451),0),
IF('TL19'!$B$3=M$3,SUMIF('TL19'!$C$10:$C$224,$C66,'TL19'!$J$10:$J$224),0),
IF('TL19'!$B$229=M$3,SUMIF('TL19'!$C$238:$C$451,$C66,'TL19'!$J$238:$J$451),0)
),0)</f>
        <v>0</v>
      </c>
      <c r="N66" s="9">
        <f>IFERROR(SUM(
IF('TL01'!$B$3=N$3,SUMIF('TL01'!$C$10:$C$224,$C66,'TL01'!$J$10:$J$224),0),
IF('TL01'!$B$229=N$3,SUMIF('TL01'!$C$238:$C$451,$C66,'TL01'!$J$238:$J$451),0),
IF('TL02'!$B$3=N$3,SUMIF('TL02'!$C$10:$C$224,$C66,'TL02'!$J$10:$J$224),0),
IF('TL02'!$B$229=N$3,SUMIF('TL02'!$C$238:$C$451,$C66,'TL02'!$J$238:$J$451),0),
IF('TL03'!$B$3=N$3,SUMIF('TL03'!$C$10:$C$224,$C66,'TL03'!$J$10:$J$224),0),
IF('TL03'!$B$229=N$3,SUMIF('TL03'!$C$238:$C$451,$C66,'TL03'!$J$238:$J$451),0),
IF('TL04'!$B$3=N$3,SUMIF('TL04'!$C$10:$C$224,$C66,'TL04'!$J$10:$J$224),0),
IF('TL04'!$B$229=N$3,SUMIF('TL04'!$C$238:$C$451,$C66,'TL04'!$J$238:$J$451),0),
IF('TL05'!$B$3=N$3,SUMIF('TL05'!$C$10:$C$224,$C66,'TL05'!$J$10:$J$224),0),
IF('TL05'!$B$229=N$3,SUMIF('TL05'!$C$238:$C$451,$C66,'TL05'!$J$238:$J$451),0),
IF('TL06'!$B$3=N$3,SUMIF('TL06'!$C$10:$C$224,$C66,'TL06'!$J$10:$J$224),0),
IF('TL06'!$B$229=N$3,SUMIF('TL06'!$C$238:$C$451,$C66,'TL06'!$J$238:$J$451),0),
IF('TL07'!$B$3=N$3,SUMIF('TL07'!$C$10:$C$224,$C66,'TL07'!$J$10:$J$224),0),
IF('TL07'!$B$229=N$3,SUMIF('TL07'!$C$238:$C$451,$C66,'TL07'!$J$238:$J$451),0),
IF('TL08'!$B$3=N$3,SUMIF('TL08'!$C$10:$C$224,$C66,'TL08'!$J$10:$J$224),0),
IF('TL08'!$B$229=N$3,SUMIF('TL08'!$C$238:$C$451,$C66,'TL08'!$J$238:$J$451),0),
IF('TL09'!$B$3=N$3,SUMIF('TL09'!$C$10:$C$224,$C66,'TL09'!$J$10:$J$224),0),
IF('TL09'!$B$229=N$3,SUMIF('TL09'!$C$238:$C$451,$C66,'TL09'!$J$238:$J$451),0),
IF('TL10'!$B$3=N$3,SUMIF('TL10'!$C$10:$C$224,$C66,'TL10'!$J$10:$J$224),0),
IF('TL10'!$B$229=N$3,SUMIF('TL10'!$C$238:$C$451,$C66,'TL10'!$J$238:$J$451),0),
IF('TL11'!$B$3=N$3,SUMIF('TL11'!$C$10:$C$224,$C66,'TL11'!$J$10:$J$224),0),
IF('TL11'!$B$229=N$3,SUMIF('TL11'!$C$238:$C$451,$C66,'TL11'!$J$238:$J$451),0),
IF('TL12'!$B$3=N$3,SUMIF('TL12'!$C$10:$C$224,$C66,'TL12'!$J$10:$J$224),0),
IF('TL12'!$B$229=N$3,SUMIF('TL12'!$C$238:$C$451,$C66,'TL12'!$J$238:$J$451),0),
IF('TL13'!$B$3=N$3,SUMIF('TL13'!$C$10:$C$224,$C66,'TL13'!$J$10:$J$224),0),
IF('TL13'!$B$229=N$3,SUMIF('TL13'!$C$238:$C$451,$C66,'TL13'!$J$238:$J$451),0),
IF('TL14'!$B$3=N$3,SUMIF('TL14'!$C$10:$C$224,$C66,'TL14'!$J$10:$J$224),0),
IF('TL14'!$B$229=N$3,SUMIF('TL14'!$C$238:$C$451,$C66,'TL14'!$J$238:$J$451),0),
IF('TL15'!$B$3=N$3,SUMIF('TL15'!$C$10:$C$224,$C66,'TL15'!$J$10:$J$224),0),
IF('TL15'!$B$229=N$3,SUMIF('TL15'!$C$238:$C$451,$C66,'TL15'!$J$238:$J$451),0),
IF('TL16'!$B$3=N$3,SUMIF('TL16'!$C$10:$C$224,$C66,'TL16'!$J$10:$J$224),0),
IF('TL16'!$B$229=N$3,SUMIF('TL16'!$C$238:$C$451,$C66,'TL16'!$J$238:$J$451),0),
IF('TL17'!$B$3=N$3,SUMIF('TL17'!$C$10:$C$224,$C66,'TL17'!$J$10:$J$224),0),
IF('TL17'!$B$229=N$3,SUMIF('TL17'!$C$238:$C$451,$C66,'TL17'!$J$238:$J$451),0),
IF('TL18'!$B$3=N$3,SUMIF('TL18'!$C$10:$C$224,$C66,'TL18'!$J$10:$J$224),0),
IF('TL18'!$B$229=N$3,SUMIF('TL18'!$C$238:$C$451,$C66,'TL18'!$J$238:$J$451),0),
IF('TL19'!$B$3=N$3,SUMIF('TL19'!$C$10:$C$224,$C66,'TL19'!$J$10:$J$224),0),
IF('TL19'!$B$229=N$3,SUMIF('TL19'!$C$238:$C$451,$C66,'TL19'!$J$238:$J$451),0)
),0)</f>
        <v>0</v>
      </c>
      <c r="O66" s="9">
        <f>IFERROR(SUM(
IF('TL01'!$B$3=O$3,SUMIF('TL01'!$C$10:$C$224,$C66,'TL01'!$J$10:$J$224),0),
IF('TL01'!$B$229=O$3,SUMIF('TL01'!$C$238:$C$451,$C66,'TL01'!$J$238:$J$451),0),
IF('TL02'!$B$3=O$3,SUMIF('TL02'!$C$10:$C$224,$C66,'TL02'!$J$10:$J$224),0),
IF('TL02'!$B$229=O$3,SUMIF('TL02'!$C$238:$C$451,$C66,'TL02'!$J$238:$J$451),0),
IF('TL03'!$B$3=O$3,SUMIF('TL03'!$C$10:$C$224,$C66,'TL03'!$J$10:$J$224),0),
IF('TL03'!$B$229=O$3,SUMIF('TL03'!$C$238:$C$451,$C66,'TL03'!$J$238:$J$451),0),
IF('TL04'!$B$3=O$3,SUMIF('TL04'!$C$10:$C$224,$C66,'TL04'!$J$10:$J$224),0),
IF('TL04'!$B$229=O$3,SUMIF('TL04'!$C$238:$C$451,$C66,'TL04'!$J$238:$J$451),0),
IF('TL05'!$B$3=O$3,SUMIF('TL05'!$C$10:$C$224,$C66,'TL05'!$J$10:$J$224),0),
IF('TL05'!$B$229=O$3,SUMIF('TL05'!$C$238:$C$451,$C66,'TL05'!$J$238:$J$451),0),
IF('TL06'!$B$3=O$3,SUMIF('TL06'!$C$10:$C$224,$C66,'TL06'!$J$10:$J$224),0),
IF('TL06'!$B$229=O$3,SUMIF('TL06'!$C$238:$C$451,$C66,'TL06'!$J$238:$J$451),0),
IF('TL07'!$B$3=O$3,SUMIF('TL07'!$C$10:$C$224,$C66,'TL07'!$J$10:$J$224),0),
IF('TL07'!$B$229=O$3,SUMIF('TL07'!$C$238:$C$451,$C66,'TL07'!$J$238:$J$451),0),
IF('TL08'!$B$3=O$3,SUMIF('TL08'!$C$10:$C$224,$C66,'TL08'!$J$10:$J$224),0),
IF('TL08'!$B$229=O$3,SUMIF('TL08'!$C$238:$C$451,$C66,'TL08'!$J$238:$J$451),0),
IF('TL09'!$B$3=O$3,SUMIF('TL09'!$C$10:$C$224,$C66,'TL09'!$J$10:$J$224),0),
IF('TL09'!$B$229=O$3,SUMIF('TL09'!$C$238:$C$451,$C66,'TL09'!$J$238:$J$451),0),
IF('TL10'!$B$3=O$3,SUMIF('TL10'!$C$10:$C$224,$C66,'TL10'!$J$10:$J$224),0),
IF('TL10'!$B$229=O$3,SUMIF('TL10'!$C$238:$C$451,$C66,'TL10'!$J$238:$J$451),0),
IF('TL11'!$B$3=O$3,SUMIF('TL11'!$C$10:$C$224,$C66,'TL11'!$J$10:$J$224),0),
IF('TL11'!$B$229=O$3,SUMIF('TL11'!$C$238:$C$451,$C66,'TL11'!$J$238:$J$451),0),
IF('TL12'!$B$3=O$3,SUMIF('TL12'!$C$10:$C$224,$C66,'TL12'!$J$10:$J$224),0),
IF('TL12'!$B$229=O$3,SUMIF('TL12'!$C$238:$C$451,$C66,'TL12'!$J$238:$J$451),0),
IF('TL13'!$B$3=O$3,SUMIF('TL13'!$C$10:$C$224,$C66,'TL13'!$J$10:$J$224),0),
IF('TL13'!$B$229=O$3,SUMIF('TL13'!$C$238:$C$451,$C66,'TL13'!$J$238:$J$451),0),
IF('TL14'!$B$3=O$3,SUMIF('TL14'!$C$10:$C$224,$C66,'TL14'!$J$10:$J$224),0),
IF('TL14'!$B$229=O$3,SUMIF('TL14'!$C$238:$C$451,$C66,'TL14'!$J$238:$J$451),0),
IF('TL15'!$B$3=O$3,SUMIF('TL15'!$C$10:$C$224,$C66,'TL15'!$J$10:$J$224),0),
IF('TL15'!$B$229=O$3,SUMIF('TL15'!$C$238:$C$451,$C66,'TL15'!$J$238:$J$451),0),
IF('TL16'!$B$3=O$3,SUMIF('TL16'!$C$10:$C$224,$C66,'TL16'!$J$10:$J$224),0),
IF('TL16'!$B$229=O$3,SUMIF('TL16'!$C$238:$C$451,$C66,'TL16'!$J$238:$J$451),0),
IF('TL17'!$B$3=O$3,SUMIF('TL17'!$C$10:$C$224,$C66,'TL17'!$J$10:$J$224),0),
IF('TL17'!$B$229=O$3,SUMIF('TL17'!$C$238:$C$451,$C66,'TL17'!$J$238:$J$451),0),
IF('TL18'!$B$3=O$3,SUMIF('TL18'!$C$10:$C$224,$C66,'TL18'!$J$10:$J$224),0),
IF('TL18'!$B$229=O$3,SUMIF('TL18'!$C$238:$C$451,$C66,'TL18'!$J$238:$J$451),0),
IF('TL19'!$B$3=O$3,SUMIF('TL19'!$C$10:$C$224,$C66,'TL19'!$J$10:$J$224),0),
IF('TL19'!$B$229=O$3,SUMIF('TL19'!$C$238:$C$451,$C66,'TL19'!$J$238:$J$451),0)
),0)</f>
        <v>0</v>
      </c>
      <c r="P66" s="9">
        <f>IFERROR(SUM(
IF('TL01'!$B$3=P$3,SUMIF('TL01'!$C$10:$C$224,$C66,'TL01'!$J$10:$J$224),0),
IF('TL01'!$B$229=P$3,SUMIF('TL01'!$C$238:$C$451,$C66,'TL01'!$J$238:$J$451),0),
IF('TL02'!$B$3=P$3,SUMIF('TL02'!$C$10:$C$224,$C66,'TL02'!$J$10:$J$224),0),
IF('TL02'!$B$229=P$3,SUMIF('TL02'!$C$238:$C$451,$C66,'TL02'!$J$238:$J$451),0),
IF('TL03'!$B$3=P$3,SUMIF('TL03'!$C$10:$C$224,$C66,'TL03'!$J$10:$J$224),0),
IF('TL03'!$B$229=P$3,SUMIF('TL03'!$C$238:$C$451,$C66,'TL03'!$J$238:$J$451),0),
IF('TL04'!$B$3=P$3,SUMIF('TL04'!$C$10:$C$224,$C66,'TL04'!$J$10:$J$224),0),
IF('TL04'!$B$229=P$3,SUMIF('TL04'!$C$238:$C$451,$C66,'TL04'!$J$238:$J$451),0),
IF('TL05'!$B$3=P$3,SUMIF('TL05'!$C$10:$C$224,$C66,'TL05'!$J$10:$J$224),0),
IF('TL05'!$B$229=P$3,SUMIF('TL05'!$C$238:$C$451,$C66,'TL05'!$J$238:$J$451),0),
IF('TL06'!$B$3=P$3,SUMIF('TL06'!$C$10:$C$224,$C66,'TL06'!$J$10:$J$224),0),
IF('TL06'!$B$229=P$3,SUMIF('TL06'!$C$238:$C$451,$C66,'TL06'!$J$238:$J$451),0),
IF('TL07'!$B$3=P$3,SUMIF('TL07'!$C$10:$C$224,$C66,'TL07'!$J$10:$J$224),0),
IF('TL07'!$B$229=P$3,SUMIF('TL07'!$C$238:$C$451,$C66,'TL07'!$J$238:$J$451),0),
IF('TL08'!$B$3=P$3,SUMIF('TL08'!$C$10:$C$224,$C66,'TL08'!$J$10:$J$224),0),
IF('TL08'!$B$229=P$3,SUMIF('TL08'!$C$238:$C$451,$C66,'TL08'!$J$238:$J$451),0),
IF('TL09'!$B$3=P$3,SUMIF('TL09'!$C$10:$C$224,$C66,'TL09'!$J$10:$J$224),0),
IF('TL09'!$B$229=P$3,SUMIF('TL09'!$C$238:$C$451,$C66,'TL09'!$J$238:$J$451),0),
IF('TL10'!$B$3=P$3,SUMIF('TL10'!$C$10:$C$224,$C66,'TL10'!$J$10:$J$224),0),
IF('TL10'!$B$229=P$3,SUMIF('TL10'!$C$238:$C$451,$C66,'TL10'!$J$238:$J$451),0),
IF('TL11'!$B$3=P$3,SUMIF('TL11'!$C$10:$C$224,$C66,'TL11'!$J$10:$J$224),0),
IF('TL11'!$B$229=P$3,SUMIF('TL11'!$C$238:$C$451,$C66,'TL11'!$J$238:$J$451),0),
IF('TL12'!$B$3=P$3,SUMIF('TL12'!$C$10:$C$224,$C66,'TL12'!$J$10:$J$224),0),
IF('TL12'!$B$229=P$3,SUMIF('TL12'!$C$238:$C$451,$C66,'TL12'!$J$238:$J$451),0),
IF('TL13'!$B$3=P$3,SUMIF('TL13'!$C$10:$C$224,$C66,'TL13'!$J$10:$J$224),0),
IF('TL13'!$B$229=P$3,SUMIF('TL13'!$C$238:$C$451,$C66,'TL13'!$J$238:$J$451),0),
IF('TL14'!$B$3=P$3,SUMIF('TL14'!$C$10:$C$224,$C66,'TL14'!$J$10:$J$224),0),
IF('TL14'!$B$229=P$3,SUMIF('TL14'!$C$238:$C$451,$C66,'TL14'!$J$238:$J$451),0),
IF('TL15'!$B$3=P$3,SUMIF('TL15'!$C$10:$C$224,$C66,'TL15'!$J$10:$J$224),0),
IF('TL15'!$B$229=P$3,SUMIF('TL15'!$C$238:$C$451,$C66,'TL15'!$J$238:$J$451),0),
IF('TL16'!$B$3=P$3,SUMIF('TL16'!$C$10:$C$224,$C66,'TL16'!$J$10:$J$224),0),
IF('TL16'!$B$229=P$3,SUMIF('TL16'!$C$238:$C$451,$C66,'TL16'!$J$238:$J$451),0),
IF('TL17'!$B$3=P$3,SUMIF('TL17'!$C$10:$C$224,$C66,'TL17'!$J$10:$J$224),0),
IF('TL17'!$B$229=P$3,SUMIF('TL17'!$C$238:$C$451,$C66,'TL17'!$J$238:$J$451),0),
IF('TL18'!$B$3=P$3,SUMIF('TL18'!$C$10:$C$224,$C66,'TL18'!$J$10:$J$224),0),
IF('TL18'!$B$229=P$3,SUMIF('TL18'!$C$238:$C$451,$C66,'TL18'!$J$238:$J$451),0),
IF('TL19'!$B$3=P$3,SUMIF('TL19'!$C$10:$C$224,$C66,'TL19'!$J$10:$J$224),0),
IF('TL19'!$B$229=P$3,SUMIF('TL19'!$C$238:$C$451,$C66,'TL19'!$J$238:$J$451),0)
),0)</f>
        <v>0</v>
      </c>
      <c r="Q66" s="9">
        <f>IFERROR(SUM(
IF('TL01'!$B$3=Q$3,SUMIF('TL01'!$C$10:$C$224,$C66,'TL01'!$J$10:$J$224),0),
IF('TL01'!$B$229=Q$3,SUMIF('TL01'!$C$238:$C$451,$C66,'TL01'!$J$238:$J$451),0),
IF('TL02'!$B$3=Q$3,SUMIF('TL02'!$C$10:$C$224,$C66,'TL02'!$J$10:$J$224),0),
IF('TL02'!$B$229=Q$3,SUMIF('TL02'!$C$238:$C$451,$C66,'TL02'!$J$238:$J$451),0),
IF('TL03'!$B$3=Q$3,SUMIF('TL03'!$C$10:$C$224,$C66,'TL03'!$J$10:$J$224),0),
IF('TL03'!$B$229=Q$3,SUMIF('TL03'!$C$238:$C$451,$C66,'TL03'!$J$238:$J$451),0),
IF('TL04'!$B$3=Q$3,SUMIF('TL04'!$C$10:$C$224,$C66,'TL04'!$J$10:$J$224),0),
IF('TL04'!$B$229=Q$3,SUMIF('TL04'!$C$238:$C$451,$C66,'TL04'!$J$238:$J$451),0),
IF('TL05'!$B$3=Q$3,SUMIF('TL05'!$C$10:$C$224,$C66,'TL05'!$J$10:$J$224),0),
IF('TL05'!$B$229=Q$3,SUMIF('TL05'!$C$238:$C$451,$C66,'TL05'!$J$238:$J$451),0),
IF('TL06'!$B$3=Q$3,SUMIF('TL06'!$C$10:$C$224,$C66,'TL06'!$J$10:$J$224),0),
IF('TL06'!$B$229=Q$3,SUMIF('TL06'!$C$238:$C$451,$C66,'TL06'!$J$238:$J$451),0),
IF('TL07'!$B$3=Q$3,SUMIF('TL07'!$C$10:$C$224,$C66,'TL07'!$J$10:$J$224),0),
IF('TL07'!$B$229=Q$3,SUMIF('TL07'!$C$238:$C$451,$C66,'TL07'!$J$238:$J$451),0),
IF('TL08'!$B$3=Q$3,SUMIF('TL08'!$C$10:$C$224,$C66,'TL08'!$J$10:$J$224),0),
IF('TL08'!$B$229=Q$3,SUMIF('TL08'!$C$238:$C$451,$C66,'TL08'!$J$238:$J$451),0),
IF('TL09'!$B$3=Q$3,SUMIF('TL09'!$C$10:$C$224,$C66,'TL09'!$J$10:$J$224),0),
IF('TL09'!$B$229=Q$3,SUMIF('TL09'!$C$238:$C$451,$C66,'TL09'!$J$238:$J$451),0),
IF('TL10'!$B$3=Q$3,SUMIF('TL10'!$C$10:$C$224,$C66,'TL10'!$J$10:$J$224),0),
IF('TL10'!$B$229=Q$3,SUMIF('TL10'!$C$238:$C$451,$C66,'TL10'!$J$238:$J$451),0),
IF('TL11'!$B$3=Q$3,SUMIF('TL11'!$C$10:$C$224,$C66,'TL11'!$J$10:$J$224),0),
IF('TL11'!$B$229=Q$3,SUMIF('TL11'!$C$238:$C$451,$C66,'TL11'!$J$238:$J$451),0),
IF('TL12'!$B$3=Q$3,SUMIF('TL12'!$C$10:$C$224,$C66,'TL12'!$J$10:$J$224),0),
IF('TL12'!$B$229=Q$3,SUMIF('TL12'!$C$238:$C$451,$C66,'TL12'!$J$238:$J$451),0),
IF('TL13'!$B$3=Q$3,SUMIF('TL13'!$C$10:$C$224,$C66,'TL13'!$J$10:$J$224),0),
IF('TL13'!$B$229=Q$3,SUMIF('TL13'!$C$238:$C$451,$C66,'TL13'!$J$238:$J$451),0),
IF('TL14'!$B$3=Q$3,SUMIF('TL14'!$C$10:$C$224,$C66,'TL14'!$J$10:$J$224),0),
IF('TL14'!$B$229=Q$3,SUMIF('TL14'!$C$238:$C$451,$C66,'TL14'!$J$238:$J$451),0),
IF('TL15'!$B$3=Q$3,SUMIF('TL15'!$C$10:$C$224,$C66,'TL15'!$J$10:$J$224),0),
IF('TL15'!$B$229=Q$3,SUMIF('TL15'!$C$238:$C$451,$C66,'TL15'!$J$238:$J$451),0),
IF('TL16'!$B$3=Q$3,SUMIF('TL16'!$C$10:$C$224,$C66,'TL16'!$J$10:$J$224),0),
IF('TL16'!$B$229=Q$3,SUMIF('TL16'!$C$238:$C$451,$C66,'TL16'!$J$238:$J$451),0),
IF('TL17'!$B$3=Q$3,SUMIF('TL17'!$C$10:$C$224,$C66,'TL17'!$J$10:$J$224),0),
IF('TL17'!$B$229=Q$3,SUMIF('TL17'!$C$238:$C$451,$C66,'TL17'!$J$238:$J$451),0),
IF('TL18'!$B$3=Q$3,SUMIF('TL18'!$C$10:$C$224,$C66,'TL18'!$J$10:$J$224),0),
IF('TL18'!$B$229=Q$3,SUMIF('TL18'!$C$238:$C$451,$C66,'TL18'!$J$238:$J$451),0),
IF('TL19'!$B$3=Q$3,SUMIF('TL19'!$C$10:$C$224,$C66,'TL19'!$J$10:$J$224),0),
IF('TL19'!$B$229=Q$3,SUMIF('TL19'!$C$238:$C$451,$C66,'TL19'!$J$238:$J$451),0)
),0)</f>
        <v>0</v>
      </c>
      <c r="R66" s="9">
        <f>IFERROR(
SUM(
SUMIF('TL01'!C:C,C66,'TL01'!J:J),
SUMIF('TL02'!C:C,C66,'TL02'!J:J),
SUMIF('TL03'!C:C,C66,'TL03'!J:J),
SUMIF('TL04'!C:C,C66,'TL04'!J:J),
SUMIF('TL05'!C:C,C66,'TL05'!J:J),
SUMIF('TL06'!C:C,C66,'TL06'!J:J),
SUMIF('TL07'!C:C,C66,'TL07'!J:J),
SUMIF('TL08'!C:C,C66,'TL08'!J:J),
SUMIF('TL09'!C:C,C66,'TL09'!J:J),
SUMIF('TL10'!C:C,C66,'TL10'!J:J),
SUMIF('TL11'!C:C,C66,'TL11'!J:J),
SUMIF('TL12'!C:C,C66,'TL12'!J:J),
SUMIF('TL13'!C:C,C66,'TL13'!J:J),
SUMIF('TL14'!C:C,C66,'TL14'!J:J),
SUMIF('TL15'!C:C,C66,'TL15'!J:J),
SUMIF('TL16'!C:C,C66,'TL16'!J:J),
SUMIF('TL17'!C:C,C66,'TL17'!J:J),
SUMIF('TL18'!C:C,C66,'TL18'!J:J),SUMIF('TL19'!C:C,C66,'TL19'!J:J))
,0)</f>
        <v>0</v>
      </c>
      <c r="S66" s="17">
        <f>IFERROR(__xludf.DUMMYFUNCTION("IFERROR(VLOOKUP(C66,
IMPORTRANGE(""1wULbzX32WdYsx-lj2U3uUNBBe2INVIRDtcK0d-Dvl90"",
""26-27!C:G""),
5,
FALSE),
"""")"),36.547200000000004)</f>
        <v>36.5472</v>
      </c>
      <c r="T66" s="9"/>
      <c r="U66" s="92">
        <f t="shared" si="2"/>
        <v>0</v>
      </c>
      <c r="V66" s="93">
        <f t="shared" si="3"/>
        <v>0</v>
      </c>
    </row>
    <row r="67" ht="15.75" hidden="1" customHeight="1">
      <c r="A67" s="111" t="s">
        <v>504</v>
      </c>
      <c r="B67" s="112" t="s">
        <v>0</v>
      </c>
      <c r="C67" s="113" t="s">
        <v>509</v>
      </c>
      <c r="D67" s="113" t="s">
        <v>510</v>
      </c>
      <c r="E67" s="113" t="s">
        <v>511</v>
      </c>
      <c r="F67" s="4" t="s">
        <v>343</v>
      </c>
      <c r="G67" s="90" t="str">
        <f t="shared" si="4"/>
        <v>📄 Ver bula</v>
      </c>
      <c r="H67" s="9">
        <f>IFERROR(__xludf.DUMMYFUNCTION("IFERROR(VLOOKUP(C67,
IMPORTRANGE(""1wULbzX32WdYsx-lj2U3uUNBBe2INVIRDtcK0d-Dvl90"",
""26-27!C:K""),
8,
FALSE),
"""")"),0.3)</f>
        <v>0.3</v>
      </c>
      <c r="I67" s="114" t="s">
        <v>361</v>
      </c>
      <c r="J67" s="9">
        <f>IFERROR(SUM(
IF('TL01'!$B$3=J$3,SUMIF('TL01'!$C$10:$C$224,$C67,'TL01'!$J$10:$J$224),0),
IF('TL01'!$B$229=J$3,SUMIF('TL01'!$C$238:$C$451,$C67,'TL01'!$J$238:$J$451),0),
IF('TL02'!$B$3=J$3,SUMIF('TL02'!$C$10:$C$224,$C67,'TL02'!$J$10:$J$224),0),
IF('TL02'!$B$229=J$3,SUMIF('TL02'!$C$238:$C$451,$C67,'TL02'!$J$238:$J$451),0),
IF('TL03'!$B$3=J$3,SUMIF('TL03'!$C$10:$C$224,$C67,'TL03'!$J$10:$J$224),0),
IF('TL03'!$B$229=J$3,SUMIF('TL03'!$C$238:$C$451,$C67,'TL03'!$J$238:$J$451),0),
IF('TL04'!$B$3=J$3,SUMIF('TL04'!$C$10:$C$224,$C67,'TL04'!$J$10:$J$224),0),
IF('TL04'!$B$229=J$3,SUMIF('TL04'!$C$238:$C$451,$C67,'TL04'!$J$238:$J$451),0),
IF('TL05'!$B$3=J$3,SUMIF('TL05'!$C$10:$C$224,$C67,'TL05'!$J$10:$J$224),0),
IF('TL05'!$B$229=J$3,SUMIF('TL05'!$C$238:$C$451,$C67,'TL05'!$J$238:$J$451),0),
IF('TL06'!$B$3=J$3,SUMIF('TL06'!$C$10:$C$224,$C67,'TL06'!$J$10:$J$224),0),
IF('TL06'!$B$229=J$3,SUMIF('TL06'!$C$238:$C$451,$C67,'TL06'!$J$238:$J$451),0),
IF('TL07'!$B$3=J$3,SUMIF('TL07'!$C$10:$C$224,$C67,'TL07'!$J$10:$J$224),0),
IF('TL07'!$B$229=J$3,SUMIF('TL07'!$C$238:$C$451,$C67,'TL07'!$J$238:$J$451),0),
IF('TL08'!$B$3=J$3,SUMIF('TL08'!$C$10:$C$224,$C67,'TL08'!$J$10:$J$224),0),
IF('TL08'!$B$229=J$3,SUMIF('TL08'!$C$238:$C$451,$C67,'TL08'!$J$238:$J$451),0),
IF('TL09'!$B$3=J$3,SUMIF('TL09'!$C$10:$C$224,$C67,'TL09'!$J$10:$J$224),0),
IF('TL09'!$B$229=J$3,SUMIF('TL09'!$C$238:$C$451,$C67,'TL09'!$J$238:$J$451),0),
IF('TL10'!$B$3=J$3,SUMIF('TL10'!$C$10:$C$224,$C67,'TL10'!$J$10:$J$224),0),
IF('TL10'!$B$229=J$3,SUMIF('TL10'!$C$238:$C$451,$C67,'TL10'!$J$238:$J$451),0),
IF('TL11'!$B$3=J$3,SUMIF('TL11'!$C$10:$C$224,$C67,'TL11'!$J$10:$J$224),0),
IF('TL11'!$B$229=J$3,SUMIF('TL11'!$C$238:$C$451,$C67,'TL11'!$J$238:$J$451),0),
IF('TL12'!$B$3=J$3,SUMIF('TL12'!$C$10:$C$224,$C67,'TL12'!$J$10:$J$224),0),
IF('TL12'!$B$229=J$3,SUMIF('TL12'!$C$238:$C$451,$C67,'TL12'!$J$238:$J$451),0),
IF('TL13'!$B$3=J$3,SUMIF('TL13'!$C$10:$C$224,$C67,'TL13'!$J$10:$J$224),0),
IF('TL13'!$B$229=J$3,SUMIF('TL13'!$C$238:$C$451,$C67,'TL13'!$J$238:$J$451),0),
IF('TL14'!$B$3=J$3,SUMIF('TL14'!$C$10:$C$224,$C67,'TL14'!$J$10:$J$224),0),
IF('TL14'!$B$229=J$3,SUMIF('TL14'!$C$238:$C$451,$C67,'TL14'!$J$238:$J$451),0),
IF('TL15'!$B$3=J$3,SUMIF('TL15'!$C$10:$C$224,$C67,'TL15'!$J$10:$J$224),0),
IF('TL15'!$B$229=J$3,SUMIF('TL15'!$C$238:$C$451,$C67,'TL15'!$J$238:$J$451),0),
IF('TL16'!$B$3=J$3,SUMIF('TL16'!$C$10:$C$224,$C67,'TL16'!$J$10:$J$224),0),
IF('TL16'!$B$229=J$3,SUMIF('TL16'!$C$238:$C$451,$C67,'TL16'!$J$238:$J$451),0),
IF('TL17'!$B$3=J$3,SUMIF('TL17'!$C$10:$C$224,$C67,'TL17'!$J$10:$J$224),0),
IF('TL17'!$B$229=J$3,SUMIF('TL17'!$C$238:$C$451,$C67,'TL17'!$J$238:$J$451),0),
IF('TL18'!$B$3=J$3,SUMIF('TL18'!$C$10:$C$224,$C67,'TL18'!$J$10:$J$224),0),
IF('TL18'!$B$229=J$3,SUMIF('TL18'!$C$238:$C$451,$C67,'TL18'!$J$238:$J$451),0),
IF('TL19'!$B$3=J$3,SUMIF('TL19'!$C$10:$C$224,$C67,'TL19'!$J$10:$J$224),0),
IF('TL19'!$B$229=J$3,SUMIF('TL19'!$C$238:$C$451,$C67,'TL19'!$J$238:$J$451),0)
),0)</f>
        <v>0</v>
      </c>
      <c r="K67" s="9">
        <f>IFERROR(SUM(
IF('TL01'!$B$3=K$3,SUMIF('TL01'!$C$10:$C$224,$C67,'TL01'!$J$10:$J$224),0),
IF('TL01'!$B$229=K$3,SUMIF('TL01'!$C$238:$C$451,$C67,'TL01'!$J$238:$J$451),0),
IF('TL02'!$B$3=K$3,SUMIF('TL02'!$C$10:$C$224,$C67,'TL02'!$J$10:$J$224),0),
IF('TL02'!$B$229=K$3,SUMIF('TL02'!$C$238:$C$451,$C67,'TL02'!$J$238:$J$451),0),
IF('TL03'!$B$3=K$3,SUMIF('TL03'!$C$10:$C$224,$C67,'TL03'!$J$10:$J$224),0),
IF('TL03'!$B$229=K$3,SUMIF('TL03'!$C$238:$C$451,$C67,'TL03'!$J$238:$J$451),0),
IF('TL04'!$B$3=K$3,SUMIF('TL04'!$C$10:$C$224,$C67,'TL04'!$J$10:$J$224),0),
IF('TL04'!$B$229=K$3,SUMIF('TL04'!$C$238:$C$451,$C67,'TL04'!$J$238:$J$451),0),
IF('TL05'!$B$3=K$3,SUMIF('TL05'!$C$10:$C$224,$C67,'TL05'!$J$10:$J$224),0),
IF('TL05'!$B$229=K$3,SUMIF('TL05'!$C$238:$C$451,$C67,'TL05'!$J$238:$J$451),0),
IF('TL06'!$B$3=K$3,SUMIF('TL06'!$C$10:$C$224,$C67,'TL06'!$J$10:$J$224),0),
IF('TL06'!$B$229=K$3,SUMIF('TL06'!$C$238:$C$451,$C67,'TL06'!$J$238:$J$451),0),
IF('TL07'!$B$3=K$3,SUMIF('TL07'!$C$10:$C$224,$C67,'TL07'!$J$10:$J$224),0),
IF('TL07'!$B$229=K$3,SUMIF('TL07'!$C$238:$C$451,$C67,'TL07'!$J$238:$J$451),0),
IF('TL08'!$B$3=K$3,SUMIF('TL08'!$C$10:$C$224,$C67,'TL08'!$J$10:$J$224),0),
IF('TL08'!$B$229=K$3,SUMIF('TL08'!$C$238:$C$451,$C67,'TL08'!$J$238:$J$451),0),
IF('TL09'!$B$3=K$3,SUMIF('TL09'!$C$10:$C$224,$C67,'TL09'!$J$10:$J$224),0),
IF('TL09'!$B$229=K$3,SUMIF('TL09'!$C$238:$C$451,$C67,'TL09'!$J$238:$J$451),0),
IF('TL10'!$B$3=K$3,SUMIF('TL10'!$C$10:$C$224,$C67,'TL10'!$J$10:$J$224),0),
IF('TL10'!$B$229=K$3,SUMIF('TL10'!$C$238:$C$451,$C67,'TL10'!$J$238:$J$451),0),
IF('TL11'!$B$3=K$3,SUMIF('TL11'!$C$10:$C$224,$C67,'TL11'!$J$10:$J$224),0),
IF('TL11'!$B$229=K$3,SUMIF('TL11'!$C$238:$C$451,$C67,'TL11'!$J$238:$J$451),0),
IF('TL12'!$B$3=K$3,SUMIF('TL12'!$C$10:$C$224,$C67,'TL12'!$J$10:$J$224),0),
IF('TL12'!$B$229=K$3,SUMIF('TL12'!$C$238:$C$451,$C67,'TL12'!$J$238:$J$451),0),
IF('TL13'!$B$3=K$3,SUMIF('TL13'!$C$10:$C$224,$C67,'TL13'!$J$10:$J$224),0),
IF('TL13'!$B$229=K$3,SUMIF('TL13'!$C$238:$C$451,$C67,'TL13'!$J$238:$J$451),0),
IF('TL14'!$B$3=K$3,SUMIF('TL14'!$C$10:$C$224,$C67,'TL14'!$J$10:$J$224),0),
IF('TL14'!$B$229=K$3,SUMIF('TL14'!$C$238:$C$451,$C67,'TL14'!$J$238:$J$451),0),
IF('TL15'!$B$3=K$3,SUMIF('TL15'!$C$10:$C$224,$C67,'TL15'!$J$10:$J$224),0),
IF('TL15'!$B$229=K$3,SUMIF('TL15'!$C$238:$C$451,$C67,'TL15'!$J$238:$J$451),0),
IF('TL16'!$B$3=K$3,SUMIF('TL16'!$C$10:$C$224,$C67,'TL16'!$J$10:$J$224),0),
IF('TL16'!$B$229=K$3,SUMIF('TL16'!$C$238:$C$451,$C67,'TL16'!$J$238:$J$451),0),
IF('TL17'!$B$3=K$3,SUMIF('TL17'!$C$10:$C$224,$C67,'TL17'!$J$10:$J$224),0),
IF('TL17'!$B$229=K$3,SUMIF('TL17'!$C$238:$C$451,$C67,'TL17'!$J$238:$J$451),0),
IF('TL18'!$B$3=K$3,SUMIF('TL18'!$C$10:$C$224,$C67,'TL18'!$J$10:$J$224),0),
IF('TL18'!$B$229=K$3,SUMIF('TL18'!$C$238:$C$451,$C67,'TL18'!$J$238:$J$451),0),
IF('TL19'!$B$3=K$3,SUMIF('TL19'!$C$10:$C$224,$C67,'TL19'!$J$10:$J$224),0),
IF('TL19'!$B$229=K$3,SUMIF('TL19'!$C$238:$C$451,$C67,'TL19'!$J$238:$J$451),0)
),0)</f>
        <v>0</v>
      </c>
      <c r="L67" s="9">
        <f>IFERROR(SUM(
IF('TL01'!$B$3=L$3,SUMIF('TL01'!$C$10:$C$224,$C67,'TL01'!$J$10:$J$224),0),
IF('TL01'!$B$229=L$3,SUMIF('TL01'!$C$238:$C$451,$C67,'TL01'!$J$238:$J$451),0),
IF('TL02'!$B$3=L$3,SUMIF('TL02'!$C$10:$C$224,$C67,'TL02'!$J$10:$J$224),0),
IF('TL02'!$B$229=L$3,SUMIF('TL02'!$C$238:$C$451,$C67,'TL02'!$J$238:$J$451),0),
IF('TL03'!$B$3=L$3,SUMIF('TL03'!$C$10:$C$224,$C67,'TL03'!$J$10:$J$224),0),
IF('TL03'!$B$229=L$3,SUMIF('TL03'!$C$238:$C$451,$C67,'TL03'!$J$238:$J$451),0),
IF('TL04'!$B$3=L$3,SUMIF('TL04'!$C$10:$C$224,$C67,'TL04'!$J$10:$J$224),0),
IF('TL04'!$B$229=L$3,SUMIF('TL04'!$C$238:$C$451,$C67,'TL04'!$J$238:$J$451),0),
IF('TL05'!$B$3=L$3,SUMIF('TL05'!$C$10:$C$224,$C67,'TL05'!$J$10:$J$224),0),
IF('TL05'!$B$229=L$3,SUMIF('TL05'!$C$238:$C$451,$C67,'TL05'!$J$238:$J$451),0),
IF('TL06'!$B$3=L$3,SUMIF('TL06'!$C$10:$C$224,$C67,'TL06'!$J$10:$J$224),0),
IF('TL06'!$B$229=L$3,SUMIF('TL06'!$C$238:$C$451,$C67,'TL06'!$J$238:$J$451),0),
IF('TL07'!$B$3=L$3,SUMIF('TL07'!$C$10:$C$224,$C67,'TL07'!$J$10:$J$224),0),
IF('TL07'!$B$229=L$3,SUMIF('TL07'!$C$238:$C$451,$C67,'TL07'!$J$238:$J$451),0),
IF('TL08'!$B$3=L$3,SUMIF('TL08'!$C$10:$C$224,$C67,'TL08'!$J$10:$J$224),0),
IF('TL08'!$B$229=L$3,SUMIF('TL08'!$C$238:$C$451,$C67,'TL08'!$J$238:$J$451),0),
IF('TL09'!$B$3=L$3,SUMIF('TL09'!$C$10:$C$224,$C67,'TL09'!$J$10:$J$224),0),
IF('TL09'!$B$229=L$3,SUMIF('TL09'!$C$238:$C$451,$C67,'TL09'!$J$238:$J$451),0),
IF('TL10'!$B$3=L$3,SUMIF('TL10'!$C$10:$C$224,$C67,'TL10'!$J$10:$J$224),0),
IF('TL10'!$B$229=L$3,SUMIF('TL10'!$C$238:$C$451,$C67,'TL10'!$J$238:$J$451),0),
IF('TL11'!$B$3=L$3,SUMIF('TL11'!$C$10:$C$224,$C67,'TL11'!$J$10:$J$224),0),
IF('TL11'!$B$229=L$3,SUMIF('TL11'!$C$238:$C$451,$C67,'TL11'!$J$238:$J$451),0),
IF('TL12'!$B$3=L$3,SUMIF('TL12'!$C$10:$C$224,$C67,'TL12'!$J$10:$J$224),0),
IF('TL12'!$B$229=L$3,SUMIF('TL12'!$C$238:$C$451,$C67,'TL12'!$J$238:$J$451),0),
IF('TL13'!$B$3=L$3,SUMIF('TL13'!$C$10:$C$224,$C67,'TL13'!$J$10:$J$224),0),
IF('TL13'!$B$229=L$3,SUMIF('TL13'!$C$238:$C$451,$C67,'TL13'!$J$238:$J$451),0),
IF('TL14'!$B$3=L$3,SUMIF('TL14'!$C$10:$C$224,$C67,'TL14'!$J$10:$J$224),0),
IF('TL14'!$B$229=L$3,SUMIF('TL14'!$C$238:$C$451,$C67,'TL14'!$J$238:$J$451),0),
IF('TL15'!$B$3=L$3,SUMIF('TL15'!$C$10:$C$224,$C67,'TL15'!$J$10:$J$224),0),
IF('TL15'!$B$229=L$3,SUMIF('TL15'!$C$238:$C$451,$C67,'TL15'!$J$238:$J$451),0),
IF('TL16'!$B$3=L$3,SUMIF('TL16'!$C$10:$C$224,$C67,'TL16'!$J$10:$J$224),0),
IF('TL16'!$B$229=L$3,SUMIF('TL16'!$C$238:$C$451,$C67,'TL16'!$J$238:$J$451),0),
IF('TL17'!$B$3=L$3,SUMIF('TL17'!$C$10:$C$224,$C67,'TL17'!$J$10:$J$224),0),
IF('TL17'!$B$229=L$3,SUMIF('TL17'!$C$238:$C$451,$C67,'TL17'!$J$238:$J$451),0),
IF('TL18'!$B$3=L$3,SUMIF('TL18'!$C$10:$C$224,$C67,'TL18'!$J$10:$J$224),0),
IF('TL18'!$B$229=L$3,SUMIF('TL18'!$C$238:$C$451,$C67,'TL18'!$J$238:$J$451),0),
IF('TL19'!$B$3=L$3,SUMIF('TL19'!$C$10:$C$224,$C67,'TL19'!$J$10:$J$224),0),
IF('TL19'!$B$229=L$3,SUMIF('TL19'!$C$238:$C$451,$C67,'TL19'!$J$238:$J$451),0)
),0)</f>
        <v>0</v>
      </c>
      <c r="M67" s="9">
        <f>IFERROR(SUM(
IF('TL01'!$B$3=M$3,SUMIF('TL01'!$C$10:$C$224,$C67,'TL01'!$J$10:$J$224),0),
IF('TL01'!$B$229=M$3,SUMIF('TL01'!$C$238:$C$451,$C67,'TL01'!$J$238:$J$451),0),
IF('TL02'!$B$3=M$3,SUMIF('TL02'!$C$10:$C$224,$C67,'TL02'!$J$10:$J$224),0),
IF('TL02'!$B$229=M$3,SUMIF('TL02'!$C$238:$C$451,$C67,'TL02'!$J$238:$J$451),0),
IF('TL03'!$B$3=M$3,SUMIF('TL03'!$C$10:$C$224,$C67,'TL03'!$J$10:$J$224),0),
IF('TL03'!$B$229=M$3,SUMIF('TL03'!$C$238:$C$451,$C67,'TL03'!$J$238:$J$451),0),
IF('TL04'!$B$3=M$3,SUMIF('TL04'!$C$10:$C$224,$C67,'TL04'!$J$10:$J$224),0),
IF('TL04'!$B$229=M$3,SUMIF('TL04'!$C$238:$C$451,$C67,'TL04'!$J$238:$J$451),0),
IF('TL05'!$B$3=M$3,SUMIF('TL05'!$C$10:$C$224,$C67,'TL05'!$J$10:$J$224),0),
IF('TL05'!$B$229=M$3,SUMIF('TL05'!$C$238:$C$451,$C67,'TL05'!$J$238:$J$451),0),
IF('TL06'!$B$3=M$3,SUMIF('TL06'!$C$10:$C$224,$C67,'TL06'!$J$10:$J$224),0),
IF('TL06'!$B$229=M$3,SUMIF('TL06'!$C$238:$C$451,$C67,'TL06'!$J$238:$J$451),0),
IF('TL07'!$B$3=M$3,SUMIF('TL07'!$C$10:$C$224,$C67,'TL07'!$J$10:$J$224),0),
IF('TL07'!$B$229=M$3,SUMIF('TL07'!$C$238:$C$451,$C67,'TL07'!$J$238:$J$451),0),
IF('TL08'!$B$3=M$3,SUMIF('TL08'!$C$10:$C$224,$C67,'TL08'!$J$10:$J$224),0),
IF('TL08'!$B$229=M$3,SUMIF('TL08'!$C$238:$C$451,$C67,'TL08'!$J$238:$J$451),0),
IF('TL09'!$B$3=M$3,SUMIF('TL09'!$C$10:$C$224,$C67,'TL09'!$J$10:$J$224),0),
IF('TL09'!$B$229=M$3,SUMIF('TL09'!$C$238:$C$451,$C67,'TL09'!$J$238:$J$451),0),
IF('TL10'!$B$3=M$3,SUMIF('TL10'!$C$10:$C$224,$C67,'TL10'!$J$10:$J$224),0),
IF('TL10'!$B$229=M$3,SUMIF('TL10'!$C$238:$C$451,$C67,'TL10'!$J$238:$J$451),0),
IF('TL11'!$B$3=M$3,SUMIF('TL11'!$C$10:$C$224,$C67,'TL11'!$J$10:$J$224),0),
IF('TL11'!$B$229=M$3,SUMIF('TL11'!$C$238:$C$451,$C67,'TL11'!$J$238:$J$451),0),
IF('TL12'!$B$3=M$3,SUMIF('TL12'!$C$10:$C$224,$C67,'TL12'!$J$10:$J$224),0),
IF('TL12'!$B$229=M$3,SUMIF('TL12'!$C$238:$C$451,$C67,'TL12'!$J$238:$J$451),0),
IF('TL13'!$B$3=M$3,SUMIF('TL13'!$C$10:$C$224,$C67,'TL13'!$J$10:$J$224),0),
IF('TL13'!$B$229=M$3,SUMIF('TL13'!$C$238:$C$451,$C67,'TL13'!$J$238:$J$451),0),
IF('TL14'!$B$3=M$3,SUMIF('TL14'!$C$10:$C$224,$C67,'TL14'!$J$10:$J$224),0),
IF('TL14'!$B$229=M$3,SUMIF('TL14'!$C$238:$C$451,$C67,'TL14'!$J$238:$J$451),0),
IF('TL15'!$B$3=M$3,SUMIF('TL15'!$C$10:$C$224,$C67,'TL15'!$J$10:$J$224),0),
IF('TL15'!$B$229=M$3,SUMIF('TL15'!$C$238:$C$451,$C67,'TL15'!$J$238:$J$451),0),
IF('TL16'!$B$3=M$3,SUMIF('TL16'!$C$10:$C$224,$C67,'TL16'!$J$10:$J$224),0),
IF('TL16'!$B$229=M$3,SUMIF('TL16'!$C$238:$C$451,$C67,'TL16'!$J$238:$J$451),0),
IF('TL17'!$B$3=M$3,SUMIF('TL17'!$C$10:$C$224,$C67,'TL17'!$J$10:$J$224),0),
IF('TL17'!$B$229=M$3,SUMIF('TL17'!$C$238:$C$451,$C67,'TL17'!$J$238:$J$451),0),
IF('TL18'!$B$3=M$3,SUMIF('TL18'!$C$10:$C$224,$C67,'TL18'!$J$10:$J$224),0),
IF('TL18'!$B$229=M$3,SUMIF('TL18'!$C$238:$C$451,$C67,'TL18'!$J$238:$J$451),0),
IF('TL19'!$B$3=M$3,SUMIF('TL19'!$C$10:$C$224,$C67,'TL19'!$J$10:$J$224),0),
IF('TL19'!$B$229=M$3,SUMIF('TL19'!$C$238:$C$451,$C67,'TL19'!$J$238:$J$451),0)
),0)</f>
        <v>0</v>
      </c>
      <c r="N67" s="9">
        <f>IFERROR(SUM(
IF('TL01'!$B$3=N$3,SUMIF('TL01'!$C$10:$C$224,$C67,'TL01'!$J$10:$J$224),0),
IF('TL01'!$B$229=N$3,SUMIF('TL01'!$C$238:$C$451,$C67,'TL01'!$J$238:$J$451),0),
IF('TL02'!$B$3=N$3,SUMIF('TL02'!$C$10:$C$224,$C67,'TL02'!$J$10:$J$224),0),
IF('TL02'!$B$229=N$3,SUMIF('TL02'!$C$238:$C$451,$C67,'TL02'!$J$238:$J$451),0),
IF('TL03'!$B$3=N$3,SUMIF('TL03'!$C$10:$C$224,$C67,'TL03'!$J$10:$J$224),0),
IF('TL03'!$B$229=N$3,SUMIF('TL03'!$C$238:$C$451,$C67,'TL03'!$J$238:$J$451),0),
IF('TL04'!$B$3=N$3,SUMIF('TL04'!$C$10:$C$224,$C67,'TL04'!$J$10:$J$224),0),
IF('TL04'!$B$229=N$3,SUMIF('TL04'!$C$238:$C$451,$C67,'TL04'!$J$238:$J$451),0),
IF('TL05'!$B$3=N$3,SUMIF('TL05'!$C$10:$C$224,$C67,'TL05'!$J$10:$J$224),0),
IF('TL05'!$B$229=N$3,SUMIF('TL05'!$C$238:$C$451,$C67,'TL05'!$J$238:$J$451),0),
IF('TL06'!$B$3=N$3,SUMIF('TL06'!$C$10:$C$224,$C67,'TL06'!$J$10:$J$224),0),
IF('TL06'!$B$229=N$3,SUMIF('TL06'!$C$238:$C$451,$C67,'TL06'!$J$238:$J$451),0),
IF('TL07'!$B$3=N$3,SUMIF('TL07'!$C$10:$C$224,$C67,'TL07'!$J$10:$J$224),0),
IF('TL07'!$B$229=N$3,SUMIF('TL07'!$C$238:$C$451,$C67,'TL07'!$J$238:$J$451),0),
IF('TL08'!$B$3=N$3,SUMIF('TL08'!$C$10:$C$224,$C67,'TL08'!$J$10:$J$224),0),
IF('TL08'!$B$229=N$3,SUMIF('TL08'!$C$238:$C$451,$C67,'TL08'!$J$238:$J$451),0),
IF('TL09'!$B$3=N$3,SUMIF('TL09'!$C$10:$C$224,$C67,'TL09'!$J$10:$J$224),0),
IF('TL09'!$B$229=N$3,SUMIF('TL09'!$C$238:$C$451,$C67,'TL09'!$J$238:$J$451),0),
IF('TL10'!$B$3=N$3,SUMIF('TL10'!$C$10:$C$224,$C67,'TL10'!$J$10:$J$224),0),
IF('TL10'!$B$229=N$3,SUMIF('TL10'!$C$238:$C$451,$C67,'TL10'!$J$238:$J$451),0),
IF('TL11'!$B$3=N$3,SUMIF('TL11'!$C$10:$C$224,$C67,'TL11'!$J$10:$J$224),0),
IF('TL11'!$B$229=N$3,SUMIF('TL11'!$C$238:$C$451,$C67,'TL11'!$J$238:$J$451),0),
IF('TL12'!$B$3=N$3,SUMIF('TL12'!$C$10:$C$224,$C67,'TL12'!$J$10:$J$224),0),
IF('TL12'!$B$229=N$3,SUMIF('TL12'!$C$238:$C$451,$C67,'TL12'!$J$238:$J$451),0),
IF('TL13'!$B$3=N$3,SUMIF('TL13'!$C$10:$C$224,$C67,'TL13'!$J$10:$J$224),0),
IF('TL13'!$B$229=N$3,SUMIF('TL13'!$C$238:$C$451,$C67,'TL13'!$J$238:$J$451),0),
IF('TL14'!$B$3=N$3,SUMIF('TL14'!$C$10:$C$224,$C67,'TL14'!$J$10:$J$224),0),
IF('TL14'!$B$229=N$3,SUMIF('TL14'!$C$238:$C$451,$C67,'TL14'!$J$238:$J$451),0),
IF('TL15'!$B$3=N$3,SUMIF('TL15'!$C$10:$C$224,$C67,'TL15'!$J$10:$J$224),0),
IF('TL15'!$B$229=N$3,SUMIF('TL15'!$C$238:$C$451,$C67,'TL15'!$J$238:$J$451),0),
IF('TL16'!$B$3=N$3,SUMIF('TL16'!$C$10:$C$224,$C67,'TL16'!$J$10:$J$224),0),
IF('TL16'!$B$229=N$3,SUMIF('TL16'!$C$238:$C$451,$C67,'TL16'!$J$238:$J$451),0),
IF('TL17'!$B$3=N$3,SUMIF('TL17'!$C$10:$C$224,$C67,'TL17'!$J$10:$J$224),0),
IF('TL17'!$B$229=N$3,SUMIF('TL17'!$C$238:$C$451,$C67,'TL17'!$J$238:$J$451),0),
IF('TL18'!$B$3=N$3,SUMIF('TL18'!$C$10:$C$224,$C67,'TL18'!$J$10:$J$224),0),
IF('TL18'!$B$229=N$3,SUMIF('TL18'!$C$238:$C$451,$C67,'TL18'!$J$238:$J$451),0),
IF('TL19'!$B$3=N$3,SUMIF('TL19'!$C$10:$C$224,$C67,'TL19'!$J$10:$J$224),0),
IF('TL19'!$B$229=N$3,SUMIF('TL19'!$C$238:$C$451,$C67,'TL19'!$J$238:$J$451),0)
),0)</f>
        <v>0</v>
      </c>
      <c r="O67" s="9">
        <f>IFERROR(SUM(
IF('TL01'!$B$3=O$3,SUMIF('TL01'!$C$10:$C$224,$C67,'TL01'!$J$10:$J$224),0),
IF('TL01'!$B$229=O$3,SUMIF('TL01'!$C$238:$C$451,$C67,'TL01'!$J$238:$J$451),0),
IF('TL02'!$B$3=O$3,SUMIF('TL02'!$C$10:$C$224,$C67,'TL02'!$J$10:$J$224),0),
IF('TL02'!$B$229=O$3,SUMIF('TL02'!$C$238:$C$451,$C67,'TL02'!$J$238:$J$451),0),
IF('TL03'!$B$3=O$3,SUMIF('TL03'!$C$10:$C$224,$C67,'TL03'!$J$10:$J$224),0),
IF('TL03'!$B$229=O$3,SUMIF('TL03'!$C$238:$C$451,$C67,'TL03'!$J$238:$J$451),0),
IF('TL04'!$B$3=O$3,SUMIF('TL04'!$C$10:$C$224,$C67,'TL04'!$J$10:$J$224),0),
IF('TL04'!$B$229=O$3,SUMIF('TL04'!$C$238:$C$451,$C67,'TL04'!$J$238:$J$451),0),
IF('TL05'!$B$3=O$3,SUMIF('TL05'!$C$10:$C$224,$C67,'TL05'!$J$10:$J$224),0),
IF('TL05'!$B$229=O$3,SUMIF('TL05'!$C$238:$C$451,$C67,'TL05'!$J$238:$J$451),0),
IF('TL06'!$B$3=O$3,SUMIF('TL06'!$C$10:$C$224,$C67,'TL06'!$J$10:$J$224),0),
IF('TL06'!$B$229=O$3,SUMIF('TL06'!$C$238:$C$451,$C67,'TL06'!$J$238:$J$451),0),
IF('TL07'!$B$3=O$3,SUMIF('TL07'!$C$10:$C$224,$C67,'TL07'!$J$10:$J$224),0),
IF('TL07'!$B$229=O$3,SUMIF('TL07'!$C$238:$C$451,$C67,'TL07'!$J$238:$J$451),0),
IF('TL08'!$B$3=O$3,SUMIF('TL08'!$C$10:$C$224,$C67,'TL08'!$J$10:$J$224),0),
IF('TL08'!$B$229=O$3,SUMIF('TL08'!$C$238:$C$451,$C67,'TL08'!$J$238:$J$451),0),
IF('TL09'!$B$3=O$3,SUMIF('TL09'!$C$10:$C$224,$C67,'TL09'!$J$10:$J$224),0),
IF('TL09'!$B$229=O$3,SUMIF('TL09'!$C$238:$C$451,$C67,'TL09'!$J$238:$J$451),0),
IF('TL10'!$B$3=O$3,SUMIF('TL10'!$C$10:$C$224,$C67,'TL10'!$J$10:$J$224),0),
IF('TL10'!$B$229=O$3,SUMIF('TL10'!$C$238:$C$451,$C67,'TL10'!$J$238:$J$451),0),
IF('TL11'!$B$3=O$3,SUMIF('TL11'!$C$10:$C$224,$C67,'TL11'!$J$10:$J$224),0),
IF('TL11'!$B$229=O$3,SUMIF('TL11'!$C$238:$C$451,$C67,'TL11'!$J$238:$J$451),0),
IF('TL12'!$B$3=O$3,SUMIF('TL12'!$C$10:$C$224,$C67,'TL12'!$J$10:$J$224),0),
IF('TL12'!$B$229=O$3,SUMIF('TL12'!$C$238:$C$451,$C67,'TL12'!$J$238:$J$451),0),
IF('TL13'!$B$3=O$3,SUMIF('TL13'!$C$10:$C$224,$C67,'TL13'!$J$10:$J$224),0),
IF('TL13'!$B$229=O$3,SUMIF('TL13'!$C$238:$C$451,$C67,'TL13'!$J$238:$J$451),0),
IF('TL14'!$B$3=O$3,SUMIF('TL14'!$C$10:$C$224,$C67,'TL14'!$J$10:$J$224),0),
IF('TL14'!$B$229=O$3,SUMIF('TL14'!$C$238:$C$451,$C67,'TL14'!$J$238:$J$451),0),
IF('TL15'!$B$3=O$3,SUMIF('TL15'!$C$10:$C$224,$C67,'TL15'!$J$10:$J$224),0),
IF('TL15'!$B$229=O$3,SUMIF('TL15'!$C$238:$C$451,$C67,'TL15'!$J$238:$J$451),0),
IF('TL16'!$B$3=O$3,SUMIF('TL16'!$C$10:$C$224,$C67,'TL16'!$J$10:$J$224),0),
IF('TL16'!$B$229=O$3,SUMIF('TL16'!$C$238:$C$451,$C67,'TL16'!$J$238:$J$451),0),
IF('TL17'!$B$3=O$3,SUMIF('TL17'!$C$10:$C$224,$C67,'TL17'!$J$10:$J$224),0),
IF('TL17'!$B$229=O$3,SUMIF('TL17'!$C$238:$C$451,$C67,'TL17'!$J$238:$J$451),0),
IF('TL18'!$B$3=O$3,SUMIF('TL18'!$C$10:$C$224,$C67,'TL18'!$J$10:$J$224),0),
IF('TL18'!$B$229=O$3,SUMIF('TL18'!$C$238:$C$451,$C67,'TL18'!$J$238:$J$451),0),
IF('TL19'!$B$3=O$3,SUMIF('TL19'!$C$10:$C$224,$C67,'TL19'!$J$10:$J$224),0),
IF('TL19'!$B$229=O$3,SUMIF('TL19'!$C$238:$C$451,$C67,'TL19'!$J$238:$J$451),0)
),0)</f>
        <v>0</v>
      </c>
      <c r="P67" s="9">
        <f>IFERROR(SUM(
IF('TL01'!$B$3=P$3,SUMIF('TL01'!$C$10:$C$224,$C67,'TL01'!$J$10:$J$224),0),
IF('TL01'!$B$229=P$3,SUMIF('TL01'!$C$238:$C$451,$C67,'TL01'!$J$238:$J$451),0),
IF('TL02'!$B$3=P$3,SUMIF('TL02'!$C$10:$C$224,$C67,'TL02'!$J$10:$J$224),0),
IF('TL02'!$B$229=P$3,SUMIF('TL02'!$C$238:$C$451,$C67,'TL02'!$J$238:$J$451),0),
IF('TL03'!$B$3=P$3,SUMIF('TL03'!$C$10:$C$224,$C67,'TL03'!$J$10:$J$224),0),
IF('TL03'!$B$229=P$3,SUMIF('TL03'!$C$238:$C$451,$C67,'TL03'!$J$238:$J$451),0),
IF('TL04'!$B$3=P$3,SUMIF('TL04'!$C$10:$C$224,$C67,'TL04'!$J$10:$J$224),0),
IF('TL04'!$B$229=P$3,SUMIF('TL04'!$C$238:$C$451,$C67,'TL04'!$J$238:$J$451),0),
IF('TL05'!$B$3=P$3,SUMIF('TL05'!$C$10:$C$224,$C67,'TL05'!$J$10:$J$224),0),
IF('TL05'!$B$229=P$3,SUMIF('TL05'!$C$238:$C$451,$C67,'TL05'!$J$238:$J$451),0),
IF('TL06'!$B$3=P$3,SUMIF('TL06'!$C$10:$C$224,$C67,'TL06'!$J$10:$J$224),0),
IF('TL06'!$B$229=P$3,SUMIF('TL06'!$C$238:$C$451,$C67,'TL06'!$J$238:$J$451),0),
IF('TL07'!$B$3=P$3,SUMIF('TL07'!$C$10:$C$224,$C67,'TL07'!$J$10:$J$224),0),
IF('TL07'!$B$229=P$3,SUMIF('TL07'!$C$238:$C$451,$C67,'TL07'!$J$238:$J$451),0),
IF('TL08'!$B$3=P$3,SUMIF('TL08'!$C$10:$C$224,$C67,'TL08'!$J$10:$J$224),0),
IF('TL08'!$B$229=P$3,SUMIF('TL08'!$C$238:$C$451,$C67,'TL08'!$J$238:$J$451),0),
IF('TL09'!$B$3=P$3,SUMIF('TL09'!$C$10:$C$224,$C67,'TL09'!$J$10:$J$224),0),
IF('TL09'!$B$229=P$3,SUMIF('TL09'!$C$238:$C$451,$C67,'TL09'!$J$238:$J$451),0),
IF('TL10'!$B$3=P$3,SUMIF('TL10'!$C$10:$C$224,$C67,'TL10'!$J$10:$J$224),0),
IF('TL10'!$B$229=P$3,SUMIF('TL10'!$C$238:$C$451,$C67,'TL10'!$J$238:$J$451),0),
IF('TL11'!$B$3=P$3,SUMIF('TL11'!$C$10:$C$224,$C67,'TL11'!$J$10:$J$224),0),
IF('TL11'!$B$229=P$3,SUMIF('TL11'!$C$238:$C$451,$C67,'TL11'!$J$238:$J$451),0),
IF('TL12'!$B$3=P$3,SUMIF('TL12'!$C$10:$C$224,$C67,'TL12'!$J$10:$J$224),0),
IF('TL12'!$B$229=P$3,SUMIF('TL12'!$C$238:$C$451,$C67,'TL12'!$J$238:$J$451),0),
IF('TL13'!$B$3=P$3,SUMIF('TL13'!$C$10:$C$224,$C67,'TL13'!$J$10:$J$224),0),
IF('TL13'!$B$229=P$3,SUMIF('TL13'!$C$238:$C$451,$C67,'TL13'!$J$238:$J$451),0),
IF('TL14'!$B$3=P$3,SUMIF('TL14'!$C$10:$C$224,$C67,'TL14'!$J$10:$J$224),0),
IF('TL14'!$B$229=P$3,SUMIF('TL14'!$C$238:$C$451,$C67,'TL14'!$J$238:$J$451),0),
IF('TL15'!$B$3=P$3,SUMIF('TL15'!$C$10:$C$224,$C67,'TL15'!$J$10:$J$224),0),
IF('TL15'!$B$229=P$3,SUMIF('TL15'!$C$238:$C$451,$C67,'TL15'!$J$238:$J$451),0),
IF('TL16'!$B$3=P$3,SUMIF('TL16'!$C$10:$C$224,$C67,'TL16'!$J$10:$J$224),0),
IF('TL16'!$B$229=P$3,SUMIF('TL16'!$C$238:$C$451,$C67,'TL16'!$J$238:$J$451),0),
IF('TL17'!$B$3=P$3,SUMIF('TL17'!$C$10:$C$224,$C67,'TL17'!$J$10:$J$224),0),
IF('TL17'!$B$229=P$3,SUMIF('TL17'!$C$238:$C$451,$C67,'TL17'!$J$238:$J$451),0),
IF('TL18'!$B$3=P$3,SUMIF('TL18'!$C$10:$C$224,$C67,'TL18'!$J$10:$J$224),0),
IF('TL18'!$B$229=P$3,SUMIF('TL18'!$C$238:$C$451,$C67,'TL18'!$J$238:$J$451),0),
IF('TL19'!$B$3=P$3,SUMIF('TL19'!$C$10:$C$224,$C67,'TL19'!$J$10:$J$224),0),
IF('TL19'!$B$229=P$3,SUMIF('TL19'!$C$238:$C$451,$C67,'TL19'!$J$238:$J$451),0)
),0)</f>
        <v>0</v>
      </c>
      <c r="Q67" s="9">
        <f>IFERROR(SUM(
IF('TL01'!$B$3=Q$3,SUMIF('TL01'!$C$10:$C$224,$C67,'TL01'!$J$10:$J$224),0),
IF('TL01'!$B$229=Q$3,SUMIF('TL01'!$C$238:$C$451,$C67,'TL01'!$J$238:$J$451),0),
IF('TL02'!$B$3=Q$3,SUMIF('TL02'!$C$10:$C$224,$C67,'TL02'!$J$10:$J$224),0),
IF('TL02'!$B$229=Q$3,SUMIF('TL02'!$C$238:$C$451,$C67,'TL02'!$J$238:$J$451),0),
IF('TL03'!$B$3=Q$3,SUMIF('TL03'!$C$10:$C$224,$C67,'TL03'!$J$10:$J$224),0),
IF('TL03'!$B$229=Q$3,SUMIF('TL03'!$C$238:$C$451,$C67,'TL03'!$J$238:$J$451),0),
IF('TL04'!$B$3=Q$3,SUMIF('TL04'!$C$10:$C$224,$C67,'TL04'!$J$10:$J$224),0),
IF('TL04'!$B$229=Q$3,SUMIF('TL04'!$C$238:$C$451,$C67,'TL04'!$J$238:$J$451),0),
IF('TL05'!$B$3=Q$3,SUMIF('TL05'!$C$10:$C$224,$C67,'TL05'!$J$10:$J$224),0),
IF('TL05'!$B$229=Q$3,SUMIF('TL05'!$C$238:$C$451,$C67,'TL05'!$J$238:$J$451),0),
IF('TL06'!$B$3=Q$3,SUMIF('TL06'!$C$10:$C$224,$C67,'TL06'!$J$10:$J$224),0),
IF('TL06'!$B$229=Q$3,SUMIF('TL06'!$C$238:$C$451,$C67,'TL06'!$J$238:$J$451),0),
IF('TL07'!$B$3=Q$3,SUMIF('TL07'!$C$10:$C$224,$C67,'TL07'!$J$10:$J$224),0),
IF('TL07'!$B$229=Q$3,SUMIF('TL07'!$C$238:$C$451,$C67,'TL07'!$J$238:$J$451),0),
IF('TL08'!$B$3=Q$3,SUMIF('TL08'!$C$10:$C$224,$C67,'TL08'!$J$10:$J$224),0),
IF('TL08'!$B$229=Q$3,SUMIF('TL08'!$C$238:$C$451,$C67,'TL08'!$J$238:$J$451),0),
IF('TL09'!$B$3=Q$3,SUMIF('TL09'!$C$10:$C$224,$C67,'TL09'!$J$10:$J$224),0),
IF('TL09'!$B$229=Q$3,SUMIF('TL09'!$C$238:$C$451,$C67,'TL09'!$J$238:$J$451),0),
IF('TL10'!$B$3=Q$3,SUMIF('TL10'!$C$10:$C$224,$C67,'TL10'!$J$10:$J$224),0),
IF('TL10'!$B$229=Q$3,SUMIF('TL10'!$C$238:$C$451,$C67,'TL10'!$J$238:$J$451),0),
IF('TL11'!$B$3=Q$3,SUMIF('TL11'!$C$10:$C$224,$C67,'TL11'!$J$10:$J$224),0),
IF('TL11'!$B$229=Q$3,SUMIF('TL11'!$C$238:$C$451,$C67,'TL11'!$J$238:$J$451),0),
IF('TL12'!$B$3=Q$3,SUMIF('TL12'!$C$10:$C$224,$C67,'TL12'!$J$10:$J$224),0),
IF('TL12'!$B$229=Q$3,SUMIF('TL12'!$C$238:$C$451,$C67,'TL12'!$J$238:$J$451),0),
IF('TL13'!$B$3=Q$3,SUMIF('TL13'!$C$10:$C$224,$C67,'TL13'!$J$10:$J$224),0),
IF('TL13'!$B$229=Q$3,SUMIF('TL13'!$C$238:$C$451,$C67,'TL13'!$J$238:$J$451),0),
IF('TL14'!$B$3=Q$3,SUMIF('TL14'!$C$10:$C$224,$C67,'TL14'!$J$10:$J$224),0),
IF('TL14'!$B$229=Q$3,SUMIF('TL14'!$C$238:$C$451,$C67,'TL14'!$J$238:$J$451),0),
IF('TL15'!$B$3=Q$3,SUMIF('TL15'!$C$10:$C$224,$C67,'TL15'!$J$10:$J$224),0),
IF('TL15'!$B$229=Q$3,SUMIF('TL15'!$C$238:$C$451,$C67,'TL15'!$J$238:$J$451),0),
IF('TL16'!$B$3=Q$3,SUMIF('TL16'!$C$10:$C$224,$C67,'TL16'!$J$10:$J$224),0),
IF('TL16'!$B$229=Q$3,SUMIF('TL16'!$C$238:$C$451,$C67,'TL16'!$J$238:$J$451),0),
IF('TL17'!$B$3=Q$3,SUMIF('TL17'!$C$10:$C$224,$C67,'TL17'!$J$10:$J$224),0),
IF('TL17'!$B$229=Q$3,SUMIF('TL17'!$C$238:$C$451,$C67,'TL17'!$J$238:$J$451),0),
IF('TL18'!$B$3=Q$3,SUMIF('TL18'!$C$10:$C$224,$C67,'TL18'!$J$10:$J$224),0),
IF('TL18'!$B$229=Q$3,SUMIF('TL18'!$C$238:$C$451,$C67,'TL18'!$J$238:$J$451),0),
IF('TL19'!$B$3=Q$3,SUMIF('TL19'!$C$10:$C$224,$C67,'TL19'!$J$10:$J$224),0),
IF('TL19'!$B$229=Q$3,SUMIF('TL19'!$C$238:$C$451,$C67,'TL19'!$J$238:$J$451),0)
),0)</f>
        <v>0</v>
      </c>
      <c r="R67" s="9">
        <f>IFERROR(
SUM(
SUMIF('TL01'!C:C,C67,'TL01'!J:J),
SUMIF('TL02'!C:C,C67,'TL02'!J:J),
SUMIF('TL03'!C:C,C67,'TL03'!J:J),
SUMIF('TL04'!C:C,C67,'TL04'!J:J),
SUMIF('TL05'!C:C,C67,'TL05'!J:J),
SUMIF('TL06'!C:C,C67,'TL06'!J:J),
SUMIF('TL07'!C:C,C67,'TL07'!J:J),
SUMIF('TL08'!C:C,C67,'TL08'!J:J),
SUMIF('TL09'!C:C,C67,'TL09'!J:J),
SUMIF('TL10'!C:C,C67,'TL10'!J:J),
SUMIF('TL11'!C:C,C67,'TL11'!J:J),
SUMIF('TL12'!C:C,C67,'TL12'!J:J),
SUMIF('TL13'!C:C,C67,'TL13'!J:J),
SUMIF('TL14'!C:C,C67,'TL14'!J:J),
SUMIF('TL15'!C:C,C67,'TL15'!J:J),
SUMIF('TL16'!C:C,C67,'TL16'!J:J),
SUMIF('TL17'!C:C,C67,'TL17'!J:J),
SUMIF('TL18'!C:C,C67,'TL18'!J:J),SUMIF('TL19'!C:C,C67,'TL19'!J:J))
,0)</f>
        <v>0</v>
      </c>
      <c r="S67" s="17">
        <f>IFERROR(__xludf.DUMMYFUNCTION("IFERROR(VLOOKUP(C67,
IMPORTRANGE(""1wULbzX32WdYsx-lj2U3uUNBBe2INVIRDtcK0d-Dvl90"",
""26-27!C:G""),
5,
FALSE),
"""")"),266.52384000000006)</f>
        <v>266.52384</v>
      </c>
      <c r="T67" s="9"/>
      <c r="U67" s="92">
        <f t="shared" si="2"/>
        <v>0</v>
      </c>
      <c r="V67" s="93">
        <f t="shared" si="3"/>
        <v>0</v>
      </c>
    </row>
    <row r="68" ht="15.75" hidden="1" customHeight="1">
      <c r="A68" s="115" t="s">
        <v>378</v>
      </c>
      <c r="B68" s="100" t="s">
        <v>0</v>
      </c>
      <c r="C68" s="116" t="s">
        <v>512</v>
      </c>
      <c r="D68" s="116" t="s">
        <v>513</v>
      </c>
      <c r="E68" s="116" t="s">
        <v>514</v>
      </c>
      <c r="F68" s="4" t="s">
        <v>343</v>
      </c>
      <c r="G68" s="90" t="str">
        <f t="shared" si="4"/>
        <v>📄 Ver bula</v>
      </c>
      <c r="H68" s="9">
        <f>IFERROR(__xludf.DUMMYFUNCTION("IFERROR(VLOOKUP(C68,
IMPORTRANGE(""1wULbzX32WdYsx-lj2U3uUNBBe2INVIRDtcK0d-Dvl90"",
""26-27!C:K""),
8,
FALSE),
"""")"),0.4)</f>
        <v>0.4</v>
      </c>
      <c r="I68" s="117" t="s">
        <v>515</v>
      </c>
      <c r="J68" s="9">
        <f>IFERROR(SUM(
IF('TL01'!$B$3=J$3,SUMIF('TL01'!$C$10:$C$224,$C68,'TL01'!$J$10:$J$224),0),
IF('TL01'!$B$229=J$3,SUMIF('TL01'!$C$238:$C$451,$C68,'TL01'!$J$238:$J$451),0),
IF('TL02'!$B$3=J$3,SUMIF('TL02'!$C$10:$C$224,$C68,'TL02'!$J$10:$J$224),0),
IF('TL02'!$B$229=J$3,SUMIF('TL02'!$C$238:$C$451,$C68,'TL02'!$J$238:$J$451),0),
IF('TL03'!$B$3=J$3,SUMIF('TL03'!$C$10:$C$224,$C68,'TL03'!$J$10:$J$224),0),
IF('TL03'!$B$229=J$3,SUMIF('TL03'!$C$238:$C$451,$C68,'TL03'!$J$238:$J$451),0),
IF('TL04'!$B$3=J$3,SUMIF('TL04'!$C$10:$C$224,$C68,'TL04'!$J$10:$J$224),0),
IF('TL04'!$B$229=J$3,SUMIF('TL04'!$C$238:$C$451,$C68,'TL04'!$J$238:$J$451),0),
IF('TL05'!$B$3=J$3,SUMIF('TL05'!$C$10:$C$224,$C68,'TL05'!$J$10:$J$224),0),
IF('TL05'!$B$229=J$3,SUMIF('TL05'!$C$238:$C$451,$C68,'TL05'!$J$238:$J$451),0),
IF('TL06'!$B$3=J$3,SUMIF('TL06'!$C$10:$C$224,$C68,'TL06'!$J$10:$J$224),0),
IF('TL06'!$B$229=J$3,SUMIF('TL06'!$C$238:$C$451,$C68,'TL06'!$J$238:$J$451),0),
IF('TL07'!$B$3=J$3,SUMIF('TL07'!$C$10:$C$224,$C68,'TL07'!$J$10:$J$224),0),
IF('TL07'!$B$229=J$3,SUMIF('TL07'!$C$238:$C$451,$C68,'TL07'!$J$238:$J$451),0),
IF('TL08'!$B$3=J$3,SUMIF('TL08'!$C$10:$C$224,$C68,'TL08'!$J$10:$J$224),0),
IF('TL08'!$B$229=J$3,SUMIF('TL08'!$C$238:$C$451,$C68,'TL08'!$J$238:$J$451),0),
IF('TL09'!$B$3=J$3,SUMIF('TL09'!$C$10:$C$224,$C68,'TL09'!$J$10:$J$224),0),
IF('TL09'!$B$229=J$3,SUMIF('TL09'!$C$238:$C$451,$C68,'TL09'!$J$238:$J$451),0),
IF('TL10'!$B$3=J$3,SUMIF('TL10'!$C$10:$C$224,$C68,'TL10'!$J$10:$J$224),0),
IF('TL10'!$B$229=J$3,SUMIF('TL10'!$C$238:$C$451,$C68,'TL10'!$J$238:$J$451),0),
IF('TL11'!$B$3=J$3,SUMIF('TL11'!$C$10:$C$224,$C68,'TL11'!$J$10:$J$224),0),
IF('TL11'!$B$229=J$3,SUMIF('TL11'!$C$238:$C$451,$C68,'TL11'!$J$238:$J$451),0),
IF('TL12'!$B$3=J$3,SUMIF('TL12'!$C$10:$C$224,$C68,'TL12'!$J$10:$J$224),0),
IF('TL12'!$B$229=J$3,SUMIF('TL12'!$C$238:$C$451,$C68,'TL12'!$J$238:$J$451),0),
IF('TL13'!$B$3=J$3,SUMIF('TL13'!$C$10:$C$224,$C68,'TL13'!$J$10:$J$224),0),
IF('TL13'!$B$229=J$3,SUMIF('TL13'!$C$238:$C$451,$C68,'TL13'!$J$238:$J$451),0),
IF('TL14'!$B$3=J$3,SUMIF('TL14'!$C$10:$C$224,$C68,'TL14'!$J$10:$J$224),0),
IF('TL14'!$B$229=J$3,SUMIF('TL14'!$C$238:$C$451,$C68,'TL14'!$J$238:$J$451),0),
IF('TL15'!$B$3=J$3,SUMIF('TL15'!$C$10:$C$224,$C68,'TL15'!$J$10:$J$224),0),
IF('TL15'!$B$229=J$3,SUMIF('TL15'!$C$238:$C$451,$C68,'TL15'!$J$238:$J$451),0),
IF('TL16'!$B$3=J$3,SUMIF('TL16'!$C$10:$C$224,$C68,'TL16'!$J$10:$J$224),0),
IF('TL16'!$B$229=J$3,SUMIF('TL16'!$C$238:$C$451,$C68,'TL16'!$J$238:$J$451),0),
IF('TL17'!$B$3=J$3,SUMIF('TL17'!$C$10:$C$224,$C68,'TL17'!$J$10:$J$224),0),
IF('TL17'!$B$229=J$3,SUMIF('TL17'!$C$238:$C$451,$C68,'TL17'!$J$238:$J$451),0),
IF('TL18'!$B$3=J$3,SUMIF('TL18'!$C$10:$C$224,$C68,'TL18'!$J$10:$J$224),0),
IF('TL18'!$B$229=J$3,SUMIF('TL18'!$C$238:$C$451,$C68,'TL18'!$J$238:$J$451),0),
IF('TL19'!$B$3=J$3,SUMIF('TL19'!$C$10:$C$224,$C68,'TL19'!$J$10:$J$224),0),
IF('TL19'!$B$229=J$3,SUMIF('TL19'!$C$238:$C$451,$C68,'TL19'!$J$238:$J$451),0)
),0)</f>
        <v>0</v>
      </c>
      <c r="K68" s="9">
        <f>IFERROR(SUM(
IF('TL01'!$B$3=K$3,SUMIF('TL01'!$C$10:$C$224,$C68,'TL01'!$J$10:$J$224),0),
IF('TL01'!$B$229=K$3,SUMIF('TL01'!$C$238:$C$451,$C68,'TL01'!$J$238:$J$451),0),
IF('TL02'!$B$3=K$3,SUMIF('TL02'!$C$10:$C$224,$C68,'TL02'!$J$10:$J$224),0),
IF('TL02'!$B$229=K$3,SUMIF('TL02'!$C$238:$C$451,$C68,'TL02'!$J$238:$J$451),0),
IF('TL03'!$B$3=K$3,SUMIF('TL03'!$C$10:$C$224,$C68,'TL03'!$J$10:$J$224),0),
IF('TL03'!$B$229=K$3,SUMIF('TL03'!$C$238:$C$451,$C68,'TL03'!$J$238:$J$451),0),
IF('TL04'!$B$3=K$3,SUMIF('TL04'!$C$10:$C$224,$C68,'TL04'!$J$10:$J$224),0),
IF('TL04'!$B$229=K$3,SUMIF('TL04'!$C$238:$C$451,$C68,'TL04'!$J$238:$J$451),0),
IF('TL05'!$B$3=K$3,SUMIF('TL05'!$C$10:$C$224,$C68,'TL05'!$J$10:$J$224),0),
IF('TL05'!$B$229=K$3,SUMIF('TL05'!$C$238:$C$451,$C68,'TL05'!$J$238:$J$451),0),
IF('TL06'!$B$3=K$3,SUMIF('TL06'!$C$10:$C$224,$C68,'TL06'!$J$10:$J$224),0),
IF('TL06'!$B$229=K$3,SUMIF('TL06'!$C$238:$C$451,$C68,'TL06'!$J$238:$J$451),0),
IF('TL07'!$B$3=K$3,SUMIF('TL07'!$C$10:$C$224,$C68,'TL07'!$J$10:$J$224),0),
IF('TL07'!$B$229=K$3,SUMIF('TL07'!$C$238:$C$451,$C68,'TL07'!$J$238:$J$451),0),
IF('TL08'!$B$3=K$3,SUMIF('TL08'!$C$10:$C$224,$C68,'TL08'!$J$10:$J$224),0),
IF('TL08'!$B$229=K$3,SUMIF('TL08'!$C$238:$C$451,$C68,'TL08'!$J$238:$J$451),0),
IF('TL09'!$B$3=K$3,SUMIF('TL09'!$C$10:$C$224,$C68,'TL09'!$J$10:$J$224),0),
IF('TL09'!$B$229=K$3,SUMIF('TL09'!$C$238:$C$451,$C68,'TL09'!$J$238:$J$451),0),
IF('TL10'!$B$3=K$3,SUMIF('TL10'!$C$10:$C$224,$C68,'TL10'!$J$10:$J$224),0),
IF('TL10'!$B$229=K$3,SUMIF('TL10'!$C$238:$C$451,$C68,'TL10'!$J$238:$J$451),0),
IF('TL11'!$B$3=K$3,SUMIF('TL11'!$C$10:$C$224,$C68,'TL11'!$J$10:$J$224),0),
IF('TL11'!$B$229=K$3,SUMIF('TL11'!$C$238:$C$451,$C68,'TL11'!$J$238:$J$451),0),
IF('TL12'!$B$3=K$3,SUMIF('TL12'!$C$10:$C$224,$C68,'TL12'!$J$10:$J$224),0),
IF('TL12'!$B$229=K$3,SUMIF('TL12'!$C$238:$C$451,$C68,'TL12'!$J$238:$J$451),0),
IF('TL13'!$B$3=K$3,SUMIF('TL13'!$C$10:$C$224,$C68,'TL13'!$J$10:$J$224),0),
IF('TL13'!$B$229=K$3,SUMIF('TL13'!$C$238:$C$451,$C68,'TL13'!$J$238:$J$451),0),
IF('TL14'!$B$3=K$3,SUMIF('TL14'!$C$10:$C$224,$C68,'TL14'!$J$10:$J$224),0),
IF('TL14'!$B$229=K$3,SUMIF('TL14'!$C$238:$C$451,$C68,'TL14'!$J$238:$J$451),0),
IF('TL15'!$B$3=K$3,SUMIF('TL15'!$C$10:$C$224,$C68,'TL15'!$J$10:$J$224),0),
IF('TL15'!$B$229=K$3,SUMIF('TL15'!$C$238:$C$451,$C68,'TL15'!$J$238:$J$451),0),
IF('TL16'!$B$3=K$3,SUMIF('TL16'!$C$10:$C$224,$C68,'TL16'!$J$10:$J$224),0),
IF('TL16'!$B$229=K$3,SUMIF('TL16'!$C$238:$C$451,$C68,'TL16'!$J$238:$J$451),0),
IF('TL17'!$B$3=K$3,SUMIF('TL17'!$C$10:$C$224,$C68,'TL17'!$J$10:$J$224),0),
IF('TL17'!$B$229=K$3,SUMIF('TL17'!$C$238:$C$451,$C68,'TL17'!$J$238:$J$451),0),
IF('TL18'!$B$3=K$3,SUMIF('TL18'!$C$10:$C$224,$C68,'TL18'!$J$10:$J$224),0),
IF('TL18'!$B$229=K$3,SUMIF('TL18'!$C$238:$C$451,$C68,'TL18'!$J$238:$J$451),0),
IF('TL19'!$B$3=K$3,SUMIF('TL19'!$C$10:$C$224,$C68,'TL19'!$J$10:$J$224),0),
IF('TL19'!$B$229=K$3,SUMIF('TL19'!$C$238:$C$451,$C68,'TL19'!$J$238:$J$451),0)
),0)</f>
        <v>0</v>
      </c>
      <c r="L68" s="9">
        <f>IFERROR(SUM(
IF('TL01'!$B$3=L$3,SUMIF('TL01'!$C$10:$C$224,$C68,'TL01'!$J$10:$J$224),0),
IF('TL01'!$B$229=L$3,SUMIF('TL01'!$C$238:$C$451,$C68,'TL01'!$J$238:$J$451),0),
IF('TL02'!$B$3=L$3,SUMIF('TL02'!$C$10:$C$224,$C68,'TL02'!$J$10:$J$224),0),
IF('TL02'!$B$229=L$3,SUMIF('TL02'!$C$238:$C$451,$C68,'TL02'!$J$238:$J$451),0),
IF('TL03'!$B$3=L$3,SUMIF('TL03'!$C$10:$C$224,$C68,'TL03'!$J$10:$J$224),0),
IF('TL03'!$B$229=L$3,SUMIF('TL03'!$C$238:$C$451,$C68,'TL03'!$J$238:$J$451),0),
IF('TL04'!$B$3=L$3,SUMIF('TL04'!$C$10:$C$224,$C68,'TL04'!$J$10:$J$224),0),
IF('TL04'!$B$229=L$3,SUMIF('TL04'!$C$238:$C$451,$C68,'TL04'!$J$238:$J$451),0),
IF('TL05'!$B$3=L$3,SUMIF('TL05'!$C$10:$C$224,$C68,'TL05'!$J$10:$J$224),0),
IF('TL05'!$B$229=L$3,SUMIF('TL05'!$C$238:$C$451,$C68,'TL05'!$J$238:$J$451),0),
IF('TL06'!$B$3=L$3,SUMIF('TL06'!$C$10:$C$224,$C68,'TL06'!$J$10:$J$224),0),
IF('TL06'!$B$229=L$3,SUMIF('TL06'!$C$238:$C$451,$C68,'TL06'!$J$238:$J$451),0),
IF('TL07'!$B$3=L$3,SUMIF('TL07'!$C$10:$C$224,$C68,'TL07'!$J$10:$J$224),0),
IF('TL07'!$B$229=L$3,SUMIF('TL07'!$C$238:$C$451,$C68,'TL07'!$J$238:$J$451),0),
IF('TL08'!$B$3=L$3,SUMIF('TL08'!$C$10:$C$224,$C68,'TL08'!$J$10:$J$224),0),
IF('TL08'!$B$229=L$3,SUMIF('TL08'!$C$238:$C$451,$C68,'TL08'!$J$238:$J$451),0),
IF('TL09'!$B$3=L$3,SUMIF('TL09'!$C$10:$C$224,$C68,'TL09'!$J$10:$J$224),0),
IF('TL09'!$B$229=L$3,SUMIF('TL09'!$C$238:$C$451,$C68,'TL09'!$J$238:$J$451),0),
IF('TL10'!$B$3=L$3,SUMIF('TL10'!$C$10:$C$224,$C68,'TL10'!$J$10:$J$224),0),
IF('TL10'!$B$229=L$3,SUMIF('TL10'!$C$238:$C$451,$C68,'TL10'!$J$238:$J$451),0),
IF('TL11'!$B$3=L$3,SUMIF('TL11'!$C$10:$C$224,$C68,'TL11'!$J$10:$J$224),0),
IF('TL11'!$B$229=L$3,SUMIF('TL11'!$C$238:$C$451,$C68,'TL11'!$J$238:$J$451),0),
IF('TL12'!$B$3=L$3,SUMIF('TL12'!$C$10:$C$224,$C68,'TL12'!$J$10:$J$224),0),
IF('TL12'!$B$229=L$3,SUMIF('TL12'!$C$238:$C$451,$C68,'TL12'!$J$238:$J$451),0),
IF('TL13'!$B$3=L$3,SUMIF('TL13'!$C$10:$C$224,$C68,'TL13'!$J$10:$J$224),0),
IF('TL13'!$B$229=L$3,SUMIF('TL13'!$C$238:$C$451,$C68,'TL13'!$J$238:$J$451),0),
IF('TL14'!$B$3=L$3,SUMIF('TL14'!$C$10:$C$224,$C68,'TL14'!$J$10:$J$224),0),
IF('TL14'!$B$229=L$3,SUMIF('TL14'!$C$238:$C$451,$C68,'TL14'!$J$238:$J$451),0),
IF('TL15'!$B$3=L$3,SUMIF('TL15'!$C$10:$C$224,$C68,'TL15'!$J$10:$J$224),0),
IF('TL15'!$B$229=L$3,SUMIF('TL15'!$C$238:$C$451,$C68,'TL15'!$J$238:$J$451),0),
IF('TL16'!$B$3=L$3,SUMIF('TL16'!$C$10:$C$224,$C68,'TL16'!$J$10:$J$224),0),
IF('TL16'!$B$229=L$3,SUMIF('TL16'!$C$238:$C$451,$C68,'TL16'!$J$238:$J$451),0),
IF('TL17'!$B$3=L$3,SUMIF('TL17'!$C$10:$C$224,$C68,'TL17'!$J$10:$J$224),0),
IF('TL17'!$B$229=L$3,SUMIF('TL17'!$C$238:$C$451,$C68,'TL17'!$J$238:$J$451),0),
IF('TL18'!$B$3=L$3,SUMIF('TL18'!$C$10:$C$224,$C68,'TL18'!$J$10:$J$224),0),
IF('TL18'!$B$229=L$3,SUMIF('TL18'!$C$238:$C$451,$C68,'TL18'!$J$238:$J$451),0),
IF('TL19'!$B$3=L$3,SUMIF('TL19'!$C$10:$C$224,$C68,'TL19'!$J$10:$J$224),0),
IF('TL19'!$B$229=L$3,SUMIF('TL19'!$C$238:$C$451,$C68,'TL19'!$J$238:$J$451),0)
),0)</f>
        <v>0</v>
      </c>
      <c r="M68" s="9">
        <f>IFERROR(SUM(
IF('TL01'!$B$3=M$3,SUMIF('TL01'!$C$10:$C$224,$C68,'TL01'!$J$10:$J$224),0),
IF('TL01'!$B$229=M$3,SUMIF('TL01'!$C$238:$C$451,$C68,'TL01'!$J$238:$J$451),0),
IF('TL02'!$B$3=M$3,SUMIF('TL02'!$C$10:$C$224,$C68,'TL02'!$J$10:$J$224),0),
IF('TL02'!$B$229=M$3,SUMIF('TL02'!$C$238:$C$451,$C68,'TL02'!$J$238:$J$451),0),
IF('TL03'!$B$3=M$3,SUMIF('TL03'!$C$10:$C$224,$C68,'TL03'!$J$10:$J$224),0),
IF('TL03'!$B$229=M$3,SUMIF('TL03'!$C$238:$C$451,$C68,'TL03'!$J$238:$J$451),0),
IF('TL04'!$B$3=M$3,SUMIF('TL04'!$C$10:$C$224,$C68,'TL04'!$J$10:$J$224),0),
IF('TL04'!$B$229=M$3,SUMIF('TL04'!$C$238:$C$451,$C68,'TL04'!$J$238:$J$451),0),
IF('TL05'!$B$3=M$3,SUMIF('TL05'!$C$10:$C$224,$C68,'TL05'!$J$10:$J$224),0),
IF('TL05'!$B$229=M$3,SUMIF('TL05'!$C$238:$C$451,$C68,'TL05'!$J$238:$J$451),0),
IF('TL06'!$B$3=M$3,SUMIF('TL06'!$C$10:$C$224,$C68,'TL06'!$J$10:$J$224),0),
IF('TL06'!$B$229=M$3,SUMIF('TL06'!$C$238:$C$451,$C68,'TL06'!$J$238:$J$451),0),
IF('TL07'!$B$3=M$3,SUMIF('TL07'!$C$10:$C$224,$C68,'TL07'!$J$10:$J$224),0),
IF('TL07'!$B$229=M$3,SUMIF('TL07'!$C$238:$C$451,$C68,'TL07'!$J$238:$J$451),0),
IF('TL08'!$B$3=M$3,SUMIF('TL08'!$C$10:$C$224,$C68,'TL08'!$J$10:$J$224),0),
IF('TL08'!$B$229=M$3,SUMIF('TL08'!$C$238:$C$451,$C68,'TL08'!$J$238:$J$451),0),
IF('TL09'!$B$3=M$3,SUMIF('TL09'!$C$10:$C$224,$C68,'TL09'!$J$10:$J$224),0),
IF('TL09'!$B$229=M$3,SUMIF('TL09'!$C$238:$C$451,$C68,'TL09'!$J$238:$J$451),0),
IF('TL10'!$B$3=M$3,SUMIF('TL10'!$C$10:$C$224,$C68,'TL10'!$J$10:$J$224),0),
IF('TL10'!$B$229=M$3,SUMIF('TL10'!$C$238:$C$451,$C68,'TL10'!$J$238:$J$451),0),
IF('TL11'!$B$3=M$3,SUMIF('TL11'!$C$10:$C$224,$C68,'TL11'!$J$10:$J$224),0),
IF('TL11'!$B$229=M$3,SUMIF('TL11'!$C$238:$C$451,$C68,'TL11'!$J$238:$J$451),0),
IF('TL12'!$B$3=M$3,SUMIF('TL12'!$C$10:$C$224,$C68,'TL12'!$J$10:$J$224),0),
IF('TL12'!$B$229=M$3,SUMIF('TL12'!$C$238:$C$451,$C68,'TL12'!$J$238:$J$451),0),
IF('TL13'!$B$3=M$3,SUMIF('TL13'!$C$10:$C$224,$C68,'TL13'!$J$10:$J$224),0),
IF('TL13'!$B$229=M$3,SUMIF('TL13'!$C$238:$C$451,$C68,'TL13'!$J$238:$J$451),0),
IF('TL14'!$B$3=M$3,SUMIF('TL14'!$C$10:$C$224,$C68,'TL14'!$J$10:$J$224),0),
IF('TL14'!$B$229=M$3,SUMIF('TL14'!$C$238:$C$451,$C68,'TL14'!$J$238:$J$451),0),
IF('TL15'!$B$3=M$3,SUMIF('TL15'!$C$10:$C$224,$C68,'TL15'!$J$10:$J$224),0),
IF('TL15'!$B$229=M$3,SUMIF('TL15'!$C$238:$C$451,$C68,'TL15'!$J$238:$J$451),0),
IF('TL16'!$B$3=M$3,SUMIF('TL16'!$C$10:$C$224,$C68,'TL16'!$J$10:$J$224),0),
IF('TL16'!$B$229=M$3,SUMIF('TL16'!$C$238:$C$451,$C68,'TL16'!$J$238:$J$451),0),
IF('TL17'!$B$3=M$3,SUMIF('TL17'!$C$10:$C$224,$C68,'TL17'!$J$10:$J$224),0),
IF('TL17'!$B$229=M$3,SUMIF('TL17'!$C$238:$C$451,$C68,'TL17'!$J$238:$J$451),0),
IF('TL18'!$B$3=M$3,SUMIF('TL18'!$C$10:$C$224,$C68,'TL18'!$J$10:$J$224),0),
IF('TL18'!$B$229=M$3,SUMIF('TL18'!$C$238:$C$451,$C68,'TL18'!$J$238:$J$451),0),
IF('TL19'!$B$3=M$3,SUMIF('TL19'!$C$10:$C$224,$C68,'TL19'!$J$10:$J$224),0),
IF('TL19'!$B$229=M$3,SUMIF('TL19'!$C$238:$C$451,$C68,'TL19'!$J$238:$J$451),0)
),0)</f>
        <v>0</v>
      </c>
      <c r="N68" s="9">
        <f>IFERROR(SUM(
IF('TL01'!$B$3=N$3,SUMIF('TL01'!$C$10:$C$224,$C68,'TL01'!$J$10:$J$224),0),
IF('TL01'!$B$229=N$3,SUMIF('TL01'!$C$238:$C$451,$C68,'TL01'!$J$238:$J$451),0),
IF('TL02'!$B$3=N$3,SUMIF('TL02'!$C$10:$C$224,$C68,'TL02'!$J$10:$J$224),0),
IF('TL02'!$B$229=N$3,SUMIF('TL02'!$C$238:$C$451,$C68,'TL02'!$J$238:$J$451),0),
IF('TL03'!$B$3=N$3,SUMIF('TL03'!$C$10:$C$224,$C68,'TL03'!$J$10:$J$224),0),
IF('TL03'!$B$229=N$3,SUMIF('TL03'!$C$238:$C$451,$C68,'TL03'!$J$238:$J$451),0),
IF('TL04'!$B$3=N$3,SUMIF('TL04'!$C$10:$C$224,$C68,'TL04'!$J$10:$J$224),0),
IF('TL04'!$B$229=N$3,SUMIF('TL04'!$C$238:$C$451,$C68,'TL04'!$J$238:$J$451),0),
IF('TL05'!$B$3=N$3,SUMIF('TL05'!$C$10:$C$224,$C68,'TL05'!$J$10:$J$224),0),
IF('TL05'!$B$229=N$3,SUMIF('TL05'!$C$238:$C$451,$C68,'TL05'!$J$238:$J$451),0),
IF('TL06'!$B$3=N$3,SUMIF('TL06'!$C$10:$C$224,$C68,'TL06'!$J$10:$J$224),0),
IF('TL06'!$B$229=N$3,SUMIF('TL06'!$C$238:$C$451,$C68,'TL06'!$J$238:$J$451),0),
IF('TL07'!$B$3=N$3,SUMIF('TL07'!$C$10:$C$224,$C68,'TL07'!$J$10:$J$224),0),
IF('TL07'!$B$229=N$3,SUMIF('TL07'!$C$238:$C$451,$C68,'TL07'!$J$238:$J$451),0),
IF('TL08'!$B$3=N$3,SUMIF('TL08'!$C$10:$C$224,$C68,'TL08'!$J$10:$J$224),0),
IF('TL08'!$B$229=N$3,SUMIF('TL08'!$C$238:$C$451,$C68,'TL08'!$J$238:$J$451),0),
IF('TL09'!$B$3=N$3,SUMIF('TL09'!$C$10:$C$224,$C68,'TL09'!$J$10:$J$224),0),
IF('TL09'!$B$229=N$3,SUMIF('TL09'!$C$238:$C$451,$C68,'TL09'!$J$238:$J$451),0),
IF('TL10'!$B$3=N$3,SUMIF('TL10'!$C$10:$C$224,$C68,'TL10'!$J$10:$J$224),0),
IF('TL10'!$B$229=N$3,SUMIF('TL10'!$C$238:$C$451,$C68,'TL10'!$J$238:$J$451),0),
IF('TL11'!$B$3=N$3,SUMIF('TL11'!$C$10:$C$224,$C68,'TL11'!$J$10:$J$224),0),
IF('TL11'!$B$229=N$3,SUMIF('TL11'!$C$238:$C$451,$C68,'TL11'!$J$238:$J$451),0),
IF('TL12'!$B$3=N$3,SUMIF('TL12'!$C$10:$C$224,$C68,'TL12'!$J$10:$J$224),0),
IF('TL12'!$B$229=N$3,SUMIF('TL12'!$C$238:$C$451,$C68,'TL12'!$J$238:$J$451),0),
IF('TL13'!$B$3=N$3,SUMIF('TL13'!$C$10:$C$224,$C68,'TL13'!$J$10:$J$224),0),
IF('TL13'!$B$229=N$3,SUMIF('TL13'!$C$238:$C$451,$C68,'TL13'!$J$238:$J$451),0),
IF('TL14'!$B$3=N$3,SUMIF('TL14'!$C$10:$C$224,$C68,'TL14'!$J$10:$J$224),0),
IF('TL14'!$B$229=N$3,SUMIF('TL14'!$C$238:$C$451,$C68,'TL14'!$J$238:$J$451),0),
IF('TL15'!$B$3=N$3,SUMIF('TL15'!$C$10:$C$224,$C68,'TL15'!$J$10:$J$224),0),
IF('TL15'!$B$229=N$3,SUMIF('TL15'!$C$238:$C$451,$C68,'TL15'!$J$238:$J$451),0),
IF('TL16'!$B$3=N$3,SUMIF('TL16'!$C$10:$C$224,$C68,'TL16'!$J$10:$J$224),0),
IF('TL16'!$B$229=N$3,SUMIF('TL16'!$C$238:$C$451,$C68,'TL16'!$J$238:$J$451),0),
IF('TL17'!$B$3=N$3,SUMIF('TL17'!$C$10:$C$224,$C68,'TL17'!$J$10:$J$224),0),
IF('TL17'!$B$229=N$3,SUMIF('TL17'!$C$238:$C$451,$C68,'TL17'!$J$238:$J$451),0),
IF('TL18'!$B$3=N$3,SUMIF('TL18'!$C$10:$C$224,$C68,'TL18'!$J$10:$J$224),0),
IF('TL18'!$B$229=N$3,SUMIF('TL18'!$C$238:$C$451,$C68,'TL18'!$J$238:$J$451),0),
IF('TL19'!$B$3=N$3,SUMIF('TL19'!$C$10:$C$224,$C68,'TL19'!$J$10:$J$224),0),
IF('TL19'!$B$229=N$3,SUMIF('TL19'!$C$238:$C$451,$C68,'TL19'!$J$238:$J$451),0)
),0)</f>
        <v>0</v>
      </c>
      <c r="O68" s="9">
        <f>IFERROR(SUM(
IF('TL01'!$B$3=O$3,SUMIF('TL01'!$C$10:$C$224,$C68,'TL01'!$J$10:$J$224),0),
IF('TL01'!$B$229=O$3,SUMIF('TL01'!$C$238:$C$451,$C68,'TL01'!$J$238:$J$451),0),
IF('TL02'!$B$3=O$3,SUMIF('TL02'!$C$10:$C$224,$C68,'TL02'!$J$10:$J$224),0),
IF('TL02'!$B$229=O$3,SUMIF('TL02'!$C$238:$C$451,$C68,'TL02'!$J$238:$J$451),0),
IF('TL03'!$B$3=O$3,SUMIF('TL03'!$C$10:$C$224,$C68,'TL03'!$J$10:$J$224),0),
IF('TL03'!$B$229=O$3,SUMIF('TL03'!$C$238:$C$451,$C68,'TL03'!$J$238:$J$451),0),
IF('TL04'!$B$3=O$3,SUMIF('TL04'!$C$10:$C$224,$C68,'TL04'!$J$10:$J$224),0),
IF('TL04'!$B$229=O$3,SUMIF('TL04'!$C$238:$C$451,$C68,'TL04'!$J$238:$J$451),0),
IF('TL05'!$B$3=O$3,SUMIF('TL05'!$C$10:$C$224,$C68,'TL05'!$J$10:$J$224),0),
IF('TL05'!$B$229=O$3,SUMIF('TL05'!$C$238:$C$451,$C68,'TL05'!$J$238:$J$451),0),
IF('TL06'!$B$3=O$3,SUMIF('TL06'!$C$10:$C$224,$C68,'TL06'!$J$10:$J$224),0),
IF('TL06'!$B$229=O$3,SUMIF('TL06'!$C$238:$C$451,$C68,'TL06'!$J$238:$J$451),0),
IF('TL07'!$B$3=O$3,SUMIF('TL07'!$C$10:$C$224,$C68,'TL07'!$J$10:$J$224),0),
IF('TL07'!$B$229=O$3,SUMIF('TL07'!$C$238:$C$451,$C68,'TL07'!$J$238:$J$451),0),
IF('TL08'!$B$3=O$3,SUMIF('TL08'!$C$10:$C$224,$C68,'TL08'!$J$10:$J$224),0),
IF('TL08'!$B$229=O$3,SUMIF('TL08'!$C$238:$C$451,$C68,'TL08'!$J$238:$J$451),0),
IF('TL09'!$B$3=O$3,SUMIF('TL09'!$C$10:$C$224,$C68,'TL09'!$J$10:$J$224),0),
IF('TL09'!$B$229=O$3,SUMIF('TL09'!$C$238:$C$451,$C68,'TL09'!$J$238:$J$451),0),
IF('TL10'!$B$3=O$3,SUMIF('TL10'!$C$10:$C$224,$C68,'TL10'!$J$10:$J$224),0),
IF('TL10'!$B$229=O$3,SUMIF('TL10'!$C$238:$C$451,$C68,'TL10'!$J$238:$J$451),0),
IF('TL11'!$B$3=O$3,SUMIF('TL11'!$C$10:$C$224,$C68,'TL11'!$J$10:$J$224),0),
IF('TL11'!$B$229=O$3,SUMIF('TL11'!$C$238:$C$451,$C68,'TL11'!$J$238:$J$451),0),
IF('TL12'!$B$3=O$3,SUMIF('TL12'!$C$10:$C$224,$C68,'TL12'!$J$10:$J$224),0),
IF('TL12'!$B$229=O$3,SUMIF('TL12'!$C$238:$C$451,$C68,'TL12'!$J$238:$J$451),0),
IF('TL13'!$B$3=O$3,SUMIF('TL13'!$C$10:$C$224,$C68,'TL13'!$J$10:$J$224),0),
IF('TL13'!$B$229=O$3,SUMIF('TL13'!$C$238:$C$451,$C68,'TL13'!$J$238:$J$451),0),
IF('TL14'!$B$3=O$3,SUMIF('TL14'!$C$10:$C$224,$C68,'TL14'!$J$10:$J$224),0),
IF('TL14'!$B$229=O$3,SUMIF('TL14'!$C$238:$C$451,$C68,'TL14'!$J$238:$J$451),0),
IF('TL15'!$B$3=O$3,SUMIF('TL15'!$C$10:$C$224,$C68,'TL15'!$J$10:$J$224),0),
IF('TL15'!$B$229=O$3,SUMIF('TL15'!$C$238:$C$451,$C68,'TL15'!$J$238:$J$451),0),
IF('TL16'!$B$3=O$3,SUMIF('TL16'!$C$10:$C$224,$C68,'TL16'!$J$10:$J$224),0),
IF('TL16'!$B$229=O$3,SUMIF('TL16'!$C$238:$C$451,$C68,'TL16'!$J$238:$J$451),0),
IF('TL17'!$B$3=O$3,SUMIF('TL17'!$C$10:$C$224,$C68,'TL17'!$J$10:$J$224),0),
IF('TL17'!$B$229=O$3,SUMIF('TL17'!$C$238:$C$451,$C68,'TL17'!$J$238:$J$451),0),
IF('TL18'!$B$3=O$3,SUMIF('TL18'!$C$10:$C$224,$C68,'TL18'!$J$10:$J$224),0),
IF('TL18'!$B$229=O$3,SUMIF('TL18'!$C$238:$C$451,$C68,'TL18'!$J$238:$J$451),0),
IF('TL19'!$B$3=O$3,SUMIF('TL19'!$C$10:$C$224,$C68,'TL19'!$J$10:$J$224),0),
IF('TL19'!$B$229=O$3,SUMIF('TL19'!$C$238:$C$451,$C68,'TL19'!$J$238:$J$451),0)
),0)</f>
        <v>0</v>
      </c>
      <c r="P68" s="9">
        <f>IFERROR(SUM(
IF('TL01'!$B$3=P$3,SUMIF('TL01'!$C$10:$C$224,$C68,'TL01'!$J$10:$J$224),0),
IF('TL01'!$B$229=P$3,SUMIF('TL01'!$C$238:$C$451,$C68,'TL01'!$J$238:$J$451),0),
IF('TL02'!$B$3=P$3,SUMIF('TL02'!$C$10:$C$224,$C68,'TL02'!$J$10:$J$224),0),
IF('TL02'!$B$229=P$3,SUMIF('TL02'!$C$238:$C$451,$C68,'TL02'!$J$238:$J$451),0),
IF('TL03'!$B$3=P$3,SUMIF('TL03'!$C$10:$C$224,$C68,'TL03'!$J$10:$J$224),0),
IF('TL03'!$B$229=P$3,SUMIF('TL03'!$C$238:$C$451,$C68,'TL03'!$J$238:$J$451),0),
IF('TL04'!$B$3=P$3,SUMIF('TL04'!$C$10:$C$224,$C68,'TL04'!$J$10:$J$224),0),
IF('TL04'!$B$229=P$3,SUMIF('TL04'!$C$238:$C$451,$C68,'TL04'!$J$238:$J$451),0),
IF('TL05'!$B$3=P$3,SUMIF('TL05'!$C$10:$C$224,$C68,'TL05'!$J$10:$J$224),0),
IF('TL05'!$B$229=P$3,SUMIF('TL05'!$C$238:$C$451,$C68,'TL05'!$J$238:$J$451),0),
IF('TL06'!$B$3=P$3,SUMIF('TL06'!$C$10:$C$224,$C68,'TL06'!$J$10:$J$224),0),
IF('TL06'!$B$229=P$3,SUMIF('TL06'!$C$238:$C$451,$C68,'TL06'!$J$238:$J$451),0),
IF('TL07'!$B$3=P$3,SUMIF('TL07'!$C$10:$C$224,$C68,'TL07'!$J$10:$J$224),0),
IF('TL07'!$B$229=P$3,SUMIF('TL07'!$C$238:$C$451,$C68,'TL07'!$J$238:$J$451),0),
IF('TL08'!$B$3=P$3,SUMIF('TL08'!$C$10:$C$224,$C68,'TL08'!$J$10:$J$224),0),
IF('TL08'!$B$229=P$3,SUMIF('TL08'!$C$238:$C$451,$C68,'TL08'!$J$238:$J$451),0),
IF('TL09'!$B$3=P$3,SUMIF('TL09'!$C$10:$C$224,$C68,'TL09'!$J$10:$J$224),0),
IF('TL09'!$B$229=P$3,SUMIF('TL09'!$C$238:$C$451,$C68,'TL09'!$J$238:$J$451),0),
IF('TL10'!$B$3=P$3,SUMIF('TL10'!$C$10:$C$224,$C68,'TL10'!$J$10:$J$224),0),
IF('TL10'!$B$229=P$3,SUMIF('TL10'!$C$238:$C$451,$C68,'TL10'!$J$238:$J$451),0),
IF('TL11'!$B$3=P$3,SUMIF('TL11'!$C$10:$C$224,$C68,'TL11'!$J$10:$J$224),0),
IF('TL11'!$B$229=P$3,SUMIF('TL11'!$C$238:$C$451,$C68,'TL11'!$J$238:$J$451),0),
IF('TL12'!$B$3=P$3,SUMIF('TL12'!$C$10:$C$224,$C68,'TL12'!$J$10:$J$224),0),
IF('TL12'!$B$229=P$3,SUMIF('TL12'!$C$238:$C$451,$C68,'TL12'!$J$238:$J$451),0),
IF('TL13'!$B$3=P$3,SUMIF('TL13'!$C$10:$C$224,$C68,'TL13'!$J$10:$J$224),0),
IF('TL13'!$B$229=P$3,SUMIF('TL13'!$C$238:$C$451,$C68,'TL13'!$J$238:$J$451),0),
IF('TL14'!$B$3=P$3,SUMIF('TL14'!$C$10:$C$224,$C68,'TL14'!$J$10:$J$224),0),
IF('TL14'!$B$229=P$3,SUMIF('TL14'!$C$238:$C$451,$C68,'TL14'!$J$238:$J$451),0),
IF('TL15'!$B$3=P$3,SUMIF('TL15'!$C$10:$C$224,$C68,'TL15'!$J$10:$J$224),0),
IF('TL15'!$B$229=P$3,SUMIF('TL15'!$C$238:$C$451,$C68,'TL15'!$J$238:$J$451),0),
IF('TL16'!$B$3=P$3,SUMIF('TL16'!$C$10:$C$224,$C68,'TL16'!$J$10:$J$224),0),
IF('TL16'!$B$229=P$3,SUMIF('TL16'!$C$238:$C$451,$C68,'TL16'!$J$238:$J$451),0),
IF('TL17'!$B$3=P$3,SUMIF('TL17'!$C$10:$C$224,$C68,'TL17'!$J$10:$J$224),0),
IF('TL17'!$B$229=P$3,SUMIF('TL17'!$C$238:$C$451,$C68,'TL17'!$J$238:$J$451),0),
IF('TL18'!$B$3=P$3,SUMIF('TL18'!$C$10:$C$224,$C68,'TL18'!$J$10:$J$224),0),
IF('TL18'!$B$229=P$3,SUMIF('TL18'!$C$238:$C$451,$C68,'TL18'!$J$238:$J$451),0),
IF('TL19'!$B$3=P$3,SUMIF('TL19'!$C$10:$C$224,$C68,'TL19'!$J$10:$J$224),0),
IF('TL19'!$B$229=P$3,SUMIF('TL19'!$C$238:$C$451,$C68,'TL19'!$J$238:$J$451),0)
),0)</f>
        <v>0</v>
      </c>
      <c r="Q68" s="9">
        <f>IFERROR(SUM(
IF('TL01'!$B$3=Q$3,SUMIF('TL01'!$C$10:$C$224,$C68,'TL01'!$J$10:$J$224),0),
IF('TL01'!$B$229=Q$3,SUMIF('TL01'!$C$238:$C$451,$C68,'TL01'!$J$238:$J$451),0),
IF('TL02'!$B$3=Q$3,SUMIF('TL02'!$C$10:$C$224,$C68,'TL02'!$J$10:$J$224),0),
IF('TL02'!$B$229=Q$3,SUMIF('TL02'!$C$238:$C$451,$C68,'TL02'!$J$238:$J$451),0),
IF('TL03'!$B$3=Q$3,SUMIF('TL03'!$C$10:$C$224,$C68,'TL03'!$J$10:$J$224),0),
IF('TL03'!$B$229=Q$3,SUMIF('TL03'!$C$238:$C$451,$C68,'TL03'!$J$238:$J$451),0),
IF('TL04'!$B$3=Q$3,SUMIF('TL04'!$C$10:$C$224,$C68,'TL04'!$J$10:$J$224),0),
IF('TL04'!$B$229=Q$3,SUMIF('TL04'!$C$238:$C$451,$C68,'TL04'!$J$238:$J$451),0),
IF('TL05'!$B$3=Q$3,SUMIF('TL05'!$C$10:$C$224,$C68,'TL05'!$J$10:$J$224),0),
IF('TL05'!$B$229=Q$3,SUMIF('TL05'!$C$238:$C$451,$C68,'TL05'!$J$238:$J$451),0),
IF('TL06'!$B$3=Q$3,SUMIF('TL06'!$C$10:$C$224,$C68,'TL06'!$J$10:$J$224),0),
IF('TL06'!$B$229=Q$3,SUMIF('TL06'!$C$238:$C$451,$C68,'TL06'!$J$238:$J$451),0),
IF('TL07'!$B$3=Q$3,SUMIF('TL07'!$C$10:$C$224,$C68,'TL07'!$J$10:$J$224),0),
IF('TL07'!$B$229=Q$3,SUMIF('TL07'!$C$238:$C$451,$C68,'TL07'!$J$238:$J$451),0),
IF('TL08'!$B$3=Q$3,SUMIF('TL08'!$C$10:$C$224,$C68,'TL08'!$J$10:$J$224),0),
IF('TL08'!$B$229=Q$3,SUMIF('TL08'!$C$238:$C$451,$C68,'TL08'!$J$238:$J$451),0),
IF('TL09'!$B$3=Q$3,SUMIF('TL09'!$C$10:$C$224,$C68,'TL09'!$J$10:$J$224),0),
IF('TL09'!$B$229=Q$3,SUMIF('TL09'!$C$238:$C$451,$C68,'TL09'!$J$238:$J$451),0),
IF('TL10'!$B$3=Q$3,SUMIF('TL10'!$C$10:$C$224,$C68,'TL10'!$J$10:$J$224),0),
IF('TL10'!$B$229=Q$3,SUMIF('TL10'!$C$238:$C$451,$C68,'TL10'!$J$238:$J$451),0),
IF('TL11'!$B$3=Q$3,SUMIF('TL11'!$C$10:$C$224,$C68,'TL11'!$J$10:$J$224),0),
IF('TL11'!$B$229=Q$3,SUMIF('TL11'!$C$238:$C$451,$C68,'TL11'!$J$238:$J$451),0),
IF('TL12'!$B$3=Q$3,SUMIF('TL12'!$C$10:$C$224,$C68,'TL12'!$J$10:$J$224),0),
IF('TL12'!$B$229=Q$3,SUMIF('TL12'!$C$238:$C$451,$C68,'TL12'!$J$238:$J$451),0),
IF('TL13'!$B$3=Q$3,SUMIF('TL13'!$C$10:$C$224,$C68,'TL13'!$J$10:$J$224),0),
IF('TL13'!$B$229=Q$3,SUMIF('TL13'!$C$238:$C$451,$C68,'TL13'!$J$238:$J$451),0),
IF('TL14'!$B$3=Q$3,SUMIF('TL14'!$C$10:$C$224,$C68,'TL14'!$J$10:$J$224),0),
IF('TL14'!$B$229=Q$3,SUMIF('TL14'!$C$238:$C$451,$C68,'TL14'!$J$238:$J$451),0),
IF('TL15'!$B$3=Q$3,SUMIF('TL15'!$C$10:$C$224,$C68,'TL15'!$J$10:$J$224),0),
IF('TL15'!$B$229=Q$3,SUMIF('TL15'!$C$238:$C$451,$C68,'TL15'!$J$238:$J$451),0),
IF('TL16'!$B$3=Q$3,SUMIF('TL16'!$C$10:$C$224,$C68,'TL16'!$J$10:$J$224),0),
IF('TL16'!$B$229=Q$3,SUMIF('TL16'!$C$238:$C$451,$C68,'TL16'!$J$238:$J$451),0),
IF('TL17'!$B$3=Q$3,SUMIF('TL17'!$C$10:$C$224,$C68,'TL17'!$J$10:$J$224),0),
IF('TL17'!$B$229=Q$3,SUMIF('TL17'!$C$238:$C$451,$C68,'TL17'!$J$238:$J$451),0),
IF('TL18'!$B$3=Q$3,SUMIF('TL18'!$C$10:$C$224,$C68,'TL18'!$J$10:$J$224),0),
IF('TL18'!$B$229=Q$3,SUMIF('TL18'!$C$238:$C$451,$C68,'TL18'!$J$238:$J$451),0),
IF('TL19'!$B$3=Q$3,SUMIF('TL19'!$C$10:$C$224,$C68,'TL19'!$J$10:$J$224),0),
IF('TL19'!$B$229=Q$3,SUMIF('TL19'!$C$238:$C$451,$C68,'TL19'!$J$238:$J$451),0)
),0)</f>
        <v>0</v>
      </c>
      <c r="R68" s="9">
        <f>IFERROR(
SUM(
SUMIF('TL01'!C:C,C68,'TL01'!J:J),
SUMIF('TL02'!C:C,C68,'TL02'!J:J),
SUMIF('TL03'!C:C,C68,'TL03'!J:J),
SUMIF('TL04'!C:C,C68,'TL04'!J:J),
SUMIF('TL05'!C:C,C68,'TL05'!J:J),
SUMIF('TL06'!C:C,C68,'TL06'!J:J),
SUMIF('TL07'!C:C,C68,'TL07'!J:J),
SUMIF('TL08'!C:C,C68,'TL08'!J:J),
SUMIF('TL09'!C:C,C68,'TL09'!J:J),
SUMIF('TL10'!C:C,C68,'TL10'!J:J),
SUMIF('TL11'!C:C,C68,'TL11'!J:J),
SUMIF('TL12'!C:C,C68,'TL12'!J:J),
SUMIF('TL13'!C:C,C68,'TL13'!J:J),
SUMIF('TL14'!C:C,C68,'TL14'!J:J),
SUMIF('TL15'!C:C,C68,'TL15'!J:J),
SUMIF('TL16'!C:C,C68,'TL16'!J:J),
SUMIF('TL17'!C:C,C68,'TL17'!J:J),
SUMIF('TL18'!C:C,C68,'TL18'!J:J),SUMIF('TL19'!C:C,C68,'TL19'!J:J))
,0)</f>
        <v>0</v>
      </c>
      <c r="S68" s="17">
        <f>IFERROR(__xludf.DUMMYFUNCTION("IFERROR(VLOOKUP(C68,
IMPORTRANGE(""1wULbzX32WdYsx-lj2U3uUNBBe2INVIRDtcK0d-Dvl90"",
""26-27!C:G""),
5,
FALSE),
"""")"),229.57056000000003)</f>
        <v>229.57056</v>
      </c>
      <c r="T68" s="9"/>
      <c r="U68" s="92">
        <f t="shared" si="2"/>
        <v>0</v>
      </c>
      <c r="V68" s="93">
        <f t="shared" si="3"/>
        <v>0</v>
      </c>
    </row>
    <row r="69" ht="15.75" hidden="1" customHeight="1">
      <c r="A69" s="111" t="s">
        <v>516</v>
      </c>
      <c r="B69" s="112" t="s">
        <v>0</v>
      </c>
      <c r="C69" s="113" t="s">
        <v>517</v>
      </c>
      <c r="D69" s="113" t="s">
        <v>451</v>
      </c>
      <c r="E69" s="113">
        <v>500.0</v>
      </c>
      <c r="F69" s="4" t="s">
        <v>343</v>
      </c>
      <c r="G69" s="90" t="str">
        <f t="shared" si="4"/>
        <v>📄 Ver bula</v>
      </c>
      <c r="H69" s="9">
        <f>IFERROR(__xludf.DUMMYFUNCTION("IFERROR(VLOOKUP(C69,
IMPORTRANGE(""1wULbzX32WdYsx-lj2U3uUNBBe2INVIRDtcK0d-Dvl90"",
""26-27!C:K""),
8,
FALSE),
"""")"),1.0)</f>
        <v>1</v>
      </c>
      <c r="I69" s="114" t="s">
        <v>518</v>
      </c>
      <c r="J69" s="9">
        <f>IFERROR(SUM(
IF('TL01'!$B$3=J$3,SUMIF('TL01'!$C$10:$C$224,$C69,'TL01'!$J$10:$J$224),0),
IF('TL01'!$B$229=J$3,SUMIF('TL01'!$C$238:$C$451,$C69,'TL01'!$J$238:$J$451),0),
IF('TL02'!$B$3=J$3,SUMIF('TL02'!$C$10:$C$224,$C69,'TL02'!$J$10:$J$224),0),
IF('TL02'!$B$229=J$3,SUMIF('TL02'!$C$238:$C$451,$C69,'TL02'!$J$238:$J$451),0),
IF('TL03'!$B$3=J$3,SUMIF('TL03'!$C$10:$C$224,$C69,'TL03'!$J$10:$J$224),0),
IF('TL03'!$B$229=J$3,SUMIF('TL03'!$C$238:$C$451,$C69,'TL03'!$J$238:$J$451),0),
IF('TL04'!$B$3=J$3,SUMIF('TL04'!$C$10:$C$224,$C69,'TL04'!$J$10:$J$224),0),
IF('TL04'!$B$229=J$3,SUMIF('TL04'!$C$238:$C$451,$C69,'TL04'!$J$238:$J$451),0),
IF('TL05'!$B$3=J$3,SUMIF('TL05'!$C$10:$C$224,$C69,'TL05'!$J$10:$J$224),0),
IF('TL05'!$B$229=J$3,SUMIF('TL05'!$C$238:$C$451,$C69,'TL05'!$J$238:$J$451),0),
IF('TL06'!$B$3=J$3,SUMIF('TL06'!$C$10:$C$224,$C69,'TL06'!$J$10:$J$224),0),
IF('TL06'!$B$229=J$3,SUMIF('TL06'!$C$238:$C$451,$C69,'TL06'!$J$238:$J$451),0),
IF('TL07'!$B$3=J$3,SUMIF('TL07'!$C$10:$C$224,$C69,'TL07'!$J$10:$J$224),0),
IF('TL07'!$B$229=J$3,SUMIF('TL07'!$C$238:$C$451,$C69,'TL07'!$J$238:$J$451),0),
IF('TL08'!$B$3=J$3,SUMIF('TL08'!$C$10:$C$224,$C69,'TL08'!$J$10:$J$224),0),
IF('TL08'!$B$229=J$3,SUMIF('TL08'!$C$238:$C$451,$C69,'TL08'!$J$238:$J$451),0),
IF('TL09'!$B$3=J$3,SUMIF('TL09'!$C$10:$C$224,$C69,'TL09'!$J$10:$J$224),0),
IF('TL09'!$B$229=J$3,SUMIF('TL09'!$C$238:$C$451,$C69,'TL09'!$J$238:$J$451),0),
IF('TL10'!$B$3=J$3,SUMIF('TL10'!$C$10:$C$224,$C69,'TL10'!$J$10:$J$224),0),
IF('TL10'!$B$229=J$3,SUMIF('TL10'!$C$238:$C$451,$C69,'TL10'!$J$238:$J$451),0),
IF('TL11'!$B$3=J$3,SUMIF('TL11'!$C$10:$C$224,$C69,'TL11'!$J$10:$J$224),0),
IF('TL11'!$B$229=J$3,SUMIF('TL11'!$C$238:$C$451,$C69,'TL11'!$J$238:$J$451),0),
IF('TL12'!$B$3=J$3,SUMIF('TL12'!$C$10:$C$224,$C69,'TL12'!$J$10:$J$224),0),
IF('TL12'!$B$229=J$3,SUMIF('TL12'!$C$238:$C$451,$C69,'TL12'!$J$238:$J$451),0),
IF('TL13'!$B$3=J$3,SUMIF('TL13'!$C$10:$C$224,$C69,'TL13'!$J$10:$J$224),0),
IF('TL13'!$B$229=J$3,SUMIF('TL13'!$C$238:$C$451,$C69,'TL13'!$J$238:$J$451),0),
IF('TL14'!$B$3=J$3,SUMIF('TL14'!$C$10:$C$224,$C69,'TL14'!$J$10:$J$224),0),
IF('TL14'!$B$229=J$3,SUMIF('TL14'!$C$238:$C$451,$C69,'TL14'!$J$238:$J$451),0),
IF('TL15'!$B$3=J$3,SUMIF('TL15'!$C$10:$C$224,$C69,'TL15'!$J$10:$J$224),0),
IF('TL15'!$B$229=J$3,SUMIF('TL15'!$C$238:$C$451,$C69,'TL15'!$J$238:$J$451),0),
IF('TL16'!$B$3=J$3,SUMIF('TL16'!$C$10:$C$224,$C69,'TL16'!$J$10:$J$224),0),
IF('TL16'!$B$229=J$3,SUMIF('TL16'!$C$238:$C$451,$C69,'TL16'!$J$238:$J$451),0),
IF('TL17'!$B$3=J$3,SUMIF('TL17'!$C$10:$C$224,$C69,'TL17'!$J$10:$J$224),0),
IF('TL17'!$B$229=J$3,SUMIF('TL17'!$C$238:$C$451,$C69,'TL17'!$J$238:$J$451),0),
IF('TL18'!$B$3=J$3,SUMIF('TL18'!$C$10:$C$224,$C69,'TL18'!$J$10:$J$224),0),
IF('TL18'!$B$229=J$3,SUMIF('TL18'!$C$238:$C$451,$C69,'TL18'!$J$238:$J$451),0),
IF('TL19'!$B$3=J$3,SUMIF('TL19'!$C$10:$C$224,$C69,'TL19'!$J$10:$J$224),0),
IF('TL19'!$B$229=J$3,SUMIF('TL19'!$C$238:$C$451,$C69,'TL19'!$J$238:$J$451),0)
),0)</f>
        <v>0</v>
      </c>
      <c r="K69" s="9">
        <f>IFERROR(SUM(
IF('TL01'!$B$3=K$3,SUMIF('TL01'!$C$10:$C$224,$C69,'TL01'!$J$10:$J$224),0),
IF('TL01'!$B$229=K$3,SUMIF('TL01'!$C$238:$C$451,$C69,'TL01'!$J$238:$J$451),0),
IF('TL02'!$B$3=K$3,SUMIF('TL02'!$C$10:$C$224,$C69,'TL02'!$J$10:$J$224),0),
IF('TL02'!$B$229=K$3,SUMIF('TL02'!$C$238:$C$451,$C69,'TL02'!$J$238:$J$451),0),
IF('TL03'!$B$3=K$3,SUMIF('TL03'!$C$10:$C$224,$C69,'TL03'!$J$10:$J$224),0),
IF('TL03'!$B$229=K$3,SUMIF('TL03'!$C$238:$C$451,$C69,'TL03'!$J$238:$J$451),0),
IF('TL04'!$B$3=K$3,SUMIF('TL04'!$C$10:$C$224,$C69,'TL04'!$J$10:$J$224),0),
IF('TL04'!$B$229=K$3,SUMIF('TL04'!$C$238:$C$451,$C69,'TL04'!$J$238:$J$451),0),
IF('TL05'!$B$3=K$3,SUMIF('TL05'!$C$10:$C$224,$C69,'TL05'!$J$10:$J$224),0),
IF('TL05'!$B$229=K$3,SUMIF('TL05'!$C$238:$C$451,$C69,'TL05'!$J$238:$J$451),0),
IF('TL06'!$B$3=K$3,SUMIF('TL06'!$C$10:$C$224,$C69,'TL06'!$J$10:$J$224),0),
IF('TL06'!$B$229=K$3,SUMIF('TL06'!$C$238:$C$451,$C69,'TL06'!$J$238:$J$451),0),
IF('TL07'!$B$3=K$3,SUMIF('TL07'!$C$10:$C$224,$C69,'TL07'!$J$10:$J$224),0),
IF('TL07'!$B$229=K$3,SUMIF('TL07'!$C$238:$C$451,$C69,'TL07'!$J$238:$J$451),0),
IF('TL08'!$B$3=K$3,SUMIF('TL08'!$C$10:$C$224,$C69,'TL08'!$J$10:$J$224),0),
IF('TL08'!$B$229=K$3,SUMIF('TL08'!$C$238:$C$451,$C69,'TL08'!$J$238:$J$451),0),
IF('TL09'!$B$3=K$3,SUMIF('TL09'!$C$10:$C$224,$C69,'TL09'!$J$10:$J$224),0),
IF('TL09'!$B$229=K$3,SUMIF('TL09'!$C$238:$C$451,$C69,'TL09'!$J$238:$J$451),0),
IF('TL10'!$B$3=K$3,SUMIF('TL10'!$C$10:$C$224,$C69,'TL10'!$J$10:$J$224),0),
IF('TL10'!$B$229=K$3,SUMIF('TL10'!$C$238:$C$451,$C69,'TL10'!$J$238:$J$451),0),
IF('TL11'!$B$3=K$3,SUMIF('TL11'!$C$10:$C$224,$C69,'TL11'!$J$10:$J$224),0),
IF('TL11'!$B$229=K$3,SUMIF('TL11'!$C$238:$C$451,$C69,'TL11'!$J$238:$J$451),0),
IF('TL12'!$B$3=K$3,SUMIF('TL12'!$C$10:$C$224,$C69,'TL12'!$J$10:$J$224),0),
IF('TL12'!$B$229=K$3,SUMIF('TL12'!$C$238:$C$451,$C69,'TL12'!$J$238:$J$451),0),
IF('TL13'!$B$3=K$3,SUMIF('TL13'!$C$10:$C$224,$C69,'TL13'!$J$10:$J$224),0),
IF('TL13'!$B$229=K$3,SUMIF('TL13'!$C$238:$C$451,$C69,'TL13'!$J$238:$J$451),0),
IF('TL14'!$B$3=K$3,SUMIF('TL14'!$C$10:$C$224,$C69,'TL14'!$J$10:$J$224),0),
IF('TL14'!$B$229=K$3,SUMIF('TL14'!$C$238:$C$451,$C69,'TL14'!$J$238:$J$451),0),
IF('TL15'!$B$3=K$3,SUMIF('TL15'!$C$10:$C$224,$C69,'TL15'!$J$10:$J$224),0),
IF('TL15'!$B$229=K$3,SUMIF('TL15'!$C$238:$C$451,$C69,'TL15'!$J$238:$J$451),0),
IF('TL16'!$B$3=K$3,SUMIF('TL16'!$C$10:$C$224,$C69,'TL16'!$J$10:$J$224),0),
IF('TL16'!$B$229=K$3,SUMIF('TL16'!$C$238:$C$451,$C69,'TL16'!$J$238:$J$451),0),
IF('TL17'!$B$3=K$3,SUMIF('TL17'!$C$10:$C$224,$C69,'TL17'!$J$10:$J$224),0),
IF('TL17'!$B$229=K$3,SUMIF('TL17'!$C$238:$C$451,$C69,'TL17'!$J$238:$J$451),0),
IF('TL18'!$B$3=K$3,SUMIF('TL18'!$C$10:$C$224,$C69,'TL18'!$J$10:$J$224),0),
IF('TL18'!$B$229=K$3,SUMIF('TL18'!$C$238:$C$451,$C69,'TL18'!$J$238:$J$451),0),
IF('TL19'!$B$3=K$3,SUMIF('TL19'!$C$10:$C$224,$C69,'TL19'!$J$10:$J$224),0),
IF('TL19'!$B$229=K$3,SUMIF('TL19'!$C$238:$C$451,$C69,'TL19'!$J$238:$J$451),0)
),0)</f>
        <v>0</v>
      </c>
      <c r="L69" s="9">
        <f>IFERROR(SUM(
IF('TL01'!$B$3=L$3,SUMIF('TL01'!$C$10:$C$224,$C69,'TL01'!$J$10:$J$224),0),
IF('TL01'!$B$229=L$3,SUMIF('TL01'!$C$238:$C$451,$C69,'TL01'!$J$238:$J$451),0),
IF('TL02'!$B$3=L$3,SUMIF('TL02'!$C$10:$C$224,$C69,'TL02'!$J$10:$J$224),0),
IF('TL02'!$B$229=L$3,SUMIF('TL02'!$C$238:$C$451,$C69,'TL02'!$J$238:$J$451),0),
IF('TL03'!$B$3=L$3,SUMIF('TL03'!$C$10:$C$224,$C69,'TL03'!$J$10:$J$224),0),
IF('TL03'!$B$229=L$3,SUMIF('TL03'!$C$238:$C$451,$C69,'TL03'!$J$238:$J$451),0),
IF('TL04'!$B$3=L$3,SUMIF('TL04'!$C$10:$C$224,$C69,'TL04'!$J$10:$J$224),0),
IF('TL04'!$B$229=L$3,SUMIF('TL04'!$C$238:$C$451,$C69,'TL04'!$J$238:$J$451),0),
IF('TL05'!$B$3=L$3,SUMIF('TL05'!$C$10:$C$224,$C69,'TL05'!$J$10:$J$224),0),
IF('TL05'!$B$229=L$3,SUMIF('TL05'!$C$238:$C$451,$C69,'TL05'!$J$238:$J$451),0),
IF('TL06'!$B$3=L$3,SUMIF('TL06'!$C$10:$C$224,$C69,'TL06'!$J$10:$J$224),0),
IF('TL06'!$B$229=L$3,SUMIF('TL06'!$C$238:$C$451,$C69,'TL06'!$J$238:$J$451),0),
IF('TL07'!$B$3=L$3,SUMIF('TL07'!$C$10:$C$224,$C69,'TL07'!$J$10:$J$224),0),
IF('TL07'!$B$229=L$3,SUMIF('TL07'!$C$238:$C$451,$C69,'TL07'!$J$238:$J$451),0),
IF('TL08'!$B$3=L$3,SUMIF('TL08'!$C$10:$C$224,$C69,'TL08'!$J$10:$J$224),0),
IF('TL08'!$B$229=L$3,SUMIF('TL08'!$C$238:$C$451,$C69,'TL08'!$J$238:$J$451),0),
IF('TL09'!$B$3=L$3,SUMIF('TL09'!$C$10:$C$224,$C69,'TL09'!$J$10:$J$224),0),
IF('TL09'!$B$229=L$3,SUMIF('TL09'!$C$238:$C$451,$C69,'TL09'!$J$238:$J$451),0),
IF('TL10'!$B$3=L$3,SUMIF('TL10'!$C$10:$C$224,$C69,'TL10'!$J$10:$J$224),0),
IF('TL10'!$B$229=L$3,SUMIF('TL10'!$C$238:$C$451,$C69,'TL10'!$J$238:$J$451),0),
IF('TL11'!$B$3=L$3,SUMIF('TL11'!$C$10:$C$224,$C69,'TL11'!$J$10:$J$224),0),
IF('TL11'!$B$229=L$3,SUMIF('TL11'!$C$238:$C$451,$C69,'TL11'!$J$238:$J$451),0),
IF('TL12'!$B$3=L$3,SUMIF('TL12'!$C$10:$C$224,$C69,'TL12'!$J$10:$J$224),0),
IF('TL12'!$B$229=L$3,SUMIF('TL12'!$C$238:$C$451,$C69,'TL12'!$J$238:$J$451),0),
IF('TL13'!$B$3=L$3,SUMIF('TL13'!$C$10:$C$224,$C69,'TL13'!$J$10:$J$224),0),
IF('TL13'!$B$229=L$3,SUMIF('TL13'!$C$238:$C$451,$C69,'TL13'!$J$238:$J$451),0),
IF('TL14'!$B$3=L$3,SUMIF('TL14'!$C$10:$C$224,$C69,'TL14'!$J$10:$J$224),0),
IF('TL14'!$B$229=L$3,SUMIF('TL14'!$C$238:$C$451,$C69,'TL14'!$J$238:$J$451),0),
IF('TL15'!$B$3=L$3,SUMIF('TL15'!$C$10:$C$224,$C69,'TL15'!$J$10:$J$224),0),
IF('TL15'!$B$229=L$3,SUMIF('TL15'!$C$238:$C$451,$C69,'TL15'!$J$238:$J$451),0),
IF('TL16'!$B$3=L$3,SUMIF('TL16'!$C$10:$C$224,$C69,'TL16'!$J$10:$J$224),0),
IF('TL16'!$B$229=L$3,SUMIF('TL16'!$C$238:$C$451,$C69,'TL16'!$J$238:$J$451),0),
IF('TL17'!$B$3=L$3,SUMIF('TL17'!$C$10:$C$224,$C69,'TL17'!$J$10:$J$224),0),
IF('TL17'!$B$229=L$3,SUMIF('TL17'!$C$238:$C$451,$C69,'TL17'!$J$238:$J$451),0),
IF('TL18'!$B$3=L$3,SUMIF('TL18'!$C$10:$C$224,$C69,'TL18'!$J$10:$J$224),0),
IF('TL18'!$B$229=L$3,SUMIF('TL18'!$C$238:$C$451,$C69,'TL18'!$J$238:$J$451),0),
IF('TL19'!$B$3=L$3,SUMIF('TL19'!$C$10:$C$224,$C69,'TL19'!$J$10:$J$224),0),
IF('TL19'!$B$229=L$3,SUMIF('TL19'!$C$238:$C$451,$C69,'TL19'!$J$238:$J$451),0)
),0)</f>
        <v>0</v>
      </c>
      <c r="M69" s="9">
        <f>IFERROR(SUM(
IF('TL01'!$B$3=M$3,SUMIF('TL01'!$C$10:$C$224,$C69,'TL01'!$J$10:$J$224),0),
IF('TL01'!$B$229=M$3,SUMIF('TL01'!$C$238:$C$451,$C69,'TL01'!$J$238:$J$451),0),
IF('TL02'!$B$3=M$3,SUMIF('TL02'!$C$10:$C$224,$C69,'TL02'!$J$10:$J$224),0),
IF('TL02'!$B$229=M$3,SUMIF('TL02'!$C$238:$C$451,$C69,'TL02'!$J$238:$J$451),0),
IF('TL03'!$B$3=M$3,SUMIF('TL03'!$C$10:$C$224,$C69,'TL03'!$J$10:$J$224),0),
IF('TL03'!$B$229=M$3,SUMIF('TL03'!$C$238:$C$451,$C69,'TL03'!$J$238:$J$451),0),
IF('TL04'!$B$3=M$3,SUMIF('TL04'!$C$10:$C$224,$C69,'TL04'!$J$10:$J$224),0),
IF('TL04'!$B$229=M$3,SUMIF('TL04'!$C$238:$C$451,$C69,'TL04'!$J$238:$J$451),0),
IF('TL05'!$B$3=M$3,SUMIF('TL05'!$C$10:$C$224,$C69,'TL05'!$J$10:$J$224),0),
IF('TL05'!$B$229=M$3,SUMIF('TL05'!$C$238:$C$451,$C69,'TL05'!$J$238:$J$451),0),
IF('TL06'!$B$3=M$3,SUMIF('TL06'!$C$10:$C$224,$C69,'TL06'!$J$10:$J$224),0),
IF('TL06'!$B$229=M$3,SUMIF('TL06'!$C$238:$C$451,$C69,'TL06'!$J$238:$J$451),0),
IF('TL07'!$B$3=M$3,SUMIF('TL07'!$C$10:$C$224,$C69,'TL07'!$J$10:$J$224),0),
IF('TL07'!$B$229=M$3,SUMIF('TL07'!$C$238:$C$451,$C69,'TL07'!$J$238:$J$451),0),
IF('TL08'!$B$3=M$3,SUMIF('TL08'!$C$10:$C$224,$C69,'TL08'!$J$10:$J$224),0),
IF('TL08'!$B$229=M$3,SUMIF('TL08'!$C$238:$C$451,$C69,'TL08'!$J$238:$J$451),0),
IF('TL09'!$B$3=M$3,SUMIF('TL09'!$C$10:$C$224,$C69,'TL09'!$J$10:$J$224),0),
IF('TL09'!$B$229=M$3,SUMIF('TL09'!$C$238:$C$451,$C69,'TL09'!$J$238:$J$451),0),
IF('TL10'!$B$3=M$3,SUMIF('TL10'!$C$10:$C$224,$C69,'TL10'!$J$10:$J$224),0),
IF('TL10'!$B$229=M$3,SUMIF('TL10'!$C$238:$C$451,$C69,'TL10'!$J$238:$J$451),0),
IF('TL11'!$B$3=M$3,SUMIF('TL11'!$C$10:$C$224,$C69,'TL11'!$J$10:$J$224),0),
IF('TL11'!$B$229=M$3,SUMIF('TL11'!$C$238:$C$451,$C69,'TL11'!$J$238:$J$451),0),
IF('TL12'!$B$3=M$3,SUMIF('TL12'!$C$10:$C$224,$C69,'TL12'!$J$10:$J$224),0),
IF('TL12'!$B$229=M$3,SUMIF('TL12'!$C$238:$C$451,$C69,'TL12'!$J$238:$J$451),0),
IF('TL13'!$B$3=M$3,SUMIF('TL13'!$C$10:$C$224,$C69,'TL13'!$J$10:$J$224),0),
IF('TL13'!$B$229=M$3,SUMIF('TL13'!$C$238:$C$451,$C69,'TL13'!$J$238:$J$451),0),
IF('TL14'!$B$3=M$3,SUMIF('TL14'!$C$10:$C$224,$C69,'TL14'!$J$10:$J$224),0),
IF('TL14'!$B$229=M$3,SUMIF('TL14'!$C$238:$C$451,$C69,'TL14'!$J$238:$J$451),0),
IF('TL15'!$B$3=M$3,SUMIF('TL15'!$C$10:$C$224,$C69,'TL15'!$J$10:$J$224),0),
IF('TL15'!$B$229=M$3,SUMIF('TL15'!$C$238:$C$451,$C69,'TL15'!$J$238:$J$451),0),
IF('TL16'!$B$3=M$3,SUMIF('TL16'!$C$10:$C$224,$C69,'TL16'!$J$10:$J$224),0),
IF('TL16'!$B$229=M$3,SUMIF('TL16'!$C$238:$C$451,$C69,'TL16'!$J$238:$J$451),0),
IF('TL17'!$B$3=M$3,SUMIF('TL17'!$C$10:$C$224,$C69,'TL17'!$J$10:$J$224),0),
IF('TL17'!$B$229=M$3,SUMIF('TL17'!$C$238:$C$451,$C69,'TL17'!$J$238:$J$451),0),
IF('TL18'!$B$3=M$3,SUMIF('TL18'!$C$10:$C$224,$C69,'TL18'!$J$10:$J$224),0),
IF('TL18'!$B$229=M$3,SUMIF('TL18'!$C$238:$C$451,$C69,'TL18'!$J$238:$J$451),0),
IF('TL19'!$B$3=M$3,SUMIF('TL19'!$C$10:$C$224,$C69,'TL19'!$J$10:$J$224),0),
IF('TL19'!$B$229=M$3,SUMIF('TL19'!$C$238:$C$451,$C69,'TL19'!$J$238:$J$451),0)
),0)</f>
        <v>0</v>
      </c>
      <c r="N69" s="9">
        <f>IFERROR(SUM(
IF('TL01'!$B$3=N$3,SUMIF('TL01'!$C$10:$C$224,$C69,'TL01'!$J$10:$J$224),0),
IF('TL01'!$B$229=N$3,SUMIF('TL01'!$C$238:$C$451,$C69,'TL01'!$J$238:$J$451),0),
IF('TL02'!$B$3=N$3,SUMIF('TL02'!$C$10:$C$224,$C69,'TL02'!$J$10:$J$224),0),
IF('TL02'!$B$229=N$3,SUMIF('TL02'!$C$238:$C$451,$C69,'TL02'!$J$238:$J$451),0),
IF('TL03'!$B$3=N$3,SUMIF('TL03'!$C$10:$C$224,$C69,'TL03'!$J$10:$J$224),0),
IF('TL03'!$B$229=N$3,SUMIF('TL03'!$C$238:$C$451,$C69,'TL03'!$J$238:$J$451),0),
IF('TL04'!$B$3=N$3,SUMIF('TL04'!$C$10:$C$224,$C69,'TL04'!$J$10:$J$224),0),
IF('TL04'!$B$229=N$3,SUMIF('TL04'!$C$238:$C$451,$C69,'TL04'!$J$238:$J$451),0),
IF('TL05'!$B$3=N$3,SUMIF('TL05'!$C$10:$C$224,$C69,'TL05'!$J$10:$J$224),0),
IF('TL05'!$B$229=N$3,SUMIF('TL05'!$C$238:$C$451,$C69,'TL05'!$J$238:$J$451),0),
IF('TL06'!$B$3=N$3,SUMIF('TL06'!$C$10:$C$224,$C69,'TL06'!$J$10:$J$224),0),
IF('TL06'!$B$229=N$3,SUMIF('TL06'!$C$238:$C$451,$C69,'TL06'!$J$238:$J$451),0),
IF('TL07'!$B$3=N$3,SUMIF('TL07'!$C$10:$C$224,$C69,'TL07'!$J$10:$J$224),0),
IF('TL07'!$B$229=N$3,SUMIF('TL07'!$C$238:$C$451,$C69,'TL07'!$J$238:$J$451),0),
IF('TL08'!$B$3=N$3,SUMIF('TL08'!$C$10:$C$224,$C69,'TL08'!$J$10:$J$224),0),
IF('TL08'!$B$229=N$3,SUMIF('TL08'!$C$238:$C$451,$C69,'TL08'!$J$238:$J$451),0),
IF('TL09'!$B$3=N$3,SUMIF('TL09'!$C$10:$C$224,$C69,'TL09'!$J$10:$J$224),0),
IF('TL09'!$B$229=N$3,SUMIF('TL09'!$C$238:$C$451,$C69,'TL09'!$J$238:$J$451),0),
IF('TL10'!$B$3=N$3,SUMIF('TL10'!$C$10:$C$224,$C69,'TL10'!$J$10:$J$224),0),
IF('TL10'!$B$229=N$3,SUMIF('TL10'!$C$238:$C$451,$C69,'TL10'!$J$238:$J$451),0),
IF('TL11'!$B$3=N$3,SUMIF('TL11'!$C$10:$C$224,$C69,'TL11'!$J$10:$J$224),0),
IF('TL11'!$B$229=N$3,SUMIF('TL11'!$C$238:$C$451,$C69,'TL11'!$J$238:$J$451),0),
IF('TL12'!$B$3=N$3,SUMIF('TL12'!$C$10:$C$224,$C69,'TL12'!$J$10:$J$224),0),
IF('TL12'!$B$229=N$3,SUMIF('TL12'!$C$238:$C$451,$C69,'TL12'!$J$238:$J$451),0),
IF('TL13'!$B$3=N$3,SUMIF('TL13'!$C$10:$C$224,$C69,'TL13'!$J$10:$J$224),0),
IF('TL13'!$B$229=N$3,SUMIF('TL13'!$C$238:$C$451,$C69,'TL13'!$J$238:$J$451),0),
IF('TL14'!$B$3=N$3,SUMIF('TL14'!$C$10:$C$224,$C69,'TL14'!$J$10:$J$224),0),
IF('TL14'!$B$229=N$3,SUMIF('TL14'!$C$238:$C$451,$C69,'TL14'!$J$238:$J$451),0),
IF('TL15'!$B$3=N$3,SUMIF('TL15'!$C$10:$C$224,$C69,'TL15'!$J$10:$J$224),0),
IF('TL15'!$B$229=N$3,SUMIF('TL15'!$C$238:$C$451,$C69,'TL15'!$J$238:$J$451),0),
IF('TL16'!$B$3=N$3,SUMIF('TL16'!$C$10:$C$224,$C69,'TL16'!$J$10:$J$224),0),
IF('TL16'!$B$229=N$3,SUMIF('TL16'!$C$238:$C$451,$C69,'TL16'!$J$238:$J$451),0),
IF('TL17'!$B$3=N$3,SUMIF('TL17'!$C$10:$C$224,$C69,'TL17'!$J$10:$J$224),0),
IF('TL17'!$B$229=N$3,SUMIF('TL17'!$C$238:$C$451,$C69,'TL17'!$J$238:$J$451),0),
IF('TL18'!$B$3=N$3,SUMIF('TL18'!$C$10:$C$224,$C69,'TL18'!$J$10:$J$224),0),
IF('TL18'!$B$229=N$3,SUMIF('TL18'!$C$238:$C$451,$C69,'TL18'!$J$238:$J$451),0),
IF('TL19'!$B$3=N$3,SUMIF('TL19'!$C$10:$C$224,$C69,'TL19'!$J$10:$J$224),0),
IF('TL19'!$B$229=N$3,SUMIF('TL19'!$C$238:$C$451,$C69,'TL19'!$J$238:$J$451),0)
),0)</f>
        <v>0</v>
      </c>
      <c r="O69" s="9">
        <f>IFERROR(SUM(
IF('TL01'!$B$3=O$3,SUMIF('TL01'!$C$10:$C$224,$C69,'TL01'!$J$10:$J$224),0),
IF('TL01'!$B$229=O$3,SUMIF('TL01'!$C$238:$C$451,$C69,'TL01'!$J$238:$J$451),0),
IF('TL02'!$B$3=O$3,SUMIF('TL02'!$C$10:$C$224,$C69,'TL02'!$J$10:$J$224),0),
IF('TL02'!$B$229=O$3,SUMIF('TL02'!$C$238:$C$451,$C69,'TL02'!$J$238:$J$451),0),
IF('TL03'!$B$3=O$3,SUMIF('TL03'!$C$10:$C$224,$C69,'TL03'!$J$10:$J$224),0),
IF('TL03'!$B$229=O$3,SUMIF('TL03'!$C$238:$C$451,$C69,'TL03'!$J$238:$J$451),0),
IF('TL04'!$B$3=O$3,SUMIF('TL04'!$C$10:$C$224,$C69,'TL04'!$J$10:$J$224),0),
IF('TL04'!$B$229=O$3,SUMIF('TL04'!$C$238:$C$451,$C69,'TL04'!$J$238:$J$451),0),
IF('TL05'!$B$3=O$3,SUMIF('TL05'!$C$10:$C$224,$C69,'TL05'!$J$10:$J$224),0),
IF('TL05'!$B$229=O$3,SUMIF('TL05'!$C$238:$C$451,$C69,'TL05'!$J$238:$J$451),0),
IF('TL06'!$B$3=O$3,SUMIF('TL06'!$C$10:$C$224,$C69,'TL06'!$J$10:$J$224),0),
IF('TL06'!$B$229=O$3,SUMIF('TL06'!$C$238:$C$451,$C69,'TL06'!$J$238:$J$451),0),
IF('TL07'!$B$3=O$3,SUMIF('TL07'!$C$10:$C$224,$C69,'TL07'!$J$10:$J$224),0),
IF('TL07'!$B$229=O$3,SUMIF('TL07'!$C$238:$C$451,$C69,'TL07'!$J$238:$J$451),0),
IF('TL08'!$B$3=O$3,SUMIF('TL08'!$C$10:$C$224,$C69,'TL08'!$J$10:$J$224),0),
IF('TL08'!$B$229=O$3,SUMIF('TL08'!$C$238:$C$451,$C69,'TL08'!$J$238:$J$451),0),
IF('TL09'!$B$3=O$3,SUMIF('TL09'!$C$10:$C$224,$C69,'TL09'!$J$10:$J$224),0),
IF('TL09'!$B$229=O$3,SUMIF('TL09'!$C$238:$C$451,$C69,'TL09'!$J$238:$J$451),0),
IF('TL10'!$B$3=O$3,SUMIF('TL10'!$C$10:$C$224,$C69,'TL10'!$J$10:$J$224),0),
IF('TL10'!$B$229=O$3,SUMIF('TL10'!$C$238:$C$451,$C69,'TL10'!$J$238:$J$451),0),
IF('TL11'!$B$3=O$3,SUMIF('TL11'!$C$10:$C$224,$C69,'TL11'!$J$10:$J$224),0),
IF('TL11'!$B$229=O$3,SUMIF('TL11'!$C$238:$C$451,$C69,'TL11'!$J$238:$J$451),0),
IF('TL12'!$B$3=O$3,SUMIF('TL12'!$C$10:$C$224,$C69,'TL12'!$J$10:$J$224),0),
IF('TL12'!$B$229=O$3,SUMIF('TL12'!$C$238:$C$451,$C69,'TL12'!$J$238:$J$451),0),
IF('TL13'!$B$3=O$3,SUMIF('TL13'!$C$10:$C$224,$C69,'TL13'!$J$10:$J$224),0),
IF('TL13'!$B$229=O$3,SUMIF('TL13'!$C$238:$C$451,$C69,'TL13'!$J$238:$J$451),0),
IF('TL14'!$B$3=O$3,SUMIF('TL14'!$C$10:$C$224,$C69,'TL14'!$J$10:$J$224),0),
IF('TL14'!$B$229=O$3,SUMIF('TL14'!$C$238:$C$451,$C69,'TL14'!$J$238:$J$451),0),
IF('TL15'!$B$3=O$3,SUMIF('TL15'!$C$10:$C$224,$C69,'TL15'!$J$10:$J$224),0),
IF('TL15'!$B$229=O$3,SUMIF('TL15'!$C$238:$C$451,$C69,'TL15'!$J$238:$J$451),0),
IF('TL16'!$B$3=O$3,SUMIF('TL16'!$C$10:$C$224,$C69,'TL16'!$J$10:$J$224),0),
IF('TL16'!$B$229=O$3,SUMIF('TL16'!$C$238:$C$451,$C69,'TL16'!$J$238:$J$451),0),
IF('TL17'!$B$3=O$3,SUMIF('TL17'!$C$10:$C$224,$C69,'TL17'!$J$10:$J$224),0),
IF('TL17'!$B$229=O$3,SUMIF('TL17'!$C$238:$C$451,$C69,'TL17'!$J$238:$J$451),0),
IF('TL18'!$B$3=O$3,SUMIF('TL18'!$C$10:$C$224,$C69,'TL18'!$J$10:$J$224),0),
IF('TL18'!$B$229=O$3,SUMIF('TL18'!$C$238:$C$451,$C69,'TL18'!$J$238:$J$451),0),
IF('TL19'!$B$3=O$3,SUMIF('TL19'!$C$10:$C$224,$C69,'TL19'!$J$10:$J$224),0),
IF('TL19'!$B$229=O$3,SUMIF('TL19'!$C$238:$C$451,$C69,'TL19'!$J$238:$J$451),0)
),0)</f>
        <v>0</v>
      </c>
      <c r="P69" s="9">
        <f>IFERROR(SUM(
IF('TL01'!$B$3=P$3,SUMIF('TL01'!$C$10:$C$224,$C69,'TL01'!$J$10:$J$224),0),
IF('TL01'!$B$229=P$3,SUMIF('TL01'!$C$238:$C$451,$C69,'TL01'!$J$238:$J$451),0),
IF('TL02'!$B$3=P$3,SUMIF('TL02'!$C$10:$C$224,$C69,'TL02'!$J$10:$J$224),0),
IF('TL02'!$B$229=P$3,SUMIF('TL02'!$C$238:$C$451,$C69,'TL02'!$J$238:$J$451),0),
IF('TL03'!$B$3=P$3,SUMIF('TL03'!$C$10:$C$224,$C69,'TL03'!$J$10:$J$224),0),
IF('TL03'!$B$229=P$3,SUMIF('TL03'!$C$238:$C$451,$C69,'TL03'!$J$238:$J$451),0),
IF('TL04'!$B$3=P$3,SUMIF('TL04'!$C$10:$C$224,$C69,'TL04'!$J$10:$J$224),0),
IF('TL04'!$B$229=P$3,SUMIF('TL04'!$C$238:$C$451,$C69,'TL04'!$J$238:$J$451),0),
IF('TL05'!$B$3=P$3,SUMIF('TL05'!$C$10:$C$224,$C69,'TL05'!$J$10:$J$224),0),
IF('TL05'!$B$229=P$3,SUMIF('TL05'!$C$238:$C$451,$C69,'TL05'!$J$238:$J$451),0),
IF('TL06'!$B$3=P$3,SUMIF('TL06'!$C$10:$C$224,$C69,'TL06'!$J$10:$J$224),0),
IF('TL06'!$B$229=P$3,SUMIF('TL06'!$C$238:$C$451,$C69,'TL06'!$J$238:$J$451),0),
IF('TL07'!$B$3=P$3,SUMIF('TL07'!$C$10:$C$224,$C69,'TL07'!$J$10:$J$224),0),
IF('TL07'!$B$229=P$3,SUMIF('TL07'!$C$238:$C$451,$C69,'TL07'!$J$238:$J$451),0),
IF('TL08'!$B$3=P$3,SUMIF('TL08'!$C$10:$C$224,$C69,'TL08'!$J$10:$J$224),0),
IF('TL08'!$B$229=P$3,SUMIF('TL08'!$C$238:$C$451,$C69,'TL08'!$J$238:$J$451),0),
IF('TL09'!$B$3=P$3,SUMIF('TL09'!$C$10:$C$224,$C69,'TL09'!$J$10:$J$224),0),
IF('TL09'!$B$229=P$3,SUMIF('TL09'!$C$238:$C$451,$C69,'TL09'!$J$238:$J$451),0),
IF('TL10'!$B$3=P$3,SUMIF('TL10'!$C$10:$C$224,$C69,'TL10'!$J$10:$J$224),0),
IF('TL10'!$B$229=P$3,SUMIF('TL10'!$C$238:$C$451,$C69,'TL10'!$J$238:$J$451),0),
IF('TL11'!$B$3=P$3,SUMIF('TL11'!$C$10:$C$224,$C69,'TL11'!$J$10:$J$224),0),
IF('TL11'!$B$229=P$3,SUMIF('TL11'!$C$238:$C$451,$C69,'TL11'!$J$238:$J$451),0),
IF('TL12'!$B$3=P$3,SUMIF('TL12'!$C$10:$C$224,$C69,'TL12'!$J$10:$J$224),0),
IF('TL12'!$B$229=P$3,SUMIF('TL12'!$C$238:$C$451,$C69,'TL12'!$J$238:$J$451),0),
IF('TL13'!$B$3=P$3,SUMIF('TL13'!$C$10:$C$224,$C69,'TL13'!$J$10:$J$224),0),
IF('TL13'!$B$229=P$3,SUMIF('TL13'!$C$238:$C$451,$C69,'TL13'!$J$238:$J$451),0),
IF('TL14'!$B$3=P$3,SUMIF('TL14'!$C$10:$C$224,$C69,'TL14'!$J$10:$J$224),0),
IF('TL14'!$B$229=P$3,SUMIF('TL14'!$C$238:$C$451,$C69,'TL14'!$J$238:$J$451),0),
IF('TL15'!$B$3=P$3,SUMIF('TL15'!$C$10:$C$224,$C69,'TL15'!$J$10:$J$224),0),
IF('TL15'!$B$229=P$3,SUMIF('TL15'!$C$238:$C$451,$C69,'TL15'!$J$238:$J$451),0),
IF('TL16'!$B$3=P$3,SUMIF('TL16'!$C$10:$C$224,$C69,'TL16'!$J$10:$J$224),0),
IF('TL16'!$B$229=P$3,SUMIF('TL16'!$C$238:$C$451,$C69,'TL16'!$J$238:$J$451),0),
IF('TL17'!$B$3=P$3,SUMIF('TL17'!$C$10:$C$224,$C69,'TL17'!$J$10:$J$224),0),
IF('TL17'!$B$229=P$3,SUMIF('TL17'!$C$238:$C$451,$C69,'TL17'!$J$238:$J$451),0),
IF('TL18'!$B$3=P$3,SUMIF('TL18'!$C$10:$C$224,$C69,'TL18'!$J$10:$J$224),0),
IF('TL18'!$B$229=P$3,SUMIF('TL18'!$C$238:$C$451,$C69,'TL18'!$J$238:$J$451),0),
IF('TL19'!$B$3=P$3,SUMIF('TL19'!$C$10:$C$224,$C69,'TL19'!$J$10:$J$224),0),
IF('TL19'!$B$229=P$3,SUMIF('TL19'!$C$238:$C$451,$C69,'TL19'!$J$238:$J$451),0)
),0)</f>
        <v>0</v>
      </c>
      <c r="Q69" s="9">
        <f>IFERROR(SUM(
IF('TL01'!$B$3=Q$3,SUMIF('TL01'!$C$10:$C$224,$C69,'TL01'!$J$10:$J$224),0),
IF('TL01'!$B$229=Q$3,SUMIF('TL01'!$C$238:$C$451,$C69,'TL01'!$J$238:$J$451),0),
IF('TL02'!$B$3=Q$3,SUMIF('TL02'!$C$10:$C$224,$C69,'TL02'!$J$10:$J$224),0),
IF('TL02'!$B$229=Q$3,SUMIF('TL02'!$C$238:$C$451,$C69,'TL02'!$J$238:$J$451),0),
IF('TL03'!$B$3=Q$3,SUMIF('TL03'!$C$10:$C$224,$C69,'TL03'!$J$10:$J$224),0),
IF('TL03'!$B$229=Q$3,SUMIF('TL03'!$C$238:$C$451,$C69,'TL03'!$J$238:$J$451),0),
IF('TL04'!$B$3=Q$3,SUMIF('TL04'!$C$10:$C$224,$C69,'TL04'!$J$10:$J$224),0),
IF('TL04'!$B$229=Q$3,SUMIF('TL04'!$C$238:$C$451,$C69,'TL04'!$J$238:$J$451),0),
IF('TL05'!$B$3=Q$3,SUMIF('TL05'!$C$10:$C$224,$C69,'TL05'!$J$10:$J$224),0),
IF('TL05'!$B$229=Q$3,SUMIF('TL05'!$C$238:$C$451,$C69,'TL05'!$J$238:$J$451),0),
IF('TL06'!$B$3=Q$3,SUMIF('TL06'!$C$10:$C$224,$C69,'TL06'!$J$10:$J$224),0),
IF('TL06'!$B$229=Q$3,SUMIF('TL06'!$C$238:$C$451,$C69,'TL06'!$J$238:$J$451),0),
IF('TL07'!$B$3=Q$3,SUMIF('TL07'!$C$10:$C$224,$C69,'TL07'!$J$10:$J$224),0),
IF('TL07'!$B$229=Q$3,SUMIF('TL07'!$C$238:$C$451,$C69,'TL07'!$J$238:$J$451),0),
IF('TL08'!$B$3=Q$3,SUMIF('TL08'!$C$10:$C$224,$C69,'TL08'!$J$10:$J$224),0),
IF('TL08'!$B$229=Q$3,SUMIF('TL08'!$C$238:$C$451,$C69,'TL08'!$J$238:$J$451),0),
IF('TL09'!$B$3=Q$3,SUMIF('TL09'!$C$10:$C$224,$C69,'TL09'!$J$10:$J$224),0),
IF('TL09'!$B$229=Q$3,SUMIF('TL09'!$C$238:$C$451,$C69,'TL09'!$J$238:$J$451),0),
IF('TL10'!$B$3=Q$3,SUMIF('TL10'!$C$10:$C$224,$C69,'TL10'!$J$10:$J$224),0),
IF('TL10'!$B$229=Q$3,SUMIF('TL10'!$C$238:$C$451,$C69,'TL10'!$J$238:$J$451),0),
IF('TL11'!$B$3=Q$3,SUMIF('TL11'!$C$10:$C$224,$C69,'TL11'!$J$10:$J$224),0),
IF('TL11'!$B$229=Q$3,SUMIF('TL11'!$C$238:$C$451,$C69,'TL11'!$J$238:$J$451),0),
IF('TL12'!$B$3=Q$3,SUMIF('TL12'!$C$10:$C$224,$C69,'TL12'!$J$10:$J$224),0),
IF('TL12'!$B$229=Q$3,SUMIF('TL12'!$C$238:$C$451,$C69,'TL12'!$J$238:$J$451),0),
IF('TL13'!$B$3=Q$3,SUMIF('TL13'!$C$10:$C$224,$C69,'TL13'!$J$10:$J$224),0),
IF('TL13'!$B$229=Q$3,SUMIF('TL13'!$C$238:$C$451,$C69,'TL13'!$J$238:$J$451),0),
IF('TL14'!$B$3=Q$3,SUMIF('TL14'!$C$10:$C$224,$C69,'TL14'!$J$10:$J$224),0),
IF('TL14'!$B$229=Q$3,SUMIF('TL14'!$C$238:$C$451,$C69,'TL14'!$J$238:$J$451),0),
IF('TL15'!$B$3=Q$3,SUMIF('TL15'!$C$10:$C$224,$C69,'TL15'!$J$10:$J$224),0),
IF('TL15'!$B$229=Q$3,SUMIF('TL15'!$C$238:$C$451,$C69,'TL15'!$J$238:$J$451),0),
IF('TL16'!$B$3=Q$3,SUMIF('TL16'!$C$10:$C$224,$C69,'TL16'!$J$10:$J$224),0),
IF('TL16'!$B$229=Q$3,SUMIF('TL16'!$C$238:$C$451,$C69,'TL16'!$J$238:$J$451),0),
IF('TL17'!$B$3=Q$3,SUMIF('TL17'!$C$10:$C$224,$C69,'TL17'!$J$10:$J$224),0),
IF('TL17'!$B$229=Q$3,SUMIF('TL17'!$C$238:$C$451,$C69,'TL17'!$J$238:$J$451),0),
IF('TL18'!$B$3=Q$3,SUMIF('TL18'!$C$10:$C$224,$C69,'TL18'!$J$10:$J$224),0),
IF('TL18'!$B$229=Q$3,SUMIF('TL18'!$C$238:$C$451,$C69,'TL18'!$J$238:$J$451),0),
IF('TL19'!$B$3=Q$3,SUMIF('TL19'!$C$10:$C$224,$C69,'TL19'!$J$10:$J$224),0),
IF('TL19'!$B$229=Q$3,SUMIF('TL19'!$C$238:$C$451,$C69,'TL19'!$J$238:$J$451),0)
),0)</f>
        <v>0</v>
      </c>
      <c r="R69" s="9">
        <f>IFERROR(
SUM(
SUMIF('TL01'!C:C,C69,'TL01'!J:J),
SUMIF('TL02'!C:C,C69,'TL02'!J:J),
SUMIF('TL03'!C:C,C69,'TL03'!J:J),
SUMIF('TL04'!C:C,C69,'TL04'!J:J),
SUMIF('TL05'!C:C,C69,'TL05'!J:J),
SUMIF('TL06'!C:C,C69,'TL06'!J:J),
SUMIF('TL07'!C:C,C69,'TL07'!J:J),
SUMIF('TL08'!C:C,C69,'TL08'!J:J),
SUMIF('TL09'!C:C,C69,'TL09'!J:J),
SUMIF('TL10'!C:C,C69,'TL10'!J:J),
SUMIF('TL11'!C:C,C69,'TL11'!J:J),
SUMIF('TL12'!C:C,C69,'TL12'!J:J),
SUMIF('TL13'!C:C,C69,'TL13'!J:J),
SUMIF('TL14'!C:C,C69,'TL14'!J:J),
SUMIF('TL15'!C:C,C69,'TL15'!J:J),
SUMIF('TL16'!C:C,C69,'TL16'!J:J),
SUMIF('TL17'!C:C,C69,'TL17'!J:J),
SUMIF('TL18'!C:C,C69,'TL18'!J:J),SUMIF('TL19'!C:C,C69,'TL19'!J:J))
,0)</f>
        <v>0</v>
      </c>
      <c r="S69" s="17">
        <f>IFERROR(__xludf.DUMMYFUNCTION("IFERROR(VLOOKUP(C69,
IMPORTRANGE(""1wULbzX32WdYsx-lj2U3uUNBBe2INVIRDtcK0d-Dvl90"",
""26-27!C:G""),
5,
FALSE),
"""")"),244.39248000000003)</f>
        <v>244.39248</v>
      </c>
      <c r="T69" s="9"/>
      <c r="U69" s="92">
        <f t="shared" si="2"/>
        <v>0</v>
      </c>
      <c r="V69" s="93">
        <f t="shared" si="3"/>
        <v>0</v>
      </c>
    </row>
    <row r="70" ht="15.75" hidden="1" customHeight="1">
      <c r="A70" s="115" t="s">
        <v>516</v>
      </c>
      <c r="B70" s="100" t="s">
        <v>0</v>
      </c>
      <c r="C70" s="116" t="s">
        <v>519</v>
      </c>
      <c r="D70" s="116" t="s">
        <v>508</v>
      </c>
      <c r="E70" s="116">
        <v>250.0</v>
      </c>
      <c r="F70" s="4" t="s">
        <v>392</v>
      </c>
      <c r="G70" s="90" t="str">
        <f t="shared" si="4"/>
        <v>📄 Ver bula</v>
      </c>
      <c r="H70" s="9">
        <f>IFERROR(__xludf.DUMMYFUNCTION("IFERROR(VLOOKUP(C70,
IMPORTRANGE(""1wULbzX32WdYsx-lj2U3uUNBBe2INVIRDtcK0d-Dvl90"",
""26-27!C:K""),
8,
FALSE),
"""")"),0.3)</f>
        <v>0.3</v>
      </c>
      <c r="I70" s="117" t="s">
        <v>361</v>
      </c>
      <c r="J70" s="9">
        <f>IFERROR(SUM(
IF('TL01'!$B$3=J$3,SUMIF('TL01'!$C$10:$C$224,$C70,'TL01'!$J$10:$J$224),0),
IF('TL01'!$B$229=J$3,SUMIF('TL01'!$C$238:$C$451,$C70,'TL01'!$J$238:$J$451),0),
IF('TL02'!$B$3=J$3,SUMIF('TL02'!$C$10:$C$224,$C70,'TL02'!$J$10:$J$224),0),
IF('TL02'!$B$229=J$3,SUMIF('TL02'!$C$238:$C$451,$C70,'TL02'!$J$238:$J$451),0),
IF('TL03'!$B$3=J$3,SUMIF('TL03'!$C$10:$C$224,$C70,'TL03'!$J$10:$J$224),0),
IF('TL03'!$B$229=J$3,SUMIF('TL03'!$C$238:$C$451,$C70,'TL03'!$J$238:$J$451),0),
IF('TL04'!$B$3=J$3,SUMIF('TL04'!$C$10:$C$224,$C70,'TL04'!$J$10:$J$224),0),
IF('TL04'!$B$229=J$3,SUMIF('TL04'!$C$238:$C$451,$C70,'TL04'!$J$238:$J$451),0),
IF('TL05'!$B$3=J$3,SUMIF('TL05'!$C$10:$C$224,$C70,'TL05'!$J$10:$J$224),0),
IF('TL05'!$B$229=J$3,SUMIF('TL05'!$C$238:$C$451,$C70,'TL05'!$J$238:$J$451),0),
IF('TL06'!$B$3=J$3,SUMIF('TL06'!$C$10:$C$224,$C70,'TL06'!$J$10:$J$224),0),
IF('TL06'!$B$229=J$3,SUMIF('TL06'!$C$238:$C$451,$C70,'TL06'!$J$238:$J$451),0),
IF('TL07'!$B$3=J$3,SUMIF('TL07'!$C$10:$C$224,$C70,'TL07'!$J$10:$J$224),0),
IF('TL07'!$B$229=J$3,SUMIF('TL07'!$C$238:$C$451,$C70,'TL07'!$J$238:$J$451),0),
IF('TL08'!$B$3=J$3,SUMIF('TL08'!$C$10:$C$224,$C70,'TL08'!$J$10:$J$224),0),
IF('TL08'!$B$229=J$3,SUMIF('TL08'!$C$238:$C$451,$C70,'TL08'!$J$238:$J$451),0),
IF('TL09'!$B$3=J$3,SUMIF('TL09'!$C$10:$C$224,$C70,'TL09'!$J$10:$J$224),0),
IF('TL09'!$B$229=J$3,SUMIF('TL09'!$C$238:$C$451,$C70,'TL09'!$J$238:$J$451),0),
IF('TL10'!$B$3=J$3,SUMIF('TL10'!$C$10:$C$224,$C70,'TL10'!$J$10:$J$224),0),
IF('TL10'!$B$229=J$3,SUMIF('TL10'!$C$238:$C$451,$C70,'TL10'!$J$238:$J$451),0),
IF('TL11'!$B$3=J$3,SUMIF('TL11'!$C$10:$C$224,$C70,'TL11'!$J$10:$J$224),0),
IF('TL11'!$B$229=J$3,SUMIF('TL11'!$C$238:$C$451,$C70,'TL11'!$J$238:$J$451),0),
IF('TL12'!$B$3=J$3,SUMIF('TL12'!$C$10:$C$224,$C70,'TL12'!$J$10:$J$224),0),
IF('TL12'!$B$229=J$3,SUMIF('TL12'!$C$238:$C$451,$C70,'TL12'!$J$238:$J$451),0),
IF('TL13'!$B$3=J$3,SUMIF('TL13'!$C$10:$C$224,$C70,'TL13'!$J$10:$J$224),0),
IF('TL13'!$B$229=J$3,SUMIF('TL13'!$C$238:$C$451,$C70,'TL13'!$J$238:$J$451),0),
IF('TL14'!$B$3=J$3,SUMIF('TL14'!$C$10:$C$224,$C70,'TL14'!$J$10:$J$224),0),
IF('TL14'!$B$229=J$3,SUMIF('TL14'!$C$238:$C$451,$C70,'TL14'!$J$238:$J$451),0),
IF('TL15'!$B$3=J$3,SUMIF('TL15'!$C$10:$C$224,$C70,'TL15'!$J$10:$J$224),0),
IF('TL15'!$B$229=J$3,SUMIF('TL15'!$C$238:$C$451,$C70,'TL15'!$J$238:$J$451),0),
IF('TL16'!$B$3=J$3,SUMIF('TL16'!$C$10:$C$224,$C70,'TL16'!$J$10:$J$224),0),
IF('TL16'!$B$229=J$3,SUMIF('TL16'!$C$238:$C$451,$C70,'TL16'!$J$238:$J$451),0),
IF('TL17'!$B$3=J$3,SUMIF('TL17'!$C$10:$C$224,$C70,'TL17'!$J$10:$J$224),0),
IF('TL17'!$B$229=J$3,SUMIF('TL17'!$C$238:$C$451,$C70,'TL17'!$J$238:$J$451),0),
IF('TL18'!$B$3=J$3,SUMIF('TL18'!$C$10:$C$224,$C70,'TL18'!$J$10:$J$224),0),
IF('TL18'!$B$229=J$3,SUMIF('TL18'!$C$238:$C$451,$C70,'TL18'!$J$238:$J$451),0),
IF('TL19'!$B$3=J$3,SUMIF('TL19'!$C$10:$C$224,$C70,'TL19'!$J$10:$J$224),0),
IF('TL19'!$B$229=J$3,SUMIF('TL19'!$C$238:$C$451,$C70,'TL19'!$J$238:$J$451),0)
),0)</f>
        <v>0</v>
      </c>
      <c r="K70" s="9">
        <f>IFERROR(SUM(
IF('TL01'!$B$3=K$3,SUMIF('TL01'!$C$10:$C$224,$C70,'TL01'!$J$10:$J$224),0),
IF('TL01'!$B$229=K$3,SUMIF('TL01'!$C$238:$C$451,$C70,'TL01'!$J$238:$J$451),0),
IF('TL02'!$B$3=K$3,SUMIF('TL02'!$C$10:$C$224,$C70,'TL02'!$J$10:$J$224),0),
IF('TL02'!$B$229=K$3,SUMIF('TL02'!$C$238:$C$451,$C70,'TL02'!$J$238:$J$451),0),
IF('TL03'!$B$3=K$3,SUMIF('TL03'!$C$10:$C$224,$C70,'TL03'!$J$10:$J$224),0),
IF('TL03'!$B$229=K$3,SUMIF('TL03'!$C$238:$C$451,$C70,'TL03'!$J$238:$J$451),0),
IF('TL04'!$B$3=K$3,SUMIF('TL04'!$C$10:$C$224,$C70,'TL04'!$J$10:$J$224),0),
IF('TL04'!$B$229=K$3,SUMIF('TL04'!$C$238:$C$451,$C70,'TL04'!$J$238:$J$451),0),
IF('TL05'!$B$3=K$3,SUMIF('TL05'!$C$10:$C$224,$C70,'TL05'!$J$10:$J$224),0),
IF('TL05'!$B$229=K$3,SUMIF('TL05'!$C$238:$C$451,$C70,'TL05'!$J$238:$J$451),0),
IF('TL06'!$B$3=K$3,SUMIF('TL06'!$C$10:$C$224,$C70,'TL06'!$J$10:$J$224),0),
IF('TL06'!$B$229=K$3,SUMIF('TL06'!$C$238:$C$451,$C70,'TL06'!$J$238:$J$451),0),
IF('TL07'!$B$3=K$3,SUMIF('TL07'!$C$10:$C$224,$C70,'TL07'!$J$10:$J$224),0),
IF('TL07'!$B$229=K$3,SUMIF('TL07'!$C$238:$C$451,$C70,'TL07'!$J$238:$J$451),0),
IF('TL08'!$B$3=K$3,SUMIF('TL08'!$C$10:$C$224,$C70,'TL08'!$J$10:$J$224),0),
IF('TL08'!$B$229=K$3,SUMIF('TL08'!$C$238:$C$451,$C70,'TL08'!$J$238:$J$451),0),
IF('TL09'!$B$3=K$3,SUMIF('TL09'!$C$10:$C$224,$C70,'TL09'!$J$10:$J$224),0),
IF('TL09'!$B$229=K$3,SUMIF('TL09'!$C$238:$C$451,$C70,'TL09'!$J$238:$J$451),0),
IF('TL10'!$B$3=K$3,SUMIF('TL10'!$C$10:$C$224,$C70,'TL10'!$J$10:$J$224),0),
IF('TL10'!$B$229=K$3,SUMIF('TL10'!$C$238:$C$451,$C70,'TL10'!$J$238:$J$451),0),
IF('TL11'!$B$3=K$3,SUMIF('TL11'!$C$10:$C$224,$C70,'TL11'!$J$10:$J$224),0),
IF('TL11'!$B$229=K$3,SUMIF('TL11'!$C$238:$C$451,$C70,'TL11'!$J$238:$J$451),0),
IF('TL12'!$B$3=K$3,SUMIF('TL12'!$C$10:$C$224,$C70,'TL12'!$J$10:$J$224),0),
IF('TL12'!$B$229=K$3,SUMIF('TL12'!$C$238:$C$451,$C70,'TL12'!$J$238:$J$451),0),
IF('TL13'!$B$3=K$3,SUMIF('TL13'!$C$10:$C$224,$C70,'TL13'!$J$10:$J$224),0),
IF('TL13'!$B$229=K$3,SUMIF('TL13'!$C$238:$C$451,$C70,'TL13'!$J$238:$J$451),0),
IF('TL14'!$B$3=K$3,SUMIF('TL14'!$C$10:$C$224,$C70,'TL14'!$J$10:$J$224),0),
IF('TL14'!$B$229=K$3,SUMIF('TL14'!$C$238:$C$451,$C70,'TL14'!$J$238:$J$451),0),
IF('TL15'!$B$3=K$3,SUMIF('TL15'!$C$10:$C$224,$C70,'TL15'!$J$10:$J$224),0),
IF('TL15'!$B$229=K$3,SUMIF('TL15'!$C$238:$C$451,$C70,'TL15'!$J$238:$J$451),0),
IF('TL16'!$B$3=K$3,SUMIF('TL16'!$C$10:$C$224,$C70,'TL16'!$J$10:$J$224),0),
IF('TL16'!$B$229=K$3,SUMIF('TL16'!$C$238:$C$451,$C70,'TL16'!$J$238:$J$451),0),
IF('TL17'!$B$3=K$3,SUMIF('TL17'!$C$10:$C$224,$C70,'TL17'!$J$10:$J$224),0),
IF('TL17'!$B$229=K$3,SUMIF('TL17'!$C$238:$C$451,$C70,'TL17'!$J$238:$J$451),0),
IF('TL18'!$B$3=K$3,SUMIF('TL18'!$C$10:$C$224,$C70,'TL18'!$J$10:$J$224),0),
IF('TL18'!$B$229=K$3,SUMIF('TL18'!$C$238:$C$451,$C70,'TL18'!$J$238:$J$451),0),
IF('TL19'!$B$3=K$3,SUMIF('TL19'!$C$10:$C$224,$C70,'TL19'!$J$10:$J$224),0),
IF('TL19'!$B$229=K$3,SUMIF('TL19'!$C$238:$C$451,$C70,'TL19'!$J$238:$J$451),0)
),0)</f>
        <v>0</v>
      </c>
      <c r="L70" s="9">
        <f>IFERROR(SUM(
IF('TL01'!$B$3=L$3,SUMIF('TL01'!$C$10:$C$224,$C70,'TL01'!$J$10:$J$224),0),
IF('TL01'!$B$229=L$3,SUMIF('TL01'!$C$238:$C$451,$C70,'TL01'!$J$238:$J$451),0),
IF('TL02'!$B$3=L$3,SUMIF('TL02'!$C$10:$C$224,$C70,'TL02'!$J$10:$J$224),0),
IF('TL02'!$B$229=L$3,SUMIF('TL02'!$C$238:$C$451,$C70,'TL02'!$J$238:$J$451),0),
IF('TL03'!$B$3=L$3,SUMIF('TL03'!$C$10:$C$224,$C70,'TL03'!$J$10:$J$224),0),
IF('TL03'!$B$229=L$3,SUMIF('TL03'!$C$238:$C$451,$C70,'TL03'!$J$238:$J$451),0),
IF('TL04'!$B$3=L$3,SUMIF('TL04'!$C$10:$C$224,$C70,'TL04'!$J$10:$J$224),0),
IF('TL04'!$B$229=L$3,SUMIF('TL04'!$C$238:$C$451,$C70,'TL04'!$J$238:$J$451),0),
IF('TL05'!$B$3=L$3,SUMIF('TL05'!$C$10:$C$224,$C70,'TL05'!$J$10:$J$224),0),
IF('TL05'!$B$229=L$3,SUMIF('TL05'!$C$238:$C$451,$C70,'TL05'!$J$238:$J$451),0),
IF('TL06'!$B$3=L$3,SUMIF('TL06'!$C$10:$C$224,$C70,'TL06'!$J$10:$J$224),0),
IF('TL06'!$B$229=L$3,SUMIF('TL06'!$C$238:$C$451,$C70,'TL06'!$J$238:$J$451),0),
IF('TL07'!$B$3=L$3,SUMIF('TL07'!$C$10:$C$224,$C70,'TL07'!$J$10:$J$224),0),
IF('TL07'!$B$229=L$3,SUMIF('TL07'!$C$238:$C$451,$C70,'TL07'!$J$238:$J$451),0),
IF('TL08'!$B$3=L$3,SUMIF('TL08'!$C$10:$C$224,$C70,'TL08'!$J$10:$J$224),0),
IF('TL08'!$B$229=L$3,SUMIF('TL08'!$C$238:$C$451,$C70,'TL08'!$J$238:$J$451),0),
IF('TL09'!$B$3=L$3,SUMIF('TL09'!$C$10:$C$224,$C70,'TL09'!$J$10:$J$224),0),
IF('TL09'!$B$229=L$3,SUMIF('TL09'!$C$238:$C$451,$C70,'TL09'!$J$238:$J$451),0),
IF('TL10'!$B$3=L$3,SUMIF('TL10'!$C$10:$C$224,$C70,'TL10'!$J$10:$J$224),0),
IF('TL10'!$B$229=L$3,SUMIF('TL10'!$C$238:$C$451,$C70,'TL10'!$J$238:$J$451),0),
IF('TL11'!$B$3=L$3,SUMIF('TL11'!$C$10:$C$224,$C70,'TL11'!$J$10:$J$224),0),
IF('TL11'!$B$229=L$3,SUMIF('TL11'!$C$238:$C$451,$C70,'TL11'!$J$238:$J$451),0),
IF('TL12'!$B$3=L$3,SUMIF('TL12'!$C$10:$C$224,$C70,'TL12'!$J$10:$J$224),0),
IF('TL12'!$B$229=L$3,SUMIF('TL12'!$C$238:$C$451,$C70,'TL12'!$J$238:$J$451),0),
IF('TL13'!$B$3=L$3,SUMIF('TL13'!$C$10:$C$224,$C70,'TL13'!$J$10:$J$224),0),
IF('TL13'!$B$229=L$3,SUMIF('TL13'!$C$238:$C$451,$C70,'TL13'!$J$238:$J$451),0),
IF('TL14'!$B$3=L$3,SUMIF('TL14'!$C$10:$C$224,$C70,'TL14'!$J$10:$J$224),0),
IF('TL14'!$B$229=L$3,SUMIF('TL14'!$C$238:$C$451,$C70,'TL14'!$J$238:$J$451),0),
IF('TL15'!$B$3=L$3,SUMIF('TL15'!$C$10:$C$224,$C70,'TL15'!$J$10:$J$224),0),
IF('TL15'!$B$229=L$3,SUMIF('TL15'!$C$238:$C$451,$C70,'TL15'!$J$238:$J$451),0),
IF('TL16'!$B$3=L$3,SUMIF('TL16'!$C$10:$C$224,$C70,'TL16'!$J$10:$J$224),0),
IF('TL16'!$B$229=L$3,SUMIF('TL16'!$C$238:$C$451,$C70,'TL16'!$J$238:$J$451),0),
IF('TL17'!$B$3=L$3,SUMIF('TL17'!$C$10:$C$224,$C70,'TL17'!$J$10:$J$224),0),
IF('TL17'!$B$229=L$3,SUMIF('TL17'!$C$238:$C$451,$C70,'TL17'!$J$238:$J$451),0),
IF('TL18'!$B$3=L$3,SUMIF('TL18'!$C$10:$C$224,$C70,'TL18'!$J$10:$J$224),0),
IF('TL18'!$B$229=L$3,SUMIF('TL18'!$C$238:$C$451,$C70,'TL18'!$J$238:$J$451),0),
IF('TL19'!$B$3=L$3,SUMIF('TL19'!$C$10:$C$224,$C70,'TL19'!$J$10:$J$224),0),
IF('TL19'!$B$229=L$3,SUMIF('TL19'!$C$238:$C$451,$C70,'TL19'!$J$238:$J$451),0)
),0)</f>
        <v>0</v>
      </c>
      <c r="M70" s="9">
        <f>IFERROR(SUM(
IF('TL01'!$B$3=M$3,SUMIF('TL01'!$C$10:$C$224,$C70,'TL01'!$J$10:$J$224),0),
IF('TL01'!$B$229=M$3,SUMIF('TL01'!$C$238:$C$451,$C70,'TL01'!$J$238:$J$451),0),
IF('TL02'!$B$3=M$3,SUMIF('TL02'!$C$10:$C$224,$C70,'TL02'!$J$10:$J$224),0),
IF('TL02'!$B$229=M$3,SUMIF('TL02'!$C$238:$C$451,$C70,'TL02'!$J$238:$J$451),0),
IF('TL03'!$B$3=M$3,SUMIF('TL03'!$C$10:$C$224,$C70,'TL03'!$J$10:$J$224),0),
IF('TL03'!$B$229=M$3,SUMIF('TL03'!$C$238:$C$451,$C70,'TL03'!$J$238:$J$451),0),
IF('TL04'!$B$3=M$3,SUMIF('TL04'!$C$10:$C$224,$C70,'TL04'!$J$10:$J$224),0),
IF('TL04'!$B$229=M$3,SUMIF('TL04'!$C$238:$C$451,$C70,'TL04'!$J$238:$J$451),0),
IF('TL05'!$B$3=M$3,SUMIF('TL05'!$C$10:$C$224,$C70,'TL05'!$J$10:$J$224),0),
IF('TL05'!$B$229=M$3,SUMIF('TL05'!$C$238:$C$451,$C70,'TL05'!$J$238:$J$451),0),
IF('TL06'!$B$3=M$3,SUMIF('TL06'!$C$10:$C$224,$C70,'TL06'!$J$10:$J$224),0),
IF('TL06'!$B$229=M$3,SUMIF('TL06'!$C$238:$C$451,$C70,'TL06'!$J$238:$J$451),0),
IF('TL07'!$B$3=M$3,SUMIF('TL07'!$C$10:$C$224,$C70,'TL07'!$J$10:$J$224),0),
IF('TL07'!$B$229=M$3,SUMIF('TL07'!$C$238:$C$451,$C70,'TL07'!$J$238:$J$451),0),
IF('TL08'!$B$3=M$3,SUMIF('TL08'!$C$10:$C$224,$C70,'TL08'!$J$10:$J$224),0),
IF('TL08'!$B$229=M$3,SUMIF('TL08'!$C$238:$C$451,$C70,'TL08'!$J$238:$J$451),0),
IF('TL09'!$B$3=M$3,SUMIF('TL09'!$C$10:$C$224,$C70,'TL09'!$J$10:$J$224),0),
IF('TL09'!$B$229=M$3,SUMIF('TL09'!$C$238:$C$451,$C70,'TL09'!$J$238:$J$451),0),
IF('TL10'!$B$3=M$3,SUMIF('TL10'!$C$10:$C$224,$C70,'TL10'!$J$10:$J$224),0),
IF('TL10'!$B$229=M$3,SUMIF('TL10'!$C$238:$C$451,$C70,'TL10'!$J$238:$J$451),0),
IF('TL11'!$B$3=M$3,SUMIF('TL11'!$C$10:$C$224,$C70,'TL11'!$J$10:$J$224),0),
IF('TL11'!$B$229=M$3,SUMIF('TL11'!$C$238:$C$451,$C70,'TL11'!$J$238:$J$451),0),
IF('TL12'!$B$3=M$3,SUMIF('TL12'!$C$10:$C$224,$C70,'TL12'!$J$10:$J$224),0),
IF('TL12'!$B$229=M$3,SUMIF('TL12'!$C$238:$C$451,$C70,'TL12'!$J$238:$J$451),0),
IF('TL13'!$B$3=M$3,SUMIF('TL13'!$C$10:$C$224,$C70,'TL13'!$J$10:$J$224),0),
IF('TL13'!$B$229=M$3,SUMIF('TL13'!$C$238:$C$451,$C70,'TL13'!$J$238:$J$451),0),
IF('TL14'!$B$3=M$3,SUMIF('TL14'!$C$10:$C$224,$C70,'TL14'!$J$10:$J$224),0),
IF('TL14'!$B$229=M$3,SUMIF('TL14'!$C$238:$C$451,$C70,'TL14'!$J$238:$J$451),0),
IF('TL15'!$B$3=M$3,SUMIF('TL15'!$C$10:$C$224,$C70,'TL15'!$J$10:$J$224),0),
IF('TL15'!$B$229=M$3,SUMIF('TL15'!$C$238:$C$451,$C70,'TL15'!$J$238:$J$451),0),
IF('TL16'!$B$3=M$3,SUMIF('TL16'!$C$10:$C$224,$C70,'TL16'!$J$10:$J$224),0),
IF('TL16'!$B$229=M$3,SUMIF('TL16'!$C$238:$C$451,$C70,'TL16'!$J$238:$J$451),0),
IF('TL17'!$B$3=M$3,SUMIF('TL17'!$C$10:$C$224,$C70,'TL17'!$J$10:$J$224),0),
IF('TL17'!$B$229=M$3,SUMIF('TL17'!$C$238:$C$451,$C70,'TL17'!$J$238:$J$451),0),
IF('TL18'!$B$3=M$3,SUMIF('TL18'!$C$10:$C$224,$C70,'TL18'!$J$10:$J$224),0),
IF('TL18'!$B$229=M$3,SUMIF('TL18'!$C$238:$C$451,$C70,'TL18'!$J$238:$J$451),0),
IF('TL19'!$B$3=M$3,SUMIF('TL19'!$C$10:$C$224,$C70,'TL19'!$J$10:$J$224),0),
IF('TL19'!$B$229=M$3,SUMIF('TL19'!$C$238:$C$451,$C70,'TL19'!$J$238:$J$451),0)
),0)</f>
        <v>0</v>
      </c>
      <c r="N70" s="9">
        <f>IFERROR(SUM(
IF('TL01'!$B$3=N$3,SUMIF('TL01'!$C$10:$C$224,$C70,'TL01'!$J$10:$J$224),0),
IF('TL01'!$B$229=N$3,SUMIF('TL01'!$C$238:$C$451,$C70,'TL01'!$J$238:$J$451),0),
IF('TL02'!$B$3=N$3,SUMIF('TL02'!$C$10:$C$224,$C70,'TL02'!$J$10:$J$224),0),
IF('TL02'!$B$229=N$3,SUMIF('TL02'!$C$238:$C$451,$C70,'TL02'!$J$238:$J$451),0),
IF('TL03'!$B$3=N$3,SUMIF('TL03'!$C$10:$C$224,$C70,'TL03'!$J$10:$J$224),0),
IF('TL03'!$B$229=N$3,SUMIF('TL03'!$C$238:$C$451,$C70,'TL03'!$J$238:$J$451),0),
IF('TL04'!$B$3=N$3,SUMIF('TL04'!$C$10:$C$224,$C70,'TL04'!$J$10:$J$224),0),
IF('TL04'!$B$229=N$3,SUMIF('TL04'!$C$238:$C$451,$C70,'TL04'!$J$238:$J$451),0),
IF('TL05'!$B$3=N$3,SUMIF('TL05'!$C$10:$C$224,$C70,'TL05'!$J$10:$J$224),0),
IF('TL05'!$B$229=N$3,SUMIF('TL05'!$C$238:$C$451,$C70,'TL05'!$J$238:$J$451),0),
IF('TL06'!$B$3=N$3,SUMIF('TL06'!$C$10:$C$224,$C70,'TL06'!$J$10:$J$224),0),
IF('TL06'!$B$229=N$3,SUMIF('TL06'!$C$238:$C$451,$C70,'TL06'!$J$238:$J$451),0),
IF('TL07'!$B$3=N$3,SUMIF('TL07'!$C$10:$C$224,$C70,'TL07'!$J$10:$J$224),0),
IF('TL07'!$B$229=N$3,SUMIF('TL07'!$C$238:$C$451,$C70,'TL07'!$J$238:$J$451),0),
IF('TL08'!$B$3=N$3,SUMIF('TL08'!$C$10:$C$224,$C70,'TL08'!$J$10:$J$224),0),
IF('TL08'!$B$229=N$3,SUMIF('TL08'!$C$238:$C$451,$C70,'TL08'!$J$238:$J$451),0),
IF('TL09'!$B$3=N$3,SUMIF('TL09'!$C$10:$C$224,$C70,'TL09'!$J$10:$J$224),0),
IF('TL09'!$B$229=N$3,SUMIF('TL09'!$C$238:$C$451,$C70,'TL09'!$J$238:$J$451),0),
IF('TL10'!$B$3=N$3,SUMIF('TL10'!$C$10:$C$224,$C70,'TL10'!$J$10:$J$224),0),
IF('TL10'!$B$229=N$3,SUMIF('TL10'!$C$238:$C$451,$C70,'TL10'!$J$238:$J$451),0),
IF('TL11'!$B$3=N$3,SUMIF('TL11'!$C$10:$C$224,$C70,'TL11'!$J$10:$J$224),0),
IF('TL11'!$B$229=N$3,SUMIF('TL11'!$C$238:$C$451,$C70,'TL11'!$J$238:$J$451),0),
IF('TL12'!$B$3=N$3,SUMIF('TL12'!$C$10:$C$224,$C70,'TL12'!$J$10:$J$224),0),
IF('TL12'!$B$229=N$3,SUMIF('TL12'!$C$238:$C$451,$C70,'TL12'!$J$238:$J$451),0),
IF('TL13'!$B$3=N$3,SUMIF('TL13'!$C$10:$C$224,$C70,'TL13'!$J$10:$J$224),0),
IF('TL13'!$B$229=N$3,SUMIF('TL13'!$C$238:$C$451,$C70,'TL13'!$J$238:$J$451),0),
IF('TL14'!$B$3=N$3,SUMIF('TL14'!$C$10:$C$224,$C70,'TL14'!$J$10:$J$224),0),
IF('TL14'!$B$229=N$3,SUMIF('TL14'!$C$238:$C$451,$C70,'TL14'!$J$238:$J$451),0),
IF('TL15'!$B$3=N$3,SUMIF('TL15'!$C$10:$C$224,$C70,'TL15'!$J$10:$J$224),0),
IF('TL15'!$B$229=N$3,SUMIF('TL15'!$C$238:$C$451,$C70,'TL15'!$J$238:$J$451),0),
IF('TL16'!$B$3=N$3,SUMIF('TL16'!$C$10:$C$224,$C70,'TL16'!$J$10:$J$224),0),
IF('TL16'!$B$229=N$3,SUMIF('TL16'!$C$238:$C$451,$C70,'TL16'!$J$238:$J$451),0),
IF('TL17'!$B$3=N$3,SUMIF('TL17'!$C$10:$C$224,$C70,'TL17'!$J$10:$J$224),0),
IF('TL17'!$B$229=N$3,SUMIF('TL17'!$C$238:$C$451,$C70,'TL17'!$J$238:$J$451),0),
IF('TL18'!$B$3=N$3,SUMIF('TL18'!$C$10:$C$224,$C70,'TL18'!$J$10:$J$224),0),
IF('TL18'!$B$229=N$3,SUMIF('TL18'!$C$238:$C$451,$C70,'TL18'!$J$238:$J$451),0),
IF('TL19'!$B$3=N$3,SUMIF('TL19'!$C$10:$C$224,$C70,'TL19'!$J$10:$J$224),0),
IF('TL19'!$B$229=N$3,SUMIF('TL19'!$C$238:$C$451,$C70,'TL19'!$J$238:$J$451),0)
),0)</f>
        <v>0</v>
      </c>
      <c r="O70" s="9">
        <f>IFERROR(SUM(
IF('TL01'!$B$3=O$3,SUMIF('TL01'!$C$10:$C$224,$C70,'TL01'!$J$10:$J$224),0),
IF('TL01'!$B$229=O$3,SUMIF('TL01'!$C$238:$C$451,$C70,'TL01'!$J$238:$J$451),0),
IF('TL02'!$B$3=O$3,SUMIF('TL02'!$C$10:$C$224,$C70,'TL02'!$J$10:$J$224),0),
IF('TL02'!$B$229=O$3,SUMIF('TL02'!$C$238:$C$451,$C70,'TL02'!$J$238:$J$451),0),
IF('TL03'!$B$3=O$3,SUMIF('TL03'!$C$10:$C$224,$C70,'TL03'!$J$10:$J$224),0),
IF('TL03'!$B$229=O$3,SUMIF('TL03'!$C$238:$C$451,$C70,'TL03'!$J$238:$J$451),0),
IF('TL04'!$B$3=O$3,SUMIF('TL04'!$C$10:$C$224,$C70,'TL04'!$J$10:$J$224),0),
IF('TL04'!$B$229=O$3,SUMIF('TL04'!$C$238:$C$451,$C70,'TL04'!$J$238:$J$451),0),
IF('TL05'!$B$3=O$3,SUMIF('TL05'!$C$10:$C$224,$C70,'TL05'!$J$10:$J$224),0),
IF('TL05'!$B$229=O$3,SUMIF('TL05'!$C$238:$C$451,$C70,'TL05'!$J$238:$J$451),0),
IF('TL06'!$B$3=O$3,SUMIF('TL06'!$C$10:$C$224,$C70,'TL06'!$J$10:$J$224),0),
IF('TL06'!$B$229=O$3,SUMIF('TL06'!$C$238:$C$451,$C70,'TL06'!$J$238:$J$451),0),
IF('TL07'!$B$3=O$3,SUMIF('TL07'!$C$10:$C$224,$C70,'TL07'!$J$10:$J$224),0),
IF('TL07'!$B$229=O$3,SUMIF('TL07'!$C$238:$C$451,$C70,'TL07'!$J$238:$J$451),0),
IF('TL08'!$B$3=O$3,SUMIF('TL08'!$C$10:$C$224,$C70,'TL08'!$J$10:$J$224),0),
IF('TL08'!$B$229=O$3,SUMIF('TL08'!$C$238:$C$451,$C70,'TL08'!$J$238:$J$451),0),
IF('TL09'!$B$3=O$3,SUMIF('TL09'!$C$10:$C$224,$C70,'TL09'!$J$10:$J$224),0),
IF('TL09'!$B$229=O$3,SUMIF('TL09'!$C$238:$C$451,$C70,'TL09'!$J$238:$J$451),0),
IF('TL10'!$B$3=O$3,SUMIF('TL10'!$C$10:$C$224,$C70,'TL10'!$J$10:$J$224),0),
IF('TL10'!$B$229=O$3,SUMIF('TL10'!$C$238:$C$451,$C70,'TL10'!$J$238:$J$451),0),
IF('TL11'!$B$3=O$3,SUMIF('TL11'!$C$10:$C$224,$C70,'TL11'!$J$10:$J$224),0),
IF('TL11'!$B$229=O$3,SUMIF('TL11'!$C$238:$C$451,$C70,'TL11'!$J$238:$J$451),0),
IF('TL12'!$B$3=O$3,SUMIF('TL12'!$C$10:$C$224,$C70,'TL12'!$J$10:$J$224),0),
IF('TL12'!$B$229=O$3,SUMIF('TL12'!$C$238:$C$451,$C70,'TL12'!$J$238:$J$451),0),
IF('TL13'!$B$3=O$3,SUMIF('TL13'!$C$10:$C$224,$C70,'TL13'!$J$10:$J$224),0),
IF('TL13'!$B$229=O$3,SUMIF('TL13'!$C$238:$C$451,$C70,'TL13'!$J$238:$J$451),0),
IF('TL14'!$B$3=O$3,SUMIF('TL14'!$C$10:$C$224,$C70,'TL14'!$J$10:$J$224),0),
IF('TL14'!$B$229=O$3,SUMIF('TL14'!$C$238:$C$451,$C70,'TL14'!$J$238:$J$451),0),
IF('TL15'!$B$3=O$3,SUMIF('TL15'!$C$10:$C$224,$C70,'TL15'!$J$10:$J$224),0),
IF('TL15'!$B$229=O$3,SUMIF('TL15'!$C$238:$C$451,$C70,'TL15'!$J$238:$J$451),0),
IF('TL16'!$B$3=O$3,SUMIF('TL16'!$C$10:$C$224,$C70,'TL16'!$J$10:$J$224),0),
IF('TL16'!$B$229=O$3,SUMIF('TL16'!$C$238:$C$451,$C70,'TL16'!$J$238:$J$451),0),
IF('TL17'!$B$3=O$3,SUMIF('TL17'!$C$10:$C$224,$C70,'TL17'!$J$10:$J$224),0),
IF('TL17'!$B$229=O$3,SUMIF('TL17'!$C$238:$C$451,$C70,'TL17'!$J$238:$J$451),0),
IF('TL18'!$B$3=O$3,SUMIF('TL18'!$C$10:$C$224,$C70,'TL18'!$J$10:$J$224),0),
IF('TL18'!$B$229=O$3,SUMIF('TL18'!$C$238:$C$451,$C70,'TL18'!$J$238:$J$451),0),
IF('TL19'!$B$3=O$3,SUMIF('TL19'!$C$10:$C$224,$C70,'TL19'!$J$10:$J$224),0),
IF('TL19'!$B$229=O$3,SUMIF('TL19'!$C$238:$C$451,$C70,'TL19'!$J$238:$J$451),0)
),0)</f>
        <v>0</v>
      </c>
      <c r="P70" s="9">
        <f>IFERROR(SUM(
IF('TL01'!$B$3=P$3,SUMIF('TL01'!$C$10:$C$224,$C70,'TL01'!$J$10:$J$224),0),
IF('TL01'!$B$229=P$3,SUMIF('TL01'!$C$238:$C$451,$C70,'TL01'!$J$238:$J$451),0),
IF('TL02'!$B$3=P$3,SUMIF('TL02'!$C$10:$C$224,$C70,'TL02'!$J$10:$J$224),0),
IF('TL02'!$B$229=P$3,SUMIF('TL02'!$C$238:$C$451,$C70,'TL02'!$J$238:$J$451),0),
IF('TL03'!$B$3=P$3,SUMIF('TL03'!$C$10:$C$224,$C70,'TL03'!$J$10:$J$224),0),
IF('TL03'!$B$229=P$3,SUMIF('TL03'!$C$238:$C$451,$C70,'TL03'!$J$238:$J$451),0),
IF('TL04'!$B$3=P$3,SUMIF('TL04'!$C$10:$C$224,$C70,'TL04'!$J$10:$J$224),0),
IF('TL04'!$B$229=P$3,SUMIF('TL04'!$C$238:$C$451,$C70,'TL04'!$J$238:$J$451),0),
IF('TL05'!$B$3=P$3,SUMIF('TL05'!$C$10:$C$224,$C70,'TL05'!$J$10:$J$224),0),
IF('TL05'!$B$229=P$3,SUMIF('TL05'!$C$238:$C$451,$C70,'TL05'!$J$238:$J$451),0),
IF('TL06'!$B$3=P$3,SUMIF('TL06'!$C$10:$C$224,$C70,'TL06'!$J$10:$J$224),0),
IF('TL06'!$B$229=P$3,SUMIF('TL06'!$C$238:$C$451,$C70,'TL06'!$J$238:$J$451),0),
IF('TL07'!$B$3=P$3,SUMIF('TL07'!$C$10:$C$224,$C70,'TL07'!$J$10:$J$224),0),
IF('TL07'!$B$229=P$3,SUMIF('TL07'!$C$238:$C$451,$C70,'TL07'!$J$238:$J$451),0),
IF('TL08'!$B$3=P$3,SUMIF('TL08'!$C$10:$C$224,$C70,'TL08'!$J$10:$J$224),0),
IF('TL08'!$B$229=P$3,SUMIF('TL08'!$C$238:$C$451,$C70,'TL08'!$J$238:$J$451),0),
IF('TL09'!$B$3=P$3,SUMIF('TL09'!$C$10:$C$224,$C70,'TL09'!$J$10:$J$224),0),
IF('TL09'!$B$229=P$3,SUMIF('TL09'!$C$238:$C$451,$C70,'TL09'!$J$238:$J$451),0),
IF('TL10'!$B$3=P$3,SUMIF('TL10'!$C$10:$C$224,$C70,'TL10'!$J$10:$J$224),0),
IF('TL10'!$B$229=P$3,SUMIF('TL10'!$C$238:$C$451,$C70,'TL10'!$J$238:$J$451),0),
IF('TL11'!$B$3=P$3,SUMIF('TL11'!$C$10:$C$224,$C70,'TL11'!$J$10:$J$224),0),
IF('TL11'!$B$229=P$3,SUMIF('TL11'!$C$238:$C$451,$C70,'TL11'!$J$238:$J$451),0),
IF('TL12'!$B$3=P$3,SUMIF('TL12'!$C$10:$C$224,$C70,'TL12'!$J$10:$J$224),0),
IF('TL12'!$B$229=P$3,SUMIF('TL12'!$C$238:$C$451,$C70,'TL12'!$J$238:$J$451),0),
IF('TL13'!$B$3=P$3,SUMIF('TL13'!$C$10:$C$224,$C70,'TL13'!$J$10:$J$224),0),
IF('TL13'!$B$229=P$3,SUMIF('TL13'!$C$238:$C$451,$C70,'TL13'!$J$238:$J$451),0),
IF('TL14'!$B$3=P$3,SUMIF('TL14'!$C$10:$C$224,$C70,'TL14'!$J$10:$J$224),0),
IF('TL14'!$B$229=P$3,SUMIF('TL14'!$C$238:$C$451,$C70,'TL14'!$J$238:$J$451),0),
IF('TL15'!$B$3=P$3,SUMIF('TL15'!$C$10:$C$224,$C70,'TL15'!$J$10:$J$224),0),
IF('TL15'!$B$229=P$3,SUMIF('TL15'!$C$238:$C$451,$C70,'TL15'!$J$238:$J$451),0),
IF('TL16'!$B$3=P$3,SUMIF('TL16'!$C$10:$C$224,$C70,'TL16'!$J$10:$J$224),0),
IF('TL16'!$B$229=P$3,SUMIF('TL16'!$C$238:$C$451,$C70,'TL16'!$J$238:$J$451),0),
IF('TL17'!$B$3=P$3,SUMIF('TL17'!$C$10:$C$224,$C70,'TL17'!$J$10:$J$224),0),
IF('TL17'!$B$229=P$3,SUMIF('TL17'!$C$238:$C$451,$C70,'TL17'!$J$238:$J$451),0),
IF('TL18'!$B$3=P$3,SUMIF('TL18'!$C$10:$C$224,$C70,'TL18'!$J$10:$J$224),0),
IF('TL18'!$B$229=P$3,SUMIF('TL18'!$C$238:$C$451,$C70,'TL18'!$J$238:$J$451),0),
IF('TL19'!$B$3=P$3,SUMIF('TL19'!$C$10:$C$224,$C70,'TL19'!$J$10:$J$224),0),
IF('TL19'!$B$229=P$3,SUMIF('TL19'!$C$238:$C$451,$C70,'TL19'!$J$238:$J$451),0)
),0)</f>
        <v>0</v>
      </c>
      <c r="Q70" s="9">
        <f>IFERROR(SUM(
IF('TL01'!$B$3=Q$3,SUMIF('TL01'!$C$10:$C$224,$C70,'TL01'!$J$10:$J$224),0),
IF('TL01'!$B$229=Q$3,SUMIF('TL01'!$C$238:$C$451,$C70,'TL01'!$J$238:$J$451),0),
IF('TL02'!$B$3=Q$3,SUMIF('TL02'!$C$10:$C$224,$C70,'TL02'!$J$10:$J$224),0),
IF('TL02'!$B$229=Q$3,SUMIF('TL02'!$C$238:$C$451,$C70,'TL02'!$J$238:$J$451),0),
IF('TL03'!$B$3=Q$3,SUMIF('TL03'!$C$10:$C$224,$C70,'TL03'!$J$10:$J$224),0),
IF('TL03'!$B$229=Q$3,SUMIF('TL03'!$C$238:$C$451,$C70,'TL03'!$J$238:$J$451),0),
IF('TL04'!$B$3=Q$3,SUMIF('TL04'!$C$10:$C$224,$C70,'TL04'!$J$10:$J$224),0),
IF('TL04'!$B$229=Q$3,SUMIF('TL04'!$C$238:$C$451,$C70,'TL04'!$J$238:$J$451),0),
IF('TL05'!$B$3=Q$3,SUMIF('TL05'!$C$10:$C$224,$C70,'TL05'!$J$10:$J$224),0),
IF('TL05'!$B$229=Q$3,SUMIF('TL05'!$C$238:$C$451,$C70,'TL05'!$J$238:$J$451),0),
IF('TL06'!$B$3=Q$3,SUMIF('TL06'!$C$10:$C$224,$C70,'TL06'!$J$10:$J$224),0),
IF('TL06'!$B$229=Q$3,SUMIF('TL06'!$C$238:$C$451,$C70,'TL06'!$J$238:$J$451),0),
IF('TL07'!$B$3=Q$3,SUMIF('TL07'!$C$10:$C$224,$C70,'TL07'!$J$10:$J$224),0),
IF('TL07'!$B$229=Q$3,SUMIF('TL07'!$C$238:$C$451,$C70,'TL07'!$J$238:$J$451),0),
IF('TL08'!$B$3=Q$3,SUMIF('TL08'!$C$10:$C$224,$C70,'TL08'!$J$10:$J$224),0),
IF('TL08'!$B$229=Q$3,SUMIF('TL08'!$C$238:$C$451,$C70,'TL08'!$J$238:$J$451),0),
IF('TL09'!$B$3=Q$3,SUMIF('TL09'!$C$10:$C$224,$C70,'TL09'!$J$10:$J$224),0),
IF('TL09'!$B$229=Q$3,SUMIF('TL09'!$C$238:$C$451,$C70,'TL09'!$J$238:$J$451),0),
IF('TL10'!$B$3=Q$3,SUMIF('TL10'!$C$10:$C$224,$C70,'TL10'!$J$10:$J$224),0),
IF('TL10'!$B$229=Q$3,SUMIF('TL10'!$C$238:$C$451,$C70,'TL10'!$J$238:$J$451),0),
IF('TL11'!$B$3=Q$3,SUMIF('TL11'!$C$10:$C$224,$C70,'TL11'!$J$10:$J$224),0),
IF('TL11'!$B$229=Q$3,SUMIF('TL11'!$C$238:$C$451,$C70,'TL11'!$J$238:$J$451),0),
IF('TL12'!$B$3=Q$3,SUMIF('TL12'!$C$10:$C$224,$C70,'TL12'!$J$10:$J$224),0),
IF('TL12'!$B$229=Q$3,SUMIF('TL12'!$C$238:$C$451,$C70,'TL12'!$J$238:$J$451),0),
IF('TL13'!$B$3=Q$3,SUMIF('TL13'!$C$10:$C$224,$C70,'TL13'!$J$10:$J$224),0),
IF('TL13'!$B$229=Q$3,SUMIF('TL13'!$C$238:$C$451,$C70,'TL13'!$J$238:$J$451),0),
IF('TL14'!$B$3=Q$3,SUMIF('TL14'!$C$10:$C$224,$C70,'TL14'!$J$10:$J$224),0),
IF('TL14'!$B$229=Q$3,SUMIF('TL14'!$C$238:$C$451,$C70,'TL14'!$J$238:$J$451),0),
IF('TL15'!$B$3=Q$3,SUMIF('TL15'!$C$10:$C$224,$C70,'TL15'!$J$10:$J$224),0),
IF('TL15'!$B$229=Q$3,SUMIF('TL15'!$C$238:$C$451,$C70,'TL15'!$J$238:$J$451),0),
IF('TL16'!$B$3=Q$3,SUMIF('TL16'!$C$10:$C$224,$C70,'TL16'!$J$10:$J$224),0),
IF('TL16'!$B$229=Q$3,SUMIF('TL16'!$C$238:$C$451,$C70,'TL16'!$J$238:$J$451),0),
IF('TL17'!$B$3=Q$3,SUMIF('TL17'!$C$10:$C$224,$C70,'TL17'!$J$10:$J$224),0),
IF('TL17'!$B$229=Q$3,SUMIF('TL17'!$C$238:$C$451,$C70,'TL17'!$J$238:$J$451),0),
IF('TL18'!$B$3=Q$3,SUMIF('TL18'!$C$10:$C$224,$C70,'TL18'!$J$10:$J$224),0),
IF('TL18'!$B$229=Q$3,SUMIF('TL18'!$C$238:$C$451,$C70,'TL18'!$J$238:$J$451),0),
IF('TL19'!$B$3=Q$3,SUMIF('TL19'!$C$10:$C$224,$C70,'TL19'!$J$10:$J$224),0),
IF('TL19'!$B$229=Q$3,SUMIF('TL19'!$C$238:$C$451,$C70,'TL19'!$J$238:$J$451),0)
),0)</f>
        <v>0</v>
      </c>
      <c r="R70" s="9">
        <f>IFERROR(
SUM(
SUMIF('TL01'!C:C,C70,'TL01'!J:J),
SUMIF('TL02'!C:C,C70,'TL02'!J:J),
SUMIF('TL03'!C:C,C70,'TL03'!J:J),
SUMIF('TL04'!C:C,C70,'TL04'!J:J),
SUMIF('TL05'!C:C,C70,'TL05'!J:J),
SUMIF('TL06'!C:C,C70,'TL06'!J:J),
SUMIF('TL07'!C:C,C70,'TL07'!J:J),
SUMIF('TL08'!C:C,C70,'TL08'!J:J),
SUMIF('TL09'!C:C,C70,'TL09'!J:J),
SUMIF('TL10'!C:C,C70,'TL10'!J:J),
SUMIF('TL11'!C:C,C70,'TL11'!J:J),
SUMIF('TL12'!C:C,C70,'TL12'!J:J),
SUMIF('TL13'!C:C,C70,'TL13'!J:J),
SUMIF('TL14'!C:C,C70,'TL14'!J:J),
SUMIF('TL15'!C:C,C70,'TL15'!J:J),
SUMIF('TL16'!C:C,C70,'TL16'!J:J),
SUMIF('TL17'!C:C,C70,'TL17'!J:J),
SUMIF('TL18'!C:C,C70,'TL18'!J:J),SUMIF('TL19'!C:C,C70,'TL19'!J:J))
,0)</f>
        <v>0</v>
      </c>
      <c r="S70" s="17">
        <f>IFERROR(__xludf.DUMMYFUNCTION("IFERROR(VLOOKUP(C70,
IMPORTRANGE(""1wULbzX32WdYsx-lj2U3uUNBBe2INVIRDtcK0d-Dvl90"",
""26-27!C:G""),
5,
FALSE),
"""")"),36.68256000000001)</f>
        <v>36.68256</v>
      </c>
      <c r="T70" s="9"/>
      <c r="U70" s="92">
        <f t="shared" si="2"/>
        <v>0</v>
      </c>
      <c r="V70" s="93">
        <f t="shared" si="3"/>
        <v>0</v>
      </c>
    </row>
    <row r="71" ht="15.75" hidden="1" customHeight="1">
      <c r="A71" s="111" t="s">
        <v>516</v>
      </c>
      <c r="B71" s="112" t="s">
        <v>0</v>
      </c>
      <c r="C71" s="113" t="s">
        <v>520</v>
      </c>
      <c r="D71" s="113" t="s">
        <v>521</v>
      </c>
      <c r="E71" s="113">
        <v>500.0</v>
      </c>
      <c r="F71" s="4" t="s">
        <v>343</v>
      </c>
      <c r="G71" s="90" t="str">
        <f t="shared" si="4"/>
        <v>📄 Ver bula</v>
      </c>
      <c r="H71" s="9">
        <f>IFERROR(__xludf.DUMMYFUNCTION("IFERROR(VLOOKUP(C71,
IMPORTRANGE(""1wULbzX32WdYsx-lj2U3uUNBBe2INVIRDtcK0d-Dvl90"",
""26-27!C:K""),
8,
FALSE),
"""")"),1.0)</f>
        <v>1</v>
      </c>
      <c r="I71" s="114" t="s">
        <v>361</v>
      </c>
      <c r="J71" s="9">
        <f>IFERROR(SUM(
IF('TL01'!$B$3=J$3,SUMIF('TL01'!$C$10:$C$224,$C71,'TL01'!$J$10:$J$224),0),
IF('TL01'!$B$229=J$3,SUMIF('TL01'!$C$238:$C$451,$C71,'TL01'!$J$238:$J$451),0),
IF('TL02'!$B$3=J$3,SUMIF('TL02'!$C$10:$C$224,$C71,'TL02'!$J$10:$J$224),0),
IF('TL02'!$B$229=J$3,SUMIF('TL02'!$C$238:$C$451,$C71,'TL02'!$J$238:$J$451),0),
IF('TL03'!$B$3=J$3,SUMIF('TL03'!$C$10:$C$224,$C71,'TL03'!$J$10:$J$224),0),
IF('TL03'!$B$229=J$3,SUMIF('TL03'!$C$238:$C$451,$C71,'TL03'!$J$238:$J$451),0),
IF('TL04'!$B$3=J$3,SUMIF('TL04'!$C$10:$C$224,$C71,'TL04'!$J$10:$J$224),0),
IF('TL04'!$B$229=J$3,SUMIF('TL04'!$C$238:$C$451,$C71,'TL04'!$J$238:$J$451),0),
IF('TL05'!$B$3=J$3,SUMIF('TL05'!$C$10:$C$224,$C71,'TL05'!$J$10:$J$224),0),
IF('TL05'!$B$229=J$3,SUMIF('TL05'!$C$238:$C$451,$C71,'TL05'!$J$238:$J$451),0),
IF('TL06'!$B$3=J$3,SUMIF('TL06'!$C$10:$C$224,$C71,'TL06'!$J$10:$J$224),0),
IF('TL06'!$B$229=J$3,SUMIF('TL06'!$C$238:$C$451,$C71,'TL06'!$J$238:$J$451),0),
IF('TL07'!$B$3=J$3,SUMIF('TL07'!$C$10:$C$224,$C71,'TL07'!$J$10:$J$224),0),
IF('TL07'!$B$229=J$3,SUMIF('TL07'!$C$238:$C$451,$C71,'TL07'!$J$238:$J$451),0),
IF('TL08'!$B$3=J$3,SUMIF('TL08'!$C$10:$C$224,$C71,'TL08'!$J$10:$J$224),0),
IF('TL08'!$B$229=J$3,SUMIF('TL08'!$C$238:$C$451,$C71,'TL08'!$J$238:$J$451),0),
IF('TL09'!$B$3=J$3,SUMIF('TL09'!$C$10:$C$224,$C71,'TL09'!$J$10:$J$224),0),
IF('TL09'!$B$229=J$3,SUMIF('TL09'!$C$238:$C$451,$C71,'TL09'!$J$238:$J$451),0),
IF('TL10'!$B$3=J$3,SUMIF('TL10'!$C$10:$C$224,$C71,'TL10'!$J$10:$J$224),0),
IF('TL10'!$B$229=J$3,SUMIF('TL10'!$C$238:$C$451,$C71,'TL10'!$J$238:$J$451),0),
IF('TL11'!$B$3=J$3,SUMIF('TL11'!$C$10:$C$224,$C71,'TL11'!$J$10:$J$224),0),
IF('TL11'!$B$229=J$3,SUMIF('TL11'!$C$238:$C$451,$C71,'TL11'!$J$238:$J$451),0),
IF('TL12'!$B$3=J$3,SUMIF('TL12'!$C$10:$C$224,$C71,'TL12'!$J$10:$J$224),0),
IF('TL12'!$B$229=J$3,SUMIF('TL12'!$C$238:$C$451,$C71,'TL12'!$J$238:$J$451),0),
IF('TL13'!$B$3=J$3,SUMIF('TL13'!$C$10:$C$224,$C71,'TL13'!$J$10:$J$224),0),
IF('TL13'!$B$229=J$3,SUMIF('TL13'!$C$238:$C$451,$C71,'TL13'!$J$238:$J$451),0),
IF('TL14'!$B$3=J$3,SUMIF('TL14'!$C$10:$C$224,$C71,'TL14'!$J$10:$J$224),0),
IF('TL14'!$B$229=J$3,SUMIF('TL14'!$C$238:$C$451,$C71,'TL14'!$J$238:$J$451),0),
IF('TL15'!$B$3=J$3,SUMIF('TL15'!$C$10:$C$224,$C71,'TL15'!$J$10:$J$224),0),
IF('TL15'!$B$229=J$3,SUMIF('TL15'!$C$238:$C$451,$C71,'TL15'!$J$238:$J$451),0),
IF('TL16'!$B$3=J$3,SUMIF('TL16'!$C$10:$C$224,$C71,'TL16'!$J$10:$J$224),0),
IF('TL16'!$B$229=J$3,SUMIF('TL16'!$C$238:$C$451,$C71,'TL16'!$J$238:$J$451),0),
IF('TL17'!$B$3=J$3,SUMIF('TL17'!$C$10:$C$224,$C71,'TL17'!$J$10:$J$224),0),
IF('TL17'!$B$229=J$3,SUMIF('TL17'!$C$238:$C$451,$C71,'TL17'!$J$238:$J$451),0),
IF('TL18'!$B$3=J$3,SUMIF('TL18'!$C$10:$C$224,$C71,'TL18'!$J$10:$J$224),0),
IF('TL18'!$B$229=J$3,SUMIF('TL18'!$C$238:$C$451,$C71,'TL18'!$J$238:$J$451),0),
IF('TL19'!$B$3=J$3,SUMIF('TL19'!$C$10:$C$224,$C71,'TL19'!$J$10:$J$224),0),
IF('TL19'!$B$229=J$3,SUMIF('TL19'!$C$238:$C$451,$C71,'TL19'!$J$238:$J$451),0)
),0)</f>
        <v>0</v>
      </c>
      <c r="K71" s="9">
        <f>IFERROR(SUM(
IF('TL01'!$B$3=K$3,SUMIF('TL01'!$C$10:$C$224,$C71,'TL01'!$J$10:$J$224),0),
IF('TL01'!$B$229=K$3,SUMIF('TL01'!$C$238:$C$451,$C71,'TL01'!$J$238:$J$451),0),
IF('TL02'!$B$3=K$3,SUMIF('TL02'!$C$10:$C$224,$C71,'TL02'!$J$10:$J$224),0),
IF('TL02'!$B$229=K$3,SUMIF('TL02'!$C$238:$C$451,$C71,'TL02'!$J$238:$J$451),0),
IF('TL03'!$B$3=K$3,SUMIF('TL03'!$C$10:$C$224,$C71,'TL03'!$J$10:$J$224),0),
IF('TL03'!$B$229=K$3,SUMIF('TL03'!$C$238:$C$451,$C71,'TL03'!$J$238:$J$451),0),
IF('TL04'!$B$3=K$3,SUMIF('TL04'!$C$10:$C$224,$C71,'TL04'!$J$10:$J$224),0),
IF('TL04'!$B$229=K$3,SUMIF('TL04'!$C$238:$C$451,$C71,'TL04'!$J$238:$J$451),0),
IF('TL05'!$B$3=K$3,SUMIF('TL05'!$C$10:$C$224,$C71,'TL05'!$J$10:$J$224),0),
IF('TL05'!$B$229=K$3,SUMIF('TL05'!$C$238:$C$451,$C71,'TL05'!$J$238:$J$451),0),
IF('TL06'!$B$3=K$3,SUMIF('TL06'!$C$10:$C$224,$C71,'TL06'!$J$10:$J$224),0),
IF('TL06'!$B$229=K$3,SUMIF('TL06'!$C$238:$C$451,$C71,'TL06'!$J$238:$J$451),0),
IF('TL07'!$B$3=K$3,SUMIF('TL07'!$C$10:$C$224,$C71,'TL07'!$J$10:$J$224),0),
IF('TL07'!$B$229=K$3,SUMIF('TL07'!$C$238:$C$451,$C71,'TL07'!$J$238:$J$451),0),
IF('TL08'!$B$3=K$3,SUMIF('TL08'!$C$10:$C$224,$C71,'TL08'!$J$10:$J$224),0),
IF('TL08'!$B$229=K$3,SUMIF('TL08'!$C$238:$C$451,$C71,'TL08'!$J$238:$J$451),0),
IF('TL09'!$B$3=K$3,SUMIF('TL09'!$C$10:$C$224,$C71,'TL09'!$J$10:$J$224),0),
IF('TL09'!$B$229=K$3,SUMIF('TL09'!$C$238:$C$451,$C71,'TL09'!$J$238:$J$451),0),
IF('TL10'!$B$3=K$3,SUMIF('TL10'!$C$10:$C$224,$C71,'TL10'!$J$10:$J$224),0),
IF('TL10'!$B$229=K$3,SUMIF('TL10'!$C$238:$C$451,$C71,'TL10'!$J$238:$J$451),0),
IF('TL11'!$B$3=K$3,SUMIF('TL11'!$C$10:$C$224,$C71,'TL11'!$J$10:$J$224),0),
IF('TL11'!$B$229=K$3,SUMIF('TL11'!$C$238:$C$451,$C71,'TL11'!$J$238:$J$451),0),
IF('TL12'!$B$3=K$3,SUMIF('TL12'!$C$10:$C$224,$C71,'TL12'!$J$10:$J$224),0),
IF('TL12'!$B$229=K$3,SUMIF('TL12'!$C$238:$C$451,$C71,'TL12'!$J$238:$J$451),0),
IF('TL13'!$B$3=K$3,SUMIF('TL13'!$C$10:$C$224,$C71,'TL13'!$J$10:$J$224),0),
IF('TL13'!$B$229=K$3,SUMIF('TL13'!$C$238:$C$451,$C71,'TL13'!$J$238:$J$451),0),
IF('TL14'!$B$3=K$3,SUMIF('TL14'!$C$10:$C$224,$C71,'TL14'!$J$10:$J$224),0),
IF('TL14'!$B$229=K$3,SUMIF('TL14'!$C$238:$C$451,$C71,'TL14'!$J$238:$J$451),0),
IF('TL15'!$B$3=K$3,SUMIF('TL15'!$C$10:$C$224,$C71,'TL15'!$J$10:$J$224),0),
IF('TL15'!$B$229=K$3,SUMIF('TL15'!$C$238:$C$451,$C71,'TL15'!$J$238:$J$451),0),
IF('TL16'!$B$3=K$3,SUMIF('TL16'!$C$10:$C$224,$C71,'TL16'!$J$10:$J$224),0),
IF('TL16'!$B$229=K$3,SUMIF('TL16'!$C$238:$C$451,$C71,'TL16'!$J$238:$J$451),0),
IF('TL17'!$B$3=K$3,SUMIF('TL17'!$C$10:$C$224,$C71,'TL17'!$J$10:$J$224),0),
IF('TL17'!$B$229=K$3,SUMIF('TL17'!$C$238:$C$451,$C71,'TL17'!$J$238:$J$451),0),
IF('TL18'!$B$3=K$3,SUMIF('TL18'!$C$10:$C$224,$C71,'TL18'!$J$10:$J$224),0),
IF('TL18'!$B$229=K$3,SUMIF('TL18'!$C$238:$C$451,$C71,'TL18'!$J$238:$J$451),0),
IF('TL19'!$B$3=K$3,SUMIF('TL19'!$C$10:$C$224,$C71,'TL19'!$J$10:$J$224),0),
IF('TL19'!$B$229=K$3,SUMIF('TL19'!$C$238:$C$451,$C71,'TL19'!$J$238:$J$451),0)
),0)</f>
        <v>0</v>
      </c>
      <c r="L71" s="9">
        <f>IFERROR(SUM(
IF('TL01'!$B$3=L$3,SUMIF('TL01'!$C$10:$C$224,$C71,'TL01'!$J$10:$J$224),0),
IF('TL01'!$B$229=L$3,SUMIF('TL01'!$C$238:$C$451,$C71,'TL01'!$J$238:$J$451),0),
IF('TL02'!$B$3=L$3,SUMIF('TL02'!$C$10:$C$224,$C71,'TL02'!$J$10:$J$224),0),
IF('TL02'!$B$229=L$3,SUMIF('TL02'!$C$238:$C$451,$C71,'TL02'!$J$238:$J$451),0),
IF('TL03'!$B$3=L$3,SUMIF('TL03'!$C$10:$C$224,$C71,'TL03'!$J$10:$J$224),0),
IF('TL03'!$B$229=L$3,SUMIF('TL03'!$C$238:$C$451,$C71,'TL03'!$J$238:$J$451),0),
IF('TL04'!$B$3=L$3,SUMIF('TL04'!$C$10:$C$224,$C71,'TL04'!$J$10:$J$224),0),
IF('TL04'!$B$229=L$3,SUMIF('TL04'!$C$238:$C$451,$C71,'TL04'!$J$238:$J$451),0),
IF('TL05'!$B$3=L$3,SUMIF('TL05'!$C$10:$C$224,$C71,'TL05'!$J$10:$J$224),0),
IF('TL05'!$B$229=L$3,SUMIF('TL05'!$C$238:$C$451,$C71,'TL05'!$J$238:$J$451),0),
IF('TL06'!$B$3=L$3,SUMIF('TL06'!$C$10:$C$224,$C71,'TL06'!$J$10:$J$224),0),
IF('TL06'!$B$229=L$3,SUMIF('TL06'!$C$238:$C$451,$C71,'TL06'!$J$238:$J$451),0),
IF('TL07'!$B$3=L$3,SUMIF('TL07'!$C$10:$C$224,$C71,'TL07'!$J$10:$J$224),0),
IF('TL07'!$B$229=L$3,SUMIF('TL07'!$C$238:$C$451,$C71,'TL07'!$J$238:$J$451),0),
IF('TL08'!$B$3=L$3,SUMIF('TL08'!$C$10:$C$224,$C71,'TL08'!$J$10:$J$224),0),
IF('TL08'!$B$229=L$3,SUMIF('TL08'!$C$238:$C$451,$C71,'TL08'!$J$238:$J$451),0),
IF('TL09'!$B$3=L$3,SUMIF('TL09'!$C$10:$C$224,$C71,'TL09'!$J$10:$J$224),0),
IF('TL09'!$B$229=L$3,SUMIF('TL09'!$C$238:$C$451,$C71,'TL09'!$J$238:$J$451),0),
IF('TL10'!$B$3=L$3,SUMIF('TL10'!$C$10:$C$224,$C71,'TL10'!$J$10:$J$224),0),
IF('TL10'!$B$229=L$3,SUMIF('TL10'!$C$238:$C$451,$C71,'TL10'!$J$238:$J$451),0),
IF('TL11'!$B$3=L$3,SUMIF('TL11'!$C$10:$C$224,$C71,'TL11'!$J$10:$J$224),0),
IF('TL11'!$B$229=L$3,SUMIF('TL11'!$C$238:$C$451,$C71,'TL11'!$J$238:$J$451),0),
IF('TL12'!$B$3=L$3,SUMIF('TL12'!$C$10:$C$224,$C71,'TL12'!$J$10:$J$224),0),
IF('TL12'!$B$229=L$3,SUMIF('TL12'!$C$238:$C$451,$C71,'TL12'!$J$238:$J$451),0),
IF('TL13'!$B$3=L$3,SUMIF('TL13'!$C$10:$C$224,$C71,'TL13'!$J$10:$J$224),0),
IF('TL13'!$B$229=L$3,SUMIF('TL13'!$C$238:$C$451,$C71,'TL13'!$J$238:$J$451),0),
IF('TL14'!$B$3=L$3,SUMIF('TL14'!$C$10:$C$224,$C71,'TL14'!$J$10:$J$224),0),
IF('TL14'!$B$229=L$3,SUMIF('TL14'!$C$238:$C$451,$C71,'TL14'!$J$238:$J$451),0),
IF('TL15'!$B$3=L$3,SUMIF('TL15'!$C$10:$C$224,$C71,'TL15'!$J$10:$J$224),0),
IF('TL15'!$B$229=L$3,SUMIF('TL15'!$C$238:$C$451,$C71,'TL15'!$J$238:$J$451),0),
IF('TL16'!$B$3=L$3,SUMIF('TL16'!$C$10:$C$224,$C71,'TL16'!$J$10:$J$224),0),
IF('TL16'!$B$229=L$3,SUMIF('TL16'!$C$238:$C$451,$C71,'TL16'!$J$238:$J$451),0),
IF('TL17'!$B$3=L$3,SUMIF('TL17'!$C$10:$C$224,$C71,'TL17'!$J$10:$J$224),0),
IF('TL17'!$B$229=L$3,SUMIF('TL17'!$C$238:$C$451,$C71,'TL17'!$J$238:$J$451),0),
IF('TL18'!$B$3=L$3,SUMIF('TL18'!$C$10:$C$224,$C71,'TL18'!$J$10:$J$224),0),
IF('TL18'!$B$229=L$3,SUMIF('TL18'!$C$238:$C$451,$C71,'TL18'!$J$238:$J$451),0),
IF('TL19'!$B$3=L$3,SUMIF('TL19'!$C$10:$C$224,$C71,'TL19'!$J$10:$J$224),0),
IF('TL19'!$B$229=L$3,SUMIF('TL19'!$C$238:$C$451,$C71,'TL19'!$J$238:$J$451),0)
),0)</f>
        <v>0</v>
      </c>
      <c r="M71" s="9">
        <f>IFERROR(SUM(
IF('TL01'!$B$3=M$3,SUMIF('TL01'!$C$10:$C$224,$C71,'TL01'!$J$10:$J$224),0),
IF('TL01'!$B$229=M$3,SUMIF('TL01'!$C$238:$C$451,$C71,'TL01'!$J$238:$J$451),0),
IF('TL02'!$B$3=M$3,SUMIF('TL02'!$C$10:$C$224,$C71,'TL02'!$J$10:$J$224),0),
IF('TL02'!$B$229=M$3,SUMIF('TL02'!$C$238:$C$451,$C71,'TL02'!$J$238:$J$451),0),
IF('TL03'!$B$3=M$3,SUMIF('TL03'!$C$10:$C$224,$C71,'TL03'!$J$10:$J$224),0),
IF('TL03'!$B$229=M$3,SUMIF('TL03'!$C$238:$C$451,$C71,'TL03'!$J$238:$J$451),0),
IF('TL04'!$B$3=M$3,SUMIF('TL04'!$C$10:$C$224,$C71,'TL04'!$J$10:$J$224),0),
IF('TL04'!$B$229=M$3,SUMIF('TL04'!$C$238:$C$451,$C71,'TL04'!$J$238:$J$451),0),
IF('TL05'!$B$3=M$3,SUMIF('TL05'!$C$10:$C$224,$C71,'TL05'!$J$10:$J$224),0),
IF('TL05'!$B$229=M$3,SUMIF('TL05'!$C$238:$C$451,$C71,'TL05'!$J$238:$J$451),0),
IF('TL06'!$B$3=M$3,SUMIF('TL06'!$C$10:$C$224,$C71,'TL06'!$J$10:$J$224),0),
IF('TL06'!$B$229=M$3,SUMIF('TL06'!$C$238:$C$451,$C71,'TL06'!$J$238:$J$451),0),
IF('TL07'!$B$3=M$3,SUMIF('TL07'!$C$10:$C$224,$C71,'TL07'!$J$10:$J$224),0),
IF('TL07'!$B$229=M$3,SUMIF('TL07'!$C$238:$C$451,$C71,'TL07'!$J$238:$J$451),0),
IF('TL08'!$B$3=M$3,SUMIF('TL08'!$C$10:$C$224,$C71,'TL08'!$J$10:$J$224),0),
IF('TL08'!$B$229=M$3,SUMIF('TL08'!$C$238:$C$451,$C71,'TL08'!$J$238:$J$451),0),
IF('TL09'!$B$3=M$3,SUMIF('TL09'!$C$10:$C$224,$C71,'TL09'!$J$10:$J$224),0),
IF('TL09'!$B$229=M$3,SUMIF('TL09'!$C$238:$C$451,$C71,'TL09'!$J$238:$J$451),0),
IF('TL10'!$B$3=M$3,SUMIF('TL10'!$C$10:$C$224,$C71,'TL10'!$J$10:$J$224),0),
IF('TL10'!$B$229=M$3,SUMIF('TL10'!$C$238:$C$451,$C71,'TL10'!$J$238:$J$451),0),
IF('TL11'!$B$3=M$3,SUMIF('TL11'!$C$10:$C$224,$C71,'TL11'!$J$10:$J$224),0),
IF('TL11'!$B$229=M$3,SUMIF('TL11'!$C$238:$C$451,$C71,'TL11'!$J$238:$J$451),0),
IF('TL12'!$B$3=M$3,SUMIF('TL12'!$C$10:$C$224,$C71,'TL12'!$J$10:$J$224),0),
IF('TL12'!$B$229=M$3,SUMIF('TL12'!$C$238:$C$451,$C71,'TL12'!$J$238:$J$451),0),
IF('TL13'!$B$3=M$3,SUMIF('TL13'!$C$10:$C$224,$C71,'TL13'!$J$10:$J$224),0),
IF('TL13'!$B$229=M$3,SUMIF('TL13'!$C$238:$C$451,$C71,'TL13'!$J$238:$J$451),0),
IF('TL14'!$B$3=M$3,SUMIF('TL14'!$C$10:$C$224,$C71,'TL14'!$J$10:$J$224),0),
IF('TL14'!$B$229=M$3,SUMIF('TL14'!$C$238:$C$451,$C71,'TL14'!$J$238:$J$451),0),
IF('TL15'!$B$3=M$3,SUMIF('TL15'!$C$10:$C$224,$C71,'TL15'!$J$10:$J$224),0),
IF('TL15'!$B$229=M$3,SUMIF('TL15'!$C$238:$C$451,$C71,'TL15'!$J$238:$J$451),0),
IF('TL16'!$B$3=M$3,SUMIF('TL16'!$C$10:$C$224,$C71,'TL16'!$J$10:$J$224),0),
IF('TL16'!$B$229=M$3,SUMIF('TL16'!$C$238:$C$451,$C71,'TL16'!$J$238:$J$451),0),
IF('TL17'!$B$3=M$3,SUMIF('TL17'!$C$10:$C$224,$C71,'TL17'!$J$10:$J$224),0),
IF('TL17'!$B$229=M$3,SUMIF('TL17'!$C$238:$C$451,$C71,'TL17'!$J$238:$J$451),0),
IF('TL18'!$B$3=M$3,SUMIF('TL18'!$C$10:$C$224,$C71,'TL18'!$J$10:$J$224),0),
IF('TL18'!$B$229=M$3,SUMIF('TL18'!$C$238:$C$451,$C71,'TL18'!$J$238:$J$451),0),
IF('TL19'!$B$3=M$3,SUMIF('TL19'!$C$10:$C$224,$C71,'TL19'!$J$10:$J$224),0),
IF('TL19'!$B$229=M$3,SUMIF('TL19'!$C$238:$C$451,$C71,'TL19'!$J$238:$J$451),0)
),0)</f>
        <v>0</v>
      </c>
      <c r="N71" s="9">
        <f>IFERROR(SUM(
IF('TL01'!$B$3=N$3,SUMIF('TL01'!$C$10:$C$224,$C71,'TL01'!$J$10:$J$224),0),
IF('TL01'!$B$229=N$3,SUMIF('TL01'!$C$238:$C$451,$C71,'TL01'!$J$238:$J$451),0),
IF('TL02'!$B$3=N$3,SUMIF('TL02'!$C$10:$C$224,$C71,'TL02'!$J$10:$J$224),0),
IF('TL02'!$B$229=N$3,SUMIF('TL02'!$C$238:$C$451,$C71,'TL02'!$J$238:$J$451),0),
IF('TL03'!$B$3=N$3,SUMIF('TL03'!$C$10:$C$224,$C71,'TL03'!$J$10:$J$224),0),
IF('TL03'!$B$229=N$3,SUMIF('TL03'!$C$238:$C$451,$C71,'TL03'!$J$238:$J$451),0),
IF('TL04'!$B$3=N$3,SUMIF('TL04'!$C$10:$C$224,$C71,'TL04'!$J$10:$J$224),0),
IF('TL04'!$B$229=N$3,SUMIF('TL04'!$C$238:$C$451,$C71,'TL04'!$J$238:$J$451),0),
IF('TL05'!$B$3=N$3,SUMIF('TL05'!$C$10:$C$224,$C71,'TL05'!$J$10:$J$224),0),
IF('TL05'!$B$229=N$3,SUMIF('TL05'!$C$238:$C$451,$C71,'TL05'!$J$238:$J$451),0),
IF('TL06'!$B$3=N$3,SUMIF('TL06'!$C$10:$C$224,$C71,'TL06'!$J$10:$J$224),0),
IF('TL06'!$B$229=N$3,SUMIF('TL06'!$C$238:$C$451,$C71,'TL06'!$J$238:$J$451),0),
IF('TL07'!$B$3=N$3,SUMIF('TL07'!$C$10:$C$224,$C71,'TL07'!$J$10:$J$224),0),
IF('TL07'!$B$229=N$3,SUMIF('TL07'!$C$238:$C$451,$C71,'TL07'!$J$238:$J$451),0),
IF('TL08'!$B$3=N$3,SUMIF('TL08'!$C$10:$C$224,$C71,'TL08'!$J$10:$J$224),0),
IF('TL08'!$B$229=N$3,SUMIF('TL08'!$C$238:$C$451,$C71,'TL08'!$J$238:$J$451),0),
IF('TL09'!$B$3=N$3,SUMIF('TL09'!$C$10:$C$224,$C71,'TL09'!$J$10:$J$224),0),
IF('TL09'!$B$229=N$3,SUMIF('TL09'!$C$238:$C$451,$C71,'TL09'!$J$238:$J$451),0),
IF('TL10'!$B$3=N$3,SUMIF('TL10'!$C$10:$C$224,$C71,'TL10'!$J$10:$J$224),0),
IF('TL10'!$B$229=N$3,SUMIF('TL10'!$C$238:$C$451,$C71,'TL10'!$J$238:$J$451),0),
IF('TL11'!$B$3=N$3,SUMIF('TL11'!$C$10:$C$224,$C71,'TL11'!$J$10:$J$224),0),
IF('TL11'!$B$229=N$3,SUMIF('TL11'!$C$238:$C$451,$C71,'TL11'!$J$238:$J$451),0),
IF('TL12'!$B$3=N$3,SUMIF('TL12'!$C$10:$C$224,$C71,'TL12'!$J$10:$J$224),0),
IF('TL12'!$B$229=N$3,SUMIF('TL12'!$C$238:$C$451,$C71,'TL12'!$J$238:$J$451),0),
IF('TL13'!$B$3=N$3,SUMIF('TL13'!$C$10:$C$224,$C71,'TL13'!$J$10:$J$224),0),
IF('TL13'!$B$229=N$3,SUMIF('TL13'!$C$238:$C$451,$C71,'TL13'!$J$238:$J$451),0),
IF('TL14'!$B$3=N$3,SUMIF('TL14'!$C$10:$C$224,$C71,'TL14'!$J$10:$J$224),0),
IF('TL14'!$B$229=N$3,SUMIF('TL14'!$C$238:$C$451,$C71,'TL14'!$J$238:$J$451),0),
IF('TL15'!$B$3=N$3,SUMIF('TL15'!$C$10:$C$224,$C71,'TL15'!$J$10:$J$224),0),
IF('TL15'!$B$229=N$3,SUMIF('TL15'!$C$238:$C$451,$C71,'TL15'!$J$238:$J$451),0),
IF('TL16'!$B$3=N$3,SUMIF('TL16'!$C$10:$C$224,$C71,'TL16'!$J$10:$J$224),0),
IF('TL16'!$B$229=N$3,SUMIF('TL16'!$C$238:$C$451,$C71,'TL16'!$J$238:$J$451),0),
IF('TL17'!$B$3=N$3,SUMIF('TL17'!$C$10:$C$224,$C71,'TL17'!$J$10:$J$224),0),
IF('TL17'!$B$229=N$3,SUMIF('TL17'!$C$238:$C$451,$C71,'TL17'!$J$238:$J$451),0),
IF('TL18'!$B$3=N$3,SUMIF('TL18'!$C$10:$C$224,$C71,'TL18'!$J$10:$J$224),0),
IF('TL18'!$B$229=N$3,SUMIF('TL18'!$C$238:$C$451,$C71,'TL18'!$J$238:$J$451),0),
IF('TL19'!$B$3=N$3,SUMIF('TL19'!$C$10:$C$224,$C71,'TL19'!$J$10:$J$224),0),
IF('TL19'!$B$229=N$3,SUMIF('TL19'!$C$238:$C$451,$C71,'TL19'!$J$238:$J$451),0)
),0)</f>
        <v>0</v>
      </c>
      <c r="O71" s="9">
        <f>IFERROR(SUM(
IF('TL01'!$B$3=O$3,SUMIF('TL01'!$C$10:$C$224,$C71,'TL01'!$J$10:$J$224),0),
IF('TL01'!$B$229=O$3,SUMIF('TL01'!$C$238:$C$451,$C71,'TL01'!$J$238:$J$451),0),
IF('TL02'!$B$3=O$3,SUMIF('TL02'!$C$10:$C$224,$C71,'TL02'!$J$10:$J$224),0),
IF('TL02'!$B$229=O$3,SUMIF('TL02'!$C$238:$C$451,$C71,'TL02'!$J$238:$J$451),0),
IF('TL03'!$B$3=O$3,SUMIF('TL03'!$C$10:$C$224,$C71,'TL03'!$J$10:$J$224),0),
IF('TL03'!$B$229=O$3,SUMIF('TL03'!$C$238:$C$451,$C71,'TL03'!$J$238:$J$451),0),
IF('TL04'!$B$3=O$3,SUMIF('TL04'!$C$10:$C$224,$C71,'TL04'!$J$10:$J$224),0),
IF('TL04'!$B$229=O$3,SUMIF('TL04'!$C$238:$C$451,$C71,'TL04'!$J$238:$J$451),0),
IF('TL05'!$B$3=O$3,SUMIF('TL05'!$C$10:$C$224,$C71,'TL05'!$J$10:$J$224),0),
IF('TL05'!$B$229=O$3,SUMIF('TL05'!$C$238:$C$451,$C71,'TL05'!$J$238:$J$451),0),
IF('TL06'!$B$3=O$3,SUMIF('TL06'!$C$10:$C$224,$C71,'TL06'!$J$10:$J$224),0),
IF('TL06'!$B$229=O$3,SUMIF('TL06'!$C$238:$C$451,$C71,'TL06'!$J$238:$J$451),0),
IF('TL07'!$B$3=O$3,SUMIF('TL07'!$C$10:$C$224,$C71,'TL07'!$J$10:$J$224),0),
IF('TL07'!$B$229=O$3,SUMIF('TL07'!$C$238:$C$451,$C71,'TL07'!$J$238:$J$451),0),
IF('TL08'!$B$3=O$3,SUMIF('TL08'!$C$10:$C$224,$C71,'TL08'!$J$10:$J$224),0),
IF('TL08'!$B$229=O$3,SUMIF('TL08'!$C$238:$C$451,$C71,'TL08'!$J$238:$J$451),0),
IF('TL09'!$B$3=O$3,SUMIF('TL09'!$C$10:$C$224,$C71,'TL09'!$J$10:$J$224),0),
IF('TL09'!$B$229=O$3,SUMIF('TL09'!$C$238:$C$451,$C71,'TL09'!$J$238:$J$451),0),
IF('TL10'!$B$3=O$3,SUMIF('TL10'!$C$10:$C$224,$C71,'TL10'!$J$10:$J$224),0),
IF('TL10'!$B$229=O$3,SUMIF('TL10'!$C$238:$C$451,$C71,'TL10'!$J$238:$J$451),0),
IF('TL11'!$B$3=O$3,SUMIF('TL11'!$C$10:$C$224,$C71,'TL11'!$J$10:$J$224),0),
IF('TL11'!$B$229=O$3,SUMIF('TL11'!$C$238:$C$451,$C71,'TL11'!$J$238:$J$451),0),
IF('TL12'!$B$3=O$3,SUMIF('TL12'!$C$10:$C$224,$C71,'TL12'!$J$10:$J$224),0),
IF('TL12'!$B$229=O$3,SUMIF('TL12'!$C$238:$C$451,$C71,'TL12'!$J$238:$J$451),0),
IF('TL13'!$B$3=O$3,SUMIF('TL13'!$C$10:$C$224,$C71,'TL13'!$J$10:$J$224),0),
IF('TL13'!$B$229=O$3,SUMIF('TL13'!$C$238:$C$451,$C71,'TL13'!$J$238:$J$451),0),
IF('TL14'!$B$3=O$3,SUMIF('TL14'!$C$10:$C$224,$C71,'TL14'!$J$10:$J$224),0),
IF('TL14'!$B$229=O$3,SUMIF('TL14'!$C$238:$C$451,$C71,'TL14'!$J$238:$J$451),0),
IF('TL15'!$B$3=O$3,SUMIF('TL15'!$C$10:$C$224,$C71,'TL15'!$J$10:$J$224),0),
IF('TL15'!$B$229=O$3,SUMIF('TL15'!$C$238:$C$451,$C71,'TL15'!$J$238:$J$451),0),
IF('TL16'!$B$3=O$3,SUMIF('TL16'!$C$10:$C$224,$C71,'TL16'!$J$10:$J$224),0),
IF('TL16'!$B$229=O$3,SUMIF('TL16'!$C$238:$C$451,$C71,'TL16'!$J$238:$J$451),0),
IF('TL17'!$B$3=O$3,SUMIF('TL17'!$C$10:$C$224,$C71,'TL17'!$J$10:$J$224),0),
IF('TL17'!$B$229=O$3,SUMIF('TL17'!$C$238:$C$451,$C71,'TL17'!$J$238:$J$451),0),
IF('TL18'!$B$3=O$3,SUMIF('TL18'!$C$10:$C$224,$C71,'TL18'!$J$10:$J$224),0),
IF('TL18'!$B$229=O$3,SUMIF('TL18'!$C$238:$C$451,$C71,'TL18'!$J$238:$J$451),0),
IF('TL19'!$B$3=O$3,SUMIF('TL19'!$C$10:$C$224,$C71,'TL19'!$J$10:$J$224),0),
IF('TL19'!$B$229=O$3,SUMIF('TL19'!$C$238:$C$451,$C71,'TL19'!$J$238:$J$451),0)
),0)</f>
        <v>0</v>
      </c>
      <c r="P71" s="9">
        <f>IFERROR(SUM(
IF('TL01'!$B$3=P$3,SUMIF('TL01'!$C$10:$C$224,$C71,'TL01'!$J$10:$J$224),0),
IF('TL01'!$B$229=P$3,SUMIF('TL01'!$C$238:$C$451,$C71,'TL01'!$J$238:$J$451),0),
IF('TL02'!$B$3=P$3,SUMIF('TL02'!$C$10:$C$224,$C71,'TL02'!$J$10:$J$224),0),
IF('TL02'!$B$229=P$3,SUMIF('TL02'!$C$238:$C$451,$C71,'TL02'!$J$238:$J$451),0),
IF('TL03'!$B$3=P$3,SUMIF('TL03'!$C$10:$C$224,$C71,'TL03'!$J$10:$J$224),0),
IF('TL03'!$B$229=P$3,SUMIF('TL03'!$C$238:$C$451,$C71,'TL03'!$J$238:$J$451),0),
IF('TL04'!$B$3=P$3,SUMIF('TL04'!$C$10:$C$224,$C71,'TL04'!$J$10:$J$224),0),
IF('TL04'!$B$229=P$3,SUMIF('TL04'!$C$238:$C$451,$C71,'TL04'!$J$238:$J$451),0),
IF('TL05'!$B$3=P$3,SUMIF('TL05'!$C$10:$C$224,$C71,'TL05'!$J$10:$J$224),0),
IF('TL05'!$B$229=P$3,SUMIF('TL05'!$C$238:$C$451,$C71,'TL05'!$J$238:$J$451),0),
IF('TL06'!$B$3=P$3,SUMIF('TL06'!$C$10:$C$224,$C71,'TL06'!$J$10:$J$224),0),
IF('TL06'!$B$229=P$3,SUMIF('TL06'!$C$238:$C$451,$C71,'TL06'!$J$238:$J$451),0),
IF('TL07'!$B$3=P$3,SUMIF('TL07'!$C$10:$C$224,$C71,'TL07'!$J$10:$J$224),0),
IF('TL07'!$B$229=P$3,SUMIF('TL07'!$C$238:$C$451,$C71,'TL07'!$J$238:$J$451),0),
IF('TL08'!$B$3=P$3,SUMIF('TL08'!$C$10:$C$224,$C71,'TL08'!$J$10:$J$224),0),
IF('TL08'!$B$229=P$3,SUMIF('TL08'!$C$238:$C$451,$C71,'TL08'!$J$238:$J$451),0),
IF('TL09'!$B$3=P$3,SUMIF('TL09'!$C$10:$C$224,$C71,'TL09'!$J$10:$J$224),0),
IF('TL09'!$B$229=P$3,SUMIF('TL09'!$C$238:$C$451,$C71,'TL09'!$J$238:$J$451),0),
IF('TL10'!$B$3=P$3,SUMIF('TL10'!$C$10:$C$224,$C71,'TL10'!$J$10:$J$224),0),
IF('TL10'!$B$229=P$3,SUMIF('TL10'!$C$238:$C$451,$C71,'TL10'!$J$238:$J$451),0),
IF('TL11'!$B$3=P$3,SUMIF('TL11'!$C$10:$C$224,$C71,'TL11'!$J$10:$J$224),0),
IF('TL11'!$B$229=P$3,SUMIF('TL11'!$C$238:$C$451,$C71,'TL11'!$J$238:$J$451),0),
IF('TL12'!$B$3=P$3,SUMIF('TL12'!$C$10:$C$224,$C71,'TL12'!$J$10:$J$224),0),
IF('TL12'!$B$229=P$3,SUMIF('TL12'!$C$238:$C$451,$C71,'TL12'!$J$238:$J$451),0),
IF('TL13'!$B$3=P$3,SUMIF('TL13'!$C$10:$C$224,$C71,'TL13'!$J$10:$J$224),0),
IF('TL13'!$B$229=P$3,SUMIF('TL13'!$C$238:$C$451,$C71,'TL13'!$J$238:$J$451),0),
IF('TL14'!$B$3=P$3,SUMIF('TL14'!$C$10:$C$224,$C71,'TL14'!$J$10:$J$224),0),
IF('TL14'!$B$229=P$3,SUMIF('TL14'!$C$238:$C$451,$C71,'TL14'!$J$238:$J$451),0),
IF('TL15'!$B$3=P$3,SUMIF('TL15'!$C$10:$C$224,$C71,'TL15'!$J$10:$J$224),0),
IF('TL15'!$B$229=P$3,SUMIF('TL15'!$C$238:$C$451,$C71,'TL15'!$J$238:$J$451),0),
IF('TL16'!$B$3=P$3,SUMIF('TL16'!$C$10:$C$224,$C71,'TL16'!$J$10:$J$224),0),
IF('TL16'!$B$229=P$3,SUMIF('TL16'!$C$238:$C$451,$C71,'TL16'!$J$238:$J$451),0),
IF('TL17'!$B$3=P$3,SUMIF('TL17'!$C$10:$C$224,$C71,'TL17'!$J$10:$J$224),0),
IF('TL17'!$B$229=P$3,SUMIF('TL17'!$C$238:$C$451,$C71,'TL17'!$J$238:$J$451),0),
IF('TL18'!$B$3=P$3,SUMIF('TL18'!$C$10:$C$224,$C71,'TL18'!$J$10:$J$224),0),
IF('TL18'!$B$229=P$3,SUMIF('TL18'!$C$238:$C$451,$C71,'TL18'!$J$238:$J$451),0),
IF('TL19'!$B$3=P$3,SUMIF('TL19'!$C$10:$C$224,$C71,'TL19'!$J$10:$J$224),0),
IF('TL19'!$B$229=P$3,SUMIF('TL19'!$C$238:$C$451,$C71,'TL19'!$J$238:$J$451),0)
),0)</f>
        <v>2436</v>
      </c>
      <c r="Q71" s="9">
        <f>IFERROR(SUM(
IF('TL01'!$B$3=Q$3,SUMIF('TL01'!$C$10:$C$224,$C71,'TL01'!$J$10:$J$224),0),
IF('TL01'!$B$229=Q$3,SUMIF('TL01'!$C$238:$C$451,$C71,'TL01'!$J$238:$J$451),0),
IF('TL02'!$B$3=Q$3,SUMIF('TL02'!$C$10:$C$224,$C71,'TL02'!$J$10:$J$224),0),
IF('TL02'!$B$229=Q$3,SUMIF('TL02'!$C$238:$C$451,$C71,'TL02'!$J$238:$J$451),0),
IF('TL03'!$B$3=Q$3,SUMIF('TL03'!$C$10:$C$224,$C71,'TL03'!$J$10:$J$224),0),
IF('TL03'!$B$229=Q$3,SUMIF('TL03'!$C$238:$C$451,$C71,'TL03'!$J$238:$J$451),0),
IF('TL04'!$B$3=Q$3,SUMIF('TL04'!$C$10:$C$224,$C71,'TL04'!$J$10:$J$224),0),
IF('TL04'!$B$229=Q$3,SUMIF('TL04'!$C$238:$C$451,$C71,'TL04'!$J$238:$J$451),0),
IF('TL05'!$B$3=Q$3,SUMIF('TL05'!$C$10:$C$224,$C71,'TL05'!$J$10:$J$224),0),
IF('TL05'!$B$229=Q$3,SUMIF('TL05'!$C$238:$C$451,$C71,'TL05'!$J$238:$J$451),0),
IF('TL06'!$B$3=Q$3,SUMIF('TL06'!$C$10:$C$224,$C71,'TL06'!$J$10:$J$224),0),
IF('TL06'!$B$229=Q$3,SUMIF('TL06'!$C$238:$C$451,$C71,'TL06'!$J$238:$J$451),0),
IF('TL07'!$B$3=Q$3,SUMIF('TL07'!$C$10:$C$224,$C71,'TL07'!$J$10:$J$224),0),
IF('TL07'!$B$229=Q$3,SUMIF('TL07'!$C$238:$C$451,$C71,'TL07'!$J$238:$J$451),0),
IF('TL08'!$B$3=Q$3,SUMIF('TL08'!$C$10:$C$224,$C71,'TL08'!$J$10:$J$224),0),
IF('TL08'!$B$229=Q$3,SUMIF('TL08'!$C$238:$C$451,$C71,'TL08'!$J$238:$J$451),0),
IF('TL09'!$B$3=Q$3,SUMIF('TL09'!$C$10:$C$224,$C71,'TL09'!$J$10:$J$224),0),
IF('TL09'!$B$229=Q$3,SUMIF('TL09'!$C$238:$C$451,$C71,'TL09'!$J$238:$J$451),0),
IF('TL10'!$B$3=Q$3,SUMIF('TL10'!$C$10:$C$224,$C71,'TL10'!$J$10:$J$224),0),
IF('TL10'!$B$229=Q$3,SUMIF('TL10'!$C$238:$C$451,$C71,'TL10'!$J$238:$J$451),0),
IF('TL11'!$B$3=Q$3,SUMIF('TL11'!$C$10:$C$224,$C71,'TL11'!$J$10:$J$224),0),
IF('TL11'!$B$229=Q$3,SUMIF('TL11'!$C$238:$C$451,$C71,'TL11'!$J$238:$J$451),0),
IF('TL12'!$B$3=Q$3,SUMIF('TL12'!$C$10:$C$224,$C71,'TL12'!$J$10:$J$224),0),
IF('TL12'!$B$229=Q$3,SUMIF('TL12'!$C$238:$C$451,$C71,'TL12'!$J$238:$J$451),0),
IF('TL13'!$B$3=Q$3,SUMIF('TL13'!$C$10:$C$224,$C71,'TL13'!$J$10:$J$224),0),
IF('TL13'!$B$229=Q$3,SUMIF('TL13'!$C$238:$C$451,$C71,'TL13'!$J$238:$J$451),0),
IF('TL14'!$B$3=Q$3,SUMIF('TL14'!$C$10:$C$224,$C71,'TL14'!$J$10:$J$224),0),
IF('TL14'!$B$229=Q$3,SUMIF('TL14'!$C$238:$C$451,$C71,'TL14'!$J$238:$J$451),0),
IF('TL15'!$B$3=Q$3,SUMIF('TL15'!$C$10:$C$224,$C71,'TL15'!$J$10:$J$224),0),
IF('TL15'!$B$229=Q$3,SUMIF('TL15'!$C$238:$C$451,$C71,'TL15'!$J$238:$J$451),0),
IF('TL16'!$B$3=Q$3,SUMIF('TL16'!$C$10:$C$224,$C71,'TL16'!$J$10:$J$224),0),
IF('TL16'!$B$229=Q$3,SUMIF('TL16'!$C$238:$C$451,$C71,'TL16'!$J$238:$J$451),0),
IF('TL17'!$B$3=Q$3,SUMIF('TL17'!$C$10:$C$224,$C71,'TL17'!$J$10:$J$224),0),
IF('TL17'!$B$229=Q$3,SUMIF('TL17'!$C$238:$C$451,$C71,'TL17'!$J$238:$J$451),0),
IF('TL18'!$B$3=Q$3,SUMIF('TL18'!$C$10:$C$224,$C71,'TL18'!$J$10:$J$224),0),
IF('TL18'!$B$229=Q$3,SUMIF('TL18'!$C$238:$C$451,$C71,'TL18'!$J$238:$J$451),0),
IF('TL19'!$B$3=Q$3,SUMIF('TL19'!$C$10:$C$224,$C71,'TL19'!$J$10:$J$224),0),
IF('TL19'!$B$229=Q$3,SUMIF('TL19'!$C$238:$C$451,$C71,'TL19'!$J$238:$J$451),0)
),0)</f>
        <v>640</v>
      </c>
      <c r="R71" s="9">
        <f>IFERROR(
SUM(
SUMIF('TL01'!C:C,C71,'TL01'!J:J),
SUMIF('TL02'!C:C,C71,'TL02'!J:J),
SUMIF('TL03'!C:C,C71,'TL03'!J:J),
SUMIF('TL04'!C:C,C71,'TL04'!J:J),
SUMIF('TL05'!C:C,C71,'TL05'!J:J),
SUMIF('TL06'!C:C,C71,'TL06'!J:J),
SUMIF('TL07'!C:C,C71,'TL07'!J:J),
SUMIF('TL08'!C:C,C71,'TL08'!J:J),
SUMIF('TL09'!C:C,C71,'TL09'!J:J),
SUMIF('TL10'!C:C,C71,'TL10'!J:J),
SUMIF('TL11'!C:C,C71,'TL11'!J:J),
SUMIF('TL12'!C:C,C71,'TL12'!J:J),
SUMIF('TL13'!C:C,C71,'TL13'!J:J),
SUMIF('TL14'!C:C,C71,'TL14'!J:J),
SUMIF('TL15'!C:C,C71,'TL15'!J:J),
SUMIF('TL16'!C:C,C71,'TL16'!J:J),
SUMIF('TL17'!C:C,C71,'TL17'!J:J),
SUMIF('TL18'!C:C,C71,'TL18'!J:J),SUMIF('TL19'!C:C,C71,'TL19'!J:J))
,0)</f>
        <v>3076</v>
      </c>
      <c r="S71" s="17">
        <f>IFERROR(__xludf.DUMMYFUNCTION("IFERROR(VLOOKUP(C71,
IMPORTRANGE(""1wULbzX32WdYsx-lj2U3uUNBBe2INVIRDtcK0d-Dvl90"",
""26-27!C:G""),
5,
FALSE),
"""")"),67.68)</f>
        <v>67.68</v>
      </c>
      <c r="T71" s="9">
        <v>900.0</v>
      </c>
      <c r="U71" s="92">
        <f t="shared" si="2"/>
        <v>2176</v>
      </c>
      <c r="V71" s="93">
        <f t="shared" si="3"/>
        <v>147271.68</v>
      </c>
    </row>
    <row r="72" ht="15.75" hidden="1" customHeight="1">
      <c r="A72" s="115" t="s">
        <v>516</v>
      </c>
      <c r="B72" s="100" t="s">
        <v>0</v>
      </c>
      <c r="C72" s="116" t="s">
        <v>522</v>
      </c>
      <c r="D72" s="116" t="s">
        <v>523</v>
      </c>
      <c r="E72" s="116">
        <v>500.0</v>
      </c>
      <c r="F72" s="4" t="s">
        <v>343</v>
      </c>
      <c r="G72" s="90" t="str">
        <f t="shared" si="4"/>
        <v>📄 Ver bula</v>
      </c>
      <c r="H72" s="9">
        <f>IFERROR(__xludf.DUMMYFUNCTION("IFERROR(VLOOKUP(C72,
IMPORTRANGE(""1wULbzX32WdYsx-lj2U3uUNBBe2INVIRDtcK0d-Dvl90"",
""26-27!C:K""),
8,
FALSE),
"""")"),0.25)</f>
        <v>0.25</v>
      </c>
      <c r="I72" s="117" t="s">
        <v>361</v>
      </c>
      <c r="J72" s="9">
        <f>IFERROR(SUM(
IF('TL01'!$B$3=J$3,SUMIF('TL01'!$C$10:$C$224,$C72,'TL01'!$J$10:$J$224),0),
IF('TL01'!$B$229=J$3,SUMIF('TL01'!$C$238:$C$451,$C72,'TL01'!$J$238:$J$451),0),
IF('TL02'!$B$3=J$3,SUMIF('TL02'!$C$10:$C$224,$C72,'TL02'!$J$10:$J$224),0),
IF('TL02'!$B$229=J$3,SUMIF('TL02'!$C$238:$C$451,$C72,'TL02'!$J$238:$J$451),0),
IF('TL03'!$B$3=J$3,SUMIF('TL03'!$C$10:$C$224,$C72,'TL03'!$J$10:$J$224),0),
IF('TL03'!$B$229=J$3,SUMIF('TL03'!$C$238:$C$451,$C72,'TL03'!$J$238:$J$451),0),
IF('TL04'!$B$3=J$3,SUMIF('TL04'!$C$10:$C$224,$C72,'TL04'!$J$10:$J$224),0),
IF('TL04'!$B$229=J$3,SUMIF('TL04'!$C$238:$C$451,$C72,'TL04'!$J$238:$J$451),0),
IF('TL05'!$B$3=J$3,SUMIF('TL05'!$C$10:$C$224,$C72,'TL05'!$J$10:$J$224),0),
IF('TL05'!$B$229=J$3,SUMIF('TL05'!$C$238:$C$451,$C72,'TL05'!$J$238:$J$451),0),
IF('TL06'!$B$3=J$3,SUMIF('TL06'!$C$10:$C$224,$C72,'TL06'!$J$10:$J$224),0),
IF('TL06'!$B$229=J$3,SUMIF('TL06'!$C$238:$C$451,$C72,'TL06'!$J$238:$J$451),0),
IF('TL07'!$B$3=J$3,SUMIF('TL07'!$C$10:$C$224,$C72,'TL07'!$J$10:$J$224),0),
IF('TL07'!$B$229=J$3,SUMIF('TL07'!$C$238:$C$451,$C72,'TL07'!$J$238:$J$451),0),
IF('TL08'!$B$3=J$3,SUMIF('TL08'!$C$10:$C$224,$C72,'TL08'!$J$10:$J$224),0),
IF('TL08'!$B$229=J$3,SUMIF('TL08'!$C$238:$C$451,$C72,'TL08'!$J$238:$J$451),0),
IF('TL09'!$B$3=J$3,SUMIF('TL09'!$C$10:$C$224,$C72,'TL09'!$J$10:$J$224),0),
IF('TL09'!$B$229=J$3,SUMIF('TL09'!$C$238:$C$451,$C72,'TL09'!$J$238:$J$451),0),
IF('TL10'!$B$3=J$3,SUMIF('TL10'!$C$10:$C$224,$C72,'TL10'!$J$10:$J$224),0),
IF('TL10'!$B$229=J$3,SUMIF('TL10'!$C$238:$C$451,$C72,'TL10'!$J$238:$J$451),0),
IF('TL11'!$B$3=J$3,SUMIF('TL11'!$C$10:$C$224,$C72,'TL11'!$J$10:$J$224),0),
IF('TL11'!$B$229=J$3,SUMIF('TL11'!$C$238:$C$451,$C72,'TL11'!$J$238:$J$451),0),
IF('TL12'!$B$3=J$3,SUMIF('TL12'!$C$10:$C$224,$C72,'TL12'!$J$10:$J$224),0),
IF('TL12'!$B$229=J$3,SUMIF('TL12'!$C$238:$C$451,$C72,'TL12'!$J$238:$J$451),0),
IF('TL13'!$B$3=J$3,SUMIF('TL13'!$C$10:$C$224,$C72,'TL13'!$J$10:$J$224),0),
IF('TL13'!$B$229=J$3,SUMIF('TL13'!$C$238:$C$451,$C72,'TL13'!$J$238:$J$451),0),
IF('TL14'!$B$3=J$3,SUMIF('TL14'!$C$10:$C$224,$C72,'TL14'!$J$10:$J$224),0),
IF('TL14'!$B$229=J$3,SUMIF('TL14'!$C$238:$C$451,$C72,'TL14'!$J$238:$J$451),0),
IF('TL15'!$B$3=J$3,SUMIF('TL15'!$C$10:$C$224,$C72,'TL15'!$J$10:$J$224),0),
IF('TL15'!$B$229=J$3,SUMIF('TL15'!$C$238:$C$451,$C72,'TL15'!$J$238:$J$451),0),
IF('TL16'!$B$3=J$3,SUMIF('TL16'!$C$10:$C$224,$C72,'TL16'!$J$10:$J$224),0),
IF('TL16'!$B$229=J$3,SUMIF('TL16'!$C$238:$C$451,$C72,'TL16'!$J$238:$J$451),0),
IF('TL17'!$B$3=J$3,SUMIF('TL17'!$C$10:$C$224,$C72,'TL17'!$J$10:$J$224),0),
IF('TL17'!$B$229=J$3,SUMIF('TL17'!$C$238:$C$451,$C72,'TL17'!$J$238:$J$451),0),
IF('TL18'!$B$3=J$3,SUMIF('TL18'!$C$10:$C$224,$C72,'TL18'!$J$10:$J$224),0),
IF('TL18'!$B$229=J$3,SUMIF('TL18'!$C$238:$C$451,$C72,'TL18'!$J$238:$J$451),0),
IF('TL19'!$B$3=J$3,SUMIF('TL19'!$C$10:$C$224,$C72,'TL19'!$J$10:$J$224),0),
IF('TL19'!$B$229=J$3,SUMIF('TL19'!$C$238:$C$451,$C72,'TL19'!$J$238:$J$451),0)
),0)</f>
        <v>0</v>
      </c>
      <c r="K72" s="9">
        <f>IFERROR(SUM(
IF('TL01'!$B$3=K$3,SUMIF('TL01'!$C$10:$C$224,$C72,'TL01'!$J$10:$J$224),0),
IF('TL01'!$B$229=K$3,SUMIF('TL01'!$C$238:$C$451,$C72,'TL01'!$J$238:$J$451),0),
IF('TL02'!$B$3=K$3,SUMIF('TL02'!$C$10:$C$224,$C72,'TL02'!$J$10:$J$224),0),
IF('TL02'!$B$229=K$3,SUMIF('TL02'!$C$238:$C$451,$C72,'TL02'!$J$238:$J$451),0),
IF('TL03'!$B$3=K$3,SUMIF('TL03'!$C$10:$C$224,$C72,'TL03'!$J$10:$J$224),0),
IF('TL03'!$B$229=K$3,SUMIF('TL03'!$C$238:$C$451,$C72,'TL03'!$J$238:$J$451),0),
IF('TL04'!$B$3=K$3,SUMIF('TL04'!$C$10:$C$224,$C72,'TL04'!$J$10:$J$224),0),
IF('TL04'!$B$229=K$3,SUMIF('TL04'!$C$238:$C$451,$C72,'TL04'!$J$238:$J$451),0),
IF('TL05'!$B$3=K$3,SUMIF('TL05'!$C$10:$C$224,$C72,'TL05'!$J$10:$J$224),0),
IF('TL05'!$B$229=K$3,SUMIF('TL05'!$C$238:$C$451,$C72,'TL05'!$J$238:$J$451),0),
IF('TL06'!$B$3=K$3,SUMIF('TL06'!$C$10:$C$224,$C72,'TL06'!$J$10:$J$224),0),
IF('TL06'!$B$229=K$3,SUMIF('TL06'!$C$238:$C$451,$C72,'TL06'!$J$238:$J$451),0),
IF('TL07'!$B$3=K$3,SUMIF('TL07'!$C$10:$C$224,$C72,'TL07'!$J$10:$J$224),0),
IF('TL07'!$B$229=K$3,SUMIF('TL07'!$C$238:$C$451,$C72,'TL07'!$J$238:$J$451),0),
IF('TL08'!$B$3=K$3,SUMIF('TL08'!$C$10:$C$224,$C72,'TL08'!$J$10:$J$224),0),
IF('TL08'!$B$229=K$3,SUMIF('TL08'!$C$238:$C$451,$C72,'TL08'!$J$238:$J$451),0),
IF('TL09'!$B$3=K$3,SUMIF('TL09'!$C$10:$C$224,$C72,'TL09'!$J$10:$J$224),0),
IF('TL09'!$B$229=K$3,SUMIF('TL09'!$C$238:$C$451,$C72,'TL09'!$J$238:$J$451),0),
IF('TL10'!$B$3=K$3,SUMIF('TL10'!$C$10:$C$224,$C72,'TL10'!$J$10:$J$224),0),
IF('TL10'!$B$229=K$3,SUMIF('TL10'!$C$238:$C$451,$C72,'TL10'!$J$238:$J$451),0),
IF('TL11'!$B$3=K$3,SUMIF('TL11'!$C$10:$C$224,$C72,'TL11'!$J$10:$J$224),0),
IF('TL11'!$B$229=K$3,SUMIF('TL11'!$C$238:$C$451,$C72,'TL11'!$J$238:$J$451),0),
IF('TL12'!$B$3=K$3,SUMIF('TL12'!$C$10:$C$224,$C72,'TL12'!$J$10:$J$224),0),
IF('TL12'!$B$229=K$3,SUMIF('TL12'!$C$238:$C$451,$C72,'TL12'!$J$238:$J$451),0),
IF('TL13'!$B$3=K$3,SUMIF('TL13'!$C$10:$C$224,$C72,'TL13'!$J$10:$J$224),0),
IF('TL13'!$B$229=K$3,SUMIF('TL13'!$C$238:$C$451,$C72,'TL13'!$J$238:$J$451),0),
IF('TL14'!$B$3=K$3,SUMIF('TL14'!$C$10:$C$224,$C72,'TL14'!$J$10:$J$224),0),
IF('TL14'!$B$229=K$3,SUMIF('TL14'!$C$238:$C$451,$C72,'TL14'!$J$238:$J$451),0),
IF('TL15'!$B$3=K$3,SUMIF('TL15'!$C$10:$C$224,$C72,'TL15'!$J$10:$J$224),0),
IF('TL15'!$B$229=K$3,SUMIF('TL15'!$C$238:$C$451,$C72,'TL15'!$J$238:$J$451),0),
IF('TL16'!$B$3=K$3,SUMIF('TL16'!$C$10:$C$224,$C72,'TL16'!$J$10:$J$224),0),
IF('TL16'!$B$229=K$3,SUMIF('TL16'!$C$238:$C$451,$C72,'TL16'!$J$238:$J$451),0),
IF('TL17'!$B$3=K$3,SUMIF('TL17'!$C$10:$C$224,$C72,'TL17'!$J$10:$J$224),0),
IF('TL17'!$B$229=K$3,SUMIF('TL17'!$C$238:$C$451,$C72,'TL17'!$J$238:$J$451),0),
IF('TL18'!$B$3=K$3,SUMIF('TL18'!$C$10:$C$224,$C72,'TL18'!$J$10:$J$224),0),
IF('TL18'!$B$229=K$3,SUMIF('TL18'!$C$238:$C$451,$C72,'TL18'!$J$238:$J$451),0),
IF('TL19'!$B$3=K$3,SUMIF('TL19'!$C$10:$C$224,$C72,'TL19'!$J$10:$J$224),0),
IF('TL19'!$B$229=K$3,SUMIF('TL19'!$C$238:$C$451,$C72,'TL19'!$J$238:$J$451),0)
),0)</f>
        <v>0</v>
      </c>
      <c r="L72" s="9">
        <f>IFERROR(SUM(
IF('TL01'!$B$3=L$3,SUMIF('TL01'!$C$10:$C$224,$C72,'TL01'!$J$10:$J$224),0),
IF('TL01'!$B$229=L$3,SUMIF('TL01'!$C$238:$C$451,$C72,'TL01'!$J$238:$J$451),0),
IF('TL02'!$B$3=L$3,SUMIF('TL02'!$C$10:$C$224,$C72,'TL02'!$J$10:$J$224),0),
IF('TL02'!$B$229=L$3,SUMIF('TL02'!$C$238:$C$451,$C72,'TL02'!$J$238:$J$451),0),
IF('TL03'!$B$3=L$3,SUMIF('TL03'!$C$10:$C$224,$C72,'TL03'!$J$10:$J$224),0),
IF('TL03'!$B$229=L$3,SUMIF('TL03'!$C$238:$C$451,$C72,'TL03'!$J$238:$J$451),0),
IF('TL04'!$B$3=L$3,SUMIF('TL04'!$C$10:$C$224,$C72,'TL04'!$J$10:$J$224),0),
IF('TL04'!$B$229=L$3,SUMIF('TL04'!$C$238:$C$451,$C72,'TL04'!$J$238:$J$451),0),
IF('TL05'!$B$3=L$3,SUMIF('TL05'!$C$10:$C$224,$C72,'TL05'!$J$10:$J$224),0),
IF('TL05'!$B$229=L$3,SUMIF('TL05'!$C$238:$C$451,$C72,'TL05'!$J$238:$J$451),0),
IF('TL06'!$B$3=L$3,SUMIF('TL06'!$C$10:$C$224,$C72,'TL06'!$J$10:$J$224),0),
IF('TL06'!$B$229=L$3,SUMIF('TL06'!$C$238:$C$451,$C72,'TL06'!$J$238:$J$451),0),
IF('TL07'!$B$3=L$3,SUMIF('TL07'!$C$10:$C$224,$C72,'TL07'!$J$10:$J$224),0),
IF('TL07'!$B$229=L$3,SUMIF('TL07'!$C$238:$C$451,$C72,'TL07'!$J$238:$J$451),0),
IF('TL08'!$B$3=L$3,SUMIF('TL08'!$C$10:$C$224,$C72,'TL08'!$J$10:$J$224),0),
IF('TL08'!$B$229=L$3,SUMIF('TL08'!$C$238:$C$451,$C72,'TL08'!$J$238:$J$451),0),
IF('TL09'!$B$3=L$3,SUMIF('TL09'!$C$10:$C$224,$C72,'TL09'!$J$10:$J$224),0),
IF('TL09'!$B$229=L$3,SUMIF('TL09'!$C$238:$C$451,$C72,'TL09'!$J$238:$J$451),0),
IF('TL10'!$B$3=L$3,SUMIF('TL10'!$C$10:$C$224,$C72,'TL10'!$J$10:$J$224),0),
IF('TL10'!$B$229=L$3,SUMIF('TL10'!$C$238:$C$451,$C72,'TL10'!$J$238:$J$451),0),
IF('TL11'!$B$3=L$3,SUMIF('TL11'!$C$10:$C$224,$C72,'TL11'!$J$10:$J$224),0),
IF('TL11'!$B$229=L$3,SUMIF('TL11'!$C$238:$C$451,$C72,'TL11'!$J$238:$J$451),0),
IF('TL12'!$B$3=L$3,SUMIF('TL12'!$C$10:$C$224,$C72,'TL12'!$J$10:$J$224),0),
IF('TL12'!$B$229=L$3,SUMIF('TL12'!$C$238:$C$451,$C72,'TL12'!$J$238:$J$451),0),
IF('TL13'!$B$3=L$3,SUMIF('TL13'!$C$10:$C$224,$C72,'TL13'!$J$10:$J$224),0),
IF('TL13'!$B$229=L$3,SUMIF('TL13'!$C$238:$C$451,$C72,'TL13'!$J$238:$J$451),0),
IF('TL14'!$B$3=L$3,SUMIF('TL14'!$C$10:$C$224,$C72,'TL14'!$J$10:$J$224),0),
IF('TL14'!$B$229=L$3,SUMIF('TL14'!$C$238:$C$451,$C72,'TL14'!$J$238:$J$451),0),
IF('TL15'!$B$3=L$3,SUMIF('TL15'!$C$10:$C$224,$C72,'TL15'!$J$10:$J$224),0),
IF('TL15'!$B$229=L$3,SUMIF('TL15'!$C$238:$C$451,$C72,'TL15'!$J$238:$J$451),0),
IF('TL16'!$B$3=L$3,SUMIF('TL16'!$C$10:$C$224,$C72,'TL16'!$J$10:$J$224),0),
IF('TL16'!$B$229=L$3,SUMIF('TL16'!$C$238:$C$451,$C72,'TL16'!$J$238:$J$451),0),
IF('TL17'!$B$3=L$3,SUMIF('TL17'!$C$10:$C$224,$C72,'TL17'!$J$10:$J$224),0),
IF('TL17'!$B$229=L$3,SUMIF('TL17'!$C$238:$C$451,$C72,'TL17'!$J$238:$J$451),0),
IF('TL18'!$B$3=L$3,SUMIF('TL18'!$C$10:$C$224,$C72,'TL18'!$J$10:$J$224),0),
IF('TL18'!$B$229=L$3,SUMIF('TL18'!$C$238:$C$451,$C72,'TL18'!$J$238:$J$451),0),
IF('TL19'!$B$3=L$3,SUMIF('TL19'!$C$10:$C$224,$C72,'TL19'!$J$10:$J$224),0),
IF('TL19'!$B$229=L$3,SUMIF('TL19'!$C$238:$C$451,$C72,'TL19'!$J$238:$J$451),0)
),0)</f>
        <v>0</v>
      </c>
      <c r="M72" s="9">
        <f>IFERROR(SUM(
IF('TL01'!$B$3=M$3,SUMIF('TL01'!$C$10:$C$224,$C72,'TL01'!$J$10:$J$224),0),
IF('TL01'!$B$229=M$3,SUMIF('TL01'!$C$238:$C$451,$C72,'TL01'!$J$238:$J$451),0),
IF('TL02'!$B$3=M$3,SUMIF('TL02'!$C$10:$C$224,$C72,'TL02'!$J$10:$J$224),0),
IF('TL02'!$B$229=M$3,SUMIF('TL02'!$C$238:$C$451,$C72,'TL02'!$J$238:$J$451),0),
IF('TL03'!$B$3=M$3,SUMIF('TL03'!$C$10:$C$224,$C72,'TL03'!$J$10:$J$224),0),
IF('TL03'!$B$229=M$3,SUMIF('TL03'!$C$238:$C$451,$C72,'TL03'!$J$238:$J$451),0),
IF('TL04'!$B$3=M$3,SUMIF('TL04'!$C$10:$C$224,$C72,'TL04'!$J$10:$J$224),0),
IF('TL04'!$B$229=M$3,SUMIF('TL04'!$C$238:$C$451,$C72,'TL04'!$J$238:$J$451),0),
IF('TL05'!$B$3=M$3,SUMIF('TL05'!$C$10:$C$224,$C72,'TL05'!$J$10:$J$224),0),
IF('TL05'!$B$229=M$3,SUMIF('TL05'!$C$238:$C$451,$C72,'TL05'!$J$238:$J$451),0),
IF('TL06'!$B$3=M$3,SUMIF('TL06'!$C$10:$C$224,$C72,'TL06'!$J$10:$J$224),0),
IF('TL06'!$B$229=M$3,SUMIF('TL06'!$C$238:$C$451,$C72,'TL06'!$J$238:$J$451),0),
IF('TL07'!$B$3=M$3,SUMIF('TL07'!$C$10:$C$224,$C72,'TL07'!$J$10:$J$224),0),
IF('TL07'!$B$229=M$3,SUMIF('TL07'!$C$238:$C$451,$C72,'TL07'!$J$238:$J$451),0),
IF('TL08'!$B$3=M$3,SUMIF('TL08'!$C$10:$C$224,$C72,'TL08'!$J$10:$J$224),0),
IF('TL08'!$B$229=M$3,SUMIF('TL08'!$C$238:$C$451,$C72,'TL08'!$J$238:$J$451),0),
IF('TL09'!$B$3=M$3,SUMIF('TL09'!$C$10:$C$224,$C72,'TL09'!$J$10:$J$224),0),
IF('TL09'!$B$229=M$3,SUMIF('TL09'!$C$238:$C$451,$C72,'TL09'!$J$238:$J$451),0),
IF('TL10'!$B$3=M$3,SUMIF('TL10'!$C$10:$C$224,$C72,'TL10'!$J$10:$J$224),0),
IF('TL10'!$B$229=M$3,SUMIF('TL10'!$C$238:$C$451,$C72,'TL10'!$J$238:$J$451),0),
IF('TL11'!$B$3=M$3,SUMIF('TL11'!$C$10:$C$224,$C72,'TL11'!$J$10:$J$224),0),
IF('TL11'!$B$229=M$3,SUMIF('TL11'!$C$238:$C$451,$C72,'TL11'!$J$238:$J$451),0),
IF('TL12'!$B$3=M$3,SUMIF('TL12'!$C$10:$C$224,$C72,'TL12'!$J$10:$J$224),0),
IF('TL12'!$B$229=M$3,SUMIF('TL12'!$C$238:$C$451,$C72,'TL12'!$J$238:$J$451),0),
IF('TL13'!$B$3=M$3,SUMIF('TL13'!$C$10:$C$224,$C72,'TL13'!$J$10:$J$224),0),
IF('TL13'!$B$229=M$3,SUMIF('TL13'!$C$238:$C$451,$C72,'TL13'!$J$238:$J$451),0),
IF('TL14'!$B$3=M$3,SUMIF('TL14'!$C$10:$C$224,$C72,'TL14'!$J$10:$J$224),0),
IF('TL14'!$B$229=M$3,SUMIF('TL14'!$C$238:$C$451,$C72,'TL14'!$J$238:$J$451),0),
IF('TL15'!$B$3=M$3,SUMIF('TL15'!$C$10:$C$224,$C72,'TL15'!$J$10:$J$224),0),
IF('TL15'!$B$229=M$3,SUMIF('TL15'!$C$238:$C$451,$C72,'TL15'!$J$238:$J$451),0),
IF('TL16'!$B$3=M$3,SUMIF('TL16'!$C$10:$C$224,$C72,'TL16'!$J$10:$J$224),0),
IF('TL16'!$B$229=M$3,SUMIF('TL16'!$C$238:$C$451,$C72,'TL16'!$J$238:$J$451),0),
IF('TL17'!$B$3=M$3,SUMIF('TL17'!$C$10:$C$224,$C72,'TL17'!$J$10:$J$224),0),
IF('TL17'!$B$229=M$3,SUMIF('TL17'!$C$238:$C$451,$C72,'TL17'!$J$238:$J$451),0),
IF('TL18'!$B$3=M$3,SUMIF('TL18'!$C$10:$C$224,$C72,'TL18'!$J$10:$J$224),0),
IF('TL18'!$B$229=M$3,SUMIF('TL18'!$C$238:$C$451,$C72,'TL18'!$J$238:$J$451),0),
IF('TL19'!$B$3=M$3,SUMIF('TL19'!$C$10:$C$224,$C72,'TL19'!$J$10:$J$224),0),
IF('TL19'!$B$229=M$3,SUMIF('TL19'!$C$238:$C$451,$C72,'TL19'!$J$238:$J$451),0)
),0)</f>
        <v>0</v>
      </c>
      <c r="N72" s="9">
        <f>IFERROR(SUM(
IF('TL01'!$B$3=N$3,SUMIF('TL01'!$C$10:$C$224,$C72,'TL01'!$J$10:$J$224),0),
IF('TL01'!$B$229=N$3,SUMIF('TL01'!$C$238:$C$451,$C72,'TL01'!$J$238:$J$451),0),
IF('TL02'!$B$3=N$3,SUMIF('TL02'!$C$10:$C$224,$C72,'TL02'!$J$10:$J$224),0),
IF('TL02'!$B$229=N$3,SUMIF('TL02'!$C$238:$C$451,$C72,'TL02'!$J$238:$J$451),0),
IF('TL03'!$B$3=N$3,SUMIF('TL03'!$C$10:$C$224,$C72,'TL03'!$J$10:$J$224),0),
IF('TL03'!$B$229=N$3,SUMIF('TL03'!$C$238:$C$451,$C72,'TL03'!$J$238:$J$451),0),
IF('TL04'!$B$3=N$3,SUMIF('TL04'!$C$10:$C$224,$C72,'TL04'!$J$10:$J$224),0),
IF('TL04'!$B$229=N$3,SUMIF('TL04'!$C$238:$C$451,$C72,'TL04'!$J$238:$J$451),0),
IF('TL05'!$B$3=N$3,SUMIF('TL05'!$C$10:$C$224,$C72,'TL05'!$J$10:$J$224),0),
IF('TL05'!$B$229=N$3,SUMIF('TL05'!$C$238:$C$451,$C72,'TL05'!$J$238:$J$451),0),
IF('TL06'!$B$3=N$3,SUMIF('TL06'!$C$10:$C$224,$C72,'TL06'!$J$10:$J$224),0),
IF('TL06'!$B$229=N$3,SUMIF('TL06'!$C$238:$C$451,$C72,'TL06'!$J$238:$J$451),0),
IF('TL07'!$B$3=N$3,SUMIF('TL07'!$C$10:$C$224,$C72,'TL07'!$J$10:$J$224),0),
IF('TL07'!$B$229=N$3,SUMIF('TL07'!$C$238:$C$451,$C72,'TL07'!$J$238:$J$451),0),
IF('TL08'!$B$3=N$3,SUMIF('TL08'!$C$10:$C$224,$C72,'TL08'!$J$10:$J$224),0),
IF('TL08'!$B$229=N$3,SUMIF('TL08'!$C$238:$C$451,$C72,'TL08'!$J$238:$J$451),0),
IF('TL09'!$B$3=N$3,SUMIF('TL09'!$C$10:$C$224,$C72,'TL09'!$J$10:$J$224),0),
IF('TL09'!$B$229=N$3,SUMIF('TL09'!$C$238:$C$451,$C72,'TL09'!$J$238:$J$451),0),
IF('TL10'!$B$3=N$3,SUMIF('TL10'!$C$10:$C$224,$C72,'TL10'!$J$10:$J$224),0),
IF('TL10'!$B$229=N$3,SUMIF('TL10'!$C$238:$C$451,$C72,'TL10'!$J$238:$J$451),0),
IF('TL11'!$B$3=N$3,SUMIF('TL11'!$C$10:$C$224,$C72,'TL11'!$J$10:$J$224),0),
IF('TL11'!$B$229=N$3,SUMIF('TL11'!$C$238:$C$451,$C72,'TL11'!$J$238:$J$451),0),
IF('TL12'!$B$3=N$3,SUMIF('TL12'!$C$10:$C$224,$C72,'TL12'!$J$10:$J$224),0),
IF('TL12'!$B$229=N$3,SUMIF('TL12'!$C$238:$C$451,$C72,'TL12'!$J$238:$J$451),0),
IF('TL13'!$B$3=N$3,SUMIF('TL13'!$C$10:$C$224,$C72,'TL13'!$J$10:$J$224),0),
IF('TL13'!$B$229=N$3,SUMIF('TL13'!$C$238:$C$451,$C72,'TL13'!$J$238:$J$451),0),
IF('TL14'!$B$3=N$3,SUMIF('TL14'!$C$10:$C$224,$C72,'TL14'!$J$10:$J$224),0),
IF('TL14'!$B$229=N$3,SUMIF('TL14'!$C$238:$C$451,$C72,'TL14'!$J$238:$J$451),0),
IF('TL15'!$B$3=N$3,SUMIF('TL15'!$C$10:$C$224,$C72,'TL15'!$J$10:$J$224),0),
IF('TL15'!$B$229=N$3,SUMIF('TL15'!$C$238:$C$451,$C72,'TL15'!$J$238:$J$451),0),
IF('TL16'!$B$3=N$3,SUMIF('TL16'!$C$10:$C$224,$C72,'TL16'!$J$10:$J$224),0),
IF('TL16'!$B$229=N$3,SUMIF('TL16'!$C$238:$C$451,$C72,'TL16'!$J$238:$J$451),0),
IF('TL17'!$B$3=N$3,SUMIF('TL17'!$C$10:$C$224,$C72,'TL17'!$J$10:$J$224),0),
IF('TL17'!$B$229=N$3,SUMIF('TL17'!$C$238:$C$451,$C72,'TL17'!$J$238:$J$451),0),
IF('TL18'!$B$3=N$3,SUMIF('TL18'!$C$10:$C$224,$C72,'TL18'!$J$10:$J$224),0),
IF('TL18'!$B$229=N$3,SUMIF('TL18'!$C$238:$C$451,$C72,'TL18'!$J$238:$J$451),0),
IF('TL19'!$B$3=N$3,SUMIF('TL19'!$C$10:$C$224,$C72,'TL19'!$J$10:$J$224),0),
IF('TL19'!$B$229=N$3,SUMIF('TL19'!$C$238:$C$451,$C72,'TL19'!$J$238:$J$451),0)
),0)</f>
        <v>0</v>
      </c>
      <c r="O72" s="9">
        <f>IFERROR(SUM(
IF('TL01'!$B$3=O$3,SUMIF('TL01'!$C$10:$C$224,$C72,'TL01'!$J$10:$J$224),0),
IF('TL01'!$B$229=O$3,SUMIF('TL01'!$C$238:$C$451,$C72,'TL01'!$J$238:$J$451),0),
IF('TL02'!$B$3=O$3,SUMIF('TL02'!$C$10:$C$224,$C72,'TL02'!$J$10:$J$224),0),
IF('TL02'!$B$229=O$3,SUMIF('TL02'!$C$238:$C$451,$C72,'TL02'!$J$238:$J$451),0),
IF('TL03'!$B$3=O$3,SUMIF('TL03'!$C$10:$C$224,$C72,'TL03'!$J$10:$J$224),0),
IF('TL03'!$B$229=O$3,SUMIF('TL03'!$C$238:$C$451,$C72,'TL03'!$J$238:$J$451),0),
IF('TL04'!$B$3=O$3,SUMIF('TL04'!$C$10:$C$224,$C72,'TL04'!$J$10:$J$224),0),
IF('TL04'!$B$229=O$3,SUMIF('TL04'!$C$238:$C$451,$C72,'TL04'!$J$238:$J$451),0),
IF('TL05'!$B$3=O$3,SUMIF('TL05'!$C$10:$C$224,$C72,'TL05'!$J$10:$J$224),0),
IF('TL05'!$B$229=O$3,SUMIF('TL05'!$C$238:$C$451,$C72,'TL05'!$J$238:$J$451),0),
IF('TL06'!$B$3=O$3,SUMIF('TL06'!$C$10:$C$224,$C72,'TL06'!$J$10:$J$224),0),
IF('TL06'!$B$229=O$3,SUMIF('TL06'!$C$238:$C$451,$C72,'TL06'!$J$238:$J$451),0),
IF('TL07'!$B$3=O$3,SUMIF('TL07'!$C$10:$C$224,$C72,'TL07'!$J$10:$J$224),0),
IF('TL07'!$B$229=O$3,SUMIF('TL07'!$C$238:$C$451,$C72,'TL07'!$J$238:$J$451),0),
IF('TL08'!$B$3=O$3,SUMIF('TL08'!$C$10:$C$224,$C72,'TL08'!$J$10:$J$224),0),
IF('TL08'!$B$229=O$3,SUMIF('TL08'!$C$238:$C$451,$C72,'TL08'!$J$238:$J$451),0),
IF('TL09'!$B$3=O$3,SUMIF('TL09'!$C$10:$C$224,$C72,'TL09'!$J$10:$J$224),0),
IF('TL09'!$B$229=O$3,SUMIF('TL09'!$C$238:$C$451,$C72,'TL09'!$J$238:$J$451),0),
IF('TL10'!$B$3=O$3,SUMIF('TL10'!$C$10:$C$224,$C72,'TL10'!$J$10:$J$224),0),
IF('TL10'!$B$229=O$3,SUMIF('TL10'!$C$238:$C$451,$C72,'TL10'!$J$238:$J$451),0),
IF('TL11'!$B$3=O$3,SUMIF('TL11'!$C$10:$C$224,$C72,'TL11'!$J$10:$J$224),0),
IF('TL11'!$B$229=O$3,SUMIF('TL11'!$C$238:$C$451,$C72,'TL11'!$J$238:$J$451),0),
IF('TL12'!$B$3=O$3,SUMIF('TL12'!$C$10:$C$224,$C72,'TL12'!$J$10:$J$224),0),
IF('TL12'!$B$229=O$3,SUMIF('TL12'!$C$238:$C$451,$C72,'TL12'!$J$238:$J$451),0),
IF('TL13'!$B$3=O$3,SUMIF('TL13'!$C$10:$C$224,$C72,'TL13'!$J$10:$J$224),0),
IF('TL13'!$B$229=O$3,SUMIF('TL13'!$C$238:$C$451,$C72,'TL13'!$J$238:$J$451),0),
IF('TL14'!$B$3=O$3,SUMIF('TL14'!$C$10:$C$224,$C72,'TL14'!$J$10:$J$224),0),
IF('TL14'!$B$229=O$3,SUMIF('TL14'!$C$238:$C$451,$C72,'TL14'!$J$238:$J$451),0),
IF('TL15'!$B$3=O$3,SUMIF('TL15'!$C$10:$C$224,$C72,'TL15'!$J$10:$J$224),0),
IF('TL15'!$B$229=O$3,SUMIF('TL15'!$C$238:$C$451,$C72,'TL15'!$J$238:$J$451),0),
IF('TL16'!$B$3=O$3,SUMIF('TL16'!$C$10:$C$224,$C72,'TL16'!$J$10:$J$224),0),
IF('TL16'!$B$229=O$3,SUMIF('TL16'!$C$238:$C$451,$C72,'TL16'!$J$238:$J$451),0),
IF('TL17'!$B$3=O$3,SUMIF('TL17'!$C$10:$C$224,$C72,'TL17'!$J$10:$J$224),0),
IF('TL17'!$B$229=O$3,SUMIF('TL17'!$C$238:$C$451,$C72,'TL17'!$J$238:$J$451),0),
IF('TL18'!$B$3=O$3,SUMIF('TL18'!$C$10:$C$224,$C72,'TL18'!$J$10:$J$224),0),
IF('TL18'!$B$229=O$3,SUMIF('TL18'!$C$238:$C$451,$C72,'TL18'!$J$238:$J$451),0),
IF('TL19'!$B$3=O$3,SUMIF('TL19'!$C$10:$C$224,$C72,'TL19'!$J$10:$J$224),0),
IF('TL19'!$B$229=O$3,SUMIF('TL19'!$C$238:$C$451,$C72,'TL19'!$J$238:$J$451),0)
),0)</f>
        <v>0</v>
      </c>
      <c r="P72" s="9">
        <f>IFERROR(SUM(
IF('TL01'!$B$3=P$3,SUMIF('TL01'!$C$10:$C$224,$C72,'TL01'!$J$10:$J$224),0),
IF('TL01'!$B$229=P$3,SUMIF('TL01'!$C$238:$C$451,$C72,'TL01'!$J$238:$J$451),0),
IF('TL02'!$B$3=P$3,SUMIF('TL02'!$C$10:$C$224,$C72,'TL02'!$J$10:$J$224),0),
IF('TL02'!$B$229=P$3,SUMIF('TL02'!$C$238:$C$451,$C72,'TL02'!$J$238:$J$451),0),
IF('TL03'!$B$3=P$3,SUMIF('TL03'!$C$10:$C$224,$C72,'TL03'!$J$10:$J$224),0),
IF('TL03'!$B$229=P$3,SUMIF('TL03'!$C$238:$C$451,$C72,'TL03'!$J$238:$J$451),0),
IF('TL04'!$B$3=P$3,SUMIF('TL04'!$C$10:$C$224,$C72,'TL04'!$J$10:$J$224),0),
IF('TL04'!$B$229=P$3,SUMIF('TL04'!$C$238:$C$451,$C72,'TL04'!$J$238:$J$451),0),
IF('TL05'!$B$3=P$3,SUMIF('TL05'!$C$10:$C$224,$C72,'TL05'!$J$10:$J$224),0),
IF('TL05'!$B$229=P$3,SUMIF('TL05'!$C$238:$C$451,$C72,'TL05'!$J$238:$J$451),0),
IF('TL06'!$B$3=P$3,SUMIF('TL06'!$C$10:$C$224,$C72,'TL06'!$J$10:$J$224),0),
IF('TL06'!$B$229=P$3,SUMIF('TL06'!$C$238:$C$451,$C72,'TL06'!$J$238:$J$451),0),
IF('TL07'!$B$3=P$3,SUMIF('TL07'!$C$10:$C$224,$C72,'TL07'!$J$10:$J$224),0),
IF('TL07'!$B$229=P$3,SUMIF('TL07'!$C$238:$C$451,$C72,'TL07'!$J$238:$J$451),0),
IF('TL08'!$B$3=P$3,SUMIF('TL08'!$C$10:$C$224,$C72,'TL08'!$J$10:$J$224),0),
IF('TL08'!$B$229=P$3,SUMIF('TL08'!$C$238:$C$451,$C72,'TL08'!$J$238:$J$451),0),
IF('TL09'!$B$3=P$3,SUMIF('TL09'!$C$10:$C$224,$C72,'TL09'!$J$10:$J$224),0),
IF('TL09'!$B$229=P$3,SUMIF('TL09'!$C$238:$C$451,$C72,'TL09'!$J$238:$J$451),0),
IF('TL10'!$B$3=P$3,SUMIF('TL10'!$C$10:$C$224,$C72,'TL10'!$J$10:$J$224),0),
IF('TL10'!$B$229=P$3,SUMIF('TL10'!$C$238:$C$451,$C72,'TL10'!$J$238:$J$451),0),
IF('TL11'!$B$3=P$3,SUMIF('TL11'!$C$10:$C$224,$C72,'TL11'!$J$10:$J$224),0),
IF('TL11'!$B$229=P$3,SUMIF('TL11'!$C$238:$C$451,$C72,'TL11'!$J$238:$J$451),0),
IF('TL12'!$B$3=P$3,SUMIF('TL12'!$C$10:$C$224,$C72,'TL12'!$J$10:$J$224),0),
IF('TL12'!$B$229=P$3,SUMIF('TL12'!$C$238:$C$451,$C72,'TL12'!$J$238:$J$451),0),
IF('TL13'!$B$3=P$3,SUMIF('TL13'!$C$10:$C$224,$C72,'TL13'!$J$10:$J$224),0),
IF('TL13'!$B$229=P$3,SUMIF('TL13'!$C$238:$C$451,$C72,'TL13'!$J$238:$J$451),0),
IF('TL14'!$B$3=P$3,SUMIF('TL14'!$C$10:$C$224,$C72,'TL14'!$J$10:$J$224),0),
IF('TL14'!$B$229=P$3,SUMIF('TL14'!$C$238:$C$451,$C72,'TL14'!$J$238:$J$451),0),
IF('TL15'!$B$3=P$3,SUMIF('TL15'!$C$10:$C$224,$C72,'TL15'!$J$10:$J$224),0),
IF('TL15'!$B$229=P$3,SUMIF('TL15'!$C$238:$C$451,$C72,'TL15'!$J$238:$J$451),0),
IF('TL16'!$B$3=P$3,SUMIF('TL16'!$C$10:$C$224,$C72,'TL16'!$J$10:$J$224),0),
IF('TL16'!$B$229=P$3,SUMIF('TL16'!$C$238:$C$451,$C72,'TL16'!$J$238:$J$451),0),
IF('TL17'!$B$3=P$3,SUMIF('TL17'!$C$10:$C$224,$C72,'TL17'!$J$10:$J$224),0),
IF('TL17'!$B$229=P$3,SUMIF('TL17'!$C$238:$C$451,$C72,'TL17'!$J$238:$J$451),0),
IF('TL18'!$B$3=P$3,SUMIF('TL18'!$C$10:$C$224,$C72,'TL18'!$J$10:$J$224),0),
IF('TL18'!$B$229=P$3,SUMIF('TL18'!$C$238:$C$451,$C72,'TL18'!$J$238:$J$451),0),
IF('TL19'!$B$3=P$3,SUMIF('TL19'!$C$10:$C$224,$C72,'TL19'!$J$10:$J$224),0),
IF('TL19'!$B$229=P$3,SUMIF('TL19'!$C$238:$C$451,$C72,'TL19'!$J$238:$J$451),0)
),0)</f>
        <v>0</v>
      </c>
      <c r="Q72" s="9">
        <f>IFERROR(SUM(
IF('TL01'!$B$3=Q$3,SUMIF('TL01'!$C$10:$C$224,$C72,'TL01'!$J$10:$J$224),0),
IF('TL01'!$B$229=Q$3,SUMIF('TL01'!$C$238:$C$451,$C72,'TL01'!$J$238:$J$451),0),
IF('TL02'!$B$3=Q$3,SUMIF('TL02'!$C$10:$C$224,$C72,'TL02'!$J$10:$J$224),0),
IF('TL02'!$B$229=Q$3,SUMIF('TL02'!$C$238:$C$451,$C72,'TL02'!$J$238:$J$451),0),
IF('TL03'!$B$3=Q$3,SUMIF('TL03'!$C$10:$C$224,$C72,'TL03'!$J$10:$J$224),0),
IF('TL03'!$B$229=Q$3,SUMIF('TL03'!$C$238:$C$451,$C72,'TL03'!$J$238:$J$451),0),
IF('TL04'!$B$3=Q$3,SUMIF('TL04'!$C$10:$C$224,$C72,'TL04'!$J$10:$J$224),0),
IF('TL04'!$B$229=Q$3,SUMIF('TL04'!$C$238:$C$451,$C72,'TL04'!$J$238:$J$451),0),
IF('TL05'!$B$3=Q$3,SUMIF('TL05'!$C$10:$C$224,$C72,'TL05'!$J$10:$J$224),0),
IF('TL05'!$B$229=Q$3,SUMIF('TL05'!$C$238:$C$451,$C72,'TL05'!$J$238:$J$451),0),
IF('TL06'!$B$3=Q$3,SUMIF('TL06'!$C$10:$C$224,$C72,'TL06'!$J$10:$J$224),0),
IF('TL06'!$B$229=Q$3,SUMIF('TL06'!$C$238:$C$451,$C72,'TL06'!$J$238:$J$451),0),
IF('TL07'!$B$3=Q$3,SUMIF('TL07'!$C$10:$C$224,$C72,'TL07'!$J$10:$J$224),0),
IF('TL07'!$B$229=Q$3,SUMIF('TL07'!$C$238:$C$451,$C72,'TL07'!$J$238:$J$451),0),
IF('TL08'!$B$3=Q$3,SUMIF('TL08'!$C$10:$C$224,$C72,'TL08'!$J$10:$J$224),0),
IF('TL08'!$B$229=Q$3,SUMIF('TL08'!$C$238:$C$451,$C72,'TL08'!$J$238:$J$451),0),
IF('TL09'!$B$3=Q$3,SUMIF('TL09'!$C$10:$C$224,$C72,'TL09'!$J$10:$J$224),0),
IF('TL09'!$B$229=Q$3,SUMIF('TL09'!$C$238:$C$451,$C72,'TL09'!$J$238:$J$451),0),
IF('TL10'!$B$3=Q$3,SUMIF('TL10'!$C$10:$C$224,$C72,'TL10'!$J$10:$J$224),0),
IF('TL10'!$B$229=Q$3,SUMIF('TL10'!$C$238:$C$451,$C72,'TL10'!$J$238:$J$451),0),
IF('TL11'!$B$3=Q$3,SUMIF('TL11'!$C$10:$C$224,$C72,'TL11'!$J$10:$J$224),0),
IF('TL11'!$B$229=Q$3,SUMIF('TL11'!$C$238:$C$451,$C72,'TL11'!$J$238:$J$451),0),
IF('TL12'!$B$3=Q$3,SUMIF('TL12'!$C$10:$C$224,$C72,'TL12'!$J$10:$J$224),0),
IF('TL12'!$B$229=Q$3,SUMIF('TL12'!$C$238:$C$451,$C72,'TL12'!$J$238:$J$451),0),
IF('TL13'!$B$3=Q$3,SUMIF('TL13'!$C$10:$C$224,$C72,'TL13'!$J$10:$J$224),0),
IF('TL13'!$B$229=Q$3,SUMIF('TL13'!$C$238:$C$451,$C72,'TL13'!$J$238:$J$451),0),
IF('TL14'!$B$3=Q$3,SUMIF('TL14'!$C$10:$C$224,$C72,'TL14'!$J$10:$J$224),0),
IF('TL14'!$B$229=Q$3,SUMIF('TL14'!$C$238:$C$451,$C72,'TL14'!$J$238:$J$451),0),
IF('TL15'!$B$3=Q$3,SUMIF('TL15'!$C$10:$C$224,$C72,'TL15'!$J$10:$J$224),0),
IF('TL15'!$B$229=Q$3,SUMIF('TL15'!$C$238:$C$451,$C72,'TL15'!$J$238:$J$451),0),
IF('TL16'!$B$3=Q$3,SUMIF('TL16'!$C$10:$C$224,$C72,'TL16'!$J$10:$J$224),0),
IF('TL16'!$B$229=Q$3,SUMIF('TL16'!$C$238:$C$451,$C72,'TL16'!$J$238:$J$451),0),
IF('TL17'!$B$3=Q$3,SUMIF('TL17'!$C$10:$C$224,$C72,'TL17'!$J$10:$J$224),0),
IF('TL17'!$B$229=Q$3,SUMIF('TL17'!$C$238:$C$451,$C72,'TL17'!$J$238:$J$451),0),
IF('TL18'!$B$3=Q$3,SUMIF('TL18'!$C$10:$C$224,$C72,'TL18'!$J$10:$J$224),0),
IF('TL18'!$B$229=Q$3,SUMIF('TL18'!$C$238:$C$451,$C72,'TL18'!$J$238:$J$451),0),
IF('TL19'!$B$3=Q$3,SUMIF('TL19'!$C$10:$C$224,$C72,'TL19'!$J$10:$J$224),0),
IF('TL19'!$B$229=Q$3,SUMIF('TL19'!$C$238:$C$451,$C72,'TL19'!$J$238:$J$451),0)
),0)</f>
        <v>0</v>
      </c>
      <c r="R72" s="9">
        <f>IFERROR(
SUM(
SUMIF('TL01'!C:C,C72,'TL01'!J:J),
SUMIF('TL02'!C:C,C72,'TL02'!J:J),
SUMIF('TL03'!C:C,C72,'TL03'!J:J),
SUMIF('TL04'!C:C,C72,'TL04'!J:J),
SUMIF('TL05'!C:C,C72,'TL05'!J:J),
SUMIF('TL06'!C:C,C72,'TL06'!J:J),
SUMIF('TL07'!C:C,C72,'TL07'!J:J),
SUMIF('TL08'!C:C,C72,'TL08'!J:J),
SUMIF('TL09'!C:C,C72,'TL09'!J:J),
SUMIF('TL10'!C:C,C72,'TL10'!J:J),
SUMIF('TL11'!C:C,C72,'TL11'!J:J),
SUMIF('TL12'!C:C,C72,'TL12'!J:J),
SUMIF('TL13'!C:C,C72,'TL13'!J:J),
SUMIF('TL14'!C:C,C72,'TL14'!J:J),
SUMIF('TL15'!C:C,C72,'TL15'!J:J),
SUMIF('TL16'!C:C,C72,'TL16'!J:J),
SUMIF('TL17'!C:C,C72,'TL17'!J:J),
SUMIF('TL18'!C:C,C72,'TL18'!J:J),SUMIF('TL19'!C:C,C72,'TL19'!J:J))
,0)</f>
        <v>0</v>
      </c>
      <c r="S72" s="17">
        <f>IFERROR(__xludf.DUMMYFUNCTION("IFERROR(VLOOKUP(C72,
IMPORTRANGE(""1wULbzX32WdYsx-lj2U3uUNBBe2INVIRDtcK0d-Dvl90"",
""26-27!C:G""),
5,
FALSE),
"""")"),67.68)</f>
        <v>67.68</v>
      </c>
      <c r="T72" s="9"/>
      <c r="U72" s="92">
        <f t="shared" si="2"/>
        <v>0</v>
      </c>
      <c r="V72" s="93">
        <f t="shared" si="3"/>
        <v>0</v>
      </c>
    </row>
    <row r="73" ht="15.75" hidden="1" customHeight="1">
      <c r="A73" s="111" t="s">
        <v>516</v>
      </c>
      <c r="B73" s="112" t="s">
        <v>0</v>
      </c>
      <c r="C73" s="113" t="s">
        <v>524</v>
      </c>
      <c r="D73" s="113" t="s">
        <v>525</v>
      </c>
      <c r="E73" s="113">
        <v>500.0</v>
      </c>
      <c r="F73" s="4" t="s">
        <v>343</v>
      </c>
      <c r="G73" s="90" t="str">
        <f t="shared" si="4"/>
        <v>📄 Ver bula</v>
      </c>
      <c r="H73" s="9">
        <f>IFERROR(__xludf.DUMMYFUNCTION("IFERROR(VLOOKUP(C73,
IMPORTRANGE(""1wULbzX32WdYsx-lj2U3uUNBBe2INVIRDtcK0d-Dvl90"",
""26-27!C:K""),
8,
FALSE),
"""")"),0.3)</f>
        <v>0.3</v>
      </c>
      <c r="I73" s="114" t="s">
        <v>361</v>
      </c>
      <c r="J73" s="9">
        <f>IFERROR(SUM(
IF('TL01'!$B$3=J$3,SUMIF('TL01'!$C$10:$C$224,$C73,'TL01'!$J$10:$J$224),0),
IF('TL01'!$B$229=J$3,SUMIF('TL01'!$C$238:$C$451,$C73,'TL01'!$J$238:$J$451),0),
IF('TL02'!$B$3=J$3,SUMIF('TL02'!$C$10:$C$224,$C73,'TL02'!$J$10:$J$224),0),
IF('TL02'!$B$229=J$3,SUMIF('TL02'!$C$238:$C$451,$C73,'TL02'!$J$238:$J$451),0),
IF('TL03'!$B$3=J$3,SUMIF('TL03'!$C$10:$C$224,$C73,'TL03'!$J$10:$J$224),0),
IF('TL03'!$B$229=J$3,SUMIF('TL03'!$C$238:$C$451,$C73,'TL03'!$J$238:$J$451),0),
IF('TL04'!$B$3=J$3,SUMIF('TL04'!$C$10:$C$224,$C73,'TL04'!$J$10:$J$224),0),
IF('TL04'!$B$229=J$3,SUMIF('TL04'!$C$238:$C$451,$C73,'TL04'!$J$238:$J$451),0),
IF('TL05'!$B$3=J$3,SUMIF('TL05'!$C$10:$C$224,$C73,'TL05'!$J$10:$J$224),0),
IF('TL05'!$B$229=J$3,SUMIF('TL05'!$C$238:$C$451,$C73,'TL05'!$J$238:$J$451),0),
IF('TL06'!$B$3=J$3,SUMIF('TL06'!$C$10:$C$224,$C73,'TL06'!$J$10:$J$224),0),
IF('TL06'!$B$229=J$3,SUMIF('TL06'!$C$238:$C$451,$C73,'TL06'!$J$238:$J$451),0),
IF('TL07'!$B$3=J$3,SUMIF('TL07'!$C$10:$C$224,$C73,'TL07'!$J$10:$J$224),0),
IF('TL07'!$B$229=J$3,SUMIF('TL07'!$C$238:$C$451,$C73,'TL07'!$J$238:$J$451),0),
IF('TL08'!$B$3=J$3,SUMIF('TL08'!$C$10:$C$224,$C73,'TL08'!$J$10:$J$224),0),
IF('TL08'!$B$229=J$3,SUMIF('TL08'!$C$238:$C$451,$C73,'TL08'!$J$238:$J$451),0),
IF('TL09'!$B$3=J$3,SUMIF('TL09'!$C$10:$C$224,$C73,'TL09'!$J$10:$J$224),0),
IF('TL09'!$B$229=J$3,SUMIF('TL09'!$C$238:$C$451,$C73,'TL09'!$J$238:$J$451),0),
IF('TL10'!$B$3=J$3,SUMIF('TL10'!$C$10:$C$224,$C73,'TL10'!$J$10:$J$224),0),
IF('TL10'!$B$229=J$3,SUMIF('TL10'!$C$238:$C$451,$C73,'TL10'!$J$238:$J$451),0),
IF('TL11'!$B$3=J$3,SUMIF('TL11'!$C$10:$C$224,$C73,'TL11'!$J$10:$J$224),0),
IF('TL11'!$B$229=J$3,SUMIF('TL11'!$C$238:$C$451,$C73,'TL11'!$J$238:$J$451),0),
IF('TL12'!$B$3=J$3,SUMIF('TL12'!$C$10:$C$224,$C73,'TL12'!$J$10:$J$224),0),
IF('TL12'!$B$229=J$3,SUMIF('TL12'!$C$238:$C$451,$C73,'TL12'!$J$238:$J$451),0),
IF('TL13'!$B$3=J$3,SUMIF('TL13'!$C$10:$C$224,$C73,'TL13'!$J$10:$J$224),0),
IF('TL13'!$B$229=J$3,SUMIF('TL13'!$C$238:$C$451,$C73,'TL13'!$J$238:$J$451),0),
IF('TL14'!$B$3=J$3,SUMIF('TL14'!$C$10:$C$224,$C73,'TL14'!$J$10:$J$224),0),
IF('TL14'!$B$229=J$3,SUMIF('TL14'!$C$238:$C$451,$C73,'TL14'!$J$238:$J$451),0),
IF('TL15'!$B$3=J$3,SUMIF('TL15'!$C$10:$C$224,$C73,'TL15'!$J$10:$J$224),0),
IF('TL15'!$B$229=J$3,SUMIF('TL15'!$C$238:$C$451,$C73,'TL15'!$J$238:$J$451),0),
IF('TL16'!$B$3=J$3,SUMIF('TL16'!$C$10:$C$224,$C73,'TL16'!$J$10:$J$224),0),
IF('TL16'!$B$229=J$3,SUMIF('TL16'!$C$238:$C$451,$C73,'TL16'!$J$238:$J$451),0),
IF('TL17'!$B$3=J$3,SUMIF('TL17'!$C$10:$C$224,$C73,'TL17'!$J$10:$J$224),0),
IF('TL17'!$B$229=J$3,SUMIF('TL17'!$C$238:$C$451,$C73,'TL17'!$J$238:$J$451),0),
IF('TL18'!$B$3=J$3,SUMIF('TL18'!$C$10:$C$224,$C73,'TL18'!$J$10:$J$224),0),
IF('TL18'!$B$229=J$3,SUMIF('TL18'!$C$238:$C$451,$C73,'TL18'!$J$238:$J$451),0),
IF('TL19'!$B$3=J$3,SUMIF('TL19'!$C$10:$C$224,$C73,'TL19'!$J$10:$J$224),0),
IF('TL19'!$B$229=J$3,SUMIF('TL19'!$C$238:$C$451,$C73,'TL19'!$J$238:$J$451),0)
),0)</f>
        <v>0</v>
      </c>
      <c r="K73" s="9">
        <f>IFERROR(SUM(
IF('TL01'!$B$3=K$3,SUMIF('TL01'!$C$10:$C$224,$C73,'TL01'!$J$10:$J$224),0),
IF('TL01'!$B$229=K$3,SUMIF('TL01'!$C$238:$C$451,$C73,'TL01'!$J$238:$J$451),0),
IF('TL02'!$B$3=K$3,SUMIF('TL02'!$C$10:$C$224,$C73,'TL02'!$J$10:$J$224),0),
IF('TL02'!$B$229=K$3,SUMIF('TL02'!$C$238:$C$451,$C73,'TL02'!$J$238:$J$451),0),
IF('TL03'!$B$3=K$3,SUMIF('TL03'!$C$10:$C$224,$C73,'TL03'!$J$10:$J$224),0),
IF('TL03'!$B$229=K$3,SUMIF('TL03'!$C$238:$C$451,$C73,'TL03'!$J$238:$J$451),0),
IF('TL04'!$B$3=K$3,SUMIF('TL04'!$C$10:$C$224,$C73,'TL04'!$J$10:$J$224),0),
IF('TL04'!$B$229=K$3,SUMIF('TL04'!$C$238:$C$451,$C73,'TL04'!$J$238:$J$451),0),
IF('TL05'!$B$3=K$3,SUMIF('TL05'!$C$10:$C$224,$C73,'TL05'!$J$10:$J$224),0),
IF('TL05'!$B$229=K$3,SUMIF('TL05'!$C$238:$C$451,$C73,'TL05'!$J$238:$J$451),0),
IF('TL06'!$B$3=K$3,SUMIF('TL06'!$C$10:$C$224,$C73,'TL06'!$J$10:$J$224),0),
IF('TL06'!$B$229=K$3,SUMIF('TL06'!$C$238:$C$451,$C73,'TL06'!$J$238:$J$451),0),
IF('TL07'!$B$3=K$3,SUMIF('TL07'!$C$10:$C$224,$C73,'TL07'!$J$10:$J$224),0),
IF('TL07'!$B$229=K$3,SUMIF('TL07'!$C$238:$C$451,$C73,'TL07'!$J$238:$J$451),0),
IF('TL08'!$B$3=K$3,SUMIF('TL08'!$C$10:$C$224,$C73,'TL08'!$J$10:$J$224),0),
IF('TL08'!$B$229=K$3,SUMIF('TL08'!$C$238:$C$451,$C73,'TL08'!$J$238:$J$451),0),
IF('TL09'!$B$3=K$3,SUMIF('TL09'!$C$10:$C$224,$C73,'TL09'!$J$10:$J$224),0),
IF('TL09'!$B$229=K$3,SUMIF('TL09'!$C$238:$C$451,$C73,'TL09'!$J$238:$J$451),0),
IF('TL10'!$B$3=K$3,SUMIF('TL10'!$C$10:$C$224,$C73,'TL10'!$J$10:$J$224),0),
IF('TL10'!$B$229=K$3,SUMIF('TL10'!$C$238:$C$451,$C73,'TL10'!$J$238:$J$451),0),
IF('TL11'!$B$3=K$3,SUMIF('TL11'!$C$10:$C$224,$C73,'TL11'!$J$10:$J$224),0),
IF('TL11'!$B$229=K$3,SUMIF('TL11'!$C$238:$C$451,$C73,'TL11'!$J$238:$J$451),0),
IF('TL12'!$B$3=K$3,SUMIF('TL12'!$C$10:$C$224,$C73,'TL12'!$J$10:$J$224),0),
IF('TL12'!$B$229=K$3,SUMIF('TL12'!$C$238:$C$451,$C73,'TL12'!$J$238:$J$451),0),
IF('TL13'!$B$3=K$3,SUMIF('TL13'!$C$10:$C$224,$C73,'TL13'!$J$10:$J$224),0),
IF('TL13'!$B$229=K$3,SUMIF('TL13'!$C$238:$C$451,$C73,'TL13'!$J$238:$J$451),0),
IF('TL14'!$B$3=K$3,SUMIF('TL14'!$C$10:$C$224,$C73,'TL14'!$J$10:$J$224),0),
IF('TL14'!$B$229=K$3,SUMIF('TL14'!$C$238:$C$451,$C73,'TL14'!$J$238:$J$451),0),
IF('TL15'!$B$3=K$3,SUMIF('TL15'!$C$10:$C$224,$C73,'TL15'!$J$10:$J$224),0),
IF('TL15'!$B$229=K$3,SUMIF('TL15'!$C$238:$C$451,$C73,'TL15'!$J$238:$J$451),0),
IF('TL16'!$B$3=K$3,SUMIF('TL16'!$C$10:$C$224,$C73,'TL16'!$J$10:$J$224),0),
IF('TL16'!$B$229=K$3,SUMIF('TL16'!$C$238:$C$451,$C73,'TL16'!$J$238:$J$451),0),
IF('TL17'!$B$3=K$3,SUMIF('TL17'!$C$10:$C$224,$C73,'TL17'!$J$10:$J$224),0),
IF('TL17'!$B$229=K$3,SUMIF('TL17'!$C$238:$C$451,$C73,'TL17'!$J$238:$J$451),0),
IF('TL18'!$B$3=K$3,SUMIF('TL18'!$C$10:$C$224,$C73,'TL18'!$J$10:$J$224),0),
IF('TL18'!$B$229=K$3,SUMIF('TL18'!$C$238:$C$451,$C73,'TL18'!$J$238:$J$451),0),
IF('TL19'!$B$3=K$3,SUMIF('TL19'!$C$10:$C$224,$C73,'TL19'!$J$10:$J$224),0),
IF('TL19'!$B$229=K$3,SUMIF('TL19'!$C$238:$C$451,$C73,'TL19'!$J$238:$J$451),0)
),0)</f>
        <v>0</v>
      </c>
      <c r="L73" s="9">
        <f>IFERROR(SUM(
IF('TL01'!$B$3=L$3,SUMIF('TL01'!$C$10:$C$224,$C73,'TL01'!$J$10:$J$224),0),
IF('TL01'!$B$229=L$3,SUMIF('TL01'!$C$238:$C$451,$C73,'TL01'!$J$238:$J$451),0),
IF('TL02'!$B$3=L$3,SUMIF('TL02'!$C$10:$C$224,$C73,'TL02'!$J$10:$J$224),0),
IF('TL02'!$B$229=L$3,SUMIF('TL02'!$C$238:$C$451,$C73,'TL02'!$J$238:$J$451),0),
IF('TL03'!$B$3=L$3,SUMIF('TL03'!$C$10:$C$224,$C73,'TL03'!$J$10:$J$224),0),
IF('TL03'!$B$229=L$3,SUMIF('TL03'!$C$238:$C$451,$C73,'TL03'!$J$238:$J$451),0),
IF('TL04'!$B$3=L$3,SUMIF('TL04'!$C$10:$C$224,$C73,'TL04'!$J$10:$J$224),0),
IF('TL04'!$B$229=L$3,SUMIF('TL04'!$C$238:$C$451,$C73,'TL04'!$J$238:$J$451),0),
IF('TL05'!$B$3=L$3,SUMIF('TL05'!$C$10:$C$224,$C73,'TL05'!$J$10:$J$224),0),
IF('TL05'!$B$229=L$3,SUMIF('TL05'!$C$238:$C$451,$C73,'TL05'!$J$238:$J$451),0),
IF('TL06'!$B$3=L$3,SUMIF('TL06'!$C$10:$C$224,$C73,'TL06'!$J$10:$J$224),0),
IF('TL06'!$B$229=L$3,SUMIF('TL06'!$C$238:$C$451,$C73,'TL06'!$J$238:$J$451),0),
IF('TL07'!$B$3=L$3,SUMIF('TL07'!$C$10:$C$224,$C73,'TL07'!$J$10:$J$224),0),
IF('TL07'!$B$229=L$3,SUMIF('TL07'!$C$238:$C$451,$C73,'TL07'!$J$238:$J$451),0),
IF('TL08'!$B$3=L$3,SUMIF('TL08'!$C$10:$C$224,$C73,'TL08'!$J$10:$J$224),0),
IF('TL08'!$B$229=L$3,SUMIF('TL08'!$C$238:$C$451,$C73,'TL08'!$J$238:$J$451),0),
IF('TL09'!$B$3=L$3,SUMIF('TL09'!$C$10:$C$224,$C73,'TL09'!$J$10:$J$224),0),
IF('TL09'!$B$229=L$3,SUMIF('TL09'!$C$238:$C$451,$C73,'TL09'!$J$238:$J$451),0),
IF('TL10'!$B$3=L$3,SUMIF('TL10'!$C$10:$C$224,$C73,'TL10'!$J$10:$J$224),0),
IF('TL10'!$B$229=L$3,SUMIF('TL10'!$C$238:$C$451,$C73,'TL10'!$J$238:$J$451),0),
IF('TL11'!$B$3=L$3,SUMIF('TL11'!$C$10:$C$224,$C73,'TL11'!$J$10:$J$224),0),
IF('TL11'!$B$229=L$3,SUMIF('TL11'!$C$238:$C$451,$C73,'TL11'!$J$238:$J$451),0),
IF('TL12'!$B$3=L$3,SUMIF('TL12'!$C$10:$C$224,$C73,'TL12'!$J$10:$J$224),0),
IF('TL12'!$B$229=L$3,SUMIF('TL12'!$C$238:$C$451,$C73,'TL12'!$J$238:$J$451),0),
IF('TL13'!$B$3=L$3,SUMIF('TL13'!$C$10:$C$224,$C73,'TL13'!$J$10:$J$224),0),
IF('TL13'!$B$229=L$3,SUMIF('TL13'!$C$238:$C$451,$C73,'TL13'!$J$238:$J$451),0),
IF('TL14'!$B$3=L$3,SUMIF('TL14'!$C$10:$C$224,$C73,'TL14'!$J$10:$J$224),0),
IF('TL14'!$B$229=L$3,SUMIF('TL14'!$C$238:$C$451,$C73,'TL14'!$J$238:$J$451),0),
IF('TL15'!$B$3=L$3,SUMIF('TL15'!$C$10:$C$224,$C73,'TL15'!$J$10:$J$224),0),
IF('TL15'!$B$229=L$3,SUMIF('TL15'!$C$238:$C$451,$C73,'TL15'!$J$238:$J$451),0),
IF('TL16'!$B$3=L$3,SUMIF('TL16'!$C$10:$C$224,$C73,'TL16'!$J$10:$J$224),0),
IF('TL16'!$B$229=L$3,SUMIF('TL16'!$C$238:$C$451,$C73,'TL16'!$J$238:$J$451),0),
IF('TL17'!$B$3=L$3,SUMIF('TL17'!$C$10:$C$224,$C73,'TL17'!$J$10:$J$224),0),
IF('TL17'!$B$229=L$3,SUMIF('TL17'!$C$238:$C$451,$C73,'TL17'!$J$238:$J$451),0),
IF('TL18'!$B$3=L$3,SUMIF('TL18'!$C$10:$C$224,$C73,'TL18'!$J$10:$J$224),0),
IF('TL18'!$B$229=L$3,SUMIF('TL18'!$C$238:$C$451,$C73,'TL18'!$J$238:$J$451),0),
IF('TL19'!$B$3=L$3,SUMIF('TL19'!$C$10:$C$224,$C73,'TL19'!$J$10:$J$224),0),
IF('TL19'!$B$229=L$3,SUMIF('TL19'!$C$238:$C$451,$C73,'TL19'!$J$238:$J$451),0)
),0)</f>
        <v>0</v>
      </c>
      <c r="M73" s="9">
        <f>IFERROR(SUM(
IF('TL01'!$B$3=M$3,SUMIF('TL01'!$C$10:$C$224,$C73,'TL01'!$J$10:$J$224),0),
IF('TL01'!$B$229=M$3,SUMIF('TL01'!$C$238:$C$451,$C73,'TL01'!$J$238:$J$451),0),
IF('TL02'!$B$3=M$3,SUMIF('TL02'!$C$10:$C$224,$C73,'TL02'!$J$10:$J$224),0),
IF('TL02'!$B$229=M$3,SUMIF('TL02'!$C$238:$C$451,$C73,'TL02'!$J$238:$J$451),0),
IF('TL03'!$B$3=M$3,SUMIF('TL03'!$C$10:$C$224,$C73,'TL03'!$J$10:$J$224),0),
IF('TL03'!$B$229=M$3,SUMIF('TL03'!$C$238:$C$451,$C73,'TL03'!$J$238:$J$451),0),
IF('TL04'!$B$3=M$3,SUMIF('TL04'!$C$10:$C$224,$C73,'TL04'!$J$10:$J$224),0),
IF('TL04'!$B$229=M$3,SUMIF('TL04'!$C$238:$C$451,$C73,'TL04'!$J$238:$J$451),0),
IF('TL05'!$B$3=M$3,SUMIF('TL05'!$C$10:$C$224,$C73,'TL05'!$J$10:$J$224),0),
IF('TL05'!$B$229=M$3,SUMIF('TL05'!$C$238:$C$451,$C73,'TL05'!$J$238:$J$451),0),
IF('TL06'!$B$3=M$3,SUMIF('TL06'!$C$10:$C$224,$C73,'TL06'!$J$10:$J$224),0),
IF('TL06'!$B$229=M$3,SUMIF('TL06'!$C$238:$C$451,$C73,'TL06'!$J$238:$J$451),0),
IF('TL07'!$B$3=M$3,SUMIF('TL07'!$C$10:$C$224,$C73,'TL07'!$J$10:$J$224),0),
IF('TL07'!$B$229=M$3,SUMIF('TL07'!$C$238:$C$451,$C73,'TL07'!$J$238:$J$451),0),
IF('TL08'!$B$3=M$3,SUMIF('TL08'!$C$10:$C$224,$C73,'TL08'!$J$10:$J$224),0),
IF('TL08'!$B$229=M$3,SUMIF('TL08'!$C$238:$C$451,$C73,'TL08'!$J$238:$J$451),0),
IF('TL09'!$B$3=M$3,SUMIF('TL09'!$C$10:$C$224,$C73,'TL09'!$J$10:$J$224),0),
IF('TL09'!$B$229=M$3,SUMIF('TL09'!$C$238:$C$451,$C73,'TL09'!$J$238:$J$451),0),
IF('TL10'!$B$3=M$3,SUMIF('TL10'!$C$10:$C$224,$C73,'TL10'!$J$10:$J$224),0),
IF('TL10'!$B$229=M$3,SUMIF('TL10'!$C$238:$C$451,$C73,'TL10'!$J$238:$J$451),0),
IF('TL11'!$B$3=M$3,SUMIF('TL11'!$C$10:$C$224,$C73,'TL11'!$J$10:$J$224),0),
IF('TL11'!$B$229=M$3,SUMIF('TL11'!$C$238:$C$451,$C73,'TL11'!$J$238:$J$451),0),
IF('TL12'!$B$3=M$3,SUMIF('TL12'!$C$10:$C$224,$C73,'TL12'!$J$10:$J$224),0),
IF('TL12'!$B$229=M$3,SUMIF('TL12'!$C$238:$C$451,$C73,'TL12'!$J$238:$J$451),0),
IF('TL13'!$B$3=M$3,SUMIF('TL13'!$C$10:$C$224,$C73,'TL13'!$J$10:$J$224),0),
IF('TL13'!$B$229=M$3,SUMIF('TL13'!$C$238:$C$451,$C73,'TL13'!$J$238:$J$451),0),
IF('TL14'!$B$3=M$3,SUMIF('TL14'!$C$10:$C$224,$C73,'TL14'!$J$10:$J$224),0),
IF('TL14'!$B$229=M$3,SUMIF('TL14'!$C$238:$C$451,$C73,'TL14'!$J$238:$J$451),0),
IF('TL15'!$B$3=M$3,SUMIF('TL15'!$C$10:$C$224,$C73,'TL15'!$J$10:$J$224),0),
IF('TL15'!$B$229=M$3,SUMIF('TL15'!$C$238:$C$451,$C73,'TL15'!$J$238:$J$451),0),
IF('TL16'!$B$3=M$3,SUMIF('TL16'!$C$10:$C$224,$C73,'TL16'!$J$10:$J$224),0),
IF('TL16'!$B$229=M$3,SUMIF('TL16'!$C$238:$C$451,$C73,'TL16'!$J$238:$J$451),0),
IF('TL17'!$B$3=M$3,SUMIF('TL17'!$C$10:$C$224,$C73,'TL17'!$J$10:$J$224),0),
IF('TL17'!$B$229=M$3,SUMIF('TL17'!$C$238:$C$451,$C73,'TL17'!$J$238:$J$451),0),
IF('TL18'!$B$3=M$3,SUMIF('TL18'!$C$10:$C$224,$C73,'TL18'!$J$10:$J$224),0),
IF('TL18'!$B$229=M$3,SUMIF('TL18'!$C$238:$C$451,$C73,'TL18'!$J$238:$J$451),0),
IF('TL19'!$B$3=M$3,SUMIF('TL19'!$C$10:$C$224,$C73,'TL19'!$J$10:$J$224),0),
IF('TL19'!$B$229=M$3,SUMIF('TL19'!$C$238:$C$451,$C73,'TL19'!$J$238:$J$451),0)
),0)</f>
        <v>0</v>
      </c>
      <c r="N73" s="9">
        <f>IFERROR(SUM(
IF('TL01'!$B$3=N$3,SUMIF('TL01'!$C$10:$C$224,$C73,'TL01'!$J$10:$J$224),0),
IF('TL01'!$B$229=N$3,SUMIF('TL01'!$C$238:$C$451,$C73,'TL01'!$J$238:$J$451),0),
IF('TL02'!$B$3=N$3,SUMIF('TL02'!$C$10:$C$224,$C73,'TL02'!$J$10:$J$224),0),
IF('TL02'!$B$229=N$3,SUMIF('TL02'!$C$238:$C$451,$C73,'TL02'!$J$238:$J$451),0),
IF('TL03'!$B$3=N$3,SUMIF('TL03'!$C$10:$C$224,$C73,'TL03'!$J$10:$J$224),0),
IF('TL03'!$B$229=N$3,SUMIF('TL03'!$C$238:$C$451,$C73,'TL03'!$J$238:$J$451),0),
IF('TL04'!$B$3=N$3,SUMIF('TL04'!$C$10:$C$224,$C73,'TL04'!$J$10:$J$224),0),
IF('TL04'!$B$229=N$3,SUMIF('TL04'!$C$238:$C$451,$C73,'TL04'!$J$238:$J$451),0),
IF('TL05'!$B$3=N$3,SUMIF('TL05'!$C$10:$C$224,$C73,'TL05'!$J$10:$J$224),0),
IF('TL05'!$B$229=N$3,SUMIF('TL05'!$C$238:$C$451,$C73,'TL05'!$J$238:$J$451),0),
IF('TL06'!$B$3=N$3,SUMIF('TL06'!$C$10:$C$224,$C73,'TL06'!$J$10:$J$224),0),
IF('TL06'!$B$229=N$3,SUMIF('TL06'!$C$238:$C$451,$C73,'TL06'!$J$238:$J$451),0),
IF('TL07'!$B$3=N$3,SUMIF('TL07'!$C$10:$C$224,$C73,'TL07'!$J$10:$J$224),0),
IF('TL07'!$B$229=N$3,SUMIF('TL07'!$C$238:$C$451,$C73,'TL07'!$J$238:$J$451),0),
IF('TL08'!$B$3=N$3,SUMIF('TL08'!$C$10:$C$224,$C73,'TL08'!$J$10:$J$224),0),
IF('TL08'!$B$229=N$3,SUMIF('TL08'!$C$238:$C$451,$C73,'TL08'!$J$238:$J$451),0),
IF('TL09'!$B$3=N$3,SUMIF('TL09'!$C$10:$C$224,$C73,'TL09'!$J$10:$J$224),0),
IF('TL09'!$B$229=N$3,SUMIF('TL09'!$C$238:$C$451,$C73,'TL09'!$J$238:$J$451),0),
IF('TL10'!$B$3=N$3,SUMIF('TL10'!$C$10:$C$224,$C73,'TL10'!$J$10:$J$224),0),
IF('TL10'!$B$229=N$3,SUMIF('TL10'!$C$238:$C$451,$C73,'TL10'!$J$238:$J$451),0),
IF('TL11'!$B$3=N$3,SUMIF('TL11'!$C$10:$C$224,$C73,'TL11'!$J$10:$J$224),0),
IF('TL11'!$B$229=N$3,SUMIF('TL11'!$C$238:$C$451,$C73,'TL11'!$J$238:$J$451),0),
IF('TL12'!$B$3=N$3,SUMIF('TL12'!$C$10:$C$224,$C73,'TL12'!$J$10:$J$224),0),
IF('TL12'!$B$229=N$3,SUMIF('TL12'!$C$238:$C$451,$C73,'TL12'!$J$238:$J$451),0),
IF('TL13'!$B$3=N$3,SUMIF('TL13'!$C$10:$C$224,$C73,'TL13'!$J$10:$J$224),0),
IF('TL13'!$B$229=N$3,SUMIF('TL13'!$C$238:$C$451,$C73,'TL13'!$J$238:$J$451),0),
IF('TL14'!$B$3=N$3,SUMIF('TL14'!$C$10:$C$224,$C73,'TL14'!$J$10:$J$224),0),
IF('TL14'!$B$229=N$3,SUMIF('TL14'!$C$238:$C$451,$C73,'TL14'!$J$238:$J$451),0),
IF('TL15'!$B$3=N$3,SUMIF('TL15'!$C$10:$C$224,$C73,'TL15'!$J$10:$J$224),0),
IF('TL15'!$B$229=N$3,SUMIF('TL15'!$C$238:$C$451,$C73,'TL15'!$J$238:$J$451),0),
IF('TL16'!$B$3=N$3,SUMIF('TL16'!$C$10:$C$224,$C73,'TL16'!$J$10:$J$224),0),
IF('TL16'!$B$229=N$3,SUMIF('TL16'!$C$238:$C$451,$C73,'TL16'!$J$238:$J$451),0),
IF('TL17'!$B$3=N$3,SUMIF('TL17'!$C$10:$C$224,$C73,'TL17'!$J$10:$J$224),0),
IF('TL17'!$B$229=N$3,SUMIF('TL17'!$C$238:$C$451,$C73,'TL17'!$J$238:$J$451),0),
IF('TL18'!$B$3=N$3,SUMIF('TL18'!$C$10:$C$224,$C73,'TL18'!$J$10:$J$224),0),
IF('TL18'!$B$229=N$3,SUMIF('TL18'!$C$238:$C$451,$C73,'TL18'!$J$238:$J$451),0),
IF('TL19'!$B$3=N$3,SUMIF('TL19'!$C$10:$C$224,$C73,'TL19'!$J$10:$J$224),0),
IF('TL19'!$B$229=N$3,SUMIF('TL19'!$C$238:$C$451,$C73,'TL19'!$J$238:$J$451),0)
),0)</f>
        <v>0</v>
      </c>
      <c r="O73" s="9">
        <f>IFERROR(SUM(
IF('TL01'!$B$3=O$3,SUMIF('TL01'!$C$10:$C$224,$C73,'TL01'!$J$10:$J$224),0),
IF('TL01'!$B$229=O$3,SUMIF('TL01'!$C$238:$C$451,$C73,'TL01'!$J$238:$J$451),0),
IF('TL02'!$B$3=O$3,SUMIF('TL02'!$C$10:$C$224,$C73,'TL02'!$J$10:$J$224),0),
IF('TL02'!$B$229=O$3,SUMIF('TL02'!$C$238:$C$451,$C73,'TL02'!$J$238:$J$451),0),
IF('TL03'!$B$3=O$3,SUMIF('TL03'!$C$10:$C$224,$C73,'TL03'!$J$10:$J$224),0),
IF('TL03'!$B$229=O$3,SUMIF('TL03'!$C$238:$C$451,$C73,'TL03'!$J$238:$J$451),0),
IF('TL04'!$B$3=O$3,SUMIF('TL04'!$C$10:$C$224,$C73,'TL04'!$J$10:$J$224),0),
IF('TL04'!$B$229=O$3,SUMIF('TL04'!$C$238:$C$451,$C73,'TL04'!$J$238:$J$451),0),
IF('TL05'!$B$3=O$3,SUMIF('TL05'!$C$10:$C$224,$C73,'TL05'!$J$10:$J$224),0),
IF('TL05'!$B$229=O$3,SUMIF('TL05'!$C$238:$C$451,$C73,'TL05'!$J$238:$J$451),0),
IF('TL06'!$B$3=O$3,SUMIF('TL06'!$C$10:$C$224,$C73,'TL06'!$J$10:$J$224),0),
IF('TL06'!$B$229=O$3,SUMIF('TL06'!$C$238:$C$451,$C73,'TL06'!$J$238:$J$451),0),
IF('TL07'!$B$3=O$3,SUMIF('TL07'!$C$10:$C$224,$C73,'TL07'!$J$10:$J$224),0),
IF('TL07'!$B$229=O$3,SUMIF('TL07'!$C$238:$C$451,$C73,'TL07'!$J$238:$J$451),0),
IF('TL08'!$B$3=O$3,SUMIF('TL08'!$C$10:$C$224,$C73,'TL08'!$J$10:$J$224),0),
IF('TL08'!$B$229=O$3,SUMIF('TL08'!$C$238:$C$451,$C73,'TL08'!$J$238:$J$451),0),
IF('TL09'!$B$3=O$3,SUMIF('TL09'!$C$10:$C$224,$C73,'TL09'!$J$10:$J$224),0),
IF('TL09'!$B$229=O$3,SUMIF('TL09'!$C$238:$C$451,$C73,'TL09'!$J$238:$J$451),0),
IF('TL10'!$B$3=O$3,SUMIF('TL10'!$C$10:$C$224,$C73,'TL10'!$J$10:$J$224),0),
IF('TL10'!$B$229=O$3,SUMIF('TL10'!$C$238:$C$451,$C73,'TL10'!$J$238:$J$451),0),
IF('TL11'!$B$3=O$3,SUMIF('TL11'!$C$10:$C$224,$C73,'TL11'!$J$10:$J$224),0),
IF('TL11'!$B$229=O$3,SUMIF('TL11'!$C$238:$C$451,$C73,'TL11'!$J$238:$J$451),0),
IF('TL12'!$B$3=O$3,SUMIF('TL12'!$C$10:$C$224,$C73,'TL12'!$J$10:$J$224),0),
IF('TL12'!$B$229=O$3,SUMIF('TL12'!$C$238:$C$451,$C73,'TL12'!$J$238:$J$451),0),
IF('TL13'!$B$3=O$3,SUMIF('TL13'!$C$10:$C$224,$C73,'TL13'!$J$10:$J$224),0),
IF('TL13'!$B$229=O$3,SUMIF('TL13'!$C$238:$C$451,$C73,'TL13'!$J$238:$J$451),0),
IF('TL14'!$B$3=O$3,SUMIF('TL14'!$C$10:$C$224,$C73,'TL14'!$J$10:$J$224),0),
IF('TL14'!$B$229=O$3,SUMIF('TL14'!$C$238:$C$451,$C73,'TL14'!$J$238:$J$451),0),
IF('TL15'!$B$3=O$3,SUMIF('TL15'!$C$10:$C$224,$C73,'TL15'!$J$10:$J$224),0),
IF('TL15'!$B$229=O$3,SUMIF('TL15'!$C$238:$C$451,$C73,'TL15'!$J$238:$J$451),0),
IF('TL16'!$B$3=O$3,SUMIF('TL16'!$C$10:$C$224,$C73,'TL16'!$J$10:$J$224),0),
IF('TL16'!$B$229=O$3,SUMIF('TL16'!$C$238:$C$451,$C73,'TL16'!$J$238:$J$451),0),
IF('TL17'!$B$3=O$3,SUMIF('TL17'!$C$10:$C$224,$C73,'TL17'!$J$10:$J$224),0),
IF('TL17'!$B$229=O$3,SUMIF('TL17'!$C$238:$C$451,$C73,'TL17'!$J$238:$J$451),0),
IF('TL18'!$B$3=O$3,SUMIF('TL18'!$C$10:$C$224,$C73,'TL18'!$J$10:$J$224),0),
IF('TL18'!$B$229=O$3,SUMIF('TL18'!$C$238:$C$451,$C73,'TL18'!$J$238:$J$451),0),
IF('TL19'!$B$3=O$3,SUMIF('TL19'!$C$10:$C$224,$C73,'TL19'!$J$10:$J$224),0),
IF('TL19'!$B$229=O$3,SUMIF('TL19'!$C$238:$C$451,$C73,'TL19'!$J$238:$J$451),0)
),0)</f>
        <v>0</v>
      </c>
      <c r="P73" s="9">
        <f>IFERROR(SUM(
IF('TL01'!$B$3=P$3,SUMIF('TL01'!$C$10:$C$224,$C73,'TL01'!$J$10:$J$224),0),
IF('TL01'!$B$229=P$3,SUMIF('TL01'!$C$238:$C$451,$C73,'TL01'!$J$238:$J$451),0),
IF('TL02'!$B$3=P$3,SUMIF('TL02'!$C$10:$C$224,$C73,'TL02'!$J$10:$J$224),0),
IF('TL02'!$B$229=P$3,SUMIF('TL02'!$C$238:$C$451,$C73,'TL02'!$J$238:$J$451),0),
IF('TL03'!$B$3=P$3,SUMIF('TL03'!$C$10:$C$224,$C73,'TL03'!$J$10:$J$224),0),
IF('TL03'!$B$229=P$3,SUMIF('TL03'!$C$238:$C$451,$C73,'TL03'!$J$238:$J$451),0),
IF('TL04'!$B$3=P$3,SUMIF('TL04'!$C$10:$C$224,$C73,'TL04'!$J$10:$J$224),0),
IF('TL04'!$B$229=P$3,SUMIF('TL04'!$C$238:$C$451,$C73,'TL04'!$J$238:$J$451),0),
IF('TL05'!$B$3=P$3,SUMIF('TL05'!$C$10:$C$224,$C73,'TL05'!$J$10:$J$224),0),
IF('TL05'!$B$229=P$3,SUMIF('TL05'!$C$238:$C$451,$C73,'TL05'!$J$238:$J$451),0),
IF('TL06'!$B$3=P$3,SUMIF('TL06'!$C$10:$C$224,$C73,'TL06'!$J$10:$J$224),0),
IF('TL06'!$B$229=P$3,SUMIF('TL06'!$C$238:$C$451,$C73,'TL06'!$J$238:$J$451),0),
IF('TL07'!$B$3=P$3,SUMIF('TL07'!$C$10:$C$224,$C73,'TL07'!$J$10:$J$224),0),
IF('TL07'!$B$229=P$3,SUMIF('TL07'!$C$238:$C$451,$C73,'TL07'!$J$238:$J$451),0),
IF('TL08'!$B$3=P$3,SUMIF('TL08'!$C$10:$C$224,$C73,'TL08'!$J$10:$J$224),0),
IF('TL08'!$B$229=P$3,SUMIF('TL08'!$C$238:$C$451,$C73,'TL08'!$J$238:$J$451),0),
IF('TL09'!$B$3=P$3,SUMIF('TL09'!$C$10:$C$224,$C73,'TL09'!$J$10:$J$224),0),
IF('TL09'!$B$229=P$3,SUMIF('TL09'!$C$238:$C$451,$C73,'TL09'!$J$238:$J$451),0),
IF('TL10'!$B$3=P$3,SUMIF('TL10'!$C$10:$C$224,$C73,'TL10'!$J$10:$J$224),0),
IF('TL10'!$B$229=P$3,SUMIF('TL10'!$C$238:$C$451,$C73,'TL10'!$J$238:$J$451),0),
IF('TL11'!$B$3=P$3,SUMIF('TL11'!$C$10:$C$224,$C73,'TL11'!$J$10:$J$224),0),
IF('TL11'!$B$229=P$3,SUMIF('TL11'!$C$238:$C$451,$C73,'TL11'!$J$238:$J$451),0),
IF('TL12'!$B$3=P$3,SUMIF('TL12'!$C$10:$C$224,$C73,'TL12'!$J$10:$J$224),0),
IF('TL12'!$B$229=P$3,SUMIF('TL12'!$C$238:$C$451,$C73,'TL12'!$J$238:$J$451),0),
IF('TL13'!$B$3=P$3,SUMIF('TL13'!$C$10:$C$224,$C73,'TL13'!$J$10:$J$224),0),
IF('TL13'!$B$229=P$3,SUMIF('TL13'!$C$238:$C$451,$C73,'TL13'!$J$238:$J$451),0),
IF('TL14'!$B$3=P$3,SUMIF('TL14'!$C$10:$C$224,$C73,'TL14'!$J$10:$J$224),0),
IF('TL14'!$B$229=P$3,SUMIF('TL14'!$C$238:$C$451,$C73,'TL14'!$J$238:$J$451),0),
IF('TL15'!$B$3=P$3,SUMIF('TL15'!$C$10:$C$224,$C73,'TL15'!$J$10:$J$224),0),
IF('TL15'!$B$229=P$3,SUMIF('TL15'!$C$238:$C$451,$C73,'TL15'!$J$238:$J$451),0),
IF('TL16'!$B$3=P$3,SUMIF('TL16'!$C$10:$C$224,$C73,'TL16'!$J$10:$J$224),0),
IF('TL16'!$B$229=P$3,SUMIF('TL16'!$C$238:$C$451,$C73,'TL16'!$J$238:$J$451),0),
IF('TL17'!$B$3=P$3,SUMIF('TL17'!$C$10:$C$224,$C73,'TL17'!$J$10:$J$224),0),
IF('TL17'!$B$229=P$3,SUMIF('TL17'!$C$238:$C$451,$C73,'TL17'!$J$238:$J$451),0),
IF('TL18'!$B$3=P$3,SUMIF('TL18'!$C$10:$C$224,$C73,'TL18'!$J$10:$J$224),0),
IF('TL18'!$B$229=P$3,SUMIF('TL18'!$C$238:$C$451,$C73,'TL18'!$J$238:$J$451),0),
IF('TL19'!$B$3=P$3,SUMIF('TL19'!$C$10:$C$224,$C73,'TL19'!$J$10:$J$224),0),
IF('TL19'!$B$229=P$3,SUMIF('TL19'!$C$238:$C$451,$C73,'TL19'!$J$238:$J$451),0)
),0)</f>
        <v>0</v>
      </c>
      <c r="Q73" s="9">
        <f>IFERROR(SUM(
IF('TL01'!$B$3=Q$3,SUMIF('TL01'!$C$10:$C$224,$C73,'TL01'!$J$10:$J$224),0),
IF('TL01'!$B$229=Q$3,SUMIF('TL01'!$C$238:$C$451,$C73,'TL01'!$J$238:$J$451),0),
IF('TL02'!$B$3=Q$3,SUMIF('TL02'!$C$10:$C$224,$C73,'TL02'!$J$10:$J$224),0),
IF('TL02'!$B$229=Q$3,SUMIF('TL02'!$C$238:$C$451,$C73,'TL02'!$J$238:$J$451),0),
IF('TL03'!$B$3=Q$3,SUMIF('TL03'!$C$10:$C$224,$C73,'TL03'!$J$10:$J$224),0),
IF('TL03'!$B$229=Q$3,SUMIF('TL03'!$C$238:$C$451,$C73,'TL03'!$J$238:$J$451),0),
IF('TL04'!$B$3=Q$3,SUMIF('TL04'!$C$10:$C$224,$C73,'TL04'!$J$10:$J$224),0),
IF('TL04'!$B$229=Q$3,SUMIF('TL04'!$C$238:$C$451,$C73,'TL04'!$J$238:$J$451),0),
IF('TL05'!$B$3=Q$3,SUMIF('TL05'!$C$10:$C$224,$C73,'TL05'!$J$10:$J$224),0),
IF('TL05'!$B$229=Q$3,SUMIF('TL05'!$C$238:$C$451,$C73,'TL05'!$J$238:$J$451),0),
IF('TL06'!$B$3=Q$3,SUMIF('TL06'!$C$10:$C$224,$C73,'TL06'!$J$10:$J$224),0),
IF('TL06'!$B$229=Q$3,SUMIF('TL06'!$C$238:$C$451,$C73,'TL06'!$J$238:$J$451),0),
IF('TL07'!$B$3=Q$3,SUMIF('TL07'!$C$10:$C$224,$C73,'TL07'!$J$10:$J$224),0),
IF('TL07'!$B$229=Q$3,SUMIF('TL07'!$C$238:$C$451,$C73,'TL07'!$J$238:$J$451),0),
IF('TL08'!$B$3=Q$3,SUMIF('TL08'!$C$10:$C$224,$C73,'TL08'!$J$10:$J$224),0),
IF('TL08'!$B$229=Q$3,SUMIF('TL08'!$C$238:$C$451,$C73,'TL08'!$J$238:$J$451),0),
IF('TL09'!$B$3=Q$3,SUMIF('TL09'!$C$10:$C$224,$C73,'TL09'!$J$10:$J$224),0),
IF('TL09'!$B$229=Q$3,SUMIF('TL09'!$C$238:$C$451,$C73,'TL09'!$J$238:$J$451),0),
IF('TL10'!$B$3=Q$3,SUMIF('TL10'!$C$10:$C$224,$C73,'TL10'!$J$10:$J$224),0),
IF('TL10'!$B$229=Q$3,SUMIF('TL10'!$C$238:$C$451,$C73,'TL10'!$J$238:$J$451),0),
IF('TL11'!$B$3=Q$3,SUMIF('TL11'!$C$10:$C$224,$C73,'TL11'!$J$10:$J$224),0),
IF('TL11'!$B$229=Q$3,SUMIF('TL11'!$C$238:$C$451,$C73,'TL11'!$J$238:$J$451),0),
IF('TL12'!$B$3=Q$3,SUMIF('TL12'!$C$10:$C$224,$C73,'TL12'!$J$10:$J$224),0),
IF('TL12'!$B$229=Q$3,SUMIF('TL12'!$C$238:$C$451,$C73,'TL12'!$J$238:$J$451),0),
IF('TL13'!$B$3=Q$3,SUMIF('TL13'!$C$10:$C$224,$C73,'TL13'!$J$10:$J$224),0),
IF('TL13'!$B$229=Q$3,SUMIF('TL13'!$C$238:$C$451,$C73,'TL13'!$J$238:$J$451),0),
IF('TL14'!$B$3=Q$3,SUMIF('TL14'!$C$10:$C$224,$C73,'TL14'!$J$10:$J$224),0),
IF('TL14'!$B$229=Q$3,SUMIF('TL14'!$C$238:$C$451,$C73,'TL14'!$J$238:$J$451),0),
IF('TL15'!$B$3=Q$3,SUMIF('TL15'!$C$10:$C$224,$C73,'TL15'!$J$10:$J$224),0),
IF('TL15'!$B$229=Q$3,SUMIF('TL15'!$C$238:$C$451,$C73,'TL15'!$J$238:$J$451),0),
IF('TL16'!$B$3=Q$3,SUMIF('TL16'!$C$10:$C$224,$C73,'TL16'!$J$10:$J$224),0),
IF('TL16'!$B$229=Q$3,SUMIF('TL16'!$C$238:$C$451,$C73,'TL16'!$J$238:$J$451),0),
IF('TL17'!$B$3=Q$3,SUMIF('TL17'!$C$10:$C$224,$C73,'TL17'!$J$10:$J$224),0),
IF('TL17'!$B$229=Q$3,SUMIF('TL17'!$C$238:$C$451,$C73,'TL17'!$J$238:$J$451),0),
IF('TL18'!$B$3=Q$3,SUMIF('TL18'!$C$10:$C$224,$C73,'TL18'!$J$10:$J$224),0),
IF('TL18'!$B$229=Q$3,SUMIF('TL18'!$C$238:$C$451,$C73,'TL18'!$J$238:$J$451),0),
IF('TL19'!$B$3=Q$3,SUMIF('TL19'!$C$10:$C$224,$C73,'TL19'!$J$10:$J$224),0),
IF('TL19'!$B$229=Q$3,SUMIF('TL19'!$C$238:$C$451,$C73,'TL19'!$J$238:$J$451),0)
),0)</f>
        <v>0</v>
      </c>
      <c r="R73" s="9">
        <f>IFERROR(
SUM(
SUMIF('TL01'!C:C,C73,'TL01'!J:J),
SUMIF('TL02'!C:C,C73,'TL02'!J:J),
SUMIF('TL03'!C:C,C73,'TL03'!J:J),
SUMIF('TL04'!C:C,C73,'TL04'!J:J),
SUMIF('TL05'!C:C,C73,'TL05'!J:J),
SUMIF('TL06'!C:C,C73,'TL06'!J:J),
SUMIF('TL07'!C:C,C73,'TL07'!J:J),
SUMIF('TL08'!C:C,C73,'TL08'!J:J),
SUMIF('TL09'!C:C,C73,'TL09'!J:J),
SUMIF('TL10'!C:C,C73,'TL10'!J:J),
SUMIF('TL11'!C:C,C73,'TL11'!J:J),
SUMIF('TL12'!C:C,C73,'TL12'!J:J),
SUMIF('TL13'!C:C,C73,'TL13'!J:J),
SUMIF('TL14'!C:C,C73,'TL14'!J:J),
SUMIF('TL15'!C:C,C73,'TL15'!J:J),
SUMIF('TL16'!C:C,C73,'TL16'!J:J),
SUMIF('TL17'!C:C,C73,'TL17'!J:J),
SUMIF('TL18'!C:C,C73,'TL18'!J:J),SUMIF('TL19'!C:C,C73,'TL19'!J:J))
,0)</f>
        <v>0</v>
      </c>
      <c r="S73" s="17">
        <f>IFERROR(__xludf.DUMMYFUNCTION("IFERROR(VLOOKUP(C73,
IMPORTRANGE(""1wULbzX32WdYsx-lj2U3uUNBBe2INVIRDtcK0d-Dvl90"",
""26-27!C:G""),
5,
FALSE),
"""")"),72.34992)</f>
        <v>72.34992</v>
      </c>
      <c r="T73" s="9"/>
      <c r="U73" s="92">
        <f t="shared" si="2"/>
        <v>0</v>
      </c>
      <c r="V73" s="93">
        <f t="shared" si="3"/>
        <v>0</v>
      </c>
    </row>
    <row r="74" ht="15.75" hidden="1" customHeight="1">
      <c r="A74" s="115" t="s">
        <v>516</v>
      </c>
      <c r="B74" s="100" t="s">
        <v>0</v>
      </c>
      <c r="C74" s="116" t="s">
        <v>526</v>
      </c>
      <c r="D74" s="116" t="s">
        <v>527</v>
      </c>
      <c r="E74" s="116" t="s">
        <v>528</v>
      </c>
      <c r="F74" s="4" t="s">
        <v>343</v>
      </c>
      <c r="G74" s="90" t="str">
        <f t="shared" si="4"/>
        <v>📄 Ver bula</v>
      </c>
      <c r="H74" s="9">
        <f>IFERROR(__xludf.DUMMYFUNCTION("IFERROR(VLOOKUP(C74,
IMPORTRANGE(""1wULbzX32WdYsx-lj2U3uUNBBe2INVIRDtcK0d-Dvl90"",
""26-27!C:K""),
8,
FALSE),
"""")"),1.5)</f>
        <v>1.5</v>
      </c>
      <c r="I74" s="117" t="s">
        <v>344</v>
      </c>
      <c r="J74" s="9">
        <f>IFERROR(SUM(
IF('TL01'!$B$3=J$3,SUMIF('TL01'!$C$10:$C$224,$C74,'TL01'!$J$10:$J$224),0),
IF('TL01'!$B$229=J$3,SUMIF('TL01'!$C$238:$C$451,$C74,'TL01'!$J$238:$J$451),0),
IF('TL02'!$B$3=J$3,SUMIF('TL02'!$C$10:$C$224,$C74,'TL02'!$J$10:$J$224),0),
IF('TL02'!$B$229=J$3,SUMIF('TL02'!$C$238:$C$451,$C74,'TL02'!$J$238:$J$451),0),
IF('TL03'!$B$3=J$3,SUMIF('TL03'!$C$10:$C$224,$C74,'TL03'!$J$10:$J$224),0),
IF('TL03'!$B$229=J$3,SUMIF('TL03'!$C$238:$C$451,$C74,'TL03'!$J$238:$J$451),0),
IF('TL04'!$B$3=J$3,SUMIF('TL04'!$C$10:$C$224,$C74,'TL04'!$J$10:$J$224),0),
IF('TL04'!$B$229=J$3,SUMIF('TL04'!$C$238:$C$451,$C74,'TL04'!$J$238:$J$451),0),
IF('TL05'!$B$3=J$3,SUMIF('TL05'!$C$10:$C$224,$C74,'TL05'!$J$10:$J$224),0),
IF('TL05'!$B$229=J$3,SUMIF('TL05'!$C$238:$C$451,$C74,'TL05'!$J$238:$J$451),0),
IF('TL06'!$B$3=J$3,SUMIF('TL06'!$C$10:$C$224,$C74,'TL06'!$J$10:$J$224),0),
IF('TL06'!$B$229=J$3,SUMIF('TL06'!$C$238:$C$451,$C74,'TL06'!$J$238:$J$451),0),
IF('TL07'!$B$3=J$3,SUMIF('TL07'!$C$10:$C$224,$C74,'TL07'!$J$10:$J$224),0),
IF('TL07'!$B$229=J$3,SUMIF('TL07'!$C$238:$C$451,$C74,'TL07'!$J$238:$J$451),0),
IF('TL08'!$B$3=J$3,SUMIF('TL08'!$C$10:$C$224,$C74,'TL08'!$J$10:$J$224),0),
IF('TL08'!$B$229=J$3,SUMIF('TL08'!$C$238:$C$451,$C74,'TL08'!$J$238:$J$451),0),
IF('TL09'!$B$3=J$3,SUMIF('TL09'!$C$10:$C$224,$C74,'TL09'!$J$10:$J$224),0),
IF('TL09'!$B$229=J$3,SUMIF('TL09'!$C$238:$C$451,$C74,'TL09'!$J$238:$J$451),0),
IF('TL10'!$B$3=J$3,SUMIF('TL10'!$C$10:$C$224,$C74,'TL10'!$J$10:$J$224),0),
IF('TL10'!$B$229=J$3,SUMIF('TL10'!$C$238:$C$451,$C74,'TL10'!$J$238:$J$451),0),
IF('TL11'!$B$3=J$3,SUMIF('TL11'!$C$10:$C$224,$C74,'TL11'!$J$10:$J$224),0),
IF('TL11'!$B$229=J$3,SUMIF('TL11'!$C$238:$C$451,$C74,'TL11'!$J$238:$J$451),0),
IF('TL12'!$B$3=J$3,SUMIF('TL12'!$C$10:$C$224,$C74,'TL12'!$J$10:$J$224),0),
IF('TL12'!$B$229=J$3,SUMIF('TL12'!$C$238:$C$451,$C74,'TL12'!$J$238:$J$451),0),
IF('TL13'!$B$3=J$3,SUMIF('TL13'!$C$10:$C$224,$C74,'TL13'!$J$10:$J$224),0),
IF('TL13'!$B$229=J$3,SUMIF('TL13'!$C$238:$C$451,$C74,'TL13'!$J$238:$J$451),0),
IF('TL14'!$B$3=J$3,SUMIF('TL14'!$C$10:$C$224,$C74,'TL14'!$J$10:$J$224),0),
IF('TL14'!$B$229=J$3,SUMIF('TL14'!$C$238:$C$451,$C74,'TL14'!$J$238:$J$451),0),
IF('TL15'!$B$3=J$3,SUMIF('TL15'!$C$10:$C$224,$C74,'TL15'!$J$10:$J$224),0),
IF('TL15'!$B$229=J$3,SUMIF('TL15'!$C$238:$C$451,$C74,'TL15'!$J$238:$J$451),0),
IF('TL16'!$B$3=J$3,SUMIF('TL16'!$C$10:$C$224,$C74,'TL16'!$J$10:$J$224),0),
IF('TL16'!$B$229=J$3,SUMIF('TL16'!$C$238:$C$451,$C74,'TL16'!$J$238:$J$451),0),
IF('TL17'!$B$3=J$3,SUMIF('TL17'!$C$10:$C$224,$C74,'TL17'!$J$10:$J$224),0),
IF('TL17'!$B$229=J$3,SUMIF('TL17'!$C$238:$C$451,$C74,'TL17'!$J$238:$J$451),0),
IF('TL18'!$B$3=J$3,SUMIF('TL18'!$C$10:$C$224,$C74,'TL18'!$J$10:$J$224),0),
IF('TL18'!$B$229=J$3,SUMIF('TL18'!$C$238:$C$451,$C74,'TL18'!$J$238:$J$451),0),
IF('TL19'!$B$3=J$3,SUMIF('TL19'!$C$10:$C$224,$C74,'TL19'!$J$10:$J$224),0),
IF('TL19'!$B$229=J$3,SUMIF('TL19'!$C$238:$C$451,$C74,'TL19'!$J$238:$J$451),0)
),0)</f>
        <v>0</v>
      </c>
      <c r="K74" s="9">
        <f>IFERROR(SUM(
IF('TL01'!$B$3=K$3,SUMIF('TL01'!$C$10:$C$224,$C74,'TL01'!$J$10:$J$224),0),
IF('TL01'!$B$229=K$3,SUMIF('TL01'!$C$238:$C$451,$C74,'TL01'!$J$238:$J$451),0),
IF('TL02'!$B$3=K$3,SUMIF('TL02'!$C$10:$C$224,$C74,'TL02'!$J$10:$J$224),0),
IF('TL02'!$B$229=K$3,SUMIF('TL02'!$C$238:$C$451,$C74,'TL02'!$J$238:$J$451),0),
IF('TL03'!$B$3=K$3,SUMIF('TL03'!$C$10:$C$224,$C74,'TL03'!$J$10:$J$224),0),
IF('TL03'!$B$229=K$3,SUMIF('TL03'!$C$238:$C$451,$C74,'TL03'!$J$238:$J$451),0),
IF('TL04'!$B$3=K$3,SUMIF('TL04'!$C$10:$C$224,$C74,'TL04'!$J$10:$J$224),0),
IF('TL04'!$B$229=K$3,SUMIF('TL04'!$C$238:$C$451,$C74,'TL04'!$J$238:$J$451),0),
IF('TL05'!$B$3=K$3,SUMIF('TL05'!$C$10:$C$224,$C74,'TL05'!$J$10:$J$224),0),
IF('TL05'!$B$229=K$3,SUMIF('TL05'!$C$238:$C$451,$C74,'TL05'!$J$238:$J$451),0),
IF('TL06'!$B$3=K$3,SUMIF('TL06'!$C$10:$C$224,$C74,'TL06'!$J$10:$J$224),0),
IF('TL06'!$B$229=K$3,SUMIF('TL06'!$C$238:$C$451,$C74,'TL06'!$J$238:$J$451),0),
IF('TL07'!$B$3=K$3,SUMIF('TL07'!$C$10:$C$224,$C74,'TL07'!$J$10:$J$224),0),
IF('TL07'!$B$229=K$3,SUMIF('TL07'!$C$238:$C$451,$C74,'TL07'!$J$238:$J$451),0),
IF('TL08'!$B$3=K$3,SUMIF('TL08'!$C$10:$C$224,$C74,'TL08'!$J$10:$J$224),0),
IF('TL08'!$B$229=K$3,SUMIF('TL08'!$C$238:$C$451,$C74,'TL08'!$J$238:$J$451),0),
IF('TL09'!$B$3=K$3,SUMIF('TL09'!$C$10:$C$224,$C74,'TL09'!$J$10:$J$224),0),
IF('TL09'!$B$229=K$3,SUMIF('TL09'!$C$238:$C$451,$C74,'TL09'!$J$238:$J$451),0),
IF('TL10'!$B$3=K$3,SUMIF('TL10'!$C$10:$C$224,$C74,'TL10'!$J$10:$J$224),0),
IF('TL10'!$B$229=K$3,SUMIF('TL10'!$C$238:$C$451,$C74,'TL10'!$J$238:$J$451),0),
IF('TL11'!$B$3=K$3,SUMIF('TL11'!$C$10:$C$224,$C74,'TL11'!$J$10:$J$224),0),
IF('TL11'!$B$229=K$3,SUMIF('TL11'!$C$238:$C$451,$C74,'TL11'!$J$238:$J$451),0),
IF('TL12'!$B$3=K$3,SUMIF('TL12'!$C$10:$C$224,$C74,'TL12'!$J$10:$J$224),0),
IF('TL12'!$B$229=K$3,SUMIF('TL12'!$C$238:$C$451,$C74,'TL12'!$J$238:$J$451),0),
IF('TL13'!$B$3=K$3,SUMIF('TL13'!$C$10:$C$224,$C74,'TL13'!$J$10:$J$224),0),
IF('TL13'!$B$229=K$3,SUMIF('TL13'!$C$238:$C$451,$C74,'TL13'!$J$238:$J$451),0),
IF('TL14'!$B$3=K$3,SUMIF('TL14'!$C$10:$C$224,$C74,'TL14'!$J$10:$J$224),0),
IF('TL14'!$B$229=K$3,SUMIF('TL14'!$C$238:$C$451,$C74,'TL14'!$J$238:$J$451),0),
IF('TL15'!$B$3=K$3,SUMIF('TL15'!$C$10:$C$224,$C74,'TL15'!$J$10:$J$224),0),
IF('TL15'!$B$229=K$3,SUMIF('TL15'!$C$238:$C$451,$C74,'TL15'!$J$238:$J$451),0),
IF('TL16'!$B$3=K$3,SUMIF('TL16'!$C$10:$C$224,$C74,'TL16'!$J$10:$J$224),0),
IF('TL16'!$B$229=K$3,SUMIF('TL16'!$C$238:$C$451,$C74,'TL16'!$J$238:$J$451),0),
IF('TL17'!$B$3=K$3,SUMIF('TL17'!$C$10:$C$224,$C74,'TL17'!$J$10:$J$224),0),
IF('TL17'!$B$229=K$3,SUMIF('TL17'!$C$238:$C$451,$C74,'TL17'!$J$238:$J$451),0),
IF('TL18'!$B$3=K$3,SUMIF('TL18'!$C$10:$C$224,$C74,'TL18'!$J$10:$J$224),0),
IF('TL18'!$B$229=K$3,SUMIF('TL18'!$C$238:$C$451,$C74,'TL18'!$J$238:$J$451),0),
IF('TL19'!$B$3=K$3,SUMIF('TL19'!$C$10:$C$224,$C74,'TL19'!$J$10:$J$224),0),
IF('TL19'!$B$229=K$3,SUMIF('TL19'!$C$238:$C$451,$C74,'TL19'!$J$238:$J$451),0)
),0)</f>
        <v>0</v>
      </c>
      <c r="L74" s="9">
        <f>IFERROR(SUM(
IF('TL01'!$B$3=L$3,SUMIF('TL01'!$C$10:$C$224,$C74,'TL01'!$J$10:$J$224),0),
IF('TL01'!$B$229=L$3,SUMIF('TL01'!$C$238:$C$451,$C74,'TL01'!$J$238:$J$451),0),
IF('TL02'!$B$3=L$3,SUMIF('TL02'!$C$10:$C$224,$C74,'TL02'!$J$10:$J$224),0),
IF('TL02'!$B$229=L$3,SUMIF('TL02'!$C$238:$C$451,$C74,'TL02'!$J$238:$J$451),0),
IF('TL03'!$B$3=L$3,SUMIF('TL03'!$C$10:$C$224,$C74,'TL03'!$J$10:$J$224),0),
IF('TL03'!$B$229=L$3,SUMIF('TL03'!$C$238:$C$451,$C74,'TL03'!$J$238:$J$451),0),
IF('TL04'!$B$3=L$3,SUMIF('TL04'!$C$10:$C$224,$C74,'TL04'!$J$10:$J$224),0),
IF('TL04'!$B$229=L$3,SUMIF('TL04'!$C$238:$C$451,$C74,'TL04'!$J$238:$J$451),0),
IF('TL05'!$B$3=L$3,SUMIF('TL05'!$C$10:$C$224,$C74,'TL05'!$J$10:$J$224),0),
IF('TL05'!$B$229=L$3,SUMIF('TL05'!$C$238:$C$451,$C74,'TL05'!$J$238:$J$451),0),
IF('TL06'!$B$3=L$3,SUMIF('TL06'!$C$10:$C$224,$C74,'TL06'!$J$10:$J$224),0),
IF('TL06'!$B$229=L$3,SUMIF('TL06'!$C$238:$C$451,$C74,'TL06'!$J$238:$J$451),0),
IF('TL07'!$B$3=L$3,SUMIF('TL07'!$C$10:$C$224,$C74,'TL07'!$J$10:$J$224),0),
IF('TL07'!$B$229=L$3,SUMIF('TL07'!$C$238:$C$451,$C74,'TL07'!$J$238:$J$451),0),
IF('TL08'!$B$3=L$3,SUMIF('TL08'!$C$10:$C$224,$C74,'TL08'!$J$10:$J$224),0),
IF('TL08'!$B$229=L$3,SUMIF('TL08'!$C$238:$C$451,$C74,'TL08'!$J$238:$J$451),0),
IF('TL09'!$B$3=L$3,SUMIF('TL09'!$C$10:$C$224,$C74,'TL09'!$J$10:$J$224),0),
IF('TL09'!$B$229=L$3,SUMIF('TL09'!$C$238:$C$451,$C74,'TL09'!$J$238:$J$451),0),
IF('TL10'!$B$3=L$3,SUMIF('TL10'!$C$10:$C$224,$C74,'TL10'!$J$10:$J$224),0),
IF('TL10'!$B$229=L$3,SUMIF('TL10'!$C$238:$C$451,$C74,'TL10'!$J$238:$J$451),0),
IF('TL11'!$B$3=L$3,SUMIF('TL11'!$C$10:$C$224,$C74,'TL11'!$J$10:$J$224),0),
IF('TL11'!$B$229=L$3,SUMIF('TL11'!$C$238:$C$451,$C74,'TL11'!$J$238:$J$451),0),
IF('TL12'!$B$3=L$3,SUMIF('TL12'!$C$10:$C$224,$C74,'TL12'!$J$10:$J$224),0),
IF('TL12'!$B$229=L$3,SUMIF('TL12'!$C$238:$C$451,$C74,'TL12'!$J$238:$J$451),0),
IF('TL13'!$B$3=L$3,SUMIF('TL13'!$C$10:$C$224,$C74,'TL13'!$J$10:$J$224),0),
IF('TL13'!$B$229=L$3,SUMIF('TL13'!$C$238:$C$451,$C74,'TL13'!$J$238:$J$451),0),
IF('TL14'!$B$3=L$3,SUMIF('TL14'!$C$10:$C$224,$C74,'TL14'!$J$10:$J$224),0),
IF('TL14'!$B$229=L$3,SUMIF('TL14'!$C$238:$C$451,$C74,'TL14'!$J$238:$J$451),0),
IF('TL15'!$B$3=L$3,SUMIF('TL15'!$C$10:$C$224,$C74,'TL15'!$J$10:$J$224),0),
IF('TL15'!$B$229=L$3,SUMIF('TL15'!$C$238:$C$451,$C74,'TL15'!$J$238:$J$451),0),
IF('TL16'!$B$3=L$3,SUMIF('TL16'!$C$10:$C$224,$C74,'TL16'!$J$10:$J$224),0),
IF('TL16'!$B$229=L$3,SUMIF('TL16'!$C$238:$C$451,$C74,'TL16'!$J$238:$J$451),0),
IF('TL17'!$B$3=L$3,SUMIF('TL17'!$C$10:$C$224,$C74,'TL17'!$J$10:$J$224),0),
IF('TL17'!$B$229=L$3,SUMIF('TL17'!$C$238:$C$451,$C74,'TL17'!$J$238:$J$451),0),
IF('TL18'!$B$3=L$3,SUMIF('TL18'!$C$10:$C$224,$C74,'TL18'!$J$10:$J$224),0),
IF('TL18'!$B$229=L$3,SUMIF('TL18'!$C$238:$C$451,$C74,'TL18'!$J$238:$J$451),0),
IF('TL19'!$B$3=L$3,SUMIF('TL19'!$C$10:$C$224,$C74,'TL19'!$J$10:$J$224),0),
IF('TL19'!$B$229=L$3,SUMIF('TL19'!$C$238:$C$451,$C74,'TL19'!$J$238:$J$451),0)
),0)</f>
        <v>0</v>
      </c>
      <c r="M74" s="9">
        <f>IFERROR(SUM(
IF('TL01'!$B$3=M$3,SUMIF('TL01'!$C$10:$C$224,$C74,'TL01'!$J$10:$J$224),0),
IF('TL01'!$B$229=M$3,SUMIF('TL01'!$C$238:$C$451,$C74,'TL01'!$J$238:$J$451),0),
IF('TL02'!$B$3=M$3,SUMIF('TL02'!$C$10:$C$224,$C74,'TL02'!$J$10:$J$224),0),
IF('TL02'!$B$229=M$3,SUMIF('TL02'!$C$238:$C$451,$C74,'TL02'!$J$238:$J$451),0),
IF('TL03'!$B$3=M$3,SUMIF('TL03'!$C$10:$C$224,$C74,'TL03'!$J$10:$J$224),0),
IF('TL03'!$B$229=M$3,SUMIF('TL03'!$C$238:$C$451,$C74,'TL03'!$J$238:$J$451),0),
IF('TL04'!$B$3=M$3,SUMIF('TL04'!$C$10:$C$224,$C74,'TL04'!$J$10:$J$224),0),
IF('TL04'!$B$229=M$3,SUMIF('TL04'!$C$238:$C$451,$C74,'TL04'!$J$238:$J$451),0),
IF('TL05'!$B$3=M$3,SUMIF('TL05'!$C$10:$C$224,$C74,'TL05'!$J$10:$J$224),0),
IF('TL05'!$B$229=M$3,SUMIF('TL05'!$C$238:$C$451,$C74,'TL05'!$J$238:$J$451),0),
IF('TL06'!$B$3=M$3,SUMIF('TL06'!$C$10:$C$224,$C74,'TL06'!$J$10:$J$224),0),
IF('TL06'!$B$229=M$3,SUMIF('TL06'!$C$238:$C$451,$C74,'TL06'!$J$238:$J$451),0),
IF('TL07'!$B$3=M$3,SUMIF('TL07'!$C$10:$C$224,$C74,'TL07'!$J$10:$J$224),0),
IF('TL07'!$B$229=M$3,SUMIF('TL07'!$C$238:$C$451,$C74,'TL07'!$J$238:$J$451),0),
IF('TL08'!$B$3=M$3,SUMIF('TL08'!$C$10:$C$224,$C74,'TL08'!$J$10:$J$224),0),
IF('TL08'!$B$229=M$3,SUMIF('TL08'!$C$238:$C$451,$C74,'TL08'!$J$238:$J$451),0),
IF('TL09'!$B$3=M$3,SUMIF('TL09'!$C$10:$C$224,$C74,'TL09'!$J$10:$J$224),0),
IF('TL09'!$B$229=M$3,SUMIF('TL09'!$C$238:$C$451,$C74,'TL09'!$J$238:$J$451),0),
IF('TL10'!$B$3=M$3,SUMIF('TL10'!$C$10:$C$224,$C74,'TL10'!$J$10:$J$224),0),
IF('TL10'!$B$229=M$3,SUMIF('TL10'!$C$238:$C$451,$C74,'TL10'!$J$238:$J$451),0),
IF('TL11'!$B$3=M$3,SUMIF('TL11'!$C$10:$C$224,$C74,'TL11'!$J$10:$J$224),0),
IF('TL11'!$B$229=M$3,SUMIF('TL11'!$C$238:$C$451,$C74,'TL11'!$J$238:$J$451),0),
IF('TL12'!$B$3=M$3,SUMIF('TL12'!$C$10:$C$224,$C74,'TL12'!$J$10:$J$224),0),
IF('TL12'!$B$229=M$3,SUMIF('TL12'!$C$238:$C$451,$C74,'TL12'!$J$238:$J$451),0),
IF('TL13'!$B$3=M$3,SUMIF('TL13'!$C$10:$C$224,$C74,'TL13'!$J$10:$J$224),0),
IF('TL13'!$B$229=M$3,SUMIF('TL13'!$C$238:$C$451,$C74,'TL13'!$J$238:$J$451),0),
IF('TL14'!$B$3=M$3,SUMIF('TL14'!$C$10:$C$224,$C74,'TL14'!$J$10:$J$224),0),
IF('TL14'!$B$229=M$3,SUMIF('TL14'!$C$238:$C$451,$C74,'TL14'!$J$238:$J$451),0),
IF('TL15'!$B$3=M$3,SUMIF('TL15'!$C$10:$C$224,$C74,'TL15'!$J$10:$J$224),0),
IF('TL15'!$B$229=M$3,SUMIF('TL15'!$C$238:$C$451,$C74,'TL15'!$J$238:$J$451),0),
IF('TL16'!$B$3=M$3,SUMIF('TL16'!$C$10:$C$224,$C74,'TL16'!$J$10:$J$224),0),
IF('TL16'!$B$229=M$3,SUMIF('TL16'!$C$238:$C$451,$C74,'TL16'!$J$238:$J$451),0),
IF('TL17'!$B$3=M$3,SUMIF('TL17'!$C$10:$C$224,$C74,'TL17'!$J$10:$J$224),0),
IF('TL17'!$B$229=M$3,SUMIF('TL17'!$C$238:$C$451,$C74,'TL17'!$J$238:$J$451),0),
IF('TL18'!$B$3=M$3,SUMIF('TL18'!$C$10:$C$224,$C74,'TL18'!$J$10:$J$224),0),
IF('TL18'!$B$229=M$3,SUMIF('TL18'!$C$238:$C$451,$C74,'TL18'!$J$238:$J$451),0),
IF('TL19'!$B$3=M$3,SUMIF('TL19'!$C$10:$C$224,$C74,'TL19'!$J$10:$J$224),0),
IF('TL19'!$B$229=M$3,SUMIF('TL19'!$C$238:$C$451,$C74,'TL19'!$J$238:$J$451),0)
),0)</f>
        <v>0</v>
      </c>
      <c r="N74" s="9">
        <f>IFERROR(SUM(
IF('TL01'!$B$3=N$3,SUMIF('TL01'!$C$10:$C$224,$C74,'TL01'!$J$10:$J$224),0),
IF('TL01'!$B$229=N$3,SUMIF('TL01'!$C$238:$C$451,$C74,'TL01'!$J$238:$J$451),0),
IF('TL02'!$B$3=N$3,SUMIF('TL02'!$C$10:$C$224,$C74,'TL02'!$J$10:$J$224),0),
IF('TL02'!$B$229=N$3,SUMIF('TL02'!$C$238:$C$451,$C74,'TL02'!$J$238:$J$451),0),
IF('TL03'!$B$3=N$3,SUMIF('TL03'!$C$10:$C$224,$C74,'TL03'!$J$10:$J$224),0),
IF('TL03'!$B$229=N$3,SUMIF('TL03'!$C$238:$C$451,$C74,'TL03'!$J$238:$J$451),0),
IF('TL04'!$B$3=N$3,SUMIF('TL04'!$C$10:$C$224,$C74,'TL04'!$J$10:$J$224),0),
IF('TL04'!$B$229=N$3,SUMIF('TL04'!$C$238:$C$451,$C74,'TL04'!$J$238:$J$451),0),
IF('TL05'!$B$3=N$3,SUMIF('TL05'!$C$10:$C$224,$C74,'TL05'!$J$10:$J$224),0),
IF('TL05'!$B$229=N$3,SUMIF('TL05'!$C$238:$C$451,$C74,'TL05'!$J$238:$J$451),0),
IF('TL06'!$B$3=N$3,SUMIF('TL06'!$C$10:$C$224,$C74,'TL06'!$J$10:$J$224),0),
IF('TL06'!$B$229=N$3,SUMIF('TL06'!$C$238:$C$451,$C74,'TL06'!$J$238:$J$451),0),
IF('TL07'!$B$3=N$3,SUMIF('TL07'!$C$10:$C$224,$C74,'TL07'!$J$10:$J$224),0),
IF('TL07'!$B$229=N$3,SUMIF('TL07'!$C$238:$C$451,$C74,'TL07'!$J$238:$J$451),0),
IF('TL08'!$B$3=N$3,SUMIF('TL08'!$C$10:$C$224,$C74,'TL08'!$J$10:$J$224),0),
IF('TL08'!$B$229=N$3,SUMIF('TL08'!$C$238:$C$451,$C74,'TL08'!$J$238:$J$451),0),
IF('TL09'!$B$3=N$3,SUMIF('TL09'!$C$10:$C$224,$C74,'TL09'!$J$10:$J$224),0),
IF('TL09'!$B$229=N$3,SUMIF('TL09'!$C$238:$C$451,$C74,'TL09'!$J$238:$J$451),0),
IF('TL10'!$B$3=N$3,SUMIF('TL10'!$C$10:$C$224,$C74,'TL10'!$J$10:$J$224),0),
IF('TL10'!$B$229=N$3,SUMIF('TL10'!$C$238:$C$451,$C74,'TL10'!$J$238:$J$451),0),
IF('TL11'!$B$3=N$3,SUMIF('TL11'!$C$10:$C$224,$C74,'TL11'!$J$10:$J$224),0),
IF('TL11'!$B$229=N$3,SUMIF('TL11'!$C$238:$C$451,$C74,'TL11'!$J$238:$J$451),0),
IF('TL12'!$B$3=N$3,SUMIF('TL12'!$C$10:$C$224,$C74,'TL12'!$J$10:$J$224),0),
IF('TL12'!$B$229=N$3,SUMIF('TL12'!$C$238:$C$451,$C74,'TL12'!$J$238:$J$451),0),
IF('TL13'!$B$3=N$3,SUMIF('TL13'!$C$10:$C$224,$C74,'TL13'!$J$10:$J$224),0),
IF('TL13'!$B$229=N$3,SUMIF('TL13'!$C$238:$C$451,$C74,'TL13'!$J$238:$J$451),0),
IF('TL14'!$B$3=N$3,SUMIF('TL14'!$C$10:$C$224,$C74,'TL14'!$J$10:$J$224),0),
IF('TL14'!$B$229=N$3,SUMIF('TL14'!$C$238:$C$451,$C74,'TL14'!$J$238:$J$451),0),
IF('TL15'!$B$3=N$3,SUMIF('TL15'!$C$10:$C$224,$C74,'TL15'!$J$10:$J$224),0),
IF('TL15'!$B$229=N$3,SUMIF('TL15'!$C$238:$C$451,$C74,'TL15'!$J$238:$J$451),0),
IF('TL16'!$B$3=N$3,SUMIF('TL16'!$C$10:$C$224,$C74,'TL16'!$J$10:$J$224),0),
IF('TL16'!$B$229=N$3,SUMIF('TL16'!$C$238:$C$451,$C74,'TL16'!$J$238:$J$451),0),
IF('TL17'!$B$3=N$3,SUMIF('TL17'!$C$10:$C$224,$C74,'TL17'!$J$10:$J$224),0),
IF('TL17'!$B$229=N$3,SUMIF('TL17'!$C$238:$C$451,$C74,'TL17'!$J$238:$J$451),0),
IF('TL18'!$B$3=N$3,SUMIF('TL18'!$C$10:$C$224,$C74,'TL18'!$J$10:$J$224),0),
IF('TL18'!$B$229=N$3,SUMIF('TL18'!$C$238:$C$451,$C74,'TL18'!$J$238:$J$451),0),
IF('TL19'!$B$3=N$3,SUMIF('TL19'!$C$10:$C$224,$C74,'TL19'!$J$10:$J$224),0),
IF('TL19'!$B$229=N$3,SUMIF('TL19'!$C$238:$C$451,$C74,'TL19'!$J$238:$J$451),0)
),0)</f>
        <v>0</v>
      </c>
      <c r="O74" s="9">
        <f>IFERROR(SUM(
IF('TL01'!$B$3=O$3,SUMIF('TL01'!$C$10:$C$224,$C74,'TL01'!$J$10:$J$224),0),
IF('TL01'!$B$229=O$3,SUMIF('TL01'!$C$238:$C$451,$C74,'TL01'!$J$238:$J$451),0),
IF('TL02'!$B$3=O$3,SUMIF('TL02'!$C$10:$C$224,$C74,'TL02'!$J$10:$J$224),0),
IF('TL02'!$B$229=O$3,SUMIF('TL02'!$C$238:$C$451,$C74,'TL02'!$J$238:$J$451),0),
IF('TL03'!$B$3=O$3,SUMIF('TL03'!$C$10:$C$224,$C74,'TL03'!$J$10:$J$224),0),
IF('TL03'!$B$229=O$3,SUMIF('TL03'!$C$238:$C$451,$C74,'TL03'!$J$238:$J$451),0),
IF('TL04'!$B$3=O$3,SUMIF('TL04'!$C$10:$C$224,$C74,'TL04'!$J$10:$J$224),0),
IF('TL04'!$B$229=O$3,SUMIF('TL04'!$C$238:$C$451,$C74,'TL04'!$J$238:$J$451),0),
IF('TL05'!$B$3=O$3,SUMIF('TL05'!$C$10:$C$224,$C74,'TL05'!$J$10:$J$224),0),
IF('TL05'!$B$229=O$3,SUMIF('TL05'!$C$238:$C$451,$C74,'TL05'!$J$238:$J$451),0),
IF('TL06'!$B$3=O$3,SUMIF('TL06'!$C$10:$C$224,$C74,'TL06'!$J$10:$J$224),0),
IF('TL06'!$B$229=O$3,SUMIF('TL06'!$C$238:$C$451,$C74,'TL06'!$J$238:$J$451),0),
IF('TL07'!$B$3=O$3,SUMIF('TL07'!$C$10:$C$224,$C74,'TL07'!$J$10:$J$224),0),
IF('TL07'!$B$229=O$3,SUMIF('TL07'!$C$238:$C$451,$C74,'TL07'!$J$238:$J$451),0),
IF('TL08'!$B$3=O$3,SUMIF('TL08'!$C$10:$C$224,$C74,'TL08'!$J$10:$J$224),0),
IF('TL08'!$B$229=O$3,SUMIF('TL08'!$C$238:$C$451,$C74,'TL08'!$J$238:$J$451),0),
IF('TL09'!$B$3=O$3,SUMIF('TL09'!$C$10:$C$224,$C74,'TL09'!$J$10:$J$224),0),
IF('TL09'!$B$229=O$3,SUMIF('TL09'!$C$238:$C$451,$C74,'TL09'!$J$238:$J$451),0),
IF('TL10'!$B$3=O$3,SUMIF('TL10'!$C$10:$C$224,$C74,'TL10'!$J$10:$J$224),0),
IF('TL10'!$B$229=O$3,SUMIF('TL10'!$C$238:$C$451,$C74,'TL10'!$J$238:$J$451),0),
IF('TL11'!$B$3=O$3,SUMIF('TL11'!$C$10:$C$224,$C74,'TL11'!$J$10:$J$224),0),
IF('TL11'!$B$229=O$3,SUMIF('TL11'!$C$238:$C$451,$C74,'TL11'!$J$238:$J$451),0),
IF('TL12'!$B$3=O$3,SUMIF('TL12'!$C$10:$C$224,$C74,'TL12'!$J$10:$J$224),0),
IF('TL12'!$B$229=O$3,SUMIF('TL12'!$C$238:$C$451,$C74,'TL12'!$J$238:$J$451),0),
IF('TL13'!$B$3=O$3,SUMIF('TL13'!$C$10:$C$224,$C74,'TL13'!$J$10:$J$224),0),
IF('TL13'!$B$229=O$3,SUMIF('TL13'!$C$238:$C$451,$C74,'TL13'!$J$238:$J$451),0),
IF('TL14'!$B$3=O$3,SUMIF('TL14'!$C$10:$C$224,$C74,'TL14'!$J$10:$J$224),0),
IF('TL14'!$B$229=O$3,SUMIF('TL14'!$C$238:$C$451,$C74,'TL14'!$J$238:$J$451),0),
IF('TL15'!$B$3=O$3,SUMIF('TL15'!$C$10:$C$224,$C74,'TL15'!$J$10:$J$224),0),
IF('TL15'!$B$229=O$3,SUMIF('TL15'!$C$238:$C$451,$C74,'TL15'!$J$238:$J$451),0),
IF('TL16'!$B$3=O$3,SUMIF('TL16'!$C$10:$C$224,$C74,'TL16'!$J$10:$J$224),0),
IF('TL16'!$B$229=O$3,SUMIF('TL16'!$C$238:$C$451,$C74,'TL16'!$J$238:$J$451),0),
IF('TL17'!$B$3=O$3,SUMIF('TL17'!$C$10:$C$224,$C74,'TL17'!$J$10:$J$224),0),
IF('TL17'!$B$229=O$3,SUMIF('TL17'!$C$238:$C$451,$C74,'TL17'!$J$238:$J$451),0),
IF('TL18'!$B$3=O$3,SUMIF('TL18'!$C$10:$C$224,$C74,'TL18'!$J$10:$J$224),0),
IF('TL18'!$B$229=O$3,SUMIF('TL18'!$C$238:$C$451,$C74,'TL18'!$J$238:$J$451),0),
IF('TL19'!$B$3=O$3,SUMIF('TL19'!$C$10:$C$224,$C74,'TL19'!$J$10:$J$224),0),
IF('TL19'!$B$229=O$3,SUMIF('TL19'!$C$238:$C$451,$C74,'TL19'!$J$238:$J$451),0)
),0)</f>
        <v>0</v>
      </c>
      <c r="P74" s="9">
        <f>IFERROR(SUM(
IF('TL01'!$B$3=P$3,SUMIF('TL01'!$C$10:$C$224,$C74,'TL01'!$J$10:$J$224),0),
IF('TL01'!$B$229=P$3,SUMIF('TL01'!$C$238:$C$451,$C74,'TL01'!$J$238:$J$451),0),
IF('TL02'!$B$3=P$3,SUMIF('TL02'!$C$10:$C$224,$C74,'TL02'!$J$10:$J$224),0),
IF('TL02'!$B$229=P$3,SUMIF('TL02'!$C$238:$C$451,$C74,'TL02'!$J$238:$J$451),0),
IF('TL03'!$B$3=P$3,SUMIF('TL03'!$C$10:$C$224,$C74,'TL03'!$J$10:$J$224),0),
IF('TL03'!$B$229=P$3,SUMIF('TL03'!$C$238:$C$451,$C74,'TL03'!$J$238:$J$451),0),
IF('TL04'!$B$3=P$3,SUMIF('TL04'!$C$10:$C$224,$C74,'TL04'!$J$10:$J$224),0),
IF('TL04'!$B$229=P$3,SUMIF('TL04'!$C$238:$C$451,$C74,'TL04'!$J$238:$J$451),0),
IF('TL05'!$B$3=P$3,SUMIF('TL05'!$C$10:$C$224,$C74,'TL05'!$J$10:$J$224),0),
IF('TL05'!$B$229=P$3,SUMIF('TL05'!$C$238:$C$451,$C74,'TL05'!$J$238:$J$451),0),
IF('TL06'!$B$3=P$3,SUMIF('TL06'!$C$10:$C$224,$C74,'TL06'!$J$10:$J$224),0),
IF('TL06'!$B$229=P$3,SUMIF('TL06'!$C$238:$C$451,$C74,'TL06'!$J$238:$J$451),0),
IF('TL07'!$B$3=P$3,SUMIF('TL07'!$C$10:$C$224,$C74,'TL07'!$J$10:$J$224),0),
IF('TL07'!$B$229=P$3,SUMIF('TL07'!$C$238:$C$451,$C74,'TL07'!$J$238:$J$451),0),
IF('TL08'!$B$3=P$3,SUMIF('TL08'!$C$10:$C$224,$C74,'TL08'!$J$10:$J$224),0),
IF('TL08'!$B$229=P$3,SUMIF('TL08'!$C$238:$C$451,$C74,'TL08'!$J$238:$J$451),0),
IF('TL09'!$B$3=P$3,SUMIF('TL09'!$C$10:$C$224,$C74,'TL09'!$J$10:$J$224),0),
IF('TL09'!$B$229=P$3,SUMIF('TL09'!$C$238:$C$451,$C74,'TL09'!$J$238:$J$451),0),
IF('TL10'!$B$3=P$3,SUMIF('TL10'!$C$10:$C$224,$C74,'TL10'!$J$10:$J$224),0),
IF('TL10'!$B$229=P$3,SUMIF('TL10'!$C$238:$C$451,$C74,'TL10'!$J$238:$J$451),0),
IF('TL11'!$B$3=P$3,SUMIF('TL11'!$C$10:$C$224,$C74,'TL11'!$J$10:$J$224),0),
IF('TL11'!$B$229=P$3,SUMIF('TL11'!$C$238:$C$451,$C74,'TL11'!$J$238:$J$451),0),
IF('TL12'!$B$3=P$3,SUMIF('TL12'!$C$10:$C$224,$C74,'TL12'!$J$10:$J$224),0),
IF('TL12'!$B$229=P$3,SUMIF('TL12'!$C$238:$C$451,$C74,'TL12'!$J$238:$J$451),0),
IF('TL13'!$B$3=P$3,SUMIF('TL13'!$C$10:$C$224,$C74,'TL13'!$J$10:$J$224),0),
IF('TL13'!$B$229=P$3,SUMIF('TL13'!$C$238:$C$451,$C74,'TL13'!$J$238:$J$451),0),
IF('TL14'!$B$3=P$3,SUMIF('TL14'!$C$10:$C$224,$C74,'TL14'!$J$10:$J$224),0),
IF('TL14'!$B$229=P$3,SUMIF('TL14'!$C$238:$C$451,$C74,'TL14'!$J$238:$J$451),0),
IF('TL15'!$B$3=P$3,SUMIF('TL15'!$C$10:$C$224,$C74,'TL15'!$J$10:$J$224),0),
IF('TL15'!$B$229=P$3,SUMIF('TL15'!$C$238:$C$451,$C74,'TL15'!$J$238:$J$451),0),
IF('TL16'!$B$3=P$3,SUMIF('TL16'!$C$10:$C$224,$C74,'TL16'!$J$10:$J$224),0),
IF('TL16'!$B$229=P$3,SUMIF('TL16'!$C$238:$C$451,$C74,'TL16'!$J$238:$J$451),0),
IF('TL17'!$B$3=P$3,SUMIF('TL17'!$C$10:$C$224,$C74,'TL17'!$J$10:$J$224),0),
IF('TL17'!$B$229=P$3,SUMIF('TL17'!$C$238:$C$451,$C74,'TL17'!$J$238:$J$451),0),
IF('TL18'!$B$3=P$3,SUMIF('TL18'!$C$10:$C$224,$C74,'TL18'!$J$10:$J$224),0),
IF('TL18'!$B$229=P$3,SUMIF('TL18'!$C$238:$C$451,$C74,'TL18'!$J$238:$J$451),0),
IF('TL19'!$B$3=P$3,SUMIF('TL19'!$C$10:$C$224,$C74,'TL19'!$J$10:$J$224),0),
IF('TL19'!$B$229=P$3,SUMIF('TL19'!$C$238:$C$451,$C74,'TL19'!$J$238:$J$451),0)
),0)</f>
        <v>0</v>
      </c>
      <c r="Q74" s="9">
        <f>IFERROR(SUM(
IF('TL01'!$B$3=Q$3,SUMIF('TL01'!$C$10:$C$224,$C74,'TL01'!$J$10:$J$224),0),
IF('TL01'!$B$229=Q$3,SUMIF('TL01'!$C$238:$C$451,$C74,'TL01'!$J$238:$J$451),0),
IF('TL02'!$B$3=Q$3,SUMIF('TL02'!$C$10:$C$224,$C74,'TL02'!$J$10:$J$224),0),
IF('TL02'!$B$229=Q$3,SUMIF('TL02'!$C$238:$C$451,$C74,'TL02'!$J$238:$J$451),0),
IF('TL03'!$B$3=Q$3,SUMIF('TL03'!$C$10:$C$224,$C74,'TL03'!$J$10:$J$224),0),
IF('TL03'!$B$229=Q$3,SUMIF('TL03'!$C$238:$C$451,$C74,'TL03'!$J$238:$J$451),0),
IF('TL04'!$B$3=Q$3,SUMIF('TL04'!$C$10:$C$224,$C74,'TL04'!$J$10:$J$224),0),
IF('TL04'!$B$229=Q$3,SUMIF('TL04'!$C$238:$C$451,$C74,'TL04'!$J$238:$J$451),0),
IF('TL05'!$B$3=Q$3,SUMIF('TL05'!$C$10:$C$224,$C74,'TL05'!$J$10:$J$224),0),
IF('TL05'!$B$229=Q$3,SUMIF('TL05'!$C$238:$C$451,$C74,'TL05'!$J$238:$J$451),0),
IF('TL06'!$B$3=Q$3,SUMIF('TL06'!$C$10:$C$224,$C74,'TL06'!$J$10:$J$224),0),
IF('TL06'!$B$229=Q$3,SUMIF('TL06'!$C$238:$C$451,$C74,'TL06'!$J$238:$J$451),0),
IF('TL07'!$B$3=Q$3,SUMIF('TL07'!$C$10:$C$224,$C74,'TL07'!$J$10:$J$224),0),
IF('TL07'!$B$229=Q$3,SUMIF('TL07'!$C$238:$C$451,$C74,'TL07'!$J$238:$J$451),0),
IF('TL08'!$B$3=Q$3,SUMIF('TL08'!$C$10:$C$224,$C74,'TL08'!$J$10:$J$224),0),
IF('TL08'!$B$229=Q$3,SUMIF('TL08'!$C$238:$C$451,$C74,'TL08'!$J$238:$J$451),0),
IF('TL09'!$B$3=Q$3,SUMIF('TL09'!$C$10:$C$224,$C74,'TL09'!$J$10:$J$224),0),
IF('TL09'!$B$229=Q$3,SUMIF('TL09'!$C$238:$C$451,$C74,'TL09'!$J$238:$J$451),0),
IF('TL10'!$B$3=Q$3,SUMIF('TL10'!$C$10:$C$224,$C74,'TL10'!$J$10:$J$224),0),
IF('TL10'!$B$229=Q$3,SUMIF('TL10'!$C$238:$C$451,$C74,'TL10'!$J$238:$J$451),0),
IF('TL11'!$B$3=Q$3,SUMIF('TL11'!$C$10:$C$224,$C74,'TL11'!$J$10:$J$224),0),
IF('TL11'!$B$229=Q$3,SUMIF('TL11'!$C$238:$C$451,$C74,'TL11'!$J$238:$J$451),0),
IF('TL12'!$B$3=Q$3,SUMIF('TL12'!$C$10:$C$224,$C74,'TL12'!$J$10:$J$224),0),
IF('TL12'!$B$229=Q$3,SUMIF('TL12'!$C$238:$C$451,$C74,'TL12'!$J$238:$J$451),0),
IF('TL13'!$B$3=Q$3,SUMIF('TL13'!$C$10:$C$224,$C74,'TL13'!$J$10:$J$224),0),
IF('TL13'!$B$229=Q$3,SUMIF('TL13'!$C$238:$C$451,$C74,'TL13'!$J$238:$J$451),0),
IF('TL14'!$B$3=Q$3,SUMIF('TL14'!$C$10:$C$224,$C74,'TL14'!$J$10:$J$224),0),
IF('TL14'!$B$229=Q$3,SUMIF('TL14'!$C$238:$C$451,$C74,'TL14'!$J$238:$J$451),0),
IF('TL15'!$B$3=Q$3,SUMIF('TL15'!$C$10:$C$224,$C74,'TL15'!$J$10:$J$224),0),
IF('TL15'!$B$229=Q$3,SUMIF('TL15'!$C$238:$C$451,$C74,'TL15'!$J$238:$J$451),0),
IF('TL16'!$B$3=Q$3,SUMIF('TL16'!$C$10:$C$224,$C74,'TL16'!$J$10:$J$224),0),
IF('TL16'!$B$229=Q$3,SUMIF('TL16'!$C$238:$C$451,$C74,'TL16'!$J$238:$J$451),0),
IF('TL17'!$B$3=Q$3,SUMIF('TL17'!$C$10:$C$224,$C74,'TL17'!$J$10:$J$224),0),
IF('TL17'!$B$229=Q$3,SUMIF('TL17'!$C$238:$C$451,$C74,'TL17'!$J$238:$J$451),0),
IF('TL18'!$B$3=Q$3,SUMIF('TL18'!$C$10:$C$224,$C74,'TL18'!$J$10:$J$224),0),
IF('TL18'!$B$229=Q$3,SUMIF('TL18'!$C$238:$C$451,$C74,'TL18'!$J$238:$J$451),0),
IF('TL19'!$B$3=Q$3,SUMIF('TL19'!$C$10:$C$224,$C74,'TL19'!$J$10:$J$224),0),
IF('TL19'!$B$229=Q$3,SUMIF('TL19'!$C$238:$C$451,$C74,'TL19'!$J$238:$J$451),0)
),0)</f>
        <v>0</v>
      </c>
      <c r="R74" s="9">
        <f>IFERROR(
SUM(
SUMIF('TL01'!C:C,C74,'TL01'!J:J),
SUMIF('TL02'!C:C,C74,'TL02'!J:J),
SUMIF('TL03'!C:C,C74,'TL03'!J:J),
SUMIF('TL04'!C:C,C74,'TL04'!J:J),
SUMIF('TL05'!C:C,C74,'TL05'!J:J),
SUMIF('TL06'!C:C,C74,'TL06'!J:J),
SUMIF('TL07'!C:C,C74,'TL07'!J:J),
SUMIF('TL08'!C:C,C74,'TL08'!J:J),
SUMIF('TL09'!C:C,C74,'TL09'!J:J),
SUMIF('TL10'!C:C,C74,'TL10'!J:J),
SUMIF('TL11'!C:C,C74,'TL11'!J:J),
SUMIF('TL12'!C:C,C74,'TL12'!J:J),
SUMIF('TL13'!C:C,C74,'TL13'!J:J),
SUMIF('TL14'!C:C,C74,'TL14'!J:J),
SUMIF('TL15'!C:C,C74,'TL15'!J:J),
SUMIF('TL16'!C:C,C74,'TL16'!J:J),
SUMIF('TL17'!C:C,C74,'TL17'!J:J),
SUMIF('TL18'!C:C,C74,'TL18'!J:J),SUMIF('TL19'!C:C,C74,'TL19'!J:J))
,0)</f>
        <v>0</v>
      </c>
      <c r="S74" s="17">
        <f>IFERROR(__xludf.DUMMYFUNCTION("IFERROR(VLOOKUP(C74,
IMPORTRANGE(""1wULbzX32WdYsx-lj2U3uUNBBe2INVIRDtcK0d-Dvl90"",
""26-27!C:G""),
5,
FALSE),
"""")"),50.28624000000001)</f>
        <v>50.28624</v>
      </c>
      <c r="T74" s="9"/>
      <c r="U74" s="92">
        <f t="shared" si="2"/>
        <v>0</v>
      </c>
      <c r="V74" s="93">
        <f t="shared" si="3"/>
        <v>0</v>
      </c>
    </row>
    <row r="75" ht="15.75" hidden="1" customHeight="1">
      <c r="A75" s="111" t="s">
        <v>516</v>
      </c>
      <c r="B75" s="112" t="s">
        <v>0</v>
      </c>
      <c r="C75" s="113" t="s">
        <v>529</v>
      </c>
      <c r="D75" s="113" t="s">
        <v>506</v>
      </c>
      <c r="E75" s="113">
        <v>430.0</v>
      </c>
      <c r="F75" s="4" t="s">
        <v>343</v>
      </c>
      <c r="G75" s="90" t="str">
        <f t="shared" si="4"/>
        <v>📄 Ver bula</v>
      </c>
      <c r="H75" s="9">
        <f>IFERROR(__xludf.DUMMYFUNCTION("IFERROR(VLOOKUP(C75,
IMPORTRANGE(""1wULbzX32WdYsx-lj2U3uUNBBe2INVIRDtcK0d-Dvl90"",
""26-27!C:K""),
8,
FALSE),
"""")"),0.4)</f>
        <v>0.4</v>
      </c>
      <c r="I75" s="114" t="s">
        <v>361</v>
      </c>
      <c r="J75" s="9">
        <f>IFERROR(SUM(
IF('TL01'!$B$3=J$3,SUMIF('TL01'!$C$10:$C$224,$C75,'TL01'!$J$10:$J$224),0),
IF('TL01'!$B$229=J$3,SUMIF('TL01'!$C$238:$C$451,$C75,'TL01'!$J$238:$J$451),0),
IF('TL02'!$B$3=J$3,SUMIF('TL02'!$C$10:$C$224,$C75,'TL02'!$J$10:$J$224),0),
IF('TL02'!$B$229=J$3,SUMIF('TL02'!$C$238:$C$451,$C75,'TL02'!$J$238:$J$451),0),
IF('TL03'!$B$3=J$3,SUMIF('TL03'!$C$10:$C$224,$C75,'TL03'!$J$10:$J$224),0),
IF('TL03'!$B$229=J$3,SUMIF('TL03'!$C$238:$C$451,$C75,'TL03'!$J$238:$J$451),0),
IF('TL04'!$B$3=J$3,SUMIF('TL04'!$C$10:$C$224,$C75,'TL04'!$J$10:$J$224),0),
IF('TL04'!$B$229=J$3,SUMIF('TL04'!$C$238:$C$451,$C75,'TL04'!$J$238:$J$451),0),
IF('TL05'!$B$3=J$3,SUMIF('TL05'!$C$10:$C$224,$C75,'TL05'!$J$10:$J$224),0),
IF('TL05'!$B$229=J$3,SUMIF('TL05'!$C$238:$C$451,$C75,'TL05'!$J$238:$J$451),0),
IF('TL06'!$B$3=J$3,SUMIF('TL06'!$C$10:$C$224,$C75,'TL06'!$J$10:$J$224),0),
IF('TL06'!$B$229=J$3,SUMIF('TL06'!$C$238:$C$451,$C75,'TL06'!$J$238:$J$451),0),
IF('TL07'!$B$3=J$3,SUMIF('TL07'!$C$10:$C$224,$C75,'TL07'!$J$10:$J$224),0),
IF('TL07'!$B$229=J$3,SUMIF('TL07'!$C$238:$C$451,$C75,'TL07'!$J$238:$J$451),0),
IF('TL08'!$B$3=J$3,SUMIF('TL08'!$C$10:$C$224,$C75,'TL08'!$J$10:$J$224),0),
IF('TL08'!$B$229=J$3,SUMIF('TL08'!$C$238:$C$451,$C75,'TL08'!$J$238:$J$451),0),
IF('TL09'!$B$3=J$3,SUMIF('TL09'!$C$10:$C$224,$C75,'TL09'!$J$10:$J$224),0),
IF('TL09'!$B$229=J$3,SUMIF('TL09'!$C$238:$C$451,$C75,'TL09'!$J$238:$J$451),0),
IF('TL10'!$B$3=J$3,SUMIF('TL10'!$C$10:$C$224,$C75,'TL10'!$J$10:$J$224),0),
IF('TL10'!$B$229=J$3,SUMIF('TL10'!$C$238:$C$451,$C75,'TL10'!$J$238:$J$451),0),
IF('TL11'!$B$3=J$3,SUMIF('TL11'!$C$10:$C$224,$C75,'TL11'!$J$10:$J$224),0),
IF('TL11'!$B$229=J$3,SUMIF('TL11'!$C$238:$C$451,$C75,'TL11'!$J$238:$J$451),0),
IF('TL12'!$B$3=J$3,SUMIF('TL12'!$C$10:$C$224,$C75,'TL12'!$J$10:$J$224),0),
IF('TL12'!$B$229=J$3,SUMIF('TL12'!$C$238:$C$451,$C75,'TL12'!$J$238:$J$451),0),
IF('TL13'!$B$3=J$3,SUMIF('TL13'!$C$10:$C$224,$C75,'TL13'!$J$10:$J$224),0),
IF('TL13'!$B$229=J$3,SUMIF('TL13'!$C$238:$C$451,$C75,'TL13'!$J$238:$J$451),0),
IF('TL14'!$B$3=J$3,SUMIF('TL14'!$C$10:$C$224,$C75,'TL14'!$J$10:$J$224),0),
IF('TL14'!$B$229=J$3,SUMIF('TL14'!$C$238:$C$451,$C75,'TL14'!$J$238:$J$451),0),
IF('TL15'!$B$3=J$3,SUMIF('TL15'!$C$10:$C$224,$C75,'TL15'!$J$10:$J$224),0),
IF('TL15'!$B$229=J$3,SUMIF('TL15'!$C$238:$C$451,$C75,'TL15'!$J$238:$J$451),0),
IF('TL16'!$B$3=J$3,SUMIF('TL16'!$C$10:$C$224,$C75,'TL16'!$J$10:$J$224),0),
IF('TL16'!$B$229=J$3,SUMIF('TL16'!$C$238:$C$451,$C75,'TL16'!$J$238:$J$451),0),
IF('TL17'!$B$3=J$3,SUMIF('TL17'!$C$10:$C$224,$C75,'TL17'!$J$10:$J$224),0),
IF('TL17'!$B$229=J$3,SUMIF('TL17'!$C$238:$C$451,$C75,'TL17'!$J$238:$J$451),0),
IF('TL18'!$B$3=J$3,SUMIF('TL18'!$C$10:$C$224,$C75,'TL18'!$J$10:$J$224),0),
IF('TL18'!$B$229=J$3,SUMIF('TL18'!$C$238:$C$451,$C75,'TL18'!$J$238:$J$451),0),
IF('TL19'!$B$3=J$3,SUMIF('TL19'!$C$10:$C$224,$C75,'TL19'!$J$10:$J$224),0),
IF('TL19'!$B$229=J$3,SUMIF('TL19'!$C$238:$C$451,$C75,'TL19'!$J$238:$J$451),0)
),0)</f>
        <v>0</v>
      </c>
      <c r="K75" s="9">
        <f>IFERROR(SUM(
IF('TL01'!$B$3=K$3,SUMIF('TL01'!$C$10:$C$224,$C75,'TL01'!$J$10:$J$224),0),
IF('TL01'!$B$229=K$3,SUMIF('TL01'!$C$238:$C$451,$C75,'TL01'!$J$238:$J$451),0),
IF('TL02'!$B$3=K$3,SUMIF('TL02'!$C$10:$C$224,$C75,'TL02'!$J$10:$J$224),0),
IF('TL02'!$B$229=K$3,SUMIF('TL02'!$C$238:$C$451,$C75,'TL02'!$J$238:$J$451),0),
IF('TL03'!$B$3=K$3,SUMIF('TL03'!$C$10:$C$224,$C75,'TL03'!$J$10:$J$224),0),
IF('TL03'!$B$229=K$3,SUMIF('TL03'!$C$238:$C$451,$C75,'TL03'!$J$238:$J$451),0),
IF('TL04'!$B$3=K$3,SUMIF('TL04'!$C$10:$C$224,$C75,'TL04'!$J$10:$J$224),0),
IF('TL04'!$B$229=K$3,SUMIF('TL04'!$C$238:$C$451,$C75,'TL04'!$J$238:$J$451),0),
IF('TL05'!$B$3=K$3,SUMIF('TL05'!$C$10:$C$224,$C75,'TL05'!$J$10:$J$224),0),
IF('TL05'!$B$229=K$3,SUMIF('TL05'!$C$238:$C$451,$C75,'TL05'!$J$238:$J$451),0),
IF('TL06'!$B$3=K$3,SUMIF('TL06'!$C$10:$C$224,$C75,'TL06'!$J$10:$J$224),0),
IF('TL06'!$B$229=K$3,SUMIF('TL06'!$C$238:$C$451,$C75,'TL06'!$J$238:$J$451),0),
IF('TL07'!$B$3=K$3,SUMIF('TL07'!$C$10:$C$224,$C75,'TL07'!$J$10:$J$224),0),
IF('TL07'!$B$229=K$3,SUMIF('TL07'!$C$238:$C$451,$C75,'TL07'!$J$238:$J$451),0),
IF('TL08'!$B$3=K$3,SUMIF('TL08'!$C$10:$C$224,$C75,'TL08'!$J$10:$J$224),0),
IF('TL08'!$B$229=K$3,SUMIF('TL08'!$C$238:$C$451,$C75,'TL08'!$J$238:$J$451),0),
IF('TL09'!$B$3=K$3,SUMIF('TL09'!$C$10:$C$224,$C75,'TL09'!$J$10:$J$224),0),
IF('TL09'!$B$229=K$3,SUMIF('TL09'!$C$238:$C$451,$C75,'TL09'!$J$238:$J$451),0),
IF('TL10'!$B$3=K$3,SUMIF('TL10'!$C$10:$C$224,$C75,'TL10'!$J$10:$J$224),0),
IF('TL10'!$B$229=K$3,SUMIF('TL10'!$C$238:$C$451,$C75,'TL10'!$J$238:$J$451),0),
IF('TL11'!$B$3=K$3,SUMIF('TL11'!$C$10:$C$224,$C75,'TL11'!$J$10:$J$224),0),
IF('TL11'!$B$229=K$3,SUMIF('TL11'!$C$238:$C$451,$C75,'TL11'!$J$238:$J$451),0),
IF('TL12'!$B$3=K$3,SUMIF('TL12'!$C$10:$C$224,$C75,'TL12'!$J$10:$J$224),0),
IF('TL12'!$B$229=K$3,SUMIF('TL12'!$C$238:$C$451,$C75,'TL12'!$J$238:$J$451),0),
IF('TL13'!$B$3=K$3,SUMIF('TL13'!$C$10:$C$224,$C75,'TL13'!$J$10:$J$224),0),
IF('TL13'!$B$229=K$3,SUMIF('TL13'!$C$238:$C$451,$C75,'TL13'!$J$238:$J$451),0),
IF('TL14'!$B$3=K$3,SUMIF('TL14'!$C$10:$C$224,$C75,'TL14'!$J$10:$J$224),0),
IF('TL14'!$B$229=K$3,SUMIF('TL14'!$C$238:$C$451,$C75,'TL14'!$J$238:$J$451),0),
IF('TL15'!$B$3=K$3,SUMIF('TL15'!$C$10:$C$224,$C75,'TL15'!$J$10:$J$224),0),
IF('TL15'!$B$229=K$3,SUMIF('TL15'!$C$238:$C$451,$C75,'TL15'!$J$238:$J$451),0),
IF('TL16'!$B$3=K$3,SUMIF('TL16'!$C$10:$C$224,$C75,'TL16'!$J$10:$J$224),0),
IF('TL16'!$B$229=K$3,SUMIF('TL16'!$C$238:$C$451,$C75,'TL16'!$J$238:$J$451),0),
IF('TL17'!$B$3=K$3,SUMIF('TL17'!$C$10:$C$224,$C75,'TL17'!$J$10:$J$224),0),
IF('TL17'!$B$229=K$3,SUMIF('TL17'!$C$238:$C$451,$C75,'TL17'!$J$238:$J$451),0),
IF('TL18'!$B$3=K$3,SUMIF('TL18'!$C$10:$C$224,$C75,'TL18'!$J$10:$J$224),0),
IF('TL18'!$B$229=K$3,SUMIF('TL18'!$C$238:$C$451,$C75,'TL18'!$J$238:$J$451),0),
IF('TL19'!$B$3=K$3,SUMIF('TL19'!$C$10:$C$224,$C75,'TL19'!$J$10:$J$224),0),
IF('TL19'!$B$229=K$3,SUMIF('TL19'!$C$238:$C$451,$C75,'TL19'!$J$238:$J$451),0)
),0)</f>
        <v>0</v>
      </c>
      <c r="L75" s="9">
        <f>IFERROR(SUM(
IF('TL01'!$B$3=L$3,SUMIF('TL01'!$C$10:$C$224,$C75,'TL01'!$J$10:$J$224),0),
IF('TL01'!$B$229=L$3,SUMIF('TL01'!$C$238:$C$451,$C75,'TL01'!$J$238:$J$451),0),
IF('TL02'!$B$3=L$3,SUMIF('TL02'!$C$10:$C$224,$C75,'TL02'!$J$10:$J$224),0),
IF('TL02'!$B$229=L$3,SUMIF('TL02'!$C$238:$C$451,$C75,'TL02'!$J$238:$J$451),0),
IF('TL03'!$B$3=L$3,SUMIF('TL03'!$C$10:$C$224,$C75,'TL03'!$J$10:$J$224),0),
IF('TL03'!$B$229=L$3,SUMIF('TL03'!$C$238:$C$451,$C75,'TL03'!$J$238:$J$451),0),
IF('TL04'!$B$3=L$3,SUMIF('TL04'!$C$10:$C$224,$C75,'TL04'!$J$10:$J$224),0),
IF('TL04'!$B$229=L$3,SUMIF('TL04'!$C$238:$C$451,$C75,'TL04'!$J$238:$J$451),0),
IF('TL05'!$B$3=L$3,SUMIF('TL05'!$C$10:$C$224,$C75,'TL05'!$J$10:$J$224),0),
IF('TL05'!$B$229=L$3,SUMIF('TL05'!$C$238:$C$451,$C75,'TL05'!$J$238:$J$451),0),
IF('TL06'!$B$3=L$3,SUMIF('TL06'!$C$10:$C$224,$C75,'TL06'!$J$10:$J$224),0),
IF('TL06'!$B$229=L$3,SUMIF('TL06'!$C$238:$C$451,$C75,'TL06'!$J$238:$J$451),0),
IF('TL07'!$B$3=L$3,SUMIF('TL07'!$C$10:$C$224,$C75,'TL07'!$J$10:$J$224),0),
IF('TL07'!$B$229=L$3,SUMIF('TL07'!$C$238:$C$451,$C75,'TL07'!$J$238:$J$451),0),
IF('TL08'!$B$3=L$3,SUMIF('TL08'!$C$10:$C$224,$C75,'TL08'!$J$10:$J$224),0),
IF('TL08'!$B$229=L$3,SUMIF('TL08'!$C$238:$C$451,$C75,'TL08'!$J$238:$J$451),0),
IF('TL09'!$B$3=L$3,SUMIF('TL09'!$C$10:$C$224,$C75,'TL09'!$J$10:$J$224),0),
IF('TL09'!$B$229=L$3,SUMIF('TL09'!$C$238:$C$451,$C75,'TL09'!$J$238:$J$451),0),
IF('TL10'!$B$3=L$3,SUMIF('TL10'!$C$10:$C$224,$C75,'TL10'!$J$10:$J$224),0),
IF('TL10'!$B$229=L$3,SUMIF('TL10'!$C$238:$C$451,$C75,'TL10'!$J$238:$J$451),0),
IF('TL11'!$B$3=L$3,SUMIF('TL11'!$C$10:$C$224,$C75,'TL11'!$J$10:$J$224),0),
IF('TL11'!$B$229=L$3,SUMIF('TL11'!$C$238:$C$451,$C75,'TL11'!$J$238:$J$451),0),
IF('TL12'!$B$3=L$3,SUMIF('TL12'!$C$10:$C$224,$C75,'TL12'!$J$10:$J$224),0),
IF('TL12'!$B$229=L$3,SUMIF('TL12'!$C$238:$C$451,$C75,'TL12'!$J$238:$J$451),0),
IF('TL13'!$B$3=L$3,SUMIF('TL13'!$C$10:$C$224,$C75,'TL13'!$J$10:$J$224),0),
IF('TL13'!$B$229=L$3,SUMIF('TL13'!$C$238:$C$451,$C75,'TL13'!$J$238:$J$451),0),
IF('TL14'!$B$3=L$3,SUMIF('TL14'!$C$10:$C$224,$C75,'TL14'!$J$10:$J$224),0),
IF('TL14'!$B$229=L$3,SUMIF('TL14'!$C$238:$C$451,$C75,'TL14'!$J$238:$J$451),0),
IF('TL15'!$B$3=L$3,SUMIF('TL15'!$C$10:$C$224,$C75,'TL15'!$J$10:$J$224),0),
IF('TL15'!$B$229=L$3,SUMIF('TL15'!$C$238:$C$451,$C75,'TL15'!$J$238:$J$451),0),
IF('TL16'!$B$3=L$3,SUMIF('TL16'!$C$10:$C$224,$C75,'TL16'!$J$10:$J$224),0),
IF('TL16'!$B$229=L$3,SUMIF('TL16'!$C$238:$C$451,$C75,'TL16'!$J$238:$J$451),0),
IF('TL17'!$B$3=L$3,SUMIF('TL17'!$C$10:$C$224,$C75,'TL17'!$J$10:$J$224),0),
IF('TL17'!$B$229=L$3,SUMIF('TL17'!$C$238:$C$451,$C75,'TL17'!$J$238:$J$451),0),
IF('TL18'!$B$3=L$3,SUMIF('TL18'!$C$10:$C$224,$C75,'TL18'!$J$10:$J$224),0),
IF('TL18'!$B$229=L$3,SUMIF('TL18'!$C$238:$C$451,$C75,'TL18'!$J$238:$J$451),0),
IF('TL19'!$B$3=L$3,SUMIF('TL19'!$C$10:$C$224,$C75,'TL19'!$J$10:$J$224),0),
IF('TL19'!$B$229=L$3,SUMIF('TL19'!$C$238:$C$451,$C75,'TL19'!$J$238:$J$451),0)
),0)</f>
        <v>0</v>
      </c>
      <c r="M75" s="9">
        <f>IFERROR(SUM(
IF('TL01'!$B$3=M$3,SUMIF('TL01'!$C$10:$C$224,$C75,'TL01'!$J$10:$J$224),0),
IF('TL01'!$B$229=M$3,SUMIF('TL01'!$C$238:$C$451,$C75,'TL01'!$J$238:$J$451),0),
IF('TL02'!$B$3=M$3,SUMIF('TL02'!$C$10:$C$224,$C75,'TL02'!$J$10:$J$224),0),
IF('TL02'!$B$229=M$3,SUMIF('TL02'!$C$238:$C$451,$C75,'TL02'!$J$238:$J$451),0),
IF('TL03'!$B$3=M$3,SUMIF('TL03'!$C$10:$C$224,$C75,'TL03'!$J$10:$J$224),0),
IF('TL03'!$B$229=M$3,SUMIF('TL03'!$C$238:$C$451,$C75,'TL03'!$J$238:$J$451),0),
IF('TL04'!$B$3=M$3,SUMIF('TL04'!$C$10:$C$224,$C75,'TL04'!$J$10:$J$224),0),
IF('TL04'!$B$229=M$3,SUMIF('TL04'!$C$238:$C$451,$C75,'TL04'!$J$238:$J$451),0),
IF('TL05'!$B$3=M$3,SUMIF('TL05'!$C$10:$C$224,$C75,'TL05'!$J$10:$J$224),0),
IF('TL05'!$B$229=M$3,SUMIF('TL05'!$C$238:$C$451,$C75,'TL05'!$J$238:$J$451),0),
IF('TL06'!$B$3=M$3,SUMIF('TL06'!$C$10:$C$224,$C75,'TL06'!$J$10:$J$224),0),
IF('TL06'!$B$229=M$3,SUMIF('TL06'!$C$238:$C$451,$C75,'TL06'!$J$238:$J$451),0),
IF('TL07'!$B$3=M$3,SUMIF('TL07'!$C$10:$C$224,$C75,'TL07'!$J$10:$J$224),0),
IF('TL07'!$B$229=M$3,SUMIF('TL07'!$C$238:$C$451,$C75,'TL07'!$J$238:$J$451),0),
IF('TL08'!$B$3=M$3,SUMIF('TL08'!$C$10:$C$224,$C75,'TL08'!$J$10:$J$224),0),
IF('TL08'!$B$229=M$3,SUMIF('TL08'!$C$238:$C$451,$C75,'TL08'!$J$238:$J$451),0),
IF('TL09'!$B$3=M$3,SUMIF('TL09'!$C$10:$C$224,$C75,'TL09'!$J$10:$J$224),0),
IF('TL09'!$B$229=M$3,SUMIF('TL09'!$C$238:$C$451,$C75,'TL09'!$J$238:$J$451),0),
IF('TL10'!$B$3=M$3,SUMIF('TL10'!$C$10:$C$224,$C75,'TL10'!$J$10:$J$224),0),
IF('TL10'!$B$229=M$3,SUMIF('TL10'!$C$238:$C$451,$C75,'TL10'!$J$238:$J$451),0),
IF('TL11'!$B$3=M$3,SUMIF('TL11'!$C$10:$C$224,$C75,'TL11'!$J$10:$J$224),0),
IF('TL11'!$B$229=M$3,SUMIF('TL11'!$C$238:$C$451,$C75,'TL11'!$J$238:$J$451),0),
IF('TL12'!$B$3=M$3,SUMIF('TL12'!$C$10:$C$224,$C75,'TL12'!$J$10:$J$224),0),
IF('TL12'!$B$229=M$3,SUMIF('TL12'!$C$238:$C$451,$C75,'TL12'!$J$238:$J$451),0),
IF('TL13'!$B$3=M$3,SUMIF('TL13'!$C$10:$C$224,$C75,'TL13'!$J$10:$J$224),0),
IF('TL13'!$B$229=M$3,SUMIF('TL13'!$C$238:$C$451,$C75,'TL13'!$J$238:$J$451),0),
IF('TL14'!$B$3=M$3,SUMIF('TL14'!$C$10:$C$224,$C75,'TL14'!$J$10:$J$224),0),
IF('TL14'!$B$229=M$3,SUMIF('TL14'!$C$238:$C$451,$C75,'TL14'!$J$238:$J$451),0),
IF('TL15'!$B$3=M$3,SUMIF('TL15'!$C$10:$C$224,$C75,'TL15'!$J$10:$J$224),0),
IF('TL15'!$B$229=M$3,SUMIF('TL15'!$C$238:$C$451,$C75,'TL15'!$J$238:$J$451),0),
IF('TL16'!$B$3=M$3,SUMIF('TL16'!$C$10:$C$224,$C75,'TL16'!$J$10:$J$224),0),
IF('TL16'!$B$229=M$3,SUMIF('TL16'!$C$238:$C$451,$C75,'TL16'!$J$238:$J$451),0),
IF('TL17'!$B$3=M$3,SUMIF('TL17'!$C$10:$C$224,$C75,'TL17'!$J$10:$J$224),0),
IF('TL17'!$B$229=M$3,SUMIF('TL17'!$C$238:$C$451,$C75,'TL17'!$J$238:$J$451),0),
IF('TL18'!$B$3=M$3,SUMIF('TL18'!$C$10:$C$224,$C75,'TL18'!$J$10:$J$224),0),
IF('TL18'!$B$229=M$3,SUMIF('TL18'!$C$238:$C$451,$C75,'TL18'!$J$238:$J$451),0),
IF('TL19'!$B$3=M$3,SUMIF('TL19'!$C$10:$C$224,$C75,'TL19'!$J$10:$J$224),0),
IF('TL19'!$B$229=M$3,SUMIF('TL19'!$C$238:$C$451,$C75,'TL19'!$J$238:$J$451),0)
),0)</f>
        <v>0</v>
      </c>
      <c r="N75" s="9">
        <f>IFERROR(SUM(
IF('TL01'!$B$3=N$3,SUMIF('TL01'!$C$10:$C$224,$C75,'TL01'!$J$10:$J$224),0),
IF('TL01'!$B$229=N$3,SUMIF('TL01'!$C$238:$C$451,$C75,'TL01'!$J$238:$J$451),0),
IF('TL02'!$B$3=N$3,SUMIF('TL02'!$C$10:$C$224,$C75,'TL02'!$J$10:$J$224),0),
IF('TL02'!$B$229=N$3,SUMIF('TL02'!$C$238:$C$451,$C75,'TL02'!$J$238:$J$451),0),
IF('TL03'!$B$3=N$3,SUMIF('TL03'!$C$10:$C$224,$C75,'TL03'!$J$10:$J$224),0),
IF('TL03'!$B$229=N$3,SUMIF('TL03'!$C$238:$C$451,$C75,'TL03'!$J$238:$J$451),0),
IF('TL04'!$B$3=N$3,SUMIF('TL04'!$C$10:$C$224,$C75,'TL04'!$J$10:$J$224),0),
IF('TL04'!$B$229=N$3,SUMIF('TL04'!$C$238:$C$451,$C75,'TL04'!$J$238:$J$451),0),
IF('TL05'!$B$3=N$3,SUMIF('TL05'!$C$10:$C$224,$C75,'TL05'!$J$10:$J$224),0),
IF('TL05'!$B$229=N$3,SUMIF('TL05'!$C$238:$C$451,$C75,'TL05'!$J$238:$J$451),0),
IF('TL06'!$B$3=N$3,SUMIF('TL06'!$C$10:$C$224,$C75,'TL06'!$J$10:$J$224),0),
IF('TL06'!$B$229=N$3,SUMIF('TL06'!$C$238:$C$451,$C75,'TL06'!$J$238:$J$451),0),
IF('TL07'!$B$3=N$3,SUMIF('TL07'!$C$10:$C$224,$C75,'TL07'!$J$10:$J$224),0),
IF('TL07'!$B$229=N$3,SUMIF('TL07'!$C$238:$C$451,$C75,'TL07'!$J$238:$J$451),0),
IF('TL08'!$B$3=N$3,SUMIF('TL08'!$C$10:$C$224,$C75,'TL08'!$J$10:$J$224),0),
IF('TL08'!$B$229=N$3,SUMIF('TL08'!$C$238:$C$451,$C75,'TL08'!$J$238:$J$451),0),
IF('TL09'!$B$3=N$3,SUMIF('TL09'!$C$10:$C$224,$C75,'TL09'!$J$10:$J$224),0),
IF('TL09'!$B$229=N$3,SUMIF('TL09'!$C$238:$C$451,$C75,'TL09'!$J$238:$J$451),0),
IF('TL10'!$B$3=N$3,SUMIF('TL10'!$C$10:$C$224,$C75,'TL10'!$J$10:$J$224),0),
IF('TL10'!$B$229=N$3,SUMIF('TL10'!$C$238:$C$451,$C75,'TL10'!$J$238:$J$451),0),
IF('TL11'!$B$3=N$3,SUMIF('TL11'!$C$10:$C$224,$C75,'TL11'!$J$10:$J$224),0),
IF('TL11'!$B$229=N$3,SUMIF('TL11'!$C$238:$C$451,$C75,'TL11'!$J$238:$J$451),0),
IF('TL12'!$B$3=N$3,SUMIF('TL12'!$C$10:$C$224,$C75,'TL12'!$J$10:$J$224),0),
IF('TL12'!$B$229=N$3,SUMIF('TL12'!$C$238:$C$451,$C75,'TL12'!$J$238:$J$451),0),
IF('TL13'!$B$3=N$3,SUMIF('TL13'!$C$10:$C$224,$C75,'TL13'!$J$10:$J$224),0),
IF('TL13'!$B$229=N$3,SUMIF('TL13'!$C$238:$C$451,$C75,'TL13'!$J$238:$J$451),0),
IF('TL14'!$B$3=N$3,SUMIF('TL14'!$C$10:$C$224,$C75,'TL14'!$J$10:$J$224),0),
IF('TL14'!$B$229=N$3,SUMIF('TL14'!$C$238:$C$451,$C75,'TL14'!$J$238:$J$451),0),
IF('TL15'!$B$3=N$3,SUMIF('TL15'!$C$10:$C$224,$C75,'TL15'!$J$10:$J$224),0),
IF('TL15'!$B$229=N$3,SUMIF('TL15'!$C$238:$C$451,$C75,'TL15'!$J$238:$J$451),0),
IF('TL16'!$B$3=N$3,SUMIF('TL16'!$C$10:$C$224,$C75,'TL16'!$J$10:$J$224),0),
IF('TL16'!$B$229=N$3,SUMIF('TL16'!$C$238:$C$451,$C75,'TL16'!$J$238:$J$451),0),
IF('TL17'!$B$3=N$3,SUMIF('TL17'!$C$10:$C$224,$C75,'TL17'!$J$10:$J$224),0),
IF('TL17'!$B$229=N$3,SUMIF('TL17'!$C$238:$C$451,$C75,'TL17'!$J$238:$J$451),0),
IF('TL18'!$B$3=N$3,SUMIF('TL18'!$C$10:$C$224,$C75,'TL18'!$J$10:$J$224),0),
IF('TL18'!$B$229=N$3,SUMIF('TL18'!$C$238:$C$451,$C75,'TL18'!$J$238:$J$451),0),
IF('TL19'!$B$3=N$3,SUMIF('TL19'!$C$10:$C$224,$C75,'TL19'!$J$10:$J$224),0),
IF('TL19'!$B$229=N$3,SUMIF('TL19'!$C$238:$C$451,$C75,'TL19'!$J$238:$J$451),0)
),0)</f>
        <v>0</v>
      </c>
      <c r="O75" s="9">
        <f>IFERROR(SUM(
IF('TL01'!$B$3=O$3,SUMIF('TL01'!$C$10:$C$224,$C75,'TL01'!$J$10:$J$224),0),
IF('TL01'!$B$229=O$3,SUMIF('TL01'!$C$238:$C$451,$C75,'TL01'!$J$238:$J$451),0),
IF('TL02'!$B$3=O$3,SUMIF('TL02'!$C$10:$C$224,$C75,'TL02'!$J$10:$J$224),0),
IF('TL02'!$B$229=O$3,SUMIF('TL02'!$C$238:$C$451,$C75,'TL02'!$J$238:$J$451),0),
IF('TL03'!$B$3=O$3,SUMIF('TL03'!$C$10:$C$224,$C75,'TL03'!$J$10:$J$224),0),
IF('TL03'!$B$229=O$3,SUMIF('TL03'!$C$238:$C$451,$C75,'TL03'!$J$238:$J$451),0),
IF('TL04'!$B$3=O$3,SUMIF('TL04'!$C$10:$C$224,$C75,'TL04'!$J$10:$J$224),0),
IF('TL04'!$B$229=O$3,SUMIF('TL04'!$C$238:$C$451,$C75,'TL04'!$J$238:$J$451),0),
IF('TL05'!$B$3=O$3,SUMIF('TL05'!$C$10:$C$224,$C75,'TL05'!$J$10:$J$224),0),
IF('TL05'!$B$229=O$3,SUMIF('TL05'!$C$238:$C$451,$C75,'TL05'!$J$238:$J$451),0),
IF('TL06'!$B$3=O$3,SUMIF('TL06'!$C$10:$C$224,$C75,'TL06'!$J$10:$J$224),0),
IF('TL06'!$B$229=O$3,SUMIF('TL06'!$C$238:$C$451,$C75,'TL06'!$J$238:$J$451),0),
IF('TL07'!$B$3=O$3,SUMIF('TL07'!$C$10:$C$224,$C75,'TL07'!$J$10:$J$224),0),
IF('TL07'!$B$229=O$3,SUMIF('TL07'!$C$238:$C$451,$C75,'TL07'!$J$238:$J$451),0),
IF('TL08'!$B$3=O$3,SUMIF('TL08'!$C$10:$C$224,$C75,'TL08'!$J$10:$J$224),0),
IF('TL08'!$B$229=O$3,SUMIF('TL08'!$C$238:$C$451,$C75,'TL08'!$J$238:$J$451),0),
IF('TL09'!$B$3=O$3,SUMIF('TL09'!$C$10:$C$224,$C75,'TL09'!$J$10:$J$224),0),
IF('TL09'!$B$229=O$3,SUMIF('TL09'!$C$238:$C$451,$C75,'TL09'!$J$238:$J$451),0),
IF('TL10'!$B$3=O$3,SUMIF('TL10'!$C$10:$C$224,$C75,'TL10'!$J$10:$J$224),0),
IF('TL10'!$B$229=O$3,SUMIF('TL10'!$C$238:$C$451,$C75,'TL10'!$J$238:$J$451),0),
IF('TL11'!$B$3=O$3,SUMIF('TL11'!$C$10:$C$224,$C75,'TL11'!$J$10:$J$224),0),
IF('TL11'!$B$229=O$3,SUMIF('TL11'!$C$238:$C$451,$C75,'TL11'!$J$238:$J$451),0),
IF('TL12'!$B$3=O$3,SUMIF('TL12'!$C$10:$C$224,$C75,'TL12'!$J$10:$J$224),0),
IF('TL12'!$B$229=O$3,SUMIF('TL12'!$C$238:$C$451,$C75,'TL12'!$J$238:$J$451),0),
IF('TL13'!$B$3=O$3,SUMIF('TL13'!$C$10:$C$224,$C75,'TL13'!$J$10:$J$224),0),
IF('TL13'!$B$229=O$3,SUMIF('TL13'!$C$238:$C$451,$C75,'TL13'!$J$238:$J$451),0),
IF('TL14'!$B$3=O$3,SUMIF('TL14'!$C$10:$C$224,$C75,'TL14'!$J$10:$J$224),0),
IF('TL14'!$B$229=O$3,SUMIF('TL14'!$C$238:$C$451,$C75,'TL14'!$J$238:$J$451),0),
IF('TL15'!$B$3=O$3,SUMIF('TL15'!$C$10:$C$224,$C75,'TL15'!$J$10:$J$224),0),
IF('TL15'!$B$229=O$3,SUMIF('TL15'!$C$238:$C$451,$C75,'TL15'!$J$238:$J$451),0),
IF('TL16'!$B$3=O$3,SUMIF('TL16'!$C$10:$C$224,$C75,'TL16'!$J$10:$J$224),0),
IF('TL16'!$B$229=O$3,SUMIF('TL16'!$C$238:$C$451,$C75,'TL16'!$J$238:$J$451),0),
IF('TL17'!$B$3=O$3,SUMIF('TL17'!$C$10:$C$224,$C75,'TL17'!$J$10:$J$224),0),
IF('TL17'!$B$229=O$3,SUMIF('TL17'!$C$238:$C$451,$C75,'TL17'!$J$238:$J$451),0),
IF('TL18'!$B$3=O$3,SUMIF('TL18'!$C$10:$C$224,$C75,'TL18'!$J$10:$J$224),0),
IF('TL18'!$B$229=O$3,SUMIF('TL18'!$C$238:$C$451,$C75,'TL18'!$J$238:$J$451),0),
IF('TL19'!$B$3=O$3,SUMIF('TL19'!$C$10:$C$224,$C75,'TL19'!$J$10:$J$224),0),
IF('TL19'!$B$229=O$3,SUMIF('TL19'!$C$238:$C$451,$C75,'TL19'!$J$238:$J$451),0)
),0)</f>
        <v>0</v>
      </c>
      <c r="P75" s="9">
        <f>IFERROR(SUM(
IF('TL01'!$B$3=P$3,SUMIF('TL01'!$C$10:$C$224,$C75,'TL01'!$J$10:$J$224),0),
IF('TL01'!$B$229=P$3,SUMIF('TL01'!$C$238:$C$451,$C75,'TL01'!$J$238:$J$451),0),
IF('TL02'!$B$3=P$3,SUMIF('TL02'!$C$10:$C$224,$C75,'TL02'!$J$10:$J$224),0),
IF('TL02'!$B$229=P$3,SUMIF('TL02'!$C$238:$C$451,$C75,'TL02'!$J$238:$J$451),0),
IF('TL03'!$B$3=P$3,SUMIF('TL03'!$C$10:$C$224,$C75,'TL03'!$J$10:$J$224),0),
IF('TL03'!$B$229=P$3,SUMIF('TL03'!$C$238:$C$451,$C75,'TL03'!$J$238:$J$451),0),
IF('TL04'!$B$3=P$3,SUMIF('TL04'!$C$10:$C$224,$C75,'TL04'!$J$10:$J$224),0),
IF('TL04'!$B$229=P$3,SUMIF('TL04'!$C$238:$C$451,$C75,'TL04'!$J$238:$J$451),0),
IF('TL05'!$B$3=P$3,SUMIF('TL05'!$C$10:$C$224,$C75,'TL05'!$J$10:$J$224),0),
IF('TL05'!$B$229=P$3,SUMIF('TL05'!$C$238:$C$451,$C75,'TL05'!$J$238:$J$451),0),
IF('TL06'!$B$3=P$3,SUMIF('TL06'!$C$10:$C$224,$C75,'TL06'!$J$10:$J$224),0),
IF('TL06'!$B$229=P$3,SUMIF('TL06'!$C$238:$C$451,$C75,'TL06'!$J$238:$J$451),0),
IF('TL07'!$B$3=P$3,SUMIF('TL07'!$C$10:$C$224,$C75,'TL07'!$J$10:$J$224),0),
IF('TL07'!$B$229=P$3,SUMIF('TL07'!$C$238:$C$451,$C75,'TL07'!$J$238:$J$451),0),
IF('TL08'!$B$3=P$3,SUMIF('TL08'!$C$10:$C$224,$C75,'TL08'!$J$10:$J$224),0),
IF('TL08'!$B$229=P$3,SUMIF('TL08'!$C$238:$C$451,$C75,'TL08'!$J$238:$J$451),0),
IF('TL09'!$B$3=P$3,SUMIF('TL09'!$C$10:$C$224,$C75,'TL09'!$J$10:$J$224),0),
IF('TL09'!$B$229=P$3,SUMIF('TL09'!$C$238:$C$451,$C75,'TL09'!$J$238:$J$451),0),
IF('TL10'!$B$3=P$3,SUMIF('TL10'!$C$10:$C$224,$C75,'TL10'!$J$10:$J$224),0),
IF('TL10'!$B$229=P$3,SUMIF('TL10'!$C$238:$C$451,$C75,'TL10'!$J$238:$J$451),0),
IF('TL11'!$B$3=P$3,SUMIF('TL11'!$C$10:$C$224,$C75,'TL11'!$J$10:$J$224),0),
IF('TL11'!$B$229=P$3,SUMIF('TL11'!$C$238:$C$451,$C75,'TL11'!$J$238:$J$451),0),
IF('TL12'!$B$3=P$3,SUMIF('TL12'!$C$10:$C$224,$C75,'TL12'!$J$10:$J$224),0),
IF('TL12'!$B$229=P$3,SUMIF('TL12'!$C$238:$C$451,$C75,'TL12'!$J$238:$J$451),0),
IF('TL13'!$B$3=P$3,SUMIF('TL13'!$C$10:$C$224,$C75,'TL13'!$J$10:$J$224),0),
IF('TL13'!$B$229=P$3,SUMIF('TL13'!$C$238:$C$451,$C75,'TL13'!$J$238:$J$451),0),
IF('TL14'!$B$3=P$3,SUMIF('TL14'!$C$10:$C$224,$C75,'TL14'!$J$10:$J$224),0),
IF('TL14'!$B$229=P$3,SUMIF('TL14'!$C$238:$C$451,$C75,'TL14'!$J$238:$J$451),0),
IF('TL15'!$B$3=P$3,SUMIF('TL15'!$C$10:$C$224,$C75,'TL15'!$J$10:$J$224),0),
IF('TL15'!$B$229=P$3,SUMIF('TL15'!$C$238:$C$451,$C75,'TL15'!$J$238:$J$451),0),
IF('TL16'!$B$3=P$3,SUMIF('TL16'!$C$10:$C$224,$C75,'TL16'!$J$10:$J$224),0),
IF('TL16'!$B$229=P$3,SUMIF('TL16'!$C$238:$C$451,$C75,'TL16'!$J$238:$J$451),0),
IF('TL17'!$B$3=P$3,SUMIF('TL17'!$C$10:$C$224,$C75,'TL17'!$J$10:$J$224),0),
IF('TL17'!$B$229=P$3,SUMIF('TL17'!$C$238:$C$451,$C75,'TL17'!$J$238:$J$451),0),
IF('TL18'!$B$3=P$3,SUMIF('TL18'!$C$10:$C$224,$C75,'TL18'!$J$10:$J$224),0),
IF('TL18'!$B$229=P$3,SUMIF('TL18'!$C$238:$C$451,$C75,'TL18'!$J$238:$J$451),0),
IF('TL19'!$B$3=P$3,SUMIF('TL19'!$C$10:$C$224,$C75,'TL19'!$J$10:$J$224),0),
IF('TL19'!$B$229=P$3,SUMIF('TL19'!$C$238:$C$451,$C75,'TL19'!$J$238:$J$451),0)
),0)</f>
        <v>0</v>
      </c>
      <c r="Q75" s="9">
        <f>IFERROR(SUM(
IF('TL01'!$B$3=Q$3,SUMIF('TL01'!$C$10:$C$224,$C75,'TL01'!$J$10:$J$224),0),
IF('TL01'!$B$229=Q$3,SUMIF('TL01'!$C$238:$C$451,$C75,'TL01'!$J$238:$J$451),0),
IF('TL02'!$B$3=Q$3,SUMIF('TL02'!$C$10:$C$224,$C75,'TL02'!$J$10:$J$224),0),
IF('TL02'!$B$229=Q$3,SUMIF('TL02'!$C$238:$C$451,$C75,'TL02'!$J$238:$J$451),0),
IF('TL03'!$B$3=Q$3,SUMIF('TL03'!$C$10:$C$224,$C75,'TL03'!$J$10:$J$224),0),
IF('TL03'!$B$229=Q$3,SUMIF('TL03'!$C$238:$C$451,$C75,'TL03'!$J$238:$J$451),0),
IF('TL04'!$B$3=Q$3,SUMIF('TL04'!$C$10:$C$224,$C75,'TL04'!$J$10:$J$224),0),
IF('TL04'!$B$229=Q$3,SUMIF('TL04'!$C$238:$C$451,$C75,'TL04'!$J$238:$J$451),0),
IF('TL05'!$B$3=Q$3,SUMIF('TL05'!$C$10:$C$224,$C75,'TL05'!$J$10:$J$224),0),
IF('TL05'!$B$229=Q$3,SUMIF('TL05'!$C$238:$C$451,$C75,'TL05'!$J$238:$J$451),0),
IF('TL06'!$B$3=Q$3,SUMIF('TL06'!$C$10:$C$224,$C75,'TL06'!$J$10:$J$224),0),
IF('TL06'!$B$229=Q$3,SUMIF('TL06'!$C$238:$C$451,$C75,'TL06'!$J$238:$J$451),0),
IF('TL07'!$B$3=Q$3,SUMIF('TL07'!$C$10:$C$224,$C75,'TL07'!$J$10:$J$224),0),
IF('TL07'!$B$229=Q$3,SUMIF('TL07'!$C$238:$C$451,$C75,'TL07'!$J$238:$J$451),0),
IF('TL08'!$B$3=Q$3,SUMIF('TL08'!$C$10:$C$224,$C75,'TL08'!$J$10:$J$224),0),
IF('TL08'!$B$229=Q$3,SUMIF('TL08'!$C$238:$C$451,$C75,'TL08'!$J$238:$J$451),0),
IF('TL09'!$B$3=Q$3,SUMIF('TL09'!$C$10:$C$224,$C75,'TL09'!$J$10:$J$224),0),
IF('TL09'!$B$229=Q$3,SUMIF('TL09'!$C$238:$C$451,$C75,'TL09'!$J$238:$J$451),0),
IF('TL10'!$B$3=Q$3,SUMIF('TL10'!$C$10:$C$224,$C75,'TL10'!$J$10:$J$224),0),
IF('TL10'!$B$229=Q$3,SUMIF('TL10'!$C$238:$C$451,$C75,'TL10'!$J$238:$J$451),0),
IF('TL11'!$B$3=Q$3,SUMIF('TL11'!$C$10:$C$224,$C75,'TL11'!$J$10:$J$224),0),
IF('TL11'!$B$229=Q$3,SUMIF('TL11'!$C$238:$C$451,$C75,'TL11'!$J$238:$J$451),0),
IF('TL12'!$B$3=Q$3,SUMIF('TL12'!$C$10:$C$224,$C75,'TL12'!$J$10:$J$224),0),
IF('TL12'!$B$229=Q$3,SUMIF('TL12'!$C$238:$C$451,$C75,'TL12'!$J$238:$J$451),0),
IF('TL13'!$B$3=Q$3,SUMIF('TL13'!$C$10:$C$224,$C75,'TL13'!$J$10:$J$224),0),
IF('TL13'!$B$229=Q$3,SUMIF('TL13'!$C$238:$C$451,$C75,'TL13'!$J$238:$J$451),0),
IF('TL14'!$B$3=Q$3,SUMIF('TL14'!$C$10:$C$224,$C75,'TL14'!$J$10:$J$224),0),
IF('TL14'!$B$229=Q$3,SUMIF('TL14'!$C$238:$C$451,$C75,'TL14'!$J$238:$J$451),0),
IF('TL15'!$B$3=Q$3,SUMIF('TL15'!$C$10:$C$224,$C75,'TL15'!$J$10:$J$224),0),
IF('TL15'!$B$229=Q$3,SUMIF('TL15'!$C$238:$C$451,$C75,'TL15'!$J$238:$J$451),0),
IF('TL16'!$B$3=Q$3,SUMIF('TL16'!$C$10:$C$224,$C75,'TL16'!$J$10:$J$224),0),
IF('TL16'!$B$229=Q$3,SUMIF('TL16'!$C$238:$C$451,$C75,'TL16'!$J$238:$J$451),0),
IF('TL17'!$B$3=Q$3,SUMIF('TL17'!$C$10:$C$224,$C75,'TL17'!$J$10:$J$224),0),
IF('TL17'!$B$229=Q$3,SUMIF('TL17'!$C$238:$C$451,$C75,'TL17'!$J$238:$J$451),0),
IF('TL18'!$B$3=Q$3,SUMIF('TL18'!$C$10:$C$224,$C75,'TL18'!$J$10:$J$224),0),
IF('TL18'!$B$229=Q$3,SUMIF('TL18'!$C$238:$C$451,$C75,'TL18'!$J$238:$J$451),0),
IF('TL19'!$B$3=Q$3,SUMIF('TL19'!$C$10:$C$224,$C75,'TL19'!$J$10:$J$224),0),
IF('TL19'!$B$229=Q$3,SUMIF('TL19'!$C$238:$C$451,$C75,'TL19'!$J$238:$J$451),0)
),0)</f>
        <v>0</v>
      </c>
      <c r="R75" s="9">
        <f>IFERROR(
SUM(
SUMIF('TL01'!C:C,C75,'TL01'!J:J),
SUMIF('TL02'!C:C,C75,'TL02'!J:J),
SUMIF('TL03'!C:C,C75,'TL03'!J:J),
SUMIF('TL04'!C:C,C75,'TL04'!J:J),
SUMIF('TL05'!C:C,C75,'TL05'!J:J),
SUMIF('TL06'!C:C,C75,'TL06'!J:J),
SUMIF('TL07'!C:C,C75,'TL07'!J:J),
SUMIF('TL08'!C:C,C75,'TL08'!J:J),
SUMIF('TL09'!C:C,C75,'TL09'!J:J),
SUMIF('TL10'!C:C,C75,'TL10'!J:J),
SUMIF('TL11'!C:C,C75,'TL11'!J:J),
SUMIF('TL12'!C:C,C75,'TL12'!J:J),
SUMIF('TL13'!C:C,C75,'TL13'!J:J),
SUMIF('TL14'!C:C,C75,'TL14'!J:J),
SUMIF('TL15'!C:C,C75,'TL15'!J:J),
SUMIF('TL16'!C:C,C75,'TL16'!J:J),
SUMIF('TL17'!C:C,C75,'TL17'!J:J),
SUMIF('TL18'!C:C,C75,'TL18'!J:J),SUMIF('TL19'!C:C,C75,'TL19'!J:J))
,0)</f>
        <v>0</v>
      </c>
      <c r="S75" s="17">
        <f>IFERROR(__xludf.DUMMYFUNCTION("IFERROR(VLOOKUP(C75,
IMPORTRANGE(""1wULbzX32WdYsx-lj2U3uUNBBe2INVIRDtcK0d-Dvl90"",
""26-27!C:G""),
5,
FALSE),
"""")"),31.944960000000002)</f>
        <v>31.94496</v>
      </c>
      <c r="T75" s="9"/>
      <c r="U75" s="92">
        <f t="shared" si="2"/>
        <v>0</v>
      </c>
      <c r="V75" s="93">
        <f t="shared" si="3"/>
        <v>0</v>
      </c>
    </row>
    <row r="76" ht="15.75" hidden="1" customHeight="1">
      <c r="A76" s="115" t="s">
        <v>516</v>
      </c>
      <c r="B76" s="100" t="s">
        <v>0</v>
      </c>
      <c r="C76" s="116" t="s">
        <v>530</v>
      </c>
      <c r="D76" s="116" t="s">
        <v>435</v>
      </c>
      <c r="E76" s="116" t="s">
        <v>531</v>
      </c>
      <c r="F76" s="4" t="s">
        <v>343</v>
      </c>
      <c r="G76" s="90" t="str">
        <f t="shared" si="4"/>
        <v>📄 Ver bula</v>
      </c>
      <c r="H76" s="9">
        <f>IFERROR(__xludf.DUMMYFUNCTION("IFERROR(VLOOKUP(C76,
IMPORTRANGE(""1wULbzX32WdYsx-lj2U3uUNBBe2INVIRDtcK0d-Dvl90"",
""26-27!C:K""),
8,
FALSE),
"""")"),0.5)</f>
        <v>0.5</v>
      </c>
      <c r="I76" s="117" t="s">
        <v>344</v>
      </c>
      <c r="J76" s="9">
        <f>IFERROR(SUM(
IF('TL01'!$B$3=J$3,SUMIF('TL01'!$C$10:$C$224,$C76,'TL01'!$J$10:$J$224),0),
IF('TL01'!$B$229=J$3,SUMIF('TL01'!$C$238:$C$451,$C76,'TL01'!$J$238:$J$451),0),
IF('TL02'!$B$3=J$3,SUMIF('TL02'!$C$10:$C$224,$C76,'TL02'!$J$10:$J$224),0),
IF('TL02'!$B$229=J$3,SUMIF('TL02'!$C$238:$C$451,$C76,'TL02'!$J$238:$J$451),0),
IF('TL03'!$B$3=J$3,SUMIF('TL03'!$C$10:$C$224,$C76,'TL03'!$J$10:$J$224),0),
IF('TL03'!$B$229=J$3,SUMIF('TL03'!$C$238:$C$451,$C76,'TL03'!$J$238:$J$451),0),
IF('TL04'!$B$3=J$3,SUMIF('TL04'!$C$10:$C$224,$C76,'TL04'!$J$10:$J$224),0),
IF('TL04'!$B$229=J$3,SUMIF('TL04'!$C$238:$C$451,$C76,'TL04'!$J$238:$J$451),0),
IF('TL05'!$B$3=J$3,SUMIF('TL05'!$C$10:$C$224,$C76,'TL05'!$J$10:$J$224),0),
IF('TL05'!$B$229=J$3,SUMIF('TL05'!$C$238:$C$451,$C76,'TL05'!$J$238:$J$451),0),
IF('TL06'!$B$3=J$3,SUMIF('TL06'!$C$10:$C$224,$C76,'TL06'!$J$10:$J$224),0),
IF('TL06'!$B$229=J$3,SUMIF('TL06'!$C$238:$C$451,$C76,'TL06'!$J$238:$J$451),0),
IF('TL07'!$B$3=J$3,SUMIF('TL07'!$C$10:$C$224,$C76,'TL07'!$J$10:$J$224),0),
IF('TL07'!$B$229=J$3,SUMIF('TL07'!$C$238:$C$451,$C76,'TL07'!$J$238:$J$451),0),
IF('TL08'!$B$3=J$3,SUMIF('TL08'!$C$10:$C$224,$C76,'TL08'!$J$10:$J$224),0),
IF('TL08'!$B$229=J$3,SUMIF('TL08'!$C$238:$C$451,$C76,'TL08'!$J$238:$J$451),0),
IF('TL09'!$B$3=J$3,SUMIF('TL09'!$C$10:$C$224,$C76,'TL09'!$J$10:$J$224),0),
IF('TL09'!$B$229=J$3,SUMIF('TL09'!$C$238:$C$451,$C76,'TL09'!$J$238:$J$451),0),
IF('TL10'!$B$3=J$3,SUMIF('TL10'!$C$10:$C$224,$C76,'TL10'!$J$10:$J$224),0),
IF('TL10'!$B$229=J$3,SUMIF('TL10'!$C$238:$C$451,$C76,'TL10'!$J$238:$J$451),0),
IF('TL11'!$B$3=J$3,SUMIF('TL11'!$C$10:$C$224,$C76,'TL11'!$J$10:$J$224),0),
IF('TL11'!$B$229=J$3,SUMIF('TL11'!$C$238:$C$451,$C76,'TL11'!$J$238:$J$451),0),
IF('TL12'!$B$3=J$3,SUMIF('TL12'!$C$10:$C$224,$C76,'TL12'!$J$10:$J$224),0),
IF('TL12'!$B$229=J$3,SUMIF('TL12'!$C$238:$C$451,$C76,'TL12'!$J$238:$J$451),0),
IF('TL13'!$B$3=J$3,SUMIF('TL13'!$C$10:$C$224,$C76,'TL13'!$J$10:$J$224),0),
IF('TL13'!$B$229=J$3,SUMIF('TL13'!$C$238:$C$451,$C76,'TL13'!$J$238:$J$451),0),
IF('TL14'!$B$3=J$3,SUMIF('TL14'!$C$10:$C$224,$C76,'TL14'!$J$10:$J$224),0),
IF('TL14'!$B$229=J$3,SUMIF('TL14'!$C$238:$C$451,$C76,'TL14'!$J$238:$J$451),0),
IF('TL15'!$B$3=J$3,SUMIF('TL15'!$C$10:$C$224,$C76,'TL15'!$J$10:$J$224),0),
IF('TL15'!$B$229=J$3,SUMIF('TL15'!$C$238:$C$451,$C76,'TL15'!$J$238:$J$451),0),
IF('TL16'!$B$3=J$3,SUMIF('TL16'!$C$10:$C$224,$C76,'TL16'!$J$10:$J$224),0),
IF('TL16'!$B$229=J$3,SUMIF('TL16'!$C$238:$C$451,$C76,'TL16'!$J$238:$J$451),0),
IF('TL17'!$B$3=J$3,SUMIF('TL17'!$C$10:$C$224,$C76,'TL17'!$J$10:$J$224),0),
IF('TL17'!$B$229=J$3,SUMIF('TL17'!$C$238:$C$451,$C76,'TL17'!$J$238:$J$451),0),
IF('TL18'!$B$3=J$3,SUMIF('TL18'!$C$10:$C$224,$C76,'TL18'!$J$10:$J$224),0),
IF('TL18'!$B$229=J$3,SUMIF('TL18'!$C$238:$C$451,$C76,'TL18'!$J$238:$J$451),0),
IF('TL19'!$B$3=J$3,SUMIF('TL19'!$C$10:$C$224,$C76,'TL19'!$J$10:$J$224),0),
IF('TL19'!$B$229=J$3,SUMIF('TL19'!$C$238:$C$451,$C76,'TL19'!$J$238:$J$451),0)
),0)</f>
        <v>0</v>
      </c>
      <c r="K76" s="9">
        <f>IFERROR(SUM(
IF('TL01'!$B$3=K$3,SUMIF('TL01'!$C$10:$C$224,$C76,'TL01'!$J$10:$J$224),0),
IF('TL01'!$B$229=K$3,SUMIF('TL01'!$C$238:$C$451,$C76,'TL01'!$J$238:$J$451),0),
IF('TL02'!$B$3=K$3,SUMIF('TL02'!$C$10:$C$224,$C76,'TL02'!$J$10:$J$224),0),
IF('TL02'!$B$229=K$3,SUMIF('TL02'!$C$238:$C$451,$C76,'TL02'!$J$238:$J$451),0),
IF('TL03'!$B$3=K$3,SUMIF('TL03'!$C$10:$C$224,$C76,'TL03'!$J$10:$J$224),0),
IF('TL03'!$B$229=K$3,SUMIF('TL03'!$C$238:$C$451,$C76,'TL03'!$J$238:$J$451),0),
IF('TL04'!$B$3=K$3,SUMIF('TL04'!$C$10:$C$224,$C76,'TL04'!$J$10:$J$224),0),
IF('TL04'!$B$229=K$3,SUMIF('TL04'!$C$238:$C$451,$C76,'TL04'!$J$238:$J$451),0),
IF('TL05'!$B$3=K$3,SUMIF('TL05'!$C$10:$C$224,$C76,'TL05'!$J$10:$J$224),0),
IF('TL05'!$B$229=K$3,SUMIF('TL05'!$C$238:$C$451,$C76,'TL05'!$J$238:$J$451),0),
IF('TL06'!$B$3=K$3,SUMIF('TL06'!$C$10:$C$224,$C76,'TL06'!$J$10:$J$224),0),
IF('TL06'!$B$229=K$3,SUMIF('TL06'!$C$238:$C$451,$C76,'TL06'!$J$238:$J$451),0),
IF('TL07'!$B$3=K$3,SUMIF('TL07'!$C$10:$C$224,$C76,'TL07'!$J$10:$J$224),0),
IF('TL07'!$B$229=K$3,SUMIF('TL07'!$C$238:$C$451,$C76,'TL07'!$J$238:$J$451),0),
IF('TL08'!$B$3=K$3,SUMIF('TL08'!$C$10:$C$224,$C76,'TL08'!$J$10:$J$224),0),
IF('TL08'!$B$229=K$3,SUMIF('TL08'!$C$238:$C$451,$C76,'TL08'!$J$238:$J$451),0),
IF('TL09'!$B$3=K$3,SUMIF('TL09'!$C$10:$C$224,$C76,'TL09'!$J$10:$J$224),0),
IF('TL09'!$B$229=K$3,SUMIF('TL09'!$C$238:$C$451,$C76,'TL09'!$J$238:$J$451),0),
IF('TL10'!$B$3=K$3,SUMIF('TL10'!$C$10:$C$224,$C76,'TL10'!$J$10:$J$224),0),
IF('TL10'!$B$229=K$3,SUMIF('TL10'!$C$238:$C$451,$C76,'TL10'!$J$238:$J$451),0),
IF('TL11'!$B$3=K$3,SUMIF('TL11'!$C$10:$C$224,$C76,'TL11'!$J$10:$J$224),0),
IF('TL11'!$B$229=K$3,SUMIF('TL11'!$C$238:$C$451,$C76,'TL11'!$J$238:$J$451),0),
IF('TL12'!$B$3=K$3,SUMIF('TL12'!$C$10:$C$224,$C76,'TL12'!$J$10:$J$224),0),
IF('TL12'!$B$229=K$3,SUMIF('TL12'!$C$238:$C$451,$C76,'TL12'!$J$238:$J$451),0),
IF('TL13'!$B$3=K$3,SUMIF('TL13'!$C$10:$C$224,$C76,'TL13'!$J$10:$J$224),0),
IF('TL13'!$B$229=K$3,SUMIF('TL13'!$C$238:$C$451,$C76,'TL13'!$J$238:$J$451),0),
IF('TL14'!$B$3=K$3,SUMIF('TL14'!$C$10:$C$224,$C76,'TL14'!$J$10:$J$224),0),
IF('TL14'!$B$229=K$3,SUMIF('TL14'!$C$238:$C$451,$C76,'TL14'!$J$238:$J$451),0),
IF('TL15'!$B$3=K$3,SUMIF('TL15'!$C$10:$C$224,$C76,'TL15'!$J$10:$J$224),0),
IF('TL15'!$B$229=K$3,SUMIF('TL15'!$C$238:$C$451,$C76,'TL15'!$J$238:$J$451),0),
IF('TL16'!$B$3=K$3,SUMIF('TL16'!$C$10:$C$224,$C76,'TL16'!$J$10:$J$224),0),
IF('TL16'!$B$229=K$3,SUMIF('TL16'!$C$238:$C$451,$C76,'TL16'!$J$238:$J$451),0),
IF('TL17'!$B$3=K$3,SUMIF('TL17'!$C$10:$C$224,$C76,'TL17'!$J$10:$J$224),0),
IF('TL17'!$B$229=K$3,SUMIF('TL17'!$C$238:$C$451,$C76,'TL17'!$J$238:$J$451),0),
IF('TL18'!$B$3=K$3,SUMIF('TL18'!$C$10:$C$224,$C76,'TL18'!$J$10:$J$224),0),
IF('TL18'!$B$229=K$3,SUMIF('TL18'!$C$238:$C$451,$C76,'TL18'!$J$238:$J$451),0),
IF('TL19'!$B$3=K$3,SUMIF('TL19'!$C$10:$C$224,$C76,'TL19'!$J$10:$J$224),0),
IF('TL19'!$B$229=K$3,SUMIF('TL19'!$C$238:$C$451,$C76,'TL19'!$J$238:$J$451),0)
),0)</f>
        <v>0</v>
      </c>
      <c r="L76" s="9">
        <f>IFERROR(SUM(
IF('TL01'!$B$3=L$3,SUMIF('TL01'!$C$10:$C$224,$C76,'TL01'!$J$10:$J$224),0),
IF('TL01'!$B$229=L$3,SUMIF('TL01'!$C$238:$C$451,$C76,'TL01'!$J$238:$J$451),0),
IF('TL02'!$B$3=L$3,SUMIF('TL02'!$C$10:$C$224,$C76,'TL02'!$J$10:$J$224),0),
IF('TL02'!$B$229=L$3,SUMIF('TL02'!$C$238:$C$451,$C76,'TL02'!$J$238:$J$451),0),
IF('TL03'!$B$3=L$3,SUMIF('TL03'!$C$10:$C$224,$C76,'TL03'!$J$10:$J$224),0),
IF('TL03'!$B$229=L$3,SUMIF('TL03'!$C$238:$C$451,$C76,'TL03'!$J$238:$J$451),0),
IF('TL04'!$B$3=L$3,SUMIF('TL04'!$C$10:$C$224,$C76,'TL04'!$J$10:$J$224),0),
IF('TL04'!$B$229=L$3,SUMIF('TL04'!$C$238:$C$451,$C76,'TL04'!$J$238:$J$451),0),
IF('TL05'!$B$3=L$3,SUMIF('TL05'!$C$10:$C$224,$C76,'TL05'!$J$10:$J$224),0),
IF('TL05'!$B$229=L$3,SUMIF('TL05'!$C$238:$C$451,$C76,'TL05'!$J$238:$J$451),0),
IF('TL06'!$B$3=L$3,SUMIF('TL06'!$C$10:$C$224,$C76,'TL06'!$J$10:$J$224),0),
IF('TL06'!$B$229=L$3,SUMIF('TL06'!$C$238:$C$451,$C76,'TL06'!$J$238:$J$451),0),
IF('TL07'!$B$3=L$3,SUMIF('TL07'!$C$10:$C$224,$C76,'TL07'!$J$10:$J$224),0),
IF('TL07'!$B$229=L$3,SUMIF('TL07'!$C$238:$C$451,$C76,'TL07'!$J$238:$J$451),0),
IF('TL08'!$B$3=L$3,SUMIF('TL08'!$C$10:$C$224,$C76,'TL08'!$J$10:$J$224),0),
IF('TL08'!$B$229=L$3,SUMIF('TL08'!$C$238:$C$451,$C76,'TL08'!$J$238:$J$451),0),
IF('TL09'!$B$3=L$3,SUMIF('TL09'!$C$10:$C$224,$C76,'TL09'!$J$10:$J$224),0),
IF('TL09'!$B$229=L$3,SUMIF('TL09'!$C$238:$C$451,$C76,'TL09'!$J$238:$J$451),0),
IF('TL10'!$B$3=L$3,SUMIF('TL10'!$C$10:$C$224,$C76,'TL10'!$J$10:$J$224),0),
IF('TL10'!$B$229=L$3,SUMIF('TL10'!$C$238:$C$451,$C76,'TL10'!$J$238:$J$451),0),
IF('TL11'!$B$3=L$3,SUMIF('TL11'!$C$10:$C$224,$C76,'TL11'!$J$10:$J$224),0),
IF('TL11'!$B$229=L$3,SUMIF('TL11'!$C$238:$C$451,$C76,'TL11'!$J$238:$J$451),0),
IF('TL12'!$B$3=L$3,SUMIF('TL12'!$C$10:$C$224,$C76,'TL12'!$J$10:$J$224),0),
IF('TL12'!$B$229=L$3,SUMIF('TL12'!$C$238:$C$451,$C76,'TL12'!$J$238:$J$451),0),
IF('TL13'!$B$3=L$3,SUMIF('TL13'!$C$10:$C$224,$C76,'TL13'!$J$10:$J$224),0),
IF('TL13'!$B$229=L$3,SUMIF('TL13'!$C$238:$C$451,$C76,'TL13'!$J$238:$J$451),0),
IF('TL14'!$B$3=L$3,SUMIF('TL14'!$C$10:$C$224,$C76,'TL14'!$J$10:$J$224),0),
IF('TL14'!$B$229=L$3,SUMIF('TL14'!$C$238:$C$451,$C76,'TL14'!$J$238:$J$451),0),
IF('TL15'!$B$3=L$3,SUMIF('TL15'!$C$10:$C$224,$C76,'TL15'!$J$10:$J$224),0),
IF('TL15'!$B$229=L$3,SUMIF('TL15'!$C$238:$C$451,$C76,'TL15'!$J$238:$J$451),0),
IF('TL16'!$B$3=L$3,SUMIF('TL16'!$C$10:$C$224,$C76,'TL16'!$J$10:$J$224),0),
IF('TL16'!$B$229=L$3,SUMIF('TL16'!$C$238:$C$451,$C76,'TL16'!$J$238:$J$451),0),
IF('TL17'!$B$3=L$3,SUMIF('TL17'!$C$10:$C$224,$C76,'TL17'!$J$10:$J$224),0),
IF('TL17'!$B$229=L$3,SUMIF('TL17'!$C$238:$C$451,$C76,'TL17'!$J$238:$J$451),0),
IF('TL18'!$B$3=L$3,SUMIF('TL18'!$C$10:$C$224,$C76,'TL18'!$J$10:$J$224),0),
IF('TL18'!$B$229=L$3,SUMIF('TL18'!$C$238:$C$451,$C76,'TL18'!$J$238:$J$451),0),
IF('TL19'!$B$3=L$3,SUMIF('TL19'!$C$10:$C$224,$C76,'TL19'!$J$10:$J$224),0),
IF('TL19'!$B$229=L$3,SUMIF('TL19'!$C$238:$C$451,$C76,'TL19'!$J$238:$J$451),0)
),0)</f>
        <v>0</v>
      </c>
      <c r="M76" s="9">
        <f>IFERROR(SUM(
IF('TL01'!$B$3=M$3,SUMIF('TL01'!$C$10:$C$224,$C76,'TL01'!$J$10:$J$224),0),
IF('TL01'!$B$229=M$3,SUMIF('TL01'!$C$238:$C$451,$C76,'TL01'!$J$238:$J$451),0),
IF('TL02'!$B$3=M$3,SUMIF('TL02'!$C$10:$C$224,$C76,'TL02'!$J$10:$J$224),0),
IF('TL02'!$B$229=M$3,SUMIF('TL02'!$C$238:$C$451,$C76,'TL02'!$J$238:$J$451),0),
IF('TL03'!$B$3=M$3,SUMIF('TL03'!$C$10:$C$224,$C76,'TL03'!$J$10:$J$224),0),
IF('TL03'!$B$229=M$3,SUMIF('TL03'!$C$238:$C$451,$C76,'TL03'!$J$238:$J$451),0),
IF('TL04'!$B$3=M$3,SUMIF('TL04'!$C$10:$C$224,$C76,'TL04'!$J$10:$J$224),0),
IF('TL04'!$B$229=M$3,SUMIF('TL04'!$C$238:$C$451,$C76,'TL04'!$J$238:$J$451),0),
IF('TL05'!$B$3=M$3,SUMIF('TL05'!$C$10:$C$224,$C76,'TL05'!$J$10:$J$224),0),
IF('TL05'!$B$229=M$3,SUMIF('TL05'!$C$238:$C$451,$C76,'TL05'!$J$238:$J$451),0),
IF('TL06'!$B$3=M$3,SUMIF('TL06'!$C$10:$C$224,$C76,'TL06'!$J$10:$J$224),0),
IF('TL06'!$B$229=M$3,SUMIF('TL06'!$C$238:$C$451,$C76,'TL06'!$J$238:$J$451),0),
IF('TL07'!$B$3=M$3,SUMIF('TL07'!$C$10:$C$224,$C76,'TL07'!$J$10:$J$224),0),
IF('TL07'!$B$229=M$3,SUMIF('TL07'!$C$238:$C$451,$C76,'TL07'!$J$238:$J$451),0),
IF('TL08'!$B$3=M$3,SUMIF('TL08'!$C$10:$C$224,$C76,'TL08'!$J$10:$J$224),0),
IF('TL08'!$B$229=M$3,SUMIF('TL08'!$C$238:$C$451,$C76,'TL08'!$J$238:$J$451),0),
IF('TL09'!$B$3=M$3,SUMIF('TL09'!$C$10:$C$224,$C76,'TL09'!$J$10:$J$224),0),
IF('TL09'!$B$229=M$3,SUMIF('TL09'!$C$238:$C$451,$C76,'TL09'!$J$238:$J$451),0),
IF('TL10'!$B$3=M$3,SUMIF('TL10'!$C$10:$C$224,$C76,'TL10'!$J$10:$J$224),0),
IF('TL10'!$B$229=M$3,SUMIF('TL10'!$C$238:$C$451,$C76,'TL10'!$J$238:$J$451),0),
IF('TL11'!$B$3=M$3,SUMIF('TL11'!$C$10:$C$224,$C76,'TL11'!$J$10:$J$224),0),
IF('TL11'!$B$229=M$3,SUMIF('TL11'!$C$238:$C$451,$C76,'TL11'!$J$238:$J$451),0),
IF('TL12'!$B$3=M$3,SUMIF('TL12'!$C$10:$C$224,$C76,'TL12'!$J$10:$J$224),0),
IF('TL12'!$B$229=M$3,SUMIF('TL12'!$C$238:$C$451,$C76,'TL12'!$J$238:$J$451),0),
IF('TL13'!$B$3=M$3,SUMIF('TL13'!$C$10:$C$224,$C76,'TL13'!$J$10:$J$224),0),
IF('TL13'!$B$229=M$3,SUMIF('TL13'!$C$238:$C$451,$C76,'TL13'!$J$238:$J$451),0),
IF('TL14'!$B$3=M$3,SUMIF('TL14'!$C$10:$C$224,$C76,'TL14'!$J$10:$J$224),0),
IF('TL14'!$B$229=M$3,SUMIF('TL14'!$C$238:$C$451,$C76,'TL14'!$J$238:$J$451),0),
IF('TL15'!$B$3=M$3,SUMIF('TL15'!$C$10:$C$224,$C76,'TL15'!$J$10:$J$224),0),
IF('TL15'!$B$229=M$3,SUMIF('TL15'!$C$238:$C$451,$C76,'TL15'!$J$238:$J$451),0),
IF('TL16'!$B$3=M$3,SUMIF('TL16'!$C$10:$C$224,$C76,'TL16'!$J$10:$J$224),0),
IF('TL16'!$B$229=M$3,SUMIF('TL16'!$C$238:$C$451,$C76,'TL16'!$J$238:$J$451),0),
IF('TL17'!$B$3=M$3,SUMIF('TL17'!$C$10:$C$224,$C76,'TL17'!$J$10:$J$224),0),
IF('TL17'!$B$229=M$3,SUMIF('TL17'!$C$238:$C$451,$C76,'TL17'!$J$238:$J$451),0),
IF('TL18'!$B$3=M$3,SUMIF('TL18'!$C$10:$C$224,$C76,'TL18'!$J$10:$J$224),0),
IF('TL18'!$B$229=M$3,SUMIF('TL18'!$C$238:$C$451,$C76,'TL18'!$J$238:$J$451),0),
IF('TL19'!$B$3=M$3,SUMIF('TL19'!$C$10:$C$224,$C76,'TL19'!$J$10:$J$224),0),
IF('TL19'!$B$229=M$3,SUMIF('TL19'!$C$238:$C$451,$C76,'TL19'!$J$238:$J$451),0)
),0)</f>
        <v>0</v>
      </c>
      <c r="N76" s="9">
        <f>IFERROR(SUM(
IF('TL01'!$B$3=N$3,SUMIF('TL01'!$C$10:$C$224,$C76,'TL01'!$J$10:$J$224),0),
IF('TL01'!$B$229=N$3,SUMIF('TL01'!$C$238:$C$451,$C76,'TL01'!$J$238:$J$451),0),
IF('TL02'!$B$3=N$3,SUMIF('TL02'!$C$10:$C$224,$C76,'TL02'!$J$10:$J$224),0),
IF('TL02'!$B$229=N$3,SUMIF('TL02'!$C$238:$C$451,$C76,'TL02'!$J$238:$J$451),0),
IF('TL03'!$B$3=N$3,SUMIF('TL03'!$C$10:$C$224,$C76,'TL03'!$J$10:$J$224),0),
IF('TL03'!$B$229=N$3,SUMIF('TL03'!$C$238:$C$451,$C76,'TL03'!$J$238:$J$451),0),
IF('TL04'!$B$3=N$3,SUMIF('TL04'!$C$10:$C$224,$C76,'TL04'!$J$10:$J$224),0),
IF('TL04'!$B$229=N$3,SUMIF('TL04'!$C$238:$C$451,$C76,'TL04'!$J$238:$J$451),0),
IF('TL05'!$B$3=N$3,SUMIF('TL05'!$C$10:$C$224,$C76,'TL05'!$J$10:$J$224),0),
IF('TL05'!$B$229=N$3,SUMIF('TL05'!$C$238:$C$451,$C76,'TL05'!$J$238:$J$451),0),
IF('TL06'!$B$3=N$3,SUMIF('TL06'!$C$10:$C$224,$C76,'TL06'!$J$10:$J$224),0),
IF('TL06'!$B$229=N$3,SUMIF('TL06'!$C$238:$C$451,$C76,'TL06'!$J$238:$J$451),0),
IF('TL07'!$B$3=N$3,SUMIF('TL07'!$C$10:$C$224,$C76,'TL07'!$J$10:$J$224),0),
IF('TL07'!$B$229=N$3,SUMIF('TL07'!$C$238:$C$451,$C76,'TL07'!$J$238:$J$451),0),
IF('TL08'!$B$3=N$3,SUMIF('TL08'!$C$10:$C$224,$C76,'TL08'!$J$10:$J$224),0),
IF('TL08'!$B$229=N$3,SUMIF('TL08'!$C$238:$C$451,$C76,'TL08'!$J$238:$J$451),0),
IF('TL09'!$B$3=N$3,SUMIF('TL09'!$C$10:$C$224,$C76,'TL09'!$J$10:$J$224),0),
IF('TL09'!$B$229=N$3,SUMIF('TL09'!$C$238:$C$451,$C76,'TL09'!$J$238:$J$451),0),
IF('TL10'!$B$3=N$3,SUMIF('TL10'!$C$10:$C$224,$C76,'TL10'!$J$10:$J$224),0),
IF('TL10'!$B$229=N$3,SUMIF('TL10'!$C$238:$C$451,$C76,'TL10'!$J$238:$J$451),0),
IF('TL11'!$B$3=N$3,SUMIF('TL11'!$C$10:$C$224,$C76,'TL11'!$J$10:$J$224),0),
IF('TL11'!$B$229=N$3,SUMIF('TL11'!$C$238:$C$451,$C76,'TL11'!$J$238:$J$451),0),
IF('TL12'!$B$3=N$3,SUMIF('TL12'!$C$10:$C$224,$C76,'TL12'!$J$10:$J$224),0),
IF('TL12'!$B$229=N$3,SUMIF('TL12'!$C$238:$C$451,$C76,'TL12'!$J$238:$J$451),0),
IF('TL13'!$B$3=N$3,SUMIF('TL13'!$C$10:$C$224,$C76,'TL13'!$J$10:$J$224),0),
IF('TL13'!$B$229=N$3,SUMIF('TL13'!$C$238:$C$451,$C76,'TL13'!$J$238:$J$451),0),
IF('TL14'!$B$3=N$3,SUMIF('TL14'!$C$10:$C$224,$C76,'TL14'!$J$10:$J$224),0),
IF('TL14'!$B$229=N$3,SUMIF('TL14'!$C$238:$C$451,$C76,'TL14'!$J$238:$J$451),0),
IF('TL15'!$B$3=N$3,SUMIF('TL15'!$C$10:$C$224,$C76,'TL15'!$J$10:$J$224),0),
IF('TL15'!$B$229=N$3,SUMIF('TL15'!$C$238:$C$451,$C76,'TL15'!$J$238:$J$451),0),
IF('TL16'!$B$3=N$3,SUMIF('TL16'!$C$10:$C$224,$C76,'TL16'!$J$10:$J$224),0),
IF('TL16'!$B$229=N$3,SUMIF('TL16'!$C$238:$C$451,$C76,'TL16'!$J$238:$J$451),0),
IF('TL17'!$B$3=N$3,SUMIF('TL17'!$C$10:$C$224,$C76,'TL17'!$J$10:$J$224),0),
IF('TL17'!$B$229=N$3,SUMIF('TL17'!$C$238:$C$451,$C76,'TL17'!$J$238:$J$451),0),
IF('TL18'!$B$3=N$3,SUMIF('TL18'!$C$10:$C$224,$C76,'TL18'!$J$10:$J$224),0),
IF('TL18'!$B$229=N$3,SUMIF('TL18'!$C$238:$C$451,$C76,'TL18'!$J$238:$J$451),0),
IF('TL19'!$B$3=N$3,SUMIF('TL19'!$C$10:$C$224,$C76,'TL19'!$J$10:$J$224),0),
IF('TL19'!$B$229=N$3,SUMIF('TL19'!$C$238:$C$451,$C76,'TL19'!$J$238:$J$451),0)
),0)</f>
        <v>51.5</v>
      </c>
      <c r="O76" s="9">
        <f>IFERROR(SUM(
IF('TL01'!$B$3=O$3,SUMIF('TL01'!$C$10:$C$224,$C76,'TL01'!$J$10:$J$224),0),
IF('TL01'!$B$229=O$3,SUMIF('TL01'!$C$238:$C$451,$C76,'TL01'!$J$238:$J$451),0),
IF('TL02'!$B$3=O$3,SUMIF('TL02'!$C$10:$C$224,$C76,'TL02'!$J$10:$J$224),0),
IF('TL02'!$B$229=O$3,SUMIF('TL02'!$C$238:$C$451,$C76,'TL02'!$J$238:$J$451),0),
IF('TL03'!$B$3=O$3,SUMIF('TL03'!$C$10:$C$224,$C76,'TL03'!$J$10:$J$224),0),
IF('TL03'!$B$229=O$3,SUMIF('TL03'!$C$238:$C$451,$C76,'TL03'!$J$238:$J$451),0),
IF('TL04'!$B$3=O$3,SUMIF('TL04'!$C$10:$C$224,$C76,'TL04'!$J$10:$J$224),0),
IF('TL04'!$B$229=O$3,SUMIF('TL04'!$C$238:$C$451,$C76,'TL04'!$J$238:$J$451),0),
IF('TL05'!$B$3=O$3,SUMIF('TL05'!$C$10:$C$224,$C76,'TL05'!$J$10:$J$224),0),
IF('TL05'!$B$229=O$3,SUMIF('TL05'!$C$238:$C$451,$C76,'TL05'!$J$238:$J$451),0),
IF('TL06'!$B$3=O$3,SUMIF('TL06'!$C$10:$C$224,$C76,'TL06'!$J$10:$J$224),0),
IF('TL06'!$B$229=O$3,SUMIF('TL06'!$C$238:$C$451,$C76,'TL06'!$J$238:$J$451),0),
IF('TL07'!$B$3=O$3,SUMIF('TL07'!$C$10:$C$224,$C76,'TL07'!$J$10:$J$224),0),
IF('TL07'!$B$229=O$3,SUMIF('TL07'!$C$238:$C$451,$C76,'TL07'!$J$238:$J$451),0),
IF('TL08'!$B$3=O$3,SUMIF('TL08'!$C$10:$C$224,$C76,'TL08'!$J$10:$J$224),0),
IF('TL08'!$B$229=O$3,SUMIF('TL08'!$C$238:$C$451,$C76,'TL08'!$J$238:$J$451),0),
IF('TL09'!$B$3=O$3,SUMIF('TL09'!$C$10:$C$224,$C76,'TL09'!$J$10:$J$224),0),
IF('TL09'!$B$229=O$3,SUMIF('TL09'!$C$238:$C$451,$C76,'TL09'!$J$238:$J$451),0),
IF('TL10'!$B$3=O$3,SUMIF('TL10'!$C$10:$C$224,$C76,'TL10'!$J$10:$J$224),0),
IF('TL10'!$B$229=O$3,SUMIF('TL10'!$C$238:$C$451,$C76,'TL10'!$J$238:$J$451),0),
IF('TL11'!$B$3=O$3,SUMIF('TL11'!$C$10:$C$224,$C76,'TL11'!$J$10:$J$224),0),
IF('TL11'!$B$229=O$3,SUMIF('TL11'!$C$238:$C$451,$C76,'TL11'!$J$238:$J$451),0),
IF('TL12'!$B$3=O$3,SUMIF('TL12'!$C$10:$C$224,$C76,'TL12'!$J$10:$J$224),0),
IF('TL12'!$B$229=O$3,SUMIF('TL12'!$C$238:$C$451,$C76,'TL12'!$J$238:$J$451),0),
IF('TL13'!$B$3=O$3,SUMIF('TL13'!$C$10:$C$224,$C76,'TL13'!$J$10:$J$224),0),
IF('TL13'!$B$229=O$3,SUMIF('TL13'!$C$238:$C$451,$C76,'TL13'!$J$238:$J$451),0),
IF('TL14'!$B$3=O$3,SUMIF('TL14'!$C$10:$C$224,$C76,'TL14'!$J$10:$J$224),0),
IF('TL14'!$B$229=O$3,SUMIF('TL14'!$C$238:$C$451,$C76,'TL14'!$J$238:$J$451),0),
IF('TL15'!$B$3=O$3,SUMIF('TL15'!$C$10:$C$224,$C76,'TL15'!$J$10:$J$224),0),
IF('TL15'!$B$229=O$3,SUMIF('TL15'!$C$238:$C$451,$C76,'TL15'!$J$238:$J$451),0),
IF('TL16'!$B$3=O$3,SUMIF('TL16'!$C$10:$C$224,$C76,'TL16'!$J$10:$J$224),0),
IF('TL16'!$B$229=O$3,SUMIF('TL16'!$C$238:$C$451,$C76,'TL16'!$J$238:$J$451),0),
IF('TL17'!$B$3=O$3,SUMIF('TL17'!$C$10:$C$224,$C76,'TL17'!$J$10:$J$224),0),
IF('TL17'!$B$229=O$3,SUMIF('TL17'!$C$238:$C$451,$C76,'TL17'!$J$238:$J$451),0),
IF('TL18'!$B$3=O$3,SUMIF('TL18'!$C$10:$C$224,$C76,'TL18'!$J$10:$J$224),0),
IF('TL18'!$B$229=O$3,SUMIF('TL18'!$C$238:$C$451,$C76,'TL18'!$J$238:$J$451),0),
IF('TL19'!$B$3=O$3,SUMIF('TL19'!$C$10:$C$224,$C76,'TL19'!$J$10:$J$224),0),
IF('TL19'!$B$229=O$3,SUMIF('TL19'!$C$238:$C$451,$C76,'TL19'!$J$238:$J$451),0)
),0)</f>
        <v>0</v>
      </c>
      <c r="P76" s="9">
        <f>IFERROR(SUM(
IF('TL01'!$B$3=P$3,SUMIF('TL01'!$C$10:$C$224,$C76,'TL01'!$J$10:$J$224),0),
IF('TL01'!$B$229=P$3,SUMIF('TL01'!$C$238:$C$451,$C76,'TL01'!$J$238:$J$451),0),
IF('TL02'!$B$3=P$3,SUMIF('TL02'!$C$10:$C$224,$C76,'TL02'!$J$10:$J$224),0),
IF('TL02'!$B$229=P$3,SUMIF('TL02'!$C$238:$C$451,$C76,'TL02'!$J$238:$J$451),0),
IF('TL03'!$B$3=P$3,SUMIF('TL03'!$C$10:$C$224,$C76,'TL03'!$J$10:$J$224),0),
IF('TL03'!$B$229=P$3,SUMIF('TL03'!$C$238:$C$451,$C76,'TL03'!$J$238:$J$451),0),
IF('TL04'!$B$3=P$3,SUMIF('TL04'!$C$10:$C$224,$C76,'TL04'!$J$10:$J$224),0),
IF('TL04'!$B$229=P$3,SUMIF('TL04'!$C$238:$C$451,$C76,'TL04'!$J$238:$J$451),0),
IF('TL05'!$B$3=P$3,SUMIF('TL05'!$C$10:$C$224,$C76,'TL05'!$J$10:$J$224),0),
IF('TL05'!$B$229=P$3,SUMIF('TL05'!$C$238:$C$451,$C76,'TL05'!$J$238:$J$451),0),
IF('TL06'!$B$3=P$3,SUMIF('TL06'!$C$10:$C$224,$C76,'TL06'!$J$10:$J$224),0),
IF('TL06'!$B$229=P$3,SUMIF('TL06'!$C$238:$C$451,$C76,'TL06'!$J$238:$J$451),0),
IF('TL07'!$B$3=P$3,SUMIF('TL07'!$C$10:$C$224,$C76,'TL07'!$J$10:$J$224),0),
IF('TL07'!$B$229=P$3,SUMIF('TL07'!$C$238:$C$451,$C76,'TL07'!$J$238:$J$451),0),
IF('TL08'!$B$3=P$3,SUMIF('TL08'!$C$10:$C$224,$C76,'TL08'!$J$10:$J$224),0),
IF('TL08'!$B$229=P$3,SUMIF('TL08'!$C$238:$C$451,$C76,'TL08'!$J$238:$J$451),0),
IF('TL09'!$B$3=P$3,SUMIF('TL09'!$C$10:$C$224,$C76,'TL09'!$J$10:$J$224),0),
IF('TL09'!$B$229=P$3,SUMIF('TL09'!$C$238:$C$451,$C76,'TL09'!$J$238:$J$451),0),
IF('TL10'!$B$3=P$3,SUMIF('TL10'!$C$10:$C$224,$C76,'TL10'!$J$10:$J$224),0),
IF('TL10'!$B$229=P$3,SUMIF('TL10'!$C$238:$C$451,$C76,'TL10'!$J$238:$J$451),0),
IF('TL11'!$B$3=P$3,SUMIF('TL11'!$C$10:$C$224,$C76,'TL11'!$J$10:$J$224),0),
IF('TL11'!$B$229=P$3,SUMIF('TL11'!$C$238:$C$451,$C76,'TL11'!$J$238:$J$451),0),
IF('TL12'!$B$3=P$3,SUMIF('TL12'!$C$10:$C$224,$C76,'TL12'!$J$10:$J$224),0),
IF('TL12'!$B$229=P$3,SUMIF('TL12'!$C$238:$C$451,$C76,'TL12'!$J$238:$J$451),0),
IF('TL13'!$B$3=P$3,SUMIF('TL13'!$C$10:$C$224,$C76,'TL13'!$J$10:$J$224),0),
IF('TL13'!$B$229=P$3,SUMIF('TL13'!$C$238:$C$451,$C76,'TL13'!$J$238:$J$451),0),
IF('TL14'!$B$3=P$3,SUMIF('TL14'!$C$10:$C$224,$C76,'TL14'!$J$10:$J$224),0),
IF('TL14'!$B$229=P$3,SUMIF('TL14'!$C$238:$C$451,$C76,'TL14'!$J$238:$J$451),0),
IF('TL15'!$B$3=P$3,SUMIF('TL15'!$C$10:$C$224,$C76,'TL15'!$J$10:$J$224),0),
IF('TL15'!$B$229=P$3,SUMIF('TL15'!$C$238:$C$451,$C76,'TL15'!$J$238:$J$451),0),
IF('TL16'!$B$3=P$3,SUMIF('TL16'!$C$10:$C$224,$C76,'TL16'!$J$10:$J$224),0),
IF('TL16'!$B$229=P$3,SUMIF('TL16'!$C$238:$C$451,$C76,'TL16'!$J$238:$J$451),0),
IF('TL17'!$B$3=P$3,SUMIF('TL17'!$C$10:$C$224,$C76,'TL17'!$J$10:$J$224),0),
IF('TL17'!$B$229=P$3,SUMIF('TL17'!$C$238:$C$451,$C76,'TL17'!$J$238:$J$451),0),
IF('TL18'!$B$3=P$3,SUMIF('TL18'!$C$10:$C$224,$C76,'TL18'!$J$10:$J$224),0),
IF('TL18'!$B$229=P$3,SUMIF('TL18'!$C$238:$C$451,$C76,'TL18'!$J$238:$J$451),0),
IF('TL19'!$B$3=P$3,SUMIF('TL19'!$C$10:$C$224,$C76,'TL19'!$J$10:$J$224),0),
IF('TL19'!$B$229=P$3,SUMIF('TL19'!$C$238:$C$451,$C76,'TL19'!$J$238:$J$451),0)
),0)</f>
        <v>160</v>
      </c>
      <c r="Q76" s="9">
        <f>IFERROR(SUM(
IF('TL01'!$B$3=Q$3,SUMIF('TL01'!$C$10:$C$224,$C76,'TL01'!$J$10:$J$224),0),
IF('TL01'!$B$229=Q$3,SUMIF('TL01'!$C$238:$C$451,$C76,'TL01'!$J$238:$J$451),0),
IF('TL02'!$B$3=Q$3,SUMIF('TL02'!$C$10:$C$224,$C76,'TL02'!$J$10:$J$224),0),
IF('TL02'!$B$229=Q$3,SUMIF('TL02'!$C$238:$C$451,$C76,'TL02'!$J$238:$J$451),0),
IF('TL03'!$B$3=Q$3,SUMIF('TL03'!$C$10:$C$224,$C76,'TL03'!$J$10:$J$224),0),
IF('TL03'!$B$229=Q$3,SUMIF('TL03'!$C$238:$C$451,$C76,'TL03'!$J$238:$J$451),0),
IF('TL04'!$B$3=Q$3,SUMIF('TL04'!$C$10:$C$224,$C76,'TL04'!$J$10:$J$224),0),
IF('TL04'!$B$229=Q$3,SUMIF('TL04'!$C$238:$C$451,$C76,'TL04'!$J$238:$J$451),0),
IF('TL05'!$B$3=Q$3,SUMIF('TL05'!$C$10:$C$224,$C76,'TL05'!$J$10:$J$224),0),
IF('TL05'!$B$229=Q$3,SUMIF('TL05'!$C$238:$C$451,$C76,'TL05'!$J$238:$J$451),0),
IF('TL06'!$B$3=Q$3,SUMIF('TL06'!$C$10:$C$224,$C76,'TL06'!$J$10:$J$224),0),
IF('TL06'!$B$229=Q$3,SUMIF('TL06'!$C$238:$C$451,$C76,'TL06'!$J$238:$J$451),0),
IF('TL07'!$B$3=Q$3,SUMIF('TL07'!$C$10:$C$224,$C76,'TL07'!$J$10:$J$224),0),
IF('TL07'!$B$229=Q$3,SUMIF('TL07'!$C$238:$C$451,$C76,'TL07'!$J$238:$J$451),0),
IF('TL08'!$B$3=Q$3,SUMIF('TL08'!$C$10:$C$224,$C76,'TL08'!$J$10:$J$224),0),
IF('TL08'!$B$229=Q$3,SUMIF('TL08'!$C$238:$C$451,$C76,'TL08'!$J$238:$J$451),0),
IF('TL09'!$B$3=Q$3,SUMIF('TL09'!$C$10:$C$224,$C76,'TL09'!$J$10:$J$224),0),
IF('TL09'!$B$229=Q$3,SUMIF('TL09'!$C$238:$C$451,$C76,'TL09'!$J$238:$J$451),0),
IF('TL10'!$B$3=Q$3,SUMIF('TL10'!$C$10:$C$224,$C76,'TL10'!$J$10:$J$224),0),
IF('TL10'!$B$229=Q$3,SUMIF('TL10'!$C$238:$C$451,$C76,'TL10'!$J$238:$J$451),0),
IF('TL11'!$B$3=Q$3,SUMIF('TL11'!$C$10:$C$224,$C76,'TL11'!$J$10:$J$224),0),
IF('TL11'!$B$229=Q$3,SUMIF('TL11'!$C$238:$C$451,$C76,'TL11'!$J$238:$J$451),0),
IF('TL12'!$B$3=Q$3,SUMIF('TL12'!$C$10:$C$224,$C76,'TL12'!$J$10:$J$224),0),
IF('TL12'!$B$229=Q$3,SUMIF('TL12'!$C$238:$C$451,$C76,'TL12'!$J$238:$J$451),0),
IF('TL13'!$B$3=Q$3,SUMIF('TL13'!$C$10:$C$224,$C76,'TL13'!$J$10:$J$224),0),
IF('TL13'!$B$229=Q$3,SUMIF('TL13'!$C$238:$C$451,$C76,'TL13'!$J$238:$J$451),0),
IF('TL14'!$B$3=Q$3,SUMIF('TL14'!$C$10:$C$224,$C76,'TL14'!$J$10:$J$224),0),
IF('TL14'!$B$229=Q$3,SUMIF('TL14'!$C$238:$C$451,$C76,'TL14'!$J$238:$J$451),0),
IF('TL15'!$B$3=Q$3,SUMIF('TL15'!$C$10:$C$224,$C76,'TL15'!$J$10:$J$224),0),
IF('TL15'!$B$229=Q$3,SUMIF('TL15'!$C$238:$C$451,$C76,'TL15'!$J$238:$J$451),0),
IF('TL16'!$B$3=Q$3,SUMIF('TL16'!$C$10:$C$224,$C76,'TL16'!$J$10:$J$224),0),
IF('TL16'!$B$229=Q$3,SUMIF('TL16'!$C$238:$C$451,$C76,'TL16'!$J$238:$J$451),0),
IF('TL17'!$B$3=Q$3,SUMIF('TL17'!$C$10:$C$224,$C76,'TL17'!$J$10:$J$224),0),
IF('TL17'!$B$229=Q$3,SUMIF('TL17'!$C$238:$C$451,$C76,'TL17'!$J$238:$J$451),0),
IF('TL18'!$B$3=Q$3,SUMIF('TL18'!$C$10:$C$224,$C76,'TL18'!$J$10:$J$224),0),
IF('TL18'!$B$229=Q$3,SUMIF('TL18'!$C$238:$C$451,$C76,'TL18'!$J$238:$J$451),0),
IF('TL19'!$B$3=Q$3,SUMIF('TL19'!$C$10:$C$224,$C76,'TL19'!$J$10:$J$224),0),
IF('TL19'!$B$229=Q$3,SUMIF('TL19'!$C$238:$C$451,$C76,'TL19'!$J$238:$J$451),0)
),0)</f>
        <v>0</v>
      </c>
      <c r="R76" s="9">
        <f>IFERROR(
SUM(
SUMIF('TL01'!C:C,C76,'TL01'!J:J),
SUMIF('TL02'!C:C,C76,'TL02'!J:J),
SUMIF('TL03'!C:C,C76,'TL03'!J:J),
SUMIF('TL04'!C:C,C76,'TL04'!J:J),
SUMIF('TL05'!C:C,C76,'TL05'!J:J),
SUMIF('TL06'!C:C,C76,'TL06'!J:J),
SUMIF('TL07'!C:C,C76,'TL07'!J:J),
SUMIF('TL08'!C:C,C76,'TL08'!J:J),
SUMIF('TL09'!C:C,C76,'TL09'!J:J),
SUMIF('TL10'!C:C,C76,'TL10'!J:J),
SUMIF('TL11'!C:C,C76,'TL11'!J:J),
SUMIF('TL12'!C:C,C76,'TL12'!J:J),
SUMIF('TL13'!C:C,C76,'TL13'!J:J),
SUMIF('TL14'!C:C,C76,'TL14'!J:J),
SUMIF('TL15'!C:C,C76,'TL15'!J:J),
SUMIF('TL16'!C:C,C76,'TL16'!J:J),
SUMIF('TL17'!C:C,C76,'TL17'!J:J),
SUMIF('TL18'!C:C,C76,'TL18'!J:J),SUMIF('TL19'!C:C,C76,'TL19'!J:J))
,0)</f>
        <v>211.5</v>
      </c>
      <c r="S76" s="17">
        <f>IFERROR(__xludf.DUMMYFUNCTION("IFERROR(VLOOKUP(C76,
IMPORTRANGE(""1wULbzX32WdYsx-lj2U3uUNBBe2INVIRDtcK0d-Dvl90"",
""26-27!C:G""),
5,
FALSE),
"""")"),36.68256000000001)</f>
        <v>36.68256</v>
      </c>
      <c r="T76" s="9">
        <v>310.0</v>
      </c>
      <c r="U76" s="92">
        <f t="shared" si="2"/>
        <v>-98.5</v>
      </c>
      <c r="V76" s="93">
        <f t="shared" si="3"/>
        <v>-3613.23216</v>
      </c>
    </row>
    <row r="77" ht="15.75" hidden="1" customHeight="1">
      <c r="A77" s="111" t="s">
        <v>516</v>
      </c>
      <c r="B77" s="112" t="s">
        <v>0</v>
      </c>
      <c r="C77" s="113" t="s">
        <v>532</v>
      </c>
      <c r="D77" s="113" t="s">
        <v>533</v>
      </c>
      <c r="E77" s="113">
        <v>500.0</v>
      </c>
      <c r="F77" s="4" t="s">
        <v>343</v>
      </c>
      <c r="G77" s="90" t="str">
        <f t="shared" si="4"/>
        <v>📄 Ver bula</v>
      </c>
      <c r="H77" s="9" t="str">
        <f>IFERROR(__xludf.DUMMYFUNCTION("IFERROR(VLOOKUP(C77,
IMPORTRANGE(""1wULbzX32WdYsx-lj2U3uUNBBe2INVIRDtcK0d-Dvl90"",
""26-27!C:K""),
8,
FALSE),
"""")"),"")</f>
        <v/>
      </c>
      <c r="I77" s="114" t="s">
        <v>344</v>
      </c>
      <c r="J77" s="9">
        <f>IFERROR(SUM(
IF('TL01'!$B$3=J$3,SUMIF('TL01'!$C$10:$C$224,$C77,'TL01'!$J$10:$J$224),0),
IF('TL01'!$B$229=J$3,SUMIF('TL01'!$C$238:$C$451,$C77,'TL01'!$J$238:$J$451),0),
IF('TL02'!$B$3=J$3,SUMIF('TL02'!$C$10:$C$224,$C77,'TL02'!$J$10:$J$224),0),
IF('TL02'!$B$229=J$3,SUMIF('TL02'!$C$238:$C$451,$C77,'TL02'!$J$238:$J$451),0),
IF('TL03'!$B$3=J$3,SUMIF('TL03'!$C$10:$C$224,$C77,'TL03'!$J$10:$J$224),0),
IF('TL03'!$B$229=J$3,SUMIF('TL03'!$C$238:$C$451,$C77,'TL03'!$J$238:$J$451),0),
IF('TL04'!$B$3=J$3,SUMIF('TL04'!$C$10:$C$224,$C77,'TL04'!$J$10:$J$224),0),
IF('TL04'!$B$229=J$3,SUMIF('TL04'!$C$238:$C$451,$C77,'TL04'!$J$238:$J$451),0),
IF('TL05'!$B$3=J$3,SUMIF('TL05'!$C$10:$C$224,$C77,'TL05'!$J$10:$J$224),0),
IF('TL05'!$B$229=J$3,SUMIF('TL05'!$C$238:$C$451,$C77,'TL05'!$J$238:$J$451),0),
IF('TL06'!$B$3=J$3,SUMIF('TL06'!$C$10:$C$224,$C77,'TL06'!$J$10:$J$224),0),
IF('TL06'!$B$229=J$3,SUMIF('TL06'!$C$238:$C$451,$C77,'TL06'!$J$238:$J$451),0),
IF('TL07'!$B$3=J$3,SUMIF('TL07'!$C$10:$C$224,$C77,'TL07'!$J$10:$J$224),0),
IF('TL07'!$B$229=J$3,SUMIF('TL07'!$C$238:$C$451,$C77,'TL07'!$J$238:$J$451),0),
IF('TL08'!$B$3=J$3,SUMIF('TL08'!$C$10:$C$224,$C77,'TL08'!$J$10:$J$224),0),
IF('TL08'!$B$229=J$3,SUMIF('TL08'!$C$238:$C$451,$C77,'TL08'!$J$238:$J$451),0),
IF('TL09'!$B$3=J$3,SUMIF('TL09'!$C$10:$C$224,$C77,'TL09'!$J$10:$J$224),0),
IF('TL09'!$B$229=J$3,SUMIF('TL09'!$C$238:$C$451,$C77,'TL09'!$J$238:$J$451),0),
IF('TL10'!$B$3=J$3,SUMIF('TL10'!$C$10:$C$224,$C77,'TL10'!$J$10:$J$224),0),
IF('TL10'!$B$229=J$3,SUMIF('TL10'!$C$238:$C$451,$C77,'TL10'!$J$238:$J$451),0),
IF('TL11'!$B$3=J$3,SUMIF('TL11'!$C$10:$C$224,$C77,'TL11'!$J$10:$J$224),0),
IF('TL11'!$B$229=J$3,SUMIF('TL11'!$C$238:$C$451,$C77,'TL11'!$J$238:$J$451),0),
IF('TL12'!$B$3=J$3,SUMIF('TL12'!$C$10:$C$224,$C77,'TL12'!$J$10:$J$224),0),
IF('TL12'!$B$229=J$3,SUMIF('TL12'!$C$238:$C$451,$C77,'TL12'!$J$238:$J$451),0),
IF('TL13'!$B$3=J$3,SUMIF('TL13'!$C$10:$C$224,$C77,'TL13'!$J$10:$J$224),0),
IF('TL13'!$B$229=J$3,SUMIF('TL13'!$C$238:$C$451,$C77,'TL13'!$J$238:$J$451),0),
IF('TL14'!$B$3=J$3,SUMIF('TL14'!$C$10:$C$224,$C77,'TL14'!$J$10:$J$224),0),
IF('TL14'!$B$229=J$3,SUMIF('TL14'!$C$238:$C$451,$C77,'TL14'!$J$238:$J$451),0),
IF('TL15'!$B$3=J$3,SUMIF('TL15'!$C$10:$C$224,$C77,'TL15'!$J$10:$J$224),0),
IF('TL15'!$B$229=J$3,SUMIF('TL15'!$C$238:$C$451,$C77,'TL15'!$J$238:$J$451),0),
IF('TL16'!$B$3=J$3,SUMIF('TL16'!$C$10:$C$224,$C77,'TL16'!$J$10:$J$224),0),
IF('TL16'!$B$229=J$3,SUMIF('TL16'!$C$238:$C$451,$C77,'TL16'!$J$238:$J$451),0),
IF('TL17'!$B$3=J$3,SUMIF('TL17'!$C$10:$C$224,$C77,'TL17'!$J$10:$J$224),0),
IF('TL17'!$B$229=J$3,SUMIF('TL17'!$C$238:$C$451,$C77,'TL17'!$J$238:$J$451),0),
IF('TL18'!$B$3=J$3,SUMIF('TL18'!$C$10:$C$224,$C77,'TL18'!$J$10:$J$224),0),
IF('TL18'!$B$229=J$3,SUMIF('TL18'!$C$238:$C$451,$C77,'TL18'!$J$238:$J$451),0),
IF('TL19'!$B$3=J$3,SUMIF('TL19'!$C$10:$C$224,$C77,'TL19'!$J$10:$J$224),0),
IF('TL19'!$B$229=J$3,SUMIF('TL19'!$C$238:$C$451,$C77,'TL19'!$J$238:$J$451),0)
),0)</f>
        <v>0</v>
      </c>
      <c r="K77" s="9">
        <f>IFERROR(SUM(
IF('TL01'!$B$3=K$3,SUMIF('TL01'!$C$10:$C$224,$C77,'TL01'!$J$10:$J$224),0),
IF('TL01'!$B$229=K$3,SUMIF('TL01'!$C$238:$C$451,$C77,'TL01'!$J$238:$J$451),0),
IF('TL02'!$B$3=K$3,SUMIF('TL02'!$C$10:$C$224,$C77,'TL02'!$J$10:$J$224),0),
IF('TL02'!$B$229=K$3,SUMIF('TL02'!$C$238:$C$451,$C77,'TL02'!$J$238:$J$451),0),
IF('TL03'!$B$3=K$3,SUMIF('TL03'!$C$10:$C$224,$C77,'TL03'!$J$10:$J$224),0),
IF('TL03'!$B$229=K$3,SUMIF('TL03'!$C$238:$C$451,$C77,'TL03'!$J$238:$J$451),0),
IF('TL04'!$B$3=K$3,SUMIF('TL04'!$C$10:$C$224,$C77,'TL04'!$J$10:$J$224),0),
IF('TL04'!$B$229=K$3,SUMIF('TL04'!$C$238:$C$451,$C77,'TL04'!$J$238:$J$451),0),
IF('TL05'!$B$3=K$3,SUMIF('TL05'!$C$10:$C$224,$C77,'TL05'!$J$10:$J$224),0),
IF('TL05'!$B$229=K$3,SUMIF('TL05'!$C$238:$C$451,$C77,'TL05'!$J$238:$J$451),0),
IF('TL06'!$B$3=K$3,SUMIF('TL06'!$C$10:$C$224,$C77,'TL06'!$J$10:$J$224),0),
IF('TL06'!$B$229=K$3,SUMIF('TL06'!$C$238:$C$451,$C77,'TL06'!$J$238:$J$451),0),
IF('TL07'!$B$3=K$3,SUMIF('TL07'!$C$10:$C$224,$C77,'TL07'!$J$10:$J$224),0),
IF('TL07'!$B$229=K$3,SUMIF('TL07'!$C$238:$C$451,$C77,'TL07'!$J$238:$J$451),0),
IF('TL08'!$B$3=K$3,SUMIF('TL08'!$C$10:$C$224,$C77,'TL08'!$J$10:$J$224),0),
IF('TL08'!$B$229=K$3,SUMIF('TL08'!$C$238:$C$451,$C77,'TL08'!$J$238:$J$451),0),
IF('TL09'!$B$3=K$3,SUMIF('TL09'!$C$10:$C$224,$C77,'TL09'!$J$10:$J$224),0),
IF('TL09'!$B$229=K$3,SUMIF('TL09'!$C$238:$C$451,$C77,'TL09'!$J$238:$J$451),0),
IF('TL10'!$B$3=K$3,SUMIF('TL10'!$C$10:$C$224,$C77,'TL10'!$J$10:$J$224),0),
IF('TL10'!$B$229=K$3,SUMIF('TL10'!$C$238:$C$451,$C77,'TL10'!$J$238:$J$451),0),
IF('TL11'!$B$3=K$3,SUMIF('TL11'!$C$10:$C$224,$C77,'TL11'!$J$10:$J$224),0),
IF('TL11'!$B$229=K$3,SUMIF('TL11'!$C$238:$C$451,$C77,'TL11'!$J$238:$J$451),0),
IF('TL12'!$B$3=K$3,SUMIF('TL12'!$C$10:$C$224,$C77,'TL12'!$J$10:$J$224),0),
IF('TL12'!$B$229=K$3,SUMIF('TL12'!$C$238:$C$451,$C77,'TL12'!$J$238:$J$451),0),
IF('TL13'!$B$3=K$3,SUMIF('TL13'!$C$10:$C$224,$C77,'TL13'!$J$10:$J$224),0),
IF('TL13'!$B$229=K$3,SUMIF('TL13'!$C$238:$C$451,$C77,'TL13'!$J$238:$J$451),0),
IF('TL14'!$B$3=K$3,SUMIF('TL14'!$C$10:$C$224,$C77,'TL14'!$J$10:$J$224),0),
IF('TL14'!$B$229=K$3,SUMIF('TL14'!$C$238:$C$451,$C77,'TL14'!$J$238:$J$451),0),
IF('TL15'!$B$3=K$3,SUMIF('TL15'!$C$10:$C$224,$C77,'TL15'!$J$10:$J$224),0),
IF('TL15'!$B$229=K$3,SUMIF('TL15'!$C$238:$C$451,$C77,'TL15'!$J$238:$J$451),0),
IF('TL16'!$B$3=K$3,SUMIF('TL16'!$C$10:$C$224,$C77,'TL16'!$J$10:$J$224),0),
IF('TL16'!$B$229=K$3,SUMIF('TL16'!$C$238:$C$451,$C77,'TL16'!$J$238:$J$451),0),
IF('TL17'!$B$3=K$3,SUMIF('TL17'!$C$10:$C$224,$C77,'TL17'!$J$10:$J$224),0),
IF('TL17'!$B$229=K$3,SUMIF('TL17'!$C$238:$C$451,$C77,'TL17'!$J$238:$J$451),0),
IF('TL18'!$B$3=K$3,SUMIF('TL18'!$C$10:$C$224,$C77,'TL18'!$J$10:$J$224),0),
IF('TL18'!$B$229=K$3,SUMIF('TL18'!$C$238:$C$451,$C77,'TL18'!$J$238:$J$451),0),
IF('TL19'!$B$3=K$3,SUMIF('TL19'!$C$10:$C$224,$C77,'TL19'!$J$10:$J$224),0),
IF('TL19'!$B$229=K$3,SUMIF('TL19'!$C$238:$C$451,$C77,'TL19'!$J$238:$J$451),0)
),0)</f>
        <v>0</v>
      </c>
      <c r="L77" s="9">
        <f>IFERROR(SUM(
IF('TL01'!$B$3=L$3,SUMIF('TL01'!$C$10:$C$224,$C77,'TL01'!$J$10:$J$224),0),
IF('TL01'!$B$229=L$3,SUMIF('TL01'!$C$238:$C$451,$C77,'TL01'!$J$238:$J$451),0),
IF('TL02'!$B$3=L$3,SUMIF('TL02'!$C$10:$C$224,$C77,'TL02'!$J$10:$J$224),0),
IF('TL02'!$B$229=L$3,SUMIF('TL02'!$C$238:$C$451,$C77,'TL02'!$J$238:$J$451),0),
IF('TL03'!$B$3=L$3,SUMIF('TL03'!$C$10:$C$224,$C77,'TL03'!$J$10:$J$224),0),
IF('TL03'!$B$229=L$3,SUMIF('TL03'!$C$238:$C$451,$C77,'TL03'!$J$238:$J$451),0),
IF('TL04'!$B$3=L$3,SUMIF('TL04'!$C$10:$C$224,$C77,'TL04'!$J$10:$J$224),0),
IF('TL04'!$B$229=L$3,SUMIF('TL04'!$C$238:$C$451,$C77,'TL04'!$J$238:$J$451),0),
IF('TL05'!$B$3=L$3,SUMIF('TL05'!$C$10:$C$224,$C77,'TL05'!$J$10:$J$224),0),
IF('TL05'!$B$229=L$3,SUMIF('TL05'!$C$238:$C$451,$C77,'TL05'!$J$238:$J$451),0),
IF('TL06'!$B$3=L$3,SUMIF('TL06'!$C$10:$C$224,$C77,'TL06'!$J$10:$J$224),0),
IF('TL06'!$B$229=L$3,SUMIF('TL06'!$C$238:$C$451,$C77,'TL06'!$J$238:$J$451),0),
IF('TL07'!$B$3=L$3,SUMIF('TL07'!$C$10:$C$224,$C77,'TL07'!$J$10:$J$224),0),
IF('TL07'!$B$229=L$3,SUMIF('TL07'!$C$238:$C$451,$C77,'TL07'!$J$238:$J$451),0),
IF('TL08'!$B$3=L$3,SUMIF('TL08'!$C$10:$C$224,$C77,'TL08'!$J$10:$J$224),0),
IF('TL08'!$B$229=L$3,SUMIF('TL08'!$C$238:$C$451,$C77,'TL08'!$J$238:$J$451),0),
IF('TL09'!$B$3=L$3,SUMIF('TL09'!$C$10:$C$224,$C77,'TL09'!$J$10:$J$224),0),
IF('TL09'!$B$229=L$3,SUMIF('TL09'!$C$238:$C$451,$C77,'TL09'!$J$238:$J$451),0),
IF('TL10'!$B$3=L$3,SUMIF('TL10'!$C$10:$C$224,$C77,'TL10'!$J$10:$J$224),0),
IF('TL10'!$B$229=L$3,SUMIF('TL10'!$C$238:$C$451,$C77,'TL10'!$J$238:$J$451),0),
IF('TL11'!$B$3=L$3,SUMIF('TL11'!$C$10:$C$224,$C77,'TL11'!$J$10:$J$224),0),
IF('TL11'!$B$229=L$3,SUMIF('TL11'!$C$238:$C$451,$C77,'TL11'!$J$238:$J$451),0),
IF('TL12'!$B$3=L$3,SUMIF('TL12'!$C$10:$C$224,$C77,'TL12'!$J$10:$J$224),0),
IF('TL12'!$B$229=L$3,SUMIF('TL12'!$C$238:$C$451,$C77,'TL12'!$J$238:$J$451),0),
IF('TL13'!$B$3=L$3,SUMIF('TL13'!$C$10:$C$224,$C77,'TL13'!$J$10:$J$224),0),
IF('TL13'!$B$229=L$3,SUMIF('TL13'!$C$238:$C$451,$C77,'TL13'!$J$238:$J$451),0),
IF('TL14'!$B$3=L$3,SUMIF('TL14'!$C$10:$C$224,$C77,'TL14'!$J$10:$J$224),0),
IF('TL14'!$B$229=L$3,SUMIF('TL14'!$C$238:$C$451,$C77,'TL14'!$J$238:$J$451),0),
IF('TL15'!$B$3=L$3,SUMIF('TL15'!$C$10:$C$224,$C77,'TL15'!$J$10:$J$224),0),
IF('TL15'!$B$229=L$3,SUMIF('TL15'!$C$238:$C$451,$C77,'TL15'!$J$238:$J$451),0),
IF('TL16'!$B$3=L$3,SUMIF('TL16'!$C$10:$C$224,$C77,'TL16'!$J$10:$J$224),0),
IF('TL16'!$B$229=L$3,SUMIF('TL16'!$C$238:$C$451,$C77,'TL16'!$J$238:$J$451),0),
IF('TL17'!$B$3=L$3,SUMIF('TL17'!$C$10:$C$224,$C77,'TL17'!$J$10:$J$224),0),
IF('TL17'!$B$229=L$3,SUMIF('TL17'!$C$238:$C$451,$C77,'TL17'!$J$238:$J$451),0),
IF('TL18'!$B$3=L$3,SUMIF('TL18'!$C$10:$C$224,$C77,'TL18'!$J$10:$J$224),0),
IF('TL18'!$B$229=L$3,SUMIF('TL18'!$C$238:$C$451,$C77,'TL18'!$J$238:$J$451),0),
IF('TL19'!$B$3=L$3,SUMIF('TL19'!$C$10:$C$224,$C77,'TL19'!$J$10:$J$224),0),
IF('TL19'!$B$229=L$3,SUMIF('TL19'!$C$238:$C$451,$C77,'TL19'!$J$238:$J$451),0)
),0)</f>
        <v>0</v>
      </c>
      <c r="M77" s="9">
        <f>IFERROR(SUM(
IF('TL01'!$B$3=M$3,SUMIF('TL01'!$C$10:$C$224,$C77,'TL01'!$J$10:$J$224),0),
IF('TL01'!$B$229=M$3,SUMIF('TL01'!$C$238:$C$451,$C77,'TL01'!$J$238:$J$451),0),
IF('TL02'!$B$3=M$3,SUMIF('TL02'!$C$10:$C$224,$C77,'TL02'!$J$10:$J$224),0),
IF('TL02'!$B$229=M$3,SUMIF('TL02'!$C$238:$C$451,$C77,'TL02'!$J$238:$J$451),0),
IF('TL03'!$B$3=M$3,SUMIF('TL03'!$C$10:$C$224,$C77,'TL03'!$J$10:$J$224),0),
IF('TL03'!$B$229=M$3,SUMIF('TL03'!$C$238:$C$451,$C77,'TL03'!$J$238:$J$451),0),
IF('TL04'!$B$3=M$3,SUMIF('TL04'!$C$10:$C$224,$C77,'TL04'!$J$10:$J$224),0),
IF('TL04'!$B$229=M$3,SUMIF('TL04'!$C$238:$C$451,$C77,'TL04'!$J$238:$J$451),0),
IF('TL05'!$B$3=M$3,SUMIF('TL05'!$C$10:$C$224,$C77,'TL05'!$J$10:$J$224),0),
IF('TL05'!$B$229=M$3,SUMIF('TL05'!$C$238:$C$451,$C77,'TL05'!$J$238:$J$451),0),
IF('TL06'!$B$3=M$3,SUMIF('TL06'!$C$10:$C$224,$C77,'TL06'!$J$10:$J$224),0),
IF('TL06'!$B$229=M$3,SUMIF('TL06'!$C$238:$C$451,$C77,'TL06'!$J$238:$J$451),0),
IF('TL07'!$B$3=M$3,SUMIF('TL07'!$C$10:$C$224,$C77,'TL07'!$J$10:$J$224),0),
IF('TL07'!$B$229=M$3,SUMIF('TL07'!$C$238:$C$451,$C77,'TL07'!$J$238:$J$451),0),
IF('TL08'!$B$3=M$3,SUMIF('TL08'!$C$10:$C$224,$C77,'TL08'!$J$10:$J$224),0),
IF('TL08'!$B$229=M$3,SUMIF('TL08'!$C$238:$C$451,$C77,'TL08'!$J$238:$J$451),0),
IF('TL09'!$B$3=M$3,SUMIF('TL09'!$C$10:$C$224,$C77,'TL09'!$J$10:$J$224),0),
IF('TL09'!$B$229=M$3,SUMIF('TL09'!$C$238:$C$451,$C77,'TL09'!$J$238:$J$451),0),
IF('TL10'!$B$3=M$3,SUMIF('TL10'!$C$10:$C$224,$C77,'TL10'!$J$10:$J$224),0),
IF('TL10'!$B$229=M$3,SUMIF('TL10'!$C$238:$C$451,$C77,'TL10'!$J$238:$J$451),0),
IF('TL11'!$B$3=M$3,SUMIF('TL11'!$C$10:$C$224,$C77,'TL11'!$J$10:$J$224),0),
IF('TL11'!$B$229=M$3,SUMIF('TL11'!$C$238:$C$451,$C77,'TL11'!$J$238:$J$451),0),
IF('TL12'!$B$3=M$3,SUMIF('TL12'!$C$10:$C$224,$C77,'TL12'!$J$10:$J$224),0),
IF('TL12'!$B$229=M$3,SUMIF('TL12'!$C$238:$C$451,$C77,'TL12'!$J$238:$J$451),0),
IF('TL13'!$B$3=M$3,SUMIF('TL13'!$C$10:$C$224,$C77,'TL13'!$J$10:$J$224),0),
IF('TL13'!$B$229=M$3,SUMIF('TL13'!$C$238:$C$451,$C77,'TL13'!$J$238:$J$451),0),
IF('TL14'!$B$3=M$3,SUMIF('TL14'!$C$10:$C$224,$C77,'TL14'!$J$10:$J$224),0),
IF('TL14'!$B$229=M$3,SUMIF('TL14'!$C$238:$C$451,$C77,'TL14'!$J$238:$J$451),0),
IF('TL15'!$B$3=M$3,SUMIF('TL15'!$C$10:$C$224,$C77,'TL15'!$J$10:$J$224),0),
IF('TL15'!$B$229=M$3,SUMIF('TL15'!$C$238:$C$451,$C77,'TL15'!$J$238:$J$451),0),
IF('TL16'!$B$3=M$3,SUMIF('TL16'!$C$10:$C$224,$C77,'TL16'!$J$10:$J$224),0),
IF('TL16'!$B$229=M$3,SUMIF('TL16'!$C$238:$C$451,$C77,'TL16'!$J$238:$J$451),0),
IF('TL17'!$B$3=M$3,SUMIF('TL17'!$C$10:$C$224,$C77,'TL17'!$J$10:$J$224),0),
IF('TL17'!$B$229=M$3,SUMIF('TL17'!$C$238:$C$451,$C77,'TL17'!$J$238:$J$451),0),
IF('TL18'!$B$3=M$3,SUMIF('TL18'!$C$10:$C$224,$C77,'TL18'!$J$10:$J$224),0),
IF('TL18'!$B$229=M$3,SUMIF('TL18'!$C$238:$C$451,$C77,'TL18'!$J$238:$J$451),0),
IF('TL19'!$B$3=M$3,SUMIF('TL19'!$C$10:$C$224,$C77,'TL19'!$J$10:$J$224),0),
IF('TL19'!$B$229=M$3,SUMIF('TL19'!$C$238:$C$451,$C77,'TL19'!$J$238:$J$451),0)
),0)</f>
        <v>0</v>
      </c>
      <c r="N77" s="9">
        <f>IFERROR(SUM(
IF('TL01'!$B$3=N$3,SUMIF('TL01'!$C$10:$C$224,$C77,'TL01'!$J$10:$J$224),0),
IF('TL01'!$B$229=N$3,SUMIF('TL01'!$C$238:$C$451,$C77,'TL01'!$J$238:$J$451),0),
IF('TL02'!$B$3=N$3,SUMIF('TL02'!$C$10:$C$224,$C77,'TL02'!$J$10:$J$224),0),
IF('TL02'!$B$229=N$3,SUMIF('TL02'!$C$238:$C$451,$C77,'TL02'!$J$238:$J$451),0),
IF('TL03'!$B$3=N$3,SUMIF('TL03'!$C$10:$C$224,$C77,'TL03'!$J$10:$J$224),0),
IF('TL03'!$B$229=N$3,SUMIF('TL03'!$C$238:$C$451,$C77,'TL03'!$J$238:$J$451),0),
IF('TL04'!$B$3=N$3,SUMIF('TL04'!$C$10:$C$224,$C77,'TL04'!$J$10:$J$224),0),
IF('TL04'!$B$229=N$3,SUMIF('TL04'!$C$238:$C$451,$C77,'TL04'!$J$238:$J$451),0),
IF('TL05'!$B$3=N$3,SUMIF('TL05'!$C$10:$C$224,$C77,'TL05'!$J$10:$J$224),0),
IF('TL05'!$B$229=N$3,SUMIF('TL05'!$C$238:$C$451,$C77,'TL05'!$J$238:$J$451),0),
IF('TL06'!$B$3=N$3,SUMIF('TL06'!$C$10:$C$224,$C77,'TL06'!$J$10:$J$224),0),
IF('TL06'!$B$229=N$3,SUMIF('TL06'!$C$238:$C$451,$C77,'TL06'!$J$238:$J$451),0),
IF('TL07'!$B$3=N$3,SUMIF('TL07'!$C$10:$C$224,$C77,'TL07'!$J$10:$J$224),0),
IF('TL07'!$B$229=N$3,SUMIF('TL07'!$C$238:$C$451,$C77,'TL07'!$J$238:$J$451),0),
IF('TL08'!$B$3=N$3,SUMIF('TL08'!$C$10:$C$224,$C77,'TL08'!$J$10:$J$224),0),
IF('TL08'!$B$229=N$3,SUMIF('TL08'!$C$238:$C$451,$C77,'TL08'!$J$238:$J$451),0),
IF('TL09'!$B$3=N$3,SUMIF('TL09'!$C$10:$C$224,$C77,'TL09'!$J$10:$J$224),0),
IF('TL09'!$B$229=N$3,SUMIF('TL09'!$C$238:$C$451,$C77,'TL09'!$J$238:$J$451),0),
IF('TL10'!$B$3=N$3,SUMIF('TL10'!$C$10:$C$224,$C77,'TL10'!$J$10:$J$224),0),
IF('TL10'!$B$229=N$3,SUMIF('TL10'!$C$238:$C$451,$C77,'TL10'!$J$238:$J$451),0),
IF('TL11'!$B$3=N$3,SUMIF('TL11'!$C$10:$C$224,$C77,'TL11'!$J$10:$J$224),0),
IF('TL11'!$B$229=N$3,SUMIF('TL11'!$C$238:$C$451,$C77,'TL11'!$J$238:$J$451),0),
IF('TL12'!$B$3=N$3,SUMIF('TL12'!$C$10:$C$224,$C77,'TL12'!$J$10:$J$224),0),
IF('TL12'!$B$229=N$3,SUMIF('TL12'!$C$238:$C$451,$C77,'TL12'!$J$238:$J$451),0),
IF('TL13'!$B$3=N$3,SUMIF('TL13'!$C$10:$C$224,$C77,'TL13'!$J$10:$J$224),0),
IF('TL13'!$B$229=N$3,SUMIF('TL13'!$C$238:$C$451,$C77,'TL13'!$J$238:$J$451),0),
IF('TL14'!$B$3=N$3,SUMIF('TL14'!$C$10:$C$224,$C77,'TL14'!$J$10:$J$224),0),
IF('TL14'!$B$229=N$3,SUMIF('TL14'!$C$238:$C$451,$C77,'TL14'!$J$238:$J$451),0),
IF('TL15'!$B$3=N$3,SUMIF('TL15'!$C$10:$C$224,$C77,'TL15'!$J$10:$J$224),0),
IF('TL15'!$B$229=N$3,SUMIF('TL15'!$C$238:$C$451,$C77,'TL15'!$J$238:$J$451),0),
IF('TL16'!$B$3=N$3,SUMIF('TL16'!$C$10:$C$224,$C77,'TL16'!$J$10:$J$224),0),
IF('TL16'!$B$229=N$3,SUMIF('TL16'!$C$238:$C$451,$C77,'TL16'!$J$238:$J$451),0),
IF('TL17'!$B$3=N$3,SUMIF('TL17'!$C$10:$C$224,$C77,'TL17'!$J$10:$J$224),0),
IF('TL17'!$B$229=N$3,SUMIF('TL17'!$C$238:$C$451,$C77,'TL17'!$J$238:$J$451),0),
IF('TL18'!$B$3=N$3,SUMIF('TL18'!$C$10:$C$224,$C77,'TL18'!$J$10:$J$224),0),
IF('TL18'!$B$229=N$3,SUMIF('TL18'!$C$238:$C$451,$C77,'TL18'!$J$238:$J$451),0),
IF('TL19'!$B$3=N$3,SUMIF('TL19'!$C$10:$C$224,$C77,'TL19'!$J$10:$J$224),0),
IF('TL19'!$B$229=N$3,SUMIF('TL19'!$C$238:$C$451,$C77,'TL19'!$J$238:$J$451),0)
),0)</f>
        <v>0</v>
      </c>
      <c r="O77" s="9">
        <f>IFERROR(SUM(
IF('TL01'!$B$3=O$3,SUMIF('TL01'!$C$10:$C$224,$C77,'TL01'!$J$10:$J$224),0),
IF('TL01'!$B$229=O$3,SUMIF('TL01'!$C$238:$C$451,$C77,'TL01'!$J$238:$J$451),0),
IF('TL02'!$B$3=O$3,SUMIF('TL02'!$C$10:$C$224,$C77,'TL02'!$J$10:$J$224),0),
IF('TL02'!$B$229=O$3,SUMIF('TL02'!$C$238:$C$451,$C77,'TL02'!$J$238:$J$451),0),
IF('TL03'!$B$3=O$3,SUMIF('TL03'!$C$10:$C$224,$C77,'TL03'!$J$10:$J$224),0),
IF('TL03'!$B$229=O$3,SUMIF('TL03'!$C$238:$C$451,$C77,'TL03'!$J$238:$J$451),0),
IF('TL04'!$B$3=O$3,SUMIF('TL04'!$C$10:$C$224,$C77,'TL04'!$J$10:$J$224),0),
IF('TL04'!$B$229=O$3,SUMIF('TL04'!$C$238:$C$451,$C77,'TL04'!$J$238:$J$451),0),
IF('TL05'!$B$3=O$3,SUMIF('TL05'!$C$10:$C$224,$C77,'TL05'!$J$10:$J$224),0),
IF('TL05'!$B$229=O$3,SUMIF('TL05'!$C$238:$C$451,$C77,'TL05'!$J$238:$J$451),0),
IF('TL06'!$B$3=O$3,SUMIF('TL06'!$C$10:$C$224,$C77,'TL06'!$J$10:$J$224),0),
IF('TL06'!$B$229=O$3,SUMIF('TL06'!$C$238:$C$451,$C77,'TL06'!$J$238:$J$451),0),
IF('TL07'!$B$3=O$3,SUMIF('TL07'!$C$10:$C$224,$C77,'TL07'!$J$10:$J$224),0),
IF('TL07'!$B$229=O$3,SUMIF('TL07'!$C$238:$C$451,$C77,'TL07'!$J$238:$J$451),0),
IF('TL08'!$B$3=O$3,SUMIF('TL08'!$C$10:$C$224,$C77,'TL08'!$J$10:$J$224),0),
IF('TL08'!$B$229=O$3,SUMIF('TL08'!$C$238:$C$451,$C77,'TL08'!$J$238:$J$451),0),
IF('TL09'!$B$3=O$3,SUMIF('TL09'!$C$10:$C$224,$C77,'TL09'!$J$10:$J$224),0),
IF('TL09'!$B$229=O$3,SUMIF('TL09'!$C$238:$C$451,$C77,'TL09'!$J$238:$J$451),0),
IF('TL10'!$B$3=O$3,SUMIF('TL10'!$C$10:$C$224,$C77,'TL10'!$J$10:$J$224),0),
IF('TL10'!$B$229=O$3,SUMIF('TL10'!$C$238:$C$451,$C77,'TL10'!$J$238:$J$451),0),
IF('TL11'!$B$3=O$3,SUMIF('TL11'!$C$10:$C$224,$C77,'TL11'!$J$10:$J$224),0),
IF('TL11'!$B$229=O$3,SUMIF('TL11'!$C$238:$C$451,$C77,'TL11'!$J$238:$J$451),0),
IF('TL12'!$B$3=O$3,SUMIF('TL12'!$C$10:$C$224,$C77,'TL12'!$J$10:$J$224),0),
IF('TL12'!$B$229=O$3,SUMIF('TL12'!$C$238:$C$451,$C77,'TL12'!$J$238:$J$451),0),
IF('TL13'!$B$3=O$3,SUMIF('TL13'!$C$10:$C$224,$C77,'TL13'!$J$10:$J$224),0),
IF('TL13'!$B$229=O$3,SUMIF('TL13'!$C$238:$C$451,$C77,'TL13'!$J$238:$J$451),0),
IF('TL14'!$B$3=O$3,SUMIF('TL14'!$C$10:$C$224,$C77,'TL14'!$J$10:$J$224),0),
IF('TL14'!$B$229=O$3,SUMIF('TL14'!$C$238:$C$451,$C77,'TL14'!$J$238:$J$451),0),
IF('TL15'!$B$3=O$3,SUMIF('TL15'!$C$10:$C$224,$C77,'TL15'!$J$10:$J$224),0),
IF('TL15'!$B$229=O$3,SUMIF('TL15'!$C$238:$C$451,$C77,'TL15'!$J$238:$J$451),0),
IF('TL16'!$B$3=O$3,SUMIF('TL16'!$C$10:$C$224,$C77,'TL16'!$J$10:$J$224),0),
IF('TL16'!$B$229=O$3,SUMIF('TL16'!$C$238:$C$451,$C77,'TL16'!$J$238:$J$451),0),
IF('TL17'!$B$3=O$3,SUMIF('TL17'!$C$10:$C$224,$C77,'TL17'!$J$10:$J$224),0),
IF('TL17'!$B$229=O$3,SUMIF('TL17'!$C$238:$C$451,$C77,'TL17'!$J$238:$J$451),0),
IF('TL18'!$B$3=O$3,SUMIF('TL18'!$C$10:$C$224,$C77,'TL18'!$J$10:$J$224),0),
IF('TL18'!$B$229=O$3,SUMIF('TL18'!$C$238:$C$451,$C77,'TL18'!$J$238:$J$451),0),
IF('TL19'!$B$3=O$3,SUMIF('TL19'!$C$10:$C$224,$C77,'TL19'!$J$10:$J$224),0),
IF('TL19'!$B$229=O$3,SUMIF('TL19'!$C$238:$C$451,$C77,'TL19'!$J$238:$J$451),0)
),0)</f>
        <v>0</v>
      </c>
      <c r="P77" s="9">
        <f>IFERROR(SUM(
IF('TL01'!$B$3=P$3,SUMIF('TL01'!$C$10:$C$224,$C77,'TL01'!$J$10:$J$224),0),
IF('TL01'!$B$229=P$3,SUMIF('TL01'!$C$238:$C$451,$C77,'TL01'!$J$238:$J$451),0),
IF('TL02'!$B$3=P$3,SUMIF('TL02'!$C$10:$C$224,$C77,'TL02'!$J$10:$J$224),0),
IF('TL02'!$B$229=P$3,SUMIF('TL02'!$C$238:$C$451,$C77,'TL02'!$J$238:$J$451),0),
IF('TL03'!$B$3=P$3,SUMIF('TL03'!$C$10:$C$224,$C77,'TL03'!$J$10:$J$224),0),
IF('TL03'!$B$229=P$3,SUMIF('TL03'!$C$238:$C$451,$C77,'TL03'!$J$238:$J$451),0),
IF('TL04'!$B$3=P$3,SUMIF('TL04'!$C$10:$C$224,$C77,'TL04'!$J$10:$J$224),0),
IF('TL04'!$B$229=P$3,SUMIF('TL04'!$C$238:$C$451,$C77,'TL04'!$J$238:$J$451),0),
IF('TL05'!$B$3=P$3,SUMIF('TL05'!$C$10:$C$224,$C77,'TL05'!$J$10:$J$224),0),
IF('TL05'!$B$229=P$3,SUMIF('TL05'!$C$238:$C$451,$C77,'TL05'!$J$238:$J$451),0),
IF('TL06'!$B$3=P$3,SUMIF('TL06'!$C$10:$C$224,$C77,'TL06'!$J$10:$J$224),0),
IF('TL06'!$B$229=P$3,SUMIF('TL06'!$C$238:$C$451,$C77,'TL06'!$J$238:$J$451),0),
IF('TL07'!$B$3=P$3,SUMIF('TL07'!$C$10:$C$224,$C77,'TL07'!$J$10:$J$224),0),
IF('TL07'!$B$229=P$3,SUMIF('TL07'!$C$238:$C$451,$C77,'TL07'!$J$238:$J$451),0),
IF('TL08'!$B$3=P$3,SUMIF('TL08'!$C$10:$C$224,$C77,'TL08'!$J$10:$J$224),0),
IF('TL08'!$B$229=P$3,SUMIF('TL08'!$C$238:$C$451,$C77,'TL08'!$J$238:$J$451),0),
IF('TL09'!$B$3=P$3,SUMIF('TL09'!$C$10:$C$224,$C77,'TL09'!$J$10:$J$224),0),
IF('TL09'!$B$229=P$3,SUMIF('TL09'!$C$238:$C$451,$C77,'TL09'!$J$238:$J$451),0),
IF('TL10'!$B$3=P$3,SUMIF('TL10'!$C$10:$C$224,$C77,'TL10'!$J$10:$J$224),0),
IF('TL10'!$B$229=P$3,SUMIF('TL10'!$C$238:$C$451,$C77,'TL10'!$J$238:$J$451),0),
IF('TL11'!$B$3=P$3,SUMIF('TL11'!$C$10:$C$224,$C77,'TL11'!$J$10:$J$224),0),
IF('TL11'!$B$229=P$3,SUMIF('TL11'!$C$238:$C$451,$C77,'TL11'!$J$238:$J$451),0),
IF('TL12'!$B$3=P$3,SUMIF('TL12'!$C$10:$C$224,$C77,'TL12'!$J$10:$J$224),0),
IF('TL12'!$B$229=P$3,SUMIF('TL12'!$C$238:$C$451,$C77,'TL12'!$J$238:$J$451),0),
IF('TL13'!$B$3=P$3,SUMIF('TL13'!$C$10:$C$224,$C77,'TL13'!$J$10:$J$224),0),
IF('TL13'!$B$229=P$3,SUMIF('TL13'!$C$238:$C$451,$C77,'TL13'!$J$238:$J$451),0),
IF('TL14'!$B$3=P$3,SUMIF('TL14'!$C$10:$C$224,$C77,'TL14'!$J$10:$J$224),0),
IF('TL14'!$B$229=P$3,SUMIF('TL14'!$C$238:$C$451,$C77,'TL14'!$J$238:$J$451),0),
IF('TL15'!$B$3=P$3,SUMIF('TL15'!$C$10:$C$224,$C77,'TL15'!$J$10:$J$224),0),
IF('TL15'!$B$229=P$3,SUMIF('TL15'!$C$238:$C$451,$C77,'TL15'!$J$238:$J$451),0),
IF('TL16'!$B$3=P$3,SUMIF('TL16'!$C$10:$C$224,$C77,'TL16'!$J$10:$J$224),0),
IF('TL16'!$B$229=P$3,SUMIF('TL16'!$C$238:$C$451,$C77,'TL16'!$J$238:$J$451),0),
IF('TL17'!$B$3=P$3,SUMIF('TL17'!$C$10:$C$224,$C77,'TL17'!$J$10:$J$224),0),
IF('TL17'!$B$229=P$3,SUMIF('TL17'!$C$238:$C$451,$C77,'TL17'!$J$238:$J$451),0),
IF('TL18'!$B$3=P$3,SUMIF('TL18'!$C$10:$C$224,$C77,'TL18'!$J$10:$J$224),0),
IF('TL18'!$B$229=P$3,SUMIF('TL18'!$C$238:$C$451,$C77,'TL18'!$J$238:$J$451),0),
IF('TL19'!$B$3=P$3,SUMIF('TL19'!$C$10:$C$224,$C77,'TL19'!$J$10:$J$224),0),
IF('TL19'!$B$229=P$3,SUMIF('TL19'!$C$238:$C$451,$C77,'TL19'!$J$238:$J$451),0)
),0)</f>
        <v>0</v>
      </c>
      <c r="Q77" s="9">
        <f>IFERROR(SUM(
IF('TL01'!$B$3=Q$3,SUMIF('TL01'!$C$10:$C$224,$C77,'TL01'!$J$10:$J$224),0),
IF('TL01'!$B$229=Q$3,SUMIF('TL01'!$C$238:$C$451,$C77,'TL01'!$J$238:$J$451),0),
IF('TL02'!$B$3=Q$3,SUMIF('TL02'!$C$10:$C$224,$C77,'TL02'!$J$10:$J$224),0),
IF('TL02'!$B$229=Q$3,SUMIF('TL02'!$C$238:$C$451,$C77,'TL02'!$J$238:$J$451),0),
IF('TL03'!$B$3=Q$3,SUMIF('TL03'!$C$10:$C$224,$C77,'TL03'!$J$10:$J$224),0),
IF('TL03'!$B$229=Q$3,SUMIF('TL03'!$C$238:$C$451,$C77,'TL03'!$J$238:$J$451),0),
IF('TL04'!$B$3=Q$3,SUMIF('TL04'!$C$10:$C$224,$C77,'TL04'!$J$10:$J$224),0),
IF('TL04'!$B$229=Q$3,SUMIF('TL04'!$C$238:$C$451,$C77,'TL04'!$J$238:$J$451),0),
IF('TL05'!$B$3=Q$3,SUMIF('TL05'!$C$10:$C$224,$C77,'TL05'!$J$10:$J$224),0),
IF('TL05'!$B$229=Q$3,SUMIF('TL05'!$C$238:$C$451,$C77,'TL05'!$J$238:$J$451),0),
IF('TL06'!$B$3=Q$3,SUMIF('TL06'!$C$10:$C$224,$C77,'TL06'!$J$10:$J$224),0),
IF('TL06'!$B$229=Q$3,SUMIF('TL06'!$C$238:$C$451,$C77,'TL06'!$J$238:$J$451),0),
IF('TL07'!$B$3=Q$3,SUMIF('TL07'!$C$10:$C$224,$C77,'TL07'!$J$10:$J$224),0),
IF('TL07'!$B$229=Q$3,SUMIF('TL07'!$C$238:$C$451,$C77,'TL07'!$J$238:$J$451),0),
IF('TL08'!$B$3=Q$3,SUMIF('TL08'!$C$10:$C$224,$C77,'TL08'!$J$10:$J$224),0),
IF('TL08'!$B$229=Q$3,SUMIF('TL08'!$C$238:$C$451,$C77,'TL08'!$J$238:$J$451),0),
IF('TL09'!$B$3=Q$3,SUMIF('TL09'!$C$10:$C$224,$C77,'TL09'!$J$10:$J$224),0),
IF('TL09'!$B$229=Q$3,SUMIF('TL09'!$C$238:$C$451,$C77,'TL09'!$J$238:$J$451),0),
IF('TL10'!$B$3=Q$3,SUMIF('TL10'!$C$10:$C$224,$C77,'TL10'!$J$10:$J$224),0),
IF('TL10'!$B$229=Q$3,SUMIF('TL10'!$C$238:$C$451,$C77,'TL10'!$J$238:$J$451),0),
IF('TL11'!$B$3=Q$3,SUMIF('TL11'!$C$10:$C$224,$C77,'TL11'!$J$10:$J$224),0),
IF('TL11'!$B$229=Q$3,SUMIF('TL11'!$C$238:$C$451,$C77,'TL11'!$J$238:$J$451),0),
IF('TL12'!$B$3=Q$3,SUMIF('TL12'!$C$10:$C$224,$C77,'TL12'!$J$10:$J$224),0),
IF('TL12'!$B$229=Q$3,SUMIF('TL12'!$C$238:$C$451,$C77,'TL12'!$J$238:$J$451),0),
IF('TL13'!$B$3=Q$3,SUMIF('TL13'!$C$10:$C$224,$C77,'TL13'!$J$10:$J$224),0),
IF('TL13'!$B$229=Q$3,SUMIF('TL13'!$C$238:$C$451,$C77,'TL13'!$J$238:$J$451),0),
IF('TL14'!$B$3=Q$3,SUMIF('TL14'!$C$10:$C$224,$C77,'TL14'!$J$10:$J$224),0),
IF('TL14'!$B$229=Q$3,SUMIF('TL14'!$C$238:$C$451,$C77,'TL14'!$J$238:$J$451),0),
IF('TL15'!$B$3=Q$3,SUMIF('TL15'!$C$10:$C$224,$C77,'TL15'!$J$10:$J$224),0),
IF('TL15'!$B$229=Q$3,SUMIF('TL15'!$C$238:$C$451,$C77,'TL15'!$J$238:$J$451),0),
IF('TL16'!$B$3=Q$3,SUMIF('TL16'!$C$10:$C$224,$C77,'TL16'!$J$10:$J$224),0),
IF('TL16'!$B$229=Q$3,SUMIF('TL16'!$C$238:$C$451,$C77,'TL16'!$J$238:$J$451),0),
IF('TL17'!$B$3=Q$3,SUMIF('TL17'!$C$10:$C$224,$C77,'TL17'!$J$10:$J$224),0),
IF('TL17'!$B$229=Q$3,SUMIF('TL17'!$C$238:$C$451,$C77,'TL17'!$J$238:$J$451),0),
IF('TL18'!$B$3=Q$3,SUMIF('TL18'!$C$10:$C$224,$C77,'TL18'!$J$10:$J$224),0),
IF('TL18'!$B$229=Q$3,SUMIF('TL18'!$C$238:$C$451,$C77,'TL18'!$J$238:$J$451),0),
IF('TL19'!$B$3=Q$3,SUMIF('TL19'!$C$10:$C$224,$C77,'TL19'!$J$10:$J$224),0),
IF('TL19'!$B$229=Q$3,SUMIF('TL19'!$C$238:$C$451,$C77,'TL19'!$J$238:$J$451),0)
),0)</f>
        <v>0</v>
      </c>
      <c r="R77" s="9">
        <f>IFERROR(
SUM(
SUMIF('TL01'!C:C,C77,'TL01'!J:J),
SUMIF('TL02'!C:C,C77,'TL02'!J:J),
SUMIF('TL03'!C:C,C77,'TL03'!J:J),
SUMIF('TL04'!C:C,C77,'TL04'!J:J),
SUMIF('TL05'!C:C,C77,'TL05'!J:J),
SUMIF('TL06'!C:C,C77,'TL06'!J:J),
SUMIF('TL07'!C:C,C77,'TL07'!J:J),
SUMIF('TL08'!C:C,C77,'TL08'!J:J),
SUMIF('TL09'!C:C,C77,'TL09'!J:J),
SUMIF('TL10'!C:C,C77,'TL10'!J:J),
SUMIF('TL11'!C:C,C77,'TL11'!J:J),
SUMIF('TL12'!C:C,C77,'TL12'!J:J),
SUMIF('TL13'!C:C,C77,'TL13'!J:J),
SUMIF('TL14'!C:C,C77,'TL14'!J:J),
SUMIF('TL15'!C:C,C77,'TL15'!J:J),
SUMIF('TL16'!C:C,C77,'TL16'!J:J),
SUMIF('TL17'!C:C,C77,'TL17'!J:J),
SUMIF('TL18'!C:C,C77,'TL18'!J:J),SUMIF('TL19'!C:C,C77,'TL19'!J:J))
,0)</f>
        <v>0</v>
      </c>
      <c r="S77" s="17">
        <f>IFERROR(__xludf.DUMMYFUNCTION("IFERROR(VLOOKUP(C77,
IMPORTRANGE(""1wULbzX32WdYsx-lj2U3uUNBBe2INVIRDtcK0d-Dvl90"",
""26-27!C:G""),
5,
FALSE),
"""")"),21.116160000000004)</f>
        <v>21.11616</v>
      </c>
      <c r="T77" s="9"/>
      <c r="U77" s="92">
        <f t="shared" si="2"/>
        <v>0</v>
      </c>
      <c r="V77" s="93">
        <f t="shared" si="3"/>
        <v>0</v>
      </c>
    </row>
    <row r="78" ht="15.75" hidden="1" customHeight="1">
      <c r="A78" s="115" t="s">
        <v>534</v>
      </c>
      <c r="B78" s="100" t="s">
        <v>0</v>
      </c>
      <c r="C78" s="116" t="s">
        <v>535</v>
      </c>
      <c r="D78" s="116" t="s">
        <v>536</v>
      </c>
      <c r="E78" s="116" t="s">
        <v>537</v>
      </c>
      <c r="F78" s="4" t="s">
        <v>343</v>
      </c>
      <c r="G78" s="90" t="str">
        <f t="shared" si="4"/>
        <v>📄 Ver bula</v>
      </c>
      <c r="H78" s="9">
        <f>IFERROR(__xludf.DUMMYFUNCTION("IFERROR(VLOOKUP(C78,
IMPORTRANGE(""1wULbzX32WdYsx-lj2U3uUNBBe2INVIRDtcK0d-Dvl90"",
""26-27!C:K""),
8,
FALSE),
"""")"),1.5)</f>
        <v>1.5</v>
      </c>
      <c r="I78" s="117" t="s">
        <v>538</v>
      </c>
      <c r="J78" s="9">
        <f>IFERROR(SUM(
IF('TL01'!$B$3=J$3,SUMIF('TL01'!$C$10:$C$224,$C78,'TL01'!$J$10:$J$224),0),
IF('TL01'!$B$229=J$3,SUMIF('TL01'!$C$238:$C$451,$C78,'TL01'!$J$238:$J$451),0),
IF('TL02'!$B$3=J$3,SUMIF('TL02'!$C$10:$C$224,$C78,'TL02'!$J$10:$J$224),0),
IF('TL02'!$B$229=J$3,SUMIF('TL02'!$C$238:$C$451,$C78,'TL02'!$J$238:$J$451),0),
IF('TL03'!$B$3=J$3,SUMIF('TL03'!$C$10:$C$224,$C78,'TL03'!$J$10:$J$224),0),
IF('TL03'!$B$229=J$3,SUMIF('TL03'!$C$238:$C$451,$C78,'TL03'!$J$238:$J$451),0),
IF('TL04'!$B$3=J$3,SUMIF('TL04'!$C$10:$C$224,$C78,'TL04'!$J$10:$J$224),0),
IF('TL04'!$B$229=J$3,SUMIF('TL04'!$C$238:$C$451,$C78,'TL04'!$J$238:$J$451),0),
IF('TL05'!$B$3=J$3,SUMIF('TL05'!$C$10:$C$224,$C78,'TL05'!$J$10:$J$224),0),
IF('TL05'!$B$229=J$3,SUMIF('TL05'!$C$238:$C$451,$C78,'TL05'!$J$238:$J$451),0),
IF('TL06'!$B$3=J$3,SUMIF('TL06'!$C$10:$C$224,$C78,'TL06'!$J$10:$J$224),0),
IF('TL06'!$B$229=J$3,SUMIF('TL06'!$C$238:$C$451,$C78,'TL06'!$J$238:$J$451),0),
IF('TL07'!$B$3=J$3,SUMIF('TL07'!$C$10:$C$224,$C78,'TL07'!$J$10:$J$224),0),
IF('TL07'!$B$229=J$3,SUMIF('TL07'!$C$238:$C$451,$C78,'TL07'!$J$238:$J$451),0),
IF('TL08'!$B$3=J$3,SUMIF('TL08'!$C$10:$C$224,$C78,'TL08'!$J$10:$J$224),0),
IF('TL08'!$B$229=J$3,SUMIF('TL08'!$C$238:$C$451,$C78,'TL08'!$J$238:$J$451),0),
IF('TL09'!$B$3=J$3,SUMIF('TL09'!$C$10:$C$224,$C78,'TL09'!$J$10:$J$224),0),
IF('TL09'!$B$229=J$3,SUMIF('TL09'!$C$238:$C$451,$C78,'TL09'!$J$238:$J$451),0),
IF('TL10'!$B$3=J$3,SUMIF('TL10'!$C$10:$C$224,$C78,'TL10'!$J$10:$J$224),0),
IF('TL10'!$B$229=J$3,SUMIF('TL10'!$C$238:$C$451,$C78,'TL10'!$J$238:$J$451),0),
IF('TL11'!$B$3=J$3,SUMIF('TL11'!$C$10:$C$224,$C78,'TL11'!$J$10:$J$224),0),
IF('TL11'!$B$229=J$3,SUMIF('TL11'!$C$238:$C$451,$C78,'TL11'!$J$238:$J$451),0),
IF('TL12'!$B$3=J$3,SUMIF('TL12'!$C$10:$C$224,$C78,'TL12'!$J$10:$J$224),0),
IF('TL12'!$B$229=J$3,SUMIF('TL12'!$C$238:$C$451,$C78,'TL12'!$J$238:$J$451),0),
IF('TL13'!$B$3=J$3,SUMIF('TL13'!$C$10:$C$224,$C78,'TL13'!$J$10:$J$224),0),
IF('TL13'!$B$229=J$3,SUMIF('TL13'!$C$238:$C$451,$C78,'TL13'!$J$238:$J$451),0),
IF('TL14'!$B$3=J$3,SUMIF('TL14'!$C$10:$C$224,$C78,'TL14'!$J$10:$J$224),0),
IF('TL14'!$B$229=J$3,SUMIF('TL14'!$C$238:$C$451,$C78,'TL14'!$J$238:$J$451),0),
IF('TL15'!$B$3=J$3,SUMIF('TL15'!$C$10:$C$224,$C78,'TL15'!$J$10:$J$224),0),
IF('TL15'!$B$229=J$3,SUMIF('TL15'!$C$238:$C$451,$C78,'TL15'!$J$238:$J$451),0),
IF('TL16'!$B$3=J$3,SUMIF('TL16'!$C$10:$C$224,$C78,'TL16'!$J$10:$J$224),0),
IF('TL16'!$B$229=J$3,SUMIF('TL16'!$C$238:$C$451,$C78,'TL16'!$J$238:$J$451),0),
IF('TL17'!$B$3=J$3,SUMIF('TL17'!$C$10:$C$224,$C78,'TL17'!$J$10:$J$224),0),
IF('TL17'!$B$229=J$3,SUMIF('TL17'!$C$238:$C$451,$C78,'TL17'!$J$238:$J$451),0),
IF('TL18'!$B$3=J$3,SUMIF('TL18'!$C$10:$C$224,$C78,'TL18'!$J$10:$J$224),0),
IF('TL18'!$B$229=J$3,SUMIF('TL18'!$C$238:$C$451,$C78,'TL18'!$J$238:$J$451),0),
IF('TL19'!$B$3=J$3,SUMIF('TL19'!$C$10:$C$224,$C78,'TL19'!$J$10:$J$224),0),
IF('TL19'!$B$229=J$3,SUMIF('TL19'!$C$238:$C$451,$C78,'TL19'!$J$238:$J$451),0)
),0)</f>
        <v>0</v>
      </c>
      <c r="K78" s="9">
        <f>IFERROR(SUM(
IF('TL01'!$B$3=K$3,SUMIF('TL01'!$C$10:$C$224,$C78,'TL01'!$J$10:$J$224),0),
IF('TL01'!$B$229=K$3,SUMIF('TL01'!$C$238:$C$451,$C78,'TL01'!$J$238:$J$451),0),
IF('TL02'!$B$3=K$3,SUMIF('TL02'!$C$10:$C$224,$C78,'TL02'!$J$10:$J$224),0),
IF('TL02'!$B$229=K$3,SUMIF('TL02'!$C$238:$C$451,$C78,'TL02'!$J$238:$J$451),0),
IF('TL03'!$B$3=K$3,SUMIF('TL03'!$C$10:$C$224,$C78,'TL03'!$J$10:$J$224),0),
IF('TL03'!$B$229=K$3,SUMIF('TL03'!$C$238:$C$451,$C78,'TL03'!$J$238:$J$451),0),
IF('TL04'!$B$3=K$3,SUMIF('TL04'!$C$10:$C$224,$C78,'TL04'!$J$10:$J$224),0),
IF('TL04'!$B$229=K$3,SUMIF('TL04'!$C$238:$C$451,$C78,'TL04'!$J$238:$J$451),0),
IF('TL05'!$B$3=K$3,SUMIF('TL05'!$C$10:$C$224,$C78,'TL05'!$J$10:$J$224),0),
IF('TL05'!$B$229=K$3,SUMIF('TL05'!$C$238:$C$451,$C78,'TL05'!$J$238:$J$451),0),
IF('TL06'!$B$3=K$3,SUMIF('TL06'!$C$10:$C$224,$C78,'TL06'!$J$10:$J$224),0),
IF('TL06'!$B$229=K$3,SUMIF('TL06'!$C$238:$C$451,$C78,'TL06'!$J$238:$J$451),0),
IF('TL07'!$B$3=K$3,SUMIF('TL07'!$C$10:$C$224,$C78,'TL07'!$J$10:$J$224),0),
IF('TL07'!$B$229=K$3,SUMIF('TL07'!$C$238:$C$451,$C78,'TL07'!$J$238:$J$451),0),
IF('TL08'!$B$3=K$3,SUMIF('TL08'!$C$10:$C$224,$C78,'TL08'!$J$10:$J$224),0),
IF('TL08'!$B$229=K$3,SUMIF('TL08'!$C$238:$C$451,$C78,'TL08'!$J$238:$J$451),0),
IF('TL09'!$B$3=K$3,SUMIF('TL09'!$C$10:$C$224,$C78,'TL09'!$J$10:$J$224),0),
IF('TL09'!$B$229=K$3,SUMIF('TL09'!$C$238:$C$451,$C78,'TL09'!$J$238:$J$451),0),
IF('TL10'!$B$3=K$3,SUMIF('TL10'!$C$10:$C$224,$C78,'TL10'!$J$10:$J$224),0),
IF('TL10'!$B$229=K$3,SUMIF('TL10'!$C$238:$C$451,$C78,'TL10'!$J$238:$J$451),0),
IF('TL11'!$B$3=K$3,SUMIF('TL11'!$C$10:$C$224,$C78,'TL11'!$J$10:$J$224),0),
IF('TL11'!$B$229=K$3,SUMIF('TL11'!$C$238:$C$451,$C78,'TL11'!$J$238:$J$451),0),
IF('TL12'!$B$3=K$3,SUMIF('TL12'!$C$10:$C$224,$C78,'TL12'!$J$10:$J$224),0),
IF('TL12'!$B$229=K$3,SUMIF('TL12'!$C$238:$C$451,$C78,'TL12'!$J$238:$J$451),0),
IF('TL13'!$B$3=K$3,SUMIF('TL13'!$C$10:$C$224,$C78,'TL13'!$J$10:$J$224),0),
IF('TL13'!$B$229=K$3,SUMIF('TL13'!$C$238:$C$451,$C78,'TL13'!$J$238:$J$451),0),
IF('TL14'!$B$3=K$3,SUMIF('TL14'!$C$10:$C$224,$C78,'TL14'!$J$10:$J$224),0),
IF('TL14'!$B$229=K$3,SUMIF('TL14'!$C$238:$C$451,$C78,'TL14'!$J$238:$J$451),0),
IF('TL15'!$B$3=K$3,SUMIF('TL15'!$C$10:$C$224,$C78,'TL15'!$J$10:$J$224),0),
IF('TL15'!$B$229=K$3,SUMIF('TL15'!$C$238:$C$451,$C78,'TL15'!$J$238:$J$451),0),
IF('TL16'!$B$3=K$3,SUMIF('TL16'!$C$10:$C$224,$C78,'TL16'!$J$10:$J$224),0),
IF('TL16'!$B$229=K$3,SUMIF('TL16'!$C$238:$C$451,$C78,'TL16'!$J$238:$J$451),0),
IF('TL17'!$B$3=K$3,SUMIF('TL17'!$C$10:$C$224,$C78,'TL17'!$J$10:$J$224),0),
IF('TL17'!$B$229=K$3,SUMIF('TL17'!$C$238:$C$451,$C78,'TL17'!$J$238:$J$451),0),
IF('TL18'!$B$3=K$3,SUMIF('TL18'!$C$10:$C$224,$C78,'TL18'!$J$10:$J$224),0),
IF('TL18'!$B$229=K$3,SUMIF('TL18'!$C$238:$C$451,$C78,'TL18'!$J$238:$J$451),0),
IF('TL19'!$B$3=K$3,SUMIF('TL19'!$C$10:$C$224,$C78,'TL19'!$J$10:$J$224),0),
IF('TL19'!$B$229=K$3,SUMIF('TL19'!$C$238:$C$451,$C78,'TL19'!$J$238:$J$451),0)
),0)</f>
        <v>0</v>
      </c>
      <c r="L78" s="9">
        <f>IFERROR(SUM(
IF('TL01'!$B$3=L$3,SUMIF('TL01'!$C$10:$C$224,$C78,'TL01'!$J$10:$J$224),0),
IF('TL01'!$B$229=L$3,SUMIF('TL01'!$C$238:$C$451,$C78,'TL01'!$J$238:$J$451),0),
IF('TL02'!$B$3=L$3,SUMIF('TL02'!$C$10:$C$224,$C78,'TL02'!$J$10:$J$224),0),
IF('TL02'!$B$229=L$3,SUMIF('TL02'!$C$238:$C$451,$C78,'TL02'!$J$238:$J$451),0),
IF('TL03'!$B$3=L$3,SUMIF('TL03'!$C$10:$C$224,$C78,'TL03'!$J$10:$J$224),0),
IF('TL03'!$B$229=L$3,SUMIF('TL03'!$C$238:$C$451,$C78,'TL03'!$J$238:$J$451),0),
IF('TL04'!$B$3=L$3,SUMIF('TL04'!$C$10:$C$224,$C78,'TL04'!$J$10:$J$224),0),
IF('TL04'!$B$229=L$3,SUMIF('TL04'!$C$238:$C$451,$C78,'TL04'!$J$238:$J$451),0),
IF('TL05'!$B$3=L$3,SUMIF('TL05'!$C$10:$C$224,$C78,'TL05'!$J$10:$J$224),0),
IF('TL05'!$B$229=L$3,SUMIF('TL05'!$C$238:$C$451,$C78,'TL05'!$J$238:$J$451),0),
IF('TL06'!$B$3=L$3,SUMIF('TL06'!$C$10:$C$224,$C78,'TL06'!$J$10:$J$224),0),
IF('TL06'!$B$229=L$3,SUMIF('TL06'!$C$238:$C$451,$C78,'TL06'!$J$238:$J$451),0),
IF('TL07'!$B$3=L$3,SUMIF('TL07'!$C$10:$C$224,$C78,'TL07'!$J$10:$J$224),0),
IF('TL07'!$B$229=L$3,SUMIF('TL07'!$C$238:$C$451,$C78,'TL07'!$J$238:$J$451),0),
IF('TL08'!$B$3=L$3,SUMIF('TL08'!$C$10:$C$224,$C78,'TL08'!$J$10:$J$224),0),
IF('TL08'!$B$229=L$3,SUMIF('TL08'!$C$238:$C$451,$C78,'TL08'!$J$238:$J$451),0),
IF('TL09'!$B$3=L$3,SUMIF('TL09'!$C$10:$C$224,$C78,'TL09'!$J$10:$J$224),0),
IF('TL09'!$B$229=L$3,SUMIF('TL09'!$C$238:$C$451,$C78,'TL09'!$J$238:$J$451),0),
IF('TL10'!$B$3=L$3,SUMIF('TL10'!$C$10:$C$224,$C78,'TL10'!$J$10:$J$224),0),
IF('TL10'!$B$229=L$3,SUMIF('TL10'!$C$238:$C$451,$C78,'TL10'!$J$238:$J$451),0),
IF('TL11'!$B$3=L$3,SUMIF('TL11'!$C$10:$C$224,$C78,'TL11'!$J$10:$J$224),0),
IF('TL11'!$B$229=L$3,SUMIF('TL11'!$C$238:$C$451,$C78,'TL11'!$J$238:$J$451),0),
IF('TL12'!$B$3=L$3,SUMIF('TL12'!$C$10:$C$224,$C78,'TL12'!$J$10:$J$224),0),
IF('TL12'!$B$229=L$3,SUMIF('TL12'!$C$238:$C$451,$C78,'TL12'!$J$238:$J$451),0),
IF('TL13'!$B$3=L$3,SUMIF('TL13'!$C$10:$C$224,$C78,'TL13'!$J$10:$J$224),0),
IF('TL13'!$B$229=L$3,SUMIF('TL13'!$C$238:$C$451,$C78,'TL13'!$J$238:$J$451),0),
IF('TL14'!$B$3=L$3,SUMIF('TL14'!$C$10:$C$224,$C78,'TL14'!$J$10:$J$224),0),
IF('TL14'!$B$229=L$3,SUMIF('TL14'!$C$238:$C$451,$C78,'TL14'!$J$238:$J$451),0),
IF('TL15'!$B$3=L$3,SUMIF('TL15'!$C$10:$C$224,$C78,'TL15'!$J$10:$J$224),0),
IF('TL15'!$B$229=L$3,SUMIF('TL15'!$C$238:$C$451,$C78,'TL15'!$J$238:$J$451),0),
IF('TL16'!$B$3=L$3,SUMIF('TL16'!$C$10:$C$224,$C78,'TL16'!$J$10:$J$224),0),
IF('TL16'!$B$229=L$3,SUMIF('TL16'!$C$238:$C$451,$C78,'TL16'!$J$238:$J$451),0),
IF('TL17'!$B$3=L$3,SUMIF('TL17'!$C$10:$C$224,$C78,'TL17'!$J$10:$J$224),0),
IF('TL17'!$B$229=L$3,SUMIF('TL17'!$C$238:$C$451,$C78,'TL17'!$J$238:$J$451),0),
IF('TL18'!$B$3=L$3,SUMIF('TL18'!$C$10:$C$224,$C78,'TL18'!$J$10:$J$224),0),
IF('TL18'!$B$229=L$3,SUMIF('TL18'!$C$238:$C$451,$C78,'TL18'!$J$238:$J$451),0),
IF('TL19'!$B$3=L$3,SUMIF('TL19'!$C$10:$C$224,$C78,'TL19'!$J$10:$J$224),0),
IF('TL19'!$B$229=L$3,SUMIF('TL19'!$C$238:$C$451,$C78,'TL19'!$J$238:$J$451),0)
),0)</f>
        <v>0</v>
      </c>
      <c r="M78" s="9">
        <f>IFERROR(SUM(
IF('TL01'!$B$3=M$3,SUMIF('TL01'!$C$10:$C$224,$C78,'TL01'!$J$10:$J$224),0),
IF('TL01'!$B$229=M$3,SUMIF('TL01'!$C$238:$C$451,$C78,'TL01'!$J$238:$J$451),0),
IF('TL02'!$B$3=M$3,SUMIF('TL02'!$C$10:$C$224,$C78,'TL02'!$J$10:$J$224),0),
IF('TL02'!$B$229=M$3,SUMIF('TL02'!$C$238:$C$451,$C78,'TL02'!$J$238:$J$451),0),
IF('TL03'!$B$3=M$3,SUMIF('TL03'!$C$10:$C$224,$C78,'TL03'!$J$10:$J$224),0),
IF('TL03'!$B$229=M$3,SUMIF('TL03'!$C$238:$C$451,$C78,'TL03'!$J$238:$J$451),0),
IF('TL04'!$B$3=M$3,SUMIF('TL04'!$C$10:$C$224,$C78,'TL04'!$J$10:$J$224),0),
IF('TL04'!$B$229=M$3,SUMIF('TL04'!$C$238:$C$451,$C78,'TL04'!$J$238:$J$451),0),
IF('TL05'!$B$3=M$3,SUMIF('TL05'!$C$10:$C$224,$C78,'TL05'!$J$10:$J$224),0),
IF('TL05'!$B$229=M$3,SUMIF('TL05'!$C$238:$C$451,$C78,'TL05'!$J$238:$J$451),0),
IF('TL06'!$B$3=M$3,SUMIF('TL06'!$C$10:$C$224,$C78,'TL06'!$J$10:$J$224),0),
IF('TL06'!$B$229=M$3,SUMIF('TL06'!$C$238:$C$451,$C78,'TL06'!$J$238:$J$451),0),
IF('TL07'!$B$3=M$3,SUMIF('TL07'!$C$10:$C$224,$C78,'TL07'!$J$10:$J$224),0),
IF('TL07'!$B$229=M$3,SUMIF('TL07'!$C$238:$C$451,$C78,'TL07'!$J$238:$J$451),0),
IF('TL08'!$B$3=M$3,SUMIF('TL08'!$C$10:$C$224,$C78,'TL08'!$J$10:$J$224),0),
IF('TL08'!$B$229=M$3,SUMIF('TL08'!$C$238:$C$451,$C78,'TL08'!$J$238:$J$451),0),
IF('TL09'!$B$3=M$3,SUMIF('TL09'!$C$10:$C$224,$C78,'TL09'!$J$10:$J$224),0),
IF('TL09'!$B$229=M$3,SUMIF('TL09'!$C$238:$C$451,$C78,'TL09'!$J$238:$J$451),0),
IF('TL10'!$B$3=M$3,SUMIF('TL10'!$C$10:$C$224,$C78,'TL10'!$J$10:$J$224),0),
IF('TL10'!$B$229=M$3,SUMIF('TL10'!$C$238:$C$451,$C78,'TL10'!$J$238:$J$451),0),
IF('TL11'!$B$3=M$3,SUMIF('TL11'!$C$10:$C$224,$C78,'TL11'!$J$10:$J$224),0),
IF('TL11'!$B$229=M$3,SUMIF('TL11'!$C$238:$C$451,$C78,'TL11'!$J$238:$J$451),0),
IF('TL12'!$B$3=M$3,SUMIF('TL12'!$C$10:$C$224,$C78,'TL12'!$J$10:$J$224),0),
IF('TL12'!$B$229=M$3,SUMIF('TL12'!$C$238:$C$451,$C78,'TL12'!$J$238:$J$451),0),
IF('TL13'!$B$3=M$3,SUMIF('TL13'!$C$10:$C$224,$C78,'TL13'!$J$10:$J$224),0),
IF('TL13'!$B$229=M$3,SUMIF('TL13'!$C$238:$C$451,$C78,'TL13'!$J$238:$J$451),0),
IF('TL14'!$B$3=M$3,SUMIF('TL14'!$C$10:$C$224,$C78,'TL14'!$J$10:$J$224),0),
IF('TL14'!$B$229=M$3,SUMIF('TL14'!$C$238:$C$451,$C78,'TL14'!$J$238:$J$451),0),
IF('TL15'!$B$3=M$3,SUMIF('TL15'!$C$10:$C$224,$C78,'TL15'!$J$10:$J$224),0),
IF('TL15'!$B$229=M$3,SUMIF('TL15'!$C$238:$C$451,$C78,'TL15'!$J$238:$J$451),0),
IF('TL16'!$B$3=M$3,SUMIF('TL16'!$C$10:$C$224,$C78,'TL16'!$J$10:$J$224),0),
IF('TL16'!$B$229=M$3,SUMIF('TL16'!$C$238:$C$451,$C78,'TL16'!$J$238:$J$451),0),
IF('TL17'!$B$3=M$3,SUMIF('TL17'!$C$10:$C$224,$C78,'TL17'!$J$10:$J$224),0),
IF('TL17'!$B$229=M$3,SUMIF('TL17'!$C$238:$C$451,$C78,'TL17'!$J$238:$J$451),0),
IF('TL18'!$B$3=M$3,SUMIF('TL18'!$C$10:$C$224,$C78,'TL18'!$J$10:$J$224),0),
IF('TL18'!$B$229=M$3,SUMIF('TL18'!$C$238:$C$451,$C78,'TL18'!$J$238:$J$451),0),
IF('TL19'!$B$3=M$3,SUMIF('TL19'!$C$10:$C$224,$C78,'TL19'!$J$10:$J$224),0),
IF('TL19'!$B$229=M$3,SUMIF('TL19'!$C$238:$C$451,$C78,'TL19'!$J$238:$J$451),0)
),0)</f>
        <v>0</v>
      </c>
      <c r="N78" s="9">
        <f>IFERROR(SUM(
IF('TL01'!$B$3=N$3,SUMIF('TL01'!$C$10:$C$224,$C78,'TL01'!$J$10:$J$224),0),
IF('TL01'!$B$229=N$3,SUMIF('TL01'!$C$238:$C$451,$C78,'TL01'!$J$238:$J$451),0),
IF('TL02'!$B$3=N$3,SUMIF('TL02'!$C$10:$C$224,$C78,'TL02'!$J$10:$J$224),0),
IF('TL02'!$B$229=N$3,SUMIF('TL02'!$C$238:$C$451,$C78,'TL02'!$J$238:$J$451),0),
IF('TL03'!$B$3=N$3,SUMIF('TL03'!$C$10:$C$224,$C78,'TL03'!$J$10:$J$224),0),
IF('TL03'!$B$229=N$3,SUMIF('TL03'!$C$238:$C$451,$C78,'TL03'!$J$238:$J$451),0),
IF('TL04'!$B$3=N$3,SUMIF('TL04'!$C$10:$C$224,$C78,'TL04'!$J$10:$J$224),0),
IF('TL04'!$B$229=N$3,SUMIF('TL04'!$C$238:$C$451,$C78,'TL04'!$J$238:$J$451),0),
IF('TL05'!$B$3=N$3,SUMIF('TL05'!$C$10:$C$224,$C78,'TL05'!$J$10:$J$224),0),
IF('TL05'!$B$229=N$3,SUMIF('TL05'!$C$238:$C$451,$C78,'TL05'!$J$238:$J$451),0),
IF('TL06'!$B$3=N$3,SUMIF('TL06'!$C$10:$C$224,$C78,'TL06'!$J$10:$J$224),0),
IF('TL06'!$B$229=N$3,SUMIF('TL06'!$C$238:$C$451,$C78,'TL06'!$J$238:$J$451),0),
IF('TL07'!$B$3=N$3,SUMIF('TL07'!$C$10:$C$224,$C78,'TL07'!$J$10:$J$224),0),
IF('TL07'!$B$229=N$3,SUMIF('TL07'!$C$238:$C$451,$C78,'TL07'!$J$238:$J$451),0),
IF('TL08'!$B$3=N$3,SUMIF('TL08'!$C$10:$C$224,$C78,'TL08'!$J$10:$J$224),0),
IF('TL08'!$B$229=N$3,SUMIF('TL08'!$C$238:$C$451,$C78,'TL08'!$J$238:$J$451),0),
IF('TL09'!$B$3=N$3,SUMIF('TL09'!$C$10:$C$224,$C78,'TL09'!$J$10:$J$224),0),
IF('TL09'!$B$229=N$3,SUMIF('TL09'!$C$238:$C$451,$C78,'TL09'!$J$238:$J$451),0),
IF('TL10'!$B$3=N$3,SUMIF('TL10'!$C$10:$C$224,$C78,'TL10'!$J$10:$J$224),0),
IF('TL10'!$B$229=N$3,SUMIF('TL10'!$C$238:$C$451,$C78,'TL10'!$J$238:$J$451),0),
IF('TL11'!$B$3=N$3,SUMIF('TL11'!$C$10:$C$224,$C78,'TL11'!$J$10:$J$224),0),
IF('TL11'!$B$229=N$3,SUMIF('TL11'!$C$238:$C$451,$C78,'TL11'!$J$238:$J$451),0),
IF('TL12'!$B$3=N$3,SUMIF('TL12'!$C$10:$C$224,$C78,'TL12'!$J$10:$J$224),0),
IF('TL12'!$B$229=N$3,SUMIF('TL12'!$C$238:$C$451,$C78,'TL12'!$J$238:$J$451),0),
IF('TL13'!$B$3=N$3,SUMIF('TL13'!$C$10:$C$224,$C78,'TL13'!$J$10:$J$224),0),
IF('TL13'!$B$229=N$3,SUMIF('TL13'!$C$238:$C$451,$C78,'TL13'!$J$238:$J$451),0),
IF('TL14'!$B$3=N$3,SUMIF('TL14'!$C$10:$C$224,$C78,'TL14'!$J$10:$J$224),0),
IF('TL14'!$B$229=N$3,SUMIF('TL14'!$C$238:$C$451,$C78,'TL14'!$J$238:$J$451),0),
IF('TL15'!$B$3=N$3,SUMIF('TL15'!$C$10:$C$224,$C78,'TL15'!$J$10:$J$224),0),
IF('TL15'!$B$229=N$3,SUMIF('TL15'!$C$238:$C$451,$C78,'TL15'!$J$238:$J$451),0),
IF('TL16'!$B$3=N$3,SUMIF('TL16'!$C$10:$C$224,$C78,'TL16'!$J$10:$J$224),0),
IF('TL16'!$B$229=N$3,SUMIF('TL16'!$C$238:$C$451,$C78,'TL16'!$J$238:$J$451),0),
IF('TL17'!$B$3=N$3,SUMIF('TL17'!$C$10:$C$224,$C78,'TL17'!$J$10:$J$224),0),
IF('TL17'!$B$229=N$3,SUMIF('TL17'!$C$238:$C$451,$C78,'TL17'!$J$238:$J$451),0),
IF('TL18'!$B$3=N$3,SUMIF('TL18'!$C$10:$C$224,$C78,'TL18'!$J$10:$J$224),0),
IF('TL18'!$B$229=N$3,SUMIF('TL18'!$C$238:$C$451,$C78,'TL18'!$J$238:$J$451),0),
IF('TL19'!$B$3=N$3,SUMIF('TL19'!$C$10:$C$224,$C78,'TL19'!$J$10:$J$224),0),
IF('TL19'!$B$229=N$3,SUMIF('TL19'!$C$238:$C$451,$C78,'TL19'!$J$238:$J$451),0)
),0)</f>
        <v>0</v>
      </c>
      <c r="O78" s="9">
        <f>IFERROR(SUM(
IF('TL01'!$B$3=O$3,SUMIF('TL01'!$C$10:$C$224,$C78,'TL01'!$J$10:$J$224),0),
IF('TL01'!$B$229=O$3,SUMIF('TL01'!$C$238:$C$451,$C78,'TL01'!$J$238:$J$451),0),
IF('TL02'!$B$3=O$3,SUMIF('TL02'!$C$10:$C$224,$C78,'TL02'!$J$10:$J$224),0),
IF('TL02'!$B$229=O$3,SUMIF('TL02'!$C$238:$C$451,$C78,'TL02'!$J$238:$J$451),0),
IF('TL03'!$B$3=O$3,SUMIF('TL03'!$C$10:$C$224,$C78,'TL03'!$J$10:$J$224),0),
IF('TL03'!$B$229=O$3,SUMIF('TL03'!$C$238:$C$451,$C78,'TL03'!$J$238:$J$451),0),
IF('TL04'!$B$3=O$3,SUMIF('TL04'!$C$10:$C$224,$C78,'TL04'!$J$10:$J$224),0),
IF('TL04'!$B$229=O$3,SUMIF('TL04'!$C$238:$C$451,$C78,'TL04'!$J$238:$J$451),0),
IF('TL05'!$B$3=O$3,SUMIF('TL05'!$C$10:$C$224,$C78,'TL05'!$J$10:$J$224),0),
IF('TL05'!$B$229=O$3,SUMIF('TL05'!$C$238:$C$451,$C78,'TL05'!$J$238:$J$451),0),
IF('TL06'!$B$3=O$3,SUMIF('TL06'!$C$10:$C$224,$C78,'TL06'!$J$10:$J$224),0),
IF('TL06'!$B$229=O$3,SUMIF('TL06'!$C$238:$C$451,$C78,'TL06'!$J$238:$J$451),0),
IF('TL07'!$B$3=O$3,SUMIF('TL07'!$C$10:$C$224,$C78,'TL07'!$J$10:$J$224),0),
IF('TL07'!$B$229=O$3,SUMIF('TL07'!$C$238:$C$451,$C78,'TL07'!$J$238:$J$451),0),
IF('TL08'!$B$3=O$3,SUMIF('TL08'!$C$10:$C$224,$C78,'TL08'!$J$10:$J$224),0),
IF('TL08'!$B$229=O$3,SUMIF('TL08'!$C$238:$C$451,$C78,'TL08'!$J$238:$J$451),0),
IF('TL09'!$B$3=O$3,SUMIF('TL09'!$C$10:$C$224,$C78,'TL09'!$J$10:$J$224),0),
IF('TL09'!$B$229=O$3,SUMIF('TL09'!$C$238:$C$451,$C78,'TL09'!$J$238:$J$451),0),
IF('TL10'!$B$3=O$3,SUMIF('TL10'!$C$10:$C$224,$C78,'TL10'!$J$10:$J$224),0),
IF('TL10'!$B$229=O$3,SUMIF('TL10'!$C$238:$C$451,$C78,'TL10'!$J$238:$J$451),0),
IF('TL11'!$B$3=O$3,SUMIF('TL11'!$C$10:$C$224,$C78,'TL11'!$J$10:$J$224),0),
IF('TL11'!$B$229=O$3,SUMIF('TL11'!$C$238:$C$451,$C78,'TL11'!$J$238:$J$451),0),
IF('TL12'!$B$3=O$3,SUMIF('TL12'!$C$10:$C$224,$C78,'TL12'!$J$10:$J$224),0),
IF('TL12'!$B$229=O$3,SUMIF('TL12'!$C$238:$C$451,$C78,'TL12'!$J$238:$J$451),0),
IF('TL13'!$B$3=O$3,SUMIF('TL13'!$C$10:$C$224,$C78,'TL13'!$J$10:$J$224),0),
IF('TL13'!$B$229=O$3,SUMIF('TL13'!$C$238:$C$451,$C78,'TL13'!$J$238:$J$451),0),
IF('TL14'!$B$3=O$3,SUMIF('TL14'!$C$10:$C$224,$C78,'TL14'!$J$10:$J$224),0),
IF('TL14'!$B$229=O$3,SUMIF('TL14'!$C$238:$C$451,$C78,'TL14'!$J$238:$J$451),0),
IF('TL15'!$B$3=O$3,SUMIF('TL15'!$C$10:$C$224,$C78,'TL15'!$J$10:$J$224),0),
IF('TL15'!$B$229=O$3,SUMIF('TL15'!$C$238:$C$451,$C78,'TL15'!$J$238:$J$451),0),
IF('TL16'!$B$3=O$3,SUMIF('TL16'!$C$10:$C$224,$C78,'TL16'!$J$10:$J$224),0),
IF('TL16'!$B$229=O$3,SUMIF('TL16'!$C$238:$C$451,$C78,'TL16'!$J$238:$J$451),0),
IF('TL17'!$B$3=O$3,SUMIF('TL17'!$C$10:$C$224,$C78,'TL17'!$J$10:$J$224),0),
IF('TL17'!$B$229=O$3,SUMIF('TL17'!$C$238:$C$451,$C78,'TL17'!$J$238:$J$451),0),
IF('TL18'!$B$3=O$3,SUMIF('TL18'!$C$10:$C$224,$C78,'TL18'!$J$10:$J$224),0),
IF('TL18'!$B$229=O$3,SUMIF('TL18'!$C$238:$C$451,$C78,'TL18'!$J$238:$J$451),0),
IF('TL19'!$B$3=O$3,SUMIF('TL19'!$C$10:$C$224,$C78,'TL19'!$J$10:$J$224),0),
IF('TL19'!$B$229=O$3,SUMIF('TL19'!$C$238:$C$451,$C78,'TL19'!$J$238:$J$451),0)
),0)</f>
        <v>0</v>
      </c>
      <c r="P78" s="9">
        <f>IFERROR(SUM(
IF('TL01'!$B$3=P$3,SUMIF('TL01'!$C$10:$C$224,$C78,'TL01'!$J$10:$J$224),0),
IF('TL01'!$B$229=P$3,SUMIF('TL01'!$C$238:$C$451,$C78,'TL01'!$J$238:$J$451),0),
IF('TL02'!$B$3=P$3,SUMIF('TL02'!$C$10:$C$224,$C78,'TL02'!$J$10:$J$224),0),
IF('TL02'!$B$229=P$3,SUMIF('TL02'!$C$238:$C$451,$C78,'TL02'!$J$238:$J$451),0),
IF('TL03'!$B$3=P$3,SUMIF('TL03'!$C$10:$C$224,$C78,'TL03'!$J$10:$J$224),0),
IF('TL03'!$B$229=P$3,SUMIF('TL03'!$C$238:$C$451,$C78,'TL03'!$J$238:$J$451),0),
IF('TL04'!$B$3=P$3,SUMIF('TL04'!$C$10:$C$224,$C78,'TL04'!$J$10:$J$224),0),
IF('TL04'!$B$229=P$3,SUMIF('TL04'!$C$238:$C$451,$C78,'TL04'!$J$238:$J$451),0),
IF('TL05'!$B$3=P$3,SUMIF('TL05'!$C$10:$C$224,$C78,'TL05'!$J$10:$J$224),0),
IF('TL05'!$B$229=P$3,SUMIF('TL05'!$C$238:$C$451,$C78,'TL05'!$J$238:$J$451),0),
IF('TL06'!$B$3=P$3,SUMIF('TL06'!$C$10:$C$224,$C78,'TL06'!$J$10:$J$224),0),
IF('TL06'!$B$229=P$3,SUMIF('TL06'!$C$238:$C$451,$C78,'TL06'!$J$238:$J$451),0),
IF('TL07'!$B$3=P$3,SUMIF('TL07'!$C$10:$C$224,$C78,'TL07'!$J$10:$J$224),0),
IF('TL07'!$B$229=P$3,SUMIF('TL07'!$C$238:$C$451,$C78,'TL07'!$J$238:$J$451),0),
IF('TL08'!$B$3=P$3,SUMIF('TL08'!$C$10:$C$224,$C78,'TL08'!$J$10:$J$224),0),
IF('TL08'!$B$229=P$3,SUMIF('TL08'!$C$238:$C$451,$C78,'TL08'!$J$238:$J$451),0),
IF('TL09'!$B$3=P$3,SUMIF('TL09'!$C$10:$C$224,$C78,'TL09'!$J$10:$J$224),0),
IF('TL09'!$B$229=P$3,SUMIF('TL09'!$C$238:$C$451,$C78,'TL09'!$J$238:$J$451),0),
IF('TL10'!$B$3=P$3,SUMIF('TL10'!$C$10:$C$224,$C78,'TL10'!$J$10:$J$224),0),
IF('TL10'!$B$229=P$3,SUMIF('TL10'!$C$238:$C$451,$C78,'TL10'!$J$238:$J$451),0),
IF('TL11'!$B$3=P$3,SUMIF('TL11'!$C$10:$C$224,$C78,'TL11'!$J$10:$J$224),0),
IF('TL11'!$B$229=P$3,SUMIF('TL11'!$C$238:$C$451,$C78,'TL11'!$J$238:$J$451),0),
IF('TL12'!$B$3=P$3,SUMIF('TL12'!$C$10:$C$224,$C78,'TL12'!$J$10:$J$224),0),
IF('TL12'!$B$229=P$3,SUMIF('TL12'!$C$238:$C$451,$C78,'TL12'!$J$238:$J$451),0),
IF('TL13'!$B$3=P$3,SUMIF('TL13'!$C$10:$C$224,$C78,'TL13'!$J$10:$J$224),0),
IF('TL13'!$B$229=P$3,SUMIF('TL13'!$C$238:$C$451,$C78,'TL13'!$J$238:$J$451),0),
IF('TL14'!$B$3=P$3,SUMIF('TL14'!$C$10:$C$224,$C78,'TL14'!$J$10:$J$224),0),
IF('TL14'!$B$229=P$3,SUMIF('TL14'!$C$238:$C$451,$C78,'TL14'!$J$238:$J$451),0),
IF('TL15'!$B$3=P$3,SUMIF('TL15'!$C$10:$C$224,$C78,'TL15'!$J$10:$J$224),0),
IF('TL15'!$B$229=P$3,SUMIF('TL15'!$C$238:$C$451,$C78,'TL15'!$J$238:$J$451),0),
IF('TL16'!$B$3=P$3,SUMIF('TL16'!$C$10:$C$224,$C78,'TL16'!$J$10:$J$224),0),
IF('TL16'!$B$229=P$3,SUMIF('TL16'!$C$238:$C$451,$C78,'TL16'!$J$238:$J$451),0),
IF('TL17'!$B$3=P$3,SUMIF('TL17'!$C$10:$C$224,$C78,'TL17'!$J$10:$J$224),0),
IF('TL17'!$B$229=P$3,SUMIF('TL17'!$C$238:$C$451,$C78,'TL17'!$J$238:$J$451),0),
IF('TL18'!$B$3=P$3,SUMIF('TL18'!$C$10:$C$224,$C78,'TL18'!$J$10:$J$224),0),
IF('TL18'!$B$229=P$3,SUMIF('TL18'!$C$238:$C$451,$C78,'TL18'!$J$238:$J$451),0),
IF('TL19'!$B$3=P$3,SUMIF('TL19'!$C$10:$C$224,$C78,'TL19'!$J$10:$J$224),0),
IF('TL19'!$B$229=P$3,SUMIF('TL19'!$C$238:$C$451,$C78,'TL19'!$J$238:$J$451),0)
),0)</f>
        <v>0</v>
      </c>
      <c r="Q78" s="9">
        <f>IFERROR(SUM(
IF('TL01'!$B$3=Q$3,SUMIF('TL01'!$C$10:$C$224,$C78,'TL01'!$J$10:$J$224),0),
IF('TL01'!$B$229=Q$3,SUMIF('TL01'!$C$238:$C$451,$C78,'TL01'!$J$238:$J$451),0),
IF('TL02'!$B$3=Q$3,SUMIF('TL02'!$C$10:$C$224,$C78,'TL02'!$J$10:$J$224),0),
IF('TL02'!$B$229=Q$3,SUMIF('TL02'!$C$238:$C$451,$C78,'TL02'!$J$238:$J$451),0),
IF('TL03'!$B$3=Q$3,SUMIF('TL03'!$C$10:$C$224,$C78,'TL03'!$J$10:$J$224),0),
IF('TL03'!$B$229=Q$3,SUMIF('TL03'!$C$238:$C$451,$C78,'TL03'!$J$238:$J$451),0),
IF('TL04'!$B$3=Q$3,SUMIF('TL04'!$C$10:$C$224,$C78,'TL04'!$J$10:$J$224),0),
IF('TL04'!$B$229=Q$3,SUMIF('TL04'!$C$238:$C$451,$C78,'TL04'!$J$238:$J$451),0),
IF('TL05'!$B$3=Q$3,SUMIF('TL05'!$C$10:$C$224,$C78,'TL05'!$J$10:$J$224),0),
IF('TL05'!$B$229=Q$3,SUMIF('TL05'!$C$238:$C$451,$C78,'TL05'!$J$238:$J$451),0),
IF('TL06'!$B$3=Q$3,SUMIF('TL06'!$C$10:$C$224,$C78,'TL06'!$J$10:$J$224),0),
IF('TL06'!$B$229=Q$3,SUMIF('TL06'!$C$238:$C$451,$C78,'TL06'!$J$238:$J$451),0),
IF('TL07'!$B$3=Q$3,SUMIF('TL07'!$C$10:$C$224,$C78,'TL07'!$J$10:$J$224),0),
IF('TL07'!$B$229=Q$3,SUMIF('TL07'!$C$238:$C$451,$C78,'TL07'!$J$238:$J$451),0),
IF('TL08'!$B$3=Q$3,SUMIF('TL08'!$C$10:$C$224,$C78,'TL08'!$J$10:$J$224),0),
IF('TL08'!$B$229=Q$3,SUMIF('TL08'!$C$238:$C$451,$C78,'TL08'!$J$238:$J$451),0),
IF('TL09'!$B$3=Q$3,SUMIF('TL09'!$C$10:$C$224,$C78,'TL09'!$J$10:$J$224),0),
IF('TL09'!$B$229=Q$3,SUMIF('TL09'!$C$238:$C$451,$C78,'TL09'!$J$238:$J$451),0),
IF('TL10'!$B$3=Q$3,SUMIF('TL10'!$C$10:$C$224,$C78,'TL10'!$J$10:$J$224),0),
IF('TL10'!$B$229=Q$3,SUMIF('TL10'!$C$238:$C$451,$C78,'TL10'!$J$238:$J$451),0),
IF('TL11'!$B$3=Q$3,SUMIF('TL11'!$C$10:$C$224,$C78,'TL11'!$J$10:$J$224),0),
IF('TL11'!$B$229=Q$3,SUMIF('TL11'!$C$238:$C$451,$C78,'TL11'!$J$238:$J$451),0),
IF('TL12'!$B$3=Q$3,SUMIF('TL12'!$C$10:$C$224,$C78,'TL12'!$J$10:$J$224),0),
IF('TL12'!$B$229=Q$3,SUMIF('TL12'!$C$238:$C$451,$C78,'TL12'!$J$238:$J$451),0),
IF('TL13'!$B$3=Q$3,SUMIF('TL13'!$C$10:$C$224,$C78,'TL13'!$J$10:$J$224),0),
IF('TL13'!$B$229=Q$3,SUMIF('TL13'!$C$238:$C$451,$C78,'TL13'!$J$238:$J$451),0),
IF('TL14'!$B$3=Q$3,SUMIF('TL14'!$C$10:$C$224,$C78,'TL14'!$J$10:$J$224),0),
IF('TL14'!$B$229=Q$3,SUMIF('TL14'!$C$238:$C$451,$C78,'TL14'!$J$238:$J$451),0),
IF('TL15'!$B$3=Q$3,SUMIF('TL15'!$C$10:$C$224,$C78,'TL15'!$J$10:$J$224),0),
IF('TL15'!$B$229=Q$3,SUMIF('TL15'!$C$238:$C$451,$C78,'TL15'!$J$238:$J$451),0),
IF('TL16'!$B$3=Q$3,SUMIF('TL16'!$C$10:$C$224,$C78,'TL16'!$J$10:$J$224),0),
IF('TL16'!$B$229=Q$3,SUMIF('TL16'!$C$238:$C$451,$C78,'TL16'!$J$238:$J$451),0),
IF('TL17'!$B$3=Q$3,SUMIF('TL17'!$C$10:$C$224,$C78,'TL17'!$J$10:$J$224),0),
IF('TL17'!$B$229=Q$3,SUMIF('TL17'!$C$238:$C$451,$C78,'TL17'!$J$238:$J$451),0),
IF('TL18'!$B$3=Q$3,SUMIF('TL18'!$C$10:$C$224,$C78,'TL18'!$J$10:$J$224),0),
IF('TL18'!$B$229=Q$3,SUMIF('TL18'!$C$238:$C$451,$C78,'TL18'!$J$238:$J$451),0),
IF('TL19'!$B$3=Q$3,SUMIF('TL19'!$C$10:$C$224,$C78,'TL19'!$J$10:$J$224),0),
IF('TL19'!$B$229=Q$3,SUMIF('TL19'!$C$238:$C$451,$C78,'TL19'!$J$238:$J$451),0)
),0)</f>
        <v>0</v>
      </c>
      <c r="R78" s="9">
        <f>IFERROR(
SUM(
SUMIF('TL01'!C:C,C78,'TL01'!J:J),
SUMIF('TL02'!C:C,C78,'TL02'!J:J),
SUMIF('TL03'!C:C,C78,'TL03'!J:J),
SUMIF('TL04'!C:C,C78,'TL04'!J:J),
SUMIF('TL05'!C:C,C78,'TL05'!J:J),
SUMIF('TL06'!C:C,C78,'TL06'!J:J),
SUMIF('TL07'!C:C,C78,'TL07'!J:J),
SUMIF('TL08'!C:C,C78,'TL08'!J:J),
SUMIF('TL09'!C:C,C78,'TL09'!J:J),
SUMIF('TL10'!C:C,C78,'TL10'!J:J),
SUMIF('TL11'!C:C,C78,'TL11'!J:J),
SUMIF('TL12'!C:C,C78,'TL12'!J:J),
SUMIF('TL13'!C:C,C78,'TL13'!J:J),
SUMIF('TL14'!C:C,C78,'TL14'!J:J),
SUMIF('TL15'!C:C,C78,'TL15'!J:J),
SUMIF('TL16'!C:C,C78,'TL16'!J:J),
SUMIF('TL17'!C:C,C78,'TL17'!J:J),
SUMIF('TL18'!C:C,C78,'TL18'!J:J),SUMIF('TL19'!C:C,C78,'TL19'!J:J))
,0)</f>
        <v>0</v>
      </c>
      <c r="S78" s="17">
        <f>IFERROR(__xludf.DUMMYFUNCTION("IFERROR(VLOOKUP(C78,
IMPORTRANGE(""1wULbzX32WdYsx-lj2U3uUNBBe2INVIRDtcK0d-Dvl90"",
""26-27!C:G""),
5,
FALSE),
"""")"),36.8856)</f>
        <v>36.8856</v>
      </c>
      <c r="T78" s="9"/>
      <c r="U78" s="92">
        <f t="shared" si="2"/>
        <v>0</v>
      </c>
      <c r="V78" s="93">
        <f t="shared" si="3"/>
        <v>0</v>
      </c>
    </row>
    <row r="79" ht="15.75" hidden="1" customHeight="1">
      <c r="A79" s="111" t="s">
        <v>534</v>
      </c>
      <c r="B79" s="112" t="s">
        <v>0</v>
      </c>
      <c r="C79" s="113" t="s">
        <v>539</v>
      </c>
      <c r="D79" s="113" t="s">
        <v>540</v>
      </c>
      <c r="E79" s="113" t="s">
        <v>541</v>
      </c>
      <c r="F79" s="4" t="s">
        <v>343</v>
      </c>
      <c r="G79" s="90" t="str">
        <f t="shared" si="4"/>
        <v>📄 Ver bula</v>
      </c>
      <c r="H79" s="9">
        <f>IFERROR(__xludf.DUMMYFUNCTION("IFERROR(VLOOKUP(C79,
IMPORTRANGE(""1wULbzX32WdYsx-lj2U3uUNBBe2INVIRDtcK0d-Dvl90"",
""26-27!C:K""),
8,
FALSE),
"""")"),2.0)</f>
        <v>2</v>
      </c>
      <c r="I79" s="114" t="s">
        <v>542</v>
      </c>
      <c r="J79" s="9">
        <f>IFERROR(SUM(
IF('TL01'!$B$3=J$3,SUMIF('TL01'!$C$10:$C$224,$C79,'TL01'!$J$10:$J$224),0),
IF('TL01'!$B$229=J$3,SUMIF('TL01'!$C$238:$C$451,$C79,'TL01'!$J$238:$J$451),0),
IF('TL02'!$B$3=J$3,SUMIF('TL02'!$C$10:$C$224,$C79,'TL02'!$J$10:$J$224),0),
IF('TL02'!$B$229=J$3,SUMIF('TL02'!$C$238:$C$451,$C79,'TL02'!$J$238:$J$451),0),
IF('TL03'!$B$3=J$3,SUMIF('TL03'!$C$10:$C$224,$C79,'TL03'!$J$10:$J$224),0),
IF('TL03'!$B$229=J$3,SUMIF('TL03'!$C$238:$C$451,$C79,'TL03'!$J$238:$J$451),0),
IF('TL04'!$B$3=J$3,SUMIF('TL04'!$C$10:$C$224,$C79,'TL04'!$J$10:$J$224),0),
IF('TL04'!$B$229=J$3,SUMIF('TL04'!$C$238:$C$451,$C79,'TL04'!$J$238:$J$451),0),
IF('TL05'!$B$3=J$3,SUMIF('TL05'!$C$10:$C$224,$C79,'TL05'!$J$10:$J$224),0),
IF('TL05'!$B$229=J$3,SUMIF('TL05'!$C$238:$C$451,$C79,'TL05'!$J$238:$J$451),0),
IF('TL06'!$B$3=J$3,SUMIF('TL06'!$C$10:$C$224,$C79,'TL06'!$J$10:$J$224),0),
IF('TL06'!$B$229=J$3,SUMIF('TL06'!$C$238:$C$451,$C79,'TL06'!$J$238:$J$451),0),
IF('TL07'!$B$3=J$3,SUMIF('TL07'!$C$10:$C$224,$C79,'TL07'!$J$10:$J$224),0),
IF('TL07'!$B$229=J$3,SUMIF('TL07'!$C$238:$C$451,$C79,'TL07'!$J$238:$J$451),0),
IF('TL08'!$B$3=J$3,SUMIF('TL08'!$C$10:$C$224,$C79,'TL08'!$J$10:$J$224),0),
IF('TL08'!$B$229=J$3,SUMIF('TL08'!$C$238:$C$451,$C79,'TL08'!$J$238:$J$451),0),
IF('TL09'!$B$3=J$3,SUMIF('TL09'!$C$10:$C$224,$C79,'TL09'!$J$10:$J$224),0),
IF('TL09'!$B$229=J$3,SUMIF('TL09'!$C$238:$C$451,$C79,'TL09'!$J$238:$J$451),0),
IF('TL10'!$B$3=J$3,SUMIF('TL10'!$C$10:$C$224,$C79,'TL10'!$J$10:$J$224),0),
IF('TL10'!$B$229=J$3,SUMIF('TL10'!$C$238:$C$451,$C79,'TL10'!$J$238:$J$451),0),
IF('TL11'!$B$3=J$3,SUMIF('TL11'!$C$10:$C$224,$C79,'TL11'!$J$10:$J$224),0),
IF('TL11'!$B$229=J$3,SUMIF('TL11'!$C$238:$C$451,$C79,'TL11'!$J$238:$J$451),0),
IF('TL12'!$B$3=J$3,SUMIF('TL12'!$C$10:$C$224,$C79,'TL12'!$J$10:$J$224),0),
IF('TL12'!$B$229=J$3,SUMIF('TL12'!$C$238:$C$451,$C79,'TL12'!$J$238:$J$451),0),
IF('TL13'!$B$3=J$3,SUMIF('TL13'!$C$10:$C$224,$C79,'TL13'!$J$10:$J$224),0),
IF('TL13'!$B$229=J$3,SUMIF('TL13'!$C$238:$C$451,$C79,'TL13'!$J$238:$J$451),0),
IF('TL14'!$B$3=J$3,SUMIF('TL14'!$C$10:$C$224,$C79,'TL14'!$J$10:$J$224),0),
IF('TL14'!$B$229=J$3,SUMIF('TL14'!$C$238:$C$451,$C79,'TL14'!$J$238:$J$451),0),
IF('TL15'!$B$3=J$3,SUMIF('TL15'!$C$10:$C$224,$C79,'TL15'!$J$10:$J$224),0),
IF('TL15'!$B$229=J$3,SUMIF('TL15'!$C$238:$C$451,$C79,'TL15'!$J$238:$J$451),0),
IF('TL16'!$B$3=J$3,SUMIF('TL16'!$C$10:$C$224,$C79,'TL16'!$J$10:$J$224),0),
IF('TL16'!$B$229=J$3,SUMIF('TL16'!$C$238:$C$451,$C79,'TL16'!$J$238:$J$451),0),
IF('TL17'!$B$3=J$3,SUMIF('TL17'!$C$10:$C$224,$C79,'TL17'!$J$10:$J$224),0),
IF('TL17'!$B$229=J$3,SUMIF('TL17'!$C$238:$C$451,$C79,'TL17'!$J$238:$J$451),0),
IF('TL18'!$B$3=J$3,SUMIF('TL18'!$C$10:$C$224,$C79,'TL18'!$J$10:$J$224),0),
IF('TL18'!$B$229=J$3,SUMIF('TL18'!$C$238:$C$451,$C79,'TL18'!$J$238:$J$451),0),
IF('TL19'!$B$3=J$3,SUMIF('TL19'!$C$10:$C$224,$C79,'TL19'!$J$10:$J$224),0),
IF('TL19'!$B$229=J$3,SUMIF('TL19'!$C$238:$C$451,$C79,'TL19'!$J$238:$J$451),0)
),0)</f>
        <v>0</v>
      </c>
      <c r="K79" s="9">
        <f>IFERROR(SUM(
IF('TL01'!$B$3=K$3,SUMIF('TL01'!$C$10:$C$224,$C79,'TL01'!$J$10:$J$224),0),
IF('TL01'!$B$229=K$3,SUMIF('TL01'!$C$238:$C$451,$C79,'TL01'!$J$238:$J$451),0),
IF('TL02'!$B$3=K$3,SUMIF('TL02'!$C$10:$C$224,$C79,'TL02'!$J$10:$J$224),0),
IF('TL02'!$B$229=K$3,SUMIF('TL02'!$C$238:$C$451,$C79,'TL02'!$J$238:$J$451),0),
IF('TL03'!$B$3=K$3,SUMIF('TL03'!$C$10:$C$224,$C79,'TL03'!$J$10:$J$224),0),
IF('TL03'!$B$229=K$3,SUMIF('TL03'!$C$238:$C$451,$C79,'TL03'!$J$238:$J$451),0),
IF('TL04'!$B$3=K$3,SUMIF('TL04'!$C$10:$C$224,$C79,'TL04'!$J$10:$J$224),0),
IF('TL04'!$B$229=K$3,SUMIF('TL04'!$C$238:$C$451,$C79,'TL04'!$J$238:$J$451),0),
IF('TL05'!$B$3=K$3,SUMIF('TL05'!$C$10:$C$224,$C79,'TL05'!$J$10:$J$224),0),
IF('TL05'!$B$229=K$3,SUMIF('TL05'!$C$238:$C$451,$C79,'TL05'!$J$238:$J$451),0),
IF('TL06'!$B$3=K$3,SUMIF('TL06'!$C$10:$C$224,$C79,'TL06'!$J$10:$J$224),0),
IF('TL06'!$B$229=K$3,SUMIF('TL06'!$C$238:$C$451,$C79,'TL06'!$J$238:$J$451),0),
IF('TL07'!$B$3=K$3,SUMIF('TL07'!$C$10:$C$224,$C79,'TL07'!$J$10:$J$224),0),
IF('TL07'!$B$229=K$3,SUMIF('TL07'!$C$238:$C$451,$C79,'TL07'!$J$238:$J$451),0),
IF('TL08'!$B$3=K$3,SUMIF('TL08'!$C$10:$C$224,$C79,'TL08'!$J$10:$J$224),0),
IF('TL08'!$B$229=K$3,SUMIF('TL08'!$C$238:$C$451,$C79,'TL08'!$J$238:$J$451),0),
IF('TL09'!$B$3=K$3,SUMIF('TL09'!$C$10:$C$224,$C79,'TL09'!$J$10:$J$224),0),
IF('TL09'!$B$229=K$3,SUMIF('TL09'!$C$238:$C$451,$C79,'TL09'!$J$238:$J$451),0),
IF('TL10'!$B$3=K$3,SUMIF('TL10'!$C$10:$C$224,$C79,'TL10'!$J$10:$J$224),0),
IF('TL10'!$B$229=K$3,SUMIF('TL10'!$C$238:$C$451,$C79,'TL10'!$J$238:$J$451),0),
IF('TL11'!$B$3=K$3,SUMIF('TL11'!$C$10:$C$224,$C79,'TL11'!$J$10:$J$224),0),
IF('TL11'!$B$229=K$3,SUMIF('TL11'!$C$238:$C$451,$C79,'TL11'!$J$238:$J$451),0),
IF('TL12'!$B$3=K$3,SUMIF('TL12'!$C$10:$C$224,$C79,'TL12'!$J$10:$J$224),0),
IF('TL12'!$B$229=K$3,SUMIF('TL12'!$C$238:$C$451,$C79,'TL12'!$J$238:$J$451),0),
IF('TL13'!$B$3=K$3,SUMIF('TL13'!$C$10:$C$224,$C79,'TL13'!$J$10:$J$224),0),
IF('TL13'!$B$229=K$3,SUMIF('TL13'!$C$238:$C$451,$C79,'TL13'!$J$238:$J$451),0),
IF('TL14'!$B$3=K$3,SUMIF('TL14'!$C$10:$C$224,$C79,'TL14'!$J$10:$J$224),0),
IF('TL14'!$B$229=K$3,SUMIF('TL14'!$C$238:$C$451,$C79,'TL14'!$J$238:$J$451),0),
IF('TL15'!$B$3=K$3,SUMIF('TL15'!$C$10:$C$224,$C79,'TL15'!$J$10:$J$224),0),
IF('TL15'!$B$229=K$3,SUMIF('TL15'!$C$238:$C$451,$C79,'TL15'!$J$238:$J$451),0),
IF('TL16'!$B$3=K$3,SUMIF('TL16'!$C$10:$C$224,$C79,'TL16'!$J$10:$J$224),0),
IF('TL16'!$B$229=K$3,SUMIF('TL16'!$C$238:$C$451,$C79,'TL16'!$J$238:$J$451),0),
IF('TL17'!$B$3=K$3,SUMIF('TL17'!$C$10:$C$224,$C79,'TL17'!$J$10:$J$224),0),
IF('TL17'!$B$229=K$3,SUMIF('TL17'!$C$238:$C$451,$C79,'TL17'!$J$238:$J$451),0),
IF('TL18'!$B$3=K$3,SUMIF('TL18'!$C$10:$C$224,$C79,'TL18'!$J$10:$J$224),0),
IF('TL18'!$B$229=K$3,SUMIF('TL18'!$C$238:$C$451,$C79,'TL18'!$J$238:$J$451),0),
IF('TL19'!$B$3=K$3,SUMIF('TL19'!$C$10:$C$224,$C79,'TL19'!$J$10:$J$224),0),
IF('TL19'!$B$229=K$3,SUMIF('TL19'!$C$238:$C$451,$C79,'TL19'!$J$238:$J$451),0)
),0)</f>
        <v>0</v>
      </c>
      <c r="L79" s="9">
        <f>IFERROR(SUM(
IF('TL01'!$B$3=L$3,SUMIF('TL01'!$C$10:$C$224,$C79,'TL01'!$J$10:$J$224),0),
IF('TL01'!$B$229=L$3,SUMIF('TL01'!$C$238:$C$451,$C79,'TL01'!$J$238:$J$451),0),
IF('TL02'!$B$3=L$3,SUMIF('TL02'!$C$10:$C$224,$C79,'TL02'!$J$10:$J$224),0),
IF('TL02'!$B$229=L$3,SUMIF('TL02'!$C$238:$C$451,$C79,'TL02'!$J$238:$J$451),0),
IF('TL03'!$B$3=L$3,SUMIF('TL03'!$C$10:$C$224,$C79,'TL03'!$J$10:$J$224),0),
IF('TL03'!$B$229=L$3,SUMIF('TL03'!$C$238:$C$451,$C79,'TL03'!$J$238:$J$451),0),
IF('TL04'!$B$3=L$3,SUMIF('TL04'!$C$10:$C$224,$C79,'TL04'!$J$10:$J$224),0),
IF('TL04'!$B$229=L$3,SUMIF('TL04'!$C$238:$C$451,$C79,'TL04'!$J$238:$J$451),0),
IF('TL05'!$B$3=L$3,SUMIF('TL05'!$C$10:$C$224,$C79,'TL05'!$J$10:$J$224),0),
IF('TL05'!$B$229=L$3,SUMIF('TL05'!$C$238:$C$451,$C79,'TL05'!$J$238:$J$451),0),
IF('TL06'!$B$3=L$3,SUMIF('TL06'!$C$10:$C$224,$C79,'TL06'!$J$10:$J$224),0),
IF('TL06'!$B$229=L$3,SUMIF('TL06'!$C$238:$C$451,$C79,'TL06'!$J$238:$J$451),0),
IF('TL07'!$B$3=L$3,SUMIF('TL07'!$C$10:$C$224,$C79,'TL07'!$J$10:$J$224),0),
IF('TL07'!$B$229=L$3,SUMIF('TL07'!$C$238:$C$451,$C79,'TL07'!$J$238:$J$451),0),
IF('TL08'!$B$3=L$3,SUMIF('TL08'!$C$10:$C$224,$C79,'TL08'!$J$10:$J$224),0),
IF('TL08'!$B$229=L$3,SUMIF('TL08'!$C$238:$C$451,$C79,'TL08'!$J$238:$J$451),0),
IF('TL09'!$B$3=L$3,SUMIF('TL09'!$C$10:$C$224,$C79,'TL09'!$J$10:$J$224),0),
IF('TL09'!$B$229=L$3,SUMIF('TL09'!$C$238:$C$451,$C79,'TL09'!$J$238:$J$451),0),
IF('TL10'!$B$3=L$3,SUMIF('TL10'!$C$10:$C$224,$C79,'TL10'!$J$10:$J$224),0),
IF('TL10'!$B$229=L$3,SUMIF('TL10'!$C$238:$C$451,$C79,'TL10'!$J$238:$J$451),0),
IF('TL11'!$B$3=L$3,SUMIF('TL11'!$C$10:$C$224,$C79,'TL11'!$J$10:$J$224),0),
IF('TL11'!$B$229=L$3,SUMIF('TL11'!$C$238:$C$451,$C79,'TL11'!$J$238:$J$451),0),
IF('TL12'!$B$3=L$3,SUMIF('TL12'!$C$10:$C$224,$C79,'TL12'!$J$10:$J$224),0),
IF('TL12'!$B$229=L$3,SUMIF('TL12'!$C$238:$C$451,$C79,'TL12'!$J$238:$J$451),0),
IF('TL13'!$B$3=L$3,SUMIF('TL13'!$C$10:$C$224,$C79,'TL13'!$J$10:$J$224),0),
IF('TL13'!$B$229=L$3,SUMIF('TL13'!$C$238:$C$451,$C79,'TL13'!$J$238:$J$451),0),
IF('TL14'!$B$3=L$3,SUMIF('TL14'!$C$10:$C$224,$C79,'TL14'!$J$10:$J$224),0),
IF('TL14'!$B$229=L$3,SUMIF('TL14'!$C$238:$C$451,$C79,'TL14'!$J$238:$J$451),0),
IF('TL15'!$B$3=L$3,SUMIF('TL15'!$C$10:$C$224,$C79,'TL15'!$J$10:$J$224),0),
IF('TL15'!$B$229=L$3,SUMIF('TL15'!$C$238:$C$451,$C79,'TL15'!$J$238:$J$451),0),
IF('TL16'!$B$3=L$3,SUMIF('TL16'!$C$10:$C$224,$C79,'TL16'!$J$10:$J$224),0),
IF('TL16'!$B$229=L$3,SUMIF('TL16'!$C$238:$C$451,$C79,'TL16'!$J$238:$J$451),0),
IF('TL17'!$B$3=L$3,SUMIF('TL17'!$C$10:$C$224,$C79,'TL17'!$J$10:$J$224),0),
IF('TL17'!$B$229=L$3,SUMIF('TL17'!$C$238:$C$451,$C79,'TL17'!$J$238:$J$451),0),
IF('TL18'!$B$3=L$3,SUMIF('TL18'!$C$10:$C$224,$C79,'TL18'!$J$10:$J$224),0),
IF('TL18'!$B$229=L$3,SUMIF('TL18'!$C$238:$C$451,$C79,'TL18'!$J$238:$J$451),0),
IF('TL19'!$B$3=L$3,SUMIF('TL19'!$C$10:$C$224,$C79,'TL19'!$J$10:$J$224),0),
IF('TL19'!$B$229=L$3,SUMIF('TL19'!$C$238:$C$451,$C79,'TL19'!$J$238:$J$451),0)
),0)</f>
        <v>0</v>
      </c>
      <c r="M79" s="9">
        <f>IFERROR(SUM(
IF('TL01'!$B$3=M$3,SUMIF('TL01'!$C$10:$C$224,$C79,'TL01'!$J$10:$J$224),0),
IF('TL01'!$B$229=M$3,SUMIF('TL01'!$C$238:$C$451,$C79,'TL01'!$J$238:$J$451),0),
IF('TL02'!$B$3=M$3,SUMIF('TL02'!$C$10:$C$224,$C79,'TL02'!$J$10:$J$224),0),
IF('TL02'!$B$229=M$3,SUMIF('TL02'!$C$238:$C$451,$C79,'TL02'!$J$238:$J$451),0),
IF('TL03'!$B$3=M$3,SUMIF('TL03'!$C$10:$C$224,$C79,'TL03'!$J$10:$J$224),0),
IF('TL03'!$B$229=M$3,SUMIF('TL03'!$C$238:$C$451,$C79,'TL03'!$J$238:$J$451),0),
IF('TL04'!$B$3=M$3,SUMIF('TL04'!$C$10:$C$224,$C79,'TL04'!$J$10:$J$224),0),
IF('TL04'!$B$229=M$3,SUMIF('TL04'!$C$238:$C$451,$C79,'TL04'!$J$238:$J$451),0),
IF('TL05'!$B$3=M$3,SUMIF('TL05'!$C$10:$C$224,$C79,'TL05'!$J$10:$J$224),0),
IF('TL05'!$B$229=M$3,SUMIF('TL05'!$C$238:$C$451,$C79,'TL05'!$J$238:$J$451),0),
IF('TL06'!$B$3=M$3,SUMIF('TL06'!$C$10:$C$224,$C79,'TL06'!$J$10:$J$224),0),
IF('TL06'!$B$229=M$3,SUMIF('TL06'!$C$238:$C$451,$C79,'TL06'!$J$238:$J$451),0),
IF('TL07'!$B$3=M$3,SUMIF('TL07'!$C$10:$C$224,$C79,'TL07'!$J$10:$J$224),0),
IF('TL07'!$B$229=M$3,SUMIF('TL07'!$C$238:$C$451,$C79,'TL07'!$J$238:$J$451),0),
IF('TL08'!$B$3=M$3,SUMIF('TL08'!$C$10:$C$224,$C79,'TL08'!$J$10:$J$224),0),
IF('TL08'!$B$229=M$3,SUMIF('TL08'!$C$238:$C$451,$C79,'TL08'!$J$238:$J$451),0),
IF('TL09'!$B$3=M$3,SUMIF('TL09'!$C$10:$C$224,$C79,'TL09'!$J$10:$J$224),0),
IF('TL09'!$B$229=M$3,SUMIF('TL09'!$C$238:$C$451,$C79,'TL09'!$J$238:$J$451),0),
IF('TL10'!$B$3=M$3,SUMIF('TL10'!$C$10:$C$224,$C79,'TL10'!$J$10:$J$224),0),
IF('TL10'!$B$229=M$3,SUMIF('TL10'!$C$238:$C$451,$C79,'TL10'!$J$238:$J$451),0),
IF('TL11'!$B$3=M$3,SUMIF('TL11'!$C$10:$C$224,$C79,'TL11'!$J$10:$J$224),0),
IF('TL11'!$B$229=M$3,SUMIF('TL11'!$C$238:$C$451,$C79,'TL11'!$J$238:$J$451),0),
IF('TL12'!$B$3=M$3,SUMIF('TL12'!$C$10:$C$224,$C79,'TL12'!$J$10:$J$224),0),
IF('TL12'!$B$229=M$3,SUMIF('TL12'!$C$238:$C$451,$C79,'TL12'!$J$238:$J$451),0),
IF('TL13'!$B$3=M$3,SUMIF('TL13'!$C$10:$C$224,$C79,'TL13'!$J$10:$J$224),0),
IF('TL13'!$B$229=M$3,SUMIF('TL13'!$C$238:$C$451,$C79,'TL13'!$J$238:$J$451),0),
IF('TL14'!$B$3=M$3,SUMIF('TL14'!$C$10:$C$224,$C79,'TL14'!$J$10:$J$224),0),
IF('TL14'!$B$229=M$3,SUMIF('TL14'!$C$238:$C$451,$C79,'TL14'!$J$238:$J$451),0),
IF('TL15'!$B$3=M$3,SUMIF('TL15'!$C$10:$C$224,$C79,'TL15'!$J$10:$J$224),0),
IF('TL15'!$B$229=M$3,SUMIF('TL15'!$C$238:$C$451,$C79,'TL15'!$J$238:$J$451),0),
IF('TL16'!$B$3=M$3,SUMIF('TL16'!$C$10:$C$224,$C79,'TL16'!$J$10:$J$224),0),
IF('TL16'!$B$229=M$3,SUMIF('TL16'!$C$238:$C$451,$C79,'TL16'!$J$238:$J$451),0),
IF('TL17'!$B$3=M$3,SUMIF('TL17'!$C$10:$C$224,$C79,'TL17'!$J$10:$J$224),0),
IF('TL17'!$B$229=M$3,SUMIF('TL17'!$C$238:$C$451,$C79,'TL17'!$J$238:$J$451),0),
IF('TL18'!$B$3=M$3,SUMIF('TL18'!$C$10:$C$224,$C79,'TL18'!$J$10:$J$224),0),
IF('TL18'!$B$229=M$3,SUMIF('TL18'!$C$238:$C$451,$C79,'TL18'!$J$238:$J$451),0),
IF('TL19'!$B$3=M$3,SUMIF('TL19'!$C$10:$C$224,$C79,'TL19'!$J$10:$J$224),0),
IF('TL19'!$B$229=M$3,SUMIF('TL19'!$C$238:$C$451,$C79,'TL19'!$J$238:$J$451),0)
),0)</f>
        <v>0</v>
      </c>
      <c r="N79" s="9">
        <f>IFERROR(SUM(
IF('TL01'!$B$3=N$3,SUMIF('TL01'!$C$10:$C$224,$C79,'TL01'!$J$10:$J$224),0),
IF('TL01'!$B$229=N$3,SUMIF('TL01'!$C$238:$C$451,$C79,'TL01'!$J$238:$J$451),0),
IF('TL02'!$B$3=N$3,SUMIF('TL02'!$C$10:$C$224,$C79,'TL02'!$J$10:$J$224),0),
IF('TL02'!$B$229=N$3,SUMIF('TL02'!$C$238:$C$451,$C79,'TL02'!$J$238:$J$451),0),
IF('TL03'!$B$3=N$3,SUMIF('TL03'!$C$10:$C$224,$C79,'TL03'!$J$10:$J$224),0),
IF('TL03'!$B$229=N$3,SUMIF('TL03'!$C$238:$C$451,$C79,'TL03'!$J$238:$J$451),0),
IF('TL04'!$B$3=N$3,SUMIF('TL04'!$C$10:$C$224,$C79,'TL04'!$J$10:$J$224),0),
IF('TL04'!$B$229=N$3,SUMIF('TL04'!$C$238:$C$451,$C79,'TL04'!$J$238:$J$451),0),
IF('TL05'!$B$3=N$3,SUMIF('TL05'!$C$10:$C$224,$C79,'TL05'!$J$10:$J$224),0),
IF('TL05'!$B$229=N$3,SUMIF('TL05'!$C$238:$C$451,$C79,'TL05'!$J$238:$J$451),0),
IF('TL06'!$B$3=N$3,SUMIF('TL06'!$C$10:$C$224,$C79,'TL06'!$J$10:$J$224),0),
IF('TL06'!$B$229=N$3,SUMIF('TL06'!$C$238:$C$451,$C79,'TL06'!$J$238:$J$451),0),
IF('TL07'!$B$3=N$3,SUMIF('TL07'!$C$10:$C$224,$C79,'TL07'!$J$10:$J$224),0),
IF('TL07'!$B$229=N$3,SUMIF('TL07'!$C$238:$C$451,$C79,'TL07'!$J$238:$J$451),0),
IF('TL08'!$B$3=N$3,SUMIF('TL08'!$C$10:$C$224,$C79,'TL08'!$J$10:$J$224),0),
IF('TL08'!$B$229=N$3,SUMIF('TL08'!$C$238:$C$451,$C79,'TL08'!$J$238:$J$451),0),
IF('TL09'!$B$3=N$3,SUMIF('TL09'!$C$10:$C$224,$C79,'TL09'!$J$10:$J$224),0),
IF('TL09'!$B$229=N$3,SUMIF('TL09'!$C$238:$C$451,$C79,'TL09'!$J$238:$J$451),0),
IF('TL10'!$B$3=N$3,SUMIF('TL10'!$C$10:$C$224,$C79,'TL10'!$J$10:$J$224),0),
IF('TL10'!$B$229=N$3,SUMIF('TL10'!$C$238:$C$451,$C79,'TL10'!$J$238:$J$451),0),
IF('TL11'!$B$3=N$3,SUMIF('TL11'!$C$10:$C$224,$C79,'TL11'!$J$10:$J$224),0),
IF('TL11'!$B$229=N$3,SUMIF('TL11'!$C$238:$C$451,$C79,'TL11'!$J$238:$J$451),0),
IF('TL12'!$B$3=N$3,SUMIF('TL12'!$C$10:$C$224,$C79,'TL12'!$J$10:$J$224),0),
IF('TL12'!$B$229=N$3,SUMIF('TL12'!$C$238:$C$451,$C79,'TL12'!$J$238:$J$451),0),
IF('TL13'!$B$3=N$3,SUMIF('TL13'!$C$10:$C$224,$C79,'TL13'!$J$10:$J$224),0),
IF('TL13'!$B$229=N$3,SUMIF('TL13'!$C$238:$C$451,$C79,'TL13'!$J$238:$J$451),0),
IF('TL14'!$B$3=N$3,SUMIF('TL14'!$C$10:$C$224,$C79,'TL14'!$J$10:$J$224),0),
IF('TL14'!$B$229=N$3,SUMIF('TL14'!$C$238:$C$451,$C79,'TL14'!$J$238:$J$451),0),
IF('TL15'!$B$3=N$3,SUMIF('TL15'!$C$10:$C$224,$C79,'TL15'!$J$10:$J$224),0),
IF('TL15'!$B$229=N$3,SUMIF('TL15'!$C$238:$C$451,$C79,'TL15'!$J$238:$J$451),0),
IF('TL16'!$B$3=N$3,SUMIF('TL16'!$C$10:$C$224,$C79,'TL16'!$J$10:$J$224),0),
IF('TL16'!$B$229=N$3,SUMIF('TL16'!$C$238:$C$451,$C79,'TL16'!$J$238:$J$451),0),
IF('TL17'!$B$3=N$3,SUMIF('TL17'!$C$10:$C$224,$C79,'TL17'!$J$10:$J$224),0),
IF('TL17'!$B$229=N$3,SUMIF('TL17'!$C$238:$C$451,$C79,'TL17'!$J$238:$J$451),0),
IF('TL18'!$B$3=N$3,SUMIF('TL18'!$C$10:$C$224,$C79,'TL18'!$J$10:$J$224),0),
IF('TL18'!$B$229=N$3,SUMIF('TL18'!$C$238:$C$451,$C79,'TL18'!$J$238:$J$451),0),
IF('TL19'!$B$3=N$3,SUMIF('TL19'!$C$10:$C$224,$C79,'TL19'!$J$10:$J$224),0),
IF('TL19'!$B$229=N$3,SUMIF('TL19'!$C$238:$C$451,$C79,'TL19'!$J$238:$J$451),0)
),0)</f>
        <v>0</v>
      </c>
      <c r="O79" s="9">
        <f>IFERROR(SUM(
IF('TL01'!$B$3=O$3,SUMIF('TL01'!$C$10:$C$224,$C79,'TL01'!$J$10:$J$224),0),
IF('TL01'!$B$229=O$3,SUMIF('TL01'!$C$238:$C$451,$C79,'TL01'!$J$238:$J$451),0),
IF('TL02'!$B$3=O$3,SUMIF('TL02'!$C$10:$C$224,$C79,'TL02'!$J$10:$J$224),0),
IF('TL02'!$B$229=O$3,SUMIF('TL02'!$C$238:$C$451,$C79,'TL02'!$J$238:$J$451),0),
IF('TL03'!$B$3=O$3,SUMIF('TL03'!$C$10:$C$224,$C79,'TL03'!$J$10:$J$224),0),
IF('TL03'!$B$229=O$3,SUMIF('TL03'!$C$238:$C$451,$C79,'TL03'!$J$238:$J$451),0),
IF('TL04'!$B$3=O$3,SUMIF('TL04'!$C$10:$C$224,$C79,'TL04'!$J$10:$J$224),0),
IF('TL04'!$B$229=O$3,SUMIF('TL04'!$C$238:$C$451,$C79,'TL04'!$J$238:$J$451),0),
IF('TL05'!$B$3=O$3,SUMIF('TL05'!$C$10:$C$224,$C79,'TL05'!$J$10:$J$224),0),
IF('TL05'!$B$229=O$3,SUMIF('TL05'!$C$238:$C$451,$C79,'TL05'!$J$238:$J$451),0),
IF('TL06'!$B$3=O$3,SUMIF('TL06'!$C$10:$C$224,$C79,'TL06'!$J$10:$J$224),0),
IF('TL06'!$B$229=O$3,SUMIF('TL06'!$C$238:$C$451,$C79,'TL06'!$J$238:$J$451),0),
IF('TL07'!$B$3=O$3,SUMIF('TL07'!$C$10:$C$224,$C79,'TL07'!$J$10:$J$224),0),
IF('TL07'!$B$229=O$3,SUMIF('TL07'!$C$238:$C$451,$C79,'TL07'!$J$238:$J$451),0),
IF('TL08'!$B$3=O$3,SUMIF('TL08'!$C$10:$C$224,$C79,'TL08'!$J$10:$J$224),0),
IF('TL08'!$B$229=O$3,SUMIF('TL08'!$C$238:$C$451,$C79,'TL08'!$J$238:$J$451),0),
IF('TL09'!$B$3=O$3,SUMIF('TL09'!$C$10:$C$224,$C79,'TL09'!$J$10:$J$224),0),
IF('TL09'!$B$229=O$3,SUMIF('TL09'!$C$238:$C$451,$C79,'TL09'!$J$238:$J$451),0),
IF('TL10'!$B$3=O$3,SUMIF('TL10'!$C$10:$C$224,$C79,'TL10'!$J$10:$J$224),0),
IF('TL10'!$B$229=O$3,SUMIF('TL10'!$C$238:$C$451,$C79,'TL10'!$J$238:$J$451),0),
IF('TL11'!$B$3=O$3,SUMIF('TL11'!$C$10:$C$224,$C79,'TL11'!$J$10:$J$224),0),
IF('TL11'!$B$229=O$3,SUMIF('TL11'!$C$238:$C$451,$C79,'TL11'!$J$238:$J$451),0),
IF('TL12'!$B$3=O$3,SUMIF('TL12'!$C$10:$C$224,$C79,'TL12'!$J$10:$J$224),0),
IF('TL12'!$B$229=O$3,SUMIF('TL12'!$C$238:$C$451,$C79,'TL12'!$J$238:$J$451),0),
IF('TL13'!$B$3=O$3,SUMIF('TL13'!$C$10:$C$224,$C79,'TL13'!$J$10:$J$224),0),
IF('TL13'!$B$229=O$3,SUMIF('TL13'!$C$238:$C$451,$C79,'TL13'!$J$238:$J$451),0),
IF('TL14'!$B$3=O$3,SUMIF('TL14'!$C$10:$C$224,$C79,'TL14'!$J$10:$J$224),0),
IF('TL14'!$B$229=O$3,SUMIF('TL14'!$C$238:$C$451,$C79,'TL14'!$J$238:$J$451),0),
IF('TL15'!$B$3=O$3,SUMIF('TL15'!$C$10:$C$224,$C79,'TL15'!$J$10:$J$224),0),
IF('TL15'!$B$229=O$3,SUMIF('TL15'!$C$238:$C$451,$C79,'TL15'!$J$238:$J$451),0),
IF('TL16'!$B$3=O$3,SUMIF('TL16'!$C$10:$C$224,$C79,'TL16'!$J$10:$J$224),0),
IF('TL16'!$B$229=O$3,SUMIF('TL16'!$C$238:$C$451,$C79,'TL16'!$J$238:$J$451),0),
IF('TL17'!$B$3=O$3,SUMIF('TL17'!$C$10:$C$224,$C79,'TL17'!$J$10:$J$224),0),
IF('TL17'!$B$229=O$3,SUMIF('TL17'!$C$238:$C$451,$C79,'TL17'!$J$238:$J$451),0),
IF('TL18'!$B$3=O$3,SUMIF('TL18'!$C$10:$C$224,$C79,'TL18'!$J$10:$J$224),0),
IF('TL18'!$B$229=O$3,SUMIF('TL18'!$C$238:$C$451,$C79,'TL18'!$J$238:$J$451),0),
IF('TL19'!$B$3=O$3,SUMIF('TL19'!$C$10:$C$224,$C79,'TL19'!$J$10:$J$224),0),
IF('TL19'!$B$229=O$3,SUMIF('TL19'!$C$238:$C$451,$C79,'TL19'!$J$238:$J$451),0)
),0)</f>
        <v>0</v>
      </c>
      <c r="P79" s="9">
        <f>IFERROR(SUM(
IF('TL01'!$B$3=P$3,SUMIF('TL01'!$C$10:$C$224,$C79,'TL01'!$J$10:$J$224),0),
IF('TL01'!$B$229=P$3,SUMIF('TL01'!$C$238:$C$451,$C79,'TL01'!$J$238:$J$451),0),
IF('TL02'!$B$3=P$3,SUMIF('TL02'!$C$10:$C$224,$C79,'TL02'!$J$10:$J$224),0),
IF('TL02'!$B$229=P$3,SUMIF('TL02'!$C$238:$C$451,$C79,'TL02'!$J$238:$J$451),0),
IF('TL03'!$B$3=P$3,SUMIF('TL03'!$C$10:$C$224,$C79,'TL03'!$J$10:$J$224),0),
IF('TL03'!$B$229=P$3,SUMIF('TL03'!$C$238:$C$451,$C79,'TL03'!$J$238:$J$451),0),
IF('TL04'!$B$3=P$3,SUMIF('TL04'!$C$10:$C$224,$C79,'TL04'!$J$10:$J$224),0),
IF('TL04'!$B$229=P$3,SUMIF('TL04'!$C$238:$C$451,$C79,'TL04'!$J$238:$J$451),0),
IF('TL05'!$B$3=P$3,SUMIF('TL05'!$C$10:$C$224,$C79,'TL05'!$J$10:$J$224),0),
IF('TL05'!$B$229=P$3,SUMIF('TL05'!$C$238:$C$451,$C79,'TL05'!$J$238:$J$451),0),
IF('TL06'!$B$3=P$3,SUMIF('TL06'!$C$10:$C$224,$C79,'TL06'!$J$10:$J$224),0),
IF('TL06'!$B$229=P$3,SUMIF('TL06'!$C$238:$C$451,$C79,'TL06'!$J$238:$J$451),0),
IF('TL07'!$B$3=P$3,SUMIF('TL07'!$C$10:$C$224,$C79,'TL07'!$J$10:$J$224),0),
IF('TL07'!$B$229=P$3,SUMIF('TL07'!$C$238:$C$451,$C79,'TL07'!$J$238:$J$451),0),
IF('TL08'!$B$3=P$3,SUMIF('TL08'!$C$10:$C$224,$C79,'TL08'!$J$10:$J$224),0),
IF('TL08'!$B$229=P$3,SUMIF('TL08'!$C$238:$C$451,$C79,'TL08'!$J$238:$J$451),0),
IF('TL09'!$B$3=P$3,SUMIF('TL09'!$C$10:$C$224,$C79,'TL09'!$J$10:$J$224),0),
IF('TL09'!$B$229=P$3,SUMIF('TL09'!$C$238:$C$451,$C79,'TL09'!$J$238:$J$451),0),
IF('TL10'!$B$3=P$3,SUMIF('TL10'!$C$10:$C$224,$C79,'TL10'!$J$10:$J$224),0),
IF('TL10'!$B$229=P$3,SUMIF('TL10'!$C$238:$C$451,$C79,'TL10'!$J$238:$J$451),0),
IF('TL11'!$B$3=P$3,SUMIF('TL11'!$C$10:$C$224,$C79,'TL11'!$J$10:$J$224),0),
IF('TL11'!$B$229=P$3,SUMIF('TL11'!$C$238:$C$451,$C79,'TL11'!$J$238:$J$451),0),
IF('TL12'!$B$3=P$3,SUMIF('TL12'!$C$10:$C$224,$C79,'TL12'!$J$10:$J$224),0),
IF('TL12'!$B$229=P$3,SUMIF('TL12'!$C$238:$C$451,$C79,'TL12'!$J$238:$J$451),0),
IF('TL13'!$B$3=P$3,SUMIF('TL13'!$C$10:$C$224,$C79,'TL13'!$J$10:$J$224),0),
IF('TL13'!$B$229=P$3,SUMIF('TL13'!$C$238:$C$451,$C79,'TL13'!$J$238:$J$451),0),
IF('TL14'!$B$3=P$3,SUMIF('TL14'!$C$10:$C$224,$C79,'TL14'!$J$10:$J$224),0),
IF('TL14'!$B$229=P$3,SUMIF('TL14'!$C$238:$C$451,$C79,'TL14'!$J$238:$J$451),0),
IF('TL15'!$B$3=P$3,SUMIF('TL15'!$C$10:$C$224,$C79,'TL15'!$J$10:$J$224),0),
IF('TL15'!$B$229=P$3,SUMIF('TL15'!$C$238:$C$451,$C79,'TL15'!$J$238:$J$451),0),
IF('TL16'!$B$3=P$3,SUMIF('TL16'!$C$10:$C$224,$C79,'TL16'!$J$10:$J$224),0),
IF('TL16'!$B$229=P$3,SUMIF('TL16'!$C$238:$C$451,$C79,'TL16'!$J$238:$J$451),0),
IF('TL17'!$B$3=P$3,SUMIF('TL17'!$C$10:$C$224,$C79,'TL17'!$J$10:$J$224),0),
IF('TL17'!$B$229=P$3,SUMIF('TL17'!$C$238:$C$451,$C79,'TL17'!$J$238:$J$451),0),
IF('TL18'!$B$3=P$3,SUMIF('TL18'!$C$10:$C$224,$C79,'TL18'!$J$10:$J$224),0),
IF('TL18'!$B$229=P$3,SUMIF('TL18'!$C$238:$C$451,$C79,'TL18'!$J$238:$J$451),0),
IF('TL19'!$B$3=P$3,SUMIF('TL19'!$C$10:$C$224,$C79,'TL19'!$J$10:$J$224),0),
IF('TL19'!$B$229=P$3,SUMIF('TL19'!$C$238:$C$451,$C79,'TL19'!$J$238:$J$451),0)
),0)</f>
        <v>0</v>
      </c>
      <c r="Q79" s="9">
        <f>IFERROR(SUM(
IF('TL01'!$B$3=Q$3,SUMIF('TL01'!$C$10:$C$224,$C79,'TL01'!$J$10:$J$224),0),
IF('TL01'!$B$229=Q$3,SUMIF('TL01'!$C$238:$C$451,$C79,'TL01'!$J$238:$J$451),0),
IF('TL02'!$B$3=Q$3,SUMIF('TL02'!$C$10:$C$224,$C79,'TL02'!$J$10:$J$224),0),
IF('TL02'!$B$229=Q$3,SUMIF('TL02'!$C$238:$C$451,$C79,'TL02'!$J$238:$J$451),0),
IF('TL03'!$B$3=Q$3,SUMIF('TL03'!$C$10:$C$224,$C79,'TL03'!$J$10:$J$224),0),
IF('TL03'!$B$229=Q$3,SUMIF('TL03'!$C$238:$C$451,$C79,'TL03'!$J$238:$J$451),0),
IF('TL04'!$B$3=Q$3,SUMIF('TL04'!$C$10:$C$224,$C79,'TL04'!$J$10:$J$224),0),
IF('TL04'!$B$229=Q$3,SUMIF('TL04'!$C$238:$C$451,$C79,'TL04'!$J$238:$J$451),0),
IF('TL05'!$B$3=Q$3,SUMIF('TL05'!$C$10:$C$224,$C79,'TL05'!$J$10:$J$224),0),
IF('TL05'!$B$229=Q$3,SUMIF('TL05'!$C$238:$C$451,$C79,'TL05'!$J$238:$J$451),0),
IF('TL06'!$B$3=Q$3,SUMIF('TL06'!$C$10:$C$224,$C79,'TL06'!$J$10:$J$224),0),
IF('TL06'!$B$229=Q$3,SUMIF('TL06'!$C$238:$C$451,$C79,'TL06'!$J$238:$J$451),0),
IF('TL07'!$B$3=Q$3,SUMIF('TL07'!$C$10:$C$224,$C79,'TL07'!$J$10:$J$224),0),
IF('TL07'!$B$229=Q$3,SUMIF('TL07'!$C$238:$C$451,$C79,'TL07'!$J$238:$J$451),0),
IF('TL08'!$B$3=Q$3,SUMIF('TL08'!$C$10:$C$224,$C79,'TL08'!$J$10:$J$224),0),
IF('TL08'!$B$229=Q$3,SUMIF('TL08'!$C$238:$C$451,$C79,'TL08'!$J$238:$J$451),0),
IF('TL09'!$B$3=Q$3,SUMIF('TL09'!$C$10:$C$224,$C79,'TL09'!$J$10:$J$224),0),
IF('TL09'!$B$229=Q$3,SUMIF('TL09'!$C$238:$C$451,$C79,'TL09'!$J$238:$J$451),0),
IF('TL10'!$B$3=Q$3,SUMIF('TL10'!$C$10:$C$224,$C79,'TL10'!$J$10:$J$224),0),
IF('TL10'!$B$229=Q$3,SUMIF('TL10'!$C$238:$C$451,$C79,'TL10'!$J$238:$J$451),0),
IF('TL11'!$B$3=Q$3,SUMIF('TL11'!$C$10:$C$224,$C79,'TL11'!$J$10:$J$224),0),
IF('TL11'!$B$229=Q$3,SUMIF('TL11'!$C$238:$C$451,$C79,'TL11'!$J$238:$J$451),0),
IF('TL12'!$B$3=Q$3,SUMIF('TL12'!$C$10:$C$224,$C79,'TL12'!$J$10:$J$224),0),
IF('TL12'!$B$229=Q$3,SUMIF('TL12'!$C$238:$C$451,$C79,'TL12'!$J$238:$J$451),0),
IF('TL13'!$B$3=Q$3,SUMIF('TL13'!$C$10:$C$224,$C79,'TL13'!$J$10:$J$224),0),
IF('TL13'!$B$229=Q$3,SUMIF('TL13'!$C$238:$C$451,$C79,'TL13'!$J$238:$J$451),0),
IF('TL14'!$B$3=Q$3,SUMIF('TL14'!$C$10:$C$224,$C79,'TL14'!$J$10:$J$224),0),
IF('TL14'!$B$229=Q$3,SUMIF('TL14'!$C$238:$C$451,$C79,'TL14'!$J$238:$J$451),0),
IF('TL15'!$B$3=Q$3,SUMIF('TL15'!$C$10:$C$224,$C79,'TL15'!$J$10:$J$224),0),
IF('TL15'!$B$229=Q$3,SUMIF('TL15'!$C$238:$C$451,$C79,'TL15'!$J$238:$J$451),0),
IF('TL16'!$B$3=Q$3,SUMIF('TL16'!$C$10:$C$224,$C79,'TL16'!$J$10:$J$224),0),
IF('TL16'!$B$229=Q$3,SUMIF('TL16'!$C$238:$C$451,$C79,'TL16'!$J$238:$J$451),0),
IF('TL17'!$B$3=Q$3,SUMIF('TL17'!$C$10:$C$224,$C79,'TL17'!$J$10:$J$224),0),
IF('TL17'!$B$229=Q$3,SUMIF('TL17'!$C$238:$C$451,$C79,'TL17'!$J$238:$J$451),0),
IF('TL18'!$B$3=Q$3,SUMIF('TL18'!$C$10:$C$224,$C79,'TL18'!$J$10:$J$224),0),
IF('TL18'!$B$229=Q$3,SUMIF('TL18'!$C$238:$C$451,$C79,'TL18'!$J$238:$J$451),0),
IF('TL19'!$B$3=Q$3,SUMIF('TL19'!$C$10:$C$224,$C79,'TL19'!$J$10:$J$224),0),
IF('TL19'!$B$229=Q$3,SUMIF('TL19'!$C$238:$C$451,$C79,'TL19'!$J$238:$J$451),0)
),0)</f>
        <v>0</v>
      </c>
      <c r="R79" s="9">
        <f>IFERROR(
SUM(
SUMIF('TL01'!C:C,C79,'TL01'!J:J),
SUMIF('TL02'!C:C,C79,'TL02'!J:J),
SUMIF('TL03'!C:C,C79,'TL03'!J:J),
SUMIF('TL04'!C:C,C79,'TL04'!J:J),
SUMIF('TL05'!C:C,C79,'TL05'!J:J),
SUMIF('TL06'!C:C,C79,'TL06'!J:J),
SUMIF('TL07'!C:C,C79,'TL07'!J:J),
SUMIF('TL08'!C:C,C79,'TL08'!J:J),
SUMIF('TL09'!C:C,C79,'TL09'!J:J),
SUMIF('TL10'!C:C,C79,'TL10'!J:J),
SUMIF('TL11'!C:C,C79,'TL11'!J:J),
SUMIF('TL12'!C:C,C79,'TL12'!J:J),
SUMIF('TL13'!C:C,C79,'TL13'!J:J),
SUMIF('TL14'!C:C,C79,'TL14'!J:J),
SUMIF('TL15'!C:C,C79,'TL15'!J:J),
SUMIF('TL16'!C:C,C79,'TL16'!J:J),
SUMIF('TL17'!C:C,C79,'TL17'!J:J),
SUMIF('TL18'!C:C,C79,'TL18'!J:J),SUMIF('TL19'!C:C,C79,'TL19'!J:J))
,0)</f>
        <v>0</v>
      </c>
      <c r="S79" s="17">
        <f>IFERROR(__xludf.DUMMYFUNCTION("IFERROR(VLOOKUP(C79,
IMPORTRANGE(""1wULbzX32WdYsx-lj2U3uUNBBe2INVIRDtcK0d-Dvl90"",
""26-27!C:G""),
5,
FALSE),
"""")"),46.63152000000001)</f>
        <v>46.63152</v>
      </c>
      <c r="T79" s="9"/>
      <c r="U79" s="92">
        <f t="shared" si="2"/>
        <v>0</v>
      </c>
      <c r="V79" s="93">
        <f t="shared" si="3"/>
        <v>0</v>
      </c>
    </row>
    <row r="80" ht="15.75" hidden="1" customHeight="1">
      <c r="A80" s="115" t="s">
        <v>534</v>
      </c>
      <c r="B80" s="100" t="s">
        <v>0</v>
      </c>
      <c r="C80" s="116" t="s">
        <v>543</v>
      </c>
      <c r="D80" s="116" t="s">
        <v>544</v>
      </c>
      <c r="E80" s="116" t="s">
        <v>545</v>
      </c>
      <c r="F80" s="4" t="s">
        <v>392</v>
      </c>
      <c r="G80" s="90" t="str">
        <f t="shared" si="4"/>
        <v>📄 Ver bula</v>
      </c>
      <c r="H80" s="9" t="str">
        <f>IFERROR(__xludf.DUMMYFUNCTION("IFERROR(VLOOKUP(C80,
IMPORTRANGE(""1wULbzX32WdYsx-lj2U3uUNBBe2INVIRDtcK0d-Dvl90"",
""26-27!C:K""),
8,
FALSE),
"""")"),"")</f>
        <v/>
      </c>
      <c r="I80" s="117" t="s">
        <v>377</v>
      </c>
      <c r="J80" s="9">
        <f>IFERROR(SUM(
IF('TL01'!$B$3=J$3,SUMIF('TL01'!$C$10:$C$224,$C80,'TL01'!$J$10:$J$224),0),
IF('TL01'!$B$229=J$3,SUMIF('TL01'!$C$238:$C$451,$C80,'TL01'!$J$238:$J$451),0),
IF('TL02'!$B$3=J$3,SUMIF('TL02'!$C$10:$C$224,$C80,'TL02'!$J$10:$J$224),0),
IF('TL02'!$B$229=J$3,SUMIF('TL02'!$C$238:$C$451,$C80,'TL02'!$J$238:$J$451),0),
IF('TL03'!$B$3=J$3,SUMIF('TL03'!$C$10:$C$224,$C80,'TL03'!$J$10:$J$224),0),
IF('TL03'!$B$229=J$3,SUMIF('TL03'!$C$238:$C$451,$C80,'TL03'!$J$238:$J$451),0),
IF('TL04'!$B$3=J$3,SUMIF('TL04'!$C$10:$C$224,$C80,'TL04'!$J$10:$J$224),0),
IF('TL04'!$B$229=J$3,SUMIF('TL04'!$C$238:$C$451,$C80,'TL04'!$J$238:$J$451),0),
IF('TL05'!$B$3=J$3,SUMIF('TL05'!$C$10:$C$224,$C80,'TL05'!$J$10:$J$224),0),
IF('TL05'!$B$229=J$3,SUMIF('TL05'!$C$238:$C$451,$C80,'TL05'!$J$238:$J$451),0),
IF('TL06'!$B$3=J$3,SUMIF('TL06'!$C$10:$C$224,$C80,'TL06'!$J$10:$J$224),0),
IF('TL06'!$B$229=J$3,SUMIF('TL06'!$C$238:$C$451,$C80,'TL06'!$J$238:$J$451),0),
IF('TL07'!$B$3=J$3,SUMIF('TL07'!$C$10:$C$224,$C80,'TL07'!$J$10:$J$224),0),
IF('TL07'!$B$229=J$3,SUMIF('TL07'!$C$238:$C$451,$C80,'TL07'!$J$238:$J$451),0),
IF('TL08'!$B$3=J$3,SUMIF('TL08'!$C$10:$C$224,$C80,'TL08'!$J$10:$J$224),0),
IF('TL08'!$B$229=J$3,SUMIF('TL08'!$C$238:$C$451,$C80,'TL08'!$J$238:$J$451),0),
IF('TL09'!$B$3=J$3,SUMIF('TL09'!$C$10:$C$224,$C80,'TL09'!$J$10:$J$224),0),
IF('TL09'!$B$229=J$3,SUMIF('TL09'!$C$238:$C$451,$C80,'TL09'!$J$238:$J$451),0),
IF('TL10'!$B$3=J$3,SUMIF('TL10'!$C$10:$C$224,$C80,'TL10'!$J$10:$J$224),0),
IF('TL10'!$B$229=J$3,SUMIF('TL10'!$C$238:$C$451,$C80,'TL10'!$J$238:$J$451),0),
IF('TL11'!$B$3=J$3,SUMIF('TL11'!$C$10:$C$224,$C80,'TL11'!$J$10:$J$224),0),
IF('TL11'!$B$229=J$3,SUMIF('TL11'!$C$238:$C$451,$C80,'TL11'!$J$238:$J$451),0),
IF('TL12'!$B$3=J$3,SUMIF('TL12'!$C$10:$C$224,$C80,'TL12'!$J$10:$J$224),0),
IF('TL12'!$B$229=J$3,SUMIF('TL12'!$C$238:$C$451,$C80,'TL12'!$J$238:$J$451),0),
IF('TL13'!$B$3=J$3,SUMIF('TL13'!$C$10:$C$224,$C80,'TL13'!$J$10:$J$224),0),
IF('TL13'!$B$229=J$3,SUMIF('TL13'!$C$238:$C$451,$C80,'TL13'!$J$238:$J$451),0),
IF('TL14'!$B$3=J$3,SUMIF('TL14'!$C$10:$C$224,$C80,'TL14'!$J$10:$J$224),0),
IF('TL14'!$B$229=J$3,SUMIF('TL14'!$C$238:$C$451,$C80,'TL14'!$J$238:$J$451),0),
IF('TL15'!$B$3=J$3,SUMIF('TL15'!$C$10:$C$224,$C80,'TL15'!$J$10:$J$224),0),
IF('TL15'!$B$229=J$3,SUMIF('TL15'!$C$238:$C$451,$C80,'TL15'!$J$238:$J$451),0),
IF('TL16'!$B$3=J$3,SUMIF('TL16'!$C$10:$C$224,$C80,'TL16'!$J$10:$J$224),0),
IF('TL16'!$B$229=J$3,SUMIF('TL16'!$C$238:$C$451,$C80,'TL16'!$J$238:$J$451),0),
IF('TL17'!$B$3=J$3,SUMIF('TL17'!$C$10:$C$224,$C80,'TL17'!$J$10:$J$224),0),
IF('TL17'!$B$229=J$3,SUMIF('TL17'!$C$238:$C$451,$C80,'TL17'!$J$238:$J$451),0),
IF('TL18'!$B$3=J$3,SUMIF('TL18'!$C$10:$C$224,$C80,'TL18'!$J$10:$J$224),0),
IF('TL18'!$B$229=J$3,SUMIF('TL18'!$C$238:$C$451,$C80,'TL18'!$J$238:$J$451),0),
IF('TL19'!$B$3=J$3,SUMIF('TL19'!$C$10:$C$224,$C80,'TL19'!$J$10:$J$224),0),
IF('TL19'!$B$229=J$3,SUMIF('TL19'!$C$238:$C$451,$C80,'TL19'!$J$238:$J$451),0)
),0)</f>
        <v>0</v>
      </c>
      <c r="K80" s="9">
        <f>IFERROR(SUM(
IF('TL01'!$B$3=K$3,SUMIF('TL01'!$C$10:$C$224,$C80,'TL01'!$J$10:$J$224),0),
IF('TL01'!$B$229=K$3,SUMIF('TL01'!$C$238:$C$451,$C80,'TL01'!$J$238:$J$451),0),
IF('TL02'!$B$3=K$3,SUMIF('TL02'!$C$10:$C$224,$C80,'TL02'!$J$10:$J$224),0),
IF('TL02'!$B$229=K$3,SUMIF('TL02'!$C$238:$C$451,$C80,'TL02'!$J$238:$J$451),0),
IF('TL03'!$B$3=K$3,SUMIF('TL03'!$C$10:$C$224,$C80,'TL03'!$J$10:$J$224),0),
IF('TL03'!$B$229=K$3,SUMIF('TL03'!$C$238:$C$451,$C80,'TL03'!$J$238:$J$451),0),
IF('TL04'!$B$3=K$3,SUMIF('TL04'!$C$10:$C$224,$C80,'TL04'!$J$10:$J$224),0),
IF('TL04'!$B$229=K$3,SUMIF('TL04'!$C$238:$C$451,$C80,'TL04'!$J$238:$J$451),0),
IF('TL05'!$B$3=K$3,SUMIF('TL05'!$C$10:$C$224,$C80,'TL05'!$J$10:$J$224),0),
IF('TL05'!$B$229=K$3,SUMIF('TL05'!$C$238:$C$451,$C80,'TL05'!$J$238:$J$451),0),
IF('TL06'!$B$3=K$3,SUMIF('TL06'!$C$10:$C$224,$C80,'TL06'!$J$10:$J$224),0),
IF('TL06'!$B$229=K$3,SUMIF('TL06'!$C$238:$C$451,$C80,'TL06'!$J$238:$J$451),0),
IF('TL07'!$B$3=K$3,SUMIF('TL07'!$C$10:$C$224,$C80,'TL07'!$J$10:$J$224),0),
IF('TL07'!$B$229=K$3,SUMIF('TL07'!$C$238:$C$451,$C80,'TL07'!$J$238:$J$451),0),
IF('TL08'!$B$3=K$3,SUMIF('TL08'!$C$10:$C$224,$C80,'TL08'!$J$10:$J$224),0),
IF('TL08'!$B$229=K$3,SUMIF('TL08'!$C$238:$C$451,$C80,'TL08'!$J$238:$J$451),0),
IF('TL09'!$B$3=K$3,SUMIF('TL09'!$C$10:$C$224,$C80,'TL09'!$J$10:$J$224),0),
IF('TL09'!$B$229=K$3,SUMIF('TL09'!$C$238:$C$451,$C80,'TL09'!$J$238:$J$451),0),
IF('TL10'!$B$3=K$3,SUMIF('TL10'!$C$10:$C$224,$C80,'TL10'!$J$10:$J$224),0),
IF('TL10'!$B$229=K$3,SUMIF('TL10'!$C$238:$C$451,$C80,'TL10'!$J$238:$J$451),0),
IF('TL11'!$B$3=K$3,SUMIF('TL11'!$C$10:$C$224,$C80,'TL11'!$J$10:$J$224),0),
IF('TL11'!$B$229=K$3,SUMIF('TL11'!$C$238:$C$451,$C80,'TL11'!$J$238:$J$451),0),
IF('TL12'!$B$3=K$3,SUMIF('TL12'!$C$10:$C$224,$C80,'TL12'!$J$10:$J$224),0),
IF('TL12'!$B$229=K$3,SUMIF('TL12'!$C$238:$C$451,$C80,'TL12'!$J$238:$J$451),0),
IF('TL13'!$B$3=K$3,SUMIF('TL13'!$C$10:$C$224,$C80,'TL13'!$J$10:$J$224),0),
IF('TL13'!$B$229=K$3,SUMIF('TL13'!$C$238:$C$451,$C80,'TL13'!$J$238:$J$451),0),
IF('TL14'!$B$3=K$3,SUMIF('TL14'!$C$10:$C$224,$C80,'TL14'!$J$10:$J$224),0),
IF('TL14'!$B$229=K$3,SUMIF('TL14'!$C$238:$C$451,$C80,'TL14'!$J$238:$J$451),0),
IF('TL15'!$B$3=K$3,SUMIF('TL15'!$C$10:$C$224,$C80,'TL15'!$J$10:$J$224),0),
IF('TL15'!$B$229=K$3,SUMIF('TL15'!$C$238:$C$451,$C80,'TL15'!$J$238:$J$451),0),
IF('TL16'!$B$3=K$3,SUMIF('TL16'!$C$10:$C$224,$C80,'TL16'!$J$10:$J$224),0),
IF('TL16'!$B$229=K$3,SUMIF('TL16'!$C$238:$C$451,$C80,'TL16'!$J$238:$J$451),0),
IF('TL17'!$B$3=K$3,SUMIF('TL17'!$C$10:$C$224,$C80,'TL17'!$J$10:$J$224),0),
IF('TL17'!$B$229=K$3,SUMIF('TL17'!$C$238:$C$451,$C80,'TL17'!$J$238:$J$451),0),
IF('TL18'!$B$3=K$3,SUMIF('TL18'!$C$10:$C$224,$C80,'TL18'!$J$10:$J$224),0),
IF('TL18'!$B$229=K$3,SUMIF('TL18'!$C$238:$C$451,$C80,'TL18'!$J$238:$J$451),0),
IF('TL19'!$B$3=K$3,SUMIF('TL19'!$C$10:$C$224,$C80,'TL19'!$J$10:$J$224),0),
IF('TL19'!$B$229=K$3,SUMIF('TL19'!$C$238:$C$451,$C80,'TL19'!$J$238:$J$451),0)
),0)</f>
        <v>0</v>
      </c>
      <c r="L80" s="9">
        <f>IFERROR(SUM(
IF('TL01'!$B$3=L$3,SUMIF('TL01'!$C$10:$C$224,$C80,'TL01'!$J$10:$J$224),0),
IF('TL01'!$B$229=L$3,SUMIF('TL01'!$C$238:$C$451,$C80,'TL01'!$J$238:$J$451),0),
IF('TL02'!$B$3=L$3,SUMIF('TL02'!$C$10:$C$224,$C80,'TL02'!$J$10:$J$224),0),
IF('TL02'!$B$229=L$3,SUMIF('TL02'!$C$238:$C$451,$C80,'TL02'!$J$238:$J$451),0),
IF('TL03'!$B$3=L$3,SUMIF('TL03'!$C$10:$C$224,$C80,'TL03'!$J$10:$J$224),0),
IF('TL03'!$B$229=L$3,SUMIF('TL03'!$C$238:$C$451,$C80,'TL03'!$J$238:$J$451),0),
IF('TL04'!$B$3=L$3,SUMIF('TL04'!$C$10:$C$224,$C80,'TL04'!$J$10:$J$224),0),
IF('TL04'!$B$229=L$3,SUMIF('TL04'!$C$238:$C$451,$C80,'TL04'!$J$238:$J$451),0),
IF('TL05'!$B$3=L$3,SUMIF('TL05'!$C$10:$C$224,$C80,'TL05'!$J$10:$J$224),0),
IF('TL05'!$B$229=L$3,SUMIF('TL05'!$C$238:$C$451,$C80,'TL05'!$J$238:$J$451),0),
IF('TL06'!$B$3=L$3,SUMIF('TL06'!$C$10:$C$224,$C80,'TL06'!$J$10:$J$224),0),
IF('TL06'!$B$229=L$3,SUMIF('TL06'!$C$238:$C$451,$C80,'TL06'!$J$238:$J$451),0),
IF('TL07'!$B$3=L$3,SUMIF('TL07'!$C$10:$C$224,$C80,'TL07'!$J$10:$J$224),0),
IF('TL07'!$B$229=L$3,SUMIF('TL07'!$C$238:$C$451,$C80,'TL07'!$J$238:$J$451),0),
IF('TL08'!$B$3=L$3,SUMIF('TL08'!$C$10:$C$224,$C80,'TL08'!$J$10:$J$224),0),
IF('TL08'!$B$229=L$3,SUMIF('TL08'!$C$238:$C$451,$C80,'TL08'!$J$238:$J$451),0),
IF('TL09'!$B$3=L$3,SUMIF('TL09'!$C$10:$C$224,$C80,'TL09'!$J$10:$J$224),0),
IF('TL09'!$B$229=L$3,SUMIF('TL09'!$C$238:$C$451,$C80,'TL09'!$J$238:$J$451),0),
IF('TL10'!$B$3=L$3,SUMIF('TL10'!$C$10:$C$224,$C80,'TL10'!$J$10:$J$224),0),
IF('TL10'!$B$229=L$3,SUMIF('TL10'!$C$238:$C$451,$C80,'TL10'!$J$238:$J$451),0),
IF('TL11'!$B$3=L$3,SUMIF('TL11'!$C$10:$C$224,$C80,'TL11'!$J$10:$J$224),0),
IF('TL11'!$B$229=L$3,SUMIF('TL11'!$C$238:$C$451,$C80,'TL11'!$J$238:$J$451),0),
IF('TL12'!$B$3=L$3,SUMIF('TL12'!$C$10:$C$224,$C80,'TL12'!$J$10:$J$224),0),
IF('TL12'!$B$229=L$3,SUMIF('TL12'!$C$238:$C$451,$C80,'TL12'!$J$238:$J$451),0),
IF('TL13'!$B$3=L$3,SUMIF('TL13'!$C$10:$C$224,$C80,'TL13'!$J$10:$J$224),0),
IF('TL13'!$B$229=L$3,SUMIF('TL13'!$C$238:$C$451,$C80,'TL13'!$J$238:$J$451),0),
IF('TL14'!$B$3=L$3,SUMIF('TL14'!$C$10:$C$224,$C80,'TL14'!$J$10:$J$224),0),
IF('TL14'!$B$229=L$3,SUMIF('TL14'!$C$238:$C$451,$C80,'TL14'!$J$238:$J$451),0),
IF('TL15'!$B$3=L$3,SUMIF('TL15'!$C$10:$C$224,$C80,'TL15'!$J$10:$J$224),0),
IF('TL15'!$B$229=L$3,SUMIF('TL15'!$C$238:$C$451,$C80,'TL15'!$J$238:$J$451),0),
IF('TL16'!$B$3=L$3,SUMIF('TL16'!$C$10:$C$224,$C80,'TL16'!$J$10:$J$224),0),
IF('TL16'!$B$229=L$3,SUMIF('TL16'!$C$238:$C$451,$C80,'TL16'!$J$238:$J$451),0),
IF('TL17'!$B$3=L$3,SUMIF('TL17'!$C$10:$C$224,$C80,'TL17'!$J$10:$J$224),0),
IF('TL17'!$B$229=L$3,SUMIF('TL17'!$C$238:$C$451,$C80,'TL17'!$J$238:$J$451),0),
IF('TL18'!$B$3=L$3,SUMIF('TL18'!$C$10:$C$224,$C80,'TL18'!$J$10:$J$224),0),
IF('TL18'!$B$229=L$3,SUMIF('TL18'!$C$238:$C$451,$C80,'TL18'!$J$238:$J$451),0),
IF('TL19'!$B$3=L$3,SUMIF('TL19'!$C$10:$C$224,$C80,'TL19'!$J$10:$J$224),0),
IF('TL19'!$B$229=L$3,SUMIF('TL19'!$C$238:$C$451,$C80,'TL19'!$J$238:$J$451),0)
),0)</f>
        <v>0</v>
      </c>
      <c r="M80" s="9">
        <f>IFERROR(SUM(
IF('TL01'!$B$3=M$3,SUMIF('TL01'!$C$10:$C$224,$C80,'TL01'!$J$10:$J$224),0),
IF('TL01'!$B$229=M$3,SUMIF('TL01'!$C$238:$C$451,$C80,'TL01'!$J$238:$J$451),0),
IF('TL02'!$B$3=M$3,SUMIF('TL02'!$C$10:$C$224,$C80,'TL02'!$J$10:$J$224),0),
IF('TL02'!$B$229=M$3,SUMIF('TL02'!$C$238:$C$451,$C80,'TL02'!$J$238:$J$451),0),
IF('TL03'!$B$3=M$3,SUMIF('TL03'!$C$10:$C$224,$C80,'TL03'!$J$10:$J$224),0),
IF('TL03'!$B$229=M$3,SUMIF('TL03'!$C$238:$C$451,$C80,'TL03'!$J$238:$J$451),0),
IF('TL04'!$B$3=M$3,SUMIF('TL04'!$C$10:$C$224,$C80,'TL04'!$J$10:$J$224),0),
IF('TL04'!$B$229=M$3,SUMIF('TL04'!$C$238:$C$451,$C80,'TL04'!$J$238:$J$451),0),
IF('TL05'!$B$3=M$3,SUMIF('TL05'!$C$10:$C$224,$C80,'TL05'!$J$10:$J$224),0),
IF('TL05'!$B$229=M$3,SUMIF('TL05'!$C$238:$C$451,$C80,'TL05'!$J$238:$J$451),0),
IF('TL06'!$B$3=M$3,SUMIF('TL06'!$C$10:$C$224,$C80,'TL06'!$J$10:$J$224),0),
IF('TL06'!$B$229=M$3,SUMIF('TL06'!$C$238:$C$451,$C80,'TL06'!$J$238:$J$451),0),
IF('TL07'!$B$3=M$3,SUMIF('TL07'!$C$10:$C$224,$C80,'TL07'!$J$10:$J$224),0),
IF('TL07'!$B$229=M$3,SUMIF('TL07'!$C$238:$C$451,$C80,'TL07'!$J$238:$J$451),0),
IF('TL08'!$B$3=M$3,SUMIF('TL08'!$C$10:$C$224,$C80,'TL08'!$J$10:$J$224),0),
IF('TL08'!$B$229=M$3,SUMIF('TL08'!$C$238:$C$451,$C80,'TL08'!$J$238:$J$451),0),
IF('TL09'!$B$3=M$3,SUMIF('TL09'!$C$10:$C$224,$C80,'TL09'!$J$10:$J$224),0),
IF('TL09'!$B$229=M$3,SUMIF('TL09'!$C$238:$C$451,$C80,'TL09'!$J$238:$J$451),0),
IF('TL10'!$B$3=M$3,SUMIF('TL10'!$C$10:$C$224,$C80,'TL10'!$J$10:$J$224),0),
IF('TL10'!$B$229=M$3,SUMIF('TL10'!$C$238:$C$451,$C80,'TL10'!$J$238:$J$451),0),
IF('TL11'!$B$3=M$3,SUMIF('TL11'!$C$10:$C$224,$C80,'TL11'!$J$10:$J$224),0),
IF('TL11'!$B$229=M$3,SUMIF('TL11'!$C$238:$C$451,$C80,'TL11'!$J$238:$J$451),0),
IF('TL12'!$B$3=M$3,SUMIF('TL12'!$C$10:$C$224,$C80,'TL12'!$J$10:$J$224),0),
IF('TL12'!$B$229=M$3,SUMIF('TL12'!$C$238:$C$451,$C80,'TL12'!$J$238:$J$451),0),
IF('TL13'!$B$3=M$3,SUMIF('TL13'!$C$10:$C$224,$C80,'TL13'!$J$10:$J$224),0),
IF('TL13'!$B$229=M$3,SUMIF('TL13'!$C$238:$C$451,$C80,'TL13'!$J$238:$J$451),0),
IF('TL14'!$B$3=M$3,SUMIF('TL14'!$C$10:$C$224,$C80,'TL14'!$J$10:$J$224),0),
IF('TL14'!$B$229=M$3,SUMIF('TL14'!$C$238:$C$451,$C80,'TL14'!$J$238:$J$451),0),
IF('TL15'!$B$3=M$3,SUMIF('TL15'!$C$10:$C$224,$C80,'TL15'!$J$10:$J$224),0),
IF('TL15'!$B$229=M$3,SUMIF('TL15'!$C$238:$C$451,$C80,'TL15'!$J$238:$J$451),0),
IF('TL16'!$B$3=M$3,SUMIF('TL16'!$C$10:$C$224,$C80,'TL16'!$J$10:$J$224),0),
IF('TL16'!$B$229=M$3,SUMIF('TL16'!$C$238:$C$451,$C80,'TL16'!$J$238:$J$451),0),
IF('TL17'!$B$3=M$3,SUMIF('TL17'!$C$10:$C$224,$C80,'TL17'!$J$10:$J$224),0),
IF('TL17'!$B$229=M$3,SUMIF('TL17'!$C$238:$C$451,$C80,'TL17'!$J$238:$J$451),0),
IF('TL18'!$B$3=M$3,SUMIF('TL18'!$C$10:$C$224,$C80,'TL18'!$J$10:$J$224),0),
IF('TL18'!$B$229=M$3,SUMIF('TL18'!$C$238:$C$451,$C80,'TL18'!$J$238:$J$451),0),
IF('TL19'!$B$3=M$3,SUMIF('TL19'!$C$10:$C$224,$C80,'TL19'!$J$10:$J$224),0),
IF('TL19'!$B$229=M$3,SUMIF('TL19'!$C$238:$C$451,$C80,'TL19'!$J$238:$J$451),0)
),0)</f>
        <v>0</v>
      </c>
      <c r="N80" s="9">
        <f>IFERROR(SUM(
IF('TL01'!$B$3=N$3,SUMIF('TL01'!$C$10:$C$224,$C80,'TL01'!$J$10:$J$224),0),
IF('TL01'!$B$229=N$3,SUMIF('TL01'!$C$238:$C$451,$C80,'TL01'!$J$238:$J$451),0),
IF('TL02'!$B$3=N$3,SUMIF('TL02'!$C$10:$C$224,$C80,'TL02'!$J$10:$J$224),0),
IF('TL02'!$B$229=N$3,SUMIF('TL02'!$C$238:$C$451,$C80,'TL02'!$J$238:$J$451),0),
IF('TL03'!$B$3=N$3,SUMIF('TL03'!$C$10:$C$224,$C80,'TL03'!$J$10:$J$224),0),
IF('TL03'!$B$229=N$3,SUMIF('TL03'!$C$238:$C$451,$C80,'TL03'!$J$238:$J$451),0),
IF('TL04'!$B$3=N$3,SUMIF('TL04'!$C$10:$C$224,$C80,'TL04'!$J$10:$J$224),0),
IF('TL04'!$B$229=N$3,SUMIF('TL04'!$C$238:$C$451,$C80,'TL04'!$J$238:$J$451),0),
IF('TL05'!$B$3=N$3,SUMIF('TL05'!$C$10:$C$224,$C80,'TL05'!$J$10:$J$224),0),
IF('TL05'!$B$229=N$3,SUMIF('TL05'!$C$238:$C$451,$C80,'TL05'!$J$238:$J$451),0),
IF('TL06'!$B$3=N$3,SUMIF('TL06'!$C$10:$C$224,$C80,'TL06'!$J$10:$J$224),0),
IF('TL06'!$B$229=N$3,SUMIF('TL06'!$C$238:$C$451,$C80,'TL06'!$J$238:$J$451),0),
IF('TL07'!$B$3=N$3,SUMIF('TL07'!$C$10:$C$224,$C80,'TL07'!$J$10:$J$224),0),
IF('TL07'!$B$229=N$3,SUMIF('TL07'!$C$238:$C$451,$C80,'TL07'!$J$238:$J$451),0),
IF('TL08'!$B$3=N$3,SUMIF('TL08'!$C$10:$C$224,$C80,'TL08'!$J$10:$J$224),0),
IF('TL08'!$B$229=N$3,SUMIF('TL08'!$C$238:$C$451,$C80,'TL08'!$J$238:$J$451),0),
IF('TL09'!$B$3=N$3,SUMIF('TL09'!$C$10:$C$224,$C80,'TL09'!$J$10:$J$224),0),
IF('TL09'!$B$229=N$3,SUMIF('TL09'!$C$238:$C$451,$C80,'TL09'!$J$238:$J$451),0),
IF('TL10'!$B$3=N$3,SUMIF('TL10'!$C$10:$C$224,$C80,'TL10'!$J$10:$J$224),0),
IF('TL10'!$B$229=N$3,SUMIF('TL10'!$C$238:$C$451,$C80,'TL10'!$J$238:$J$451),0),
IF('TL11'!$B$3=N$3,SUMIF('TL11'!$C$10:$C$224,$C80,'TL11'!$J$10:$J$224),0),
IF('TL11'!$B$229=N$3,SUMIF('TL11'!$C$238:$C$451,$C80,'TL11'!$J$238:$J$451),0),
IF('TL12'!$B$3=N$3,SUMIF('TL12'!$C$10:$C$224,$C80,'TL12'!$J$10:$J$224),0),
IF('TL12'!$B$229=N$3,SUMIF('TL12'!$C$238:$C$451,$C80,'TL12'!$J$238:$J$451),0),
IF('TL13'!$B$3=N$3,SUMIF('TL13'!$C$10:$C$224,$C80,'TL13'!$J$10:$J$224),0),
IF('TL13'!$B$229=N$3,SUMIF('TL13'!$C$238:$C$451,$C80,'TL13'!$J$238:$J$451),0),
IF('TL14'!$B$3=N$3,SUMIF('TL14'!$C$10:$C$224,$C80,'TL14'!$J$10:$J$224),0),
IF('TL14'!$B$229=N$3,SUMIF('TL14'!$C$238:$C$451,$C80,'TL14'!$J$238:$J$451),0),
IF('TL15'!$B$3=N$3,SUMIF('TL15'!$C$10:$C$224,$C80,'TL15'!$J$10:$J$224),0),
IF('TL15'!$B$229=N$3,SUMIF('TL15'!$C$238:$C$451,$C80,'TL15'!$J$238:$J$451),0),
IF('TL16'!$B$3=N$3,SUMIF('TL16'!$C$10:$C$224,$C80,'TL16'!$J$10:$J$224),0),
IF('TL16'!$B$229=N$3,SUMIF('TL16'!$C$238:$C$451,$C80,'TL16'!$J$238:$J$451),0),
IF('TL17'!$B$3=N$3,SUMIF('TL17'!$C$10:$C$224,$C80,'TL17'!$J$10:$J$224),0),
IF('TL17'!$B$229=N$3,SUMIF('TL17'!$C$238:$C$451,$C80,'TL17'!$J$238:$J$451),0),
IF('TL18'!$B$3=N$3,SUMIF('TL18'!$C$10:$C$224,$C80,'TL18'!$J$10:$J$224),0),
IF('TL18'!$B$229=N$3,SUMIF('TL18'!$C$238:$C$451,$C80,'TL18'!$J$238:$J$451),0),
IF('TL19'!$B$3=N$3,SUMIF('TL19'!$C$10:$C$224,$C80,'TL19'!$J$10:$J$224),0),
IF('TL19'!$B$229=N$3,SUMIF('TL19'!$C$238:$C$451,$C80,'TL19'!$J$238:$J$451),0)
),0)</f>
        <v>0</v>
      </c>
      <c r="O80" s="9">
        <f>IFERROR(SUM(
IF('TL01'!$B$3=O$3,SUMIF('TL01'!$C$10:$C$224,$C80,'TL01'!$J$10:$J$224),0),
IF('TL01'!$B$229=O$3,SUMIF('TL01'!$C$238:$C$451,$C80,'TL01'!$J$238:$J$451),0),
IF('TL02'!$B$3=O$3,SUMIF('TL02'!$C$10:$C$224,$C80,'TL02'!$J$10:$J$224),0),
IF('TL02'!$B$229=O$3,SUMIF('TL02'!$C$238:$C$451,$C80,'TL02'!$J$238:$J$451),0),
IF('TL03'!$B$3=O$3,SUMIF('TL03'!$C$10:$C$224,$C80,'TL03'!$J$10:$J$224),0),
IF('TL03'!$B$229=O$3,SUMIF('TL03'!$C$238:$C$451,$C80,'TL03'!$J$238:$J$451),0),
IF('TL04'!$B$3=O$3,SUMIF('TL04'!$C$10:$C$224,$C80,'TL04'!$J$10:$J$224),0),
IF('TL04'!$B$229=O$3,SUMIF('TL04'!$C$238:$C$451,$C80,'TL04'!$J$238:$J$451),0),
IF('TL05'!$B$3=O$3,SUMIF('TL05'!$C$10:$C$224,$C80,'TL05'!$J$10:$J$224),0),
IF('TL05'!$B$229=O$3,SUMIF('TL05'!$C$238:$C$451,$C80,'TL05'!$J$238:$J$451),0),
IF('TL06'!$B$3=O$3,SUMIF('TL06'!$C$10:$C$224,$C80,'TL06'!$J$10:$J$224),0),
IF('TL06'!$B$229=O$3,SUMIF('TL06'!$C$238:$C$451,$C80,'TL06'!$J$238:$J$451),0),
IF('TL07'!$B$3=O$3,SUMIF('TL07'!$C$10:$C$224,$C80,'TL07'!$J$10:$J$224),0),
IF('TL07'!$B$229=O$3,SUMIF('TL07'!$C$238:$C$451,$C80,'TL07'!$J$238:$J$451),0),
IF('TL08'!$B$3=O$3,SUMIF('TL08'!$C$10:$C$224,$C80,'TL08'!$J$10:$J$224),0),
IF('TL08'!$B$229=O$3,SUMIF('TL08'!$C$238:$C$451,$C80,'TL08'!$J$238:$J$451),0),
IF('TL09'!$B$3=O$3,SUMIF('TL09'!$C$10:$C$224,$C80,'TL09'!$J$10:$J$224),0),
IF('TL09'!$B$229=O$3,SUMIF('TL09'!$C$238:$C$451,$C80,'TL09'!$J$238:$J$451),0),
IF('TL10'!$B$3=O$3,SUMIF('TL10'!$C$10:$C$224,$C80,'TL10'!$J$10:$J$224),0),
IF('TL10'!$B$229=O$3,SUMIF('TL10'!$C$238:$C$451,$C80,'TL10'!$J$238:$J$451),0),
IF('TL11'!$B$3=O$3,SUMIF('TL11'!$C$10:$C$224,$C80,'TL11'!$J$10:$J$224),0),
IF('TL11'!$B$229=O$3,SUMIF('TL11'!$C$238:$C$451,$C80,'TL11'!$J$238:$J$451),0),
IF('TL12'!$B$3=O$3,SUMIF('TL12'!$C$10:$C$224,$C80,'TL12'!$J$10:$J$224),0),
IF('TL12'!$B$229=O$3,SUMIF('TL12'!$C$238:$C$451,$C80,'TL12'!$J$238:$J$451),0),
IF('TL13'!$B$3=O$3,SUMIF('TL13'!$C$10:$C$224,$C80,'TL13'!$J$10:$J$224),0),
IF('TL13'!$B$229=O$3,SUMIF('TL13'!$C$238:$C$451,$C80,'TL13'!$J$238:$J$451),0),
IF('TL14'!$B$3=O$3,SUMIF('TL14'!$C$10:$C$224,$C80,'TL14'!$J$10:$J$224),0),
IF('TL14'!$B$229=O$3,SUMIF('TL14'!$C$238:$C$451,$C80,'TL14'!$J$238:$J$451),0),
IF('TL15'!$B$3=O$3,SUMIF('TL15'!$C$10:$C$224,$C80,'TL15'!$J$10:$J$224),0),
IF('TL15'!$B$229=O$3,SUMIF('TL15'!$C$238:$C$451,$C80,'TL15'!$J$238:$J$451),0),
IF('TL16'!$B$3=O$3,SUMIF('TL16'!$C$10:$C$224,$C80,'TL16'!$J$10:$J$224),0),
IF('TL16'!$B$229=O$3,SUMIF('TL16'!$C$238:$C$451,$C80,'TL16'!$J$238:$J$451),0),
IF('TL17'!$B$3=O$3,SUMIF('TL17'!$C$10:$C$224,$C80,'TL17'!$J$10:$J$224),0),
IF('TL17'!$B$229=O$3,SUMIF('TL17'!$C$238:$C$451,$C80,'TL17'!$J$238:$J$451),0),
IF('TL18'!$B$3=O$3,SUMIF('TL18'!$C$10:$C$224,$C80,'TL18'!$J$10:$J$224),0),
IF('TL18'!$B$229=O$3,SUMIF('TL18'!$C$238:$C$451,$C80,'TL18'!$J$238:$J$451),0),
IF('TL19'!$B$3=O$3,SUMIF('TL19'!$C$10:$C$224,$C80,'TL19'!$J$10:$J$224),0),
IF('TL19'!$B$229=O$3,SUMIF('TL19'!$C$238:$C$451,$C80,'TL19'!$J$238:$J$451),0)
),0)</f>
        <v>0</v>
      </c>
      <c r="P80" s="9">
        <f>IFERROR(SUM(
IF('TL01'!$B$3=P$3,SUMIF('TL01'!$C$10:$C$224,$C80,'TL01'!$J$10:$J$224),0),
IF('TL01'!$B$229=P$3,SUMIF('TL01'!$C$238:$C$451,$C80,'TL01'!$J$238:$J$451),0),
IF('TL02'!$B$3=P$3,SUMIF('TL02'!$C$10:$C$224,$C80,'TL02'!$J$10:$J$224),0),
IF('TL02'!$B$229=P$3,SUMIF('TL02'!$C$238:$C$451,$C80,'TL02'!$J$238:$J$451),0),
IF('TL03'!$B$3=P$3,SUMIF('TL03'!$C$10:$C$224,$C80,'TL03'!$J$10:$J$224),0),
IF('TL03'!$B$229=P$3,SUMIF('TL03'!$C$238:$C$451,$C80,'TL03'!$J$238:$J$451),0),
IF('TL04'!$B$3=P$3,SUMIF('TL04'!$C$10:$C$224,$C80,'TL04'!$J$10:$J$224),0),
IF('TL04'!$B$229=P$3,SUMIF('TL04'!$C$238:$C$451,$C80,'TL04'!$J$238:$J$451),0),
IF('TL05'!$B$3=P$3,SUMIF('TL05'!$C$10:$C$224,$C80,'TL05'!$J$10:$J$224),0),
IF('TL05'!$B$229=P$3,SUMIF('TL05'!$C$238:$C$451,$C80,'TL05'!$J$238:$J$451),0),
IF('TL06'!$B$3=P$3,SUMIF('TL06'!$C$10:$C$224,$C80,'TL06'!$J$10:$J$224),0),
IF('TL06'!$B$229=P$3,SUMIF('TL06'!$C$238:$C$451,$C80,'TL06'!$J$238:$J$451),0),
IF('TL07'!$B$3=P$3,SUMIF('TL07'!$C$10:$C$224,$C80,'TL07'!$J$10:$J$224),0),
IF('TL07'!$B$229=P$3,SUMIF('TL07'!$C$238:$C$451,$C80,'TL07'!$J$238:$J$451),0),
IF('TL08'!$B$3=P$3,SUMIF('TL08'!$C$10:$C$224,$C80,'TL08'!$J$10:$J$224),0),
IF('TL08'!$B$229=P$3,SUMIF('TL08'!$C$238:$C$451,$C80,'TL08'!$J$238:$J$451),0),
IF('TL09'!$B$3=P$3,SUMIF('TL09'!$C$10:$C$224,$C80,'TL09'!$J$10:$J$224),0),
IF('TL09'!$B$229=P$3,SUMIF('TL09'!$C$238:$C$451,$C80,'TL09'!$J$238:$J$451),0),
IF('TL10'!$B$3=P$3,SUMIF('TL10'!$C$10:$C$224,$C80,'TL10'!$J$10:$J$224),0),
IF('TL10'!$B$229=P$3,SUMIF('TL10'!$C$238:$C$451,$C80,'TL10'!$J$238:$J$451),0),
IF('TL11'!$B$3=P$3,SUMIF('TL11'!$C$10:$C$224,$C80,'TL11'!$J$10:$J$224),0),
IF('TL11'!$B$229=P$3,SUMIF('TL11'!$C$238:$C$451,$C80,'TL11'!$J$238:$J$451),0),
IF('TL12'!$B$3=P$3,SUMIF('TL12'!$C$10:$C$224,$C80,'TL12'!$J$10:$J$224),0),
IF('TL12'!$B$229=P$3,SUMIF('TL12'!$C$238:$C$451,$C80,'TL12'!$J$238:$J$451),0),
IF('TL13'!$B$3=P$3,SUMIF('TL13'!$C$10:$C$224,$C80,'TL13'!$J$10:$J$224),0),
IF('TL13'!$B$229=P$3,SUMIF('TL13'!$C$238:$C$451,$C80,'TL13'!$J$238:$J$451),0),
IF('TL14'!$B$3=P$3,SUMIF('TL14'!$C$10:$C$224,$C80,'TL14'!$J$10:$J$224),0),
IF('TL14'!$B$229=P$3,SUMIF('TL14'!$C$238:$C$451,$C80,'TL14'!$J$238:$J$451),0),
IF('TL15'!$B$3=P$3,SUMIF('TL15'!$C$10:$C$224,$C80,'TL15'!$J$10:$J$224),0),
IF('TL15'!$B$229=P$3,SUMIF('TL15'!$C$238:$C$451,$C80,'TL15'!$J$238:$J$451),0),
IF('TL16'!$B$3=P$3,SUMIF('TL16'!$C$10:$C$224,$C80,'TL16'!$J$10:$J$224),0),
IF('TL16'!$B$229=P$3,SUMIF('TL16'!$C$238:$C$451,$C80,'TL16'!$J$238:$J$451),0),
IF('TL17'!$B$3=P$3,SUMIF('TL17'!$C$10:$C$224,$C80,'TL17'!$J$10:$J$224),0),
IF('TL17'!$B$229=P$3,SUMIF('TL17'!$C$238:$C$451,$C80,'TL17'!$J$238:$J$451),0),
IF('TL18'!$B$3=P$3,SUMIF('TL18'!$C$10:$C$224,$C80,'TL18'!$J$10:$J$224),0),
IF('TL18'!$B$229=P$3,SUMIF('TL18'!$C$238:$C$451,$C80,'TL18'!$J$238:$J$451),0),
IF('TL19'!$B$3=P$3,SUMIF('TL19'!$C$10:$C$224,$C80,'TL19'!$J$10:$J$224),0),
IF('TL19'!$B$229=P$3,SUMIF('TL19'!$C$238:$C$451,$C80,'TL19'!$J$238:$J$451),0)
),0)</f>
        <v>0</v>
      </c>
      <c r="Q80" s="9">
        <f>IFERROR(SUM(
IF('TL01'!$B$3=Q$3,SUMIF('TL01'!$C$10:$C$224,$C80,'TL01'!$J$10:$J$224),0),
IF('TL01'!$B$229=Q$3,SUMIF('TL01'!$C$238:$C$451,$C80,'TL01'!$J$238:$J$451),0),
IF('TL02'!$B$3=Q$3,SUMIF('TL02'!$C$10:$C$224,$C80,'TL02'!$J$10:$J$224),0),
IF('TL02'!$B$229=Q$3,SUMIF('TL02'!$C$238:$C$451,$C80,'TL02'!$J$238:$J$451),0),
IF('TL03'!$B$3=Q$3,SUMIF('TL03'!$C$10:$C$224,$C80,'TL03'!$J$10:$J$224),0),
IF('TL03'!$B$229=Q$3,SUMIF('TL03'!$C$238:$C$451,$C80,'TL03'!$J$238:$J$451),0),
IF('TL04'!$B$3=Q$3,SUMIF('TL04'!$C$10:$C$224,$C80,'TL04'!$J$10:$J$224),0),
IF('TL04'!$B$229=Q$3,SUMIF('TL04'!$C$238:$C$451,$C80,'TL04'!$J$238:$J$451),0),
IF('TL05'!$B$3=Q$3,SUMIF('TL05'!$C$10:$C$224,$C80,'TL05'!$J$10:$J$224),0),
IF('TL05'!$B$229=Q$3,SUMIF('TL05'!$C$238:$C$451,$C80,'TL05'!$J$238:$J$451),0),
IF('TL06'!$B$3=Q$3,SUMIF('TL06'!$C$10:$C$224,$C80,'TL06'!$J$10:$J$224),0),
IF('TL06'!$B$229=Q$3,SUMIF('TL06'!$C$238:$C$451,$C80,'TL06'!$J$238:$J$451),0),
IF('TL07'!$B$3=Q$3,SUMIF('TL07'!$C$10:$C$224,$C80,'TL07'!$J$10:$J$224),0),
IF('TL07'!$B$229=Q$3,SUMIF('TL07'!$C$238:$C$451,$C80,'TL07'!$J$238:$J$451),0),
IF('TL08'!$B$3=Q$3,SUMIF('TL08'!$C$10:$C$224,$C80,'TL08'!$J$10:$J$224),0),
IF('TL08'!$B$229=Q$3,SUMIF('TL08'!$C$238:$C$451,$C80,'TL08'!$J$238:$J$451),0),
IF('TL09'!$B$3=Q$3,SUMIF('TL09'!$C$10:$C$224,$C80,'TL09'!$J$10:$J$224),0),
IF('TL09'!$B$229=Q$3,SUMIF('TL09'!$C$238:$C$451,$C80,'TL09'!$J$238:$J$451),0),
IF('TL10'!$B$3=Q$3,SUMIF('TL10'!$C$10:$C$224,$C80,'TL10'!$J$10:$J$224),0),
IF('TL10'!$B$229=Q$3,SUMIF('TL10'!$C$238:$C$451,$C80,'TL10'!$J$238:$J$451),0),
IF('TL11'!$B$3=Q$3,SUMIF('TL11'!$C$10:$C$224,$C80,'TL11'!$J$10:$J$224),0),
IF('TL11'!$B$229=Q$3,SUMIF('TL11'!$C$238:$C$451,$C80,'TL11'!$J$238:$J$451),0),
IF('TL12'!$B$3=Q$3,SUMIF('TL12'!$C$10:$C$224,$C80,'TL12'!$J$10:$J$224),0),
IF('TL12'!$B$229=Q$3,SUMIF('TL12'!$C$238:$C$451,$C80,'TL12'!$J$238:$J$451),0),
IF('TL13'!$B$3=Q$3,SUMIF('TL13'!$C$10:$C$224,$C80,'TL13'!$J$10:$J$224),0),
IF('TL13'!$B$229=Q$3,SUMIF('TL13'!$C$238:$C$451,$C80,'TL13'!$J$238:$J$451),0),
IF('TL14'!$B$3=Q$3,SUMIF('TL14'!$C$10:$C$224,$C80,'TL14'!$J$10:$J$224),0),
IF('TL14'!$B$229=Q$3,SUMIF('TL14'!$C$238:$C$451,$C80,'TL14'!$J$238:$J$451),0),
IF('TL15'!$B$3=Q$3,SUMIF('TL15'!$C$10:$C$224,$C80,'TL15'!$J$10:$J$224),0),
IF('TL15'!$B$229=Q$3,SUMIF('TL15'!$C$238:$C$451,$C80,'TL15'!$J$238:$J$451),0),
IF('TL16'!$B$3=Q$3,SUMIF('TL16'!$C$10:$C$224,$C80,'TL16'!$J$10:$J$224),0),
IF('TL16'!$B$229=Q$3,SUMIF('TL16'!$C$238:$C$451,$C80,'TL16'!$J$238:$J$451),0),
IF('TL17'!$B$3=Q$3,SUMIF('TL17'!$C$10:$C$224,$C80,'TL17'!$J$10:$J$224),0),
IF('TL17'!$B$229=Q$3,SUMIF('TL17'!$C$238:$C$451,$C80,'TL17'!$J$238:$J$451),0),
IF('TL18'!$B$3=Q$3,SUMIF('TL18'!$C$10:$C$224,$C80,'TL18'!$J$10:$J$224),0),
IF('TL18'!$B$229=Q$3,SUMIF('TL18'!$C$238:$C$451,$C80,'TL18'!$J$238:$J$451),0),
IF('TL19'!$B$3=Q$3,SUMIF('TL19'!$C$10:$C$224,$C80,'TL19'!$J$10:$J$224),0),
IF('TL19'!$B$229=Q$3,SUMIF('TL19'!$C$238:$C$451,$C80,'TL19'!$J$238:$J$451),0)
),0)</f>
        <v>0</v>
      </c>
      <c r="R80" s="9">
        <f>IFERROR(
SUM(
SUMIF('TL01'!C:C,C80,'TL01'!J:J),
SUMIF('TL02'!C:C,C80,'TL02'!J:J),
SUMIF('TL03'!C:C,C80,'TL03'!J:J),
SUMIF('TL04'!C:C,C80,'TL04'!J:J),
SUMIF('TL05'!C:C,C80,'TL05'!J:J),
SUMIF('TL06'!C:C,C80,'TL06'!J:J),
SUMIF('TL07'!C:C,C80,'TL07'!J:J),
SUMIF('TL08'!C:C,C80,'TL08'!J:J),
SUMIF('TL09'!C:C,C80,'TL09'!J:J),
SUMIF('TL10'!C:C,C80,'TL10'!J:J),
SUMIF('TL11'!C:C,C80,'TL11'!J:J),
SUMIF('TL12'!C:C,C80,'TL12'!J:J),
SUMIF('TL13'!C:C,C80,'TL13'!J:J),
SUMIF('TL14'!C:C,C80,'TL14'!J:J),
SUMIF('TL15'!C:C,C80,'TL15'!J:J),
SUMIF('TL16'!C:C,C80,'TL16'!J:J),
SUMIF('TL17'!C:C,C80,'TL17'!J:J),
SUMIF('TL18'!C:C,C80,'TL18'!J:J),SUMIF('TL19'!C:C,C80,'TL19'!J:J))
,0)</f>
        <v>0</v>
      </c>
      <c r="S80" s="17">
        <f>IFERROR(__xludf.DUMMYFUNCTION("IFERROR(VLOOKUP(C80,
IMPORTRANGE(""1wULbzX32WdYsx-lj2U3uUNBBe2INVIRDtcK0d-Dvl90"",
""26-27!C:G""),
5,
FALSE),
"""")"),53.33184000000001)</f>
        <v>53.33184</v>
      </c>
      <c r="T80" s="9"/>
      <c r="U80" s="92">
        <f t="shared" si="2"/>
        <v>0</v>
      </c>
      <c r="V80" s="93">
        <f t="shared" si="3"/>
        <v>0</v>
      </c>
    </row>
    <row r="81" ht="15.75" hidden="1" customHeight="1">
      <c r="A81" s="111" t="s">
        <v>534</v>
      </c>
      <c r="B81" s="112" t="s">
        <v>0</v>
      </c>
      <c r="C81" s="113" t="s">
        <v>546</v>
      </c>
      <c r="D81" s="113" t="s">
        <v>533</v>
      </c>
      <c r="E81" s="113">
        <v>850.0</v>
      </c>
      <c r="F81" s="4" t="s">
        <v>343</v>
      </c>
      <c r="G81" s="90" t="str">
        <f t="shared" si="4"/>
        <v>📄 Ver bula</v>
      </c>
      <c r="H81" s="9" t="str">
        <f>IFERROR(__xludf.DUMMYFUNCTION("IFERROR(VLOOKUP(C81,
IMPORTRANGE(""1wULbzX32WdYsx-lj2U3uUNBBe2INVIRDtcK0d-Dvl90"",
""26-27!C:K""),
8,
FALSE),
"""")"),"")</f>
        <v/>
      </c>
      <c r="I81" s="114" t="s">
        <v>542</v>
      </c>
      <c r="J81" s="9">
        <f>IFERROR(SUM(
IF('TL01'!$B$3=J$3,SUMIF('TL01'!$C$10:$C$224,$C81,'TL01'!$J$10:$J$224),0),
IF('TL01'!$B$229=J$3,SUMIF('TL01'!$C$238:$C$451,$C81,'TL01'!$J$238:$J$451),0),
IF('TL02'!$B$3=J$3,SUMIF('TL02'!$C$10:$C$224,$C81,'TL02'!$J$10:$J$224),0),
IF('TL02'!$B$229=J$3,SUMIF('TL02'!$C$238:$C$451,$C81,'TL02'!$J$238:$J$451),0),
IF('TL03'!$B$3=J$3,SUMIF('TL03'!$C$10:$C$224,$C81,'TL03'!$J$10:$J$224),0),
IF('TL03'!$B$229=J$3,SUMIF('TL03'!$C$238:$C$451,$C81,'TL03'!$J$238:$J$451),0),
IF('TL04'!$B$3=J$3,SUMIF('TL04'!$C$10:$C$224,$C81,'TL04'!$J$10:$J$224),0),
IF('TL04'!$B$229=J$3,SUMIF('TL04'!$C$238:$C$451,$C81,'TL04'!$J$238:$J$451),0),
IF('TL05'!$B$3=J$3,SUMIF('TL05'!$C$10:$C$224,$C81,'TL05'!$J$10:$J$224),0),
IF('TL05'!$B$229=J$3,SUMIF('TL05'!$C$238:$C$451,$C81,'TL05'!$J$238:$J$451),0),
IF('TL06'!$B$3=J$3,SUMIF('TL06'!$C$10:$C$224,$C81,'TL06'!$J$10:$J$224),0),
IF('TL06'!$B$229=J$3,SUMIF('TL06'!$C$238:$C$451,$C81,'TL06'!$J$238:$J$451),0),
IF('TL07'!$B$3=J$3,SUMIF('TL07'!$C$10:$C$224,$C81,'TL07'!$J$10:$J$224),0),
IF('TL07'!$B$229=J$3,SUMIF('TL07'!$C$238:$C$451,$C81,'TL07'!$J$238:$J$451),0),
IF('TL08'!$B$3=J$3,SUMIF('TL08'!$C$10:$C$224,$C81,'TL08'!$J$10:$J$224),0),
IF('TL08'!$B$229=J$3,SUMIF('TL08'!$C$238:$C$451,$C81,'TL08'!$J$238:$J$451),0),
IF('TL09'!$B$3=J$3,SUMIF('TL09'!$C$10:$C$224,$C81,'TL09'!$J$10:$J$224),0),
IF('TL09'!$B$229=J$3,SUMIF('TL09'!$C$238:$C$451,$C81,'TL09'!$J$238:$J$451),0),
IF('TL10'!$B$3=J$3,SUMIF('TL10'!$C$10:$C$224,$C81,'TL10'!$J$10:$J$224),0),
IF('TL10'!$B$229=J$3,SUMIF('TL10'!$C$238:$C$451,$C81,'TL10'!$J$238:$J$451),0),
IF('TL11'!$B$3=J$3,SUMIF('TL11'!$C$10:$C$224,$C81,'TL11'!$J$10:$J$224),0),
IF('TL11'!$B$229=J$3,SUMIF('TL11'!$C$238:$C$451,$C81,'TL11'!$J$238:$J$451),0),
IF('TL12'!$B$3=J$3,SUMIF('TL12'!$C$10:$C$224,$C81,'TL12'!$J$10:$J$224),0),
IF('TL12'!$B$229=J$3,SUMIF('TL12'!$C$238:$C$451,$C81,'TL12'!$J$238:$J$451),0),
IF('TL13'!$B$3=J$3,SUMIF('TL13'!$C$10:$C$224,$C81,'TL13'!$J$10:$J$224),0),
IF('TL13'!$B$229=J$3,SUMIF('TL13'!$C$238:$C$451,$C81,'TL13'!$J$238:$J$451),0),
IF('TL14'!$B$3=J$3,SUMIF('TL14'!$C$10:$C$224,$C81,'TL14'!$J$10:$J$224),0),
IF('TL14'!$B$229=J$3,SUMIF('TL14'!$C$238:$C$451,$C81,'TL14'!$J$238:$J$451),0),
IF('TL15'!$B$3=J$3,SUMIF('TL15'!$C$10:$C$224,$C81,'TL15'!$J$10:$J$224),0),
IF('TL15'!$B$229=J$3,SUMIF('TL15'!$C$238:$C$451,$C81,'TL15'!$J$238:$J$451),0),
IF('TL16'!$B$3=J$3,SUMIF('TL16'!$C$10:$C$224,$C81,'TL16'!$J$10:$J$224),0),
IF('TL16'!$B$229=J$3,SUMIF('TL16'!$C$238:$C$451,$C81,'TL16'!$J$238:$J$451),0),
IF('TL17'!$B$3=J$3,SUMIF('TL17'!$C$10:$C$224,$C81,'TL17'!$J$10:$J$224),0),
IF('TL17'!$B$229=J$3,SUMIF('TL17'!$C$238:$C$451,$C81,'TL17'!$J$238:$J$451),0),
IF('TL18'!$B$3=J$3,SUMIF('TL18'!$C$10:$C$224,$C81,'TL18'!$J$10:$J$224),0),
IF('TL18'!$B$229=J$3,SUMIF('TL18'!$C$238:$C$451,$C81,'TL18'!$J$238:$J$451),0),
IF('TL19'!$B$3=J$3,SUMIF('TL19'!$C$10:$C$224,$C81,'TL19'!$J$10:$J$224),0),
IF('TL19'!$B$229=J$3,SUMIF('TL19'!$C$238:$C$451,$C81,'TL19'!$J$238:$J$451),0)
),0)</f>
        <v>0</v>
      </c>
      <c r="K81" s="9">
        <f>IFERROR(SUM(
IF('TL01'!$B$3=K$3,SUMIF('TL01'!$C$10:$C$224,$C81,'TL01'!$J$10:$J$224),0),
IF('TL01'!$B$229=K$3,SUMIF('TL01'!$C$238:$C$451,$C81,'TL01'!$J$238:$J$451),0),
IF('TL02'!$B$3=K$3,SUMIF('TL02'!$C$10:$C$224,$C81,'TL02'!$J$10:$J$224),0),
IF('TL02'!$B$229=K$3,SUMIF('TL02'!$C$238:$C$451,$C81,'TL02'!$J$238:$J$451),0),
IF('TL03'!$B$3=K$3,SUMIF('TL03'!$C$10:$C$224,$C81,'TL03'!$J$10:$J$224),0),
IF('TL03'!$B$229=K$3,SUMIF('TL03'!$C$238:$C$451,$C81,'TL03'!$J$238:$J$451),0),
IF('TL04'!$B$3=K$3,SUMIF('TL04'!$C$10:$C$224,$C81,'TL04'!$J$10:$J$224),0),
IF('TL04'!$B$229=K$3,SUMIF('TL04'!$C$238:$C$451,$C81,'TL04'!$J$238:$J$451),0),
IF('TL05'!$B$3=K$3,SUMIF('TL05'!$C$10:$C$224,$C81,'TL05'!$J$10:$J$224),0),
IF('TL05'!$B$229=K$3,SUMIF('TL05'!$C$238:$C$451,$C81,'TL05'!$J$238:$J$451),0),
IF('TL06'!$B$3=K$3,SUMIF('TL06'!$C$10:$C$224,$C81,'TL06'!$J$10:$J$224),0),
IF('TL06'!$B$229=K$3,SUMIF('TL06'!$C$238:$C$451,$C81,'TL06'!$J$238:$J$451),0),
IF('TL07'!$B$3=K$3,SUMIF('TL07'!$C$10:$C$224,$C81,'TL07'!$J$10:$J$224),0),
IF('TL07'!$B$229=K$3,SUMIF('TL07'!$C$238:$C$451,$C81,'TL07'!$J$238:$J$451),0),
IF('TL08'!$B$3=K$3,SUMIF('TL08'!$C$10:$C$224,$C81,'TL08'!$J$10:$J$224),0),
IF('TL08'!$B$229=K$3,SUMIF('TL08'!$C$238:$C$451,$C81,'TL08'!$J$238:$J$451),0),
IF('TL09'!$B$3=K$3,SUMIF('TL09'!$C$10:$C$224,$C81,'TL09'!$J$10:$J$224),0),
IF('TL09'!$B$229=K$3,SUMIF('TL09'!$C$238:$C$451,$C81,'TL09'!$J$238:$J$451),0),
IF('TL10'!$B$3=K$3,SUMIF('TL10'!$C$10:$C$224,$C81,'TL10'!$J$10:$J$224),0),
IF('TL10'!$B$229=K$3,SUMIF('TL10'!$C$238:$C$451,$C81,'TL10'!$J$238:$J$451),0),
IF('TL11'!$B$3=K$3,SUMIF('TL11'!$C$10:$C$224,$C81,'TL11'!$J$10:$J$224),0),
IF('TL11'!$B$229=K$3,SUMIF('TL11'!$C$238:$C$451,$C81,'TL11'!$J$238:$J$451),0),
IF('TL12'!$B$3=K$3,SUMIF('TL12'!$C$10:$C$224,$C81,'TL12'!$J$10:$J$224),0),
IF('TL12'!$B$229=K$3,SUMIF('TL12'!$C$238:$C$451,$C81,'TL12'!$J$238:$J$451),0),
IF('TL13'!$B$3=K$3,SUMIF('TL13'!$C$10:$C$224,$C81,'TL13'!$J$10:$J$224),0),
IF('TL13'!$B$229=K$3,SUMIF('TL13'!$C$238:$C$451,$C81,'TL13'!$J$238:$J$451),0),
IF('TL14'!$B$3=K$3,SUMIF('TL14'!$C$10:$C$224,$C81,'TL14'!$J$10:$J$224),0),
IF('TL14'!$B$229=K$3,SUMIF('TL14'!$C$238:$C$451,$C81,'TL14'!$J$238:$J$451),0),
IF('TL15'!$B$3=K$3,SUMIF('TL15'!$C$10:$C$224,$C81,'TL15'!$J$10:$J$224),0),
IF('TL15'!$B$229=K$3,SUMIF('TL15'!$C$238:$C$451,$C81,'TL15'!$J$238:$J$451),0),
IF('TL16'!$B$3=K$3,SUMIF('TL16'!$C$10:$C$224,$C81,'TL16'!$J$10:$J$224),0),
IF('TL16'!$B$229=K$3,SUMIF('TL16'!$C$238:$C$451,$C81,'TL16'!$J$238:$J$451),0),
IF('TL17'!$B$3=K$3,SUMIF('TL17'!$C$10:$C$224,$C81,'TL17'!$J$10:$J$224),0),
IF('TL17'!$B$229=K$3,SUMIF('TL17'!$C$238:$C$451,$C81,'TL17'!$J$238:$J$451),0),
IF('TL18'!$B$3=K$3,SUMIF('TL18'!$C$10:$C$224,$C81,'TL18'!$J$10:$J$224),0),
IF('TL18'!$B$229=K$3,SUMIF('TL18'!$C$238:$C$451,$C81,'TL18'!$J$238:$J$451),0),
IF('TL19'!$B$3=K$3,SUMIF('TL19'!$C$10:$C$224,$C81,'TL19'!$J$10:$J$224),0),
IF('TL19'!$B$229=K$3,SUMIF('TL19'!$C$238:$C$451,$C81,'TL19'!$J$238:$J$451),0)
),0)</f>
        <v>0</v>
      </c>
      <c r="L81" s="9">
        <f>IFERROR(SUM(
IF('TL01'!$B$3=L$3,SUMIF('TL01'!$C$10:$C$224,$C81,'TL01'!$J$10:$J$224),0),
IF('TL01'!$B$229=L$3,SUMIF('TL01'!$C$238:$C$451,$C81,'TL01'!$J$238:$J$451),0),
IF('TL02'!$B$3=L$3,SUMIF('TL02'!$C$10:$C$224,$C81,'TL02'!$J$10:$J$224),0),
IF('TL02'!$B$229=L$3,SUMIF('TL02'!$C$238:$C$451,$C81,'TL02'!$J$238:$J$451),0),
IF('TL03'!$B$3=L$3,SUMIF('TL03'!$C$10:$C$224,$C81,'TL03'!$J$10:$J$224),0),
IF('TL03'!$B$229=L$3,SUMIF('TL03'!$C$238:$C$451,$C81,'TL03'!$J$238:$J$451),0),
IF('TL04'!$B$3=L$3,SUMIF('TL04'!$C$10:$C$224,$C81,'TL04'!$J$10:$J$224),0),
IF('TL04'!$B$229=L$3,SUMIF('TL04'!$C$238:$C$451,$C81,'TL04'!$J$238:$J$451),0),
IF('TL05'!$B$3=L$3,SUMIF('TL05'!$C$10:$C$224,$C81,'TL05'!$J$10:$J$224),0),
IF('TL05'!$B$229=L$3,SUMIF('TL05'!$C$238:$C$451,$C81,'TL05'!$J$238:$J$451),0),
IF('TL06'!$B$3=L$3,SUMIF('TL06'!$C$10:$C$224,$C81,'TL06'!$J$10:$J$224),0),
IF('TL06'!$B$229=L$3,SUMIF('TL06'!$C$238:$C$451,$C81,'TL06'!$J$238:$J$451),0),
IF('TL07'!$B$3=L$3,SUMIF('TL07'!$C$10:$C$224,$C81,'TL07'!$J$10:$J$224),0),
IF('TL07'!$B$229=L$3,SUMIF('TL07'!$C$238:$C$451,$C81,'TL07'!$J$238:$J$451),0),
IF('TL08'!$B$3=L$3,SUMIF('TL08'!$C$10:$C$224,$C81,'TL08'!$J$10:$J$224),0),
IF('TL08'!$B$229=L$3,SUMIF('TL08'!$C$238:$C$451,$C81,'TL08'!$J$238:$J$451),0),
IF('TL09'!$B$3=L$3,SUMIF('TL09'!$C$10:$C$224,$C81,'TL09'!$J$10:$J$224),0),
IF('TL09'!$B$229=L$3,SUMIF('TL09'!$C$238:$C$451,$C81,'TL09'!$J$238:$J$451),0),
IF('TL10'!$B$3=L$3,SUMIF('TL10'!$C$10:$C$224,$C81,'TL10'!$J$10:$J$224),0),
IF('TL10'!$B$229=L$3,SUMIF('TL10'!$C$238:$C$451,$C81,'TL10'!$J$238:$J$451),0),
IF('TL11'!$B$3=L$3,SUMIF('TL11'!$C$10:$C$224,$C81,'TL11'!$J$10:$J$224),0),
IF('TL11'!$B$229=L$3,SUMIF('TL11'!$C$238:$C$451,$C81,'TL11'!$J$238:$J$451),0),
IF('TL12'!$B$3=L$3,SUMIF('TL12'!$C$10:$C$224,$C81,'TL12'!$J$10:$J$224),0),
IF('TL12'!$B$229=L$3,SUMIF('TL12'!$C$238:$C$451,$C81,'TL12'!$J$238:$J$451),0),
IF('TL13'!$B$3=L$3,SUMIF('TL13'!$C$10:$C$224,$C81,'TL13'!$J$10:$J$224),0),
IF('TL13'!$B$229=L$3,SUMIF('TL13'!$C$238:$C$451,$C81,'TL13'!$J$238:$J$451),0),
IF('TL14'!$B$3=L$3,SUMIF('TL14'!$C$10:$C$224,$C81,'TL14'!$J$10:$J$224),0),
IF('TL14'!$B$229=L$3,SUMIF('TL14'!$C$238:$C$451,$C81,'TL14'!$J$238:$J$451),0),
IF('TL15'!$B$3=L$3,SUMIF('TL15'!$C$10:$C$224,$C81,'TL15'!$J$10:$J$224),0),
IF('TL15'!$B$229=L$3,SUMIF('TL15'!$C$238:$C$451,$C81,'TL15'!$J$238:$J$451),0),
IF('TL16'!$B$3=L$3,SUMIF('TL16'!$C$10:$C$224,$C81,'TL16'!$J$10:$J$224),0),
IF('TL16'!$B$229=L$3,SUMIF('TL16'!$C$238:$C$451,$C81,'TL16'!$J$238:$J$451),0),
IF('TL17'!$B$3=L$3,SUMIF('TL17'!$C$10:$C$224,$C81,'TL17'!$J$10:$J$224),0),
IF('TL17'!$B$229=L$3,SUMIF('TL17'!$C$238:$C$451,$C81,'TL17'!$J$238:$J$451),0),
IF('TL18'!$B$3=L$3,SUMIF('TL18'!$C$10:$C$224,$C81,'TL18'!$J$10:$J$224),0),
IF('TL18'!$B$229=L$3,SUMIF('TL18'!$C$238:$C$451,$C81,'TL18'!$J$238:$J$451),0),
IF('TL19'!$B$3=L$3,SUMIF('TL19'!$C$10:$C$224,$C81,'TL19'!$J$10:$J$224),0),
IF('TL19'!$B$229=L$3,SUMIF('TL19'!$C$238:$C$451,$C81,'TL19'!$J$238:$J$451),0)
),0)</f>
        <v>0</v>
      </c>
      <c r="M81" s="9">
        <f>IFERROR(SUM(
IF('TL01'!$B$3=M$3,SUMIF('TL01'!$C$10:$C$224,$C81,'TL01'!$J$10:$J$224),0),
IF('TL01'!$B$229=M$3,SUMIF('TL01'!$C$238:$C$451,$C81,'TL01'!$J$238:$J$451),0),
IF('TL02'!$B$3=M$3,SUMIF('TL02'!$C$10:$C$224,$C81,'TL02'!$J$10:$J$224),0),
IF('TL02'!$B$229=M$3,SUMIF('TL02'!$C$238:$C$451,$C81,'TL02'!$J$238:$J$451),0),
IF('TL03'!$B$3=M$3,SUMIF('TL03'!$C$10:$C$224,$C81,'TL03'!$J$10:$J$224),0),
IF('TL03'!$B$229=M$3,SUMIF('TL03'!$C$238:$C$451,$C81,'TL03'!$J$238:$J$451),0),
IF('TL04'!$B$3=M$3,SUMIF('TL04'!$C$10:$C$224,$C81,'TL04'!$J$10:$J$224),0),
IF('TL04'!$B$229=M$3,SUMIF('TL04'!$C$238:$C$451,$C81,'TL04'!$J$238:$J$451),0),
IF('TL05'!$B$3=M$3,SUMIF('TL05'!$C$10:$C$224,$C81,'TL05'!$J$10:$J$224),0),
IF('TL05'!$B$229=M$3,SUMIF('TL05'!$C$238:$C$451,$C81,'TL05'!$J$238:$J$451),0),
IF('TL06'!$B$3=M$3,SUMIF('TL06'!$C$10:$C$224,$C81,'TL06'!$J$10:$J$224),0),
IF('TL06'!$B$229=M$3,SUMIF('TL06'!$C$238:$C$451,$C81,'TL06'!$J$238:$J$451),0),
IF('TL07'!$B$3=M$3,SUMIF('TL07'!$C$10:$C$224,$C81,'TL07'!$J$10:$J$224),0),
IF('TL07'!$B$229=M$3,SUMIF('TL07'!$C$238:$C$451,$C81,'TL07'!$J$238:$J$451),0),
IF('TL08'!$B$3=M$3,SUMIF('TL08'!$C$10:$C$224,$C81,'TL08'!$J$10:$J$224),0),
IF('TL08'!$B$229=M$3,SUMIF('TL08'!$C$238:$C$451,$C81,'TL08'!$J$238:$J$451),0),
IF('TL09'!$B$3=M$3,SUMIF('TL09'!$C$10:$C$224,$C81,'TL09'!$J$10:$J$224),0),
IF('TL09'!$B$229=M$3,SUMIF('TL09'!$C$238:$C$451,$C81,'TL09'!$J$238:$J$451),0),
IF('TL10'!$B$3=M$3,SUMIF('TL10'!$C$10:$C$224,$C81,'TL10'!$J$10:$J$224),0),
IF('TL10'!$B$229=M$3,SUMIF('TL10'!$C$238:$C$451,$C81,'TL10'!$J$238:$J$451),0),
IF('TL11'!$B$3=M$3,SUMIF('TL11'!$C$10:$C$224,$C81,'TL11'!$J$10:$J$224),0),
IF('TL11'!$B$229=M$3,SUMIF('TL11'!$C$238:$C$451,$C81,'TL11'!$J$238:$J$451),0),
IF('TL12'!$B$3=M$3,SUMIF('TL12'!$C$10:$C$224,$C81,'TL12'!$J$10:$J$224),0),
IF('TL12'!$B$229=M$3,SUMIF('TL12'!$C$238:$C$451,$C81,'TL12'!$J$238:$J$451),0),
IF('TL13'!$B$3=M$3,SUMIF('TL13'!$C$10:$C$224,$C81,'TL13'!$J$10:$J$224),0),
IF('TL13'!$B$229=M$3,SUMIF('TL13'!$C$238:$C$451,$C81,'TL13'!$J$238:$J$451),0),
IF('TL14'!$B$3=M$3,SUMIF('TL14'!$C$10:$C$224,$C81,'TL14'!$J$10:$J$224),0),
IF('TL14'!$B$229=M$3,SUMIF('TL14'!$C$238:$C$451,$C81,'TL14'!$J$238:$J$451),0),
IF('TL15'!$B$3=M$3,SUMIF('TL15'!$C$10:$C$224,$C81,'TL15'!$J$10:$J$224),0),
IF('TL15'!$B$229=M$3,SUMIF('TL15'!$C$238:$C$451,$C81,'TL15'!$J$238:$J$451),0),
IF('TL16'!$B$3=M$3,SUMIF('TL16'!$C$10:$C$224,$C81,'TL16'!$J$10:$J$224),0),
IF('TL16'!$B$229=M$3,SUMIF('TL16'!$C$238:$C$451,$C81,'TL16'!$J$238:$J$451),0),
IF('TL17'!$B$3=M$3,SUMIF('TL17'!$C$10:$C$224,$C81,'TL17'!$J$10:$J$224),0),
IF('TL17'!$B$229=M$3,SUMIF('TL17'!$C$238:$C$451,$C81,'TL17'!$J$238:$J$451),0),
IF('TL18'!$B$3=M$3,SUMIF('TL18'!$C$10:$C$224,$C81,'TL18'!$J$10:$J$224),0),
IF('TL18'!$B$229=M$3,SUMIF('TL18'!$C$238:$C$451,$C81,'TL18'!$J$238:$J$451),0),
IF('TL19'!$B$3=M$3,SUMIF('TL19'!$C$10:$C$224,$C81,'TL19'!$J$10:$J$224),0),
IF('TL19'!$B$229=M$3,SUMIF('TL19'!$C$238:$C$451,$C81,'TL19'!$J$238:$J$451),0)
),0)</f>
        <v>0</v>
      </c>
      <c r="N81" s="9">
        <f>IFERROR(SUM(
IF('TL01'!$B$3=N$3,SUMIF('TL01'!$C$10:$C$224,$C81,'TL01'!$J$10:$J$224),0),
IF('TL01'!$B$229=N$3,SUMIF('TL01'!$C$238:$C$451,$C81,'TL01'!$J$238:$J$451),0),
IF('TL02'!$B$3=N$3,SUMIF('TL02'!$C$10:$C$224,$C81,'TL02'!$J$10:$J$224),0),
IF('TL02'!$B$229=N$3,SUMIF('TL02'!$C$238:$C$451,$C81,'TL02'!$J$238:$J$451),0),
IF('TL03'!$B$3=N$3,SUMIF('TL03'!$C$10:$C$224,$C81,'TL03'!$J$10:$J$224),0),
IF('TL03'!$B$229=N$3,SUMIF('TL03'!$C$238:$C$451,$C81,'TL03'!$J$238:$J$451),0),
IF('TL04'!$B$3=N$3,SUMIF('TL04'!$C$10:$C$224,$C81,'TL04'!$J$10:$J$224),0),
IF('TL04'!$B$229=N$3,SUMIF('TL04'!$C$238:$C$451,$C81,'TL04'!$J$238:$J$451),0),
IF('TL05'!$B$3=N$3,SUMIF('TL05'!$C$10:$C$224,$C81,'TL05'!$J$10:$J$224),0),
IF('TL05'!$B$229=N$3,SUMIF('TL05'!$C$238:$C$451,$C81,'TL05'!$J$238:$J$451),0),
IF('TL06'!$B$3=N$3,SUMIF('TL06'!$C$10:$C$224,$C81,'TL06'!$J$10:$J$224),0),
IF('TL06'!$B$229=N$3,SUMIF('TL06'!$C$238:$C$451,$C81,'TL06'!$J$238:$J$451),0),
IF('TL07'!$B$3=N$3,SUMIF('TL07'!$C$10:$C$224,$C81,'TL07'!$J$10:$J$224),0),
IF('TL07'!$B$229=N$3,SUMIF('TL07'!$C$238:$C$451,$C81,'TL07'!$J$238:$J$451),0),
IF('TL08'!$B$3=N$3,SUMIF('TL08'!$C$10:$C$224,$C81,'TL08'!$J$10:$J$224),0),
IF('TL08'!$B$229=N$3,SUMIF('TL08'!$C$238:$C$451,$C81,'TL08'!$J$238:$J$451),0),
IF('TL09'!$B$3=N$3,SUMIF('TL09'!$C$10:$C$224,$C81,'TL09'!$J$10:$J$224),0),
IF('TL09'!$B$229=N$3,SUMIF('TL09'!$C$238:$C$451,$C81,'TL09'!$J$238:$J$451),0),
IF('TL10'!$B$3=N$3,SUMIF('TL10'!$C$10:$C$224,$C81,'TL10'!$J$10:$J$224),0),
IF('TL10'!$B$229=N$3,SUMIF('TL10'!$C$238:$C$451,$C81,'TL10'!$J$238:$J$451),0),
IF('TL11'!$B$3=N$3,SUMIF('TL11'!$C$10:$C$224,$C81,'TL11'!$J$10:$J$224),0),
IF('TL11'!$B$229=N$3,SUMIF('TL11'!$C$238:$C$451,$C81,'TL11'!$J$238:$J$451),0),
IF('TL12'!$B$3=N$3,SUMIF('TL12'!$C$10:$C$224,$C81,'TL12'!$J$10:$J$224),0),
IF('TL12'!$B$229=N$3,SUMIF('TL12'!$C$238:$C$451,$C81,'TL12'!$J$238:$J$451),0),
IF('TL13'!$B$3=N$3,SUMIF('TL13'!$C$10:$C$224,$C81,'TL13'!$J$10:$J$224),0),
IF('TL13'!$B$229=N$3,SUMIF('TL13'!$C$238:$C$451,$C81,'TL13'!$J$238:$J$451),0),
IF('TL14'!$B$3=N$3,SUMIF('TL14'!$C$10:$C$224,$C81,'TL14'!$J$10:$J$224),0),
IF('TL14'!$B$229=N$3,SUMIF('TL14'!$C$238:$C$451,$C81,'TL14'!$J$238:$J$451),0),
IF('TL15'!$B$3=N$3,SUMIF('TL15'!$C$10:$C$224,$C81,'TL15'!$J$10:$J$224),0),
IF('TL15'!$B$229=N$3,SUMIF('TL15'!$C$238:$C$451,$C81,'TL15'!$J$238:$J$451),0),
IF('TL16'!$B$3=N$3,SUMIF('TL16'!$C$10:$C$224,$C81,'TL16'!$J$10:$J$224),0),
IF('TL16'!$B$229=N$3,SUMIF('TL16'!$C$238:$C$451,$C81,'TL16'!$J$238:$J$451),0),
IF('TL17'!$B$3=N$3,SUMIF('TL17'!$C$10:$C$224,$C81,'TL17'!$J$10:$J$224),0),
IF('TL17'!$B$229=N$3,SUMIF('TL17'!$C$238:$C$451,$C81,'TL17'!$J$238:$J$451),0),
IF('TL18'!$B$3=N$3,SUMIF('TL18'!$C$10:$C$224,$C81,'TL18'!$J$10:$J$224),0),
IF('TL18'!$B$229=N$3,SUMIF('TL18'!$C$238:$C$451,$C81,'TL18'!$J$238:$J$451),0),
IF('TL19'!$B$3=N$3,SUMIF('TL19'!$C$10:$C$224,$C81,'TL19'!$J$10:$J$224),0),
IF('TL19'!$B$229=N$3,SUMIF('TL19'!$C$238:$C$451,$C81,'TL19'!$J$238:$J$451),0)
),0)</f>
        <v>0</v>
      </c>
      <c r="O81" s="9">
        <f>IFERROR(SUM(
IF('TL01'!$B$3=O$3,SUMIF('TL01'!$C$10:$C$224,$C81,'TL01'!$J$10:$J$224),0),
IF('TL01'!$B$229=O$3,SUMIF('TL01'!$C$238:$C$451,$C81,'TL01'!$J$238:$J$451),0),
IF('TL02'!$B$3=O$3,SUMIF('TL02'!$C$10:$C$224,$C81,'TL02'!$J$10:$J$224),0),
IF('TL02'!$B$229=O$3,SUMIF('TL02'!$C$238:$C$451,$C81,'TL02'!$J$238:$J$451),0),
IF('TL03'!$B$3=O$3,SUMIF('TL03'!$C$10:$C$224,$C81,'TL03'!$J$10:$J$224),0),
IF('TL03'!$B$229=O$3,SUMIF('TL03'!$C$238:$C$451,$C81,'TL03'!$J$238:$J$451),0),
IF('TL04'!$B$3=O$3,SUMIF('TL04'!$C$10:$C$224,$C81,'TL04'!$J$10:$J$224),0),
IF('TL04'!$B$229=O$3,SUMIF('TL04'!$C$238:$C$451,$C81,'TL04'!$J$238:$J$451),0),
IF('TL05'!$B$3=O$3,SUMIF('TL05'!$C$10:$C$224,$C81,'TL05'!$J$10:$J$224),0),
IF('TL05'!$B$229=O$3,SUMIF('TL05'!$C$238:$C$451,$C81,'TL05'!$J$238:$J$451),0),
IF('TL06'!$B$3=O$3,SUMIF('TL06'!$C$10:$C$224,$C81,'TL06'!$J$10:$J$224),0),
IF('TL06'!$B$229=O$3,SUMIF('TL06'!$C$238:$C$451,$C81,'TL06'!$J$238:$J$451),0),
IF('TL07'!$B$3=O$3,SUMIF('TL07'!$C$10:$C$224,$C81,'TL07'!$J$10:$J$224),0),
IF('TL07'!$B$229=O$3,SUMIF('TL07'!$C$238:$C$451,$C81,'TL07'!$J$238:$J$451),0),
IF('TL08'!$B$3=O$3,SUMIF('TL08'!$C$10:$C$224,$C81,'TL08'!$J$10:$J$224),0),
IF('TL08'!$B$229=O$3,SUMIF('TL08'!$C$238:$C$451,$C81,'TL08'!$J$238:$J$451),0),
IF('TL09'!$B$3=O$3,SUMIF('TL09'!$C$10:$C$224,$C81,'TL09'!$J$10:$J$224),0),
IF('TL09'!$B$229=O$3,SUMIF('TL09'!$C$238:$C$451,$C81,'TL09'!$J$238:$J$451),0),
IF('TL10'!$B$3=O$3,SUMIF('TL10'!$C$10:$C$224,$C81,'TL10'!$J$10:$J$224),0),
IF('TL10'!$B$229=O$3,SUMIF('TL10'!$C$238:$C$451,$C81,'TL10'!$J$238:$J$451),0),
IF('TL11'!$B$3=O$3,SUMIF('TL11'!$C$10:$C$224,$C81,'TL11'!$J$10:$J$224),0),
IF('TL11'!$B$229=O$3,SUMIF('TL11'!$C$238:$C$451,$C81,'TL11'!$J$238:$J$451),0),
IF('TL12'!$B$3=O$3,SUMIF('TL12'!$C$10:$C$224,$C81,'TL12'!$J$10:$J$224),0),
IF('TL12'!$B$229=O$3,SUMIF('TL12'!$C$238:$C$451,$C81,'TL12'!$J$238:$J$451),0),
IF('TL13'!$B$3=O$3,SUMIF('TL13'!$C$10:$C$224,$C81,'TL13'!$J$10:$J$224),0),
IF('TL13'!$B$229=O$3,SUMIF('TL13'!$C$238:$C$451,$C81,'TL13'!$J$238:$J$451),0),
IF('TL14'!$B$3=O$3,SUMIF('TL14'!$C$10:$C$224,$C81,'TL14'!$J$10:$J$224),0),
IF('TL14'!$B$229=O$3,SUMIF('TL14'!$C$238:$C$451,$C81,'TL14'!$J$238:$J$451),0),
IF('TL15'!$B$3=O$3,SUMIF('TL15'!$C$10:$C$224,$C81,'TL15'!$J$10:$J$224),0),
IF('TL15'!$B$229=O$3,SUMIF('TL15'!$C$238:$C$451,$C81,'TL15'!$J$238:$J$451),0),
IF('TL16'!$B$3=O$3,SUMIF('TL16'!$C$10:$C$224,$C81,'TL16'!$J$10:$J$224),0),
IF('TL16'!$B$229=O$3,SUMIF('TL16'!$C$238:$C$451,$C81,'TL16'!$J$238:$J$451),0),
IF('TL17'!$B$3=O$3,SUMIF('TL17'!$C$10:$C$224,$C81,'TL17'!$J$10:$J$224),0),
IF('TL17'!$B$229=O$3,SUMIF('TL17'!$C$238:$C$451,$C81,'TL17'!$J$238:$J$451),0),
IF('TL18'!$B$3=O$3,SUMIF('TL18'!$C$10:$C$224,$C81,'TL18'!$J$10:$J$224),0),
IF('TL18'!$B$229=O$3,SUMIF('TL18'!$C$238:$C$451,$C81,'TL18'!$J$238:$J$451),0),
IF('TL19'!$B$3=O$3,SUMIF('TL19'!$C$10:$C$224,$C81,'TL19'!$J$10:$J$224),0),
IF('TL19'!$B$229=O$3,SUMIF('TL19'!$C$238:$C$451,$C81,'TL19'!$J$238:$J$451),0)
),0)</f>
        <v>0</v>
      </c>
      <c r="P81" s="9">
        <f>IFERROR(SUM(
IF('TL01'!$B$3=P$3,SUMIF('TL01'!$C$10:$C$224,$C81,'TL01'!$J$10:$J$224),0),
IF('TL01'!$B$229=P$3,SUMIF('TL01'!$C$238:$C$451,$C81,'TL01'!$J$238:$J$451),0),
IF('TL02'!$B$3=P$3,SUMIF('TL02'!$C$10:$C$224,$C81,'TL02'!$J$10:$J$224),0),
IF('TL02'!$B$229=P$3,SUMIF('TL02'!$C$238:$C$451,$C81,'TL02'!$J$238:$J$451),0),
IF('TL03'!$B$3=P$3,SUMIF('TL03'!$C$10:$C$224,$C81,'TL03'!$J$10:$J$224),0),
IF('TL03'!$B$229=P$3,SUMIF('TL03'!$C$238:$C$451,$C81,'TL03'!$J$238:$J$451),0),
IF('TL04'!$B$3=P$3,SUMIF('TL04'!$C$10:$C$224,$C81,'TL04'!$J$10:$J$224),0),
IF('TL04'!$B$229=P$3,SUMIF('TL04'!$C$238:$C$451,$C81,'TL04'!$J$238:$J$451),0),
IF('TL05'!$B$3=P$3,SUMIF('TL05'!$C$10:$C$224,$C81,'TL05'!$J$10:$J$224),0),
IF('TL05'!$B$229=P$3,SUMIF('TL05'!$C$238:$C$451,$C81,'TL05'!$J$238:$J$451),0),
IF('TL06'!$B$3=P$3,SUMIF('TL06'!$C$10:$C$224,$C81,'TL06'!$J$10:$J$224),0),
IF('TL06'!$B$229=P$3,SUMIF('TL06'!$C$238:$C$451,$C81,'TL06'!$J$238:$J$451),0),
IF('TL07'!$B$3=P$3,SUMIF('TL07'!$C$10:$C$224,$C81,'TL07'!$J$10:$J$224),0),
IF('TL07'!$B$229=P$3,SUMIF('TL07'!$C$238:$C$451,$C81,'TL07'!$J$238:$J$451),0),
IF('TL08'!$B$3=P$3,SUMIF('TL08'!$C$10:$C$224,$C81,'TL08'!$J$10:$J$224),0),
IF('TL08'!$B$229=P$3,SUMIF('TL08'!$C$238:$C$451,$C81,'TL08'!$J$238:$J$451),0),
IF('TL09'!$B$3=P$3,SUMIF('TL09'!$C$10:$C$224,$C81,'TL09'!$J$10:$J$224),0),
IF('TL09'!$B$229=P$3,SUMIF('TL09'!$C$238:$C$451,$C81,'TL09'!$J$238:$J$451),0),
IF('TL10'!$B$3=P$3,SUMIF('TL10'!$C$10:$C$224,$C81,'TL10'!$J$10:$J$224),0),
IF('TL10'!$B$229=P$3,SUMIF('TL10'!$C$238:$C$451,$C81,'TL10'!$J$238:$J$451),0),
IF('TL11'!$B$3=P$3,SUMIF('TL11'!$C$10:$C$224,$C81,'TL11'!$J$10:$J$224),0),
IF('TL11'!$B$229=P$3,SUMIF('TL11'!$C$238:$C$451,$C81,'TL11'!$J$238:$J$451),0),
IF('TL12'!$B$3=P$3,SUMIF('TL12'!$C$10:$C$224,$C81,'TL12'!$J$10:$J$224),0),
IF('TL12'!$B$229=P$3,SUMIF('TL12'!$C$238:$C$451,$C81,'TL12'!$J$238:$J$451),0),
IF('TL13'!$B$3=P$3,SUMIF('TL13'!$C$10:$C$224,$C81,'TL13'!$J$10:$J$224),0),
IF('TL13'!$B$229=P$3,SUMIF('TL13'!$C$238:$C$451,$C81,'TL13'!$J$238:$J$451),0),
IF('TL14'!$B$3=P$3,SUMIF('TL14'!$C$10:$C$224,$C81,'TL14'!$J$10:$J$224),0),
IF('TL14'!$B$229=P$3,SUMIF('TL14'!$C$238:$C$451,$C81,'TL14'!$J$238:$J$451),0),
IF('TL15'!$B$3=P$3,SUMIF('TL15'!$C$10:$C$224,$C81,'TL15'!$J$10:$J$224),0),
IF('TL15'!$B$229=P$3,SUMIF('TL15'!$C$238:$C$451,$C81,'TL15'!$J$238:$J$451),0),
IF('TL16'!$B$3=P$3,SUMIF('TL16'!$C$10:$C$224,$C81,'TL16'!$J$10:$J$224),0),
IF('TL16'!$B$229=P$3,SUMIF('TL16'!$C$238:$C$451,$C81,'TL16'!$J$238:$J$451),0),
IF('TL17'!$B$3=P$3,SUMIF('TL17'!$C$10:$C$224,$C81,'TL17'!$J$10:$J$224),0),
IF('TL17'!$B$229=P$3,SUMIF('TL17'!$C$238:$C$451,$C81,'TL17'!$J$238:$J$451),0),
IF('TL18'!$B$3=P$3,SUMIF('TL18'!$C$10:$C$224,$C81,'TL18'!$J$10:$J$224),0),
IF('TL18'!$B$229=P$3,SUMIF('TL18'!$C$238:$C$451,$C81,'TL18'!$J$238:$J$451),0),
IF('TL19'!$B$3=P$3,SUMIF('TL19'!$C$10:$C$224,$C81,'TL19'!$J$10:$J$224),0),
IF('TL19'!$B$229=P$3,SUMIF('TL19'!$C$238:$C$451,$C81,'TL19'!$J$238:$J$451),0)
),0)</f>
        <v>0</v>
      </c>
      <c r="Q81" s="9">
        <f>IFERROR(SUM(
IF('TL01'!$B$3=Q$3,SUMIF('TL01'!$C$10:$C$224,$C81,'TL01'!$J$10:$J$224),0),
IF('TL01'!$B$229=Q$3,SUMIF('TL01'!$C$238:$C$451,$C81,'TL01'!$J$238:$J$451),0),
IF('TL02'!$B$3=Q$3,SUMIF('TL02'!$C$10:$C$224,$C81,'TL02'!$J$10:$J$224),0),
IF('TL02'!$B$229=Q$3,SUMIF('TL02'!$C$238:$C$451,$C81,'TL02'!$J$238:$J$451),0),
IF('TL03'!$B$3=Q$3,SUMIF('TL03'!$C$10:$C$224,$C81,'TL03'!$J$10:$J$224),0),
IF('TL03'!$B$229=Q$3,SUMIF('TL03'!$C$238:$C$451,$C81,'TL03'!$J$238:$J$451),0),
IF('TL04'!$B$3=Q$3,SUMIF('TL04'!$C$10:$C$224,$C81,'TL04'!$J$10:$J$224),0),
IF('TL04'!$B$229=Q$3,SUMIF('TL04'!$C$238:$C$451,$C81,'TL04'!$J$238:$J$451),0),
IF('TL05'!$B$3=Q$3,SUMIF('TL05'!$C$10:$C$224,$C81,'TL05'!$J$10:$J$224),0),
IF('TL05'!$B$229=Q$3,SUMIF('TL05'!$C$238:$C$451,$C81,'TL05'!$J$238:$J$451),0),
IF('TL06'!$B$3=Q$3,SUMIF('TL06'!$C$10:$C$224,$C81,'TL06'!$J$10:$J$224),0),
IF('TL06'!$B$229=Q$3,SUMIF('TL06'!$C$238:$C$451,$C81,'TL06'!$J$238:$J$451),0),
IF('TL07'!$B$3=Q$3,SUMIF('TL07'!$C$10:$C$224,$C81,'TL07'!$J$10:$J$224),0),
IF('TL07'!$B$229=Q$3,SUMIF('TL07'!$C$238:$C$451,$C81,'TL07'!$J$238:$J$451),0),
IF('TL08'!$B$3=Q$3,SUMIF('TL08'!$C$10:$C$224,$C81,'TL08'!$J$10:$J$224),0),
IF('TL08'!$B$229=Q$3,SUMIF('TL08'!$C$238:$C$451,$C81,'TL08'!$J$238:$J$451),0),
IF('TL09'!$B$3=Q$3,SUMIF('TL09'!$C$10:$C$224,$C81,'TL09'!$J$10:$J$224),0),
IF('TL09'!$B$229=Q$3,SUMIF('TL09'!$C$238:$C$451,$C81,'TL09'!$J$238:$J$451),0),
IF('TL10'!$B$3=Q$3,SUMIF('TL10'!$C$10:$C$224,$C81,'TL10'!$J$10:$J$224),0),
IF('TL10'!$B$229=Q$3,SUMIF('TL10'!$C$238:$C$451,$C81,'TL10'!$J$238:$J$451),0),
IF('TL11'!$B$3=Q$3,SUMIF('TL11'!$C$10:$C$224,$C81,'TL11'!$J$10:$J$224),0),
IF('TL11'!$B$229=Q$3,SUMIF('TL11'!$C$238:$C$451,$C81,'TL11'!$J$238:$J$451),0),
IF('TL12'!$B$3=Q$3,SUMIF('TL12'!$C$10:$C$224,$C81,'TL12'!$J$10:$J$224),0),
IF('TL12'!$B$229=Q$3,SUMIF('TL12'!$C$238:$C$451,$C81,'TL12'!$J$238:$J$451),0),
IF('TL13'!$B$3=Q$3,SUMIF('TL13'!$C$10:$C$224,$C81,'TL13'!$J$10:$J$224),0),
IF('TL13'!$B$229=Q$3,SUMIF('TL13'!$C$238:$C$451,$C81,'TL13'!$J$238:$J$451),0),
IF('TL14'!$B$3=Q$3,SUMIF('TL14'!$C$10:$C$224,$C81,'TL14'!$J$10:$J$224),0),
IF('TL14'!$B$229=Q$3,SUMIF('TL14'!$C$238:$C$451,$C81,'TL14'!$J$238:$J$451),0),
IF('TL15'!$B$3=Q$3,SUMIF('TL15'!$C$10:$C$224,$C81,'TL15'!$J$10:$J$224),0),
IF('TL15'!$B$229=Q$3,SUMIF('TL15'!$C$238:$C$451,$C81,'TL15'!$J$238:$J$451),0),
IF('TL16'!$B$3=Q$3,SUMIF('TL16'!$C$10:$C$224,$C81,'TL16'!$J$10:$J$224),0),
IF('TL16'!$B$229=Q$3,SUMIF('TL16'!$C$238:$C$451,$C81,'TL16'!$J$238:$J$451),0),
IF('TL17'!$B$3=Q$3,SUMIF('TL17'!$C$10:$C$224,$C81,'TL17'!$J$10:$J$224),0),
IF('TL17'!$B$229=Q$3,SUMIF('TL17'!$C$238:$C$451,$C81,'TL17'!$J$238:$J$451),0),
IF('TL18'!$B$3=Q$3,SUMIF('TL18'!$C$10:$C$224,$C81,'TL18'!$J$10:$J$224),0),
IF('TL18'!$B$229=Q$3,SUMIF('TL18'!$C$238:$C$451,$C81,'TL18'!$J$238:$J$451),0),
IF('TL19'!$B$3=Q$3,SUMIF('TL19'!$C$10:$C$224,$C81,'TL19'!$J$10:$J$224),0),
IF('TL19'!$B$229=Q$3,SUMIF('TL19'!$C$238:$C$451,$C81,'TL19'!$J$238:$J$451),0)
),0)</f>
        <v>0</v>
      </c>
      <c r="R81" s="9">
        <f>IFERROR(
SUM(
SUMIF('TL01'!C:C,C81,'TL01'!J:J),
SUMIF('TL02'!C:C,C81,'TL02'!J:J),
SUMIF('TL03'!C:C,C81,'TL03'!J:J),
SUMIF('TL04'!C:C,C81,'TL04'!J:J),
SUMIF('TL05'!C:C,C81,'TL05'!J:J),
SUMIF('TL06'!C:C,C81,'TL06'!J:J),
SUMIF('TL07'!C:C,C81,'TL07'!J:J),
SUMIF('TL08'!C:C,C81,'TL08'!J:J),
SUMIF('TL09'!C:C,C81,'TL09'!J:J),
SUMIF('TL10'!C:C,C81,'TL10'!J:J),
SUMIF('TL11'!C:C,C81,'TL11'!J:J),
SUMIF('TL12'!C:C,C81,'TL12'!J:J),
SUMIF('TL13'!C:C,C81,'TL13'!J:J),
SUMIF('TL14'!C:C,C81,'TL14'!J:J),
SUMIF('TL15'!C:C,C81,'TL15'!J:J),
SUMIF('TL16'!C:C,C81,'TL16'!J:J),
SUMIF('TL17'!C:C,C81,'TL17'!J:J),
SUMIF('TL18'!C:C,C81,'TL18'!J:J),SUMIF('TL19'!C:C,C81,'TL19'!J:J))
,0)</f>
        <v>0</v>
      </c>
      <c r="S81" s="17">
        <f>IFERROR(__xludf.DUMMYFUNCTION("IFERROR(VLOOKUP(C81,
IMPORTRANGE(""1wULbzX32WdYsx-lj2U3uUNBBe2INVIRDtcK0d-Dvl90"",
""26-27!C:G""),
5,
FALSE),
"""")"),38.916000000000004)</f>
        <v>38.916</v>
      </c>
      <c r="T81" s="9"/>
      <c r="U81" s="92">
        <f t="shared" si="2"/>
        <v>0</v>
      </c>
      <c r="V81" s="93">
        <f t="shared" si="3"/>
        <v>0</v>
      </c>
    </row>
    <row r="82" ht="15.75" hidden="1" customHeight="1">
      <c r="A82" s="115" t="s">
        <v>534</v>
      </c>
      <c r="B82" s="100" t="s">
        <v>0</v>
      </c>
      <c r="C82" s="116" t="s">
        <v>547</v>
      </c>
      <c r="D82" s="116" t="s">
        <v>548</v>
      </c>
      <c r="E82" s="116" t="s">
        <v>549</v>
      </c>
      <c r="F82" s="4" t="s">
        <v>343</v>
      </c>
      <c r="G82" s="90" t="str">
        <f t="shared" si="4"/>
        <v>📄 Ver bula</v>
      </c>
      <c r="H82" s="9">
        <f>IFERROR(__xludf.DUMMYFUNCTION("IFERROR(VLOOKUP(C82,
IMPORTRANGE(""1wULbzX32WdYsx-lj2U3uUNBBe2INVIRDtcK0d-Dvl90"",
""26-27!C:K""),
8,
FALSE),
"""")"),0.2)</f>
        <v>0.2</v>
      </c>
      <c r="I82" s="117" t="s">
        <v>361</v>
      </c>
      <c r="J82" s="9">
        <f>IFERROR(SUM(
IF('TL01'!$B$3=J$3,SUMIF('TL01'!$C$10:$C$224,$C82,'TL01'!$J$10:$J$224),0),
IF('TL01'!$B$229=J$3,SUMIF('TL01'!$C$238:$C$451,$C82,'TL01'!$J$238:$J$451),0),
IF('TL02'!$B$3=J$3,SUMIF('TL02'!$C$10:$C$224,$C82,'TL02'!$J$10:$J$224),0),
IF('TL02'!$B$229=J$3,SUMIF('TL02'!$C$238:$C$451,$C82,'TL02'!$J$238:$J$451),0),
IF('TL03'!$B$3=J$3,SUMIF('TL03'!$C$10:$C$224,$C82,'TL03'!$J$10:$J$224),0),
IF('TL03'!$B$229=J$3,SUMIF('TL03'!$C$238:$C$451,$C82,'TL03'!$J$238:$J$451),0),
IF('TL04'!$B$3=J$3,SUMIF('TL04'!$C$10:$C$224,$C82,'TL04'!$J$10:$J$224),0),
IF('TL04'!$B$229=J$3,SUMIF('TL04'!$C$238:$C$451,$C82,'TL04'!$J$238:$J$451),0),
IF('TL05'!$B$3=J$3,SUMIF('TL05'!$C$10:$C$224,$C82,'TL05'!$J$10:$J$224),0),
IF('TL05'!$B$229=J$3,SUMIF('TL05'!$C$238:$C$451,$C82,'TL05'!$J$238:$J$451),0),
IF('TL06'!$B$3=J$3,SUMIF('TL06'!$C$10:$C$224,$C82,'TL06'!$J$10:$J$224),0),
IF('TL06'!$B$229=J$3,SUMIF('TL06'!$C$238:$C$451,$C82,'TL06'!$J$238:$J$451),0),
IF('TL07'!$B$3=J$3,SUMIF('TL07'!$C$10:$C$224,$C82,'TL07'!$J$10:$J$224),0),
IF('TL07'!$B$229=J$3,SUMIF('TL07'!$C$238:$C$451,$C82,'TL07'!$J$238:$J$451),0),
IF('TL08'!$B$3=J$3,SUMIF('TL08'!$C$10:$C$224,$C82,'TL08'!$J$10:$J$224),0),
IF('TL08'!$B$229=J$3,SUMIF('TL08'!$C$238:$C$451,$C82,'TL08'!$J$238:$J$451),0),
IF('TL09'!$B$3=J$3,SUMIF('TL09'!$C$10:$C$224,$C82,'TL09'!$J$10:$J$224),0),
IF('TL09'!$B$229=J$3,SUMIF('TL09'!$C$238:$C$451,$C82,'TL09'!$J$238:$J$451),0),
IF('TL10'!$B$3=J$3,SUMIF('TL10'!$C$10:$C$224,$C82,'TL10'!$J$10:$J$224),0),
IF('TL10'!$B$229=J$3,SUMIF('TL10'!$C$238:$C$451,$C82,'TL10'!$J$238:$J$451),0),
IF('TL11'!$B$3=J$3,SUMIF('TL11'!$C$10:$C$224,$C82,'TL11'!$J$10:$J$224),0),
IF('TL11'!$B$229=J$3,SUMIF('TL11'!$C$238:$C$451,$C82,'TL11'!$J$238:$J$451),0),
IF('TL12'!$B$3=J$3,SUMIF('TL12'!$C$10:$C$224,$C82,'TL12'!$J$10:$J$224),0),
IF('TL12'!$B$229=J$3,SUMIF('TL12'!$C$238:$C$451,$C82,'TL12'!$J$238:$J$451),0),
IF('TL13'!$B$3=J$3,SUMIF('TL13'!$C$10:$C$224,$C82,'TL13'!$J$10:$J$224),0),
IF('TL13'!$B$229=J$3,SUMIF('TL13'!$C$238:$C$451,$C82,'TL13'!$J$238:$J$451),0),
IF('TL14'!$B$3=J$3,SUMIF('TL14'!$C$10:$C$224,$C82,'TL14'!$J$10:$J$224),0),
IF('TL14'!$B$229=J$3,SUMIF('TL14'!$C$238:$C$451,$C82,'TL14'!$J$238:$J$451),0),
IF('TL15'!$B$3=J$3,SUMIF('TL15'!$C$10:$C$224,$C82,'TL15'!$J$10:$J$224),0),
IF('TL15'!$B$229=J$3,SUMIF('TL15'!$C$238:$C$451,$C82,'TL15'!$J$238:$J$451),0),
IF('TL16'!$B$3=J$3,SUMIF('TL16'!$C$10:$C$224,$C82,'TL16'!$J$10:$J$224),0),
IF('TL16'!$B$229=J$3,SUMIF('TL16'!$C$238:$C$451,$C82,'TL16'!$J$238:$J$451),0),
IF('TL17'!$B$3=J$3,SUMIF('TL17'!$C$10:$C$224,$C82,'TL17'!$J$10:$J$224),0),
IF('TL17'!$B$229=J$3,SUMIF('TL17'!$C$238:$C$451,$C82,'TL17'!$J$238:$J$451),0),
IF('TL18'!$B$3=J$3,SUMIF('TL18'!$C$10:$C$224,$C82,'TL18'!$J$10:$J$224),0),
IF('TL18'!$B$229=J$3,SUMIF('TL18'!$C$238:$C$451,$C82,'TL18'!$J$238:$J$451),0),
IF('TL19'!$B$3=J$3,SUMIF('TL19'!$C$10:$C$224,$C82,'TL19'!$J$10:$J$224),0),
IF('TL19'!$B$229=J$3,SUMIF('TL19'!$C$238:$C$451,$C82,'TL19'!$J$238:$J$451),0)
),0)</f>
        <v>0</v>
      </c>
      <c r="K82" s="9">
        <f>IFERROR(SUM(
IF('TL01'!$B$3=K$3,SUMIF('TL01'!$C$10:$C$224,$C82,'TL01'!$J$10:$J$224),0),
IF('TL01'!$B$229=K$3,SUMIF('TL01'!$C$238:$C$451,$C82,'TL01'!$J$238:$J$451),0),
IF('TL02'!$B$3=K$3,SUMIF('TL02'!$C$10:$C$224,$C82,'TL02'!$J$10:$J$224),0),
IF('TL02'!$B$229=K$3,SUMIF('TL02'!$C$238:$C$451,$C82,'TL02'!$J$238:$J$451),0),
IF('TL03'!$B$3=K$3,SUMIF('TL03'!$C$10:$C$224,$C82,'TL03'!$J$10:$J$224),0),
IF('TL03'!$B$229=K$3,SUMIF('TL03'!$C$238:$C$451,$C82,'TL03'!$J$238:$J$451),0),
IF('TL04'!$B$3=K$3,SUMIF('TL04'!$C$10:$C$224,$C82,'TL04'!$J$10:$J$224),0),
IF('TL04'!$B$229=K$3,SUMIF('TL04'!$C$238:$C$451,$C82,'TL04'!$J$238:$J$451),0),
IF('TL05'!$B$3=K$3,SUMIF('TL05'!$C$10:$C$224,$C82,'TL05'!$J$10:$J$224),0),
IF('TL05'!$B$229=K$3,SUMIF('TL05'!$C$238:$C$451,$C82,'TL05'!$J$238:$J$451),0),
IF('TL06'!$B$3=K$3,SUMIF('TL06'!$C$10:$C$224,$C82,'TL06'!$J$10:$J$224),0),
IF('TL06'!$B$229=K$3,SUMIF('TL06'!$C$238:$C$451,$C82,'TL06'!$J$238:$J$451),0),
IF('TL07'!$B$3=K$3,SUMIF('TL07'!$C$10:$C$224,$C82,'TL07'!$J$10:$J$224),0),
IF('TL07'!$B$229=K$3,SUMIF('TL07'!$C$238:$C$451,$C82,'TL07'!$J$238:$J$451),0),
IF('TL08'!$B$3=K$3,SUMIF('TL08'!$C$10:$C$224,$C82,'TL08'!$J$10:$J$224),0),
IF('TL08'!$B$229=K$3,SUMIF('TL08'!$C$238:$C$451,$C82,'TL08'!$J$238:$J$451),0),
IF('TL09'!$B$3=K$3,SUMIF('TL09'!$C$10:$C$224,$C82,'TL09'!$J$10:$J$224),0),
IF('TL09'!$B$229=K$3,SUMIF('TL09'!$C$238:$C$451,$C82,'TL09'!$J$238:$J$451),0),
IF('TL10'!$B$3=K$3,SUMIF('TL10'!$C$10:$C$224,$C82,'TL10'!$J$10:$J$224),0),
IF('TL10'!$B$229=K$3,SUMIF('TL10'!$C$238:$C$451,$C82,'TL10'!$J$238:$J$451),0),
IF('TL11'!$B$3=K$3,SUMIF('TL11'!$C$10:$C$224,$C82,'TL11'!$J$10:$J$224),0),
IF('TL11'!$B$229=K$3,SUMIF('TL11'!$C$238:$C$451,$C82,'TL11'!$J$238:$J$451),0),
IF('TL12'!$B$3=K$3,SUMIF('TL12'!$C$10:$C$224,$C82,'TL12'!$J$10:$J$224),0),
IF('TL12'!$B$229=K$3,SUMIF('TL12'!$C$238:$C$451,$C82,'TL12'!$J$238:$J$451),0),
IF('TL13'!$B$3=K$3,SUMIF('TL13'!$C$10:$C$224,$C82,'TL13'!$J$10:$J$224),0),
IF('TL13'!$B$229=K$3,SUMIF('TL13'!$C$238:$C$451,$C82,'TL13'!$J$238:$J$451),0),
IF('TL14'!$B$3=K$3,SUMIF('TL14'!$C$10:$C$224,$C82,'TL14'!$J$10:$J$224),0),
IF('TL14'!$B$229=K$3,SUMIF('TL14'!$C$238:$C$451,$C82,'TL14'!$J$238:$J$451),0),
IF('TL15'!$B$3=K$3,SUMIF('TL15'!$C$10:$C$224,$C82,'TL15'!$J$10:$J$224),0),
IF('TL15'!$B$229=K$3,SUMIF('TL15'!$C$238:$C$451,$C82,'TL15'!$J$238:$J$451),0),
IF('TL16'!$B$3=K$3,SUMIF('TL16'!$C$10:$C$224,$C82,'TL16'!$J$10:$J$224),0),
IF('TL16'!$B$229=K$3,SUMIF('TL16'!$C$238:$C$451,$C82,'TL16'!$J$238:$J$451),0),
IF('TL17'!$B$3=K$3,SUMIF('TL17'!$C$10:$C$224,$C82,'TL17'!$J$10:$J$224),0),
IF('TL17'!$B$229=K$3,SUMIF('TL17'!$C$238:$C$451,$C82,'TL17'!$J$238:$J$451),0),
IF('TL18'!$B$3=K$3,SUMIF('TL18'!$C$10:$C$224,$C82,'TL18'!$J$10:$J$224),0),
IF('TL18'!$B$229=K$3,SUMIF('TL18'!$C$238:$C$451,$C82,'TL18'!$J$238:$J$451),0),
IF('TL19'!$B$3=K$3,SUMIF('TL19'!$C$10:$C$224,$C82,'TL19'!$J$10:$J$224),0),
IF('TL19'!$B$229=K$3,SUMIF('TL19'!$C$238:$C$451,$C82,'TL19'!$J$238:$J$451),0)
),0)</f>
        <v>0</v>
      </c>
      <c r="L82" s="9">
        <f>IFERROR(SUM(
IF('TL01'!$B$3=L$3,SUMIF('TL01'!$C$10:$C$224,$C82,'TL01'!$J$10:$J$224),0),
IF('TL01'!$B$229=L$3,SUMIF('TL01'!$C$238:$C$451,$C82,'TL01'!$J$238:$J$451),0),
IF('TL02'!$B$3=L$3,SUMIF('TL02'!$C$10:$C$224,$C82,'TL02'!$J$10:$J$224),0),
IF('TL02'!$B$229=L$3,SUMIF('TL02'!$C$238:$C$451,$C82,'TL02'!$J$238:$J$451),0),
IF('TL03'!$B$3=L$3,SUMIF('TL03'!$C$10:$C$224,$C82,'TL03'!$J$10:$J$224),0),
IF('TL03'!$B$229=L$3,SUMIF('TL03'!$C$238:$C$451,$C82,'TL03'!$J$238:$J$451),0),
IF('TL04'!$B$3=L$3,SUMIF('TL04'!$C$10:$C$224,$C82,'TL04'!$J$10:$J$224),0),
IF('TL04'!$B$229=L$3,SUMIF('TL04'!$C$238:$C$451,$C82,'TL04'!$J$238:$J$451),0),
IF('TL05'!$B$3=L$3,SUMIF('TL05'!$C$10:$C$224,$C82,'TL05'!$J$10:$J$224),0),
IF('TL05'!$B$229=L$3,SUMIF('TL05'!$C$238:$C$451,$C82,'TL05'!$J$238:$J$451),0),
IF('TL06'!$B$3=L$3,SUMIF('TL06'!$C$10:$C$224,$C82,'TL06'!$J$10:$J$224),0),
IF('TL06'!$B$229=L$3,SUMIF('TL06'!$C$238:$C$451,$C82,'TL06'!$J$238:$J$451),0),
IF('TL07'!$B$3=L$3,SUMIF('TL07'!$C$10:$C$224,$C82,'TL07'!$J$10:$J$224),0),
IF('TL07'!$B$229=L$3,SUMIF('TL07'!$C$238:$C$451,$C82,'TL07'!$J$238:$J$451),0),
IF('TL08'!$B$3=L$3,SUMIF('TL08'!$C$10:$C$224,$C82,'TL08'!$J$10:$J$224),0),
IF('TL08'!$B$229=L$3,SUMIF('TL08'!$C$238:$C$451,$C82,'TL08'!$J$238:$J$451),0),
IF('TL09'!$B$3=L$3,SUMIF('TL09'!$C$10:$C$224,$C82,'TL09'!$J$10:$J$224),0),
IF('TL09'!$B$229=L$3,SUMIF('TL09'!$C$238:$C$451,$C82,'TL09'!$J$238:$J$451),0),
IF('TL10'!$B$3=L$3,SUMIF('TL10'!$C$10:$C$224,$C82,'TL10'!$J$10:$J$224),0),
IF('TL10'!$B$229=L$3,SUMIF('TL10'!$C$238:$C$451,$C82,'TL10'!$J$238:$J$451),0),
IF('TL11'!$B$3=L$3,SUMIF('TL11'!$C$10:$C$224,$C82,'TL11'!$J$10:$J$224),0),
IF('TL11'!$B$229=L$3,SUMIF('TL11'!$C$238:$C$451,$C82,'TL11'!$J$238:$J$451),0),
IF('TL12'!$B$3=L$3,SUMIF('TL12'!$C$10:$C$224,$C82,'TL12'!$J$10:$J$224),0),
IF('TL12'!$B$229=L$3,SUMIF('TL12'!$C$238:$C$451,$C82,'TL12'!$J$238:$J$451),0),
IF('TL13'!$B$3=L$3,SUMIF('TL13'!$C$10:$C$224,$C82,'TL13'!$J$10:$J$224),0),
IF('TL13'!$B$229=L$3,SUMIF('TL13'!$C$238:$C$451,$C82,'TL13'!$J$238:$J$451),0),
IF('TL14'!$B$3=L$3,SUMIF('TL14'!$C$10:$C$224,$C82,'TL14'!$J$10:$J$224),0),
IF('TL14'!$B$229=L$3,SUMIF('TL14'!$C$238:$C$451,$C82,'TL14'!$J$238:$J$451),0),
IF('TL15'!$B$3=L$3,SUMIF('TL15'!$C$10:$C$224,$C82,'TL15'!$J$10:$J$224),0),
IF('TL15'!$B$229=L$3,SUMIF('TL15'!$C$238:$C$451,$C82,'TL15'!$J$238:$J$451),0),
IF('TL16'!$B$3=L$3,SUMIF('TL16'!$C$10:$C$224,$C82,'TL16'!$J$10:$J$224),0),
IF('TL16'!$B$229=L$3,SUMIF('TL16'!$C$238:$C$451,$C82,'TL16'!$J$238:$J$451),0),
IF('TL17'!$B$3=L$3,SUMIF('TL17'!$C$10:$C$224,$C82,'TL17'!$J$10:$J$224),0),
IF('TL17'!$B$229=L$3,SUMIF('TL17'!$C$238:$C$451,$C82,'TL17'!$J$238:$J$451),0),
IF('TL18'!$B$3=L$3,SUMIF('TL18'!$C$10:$C$224,$C82,'TL18'!$J$10:$J$224),0),
IF('TL18'!$B$229=L$3,SUMIF('TL18'!$C$238:$C$451,$C82,'TL18'!$J$238:$J$451),0),
IF('TL19'!$B$3=L$3,SUMIF('TL19'!$C$10:$C$224,$C82,'TL19'!$J$10:$J$224),0),
IF('TL19'!$B$229=L$3,SUMIF('TL19'!$C$238:$C$451,$C82,'TL19'!$J$238:$J$451),0)
),0)</f>
        <v>0</v>
      </c>
      <c r="M82" s="9">
        <f>IFERROR(SUM(
IF('TL01'!$B$3=M$3,SUMIF('TL01'!$C$10:$C$224,$C82,'TL01'!$J$10:$J$224),0),
IF('TL01'!$B$229=M$3,SUMIF('TL01'!$C$238:$C$451,$C82,'TL01'!$J$238:$J$451),0),
IF('TL02'!$B$3=M$3,SUMIF('TL02'!$C$10:$C$224,$C82,'TL02'!$J$10:$J$224),0),
IF('TL02'!$B$229=M$3,SUMIF('TL02'!$C$238:$C$451,$C82,'TL02'!$J$238:$J$451),0),
IF('TL03'!$B$3=M$3,SUMIF('TL03'!$C$10:$C$224,$C82,'TL03'!$J$10:$J$224),0),
IF('TL03'!$B$229=M$3,SUMIF('TL03'!$C$238:$C$451,$C82,'TL03'!$J$238:$J$451),0),
IF('TL04'!$B$3=M$3,SUMIF('TL04'!$C$10:$C$224,$C82,'TL04'!$J$10:$J$224),0),
IF('TL04'!$B$229=M$3,SUMIF('TL04'!$C$238:$C$451,$C82,'TL04'!$J$238:$J$451),0),
IF('TL05'!$B$3=M$3,SUMIF('TL05'!$C$10:$C$224,$C82,'TL05'!$J$10:$J$224),0),
IF('TL05'!$B$229=M$3,SUMIF('TL05'!$C$238:$C$451,$C82,'TL05'!$J$238:$J$451),0),
IF('TL06'!$B$3=M$3,SUMIF('TL06'!$C$10:$C$224,$C82,'TL06'!$J$10:$J$224),0),
IF('TL06'!$B$229=M$3,SUMIF('TL06'!$C$238:$C$451,$C82,'TL06'!$J$238:$J$451),0),
IF('TL07'!$B$3=M$3,SUMIF('TL07'!$C$10:$C$224,$C82,'TL07'!$J$10:$J$224),0),
IF('TL07'!$B$229=M$3,SUMIF('TL07'!$C$238:$C$451,$C82,'TL07'!$J$238:$J$451),0),
IF('TL08'!$B$3=M$3,SUMIF('TL08'!$C$10:$C$224,$C82,'TL08'!$J$10:$J$224),0),
IF('TL08'!$B$229=M$3,SUMIF('TL08'!$C$238:$C$451,$C82,'TL08'!$J$238:$J$451),0),
IF('TL09'!$B$3=M$3,SUMIF('TL09'!$C$10:$C$224,$C82,'TL09'!$J$10:$J$224),0),
IF('TL09'!$B$229=M$3,SUMIF('TL09'!$C$238:$C$451,$C82,'TL09'!$J$238:$J$451),0),
IF('TL10'!$B$3=M$3,SUMIF('TL10'!$C$10:$C$224,$C82,'TL10'!$J$10:$J$224),0),
IF('TL10'!$B$229=M$3,SUMIF('TL10'!$C$238:$C$451,$C82,'TL10'!$J$238:$J$451),0),
IF('TL11'!$B$3=M$3,SUMIF('TL11'!$C$10:$C$224,$C82,'TL11'!$J$10:$J$224),0),
IF('TL11'!$B$229=M$3,SUMIF('TL11'!$C$238:$C$451,$C82,'TL11'!$J$238:$J$451),0),
IF('TL12'!$B$3=M$3,SUMIF('TL12'!$C$10:$C$224,$C82,'TL12'!$J$10:$J$224),0),
IF('TL12'!$B$229=M$3,SUMIF('TL12'!$C$238:$C$451,$C82,'TL12'!$J$238:$J$451),0),
IF('TL13'!$B$3=M$3,SUMIF('TL13'!$C$10:$C$224,$C82,'TL13'!$J$10:$J$224),0),
IF('TL13'!$B$229=M$3,SUMIF('TL13'!$C$238:$C$451,$C82,'TL13'!$J$238:$J$451),0),
IF('TL14'!$B$3=M$3,SUMIF('TL14'!$C$10:$C$224,$C82,'TL14'!$J$10:$J$224),0),
IF('TL14'!$B$229=M$3,SUMIF('TL14'!$C$238:$C$451,$C82,'TL14'!$J$238:$J$451),0),
IF('TL15'!$B$3=M$3,SUMIF('TL15'!$C$10:$C$224,$C82,'TL15'!$J$10:$J$224),0),
IF('TL15'!$B$229=M$3,SUMIF('TL15'!$C$238:$C$451,$C82,'TL15'!$J$238:$J$451),0),
IF('TL16'!$B$3=M$3,SUMIF('TL16'!$C$10:$C$224,$C82,'TL16'!$J$10:$J$224),0),
IF('TL16'!$B$229=M$3,SUMIF('TL16'!$C$238:$C$451,$C82,'TL16'!$J$238:$J$451),0),
IF('TL17'!$B$3=M$3,SUMIF('TL17'!$C$10:$C$224,$C82,'TL17'!$J$10:$J$224),0),
IF('TL17'!$B$229=M$3,SUMIF('TL17'!$C$238:$C$451,$C82,'TL17'!$J$238:$J$451),0),
IF('TL18'!$B$3=M$3,SUMIF('TL18'!$C$10:$C$224,$C82,'TL18'!$J$10:$J$224),0),
IF('TL18'!$B$229=M$3,SUMIF('TL18'!$C$238:$C$451,$C82,'TL18'!$J$238:$J$451),0),
IF('TL19'!$B$3=M$3,SUMIF('TL19'!$C$10:$C$224,$C82,'TL19'!$J$10:$J$224),0),
IF('TL19'!$B$229=M$3,SUMIF('TL19'!$C$238:$C$451,$C82,'TL19'!$J$238:$J$451),0)
),0)</f>
        <v>0</v>
      </c>
      <c r="N82" s="9">
        <f>IFERROR(SUM(
IF('TL01'!$B$3=N$3,SUMIF('TL01'!$C$10:$C$224,$C82,'TL01'!$J$10:$J$224),0),
IF('TL01'!$B$229=N$3,SUMIF('TL01'!$C$238:$C$451,$C82,'TL01'!$J$238:$J$451),0),
IF('TL02'!$B$3=N$3,SUMIF('TL02'!$C$10:$C$224,$C82,'TL02'!$J$10:$J$224),0),
IF('TL02'!$B$229=N$3,SUMIF('TL02'!$C$238:$C$451,$C82,'TL02'!$J$238:$J$451),0),
IF('TL03'!$B$3=N$3,SUMIF('TL03'!$C$10:$C$224,$C82,'TL03'!$J$10:$J$224),0),
IF('TL03'!$B$229=N$3,SUMIF('TL03'!$C$238:$C$451,$C82,'TL03'!$J$238:$J$451),0),
IF('TL04'!$B$3=N$3,SUMIF('TL04'!$C$10:$C$224,$C82,'TL04'!$J$10:$J$224),0),
IF('TL04'!$B$229=N$3,SUMIF('TL04'!$C$238:$C$451,$C82,'TL04'!$J$238:$J$451),0),
IF('TL05'!$B$3=N$3,SUMIF('TL05'!$C$10:$C$224,$C82,'TL05'!$J$10:$J$224),0),
IF('TL05'!$B$229=N$3,SUMIF('TL05'!$C$238:$C$451,$C82,'TL05'!$J$238:$J$451),0),
IF('TL06'!$B$3=N$3,SUMIF('TL06'!$C$10:$C$224,$C82,'TL06'!$J$10:$J$224),0),
IF('TL06'!$B$229=N$3,SUMIF('TL06'!$C$238:$C$451,$C82,'TL06'!$J$238:$J$451),0),
IF('TL07'!$B$3=N$3,SUMIF('TL07'!$C$10:$C$224,$C82,'TL07'!$J$10:$J$224),0),
IF('TL07'!$B$229=N$3,SUMIF('TL07'!$C$238:$C$451,$C82,'TL07'!$J$238:$J$451),0),
IF('TL08'!$B$3=N$3,SUMIF('TL08'!$C$10:$C$224,$C82,'TL08'!$J$10:$J$224),0),
IF('TL08'!$B$229=N$3,SUMIF('TL08'!$C$238:$C$451,$C82,'TL08'!$J$238:$J$451),0),
IF('TL09'!$B$3=N$3,SUMIF('TL09'!$C$10:$C$224,$C82,'TL09'!$J$10:$J$224),0),
IF('TL09'!$B$229=N$3,SUMIF('TL09'!$C$238:$C$451,$C82,'TL09'!$J$238:$J$451),0),
IF('TL10'!$B$3=N$3,SUMIF('TL10'!$C$10:$C$224,$C82,'TL10'!$J$10:$J$224),0),
IF('TL10'!$B$229=N$3,SUMIF('TL10'!$C$238:$C$451,$C82,'TL10'!$J$238:$J$451),0),
IF('TL11'!$B$3=N$3,SUMIF('TL11'!$C$10:$C$224,$C82,'TL11'!$J$10:$J$224),0),
IF('TL11'!$B$229=N$3,SUMIF('TL11'!$C$238:$C$451,$C82,'TL11'!$J$238:$J$451),0),
IF('TL12'!$B$3=N$3,SUMIF('TL12'!$C$10:$C$224,$C82,'TL12'!$J$10:$J$224),0),
IF('TL12'!$B$229=N$3,SUMIF('TL12'!$C$238:$C$451,$C82,'TL12'!$J$238:$J$451),0),
IF('TL13'!$B$3=N$3,SUMIF('TL13'!$C$10:$C$224,$C82,'TL13'!$J$10:$J$224),0),
IF('TL13'!$B$229=N$3,SUMIF('TL13'!$C$238:$C$451,$C82,'TL13'!$J$238:$J$451),0),
IF('TL14'!$B$3=N$3,SUMIF('TL14'!$C$10:$C$224,$C82,'TL14'!$J$10:$J$224),0),
IF('TL14'!$B$229=N$3,SUMIF('TL14'!$C$238:$C$451,$C82,'TL14'!$J$238:$J$451),0),
IF('TL15'!$B$3=N$3,SUMIF('TL15'!$C$10:$C$224,$C82,'TL15'!$J$10:$J$224),0),
IF('TL15'!$B$229=N$3,SUMIF('TL15'!$C$238:$C$451,$C82,'TL15'!$J$238:$J$451),0),
IF('TL16'!$B$3=N$3,SUMIF('TL16'!$C$10:$C$224,$C82,'TL16'!$J$10:$J$224),0),
IF('TL16'!$B$229=N$3,SUMIF('TL16'!$C$238:$C$451,$C82,'TL16'!$J$238:$J$451),0),
IF('TL17'!$B$3=N$3,SUMIF('TL17'!$C$10:$C$224,$C82,'TL17'!$J$10:$J$224),0),
IF('TL17'!$B$229=N$3,SUMIF('TL17'!$C$238:$C$451,$C82,'TL17'!$J$238:$J$451),0),
IF('TL18'!$B$3=N$3,SUMIF('TL18'!$C$10:$C$224,$C82,'TL18'!$J$10:$J$224),0),
IF('TL18'!$B$229=N$3,SUMIF('TL18'!$C$238:$C$451,$C82,'TL18'!$J$238:$J$451),0),
IF('TL19'!$B$3=N$3,SUMIF('TL19'!$C$10:$C$224,$C82,'TL19'!$J$10:$J$224),0),
IF('TL19'!$B$229=N$3,SUMIF('TL19'!$C$238:$C$451,$C82,'TL19'!$J$238:$J$451),0)
),0)</f>
        <v>0</v>
      </c>
      <c r="O82" s="9">
        <f>IFERROR(SUM(
IF('TL01'!$B$3=O$3,SUMIF('TL01'!$C$10:$C$224,$C82,'TL01'!$J$10:$J$224),0),
IF('TL01'!$B$229=O$3,SUMIF('TL01'!$C$238:$C$451,$C82,'TL01'!$J$238:$J$451),0),
IF('TL02'!$B$3=O$3,SUMIF('TL02'!$C$10:$C$224,$C82,'TL02'!$J$10:$J$224),0),
IF('TL02'!$B$229=O$3,SUMIF('TL02'!$C$238:$C$451,$C82,'TL02'!$J$238:$J$451),0),
IF('TL03'!$B$3=O$3,SUMIF('TL03'!$C$10:$C$224,$C82,'TL03'!$J$10:$J$224),0),
IF('TL03'!$B$229=O$3,SUMIF('TL03'!$C$238:$C$451,$C82,'TL03'!$J$238:$J$451),0),
IF('TL04'!$B$3=O$3,SUMIF('TL04'!$C$10:$C$224,$C82,'TL04'!$J$10:$J$224),0),
IF('TL04'!$B$229=O$3,SUMIF('TL04'!$C$238:$C$451,$C82,'TL04'!$J$238:$J$451),0),
IF('TL05'!$B$3=O$3,SUMIF('TL05'!$C$10:$C$224,$C82,'TL05'!$J$10:$J$224),0),
IF('TL05'!$B$229=O$3,SUMIF('TL05'!$C$238:$C$451,$C82,'TL05'!$J$238:$J$451),0),
IF('TL06'!$B$3=O$3,SUMIF('TL06'!$C$10:$C$224,$C82,'TL06'!$J$10:$J$224),0),
IF('TL06'!$B$229=O$3,SUMIF('TL06'!$C$238:$C$451,$C82,'TL06'!$J$238:$J$451),0),
IF('TL07'!$B$3=O$3,SUMIF('TL07'!$C$10:$C$224,$C82,'TL07'!$J$10:$J$224),0),
IF('TL07'!$B$229=O$3,SUMIF('TL07'!$C$238:$C$451,$C82,'TL07'!$J$238:$J$451),0),
IF('TL08'!$B$3=O$3,SUMIF('TL08'!$C$10:$C$224,$C82,'TL08'!$J$10:$J$224),0),
IF('TL08'!$B$229=O$3,SUMIF('TL08'!$C$238:$C$451,$C82,'TL08'!$J$238:$J$451),0),
IF('TL09'!$B$3=O$3,SUMIF('TL09'!$C$10:$C$224,$C82,'TL09'!$J$10:$J$224),0),
IF('TL09'!$B$229=O$3,SUMIF('TL09'!$C$238:$C$451,$C82,'TL09'!$J$238:$J$451),0),
IF('TL10'!$B$3=O$3,SUMIF('TL10'!$C$10:$C$224,$C82,'TL10'!$J$10:$J$224),0),
IF('TL10'!$B$229=O$3,SUMIF('TL10'!$C$238:$C$451,$C82,'TL10'!$J$238:$J$451),0),
IF('TL11'!$B$3=O$3,SUMIF('TL11'!$C$10:$C$224,$C82,'TL11'!$J$10:$J$224),0),
IF('TL11'!$B$229=O$3,SUMIF('TL11'!$C$238:$C$451,$C82,'TL11'!$J$238:$J$451),0),
IF('TL12'!$B$3=O$3,SUMIF('TL12'!$C$10:$C$224,$C82,'TL12'!$J$10:$J$224),0),
IF('TL12'!$B$229=O$3,SUMIF('TL12'!$C$238:$C$451,$C82,'TL12'!$J$238:$J$451),0),
IF('TL13'!$B$3=O$3,SUMIF('TL13'!$C$10:$C$224,$C82,'TL13'!$J$10:$J$224),0),
IF('TL13'!$B$229=O$3,SUMIF('TL13'!$C$238:$C$451,$C82,'TL13'!$J$238:$J$451),0),
IF('TL14'!$B$3=O$3,SUMIF('TL14'!$C$10:$C$224,$C82,'TL14'!$J$10:$J$224),0),
IF('TL14'!$B$229=O$3,SUMIF('TL14'!$C$238:$C$451,$C82,'TL14'!$J$238:$J$451),0),
IF('TL15'!$B$3=O$3,SUMIF('TL15'!$C$10:$C$224,$C82,'TL15'!$J$10:$J$224),0),
IF('TL15'!$B$229=O$3,SUMIF('TL15'!$C$238:$C$451,$C82,'TL15'!$J$238:$J$451),0),
IF('TL16'!$B$3=O$3,SUMIF('TL16'!$C$10:$C$224,$C82,'TL16'!$J$10:$J$224),0),
IF('TL16'!$B$229=O$3,SUMIF('TL16'!$C$238:$C$451,$C82,'TL16'!$J$238:$J$451),0),
IF('TL17'!$B$3=O$3,SUMIF('TL17'!$C$10:$C$224,$C82,'TL17'!$J$10:$J$224),0),
IF('TL17'!$B$229=O$3,SUMIF('TL17'!$C$238:$C$451,$C82,'TL17'!$J$238:$J$451),0),
IF('TL18'!$B$3=O$3,SUMIF('TL18'!$C$10:$C$224,$C82,'TL18'!$J$10:$J$224),0),
IF('TL18'!$B$229=O$3,SUMIF('TL18'!$C$238:$C$451,$C82,'TL18'!$J$238:$J$451),0),
IF('TL19'!$B$3=O$3,SUMIF('TL19'!$C$10:$C$224,$C82,'TL19'!$J$10:$J$224),0),
IF('TL19'!$B$229=O$3,SUMIF('TL19'!$C$238:$C$451,$C82,'TL19'!$J$238:$J$451),0)
),0)</f>
        <v>0</v>
      </c>
      <c r="P82" s="9">
        <f>IFERROR(SUM(
IF('TL01'!$B$3=P$3,SUMIF('TL01'!$C$10:$C$224,$C82,'TL01'!$J$10:$J$224),0),
IF('TL01'!$B$229=P$3,SUMIF('TL01'!$C$238:$C$451,$C82,'TL01'!$J$238:$J$451),0),
IF('TL02'!$B$3=P$3,SUMIF('TL02'!$C$10:$C$224,$C82,'TL02'!$J$10:$J$224),0),
IF('TL02'!$B$229=P$3,SUMIF('TL02'!$C$238:$C$451,$C82,'TL02'!$J$238:$J$451),0),
IF('TL03'!$B$3=P$3,SUMIF('TL03'!$C$10:$C$224,$C82,'TL03'!$J$10:$J$224),0),
IF('TL03'!$B$229=P$3,SUMIF('TL03'!$C$238:$C$451,$C82,'TL03'!$J$238:$J$451),0),
IF('TL04'!$B$3=P$3,SUMIF('TL04'!$C$10:$C$224,$C82,'TL04'!$J$10:$J$224),0),
IF('TL04'!$B$229=P$3,SUMIF('TL04'!$C$238:$C$451,$C82,'TL04'!$J$238:$J$451),0),
IF('TL05'!$B$3=P$3,SUMIF('TL05'!$C$10:$C$224,$C82,'TL05'!$J$10:$J$224),0),
IF('TL05'!$B$229=P$3,SUMIF('TL05'!$C$238:$C$451,$C82,'TL05'!$J$238:$J$451),0),
IF('TL06'!$B$3=P$3,SUMIF('TL06'!$C$10:$C$224,$C82,'TL06'!$J$10:$J$224),0),
IF('TL06'!$B$229=P$3,SUMIF('TL06'!$C$238:$C$451,$C82,'TL06'!$J$238:$J$451),0),
IF('TL07'!$B$3=P$3,SUMIF('TL07'!$C$10:$C$224,$C82,'TL07'!$J$10:$J$224),0),
IF('TL07'!$B$229=P$3,SUMIF('TL07'!$C$238:$C$451,$C82,'TL07'!$J$238:$J$451),0),
IF('TL08'!$B$3=P$3,SUMIF('TL08'!$C$10:$C$224,$C82,'TL08'!$J$10:$J$224),0),
IF('TL08'!$B$229=P$3,SUMIF('TL08'!$C$238:$C$451,$C82,'TL08'!$J$238:$J$451),0),
IF('TL09'!$B$3=P$3,SUMIF('TL09'!$C$10:$C$224,$C82,'TL09'!$J$10:$J$224),0),
IF('TL09'!$B$229=P$3,SUMIF('TL09'!$C$238:$C$451,$C82,'TL09'!$J$238:$J$451),0),
IF('TL10'!$B$3=P$3,SUMIF('TL10'!$C$10:$C$224,$C82,'TL10'!$J$10:$J$224),0),
IF('TL10'!$B$229=P$3,SUMIF('TL10'!$C$238:$C$451,$C82,'TL10'!$J$238:$J$451),0),
IF('TL11'!$B$3=P$3,SUMIF('TL11'!$C$10:$C$224,$C82,'TL11'!$J$10:$J$224),0),
IF('TL11'!$B$229=P$3,SUMIF('TL11'!$C$238:$C$451,$C82,'TL11'!$J$238:$J$451),0),
IF('TL12'!$B$3=P$3,SUMIF('TL12'!$C$10:$C$224,$C82,'TL12'!$J$10:$J$224),0),
IF('TL12'!$B$229=P$3,SUMIF('TL12'!$C$238:$C$451,$C82,'TL12'!$J$238:$J$451),0),
IF('TL13'!$B$3=P$3,SUMIF('TL13'!$C$10:$C$224,$C82,'TL13'!$J$10:$J$224),0),
IF('TL13'!$B$229=P$3,SUMIF('TL13'!$C$238:$C$451,$C82,'TL13'!$J$238:$J$451),0),
IF('TL14'!$B$3=P$3,SUMIF('TL14'!$C$10:$C$224,$C82,'TL14'!$J$10:$J$224),0),
IF('TL14'!$B$229=P$3,SUMIF('TL14'!$C$238:$C$451,$C82,'TL14'!$J$238:$J$451),0),
IF('TL15'!$B$3=P$3,SUMIF('TL15'!$C$10:$C$224,$C82,'TL15'!$J$10:$J$224),0),
IF('TL15'!$B$229=P$3,SUMIF('TL15'!$C$238:$C$451,$C82,'TL15'!$J$238:$J$451),0),
IF('TL16'!$B$3=P$3,SUMIF('TL16'!$C$10:$C$224,$C82,'TL16'!$J$10:$J$224),0),
IF('TL16'!$B$229=P$3,SUMIF('TL16'!$C$238:$C$451,$C82,'TL16'!$J$238:$J$451),0),
IF('TL17'!$B$3=P$3,SUMIF('TL17'!$C$10:$C$224,$C82,'TL17'!$J$10:$J$224),0),
IF('TL17'!$B$229=P$3,SUMIF('TL17'!$C$238:$C$451,$C82,'TL17'!$J$238:$J$451),0),
IF('TL18'!$B$3=P$3,SUMIF('TL18'!$C$10:$C$224,$C82,'TL18'!$J$10:$J$224),0),
IF('TL18'!$B$229=P$3,SUMIF('TL18'!$C$238:$C$451,$C82,'TL18'!$J$238:$J$451),0),
IF('TL19'!$B$3=P$3,SUMIF('TL19'!$C$10:$C$224,$C82,'TL19'!$J$10:$J$224),0),
IF('TL19'!$B$229=P$3,SUMIF('TL19'!$C$238:$C$451,$C82,'TL19'!$J$238:$J$451),0)
),0)</f>
        <v>0</v>
      </c>
      <c r="Q82" s="9">
        <f>IFERROR(SUM(
IF('TL01'!$B$3=Q$3,SUMIF('TL01'!$C$10:$C$224,$C82,'TL01'!$J$10:$J$224),0),
IF('TL01'!$B$229=Q$3,SUMIF('TL01'!$C$238:$C$451,$C82,'TL01'!$J$238:$J$451),0),
IF('TL02'!$B$3=Q$3,SUMIF('TL02'!$C$10:$C$224,$C82,'TL02'!$J$10:$J$224),0),
IF('TL02'!$B$229=Q$3,SUMIF('TL02'!$C$238:$C$451,$C82,'TL02'!$J$238:$J$451),0),
IF('TL03'!$B$3=Q$3,SUMIF('TL03'!$C$10:$C$224,$C82,'TL03'!$J$10:$J$224),0),
IF('TL03'!$B$229=Q$3,SUMIF('TL03'!$C$238:$C$451,$C82,'TL03'!$J$238:$J$451),0),
IF('TL04'!$B$3=Q$3,SUMIF('TL04'!$C$10:$C$224,$C82,'TL04'!$J$10:$J$224),0),
IF('TL04'!$B$229=Q$3,SUMIF('TL04'!$C$238:$C$451,$C82,'TL04'!$J$238:$J$451),0),
IF('TL05'!$B$3=Q$3,SUMIF('TL05'!$C$10:$C$224,$C82,'TL05'!$J$10:$J$224),0),
IF('TL05'!$B$229=Q$3,SUMIF('TL05'!$C$238:$C$451,$C82,'TL05'!$J$238:$J$451),0),
IF('TL06'!$B$3=Q$3,SUMIF('TL06'!$C$10:$C$224,$C82,'TL06'!$J$10:$J$224),0),
IF('TL06'!$B$229=Q$3,SUMIF('TL06'!$C$238:$C$451,$C82,'TL06'!$J$238:$J$451),0),
IF('TL07'!$B$3=Q$3,SUMIF('TL07'!$C$10:$C$224,$C82,'TL07'!$J$10:$J$224),0),
IF('TL07'!$B$229=Q$3,SUMIF('TL07'!$C$238:$C$451,$C82,'TL07'!$J$238:$J$451),0),
IF('TL08'!$B$3=Q$3,SUMIF('TL08'!$C$10:$C$224,$C82,'TL08'!$J$10:$J$224),0),
IF('TL08'!$B$229=Q$3,SUMIF('TL08'!$C$238:$C$451,$C82,'TL08'!$J$238:$J$451),0),
IF('TL09'!$B$3=Q$3,SUMIF('TL09'!$C$10:$C$224,$C82,'TL09'!$J$10:$J$224),0),
IF('TL09'!$B$229=Q$3,SUMIF('TL09'!$C$238:$C$451,$C82,'TL09'!$J$238:$J$451),0),
IF('TL10'!$B$3=Q$3,SUMIF('TL10'!$C$10:$C$224,$C82,'TL10'!$J$10:$J$224),0),
IF('TL10'!$B$229=Q$3,SUMIF('TL10'!$C$238:$C$451,$C82,'TL10'!$J$238:$J$451),0),
IF('TL11'!$B$3=Q$3,SUMIF('TL11'!$C$10:$C$224,$C82,'TL11'!$J$10:$J$224),0),
IF('TL11'!$B$229=Q$3,SUMIF('TL11'!$C$238:$C$451,$C82,'TL11'!$J$238:$J$451),0),
IF('TL12'!$B$3=Q$3,SUMIF('TL12'!$C$10:$C$224,$C82,'TL12'!$J$10:$J$224),0),
IF('TL12'!$B$229=Q$3,SUMIF('TL12'!$C$238:$C$451,$C82,'TL12'!$J$238:$J$451),0),
IF('TL13'!$B$3=Q$3,SUMIF('TL13'!$C$10:$C$224,$C82,'TL13'!$J$10:$J$224),0),
IF('TL13'!$B$229=Q$3,SUMIF('TL13'!$C$238:$C$451,$C82,'TL13'!$J$238:$J$451),0),
IF('TL14'!$B$3=Q$3,SUMIF('TL14'!$C$10:$C$224,$C82,'TL14'!$J$10:$J$224),0),
IF('TL14'!$B$229=Q$3,SUMIF('TL14'!$C$238:$C$451,$C82,'TL14'!$J$238:$J$451),0),
IF('TL15'!$B$3=Q$3,SUMIF('TL15'!$C$10:$C$224,$C82,'TL15'!$J$10:$J$224),0),
IF('TL15'!$B$229=Q$3,SUMIF('TL15'!$C$238:$C$451,$C82,'TL15'!$J$238:$J$451),0),
IF('TL16'!$B$3=Q$3,SUMIF('TL16'!$C$10:$C$224,$C82,'TL16'!$J$10:$J$224),0),
IF('TL16'!$B$229=Q$3,SUMIF('TL16'!$C$238:$C$451,$C82,'TL16'!$J$238:$J$451),0),
IF('TL17'!$B$3=Q$3,SUMIF('TL17'!$C$10:$C$224,$C82,'TL17'!$J$10:$J$224),0),
IF('TL17'!$B$229=Q$3,SUMIF('TL17'!$C$238:$C$451,$C82,'TL17'!$J$238:$J$451),0),
IF('TL18'!$B$3=Q$3,SUMIF('TL18'!$C$10:$C$224,$C82,'TL18'!$J$10:$J$224),0),
IF('TL18'!$B$229=Q$3,SUMIF('TL18'!$C$238:$C$451,$C82,'TL18'!$J$238:$J$451),0),
IF('TL19'!$B$3=Q$3,SUMIF('TL19'!$C$10:$C$224,$C82,'TL19'!$J$10:$J$224),0),
IF('TL19'!$B$229=Q$3,SUMIF('TL19'!$C$238:$C$451,$C82,'TL19'!$J$238:$J$451),0)
),0)</f>
        <v>0</v>
      </c>
      <c r="R82" s="9">
        <f>IFERROR(
SUM(
SUMIF('TL01'!C:C,C82,'TL01'!J:J),
SUMIF('TL02'!C:C,C82,'TL02'!J:J),
SUMIF('TL03'!C:C,C82,'TL03'!J:J),
SUMIF('TL04'!C:C,C82,'TL04'!J:J),
SUMIF('TL05'!C:C,C82,'TL05'!J:J),
SUMIF('TL06'!C:C,C82,'TL06'!J:J),
SUMIF('TL07'!C:C,C82,'TL07'!J:J),
SUMIF('TL08'!C:C,C82,'TL08'!J:J),
SUMIF('TL09'!C:C,C82,'TL09'!J:J),
SUMIF('TL10'!C:C,C82,'TL10'!J:J),
SUMIF('TL11'!C:C,C82,'TL11'!J:J),
SUMIF('TL12'!C:C,C82,'TL12'!J:J),
SUMIF('TL13'!C:C,C82,'TL13'!J:J),
SUMIF('TL14'!C:C,C82,'TL14'!J:J),
SUMIF('TL15'!C:C,C82,'TL15'!J:J),
SUMIF('TL16'!C:C,C82,'TL16'!J:J),
SUMIF('TL17'!C:C,C82,'TL17'!J:J),
SUMIF('TL18'!C:C,C82,'TL18'!J:J),SUMIF('TL19'!C:C,C82,'TL19'!J:J))
,0)</f>
        <v>0</v>
      </c>
      <c r="S82" s="17">
        <f>IFERROR(__xludf.DUMMYFUNCTION("IFERROR(VLOOKUP(C82,
IMPORTRANGE(""1wULbzX32WdYsx-lj2U3uUNBBe2INVIRDtcK0d-Dvl90"",
""26-27!C:G""),
5,
FALSE),
"""")"),113.49936000000001)</f>
        <v>113.49936</v>
      </c>
      <c r="T82" s="9"/>
      <c r="U82" s="92">
        <f t="shared" si="2"/>
        <v>0</v>
      </c>
      <c r="V82" s="93">
        <f t="shared" si="3"/>
        <v>0</v>
      </c>
    </row>
    <row r="83" ht="15.75" hidden="1" customHeight="1">
      <c r="A83" s="111" t="s">
        <v>356</v>
      </c>
      <c r="B83" s="112" t="s">
        <v>0</v>
      </c>
      <c r="C83" s="113" t="s">
        <v>550</v>
      </c>
      <c r="D83" s="113" t="s">
        <v>551</v>
      </c>
      <c r="E83" s="113">
        <v>500.0</v>
      </c>
      <c r="F83" s="4" t="s">
        <v>343</v>
      </c>
      <c r="G83" s="90" t="str">
        <f t="shared" si="4"/>
        <v>📄 Ver bula</v>
      </c>
      <c r="H83" s="9" t="str">
        <f>IFERROR(__xludf.DUMMYFUNCTION("IFERROR(VLOOKUP(C83,
IMPORTRANGE(""1wULbzX32WdYsx-lj2U3uUNBBe2INVIRDtcK0d-Dvl90"",
""26-27!C:K""),
8,
FALSE),
"""")"),"")</f>
        <v/>
      </c>
      <c r="I83" s="114" t="s">
        <v>552</v>
      </c>
      <c r="J83" s="9">
        <f>IFERROR(SUM(
IF('TL01'!$B$3=J$3,SUMIF('TL01'!$C$10:$C$224,$C83,'TL01'!$J$10:$J$224),0),
IF('TL01'!$B$229=J$3,SUMIF('TL01'!$C$238:$C$451,$C83,'TL01'!$J$238:$J$451),0),
IF('TL02'!$B$3=J$3,SUMIF('TL02'!$C$10:$C$224,$C83,'TL02'!$J$10:$J$224),0),
IF('TL02'!$B$229=J$3,SUMIF('TL02'!$C$238:$C$451,$C83,'TL02'!$J$238:$J$451),0),
IF('TL03'!$B$3=J$3,SUMIF('TL03'!$C$10:$C$224,$C83,'TL03'!$J$10:$J$224),0),
IF('TL03'!$B$229=J$3,SUMIF('TL03'!$C$238:$C$451,$C83,'TL03'!$J$238:$J$451),0),
IF('TL04'!$B$3=J$3,SUMIF('TL04'!$C$10:$C$224,$C83,'TL04'!$J$10:$J$224),0),
IF('TL04'!$B$229=J$3,SUMIF('TL04'!$C$238:$C$451,$C83,'TL04'!$J$238:$J$451),0),
IF('TL05'!$B$3=J$3,SUMIF('TL05'!$C$10:$C$224,$C83,'TL05'!$J$10:$J$224),0),
IF('TL05'!$B$229=J$3,SUMIF('TL05'!$C$238:$C$451,$C83,'TL05'!$J$238:$J$451),0),
IF('TL06'!$B$3=J$3,SUMIF('TL06'!$C$10:$C$224,$C83,'TL06'!$J$10:$J$224),0),
IF('TL06'!$B$229=J$3,SUMIF('TL06'!$C$238:$C$451,$C83,'TL06'!$J$238:$J$451),0),
IF('TL07'!$B$3=J$3,SUMIF('TL07'!$C$10:$C$224,$C83,'TL07'!$J$10:$J$224),0),
IF('TL07'!$B$229=J$3,SUMIF('TL07'!$C$238:$C$451,$C83,'TL07'!$J$238:$J$451),0),
IF('TL08'!$B$3=J$3,SUMIF('TL08'!$C$10:$C$224,$C83,'TL08'!$J$10:$J$224),0),
IF('TL08'!$B$229=J$3,SUMIF('TL08'!$C$238:$C$451,$C83,'TL08'!$J$238:$J$451),0),
IF('TL09'!$B$3=J$3,SUMIF('TL09'!$C$10:$C$224,$C83,'TL09'!$J$10:$J$224),0),
IF('TL09'!$B$229=J$3,SUMIF('TL09'!$C$238:$C$451,$C83,'TL09'!$J$238:$J$451),0),
IF('TL10'!$B$3=J$3,SUMIF('TL10'!$C$10:$C$224,$C83,'TL10'!$J$10:$J$224),0),
IF('TL10'!$B$229=J$3,SUMIF('TL10'!$C$238:$C$451,$C83,'TL10'!$J$238:$J$451),0),
IF('TL11'!$B$3=J$3,SUMIF('TL11'!$C$10:$C$224,$C83,'TL11'!$J$10:$J$224),0),
IF('TL11'!$B$229=J$3,SUMIF('TL11'!$C$238:$C$451,$C83,'TL11'!$J$238:$J$451),0),
IF('TL12'!$B$3=J$3,SUMIF('TL12'!$C$10:$C$224,$C83,'TL12'!$J$10:$J$224),0),
IF('TL12'!$B$229=J$3,SUMIF('TL12'!$C$238:$C$451,$C83,'TL12'!$J$238:$J$451),0),
IF('TL13'!$B$3=J$3,SUMIF('TL13'!$C$10:$C$224,$C83,'TL13'!$J$10:$J$224),0),
IF('TL13'!$B$229=J$3,SUMIF('TL13'!$C$238:$C$451,$C83,'TL13'!$J$238:$J$451),0),
IF('TL14'!$B$3=J$3,SUMIF('TL14'!$C$10:$C$224,$C83,'TL14'!$J$10:$J$224),0),
IF('TL14'!$B$229=J$3,SUMIF('TL14'!$C$238:$C$451,$C83,'TL14'!$J$238:$J$451),0),
IF('TL15'!$B$3=J$3,SUMIF('TL15'!$C$10:$C$224,$C83,'TL15'!$J$10:$J$224),0),
IF('TL15'!$B$229=J$3,SUMIF('TL15'!$C$238:$C$451,$C83,'TL15'!$J$238:$J$451),0),
IF('TL16'!$B$3=J$3,SUMIF('TL16'!$C$10:$C$224,$C83,'TL16'!$J$10:$J$224),0),
IF('TL16'!$B$229=J$3,SUMIF('TL16'!$C$238:$C$451,$C83,'TL16'!$J$238:$J$451),0),
IF('TL17'!$B$3=J$3,SUMIF('TL17'!$C$10:$C$224,$C83,'TL17'!$J$10:$J$224),0),
IF('TL17'!$B$229=J$3,SUMIF('TL17'!$C$238:$C$451,$C83,'TL17'!$J$238:$J$451),0),
IF('TL18'!$B$3=J$3,SUMIF('TL18'!$C$10:$C$224,$C83,'TL18'!$J$10:$J$224),0),
IF('TL18'!$B$229=J$3,SUMIF('TL18'!$C$238:$C$451,$C83,'TL18'!$J$238:$J$451),0),
IF('TL19'!$B$3=J$3,SUMIF('TL19'!$C$10:$C$224,$C83,'TL19'!$J$10:$J$224),0),
IF('TL19'!$B$229=J$3,SUMIF('TL19'!$C$238:$C$451,$C83,'TL19'!$J$238:$J$451),0)
),0)</f>
        <v>0</v>
      </c>
      <c r="K83" s="9">
        <f>IFERROR(SUM(
IF('TL01'!$B$3=K$3,SUMIF('TL01'!$C$10:$C$224,$C83,'TL01'!$J$10:$J$224),0),
IF('TL01'!$B$229=K$3,SUMIF('TL01'!$C$238:$C$451,$C83,'TL01'!$J$238:$J$451),0),
IF('TL02'!$B$3=K$3,SUMIF('TL02'!$C$10:$C$224,$C83,'TL02'!$J$10:$J$224),0),
IF('TL02'!$B$229=K$3,SUMIF('TL02'!$C$238:$C$451,$C83,'TL02'!$J$238:$J$451),0),
IF('TL03'!$B$3=K$3,SUMIF('TL03'!$C$10:$C$224,$C83,'TL03'!$J$10:$J$224),0),
IF('TL03'!$B$229=K$3,SUMIF('TL03'!$C$238:$C$451,$C83,'TL03'!$J$238:$J$451),0),
IF('TL04'!$B$3=K$3,SUMIF('TL04'!$C$10:$C$224,$C83,'TL04'!$J$10:$J$224),0),
IF('TL04'!$B$229=K$3,SUMIF('TL04'!$C$238:$C$451,$C83,'TL04'!$J$238:$J$451),0),
IF('TL05'!$B$3=K$3,SUMIF('TL05'!$C$10:$C$224,$C83,'TL05'!$J$10:$J$224),0),
IF('TL05'!$B$229=K$3,SUMIF('TL05'!$C$238:$C$451,$C83,'TL05'!$J$238:$J$451),0),
IF('TL06'!$B$3=K$3,SUMIF('TL06'!$C$10:$C$224,$C83,'TL06'!$J$10:$J$224),0),
IF('TL06'!$B$229=K$3,SUMIF('TL06'!$C$238:$C$451,$C83,'TL06'!$J$238:$J$451),0),
IF('TL07'!$B$3=K$3,SUMIF('TL07'!$C$10:$C$224,$C83,'TL07'!$J$10:$J$224),0),
IF('TL07'!$B$229=K$3,SUMIF('TL07'!$C$238:$C$451,$C83,'TL07'!$J$238:$J$451),0),
IF('TL08'!$B$3=K$3,SUMIF('TL08'!$C$10:$C$224,$C83,'TL08'!$J$10:$J$224),0),
IF('TL08'!$B$229=K$3,SUMIF('TL08'!$C$238:$C$451,$C83,'TL08'!$J$238:$J$451),0),
IF('TL09'!$B$3=K$3,SUMIF('TL09'!$C$10:$C$224,$C83,'TL09'!$J$10:$J$224),0),
IF('TL09'!$B$229=K$3,SUMIF('TL09'!$C$238:$C$451,$C83,'TL09'!$J$238:$J$451),0),
IF('TL10'!$B$3=K$3,SUMIF('TL10'!$C$10:$C$224,$C83,'TL10'!$J$10:$J$224),0),
IF('TL10'!$B$229=K$3,SUMIF('TL10'!$C$238:$C$451,$C83,'TL10'!$J$238:$J$451),0),
IF('TL11'!$B$3=K$3,SUMIF('TL11'!$C$10:$C$224,$C83,'TL11'!$J$10:$J$224),0),
IF('TL11'!$B$229=K$3,SUMIF('TL11'!$C$238:$C$451,$C83,'TL11'!$J$238:$J$451),0),
IF('TL12'!$B$3=K$3,SUMIF('TL12'!$C$10:$C$224,$C83,'TL12'!$J$10:$J$224),0),
IF('TL12'!$B$229=K$3,SUMIF('TL12'!$C$238:$C$451,$C83,'TL12'!$J$238:$J$451),0),
IF('TL13'!$B$3=K$3,SUMIF('TL13'!$C$10:$C$224,$C83,'TL13'!$J$10:$J$224),0),
IF('TL13'!$B$229=K$3,SUMIF('TL13'!$C$238:$C$451,$C83,'TL13'!$J$238:$J$451),0),
IF('TL14'!$B$3=K$3,SUMIF('TL14'!$C$10:$C$224,$C83,'TL14'!$J$10:$J$224),0),
IF('TL14'!$B$229=K$3,SUMIF('TL14'!$C$238:$C$451,$C83,'TL14'!$J$238:$J$451),0),
IF('TL15'!$B$3=K$3,SUMIF('TL15'!$C$10:$C$224,$C83,'TL15'!$J$10:$J$224),0),
IF('TL15'!$B$229=K$3,SUMIF('TL15'!$C$238:$C$451,$C83,'TL15'!$J$238:$J$451),0),
IF('TL16'!$B$3=K$3,SUMIF('TL16'!$C$10:$C$224,$C83,'TL16'!$J$10:$J$224),0),
IF('TL16'!$B$229=K$3,SUMIF('TL16'!$C$238:$C$451,$C83,'TL16'!$J$238:$J$451),0),
IF('TL17'!$B$3=K$3,SUMIF('TL17'!$C$10:$C$224,$C83,'TL17'!$J$10:$J$224),0),
IF('TL17'!$B$229=K$3,SUMIF('TL17'!$C$238:$C$451,$C83,'TL17'!$J$238:$J$451),0),
IF('TL18'!$B$3=K$3,SUMIF('TL18'!$C$10:$C$224,$C83,'TL18'!$J$10:$J$224),0),
IF('TL18'!$B$229=K$3,SUMIF('TL18'!$C$238:$C$451,$C83,'TL18'!$J$238:$J$451),0),
IF('TL19'!$B$3=K$3,SUMIF('TL19'!$C$10:$C$224,$C83,'TL19'!$J$10:$J$224),0),
IF('TL19'!$B$229=K$3,SUMIF('TL19'!$C$238:$C$451,$C83,'TL19'!$J$238:$J$451),0)
),0)</f>
        <v>0</v>
      </c>
      <c r="L83" s="9">
        <f>IFERROR(SUM(
IF('TL01'!$B$3=L$3,SUMIF('TL01'!$C$10:$C$224,$C83,'TL01'!$J$10:$J$224),0),
IF('TL01'!$B$229=L$3,SUMIF('TL01'!$C$238:$C$451,$C83,'TL01'!$J$238:$J$451),0),
IF('TL02'!$B$3=L$3,SUMIF('TL02'!$C$10:$C$224,$C83,'TL02'!$J$10:$J$224),0),
IF('TL02'!$B$229=L$3,SUMIF('TL02'!$C$238:$C$451,$C83,'TL02'!$J$238:$J$451),0),
IF('TL03'!$B$3=L$3,SUMIF('TL03'!$C$10:$C$224,$C83,'TL03'!$J$10:$J$224),0),
IF('TL03'!$B$229=L$3,SUMIF('TL03'!$C$238:$C$451,$C83,'TL03'!$J$238:$J$451),0),
IF('TL04'!$B$3=L$3,SUMIF('TL04'!$C$10:$C$224,$C83,'TL04'!$J$10:$J$224),0),
IF('TL04'!$B$229=L$3,SUMIF('TL04'!$C$238:$C$451,$C83,'TL04'!$J$238:$J$451),0),
IF('TL05'!$B$3=L$3,SUMIF('TL05'!$C$10:$C$224,$C83,'TL05'!$J$10:$J$224),0),
IF('TL05'!$B$229=L$3,SUMIF('TL05'!$C$238:$C$451,$C83,'TL05'!$J$238:$J$451),0),
IF('TL06'!$B$3=L$3,SUMIF('TL06'!$C$10:$C$224,$C83,'TL06'!$J$10:$J$224),0),
IF('TL06'!$B$229=L$3,SUMIF('TL06'!$C$238:$C$451,$C83,'TL06'!$J$238:$J$451),0),
IF('TL07'!$B$3=L$3,SUMIF('TL07'!$C$10:$C$224,$C83,'TL07'!$J$10:$J$224),0),
IF('TL07'!$B$229=L$3,SUMIF('TL07'!$C$238:$C$451,$C83,'TL07'!$J$238:$J$451),0),
IF('TL08'!$B$3=L$3,SUMIF('TL08'!$C$10:$C$224,$C83,'TL08'!$J$10:$J$224),0),
IF('TL08'!$B$229=L$3,SUMIF('TL08'!$C$238:$C$451,$C83,'TL08'!$J$238:$J$451),0),
IF('TL09'!$B$3=L$3,SUMIF('TL09'!$C$10:$C$224,$C83,'TL09'!$J$10:$J$224),0),
IF('TL09'!$B$229=L$3,SUMIF('TL09'!$C$238:$C$451,$C83,'TL09'!$J$238:$J$451),0),
IF('TL10'!$B$3=L$3,SUMIF('TL10'!$C$10:$C$224,$C83,'TL10'!$J$10:$J$224),0),
IF('TL10'!$B$229=L$3,SUMIF('TL10'!$C$238:$C$451,$C83,'TL10'!$J$238:$J$451),0),
IF('TL11'!$B$3=L$3,SUMIF('TL11'!$C$10:$C$224,$C83,'TL11'!$J$10:$J$224),0),
IF('TL11'!$B$229=L$3,SUMIF('TL11'!$C$238:$C$451,$C83,'TL11'!$J$238:$J$451),0),
IF('TL12'!$B$3=L$3,SUMIF('TL12'!$C$10:$C$224,$C83,'TL12'!$J$10:$J$224),0),
IF('TL12'!$B$229=L$3,SUMIF('TL12'!$C$238:$C$451,$C83,'TL12'!$J$238:$J$451),0),
IF('TL13'!$B$3=L$3,SUMIF('TL13'!$C$10:$C$224,$C83,'TL13'!$J$10:$J$224),0),
IF('TL13'!$B$229=L$3,SUMIF('TL13'!$C$238:$C$451,$C83,'TL13'!$J$238:$J$451),0),
IF('TL14'!$B$3=L$3,SUMIF('TL14'!$C$10:$C$224,$C83,'TL14'!$J$10:$J$224),0),
IF('TL14'!$B$229=L$3,SUMIF('TL14'!$C$238:$C$451,$C83,'TL14'!$J$238:$J$451),0),
IF('TL15'!$B$3=L$3,SUMIF('TL15'!$C$10:$C$224,$C83,'TL15'!$J$10:$J$224),0),
IF('TL15'!$B$229=L$3,SUMIF('TL15'!$C$238:$C$451,$C83,'TL15'!$J$238:$J$451),0),
IF('TL16'!$B$3=L$3,SUMIF('TL16'!$C$10:$C$224,$C83,'TL16'!$J$10:$J$224),0),
IF('TL16'!$B$229=L$3,SUMIF('TL16'!$C$238:$C$451,$C83,'TL16'!$J$238:$J$451),0),
IF('TL17'!$B$3=L$3,SUMIF('TL17'!$C$10:$C$224,$C83,'TL17'!$J$10:$J$224),0),
IF('TL17'!$B$229=L$3,SUMIF('TL17'!$C$238:$C$451,$C83,'TL17'!$J$238:$J$451),0),
IF('TL18'!$B$3=L$3,SUMIF('TL18'!$C$10:$C$224,$C83,'TL18'!$J$10:$J$224),0),
IF('TL18'!$B$229=L$3,SUMIF('TL18'!$C$238:$C$451,$C83,'TL18'!$J$238:$J$451),0),
IF('TL19'!$B$3=L$3,SUMIF('TL19'!$C$10:$C$224,$C83,'TL19'!$J$10:$J$224),0),
IF('TL19'!$B$229=L$3,SUMIF('TL19'!$C$238:$C$451,$C83,'TL19'!$J$238:$J$451),0)
),0)</f>
        <v>0</v>
      </c>
      <c r="M83" s="9">
        <f>IFERROR(SUM(
IF('TL01'!$B$3=M$3,SUMIF('TL01'!$C$10:$C$224,$C83,'TL01'!$J$10:$J$224),0),
IF('TL01'!$B$229=M$3,SUMIF('TL01'!$C$238:$C$451,$C83,'TL01'!$J$238:$J$451),0),
IF('TL02'!$B$3=M$3,SUMIF('TL02'!$C$10:$C$224,$C83,'TL02'!$J$10:$J$224),0),
IF('TL02'!$B$229=M$3,SUMIF('TL02'!$C$238:$C$451,$C83,'TL02'!$J$238:$J$451),0),
IF('TL03'!$B$3=M$3,SUMIF('TL03'!$C$10:$C$224,$C83,'TL03'!$J$10:$J$224),0),
IF('TL03'!$B$229=M$3,SUMIF('TL03'!$C$238:$C$451,$C83,'TL03'!$J$238:$J$451),0),
IF('TL04'!$B$3=M$3,SUMIF('TL04'!$C$10:$C$224,$C83,'TL04'!$J$10:$J$224),0),
IF('TL04'!$B$229=M$3,SUMIF('TL04'!$C$238:$C$451,$C83,'TL04'!$J$238:$J$451),0),
IF('TL05'!$B$3=M$3,SUMIF('TL05'!$C$10:$C$224,$C83,'TL05'!$J$10:$J$224),0),
IF('TL05'!$B$229=M$3,SUMIF('TL05'!$C$238:$C$451,$C83,'TL05'!$J$238:$J$451),0),
IF('TL06'!$B$3=M$3,SUMIF('TL06'!$C$10:$C$224,$C83,'TL06'!$J$10:$J$224),0),
IF('TL06'!$B$229=M$3,SUMIF('TL06'!$C$238:$C$451,$C83,'TL06'!$J$238:$J$451),0),
IF('TL07'!$B$3=M$3,SUMIF('TL07'!$C$10:$C$224,$C83,'TL07'!$J$10:$J$224),0),
IF('TL07'!$B$229=M$3,SUMIF('TL07'!$C$238:$C$451,$C83,'TL07'!$J$238:$J$451),0),
IF('TL08'!$B$3=M$3,SUMIF('TL08'!$C$10:$C$224,$C83,'TL08'!$J$10:$J$224),0),
IF('TL08'!$B$229=M$3,SUMIF('TL08'!$C$238:$C$451,$C83,'TL08'!$J$238:$J$451),0),
IF('TL09'!$B$3=M$3,SUMIF('TL09'!$C$10:$C$224,$C83,'TL09'!$J$10:$J$224),0),
IF('TL09'!$B$229=M$3,SUMIF('TL09'!$C$238:$C$451,$C83,'TL09'!$J$238:$J$451),0),
IF('TL10'!$B$3=M$3,SUMIF('TL10'!$C$10:$C$224,$C83,'TL10'!$J$10:$J$224),0),
IF('TL10'!$B$229=M$3,SUMIF('TL10'!$C$238:$C$451,$C83,'TL10'!$J$238:$J$451),0),
IF('TL11'!$B$3=M$3,SUMIF('TL11'!$C$10:$C$224,$C83,'TL11'!$J$10:$J$224),0),
IF('TL11'!$B$229=M$3,SUMIF('TL11'!$C$238:$C$451,$C83,'TL11'!$J$238:$J$451),0),
IF('TL12'!$B$3=M$3,SUMIF('TL12'!$C$10:$C$224,$C83,'TL12'!$J$10:$J$224),0),
IF('TL12'!$B$229=M$3,SUMIF('TL12'!$C$238:$C$451,$C83,'TL12'!$J$238:$J$451),0),
IF('TL13'!$B$3=M$3,SUMIF('TL13'!$C$10:$C$224,$C83,'TL13'!$J$10:$J$224),0),
IF('TL13'!$B$229=M$3,SUMIF('TL13'!$C$238:$C$451,$C83,'TL13'!$J$238:$J$451),0),
IF('TL14'!$B$3=M$3,SUMIF('TL14'!$C$10:$C$224,$C83,'TL14'!$J$10:$J$224),0),
IF('TL14'!$B$229=M$3,SUMIF('TL14'!$C$238:$C$451,$C83,'TL14'!$J$238:$J$451),0),
IF('TL15'!$B$3=M$3,SUMIF('TL15'!$C$10:$C$224,$C83,'TL15'!$J$10:$J$224),0),
IF('TL15'!$B$229=M$3,SUMIF('TL15'!$C$238:$C$451,$C83,'TL15'!$J$238:$J$451),0),
IF('TL16'!$B$3=M$3,SUMIF('TL16'!$C$10:$C$224,$C83,'TL16'!$J$10:$J$224),0),
IF('TL16'!$B$229=M$3,SUMIF('TL16'!$C$238:$C$451,$C83,'TL16'!$J$238:$J$451),0),
IF('TL17'!$B$3=M$3,SUMIF('TL17'!$C$10:$C$224,$C83,'TL17'!$J$10:$J$224),0),
IF('TL17'!$B$229=M$3,SUMIF('TL17'!$C$238:$C$451,$C83,'TL17'!$J$238:$J$451),0),
IF('TL18'!$B$3=M$3,SUMIF('TL18'!$C$10:$C$224,$C83,'TL18'!$J$10:$J$224),0),
IF('TL18'!$B$229=M$3,SUMIF('TL18'!$C$238:$C$451,$C83,'TL18'!$J$238:$J$451),0),
IF('TL19'!$B$3=M$3,SUMIF('TL19'!$C$10:$C$224,$C83,'TL19'!$J$10:$J$224),0),
IF('TL19'!$B$229=M$3,SUMIF('TL19'!$C$238:$C$451,$C83,'TL19'!$J$238:$J$451),0)
),0)</f>
        <v>0</v>
      </c>
      <c r="N83" s="9">
        <f>IFERROR(SUM(
IF('TL01'!$B$3=N$3,SUMIF('TL01'!$C$10:$C$224,$C83,'TL01'!$J$10:$J$224),0),
IF('TL01'!$B$229=N$3,SUMIF('TL01'!$C$238:$C$451,$C83,'TL01'!$J$238:$J$451),0),
IF('TL02'!$B$3=N$3,SUMIF('TL02'!$C$10:$C$224,$C83,'TL02'!$J$10:$J$224),0),
IF('TL02'!$B$229=N$3,SUMIF('TL02'!$C$238:$C$451,$C83,'TL02'!$J$238:$J$451),0),
IF('TL03'!$B$3=N$3,SUMIF('TL03'!$C$10:$C$224,$C83,'TL03'!$J$10:$J$224),0),
IF('TL03'!$B$229=N$3,SUMIF('TL03'!$C$238:$C$451,$C83,'TL03'!$J$238:$J$451),0),
IF('TL04'!$B$3=N$3,SUMIF('TL04'!$C$10:$C$224,$C83,'TL04'!$J$10:$J$224),0),
IF('TL04'!$B$229=N$3,SUMIF('TL04'!$C$238:$C$451,$C83,'TL04'!$J$238:$J$451),0),
IF('TL05'!$B$3=N$3,SUMIF('TL05'!$C$10:$C$224,$C83,'TL05'!$J$10:$J$224),0),
IF('TL05'!$B$229=N$3,SUMIF('TL05'!$C$238:$C$451,$C83,'TL05'!$J$238:$J$451),0),
IF('TL06'!$B$3=N$3,SUMIF('TL06'!$C$10:$C$224,$C83,'TL06'!$J$10:$J$224),0),
IF('TL06'!$B$229=N$3,SUMIF('TL06'!$C$238:$C$451,$C83,'TL06'!$J$238:$J$451),0),
IF('TL07'!$B$3=N$3,SUMIF('TL07'!$C$10:$C$224,$C83,'TL07'!$J$10:$J$224),0),
IF('TL07'!$B$229=N$3,SUMIF('TL07'!$C$238:$C$451,$C83,'TL07'!$J$238:$J$451),0),
IF('TL08'!$B$3=N$3,SUMIF('TL08'!$C$10:$C$224,$C83,'TL08'!$J$10:$J$224),0),
IF('TL08'!$B$229=N$3,SUMIF('TL08'!$C$238:$C$451,$C83,'TL08'!$J$238:$J$451),0),
IF('TL09'!$B$3=N$3,SUMIF('TL09'!$C$10:$C$224,$C83,'TL09'!$J$10:$J$224),0),
IF('TL09'!$B$229=N$3,SUMIF('TL09'!$C$238:$C$451,$C83,'TL09'!$J$238:$J$451),0),
IF('TL10'!$B$3=N$3,SUMIF('TL10'!$C$10:$C$224,$C83,'TL10'!$J$10:$J$224),0),
IF('TL10'!$B$229=N$3,SUMIF('TL10'!$C$238:$C$451,$C83,'TL10'!$J$238:$J$451),0),
IF('TL11'!$B$3=N$3,SUMIF('TL11'!$C$10:$C$224,$C83,'TL11'!$J$10:$J$224),0),
IF('TL11'!$B$229=N$3,SUMIF('TL11'!$C$238:$C$451,$C83,'TL11'!$J$238:$J$451),0),
IF('TL12'!$B$3=N$3,SUMIF('TL12'!$C$10:$C$224,$C83,'TL12'!$J$10:$J$224),0),
IF('TL12'!$B$229=N$3,SUMIF('TL12'!$C$238:$C$451,$C83,'TL12'!$J$238:$J$451),0),
IF('TL13'!$B$3=N$3,SUMIF('TL13'!$C$10:$C$224,$C83,'TL13'!$J$10:$J$224),0),
IF('TL13'!$B$229=N$3,SUMIF('TL13'!$C$238:$C$451,$C83,'TL13'!$J$238:$J$451),0),
IF('TL14'!$B$3=N$3,SUMIF('TL14'!$C$10:$C$224,$C83,'TL14'!$J$10:$J$224),0),
IF('TL14'!$B$229=N$3,SUMIF('TL14'!$C$238:$C$451,$C83,'TL14'!$J$238:$J$451),0),
IF('TL15'!$B$3=N$3,SUMIF('TL15'!$C$10:$C$224,$C83,'TL15'!$J$10:$J$224),0),
IF('TL15'!$B$229=N$3,SUMIF('TL15'!$C$238:$C$451,$C83,'TL15'!$J$238:$J$451),0),
IF('TL16'!$B$3=N$3,SUMIF('TL16'!$C$10:$C$224,$C83,'TL16'!$J$10:$J$224),0),
IF('TL16'!$B$229=N$3,SUMIF('TL16'!$C$238:$C$451,$C83,'TL16'!$J$238:$J$451),0),
IF('TL17'!$B$3=N$3,SUMIF('TL17'!$C$10:$C$224,$C83,'TL17'!$J$10:$J$224),0),
IF('TL17'!$B$229=N$3,SUMIF('TL17'!$C$238:$C$451,$C83,'TL17'!$J$238:$J$451),0),
IF('TL18'!$B$3=N$3,SUMIF('TL18'!$C$10:$C$224,$C83,'TL18'!$J$10:$J$224),0),
IF('TL18'!$B$229=N$3,SUMIF('TL18'!$C$238:$C$451,$C83,'TL18'!$J$238:$J$451),0),
IF('TL19'!$B$3=N$3,SUMIF('TL19'!$C$10:$C$224,$C83,'TL19'!$J$10:$J$224),0),
IF('TL19'!$B$229=N$3,SUMIF('TL19'!$C$238:$C$451,$C83,'TL19'!$J$238:$J$451),0)
),0)</f>
        <v>0</v>
      </c>
      <c r="O83" s="9">
        <f>IFERROR(SUM(
IF('TL01'!$B$3=O$3,SUMIF('TL01'!$C$10:$C$224,$C83,'TL01'!$J$10:$J$224),0),
IF('TL01'!$B$229=O$3,SUMIF('TL01'!$C$238:$C$451,$C83,'TL01'!$J$238:$J$451),0),
IF('TL02'!$B$3=O$3,SUMIF('TL02'!$C$10:$C$224,$C83,'TL02'!$J$10:$J$224),0),
IF('TL02'!$B$229=O$3,SUMIF('TL02'!$C$238:$C$451,$C83,'TL02'!$J$238:$J$451),0),
IF('TL03'!$B$3=O$3,SUMIF('TL03'!$C$10:$C$224,$C83,'TL03'!$J$10:$J$224),0),
IF('TL03'!$B$229=O$3,SUMIF('TL03'!$C$238:$C$451,$C83,'TL03'!$J$238:$J$451),0),
IF('TL04'!$B$3=O$3,SUMIF('TL04'!$C$10:$C$224,$C83,'TL04'!$J$10:$J$224),0),
IF('TL04'!$B$229=O$3,SUMIF('TL04'!$C$238:$C$451,$C83,'TL04'!$J$238:$J$451),0),
IF('TL05'!$B$3=O$3,SUMIF('TL05'!$C$10:$C$224,$C83,'TL05'!$J$10:$J$224),0),
IF('TL05'!$B$229=O$3,SUMIF('TL05'!$C$238:$C$451,$C83,'TL05'!$J$238:$J$451),0),
IF('TL06'!$B$3=O$3,SUMIF('TL06'!$C$10:$C$224,$C83,'TL06'!$J$10:$J$224),0),
IF('TL06'!$B$229=O$3,SUMIF('TL06'!$C$238:$C$451,$C83,'TL06'!$J$238:$J$451),0),
IF('TL07'!$B$3=O$3,SUMIF('TL07'!$C$10:$C$224,$C83,'TL07'!$J$10:$J$224),0),
IF('TL07'!$B$229=O$3,SUMIF('TL07'!$C$238:$C$451,$C83,'TL07'!$J$238:$J$451),0),
IF('TL08'!$B$3=O$3,SUMIF('TL08'!$C$10:$C$224,$C83,'TL08'!$J$10:$J$224),0),
IF('TL08'!$B$229=O$3,SUMIF('TL08'!$C$238:$C$451,$C83,'TL08'!$J$238:$J$451),0),
IF('TL09'!$B$3=O$3,SUMIF('TL09'!$C$10:$C$224,$C83,'TL09'!$J$10:$J$224),0),
IF('TL09'!$B$229=O$3,SUMIF('TL09'!$C$238:$C$451,$C83,'TL09'!$J$238:$J$451),0),
IF('TL10'!$B$3=O$3,SUMIF('TL10'!$C$10:$C$224,$C83,'TL10'!$J$10:$J$224),0),
IF('TL10'!$B$229=O$3,SUMIF('TL10'!$C$238:$C$451,$C83,'TL10'!$J$238:$J$451),0),
IF('TL11'!$B$3=O$3,SUMIF('TL11'!$C$10:$C$224,$C83,'TL11'!$J$10:$J$224),0),
IF('TL11'!$B$229=O$3,SUMIF('TL11'!$C$238:$C$451,$C83,'TL11'!$J$238:$J$451),0),
IF('TL12'!$B$3=O$3,SUMIF('TL12'!$C$10:$C$224,$C83,'TL12'!$J$10:$J$224),0),
IF('TL12'!$B$229=O$3,SUMIF('TL12'!$C$238:$C$451,$C83,'TL12'!$J$238:$J$451),0),
IF('TL13'!$B$3=O$3,SUMIF('TL13'!$C$10:$C$224,$C83,'TL13'!$J$10:$J$224),0),
IF('TL13'!$B$229=O$3,SUMIF('TL13'!$C$238:$C$451,$C83,'TL13'!$J$238:$J$451),0),
IF('TL14'!$B$3=O$3,SUMIF('TL14'!$C$10:$C$224,$C83,'TL14'!$J$10:$J$224),0),
IF('TL14'!$B$229=O$3,SUMIF('TL14'!$C$238:$C$451,$C83,'TL14'!$J$238:$J$451),0),
IF('TL15'!$B$3=O$3,SUMIF('TL15'!$C$10:$C$224,$C83,'TL15'!$J$10:$J$224),0),
IF('TL15'!$B$229=O$3,SUMIF('TL15'!$C$238:$C$451,$C83,'TL15'!$J$238:$J$451),0),
IF('TL16'!$B$3=O$3,SUMIF('TL16'!$C$10:$C$224,$C83,'TL16'!$J$10:$J$224),0),
IF('TL16'!$B$229=O$3,SUMIF('TL16'!$C$238:$C$451,$C83,'TL16'!$J$238:$J$451),0),
IF('TL17'!$B$3=O$3,SUMIF('TL17'!$C$10:$C$224,$C83,'TL17'!$J$10:$J$224),0),
IF('TL17'!$B$229=O$3,SUMIF('TL17'!$C$238:$C$451,$C83,'TL17'!$J$238:$J$451),0),
IF('TL18'!$B$3=O$3,SUMIF('TL18'!$C$10:$C$224,$C83,'TL18'!$J$10:$J$224),0),
IF('TL18'!$B$229=O$3,SUMIF('TL18'!$C$238:$C$451,$C83,'TL18'!$J$238:$J$451),0),
IF('TL19'!$B$3=O$3,SUMIF('TL19'!$C$10:$C$224,$C83,'TL19'!$J$10:$J$224),0),
IF('TL19'!$B$229=O$3,SUMIF('TL19'!$C$238:$C$451,$C83,'TL19'!$J$238:$J$451),0)
),0)</f>
        <v>0</v>
      </c>
      <c r="P83" s="9">
        <f>IFERROR(SUM(
IF('TL01'!$B$3=P$3,SUMIF('TL01'!$C$10:$C$224,$C83,'TL01'!$J$10:$J$224),0),
IF('TL01'!$B$229=P$3,SUMIF('TL01'!$C$238:$C$451,$C83,'TL01'!$J$238:$J$451),0),
IF('TL02'!$B$3=P$3,SUMIF('TL02'!$C$10:$C$224,$C83,'TL02'!$J$10:$J$224),0),
IF('TL02'!$B$229=P$3,SUMIF('TL02'!$C$238:$C$451,$C83,'TL02'!$J$238:$J$451),0),
IF('TL03'!$B$3=P$3,SUMIF('TL03'!$C$10:$C$224,$C83,'TL03'!$J$10:$J$224),0),
IF('TL03'!$B$229=P$3,SUMIF('TL03'!$C$238:$C$451,$C83,'TL03'!$J$238:$J$451),0),
IF('TL04'!$B$3=P$3,SUMIF('TL04'!$C$10:$C$224,$C83,'TL04'!$J$10:$J$224),0),
IF('TL04'!$B$229=P$3,SUMIF('TL04'!$C$238:$C$451,$C83,'TL04'!$J$238:$J$451),0),
IF('TL05'!$B$3=P$3,SUMIF('TL05'!$C$10:$C$224,$C83,'TL05'!$J$10:$J$224),0),
IF('TL05'!$B$229=P$3,SUMIF('TL05'!$C$238:$C$451,$C83,'TL05'!$J$238:$J$451),0),
IF('TL06'!$B$3=P$3,SUMIF('TL06'!$C$10:$C$224,$C83,'TL06'!$J$10:$J$224),0),
IF('TL06'!$B$229=P$3,SUMIF('TL06'!$C$238:$C$451,$C83,'TL06'!$J$238:$J$451),0),
IF('TL07'!$B$3=P$3,SUMIF('TL07'!$C$10:$C$224,$C83,'TL07'!$J$10:$J$224),0),
IF('TL07'!$B$229=P$3,SUMIF('TL07'!$C$238:$C$451,$C83,'TL07'!$J$238:$J$451),0),
IF('TL08'!$B$3=P$3,SUMIF('TL08'!$C$10:$C$224,$C83,'TL08'!$J$10:$J$224),0),
IF('TL08'!$B$229=P$3,SUMIF('TL08'!$C$238:$C$451,$C83,'TL08'!$J$238:$J$451),0),
IF('TL09'!$B$3=P$3,SUMIF('TL09'!$C$10:$C$224,$C83,'TL09'!$J$10:$J$224),0),
IF('TL09'!$B$229=P$3,SUMIF('TL09'!$C$238:$C$451,$C83,'TL09'!$J$238:$J$451),0),
IF('TL10'!$B$3=P$3,SUMIF('TL10'!$C$10:$C$224,$C83,'TL10'!$J$10:$J$224),0),
IF('TL10'!$B$229=P$3,SUMIF('TL10'!$C$238:$C$451,$C83,'TL10'!$J$238:$J$451),0),
IF('TL11'!$B$3=P$3,SUMIF('TL11'!$C$10:$C$224,$C83,'TL11'!$J$10:$J$224),0),
IF('TL11'!$B$229=P$3,SUMIF('TL11'!$C$238:$C$451,$C83,'TL11'!$J$238:$J$451),0),
IF('TL12'!$B$3=P$3,SUMIF('TL12'!$C$10:$C$224,$C83,'TL12'!$J$10:$J$224),0),
IF('TL12'!$B$229=P$3,SUMIF('TL12'!$C$238:$C$451,$C83,'TL12'!$J$238:$J$451),0),
IF('TL13'!$B$3=P$3,SUMIF('TL13'!$C$10:$C$224,$C83,'TL13'!$J$10:$J$224),0),
IF('TL13'!$B$229=P$3,SUMIF('TL13'!$C$238:$C$451,$C83,'TL13'!$J$238:$J$451),0),
IF('TL14'!$B$3=P$3,SUMIF('TL14'!$C$10:$C$224,$C83,'TL14'!$J$10:$J$224),0),
IF('TL14'!$B$229=P$3,SUMIF('TL14'!$C$238:$C$451,$C83,'TL14'!$J$238:$J$451),0),
IF('TL15'!$B$3=P$3,SUMIF('TL15'!$C$10:$C$224,$C83,'TL15'!$J$10:$J$224),0),
IF('TL15'!$B$229=P$3,SUMIF('TL15'!$C$238:$C$451,$C83,'TL15'!$J$238:$J$451),0),
IF('TL16'!$B$3=P$3,SUMIF('TL16'!$C$10:$C$224,$C83,'TL16'!$J$10:$J$224),0),
IF('TL16'!$B$229=P$3,SUMIF('TL16'!$C$238:$C$451,$C83,'TL16'!$J$238:$J$451),0),
IF('TL17'!$B$3=P$3,SUMIF('TL17'!$C$10:$C$224,$C83,'TL17'!$J$10:$J$224),0),
IF('TL17'!$B$229=P$3,SUMIF('TL17'!$C$238:$C$451,$C83,'TL17'!$J$238:$J$451),0),
IF('TL18'!$B$3=P$3,SUMIF('TL18'!$C$10:$C$224,$C83,'TL18'!$J$10:$J$224),0),
IF('TL18'!$B$229=P$3,SUMIF('TL18'!$C$238:$C$451,$C83,'TL18'!$J$238:$J$451),0),
IF('TL19'!$B$3=P$3,SUMIF('TL19'!$C$10:$C$224,$C83,'TL19'!$J$10:$J$224),0),
IF('TL19'!$B$229=P$3,SUMIF('TL19'!$C$238:$C$451,$C83,'TL19'!$J$238:$J$451),0)
),0)</f>
        <v>0</v>
      </c>
      <c r="Q83" s="9">
        <f>IFERROR(SUM(
IF('TL01'!$B$3=Q$3,SUMIF('TL01'!$C$10:$C$224,$C83,'TL01'!$J$10:$J$224),0),
IF('TL01'!$B$229=Q$3,SUMIF('TL01'!$C$238:$C$451,$C83,'TL01'!$J$238:$J$451),0),
IF('TL02'!$B$3=Q$3,SUMIF('TL02'!$C$10:$C$224,$C83,'TL02'!$J$10:$J$224),0),
IF('TL02'!$B$229=Q$3,SUMIF('TL02'!$C$238:$C$451,$C83,'TL02'!$J$238:$J$451),0),
IF('TL03'!$B$3=Q$3,SUMIF('TL03'!$C$10:$C$224,$C83,'TL03'!$J$10:$J$224),0),
IF('TL03'!$B$229=Q$3,SUMIF('TL03'!$C$238:$C$451,$C83,'TL03'!$J$238:$J$451),0),
IF('TL04'!$B$3=Q$3,SUMIF('TL04'!$C$10:$C$224,$C83,'TL04'!$J$10:$J$224),0),
IF('TL04'!$B$229=Q$3,SUMIF('TL04'!$C$238:$C$451,$C83,'TL04'!$J$238:$J$451),0),
IF('TL05'!$B$3=Q$3,SUMIF('TL05'!$C$10:$C$224,$C83,'TL05'!$J$10:$J$224),0),
IF('TL05'!$B$229=Q$3,SUMIF('TL05'!$C$238:$C$451,$C83,'TL05'!$J$238:$J$451),0),
IF('TL06'!$B$3=Q$3,SUMIF('TL06'!$C$10:$C$224,$C83,'TL06'!$J$10:$J$224),0),
IF('TL06'!$B$229=Q$3,SUMIF('TL06'!$C$238:$C$451,$C83,'TL06'!$J$238:$J$451),0),
IF('TL07'!$B$3=Q$3,SUMIF('TL07'!$C$10:$C$224,$C83,'TL07'!$J$10:$J$224),0),
IF('TL07'!$B$229=Q$3,SUMIF('TL07'!$C$238:$C$451,$C83,'TL07'!$J$238:$J$451),0),
IF('TL08'!$B$3=Q$3,SUMIF('TL08'!$C$10:$C$224,$C83,'TL08'!$J$10:$J$224),0),
IF('TL08'!$B$229=Q$3,SUMIF('TL08'!$C$238:$C$451,$C83,'TL08'!$J$238:$J$451),0),
IF('TL09'!$B$3=Q$3,SUMIF('TL09'!$C$10:$C$224,$C83,'TL09'!$J$10:$J$224),0),
IF('TL09'!$B$229=Q$3,SUMIF('TL09'!$C$238:$C$451,$C83,'TL09'!$J$238:$J$451),0),
IF('TL10'!$B$3=Q$3,SUMIF('TL10'!$C$10:$C$224,$C83,'TL10'!$J$10:$J$224),0),
IF('TL10'!$B$229=Q$3,SUMIF('TL10'!$C$238:$C$451,$C83,'TL10'!$J$238:$J$451),0),
IF('TL11'!$B$3=Q$3,SUMIF('TL11'!$C$10:$C$224,$C83,'TL11'!$J$10:$J$224),0),
IF('TL11'!$B$229=Q$3,SUMIF('TL11'!$C$238:$C$451,$C83,'TL11'!$J$238:$J$451),0),
IF('TL12'!$B$3=Q$3,SUMIF('TL12'!$C$10:$C$224,$C83,'TL12'!$J$10:$J$224),0),
IF('TL12'!$B$229=Q$3,SUMIF('TL12'!$C$238:$C$451,$C83,'TL12'!$J$238:$J$451),0),
IF('TL13'!$B$3=Q$3,SUMIF('TL13'!$C$10:$C$224,$C83,'TL13'!$J$10:$J$224),0),
IF('TL13'!$B$229=Q$3,SUMIF('TL13'!$C$238:$C$451,$C83,'TL13'!$J$238:$J$451),0),
IF('TL14'!$B$3=Q$3,SUMIF('TL14'!$C$10:$C$224,$C83,'TL14'!$J$10:$J$224),0),
IF('TL14'!$B$229=Q$3,SUMIF('TL14'!$C$238:$C$451,$C83,'TL14'!$J$238:$J$451),0),
IF('TL15'!$B$3=Q$3,SUMIF('TL15'!$C$10:$C$224,$C83,'TL15'!$J$10:$J$224),0),
IF('TL15'!$B$229=Q$3,SUMIF('TL15'!$C$238:$C$451,$C83,'TL15'!$J$238:$J$451),0),
IF('TL16'!$B$3=Q$3,SUMIF('TL16'!$C$10:$C$224,$C83,'TL16'!$J$10:$J$224),0),
IF('TL16'!$B$229=Q$3,SUMIF('TL16'!$C$238:$C$451,$C83,'TL16'!$J$238:$J$451),0),
IF('TL17'!$B$3=Q$3,SUMIF('TL17'!$C$10:$C$224,$C83,'TL17'!$J$10:$J$224),0),
IF('TL17'!$B$229=Q$3,SUMIF('TL17'!$C$238:$C$451,$C83,'TL17'!$J$238:$J$451),0),
IF('TL18'!$B$3=Q$3,SUMIF('TL18'!$C$10:$C$224,$C83,'TL18'!$J$10:$J$224),0),
IF('TL18'!$B$229=Q$3,SUMIF('TL18'!$C$238:$C$451,$C83,'TL18'!$J$238:$J$451),0),
IF('TL19'!$B$3=Q$3,SUMIF('TL19'!$C$10:$C$224,$C83,'TL19'!$J$10:$J$224),0),
IF('TL19'!$B$229=Q$3,SUMIF('TL19'!$C$238:$C$451,$C83,'TL19'!$J$238:$J$451),0)
),0)</f>
        <v>0</v>
      </c>
      <c r="R83" s="9">
        <f>IFERROR(
SUM(
SUMIF('TL01'!C:C,C83,'TL01'!J:J),
SUMIF('TL02'!C:C,C83,'TL02'!J:J),
SUMIF('TL03'!C:C,C83,'TL03'!J:J),
SUMIF('TL04'!C:C,C83,'TL04'!J:J),
SUMIF('TL05'!C:C,C83,'TL05'!J:J),
SUMIF('TL06'!C:C,C83,'TL06'!J:J),
SUMIF('TL07'!C:C,C83,'TL07'!J:J),
SUMIF('TL08'!C:C,C83,'TL08'!J:J),
SUMIF('TL09'!C:C,C83,'TL09'!J:J),
SUMIF('TL10'!C:C,C83,'TL10'!J:J),
SUMIF('TL11'!C:C,C83,'TL11'!J:J),
SUMIF('TL12'!C:C,C83,'TL12'!J:J),
SUMIF('TL13'!C:C,C83,'TL13'!J:J),
SUMIF('TL14'!C:C,C83,'TL14'!J:J),
SUMIF('TL15'!C:C,C83,'TL15'!J:J),
SUMIF('TL16'!C:C,C83,'TL16'!J:J),
SUMIF('TL17'!C:C,C83,'TL17'!J:J),
SUMIF('TL18'!C:C,C83,'TL18'!J:J),SUMIF('TL19'!C:C,C83,'TL19'!J:J))
,0)</f>
        <v>0</v>
      </c>
      <c r="S83" s="17">
        <f>IFERROR(__xludf.DUMMYFUNCTION("IFERROR(VLOOKUP(C83,
IMPORTRANGE(""1wULbzX32WdYsx-lj2U3uUNBBe2INVIRDtcK0d-Dvl90"",
""26-27!C:G""),
5,
FALSE),
"""")"),67.68)</f>
        <v>67.68</v>
      </c>
      <c r="T83" s="9"/>
      <c r="U83" s="92">
        <f t="shared" si="2"/>
        <v>0</v>
      </c>
      <c r="V83" s="93">
        <f t="shared" si="3"/>
        <v>0</v>
      </c>
    </row>
    <row r="84" ht="15.75" hidden="1" customHeight="1">
      <c r="A84" s="115" t="s">
        <v>356</v>
      </c>
      <c r="B84" s="100" t="s">
        <v>0</v>
      </c>
      <c r="C84" s="116" t="s">
        <v>553</v>
      </c>
      <c r="D84" s="116" t="s">
        <v>521</v>
      </c>
      <c r="E84" s="116">
        <v>500.0</v>
      </c>
      <c r="F84" s="4" t="s">
        <v>392</v>
      </c>
      <c r="G84" s="90" t="str">
        <f t="shared" si="4"/>
        <v>📄 Ver bula</v>
      </c>
      <c r="H84" s="9">
        <f>IFERROR(__xludf.DUMMYFUNCTION("IFERROR(VLOOKUP(C84,
IMPORTRANGE(""1wULbzX32WdYsx-lj2U3uUNBBe2INVIRDtcK0d-Dvl90"",
""26-27!C:K""),
8,
FALSE),
"""")"),1.0)</f>
        <v>1</v>
      </c>
      <c r="I84" s="117" t="s">
        <v>361</v>
      </c>
      <c r="J84" s="9">
        <f>IFERROR(SUM(
IF('TL01'!$B$3=J$3,SUMIF('TL01'!$C$10:$C$224,$C84,'TL01'!$J$10:$J$224),0),
IF('TL01'!$B$229=J$3,SUMIF('TL01'!$C$238:$C$451,$C84,'TL01'!$J$238:$J$451),0),
IF('TL02'!$B$3=J$3,SUMIF('TL02'!$C$10:$C$224,$C84,'TL02'!$J$10:$J$224),0),
IF('TL02'!$B$229=J$3,SUMIF('TL02'!$C$238:$C$451,$C84,'TL02'!$J$238:$J$451),0),
IF('TL03'!$B$3=J$3,SUMIF('TL03'!$C$10:$C$224,$C84,'TL03'!$J$10:$J$224),0),
IF('TL03'!$B$229=J$3,SUMIF('TL03'!$C$238:$C$451,$C84,'TL03'!$J$238:$J$451),0),
IF('TL04'!$B$3=J$3,SUMIF('TL04'!$C$10:$C$224,$C84,'TL04'!$J$10:$J$224),0),
IF('TL04'!$B$229=J$3,SUMIF('TL04'!$C$238:$C$451,$C84,'TL04'!$J$238:$J$451),0),
IF('TL05'!$B$3=J$3,SUMIF('TL05'!$C$10:$C$224,$C84,'TL05'!$J$10:$J$224),0),
IF('TL05'!$B$229=J$3,SUMIF('TL05'!$C$238:$C$451,$C84,'TL05'!$J$238:$J$451),0),
IF('TL06'!$B$3=J$3,SUMIF('TL06'!$C$10:$C$224,$C84,'TL06'!$J$10:$J$224),0),
IF('TL06'!$B$229=J$3,SUMIF('TL06'!$C$238:$C$451,$C84,'TL06'!$J$238:$J$451),0),
IF('TL07'!$B$3=J$3,SUMIF('TL07'!$C$10:$C$224,$C84,'TL07'!$J$10:$J$224),0),
IF('TL07'!$B$229=J$3,SUMIF('TL07'!$C$238:$C$451,$C84,'TL07'!$J$238:$J$451),0),
IF('TL08'!$B$3=J$3,SUMIF('TL08'!$C$10:$C$224,$C84,'TL08'!$J$10:$J$224),0),
IF('TL08'!$B$229=J$3,SUMIF('TL08'!$C$238:$C$451,$C84,'TL08'!$J$238:$J$451),0),
IF('TL09'!$B$3=J$3,SUMIF('TL09'!$C$10:$C$224,$C84,'TL09'!$J$10:$J$224),0),
IF('TL09'!$B$229=J$3,SUMIF('TL09'!$C$238:$C$451,$C84,'TL09'!$J$238:$J$451),0),
IF('TL10'!$B$3=J$3,SUMIF('TL10'!$C$10:$C$224,$C84,'TL10'!$J$10:$J$224),0),
IF('TL10'!$B$229=J$3,SUMIF('TL10'!$C$238:$C$451,$C84,'TL10'!$J$238:$J$451),0),
IF('TL11'!$B$3=J$3,SUMIF('TL11'!$C$10:$C$224,$C84,'TL11'!$J$10:$J$224),0),
IF('TL11'!$B$229=J$3,SUMIF('TL11'!$C$238:$C$451,$C84,'TL11'!$J$238:$J$451),0),
IF('TL12'!$B$3=J$3,SUMIF('TL12'!$C$10:$C$224,$C84,'TL12'!$J$10:$J$224),0),
IF('TL12'!$B$229=J$3,SUMIF('TL12'!$C$238:$C$451,$C84,'TL12'!$J$238:$J$451),0),
IF('TL13'!$B$3=J$3,SUMIF('TL13'!$C$10:$C$224,$C84,'TL13'!$J$10:$J$224),0),
IF('TL13'!$B$229=J$3,SUMIF('TL13'!$C$238:$C$451,$C84,'TL13'!$J$238:$J$451),0),
IF('TL14'!$B$3=J$3,SUMIF('TL14'!$C$10:$C$224,$C84,'TL14'!$J$10:$J$224),0),
IF('TL14'!$B$229=J$3,SUMIF('TL14'!$C$238:$C$451,$C84,'TL14'!$J$238:$J$451),0),
IF('TL15'!$B$3=J$3,SUMIF('TL15'!$C$10:$C$224,$C84,'TL15'!$J$10:$J$224),0),
IF('TL15'!$B$229=J$3,SUMIF('TL15'!$C$238:$C$451,$C84,'TL15'!$J$238:$J$451),0),
IF('TL16'!$B$3=J$3,SUMIF('TL16'!$C$10:$C$224,$C84,'TL16'!$J$10:$J$224),0),
IF('TL16'!$B$229=J$3,SUMIF('TL16'!$C$238:$C$451,$C84,'TL16'!$J$238:$J$451),0),
IF('TL17'!$B$3=J$3,SUMIF('TL17'!$C$10:$C$224,$C84,'TL17'!$J$10:$J$224),0),
IF('TL17'!$B$229=J$3,SUMIF('TL17'!$C$238:$C$451,$C84,'TL17'!$J$238:$J$451),0),
IF('TL18'!$B$3=J$3,SUMIF('TL18'!$C$10:$C$224,$C84,'TL18'!$J$10:$J$224),0),
IF('TL18'!$B$229=J$3,SUMIF('TL18'!$C$238:$C$451,$C84,'TL18'!$J$238:$J$451),0),
IF('TL19'!$B$3=J$3,SUMIF('TL19'!$C$10:$C$224,$C84,'TL19'!$J$10:$J$224),0),
IF('TL19'!$B$229=J$3,SUMIF('TL19'!$C$238:$C$451,$C84,'TL19'!$J$238:$J$451),0)
),0)</f>
        <v>0</v>
      </c>
      <c r="K84" s="9">
        <f>IFERROR(SUM(
IF('TL01'!$B$3=K$3,SUMIF('TL01'!$C$10:$C$224,$C84,'TL01'!$J$10:$J$224),0),
IF('TL01'!$B$229=K$3,SUMIF('TL01'!$C$238:$C$451,$C84,'TL01'!$J$238:$J$451),0),
IF('TL02'!$B$3=K$3,SUMIF('TL02'!$C$10:$C$224,$C84,'TL02'!$J$10:$J$224),0),
IF('TL02'!$B$229=K$3,SUMIF('TL02'!$C$238:$C$451,$C84,'TL02'!$J$238:$J$451),0),
IF('TL03'!$B$3=K$3,SUMIF('TL03'!$C$10:$C$224,$C84,'TL03'!$J$10:$J$224),0),
IF('TL03'!$B$229=K$3,SUMIF('TL03'!$C$238:$C$451,$C84,'TL03'!$J$238:$J$451),0),
IF('TL04'!$B$3=K$3,SUMIF('TL04'!$C$10:$C$224,$C84,'TL04'!$J$10:$J$224),0),
IF('TL04'!$B$229=K$3,SUMIF('TL04'!$C$238:$C$451,$C84,'TL04'!$J$238:$J$451),0),
IF('TL05'!$B$3=K$3,SUMIF('TL05'!$C$10:$C$224,$C84,'TL05'!$J$10:$J$224),0),
IF('TL05'!$B$229=K$3,SUMIF('TL05'!$C$238:$C$451,$C84,'TL05'!$J$238:$J$451),0),
IF('TL06'!$B$3=K$3,SUMIF('TL06'!$C$10:$C$224,$C84,'TL06'!$J$10:$J$224),0),
IF('TL06'!$B$229=K$3,SUMIF('TL06'!$C$238:$C$451,$C84,'TL06'!$J$238:$J$451),0),
IF('TL07'!$B$3=K$3,SUMIF('TL07'!$C$10:$C$224,$C84,'TL07'!$J$10:$J$224),0),
IF('TL07'!$B$229=K$3,SUMIF('TL07'!$C$238:$C$451,$C84,'TL07'!$J$238:$J$451),0),
IF('TL08'!$B$3=K$3,SUMIF('TL08'!$C$10:$C$224,$C84,'TL08'!$J$10:$J$224),0),
IF('TL08'!$B$229=K$3,SUMIF('TL08'!$C$238:$C$451,$C84,'TL08'!$J$238:$J$451),0),
IF('TL09'!$B$3=K$3,SUMIF('TL09'!$C$10:$C$224,$C84,'TL09'!$J$10:$J$224),0),
IF('TL09'!$B$229=K$3,SUMIF('TL09'!$C$238:$C$451,$C84,'TL09'!$J$238:$J$451),0),
IF('TL10'!$B$3=K$3,SUMIF('TL10'!$C$10:$C$224,$C84,'TL10'!$J$10:$J$224),0),
IF('TL10'!$B$229=K$3,SUMIF('TL10'!$C$238:$C$451,$C84,'TL10'!$J$238:$J$451),0),
IF('TL11'!$B$3=K$3,SUMIF('TL11'!$C$10:$C$224,$C84,'TL11'!$J$10:$J$224),0),
IF('TL11'!$B$229=K$3,SUMIF('TL11'!$C$238:$C$451,$C84,'TL11'!$J$238:$J$451),0),
IF('TL12'!$B$3=K$3,SUMIF('TL12'!$C$10:$C$224,$C84,'TL12'!$J$10:$J$224),0),
IF('TL12'!$B$229=K$3,SUMIF('TL12'!$C$238:$C$451,$C84,'TL12'!$J$238:$J$451),0),
IF('TL13'!$B$3=K$3,SUMIF('TL13'!$C$10:$C$224,$C84,'TL13'!$J$10:$J$224),0),
IF('TL13'!$B$229=K$3,SUMIF('TL13'!$C$238:$C$451,$C84,'TL13'!$J$238:$J$451),0),
IF('TL14'!$B$3=K$3,SUMIF('TL14'!$C$10:$C$224,$C84,'TL14'!$J$10:$J$224),0),
IF('TL14'!$B$229=K$3,SUMIF('TL14'!$C$238:$C$451,$C84,'TL14'!$J$238:$J$451),0),
IF('TL15'!$B$3=K$3,SUMIF('TL15'!$C$10:$C$224,$C84,'TL15'!$J$10:$J$224),0),
IF('TL15'!$B$229=K$3,SUMIF('TL15'!$C$238:$C$451,$C84,'TL15'!$J$238:$J$451),0),
IF('TL16'!$B$3=K$3,SUMIF('TL16'!$C$10:$C$224,$C84,'TL16'!$J$10:$J$224),0),
IF('TL16'!$B$229=K$3,SUMIF('TL16'!$C$238:$C$451,$C84,'TL16'!$J$238:$J$451),0),
IF('TL17'!$B$3=K$3,SUMIF('TL17'!$C$10:$C$224,$C84,'TL17'!$J$10:$J$224),0),
IF('TL17'!$B$229=K$3,SUMIF('TL17'!$C$238:$C$451,$C84,'TL17'!$J$238:$J$451),0),
IF('TL18'!$B$3=K$3,SUMIF('TL18'!$C$10:$C$224,$C84,'TL18'!$J$10:$J$224),0),
IF('TL18'!$B$229=K$3,SUMIF('TL18'!$C$238:$C$451,$C84,'TL18'!$J$238:$J$451),0),
IF('TL19'!$B$3=K$3,SUMIF('TL19'!$C$10:$C$224,$C84,'TL19'!$J$10:$J$224),0),
IF('TL19'!$B$229=K$3,SUMIF('TL19'!$C$238:$C$451,$C84,'TL19'!$J$238:$J$451),0)
),0)</f>
        <v>0</v>
      </c>
      <c r="L84" s="9">
        <f>IFERROR(SUM(
IF('TL01'!$B$3=L$3,SUMIF('TL01'!$C$10:$C$224,$C84,'TL01'!$J$10:$J$224),0),
IF('TL01'!$B$229=L$3,SUMIF('TL01'!$C$238:$C$451,$C84,'TL01'!$J$238:$J$451),0),
IF('TL02'!$B$3=L$3,SUMIF('TL02'!$C$10:$C$224,$C84,'TL02'!$J$10:$J$224),0),
IF('TL02'!$B$229=L$3,SUMIF('TL02'!$C$238:$C$451,$C84,'TL02'!$J$238:$J$451),0),
IF('TL03'!$B$3=L$3,SUMIF('TL03'!$C$10:$C$224,$C84,'TL03'!$J$10:$J$224),0),
IF('TL03'!$B$229=L$3,SUMIF('TL03'!$C$238:$C$451,$C84,'TL03'!$J$238:$J$451),0),
IF('TL04'!$B$3=L$3,SUMIF('TL04'!$C$10:$C$224,$C84,'TL04'!$J$10:$J$224),0),
IF('TL04'!$B$229=L$3,SUMIF('TL04'!$C$238:$C$451,$C84,'TL04'!$J$238:$J$451),0),
IF('TL05'!$B$3=L$3,SUMIF('TL05'!$C$10:$C$224,$C84,'TL05'!$J$10:$J$224),0),
IF('TL05'!$B$229=L$3,SUMIF('TL05'!$C$238:$C$451,$C84,'TL05'!$J$238:$J$451),0),
IF('TL06'!$B$3=L$3,SUMIF('TL06'!$C$10:$C$224,$C84,'TL06'!$J$10:$J$224),0),
IF('TL06'!$B$229=L$3,SUMIF('TL06'!$C$238:$C$451,$C84,'TL06'!$J$238:$J$451),0),
IF('TL07'!$B$3=L$3,SUMIF('TL07'!$C$10:$C$224,$C84,'TL07'!$J$10:$J$224),0),
IF('TL07'!$B$229=L$3,SUMIF('TL07'!$C$238:$C$451,$C84,'TL07'!$J$238:$J$451),0),
IF('TL08'!$B$3=L$3,SUMIF('TL08'!$C$10:$C$224,$C84,'TL08'!$J$10:$J$224),0),
IF('TL08'!$B$229=L$3,SUMIF('TL08'!$C$238:$C$451,$C84,'TL08'!$J$238:$J$451),0),
IF('TL09'!$B$3=L$3,SUMIF('TL09'!$C$10:$C$224,$C84,'TL09'!$J$10:$J$224),0),
IF('TL09'!$B$229=L$3,SUMIF('TL09'!$C$238:$C$451,$C84,'TL09'!$J$238:$J$451),0),
IF('TL10'!$B$3=L$3,SUMIF('TL10'!$C$10:$C$224,$C84,'TL10'!$J$10:$J$224),0),
IF('TL10'!$B$229=L$3,SUMIF('TL10'!$C$238:$C$451,$C84,'TL10'!$J$238:$J$451),0),
IF('TL11'!$B$3=L$3,SUMIF('TL11'!$C$10:$C$224,$C84,'TL11'!$J$10:$J$224),0),
IF('TL11'!$B$229=L$3,SUMIF('TL11'!$C$238:$C$451,$C84,'TL11'!$J$238:$J$451),0),
IF('TL12'!$B$3=L$3,SUMIF('TL12'!$C$10:$C$224,$C84,'TL12'!$J$10:$J$224),0),
IF('TL12'!$B$229=L$3,SUMIF('TL12'!$C$238:$C$451,$C84,'TL12'!$J$238:$J$451),0),
IF('TL13'!$B$3=L$3,SUMIF('TL13'!$C$10:$C$224,$C84,'TL13'!$J$10:$J$224),0),
IF('TL13'!$B$229=L$3,SUMIF('TL13'!$C$238:$C$451,$C84,'TL13'!$J$238:$J$451),0),
IF('TL14'!$B$3=L$3,SUMIF('TL14'!$C$10:$C$224,$C84,'TL14'!$J$10:$J$224),0),
IF('TL14'!$B$229=L$3,SUMIF('TL14'!$C$238:$C$451,$C84,'TL14'!$J$238:$J$451),0),
IF('TL15'!$B$3=L$3,SUMIF('TL15'!$C$10:$C$224,$C84,'TL15'!$J$10:$J$224),0),
IF('TL15'!$B$229=L$3,SUMIF('TL15'!$C$238:$C$451,$C84,'TL15'!$J$238:$J$451),0),
IF('TL16'!$B$3=L$3,SUMIF('TL16'!$C$10:$C$224,$C84,'TL16'!$J$10:$J$224),0),
IF('TL16'!$B$229=L$3,SUMIF('TL16'!$C$238:$C$451,$C84,'TL16'!$J$238:$J$451),0),
IF('TL17'!$B$3=L$3,SUMIF('TL17'!$C$10:$C$224,$C84,'TL17'!$J$10:$J$224),0),
IF('TL17'!$B$229=L$3,SUMIF('TL17'!$C$238:$C$451,$C84,'TL17'!$J$238:$J$451),0),
IF('TL18'!$B$3=L$3,SUMIF('TL18'!$C$10:$C$224,$C84,'TL18'!$J$10:$J$224),0),
IF('TL18'!$B$229=L$3,SUMIF('TL18'!$C$238:$C$451,$C84,'TL18'!$J$238:$J$451),0),
IF('TL19'!$B$3=L$3,SUMIF('TL19'!$C$10:$C$224,$C84,'TL19'!$J$10:$J$224),0),
IF('TL19'!$B$229=L$3,SUMIF('TL19'!$C$238:$C$451,$C84,'TL19'!$J$238:$J$451),0)
),0)</f>
        <v>0</v>
      </c>
      <c r="M84" s="9">
        <f>IFERROR(SUM(
IF('TL01'!$B$3=M$3,SUMIF('TL01'!$C$10:$C$224,$C84,'TL01'!$J$10:$J$224),0),
IF('TL01'!$B$229=M$3,SUMIF('TL01'!$C$238:$C$451,$C84,'TL01'!$J$238:$J$451),0),
IF('TL02'!$B$3=M$3,SUMIF('TL02'!$C$10:$C$224,$C84,'TL02'!$J$10:$J$224),0),
IF('TL02'!$B$229=M$3,SUMIF('TL02'!$C$238:$C$451,$C84,'TL02'!$J$238:$J$451),0),
IF('TL03'!$B$3=M$3,SUMIF('TL03'!$C$10:$C$224,$C84,'TL03'!$J$10:$J$224),0),
IF('TL03'!$B$229=M$3,SUMIF('TL03'!$C$238:$C$451,$C84,'TL03'!$J$238:$J$451),0),
IF('TL04'!$B$3=M$3,SUMIF('TL04'!$C$10:$C$224,$C84,'TL04'!$J$10:$J$224),0),
IF('TL04'!$B$229=M$3,SUMIF('TL04'!$C$238:$C$451,$C84,'TL04'!$J$238:$J$451),0),
IF('TL05'!$B$3=M$3,SUMIF('TL05'!$C$10:$C$224,$C84,'TL05'!$J$10:$J$224),0),
IF('TL05'!$B$229=M$3,SUMIF('TL05'!$C$238:$C$451,$C84,'TL05'!$J$238:$J$451),0),
IF('TL06'!$B$3=M$3,SUMIF('TL06'!$C$10:$C$224,$C84,'TL06'!$J$10:$J$224),0),
IF('TL06'!$B$229=M$3,SUMIF('TL06'!$C$238:$C$451,$C84,'TL06'!$J$238:$J$451),0),
IF('TL07'!$B$3=M$3,SUMIF('TL07'!$C$10:$C$224,$C84,'TL07'!$J$10:$J$224),0),
IF('TL07'!$B$229=M$3,SUMIF('TL07'!$C$238:$C$451,$C84,'TL07'!$J$238:$J$451),0),
IF('TL08'!$B$3=M$3,SUMIF('TL08'!$C$10:$C$224,$C84,'TL08'!$J$10:$J$224),0),
IF('TL08'!$B$229=M$3,SUMIF('TL08'!$C$238:$C$451,$C84,'TL08'!$J$238:$J$451),0),
IF('TL09'!$B$3=M$3,SUMIF('TL09'!$C$10:$C$224,$C84,'TL09'!$J$10:$J$224),0),
IF('TL09'!$B$229=M$3,SUMIF('TL09'!$C$238:$C$451,$C84,'TL09'!$J$238:$J$451),0),
IF('TL10'!$B$3=M$3,SUMIF('TL10'!$C$10:$C$224,$C84,'TL10'!$J$10:$J$224),0),
IF('TL10'!$B$229=M$3,SUMIF('TL10'!$C$238:$C$451,$C84,'TL10'!$J$238:$J$451),0),
IF('TL11'!$B$3=M$3,SUMIF('TL11'!$C$10:$C$224,$C84,'TL11'!$J$10:$J$224),0),
IF('TL11'!$B$229=M$3,SUMIF('TL11'!$C$238:$C$451,$C84,'TL11'!$J$238:$J$451),0),
IF('TL12'!$B$3=M$3,SUMIF('TL12'!$C$10:$C$224,$C84,'TL12'!$J$10:$J$224),0),
IF('TL12'!$B$229=M$3,SUMIF('TL12'!$C$238:$C$451,$C84,'TL12'!$J$238:$J$451),0),
IF('TL13'!$B$3=M$3,SUMIF('TL13'!$C$10:$C$224,$C84,'TL13'!$J$10:$J$224),0),
IF('TL13'!$B$229=M$3,SUMIF('TL13'!$C$238:$C$451,$C84,'TL13'!$J$238:$J$451),0),
IF('TL14'!$B$3=M$3,SUMIF('TL14'!$C$10:$C$224,$C84,'TL14'!$J$10:$J$224),0),
IF('TL14'!$B$229=M$3,SUMIF('TL14'!$C$238:$C$451,$C84,'TL14'!$J$238:$J$451),0),
IF('TL15'!$B$3=M$3,SUMIF('TL15'!$C$10:$C$224,$C84,'TL15'!$J$10:$J$224),0),
IF('TL15'!$B$229=M$3,SUMIF('TL15'!$C$238:$C$451,$C84,'TL15'!$J$238:$J$451),0),
IF('TL16'!$B$3=M$3,SUMIF('TL16'!$C$10:$C$224,$C84,'TL16'!$J$10:$J$224),0),
IF('TL16'!$B$229=M$3,SUMIF('TL16'!$C$238:$C$451,$C84,'TL16'!$J$238:$J$451),0),
IF('TL17'!$B$3=M$3,SUMIF('TL17'!$C$10:$C$224,$C84,'TL17'!$J$10:$J$224),0),
IF('TL17'!$B$229=M$3,SUMIF('TL17'!$C$238:$C$451,$C84,'TL17'!$J$238:$J$451),0),
IF('TL18'!$B$3=M$3,SUMIF('TL18'!$C$10:$C$224,$C84,'TL18'!$J$10:$J$224),0),
IF('TL18'!$B$229=M$3,SUMIF('TL18'!$C$238:$C$451,$C84,'TL18'!$J$238:$J$451),0),
IF('TL19'!$B$3=M$3,SUMIF('TL19'!$C$10:$C$224,$C84,'TL19'!$J$10:$J$224),0),
IF('TL19'!$B$229=M$3,SUMIF('TL19'!$C$238:$C$451,$C84,'TL19'!$J$238:$J$451),0)
),0)</f>
        <v>0</v>
      </c>
      <c r="N84" s="9">
        <f>IFERROR(SUM(
IF('TL01'!$B$3=N$3,SUMIF('TL01'!$C$10:$C$224,$C84,'TL01'!$J$10:$J$224),0),
IF('TL01'!$B$229=N$3,SUMIF('TL01'!$C$238:$C$451,$C84,'TL01'!$J$238:$J$451),0),
IF('TL02'!$B$3=N$3,SUMIF('TL02'!$C$10:$C$224,$C84,'TL02'!$J$10:$J$224),0),
IF('TL02'!$B$229=N$3,SUMIF('TL02'!$C$238:$C$451,$C84,'TL02'!$J$238:$J$451),0),
IF('TL03'!$B$3=N$3,SUMIF('TL03'!$C$10:$C$224,$C84,'TL03'!$J$10:$J$224),0),
IF('TL03'!$B$229=N$3,SUMIF('TL03'!$C$238:$C$451,$C84,'TL03'!$J$238:$J$451),0),
IF('TL04'!$B$3=N$3,SUMIF('TL04'!$C$10:$C$224,$C84,'TL04'!$J$10:$J$224),0),
IF('TL04'!$B$229=N$3,SUMIF('TL04'!$C$238:$C$451,$C84,'TL04'!$J$238:$J$451),0),
IF('TL05'!$B$3=N$3,SUMIF('TL05'!$C$10:$C$224,$C84,'TL05'!$J$10:$J$224),0),
IF('TL05'!$B$229=N$3,SUMIF('TL05'!$C$238:$C$451,$C84,'TL05'!$J$238:$J$451),0),
IF('TL06'!$B$3=N$3,SUMIF('TL06'!$C$10:$C$224,$C84,'TL06'!$J$10:$J$224),0),
IF('TL06'!$B$229=N$3,SUMIF('TL06'!$C$238:$C$451,$C84,'TL06'!$J$238:$J$451),0),
IF('TL07'!$B$3=N$3,SUMIF('TL07'!$C$10:$C$224,$C84,'TL07'!$J$10:$J$224),0),
IF('TL07'!$B$229=N$3,SUMIF('TL07'!$C$238:$C$451,$C84,'TL07'!$J$238:$J$451),0),
IF('TL08'!$B$3=N$3,SUMIF('TL08'!$C$10:$C$224,$C84,'TL08'!$J$10:$J$224),0),
IF('TL08'!$B$229=N$3,SUMIF('TL08'!$C$238:$C$451,$C84,'TL08'!$J$238:$J$451),0),
IF('TL09'!$B$3=N$3,SUMIF('TL09'!$C$10:$C$224,$C84,'TL09'!$J$10:$J$224),0),
IF('TL09'!$B$229=N$3,SUMIF('TL09'!$C$238:$C$451,$C84,'TL09'!$J$238:$J$451),0),
IF('TL10'!$B$3=N$3,SUMIF('TL10'!$C$10:$C$224,$C84,'TL10'!$J$10:$J$224),0),
IF('TL10'!$B$229=N$3,SUMIF('TL10'!$C$238:$C$451,$C84,'TL10'!$J$238:$J$451),0),
IF('TL11'!$B$3=N$3,SUMIF('TL11'!$C$10:$C$224,$C84,'TL11'!$J$10:$J$224),0),
IF('TL11'!$B$229=N$3,SUMIF('TL11'!$C$238:$C$451,$C84,'TL11'!$J$238:$J$451),0),
IF('TL12'!$B$3=N$3,SUMIF('TL12'!$C$10:$C$224,$C84,'TL12'!$J$10:$J$224),0),
IF('TL12'!$B$229=N$3,SUMIF('TL12'!$C$238:$C$451,$C84,'TL12'!$J$238:$J$451),0),
IF('TL13'!$B$3=N$3,SUMIF('TL13'!$C$10:$C$224,$C84,'TL13'!$J$10:$J$224),0),
IF('TL13'!$B$229=N$3,SUMIF('TL13'!$C$238:$C$451,$C84,'TL13'!$J$238:$J$451),0),
IF('TL14'!$B$3=N$3,SUMIF('TL14'!$C$10:$C$224,$C84,'TL14'!$J$10:$J$224),0),
IF('TL14'!$B$229=N$3,SUMIF('TL14'!$C$238:$C$451,$C84,'TL14'!$J$238:$J$451),0),
IF('TL15'!$B$3=N$3,SUMIF('TL15'!$C$10:$C$224,$C84,'TL15'!$J$10:$J$224),0),
IF('TL15'!$B$229=N$3,SUMIF('TL15'!$C$238:$C$451,$C84,'TL15'!$J$238:$J$451),0),
IF('TL16'!$B$3=N$3,SUMIF('TL16'!$C$10:$C$224,$C84,'TL16'!$J$10:$J$224),0),
IF('TL16'!$B$229=N$3,SUMIF('TL16'!$C$238:$C$451,$C84,'TL16'!$J$238:$J$451),0),
IF('TL17'!$B$3=N$3,SUMIF('TL17'!$C$10:$C$224,$C84,'TL17'!$J$10:$J$224),0),
IF('TL17'!$B$229=N$3,SUMIF('TL17'!$C$238:$C$451,$C84,'TL17'!$J$238:$J$451),0),
IF('TL18'!$B$3=N$3,SUMIF('TL18'!$C$10:$C$224,$C84,'TL18'!$J$10:$J$224),0),
IF('TL18'!$B$229=N$3,SUMIF('TL18'!$C$238:$C$451,$C84,'TL18'!$J$238:$J$451),0),
IF('TL19'!$B$3=N$3,SUMIF('TL19'!$C$10:$C$224,$C84,'TL19'!$J$10:$J$224),0),
IF('TL19'!$B$229=N$3,SUMIF('TL19'!$C$238:$C$451,$C84,'TL19'!$J$238:$J$451),0)
),0)</f>
        <v>0</v>
      </c>
      <c r="O84" s="9">
        <f>IFERROR(SUM(
IF('TL01'!$B$3=O$3,SUMIF('TL01'!$C$10:$C$224,$C84,'TL01'!$J$10:$J$224),0),
IF('TL01'!$B$229=O$3,SUMIF('TL01'!$C$238:$C$451,$C84,'TL01'!$J$238:$J$451),0),
IF('TL02'!$B$3=O$3,SUMIF('TL02'!$C$10:$C$224,$C84,'TL02'!$J$10:$J$224),0),
IF('TL02'!$B$229=O$3,SUMIF('TL02'!$C$238:$C$451,$C84,'TL02'!$J$238:$J$451),0),
IF('TL03'!$B$3=O$3,SUMIF('TL03'!$C$10:$C$224,$C84,'TL03'!$J$10:$J$224),0),
IF('TL03'!$B$229=O$3,SUMIF('TL03'!$C$238:$C$451,$C84,'TL03'!$J$238:$J$451),0),
IF('TL04'!$B$3=O$3,SUMIF('TL04'!$C$10:$C$224,$C84,'TL04'!$J$10:$J$224),0),
IF('TL04'!$B$229=O$3,SUMIF('TL04'!$C$238:$C$451,$C84,'TL04'!$J$238:$J$451),0),
IF('TL05'!$B$3=O$3,SUMIF('TL05'!$C$10:$C$224,$C84,'TL05'!$J$10:$J$224),0),
IF('TL05'!$B$229=O$3,SUMIF('TL05'!$C$238:$C$451,$C84,'TL05'!$J$238:$J$451),0),
IF('TL06'!$B$3=O$3,SUMIF('TL06'!$C$10:$C$224,$C84,'TL06'!$J$10:$J$224),0),
IF('TL06'!$B$229=O$3,SUMIF('TL06'!$C$238:$C$451,$C84,'TL06'!$J$238:$J$451),0),
IF('TL07'!$B$3=O$3,SUMIF('TL07'!$C$10:$C$224,$C84,'TL07'!$J$10:$J$224),0),
IF('TL07'!$B$229=O$3,SUMIF('TL07'!$C$238:$C$451,$C84,'TL07'!$J$238:$J$451),0),
IF('TL08'!$B$3=O$3,SUMIF('TL08'!$C$10:$C$224,$C84,'TL08'!$J$10:$J$224),0),
IF('TL08'!$B$229=O$3,SUMIF('TL08'!$C$238:$C$451,$C84,'TL08'!$J$238:$J$451),0),
IF('TL09'!$B$3=O$3,SUMIF('TL09'!$C$10:$C$224,$C84,'TL09'!$J$10:$J$224),0),
IF('TL09'!$B$229=O$3,SUMIF('TL09'!$C$238:$C$451,$C84,'TL09'!$J$238:$J$451),0),
IF('TL10'!$B$3=O$3,SUMIF('TL10'!$C$10:$C$224,$C84,'TL10'!$J$10:$J$224),0),
IF('TL10'!$B$229=O$3,SUMIF('TL10'!$C$238:$C$451,$C84,'TL10'!$J$238:$J$451),0),
IF('TL11'!$B$3=O$3,SUMIF('TL11'!$C$10:$C$224,$C84,'TL11'!$J$10:$J$224),0),
IF('TL11'!$B$229=O$3,SUMIF('TL11'!$C$238:$C$451,$C84,'TL11'!$J$238:$J$451),0),
IF('TL12'!$B$3=O$3,SUMIF('TL12'!$C$10:$C$224,$C84,'TL12'!$J$10:$J$224),0),
IF('TL12'!$B$229=O$3,SUMIF('TL12'!$C$238:$C$451,$C84,'TL12'!$J$238:$J$451),0),
IF('TL13'!$B$3=O$3,SUMIF('TL13'!$C$10:$C$224,$C84,'TL13'!$J$10:$J$224),0),
IF('TL13'!$B$229=O$3,SUMIF('TL13'!$C$238:$C$451,$C84,'TL13'!$J$238:$J$451),0),
IF('TL14'!$B$3=O$3,SUMIF('TL14'!$C$10:$C$224,$C84,'TL14'!$J$10:$J$224),0),
IF('TL14'!$B$229=O$3,SUMIF('TL14'!$C$238:$C$451,$C84,'TL14'!$J$238:$J$451),0),
IF('TL15'!$B$3=O$3,SUMIF('TL15'!$C$10:$C$224,$C84,'TL15'!$J$10:$J$224),0),
IF('TL15'!$B$229=O$3,SUMIF('TL15'!$C$238:$C$451,$C84,'TL15'!$J$238:$J$451),0),
IF('TL16'!$B$3=O$3,SUMIF('TL16'!$C$10:$C$224,$C84,'TL16'!$J$10:$J$224),0),
IF('TL16'!$B$229=O$3,SUMIF('TL16'!$C$238:$C$451,$C84,'TL16'!$J$238:$J$451),0),
IF('TL17'!$B$3=O$3,SUMIF('TL17'!$C$10:$C$224,$C84,'TL17'!$J$10:$J$224),0),
IF('TL17'!$B$229=O$3,SUMIF('TL17'!$C$238:$C$451,$C84,'TL17'!$J$238:$J$451),0),
IF('TL18'!$B$3=O$3,SUMIF('TL18'!$C$10:$C$224,$C84,'TL18'!$J$10:$J$224),0),
IF('TL18'!$B$229=O$3,SUMIF('TL18'!$C$238:$C$451,$C84,'TL18'!$J$238:$J$451),0),
IF('TL19'!$B$3=O$3,SUMIF('TL19'!$C$10:$C$224,$C84,'TL19'!$J$10:$J$224),0),
IF('TL19'!$B$229=O$3,SUMIF('TL19'!$C$238:$C$451,$C84,'TL19'!$J$238:$J$451),0)
),0)</f>
        <v>0</v>
      </c>
      <c r="P84" s="9">
        <f>IFERROR(SUM(
IF('TL01'!$B$3=P$3,SUMIF('TL01'!$C$10:$C$224,$C84,'TL01'!$J$10:$J$224),0),
IF('TL01'!$B$229=P$3,SUMIF('TL01'!$C$238:$C$451,$C84,'TL01'!$J$238:$J$451),0),
IF('TL02'!$B$3=P$3,SUMIF('TL02'!$C$10:$C$224,$C84,'TL02'!$J$10:$J$224),0),
IF('TL02'!$B$229=P$3,SUMIF('TL02'!$C$238:$C$451,$C84,'TL02'!$J$238:$J$451),0),
IF('TL03'!$B$3=P$3,SUMIF('TL03'!$C$10:$C$224,$C84,'TL03'!$J$10:$J$224),0),
IF('TL03'!$B$229=P$3,SUMIF('TL03'!$C$238:$C$451,$C84,'TL03'!$J$238:$J$451),0),
IF('TL04'!$B$3=P$3,SUMIF('TL04'!$C$10:$C$224,$C84,'TL04'!$J$10:$J$224),0),
IF('TL04'!$B$229=P$3,SUMIF('TL04'!$C$238:$C$451,$C84,'TL04'!$J$238:$J$451),0),
IF('TL05'!$B$3=P$3,SUMIF('TL05'!$C$10:$C$224,$C84,'TL05'!$J$10:$J$224),0),
IF('TL05'!$B$229=P$3,SUMIF('TL05'!$C$238:$C$451,$C84,'TL05'!$J$238:$J$451),0),
IF('TL06'!$B$3=P$3,SUMIF('TL06'!$C$10:$C$224,$C84,'TL06'!$J$10:$J$224),0),
IF('TL06'!$B$229=P$3,SUMIF('TL06'!$C$238:$C$451,$C84,'TL06'!$J$238:$J$451),0),
IF('TL07'!$B$3=P$3,SUMIF('TL07'!$C$10:$C$224,$C84,'TL07'!$J$10:$J$224),0),
IF('TL07'!$B$229=P$3,SUMIF('TL07'!$C$238:$C$451,$C84,'TL07'!$J$238:$J$451),0),
IF('TL08'!$B$3=P$3,SUMIF('TL08'!$C$10:$C$224,$C84,'TL08'!$J$10:$J$224),0),
IF('TL08'!$B$229=P$3,SUMIF('TL08'!$C$238:$C$451,$C84,'TL08'!$J$238:$J$451),0),
IF('TL09'!$B$3=P$3,SUMIF('TL09'!$C$10:$C$224,$C84,'TL09'!$J$10:$J$224),0),
IF('TL09'!$B$229=P$3,SUMIF('TL09'!$C$238:$C$451,$C84,'TL09'!$J$238:$J$451),0),
IF('TL10'!$B$3=P$3,SUMIF('TL10'!$C$10:$C$224,$C84,'TL10'!$J$10:$J$224),0),
IF('TL10'!$B$229=P$3,SUMIF('TL10'!$C$238:$C$451,$C84,'TL10'!$J$238:$J$451),0),
IF('TL11'!$B$3=P$3,SUMIF('TL11'!$C$10:$C$224,$C84,'TL11'!$J$10:$J$224),0),
IF('TL11'!$B$229=P$3,SUMIF('TL11'!$C$238:$C$451,$C84,'TL11'!$J$238:$J$451),0),
IF('TL12'!$B$3=P$3,SUMIF('TL12'!$C$10:$C$224,$C84,'TL12'!$J$10:$J$224),0),
IF('TL12'!$B$229=P$3,SUMIF('TL12'!$C$238:$C$451,$C84,'TL12'!$J$238:$J$451),0),
IF('TL13'!$B$3=P$3,SUMIF('TL13'!$C$10:$C$224,$C84,'TL13'!$J$10:$J$224),0),
IF('TL13'!$B$229=P$3,SUMIF('TL13'!$C$238:$C$451,$C84,'TL13'!$J$238:$J$451),0),
IF('TL14'!$B$3=P$3,SUMIF('TL14'!$C$10:$C$224,$C84,'TL14'!$J$10:$J$224),0),
IF('TL14'!$B$229=P$3,SUMIF('TL14'!$C$238:$C$451,$C84,'TL14'!$J$238:$J$451),0),
IF('TL15'!$B$3=P$3,SUMIF('TL15'!$C$10:$C$224,$C84,'TL15'!$J$10:$J$224),0),
IF('TL15'!$B$229=P$3,SUMIF('TL15'!$C$238:$C$451,$C84,'TL15'!$J$238:$J$451),0),
IF('TL16'!$B$3=P$3,SUMIF('TL16'!$C$10:$C$224,$C84,'TL16'!$J$10:$J$224),0),
IF('TL16'!$B$229=P$3,SUMIF('TL16'!$C$238:$C$451,$C84,'TL16'!$J$238:$J$451),0),
IF('TL17'!$B$3=P$3,SUMIF('TL17'!$C$10:$C$224,$C84,'TL17'!$J$10:$J$224),0),
IF('TL17'!$B$229=P$3,SUMIF('TL17'!$C$238:$C$451,$C84,'TL17'!$J$238:$J$451),0),
IF('TL18'!$B$3=P$3,SUMIF('TL18'!$C$10:$C$224,$C84,'TL18'!$J$10:$J$224),0),
IF('TL18'!$B$229=P$3,SUMIF('TL18'!$C$238:$C$451,$C84,'TL18'!$J$238:$J$451),0),
IF('TL19'!$B$3=P$3,SUMIF('TL19'!$C$10:$C$224,$C84,'TL19'!$J$10:$J$224),0),
IF('TL19'!$B$229=P$3,SUMIF('TL19'!$C$238:$C$451,$C84,'TL19'!$J$238:$J$451),0)
),0)</f>
        <v>0</v>
      </c>
      <c r="Q84" s="9">
        <f>IFERROR(SUM(
IF('TL01'!$B$3=Q$3,SUMIF('TL01'!$C$10:$C$224,$C84,'TL01'!$J$10:$J$224),0),
IF('TL01'!$B$229=Q$3,SUMIF('TL01'!$C$238:$C$451,$C84,'TL01'!$J$238:$J$451),0),
IF('TL02'!$B$3=Q$3,SUMIF('TL02'!$C$10:$C$224,$C84,'TL02'!$J$10:$J$224),0),
IF('TL02'!$B$229=Q$3,SUMIF('TL02'!$C$238:$C$451,$C84,'TL02'!$J$238:$J$451),0),
IF('TL03'!$B$3=Q$3,SUMIF('TL03'!$C$10:$C$224,$C84,'TL03'!$J$10:$J$224),0),
IF('TL03'!$B$229=Q$3,SUMIF('TL03'!$C$238:$C$451,$C84,'TL03'!$J$238:$J$451),0),
IF('TL04'!$B$3=Q$3,SUMIF('TL04'!$C$10:$C$224,$C84,'TL04'!$J$10:$J$224),0),
IF('TL04'!$B$229=Q$3,SUMIF('TL04'!$C$238:$C$451,$C84,'TL04'!$J$238:$J$451),0),
IF('TL05'!$B$3=Q$3,SUMIF('TL05'!$C$10:$C$224,$C84,'TL05'!$J$10:$J$224),0),
IF('TL05'!$B$229=Q$3,SUMIF('TL05'!$C$238:$C$451,$C84,'TL05'!$J$238:$J$451),0),
IF('TL06'!$B$3=Q$3,SUMIF('TL06'!$C$10:$C$224,$C84,'TL06'!$J$10:$J$224),0),
IF('TL06'!$B$229=Q$3,SUMIF('TL06'!$C$238:$C$451,$C84,'TL06'!$J$238:$J$451),0),
IF('TL07'!$B$3=Q$3,SUMIF('TL07'!$C$10:$C$224,$C84,'TL07'!$J$10:$J$224),0),
IF('TL07'!$B$229=Q$3,SUMIF('TL07'!$C$238:$C$451,$C84,'TL07'!$J$238:$J$451),0),
IF('TL08'!$B$3=Q$3,SUMIF('TL08'!$C$10:$C$224,$C84,'TL08'!$J$10:$J$224),0),
IF('TL08'!$B$229=Q$3,SUMIF('TL08'!$C$238:$C$451,$C84,'TL08'!$J$238:$J$451),0),
IF('TL09'!$B$3=Q$3,SUMIF('TL09'!$C$10:$C$224,$C84,'TL09'!$J$10:$J$224),0),
IF('TL09'!$B$229=Q$3,SUMIF('TL09'!$C$238:$C$451,$C84,'TL09'!$J$238:$J$451),0),
IF('TL10'!$B$3=Q$3,SUMIF('TL10'!$C$10:$C$224,$C84,'TL10'!$J$10:$J$224),0),
IF('TL10'!$B$229=Q$3,SUMIF('TL10'!$C$238:$C$451,$C84,'TL10'!$J$238:$J$451),0),
IF('TL11'!$B$3=Q$3,SUMIF('TL11'!$C$10:$C$224,$C84,'TL11'!$J$10:$J$224),0),
IF('TL11'!$B$229=Q$3,SUMIF('TL11'!$C$238:$C$451,$C84,'TL11'!$J$238:$J$451),0),
IF('TL12'!$B$3=Q$3,SUMIF('TL12'!$C$10:$C$224,$C84,'TL12'!$J$10:$J$224),0),
IF('TL12'!$B$229=Q$3,SUMIF('TL12'!$C$238:$C$451,$C84,'TL12'!$J$238:$J$451),0),
IF('TL13'!$B$3=Q$3,SUMIF('TL13'!$C$10:$C$224,$C84,'TL13'!$J$10:$J$224),0),
IF('TL13'!$B$229=Q$3,SUMIF('TL13'!$C$238:$C$451,$C84,'TL13'!$J$238:$J$451),0),
IF('TL14'!$B$3=Q$3,SUMIF('TL14'!$C$10:$C$224,$C84,'TL14'!$J$10:$J$224),0),
IF('TL14'!$B$229=Q$3,SUMIF('TL14'!$C$238:$C$451,$C84,'TL14'!$J$238:$J$451),0),
IF('TL15'!$B$3=Q$3,SUMIF('TL15'!$C$10:$C$224,$C84,'TL15'!$J$10:$J$224),0),
IF('TL15'!$B$229=Q$3,SUMIF('TL15'!$C$238:$C$451,$C84,'TL15'!$J$238:$J$451),0),
IF('TL16'!$B$3=Q$3,SUMIF('TL16'!$C$10:$C$224,$C84,'TL16'!$J$10:$J$224),0),
IF('TL16'!$B$229=Q$3,SUMIF('TL16'!$C$238:$C$451,$C84,'TL16'!$J$238:$J$451),0),
IF('TL17'!$B$3=Q$3,SUMIF('TL17'!$C$10:$C$224,$C84,'TL17'!$J$10:$J$224),0),
IF('TL17'!$B$229=Q$3,SUMIF('TL17'!$C$238:$C$451,$C84,'TL17'!$J$238:$J$451),0),
IF('TL18'!$B$3=Q$3,SUMIF('TL18'!$C$10:$C$224,$C84,'TL18'!$J$10:$J$224),0),
IF('TL18'!$B$229=Q$3,SUMIF('TL18'!$C$238:$C$451,$C84,'TL18'!$J$238:$J$451),0),
IF('TL19'!$B$3=Q$3,SUMIF('TL19'!$C$10:$C$224,$C84,'TL19'!$J$10:$J$224),0),
IF('TL19'!$B$229=Q$3,SUMIF('TL19'!$C$238:$C$451,$C84,'TL19'!$J$238:$J$451),0)
),0)</f>
        <v>0</v>
      </c>
      <c r="R84" s="9">
        <f>IFERROR(
SUM(
SUMIF('TL01'!C:C,C84,'TL01'!J:J),
SUMIF('TL02'!C:C,C84,'TL02'!J:J),
SUMIF('TL03'!C:C,C84,'TL03'!J:J),
SUMIF('TL04'!C:C,C84,'TL04'!J:J),
SUMIF('TL05'!C:C,C84,'TL05'!J:J),
SUMIF('TL06'!C:C,C84,'TL06'!J:J),
SUMIF('TL07'!C:C,C84,'TL07'!J:J),
SUMIF('TL08'!C:C,C84,'TL08'!J:J),
SUMIF('TL09'!C:C,C84,'TL09'!J:J),
SUMIF('TL10'!C:C,C84,'TL10'!J:J),
SUMIF('TL11'!C:C,C84,'TL11'!J:J),
SUMIF('TL12'!C:C,C84,'TL12'!J:J),
SUMIF('TL13'!C:C,C84,'TL13'!J:J),
SUMIF('TL14'!C:C,C84,'TL14'!J:J),
SUMIF('TL15'!C:C,C84,'TL15'!J:J),
SUMIF('TL16'!C:C,C84,'TL16'!J:J),
SUMIF('TL17'!C:C,C84,'TL17'!J:J),
SUMIF('TL18'!C:C,C84,'TL18'!J:J),SUMIF('TL19'!C:C,C84,'TL19'!J:J))
,0)</f>
        <v>0</v>
      </c>
      <c r="S84" s="17">
        <f>IFERROR(__xludf.DUMMYFUNCTION("IFERROR(VLOOKUP(C84,
IMPORTRANGE(""1wULbzX32WdYsx-lj2U3uUNBBe2INVIRDtcK0d-Dvl90"",
""26-27!C:G""),
5,
FALSE),
"""")"),69.98112)</f>
        <v>69.98112</v>
      </c>
      <c r="T84" s="9"/>
      <c r="U84" s="92">
        <f t="shared" si="2"/>
        <v>0</v>
      </c>
      <c r="V84" s="93">
        <f t="shared" si="3"/>
        <v>0</v>
      </c>
    </row>
    <row r="85" ht="15.75" hidden="1" customHeight="1">
      <c r="A85" s="111" t="s">
        <v>356</v>
      </c>
      <c r="B85" s="112" t="s">
        <v>0</v>
      </c>
      <c r="C85" s="113" t="s">
        <v>554</v>
      </c>
      <c r="D85" s="113" t="s">
        <v>555</v>
      </c>
      <c r="E85" s="113" t="s">
        <v>556</v>
      </c>
      <c r="F85" s="4" t="s">
        <v>392</v>
      </c>
      <c r="G85" s="90" t="str">
        <f t="shared" si="4"/>
        <v>📄 Ver bula</v>
      </c>
      <c r="H85" s="9">
        <f>IFERROR(__xludf.DUMMYFUNCTION("IFERROR(VLOOKUP(C85,
IMPORTRANGE(""1wULbzX32WdYsx-lj2U3uUNBBe2INVIRDtcK0d-Dvl90"",
""26-27!C:K""),
8,
FALSE),
"""")"),0.5)</f>
        <v>0.5</v>
      </c>
      <c r="I85" s="114" t="s">
        <v>344</v>
      </c>
      <c r="J85" s="9">
        <f>IFERROR(SUM(
IF('TL01'!$B$3=J$3,SUMIF('TL01'!$C$10:$C$224,$C85,'TL01'!$J$10:$J$224),0),
IF('TL01'!$B$229=J$3,SUMIF('TL01'!$C$238:$C$451,$C85,'TL01'!$J$238:$J$451),0),
IF('TL02'!$B$3=J$3,SUMIF('TL02'!$C$10:$C$224,$C85,'TL02'!$J$10:$J$224),0),
IF('TL02'!$B$229=J$3,SUMIF('TL02'!$C$238:$C$451,$C85,'TL02'!$J$238:$J$451),0),
IF('TL03'!$B$3=J$3,SUMIF('TL03'!$C$10:$C$224,$C85,'TL03'!$J$10:$J$224),0),
IF('TL03'!$B$229=J$3,SUMIF('TL03'!$C$238:$C$451,$C85,'TL03'!$J$238:$J$451),0),
IF('TL04'!$B$3=J$3,SUMIF('TL04'!$C$10:$C$224,$C85,'TL04'!$J$10:$J$224),0),
IF('TL04'!$B$229=J$3,SUMIF('TL04'!$C$238:$C$451,$C85,'TL04'!$J$238:$J$451),0),
IF('TL05'!$B$3=J$3,SUMIF('TL05'!$C$10:$C$224,$C85,'TL05'!$J$10:$J$224),0),
IF('TL05'!$B$229=J$3,SUMIF('TL05'!$C$238:$C$451,$C85,'TL05'!$J$238:$J$451),0),
IF('TL06'!$B$3=J$3,SUMIF('TL06'!$C$10:$C$224,$C85,'TL06'!$J$10:$J$224),0),
IF('TL06'!$B$229=J$3,SUMIF('TL06'!$C$238:$C$451,$C85,'TL06'!$J$238:$J$451),0),
IF('TL07'!$B$3=J$3,SUMIF('TL07'!$C$10:$C$224,$C85,'TL07'!$J$10:$J$224),0),
IF('TL07'!$B$229=J$3,SUMIF('TL07'!$C$238:$C$451,$C85,'TL07'!$J$238:$J$451),0),
IF('TL08'!$B$3=J$3,SUMIF('TL08'!$C$10:$C$224,$C85,'TL08'!$J$10:$J$224),0),
IF('TL08'!$B$229=J$3,SUMIF('TL08'!$C$238:$C$451,$C85,'TL08'!$J$238:$J$451),0),
IF('TL09'!$B$3=J$3,SUMIF('TL09'!$C$10:$C$224,$C85,'TL09'!$J$10:$J$224),0),
IF('TL09'!$B$229=J$3,SUMIF('TL09'!$C$238:$C$451,$C85,'TL09'!$J$238:$J$451),0),
IF('TL10'!$B$3=J$3,SUMIF('TL10'!$C$10:$C$224,$C85,'TL10'!$J$10:$J$224),0),
IF('TL10'!$B$229=J$3,SUMIF('TL10'!$C$238:$C$451,$C85,'TL10'!$J$238:$J$451),0),
IF('TL11'!$B$3=J$3,SUMIF('TL11'!$C$10:$C$224,$C85,'TL11'!$J$10:$J$224),0),
IF('TL11'!$B$229=J$3,SUMIF('TL11'!$C$238:$C$451,$C85,'TL11'!$J$238:$J$451),0),
IF('TL12'!$B$3=J$3,SUMIF('TL12'!$C$10:$C$224,$C85,'TL12'!$J$10:$J$224),0),
IF('TL12'!$B$229=J$3,SUMIF('TL12'!$C$238:$C$451,$C85,'TL12'!$J$238:$J$451),0),
IF('TL13'!$B$3=J$3,SUMIF('TL13'!$C$10:$C$224,$C85,'TL13'!$J$10:$J$224),0),
IF('TL13'!$B$229=J$3,SUMIF('TL13'!$C$238:$C$451,$C85,'TL13'!$J$238:$J$451),0),
IF('TL14'!$B$3=J$3,SUMIF('TL14'!$C$10:$C$224,$C85,'TL14'!$J$10:$J$224),0),
IF('TL14'!$B$229=J$3,SUMIF('TL14'!$C$238:$C$451,$C85,'TL14'!$J$238:$J$451),0),
IF('TL15'!$B$3=J$3,SUMIF('TL15'!$C$10:$C$224,$C85,'TL15'!$J$10:$J$224),0),
IF('TL15'!$B$229=J$3,SUMIF('TL15'!$C$238:$C$451,$C85,'TL15'!$J$238:$J$451),0),
IF('TL16'!$B$3=J$3,SUMIF('TL16'!$C$10:$C$224,$C85,'TL16'!$J$10:$J$224),0),
IF('TL16'!$B$229=J$3,SUMIF('TL16'!$C$238:$C$451,$C85,'TL16'!$J$238:$J$451),0),
IF('TL17'!$B$3=J$3,SUMIF('TL17'!$C$10:$C$224,$C85,'TL17'!$J$10:$J$224),0),
IF('TL17'!$B$229=J$3,SUMIF('TL17'!$C$238:$C$451,$C85,'TL17'!$J$238:$J$451),0),
IF('TL18'!$B$3=J$3,SUMIF('TL18'!$C$10:$C$224,$C85,'TL18'!$J$10:$J$224),0),
IF('TL18'!$B$229=J$3,SUMIF('TL18'!$C$238:$C$451,$C85,'TL18'!$J$238:$J$451),0),
IF('TL19'!$B$3=J$3,SUMIF('TL19'!$C$10:$C$224,$C85,'TL19'!$J$10:$J$224),0),
IF('TL19'!$B$229=J$3,SUMIF('TL19'!$C$238:$C$451,$C85,'TL19'!$J$238:$J$451),0)
),0)</f>
        <v>0</v>
      </c>
      <c r="K85" s="9">
        <f>IFERROR(SUM(
IF('TL01'!$B$3=K$3,SUMIF('TL01'!$C$10:$C$224,$C85,'TL01'!$J$10:$J$224),0),
IF('TL01'!$B$229=K$3,SUMIF('TL01'!$C$238:$C$451,$C85,'TL01'!$J$238:$J$451),0),
IF('TL02'!$B$3=K$3,SUMIF('TL02'!$C$10:$C$224,$C85,'TL02'!$J$10:$J$224),0),
IF('TL02'!$B$229=K$3,SUMIF('TL02'!$C$238:$C$451,$C85,'TL02'!$J$238:$J$451),0),
IF('TL03'!$B$3=K$3,SUMIF('TL03'!$C$10:$C$224,$C85,'TL03'!$J$10:$J$224),0),
IF('TL03'!$B$229=K$3,SUMIF('TL03'!$C$238:$C$451,$C85,'TL03'!$J$238:$J$451),0),
IF('TL04'!$B$3=K$3,SUMIF('TL04'!$C$10:$C$224,$C85,'TL04'!$J$10:$J$224),0),
IF('TL04'!$B$229=K$3,SUMIF('TL04'!$C$238:$C$451,$C85,'TL04'!$J$238:$J$451),0),
IF('TL05'!$B$3=K$3,SUMIF('TL05'!$C$10:$C$224,$C85,'TL05'!$J$10:$J$224),0),
IF('TL05'!$B$229=K$3,SUMIF('TL05'!$C$238:$C$451,$C85,'TL05'!$J$238:$J$451),0),
IF('TL06'!$B$3=K$3,SUMIF('TL06'!$C$10:$C$224,$C85,'TL06'!$J$10:$J$224),0),
IF('TL06'!$B$229=K$3,SUMIF('TL06'!$C$238:$C$451,$C85,'TL06'!$J$238:$J$451),0),
IF('TL07'!$B$3=K$3,SUMIF('TL07'!$C$10:$C$224,$C85,'TL07'!$J$10:$J$224),0),
IF('TL07'!$B$229=K$3,SUMIF('TL07'!$C$238:$C$451,$C85,'TL07'!$J$238:$J$451),0),
IF('TL08'!$B$3=K$3,SUMIF('TL08'!$C$10:$C$224,$C85,'TL08'!$J$10:$J$224),0),
IF('TL08'!$B$229=K$3,SUMIF('TL08'!$C$238:$C$451,$C85,'TL08'!$J$238:$J$451),0),
IF('TL09'!$B$3=K$3,SUMIF('TL09'!$C$10:$C$224,$C85,'TL09'!$J$10:$J$224),0),
IF('TL09'!$B$229=K$3,SUMIF('TL09'!$C$238:$C$451,$C85,'TL09'!$J$238:$J$451),0),
IF('TL10'!$B$3=K$3,SUMIF('TL10'!$C$10:$C$224,$C85,'TL10'!$J$10:$J$224),0),
IF('TL10'!$B$229=K$3,SUMIF('TL10'!$C$238:$C$451,$C85,'TL10'!$J$238:$J$451),0),
IF('TL11'!$B$3=K$3,SUMIF('TL11'!$C$10:$C$224,$C85,'TL11'!$J$10:$J$224),0),
IF('TL11'!$B$229=K$3,SUMIF('TL11'!$C$238:$C$451,$C85,'TL11'!$J$238:$J$451),0),
IF('TL12'!$B$3=K$3,SUMIF('TL12'!$C$10:$C$224,$C85,'TL12'!$J$10:$J$224),0),
IF('TL12'!$B$229=K$3,SUMIF('TL12'!$C$238:$C$451,$C85,'TL12'!$J$238:$J$451),0),
IF('TL13'!$B$3=K$3,SUMIF('TL13'!$C$10:$C$224,$C85,'TL13'!$J$10:$J$224),0),
IF('TL13'!$B$229=K$3,SUMIF('TL13'!$C$238:$C$451,$C85,'TL13'!$J$238:$J$451),0),
IF('TL14'!$B$3=K$3,SUMIF('TL14'!$C$10:$C$224,$C85,'TL14'!$J$10:$J$224),0),
IF('TL14'!$B$229=K$3,SUMIF('TL14'!$C$238:$C$451,$C85,'TL14'!$J$238:$J$451),0),
IF('TL15'!$B$3=K$3,SUMIF('TL15'!$C$10:$C$224,$C85,'TL15'!$J$10:$J$224),0),
IF('TL15'!$B$229=K$3,SUMIF('TL15'!$C$238:$C$451,$C85,'TL15'!$J$238:$J$451),0),
IF('TL16'!$B$3=K$3,SUMIF('TL16'!$C$10:$C$224,$C85,'TL16'!$J$10:$J$224),0),
IF('TL16'!$B$229=K$3,SUMIF('TL16'!$C$238:$C$451,$C85,'TL16'!$J$238:$J$451),0),
IF('TL17'!$B$3=K$3,SUMIF('TL17'!$C$10:$C$224,$C85,'TL17'!$J$10:$J$224),0),
IF('TL17'!$B$229=K$3,SUMIF('TL17'!$C$238:$C$451,$C85,'TL17'!$J$238:$J$451),0),
IF('TL18'!$B$3=K$3,SUMIF('TL18'!$C$10:$C$224,$C85,'TL18'!$J$10:$J$224),0),
IF('TL18'!$B$229=K$3,SUMIF('TL18'!$C$238:$C$451,$C85,'TL18'!$J$238:$J$451),0),
IF('TL19'!$B$3=K$3,SUMIF('TL19'!$C$10:$C$224,$C85,'TL19'!$J$10:$J$224),0),
IF('TL19'!$B$229=K$3,SUMIF('TL19'!$C$238:$C$451,$C85,'TL19'!$J$238:$J$451),0)
),0)</f>
        <v>0</v>
      </c>
      <c r="L85" s="9">
        <f>IFERROR(SUM(
IF('TL01'!$B$3=L$3,SUMIF('TL01'!$C$10:$C$224,$C85,'TL01'!$J$10:$J$224),0),
IF('TL01'!$B$229=L$3,SUMIF('TL01'!$C$238:$C$451,$C85,'TL01'!$J$238:$J$451),0),
IF('TL02'!$B$3=L$3,SUMIF('TL02'!$C$10:$C$224,$C85,'TL02'!$J$10:$J$224),0),
IF('TL02'!$B$229=L$3,SUMIF('TL02'!$C$238:$C$451,$C85,'TL02'!$J$238:$J$451),0),
IF('TL03'!$B$3=L$3,SUMIF('TL03'!$C$10:$C$224,$C85,'TL03'!$J$10:$J$224),0),
IF('TL03'!$B$229=L$3,SUMIF('TL03'!$C$238:$C$451,$C85,'TL03'!$J$238:$J$451),0),
IF('TL04'!$B$3=L$3,SUMIF('TL04'!$C$10:$C$224,$C85,'TL04'!$J$10:$J$224),0),
IF('TL04'!$B$229=L$3,SUMIF('TL04'!$C$238:$C$451,$C85,'TL04'!$J$238:$J$451),0),
IF('TL05'!$B$3=L$3,SUMIF('TL05'!$C$10:$C$224,$C85,'TL05'!$J$10:$J$224),0),
IF('TL05'!$B$229=L$3,SUMIF('TL05'!$C$238:$C$451,$C85,'TL05'!$J$238:$J$451),0),
IF('TL06'!$B$3=L$3,SUMIF('TL06'!$C$10:$C$224,$C85,'TL06'!$J$10:$J$224),0),
IF('TL06'!$B$229=L$3,SUMIF('TL06'!$C$238:$C$451,$C85,'TL06'!$J$238:$J$451),0),
IF('TL07'!$B$3=L$3,SUMIF('TL07'!$C$10:$C$224,$C85,'TL07'!$J$10:$J$224),0),
IF('TL07'!$B$229=L$3,SUMIF('TL07'!$C$238:$C$451,$C85,'TL07'!$J$238:$J$451),0),
IF('TL08'!$B$3=L$3,SUMIF('TL08'!$C$10:$C$224,$C85,'TL08'!$J$10:$J$224),0),
IF('TL08'!$B$229=L$3,SUMIF('TL08'!$C$238:$C$451,$C85,'TL08'!$J$238:$J$451),0),
IF('TL09'!$B$3=L$3,SUMIF('TL09'!$C$10:$C$224,$C85,'TL09'!$J$10:$J$224),0),
IF('TL09'!$B$229=L$3,SUMIF('TL09'!$C$238:$C$451,$C85,'TL09'!$J$238:$J$451),0),
IF('TL10'!$B$3=L$3,SUMIF('TL10'!$C$10:$C$224,$C85,'TL10'!$J$10:$J$224),0),
IF('TL10'!$B$229=L$3,SUMIF('TL10'!$C$238:$C$451,$C85,'TL10'!$J$238:$J$451),0),
IF('TL11'!$B$3=L$3,SUMIF('TL11'!$C$10:$C$224,$C85,'TL11'!$J$10:$J$224),0),
IF('TL11'!$B$229=L$3,SUMIF('TL11'!$C$238:$C$451,$C85,'TL11'!$J$238:$J$451),0),
IF('TL12'!$B$3=L$3,SUMIF('TL12'!$C$10:$C$224,$C85,'TL12'!$J$10:$J$224),0),
IF('TL12'!$B$229=L$3,SUMIF('TL12'!$C$238:$C$451,$C85,'TL12'!$J$238:$J$451),0),
IF('TL13'!$B$3=L$3,SUMIF('TL13'!$C$10:$C$224,$C85,'TL13'!$J$10:$J$224),0),
IF('TL13'!$B$229=L$3,SUMIF('TL13'!$C$238:$C$451,$C85,'TL13'!$J$238:$J$451),0),
IF('TL14'!$B$3=L$3,SUMIF('TL14'!$C$10:$C$224,$C85,'TL14'!$J$10:$J$224),0),
IF('TL14'!$B$229=L$3,SUMIF('TL14'!$C$238:$C$451,$C85,'TL14'!$J$238:$J$451),0),
IF('TL15'!$B$3=L$3,SUMIF('TL15'!$C$10:$C$224,$C85,'TL15'!$J$10:$J$224),0),
IF('TL15'!$B$229=L$3,SUMIF('TL15'!$C$238:$C$451,$C85,'TL15'!$J$238:$J$451),0),
IF('TL16'!$B$3=L$3,SUMIF('TL16'!$C$10:$C$224,$C85,'TL16'!$J$10:$J$224),0),
IF('TL16'!$B$229=L$3,SUMIF('TL16'!$C$238:$C$451,$C85,'TL16'!$J$238:$J$451),0),
IF('TL17'!$B$3=L$3,SUMIF('TL17'!$C$10:$C$224,$C85,'TL17'!$J$10:$J$224),0),
IF('TL17'!$B$229=L$3,SUMIF('TL17'!$C$238:$C$451,$C85,'TL17'!$J$238:$J$451),0),
IF('TL18'!$B$3=L$3,SUMIF('TL18'!$C$10:$C$224,$C85,'TL18'!$J$10:$J$224),0),
IF('TL18'!$B$229=L$3,SUMIF('TL18'!$C$238:$C$451,$C85,'TL18'!$J$238:$J$451),0),
IF('TL19'!$B$3=L$3,SUMIF('TL19'!$C$10:$C$224,$C85,'TL19'!$J$10:$J$224),0),
IF('TL19'!$B$229=L$3,SUMIF('TL19'!$C$238:$C$451,$C85,'TL19'!$J$238:$J$451),0)
),0)</f>
        <v>0</v>
      </c>
      <c r="M85" s="9">
        <f>IFERROR(SUM(
IF('TL01'!$B$3=M$3,SUMIF('TL01'!$C$10:$C$224,$C85,'TL01'!$J$10:$J$224),0),
IF('TL01'!$B$229=M$3,SUMIF('TL01'!$C$238:$C$451,$C85,'TL01'!$J$238:$J$451),0),
IF('TL02'!$B$3=M$3,SUMIF('TL02'!$C$10:$C$224,$C85,'TL02'!$J$10:$J$224),0),
IF('TL02'!$B$229=M$3,SUMIF('TL02'!$C$238:$C$451,$C85,'TL02'!$J$238:$J$451),0),
IF('TL03'!$B$3=M$3,SUMIF('TL03'!$C$10:$C$224,$C85,'TL03'!$J$10:$J$224),0),
IF('TL03'!$B$229=M$3,SUMIF('TL03'!$C$238:$C$451,$C85,'TL03'!$J$238:$J$451),0),
IF('TL04'!$B$3=M$3,SUMIF('TL04'!$C$10:$C$224,$C85,'TL04'!$J$10:$J$224),0),
IF('TL04'!$B$229=M$3,SUMIF('TL04'!$C$238:$C$451,$C85,'TL04'!$J$238:$J$451),0),
IF('TL05'!$B$3=M$3,SUMIF('TL05'!$C$10:$C$224,$C85,'TL05'!$J$10:$J$224),0),
IF('TL05'!$B$229=M$3,SUMIF('TL05'!$C$238:$C$451,$C85,'TL05'!$J$238:$J$451),0),
IF('TL06'!$B$3=M$3,SUMIF('TL06'!$C$10:$C$224,$C85,'TL06'!$J$10:$J$224),0),
IF('TL06'!$B$229=M$3,SUMIF('TL06'!$C$238:$C$451,$C85,'TL06'!$J$238:$J$451),0),
IF('TL07'!$B$3=M$3,SUMIF('TL07'!$C$10:$C$224,$C85,'TL07'!$J$10:$J$224),0),
IF('TL07'!$B$229=M$3,SUMIF('TL07'!$C$238:$C$451,$C85,'TL07'!$J$238:$J$451),0),
IF('TL08'!$B$3=M$3,SUMIF('TL08'!$C$10:$C$224,$C85,'TL08'!$J$10:$J$224),0),
IF('TL08'!$B$229=M$3,SUMIF('TL08'!$C$238:$C$451,$C85,'TL08'!$J$238:$J$451),0),
IF('TL09'!$B$3=M$3,SUMIF('TL09'!$C$10:$C$224,$C85,'TL09'!$J$10:$J$224),0),
IF('TL09'!$B$229=M$3,SUMIF('TL09'!$C$238:$C$451,$C85,'TL09'!$J$238:$J$451),0),
IF('TL10'!$B$3=M$3,SUMIF('TL10'!$C$10:$C$224,$C85,'TL10'!$J$10:$J$224),0),
IF('TL10'!$B$229=M$3,SUMIF('TL10'!$C$238:$C$451,$C85,'TL10'!$J$238:$J$451),0),
IF('TL11'!$B$3=M$3,SUMIF('TL11'!$C$10:$C$224,$C85,'TL11'!$J$10:$J$224),0),
IF('TL11'!$B$229=M$3,SUMIF('TL11'!$C$238:$C$451,$C85,'TL11'!$J$238:$J$451),0),
IF('TL12'!$B$3=M$3,SUMIF('TL12'!$C$10:$C$224,$C85,'TL12'!$J$10:$J$224),0),
IF('TL12'!$B$229=M$3,SUMIF('TL12'!$C$238:$C$451,$C85,'TL12'!$J$238:$J$451),0),
IF('TL13'!$B$3=M$3,SUMIF('TL13'!$C$10:$C$224,$C85,'TL13'!$J$10:$J$224),0),
IF('TL13'!$B$229=M$3,SUMIF('TL13'!$C$238:$C$451,$C85,'TL13'!$J$238:$J$451),0),
IF('TL14'!$B$3=M$3,SUMIF('TL14'!$C$10:$C$224,$C85,'TL14'!$J$10:$J$224),0),
IF('TL14'!$B$229=M$3,SUMIF('TL14'!$C$238:$C$451,$C85,'TL14'!$J$238:$J$451),0),
IF('TL15'!$B$3=M$3,SUMIF('TL15'!$C$10:$C$224,$C85,'TL15'!$J$10:$J$224),0),
IF('TL15'!$B$229=M$3,SUMIF('TL15'!$C$238:$C$451,$C85,'TL15'!$J$238:$J$451),0),
IF('TL16'!$B$3=M$3,SUMIF('TL16'!$C$10:$C$224,$C85,'TL16'!$J$10:$J$224),0),
IF('TL16'!$B$229=M$3,SUMIF('TL16'!$C$238:$C$451,$C85,'TL16'!$J$238:$J$451),0),
IF('TL17'!$B$3=M$3,SUMIF('TL17'!$C$10:$C$224,$C85,'TL17'!$J$10:$J$224),0),
IF('TL17'!$B$229=M$3,SUMIF('TL17'!$C$238:$C$451,$C85,'TL17'!$J$238:$J$451),0),
IF('TL18'!$B$3=M$3,SUMIF('TL18'!$C$10:$C$224,$C85,'TL18'!$J$10:$J$224),0),
IF('TL18'!$B$229=M$3,SUMIF('TL18'!$C$238:$C$451,$C85,'TL18'!$J$238:$J$451),0),
IF('TL19'!$B$3=M$3,SUMIF('TL19'!$C$10:$C$224,$C85,'TL19'!$J$10:$J$224),0),
IF('TL19'!$B$229=M$3,SUMIF('TL19'!$C$238:$C$451,$C85,'TL19'!$J$238:$J$451),0)
),0)</f>
        <v>0</v>
      </c>
      <c r="N85" s="9">
        <f>IFERROR(SUM(
IF('TL01'!$B$3=N$3,SUMIF('TL01'!$C$10:$C$224,$C85,'TL01'!$J$10:$J$224),0),
IF('TL01'!$B$229=N$3,SUMIF('TL01'!$C$238:$C$451,$C85,'TL01'!$J$238:$J$451),0),
IF('TL02'!$B$3=N$3,SUMIF('TL02'!$C$10:$C$224,$C85,'TL02'!$J$10:$J$224),0),
IF('TL02'!$B$229=N$3,SUMIF('TL02'!$C$238:$C$451,$C85,'TL02'!$J$238:$J$451),0),
IF('TL03'!$B$3=N$3,SUMIF('TL03'!$C$10:$C$224,$C85,'TL03'!$J$10:$J$224),0),
IF('TL03'!$B$229=N$3,SUMIF('TL03'!$C$238:$C$451,$C85,'TL03'!$J$238:$J$451),0),
IF('TL04'!$B$3=N$3,SUMIF('TL04'!$C$10:$C$224,$C85,'TL04'!$J$10:$J$224),0),
IF('TL04'!$B$229=N$3,SUMIF('TL04'!$C$238:$C$451,$C85,'TL04'!$J$238:$J$451),0),
IF('TL05'!$B$3=N$3,SUMIF('TL05'!$C$10:$C$224,$C85,'TL05'!$J$10:$J$224),0),
IF('TL05'!$B$229=N$3,SUMIF('TL05'!$C$238:$C$451,$C85,'TL05'!$J$238:$J$451),0),
IF('TL06'!$B$3=N$3,SUMIF('TL06'!$C$10:$C$224,$C85,'TL06'!$J$10:$J$224),0),
IF('TL06'!$B$229=N$3,SUMIF('TL06'!$C$238:$C$451,$C85,'TL06'!$J$238:$J$451),0),
IF('TL07'!$B$3=N$3,SUMIF('TL07'!$C$10:$C$224,$C85,'TL07'!$J$10:$J$224),0),
IF('TL07'!$B$229=N$3,SUMIF('TL07'!$C$238:$C$451,$C85,'TL07'!$J$238:$J$451),0),
IF('TL08'!$B$3=N$3,SUMIF('TL08'!$C$10:$C$224,$C85,'TL08'!$J$10:$J$224),0),
IF('TL08'!$B$229=N$3,SUMIF('TL08'!$C$238:$C$451,$C85,'TL08'!$J$238:$J$451),0),
IF('TL09'!$B$3=N$3,SUMIF('TL09'!$C$10:$C$224,$C85,'TL09'!$J$10:$J$224),0),
IF('TL09'!$B$229=N$3,SUMIF('TL09'!$C$238:$C$451,$C85,'TL09'!$J$238:$J$451),0),
IF('TL10'!$B$3=N$3,SUMIF('TL10'!$C$10:$C$224,$C85,'TL10'!$J$10:$J$224),0),
IF('TL10'!$B$229=N$3,SUMIF('TL10'!$C$238:$C$451,$C85,'TL10'!$J$238:$J$451),0),
IF('TL11'!$B$3=N$3,SUMIF('TL11'!$C$10:$C$224,$C85,'TL11'!$J$10:$J$224),0),
IF('TL11'!$B$229=N$3,SUMIF('TL11'!$C$238:$C$451,$C85,'TL11'!$J$238:$J$451),0),
IF('TL12'!$B$3=N$3,SUMIF('TL12'!$C$10:$C$224,$C85,'TL12'!$J$10:$J$224),0),
IF('TL12'!$B$229=N$3,SUMIF('TL12'!$C$238:$C$451,$C85,'TL12'!$J$238:$J$451),0),
IF('TL13'!$B$3=N$3,SUMIF('TL13'!$C$10:$C$224,$C85,'TL13'!$J$10:$J$224),0),
IF('TL13'!$B$229=N$3,SUMIF('TL13'!$C$238:$C$451,$C85,'TL13'!$J$238:$J$451),0),
IF('TL14'!$B$3=N$3,SUMIF('TL14'!$C$10:$C$224,$C85,'TL14'!$J$10:$J$224),0),
IF('TL14'!$B$229=N$3,SUMIF('TL14'!$C$238:$C$451,$C85,'TL14'!$J$238:$J$451),0),
IF('TL15'!$B$3=N$3,SUMIF('TL15'!$C$10:$C$224,$C85,'TL15'!$J$10:$J$224),0),
IF('TL15'!$B$229=N$3,SUMIF('TL15'!$C$238:$C$451,$C85,'TL15'!$J$238:$J$451),0),
IF('TL16'!$B$3=N$3,SUMIF('TL16'!$C$10:$C$224,$C85,'TL16'!$J$10:$J$224),0),
IF('TL16'!$B$229=N$3,SUMIF('TL16'!$C$238:$C$451,$C85,'TL16'!$J$238:$J$451),0),
IF('TL17'!$B$3=N$3,SUMIF('TL17'!$C$10:$C$224,$C85,'TL17'!$J$10:$J$224),0),
IF('TL17'!$B$229=N$3,SUMIF('TL17'!$C$238:$C$451,$C85,'TL17'!$J$238:$J$451),0),
IF('TL18'!$B$3=N$3,SUMIF('TL18'!$C$10:$C$224,$C85,'TL18'!$J$10:$J$224),0),
IF('TL18'!$B$229=N$3,SUMIF('TL18'!$C$238:$C$451,$C85,'TL18'!$J$238:$J$451),0),
IF('TL19'!$B$3=N$3,SUMIF('TL19'!$C$10:$C$224,$C85,'TL19'!$J$10:$J$224),0),
IF('TL19'!$B$229=N$3,SUMIF('TL19'!$C$238:$C$451,$C85,'TL19'!$J$238:$J$451),0)
),0)</f>
        <v>0</v>
      </c>
      <c r="O85" s="9">
        <f>IFERROR(SUM(
IF('TL01'!$B$3=O$3,SUMIF('TL01'!$C$10:$C$224,$C85,'TL01'!$J$10:$J$224),0),
IF('TL01'!$B$229=O$3,SUMIF('TL01'!$C$238:$C$451,$C85,'TL01'!$J$238:$J$451),0),
IF('TL02'!$B$3=O$3,SUMIF('TL02'!$C$10:$C$224,$C85,'TL02'!$J$10:$J$224),0),
IF('TL02'!$B$229=O$3,SUMIF('TL02'!$C$238:$C$451,$C85,'TL02'!$J$238:$J$451),0),
IF('TL03'!$B$3=O$3,SUMIF('TL03'!$C$10:$C$224,$C85,'TL03'!$J$10:$J$224),0),
IF('TL03'!$B$229=O$3,SUMIF('TL03'!$C$238:$C$451,$C85,'TL03'!$J$238:$J$451),0),
IF('TL04'!$B$3=O$3,SUMIF('TL04'!$C$10:$C$224,$C85,'TL04'!$J$10:$J$224),0),
IF('TL04'!$B$229=O$3,SUMIF('TL04'!$C$238:$C$451,$C85,'TL04'!$J$238:$J$451),0),
IF('TL05'!$B$3=O$3,SUMIF('TL05'!$C$10:$C$224,$C85,'TL05'!$J$10:$J$224),0),
IF('TL05'!$B$229=O$3,SUMIF('TL05'!$C$238:$C$451,$C85,'TL05'!$J$238:$J$451),0),
IF('TL06'!$B$3=O$3,SUMIF('TL06'!$C$10:$C$224,$C85,'TL06'!$J$10:$J$224),0),
IF('TL06'!$B$229=O$3,SUMIF('TL06'!$C$238:$C$451,$C85,'TL06'!$J$238:$J$451),0),
IF('TL07'!$B$3=O$3,SUMIF('TL07'!$C$10:$C$224,$C85,'TL07'!$J$10:$J$224),0),
IF('TL07'!$B$229=O$3,SUMIF('TL07'!$C$238:$C$451,$C85,'TL07'!$J$238:$J$451),0),
IF('TL08'!$B$3=O$3,SUMIF('TL08'!$C$10:$C$224,$C85,'TL08'!$J$10:$J$224),0),
IF('TL08'!$B$229=O$3,SUMIF('TL08'!$C$238:$C$451,$C85,'TL08'!$J$238:$J$451),0),
IF('TL09'!$B$3=O$3,SUMIF('TL09'!$C$10:$C$224,$C85,'TL09'!$J$10:$J$224),0),
IF('TL09'!$B$229=O$3,SUMIF('TL09'!$C$238:$C$451,$C85,'TL09'!$J$238:$J$451),0),
IF('TL10'!$B$3=O$3,SUMIF('TL10'!$C$10:$C$224,$C85,'TL10'!$J$10:$J$224),0),
IF('TL10'!$B$229=O$3,SUMIF('TL10'!$C$238:$C$451,$C85,'TL10'!$J$238:$J$451),0),
IF('TL11'!$B$3=O$3,SUMIF('TL11'!$C$10:$C$224,$C85,'TL11'!$J$10:$J$224),0),
IF('TL11'!$B$229=O$3,SUMIF('TL11'!$C$238:$C$451,$C85,'TL11'!$J$238:$J$451),0),
IF('TL12'!$B$3=O$3,SUMIF('TL12'!$C$10:$C$224,$C85,'TL12'!$J$10:$J$224),0),
IF('TL12'!$B$229=O$3,SUMIF('TL12'!$C$238:$C$451,$C85,'TL12'!$J$238:$J$451),0),
IF('TL13'!$B$3=O$3,SUMIF('TL13'!$C$10:$C$224,$C85,'TL13'!$J$10:$J$224),0),
IF('TL13'!$B$229=O$3,SUMIF('TL13'!$C$238:$C$451,$C85,'TL13'!$J$238:$J$451),0),
IF('TL14'!$B$3=O$3,SUMIF('TL14'!$C$10:$C$224,$C85,'TL14'!$J$10:$J$224),0),
IF('TL14'!$B$229=O$3,SUMIF('TL14'!$C$238:$C$451,$C85,'TL14'!$J$238:$J$451),0),
IF('TL15'!$B$3=O$3,SUMIF('TL15'!$C$10:$C$224,$C85,'TL15'!$J$10:$J$224),0),
IF('TL15'!$B$229=O$3,SUMIF('TL15'!$C$238:$C$451,$C85,'TL15'!$J$238:$J$451),0),
IF('TL16'!$B$3=O$3,SUMIF('TL16'!$C$10:$C$224,$C85,'TL16'!$J$10:$J$224),0),
IF('TL16'!$B$229=O$3,SUMIF('TL16'!$C$238:$C$451,$C85,'TL16'!$J$238:$J$451),0),
IF('TL17'!$B$3=O$3,SUMIF('TL17'!$C$10:$C$224,$C85,'TL17'!$J$10:$J$224),0),
IF('TL17'!$B$229=O$3,SUMIF('TL17'!$C$238:$C$451,$C85,'TL17'!$J$238:$J$451),0),
IF('TL18'!$B$3=O$3,SUMIF('TL18'!$C$10:$C$224,$C85,'TL18'!$J$10:$J$224),0),
IF('TL18'!$B$229=O$3,SUMIF('TL18'!$C$238:$C$451,$C85,'TL18'!$J$238:$J$451),0),
IF('TL19'!$B$3=O$3,SUMIF('TL19'!$C$10:$C$224,$C85,'TL19'!$J$10:$J$224),0),
IF('TL19'!$B$229=O$3,SUMIF('TL19'!$C$238:$C$451,$C85,'TL19'!$J$238:$J$451),0)
),0)</f>
        <v>0</v>
      </c>
      <c r="P85" s="9">
        <f>IFERROR(SUM(
IF('TL01'!$B$3=P$3,SUMIF('TL01'!$C$10:$C$224,$C85,'TL01'!$J$10:$J$224),0),
IF('TL01'!$B$229=P$3,SUMIF('TL01'!$C$238:$C$451,$C85,'TL01'!$J$238:$J$451),0),
IF('TL02'!$B$3=P$3,SUMIF('TL02'!$C$10:$C$224,$C85,'TL02'!$J$10:$J$224),0),
IF('TL02'!$B$229=P$3,SUMIF('TL02'!$C$238:$C$451,$C85,'TL02'!$J$238:$J$451),0),
IF('TL03'!$B$3=P$3,SUMIF('TL03'!$C$10:$C$224,$C85,'TL03'!$J$10:$J$224),0),
IF('TL03'!$B$229=P$3,SUMIF('TL03'!$C$238:$C$451,$C85,'TL03'!$J$238:$J$451),0),
IF('TL04'!$B$3=P$3,SUMIF('TL04'!$C$10:$C$224,$C85,'TL04'!$J$10:$J$224),0),
IF('TL04'!$B$229=P$3,SUMIF('TL04'!$C$238:$C$451,$C85,'TL04'!$J$238:$J$451),0),
IF('TL05'!$B$3=P$3,SUMIF('TL05'!$C$10:$C$224,$C85,'TL05'!$J$10:$J$224),0),
IF('TL05'!$B$229=P$3,SUMIF('TL05'!$C$238:$C$451,$C85,'TL05'!$J$238:$J$451),0),
IF('TL06'!$B$3=P$3,SUMIF('TL06'!$C$10:$C$224,$C85,'TL06'!$J$10:$J$224),0),
IF('TL06'!$B$229=P$3,SUMIF('TL06'!$C$238:$C$451,$C85,'TL06'!$J$238:$J$451),0),
IF('TL07'!$B$3=P$3,SUMIF('TL07'!$C$10:$C$224,$C85,'TL07'!$J$10:$J$224),0),
IF('TL07'!$B$229=P$3,SUMIF('TL07'!$C$238:$C$451,$C85,'TL07'!$J$238:$J$451),0),
IF('TL08'!$B$3=P$3,SUMIF('TL08'!$C$10:$C$224,$C85,'TL08'!$J$10:$J$224),0),
IF('TL08'!$B$229=P$3,SUMIF('TL08'!$C$238:$C$451,$C85,'TL08'!$J$238:$J$451),0),
IF('TL09'!$B$3=P$3,SUMIF('TL09'!$C$10:$C$224,$C85,'TL09'!$J$10:$J$224),0),
IF('TL09'!$B$229=P$3,SUMIF('TL09'!$C$238:$C$451,$C85,'TL09'!$J$238:$J$451),0),
IF('TL10'!$B$3=P$3,SUMIF('TL10'!$C$10:$C$224,$C85,'TL10'!$J$10:$J$224),0),
IF('TL10'!$B$229=P$3,SUMIF('TL10'!$C$238:$C$451,$C85,'TL10'!$J$238:$J$451),0),
IF('TL11'!$B$3=P$3,SUMIF('TL11'!$C$10:$C$224,$C85,'TL11'!$J$10:$J$224),0),
IF('TL11'!$B$229=P$3,SUMIF('TL11'!$C$238:$C$451,$C85,'TL11'!$J$238:$J$451),0),
IF('TL12'!$B$3=P$3,SUMIF('TL12'!$C$10:$C$224,$C85,'TL12'!$J$10:$J$224),0),
IF('TL12'!$B$229=P$3,SUMIF('TL12'!$C$238:$C$451,$C85,'TL12'!$J$238:$J$451),0),
IF('TL13'!$B$3=P$3,SUMIF('TL13'!$C$10:$C$224,$C85,'TL13'!$J$10:$J$224),0),
IF('TL13'!$B$229=P$3,SUMIF('TL13'!$C$238:$C$451,$C85,'TL13'!$J$238:$J$451),0),
IF('TL14'!$B$3=P$3,SUMIF('TL14'!$C$10:$C$224,$C85,'TL14'!$J$10:$J$224),0),
IF('TL14'!$B$229=P$3,SUMIF('TL14'!$C$238:$C$451,$C85,'TL14'!$J$238:$J$451),0),
IF('TL15'!$B$3=P$3,SUMIF('TL15'!$C$10:$C$224,$C85,'TL15'!$J$10:$J$224),0),
IF('TL15'!$B$229=P$3,SUMIF('TL15'!$C$238:$C$451,$C85,'TL15'!$J$238:$J$451),0),
IF('TL16'!$B$3=P$3,SUMIF('TL16'!$C$10:$C$224,$C85,'TL16'!$J$10:$J$224),0),
IF('TL16'!$B$229=P$3,SUMIF('TL16'!$C$238:$C$451,$C85,'TL16'!$J$238:$J$451),0),
IF('TL17'!$B$3=P$3,SUMIF('TL17'!$C$10:$C$224,$C85,'TL17'!$J$10:$J$224),0),
IF('TL17'!$B$229=P$3,SUMIF('TL17'!$C$238:$C$451,$C85,'TL17'!$J$238:$J$451),0),
IF('TL18'!$B$3=P$3,SUMIF('TL18'!$C$10:$C$224,$C85,'TL18'!$J$10:$J$224),0),
IF('TL18'!$B$229=P$3,SUMIF('TL18'!$C$238:$C$451,$C85,'TL18'!$J$238:$J$451),0),
IF('TL19'!$B$3=P$3,SUMIF('TL19'!$C$10:$C$224,$C85,'TL19'!$J$10:$J$224),0),
IF('TL19'!$B$229=P$3,SUMIF('TL19'!$C$238:$C$451,$C85,'TL19'!$J$238:$J$451),0)
),0)</f>
        <v>0</v>
      </c>
      <c r="Q85" s="9">
        <f>IFERROR(SUM(
IF('TL01'!$B$3=Q$3,SUMIF('TL01'!$C$10:$C$224,$C85,'TL01'!$J$10:$J$224),0),
IF('TL01'!$B$229=Q$3,SUMIF('TL01'!$C$238:$C$451,$C85,'TL01'!$J$238:$J$451),0),
IF('TL02'!$B$3=Q$3,SUMIF('TL02'!$C$10:$C$224,$C85,'TL02'!$J$10:$J$224),0),
IF('TL02'!$B$229=Q$3,SUMIF('TL02'!$C$238:$C$451,$C85,'TL02'!$J$238:$J$451),0),
IF('TL03'!$B$3=Q$3,SUMIF('TL03'!$C$10:$C$224,$C85,'TL03'!$J$10:$J$224),0),
IF('TL03'!$B$229=Q$3,SUMIF('TL03'!$C$238:$C$451,$C85,'TL03'!$J$238:$J$451),0),
IF('TL04'!$B$3=Q$3,SUMIF('TL04'!$C$10:$C$224,$C85,'TL04'!$J$10:$J$224),0),
IF('TL04'!$B$229=Q$3,SUMIF('TL04'!$C$238:$C$451,$C85,'TL04'!$J$238:$J$451),0),
IF('TL05'!$B$3=Q$3,SUMIF('TL05'!$C$10:$C$224,$C85,'TL05'!$J$10:$J$224),0),
IF('TL05'!$B$229=Q$3,SUMIF('TL05'!$C$238:$C$451,$C85,'TL05'!$J$238:$J$451),0),
IF('TL06'!$B$3=Q$3,SUMIF('TL06'!$C$10:$C$224,$C85,'TL06'!$J$10:$J$224),0),
IF('TL06'!$B$229=Q$3,SUMIF('TL06'!$C$238:$C$451,$C85,'TL06'!$J$238:$J$451),0),
IF('TL07'!$B$3=Q$3,SUMIF('TL07'!$C$10:$C$224,$C85,'TL07'!$J$10:$J$224),0),
IF('TL07'!$B$229=Q$3,SUMIF('TL07'!$C$238:$C$451,$C85,'TL07'!$J$238:$J$451),0),
IF('TL08'!$B$3=Q$3,SUMIF('TL08'!$C$10:$C$224,$C85,'TL08'!$J$10:$J$224),0),
IF('TL08'!$B$229=Q$3,SUMIF('TL08'!$C$238:$C$451,$C85,'TL08'!$J$238:$J$451),0),
IF('TL09'!$B$3=Q$3,SUMIF('TL09'!$C$10:$C$224,$C85,'TL09'!$J$10:$J$224),0),
IF('TL09'!$B$229=Q$3,SUMIF('TL09'!$C$238:$C$451,$C85,'TL09'!$J$238:$J$451),0),
IF('TL10'!$B$3=Q$3,SUMIF('TL10'!$C$10:$C$224,$C85,'TL10'!$J$10:$J$224),0),
IF('TL10'!$B$229=Q$3,SUMIF('TL10'!$C$238:$C$451,$C85,'TL10'!$J$238:$J$451),0),
IF('TL11'!$B$3=Q$3,SUMIF('TL11'!$C$10:$C$224,$C85,'TL11'!$J$10:$J$224),0),
IF('TL11'!$B$229=Q$3,SUMIF('TL11'!$C$238:$C$451,$C85,'TL11'!$J$238:$J$451),0),
IF('TL12'!$B$3=Q$3,SUMIF('TL12'!$C$10:$C$224,$C85,'TL12'!$J$10:$J$224),0),
IF('TL12'!$B$229=Q$3,SUMIF('TL12'!$C$238:$C$451,$C85,'TL12'!$J$238:$J$451),0),
IF('TL13'!$B$3=Q$3,SUMIF('TL13'!$C$10:$C$224,$C85,'TL13'!$J$10:$J$224),0),
IF('TL13'!$B$229=Q$3,SUMIF('TL13'!$C$238:$C$451,$C85,'TL13'!$J$238:$J$451),0),
IF('TL14'!$B$3=Q$3,SUMIF('TL14'!$C$10:$C$224,$C85,'TL14'!$J$10:$J$224),0),
IF('TL14'!$B$229=Q$3,SUMIF('TL14'!$C$238:$C$451,$C85,'TL14'!$J$238:$J$451),0),
IF('TL15'!$B$3=Q$3,SUMIF('TL15'!$C$10:$C$224,$C85,'TL15'!$J$10:$J$224),0),
IF('TL15'!$B$229=Q$3,SUMIF('TL15'!$C$238:$C$451,$C85,'TL15'!$J$238:$J$451),0),
IF('TL16'!$B$3=Q$3,SUMIF('TL16'!$C$10:$C$224,$C85,'TL16'!$J$10:$J$224),0),
IF('TL16'!$B$229=Q$3,SUMIF('TL16'!$C$238:$C$451,$C85,'TL16'!$J$238:$J$451),0),
IF('TL17'!$B$3=Q$3,SUMIF('TL17'!$C$10:$C$224,$C85,'TL17'!$J$10:$J$224),0),
IF('TL17'!$B$229=Q$3,SUMIF('TL17'!$C$238:$C$451,$C85,'TL17'!$J$238:$J$451),0),
IF('TL18'!$B$3=Q$3,SUMIF('TL18'!$C$10:$C$224,$C85,'TL18'!$J$10:$J$224),0),
IF('TL18'!$B$229=Q$3,SUMIF('TL18'!$C$238:$C$451,$C85,'TL18'!$J$238:$J$451),0),
IF('TL19'!$B$3=Q$3,SUMIF('TL19'!$C$10:$C$224,$C85,'TL19'!$J$10:$J$224),0),
IF('TL19'!$B$229=Q$3,SUMIF('TL19'!$C$238:$C$451,$C85,'TL19'!$J$238:$J$451),0)
),0)</f>
        <v>0</v>
      </c>
      <c r="R85" s="9">
        <f>IFERROR(
SUM(
SUMIF('TL01'!C:C,C85,'TL01'!J:J),
SUMIF('TL02'!C:C,C85,'TL02'!J:J),
SUMIF('TL03'!C:C,C85,'TL03'!J:J),
SUMIF('TL04'!C:C,C85,'TL04'!J:J),
SUMIF('TL05'!C:C,C85,'TL05'!J:J),
SUMIF('TL06'!C:C,C85,'TL06'!J:J),
SUMIF('TL07'!C:C,C85,'TL07'!J:J),
SUMIF('TL08'!C:C,C85,'TL08'!J:J),
SUMIF('TL09'!C:C,C85,'TL09'!J:J),
SUMIF('TL10'!C:C,C85,'TL10'!J:J),
SUMIF('TL11'!C:C,C85,'TL11'!J:J),
SUMIF('TL12'!C:C,C85,'TL12'!J:J),
SUMIF('TL13'!C:C,C85,'TL13'!J:J),
SUMIF('TL14'!C:C,C85,'TL14'!J:J),
SUMIF('TL15'!C:C,C85,'TL15'!J:J),
SUMIF('TL16'!C:C,C85,'TL16'!J:J),
SUMIF('TL17'!C:C,C85,'TL17'!J:J),
SUMIF('TL18'!C:C,C85,'TL18'!J:J),SUMIF('TL19'!C:C,C85,'TL19'!J:J))
,0)</f>
        <v>0</v>
      </c>
      <c r="S85" s="17">
        <f>IFERROR(__xludf.DUMMYFUNCTION("IFERROR(VLOOKUP(C85,
IMPORTRANGE(""1wULbzX32WdYsx-lj2U3uUNBBe2INVIRDtcK0d-Dvl90"",
""26-27!C:G""),
5,
FALSE),
"""")"),155.73168000000004)</f>
        <v>155.73168</v>
      </c>
      <c r="T85" s="9">
        <v>10.0</v>
      </c>
      <c r="U85" s="92">
        <f t="shared" si="2"/>
        <v>-10</v>
      </c>
      <c r="V85" s="93">
        <f t="shared" si="3"/>
        <v>-1557.3168</v>
      </c>
    </row>
    <row r="86" ht="15.75" hidden="1" customHeight="1">
      <c r="A86" s="115" t="s">
        <v>356</v>
      </c>
      <c r="B86" s="100" t="s">
        <v>0</v>
      </c>
      <c r="C86" s="116" t="s">
        <v>557</v>
      </c>
      <c r="D86" s="116" t="s">
        <v>558</v>
      </c>
      <c r="E86" s="116" t="s">
        <v>559</v>
      </c>
      <c r="F86" s="4" t="s">
        <v>392</v>
      </c>
      <c r="G86" s="90" t="str">
        <f t="shared" si="4"/>
        <v>📄 Ver bula</v>
      </c>
      <c r="H86" s="9">
        <f>IFERROR(__xludf.DUMMYFUNCTION("IFERROR(VLOOKUP(C86,
IMPORTRANGE(""1wULbzX32WdYsx-lj2U3uUNBBe2INVIRDtcK0d-Dvl90"",
""26-27!C:K""),
8,
FALSE),
"""")"),0.75)</f>
        <v>0.75</v>
      </c>
      <c r="I86" s="117" t="s">
        <v>344</v>
      </c>
      <c r="J86" s="9">
        <f>IFERROR(SUM(
IF('TL01'!$B$3=J$3,SUMIF('TL01'!$C$10:$C$224,$C86,'TL01'!$J$10:$J$224),0),
IF('TL01'!$B$229=J$3,SUMIF('TL01'!$C$238:$C$451,$C86,'TL01'!$J$238:$J$451),0),
IF('TL02'!$B$3=J$3,SUMIF('TL02'!$C$10:$C$224,$C86,'TL02'!$J$10:$J$224),0),
IF('TL02'!$B$229=J$3,SUMIF('TL02'!$C$238:$C$451,$C86,'TL02'!$J$238:$J$451),0),
IF('TL03'!$B$3=J$3,SUMIF('TL03'!$C$10:$C$224,$C86,'TL03'!$J$10:$J$224),0),
IF('TL03'!$B$229=J$3,SUMIF('TL03'!$C$238:$C$451,$C86,'TL03'!$J$238:$J$451),0),
IF('TL04'!$B$3=J$3,SUMIF('TL04'!$C$10:$C$224,$C86,'TL04'!$J$10:$J$224),0),
IF('TL04'!$B$229=J$3,SUMIF('TL04'!$C$238:$C$451,$C86,'TL04'!$J$238:$J$451),0),
IF('TL05'!$B$3=J$3,SUMIF('TL05'!$C$10:$C$224,$C86,'TL05'!$J$10:$J$224),0),
IF('TL05'!$B$229=J$3,SUMIF('TL05'!$C$238:$C$451,$C86,'TL05'!$J$238:$J$451),0),
IF('TL06'!$B$3=J$3,SUMIF('TL06'!$C$10:$C$224,$C86,'TL06'!$J$10:$J$224),0),
IF('TL06'!$B$229=J$3,SUMIF('TL06'!$C$238:$C$451,$C86,'TL06'!$J$238:$J$451),0),
IF('TL07'!$B$3=J$3,SUMIF('TL07'!$C$10:$C$224,$C86,'TL07'!$J$10:$J$224),0),
IF('TL07'!$B$229=J$3,SUMIF('TL07'!$C$238:$C$451,$C86,'TL07'!$J$238:$J$451),0),
IF('TL08'!$B$3=J$3,SUMIF('TL08'!$C$10:$C$224,$C86,'TL08'!$J$10:$J$224),0),
IF('TL08'!$B$229=J$3,SUMIF('TL08'!$C$238:$C$451,$C86,'TL08'!$J$238:$J$451),0),
IF('TL09'!$B$3=J$3,SUMIF('TL09'!$C$10:$C$224,$C86,'TL09'!$J$10:$J$224),0),
IF('TL09'!$B$229=J$3,SUMIF('TL09'!$C$238:$C$451,$C86,'TL09'!$J$238:$J$451),0),
IF('TL10'!$B$3=J$3,SUMIF('TL10'!$C$10:$C$224,$C86,'TL10'!$J$10:$J$224),0),
IF('TL10'!$B$229=J$3,SUMIF('TL10'!$C$238:$C$451,$C86,'TL10'!$J$238:$J$451),0),
IF('TL11'!$B$3=J$3,SUMIF('TL11'!$C$10:$C$224,$C86,'TL11'!$J$10:$J$224),0),
IF('TL11'!$B$229=J$3,SUMIF('TL11'!$C$238:$C$451,$C86,'TL11'!$J$238:$J$451),0),
IF('TL12'!$B$3=J$3,SUMIF('TL12'!$C$10:$C$224,$C86,'TL12'!$J$10:$J$224),0),
IF('TL12'!$B$229=J$3,SUMIF('TL12'!$C$238:$C$451,$C86,'TL12'!$J$238:$J$451),0),
IF('TL13'!$B$3=J$3,SUMIF('TL13'!$C$10:$C$224,$C86,'TL13'!$J$10:$J$224),0),
IF('TL13'!$B$229=J$3,SUMIF('TL13'!$C$238:$C$451,$C86,'TL13'!$J$238:$J$451),0),
IF('TL14'!$B$3=J$3,SUMIF('TL14'!$C$10:$C$224,$C86,'TL14'!$J$10:$J$224),0),
IF('TL14'!$B$229=J$3,SUMIF('TL14'!$C$238:$C$451,$C86,'TL14'!$J$238:$J$451),0),
IF('TL15'!$B$3=J$3,SUMIF('TL15'!$C$10:$C$224,$C86,'TL15'!$J$10:$J$224),0),
IF('TL15'!$B$229=J$3,SUMIF('TL15'!$C$238:$C$451,$C86,'TL15'!$J$238:$J$451),0),
IF('TL16'!$B$3=J$3,SUMIF('TL16'!$C$10:$C$224,$C86,'TL16'!$J$10:$J$224),0),
IF('TL16'!$B$229=J$3,SUMIF('TL16'!$C$238:$C$451,$C86,'TL16'!$J$238:$J$451),0),
IF('TL17'!$B$3=J$3,SUMIF('TL17'!$C$10:$C$224,$C86,'TL17'!$J$10:$J$224),0),
IF('TL17'!$B$229=J$3,SUMIF('TL17'!$C$238:$C$451,$C86,'TL17'!$J$238:$J$451),0),
IF('TL18'!$B$3=J$3,SUMIF('TL18'!$C$10:$C$224,$C86,'TL18'!$J$10:$J$224),0),
IF('TL18'!$B$229=J$3,SUMIF('TL18'!$C$238:$C$451,$C86,'TL18'!$J$238:$J$451),0),
IF('TL19'!$B$3=J$3,SUMIF('TL19'!$C$10:$C$224,$C86,'TL19'!$J$10:$J$224),0),
IF('TL19'!$B$229=J$3,SUMIF('TL19'!$C$238:$C$451,$C86,'TL19'!$J$238:$J$451),0)
),0)</f>
        <v>0</v>
      </c>
      <c r="K86" s="9">
        <f>IFERROR(SUM(
IF('TL01'!$B$3=K$3,SUMIF('TL01'!$C$10:$C$224,$C86,'TL01'!$J$10:$J$224),0),
IF('TL01'!$B$229=K$3,SUMIF('TL01'!$C$238:$C$451,$C86,'TL01'!$J$238:$J$451),0),
IF('TL02'!$B$3=K$3,SUMIF('TL02'!$C$10:$C$224,$C86,'TL02'!$J$10:$J$224),0),
IF('TL02'!$B$229=K$3,SUMIF('TL02'!$C$238:$C$451,$C86,'TL02'!$J$238:$J$451),0),
IF('TL03'!$B$3=K$3,SUMIF('TL03'!$C$10:$C$224,$C86,'TL03'!$J$10:$J$224),0),
IF('TL03'!$B$229=K$3,SUMIF('TL03'!$C$238:$C$451,$C86,'TL03'!$J$238:$J$451),0),
IF('TL04'!$B$3=K$3,SUMIF('TL04'!$C$10:$C$224,$C86,'TL04'!$J$10:$J$224),0),
IF('TL04'!$B$229=K$3,SUMIF('TL04'!$C$238:$C$451,$C86,'TL04'!$J$238:$J$451),0),
IF('TL05'!$B$3=K$3,SUMIF('TL05'!$C$10:$C$224,$C86,'TL05'!$J$10:$J$224),0),
IF('TL05'!$B$229=K$3,SUMIF('TL05'!$C$238:$C$451,$C86,'TL05'!$J$238:$J$451),0),
IF('TL06'!$B$3=K$3,SUMIF('TL06'!$C$10:$C$224,$C86,'TL06'!$J$10:$J$224),0),
IF('TL06'!$B$229=K$3,SUMIF('TL06'!$C$238:$C$451,$C86,'TL06'!$J$238:$J$451),0),
IF('TL07'!$B$3=K$3,SUMIF('TL07'!$C$10:$C$224,$C86,'TL07'!$J$10:$J$224),0),
IF('TL07'!$B$229=K$3,SUMIF('TL07'!$C$238:$C$451,$C86,'TL07'!$J$238:$J$451),0),
IF('TL08'!$B$3=K$3,SUMIF('TL08'!$C$10:$C$224,$C86,'TL08'!$J$10:$J$224),0),
IF('TL08'!$B$229=K$3,SUMIF('TL08'!$C$238:$C$451,$C86,'TL08'!$J$238:$J$451),0),
IF('TL09'!$B$3=K$3,SUMIF('TL09'!$C$10:$C$224,$C86,'TL09'!$J$10:$J$224),0),
IF('TL09'!$B$229=K$3,SUMIF('TL09'!$C$238:$C$451,$C86,'TL09'!$J$238:$J$451),0),
IF('TL10'!$B$3=K$3,SUMIF('TL10'!$C$10:$C$224,$C86,'TL10'!$J$10:$J$224),0),
IF('TL10'!$B$229=K$3,SUMIF('TL10'!$C$238:$C$451,$C86,'TL10'!$J$238:$J$451),0),
IF('TL11'!$B$3=K$3,SUMIF('TL11'!$C$10:$C$224,$C86,'TL11'!$J$10:$J$224),0),
IF('TL11'!$B$229=K$3,SUMIF('TL11'!$C$238:$C$451,$C86,'TL11'!$J$238:$J$451),0),
IF('TL12'!$B$3=K$3,SUMIF('TL12'!$C$10:$C$224,$C86,'TL12'!$J$10:$J$224),0),
IF('TL12'!$B$229=K$3,SUMIF('TL12'!$C$238:$C$451,$C86,'TL12'!$J$238:$J$451),0),
IF('TL13'!$B$3=K$3,SUMIF('TL13'!$C$10:$C$224,$C86,'TL13'!$J$10:$J$224),0),
IF('TL13'!$B$229=K$3,SUMIF('TL13'!$C$238:$C$451,$C86,'TL13'!$J$238:$J$451),0),
IF('TL14'!$B$3=K$3,SUMIF('TL14'!$C$10:$C$224,$C86,'TL14'!$J$10:$J$224),0),
IF('TL14'!$B$229=K$3,SUMIF('TL14'!$C$238:$C$451,$C86,'TL14'!$J$238:$J$451),0),
IF('TL15'!$B$3=K$3,SUMIF('TL15'!$C$10:$C$224,$C86,'TL15'!$J$10:$J$224),0),
IF('TL15'!$B$229=K$3,SUMIF('TL15'!$C$238:$C$451,$C86,'TL15'!$J$238:$J$451),0),
IF('TL16'!$B$3=K$3,SUMIF('TL16'!$C$10:$C$224,$C86,'TL16'!$J$10:$J$224),0),
IF('TL16'!$B$229=K$3,SUMIF('TL16'!$C$238:$C$451,$C86,'TL16'!$J$238:$J$451),0),
IF('TL17'!$B$3=K$3,SUMIF('TL17'!$C$10:$C$224,$C86,'TL17'!$J$10:$J$224),0),
IF('TL17'!$B$229=K$3,SUMIF('TL17'!$C$238:$C$451,$C86,'TL17'!$J$238:$J$451),0),
IF('TL18'!$B$3=K$3,SUMIF('TL18'!$C$10:$C$224,$C86,'TL18'!$J$10:$J$224),0),
IF('TL18'!$B$229=K$3,SUMIF('TL18'!$C$238:$C$451,$C86,'TL18'!$J$238:$J$451),0),
IF('TL19'!$B$3=K$3,SUMIF('TL19'!$C$10:$C$224,$C86,'TL19'!$J$10:$J$224),0),
IF('TL19'!$B$229=K$3,SUMIF('TL19'!$C$238:$C$451,$C86,'TL19'!$J$238:$J$451),0)
),0)</f>
        <v>0</v>
      </c>
      <c r="L86" s="9">
        <f>IFERROR(SUM(
IF('TL01'!$B$3=L$3,SUMIF('TL01'!$C$10:$C$224,$C86,'TL01'!$J$10:$J$224),0),
IF('TL01'!$B$229=L$3,SUMIF('TL01'!$C$238:$C$451,$C86,'TL01'!$J$238:$J$451),0),
IF('TL02'!$B$3=L$3,SUMIF('TL02'!$C$10:$C$224,$C86,'TL02'!$J$10:$J$224),0),
IF('TL02'!$B$229=L$3,SUMIF('TL02'!$C$238:$C$451,$C86,'TL02'!$J$238:$J$451),0),
IF('TL03'!$B$3=L$3,SUMIF('TL03'!$C$10:$C$224,$C86,'TL03'!$J$10:$J$224),0),
IF('TL03'!$B$229=L$3,SUMIF('TL03'!$C$238:$C$451,$C86,'TL03'!$J$238:$J$451),0),
IF('TL04'!$B$3=L$3,SUMIF('TL04'!$C$10:$C$224,$C86,'TL04'!$J$10:$J$224),0),
IF('TL04'!$B$229=L$3,SUMIF('TL04'!$C$238:$C$451,$C86,'TL04'!$J$238:$J$451),0),
IF('TL05'!$B$3=L$3,SUMIF('TL05'!$C$10:$C$224,$C86,'TL05'!$J$10:$J$224),0),
IF('TL05'!$B$229=L$3,SUMIF('TL05'!$C$238:$C$451,$C86,'TL05'!$J$238:$J$451),0),
IF('TL06'!$B$3=L$3,SUMIF('TL06'!$C$10:$C$224,$C86,'TL06'!$J$10:$J$224),0),
IF('TL06'!$B$229=L$3,SUMIF('TL06'!$C$238:$C$451,$C86,'TL06'!$J$238:$J$451),0),
IF('TL07'!$B$3=L$3,SUMIF('TL07'!$C$10:$C$224,$C86,'TL07'!$J$10:$J$224),0),
IF('TL07'!$B$229=L$3,SUMIF('TL07'!$C$238:$C$451,$C86,'TL07'!$J$238:$J$451),0),
IF('TL08'!$B$3=L$3,SUMIF('TL08'!$C$10:$C$224,$C86,'TL08'!$J$10:$J$224),0),
IF('TL08'!$B$229=L$3,SUMIF('TL08'!$C$238:$C$451,$C86,'TL08'!$J$238:$J$451),0),
IF('TL09'!$B$3=L$3,SUMIF('TL09'!$C$10:$C$224,$C86,'TL09'!$J$10:$J$224),0),
IF('TL09'!$B$229=L$3,SUMIF('TL09'!$C$238:$C$451,$C86,'TL09'!$J$238:$J$451),0),
IF('TL10'!$B$3=L$3,SUMIF('TL10'!$C$10:$C$224,$C86,'TL10'!$J$10:$J$224),0),
IF('TL10'!$B$229=L$3,SUMIF('TL10'!$C$238:$C$451,$C86,'TL10'!$J$238:$J$451),0),
IF('TL11'!$B$3=L$3,SUMIF('TL11'!$C$10:$C$224,$C86,'TL11'!$J$10:$J$224),0),
IF('TL11'!$B$229=L$3,SUMIF('TL11'!$C$238:$C$451,$C86,'TL11'!$J$238:$J$451),0),
IF('TL12'!$B$3=L$3,SUMIF('TL12'!$C$10:$C$224,$C86,'TL12'!$J$10:$J$224),0),
IF('TL12'!$B$229=L$3,SUMIF('TL12'!$C$238:$C$451,$C86,'TL12'!$J$238:$J$451),0),
IF('TL13'!$B$3=L$3,SUMIF('TL13'!$C$10:$C$224,$C86,'TL13'!$J$10:$J$224),0),
IF('TL13'!$B$229=L$3,SUMIF('TL13'!$C$238:$C$451,$C86,'TL13'!$J$238:$J$451),0),
IF('TL14'!$B$3=L$3,SUMIF('TL14'!$C$10:$C$224,$C86,'TL14'!$J$10:$J$224),0),
IF('TL14'!$B$229=L$3,SUMIF('TL14'!$C$238:$C$451,$C86,'TL14'!$J$238:$J$451),0),
IF('TL15'!$B$3=L$3,SUMIF('TL15'!$C$10:$C$224,$C86,'TL15'!$J$10:$J$224),0),
IF('TL15'!$B$229=L$3,SUMIF('TL15'!$C$238:$C$451,$C86,'TL15'!$J$238:$J$451),0),
IF('TL16'!$B$3=L$3,SUMIF('TL16'!$C$10:$C$224,$C86,'TL16'!$J$10:$J$224),0),
IF('TL16'!$B$229=L$3,SUMIF('TL16'!$C$238:$C$451,$C86,'TL16'!$J$238:$J$451),0),
IF('TL17'!$B$3=L$3,SUMIF('TL17'!$C$10:$C$224,$C86,'TL17'!$J$10:$J$224),0),
IF('TL17'!$B$229=L$3,SUMIF('TL17'!$C$238:$C$451,$C86,'TL17'!$J$238:$J$451),0),
IF('TL18'!$B$3=L$3,SUMIF('TL18'!$C$10:$C$224,$C86,'TL18'!$J$10:$J$224),0),
IF('TL18'!$B$229=L$3,SUMIF('TL18'!$C$238:$C$451,$C86,'TL18'!$J$238:$J$451),0),
IF('TL19'!$B$3=L$3,SUMIF('TL19'!$C$10:$C$224,$C86,'TL19'!$J$10:$J$224),0),
IF('TL19'!$B$229=L$3,SUMIF('TL19'!$C$238:$C$451,$C86,'TL19'!$J$238:$J$451),0)
),0)</f>
        <v>0</v>
      </c>
      <c r="M86" s="9">
        <f>IFERROR(SUM(
IF('TL01'!$B$3=M$3,SUMIF('TL01'!$C$10:$C$224,$C86,'TL01'!$J$10:$J$224),0),
IF('TL01'!$B$229=M$3,SUMIF('TL01'!$C$238:$C$451,$C86,'TL01'!$J$238:$J$451),0),
IF('TL02'!$B$3=M$3,SUMIF('TL02'!$C$10:$C$224,$C86,'TL02'!$J$10:$J$224),0),
IF('TL02'!$B$229=M$3,SUMIF('TL02'!$C$238:$C$451,$C86,'TL02'!$J$238:$J$451),0),
IF('TL03'!$B$3=M$3,SUMIF('TL03'!$C$10:$C$224,$C86,'TL03'!$J$10:$J$224),0),
IF('TL03'!$B$229=M$3,SUMIF('TL03'!$C$238:$C$451,$C86,'TL03'!$J$238:$J$451),0),
IF('TL04'!$B$3=M$3,SUMIF('TL04'!$C$10:$C$224,$C86,'TL04'!$J$10:$J$224),0),
IF('TL04'!$B$229=M$3,SUMIF('TL04'!$C$238:$C$451,$C86,'TL04'!$J$238:$J$451),0),
IF('TL05'!$B$3=M$3,SUMIF('TL05'!$C$10:$C$224,$C86,'TL05'!$J$10:$J$224),0),
IF('TL05'!$B$229=M$3,SUMIF('TL05'!$C$238:$C$451,$C86,'TL05'!$J$238:$J$451),0),
IF('TL06'!$B$3=M$3,SUMIF('TL06'!$C$10:$C$224,$C86,'TL06'!$J$10:$J$224),0),
IF('TL06'!$B$229=M$3,SUMIF('TL06'!$C$238:$C$451,$C86,'TL06'!$J$238:$J$451),0),
IF('TL07'!$B$3=M$3,SUMIF('TL07'!$C$10:$C$224,$C86,'TL07'!$J$10:$J$224),0),
IF('TL07'!$B$229=M$3,SUMIF('TL07'!$C$238:$C$451,$C86,'TL07'!$J$238:$J$451),0),
IF('TL08'!$B$3=M$3,SUMIF('TL08'!$C$10:$C$224,$C86,'TL08'!$J$10:$J$224),0),
IF('TL08'!$B$229=M$3,SUMIF('TL08'!$C$238:$C$451,$C86,'TL08'!$J$238:$J$451),0),
IF('TL09'!$B$3=M$3,SUMIF('TL09'!$C$10:$C$224,$C86,'TL09'!$J$10:$J$224),0),
IF('TL09'!$B$229=M$3,SUMIF('TL09'!$C$238:$C$451,$C86,'TL09'!$J$238:$J$451),0),
IF('TL10'!$B$3=M$3,SUMIF('TL10'!$C$10:$C$224,$C86,'TL10'!$J$10:$J$224),0),
IF('TL10'!$B$229=M$3,SUMIF('TL10'!$C$238:$C$451,$C86,'TL10'!$J$238:$J$451),0),
IF('TL11'!$B$3=M$3,SUMIF('TL11'!$C$10:$C$224,$C86,'TL11'!$J$10:$J$224),0),
IF('TL11'!$B$229=M$3,SUMIF('TL11'!$C$238:$C$451,$C86,'TL11'!$J$238:$J$451),0),
IF('TL12'!$B$3=M$3,SUMIF('TL12'!$C$10:$C$224,$C86,'TL12'!$J$10:$J$224),0),
IF('TL12'!$B$229=M$3,SUMIF('TL12'!$C$238:$C$451,$C86,'TL12'!$J$238:$J$451),0),
IF('TL13'!$B$3=M$3,SUMIF('TL13'!$C$10:$C$224,$C86,'TL13'!$J$10:$J$224),0),
IF('TL13'!$B$229=M$3,SUMIF('TL13'!$C$238:$C$451,$C86,'TL13'!$J$238:$J$451),0),
IF('TL14'!$B$3=M$3,SUMIF('TL14'!$C$10:$C$224,$C86,'TL14'!$J$10:$J$224),0),
IF('TL14'!$B$229=M$3,SUMIF('TL14'!$C$238:$C$451,$C86,'TL14'!$J$238:$J$451),0),
IF('TL15'!$B$3=M$3,SUMIF('TL15'!$C$10:$C$224,$C86,'TL15'!$J$10:$J$224),0),
IF('TL15'!$B$229=M$3,SUMIF('TL15'!$C$238:$C$451,$C86,'TL15'!$J$238:$J$451),0),
IF('TL16'!$B$3=M$3,SUMIF('TL16'!$C$10:$C$224,$C86,'TL16'!$J$10:$J$224),0),
IF('TL16'!$B$229=M$3,SUMIF('TL16'!$C$238:$C$451,$C86,'TL16'!$J$238:$J$451),0),
IF('TL17'!$B$3=M$3,SUMIF('TL17'!$C$10:$C$224,$C86,'TL17'!$J$10:$J$224),0),
IF('TL17'!$B$229=M$3,SUMIF('TL17'!$C$238:$C$451,$C86,'TL17'!$J$238:$J$451),0),
IF('TL18'!$B$3=M$3,SUMIF('TL18'!$C$10:$C$224,$C86,'TL18'!$J$10:$J$224),0),
IF('TL18'!$B$229=M$3,SUMIF('TL18'!$C$238:$C$451,$C86,'TL18'!$J$238:$J$451),0),
IF('TL19'!$B$3=M$3,SUMIF('TL19'!$C$10:$C$224,$C86,'TL19'!$J$10:$J$224),0),
IF('TL19'!$B$229=M$3,SUMIF('TL19'!$C$238:$C$451,$C86,'TL19'!$J$238:$J$451),0)
),0)</f>
        <v>0</v>
      </c>
      <c r="N86" s="9">
        <f>IFERROR(SUM(
IF('TL01'!$B$3=N$3,SUMIF('TL01'!$C$10:$C$224,$C86,'TL01'!$J$10:$J$224),0),
IF('TL01'!$B$229=N$3,SUMIF('TL01'!$C$238:$C$451,$C86,'TL01'!$J$238:$J$451),0),
IF('TL02'!$B$3=N$3,SUMIF('TL02'!$C$10:$C$224,$C86,'TL02'!$J$10:$J$224),0),
IF('TL02'!$B$229=N$3,SUMIF('TL02'!$C$238:$C$451,$C86,'TL02'!$J$238:$J$451),0),
IF('TL03'!$B$3=N$3,SUMIF('TL03'!$C$10:$C$224,$C86,'TL03'!$J$10:$J$224),0),
IF('TL03'!$B$229=N$3,SUMIF('TL03'!$C$238:$C$451,$C86,'TL03'!$J$238:$J$451),0),
IF('TL04'!$B$3=N$3,SUMIF('TL04'!$C$10:$C$224,$C86,'TL04'!$J$10:$J$224),0),
IF('TL04'!$B$229=N$3,SUMIF('TL04'!$C$238:$C$451,$C86,'TL04'!$J$238:$J$451),0),
IF('TL05'!$B$3=N$3,SUMIF('TL05'!$C$10:$C$224,$C86,'TL05'!$J$10:$J$224),0),
IF('TL05'!$B$229=N$3,SUMIF('TL05'!$C$238:$C$451,$C86,'TL05'!$J$238:$J$451),0),
IF('TL06'!$B$3=N$3,SUMIF('TL06'!$C$10:$C$224,$C86,'TL06'!$J$10:$J$224),0),
IF('TL06'!$B$229=N$3,SUMIF('TL06'!$C$238:$C$451,$C86,'TL06'!$J$238:$J$451),0),
IF('TL07'!$B$3=N$3,SUMIF('TL07'!$C$10:$C$224,$C86,'TL07'!$J$10:$J$224),0),
IF('TL07'!$B$229=N$3,SUMIF('TL07'!$C$238:$C$451,$C86,'TL07'!$J$238:$J$451),0),
IF('TL08'!$B$3=N$3,SUMIF('TL08'!$C$10:$C$224,$C86,'TL08'!$J$10:$J$224),0),
IF('TL08'!$B$229=N$3,SUMIF('TL08'!$C$238:$C$451,$C86,'TL08'!$J$238:$J$451),0),
IF('TL09'!$B$3=N$3,SUMIF('TL09'!$C$10:$C$224,$C86,'TL09'!$J$10:$J$224),0),
IF('TL09'!$B$229=N$3,SUMIF('TL09'!$C$238:$C$451,$C86,'TL09'!$J$238:$J$451),0),
IF('TL10'!$B$3=N$3,SUMIF('TL10'!$C$10:$C$224,$C86,'TL10'!$J$10:$J$224),0),
IF('TL10'!$B$229=N$3,SUMIF('TL10'!$C$238:$C$451,$C86,'TL10'!$J$238:$J$451),0),
IF('TL11'!$B$3=N$3,SUMIF('TL11'!$C$10:$C$224,$C86,'TL11'!$J$10:$J$224),0),
IF('TL11'!$B$229=N$3,SUMIF('TL11'!$C$238:$C$451,$C86,'TL11'!$J$238:$J$451),0),
IF('TL12'!$B$3=N$3,SUMIF('TL12'!$C$10:$C$224,$C86,'TL12'!$J$10:$J$224),0),
IF('TL12'!$B$229=N$3,SUMIF('TL12'!$C$238:$C$451,$C86,'TL12'!$J$238:$J$451),0),
IF('TL13'!$B$3=N$3,SUMIF('TL13'!$C$10:$C$224,$C86,'TL13'!$J$10:$J$224),0),
IF('TL13'!$B$229=N$3,SUMIF('TL13'!$C$238:$C$451,$C86,'TL13'!$J$238:$J$451),0),
IF('TL14'!$B$3=N$3,SUMIF('TL14'!$C$10:$C$224,$C86,'TL14'!$J$10:$J$224),0),
IF('TL14'!$B$229=N$3,SUMIF('TL14'!$C$238:$C$451,$C86,'TL14'!$J$238:$J$451),0),
IF('TL15'!$B$3=N$3,SUMIF('TL15'!$C$10:$C$224,$C86,'TL15'!$J$10:$J$224),0),
IF('TL15'!$B$229=N$3,SUMIF('TL15'!$C$238:$C$451,$C86,'TL15'!$J$238:$J$451),0),
IF('TL16'!$B$3=N$3,SUMIF('TL16'!$C$10:$C$224,$C86,'TL16'!$J$10:$J$224),0),
IF('TL16'!$B$229=N$3,SUMIF('TL16'!$C$238:$C$451,$C86,'TL16'!$J$238:$J$451),0),
IF('TL17'!$B$3=N$3,SUMIF('TL17'!$C$10:$C$224,$C86,'TL17'!$J$10:$J$224),0),
IF('TL17'!$B$229=N$3,SUMIF('TL17'!$C$238:$C$451,$C86,'TL17'!$J$238:$J$451),0),
IF('TL18'!$B$3=N$3,SUMIF('TL18'!$C$10:$C$224,$C86,'TL18'!$J$10:$J$224),0),
IF('TL18'!$B$229=N$3,SUMIF('TL18'!$C$238:$C$451,$C86,'TL18'!$J$238:$J$451),0),
IF('TL19'!$B$3=N$3,SUMIF('TL19'!$C$10:$C$224,$C86,'TL19'!$J$10:$J$224),0),
IF('TL19'!$B$229=N$3,SUMIF('TL19'!$C$238:$C$451,$C86,'TL19'!$J$238:$J$451),0)
),0)</f>
        <v>0</v>
      </c>
      <c r="O86" s="9">
        <f>IFERROR(SUM(
IF('TL01'!$B$3=O$3,SUMIF('TL01'!$C$10:$C$224,$C86,'TL01'!$J$10:$J$224),0),
IF('TL01'!$B$229=O$3,SUMIF('TL01'!$C$238:$C$451,$C86,'TL01'!$J$238:$J$451),0),
IF('TL02'!$B$3=O$3,SUMIF('TL02'!$C$10:$C$224,$C86,'TL02'!$J$10:$J$224),0),
IF('TL02'!$B$229=O$3,SUMIF('TL02'!$C$238:$C$451,$C86,'TL02'!$J$238:$J$451),0),
IF('TL03'!$B$3=O$3,SUMIF('TL03'!$C$10:$C$224,$C86,'TL03'!$J$10:$J$224),0),
IF('TL03'!$B$229=O$3,SUMIF('TL03'!$C$238:$C$451,$C86,'TL03'!$J$238:$J$451),0),
IF('TL04'!$B$3=O$3,SUMIF('TL04'!$C$10:$C$224,$C86,'TL04'!$J$10:$J$224),0),
IF('TL04'!$B$229=O$3,SUMIF('TL04'!$C$238:$C$451,$C86,'TL04'!$J$238:$J$451),0),
IF('TL05'!$B$3=O$3,SUMIF('TL05'!$C$10:$C$224,$C86,'TL05'!$J$10:$J$224),0),
IF('TL05'!$B$229=O$3,SUMIF('TL05'!$C$238:$C$451,$C86,'TL05'!$J$238:$J$451),0),
IF('TL06'!$B$3=O$3,SUMIF('TL06'!$C$10:$C$224,$C86,'TL06'!$J$10:$J$224),0),
IF('TL06'!$B$229=O$3,SUMIF('TL06'!$C$238:$C$451,$C86,'TL06'!$J$238:$J$451),0),
IF('TL07'!$B$3=O$3,SUMIF('TL07'!$C$10:$C$224,$C86,'TL07'!$J$10:$J$224),0),
IF('TL07'!$B$229=O$3,SUMIF('TL07'!$C$238:$C$451,$C86,'TL07'!$J$238:$J$451),0),
IF('TL08'!$B$3=O$3,SUMIF('TL08'!$C$10:$C$224,$C86,'TL08'!$J$10:$J$224),0),
IF('TL08'!$B$229=O$3,SUMIF('TL08'!$C$238:$C$451,$C86,'TL08'!$J$238:$J$451),0),
IF('TL09'!$B$3=O$3,SUMIF('TL09'!$C$10:$C$224,$C86,'TL09'!$J$10:$J$224),0),
IF('TL09'!$B$229=O$3,SUMIF('TL09'!$C$238:$C$451,$C86,'TL09'!$J$238:$J$451),0),
IF('TL10'!$B$3=O$3,SUMIF('TL10'!$C$10:$C$224,$C86,'TL10'!$J$10:$J$224),0),
IF('TL10'!$B$229=O$3,SUMIF('TL10'!$C$238:$C$451,$C86,'TL10'!$J$238:$J$451),0),
IF('TL11'!$B$3=O$3,SUMIF('TL11'!$C$10:$C$224,$C86,'TL11'!$J$10:$J$224),0),
IF('TL11'!$B$229=O$3,SUMIF('TL11'!$C$238:$C$451,$C86,'TL11'!$J$238:$J$451),0),
IF('TL12'!$B$3=O$3,SUMIF('TL12'!$C$10:$C$224,$C86,'TL12'!$J$10:$J$224),0),
IF('TL12'!$B$229=O$3,SUMIF('TL12'!$C$238:$C$451,$C86,'TL12'!$J$238:$J$451),0),
IF('TL13'!$B$3=O$3,SUMIF('TL13'!$C$10:$C$224,$C86,'TL13'!$J$10:$J$224),0),
IF('TL13'!$B$229=O$3,SUMIF('TL13'!$C$238:$C$451,$C86,'TL13'!$J$238:$J$451),0),
IF('TL14'!$B$3=O$3,SUMIF('TL14'!$C$10:$C$224,$C86,'TL14'!$J$10:$J$224),0),
IF('TL14'!$B$229=O$3,SUMIF('TL14'!$C$238:$C$451,$C86,'TL14'!$J$238:$J$451),0),
IF('TL15'!$B$3=O$3,SUMIF('TL15'!$C$10:$C$224,$C86,'TL15'!$J$10:$J$224),0),
IF('TL15'!$B$229=O$3,SUMIF('TL15'!$C$238:$C$451,$C86,'TL15'!$J$238:$J$451),0),
IF('TL16'!$B$3=O$3,SUMIF('TL16'!$C$10:$C$224,$C86,'TL16'!$J$10:$J$224),0),
IF('TL16'!$B$229=O$3,SUMIF('TL16'!$C$238:$C$451,$C86,'TL16'!$J$238:$J$451),0),
IF('TL17'!$B$3=O$3,SUMIF('TL17'!$C$10:$C$224,$C86,'TL17'!$J$10:$J$224),0),
IF('TL17'!$B$229=O$3,SUMIF('TL17'!$C$238:$C$451,$C86,'TL17'!$J$238:$J$451),0),
IF('TL18'!$B$3=O$3,SUMIF('TL18'!$C$10:$C$224,$C86,'TL18'!$J$10:$J$224),0),
IF('TL18'!$B$229=O$3,SUMIF('TL18'!$C$238:$C$451,$C86,'TL18'!$J$238:$J$451),0),
IF('TL19'!$B$3=O$3,SUMIF('TL19'!$C$10:$C$224,$C86,'TL19'!$J$10:$J$224),0),
IF('TL19'!$B$229=O$3,SUMIF('TL19'!$C$238:$C$451,$C86,'TL19'!$J$238:$J$451),0)
),0)</f>
        <v>0</v>
      </c>
      <c r="P86" s="9">
        <f>IFERROR(SUM(
IF('TL01'!$B$3=P$3,SUMIF('TL01'!$C$10:$C$224,$C86,'TL01'!$J$10:$J$224),0),
IF('TL01'!$B$229=P$3,SUMIF('TL01'!$C$238:$C$451,$C86,'TL01'!$J$238:$J$451),0),
IF('TL02'!$B$3=P$3,SUMIF('TL02'!$C$10:$C$224,$C86,'TL02'!$J$10:$J$224),0),
IF('TL02'!$B$229=P$3,SUMIF('TL02'!$C$238:$C$451,$C86,'TL02'!$J$238:$J$451),0),
IF('TL03'!$B$3=P$3,SUMIF('TL03'!$C$10:$C$224,$C86,'TL03'!$J$10:$J$224),0),
IF('TL03'!$B$229=P$3,SUMIF('TL03'!$C$238:$C$451,$C86,'TL03'!$J$238:$J$451),0),
IF('TL04'!$B$3=P$3,SUMIF('TL04'!$C$10:$C$224,$C86,'TL04'!$J$10:$J$224),0),
IF('TL04'!$B$229=P$3,SUMIF('TL04'!$C$238:$C$451,$C86,'TL04'!$J$238:$J$451),0),
IF('TL05'!$B$3=P$3,SUMIF('TL05'!$C$10:$C$224,$C86,'TL05'!$J$10:$J$224),0),
IF('TL05'!$B$229=P$3,SUMIF('TL05'!$C$238:$C$451,$C86,'TL05'!$J$238:$J$451),0),
IF('TL06'!$B$3=P$3,SUMIF('TL06'!$C$10:$C$224,$C86,'TL06'!$J$10:$J$224),0),
IF('TL06'!$B$229=P$3,SUMIF('TL06'!$C$238:$C$451,$C86,'TL06'!$J$238:$J$451),0),
IF('TL07'!$B$3=P$3,SUMIF('TL07'!$C$10:$C$224,$C86,'TL07'!$J$10:$J$224),0),
IF('TL07'!$B$229=P$3,SUMIF('TL07'!$C$238:$C$451,$C86,'TL07'!$J$238:$J$451),0),
IF('TL08'!$B$3=P$3,SUMIF('TL08'!$C$10:$C$224,$C86,'TL08'!$J$10:$J$224),0),
IF('TL08'!$B$229=P$3,SUMIF('TL08'!$C$238:$C$451,$C86,'TL08'!$J$238:$J$451),0),
IF('TL09'!$B$3=P$3,SUMIF('TL09'!$C$10:$C$224,$C86,'TL09'!$J$10:$J$224),0),
IF('TL09'!$B$229=P$3,SUMIF('TL09'!$C$238:$C$451,$C86,'TL09'!$J$238:$J$451),0),
IF('TL10'!$B$3=P$3,SUMIF('TL10'!$C$10:$C$224,$C86,'TL10'!$J$10:$J$224),0),
IF('TL10'!$B$229=P$3,SUMIF('TL10'!$C$238:$C$451,$C86,'TL10'!$J$238:$J$451),0),
IF('TL11'!$B$3=P$3,SUMIF('TL11'!$C$10:$C$224,$C86,'TL11'!$J$10:$J$224),0),
IF('TL11'!$B$229=P$3,SUMIF('TL11'!$C$238:$C$451,$C86,'TL11'!$J$238:$J$451),0),
IF('TL12'!$B$3=P$3,SUMIF('TL12'!$C$10:$C$224,$C86,'TL12'!$J$10:$J$224),0),
IF('TL12'!$B$229=P$3,SUMIF('TL12'!$C$238:$C$451,$C86,'TL12'!$J$238:$J$451),0),
IF('TL13'!$B$3=P$3,SUMIF('TL13'!$C$10:$C$224,$C86,'TL13'!$J$10:$J$224),0),
IF('TL13'!$B$229=P$3,SUMIF('TL13'!$C$238:$C$451,$C86,'TL13'!$J$238:$J$451),0),
IF('TL14'!$B$3=P$3,SUMIF('TL14'!$C$10:$C$224,$C86,'TL14'!$J$10:$J$224),0),
IF('TL14'!$B$229=P$3,SUMIF('TL14'!$C$238:$C$451,$C86,'TL14'!$J$238:$J$451),0),
IF('TL15'!$B$3=P$3,SUMIF('TL15'!$C$10:$C$224,$C86,'TL15'!$J$10:$J$224),0),
IF('TL15'!$B$229=P$3,SUMIF('TL15'!$C$238:$C$451,$C86,'TL15'!$J$238:$J$451),0),
IF('TL16'!$B$3=P$3,SUMIF('TL16'!$C$10:$C$224,$C86,'TL16'!$J$10:$J$224),0),
IF('TL16'!$B$229=P$3,SUMIF('TL16'!$C$238:$C$451,$C86,'TL16'!$J$238:$J$451),0),
IF('TL17'!$B$3=P$3,SUMIF('TL17'!$C$10:$C$224,$C86,'TL17'!$J$10:$J$224),0),
IF('TL17'!$B$229=P$3,SUMIF('TL17'!$C$238:$C$451,$C86,'TL17'!$J$238:$J$451),0),
IF('TL18'!$B$3=P$3,SUMIF('TL18'!$C$10:$C$224,$C86,'TL18'!$J$10:$J$224),0),
IF('TL18'!$B$229=P$3,SUMIF('TL18'!$C$238:$C$451,$C86,'TL18'!$J$238:$J$451),0),
IF('TL19'!$B$3=P$3,SUMIF('TL19'!$C$10:$C$224,$C86,'TL19'!$J$10:$J$224),0),
IF('TL19'!$B$229=P$3,SUMIF('TL19'!$C$238:$C$451,$C86,'TL19'!$J$238:$J$451),0)
),0)</f>
        <v>0</v>
      </c>
      <c r="Q86" s="9">
        <f>IFERROR(SUM(
IF('TL01'!$B$3=Q$3,SUMIF('TL01'!$C$10:$C$224,$C86,'TL01'!$J$10:$J$224),0),
IF('TL01'!$B$229=Q$3,SUMIF('TL01'!$C$238:$C$451,$C86,'TL01'!$J$238:$J$451),0),
IF('TL02'!$B$3=Q$3,SUMIF('TL02'!$C$10:$C$224,$C86,'TL02'!$J$10:$J$224),0),
IF('TL02'!$B$229=Q$3,SUMIF('TL02'!$C$238:$C$451,$C86,'TL02'!$J$238:$J$451),0),
IF('TL03'!$B$3=Q$3,SUMIF('TL03'!$C$10:$C$224,$C86,'TL03'!$J$10:$J$224),0),
IF('TL03'!$B$229=Q$3,SUMIF('TL03'!$C$238:$C$451,$C86,'TL03'!$J$238:$J$451),0),
IF('TL04'!$B$3=Q$3,SUMIF('TL04'!$C$10:$C$224,$C86,'TL04'!$J$10:$J$224),0),
IF('TL04'!$B$229=Q$3,SUMIF('TL04'!$C$238:$C$451,$C86,'TL04'!$J$238:$J$451),0),
IF('TL05'!$B$3=Q$3,SUMIF('TL05'!$C$10:$C$224,$C86,'TL05'!$J$10:$J$224),0),
IF('TL05'!$B$229=Q$3,SUMIF('TL05'!$C$238:$C$451,$C86,'TL05'!$J$238:$J$451),0),
IF('TL06'!$B$3=Q$3,SUMIF('TL06'!$C$10:$C$224,$C86,'TL06'!$J$10:$J$224),0),
IF('TL06'!$B$229=Q$3,SUMIF('TL06'!$C$238:$C$451,$C86,'TL06'!$J$238:$J$451),0),
IF('TL07'!$B$3=Q$3,SUMIF('TL07'!$C$10:$C$224,$C86,'TL07'!$J$10:$J$224),0),
IF('TL07'!$B$229=Q$3,SUMIF('TL07'!$C$238:$C$451,$C86,'TL07'!$J$238:$J$451),0),
IF('TL08'!$B$3=Q$3,SUMIF('TL08'!$C$10:$C$224,$C86,'TL08'!$J$10:$J$224),0),
IF('TL08'!$B$229=Q$3,SUMIF('TL08'!$C$238:$C$451,$C86,'TL08'!$J$238:$J$451),0),
IF('TL09'!$B$3=Q$3,SUMIF('TL09'!$C$10:$C$224,$C86,'TL09'!$J$10:$J$224),0),
IF('TL09'!$B$229=Q$3,SUMIF('TL09'!$C$238:$C$451,$C86,'TL09'!$J$238:$J$451),0),
IF('TL10'!$B$3=Q$3,SUMIF('TL10'!$C$10:$C$224,$C86,'TL10'!$J$10:$J$224),0),
IF('TL10'!$B$229=Q$3,SUMIF('TL10'!$C$238:$C$451,$C86,'TL10'!$J$238:$J$451),0),
IF('TL11'!$B$3=Q$3,SUMIF('TL11'!$C$10:$C$224,$C86,'TL11'!$J$10:$J$224),0),
IF('TL11'!$B$229=Q$3,SUMIF('TL11'!$C$238:$C$451,$C86,'TL11'!$J$238:$J$451),0),
IF('TL12'!$B$3=Q$3,SUMIF('TL12'!$C$10:$C$224,$C86,'TL12'!$J$10:$J$224),0),
IF('TL12'!$B$229=Q$3,SUMIF('TL12'!$C$238:$C$451,$C86,'TL12'!$J$238:$J$451),0),
IF('TL13'!$B$3=Q$3,SUMIF('TL13'!$C$10:$C$224,$C86,'TL13'!$J$10:$J$224),0),
IF('TL13'!$B$229=Q$3,SUMIF('TL13'!$C$238:$C$451,$C86,'TL13'!$J$238:$J$451),0),
IF('TL14'!$B$3=Q$3,SUMIF('TL14'!$C$10:$C$224,$C86,'TL14'!$J$10:$J$224),0),
IF('TL14'!$B$229=Q$3,SUMIF('TL14'!$C$238:$C$451,$C86,'TL14'!$J$238:$J$451),0),
IF('TL15'!$B$3=Q$3,SUMIF('TL15'!$C$10:$C$224,$C86,'TL15'!$J$10:$J$224),0),
IF('TL15'!$B$229=Q$3,SUMIF('TL15'!$C$238:$C$451,$C86,'TL15'!$J$238:$J$451),0),
IF('TL16'!$B$3=Q$3,SUMIF('TL16'!$C$10:$C$224,$C86,'TL16'!$J$10:$J$224),0),
IF('TL16'!$B$229=Q$3,SUMIF('TL16'!$C$238:$C$451,$C86,'TL16'!$J$238:$J$451),0),
IF('TL17'!$B$3=Q$3,SUMIF('TL17'!$C$10:$C$224,$C86,'TL17'!$J$10:$J$224),0),
IF('TL17'!$B$229=Q$3,SUMIF('TL17'!$C$238:$C$451,$C86,'TL17'!$J$238:$J$451),0),
IF('TL18'!$B$3=Q$3,SUMIF('TL18'!$C$10:$C$224,$C86,'TL18'!$J$10:$J$224),0),
IF('TL18'!$B$229=Q$3,SUMIF('TL18'!$C$238:$C$451,$C86,'TL18'!$J$238:$J$451),0),
IF('TL19'!$B$3=Q$3,SUMIF('TL19'!$C$10:$C$224,$C86,'TL19'!$J$10:$J$224),0),
IF('TL19'!$B$229=Q$3,SUMIF('TL19'!$C$238:$C$451,$C86,'TL19'!$J$238:$J$451),0)
),0)</f>
        <v>0</v>
      </c>
      <c r="R86" s="9">
        <f>IFERROR(
SUM(
SUMIF('TL01'!C:C,C86,'TL01'!J:J),
SUMIF('TL02'!C:C,C86,'TL02'!J:J),
SUMIF('TL03'!C:C,C86,'TL03'!J:J),
SUMIF('TL04'!C:C,C86,'TL04'!J:J),
SUMIF('TL05'!C:C,C86,'TL05'!J:J),
SUMIF('TL06'!C:C,C86,'TL06'!J:J),
SUMIF('TL07'!C:C,C86,'TL07'!J:J),
SUMIF('TL08'!C:C,C86,'TL08'!J:J),
SUMIF('TL09'!C:C,C86,'TL09'!J:J),
SUMIF('TL10'!C:C,C86,'TL10'!J:J),
SUMIF('TL11'!C:C,C86,'TL11'!J:J),
SUMIF('TL12'!C:C,C86,'TL12'!J:J),
SUMIF('TL13'!C:C,C86,'TL13'!J:J),
SUMIF('TL14'!C:C,C86,'TL14'!J:J),
SUMIF('TL15'!C:C,C86,'TL15'!J:J),
SUMIF('TL16'!C:C,C86,'TL16'!J:J),
SUMIF('TL17'!C:C,C86,'TL17'!J:J),
SUMIF('TL18'!C:C,C86,'TL18'!J:J),SUMIF('TL19'!C:C,C86,'TL19'!J:J))
,0)</f>
        <v>0</v>
      </c>
      <c r="S86" s="17">
        <f>IFERROR(__xludf.DUMMYFUNCTION("IFERROR(VLOOKUP(C86,
IMPORTRANGE(""1wULbzX32WdYsx-lj2U3uUNBBe2INVIRDtcK0d-Dvl90"",
""26-27!C:G""),
5,
FALSE),
"""")"),172.99008000000003)</f>
        <v>172.99008</v>
      </c>
      <c r="T86" s="9"/>
      <c r="U86" s="92">
        <f t="shared" si="2"/>
        <v>0</v>
      </c>
      <c r="V86" s="93">
        <f t="shared" si="3"/>
        <v>0</v>
      </c>
    </row>
    <row r="87" ht="15.75" hidden="1" customHeight="1">
      <c r="A87" s="111" t="s">
        <v>356</v>
      </c>
      <c r="B87" s="112" t="s">
        <v>0</v>
      </c>
      <c r="C87" s="113" t="s">
        <v>560</v>
      </c>
      <c r="D87" s="113" t="s">
        <v>561</v>
      </c>
      <c r="E87" s="113">
        <v>500.0</v>
      </c>
      <c r="F87" s="4" t="s">
        <v>343</v>
      </c>
      <c r="G87" s="90" t="str">
        <f t="shared" si="4"/>
        <v>📄 Ver bula</v>
      </c>
      <c r="H87" s="9">
        <f>IFERROR(__xludf.DUMMYFUNCTION("IFERROR(VLOOKUP(C87,
IMPORTRANGE(""1wULbzX32WdYsx-lj2U3uUNBBe2INVIRDtcK0d-Dvl90"",
""26-27!C:K""),
8,
FALSE),
"""")"),1.0)</f>
        <v>1</v>
      </c>
      <c r="I87" s="114" t="s">
        <v>552</v>
      </c>
      <c r="J87" s="9">
        <f>IFERROR(SUM(
IF('TL01'!$B$3=J$3,SUMIF('TL01'!$C$10:$C$224,$C87,'TL01'!$J$10:$J$224),0),
IF('TL01'!$B$229=J$3,SUMIF('TL01'!$C$238:$C$451,$C87,'TL01'!$J$238:$J$451),0),
IF('TL02'!$B$3=J$3,SUMIF('TL02'!$C$10:$C$224,$C87,'TL02'!$J$10:$J$224),0),
IF('TL02'!$B$229=J$3,SUMIF('TL02'!$C$238:$C$451,$C87,'TL02'!$J$238:$J$451),0),
IF('TL03'!$B$3=J$3,SUMIF('TL03'!$C$10:$C$224,$C87,'TL03'!$J$10:$J$224),0),
IF('TL03'!$B$229=J$3,SUMIF('TL03'!$C$238:$C$451,$C87,'TL03'!$J$238:$J$451),0),
IF('TL04'!$B$3=J$3,SUMIF('TL04'!$C$10:$C$224,$C87,'TL04'!$J$10:$J$224),0),
IF('TL04'!$B$229=J$3,SUMIF('TL04'!$C$238:$C$451,$C87,'TL04'!$J$238:$J$451),0),
IF('TL05'!$B$3=J$3,SUMIF('TL05'!$C$10:$C$224,$C87,'TL05'!$J$10:$J$224),0),
IF('TL05'!$B$229=J$3,SUMIF('TL05'!$C$238:$C$451,$C87,'TL05'!$J$238:$J$451),0),
IF('TL06'!$B$3=J$3,SUMIF('TL06'!$C$10:$C$224,$C87,'TL06'!$J$10:$J$224),0),
IF('TL06'!$B$229=J$3,SUMIF('TL06'!$C$238:$C$451,$C87,'TL06'!$J$238:$J$451),0),
IF('TL07'!$B$3=J$3,SUMIF('TL07'!$C$10:$C$224,$C87,'TL07'!$J$10:$J$224),0),
IF('TL07'!$B$229=J$3,SUMIF('TL07'!$C$238:$C$451,$C87,'TL07'!$J$238:$J$451),0),
IF('TL08'!$B$3=J$3,SUMIF('TL08'!$C$10:$C$224,$C87,'TL08'!$J$10:$J$224),0),
IF('TL08'!$B$229=J$3,SUMIF('TL08'!$C$238:$C$451,$C87,'TL08'!$J$238:$J$451),0),
IF('TL09'!$B$3=J$3,SUMIF('TL09'!$C$10:$C$224,$C87,'TL09'!$J$10:$J$224),0),
IF('TL09'!$B$229=J$3,SUMIF('TL09'!$C$238:$C$451,$C87,'TL09'!$J$238:$J$451),0),
IF('TL10'!$B$3=J$3,SUMIF('TL10'!$C$10:$C$224,$C87,'TL10'!$J$10:$J$224),0),
IF('TL10'!$B$229=J$3,SUMIF('TL10'!$C$238:$C$451,$C87,'TL10'!$J$238:$J$451),0),
IF('TL11'!$B$3=J$3,SUMIF('TL11'!$C$10:$C$224,$C87,'TL11'!$J$10:$J$224),0),
IF('TL11'!$B$229=J$3,SUMIF('TL11'!$C$238:$C$451,$C87,'TL11'!$J$238:$J$451),0),
IF('TL12'!$B$3=J$3,SUMIF('TL12'!$C$10:$C$224,$C87,'TL12'!$J$10:$J$224),0),
IF('TL12'!$B$229=J$3,SUMIF('TL12'!$C$238:$C$451,$C87,'TL12'!$J$238:$J$451),0),
IF('TL13'!$B$3=J$3,SUMIF('TL13'!$C$10:$C$224,$C87,'TL13'!$J$10:$J$224),0),
IF('TL13'!$B$229=J$3,SUMIF('TL13'!$C$238:$C$451,$C87,'TL13'!$J$238:$J$451),0),
IF('TL14'!$B$3=J$3,SUMIF('TL14'!$C$10:$C$224,$C87,'TL14'!$J$10:$J$224),0),
IF('TL14'!$B$229=J$3,SUMIF('TL14'!$C$238:$C$451,$C87,'TL14'!$J$238:$J$451),0),
IF('TL15'!$B$3=J$3,SUMIF('TL15'!$C$10:$C$224,$C87,'TL15'!$J$10:$J$224),0),
IF('TL15'!$B$229=J$3,SUMIF('TL15'!$C$238:$C$451,$C87,'TL15'!$J$238:$J$451),0),
IF('TL16'!$B$3=J$3,SUMIF('TL16'!$C$10:$C$224,$C87,'TL16'!$J$10:$J$224),0),
IF('TL16'!$B$229=J$3,SUMIF('TL16'!$C$238:$C$451,$C87,'TL16'!$J$238:$J$451),0),
IF('TL17'!$B$3=J$3,SUMIF('TL17'!$C$10:$C$224,$C87,'TL17'!$J$10:$J$224),0),
IF('TL17'!$B$229=J$3,SUMIF('TL17'!$C$238:$C$451,$C87,'TL17'!$J$238:$J$451),0),
IF('TL18'!$B$3=J$3,SUMIF('TL18'!$C$10:$C$224,$C87,'TL18'!$J$10:$J$224),0),
IF('TL18'!$B$229=J$3,SUMIF('TL18'!$C$238:$C$451,$C87,'TL18'!$J$238:$J$451),0),
IF('TL19'!$B$3=J$3,SUMIF('TL19'!$C$10:$C$224,$C87,'TL19'!$J$10:$J$224),0),
IF('TL19'!$B$229=J$3,SUMIF('TL19'!$C$238:$C$451,$C87,'TL19'!$J$238:$J$451),0)
),0)</f>
        <v>0</v>
      </c>
      <c r="K87" s="9">
        <f>IFERROR(SUM(
IF('TL01'!$B$3=K$3,SUMIF('TL01'!$C$10:$C$224,$C87,'TL01'!$J$10:$J$224),0),
IF('TL01'!$B$229=K$3,SUMIF('TL01'!$C$238:$C$451,$C87,'TL01'!$J$238:$J$451),0),
IF('TL02'!$B$3=K$3,SUMIF('TL02'!$C$10:$C$224,$C87,'TL02'!$J$10:$J$224),0),
IF('TL02'!$B$229=K$3,SUMIF('TL02'!$C$238:$C$451,$C87,'TL02'!$J$238:$J$451),0),
IF('TL03'!$B$3=K$3,SUMIF('TL03'!$C$10:$C$224,$C87,'TL03'!$J$10:$J$224),0),
IF('TL03'!$B$229=K$3,SUMIF('TL03'!$C$238:$C$451,$C87,'TL03'!$J$238:$J$451),0),
IF('TL04'!$B$3=K$3,SUMIF('TL04'!$C$10:$C$224,$C87,'TL04'!$J$10:$J$224),0),
IF('TL04'!$B$229=K$3,SUMIF('TL04'!$C$238:$C$451,$C87,'TL04'!$J$238:$J$451),0),
IF('TL05'!$B$3=K$3,SUMIF('TL05'!$C$10:$C$224,$C87,'TL05'!$J$10:$J$224),0),
IF('TL05'!$B$229=K$3,SUMIF('TL05'!$C$238:$C$451,$C87,'TL05'!$J$238:$J$451),0),
IF('TL06'!$B$3=K$3,SUMIF('TL06'!$C$10:$C$224,$C87,'TL06'!$J$10:$J$224),0),
IF('TL06'!$B$229=K$3,SUMIF('TL06'!$C$238:$C$451,$C87,'TL06'!$J$238:$J$451),0),
IF('TL07'!$B$3=K$3,SUMIF('TL07'!$C$10:$C$224,$C87,'TL07'!$J$10:$J$224),0),
IF('TL07'!$B$229=K$3,SUMIF('TL07'!$C$238:$C$451,$C87,'TL07'!$J$238:$J$451),0),
IF('TL08'!$B$3=K$3,SUMIF('TL08'!$C$10:$C$224,$C87,'TL08'!$J$10:$J$224),0),
IF('TL08'!$B$229=K$3,SUMIF('TL08'!$C$238:$C$451,$C87,'TL08'!$J$238:$J$451),0),
IF('TL09'!$B$3=K$3,SUMIF('TL09'!$C$10:$C$224,$C87,'TL09'!$J$10:$J$224),0),
IF('TL09'!$B$229=K$3,SUMIF('TL09'!$C$238:$C$451,$C87,'TL09'!$J$238:$J$451),0),
IF('TL10'!$B$3=K$3,SUMIF('TL10'!$C$10:$C$224,$C87,'TL10'!$J$10:$J$224),0),
IF('TL10'!$B$229=K$3,SUMIF('TL10'!$C$238:$C$451,$C87,'TL10'!$J$238:$J$451),0),
IF('TL11'!$B$3=K$3,SUMIF('TL11'!$C$10:$C$224,$C87,'TL11'!$J$10:$J$224),0),
IF('TL11'!$B$229=K$3,SUMIF('TL11'!$C$238:$C$451,$C87,'TL11'!$J$238:$J$451),0),
IF('TL12'!$B$3=K$3,SUMIF('TL12'!$C$10:$C$224,$C87,'TL12'!$J$10:$J$224),0),
IF('TL12'!$B$229=K$3,SUMIF('TL12'!$C$238:$C$451,$C87,'TL12'!$J$238:$J$451),0),
IF('TL13'!$B$3=K$3,SUMIF('TL13'!$C$10:$C$224,$C87,'TL13'!$J$10:$J$224),0),
IF('TL13'!$B$229=K$3,SUMIF('TL13'!$C$238:$C$451,$C87,'TL13'!$J$238:$J$451),0),
IF('TL14'!$B$3=K$3,SUMIF('TL14'!$C$10:$C$224,$C87,'TL14'!$J$10:$J$224),0),
IF('TL14'!$B$229=K$3,SUMIF('TL14'!$C$238:$C$451,$C87,'TL14'!$J$238:$J$451),0),
IF('TL15'!$B$3=K$3,SUMIF('TL15'!$C$10:$C$224,$C87,'TL15'!$J$10:$J$224),0),
IF('TL15'!$B$229=K$3,SUMIF('TL15'!$C$238:$C$451,$C87,'TL15'!$J$238:$J$451),0),
IF('TL16'!$B$3=K$3,SUMIF('TL16'!$C$10:$C$224,$C87,'TL16'!$J$10:$J$224),0),
IF('TL16'!$B$229=K$3,SUMIF('TL16'!$C$238:$C$451,$C87,'TL16'!$J$238:$J$451),0),
IF('TL17'!$B$3=K$3,SUMIF('TL17'!$C$10:$C$224,$C87,'TL17'!$J$10:$J$224),0),
IF('TL17'!$B$229=K$3,SUMIF('TL17'!$C$238:$C$451,$C87,'TL17'!$J$238:$J$451),0),
IF('TL18'!$B$3=K$3,SUMIF('TL18'!$C$10:$C$224,$C87,'TL18'!$J$10:$J$224),0),
IF('TL18'!$B$229=K$3,SUMIF('TL18'!$C$238:$C$451,$C87,'TL18'!$J$238:$J$451),0),
IF('TL19'!$B$3=K$3,SUMIF('TL19'!$C$10:$C$224,$C87,'TL19'!$J$10:$J$224),0),
IF('TL19'!$B$229=K$3,SUMIF('TL19'!$C$238:$C$451,$C87,'TL19'!$J$238:$J$451),0)
),0)</f>
        <v>0</v>
      </c>
      <c r="L87" s="9">
        <f>IFERROR(SUM(
IF('TL01'!$B$3=L$3,SUMIF('TL01'!$C$10:$C$224,$C87,'TL01'!$J$10:$J$224),0),
IF('TL01'!$B$229=L$3,SUMIF('TL01'!$C$238:$C$451,$C87,'TL01'!$J$238:$J$451),0),
IF('TL02'!$B$3=L$3,SUMIF('TL02'!$C$10:$C$224,$C87,'TL02'!$J$10:$J$224),0),
IF('TL02'!$B$229=L$3,SUMIF('TL02'!$C$238:$C$451,$C87,'TL02'!$J$238:$J$451),0),
IF('TL03'!$B$3=L$3,SUMIF('TL03'!$C$10:$C$224,$C87,'TL03'!$J$10:$J$224),0),
IF('TL03'!$B$229=L$3,SUMIF('TL03'!$C$238:$C$451,$C87,'TL03'!$J$238:$J$451),0),
IF('TL04'!$B$3=L$3,SUMIF('TL04'!$C$10:$C$224,$C87,'TL04'!$J$10:$J$224),0),
IF('TL04'!$B$229=L$3,SUMIF('TL04'!$C$238:$C$451,$C87,'TL04'!$J$238:$J$451),0),
IF('TL05'!$B$3=L$3,SUMIF('TL05'!$C$10:$C$224,$C87,'TL05'!$J$10:$J$224),0),
IF('TL05'!$B$229=L$3,SUMIF('TL05'!$C$238:$C$451,$C87,'TL05'!$J$238:$J$451),0),
IF('TL06'!$B$3=L$3,SUMIF('TL06'!$C$10:$C$224,$C87,'TL06'!$J$10:$J$224),0),
IF('TL06'!$B$229=L$3,SUMIF('TL06'!$C$238:$C$451,$C87,'TL06'!$J$238:$J$451),0),
IF('TL07'!$B$3=L$3,SUMIF('TL07'!$C$10:$C$224,$C87,'TL07'!$J$10:$J$224),0),
IF('TL07'!$B$229=L$3,SUMIF('TL07'!$C$238:$C$451,$C87,'TL07'!$J$238:$J$451),0),
IF('TL08'!$B$3=L$3,SUMIF('TL08'!$C$10:$C$224,$C87,'TL08'!$J$10:$J$224),0),
IF('TL08'!$B$229=L$3,SUMIF('TL08'!$C$238:$C$451,$C87,'TL08'!$J$238:$J$451),0),
IF('TL09'!$B$3=L$3,SUMIF('TL09'!$C$10:$C$224,$C87,'TL09'!$J$10:$J$224),0),
IF('TL09'!$B$229=L$3,SUMIF('TL09'!$C$238:$C$451,$C87,'TL09'!$J$238:$J$451),0),
IF('TL10'!$B$3=L$3,SUMIF('TL10'!$C$10:$C$224,$C87,'TL10'!$J$10:$J$224),0),
IF('TL10'!$B$229=L$3,SUMIF('TL10'!$C$238:$C$451,$C87,'TL10'!$J$238:$J$451),0),
IF('TL11'!$B$3=L$3,SUMIF('TL11'!$C$10:$C$224,$C87,'TL11'!$J$10:$J$224),0),
IF('TL11'!$B$229=L$3,SUMIF('TL11'!$C$238:$C$451,$C87,'TL11'!$J$238:$J$451),0),
IF('TL12'!$B$3=L$3,SUMIF('TL12'!$C$10:$C$224,$C87,'TL12'!$J$10:$J$224),0),
IF('TL12'!$B$229=L$3,SUMIF('TL12'!$C$238:$C$451,$C87,'TL12'!$J$238:$J$451),0),
IF('TL13'!$B$3=L$3,SUMIF('TL13'!$C$10:$C$224,$C87,'TL13'!$J$10:$J$224),0),
IF('TL13'!$B$229=L$3,SUMIF('TL13'!$C$238:$C$451,$C87,'TL13'!$J$238:$J$451),0),
IF('TL14'!$B$3=L$3,SUMIF('TL14'!$C$10:$C$224,$C87,'TL14'!$J$10:$J$224),0),
IF('TL14'!$B$229=L$3,SUMIF('TL14'!$C$238:$C$451,$C87,'TL14'!$J$238:$J$451),0),
IF('TL15'!$B$3=L$3,SUMIF('TL15'!$C$10:$C$224,$C87,'TL15'!$J$10:$J$224),0),
IF('TL15'!$B$229=L$3,SUMIF('TL15'!$C$238:$C$451,$C87,'TL15'!$J$238:$J$451),0),
IF('TL16'!$B$3=L$3,SUMIF('TL16'!$C$10:$C$224,$C87,'TL16'!$J$10:$J$224),0),
IF('TL16'!$B$229=L$3,SUMIF('TL16'!$C$238:$C$451,$C87,'TL16'!$J$238:$J$451),0),
IF('TL17'!$B$3=L$3,SUMIF('TL17'!$C$10:$C$224,$C87,'TL17'!$J$10:$J$224),0),
IF('TL17'!$B$229=L$3,SUMIF('TL17'!$C$238:$C$451,$C87,'TL17'!$J$238:$J$451),0),
IF('TL18'!$B$3=L$3,SUMIF('TL18'!$C$10:$C$224,$C87,'TL18'!$J$10:$J$224),0),
IF('TL18'!$B$229=L$3,SUMIF('TL18'!$C$238:$C$451,$C87,'TL18'!$J$238:$J$451),0),
IF('TL19'!$B$3=L$3,SUMIF('TL19'!$C$10:$C$224,$C87,'TL19'!$J$10:$J$224),0),
IF('TL19'!$B$229=L$3,SUMIF('TL19'!$C$238:$C$451,$C87,'TL19'!$J$238:$J$451),0)
),0)</f>
        <v>0</v>
      </c>
      <c r="M87" s="9">
        <f>IFERROR(SUM(
IF('TL01'!$B$3=M$3,SUMIF('TL01'!$C$10:$C$224,$C87,'TL01'!$J$10:$J$224),0),
IF('TL01'!$B$229=M$3,SUMIF('TL01'!$C$238:$C$451,$C87,'TL01'!$J$238:$J$451),0),
IF('TL02'!$B$3=M$3,SUMIF('TL02'!$C$10:$C$224,$C87,'TL02'!$J$10:$J$224),0),
IF('TL02'!$B$229=M$3,SUMIF('TL02'!$C$238:$C$451,$C87,'TL02'!$J$238:$J$451),0),
IF('TL03'!$B$3=M$3,SUMIF('TL03'!$C$10:$C$224,$C87,'TL03'!$J$10:$J$224),0),
IF('TL03'!$B$229=M$3,SUMIF('TL03'!$C$238:$C$451,$C87,'TL03'!$J$238:$J$451),0),
IF('TL04'!$B$3=M$3,SUMIF('TL04'!$C$10:$C$224,$C87,'TL04'!$J$10:$J$224),0),
IF('TL04'!$B$229=M$3,SUMIF('TL04'!$C$238:$C$451,$C87,'TL04'!$J$238:$J$451),0),
IF('TL05'!$B$3=M$3,SUMIF('TL05'!$C$10:$C$224,$C87,'TL05'!$J$10:$J$224),0),
IF('TL05'!$B$229=M$3,SUMIF('TL05'!$C$238:$C$451,$C87,'TL05'!$J$238:$J$451),0),
IF('TL06'!$B$3=M$3,SUMIF('TL06'!$C$10:$C$224,$C87,'TL06'!$J$10:$J$224),0),
IF('TL06'!$B$229=M$3,SUMIF('TL06'!$C$238:$C$451,$C87,'TL06'!$J$238:$J$451),0),
IF('TL07'!$B$3=M$3,SUMIF('TL07'!$C$10:$C$224,$C87,'TL07'!$J$10:$J$224),0),
IF('TL07'!$B$229=M$3,SUMIF('TL07'!$C$238:$C$451,$C87,'TL07'!$J$238:$J$451),0),
IF('TL08'!$B$3=M$3,SUMIF('TL08'!$C$10:$C$224,$C87,'TL08'!$J$10:$J$224),0),
IF('TL08'!$B$229=M$3,SUMIF('TL08'!$C$238:$C$451,$C87,'TL08'!$J$238:$J$451),0),
IF('TL09'!$B$3=M$3,SUMIF('TL09'!$C$10:$C$224,$C87,'TL09'!$J$10:$J$224),0),
IF('TL09'!$B$229=M$3,SUMIF('TL09'!$C$238:$C$451,$C87,'TL09'!$J$238:$J$451),0),
IF('TL10'!$B$3=M$3,SUMIF('TL10'!$C$10:$C$224,$C87,'TL10'!$J$10:$J$224),0),
IF('TL10'!$B$229=M$3,SUMIF('TL10'!$C$238:$C$451,$C87,'TL10'!$J$238:$J$451),0),
IF('TL11'!$B$3=M$3,SUMIF('TL11'!$C$10:$C$224,$C87,'TL11'!$J$10:$J$224),0),
IF('TL11'!$B$229=M$3,SUMIF('TL11'!$C$238:$C$451,$C87,'TL11'!$J$238:$J$451),0),
IF('TL12'!$B$3=M$3,SUMIF('TL12'!$C$10:$C$224,$C87,'TL12'!$J$10:$J$224),0),
IF('TL12'!$B$229=M$3,SUMIF('TL12'!$C$238:$C$451,$C87,'TL12'!$J$238:$J$451),0),
IF('TL13'!$B$3=M$3,SUMIF('TL13'!$C$10:$C$224,$C87,'TL13'!$J$10:$J$224),0),
IF('TL13'!$B$229=M$3,SUMIF('TL13'!$C$238:$C$451,$C87,'TL13'!$J$238:$J$451),0),
IF('TL14'!$B$3=M$3,SUMIF('TL14'!$C$10:$C$224,$C87,'TL14'!$J$10:$J$224),0),
IF('TL14'!$B$229=M$3,SUMIF('TL14'!$C$238:$C$451,$C87,'TL14'!$J$238:$J$451),0),
IF('TL15'!$B$3=M$3,SUMIF('TL15'!$C$10:$C$224,$C87,'TL15'!$J$10:$J$224),0),
IF('TL15'!$B$229=M$3,SUMIF('TL15'!$C$238:$C$451,$C87,'TL15'!$J$238:$J$451),0),
IF('TL16'!$B$3=M$3,SUMIF('TL16'!$C$10:$C$224,$C87,'TL16'!$J$10:$J$224),0),
IF('TL16'!$B$229=M$3,SUMIF('TL16'!$C$238:$C$451,$C87,'TL16'!$J$238:$J$451),0),
IF('TL17'!$B$3=M$3,SUMIF('TL17'!$C$10:$C$224,$C87,'TL17'!$J$10:$J$224),0),
IF('TL17'!$B$229=M$3,SUMIF('TL17'!$C$238:$C$451,$C87,'TL17'!$J$238:$J$451),0),
IF('TL18'!$B$3=M$3,SUMIF('TL18'!$C$10:$C$224,$C87,'TL18'!$J$10:$J$224),0),
IF('TL18'!$B$229=M$3,SUMIF('TL18'!$C$238:$C$451,$C87,'TL18'!$J$238:$J$451),0),
IF('TL19'!$B$3=M$3,SUMIF('TL19'!$C$10:$C$224,$C87,'TL19'!$J$10:$J$224),0),
IF('TL19'!$B$229=M$3,SUMIF('TL19'!$C$238:$C$451,$C87,'TL19'!$J$238:$J$451),0)
),0)</f>
        <v>0</v>
      </c>
      <c r="N87" s="9">
        <f>IFERROR(SUM(
IF('TL01'!$B$3=N$3,SUMIF('TL01'!$C$10:$C$224,$C87,'TL01'!$J$10:$J$224),0),
IF('TL01'!$B$229=N$3,SUMIF('TL01'!$C$238:$C$451,$C87,'TL01'!$J$238:$J$451),0),
IF('TL02'!$B$3=N$3,SUMIF('TL02'!$C$10:$C$224,$C87,'TL02'!$J$10:$J$224),0),
IF('TL02'!$B$229=N$3,SUMIF('TL02'!$C$238:$C$451,$C87,'TL02'!$J$238:$J$451),0),
IF('TL03'!$B$3=N$3,SUMIF('TL03'!$C$10:$C$224,$C87,'TL03'!$J$10:$J$224),0),
IF('TL03'!$B$229=N$3,SUMIF('TL03'!$C$238:$C$451,$C87,'TL03'!$J$238:$J$451),0),
IF('TL04'!$B$3=N$3,SUMIF('TL04'!$C$10:$C$224,$C87,'TL04'!$J$10:$J$224),0),
IF('TL04'!$B$229=N$3,SUMIF('TL04'!$C$238:$C$451,$C87,'TL04'!$J$238:$J$451),0),
IF('TL05'!$B$3=N$3,SUMIF('TL05'!$C$10:$C$224,$C87,'TL05'!$J$10:$J$224),0),
IF('TL05'!$B$229=N$3,SUMIF('TL05'!$C$238:$C$451,$C87,'TL05'!$J$238:$J$451),0),
IF('TL06'!$B$3=N$3,SUMIF('TL06'!$C$10:$C$224,$C87,'TL06'!$J$10:$J$224),0),
IF('TL06'!$B$229=N$3,SUMIF('TL06'!$C$238:$C$451,$C87,'TL06'!$J$238:$J$451),0),
IF('TL07'!$B$3=N$3,SUMIF('TL07'!$C$10:$C$224,$C87,'TL07'!$J$10:$J$224),0),
IF('TL07'!$B$229=N$3,SUMIF('TL07'!$C$238:$C$451,$C87,'TL07'!$J$238:$J$451),0),
IF('TL08'!$B$3=N$3,SUMIF('TL08'!$C$10:$C$224,$C87,'TL08'!$J$10:$J$224),0),
IF('TL08'!$B$229=N$3,SUMIF('TL08'!$C$238:$C$451,$C87,'TL08'!$J$238:$J$451),0),
IF('TL09'!$B$3=N$3,SUMIF('TL09'!$C$10:$C$224,$C87,'TL09'!$J$10:$J$224),0),
IF('TL09'!$B$229=N$3,SUMIF('TL09'!$C$238:$C$451,$C87,'TL09'!$J$238:$J$451),0),
IF('TL10'!$B$3=N$3,SUMIF('TL10'!$C$10:$C$224,$C87,'TL10'!$J$10:$J$224),0),
IF('TL10'!$B$229=N$3,SUMIF('TL10'!$C$238:$C$451,$C87,'TL10'!$J$238:$J$451),0),
IF('TL11'!$B$3=N$3,SUMIF('TL11'!$C$10:$C$224,$C87,'TL11'!$J$10:$J$224),0),
IF('TL11'!$B$229=N$3,SUMIF('TL11'!$C$238:$C$451,$C87,'TL11'!$J$238:$J$451),0),
IF('TL12'!$B$3=N$3,SUMIF('TL12'!$C$10:$C$224,$C87,'TL12'!$J$10:$J$224),0),
IF('TL12'!$B$229=N$3,SUMIF('TL12'!$C$238:$C$451,$C87,'TL12'!$J$238:$J$451),0),
IF('TL13'!$B$3=N$3,SUMIF('TL13'!$C$10:$C$224,$C87,'TL13'!$J$10:$J$224),0),
IF('TL13'!$B$229=N$3,SUMIF('TL13'!$C$238:$C$451,$C87,'TL13'!$J$238:$J$451),0),
IF('TL14'!$B$3=N$3,SUMIF('TL14'!$C$10:$C$224,$C87,'TL14'!$J$10:$J$224),0),
IF('TL14'!$B$229=N$3,SUMIF('TL14'!$C$238:$C$451,$C87,'TL14'!$J$238:$J$451),0),
IF('TL15'!$B$3=N$3,SUMIF('TL15'!$C$10:$C$224,$C87,'TL15'!$J$10:$J$224),0),
IF('TL15'!$B$229=N$3,SUMIF('TL15'!$C$238:$C$451,$C87,'TL15'!$J$238:$J$451),0),
IF('TL16'!$B$3=N$3,SUMIF('TL16'!$C$10:$C$224,$C87,'TL16'!$J$10:$J$224),0),
IF('TL16'!$B$229=N$3,SUMIF('TL16'!$C$238:$C$451,$C87,'TL16'!$J$238:$J$451),0),
IF('TL17'!$B$3=N$3,SUMIF('TL17'!$C$10:$C$224,$C87,'TL17'!$J$10:$J$224),0),
IF('TL17'!$B$229=N$3,SUMIF('TL17'!$C$238:$C$451,$C87,'TL17'!$J$238:$J$451),0),
IF('TL18'!$B$3=N$3,SUMIF('TL18'!$C$10:$C$224,$C87,'TL18'!$J$10:$J$224),0),
IF('TL18'!$B$229=N$3,SUMIF('TL18'!$C$238:$C$451,$C87,'TL18'!$J$238:$J$451),0),
IF('TL19'!$B$3=N$3,SUMIF('TL19'!$C$10:$C$224,$C87,'TL19'!$J$10:$J$224),0),
IF('TL19'!$B$229=N$3,SUMIF('TL19'!$C$238:$C$451,$C87,'TL19'!$J$238:$J$451),0)
),0)</f>
        <v>0</v>
      </c>
      <c r="O87" s="9">
        <f>IFERROR(SUM(
IF('TL01'!$B$3=O$3,SUMIF('TL01'!$C$10:$C$224,$C87,'TL01'!$J$10:$J$224),0),
IF('TL01'!$B$229=O$3,SUMIF('TL01'!$C$238:$C$451,$C87,'TL01'!$J$238:$J$451),0),
IF('TL02'!$B$3=O$3,SUMIF('TL02'!$C$10:$C$224,$C87,'TL02'!$J$10:$J$224),0),
IF('TL02'!$B$229=O$3,SUMIF('TL02'!$C$238:$C$451,$C87,'TL02'!$J$238:$J$451),0),
IF('TL03'!$B$3=O$3,SUMIF('TL03'!$C$10:$C$224,$C87,'TL03'!$J$10:$J$224),0),
IF('TL03'!$B$229=O$3,SUMIF('TL03'!$C$238:$C$451,$C87,'TL03'!$J$238:$J$451),0),
IF('TL04'!$B$3=O$3,SUMIF('TL04'!$C$10:$C$224,$C87,'TL04'!$J$10:$J$224),0),
IF('TL04'!$B$229=O$3,SUMIF('TL04'!$C$238:$C$451,$C87,'TL04'!$J$238:$J$451),0),
IF('TL05'!$B$3=O$3,SUMIF('TL05'!$C$10:$C$224,$C87,'TL05'!$J$10:$J$224),0),
IF('TL05'!$B$229=O$3,SUMIF('TL05'!$C$238:$C$451,$C87,'TL05'!$J$238:$J$451),0),
IF('TL06'!$B$3=O$3,SUMIF('TL06'!$C$10:$C$224,$C87,'TL06'!$J$10:$J$224),0),
IF('TL06'!$B$229=O$3,SUMIF('TL06'!$C$238:$C$451,$C87,'TL06'!$J$238:$J$451),0),
IF('TL07'!$B$3=O$3,SUMIF('TL07'!$C$10:$C$224,$C87,'TL07'!$J$10:$J$224),0),
IF('TL07'!$B$229=O$3,SUMIF('TL07'!$C$238:$C$451,$C87,'TL07'!$J$238:$J$451),0),
IF('TL08'!$B$3=O$3,SUMIF('TL08'!$C$10:$C$224,$C87,'TL08'!$J$10:$J$224),0),
IF('TL08'!$B$229=O$3,SUMIF('TL08'!$C$238:$C$451,$C87,'TL08'!$J$238:$J$451),0),
IF('TL09'!$B$3=O$3,SUMIF('TL09'!$C$10:$C$224,$C87,'TL09'!$J$10:$J$224),0),
IF('TL09'!$B$229=O$3,SUMIF('TL09'!$C$238:$C$451,$C87,'TL09'!$J$238:$J$451),0),
IF('TL10'!$B$3=O$3,SUMIF('TL10'!$C$10:$C$224,$C87,'TL10'!$J$10:$J$224),0),
IF('TL10'!$B$229=O$3,SUMIF('TL10'!$C$238:$C$451,$C87,'TL10'!$J$238:$J$451),0),
IF('TL11'!$B$3=O$3,SUMIF('TL11'!$C$10:$C$224,$C87,'TL11'!$J$10:$J$224),0),
IF('TL11'!$B$229=O$3,SUMIF('TL11'!$C$238:$C$451,$C87,'TL11'!$J$238:$J$451),0),
IF('TL12'!$B$3=O$3,SUMIF('TL12'!$C$10:$C$224,$C87,'TL12'!$J$10:$J$224),0),
IF('TL12'!$B$229=O$3,SUMIF('TL12'!$C$238:$C$451,$C87,'TL12'!$J$238:$J$451),0),
IF('TL13'!$B$3=O$3,SUMIF('TL13'!$C$10:$C$224,$C87,'TL13'!$J$10:$J$224),0),
IF('TL13'!$B$229=O$3,SUMIF('TL13'!$C$238:$C$451,$C87,'TL13'!$J$238:$J$451),0),
IF('TL14'!$B$3=O$3,SUMIF('TL14'!$C$10:$C$224,$C87,'TL14'!$J$10:$J$224),0),
IF('TL14'!$B$229=O$3,SUMIF('TL14'!$C$238:$C$451,$C87,'TL14'!$J$238:$J$451),0),
IF('TL15'!$B$3=O$3,SUMIF('TL15'!$C$10:$C$224,$C87,'TL15'!$J$10:$J$224),0),
IF('TL15'!$B$229=O$3,SUMIF('TL15'!$C$238:$C$451,$C87,'TL15'!$J$238:$J$451),0),
IF('TL16'!$B$3=O$3,SUMIF('TL16'!$C$10:$C$224,$C87,'TL16'!$J$10:$J$224),0),
IF('TL16'!$B$229=O$3,SUMIF('TL16'!$C$238:$C$451,$C87,'TL16'!$J$238:$J$451),0),
IF('TL17'!$B$3=O$3,SUMIF('TL17'!$C$10:$C$224,$C87,'TL17'!$J$10:$J$224),0),
IF('TL17'!$B$229=O$3,SUMIF('TL17'!$C$238:$C$451,$C87,'TL17'!$J$238:$J$451),0),
IF('TL18'!$B$3=O$3,SUMIF('TL18'!$C$10:$C$224,$C87,'TL18'!$J$10:$J$224),0),
IF('TL18'!$B$229=O$3,SUMIF('TL18'!$C$238:$C$451,$C87,'TL18'!$J$238:$J$451),0),
IF('TL19'!$B$3=O$3,SUMIF('TL19'!$C$10:$C$224,$C87,'TL19'!$J$10:$J$224),0),
IF('TL19'!$B$229=O$3,SUMIF('TL19'!$C$238:$C$451,$C87,'TL19'!$J$238:$J$451),0)
),0)</f>
        <v>0</v>
      </c>
      <c r="P87" s="9">
        <f>IFERROR(SUM(
IF('TL01'!$B$3=P$3,SUMIF('TL01'!$C$10:$C$224,$C87,'TL01'!$J$10:$J$224),0),
IF('TL01'!$B$229=P$3,SUMIF('TL01'!$C$238:$C$451,$C87,'TL01'!$J$238:$J$451),0),
IF('TL02'!$B$3=P$3,SUMIF('TL02'!$C$10:$C$224,$C87,'TL02'!$J$10:$J$224),0),
IF('TL02'!$B$229=P$3,SUMIF('TL02'!$C$238:$C$451,$C87,'TL02'!$J$238:$J$451),0),
IF('TL03'!$B$3=P$3,SUMIF('TL03'!$C$10:$C$224,$C87,'TL03'!$J$10:$J$224),0),
IF('TL03'!$B$229=P$3,SUMIF('TL03'!$C$238:$C$451,$C87,'TL03'!$J$238:$J$451),0),
IF('TL04'!$B$3=P$3,SUMIF('TL04'!$C$10:$C$224,$C87,'TL04'!$J$10:$J$224),0),
IF('TL04'!$B$229=P$3,SUMIF('TL04'!$C$238:$C$451,$C87,'TL04'!$J$238:$J$451),0),
IF('TL05'!$B$3=P$3,SUMIF('TL05'!$C$10:$C$224,$C87,'TL05'!$J$10:$J$224),0),
IF('TL05'!$B$229=P$3,SUMIF('TL05'!$C$238:$C$451,$C87,'TL05'!$J$238:$J$451),0),
IF('TL06'!$B$3=P$3,SUMIF('TL06'!$C$10:$C$224,$C87,'TL06'!$J$10:$J$224),0),
IF('TL06'!$B$229=P$3,SUMIF('TL06'!$C$238:$C$451,$C87,'TL06'!$J$238:$J$451),0),
IF('TL07'!$B$3=P$3,SUMIF('TL07'!$C$10:$C$224,$C87,'TL07'!$J$10:$J$224),0),
IF('TL07'!$B$229=P$3,SUMIF('TL07'!$C$238:$C$451,$C87,'TL07'!$J$238:$J$451),0),
IF('TL08'!$B$3=P$3,SUMIF('TL08'!$C$10:$C$224,$C87,'TL08'!$J$10:$J$224),0),
IF('TL08'!$B$229=P$3,SUMIF('TL08'!$C$238:$C$451,$C87,'TL08'!$J$238:$J$451),0),
IF('TL09'!$B$3=P$3,SUMIF('TL09'!$C$10:$C$224,$C87,'TL09'!$J$10:$J$224),0),
IF('TL09'!$B$229=P$3,SUMIF('TL09'!$C$238:$C$451,$C87,'TL09'!$J$238:$J$451),0),
IF('TL10'!$B$3=P$3,SUMIF('TL10'!$C$10:$C$224,$C87,'TL10'!$J$10:$J$224),0),
IF('TL10'!$B$229=P$3,SUMIF('TL10'!$C$238:$C$451,$C87,'TL10'!$J$238:$J$451),0),
IF('TL11'!$B$3=P$3,SUMIF('TL11'!$C$10:$C$224,$C87,'TL11'!$J$10:$J$224),0),
IF('TL11'!$B$229=P$3,SUMIF('TL11'!$C$238:$C$451,$C87,'TL11'!$J$238:$J$451),0),
IF('TL12'!$B$3=P$3,SUMIF('TL12'!$C$10:$C$224,$C87,'TL12'!$J$10:$J$224),0),
IF('TL12'!$B$229=P$3,SUMIF('TL12'!$C$238:$C$451,$C87,'TL12'!$J$238:$J$451),0),
IF('TL13'!$B$3=P$3,SUMIF('TL13'!$C$10:$C$224,$C87,'TL13'!$J$10:$J$224),0),
IF('TL13'!$B$229=P$3,SUMIF('TL13'!$C$238:$C$451,$C87,'TL13'!$J$238:$J$451),0),
IF('TL14'!$B$3=P$3,SUMIF('TL14'!$C$10:$C$224,$C87,'TL14'!$J$10:$J$224),0),
IF('TL14'!$B$229=P$3,SUMIF('TL14'!$C$238:$C$451,$C87,'TL14'!$J$238:$J$451),0),
IF('TL15'!$B$3=P$3,SUMIF('TL15'!$C$10:$C$224,$C87,'TL15'!$J$10:$J$224),0),
IF('TL15'!$B$229=P$3,SUMIF('TL15'!$C$238:$C$451,$C87,'TL15'!$J$238:$J$451),0),
IF('TL16'!$B$3=P$3,SUMIF('TL16'!$C$10:$C$224,$C87,'TL16'!$J$10:$J$224),0),
IF('TL16'!$B$229=P$3,SUMIF('TL16'!$C$238:$C$451,$C87,'TL16'!$J$238:$J$451),0),
IF('TL17'!$B$3=P$3,SUMIF('TL17'!$C$10:$C$224,$C87,'TL17'!$J$10:$J$224),0),
IF('TL17'!$B$229=P$3,SUMIF('TL17'!$C$238:$C$451,$C87,'TL17'!$J$238:$J$451),0),
IF('TL18'!$B$3=P$3,SUMIF('TL18'!$C$10:$C$224,$C87,'TL18'!$J$10:$J$224),0),
IF('TL18'!$B$229=P$3,SUMIF('TL18'!$C$238:$C$451,$C87,'TL18'!$J$238:$J$451),0),
IF('TL19'!$B$3=P$3,SUMIF('TL19'!$C$10:$C$224,$C87,'TL19'!$J$10:$J$224),0),
IF('TL19'!$B$229=P$3,SUMIF('TL19'!$C$238:$C$451,$C87,'TL19'!$J$238:$J$451),0)
),0)</f>
        <v>0</v>
      </c>
      <c r="Q87" s="9">
        <f>IFERROR(SUM(
IF('TL01'!$B$3=Q$3,SUMIF('TL01'!$C$10:$C$224,$C87,'TL01'!$J$10:$J$224),0),
IF('TL01'!$B$229=Q$3,SUMIF('TL01'!$C$238:$C$451,$C87,'TL01'!$J$238:$J$451),0),
IF('TL02'!$B$3=Q$3,SUMIF('TL02'!$C$10:$C$224,$C87,'TL02'!$J$10:$J$224),0),
IF('TL02'!$B$229=Q$3,SUMIF('TL02'!$C$238:$C$451,$C87,'TL02'!$J$238:$J$451),0),
IF('TL03'!$B$3=Q$3,SUMIF('TL03'!$C$10:$C$224,$C87,'TL03'!$J$10:$J$224),0),
IF('TL03'!$B$229=Q$3,SUMIF('TL03'!$C$238:$C$451,$C87,'TL03'!$J$238:$J$451),0),
IF('TL04'!$B$3=Q$3,SUMIF('TL04'!$C$10:$C$224,$C87,'TL04'!$J$10:$J$224),0),
IF('TL04'!$B$229=Q$3,SUMIF('TL04'!$C$238:$C$451,$C87,'TL04'!$J$238:$J$451),0),
IF('TL05'!$B$3=Q$3,SUMIF('TL05'!$C$10:$C$224,$C87,'TL05'!$J$10:$J$224),0),
IF('TL05'!$B$229=Q$3,SUMIF('TL05'!$C$238:$C$451,$C87,'TL05'!$J$238:$J$451),0),
IF('TL06'!$B$3=Q$3,SUMIF('TL06'!$C$10:$C$224,$C87,'TL06'!$J$10:$J$224),0),
IF('TL06'!$B$229=Q$3,SUMIF('TL06'!$C$238:$C$451,$C87,'TL06'!$J$238:$J$451),0),
IF('TL07'!$B$3=Q$3,SUMIF('TL07'!$C$10:$C$224,$C87,'TL07'!$J$10:$J$224),0),
IF('TL07'!$B$229=Q$3,SUMIF('TL07'!$C$238:$C$451,$C87,'TL07'!$J$238:$J$451),0),
IF('TL08'!$B$3=Q$3,SUMIF('TL08'!$C$10:$C$224,$C87,'TL08'!$J$10:$J$224),0),
IF('TL08'!$B$229=Q$3,SUMIF('TL08'!$C$238:$C$451,$C87,'TL08'!$J$238:$J$451),0),
IF('TL09'!$B$3=Q$3,SUMIF('TL09'!$C$10:$C$224,$C87,'TL09'!$J$10:$J$224),0),
IF('TL09'!$B$229=Q$3,SUMIF('TL09'!$C$238:$C$451,$C87,'TL09'!$J$238:$J$451),0),
IF('TL10'!$B$3=Q$3,SUMIF('TL10'!$C$10:$C$224,$C87,'TL10'!$J$10:$J$224),0),
IF('TL10'!$B$229=Q$3,SUMIF('TL10'!$C$238:$C$451,$C87,'TL10'!$J$238:$J$451),0),
IF('TL11'!$B$3=Q$3,SUMIF('TL11'!$C$10:$C$224,$C87,'TL11'!$J$10:$J$224),0),
IF('TL11'!$B$229=Q$3,SUMIF('TL11'!$C$238:$C$451,$C87,'TL11'!$J$238:$J$451),0),
IF('TL12'!$B$3=Q$3,SUMIF('TL12'!$C$10:$C$224,$C87,'TL12'!$J$10:$J$224),0),
IF('TL12'!$B$229=Q$3,SUMIF('TL12'!$C$238:$C$451,$C87,'TL12'!$J$238:$J$451),0),
IF('TL13'!$B$3=Q$3,SUMIF('TL13'!$C$10:$C$224,$C87,'TL13'!$J$10:$J$224),0),
IF('TL13'!$B$229=Q$3,SUMIF('TL13'!$C$238:$C$451,$C87,'TL13'!$J$238:$J$451),0),
IF('TL14'!$B$3=Q$3,SUMIF('TL14'!$C$10:$C$224,$C87,'TL14'!$J$10:$J$224),0),
IF('TL14'!$B$229=Q$3,SUMIF('TL14'!$C$238:$C$451,$C87,'TL14'!$J$238:$J$451),0),
IF('TL15'!$B$3=Q$3,SUMIF('TL15'!$C$10:$C$224,$C87,'TL15'!$J$10:$J$224),0),
IF('TL15'!$B$229=Q$3,SUMIF('TL15'!$C$238:$C$451,$C87,'TL15'!$J$238:$J$451),0),
IF('TL16'!$B$3=Q$3,SUMIF('TL16'!$C$10:$C$224,$C87,'TL16'!$J$10:$J$224),0),
IF('TL16'!$B$229=Q$3,SUMIF('TL16'!$C$238:$C$451,$C87,'TL16'!$J$238:$J$451),0),
IF('TL17'!$B$3=Q$3,SUMIF('TL17'!$C$10:$C$224,$C87,'TL17'!$J$10:$J$224),0),
IF('TL17'!$B$229=Q$3,SUMIF('TL17'!$C$238:$C$451,$C87,'TL17'!$J$238:$J$451),0),
IF('TL18'!$B$3=Q$3,SUMIF('TL18'!$C$10:$C$224,$C87,'TL18'!$J$10:$J$224),0),
IF('TL18'!$B$229=Q$3,SUMIF('TL18'!$C$238:$C$451,$C87,'TL18'!$J$238:$J$451),0),
IF('TL19'!$B$3=Q$3,SUMIF('TL19'!$C$10:$C$224,$C87,'TL19'!$J$10:$J$224),0),
IF('TL19'!$B$229=Q$3,SUMIF('TL19'!$C$238:$C$451,$C87,'TL19'!$J$238:$J$451),0)
),0)</f>
        <v>0</v>
      </c>
      <c r="R87" s="9">
        <f>IFERROR(
SUM(
SUMIF('TL01'!C:C,C87,'TL01'!J:J),
SUMIF('TL02'!C:C,C87,'TL02'!J:J),
SUMIF('TL03'!C:C,C87,'TL03'!J:J),
SUMIF('TL04'!C:C,C87,'TL04'!J:J),
SUMIF('TL05'!C:C,C87,'TL05'!J:J),
SUMIF('TL06'!C:C,C87,'TL06'!J:J),
SUMIF('TL07'!C:C,C87,'TL07'!J:J),
SUMIF('TL08'!C:C,C87,'TL08'!J:J),
SUMIF('TL09'!C:C,C87,'TL09'!J:J),
SUMIF('TL10'!C:C,C87,'TL10'!J:J),
SUMIF('TL11'!C:C,C87,'TL11'!J:J),
SUMIF('TL12'!C:C,C87,'TL12'!J:J),
SUMIF('TL13'!C:C,C87,'TL13'!J:J),
SUMIF('TL14'!C:C,C87,'TL14'!J:J),
SUMIF('TL15'!C:C,C87,'TL15'!J:J),
SUMIF('TL16'!C:C,C87,'TL16'!J:J),
SUMIF('TL17'!C:C,C87,'TL17'!J:J),
SUMIF('TL18'!C:C,C87,'TL18'!J:J),SUMIF('TL19'!C:C,C87,'TL19'!J:J))
,0)</f>
        <v>0</v>
      </c>
      <c r="S87" s="17">
        <f>IFERROR(__xludf.DUMMYFUNCTION("IFERROR(VLOOKUP(C87,
IMPORTRANGE(""1wULbzX32WdYsx-lj2U3uUNBBe2INVIRDtcK0d-Dvl90"",
""26-27!C:G""),
5,
FALSE),
"""")"),68.83056)</f>
        <v>68.83056</v>
      </c>
      <c r="T87" s="9"/>
      <c r="U87" s="92">
        <f t="shared" si="2"/>
        <v>0</v>
      </c>
      <c r="V87" s="93">
        <f t="shared" si="3"/>
        <v>0</v>
      </c>
    </row>
    <row r="88" ht="15.75" hidden="1" customHeight="1">
      <c r="A88" s="115" t="s">
        <v>356</v>
      </c>
      <c r="B88" s="100" t="s">
        <v>0</v>
      </c>
      <c r="C88" s="116" t="s">
        <v>562</v>
      </c>
      <c r="D88" s="116" t="s">
        <v>435</v>
      </c>
      <c r="E88" s="116" t="s">
        <v>563</v>
      </c>
      <c r="F88" s="4" t="s">
        <v>392</v>
      </c>
      <c r="G88" s="90" t="str">
        <f t="shared" si="4"/>
        <v>📄 Ver bula</v>
      </c>
      <c r="H88" s="9">
        <f>IFERROR(__xludf.DUMMYFUNCTION("IFERROR(VLOOKUP(C88,
IMPORTRANGE(""1wULbzX32WdYsx-lj2U3uUNBBe2INVIRDtcK0d-Dvl90"",
""26-27!C:K""),
8,
FALSE),
"""")"),0.6)</f>
        <v>0.6</v>
      </c>
      <c r="I88" s="117" t="s">
        <v>344</v>
      </c>
      <c r="J88" s="9">
        <f>IFERROR(SUM(
IF('TL01'!$B$3=J$3,SUMIF('TL01'!$C$10:$C$224,$C88,'TL01'!$J$10:$J$224),0),
IF('TL01'!$B$229=J$3,SUMIF('TL01'!$C$238:$C$451,$C88,'TL01'!$J$238:$J$451),0),
IF('TL02'!$B$3=J$3,SUMIF('TL02'!$C$10:$C$224,$C88,'TL02'!$J$10:$J$224),0),
IF('TL02'!$B$229=J$3,SUMIF('TL02'!$C$238:$C$451,$C88,'TL02'!$J$238:$J$451),0),
IF('TL03'!$B$3=J$3,SUMIF('TL03'!$C$10:$C$224,$C88,'TL03'!$J$10:$J$224),0),
IF('TL03'!$B$229=J$3,SUMIF('TL03'!$C$238:$C$451,$C88,'TL03'!$J$238:$J$451),0),
IF('TL04'!$B$3=J$3,SUMIF('TL04'!$C$10:$C$224,$C88,'TL04'!$J$10:$J$224),0),
IF('TL04'!$B$229=J$3,SUMIF('TL04'!$C$238:$C$451,$C88,'TL04'!$J$238:$J$451),0),
IF('TL05'!$B$3=J$3,SUMIF('TL05'!$C$10:$C$224,$C88,'TL05'!$J$10:$J$224),0),
IF('TL05'!$B$229=J$3,SUMIF('TL05'!$C$238:$C$451,$C88,'TL05'!$J$238:$J$451),0),
IF('TL06'!$B$3=J$3,SUMIF('TL06'!$C$10:$C$224,$C88,'TL06'!$J$10:$J$224),0),
IF('TL06'!$B$229=J$3,SUMIF('TL06'!$C$238:$C$451,$C88,'TL06'!$J$238:$J$451),0),
IF('TL07'!$B$3=J$3,SUMIF('TL07'!$C$10:$C$224,$C88,'TL07'!$J$10:$J$224),0),
IF('TL07'!$B$229=J$3,SUMIF('TL07'!$C$238:$C$451,$C88,'TL07'!$J$238:$J$451),0),
IF('TL08'!$B$3=J$3,SUMIF('TL08'!$C$10:$C$224,$C88,'TL08'!$J$10:$J$224),0),
IF('TL08'!$B$229=J$3,SUMIF('TL08'!$C$238:$C$451,$C88,'TL08'!$J$238:$J$451),0),
IF('TL09'!$B$3=J$3,SUMIF('TL09'!$C$10:$C$224,$C88,'TL09'!$J$10:$J$224),0),
IF('TL09'!$B$229=J$3,SUMIF('TL09'!$C$238:$C$451,$C88,'TL09'!$J$238:$J$451),0),
IF('TL10'!$B$3=J$3,SUMIF('TL10'!$C$10:$C$224,$C88,'TL10'!$J$10:$J$224),0),
IF('TL10'!$B$229=J$3,SUMIF('TL10'!$C$238:$C$451,$C88,'TL10'!$J$238:$J$451),0),
IF('TL11'!$B$3=J$3,SUMIF('TL11'!$C$10:$C$224,$C88,'TL11'!$J$10:$J$224),0),
IF('TL11'!$B$229=J$3,SUMIF('TL11'!$C$238:$C$451,$C88,'TL11'!$J$238:$J$451),0),
IF('TL12'!$B$3=J$3,SUMIF('TL12'!$C$10:$C$224,$C88,'TL12'!$J$10:$J$224),0),
IF('TL12'!$B$229=J$3,SUMIF('TL12'!$C$238:$C$451,$C88,'TL12'!$J$238:$J$451),0),
IF('TL13'!$B$3=J$3,SUMIF('TL13'!$C$10:$C$224,$C88,'TL13'!$J$10:$J$224),0),
IF('TL13'!$B$229=J$3,SUMIF('TL13'!$C$238:$C$451,$C88,'TL13'!$J$238:$J$451),0),
IF('TL14'!$B$3=J$3,SUMIF('TL14'!$C$10:$C$224,$C88,'TL14'!$J$10:$J$224),0),
IF('TL14'!$B$229=J$3,SUMIF('TL14'!$C$238:$C$451,$C88,'TL14'!$J$238:$J$451),0),
IF('TL15'!$B$3=J$3,SUMIF('TL15'!$C$10:$C$224,$C88,'TL15'!$J$10:$J$224),0),
IF('TL15'!$B$229=J$3,SUMIF('TL15'!$C$238:$C$451,$C88,'TL15'!$J$238:$J$451),0),
IF('TL16'!$B$3=J$3,SUMIF('TL16'!$C$10:$C$224,$C88,'TL16'!$J$10:$J$224),0),
IF('TL16'!$B$229=J$3,SUMIF('TL16'!$C$238:$C$451,$C88,'TL16'!$J$238:$J$451),0),
IF('TL17'!$B$3=J$3,SUMIF('TL17'!$C$10:$C$224,$C88,'TL17'!$J$10:$J$224),0),
IF('TL17'!$B$229=J$3,SUMIF('TL17'!$C$238:$C$451,$C88,'TL17'!$J$238:$J$451),0),
IF('TL18'!$B$3=J$3,SUMIF('TL18'!$C$10:$C$224,$C88,'TL18'!$J$10:$J$224),0),
IF('TL18'!$B$229=J$3,SUMIF('TL18'!$C$238:$C$451,$C88,'TL18'!$J$238:$J$451),0),
IF('TL19'!$B$3=J$3,SUMIF('TL19'!$C$10:$C$224,$C88,'TL19'!$J$10:$J$224),0),
IF('TL19'!$B$229=J$3,SUMIF('TL19'!$C$238:$C$451,$C88,'TL19'!$J$238:$J$451),0)
),0)</f>
        <v>0</v>
      </c>
      <c r="K88" s="9">
        <f>IFERROR(SUM(
IF('TL01'!$B$3=K$3,SUMIF('TL01'!$C$10:$C$224,$C88,'TL01'!$J$10:$J$224),0),
IF('TL01'!$B$229=K$3,SUMIF('TL01'!$C$238:$C$451,$C88,'TL01'!$J$238:$J$451),0),
IF('TL02'!$B$3=K$3,SUMIF('TL02'!$C$10:$C$224,$C88,'TL02'!$J$10:$J$224),0),
IF('TL02'!$B$229=K$3,SUMIF('TL02'!$C$238:$C$451,$C88,'TL02'!$J$238:$J$451),0),
IF('TL03'!$B$3=K$3,SUMIF('TL03'!$C$10:$C$224,$C88,'TL03'!$J$10:$J$224),0),
IF('TL03'!$B$229=K$3,SUMIF('TL03'!$C$238:$C$451,$C88,'TL03'!$J$238:$J$451),0),
IF('TL04'!$B$3=K$3,SUMIF('TL04'!$C$10:$C$224,$C88,'TL04'!$J$10:$J$224),0),
IF('TL04'!$B$229=K$3,SUMIF('TL04'!$C$238:$C$451,$C88,'TL04'!$J$238:$J$451),0),
IF('TL05'!$B$3=K$3,SUMIF('TL05'!$C$10:$C$224,$C88,'TL05'!$J$10:$J$224),0),
IF('TL05'!$B$229=K$3,SUMIF('TL05'!$C$238:$C$451,$C88,'TL05'!$J$238:$J$451),0),
IF('TL06'!$B$3=K$3,SUMIF('TL06'!$C$10:$C$224,$C88,'TL06'!$J$10:$J$224),0),
IF('TL06'!$B$229=K$3,SUMIF('TL06'!$C$238:$C$451,$C88,'TL06'!$J$238:$J$451),0),
IF('TL07'!$B$3=K$3,SUMIF('TL07'!$C$10:$C$224,$C88,'TL07'!$J$10:$J$224),0),
IF('TL07'!$B$229=K$3,SUMIF('TL07'!$C$238:$C$451,$C88,'TL07'!$J$238:$J$451),0),
IF('TL08'!$B$3=K$3,SUMIF('TL08'!$C$10:$C$224,$C88,'TL08'!$J$10:$J$224),0),
IF('TL08'!$B$229=K$3,SUMIF('TL08'!$C$238:$C$451,$C88,'TL08'!$J$238:$J$451),0),
IF('TL09'!$B$3=K$3,SUMIF('TL09'!$C$10:$C$224,$C88,'TL09'!$J$10:$J$224),0),
IF('TL09'!$B$229=K$3,SUMIF('TL09'!$C$238:$C$451,$C88,'TL09'!$J$238:$J$451),0),
IF('TL10'!$B$3=K$3,SUMIF('TL10'!$C$10:$C$224,$C88,'TL10'!$J$10:$J$224),0),
IF('TL10'!$B$229=K$3,SUMIF('TL10'!$C$238:$C$451,$C88,'TL10'!$J$238:$J$451),0),
IF('TL11'!$B$3=K$3,SUMIF('TL11'!$C$10:$C$224,$C88,'TL11'!$J$10:$J$224),0),
IF('TL11'!$B$229=K$3,SUMIF('TL11'!$C$238:$C$451,$C88,'TL11'!$J$238:$J$451),0),
IF('TL12'!$B$3=K$3,SUMIF('TL12'!$C$10:$C$224,$C88,'TL12'!$J$10:$J$224),0),
IF('TL12'!$B$229=K$3,SUMIF('TL12'!$C$238:$C$451,$C88,'TL12'!$J$238:$J$451),0),
IF('TL13'!$B$3=K$3,SUMIF('TL13'!$C$10:$C$224,$C88,'TL13'!$J$10:$J$224),0),
IF('TL13'!$B$229=K$3,SUMIF('TL13'!$C$238:$C$451,$C88,'TL13'!$J$238:$J$451),0),
IF('TL14'!$B$3=K$3,SUMIF('TL14'!$C$10:$C$224,$C88,'TL14'!$J$10:$J$224),0),
IF('TL14'!$B$229=K$3,SUMIF('TL14'!$C$238:$C$451,$C88,'TL14'!$J$238:$J$451),0),
IF('TL15'!$B$3=K$3,SUMIF('TL15'!$C$10:$C$224,$C88,'TL15'!$J$10:$J$224),0),
IF('TL15'!$B$229=K$3,SUMIF('TL15'!$C$238:$C$451,$C88,'TL15'!$J$238:$J$451),0),
IF('TL16'!$B$3=K$3,SUMIF('TL16'!$C$10:$C$224,$C88,'TL16'!$J$10:$J$224),0),
IF('TL16'!$B$229=K$3,SUMIF('TL16'!$C$238:$C$451,$C88,'TL16'!$J$238:$J$451),0),
IF('TL17'!$B$3=K$3,SUMIF('TL17'!$C$10:$C$224,$C88,'TL17'!$J$10:$J$224),0),
IF('TL17'!$B$229=K$3,SUMIF('TL17'!$C$238:$C$451,$C88,'TL17'!$J$238:$J$451),0),
IF('TL18'!$B$3=K$3,SUMIF('TL18'!$C$10:$C$224,$C88,'TL18'!$J$10:$J$224),0),
IF('TL18'!$B$229=K$3,SUMIF('TL18'!$C$238:$C$451,$C88,'TL18'!$J$238:$J$451),0),
IF('TL19'!$B$3=K$3,SUMIF('TL19'!$C$10:$C$224,$C88,'TL19'!$J$10:$J$224),0),
IF('TL19'!$B$229=K$3,SUMIF('TL19'!$C$238:$C$451,$C88,'TL19'!$J$238:$J$451),0)
),0)</f>
        <v>0</v>
      </c>
      <c r="L88" s="9">
        <f>IFERROR(SUM(
IF('TL01'!$B$3=L$3,SUMIF('TL01'!$C$10:$C$224,$C88,'TL01'!$J$10:$J$224),0),
IF('TL01'!$B$229=L$3,SUMIF('TL01'!$C$238:$C$451,$C88,'TL01'!$J$238:$J$451),0),
IF('TL02'!$B$3=L$3,SUMIF('TL02'!$C$10:$C$224,$C88,'TL02'!$J$10:$J$224),0),
IF('TL02'!$B$229=L$3,SUMIF('TL02'!$C$238:$C$451,$C88,'TL02'!$J$238:$J$451),0),
IF('TL03'!$B$3=L$3,SUMIF('TL03'!$C$10:$C$224,$C88,'TL03'!$J$10:$J$224),0),
IF('TL03'!$B$229=L$3,SUMIF('TL03'!$C$238:$C$451,$C88,'TL03'!$J$238:$J$451),0),
IF('TL04'!$B$3=L$3,SUMIF('TL04'!$C$10:$C$224,$C88,'TL04'!$J$10:$J$224),0),
IF('TL04'!$B$229=L$3,SUMIF('TL04'!$C$238:$C$451,$C88,'TL04'!$J$238:$J$451),0),
IF('TL05'!$B$3=L$3,SUMIF('TL05'!$C$10:$C$224,$C88,'TL05'!$J$10:$J$224),0),
IF('TL05'!$B$229=L$3,SUMIF('TL05'!$C$238:$C$451,$C88,'TL05'!$J$238:$J$451),0),
IF('TL06'!$B$3=L$3,SUMIF('TL06'!$C$10:$C$224,$C88,'TL06'!$J$10:$J$224),0),
IF('TL06'!$B$229=L$3,SUMIF('TL06'!$C$238:$C$451,$C88,'TL06'!$J$238:$J$451),0),
IF('TL07'!$B$3=L$3,SUMIF('TL07'!$C$10:$C$224,$C88,'TL07'!$J$10:$J$224),0),
IF('TL07'!$B$229=L$3,SUMIF('TL07'!$C$238:$C$451,$C88,'TL07'!$J$238:$J$451),0),
IF('TL08'!$B$3=L$3,SUMIF('TL08'!$C$10:$C$224,$C88,'TL08'!$J$10:$J$224),0),
IF('TL08'!$B$229=L$3,SUMIF('TL08'!$C$238:$C$451,$C88,'TL08'!$J$238:$J$451),0),
IF('TL09'!$B$3=L$3,SUMIF('TL09'!$C$10:$C$224,$C88,'TL09'!$J$10:$J$224),0),
IF('TL09'!$B$229=L$3,SUMIF('TL09'!$C$238:$C$451,$C88,'TL09'!$J$238:$J$451),0),
IF('TL10'!$B$3=L$3,SUMIF('TL10'!$C$10:$C$224,$C88,'TL10'!$J$10:$J$224),0),
IF('TL10'!$B$229=L$3,SUMIF('TL10'!$C$238:$C$451,$C88,'TL10'!$J$238:$J$451),0),
IF('TL11'!$B$3=L$3,SUMIF('TL11'!$C$10:$C$224,$C88,'TL11'!$J$10:$J$224),0),
IF('TL11'!$B$229=L$3,SUMIF('TL11'!$C$238:$C$451,$C88,'TL11'!$J$238:$J$451),0),
IF('TL12'!$B$3=L$3,SUMIF('TL12'!$C$10:$C$224,$C88,'TL12'!$J$10:$J$224),0),
IF('TL12'!$B$229=L$3,SUMIF('TL12'!$C$238:$C$451,$C88,'TL12'!$J$238:$J$451),0),
IF('TL13'!$B$3=L$3,SUMIF('TL13'!$C$10:$C$224,$C88,'TL13'!$J$10:$J$224),0),
IF('TL13'!$B$229=L$3,SUMIF('TL13'!$C$238:$C$451,$C88,'TL13'!$J$238:$J$451),0),
IF('TL14'!$B$3=L$3,SUMIF('TL14'!$C$10:$C$224,$C88,'TL14'!$J$10:$J$224),0),
IF('TL14'!$B$229=L$3,SUMIF('TL14'!$C$238:$C$451,$C88,'TL14'!$J$238:$J$451),0),
IF('TL15'!$B$3=L$3,SUMIF('TL15'!$C$10:$C$224,$C88,'TL15'!$J$10:$J$224),0),
IF('TL15'!$B$229=L$3,SUMIF('TL15'!$C$238:$C$451,$C88,'TL15'!$J$238:$J$451),0),
IF('TL16'!$B$3=L$3,SUMIF('TL16'!$C$10:$C$224,$C88,'TL16'!$J$10:$J$224),0),
IF('TL16'!$B$229=L$3,SUMIF('TL16'!$C$238:$C$451,$C88,'TL16'!$J$238:$J$451),0),
IF('TL17'!$B$3=L$3,SUMIF('TL17'!$C$10:$C$224,$C88,'TL17'!$J$10:$J$224),0),
IF('TL17'!$B$229=L$3,SUMIF('TL17'!$C$238:$C$451,$C88,'TL17'!$J$238:$J$451),0),
IF('TL18'!$B$3=L$3,SUMIF('TL18'!$C$10:$C$224,$C88,'TL18'!$J$10:$J$224),0),
IF('TL18'!$B$229=L$3,SUMIF('TL18'!$C$238:$C$451,$C88,'TL18'!$J$238:$J$451),0),
IF('TL19'!$B$3=L$3,SUMIF('TL19'!$C$10:$C$224,$C88,'TL19'!$J$10:$J$224),0),
IF('TL19'!$B$229=L$3,SUMIF('TL19'!$C$238:$C$451,$C88,'TL19'!$J$238:$J$451),0)
),0)</f>
        <v>0</v>
      </c>
      <c r="M88" s="9">
        <f>IFERROR(SUM(
IF('TL01'!$B$3=M$3,SUMIF('TL01'!$C$10:$C$224,$C88,'TL01'!$J$10:$J$224),0),
IF('TL01'!$B$229=M$3,SUMIF('TL01'!$C$238:$C$451,$C88,'TL01'!$J$238:$J$451),0),
IF('TL02'!$B$3=M$3,SUMIF('TL02'!$C$10:$C$224,$C88,'TL02'!$J$10:$J$224),0),
IF('TL02'!$B$229=M$3,SUMIF('TL02'!$C$238:$C$451,$C88,'TL02'!$J$238:$J$451),0),
IF('TL03'!$B$3=M$3,SUMIF('TL03'!$C$10:$C$224,$C88,'TL03'!$J$10:$J$224),0),
IF('TL03'!$B$229=M$3,SUMIF('TL03'!$C$238:$C$451,$C88,'TL03'!$J$238:$J$451),0),
IF('TL04'!$B$3=M$3,SUMIF('TL04'!$C$10:$C$224,$C88,'TL04'!$J$10:$J$224),0),
IF('TL04'!$B$229=M$3,SUMIF('TL04'!$C$238:$C$451,$C88,'TL04'!$J$238:$J$451),0),
IF('TL05'!$B$3=M$3,SUMIF('TL05'!$C$10:$C$224,$C88,'TL05'!$J$10:$J$224),0),
IF('TL05'!$B$229=M$3,SUMIF('TL05'!$C$238:$C$451,$C88,'TL05'!$J$238:$J$451),0),
IF('TL06'!$B$3=M$3,SUMIF('TL06'!$C$10:$C$224,$C88,'TL06'!$J$10:$J$224),0),
IF('TL06'!$B$229=M$3,SUMIF('TL06'!$C$238:$C$451,$C88,'TL06'!$J$238:$J$451),0),
IF('TL07'!$B$3=M$3,SUMIF('TL07'!$C$10:$C$224,$C88,'TL07'!$J$10:$J$224),0),
IF('TL07'!$B$229=M$3,SUMIF('TL07'!$C$238:$C$451,$C88,'TL07'!$J$238:$J$451),0),
IF('TL08'!$B$3=M$3,SUMIF('TL08'!$C$10:$C$224,$C88,'TL08'!$J$10:$J$224),0),
IF('TL08'!$B$229=M$3,SUMIF('TL08'!$C$238:$C$451,$C88,'TL08'!$J$238:$J$451),0),
IF('TL09'!$B$3=M$3,SUMIF('TL09'!$C$10:$C$224,$C88,'TL09'!$J$10:$J$224),0),
IF('TL09'!$B$229=M$3,SUMIF('TL09'!$C$238:$C$451,$C88,'TL09'!$J$238:$J$451),0),
IF('TL10'!$B$3=M$3,SUMIF('TL10'!$C$10:$C$224,$C88,'TL10'!$J$10:$J$224),0),
IF('TL10'!$B$229=M$3,SUMIF('TL10'!$C$238:$C$451,$C88,'TL10'!$J$238:$J$451),0),
IF('TL11'!$B$3=M$3,SUMIF('TL11'!$C$10:$C$224,$C88,'TL11'!$J$10:$J$224),0),
IF('TL11'!$B$229=M$3,SUMIF('TL11'!$C$238:$C$451,$C88,'TL11'!$J$238:$J$451),0),
IF('TL12'!$B$3=M$3,SUMIF('TL12'!$C$10:$C$224,$C88,'TL12'!$J$10:$J$224),0),
IF('TL12'!$B$229=M$3,SUMIF('TL12'!$C$238:$C$451,$C88,'TL12'!$J$238:$J$451),0),
IF('TL13'!$B$3=M$3,SUMIF('TL13'!$C$10:$C$224,$C88,'TL13'!$J$10:$J$224),0),
IF('TL13'!$B$229=M$3,SUMIF('TL13'!$C$238:$C$451,$C88,'TL13'!$J$238:$J$451),0),
IF('TL14'!$B$3=M$3,SUMIF('TL14'!$C$10:$C$224,$C88,'TL14'!$J$10:$J$224),0),
IF('TL14'!$B$229=M$3,SUMIF('TL14'!$C$238:$C$451,$C88,'TL14'!$J$238:$J$451),0),
IF('TL15'!$B$3=M$3,SUMIF('TL15'!$C$10:$C$224,$C88,'TL15'!$J$10:$J$224),0),
IF('TL15'!$B$229=M$3,SUMIF('TL15'!$C$238:$C$451,$C88,'TL15'!$J$238:$J$451),0),
IF('TL16'!$B$3=M$3,SUMIF('TL16'!$C$10:$C$224,$C88,'TL16'!$J$10:$J$224),0),
IF('TL16'!$B$229=M$3,SUMIF('TL16'!$C$238:$C$451,$C88,'TL16'!$J$238:$J$451),0),
IF('TL17'!$B$3=M$3,SUMIF('TL17'!$C$10:$C$224,$C88,'TL17'!$J$10:$J$224),0),
IF('TL17'!$B$229=M$3,SUMIF('TL17'!$C$238:$C$451,$C88,'TL17'!$J$238:$J$451),0),
IF('TL18'!$B$3=M$3,SUMIF('TL18'!$C$10:$C$224,$C88,'TL18'!$J$10:$J$224),0),
IF('TL18'!$B$229=M$3,SUMIF('TL18'!$C$238:$C$451,$C88,'TL18'!$J$238:$J$451),0),
IF('TL19'!$B$3=M$3,SUMIF('TL19'!$C$10:$C$224,$C88,'TL19'!$J$10:$J$224),0),
IF('TL19'!$B$229=M$3,SUMIF('TL19'!$C$238:$C$451,$C88,'TL19'!$J$238:$J$451),0)
),0)</f>
        <v>0</v>
      </c>
      <c r="N88" s="9">
        <f>IFERROR(SUM(
IF('TL01'!$B$3=N$3,SUMIF('TL01'!$C$10:$C$224,$C88,'TL01'!$J$10:$J$224),0),
IF('TL01'!$B$229=N$3,SUMIF('TL01'!$C$238:$C$451,$C88,'TL01'!$J$238:$J$451),0),
IF('TL02'!$B$3=N$3,SUMIF('TL02'!$C$10:$C$224,$C88,'TL02'!$J$10:$J$224),0),
IF('TL02'!$B$229=N$3,SUMIF('TL02'!$C$238:$C$451,$C88,'TL02'!$J$238:$J$451),0),
IF('TL03'!$B$3=N$3,SUMIF('TL03'!$C$10:$C$224,$C88,'TL03'!$J$10:$J$224),0),
IF('TL03'!$B$229=N$3,SUMIF('TL03'!$C$238:$C$451,$C88,'TL03'!$J$238:$J$451),0),
IF('TL04'!$B$3=N$3,SUMIF('TL04'!$C$10:$C$224,$C88,'TL04'!$J$10:$J$224),0),
IF('TL04'!$B$229=N$3,SUMIF('TL04'!$C$238:$C$451,$C88,'TL04'!$J$238:$J$451),0),
IF('TL05'!$B$3=N$3,SUMIF('TL05'!$C$10:$C$224,$C88,'TL05'!$J$10:$J$224),0),
IF('TL05'!$B$229=N$3,SUMIF('TL05'!$C$238:$C$451,$C88,'TL05'!$J$238:$J$451),0),
IF('TL06'!$B$3=N$3,SUMIF('TL06'!$C$10:$C$224,$C88,'TL06'!$J$10:$J$224),0),
IF('TL06'!$B$229=N$3,SUMIF('TL06'!$C$238:$C$451,$C88,'TL06'!$J$238:$J$451),0),
IF('TL07'!$B$3=N$3,SUMIF('TL07'!$C$10:$C$224,$C88,'TL07'!$J$10:$J$224),0),
IF('TL07'!$B$229=N$3,SUMIF('TL07'!$C$238:$C$451,$C88,'TL07'!$J$238:$J$451),0),
IF('TL08'!$B$3=N$3,SUMIF('TL08'!$C$10:$C$224,$C88,'TL08'!$J$10:$J$224),0),
IF('TL08'!$B$229=N$3,SUMIF('TL08'!$C$238:$C$451,$C88,'TL08'!$J$238:$J$451),0),
IF('TL09'!$B$3=N$3,SUMIF('TL09'!$C$10:$C$224,$C88,'TL09'!$J$10:$J$224),0),
IF('TL09'!$B$229=N$3,SUMIF('TL09'!$C$238:$C$451,$C88,'TL09'!$J$238:$J$451),0),
IF('TL10'!$B$3=N$3,SUMIF('TL10'!$C$10:$C$224,$C88,'TL10'!$J$10:$J$224),0),
IF('TL10'!$B$229=N$3,SUMIF('TL10'!$C$238:$C$451,$C88,'TL10'!$J$238:$J$451),0),
IF('TL11'!$B$3=N$3,SUMIF('TL11'!$C$10:$C$224,$C88,'TL11'!$J$10:$J$224),0),
IF('TL11'!$B$229=N$3,SUMIF('TL11'!$C$238:$C$451,$C88,'TL11'!$J$238:$J$451),0),
IF('TL12'!$B$3=N$3,SUMIF('TL12'!$C$10:$C$224,$C88,'TL12'!$J$10:$J$224),0),
IF('TL12'!$B$229=N$3,SUMIF('TL12'!$C$238:$C$451,$C88,'TL12'!$J$238:$J$451),0),
IF('TL13'!$B$3=N$3,SUMIF('TL13'!$C$10:$C$224,$C88,'TL13'!$J$10:$J$224),0),
IF('TL13'!$B$229=N$3,SUMIF('TL13'!$C$238:$C$451,$C88,'TL13'!$J$238:$J$451),0),
IF('TL14'!$B$3=N$3,SUMIF('TL14'!$C$10:$C$224,$C88,'TL14'!$J$10:$J$224),0),
IF('TL14'!$B$229=N$3,SUMIF('TL14'!$C$238:$C$451,$C88,'TL14'!$J$238:$J$451),0),
IF('TL15'!$B$3=N$3,SUMIF('TL15'!$C$10:$C$224,$C88,'TL15'!$J$10:$J$224),0),
IF('TL15'!$B$229=N$3,SUMIF('TL15'!$C$238:$C$451,$C88,'TL15'!$J$238:$J$451),0),
IF('TL16'!$B$3=N$3,SUMIF('TL16'!$C$10:$C$224,$C88,'TL16'!$J$10:$J$224),0),
IF('TL16'!$B$229=N$3,SUMIF('TL16'!$C$238:$C$451,$C88,'TL16'!$J$238:$J$451),0),
IF('TL17'!$B$3=N$3,SUMIF('TL17'!$C$10:$C$224,$C88,'TL17'!$J$10:$J$224),0),
IF('TL17'!$B$229=N$3,SUMIF('TL17'!$C$238:$C$451,$C88,'TL17'!$J$238:$J$451),0),
IF('TL18'!$B$3=N$3,SUMIF('TL18'!$C$10:$C$224,$C88,'TL18'!$J$10:$J$224),0),
IF('TL18'!$B$229=N$3,SUMIF('TL18'!$C$238:$C$451,$C88,'TL18'!$J$238:$J$451),0),
IF('TL19'!$B$3=N$3,SUMIF('TL19'!$C$10:$C$224,$C88,'TL19'!$J$10:$J$224),0),
IF('TL19'!$B$229=N$3,SUMIF('TL19'!$C$238:$C$451,$C88,'TL19'!$J$238:$J$451),0)
),0)</f>
        <v>0</v>
      </c>
      <c r="O88" s="9">
        <f>IFERROR(SUM(
IF('TL01'!$B$3=O$3,SUMIF('TL01'!$C$10:$C$224,$C88,'TL01'!$J$10:$J$224),0),
IF('TL01'!$B$229=O$3,SUMIF('TL01'!$C$238:$C$451,$C88,'TL01'!$J$238:$J$451),0),
IF('TL02'!$B$3=O$3,SUMIF('TL02'!$C$10:$C$224,$C88,'TL02'!$J$10:$J$224),0),
IF('TL02'!$B$229=O$3,SUMIF('TL02'!$C$238:$C$451,$C88,'TL02'!$J$238:$J$451),0),
IF('TL03'!$B$3=O$3,SUMIF('TL03'!$C$10:$C$224,$C88,'TL03'!$J$10:$J$224),0),
IF('TL03'!$B$229=O$3,SUMIF('TL03'!$C$238:$C$451,$C88,'TL03'!$J$238:$J$451),0),
IF('TL04'!$B$3=O$3,SUMIF('TL04'!$C$10:$C$224,$C88,'TL04'!$J$10:$J$224),0),
IF('TL04'!$B$229=O$3,SUMIF('TL04'!$C$238:$C$451,$C88,'TL04'!$J$238:$J$451),0),
IF('TL05'!$B$3=O$3,SUMIF('TL05'!$C$10:$C$224,$C88,'TL05'!$J$10:$J$224),0),
IF('TL05'!$B$229=O$3,SUMIF('TL05'!$C$238:$C$451,$C88,'TL05'!$J$238:$J$451),0),
IF('TL06'!$B$3=O$3,SUMIF('TL06'!$C$10:$C$224,$C88,'TL06'!$J$10:$J$224),0),
IF('TL06'!$B$229=O$3,SUMIF('TL06'!$C$238:$C$451,$C88,'TL06'!$J$238:$J$451),0),
IF('TL07'!$B$3=O$3,SUMIF('TL07'!$C$10:$C$224,$C88,'TL07'!$J$10:$J$224),0),
IF('TL07'!$B$229=O$3,SUMIF('TL07'!$C$238:$C$451,$C88,'TL07'!$J$238:$J$451),0),
IF('TL08'!$B$3=O$3,SUMIF('TL08'!$C$10:$C$224,$C88,'TL08'!$J$10:$J$224),0),
IF('TL08'!$B$229=O$3,SUMIF('TL08'!$C$238:$C$451,$C88,'TL08'!$J$238:$J$451),0),
IF('TL09'!$B$3=O$3,SUMIF('TL09'!$C$10:$C$224,$C88,'TL09'!$J$10:$J$224),0),
IF('TL09'!$B$229=O$3,SUMIF('TL09'!$C$238:$C$451,$C88,'TL09'!$J$238:$J$451),0),
IF('TL10'!$B$3=O$3,SUMIF('TL10'!$C$10:$C$224,$C88,'TL10'!$J$10:$J$224),0),
IF('TL10'!$B$229=O$3,SUMIF('TL10'!$C$238:$C$451,$C88,'TL10'!$J$238:$J$451),0),
IF('TL11'!$B$3=O$3,SUMIF('TL11'!$C$10:$C$224,$C88,'TL11'!$J$10:$J$224),0),
IF('TL11'!$B$229=O$3,SUMIF('TL11'!$C$238:$C$451,$C88,'TL11'!$J$238:$J$451),0),
IF('TL12'!$B$3=O$3,SUMIF('TL12'!$C$10:$C$224,$C88,'TL12'!$J$10:$J$224),0),
IF('TL12'!$B$229=O$3,SUMIF('TL12'!$C$238:$C$451,$C88,'TL12'!$J$238:$J$451),0),
IF('TL13'!$B$3=O$3,SUMIF('TL13'!$C$10:$C$224,$C88,'TL13'!$J$10:$J$224),0),
IF('TL13'!$B$229=O$3,SUMIF('TL13'!$C$238:$C$451,$C88,'TL13'!$J$238:$J$451),0),
IF('TL14'!$B$3=O$3,SUMIF('TL14'!$C$10:$C$224,$C88,'TL14'!$J$10:$J$224),0),
IF('TL14'!$B$229=O$3,SUMIF('TL14'!$C$238:$C$451,$C88,'TL14'!$J$238:$J$451),0),
IF('TL15'!$B$3=O$3,SUMIF('TL15'!$C$10:$C$224,$C88,'TL15'!$J$10:$J$224),0),
IF('TL15'!$B$229=O$3,SUMIF('TL15'!$C$238:$C$451,$C88,'TL15'!$J$238:$J$451),0),
IF('TL16'!$B$3=O$3,SUMIF('TL16'!$C$10:$C$224,$C88,'TL16'!$J$10:$J$224),0),
IF('TL16'!$B$229=O$3,SUMIF('TL16'!$C$238:$C$451,$C88,'TL16'!$J$238:$J$451),0),
IF('TL17'!$B$3=O$3,SUMIF('TL17'!$C$10:$C$224,$C88,'TL17'!$J$10:$J$224),0),
IF('TL17'!$B$229=O$3,SUMIF('TL17'!$C$238:$C$451,$C88,'TL17'!$J$238:$J$451),0),
IF('TL18'!$B$3=O$3,SUMIF('TL18'!$C$10:$C$224,$C88,'TL18'!$J$10:$J$224),0),
IF('TL18'!$B$229=O$3,SUMIF('TL18'!$C$238:$C$451,$C88,'TL18'!$J$238:$J$451),0),
IF('TL19'!$B$3=O$3,SUMIF('TL19'!$C$10:$C$224,$C88,'TL19'!$J$10:$J$224),0),
IF('TL19'!$B$229=O$3,SUMIF('TL19'!$C$238:$C$451,$C88,'TL19'!$J$238:$J$451),0)
),0)</f>
        <v>0</v>
      </c>
      <c r="P88" s="9">
        <f>IFERROR(SUM(
IF('TL01'!$B$3=P$3,SUMIF('TL01'!$C$10:$C$224,$C88,'TL01'!$J$10:$J$224),0),
IF('TL01'!$B$229=P$3,SUMIF('TL01'!$C$238:$C$451,$C88,'TL01'!$J$238:$J$451),0),
IF('TL02'!$B$3=P$3,SUMIF('TL02'!$C$10:$C$224,$C88,'TL02'!$J$10:$J$224),0),
IF('TL02'!$B$229=P$3,SUMIF('TL02'!$C$238:$C$451,$C88,'TL02'!$J$238:$J$451),0),
IF('TL03'!$B$3=P$3,SUMIF('TL03'!$C$10:$C$224,$C88,'TL03'!$J$10:$J$224),0),
IF('TL03'!$B$229=P$3,SUMIF('TL03'!$C$238:$C$451,$C88,'TL03'!$J$238:$J$451),0),
IF('TL04'!$B$3=P$3,SUMIF('TL04'!$C$10:$C$224,$C88,'TL04'!$J$10:$J$224),0),
IF('TL04'!$B$229=P$3,SUMIF('TL04'!$C$238:$C$451,$C88,'TL04'!$J$238:$J$451),0),
IF('TL05'!$B$3=P$3,SUMIF('TL05'!$C$10:$C$224,$C88,'TL05'!$J$10:$J$224),0),
IF('TL05'!$B$229=P$3,SUMIF('TL05'!$C$238:$C$451,$C88,'TL05'!$J$238:$J$451),0),
IF('TL06'!$B$3=P$3,SUMIF('TL06'!$C$10:$C$224,$C88,'TL06'!$J$10:$J$224),0),
IF('TL06'!$B$229=P$3,SUMIF('TL06'!$C$238:$C$451,$C88,'TL06'!$J$238:$J$451),0),
IF('TL07'!$B$3=P$3,SUMIF('TL07'!$C$10:$C$224,$C88,'TL07'!$J$10:$J$224),0),
IF('TL07'!$B$229=P$3,SUMIF('TL07'!$C$238:$C$451,$C88,'TL07'!$J$238:$J$451),0),
IF('TL08'!$B$3=P$3,SUMIF('TL08'!$C$10:$C$224,$C88,'TL08'!$J$10:$J$224),0),
IF('TL08'!$B$229=P$3,SUMIF('TL08'!$C$238:$C$451,$C88,'TL08'!$J$238:$J$451),0),
IF('TL09'!$B$3=P$3,SUMIF('TL09'!$C$10:$C$224,$C88,'TL09'!$J$10:$J$224),0),
IF('TL09'!$B$229=P$3,SUMIF('TL09'!$C$238:$C$451,$C88,'TL09'!$J$238:$J$451),0),
IF('TL10'!$B$3=P$3,SUMIF('TL10'!$C$10:$C$224,$C88,'TL10'!$J$10:$J$224),0),
IF('TL10'!$B$229=P$3,SUMIF('TL10'!$C$238:$C$451,$C88,'TL10'!$J$238:$J$451),0),
IF('TL11'!$B$3=P$3,SUMIF('TL11'!$C$10:$C$224,$C88,'TL11'!$J$10:$J$224),0),
IF('TL11'!$B$229=P$3,SUMIF('TL11'!$C$238:$C$451,$C88,'TL11'!$J$238:$J$451),0),
IF('TL12'!$B$3=P$3,SUMIF('TL12'!$C$10:$C$224,$C88,'TL12'!$J$10:$J$224),0),
IF('TL12'!$B$229=P$3,SUMIF('TL12'!$C$238:$C$451,$C88,'TL12'!$J$238:$J$451),0),
IF('TL13'!$B$3=P$3,SUMIF('TL13'!$C$10:$C$224,$C88,'TL13'!$J$10:$J$224),0),
IF('TL13'!$B$229=P$3,SUMIF('TL13'!$C$238:$C$451,$C88,'TL13'!$J$238:$J$451),0),
IF('TL14'!$B$3=P$3,SUMIF('TL14'!$C$10:$C$224,$C88,'TL14'!$J$10:$J$224),0),
IF('TL14'!$B$229=P$3,SUMIF('TL14'!$C$238:$C$451,$C88,'TL14'!$J$238:$J$451),0),
IF('TL15'!$B$3=P$3,SUMIF('TL15'!$C$10:$C$224,$C88,'TL15'!$J$10:$J$224),0),
IF('TL15'!$B$229=P$3,SUMIF('TL15'!$C$238:$C$451,$C88,'TL15'!$J$238:$J$451),0),
IF('TL16'!$B$3=P$3,SUMIF('TL16'!$C$10:$C$224,$C88,'TL16'!$J$10:$J$224),0),
IF('TL16'!$B$229=P$3,SUMIF('TL16'!$C$238:$C$451,$C88,'TL16'!$J$238:$J$451),0),
IF('TL17'!$B$3=P$3,SUMIF('TL17'!$C$10:$C$224,$C88,'TL17'!$J$10:$J$224),0),
IF('TL17'!$B$229=P$3,SUMIF('TL17'!$C$238:$C$451,$C88,'TL17'!$J$238:$J$451),0),
IF('TL18'!$B$3=P$3,SUMIF('TL18'!$C$10:$C$224,$C88,'TL18'!$J$10:$J$224),0),
IF('TL18'!$B$229=P$3,SUMIF('TL18'!$C$238:$C$451,$C88,'TL18'!$J$238:$J$451),0),
IF('TL19'!$B$3=P$3,SUMIF('TL19'!$C$10:$C$224,$C88,'TL19'!$J$10:$J$224),0),
IF('TL19'!$B$229=P$3,SUMIF('TL19'!$C$238:$C$451,$C88,'TL19'!$J$238:$J$451),0)
),0)</f>
        <v>0</v>
      </c>
      <c r="Q88" s="9">
        <f>IFERROR(SUM(
IF('TL01'!$B$3=Q$3,SUMIF('TL01'!$C$10:$C$224,$C88,'TL01'!$J$10:$J$224),0),
IF('TL01'!$B$229=Q$3,SUMIF('TL01'!$C$238:$C$451,$C88,'TL01'!$J$238:$J$451),0),
IF('TL02'!$B$3=Q$3,SUMIF('TL02'!$C$10:$C$224,$C88,'TL02'!$J$10:$J$224),0),
IF('TL02'!$B$229=Q$3,SUMIF('TL02'!$C$238:$C$451,$C88,'TL02'!$J$238:$J$451),0),
IF('TL03'!$B$3=Q$3,SUMIF('TL03'!$C$10:$C$224,$C88,'TL03'!$J$10:$J$224),0),
IF('TL03'!$B$229=Q$3,SUMIF('TL03'!$C$238:$C$451,$C88,'TL03'!$J$238:$J$451),0),
IF('TL04'!$B$3=Q$3,SUMIF('TL04'!$C$10:$C$224,$C88,'TL04'!$J$10:$J$224),0),
IF('TL04'!$B$229=Q$3,SUMIF('TL04'!$C$238:$C$451,$C88,'TL04'!$J$238:$J$451),0),
IF('TL05'!$B$3=Q$3,SUMIF('TL05'!$C$10:$C$224,$C88,'TL05'!$J$10:$J$224),0),
IF('TL05'!$B$229=Q$3,SUMIF('TL05'!$C$238:$C$451,$C88,'TL05'!$J$238:$J$451),0),
IF('TL06'!$B$3=Q$3,SUMIF('TL06'!$C$10:$C$224,$C88,'TL06'!$J$10:$J$224),0),
IF('TL06'!$B$229=Q$3,SUMIF('TL06'!$C$238:$C$451,$C88,'TL06'!$J$238:$J$451),0),
IF('TL07'!$B$3=Q$3,SUMIF('TL07'!$C$10:$C$224,$C88,'TL07'!$J$10:$J$224),0),
IF('TL07'!$B$229=Q$3,SUMIF('TL07'!$C$238:$C$451,$C88,'TL07'!$J$238:$J$451),0),
IF('TL08'!$B$3=Q$3,SUMIF('TL08'!$C$10:$C$224,$C88,'TL08'!$J$10:$J$224),0),
IF('TL08'!$B$229=Q$3,SUMIF('TL08'!$C$238:$C$451,$C88,'TL08'!$J$238:$J$451),0),
IF('TL09'!$B$3=Q$3,SUMIF('TL09'!$C$10:$C$224,$C88,'TL09'!$J$10:$J$224),0),
IF('TL09'!$B$229=Q$3,SUMIF('TL09'!$C$238:$C$451,$C88,'TL09'!$J$238:$J$451),0),
IF('TL10'!$B$3=Q$3,SUMIF('TL10'!$C$10:$C$224,$C88,'TL10'!$J$10:$J$224),0),
IF('TL10'!$B$229=Q$3,SUMIF('TL10'!$C$238:$C$451,$C88,'TL10'!$J$238:$J$451),0),
IF('TL11'!$B$3=Q$3,SUMIF('TL11'!$C$10:$C$224,$C88,'TL11'!$J$10:$J$224),0),
IF('TL11'!$B$229=Q$3,SUMIF('TL11'!$C$238:$C$451,$C88,'TL11'!$J$238:$J$451),0),
IF('TL12'!$B$3=Q$3,SUMIF('TL12'!$C$10:$C$224,$C88,'TL12'!$J$10:$J$224),0),
IF('TL12'!$B$229=Q$3,SUMIF('TL12'!$C$238:$C$451,$C88,'TL12'!$J$238:$J$451),0),
IF('TL13'!$B$3=Q$3,SUMIF('TL13'!$C$10:$C$224,$C88,'TL13'!$J$10:$J$224),0),
IF('TL13'!$B$229=Q$3,SUMIF('TL13'!$C$238:$C$451,$C88,'TL13'!$J$238:$J$451),0),
IF('TL14'!$B$3=Q$3,SUMIF('TL14'!$C$10:$C$224,$C88,'TL14'!$J$10:$J$224),0),
IF('TL14'!$B$229=Q$3,SUMIF('TL14'!$C$238:$C$451,$C88,'TL14'!$J$238:$J$451),0),
IF('TL15'!$B$3=Q$3,SUMIF('TL15'!$C$10:$C$224,$C88,'TL15'!$J$10:$J$224),0),
IF('TL15'!$B$229=Q$3,SUMIF('TL15'!$C$238:$C$451,$C88,'TL15'!$J$238:$J$451),0),
IF('TL16'!$B$3=Q$3,SUMIF('TL16'!$C$10:$C$224,$C88,'TL16'!$J$10:$J$224),0),
IF('TL16'!$B$229=Q$3,SUMIF('TL16'!$C$238:$C$451,$C88,'TL16'!$J$238:$J$451),0),
IF('TL17'!$B$3=Q$3,SUMIF('TL17'!$C$10:$C$224,$C88,'TL17'!$J$10:$J$224),0),
IF('TL17'!$B$229=Q$3,SUMIF('TL17'!$C$238:$C$451,$C88,'TL17'!$J$238:$J$451),0),
IF('TL18'!$B$3=Q$3,SUMIF('TL18'!$C$10:$C$224,$C88,'TL18'!$J$10:$J$224),0),
IF('TL18'!$B$229=Q$3,SUMIF('TL18'!$C$238:$C$451,$C88,'TL18'!$J$238:$J$451),0),
IF('TL19'!$B$3=Q$3,SUMIF('TL19'!$C$10:$C$224,$C88,'TL19'!$J$10:$J$224),0),
IF('TL19'!$B$229=Q$3,SUMIF('TL19'!$C$238:$C$451,$C88,'TL19'!$J$238:$J$451),0)
),0)</f>
        <v>0</v>
      </c>
      <c r="R88" s="9">
        <f>IFERROR(
SUM(
SUMIF('TL01'!C:C,C88,'TL01'!J:J),
SUMIF('TL02'!C:C,C88,'TL02'!J:J),
SUMIF('TL03'!C:C,C88,'TL03'!J:J),
SUMIF('TL04'!C:C,C88,'TL04'!J:J),
SUMIF('TL05'!C:C,C88,'TL05'!J:J),
SUMIF('TL06'!C:C,C88,'TL06'!J:J),
SUMIF('TL07'!C:C,C88,'TL07'!J:J),
SUMIF('TL08'!C:C,C88,'TL08'!J:J),
SUMIF('TL09'!C:C,C88,'TL09'!J:J),
SUMIF('TL10'!C:C,C88,'TL10'!J:J),
SUMIF('TL11'!C:C,C88,'TL11'!J:J),
SUMIF('TL12'!C:C,C88,'TL12'!J:J),
SUMIF('TL13'!C:C,C88,'TL13'!J:J),
SUMIF('TL14'!C:C,C88,'TL14'!J:J),
SUMIF('TL15'!C:C,C88,'TL15'!J:J),
SUMIF('TL16'!C:C,C88,'TL16'!J:J),
SUMIF('TL17'!C:C,C88,'TL17'!J:J),
SUMIF('TL18'!C:C,C88,'TL18'!J:J),SUMIF('TL19'!C:C,C88,'TL19'!J:J))
,0)</f>
        <v>0</v>
      </c>
      <c r="S88" s="17">
        <f>IFERROR(__xludf.DUMMYFUNCTION("IFERROR(VLOOKUP(C88,
IMPORTRANGE(""1wULbzX32WdYsx-lj2U3uUNBBe2INVIRDtcK0d-Dvl90"",
""26-27!C:G""),
5,
FALSE),
"""")"),40.946400000000004)</f>
        <v>40.9464</v>
      </c>
      <c r="T88" s="9"/>
      <c r="U88" s="92">
        <f t="shared" si="2"/>
        <v>0</v>
      </c>
      <c r="V88" s="93">
        <f t="shared" si="3"/>
        <v>0</v>
      </c>
    </row>
    <row r="89" ht="15.75" hidden="1" customHeight="1">
      <c r="A89" s="111" t="s">
        <v>356</v>
      </c>
      <c r="B89" s="112" t="s">
        <v>0</v>
      </c>
      <c r="C89" s="113" t="s">
        <v>564</v>
      </c>
      <c r="D89" s="113" t="s">
        <v>485</v>
      </c>
      <c r="E89" s="113">
        <v>800.0</v>
      </c>
      <c r="F89" s="4" t="s">
        <v>392</v>
      </c>
      <c r="G89" s="90" t="str">
        <f t="shared" si="4"/>
        <v>📄 Ver bula</v>
      </c>
      <c r="H89" s="9">
        <f>IFERROR(__xludf.DUMMYFUNCTION("IFERROR(VLOOKUP(C89,
IMPORTRANGE(""1wULbzX32WdYsx-lj2U3uUNBBe2INVIRDtcK0d-Dvl90"",
""26-27!C:K""),
8,
FALSE),
"""")"),1.5)</f>
        <v>1.5</v>
      </c>
      <c r="I89" s="114" t="s">
        <v>377</v>
      </c>
      <c r="J89" s="9">
        <f>IFERROR(SUM(
IF('TL01'!$B$3=J$3,SUMIF('TL01'!$C$10:$C$224,$C89,'TL01'!$J$10:$J$224),0),
IF('TL01'!$B$229=J$3,SUMIF('TL01'!$C$238:$C$451,$C89,'TL01'!$J$238:$J$451),0),
IF('TL02'!$B$3=J$3,SUMIF('TL02'!$C$10:$C$224,$C89,'TL02'!$J$10:$J$224),0),
IF('TL02'!$B$229=J$3,SUMIF('TL02'!$C$238:$C$451,$C89,'TL02'!$J$238:$J$451),0),
IF('TL03'!$B$3=J$3,SUMIF('TL03'!$C$10:$C$224,$C89,'TL03'!$J$10:$J$224),0),
IF('TL03'!$B$229=J$3,SUMIF('TL03'!$C$238:$C$451,$C89,'TL03'!$J$238:$J$451),0),
IF('TL04'!$B$3=J$3,SUMIF('TL04'!$C$10:$C$224,$C89,'TL04'!$J$10:$J$224),0),
IF('TL04'!$B$229=J$3,SUMIF('TL04'!$C$238:$C$451,$C89,'TL04'!$J$238:$J$451),0),
IF('TL05'!$B$3=J$3,SUMIF('TL05'!$C$10:$C$224,$C89,'TL05'!$J$10:$J$224),0),
IF('TL05'!$B$229=J$3,SUMIF('TL05'!$C$238:$C$451,$C89,'TL05'!$J$238:$J$451),0),
IF('TL06'!$B$3=J$3,SUMIF('TL06'!$C$10:$C$224,$C89,'TL06'!$J$10:$J$224),0),
IF('TL06'!$B$229=J$3,SUMIF('TL06'!$C$238:$C$451,$C89,'TL06'!$J$238:$J$451),0),
IF('TL07'!$B$3=J$3,SUMIF('TL07'!$C$10:$C$224,$C89,'TL07'!$J$10:$J$224),0),
IF('TL07'!$B$229=J$3,SUMIF('TL07'!$C$238:$C$451,$C89,'TL07'!$J$238:$J$451),0),
IF('TL08'!$B$3=J$3,SUMIF('TL08'!$C$10:$C$224,$C89,'TL08'!$J$10:$J$224),0),
IF('TL08'!$B$229=J$3,SUMIF('TL08'!$C$238:$C$451,$C89,'TL08'!$J$238:$J$451),0),
IF('TL09'!$B$3=J$3,SUMIF('TL09'!$C$10:$C$224,$C89,'TL09'!$J$10:$J$224),0),
IF('TL09'!$B$229=J$3,SUMIF('TL09'!$C$238:$C$451,$C89,'TL09'!$J$238:$J$451),0),
IF('TL10'!$B$3=J$3,SUMIF('TL10'!$C$10:$C$224,$C89,'TL10'!$J$10:$J$224),0),
IF('TL10'!$B$229=J$3,SUMIF('TL10'!$C$238:$C$451,$C89,'TL10'!$J$238:$J$451),0),
IF('TL11'!$B$3=J$3,SUMIF('TL11'!$C$10:$C$224,$C89,'TL11'!$J$10:$J$224),0),
IF('TL11'!$B$229=J$3,SUMIF('TL11'!$C$238:$C$451,$C89,'TL11'!$J$238:$J$451),0),
IF('TL12'!$B$3=J$3,SUMIF('TL12'!$C$10:$C$224,$C89,'TL12'!$J$10:$J$224),0),
IF('TL12'!$B$229=J$3,SUMIF('TL12'!$C$238:$C$451,$C89,'TL12'!$J$238:$J$451),0),
IF('TL13'!$B$3=J$3,SUMIF('TL13'!$C$10:$C$224,$C89,'TL13'!$J$10:$J$224),0),
IF('TL13'!$B$229=J$3,SUMIF('TL13'!$C$238:$C$451,$C89,'TL13'!$J$238:$J$451),0),
IF('TL14'!$B$3=J$3,SUMIF('TL14'!$C$10:$C$224,$C89,'TL14'!$J$10:$J$224),0),
IF('TL14'!$B$229=J$3,SUMIF('TL14'!$C$238:$C$451,$C89,'TL14'!$J$238:$J$451),0),
IF('TL15'!$B$3=J$3,SUMIF('TL15'!$C$10:$C$224,$C89,'TL15'!$J$10:$J$224),0),
IF('TL15'!$B$229=J$3,SUMIF('TL15'!$C$238:$C$451,$C89,'TL15'!$J$238:$J$451),0),
IF('TL16'!$B$3=J$3,SUMIF('TL16'!$C$10:$C$224,$C89,'TL16'!$J$10:$J$224),0),
IF('TL16'!$B$229=J$3,SUMIF('TL16'!$C$238:$C$451,$C89,'TL16'!$J$238:$J$451),0),
IF('TL17'!$B$3=J$3,SUMIF('TL17'!$C$10:$C$224,$C89,'TL17'!$J$10:$J$224),0),
IF('TL17'!$B$229=J$3,SUMIF('TL17'!$C$238:$C$451,$C89,'TL17'!$J$238:$J$451),0),
IF('TL18'!$B$3=J$3,SUMIF('TL18'!$C$10:$C$224,$C89,'TL18'!$J$10:$J$224),0),
IF('TL18'!$B$229=J$3,SUMIF('TL18'!$C$238:$C$451,$C89,'TL18'!$J$238:$J$451),0),
IF('TL19'!$B$3=J$3,SUMIF('TL19'!$C$10:$C$224,$C89,'TL19'!$J$10:$J$224),0),
IF('TL19'!$B$229=J$3,SUMIF('TL19'!$C$238:$C$451,$C89,'TL19'!$J$238:$J$451),0)
),0)</f>
        <v>0</v>
      </c>
      <c r="K89" s="9">
        <f>IFERROR(SUM(
IF('TL01'!$B$3=K$3,SUMIF('TL01'!$C$10:$C$224,$C89,'TL01'!$J$10:$J$224),0),
IF('TL01'!$B$229=K$3,SUMIF('TL01'!$C$238:$C$451,$C89,'TL01'!$J$238:$J$451),0),
IF('TL02'!$B$3=K$3,SUMIF('TL02'!$C$10:$C$224,$C89,'TL02'!$J$10:$J$224),0),
IF('TL02'!$B$229=K$3,SUMIF('TL02'!$C$238:$C$451,$C89,'TL02'!$J$238:$J$451),0),
IF('TL03'!$B$3=K$3,SUMIF('TL03'!$C$10:$C$224,$C89,'TL03'!$J$10:$J$224),0),
IF('TL03'!$B$229=K$3,SUMIF('TL03'!$C$238:$C$451,$C89,'TL03'!$J$238:$J$451),0),
IF('TL04'!$B$3=K$3,SUMIF('TL04'!$C$10:$C$224,$C89,'TL04'!$J$10:$J$224),0),
IF('TL04'!$B$229=K$3,SUMIF('TL04'!$C$238:$C$451,$C89,'TL04'!$J$238:$J$451),0),
IF('TL05'!$B$3=K$3,SUMIF('TL05'!$C$10:$C$224,$C89,'TL05'!$J$10:$J$224),0),
IF('TL05'!$B$229=K$3,SUMIF('TL05'!$C$238:$C$451,$C89,'TL05'!$J$238:$J$451),0),
IF('TL06'!$B$3=K$3,SUMIF('TL06'!$C$10:$C$224,$C89,'TL06'!$J$10:$J$224),0),
IF('TL06'!$B$229=K$3,SUMIF('TL06'!$C$238:$C$451,$C89,'TL06'!$J$238:$J$451),0),
IF('TL07'!$B$3=K$3,SUMIF('TL07'!$C$10:$C$224,$C89,'TL07'!$J$10:$J$224),0),
IF('TL07'!$B$229=K$3,SUMIF('TL07'!$C$238:$C$451,$C89,'TL07'!$J$238:$J$451),0),
IF('TL08'!$B$3=K$3,SUMIF('TL08'!$C$10:$C$224,$C89,'TL08'!$J$10:$J$224),0),
IF('TL08'!$B$229=K$3,SUMIF('TL08'!$C$238:$C$451,$C89,'TL08'!$J$238:$J$451),0),
IF('TL09'!$B$3=K$3,SUMIF('TL09'!$C$10:$C$224,$C89,'TL09'!$J$10:$J$224),0),
IF('TL09'!$B$229=K$3,SUMIF('TL09'!$C$238:$C$451,$C89,'TL09'!$J$238:$J$451),0),
IF('TL10'!$B$3=K$3,SUMIF('TL10'!$C$10:$C$224,$C89,'TL10'!$J$10:$J$224),0),
IF('TL10'!$B$229=K$3,SUMIF('TL10'!$C$238:$C$451,$C89,'TL10'!$J$238:$J$451),0),
IF('TL11'!$B$3=K$3,SUMIF('TL11'!$C$10:$C$224,$C89,'TL11'!$J$10:$J$224),0),
IF('TL11'!$B$229=K$3,SUMIF('TL11'!$C$238:$C$451,$C89,'TL11'!$J$238:$J$451),0),
IF('TL12'!$B$3=K$3,SUMIF('TL12'!$C$10:$C$224,$C89,'TL12'!$J$10:$J$224),0),
IF('TL12'!$B$229=K$3,SUMIF('TL12'!$C$238:$C$451,$C89,'TL12'!$J$238:$J$451),0),
IF('TL13'!$B$3=K$3,SUMIF('TL13'!$C$10:$C$224,$C89,'TL13'!$J$10:$J$224),0),
IF('TL13'!$B$229=K$3,SUMIF('TL13'!$C$238:$C$451,$C89,'TL13'!$J$238:$J$451),0),
IF('TL14'!$B$3=K$3,SUMIF('TL14'!$C$10:$C$224,$C89,'TL14'!$J$10:$J$224),0),
IF('TL14'!$B$229=K$3,SUMIF('TL14'!$C$238:$C$451,$C89,'TL14'!$J$238:$J$451),0),
IF('TL15'!$B$3=K$3,SUMIF('TL15'!$C$10:$C$224,$C89,'TL15'!$J$10:$J$224),0),
IF('TL15'!$B$229=K$3,SUMIF('TL15'!$C$238:$C$451,$C89,'TL15'!$J$238:$J$451),0),
IF('TL16'!$B$3=K$3,SUMIF('TL16'!$C$10:$C$224,$C89,'TL16'!$J$10:$J$224),0),
IF('TL16'!$B$229=K$3,SUMIF('TL16'!$C$238:$C$451,$C89,'TL16'!$J$238:$J$451),0),
IF('TL17'!$B$3=K$3,SUMIF('TL17'!$C$10:$C$224,$C89,'TL17'!$J$10:$J$224),0),
IF('TL17'!$B$229=K$3,SUMIF('TL17'!$C$238:$C$451,$C89,'TL17'!$J$238:$J$451),0),
IF('TL18'!$B$3=K$3,SUMIF('TL18'!$C$10:$C$224,$C89,'TL18'!$J$10:$J$224),0),
IF('TL18'!$B$229=K$3,SUMIF('TL18'!$C$238:$C$451,$C89,'TL18'!$J$238:$J$451),0),
IF('TL19'!$B$3=K$3,SUMIF('TL19'!$C$10:$C$224,$C89,'TL19'!$J$10:$J$224),0),
IF('TL19'!$B$229=K$3,SUMIF('TL19'!$C$238:$C$451,$C89,'TL19'!$J$238:$J$451),0)
),0)</f>
        <v>0</v>
      </c>
      <c r="L89" s="9">
        <f>IFERROR(SUM(
IF('TL01'!$B$3=L$3,SUMIF('TL01'!$C$10:$C$224,$C89,'TL01'!$J$10:$J$224),0),
IF('TL01'!$B$229=L$3,SUMIF('TL01'!$C$238:$C$451,$C89,'TL01'!$J$238:$J$451),0),
IF('TL02'!$B$3=L$3,SUMIF('TL02'!$C$10:$C$224,$C89,'TL02'!$J$10:$J$224),0),
IF('TL02'!$B$229=L$3,SUMIF('TL02'!$C$238:$C$451,$C89,'TL02'!$J$238:$J$451),0),
IF('TL03'!$B$3=L$3,SUMIF('TL03'!$C$10:$C$224,$C89,'TL03'!$J$10:$J$224),0),
IF('TL03'!$B$229=L$3,SUMIF('TL03'!$C$238:$C$451,$C89,'TL03'!$J$238:$J$451),0),
IF('TL04'!$B$3=L$3,SUMIF('TL04'!$C$10:$C$224,$C89,'TL04'!$J$10:$J$224),0),
IF('TL04'!$B$229=L$3,SUMIF('TL04'!$C$238:$C$451,$C89,'TL04'!$J$238:$J$451),0),
IF('TL05'!$B$3=L$3,SUMIF('TL05'!$C$10:$C$224,$C89,'TL05'!$J$10:$J$224),0),
IF('TL05'!$B$229=L$3,SUMIF('TL05'!$C$238:$C$451,$C89,'TL05'!$J$238:$J$451),0),
IF('TL06'!$B$3=L$3,SUMIF('TL06'!$C$10:$C$224,$C89,'TL06'!$J$10:$J$224),0),
IF('TL06'!$B$229=L$3,SUMIF('TL06'!$C$238:$C$451,$C89,'TL06'!$J$238:$J$451),0),
IF('TL07'!$B$3=L$3,SUMIF('TL07'!$C$10:$C$224,$C89,'TL07'!$J$10:$J$224),0),
IF('TL07'!$B$229=L$3,SUMIF('TL07'!$C$238:$C$451,$C89,'TL07'!$J$238:$J$451),0),
IF('TL08'!$B$3=L$3,SUMIF('TL08'!$C$10:$C$224,$C89,'TL08'!$J$10:$J$224),0),
IF('TL08'!$B$229=L$3,SUMIF('TL08'!$C$238:$C$451,$C89,'TL08'!$J$238:$J$451),0),
IF('TL09'!$B$3=L$3,SUMIF('TL09'!$C$10:$C$224,$C89,'TL09'!$J$10:$J$224),0),
IF('TL09'!$B$229=L$3,SUMIF('TL09'!$C$238:$C$451,$C89,'TL09'!$J$238:$J$451),0),
IF('TL10'!$B$3=L$3,SUMIF('TL10'!$C$10:$C$224,$C89,'TL10'!$J$10:$J$224),0),
IF('TL10'!$B$229=L$3,SUMIF('TL10'!$C$238:$C$451,$C89,'TL10'!$J$238:$J$451),0),
IF('TL11'!$B$3=L$3,SUMIF('TL11'!$C$10:$C$224,$C89,'TL11'!$J$10:$J$224),0),
IF('TL11'!$B$229=L$3,SUMIF('TL11'!$C$238:$C$451,$C89,'TL11'!$J$238:$J$451),0),
IF('TL12'!$B$3=L$3,SUMIF('TL12'!$C$10:$C$224,$C89,'TL12'!$J$10:$J$224),0),
IF('TL12'!$B$229=L$3,SUMIF('TL12'!$C$238:$C$451,$C89,'TL12'!$J$238:$J$451),0),
IF('TL13'!$B$3=L$3,SUMIF('TL13'!$C$10:$C$224,$C89,'TL13'!$J$10:$J$224),0),
IF('TL13'!$B$229=L$3,SUMIF('TL13'!$C$238:$C$451,$C89,'TL13'!$J$238:$J$451),0),
IF('TL14'!$B$3=L$3,SUMIF('TL14'!$C$10:$C$224,$C89,'TL14'!$J$10:$J$224),0),
IF('TL14'!$B$229=L$3,SUMIF('TL14'!$C$238:$C$451,$C89,'TL14'!$J$238:$J$451),0),
IF('TL15'!$B$3=L$3,SUMIF('TL15'!$C$10:$C$224,$C89,'TL15'!$J$10:$J$224),0),
IF('TL15'!$B$229=L$3,SUMIF('TL15'!$C$238:$C$451,$C89,'TL15'!$J$238:$J$451),0),
IF('TL16'!$B$3=L$3,SUMIF('TL16'!$C$10:$C$224,$C89,'TL16'!$J$10:$J$224),0),
IF('TL16'!$B$229=L$3,SUMIF('TL16'!$C$238:$C$451,$C89,'TL16'!$J$238:$J$451),0),
IF('TL17'!$B$3=L$3,SUMIF('TL17'!$C$10:$C$224,$C89,'TL17'!$J$10:$J$224),0),
IF('TL17'!$B$229=L$3,SUMIF('TL17'!$C$238:$C$451,$C89,'TL17'!$J$238:$J$451),0),
IF('TL18'!$B$3=L$3,SUMIF('TL18'!$C$10:$C$224,$C89,'TL18'!$J$10:$J$224),0),
IF('TL18'!$B$229=L$3,SUMIF('TL18'!$C$238:$C$451,$C89,'TL18'!$J$238:$J$451),0),
IF('TL19'!$B$3=L$3,SUMIF('TL19'!$C$10:$C$224,$C89,'TL19'!$J$10:$J$224),0),
IF('TL19'!$B$229=L$3,SUMIF('TL19'!$C$238:$C$451,$C89,'TL19'!$J$238:$J$451),0)
),0)</f>
        <v>0</v>
      </c>
      <c r="M89" s="9">
        <f>IFERROR(SUM(
IF('TL01'!$B$3=M$3,SUMIF('TL01'!$C$10:$C$224,$C89,'TL01'!$J$10:$J$224),0),
IF('TL01'!$B$229=M$3,SUMIF('TL01'!$C$238:$C$451,$C89,'TL01'!$J$238:$J$451),0),
IF('TL02'!$B$3=M$3,SUMIF('TL02'!$C$10:$C$224,$C89,'TL02'!$J$10:$J$224),0),
IF('TL02'!$B$229=M$3,SUMIF('TL02'!$C$238:$C$451,$C89,'TL02'!$J$238:$J$451),0),
IF('TL03'!$B$3=M$3,SUMIF('TL03'!$C$10:$C$224,$C89,'TL03'!$J$10:$J$224),0),
IF('TL03'!$B$229=M$3,SUMIF('TL03'!$C$238:$C$451,$C89,'TL03'!$J$238:$J$451),0),
IF('TL04'!$B$3=M$3,SUMIF('TL04'!$C$10:$C$224,$C89,'TL04'!$J$10:$J$224),0),
IF('TL04'!$B$229=M$3,SUMIF('TL04'!$C$238:$C$451,$C89,'TL04'!$J$238:$J$451),0),
IF('TL05'!$B$3=M$3,SUMIF('TL05'!$C$10:$C$224,$C89,'TL05'!$J$10:$J$224),0),
IF('TL05'!$B$229=M$3,SUMIF('TL05'!$C$238:$C$451,$C89,'TL05'!$J$238:$J$451),0),
IF('TL06'!$B$3=M$3,SUMIF('TL06'!$C$10:$C$224,$C89,'TL06'!$J$10:$J$224),0),
IF('TL06'!$B$229=M$3,SUMIF('TL06'!$C$238:$C$451,$C89,'TL06'!$J$238:$J$451),0),
IF('TL07'!$B$3=M$3,SUMIF('TL07'!$C$10:$C$224,$C89,'TL07'!$J$10:$J$224),0),
IF('TL07'!$B$229=M$3,SUMIF('TL07'!$C$238:$C$451,$C89,'TL07'!$J$238:$J$451),0),
IF('TL08'!$B$3=M$3,SUMIF('TL08'!$C$10:$C$224,$C89,'TL08'!$J$10:$J$224),0),
IF('TL08'!$B$229=M$3,SUMIF('TL08'!$C$238:$C$451,$C89,'TL08'!$J$238:$J$451),0),
IF('TL09'!$B$3=M$3,SUMIF('TL09'!$C$10:$C$224,$C89,'TL09'!$J$10:$J$224),0),
IF('TL09'!$B$229=M$3,SUMIF('TL09'!$C$238:$C$451,$C89,'TL09'!$J$238:$J$451),0),
IF('TL10'!$B$3=M$3,SUMIF('TL10'!$C$10:$C$224,$C89,'TL10'!$J$10:$J$224),0),
IF('TL10'!$B$229=M$3,SUMIF('TL10'!$C$238:$C$451,$C89,'TL10'!$J$238:$J$451),0),
IF('TL11'!$B$3=M$3,SUMIF('TL11'!$C$10:$C$224,$C89,'TL11'!$J$10:$J$224),0),
IF('TL11'!$B$229=M$3,SUMIF('TL11'!$C$238:$C$451,$C89,'TL11'!$J$238:$J$451),0),
IF('TL12'!$B$3=M$3,SUMIF('TL12'!$C$10:$C$224,$C89,'TL12'!$J$10:$J$224),0),
IF('TL12'!$B$229=M$3,SUMIF('TL12'!$C$238:$C$451,$C89,'TL12'!$J$238:$J$451),0),
IF('TL13'!$B$3=M$3,SUMIF('TL13'!$C$10:$C$224,$C89,'TL13'!$J$10:$J$224),0),
IF('TL13'!$B$229=M$3,SUMIF('TL13'!$C$238:$C$451,$C89,'TL13'!$J$238:$J$451),0),
IF('TL14'!$B$3=M$3,SUMIF('TL14'!$C$10:$C$224,$C89,'TL14'!$J$10:$J$224),0),
IF('TL14'!$B$229=M$3,SUMIF('TL14'!$C$238:$C$451,$C89,'TL14'!$J$238:$J$451),0),
IF('TL15'!$B$3=M$3,SUMIF('TL15'!$C$10:$C$224,$C89,'TL15'!$J$10:$J$224),0),
IF('TL15'!$B$229=M$3,SUMIF('TL15'!$C$238:$C$451,$C89,'TL15'!$J$238:$J$451),0),
IF('TL16'!$B$3=M$3,SUMIF('TL16'!$C$10:$C$224,$C89,'TL16'!$J$10:$J$224),0),
IF('TL16'!$B$229=M$3,SUMIF('TL16'!$C$238:$C$451,$C89,'TL16'!$J$238:$J$451),0),
IF('TL17'!$B$3=M$3,SUMIF('TL17'!$C$10:$C$224,$C89,'TL17'!$J$10:$J$224),0),
IF('TL17'!$B$229=M$3,SUMIF('TL17'!$C$238:$C$451,$C89,'TL17'!$J$238:$J$451),0),
IF('TL18'!$B$3=M$3,SUMIF('TL18'!$C$10:$C$224,$C89,'TL18'!$J$10:$J$224),0),
IF('TL18'!$B$229=M$3,SUMIF('TL18'!$C$238:$C$451,$C89,'TL18'!$J$238:$J$451),0),
IF('TL19'!$B$3=M$3,SUMIF('TL19'!$C$10:$C$224,$C89,'TL19'!$J$10:$J$224),0),
IF('TL19'!$B$229=M$3,SUMIF('TL19'!$C$238:$C$451,$C89,'TL19'!$J$238:$J$451),0)
),0)</f>
        <v>0</v>
      </c>
      <c r="N89" s="9">
        <f>IFERROR(SUM(
IF('TL01'!$B$3=N$3,SUMIF('TL01'!$C$10:$C$224,$C89,'TL01'!$J$10:$J$224),0),
IF('TL01'!$B$229=N$3,SUMIF('TL01'!$C$238:$C$451,$C89,'TL01'!$J$238:$J$451),0),
IF('TL02'!$B$3=N$3,SUMIF('TL02'!$C$10:$C$224,$C89,'TL02'!$J$10:$J$224),0),
IF('TL02'!$B$229=N$3,SUMIF('TL02'!$C$238:$C$451,$C89,'TL02'!$J$238:$J$451),0),
IF('TL03'!$B$3=N$3,SUMIF('TL03'!$C$10:$C$224,$C89,'TL03'!$J$10:$J$224),0),
IF('TL03'!$B$229=N$3,SUMIF('TL03'!$C$238:$C$451,$C89,'TL03'!$J$238:$J$451),0),
IF('TL04'!$B$3=N$3,SUMIF('TL04'!$C$10:$C$224,$C89,'TL04'!$J$10:$J$224),0),
IF('TL04'!$B$229=N$3,SUMIF('TL04'!$C$238:$C$451,$C89,'TL04'!$J$238:$J$451),0),
IF('TL05'!$B$3=N$3,SUMIF('TL05'!$C$10:$C$224,$C89,'TL05'!$J$10:$J$224),0),
IF('TL05'!$B$229=N$3,SUMIF('TL05'!$C$238:$C$451,$C89,'TL05'!$J$238:$J$451),0),
IF('TL06'!$B$3=N$3,SUMIF('TL06'!$C$10:$C$224,$C89,'TL06'!$J$10:$J$224),0),
IF('TL06'!$B$229=N$3,SUMIF('TL06'!$C$238:$C$451,$C89,'TL06'!$J$238:$J$451),0),
IF('TL07'!$B$3=N$3,SUMIF('TL07'!$C$10:$C$224,$C89,'TL07'!$J$10:$J$224),0),
IF('TL07'!$B$229=N$3,SUMIF('TL07'!$C$238:$C$451,$C89,'TL07'!$J$238:$J$451),0),
IF('TL08'!$B$3=N$3,SUMIF('TL08'!$C$10:$C$224,$C89,'TL08'!$J$10:$J$224),0),
IF('TL08'!$B$229=N$3,SUMIF('TL08'!$C$238:$C$451,$C89,'TL08'!$J$238:$J$451),0),
IF('TL09'!$B$3=N$3,SUMIF('TL09'!$C$10:$C$224,$C89,'TL09'!$J$10:$J$224),0),
IF('TL09'!$B$229=N$3,SUMIF('TL09'!$C$238:$C$451,$C89,'TL09'!$J$238:$J$451),0),
IF('TL10'!$B$3=N$3,SUMIF('TL10'!$C$10:$C$224,$C89,'TL10'!$J$10:$J$224),0),
IF('TL10'!$B$229=N$3,SUMIF('TL10'!$C$238:$C$451,$C89,'TL10'!$J$238:$J$451),0),
IF('TL11'!$B$3=N$3,SUMIF('TL11'!$C$10:$C$224,$C89,'TL11'!$J$10:$J$224),0),
IF('TL11'!$B$229=N$3,SUMIF('TL11'!$C$238:$C$451,$C89,'TL11'!$J$238:$J$451),0),
IF('TL12'!$B$3=N$3,SUMIF('TL12'!$C$10:$C$224,$C89,'TL12'!$J$10:$J$224),0),
IF('TL12'!$B$229=N$3,SUMIF('TL12'!$C$238:$C$451,$C89,'TL12'!$J$238:$J$451),0),
IF('TL13'!$B$3=N$3,SUMIF('TL13'!$C$10:$C$224,$C89,'TL13'!$J$10:$J$224),0),
IF('TL13'!$B$229=N$3,SUMIF('TL13'!$C$238:$C$451,$C89,'TL13'!$J$238:$J$451),0),
IF('TL14'!$B$3=N$3,SUMIF('TL14'!$C$10:$C$224,$C89,'TL14'!$J$10:$J$224),0),
IF('TL14'!$B$229=N$3,SUMIF('TL14'!$C$238:$C$451,$C89,'TL14'!$J$238:$J$451),0),
IF('TL15'!$B$3=N$3,SUMIF('TL15'!$C$10:$C$224,$C89,'TL15'!$J$10:$J$224),0),
IF('TL15'!$B$229=N$3,SUMIF('TL15'!$C$238:$C$451,$C89,'TL15'!$J$238:$J$451),0),
IF('TL16'!$B$3=N$3,SUMIF('TL16'!$C$10:$C$224,$C89,'TL16'!$J$10:$J$224),0),
IF('TL16'!$B$229=N$3,SUMIF('TL16'!$C$238:$C$451,$C89,'TL16'!$J$238:$J$451),0),
IF('TL17'!$B$3=N$3,SUMIF('TL17'!$C$10:$C$224,$C89,'TL17'!$J$10:$J$224),0),
IF('TL17'!$B$229=N$3,SUMIF('TL17'!$C$238:$C$451,$C89,'TL17'!$J$238:$J$451),0),
IF('TL18'!$B$3=N$3,SUMIF('TL18'!$C$10:$C$224,$C89,'TL18'!$J$10:$J$224),0),
IF('TL18'!$B$229=N$3,SUMIF('TL18'!$C$238:$C$451,$C89,'TL18'!$J$238:$J$451),0),
IF('TL19'!$B$3=N$3,SUMIF('TL19'!$C$10:$C$224,$C89,'TL19'!$J$10:$J$224),0),
IF('TL19'!$B$229=N$3,SUMIF('TL19'!$C$238:$C$451,$C89,'TL19'!$J$238:$J$451),0)
),0)</f>
        <v>0</v>
      </c>
      <c r="O89" s="9">
        <f>IFERROR(SUM(
IF('TL01'!$B$3=O$3,SUMIF('TL01'!$C$10:$C$224,$C89,'TL01'!$J$10:$J$224),0),
IF('TL01'!$B$229=O$3,SUMIF('TL01'!$C$238:$C$451,$C89,'TL01'!$J$238:$J$451),0),
IF('TL02'!$B$3=O$3,SUMIF('TL02'!$C$10:$C$224,$C89,'TL02'!$J$10:$J$224),0),
IF('TL02'!$B$229=O$3,SUMIF('TL02'!$C$238:$C$451,$C89,'TL02'!$J$238:$J$451),0),
IF('TL03'!$B$3=O$3,SUMIF('TL03'!$C$10:$C$224,$C89,'TL03'!$J$10:$J$224),0),
IF('TL03'!$B$229=O$3,SUMIF('TL03'!$C$238:$C$451,$C89,'TL03'!$J$238:$J$451),0),
IF('TL04'!$B$3=O$3,SUMIF('TL04'!$C$10:$C$224,$C89,'TL04'!$J$10:$J$224),0),
IF('TL04'!$B$229=O$3,SUMIF('TL04'!$C$238:$C$451,$C89,'TL04'!$J$238:$J$451),0),
IF('TL05'!$B$3=O$3,SUMIF('TL05'!$C$10:$C$224,$C89,'TL05'!$J$10:$J$224),0),
IF('TL05'!$B$229=O$3,SUMIF('TL05'!$C$238:$C$451,$C89,'TL05'!$J$238:$J$451),0),
IF('TL06'!$B$3=O$3,SUMIF('TL06'!$C$10:$C$224,$C89,'TL06'!$J$10:$J$224),0),
IF('TL06'!$B$229=O$3,SUMIF('TL06'!$C$238:$C$451,$C89,'TL06'!$J$238:$J$451),0),
IF('TL07'!$B$3=O$3,SUMIF('TL07'!$C$10:$C$224,$C89,'TL07'!$J$10:$J$224),0),
IF('TL07'!$B$229=O$3,SUMIF('TL07'!$C$238:$C$451,$C89,'TL07'!$J$238:$J$451),0),
IF('TL08'!$B$3=O$3,SUMIF('TL08'!$C$10:$C$224,$C89,'TL08'!$J$10:$J$224),0),
IF('TL08'!$B$229=O$3,SUMIF('TL08'!$C$238:$C$451,$C89,'TL08'!$J$238:$J$451),0),
IF('TL09'!$B$3=O$3,SUMIF('TL09'!$C$10:$C$224,$C89,'TL09'!$J$10:$J$224),0),
IF('TL09'!$B$229=O$3,SUMIF('TL09'!$C$238:$C$451,$C89,'TL09'!$J$238:$J$451),0),
IF('TL10'!$B$3=O$3,SUMIF('TL10'!$C$10:$C$224,$C89,'TL10'!$J$10:$J$224),0),
IF('TL10'!$B$229=O$3,SUMIF('TL10'!$C$238:$C$451,$C89,'TL10'!$J$238:$J$451),0),
IF('TL11'!$B$3=O$3,SUMIF('TL11'!$C$10:$C$224,$C89,'TL11'!$J$10:$J$224),0),
IF('TL11'!$B$229=O$3,SUMIF('TL11'!$C$238:$C$451,$C89,'TL11'!$J$238:$J$451),0),
IF('TL12'!$B$3=O$3,SUMIF('TL12'!$C$10:$C$224,$C89,'TL12'!$J$10:$J$224),0),
IF('TL12'!$B$229=O$3,SUMIF('TL12'!$C$238:$C$451,$C89,'TL12'!$J$238:$J$451),0),
IF('TL13'!$B$3=O$3,SUMIF('TL13'!$C$10:$C$224,$C89,'TL13'!$J$10:$J$224),0),
IF('TL13'!$B$229=O$3,SUMIF('TL13'!$C$238:$C$451,$C89,'TL13'!$J$238:$J$451),0),
IF('TL14'!$B$3=O$3,SUMIF('TL14'!$C$10:$C$224,$C89,'TL14'!$J$10:$J$224),0),
IF('TL14'!$B$229=O$3,SUMIF('TL14'!$C$238:$C$451,$C89,'TL14'!$J$238:$J$451),0),
IF('TL15'!$B$3=O$3,SUMIF('TL15'!$C$10:$C$224,$C89,'TL15'!$J$10:$J$224),0),
IF('TL15'!$B$229=O$3,SUMIF('TL15'!$C$238:$C$451,$C89,'TL15'!$J$238:$J$451),0),
IF('TL16'!$B$3=O$3,SUMIF('TL16'!$C$10:$C$224,$C89,'TL16'!$J$10:$J$224),0),
IF('TL16'!$B$229=O$3,SUMIF('TL16'!$C$238:$C$451,$C89,'TL16'!$J$238:$J$451),0),
IF('TL17'!$B$3=O$3,SUMIF('TL17'!$C$10:$C$224,$C89,'TL17'!$J$10:$J$224),0),
IF('TL17'!$B$229=O$3,SUMIF('TL17'!$C$238:$C$451,$C89,'TL17'!$J$238:$J$451),0),
IF('TL18'!$B$3=O$3,SUMIF('TL18'!$C$10:$C$224,$C89,'TL18'!$J$10:$J$224),0),
IF('TL18'!$B$229=O$3,SUMIF('TL18'!$C$238:$C$451,$C89,'TL18'!$J$238:$J$451),0),
IF('TL19'!$B$3=O$3,SUMIF('TL19'!$C$10:$C$224,$C89,'TL19'!$J$10:$J$224),0),
IF('TL19'!$B$229=O$3,SUMIF('TL19'!$C$238:$C$451,$C89,'TL19'!$J$238:$J$451),0)
),0)</f>
        <v>0</v>
      </c>
      <c r="P89" s="9">
        <f>IFERROR(SUM(
IF('TL01'!$B$3=P$3,SUMIF('TL01'!$C$10:$C$224,$C89,'TL01'!$J$10:$J$224),0),
IF('TL01'!$B$229=P$3,SUMIF('TL01'!$C$238:$C$451,$C89,'TL01'!$J$238:$J$451),0),
IF('TL02'!$B$3=P$3,SUMIF('TL02'!$C$10:$C$224,$C89,'TL02'!$J$10:$J$224),0),
IF('TL02'!$B$229=P$3,SUMIF('TL02'!$C$238:$C$451,$C89,'TL02'!$J$238:$J$451),0),
IF('TL03'!$B$3=P$3,SUMIF('TL03'!$C$10:$C$224,$C89,'TL03'!$J$10:$J$224),0),
IF('TL03'!$B$229=P$3,SUMIF('TL03'!$C$238:$C$451,$C89,'TL03'!$J$238:$J$451),0),
IF('TL04'!$B$3=P$3,SUMIF('TL04'!$C$10:$C$224,$C89,'TL04'!$J$10:$J$224),0),
IF('TL04'!$B$229=P$3,SUMIF('TL04'!$C$238:$C$451,$C89,'TL04'!$J$238:$J$451),0),
IF('TL05'!$B$3=P$3,SUMIF('TL05'!$C$10:$C$224,$C89,'TL05'!$J$10:$J$224),0),
IF('TL05'!$B$229=P$3,SUMIF('TL05'!$C$238:$C$451,$C89,'TL05'!$J$238:$J$451),0),
IF('TL06'!$B$3=P$3,SUMIF('TL06'!$C$10:$C$224,$C89,'TL06'!$J$10:$J$224),0),
IF('TL06'!$B$229=P$3,SUMIF('TL06'!$C$238:$C$451,$C89,'TL06'!$J$238:$J$451),0),
IF('TL07'!$B$3=P$3,SUMIF('TL07'!$C$10:$C$224,$C89,'TL07'!$J$10:$J$224),0),
IF('TL07'!$B$229=P$3,SUMIF('TL07'!$C$238:$C$451,$C89,'TL07'!$J$238:$J$451),0),
IF('TL08'!$B$3=P$3,SUMIF('TL08'!$C$10:$C$224,$C89,'TL08'!$J$10:$J$224),0),
IF('TL08'!$B$229=P$3,SUMIF('TL08'!$C$238:$C$451,$C89,'TL08'!$J$238:$J$451),0),
IF('TL09'!$B$3=P$3,SUMIF('TL09'!$C$10:$C$224,$C89,'TL09'!$J$10:$J$224),0),
IF('TL09'!$B$229=P$3,SUMIF('TL09'!$C$238:$C$451,$C89,'TL09'!$J$238:$J$451),0),
IF('TL10'!$B$3=P$3,SUMIF('TL10'!$C$10:$C$224,$C89,'TL10'!$J$10:$J$224),0),
IF('TL10'!$B$229=P$3,SUMIF('TL10'!$C$238:$C$451,$C89,'TL10'!$J$238:$J$451),0),
IF('TL11'!$B$3=P$3,SUMIF('TL11'!$C$10:$C$224,$C89,'TL11'!$J$10:$J$224),0),
IF('TL11'!$B$229=P$3,SUMIF('TL11'!$C$238:$C$451,$C89,'TL11'!$J$238:$J$451),0),
IF('TL12'!$B$3=P$3,SUMIF('TL12'!$C$10:$C$224,$C89,'TL12'!$J$10:$J$224),0),
IF('TL12'!$B$229=P$3,SUMIF('TL12'!$C$238:$C$451,$C89,'TL12'!$J$238:$J$451),0),
IF('TL13'!$B$3=P$3,SUMIF('TL13'!$C$10:$C$224,$C89,'TL13'!$J$10:$J$224),0),
IF('TL13'!$B$229=P$3,SUMIF('TL13'!$C$238:$C$451,$C89,'TL13'!$J$238:$J$451),0),
IF('TL14'!$B$3=P$3,SUMIF('TL14'!$C$10:$C$224,$C89,'TL14'!$J$10:$J$224),0),
IF('TL14'!$B$229=P$3,SUMIF('TL14'!$C$238:$C$451,$C89,'TL14'!$J$238:$J$451),0),
IF('TL15'!$B$3=P$3,SUMIF('TL15'!$C$10:$C$224,$C89,'TL15'!$J$10:$J$224),0),
IF('TL15'!$B$229=P$3,SUMIF('TL15'!$C$238:$C$451,$C89,'TL15'!$J$238:$J$451),0),
IF('TL16'!$B$3=P$3,SUMIF('TL16'!$C$10:$C$224,$C89,'TL16'!$J$10:$J$224),0),
IF('TL16'!$B$229=P$3,SUMIF('TL16'!$C$238:$C$451,$C89,'TL16'!$J$238:$J$451),0),
IF('TL17'!$B$3=P$3,SUMIF('TL17'!$C$10:$C$224,$C89,'TL17'!$J$10:$J$224),0),
IF('TL17'!$B$229=P$3,SUMIF('TL17'!$C$238:$C$451,$C89,'TL17'!$J$238:$J$451),0),
IF('TL18'!$B$3=P$3,SUMIF('TL18'!$C$10:$C$224,$C89,'TL18'!$J$10:$J$224),0),
IF('TL18'!$B$229=P$3,SUMIF('TL18'!$C$238:$C$451,$C89,'TL18'!$J$238:$J$451),0),
IF('TL19'!$B$3=P$3,SUMIF('TL19'!$C$10:$C$224,$C89,'TL19'!$J$10:$J$224),0),
IF('TL19'!$B$229=P$3,SUMIF('TL19'!$C$238:$C$451,$C89,'TL19'!$J$238:$J$451),0)
),0)</f>
        <v>0</v>
      </c>
      <c r="Q89" s="9">
        <f>IFERROR(SUM(
IF('TL01'!$B$3=Q$3,SUMIF('TL01'!$C$10:$C$224,$C89,'TL01'!$J$10:$J$224),0),
IF('TL01'!$B$229=Q$3,SUMIF('TL01'!$C$238:$C$451,$C89,'TL01'!$J$238:$J$451),0),
IF('TL02'!$B$3=Q$3,SUMIF('TL02'!$C$10:$C$224,$C89,'TL02'!$J$10:$J$224),0),
IF('TL02'!$B$229=Q$3,SUMIF('TL02'!$C$238:$C$451,$C89,'TL02'!$J$238:$J$451),0),
IF('TL03'!$B$3=Q$3,SUMIF('TL03'!$C$10:$C$224,$C89,'TL03'!$J$10:$J$224),0),
IF('TL03'!$B$229=Q$3,SUMIF('TL03'!$C$238:$C$451,$C89,'TL03'!$J$238:$J$451),0),
IF('TL04'!$B$3=Q$3,SUMIF('TL04'!$C$10:$C$224,$C89,'TL04'!$J$10:$J$224),0),
IF('TL04'!$B$229=Q$3,SUMIF('TL04'!$C$238:$C$451,$C89,'TL04'!$J$238:$J$451),0),
IF('TL05'!$B$3=Q$3,SUMIF('TL05'!$C$10:$C$224,$C89,'TL05'!$J$10:$J$224),0),
IF('TL05'!$B$229=Q$3,SUMIF('TL05'!$C$238:$C$451,$C89,'TL05'!$J$238:$J$451),0),
IF('TL06'!$B$3=Q$3,SUMIF('TL06'!$C$10:$C$224,$C89,'TL06'!$J$10:$J$224),0),
IF('TL06'!$B$229=Q$3,SUMIF('TL06'!$C$238:$C$451,$C89,'TL06'!$J$238:$J$451),0),
IF('TL07'!$B$3=Q$3,SUMIF('TL07'!$C$10:$C$224,$C89,'TL07'!$J$10:$J$224),0),
IF('TL07'!$B$229=Q$3,SUMIF('TL07'!$C$238:$C$451,$C89,'TL07'!$J$238:$J$451),0),
IF('TL08'!$B$3=Q$3,SUMIF('TL08'!$C$10:$C$224,$C89,'TL08'!$J$10:$J$224),0),
IF('TL08'!$B$229=Q$3,SUMIF('TL08'!$C$238:$C$451,$C89,'TL08'!$J$238:$J$451),0),
IF('TL09'!$B$3=Q$3,SUMIF('TL09'!$C$10:$C$224,$C89,'TL09'!$J$10:$J$224),0),
IF('TL09'!$B$229=Q$3,SUMIF('TL09'!$C$238:$C$451,$C89,'TL09'!$J$238:$J$451),0),
IF('TL10'!$B$3=Q$3,SUMIF('TL10'!$C$10:$C$224,$C89,'TL10'!$J$10:$J$224),0),
IF('TL10'!$B$229=Q$3,SUMIF('TL10'!$C$238:$C$451,$C89,'TL10'!$J$238:$J$451),0),
IF('TL11'!$B$3=Q$3,SUMIF('TL11'!$C$10:$C$224,$C89,'TL11'!$J$10:$J$224),0),
IF('TL11'!$B$229=Q$3,SUMIF('TL11'!$C$238:$C$451,$C89,'TL11'!$J$238:$J$451),0),
IF('TL12'!$B$3=Q$3,SUMIF('TL12'!$C$10:$C$224,$C89,'TL12'!$J$10:$J$224),0),
IF('TL12'!$B$229=Q$3,SUMIF('TL12'!$C$238:$C$451,$C89,'TL12'!$J$238:$J$451),0),
IF('TL13'!$B$3=Q$3,SUMIF('TL13'!$C$10:$C$224,$C89,'TL13'!$J$10:$J$224),0),
IF('TL13'!$B$229=Q$3,SUMIF('TL13'!$C$238:$C$451,$C89,'TL13'!$J$238:$J$451),0),
IF('TL14'!$B$3=Q$3,SUMIF('TL14'!$C$10:$C$224,$C89,'TL14'!$J$10:$J$224),0),
IF('TL14'!$B$229=Q$3,SUMIF('TL14'!$C$238:$C$451,$C89,'TL14'!$J$238:$J$451),0),
IF('TL15'!$B$3=Q$3,SUMIF('TL15'!$C$10:$C$224,$C89,'TL15'!$J$10:$J$224),0),
IF('TL15'!$B$229=Q$3,SUMIF('TL15'!$C$238:$C$451,$C89,'TL15'!$J$238:$J$451),0),
IF('TL16'!$B$3=Q$3,SUMIF('TL16'!$C$10:$C$224,$C89,'TL16'!$J$10:$J$224),0),
IF('TL16'!$B$229=Q$3,SUMIF('TL16'!$C$238:$C$451,$C89,'TL16'!$J$238:$J$451),0),
IF('TL17'!$B$3=Q$3,SUMIF('TL17'!$C$10:$C$224,$C89,'TL17'!$J$10:$J$224),0),
IF('TL17'!$B$229=Q$3,SUMIF('TL17'!$C$238:$C$451,$C89,'TL17'!$J$238:$J$451),0),
IF('TL18'!$B$3=Q$3,SUMIF('TL18'!$C$10:$C$224,$C89,'TL18'!$J$10:$J$224),0),
IF('TL18'!$B$229=Q$3,SUMIF('TL18'!$C$238:$C$451,$C89,'TL18'!$J$238:$J$451),0),
IF('TL19'!$B$3=Q$3,SUMIF('TL19'!$C$10:$C$224,$C89,'TL19'!$J$10:$J$224),0),
IF('TL19'!$B$229=Q$3,SUMIF('TL19'!$C$238:$C$451,$C89,'TL19'!$J$238:$J$451),0)
),0)</f>
        <v>0</v>
      </c>
      <c r="R89" s="9">
        <f>IFERROR(
SUM(
SUMIF('TL01'!C:C,C89,'TL01'!J:J),
SUMIF('TL02'!C:C,C89,'TL02'!J:J),
SUMIF('TL03'!C:C,C89,'TL03'!J:J),
SUMIF('TL04'!C:C,C89,'TL04'!J:J),
SUMIF('TL05'!C:C,C89,'TL05'!J:J),
SUMIF('TL06'!C:C,C89,'TL06'!J:J),
SUMIF('TL07'!C:C,C89,'TL07'!J:J),
SUMIF('TL08'!C:C,C89,'TL08'!J:J),
SUMIF('TL09'!C:C,C89,'TL09'!J:J),
SUMIF('TL10'!C:C,C89,'TL10'!J:J),
SUMIF('TL11'!C:C,C89,'TL11'!J:J),
SUMIF('TL12'!C:C,C89,'TL12'!J:J),
SUMIF('TL13'!C:C,C89,'TL13'!J:J),
SUMIF('TL14'!C:C,C89,'TL14'!J:J),
SUMIF('TL15'!C:C,C89,'TL15'!J:J),
SUMIF('TL16'!C:C,C89,'TL16'!J:J),
SUMIF('TL17'!C:C,C89,'TL17'!J:J),
SUMIF('TL18'!C:C,C89,'TL18'!J:J),SUMIF('TL19'!C:C,C89,'TL19'!J:J))
,0)</f>
        <v>0</v>
      </c>
      <c r="S89" s="17">
        <f>IFERROR(__xludf.DUMMYFUNCTION("IFERROR(VLOOKUP(C89,
IMPORTRANGE(""1wULbzX32WdYsx-lj2U3uUNBBe2INVIRDtcK0d-Dvl90"",
""26-27!C:G""),
5,
FALSE),
"""")"),25.718400000000003)</f>
        <v>25.7184</v>
      </c>
      <c r="T89" s="9"/>
      <c r="U89" s="92">
        <f t="shared" si="2"/>
        <v>0</v>
      </c>
      <c r="V89" s="93">
        <f t="shared" si="3"/>
        <v>0</v>
      </c>
    </row>
    <row r="90" ht="15.75" hidden="1" customHeight="1">
      <c r="A90" s="115" t="s">
        <v>358</v>
      </c>
      <c r="B90" s="95" t="s">
        <v>0</v>
      </c>
      <c r="C90" s="116" t="s">
        <v>565</v>
      </c>
      <c r="D90" s="116" t="s">
        <v>566</v>
      </c>
      <c r="E90" s="116" t="s">
        <v>567</v>
      </c>
      <c r="F90" s="4" t="s">
        <v>343</v>
      </c>
      <c r="G90" s="90" t="str">
        <f t="shared" si="4"/>
        <v>📄 Ver bula</v>
      </c>
      <c r="H90" s="9">
        <f>IFERROR(__xludf.DUMMYFUNCTION("IFERROR(VLOOKUP(C90,
IMPORTRANGE(""1wULbzX32WdYsx-lj2U3uUNBBe2INVIRDtcK0d-Dvl90"",
""26-27!C:K""),
8,
FALSE),
"""")"),0.0)</f>
        <v>0</v>
      </c>
      <c r="I90" s="117" t="s">
        <v>344</v>
      </c>
      <c r="J90" s="9">
        <f>IFERROR(SUM(
IF('TL01'!$B$3=J$3,SUMIF('TL01'!$C$10:$C$224,$C90,'TL01'!$J$10:$J$224),0),
IF('TL01'!$B$229=J$3,SUMIF('TL01'!$C$238:$C$451,$C90,'TL01'!$J$238:$J$451),0),
IF('TL02'!$B$3=J$3,SUMIF('TL02'!$C$10:$C$224,$C90,'TL02'!$J$10:$J$224),0),
IF('TL02'!$B$229=J$3,SUMIF('TL02'!$C$238:$C$451,$C90,'TL02'!$J$238:$J$451),0),
IF('TL03'!$B$3=J$3,SUMIF('TL03'!$C$10:$C$224,$C90,'TL03'!$J$10:$J$224),0),
IF('TL03'!$B$229=J$3,SUMIF('TL03'!$C$238:$C$451,$C90,'TL03'!$J$238:$J$451),0),
IF('TL04'!$B$3=J$3,SUMIF('TL04'!$C$10:$C$224,$C90,'TL04'!$J$10:$J$224),0),
IF('TL04'!$B$229=J$3,SUMIF('TL04'!$C$238:$C$451,$C90,'TL04'!$J$238:$J$451),0),
IF('TL05'!$B$3=J$3,SUMIF('TL05'!$C$10:$C$224,$C90,'TL05'!$J$10:$J$224),0),
IF('TL05'!$B$229=J$3,SUMIF('TL05'!$C$238:$C$451,$C90,'TL05'!$J$238:$J$451),0),
IF('TL06'!$B$3=J$3,SUMIF('TL06'!$C$10:$C$224,$C90,'TL06'!$J$10:$J$224),0),
IF('TL06'!$B$229=J$3,SUMIF('TL06'!$C$238:$C$451,$C90,'TL06'!$J$238:$J$451),0),
IF('TL07'!$B$3=J$3,SUMIF('TL07'!$C$10:$C$224,$C90,'TL07'!$J$10:$J$224),0),
IF('TL07'!$B$229=J$3,SUMIF('TL07'!$C$238:$C$451,$C90,'TL07'!$J$238:$J$451),0),
IF('TL08'!$B$3=J$3,SUMIF('TL08'!$C$10:$C$224,$C90,'TL08'!$J$10:$J$224),0),
IF('TL08'!$B$229=J$3,SUMIF('TL08'!$C$238:$C$451,$C90,'TL08'!$J$238:$J$451),0),
IF('TL09'!$B$3=J$3,SUMIF('TL09'!$C$10:$C$224,$C90,'TL09'!$J$10:$J$224),0),
IF('TL09'!$B$229=J$3,SUMIF('TL09'!$C$238:$C$451,$C90,'TL09'!$J$238:$J$451),0),
IF('TL10'!$B$3=J$3,SUMIF('TL10'!$C$10:$C$224,$C90,'TL10'!$J$10:$J$224),0),
IF('TL10'!$B$229=J$3,SUMIF('TL10'!$C$238:$C$451,$C90,'TL10'!$J$238:$J$451),0),
IF('TL11'!$B$3=J$3,SUMIF('TL11'!$C$10:$C$224,$C90,'TL11'!$J$10:$J$224),0),
IF('TL11'!$B$229=J$3,SUMIF('TL11'!$C$238:$C$451,$C90,'TL11'!$J$238:$J$451),0),
IF('TL12'!$B$3=J$3,SUMIF('TL12'!$C$10:$C$224,$C90,'TL12'!$J$10:$J$224),0),
IF('TL12'!$B$229=J$3,SUMIF('TL12'!$C$238:$C$451,$C90,'TL12'!$J$238:$J$451),0),
IF('TL13'!$B$3=J$3,SUMIF('TL13'!$C$10:$C$224,$C90,'TL13'!$J$10:$J$224),0),
IF('TL13'!$B$229=J$3,SUMIF('TL13'!$C$238:$C$451,$C90,'TL13'!$J$238:$J$451),0),
IF('TL14'!$B$3=J$3,SUMIF('TL14'!$C$10:$C$224,$C90,'TL14'!$J$10:$J$224),0),
IF('TL14'!$B$229=J$3,SUMIF('TL14'!$C$238:$C$451,$C90,'TL14'!$J$238:$J$451),0),
IF('TL15'!$B$3=J$3,SUMIF('TL15'!$C$10:$C$224,$C90,'TL15'!$J$10:$J$224),0),
IF('TL15'!$B$229=J$3,SUMIF('TL15'!$C$238:$C$451,$C90,'TL15'!$J$238:$J$451),0),
IF('TL16'!$B$3=J$3,SUMIF('TL16'!$C$10:$C$224,$C90,'TL16'!$J$10:$J$224),0),
IF('TL16'!$B$229=J$3,SUMIF('TL16'!$C$238:$C$451,$C90,'TL16'!$J$238:$J$451),0),
IF('TL17'!$B$3=J$3,SUMIF('TL17'!$C$10:$C$224,$C90,'TL17'!$J$10:$J$224),0),
IF('TL17'!$B$229=J$3,SUMIF('TL17'!$C$238:$C$451,$C90,'TL17'!$J$238:$J$451),0),
IF('TL18'!$B$3=J$3,SUMIF('TL18'!$C$10:$C$224,$C90,'TL18'!$J$10:$J$224),0),
IF('TL18'!$B$229=J$3,SUMIF('TL18'!$C$238:$C$451,$C90,'TL18'!$J$238:$J$451),0),
IF('TL19'!$B$3=J$3,SUMIF('TL19'!$C$10:$C$224,$C90,'TL19'!$J$10:$J$224),0),
IF('TL19'!$B$229=J$3,SUMIF('TL19'!$C$238:$C$451,$C90,'TL19'!$J$238:$J$451),0)
),0)</f>
        <v>0</v>
      </c>
      <c r="K90" s="9">
        <f>IFERROR(SUM(
IF('TL01'!$B$3=K$3,SUMIF('TL01'!$C$10:$C$224,$C90,'TL01'!$J$10:$J$224),0),
IF('TL01'!$B$229=K$3,SUMIF('TL01'!$C$238:$C$451,$C90,'TL01'!$J$238:$J$451),0),
IF('TL02'!$B$3=K$3,SUMIF('TL02'!$C$10:$C$224,$C90,'TL02'!$J$10:$J$224),0),
IF('TL02'!$B$229=K$3,SUMIF('TL02'!$C$238:$C$451,$C90,'TL02'!$J$238:$J$451),0),
IF('TL03'!$B$3=K$3,SUMIF('TL03'!$C$10:$C$224,$C90,'TL03'!$J$10:$J$224),0),
IF('TL03'!$B$229=K$3,SUMIF('TL03'!$C$238:$C$451,$C90,'TL03'!$J$238:$J$451),0),
IF('TL04'!$B$3=K$3,SUMIF('TL04'!$C$10:$C$224,$C90,'TL04'!$J$10:$J$224),0),
IF('TL04'!$B$229=K$3,SUMIF('TL04'!$C$238:$C$451,$C90,'TL04'!$J$238:$J$451),0),
IF('TL05'!$B$3=K$3,SUMIF('TL05'!$C$10:$C$224,$C90,'TL05'!$J$10:$J$224),0),
IF('TL05'!$B$229=K$3,SUMIF('TL05'!$C$238:$C$451,$C90,'TL05'!$J$238:$J$451),0),
IF('TL06'!$B$3=K$3,SUMIF('TL06'!$C$10:$C$224,$C90,'TL06'!$J$10:$J$224),0),
IF('TL06'!$B$229=K$3,SUMIF('TL06'!$C$238:$C$451,$C90,'TL06'!$J$238:$J$451),0),
IF('TL07'!$B$3=K$3,SUMIF('TL07'!$C$10:$C$224,$C90,'TL07'!$J$10:$J$224),0),
IF('TL07'!$B$229=K$3,SUMIF('TL07'!$C$238:$C$451,$C90,'TL07'!$J$238:$J$451),0),
IF('TL08'!$B$3=K$3,SUMIF('TL08'!$C$10:$C$224,$C90,'TL08'!$J$10:$J$224),0),
IF('TL08'!$B$229=K$3,SUMIF('TL08'!$C$238:$C$451,$C90,'TL08'!$J$238:$J$451),0),
IF('TL09'!$B$3=K$3,SUMIF('TL09'!$C$10:$C$224,$C90,'TL09'!$J$10:$J$224),0),
IF('TL09'!$B$229=K$3,SUMIF('TL09'!$C$238:$C$451,$C90,'TL09'!$J$238:$J$451),0),
IF('TL10'!$B$3=K$3,SUMIF('TL10'!$C$10:$C$224,$C90,'TL10'!$J$10:$J$224),0),
IF('TL10'!$B$229=K$3,SUMIF('TL10'!$C$238:$C$451,$C90,'TL10'!$J$238:$J$451),0),
IF('TL11'!$B$3=K$3,SUMIF('TL11'!$C$10:$C$224,$C90,'TL11'!$J$10:$J$224),0),
IF('TL11'!$B$229=K$3,SUMIF('TL11'!$C$238:$C$451,$C90,'TL11'!$J$238:$J$451),0),
IF('TL12'!$B$3=K$3,SUMIF('TL12'!$C$10:$C$224,$C90,'TL12'!$J$10:$J$224),0),
IF('TL12'!$B$229=K$3,SUMIF('TL12'!$C$238:$C$451,$C90,'TL12'!$J$238:$J$451),0),
IF('TL13'!$B$3=K$3,SUMIF('TL13'!$C$10:$C$224,$C90,'TL13'!$J$10:$J$224),0),
IF('TL13'!$B$229=K$3,SUMIF('TL13'!$C$238:$C$451,$C90,'TL13'!$J$238:$J$451),0),
IF('TL14'!$B$3=K$3,SUMIF('TL14'!$C$10:$C$224,$C90,'TL14'!$J$10:$J$224),0),
IF('TL14'!$B$229=K$3,SUMIF('TL14'!$C$238:$C$451,$C90,'TL14'!$J$238:$J$451),0),
IF('TL15'!$B$3=K$3,SUMIF('TL15'!$C$10:$C$224,$C90,'TL15'!$J$10:$J$224),0),
IF('TL15'!$B$229=K$3,SUMIF('TL15'!$C$238:$C$451,$C90,'TL15'!$J$238:$J$451),0),
IF('TL16'!$B$3=K$3,SUMIF('TL16'!$C$10:$C$224,$C90,'TL16'!$J$10:$J$224),0),
IF('TL16'!$B$229=K$3,SUMIF('TL16'!$C$238:$C$451,$C90,'TL16'!$J$238:$J$451),0),
IF('TL17'!$B$3=K$3,SUMIF('TL17'!$C$10:$C$224,$C90,'TL17'!$J$10:$J$224),0),
IF('TL17'!$B$229=K$3,SUMIF('TL17'!$C$238:$C$451,$C90,'TL17'!$J$238:$J$451),0),
IF('TL18'!$B$3=K$3,SUMIF('TL18'!$C$10:$C$224,$C90,'TL18'!$J$10:$J$224),0),
IF('TL18'!$B$229=K$3,SUMIF('TL18'!$C$238:$C$451,$C90,'TL18'!$J$238:$J$451),0),
IF('TL19'!$B$3=K$3,SUMIF('TL19'!$C$10:$C$224,$C90,'TL19'!$J$10:$J$224),0),
IF('TL19'!$B$229=K$3,SUMIF('TL19'!$C$238:$C$451,$C90,'TL19'!$J$238:$J$451),0)
),0)</f>
        <v>0</v>
      </c>
      <c r="L90" s="9">
        <f>IFERROR(SUM(
IF('TL01'!$B$3=L$3,SUMIF('TL01'!$C$10:$C$224,$C90,'TL01'!$J$10:$J$224),0),
IF('TL01'!$B$229=L$3,SUMIF('TL01'!$C$238:$C$451,$C90,'TL01'!$J$238:$J$451),0),
IF('TL02'!$B$3=L$3,SUMIF('TL02'!$C$10:$C$224,$C90,'TL02'!$J$10:$J$224),0),
IF('TL02'!$B$229=L$3,SUMIF('TL02'!$C$238:$C$451,$C90,'TL02'!$J$238:$J$451),0),
IF('TL03'!$B$3=L$3,SUMIF('TL03'!$C$10:$C$224,$C90,'TL03'!$J$10:$J$224),0),
IF('TL03'!$B$229=L$3,SUMIF('TL03'!$C$238:$C$451,$C90,'TL03'!$J$238:$J$451),0),
IF('TL04'!$B$3=L$3,SUMIF('TL04'!$C$10:$C$224,$C90,'TL04'!$J$10:$J$224),0),
IF('TL04'!$B$229=L$3,SUMIF('TL04'!$C$238:$C$451,$C90,'TL04'!$J$238:$J$451),0),
IF('TL05'!$B$3=L$3,SUMIF('TL05'!$C$10:$C$224,$C90,'TL05'!$J$10:$J$224),0),
IF('TL05'!$B$229=L$3,SUMIF('TL05'!$C$238:$C$451,$C90,'TL05'!$J$238:$J$451),0),
IF('TL06'!$B$3=L$3,SUMIF('TL06'!$C$10:$C$224,$C90,'TL06'!$J$10:$J$224),0),
IF('TL06'!$B$229=L$3,SUMIF('TL06'!$C$238:$C$451,$C90,'TL06'!$J$238:$J$451),0),
IF('TL07'!$B$3=L$3,SUMIF('TL07'!$C$10:$C$224,$C90,'TL07'!$J$10:$J$224),0),
IF('TL07'!$B$229=L$3,SUMIF('TL07'!$C$238:$C$451,$C90,'TL07'!$J$238:$J$451),0),
IF('TL08'!$B$3=L$3,SUMIF('TL08'!$C$10:$C$224,$C90,'TL08'!$J$10:$J$224),0),
IF('TL08'!$B$229=L$3,SUMIF('TL08'!$C$238:$C$451,$C90,'TL08'!$J$238:$J$451),0),
IF('TL09'!$B$3=L$3,SUMIF('TL09'!$C$10:$C$224,$C90,'TL09'!$J$10:$J$224),0),
IF('TL09'!$B$229=L$3,SUMIF('TL09'!$C$238:$C$451,$C90,'TL09'!$J$238:$J$451),0),
IF('TL10'!$B$3=L$3,SUMIF('TL10'!$C$10:$C$224,$C90,'TL10'!$J$10:$J$224),0),
IF('TL10'!$B$229=L$3,SUMIF('TL10'!$C$238:$C$451,$C90,'TL10'!$J$238:$J$451),0),
IF('TL11'!$B$3=L$3,SUMIF('TL11'!$C$10:$C$224,$C90,'TL11'!$J$10:$J$224),0),
IF('TL11'!$B$229=L$3,SUMIF('TL11'!$C$238:$C$451,$C90,'TL11'!$J$238:$J$451),0),
IF('TL12'!$B$3=L$3,SUMIF('TL12'!$C$10:$C$224,$C90,'TL12'!$J$10:$J$224),0),
IF('TL12'!$B$229=L$3,SUMIF('TL12'!$C$238:$C$451,$C90,'TL12'!$J$238:$J$451),0),
IF('TL13'!$B$3=L$3,SUMIF('TL13'!$C$10:$C$224,$C90,'TL13'!$J$10:$J$224),0),
IF('TL13'!$B$229=L$3,SUMIF('TL13'!$C$238:$C$451,$C90,'TL13'!$J$238:$J$451),0),
IF('TL14'!$B$3=L$3,SUMIF('TL14'!$C$10:$C$224,$C90,'TL14'!$J$10:$J$224),0),
IF('TL14'!$B$229=L$3,SUMIF('TL14'!$C$238:$C$451,$C90,'TL14'!$J$238:$J$451),0),
IF('TL15'!$B$3=L$3,SUMIF('TL15'!$C$10:$C$224,$C90,'TL15'!$J$10:$J$224),0),
IF('TL15'!$B$229=L$3,SUMIF('TL15'!$C$238:$C$451,$C90,'TL15'!$J$238:$J$451),0),
IF('TL16'!$B$3=L$3,SUMIF('TL16'!$C$10:$C$224,$C90,'TL16'!$J$10:$J$224),0),
IF('TL16'!$B$229=L$3,SUMIF('TL16'!$C$238:$C$451,$C90,'TL16'!$J$238:$J$451),0),
IF('TL17'!$B$3=L$3,SUMIF('TL17'!$C$10:$C$224,$C90,'TL17'!$J$10:$J$224),0),
IF('TL17'!$B$229=L$3,SUMIF('TL17'!$C$238:$C$451,$C90,'TL17'!$J$238:$J$451),0),
IF('TL18'!$B$3=L$3,SUMIF('TL18'!$C$10:$C$224,$C90,'TL18'!$J$10:$J$224),0),
IF('TL18'!$B$229=L$3,SUMIF('TL18'!$C$238:$C$451,$C90,'TL18'!$J$238:$J$451),0),
IF('TL19'!$B$3=L$3,SUMIF('TL19'!$C$10:$C$224,$C90,'TL19'!$J$10:$J$224),0),
IF('TL19'!$B$229=L$3,SUMIF('TL19'!$C$238:$C$451,$C90,'TL19'!$J$238:$J$451),0)
),0)</f>
        <v>0</v>
      </c>
      <c r="M90" s="9">
        <f>IFERROR(SUM(
IF('TL01'!$B$3=M$3,SUMIF('TL01'!$C$10:$C$224,$C90,'TL01'!$J$10:$J$224),0),
IF('TL01'!$B$229=M$3,SUMIF('TL01'!$C$238:$C$451,$C90,'TL01'!$J$238:$J$451),0),
IF('TL02'!$B$3=M$3,SUMIF('TL02'!$C$10:$C$224,$C90,'TL02'!$J$10:$J$224),0),
IF('TL02'!$B$229=M$3,SUMIF('TL02'!$C$238:$C$451,$C90,'TL02'!$J$238:$J$451),0),
IF('TL03'!$B$3=M$3,SUMIF('TL03'!$C$10:$C$224,$C90,'TL03'!$J$10:$J$224),0),
IF('TL03'!$B$229=M$3,SUMIF('TL03'!$C$238:$C$451,$C90,'TL03'!$J$238:$J$451),0),
IF('TL04'!$B$3=M$3,SUMIF('TL04'!$C$10:$C$224,$C90,'TL04'!$J$10:$J$224),0),
IF('TL04'!$B$229=M$3,SUMIF('TL04'!$C$238:$C$451,$C90,'TL04'!$J$238:$J$451),0),
IF('TL05'!$B$3=M$3,SUMIF('TL05'!$C$10:$C$224,$C90,'TL05'!$J$10:$J$224),0),
IF('TL05'!$B$229=M$3,SUMIF('TL05'!$C$238:$C$451,$C90,'TL05'!$J$238:$J$451),0),
IF('TL06'!$B$3=M$3,SUMIF('TL06'!$C$10:$C$224,$C90,'TL06'!$J$10:$J$224),0),
IF('TL06'!$B$229=M$3,SUMIF('TL06'!$C$238:$C$451,$C90,'TL06'!$J$238:$J$451),0),
IF('TL07'!$B$3=M$3,SUMIF('TL07'!$C$10:$C$224,$C90,'TL07'!$J$10:$J$224),0),
IF('TL07'!$B$229=M$3,SUMIF('TL07'!$C$238:$C$451,$C90,'TL07'!$J$238:$J$451),0),
IF('TL08'!$B$3=M$3,SUMIF('TL08'!$C$10:$C$224,$C90,'TL08'!$J$10:$J$224),0),
IF('TL08'!$B$229=M$3,SUMIF('TL08'!$C$238:$C$451,$C90,'TL08'!$J$238:$J$451),0),
IF('TL09'!$B$3=M$3,SUMIF('TL09'!$C$10:$C$224,$C90,'TL09'!$J$10:$J$224),0),
IF('TL09'!$B$229=M$3,SUMIF('TL09'!$C$238:$C$451,$C90,'TL09'!$J$238:$J$451),0),
IF('TL10'!$B$3=M$3,SUMIF('TL10'!$C$10:$C$224,$C90,'TL10'!$J$10:$J$224),0),
IF('TL10'!$B$229=M$3,SUMIF('TL10'!$C$238:$C$451,$C90,'TL10'!$J$238:$J$451),0),
IF('TL11'!$B$3=M$3,SUMIF('TL11'!$C$10:$C$224,$C90,'TL11'!$J$10:$J$224),0),
IF('TL11'!$B$229=M$3,SUMIF('TL11'!$C$238:$C$451,$C90,'TL11'!$J$238:$J$451),0),
IF('TL12'!$B$3=M$3,SUMIF('TL12'!$C$10:$C$224,$C90,'TL12'!$J$10:$J$224),0),
IF('TL12'!$B$229=M$3,SUMIF('TL12'!$C$238:$C$451,$C90,'TL12'!$J$238:$J$451),0),
IF('TL13'!$B$3=M$3,SUMIF('TL13'!$C$10:$C$224,$C90,'TL13'!$J$10:$J$224),0),
IF('TL13'!$B$229=M$3,SUMIF('TL13'!$C$238:$C$451,$C90,'TL13'!$J$238:$J$451),0),
IF('TL14'!$B$3=M$3,SUMIF('TL14'!$C$10:$C$224,$C90,'TL14'!$J$10:$J$224),0),
IF('TL14'!$B$229=M$3,SUMIF('TL14'!$C$238:$C$451,$C90,'TL14'!$J$238:$J$451),0),
IF('TL15'!$B$3=M$3,SUMIF('TL15'!$C$10:$C$224,$C90,'TL15'!$J$10:$J$224),0),
IF('TL15'!$B$229=M$3,SUMIF('TL15'!$C$238:$C$451,$C90,'TL15'!$J$238:$J$451),0),
IF('TL16'!$B$3=M$3,SUMIF('TL16'!$C$10:$C$224,$C90,'TL16'!$J$10:$J$224),0),
IF('TL16'!$B$229=M$3,SUMIF('TL16'!$C$238:$C$451,$C90,'TL16'!$J$238:$J$451),0),
IF('TL17'!$B$3=M$3,SUMIF('TL17'!$C$10:$C$224,$C90,'TL17'!$J$10:$J$224),0),
IF('TL17'!$B$229=M$3,SUMIF('TL17'!$C$238:$C$451,$C90,'TL17'!$J$238:$J$451),0),
IF('TL18'!$B$3=M$3,SUMIF('TL18'!$C$10:$C$224,$C90,'TL18'!$J$10:$J$224),0),
IF('TL18'!$B$229=M$3,SUMIF('TL18'!$C$238:$C$451,$C90,'TL18'!$J$238:$J$451),0),
IF('TL19'!$B$3=M$3,SUMIF('TL19'!$C$10:$C$224,$C90,'TL19'!$J$10:$J$224),0),
IF('TL19'!$B$229=M$3,SUMIF('TL19'!$C$238:$C$451,$C90,'TL19'!$J$238:$J$451),0)
),0)</f>
        <v>0</v>
      </c>
      <c r="N90" s="9">
        <f>IFERROR(SUM(
IF('TL01'!$B$3=N$3,SUMIF('TL01'!$C$10:$C$224,$C90,'TL01'!$J$10:$J$224),0),
IF('TL01'!$B$229=N$3,SUMIF('TL01'!$C$238:$C$451,$C90,'TL01'!$J$238:$J$451),0),
IF('TL02'!$B$3=N$3,SUMIF('TL02'!$C$10:$C$224,$C90,'TL02'!$J$10:$J$224),0),
IF('TL02'!$B$229=N$3,SUMIF('TL02'!$C$238:$C$451,$C90,'TL02'!$J$238:$J$451),0),
IF('TL03'!$B$3=N$3,SUMIF('TL03'!$C$10:$C$224,$C90,'TL03'!$J$10:$J$224),0),
IF('TL03'!$B$229=N$3,SUMIF('TL03'!$C$238:$C$451,$C90,'TL03'!$J$238:$J$451),0),
IF('TL04'!$B$3=N$3,SUMIF('TL04'!$C$10:$C$224,$C90,'TL04'!$J$10:$J$224),0),
IF('TL04'!$B$229=N$3,SUMIF('TL04'!$C$238:$C$451,$C90,'TL04'!$J$238:$J$451),0),
IF('TL05'!$B$3=N$3,SUMIF('TL05'!$C$10:$C$224,$C90,'TL05'!$J$10:$J$224),0),
IF('TL05'!$B$229=N$3,SUMIF('TL05'!$C$238:$C$451,$C90,'TL05'!$J$238:$J$451),0),
IF('TL06'!$B$3=N$3,SUMIF('TL06'!$C$10:$C$224,$C90,'TL06'!$J$10:$J$224),0),
IF('TL06'!$B$229=N$3,SUMIF('TL06'!$C$238:$C$451,$C90,'TL06'!$J$238:$J$451),0),
IF('TL07'!$B$3=N$3,SUMIF('TL07'!$C$10:$C$224,$C90,'TL07'!$J$10:$J$224),0),
IF('TL07'!$B$229=N$3,SUMIF('TL07'!$C$238:$C$451,$C90,'TL07'!$J$238:$J$451),0),
IF('TL08'!$B$3=N$3,SUMIF('TL08'!$C$10:$C$224,$C90,'TL08'!$J$10:$J$224),0),
IF('TL08'!$B$229=N$3,SUMIF('TL08'!$C$238:$C$451,$C90,'TL08'!$J$238:$J$451),0),
IF('TL09'!$B$3=N$3,SUMIF('TL09'!$C$10:$C$224,$C90,'TL09'!$J$10:$J$224),0),
IF('TL09'!$B$229=N$3,SUMIF('TL09'!$C$238:$C$451,$C90,'TL09'!$J$238:$J$451),0),
IF('TL10'!$B$3=N$3,SUMIF('TL10'!$C$10:$C$224,$C90,'TL10'!$J$10:$J$224),0),
IF('TL10'!$B$229=N$3,SUMIF('TL10'!$C$238:$C$451,$C90,'TL10'!$J$238:$J$451),0),
IF('TL11'!$B$3=N$3,SUMIF('TL11'!$C$10:$C$224,$C90,'TL11'!$J$10:$J$224),0),
IF('TL11'!$B$229=N$3,SUMIF('TL11'!$C$238:$C$451,$C90,'TL11'!$J$238:$J$451),0),
IF('TL12'!$B$3=N$3,SUMIF('TL12'!$C$10:$C$224,$C90,'TL12'!$J$10:$J$224),0),
IF('TL12'!$B$229=N$3,SUMIF('TL12'!$C$238:$C$451,$C90,'TL12'!$J$238:$J$451),0),
IF('TL13'!$B$3=N$3,SUMIF('TL13'!$C$10:$C$224,$C90,'TL13'!$J$10:$J$224),0),
IF('TL13'!$B$229=N$3,SUMIF('TL13'!$C$238:$C$451,$C90,'TL13'!$J$238:$J$451),0),
IF('TL14'!$B$3=N$3,SUMIF('TL14'!$C$10:$C$224,$C90,'TL14'!$J$10:$J$224),0),
IF('TL14'!$B$229=N$3,SUMIF('TL14'!$C$238:$C$451,$C90,'TL14'!$J$238:$J$451),0),
IF('TL15'!$B$3=N$3,SUMIF('TL15'!$C$10:$C$224,$C90,'TL15'!$J$10:$J$224),0),
IF('TL15'!$B$229=N$3,SUMIF('TL15'!$C$238:$C$451,$C90,'TL15'!$J$238:$J$451),0),
IF('TL16'!$B$3=N$3,SUMIF('TL16'!$C$10:$C$224,$C90,'TL16'!$J$10:$J$224),0),
IF('TL16'!$B$229=N$3,SUMIF('TL16'!$C$238:$C$451,$C90,'TL16'!$J$238:$J$451),0),
IF('TL17'!$B$3=N$3,SUMIF('TL17'!$C$10:$C$224,$C90,'TL17'!$J$10:$J$224),0),
IF('TL17'!$B$229=N$3,SUMIF('TL17'!$C$238:$C$451,$C90,'TL17'!$J$238:$J$451),0),
IF('TL18'!$B$3=N$3,SUMIF('TL18'!$C$10:$C$224,$C90,'TL18'!$J$10:$J$224),0),
IF('TL18'!$B$229=N$3,SUMIF('TL18'!$C$238:$C$451,$C90,'TL18'!$J$238:$J$451),0),
IF('TL19'!$B$3=N$3,SUMIF('TL19'!$C$10:$C$224,$C90,'TL19'!$J$10:$J$224),0),
IF('TL19'!$B$229=N$3,SUMIF('TL19'!$C$238:$C$451,$C90,'TL19'!$J$238:$J$451),0)
),0)</f>
        <v>0</v>
      </c>
      <c r="O90" s="9">
        <f>IFERROR(SUM(
IF('TL01'!$B$3=O$3,SUMIF('TL01'!$C$10:$C$224,$C90,'TL01'!$J$10:$J$224),0),
IF('TL01'!$B$229=O$3,SUMIF('TL01'!$C$238:$C$451,$C90,'TL01'!$J$238:$J$451),0),
IF('TL02'!$B$3=O$3,SUMIF('TL02'!$C$10:$C$224,$C90,'TL02'!$J$10:$J$224),0),
IF('TL02'!$B$229=O$3,SUMIF('TL02'!$C$238:$C$451,$C90,'TL02'!$J$238:$J$451),0),
IF('TL03'!$B$3=O$3,SUMIF('TL03'!$C$10:$C$224,$C90,'TL03'!$J$10:$J$224),0),
IF('TL03'!$B$229=O$3,SUMIF('TL03'!$C$238:$C$451,$C90,'TL03'!$J$238:$J$451),0),
IF('TL04'!$B$3=O$3,SUMIF('TL04'!$C$10:$C$224,$C90,'TL04'!$J$10:$J$224),0),
IF('TL04'!$B$229=O$3,SUMIF('TL04'!$C$238:$C$451,$C90,'TL04'!$J$238:$J$451),0),
IF('TL05'!$B$3=O$3,SUMIF('TL05'!$C$10:$C$224,$C90,'TL05'!$J$10:$J$224),0),
IF('TL05'!$B$229=O$3,SUMIF('TL05'!$C$238:$C$451,$C90,'TL05'!$J$238:$J$451),0),
IF('TL06'!$B$3=O$3,SUMIF('TL06'!$C$10:$C$224,$C90,'TL06'!$J$10:$J$224),0),
IF('TL06'!$B$229=O$3,SUMIF('TL06'!$C$238:$C$451,$C90,'TL06'!$J$238:$J$451),0),
IF('TL07'!$B$3=O$3,SUMIF('TL07'!$C$10:$C$224,$C90,'TL07'!$J$10:$J$224),0),
IF('TL07'!$B$229=O$3,SUMIF('TL07'!$C$238:$C$451,$C90,'TL07'!$J$238:$J$451),0),
IF('TL08'!$B$3=O$3,SUMIF('TL08'!$C$10:$C$224,$C90,'TL08'!$J$10:$J$224),0),
IF('TL08'!$B$229=O$3,SUMIF('TL08'!$C$238:$C$451,$C90,'TL08'!$J$238:$J$451),0),
IF('TL09'!$B$3=O$3,SUMIF('TL09'!$C$10:$C$224,$C90,'TL09'!$J$10:$J$224),0),
IF('TL09'!$B$229=O$3,SUMIF('TL09'!$C$238:$C$451,$C90,'TL09'!$J$238:$J$451),0),
IF('TL10'!$B$3=O$3,SUMIF('TL10'!$C$10:$C$224,$C90,'TL10'!$J$10:$J$224),0),
IF('TL10'!$B$229=O$3,SUMIF('TL10'!$C$238:$C$451,$C90,'TL10'!$J$238:$J$451),0),
IF('TL11'!$B$3=O$3,SUMIF('TL11'!$C$10:$C$224,$C90,'TL11'!$J$10:$J$224),0),
IF('TL11'!$B$229=O$3,SUMIF('TL11'!$C$238:$C$451,$C90,'TL11'!$J$238:$J$451),0),
IF('TL12'!$B$3=O$3,SUMIF('TL12'!$C$10:$C$224,$C90,'TL12'!$J$10:$J$224),0),
IF('TL12'!$B$229=O$3,SUMIF('TL12'!$C$238:$C$451,$C90,'TL12'!$J$238:$J$451),0),
IF('TL13'!$B$3=O$3,SUMIF('TL13'!$C$10:$C$224,$C90,'TL13'!$J$10:$J$224),0),
IF('TL13'!$B$229=O$3,SUMIF('TL13'!$C$238:$C$451,$C90,'TL13'!$J$238:$J$451),0),
IF('TL14'!$B$3=O$3,SUMIF('TL14'!$C$10:$C$224,$C90,'TL14'!$J$10:$J$224),0),
IF('TL14'!$B$229=O$3,SUMIF('TL14'!$C$238:$C$451,$C90,'TL14'!$J$238:$J$451),0),
IF('TL15'!$B$3=O$3,SUMIF('TL15'!$C$10:$C$224,$C90,'TL15'!$J$10:$J$224),0),
IF('TL15'!$B$229=O$3,SUMIF('TL15'!$C$238:$C$451,$C90,'TL15'!$J$238:$J$451),0),
IF('TL16'!$B$3=O$3,SUMIF('TL16'!$C$10:$C$224,$C90,'TL16'!$J$10:$J$224),0),
IF('TL16'!$B$229=O$3,SUMIF('TL16'!$C$238:$C$451,$C90,'TL16'!$J$238:$J$451),0),
IF('TL17'!$B$3=O$3,SUMIF('TL17'!$C$10:$C$224,$C90,'TL17'!$J$10:$J$224),0),
IF('TL17'!$B$229=O$3,SUMIF('TL17'!$C$238:$C$451,$C90,'TL17'!$J$238:$J$451),0),
IF('TL18'!$B$3=O$3,SUMIF('TL18'!$C$10:$C$224,$C90,'TL18'!$J$10:$J$224),0),
IF('TL18'!$B$229=O$3,SUMIF('TL18'!$C$238:$C$451,$C90,'TL18'!$J$238:$J$451),0),
IF('TL19'!$B$3=O$3,SUMIF('TL19'!$C$10:$C$224,$C90,'TL19'!$J$10:$J$224),0),
IF('TL19'!$B$229=O$3,SUMIF('TL19'!$C$238:$C$451,$C90,'TL19'!$J$238:$J$451),0)
),0)</f>
        <v>0</v>
      </c>
      <c r="P90" s="9">
        <f>IFERROR(SUM(
IF('TL01'!$B$3=P$3,SUMIF('TL01'!$C$10:$C$224,$C90,'TL01'!$J$10:$J$224),0),
IF('TL01'!$B$229=P$3,SUMIF('TL01'!$C$238:$C$451,$C90,'TL01'!$J$238:$J$451),0),
IF('TL02'!$B$3=P$3,SUMIF('TL02'!$C$10:$C$224,$C90,'TL02'!$J$10:$J$224),0),
IF('TL02'!$B$229=P$3,SUMIF('TL02'!$C$238:$C$451,$C90,'TL02'!$J$238:$J$451),0),
IF('TL03'!$B$3=P$3,SUMIF('TL03'!$C$10:$C$224,$C90,'TL03'!$J$10:$J$224),0),
IF('TL03'!$B$229=P$3,SUMIF('TL03'!$C$238:$C$451,$C90,'TL03'!$J$238:$J$451),0),
IF('TL04'!$B$3=P$3,SUMIF('TL04'!$C$10:$C$224,$C90,'TL04'!$J$10:$J$224),0),
IF('TL04'!$B$229=P$3,SUMIF('TL04'!$C$238:$C$451,$C90,'TL04'!$J$238:$J$451),0),
IF('TL05'!$B$3=P$3,SUMIF('TL05'!$C$10:$C$224,$C90,'TL05'!$J$10:$J$224),0),
IF('TL05'!$B$229=P$3,SUMIF('TL05'!$C$238:$C$451,$C90,'TL05'!$J$238:$J$451),0),
IF('TL06'!$B$3=P$3,SUMIF('TL06'!$C$10:$C$224,$C90,'TL06'!$J$10:$J$224),0),
IF('TL06'!$B$229=P$3,SUMIF('TL06'!$C$238:$C$451,$C90,'TL06'!$J$238:$J$451),0),
IF('TL07'!$B$3=P$3,SUMIF('TL07'!$C$10:$C$224,$C90,'TL07'!$J$10:$J$224),0),
IF('TL07'!$B$229=P$3,SUMIF('TL07'!$C$238:$C$451,$C90,'TL07'!$J$238:$J$451),0),
IF('TL08'!$B$3=P$3,SUMIF('TL08'!$C$10:$C$224,$C90,'TL08'!$J$10:$J$224),0),
IF('TL08'!$B$229=P$3,SUMIF('TL08'!$C$238:$C$451,$C90,'TL08'!$J$238:$J$451),0),
IF('TL09'!$B$3=P$3,SUMIF('TL09'!$C$10:$C$224,$C90,'TL09'!$J$10:$J$224),0),
IF('TL09'!$B$229=P$3,SUMIF('TL09'!$C$238:$C$451,$C90,'TL09'!$J$238:$J$451),0),
IF('TL10'!$B$3=P$3,SUMIF('TL10'!$C$10:$C$224,$C90,'TL10'!$J$10:$J$224),0),
IF('TL10'!$B$229=P$3,SUMIF('TL10'!$C$238:$C$451,$C90,'TL10'!$J$238:$J$451),0),
IF('TL11'!$B$3=P$3,SUMIF('TL11'!$C$10:$C$224,$C90,'TL11'!$J$10:$J$224),0),
IF('TL11'!$B$229=P$3,SUMIF('TL11'!$C$238:$C$451,$C90,'TL11'!$J$238:$J$451),0),
IF('TL12'!$B$3=P$3,SUMIF('TL12'!$C$10:$C$224,$C90,'TL12'!$J$10:$J$224),0),
IF('TL12'!$B$229=P$3,SUMIF('TL12'!$C$238:$C$451,$C90,'TL12'!$J$238:$J$451),0),
IF('TL13'!$B$3=P$3,SUMIF('TL13'!$C$10:$C$224,$C90,'TL13'!$J$10:$J$224),0),
IF('TL13'!$B$229=P$3,SUMIF('TL13'!$C$238:$C$451,$C90,'TL13'!$J$238:$J$451),0),
IF('TL14'!$B$3=P$3,SUMIF('TL14'!$C$10:$C$224,$C90,'TL14'!$J$10:$J$224),0),
IF('TL14'!$B$229=P$3,SUMIF('TL14'!$C$238:$C$451,$C90,'TL14'!$J$238:$J$451),0),
IF('TL15'!$B$3=P$3,SUMIF('TL15'!$C$10:$C$224,$C90,'TL15'!$J$10:$J$224),0),
IF('TL15'!$B$229=P$3,SUMIF('TL15'!$C$238:$C$451,$C90,'TL15'!$J$238:$J$451),0),
IF('TL16'!$B$3=P$3,SUMIF('TL16'!$C$10:$C$224,$C90,'TL16'!$J$10:$J$224),0),
IF('TL16'!$B$229=P$3,SUMIF('TL16'!$C$238:$C$451,$C90,'TL16'!$J$238:$J$451),0),
IF('TL17'!$B$3=P$3,SUMIF('TL17'!$C$10:$C$224,$C90,'TL17'!$J$10:$J$224),0),
IF('TL17'!$B$229=P$3,SUMIF('TL17'!$C$238:$C$451,$C90,'TL17'!$J$238:$J$451),0),
IF('TL18'!$B$3=P$3,SUMIF('TL18'!$C$10:$C$224,$C90,'TL18'!$J$10:$J$224),0),
IF('TL18'!$B$229=P$3,SUMIF('TL18'!$C$238:$C$451,$C90,'TL18'!$J$238:$J$451),0),
IF('TL19'!$B$3=P$3,SUMIF('TL19'!$C$10:$C$224,$C90,'TL19'!$J$10:$J$224),0),
IF('TL19'!$B$229=P$3,SUMIF('TL19'!$C$238:$C$451,$C90,'TL19'!$J$238:$J$451),0)
),0)</f>
        <v>0</v>
      </c>
      <c r="Q90" s="9">
        <f>IFERROR(SUM(
IF('TL01'!$B$3=Q$3,SUMIF('TL01'!$C$10:$C$224,$C90,'TL01'!$J$10:$J$224),0),
IF('TL01'!$B$229=Q$3,SUMIF('TL01'!$C$238:$C$451,$C90,'TL01'!$J$238:$J$451),0),
IF('TL02'!$B$3=Q$3,SUMIF('TL02'!$C$10:$C$224,$C90,'TL02'!$J$10:$J$224),0),
IF('TL02'!$B$229=Q$3,SUMIF('TL02'!$C$238:$C$451,$C90,'TL02'!$J$238:$J$451),0),
IF('TL03'!$B$3=Q$3,SUMIF('TL03'!$C$10:$C$224,$C90,'TL03'!$J$10:$J$224),0),
IF('TL03'!$B$229=Q$3,SUMIF('TL03'!$C$238:$C$451,$C90,'TL03'!$J$238:$J$451),0),
IF('TL04'!$B$3=Q$3,SUMIF('TL04'!$C$10:$C$224,$C90,'TL04'!$J$10:$J$224),0),
IF('TL04'!$B$229=Q$3,SUMIF('TL04'!$C$238:$C$451,$C90,'TL04'!$J$238:$J$451),0),
IF('TL05'!$B$3=Q$3,SUMIF('TL05'!$C$10:$C$224,$C90,'TL05'!$J$10:$J$224),0),
IF('TL05'!$B$229=Q$3,SUMIF('TL05'!$C$238:$C$451,$C90,'TL05'!$J$238:$J$451),0),
IF('TL06'!$B$3=Q$3,SUMIF('TL06'!$C$10:$C$224,$C90,'TL06'!$J$10:$J$224),0),
IF('TL06'!$B$229=Q$3,SUMIF('TL06'!$C$238:$C$451,$C90,'TL06'!$J$238:$J$451),0),
IF('TL07'!$B$3=Q$3,SUMIF('TL07'!$C$10:$C$224,$C90,'TL07'!$J$10:$J$224),0),
IF('TL07'!$B$229=Q$3,SUMIF('TL07'!$C$238:$C$451,$C90,'TL07'!$J$238:$J$451),0),
IF('TL08'!$B$3=Q$3,SUMIF('TL08'!$C$10:$C$224,$C90,'TL08'!$J$10:$J$224),0),
IF('TL08'!$B$229=Q$3,SUMIF('TL08'!$C$238:$C$451,$C90,'TL08'!$J$238:$J$451),0),
IF('TL09'!$B$3=Q$3,SUMIF('TL09'!$C$10:$C$224,$C90,'TL09'!$J$10:$J$224),0),
IF('TL09'!$B$229=Q$3,SUMIF('TL09'!$C$238:$C$451,$C90,'TL09'!$J$238:$J$451),0),
IF('TL10'!$B$3=Q$3,SUMIF('TL10'!$C$10:$C$224,$C90,'TL10'!$J$10:$J$224),0),
IF('TL10'!$B$229=Q$3,SUMIF('TL10'!$C$238:$C$451,$C90,'TL10'!$J$238:$J$451),0),
IF('TL11'!$B$3=Q$3,SUMIF('TL11'!$C$10:$C$224,$C90,'TL11'!$J$10:$J$224),0),
IF('TL11'!$B$229=Q$3,SUMIF('TL11'!$C$238:$C$451,$C90,'TL11'!$J$238:$J$451),0),
IF('TL12'!$B$3=Q$3,SUMIF('TL12'!$C$10:$C$224,$C90,'TL12'!$J$10:$J$224),0),
IF('TL12'!$B$229=Q$3,SUMIF('TL12'!$C$238:$C$451,$C90,'TL12'!$J$238:$J$451),0),
IF('TL13'!$B$3=Q$3,SUMIF('TL13'!$C$10:$C$224,$C90,'TL13'!$J$10:$J$224),0),
IF('TL13'!$B$229=Q$3,SUMIF('TL13'!$C$238:$C$451,$C90,'TL13'!$J$238:$J$451),0),
IF('TL14'!$B$3=Q$3,SUMIF('TL14'!$C$10:$C$224,$C90,'TL14'!$J$10:$J$224),0),
IF('TL14'!$B$229=Q$3,SUMIF('TL14'!$C$238:$C$451,$C90,'TL14'!$J$238:$J$451),0),
IF('TL15'!$B$3=Q$3,SUMIF('TL15'!$C$10:$C$224,$C90,'TL15'!$J$10:$J$224),0),
IF('TL15'!$B$229=Q$3,SUMIF('TL15'!$C$238:$C$451,$C90,'TL15'!$J$238:$J$451),0),
IF('TL16'!$B$3=Q$3,SUMIF('TL16'!$C$10:$C$224,$C90,'TL16'!$J$10:$J$224),0),
IF('TL16'!$B$229=Q$3,SUMIF('TL16'!$C$238:$C$451,$C90,'TL16'!$J$238:$J$451),0),
IF('TL17'!$B$3=Q$3,SUMIF('TL17'!$C$10:$C$224,$C90,'TL17'!$J$10:$J$224),0),
IF('TL17'!$B$229=Q$3,SUMIF('TL17'!$C$238:$C$451,$C90,'TL17'!$J$238:$J$451),0),
IF('TL18'!$B$3=Q$3,SUMIF('TL18'!$C$10:$C$224,$C90,'TL18'!$J$10:$J$224),0),
IF('TL18'!$B$229=Q$3,SUMIF('TL18'!$C$238:$C$451,$C90,'TL18'!$J$238:$J$451),0),
IF('TL19'!$B$3=Q$3,SUMIF('TL19'!$C$10:$C$224,$C90,'TL19'!$J$10:$J$224),0),
IF('TL19'!$B$229=Q$3,SUMIF('TL19'!$C$238:$C$451,$C90,'TL19'!$J$238:$J$451),0)
),0)</f>
        <v>0</v>
      </c>
      <c r="R90" s="9">
        <f>IFERROR(
SUM(
SUMIF('TL01'!C:C,C90,'TL01'!J:J),
SUMIF('TL02'!C:C,C90,'TL02'!J:J),
SUMIF('TL03'!C:C,C90,'TL03'!J:J),
SUMIF('TL04'!C:C,C90,'TL04'!J:J),
SUMIF('TL05'!C:C,C90,'TL05'!J:J),
SUMIF('TL06'!C:C,C90,'TL06'!J:J),
SUMIF('TL07'!C:C,C90,'TL07'!J:J),
SUMIF('TL08'!C:C,C90,'TL08'!J:J),
SUMIF('TL09'!C:C,C90,'TL09'!J:J),
SUMIF('TL10'!C:C,C90,'TL10'!J:J),
SUMIF('TL11'!C:C,C90,'TL11'!J:J),
SUMIF('TL12'!C:C,C90,'TL12'!J:J),
SUMIF('TL13'!C:C,C90,'TL13'!J:J),
SUMIF('TL14'!C:C,C90,'TL14'!J:J),
SUMIF('TL15'!C:C,C90,'TL15'!J:J),
SUMIF('TL16'!C:C,C90,'TL16'!J:J),
SUMIF('TL17'!C:C,C90,'TL17'!J:J),
SUMIF('TL18'!C:C,C90,'TL18'!J:J),SUMIF('TL19'!C:C,C90,'TL19'!J:J))
,0)</f>
        <v>0</v>
      </c>
      <c r="S90" s="17">
        <f>IFERROR(__xludf.DUMMYFUNCTION("IFERROR(VLOOKUP(C90,
IMPORTRANGE(""1wULbzX32WdYsx-lj2U3uUNBBe2INVIRDtcK0d-Dvl90"",
""26-27!C:G""),
5,
FALSE),
"""")"),129.13344)</f>
        <v>129.13344</v>
      </c>
      <c r="T90" s="9"/>
      <c r="U90" s="92">
        <f t="shared" si="2"/>
        <v>0</v>
      </c>
      <c r="V90" s="93">
        <f t="shared" si="3"/>
        <v>0</v>
      </c>
    </row>
    <row r="91" ht="15.75" hidden="1" customHeight="1">
      <c r="A91" s="111" t="s">
        <v>358</v>
      </c>
      <c r="B91" s="112" t="s">
        <v>0</v>
      </c>
      <c r="C91" s="113" t="s">
        <v>568</v>
      </c>
      <c r="D91" s="113" t="s">
        <v>548</v>
      </c>
      <c r="E91" s="113" t="s">
        <v>569</v>
      </c>
      <c r="F91" s="4" t="s">
        <v>343</v>
      </c>
      <c r="G91" s="90" t="str">
        <f t="shared" si="4"/>
        <v>📄 Ver bula</v>
      </c>
      <c r="H91" s="9">
        <f>IFERROR(__xludf.DUMMYFUNCTION("IFERROR(VLOOKUP(C91,
IMPORTRANGE(""1wULbzX32WdYsx-lj2U3uUNBBe2INVIRDtcK0d-Dvl90"",
""26-27!C:K""),
8,
FALSE),
"""")"),0.75)</f>
        <v>0.75</v>
      </c>
      <c r="I91" s="114" t="s">
        <v>344</v>
      </c>
      <c r="J91" s="9">
        <f>IFERROR(SUM(
IF('TL01'!$B$3=J$3,SUMIF('TL01'!$C$10:$C$224,$C91,'TL01'!$J$10:$J$224),0),
IF('TL01'!$B$229=J$3,SUMIF('TL01'!$C$238:$C$451,$C91,'TL01'!$J$238:$J$451),0),
IF('TL02'!$B$3=J$3,SUMIF('TL02'!$C$10:$C$224,$C91,'TL02'!$J$10:$J$224),0),
IF('TL02'!$B$229=J$3,SUMIF('TL02'!$C$238:$C$451,$C91,'TL02'!$J$238:$J$451),0),
IF('TL03'!$B$3=J$3,SUMIF('TL03'!$C$10:$C$224,$C91,'TL03'!$J$10:$J$224),0),
IF('TL03'!$B$229=J$3,SUMIF('TL03'!$C$238:$C$451,$C91,'TL03'!$J$238:$J$451),0),
IF('TL04'!$B$3=J$3,SUMIF('TL04'!$C$10:$C$224,$C91,'TL04'!$J$10:$J$224),0),
IF('TL04'!$B$229=J$3,SUMIF('TL04'!$C$238:$C$451,$C91,'TL04'!$J$238:$J$451),0),
IF('TL05'!$B$3=J$3,SUMIF('TL05'!$C$10:$C$224,$C91,'TL05'!$J$10:$J$224),0),
IF('TL05'!$B$229=J$3,SUMIF('TL05'!$C$238:$C$451,$C91,'TL05'!$J$238:$J$451),0),
IF('TL06'!$B$3=J$3,SUMIF('TL06'!$C$10:$C$224,$C91,'TL06'!$J$10:$J$224),0),
IF('TL06'!$B$229=J$3,SUMIF('TL06'!$C$238:$C$451,$C91,'TL06'!$J$238:$J$451),0),
IF('TL07'!$B$3=J$3,SUMIF('TL07'!$C$10:$C$224,$C91,'TL07'!$J$10:$J$224),0),
IF('TL07'!$B$229=J$3,SUMIF('TL07'!$C$238:$C$451,$C91,'TL07'!$J$238:$J$451),0),
IF('TL08'!$B$3=J$3,SUMIF('TL08'!$C$10:$C$224,$C91,'TL08'!$J$10:$J$224),0),
IF('TL08'!$B$229=J$3,SUMIF('TL08'!$C$238:$C$451,$C91,'TL08'!$J$238:$J$451),0),
IF('TL09'!$B$3=J$3,SUMIF('TL09'!$C$10:$C$224,$C91,'TL09'!$J$10:$J$224),0),
IF('TL09'!$B$229=J$3,SUMIF('TL09'!$C$238:$C$451,$C91,'TL09'!$J$238:$J$451),0),
IF('TL10'!$B$3=J$3,SUMIF('TL10'!$C$10:$C$224,$C91,'TL10'!$J$10:$J$224),0),
IF('TL10'!$B$229=J$3,SUMIF('TL10'!$C$238:$C$451,$C91,'TL10'!$J$238:$J$451),0),
IF('TL11'!$B$3=J$3,SUMIF('TL11'!$C$10:$C$224,$C91,'TL11'!$J$10:$J$224),0),
IF('TL11'!$B$229=J$3,SUMIF('TL11'!$C$238:$C$451,$C91,'TL11'!$J$238:$J$451),0),
IF('TL12'!$B$3=J$3,SUMIF('TL12'!$C$10:$C$224,$C91,'TL12'!$J$10:$J$224),0),
IF('TL12'!$B$229=J$3,SUMIF('TL12'!$C$238:$C$451,$C91,'TL12'!$J$238:$J$451),0),
IF('TL13'!$B$3=J$3,SUMIF('TL13'!$C$10:$C$224,$C91,'TL13'!$J$10:$J$224),0),
IF('TL13'!$B$229=J$3,SUMIF('TL13'!$C$238:$C$451,$C91,'TL13'!$J$238:$J$451),0),
IF('TL14'!$B$3=J$3,SUMIF('TL14'!$C$10:$C$224,$C91,'TL14'!$J$10:$J$224),0),
IF('TL14'!$B$229=J$3,SUMIF('TL14'!$C$238:$C$451,$C91,'TL14'!$J$238:$J$451),0),
IF('TL15'!$B$3=J$3,SUMIF('TL15'!$C$10:$C$224,$C91,'TL15'!$J$10:$J$224),0),
IF('TL15'!$B$229=J$3,SUMIF('TL15'!$C$238:$C$451,$C91,'TL15'!$J$238:$J$451),0),
IF('TL16'!$B$3=J$3,SUMIF('TL16'!$C$10:$C$224,$C91,'TL16'!$J$10:$J$224),0),
IF('TL16'!$B$229=J$3,SUMIF('TL16'!$C$238:$C$451,$C91,'TL16'!$J$238:$J$451),0),
IF('TL17'!$B$3=J$3,SUMIF('TL17'!$C$10:$C$224,$C91,'TL17'!$J$10:$J$224),0),
IF('TL17'!$B$229=J$3,SUMIF('TL17'!$C$238:$C$451,$C91,'TL17'!$J$238:$J$451),0),
IF('TL18'!$B$3=J$3,SUMIF('TL18'!$C$10:$C$224,$C91,'TL18'!$J$10:$J$224),0),
IF('TL18'!$B$229=J$3,SUMIF('TL18'!$C$238:$C$451,$C91,'TL18'!$J$238:$J$451),0),
IF('TL19'!$B$3=J$3,SUMIF('TL19'!$C$10:$C$224,$C91,'TL19'!$J$10:$J$224),0),
IF('TL19'!$B$229=J$3,SUMIF('TL19'!$C$238:$C$451,$C91,'TL19'!$J$238:$J$451),0)
),0)</f>
        <v>0</v>
      </c>
      <c r="K91" s="9">
        <f>IFERROR(SUM(
IF('TL01'!$B$3=K$3,SUMIF('TL01'!$C$10:$C$224,$C91,'TL01'!$J$10:$J$224),0),
IF('TL01'!$B$229=K$3,SUMIF('TL01'!$C$238:$C$451,$C91,'TL01'!$J$238:$J$451),0),
IF('TL02'!$B$3=K$3,SUMIF('TL02'!$C$10:$C$224,$C91,'TL02'!$J$10:$J$224),0),
IF('TL02'!$B$229=K$3,SUMIF('TL02'!$C$238:$C$451,$C91,'TL02'!$J$238:$J$451),0),
IF('TL03'!$B$3=K$3,SUMIF('TL03'!$C$10:$C$224,$C91,'TL03'!$J$10:$J$224),0),
IF('TL03'!$B$229=K$3,SUMIF('TL03'!$C$238:$C$451,$C91,'TL03'!$J$238:$J$451),0),
IF('TL04'!$B$3=K$3,SUMIF('TL04'!$C$10:$C$224,$C91,'TL04'!$J$10:$J$224),0),
IF('TL04'!$B$229=K$3,SUMIF('TL04'!$C$238:$C$451,$C91,'TL04'!$J$238:$J$451),0),
IF('TL05'!$B$3=K$3,SUMIF('TL05'!$C$10:$C$224,$C91,'TL05'!$J$10:$J$224),0),
IF('TL05'!$B$229=K$3,SUMIF('TL05'!$C$238:$C$451,$C91,'TL05'!$J$238:$J$451),0),
IF('TL06'!$B$3=K$3,SUMIF('TL06'!$C$10:$C$224,$C91,'TL06'!$J$10:$J$224),0),
IF('TL06'!$B$229=K$3,SUMIF('TL06'!$C$238:$C$451,$C91,'TL06'!$J$238:$J$451),0),
IF('TL07'!$B$3=K$3,SUMIF('TL07'!$C$10:$C$224,$C91,'TL07'!$J$10:$J$224),0),
IF('TL07'!$B$229=K$3,SUMIF('TL07'!$C$238:$C$451,$C91,'TL07'!$J$238:$J$451),0),
IF('TL08'!$B$3=K$3,SUMIF('TL08'!$C$10:$C$224,$C91,'TL08'!$J$10:$J$224),0),
IF('TL08'!$B$229=K$3,SUMIF('TL08'!$C$238:$C$451,$C91,'TL08'!$J$238:$J$451),0),
IF('TL09'!$B$3=K$3,SUMIF('TL09'!$C$10:$C$224,$C91,'TL09'!$J$10:$J$224),0),
IF('TL09'!$B$229=K$3,SUMIF('TL09'!$C$238:$C$451,$C91,'TL09'!$J$238:$J$451),0),
IF('TL10'!$B$3=K$3,SUMIF('TL10'!$C$10:$C$224,$C91,'TL10'!$J$10:$J$224),0),
IF('TL10'!$B$229=K$3,SUMIF('TL10'!$C$238:$C$451,$C91,'TL10'!$J$238:$J$451),0),
IF('TL11'!$B$3=K$3,SUMIF('TL11'!$C$10:$C$224,$C91,'TL11'!$J$10:$J$224),0),
IF('TL11'!$B$229=K$3,SUMIF('TL11'!$C$238:$C$451,$C91,'TL11'!$J$238:$J$451),0),
IF('TL12'!$B$3=K$3,SUMIF('TL12'!$C$10:$C$224,$C91,'TL12'!$J$10:$J$224),0),
IF('TL12'!$B$229=K$3,SUMIF('TL12'!$C$238:$C$451,$C91,'TL12'!$J$238:$J$451),0),
IF('TL13'!$B$3=K$3,SUMIF('TL13'!$C$10:$C$224,$C91,'TL13'!$J$10:$J$224),0),
IF('TL13'!$B$229=K$3,SUMIF('TL13'!$C$238:$C$451,$C91,'TL13'!$J$238:$J$451),0),
IF('TL14'!$B$3=K$3,SUMIF('TL14'!$C$10:$C$224,$C91,'TL14'!$J$10:$J$224),0),
IF('TL14'!$B$229=K$3,SUMIF('TL14'!$C$238:$C$451,$C91,'TL14'!$J$238:$J$451),0),
IF('TL15'!$B$3=K$3,SUMIF('TL15'!$C$10:$C$224,$C91,'TL15'!$J$10:$J$224),0),
IF('TL15'!$B$229=K$3,SUMIF('TL15'!$C$238:$C$451,$C91,'TL15'!$J$238:$J$451),0),
IF('TL16'!$B$3=K$3,SUMIF('TL16'!$C$10:$C$224,$C91,'TL16'!$J$10:$J$224),0),
IF('TL16'!$B$229=K$3,SUMIF('TL16'!$C$238:$C$451,$C91,'TL16'!$J$238:$J$451),0),
IF('TL17'!$B$3=K$3,SUMIF('TL17'!$C$10:$C$224,$C91,'TL17'!$J$10:$J$224),0),
IF('TL17'!$B$229=K$3,SUMIF('TL17'!$C$238:$C$451,$C91,'TL17'!$J$238:$J$451),0),
IF('TL18'!$B$3=K$3,SUMIF('TL18'!$C$10:$C$224,$C91,'TL18'!$J$10:$J$224),0),
IF('TL18'!$B$229=K$3,SUMIF('TL18'!$C$238:$C$451,$C91,'TL18'!$J$238:$J$451),0),
IF('TL19'!$B$3=K$3,SUMIF('TL19'!$C$10:$C$224,$C91,'TL19'!$J$10:$J$224),0),
IF('TL19'!$B$229=K$3,SUMIF('TL19'!$C$238:$C$451,$C91,'TL19'!$J$238:$J$451),0)
),0)</f>
        <v>0</v>
      </c>
      <c r="L91" s="9">
        <f>IFERROR(SUM(
IF('TL01'!$B$3=L$3,SUMIF('TL01'!$C$10:$C$224,$C91,'TL01'!$J$10:$J$224),0),
IF('TL01'!$B$229=L$3,SUMIF('TL01'!$C$238:$C$451,$C91,'TL01'!$J$238:$J$451),0),
IF('TL02'!$B$3=L$3,SUMIF('TL02'!$C$10:$C$224,$C91,'TL02'!$J$10:$J$224),0),
IF('TL02'!$B$229=L$3,SUMIF('TL02'!$C$238:$C$451,$C91,'TL02'!$J$238:$J$451),0),
IF('TL03'!$B$3=L$3,SUMIF('TL03'!$C$10:$C$224,$C91,'TL03'!$J$10:$J$224),0),
IF('TL03'!$B$229=L$3,SUMIF('TL03'!$C$238:$C$451,$C91,'TL03'!$J$238:$J$451),0),
IF('TL04'!$B$3=L$3,SUMIF('TL04'!$C$10:$C$224,$C91,'TL04'!$J$10:$J$224),0),
IF('TL04'!$B$229=L$3,SUMIF('TL04'!$C$238:$C$451,$C91,'TL04'!$J$238:$J$451),0),
IF('TL05'!$B$3=L$3,SUMIF('TL05'!$C$10:$C$224,$C91,'TL05'!$J$10:$J$224),0),
IF('TL05'!$B$229=L$3,SUMIF('TL05'!$C$238:$C$451,$C91,'TL05'!$J$238:$J$451),0),
IF('TL06'!$B$3=L$3,SUMIF('TL06'!$C$10:$C$224,$C91,'TL06'!$J$10:$J$224),0),
IF('TL06'!$B$229=L$3,SUMIF('TL06'!$C$238:$C$451,$C91,'TL06'!$J$238:$J$451),0),
IF('TL07'!$B$3=L$3,SUMIF('TL07'!$C$10:$C$224,$C91,'TL07'!$J$10:$J$224),0),
IF('TL07'!$B$229=L$3,SUMIF('TL07'!$C$238:$C$451,$C91,'TL07'!$J$238:$J$451),0),
IF('TL08'!$B$3=L$3,SUMIF('TL08'!$C$10:$C$224,$C91,'TL08'!$J$10:$J$224),0),
IF('TL08'!$B$229=L$3,SUMIF('TL08'!$C$238:$C$451,$C91,'TL08'!$J$238:$J$451),0),
IF('TL09'!$B$3=L$3,SUMIF('TL09'!$C$10:$C$224,$C91,'TL09'!$J$10:$J$224),0),
IF('TL09'!$B$229=L$3,SUMIF('TL09'!$C$238:$C$451,$C91,'TL09'!$J$238:$J$451),0),
IF('TL10'!$B$3=L$3,SUMIF('TL10'!$C$10:$C$224,$C91,'TL10'!$J$10:$J$224),0),
IF('TL10'!$B$229=L$3,SUMIF('TL10'!$C$238:$C$451,$C91,'TL10'!$J$238:$J$451),0),
IF('TL11'!$B$3=L$3,SUMIF('TL11'!$C$10:$C$224,$C91,'TL11'!$J$10:$J$224),0),
IF('TL11'!$B$229=L$3,SUMIF('TL11'!$C$238:$C$451,$C91,'TL11'!$J$238:$J$451),0),
IF('TL12'!$B$3=L$3,SUMIF('TL12'!$C$10:$C$224,$C91,'TL12'!$J$10:$J$224),0),
IF('TL12'!$B$229=L$3,SUMIF('TL12'!$C$238:$C$451,$C91,'TL12'!$J$238:$J$451),0),
IF('TL13'!$B$3=L$3,SUMIF('TL13'!$C$10:$C$224,$C91,'TL13'!$J$10:$J$224),0),
IF('TL13'!$B$229=L$3,SUMIF('TL13'!$C$238:$C$451,$C91,'TL13'!$J$238:$J$451),0),
IF('TL14'!$B$3=L$3,SUMIF('TL14'!$C$10:$C$224,$C91,'TL14'!$J$10:$J$224),0),
IF('TL14'!$B$229=L$3,SUMIF('TL14'!$C$238:$C$451,$C91,'TL14'!$J$238:$J$451),0),
IF('TL15'!$B$3=L$3,SUMIF('TL15'!$C$10:$C$224,$C91,'TL15'!$J$10:$J$224),0),
IF('TL15'!$B$229=L$3,SUMIF('TL15'!$C$238:$C$451,$C91,'TL15'!$J$238:$J$451),0),
IF('TL16'!$B$3=L$3,SUMIF('TL16'!$C$10:$C$224,$C91,'TL16'!$J$10:$J$224),0),
IF('TL16'!$B$229=L$3,SUMIF('TL16'!$C$238:$C$451,$C91,'TL16'!$J$238:$J$451),0),
IF('TL17'!$B$3=L$3,SUMIF('TL17'!$C$10:$C$224,$C91,'TL17'!$J$10:$J$224),0),
IF('TL17'!$B$229=L$3,SUMIF('TL17'!$C$238:$C$451,$C91,'TL17'!$J$238:$J$451),0),
IF('TL18'!$B$3=L$3,SUMIF('TL18'!$C$10:$C$224,$C91,'TL18'!$J$10:$J$224),0),
IF('TL18'!$B$229=L$3,SUMIF('TL18'!$C$238:$C$451,$C91,'TL18'!$J$238:$J$451),0),
IF('TL19'!$B$3=L$3,SUMIF('TL19'!$C$10:$C$224,$C91,'TL19'!$J$10:$J$224),0),
IF('TL19'!$B$229=L$3,SUMIF('TL19'!$C$238:$C$451,$C91,'TL19'!$J$238:$J$451),0)
),0)</f>
        <v>0</v>
      </c>
      <c r="M91" s="9">
        <f>IFERROR(SUM(
IF('TL01'!$B$3=M$3,SUMIF('TL01'!$C$10:$C$224,$C91,'TL01'!$J$10:$J$224),0),
IF('TL01'!$B$229=M$3,SUMIF('TL01'!$C$238:$C$451,$C91,'TL01'!$J$238:$J$451),0),
IF('TL02'!$B$3=M$3,SUMIF('TL02'!$C$10:$C$224,$C91,'TL02'!$J$10:$J$224),0),
IF('TL02'!$B$229=M$3,SUMIF('TL02'!$C$238:$C$451,$C91,'TL02'!$J$238:$J$451),0),
IF('TL03'!$B$3=M$3,SUMIF('TL03'!$C$10:$C$224,$C91,'TL03'!$J$10:$J$224),0),
IF('TL03'!$B$229=M$3,SUMIF('TL03'!$C$238:$C$451,$C91,'TL03'!$J$238:$J$451),0),
IF('TL04'!$B$3=M$3,SUMIF('TL04'!$C$10:$C$224,$C91,'TL04'!$J$10:$J$224),0),
IF('TL04'!$B$229=M$3,SUMIF('TL04'!$C$238:$C$451,$C91,'TL04'!$J$238:$J$451),0),
IF('TL05'!$B$3=M$3,SUMIF('TL05'!$C$10:$C$224,$C91,'TL05'!$J$10:$J$224),0),
IF('TL05'!$B$229=M$3,SUMIF('TL05'!$C$238:$C$451,$C91,'TL05'!$J$238:$J$451),0),
IF('TL06'!$B$3=M$3,SUMIF('TL06'!$C$10:$C$224,$C91,'TL06'!$J$10:$J$224),0),
IF('TL06'!$B$229=M$3,SUMIF('TL06'!$C$238:$C$451,$C91,'TL06'!$J$238:$J$451),0),
IF('TL07'!$B$3=M$3,SUMIF('TL07'!$C$10:$C$224,$C91,'TL07'!$J$10:$J$224),0),
IF('TL07'!$B$229=M$3,SUMIF('TL07'!$C$238:$C$451,$C91,'TL07'!$J$238:$J$451),0),
IF('TL08'!$B$3=M$3,SUMIF('TL08'!$C$10:$C$224,$C91,'TL08'!$J$10:$J$224),0),
IF('TL08'!$B$229=M$3,SUMIF('TL08'!$C$238:$C$451,$C91,'TL08'!$J$238:$J$451),0),
IF('TL09'!$B$3=M$3,SUMIF('TL09'!$C$10:$C$224,$C91,'TL09'!$J$10:$J$224),0),
IF('TL09'!$B$229=M$3,SUMIF('TL09'!$C$238:$C$451,$C91,'TL09'!$J$238:$J$451),0),
IF('TL10'!$B$3=M$3,SUMIF('TL10'!$C$10:$C$224,$C91,'TL10'!$J$10:$J$224),0),
IF('TL10'!$B$229=M$3,SUMIF('TL10'!$C$238:$C$451,$C91,'TL10'!$J$238:$J$451),0),
IF('TL11'!$B$3=M$3,SUMIF('TL11'!$C$10:$C$224,$C91,'TL11'!$J$10:$J$224),0),
IF('TL11'!$B$229=M$3,SUMIF('TL11'!$C$238:$C$451,$C91,'TL11'!$J$238:$J$451),0),
IF('TL12'!$B$3=M$3,SUMIF('TL12'!$C$10:$C$224,$C91,'TL12'!$J$10:$J$224),0),
IF('TL12'!$B$229=M$3,SUMIF('TL12'!$C$238:$C$451,$C91,'TL12'!$J$238:$J$451),0),
IF('TL13'!$B$3=M$3,SUMIF('TL13'!$C$10:$C$224,$C91,'TL13'!$J$10:$J$224),0),
IF('TL13'!$B$229=M$3,SUMIF('TL13'!$C$238:$C$451,$C91,'TL13'!$J$238:$J$451),0),
IF('TL14'!$B$3=M$3,SUMIF('TL14'!$C$10:$C$224,$C91,'TL14'!$J$10:$J$224),0),
IF('TL14'!$B$229=M$3,SUMIF('TL14'!$C$238:$C$451,$C91,'TL14'!$J$238:$J$451),0),
IF('TL15'!$B$3=M$3,SUMIF('TL15'!$C$10:$C$224,$C91,'TL15'!$J$10:$J$224),0),
IF('TL15'!$B$229=M$3,SUMIF('TL15'!$C$238:$C$451,$C91,'TL15'!$J$238:$J$451),0),
IF('TL16'!$B$3=M$3,SUMIF('TL16'!$C$10:$C$224,$C91,'TL16'!$J$10:$J$224),0),
IF('TL16'!$B$229=M$3,SUMIF('TL16'!$C$238:$C$451,$C91,'TL16'!$J$238:$J$451),0),
IF('TL17'!$B$3=M$3,SUMIF('TL17'!$C$10:$C$224,$C91,'TL17'!$J$10:$J$224),0),
IF('TL17'!$B$229=M$3,SUMIF('TL17'!$C$238:$C$451,$C91,'TL17'!$J$238:$J$451),0),
IF('TL18'!$B$3=M$3,SUMIF('TL18'!$C$10:$C$224,$C91,'TL18'!$J$10:$J$224),0),
IF('TL18'!$B$229=M$3,SUMIF('TL18'!$C$238:$C$451,$C91,'TL18'!$J$238:$J$451),0),
IF('TL19'!$B$3=M$3,SUMIF('TL19'!$C$10:$C$224,$C91,'TL19'!$J$10:$J$224),0),
IF('TL19'!$B$229=M$3,SUMIF('TL19'!$C$238:$C$451,$C91,'TL19'!$J$238:$J$451),0)
),0)</f>
        <v>0</v>
      </c>
      <c r="N91" s="9">
        <f>IFERROR(SUM(
IF('TL01'!$B$3=N$3,SUMIF('TL01'!$C$10:$C$224,$C91,'TL01'!$J$10:$J$224),0),
IF('TL01'!$B$229=N$3,SUMIF('TL01'!$C$238:$C$451,$C91,'TL01'!$J$238:$J$451),0),
IF('TL02'!$B$3=N$3,SUMIF('TL02'!$C$10:$C$224,$C91,'TL02'!$J$10:$J$224),0),
IF('TL02'!$B$229=N$3,SUMIF('TL02'!$C$238:$C$451,$C91,'TL02'!$J$238:$J$451),0),
IF('TL03'!$B$3=N$3,SUMIF('TL03'!$C$10:$C$224,$C91,'TL03'!$J$10:$J$224),0),
IF('TL03'!$B$229=N$3,SUMIF('TL03'!$C$238:$C$451,$C91,'TL03'!$J$238:$J$451),0),
IF('TL04'!$B$3=N$3,SUMIF('TL04'!$C$10:$C$224,$C91,'TL04'!$J$10:$J$224),0),
IF('TL04'!$B$229=N$3,SUMIF('TL04'!$C$238:$C$451,$C91,'TL04'!$J$238:$J$451),0),
IF('TL05'!$B$3=N$3,SUMIF('TL05'!$C$10:$C$224,$C91,'TL05'!$J$10:$J$224),0),
IF('TL05'!$B$229=N$3,SUMIF('TL05'!$C$238:$C$451,$C91,'TL05'!$J$238:$J$451),0),
IF('TL06'!$B$3=N$3,SUMIF('TL06'!$C$10:$C$224,$C91,'TL06'!$J$10:$J$224),0),
IF('TL06'!$B$229=N$3,SUMIF('TL06'!$C$238:$C$451,$C91,'TL06'!$J$238:$J$451),0),
IF('TL07'!$B$3=N$3,SUMIF('TL07'!$C$10:$C$224,$C91,'TL07'!$J$10:$J$224),0),
IF('TL07'!$B$229=N$3,SUMIF('TL07'!$C$238:$C$451,$C91,'TL07'!$J$238:$J$451),0),
IF('TL08'!$B$3=N$3,SUMIF('TL08'!$C$10:$C$224,$C91,'TL08'!$J$10:$J$224),0),
IF('TL08'!$B$229=N$3,SUMIF('TL08'!$C$238:$C$451,$C91,'TL08'!$J$238:$J$451),0),
IF('TL09'!$B$3=N$3,SUMIF('TL09'!$C$10:$C$224,$C91,'TL09'!$J$10:$J$224),0),
IF('TL09'!$B$229=N$3,SUMIF('TL09'!$C$238:$C$451,$C91,'TL09'!$J$238:$J$451),0),
IF('TL10'!$B$3=N$3,SUMIF('TL10'!$C$10:$C$224,$C91,'TL10'!$J$10:$J$224),0),
IF('TL10'!$B$229=N$3,SUMIF('TL10'!$C$238:$C$451,$C91,'TL10'!$J$238:$J$451),0),
IF('TL11'!$B$3=N$3,SUMIF('TL11'!$C$10:$C$224,$C91,'TL11'!$J$10:$J$224),0),
IF('TL11'!$B$229=N$3,SUMIF('TL11'!$C$238:$C$451,$C91,'TL11'!$J$238:$J$451),0),
IF('TL12'!$B$3=N$3,SUMIF('TL12'!$C$10:$C$224,$C91,'TL12'!$J$10:$J$224),0),
IF('TL12'!$B$229=N$3,SUMIF('TL12'!$C$238:$C$451,$C91,'TL12'!$J$238:$J$451),0),
IF('TL13'!$B$3=N$3,SUMIF('TL13'!$C$10:$C$224,$C91,'TL13'!$J$10:$J$224),0),
IF('TL13'!$B$229=N$3,SUMIF('TL13'!$C$238:$C$451,$C91,'TL13'!$J$238:$J$451),0),
IF('TL14'!$B$3=N$3,SUMIF('TL14'!$C$10:$C$224,$C91,'TL14'!$J$10:$J$224),0),
IF('TL14'!$B$229=N$3,SUMIF('TL14'!$C$238:$C$451,$C91,'TL14'!$J$238:$J$451),0),
IF('TL15'!$B$3=N$3,SUMIF('TL15'!$C$10:$C$224,$C91,'TL15'!$J$10:$J$224),0),
IF('TL15'!$B$229=N$3,SUMIF('TL15'!$C$238:$C$451,$C91,'TL15'!$J$238:$J$451),0),
IF('TL16'!$B$3=N$3,SUMIF('TL16'!$C$10:$C$224,$C91,'TL16'!$J$10:$J$224),0),
IF('TL16'!$B$229=N$3,SUMIF('TL16'!$C$238:$C$451,$C91,'TL16'!$J$238:$J$451),0),
IF('TL17'!$B$3=N$3,SUMIF('TL17'!$C$10:$C$224,$C91,'TL17'!$J$10:$J$224),0),
IF('TL17'!$B$229=N$3,SUMIF('TL17'!$C$238:$C$451,$C91,'TL17'!$J$238:$J$451),0),
IF('TL18'!$B$3=N$3,SUMIF('TL18'!$C$10:$C$224,$C91,'TL18'!$J$10:$J$224),0),
IF('TL18'!$B$229=N$3,SUMIF('TL18'!$C$238:$C$451,$C91,'TL18'!$J$238:$J$451),0),
IF('TL19'!$B$3=N$3,SUMIF('TL19'!$C$10:$C$224,$C91,'TL19'!$J$10:$J$224),0),
IF('TL19'!$B$229=N$3,SUMIF('TL19'!$C$238:$C$451,$C91,'TL19'!$J$238:$J$451),0)
),0)</f>
        <v>0</v>
      </c>
      <c r="O91" s="9">
        <f>IFERROR(SUM(
IF('TL01'!$B$3=O$3,SUMIF('TL01'!$C$10:$C$224,$C91,'TL01'!$J$10:$J$224),0),
IF('TL01'!$B$229=O$3,SUMIF('TL01'!$C$238:$C$451,$C91,'TL01'!$J$238:$J$451),0),
IF('TL02'!$B$3=O$3,SUMIF('TL02'!$C$10:$C$224,$C91,'TL02'!$J$10:$J$224),0),
IF('TL02'!$B$229=O$3,SUMIF('TL02'!$C$238:$C$451,$C91,'TL02'!$J$238:$J$451),0),
IF('TL03'!$B$3=O$3,SUMIF('TL03'!$C$10:$C$224,$C91,'TL03'!$J$10:$J$224),0),
IF('TL03'!$B$229=O$3,SUMIF('TL03'!$C$238:$C$451,$C91,'TL03'!$J$238:$J$451),0),
IF('TL04'!$B$3=O$3,SUMIF('TL04'!$C$10:$C$224,$C91,'TL04'!$J$10:$J$224),0),
IF('TL04'!$B$229=O$3,SUMIF('TL04'!$C$238:$C$451,$C91,'TL04'!$J$238:$J$451),0),
IF('TL05'!$B$3=O$3,SUMIF('TL05'!$C$10:$C$224,$C91,'TL05'!$J$10:$J$224),0),
IF('TL05'!$B$229=O$3,SUMIF('TL05'!$C$238:$C$451,$C91,'TL05'!$J$238:$J$451),0),
IF('TL06'!$B$3=O$3,SUMIF('TL06'!$C$10:$C$224,$C91,'TL06'!$J$10:$J$224),0),
IF('TL06'!$B$229=O$3,SUMIF('TL06'!$C$238:$C$451,$C91,'TL06'!$J$238:$J$451),0),
IF('TL07'!$B$3=O$3,SUMIF('TL07'!$C$10:$C$224,$C91,'TL07'!$J$10:$J$224),0),
IF('TL07'!$B$229=O$3,SUMIF('TL07'!$C$238:$C$451,$C91,'TL07'!$J$238:$J$451),0),
IF('TL08'!$B$3=O$3,SUMIF('TL08'!$C$10:$C$224,$C91,'TL08'!$J$10:$J$224),0),
IF('TL08'!$B$229=O$3,SUMIF('TL08'!$C$238:$C$451,$C91,'TL08'!$J$238:$J$451),0),
IF('TL09'!$B$3=O$3,SUMIF('TL09'!$C$10:$C$224,$C91,'TL09'!$J$10:$J$224),0),
IF('TL09'!$B$229=O$3,SUMIF('TL09'!$C$238:$C$451,$C91,'TL09'!$J$238:$J$451),0),
IF('TL10'!$B$3=O$3,SUMIF('TL10'!$C$10:$C$224,$C91,'TL10'!$J$10:$J$224),0),
IF('TL10'!$B$229=O$3,SUMIF('TL10'!$C$238:$C$451,$C91,'TL10'!$J$238:$J$451),0),
IF('TL11'!$B$3=O$3,SUMIF('TL11'!$C$10:$C$224,$C91,'TL11'!$J$10:$J$224),0),
IF('TL11'!$B$229=O$3,SUMIF('TL11'!$C$238:$C$451,$C91,'TL11'!$J$238:$J$451),0),
IF('TL12'!$B$3=O$3,SUMIF('TL12'!$C$10:$C$224,$C91,'TL12'!$J$10:$J$224),0),
IF('TL12'!$B$229=O$3,SUMIF('TL12'!$C$238:$C$451,$C91,'TL12'!$J$238:$J$451),0),
IF('TL13'!$B$3=O$3,SUMIF('TL13'!$C$10:$C$224,$C91,'TL13'!$J$10:$J$224),0),
IF('TL13'!$B$229=O$3,SUMIF('TL13'!$C$238:$C$451,$C91,'TL13'!$J$238:$J$451),0),
IF('TL14'!$B$3=O$3,SUMIF('TL14'!$C$10:$C$224,$C91,'TL14'!$J$10:$J$224),0),
IF('TL14'!$B$229=O$3,SUMIF('TL14'!$C$238:$C$451,$C91,'TL14'!$J$238:$J$451),0),
IF('TL15'!$B$3=O$3,SUMIF('TL15'!$C$10:$C$224,$C91,'TL15'!$J$10:$J$224),0),
IF('TL15'!$B$229=O$3,SUMIF('TL15'!$C$238:$C$451,$C91,'TL15'!$J$238:$J$451),0),
IF('TL16'!$B$3=O$3,SUMIF('TL16'!$C$10:$C$224,$C91,'TL16'!$J$10:$J$224),0),
IF('TL16'!$B$229=O$3,SUMIF('TL16'!$C$238:$C$451,$C91,'TL16'!$J$238:$J$451),0),
IF('TL17'!$B$3=O$3,SUMIF('TL17'!$C$10:$C$224,$C91,'TL17'!$J$10:$J$224),0),
IF('TL17'!$B$229=O$3,SUMIF('TL17'!$C$238:$C$451,$C91,'TL17'!$J$238:$J$451),0),
IF('TL18'!$B$3=O$3,SUMIF('TL18'!$C$10:$C$224,$C91,'TL18'!$J$10:$J$224),0),
IF('TL18'!$B$229=O$3,SUMIF('TL18'!$C$238:$C$451,$C91,'TL18'!$J$238:$J$451),0),
IF('TL19'!$B$3=O$3,SUMIF('TL19'!$C$10:$C$224,$C91,'TL19'!$J$10:$J$224),0),
IF('TL19'!$B$229=O$3,SUMIF('TL19'!$C$238:$C$451,$C91,'TL19'!$J$238:$J$451),0)
),0)</f>
        <v>0</v>
      </c>
      <c r="P91" s="9">
        <f>IFERROR(SUM(
IF('TL01'!$B$3=P$3,SUMIF('TL01'!$C$10:$C$224,$C91,'TL01'!$J$10:$J$224),0),
IF('TL01'!$B$229=P$3,SUMIF('TL01'!$C$238:$C$451,$C91,'TL01'!$J$238:$J$451),0),
IF('TL02'!$B$3=P$3,SUMIF('TL02'!$C$10:$C$224,$C91,'TL02'!$J$10:$J$224),0),
IF('TL02'!$B$229=P$3,SUMIF('TL02'!$C$238:$C$451,$C91,'TL02'!$J$238:$J$451),0),
IF('TL03'!$B$3=P$3,SUMIF('TL03'!$C$10:$C$224,$C91,'TL03'!$J$10:$J$224),0),
IF('TL03'!$B$229=P$3,SUMIF('TL03'!$C$238:$C$451,$C91,'TL03'!$J$238:$J$451),0),
IF('TL04'!$B$3=P$3,SUMIF('TL04'!$C$10:$C$224,$C91,'TL04'!$J$10:$J$224),0),
IF('TL04'!$B$229=P$3,SUMIF('TL04'!$C$238:$C$451,$C91,'TL04'!$J$238:$J$451),0),
IF('TL05'!$B$3=P$3,SUMIF('TL05'!$C$10:$C$224,$C91,'TL05'!$J$10:$J$224),0),
IF('TL05'!$B$229=P$3,SUMIF('TL05'!$C$238:$C$451,$C91,'TL05'!$J$238:$J$451),0),
IF('TL06'!$B$3=P$3,SUMIF('TL06'!$C$10:$C$224,$C91,'TL06'!$J$10:$J$224),0),
IF('TL06'!$B$229=P$3,SUMIF('TL06'!$C$238:$C$451,$C91,'TL06'!$J$238:$J$451),0),
IF('TL07'!$B$3=P$3,SUMIF('TL07'!$C$10:$C$224,$C91,'TL07'!$J$10:$J$224),0),
IF('TL07'!$B$229=P$3,SUMIF('TL07'!$C$238:$C$451,$C91,'TL07'!$J$238:$J$451),0),
IF('TL08'!$B$3=P$3,SUMIF('TL08'!$C$10:$C$224,$C91,'TL08'!$J$10:$J$224),0),
IF('TL08'!$B$229=P$3,SUMIF('TL08'!$C$238:$C$451,$C91,'TL08'!$J$238:$J$451),0),
IF('TL09'!$B$3=P$3,SUMIF('TL09'!$C$10:$C$224,$C91,'TL09'!$J$10:$J$224),0),
IF('TL09'!$B$229=P$3,SUMIF('TL09'!$C$238:$C$451,$C91,'TL09'!$J$238:$J$451),0),
IF('TL10'!$B$3=P$3,SUMIF('TL10'!$C$10:$C$224,$C91,'TL10'!$J$10:$J$224),0),
IF('TL10'!$B$229=P$3,SUMIF('TL10'!$C$238:$C$451,$C91,'TL10'!$J$238:$J$451),0),
IF('TL11'!$B$3=P$3,SUMIF('TL11'!$C$10:$C$224,$C91,'TL11'!$J$10:$J$224),0),
IF('TL11'!$B$229=P$3,SUMIF('TL11'!$C$238:$C$451,$C91,'TL11'!$J$238:$J$451),0),
IF('TL12'!$B$3=P$3,SUMIF('TL12'!$C$10:$C$224,$C91,'TL12'!$J$10:$J$224),0),
IF('TL12'!$B$229=P$3,SUMIF('TL12'!$C$238:$C$451,$C91,'TL12'!$J$238:$J$451),0),
IF('TL13'!$B$3=P$3,SUMIF('TL13'!$C$10:$C$224,$C91,'TL13'!$J$10:$J$224),0),
IF('TL13'!$B$229=P$3,SUMIF('TL13'!$C$238:$C$451,$C91,'TL13'!$J$238:$J$451),0),
IF('TL14'!$B$3=P$3,SUMIF('TL14'!$C$10:$C$224,$C91,'TL14'!$J$10:$J$224),0),
IF('TL14'!$B$229=P$3,SUMIF('TL14'!$C$238:$C$451,$C91,'TL14'!$J$238:$J$451),0),
IF('TL15'!$B$3=P$3,SUMIF('TL15'!$C$10:$C$224,$C91,'TL15'!$J$10:$J$224),0),
IF('TL15'!$B$229=P$3,SUMIF('TL15'!$C$238:$C$451,$C91,'TL15'!$J$238:$J$451),0),
IF('TL16'!$B$3=P$3,SUMIF('TL16'!$C$10:$C$224,$C91,'TL16'!$J$10:$J$224),0),
IF('TL16'!$B$229=P$3,SUMIF('TL16'!$C$238:$C$451,$C91,'TL16'!$J$238:$J$451),0),
IF('TL17'!$B$3=P$3,SUMIF('TL17'!$C$10:$C$224,$C91,'TL17'!$J$10:$J$224),0),
IF('TL17'!$B$229=P$3,SUMIF('TL17'!$C$238:$C$451,$C91,'TL17'!$J$238:$J$451),0),
IF('TL18'!$B$3=P$3,SUMIF('TL18'!$C$10:$C$224,$C91,'TL18'!$J$10:$J$224),0),
IF('TL18'!$B$229=P$3,SUMIF('TL18'!$C$238:$C$451,$C91,'TL18'!$J$238:$J$451),0),
IF('TL19'!$B$3=P$3,SUMIF('TL19'!$C$10:$C$224,$C91,'TL19'!$J$10:$J$224),0),
IF('TL19'!$B$229=P$3,SUMIF('TL19'!$C$238:$C$451,$C91,'TL19'!$J$238:$J$451),0)
),0)</f>
        <v>0</v>
      </c>
      <c r="Q91" s="9">
        <f>IFERROR(SUM(
IF('TL01'!$B$3=Q$3,SUMIF('TL01'!$C$10:$C$224,$C91,'TL01'!$J$10:$J$224),0),
IF('TL01'!$B$229=Q$3,SUMIF('TL01'!$C$238:$C$451,$C91,'TL01'!$J$238:$J$451),0),
IF('TL02'!$B$3=Q$3,SUMIF('TL02'!$C$10:$C$224,$C91,'TL02'!$J$10:$J$224),0),
IF('TL02'!$B$229=Q$3,SUMIF('TL02'!$C$238:$C$451,$C91,'TL02'!$J$238:$J$451),0),
IF('TL03'!$B$3=Q$3,SUMIF('TL03'!$C$10:$C$224,$C91,'TL03'!$J$10:$J$224),0),
IF('TL03'!$B$229=Q$3,SUMIF('TL03'!$C$238:$C$451,$C91,'TL03'!$J$238:$J$451),0),
IF('TL04'!$B$3=Q$3,SUMIF('TL04'!$C$10:$C$224,$C91,'TL04'!$J$10:$J$224),0),
IF('TL04'!$B$229=Q$3,SUMIF('TL04'!$C$238:$C$451,$C91,'TL04'!$J$238:$J$451),0),
IF('TL05'!$B$3=Q$3,SUMIF('TL05'!$C$10:$C$224,$C91,'TL05'!$J$10:$J$224),0),
IF('TL05'!$B$229=Q$3,SUMIF('TL05'!$C$238:$C$451,$C91,'TL05'!$J$238:$J$451),0),
IF('TL06'!$B$3=Q$3,SUMIF('TL06'!$C$10:$C$224,$C91,'TL06'!$J$10:$J$224),0),
IF('TL06'!$B$229=Q$3,SUMIF('TL06'!$C$238:$C$451,$C91,'TL06'!$J$238:$J$451),0),
IF('TL07'!$B$3=Q$3,SUMIF('TL07'!$C$10:$C$224,$C91,'TL07'!$J$10:$J$224),0),
IF('TL07'!$B$229=Q$3,SUMIF('TL07'!$C$238:$C$451,$C91,'TL07'!$J$238:$J$451),0),
IF('TL08'!$B$3=Q$3,SUMIF('TL08'!$C$10:$C$224,$C91,'TL08'!$J$10:$J$224),0),
IF('TL08'!$B$229=Q$3,SUMIF('TL08'!$C$238:$C$451,$C91,'TL08'!$J$238:$J$451),0),
IF('TL09'!$B$3=Q$3,SUMIF('TL09'!$C$10:$C$224,$C91,'TL09'!$J$10:$J$224),0),
IF('TL09'!$B$229=Q$3,SUMIF('TL09'!$C$238:$C$451,$C91,'TL09'!$J$238:$J$451),0),
IF('TL10'!$B$3=Q$3,SUMIF('TL10'!$C$10:$C$224,$C91,'TL10'!$J$10:$J$224),0),
IF('TL10'!$B$229=Q$3,SUMIF('TL10'!$C$238:$C$451,$C91,'TL10'!$J$238:$J$451),0),
IF('TL11'!$B$3=Q$3,SUMIF('TL11'!$C$10:$C$224,$C91,'TL11'!$J$10:$J$224),0),
IF('TL11'!$B$229=Q$3,SUMIF('TL11'!$C$238:$C$451,$C91,'TL11'!$J$238:$J$451),0),
IF('TL12'!$B$3=Q$3,SUMIF('TL12'!$C$10:$C$224,$C91,'TL12'!$J$10:$J$224),0),
IF('TL12'!$B$229=Q$3,SUMIF('TL12'!$C$238:$C$451,$C91,'TL12'!$J$238:$J$451),0),
IF('TL13'!$B$3=Q$3,SUMIF('TL13'!$C$10:$C$224,$C91,'TL13'!$J$10:$J$224),0),
IF('TL13'!$B$229=Q$3,SUMIF('TL13'!$C$238:$C$451,$C91,'TL13'!$J$238:$J$451),0),
IF('TL14'!$B$3=Q$3,SUMIF('TL14'!$C$10:$C$224,$C91,'TL14'!$J$10:$J$224),0),
IF('TL14'!$B$229=Q$3,SUMIF('TL14'!$C$238:$C$451,$C91,'TL14'!$J$238:$J$451),0),
IF('TL15'!$B$3=Q$3,SUMIF('TL15'!$C$10:$C$224,$C91,'TL15'!$J$10:$J$224),0),
IF('TL15'!$B$229=Q$3,SUMIF('TL15'!$C$238:$C$451,$C91,'TL15'!$J$238:$J$451),0),
IF('TL16'!$B$3=Q$3,SUMIF('TL16'!$C$10:$C$224,$C91,'TL16'!$J$10:$J$224),0),
IF('TL16'!$B$229=Q$3,SUMIF('TL16'!$C$238:$C$451,$C91,'TL16'!$J$238:$J$451),0),
IF('TL17'!$B$3=Q$3,SUMIF('TL17'!$C$10:$C$224,$C91,'TL17'!$J$10:$J$224),0),
IF('TL17'!$B$229=Q$3,SUMIF('TL17'!$C$238:$C$451,$C91,'TL17'!$J$238:$J$451),0),
IF('TL18'!$B$3=Q$3,SUMIF('TL18'!$C$10:$C$224,$C91,'TL18'!$J$10:$J$224),0),
IF('TL18'!$B$229=Q$3,SUMIF('TL18'!$C$238:$C$451,$C91,'TL18'!$J$238:$J$451),0),
IF('TL19'!$B$3=Q$3,SUMIF('TL19'!$C$10:$C$224,$C91,'TL19'!$J$10:$J$224),0),
IF('TL19'!$B$229=Q$3,SUMIF('TL19'!$C$238:$C$451,$C91,'TL19'!$J$238:$J$451),0)
),0)</f>
        <v>0</v>
      </c>
      <c r="R91" s="9">
        <f>IFERROR(
SUM(
SUMIF('TL01'!C:C,C91,'TL01'!J:J),
SUMIF('TL02'!C:C,C91,'TL02'!J:J),
SUMIF('TL03'!C:C,C91,'TL03'!J:J),
SUMIF('TL04'!C:C,C91,'TL04'!J:J),
SUMIF('TL05'!C:C,C91,'TL05'!J:J),
SUMIF('TL06'!C:C,C91,'TL06'!J:J),
SUMIF('TL07'!C:C,C91,'TL07'!J:J),
SUMIF('TL08'!C:C,C91,'TL08'!J:J),
SUMIF('TL09'!C:C,C91,'TL09'!J:J),
SUMIF('TL10'!C:C,C91,'TL10'!J:J),
SUMIF('TL11'!C:C,C91,'TL11'!J:J),
SUMIF('TL12'!C:C,C91,'TL12'!J:J),
SUMIF('TL13'!C:C,C91,'TL13'!J:J),
SUMIF('TL14'!C:C,C91,'TL14'!J:J),
SUMIF('TL15'!C:C,C91,'TL15'!J:J),
SUMIF('TL16'!C:C,C91,'TL16'!J:J),
SUMIF('TL17'!C:C,C91,'TL17'!J:J),
SUMIF('TL18'!C:C,C91,'TL18'!J:J),SUMIF('TL19'!C:C,C91,'TL19'!J:J))
,0)</f>
        <v>0</v>
      </c>
      <c r="S91" s="17">
        <f>IFERROR(__xludf.DUMMYFUNCTION("IFERROR(VLOOKUP(C91,
IMPORTRANGE(""1wULbzX32WdYsx-lj2U3uUNBBe2INVIRDtcK0d-Dvl90"",
""26-27!C:G""),
5,
FALSE),
"""")"),109.03248)</f>
        <v>109.03248</v>
      </c>
      <c r="T91" s="9"/>
      <c r="U91" s="92">
        <f t="shared" si="2"/>
        <v>0</v>
      </c>
      <c r="V91" s="93">
        <f t="shared" si="3"/>
        <v>0</v>
      </c>
    </row>
    <row r="92" ht="15.75" hidden="1" customHeight="1">
      <c r="A92" s="115" t="s">
        <v>358</v>
      </c>
      <c r="B92" s="100" t="s">
        <v>0</v>
      </c>
      <c r="C92" s="116" t="s">
        <v>570</v>
      </c>
      <c r="D92" s="116" t="s">
        <v>571</v>
      </c>
      <c r="E92" s="116">
        <v>537.44</v>
      </c>
      <c r="F92" s="4" t="s">
        <v>343</v>
      </c>
      <c r="G92" s="90" t="str">
        <f t="shared" si="4"/>
        <v>📄 Ver bula</v>
      </c>
      <c r="H92" s="9">
        <f>IFERROR(__xludf.DUMMYFUNCTION("IFERROR(VLOOKUP(C92,
IMPORTRANGE(""1wULbzX32WdYsx-lj2U3uUNBBe2INVIRDtcK0d-Dvl90"",
""26-27!C:K""),
8,
FALSE),
"""")"),0.6)</f>
        <v>0.6</v>
      </c>
      <c r="I92" s="117" t="s">
        <v>361</v>
      </c>
      <c r="J92" s="9">
        <f>IFERROR(SUM(
IF('TL01'!$B$3=J$3,SUMIF('TL01'!$C$10:$C$224,$C92,'TL01'!$J$10:$J$224),0),
IF('TL01'!$B$229=J$3,SUMIF('TL01'!$C$238:$C$451,$C92,'TL01'!$J$238:$J$451),0),
IF('TL02'!$B$3=J$3,SUMIF('TL02'!$C$10:$C$224,$C92,'TL02'!$J$10:$J$224),0),
IF('TL02'!$B$229=J$3,SUMIF('TL02'!$C$238:$C$451,$C92,'TL02'!$J$238:$J$451),0),
IF('TL03'!$B$3=J$3,SUMIF('TL03'!$C$10:$C$224,$C92,'TL03'!$J$10:$J$224),0),
IF('TL03'!$B$229=J$3,SUMIF('TL03'!$C$238:$C$451,$C92,'TL03'!$J$238:$J$451),0),
IF('TL04'!$B$3=J$3,SUMIF('TL04'!$C$10:$C$224,$C92,'TL04'!$J$10:$J$224),0),
IF('TL04'!$B$229=J$3,SUMIF('TL04'!$C$238:$C$451,$C92,'TL04'!$J$238:$J$451),0),
IF('TL05'!$B$3=J$3,SUMIF('TL05'!$C$10:$C$224,$C92,'TL05'!$J$10:$J$224),0),
IF('TL05'!$B$229=J$3,SUMIF('TL05'!$C$238:$C$451,$C92,'TL05'!$J$238:$J$451),0),
IF('TL06'!$B$3=J$3,SUMIF('TL06'!$C$10:$C$224,$C92,'TL06'!$J$10:$J$224),0),
IF('TL06'!$B$229=J$3,SUMIF('TL06'!$C$238:$C$451,$C92,'TL06'!$J$238:$J$451),0),
IF('TL07'!$B$3=J$3,SUMIF('TL07'!$C$10:$C$224,$C92,'TL07'!$J$10:$J$224),0),
IF('TL07'!$B$229=J$3,SUMIF('TL07'!$C$238:$C$451,$C92,'TL07'!$J$238:$J$451),0),
IF('TL08'!$B$3=J$3,SUMIF('TL08'!$C$10:$C$224,$C92,'TL08'!$J$10:$J$224),0),
IF('TL08'!$B$229=J$3,SUMIF('TL08'!$C$238:$C$451,$C92,'TL08'!$J$238:$J$451),0),
IF('TL09'!$B$3=J$3,SUMIF('TL09'!$C$10:$C$224,$C92,'TL09'!$J$10:$J$224),0),
IF('TL09'!$B$229=J$3,SUMIF('TL09'!$C$238:$C$451,$C92,'TL09'!$J$238:$J$451),0),
IF('TL10'!$B$3=J$3,SUMIF('TL10'!$C$10:$C$224,$C92,'TL10'!$J$10:$J$224),0),
IF('TL10'!$B$229=J$3,SUMIF('TL10'!$C$238:$C$451,$C92,'TL10'!$J$238:$J$451),0),
IF('TL11'!$B$3=J$3,SUMIF('TL11'!$C$10:$C$224,$C92,'TL11'!$J$10:$J$224),0),
IF('TL11'!$B$229=J$3,SUMIF('TL11'!$C$238:$C$451,$C92,'TL11'!$J$238:$J$451),0),
IF('TL12'!$B$3=J$3,SUMIF('TL12'!$C$10:$C$224,$C92,'TL12'!$J$10:$J$224),0),
IF('TL12'!$B$229=J$3,SUMIF('TL12'!$C$238:$C$451,$C92,'TL12'!$J$238:$J$451),0),
IF('TL13'!$B$3=J$3,SUMIF('TL13'!$C$10:$C$224,$C92,'TL13'!$J$10:$J$224),0),
IF('TL13'!$B$229=J$3,SUMIF('TL13'!$C$238:$C$451,$C92,'TL13'!$J$238:$J$451),0),
IF('TL14'!$B$3=J$3,SUMIF('TL14'!$C$10:$C$224,$C92,'TL14'!$J$10:$J$224),0),
IF('TL14'!$B$229=J$3,SUMIF('TL14'!$C$238:$C$451,$C92,'TL14'!$J$238:$J$451),0),
IF('TL15'!$B$3=J$3,SUMIF('TL15'!$C$10:$C$224,$C92,'TL15'!$J$10:$J$224),0),
IF('TL15'!$B$229=J$3,SUMIF('TL15'!$C$238:$C$451,$C92,'TL15'!$J$238:$J$451),0),
IF('TL16'!$B$3=J$3,SUMIF('TL16'!$C$10:$C$224,$C92,'TL16'!$J$10:$J$224),0),
IF('TL16'!$B$229=J$3,SUMIF('TL16'!$C$238:$C$451,$C92,'TL16'!$J$238:$J$451),0),
IF('TL17'!$B$3=J$3,SUMIF('TL17'!$C$10:$C$224,$C92,'TL17'!$J$10:$J$224),0),
IF('TL17'!$B$229=J$3,SUMIF('TL17'!$C$238:$C$451,$C92,'TL17'!$J$238:$J$451),0),
IF('TL18'!$B$3=J$3,SUMIF('TL18'!$C$10:$C$224,$C92,'TL18'!$J$10:$J$224),0),
IF('TL18'!$B$229=J$3,SUMIF('TL18'!$C$238:$C$451,$C92,'TL18'!$J$238:$J$451),0),
IF('TL19'!$B$3=J$3,SUMIF('TL19'!$C$10:$C$224,$C92,'TL19'!$J$10:$J$224),0),
IF('TL19'!$B$229=J$3,SUMIF('TL19'!$C$238:$C$451,$C92,'TL19'!$J$238:$J$451),0)
),0)</f>
        <v>0</v>
      </c>
      <c r="K92" s="9">
        <f>IFERROR(SUM(
IF('TL01'!$B$3=K$3,SUMIF('TL01'!$C$10:$C$224,$C92,'TL01'!$J$10:$J$224),0),
IF('TL01'!$B$229=K$3,SUMIF('TL01'!$C$238:$C$451,$C92,'TL01'!$J$238:$J$451),0),
IF('TL02'!$B$3=K$3,SUMIF('TL02'!$C$10:$C$224,$C92,'TL02'!$J$10:$J$224),0),
IF('TL02'!$B$229=K$3,SUMIF('TL02'!$C$238:$C$451,$C92,'TL02'!$J$238:$J$451),0),
IF('TL03'!$B$3=K$3,SUMIF('TL03'!$C$10:$C$224,$C92,'TL03'!$J$10:$J$224),0),
IF('TL03'!$B$229=K$3,SUMIF('TL03'!$C$238:$C$451,$C92,'TL03'!$J$238:$J$451),0),
IF('TL04'!$B$3=K$3,SUMIF('TL04'!$C$10:$C$224,$C92,'TL04'!$J$10:$J$224),0),
IF('TL04'!$B$229=K$3,SUMIF('TL04'!$C$238:$C$451,$C92,'TL04'!$J$238:$J$451),0),
IF('TL05'!$B$3=K$3,SUMIF('TL05'!$C$10:$C$224,$C92,'TL05'!$J$10:$J$224),0),
IF('TL05'!$B$229=K$3,SUMIF('TL05'!$C$238:$C$451,$C92,'TL05'!$J$238:$J$451),0),
IF('TL06'!$B$3=K$3,SUMIF('TL06'!$C$10:$C$224,$C92,'TL06'!$J$10:$J$224),0),
IF('TL06'!$B$229=K$3,SUMIF('TL06'!$C$238:$C$451,$C92,'TL06'!$J$238:$J$451),0),
IF('TL07'!$B$3=K$3,SUMIF('TL07'!$C$10:$C$224,$C92,'TL07'!$J$10:$J$224),0),
IF('TL07'!$B$229=K$3,SUMIF('TL07'!$C$238:$C$451,$C92,'TL07'!$J$238:$J$451),0),
IF('TL08'!$B$3=K$3,SUMIF('TL08'!$C$10:$C$224,$C92,'TL08'!$J$10:$J$224),0),
IF('TL08'!$B$229=K$3,SUMIF('TL08'!$C$238:$C$451,$C92,'TL08'!$J$238:$J$451),0),
IF('TL09'!$B$3=K$3,SUMIF('TL09'!$C$10:$C$224,$C92,'TL09'!$J$10:$J$224),0),
IF('TL09'!$B$229=K$3,SUMIF('TL09'!$C$238:$C$451,$C92,'TL09'!$J$238:$J$451),0),
IF('TL10'!$B$3=K$3,SUMIF('TL10'!$C$10:$C$224,$C92,'TL10'!$J$10:$J$224),0),
IF('TL10'!$B$229=K$3,SUMIF('TL10'!$C$238:$C$451,$C92,'TL10'!$J$238:$J$451),0),
IF('TL11'!$B$3=K$3,SUMIF('TL11'!$C$10:$C$224,$C92,'TL11'!$J$10:$J$224),0),
IF('TL11'!$B$229=K$3,SUMIF('TL11'!$C$238:$C$451,$C92,'TL11'!$J$238:$J$451),0),
IF('TL12'!$B$3=K$3,SUMIF('TL12'!$C$10:$C$224,$C92,'TL12'!$J$10:$J$224),0),
IF('TL12'!$B$229=K$3,SUMIF('TL12'!$C$238:$C$451,$C92,'TL12'!$J$238:$J$451),0),
IF('TL13'!$B$3=K$3,SUMIF('TL13'!$C$10:$C$224,$C92,'TL13'!$J$10:$J$224),0),
IF('TL13'!$B$229=K$3,SUMIF('TL13'!$C$238:$C$451,$C92,'TL13'!$J$238:$J$451),0),
IF('TL14'!$B$3=K$3,SUMIF('TL14'!$C$10:$C$224,$C92,'TL14'!$J$10:$J$224),0),
IF('TL14'!$B$229=K$3,SUMIF('TL14'!$C$238:$C$451,$C92,'TL14'!$J$238:$J$451),0),
IF('TL15'!$B$3=K$3,SUMIF('TL15'!$C$10:$C$224,$C92,'TL15'!$J$10:$J$224),0),
IF('TL15'!$B$229=K$3,SUMIF('TL15'!$C$238:$C$451,$C92,'TL15'!$J$238:$J$451),0),
IF('TL16'!$B$3=K$3,SUMIF('TL16'!$C$10:$C$224,$C92,'TL16'!$J$10:$J$224),0),
IF('TL16'!$B$229=K$3,SUMIF('TL16'!$C$238:$C$451,$C92,'TL16'!$J$238:$J$451),0),
IF('TL17'!$B$3=K$3,SUMIF('TL17'!$C$10:$C$224,$C92,'TL17'!$J$10:$J$224),0),
IF('TL17'!$B$229=K$3,SUMIF('TL17'!$C$238:$C$451,$C92,'TL17'!$J$238:$J$451),0),
IF('TL18'!$B$3=K$3,SUMIF('TL18'!$C$10:$C$224,$C92,'TL18'!$J$10:$J$224),0),
IF('TL18'!$B$229=K$3,SUMIF('TL18'!$C$238:$C$451,$C92,'TL18'!$J$238:$J$451),0),
IF('TL19'!$B$3=K$3,SUMIF('TL19'!$C$10:$C$224,$C92,'TL19'!$J$10:$J$224),0),
IF('TL19'!$B$229=K$3,SUMIF('TL19'!$C$238:$C$451,$C92,'TL19'!$J$238:$J$451),0)
),0)</f>
        <v>0</v>
      </c>
      <c r="L92" s="9">
        <f>IFERROR(SUM(
IF('TL01'!$B$3=L$3,SUMIF('TL01'!$C$10:$C$224,$C92,'TL01'!$J$10:$J$224),0),
IF('TL01'!$B$229=L$3,SUMIF('TL01'!$C$238:$C$451,$C92,'TL01'!$J$238:$J$451),0),
IF('TL02'!$B$3=L$3,SUMIF('TL02'!$C$10:$C$224,$C92,'TL02'!$J$10:$J$224),0),
IF('TL02'!$B$229=L$3,SUMIF('TL02'!$C$238:$C$451,$C92,'TL02'!$J$238:$J$451),0),
IF('TL03'!$B$3=L$3,SUMIF('TL03'!$C$10:$C$224,$C92,'TL03'!$J$10:$J$224),0),
IF('TL03'!$B$229=L$3,SUMIF('TL03'!$C$238:$C$451,$C92,'TL03'!$J$238:$J$451),0),
IF('TL04'!$B$3=L$3,SUMIF('TL04'!$C$10:$C$224,$C92,'TL04'!$J$10:$J$224),0),
IF('TL04'!$B$229=L$3,SUMIF('TL04'!$C$238:$C$451,$C92,'TL04'!$J$238:$J$451),0),
IF('TL05'!$B$3=L$3,SUMIF('TL05'!$C$10:$C$224,$C92,'TL05'!$J$10:$J$224),0),
IF('TL05'!$B$229=L$3,SUMIF('TL05'!$C$238:$C$451,$C92,'TL05'!$J$238:$J$451),0),
IF('TL06'!$B$3=L$3,SUMIF('TL06'!$C$10:$C$224,$C92,'TL06'!$J$10:$J$224),0),
IF('TL06'!$B$229=L$3,SUMIF('TL06'!$C$238:$C$451,$C92,'TL06'!$J$238:$J$451),0),
IF('TL07'!$B$3=L$3,SUMIF('TL07'!$C$10:$C$224,$C92,'TL07'!$J$10:$J$224),0),
IF('TL07'!$B$229=L$3,SUMIF('TL07'!$C$238:$C$451,$C92,'TL07'!$J$238:$J$451),0),
IF('TL08'!$B$3=L$3,SUMIF('TL08'!$C$10:$C$224,$C92,'TL08'!$J$10:$J$224),0),
IF('TL08'!$B$229=L$3,SUMIF('TL08'!$C$238:$C$451,$C92,'TL08'!$J$238:$J$451),0),
IF('TL09'!$B$3=L$3,SUMIF('TL09'!$C$10:$C$224,$C92,'TL09'!$J$10:$J$224),0),
IF('TL09'!$B$229=L$3,SUMIF('TL09'!$C$238:$C$451,$C92,'TL09'!$J$238:$J$451),0),
IF('TL10'!$B$3=L$3,SUMIF('TL10'!$C$10:$C$224,$C92,'TL10'!$J$10:$J$224),0),
IF('TL10'!$B$229=L$3,SUMIF('TL10'!$C$238:$C$451,$C92,'TL10'!$J$238:$J$451),0),
IF('TL11'!$B$3=L$3,SUMIF('TL11'!$C$10:$C$224,$C92,'TL11'!$J$10:$J$224),0),
IF('TL11'!$B$229=L$3,SUMIF('TL11'!$C$238:$C$451,$C92,'TL11'!$J$238:$J$451),0),
IF('TL12'!$B$3=L$3,SUMIF('TL12'!$C$10:$C$224,$C92,'TL12'!$J$10:$J$224),0),
IF('TL12'!$B$229=L$3,SUMIF('TL12'!$C$238:$C$451,$C92,'TL12'!$J$238:$J$451),0),
IF('TL13'!$B$3=L$3,SUMIF('TL13'!$C$10:$C$224,$C92,'TL13'!$J$10:$J$224),0),
IF('TL13'!$B$229=L$3,SUMIF('TL13'!$C$238:$C$451,$C92,'TL13'!$J$238:$J$451),0),
IF('TL14'!$B$3=L$3,SUMIF('TL14'!$C$10:$C$224,$C92,'TL14'!$J$10:$J$224),0),
IF('TL14'!$B$229=L$3,SUMIF('TL14'!$C$238:$C$451,$C92,'TL14'!$J$238:$J$451),0),
IF('TL15'!$B$3=L$3,SUMIF('TL15'!$C$10:$C$224,$C92,'TL15'!$J$10:$J$224),0),
IF('TL15'!$B$229=L$3,SUMIF('TL15'!$C$238:$C$451,$C92,'TL15'!$J$238:$J$451),0),
IF('TL16'!$B$3=L$3,SUMIF('TL16'!$C$10:$C$224,$C92,'TL16'!$J$10:$J$224),0),
IF('TL16'!$B$229=L$3,SUMIF('TL16'!$C$238:$C$451,$C92,'TL16'!$J$238:$J$451),0),
IF('TL17'!$B$3=L$3,SUMIF('TL17'!$C$10:$C$224,$C92,'TL17'!$J$10:$J$224),0),
IF('TL17'!$B$229=L$3,SUMIF('TL17'!$C$238:$C$451,$C92,'TL17'!$J$238:$J$451),0),
IF('TL18'!$B$3=L$3,SUMIF('TL18'!$C$10:$C$224,$C92,'TL18'!$J$10:$J$224),0),
IF('TL18'!$B$229=L$3,SUMIF('TL18'!$C$238:$C$451,$C92,'TL18'!$J$238:$J$451),0),
IF('TL19'!$B$3=L$3,SUMIF('TL19'!$C$10:$C$224,$C92,'TL19'!$J$10:$J$224),0),
IF('TL19'!$B$229=L$3,SUMIF('TL19'!$C$238:$C$451,$C92,'TL19'!$J$238:$J$451),0)
),0)</f>
        <v>0</v>
      </c>
      <c r="M92" s="9">
        <f>IFERROR(SUM(
IF('TL01'!$B$3=M$3,SUMIF('TL01'!$C$10:$C$224,$C92,'TL01'!$J$10:$J$224),0),
IF('TL01'!$B$229=M$3,SUMIF('TL01'!$C$238:$C$451,$C92,'TL01'!$J$238:$J$451),0),
IF('TL02'!$B$3=M$3,SUMIF('TL02'!$C$10:$C$224,$C92,'TL02'!$J$10:$J$224),0),
IF('TL02'!$B$229=M$3,SUMIF('TL02'!$C$238:$C$451,$C92,'TL02'!$J$238:$J$451),0),
IF('TL03'!$B$3=M$3,SUMIF('TL03'!$C$10:$C$224,$C92,'TL03'!$J$10:$J$224),0),
IF('TL03'!$B$229=M$3,SUMIF('TL03'!$C$238:$C$451,$C92,'TL03'!$J$238:$J$451),0),
IF('TL04'!$B$3=M$3,SUMIF('TL04'!$C$10:$C$224,$C92,'TL04'!$J$10:$J$224),0),
IF('TL04'!$B$229=M$3,SUMIF('TL04'!$C$238:$C$451,$C92,'TL04'!$J$238:$J$451),0),
IF('TL05'!$B$3=M$3,SUMIF('TL05'!$C$10:$C$224,$C92,'TL05'!$J$10:$J$224),0),
IF('TL05'!$B$229=M$3,SUMIF('TL05'!$C$238:$C$451,$C92,'TL05'!$J$238:$J$451),0),
IF('TL06'!$B$3=M$3,SUMIF('TL06'!$C$10:$C$224,$C92,'TL06'!$J$10:$J$224),0),
IF('TL06'!$B$229=M$3,SUMIF('TL06'!$C$238:$C$451,$C92,'TL06'!$J$238:$J$451),0),
IF('TL07'!$B$3=M$3,SUMIF('TL07'!$C$10:$C$224,$C92,'TL07'!$J$10:$J$224),0),
IF('TL07'!$B$229=M$3,SUMIF('TL07'!$C$238:$C$451,$C92,'TL07'!$J$238:$J$451),0),
IF('TL08'!$B$3=M$3,SUMIF('TL08'!$C$10:$C$224,$C92,'TL08'!$J$10:$J$224),0),
IF('TL08'!$B$229=M$3,SUMIF('TL08'!$C$238:$C$451,$C92,'TL08'!$J$238:$J$451),0),
IF('TL09'!$B$3=M$3,SUMIF('TL09'!$C$10:$C$224,$C92,'TL09'!$J$10:$J$224),0),
IF('TL09'!$B$229=M$3,SUMIF('TL09'!$C$238:$C$451,$C92,'TL09'!$J$238:$J$451),0),
IF('TL10'!$B$3=M$3,SUMIF('TL10'!$C$10:$C$224,$C92,'TL10'!$J$10:$J$224),0),
IF('TL10'!$B$229=M$3,SUMIF('TL10'!$C$238:$C$451,$C92,'TL10'!$J$238:$J$451),0),
IF('TL11'!$B$3=M$3,SUMIF('TL11'!$C$10:$C$224,$C92,'TL11'!$J$10:$J$224),0),
IF('TL11'!$B$229=M$3,SUMIF('TL11'!$C$238:$C$451,$C92,'TL11'!$J$238:$J$451),0),
IF('TL12'!$B$3=M$3,SUMIF('TL12'!$C$10:$C$224,$C92,'TL12'!$J$10:$J$224),0),
IF('TL12'!$B$229=M$3,SUMIF('TL12'!$C$238:$C$451,$C92,'TL12'!$J$238:$J$451),0),
IF('TL13'!$B$3=M$3,SUMIF('TL13'!$C$10:$C$224,$C92,'TL13'!$J$10:$J$224),0),
IF('TL13'!$B$229=M$3,SUMIF('TL13'!$C$238:$C$451,$C92,'TL13'!$J$238:$J$451),0),
IF('TL14'!$B$3=M$3,SUMIF('TL14'!$C$10:$C$224,$C92,'TL14'!$J$10:$J$224),0),
IF('TL14'!$B$229=M$3,SUMIF('TL14'!$C$238:$C$451,$C92,'TL14'!$J$238:$J$451),0),
IF('TL15'!$B$3=M$3,SUMIF('TL15'!$C$10:$C$224,$C92,'TL15'!$J$10:$J$224),0),
IF('TL15'!$B$229=M$3,SUMIF('TL15'!$C$238:$C$451,$C92,'TL15'!$J$238:$J$451),0),
IF('TL16'!$B$3=M$3,SUMIF('TL16'!$C$10:$C$224,$C92,'TL16'!$J$10:$J$224),0),
IF('TL16'!$B$229=M$3,SUMIF('TL16'!$C$238:$C$451,$C92,'TL16'!$J$238:$J$451),0),
IF('TL17'!$B$3=M$3,SUMIF('TL17'!$C$10:$C$224,$C92,'TL17'!$J$10:$J$224),0),
IF('TL17'!$B$229=M$3,SUMIF('TL17'!$C$238:$C$451,$C92,'TL17'!$J$238:$J$451),0),
IF('TL18'!$B$3=M$3,SUMIF('TL18'!$C$10:$C$224,$C92,'TL18'!$J$10:$J$224),0),
IF('TL18'!$B$229=M$3,SUMIF('TL18'!$C$238:$C$451,$C92,'TL18'!$J$238:$J$451),0),
IF('TL19'!$B$3=M$3,SUMIF('TL19'!$C$10:$C$224,$C92,'TL19'!$J$10:$J$224),0),
IF('TL19'!$B$229=M$3,SUMIF('TL19'!$C$238:$C$451,$C92,'TL19'!$J$238:$J$451),0)
),0)</f>
        <v>0</v>
      </c>
      <c r="N92" s="9">
        <f>IFERROR(SUM(
IF('TL01'!$B$3=N$3,SUMIF('TL01'!$C$10:$C$224,$C92,'TL01'!$J$10:$J$224),0),
IF('TL01'!$B$229=N$3,SUMIF('TL01'!$C$238:$C$451,$C92,'TL01'!$J$238:$J$451),0),
IF('TL02'!$B$3=N$3,SUMIF('TL02'!$C$10:$C$224,$C92,'TL02'!$J$10:$J$224),0),
IF('TL02'!$B$229=N$3,SUMIF('TL02'!$C$238:$C$451,$C92,'TL02'!$J$238:$J$451),0),
IF('TL03'!$B$3=N$3,SUMIF('TL03'!$C$10:$C$224,$C92,'TL03'!$J$10:$J$224),0),
IF('TL03'!$B$229=N$3,SUMIF('TL03'!$C$238:$C$451,$C92,'TL03'!$J$238:$J$451),0),
IF('TL04'!$B$3=N$3,SUMIF('TL04'!$C$10:$C$224,$C92,'TL04'!$J$10:$J$224),0),
IF('TL04'!$B$229=N$3,SUMIF('TL04'!$C$238:$C$451,$C92,'TL04'!$J$238:$J$451),0),
IF('TL05'!$B$3=N$3,SUMIF('TL05'!$C$10:$C$224,$C92,'TL05'!$J$10:$J$224),0),
IF('TL05'!$B$229=N$3,SUMIF('TL05'!$C$238:$C$451,$C92,'TL05'!$J$238:$J$451),0),
IF('TL06'!$B$3=N$3,SUMIF('TL06'!$C$10:$C$224,$C92,'TL06'!$J$10:$J$224),0),
IF('TL06'!$B$229=N$3,SUMIF('TL06'!$C$238:$C$451,$C92,'TL06'!$J$238:$J$451),0),
IF('TL07'!$B$3=N$3,SUMIF('TL07'!$C$10:$C$224,$C92,'TL07'!$J$10:$J$224),0),
IF('TL07'!$B$229=N$3,SUMIF('TL07'!$C$238:$C$451,$C92,'TL07'!$J$238:$J$451),0),
IF('TL08'!$B$3=N$3,SUMIF('TL08'!$C$10:$C$224,$C92,'TL08'!$J$10:$J$224),0),
IF('TL08'!$B$229=N$3,SUMIF('TL08'!$C$238:$C$451,$C92,'TL08'!$J$238:$J$451),0),
IF('TL09'!$B$3=N$3,SUMIF('TL09'!$C$10:$C$224,$C92,'TL09'!$J$10:$J$224),0),
IF('TL09'!$B$229=N$3,SUMIF('TL09'!$C$238:$C$451,$C92,'TL09'!$J$238:$J$451),0),
IF('TL10'!$B$3=N$3,SUMIF('TL10'!$C$10:$C$224,$C92,'TL10'!$J$10:$J$224),0),
IF('TL10'!$B$229=N$3,SUMIF('TL10'!$C$238:$C$451,$C92,'TL10'!$J$238:$J$451),0),
IF('TL11'!$B$3=N$3,SUMIF('TL11'!$C$10:$C$224,$C92,'TL11'!$J$10:$J$224),0),
IF('TL11'!$B$229=N$3,SUMIF('TL11'!$C$238:$C$451,$C92,'TL11'!$J$238:$J$451),0),
IF('TL12'!$B$3=N$3,SUMIF('TL12'!$C$10:$C$224,$C92,'TL12'!$J$10:$J$224),0),
IF('TL12'!$B$229=N$3,SUMIF('TL12'!$C$238:$C$451,$C92,'TL12'!$J$238:$J$451),0),
IF('TL13'!$B$3=N$3,SUMIF('TL13'!$C$10:$C$224,$C92,'TL13'!$J$10:$J$224),0),
IF('TL13'!$B$229=N$3,SUMIF('TL13'!$C$238:$C$451,$C92,'TL13'!$J$238:$J$451),0),
IF('TL14'!$B$3=N$3,SUMIF('TL14'!$C$10:$C$224,$C92,'TL14'!$J$10:$J$224),0),
IF('TL14'!$B$229=N$3,SUMIF('TL14'!$C$238:$C$451,$C92,'TL14'!$J$238:$J$451),0),
IF('TL15'!$B$3=N$3,SUMIF('TL15'!$C$10:$C$224,$C92,'TL15'!$J$10:$J$224),0),
IF('TL15'!$B$229=N$3,SUMIF('TL15'!$C$238:$C$451,$C92,'TL15'!$J$238:$J$451),0),
IF('TL16'!$B$3=N$3,SUMIF('TL16'!$C$10:$C$224,$C92,'TL16'!$J$10:$J$224),0),
IF('TL16'!$B$229=N$3,SUMIF('TL16'!$C$238:$C$451,$C92,'TL16'!$J$238:$J$451),0),
IF('TL17'!$B$3=N$3,SUMIF('TL17'!$C$10:$C$224,$C92,'TL17'!$J$10:$J$224),0),
IF('TL17'!$B$229=N$3,SUMIF('TL17'!$C$238:$C$451,$C92,'TL17'!$J$238:$J$451),0),
IF('TL18'!$B$3=N$3,SUMIF('TL18'!$C$10:$C$224,$C92,'TL18'!$J$10:$J$224),0),
IF('TL18'!$B$229=N$3,SUMIF('TL18'!$C$238:$C$451,$C92,'TL18'!$J$238:$J$451),0),
IF('TL19'!$B$3=N$3,SUMIF('TL19'!$C$10:$C$224,$C92,'TL19'!$J$10:$J$224),0),
IF('TL19'!$B$229=N$3,SUMIF('TL19'!$C$238:$C$451,$C92,'TL19'!$J$238:$J$451),0)
),0)</f>
        <v>0</v>
      </c>
      <c r="O92" s="9">
        <f>IFERROR(SUM(
IF('TL01'!$B$3=O$3,SUMIF('TL01'!$C$10:$C$224,$C92,'TL01'!$J$10:$J$224),0),
IF('TL01'!$B$229=O$3,SUMIF('TL01'!$C$238:$C$451,$C92,'TL01'!$J$238:$J$451),0),
IF('TL02'!$B$3=O$3,SUMIF('TL02'!$C$10:$C$224,$C92,'TL02'!$J$10:$J$224),0),
IF('TL02'!$B$229=O$3,SUMIF('TL02'!$C$238:$C$451,$C92,'TL02'!$J$238:$J$451),0),
IF('TL03'!$B$3=O$3,SUMIF('TL03'!$C$10:$C$224,$C92,'TL03'!$J$10:$J$224),0),
IF('TL03'!$B$229=O$3,SUMIF('TL03'!$C$238:$C$451,$C92,'TL03'!$J$238:$J$451),0),
IF('TL04'!$B$3=O$3,SUMIF('TL04'!$C$10:$C$224,$C92,'TL04'!$J$10:$J$224),0),
IF('TL04'!$B$229=O$3,SUMIF('TL04'!$C$238:$C$451,$C92,'TL04'!$J$238:$J$451),0),
IF('TL05'!$B$3=O$3,SUMIF('TL05'!$C$10:$C$224,$C92,'TL05'!$J$10:$J$224),0),
IF('TL05'!$B$229=O$3,SUMIF('TL05'!$C$238:$C$451,$C92,'TL05'!$J$238:$J$451),0),
IF('TL06'!$B$3=O$3,SUMIF('TL06'!$C$10:$C$224,$C92,'TL06'!$J$10:$J$224),0),
IF('TL06'!$B$229=O$3,SUMIF('TL06'!$C$238:$C$451,$C92,'TL06'!$J$238:$J$451),0),
IF('TL07'!$B$3=O$3,SUMIF('TL07'!$C$10:$C$224,$C92,'TL07'!$J$10:$J$224),0),
IF('TL07'!$B$229=O$3,SUMIF('TL07'!$C$238:$C$451,$C92,'TL07'!$J$238:$J$451),0),
IF('TL08'!$B$3=O$3,SUMIF('TL08'!$C$10:$C$224,$C92,'TL08'!$J$10:$J$224),0),
IF('TL08'!$B$229=O$3,SUMIF('TL08'!$C$238:$C$451,$C92,'TL08'!$J$238:$J$451),0),
IF('TL09'!$B$3=O$3,SUMIF('TL09'!$C$10:$C$224,$C92,'TL09'!$J$10:$J$224),0),
IF('TL09'!$B$229=O$3,SUMIF('TL09'!$C$238:$C$451,$C92,'TL09'!$J$238:$J$451),0),
IF('TL10'!$B$3=O$3,SUMIF('TL10'!$C$10:$C$224,$C92,'TL10'!$J$10:$J$224),0),
IF('TL10'!$B$229=O$3,SUMIF('TL10'!$C$238:$C$451,$C92,'TL10'!$J$238:$J$451),0),
IF('TL11'!$B$3=O$3,SUMIF('TL11'!$C$10:$C$224,$C92,'TL11'!$J$10:$J$224),0),
IF('TL11'!$B$229=O$3,SUMIF('TL11'!$C$238:$C$451,$C92,'TL11'!$J$238:$J$451),0),
IF('TL12'!$B$3=O$3,SUMIF('TL12'!$C$10:$C$224,$C92,'TL12'!$J$10:$J$224),0),
IF('TL12'!$B$229=O$3,SUMIF('TL12'!$C$238:$C$451,$C92,'TL12'!$J$238:$J$451),0),
IF('TL13'!$B$3=O$3,SUMIF('TL13'!$C$10:$C$224,$C92,'TL13'!$J$10:$J$224),0),
IF('TL13'!$B$229=O$3,SUMIF('TL13'!$C$238:$C$451,$C92,'TL13'!$J$238:$J$451),0),
IF('TL14'!$B$3=O$3,SUMIF('TL14'!$C$10:$C$224,$C92,'TL14'!$J$10:$J$224),0),
IF('TL14'!$B$229=O$3,SUMIF('TL14'!$C$238:$C$451,$C92,'TL14'!$J$238:$J$451),0),
IF('TL15'!$B$3=O$3,SUMIF('TL15'!$C$10:$C$224,$C92,'TL15'!$J$10:$J$224),0),
IF('TL15'!$B$229=O$3,SUMIF('TL15'!$C$238:$C$451,$C92,'TL15'!$J$238:$J$451),0),
IF('TL16'!$B$3=O$3,SUMIF('TL16'!$C$10:$C$224,$C92,'TL16'!$J$10:$J$224),0),
IF('TL16'!$B$229=O$3,SUMIF('TL16'!$C$238:$C$451,$C92,'TL16'!$J$238:$J$451),0),
IF('TL17'!$B$3=O$3,SUMIF('TL17'!$C$10:$C$224,$C92,'TL17'!$J$10:$J$224),0),
IF('TL17'!$B$229=O$3,SUMIF('TL17'!$C$238:$C$451,$C92,'TL17'!$J$238:$J$451),0),
IF('TL18'!$B$3=O$3,SUMIF('TL18'!$C$10:$C$224,$C92,'TL18'!$J$10:$J$224),0),
IF('TL18'!$B$229=O$3,SUMIF('TL18'!$C$238:$C$451,$C92,'TL18'!$J$238:$J$451),0),
IF('TL19'!$B$3=O$3,SUMIF('TL19'!$C$10:$C$224,$C92,'TL19'!$J$10:$J$224),0),
IF('TL19'!$B$229=O$3,SUMIF('TL19'!$C$238:$C$451,$C92,'TL19'!$J$238:$J$451),0)
),0)</f>
        <v>0</v>
      </c>
      <c r="P92" s="9">
        <f>IFERROR(SUM(
IF('TL01'!$B$3=P$3,SUMIF('TL01'!$C$10:$C$224,$C92,'TL01'!$J$10:$J$224),0),
IF('TL01'!$B$229=P$3,SUMIF('TL01'!$C$238:$C$451,$C92,'TL01'!$J$238:$J$451),0),
IF('TL02'!$B$3=P$3,SUMIF('TL02'!$C$10:$C$224,$C92,'TL02'!$J$10:$J$224),0),
IF('TL02'!$B$229=P$3,SUMIF('TL02'!$C$238:$C$451,$C92,'TL02'!$J$238:$J$451),0),
IF('TL03'!$B$3=P$3,SUMIF('TL03'!$C$10:$C$224,$C92,'TL03'!$J$10:$J$224),0),
IF('TL03'!$B$229=P$3,SUMIF('TL03'!$C$238:$C$451,$C92,'TL03'!$J$238:$J$451),0),
IF('TL04'!$B$3=P$3,SUMIF('TL04'!$C$10:$C$224,$C92,'TL04'!$J$10:$J$224),0),
IF('TL04'!$B$229=P$3,SUMIF('TL04'!$C$238:$C$451,$C92,'TL04'!$J$238:$J$451),0),
IF('TL05'!$B$3=P$3,SUMIF('TL05'!$C$10:$C$224,$C92,'TL05'!$J$10:$J$224),0),
IF('TL05'!$B$229=P$3,SUMIF('TL05'!$C$238:$C$451,$C92,'TL05'!$J$238:$J$451),0),
IF('TL06'!$B$3=P$3,SUMIF('TL06'!$C$10:$C$224,$C92,'TL06'!$J$10:$J$224),0),
IF('TL06'!$B$229=P$3,SUMIF('TL06'!$C$238:$C$451,$C92,'TL06'!$J$238:$J$451),0),
IF('TL07'!$B$3=P$3,SUMIF('TL07'!$C$10:$C$224,$C92,'TL07'!$J$10:$J$224),0),
IF('TL07'!$B$229=P$3,SUMIF('TL07'!$C$238:$C$451,$C92,'TL07'!$J$238:$J$451),0),
IF('TL08'!$B$3=P$3,SUMIF('TL08'!$C$10:$C$224,$C92,'TL08'!$J$10:$J$224),0),
IF('TL08'!$B$229=P$3,SUMIF('TL08'!$C$238:$C$451,$C92,'TL08'!$J$238:$J$451),0),
IF('TL09'!$B$3=P$3,SUMIF('TL09'!$C$10:$C$224,$C92,'TL09'!$J$10:$J$224),0),
IF('TL09'!$B$229=P$3,SUMIF('TL09'!$C$238:$C$451,$C92,'TL09'!$J$238:$J$451),0),
IF('TL10'!$B$3=P$3,SUMIF('TL10'!$C$10:$C$224,$C92,'TL10'!$J$10:$J$224),0),
IF('TL10'!$B$229=P$3,SUMIF('TL10'!$C$238:$C$451,$C92,'TL10'!$J$238:$J$451),0),
IF('TL11'!$B$3=P$3,SUMIF('TL11'!$C$10:$C$224,$C92,'TL11'!$J$10:$J$224),0),
IF('TL11'!$B$229=P$3,SUMIF('TL11'!$C$238:$C$451,$C92,'TL11'!$J$238:$J$451),0),
IF('TL12'!$B$3=P$3,SUMIF('TL12'!$C$10:$C$224,$C92,'TL12'!$J$10:$J$224),0),
IF('TL12'!$B$229=P$3,SUMIF('TL12'!$C$238:$C$451,$C92,'TL12'!$J$238:$J$451),0),
IF('TL13'!$B$3=P$3,SUMIF('TL13'!$C$10:$C$224,$C92,'TL13'!$J$10:$J$224),0),
IF('TL13'!$B$229=P$3,SUMIF('TL13'!$C$238:$C$451,$C92,'TL13'!$J$238:$J$451),0),
IF('TL14'!$B$3=P$3,SUMIF('TL14'!$C$10:$C$224,$C92,'TL14'!$J$10:$J$224),0),
IF('TL14'!$B$229=P$3,SUMIF('TL14'!$C$238:$C$451,$C92,'TL14'!$J$238:$J$451),0),
IF('TL15'!$B$3=P$3,SUMIF('TL15'!$C$10:$C$224,$C92,'TL15'!$J$10:$J$224),0),
IF('TL15'!$B$229=P$3,SUMIF('TL15'!$C$238:$C$451,$C92,'TL15'!$J$238:$J$451),0),
IF('TL16'!$B$3=P$3,SUMIF('TL16'!$C$10:$C$224,$C92,'TL16'!$J$10:$J$224),0),
IF('TL16'!$B$229=P$3,SUMIF('TL16'!$C$238:$C$451,$C92,'TL16'!$J$238:$J$451),0),
IF('TL17'!$B$3=P$3,SUMIF('TL17'!$C$10:$C$224,$C92,'TL17'!$J$10:$J$224),0),
IF('TL17'!$B$229=P$3,SUMIF('TL17'!$C$238:$C$451,$C92,'TL17'!$J$238:$J$451),0),
IF('TL18'!$B$3=P$3,SUMIF('TL18'!$C$10:$C$224,$C92,'TL18'!$J$10:$J$224),0),
IF('TL18'!$B$229=P$3,SUMIF('TL18'!$C$238:$C$451,$C92,'TL18'!$J$238:$J$451),0),
IF('TL19'!$B$3=P$3,SUMIF('TL19'!$C$10:$C$224,$C92,'TL19'!$J$10:$J$224),0),
IF('TL19'!$B$229=P$3,SUMIF('TL19'!$C$238:$C$451,$C92,'TL19'!$J$238:$J$451),0)
),0)</f>
        <v>0</v>
      </c>
      <c r="Q92" s="9">
        <f>IFERROR(SUM(
IF('TL01'!$B$3=Q$3,SUMIF('TL01'!$C$10:$C$224,$C92,'TL01'!$J$10:$J$224),0),
IF('TL01'!$B$229=Q$3,SUMIF('TL01'!$C$238:$C$451,$C92,'TL01'!$J$238:$J$451),0),
IF('TL02'!$B$3=Q$3,SUMIF('TL02'!$C$10:$C$224,$C92,'TL02'!$J$10:$J$224),0),
IF('TL02'!$B$229=Q$3,SUMIF('TL02'!$C$238:$C$451,$C92,'TL02'!$J$238:$J$451),0),
IF('TL03'!$B$3=Q$3,SUMIF('TL03'!$C$10:$C$224,$C92,'TL03'!$J$10:$J$224),0),
IF('TL03'!$B$229=Q$3,SUMIF('TL03'!$C$238:$C$451,$C92,'TL03'!$J$238:$J$451),0),
IF('TL04'!$B$3=Q$3,SUMIF('TL04'!$C$10:$C$224,$C92,'TL04'!$J$10:$J$224),0),
IF('TL04'!$B$229=Q$3,SUMIF('TL04'!$C$238:$C$451,$C92,'TL04'!$J$238:$J$451),0),
IF('TL05'!$B$3=Q$3,SUMIF('TL05'!$C$10:$C$224,$C92,'TL05'!$J$10:$J$224),0),
IF('TL05'!$B$229=Q$3,SUMIF('TL05'!$C$238:$C$451,$C92,'TL05'!$J$238:$J$451),0),
IF('TL06'!$B$3=Q$3,SUMIF('TL06'!$C$10:$C$224,$C92,'TL06'!$J$10:$J$224),0),
IF('TL06'!$B$229=Q$3,SUMIF('TL06'!$C$238:$C$451,$C92,'TL06'!$J$238:$J$451),0),
IF('TL07'!$B$3=Q$3,SUMIF('TL07'!$C$10:$C$224,$C92,'TL07'!$J$10:$J$224),0),
IF('TL07'!$B$229=Q$3,SUMIF('TL07'!$C$238:$C$451,$C92,'TL07'!$J$238:$J$451),0),
IF('TL08'!$B$3=Q$3,SUMIF('TL08'!$C$10:$C$224,$C92,'TL08'!$J$10:$J$224),0),
IF('TL08'!$B$229=Q$3,SUMIF('TL08'!$C$238:$C$451,$C92,'TL08'!$J$238:$J$451),0),
IF('TL09'!$B$3=Q$3,SUMIF('TL09'!$C$10:$C$224,$C92,'TL09'!$J$10:$J$224),0),
IF('TL09'!$B$229=Q$3,SUMIF('TL09'!$C$238:$C$451,$C92,'TL09'!$J$238:$J$451),0),
IF('TL10'!$B$3=Q$3,SUMIF('TL10'!$C$10:$C$224,$C92,'TL10'!$J$10:$J$224),0),
IF('TL10'!$B$229=Q$3,SUMIF('TL10'!$C$238:$C$451,$C92,'TL10'!$J$238:$J$451),0),
IF('TL11'!$B$3=Q$3,SUMIF('TL11'!$C$10:$C$224,$C92,'TL11'!$J$10:$J$224),0),
IF('TL11'!$B$229=Q$3,SUMIF('TL11'!$C$238:$C$451,$C92,'TL11'!$J$238:$J$451),0),
IF('TL12'!$B$3=Q$3,SUMIF('TL12'!$C$10:$C$224,$C92,'TL12'!$J$10:$J$224),0),
IF('TL12'!$B$229=Q$3,SUMIF('TL12'!$C$238:$C$451,$C92,'TL12'!$J$238:$J$451),0),
IF('TL13'!$B$3=Q$3,SUMIF('TL13'!$C$10:$C$224,$C92,'TL13'!$J$10:$J$224),0),
IF('TL13'!$B$229=Q$3,SUMIF('TL13'!$C$238:$C$451,$C92,'TL13'!$J$238:$J$451),0),
IF('TL14'!$B$3=Q$3,SUMIF('TL14'!$C$10:$C$224,$C92,'TL14'!$J$10:$J$224),0),
IF('TL14'!$B$229=Q$3,SUMIF('TL14'!$C$238:$C$451,$C92,'TL14'!$J$238:$J$451),0),
IF('TL15'!$B$3=Q$3,SUMIF('TL15'!$C$10:$C$224,$C92,'TL15'!$J$10:$J$224),0),
IF('TL15'!$B$229=Q$3,SUMIF('TL15'!$C$238:$C$451,$C92,'TL15'!$J$238:$J$451),0),
IF('TL16'!$B$3=Q$3,SUMIF('TL16'!$C$10:$C$224,$C92,'TL16'!$J$10:$J$224),0),
IF('TL16'!$B$229=Q$3,SUMIF('TL16'!$C$238:$C$451,$C92,'TL16'!$J$238:$J$451),0),
IF('TL17'!$B$3=Q$3,SUMIF('TL17'!$C$10:$C$224,$C92,'TL17'!$J$10:$J$224),0),
IF('TL17'!$B$229=Q$3,SUMIF('TL17'!$C$238:$C$451,$C92,'TL17'!$J$238:$J$451),0),
IF('TL18'!$B$3=Q$3,SUMIF('TL18'!$C$10:$C$224,$C92,'TL18'!$J$10:$J$224),0),
IF('TL18'!$B$229=Q$3,SUMIF('TL18'!$C$238:$C$451,$C92,'TL18'!$J$238:$J$451),0),
IF('TL19'!$B$3=Q$3,SUMIF('TL19'!$C$10:$C$224,$C92,'TL19'!$J$10:$J$224),0),
IF('TL19'!$B$229=Q$3,SUMIF('TL19'!$C$238:$C$451,$C92,'TL19'!$J$238:$J$451),0)
),0)</f>
        <v>0</v>
      </c>
      <c r="R92" s="9">
        <f>IFERROR(
SUM(
SUMIF('TL01'!C:C,C92,'TL01'!J:J),
SUMIF('TL02'!C:C,C92,'TL02'!J:J),
SUMIF('TL03'!C:C,C92,'TL03'!J:J),
SUMIF('TL04'!C:C,C92,'TL04'!J:J),
SUMIF('TL05'!C:C,C92,'TL05'!J:J),
SUMIF('TL06'!C:C,C92,'TL06'!J:J),
SUMIF('TL07'!C:C,C92,'TL07'!J:J),
SUMIF('TL08'!C:C,C92,'TL08'!J:J),
SUMIF('TL09'!C:C,C92,'TL09'!J:J),
SUMIF('TL10'!C:C,C92,'TL10'!J:J),
SUMIF('TL11'!C:C,C92,'TL11'!J:J),
SUMIF('TL12'!C:C,C92,'TL12'!J:J),
SUMIF('TL13'!C:C,C92,'TL13'!J:J),
SUMIF('TL14'!C:C,C92,'TL14'!J:J),
SUMIF('TL15'!C:C,C92,'TL15'!J:J),
SUMIF('TL16'!C:C,C92,'TL16'!J:J),
SUMIF('TL17'!C:C,C92,'TL17'!J:J),
SUMIF('TL18'!C:C,C92,'TL18'!J:J),SUMIF('TL19'!C:C,C92,'TL19'!J:J))
,0)</f>
        <v>0</v>
      </c>
      <c r="S92" s="17">
        <f>IFERROR(__xludf.DUMMYFUNCTION("IFERROR(VLOOKUP(C92,
IMPORTRANGE(""1wULbzX32WdYsx-lj2U3uUNBBe2INVIRDtcK0d-Dvl90"",
""26-27!C:G""),
5,
FALSE),
"""")"),53.60256000000001)</f>
        <v>53.60256</v>
      </c>
      <c r="T92" s="9"/>
      <c r="U92" s="92">
        <f t="shared" si="2"/>
        <v>0</v>
      </c>
      <c r="V92" s="93">
        <f t="shared" si="3"/>
        <v>0</v>
      </c>
    </row>
    <row r="93" ht="15.75" hidden="1" customHeight="1">
      <c r="A93" s="111" t="s">
        <v>358</v>
      </c>
      <c r="B93" s="112" t="s">
        <v>0</v>
      </c>
      <c r="C93" s="113" t="s">
        <v>572</v>
      </c>
      <c r="D93" s="113" t="s">
        <v>573</v>
      </c>
      <c r="E93" s="113">
        <v>720.0</v>
      </c>
      <c r="F93" s="4" t="s">
        <v>392</v>
      </c>
      <c r="G93" s="90" t="str">
        <f t="shared" si="4"/>
        <v>📄 Ver bula</v>
      </c>
      <c r="H93" s="9">
        <f>IFERROR(__xludf.DUMMYFUNCTION("IFERROR(VLOOKUP(C93,
IMPORTRANGE(""1wULbzX32WdYsx-lj2U3uUNBBe2INVIRDtcK0d-Dvl90"",
""26-27!C:K""),
8,
FALSE),
"""")"),1.5)</f>
        <v>1.5</v>
      </c>
      <c r="I93" s="114" t="s">
        <v>344</v>
      </c>
      <c r="J93" s="9">
        <f>IFERROR(SUM(
IF('TL01'!$B$3=J$3,SUMIF('TL01'!$C$10:$C$224,$C93,'TL01'!$J$10:$J$224),0),
IF('TL01'!$B$229=J$3,SUMIF('TL01'!$C$238:$C$451,$C93,'TL01'!$J$238:$J$451),0),
IF('TL02'!$B$3=J$3,SUMIF('TL02'!$C$10:$C$224,$C93,'TL02'!$J$10:$J$224),0),
IF('TL02'!$B$229=J$3,SUMIF('TL02'!$C$238:$C$451,$C93,'TL02'!$J$238:$J$451),0),
IF('TL03'!$B$3=J$3,SUMIF('TL03'!$C$10:$C$224,$C93,'TL03'!$J$10:$J$224),0),
IF('TL03'!$B$229=J$3,SUMIF('TL03'!$C$238:$C$451,$C93,'TL03'!$J$238:$J$451),0),
IF('TL04'!$B$3=J$3,SUMIF('TL04'!$C$10:$C$224,$C93,'TL04'!$J$10:$J$224),0),
IF('TL04'!$B$229=J$3,SUMIF('TL04'!$C$238:$C$451,$C93,'TL04'!$J$238:$J$451),0),
IF('TL05'!$B$3=J$3,SUMIF('TL05'!$C$10:$C$224,$C93,'TL05'!$J$10:$J$224),0),
IF('TL05'!$B$229=J$3,SUMIF('TL05'!$C$238:$C$451,$C93,'TL05'!$J$238:$J$451),0),
IF('TL06'!$B$3=J$3,SUMIF('TL06'!$C$10:$C$224,$C93,'TL06'!$J$10:$J$224),0),
IF('TL06'!$B$229=J$3,SUMIF('TL06'!$C$238:$C$451,$C93,'TL06'!$J$238:$J$451),0),
IF('TL07'!$B$3=J$3,SUMIF('TL07'!$C$10:$C$224,$C93,'TL07'!$J$10:$J$224),0),
IF('TL07'!$B$229=J$3,SUMIF('TL07'!$C$238:$C$451,$C93,'TL07'!$J$238:$J$451),0),
IF('TL08'!$B$3=J$3,SUMIF('TL08'!$C$10:$C$224,$C93,'TL08'!$J$10:$J$224),0),
IF('TL08'!$B$229=J$3,SUMIF('TL08'!$C$238:$C$451,$C93,'TL08'!$J$238:$J$451),0),
IF('TL09'!$B$3=J$3,SUMIF('TL09'!$C$10:$C$224,$C93,'TL09'!$J$10:$J$224),0),
IF('TL09'!$B$229=J$3,SUMIF('TL09'!$C$238:$C$451,$C93,'TL09'!$J$238:$J$451),0),
IF('TL10'!$B$3=J$3,SUMIF('TL10'!$C$10:$C$224,$C93,'TL10'!$J$10:$J$224),0),
IF('TL10'!$B$229=J$3,SUMIF('TL10'!$C$238:$C$451,$C93,'TL10'!$J$238:$J$451),0),
IF('TL11'!$B$3=J$3,SUMIF('TL11'!$C$10:$C$224,$C93,'TL11'!$J$10:$J$224),0),
IF('TL11'!$B$229=J$3,SUMIF('TL11'!$C$238:$C$451,$C93,'TL11'!$J$238:$J$451),0),
IF('TL12'!$B$3=J$3,SUMIF('TL12'!$C$10:$C$224,$C93,'TL12'!$J$10:$J$224),0),
IF('TL12'!$B$229=J$3,SUMIF('TL12'!$C$238:$C$451,$C93,'TL12'!$J$238:$J$451),0),
IF('TL13'!$B$3=J$3,SUMIF('TL13'!$C$10:$C$224,$C93,'TL13'!$J$10:$J$224),0),
IF('TL13'!$B$229=J$3,SUMIF('TL13'!$C$238:$C$451,$C93,'TL13'!$J$238:$J$451),0),
IF('TL14'!$B$3=J$3,SUMIF('TL14'!$C$10:$C$224,$C93,'TL14'!$J$10:$J$224),0),
IF('TL14'!$B$229=J$3,SUMIF('TL14'!$C$238:$C$451,$C93,'TL14'!$J$238:$J$451),0),
IF('TL15'!$B$3=J$3,SUMIF('TL15'!$C$10:$C$224,$C93,'TL15'!$J$10:$J$224),0),
IF('TL15'!$B$229=J$3,SUMIF('TL15'!$C$238:$C$451,$C93,'TL15'!$J$238:$J$451),0),
IF('TL16'!$B$3=J$3,SUMIF('TL16'!$C$10:$C$224,$C93,'TL16'!$J$10:$J$224),0),
IF('TL16'!$B$229=J$3,SUMIF('TL16'!$C$238:$C$451,$C93,'TL16'!$J$238:$J$451),0),
IF('TL17'!$B$3=J$3,SUMIF('TL17'!$C$10:$C$224,$C93,'TL17'!$J$10:$J$224),0),
IF('TL17'!$B$229=J$3,SUMIF('TL17'!$C$238:$C$451,$C93,'TL17'!$J$238:$J$451),0),
IF('TL18'!$B$3=J$3,SUMIF('TL18'!$C$10:$C$224,$C93,'TL18'!$J$10:$J$224),0),
IF('TL18'!$B$229=J$3,SUMIF('TL18'!$C$238:$C$451,$C93,'TL18'!$J$238:$J$451),0),
IF('TL19'!$B$3=J$3,SUMIF('TL19'!$C$10:$C$224,$C93,'TL19'!$J$10:$J$224),0),
IF('TL19'!$B$229=J$3,SUMIF('TL19'!$C$238:$C$451,$C93,'TL19'!$J$238:$J$451),0)
),0)</f>
        <v>405</v>
      </c>
      <c r="K93" s="9">
        <f>IFERROR(SUM(
IF('TL01'!$B$3=K$3,SUMIF('TL01'!$C$10:$C$224,$C93,'TL01'!$J$10:$J$224),0),
IF('TL01'!$B$229=K$3,SUMIF('TL01'!$C$238:$C$451,$C93,'TL01'!$J$238:$J$451),0),
IF('TL02'!$B$3=K$3,SUMIF('TL02'!$C$10:$C$224,$C93,'TL02'!$J$10:$J$224),0),
IF('TL02'!$B$229=K$3,SUMIF('TL02'!$C$238:$C$451,$C93,'TL02'!$J$238:$J$451),0),
IF('TL03'!$B$3=K$3,SUMIF('TL03'!$C$10:$C$224,$C93,'TL03'!$J$10:$J$224),0),
IF('TL03'!$B$229=K$3,SUMIF('TL03'!$C$238:$C$451,$C93,'TL03'!$J$238:$J$451),0),
IF('TL04'!$B$3=K$3,SUMIF('TL04'!$C$10:$C$224,$C93,'TL04'!$J$10:$J$224),0),
IF('TL04'!$B$229=K$3,SUMIF('TL04'!$C$238:$C$451,$C93,'TL04'!$J$238:$J$451),0),
IF('TL05'!$B$3=K$3,SUMIF('TL05'!$C$10:$C$224,$C93,'TL05'!$J$10:$J$224),0),
IF('TL05'!$B$229=K$3,SUMIF('TL05'!$C$238:$C$451,$C93,'TL05'!$J$238:$J$451),0),
IF('TL06'!$B$3=K$3,SUMIF('TL06'!$C$10:$C$224,$C93,'TL06'!$J$10:$J$224),0),
IF('TL06'!$B$229=K$3,SUMIF('TL06'!$C$238:$C$451,$C93,'TL06'!$J$238:$J$451),0),
IF('TL07'!$B$3=K$3,SUMIF('TL07'!$C$10:$C$224,$C93,'TL07'!$J$10:$J$224),0),
IF('TL07'!$B$229=K$3,SUMIF('TL07'!$C$238:$C$451,$C93,'TL07'!$J$238:$J$451),0),
IF('TL08'!$B$3=K$3,SUMIF('TL08'!$C$10:$C$224,$C93,'TL08'!$J$10:$J$224),0),
IF('TL08'!$B$229=K$3,SUMIF('TL08'!$C$238:$C$451,$C93,'TL08'!$J$238:$J$451),0),
IF('TL09'!$B$3=K$3,SUMIF('TL09'!$C$10:$C$224,$C93,'TL09'!$J$10:$J$224),0),
IF('TL09'!$B$229=K$3,SUMIF('TL09'!$C$238:$C$451,$C93,'TL09'!$J$238:$J$451),0),
IF('TL10'!$B$3=K$3,SUMIF('TL10'!$C$10:$C$224,$C93,'TL10'!$J$10:$J$224),0),
IF('TL10'!$B$229=K$3,SUMIF('TL10'!$C$238:$C$451,$C93,'TL10'!$J$238:$J$451),0),
IF('TL11'!$B$3=K$3,SUMIF('TL11'!$C$10:$C$224,$C93,'TL11'!$J$10:$J$224),0),
IF('TL11'!$B$229=K$3,SUMIF('TL11'!$C$238:$C$451,$C93,'TL11'!$J$238:$J$451),0),
IF('TL12'!$B$3=K$3,SUMIF('TL12'!$C$10:$C$224,$C93,'TL12'!$J$10:$J$224),0),
IF('TL12'!$B$229=K$3,SUMIF('TL12'!$C$238:$C$451,$C93,'TL12'!$J$238:$J$451),0),
IF('TL13'!$B$3=K$3,SUMIF('TL13'!$C$10:$C$224,$C93,'TL13'!$J$10:$J$224),0),
IF('TL13'!$B$229=K$3,SUMIF('TL13'!$C$238:$C$451,$C93,'TL13'!$J$238:$J$451),0),
IF('TL14'!$B$3=K$3,SUMIF('TL14'!$C$10:$C$224,$C93,'TL14'!$J$10:$J$224),0),
IF('TL14'!$B$229=K$3,SUMIF('TL14'!$C$238:$C$451,$C93,'TL14'!$J$238:$J$451),0),
IF('TL15'!$B$3=K$3,SUMIF('TL15'!$C$10:$C$224,$C93,'TL15'!$J$10:$J$224),0),
IF('TL15'!$B$229=K$3,SUMIF('TL15'!$C$238:$C$451,$C93,'TL15'!$J$238:$J$451),0),
IF('TL16'!$B$3=K$3,SUMIF('TL16'!$C$10:$C$224,$C93,'TL16'!$J$10:$J$224),0),
IF('TL16'!$B$229=K$3,SUMIF('TL16'!$C$238:$C$451,$C93,'TL16'!$J$238:$J$451),0),
IF('TL17'!$B$3=K$3,SUMIF('TL17'!$C$10:$C$224,$C93,'TL17'!$J$10:$J$224),0),
IF('TL17'!$B$229=K$3,SUMIF('TL17'!$C$238:$C$451,$C93,'TL17'!$J$238:$J$451),0),
IF('TL18'!$B$3=K$3,SUMIF('TL18'!$C$10:$C$224,$C93,'TL18'!$J$10:$J$224),0),
IF('TL18'!$B$229=K$3,SUMIF('TL18'!$C$238:$C$451,$C93,'TL18'!$J$238:$J$451),0),
IF('TL19'!$B$3=K$3,SUMIF('TL19'!$C$10:$C$224,$C93,'TL19'!$J$10:$J$224),0),
IF('TL19'!$B$229=K$3,SUMIF('TL19'!$C$238:$C$451,$C93,'TL19'!$J$238:$J$451),0)
),0)</f>
        <v>450</v>
      </c>
      <c r="L93" s="9">
        <f>IFERROR(SUM(
IF('TL01'!$B$3=L$3,SUMIF('TL01'!$C$10:$C$224,$C93,'TL01'!$J$10:$J$224),0),
IF('TL01'!$B$229=L$3,SUMIF('TL01'!$C$238:$C$451,$C93,'TL01'!$J$238:$J$451),0),
IF('TL02'!$B$3=L$3,SUMIF('TL02'!$C$10:$C$224,$C93,'TL02'!$J$10:$J$224),0),
IF('TL02'!$B$229=L$3,SUMIF('TL02'!$C$238:$C$451,$C93,'TL02'!$J$238:$J$451),0),
IF('TL03'!$B$3=L$3,SUMIF('TL03'!$C$10:$C$224,$C93,'TL03'!$J$10:$J$224),0),
IF('TL03'!$B$229=L$3,SUMIF('TL03'!$C$238:$C$451,$C93,'TL03'!$J$238:$J$451),0),
IF('TL04'!$B$3=L$3,SUMIF('TL04'!$C$10:$C$224,$C93,'TL04'!$J$10:$J$224),0),
IF('TL04'!$B$229=L$3,SUMIF('TL04'!$C$238:$C$451,$C93,'TL04'!$J$238:$J$451),0),
IF('TL05'!$B$3=L$3,SUMIF('TL05'!$C$10:$C$224,$C93,'TL05'!$J$10:$J$224),0),
IF('TL05'!$B$229=L$3,SUMIF('TL05'!$C$238:$C$451,$C93,'TL05'!$J$238:$J$451),0),
IF('TL06'!$B$3=L$3,SUMIF('TL06'!$C$10:$C$224,$C93,'TL06'!$J$10:$J$224),0),
IF('TL06'!$B$229=L$3,SUMIF('TL06'!$C$238:$C$451,$C93,'TL06'!$J$238:$J$451),0),
IF('TL07'!$B$3=L$3,SUMIF('TL07'!$C$10:$C$224,$C93,'TL07'!$J$10:$J$224),0),
IF('TL07'!$B$229=L$3,SUMIF('TL07'!$C$238:$C$451,$C93,'TL07'!$J$238:$J$451),0),
IF('TL08'!$B$3=L$3,SUMIF('TL08'!$C$10:$C$224,$C93,'TL08'!$J$10:$J$224),0),
IF('TL08'!$B$229=L$3,SUMIF('TL08'!$C$238:$C$451,$C93,'TL08'!$J$238:$J$451),0),
IF('TL09'!$B$3=L$3,SUMIF('TL09'!$C$10:$C$224,$C93,'TL09'!$J$10:$J$224),0),
IF('TL09'!$B$229=L$3,SUMIF('TL09'!$C$238:$C$451,$C93,'TL09'!$J$238:$J$451),0),
IF('TL10'!$B$3=L$3,SUMIF('TL10'!$C$10:$C$224,$C93,'TL10'!$J$10:$J$224),0),
IF('TL10'!$B$229=L$3,SUMIF('TL10'!$C$238:$C$451,$C93,'TL10'!$J$238:$J$451),0),
IF('TL11'!$B$3=L$3,SUMIF('TL11'!$C$10:$C$224,$C93,'TL11'!$J$10:$J$224),0),
IF('TL11'!$B$229=L$3,SUMIF('TL11'!$C$238:$C$451,$C93,'TL11'!$J$238:$J$451),0),
IF('TL12'!$B$3=L$3,SUMIF('TL12'!$C$10:$C$224,$C93,'TL12'!$J$10:$J$224),0),
IF('TL12'!$B$229=L$3,SUMIF('TL12'!$C$238:$C$451,$C93,'TL12'!$J$238:$J$451),0),
IF('TL13'!$B$3=L$3,SUMIF('TL13'!$C$10:$C$224,$C93,'TL13'!$J$10:$J$224),0),
IF('TL13'!$B$229=L$3,SUMIF('TL13'!$C$238:$C$451,$C93,'TL13'!$J$238:$J$451),0),
IF('TL14'!$B$3=L$3,SUMIF('TL14'!$C$10:$C$224,$C93,'TL14'!$J$10:$J$224),0),
IF('TL14'!$B$229=L$3,SUMIF('TL14'!$C$238:$C$451,$C93,'TL14'!$J$238:$J$451),0),
IF('TL15'!$B$3=L$3,SUMIF('TL15'!$C$10:$C$224,$C93,'TL15'!$J$10:$J$224),0),
IF('TL15'!$B$229=L$3,SUMIF('TL15'!$C$238:$C$451,$C93,'TL15'!$J$238:$J$451),0),
IF('TL16'!$B$3=L$3,SUMIF('TL16'!$C$10:$C$224,$C93,'TL16'!$J$10:$J$224),0),
IF('TL16'!$B$229=L$3,SUMIF('TL16'!$C$238:$C$451,$C93,'TL16'!$J$238:$J$451),0),
IF('TL17'!$B$3=L$3,SUMIF('TL17'!$C$10:$C$224,$C93,'TL17'!$J$10:$J$224),0),
IF('TL17'!$B$229=L$3,SUMIF('TL17'!$C$238:$C$451,$C93,'TL17'!$J$238:$J$451),0),
IF('TL18'!$B$3=L$3,SUMIF('TL18'!$C$10:$C$224,$C93,'TL18'!$J$10:$J$224),0),
IF('TL18'!$B$229=L$3,SUMIF('TL18'!$C$238:$C$451,$C93,'TL18'!$J$238:$J$451),0),
IF('TL19'!$B$3=L$3,SUMIF('TL19'!$C$10:$C$224,$C93,'TL19'!$J$10:$J$224),0),
IF('TL19'!$B$229=L$3,SUMIF('TL19'!$C$238:$C$451,$C93,'TL19'!$J$238:$J$451),0)
),0)</f>
        <v>330</v>
      </c>
      <c r="M93" s="9">
        <f>IFERROR(SUM(
IF('TL01'!$B$3=M$3,SUMIF('TL01'!$C$10:$C$224,$C93,'TL01'!$J$10:$J$224),0),
IF('TL01'!$B$229=M$3,SUMIF('TL01'!$C$238:$C$451,$C93,'TL01'!$J$238:$J$451),0),
IF('TL02'!$B$3=M$3,SUMIF('TL02'!$C$10:$C$224,$C93,'TL02'!$J$10:$J$224),0),
IF('TL02'!$B$229=M$3,SUMIF('TL02'!$C$238:$C$451,$C93,'TL02'!$J$238:$J$451),0),
IF('TL03'!$B$3=M$3,SUMIF('TL03'!$C$10:$C$224,$C93,'TL03'!$J$10:$J$224),0),
IF('TL03'!$B$229=M$3,SUMIF('TL03'!$C$238:$C$451,$C93,'TL03'!$J$238:$J$451),0),
IF('TL04'!$B$3=M$3,SUMIF('TL04'!$C$10:$C$224,$C93,'TL04'!$J$10:$J$224),0),
IF('TL04'!$B$229=M$3,SUMIF('TL04'!$C$238:$C$451,$C93,'TL04'!$J$238:$J$451),0),
IF('TL05'!$B$3=M$3,SUMIF('TL05'!$C$10:$C$224,$C93,'TL05'!$J$10:$J$224),0),
IF('TL05'!$B$229=M$3,SUMIF('TL05'!$C$238:$C$451,$C93,'TL05'!$J$238:$J$451),0),
IF('TL06'!$B$3=M$3,SUMIF('TL06'!$C$10:$C$224,$C93,'TL06'!$J$10:$J$224),0),
IF('TL06'!$B$229=M$3,SUMIF('TL06'!$C$238:$C$451,$C93,'TL06'!$J$238:$J$451),0),
IF('TL07'!$B$3=M$3,SUMIF('TL07'!$C$10:$C$224,$C93,'TL07'!$J$10:$J$224),0),
IF('TL07'!$B$229=M$3,SUMIF('TL07'!$C$238:$C$451,$C93,'TL07'!$J$238:$J$451),0),
IF('TL08'!$B$3=M$3,SUMIF('TL08'!$C$10:$C$224,$C93,'TL08'!$J$10:$J$224),0),
IF('TL08'!$B$229=M$3,SUMIF('TL08'!$C$238:$C$451,$C93,'TL08'!$J$238:$J$451),0),
IF('TL09'!$B$3=M$3,SUMIF('TL09'!$C$10:$C$224,$C93,'TL09'!$J$10:$J$224),0),
IF('TL09'!$B$229=M$3,SUMIF('TL09'!$C$238:$C$451,$C93,'TL09'!$J$238:$J$451),0),
IF('TL10'!$B$3=M$3,SUMIF('TL10'!$C$10:$C$224,$C93,'TL10'!$J$10:$J$224),0),
IF('TL10'!$B$229=M$3,SUMIF('TL10'!$C$238:$C$451,$C93,'TL10'!$J$238:$J$451),0),
IF('TL11'!$B$3=M$3,SUMIF('TL11'!$C$10:$C$224,$C93,'TL11'!$J$10:$J$224),0),
IF('TL11'!$B$229=M$3,SUMIF('TL11'!$C$238:$C$451,$C93,'TL11'!$J$238:$J$451),0),
IF('TL12'!$B$3=M$3,SUMIF('TL12'!$C$10:$C$224,$C93,'TL12'!$J$10:$J$224),0),
IF('TL12'!$B$229=M$3,SUMIF('TL12'!$C$238:$C$451,$C93,'TL12'!$J$238:$J$451),0),
IF('TL13'!$B$3=M$3,SUMIF('TL13'!$C$10:$C$224,$C93,'TL13'!$J$10:$J$224),0),
IF('TL13'!$B$229=M$3,SUMIF('TL13'!$C$238:$C$451,$C93,'TL13'!$J$238:$J$451),0),
IF('TL14'!$B$3=M$3,SUMIF('TL14'!$C$10:$C$224,$C93,'TL14'!$J$10:$J$224),0),
IF('TL14'!$B$229=M$3,SUMIF('TL14'!$C$238:$C$451,$C93,'TL14'!$J$238:$J$451),0),
IF('TL15'!$B$3=M$3,SUMIF('TL15'!$C$10:$C$224,$C93,'TL15'!$J$10:$J$224),0),
IF('TL15'!$B$229=M$3,SUMIF('TL15'!$C$238:$C$451,$C93,'TL15'!$J$238:$J$451),0),
IF('TL16'!$B$3=M$3,SUMIF('TL16'!$C$10:$C$224,$C93,'TL16'!$J$10:$J$224),0),
IF('TL16'!$B$229=M$3,SUMIF('TL16'!$C$238:$C$451,$C93,'TL16'!$J$238:$J$451),0),
IF('TL17'!$B$3=M$3,SUMIF('TL17'!$C$10:$C$224,$C93,'TL17'!$J$10:$J$224),0),
IF('TL17'!$B$229=M$3,SUMIF('TL17'!$C$238:$C$451,$C93,'TL17'!$J$238:$J$451),0),
IF('TL18'!$B$3=M$3,SUMIF('TL18'!$C$10:$C$224,$C93,'TL18'!$J$10:$J$224),0),
IF('TL18'!$B$229=M$3,SUMIF('TL18'!$C$238:$C$451,$C93,'TL18'!$J$238:$J$451),0),
IF('TL19'!$B$3=M$3,SUMIF('TL19'!$C$10:$C$224,$C93,'TL19'!$J$10:$J$224),0),
IF('TL19'!$B$229=M$3,SUMIF('TL19'!$C$238:$C$451,$C93,'TL19'!$J$238:$J$451),0)
),0)</f>
        <v>0</v>
      </c>
      <c r="N93" s="9">
        <f>IFERROR(SUM(
IF('TL01'!$B$3=N$3,SUMIF('TL01'!$C$10:$C$224,$C93,'TL01'!$J$10:$J$224),0),
IF('TL01'!$B$229=N$3,SUMIF('TL01'!$C$238:$C$451,$C93,'TL01'!$J$238:$J$451),0),
IF('TL02'!$B$3=N$3,SUMIF('TL02'!$C$10:$C$224,$C93,'TL02'!$J$10:$J$224),0),
IF('TL02'!$B$229=N$3,SUMIF('TL02'!$C$238:$C$451,$C93,'TL02'!$J$238:$J$451),0),
IF('TL03'!$B$3=N$3,SUMIF('TL03'!$C$10:$C$224,$C93,'TL03'!$J$10:$J$224),0),
IF('TL03'!$B$229=N$3,SUMIF('TL03'!$C$238:$C$451,$C93,'TL03'!$J$238:$J$451),0),
IF('TL04'!$B$3=N$3,SUMIF('TL04'!$C$10:$C$224,$C93,'TL04'!$J$10:$J$224),0),
IF('TL04'!$B$229=N$3,SUMIF('TL04'!$C$238:$C$451,$C93,'TL04'!$J$238:$J$451),0),
IF('TL05'!$B$3=N$3,SUMIF('TL05'!$C$10:$C$224,$C93,'TL05'!$J$10:$J$224),0),
IF('TL05'!$B$229=N$3,SUMIF('TL05'!$C$238:$C$451,$C93,'TL05'!$J$238:$J$451),0),
IF('TL06'!$B$3=N$3,SUMIF('TL06'!$C$10:$C$224,$C93,'TL06'!$J$10:$J$224),0),
IF('TL06'!$B$229=N$3,SUMIF('TL06'!$C$238:$C$451,$C93,'TL06'!$J$238:$J$451),0),
IF('TL07'!$B$3=N$3,SUMIF('TL07'!$C$10:$C$224,$C93,'TL07'!$J$10:$J$224),0),
IF('TL07'!$B$229=N$3,SUMIF('TL07'!$C$238:$C$451,$C93,'TL07'!$J$238:$J$451),0),
IF('TL08'!$B$3=N$3,SUMIF('TL08'!$C$10:$C$224,$C93,'TL08'!$J$10:$J$224),0),
IF('TL08'!$B$229=N$3,SUMIF('TL08'!$C$238:$C$451,$C93,'TL08'!$J$238:$J$451),0),
IF('TL09'!$B$3=N$3,SUMIF('TL09'!$C$10:$C$224,$C93,'TL09'!$J$10:$J$224),0),
IF('TL09'!$B$229=N$3,SUMIF('TL09'!$C$238:$C$451,$C93,'TL09'!$J$238:$J$451),0),
IF('TL10'!$B$3=N$3,SUMIF('TL10'!$C$10:$C$224,$C93,'TL10'!$J$10:$J$224),0),
IF('TL10'!$B$229=N$3,SUMIF('TL10'!$C$238:$C$451,$C93,'TL10'!$J$238:$J$451),0),
IF('TL11'!$B$3=N$3,SUMIF('TL11'!$C$10:$C$224,$C93,'TL11'!$J$10:$J$224),0),
IF('TL11'!$B$229=N$3,SUMIF('TL11'!$C$238:$C$451,$C93,'TL11'!$J$238:$J$451),0),
IF('TL12'!$B$3=N$3,SUMIF('TL12'!$C$10:$C$224,$C93,'TL12'!$J$10:$J$224),0),
IF('TL12'!$B$229=N$3,SUMIF('TL12'!$C$238:$C$451,$C93,'TL12'!$J$238:$J$451),0),
IF('TL13'!$B$3=N$3,SUMIF('TL13'!$C$10:$C$224,$C93,'TL13'!$J$10:$J$224),0),
IF('TL13'!$B$229=N$3,SUMIF('TL13'!$C$238:$C$451,$C93,'TL13'!$J$238:$J$451),0),
IF('TL14'!$B$3=N$3,SUMIF('TL14'!$C$10:$C$224,$C93,'TL14'!$J$10:$J$224),0),
IF('TL14'!$B$229=N$3,SUMIF('TL14'!$C$238:$C$451,$C93,'TL14'!$J$238:$J$451),0),
IF('TL15'!$B$3=N$3,SUMIF('TL15'!$C$10:$C$224,$C93,'TL15'!$J$10:$J$224),0),
IF('TL15'!$B$229=N$3,SUMIF('TL15'!$C$238:$C$451,$C93,'TL15'!$J$238:$J$451),0),
IF('TL16'!$B$3=N$3,SUMIF('TL16'!$C$10:$C$224,$C93,'TL16'!$J$10:$J$224),0),
IF('TL16'!$B$229=N$3,SUMIF('TL16'!$C$238:$C$451,$C93,'TL16'!$J$238:$J$451),0),
IF('TL17'!$B$3=N$3,SUMIF('TL17'!$C$10:$C$224,$C93,'TL17'!$J$10:$J$224),0),
IF('TL17'!$B$229=N$3,SUMIF('TL17'!$C$238:$C$451,$C93,'TL17'!$J$238:$J$451),0),
IF('TL18'!$B$3=N$3,SUMIF('TL18'!$C$10:$C$224,$C93,'TL18'!$J$10:$J$224),0),
IF('TL18'!$B$229=N$3,SUMIF('TL18'!$C$238:$C$451,$C93,'TL18'!$J$238:$J$451),0),
IF('TL19'!$B$3=N$3,SUMIF('TL19'!$C$10:$C$224,$C93,'TL19'!$J$10:$J$224),0),
IF('TL19'!$B$229=N$3,SUMIF('TL19'!$C$238:$C$451,$C93,'TL19'!$J$238:$J$451),0)
),0)</f>
        <v>0</v>
      </c>
      <c r="O93" s="9">
        <f>IFERROR(SUM(
IF('TL01'!$B$3=O$3,SUMIF('TL01'!$C$10:$C$224,$C93,'TL01'!$J$10:$J$224),0),
IF('TL01'!$B$229=O$3,SUMIF('TL01'!$C$238:$C$451,$C93,'TL01'!$J$238:$J$451),0),
IF('TL02'!$B$3=O$3,SUMIF('TL02'!$C$10:$C$224,$C93,'TL02'!$J$10:$J$224),0),
IF('TL02'!$B$229=O$3,SUMIF('TL02'!$C$238:$C$451,$C93,'TL02'!$J$238:$J$451),0),
IF('TL03'!$B$3=O$3,SUMIF('TL03'!$C$10:$C$224,$C93,'TL03'!$J$10:$J$224),0),
IF('TL03'!$B$229=O$3,SUMIF('TL03'!$C$238:$C$451,$C93,'TL03'!$J$238:$J$451),0),
IF('TL04'!$B$3=O$3,SUMIF('TL04'!$C$10:$C$224,$C93,'TL04'!$J$10:$J$224),0),
IF('TL04'!$B$229=O$3,SUMIF('TL04'!$C$238:$C$451,$C93,'TL04'!$J$238:$J$451),0),
IF('TL05'!$B$3=O$3,SUMIF('TL05'!$C$10:$C$224,$C93,'TL05'!$J$10:$J$224),0),
IF('TL05'!$B$229=O$3,SUMIF('TL05'!$C$238:$C$451,$C93,'TL05'!$J$238:$J$451),0),
IF('TL06'!$B$3=O$3,SUMIF('TL06'!$C$10:$C$224,$C93,'TL06'!$J$10:$J$224),0),
IF('TL06'!$B$229=O$3,SUMIF('TL06'!$C$238:$C$451,$C93,'TL06'!$J$238:$J$451),0),
IF('TL07'!$B$3=O$3,SUMIF('TL07'!$C$10:$C$224,$C93,'TL07'!$J$10:$J$224),0),
IF('TL07'!$B$229=O$3,SUMIF('TL07'!$C$238:$C$451,$C93,'TL07'!$J$238:$J$451),0),
IF('TL08'!$B$3=O$3,SUMIF('TL08'!$C$10:$C$224,$C93,'TL08'!$J$10:$J$224),0),
IF('TL08'!$B$229=O$3,SUMIF('TL08'!$C$238:$C$451,$C93,'TL08'!$J$238:$J$451),0),
IF('TL09'!$B$3=O$3,SUMIF('TL09'!$C$10:$C$224,$C93,'TL09'!$J$10:$J$224),0),
IF('TL09'!$B$229=O$3,SUMIF('TL09'!$C$238:$C$451,$C93,'TL09'!$J$238:$J$451),0),
IF('TL10'!$B$3=O$3,SUMIF('TL10'!$C$10:$C$224,$C93,'TL10'!$J$10:$J$224),0),
IF('TL10'!$B$229=O$3,SUMIF('TL10'!$C$238:$C$451,$C93,'TL10'!$J$238:$J$451),0),
IF('TL11'!$B$3=O$3,SUMIF('TL11'!$C$10:$C$224,$C93,'TL11'!$J$10:$J$224),0),
IF('TL11'!$B$229=O$3,SUMIF('TL11'!$C$238:$C$451,$C93,'TL11'!$J$238:$J$451),0),
IF('TL12'!$B$3=O$3,SUMIF('TL12'!$C$10:$C$224,$C93,'TL12'!$J$10:$J$224),0),
IF('TL12'!$B$229=O$3,SUMIF('TL12'!$C$238:$C$451,$C93,'TL12'!$J$238:$J$451),0),
IF('TL13'!$B$3=O$3,SUMIF('TL13'!$C$10:$C$224,$C93,'TL13'!$J$10:$J$224),0),
IF('TL13'!$B$229=O$3,SUMIF('TL13'!$C$238:$C$451,$C93,'TL13'!$J$238:$J$451),0),
IF('TL14'!$B$3=O$3,SUMIF('TL14'!$C$10:$C$224,$C93,'TL14'!$J$10:$J$224),0),
IF('TL14'!$B$229=O$3,SUMIF('TL14'!$C$238:$C$451,$C93,'TL14'!$J$238:$J$451),0),
IF('TL15'!$B$3=O$3,SUMIF('TL15'!$C$10:$C$224,$C93,'TL15'!$J$10:$J$224),0),
IF('TL15'!$B$229=O$3,SUMIF('TL15'!$C$238:$C$451,$C93,'TL15'!$J$238:$J$451),0),
IF('TL16'!$B$3=O$3,SUMIF('TL16'!$C$10:$C$224,$C93,'TL16'!$J$10:$J$224),0),
IF('TL16'!$B$229=O$3,SUMIF('TL16'!$C$238:$C$451,$C93,'TL16'!$J$238:$J$451),0),
IF('TL17'!$B$3=O$3,SUMIF('TL17'!$C$10:$C$224,$C93,'TL17'!$J$10:$J$224),0),
IF('TL17'!$B$229=O$3,SUMIF('TL17'!$C$238:$C$451,$C93,'TL17'!$J$238:$J$451),0),
IF('TL18'!$B$3=O$3,SUMIF('TL18'!$C$10:$C$224,$C93,'TL18'!$J$10:$J$224),0),
IF('TL18'!$B$229=O$3,SUMIF('TL18'!$C$238:$C$451,$C93,'TL18'!$J$238:$J$451),0),
IF('TL19'!$B$3=O$3,SUMIF('TL19'!$C$10:$C$224,$C93,'TL19'!$J$10:$J$224),0),
IF('TL19'!$B$229=O$3,SUMIF('TL19'!$C$238:$C$451,$C93,'TL19'!$J$238:$J$451),0)
),0)</f>
        <v>0</v>
      </c>
      <c r="P93" s="9">
        <f>IFERROR(SUM(
IF('TL01'!$B$3=P$3,SUMIF('TL01'!$C$10:$C$224,$C93,'TL01'!$J$10:$J$224),0),
IF('TL01'!$B$229=P$3,SUMIF('TL01'!$C$238:$C$451,$C93,'TL01'!$J$238:$J$451),0),
IF('TL02'!$B$3=P$3,SUMIF('TL02'!$C$10:$C$224,$C93,'TL02'!$J$10:$J$224),0),
IF('TL02'!$B$229=P$3,SUMIF('TL02'!$C$238:$C$451,$C93,'TL02'!$J$238:$J$451),0),
IF('TL03'!$B$3=P$3,SUMIF('TL03'!$C$10:$C$224,$C93,'TL03'!$J$10:$J$224),0),
IF('TL03'!$B$229=P$3,SUMIF('TL03'!$C$238:$C$451,$C93,'TL03'!$J$238:$J$451),0),
IF('TL04'!$B$3=P$3,SUMIF('TL04'!$C$10:$C$224,$C93,'TL04'!$J$10:$J$224),0),
IF('TL04'!$B$229=P$3,SUMIF('TL04'!$C$238:$C$451,$C93,'TL04'!$J$238:$J$451),0),
IF('TL05'!$B$3=P$3,SUMIF('TL05'!$C$10:$C$224,$C93,'TL05'!$J$10:$J$224),0),
IF('TL05'!$B$229=P$3,SUMIF('TL05'!$C$238:$C$451,$C93,'TL05'!$J$238:$J$451),0),
IF('TL06'!$B$3=P$3,SUMIF('TL06'!$C$10:$C$224,$C93,'TL06'!$J$10:$J$224),0),
IF('TL06'!$B$229=P$3,SUMIF('TL06'!$C$238:$C$451,$C93,'TL06'!$J$238:$J$451),0),
IF('TL07'!$B$3=P$3,SUMIF('TL07'!$C$10:$C$224,$C93,'TL07'!$J$10:$J$224),0),
IF('TL07'!$B$229=P$3,SUMIF('TL07'!$C$238:$C$451,$C93,'TL07'!$J$238:$J$451),0),
IF('TL08'!$B$3=P$3,SUMIF('TL08'!$C$10:$C$224,$C93,'TL08'!$J$10:$J$224),0),
IF('TL08'!$B$229=P$3,SUMIF('TL08'!$C$238:$C$451,$C93,'TL08'!$J$238:$J$451),0),
IF('TL09'!$B$3=P$3,SUMIF('TL09'!$C$10:$C$224,$C93,'TL09'!$J$10:$J$224),0),
IF('TL09'!$B$229=P$3,SUMIF('TL09'!$C$238:$C$451,$C93,'TL09'!$J$238:$J$451),0),
IF('TL10'!$B$3=P$3,SUMIF('TL10'!$C$10:$C$224,$C93,'TL10'!$J$10:$J$224),0),
IF('TL10'!$B$229=P$3,SUMIF('TL10'!$C$238:$C$451,$C93,'TL10'!$J$238:$J$451),0),
IF('TL11'!$B$3=P$3,SUMIF('TL11'!$C$10:$C$224,$C93,'TL11'!$J$10:$J$224),0),
IF('TL11'!$B$229=P$3,SUMIF('TL11'!$C$238:$C$451,$C93,'TL11'!$J$238:$J$451),0),
IF('TL12'!$B$3=P$3,SUMIF('TL12'!$C$10:$C$224,$C93,'TL12'!$J$10:$J$224),0),
IF('TL12'!$B$229=P$3,SUMIF('TL12'!$C$238:$C$451,$C93,'TL12'!$J$238:$J$451),0),
IF('TL13'!$B$3=P$3,SUMIF('TL13'!$C$10:$C$224,$C93,'TL13'!$J$10:$J$224),0),
IF('TL13'!$B$229=P$3,SUMIF('TL13'!$C$238:$C$451,$C93,'TL13'!$J$238:$J$451),0),
IF('TL14'!$B$3=P$3,SUMIF('TL14'!$C$10:$C$224,$C93,'TL14'!$J$10:$J$224),0),
IF('TL14'!$B$229=P$3,SUMIF('TL14'!$C$238:$C$451,$C93,'TL14'!$J$238:$J$451),0),
IF('TL15'!$B$3=P$3,SUMIF('TL15'!$C$10:$C$224,$C93,'TL15'!$J$10:$J$224),0),
IF('TL15'!$B$229=P$3,SUMIF('TL15'!$C$238:$C$451,$C93,'TL15'!$J$238:$J$451),0),
IF('TL16'!$B$3=P$3,SUMIF('TL16'!$C$10:$C$224,$C93,'TL16'!$J$10:$J$224),0),
IF('TL16'!$B$229=P$3,SUMIF('TL16'!$C$238:$C$451,$C93,'TL16'!$J$238:$J$451),0),
IF('TL17'!$B$3=P$3,SUMIF('TL17'!$C$10:$C$224,$C93,'TL17'!$J$10:$J$224),0),
IF('TL17'!$B$229=P$3,SUMIF('TL17'!$C$238:$C$451,$C93,'TL17'!$J$238:$J$451),0),
IF('TL18'!$B$3=P$3,SUMIF('TL18'!$C$10:$C$224,$C93,'TL18'!$J$10:$J$224),0),
IF('TL18'!$B$229=P$3,SUMIF('TL18'!$C$238:$C$451,$C93,'TL18'!$J$238:$J$451),0),
IF('TL19'!$B$3=P$3,SUMIF('TL19'!$C$10:$C$224,$C93,'TL19'!$J$10:$J$224),0),
IF('TL19'!$B$229=P$3,SUMIF('TL19'!$C$238:$C$451,$C93,'TL19'!$J$238:$J$451),0)
),0)</f>
        <v>2202.6</v>
      </c>
      <c r="Q93" s="9">
        <f>IFERROR(SUM(
IF('TL01'!$B$3=Q$3,SUMIF('TL01'!$C$10:$C$224,$C93,'TL01'!$J$10:$J$224),0),
IF('TL01'!$B$229=Q$3,SUMIF('TL01'!$C$238:$C$451,$C93,'TL01'!$J$238:$J$451),0),
IF('TL02'!$B$3=Q$3,SUMIF('TL02'!$C$10:$C$224,$C93,'TL02'!$J$10:$J$224),0),
IF('TL02'!$B$229=Q$3,SUMIF('TL02'!$C$238:$C$451,$C93,'TL02'!$J$238:$J$451),0),
IF('TL03'!$B$3=Q$3,SUMIF('TL03'!$C$10:$C$224,$C93,'TL03'!$J$10:$J$224),0),
IF('TL03'!$B$229=Q$3,SUMIF('TL03'!$C$238:$C$451,$C93,'TL03'!$J$238:$J$451),0),
IF('TL04'!$B$3=Q$3,SUMIF('TL04'!$C$10:$C$224,$C93,'TL04'!$J$10:$J$224),0),
IF('TL04'!$B$229=Q$3,SUMIF('TL04'!$C$238:$C$451,$C93,'TL04'!$J$238:$J$451),0),
IF('TL05'!$B$3=Q$3,SUMIF('TL05'!$C$10:$C$224,$C93,'TL05'!$J$10:$J$224),0),
IF('TL05'!$B$229=Q$3,SUMIF('TL05'!$C$238:$C$451,$C93,'TL05'!$J$238:$J$451),0),
IF('TL06'!$B$3=Q$3,SUMIF('TL06'!$C$10:$C$224,$C93,'TL06'!$J$10:$J$224),0),
IF('TL06'!$B$229=Q$3,SUMIF('TL06'!$C$238:$C$451,$C93,'TL06'!$J$238:$J$451),0),
IF('TL07'!$B$3=Q$3,SUMIF('TL07'!$C$10:$C$224,$C93,'TL07'!$J$10:$J$224),0),
IF('TL07'!$B$229=Q$3,SUMIF('TL07'!$C$238:$C$451,$C93,'TL07'!$J$238:$J$451),0),
IF('TL08'!$B$3=Q$3,SUMIF('TL08'!$C$10:$C$224,$C93,'TL08'!$J$10:$J$224),0),
IF('TL08'!$B$229=Q$3,SUMIF('TL08'!$C$238:$C$451,$C93,'TL08'!$J$238:$J$451),0),
IF('TL09'!$B$3=Q$3,SUMIF('TL09'!$C$10:$C$224,$C93,'TL09'!$J$10:$J$224),0),
IF('TL09'!$B$229=Q$3,SUMIF('TL09'!$C$238:$C$451,$C93,'TL09'!$J$238:$J$451),0),
IF('TL10'!$B$3=Q$3,SUMIF('TL10'!$C$10:$C$224,$C93,'TL10'!$J$10:$J$224),0),
IF('TL10'!$B$229=Q$3,SUMIF('TL10'!$C$238:$C$451,$C93,'TL10'!$J$238:$J$451),0),
IF('TL11'!$B$3=Q$3,SUMIF('TL11'!$C$10:$C$224,$C93,'TL11'!$J$10:$J$224),0),
IF('TL11'!$B$229=Q$3,SUMIF('TL11'!$C$238:$C$451,$C93,'TL11'!$J$238:$J$451),0),
IF('TL12'!$B$3=Q$3,SUMIF('TL12'!$C$10:$C$224,$C93,'TL12'!$J$10:$J$224),0),
IF('TL12'!$B$229=Q$3,SUMIF('TL12'!$C$238:$C$451,$C93,'TL12'!$J$238:$J$451),0),
IF('TL13'!$B$3=Q$3,SUMIF('TL13'!$C$10:$C$224,$C93,'TL13'!$J$10:$J$224),0),
IF('TL13'!$B$229=Q$3,SUMIF('TL13'!$C$238:$C$451,$C93,'TL13'!$J$238:$J$451),0),
IF('TL14'!$B$3=Q$3,SUMIF('TL14'!$C$10:$C$224,$C93,'TL14'!$J$10:$J$224),0),
IF('TL14'!$B$229=Q$3,SUMIF('TL14'!$C$238:$C$451,$C93,'TL14'!$J$238:$J$451),0),
IF('TL15'!$B$3=Q$3,SUMIF('TL15'!$C$10:$C$224,$C93,'TL15'!$J$10:$J$224),0),
IF('TL15'!$B$229=Q$3,SUMIF('TL15'!$C$238:$C$451,$C93,'TL15'!$J$238:$J$451),0),
IF('TL16'!$B$3=Q$3,SUMIF('TL16'!$C$10:$C$224,$C93,'TL16'!$J$10:$J$224),0),
IF('TL16'!$B$229=Q$3,SUMIF('TL16'!$C$238:$C$451,$C93,'TL16'!$J$238:$J$451),0),
IF('TL17'!$B$3=Q$3,SUMIF('TL17'!$C$10:$C$224,$C93,'TL17'!$J$10:$J$224),0),
IF('TL17'!$B$229=Q$3,SUMIF('TL17'!$C$238:$C$451,$C93,'TL17'!$J$238:$J$451),0),
IF('TL18'!$B$3=Q$3,SUMIF('TL18'!$C$10:$C$224,$C93,'TL18'!$J$10:$J$224),0),
IF('TL18'!$B$229=Q$3,SUMIF('TL18'!$C$238:$C$451,$C93,'TL18'!$J$238:$J$451),0),
IF('TL19'!$B$3=Q$3,SUMIF('TL19'!$C$10:$C$224,$C93,'TL19'!$J$10:$J$224),0),
IF('TL19'!$B$229=Q$3,SUMIF('TL19'!$C$238:$C$451,$C93,'TL19'!$J$238:$J$451),0)
),0)</f>
        <v>480</v>
      </c>
      <c r="R93" s="9">
        <f>IFERROR(
SUM(
SUMIF('TL01'!C:C,C93,'TL01'!J:J),
SUMIF('TL02'!C:C,C93,'TL02'!J:J),
SUMIF('TL03'!C:C,C93,'TL03'!J:J),
SUMIF('TL04'!C:C,C93,'TL04'!J:J),
SUMIF('TL05'!C:C,C93,'TL05'!J:J),
SUMIF('TL06'!C:C,C93,'TL06'!J:J),
SUMIF('TL07'!C:C,C93,'TL07'!J:J),
SUMIF('TL08'!C:C,C93,'TL08'!J:J),
SUMIF('TL09'!C:C,C93,'TL09'!J:J),
SUMIF('TL10'!C:C,C93,'TL10'!J:J),
SUMIF('TL11'!C:C,C93,'TL11'!J:J),
SUMIF('TL12'!C:C,C93,'TL12'!J:J),
SUMIF('TL13'!C:C,C93,'TL13'!J:J),
SUMIF('TL14'!C:C,C93,'TL14'!J:J),
SUMIF('TL15'!C:C,C93,'TL15'!J:J),
SUMIF('TL16'!C:C,C93,'TL16'!J:J),
SUMIF('TL17'!C:C,C93,'TL17'!J:J),
SUMIF('TL18'!C:C,C93,'TL18'!J:J),SUMIF('TL19'!C:C,C93,'TL19'!J:J))
,0)</f>
        <v>3867.6</v>
      </c>
      <c r="S93" s="17">
        <f>IFERROR(__xludf.DUMMYFUNCTION("IFERROR(VLOOKUP(C93,
IMPORTRANGE(""1wULbzX32WdYsx-lj2U3uUNBBe2INVIRDtcK0d-Dvl90"",
""26-27!C:G""),
5,
FALSE),
"""")"),24.22944)</f>
        <v>24.22944</v>
      </c>
      <c r="T93" s="118">
        <f>600+170</f>
        <v>770</v>
      </c>
      <c r="U93" s="92">
        <f t="shared" si="2"/>
        <v>3097.6</v>
      </c>
      <c r="V93" s="93">
        <f t="shared" si="3"/>
        <v>75053.11334</v>
      </c>
    </row>
    <row r="94" ht="15.75" hidden="1" customHeight="1">
      <c r="A94" s="115" t="s">
        <v>358</v>
      </c>
      <c r="B94" s="100" t="s">
        <v>0</v>
      </c>
      <c r="C94" s="116" t="s">
        <v>574</v>
      </c>
      <c r="D94" s="116" t="s">
        <v>575</v>
      </c>
      <c r="E94" s="116" t="s">
        <v>576</v>
      </c>
      <c r="F94" s="4" t="s">
        <v>392</v>
      </c>
      <c r="G94" s="90" t="str">
        <f t="shared" si="4"/>
        <v>📄 Ver bula</v>
      </c>
      <c r="H94" s="9">
        <f>IFERROR(__xludf.DUMMYFUNCTION("IFERROR(VLOOKUP(C94,
IMPORTRANGE(""1wULbzX32WdYsx-lj2U3uUNBBe2INVIRDtcK0d-Dvl90"",
""26-27!C:K""),
8,
FALSE),
"""")"),2.0)</f>
        <v>2</v>
      </c>
      <c r="I94" s="117" t="s">
        <v>344</v>
      </c>
      <c r="J94" s="9">
        <f>IFERROR(SUM(
IF('TL01'!$B$3=J$3,SUMIF('TL01'!$C$10:$C$224,$C94,'TL01'!$J$10:$J$224),0),
IF('TL01'!$B$229=J$3,SUMIF('TL01'!$C$238:$C$451,$C94,'TL01'!$J$238:$J$451),0),
IF('TL02'!$B$3=J$3,SUMIF('TL02'!$C$10:$C$224,$C94,'TL02'!$J$10:$J$224),0),
IF('TL02'!$B$229=J$3,SUMIF('TL02'!$C$238:$C$451,$C94,'TL02'!$J$238:$J$451),0),
IF('TL03'!$B$3=J$3,SUMIF('TL03'!$C$10:$C$224,$C94,'TL03'!$J$10:$J$224),0),
IF('TL03'!$B$229=J$3,SUMIF('TL03'!$C$238:$C$451,$C94,'TL03'!$J$238:$J$451),0),
IF('TL04'!$B$3=J$3,SUMIF('TL04'!$C$10:$C$224,$C94,'TL04'!$J$10:$J$224),0),
IF('TL04'!$B$229=J$3,SUMIF('TL04'!$C$238:$C$451,$C94,'TL04'!$J$238:$J$451),0),
IF('TL05'!$B$3=J$3,SUMIF('TL05'!$C$10:$C$224,$C94,'TL05'!$J$10:$J$224),0),
IF('TL05'!$B$229=J$3,SUMIF('TL05'!$C$238:$C$451,$C94,'TL05'!$J$238:$J$451),0),
IF('TL06'!$B$3=J$3,SUMIF('TL06'!$C$10:$C$224,$C94,'TL06'!$J$10:$J$224),0),
IF('TL06'!$B$229=J$3,SUMIF('TL06'!$C$238:$C$451,$C94,'TL06'!$J$238:$J$451),0),
IF('TL07'!$B$3=J$3,SUMIF('TL07'!$C$10:$C$224,$C94,'TL07'!$J$10:$J$224),0),
IF('TL07'!$B$229=J$3,SUMIF('TL07'!$C$238:$C$451,$C94,'TL07'!$J$238:$J$451),0),
IF('TL08'!$B$3=J$3,SUMIF('TL08'!$C$10:$C$224,$C94,'TL08'!$J$10:$J$224),0),
IF('TL08'!$B$229=J$3,SUMIF('TL08'!$C$238:$C$451,$C94,'TL08'!$J$238:$J$451),0),
IF('TL09'!$B$3=J$3,SUMIF('TL09'!$C$10:$C$224,$C94,'TL09'!$J$10:$J$224),0),
IF('TL09'!$B$229=J$3,SUMIF('TL09'!$C$238:$C$451,$C94,'TL09'!$J$238:$J$451),0),
IF('TL10'!$B$3=J$3,SUMIF('TL10'!$C$10:$C$224,$C94,'TL10'!$J$10:$J$224),0),
IF('TL10'!$B$229=J$3,SUMIF('TL10'!$C$238:$C$451,$C94,'TL10'!$J$238:$J$451),0),
IF('TL11'!$B$3=J$3,SUMIF('TL11'!$C$10:$C$224,$C94,'TL11'!$J$10:$J$224),0),
IF('TL11'!$B$229=J$3,SUMIF('TL11'!$C$238:$C$451,$C94,'TL11'!$J$238:$J$451),0),
IF('TL12'!$B$3=J$3,SUMIF('TL12'!$C$10:$C$224,$C94,'TL12'!$J$10:$J$224),0),
IF('TL12'!$B$229=J$3,SUMIF('TL12'!$C$238:$C$451,$C94,'TL12'!$J$238:$J$451),0),
IF('TL13'!$B$3=J$3,SUMIF('TL13'!$C$10:$C$224,$C94,'TL13'!$J$10:$J$224),0),
IF('TL13'!$B$229=J$3,SUMIF('TL13'!$C$238:$C$451,$C94,'TL13'!$J$238:$J$451),0),
IF('TL14'!$B$3=J$3,SUMIF('TL14'!$C$10:$C$224,$C94,'TL14'!$J$10:$J$224),0),
IF('TL14'!$B$229=J$3,SUMIF('TL14'!$C$238:$C$451,$C94,'TL14'!$J$238:$J$451),0),
IF('TL15'!$B$3=J$3,SUMIF('TL15'!$C$10:$C$224,$C94,'TL15'!$J$10:$J$224),0),
IF('TL15'!$B$229=J$3,SUMIF('TL15'!$C$238:$C$451,$C94,'TL15'!$J$238:$J$451),0),
IF('TL16'!$B$3=J$3,SUMIF('TL16'!$C$10:$C$224,$C94,'TL16'!$J$10:$J$224),0),
IF('TL16'!$B$229=J$3,SUMIF('TL16'!$C$238:$C$451,$C94,'TL16'!$J$238:$J$451),0),
IF('TL17'!$B$3=J$3,SUMIF('TL17'!$C$10:$C$224,$C94,'TL17'!$J$10:$J$224),0),
IF('TL17'!$B$229=J$3,SUMIF('TL17'!$C$238:$C$451,$C94,'TL17'!$J$238:$J$451),0),
IF('TL18'!$B$3=J$3,SUMIF('TL18'!$C$10:$C$224,$C94,'TL18'!$J$10:$J$224),0),
IF('TL18'!$B$229=J$3,SUMIF('TL18'!$C$238:$C$451,$C94,'TL18'!$J$238:$J$451),0),
IF('TL19'!$B$3=J$3,SUMIF('TL19'!$C$10:$C$224,$C94,'TL19'!$J$10:$J$224),0),
IF('TL19'!$B$229=J$3,SUMIF('TL19'!$C$238:$C$451,$C94,'TL19'!$J$238:$J$451),0)
),0)</f>
        <v>0</v>
      </c>
      <c r="K94" s="9">
        <f>IFERROR(SUM(
IF('TL01'!$B$3=K$3,SUMIF('TL01'!$C$10:$C$224,$C94,'TL01'!$J$10:$J$224),0),
IF('TL01'!$B$229=K$3,SUMIF('TL01'!$C$238:$C$451,$C94,'TL01'!$J$238:$J$451),0),
IF('TL02'!$B$3=K$3,SUMIF('TL02'!$C$10:$C$224,$C94,'TL02'!$J$10:$J$224),0),
IF('TL02'!$B$229=K$3,SUMIF('TL02'!$C$238:$C$451,$C94,'TL02'!$J$238:$J$451),0),
IF('TL03'!$B$3=K$3,SUMIF('TL03'!$C$10:$C$224,$C94,'TL03'!$J$10:$J$224),0),
IF('TL03'!$B$229=K$3,SUMIF('TL03'!$C$238:$C$451,$C94,'TL03'!$J$238:$J$451),0),
IF('TL04'!$B$3=K$3,SUMIF('TL04'!$C$10:$C$224,$C94,'TL04'!$J$10:$J$224),0),
IF('TL04'!$B$229=K$3,SUMIF('TL04'!$C$238:$C$451,$C94,'TL04'!$J$238:$J$451),0),
IF('TL05'!$B$3=K$3,SUMIF('TL05'!$C$10:$C$224,$C94,'TL05'!$J$10:$J$224),0),
IF('TL05'!$B$229=K$3,SUMIF('TL05'!$C$238:$C$451,$C94,'TL05'!$J$238:$J$451),0),
IF('TL06'!$B$3=K$3,SUMIF('TL06'!$C$10:$C$224,$C94,'TL06'!$J$10:$J$224),0),
IF('TL06'!$B$229=K$3,SUMIF('TL06'!$C$238:$C$451,$C94,'TL06'!$J$238:$J$451),0),
IF('TL07'!$B$3=K$3,SUMIF('TL07'!$C$10:$C$224,$C94,'TL07'!$J$10:$J$224),0),
IF('TL07'!$B$229=K$3,SUMIF('TL07'!$C$238:$C$451,$C94,'TL07'!$J$238:$J$451),0),
IF('TL08'!$B$3=K$3,SUMIF('TL08'!$C$10:$C$224,$C94,'TL08'!$J$10:$J$224),0),
IF('TL08'!$B$229=K$3,SUMIF('TL08'!$C$238:$C$451,$C94,'TL08'!$J$238:$J$451),0),
IF('TL09'!$B$3=K$3,SUMIF('TL09'!$C$10:$C$224,$C94,'TL09'!$J$10:$J$224),0),
IF('TL09'!$B$229=K$3,SUMIF('TL09'!$C$238:$C$451,$C94,'TL09'!$J$238:$J$451),0),
IF('TL10'!$B$3=K$3,SUMIF('TL10'!$C$10:$C$224,$C94,'TL10'!$J$10:$J$224),0),
IF('TL10'!$B$229=K$3,SUMIF('TL10'!$C$238:$C$451,$C94,'TL10'!$J$238:$J$451),0),
IF('TL11'!$B$3=K$3,SUMIF('TL11'!$C$10:$C$224,$C94,'TL11'!$J$10:$J$224),0),
IF('TL11'!$B$229=K$3,SUMIF('TL11'!$C$238:$C$451,$C94,'TL11'!$J$238:$J$451),0),
IF('TL12'!$B$3=K$3,SUMIF('TL12'!$C$10:$C$224,$C94,'TL12'!$J$10:$J$224),0),
IF('TL12'!$B$229=K$3,SUMIF('TL12'!$C$238:$C$451,$C94,'TL12'!$J$238:$J$451),0),
IF('TL13'!$B$3=K$3,SUMIF('TL13'!$C$10:$C$224,$C94,'TL13'!$J$10:$J$224),0),
IF('TL13'!$B$229=K$3,SUMIF('TL13'!$C$238:$C$451,$C94,'TL13'!$J$238:$J$451),0),
IF('TL14'!$B$3=K$3,SUMIF('TL14'!$C$10:$C$224,$C94,'TL14'!$J$10:$J$224),0),
IF('TL14'!$B$229=K$3,SUMIF('TL14'!$C$238:$C$451,$C94,'TL14'!$J$238:$J$451),0),
IF('TL15'!$B$3=K$3,SUMIF('TL15'!$C$10:$C$224,$C94,'TL15'!$J$10:$J$224),0),
IF('TL15'!$B$229=K$3,SUMIF('TL15'!$C$238:$C$451,$C94,'TL15'!$J$238:$J$451),0),
IF('TL16'!$B$3=K$3,SUMIF('TL16'!$C$10:$C$224,$C94,'TL16'!$J$10:$J$224),0),
IF('TL16'!$B$229=K$3,SUMIF('TL16'!$C$238:$C$451,$C94,'TL16'!$J$238:$J$451),0),
IF('TL17'!$B$3=K$3,SUMIF('TL17'!$C$10:$C$224,$C94,'TL17'!$J$10:$J$224),0),
IF('TL17'!$B$229=K$3,SUMIF('TL17'!$C$238:$C$451,$C94,'TL17'!$J$238:$J$451),0),
IF('TL18'!$B$3=K$3,SUMIF('TL18'!$C$10:$C$224,$C94,'TL18'!$J$10:$J$224),0),
IF('TL18'!$B$229=K$3,SUMIF('TL18'!$C$238:$C$451,$C94,'TL18'!$J$238:$J$451),0),
IF('TL19'!$B$3=K$3,SUMIF('TL19'!$C$10:$C$224,$C94,'TL19'!$J$10:$J$224),0),
IF('TL19'!$B$229=K$3,SUMIF('TL19'!$C$238:$C$451,$C94,'TL19'!$J$238:$J$451),0)
),0)</f>
        <v>0</v>
      </c>
      <c r="L94" s="9">
        <f>IFERROR(SUM(
IF('TL01'!$B$3=L$3,SUMIF('TL01'!$C$10:$C$224,$C94,'TL01'!$J$10:$J$224),0),
IF('TL01'!$B$229=L$3,SUMIF('TL01'!$C$238:$C$451,$C94,'TL01'!$J$238:$J$451),0),
IF('TL02'!$B$3=L$3,SUMIF('TL02'!$C$10:$C$224,$C94,'TL02'!$J$10:$J$224),0),
IF('TL02'!$B$229=L$3,SUMIF('TL02'!$C$238:$C$451,$C94,'TL02'!$J$238:$J$451),0),
IF('TL03'!$B$3=L$3,SUMIF('TL03'!$C$10:$C$224,$C94,'TL03'!$J$10:$J$224),0),
IF('TL03'!$B$229=L$3,SUMIF('TL03'!$C$238:$C$451,$C94,'TL03'!$J$238:$J$451),0),
IF('TL04'!$B$3=L$3,SUMIF('TL04'!$C$10:$C$224,$C94,'TL04'!$J$10:$J$224),0),
IF('TL04'!$B$229=L$3,SUMIF('TL04'!$C$238:$C$451,$C94,'TL04'!$J$238:$J$451),0),
IF('TL05'!$B$3=L$3,SUMIF('TL05'!$C$10:$C$224,$C94,'TL05'!$J$10:$J$224),0),
IF('TL05'!$B$229=L$3,SUMIF('TL05'!$C$238:$C$451,$C94,'TL05'!$J$238:$J$451),0),
IF('TL06'!$B$3=L$3,SUMIF('TL06'!$C$10:$C$224,$C94,'TL06'!$J$10:$J$224),0),
IF('TL06'!$B$229=L$3,SUMIF('TL06'!$C$238:$C$451,$C94,'TL06'!$J$238:$J$451),0),
IF('TL07'!$B$3=L$3,SUMIF('TL07'!$C$10:$C$224,$C94,'TL07'!$J$10:$J$224),0),
IF('TL07'!$B$229=L$3,SUMIF('TL07'!$C$238:$C$451,$C94,'TL07'!$J$238:$J$451),0),
IF('TL08'!$B$3=L$3,SUMIF('TL08'!$C$10:$C$224,$C94,'TL08'!$J$10:$J$224),0),
IF('TL08'!$B$229=L$3,SUMIF('TL08'!$C$238:$C$451,$C94,'TL08'!$J$238:$J$451),0),
IF('TL09'!$B$3=L$3,SUMIF('TL09'!$C$10:$C$224,$C94,'TL09'!$J$10:$J$224),0),
IF('TL09'!$B$229=L$3,SUMIF('TL09'!$C$238:$C$451,$C94,'TL09'!$J$238:$J$451),0),
IF('TL10'!$B$3=L$3,SUMIF('TL10'!$C$10:$C$224,$C94,'TL10'!$J$10:$J$224),0),
IF('TL10'!$B$229=L$3,SUMIF('TL10'!$C$238:$C$451,$C94,'TL10'!$J$238:$J$451),0),
IF('TL11'!$B$3=L$3,SUMIF('TL11'!$C$10:$C$224,$C94,'TL11'!$J$10:$J$224),0),
IF('TL11'!$B$229=L$3,SUMIF('TL11'!$C$238:$C$451,$C94,'TL11'!$J$238:$J$451),0),
IF('TL12'!$B$3=L$3,SUMIF('TL12'!$C$10:$C$224,$C94,'TL12'!$J$10:$J$224),0),
IF('TL12'!$B$229=L$3,SUMIF('TL12'!$C$238:$C$451,$C94,'TL12'!$J$238:$J$451),0),
IF('TL13'!$B$3=L$3,SUMIF('TL13'!$C$10:$C$224,$C94,'TL13'!$J$10:$J$224),0),
IF('TL13'!$B$229=L$3,SUMIF('TL13'!$C$238:$C$451,$C94,'TL13'!$J$238:$J$451),0),
IF('TL14'!$B$3=L$3,SUMIF('TL14'!$C$10:$C$224,$C94,'TL14'!$J$10:$J$224),0),
IF('TL14'!$B$229=L$3,SUMIF('TL14'!$C$238:$C$451,$C94,'TL14'!$J$238:$J$451),0),
IF('TL15'!$B$3=L$3,SUMIF('TL15'!$C$10:$C$224,$C94,'TL15'!$J$10:$J$224),0),
IF('TL15'!$B$229=L$3,SUMIF('TL15'!$C$238:$C$451,$C94,'TL15'!$J$238:$J$451),0),
IF('TL16'!$B$3=L$3,SUMIF('TL16'!$C$10:$C$224,$C94,'TL16'!$J$10:$J$224),0),
IF('TL16'!$B$229=L$3,SUMIF('TL16'!$C$238:$C$451,$C94,'TL16'!$J$238:$J$451),0),
IF('TL17'!$B$3=L$3,SUMIF('TL17'!$C$10:$C$224,$C94,'TL17'!$J$10:$J$224),0),
IF('TL17'!$B$229=L$3,SUMIF('TL17'!$C$238:$C$451,$C94,'TL17'!$J$238:$J$451),0),
IF('TL18'!$B$3=L$3,SUMIF('TL18'!$C$10:$C$224,$C94,'TL18'!$J$10:$J$224),0),
IF('TL18'!$B$229=L$3,SUMIF('TL18'!$C$238:$C$451,$C94,'TL18'!$J$238:$J$451),0),
IF('TL19'!$B$3=L$3,SUMIF('TL19'!$C$10:$C$224,$C94,'TL19'!$J$10:$J$224),0),
IF('TL19'!$B$229=L$3,SUMIF('TL19'!$C$238:$C$451,$C94,'TL19'!$J$238:$J$451),0)
),0)</f>
        <v>0</v>
      </c>
      <c r="M94" s="9">
        <f>IFERROR(SUM(
IF('TL01'!$B$3=M$3,SUMIF('TL01'!$C$10:$C$224,$C94,'TL01'!$J$10:$J$224),0),
IF('TL01'!$B$229=M$3,SUMIF('TL01'!$C$238:$C$451,$C94,'TL01'!$J$238:$J$451),0),
IF('TL02'!$B$3=M$3,SUMIF('TL02'!$C$10:$C$224,$C94,'TL02'!$J$10:$J$224),0),
IF('TL02'!$B$229=M$3,SUMIF('TL02'!$C$238:$C$451,$C94,'TL02'!$J$238:$J$451),0),
IF('TL03'!$B$3=M$3,SUMIF('TL03'!$C$10:$C$224,$C94,'TL03'!$J$10:$J$224),0),
IF('TL03'!$B$229=M$3,SUMIF('TL03'!$C$238:$C$451,$C94,'TL03'!$J$238:$J$451),0),
IF('TL04'!$B$3=M$3,SUMIF('TL04'!$C$10:$C$224,$C94,'TL04'!$J$10:$J$224),0),
IF('TL04'!$B$229=M$3,SUMIF('TL04'!$C$238:$C$451,$C94,'TL04'!$J$238:$J$451),0),
IF('TL05'!$B$3=M$3,SUMIF('TL05'!$C$10:$C$224,$C94,'TL05'!$J$10:$J$224),0),
IF('TL05'!$B$229=M$3,SUMIF('TL05'!$C$238:$C$451,$C94,'TL05'!$J$238:$J$451),0),
IF('TL06'!$B$3=M$3,SUMIF('TL06'!$C$10:$C$224,$C94,'TL06'!$J$10:$J$224),0),
IF('TL06'!$B$229=M$3,SUMIF('TL06'!$C$238:$C$451,$C94,'TL06'!$J$238:$J$451),0),
IF('TL07'!$B$3=M$3,SUMIF('TL07'!$C$10:$C$224,$C94,'TL07'!$J$10:$J$224),0),
IF('TL07'!$B$229=M$3,SUMIF('TL07'!$C$238:$C$451,$C94,'TL07'!$J$238:$J$451),0),
IF('TL08'!$B$3=M$3,SUMIF('TL08'!$C$10:$C$224,$C94,'TL08'!$J$10:$J$224),0),
IF('TL08'!$B$229=M$3,SUMIF('TL08'!$C$238:$C$451,$C94,'TL08'!$J$238:$J$451),0),
IF('TL09'!$B$3=M$3,SUMIF('TL09'!$C$10:$C$224,$C94,'TL09'!$J$10:$J$224),0),
IF('TL09'!$B$229=M$3,SUMIF('TL09'!$C$238:$C$451,$C94,'TL09'!$J$238:$J$451),0),
IF('TL10'!$B$3=M$3,SUMIF('TL10'!$C$10:$C$224,$C94,'TL10'!$J$10:$J$224),0),
IF('TL10'!$B$229=M$3,SUMIF('TL10'!$C$238:$C$451,$C94,'TL10'!$J$238:$J$451),0),
IF('TL11'!$B$3=M$3,SUMIF('TL11'!$C$10:$C$224,$C94,'TL11'!$J$10:$J$224),0),
IF('TL11'!$B$229=M$3,SUMIF('TL11'!$C$238:$C$451,$C94,'TL11'!$J$238:$J$451),0),
IF('TL12'!$B$3=M$3,SUMIF('TL12'!$C$10:$C$224,$C94,'TL12'!$J$10:$J$224),0),
IF('TL12'!$B$229=M$3,SUMIF('TL12'!$C$238:$C$451,$C94,'TL12'!$J$238:$J$451),0),
IF('TL13'!$B$3=M$3,SUMIF('TL13'!$C$10:$C$224,$C94,'TL13'!$J$10:$J$224),0),
IF('TL13'!$B$229=M$3,SUMIF('TL13'!$C$238:$C$451,$C94,'TL13'!$J$238:$J$451),0),
IF('TL14'!$B$3=M$3,SUMIF('TL14'!$C$10:$C$224,$C94,'TL14'!$J$10:$J$224),0),
IF('TL14'!$B$229=M$3,SUMIF('TL14'!$C$238:$C$451,$C94,'TL14'!$J$238:$J$451),0),
IF('TL15'!$B$3=M$3,SUMIF('TL15'!$C$10:$C$224,$C94,'TL15'!$J$10:$J$224),0),
IF('TL15'!$B$229=M$3,SUMIF('TL15'!$C$238:$C$451,$C94,'TL15'!$J$238:$J$451),0),
IF('TL16'!$B$3=M$3,SUMIF('TL16'!$C$10:$C$224,$C94,'TL16'!$J$10:$J$224),0),
IF('TL16'!$B$229=M$3,SUMIF('TL16'!$C$238:$C$451,$C94,'TL16'!$J$238:$J$451),0),
IF('TL17'!$B$3=M$3,SUMIF('TL17'!$C$10:$C$224,$C94,'TL17'!$J$10:$J$224),0),
IF('TL17'!$B$229=M$3,SUMIF('TL17'!$C$238:$C$451,$C94,'TL17'!$J$238:$J$451),0),
IF('TL18'!$B$3=M$3,SUMIF('TL18'!$C$10:$C$224,$C94,'TL18'!$J$10:$J$224),0),
IF('TL18'!$B$229=M$3,SUMIF('TL18'!$C$238:$C$451,$C94,'TL18'!$J$238:$J$451),0),
IF('TL19'!$B$3=M$3,SUMIF('TL19'!$C$10:$C$224,$C94,'TL19'!$J$10:$J$224),0),
IF('TL19'!$B$229=M$3,SUMIF('TL19'!$C$238:$C$451,$C94,'TL19'!$J$238:$J$451),0)
),0)</f>
        <v>0</v>
      </c>
      <c r="N94" s="9">
        <f>IFERROR(SUM(
IF('TL01'!$B$3=N$3,SUMIF('TL01'!$C$10:$C$224,$C94,'TL01'!$J$10:$J$224),0),
IF('TL01'!$B$229=N$3,SUMIF('TL01'!$C$238:$C$451,$C94,'TL01'!$J$238:$J$451),0),
IF('TL02'!$B$3=N$3,SUMIF('TL02'!$C$10:$C$224,$C94,'TL02'!$J$10:$J$224),0),
IF('TL02'!$B$229=N$3,SUMIF('TL02'!$C$238:$C$451,$C94,'TL02'!$J$238:$J$451),0),
IF('TL03'!$B$3=N$3,SUMIF('TL03'!$C$10:$C$224,$C94,'TL03'!$J$10:$J$224),0),
IF('TL03'!$B$229=N$3,SUMIF('TL03'!$C$238:$C$451,$C94,'TL03'!$J$238:$J$451),0),
IF('TL04'!$B$3=N$3,SUMIF('TL04'!$C$10:$C$224,$C94,'TL04'!$J$10:$J$224),0),
IF('TL04'!$B$229=N$3,SUMIF('TL04'!$C$238:$C$451,$C94,'TL04'!$J$238:$J$451),0),
IF('TL05'!$B$3=N$3,SUMIF('TL05'!$C$10:$C$224,$C94,'TL05'!$J$10:$J$224),0),
IF('TL05'!$B$229=N$3,SUMIF('TL05'!$C$238:$C$451,$C94,'TL05'!$J$238:$J$451),0),
IF('TL06'!$B$3=N$3,SUMIF('TL06'!$C$10:$C$224,$C94,'TL06'!$J$10:$J$224),0),
IF('TL06'!$B$229=N$3,SUMIF('TL06'!$C$238:$C$451,$C94,'TL06'!$J$238:$J$451),0),
IF('TL07'!$B$3=N$3,SUMIF('TL07'!$C$10:$C$224,$C94,'TL07'!$J$10:$J$224),0),
IF('TL07'!$B$229=N$3,SUMIF('TL07'!$C$238:$C$451,$C94,'TL07'!$J$238:$J$451),0),
IF('TL08'!$B$3=N$3,SUMIF('TL08'!$C$10:$C$224,$C94,'TL08'!$J$10:$J$224),0),
IF('TL08'!$B$229=N$3,SUMIF('TL08'!$C$238:$C$451,$C94,'TL08'!$J$238:$J$451),0),
IF('TL09'!$B$3=N$3,SUMIF('TL09'!$C$10:$C$224,$C94,'TL09'!$J$10:$J$224),0),
IF('TL09'!$B$229=N$3,SUMIF('TL09'!$C$238:$C$451,$C94,'TL09'!$J$238:$J$451),0),
IF('TL10'!$B$3=N$3,SUMIF('TL10'!$C$10:$C$224,$C94,'TL10'!$J$10:$J$224),0),
IF('TL10'!$B$229=N$3,SUMIF('TL10'!$C$238:$C$451,$C94,'TL10'!$J$238:$J$451),0),
IF('TL11'!$B$3=N$3,SUMIF('TL11'!$C$10:$C$224,$C94,'TL11'!$J$10:$J$224),0),
IF('TL11'!$B$229=N$3,SUMIF('TL11'!$C$238:$C$451,$C94,'TL11'!$J$238:$J$451),0),
IF('TL12'!$B$3=N$3,SUMIF('TL12'!$C$10:$C$224,$C94,'TL12'!$J$10:$J$224),0),
IF('TL12'!$B$229=N$3,SUMIF('TL12'!$C$238:$C$451,$C94,'TL12'!$J$238:$J$451),0),
IF('TL13'!$B$3=N$3,SUMIF('TL13'!$C$10:$C$224,$C94,'TL13'!$J$10:$J$224),0),
IF('TL13'!$B$229=N$3,SUMIF('TL13'!$C$238:$C$451,$C94,'TL13'!$J$238:$J$451),0),
IF('TL14'!$B$3=N$3,SUMIF('TL14'!$C$10:$C$224,$C94,'TL14'!$J$10:$J$224),0),
IF('TL14'!$B$229=N$3,SUMIF('TL14'!$C$238:$C$451,$C94,'TL14'!$J$238:$J$451),0),
IF('TL15'!$B$3=N$3,SUMIF('TL15'!$C$10:$C$224,$C94,'TL15'!$J$10:$J$224),0),
IF('TL15'!$B$229=N$3,SUMIF('TL15'!$C$238:$C$451,$C94,'TL15'!$J$238:$J$451),0),
IF('TL16'!$B$3=N$3,SUMIF('TL16'!$C$10:$C$224,$C94,'TL16'!$J$10:$J$224),0),
IF('TL16'!$B$229=N$3,SUMIF('TL16'!$C$238:$C$451,$C94,'TL16'!$J$238:$J$451),0),
IF('TL17'!$B$3=N$3,SUMIF('TL17'!$C$10:$C$224,$C94,'TL17'!$J$10:$J$224),0),
IF('TL17'!$B$229=N$3,SUMIF('TL17'!$C$238:$C$451,$C94,'TL17'!$J$238:$J$451),0),
IF('TL18'!$B$3=N$3,SUMIF('TL18'!$C$10:$C$224,$C94,'TL18'!$J$10:$J$224),0),
IF('TL18'!$B$229=N$3,SUMIF('TL18'!$C$238:$C$451,$C94,'TL18'!$J$238:$J$451),0),
IF('TL19'!$B$3=N$3,SUMIF('TL19'!$C$10:$C$224,$C94,'TL19'!$J$10:$J$224),0),
IF('TL19'!$B$229=N$3,SUMIF('TL19'!$C$238:$C$451,$C94,'TL19'!$J$238:$J$451),0)
),0)</f>
        <v>0</v>
      </c>
      <c r="O94" s="9">
        <f>IFERROR(SUM(
IF('TL01'!$B$3=O$3,SUMIF('TL01'!$C$10:$C$224,$C94,'TL01'!$J$10:$J$224),0),
IF('TL01'!$B$229=O$3,SUMIF('TL01'!$C$238:$C$451,$C94,'TL01'!$J$238:$J$451),0),
IF('TL02'!$B$3=O$3,SUMIF('TL02'!$C$10:$C$224,$C94,'TL02'!$J$10:$J$224),0),
IF('TL02'!$B$229=O$3,SUMIF('TL02'!$C$238:$C$451,$C94,'TL02'!$J$238:$J$451),0),
IF('TL03'!$B$3=O$3,SUMIF('TL03'!$C$10:$C$224,$C94,'TL03'!$J$10:$J$224),0),
IF('TL03'!$B$229=O$3,SUMIF('TL03'!$C$238:$C$451,$C94,'TL03'!$J$238:$J$451),0),
IF('TL04'!$B$3=O$3,SUMIF('TL04'!$C$10:$C$224,$C94,'TL04'!$J$10:$J$224),0),
IF('TL04'!$B$229=O$3,SUMIF('TL04'!$C$238:$C$451,$C94,'TL04'!$J$238:$J$451),0),
IF('TL05'!$B$3=O$3,SUMIF('TL05'!$C$10:$C$224,$C94,'TL05'!$J$10:$J$224),0),
IF('TL05'!$B$229=O$3,SUMIF('TL05'!$C$238:$C$451,$C94,'TL05'!$J$238:$J$451),0),
IF('TL06'!$B$3=O$3,SUMIF('TL06'!$C$10:$C$224,$C94,'TL06'!$J$10:$J$224),0),
IF('TL06'!$B$229=O$3,SUMIF('TL06'!$C$238:$C$451,$C94,'TL06'!$J$238:$J$451),0),
IF('TL07'!$B$3=O$3,SUMIF('TL07'!$C$10:$C$224,$C94,'TL07'!$J$10:$J$224),0),
IF('TL07'!$B$229=O$3,SUMIF('TL07'!$C$238:$C$451,$C94,'TL07'!$J$238:$J$451),0),
IF('TL08'!$B$3=O$3,SUMIF('TL08'!$C$10:$C$224,$C94,'TL08'!$J$10:$J$224),0),
IF('TL08'!$B$229=O$3,SUMIF('TL08'!$C$238:$C$451,$C94,'TL08'!$J$238:$J$451),0),
IF('TL09'!$B$3=O$3,SUMIF('TL09'!$C$10:$C$224,$C94,'TL09'!$J$10:$J$224),0),
IF('TL09'!$B$229=O$3,SUMIF('TL09'!$C$238:$C$451,$C94,'TL09'!$J$238:$J$451),0),
IF('TL10'!$B$3=O$3,SUMIF('TL10'!$C$10:$C$224,$C94,'TL10'!$J$10:$J$224),0),
IF('TL10'!$B$229=O$3,SUMIF('TL10'!$C$238:$C$451,$C94,'TL10'!$J$238:$J$451),0),
IF('TL11'!$B$3=O$3,SUMIF('TL11'!$C$10:$C$224,$C94,'TL11'!$J$10:$J$224),0),
IF('TL11'!$B$229=O$3,SUMIF('TL11'!$C$238:$C$451,$C94,'TL11'!$J$238:$J$451),0),
IF('TL12'!$B$3=O$3,SUMIF('TL12'!$C$10:$C$224,$C94,'TL12'!$J$10:$J$224),0),
IF('TL12'!$B$229=O$3,SUMIF('TL12'!$C$238:$C$451,$C94,'TL12'!$J$238:$J$451),0),
IF('TL13'!$B$3=O$3,SUMIF('TL13'!$C$10:$C$224,$C94,'TL13'!$J$10:$J$224),0),
IF('TL13'!$B$229=O$3,SUMIF('TL13'!$C$238:$C$451,$C94,'TL13'!$J$238:$J$451),0),
IF('TL14'!$B$3=O$3,SUMIF('TL14'!$C$10:$C$224,$C94,'TL14'!$J$10:$J$224),0),
IF('TL14'!$B$229=O$3,SUMIF('TL14'!$C$238:$C$451,$C94,'TL14'!$J$238:$J$451),0),
IF('TL15'!$B$3=O$3,SUMIF('TL15'!$C$10:$C$224,$C94,'TL15'!$J$10:$J$224),0),
IF('TL15'!$B$229=O$3,SUMIF('TL15'!$C$238:$C$451,$C94,'TL15'!$J$238:$J$451),0),
IF('TL16'!$B$3=O$3,SUMIF('TL16'!$C$10:$C$224,$C94,'TL16'!$J$10:$J$224),0),
IF('TL16'!$B$229=O$3,SUMIF('TL16'!$C$238:$C$451,$C94,'TL16'!$J$238:$J$451),0),
IF('TL17'!$B$3=O$3,SUMIF('TL17'!$C$10:$C$224,$C94,'TL17'!$J$10:$J$224),0),
IF('TL17'!$B$229=O$3,SUMIF('TL17'!$C$238:$C$451,$C94,'TL17'!$J$238:$J$451),0),
IF('TL18'!$B$3=O$3,SUMIF('TL18'!$C$10:$C$224,$C94,'TL18'!$J$10:$J$224),0),
IF('TL18'!$B$229=O$3,SUMIF('TL18'!$C$238:$C$451,$C94,'TL18'!$J$238:$J$451),0),
IF('TL19'!$B$3=O$3,SUMIF('TL19'!$C$10:$C$224,$C94,'TL19'!$J$10:$J$224),0),
IF('TL19'!$B$229=O$3,SUMIF('TL19'!$C$238:$C$451,$C94,'TL19'!$J$238:$J$451),0)
),0)</f>
        <v>0</v>
      </c>
      <c r="P94" s="9">
        <f>IFERROR(SUM(
IF('TL01'!$B$3=P$3,SUMIF('TL01'!$C$10:$C$224,$C94,'TL01'!$J$10:$J$224),0),
IF('TL01'!$B$229=P$3,SUMIF('TL01'!$C$238:$C$451,$C94,'TL01'!$J$238:$J$451),0),
IF('TL02'!$B$3=P$3,SUMIF('TL02'!$C$10:$C$224,$C94,'TL02'!$J$10:$J$224),0),
IF('TL02'!$B$229=P$3,SUMIF('TL02'!$C$238:$C$451,$C94,'TL02'!$J$238:$J$451),0),
IF('TL03'!$B$3=P$3,SUMIF('TL03'!$C$10:$C$224,$C94,'TL03'!$J$10:$J$224),0),
IF('TL03'!$B$229=P$3,SUMIF('TL03'!$C$238:$C$451,$C94,'TL03'!$J$238:$J$451),0),
IF('TL04'!$B$3=P$3,SUMIF('TL04'!$C$10:$C$224,$C94,'TL04'!$J$10:$J$224),0),
IF('TL04'!$B$229=P$3,SUMIF('TL04'!$C$238:$C$451,$C94,'TL04'!$J$238:$J$451),0),
IF('TL05'!$B$3=P$3,SUMIF('TL05'!$C$10:$C$224,$C94,'TL05'!$J$10:$J$224),0),
IF('TL05'!$B$229=P$3,SUMIF('TL05'!$C$238:$C$451,$C94,'TL05'!$J$238:$J$451),0),
IF('TL06'!$B$3=P$3,SUMIF('TL06'!$C$10:$C$224,$C94,'TL06'!$J$10:$J$224),0),
IF('TL06'!$B$229=P$3,SUMIF('TL06'!$C$238:$C$451,$C94,'TL06'!$J$238:$J$451),0),
IF('TL07'!$B$3=P$3,SUMIF('TL07'!$C$10:$C$224,$C94,'TL07'!$J$10:$J$224),0),
IF('TL07'!$B$229=P$3,SUMIF('TL07'!$C$238:$C$451,$C94,'TL07'!$J$238:$J$451),0),
IF('TL08'!$B$3=P$3,SUMIF('TL08'!$C$10:$C$224,$C94,'TL08'!$J$10:$J$224),0),
IF('TL08'!$B$229=P$3,SUMIF('TL08'!$C$238:$C$451,$C94,'TL08'!$J$238:$J$451),0),
IF('TL09'!$B$3=P$3,SUMIF('TL09'!$C$10:$C$224,$C94,'TL09'!$J$10:$J$224),0),
IF('TL09'!$B$229=P$3,SUMIF('TL09'!$C$238:$C$451,$C94,'TL09'!$J$238:$J$451),0),
IF('TL10'!$B$3=P$3,SUMIF('TL10'!$C$10:$C$224,$C94,'TL10'!$J$10:$J$224),0),
IF('TL10'!$B$229=P$3,SUMIF('TL10'!$C$238:$C$451,$C94,'TL10'!$J$238:$J$451),0),
IF('TL11'!$B$3=P$3,SUMIF('TL11'!$C$10:$C$224,$C94,'TL11'!$J$10:$J$224),0),
IF('TL11'!$B$229=P$3,SUMIF('TL11'!$C$238:$C$451,$C94,'TL11'!$J$238:$J$451),0),
IF('TL12'!$B$3=P$3,SUMIF('TL12'!$C$10:$C$224,$C94,'TL12'!$J$10:$J$224),0),
IF('TL12'!$B$229=P$3,SUMIF('TL12'!$C$238:$C$451,$C94,'TL12'!$J$238:$J$451),0),
IF('TL13'!$B$3=P$3,SUMIF('TL13'!$C$10:$C$224,$C94,'TL13'!$J$10:$J$224),0),
IF('TL13'!$B$229=P$3,SUMIF('TL13'!$C$238:$C$451,$C94,'TL13'!$J$238:$J$451),0),
IF('TL14'!$B$3=P$3,SUMIF('TL14'!$C$10:$C$224,$C94,'TL14'!$J$10:$J$224),0),
IF('TL14'!$B$229=P$3,SUMIF('TL14'!$C$238:$C$451,$C94,'TL14'!$J$238:$J$451),0),
IF('TL15'!$B$3=P$3,SUMIF('TL15'!$C$10:$C$224,$C94,'TL15'!$J$10:$J$224),0),
IF('TL15'!$B$229=P$3,SUMIF('TL15'!$C$238:$C$451,$C94,'TL15'!$J$238:$J$451),0),
IF('TL16'!$B$3=P$3,SUMIF('TL16'!$C$10:$C$224,$C94,'TL16'!$J$10:$J$224),0),
IF('TL16'!$B$229=P$3,SUMIF('TL16'!$C$238:$C$451,$C94,'TL16'!$J$238:$J$451),0),
IF('TL17'!$B$3=P$3,SUMIF('TL17'!$C$10:$C$224,$C94,'TL17'!$J$10:$J$224),0),
IF('TL17'!$B$229=P$3,SUMIF('TL17'!$C$238:$C$451,$C94,'TL17'!$J$238:$J$451),0),
IF('TL18'!$B$3=P$3,SUMIF('TL18'!$C$10:$C$224,$C94,'TL18'!$J$10:$J$224),0),
IF('TL18'!$B$229=P$3,SUMIF('TL18'!$C$238:$C$451,$C94,'TL18'!$J$238:$J$451),0),
IF('TL19'!$B$3=P$3,SUMIF('TL19'!$C$10:$C$224,$C94,'TL19'!$J$10:$J$224),0),
IF('TL19'!$B$229=P$3,SUMIF('TL19'!$C$238:$C$451,$C94,'TL19'!$J$238:$J$451),0)
),0)</f>
        <v>0</v>
      </c>
      <c r="Q94" s="9">
        <f>IFERROR(SUM(
IF('TL01'!$B$3=Q$3,SUMIF('TL01'!$C$10:$C$224,$C94,'TL01'!$J$10:$J$224),0),
IF('TL01'!$B$229=Q$3,SUMIF('TL01'!$C$238:$C$451,$C94,'TL01'!$J$238:$J$451),0),
IF('TL02'!$B$3=Q$3,SUMIF('TL02'!$C$10:$C$224,$C94,'TL02'!$J$10:$J$224),0),
IF('TL02'!$B$229=Q$3,SUMIF('TL02'!$C$238:$C$451,$C94,'TL02'!$J$238:$J$451),0),
IF('TL03'!$B$3=Q$3,SUMIF('TL03'!$C$10:$C$224,$C94,'TL03'!$J$10:$J$224),0),
IF('TL03'!$B$229=Q$3,SUMIF('TL03'!$C$238:$C$451,$C94,'TL03'!$J$238:$J$451),0),
IF('TL04'!$B$3=Q$3,SUMIF('TL04'!$C$10:$C$224,$C94,'TL04'!$J$10:$J$224),0),
IF('TL04'!$B$229=Q$3,SUMIF('TL04'!$C$238:$C$451,$C94,'TL04'!$J$238:$J$451),0),
IF('TL05'!$B$3=Q$3,SUMIF('TL05'!$C$10:$C$224,$C94,'TL05'!$J$10:$J$224),0),
IF('TL05'!$B$229=Q$3,SUMIF('TL05'!$C$238:$C$451,$C94,'TL05'!$J$238:$J$451),0),
IF('TL06'!$B$3=Q$3,SUMIF('TL06'!$C$10:$C$224,$C94,'TL06'!$J$10:$J$224),0),
IF('TL06'!$B$229=Q$3,SUMIF('TL06'!$C$238:$C$451,$C94,'TL06'!$J$238:$J$451),0),
IF('TL07'!$B$3=Q$3,SUMIF('TL07'!$C$10:$C$224,$C94,'TL07'!$J$10:$J$224),0),
IF('TL07'!$B$229=Q$3,SUMIF('TL07'!$C$238:$C$451,$C94,'TL07'!$J$238:$J$451),0),
IF('TL08'!$B$3=Q$3,SUMIF('TL08'!$C$10:$C$224,$C94,'TL08'!$J$10:$J$224),0),
IF('TL08'!$B$229=Q$3,SUMIF('TL08'!$C$238:$C$451,$C94,'TL08'!$J$238:$J$451),0),
IF('TL09'!$B$3=Q$3,SUMIF('TL09'!$C$10:$C$224,$C94,'TL09'!$J$10:$J$224),0),
IF('TL09'!$B$229=Q$3,SUMIF('TL09'!$C$238:$C$451,$C94,'TL09'!$J$238:$J$451),0),
IF('TL10'!$B$3=Q$3,SUMIF('TL10'!$C$10:$C$224,$C94,'TL10'!$J$10:$J$224),0),
IF('TL10'!$B$229=Q$3,SUMIF('TL10'!$C$238:$C$451,$C94,'TL10'!$J$238:$J$451),0),
IF('TL11'!$B$3=Q$3,SUMIF('TL11'!$C$10:$C$224,$C94,'TL11'!$J$10:$J$224),0),
IF('TL11'!$B$229=Q$3,SUMIF('TL11'!$C$238:$C$451,$C94,'TL11'!$J$238:$J$451),0),
IF('TL12'!$B$3=Q$3,SUMIF('TL12'!$C$10:$C$224,$C94,'TL12'!$J$10:$J$224),0),
IF('TL12'!$B$229=Q$3,SUMIF('TL12'!$C$238:$C$451,$C94,'TL12'!$J$238:$J$451),0),
IF('TL13'!$B$3=Q$3,SUMIF('TL13'!$C$10:$C$224,$C94,'TL13'!$J$10:$J$224),0),
IF('TL13'!$B$229=Q$3,SUMIF('TL13'!$C$238:$C$451,$C94,'TL13'!$J$238:$J$451),0),
IF('TL14'!$B$3=Q$3,SUMIF('TL14'!$C$10:$C$224,$C94,'TL14'!$J$10:$J$224),0),
IF('TL14'!$B$229=Q$3,SUMIF('TL14'!$C$238:$C$451,$C94,'TL14'!$J$238:$J$451),0),
IF('TL15'!$B$3=Q$3,SUMIF('TL15'!$C$10:$C$224,$C94,'TL15'!$J$10:$J$224),0),
IF('TL15'!$B$229=Q$3,SUMIF('TL15'!$C$238:$C$451,$C94,'TL15'!$J$238:$J$451),0),
IF('TL16'!$B$3=Q$3,SUMIF('TL16'!$C$10:$C$224,$C94,'TL16'!$J$10:$J$224),0),
IF('TL16'!$B$229=Q$3,SUMIF('TL16'!$C$238:$C$451,$C94,'TL16'!$J$238:$J$451),0),
IF('TL17'!$B$3=Q$3,SUMIF('TL17'!$C$10:$C$224,$C94,'TL17'!$J$10:$J$224),0),
IF('TL17'!$B$229=Q$3,SUMIF('TL17'!$C$238:$C$451,$C94,'TL17'!$J$238:$J$451),0),
IF('TL18'!$B$3=Q$3,SUMIF('TL18'!$C$10:$C$224,$C94,'TL18'!$J$10:$J$224),0),
IF('TL18'!$B$229=Q$3,SUMIF('TL18'!$C$238:$C$451,$C94,'TL18'!$J$238:$J$451),0),
IF('TL19'!$B$3=Q$3,SUMIF('TL19'!$C$10:$C$224,$C94,'TL19'!$J$10:$J$224),0),
IF('TL19'!$B$229=Q$3,SUMIF('TL19'!$C$238:$C$451,$C94,'TL19'!$J$238:$J$451),0)
),0)</f>
        <v>0</v>
      </c>
      <c r="R94" s="9">
        <f>IFERROR(
SUM(
SUMIF('TL01'!C:C,C94,'TL01'!J:J),
SUMIF('TL02'!C:C,C94,'TL02'!J:J),
SUMIF('TL03'!C:C,C94,'TL03'!J:J),
SUMIF('TL04'!C:C,C94,'TL04'!J:J),
SUMIF('TL05'!C:C,C94,'TL05'!J:J),
SUMIF('TL06'!C:C,C94,'TL06'!J:J),
SUMIF('TL07'!C:C,C94,'TL07'!J:J),
SUMIF('TL08'!C:C,C94,'TL08'!J:J),
SUMIF('TL09'!C:C,C94,'TL09'!J:J),
SUMIF('TL10'!C:C,C94,'TL10'!J:J),
SUMIF('TL11'!C:C,C94,'TL11'!J:J),
SUMIF('TL12'!C:C,C94,'TL12'!J:J),
SUMIF('TL13'!C:C,C94,'TL13'!J:J),
SUMIF('TL14'!C:C,C94,'TL14'!J:J),
SUMIF('TL15'!C:C,C94,'TL15'!J:J),
SUMIF('TL16'!C:C,C94,'TL16'!J:J),
SUMIF('TL17'!C:C,C94,'TL17'!J:J),
SUMIF('TL18'!C:C,C94,'TL18'!J:J),SUMIF('TL19'!C:C,C94,'TL19'!J:J))
,0)</f>
        <v>0</v>
      </c>
      <c r="S94" s="17">
        <f>IFERROR(__xludf.DUMMYFUNCTION("IFERROR(VLOOKUP(C94,
IMPORTRANGE(""1wULbzX32WdYsx-lj2U3uUNBBe2INVIRDtcK0d-Dvl90"",
""26-27!C:G""),
5,
FALSE),
"""")"),27.748800000000006)</f>
        <v>27.7488</v>
      </c>
      <c r="T94" s="9"/>
      <c r="U94" s="92">
        <f t="shared" si="2"/>
        <v>0</v>
      </c>
      <c r="V94" s="93">
        <f t="shared" si="3"/>
        <v>0</v>
      </c>
    </row>
    <row r="95" ht="15.75" hidden="1" customHeight="1">
      <c r="A95" s="111" t="s">
        <v>358</v>
      </c>
      <c r="B95" s="112" t="s">
        <v>0</v>
      </c>
      <c r="C95" s="113" t="s">
        <v>577</v>
      </c>
      <c r="D95" s="113" t="s">
        <v>578</v>
      </c>
      <c r="E95" s="113" t="s">
        <v>579</v>
      </c>
      <c r="F95" s="4" t="s">
        <v>392</v>
      </c>
      <c r="G95" s="90" t="str">
        <f t="shared" si="4"/>
        <v>📄 Ver bula</v>
      </c>
      <c r="H95" s="9">
        <f>IFERROR(__xludf.DUMMYFUNCTION("IFERROR(VLOOKUP(C95,
IMPORTRANGE(""1wULbzX32WdYsx-lj2U3uUNBBe2INVIRDtcK0d-Dvl90"",
""26-27!C:K""),
8,
FALSE),
"""")"),0.5)</f>
        <v>0.5</v>
      </c>
      <c r="I95" s="114" t="s">
        <v>344</v>
      </c>
      <c r="J95" s="9">
        <f>IFERROR(SUM(
IF('TL01'!$B$3=J$3,SUMIF('TL01'!$C$10:$C$224,$C95,'TL01'!$J$10:$J$224),0),
IF('TL01'!$B$229=J$3,SUMIF('TL01'!$C$238:$C$451,$C95,'TL01'!$J$238:$J$451),0),
IF('TL02'!$B$3=J$3,SUMIF('TL02'!$C$10:$C$224,$C95,'TL02'!$J$10:$J$224),0),
IF('TL02'!$B$229=J$3,SUMIF('TL02'!$C$238:$C$451,$C95,'TL02'!$J$238:$J$451),0),
IF('TL03'!$B$3=J$3,SUMIF('TL03'!$C$10:$C$224,$C95,'TL03'!$J$10:$J$224),0),
IF('TL03'!$B$229=J$3,SUMIF('TL03'!$C$238:$C$451,$C95,'TL03'!$J$238:$J$451),0),
IF('TL04'!$B$3=J$3,SUMIF('TL04'!$C$10:$C$224,$C95,'TL04'!$J$10:$J$224),0),
IF('TL04'!$B$229=J$3,SUMIF('TL04'!$C$238:$C$451,$C95,'TL04'!$J$238:$J$451),0),
IF('TL05'!$B$3=J$3,SUMIF('TL05'!$C$10:$C$224,$C95,'TL05'!$J$10:$J$224),0),
IF('TL05'!$B$229=J$3,SUMIF('TL05'!$C$238:$C$451,$C95,'TL05'!$J$238:$J$451),0),
IF('TL06'!$B$3=J$3,SUMIF('TL06'!$C$10:$C$224,$C95,'TL06'!$J$10:$J$224),0),
IF('TL06'!$B$229=J$3,SUMIF('TL06'!$C$238:$C$451,$C95,'TL06'!$J$238:$J$451),0),
IF('TL07'!$B$3=J$3,SUMIF('TL07'!$C$10:$C$224,$C95,'TL07'!$J$10:$J$224),0),
IF('TL07'!$B$229=J$3,SUMIF('TL07'!$C$238:$C$451,$C95,'TL07'!$J$238:$J$451),0),
IF('TL08'!$B$3=J$3,SUMIF('TL08'!$C$10:$C$224,$C95,'TL08'!$J$10:$J$224),0),
IF('TL08'!$B$229=J$3,SUMIF('TL08'!$C$238:$C$451,$C95,'TL08'!$J$238:$J$451),0),
IF('TL09'!$B$3=J$3,SUMIF('TL09'!$C$10:$C$224,$C95,'TL09'!$J$10:$J$224),0),
IF('TL09'!$B$229=J$3,SUMIF('TL09'!$C$238:$C$451,$C95,'TL09'!$J$238:$J$451),0),
IF('TL10'!$B$3=J$3,SUMIF('TL10'!$C$10:$C$224,$C95,'TL10'!$J$10:$J$224),0),
IF('TL10'!$B$229=J$3,SUMIF('TL10'!$C$238:$C$451,$C95,'TL10'!$J$238:$J$451),0),
IF('TL11'!$B$3=J$3,SUMIF('TL11'!$C$10:$C$224,$C95,'TL11'!$J$10:$J$224),0),
IF('TL11'!$B$229=J$3,SUMIF('TL11'!$C$238:$C$451,$C95,'TL11'!$J$238:$J$451),0),
IF('TL12'!$B$3=J$3,SUMIF('TL12'!$C$10:$C$224,$C95,'TL12'!$J$10:$J$224),0),
IF('TL12'!$B$229=J$3,SUMIF('TL12'!$C$238:$C$451,$C95,'TL12'!$J$238:$J$451),0),
IF('TL13'!$B$3=J$3,SUMIF('TL13'!$C$10:$C$224,$C95,'TL13'!$J$10:$J$224),0),
IF('TL13'!$B$229=J$3,SUMIF('TL13'!$C$238:$C$451,$C95,'TL13'!$J$238:$J$451),0),
IF('TL14'!$B$3=J$3,SUMIF('TL14'!$C$10:$C$224,$C95,'TL14'!$J$10:$J$224),0),
IF('TL14'!$B$229=J$3,SUMIF('TL14'!$C$238:$C$451,$C95,'TL14'!$J$238:$J$451),0),
IF('TL15'!$B$3=J$3,SUMIF('TL15'!$C$10:$C$224,$C95,'TL15'!$J$10:$J$224),0),
IF('TL15'!$B$229=J$3,SUMIF('TL15'!$C$238:$C$451,$C95,'TL15'!$J$238:$J$451),0),
IF('TL16'!$B$3=J$3,SUMIF('TL16'!$C$10:$C$224,$C95,'TL16'!$J$10:$J$224),0),
IF('TL16'!$B$229=J$3,SUMIF('TL16'!$C$238:$C$451,$C95,'TL16'!$J$238:$J$451),0),
IF('TL17'!$B$3=J$3,SUMIF('TL17'!$C$10:$C$224,$C95,'TL17'!$J$10:$J$224),0),
IF('TL17'!$B$229=J$3,SUMIF('TL17'!$C$238:$C$451,$C95,'TL17'!$J$238:$J$451),0),
IF('TL18'!$B$3=J$3,SUMIF('TL18'!$C$10:$C$224,$C95,'TL18'!$J$10:$J$224),0),
IF('TL18'!$B$229=J$3,SUMIF('TL18'!$C$238:$C$451,$C95,'TL18'!$J$238:$J$451),0),
IF('TL19'!$B$3=J$3,SUMIF('TL19'!$C$10:$C$224,$C95,'TL19'!$J$10:$J$224),0),
IF('TL19'!$B$229=J$3,SUMIF('TL19'!$C$238:$C$451,$C95,'TL19'!$J$238:$J$451),0)
),0)</f>
        <v>0</v>
      </c>
      <c r="K95" s="9">
        <f>IFERROR(SUM(
IF('TL01'!$B$3=K$3,SUMIF('TL01'!$C$10:$C$224,$C95,'TL01'!$J$10:$J$224),0),
IF('TL01'!$B$229=K$3,SUMIF('TL01'!$C$238:$C$451,$C95,'TL01'!$J$238:$J$451),0),
IF('TL02'!$B$3=K$3,SUMIF('TL02'!$C$10:$C$224,$C95,'TL02'!$J$10:$J$224),0),
IF('TL02'!$B$229=K$3,SUMIF('TL02'!$C$238:$C$451,$C95,'TL02'!$J$238:$J$451),0),
IF('TL03'!$B$3=K$3,SUMIF('TL03'!$C$10:$C$224,$C95,'TL03'!$J$10:$J$224),0),
IF('TL03'!$B$229=K$3,SUMIF('TL03'!$C$238:$C$451,$C95,'TL03'!$J$238:$J$451),0),
IF('TL04'!$B$3=K$3,SUMIF('TL04'!$C$10:$C$224,$C95,'TL04'!$J$10:$J$224),0),
IF('TL04'!$B$229=K$3,SUMIF('TL04'!$C$238:$C$451,$C95,'TL04'!$J$238:$J$451),0),
IF('TL05'!$B$3=K$3,SUMIF('TL05'!$C$10:$C$224,$C95,'TL05'!$J$10:$J$224),0),
IF('TL05'!$B$229=K$3,SUMIF('TL05'!$C$238:$C$451,$C95,'TL05'!$J$238:$J$451),0),
IF('TL06'!$B$3=K$3,SUMIF('TL06'!$C$10:$C$224,$C95,'TL06'!$J$10:$J$224),0),
IF('TL06'!$B$229=K$3,SUMIF('TL06'!$C$238:$C$451,$C95,'TL06'!$J$238:$J$451),0),
IF('TL07'!$B$3=K$3,SUMIF('TL07'!$C$10:$C$224,$C95,'TL07'!$J$10:$J$224),0),
IF('TL07'!$B$229=K$3,SUMIF('TL07'!$C$238:$C$451,$C95,'TL07'!$J$238:$J$451),0),
IF('TL08'!$B$3=K$3,SUMIF('TL08'!$C$10:$C$224,$C95,'TL08'!$J$10:$J$224),0),
IF('TL08'!$B$229=K$3,SUMIF('TL08'!$C$238:$C$451,$C95,'TL08'!$J$238:$J$451),0),
IF('TL09'!$B$3=K$3,SUMIF('TL09'!$C$10:$C$224,$C95,'TL09'!$J$10:$J$224),0),
IF('TL09'!$B$229=K$3,SUMIF('TL09'!$C$238:$C$451,$C95,'TL09'!$J$238:$J$451),0),
IF('TL10'!$B$3=K$3,SUMIF('TL10'!$C$10:$C$224,$C95,'TL10'!$J$10:$J$224),0),
IF('TL10'!$B$229=K$3,SUMIF('TL10'!$C$238:$C$451,$C95,'TL10'!$J$238:$J$451),0),
IF('TL11'!$B$3=K$3,SUMIF('TL11'!$C$10:$C$224,$C95,'TL11'!$J$10:$J$224),0),
IF('TL11'!$B$229=K$3,SUMIF('TL11'!$C$238:$C$451,$C95,'TL11'!$J$238:$J$451),0),
IF('TL12'!$B$3=K$3,SUMIF('TL12'!$C$10:$C$224,$C95,'TL12'!$J$10:$J$224),0),
IF('TL12'!$B$229=K$3,SUMIF('TL12'!$C$238:$C$451,$C95,'TL12'!$J$238:$J$451),0),
IF('TL13'!$B$3=K$3,SUMIF('TL13'!$C$10:$C$224,$C95,'TL13'!$J$10:$J$224),0),
IF('TL13'!$B$229=K$3,SUMIF('TL13'!$C$238:$C$451,$C95,'TL13'!$J$238:$J$451),0),
IF('TL14'!$B$3=K$3,SUMIF('TL14'!$C$10:$C$224,$C95,'TL14'!$J$10:$J$224),0),
IF('TL14'!$B$229=K$3,SUMIF('TL14'!$C$238:$C$451,$C95,'TL14'!$J$238:$J$451),0),
IF('TL15'!$B$3=K$3,SUMIF('TL15'!$C$10:$C$224,$C95,'TL15'!$J$10:$J$224),0),
IF('TL15'!$B$229=K$3,SUMIF('TL15'!$C$238:$C$451,$C95,'TL15'!$J$238:$J$451),0),
IF('TL16'!$B$3=K$3,SUMIF('TL16'!$C$10:$C$224,$C95,'TL16'!$J$10:$J$224),0),
IF('TL16'!$B$229=K$3,SUMIF('TL16'!$C$238:$C$451,$C95,'TL16'!$J$238:$J$451),0),
IF('TL17'!$B$3=K$3,SUMIF('TL17'!$C$10:$C$224,$C95,'TL17'!$J$10:$J$224),0),
IF('TL17'!$B$229=K$3,SUMIF('TL17'!$C$238:$C$451,$C95,'TL17'!$J$238:$J$451),0),
IF('TL18'!$B$3=K$3,SUMIF('TL18'!$C$10:$C$224,$C95,'TL18'!$J$10:$J$224),0),
IF('TL18'!$B$229=K$3,SUMIF('TL18'!$C$238:$C$451,$C95,'TL18'!$J$238:$J$451),0),
IF('TL19'!$B$3=K$3,SUMIF('TL19'!$C$10:$C$224,$C95,'TL19'!$J$10:$J$224),0),
IF('TL19'!$B$229=K$3,SUMIF('TL19'!$C$238:$C$451,$C95,'TL19'!$J$238:$J$451),0)
),0)</f>
        <v>0</v>
      </c>
      <c r="L95" s="9">
        <f>IFERROR(SUM(
IF('TL01'!$B$3=L$3,SUMIF('TL01'!$C$10:$C$224,$C95,'TL01'!$J$10:$J$224),0),
IF('TL01'!$B$229=L$3,SUMIF('TL01'!$C$238:$C$451,$C95,'TL01'!$J$238:$J$451),0),
IF('TL02'!$B$3=L$3,SUMIF('TL02'!$C$10:$C$224,$C95,'TL02'!$J$10:$J$224),0),
IF('TL02'!$B$229=L$3,SUMIF('TL02'!$C$238:$C$451,$C95,'TL02'!$J$238:$J$451),0),
IF('TL03'!$B$3=L$3,SUMIF('TL03'!$C$10:$C$224,$C95,'TL03'!$J$10:$J$224),0),
IF('TL03'!$B$229=L$3,SUMIF('TL03'!$C$238:$C$451,$C95,'TL03'!$J$238:$J$451),0),
IF('TL04'!$B$3=L$3,SUMIF('TL04'!$C$10:$C$224,$C95,'TL04'!$J$10:$J$224),0),
IF('TL04'!$B$229=L$3,SUMIF('TL04'!$C$238:$C$451,$C95,'TL04'!$J$238:$J$451),0),
IF('TL05'!$B$3=L$3,SUMIF('TL05'!$C$10:$C$224,$C95,'TL05'!$J$10:$J$224),0),
IF('TL05'!$B$229=L$3,SUMIF('TL05'!$C$238:$C$451,$C95,'TL05'!$J$238:$J$451),0),
IF('TL06'!$B$3=L$3,SUMIF('TL06'!$C$10:$C$224,$C95,'TL06'!$J$10:$J$224),0),
IF('TL06'!$B$229=L$3,SUMIF('TL06'!$C$238:$C$451,$C95,'TL06'!$J$238:$J$451),0),
IF('TL07'!$B$3=L$3,SUMIF('TL07'!$C$10:$C$224,$C95,'TL07'!$J$10:$J$224),0),
IF('TL07'!$B$229=L$3,SUMIF('TL07'!$C$238:$C$451,$C95,'TL07'!$J$238:$J$451),0),
IF('TL08'!$B$3=L$3,SUMIF('TL08'!$C$10:$C$224,$C95,'TL08'!$J$10:$J$224),0),
IF('TL08'!$B$229=L$3,SUMIF('TL08'!$C$238:$C$451,$C95,'TL08'!$J$238:$J$451),0),
IF('TL09'!$B$3=L$3,SUMIF('TL09'!$C$10:$C$224,$C95,'TL09'!$J$10:$J$224),0),
IF('TL09'!$B$229=L$3,SUMIF('TL09'!$C$238:$C$451,$C95,'TL09'!$J$238:$J$451),0),
IF('TL10'!$B$3=L$3,SUMIF('TL10'!$C$10:$C$224,$C95,'TL10'!$J$10:$J$224),0),
IF('TL10'!$B$229=L$3,SUMIF('TL10'!$C$238:$C$451,$C95,'TL10'!$J$238:$J$451),0),
IF('TL11'!$B$3=L$3,SUMIF('TL11'!$C$10:$C$224,$C95,'TL11'!$J$10:$J$224),0),
IF('TL11'!$B$229=L$3,SUMIF('TL11'!$C$238:$C$451,$C95,'TL11'!$J$238:$J$451),0),
IF('TL12'!$B$3=L$3,SUMIF('TL12'!$C$10:$C$224,$C95,'TL12'!$J$10:$J$224),0),
IF('TL12'!$B$229=L$3,SUMIF('TL12'!$C$238:$C$451,$C95,'TL12'!$J$238:$J$451),0),
IF('TL13'!$B$3=L$3,SUMIF('TL13'!$C$10:$C$224,$C95,'TL13'!$J$10:$J$224),0),
IF('TL13'!$B$229=L$3,SUMIF('TL13'!$C$238:$C$451,$C95,'TL13'!$J$238:$J$451),0),
IF('TL14'!$B$3=L$3,SUMIF('TL14'!$C$10:$C$224,$C95,'TL14'!$J$10:$J$224),0),
IF('TL14'!$B$229=L$3,SUMIF('TL14'!$C$238:$C$451,$C95,'TL14'!$J$238:$J$451),0),
IF('TL15'!$B$3=L$3,SUMIF('TL15'!$C$10:$C$224,$C95,'TL15'!$J$10:$J$224),0),
IF('TL15'!$B$229=L$3,SUMIF('TL15'!$C$238:$C$451,$C95,'TL15'!$J$238:$J$451),0),
IF('TL16'!$B$3=L$3,SUMIF('TL16'!$C$10:$C$224,$C95,'TL16'!$J$10:$J$224),0),
IF('TL16'!$B$229=L$3,SUMIF('TL16'!$C$238:$C$451,$C95,'TL16'!$J$238:$J$451),0),
IF('TL17'!$B$3=L$3,SUMIF('TL17'!$C$10:$C$224,$C95,'TL17'!$J$10:$J$224),0),
IF('TL17'!$B$229=L$3,SUMIF('TL17'!$C$238:$C$451,$C95,'TL17'!$J$238:$J$451),0),
IF('TL18'!$B$3=L$3,SUMIF('TL18'!$C$10:$C$224,$C95,'TL18'!$J$10:$J$224),0),
IF('TL18'!$B$229=L$3,SUMIF('TL18'!$C$238:$C$451,$C95,'TL18'!$J$238:$J$451),0),
IF('TL19'!$B$3=L$3,SUMIF('TL19'!$C$10:$C$224,$C95,'TL19'!$J$10:$J$224),0),
IF('TL19'!$B$229=L$3,SUMIF('TL19'!$C$238:$C$451,$C95,'TL19'!$J$238:$J$451),0)
),0)</f>
        <v>0</v>
      </c>
      <c r="M95" s="9">
        <f>IFERROR(SUM(
IF('TL01'!$B$3=M$3,SUMIF('TL01'!$C$10:$C$224,$C95,'TL01'!$J$10:$J$224),0),
IF('TL01'!$B$229=M$3,SUMIF('TL01'!$C$238:$C$451,$C95,'TL01'!$J$238:$J$451),0),
IF('TL02'!$B$3=M$3,SUMIF('TL02'!$C$10:$C$224,$C95,'TL02'!$J$10:$J$224),0),
IF('TL02'!$B$229=M$3,SUMIF('TL02'!$C$238:$C$451,$C95,'TL02'!$J$238:$J$451),0),
IF('TL03'!$B$3=M$3,SUMIF('TL03'!$C$10:$C$224,$C95,'TL03'!$J$10:$J$224),0),
IF('TL03'!$B$229=M$3,SUMIF('TL03'!$C$238:$C$451,$C95,'TL03'!$J$238:$J$451),0),
IF('TL04'!$B$3=M$3,SUMIF('TL04'!$C$10:$C$224,$C95,'TL04'!$J$10:$J$224),0),
IF('TL04'!$B$229=M$3,SUMIF('TL04'!$C$238:$C$451,$C95,'TL04'!$J$238:$J$451),0),
IF('TL05'!$B$3=M$3,SUMIF('TL05'!$C$10:$C$224,$C95,'TL05'!$J$10:$J$224),0),
IF('TL05'!$B$229=M$3,SUMIF('TL05'!$C$238:$C$451,$C95,'TL05'!$J$238:$J$451),0),
IF('TL06'!$B$3=M$3,SUMIF('TL06'!$C$10:$C$224,$C95,'TL06'!$J$10:$J$224),0),
IF('TL06'!$B$229=M$3,SUMIF('TL06'!$C$238:$C$451,$C95,'TL06'!$J$238:$J$451),0),
IF('TL07'!$B$3=M$3,SUMIF('TL07'!$C$10:$C$224,$C95,'TL07'!$J$10:$J$224),0),
IF('TL07'!$B$229=M$3,SUMIF('TL07'!$C$238:$C$451,$C95,'TL07'!$J$238:$J$451),0),
IF('TL08'!$B$3=M$3,SUMIF('TL08'!$C$10:$C$224,$C95,'TL08'!$J$10:$J$224),0),
IF('TL08'!$B$229=M$3,SUMIF('TL08'!$C$238:$C$451,$C95,'TL08'!$J$238:$J$451),0),
IF('TL09'!$B$3=M$3,SUMIF('TL09'!$C$10:$C$224,$C95,'TL09'!$J$10:$J$224),0),
IF('TL09'!$B$229=M$3,SUMIF('TL09'!$C$238:$C$451,$C95,'TL09'!$J$238:$J$451),0),
IF('TL10'!$B$3=M$3,SUMIF('TL10'!$C$10:$C$224,$C95,'TL10'!$J$10:$J$224),0),
IF('TL10'!$B$229=M$3,SUMIF('TL10'!$C$238:$C$451,$C95,'TL10'!$J$238:$J$451),0),
IF('TL11'!$B$3=M$3,SUMIF('TL11'!$C$10:$C$224,$C95,'TL11'!$J$10:$J$224),0),
IF('TL11'!$B$229=M$3,SUMIF('TL11'!$C$238:$C$451,$C95,'TL11'!$J$238:$J$451),0),
IF('TL12'!$B$3=M$3,SUMIF('TL12'!$C$10:$C$224,$C95,'TL12'!$J$10:$J$224),0),
IF('TL12'!$B$229=M$3,SUMIF('TL12'!$C$238:$C$451,$C95,'TL12'!$J$238:$J$451),0),
IF('TL13'!$B$3=M$3,SUMIF('TL13'!$C$10:$C$224,$C95,'TL13'!$J$10:$J$224),0),
IF('TL13'!$B$229=M$3,SUMIF('TL13'!$C$238:$C$451,$C95,'TL13'!$J$238:$J$451),0),
IF('TL14'!$B$3=M$3,SUMIF('TL14'!$C$10:$C$224,$C95,'TL14'!$J$10:$J$224),0),
IF('TL14'!$B$229=M$3,SUMIF('TL14'!$C$238:$C$451,$C95,'TL14'!$J$238:$J$451),0),
IF('TL15'!$B$3=M$3,SUMIF('TL15'!$C$10:$C$224,$C95,'TL15'!$J$10:$J$224),0),
IF('TL15'!$B$229=M$3,SUMIF('TL15'!$C$238:$C$451,$C95,'TL15'!$J$238:$J$451),0),
IF('TL16'!$B$3=M$3,SUMIF('TL16'!$C$10:$C$224,$C95,'TL16'!$J$10:$J$224),0),
IF('TL16'!$B$229=M$3,SUMIF('TL16'!$C$238:$C$451,$C95,'TL16'!$J$238:$J$451),0),
IF('TL17'!$B$3=M$3,SUMIF('TL17'!$C$10:$C$224,$C95,'TL17'!$J$10:$J$224),0),
IF('TL17'!$B$229=M$3,SUMIF('TL17'!$C$238:$C$451,$C95,'TL17'!$J$238:$J$451),0),
IF('TL18'!$B$3=M$3,SUMIF('TL18'!$C$10:$C$224,$C95,'TL18'!$J$10:$J$224),0),
IF('TL18'!$B$229=M$3,SUMIF('TL18'!$C$238:$C$451,$C95,'TL18'!$J$238:$J$451),0),
IF('TL19'!$B$3=M$3,SUMIF('TL19'!$C$10:$C$224,$C95,'TL19'!$J$10:$J$224),0),
IF('TL19'!$B$229=M$3,SUMIF('TL19'!$C$238:$C$451,$C95,'TL19'!$J$238:$J$451),0)
),0)</f>
        <v>0</v>
      </c>
      <c r="N95" s="9">
        <f>IFERROR(SUM(
IF('TL01'!$B$3=N$3,SUMIF('TL01'!$C$10:$C$224,$C95,'TL01'!$J$10:$J$224),0),
IF('TL01'!$B$229=N$3,SUMIF('TL01'!$C$238:$C$451,$C95,'TL01'!$J$238:$J$451),0),
IF('TL02'!$B$3=N$3,SUMIF('TL02'!$C$10:$C$224,$C95,'TL02'!$J$10:$J$224),0),
IF('TL02'!$B$229=N$3,SUMIF('TL02'!$C$238:$C$451,$C95,'TL02'!$J$238:$J$451),0),
IF('TL03'!$B$3=N$3,SUMIF('TL03'!$C$10:$C$224,$C95,'TL03'!$J$10:$J$224),0),
IF('TL03'!$B$229=N$3,SUMIF('TL03'!$C$238:$C$451,$C95,'TL03'!$J$238:$J$451),0),
IF('TL04'!$B$3=N$3,SUMIF('TL04'!$C$10:$C$224,$C95,'TL04'!$J$10:$J$224),0),
IF('TL04'!$B$229=N$3,SUMIF('TL04'!$C$238:$C$451,$C95,'TL04'!$J$238:$J$451),0),
IF('TL05'!$B$3=N$3,SUMIF('TL05'!$C$10:$C$224,$C95,'TL05'!$J$10:$J$224),0),
IF('TL05'!$B$229=N$3,SUMIF('TL05'!$C$238:$C$451,$C95,'TL05'!$J$238:$J$451),0),
IF('TL06'!$B$3=N$3,SUMIF('TL06'!$C$10:$C$224,$C95,'TL06'!$J$10:$J$224),0),
IF('TL06'!$B$229=N$3,SUMIF('TL06'!$C$238:$C$451,$C95,'TL06'!$J$238:$J$451),0),
IF('TL07'!$B$3=N$3,SUMIF('TL07'!$C$10:$C$224,$C95,'TL07'!$J$10:$J$224),0),
IF('TL07'!$B$229=N$3,SUMIF('TL07'!$C$238:$C$451,$C95,'TL07'!$J$238:$J$451),0),
IF('TL08'!$B$3=N$3,SUMIF('TL08'!$C$10:$C$224,$C95,'TL08'!$J$10:$J$224),0),
IF('TL08'!$B$229=N$3,SUMIF('TL08'!$C$238:$C$451,$C95,'TL08'!$J$238:$J$451),0),
IF('TL09'!$B$3=N$3,SUMIF('TL09'!$C$10:$C$224,$C95,'TL09'!$J$10:$J$224),0),
IF('TL09'!$B$229=N$3,SUMIF('TL09'!$C$238:$C$451,$C95,'TL09'!$J$238:$J$451),0),
IF('TL10'!$B$3=N$3,SUMIF('TL10'!$C$10:$C$224,$C95,'TL10'!$J$10:$J$224),0),
IF('TL10'!$B$229=N$3,SUMIF('TL10'!$C$238:$C$451,$C95,'TL10'!$J$238:$J$451),0),
IF('TL11'!$B$3=N$3,SUMIF('TL11'!$C$10:$C$224,$C95,'TL11'!$J$10:$J$224),0),
IF('TL11'!$B$229=N$3,SUMIF('TL11'!$C$238:$C$451,$C95,'TL11'!$J$238:$J$451),0),
IF('TL12'!$B$3=N$3,SUMIF('TL12'!$C$10:$C$224,$C95,'TL12'!$J$10:$J$224),0),
IF('TL12'!$B$229=N$3,SUMIF('TL12'!$C$238:$C$451,$C95,'TL12'!$J$238:$J$451),0),
IF('TL13'!$B$3=N$3,SUMIF('TL13'!$C$10:$C$224,$C95,'TL13'!$J$10:$J$224),0),
IF('TL13'!$B$229=N$3,SUMIF('TL13'!$C$238:$C$451,$C95,'TL13'!$J$238:$J$451),0),
IF('TL14'!$B$3=N$3,SUMIF('TL14'!$C$10:$C$224,$C95,'TL14'!$J$10:$J$224),0),
IF('TL14'!$B$229=N$3,SUMIF('TL14'!$C$238:$C$451,$C95,'TL14'!$J$238:$J$451),0),
IF('TL15'!$B$3=N$3,SUMIF('TL15'!$C$10:$C$224,$C95,'TL15'!$J$10:$J$224),0),
IF('TL15'!$B$229=N$3,SUMIF('TL15'!$C$238:$C$451,$C95,'TL15'!$J$238:$J$451),0),
IF('TL16'!$B$3=N$3,SUMIF('TL16'!$C$10:$C$224,$C95,'TL16'!$J$10:$J$224),0),
IF('TL16'!$B$229=N$3,SUMIF('TL16'!$C$238:$C$451,$C95,'TL16'!$J$238:$J$451),0),
IF('TL17'!$B$3=N$3,SUMIF('TL17'!$C$10:$C$224,$C95,'TL17'!$J$10:$J$224),0),
IF('TL17'!$B$229=N$3,SUMIF('TL17'!$C$238:$C$451,$C95,'TL17'!$J$238:$J$451),0),
IF('TL18'!$B$3=N$3,SUMIF('TL18'!$C$10:$C$224,$C95,'TL18'!$J$10:$J$224),0),
IF('TL18'!$B$229=N$3,SUMIF('TL18'!$C$238:$C$451,$C95,'TL18'!$J$238:$J$451),0),
IF('TL19'!$B$3=N$3,SUMIF('TL19'!$C$10:$C$224,$C95,'TL19'!$J$10:$J$224),0),
IF('TL19'!$B$229=N$3,SUMIF('TL19'!$C$238:$C$451,$C95,'TL19'!$J$238:$J$451),0)
),0)</f>
        <v>0</v>
      </c>
      <c r="O95" s="9">
        <f>IFERROR(SUM(
IF('TL01'!$B$3=O$3,SUMIF('TL01'!$C$10:$C$224,$C95,'TL01'!$J$10:$J$224),0),
IF('TL01'!$B$229=O$3,SUMIF('TL01'!$C$238:$C$451,$C95,'TL01'!$J$238:$J$451),0),
IF('TL02'!$B$3=O$3,SUMIF('TL02'!$C$10:$C$224,$C95,'TL02'!$J$10:$J$224),0),
IF('TL02'!$B$229=O$3,SUMIF('TL02'!$C$238:$C$451,$C95,'TL02'!$J$238:$J$451),0),
IF('TL03'!$B$3=O$3,SUMIF('TL03'!$C$10:$C$224,$C95,'TL03'!$J$10:$J$224),0),
IF('TL03'!$B$229=O$3,SUMIF('TL03'!$C$238:$C$451,$C95,'TL03'!$J$238:$J$451),0),
IF('TL04'!$B$3=O$3,SUMIF('TL04'!$C$10:$C$224,$C95,'TL04'!$J$10:$J$224),0),
IF('TL04'!$B$229=O$3,SUMIF('TL04'!$C$238:$C$451,$C95,'TL04'!$J$238:$J$451),0),
IF('TL05'!$B$3=O$3,SUMIF('TL05'!$C$10:$C$224,$C95,'TL05'!$J$10:$J$224),0),
IF('TL05'!$B$229=O$3,SUMIF('TL05'!$C$238:$C$451,$C95,'TL05'!$J$238:$J$451),0),
IF('TL06'!$B$3=O$3,SUMIF('TL06'!$C$10:$C$224,$C95,'TL06'!$J$10:$J$224),0),
IF('TL06'!$B$229=O$3,SUMIF('TL06'!$C$238:$C$451,$C95,'TL06'!$J$238:$J$451),0),
IF('TL07'!$B$3=O$3,SUMIF('TL07'!$C$10:$C$224,$C95,'TL07'!$J$10:$J$224),0),
IF('TL07'!$B$229=O$3,SUMIF('TL07'!$C$238:$C$451,$C95,'TL07'!$J$238:$J$451),0),
IF('TL08'!$B$3=O$3,SUMIF('TL08'!$C$10:$C$224,$C95,'TL08'!$J$10:$J$224),0),
IF('TL08'!$B$229=O$3,SUMIF('TL08'!$C$238:$C$451,$C95,'TL08'!$J$238:$J$451),0),
IF('TL09'!$B$3=O$3,SUMIF('TL09'!$C$10:$C$224,$C95,'TL09'!$J$10:$J$224),0),
IF('TL09'!$B$229=O$3,SUMIF('TL09'!$C$238:$C$451,$C95,'TL09'!$J$238:$J$451),0),
IF('TL10'!$B$3=O$3,SUMIF('TL10'!$C$10:$C$224,$C95,'TL10'!$J$10:$J$224),0),
IF('TL10'!$B$229=O$3,SUMIF('TL10'!$C$238:$C$451,$C95,'TL10'!$J$238:$J$451),0),
IF('TL11'!$B$3=O$3,SUMIF('TL11'!$C$10:$C$224,$C95,'TL11'!$J$10:$J$224),0),
IF('TL11'!$B$229=O$3,SUMIF('TL11'!$C$238:$C$451,$C95,'TL11'!$J$238:$J$451),0),
IF('TL12'!$B$3=O$3,SUMIF('TL12'!$C$10:$C$224,$C95,'TL12'!$J$10:$J$224),0),
IF('TL12'!$B$229=O$3,SUMIF('TL12'!$C$238:$C$451,$C95,'TL12'!$J$238:$J$451),0),
IF('TL13'!$B$3=O$3,SUMIF('TL13'!$C$10:$C$224,$C95,'TL13'!$J$10:$J$224),0),
IF('TL13'!$B$229=O$3,SUMIF('TL13'!$C$238:$C$451,$C95,'TL13'!$J$238:$J$451),0),
IF('TL14'!$B$3=O$3,SUMIF('TL14'!$C$10:$C$224,$C95,'TL14'!$J$10:$J$224),0),
IF('TL14'!$B$229=O$3,SUMIF('TL14'!$C$238:$C$451,$C95,'TL14'!$J$238:$J$451),0),
IF('TL15'!$B$3=O$3,SUMIF('TL15'!$C$10:$C$224,$C95,'TL15'!$J$10:$J$224),0),
IF('TL15'!$B$229=O$3,SUMIF('TL15'!$C$238:$C$451,$C95,'TL15'!$J$238:$J$451),0),
IF('TL16'!$B$3=O$3,SUMIF('TL16'!$C$10:$C$224,$C95,'TL16'!$J$10:$J$224),0),
IF('TL16'!$B$229=O$3,SUMIF('TL16'!$C$238:$C$451,$C95,'TL16'!$J$238:$J$451),0),
IF('TL17'!$B$3=O$3,SUMIF('TL17'!$C$10:$C$224,$C95,'TL17'!$J$10:$J$224),0),
IF('TL17'!$B$229=O$3,SUMIF('TL17'!$C$238:$C$451,$C95,'TL17'!$J$238:$J$451),0),
IF('TL18'!$B$3=O$3,SUMIF('TL18'!$C$10:$C$224,$C95,'TL18'!$J$10:$J$224),0),
IF('TL18'!$B$229=O$3,SUMIF('TL18'!$C$238:$C$451,$C95,'TL18'!$J$238:$J$451),0),
IF('TL19'!$B$3=O$3,SUMIF('TL19'!$C$10:$C$224,$C95,'TL19'!$J$10:$J$224),0),
IF('TL19'!$B$229=O$3,SUMIF('TL19'!$C$238:$C$451,$C95,'TL19'!$J$238:$J$451),0)
),0)</f>
        <v>0</v>
      </c>
      <c r="P95" s="9">
        <f>IFERROR(SUM(
IF('TL01'!$B$3=P$3,SUMIF('TL01'!$C$10:$C$224,$C95,'TL01'!$J$10:$J$224),0),
IF('TL01'!$B$229=P$3,SUMIF('TL01'!$C$238:$C$451,$C95,'TL01'!$J$238:$J$451),0),
IF('TL02'!$B$3=P$3,SUMIF('TL02'!$C$10:$C$224,$C95,'TL02'!$J$10:$J$224),0),
IF('TL02'!$B$229=P$3,SUMIF('TL02'!$C$238:$C$451,$C95,'TL02'!$J$238:$J$451),0),
IF('TL03'!$B$3=P$3,SUMIF('TL03'!$C$10:$C$224,$C95,'TL03'!$J$10:$J$224),0),
IF('TL03'!$B$229=P$3,SUMIF('TL03'!$C$238:$C$451,$C95,'TL03'!$J$238:$J$451),0),
IF('TL04'!$B$3=P$3,SUMIF('TL04'!$C$10:$C$224,$C95,'TL04'!$J$10:$J$224),0),
IF('TL04'!$B$229=P$3,SUMIF('TL04'!$C$238:$C$451,$C95,'TL04'!$J$238:$J$451),0),
IF('TL05'!$B$3=P$3,SUMIF('TL05'!$C$10:$C$224,$C95,'TL05'!$J$10:$J$224),0),
IF('TL05'!$B$229=P$3,SUMIF('TL05'!$C$238:$C$451,$C95,'TL05'!$J$238:$J$451),0),
IF('TL06'!$B$3=P$3,SUMIF('TL06'!$C$10:$C$224,$C95,'TL06'!$J$10:$J$224),0),
IF('TL06'!$B$229=P$3,SUMIF('TL06'!$C$238:$C$451,$C95,'TL06'!$J$238:$J$451),0),
IF('TL07'!$B$3=P$3,SUMIF('TL07'!$C$10:$C$224,$C95,'TL07'!$J$10:$J$224),0),
IF('TL07'!$B$229=P$3,SUMIF('TL07'!$C$238:$C$451,$C95,'TL07'!$J$238:$J$451),0),
IF('TL08'!$B$3=P$3,SUMIF('TL08'!$C$10:$C$224,$C95,'TL08'!$J$10:$J$224),0),
IF('TL08'!$B$229=P$3,SUMIF('TL08'!$C$238:$C$451,$C95,'TL08'!$J$238:$J$451),0),
IF('TL09'!$B$3=P$3,SUMIF('TL09'!$C$10:$C$224,$C95,'TL09'!$J$10:$J$224),0),
IF('TL09'!$B$229=P$3,SUMIF('TL09'!$C$238:$C$451,$C95,'TL09'!$J$238:$J$451),0),
IF('TL10'!$B$3=P$3,SUMIF('TL10'!$C$10:$C$224,$C95,'TL10'!$J$10:$J$224),0),
IF('TL10'!$B$229=P$3,SUMIF('TL10'!$C$238:$C$451,$C95,'TL10'!$J$238:$J$451),0),
IF('TL11'!$B$3=P$3,SUMIF('TL11'!$C$10:$C$224,$C95,'TL11'!$J$10:$J$224),0),
IF('TL11'!$B$229=P$3,SUMIF('TL11'!$C$238:$C$451,$C95,'TL11'!$J$238:$J$451),0),
IF('TL12'!$B$3=P$3,SUMIF('TL12'!$C$10:$C$224,$C95,'TL12'!$J$10:$J$224),0),
IF('TL12'!$B$229=P$3,SUMIF('TL12'!$C$238:$C$451,$C95,'TL12'!$J$238:$J$451),0),
IF('TL13'!$B$3=P$3,SUMIF('TL13'!$C$10:$C$224,$C95,'TL13'!$J$10:$J$224),0),
IF('TL13'!$B$229=P$3,SUMIF('TL13'!$C$238:$C$451,$C95,'TL13'!$J$238:$J$451),0),
IF('TL14'!$B$3=P$3,SUMIF('TL14'!$C$10:$C$224,$C95,'TL14'!$J$10:$J$224),0),
IF('TL14'!$B$229=P$3,SUMIF('TL14'!$C$238:$C$451,$C95,'TL14'!$J$238:$J$451),0),
IF('TL15'!$B$3=P$3,SUMIF('TL15'!$C$10:$C$224,$C95,'TL15'!$J$10:$J$224),0),
IF('TL15'!$B$229=P$3,SUMIF('TL15'!$C$238:$C$451,$C95,'TL15'!$J$238:$J$451),0),
IF('TL16'!$B$3=P$3,SUMIF('TL16'!$C$10:$C$224,$C95,'TL16'!$J$10:$J$224),0),
IF('TL16'!$B$229=P$3,SUMIF('TL16'!$C$238:$C$451,$C95,'TL16'!$J$238:$J$451),0),
IF('TL17'!$B$3=P$3,SUMIF('TL17'!$C$10:$C$224,$C95,'TL17'!$J$10:$J$224),0),
IF('TL17'!$B$229=P$3,SUMIF('TL17'!$C$238:$C$451,$C95,'TL17'!$J$238:$J$451),0),
IF('TL18'!$B$3=P$3,SUMIF('TL18'!$C$10:$C$224,$C95,'TL18'!$J$10:$J$224),0),
IF('TL18'!$B$229=P$3,SUMIF('TL18'!$C$238:$C$451,$C95,'TL18'!$J$238:$J$451),0),
IF('TL19'!$B$3=P$3,SUMIF('TL19'!$C$10:$C$224,$C95,'TL19'!$J$10:$J$224),0),
IF('TL19'!$B$229=P$3,SUMIF('TL19'!$C$238:$C$451,$C95,'TL19'!$J$238:$J$451),0)
),0)</f>
        <v>136.5</v>
      </c>
      <c r="Q95" s="9">
        <f>IFERROR(SUM(
IF('TL01'!$B$3=Q$3,SUMIF('TL01'!$C$10:$C$224,$C95,'TL01'!$J$10:$J$224),0),
IF('TL01'!$B$229=Q$3,SUMIF('TL01'!$C$238:$C$451,$C95,'TL01'!$J$238:$J$451),0),
IF('TL02'!$B$3=Q$3,SUMIF('TL02'!$C$10:$C$224,$C95,'TL02'!$J$10:$J$224),0),
IF('TL02'!$B$229=Q$3,SUMIF('TL02'!$C$238:$C$451,$C95,'TL02'!$J$238:$J$451),0),
IF('TL03'!$B$3=Q$3,SUMIF('TL03'!$C$10:$C$224,$C95,'TL03'!$J$10:$J$224),0),
IF('TL03'!$B$229=Q$3,SUMIF('TL03'!$C$238:$C$451,$C95,'TL03'!$J$238:$J$451),0),
IF('TL04'!$B$3=Q$3,SUMIF('TL04'!$C$10:$C$224,$C95,'TL04'!$J$10:$J$224),0),
IF('TL04'!$B$229=Q$3,SUMIF('TL04'!$C$238:$C$451,$C95,'TL04'!$J$238:$J$451),0),
IF('TL05'!$B$3=Q$3,SUMIF('TL05'!$C$10:$C$224,$C95,'TL05'!$J$10:$J$224),0),
IF('TL05'!$B$229=Q$3,SUMIF('TL05'!$C$238:$C$451,$C95,'TL05'!$J$238:$J$451),0),
IF('TL06'!$B$3=Q$3,SUMIF('TL06'!$C$10:$C$224,$C95,'TL06'!$J$10:$J$224),0),
IF('TL06'!$B$229=Q$3,SUMIF('TL06'!$C$238:$C$451,$C95,'TL06'!$J$238:$J$451),0),
IF('TL07'!$B$3=Q$3,SUMIF('TL07'!$C$10:$C$224,$C95,'TL07'!$J$10:$J$224),0),
IF('TL07'!$B$229=Q$3,SUMIF('TL07'!$C$238:$C$451,$C95,'TL07'!$J$238:$J$451),0),
IF('TL08'!$B$3=Q$3,SUMIF('TL08'!$C$10:$C$224,$C95,'TL08'!$J$10:$J$224),0),
IF('TL08'!$B$229=Q$3,SUMIF('TL08'!$C$238:$C$451,$C95,'TL08'!$J$238:$J$451),0),
IF('TL09'!$B$3=Q$3,SUMIF('TL09'!$C$10:$C$224,$C95,'TL09'!$J$10:$J$224),0),
IF('TL09'!$B$229=Q$3,SUMIF('TL09'!$C$238:$C$451,$C95,'TL09'!$J$238:$J$451),0),
IF('TL10'!$B$3=Q$3,SUMIF('TL10'!$C$10:$C$224,$C95,'TL10'!$J$10:$J$224),0),
IF('TL10'!$B$229=Q$3,SUMIF('TL10'!$C$238:$C$451,$C95,'TL10'!$J$238:$J$451),0),
IF('TL11'!$B$3=Q$3,SUMIF('TL11'!$C$10:$C$224,$C95,'TL11'!$J$10:$J$224),0),
IF('TL11'!$B$229=Q$3,SUMIF('TL11'!$C$238:$C$451,$C95,'TL11'!$J$238:$J$451),0),
IF('TL12'!$B$3=Q$3,SUMIF('TL12'!$C$10:$C$224,$C95,'TL12'!$J$10:$J$224),0),
IF('TL12'!$B$229=Q$3,SUMIF('TL12'!$C$238:$C$451,$C95,'TL12'!$J$238:$J$451),0),
IF('TL13'!$B$3=Q$3,SUMIF('TL13'!$C$10:$C$224,$C95,'TL13'!$J$10:$J$224),0),
IF('TL13'!$B$229=Q$3,SUMIF('TL13'!$C$238:$C$451,$C95,'TL13'!$J$238:$J$451),0),
IF('TL14'!$B$3=Q$3,SUMIF('TL14'!$C$10:$C$224,$C95,'TL14'!$J$10:$J$224),0),
IF('TL14'!$B$229=Q$3,SUMIF('TL14'!$C$238:$C$451,$C95,'TL14'!$J$238:$J$451),0),
IF('TL15'!$B$3=Q$3,SUMIF('TL15'!$C$10:$C$224,$C95,'TL15'!$J$10:$J$224),0),
IF('TL15'!$B$229=Q$3,SUMIF('TL15'!$C$238:$C$451,$C95,'TL15'!$J$238:$J$451),0),
IF('TL16'!$B$3=Q$3,SUMIF('TL16'!$C$10:$C$224,$C95,'TL16'!$J$10:$J$224),0),
IF('TL16'!$B$229=Q$3,SUMIF('TL16'!$C$238:$C$451,$C95,'TL16'!$J$238:$J$451),0),
IF('TL17'!$B$3=Q$3,SUMIF('TL17'!$C$10:$C$224,$C95,'TL17'!$J$10:$J$224),0),
IF('TL17'!$B$229=Q$3,SUMIF('TL17'!$C$238:$C$451,$C95,'TL17'!$J$238:$J$451),0),
IF('TL18'!$B$3=Q$3,SUMIF('TL18'!$C$10:$C$224,$C95,'TL18'!$J$10:$J$224),0),
IF('TL18'!$B$229=Q$3,SUMIF('TL18'!$C$238:$C$451,$C95,'TL18'!$J$238:$J$451),0),
IF('TL19'!$B$3=Q$3,SUMIF('TL19'!$C$10:$C$224,$C95,'TL19'!$J$10:$J$224),0),
IF('TL19'!$B$229=Q$3,SUMIF('TL19'!$C$238:$C$451,$C95,'TL19'!$J$238:$J$451),0)
),0)</f>
        <v>0</v>
      </c>
      <c r="R95" s="9">
        <f>IFERROR(
SUM(
SUMIF('TL01'!C:C,C95,'TL01'!J:J),
SUMIF('TL02'!C:C,C95,'TL02'!J:J),
SUMIF('TL03'!C:C,C95,'TL03'!J:J),
SUMIF('TL04'!C:C,C95,'TL04'!J:J),
SUMIF('TL05'!C:C,C95,'TL05'!J:J),
SUMIF('TL06'!C:C,C95,'TL06'!J:J),
SUMIF('TL07'!C:C,C95,'TL07'!J:J),
SUMIF('TL08'!C:C,C95,'TL08'!J:J),
SUMIF('TL09'!C:C,C95,'TL09'!J:J),
SUMIF('TL10'!C:C,C95,'TL10'!J:J),
SUMIF('TL11'!C:C,C95,'TL11'!J:J),
SUMIF('TL12'!C:C,C95,'TL12'!J:J),
SUMIF('TL13'!C:C,C95,'TL13'!J:J),
SUMIF('TL14'!C:C,C95,'TL14'!J:J),
SUMIF('TL15'!C:C,C95,'TL15'!J:J),
SUMIF('TL16'!C:C,C95,'TL16'!J:J),
SUMIF('TL17'!C:C,C95,'TL17'!J:J),
SUMIF('TL18'!C:C,C95,'TL18'!J:J),SUMIF('TL19'!C:C,C95,'TL19'!J:J))
,0)</f>
        <v>136.5</v>
      </c>
      <c r="S95" s="17">
        <f>IFERROR(__xludf.DUMMYFUNCTION("IFERROR(VLOOKUP(C95,
IMPORTRANGE(""1wULbzX32WdYsx-lj2U3uUNBBe2INVIRDtcK0d-Dvl90"",
""26-27!C:G""),
5,
FALSE),
"""")"),27.613440000000004)</f>
        <v>27.61344</v>
      </c>
      <c r="T95" s="9"/>
      <c r="U95" s="92">
        <f t="shared" si="2"/>
        <v>136.5</v>
      </c>
      <c r="V95" s="93">
        <f t="shared" si="3"/>
        <v>3769.23456</v>
      </c>
    </row>
    <row r="96" ht="15.75" hidden="1" customHeight="1">
      <c r="A96" s="115" t="s">
        <v>358</v>
      </c>
      <c r="B96" s="100" t="s">
        <v>0</v>
      </c>
      <c r="C96" s="116" t="s">
        <v>580</v>
      </c>
      <c r="D96" s="116" t="s">
        <v>581</v>
      </c>
      <c r="E96" s="116" t="s">
        <v>582</v>
      </c>
      <c r="F96" s="4" t="s">
        <v>343</v>
      </c>
      <c r="G96" s="90" t="str">
        <f t="shared" si="4"/>
        <v>📄 Ver bula</v>
      </c>
      <c r="H96" s="9">
        <f>IFERROR(__xludf.DUMMYFUNCTION("IFERROR(VLOOKUP(C96,
IMPORTRANGE(""1wULbzX32WdYsx-lj2U3uUNBBe2INVIRDtcK0d-Dvl90"",
""26-27!C:K""),
8,
FALSE),
"""")"),0.3)</f>
        <v>0.3</v>
      </c>
      <c r="I96" s="117" t="s">
        <v>361</v>
      </c>
      <c r="J96" s="9">
        <f>IFERROR(SUM(
IF('TL01'!$B$3=J$3,SUMIF('TL01'!$C$10:$C$224,$C96,'TL01'!$J$10:$J$224),0),
IF('TL01'!$B$229=J$3,SUMIF('TL01'!$C$238:$C$451,$C96,'TL01'!$J$238:$J$451),0),
IF('TL02'!$B$3=J$3,SUMIF('TL02'!$C$10:$C$224,$C96,'TL02'!$J$10:$J$224),0),
IF('TL02'!$B$229=J$3,SUMIF('TL02'!$C$238:$C$451,$C96,'TL02'!$J$238:$J$451),0),
IF('TL03'!$B$3=J$3,SUMIF('TL03'!$C$10:$C$224,$C96,'TL03'!$J$10:$J$224),0),
IF('TL03'!$B$229=J$3,SUMIF('TL03'!$C$238:$C$451,$C96,'TL03'!$J$238:$J$451),0),
IF('TL04'!$B$3=J$3,SUMIF('TL04'!$C$10:$C$224,$C96,'TL04'!$J$10:$J$224),0),
IF('TL04'!$B$229=J$3,SUMIF('TL04'!$C$238:$C$451,$C96,'TL04'!$J$238:$J$451),0),
IF('TL05'!$B$3=J$3,SUMIF('TL05'!$C$10:$C$224,$C96,'TL05'!$J$10:$J$224),0),
IF('TL05'!$B$229=J$3,SUMIF('TL05'!$C$238:$C$451,$C96,'TL05'!$J$238:$J$451),0),
IF('TL06'!$B$3=J$3,SUMIF('TL06'!$C$10:$C$224,$C96,'TL06'!$J$10:$J$224),0),
IF('TL06'!$B$229=J$3,SUMIF('TL06'!$C$238:$C$451,$C96,'TL06'!$J$238:$J$451),0),
IF('TL07'!$B$3=J$3,SUMIF('TL07'!$C$10:$C$224,$C96,'TL07'!$J$10:$J$224),0),
IF('TL07'!$B$229=J$3,SUMIF('TL07'!$C$238:$C$451,$C96,'TL07'!$J$238:$J$451),0),
IF('TL08'!$B$3=J$3,SUMIF('TL08'!$C$10:$C$224,$C96,'TL08'!$J$10:$J$224),0),
IF('TL08'!$B$229=J$3,SUMIF('TL08'!$C$238:$C$451,$C96,'TL08'!$J$238:$J$451),0),
IF('TL09'!$B$3=J$3,SUMIF('TL09'!$C$10:$C$224,$C96,'TL09'!$J$10:$J$224),0),
IF('TL09'!$B$229=J$3,SUMIF('TL09'!$C$238:$C$451,$C96,'TL09'!$J$238:$J$451),0),
IF('TL10'!$B$3=J$3,SUMIF('TL10'!$C$10:$C$224,$C96,'TL10'!$J$10:$J$224),0),
IF('TL10'!$B$229=J$3,SUMIF('TL10'!$C$238:$C$451,$C96,'TL10'!$J$238:$J$451),0),
IF('TL11'!$B$3=J$3,SUMIF('TL11'!$C$10:$C$224,$C96,'TL11'!$J$10:$J$224),0),
IF('TL11'!$B$229=J$3,SUMIF('TL11'!$C$238:$C$451,$C96,'TL11'!$J$238:$J$451),0),
IF('TL12'!$B$3=J$3,SUMIF('TL12'!$C$10:$C$224,$C96,'TL12'!$J$10:$J$224),0),
IF('TL12'!$B$229=J$3,SUMIF('TL12'!$C$238:$C$451,$C96,'TL12'!$J$238:$J$451),0),
IF('TL13'!$B$3=J$3,SUMIF('TL13'!$C$10:$C$224,$C96,'TL13'!$J$10:$J$224),0),
IF('TL13'!$B$229=J$3,SUMIF('TL13'!$C$238:$C$451,$C96,'TL13'!$J$238:$J$451),0),
IF('TL14'!$B$3=J$3,SUMIF('TL14'!$C$10:$C$224,$C96,'TL14'!$J$10:$J$224),0),
IF('TL14'!$B$229=J$3,SUMIF('TL14'!$C$238:$C$451,$C96,'TL14'!$J$238:$J$451),0),
IF('TL15'!$B$3=J$3,SUMIF('TL15'!$C$10:$C$224,$C96,'TL15'!$J$10:$J$224),0),
IF('TL15'!$B$229=J$3,SUMIF('TL15'!$C$238:$C$451,$C96,'TL15'!$J$238:$J$451),0),
IF('TL16'!$B$3=J$3,SUMIF('TL16'!$C$10:$C$224,$C96,'TL16'!$J$10:$J$224),0),
IF('TL16'!$B$229=J$3,SUMIF('TL16'!$C$238:$C$451,$C96,'TL16'!$J$238:$J$451),0),
IF('TL17'!$B$3=J$3,SUMIF('TL17'!$C$10:$C$224,$C96,'TL17'!$J$10:$J$224),0),
IF('TL17'!$B$229=J$3,SUMIF('TL17'!$C$238:$C$451,$C96,'TL17'!$J$238:$J$451),0),
IF('TL18'!$B$3=J$3,SUMIF('TL18'!$C$10:$C$224,$C96,'TL18'!$J$10:$J$224),0),
IF('TL18'!$B$229=J$3,SUMIF('TL18'!$C$238:$C$451,$C96,'TL18'!$J$238:$J$451),0),
IF('TL19'!$B$3=J$3,SUMIF('TL19'!$C$10:$C$224,$C96,'TL19'!$J$10:$J$224),0),
IF('TL19'!$B$229=J$3,SUMIF('TL19'!$C$238:$C$451,$C96,'TL19'!$J$238:$J$451),0)
),0)</f>
        <v>0</v>
      </c>
      <c r="K96" s="9">
        <f>IFERROR(SUM(
IF('TL01'!$B$3=K$3,SUMIF('TL01'!$C$10:$C$224,$C96,'TL01'!$J$10:$J$224),0),
IF('TL01'!$B$229=K$3,SUMIF('TL01'!$C$238:$C$451,$C96,'TL01'!$J$238:$J$451),0),
IF('TL02'!$B$3=K$3,SUMIF('TL02'!$C$10:$C$224,$C96,'TL02'!$J$10:$J$224),0),
IF('TL02'!$B$229=K$3,SUMIF('TL02'!$C$238:$C$451,$C96,'TL02'!$J$238:$J$451),0),
IF('TL03'!$B$3=K$3,SUMIF('TL03'!$C$10:$C$224,$C96,'TL03'!$J$10:$J$224),0),
IF('TL03'!$B$229=K$3,SUMIF('TL03'!$C$238:$C$451,$C96,'TL03'!$J$238:$J$451),0),
IF('TL04'!$B$3=K$3,SUMIF('TL04'!$C$10:$C$224,$C96,'TL04'!$J$10:$J$224),0),
IF('TL04'!$B$229=K$3,SUMIF('TL04'!$C$238:$C$451,$C96,'TL04'!$J$238:$J$451),0),
IF('TL05'!$B$3=K$3,SUMIF('TL05'!$C$10:$C$224,$C96,'TL05'!$J$10:$J$224),0),
IF('TL05'!$B$229=K$3,SUMIF('TL05'!$C$238:$C$451,$C96,'TL05'!$J$238:$J$451),0),
IF('TL06'!$B$3=K$3,SUMIF('TL06'!$C$10:$C$224,$C96,'TL06'!$J$10:$J$224),0),
IF('TL06'!$B$229=K$3,SUMIF('TL06'!$C$238:$C$451,$C96,'TL06'!$J$238:$J$451),0),
IF('TL07'!$B$3=K$3,SUMIF('TL07'!$C$10:$C$224,$C96,'TL07'!$J$10:$J$224),0),
IF('TL07'!$B$229=K$3,SUMIF('TL07'!$C$238:$C$451,$C96,'TL07'!$J$238:$J$451),0),
IF('TL08'!$B$3=K$3,SUMIF('TL08'!$C$10:$C$224,$C96,'TL08'!$J$10:$J$224),0),
IF('TL08'!$B$229=K$3,SUMIF('TL08'!$C$238:$C$451,$C96,'TL08'!$J$238:$J$451),0),
IF('TL09'!$B$3=K$3,SUMIF('TL09'!$C$10:$C$224,$C96,'TL09'!$J$10:$J$224),0),
IF('TL09'!$B$229=K$3,SUMIF('TL09'!$C$238:$C$451,$C96,'TL09'!$J$238:$J$451),0),
IF('TL10'!$B$3=K$3,SUMIF('TL10'!$C$10:$C$224,$C96,'TL10'!$J$10:$J$224),0),
IF('TL10'!$B$229=K$3,SUMIF('TL10'!$C$238:$C$451,$C96,'TL10'!$J$238:$J$451),0),
IF('TL11'!$B$3=K$3,SUMIF('TL11'!$C$10:$C$224,$C96,'TL11'!$J$10:$J$224),0),
IF('TL11'!$B$229=K$3,SUMIF('TL11'!$C$238:$C$451,$C96,'TL11'!$J$238:$J$451),0),
IF('TL12'!$B$3=K$3,SUMIF('TL12'!$C$10:$C$224,$C96,'TL12'!$J$10:$J$224),0),
IF('TL12'!$B$229=K$3,SUMIF('TL12'!$C$238:$C$451,$C96,'TL12'!$J$238:$J$451),0),
IF('TL13'!$B$3=K$3,SUMIF('TL13'!$C$10:$C$224,$C96,'TL13'!$J$10:$J$224),0),
IF('TL13'!$B$229=K$3,SUMIF('TL13'!$C$238:$C$451,$C96,'TL13'!$J$238:$J$451),0),
IF('TL14'!$B$3=K$3,SUMIF('TL14'!$C$10:$C$224,$C96,'TL14'!$J$10:$J$224),0),
IF('TL14'!$B$229=K$3,SUMIF('TL14'!$C$238:$C$451,$C96,'TL14'!$J$238:$J$451),0),
IF('TL15'!$B$3=K$3,SUMIF('TL15'!$C$10:$C$224,$C96,'TL15'!$J$10:$J$224),0),
IF('TL15'!$B$229=K$3,SUMIF('TL15'!$C$238:$C$451,$C96,'TL15'!$J$238:$J$451),0),
IF('TL16'!$B$3=K$3,SUMIF('TL16'!$C$10:$C$224,$C96,'TL16'!$J$10:$J$224),0),
IF('TL16'!$B$229=K$3,SUMIF('TL16'!$C$238:$C$451,$C96,'TL16'!$J$238:$J$451),0),
IF('TL17'!$B$3=K$3,SUMIF('TL17'!$C$10:$C$224,$C96,'TL17'!$J$10:$J$224),0),
IF('TL17'!$B$229=K$3,SUMIF('TL17'!$C$238:$C$451,$C96,'TL17'!$J$238:$J$451),0),
IF('TL18'!$B$3=K$3,SUMIF('TL18'!$C$10:$C$224,$C96,'TL18'!$J$10:$J$224),0),
IF('TL18'!$B$229=K$3,SUMIF('TL18'!$C$238:$C$451,$C96,'TL18'!$J$238:$J$451),0),
IF('TL19'!$B$3=K$3,SUMIF('TL19'!$C$10:$C$224,$C96,'TL19'!$J$10:$J$224),0),
IF('TL19'!$B$229=K$3,SUMIF('TL19'!$C$238:$C$451,$C96,'TL19'!$J$238:$J$451),0)
),0)</f>
        <v>0</v>
      </c>
      <c r="L96" s="9">
        <f>IFERROR(SUM(
IF('TL01'!$B$3=L$3,SUMIF('TL01'!$C$10:$C$224,$C96,'TL01'!$J$10:$J$224),0),
IF('TL01'!$B$229=L$3,SUMIF('TL01'!$C$238:$C$451,$C96,'TL01'!$J$238:$J$451),0),
IF('TL02'!$B$3=L$3,SUMIF('TL02'!$C$10:$C$224,$C96,'TL02'!$J$10:$J$224),0),
IF('TL02'!$B$229=L$3,SUMIF('TL02'!$C$238:$C$451,$C96,'TL02'!$J$238:$J$451),0),
IF('TL03'!$B$3=L$3,SUMIF('TL03'!$C$10:$C$224,$C96,'TL03'!$J$10:$J$224),0),
IF('TL03'!$B$229=L$3,SUMIF('TL03'!$C$238:$C$451,$C96,'TL03'!$J$238:$J$451),0),
IF('TL04'!$B$3=L$3,SUMIF('TL04'!$C$10:$C$224,$C96,'TL04'!$J$10:$J$224),0),
IF('TL04'!$B$229=L$3,SUMIF('TL04'!$C$238:$C$451,$C96,'TL04'!$J$238:$J$451),0),
IF('TL05'!$B$3=L$3,SUMIF('TL05'!$C$10:$C$224,$C96,'TL05'!$J$10:$J$224),0),
IF('TL05'!$B$229=L$3,SUMIF('TL05'!$C$238:$C$451,$C96,'TL05'!$J$238:$J$451),0),
IF('TL06'!$B$3=L$3,SUMIF('TL06'!$C$10:$C$224,$C96,'TL06'!$J$10:$J$224),0),
IF('TL06'!$B$229=L$3,SUMIF('TL06'!$C$238:$C$451,$C96,'TL06'!$J$238:$J$451),0),
IF('TL07'!$B$3=L$3,SUMIF('TL07'!$C$10:$C$224,$C96,'TL07'!$J$10:$J$224),0),
IF('TL07'!$B$229=L$3,SUMIF('TL07'!$C$238:$C$451,$C96,'TL07'!$J$238:$J$451),0),
IF('TL08'!$B$3=L$3,SUMIF('TL08'!$C$10:$C$224,$C96,'TL08'!$J$10:$J$224),0),
IF('TL08'!$B$229=L$3,SUMIF('TL08'!$C$238:$C$451,$C96,'TL08'!$J$238:$J$451),0),
IF('TL09'!$B$3=L$3,SUMIF('TL09'!$C$10:$C$224,$C96,'TL09'!$J$10:$J$224),0),
IF('TL09'!$B$229=L$3,SUMIF('TL09'!$C$238:$C$451,$C96,'TL09'!$J$238:$J$451),0),
IF('TL10'!$B$3=L$3,SUMIF('TL10'!$C$10:$C$224,$C96,'TL10'!$J$10:$J$224),0),
IF('TL10'!$B$229=L$3,SUMIF('TL10'!$C$238:$C$451,$C96,'TL10'!$J$238:$J$451),0),
IF('TL11'!$B$3=L$3,SUMIF('TL11'!$C$10:$C$224,$C96,'TL11'!$J$10:$J$224),0),
IF('TL11'!$B$229=L$3,SUMIF('TL11'!$C$238:$C$451,$C96,'TL11'!$J$238:$J$451),0),
IF('TL12'!$B$3=L$3,SUMIF('TL12'!$C$10:$C$224,$C96,'TL12'!$J$10:$J$224),0),
IF('TL12'!$B$229=L$3,SUMIF('TL12'!$C$238:$C$451,$C96,'TL12'!$J$238:$J$451),0),
IF('TL13'!$B$3=L$3,SUMIF('TL13'!$C$10:$C$224,$C96,'TL13'!$J$10:$J$224),0),
IF('TL13'!$B$229=L$3,SUMIF('TL13'!$C$238:$C$451,$C96,'TL13'!$J$238:$J$451),0),
IF('TL14'!$B$3=L$3,SUMIF('TL14'!$C$10:$C$224,$C96,'TL14'!$J$10:$J$224),0),
IF('TL14'!$B$229=L$3,SUMIF('TL14'!$C$238:$C$451,$C96,'TL14'!$J$238:$J$451),0),
IF('TL15'!$B$3=L$3,SUMIF('TL15'!$C$10:$C$224,$C96,'TL15'!$J$10:$J$224),0),
IF('TL15'!$B$229=L$3,SUMIF('TL15'!$C$238:$C$451,$C96,'TL15'!$J$238:$J$451),0),
IF('TL16'!$B$3=L$3,SUMIF('TL16'!$C$10:$C$224,$C96,'TL16'!$J$10:$J$224),0),
IF('TL16'!$B$229=L$3,SUMIF('TL16'!$C$238:$C$451,$C96,'TL16'!$J$238:$J$451),0),
IF('TL17'!$B$3=L$3,SUMIF('TL17'!$C$10:$C$224,$C96,'TL17'!$J$10:$J$224),0),
IF('TL17'!$B$229=L$3,SUMIF('TL17'!$C$238:$C$451,$C96,'TL17'!$J$238:$J$451),0),
IF('TL18'!$B$3=L$3,SUMIF('TL18'!$C$10:$C$224,$C96,'TL18'!$J$10:$J$224),0),
IF('TL18'!$B$229=L$3,SUMIF('TL18'!$C$238:$C$451,$C96,'TL18'!$J$238:$J$451),0),
IF('TL19'!$B$3=L$3,SUMIF('TL19'!$C$10:$C$224,$C96,'TL19'!$J$10:$J$224),0),
IF('TL19'!$B$229=L$3,SUMIF('TL19'!$C$238:$C$451,$C96,'TL19'!$J$238:$J$451),0)
),0)</f>
        <v>0</v>
      </c>
      <c r="M96" s="9">
        <f>IFERROR(SUM(
IF('TL01'!$B$3=M$3,SUMIF('TL01'!$C$10:$C$224,$C96,'TL01'!$J$10:$J$224),0),
IF('TL01'!$B$229=M$3,SUMIF('TL01'!$C$238:$C$451,$C96,'TL01'!$J$238:$J$451),0),
IF('TL02'!$B$3=M$3,SUMIF('TL02'!$C$10:$C$224,$C96,'TL02'!$J$10:$J$224),0),
IF('TL02'!$B$229=M$3,SUMIF('TL02'!$C$238:$C$451,$C96,'TL02'!$J$238:$J$451),0),
IF('TL03'!$B$3=M$3,SUMIF('TL03'!$C$10:$C$224,$C96,'TL03'!$J$10:$J$224),0),
IF('TL03'!$B$229=M$3,SUMIF('TL03'!$C$238:$C$451,$C96,'TL03'!$J$238:$J$451),0),
IF('TL04'!$B$3=M$3,SUMIF('TL04'!$C$10:$C$224,$C96,'TL04'!$J$10:$J$224),0),
IF('TL04'!$B$229=M$3,SUMIF('TL04'!$C$238:$C$451,$C96,'TL04'!$J$238:$J$451),0),
IF('TL05'!$B$3=M$3,SUMIF('TL05'!$C$10:$C$224,$C96,'TL05'!$J$10:$J$224),0),
IF('TL05'!$B$229=M$3,SUMIF('TL05'!$C$238:$C$451,$C96,'TL05'!$J$238:$J$451),0),
IF('TL06'!$B$3=M$3,SUMIF('TL06'!$C$10:$C$224,$C96,'TL06'!$J$10:$J$224),0),
IF('TL06'!$B$229=M$3,SUMIF('TL06'!$C$238:$C$451,$C96,'TL06'!$J$238:$J$451),0),
IF('TL07'!$B$3=M$3,SUMIF('TL07'!$C$10:$C$224,$C96,'TL07'!$J$10:$J$224),0),
IF('TL07'!$B$229=M$3,SUMIF('TL07'!$C$238:$C$451,$C96,'TL07'!$J$238:$J$451),0),
IF('TL08'!$B$3=M$3,SUMIF('TL08'!$C$10:$C$224,$C96,'TL08'!$J$10:$J$224),0),
IF('TL08'!$B$229=M$3,SUMIF('TL08'!$C$238:$C$451,$C96,'TL08'!$J$238:$J$451),0),
IF('TL09'!$B$3=M$3,SUMIF('TL09'!$C$10:$C$224,$C96,'TL09'!$J$10:$J$224),0),
IF('TL09'!$B$229=M$3,SUMIF('TL09'!$C$238:$C$451,$C96,'TL09'!$J$238:$J$451),0),
IF('TL10'!$B$3=M$3,SUMIF('TL10'!$C$10:$C$224,$C96,'TL10'!$J$10:$J$224),0),
IF('TL10'!$B$229=M$3,SUMIF('TL10'!$C$238:$C$451,$C96,'TL10'!$J$238:$J$451),0),
IF('TL11'!$B$3=M$3,SUMIF('TL11'!$C$10:$C$224,$C96,'TL11'!$J$10:$J$224),0),
IF('TL11'!$B$229=M$3,SUMIF('TL11'!$C$238:$C$451,$C96,'TL11'!$J$238:$J$451),0),
IF('TL12'!$B$3=M$3,SUMIF('TL12'!$C$10:$C$224,$C96,'TL12'!$J$10:$J$224),0),
IF('TL12'!$B$229=M$3,SUMIF('TL12'!$C$238:$C$451,$C96,'TL12'!$J$238:$J$451),0),
IF('TL13'!$B$3=M$3,SUMIF('TL13'!$C$10:$C$224,$C96,'TL13'!$J$10:$J$224),0),
IF('TL13'!$B$229=M$3,SUMIF('TL13'!$C$238:$C$451,$C96,'TL13'!$J$238:$J$451),0),
IF('TL14'!$B$3=M$3,SUMIF('TL14'!$C$10:$C$224,$C96,'TL14'!$J$10:$J$224),0),
IF('TL14'!$B$229=M$3,SUMIF('TL14'!$C$238:$C$451,$C96,'TL14'!$J$238:$J$451),0),
IF('TL15'!$B$3=M$3,SUMIF('TL15'!$C$10:$C$224,$C96,'TL15'!$J$10:$J$224),0),
IF('TL15'!$B$229=M$3,SUMIF('TL15'!$C$238:$C$451,$C96,'TL15'!$J$238:$J$451),0),
IF('TL16'!$B$3=M$3,SUMIF('TL16'!$C$10:$C$224,$C96,'TL16'!$J$10:$J$224),0),
IF('TL16'!$B$229=M$3,SUMIF('TL16'!$C$238:$C$451,$C96,'TL16'!$J$238:$J$451),0),
IF('TL17'!$B$3=M$3,SUMIF('TL17'!$C$10:$C$224,$C96,'TL17'!$J$10:$J$224),0),
IF('TL17'!$B$229=M$3,SUMIF('TL17'!$C$238:$C$451,$C96,'TL17'!$J$238:$J$451),0),
IF('TL18'!$B$3=M$3,SUMIF('TL18'!$C$10:$C$224,$C96,'TL18'!$J$10:$J$224),0),
IF('TL18'!$B$229=M$3,SUMIF('TL18'!$C$238:$C$451,$C96,'TL18'!$J$238:$J$451),0),
IF('TL19'!$B$3=M$3,SUMIF('TL19'!$C$10:$C$224,$C96,'TL19'!$J$10:$J$224),0),
IF('TL19'!$B$229=M$3,SUMIF('TL19'!$C$238:$C$451,$C96,'TL19'!$J$238:$J$451),0)
),0)</f>
        <v>0</v>
      </c>
      <c r="N96" s="9">
        <f>IFERROR(SUM(
IF('TL01'!$B$3=N$3,SUMIF('TL01'!$C$10:$C$224,$C96,'TL01'!$J$10:$J$224),0),
IF('TL01'!$B$229=N$3,SUMIF('TL01'!$C$238:$C$451,$C96,'TL01'!$J$238:$J$451),0),
IF('TL02'!$B$3=N$3,SUMIF('TL02'!$C$10:$C$224,$C96,'TL02'!$J$10:$J$224),0),
IF('TL02'!$B$229=N$3,SUMIF('TL02'!$C$238:$C$451,$C96,'TL02'!$J$238:$J$451),0),
IF('TL03'!$B$3=N$3,SUMIF('TL03'!$C$10:$C$224,$C96,'TL03'!$J$10:$J$224),0),
IF('TL03'!$B$229=N$3,SUMIF('TL03'!$C$238:$C$451,$C96,'TL03'!$J$238:$J$451),0),
IF('TL04'!$B$3=N$3,SUMIF('TL04'!$C$10:$C$224,$C96,'TL04'!$J$10:$J$224),0),
IF('TL04'!$B$229=N$3,SUMIF('TL04'!$C$238:$C$451,$C96,'TL04'!$J$238:$J$451),0),
IF('TL05'!$B$3=N$3,SUMIF('TL05'!$C$10:$C$224,$C96,'TL05'!$J$10:$J$224),0),
IF('TL05'!$B$229=N$3,SUMIF('TL05'!$C$238:$C$451,$C96,'TL05'!$J$238:$J$451),0),
IF('TL06'!$B$3=N$3,SUMIF('TL06'!$C$10:$C$224,$C96,'TL06'!$J$10:$J$224),0),
IF('TL06'!$B$229=N$3,SUMIF('TL06'!$C$238:$C$451,$C96,'TL06'!$J$238:$J$451),0),
IF('TL07'!$B$3=N$3,SUMIF('TL07'!$C$10:$C$224,$C96,'TL07'!$J$10:$J$224),0),
IF('TL07'!$B$229=N$3,SUMIF('TL07'!$C$238:$C$451,$C96,'TL07'!$J$238:$J$451),0),
IF('TL08'!$B$3=N$3,SUMIF('TL08'!$C$10:$C$224,$C96,'TL08'!$J$10:$J$224),0),
IF('TL08'!$B$229=N$3,SUMIF('TL08'!$C$238:$C$451,$C96,'TL08'!$J$238:$J$451),0),
IF('TL09'!$B$3=N$3,SUMIF('TL09'!$C$10:$C$224,$C96,'TL09'!$J$10:$J$224),0),
IF('TL09'!$B$229=N$3,SUMIF('TL09'!$C$238:$C$451,$C96,'TL09'!$J$238:$J$451),0),
IF('TL10'!$B$3=N$3,SUMIF('TL10'!$C$10:$C$224,$C96,'TL10'!$J$10:$J$224),0),
IF('TL10'!$B$229=N$3,SUMIF('TL10'!$C$238:$C$451,$C96,'TL10'!$J$238:$J$451),0),
IF('TL11'!$B$3=N$3,SUMIF('TL11'!$C$10:$C$224,$C96,'TL11'!$J$10:$J$224),0),
IF('TL11'!$B$229=N$3,SUMIF('TL11'!$C$238:$C$451,$C96,'TL11'!$J$238:$J$451),0),
IF('TL12'!$B$3=N$3,SUMIF('TL12'!$C$10:$C$224,$C96,'TL12'!$J$10:$J$224),0),
IF('TL12'!$B$229=N$3,SUMIF('TL12'!$C$238:$C$451,$C96,'TL12'!$J$238:$J$451),0),
IF('TL13'!$B$3=N$3,SUMIF('TL13'!$C$10:$C$224,$C96,'TL13'!$J$10:$J$224),0),
IF('TL13'!$B$229=N$3,SUMIF('TL13'!$C$238:$C$451,$C96,'TL13'!$J$238:$J$451),0),
IF('TL14'!$B$3=N$3,SUMIF('TL14'!$C$10:$C$224,$C96,'TL14'!$J$10:$J$224),0),
IF('TL14'!$B$229=N$3,SUMIF('TL14'!$C$238:$C$451,$C96,'TL14'!$J$238:$J$451),0),
IF('TL15'!$B$3=N$3,SUMIF('TL15'!$C$10:$C$224,$C96,'TL15'!$J$10:$J$224),0),
IF('TL15'!$B$229=N$3,SUMIF('TL15'!$C$238:$C$451,$C96,'TL15'!$J$238:$J$451),0),
IF('TL16'!$B$3=N$3,SUMIF('TL16'!$C$10:$C$224,$C96,'TL16'!$J$10:$J$224),0),
IF('TL16'!$B$229=N$3,SUMIF('TL16'!$C$238:$C$451,$C96,'TL16'!$J$238:$J$451),0),
IF('TL17'!$B$3=N$3,SUMIF('TL17'!$C$10:$C$224,$C96,'TL17'!$J$10:$J$224),0),
IF('TL17'!$B$229=N$3,SUMIF('TL17'!$C$238:$C$451,$C96,'TL17'!$J$238:$J$451),0),
IF('TL18'!$B$3=N$3,SUMIF('TL18'!$C$10:$C$224,$C96,'TL18'!$J$10:$J$224),0),
IF('TL18'!$B$229=N$3,SUMIF('TL18'!$C$238:$C$451,$C96,'TL18'!$J$238:$J$451),0),
IF('TL19'!$B$3=N$3,SUMIF('TL19'!$C$10:$C$224,$C96,'TL19'!$J$10:$J$224),0),
IF('TL19'!$B$229=N$3,SUMIF('TL19'!$C$238:$C$451,$C96,'TL19'!$J$238:$J$451),0)
),0)</f>
        <v>0</v>
      </c>
      <c r="O96" s="9">
        <f>IFERROR(SUM(
IF('TL01'!$B$3=O$3,SUMIF('TL01'!$C$10:$C$224,$C96,'TL01'!$J$10:$J$224),0),
IF('TL01'!$B$229=O$3,SUMIF('TL01'!$C$238:$C$451,$C96,'TL01'!$J$238:$J$451),0),
IF('TL02'!$B$3=O$3,SUMIF('TL02'!$C$10:$C$224,$C96,'TL02'!$J$10:$J$224),0),
IF('TL02'!$B$229=O$3,SUMIF('TL02'!$C$238:$C$451,$C96,'TL02'!$J$238:$J$451),0),
IF('TL03'!$B$3=O$3,SUMIF('TL03'!$C$10:$C$224,$C96,'TL03'!$J$10:$J$224),0),
IF('TL03'!$B$229=O$3,SUMIF('TL03'!$C$238:$C$451,$C96,'TL03'!$J$238:$J$451),0),
IF('TL04'!$B$3=O$3,SUMIF('TL04'!$C$10:$C$224,$C96,'TL04'!$J$10:$J$224),0),
IF('TL04'!$B$229=O$3,SUMIF('TL04'!$C$238:$C$451,$C96,'TL04'!$J$238:$J$451),0),
IF('TL05'!$B$3=O$3,SUMIF('TL05'!$C$10:$C$224,$C96,'TL05'!$J$10:$J$224),0),
IF('TL05'!$B$229=O$3,SUMIF('TL05'!$C$238:$C$451,$C96,'TL05'!$J$238:$J$451),0),
IF('TL06'!$B$3=O$3,SUMIF('TL06'!$C$10:$C$224,$C96,'TL06'!$J$10:$J$224),0),
IF('TL06'!$B$229=O$3,SUMIF('TL06'!$C$238:$C$451,$C96,'TL06'!$J$238:$J$451),0),
IF('TL07'!$B$3=O$3,SUMIF('TL07'!$C$10:$C$224,$C96,'TL07'!$J$10:$J$224),0),
IF('TL07'!$B$229=O$3,SUMIF('TL07'!$C$238:$C$451,$C96,'TL07'!$J$238:$J$451),0),
IF('TL08'!$B$3=O$3,SUMIF('TL08'!$C$10:$C$224,$C96,'TL08'!$J$10:$J$224),0),
IF('TL08'!$B$229=O$3,SUMIF('TL08'!$C$238:$C$451,$C96,'TL08'!$J$238:$J$451),0),
IF('TL09'!$B$3=O$3,SUMIF('TL09'!$C$10:$C$224,$C96,'TL09'!$J$10:$J$224),0),
IF('TL09'!$B$229=O$3,SUMIF('TL09'!$C$238:$C$451,$C96,'TL09'!$J$238:$J$451),0),
IF('TL10'!$B$3=O$3,SUMIF('TL10'!$C$10:$C$224,$C96,'TL10'!$J$10:$J$224),0),
IF('TL10'!$B$229=O$3,SUMIF('TL10'!$C$238:$C$451,$C96,'TL10'!$J$238:$J$451),0),
IF('TL11'!$B$3=O$3,SUMIF('TL11'!$C$10:$C$224,$C96,'TL11'!$J$10:$J$224),0),
IF('TL11'!$B$229=O$3,SUMIF('TL11'!$C$238:$C$451,$C96,'TL11'!$J$238:$J$451),0),
IF('TL12'!$B$3=O$3,SUMIF('TL12'!$C$10:$C$224,$C96,'TL12'!$J$10:$J$224),0),
IF('TL12'!$B$229=O$3,SUMIF('TL12'!$C$238:$C$451,$C96,'TL12'!$J$238:$J$451),0),
IF('TL13'!$B$3=O$3,SUMIF('TL13'!$C$10:$C$224,$C96,'TL13'!$J$10:$J$224),0),
IF('TL13'!$B$229=O$3,SUMIF('TL13'!$C$238:$C$451,$C96,'TL13'!$J$238:$J$451),0),
IF('TL14'!$B$3=O$3,SUMIF('TL14'!$C$10:$C$224,$C96,'TL14'!$J$10:$J$224),0),
IF('TL14'!$B$229=O$3,SUMIF('TL14'!$C$238:$C$451,$C96,'TL14'!$J$238:$J$451),0),
IF('TL15'!$B$3=O$3,SUMIF('TL15'!$C$10:$C$224,$C96,'TL15'!$J$10:$J$224),0),
IF('TL15'!$B$229=O$3,SUMIF('TL15'!$C$238:$C$451,$C96,'TL15'!$J$238:$J$451),0),
IF('TL16'!$B$3=O$3,SUMIF('TL16'!$C$10:$C$224,$C96,'TL16'!$J$10:$J$224),0),
IF('TL16'!$B$229=O$3,SUMIF('TL16'!$C$238:$C$451,$C96,'TL16'!$J$238:$J$451),0),
IF('TL17'!$B$3=O$3,SUMIF('TL17'!$C$10:$C$224,$C96,'TL17'!$J$10:$J$224),0),
IF('TL17'!$B$229=O$3,SUMIF('TL17'!$C$238:$C$451,$C96,'TL17'!$J$238:$J$451),0),
IF('TL18'!$B$3=O$3,SUMIF('TL18'!$C$10:$C$224,$C96,'TL18'!$J$10:$J$224),0),
IF('TL18'!$B$229=O$3,SUMIF('TL18'!$C$238:$C$451,$C96,'TL18'!$J$238:$J$451),0),
IF('TL19'!$B$3=O$3,SUMIF('TL19'!$C$10:$C$224,$C96,'TL19'!$J$10:$J$224),0),
IF('TL19'!$B$229=O$3,SUMIF('TL19'!$C$238:$C$451,$C96,'TL19'!$J$238:$J$451),0)
),0)</f>
        <v>0</v>
      </c>
      <c r="P96" s="9">
        <f>IFERROR(SUM(
IF('TL01'!$B$3=P$3,SUMIF('TL01'!$C$10:$C$224,$C96,'TL01'!$J$10:$J$224),0),
IF('TL01'!$B$229=P$3,SUMIF('TL01'!$C$238:$C$451,$C96,'TL01'!$J$238:$J$451),0),
IF('TL02'!$B$3=P$3,SUMIF('TL02'!$C$10:$C$224,$C96,'TL02'!$J$10:$J$224),0),
IF('TL02'!$B$229=P$3,SUMIF('TL02'!$C$238:$C$451,$C96,'TL02'!$J$238:$J$451),0),
IF('TL03'!$B$3=P$3,SUMIF('TL03'!$C$10:$C$224,$C96,'TL03'!$J$10:$J$224),0),
IF('TL03'!$B$229=P$3,SUMIF('TL03'!$C$238:$C$451,$C96,'TL03'!$J$238:$J$451),0),
IF('TL04'!$B$3=P$3,SUMIF('TL04'!$C$10:$C$224,$C96,'TL04'!$J$10:$J$224),0),
IF('TL04'!$B$229=P$3,SUMIF('TL04'!$C$238:$C$451,$C96,'TL04'!$J$238:$J$451),0),
IF('TL05'!$B$3=P$3,SUMIF('TL05'!$C$10:$C$224,$C96,'TL05'!$J$10:$J$224),0),
IF('TL05'!$B$229=P$3,SUMIF('TL05'!$C$238:$C$451,$C96,'TL05'!$J$238:$J$451),0),
IF('TL06'!$B$3=P$3,SUMIF('TL06'!$C$10:$C$224,$C96,'TL06'!$J$10:$J$224),0),
IF('TL06'!$B$229=P$3,SUMIF('TL06'!$C$238:$C$451,$C96,'TL06'!$J$238:$J$451),0),
IF('TL07'!$B$3=P$3,SUMIF('TL07'!$C$10:$C$224,$C96,'TL07'!$J$10:$J$224),0),
IF('TL07'!$B$229=P$3,SUMIF('TL07'!$C$238:$C$451,$C96,'TL07'!$J$238:$J$451),0),
IF('TL08'!$B$3=P$3,SUMIF('TL08'!$C$10:$C$224,$C96,'TL08'!$J$10:$J$224),0),
IF('TL08'!$B$229=P$3,SUMIF('TL08'!$C$238:$C$451,$C96,'TL08'!$J$238:$J$451),0),
IF('TL09'!$B$3=P$3,SUMIF('TL09'!$C$10:$C$224,$C96,'TL09'!$J$10:$J$224),0),
IF('TL09'!$B$229=P$3,SUMIF('TL09'!$C$238:$C$451,$C96,'TL09'!$J$238:$J$451),0),
IF('TL10'!$B$3=P$3,SUMIF('TL10'!$C$10:$C$224,$C96,'TL10'!$J$10:$J$224),0),
IF('TL10'!$B$229=P$3,SUMIF('TL10'!$C$238:$C$451,$C96,'TL10'!$J$238:$J$451),0),
IF('TL11'!$B$3=P$3,SUMIF('TL11'!$C$10:$C$224,$C96,'TL11'!$J$10:$J$224),0),
IF('TL11'!$B$229=P$3,SUMIF('TL11'!$C$238:$C$451,$C96,'TL11'!$J$238:$J$451),0),
IF('TL12'!$B$3=P$3,SUMIF('TL12'!$C$10:$C$224,$C96,'TL12'!$J$10:$J$224),0),
IF('TL12'!$B$229=P$3,SUMIF('TL12'!$C$238:$C$451,$C96,'TL12'!$J$238:$J$451),0),
IF('TL13'!$B$3=P$3,SUMIF('TL13'!$C$10:$C$224,$C96,'TL13'!$J$10:$J$224),0),
IF('TL13'!$B$229=P$3,SUMIF('TL13'!$C$238:$C$451,$C96,'TL13'!$J$238:$J$451),0),
IF('TL14'!$B$3=P$3,SUMIF('TL14'!$C$10:$C$224,$C96,'TL14'!$J$10:$J$224),0),
IF('TL14'!$B$229=P$3,SUMIF('TL14'!$C$238:$C$451,$C96,'TL14'!$J$238:$J$451),0),
IF('TL15'!$B$3=P$3,SUMIF('TL15'!$C$10:$C$224,$C96,'TL15'!$J$10:$J$224),0),
IF('TL15'!$B$229=P$3,SUMIF('TL15'!$C$238:$C$451,$C96,'TL15'!$J$238:$J$451),0),
IF('TL16'!$B$3=P$3,SUMIF('TL16'!$C$10:$C$224,$C96,'TL16'!$J$10:$J$224),0),
IF('TL16'!$B$229=P$3,SUMIF('TL16'!$C$238:$C$451,$C96,'TL16'!$J$238:$J$451),0),
IF('TL17'!$B$3=P$3,SUMIF('TL17'!$C$10:$C$224,$C96,'TL17'!$J$10:$J$224),0),
IF('TL17'!$B$229=P$3,SUMIF('TL17'!$C$238:$C$451,$C96,'TL17'!$J$238:$J$451),0),
IF('TL18'!$B$3=P$3,SUMIF('TL18'!$C$10:$C$224,$C96,'TL18'!$J$10:$J$224),0),
IF('TL18'!$B$229=P$3,SUMIF('TL18'!$C$238:$C$451,$C96,'TL18'!$J$238:$J$451),0),
IF('TL19'!$B$3=P$3,SUMIF('TL19'!$C$10:$C$224,$C96,'TL19'!$J$10:$J$224),0),
IF('TL19'!$B$229=P$3,SUMIF('TL19'!$C$238:$C$451,$C96,'TL19'!$J$238:$J$451),0)
),0)</f>
        <v>0</v>
      </c>
      <c r="Q96" s="9">
        <f>IFERROR(SUM(
IF('TL01'!$B$3=Q$3,SUMIF('TL01'!$C$10:$C$224,$C96,'TL01'!$J$10:$J$224),0),
IF('TL01'!$B$229=Q$3,SUMIF('TL01'!$C$238:$C$451,$C96,'TL01'!$J$238:$J$451),0),
IF('TL02'!$B$3=Q$3,SUMIF('TL02'!$C$10:$C$224,$C96,'TL02'!$J$10:$J$224),0),
IF('TL02'!$B$229=Q$3,SUMIF('TL02'!$C$238:$C$451,$C96,'TL02'!$J$238:$J$451),0),
IF('TL03'!$B$3=Q$3,SUMIF('TL03'!$C$10:$C$224,$C96,'TL03'!$J$10:$J$224),0),
IF('TL03'!$B$229=Q$3,SUMIF('TL03'!$C$238:$C$451,$C96,'TL03'!$J$238:$J$451),0),
IF('TL04'!$B$3=Q$3,SUMIF('TL04'!$C$10:$C$224,$C96,'TL04'!$J$10:$J$224),0),
IF('TL04'!$B$229=Q$3,SUMIF('TL04'!$C$238:$C$451,$C96,'TL04'!$J$238:$J$451),0),
IF('TL05'!$B$3=Q$3,SUMIF('TL05'!$C$10:$C$224,$C96,'TL05'!$J$10:$J$224),0),
IF('TL05'!$B$229=Q$3,SUMIF('TL05'!$C$238:$C$451,$C96,'TL05'!$J$238:$J$451),0),
IF('TL06'!$B$3=Q$3,SUMIF('TL06'!$C$10:$C$224,$C96,'TL06'!$J$10:$J$224),0),
IF('TL06'!$B$229=Q$3,SUMIF('TL06'!$C$238:$C$451,$C96,'TL06'!$J$238:$J$451),0),
IF('TL07'!$B$3=Q$3,SUMIF('TL07'!$C$10:$C$224,$C96,'TL07'!$J$10:$J$224),0),
IF('TL07'!$B$229=Q$3,SUMIF('TL07'!$C$238:$C$451,$C96,'TL07'!$J$238:$J$451),0),
IF('TL08'!$B$3=Q$3,SUMIF('TL08'!$C$10:$C$224,$C96,'TL08'!$J$10:$J$224),0),
IF('TL08'!$B$229=Q$3,SUMIF('TL08'!$C$238:$C$451,$C96,'TL08'!$J$238:$J$451),0),
IF('TL09'!$B$3=Q$3,SUMIF('TL09'!$C$10:$C$224,$C96,'TL09'!$J$10:$J$224),0),
IF('TL09'!$B$229=Q$3,SUMIF('TL09'!$C$238:$C$451,$C96,'TL09'!$J$238:$J$451),0),
IF('TL10'!$B$3=Q$3,SUMIF('TL10'!$C$10:$C$224,$C96,'TL10'!$J$10:$J$224),0),
IF('TL10'!$B$229=Q$3,SUMIF('TL10'!$C$238:$C$451,$C96,'TL10'!$J$238:$J$451),0),
IF('TL11'!$B$3=Q$3,SUMIF('TL11'!$C$10:$C$224,$C96,'TL11'!$J$10:$J$224),0),
IF('TL11'!$B$229=Q$3,SUMIF('TL11'!$C$238:$C$451,$C96,'TL11'!$J$238:$J$451),0),
IF('TL12'!$B$3=Q$3,SUMIF('TL12'!$C$10:$C$224,$C96,'TL12'!$J$10:$J$224),0),
IF('TL12'!$B$229=Q$3,SUMIF('TL12'!$C$238:$C$451,$C96,'TL12'!$J$238:$J$451),0),
IF('TL13'!$B$3=Q$3,SUMIF('TL13'!$C$10:$C$224,$C96,'TL13'!$J$10:$J$224),0),
IF('TL13'!$B$229=Q$3,SUMIF('TL13'!$C$238:$C$451,$C96,'TL13'!$J$238:$J$451),0),
IF('TL14'!$B$3=Q$3,SUMIF('TL14'!$C$10:$C$224,$C96,'TL14'!$J$10:$J$224),0),
IF('TL14'!$B$229=Q$3,SUMIF('TL14'!$C$238:$C$451,$C96,'TL14'!$J$238:$J$451),0),
IF('TL15'!$B$3=Q$3,SUMIF('TL15'!$C$10:$C$224,$C96,'TL15'!$J$10:$J$224),0),
IF('TL15'!$B$229=Q$3,SUMIF('TL15'!$C$238:$C$451,$C96,'TL15'!$J$238:$J$451),0),
IF('TL16'!$B$3=Q$3,SUMIF('TL16'!$C$10:$C$224,$C96,'TL16'!$J$10:$J$224),0),
IF('TL16'!$B$229=Q$3,SUMIF('TL16'!$C$238:$C$451,$C96,'TL16'!$J$238:$J$451),0),
IF('TL17'!$B$3=Q$3,SUMIF('TL17'!$C$10:$C$224,$C96,'TL17'!$J$10:$J$224),0),
IF('TL17'!$B$229=Q$3,SUMIF('TL17'!$C$238:$C$451,$C96,'TL17'!$J$238:$J$451),0),
IF('TL18'!$B$3=Q$3,SUMIF('TL18'!$C$10:$C$224,$C96,'TL18'!$J$10:$J$224),0),
IF('TL18'!$B$229=Q$3,SUMIF('TL18'!$C$238:$C$451,$C96,'TL18'!$J$238:$J$451),0),
IF('TL19'!$B$3=Q$3,SUMIF('TL19'!$C$10:$C$224,$C96,'TL19'!$J$10:$J$224),0),
IF('TL19'!$B$229=Q$3,SUMIF('TL19'!$C$238:$C$451,$C96,'TL19'!$J$238:$J$451),0)
),0)</f>
        <v>0</v>
      </c>
      <c r="R96" s="9">
        <f>IFERROR(
SUM(
SUMIF('TL01'!C:C,C96,'TL01'!J:J),
SUMIF('TL02'!C:C,C96,'TL02'!J:J),
SUMIF('TL03'!C:C,C96,'TL03'!J:J),
SUMIF('TL04'!C:C,C96,'TL04'!J:J),
SUMIF('TL05'!C:C,C96,'TL05'!J:J),
SUMIF('TL06'!C:C,C96,'TL06'!J:J),
SUMIF('TL07'!C:C,C96,'TL07'!J:J),
SUMIF('TL08'!C:C,C96,'TL08'!J:J),
SUMIF('TL09'!C:C,C96,'TL09'!J:J),
SUMIF('TL10'!C:C,C96,'TL10'!J:J),
SUMIF('TL11'!C:C,C96,'TL11'!J:J),
SUMIF('TL12'!C:C,C96,'TL12'!J:J),
SUMIF('TL13'!C:C,C96,'TL13'!J:J),
SUMIF('TL14'!C:C,C96,'TL14'!J:J),
SUMIF('TL15'!C:C,C96,'TL15'!J:J),
SUMIF('TL16'!C:C,C96,'TL16'!J:J),
SUMIF('TL17'!C:C,C96,'TL17'!J:J),
SUMIF('TL18'!C:C,C96,'TL18'!J:J),SUMIF('TL19'!C:C,C96,'TL19'!J:J))
,0)</f>
        <v>0</v>
      </c>
      <c r="S96" s="17">
        <f>IFERROR(__xludf.DUMMYFUNCTION("IFERROR(VLOOKUP(C96,
IMPORTRANGE(""1wULbzX32WdYsx-lj2U3uUNBBe2INVIRDtcK0d-Dvl90"",
""26-27!C:G""),
5,
FALSE),
"""")"),291.63312)</f>
        <v>291.63312</v>
      </c>
      <c r="T96" s="9"/>
      <c r="U96" s="92">
        <f t="shared" si="2"/>
        <v>0</v>
      </c>
      <c r="V96" s="93">
        <f t="shared" si="3"/>
        <v>0</v>
      </c>
    </row>
    <row r="97" ht="15.75" hidden="1" customHeight="1">
      <c r="A97" s="111" t="s">
        <v>358</v>
      </c>
      <c r="B97" s="112" t="s">
        <v>0</v>
      </c>
      <c r="C97" s="113" t="s">
        <v>583</v>
      </c>
      <c r="D97" s="113" t="s">
        <v>584</v>
      </c>
      <c r="E97" s="113">
        <v>400.0</v>
      </c>
      <c r="F97" s="4" t="s">
        <v>343</v>
      </c>
      <c r="G97" s="90" t="str">
        <f t="shared" si="4"/>
        <v>📄 Ver bula</v>
      </c>
      <c r="H97" s="9" t="str">
        <f>IFERROR(__xludf.DUMMYFUNCTION("IFERROR(VLOOKUP(C97,
IMPORTRANGE(""1wULbzX32WdYsx-lj2U3uUNBBe2INVIRDtcK0d-Dvl90"",
""26-27!C:K""),
8,
FALSE),
"""")"),"")</f>
        <v/>
      </c>
      <c r="I97" s="114" t="s">
        <v>344</v>
      </c>
      <c r="J97" s="9">
        <f>IFERROR(SUM(
IF('TL01'!$B$3=J$3,SUMIF('TL01'!$C$10:$C$224,$C97,'TL01'!$J$10:$J$224),0),
IF('TL01'!$B$229=J$3,SUMIF('TL01'!$C$238:$C$451,$C97,'TL01'!$J$238:$J$451),0),
IF('TL02'!$B$3=J$3,SUMIF('TL02'!$C$10:$C$224,$C97,'TL02'!$J$10:$J$224),0),
IF('TL02'!$B$229=J$3,SUMIF('TL02'!$C$238:$C$451,$C97,'TL02'!$J$238:$J$451),0),
IF('TL03'!$B$3=J$3,SUMIF('TL03'!$C$10:$C$224,$C97,'TL03'!$J$10:$J$224),0),
IF('TL03'!$B$229=J$3,SUMIF('TL03'!$C$238:$C$451,$C97,'TL03'!$J$238:$J$451),0),
IF('TL04'!$B$3=J$3,SUMIF('TL04'!$C$10:$C$224,$C97,'TL04'!$J$10:$J$224),0),
IF('TL04'!$B$229=J$3,SUMIF('TL04'!$C$238:$C$451,$C97,'TL04'!$J$238:$J$451),0),
IF('TL05'!$B$3=J$3,SUMIF('TL05'!$C$10:$C$224,$C97,'TL05'!$J$10:$J$224),0),
IF('TL05'!$B$229=J$3,SUMIF('TL05'!$C$238:$C$451,$C97,'TL05'!$J$238:$J$451),0),
IF('TL06'!$B$3=J$3,SUMIF('TL06'!$C$10:$C$224,$C97,'TL06'!$J$10:$J$224),0),
IF('TL06'!$B$229=J$3,SUMIF('TL06'!$C$238:$C$451,$C97,'TL06'!$J$238:$J$451),0),
IF('TL07'!$B$3=J$3,SUMIF('TL07'!$C$10:$C$224,$C97,'TL07'!$J$10:$J$224),0),
IF('TL07'!$B$229=J$3,SUMIF('TL07'!$C$238:$C$451,$C97,'TL07'!$J$238:$J$451),0),
IF('TL08'!$B$3=J$3,SUMIF('TL08'!$C$10:$C$224,$C97,'TL08'!$J$10:$J$224),0),
IF('TL08'!$B$229=J$3,SUMIF('TL08'!$C$238:$C$451,$C97,'TL08'!$J$238:$J$451),0),
IF('TL09'!$B$3=J$3,SUMIF('TL09'!$C$10:$C$224,$C97,'TL09'!$J$10:$J$224),0),
IF('TL09'!$B$229=J$3,SUMIF('TL09'!$C$238:$C$451,$C97,'TL09'!$J$238:$J$451),0),
IF('TL10'!$B$3=J$3,SUMIF('TL10'!$C$10:$C$224,$C97,'TL10'!$J$10:$J$224),0),
IF('TL10'!$B$229=J$3,SUMIF('TL10'!$C$238:$C$451,$C97,'TL10'!$J$238:$J$451),0),
IF('TL11'!$B$3=J$3,SUMIF('TL11'!$C$10:$C$224,$C97,'TL11'!$J$10:$J$224),0),
IF('TL11'!$B$229=J$3,SUMIF('TL11'!$C$238:$C$451,$C97,'TL11'!$J$238:$J$451),0),
IF('TL12'!$B$3=J$3,SUMIF('TL12'!$C$10:$C$224,$C97,'TL12'!$J$10:$J$224),0),
IF('TL12'!$B$229=J$3,SUMIF('TL12'!$C$238:$C$451,$C97,'TL12'!$J$238:$J$451),0),
IF('TL13'!$B$3=J$3,SUMIF('TL13'!$C$10:$C$224,$C97,'TL13'!$J$10:$J$224),0),
IF('TL13'!$B$229=J$3,SUMIF('TL13'!$C$238:$C$451,$C97,'TL13'!$J$238:$J$451),0),
IF('TL14'!$B$3=J$3,SUMIF('TL14'!$C$10:$C$224,$C97,'TL14'!$J$10:$J$224),0),
IF('TL14'!$B$229=J$3,SUMIF('TL14'!$C$238:$C$451,$C97,'TL14'!$J$238:$J$451),0),
IF('TL15'!$B$3=J$3,SUMIF('TL15'!$C$10:$C$224,$C97,'TL15'!$J$10:$J$224),0),
IF('TL15'!$B$229=J$3,SUMIF('TL15'!$C$238:$C$451,$C97,'TL15'!$J$238:$J$451),0),
IF('TL16'!$B$3=J$3,SUMIF('TL16'!$C$10:$C$224,$C97,'TL16'!$J$10:$J$224),0),
IF('TL16'!$B$229=J$3,SUMIF('TL16'!$C$238:$C$451,$C97,'TL16'!$J$238:$J$451),0),
IF('TL17'!$B$3=J$3,SUMIF('TL17'!$C$10:$C$224,$C97,'TL17'!$J$10:$J$224),0),
IF('TL17'!$B$229=J$3,SUMIF('TL17'!$C$238:$C$451,$C97,'TL17'!$J$238:$J$451),0),
IF('TL18'!$B$3=J$3,SUMIF('TL18'!$C$10:$C$224,$C97,'TL18'!$J$10:$J$224),0),
IF('TL18'!$B$229=J$3,SUMIF('TL18'!$C$238:$C$451,$C97,'TL18'!$J$238:$J$451),0),
IF('TL19'!$B$3=J$3,SUMIF('TL19'!$C$10:$C$224,$C97,'TL19'!$J$10:$J$224),0),
IF('TL19'!$B$229=J$3,SUMIF('TL19'!$C$238:$C$451,$C97,'TL19'!$J$238:$J$451),0)
),0)</f>
        <v>0</v>
      </c>
      <c r="K97" s="9">
        <f>IFERROR(SUM(
IF('TL01'!$B$3=K$3,SUMIF('TL01'!$C$10:$C$224,$C97,'TL01'!$J$10:$J$224),0),
IF('TL01'!$B$229=K$3,SUMIF('TL01'!$C$238:$C$451,$C97,'TL01'!$J$238:$J$451),0),
IF('TL02'!$B$3=K$3,SUMIF('TL02'!$C$10:$C$224,$C97,'TL02'!$J$10:$J$224),0),
IF('TL02'!$B$229=K$3,SUMIF('TL02'!$C$238:$C$451,$C97,'TL02'!$J$238:$J$451),0),
IF('TL03'!$B$3=K$3,SUMIF('TL03'!$C$10:$C$224,$C97,'TL03'!$J$10:$J$224),0),
IF('TL03'!$B$229=K$3,SUMIF('TL03'!$C$238:$C$451,$C97,'TL03'!$J$238:$J$451),0),
IF('TL04'!$B$3=K$3,SUMIF('TL04'!$C$10:$C$224,$C97,'TL04'!$J$10:$J$224),0),
IF('TL04'!$B$229=K$3,SUMIF('TL04'!$C$238:$C$451,$C97,'TL04'!$J$238:$J$451),0),
IF('TL05'!$B$3=K$3,SUMIF('TL05'!$C$10:$C$224,$C97,'TL05'!$J$10:$J$224),0),
IF('TL05'!$B$229=K$3,SUMIF('TL05'!$C$238:$C$451,$C97,'TL05'!$J$238:$J$451),0),
IF('TL06'!$B$3=K$3,SUMIF('TL06'!$C$10:$C$224,$C97,'TL06'!$J$10:$J$224),0),
IF('TL06'!$B$229=K$3,SUMIF('TL06'!$C$238:$C$451,$C97,'TL06'!$J$238:$J$451),0),
IF('TL07'!$B$3=K$3,SUMIF('TL07'!$C$10:$C$224,$C97,'TL07'!$J$10:$J$224),0),
IF('TL07'!$B$229=K$3,SUMIF('TL07'!$C$238:$C$451,$C97,'TL07'!$J$238:$J$451),0),
IF('TL08'!$B$3=K$3,SUMIF('TL08'!$C$10:$C$224,$C97,'TL08'!$J$10:$J$224),0),
IF('TL08'!$B$229=K$3,SUMIF('TL08'!$C$238:$C$451,$C97,'TL08'!$J$238:$J$451),0),
IF('TL09'!$B$3=K$3,SUMIF('TL09'!$C$10:$C$224,$C97,'TL09'!$J$10:$J$224),0),
IF('TL09'!$B$229=K$3,SUMIF('TL09'!$C$238:$C$451,$C97,'TL09'!$J$238:$J$451),0),
IF('TL10'!$B$3=K$3,SUMIF('TL10'!$C$10:$C$224,$C97,'TL10'!$J$10:$J$224),0),
IF('TL10'!$B$229=K$3,SUMIF('TL10'!$C$238:$C$451,$C97,'TL10'!$J$238:$J$451),0),
IF('TL11'!$B$3=K$3,SUMIF('TL11'!$C$10:$C$224,$C97,'TL11'!$J$10:$J$224),0),
IF('TL11'!$B$229=K$3,SUMIF('TL11'!$C$238:$C$451,$C97,'TL11'!$J$238:$J$451),0),
IF('TL12'!$B$3=K$3,SUMIF('TL12'!$C$10:$C$224,$C97,'TL12'!$J$10:$J$224),0),
IF('TL12'!$B$229=K$3,SUMIF('TL12'!$C$238:$C$451,$C97,'TL12'!$J$238:$J$451),0),
IF('TL13'!$B$3=K$3,SUMIF('TL13'!$C$10:$C$224,$C97,'TL13'!$J$10:$J$224),0),
IF('TL13'!$B$229=K$3,SUMIF('TL13'!$C$238:$C$451,$C97,'TL13'!$J$238:$J$451),0),
IF('TL14'!$B$3=K$3,SUMIF('TL14'!$C$10:$C$224,$C97,'TL14'!$J$10:$J$224),0),
IF('TL14'!$B$229=K$3,SUMIF('TL14'!$C$238:$C$451,$C97,'TL14'!$J$238:$J$451),0),
IF('TL15'!$B$3=K$3,SUMIF('TL15'!$C$10:$C$224,$C97,'TL15'!$J$10:$J$224),0),
IF('TL15'!$B$229=K$3,SUMIF('TL15'!$C$238:$C$451,$C97,'TL15'!$J$238:$J$451),0),
IF('TL16'!$B$3=K$3,SUMIF('TL16'!$C$10:$C$224,$C97,'TL16'!$J$10:$J$224),0),
IF('TL16'!$B$229=K$3,SUMIF('TL16'!$C$238:$C$451,$C97,'TL16'!$J$238:$J$451),0),
IF('TL17'!$B$3=K$3,SUMIF('TL17'!$C$10:$C$224,$C97,'TL17'!$J$10:$J$224),0),
IF('TL17'!$B$229=K$3,SUMIF('TL17'!$C$238:$C$451,$C97,'TL17'!$J$238:$J$451),0),
IF('TL18'!$B$3=K$3,SUMIF('TL18'!$C$10:$C$224,$C97,'TL18'!$J$10:$J$224),0),
IF('TL18'!$B$229=K$3,SUMIF('TL18'!$C$238:$C$451,$C97,'TL18'!$J$238:$J$451),0),
IF('TL19'!$B$3=K$3,SUMIF('TL19'!$C$10:$C$224,$C97,'TL19'!$J$10:$J$224),0),
IF('TL19'!$B$229=K$3,SUMIF('TL19'!$C$238:$C$451,$C97,'TL19'!$J$238:$J$451),0)
),0)</f>
        <v>0</v>
      </c>
      <c r="L97" s="9">
        <f>IFERROR(SUM(
IF('TL01'!$B$3=L$3,SUMIF('TL01'!$C$10:$C$224,$C97,'TL01'!$J$10:$J$224),0),
IF('TL01'!$B$229=L$3,SUMIF('TL01'!$C$238:$C$451,$C97,'TL01'!$J$238:$J$451),0),
IF('TL02'!$B$3=L$3,SUMIF('TL02'!$C$10:$C$224,$C97,'TL02'!$J$10:$J$224),0),
IF('TL02'!$B$229=L$3,SUMIF('TL02'!$C$238:$C$451,$C97,'TL02'!$J$238:$J$451),0),
IF('TL03'!$B$3=L$3,SUMIF('TL03'!$C$10:$C$224,$C97,'TL03'!$J$10:$J$224),0),
IF('TL03'!$B$229=L$3,SUMIF('TL03'!$C$238:$C$451,$C97,'TL03'!$J$238:$J$451),0),
IF('TL04'!$B$3=L$3,SUMIF('TL04'!$C$10:$C$224,$C97,'TL04'!$J$10:$J$224),0),
IF('TL04'!$B$229=L$3,SUMIF('TL04'!$C$238:$C$451,$C97,'TL04'!$J$238:$J$451),0),
IF('TL05'!$B$3=L$3,SUMIF('TL05'!$C$10:$C$224,$C97,'TL05'!$J$10:$J$224),0),
IF('TL05'!$B$229=L$3,SUMIF('TL05'!$C$238:$C$451,$C97,'TL05'!$J$238:$J$451),0),
IF('TL06'!$B$3=L$3,SUMIF('TL06'!$C$10:$C$224,$C97,'TL06'!$J$10:$J$224),0),
IF('TL06'!$B$229=L$3,SUMIF('TL06'!$C$238:$C$451,$C97,'TL06'!$J$238:$J$451),0),
IF('TL07'!$B$3=L$3,SUMIF('TL07'!$C$10:$C$224,$C97,'TL07'!$J$10:$J$224),0),
IF('TL07'!$B$229=L$3,SUMIF('TL07'!$C$238:$C$451,$C97,'TL07'!$J$238:$J$451),0),
IF('TL08'!$B$3=L$3,SUMIF('TL08'!$C$10:$C$224,$C97,'TL08'!$J$10:$J$224),0),
IF('TL08'!$B$229=L$3,SUMIF('TL08'!$C$238:$C$451,$C97,'TL08'!$J$238:$J$451),0),
IF('TL09'!$B$3=L$3,SUMIF('TL09'!$C$10:$C$224,$C97,'TL09'!$J$10:$J$224),0),
IF('TL09'!$B$229=L$3,SUMIF('TL09'!$C$238:$C$451,$C97,'TL09'!$J$238:$J$451),0),
IF('TL10'!$B$3=L$3,SUMIF('TL10'!$C$10:$C$224,$C97,'TL10'!$J$10:$J$224),0),
IF('TL10'!$B$229=L$3,SUMIF('TL10'!$C$238:$C$451,$C97,'TL10'!$J$238:$J$451),0),
IF('TL11'!$B$3=L$3,SUMIF('TL11'!$C$10:$C$224,$C97,'TL11'!$J$10:$J$224),0),
IF('TL11'!$B$229=L$3,SUMIF('TL11'!$C$238:$C$451,$C97,'TL11'!$J$238:$J$451),0),
IF('TL12'!$B$3=L$3,SUMIF('TL12'!$C$10:$C$224,$C97,'TL12'!$J$10:$J$224),0),
IF('TL12'!$B$229=L$3,SUMIF('TL12'!$C$238:$C$451,$C97,'TL12'!$J$238:$J$451),0),
IF('TL13'!$B$3=L$3,SUMIF('TL13'!$C$10:$C$224,$C97,'TL13'!$J$10:$J$224),0),
IF('TL13'!$B$229=L$3,SUMIF('TL13'!$C$238:$C$451,$C97,'TL13'!$J$238:$J$451),0),
IF('TL14'!$B$3=L$3,SUMIF('TL14'!$C$10:$C$224,$C97,'TL14'!$J$10:$J$224),0),
IF('TL14'!$B$229=L$3,SUMIF('TL14'!$C$238:$C$451,$C97,'TL14'!$J$238:$J$451),0),
IF('TL15'!$B$3=L$3,SUMIF('TL15'!$C$10:$C$224,$C97,'TL15'!$J$10:$J$224),0),
IF('TL15'!$B$229=L$3,SUMIF('TL15'!$C$238:$C$451,$C97,'TL15'!$J$238:$J$451),0),
IF('TL16'!$B$3=L$3,SUMIF('TL16'!$C$10:$C$224,$C97,'TL16'!$J$10:$J$224),0),
IF('TL16'!$B$229=L$3,SUMIF('TL16'!$C$238:$C$451,$C97,'TL16'!$J$238:$J$451),0),
IF('TL17'!$B$3=L$3,SUMIF('TL17'!$C$10:$C$224,$C97,'TL17'!$J$10:$J$224),0),
IF('TL17'!$B$229=L$3,SUMIF('TL17'!$C$238:$C$451,$C97,'TL17'!$J$238:$J$451),0),
IF('TL18'!$B$3=L$3,SUMIF('TL18'!$C$10:$C$224,$C97,'TL18'!$J$10:$J$224),0),
IF('TL18'!$B$229=L$3,SUMIF('TL18'!$C$238:$C$451,$C97,'TL18'!$J$238:$J$451),0),
IF('TL19'!$B$3=L$3,SUMIF('TL19'!$C$10:$C$224,$C97,'TL19'!$J$10:$J$224),0),
IF('TL19'!$B$229=L$3,SUMIF('TL19'!$C$238:$C$451,$C97,'TL19'!$J$238:$J$451),0)
),0)</f>
        <v>0</v>
      </c>
      <c r="M97" s="9">
        <f>IFERROR(SUM(
IF('TL01'!$B$3=M$3,SUMIF('TL01'!$C$10:$C$224,$C97,'TL01'!$J$10:$J$224),0),
IF('TL01'!$B$229=M$3,SUMIF('TL01'!$C$238:$C$451,$C97,'TL01'!$J$238:$J$451),0),
IF('TL02'!$B$3=M$3,SUMIF('TL02'!$C$10:$C$224,$C97,'TL02'!$J$10:$J$224),0),
IF('TL02'!$B$229=M$3,SUMIF('TL02'!$C$238:$C$451,$C97,'TL02'!$J$238:$J$451),0),
IF('TL03'!$B$3=M$3,SUMIF('TL03'!$C$10:$C$224,$C97,'TL03'!$J$10:$J$224),0),
IF('TL03'!$B$229=M$3,SUMIF('TL03'!$C$238:$C$451,$C97,'TL03'!$J$238:$J$451),0),
IF('TL04'!$B$3=M$3,SUMIF('TL04'!$C$10:$C$224,$C97,'TL04'!$J$10:$J$224),0),
IF('TL04'!$B$229=M$3,SUMIF('TL04'!$C$238:$C$451,$C97,'TL04'!$J$238:$J$451),0),
IF('TL05'!$B$3=M$3,SUMIF('TL05'!$C$10:$C$224,$C97,'TL05'!$J$10:$J$224),0),
IF('TL05'!$B$229=M$3,SUMIF('TL05'!$C$238:$C$451,$C97,'TL05'!$J$238:$J$451),0),
IF('TL06'!$B$3=M$3,SUMIF('TL06'!$C$10:$C$224,$C97,'TL06'!$J$10:$J$224),0),
IF('TL06'!$B$229=M$3,SUMIF('TL06'!$C$238:$C$451,$C97,'TL06'!$J$238:$J$451),0),
IF('TL07'!$B$3=M$3,SUMIF('TL07'!$C$10:$C$224,$C97,'TL07'!$J$10:$J$224),0),
IF('TL07'!$B$229=M$3,SUMIF('TL07'!$C$238:$C$451,$C97,'TL07'!$J$238:$J$451),0),
IF('TL08'!$B$3=M$3,SUMIF('TL08'!$C$10:$C$224,$C97,'TL08'!$J$10:$J$224),0),
IF('TL08'!$B$229=M$3,SUMIF('TL08'!$C$238:$C$451,$C97,'TL08'!$J$238:$J$451),0),
IF('TL09'!$B$3=M$3,SUMIF('TL09'!$C$10:$C$224,$C97,'TL09'!$J$10:$J$224),0),
IF('TL09'!$B$229=M$3,SUMIF('TL09'!$C$238:$C$451,$C97,'TL09'!$J$238:$J$451),0),
IF('TL10'!$B$3=M$3,SUMIF('TL10'!$C$10:$C$224,$C97,'TL10'!$J$10:$J$224),0),
IF('TL10'!$B$229=M$3,SUMIF('TL10'!$C$238:$C$451,$C97,'TL10'!$J$238:$J$451),0),
IF('TL11'!$B$3=M$3,SUMIF('TL11'!$C$10:$C$224,$C97,'TL11'!$J$10:$J$224),0),
IF('TL11'!$B$229=M$3,SUMIF('TL11'!$C$238:$C$451,$C97,'TL11'!$J$238:$J$451),0),
IF('TL12'!$B$3=M$3,SUMIF('TL12'!$C$10:$C$224,$C97,'TL12'!$J$10:$J$224),0),
IF('TL12'!$B$229=M$3,SUMIF('TL12'!$C$238:$C$451,$C97,'TL12'!$J$238:$J$451),0),
IF('TL13'!$B$3=M$3,SUMIF('TL13'!$C$10:$C$224,$C97,'TL13'!$J$10:$J$224),0),
IF('TL13'!$B$229=M$3,SUMIF('TL13'!$C$238:$C$451,$C97,'TL13'!$J$238:$J$451),0),
IF('TL14'!$B$3=M$3,SUMIF('TL14'!$C$10:$C$224,$C97,'TL14'!$J$10:$J$224),0),
IF('TL14'!$B$229=M$3,SUMIF('TL14'!$C$238:$C$451,$C97,'TL14'!$J$238:$J$451),0),
IF('TL15'!$B$3=M$3,SUMIF('TL15'!$C$10:$C$224,$C97,'TL15'!$J$10:$J$224),0),
IF('TL15'!$B$229=M$3,SUMIF('TL15'!$C$238:$C$451,$C97,'TL15'!$J$238:$J$451),0),
IF('TL16'!$B$3=M$3,SUMIF('TL16'!$C$10:$C$224,$C97,'TL16'!$J$10:$J$224),0),
IF('TL16'!$B$229=M$3,SUMIF('TL16'!$C$238:$C$451,$C97,'TL16'!$J$238:$J$451),0),
IF('TL17'!$B$3=M$3,SUMIF('TL17'!$C$10:$C$224,$C97,'TL17'!$J$10:$J$224),0),
IF('TL17'!$B$229=M$3,SUMIF('TL17'!$C$238:$C$451,$C97,'TL17'!$J$238:$J$451),0),
IF('TL18'!$B$3=M$3,SUMIF('TL18'!$C$10:$C$224,$C97,'TL18'!$J$10:$J$224),0),
IF('TL18'!$B$229=M$3,SUMIF('TL18'!$C$238:$C$451,$C97,'TL18'!$J$238:$J$451),0),
IF('TL19'!$B$3=M$3,SUMIF('TL19'!$C$10:$C$224,$C97,'TL19'!$J$10:$J$224),0),
IF('TL19'!$B$229=M$3,SUMIF('TL19'!$C$238:$C$451,$C97,'TL19'!$J$238:$J$451),0)
),0)</f>
        <v>0</v>
      </c>
      <c r="N97" s="9">
        <f>IFERROR(SUM(
IF('TL01'!$B$3=N$3,SUMIF('TL01'!$C$10:$C$224,$C97,'TL01'!$J$10:$J$224),0),
IF('TL01'!$B$229=N$3,SUMIF('TL01'!$C$238:$C$451,$C97,'TL01'!$J$238:$J$451),0),
IF('TL02'!$B$3=N$3,SUMIF('TL02'!$C$10:$C$224,$C97,'TL02'!$J$10:$J$224),0),
IF('TL02'!$B$229=N$3,SUMIF('TL02'!$C$238:$C$451,$C97,'TL02'!$J$238:$J$451),0),
IF('TL03'!$B$3=N$3,SUMIF('TL03'!$C$10:$C$224,$C97,'TL03'!$J$10:$J$224),0),
IF('TL03'!$B$229=N$3,SUMIF('TL03'!$C$238:$C$451,$C97,'TL03'!$J$238:$J$451),0),
IF('TL04'!$B$3=N$3,SUMIF('TL04'!$C$10:$C$224,$C97,'TL04'!$J$10:$J$224),0),
IF('TL04'!$B$229=N$3,SUMIF('TL04'!$C$238:$C$451,$C97,'TL04'!$J$238:$J$451),0),
IF('TL05'!$B$3=N$3,SUMIF('TL05'!$C$10:$C$224,$C97,'TL05'!$J$10:$J$224),0),
IF('TL05'!$B$229=N$3,SUMIF('TL05'!$C$238:$C$451,$C97,'TL05'!$J$238:$J$451),0),
IF('TL06'!$B$3=N$3,SUMIF('TL06'!$C$10:$C$224,$C97,'TL06'!$J$10:$J$224),0),
IF('TL06'!$B$229=N$3,SUMIF('TL06'!$C$238:$C$451,$C97,'TL06'!$J$238:$J$451),0),
IF('TL07'!$B$3=N$3,SUMIF('TL07'!$C$10:$C$224,$C97,'TL07'!$J$10:$J$224),0),
IF('TL07'!$B$229=N$3,SUMIF('TL07'!$C$238:$C$451,$C97,'TL07'!$J$238:$J$451),0),
IF('TL08'!$B$3=N$3,SUMIF('TL08'!$C$10:$C$224,$C97,'TL08'!$J$10:$J$224),0),
IF('TL08'!$B$229=N$3,SUMIF('TL08'!$C$238:$C$451,$C97,'TL08'!$J$238:$J$451),0),
IF('TL09'!$B$3=N$3,SUMIF('TL09'!$C$10:$C$224,$C97,'TL09'!$J$10:$J$224),0),
IF('TL09'!$B$229=N$3,SUMIF('TL09'!$C$238:$C$451,$C97,'TL09'!$J$238:$J$451),0),
IF('TL10'!$B$3=N$3,SUMIF('TL10'!$C$10:$C$224,$C97,'TL10'!$J$10:$J$224),0),
IF('TL10'!$B$229=N$3,SUMIF('TL10'!$C$238:$C$451,$C97,'TL10'!$J$238:$J$451),0),
IF('TL11'!$B$3=N$3,SUMIF('TL11'!$C$10:$C$224,$C97,'TL11'!$J$10:$J$224),0),
IF('TL11'!$B$229=N$3,SUMIF('TL11'!$C$238:$C$451,$C97,'TL11'!$J$238:$J$451),0),
IF('TL12'!$B$3=N$3,SUMIF('TL12'!$C$10:$C$224,$C97,'TL12'!$J$10:$J$224),0),
IF('TL12'!$B$229=N$3,SUMIF('TL12'!$C$238:$C$451,$C97,'TL12'!$J$238:$J$451),0),
IF('TL13'!$B$3=N$3,SUMIF('TL13'!$C$10:$C$224,$C97,'TL13'!$J$10:$J$224),0),
IF('TL13'!$B$229=N$3,SUMIF('TL13'!$C$238:$C$451,$C97,'TL13'!$J$238:$J$451),0),
IF('TL14'!$B$3=N$3,SUMIF('TL14'!$C$10:$C$224,$C97,'TL14'!$J$10:$J$224),0),
IF('TL14'!$B$229=N$3,SUMIF('TL14'!$C$238:$C$451,$C97,'TL14'!$J$238:$J$451),0),
IF('TL15'!$B$3=N$3,SUMIF('TL15'!$C$10:$C$224,$C97,'TL15'!$J$10:$J$224),0),
IF('TL15'!$B$229=N$3,SUMIF('TL15'!$C$238:$C$451,$C97,'TL15'!$J$238:$J$451),0),
IF('TL16'!$B$3=N$3,SUMIF('TL16'!$C$10:$C$224,$C97,'TL16'!$J$10:$J$224),0),
IF('TL16'!$B$229=N$3,SUMIF('TL16'!$C$238:$C$451,$C97,'TL16'!$J$238:$J$451),0),
IF('TL17'!$B$3=N$3,SUMIF('TL17'!$C$10:$C$224,$C97,'TL17'!$J$10:$J$224),0),
IF('TL17'!$B$229=N$3,SUMIF('TL17'!$C$238:$C$451,$C97,'TL17'!$J$238:$J$451),0),
IF('TL18'!$B$3=N$3,SUMIF('TL18'!$C$10:$C$224,$C97,'TL18'!$J$10:$J$224),0),
IF('TL18'!$B$229=N$3,SUMIF('TL18'!$C$238:$C$451,$C97,'TL18'!$J$238:$J$451),0),
IF('TL19'!$B$3=N$3,SUMIF('TL19'!$C$10:$C$224,$C97,'TL19'!$J$10:$J$224),0),
IF('TL19'!$B$229=N$3,SUMIF('TL19'!$C$238:$C$451,$C97,'TL19'!$J$238:$J$451),0)
),0)</f>
        <v>0</v>
      </c>
      <c r="O97" s="9">
        <f>IFERROR(SUM(
IF('TL01'!$B$3=O$3,SUMIF('TL01'!$C$10:$C$224,$C97,'TL01'!$J$10:$J$224),0),
IF('TL01'!$B$229=O$3,SUMIF('TL01'!$C$238:$C$451,$C97,'TL01'!$J$238:$J$451),0),
IF('TL02'!$B$3=O$3,SUMIF('TL02'!$C$10:$C$224,$C97,'TL02'!$J$10:$J$224),0),
IF('TL02'!$B$229=O$3,SUMIF('TL02'!$C$238:$C$451,$C97,'TL02'!$J$238:$J$451),0),
IF('TL03'!$B$3=O$3,SUMIF('TL03'!$C$10:$C$224,$C97,'TL03'!$J$10:$J$224),0),
IF('TL03'!$B$229=O$3,SUMIF('TL03'!$C$238:$C$451,$C97,'TL03'!$J$238:$J$451),0),
IF('TL04'!$B$3=O$3,SUMIF('TL04'!$C$10:$C$224,$C97,'TL04'!$J$10:$J$224),0),
IF('TL04'!$B$229=O$3,SUMIF('TL04'!$C$238:$C$451,$C97,'TL04'!$J$238:$J$451),0),
IF('TL05'!$B$3=O$3,SUMIF('TL05'!$C$10:$C$224,$C97,'TL05'!$J$10:$J$224),0),
IF('TL05'!$B$229=O$3,SUMIF('TL05'!$C$238:$C$451,$C97,'TL05'!$J$238:$J$451),0),
IF('TL06'!$B$3=O$3,SUMIF('TL06'!$C$10:$C$224,$C97,'TL06'!$J$10:$J$224),0),
IF('TL06'!$B$229=O$3,SUMIF('TL06'!$C$238:$C$451,$C97,'TL06'!$J$238:$J$451),0),
IF('TL07'!$B$3=O$3,SUMIF('TL07'!$C$10:$C$224,$C97,'TL07'!$J$10:$J$224),0),
IF('TL07'!$B$229=O$3,SUMIF('TL07'!$C$238:$C$451,$C97,'TL07'!$J$238:$J$451),0),
IF('TL08'!$B$3=O$3,SUMIF('TL08'!$C$10:$C$224,$C97,'TL08'!$J$10:$J$224),0),
IF('TL08'!$B$229=O$3,SUMIF('TL08'!$C$238:$C$451,$C97,'TL08'!$J$238:$J$451),0),
IF('TL09'!$B$3=O$3,SUMIF('TL09'!$C$10:$C$224,$C97,'TL09'!$J$10:$J$224),0),
IF('TL09'!$B$229=O$3,SUMIF('TL09'!$C$238:$C$451,$C97,'TL09'!$J$238:$J$451),0),
IF('TL10'!$B$3=O$3,SUMIF('TL10'!$C$10:$C$224,$C97,'TL10'!$J$10:$J$224),0),
IF('TL10'!$B$229=O$3,SUMIF('TL10'!$C$238:$C$451,$C97,'TL10'!$J$238:$J$451),0),
IF('TL11'!$B$3=O$3,SUMIF('TL11'!$C$10:$C$224,$C97,'TL11'!$J$10:$J$224),0),
IF('TL11'!$B$229=O$3,SUMIF('TL11'!$C$238:$C$451,$C97,'TL11'!$J$238:$J$451),0),
IF('TL12'!$B$3=O$3,SUMIF('TL12'!$C$10:$C$224,$C97,'TL12'!$J$10:$J$224),0),
IF('TL12'!$B$229=O$3,SUMIF('TL12'!$C$238:$C$451,$C97,'TL12'!$J$238:$J$451),0),
IF('TL13'!$B$3=O$3,SUMIF('TL13'!$C$10:$C$224,$C97,'TL13'!$J$10:$J$224),0),
IF('TL13'!$B$229=O$3,SUMIF('TL13'!$C$238:$C$451,$C97,'TL13'!$J$238:$J$451),0),
IF('TL14'!$B$3=O$3,SUMIF('TL14'!$C$10:$C$224,$C97,'TL14'!$J$10:$J$224),0),
IF('TL14'!$B$229=O$3,SUMIF('TL14'!$C$238:$C$451,$C97,'TL14'!$J$238:$J$451),0),
IF('TL15'!$B$3=O$3,SUMIF('TL15'!$C$10:$C$224,$C97,'TL15'!$J$10:$J$224),0),
IF('TL15'!$B$229=O$3,SUMIF('TL15'!$C$238:$C$451,$C97,'TL15'!$J$238:$J$451),0),
IF('TL16'!$B$3=O$3,SUMIF('TL16'!$C$10:$C$224,$C97,'TL16'!$J$10:$J$224),0),
IF('TL16'!$B$229=O$3,SUMIF('TL16'!$C$238:$C$451,$C97,'TL16'!$J$238:$J$451),0),
IF('TL17'!$B$3=O$3,SUMIF('TL17'!$C$10:$C$224,$C97,'TL17'!$J$10:$J$224),0),
IF('TL17'!$B$229=O$3,SUMIF('TL17'!$C$238:$C$451,$C97,'TL17'!$J$238:$J$451),0),
IF('TL18'!$B$3=O$3,SUMIF('TL18'!$C$10:$C$224,$C97,'TL18'!$J$10:$J$224),0),
IF('TL18'!$B$229=O$3,SUMIF('TL18'!$C$238:$C$451,$C97,'TL18'!$J$238:$J$451),0),
IF('TL19'!$B$3=O$3,SUMIF('TL19'!$C$10:$C$224,$C97,'TL19'!$J$10:$J$224),0),
IF('TL19'!$B$229=O$3,SUMIF('TL19'!$C$238:$C$451,$C97,'TL19'!$J$238:$J$451),0)
),0)</f>
        <v>0</v>
      </c>
      <c r="P97" s="9">
        <f>IFERROR(SUM(
IF('TL01'!$B$3=P$3,SUMIF('TL01'!$C$10:$C$224,$C97,'TL01'!$J$10:$J$224),0),
IF('TL01'!$B$229=P$3,SUMIF('TL01'!$C$238:$C$451,$C97,'TL01'!$J$238:$J$451),0),
IF('TL02'!$B$3=P$3,SUMIF('TL02'!$C$10:$C$224,$C97,'TL02'!$J$10:$J$224),0),
IF('TL02'!$B$229=P$3,SUMIF('TL02'!$C$238:$C$451,$C97,'TL02'!$J$238:$J$451),0),
IF('TL03'!$B$3=P$3,SUMIF('TL03'!$C$10:$C$224,$C97,'TL03'!$J$10:$J$224),0),
IF('TL03'!$B$229=P$3,SUMIF('TL03'!$C$238:$C$451,$C97,'TL03'!$J$238:$J$451),0),
IF('TL04'!$B$3=P$3,SUMIF('TL04'!$C$10:$C$224,$C97,'TL04'!$J$10:$J$224),0),
IF('TL04'!$B$229=P$3,SUMIF('TL04'!$C$238:$C$451,$C97,'TL04'!$J$238:$J$451),0),
IF('TL05'!$B$3=P$3,SUMIF('TL05'!$C$10:$C$224,$C97,'TL05'!$J$10:$J$224),0),
IF('TL05'!$B$229=P$3,SUMIF('TL05'!$C$238:$C$451,$C97,'TL05'!$J$238:$J$451),0),
IF('TL06'!$B$3=P$3,SUMIF('TL06'!$C$10:$C$224,$C97,'TL06'!$J$10:$J$224),0),
IF('TL06'!$B$229=P$3,SUMIF('TL06'!$C$238:$C$451,$C97,'TL06'!$J$238:$J$451),0),
IF('TL07'!$B$3=P$3,SUMIF('TL07'!$C$10:$C$224,$C97,'TL07'!$J$10:$J$224),0),
IF('TL07'!$B$229=P$3,SUMIF('TL07'!$C$238:$C$451,$C97,'TL07'!$J$238:$J$451),0),
IF('TL08'!$B$3=P$3,SUMIF('TL08'!$C$10:$C$224,$C97,'TL08'!$J$10:$J$224),0),
IF('TL08'!$B$229=P$3,SUMIF('TL08'!$C$238:$C$451,$C97,'TL08'!$J$238:$J$451),0),
IF('TL09'!$B$3=P$3,SUMIF('TL09'!$C$10:$C$224,$C97,'TL09'!$J$10:$J$224),0),
IF('TL09'!$B$229=P$3,SUMIF('TL09'!$C$238:$C$451,$C97,'TL09'!$J$238:$J$451),0),
IF('TL10'!$B$3=P$3,SUMIF('TL10'!$C$10:$C$224,$C97,'TL10'!$J$10:$J$224),0),
IF('TL10'!$B$229=P$3,SUMIF('TL10'!$C$238:$C$451,$C97,'TL10'!$J$238:$J$451),0),
IF('TL11'!$B$3=P$3,SUMIF('TL11'!$C$10:$C$224,$C97,'TL11'!$J$10:$J$224),0),
IF('TL11'!$B$229=P$3,SUMIF('TL11'!$C$238:$C$451,$C97,'TL11'!$J$238:$J$451),0),
IF('TL12'!$B$3=P$3,SUMIF('TL12'!$C$10:$C$224,$C97,'TL12'!$J$10:$J$224),0),
IF('TL12'!$B$229=P$3,SUMIF('TL12'!$C$238:$C$451,$C97,'TL12'!$J$238:$J$451),0),
IF('TL13'!$B$3=P$3,SUMIF('TL13'!$C$10:$C$224,$C97,'TL13'!$J$10:$J$224),0),
IF('TL13'!$B$229=P$3,SUMIF('TL13'!$C$238:$C$451,$C97,'TL13'!$J$238:$J$451),0),
IF('TL14'!$B$3=P$3,SUMIF('TL14'!$C$10:$C$224,$C97,'TL14'!$J$10:$J$224),0),
IF('TL14'!$B$229=P$3,SUMIF('TL14'!$C$238:$C$451,$C97,'TL14'!$J$238:$J$451),0),
IF('TL15'!$B$3=P$3,SUMIF('TL15'!$C$10:$C$224,$C97,'TL15'!$J$10:$J$224),0),
IF('TL15'!$B$229=P$3,SUMIF('TL15'!$C$238:$C$451,$C97,'TL15'!$J$238:$J$451),0),
IF('TL16'!$B$3=P$3,SUMIF('TL16'!$C$10:$C$224,$C97,'TL16'!$J$10:$J$224),0),
IF('TL16'!$B$229=P$3,SUMIF('TL16'!$C$238:$C$451,$C97,'TL16'!$J$238:$J$451),0),
IF('TL17'!$B$3=P$3,SUMIF('TL17'!$C$10:$C$224,$C97,'TL17'!$J$10:$J$224),0),
IF('TL17'!$B$229=P$3,SUMIF('TL17'!$C$238:$C$451,$C97,'TL17'!$J$238:$J$451),0),
IF('TL18'!$B$3=P$3,SUMIF('TL18'!$C$10:$C$224,$C97,'TL18'!$J$10:$J$224),0),
IF('TL18'!$B$229=P$3,SUMIF('TL18'!$C$238:$C$451,$C97,'TL18'!$J$238:$J$451),0),
IF('TL19'!$B$3=P$3,SUMIF('TL19'!$C$10:$C$224,$C97,'TL19'!$J$10:$J$224),0),
IF('TL19'!$B$229=P$3,SUMIF('TL19'!$C$238:$C$451,$C97,'TL19'!$J$238:$J$451),0)
),0)</f>
        <v>0</v>
      </c>
      <c r="Q97" s="9">
        <f>IFERROR(SUM(
IF('TL01'!$B$3=Q$3,SUMIF('TL01'!$C$10:$C$224,$C97,'TL01'!$J$10:$J$224),0),
IF('TL01'!$B$229=Q$3,SUMIF('TL01'!$C$238:$C$451,$C97,'TL01'!$J$238:$J$451),0),
IF('TL02'!$B$3=Q$3,SUMIF('TL02'!$C$10:$C$224,$C97,'TL02'!$J$10:$J$224),0),
IF('TL02'!$B$229=Q$3,SUMIF('TL02'!$C$238:$C$451,$C97,'TL02'!$J$238:$J$451),0),
IF('TL03'!$B$3=Q$3,SUMIF('TL03'!$C$10:$C$224,$C97,'TL03'!$J$10:$J$224),0),
IF('TL03'!$B$229=Q$3,SUMIF('TL03'!$C$238:$C$451,$C97,'TL03'!$J$238:$J$451),0),
IF('TL04'!$B$3=Q$3,SUMIF('TL04'!$C$10:$C$224,$C97,'TL04'!$J$10:$J$224),0),
IF('TL04'!$B$229=Q$3,SUMIF('TL04'!$C$238:$C$451,$C97,'TL04'!$J$238:$J$451),0),
IF('TL05'!$B$3=Q$3,SUMIF('TL05'!$C$10:$C$224,$C97,'TL05'!$J$10:$J$224),0),
IF('TL05'!$B$229=Q$3,SUMIF('TL05'!$C$238:$C$451,$C97,'TL05'!$J$238:$J$451),0),
IF('TL06'!$B$3=Q$3,SUMIF('TL06'!$C$10:$C$224,$C97,'TL06'!$J$10:$J$224),0),
IF('TL06'!$B$229=Q$3,SUMIF('TL06'!$C$238:$C$451,$C97,'TL06'!$J$238:$J$451),0),
IF('TL07'!$B$3=Q$3,SUMIF('TL07'!$C$10:$C$224,$C97,'TL07'!$J$10:$J$224),0),
IF('TL07'!$B$229=Q$3,SUMIF('TL07'!$C$238:$C$451,$C97,'TL07'!$J$238:$J$451),0),
IF('TL08'!$B$3=Q$3,SUMIF('TL08'!$C$10:$C$224,$C97,'TL08'!$J$10:$J$224),0),
IF('TL08'!$B$229=Q$3,SUMIF('TL08'!$C$238:$C$451,$C97,'TL08'!$J$238:$J$451),0),
IF('TL09'!$B$3=Q$3,SUMIF('TL09'!$C$10:$C$224,$C97,'TL09'!$J$10:$J$224),0),
IF('TL09'!$B$229=Q$3,SUMIF('TL09'!$C$238:$C$451,$C97,'TL09'!$J$238:$J$451),0),
IF('TL10'!$B$3=Q$3,SUMIF('TL10'!$C$10:$C$224,$C97,'TL10'!$J$10:$J$224),0),
IF('TL10'!$B$229=Q$3,SUMIF('TL10'!$C$238:$C$451,$C97,'TL10'!$J$238:$J$451),0),
IF('TL11'!$B$3=Q$3,SUMIF('TL11'!$C$10:$C$224,$C97,'TL11'!$J$10:$J$224),0),
IF('TL11'!$B$229=Q$3,SUMIF('TL11'!$C$238:$C$451,$C97,'TL11'!$J$238:$J$451),0),
IF('TL12'!$B$3=Q$3,SUMIF('TL12'!$C$10:$C$224,$C97,'TL12'!$J$10:$J$224),0),
IF('TL12'!$B$229=Q$3,SUMIF('TL12'!$C$238:$C$451,$C97,'TL12'!$J$238:$J$451),0),
IF('TL13'!$B$3=Q$3,SUMIF('TL13'!$C$10:$C$224,$C97,'TL13'!$J$10:$J$224),0),
IF('TL13'!$B$229=Q$3,SUMIF('TL13'!$C$238:$C$451,$C97,'TL13'!$J$238:$J$451),0),
IF('TL14'!$B$3=Q$3,SUMIF('TL14'!$C$10:$C$224,$C97,'TL14'!$J$10:$J$224),0),
IF('TL14'!$B$229=Q$3,SUMIF('TL14'!$C$238:$C$451,$C97,'TL14'!$J$238:$J$451),0),
IF('TL15'!$B$3=Q$3,SUMIF('TL15'!$C$10:$C$224,$C97,'TL15'!$J$10:$J$224),0),
IF('TL15'!$B$229=Q$3,SUMIF('TL15'!$C$238:$C$451,$C97,'TL15'!$J$238:$J$451),0),
IF('TL16'!$B$3=Q$3,SUMIF('TL16'!$C$10:$C$224,$C97,'TL16'!$J$10:$J$224),0),
IF('TL16'!$B$229=Q$3,SUMIF('TL16'!$C$238:$C$451,$C97,'TL16'!$J$238:$J$451),0),
IF('TL17'!$B$3=Q$3,SUMIF('TL17'!$C$10:$C$224,$C97,'TL17'!$J$10:$J$224),0),
IF('TL17'!$B$229=Q$3,SUMIF('TL17'!$C$238:$C$451,$C97,'TL17'!$J$238:$J$451),0),
IF('TL18'!$B$3=Q$3,SUMIF('TL18'!$C$10:$C$224,$C97,'TL18'!$J$10:$J$224),0),
IF('TL18'!$B$229=Q$3,SUMIF('TL18'!$C$238:$C$451,$C97,'TL18'!$J$238:$J$451),0),
IF('TL19'!$B$3=Q$3,SUMIF('TL19'!$C$10:$C$224,$C97,'TL19'!$J$10:$J$224),0),
IF('TL19'!$B$229=Q$3,SUMIF('TL19'!$C$238:$C$451,$C97,'TL19'!$J$238:$J$451),0)
),0)</f>
        <v>0</v>
      </c>
      <c r="R97" s="9">
        <f>IFERROR(
SUM(
SUMIF('TL01'!C:C,C97,'TL01'!J:J),
SUMIF('TL02'!C:C,C97,'TL02'!J:J),
SUMIF('TL03'!C:C,C97,'TL03'!J:J),
SUMIF('TL04'!C:C,C97,'TL04'!J:J),
SUMIF('TL05'!C:C,C97,'TL05'!J:J),
SUMIF('TL06'!C:C,C97,'TL06'!J:J),
SUMIF('TL07'!C:C,C97,'TL07'!J:J),
SUMIF('TL08'!C:C,C97,'TL08'!J:J),
SUMIF('TL09'!C:C,C97,'TL09'!J:J),
SUMIF('TL10'!C:C,C97,'TL10'!J:J),
SUMIF('TL11'!C:C,C97,'TL11'!J:J),
SUMIF('TL12'!C:C,C97,'TL12'!J:J),
SUMIF('TL13'!C:C,C97,'TL13'!J:J),
SUMIF('TL14'!C:C,C97,'TL14'!J:J),
SUMIF('TL15'!C:C,C97,'TL15'!J:J),
SUMIF('TL16'!C:C,C97,'TL16'!J:J),
SUMIF('TL17'!C:C,C97,'TL17'!J:J),
SUMIF('TL18'!C:C,C97,'TL18'!J:J),SUMIF('TL19'!C:C,C97,'TL19'!J:J))
,0)</f>
        <v>0</v>
      </c>
      <c r="S97" s="17">
        <f>IFERROR(__xludf.DUMMYFUNCTION("IFERROR(VLOOKUP(C97,
IMPORTRANGE(""1wULbzX32WdYsx-lj2U3uUNBBe2INVIRDtcK0d-Dvl90"",
""26-27!C:G""),
5,
FALSE),
"""")"),67.68)</f>
        <v>67.68</v>
      </c>
      <c r="T97" s="9"/>
      <c r="U97" s="92">
        <f t="shared" si="2"/>
        <v>0</v>
      </c>
      <c r="V97" s="93">
        <f t="shared" si="3"/>
        <v>0</v>
      </c>
    </row>
    <row r="98" ht="15.75" hidden="1" customHeight="1">
      <c r="A98" s="115" t="s">
        <v>358</v>
      </c>
      <c r="B98" s="100" t="s">
        <v>0</v>
      </c>
      <c r="C98" s="116" t="s">
        <v>585</v>
      </c>
      <c r="D98" s="116" t="s">
        <v>586</v>
      </c>
      <c r="E98" s="116">
        <v>200.0</v>
      </c>
      <c r="F98" s="4" t="s">
        <v>343</v>
      </c>
      <c r="G98" s="90" t="str">
        <f t="shared" si="4"/>
        <v>📄 Ver bula</v>
      </c>
      <c r="H98" s="9">
        <f>IFERROR(__xludf.DUMMYFUNCTION("IFERROR(VLOOKUP(C98,
IMPORTRANGE(""1wULbzX32WdYsx-lj2U3uUNBBe2INVIRDtcK0d-Dvl90"",
""26-27!C:K""),
8,
FALSE),
"""")"),0.25)</f>
        <v>0.25</v>
      </c>
      <c r="I98" s="117" t="s">
        <v>361</v>
      </c>
      <c r="J98" s="9">
        <f>IFERROR(SUM(
IF('TL01'!$B$3=J$3,SUMIF('TL01'!$C$10:$C$224,$C98,'TL01'!$J$10:$J$224),0),
IF('TL01'!$B$229=J$3,SUMIF('TL01'!$C$238:$C$451,$C98,'TL01'!$J$238:$J$451),0),
IF('TL02'!$B$3=J$3,SUMIF('TL02'!$C$10:$C$224,$C98,'TL02'!$J$10:$J$224),0),
IF('TL02'!$B$229=J$3,SUMIF('TL02'!$C$238:$C$451,$C98,'TL02'!$J$238:$J$451),0),
IF('TL03'!$B$3=J$3,SUMIF('TL03'!$C$10:$C$224,$C98,'TL03'!$J$10:$J$224),0),
IF('TL03'!$B$229=J$3,SUMIF('TL03'!$C$238:$C$451,$C98,'TL03'!$J$238:$J$451),0),
IF('TL04'!$B$3=J$3,SUMIF('TL04'!$C$10:$C$224,$C98,'TL04'!$J$10:$J$224),0),
IF('TL04'!$B$229=J$3,SUMIF('TL04'!$C$238:$C$451,$C98,'TL04'!$J$238:$J$451),0),
IF('TL05'!$B$3=J$3,SUMIF('TL05'!$C$10:$C$224,$C98,'TL05'!$J$10:$J$224),0),
IF('TL05'!$B$229=J$3,SUMIF('TL05'!$C$238:$C$451,$C98,'TL05'!$J$238:$J$451),0),
IF('TL06'!$B$3=J$3,SUMIF('TL06'!$C$10:$C$224,$C98,'TL06'!$J$10:$J$224),0),
IF('TL06'!$B$229=J$3,SUMIF('TL06'!$C$238:$C$451,$C98,'TL06'!$J$238:$J$451),0),
IF('TL07'!$B$3=J$3,SUMIF('TL07'!$C$10:$C$224,$C98,'TL07'!$J$10:$J$224),0),
IF('TL07'!$B$229=J$3,SUMIF('TL07'!$C$238:$C$451,$C98,'TL07'!$J$238:$J$451),0),
IF('TL08'!$B$3=J$3,SUMIF('TL08'!$C$10:$C$224,$C98,'TL08'!$J$10:$J$224),0),
IF('TL08'!$B$229=J$3,SUMIF('TL08'!$C$238:$C$451,$C98,'TL08'!$J$238:$J$451),0),
IF('TL09'!$B$3=J$3,SUMIF('TL09'!$C$10:$C$224,$C98,'TL09'!$J$10:$J$224),0),
IF('TL09'!$B$229=J$3,SUMIF('TL09'!$C$238:$C$451,$C98,'TL09'!$J$238:$J$451),0),
IF('TL10'!$B$3=J$3,SUMIF('TL10'!$C$10:$C$224,$C98,'TL10'!$J$10:$J$224),0),
IF('TL10'!$B$229=J$3,SUMIF('TL10'!$C$238:$C$451,$C98,'TL10'!$J$238:$J$451),0),
IF('TL11'!$B$3=J$3,SUMIF('TL11'!$C$10:$C$224,$C98,'TL11'!$J$10:$J$224),0),
IF('TL11'!$B$229=J$3,SUMIF('TL11'!$C$238:$C$451,$C98,'TL11'!$J$238:$J$451),0),
IF('TL12'!$B$3=J$3,SUMIF('TL12'!$C$10:$C$224,$C98,'TL12'!$J$10:$J$224),0),
IF('TL12'!$B$229=J$3,SUMIF('TL12'!$C$238:$C$451,$C98,'TL12'!$J$238:$J$451),0),
IF('TL13'!$B$3=J$3,SUMIF('TL13'!$C$10:$C$224,$C98,'TL13'!$J$10:$J$224),0),
IF('TL13'!$B$229=J$3,SUMIF('TL13'!$C$238:$C$451,$C98,'TL13'!$J$238:$J$451),0),
IF('TL14'!$B$3=J$3,SUMIF('TL14'!$C$10:$C$224,$C98,'TL14'!$J$10:$J$224),0),
IF('TL14'!$B$229=J$3,SUMIF('TL14'!$C$238:$C$451,$C98,'TL14'!$J$238:$J$451),0),
IF('TL15'!$B$3=J$3,SUMIF('TL15'!$C$10:$C$224,$C98,'TL15'!$J$10:$J$224),0),
IF('TL15'!$B$229=J$3,SUMIF('TL15'!$C$238:$C$451,$C98,'TL15'!$J$238:$J$451),0),
IF('TL16'!$B$3=J$3,SUMIF('TL16'!$C$10:$C$224,$C98,'TL16'!$J$10:$J$224),0),
IF('TL16'!$B$229=J$3,SUMIF('TL16'!$C$238:$C$451,$C98,'TL16'!$J$238:$J$451),0),
IF('TL17'!$B$3=J$3,SUMIF('TL17'!$C$10:$C$224,$C98,'TL17'!$J$10:$J$224),0),
IF('TL17'!$B$229=J$3,SUMIF('TL17'!$C$238:$C$451,$C98,'TL17'!$J$238:$J$451),0),
IF('TL18'!$B$3=J$3,SUMIF('TL18'!$C$10:$C$224,$C98,'TL18'!$J$10:$J$224),0),
IF('TL18'!$B$229=J$3,SUMIF('TL18'!$C$238:$C$451,$C98,'TL18'!$J$238:$J$451),0),
IF('TL19'!$B$3=J$3,SUMIF('TL19'!$C$10:$C$224,$C98,'TL19'!$J$10:$J$224),0),
IF('TL19'!$B$229=J$3,SUMIF('TL19'!$C$238:$C$451,$C98,'TL19'!$J$238:$J$451),0)
),0)</f>
        <v>0</v>
      </c>
      <c r="K98" s="9">
        <f>IFERROR(SUM(
IF('TL01'!$B$3=K$3,SUMIF('TL01'!$C$10:$C$224,$C98,'TL01'!$J$10:$J$224),0),
IF('TL01'!$B$229=K$3,SUMIF('TL01'!$C$238:$C$451,$C98,'TL01'!$J$238:$J$451),0),
IF('TL02'!$B$3=K$3,SUMIF('TL02'!$C$10:$C$224,$C98,'TL02'!$J$10:$J$224),0),
IF('TL02'!$B$229=K$3,SUMIF('TL02'!$C$238:$C$451,$C98,'TL02'!$J$238:$J$451),0),
IF('TL03'!$B$3=K$3,SUMIF('TL03'!$C$10:$C$224,$C98,'TL03'!$J$10:$J$224),0),
IF('TL03'!$B$229=K$3,SUMIF('TL03'!$C$238:$C$451,$C98,'TL03'!$J$238:$J$451),0),
IF('TL04'!$B$3=K$3,SUMIF('TL04'!$C$10:$C$224,$C98,'TL04'!$J$10:$J$224),0),
IF('TL04'!$B$229=K$3,SUMIF('TL04'!$C$238:$C$451,$C98,'TL04'!$J$238:$J$451),0),
IF('TL05'!$B$3=K$3,SUMIF('TL05'!$C$10:$C$224,$C98,'TL05'!$J$10:$J$224),0),
IF('TL05'!$B$229=K$3,SUMIF('TL05'!$C$238:$C$451,$C98,'TL05'!$J$238:$J$451),0),
IF('TL06'!$B$3=K$3,SUMIF('TL06'!$C$10:$C$224,$C98,'TL06'!$J$10:$J$224),0),
IF('TL06'!$B$229=K$3,SUMIF('TL06'!$C$238:$C$451,$C98,'TL06'!$J$238:$J$451),0),
IF('TL07'!$B$3=K$3,SUMIF('TL07'!$C$10:$C$224,$C98,'TL07'!$J$10:$J$224),0),
IF('TL07'!$B$229=K$3,SUMIF('TL07'!$C$238:$C$451,$C98,'TL07'!$J$238:$J$451),0),
IF('TL08'!$B$3=K$3,SUMIF('TL08'!$C$10:$C$224,$C98,'TL08'!$J$10:$J$224),0),
IF('TL08'!$B$229=K$3,SUMIF('TL08'!$C$238:$C$451,$C98,'TL08'!$J$238:$J$451),0),
IF('TL09'!$B$3=K$3,SUMIF('TL09'!$C$10:$C$224,$C98,'TL09'!$J$10:$J$224),0),
IF('TL09'!$B$229=K$3,SUMIF('TL09'!$C$238:$C$451,$C98,'TL09'!$J$238:$J$451),0),
IF('TL10'!$B$3=K$3,SUMIF('TL10'!$C$10:$C$224,$C98,'TL10'!$J$10:$J$224),0),
IF('TL10'!$B$229=K$3,SUMIF('TL10'!$C$238:$C$451,$C98,'TL10'!$J$238:$J$451),0),
IF('TL11'!$B$3=K$3,SUMIF('TL11'!$C$10:$C$224,$C98,'TL11'!$J$10:$J$224),0),
IF('TL11'!$B$229=K$3,SUMIF('TL11'!$C$238:$C$451,$C98,'TL11'!$J$238:$J$451),0),
IF('TL12'!$B$3=K$3,SUMIF('TL12'!$C$10:$C$224,$C98,'TL12'!$J$10:$J$224),0),
IF('TL12'!$B$229=K$3,SUMIF('TL12'!$C$238:$C$451,$C98,'TL12'!$J$238:$J$451),0),
IF('TL13'!$B$3=K$3,SUMIF('TL13'!$C$10:$C$224,$C98,'TL13'!$J$10:$J$224),0),
IF('TL13'!$B$229=K$3,SUMIF('TL13'!$C$238:$C$451,$C98,'TL13'!$J$238:$J$451),0),
IF('TL14'!$B$3=K$3,SUMIF('TL14'!$C$10:$C$224,$C98,'TL14'!$J$10:$J$224),0),
IF('TL14'!$B$229=K$3,SUMIF('TL14'!$C$238:$C$451,$C98,'TL14'!$J$238:$J$451),0),
IF('TL15'!$B$3=K$3,SUMIF('TL15'!$C$10:$C$224,$C98,'TL15'!$J$10:$J$224),0),
IF('TL15'!$B$229=K$3,SUMIF('TL15'!$C$238:$C$451,$C98,'TL15'!$J$238:$J$451),0),
IF('TL16'!$B$3=K$3,SUMIF('TL16'!$C$10:$C$224,$C98,'TL16'!$J$10:$J$224),0),
IF('TL16'!$B$229=K$3,SUMIF('TL16'!$C$238:$C$451,$C98,'TL16'!$J$238:$J$451),0),
IF('TL17'!$B$3=K$3,SUMIF('TL17'!$C$10:$C$224,$C98,'TL17'!$J$10:$J$224),0),
IF('TL17'!$B$229=K$3,SUMIF('TL17'!$C$238:$C$451,$C98,'TL17'!$J$238:$J$451),0),
IF('TL18'!$B$3=K$3,SUMIF('TL18'!$C$10:$C$224,$C98,'TL18'!$J$10:$J$224),0),
IF('TL18'!$B$229=K$3,SUMIF('TL18'!$C$238:$C$451,$C98,'TL18'!$J$238:$J$451),0),
IF('TL19'!$B$3=K$3,SUMIF('TL19'!$C$10:$C$224,$C98,'TL19'!$J$10:$J$224),0),
IF('TL19'!$B$229=K$3,SUMIF('TL19'!$C$238:$C$451,$C98,'TL19'!$J$238:$J$451),0)
),0)</f>
        <v>0</v>
      </c>
      <c r="L98" s="9">
        <f>IFERROR(SUM(
IF('TL01'!$B$3=L$3,SUMIF('TL01'!$C$10:$C$224,$C98,'TL01'!$J$10:$J$224),0),
IF('TL01'!$B$229=L$3,SUMIF('TL01'!$C$238:$C$451,$C98,'TL01'!$J$238:$J$451),0),
IF('TL02'!$B$3=L$3,SUMIF('TL02'!$C$10:$C$224,$C98,'TL02'!$J$10:$J$224),0),
IF('TL02'!$B$229=L$3,SUMIF('TL02'!$C$238:$C$451,$C98,'TL02'!$J$238:$J$451),0),
IF('TL03'!$B$3=L$3,SUMIF('TL03'!$C$10:$C$224,$C98,'TL03'!$J$10:$J$224),0),
IF('TL03'!$B$229=L$3,SUMIF('TL03'!$C$238:$C$451,$C98,'TL03'!$J$238:$J$451),0),
IF('TL04'!$B$3=L$3,SUMIF('TL04'!$C$10:$C$224,$C98,'TL04'!$J$10:$J$224),0),
IF('TL04'!$B$229=L$3,SUMIF('TL04'!$C$238:$C$451,$C98,'TL04'!$J$238:$J$451),0),
IF('TL05'!$B$3=L$3,SUMIF('TL05'!$C$10:$C$224,$C98,'TL05'!$J$10:$J$224),0),
IF('TL05'!$B$229=L$3,SUMIF('TL05'!$C$238:$C$451,$C98,'TL05'!$J$238:$J$451),0),
IF('TL06'!$B$3=L$3,SUMIF('TL06'!$C$10:$C$224,$C98,'TL06'!$J$10:$J$224),0),
IF('TL06'!$B$229=L$3,SUMIF('TL06'!$C$238:$C$451,$C98,'TL06'!$J$238:$J$451),0),
IF('TL07'!$B$3=L$3,SUMIF('TL07'!$C$10:$C$224,$C98,'TL07'!$J$10:$J$224),0),
IF('TL07'!$B$229=L$3,SUMIF('TL07'!$C$238:$C$451,$C98,'TL07'!$J$238:$J$451),0),
IF('TL08'!$B$3=L$3,SUMIF('TL08'!$C$10:$C$224,$C98,'TL08'!$J$10:$J$224),0),
IF('TL08'!$B$229=L$3,SUMIF('TL08'!$C$238:$C$451,$C98,'TL08'!$J$238:$J$451),0),
IF('TL09'!$B$3=L$3,SUMIF('TL09'!$C$10:$C$224,$C98,'TL09'!$J$10:$J$224),0),
IF('TL09'!$B$229=L$3,SUMIF('TL09'!$C$238:$C$451,$C98,'TL09'!$J$238:$J$451),0),
IF('TL10'!$B$3=L$3,SUMIF('TL10'!$C$10:$C$224,$C98,'TL10'!$J$10:$J$224),0),
IF('TL10'!$B$229=L$3,SUMIF('TL10'!$C$238:$C$451,$C98,'TL10'!$J$238:$J$451),0),
IF('TL11'!$B$3=L$3,SUMIF('TL11'!$C$10:$C$224,$C98,'TL11'!$J$10:$J$224),0),
IF('TL11'!$B$229=L$3,SUMIF('TL11'!$C$238:$C$451,$C98,'TL11'!$J$238:$J$451),0),
IF('TL12'!$B$3=L$3,SUMIF('TL12'!$C$10:$C$224,$C98,'TL12'!$J$10:$J$224),0),
IF('TL12'!$B$229=L$3,SUMIF('TL12'!$C$238:$C$451,$C98,'TL12'!$J$238:$J$451),0),
IF('TL13'!$B$3=L$3,SUMIF('TL13'!$C$10:$C$224,$C98,'TL13'!$J$10:$J$224),0),
IF('TL13'!$B$229=L$3,SUMIF('TL13'!$C$238:$C$451,$C98,'TL13'!$J$238:$J$451),0),
IF('TL14'!$B$3=L$3,SUMIF('TL14'!$C$10:$C$224,$C98,'TL14'!$J$10:$J$224),0),
IF('TL14'!$B$229=L$3,SUMIF('TL14'!$C$238:$C$451,$C98,'TL14'!$J$238:$J$451),0),
IF('TL15'!$B$3=L$3,SUMIF('TL15'!$C$10:$C$224,$C98,'TL15'!$J$10:$J$224),0),
IF('TL15'!$B$229=L$3,SUMIF('TL15'!$C$238:$C$451,$C98,'TL15'!$J$238:$J$451),0),
IF('TL16'!$B$3=L$3,SUMIF('TL16'!$C$10:$C$224,$C98,'TL16'!$J$10:$J$224),0),
IF('TL16'!$B$229=L$3,SUMIF('TL16'!$C$238:$C$451,$C98,'TL16'!$J$238:$J$451),0),
IF('TL17'!$B$3=L$3,SUMIF('TL17'!$C$10:$C$224,$C98,'TL17'!$J$10:$J$224),0),
IF('TL17'!$B$229=L$3,SUMIF('TL17'!$C$238:$C$451,$C98,'TL17'!$J$238:$J$451),0),
IF('TL18'!$B$3=L$3,SUMIF('TL18'!$C$10:$C$224,$C98,'TL18'!$J$10:$J$224),0),
IF('TL18'!$B$229=L$3,SUMIF('TL18'!$C$238:$C$451,$C98,'TL18'!$J$238:$J$451),0),
IF('TL19'!$B$3=L$3,SUMIF('TL19'!$C$10:$C$224,$C98,'TL19'!$J$10:$J$224),0),
IF('TL19'!$B$229=L$3,SUMIF('TL19'!$C$238:$C$451,$C98,'TL19'!$J$238:$J$451),0)
),0)</f>
        <v>0</v>
      </c>
      <c r="M98" s="9">
        <f>IFERROR(SUM(
IF('TL01'!$B$3=M$3,SUMIF('TL01'!$C$10:$C$224,$C98,'TL01'!$J$10:$J$224),0),
IF('TL01'!$B$229=M$3,SUMIF('TL01'!$C$238:$C$451,$C98,'TL01'!$J$238:$J$451),0),
IF('TL02'!$B$3=M$3,SUMIF('TL02'!$C$10:$C$224,$C98,'TL02'!$J$10:$J$224),0),
IF('TL02'!$B$229=M$3,SUMIF('TL02'!$C$238:$C$451,$C98,'TL02'!$J$238:$J$451),0),
IF('TL03'!$B$3=M$3,SUMIF('TL03'!$C$10:$C$224,$C98,'TL03'!$J$10:$J$224),0),
IF('TL03'!$B$229=M$3,SUMIF('TL03'!$C$238:$C$451,$C98,'TL03'!$J$238:$J$451),0),
IF('TL04'!$B$3=M$3,SUMIF('TL04'!$C$10:$C$224,$C98,'TL04'!$J$10:$J$224),0),
IF('TL04'!$B$229=M$3,SUMIF('TL04'!$C$238:$C$451,$C98,'TL04'!$J$238:$J$451),0),
IF('TL05'!$B$3=M$3,SUMIF('TL05'!$C$10:$C$224,$C98,'TL05'!$J$10:$J$224),0),
IF('TL05'!$B$229=M$3,SUMIF('TL05'!$C$238:$C$451,$C98,'TL05'!$J$238:$J$451),0),
IF('TL06'!$B$3=M$3,SUMIF('TL06'!$C$10:$C$224,$C98,'TL06'!$J$10:$J$224),0),
IF('TL06'!$B$229=M$3,SUMIF('TL06'!$C$238:$C$451,$C98,'TL06'!$J$238:$J$451),0),
IF('TL07'!$B$3=M$3,SUMIF('TL07'!$C$10:$C$224,$C98,'TL07'!$J$10:$J$224),0),
IF('TL07'!$B$229=M$3,SUMIF('TL07'!$C$238:$C$451,$C98,'TL07'!$J$238:$J$451),0),
IF('TL08'!$B$3=M$3,SUMIF('TL08'!$C$10:$C$224,$C98,'TL08'!$J$10:$J$224),0),
IF('TL08'!$B$229=M$3,SUMIF('TL08'!$C$238:$C$451,$C98,'TL08'!$J$238:$J$451),0),
IF('TL09'!$B$3=M$3,SUMIF('TL09'!$C$10:$C$224,$C98,'TL09'!$J$10:$J$224),0),
IF('TL09'!$B$229=M$3,SUMIF('TL09'!$C$238:$C$451,$C98,'TL09'!$J$238:$J$451),0),
IF('TL10'!$B$3=M$3,SUMIF('TL10'!$C$10:$C$224,$C98,'TL10'!$J$10:$J$224),0),
IF('TL10'!$B$229=M$3,SUMIF('TL10'!$C$238:$C$451,$C98,'TL10'!$J$238:$J$451),0),
IF('TL11'!$B$3=M$3,SUMIF('TL11'!$C$10:$C$224,$C98,'TL11'!$J$10:$J$224),0),
IF('TL11'!$B$229=M$3,SUMIF('TL11'!$C$238:$C$451,$C98,'TL11'!$J$238:$J$451),0),
IF('TL12'!$B$3=M$3,SUMIF('TL12'!$C$10:$C$224,$C98,'TL12'!$J$10:$J$224),0),
IF('TL12'!$B$229=M$3,SUMIF('TL12'!$C$238:$C$451,$C98,'TL12'!$J$238:$J$451),0),
IF('TL13'!$B$3=M$3,SUMIF('TL13'!$C$10:$C$224,$C98,'TL13'!$J$10:$J$224),0),
IF('TL13'!$B$229=M$3,SUMIF('TL13'!$C$238:$C$451,$C98,'TL13'!$J$238:$J$451),0),
IF('TL14'!$B$3=M$3,SUMIF('TL14'!$C$10:$C$224,$C98,'TL14'!$J$10:$J$224),0),
IF('TL14'!$B$229=M$3,SUMIF('TL14'!$C$238:$C$451,$C98,'TL14'!$J$238:$J$451),0),
IF('TL15'!$B$3=M$3,SUMIF('TL15'!$C$10:$C$224,$C98,'TL15'!$J$10:$J$224),0),
IF('TL15'!$B$229=M$3,SUMIF('TL15'!$C$238:$C$451,$C98,'TL15'!$J$238:$J$451),0),
IF('TL16'!$B$3=M$3,SUMIF('TL16'!$C$10:$C$224,$C98,'TL16'!$J$10:$J$224),0),
IF('TL16'!$B$229=M$3,SUMIF('TL16'!$C$238:$C$451,$C98,'TL16'!$J$238:$J$451),0),
IF('TL17'!$B$3=M$3,SUMIF('TL17'!$C$10:$C$224,$C98,'TL17'!$J$10:$J$224),0),
IF('TL17'!$B$229=M$3,SUMIF('TL17'!$C$238:$C$451,$C98,'TL17'!$J$238:$J$451),0),
IF('TL18'!$B$3=M$3,SUMIF('TL18'!$C$10:$C$224,$C98,'TL18'!$J$10:$J$224),0),
IF('TL18'!$B$229=M$3,SUMIF('TL18'!$C$238:$C$451,$C98,'TL18'!$J$238:$J$451),0),
IF('TL19'!$B$3=M$3,SUMIF('TL19'!$C$10:$C$224,$C98,'TL19'!$J$10:$J$224),0),
IF('TL19'!$B$229=M$3,SUMIF('TL19'!$C$238:$C$451,$C98,'TL19'!$J$238:$J$451),0)
),0)</f>
        <v>0</v>
      </c>
      <c r="N98" s="9">
        <f>IFERROR(SUM(
IF('TL01'!$B$3=N$3,SUMIF('TL01'!$C$10:$C$224,$C98,'TL01'!$J$10:$J$224),0),
IF('TL01'!$B$229=N$3,SUMIF('TL01'!$C$238:$C$451,$C98,'TL01'!$J$238:$J$451),0),
IF('TL02'!$B$3=N$3,SUMIF('TL02'!$C$10:$C$224,$C98,'TL02'!$J$10:$J$224),0),
IF('TL02'!$B$229=N$3,SUMIF('TL02'!$C$238:$C$451,$C98,'TL02'!$J$238:$J$451),0),
IF('TL03'!$B$3=N$3,SUMIF('TL03'!$C$10:$C$224,$C98,'TL03'!$J$10:$J$224),0),
IF('TL03'!$B$229=N$3,SUMIF('TL03'!$C$238:$C$451,$C98,'TL03'!$J$238:$J$451),0),
IF('TL04'!$B$3=N$3,SUMIF('TL04'!$C$10:$C$224,$C98,'TL04'!$J$10:$J$224),0),
IF('TL04'!$B$229=N$3,SUMIF('TL04'!$C$238:$C$451,$C98,'TL04'!$J$238:$J$451),0),
IF('TL05'!$B$3=N$3,SUMIF('TL05'!$C$10:$C$224,$C98,'TL05'!$J$10:$J$224),0),
IF('TL05'!$B$229=N$3,SUMIF('TL05'!$C$238:$C$451,$C98,'TL05'!$J$238:$J$451),0),
IF('TL06'!$B$3=N$3,SUMIF('TL06'!$C$10:$C$224,$C98,'TL06'!$J$10:$J$224),0),
IF('TL06'!$B$229=N$3,SUMIF('TL06'!$C$238:$C$451,$C98,'TL06'!$J$238:$J$451),0),
IF('TL07'!$B$3=N$3,SUMIF('TL07'!$C$10:$C$224,$C98,'TL07'!$J$10:$J$224),0),
IF('TL07'!$B$229=N$3,SUMIF('TL07'!$C$238:$C$451,$C98,'TL07'!$J$238:$J$451),0),
IF('TL08'!$B$3=N$3,SUMIF('TL08'!$C$10:$C$224,$C98,'TL08'!$J$10:$J$224),0),
IF('TL08'!$B$229=N$3,SUMIF('TL08'!$C$238:$C$451,$C98,'TL08'!$J$238:$J$451),0),
IF('TL09'!$B$3=N$3,SUMIF('TL09'!$C$10:$C$224,$C98,'TL09'!$J$10:$J$224),0),
IF('TL09'!$B$229=N$3,SUMIF('TL09'!$C$238:$C$451,$C98,'TL09'!$J$238:$J$451),0),
IF('TL10'!$B$3=N$3,SUMIF('TL10'!$C$10:$C$224,$C98,'TL10'!$J$10:$J$224),0),
IF('TL10'!$B$229=N$3,SUMIF('TL10'!$C$238:$C$451,$C98,'TL10'!$J$238:$J$451),0),
IF('TL11'!$B$3=N$3,SUMIF('TL11'!$C$10:$C$224,$C98,'TL11'!$J$10:$J$224),0),
IF('TL11'!$B$229=N$3,SUMIF('TL11'!$C$238:$C$451,$C98,'TL11'!$J$238:$J$451),0),
IF('TL12'!$B$3=N$3,SUMIF('TL12'!$C$10:$C$224,$C98,'TL12'!$J$10:$J$224),0),
IF('TL12'!$B$229=N$3,SUMIF('TL12'!$C$238:$C$451,$C98,'TL12'!$J$238:$J$451),0),
IF('TL13'!$B$3=N$3,SUMIF('TL13'!$C$10:$C$224,$C98,'TL13'!$J$10:$J$224),0),
IF('TL13'!$B$229=N$3,SUMIF('TL13'!$C$238:$C$451,$C98,'TL13'!$J$238:$J$451),0),
IF('TL14'!$B$3=N$3,SUMIF('TL14'!$C$10:$C$224,$C98,'TL14'!$J$10:$J$224),0),
IF('TL14'!$B$229=N$3,SUMIF('TL14'!$C$238:$C$451,$C98,'TL14'!$J$238:$J$451),0),
IF('TL15'!$B$3=N$3,SUMIF('TL15'!$C$10:$C$224,$C98,'TL15'!$J$10:$J$224),0),
IF('TL15'!$B$229=N$3,SUMIF('TL15'!$C$238:$C$451,$C98,'TL15'!$J$238:$J$451),0),
IF('TL16'!$B$3=N$3,SUMIF('TL16'!$C$10:$C$224,$C98,'TL16'!$J$10:$J$224),0),
IF('TL16'!$B$229=N$3,SUMIF('TL16'!$C$238:$C$451,$C98,'TL16'!$J$238:$J$451),0),
IF('TL17'!$B$3=N$3,SUMIF('TL17'!$C$10:$C$224,$C98,'TL17'!$J$10:$J$224),0),
IF('TL17'!$B$229=N$3,SUMIF('TL17'!$C$238:$C$451,$C98,'TL17'!$J$238:$J$451),0),
IF('TL18'!$B$3=N$3,SUMIF('TL18'!$C$10:$C$224,$C98,'TL18'!$J$10:$J$224),0),
IF('TL18'!$B$229=N$3,SUMIF('TL18'!$C$238:$C$451,$C98,'TL18'!$J$238:$J$451),0),
IF('TL19'!$B$3=N$3,SUMIF('TL19'!$C$10:$C$224,$C98,'TL19'!$J$10:$J$224),0),
IF('TL19'!$B$229=N$3,SUMIF('TL19'!$C$238:$C$451,$C98,'TL19'!$J$238:$J$451),0)
),0)</f>
        <v>0</v>
      </c>
      <c r="O98" s="9">
        <f>IFERROR(SUM(
IF('TL01'!$B$3=O$3,SUMIF('TL01'!$C$10:$C$224,$C98,'TL01'!$J$10:$J$224),0),
IF('TL01'!$B$229=O$3,SUMIF('TL01'!$C$238:$C$451,$C98,'TL01'!$J$238:$J$451),0),
IF('TL02'!$B$3=O$3,SUMIF('TL02'!$C$10:$C$224,$C98,'TL02'!$J$10:$J$224),0),
IF('TL02'!$B$229=O$3,SUMIF('TL02'!$C$238:$C$451,$C98,'TL02'!$J$238:$J$451),0),
IF('TL03'!$B$3=O$3,SUMIF('TL03'!$C$10:$C$224,$C98,'TL03'!$J$10:$J$224),0),
IF('TL03'!$B$229=O$3,SUMIF('TL03'!$C$238:$C$451,$C98,'TL03'!$J$238:$J$451),0),
IF('TL04'!$B$3=O$3,SUMIF('TL04'!$C$10:$C$224,$C98,'TL04'!$J$10:$J$224),0),
IF('TL04'!$B$229=O$3,SUMIF('TL04'!$C$238:$C$451,$C98,'TL04'!$J$238:$J$451),0),
IF('TL05'!$B$3=O$3,SUMIF('TL05'!$C$10:$C$224,$C98,'TL05'!$J$10:$J$224),0),
IF('TL05'!$B$229=O$3,SUMIF('TL05'!$C$238:$C$451,$C98,'TL05'!$J$238:$J$451),0),
IF('TL06'!$B$3=O$3,SUMIF('TL06'!$C$10:$C$224,$C98,'TL06'!$J$10:$J$224),0),
IF('TL06'!$B$229=O$3,SUMIF('TL06'!$C$238:$C$451,$C98,'TL06'!$J$238:$J$451),0),
IF('TL07'!$B$3=O$3,SUMIF('TL07'!$C$10:$C$224,$C98,'TL07'!$J$10:$J$224),0),
IF('TL07'!$B$229=O$3,SUMIF('TL07'!$C$238:$C$451,$C98,'TL07'!$J$238:$J$451),0),
IF('TL08'!$B$3=O$3,SUMIF('TL08'!$C$10:$C$224,$C98,'TL08'!$J$10:$J$224),0),
IF('TL08'!$B$229=O$3,SUMIF('TL08'!$C$238:$C$451,$C98,'TL08'!$J$238:$J$451),0),
IF('TL09'!$B$3=O$3,SUMIF('TL09'!$C$10:$C$224,$C98,'TL09'!$J$10:$J$224),0),
IF('TL09'!$B$229=O$3,SUMIF('TL09'!$C$238:$C$451,$C98,'TL09'!$J$238:$J$451),0),
IF('TL10'!$B$3=O$3,SUMIF('TL10'!$C$10:$C$224,$C98,'TL10'!$J$10:$J$224),0),
IF('TL10'!$B$229=O$3,SUMIF('TL10'!$C$238:$C$451,$C98,'TL10'!$J$238:$J$451),0),
IF('TL11'!$B$3=O$3,SUMIF('TL11'!$C$10:$C$224,$C98,'TL11'!$J$10:$J$224),0),
IF('TL11'!$B$229=O$3,SUMIF('TL11'!$C$238:$C$451,$C98,'TL11'!$J$238:$J$451),0),
IF('TL12'!$B$3=O$3,SUMIF('TL12'!$C$10:$C$224,$C98,'TL12'!$J$10:$J$224),0),
IF('TL12'!$B$229=O$3,SUMIF('TL12'!$C$238:$C$451,$C98,'TL12'!$J$238:$J$451),0),
IF('TL13'!$B$3=O$3,SUMIF('TL13'!$C$10:$C$224,$C98,'TL13'!$J$10:$J$224),0),
IF('TL13'!$B$229=O$3,SUMIF('TL13'!$C$238:$C$451,$C98,'TL13'!$J$238:$J$451),0),
IF('TL14'!$B$3=O$3,SUMIF('TL14'!$C$10:$C$224,$C98,'TL14'!$J$10:$J$224),0),
IF('TL14'!$B$229=O$3,SUMIF('TL14'!$C$238:$C$451,$C98,'TL14'!$J$238:$J$451),0),
IF('TL15'!$B$3=O$3,SUMIF('TL15'!$C$10:$C$224,$C98,'TL15'!$J$10:$J$224),0),
IF('TL15'!$B$229=O$3,SUMIF('TL15'!$C$238:$C$451,$C98,'TL15'!$J$238:$J$451),0),
IF('TL16'!$B$3=O$3,SUMIF('TL16'!$C$10:$C$224,$C98,'TL16'!$J$10:$J$224),0),
IF('TL16'!$B$229=O$3,SUMIF('TL16'!$C$238:$C$451,$C98,'TL16'!$J$238:$J$451),0),
IF('TL17'!$B$3=O$3,SUMIF('TL17'!$C$10:$C$224,$C98,'TL17'!$J$10:$J$224),0),
IF('TL17'!$B$229=O$3,SUMIF('TL17'!$C$238:$C$451,$C98,'TL17'!$J$238:$J$451),0),
IF('TL18'!$B$3=O$3,SUMIF('TL18'!$C$10:$C$224,$C98,'TL18'!$J$10:$J$224),0),
IF('TL18'!$B$229=O$3,SUMIF('TL18'!$C$238:$C$451,$C98,'TL18'!$J$238:$J$451),0),
IF('TL19'!$B$3=O$3,SUMIF('TL19'!$C$10:$C$224,$C98,'TL19'!$J$10:$J$224),0),
IF('TL19'!$B$229=O$3,SUMIF('TL19'!$C$238:$C$451,$C98,'TL19'!$J$238:$J$451),0)
),0)</f>
        <v>0</v>
      </c>
      <c r="P98" s="9">
        <f>IFERROR(SUM(
IF('TL01'!$B$3=P$3,SUMIF('TL01'!$C$10:$C$224,$C98,'TL01'!$J$10:$J$224),0),
IF('TL01'!$B$229=P$3,SUMIF('TL01'!$C$238:$C$451,$C98,'TL01'!$J$238:$J$451),0),
IF('TL02'!$B$3=P$3,SUMIF('TL02'!$C$10:$C$224,$C98,'TL02'!$J$10:$J$224),0),
IF('TL02'!$B$229=P$3,SUMIF('TL02'!$C$238:$C$451,$C98,'TL02'!$J$238:$J$451),0),
IF('TL03'!$B$3=P$3,SUMIF('TL03'!$C$10:$C$224,$C98,'TL03'!$J$10:$J$224),0),
IF('TL03'!$B$229=P$3,SUMIF('TL03'!$C$238:$C$451,$C98,'TL03'!$J$238:$J$451),0),
IF('TL04'!$B$3=P$3,SUMIF('TL04'!$C$10:$C$224,$C98,'TL04'!$J$10:$J$224),0),
IF('TL04'!$B$229=P$3,SUMIF('TL04'!$C$238:$C$451,$C98,'TL04'!$J$238:$J$451),0),
IF('TL05'!$B$3=P$3,SUMIF('TL05'!$C$10:$C$224,$C98,'TL05'!$J$10:$J$224),0),
IF('TL05'!$B$229=P$3,SUMIF('TL05'!$C$238:$C$451,$C98,'TL05'!$J$238:$J$451),0),
IF('TL06'!$B$3=P$3,SUMIF('TL06'!$C$10:$C$224,$C98,'TL06'!$J$10:$J$224),0),
IF('TL06'!$B$229=P$3,SUMIF('TL06'!$C$238:$C$451,$C98,'TL06'!$J$238:$J$451),0),
IF('TL07'!$B$3=P$3,SUMIF('TL07'!$C$10:$C$224,$C98,'TL07'!$J$10:$J$224),0),
IF('TL07'!$B$229=P$3,SUMIF('TL07'!$C$238:$C$451,$C98,'TL07'!$J$238:$J$451),0),
IF('TL08'!$B$3=P$3,SUMIF('TL08'!$C$10:$C$224,$C98,'TL08'!$J$10:$J$224),0),
IF('TL08'!$B$229=P$3,SUMIF('TL08'!$C$238:$C$451,$C98,'TL08'!$J$238:$J$451),0),
IF('TL09'!$B$3=P$3,SUMIF('TL09'!$C$10:$C$224,$C98,'TL09'!$J$10:$J$224),0),
IF('TL09'!$B$229=P$3,SUMIF('TL09'!$C$238:$C$451,$C98,'TL09'!$J$238:$J$451),0),
IF('TL10'!$B$3=P$3,SUMIF('TL10'!$C$10:$C$224,$C98,'TL10'!$J$10:$J$224),0),
IF('TL10'!$B$229=P$3,SUMIF('TL10'!$C$238:$C$451,$C98,'TL10'!$J$238:$J$451),0),
IF('TL11'!$B$3=P$3,SUMIF('TL11'!$C$10:$C$224,$C98,'TL11'!$J$10:$J$224),0),
IF('TL11'!$B$229=P$3,SUMIF('TL11'!$C$238:$C$451,$C98,'TL11'!$J$238:$J$451),0),
IF('TL12'!$B$3=P$3,SUMIF('TL12'!$C$10:$C$224,$C98,'TL12'!$J$10:$J$224),0),
IF('TL12'!$B$229=P$3,SUMIF('TL12'!$C$238:$C$451,$C98,'TL12'!$J$238:$J$451),0),
IF('TL13'!$B$3=P$3,SUMIF('TL13'!$C$10:$C$224,$C98,'TL13'!$J$10:$J$224),0),
IF('TL13'!$B$229=P$3,SUMIF('TL13'!$C$238:$C$451,$C98,'TL13'!$J$238:$J$451),0),
IF('TL14'!$B$3=P$3,SUMIF('TL14'!$C$10:$C$224,$C98,'TL14'!$J$10:$J$224),0),
IF('TL14'!$B$229=P$3,SUMIF('TL14'!$C$238:$C$451,$C98,'TL14'!$J$238:$J$451),0),
IF('TL15'!$B$3=P$3,SUMIF('TL15'!$C$10:$C$224,$C98,'TL15'!$J$10:$J$224),0),
IF('TL15'!$B$229=P$3,SUMIF('TL15'!$C$238:$C$451,$C98,'TL15'!$J$238:$J$451),0),
IF('TL16'!$B$3=P$3,SUMIF('TL16'!$C$10:$C$224,$C98,'TL16'!$J$10:$J$224),0),
IF('TL16'!$B$229=P$3,SUMIF('TL16'!$C$238:$C$451,$C98,'TL16'!$J$238:$J$451),0),
IF('TL17'!$B$3=P$3,SUMIF('TL17'!$C$10:$C$224,$C98,'TL17'!$J$10:$J$224),0),
IF('TL17'!$B$229=P$3,SUMIF('TL17'!$C$238:$C$451,$C98,'TL17'!$J$238:$J$451),0),
IF('TL18'!$B$3=P$3,SUMIF('TL18'!$C$10:$C$224,$C98,'TL18'!$J$10:$J$224),0),
IF('TL18'!$B$229=P$3,SUMIF('TL18'!$C$238:$C$451,$C98,'TL18'!$J$238:$J$451),0),
IF('TL19'!$B$3=P$3,SUMIF('TL19'!$C$10:$C$224,$C98,'TL19'!$J$10:$J$224),0),
IF('TL19'!$B$229=P$3,SUMIF('TL19'!$C$238:$C$451,$C98,'TL19'!$J$238:$J$451),0)
),0)</f>
        <v>0</v>
      </c>
      <c r="Q98" s="9">
        <f>IFERROR(SUM(
IF('TL01'!$B$3=Q$3,SUMIF('TL01'!$C$10:$C$224,$C98,'TL01'!$J$10:$J$224),0),
IF('TL01'!$B$229=Q$3,SUMIF('TL01'!$C$238:$C$451,$C98,'TL01'!$J$238:$J$451),0),
IF('TL02'!$B$3=Q$3,SUMIF('TL02'!$C$10:$C$224,$C98,'TL02'!$J$10:$J$224),0),
IF('TL02'!$B$229=Q$3,SUMIF('TL02'!$C$238:$C$451,$C98,'TL02'!$J$238:$J$451),0),
IF('TL03'!$B$3=Q$3,SUMIF('TL03'!$C$10:$C$224,$C98,'TL03'!$J$10:$J$224),0),
IF('TL03'!$B$229=Q$3,SUMIF('TL03'!$C$238:$C$451,$C98,'TL03'!$J$238:$J$451),0),
IF('TL04'!$B$3=Q$3,SUMIF('TL04'!$C$10:$C$224,$C98,'TL04'!$J$10:$J$224),0),
IF('TL04'!$B$229=Q$3,SUMIF('TL04'!$C$238:$C$451,$C98,'TL04'!$J$238:$J$451),0),
IF('TL05'!$B$3=Q$3,SUMIF('TL05'!$C$10:$C$224,$C98,'TL05'!$J$10:$J$224),0),
IF('TL05'!$B$229=Q$3,SUMIF('TL05'!$C$238:$C$451,$C98,'TL05'!$J$238:$J$451),0),
IF('TL06'!$B$3=Q$3,SUMIF('TL06'!$C$10:$C$224,$C98,'TL06'!$J$10:$J$224),0),
IF('TL06'!$B$229=Q$3,SUMIF('TL06'!$C$238:$C$451,$C98,'TL06'!$J$238:$J$451),0),
IF('TL07'!$B$3=Q$3,SUMIF('TL07'!$C$10:$C$224,$C98,'TL07'!$J$10:$J$224),0),
IF('TL07'!$B$229=Q$3,SUMIF('TL07'!$C$238:$C$451,$C98,'TL07'!$J$238:$J$451),0),
IF('TL08'!$B$3=Q$3,SUMIF('TL08'!$C$10:$C$224,$C98,'TL08'!$J$10:$J$224),0),
IF('TL08'!$B$229=Q$3,SUMIF('TL08'!$C$238:$C$451,$C98,'TL08'!$J$238:$J$451),0),
IF('TL09'!$B$3=Q$3,SUMIF('TL09'!$C$10:$C$224,$C98,'TL09'!$J$10:$J$224),0),
IF('TL09'!$B$229=Q$3,SUMIF('TL09'!$C$238:$C$451,$C98,'TL09'!$J$238:$J$451),0),
IF('TL10'!$B$3=Q$3,SUMIF('TL10'!$C$10:$C$224,$C98,'TL10'!$J$10:$J$224),0),
IF('TL10'!$B$229=Q$3,SUMIF('TL10'!$C$238:$C$451,$C98,'TL10'!$J$238:$J$451),0),
IF('TL11'!$B$3=Q$3,SUMIF('TL11'!$C$10:$C$224,$C98,'TL11'!$J$10:$J$224),0),
IF('TL11'!$B$229=Q$3,SUMIF('TL11'!$C$238:$C$451,$C98,'TL11'!$J$238:$J$451),0),
IF('TL12'!$B$3=Q$3,SUMIF('TL12'!$C$10:$C$224,$C98,'TL12'!$J$10:$J$224),0),
IF('TL12'!$B$229=Q$3,SUMIF('TL12'!$C$238:$C$451,$C98,'TL12'!$J$238:$J$451),0),
IF('TL13'!$B$3=Q$3,SUMIF('TL13'!$C$10:$C$224,$C98,'TL13'!$J$10:$J$224),0),
IF('TL13'!$B$229=Q$3,SUMIF('TL13'!$C$238:$C$451,$C98,'TL13'!$J$238:$J$451),0),
IF('TL14'!$B$3=Q$3,SUMIF('TL14'!$C$10:$C$224,$C98,'TL14'!$J$10:$J$224),0),
IF('TL14'!$B$229=Q$3,SUMIF('TL14'!$C$238:$C$451,$C98,'TL14'!$J$238:$J$451),0),
IF('TL15'!$B$3=Q$3,SUMIF('TL15'!$C$10:$C$224,$C98,'TL15'!$J$10:$J$224),0),
IF('TL15'!$B$229=Q$3,SUMIF('TL15'!$C$238:$C$451,$C98,'TL15'!$J$238:$J$451),0),
IF('TL16'!$B$3=Q$3,SUMIF('TL16'!$C$10:$C$224,$C98,'TL16'!$J$10:$J$224),0),
IF('TL16'!$B$229=Q$3,SUMIF('TL16'!$C$238:$C$451,$C98,'TL16'!$J$238:$J$451),0),
IF('TL17'!$B$3=Q$3,SUMIF('TL17'!$C$10:$C$224,$C98,'TL17'!$J$10:$J$224),0),
IF('TL17'!$B$229=Q$3,SUMIF('TL17'!$C$238:$C$451,$C98,'TL17'!$J$238:$J$451),0),
IF('TL18'!$B$3=Q$3,SUMIF('TL18'!$C$10:$C$224,$C98,'TL18'!$J$10:$J$224),0),
IF('TL18'!$B$229=Q$3,SUMIF('TL18'!$C$238:$C$451,$C98,'TL18'!$J$238:$J$451),0),
IF('TL19'!$B$3=Q$3,SUMIF('TL19'!$C$10:$C$224,$C98,'TL19'!$J$10:$J$224),0),
IF('TL19'!$B$229=Q$3,SUMIF('TL19'!$C$238:$C$451,$C98,'TL19'!$J$238:$J$451),0)
),0)</f>
        <v>0</v>
      </c>
      <c r="R98" s="9">
        <f>IFERROR(
SUM(
SUMIF('TL01'!C:C,C98,'TL01'!J:J),
SUMIF('TL02'!C:C,C98,'TL02'!J:J),
SUMIF('TL03'!C:C,C98,'TL03'!J:J),
SUMIF('TL04'!C:C,C98,'TL04'!J:J),
SUMIF('TL05'!C:C,C98,'TL05'!J:J),
SUMIF('TL06'!C:C,C98,'TL06'!J:J),
SUMIF('TL07'!C:C,C98,'TL07'!J:J),
SUMIF('TL08'!C:C,C98,'TL08'!J:J),
SUMIF('TL09'!C:C,C98,'TL09'!J:J),
SUMIF('TL10'!C:C,C98,'TL10'!J:J),
SUMIF('TL11'!C:C,C98,'TL11'!J:J),
SUMIF('TL12'!C:C,C98,'TL12'!J:J),
SUMIF('TL13'!C:C,C98,'TL13'!J:J),
SUMIF('TL14'!C:C,C98,'TL14'!J:J),
SUMIF('TL15'!C:C,C98,'TL15'!J:J),
SUMIF('TL16'!C:C,C98,'TL16'!J:J),
SUMIF('TL17'!C:C,C98,'TL17'!J:J),
SUMIF('TL18'!C:C,C98,'TL18'!J:J),SUMIF('TL19'!C:C,C98,'TL19'!J:J))
,0)</f>
        <v>0</v>
      </c>
      <c r="S98" s="17">
        <f>IFERROR(__xludf.DUMMYFUNCTION("IFERROR(VLOOKUP(C98,
IMPORTRANGE(""1wULbzX32WdYsx-lj2U3uUNBBe2INVIRDtcK0d-Dvl90"",
""26-27!C:G""),
5,
FALSE),
"""")"),400.32720000000006)</f>
        <v>400.3272</v>
      </c>
      <c r="T98" s="9"/>
      <c r="U98" s="92">
        <f t="shared" si="2"/>
        <v>0</v>
      </c>
      <c r="V98" s="93">
        <f t="shared" si="3"/>
        <v>0</v>
      </c>
    </row>
    <row r="99" ht="15.75" hidden="1" customHeight="1">
      <c r="A99" s="111" t="s">
        <v>358</v>
      </c>
      <c r="B99" s="112" t="s">
        <v>0</v>
      </c>
      <c r="C99" s="113" t="s">
        <v>587</v>
      </c>
      <c r="D99" s="113" t="s">
        <v>588</v>
      </c>
      <c r="E99" s="113" t="s">
        <v>589</v>
      </c>
      <c r="F99" s="4" t="s">
        <v>343</v>
      </c>
      <c r="G99" s="90" t="str">
        <f t="shared" si="4"/>
        <v>📄 Ver bula</v>
      </c>
      <c r="H99" s="9">
        <f>IFERROR(__xludf.DUMMYFUNCTION("IFERROR(VLOOKUP(C99,
IMPORTRANGE(""1wULbzX32WdYsx-lj2U3uUNBBe2INVIRDtcK0d-Dvl90"",
""26-27!C:K""),
8,
FALSE),
"""")"),0.6)</f>
        <v>0.6</v>
      </c>
      <c r="I99" s="114" t="s">
        <v>344</v>
      </c>
      <c r="J99" s="9">
        <f>IFERROR(SUM(
IF('TL01'!$B$3=J$3,SUMIF('TL01'!$C$10:$C$224,$C99,'TL01'!$J$10:$J$224),0),
IF('TL01'!$B$229=J$3,SUMIF('TL01'!$C$238:$C$451,$C99,'TL01'!$J$238:$J$451),0),
IF('TL02'!$B$3=J$3,SUMIF('TL02'!$C$10:$C$224,$C99,'TL02'!$J$10:$J$224),0),
IF('TL02'!$B$229=J$3,SUMIF('TL02'!$C$238:$C$451,$C99,'TL02'!$J$238:$J$451),0),
IF('TL03'!$B$3=J$3,SUMIF('TL03'!$C$10:$C$224,$C99,'TL03'!$J$10:$J$224),0),
IF('TL03'!$B$229=J$3,SUMIF('TL03'!$C$238:$C$451,$C99,'TL03'!$J$238:$J$451),0),
IF('TL04'!$B$3=J$3,SUMIF('TL04'!$C$10:$C$224,$C99,'TL04'!$J$10:$J$224),0),
IF('TL04'!$B$229=J$3,SUMIF('TL04'!$C$238:$C$451,$C99,'TL04'!$J$238:$J$451),0),
IF('TL05'!$B$3=J$3,SUMIF('TL05'!$C$10:$C$224,$C99,'TL05'!$J$10:$J$224),0),
IF('TL05'!$B$229=J$3,SUMIF('TL05'!$C$238:$C$451,$C99,'TL05'!$J$238:$J$451),0),
IF('TL06'!$B$3=J$3,SUMIF('TL06'!$C$10:$C$224,$C99,'TL06'!$J$10:$J$224),0),
IF('TL06'!$B$229=J$3,SUMIF('TL06'!$C$238:$C$451,$C99,'TL06'!$J$238:$J$451),0),
IF('TL07'!$B$3=J$3,SUMIF('TL07'!$C$10:$C$224,$C99,'TL07'!$J$10:$J$224),0),
IF('TL07'!$B$229=J$3,SUMIF('TL07'!$C$238:$C$451,$C99,'TL07'!$J$238:$J$451),0),
IF('TL08'!$B$3=J$3,SUMIF('TL08'!$C$10:$C$224,$C99,'TL08'!$J$10:$J$224),0),
IF('TL08'!$B$229=J$3,SUMIF('TL08'!$C$238:$C$451,$C99,'TL08'!$J$238:$J$451),0),
IF('TL09'!$B$3=J$3,SUMIF('TL09'!$C$10:$C$224,$C99,'TL09'!$J$10:$J$224),0),
IF('TL09'!$B$229=J$3,SUMIF('TL09'!$C$238:$C$451,$C99,'TL09'!$J$238:$J$451),0),
IF('TL10'!$B$3=J$3,SUMIF('TL10'!$C$10:$C$224,$C99,'TL10'!$J$10:$J$224),0),
IF('TL10'!$B$229=J$3,SUMIF('TL10'!$C$238:$C$451,$C99,'TL10'!$J$238:$J$451),0),
IF('TL11'!$B$3=J$3,SUMIF('TL11'!$C$10:$C$224,$C99,'TL11'!$J$10:$J$224),0),
IF('TL11'!$B$229=J$3,SUMIF('TL11'!$C$238:$C$451,$C99,'TL11'!$J$238:$J$451),0),
IF('TL12'!$B$3=J$3,SUMIF('TL12'!$C$10:$C$224,$C99,'TL12'!$J$10:$J$224),0),
IF('TL12'!$B$229=J$3,SUMIF('TL12'!$C$238:$C$451,$C99,'TL12'!$J$238:$J$451),0),
IF('TL13'!$B$3=J$3,SUMIF('TL13'!$C$10:$C$224,$C99,'TL13'!$J$10:$J$224),0),
IF('TL13'!$B$229=J$3,SUMIF('TL13'!$C$238:$C$451,$C99,'TL13'!$J$238:$J$451),0),
IF('TL14'!$B$3=J$3,SUMIF('TL14'!$C$10:$C$224,$C99,'TL14'!$J$10:$J$224),0),
IF('TL14'!$B$229=J$3,SUMIF('TL14'!$C$238:$C$451,$C99,'TL14'!$J$238:$J$451),0),
IF('TL15'!$B$3=J$3,SUMIF('TL15'!$C$10:$C$224,$C99,'TL15'!$J$10:$J$224),0),
IF('TL15'!$B$229=J$3,SUMIF('TL15'!$C$238:$C$451,$C99,'TL15'!$J$238:$J$451),0),
IF('TL16'!$B$3=J$3,SUMIF('TL16'!$C$10:$C$224,$C99,'TL16'!$J$10:$J$224),0),
IF('TL16'!$B$229=J$3,SUMIF('TL16'!$C$238:$C$451,$C99,'TL16'!$J$238:$J$451),0),
IF('TL17'!$B$3=J$3,SUMIF('TL17'!$C$10:$C$224,$C99,'TL17'!$J$10:$J$224),0),
IF('TL17'!$B$229=J$3,SUMIF('TL17'!$C$238:$C$451,$C99,'TL17'!$J$238:$J$451),0),
IF('TL18'!$B$3=J$3,SUMIF('TL18'!$C$10:$C$224,$C99,'TL18'!$J$10:$J$224),0),
IF('TL18'!$B$229=J$3,SUMIF('TL18'!$C$238:$C$451,$C99,'TL18'!$J$238:$J$451),0),
IF('TL19'!$B$3=J$3,SUMIF('TL19'!$C$10:$C$224,$C99,'TL19'!$J$10:$J$224),0),
IF('TL19'!$B$229=J$3,SUMIF('TL19'!$C$238:$C$451,$C99,'TL19'!$J$238:$J$451),0)
),0)</f>
        <v>0</v>
      </c>
      <c r="K99" s="9">
        <f>IFERROR(SUM(
IF('TL01'!$B$3=K$3,SUMIF('TL01'!$C$10:$C$224,$C99,'TL01'!$J$10:$J$224),0),
IF('TL01'!$B$229=K$3,SUMIF('TL01'!$C$238:$C$451,$C99,'TL01'!$J$238:$J$451),0),
IF('TL02'!$B$3=K$3,SUMIF('TL02'!$C$10:$C$224,$C99,'TL02'!$J$10:$J$224),0),
IF('TL02'!$B$229=K$3,SUMIF('TL02'!$C$238:$C$451,$C99,'TL02'!$J$238:$J$451),0),
IF('TL03'!$B$3=K$3,SUMIF('TL03'!$C$10:$C$224,$C99,'TL03'!$J$10:$J$224),0),
IF('TL03'!$B$229=K$3,SUMIF('TL03'!$C$238:$C$451,$C99,'TL03'!$J$238:$J$451),0),
IF('TL04'!$B$3=K$3,SUMIF('TL04'!$C$10:$C$224,$C99,'TL04'!$J$10:$J$224),0),
IF('TL04'!$B$229=K$3,SUMIF('TL04'!$C$238:$C$451,$C99,'TL04'!$J$238:$J$451),0),
IF('TL05'!$B$3=K$3,SUMIF('TL05'!$C$10:$C$224,$C99,'TL05'!$J$10:$J$224),0),
IF('TL05'!$B$229=K$3,SUMIF('TL05'!$C$238:$C$451,$C99,'TL05'!$J$238:$J$451),0),
IF('TL06'!$B$3=K$3,SUMIF('TL06'!$C$10:$C$224,$C99,'TL06'!$J$10:$J$224),0),
IF('TL06'!$B$229=K$3,SUMIF('TL06'!$C$238:$C$451,$C99,'TL06'!$J$238:$J$451),0),
IF('TL07'!$B$3=K$3,SUMIF('TL07'!$C$10:$C$224,$C99,'TL07'!$J$10:$J$224),0),
IF('TL07'!$B$229=K$3,SUMIF('TL07'!$C$238:$C$451,$C99,'TL07'!$J$238:$J$451),0),
IF('TL08'!$B$3=K$3,SUMIF('TL08'!$C$10:$C$224,$C99,'TL08'!$J$10:$J$224),0),
IF('TL08'!$B$229=K$3,SUMIF('TL08'!$C$238:$C$451,$C99,'TL08'!$J$238:$J$451),0),
IF('TL09'!$B$3=K$3,SUMIF('TL09'!$C$10:$C$224,$C99,'TL09'!$J$10:$J$224),0),
IF('TL09'!$B$229=K$3,SUMIF('TL09'!$C$238:$C$451,$C99,'TL09'!$J$238:$J$451),0),
IF('TL10'!$B$3=K$3,SUMIF('TL10'!$C$10:$C$224,$C99,'TL10'!$J$10:$J$224),0),
IF('TL10'!$B$229=K$3,SUMIF('TL10'!$C$238:$C$451,$C99,'TL10'!$J$238:$J$451),0),
IF('TL11'!$B$3=K$3,SUMIF('TL11'!$C$10:$C$224,$C99,'TL11'!$J$10:$J$224),0),
IF('TL11'!$B$229=K$3,SUMIF('TL11'!$C$238:$C$451,$C99,'TL11'!$J$238:$J$451),0),
IF('TL12'!$B$3=K$3,SUMIF('TL12'!$C$10:$C$224,$C99,'TL12'!$J$10:$J$224),0),
IF('TL12'!$B$229=K$3,SUMIF('TL12'!$C$238:$C$451,$C99,'TL12'!$J$238:$J$451),0),
IF('TL13'!$B$3=K$3,SUMIF('TL13'!$C$10:$C$224,$C99,'TL13'!$J$10:$J$224),0),
IF('TL13'!$B$229=K$3,SUMIF('TL13'!$C$238:$C$451,$C99,'TL13'!$J$238:$J$451),0),
IF('TL14'!$B$3=K$3,SUMIF('TL14'!$C$10:$C$224,$C99,'TL14'!$J$10:$J$224),0),
IF('TL14'!$B$229=K$3,SUMIF('TL14'!$C$238:$C$451,$C99,'TL14'!$J$238:$J$451),0),
IF('TL15'!$B$3=K$3,SUMIF('TL15'!$C$10:$C$224,$C99,'TL15'!$J$10:$J$224),0),
IF('TL15'!$B$229=K$3,SUMIF('TL15'!$C$238:$C$451,$C99,'TL15'!$J$238:$J$451),0),
IF('TL16'!$B$3=K$3,SUMIF('TL16'!$C$10:$C$224,$C99,'TL16'!$J$10:$J$224),0),
IF('TL16'!$B$229=K$3,SUMIF('TL16'!$C$238:$C$451,$C99,'TL16'!$J$238:$J$451),0),
IF('TL17'!$B$3=K$3,SUMIF('TL17'!$C$10:$C$224,$C99,'TL17'!$J$10:$J$224),0),
IF('TL17'!$B$229=K$3,SUMIF('TL17'!$C$238:$C$451,$C99,'TL17'!$J$238:$J$451),0),
IF('TL18'!$B$3=K$3,SUMIF('TL18'!$C$10:$C$224,$C99,'TL18'!$J$10:$J$224),0),
IF('TL18'!$B$229=K$3,SUMIF('TL18'!$C$238:$C$451,$C99,'TL18'!$J$238:$J$451),0),
IF('TL19'!$B$3=K$3,SUMIF('TL19'!$C$10:$C$224,$C99,'TL19'!$J$10:$J$224),0),
IF('TL19'!$B$229=K$3,SUMIF('TL19'!$C$238:$C$451,$C99,'TL19'!$J$238:$J$451),0)
),0)</f>
        <v>0</v>
      </c>
      <c r="L99" s="9">
        <f>IFERROR(SUM(
IF('TL01'!$B$3=L$3,SUMIF('TL01'!$C$10:$C$224,$C99,'TL01'!$J$10:$J$224),0),
IF('TL01'!$B$229=L$3,SUMIF('TL01'!$C$238:$C$451,$C99,'TL01'!$J$238:$J$451),0),
IF('TL02'!$B$3=L$3,SUMIF('TL02'!$C$10:$C$224,$C99,'TL02'!$J$10:$J$224),0),
IF('TL02'!$B$229=L$3,SUMIF('TL02'!$C$238:$C$451,$C99,'TL02'!$J$238:$J$451),0),
IF('TL03'!$B$3=L$3,SUMIF('TL03'!$C$10:$C$224,$C99,'TL03'!$J$10:$J$224),0),
IF('TL03'!$B$229=L$3,SUMIF('TL03'!$C$238:$C$451,$C99,'TL03'!$J$238:$J$451),0),
IF('TL04'!$B$3=L$3,SUMIF('TL04'!$C$10:$C$224,$C99,'TL04'!$J$10:$J$224),0),
IF('TL04'!$B$229=L$3,SUMIF('TL04'!$C$238:$C$451,$C99,'TL04'!$J$238:$J$451),0),
IF('TL05'!$B$3=L$3,SUMIF('TL05'!$C$10:$C$224,$C99,'TL05'!$J$10:$J$224),0),
IF('TL05'!$B$229=L$3,SUMIF('TL05'!$C$238:$C$451,$C99,'TL05'!$J$238:$J$451),0),
IF('TL06'!$B$3=L$3,SUMIF('TL06'!$C$10:$C$224,$C99,'TL06'!$J$10:$J$224),0),
IF('TL06'!$B$229=L$3,SUMIF('TL06'!$C$238:$C$451,$C99,'TL06'!$J$238:$J$451),0),
IF('TL07'!$B$3=L$3,SUMIF('TL07'!$C$10:$C$224,$C99,'TL07'!$J$10:$J$224),0),
IF('TL07'!$B$229=L$3,SUMIF('TL07'!$C$238:$C$451,$C99,'TL07'!$J$238:$J$451),0),
IF('TL08'!$B$3=L$3,SUMIF('TL08'!$C$10:$C$224,$C99,'TL08'!$J$10:$J$224),0),
IF('TL08'!$B$229=L$3,SUMIF('TL08'!$C$238:$C$451,$C99,'TL08'!$J$238:$J$451),0),
IF('TL09'!$B$3=L$3,SUMIF('TL09'!$C$10:$C$224,$C99,'TL09'!$J$10:$J$224),0),
IF('TL09'!$B$229=L$3,SUMIF('TL09'!$C$238:$C$451,$C99,'TL09'!$J$238:$J$451),0),
IF('TL10'!$B$3=L$3,SUMIF('TL10'!$C$10:$C$224,$C99,'TL10'!$J$10:$J$224),0),
IF('TL10'!$B$229=L$3,SUMIF('TL10'!$C$238:$C$451,$C99,'TL10'!$J$238:$J$451),0),
IF('TL11'!$B$3=L$3,SUMIF('TL11'!$C$10:$C$224,$C99,'TL11'!$J$10:$J$224),0),
IF('TL11'!$B$229=L$3,SUMIF('TL11'!$C$238:$C$451,$C99,'TL11'!$J$238:$J$451),0),
IF('TL12'!$B$3=L$3,SUMIF('TL12'!$C$10:$C$224,$C99,'TL12'!$J$10:$J$224),0),
IF('TL12'!$B$229=L$3,SUMIF('TL12'!$C$238:$C$451,$C99,'TL12'!$J$238:$J$451),0),
IF('TL13'!$B$3=L$3,SUMIF('TL13'!$C$10:$C$224,$C99,'TL13'!$J$10:$J$224),0),
IF('TL13'!$B$229=L$3,SUMIF('TL13'!$C$238:$C$451,$C99,'TL13'!$J$238:$J$451),0),
IF('TL14'!$B$3=L$3,SUMIF('TL14'!$C$10:$C$224,$C99,'TL14'!$J$10:$J$224),0),
IF('TL14'!$B$229=L$3,SUMIF('TL14'!$C$238:$C$451,$C99,'TL14'!$J$238:$J$451),0),
IF('TL15'!$B$3=L$3,SUMIF('TL15'!$C$10:$C$224,$C99,'TL15'!$J$10:$J$224),0),
IF('TL15'!$B$229=L$3,SUMIF('TL15'!$C$238:$C$451,$C99,'TL15'!$J$238:$J$451),0),
IF('TL16'!$B$3=L$3,SUMIF('TL16'!$C$10:$C$224,$C99,'TL16'!$J$10:$J$224),0),
IF('TL16'!$B$229=L$3,SUMIF('TL16'!$C$238:$C$451,$C99,'TL16'!$J$238:$J$451),0),
IF('TL17'!$B$3=L$3,SUMIF('TL17'!$C$10:$C$224,$C99,'TL17'!$J$10:$J$224),0),
IF('TL17'!$B$229=L$3,SUMIF('TL17'!$C$238:$C$451,$C99,'TL17'!$J$238:$J$451),0),
IF('TL18'!$B$3=L$3,SUMIF('TL18'!$C$10:$C$224,$C99,'TL18'!$J$10:$J$224),0),
IF('TL18'!$B$229=L$3,SUMIF('TL18'!$C$238:$C$451,$C99,'TL18'!$J$238:$J$451),0),
IF('TL19'!$B$3=L$3,SUMIF('TL19'!$C$10:$C$224,$C99,'TL19'!$J$10:$J$224),0),
IF('TL19'!$B$229=L$3,SUMIF('TL19'!$C$238:$C$451,$C99,'TL19'!$J$238:$J$451),0)
),0)</f>
        <v>0</v>
      </c>
      <c r="M99" s="9">
        <f>IFERROR(SUM(
IF('TL01'!$B$3=M$3,SUMIF('TL01'!$C$10:$C$224,$C99,'TL01'!$J$10:$J$224),0),
IF('TL01'!$B$229=M$3,SUMIF('TL01'!$C$238:$C$451,$C99,'TL01'!$J$238:$J$451),0),
IF('TL02'!$B$3=M$3,SUMIF('TL02'!$C$10:$C$224,$C99,'TL02'!$J$10:$J$224),0),
IF('TL02'!$B$229=M$3,SUMIF('TL02'!$C$238:$C$451,$C99,'TL02'!$J$238:$J$451),0),
IF('TL03'!$B$3=M$3,SUMIF('TL03'!$C$10:$C$224,$C99,'TL03'!$J$10:$J$224),0),
IF('TL03'!$B$229=M$3,SUMIF('TL03'!$C$238:$C$451,$C99,'TL03'!$J$238:$J$451),0),
IF('TL04'!$B$3=M$3,SUMIF('TL04'!$C$10:$C$224,$C99,'TL04'!$J$10:$J$224),0),
IF('TL04'!$B$229=M$3,SUMIF('TL04'!$C$238:$C$451,$C99,'TL04'!$J$238:$J$451),0),
IF('TL05'!$B$3=M$3,SUMIF('TL05'!$C$10:$C$224,$C99,'TL05'!$J$10:$J$224),0),
IF('TL05'!$B$229=M$3,SUMIF('TL05'!$C$238:$C$451,$C99,'TL05'!$J$238:$J$451),0),
IF('TL06'!$B$3=M$3,SUMIF('TL06'!$C$10:$C$224,$C99,'TL06'!$J$10:$J$224),0),
IF('TL06'!$B$229=M$3,SUMIF('TL06'!$C$238:$C$451,$C99,'TL06'!$J$238:$J$451),0),
IF('TL07'!$B$3=M$3,SUMIF('TL07'!$C$10:$C$224,$C99,'TL07'!$J$10:$J$224),0),
IF('TL07'!$B$229=M$3,SUMIF('TL07'!$C$238:$C$451,$C99,'TL07'!$J$238:$J$451),0),
IF('TL08'!$B$3=M$3,SUMIF('TL08'!$C$10:$C$224,$C99,'TL08'!$J$10:$J$224),0),
IF('TL08'!$B$229=M$3,SUMIF('TL08'!$C$238:$C$451,$C99,'TL08'!$J$238:$J$451),0),
IF('TL09'!$B$3=M$3,SUMIF('TL09'!$C$10:$C$224,$C99,'TL09'!$J$10:$J$224),0),
IF('TL09'!$B$229=M$3,SUMIF('TL09'!$C$238:$C$451,$C99,'TL09'!$J$238:$J$451),0),
IF('TL10'!$B$3=M$3,SUMIF('TL10'!$C$10:$C$224,$C99,'TL10'!$J$10:$J$224),0),
IF('TL10'!$B$229=M$3,SUMIF('TL10'!$C$238:$C$451,$C99,'TL10'!$J$238:$J$451),0),
IF('TL11'!$B$3=M$3,SUMIF('TL11'!$C$10:$C$224,$C99,'TL11'!$J$10:$J$224),0),
IF('TL11'!$B$229=M$3,SUMIF('TL11'!$C$238:$C$451,$C99,'TL11'!$J$238:$J$451),0),
IF('TL12'!$B$3=M$3,SUMIF('TL12'!$C$10:$C$224,$C99,'TL12'!$J$10:$J$224),0),
IF('TL12'!$B$229=M$3,SUMIF('TL12'!$C$238:$C$451,$C99,'TL12'!$J$238:$J$451),0),
IF('TL13'!$B$3=M$3,SUMIF('TL13'!$C$10:$C$224,$C99,'TL13'!$J$10:$J$224),0),
IF('TL13'!$B$229=M$3,SUMIF('TL13'!$C$238:$C$451,$C99,'TL13'!$J$238:$J$451),0),
IF('TL14'!$B$3=M$3,SUMIF('TL14'!$C$10:$C$224,$C99,'TL14'!$J$10:$J$224),0),
IF('TL14'!$B$229=M$3,SUMIF('TL14'!$C$238:$C$451,$C99,'TL14'!$J$238:$J$451),0),
IF('TL15'!$B$3=M$3,SUMIF('TL15'!$C$10:$C$224,$C99,'TL15'!$J$10:$J$224),0),
IF('TL15'!$B$229=M$3,SUMIF('TL15'!$C$238:$C$451,$C99,'TL15'!$J$238:$J$451),0),
IF('TL16'!$B$3=M$3,SUMIF('TL16'!$C$10:$C$224,$C99,'TL16'!$J$10:$J$224),0),
IF('TL16'!$B$229=M$3,SUMIF('TL16'!$C$238:$C$451,$C99,'TL16'!$J$238:$J$451),0),
IF('TL17'!$B$3=M$3,SUMIF('TL17'!$C$10:$C$224,$C99,'TL17'!$J$10:$J$224),0),
IF('TL17'!$B$229=M$3,SUMIF('TL17'!$C$238:$C$451,$C99,'TL17'!$J$238:$J$451),0),
IF('TL18'!$B$3=M$3,SUMIF('TL18'!$C$10:$C$224,$C99,'TL18'!$J$10:$J$224),0),
IF('TL18'!$B$229=M$3,SUMIF('TL18'!$C$238:$C$451,$C99,'TL18'!$J$238:$J$451),0),
IF('TL19'!$B$3=M$3,SUMIF('TL19'!$C$10:$C$224,$C99,'TL19'!$J$10:$J$224),0),
IF('TL19'!$B$229=M$3,SUMIF('TL19'!$C$238:$C$451,$C99,'TL19'!$J$238:$J$451),0)
),0)</f>
        <v>0</v>
      </c>
      <c r="N99" s="9">
        <f>IFERROR(SUM(
IF('TL01'!$B$3=N$3,SUMIF('TL01'!$C$10:$C$224,$C99,'TL01'!$J$10:$J$224),0),
IF('TL01'!$B$229=N$3,SUMIF('TL01'!$C$238:$C$451,$C99,'TL01'!$J$238:$J$451),0),
IF('TL02'!$B$3=N$3,SUMIF('TL02'!$C$10:$C$224,$C99,'TL02'!$J$10:$J$224),0),
IF('TL02'!$B$229=N$3,SUMIF('TL02'!$C$238:$C$451,$C99,'TL02'!$J$238:$J$451),0),
IF('TL03'!$B$3=N$3,SUMIF('TL03'!$C$10:$C$224,$C99,'TL03'!$J$10:$J$224),0),
IF('TL03'!$B$229=N$3,SUMIF('TL03'!$C$238:$C$451,$C99,'TL03'!$J$238:$J$451),0),
IF('TL04'!$B$3=N$3,SUMIF('TL04'!$C$10:$C$224,$C99,'TL04'!$J$10:$J$224),0),
IF('TL04'!$B$229=N$3,SUMIF('TL04'!$C$238:$C$451,$C99,'TL04'!$J$238:$J$451),0),
IF('TL05'!$B$3=N$3,SUMIF('TL05'!$C$10:$C$224,$C99,'TL05'!$J$10:$J$224),0),
IF('TL05'!$B$229=N$3,SUMIF('TL05'!$C$238:$C$451,$C99,'TL05'!$J$238:$J$451),0),
IF('TL06'!$B$3=N$3,SUMIF('TL06'!$C$10:$C$224,$C99,'TL06'!$J$10:$J$224),0),
IF('TL06'!$B$229=N$3,SUMIF('TL06'!$C$238:$C$451,$C99,'TL06'!$J$238:$J$451),0),
IF('TL07'!$B$3=N$3,SUMIF('TL07'!$C$10:$C$224,$C99,'TL07'!$J$10:$J$224),0),
IF('TL07'!$B$229=N$3,SUMIF('TL07'!$C$238:$C$451,$C99,'TL07'!$J$238:$J$451),0),
IF('TL08'!$B$3=N$3,SUMIF('TL08'!$C$10:$C$224,$C99,'TL08'!$J$10:$J$224),0),
IF('TL08'!$B$229=N$3,SUMIF('TL08'!$C$238:$C$451,$C99,'TL08'!$J$238:$J$451),0),
IF('TL09'!$B$3=N$3,SUMIF('TL09'!$C$10:$C$224,$C99,'TL09'!$J$10:$J$224),0),
IF('TL09'!$B$229=N$3,SUMIF('TL09'!$C$238:$C$451,$C99,'TL09'!$J$238:$J$451),0),
IF('TL10'!$B$3=N$3,SUMIF('TL10'!$C$10:$C$224,$C99,'TL10'!$J$10:$J$224),0),
IF('TL10'!$B$229=N$3,SUMIF('TL10'!$C$238:$C$451,$C99,'TL10'!$J$238:$J$451),0),
IF('TL11'!$B$3=N$3,SUMIF('TL11'!$C$10:$C$224,$C99,'TL11'!$J$10:$J$224),0),
IF('TL11'!$B$229=N$3,SUMIF('TL11'!$C$238:$C$451,$C99,'TL11'!$J$238:$J$451),0),
IF('TL12'!$B$3=N$3,SUMIF('TL12'!$C$10:$C$224,$C99,'TL12'!$J$10:$J$224),0),
IF('TL12'!$B$229=N$3,SUMIF('TL12'!$C$238:$C$451,$C99,'TL12'!$J$238:$J$451),0),
IF('TL13'!$B$3=N$3,SUMIF('TL13'!$C$10:$C$224,$C99,'TL13'!$J$10:$J$224),0),
IF('TL13'!$B$229=N$3,SUMIF('TL13'!$C$238:$C$451,$C99,'TL13'!$J$238:$J$451),0),
IF('TL14'!$B$3=N$3,SUMIF('TL14'!$C$10:$C$224,$C99,'TL14'!$J$10:$J$224),0),
IF('TL14'!$B$229=N$3,SUMIF('TL14'!$C$238:$C$451,$C99,'TL14'!$J$238:$J$451),0),
IF('TL15'!$B$3=N$3,SUMIF('TL15'!$C$10:$C$224,$C99,'TL15'!$J$10:$J$224),0),
IF('TL15'!$B$229=N$3,SUMIF('TL15'!$C$238:$C$451,$C99,'TL15'!$J$238:$J$451),0),
IF('TL16'!$B$3=N$3,SUMIF('TL16'!$C$10:$C$224,$C99,'TL16'!$J$10:$J$224),0),
IF('TL16'!$B$229=N$3,SUMIF('TL16'!$C$238:$C$451,$C99,'TL16'!$J$238:$J$451),0),
IF('TL17'!$B$3=N$3,SUMIF('TL17'!$C$10:$C$224,$C99,'TL17'!$J$10:$J$224),0),
IF('TL17'!$B$229=N$3,SUMIF('TL17'!$C$238:$C$451,$C99,'TL17'!$J$238:$J$451),0),
IF('TL18'!$B$3=N$3,SUMIF('TL18'!$C$10:$C$224,$C99,'TL18'!$J$10:$J$224),0),
IF('TL18'!$B$229=N$3,SUMIF('TL18'!$C$238:$C$451,$C99,'TL18'!$J$238:$J$451),0),
IF('TL19'!$B$3=N$3,SUMIF('TL19'!$C$10:$C$224,$C99,'TL19'!$J$10:$J$224),0),
IF('TL19'!$B$229=N$3,SUMIF('TL19'!$C$238:$C$451,$C99,'TL19'!$J$238:$J$451),0)
),0)</f>
        <v>0</v>
      </c>
      <c r="O99" s="9">
        <f>IFERROR(SUM(
IF('TL01'!$B$3=O$3,SUMIF('TL01'!$C$10:$C$224,$C99,'TL01'!$J$10:$J$224),0),
IF('TL01'!$B$229=O$3,SUMIF('TL01'!$C$238:$C$451,$C99,'TL01'!$J$238:$J$451),0),
IF('TL02'!$B$3=O$3,SUMIF('TL02'!$C$10:$C$224,$C99,'TL02'!$J$10:$J$224),0),
IF('TL02'!$B$229=O$3,SUMIF('TL02'!$C$238:$C$451,$C99,'TL02'!$J$238:$J$451),0),
IF('TL03'!$B$3=O$3,SUMIF('TL03'!$C$10:$C$224,$C99,'TL03'!$J$10:$J$224),0),
IF('TL03'!$B$229=O$3,SUMIF('TL03'!$C$238:$C$451,$C99,'TL03'!$J$238:$J$451),0),
IF('TL04'!$B$3=O$3,SUMIF('TL04'!$C$10:$C$224,$C99,'TL04'!$J$10:$J$224),0),
IF('TL04'!$B$229=O$3,SUMIF('TL04'!$C$238:$C$451,$C99,'TL04'!$J$238:$J$451),0),
IF('TL05'!$B$3=O$3,SUMIF('TL05'!$C$10:$C$224,$C99,'TL05'!$J$10:$J$224),0),
IF('TL05'!$B$229=O$3,SUMIF('TL05'!$C$238:$C$451,$C99,'TL05'!$J$238:$J$451),0),
IF('TL06'!$B$3=O$3,SUMIF('TL06'!$C$10:$C$224,$C99,'TL06'!$J$10:$J$224),0),
IF('TL06'!$B$229=O$3,SUMIF('TL06'!$C$238:$C$451,$C99,'TL06'!$J$238:$J$451),0),
IF('TL07'!$B$3=O$3,SUMIF('TL07'!$C$10:$C$224,$C99,'TL07'!$J$10:$J$224),0),
IF('TL07'!$B$229=O$3,SUMIF('TL07'!$C$238:$C$451,$C99,'TL07'!$J$238:$J$451),0),
IF('TL08'!$B$3=O$3,SUMIF('TL08'!$C$10:$C$224,$C99,'TL08'!$J$10:$J$224),0),
IF('TL08'!$B$229=O$3,SUMIF('TL08'!$C$238:$C$451,$C99,'TL08'!$J$238:$J$451),0),
IF('TL09'!$B$3=O$3,SUMIF('TL09'!$C$10:$C$224,$C99,'TL09'!$J$10:$J$224),0),
IF('TL09'!$B$229=O$3,SUMIF('TL09'!$C$238:$C$451,$C99,'TL09'!$J$238:$J$451),0),
IF('TL10'!$B$3=O$3,SUMIF('TL10'!$C$10:$C$224,$C99,'TL10'!$J$10:$J$224),0),
IF('TL10'!$B$229=O$3,SUMIF('TL10'!$C$238:$C$451,$C99,'TL10'!$J$238:$J$451),0),
IF('TL11'!$B$3=O$3,SUMIF('TL11'!$C$10:$C$224,$C99,'TL11'!$J$10:$J$224),0),
IF('TL11'!$B$229=O$3,SUMIF('TL11'!$C$238:$C$451,$C99,'TL11'!$J$238:$J$451),0),
IF('TL12'!$B$3=O$3,SUMIF('TL12'!$C$10:$C$224,$C99,'TL12'!$J$10:$J$224),0),
IF('TL12'!$B$229=O$3,SUMIF('TL12'!$C$238:$C$451,$C99,'TL12'!$J$238:$J$451),0),
IF('TL13'!$B$3=O$3,SUMIF('TL13'!$C$10:$C$224,$C99,'TL13'!$J$10:$J$224),0),
IF('TL13'!$B$229=O$3,SUMIF('TL13'!$C$238:$C$451,$C99,'TL13'!$J$238:$J$451),0),
IF('TL14'!$B$3=O$3,SUMIF('TL14'!$C$10:$C$224,$C99,'TL14'!$J$10:$J$224),0),
IF('TL14'!$B$229=O$3,SUMIF('TL14'!$C$238:$C$451,$C99,'TL14'!$J$238:$J$451),0),
IF('TL15'!$B$3=O$3,SUMIF('TL15'!$C$10:$C$224,$C99,'TL15'!$J$10:$J$224),0),
IF('TL15'!$B$229=O$3,SUMIF('TL15'!$C$238:$C$451,$C99,'TL15'!$J$238:$J$451),0),
IF('TL16'!$B$3=O$3,SUMIF('TL16'!$C$10:$C$224,$C99,'TL16'!$J$10:$J$224),0),
IF('TL16'!$B$229=O$3,SUMIF('TL16'!$C$238:$C$451,$C99,'TL16'!$J$238:$J$451),0),
IF('TL17'!$B$3=O$3,SUMIF('TL17'!$C$10:$C$224,$C99,'TL17'!$J$10:$J$224),0),
IF('TL17'!$B$229=O$3,SUMIF('TL17'!$C$238:$C$451,$C99,'TL17'!$J$238:$J$451),0),
IF('TL18'!$B$3=O$3,SUMIF('TL18'!$C$10:$C$224,$C99,'TL18'!$J$10:$J$224),0),
IF('TL18'!$B$229=O$3,SUMIF('TL18'!$C$238:$C$451,$C99,'TL18'!$J$238:$J$451),0),
IF('TL19'!$B$3=O$3,SUMIF('TL19'!$C$10:$C$224,$C99,'TL19'!$J$10:$J$224),0),
IF('TL19'!$B$229=O$3,SUMIF('TL19'!$C$238:$C$451,$C99,'TL19'!$J$238:$J$451),0)
),0)</f>
        <v>132</v>
      </c>
      <c r="P99" s="9">
        <f>IFERROR(SUM(
IF('TL01'!$B$3=P$3,SUMIF('TL01'!$C$10:$C$224,$C99,'TL01'!$J$10:$J$224),0),
IF('TL01'!$B$229=P$3,SUMIF('TL01'!$C$238:$C$451,$C99,'TL01'!$J$238:$J$451),0),
IF('TL02'!$B$3=P$3,SUMIF('TL02'!$C$10:$C$224,$C99,'TL02'!$J$10:$J$224),0),
IF('TL02'!$B$229=P$3,SUMIF('TL02'!$C$238:$C$451,$C99,'TL02'!$J$238:$J$451),0),
IF('TL03'!$B$3=P$3,SUMIF('TL03'!$C$10:$C$224,$C99,'TL03'!$J$10:$J$224),0),
IF('TL03'!$B$229=P$3,SUMIF('TL03'!$C$238:$C$451,$C99,'TL03'!$J$238:$J$451),0),
IF('TL04'!$B$3=P$3,SUMIF('TL04'!$C$10:$C$224,$C99,'TL04'!$J$10:$J$224),0),
IF('TL04'!$B$229=P$3,SUMIF('TL04'!$C$238:$C$451,$C99,'TL04'!$J$238:$J$451),0),
IF('TL05'!$B$3=P$3,SUMIF('TL05'!$C$10:$C$224,$C99,'TL05'!$J$10:$J$224),0),
IF('TL05'!$B$229=P$3,SUMIF('TL05'!$C$238:$C$451,$C99,'TL05'!$J$238:$J$451),0),
IF('TL06'!$B$3=P$3,SUMIF('TL06'!$C$10:$C$224,$C99,'TL06'!$J$10:$J$224),0),
IF('TL06'!$B$229=P$3,SUMIF('TL06'!$C$238:$C$451,$C99,'TL06'!$J$238:$J$451),0),
IF('TL07'!$B$3=P$3,SUMIF('TL07'!$C$10:$C$224,$C99,'TL07'!$J$10:$J$224),0),
IF('TL07'!$B$229=P$3,SUMIF('TL07'!$C$238:$C$451,$C99,'TL07'!$J$238:$J$451),0),
IF('TL08'!$B$3=P$3,SUMIF('TL08'!$C$10:$C$224,$C99,'TL08'!$J$10:$J$224),0),
IF('TL08'!$B$229=P$3,SUMIF('TL08'!$C$238:$C$451,$C99,'TL08'!$J$238:$J$451),0),
IF('TL09'!$B$3=P$3,SUMIF('TL09'!$C$10:$C$224,$C99,'TL09'!$J$10:$J$224),0),
IF('TL09'!$B$229=P$3,SUMIF('TL09'!$C$238:$C$451,$C99,'TL09'!$J$238:$J$451),0),
IF('TL10'!$B$3=P$3,SUMIF('TL10'!$C$10:$C$224,$C99,'TL10'!$J$10:$J$224),0),
IF('TL10'!$B$229=P$3,SUMIF('TL10'!$C$238:$C$451,$C99,'TL10'!$J$238:$J$451),0),
IF('TL11'!$B$3=P$3,SUMIF('TL11'!$C$10:$C$224,$C99,'TL11'!$J$10:$J$224),0),
IF('TL11'!$B$229=P$3,SUMIF('TL11'!$C$238:$C$451,$C99,'TL11'!$J$238:$J$451),0),
IF('TL12'!$B$3=P$3,SUMIF('TL12'!$C$10:$C$224,$C99,'TL12'!$J$10:$J$224),0),
IF('TL12'!$B$229=P$3,SUMIF('TL12'!$C$238:$C$451,$C99,'TL12'!$J$238:$J$451),0),
IF('TL13'!$B$3=P$3,SUMIF('TL13'!$C$10:$C$224,$C99,'TL13'!$J$10:$J$224),0),
IF('TL13'!$B$229=P$3,SUMIF('TL13'!$C$238:$C$451,$C99,'TL13'!$J$238:$J$451),0),
IF('TL14'!$B$3=P$3,SUMIF('TL14'!$C$10:$C$224,$C99,'TL14'!$J$10:$J$224),0),
IF('TL14'!$B$229=P$3,SUMIF('TL14'!$C$238:$C$451,$C99,'TL14'!$J$238:$J$451),0),
IF('TL15'!$B$3=P$3,SUMIF('TL15'!$C$10:$C$224,$C99,'TL15'!$J$10:$J$224),0),
IF('TL15'!$B$229=P$3,SUMIF('TL15'!$C$238:$C$451,$C99,'TL15'!$J$238:$J$451),0),
IF('TL16'!$B$3=P$3,SUMIF('TL16'!$C$10:$C$224,$C99,'TL16'!$J$10:$J$224),0),
IF('TL16'!$B$229=P$3,SUMIF('TL16'!$C$238:$C$451,$C99,'TL16'!$J$238:$J$451),0),
IF('TL17'!$B$3=P$3,SUMIF('TL17'!$C$10:$C$224,$C99,'TL17'!$J$10:$J$224),0),
IF('TL17'!$B$229=P$3,SUMIF('TL17'!$C$238:$C$451,$C99,'TL17'!$J$238:$J$451),0),
IF('TL18'!$B$3=P$3,SUMIF('TL18'!$C$10:$C$224,$C99,'TL18'!$J$10:$J$224),0),
IF('TL18'!$B$229=P$3,SUMIF('TL18'!$C$238:$C$451,$C99,'TL18'!$J$238:$J$451),0),
IF('TL19'!$B$3=P$3,SUMIF('TL19'!$C$10:$C$224,$C99,'TL19'!$J$10:$J$224),0),
IF('TL19'!$B$229=P$3,SUMIF('TL19'!$C$238:$C$451,$C99,'TL19'!$J$238:$J$451),0)
),0)</f>
        <v>0</v>
      </c>
      <c r="Q99" s="9">
        <f>IFERROR(SUM(
IF('TL01'!$B$3=Q$3,SUMIF('TL01'!$C$10:$C$224,$C99,'TL01'!$J$10:$J$224),0),
IF('TL01'!$B$229=Q$3,SUMIF('TL01'!$C$238:$C$451,$C99,'TL01'!$J$238:$J$451),0),
IF('TL02'!$B$3=Q$3,SUMIF('TL02'!$C$10:$C$224,$C99,'TL02'!$J$10:$J$224),0),
IF('TL02'!$B$229=Q$3,SUMIF('TL02'!$C$238:$C$451,$C99,'TL02'!$J$238:$J$451),0),
IF('TL03'!$B$3=Q$3,SUMIF('TL03'!$C$10:$C$224,$C99,'TL03'!$J$10:$J$224),0),
IF('TL03'!$B$229=Q$3,SUMIF('TL03'!$C$238:$C$451,$C99,'TL03'!$J$238:$J$451),0),
IF('TL04'!$B$3=Q$3,SUMIF('TL04'!$C$10:$C$224,$C99,'TL04'!$J$10:$J$224),0),
IF('TL04'!$B$229=Q$3,SUMIF('TL04'!$C$238:$C$451,$C99,'TL04'!$J$238:$J$451),0),
IF('TL05'!$B$3=Q$3,SUMIF('TL05'!$C$10:$C$224,$C99,'TL05'!$J$10:$J$224),0),
IF('TL05'!$B$229=Q$3,SUMIF('TL05'!$C$238:$C$451,$C99,'TL05'!$J$238:$J$451),0),
IF('TL06'!$B$3=Q$3,SUMIF('TL06'!$C$10:$C$224,$C99,'TL06'!$J$10:$J$224),0),
IF('TL06'!$B$229=Q$3,SUMIF('TL06'!$C$238:$C$451,$C99,'TL06'!$J$238:$J$451),0),
IF('TL07'!$B$3=Q$3,SUMIF('TL07'!$C$10:$C$224,$C99,'TL07'!$J$10:$J$224),0),
IF('TL07'!$B$229=Q$3,SUMIF('TL07'!$C$238:$C$451,$C99,'TL07'!$J$238:$J$451),0),
IF('TL08'!$B$3=Q$3,SUMIF('TL08'!$C$10:$C$224,$C99,'TL08'!$J$10:$J$224),0),
IF('TL08'!$B$229=Q$3,SUMIF('TL08'!$C$238:$C$451,$C99,'TL08'!$J$238:$J$451),0),
IF('TL09'!$B$3=Q$3,SUMIF('TL09'!$C$10:$C$224,$C99,'TL09'!$J$10:$J$224),0),
IF('TL09'!$B$229=Q$3,SUMIF('TL09'!$C$238:$C$451,$C99,'TL09'!$J$238:$J$451),0),
IF('TL10'!$B$3=Q$3,SUMIF('TL10'!$C$10:$C$224,$C99,'TL10'!$J$10:$J$224),0),
IF('TL10'!$B$229=Q$3,SUMIF('TL10'!$C$238:$C$451,$C99,'TL10'!$J$238:$J$451),0),
IF('TL11'!$B$3=Q$3,SUMIF('TL11'!$C$10:$C$224,$C99,'TL11'!$J$10:$J$224),0),
IF('TL11'!$B$229=Q$3,SUMIF('TL11'!$C$238:$C$451,$C99,'TL11'!$J$238:$J$451),0),
IF('TL12'!$B$3=Q$3,SUMIF('TL12'!$C$10:$C$224,$C99,'TL12'!$J$10:$J$224),0),
IF('TL12'!$B$229=Q$3,SUMIF('TL12'!$C$238:$C$451,$C99,'TL12'!$J$238:$J$451),0),
IF('TL13'!$B$3=Q$3,SUMIF('TL13'!$C$10:$C$224,$C99,'TL13'!$J$10:$J$224),0),
IF('TL13'!$B$229=Q$3,SUMIF('TL13'!$C$238:$C$451,$C99,'TL13'!$J$238:$J$451),0),
IF('TL14'!$B$3=Q$3,SUMIF('TL14'!$C$10:$C$224,$C99,'TL14'!$J$10:$J$224),0),
IF('TL14'!$B$229=Q$3,SUMIF('TL14'!$C$238:$C$451,$C99,'TL14'!$J$238:$J$451),0),
IF('TL15'!$B$3=Q$3,SUMIF('TL15'!$C$10:$C$224,$C99,'TL15'!$J$10:$J$224),0),
IF('TL15'!$B$229=Q$3,SUMIF('TL15'!$C$238:$C$451,$C99,'TL15'!$J$238:$J$451),0),
IF('TL16'!$B$3=Q$3,SUMIF('TL16'!$C$10:$C$224,$C99,'TL16'!$J$10:$J$224),0),
IF('TL16'!$B$229=Q$3,SUMIF('TL16'!$C$238:$C$451,$C99,'TL16'!$J$238:$J$451),0),
IF('TL17'!$B$3=Q$3,SUMIF('TL17'!$C$10:$C$224,$C99,'TL17'!$J$10:$J$224),0),
IF('TL17'!$B$229=Q$3,SUMIF('TL17'!$C$238:$C$451,$C99,'TL17'!$J$238:$J$451),0),
IF('TL18'!$B$3=Q$3,SUMIF('TL18'!$C$10:$C$224,$C99,'TL18'!$J$10:$J$224),0),
IF('TL18'!$B$229=Q$3,SUMIF('TL18'!$C$238:$C$451,$C99,'TL18'!$J$238:$J$451),0),
IF('TL19'!$B$3=Q$3,SUMIF('TL19'!$C$10:$C$224,$C99,'TL19'!$J$10:$J$224),0),
IF('TL19'!$B$229=Q$3,SUMIF('TL19'!$C$238:$C$451,$C99,'TL19'!$J$238:$J$451),0)
),0)</f>
        <v>0</v>
      </c>
      <c r="R99" s="9">
        <f>IFERROR(
SUM(
SUMIF('TL01'!C:C,C99,'TL01'!J:J),
SUMIF('TL02'!C:C,C99,'TL02'!J:J),
SUMIF('TL03'!C:C,C99,'TL03'!J:J),
SUMIF('TL04'!C:C,C99,'TL04'!J:J),
SUMIF('TL05'!C:C,C99,'TL05'!J:J),
SUMIF('TL06'!C:C,C99,'TL06'!J:J),
SUMIF('TL07'!C:C,C99,'TL07'!J:J),
SUMIF('TL08'!C:C,C99,'TL08'!J:J),
SUMIF('TL09'!C:C,C99,'TL09'!J:J),
SUMIF('TL10'!C:C,C99,'TL10'!J:J),
SUMIF('TL11'!C:C,C99,'TL11'!J:J),
SUMIF('TL12'!C:C,C99,'TL12'!J:J),
SUMIF('TL13'!C:C,C99,'TL13'!J:J),
SUMIF('TL14'!C:C,C99,'TL14'!J:J),
SUMIF('TL15'!C:C,C99,'TL15'!J:J),
SUMIF('TL16'!C:C,C99,'TL16'!J:J),
SUMIF('TL17'!C:C,C99,'TL17'!J:J),
SUMIF('TL18'!C:C,C99,'TL18'!J:J),SUMIF('TL19'!C:C,C99,'TL19'!J:J))
,0)</f>
        <v>132</v>
      </c>
      <c r="S99" s="17">
        <f>IFERROR(__xludf.DUMMYFUNCTION("IFERROR(VLOOKUP(C99,
IMPORTRANGE(""1wULbzX32WdYsx-lj2U3uUNBBe2INVIRDtcK0d-Dvl90"",
""26-27!C:G""),
5,
FALSE),
"""")"),133.53264000000001)</f>
        <v>133.53264</v>
      </c>
      <c r="T99" s="9">
        <v>220.0</v>
      </c>
      <c r="U99" s="92">
        <f t="shared" si="2"/>
        <v>-88</v>
      </c>
      <c r="V99" s="93">
        <f t="shared" si="3"/>
        <v>-11750.87232</v>
      </c>
    </row>
    <row r="100" ht="15.75" hidden="1" customHeight="1">
      <c r="A100" s="115" t="s">
        <v>358</v>
      </c>
      <c r="B100" s="100" t="s">
        <v>0</v>
      </c>
      <c r="C100" s="116" t="s">
        <v>590</v>
      </c>
      <c r="D100" s="116" t="s">
        <v>591</v>
      </c>
      <c r="E100" s="116" t="s">
        <v>592</v>
      </c>
      <c r="F100" s="4" t="s">
        <v>343</v>
      </c>
      <c r="G100" s="90" t="str">
        <f t="shared" si="4"/>
        <v>📄 Ver bula</v>
      </c>
      <c r="H100" s="9">
        <f>IFERROR(__xludf.DUMMYFUNCTION("IFERROR(VLOOKUP(C100,
IMPORTRANGE(""1wULbzX32WdYsx-lj2U3uUNBBe2INVIRDtcK0d-Dvl90"",
""26-27!C:K""),
8,
FALSE),
"""")"),1.0)</f>
        <v>1</v>
      </c>
      <c r="I100" s="117" t="s">
        <v>344</v>
      </c>
      <c r="J100" s="9">
        <f>IFERROR(SUM(
IF('TL01'!$B$3=J$3,SUMIF('TL01'!$C$10:$C$224,$C100,'TL01'!$J$10:$J$224),0),
IF('TL01'!$B$229=J$3,SUMIF('TL01'!$C$238:$C$451,$C100,'TL01'!$J$238:$J$451),0),
IF('TL02'!$B$3=J$3,SUMIF('TL02'!$C$10:$C$224,$C100,'TL02'!$J$10:$J$224),0),
IF('TL02'!$B$229=J$3,SUMIF('TL02'!$C$238:$C$451,$C100,'TL02'!$J$238:$J$451),0),
IF('TL03'!$B$3=J$3,SUMIF('TL03'!$C$10:$C$224,$C100,'TL03'!$J$10:$J$224),0),
IF('TL03'!$B$229=J$3,SUMIF('TL03'!$C$238:$C$451,$C100,'TL03'!$J$238:$J$451),0),
IF('TL04'!$B$3=J$3,SUMIF('TL04'!$C$10:$C$224,$C100,'TL04'!$J$10:$J$224),0),
IF('TL04'!$B$229=J$3,SUMIF('TL04'!$C$238:$C$451,$C100,'TL04'!$J$238:$J$451),0),
IF('TL05'!$B$3=J$3,SUMIF('TL05'!$C$10:$C$224,$C100,'TL05'!$J$10:$J$224),0),
IF('TL05'!$B$229=J$3,SUMIF('TL05'!$C$238:$C$451,$C100,'TL05'!$J$238:$J$451),0),
IF('TL06'!$B$3=J$3,SUMIF('TL06'!$C$10:$C$224,$C100,'TL06'!$J$10:$J$224),0),
IF('TL06'!$B$229=J$3,SUMIF('TL06'!$C$238:$C$451,$C100,'TL06'!$J$238:$J$451),0),
IF('TL07'!$B$3=J$3,SUMIF('TL07'!$C$10:$C$224,$C100,'TL07'!$J$10:$J$224),0),
IF('TL07'!$B$229=J$3,SUMIF('TL07'!$C$238:$C$451,$C100,'TL07'!$J$238:$J$451),0),
IF('TL08'!$B$3=J$3,SUMIF('TL08'!$C$10:$C$224,$C100,'TL08'!$J$10:$J$224),0),
IF('TL08'!$B$229=J$3,SUMIF('TL08'!$C$238:$C$451,$C100,'TL08'!$J$238:$J$451),0),
IF('TL09'!$B$3=J$3,SUMIF('TL09'!$C$10:$C$224,$C100,'TL09'!$J$10:$J$224),0),
IF('TL09'!$B$229=J$3,SUMIF('TL09'!$C$238:$C$451,$C100,'TL09'!$J$238:$J$451),0),
IF('TL10'!$B$3=J$3,SUMIF('TL10'!$C$10:$C$224,$C100,'TL10'!$J$10:$J$224),0),
IF('TL10'!$B$229=J$3,SUMIF('TL10'!$C$238:$C$451,$C100,'TL10'!$J$238:$J$451),0),
IF('TL11'!$B$3=J$3,SUMIF('TL11'!$C$10:$C$224,$C100,'TL11'!$J$10:$J$224),0),
IF('TL11'!$B$229=J$3,SUMIF('TL11'!$C$238:$C$451,$C100,'TL11'!$J$238:$J$451),0),
IF('TL12'!$B$3=J$3,SUMIF('TL12'!$C$10:$C$224,$C100,'TL12'!$J$10:$J$224),0),
IF('TL12'!$B$229=J$3,SUMIF('TL12'!$C$238:$C$451,$C100,'TL12'!$J$238:$J$451),0),
IF('TL13'!$B$3=J$3,SUMIF('TL13'!$C$10:$C$224,$C100,'TL13'!$J$10:$J$224),0),
IF('TL13'!$B$229=J$3,SUMIF('TL13'!$C$238:$C$451,$C100,'TL13'!$J$238:$J$451),0),
IF('TL14'!$B$3=J$3,SUMIF('TL14'!$C$10:$C$224,$C100,'TL14'!$J$10:$J$224),0),
IF('TL14'!$B$229=J$3,SUMIF('TL14'!$C$238:$C$451,$C100,'TL14'!$J$238:$J$451),0),
IF('TL15'!$B$3=J$3,SUMIF('TL15'!$C$10:$C$224,$C100,'TL15'!$J$10:$J$224),0),
IF('TL15'!$B$229=J$3,SUMIF('TL15'!$C$238:$C$451,$C100,'TL15'!$J$238:$J$451),0),
IF('TL16'!$B$3=J$3,SUMIF('TL16'!$C$10:$C$224,$C100,'TL16'!$J$10:$J$224),0),
IF('TL16'!$B$229=J$3,SUMIF('TL16'!$C$238:$C$451,$C100,'TL16'!$J$238:$J$451),0),
IF('TL17'!$B$3=J$3,SUMIF('TL17'!$C$10:$C$224,$C100,'TL17'!$J$10:$J$224),0),
IF('TL17'!$B$229=J$3,SUMIF('TL17'!$C$238:$C$451,$C100,'TL17'!$J$238:$J$451),0),
IF('TL18'!$B$3=J$3,SUMIF('TL18'!$C$10:$C$224,$C100,'TL18'!$J$10:$J$224),0),
IF('TL18'!$B$229=J$3,SUMIF('TL18'!$C$238:$C$451,$C100,'TL18'!$J$238:$J$451),0),
IF('TL19'!$B$3=J$3,SUMIF('TL19'!$C$10:$C$224,$C100,'TL19'!$J$10:$J$224),0),
IF('TL19'!$B$229=J$3,SUMIF('TL19'!$C$238:$C$451,$C100,'TL19'!$J$238:$J$451),0)
),0)</f>
        <v>0</v>
      </c>
      <c r="K100" s="9">
        <f>IFERROR(SUM(
IF('TL01'!$B$3=K$3,SUMIF('TL01'!$C$10:$C$224,$C100,'TL01'!$J$10:$J$224),0),
IF('TL01'!$B$229=K$3,SUMIF('TL01'!$C$238:$C$451,$C100,'TL01'!$J$238:$J$451),0),
IF('TL02'!$B$3=K$3,SUMIF('TL02'!$C$10:$C$224,$C100,'TL02'!$J$10:$J$224),0),
IF('TL02'!$B$229=K$3,SUMIF('TL02'!$C$238:$C$451,$C100,'TL02'!$J$238:$J$451),0),
IF('TL03'!$B$3=K$3,SUMIF('TL03'!$C$10:$C$224,$C100,'TL03'!$J$10:$J$224),0),
IF('TL03'!$B$229=K$3,SUMIF('TL03'!$C$238:$C$451,$C100,'TL03'!$J$238:$J$451),0),
IF('TL04'!$B$3=K$3,SUMIF('TL04'!$C$10:$C$224,$C100,'TL04'!$J$10:$J$224),0),
IF('TL04'!$B$229=K$3,SUMIF('TL04'!$C$238:$C$451,$C100,'TL04'!$J$238:$J$451),0),
IF('TL05'!$B$3=K$3,SUMIF('TL05'!$C$10:$C$224,$C100,'TL05'!$J$10:$J$224),0),
IF('TL05'!$B$229=K$3,SUMIF('TL05'!$C$238:$C$451,$C100,'TL05'!$J$238:$J$451),0),
IF('TL06'!$B$3=K$3,SUMIF('TL06'!$C$10:$C$224,$C100,'TL06'!$J$10:$J$224),0),
IF('TL06'!$B$229=K$3,SUMIF('TL06'!$C$238:$C$451,$C100,'TL06'!$J$238:$J$451),0),
IF('TL07'!$B$3=K$3,SUMIF('TL07'!$C$10:$C$224,$C100,'TL07'!$J$10:$J$224),0),
IF('TL07'!$B$229=K$3,SUMIF('TL07'!$C$238:$C$451,$C100,'TL07'!$J$238:$J$451),0),
IF('TL08'!$B$3=K$3,SUMIF('TL08'!$C$10:$C$224,$C100,'TL08'!$J$10:$J$224),0),
IF('TL08'!$B$229=K$3,SUMIF('TL08'!$C$238:$C$451,$C100,'TL08'!$J$238:$J$451),0),
IF('TL09'!$B$3=K$3,SUMIF('TL09'!$C$10:$C$224,$C100,'TL09'!$J$10:$J$224),0),
IF('TL09'!$B$229=K$3,SUMIF('TL09'!$C$238:$C$451,$C100,'TL09'!$J$238:$J$451),0),
IF('TL10'!$B$3=K$3,SUMIF('TL10'!$C$10:$C$224,$C100,'TL10'!$J$10:$J$224),0),
IF('TL10'!$B$229=K$3,SUMIF('TL10'!$C$238:$C$451,$C100,'TL10'!$J$238:$J$451),0),
IF('TL11'!$B$3=K$3,SUMIF('TL11'!$C$10:$C$224,$C100,'TL11'!$J$10:$J$224),0),
IF('TL11'!$B$229=K$3,SUMIF('TL11'!$C$238:$C$451,$C100,'TL11'!$J$238:$J$451),0),
IF('TL12'!$B$3=K$3,SUMIF('TL12'!$C$10:$C$224,$C100,'TL12'!$J$10:$J$224),0),
IF('TL12'!$B$229=K$3,SUMIF('TL12'!$C$238:$C$451,$C100,'TL12'!$J$238:$J$451),0),
IF('TL13'!$B$3=K$3,SUMIF('TL13'!$C$10:$C$224,$C100,'TL13'!$J$10:$J$224),0),
IF('TL13'!$B$229=K$3,SUMIF('TL13'!$C$238:$C$451,$C100,'TL13'!$J$238:$J$451),0),
IF('TL14'!$B$3=K$3,SUMIF('TL14'!$C$10:$C$224,$C100,'TL14'!$J$10:$J$224),0),
IF('TL14'!$B$229=K$3,SUMIF('TL14'!$C$238:$C$451,$C100,'TL14'!$J$238:$J$451),0),
IF('TL15'!$B$3=K$3,SUMIF('TL15'!$C$10:$C$224,$C100,'TL15'!$J$10:$J$224),0),
IF('TL15'!$B$229=K$3,SUMIF('TL15'!$C$238:$C$451,$C100,'TL15'!$J$238:$J$451),0),
IF('TL16'!$B$3=K$3,SUMIF('TL16'!$C$10:$C$224,$C100,'TL16'!$J$10:$J$224),0),
IF('TL16'!$B$229=K$3,SUMIF('TL16'!$C$238:$C$451,$C100,'TL16'!$J$238:$J$451),0),
IF('TL17'!$B$3=K$3,SUMIF('TL17'!$C$10:$C$224,$C100,'TL17'!$J$10:$J$224),0),
IF('TL17'!$B$229=K$3,SUMIF('TL17'!$C$238:$C$451,$C100,'TL17'!$J$238:$J$451),0),
IF('TL18'!$B$3=K$3,SUMIF('TL18'!$C$10:$C$224,$C100,'TL18'!$J$10:$J$224),0),
IF('TL18'!$B$229=K$3,SUMIF('TL18'!$C$238:$C$451,$C100,'TL18'!$J$238:$J$451),0),
IF('TL19'!$B$3=K$3,SUMIF('TL19'!$C$10:$C$224,$C100,'TL19'!$J$10:$J$224),0),
IF('TL19'!$B$229=K$3,SUMIF('TL19'!$C$238:$C$451,$C100,'TL19'!$J$238:$J$451),0)
),0)</f>
        <v>0</v>
      </c>
      <c r="L100" s="9">
        <f>IFERROR(SUM(
IF('TL01'!$B$3=L$3,SUMIF('TL01'!$C$10:$C$224,$C100,'TL01'!$J$10:$J$224),0),
IF('TL01'!$B$229=L$3,SUMIF('TL01'!$C$238:$C$451,$C100,'TL01'!$J$238:$J$451),0),
IF('TL02'!$B$3=L$3,SUMIF('TL02'!$C$10:$C$224,$C100,'TL02'!$J$10:$J$224),0),
IF('TL02'!$B$229=L$3,SUMIF('TL02'!$C$238:$C$451,$C100,'TL02'!$J$238:$J$451),0),
IF('TL03'!$B$3=L$3,SUMIF('TL03'!$C$10:$C$224,$C100,'TL03'!$J$10:$J$224),0),
IF('TL03'!$B$229=L$3,SUMIF('TL03'!$C$238:$C$451,$C100,'TL03'!$J$238:$J$451),0),
IF('TL04'!$B$3=L$3,SUMIF('TL04'!$C$10:$C$224,$C100,'TL04'!$J$10:$J$224),0),
IF('TL04'!$B$229=L$3,SUMIF('TL04'!$C$238:$C$451,$C100,'TL04'!$J$238:$J$451),0),
IF('TL05'!$B$3=L$3,SUMIF('TL05'!$C$10:$C$224,$C100,'TL05'!$J$10:$J$224),0),
IF('TL05'!$B$229=L$3,SUMIF('TL05'!$C$238:$C$451,$C100,'TL05'!$J$238:$J$451),0),
IF('TL06'!$B$3=L$3,SUMIF('TL06'!$C$10:$C$224,$C100,'TL06'!$J$10:$J$224),0),
IF('TL06'!$B$229=L$3,SUMIF('TL06'!$C$238:$C$451,$C100,'TL06'!$J$238:$J$451),0),
IF('TL07'!$B$3=L$3,SUMIF('TL07'!$C$10:$C$224,$C100,'TL07'!$J$10:$J$224),0),
IF('TL07'!$B$229=L$3,SUMIF('TL07'!$C$238:$C$451,$C100,'TL07'!$J$238:$J$451),0),
IF('TL08'!$B$3=L$3,SUMIF('TL08'!$C$10:$C$224,$C100,'TL08'!$J$10:$J$224),0),
IF('TL08'!$B$229=L$3,SUMIF('TL08'!$C$238:$C$451,$C100,'TL08'!$J$238:$J$451),0),
IF('TL09'!$B$3=L$3,SUMIF('TL09'!$C$10:$C$224,$C100,'TL09'!$J$10:$J$224),0),
IF('TL09'!$B$229=L$3,SUMIF('TL09'!$C$238:$C$451,$C100,'TL09'!$J$238:$J$451),0),
IF('TL10'!$B$3=L$3,SUMIF('TL10'!$C$10:$C$224,$C100,'TL10'!$J$10:$J$224),0),
IF('TL10'!$B$229=L$3,SUMIF('TL10'!$C$238:$C$451,$C100,'TL10'!$J$238:$J$451),0),
IF('TL11'!$B$3=L$3,SUMIF('TL11'!$C$10:$C$224,$C100,'TL11'!$J$10:$J$224),0),
IF('TL11'!$B$229=L$3,SUMIF('TL11'!$C$238:$C$451,$C100,'TL11'!$J$238:$J$451),0),
IF('TL12'!$B$3=L$3,SUMIF('TL12'!$C$10:$C$224,$C100,'TL12'!$J$10:$J$224),0),
IF('TL12'!$B$229=L$3,SUMIF('TL12'!$C$238:$C$451,$C100,'TL12'!$J$238:$J$451),0),
IF('TL13'!$B$3=L$3,SUMIF('TL13'!$C$10:$C$224,$C100,'TL13'!$J$10:$J$224),0),
IF('TL13'!$B$229=L$3,SUMIF('TL13'!$C$238:$C$451,$C100,'TL13'!$J$238:$J$451),0),
IF('TL14'!$B$3=L$3,SUMIF('TL14'!$C$10:$C$224,$C100,'TL14'!$J$10:$J$224),0),
IF('TL14'!$B$229=L$3,SUMIF('TL14'!$C$238:$C$451,$C100,'TL14'!$J$238:$J$451),0),
IF('TL15'!$B$3=L$3,SUMIF('TL15'!$C$10:$C$224,$C100,'TL15'!$J$10:$J$224),0),
IF('TL15'!$B$229=L$3,SUMIF('TL15'!$C$238:$C$451,$C100,'TL15'!$J$238:$J$451),0),
IF('TL16'!$B$3=L$3,SUMIF('TL16'!$C$10:$C$224,$C100,'TL16'!$J$10:$J$224),0),
IF('TL16'!$B$229=L$3,SUMIF('TL16'!$C$238:$C$451,$C100,'TL16'!$J$238:$J$451),0),
IF('TL17'!$B$3=L$3,SUMIF('TL17'!$C$10:$C$224,$C100,'TL17'!$J$10:$J$224),0),
IF('TL17'!$B$229=L$3,SUMIF('TL17'!$C$238:$C$451,$C100,'TL17'!$J$238:$J$451),0),
IF('TL18'!$B$3=L$3,SUMIF('TL18'!$C$10:$C$224,$C100,'TL18'!$J$10:$J$224),0),
IF('TL18'!$B$229=L$3,SUMIF('TL18'!$C$238:$C$451,$C100,'TL18'!$J$238:$J$451),0),
IF('TL19'!$B$3=L$3,SUMIF('TL19'!$C$10:$C$224,$C100,'TL19'!$J$10:$J$224),0),
IF('TL19'!$B$229=L$3,SUMIF('TL19'!$C$238:$C$451,$C100,'TL19'!$J$238:$J$451),0)
),0)</f>
        <v>0</v>
      </c>
      <c r="M100" s="9">
        <f>IFERROR(SUM(
IF('TL01'!$B$3=M$3,SUMIF('TL01'!$C$10:$C$224,$C100,'TL01'!$J$10:$J$224),0),
IF('TL01'!$B$229=M$3,SUMIF('TL01'!$C$238:$C$451,$C100,'TL01'!$J$238:$J$451),0),
IF('TL02'!$B$3=M$3,SUMIF('TL02'!$C$10:$C$224,$C100,'TL02'!$J$10:$J$224),0),
IF('TL02'!$B$229=M$3,SUMIF('TL02'!$C$238:$C$451,$C100,'TL02'!$J$238:$J$451),0),
IF('TL03'!$B$3=M$3,SUMIF('TL03'!$C$10:$C$224,$C100,'TL03'!$J$10:$J$224),0),
IF('TL03'!$B$229=M$3,SUMIF('TL03'!$C$238:$C$451,$C100,'TL03'!$J$238:$J$451),0),
IF('TL04'!$B$3=M$3,SUMIF('TL04'!$C$10:$C$224,$C100,'TL04'!$J$10:$J$224),0),
IF('TL04'!$B$229=M$3,SUMIF('TL04'!$C$238:$C$451,$C100,'TL04'!$J$238:$J$451),0),
IF('TL05'!$B$3=M$3,SUMIF('TL05'!$C$10:$C$224,$C100,'TL05'!$J$10:$J$224),0),
IF('TL05'!$B$229=M$3,SUMIF('TL05'!$C$238:$C$451,$C100,'TL05'!$J$238:$J$451),0),
IF('TL06'!$B$3=M$3,SUMIF('TL06'!$C$10:$C$224,$C100,'TL06'!$J$10:$J$224),0),
IF('TL06'!$B$229=M$3,SUMIF('TL06'!$C$238:$C$451,$C100,'TL06'!$J$238:$J$451),0),
IF('TL07'!$B$3=M$3,SUMIF('TL07'!$C$10:$C$224,$C100,'TL07'!$J$10:$J$224),0),
IF('TL07'!$B$229=M$3,SUMIF('TL07'!$C$238:$C$451,$C100,'TL07'!$J$238:$J$451),0),
IF('TL08'!$B$3=M$3,SUMIF('TL08'!$C$10:$C$224,$C100,'TL08'!$J$10:$J$224),0),
IF('TL08'!$B$229=M$3,SUMIF('TL08'!$C$238:$C$451,$C100,'TL08'!$J$238:$J$451),0),
IF('TL09'!$B$3=M$3,SUMIF('TL09'!$C$10:$C$224,$C100,'TL09'!$J$10:$J$224),0),
IF('TL09'!$B$229=M$3,SUMIF('TL09'!$C$238:$C$451,$C100,'TL09'!$J$238:$J$451),0),
IF('TL10'!$B$3=M$3,SUMIF('TL10'!$C$10:$C$224,$C100,'TL10'!$J$10:$J$224),0),
IF('TL10'!$B$229=M$3,SUMIF('TL10'!$C$238:$C$451,$C100,'TL10'!$J$238:$J$451),0),
IF('TL11'!$B$3=M$3,SUMIF('TL11'!$C$10:$C$224,$C100,'TL11'!$J$10:$J$224),0),
IF('TL11'!$B$229=M$3,SUMIF('TL11'!$C$238:$C$451,$C100,'TL11'!$J$238:$J$451),0),
IF('TL12'!$B$3=M$3,SUMIF('TL12'!$C$10:$C$224,$C100,'TL12'!$J$10:$J$224),0),
IF('TL12'!$B$229=M$3,SUMIF('TL12'!$C$238:$C$451,$C100,'TL12'!$J$238:$J$451),0),
IF('TL13'!$B$3=M$3,SUMIF('TL13'!$C$10:$C$224,$C100,'TL13'!$J$10:$J$224),0),
IF('TL13'!$B$229=M$3,SUMIF('TL13'!$C$238:$C$451,$C100,'TL13'!$J$238:$J$451),0),
IF('TL14'!$B$3=M$3,SUMIF('TL14'!$C$10:$C$224,$C100,'TL14'!$J$10:$J$224),0),
IF('TL14'!$B$229=M$3,SUMIF('TL14'!$C$238:$C$451,$C100,'TL14'!$J$238:$J$451),0),
IF('TL15'!$B$3=M$3,SUMIF('TL15'!$C$10:$C$224,$C100,'TL15'!$J$10:$J$224),0),
IF('TL15'!$B$229=M$3,SUMIF('TL15'!$C$238:$C$451,$C100,'TL15'!$J$238:$J$451),0),
IF('TL16'!$B$3=M$3,SUMIF('TL16'!$C$10:$C$224,$C100,'TL16'!$J$10:$J$224),0),
IF('TL16'!$B$229=M$3,SUMIF('TL16'!$C$238:$C$451,$C100,'TL16'!$J$238:$J$451),0),
IF('TL17'!$B$3=M$3,SUMIF('TL17'!$C$10:$C$224,$C100,'TL17'!$J$10:$J$224),0),
IF('TL17'!$B$229=M$3,SUMIF('TL17'!$C$238:$C$451,$C100,'TL17'!$J$238:$J$451),0),
IF('TL18'!$B$3=M$3,SUMIF('TL18'!$C$10:$C$224,$C100,'TL18'!$J$10:$J$224),0),
IF('TL18'!$B$229=M$3,SUMIF('TL18'!$C$238:$C$451,$C100,'TL18'!$J$238:$J$451),0),
IF('TL19'!$B$3=M$3,SUMIF('TL19'!$C$10:$C$224,$C100,'TL19'!$J$10:$J$224),0),
IF('TL19'!$B$229=M$3,SUMIF('TL19'!$C$238:$C$451,$C100,'TL19'!$J$238:$J$451),0)
),0)</f>
        <v>0</v>
      </c>
      <c r="N100" s="9">
        <f>IFERROR(SUM(
IF('TL01'!$B$3=N$3,SUMIF('TL01'!$C$10:$C$224,$C100,'TL01'!$J$10:$J$224),0),
IF('TL01'!$B$229=N$3,SUMIF('TL01'!$C$238:$C$451,$C100,'TL01'!$J$238:$J$451),0),
IF('TL02'!$B$3=N$3,SUMIF('TL02'!$C$10:$C$224,$C100,'TL02'!$J$10:$J$224),0),
IF('TL02'!$B$229=N$3,SUMIF('TL02'!$C$238:$C$451,$C100,'TL02'!$J$238:$J$451),0),
IF('TL03'!$B$3=N$3,SUMIF('TL03'!$C$10:$C$224,$C100,'TL03'!$J$10:$J$224),0),
IF('TL03'!$B$229=N$3,SUMIF('TL03'!$C$238:$C$451,$C100,'TL03'!$J$238:$J$451),0),
IF('TL04'!$B$3=N$3,SUMIF('TL04'!$C$10:$C$224,$C100,'TL04'!$J$10:$J$224),0),
IF('TL04'!$B$229=N$3,SUMIF('TL04'!$C$238:$C$451,$C100,'TL04'!$J$238:$J$451),0),
IF('TL05'!$B$3=N$3,SUMIF('TL05'!$C$10:$C$224,$C100,'TL05'!$J$10:$J$224),0),
IF('TL05'!$B$229=N$3,SUMIF('TL05'!$C$238:$C$451,$C100,'TL05'!$J$238:$J$451),0),
IF('TL06'!$B$3=N$3,SUMIF('TL06'!$C$10:$C$224,$C100,'TL06'!$J$10:$J$224),0),
IF('TL06'!$B$229=N$3,SUMIF('TL06'!$C$238:$C$451,$C100,'TL06'!$J$238:$J$451),0),
IF('TL07'!$B$3=N$3,SUMIF('TL07'!$C$10:$C$224,$C100,'TL07'!$J$10:$J$224),0),
IF('TL07'!$B$229=N$3,SUMIF('TL07'!$C$238:$C$451,$C100,'TL07'!$J$238:$J$451),0),
IF('TL08'!$B$3=N$3,SUMIF('TL08'!$C$10:$C$224,$C100,'TL08'!$J$10:$J$224),0),
IF('TL08'!$B$229=N$3,SUMIF('TL08'!$C$238:$C$451,$C100,'TL08'!$J$238:$J$451),0),
IF('TL09'!$B$3=N$3,SUMIF('TL09'!$C$10:$C$224,$C100,'TL09'!$J$10:$J$224),0),
IF('TL09'!$B$229=N$3,SUMIF('TL09'!$C$238:$C$451,$C100,'TL09'!$J$238:$J$451),0),
IF('TL10'!$B$3=N$3,SUMIF('TL10'!$C$10:$C$224,$C100,'TL10'!$J$10:$J$224),0),
IF('TL10'!$B$229=N$3,SUMIF('TL10'!$C$238:$C$451,$C100,'TL10'!$J$238:$J$451),0),
IF('TL11'!$B$3=N$3,SUMIF('TL11'!$C$10:$C$224,$C100,'TL11'!$J$10:$J$224),0),
IF('TL11'!$B$229=N$3,SUMIF('TL11'!$C$238:$C$451,$C100,'TL11'!$J$238:$J$451),0),
IF('TL12'!$B$3=N$3,SUMIF('TL12'!$C$10:$C$224,$C100,'TL12'!$J$10:$J$224),0),
IF('TL12'!$B$229=N$3,SUMIF('TL12'!$C$238:$C$451,$C100,'TL12'!$J$238:$J$451),0),
IF('TL13'!$B$3=N$3,SUMIF('TL13'!$C$10:$C$224,$C100,'TL13'!$J$10:$J$224),0),
IF('TL13'!$B$229=N$3,SUMIF('TL13'!$C$238:$C$451,$C100,'TL13'!$J$238:$J$451),0),
IF('TL14'!$B$3=N$3,SUMIF('TL14'!$C$10:$C$224,$C100,'TL14'!$J$10:$J$224),0),
IF('TL14'!$B$229=N$3,SUMIF('TL14'!$C$238:$C$451,$C100,'TL14'!$J$238:$J$451),0),
IF('TL15'!$B$3=N$3,SUMIF('TL15'!$C$10:$C$224,$C100,'TL15'!$J$10:$J$224),0),
IF('TL15'!$B$229=N$3,SUMIF('TL15'!$C$238:$C$451,$C100,'TL15'!$J$238:$J$451),0),
IF('TL16'!$B$3=N$3,SUMIF('TL16'!$C$10:$C$224,$C100,'TL16'!$J$10:$J$224),0),
IF('TL16'!$B$229=N$3,SUMIF('TL16'!$C$238:$C$451,$C100,'TL16'!$J$238:$J$451),0),
IF('TL17'!$B$3=N$3,SUMIF('TL17'!$C$10:$C$224,$C100,'TL17'!$J$10:$J$224),0),
IF('TL17'!$B$229=N$3,SUMIF('TL17'!$C$238:$C$451,$C100,'TL17'!$J$238:$J$451),0),
IF('TL18'!$B$3=N$3,SUMIF('TL18'!$C$10:$C$224,$C100,'TL18'!$J$10:$J$224),0),
IF('TL18'!$B$229=N$3,SUMIF('TL18'!$C$238:$C$451,$C100,'TL18'!$J$238:$J$451),0),
IF('TL19'!$B$3=N$3,SUMIF('TL19'!$C$10:$C$224,$C100,'TL19'!$J$10:$J$224),0),
IF('TL19'!$B$229=N$3,SUMIF('TL19'!$C$238:$C$451,$C100,'TL19'!$J$238:$J$451),0)
),0)</f>
        <v>0</v>
      </c>
      <c r="O100" s="9">
        <f>IFERROR(SUM(
IF('TL01'!$B$3=O$3,SUMIF('TL01'!$C$10:$C$224,$C100,'TL01'!$J$10:$J$224),0),
IF('TL01'!$B$229=O$3,SUMIF('TL01'!$C$238:$C$451,$C100,'TL01'!$J$238:$J$451),0),
IF('TL02'!$B$3=O$3,SUMIF('TL02'!$C$10:$C$224,$C100,'TL02'!$J$10:$J$224),0),
IF('TL02'!$B$229=O$3,SUMIF('TL02'!$C$238:$C$451,$C100,'TL02'!$J$238:$J$451),0),
IF('TL03'!$B$3=O$3,SUMIF('TL03'!$C$10:$C$224,$C100,'TL03'!$J$10:$J$224),0),
IF('TL03'!$B$229=O$3,SUMIF('TL03'!$C$238:$C$451,$C100,'TL03'!$J$238:$J$451),0),
IF('TL04'!$B$3=O$3,SUMIF('TL04'!$C$10:$C$224,$C100,'TL04'!$J$10:$J$224),0),
IF('TL04'!$B$229=O$3,SUMIF('TL04'!$C$238:$C$451,$C100,'TL04'!$J$238:$J$451),0),
IF('TL05'!$B$3=O$3,SUMIF('TL05'!$C$10:$C$224,$C100,'TL05'!$J$10:$J$224),0),
IF('TL05'!$B$229=O$3,SUMIF('TL05'!$C$238:$C$451,$C100,'TL05'!$J$238:$J$451),0),
IF('TL06'!$B$3=O$3,SUMIF('TL06'!$C$10:$C$224,$C100,'TL06'!$J$10:$J$224),0),
IF('TL06'!$B$229=O$3,SUMIF('TL06'!$C$238:$C$451,$C100,'TL06'!$J$238:$J$451),0),
IF('TL07'!$B$3=O$3,SUMIF('TL07'!$C$10:$C$224,$C100,'TL07'!$J$10:$J$224),0),
IF('TL07'!$B$229=O$3,SUMIF('TL07'!$C$238:$C$451,$C100,'TL07'!$J$238:$J$451),0),
IF('TL08'!$B$3=O$3,SUMIF('TL08'!$C$10:$C$224,$C100,'TL08'!$J$10:$J$224),0),
IF('TL08'!$B$229=O$3,SUMIF('TL08'!$C$238:$C$451,$C100,'TL08'!$J$238:$J$451),0),
IF('TL09'!$B$3=O$3,SUMIF('TL09'!$C$10:$C$224,$C100,'TL09'!$J$10:$J$224),0),
IF('TL09'!$B$229=O$3,SUMIF('TL09'!$C$238:$C$451,$C100,'TL09'!$J$238:$J$451),0),
IF('TL10'!$B$3=O$3,SUMIF('TL10'!$C$10:$C$224,$C100,'TL10'!$J$10:$J$224),0),
IF('TL10'!$B$229=O$3,SUMIF('TL10'!$C$238:$C$451,$C100,'TL10'!$J$238:$J$451),0),
IF('TL11'!$B$3=O$3,SUMIF('TL11'!$C$10:$C$224,$C100,'TL11'!$J$10:$J$224),0),
IF('TL11'!$B$229=O$3,SUMIF('TL11'!$C$238:$C$451,$C100,'TL11'!$J$238:$J$451),0),
IF('TL12'!$B$3=O$3,SUMIF('TL12'!$C$10:$C$224,$C100,'TL12'!$J$10:$J$224),0),
IF('TL12'!$B$229=O$3,SUMIF('TL12'!$C$238:$C$451,$C100,'TL12'!$J$238:$J$451),0),
IF('TL13'!$B$3=O$3,SUMIF('TL13'!$C$10:$C$224,$C100,'TL13'!$J$10:$J$224),0),
IF('TL13'!$B$229=O$3,SUMIF('TL13'!$C$238:$C$451,$C100,'TL13'!$J$238:$J$451),0),
IF('TL14'!$B$3=O$3,SUMIF('TL14'!$C$10:$C$224,$C100,'TL14'!$J$10:$J$224),0),
IF('TL14'!$B$229=O$3,SUMIF('TL14'!$C$238:$C$451,$C100,'TL14'!$J$238:$J$451),0),
IF('TL15'!$B$3=O$3,SUMIF('TL15'!$C$10:$C$224,$C100,'TL15'!$J$10:$J$224),0),
IF('TL15'!$B$229=O$3,SUMIF('TL15'!$C$238:$C$451,$C100,'TL15'!$J$238:$J$451),0),
IF('TL16'!$B$3=O$3,SUMIF('TL16'!$C$10:$C$224,$C100,'TL16'!$J$10:$J$224),0),
IF('TL16'!$B$229=O$3,SUMIF('TL16'!$C$238:$C$451,$C100,'TL16'!$J$238:$J$451),0),
IF('TL17'!$B$3=O$3,SUMIF('TL17'!$C$10:$C$224,$C100,'TL17'!$J$10:$J$224),0),
IF('TL17'!$B$229=O$3,SUMIF('TL17'!$C$238:$C$451,$C100,'TL17'!$J$238:$J$451),0),
IF('TL18'!$B$3=O$3,SUMIF('TL18'!$C$10:$C$224,$C100,'TL18'!$J$10:$J$224),0),
IF('TL18'!$B$229=O$3,SUMIF('TL18'!$C$238:$C$451,$C100,'TL18'!$J$238:$J$451),0),
IF('TL19'!$B$3=O$3,SUMIF('TL19'!$C$10:$C$224,$C100,'TL19'!$J$10:$J$224),0),
IF('TL19'!$B$229=O$3,SUMIF('TL19'!$C$238:$C$451,$C100,'TL19'!$J$238:$J$451),0)
),0)</f>
        <v>0</v>
      </c>
      <c r="P100" s="9">
        <f>IFERROR(SUM(
IF('TL01'!$B$3=P$3,SUMIF('TL01'!$C$10:$C$224,$C100,'TL01'!$J$10:$J$224),0),
IF('TL01'!$B$229=P$3,SUMIF('TL01'!$C$238:$C$451,$C100,'TL01'!$J$238:$J$451),0),
IF('TL02'!$B$3=P$3,SUMIF('TL02'!$C$10:$C$224,$C100,'TL02'!$J$10:$J$224),0),
IF('TL02'!$B$229=P$3,SUMIF('TL02'!$C$238:$C$451,$C100,'TL02'!$J$238:$J$451),0),
IF('TL03'!$B$3=P$3,SUMIF('TL03'!$C$10:$C$224,$C100,'TL03'!$J$10:$J$224),0),
IF('TL03'!$B$229=P$3,SUMIF('TL03'!$C$238:$C$451,$C100,'TL03'!$J$238:$J$451),0),
IF('TL04'!$B$3=P$3,SUMIF('TL04'!$C$10:$C$224,$C100,'TL04'!$J$10:$J$224),0),
IF('TL04'!$B$229=P$3,SUMIF('TL04'!$C$238:$C$451,$C100,'TL04'!$J$238:$J$451),0),
IF('TL05'!$B$3=P$3,SUMIF('TL05'!$C$10:$C$224,$C100,'TL05'!$J$10:$J$224),0),
IF('TL05'!$B$229=P$3,SUMIF('TL05'!$C$238:$C$451,$C100,'TL05'!$J$238:$J$451),0),
IF('TL06'!$B$3=P$3,SUMIF('TL06'!$C$10:$C$224,$C100,'TL06'!$J$10:$J$224),0),
IF('TL06'!$B$229=P$3,SUMIF('TL06'!$C$238:$C$451,$C100,'TL06'!$J$238:$J$451),0),
IF('TL07'!$B$3=P$3,SUMIF('TL07'!$C$10:$C$224,$C100,'TL07'!$J$10:$J$224),0),
IF('TL07'!$B$229=P$3,SUMIF('TL07'!$C$238:$C$451,$C100,'TL07'!$J$238:$J$451),0),
IF('TL08'!$B$3=P$3,SUMIF('TL08'!$C$10:$C$224,$C100,'TL08'!$J$10:$J$224),0),
IF('TL08'!$B$229=P$3,SUMIF('TL08'!$C$238:$C$451,$C100,'TL08'!$J$238:$J$451),0),
IF('TL09'!$B$3=P$3,SUMIF('TL09'!$C$10:$C$224,$C100,'TL09'!$J$10:$J$224),0),
IF('TL09'!$B$229=P$3,SUMIF('TL09'!$C$238:$C$451,$C100,'TL09'!$J$238:$J$451),0),
IF('TL10'!$B$3=P$3,SUMIF('TL10'!$C$10:$C$224,$C100,'TL10'!$J$10:$J$224),0),
IF('TL10'!$B$229=P$3,SUMIF('TL10'!$C$238:$C$451,$C100,'TL10'!$J$238:$J$451),0),
IF('TL11'!$B$3=P$3,SUMIF('TL11'!$C$10:$C$224,$C100,'TL11'!$J$10:$J$224),0),
IF('TL11'!$B$229=P$3,SUMIF('TL11'!$C$238:$C$451,$C100,'TL11'!$J$238:$J$451),0),
IF('TL12'!$B$3=P$3,SUMIF('TL12'!$C$10:$C$224,$C100,'TL12'!$J$10:$J$224),0),
IF('TL12'!$B$229=P$3,SUMIF('TL12'!$C$238:$C$451,$C100,'TL12'!$J$238:$J$451),0),
IF('TL13'!$B$3=P$3,SUMIF('TL13'!$C$10:$C$224,$C100,'TL13'!$J$10:$J$224),0),
IF('TL13'!$B$229=P$3,SUMIF('TL13'!$C$238:$C$451,$C100,'TL13'!$J$238:$J$451),0),
IF('TL14'!$B$3=P$3,SUMIF('TL14'!$C$10:$C$224,$C100,'TL14'!$J$10:$J$224),0),
IF('TL14'!$B$229=P$3,SUMIF('TL14'!$C$238:$C$451,$C100,'TL14'!$J$238:$J$451),0),
IF('TL15'!$B$3=P$3,SUMIF('TL15'!$C$10:$C$224,$C100,'TL15'!$J$10:$J$224),0),
IF('TL15'!$B$229=P$3,SUMIF('TL15'!$C$238:$C$451,$C100,'TL15'!$J$238:$J$451),0),
IF('TL16'!$B$3=P$3,SUMIF('TL16'!$C$10:$C$224,$C100,'TL16'!$J$10:$J$224),0),
IF('TL16'!$B$229=P$3,SUMIF('TL16'!$C$238:$C$451,$C100,'TL16'!$J$238:$J$451),0),
IF('TL17'!$B$3=P$3,SUMIF('TL17'!$C$10:$C$224,$C100,'TL17'!$J$10:$J$224),0),
IF('TL17'!$B$229=P$3,SUMIF('TL17'!$C$238:$C$451,$C100,'TL17'!$J$238:$J$451),0),
IF('TL18'!$B$3=P$3,SUMIF('TL18'!$C$10:$C$224,$C100,'TL18'!$J$10:$J$224),0),
IF('TL18'!$B$229=P$3,SUMIF('TL18'!$C$238:$C$451,$C100,'TL18'!$J$238:$J$451),0),
IF('TL19'!$B$3=P$3,SUMIF('TL19'!$C$10:$C$224,$C100,'TL19'!$J$10:$J$224),0),
IF('TL19'!$B$229=P$3,SUMIF('TL19'!$C$238:$C$451,$C100,'TL19'!$J$238:$J$451),0)
),0)</f>
        <v>0</v>
      </c>
      <c r="Q100" s="9">
        <f>IFERROR(SUM(
IF('TL01'!$B$3=Q$3,SUMIF('TL01'!$C$10:$C$224,$C100,'TL01'!$J$10:$J$224),0),
IF('TL01'!$B$229=Q$3,SUMIF('TL01'!$C$238:$C$451,$C100,'TL01'!$J$238:$J$451),0),
IF('TL02'!$B$3=Q$3,SUMIF('TL02'!$C$10:$C$224,$C100,'TL02'!$J$10:$J$224),0),
IF('TL02'!$B$229=Q$3,SUMIF('TL02'!$C$238:$C$451,$C100,'TL02'!$J$238:$J$451),0),
IF('TL03'!$B$3=Q$3,SUMIF('TL03'!$C$10:$C$224,$C100,'TL03'!$J$10:$J$224),0),
IF('TL03'!$B$229=Q$3,SUMIF('TL03'!$C$238:$C$451,$C100,'TL03'!$J$238:$J$451),0),
IF('TL04'!$B$3=Q$3,SUMIF('TL04'!$C$10:$C$224,$C100,'TL04'!$J$10:$J$224),0),
IF('TL04'!$B$229=Q$3,SUMIF('TL04'!$C$238:$C$451,$C100,'TL04'!$J$238:$J$451),0),
IF('TL05'!$B$3=Q$3,SUMIF('TL05'!$C$10:$C$224,$C100,'TL05'!$J$10:$J$224),0),
IF('TL05'!$B$229=Q$3,SUMIF('TL05'!$C$238:$C$451,$C100,'TL05'!$J$238:$J$451),0),
IF('TL06'!$B$3=Q$3,SUMIF('TL06'!$C$10:$C$224,$C100,'TL06'!$J$10:$J$224),0),
IF('TL06'!$B$229=Q$3,SUMIF('TL06'!$C$238:$C$451,$C100,'TL06'!$J$238:$J$451),0),
IF('TL07'!$B$3=Q$3,SUMIF('TL07'!$C$10:$C$224,$C100,'TL07'!$J$10:$J$224),0),
IF('TL07'!$B$229=Q$3,SUMIF('TL07'!$C$238:$C$451,$C100,'TL07'!$J$238:$J$451),0),
IF('TL08'!$B$3=Q$3,SUMIF('TL08'!$C$10:$C$224,$C100,'TL08'!$J$10:$J$224),0),
IF('TL08'!$B$229=Q$3,SUMIF('TL08'!$C$238:$C$451,$C100,'TL08'!$J$238:$J$451),0),
IF('TL09'!$B$3=Q$3,SUMIF('TL09'!$C$10:$C$224,$C100,'TL09'!$J$10:$J$224),0),
IF('TL09'!$B$229=Q$3,SUMIF('TL09'!$C$238:$C$451,$C100,'TL09'!$J$238:$J$451),0),
IF('TL10'!$B$3=Q$3,SUMIF('TL10'!$C$10:$C$224,$C100,'TL10'!$J$10:$J$224),0),
IF('TL10'!$B$229=Q$3,SUMIF('TL10'!$C$238:$C$451,$C100,'TL10'!$J$238:$J$451),0),
IF('TL11'!$B$3=Q$3,SUMIF('TL11'!$C$10:$C$224,$C100,'TL11'!$J$10:$J$224),0),
IF('TL11'!$B$229=Q$3,SUMIF('TL11'!$C$238:$C$451,$C100,'TL11'!$J$238:$J$451),0),
IF('TL12'!$B$3=Q$3,SUMIF('TL12'!$C$10:$C$224,$C100,'TL12'!$J$10:$J$224),0),
IF('TL12'!$B$229=Q$3,SUMIF('TL12'!$C$238:$C$451,$C100,'TL12'!$J$238:$J$451),0),
IF('TL13'!$B$3=Q$3,SUMIF('TL13'!$C$10:$C$224,$C100,'TL13'!$J$10:$J$224),0),
IF('TL13'!$B$229=Q$3,SUMIF('TL13'!$C$238:$C$451,$C100,'TL13'!$J$238:$J$451),0),
IF('TL14'!$B$3=Q$3,SUMIF('TL14'!$C$10:$C$224,$C100,'TL14'!$J$10:$J$224),0),
IF('TL14'!$B$229=Q$3,SUMIF('TL14'!$C$238:$C$451,$C100,'TL14'!$J$238:$J$451),0),
IF('TL15'!$B$3=Q$3,SUMIF('TL15'!$C$10:$C$224,$C100,'TL15'!$J$10:$J$224),0),
IF('TL15'!$B$229=Q$3,SUMIF('TL15'!$C$238:$C$451,$C100,'TL15'!$J$238:$J$451),0),
IF('TL16'!$B$3=Q$3,SUMIF('TL16'!$C$10:$C$224,$C100,'TL16'!$J$10:$J$224),0),
IF('TL16'!$B$229=Q$3,SUMIF('TL16'!$C$238:$C$451,$C100,'TL16'!$J$238:$J$451),0),
IF('TL17'!$B$3=Q$3,SUMIF('TL17'!$C$10:$C$224,$C100,'TL17'!$J$10:$J$224),0),
IF('TL17'!$B$229=Q$3,SUMIF('TL17'!$C$238:$C$451,$C100,'TL17'!$J$238:$J$451),0),
IF('TL18'!$B$3=Q$3,SUMIF('TL18'!$C$10:$C$224,$C100,'TL18'!$J$10:$J$224),0),
IF('TL18'!$B$229=Q$3,SUMIF('TL18'!$C$238:$C$451,$C100,'TL18'!$J$238:$J$451),0),
IF('TL19'!$B$3=Q$3,SUMIF('TL19'!$C$10:$C$224,$C100,'TL19'!$J$10:$J$224),0),
IF('TL19'!$B$229=Q$3,SUMIF('TL19'!$C$238:$C$451,$C100,'TL19'!$J$238:$J$451),0)
),0)</f>
        <v>0</v>
      </c>
      <c r="R100" s="9">
        <f>IFERROR(
SUM(
SUMIF('TL01'!C:C,C100,'TL01'!J:J),
SUMIF('TL02'!C:C,C100,'TL02'!J:J),
SUMIF('TL03'!C:C,C100,'TL03'!J:J),
SUMIF('TL04'!C:C,C100,'TL04'!J:J),
SUMIF('TL05'!C:C,C100,'TL05'!J:J),
SUMIF('TL06'!C:C,C100,'TL06'!J:J),
SUMIF('TL07'!C:C,C100,'TL07'!J:J),
SUMIF('TL08'!C:C,C100,'TL08'!J:J),
SUMIF('TL09'!C:C,C100,'TL09'!J:J),
SUMIF('TL10'!C:C,C100,'TL10'!J:J),
SUMIF('TL11'!C:C,C100,'TL11'!J:J),
SUMIF('TL12'!C:C,C100,'TL12'!J:J),
SUMIF('TL13'!C:C,C100,'TL13'!J:J),
SUMIF('TL14'!C:C,C100,'TL14'!J:J),
SUMIF('TL15'!C:C,C100,'TL15'!J:J),
SUMIF('TL16'!C:C,C100,'TL16'!J:J),
SUMIF('TL17'!C:C,C100,'TL17'!J:J),
SUMIF('TL18'!C:C,C100,'TL18'!J:J),SUMIF('TL19'!C:C,C100,'TL19'!J:J))
,0)</f>
        <v>0</v>
      </c>
      <c r="S100" s="17">
        <f>IFERROR(__xludf.DUMMYFUNCTION("IFERROR(VLOOKUP(C100,
IMPORTRANGE(""1wULbzX32WdYsx-lj2U3uUNBBe2INVIRDtcK0d-Dvl90"",
""26-27!C:G""),
5,
FALSE),
"""")"),88.72848)</f>
        <v>88.72848</v>
      </c>
      <c r="T100" s="9"/>
      <c r="U100" s="92">
        <f t="shared" si="2"/>
        <v>0</v>
      </c>
      <c r="V100" s="93">
        <f t="shared" si="3"/>
        <v>0</v>
      </c>
    </row>
    <row r="101" ht="15.75" hidden="1" customHeight="1">
      <c r="A101" s="111" t="s">
        <v>358</v>
      </c>
      <c r="B101" s="112" t="s">
        <v>0</v>
      </c>
      <c r="C101" s="113" t="s">
        <v>593</v>
      </c>
      <c r="D101" s="113" t="s">
        <v>594</v>
      </c>
      <c r="E101" s="113" t="s">
        <v>595</v>
      </c>
      <c r="F101" s="4" t="s">
        <v>343</v>
      </c>
      <c r="G101" s="90" t="str">
        <f t="shared" si="4"/>
        <v>📄 Ver bula</v>
      </c>
      <c r="H101" s="9">
        <f>IFERROR(__xludf.DUMMYFUNCTION("IFERROR(VLOOKUP(C101,
IMPORTRANGE(""1wULbzX32WdYsx-lj2U3uUNBBe2INVIRDtcK0d-Dvl90"",
""26-27!C:K""),
8,
FALSE),
"""")"),0.5)</f>
        <v>0.5</v>
      </c>
      <c r="I101" s="114" t="s">
        <v>344</v>
      </c>
      <c r="J101" s="9">
        <f>IFERROR(SUM(
IF('TL01'!$B$3=J$3,SUMIF('TL01'!$C$10:$C$224,$C101,'TL01'!$J$10:$J$224),0),
IF('TL01'!$B$229=J$3,SUMIF('TL01'!$C$238:$C$451,$C101,'TL01'!$J$238:$J$451),0),
IF('TL02'!$B$3=J$3,SUMIF('TL02'!$C$10:$C$224,$C101,'TL02'!$J$10:$J$224),0),
IF('TL02'!$B$229=J$3,SUMIF('TL02'!$C$238:$C$451,$C101,'TL02'!$J$238:$J$451),0),
IF('TL03'!$B$3=J$3,SUMIF('TL03'!$C$10:$C$224,$C101,'TL03'!$J$10:$J$224),0),
IF('TL03'!$B$229=J$3,SUMIF('TL03'!$C$238:$C$451,$C101,'TL03'!$J$238:$J$451),0),
IF('TL04'!$B$3=J$3,SUMIF('TL04'!$C$10:$C$224,$C101,'TL04'!$J$10:$J$224),0),
IF('TL04'!$B$229=J$3,SUMIF('TL04'!$C$238:$C$451,$C101,'TL04'!$J$238:$J$451),0),
IF('TL05'!$B$3=J$3,SUMIF('TL05'!$C$10:$C$224,$C101,'TL05'!$J$10:$J$224),0),
IF('TL05'!$B$229=J$3,SUMIF('TL05'!$C$238:$C$451,$C101,'TL05'!$J$238:$J$451),0),
IF('TL06'!$B$3=J$3,SUMIF('TL06'!$C$10:$C$224,$C101,'TL06'!$J$10:$J$224),0),
IF('TL06'!$B$229=J$3,SUMIF('TL06'!$C$238:$C$451,$C101,'TL06'!$J$238:$J$451),0),
IF('TL07'!$B$3=J$3,SUMIF('TL07'!$C$10:$C$224,$C101,'TL07'!$J$10:$J$224),0),
IF('TL07'!$B$229=J$3,SUMIF('TL07'!$C$238:$C$451,$C101,'TL07'!$J$238:$J$451),0),
IF('TL08'!$B$3=J$3,SUMIF('TL08'!$C$10:$C$224,$C101,'TL08'!$J$10:$J$224),0),
IF('TL08'!$B$229=J$3,SUMIF('TL08'!$C$238:$C$451,$C101,'TL08'!$J$238:$J$451),0),
IF('TL09'!$B$3=J$3,SUMIF('TL09'!$C$10:$C$224,$C101,'TL09'!$J$10:$J$224),0),
IF('TL09'!$B$229=J$3,SUMIF('TL09'!$C$238:$C$451,$C101,'TL09'!$J$238:$J$451),0),
IF('TL10'!$B$3=J$3,SUMIF('TL10'!$C$10:$C$224,$C101,'TL10'!$J$10:$J$224),0),
IF('TL10'!$B$229=J$3,SUMIF('TL10'!$C$238:$C$451,$C101,'TL10'!$J$238:$J$451),0),
IF('TL11'!$B$3=J$3,SUMIF('TL11'!$C$10:$C$224,$C101,'TL11'!$J$10:$J$224),0),
IF('TL11'!$B$229=J$3,SUMIF('TL11'!$C$238:$C$451,$C101,'TL11'!$J$238:$J$451),0),
IF('TL12'!$B$3=J$3,SUMIF('TL12'!$C$10:$C$224,$C101,'TL12'!$J$10:$J$224),0),
IF('TL12'!$B$229=J$3,SUMIF('TL12'!$C$238:$C$451,$C101,'TL12'!$J$238:$J$451),0),
IF('TL13'!$B$3=J$3,SUMIF('TL13'!$C$10:$C$224,$C101,'TL13'!$J$10:$J$224),0),
IF('TL13'!$B$229=J$3,SUMIF('TL13'!$C$238:$C$451,$C101,'TL13'!$J$238:$J$451),0),
IF('TL14'!$B$3=J$3,SUMIF('TL14'!$C$10:$C$224,$C101,'TL14'!$J$10:$J$224),0),
IF('TL14'!$B$229=J$3,SUMIF('TL14'!$C$238:$C$451,$C101,'TL14'!$J$238:$J$451),0),
IF('TL15'!$B$3=J$3,SUMIF('TL15'!$C$10:$C$224,$C101,'TL15'!$J$10:$J$224),0),
IF('TL15'!$B$229=J$3,SUMIF('TL15'!$C$238:$C$451,$C101,'TL15'!$J$238:$J$451),0),
IF('TL16'!$B$3=J$3,SUMIF('TL16'!$C$10:$C$224,$C101,'TL16'!$J$10:$J$224),0),
IF('TL16'!$B$229=J$3,SUMIF('TL16'!$C$238:$C$451,$C101,'TL16'!$J$238:$J$451),0),
IF('TL17'!$B$3=J$3,SUMIF('TL17'!$C$10:$C$224,$C101,'TL17'!$J$10:$J$224),0),
IF('TL17'!$B$229=J$3,SUMIF('TL17'!$C$238:$C$451,$C101,'TL17'!$J$238:$J$451),0),
IF('TL18'!$B$3=J$3,SUMIF('TL18'!$C$10:$C$224,$C101,'TL18'!$J$10:$J$224),0),
IF('TL18'!$B$229=J$3,SUMIF('TL18'!$C$238:$C$451,$C101,'TL18'!$J$238:$J$451),0),
IF('TL19'!$B$3=J$3,SUMIF('TL19'!$C$10:$C$224,$C101,'TL19'!$J$10:$J$224),0),
IF('TL19'!$B$229=J$3,SUMIF('TL19'!$C$238:$C$451,$C101,'TL19'!$J$238:$J$451),0)
),0)</f>
        <v>0</v>
      </c>
      <c r="K101" s="9">
        <f>IFERROR(SUM(
IF('TL01'!$B$3=K$3,SUMIF('TL01'!$C$10:$C$224,$C101,'TL01'!$J$10:$J$224),0),
IF('TL01'!$B$229=K$3,SUMIF('TL01'!$C$238:$C$451,$C101,'TL01'!$J$238:$J$451),0),
IF('TL02'!$B$3=K$3,SUMIF('TL02'!$C$10:$C$224,$C101,'TL02'!$J$10:$J$224),0),
IF('TL02'!$B$229=K$3,SUMIF('TL02'!$C$238:$C$451,$C101,'TL02'!$J$238:$J$451),0),
IF('TL03'!$B$3=K$3,SUMIF('TL03'!$C$10:$C$224,$C101,'TL03'!$J$10:$J$224),0),
IF('TL03'!$B$229=K$3,SUMIF('TL03'!$C$238:$C$451,$C101,'TL03'!$J$238:$J$451),0),
IF('TL04'!$B$3=K$3,SUMIF('TL04'!$C$10:$C$224,$C101,'TL04'!$J$10:$J$224),0),
IF('TL04'!$B$229=K$3,SUMIF('TL04'!$C$238:$C$451,$C101,'TL04'!$J$238:$J$451),0),
IF('TL05'!$B$3=K$3,SUMIF('TL05'!$C$10:$C$224,$C101,'TL05'!$J$10:$J$224),0),
IF('TL05'!$B$229=K$3,SUMIF('TL05'!$C$238:$C$451,$C101,'TL05'!$J$238:$J$451),0),
IF('TL06'!$B$3=K$3,SUMIF('TL06'!$C$10:$C$224,$C101,'TL06'!$J$10:$J$224),0),
IF('TL06'!$B$229=K$3,SUMIF('TL06'!$C$238:$C$451,$C101,'TL06'!$J$238:$J$451),0),
IF('TL07'!$B$3=K$3,SUMIF('TL07'!$C$10:$C$224,$C101,'TL07'!$J$10:$J$224),0),
IF('TL07'!$B$229=K$3,SUMIF('TL07'!$C$238:$C$451,$C101,'TL07'!$J$238:$J$451),0),
IF('TL08'!$B$3=K$3,SUMIF('TL08'!$C$10:$C$224,$C101,'TL08'!$J$10:$J$224),0),
IF('TL08'!$B$229=K$3,SUMIF('TL08'!$C$238:$C$451,$C101,'TL08'!$J$238:$J$451),0),
IF('TL09'!$B$3=K$3,SUMIF('TL09'!$C$10:$C$224,$C101,'TL09'!$J$10:$J$224),0),
IF('TL09'!$B$229=K$3,SUMIF('TL09'!$C$238:$C$451,$C101,'TL09'!$J$238:$J$451),0),
IF('TL10'!$B$3=K$3,SUMIF('TL10'!$C$10:$C$224,$C101,'TL10'!$J$10:$J$224),0),
IF('TL10'!$B$229=K$3,SUMIF('TL10'!$C$238:$C$451,$C101,'TL10'!$J$238:$J$451),0),
IF('TL11'!$B$3=K$3,SUMIF('TL11'!$C$10:$C$224,$C101,'TL11'!$J$10:$J$224),0),
IF('TL11'!$B$229=K$3,SUMIF('TL11'!$C$238:$C$451,$C101,'TL11'!$J$238:$J$451),0),
IF('TL12'!$B$3=K$3,SUMIF('TL12'!$C$10:$C$224,$C101,'TL12'!$J$10:$J$224),0),
IF('TL12'!$B$229=K$3,SUMIF('TL12'!$C$238:$C$451,$C101,'TL12'!$J$238:$J$451),0),
IF('TL13'!$B$3=K$3,SUMIF('TL13'!$C$10:$C$224,$C101,'TL13'!$J$10:$J$224),0),
IF('TL13'!$B$229=K$3,SUMIF('TL13'!$C$238:$C$451,$C101,'TL13'!$J$238:$J$451),0),
IF('TL14'!$B$3=K$3,SUMIF('TL14'!$C$10:$C$224,$C101,'TL14'!$J$10:$J$224),0),
IF('TL14'!$B$229=K$3,SUMIF('TL14'!$C$238:$C$451,$C101,'TL14'!$J$238:$J$451),0),
IF('TL15'!$B$3=K$3,SUMIF('TL15'!$C$10:$C$224,$C101,'TL15'!$J$10:$J$224),0),
IF('TL15'!$B$229=K$3,SUMIF('TL15'!$C$238:$C$451,$C101,'TL15'!$J$238:$J$451),0),
IF('TL16'!$B$3=K$3,SUMIF('TL16'!$C$10:$C$224,$C101,'TL16'!$J$10:$J$224),0),
IF('TL16'!$B$229=K$3,SUMIF('TL16'!$C$238:$C$451,$C101,'TL16'!$J$238:$J$451),0),
IF('TL17'!$B$3=K$3,SUMIF('TL17'!$C$10:$C$224,$C101,'TL17'!$J$10:$J$224),0),
IF('TL17'!$B$229=K$3,SUMIF('TL17'!$C$238:$C$451,$C101,'TL17'!$J$238:$J$451),0),
IF('TL18'!$B$3=K$3,SUMIF('TL18'!$C$10:$C$224,$C101,'TL18'!$J$10:$J$224),0),
IF('TL18'!$B$229=K$3,SUMIF('TL18'!$C$238:$C$451,$C101,'TL18'!$J$238:$J$451),0),
IF('TL19'!$B$3=K$3,SUMIF('TL19'!$C$10:$C$224,$C101,'TL19'!$J$10:$J$224),0),
IF('TL19'!$B$229=K$3,SUMIF('TL19'!$C$238:$C$451,$C101,'TL19'!$J$238:$J$451),0)
),0)</f>
        <v>0</v>
      </c>
      <c r="L101" s="9">
        <f>IFERROR(SUM(
IF('TL01'!$B$3=L$3,SUMIF('TL01'!$C$10:$C$224,$C101,'TL01'!$J$10:$J$224),0),
IF('TL01'!$B$229=L$3,SUMIF('TL01'!$C$238:$C$451,$C101,'TL01'!$J$238:$J$451),0),
IF('TL02'!$B$3=L$3,SUMIF('TL02'!$C$10:$C$224,$C101,'TL02'!$J$10:$J$224),0),
IF('TL02'!$B$229=L$3,SUMIF('TL02'!$C$238:$C$451,$C101,'TL02'!$J$238:$J$451),0),
IF('TL03'!$B$3=L$3,SUMIF('TL03'!$C$10:$C$224,$C101,'TL03'!$J$10:$J$224),0),
IF('TL03'!$B$229=L$3,SUMIF('TL03'!$C$238:$C$451,$C101,'TL03'!$J$238:$J$451),0),
IF('TL04'!$B$3=L$3,SUMIF('TL04'!$C$10:$C$224,$C101,'TL04'!$J$10:$J$224),0),
IF('TL04'!$B$229=L$3,SUMIF('TL04'!$C$238:$C$451,$C101,'TL04'!$J$238:$J$451),0),
IF('TL05'!$B$3=L$3,SUMIF('TL05'!$C$10:$C$224,$C101,'TL05'!$J$10:$J$224),0),
IF('TL05'!$B$229=L$3,SUMIF('TL05'!$C$238:$C$451,$C101,'TL05'!$J$238:$J$451),0),
IF('TL06'!$B$3=L$3,SUMIF('TL06'!$C$10:$C$224,$C101,'TL06'!$J$10:$J$224),0),
IF('TL06'!$B$229=L$3,SUMIF('TL06'!$C$238:$C$451,$C101,'TL06'!$J$238:$J$451),0),
IF('TL07'!$B$3=L$3,SUMIF('TL07'!$C$10:$C$224,$C101,'TL07'!$J$10:$J$224),0),
IF('TL07'!$B$229=L$3,SUMIF('TL07'!$C$238:$C$451,$C101,'TL07'!$J$238:$J$451),0),
IF('TL08'!$B$3=L$3,SUMIF('TL08'!$C$10:$C$224,$C101,'TL08'!$J$10:$J$224),0),
IF('TL08'!$B$229=L$3,SUMIF('TL08'!$C$238:$C$451,$C101,'TL08'!$J$238:$J$451),0),
IF('TL09'!$B$3=L$3,SUMIF('TL09'!$C$10:$C$224,$C101,'TL09'!$J$10:$J$224),0),
IF('TL09'!$B$229=L$3,SUMIF('TL09'!$C$238:$C$451,$C101,'TL09'!$J$238:$J$451),0),
IF('TL10'!$B$3=L$3,SUMIF('TL10'!$C$10:$C$224,$C101,'TL10'!$J$10:$J$224),0),
IF('TL10'!$B$229=L$3,SUMIF('TL10'!$C$238:$C$451,$C101,'TL10'!$J$238:$J$451),0),
IF('TL11'!$B$3=L$3,SUMIF('TL11'!$C$10:$C$224,$C101,'TL11'!$J$10:$J$224),0),
IF('TL11'!$B$229=L$3,SUMIF('TL11'!$C$238:$C$451,$C101,'TL11'!$J$238:$J$451),0),
IF('TL12'!$B$3=L$3,SUMIF('TL12'!$C$10:$C$224,$C101,'TL12'!$J$10:$J$224),0),
IF('TL12'!$B$229=L$3,SUMIF('TL12'!$C$238:$C$451,$C101,'TL12'!$J$238:$J$451),0),
IF('TL13'!$B$3=L$3,SUMIF('TL13'!$C$10:$C$224,$C101,'TL13'!$J$10:$J$224),0),
IF('TL13'!$B$229=L$3,SUMIF('TL13'!$C$238:$C$451,$C101,'TL13'!$J$238:$J$451),0),
IF('TL14'!$B$3=L$3,SUMIF('TL14'!$C$10:$C$224,$C101,'TL14'!$J$10:$J$224),0),
IF('TL14'!$B$229=L$3,SUMIF('TL14'!$C$238:$C$451,$C101,'TL14'!$J$238:$J$451),0),
IF('TL15'!$B$3=L$3,SUMIF('TL15'!$C$10:$C$224,$C101,'TL15'!$J$10:$J$224),0),
IF('TL15'!$B$229=L$3,SUMIF('TL15'!$C$238:$C$451,$C101,'TL15'!$J$238:$J$451),0),
IF('TL16'!$B$3=L$3,SUMIF('TL16'!$C$10:$C$224,$C101,'TL16'!$J$10:$J$224),0),
IF('TL16'!$B$229=L$3,SUMIF('TL16'!$C$238:$C$451,$C101,'TL16'!$J$238:$J$451),0),
IF('TL17'!$B$3=L$3,SUMIF('TL17'!$C$10:$C$224,$C101,'TL17'!$J$10:$J$224),0),
IF('TL17'!$B$229=L$3,SUMIF('TL17'!$C$238:$C$451,$C101,'TL17'!$J$238:$J$451),0),
IF('TL18'!$B$3=L$3,SUMIF('TL18'!$C$10:$C$224,$C101,'TL18'!$J$10:$J$224),0),
IF('TL18'!$B$229=L$3,SUMIF('TL18'!$C$238:$C$451,$C101,'TL18'!$J$238:$J$451),0),
IF('TL19'!$B$3=L$3,SUMIF('TL19'!$C$10:$C$224,$C101,'TL19'!$J$10:$J$224),0),
IF('TL19'!$B$229=L$3,SUMIF('TL19'!$C$238:$C$451,$C101,'TL19'!$J$238:$J$451),0)
),0)</f>
        <v>0</v>
      </c>
      <c r="M101" s="9">
        <f>IFERROR(SUM(
IF('TL01'!$B$3=M$3,SUMIF('TL01'!$C$10:$C$224,$C101,'TL01'!$J$10:$J$224),0),
IF('TL01'!$B$229=M$3,SUMIF('TL01'!$C$238:$C$451,$C101,'TL01'!$J$238:$J$451),0),
IF('TL02'!$B$3=M$3,SUMIF('TL02'!$C$10:$C$224,$C101,'TL02'!$J$10:$J$224),0),
IF('TL02'!$B$229=M$3,SUMIF('TL02'!$C$238:$C$451,$C101,'TL02'!$J$238:$J$451),0),
IF('TL03'!$B$3=M$3,SUMIF('TL03'!$C$10:$C$224,$C101,'TL03'!$J$10:$J$224),0),
IF('TL03'!$B$229=M$3,SUMIF('TL03'!$C$238:$C$451,$C101,'TL03'!$J$238:$J$451),0),
IF('TL04'!$B$3=M$3,SUMIF('TL04'!$C$10:$C$224,$C101,'TL04'!$J$10:$J$224),0),
IF('TL04'!$B$229=M$3,SUMIF('TL04'!$C$238:$C$451,$C101,'TL04'!$J$238:$J$451),0),
IF('TL05'!$B$3=M$3,SUMIF('TL05'!$C$10:$C$224,$C101,'TL05'!$J$10:$J$224),0),
IF('TL05'!$B$229=M$3,SUMIF('TL05'!$C$238:$C$451,$C101,'TL05'!$J$238:$J$451),0),
IF('TL06'!$B$3=M$3,SUMIF('TL06'!$C$10:$C$224,$C101,'TL06'!$J$10:$J$224),0),
IF('TL06'!$B$229=M$3,SUMIF('TL06'!$C$238:$C$451,$C101,'TL06'!$J$238:$J$451),0),
IF('TL07'!$B$3=M$3,SUMIF('TL07'!$C$10:$C$224,$C101,'TL07'!$J$10:$J$224),0),
IF('TL07'!$B$229=M$3,SUMIF('TL07'!$C$238:$C$451,$C101,'TL07'!$J$238:$J$451),0),
IF('TL08'!$B$3=M$3,SUMIF('TL08'!$C$10:$C$224,$C101,'TL08'!$J$10:$J$224),0),
IF('TL08'!$B$229=M$3,SUMIF('TL08'!$C$238:$C$451,$C101,'TL08'!$J$238:$J$451),0),
IF('TL09'!$B$3=M$3,SUMIF('TL09'!$C$10:$C$224,$C101,'TL09'!$J$10:$J$224),0),
IF('TL09'!$B$229=M$3,SUMIF('TL09'!$C$238:$C$451,$C101,'TL09'!$J$238:$J$451),0),
IF('TL10'!$B$3=M$3,SUMIF('TL10'!$C$10:$C$224,$C101,'TL10'!$J$10:$J$224),0),
IF('TL10'!$B$229=M$3,SUMIF('TL10'!$C$238:$C$451,$C101,'TL10'!$J$238:$J$451),0),
IF('TL11'!$B$3=M$3,SUMIF('TL11'!$C$10:$C$224,$C101,'TL11'!$J$10:$J$224),0),
IF('TL11'!$B$229=M$3,SUMIF('TL11'!$C$238:$C$451,$C101,'TL11'!$J$238:$J$451),0),
IF('TL12'!$B$3=M$3,SUMIF('TL12'!$C$10:$C$224,$C101,'TL12'!$J$10:$J$224),0),
IF('TL12'!$B$229=M$3,SUMIF('TL12'!$C$238:$C$451,$C101,'TL12'!$J$238:$J$451),0),
IF('TL13'!$B$3=M$3,SUMIF('TL13'!$C$10:$C$224,$C101,'TL13'!$J$10:$J$224),0),
IF('TL13'!$B$229=M$3,SUMIF('TL13'!$C$238:$C$451,$C101,'TL13'!$J$238:$J$451),0),
IF('TL14'!$B$3=M$3,SUMIF('TL14'!$C$10:$C$224,$C101,'TL14'!$J$10:$J$224),0),
IF('TL14'!$B$229=M$3,SUMIF('TL14'!$C$238:$C$451,$C101,'TL14'!$J$238:$J$451),0),
IF('TL15'!$B$3=M$3,SUMIF('TL15'!$C$10:$C$224,$C101,'TL15'!$J$10:$J$224),0),
IF('TL15'!$B$229=M$3,SUMIF('TL15'!$C$238:$C$451,$C101,'TL15'!$J$238:$J$451),0),
IF('TL16'!$B$3=M$3,SUMIF('TL16'!$C$10:$C$224,$C101,'TL16'!$J$10:$J$224),0),
IF('TL16'!$B$229=M$3,SUMIF('TL16'!$C$238:$C$451,$C101,'TL16'!$J$238:$J$451),0),
IF('TL17'!$B$3=M$3,SUMIF('TL17'!$C$10:$C$224,$C101,'TL17'!$J$10:$J$224),0),
IF('TL17'!$B$229=M$3,SUMIF('TL17'!$C$238:$C$451,$C101,'TL17'!$J$238:$J$451),0),
IF('TL18'!$B$3=M$3,SUMIF('TL18'!$C$10:$C$224,$C101,'TL18'!$J$10:$J$224),0),
IF('TL18'!$B$229=M$3,SUMIF('TL18'!$C$238:$C$451,$C101,'TL18'!$J$238:$J$451),0),
IF('TL19'!$B$3=M$3,SUMIF('TL19'!$C$10:$C$224,$C101,'TL19'!$J$10:$J$224),0),
IF('TL19'!$B$229=M$3,SUMIF('TL19'!$C$238:$C$451,$C101,'TL19'!$J$238:$J$451),0)
),0)</f>
        <v>0</v>
      </c>
      <c r="N101" s="9">
        <f>IFERROR(SUM(
IF('TL01'!$B$3=N$3,SUMIF('TL01'!$C$10:$C$224,$C101,'TL01'!$J$10:$J$224),0),
IF('TL01'!$B$229=N$3,SUMIF('TL01'!$C$238:$C$451,$C101,'TL01'!$J$238:$J$451),0),
IF('TL02'!$B$3=N$3,SUMIF('TL02'!$C$10:$C$224,$C101,'TL02'!$J$10:$J$224),0),
IF('TL02'!$B$229=N$3,SUMIF('TL02'!$C$238:$C$451,$C101,'TL02'!$J$238:$J$451),0),
IF('TL03'!$B$3=N$3,SUMIF('TL03'!$C$10:$C$224,$C101,'TL03'!$J$10:$J$224),0),
IF('TL03'!$B$229=N$3,SUMIF('TL03'!$C$238:$C$451,$C101,'TL03'!$J$238:$J$451),0),
IF('TL04'!$B$3=N$3,SUMIF('TL04'!$C$10:$C$224,$C101,'TL04'!$J$10:$J$224),0),
IF('TL04'!$B$229=N$3,SUMIF('TL04'!$C$238:$C$451,$C101,'TL04'!$J$238:$J$451),0),
IF('TL05'!$B$3=N$3,SUMIF('TL05'!$C$10:$C$224,$C101,'TL05'!$J$10:$J$224),0),
IF('TL05'!$B$229=N$3,SUMIF('TL05'!$C$238:$C$451,$C101,'TL05'!$J$238:$J$451),0),
IF('TL06'!$B$3=N$3,SUMIF('TL06'!$C$10:$C$224,$C101,'TL06'!$J$10:$J$224),0),
IF('TL06'!$B$229=N$3,SUMIF('TL06'!$C$238:$C$451,$C101,'TL06'!$J$238:$J$451),0),
IF('TL07'!$B$3=N$3,SUMIF('TL07'!$C$10:$C$224,$C101,'TL07'!$J$10:$J$224),0),
IF('TL07'!$B$229=N$3,SUMIF('TL07'!$C$238:$C$451,$C101,'TL07'!$J$238:$J$451),0),
IF('TL08'!$B$3=N$3,SUMIF('TL08'!$C$10:$C$224,$C101,'TL08'!$J$10:$J$224),0),
IF('TL08'!$B$229=N$3,SUMIF('TL08'!$C$238:$C$451,$C101,'TL08'!$J$238:$J$451),0),
IF('TL09'!$B$3=N$3,SUMIF('TL09'!$C$10:$C$224,$C101,'TL09'!$J$10:$J$224),0),
IF('TL09'!$B$229=N$3,SUMIF('TL09'!$C$238:$C$451,$C101,'TL09'!$J$238:$J$451),0),
IF('TL10'!$B$3=N$3,SUMIF('TL10'!$C$10:$C$224,$C101,'TL10'!$J$10:$J$224),0),
IF('TL10'!$B$229=N$3,SUMIF('TL10'!$C$238:$C$451,$C101,'TL10'!$J$238:$J$451),0),
IF('TL11'!$B$3=N$3,SUMIF('TL11'!$C$10:$C$224,$C101,'TL11'!$J$10:$J$224),0),
IF('TL11'!$B$229=N$3,SUMIF('TL11'!$C$238:$C$451,$C101,'TL11'!$J$238:$J$451),0),
IF('TL12'!$B$3=N$3,SUMIF('TL12'!$C$10:$C$224,$C101,'TL12'!$J$10:$J$224),0),
IF('TL12'!$B$229=N$3,SUMIF('TL12'!$C$238:$C$451,$C101,'TL12'!$J$238:$J$451),0),
IF('TL13'!$B$3=N$3,SUMIF('TL13'!$C$10:$C$224,$C101,'TL13'!$J$10:$J$224),0),
IF('TL13'!$B$229=N$3,SUMIF('TL13'!$C$238:$C$451,$C101,'TL13'!$J$238:$J$451),0),
IF('TL14'!$B$3=N$3,SUMIF('TL14'!$C$10:$C$224,$C101,'TL14'!$J$10:$J$224),0),
IF('TL14'!$B$229=N$3,SUMIF('TL14'!$C$238:$C$451,$C101,'TL14'!$J$238:$J$451),0),
IF('TL15'!$B$3=N$3,SUMIF('TL15'!$C$10:$C$224,$C101,'TL15'!$J$10:$J$224),0),
IF('TL15'!$B$229=N$3,SUMIF('TL15'!$C$238:$C$451,$C101,'TL15'!$J$238:$J$451),0),
IF('TL16'!$B$3=N$3,SUMIF('TL16'!$C$10:$C$224,$C101,'TL16'!$J$10:$J$224),0),
IF('TL16'!$B$229=N$3,SUMIF('TL16'!$C$238:$C$451,$C101,'TL16'!$J$238:$J$451),0),
IF('TL17'!$B$3=N$3,SUMIF('TL17'!$C$10:$C$224,$C101,'TL17'!$J$10:$J$224),0),
IF('TL17'!$B$229=N$3,SUMIF('TL17'!$C$238:$C$451,$C101,'TL17'!$J$238:$J$451),0),
IF('TL18'!$B$3=N$3,SUMIF('TL18'!$C$10:$C$224,$C101,'TL18'!$J$10:$J$224),0),
IF('TL18'!$B$229=N$3,SUMIF('TL18'!$C$238:$C$451,$C101,'TL18'!$J$238:$J$451),0),
IF('TL19'!$B$3=N$3,SUMIF('TL19'!$C$10:$C$224,$C101,'TL19'!$J$10:$J$224),0),
IF('TL19'!$B$229=N$3,SUMIF('TL19'!$C$238:$C$451,$C101,'TL19'!$J$238:$J$451),0)
),0)</f>
        <v>0</v>
      </c>
      <c r="O101" s="9">
        <f>IFERROR(SUM(
IF('TL01'!$B$3=O$3,SUMIF('TL01'!$C$10:$C$224,$C101,'TL01'!$J$10:$J$224),0),
IF('TL01'!$B$229=O$3,SUMIF('TL01'!$C$238:$C$451,$C101,'TL01'!$J$238:$J$451),0),
IF('TL02'!$B$3=O$3,SUMIF('TL02'!$C$10:$C$224,$C101,'TL02'!$J$10:$J$224),0),
IF('TL02'!$B$229=O$3,SUMIF('TL02'!$C$238:$C$451,$C101,'TL02'!$J$238:$J$451),0),
IF('TL03'!$B$3=O$3,SUMIF('TL03'!$C$10:$C$224,$C101,'TL03'!$J$10:$J$224),0),
IF('TL03'!$B$229=O$3,SUMIF('TL03'!$C$238:$C$451,$C101,'TL03'!$J$238:$J$451),0),
IF('TL04'!$B$3=O$3,SUMIF('TL04'!$C$10:$C$224,$C101,'TL04'!$J$10:$J$224),0),
IF('TL04'!$B$229=O$3,SUMIF('TL04'!$C$238:$C$451,$C101,'TL04'!$J$238:$J$451),0),
IF('TL05'!$B$3=O$3,SUMIF('TL05'!$C$10:$C$224,$C101,'TL05'!$J$10:$J$224),0),
IF('TL05'!$B$229=O$3,SUMIF('TL05'!$C$238:$C$451,$C101,'TL05'!$J$238:$J$451),0),
IF('TL06'!$B$3=O$3,SUMIF('TL06'!$C$10:$C$224,$C101,'TL06'!$J$10:$J$224),0),
IF('TL06'!$B$229=O$3,SUMIF('TL06'!$C$238:$C$451,$C101,'TL06'!$J$238:$J$451),0),
IF('TL07'!$B$3=O$3,SUMIF('TL07'!$C$10:$C$224,$C101,'TL07'!$J$10:$J$224),0),
IF('TL07'!$B$229=O$3,SUMIF('TL07'!$C$238:$C$451,$C101,'TL07'!$J$238:$J$451),0),
IF('TL08'!$B$3=O$3,SUMIF('TL08'!$C$10:$C$224,$C101,'TL08'!$J$10:$J$224),0),
IF('TL08'!$B$229=O$3,SUMIF('TL08'!$C$238:$C$451,$C101,'TL08'!$J$238:$J$451),0),
IF('TL09'!$B$3=O$3,SUMIF('TL09'!$C$10:$C$224,$C101,'TL09'!$J$10:$J$224),0),
IF('TL09'!$B$229=O$3,SUMIF('TL09'!$C$238:$C$451,$C101,'TL09'!$J$238:$J$451),0),
IF('TL10'!$B$3=O$3,SUMIF('TL10'!$C$10:$C$224,$C101,'TL10'!$J$10:$J$224),0),
IF('TL10'!$B$229=O$3,SUMIF('TL10'!$C$238:$C$451,$C101,'TL10'!$J$238:$J$451),0),
IF('TL11'!$B$3=O$3,SUMIF('TL11'!$C$10:$C$224,$C101,'TL11'!$J$10:$J$224),0),
IF('TL11'!$B$229=O$3,SUMIF('TL11'!$C$238:$C$451,$C101,'TL11'!$J$238:$J$451),0),
IF('TL12'!$B$3=O$3,SUMIF('TL12'!$C$10:$C$224,$C101,'TL12'!$J$10:$J$224),0),
IF('TL12'!$B$229=O$3,SUMIF('TL12'!$C$238:$C$451,$C101,'TL12'!$J$238:$J$451),0),
IF('TL13'!$B$3=O$3,SUMIF('TL13'!$C$10:$C$224,$C101,'TL13'!$J$10:$J$224),0),
IF('TL13'!$B$229=O$3,SUMIF('TL13'!$C$238:$C$451,$C101,'TL13'!$J$238:$J$451),0),
IF('TL14'!$B$3=O$3,SUMIF('TL14'!$C$10:$C$224,$C101,'TL14'!$J$10:$J$224),0),
IF('TL14'!$B$229=O$3,SUMIF('TL14'!$C$238:$C$451,$C101,'TL14'!$J$238:$J$451),0),
IF('TL15'!$B$3=O$3,SUMIF('TL15'!$C$10:$C$224,$C101,'TL15'!$J$10:$J$224),0),
IF('TL15'!$B$229=O$3,SUMIF('TL15'!$C$238:$C$451,$C101,'TL15'!$J$238:$J$451),0),
IF('TL16'!$B$3=O$3,SUMIF('TL16'!$C$10:$C$224,$C101,'TL16'!$J$10:$J$224),0),
IF('TL16'!$B$229=O$3,SUMIF('TL16'!$C$238:$C$451,$C101,'TL16'!$J$238:$J$451),0),
IF('TL17'!$B$3=O$3,SUMIF('TL17'!$C$10:$C$224,$C101,'TL17'!$J$10:$J$224),0),
IF('TL17'!$B$229=O$3,SUMIF('TL17'!$C$238:$C$451,$C101,'TL17'!$J$238:$J$451),0),
IF('TL18'!$B$3=O$3,SUMIF('TL18'!$C$10:$C$224,$C101,'TL18'!$J$10:$J$224),0),
IF('TL18'!$B$229=O$3,SUMIF('TL18'!$C$238:$C$451,$C101,'TL18'!$J$238:$J$451),0),
IF('TL19'!$B$3=O$3,SUMIF('TL19'!$C$10:$C$224,$C101,'TL19'!$J$10:$J$224),0),
IF('TL19'!$B$229=O$3,SUMIF('TL19'!$C$238:$C$451,$C101,'TL19'!$J$238:$J$451),0)
),0)</f>
        <v>0</v>
      </c>
      <c r="P101" s="9">
        <f>IFERROR(SUM(
IF('TL01'!$B$3=P$3,SUMIF('TL01'!$C$10:$C$224,$C101,'TL01'!$J$10:$J$224),0),
IF('TL01'!$B$229=P$3,SUMIF('TL01'!$C$238:$C$451,$C101,'TL01'!$J$238:$J$451),0),
IF('TL02'!$B$3=P$3,SUMIF('TL02'!$C$10:$C$224,$C101,'TL02'!$J$10:$J$224),0),
IF('TL02'!$B$229=P$3,SUMIF('TL02'!$C$238:$C$451,$C101,'TL02'!$J$238:$J$451),0),
IF('TL03'!$B$3=P$3,SUMIF('TL03'!$C$10:$C$224,$C101,'TL03'!$J$10:$J$224),0),
IF('TL03'!$B$229=P$3,SUMIF('TL03'!$C$238:$C$451,$C101,'TL03'!$J$238:$J$451),0),
IF('TL04'!$B$3=P$3,SUMIF('TL04'!$C$10:$C$224,$C101,'TL04'!$J$10:$J$224),0),
IF('TL04'!$B$229=P$3,SUMIF('TL04'!$C$238:$C$451,$C101,'TL04'!$J$238:$J$451),0),
IF('TL05'!$B$3=P$3,SUMIF('TL05'!$C$10:$C$224,$C101,'TL05'!$J$10:$J$224),0),
IF('TL05'!$B$229=P$3,SUMIF('TL05'!$C$238:$C$451,$C101,'TL05'!$J$238:$J$451),0),
IF('TL06'!$B$3=P$3,SUMIF('TL06'!$C$10:$C$224,$C101,'TL06'!$J$10:$J$224),0),
IF('TL06'!$B$229=P$3,SUMIF('TL06'!$C$238:$C$451,$C101,'TL06'!$J$238:$J$451),0),
IF('TL07'!$B$3=P$3,SUMIF('TL07'!$C$10:$C$224,$C101,'TL07'!$J$10:$J$224),0),
IF('TL07'!$B$229=P$3,SUMIF('TL07'!$C$238:$C$451,$C101,'TL07'!$J$238:$J$451),0),
IF('TL08'!$B$3=P$3,SUMIF('TL08'!$C$10:$C$224,$C101,'TL08'!$J$10:$J$224),0),
IF('TL08'!$B$229=P$3,SUMIF('TL08'!$C$238:$C$451,$C101,'TL08'!$J$238:$J$451),0),
IF('TL09'!$B$3=P$3,SUMIF('TL09'!$C$10:$C$224,$C101,'TL09'!$J$10:$J$224),0),
IF('TL09'!$B$229=P$3,SUMIF('TL09'!$C$238:$C$451,$C101,'TL09'!$J$238:$J$451),0),
IF('TL10'!$B$3=P$3,SUMIF('TL10'!$C$10:$C$224,$C101,'TL10'!$J$10:$J$224),0),
IF('TL10'!$B$229=P$3,SUMIF('TL10'!$C$238:$C$451,$C101,'TL10'!$J$238:$J$451),0),
IF('TL11'!$B$3=P$3,SUMIF('TL11'!$C$10:$C$224,$C101,'TL11'!$J$10:$J$224),0),
IF('TL11'!$B$229=P$3,SUMIF('TL11'!$C$238:$C$451,$C101,'TL11'!$J$238:$J$451),0),
IF('TL12'!$B$3=P$3,SUMIF('TL12'!$C$10:$C$224,$C101,'TL12'!$J$10:$J$224),0),
IF('TL12'!$B$229=P$3,SUMIF('TL12'!$C$238:$C$451,$C101,'TL12'!$J$238:$J$451),0),
IF('TL13'!$B$3=P$3,SUMIF('TL13'!$C$10:$C$224,$C101,'TL13'!$J$10:$J$224),0),
IF('TL13'!$B$229=P$3,SUMIF('TL13'!$C$238:$C$451,$C101,'TL13'!$J$238:$J$451),0),
IF('TL14'!$B$3=P$3,SUMIF('TL14'!$C$10:$C$224,$C101,'TL14'!$J$10:$J$224),0),
IF('TL14'!$B$229=P$3,SUMIF('TL14'!$C$238:$C$451,$C101,'TL14'!$J$238:$J$451),0),
IF('TL15'!$B$3=P$3,SUMIF('TL15'!$C$10:$C$224,$C101,'TL15'!$J$10:$J$224),0),
IF('TL15'!$B$229=P$3,SUMIF('TL15'!$C$238:$C$451,$C101,'TL15'!$J$238:$J$451),0),
IF('TL16'!$B$3=P$3,SUMIF('TL16'!$C$10:$C$224,$C101,'TL16'!$J$10:$J$224),0),
IF('TL16'!$B$229=P$3,SUMIF('TL16'!$C$238:$C$451,$C101,'TL16'!$J$238:$J$451),0),
IF('TL17'!$B$3=P$3,SUMIF('TL17'!$C$10:$C$224,$C101,'TL17'!$J$10:$J$224),0),
IF('TL17'!$B$229=P$3,SUMIF('TL17'!$C$238:$C$451,$C101,'TL17'!$J$238:$J$451),0),
IF('TL18'!$B$3=P$3,SUMIF('TL18'!$C$10:$C$224,$C101,'TL18'!$J$10:$J$224),0),
IF('TL18'!$B$229=P$3,SUMIF('TL18'!$C$238:$C$451,$C101,'TL18'!$J$238:$J$451),0),
IF('TL19'!$B$3=P$3,SUMIF('TL19'!$C$10:$C$224,$C101,'TL19'!$J$10:$J$224),0),
IF('TL19'!$B$229=P$3,SUMIF('TL19'!$C$238:$C$451,$C101,'TL19'!$J$238:$J$451),0)
),0)</f>
        <v>0</v>
      </c>
      <c r="Q101" s="9">
        <f>IFERROR(SUM(
IF('TL01'!$B$3=Q$3,SUMIF('TL01'!$C$10:$C$224,$C101,'TL01'!$J$10:$J$224),0),
IF('TL01'!$B$229=Q$3,SUMIF('TL01'!$C$238:$C$451,$C101,'TL01'!$J$238:$J$451),0),
IF('TL02'!$B$3=Q$3,SUMIF('TL02'!$C$10:$C$224,$C101,'TL02'!$J$10:$J$224),0),
IF('TL02'!$B$229=Q$3,SUMIF('TL02'!$C$238:$C$451,$C101,'TL02'!$J$238:$J$451),0),
IF('TL03'!$B$3=Q$3,SUMIF('TL03'!$C$10:$C$224,$C101,'TL03'!$J$10:$J$224),0),
IF('TL03'!$B$229=Q$3,SUMIF('TL03'!$C$238:$C$451,$C101,'TL03'!$J$238:$J$451),0),
IF('TL04'!$B$3=Q$3,SUMIF('TL04'!$C$10:$C$224,$C101,'TL04'!$J$10:$J$224),0),
IF('TL04'!$B$229=Q$3,SUMIF('TL04'!$C$238:$C$451,$C101,'TL04'!$J$238:$J$451),0),
IF('TL05'!$B$3=Q$3,SUMIF('TL05'!$C$10:$C$224,$C101,'TL05'!$J$10:$J$224),0),
IF('TL05'!$B$229=Q$3,SUMIF('TL05'!$C$238:$C$451,$C101,'TL05'!$J$238:$J$451),0),
IF('TL06'!$B$3=Q$3,SUMIF('TL06'!$C$10:$C$224,$C101,'TL06'!$J$10:$J$224),0),
IF('TL06'!$B$229=Q$3,SUMIF('TL06'!$C$238:$C$451,$C101,'TL06'!$J$238:$J$451),0),
IF('TL07'!$B$3=Q$3,SUMIF('TL07'!$C$10:$C$224,$C101,'TL07'!$J$10:$J$224),0),
IF('TL07'!$B$229=Q$3,SUMIF('TL07'!$C$238:$C$451,$C101,'TL07'!$J$238:$J$451),0),
IF('TL08'!$B$3=Q$3,SUMIF('TL08'!$C$10:$C$224,$C101,'TL08'!$J$10:$J$224),0),
IF('TL08'!$B$229=Q$3,SUMIF('TL08'!$C$238:$C$451,$C101,'TL08'!$J$238:$J$451),0),
IF('TL09'!$B$3=Q$3,SUMIF('TL09'!$C$10:$C$224,$C101,'TL09'!$J$10:$J$224),0),
IF('TL09'!$B$229=Q$3,SUMIF('TL09'!$C$238:$C$451,$C101,'TL09'!$J$238:$J$451),0),
IF('TL10'!$B$3=Q$3,SUMIF('TL10'!$C$10:$C$224,$C101,'TL10'!$J$10:$J$224),0),
IF('TL10'!$B$229=Q$3,SUMIF('TL10'!$C$238:$C$451,$C101,'TL10'!$J$238:$J$451),0),
IF('TL11'!$B$3=Q$3,SUMIF('TL11'!$C$10:$C$224,$C101,'TL11'!$J$10:$J$224),0),
IF('TL11'!$B$229=Q$3,SUMIF('TL11'!$C$238:$C$451,$C101,'TL11'!$J$238:$J$451),0),
IF('TL12'!$B$3=Q$3,SUMIF('TL12'!$C$10:$C$224,$C101,'TL12'!$J$10:$J$224),0),
IF('TL12'!$B$229=Q$3,SUMIF('TL12'!$C$238:$C$451,$C101,'TL12'!$J$238:$J$451),0),
IF('TL13'!$B$3=Q$3,SUMIF('TL13'!$C$10:$C$224,$C101,'TL13'!$J$10:$J$224),0),
IF('TL13'!$B$229=Q$3,SUMIF('TL13'!$C$238:$C$451,$C101,'TL13'!$J$238:$J$451),0),
IF('TL14'!$B$3=Q$3,SUMIF('TL14'!$C$10:$C$224,$C101,'TL14'!$J$10:$J$224),0),
IF('TL14'!$B$229=Q$3,SUMIF('TL14'!$C$238:$C$451,$C101,'TL14'!$J$238:$J$451),0),
IF('TL15'!$B$3=Q$3,SUMIF('TL15'!$C$10:$C$224,$C101,'TL15'!$J$10:$J$224),0),
IF('TL15'!$B$229=Q$3,SUMIF('TL15'!$C$238:$C$451,$C101,'TL15'!$J$238:$J$451),0),
IF('TL16'!$B$3=Q$3,SUMIF('TL16'!$C$10:$C$224,$C101,'TL16'!$J$10:$J$224),0),
IF('TL16'!$B$229=Q$3,SUMIF('TL16'!$C$238:$C$451,$C101,'TL16'!$J$238:$J$451),0),
IF('TL17'!$B$3=Q$3,SUMIF('TL17'!$C$10:$C$224,$C101,'TL17'!$J$10:$J$224),0),
IF('TL17'!$B$229=Q$3,SUMIF('TL17'!$C$238:$C$451,$C101,'TL17'!$J$238:$J$451),0),
IF('TL18'!$B$3=Q$3,SUMIF('TL18'!$C$10:$C$224,$C101,'TL18'!$J$10:$J$224),0),
IF('TL18'!$B$229=Q$3,SUMIF('TL18'!$C$238:$C$451,$C101,'TL18'!$J$238:$J$451),0),
IF('TL19'!$B$3=Q$3,SUMIF('TL19'!$C$10:$C$224,$C101,'TL19'!$J$10:$J$224),0),
IF('TL19'!$B$229=Q$3,SUMIF('TL19'!$C$238:$C$451,$C101,'TL19'!$J$238:$J$451),0)
),0)</f>
        <v>0</v>
      </c>
      <c r="R101" s="9">
        <f>IFERROR(
SUM(
SUMIF('TL01'!C:C,C101,'TL01'!J:J),
SUMIF('TL02'!C:C,C101,'TL02'!J:J),
SUMIF('TL03'!C:C,C101,'TL03'!J:J),
SUMIF('TL04'!C:C,C101,'TL04'!J:J),
SUMIF('TL05'!C:C,C101,'TL05'!J:J),
SUMIF('TL06'!C:C,C101,'TL06'!J:J),
SUMIF('TL07'!C:C,C101,'TL07'!J:J),
SUMIF('TL08'!C:C,C101,'TL08'!J:J),
SUMIF('TL09'!C:C,C101,'TL09'!J:J),
SUMIF('TL10'!C:C,C101,'TL10'!J:J),
SUMIF('TL11'!C:C,C101,'TL11'!J:J),
SUMIF('TL12'!C:C,C101,'TL12'!J:J),
SUMIF('TL13'!C:C,C101,'TL13'!J:J),
SUMIF('TL14'!C:C,C101,'TL14'!J:J),
SUMIF('TL15'!C:C,C101,'TL15'!J:J),
SUMIF('TL16'!C:C,C101,'TL16'!J:J),
SUMIF('TL17'!C:C,C101,'TL17'!J:J),
SUMIF('TL18'!C:C,C101,'TL18'!J:J),SUMIF('TL19'!C:C,C101,'TL19'!J:J))
,0)</f>
        <v>0</v>
      </c>
      <c r="S101" s="17">
        <f>IFERROR(__xludf.DUMMYFUNCTION("IFERROR(VLOOKUP(C101,
IMPORTRANGE(""1wULbzX32WdYsx-lj2U3uUNBBe2INVIRDtcK0d-Dvl90"",
""26-27!C:G""),
5,
FALSE),
"""")"),148.82832)</f>
        <v>148.82832</v>
      </c>
      <c r="T101" s="9"/>
      <c r="U101" s="92">
        <f t="shared" si="2"/>
        <v>0</v>
      </c>
      <c r="V101" s="93">
        <f t="shared" si="3"/>
        <v>0</v>
      </c>
    </row>
    <row r="102" ht="15.75" hidden="1" customHeight="1">
      <c r="A102" s="115" t="s">
        <v>358</v>
      </c>
      <c r="B102" s="100" t="s">
        <v>0</v>
      </c>
      <c r="C102" s="116" t="s">
        <v>596</v>
      </c>
      <c r="D102" s="116" t="s">
        <v>548</v>
      </c>
      <c r="E102" s="116" t="s">
        <v>569</v>
      </c>
      <c r="F102" s="4" t="s">
        <v>392</v>
      </c>
      <c r="G102" s="90" t="str">
        <f t="shared" si="4"/>
        <v>📄 Ver bula</v>
      </c>
      <c r="H102" s="9">
        <f>IFERROR(__xludf.DUMMYFUNCTION("IFERROR(VLOOKUP(C102,
IMPORTRANGE(""1wULbzX32WdYsx-lj2U3uUNBBe2INVIRDtcK0d-Dvl90"",
""26-27!C:K""),
8,
FALSE),
"""")"),0.4)</f>
        <v>0.4</v>
      </c>
      <c r="I102" s="117" t="s">
        <v>344</v>
      </c>
      <c r="J102" s="9">
        <f>IFERROR(SUM(
IF('TL01'!$B$3=J$3,SUMIF('TL01'!$C$10:$C$224,$C102,'TL01'!$J$10:$J$224),0),
IF('TL01'!$B$229=J$3,SUMIF('TL01'!$C$238:$C$451,$C102,'TL01'!$J$238:$J$451),0),
IF('TL02'!$B$3=J$3,SUMIF('TL02'!$C$10:$C$224,$C102,'TL02'!$J$10:$J$224),0),
IF('TL02'!$B$229=J$3,SUMIF('TL02'!$C$238:$C$451,$C102,'TL02'!$J$238:$J$451),0),
IF('TL03'!$B$3=J$3,SUMIF('TL03'!$C$10:$C$224,$C102,'TL03'!$J$10:$J$224),0),
IF('TL03'!$B$229=J$3,SUMIF('TL03'!$C$238:$C$451,$C102,'TL03'!$J$238:$J$451),0),
IF('TL04'!$B$3=J$3,SUMIF('TL04'!$C$10:$C$224,$C102,'TL04'!$J$10:$J$224),0),
IF('TL04'!$B$229=J$3,SUMIF('TL04'!$C$238:$C$451,$C102,'TL04'!$J$238:$J$451),0),
IF('TL05'!$B$3=J$3,SUMIF('TL05'!$C$10:$C$224,$C102,'TL05'!$J$10:$J$224),0),
IF('TL05'!$B$229=J$3,SUMIF('TL05'!$C$238:$C$451,$C102,'TL05'!$J$238:$J$451),0),
IF('TL06'!$B$3=J$3,SUMIF('TL06'!$C$10:$C$224,$C102,'TL06'!$J$10:$J$224),0),
IF('TL06'!$B$229=J$3,SUMIF('TL06'!$C$238:$C$451,$C102,'TL06'!$J$238:$J$451),0),
IF('TL07'!$B$3=J$3,SUMIF('TL07'!$C$10:$C$224,$C102,'TL07'!$J$10:$J$224),0),
IF('TL07'!$B$229=J$3,SUMIF('TL07'!$C$238:$C$451,$C102,'TL07'!$J$238:$J$451),0),
IF('TL08'!$B$3=J$3,SUMIF('TL08'!$C$10:$C$224,$C102,'TL08'!$J$10:$J$224),0),
IF('TL08'!$B$229=J$3,SUMIF('TL08'!$C$238:$C$451,$C102,'TL08'!$J$238:$J$451),0),
IF('TL09'!$B$3=J$3,SUMIF('TL09'!$C$10:$C$224,$C102,'TL09'!$J$10:$J$224),0),
IF('TL09'!$B$229=J$3,SUMIF('TL09'!$C$238:$C$451,$C102,'TL09'!$J$238:$J$451),0),
IF('TL10'!$B$3=J$3,SUMIF('TL10'!$C$10:$C$224,$C102,'TL10'!$J$10:$J$224),0),
IF('TL10'!$B$229=J$3,SUMIF('TL10'!$C$238:$C$451,$C102,'TL10'!$J$238:$J$451),0),
IF('TL11'!$B$3=J$3,SUMIF('TL11'!$C$10:$C$224,$C102,'TL11'!$J$10:$J$224),0),
IF('TL11'!$B$229=J$3,SUMIF('TL11'!$C$238:$C$451,$C102,'TL11'!$J$238:$J$451),0),
IF('TL12'!$B$3=J$3,SUMIF('TL12'!$C$10:$C$224,$C102,'TL12'!$J$10:$J$224),0),
IF('TL12'!$B$229=J$3,SUMIF('TL12'!$C$238:$C$451,$C102,'TL12'!$J$238:$J$451),0),
IF('TL13'!$B$3=J$3,SUMIF('TL13'!$C$10:$C$224,$C102,'TL13'!$J$10:$J$224),0),
IF('TL13'!$B$229=J$3,SUMIF('TL13'!$C$238:$C$451,$C102,'TL13'!$J$238:$J$451),0),
IF('TL14'!$B$3=J$3,SUMIF('TL14'!$C$10:$C$224,$C102,'TL14'!$J$10:$J$224),0),
IF('TL14'!$B$229=J$3,SUMIF('TL14'!$C$238:$C$451,$C102,'TL14'!$J$238:$J$451),0),
IF('TL15'!$B$3=J$3,SUMIF('TL15'!$C$10:$C$224,$C102,'TL15'!$J$10:$J$224),0),
IF('TL15'!$B$229=J$3,SUMIF('TL15'!$C$238:$C$451,$C102,'TL15'!$J$238:$J$451),0),
IF('TL16'!$B$3=J$3,SUMIF('TL16'!$C$10:$C$224,$C102,'TL16'!$J$10:$J$224),0),
IF('TL16'!$B$229=J$3,SUMIF('TL16'!$C$238:$C$451,$C102,'TL16'!$J$238:$J$451),0),
IF('TL17'!$B$3=J$3,SUMIF('TL17'!$C$10:$C$224,$C102,'TL17'!$J$10:$J$224),0),
IF('TL17'!$B$229=J$3,SUMIF('TL17'!$C$238:$C$451,$C102,'TL17'!$J$238:$J$451),0),
IF('TL18'!$B$3=J$3,SUMIF('TL18'!$C$10:$C$224,$C102,'TL18'!$J$10:$J$224),0),
IF('TL18'!$B$229=J$3,SUMIF('TL18'!$C$238:$C$451,$C102,'TL18'!$J$238:$J$451),0),
IF('TL19'!$B$3=J$3,SUMIF('TL19'!$C$10:$C$224,$C102,'TL19'!$J$10:$J$224),0),
IF('TL19'!$B$229=J$3,SUMIF('TL19'!$C$238:$C$451,$C102,'TL19'!$J$238:$J$451),0)
),0)</f>
        <v>0</v>
      </c>
      <c r="K102" s="9">
        <f>IFERROR(SUM(
IF('TL01'!$B$3=K$3,SUMIF('TL01'!$C$10:$C$224,$C102,'TL01'!$J$10:$J$224),0),
IF('TL01'!$B$229=K$3,SUMIF('TL01'!$C$238:$C$451,$C102,'TL01'!$J$238:$J$451),0),
IF('TL02'!$B$3=K$3,SUMIF('TL02'!$C$10:$C$224,$C102,'TL02'!$J$10:$J$224),0),
IF('TL02'!$B$229=K$3,SUMIF('TL02'!$C$238:$C$451,$C102,'TL02'!$J$238:$J$451),0),
IF('TL03'!$B$3=K$3,SUMIF('TL03'!$C$10:$C$224,$C102,'TL03'!$J$10:$J$224),0),
IF('TL03'!$B$229=K$3,SUMIF('TL03'!$C$238:$C$451,$C102,'TL03'!$J$238:$J$451),0),
IF('TL04'!$B$3=K$3,SUMIF('TL04'!$C$10:$C$224,$C102,'TL04'!$J$10:$J$224),0),
IF('TL04'!$B$229=K$3,SUMIF('TL04'!$C$238:$C$451,$C102,'TL04'!$J$238:$J$451),0),
IF('TL05'!$B$3=K$3,SUMIF('TL05'!$C$10:$C$224,$C102,'TL05'!$J$10:$J$224),0),
IF('TL05'!$B$229=K$3,SUMIF('TL05'!$C$238:$C$451,$C102,'TL05'!$J$238:$J$451),0),
IF('TL06'!$B$3=K$3,SUMIF('TL06'!$C$10:$C$224,$C102,'TL06'!$J$10:$J$224),0),
IF('TL06'!$B$229=K$3,SUMIF('TL06'!$C$238:$C$451,$C102,'TL06'!$J$238:$J$451),0),
IF('TL07'!$B$3=K$3,SUMIF('TL07'!$C$10:$C$224,$C102,'TL07'!$J$10:$J$224),0),
IF('TL07'!$B$229=K$3,SUMIF('TL07'!$C$238:$C$451,$C102,'TL07'!$J$238:$J$451),0),
IF('TL08'!$B$3=K$3,SUMIF('TL08'!$C$10:$C$224,$C102,'TL08'!$J$10:$J$224),0),
IF('TL08'!$B$229=K$3,SUMIF('TL08'!$C$238:$C$451,$C102,'TL08'!$J$238:$J$451),0),
IF('TL09'!$B$3=K$3,SUMIF('TL09'!$C$10:$C$224,$C102,'TL09'!$J$10:$J$224),0),
IF('TL09'!$B$229=K$3,SUMIF('TL09'!$C$238:$C$451,$C102,'TL09'!$J$238:$J$451),0),
IF('TL10'!$B$3=K$3,SUMIF('TL10'!$C$10:$C$224,$C102,'TL10'!$J$10:$J$224),0),
IF('TL10'!$B$229=K$3,SUMIF('TL10'!$C$238:$C$451,$C102,'TL10'!$J$238:$J$451),0),
IF('TL11'!$B$3=K$3,SUMIF('TL11'!$C$10:$C$224,$C102,'TL11'!$J$10:$J$224),0),
IF('TL11'!$B$229=K$3,SUMIF('TL11'!$C$238:$C$451,$C102,'TL11'!$J$238:$J$451),0),
IF('TL12'!$B$3=K$3,SUMIF('TL12'!$C$10:$C$224,$C102,'TL12'!$J$10:$J$224),0),
IF('TL12'!$B$229=K$3,SUMIF('TL12'!$C$238:$C$451,$C102,'TL12'!$J$238:$J$451),0),
IF('TL13'!$B$3=K$3,SUMIF('TL13'!$C$10:$C$224,$C102,'TL13'!$J$10:$J$224),0),
IF('TL13'!$B$229=K$3,SUMIF('TL13'!$C$238:$C$451,$C102,'TL13'!$J$238:$J$451),0),
IF('TL14'!$B$3=K$3,SUMIF('TL14'!$C$10:$C$224,$C102,'TL14'!$J$10:$J$224),0),
IF('TL14'!$B$229=K$3,SUMIF('TL14'!$C$238:$C$451,$C102,'TL14'!$J$238:$J$451),0),
IF('TL15'!$B$3=K$3,SUMIF('TL15'!$C$10:$C$224,$C102,'TL15'!$J$10:$J$224),0),
IF('TL15'!$B$229=K$3,SUMIF('TL15'!$C$238:$C$451,$C102,'TL15'!$J$238:$J$451),0),
IF('TL16'!$B$3=K$3,SUMIF('TL16'!$C$10:$C$224,$C102,'TL16'!$J$10:$J$224),0),
IF('TL16'!$B$229=K$3,SUMIF('TL16'!$C$238:$C$451,$C102,'TL16'!$J$238:$J$451),0),
IF('TL17'!$B$3=K$3,SUMIF('TL17'!$C$10:$C$224,$C102,'TL17'!$J$10:$J$224),0),
IF('TL17'!$B$229=K$3,SUMIF('TL17'!$C$238:$C$451,$C102,'TL17'!$J$238:$J$451),0),
IF('TL18'!$B$3=K$3,SUMIF('TL18'!$C$10:$C$224,$C102,'TL18'!$J$10:$J$224),0),
IF('TL18'!$B$229=K$3,SUMIF('TL18'!$C$238:$C$451,$C102,'TL18'!$J$238:$J$451),0),
IF('TL19'!$B$3=K$3,SUMIF('TL19'!$C$10:$C$224,$C102,'TL19'!$J$10:$J$224),0),
IF('TL19'!$B$229=K$3,SUMIF('TL19'!$C$238:$C$451,$C102,'TL19'!$J$238:$J$451),0)
),0)</f>
        <v>0</v>
      </c>
      <c r="L102" s="9">
        <f>IFERROR(SUM(
IF('TL01'!$B$3=L$3,SUMIF('TL01'!$C$10:$C$224,$C102,'TL01'!$J$10:$J$224),0),
IF('TL01'!$B$229=L$3,SUMIF('TL01'!$C$238:$C$451,$C102,'TL01'!$J$238:$J$451),0),
IF('TL02'!$B$3=L$3,SUMIF('TL02'!$C$10:$C$224,$C102,'TL02'!$J$10:$J$224),0),
IF('TL02'!$B$229=L$3,SUMIF('TL02'!$C$238:$C$451,$C102,'TL02'!$J$238:$J$451),0),
IF('TL03'!$B$3=L$3,SUMIF('TL03'!$C$10:$C$224,$C102,'TL03'!$J$10:$J$224),0),
IF('TL03'!$B$229=L$3,SUMIF('TL03'!$C$238:$C$451,$C102,'TL03'!$J$238:$J$451),0),
IF('TL04'!$B$3=L$3,SUMIF('TL04'!$C$10:$C$224,$C102,'TL04'!$J$10:$J$224),0),
IF('TL04'!$B$229=L$3,SUMIF('TL04'!$C$238:$C$451,$C102,'TL04'!$J$238:$J$451),0),
IF('TL05'!$B$3=L$3,SUMIF('TL05'!$C$10:$C$224,$C102,'TL05'!$J$10:$J$224),0),
IF('TL05'!$B$229=L$3,SUMIF('TL05'!$C$238:$C$451,$C102,'TL05'!$J$238:$J$451),0),
IF('TL06'!$B$3=L$3,SUMIF('TL06'!$C$10:$C$224,$C102,'TL06'!$J$10:$J$224),0),
IF('TL06'!$B$229=L$3,SUMIF('TL06'!$C$238:$C$451,$C102,'TL06'!$J$238:$J$451),0),
IF('TL07'!$B$3=L$3,SUMIF('TL07'!$C$10:$C$224,$C102,'TL07'!$J$10:$J$224),0),
IF('TL07'!$B$229=L$3,SUMIF('TL07'!$C$238:$C$451,$C102,'TL07'!$J$238:$J$451),0),
IF('TL08'!$B$3=L$3,SUMIF('TL08'!$C$10:$C$224,$C102,'TL08'!$J$10:$J$224),0),
IF('TL08'!$B$229=L$3,SUMIF('TL08'!$C$238:$C$451,$C102,'TL08'!$J$238:$J$451),0),
IF('TL09'!$B$3=L$3,SUMIF('TL09'!$C$10:$C$224,$C102,'TL09'!$J$10:$J$224),0),
IF('TL09'!$B$229=L$3,SUMIF('TL09'!$C$238:$C$451,$C102,'TL09'!$J$238:$J$451),0),
IF('TL10'!$B$3=L$3,SUMIF('TL10'!$C$10:$C$224,$C102,'TL10'!$J$10:$J$224),0),
IF('TL10'!$B$229=L$3,SUMIF('TL10'!$C$238:$C$451,$C102,'TL10'!$J$238:$J$451),0),
IF('TL11'!$B$3=L$3,SUMIF('TL11'!$C$10:$C$224,$C102,'TL11'!$J$10:$J$224),0),
IF('TL11'!$B$229=L$3,SUMIF('TL11'!$C$238:$C$451,$C102,'TL11'!$J$238:$J$451),0),
IF('TL12'!$B$3=L$3,SUMIF('TL12'!$C$10:$C$224,$C102,'TL12'!$J$10:$J$224),0),
IF('TL12'!$B$229=L$3,SUMIF('TL12'!$C$238:$C$451,$C102,'TL12'!$J$238:$J$451),0),
IF('TL13'!$B$3=L$3,SUMIF('TL13'!$C$10:$C$224,$C102,'TL13'!$J$10:$J$224),0),
IF('TL13'!$B$229=L$3,SUMIF('TL13'!$C$238:$C$451,$C102,'TL13'!$J$238:$J$451),0),
IF('TL14'!$B$3=L$3,SUMIF('TL14'!$C$10:$C$224,$C102,'TL14'!$J$10:$J$224),0),
IF('TL14'!$B$229=L$3,SUMIF('TL14'!$C$238:$C$451,$C102,'TL14'!$J$238:$J$451),0),
IF('TL15'!$B$3=L$3,SUMIF('TL15'!$C$10:$C$224,$C102,'TL15'!$J$10:$J$224),0),
IF('TL15'!$B$229=L$3,SUMIF('TL15'!$C$238:$C$451,$C102,'TL15'!$J$238:$J$451),0),
IF('TL16'!$B$3=L$3,SUMIF('TL16'!$C$10:$C$224,$C102,'TL16'!$J$10:$J$224),0),
IF('TL16'!$B$229=L$3,SUMIF('TL16'!$C$238:$C$451,$C102,'TL16'!$J$238:$J$451),0),
IF('TL17'!$B$3=L$3,SUMIF('TL17'!$C$10:$C$224,$C102,'TL17'!$J$10:$J$224),0),
IF('TL17'!$B$229=L$3,SUMIF('TL17'!$C$238:$C$451,$C102,'TL17'!$J$238:$J$451),0),
IF('TL18'!$B$3=L$3,SUMIF('TL18'!$C$10:$C$224,$C102,'TL18'!$J$10:$J$224),0),
IF('TL18'!$B$229=L$3,SUMIF('TL18'!$C$238:$C$451,$C102,'TL18'!$J$238:$J$451),0),
IF('TL19'!$B$3=L$3,SUMIF('TL19'!$C$10:$C$224,$C102,'TL19'!$J$10:$J$224),0),
IF('TL19'!$B$229=L$3,SUMIF('TL19'!$C$238:$C$451,$C102,'TL19'!$J$238:$J$451),0)
),0)</f>
        <v>0</v>
      </c>
      <c r="M102" s="9">
        <f>IFERROR(SUM(
IF('TL01'!$B$3=M$3,SUMIF('TL01'!$C$10:$C$224,$C102,'TL01'!$J$10:$J$224),0),
IF('TL01'!$B$229=M$3,SUMIF('TL01'!$C$238:$C$451,$C102,'TL01'!$J$238:$J$451),0),
IF('TL02'!$B$3=M$3,SUMIF('TL02'!$C$10:$C$224,$C102,'TL02'!$J$10:$J$224),0),
IF('TL02'!$B$229=M$3,SUMIF('TL02'!$C$238:$C$451,$C102,'TL02'!$J$238:$J$451),0),
IF('TL03'!$B$3=M$3,SUMIF('TL03'!$C$10:$C$224,$C102,'TL03'!$J$10:$J$224),0),
IF('TL03'!$B$229=M$3,SUMIF('TL03'!$C$238:$C$451,$C102,'TL03'!$J$238:$J$451),0),
IF('TL04'!$B$3=M$3,SUMIF('TL04'!$C$10:$C$224,$C102,'TL04'!$J$10:$J$224),0),
IF('TL04'!$B$229=M$3,SUMIF('TL04'!$C$238:$C$451,$C102,'TL04'!$J$238:$J$451),0),
IF('TL05'!$B$3=M$3,SUMIF('TL05'!$C$10:$C$224,$C102,'TL05'!$J$10:$J$224),0),
IF('TL05'!$B$229=M$3,SUMIF('TL05'!$C$238:$C$451,$C102,'TL05'!$J$238:$J$451),0),
IF('TL06'!$B$3=M$3,SUMIF('TL06'!$C$10:$C$224,$C102,'TL06'!$J$10:$J$224),0),
IF('TL06'!$B$229=M$3,SUMIF('TL06'!$C$238:$C$451,$C102,'TL06'!$J$238:$J$451),0),
IF('TL07'!$B$3=M$3,SUMIF('TL07'!$C$10:$C$224,$C102,'TL07'!$J$10:$J$224),0),
IF('TL07'!$B$229=M$3,SUMIF('TL07'!$C$238:$C$451,$C102,'TL07'!$J$238:$J$451),0),
IF('TL08'!$B$3=M$3,SUMIF('TL08'!$C$10:$C$224,$C102,'TL08'!$J$10:$J$224),0),
IF('TL08'!$B$229=M$3,SUMIF('TL08'!$C$238:$C$451,$C102,'TL08'!$J$238:$J$451),0),
IF('TL09'!$B$3=M$3,SUMIF('TL09'!$C$10:$C$224,$C102,'TL09'!$J$10:$J$224),0),
IF('TL09'!$B$229=M$3,SUMIF('TL09'!$C$238:$C$451,$C102,'TL09'!$J$238:$J$451),0),
IF('TL10'!$B$3=M$3,SUMIF('TL10'!$C$10:$C$224,$C102,'TL10'!$J$10:$J$224),0),
IF('TL10'!$B$229=M$3,SUMIF('TL10'!$C$238:$C$451,$C102,'TL10'!$J$238:$J$451),0),
IF('TL11'!$B$3=M$3,SUMIF('TL11'!$C$10:$C$224,$C102,'TL11'!$J$10:$J$224),0),
IF('TL11'!$B$229=M$3,SUMIF('TL11'!$C$238:$C$451,$C102,'TL11'!$J$238:$J$451),0),
IF('TL12'!$B$3=M$3,SUMIF('TL12'!$C$10:$C$224,$C102,'TL12'!$J$10:$J$224),0),
IF('TL12'!$B$229=M$3,SUMIF('TL12'!$C$238:$C$451,$C102,'TL12'!$J$238:$J$451),0),
IF('TL13'!$B$3=M$3,SUMIF('TL13'!$C$10:$C$224,$C102,'TL13'!$J$10:$J$224),0),
IF('TL13'!$B$229=M$3,SUMIF('TL13'!$C$238:$C$451,$C102,'TL13'!$J$238:$J$451),0),
IF('TL14'!$B$3=M$3,SUMIF('TL14'!$C$10:$C$224,$C102,'TL14'!$J$10:$J$224),0),
IF('TL14'!$B$229=M$3,SUMIF('TL14'!$C$238:$C$451,$C102,'TL14'!$J$238:$J$451),0),
IF('TL15'!$B$3=M$3,SUMIF('TL15'!$C$10:$C$224,$C102,'TL15'!$J$10:$J$224),0),
IF('TL15'!$B$229=M$3,SUMIF('TL15'!$C$238:$C$451,$C102,'TL15'!$J$238:$J$451),0),
IF('TL16'!$B$3=M$3,SUMIF('TL16'!$C$10:$C$224,$C102,'TL16'!$J$10:$J$224),0),
IF('TL16'!$B$229=M$3,SUMIF('TL16'!$C$238:$C$451,$C102,'TL16'!$J$238:$J$451),0),
IF('TL17'!$B$3=M$3,SUMIF('TL17'!$C$10:$C$224,$C102,'TL17'!$J$10:$J$224),0),
IF('TL17'!$B$229=M$3,SUMIF('TL17'!$C$238:$C$451,$C102,'TL17'!$J$238:$J$451),0),
IF('TL18'!$B$3=M$3,SUMIF('TL18'!$C$10:$C$224,$C102,'TL18'!$J$10:$J$224),0),
IF('TL18'!$B$229=M$3,SUMIF('TL18'!$C$238:$C$451,$C102,'TL18'!$J$238:$J$451),0),
IF('TL19'!$B$3=M$3,SUMIF('TL19'!$C$10:$C$224,$C102,'TL19'!$J$10:$J$224),0),
IF('TL19'!$B$229=M$3,SUMIF('TL19'!$C$238:$C$451,$C102,'TL19'!$J$238:$J$451),0)
),0)</f>
        <v>0</v>
      </c>
      <c r="N102" s="9">
        <f>IFERROR(SUM(
IF('TL01'!$B$3=N$3,SUMIF('TL01'!$C$10:$C$224,$C102,'TL01'!$J$10:$J$224),0),
IF('TL01'!$B$229=N$3,SUMIF('TL01'!$C$238:$C$451,$C102,'TL01'!$J$238:$J$451),0),
IF('TL02'!$B$3=N$3,SUMIF('TL02'!$C$10:$C$224,$C102,'TL02'!$J$10:$J$224),0),
IF('TL02'!$B$229=N$3,SUMIF('TL02'!$C$238:$C$451,$C102,'TL02'!$J$238:$J$451),0),
IF('TL03'!$B$3=N$3,SUMIF('TL03'!$C$10:$C$224,$C102,'TL03'!$J$10:$J$224),0),
IF('TL03'!$B$229=N$3,SUMIF('TL03'!$C$238:$C$451,$C102,'TL03'!$J$238:$J$451),0),
IF('TL04'!$B$3=N$3,SUMIF('TL04'!$C$10:$C$224,$C102,'TL04'!$J$10:$J$224),0),
IF('TL04'!$B$229=N$3,SUMIF('TL04'!$C$238:$C$451,$C102,'TL04'!$J$238:$J$451),0),
IF('TL05'!$B$3=N$3,SUMIF('TL05'!$C$10:$C$224,$C102,'TL05'!$J$10:$J$224),0),
IF('TL05'!$B$229=N$3,SUMIF('TL05'!$C$238:$C$451,$C102,'TL05'!$J$238:$J$451),0),
IF('TL06'!$B$3=N$3,SUMIF('TL06'!$C$10:$C$224,$C102,'TL06'!$J$10:$J$224),0),
IF('TL06'!$B$229=N$3,SUMIF('TL06'!$C$238:$C$451,$C102,'TL06'!$J$238:$J$451),0),
IF('TL07'!$B$3=N$3,SUMIF('TL07'!$C$10:$C$224,$C102,'TL07'!$J$10:$J$224),0),
IF('TL07'!$B$229=N$3,SUMIF('TL07'!$C$238:$C$451,$C102,'TL07'!$J$238:$J$451),0),
IF('TL08'!$B$3=N$3,SUMIF('TL08'!$C$10:$C$224,$C102,'TL08'!$J$10:$J$224),0),
IF('TL08'!$B$229=N$3,SUMIF('TL08'!$C$238:$C$451,$C102,'TL08'!$J$238:$J$451),0),
IF('TL09'!$B$3=N$3,SUMIF('TL09'!$C$10:$C$224,$C102,'TL09'!$J$10:$J$224),0),
IF('TL09'!$B$229=N$3,SUMIF('TL09'!$C$238:$C$451,$C102,'TL09'!$J$238:$J$451),0),
IF('TL10'!$B$3=N$3,SUMIF('TL10'!$C$10:$C$224,$C102,'TL10'!$J$10:$J$224),0),
IF('TL10'!$B$229=N$3,SUMIF('TL10'!$C$238:$C$451,$C102,'TL10'!$J$238:$J$451),0),
IF('TL11'!$B$3=N$3,SUMIF('TL11'!$C$10:$C$224,$C102,'TL11'!$J$10:$J$224),0),
IF('TL11'!$B$229=N$3,SUMIF('TL11'!$C$238:$C$451,$C102,'TL11'!$J$238:$J$451),0),
IF('TL12'!$B$3=N$3,SUMIF('TL12'!$C$10:$C$224,$C102,'TL12'!$J$10:$J$224),0),
IF('TL12'!$B$229=N$3,SUMIF('TL12'!$C$238:$C$451,$C102,'TL12'!$J$238:$J$451),0),
IF('TL13'!$B$3=N$3,SUMIF('TL13'!$C$10:$C$224,$C102,'TL13'!$J$10:$J$224),0),
IF('TL13'!$B$229=N$3,SUMIF('TL13'!$C$238:$C$451,$C102,'TL13'!$J$238:$J$451),0),
IF('TL14'!$B$3=N$3,SUMIF('TL14'!$C$10:$C$224,$C102,'TL14'!$J$10:$J$224),0),
IF('TL14'!$B$229=N$3,SUMIF('TL14'!$C$238:$C$451,$C102,'TL14'!$J$238:$J$451),0),
IF('TL15'!$B$3=N$3,SUMIF('TL15'!$C$10:$C$224,$C102,'TL15'!$J$10:$J$224),0),
IF('TL15'!$B$229=N$3,SUMIF('TL15'!$C$238:$C$451,$C102,'TL15'!$J$238:$J$451),0),
IF('TL16'!$B$3=N$3,SUMIF('TL16'!$C$10:$C$224,$C102,'TL16'!$J$10:$J$224),0),
IF('TL16'!$B$229=N$3,SUMIF('TL16'!$C$238:$C$451,$C102,'TL16'!$J$238:$J$451),0),
IF('TL17'!$B$3=N$3,SUMIF('TL17'!$C$10:$C$224,$C102,'TL17'!$J$10:$J$224),0),
IF('TL17'!$B$229=N$3,SUMIF('TL17'!$C$238:$C$451,$C102,'TL17'!$J$238:$J$451),0),
IF('TL18'!$B$3=N$3,SUMIF('TL18'!$C$10:$C$224,$C102,'TL18'!$J$10:$J$224),0),
IF('TL18'!$B$229=N$3,SUMIF('TL18'!$C$238:$C$451,$C102,'TL18'!$J$238:$J$451),0),
IF('TL19'!$B$3=N$3,SUMIF('TL19'!$C$10:$C$224,$C102,'TL19'!$J$10:$J$224),0),
IF('TL19'!$B$229=N$3,SUMIF('TL19'!$C$238:$C$451,$C102,'TL19'!$J$238:$J$451),0)
),0)</f>
        <v>0</v>
      </c>
      <c r="O102" s="9">
        <f>IFERROR(SUM(
IF('TL01'!$B$3=O$3,SUMIF('TL01'!$C$10:$C$224,$C102,'TL01'!$J$10:$J$224),0),
IF('TL01'!$B$229=O$3,SUMIF('TL01'!$C$238:$C$451,$C102,'TL01'!$J$238:$J$451),0),
IF('TL02'!$B$3=O$3,SUMIF('TL02'!$C$10:$C$224,$C102,'TL02'!$J$10:$J$224),0),
IF('TL02'!$B$229=O$3,SUMIF('TL02'!$C$238:$C$451,$C102,'TL02'!$J$238:$J$451),0),
IF('TL03'!$B$3=O$3,SUMIF('TL03'!$C$10:$C$224,$C102,'TL03'!$J$10:$J$224),0),
IF('TL03'!$B$229=O$3,SUMIF('TL03'!$C$238:$C$451,$C102,'TL03'!$J$238:$J$451),0),
IF('TL04'!$B$3=O$3,SUMIF('TL04'!$C$10:$C$224,$C102,'TL04'!$J$10:$J$224),0),
IF('TL04'!$B$229=O$3,SUMIF('TL04'!$C$238:$C$451,$C102,'TL04'!$J$238:$J$451),0),
IF('TL05'!$B$3=O$3,SUMIF('TL05'!$C$10:$C$224,$C102,'TL05'!$J$10:$J$224),0),
IF('TL05'!$B$229=O$3,SUMIF('TL05'!$C$238:$C$451,$C102,'TL05'!$J$238:$J$451),0),
IF('TL06'!$B$3=O$3,SUMIF('TL06'!$C$10:$C$224,$C102,'TL06'!$J$10:$J$224),0),
IF('TL06'!$B$229=O$3,SUMIF('TL06'!$C$238:$C$451,$C102,'TL06'!$J$238:$J$451),0),
IF('TL07'!$B$3=O$3,SUMIF('TL07'!$C$10:$C$224,$C102,'TL07'!$J$10:$J$224),0),
IF('TL07'!$B$229=O$3,SUMIF('TL07'!$C$238:$C$451,$C102,'TL07'!$J$238:$J$451),0),
IF('TL08'!$B$3=O$3,SUMIF('TL08'!$C$10:$C$224,$C102,'TL08'!$J$10:$J$224),0),
IF('TL08'!$B$229=O$3,SUMIF('TL08'!$C$238:$C$451,$C102,'TL08'!$J$238:$J$451),0),
IF('TL09'!$B$3=O$3,SUMIF('TL09'!$C$10:$C$224,$C102,'TL09'!$J$10:$J$224),0),
IF('TL09'!$B$229=O$3,SUMIF('TL09'!$C$238:$C$451,$C102,'TL09'!$J$238:$J$451),0),
IF('TL10'!$B$3=O$3,SUMIF('TL10'!$C$10:$C$224,$C102,'TL10'!$J$10:$J$224),0),
IF('TL10'!$B$229=O$3,SUMIF('TL10'!$C$238:$C$451,$C102,'TL10'!$J$238:$J$451),0),
IF('TL11'!$B$3=O$3,SUMIF('TL11'!$C$10:$C$224,$C102,'TL11'!$J$10:$J$224),0),
IF('TL11'!$B$229=O$3,SUMIF('TL11'!$C$238:$C$451,$C102,'TL11'!$J$238:$J$451),0),
IF('TL12'!$B$3=O$3,SUMIF('TL12'!$C$10:$C$224,$C102,'TL12'!$J$10:$J$224),0),
IF('TL12'!$B$229=O$3,SUMIF('TL12'!$C$238:$C$451,$C102,'TL12'!$J$238:$J$451),0),
IF('TL13'!$B$3=O$3,SUMIF('TL13'!$C$10:$C$224,$C102,'TL13'!$J$10:$J$224),0),
IF('TL13'!$B$229=O$3,SUMIF('TL13'!$C$238:$C$451,$C102,'TL13'!$J$238:$J$451),0),
IF('TL14'!$B$3=O$3,SUMIF('TL14'!$C$10:$C$224,$C102,'TL14'!$J$10:$J$224),0),
IF('TL14'!$B$229=O$3,SUMIF('TL14'!$C$238:$C$451,$C102,'TL14'!$J$238:$J$451),0),
IF('TL15'!$B$3=O$3,SUMIF('TL15'!$C$10:$C$224,$C102,'TL15'!$J$10:$J$224),0),
IF('TL15'!$B$229=O$3,SUMIF('TL15'!$C$238:$C$451,$C102,'TL15'!$J$238:$J$451),0),
IF('TL16'!$B$3=O$3,SUMIF('TL16'!$C$10:$C$224,$C102,'TL16'!$J$10:$J$224),0),
IF('TL16'!$B$229=O$3,SUMIF('TL16'!$C$238:$C$451,$C102,'TL16'!$J$238:$J$451),0),
IF('TL17'!$B$3=O$3,SUMIF('TL17'!$C$10:$C$224,$C102,'TL17'!$J$10:$J$224),0),
IF('TL17'!$B$229=O$3,SUMIF('TL17'!$C$238:$C$451,$C102,'TL17'!$J$238:$J$451),0),
IF('TL18'!$B$3=O$3,SUMIF('TL18'!$C$10:$C$224,$C102,'TL18'!$J$10:$J$224),0),
IF('TL18'!$B$229=O$3,SUMIF('TL18'!$C$238:$C$451,$C102,'TL18'!$J$238:$J$451),0),
IF('TL19'!$B$3=O$3,SUMIF('TL19'!$C$10:$C$224,$C102,'TL19'!$J$10:$J$224),0),
IF('TL19'!$B$229=O$3,SUMIF('TL19'!$C$238:$C$451,$C102,'TL19'!$J$238:$J$451),0)
),0)</f>
        <v>0</v>
      </c>
      <c r="P102" s="9">
        <f>IFERROR(SUM(
IF('TL01'!$B$3=P$3,SUMIF('TL01'!$C$10:$C$224,$C102,'TL01'!$J$10:$J$224),0),
IF('TL01'!$B$229=P$3,SUMIF('TL01'!$C$238:$C$451,$C102,'TL01'!$J$238:$J$451),0),
IF('TL02'!$B$3=P$3,SUMIF('TL02'!$C$10:$C$224,$C102,'TL02'!$J$10:$J$224),0),
IF('TL02'!$B$229=P$3,SUMIF('TL02'!$C$238:$C$451,$C102,'TL02'!$J$238:$J$451),0),
IF('TL03'!$B$3=P$3,SUMIF('TL03'!$C$10:$C$224,$C102,'TL03'!$J$10:$J$224),0),
IF('TL03'!$B$229=P$3,SUMIF('TL03'!$C$238:$C$451,$C102,'TL03'!$J$238:$J$451),0),
IF('TL04'!$B$3=P$3,SUMIF('TL04'!$C$10:$C$224,$C102,'TL04'!$J$10:$J$224),0),
IF('TL04'!$B$229=P$3,SUMIF('TL04'!$C$238:$C$451,$C102,'TL04'!$J$238:$J$451),0),
IF('TL05'!$B$3=P$3,SUMIF('TL05'!$C$10:$C$224,$C102,'TL05'!$J$10:$J$224),0),
IF('TL05'!$B$229=P$3,SUMIF('TL05'!$C$238:$C$451,$C102,'TL05'!$J$238:$J$451),0),
IF('TL06'!$B$3=P$3,SUMIF('TL06'!$C$10:$C$224,$C102,'TL06'!$J$10:$J$224),0),
IF('TL06'!$B$229=P$3,SUMIF('TL06'!$C$238:$C$451,$C102,'TL06'!$J$238:$J$451),0),
IF('TL07'!$B$3=P$3,SUMIF('TL07'!$C$10:$C$224,$C102,'TL07'!$J$10:$J$224),0),
IF('TL07'!$B$229=P$3,SUMIF('TL07'!$C$238:$C$451,$C102,'TL07'!$J$238:$J$451),0),
IF('TL08'!$B$3=P$3,SUMIF('TL08'!$C$10:$C$224,$C102,'TL08'!$J$10:$J$224),0),
IF('TL08'!$B$229=P$3,SUMIF('TL08'!$C$238:$C$451,$C102,'TL08'!$J$238:$J$451),0),
IF('TL09'!$B$3=P$3,SUMIF('TL09'!$C$10:$C$224,$C102,'TL09'!$J$10:$J$224),0),
IF('TL09'!$B$229=P$3,SUMIF('TL09'!$C$238:$C$451,$C102,'TL09'!$J$238:$J$451),0),
IF('TL10'!$B$3=P$3,SUMIF('TL10'!$C$10:$C$224,$C102,'TL10'!$J$10:$J$224),0),
IF('TL10'!$B$229=P$3,SUMIF('TL10'!$C$238:$C$451,$C102,'TL10'!$J$238:$J$451),0),
IF('TL11'!$B$3=P$3,SUMIF('TL11'!$C$10:$C$224,$C102,'TL11'!$J$10:$J$224),0),
IF('TL11'!$B$229=P$3,SUMIF('TL11'!$C$238:$C$451,$C102,'TL11'!$J$238:$J$451),0),
IF('TL12'!$B$3=P$3,SUMIF('TL12'!$C$10:$C$224,$C102,'TL12'!$J$10:$J$224),0),
IF('TL12'!$B$229=P$3,SUMIF('TL12'!$C$238:$C$451,$C102,'TL12'!$J$238:$J$451),0),
IF('TL13'!$B$3=P$3,SUMIF('TL13'!$C$10:$C$224,$C102,'TL13'!$J$10:$J$224),0),
IF('TL13'!$B$229=P$3,SUMIF('TL13'!$C$238:$C$451,$C102,'TL13'!$J$238:$J$451),0),
IF('TL14'!$B$3=P$3,SUMIF('TL14'!$C$10:$C$224,$C102,'TL14'!$J$10:$J$224),0),
IF('TL14'!$B$229=P$3,SUMIF('TL14'!$C$238:$C$451,$C102,'TL14'!$J$238:$J$451),0),
IF('TL15'!$B$3=P$3,SUMIF('TL15'!$C$10:$C$224,$C102,'TL15'!$J$10:$J$224),0),
IF('TL15'!$B$229=P$3,SUMIF('TL15'!$C$238:$C$451,$C102,'TL15'!$J$238:$J$451),0),
IF('TL16'!$B$3=P$3,SUMIF('TL16'!$C$10:$C$224,$C102,'TL16'!$J$10:$J$224),0),
IF('TL16'!$B$229=P$3,SUMIF('TL16'!$C$238:$C$451,$C102,'TL16'!$J$238:$J$451),0),
IF('TL17'!$B$3=P$3,SUMIF('TL17'!$C$10:$C$224,$C102,'TL17'!$J$10:$J$224),0),
IF('TL17'!$B$229=P$3,SUMIF('TL17'!$C$238:$C$451,$C102,'TL17'!$J$238:$J$451),0),
IF('TL18'!$B$3=P$3,SUMIF('TL18'!$C$10:$C$224,$C102,'TL18'!$J$10:$J$224),0),
IF('TL18'!$B$229=P$3,SUMIF('TL18'!$C$238:$C$451,$C102,'TL18'!$J$238:$J$451),0),
IF('TL19'!$B$3=P$3,SUMIF('TL19'!$C$10:$C$224,$C102,'TL19'!$J$10:$J$224),0),
IF('TL19'!$B$229=P$3,SUMIF('TL19'!$C$238:$C$451,$C102,'TL19'!$J$238:$J$451),0)
),0)</f>
        <v>0</v>
      </c>
      <c r="Q102" s="9">
        <f>IFERROR(SUM(
IF('TL01'!$B$3=Q$3,SUMIF('TL01'!$C$10:$C$224,$C102,'TL01'!$J$10:$J$224),0),
IF('TL01'!$B$229=Q$3,SUMIF('TL01'!$C$238:$C$451,$C102,'TL01'!$J$238:$J$451),0),
IF('TL02'!$B$3=Q$3,SUMIF('TL02'!$C$10:$C$224,$C102,'TL02'!$J$10:$J$224),0),
IF('TL02'!$B$229=Q$3,SUMIF('TL02'!$C$238:$C$451,$C102,'TL02'!$J$238:$J$451),0),
IF('TL03'!$B$3=Q$3,SUMIF('TL03'!$C$10:$C$224,$C102,'TL03'!$J$10:$J$224),0),
IF('TL03'!$B$229=Q$3,SUMIF('TL03'!$C$238:$C$451,$C102,'TL03'!$J$238:$J$451),0),
IF('TL04'!$B$3=Q$3,SUMIF('TL04'!$C$10:$C$224,$C102,'TL04'!$J$10:$J$224),0),
IF('TL04'!$B$229=Q$3,SUMIF('TL04'!$C$238:$C$451,$C102,'TL04'!$J$238:$J$451),0),
IF('TL05'!$B$3=Q$3,SUMIF('TL05'!$C$10:$C$224,$C102,'TL05'!$J$10:$J$224),0),
IF('TL05'!$B$229=Q$3,SUMIF('TL05'!$C$238:$C$451,$C102,'TL05'!$J$238:$J$451),0),
IF('TL06'!$B$3=Q$3,SUMIF('TL06'!$C$10:$C$224,$C102,'TL06'!$J$10:$J$224),0),
IF('TL06'!$B$229=Q$3,SUMIF('TL06'!$C$238:$C$451,$C102,'TL06'!$J$238:$J$451),0),
IF('TL07'!$B$3=Q$3,SUMIF('TL07'!$C$10:$C$224,$C102,'TL07'!$J$10:$J$224),0),
IF('TL07'!$B$229=Q$3,SUMIF('TL07'!$C$238:$C$451,$C102,'TL07'!$J$238:$J$451),0),
IF('TL08'!$B$3=Q$3,SUMIF('TL08'!$C$10:$C$224,$C102,'TL08'!$J$10:$J$224),0),
IF('TL08'!$B$229=Q$3,SUMIF('TL08'!$C$238:$C$451,$C102,'TL08'!$J$238:$J$451),0),
IF('TL09'!$B$3=Q$3,SUMIF('TL09'!$C$10:$C$224,$C102,'TL09'!$J$10:$J$224),0),
IF('TL09'!$B$229=Q$3,SUMIF('TL09'!$C$238:$C$451,$C102,'TL09'!$J$238:$J$451),0),
IF('TL10'!$B$3=Q$3,SUMIF('TL10'!$C$10:$C$224,$C102,'TL10'!$J$10:$J$224),0),
IF('TL10'!$B$229=Q$3,SUMIF('TL10'!$C$238:$C$451,$C102,'TL10'!$J$238:$J$451),0),
IF('TL11'!$B$3=Q$3,SUMIF('TL11'!$C$10:$C$224,$C102,'TL11'!$J$10:$J$224),0),
IF('TL11'!$B$229=Q$3,SUMIF('TL11'!$C$238:$C$451,$C102,'TL11'!$J$238:$J$451),0),
IF('TL12'!$B$3=Q$3,SUMIF('TL12'!$C$10:$C$224,$C102,'TL12'!$J$10:$J$224),0),
IF('TL12'!$B$229=Q$3,SUMIF('TL12'!$C$238:$C$451,$C102,'TL12'!$J$238:$J$451),0),
IF('TL13'!$B$3=Q$3,SUMIF('TL13'!$C$10:$C$224,$C102,'TL13'!$J$10:$J$224),0),
IF('TL13'!$B$229=Q$3,SUMIF('TL13'!$C$238:$C$451,$C102,'TL13'!$J$238:$J$451),0),
IF('TL14'!$B$3=Q$3,SUMIF('TL14'!$C$10:$C$224,$C102,'TL14'!$J$10:$J$224),0),
IF('TL14'!$B$229=Q$3,SUMIF('TL14'!$C$238:$C$451,$C102,'TL14'!$J$238:$J$451),0),
IF('TL15'!$B$3=Q$3,SUMIF('TL15'!$C$10:$C$224,$C102,'TL15'!$J$10:$J$224),0),
IF('TL15'!$B$229=Q$3,SUMIF('TL15'!$C$238:$C$451,$C102,'TL15'!$J$238:$J$451),0),
IF('TL16'!$B$3=Q$3,SUMIF('TL16'!$C$10:$C$224,$C102,'TL16'!$J$10:$J$224),0),
IF('TL16'!$B$229=Q$3,SUMIF('TL16'!$C$238:$C$451,$C102,'TL16'!$J$238:$J$451),0),
IF('TL17'!$B$3=Q$3,SUMIF('TL17'!$C$10:$C$224,$C102,'TL17'!$J$10:$J$224),0),
IF('TL17'!$B$229=Q$3,SUMIF('TL17'!$C$238:$C$451,$C102,'TL17'!$J$238:$J$451),0),
IF('TL18'!$B$3=Q$3,SUMIF('TL18'!$C$10:$C$224,$C102,'TL18'!$J$10:$J$224),0),
IF('TL18'!$B$229=Q$3,SUMIF('TL18'!$C$238:$C$451,$C102,'TL18'!$J$238:$J$451),0),
IF('TL19'!$B$3=Q$3,SUMIF('TL19'!$C$10:$C$224,$C102,'TL19'!$J$10:$J$224),0),
IF('TL19'!$B$229=Q$3,SUMIF('TL19'!$C$238:$C$451,$C102,'TL19'!$J$238:$J$451),0)
),0)</f>
        <v>0</v>
      </c>
      <c r="R102" s="9">
        <f>IFERROR(
SUM(
SUMIF('TL01'!C:C,C102,'TL01'!J:J),
SUMIF('TL02'!C:C,C102,'TL02'!J:J),
SUMIF('TL03'!C:C,C102,'TL03'!J:J),
SUMIF('TL04'!C:C,C102,'TL04'!J:J),
SUMIF('TL05'!C:C,C102,'TL05'!J:J),
SUMIF('TL06'!C:C,C102,'TL06'!J:J),
SUMIF('TL07'!C:C,C102,'TL07'!J:J),
SUMIF('TL08'!C:C,C102,'TL08'!J:J),
SUMIF('TL09'!C:C,C102,'TL09'!J:J),
SUMIF('TL10'!C:C,C102,'TL10'!J:J),
SUMIF('TL11'!C:C,C102,'TL11'!J:J),
SUMIF('TL12'!C:C,C102,'TL12'!J:J),
SUMIF('TL13'!C:C,C102,'TL13'!J:J),
SUMIF('TL14'!C:C,C102,'TL14'!J:J),
SUMIF('TL15'!C:C,C102,'TL15'!J:J),
SUMIF('TL16'!C:C,C102,'TL16'!J:J),
SUMIF('TL17'!C:C,C102,'TL17'!J:J),
SUMIF('TL18'!C:C,C102,'TL18'!J:J),SUMIF('TL19'!C:C,C102,'TL19'!J:J))
,0)</f>
        <v>0</v>
      </c>
      <c r="S102" s="17">
        <f>IFERROR(__xludf.DUMMYFUNCTION("IFERROR(VLOOKUP(C102,
IMPORTRANGE(""1wULbzX32WdYsx-lj2U3uUNBBe2INVIRDtcK0d-Dvl90"",
""26-27!C:G""),
5,
FALSE),
"""")"),122.70384000000001)</f>
        <v>122.70384</v>
      </c>
      <c r="T102" s="9"/>
      <c r="U102" s="92">
        <f t="shared" si="2"/>
        <v>0</v>
      </c>
      <c r="V102" s="93">
        <f t="shared" si="3"/>
        <v>0</v>
      </c>
    </row>
    <row r="103" ht="15.75" hidden="1" customHeight="1">
      <c r="A103" s="111" t="s">
        <v>358</v>
      </c>
      <c r="B103" s="112" t="s">
        <v>0</v>
      </c>
      <c r="C103" s="113" t="s">
        <v>597</v>
      </c>
      <c r="D103" s="113" t="s">
        <v>598</v>
      </c>
      <c r="E103" s="113" t="s">
        <v>599</v>
      </c>
      <c r="F103" s="4" t="s">
        <v>343</v>
      </c>
      <c r="G103" s="90" t="str">
        <f t="shared" si="4"/>
        <v>📄 Ver bula</v>
      </c>
      <c r="H103" s="9">
        <f>IFERROR(__xludf.DUMMYFUNCTION("IFERROR(VLOOKUP(C103,
IMPORTRANGE(""1wULbzX32WdYsx-lj2U3uUNBBe2INVIRDtcK0d-Dvl90"",
""26-27!C:K""),
8,
FALSE),
"""")"),2.0)</f>
        <v>2</v>
      </c>
      <c r="I103" s="114" t="s">
        <v>344</v>
      </c>
      <c r="J103" s="9">
        <f>IFERROR(SUM(
IF('TL01'!$B$3=J$3,SUMIF('TL01'!$C$10:$C$224,$C103,'TL01'!$J$10:$J$224),0),
IF('TL01'!$B$229=J$3,SUMIF('TL01'!$C$238:$C$451,$C103,'TL01'!$J$238:$J$451),0),
IF('TL02'!$B$3=J$3,SUMIF('TL02'!$C$10:$C$224,$C103,'TL02'!$J$10:$J$224),0),
IF('TL02'!$B$229=J$3,SUMIF('TL02'!$C$238:$C$451,$C103,'TL02'!$J$238:$J$451),0),
IF('TL03'!$B$3=J$3,SUMIF('TL03'!$C$10:$C$224,$C103,'TL03'!$J$10:$J$224),0),
IF('TL03'!$B$229=J$3,SUMIF('TL03'!$C$238:$C$451,$C103,'TL03'!$J$238:$J$451),0),
IF('TL04'!$B$3=J$3,SUMIF('TL04'!$C$10:$C$224,$C103,'TL04'!$J$10:$J$224),0),
IF('TL04'!$B$229=J$3,SUMIF('TL04'!$C$238:$C$451,$C103,'TL04'!$J$238:$J$451),0),
IF('TL05'!$B$3=J$3,SUMIF('TL05'!$C$10:$C$224,$C103,'TL05'!$J$10:$J$224),0),
IF('TL05'!$B$229=J$3,SUMIF('TL05'!$C$238:$C$451,$C103,'TL05'!$J$238:$J$451),0),
IF('TL06'!$B$3=J$3,SUMIF('TL06'!$C$10:$C$224,$C103,'TL06'!$J$10:$J$224),0),
IF('TL06'!$B$229=J$3,SUMIF('TL06'!$C$238:$C$451,$C103,'TL06'!$J$238:$J$451),0),
IF('TL07'!$B$3=J$3,SUMIF('TL07'!$C$10:$C$224,$C103,'TL07'!$J$10:$J$224),0),
IF('TL07'!$B$229=J$3,SUMIF('TL07'!$C$238:$C$451,$C103,'TL07'!$J$238:$J$451),0),
IF('TL08'!$B$3=J$3,SUMIF('TL08'!$C$10:$C$224,$C103,'TL08'!$J$10:$J$224),0),
IF('TL08'!$B$229=J$3,SUMIF('TL08'!$C$238:$C$451,$C103,'TL08'!$J$238:$J$451),0),
IF('TL09'!$B$3=J$3,SUMIF('TL09'!$C$10:$C$224,$C103,'TL09'!$J$10:$J$224),0),
IF('TL09'!$B$229=J$3,SUMIF('TL09'!$C$238:$C$451,$C103,'TL09'!$J$238:$J$451),0),
IF('TL10'!$B$3=J$3,SUMIF('TL10'!$C$10:$C$224,$C103,'TL10'!$J$10:$J$224),0),
IF('TL10'!$B$229=J$3,SUMIF('TL10'!$C$238:$C$451,$C103,'TL10'!$J$238:$J$451),0),
IF('TL11'!$B$3=J$3,SUMIF('TL11'!$C$10:$C$224,$C103,'TL11'!$J$10:$J$224),0),
IF('TL11'!$B$229=J$3,SUMIF('TL11'!$C$238:$C$451,$C103,'TL11'!$J$238:$J$451),0),
IF('TL12'!$B$3=J$3,SUMIF('TL12'!$C$10:$C$224,$C103,'TL12'!$J$10:$J$224),0),
IF('TL12'!$B$229=J$3,SUMIF('TL12'!$C$238:$C$451,$C103,'TL12'!$J$238:$J$451),0),
IF('TL13'!$B$3=J$3,SUMIF('TL13'!$C$10:$C$224,$C103,'TL13'!$J$10:$J$224),0),
IF('TL13'!$B$229=J$3,SUMIF('TL13'!$C$238:$C$451,$C103,'TL13'!$J$238:$J$451),0),
IF('TL14'!$B$3=J$3,SUMIF('TL14'!$C$10:$C$224,$C103,'TL14'!$J$10:$J$224),0),
IF('TL14'!$B$229=J$3,SUMIF('TL14'!$C$238:$C$451,$C103,'TL14'!$J$238:$J$451),0),
IF('TL15'!$B$3=J$3,SUMIF('TL15'!$C$10:$C$224,$C103,'TL15'!$J$10:$J$224),0),
IF('TL15'!$B$229=J$3,SUMIF('TL15'!$C$238:$C$451,$C103,'TL15'!$J$238:$J$451),0),
IF('TL16'!$B$3=J$3,SUMIF('TL16'!$C$10:$C$224,$C103,'TL16'!$J$10:$J$224),0),
IF('TL16'!$B$229=J$3,SUMIF('TL16'!$C$238:$C$451,$C103,'TL16'!$J$238:$J$451),0),
IF('TL17'!$B$3=J$3,SUMIF('TL17'!$C$10:$C$224,$C103,'TL17'!$J$10:$J$224),0),
IF('TL17'!$B$229=J$3,SUMIF('TL17'!$C$238:$C$451,$C103,'TL17'!$J$238:$J$451),0),
IF('TL18'!$B$3=J$3,SUMIF('TL18'!$C$10:$C$224,$C103,'TL18'!$J$10:$J$224),0),
IF('TL18'!$B$229=J$3,SUMIF('TL18'!$C$238:$C$451,$C103,'TL18'!$J$238:$J$451),0),
IF('TL19'!$B$3=J$3,SUMIF('TL19'!$C$10:$C$224,$C103,'TL19'!$J$10:$J$224),0),
IF('TL19'!$B$229=J$3,SUMIF('TL19'!$C$238:$C$451,$C103,'TL19'!$J$238:$J$451),0)
),0)</f>
        <v>0</v>
      </c>
      <c r="K103" s="9">
        <f>IFERROR(SUM(
IF('TL01'!$B$3=K$3,SUMIF('TL01'!$C$10:$C$224,$C103,'TL01'!$J$10:$J$224),0),
IF('TL01'!$B$229=K$3,SUMIF('TL01'!$C$238:$C$451,$C103,'TL01'!$J$238:$J$451),0),
IF('TL02'!$B$3=K$3,SUMIF('TL02'!$C$10:$C$224,$C103,'TL02'!$J$10:$J$224),0),
IF('TL02'!$B$229=K$3,SUMIF('TL02'!$C$238:$C$451,$C103,'TL02'!$J$238:$J$451),0),
IF('TL03'!$B$3=K$3,SUMIF('TL03'!$C$10:$C$224,$C103,'TL03'!$J$10:$J$224),0),
IF('TL03'!$B$229=K$3,SUMIF('TL03'!$C$238:$C$451,$C103,'TL03'!$J$238:$J$451),0),
IF('TL04'!$B$3=K$3,SUMIF('TL04'!$C$10:$C$224,$C103,'TL04'!$J$10:$J$224),0),
IF('TL04'!$B$229=K$3,SUMIF('TL04'!$C$238:$C$451,$C103,'TL04'!$J$238:$J$451),0),
IF('TL05'!$B$3=K$3,SUMIF('TL05'!$C$10:$C$224,$C103,'TL05'!$J$10:$J$224),0),
IF('TL05'!$B$229=K$3,SUMIF('TL05'!$C$238:$C$451,$C103,'TL05'!$J$238:$J$451),0),
IF('TL06'!$B$3=K$3,SUMIF('TL06'!$C$10:$C$224,$C103,'TL06'!$J$10:$J$224),0),
IF('TL06'!$B$229=K$3,SUMIF('TL06'!$C$238:$C$451,$C103,'TL06'!$J$238:$J$451),0),
IF('TL07'!$B$3=K$3,SUMIF('TL07'!$C$10:$C$224,$C103,'TL07'!$J$10:$J$224),0),
IF('TL07'!$B$229=K$3,SUMIF('TL07'!$C$238:$C$451,$C103,'TL07'!$J$238:$J$451),0),
IF('TL08'!$B$3=K$3,SUMIF('TL08'!$C$10:$C$224,$C103,'TL08'!$J$10:$J$224),0),
IF('TL08'!$B$229=K$3,SUMIF('TL08'!$C$238:$C$451,$C103,'TL08'!$J$238:$J$451),0),
IF('TL09'!$B$3=K$3,SUMIF('TL09'!$C$10:$C$224,$C103,'TL09'!$J$10:$J$224),0),
IF('TL09'!$B$229=K$3,SUMIF('TL09'!$C$238:$C$451,$C103,'TL09'!$J$238:$J$451),0),
IF('TL10'!$B$3=K$3,SUMIF('TL10'!$C$10:$C$224,$C103,'TL10'!$J$10:$J$224),0),
IF('TL10'!$B$229=K$3,SUMIF('TL10'!$C$238:$C$451,$C103,'TL10'!$J$238:$J$451),0),
IF('TL11'!$B$3=K$3,SUMIF('TL11'!$C$10:$C$224,$C103,'TL11'!$J$10:$J$224),0),
IF('TL11'!$B$229=K$3,SUMIF('TL11'!$C$238:$C$451,$C103,'TL11'!$J$238:$J$451),0),
IF('TL12'!$B$3=K$3,SUMIF('TL12'!$C$10:$C$224,$C103,'TL12'!$J$10:$J$224),0),
IF('TL12'!$B$229=K$3,SUMIF('TL12'!$C$238:$C$451,$C103,'TL12'!$J$238:$J$451),0),
IF('TL13'!$B$3=K$3,SUMIF('TL13'!$C$10:$C$224,$C103,'TL13'!$J$10:$J$224),0),
IF('TL13'!$B$229=K$3,SUMIF('TL13'!$C$238:$C$451,$C103,'TL13'!$J$238:$J$451),0),
IF('TL14'!$B$3=K$3,SUMIF('TL14'!$C$10:$C$224,$C103,'TL14'!$J$10:$J$224),0),
IF('TL14'!$B$229=K$3,SUMIF('TL14'!$C$238:$C$451,$C103,'TL14'!$J$238:$J$451),0),
IF('TL15'!$B$3=K$3,SUMIF('TL15'!$C$10:$C$224,$C103,'TL15'!$J$10:$J$224),0),
IF('TL15'!$B$229=K$3,SUMIF('TL15'!$C$238:$C$451,$C103,'TL15'!$J$238:$J$451),0),
IF('TL16'!$B$3=K$3,SUMIF('TL16'!$C$10:$C$224,$C103,'TL16'!$J$10:$J$224),0),
IF('TL16'!$B$229=K$3,SUMIF('TL16'!$C$238:$C$451,$C103,'TL16'!$J$238:$J$451),0),
IF('TL17'!$B$3=K$3,SUMIF('TL17'!$C$10:$C$224,$C103,'TL17'!$J$10:$J$224),0),
IF('TL17'!$B$229=K$3,SUMIF('TL17'!$C$238:$C$451,$C103,'TL17'!$J$238:$J$451),0),
IF('TL18'!$B$3=K$3,SUMIF('TL18'!$C$10:$C$224,$C103,'TL18'!$J$10:$J$224),0),
IF('TL18'!$B$229=K$3,SUMIF('TL18'!$C$238:$C$451,$C103,'TL18'!$J$238:$J$451),0),
IF('TL19'!$B$3=K$3,SUMIF('TL19'!$C$10:$C$224,$C103,'TL19'!$J$10:$J$224),0),
IF('TL19'!$B$229=K$3,SUMIF('TL19'!$C$238:$C$451,$C103,'TL19'!$J$238:$J$451),0)
),0)</f>
        <v>0</v>
      </c>
      <c r="L103" s="9">
        <f>IFERROR(SUM(
IF('TL01'!$B$3=L$3,SUMIF('TL01'!$C$10:$C$224,$C103,'TL01'!$J$10:$J$224),0),
IF('TL01'!$B$229=L$3,SUMIF('TL01'!$C$238:$C$451,$C103,'TL01'!$J$238:$J$451),0),
IF('TL02'!$B$3=L$3,SUMIF('TL02'!$C$10:$C$224,$C103,'TL02'!$J$10:$J$224),0),
IF('TL02'!$B$229=L$3,SUMIF('TL02'!$C$238:$C$451,$C103,'TL02'!$J$238:$J$451),0),
IF('TL03'!$B$3=L$3,SUMIF('TL03'!$C$10:$C$224,$C103,'TL03'!$J$10:$J$224),0),
IF('TL03'!$B$229=L$3,SUMIF('TL03'!$C$238:$C$451,$C103,'TL03'!$J$238:$J$451),0),
IF('TL04'!$B$3=L$3,SUMIF('TL04'!$C$10:$C$224,$C103,'TL04'!$J$10:$J$224),0),
IF('TL04'!$B$229=L$3,SUMIF('TL04'!$C$238:$C$451,$C103,'TL04'!$J$238:$J$451),0),
IF('TL05'!$B$3=L$3,SUMIF('TL05'!$C$10:$C$224,$C103,'TL05'!$J$10:$J$224),0),
IF('TL05'!$B$229=L$3,SUMIF('TL05'!$C$238:$C$451,$C103,'TL05'!$J$238:$J$451),0),
IF('TL06'!$B$3=L$3,SUMIF('TL06'!$C$10:$C$224,$C103,'TL06'!$J$10:$J$224),0),
IF('TL06'!$B$229=L$3,SUMIF('TL06'!$C$238:$C$451,$C103,'TL06'!$J$238:$J$451),0),
IF('TL07'!$B$3=L$3,SUMIF('TL07'!$C$10:$C$224,$C103,'TL07'!$J$10:$J$224),0),
IF('TL07'!$B$229=L$3,SUMIF('TL07'!$C$238:$C$451,$C103,'TL07'!$J$238:$J$451),0),
IF('TL08'!$B$3=L$3,SUMIF('TL08'!$C$10:$C$224,$C103,'TL08'!$J$10:$J$224),0),
IF('TL08'!$B$229=L$3,SUMIF('TL08'!$C$238:$C$451,$C103,'TL08'!$J$238:$J$451),0),
IF('TL09'!$B$3=L$3,SUMIF('TL09'!$C$10:$C$224,$C103,'TL09'!$J$10:$J$224),0),
IF('TL09'!$B$229=L$3,SUMIF('TL09'!$C$238:$C$451,$C103,'TL09'!$J$238:$J$451),0),
IF('TL10'!$B$3=L$3,SUMIF('TL10'!$C$10:$C$224,$C103,'TL10'!$J$10:$J$224),0),
IF('TL10'!$B$229=L$3,SUMIF('TL10'!$C$238:$C$451,$C103,'TL10'!$J$238:$J$451),0),
IF('TL11'!$B$3=L$3,SUMIF('TL11'!$C$10:$C$224,$C103,'TL11'!$J$10:$J$224),0),
IF('TL11'!$B$229=L$3,SUMIF('TL11'!$C$238:$C$451,$C103,'TL11'!$J$238:$J$451),0),
IF('TL12'!$B$3=L$3,SUMIF('TL12'!$C$10:$C$224,$C103,'TL12'!$J$10:$J$224),0),
IF('TL12'!$B$229=L$3,SUMIF('TL12'!$C$238:$C$451,$C103,'TL12'!$J$238:$J$451),0),
IF('TL13'!$B$3=L$3,SUMIF('TL13'!$C$10:$C$224,$C103,'TL13'!$J$10:$J$224),0),
IF('TL13'!$B$229=L$3,SUMIF('TL13'!$C$238:$C$451,$C103,'TL13'!$J$238:$J$451),0),
IF('TL14'!$B$3=L$3,SUMIF('TL14'!$C$10:$C$224,$C103,'TL14'!$J$10:$J$224),0),
IF('TL14'!$B$229=L$3,SUMIF('TL14'!$C$238:$C$451,$C103,'TL14'!$J$238:$J$451),0),
IF('TL15'!$B$3=L$3,SUMIF('TL15'!$C$10:$C$224,$C103,'TL15'!$J$10:$J$224),0),
IF('TL15'!$B$229=L$3,SUMIF('TL15'!$C$238:$C$451,$C103,'TL15'!$J$238:$J$451),0),
IF('TL16'!$B$3=L$3,SUMIF('TL16'!$C$10:$C$224,$C103,'TL16'!$J$10:$J$224),0),
IF('TL16'!$B$229=L$3,SUMIF('TL16'!$C$238:$C$451,$C103,'TL16'!$J$238:$J$451),0),
IF('TL17'!$B$3=L$3,SUMIF('TL17'!$C$10:$C$224,$C103,'TL17'!$J$10:$J$224),0),
IF('TL17'!$B$229=L$3,SUMIF('TL17'!$C$238:$C$451,$C103,'TL17'!$J$238:$J$451),0),
IF('TL18'!$B$3=L$3,SUMIF('TL18'!$C$10:$C$224,$C103,'TL18'!$J$10:$J$224),0),
IF('TL18'!$B$229=L$3,SUMIF('TL18'!$C$238:$C$451,$C103,'TL18'!$J$238:$J$451),0),
IF('TL19'!$B$3=L$3,SUMIF('TL19'!$C$10:$C$224,$C103,'TL19'!$J$10:$J$224),0),
IF('TL19'!$B$229=L$3,SUMIF('TL19'!$C$238:$C$451,$C103,'TL19'!$J$238:$J$451),0)
),0)</f>
        <v>0</v>
      </c>
      <c r="M103" s="9">
        <f>IFERROR(SUM(
IF('TL01'!$B$3=M$3,SUMIF('TL01'!$C$10:$C$224,$C103,'TL01'!$J$10:$J$224),0),
IF('TL01'!$B$229=M$3,SUMIF('TL01'!$C$238:$C$451,$C103,'TL01'!$J$238:$J$451),0),
IF('TL02'!$B$3=M$3,SUMIF('TL02'!$C$10:$C$224,$C103,'TL02'!$J$10:$J$224),0),
IF('TL02'!$B$229=M$3,SUMIF('TL02'!$C$238:$C$451,$C103,'TL02'!$J$238:$J$451),0),
IF('TL03'!$B$3=M$3,SUMIF('TL03'!$C$10:$C$224,$C103,'TL03'!$J$10:$J$224),0),
IF('TL03'!$B$229=M$3,SUMIF('TL03'!$C$238:$C$451,$C103,'TL03'!$J$238:$J$451),0),
IF('TL04'!$B$3=M$3,SUMIF('TL04'!$C$10:$C$224,$C103,'TL04'!$J$10:$J$224),0),
IF('TL04'!$B$229=M$3,SUMIF('TL04'!$C$238:$C$451,$C103,'TL04'!$J$238:$J$451),0),
IF('TL05'!$B$3=M$3,SUMIF('TL05'!$C$10:$C$224,$C103,'TL05'!$J$10:$J$224),0),
IF('TL05'!$B$229=M$3,SUMIF('TL05'!$C$238:$C$451,$C103,'TL05'!$J$238:$J$451),0),
IF('TL06'!$B$3=M$3,SUMIF('TL06'!$C$10:$C$224,$C103,'TL06'!$J$10:$J$224),0),
IF('TL06'!$B$229=M$3,SUMIF('TL06'!$C$238:$C$451,$C103,'TL06'!$J$238:$J$451),0),
IF('TL07'!$B$3=M$3,SUMIF('TL07'!$C$10:$C$224,$C103,'TL07'!$J$10:$J$224),0),
IF('TL07'!$B$229=M$3,SUMIF('TL07'!$C$238:$C$451,$C103,'TL07'!$J$238:$J$451),0),
IF('TL08'!$B$3=M$3,SUMIF('TL08'!$C$10:$C$224,$C103,'TL08'!$J$10:$J$224),0),
IF('TL08'!$B$229=M$3,SUMIF('TL08'!$C$238:$C$451,$C103,'TL08'!$J$238:$J$451),0),
IF('TL09'!$B$3=M$3,SUMIF('TL09'!$C$10:$C$224,$C103,'TL09'!$J$10:$J$224),0),
IF('TL09'!$B$229=M$3,SUMIF('TL09'!$C$238:$C$451,$C103,'TL09'!$J$238:$J$451),0),
IF('TL10'!$B$3=M$3,SUMIF('TL10'!$C$10:$C$224,$C103,'TL10'!$J$10:$J$224),0),
IF('TL10'!$B$229=M$3,SUMIF('TL10'!$C$238:$C$451,$C103,'TL10'!$J$238:$J$451),0),
IF('TL11'!$B$3=M$3,SUMIF('TL11'!$C$10:$C$224,$C103,'TL11'!$J$10:$J$224),0),
IF('TL11'!$B$229=M$3,SUMIF('TL11'!$C$238:$C$451,$C103,'TL11'!$J$238:$J$451),0),
IF('TL12'!$B$3=M$3,SUMIF('TL12'!$C$10:$C$224,$C103,'TL12'!$J$10:$J$224),0),
IF('TL12'!$B$229=M$3,SUMIF('TL12'!$C$238:$C$451,$C103,'TL12'!$J$238:$J$451),0),
IF('TL13'!$B$3=M$3,SUMIF('TL13'!$C$10:$C$224,$C103,'TL13'!$J$10:$J$224),0),
IF('TL13'!$B$229=M$3,SUMIF('TL13'!$C$238:$C$451,$C103,'TL13'!$J$238:$J$451),0),
IF('TL14'!$B$3=M$3,SUMIF('TL14'!$C$10:$C$224,$C103,'TL14'!$J$10:$J$224),0),
IF('TL14'!$B$229=M$3,SUMIF('TL14'!$C$238:$C$451,$C103,'TL14'!$J$238:$J$451),0),
IF('TL15'!$B$3=M$3,SUMIF('TL15'!$C$10:$C$224,$C103,'TL15'!$J$10:$J$224),0),
IF('TL15'!$B$229=M$3,SUMIF('TL15'!$C$238:$C$451,$C103,'TL15'!$J$238:$J$451),0),
IF('TL16'!$B$3=M$3,SUMIF('TL16'!$C$10:$C$224,$C103,'TL16'!$J$10:$J$224),0),
IF('TL16'!$B$229=M$3,SUMIF('TL16'!$C$238:$C$451,$C103,'TL16'!$J$238:$J$451),0),
IF('TL17'!$B$3=M$3,SUMIF('TL17'!$C$10:$C$224,$C103,'TL17'!$J$10:$J$224),0),
IF('TL17'!$B$229=M$3,SUMIF('TL17'!$C$238:$C$451,$C103,'TL17'!$J$238:$J$451),0),
IF('TL18'!$B$3=M$3,SUMIF('TL18'!$C$10:$C$224,$C103,'TL18'!$J$10:$J$224),0),
IF('TL18'!$B$229=M$3,SUMIF('TL18'!$C$238:$C$451,$C103,'TL18'!$J$238:$J$451),0),
IF('TL19'!$B$3=M$3,SUMIF('TL19'!$C$10:$C$224,$C103,'TL19'!$J$10:$J$224),0),
IF('TL19'!$B$229=M$3,SUMIF('TL19'!$C$238:$C$451,$C103,'TL19'!$J$238:$J$451),0)
),0)</f>
        <v>0</v>
      </c>
      <c r="N103" s="9">
        <f>IFERROR(SUM(
IF('TL01'!$B$3=N$3,SUMIF('TL01'!$C$10:$C$224,$C103,'TL01'!$J$10:$J$224),0),
IF('TL01'!$B$229=N$3,SUMIF('TL01'!$C$238:$C$451,$C103,'TL01'!$J$238:$J$451),0),
IF('TL02'!$B$3=N$3,SUMIF('TL02'!$C$10:$C$224,$C103,'TL02'!$J$10:$J$224),0),
IF('TL02'!$B$229=N$3,SUMIF('TL02'!$C$238:$C$451,$C103,'TL02'!$J$238:$J$451),0),
IF('TL03'!$B$3=N$3,SUMIF('TL03'!$C$10:$C$224,$C103,'TL03'!$J$10:$J$224),0),
IF('TL03'!$B$229=N$3,SUMIF('TL03'!$C$238:$C$451,$C103,'TL03'!$J$238:$J$451),0),
IF('TL04'!$B$3=N$3,SUMIF('TL04'!$C$10:$C$224,$C103,'TL04'!$J$10:$J$224),0),
IF('TL04'!$B$229=N$3,SUMIF('TL04'!$C$238:$C$451,$C103,'TL04'!$J$238:$J$451),0),
IF('TL05'!$B$3=N$3,SUMIF('TL05'!$C$10:$C$224,$C103,'TL05'!$J$10:$J$224),0),
IF('TL05'!$B$229=N$3,SUMIF('TL05'!$C$238:$C$451,$C103,'TL05'!$J$238:$J$451),0),
IF('TL06'!$B$3=N$3,SUMIF('TL06'!$C$10:$C$224,$C103,'TL06'!$J$10:$J$224),0),
IF('TL06'!$B$229=N$3,SUMIF('TL06'!$C$238:$C$451,$C103,'TL06'!$J$238:$J$451),0),
IF('TL07'!$B$3=N$3,SUMIF('TL07'!$C$10:$C$224,$C103,'TL07'!$J$10:$J$224),0),
IF('TL07'!$B$229=N$3,SUMIF('TL07'!$C$238:$C$451,$C103,'TL07'!$J$238:$J$451),0),
IF('TL08'!$B$3=N$3,SUMIF('TL08'!$C$10:$C$224,$C103,'TL08'!$J$10:$J$224),0),
IF('TL08'!$B$229=N$3,SUMIF('TL08'!$C$238:$C$451,$C103,'TL08'!$J$238:$J$451),0),
IF('TL09'!$B$3=N$3,SUMIF('TL09'!$C$10:$C$224,$C103,'TL09'!$J$10:$J$224),0),
IF('TL09'!$B$229=N$3,SUMIF('TL09'!$C$238:$C$451,$C103,'TL09'!$J$238:$J$451),0),
IF('TL10'!$B$3=N$3,SUMIF('TL10'!$C$10:$C$224,$C103,'TL10'!$J$10:$J$224),0),
IF('TL10'!$B$229=N$3,SUMIF('TL10'!$C$238:$C$451,$C103,'TL10'!$J$238:$J$451),0),
IF('TL11'!$B$3=N$3,SUMIF('TL11'!$C$10:$C$224,$C103,'TL11'!$J$10:$J$224),0),
IF('TL11'!$B$229=N$3,SUMIF('TL11'!$C$238:$C$451,$C103,'TL11'!$J$238:$J$451),0),
IF('TL12'!$B$3=N$3,SUMIF('TL12'!$C$10:$C$224,$C103,'TL12'!$J$10:$J$224),0),
IF('TL12'!$B$229=N$3,SUMIF('TL12'!$C$238:$C$451,$C103,'TL12'!$J$238:$J$451),0),
IF('TL13'!$B$3=N$3,SUMIF('TL13'!$C$10:$C$224,$C103,'TL13'!$J$10:$J$224),0),
IF('TL13'!$B$229=N$3,SUMIF('TL13'!$C$238:$C$451,$C103,'TL13'!$J$238:$J$451),0),
IF('TL14'!$B$3=N$3,SUMIF('TL14'!$C$10:$C$224,$C103,'TL14'!$J$10:$J$224),0),
IF('TL14'!$B$229=N$3,SUMIF('TL14'!$C$238:$C$451,$C103,'TL14'!$J$238:$J$451),0),
IF('TL15'!$B$3=N$3,SUMIF('TL15'!$C$10:$C$224,$C103,'TL15'!$J$10:$J$224),0),
IF('TL15'!$B$229=N$3,SUMIF('TL15'!$C$238:$C$451,$C103,'TL15'!$J$238:$J$451),0),
IF('TL16'!$B$3=N$3,SUMIF('TL16'!$C$10:$C$224,$C103,'TL16'!$J$10:$J$224),0),
IF('TL16'!$B$229=N$3,SUMIF('TL16'!$C$238:$C$451,$C103,'TL16'!$J$238:$J$451),0),
IF('TL17'!$B$3=N$3,SUMIF('TL17'!$C$10:$C$224,$C103,'TL17'!$J$10:$J$224),0),
IF('TL17'!$B$229=N$3,SUMIF('TL17'!$C$238:$C$451,$C103,'TL17'!$J$238:$J$451),0),
IF('TL18'!$B$3=N$3,SUMIF('TL18'!$C$10:$C$224,$C103,'TL18'!$J$10:$J$224),0),
IF('TL18'!$B$229=N$3,SUMIF('TL18'!$C$238:$C$451,$C103,'TL18'!$J$238:$J$451),0),
IF('TL19'!$B$3=N$3,SUMIF('TL19'!$C$10:$C$224,$C103,'TL19'!$J$10:$J$224),0),
IF('TL19'!$B$229=N$3,SUMIF('TL19'!$C$238:$C$451,$C103,'TL19'!$J$238:$J$451),0)
),0)</f>
        <v>0</v>
      </c>
      <c r="O103" s="9">
        <f>IFERROR(SUM(
IF('TL01'!$B$3=O$3,SUMIF('TL01'!$C$10:$C$224,$C103,'TL01'!$J$10:$J$224),0),
IF('TL01'!$B$229=O$3,SUMIF('TL01'!$C$238:$C$451,$C103,'TL01'!$J$238:$J$451),0),
IF('TL02'!$B$3=O$3,SUMIF('TL02'!$C$10:$C$224,$C103,'TL02'!$J$10:$J$224),0),
IF('TL02'!$B$229=O$3,SUMIF('TL02'!$C$238:$C$451,$C103,'TL02'!$J$238:$J$451),0),
IF('TL03'!$B$3=O$3,SUMIF('TL03'!$C$10:$C$224,$C103,'TL03'!$J$10:$J$224),0),
IF('TL03'!$B$229=O$3,SUMIF('TL03'!$C$238:$C$451,$C103,'TL03'!$J$238:$J$451),0),
IF('TL04'!$B$3=O$3,SUMIF('TL04'!$C$10:$C$224,$C103,'TL04'!$J$10:$J$224),0),
IF('TL04'!$B$229=O$3,SUMIF('TL04'!$C$238:$C$451,$C103,'TL04'!$J$238:$J$451),0),
IF('TL05'!$B$3=O$3,SUMIF('TL05'!$C$10:$C$224,$C103,'TL05'!$J$10:$J$224),0),
IF('TL05'!$B$229=O$3,SUMIF('TL05'!$C$238:$C$451,$C103,'TL05'!$J$238:$J$451),0),
IF('TL06'!$B$3=O$3,SUMIF('TL06'!$C$10:$C$224,$C103,'TL06'!$J$10:$J$224),0),
IF('TL06'!$B$229=O$3,SUMIF('TL06'!$C$238:$C$451,$C103,'TL06'!$J$238:$J$451),0),
IF('TL07'!$B$3=O$3,SUMIF('TL07'!$C$10:$C$224,$C103,'TL07'!$J$10:$J$224),0),
IF('TL07'!$B$229=O$3,SUMIF('TL07'!$C$238:$C$451,$C103,'TL07'!$J$238:$J$451),0),
IF('TL08'!$B$3=O$3,SUMIF('TL08'!$C$10:$C$224,$C103,'TL08'!$J$10:$J$224),0),
IF('TL08'!$B$229=O$3,SUMIF('TL08'!$C$238:$C$451,$C103,'TL08'!$J$238:$J$451),0),
IF('TL09'!$B$3=O$3,SUMIF('TL09'!$C$10:$C$224,$C103,'TL09'!$J$10:$J$224),0),
IF('TL09'!$B$229=O$3,SUMIF('TL09'!$C$238:$C$451,$C103,'TL09'!$J$238:$J$451),0),
IF('TL10'!$B$3=O$3,SUMIF('TL10'!$C$10:$C$224,$C103,'TL10'!$J$10:$J$224),0),
IF('TL10'!$B$229=O$3,SUMIF('TL10'!$C$238:$C$451,$C103,'TL10'!$J$238:$J$451),0),
IF('TL11'!$B$3=O$3,SUMIF('TL11'!$C$10:$C$224,$C103,'TL11'!$J$10:$J$224),0),
IF('TL11'!$B$229=O$3,SUMIF('TL11'!$C$238:$C$451,$C103,'TL11'!$J$238:$J$451),0),
IF('TL12'!$B$3=O$3,SUMIF('TL12'!$C$10:$C$224,$C103,'TL12'!$J$10:$J$224),0),
IF('TL12'!$B$229=O$3,SUMIF('TL12'!$C$238:$C$451,$C103,'TL12'!$J$238:$J$451),0),
IF('TL13'!$B$3=O$3,SUMIF('TL13'!$C$10:$C$224,$C103,'TL13'!$J$10:$J$224),0),
IF('TL13'!$B$229=O$3,SUMIF('TL13'!$C$238:$C$451,$C103,'TL13'!$J$238:$J$451),0),
IF('TL14'!$B$3=O$3,SUMIF('TL14'!$C$10:$C$224,$C103,'TL14'!$J$10:$J$224),0),
IF('TL14'!$B$229=O$3,SUMIF('TL14'!$C$238:$C$451,$C103,'TL14'!$J$238:$J$451),0),
IF('TL15'!$B$3=O$3,SUMIF('TL15'!$C$10:$C$224,$C103,'TL15'!$J$10:$J$224),0),
IF('TL15'!$B$229=O$3,SUMIF('TL15'!$C$238:$C$451,$C103,'TL15'!$J$238:$J$451),0),
IF('TL16'!$B$3=O$3,SUMIF('TL16'!$C$10:$C$224,$C103,'TL16'!$J$10:$J$224),0),
IF('TL16'!$B$229=O$3,SUMIF('TL16'!$C$238:$C$451,$C103,'TL16'!$J$238:$J$451),0),
IF('TL17'!$B$3=O$3,SUMIF('TL17'!$C$10:$C$224,$C103,'TL17'!$J$10:$J$224),0),
IF('TL17'!$B$229=O$3,SUMIF('TL17'!$C$238:$C$451,$C103,'TL17'!$J$238:$J$451),0),
IF('TL18'!$B$3=O$3,SUMIF('TL18'!$C$10:$C$224,$C103,'TL18'!$J$10:$J$224),0),
IF('TL18'!$B$229=O$3,SUMIF('TL18'!$C$238:$C$451,$C103,'TL18'!$J$238:$J$451),0),
IF('TL19'!$B$3=O$3,SUMIF('TL19'!$C$10:$C$224,$C103,'TL19'!$J$10:$J$224),0),
IF('TL19'!$B$229=O$3,SUMIF('TL19'!$C$238:$C$451,$C103,'TL19'!$J$238:$J$451),0)
),0)</f>
        <v>0</v>
      </c>
      <c r="P103" s="9">
        <f>IFERROR(SUM(
IF('TL01'!$B$3=P$3,SUMIF('TL01'!$C$10:$C$224,$C103,'TL01'!$J$10:$J$224),0),
IF('TL01'!$B$229=P$3,SUMIF('TL01'!$C$238:$C$451,$C103,'TL01'!$J$238:$J$451),0),
IF('TL02'!$B$3=P$3,SUMIF('TL02'!$C$10:$C$224,$C103,'TL02'!$J$10:$J$224),0),
IF('TL02'!$B$229=P$3,SUMIF('TL02'!$C$238:$C$451,$C103,'TL02'!$J$238:$J$451),0),
IF('TL03'!$B$3=P$3,SUMIF('TL03'!$C$10:$C$224,$C103,'TL03'!$J$10:$J$224),0),
IF('TL03'!$B$229=P$3,SUMIF('TL03'!$C$238:$C$451,$C103,'TL03'!$J$238:$J$451),0),
IF('TL04'!$B$3=P$3,SUMIF('TL04'!$C$10:$C$224,$C103,'TL04'!$J$10:$J$224),0),
IF('TL04'!$B$229=P$3,SUMIF('TL04'!$C$238:$C$451,$C103,'TL04'!$J$238:$J$451),0),
IF('TL05'!$B$3=P$3,SUMIF('TL05'!$C$10:$C$224,$C103,'TL05'!$J$10:$J$224),0),
IF('TL05'!$B$229=P$3,SUMIF('TL05'!$C$238:$C$451,$C103,'TL05'!$J$238:$J$451),0),
IF('TL06'!$B$3=P$3,SUMIF('TL06'!$C$10:$C$224,$C103,'TL06'!$J$10:$J$224),0),
IF('TL06'!$B$229=P$3,SUMIF('TL06'!$C$238:$C$451,$C103,'TL06'!$J$238:$J$451),0),
IF('TL07'!$B$3=P$3,SUMIF('TL07'!$C$10:$C$224,$C103,'TL07'!$J$10:$J$224),0),
IF('TL07'!$B$229=P$3,SUMIF('TL07'!$C$238:$C$451,$C103,'TL07'!$J$238:$J$451),0),
IF('TL08'!$B$3=P$3,SUMIF('TL08'!$C$10:$C$224,$C103,'TL08'!$J$10:$J$224),0),
IF('TL08'!$B$229=P$3,SUMIF('TL08'!$C$238:$C$451,$C103,'TL08'!$J$238:$J$451),0),
IF('TL09'!$B$3=P$3,SUMIF('TL09'!$C$10:$C$224,$C103,'TL09'!$J$10:$J$224),0),
IF('TL09'!$B$229=P$3,SUMIF('TL09'!$C$238:$C$451,$C103,'TL09'!$J$238:$J$451),0),
IF('TL10'!$B$3=P$3,SUMIF('TL10'!$C$10:$C$224,$C103,'TL10'!$J$10:$J$224),0),
IF('TL10'!$B$229=P$3,SUMIF('TL10'!$C$238:$C$451,$C103,'TL10'!$J$238:$J$451),0),
IF('TL11'!$B$3=P$3,SUMIF('TL11'!$C$10:$C$224,$C103,'TL11'!$J$10:$J$224),0),
IF('TL11'!$B$229=P$3,SUMIF('TL11'!$C$238:$C$451,$C103,'TL11'!$J$238:$J$451),0),
IF('TL12'!$B$3=P$3,SUMIF('TL12'!$C$10:$C$224,$C103,'TL12'!$J$10:$J$224),0),
IF('TL12'!$B$229=P$3,SUMIF('TL12'!$C$238:$C$451,$C103,'TL12'!$J$238:$J$451),0),
IF('TL13'!$B$3=P$3,SUMIF('TL13'!$C$10:$C$224,$C103,'TL13'!$J$10:$J$224),0),
IF('TL13'!$B$229=P$3,SUMIF('TL13'!$C$238:$C$451,$C103,'TL13'!$J$238:$J$451),0),
IF('TL14'!$B$3=P$3,SUMIF('TL14'!$C$10:$C$224,$C103,'TL14'!$J$10:$J$224),0),
IF('TL14'!$B$229=P$3,SUMIF('TL14'!$C$238:$C$451,$C103,'TL14'!$J$238:$J$451),0),
IF('TL15'!$B$3=P$3,SUMIF('TL15'!$C$10:$C$224,$C103,'TL15'!$J$10:$J$224),0),
IF('TL15'!$B$229=P$3,SUMIF('TL15'!$C$238:$C$451,$C103,'TL15'!$J$238:$J$451),0),
IF('TL16'!$B$3=P$3,SUMIF('TL16'!$C$10:$C$224,$C103,'TL16'!$J$10:$J$224),0),
IF('TL16'!$B$229=P$3,SUMIF('TL16'!$C$238:$C$451,$C103,'TL16'!$J$238:$J$451),0),
IF('TL17'!$B$3=P$3,SUMIF('TL17'!$C$10:$C$224,$C103,'TL17'!$J$10:$J$224),0),
IF('TL17'!$B$229=P$3,SUMIF('TL17'!$C$238:$C$451,$C103,'TL17'!$J$238:$J$451),0),
IF('TL18'!$B$3=P$3,SUMIF('TL18'!$C$10:$C$224,$C103,'TL18'!$J$10:$J$224),0),
IF('TL18'!$B$229=P$3,SUMIF('TL18'!$C$238:$C$451,$C103,'TL18'!$J$238:$J$451),0),
IF('TL19'!$B$3=P$3,SUMIF('TL19'!$C$10:$C$224,$C103,'TL19'!$J$10:$J$224),0),
IF('TL19'!$B$229=P$3,SUMIF('TL19'!$C$238:$C$451,$C103,'TL19'!$J$238:$J$451),0)
),0)</f>
        <v>0</v>
      </c>
      <c r="Q103" s="9">
        <f>IFERROR(SUM(
IF('TL01'!$B$3=Q$3,SUMIF('TL01'!$C$10:$C$224,$C103,'TL01'!$J$10:$J$224),0),
IF('TL01'!$B$229=Q$3,SUMIF('TL01'!$C$238:$C$451,$C103,'TL01'!$J$238:$J$451),0),
IF('TL02'!$B$3=Q$3,SUMIF('TL02'!$C$10:$C$224,$C103,'TL02'!$J$10:$J$224),0),
IF('TL02'!$B$229=Q$3,SUMIF('TL02'!$C$238:$C$451,$C103,'TL02'!$J$238:$J$451),0),
IF('TL03'!$B$3=Q$3,SUMIF('TL03'!$C$10:$C$224,$C103,'TL03'!$J$10:$J$224),0),
IF('TL03'!$B$229=Q$3,SUMIF('TL03'!$C$238:$C$451,$C103,'TL03'!$J$238:$J$451),0),
IF('TL04'!$B$3=Q$3,SUMIF('TL04'!$C$10:$C$224,$C103,'TL04'!$J$10:$J$224),0),
IF('TL04'!$B$229=Q$3,SUMIF('TL04'!$C$238:$C$451,$C103,'TL04'!$J$238:$J$451),0),
IF('TL05'!$B$3=Q$3,SUMIF('TL05'!$C$10:$C$224,$C103,'TL05'!$J$10:$J$224),0),
IF('TL05'!$B$229=Q$3,SUMIF('TL05'!$C$238:$C$451,$C103,'TL05'!$J$238:$J$451),0),
IF('TL06'!$B$3=Q$3,SUMIF('TL06'!$C$10:$C$224,$C103,'TL06'!$J$10:$J$224),0),
IF('TL06'!$B$229=Q$3,SUMIF('TL06'!$C$238:$C$451,$C103,'TL06'!$J$238:$J$451),0),
IF('TL07'!$B$3=Q$3,SUMIF('TL07'!$C$10:$C$224,$C103,'TL07'!$J$10:$J$224),0),
IF('TL07'!$B$229=Q$3,SUMIF('TL07'!$C$238:$C$451,$C103,'TL07'!$J$238:$J$451),0),
IF('TL08'!$B$3=Q$3,SUMIF('TL08'!$C$10:$C$224,$C103,'TL08'!$J$10:$J$224),0),
IF('TL08'!$B$229=Q$3,SUMIF('TL08'!$C$238:$C$451,$C103,'TL08'!$J$238:$J$451),0),
IF('TL09'!$B$3=Q$3,SUMIF('TL09'!$C$10:$C$224,$C103,'TL09'!$J$10:$J$224),0),
IF('TL09'!$B$229=Q$3,SUMIF('TL09'!$C$238:$C$451,$C103,'TL09'!$J$238:$J$451),0),
IF('TL10'!$B$3=Q$3,SUMIF('TL10'!$C$10:$C$224,$C103,'TL10'!$J$10:$J$224),0),
IF('TL10'!$B$229=Q$3,SUMIF('TL10'!$C$238:$C$451,$C103,'TL10'!$J$238:$J$451),0),
IF('TL11'!$B$3=Q$3,SUMIF('TL11'!$C$10:$C$224,$C103,'TL11'!$J$10:$J$224),0),
IF('TL11'!$B$229=Q$3,SUMIF('TL11'!$C$238:$C$451,$C103,'TL11'!$J$238:$J$451),0),
IF('TL12'!$B$3=Q$3,SUMIF('TL12'!$C$10:$C$224,$C103,'TL12'!$J$10:$J$224),0),
IF('TL12'!$B$229=Q$3,SUMIF('TL12'!$C$238:$C$451,$C103,'TL12'!$J$238:$J$451),0),
IF('TL13'!$B$3=Q$3,SUMIF('TL13'!$C$10:$C$224,$C103,'TL13'!$J$10:$J$224),0),
IF('TL13'!$B$229=Q$3,SUMIF('TL13'!$C$238:$C$451,$C103,'TL13'!$J$238:$J$451),0),
IF('TL14'!$B$3=Q$3,SUMIF('TL14'!$C$10:$C$224,$C103,'TL14'!$J$10:$J$224),0),
IF('TL14'!$B$229=Q$3,SUMIF('TL14'!$C$238:$C$451,$C103,'TL14'!$J$238:$J$451),0),
IF('TL15'!$B$3=Q$3,SUMIF('TL15'!$C$10:$C$224,$C103,'TL15'!$J$10:$J$224),0),
IF('TL15'!$B$229=Q$3,SUMIF('TL15'!$C$238:$C$451,$C103,'TL15'!$J$238:$J$451),0),
IF('TL16'!$B$3=Q$3,SUMIF('TL16'!$C$10:$C$224,$C103,'TL16'!$J$10:$J$224),0),
IF('TL16'!$B$229=Q$3,SUMIF('TL16'!$C$238:$C$451,$C103,'TL16'!$J$238:$J$451),0),
IF('TL17'!$B$3=Q$3,SUMIF('TL17'!$C$10:$C$224,$C103,'TL17'!$J$10:$J$224),0),
IF('TL17'!$B$229=Q$3,SUMIF('TL17'!$C$238:$C$451,$C103,'TL17'!$J$238:$J$451),0),
IF('TL18'!$B$3=Q$3,SUMIF('TL18'!$C$10:$C$224,$C103,'TL18'!$J$10:$J$224),0),
IF('TL18'!$B$229=Q$3,SUMIF('TL18'!$C$238:$C$451,$C103,'TL18'!$J$238:$J$451),0),
IF('TL19'!$B$3=Q$3,SUMIF('TL19'!$C$10:$C$224,$C103,'TL19'!$J$10:$J$224),0),
IF('TL19'!$B$229=Q$3,SUMIF('TL19'!$C$238:$C$451,$C103,'TL19'!$J$238:$J$451),0)
),0)</f>
        <v>0</v>
      </c>
      <c r="R103" s="9">
        <f>IFERROR(
SUM(
SUMIF('TL01'!C:C,C103,'TL01'!J:J),
SUMIF('TL02'!C:C,C103,'TL02'!J:J),
SUMIF('TL03'!C:C,C103,'TL03'!J:J),
SUMIF('TL04'!C:C,C103,'TL04'!J:J),
SUMIF('TL05'!C:C,C103,'TL05'!J:J),
SUMIF('TL06'!C:C,C103,'TL06'!J:J),
SUMIF('TL07'!C:C,C103,'TL07'!J:J),
SUMIF('TL08'!C:C,C103,'TL08'!J:J),
SUMIF('TL09'!C:C,C103,'TL09'!J:J),
SUMIF('TL10'!C:C,C103,'TL10'!J:J),
SUMIF('TL11'!C:C,C103,'TL11'!J:J),
SUMIF('TL12'!C:C,C103,'TL12'!J:J),
SUMIF('TL13'!C:C,C103,'TL13'!J:J),
SUMIF('TL14'!C:C,C103,'TL14'!J:J),
SUMIF('TL15'!C:C,C103,'TL15'!J:J),
SUMIF('TL16'!C:C,C103,'TL16'!J:J),
SUMIF('TL17'!C:C,C103,'TL17'!J:J),
SUMIF('TL18'!C:C,C103,'TL18'!J:J),SUMIF('TL19'!C:C,C103,'TL19'!J:J))
,0)</f>
        <v>0</v>
      </c>
      <c r="S103" s="17">
        <f>IFERROR(__xludf.DUMMYFUNCTION("IFERROR(VLOOKUP(C103,
IMPORTRANGE(""1wULbzX32WdYsx-lj2U3uUNBBe2INVIRDtcK0d-Dvl90"",
""26-27!C:G""),
5,
FALSE),
"""")"),90.48816000000001)</f>
        <v>90.48816</v>
      </c>
      <c r="T103" s="9"/>
      <c r="U103" s="92">
        <f t="shared" si="2"/>
        <v>0</v>
      </c>
      <c r="V103" s="93">
        <f t="shared" si="3"/>
        <v>0</v>
      </c>
    </row>
    <row r="104" ht="15.75" hidden="1" customHeight="1">
      <c r="A104" s="115" t="s">
        <v>358</v>
      </c>
      <c r="B104" s="100" t="s">
        <v>0</v>
      </c>
      <c r="C104" s="116" t="s">
        <v>600</v>
      </c>
      <c r="D104" s="116" t="s">
        <v>601</v>
      </c>
      <c r="E104" s="116" t="s">
        <v>602</v>
      </c>
      <c r="F104" s="4" t="s">
        <v>392</v>
      </c>
      <c r="G104" s="90" t="str">
        <f t="shared" si="4"/>
        <v>📄 Ver bula</v>
      </c>
      <c r="H104" s="9">
        <f>IFERROR(__xludf.DUMMYFUNCTION("IFERROR(VLOOKUP(C104,
IMPORTRANGE(""1wULbzX32WdYsx-lj2U3uUNBBe2INVIRDtcK0d-Dvl90"",
""26-27!C:K""),
8,
FALSE),
"""")"),0.15)</f>
        <v>0.15</v>
      </c>
      <c r="I104" s="117" t="s">
        <v>382</v>
      </c>
      <c r="J104" s="9">
        <f>IFERROR(SUM(
IF('TL01'!$B$3=J$3,SUMIF('TL01'!$C$10:$C$224,$C104,'TL01'!$J$10:$J$224),0),
IF('TL01'!$B$229=J$3,SUMIF('TL01'!$C$238:$C$451,$C104,'TL01'!$J$238:$J$451),0),
IF('TL02'!$B$3=J$3,SUMIF('TL02'!$C$10:$C$224,$C104,'TL02'!$J$10:$J$224),0),
IF('TL02'!$B$229=J$3,SUMIF('TL02'!$C$238:$C$451,$C104,'TL02'!$J$238:$J$451),0),
IF('TL03'!$B$3=J$3,SUMIF('TL03'!$C$10:$C$224,$C104,'TL03'!$J$10:$J$224),0),
IF('TL03'!$B$229=J$3,SUMIF('TL03'!$C$238:$C$451,$C104,'TL03'!$J$238:$J$451),0),
IF('TL04'!$B$3=J$3,SUMIF('TL04'!$C$10:$C$224,$C104,'TL04'!$J$10:$J$224),0),
IF('TL04'!$B$229=J$3,SUMIF('TL04'!$C$238:$C$451,$C104,'TL04'!$J$238:$J$451),0),
IF('TL05'!$B$3=J$3,SUMIF('TL05'!$C$10:$C$224,$C104,'TL05'!$J$10:$J$224),0),
IF('TL05'!$B$229=J$3,SUMIF('TL05'!$C$238:$C$451,$C104,'TL05'!$J$238:$J$451),0),
IF('TL06'!$B$3=J$3,SUMIF('TL06'!$C$10:$C$224,$C104,'TL06'!$J$10:$J$224),0),
IF('TL06'!$B$229=J$3,SUMIF('TL06'!$C$238:$C$451,$C104,'TL06'!$J$238:$J$451),0),
IF('TL07'!$B$3=J$3,SUMIF('TL07'!$C$10:$C$224,$C104,'TL07'!$J$10:$J$224),0),
IF('TL07'!$B$229=J$3,SUMIF('TL07'!$C$238:$C$451,$C104,'TL07'!$J$238:$J$451),0),
IF('TL08'!$B$3=J$3,SUMIF('TL08'!$C$10:$C$224,$C104,'TL08'!$J$10:$J$224),0),
IF('TL08'!$B$229=J$3,SUMIF('TL08'!$C$238:$C$451,$C104,'TL08'!$J$238:$J$451),0),
IF('TL09'!$B$3=J$3,SUMIF('TL09'!$C$10:$C$224,$C104,'TL09'!$J$10:$J$224),0),
IF('TL09'!$B$229=J$3,SUMIF('TL09'!$C$238:$C$451,$C104,'TL09'!$J$238:$J$451),0),
IF('TL10'!$B$3=J$3,SUMIF('TL10'!$C$10:$C$224,$C104,'TL10'!$J$10:$J$224),0),
IF('TL10'!$B$229=J$3,SUMIF('TL10'!$C$238:$C$451,$C104,'TL10'!$J$238:$J$451),0),
IF('TL11'!$B$3=J$3,SUMIF('TL11'!$C$10:$C$224,$C104,'TL11'!$J$10:$J$224),0),
IF('TL11'!$B$229=J$3,SUMIF('TL11'!$C$238:$C$451,$C104,'TL11'!$J$238:$J$451),0),
IF('TL12'!$B$3=J$3,SUMIF('TL12'!$C$10:$C$224,$C104,'TL12'!$J$10:$J$224),0),
IF('TL12'!$B$229=J$3,SUMIF('TL12'!$C$238:$C$451,$C104,'TL12'!$J$238:$J$451),0),
IF('TL13'!$B$3=J$3,SUMIF('TL13'!$C$10:$C$224,$C104,'TL13'!$J$10:$J$224),0),
IF('TL13'!$B$229=J$3,SUMIF('TL13'!$C$238:$C$451,$C104,'TL13'!$J$238:$J$451),0),
IF('TL14'!$B$3=J$3,SUMIF('TL14'!$C$10:$C$224,$C104,'TL14'!$J$10:$J$224),0),
IF('TL14'!$B$229=J$3,SUMIF('TL14'!$C$238:$C$451,$C104,'TL14'!$J$238:$J$451),0),
IF('TL15'!$B$3=J$3,SUMIF('TL15'!$C$10:$C$224,$C104,'TL15'!$J$10:$J$224),0),
IF('TL15'!$B$229=J$3,SUMIF('TL15'!$C$238:$C$451,$C104,'TL15'!$J$238:$J$451),0),
IF('TL16'!$B$3=J$3,SUMIF('TL16'!$C$10:$C$224,$C104,'TL16'!$J$10:$J$224),0),
IF('TL16'!$B$229=J$3,SUMIF('TL16'!$C$238:$C$451,$C104,'TL16'!$J$238:$J$451),0),
IF('TL17'!$B$3=J$3,SUMIF('TL17'!$C$10:$C$224,$C104,'TL17'!$J$10:$J$224),0),
IF('TL17'!$B$229=J$3,SUMIF('TL17'!$C$238:$C$451,$C104,'TL17'!$J$238:$J$451),0),
IF('TL18'!$B$3=J$3,SUMIF('TL18'!$C$10:$C$224,$C104,'TL18'!$J$10:$J$224),0),
IF('TL18'!$B$229=J$3,SUMIF('TL18'!$C$238:$C$451,$C104,'TL18'!$J$238:$J$451),0),
IF('TL19'!$B$3=J$3,SUMIF('TL19'!$C$10:$C$224,$C104,'TL19'!$J$10:$J$224),0),
IF('TL19'!$B$229=J$3,SUMIF('TL19'!$C$238:$C$451,$C104,'TL19'!$J$238:$J$451),0)
),0)</f>
        <v>0</v>
      </c>
      <c r="K104" s="9">
        <f>IFERROR(SUM(
IF('TL01'!$B$3=K$3,SUMIF('TL01'!$C$10:$C$224,$C104,'TL01'!$J$10:$J$224),0),
IF('TL01'!$B$229=K$3,SUMIF('TL01'!$C$238:$C$451,$C104,'TL01'!$J$238:$J$451),0),
IF('TL02'!$B$3=K$3,SUMIF('TL02'!$C$10:$C$224,$C104,'TL02'!$J$10:$J$224),0),
IF('TL02'!$B$229=K$3,SUMIF('TL02'!$C$238:$C$451,$C104,'TL02'!$J$238:$J$451),0),
IF('TL03'!$B$3=K$3,SUMIF('TL03'!$C$10:$C$224,$C104,'TL03'!$J$10:$J$224),0),
IF('TL03'!$B$229=K$3,SUMIF('TL03'!$C$238:$C$451,$C104,'TL03'!$J$238:$J$451),0),
IF('TL04'!$B$3=K$3,SUMIF('TL04'!$C$10:$C$224,$C104,'TL04'!$J$10:$J$224),0),
IF('TL04'!$B$229=K$3,SUMIF('TL04'!$C$238:$C$451,$C104,'TL04'!$J$238:$J$451),0),
IF('TL05'!$B$3=K$3,SUMIF('TL05'!$C$10:$C$224,$C104,'TL05'!$J$10:$J$224),0),
IF('TL05'!$B$229=K$3,SUMIF('TL05'!$C$238:$C$451,$C104,'TL05'!$J$238:$J$451),0),
IF('TL06'!$B$3=K$3,SUMIF('TL06'!$C$10:$C$224,$C104,'TL06'!$J$10:$J$224),0),
IF('TL06'!$B$229=K$3,SUMIF('TL06'!$C$238:$C$451,$C104,'TL06'!$J$238:$J$451),0),
IF('TL07'!$B$3=K$3,SUMIF('TL07'!$C$10:$C$224,$C104,'TL07'!$J$10:$J$224),0),
IF('TL07'!$B$229=K$3,SUMIF('TL07'!$C$238:$C$451,$C104,'TL07'!$J$238:$J$451),0),
IF('TL08'!$B$3=K$3,SUMIF('TL08'!$C$10:$C$224,$C104,'TL08'!$J$10:$J$224),0),
IF('TL08'!$B$229=K$3,SUMIF('TL08'!$C$238:$C$451,$C104,'TL08'!$J$238:$J$451),0),
IF('TL09'!$B$3=K$3,SUMIF('TL09'!$C$10:$C$224,$C104,'TL09'!$J$10:$J$224),0),
IF('TL09'!$B$229=K$3,SUMIF('TL09'!$C$238:$C$451,$C104,'TL09'!$J$238:$J$451),0),
IF('TL10'!$B$3=K$3,SUMIF('TL10'!$C$10:$C$224,$C104,'TL10'!$J$10:$J$224),0),
IF('TL10'!$B$229=K$3,SUMIF('TL10'!$C$238:$C$451,$C104,'TL10'!$J$238:$J$451),0),
IF('TL11'!$B$3=K$3,SUMIF('TL11'!$C$10:$C$224,$C104,'TL11'!$J$10:$J$224),0),
IF('TL11'!$B$229=K$3,SUMIF('TL11'!$C$238:$C$451,$C104,'TL11'!$J$238:$J$451),0),
IF('TL12'!$B$3=K$3,SUMIF('TL12'!$C$10:$C$224,$C104,'TL12'!$J$10:$J$224),0),
IF('TL12'!$B$229=K$3,SUMIF('TL12'!$C$238:$C$451,$C104,'TL12'!$J$238:$J$451),0),
IF('TL13'!$B$3=K$3,SUMIF('TL13'!$C$10:$C$224,$C104,'TL13'!$J$10:$J$224),0),
IF('TL13'!$B$229=K$3,SUMIF('TL13'!$C$238:$C$451,$C104,'TL13'!$J$238:$J$451),0),
IF('TL14'!$B$3=K$3,SUMIF('TL14'!$C$10:$C$224,$C104,'TL14'!$J$10:$J$224),0),
IF('TL14'!$B$229=K$3,SUMIF('TL14'!$C$238:$C$451,$C104,'TL14'!$J$238:$J$451),0),
IF('TL15'!$B$3=K$3,SUMIF('TL15'!$C$10:$C$224,$C104,'TL15'!$J$10:$J$224),0),
IF('TL15'!$B$229=K$3,SUMIF('TL15'!$C$238:$C$451,$C104,'TL15'!$J$238:$J$451),0),
IF('TL16'!$B$3=K$3,SUMIF('TL16'!$C$10:$C$224,$C104,'TL16'!$J$10:$J$224),0),
IF('TL16'!$B$229=K$3,SUMIF('TL16'!$C$238:$C$451,$C104,'TL16'!$J$238:$J$451),0),
IF('TL17'!$B$3=K$3,SUMIF('TL17'!$C$10:$C$224,$C104,'TL17'!$J$10:$J$224),0),
IF('TL17'!$B$229=K$3,SUMIF('TL17'!$C$238:$C$451,$C104,'TL17'!$J$238:$J$451),0),
IF('TL18'!$B$3=K$3,SUMIF('TL18'!$C$10:$C$224,$C104,'TL18'!$J$10:$J$224),0),
IF('TL18'!$B$229=K$3,SUMIF('TL18'!$C$238:$C$451,$C104,'TL18'!$J$238:$J$451),0),
IF('TL19'!$B$3=K$3,SUMIF('TL19'!$C$10:$C$224,$C104,'TL19'!$J$10:$J$224),0),
IF('TL19'!$B$229=K$3,SUMIF('TL19'!$C$238:$C$451,$C104,'TL19'!$J$238:$J$451),0)
),0)</f>
        <v>0</v>
      </c>
      <c r="L104" s="9">
        <f>IFERROR(SUM(
IF('TL01'!$B$3=L$3,SUMIF('TL01'!$C$10:$C$224,$C104,'TL01'!$J$10:$J$224),0),
IF('TL01'!$B$229=L$3,SUMIF('TL01'!$C$238:$C$451,$C104,'TL01'!$J$238:$J$451),0),
IF('TL02'!$B$3=L$3,SUMIF('TL02'!$C$10:$C$224,$C104,'TL02'!$J$10:$J$224),0),
IF('TL02'!$B$229=L$3,SUMIF('TL02'!$C$238:$C$451,$C104,'TL02'!$J$238:$J$451),0),
IF('TL03'!$B$3=L$3,SUMIF('TL03'!$C$10:$C$224,$C104,'TL03'!$J$10:$J$224),0),
IF('TL03'!$B$229=L$3,SUMIF('TL03'!$C$238:$C$451,$C104,'TL03'!$J$238:$J$451),0),
IF('TL04'!$B$3=L$3,SUMIF('TL04'!$C$10:$C$224,$C104,'TL04'!$J$10:$J$224),0),
IF('TL04'!$B$229=L$3,SUMIF('TL04'!$C$238:$C$451,$C104,'TL04'!$J$238:$J$451),0),
IF('TL05'!$B$3=L$3,SUMIF('TL05'!$C$10:$C$224,$C104,'TL05'!$J$10:$J$224),0),
IF('TL05'!$B$229=L$3,SUMIF('TL05'!$C$238:$C$451,$C104,'TL05'!$J$238:$J$451),0),
IF('TL06'!$B$3=L$3,SUMIF('TL06'!$C$10:$C$224,$C104,'TL06'!$J$10:$J$224),0),
IF('TL06'!$B$229=L$3,SUMIF('TL06'!$C$238:$C$451,$C104,'TL06'!$J$238:$J$451),0),
IF('TL07'!$B$3=L$3,SUMIF('TL07'!$C$10:$C$224,$C104,'TL07'!$J$10:$J$224),0),
IF('TL07'!$B$229=L$3,SUMIF('TL07'!$C$238:$C$451,$C104,'TL07'!$J$238:$J$451),0),
IF('TL08'!$B$3=L$3,SUMIF('TL08'!$C$10:$C$224,$C104,'TL08'!$J$10:$J$224),0),
IF('TL08'!$B$229=L$3,SUMIF('TL08'!$C$238:$C$451,$C104,'TL08'!$J$238:$J$451),0),
IF('TL09'!$B$3=L$3,SUMIF('TL09'!$C$10:$C$224,$C104,'TL09'!$J$10:$J$224),0),
IF('TL09'!$B$229=L$3,SUMIF('TL09'!$C$238:$C$451,$C104,'TL09'!$J$238:$J$451),0),
IF('TL10'!$B$3=L$3,SUMIF('TL10'!$C$10:$C$224,$C104,'TL10'!$J$10:$J$224),0),
IF('TL10'!$B$229=L$3,SUMIF('TL10'!$C$238:$C$451,$C104,'TL10'!$J$238:$J$451),0),
IF('TL11'!$B$3=L$3,SUMIF('TL11'!$C$10:$C$224,$C104,'TL11'!$J$10:$J$224),0),
IF('TL11'!$B$229=L$3,SUMIF('TL11'!$C$238:$C$451,$C104,'TL11'!$J$238:$J$451),0),
IF('TL12'!$B$3=L$3,SUMIF('TL12'!$C$10:$C$224,$C104,'TL12'!$J$10:$J$224),0),
IF('TL12'!$B$229=L$3,SUMIF('TL12'!$C$238:$C$451,$C104,'TL12'!$J$238:$J$451),0),
IF('TL13'!$B$3=L$3,SUMIF('TL13'!$C$10:$C$224,$C104,'TL13'!$J$10:$J$224),0),
IF('TL13'!$B$229=L$3,SUMIF('TL13'!$C$238:$C$451,$C104,'TL13'!$J$238:$J$451),0),
IF('TL14'!$B$3=L$3,SUMIF('TL14'!$C$10:$C$224,$C104,'TL14'!$J$10:$J$224),0),
IF('TL14'!$B$229=L$3,SUMIF('TL14'!$C$238:$C$451,$C104,'TL14'!$J$238:$J$451),0),
IF('TL15'!$B$3=L$3,SUMIF('TL15'!$C$10:$C$224,$C104,'TL15'!$J$10:$J$224),0),
IF('TL15'!$B$229=L$3,SUMIF('TL15'!$C$238:$C$451,$C104,'TL15'!$J$238:$J$451),0),
IF('TL16'!$B$3=L$3,SUMIF('TL16'!$C$10:$C$224,$C104,'TL16'!$J$10:$J$224),0),
IF('TL16'!$B$229=L$3,SUMIF('TL16'!$C$238:$C$451,$C104,'TL16'!$J$238:$J$451),0),
IF('TL17'!$B$3=L$3,SUMIF('TL17'!$C$10:$C$224,$C104,'TL17'!$J$10:$J$224),0),
IF('TL17'!$B$229=L$3,SUMIF('TL17'!$C$238:$C$451,$C104,'TL17'!$J$238:$J$451),0),
IF('TL18'!$B$3=L$3,SUMIF('TL18'!$C$10:$C$224,$C104,'TL18'!$J$10:$J$224),0),
IF('TL18'!$B$229=L$3,SUMIF('TL18'!$C$238:$C$451,$C104,'TL18'!$J$238:$J$451),0),
IF('TL19'!$B$3=L$3,SUMIF('TL19'!$C$10:$C$224,$C104,'TL19'!$J$10:$J$224),0),
IF('TL19'!$B$229=L$3,SUMIF('TL19'!$C$238:$C$451,$C104,'TL19'!$J$238:$J$451),0)
),0)</f>
        <v>0</v>
      </c>
      <c r="M104" s="9">
        <f>IFERROR(SUM(
IF('TL01'!$B$3=M$3,SUMIF('TL01'!$C$10:$C$224,$C104,'TL01'!$J$10:$J$224),0),
IF('TL01'!$B$229=M$3,SUMIF('TL01'!$C$238:$C$451,$C104,'TL01'!$J$238:$J$451),0),
IF('TL02'!$B$3=M$3,SUMIF('TL02'!$C$10:$C$224,$C104,'TL02'!$J$10:$J$224),0),
IF('TL02'!$B$229=M$3,SUMIF('TL02'!$C$238:$C$451,$C104,'TL02'!$J$238:$J$451),0),
IF('TL03'!$B$3=M$3,SUMIF('TL03'!$C$10:$C$224,$C104,'TL03'!$J$10:$J$224),0),
IF('TL03'!$B$229=M$3,SUMIF('TL03'!$C$238:$C$451,$C104,'TL03'!$J$238:$J$451),0),
IF('TL04'!$B$3=M$3,SUMIF('TL04'!$C$10:$C$224,$C104,'TL04'!$J$10:$J$224),0),
IF('TL04'!$B$229=M$3,SUMIF('TL04'!$C$238:$C$451,$C104,'TL04'!$J$238:$J$451),0),
IF('TL05'!$B$3=M$3,SUMIF('TL05'!$C$10:$C$224,$C104,'TL05'!$J$10:$J$224),0),
IF('TL05'!$B$229=M$3,SUMIF('TL05'!$C$238:$C$451,$C104,'TL05'!$J$238:$J$451),0),
IF('TL06'!$B$3=M$3,SUMIF('TL06'!$C$10:$C$224,$C104,'TL06'!$J$10:$J$224),0),
IF('TL06'!$B$229=M$3,SUMIF('TL06'!$C$238:$C$451,$C104,'TL06'!$J$238:$J$451),0),
IF('TL07'!$B$3=M$3,SUMIF('TL07'!$C$10:$C$224,$C104,'TL07'!$J$10:$J$224),0),
IF('TL07'!$B$229=M$3,SUMIF('TL07'!$C$238:$C$451,$C104,'TL07'!$J$238:$J$451),0),
IF('TL08'!$B$3=M$3,SUMIF('TL08'!$C$10:$C$224,$C104,'TL08'!$J$10:$J$224),0),
IF('TL08'!$B$229=M$3,SUMIF('TL08'!$C$238:$C$451,$C104,'TL08'!$J$238:$J$451),0),
IF('TL09'!$B$3=M$3,SUMIF('TL09'!$C$10:$C$224,$C104,'TL09'!$J$10:$J$224),0),
IF('TL09'!$B$229=M$3,SUMIF('TL09'!$C$238:$C$451,$C104,'TL09'!$J$238:$J$451),0),
IF('TL10'!$B$3=M$3,SUMIF('TL10'!$C$10:$C$224,$C104,'TL10'!$J$10:$J$224),0),
IF('TL10'!$B$229=M$3,SUMIF('TL10'!$C$238:$C$451,$C104,'TL10'!$J$238:$J$451),0),
IF('TL11'!$B$3=M$3,SUMIF('TL11'!$C$10:$C$224,$C104,'TL11'!$J$10:$J$224),0),
IF('TL11'!$B$229=M$3,SUMIF('TL11'!$C$238:$C$451,$C104,'TL11'!$J$238:$J$451),0),
IF('TL12'!$B$3=M$3,SUMIF('TL12'!$C$10:$C$224,$C104,'TL12'!$J$10:$J$224),0),
IF('TL12'!$B$229=M$3,SUMIF('TL12'!$C$238:$C$451,$C104,'TL12'!$J$238:$J$451),0),
IF('TL13'!$B$3=M$3,SUMIF('TL13'!$C$10:$C$224,$C104,'TL13'!$J$10:$J$224),0),
IF('TL13'!$B$229=M$3,SUMIF('TL13'!$C$238:$C$451,$C104,'TL13'!$J$238:$J$451),0),
IF('TL14'!$B$3=M$3,SUMIF('TL14'!$C$10:$C$224,$C104,'TL14'!$J$10:$J$224),0),
IF('TL14'!$B$229=M$3,SUMIF('TL14'!$C$238:$C$451,$C104,'TL14'!$J$238:$J$451),0),
IF('TL15'!$B$3=M$3,SUMIF('TL15'!$C$10:$C$224,$C104,'TL15'!$J$10:$J$224),0),
IF('TL15'!$B$229=M$3,SUMIF('TL15'!$C$238:$C$451,$C104,'TL15'!$J$238:$J$451),0),
IF('TL16'!$B$3=M$3,SUMIF('TL16'!$C$10:$C$224,$C104,'TL16'!$J$10:$J$224),0),
IF('TL16'!$B$229=M$3,SUMIF('TL16'!$C$238:$C$451,$C104,'TL16'!$J$238:$J$451),0),
IF('TL17'!$B$3=M$3,SUMIF('TL17'!$C$10:$C$224,$C104,'TL17'!$J$10:$J$224),0),
IF('TL17'!$B$229=M$3,SUMIF('TL17'!$C$238:$C$451,$C104,'TL17'!$J$238:$J$451),0),
IF('TL18'!$B$3=M$3,SUMIF('TL18'!$C$10:$C$224,$C104,'TL18'!$J$10:$J$224),0),
IF('TL18'!$B$229=M$3,SUMIF('TL18'!$C$238:$C$451,$C104,'TL18'!$J$238:$J$451),0),
IF('TL19'!$B$3=M$3,SUMIF('TL19'!$C$10:$C$224,$C104,'TL19'!$J$10:$J$224),0),
IF('TL19'!$B$229=M$3,SUMIF('TL19'!$C$238:$C$451,$C104,'TL19'!$J$238:$J$451),0)
),0)</f>
        <v>0</v>
      </c>
      <c r="N104" s="9">
        <f>IFERROR(SUM(
IF('TL01'!$B$3=N$3,SUMIF('TL01'!$C$10:$C$224,$C104,'TL01'!$J$10:$J$224),0),
IF('TL01'!$B$229=N$3,SUMIF('TL01'!$C$238:$C$451,$C104,'TL01'!$J$238:$J$451),0),
IF('TL02'!$B$3=N$3,SUMIF('TL02'!$C$10:$C$224,$C104,'TL02'!$J$10:$J$224),0),
IF('TL02'!$B$229=N$3,SUMIF('TL02'!$C$238:$C$451,$C104,'TL02'!$J$238:$J$451),0),
IF('TL03'!$B$3=N$3,SUMIF('TL03'!$C$10:$C$224,$C104,'TL03'!$J$10:$J$224),0),
IF('TL03'!$B$229=N$3,SUMIF('TL03'!$C$238:$C$451,$C104,'TL03'!$J$238:$J$451),0),
IF('TL04'!$B$3=N$3,SUMIF('TL04'!$C$10:$C$224,$C104,'TL04'!$J$10:$J$224),0),
IF('TL04'!$B$229=N$3,SUMIF('TL04'!$C$238:$C$451,$C104,'TL04'!$J$238:$J$451),0),
IF('TL05'!$B$3=N$3,SUMIF('TL05'!$C$10:$C$224,$C104,'TL05'!$J$10:$J$224),0),
IF('TL05'!$B$229=N$3,SUMIF('TL05'!$C$238:$C$451,$C104,'TL05'!$J$238:$J$451),0),
IF('TL06'!$B$3=N$3,SUMIF('TL06'!$C$10:$C$224,$C104,'TL06'!$J$10:$J$224),0),
IF('TL06'!$B$229=N$3,SUMIF('TL06'!$C$238:$C$451,$C104,'TL06'!$J$238:$J$451),0),
IF('TL07'!$B$3=N$3,SUMIF('TL07'!$C$10:$C$224,$C104,'TL07'!$J$10:$J$224),0),
IF('TL07'!$B$229=N$3,SUMIF('TL07'!$C$238:$C$451,$C104,'TL07'!$J$238:$J$451),0),
IF('TL08'!$B$3=N$3,SUMIF('TL08'!$C$10:$C$224,$C104,'TL08'!$J$10:$J$224),0),
IF('TL08'!$B$229=N$3,SUMIF('TL08'!$C$238:$C$451,$C104,'TL08'!$J$238:$J$451),0),
IF('TL09'!$B$3=N$3,SUMIF('TL09'!$C$10:$C$224,$C104,'TL09'!$J$10:$J$224),0),
IF('TL09'!$B$229=N$3,SUMIF('TL09'!$C$238:$C$451,$C104,'TL09'!$J$238:$J$451),0),
IF('TL10'!$B$3=N$3,SUMIF('TL10'!$C$10:$C$224,$C104,'TL10'!$J$10:$J$224),0),
IF('TL10'!$B$229=N$3,SUMIF('TL10'!$C$238:$C$451,$C104,'TL10'!$J$238:$J$451),0),
IF('TL11'!$B$3=N$3,SUMIF('TL11'!$C$10:$C$224,$C104,'TL11'!$J$10:$J$224),0),
IF('TL11'!$B$229=N$3,SUMIF('TL11'!$C$238:$C$451,$C104,'TL11'!$J$238:$J$451),0),
IF('TL12'!$B$3=N$3,SUMIF('TL12'!$C$10:$C$224,$C104,'TL12'!$J$10:$J$224),0),
IF('TL12'!$B$229=N$3,SUMIF('TL12'!$C$238:$C$451,$C104,'TL12'!$J$238:$J$451),0),
IF('TL13'!$B$3=N$3,SUMIF('TL13'!$C$10:$C$224,$C104,'TL13'!$J$10:$J$224),0),
IF('TL13'!$B$229=N$3,SUMIF('TL13'!$C$238:$C$451,$C104,'TL13'!$J$238:$J$451),0),
IF('TL14'!$B$3=N$3,SUMIF('TL14'!$C$10:$C$224,$C104,'TL14'!$J$10:$J$224),0),
IF('TL14'!$B$229=N$3,SUMIF('TL14'!$C$238:$C$451,$C104,'TL14'!$J$238:$J$451),0),
IF('TL15'!$B$3=N$3,SUMIF('TL15'!$C$10:$C$224,$C104,'TL15'!$J$10:$J$224),0),
IF('TL15'!$B$229=N$3,SUMIF('TL15'!$C$238:$C$451,$C104,'TL15'!$J$238:$J$451),0),
IF('TL16'!$B$3=N$3,SUMIF('TL16'!$C$10:$C$224,$C104,'TL16'!$J$10:$J$224),0),
IF('TL16'!$B$229=N$3,SUMIF('TL16'!$C$238:$C$451,$C104,'TL16'!$J$238:$J$451),0),
IF('TL17'!$B$3=N$3,SUMIF('TL17'!$C$10:$C$224,$C104,'TL17'!$J$10:$J$224),0),
IF('TL17'!$B$229=N$3,SUMIF('TL17'!$C$238:$C$451,$C104,'TL17'!$J$238:$J$451),0),
IF('TL18'!$B$3=N$3,SUMIF('TL18'!$C$10:$C$224,$C104,'TL18'!$J$10:$J$224),0),
IF('TL18'!$B$229=N$3,SUMIF('TL18'!$C$238:$C$451,$C104,'TL18'!$J$238:$J$451),0),
IF('TL19'!$B$3=N$3,SUMIF('TL19'!$C$10:$C$224,$C104,'TL19'!$J$10:$J$224),0),
IF('TL19'!$B$229=N$3,SUMIF('TL19'!$C$238:$C$451,$C104,'TL19'!$J$238:$J$451),0)
),0)</f>
        <v>0</v>
      </c>
      <c r="O104" s="9">
        <f>IFERROR(SUM(
IF('TL01'!$B$3=O$3,SUMIF('TL01'!$C$10:$C$224,$C104,'TL01'!$J$10:$J$224),0),
IF('TL01'!$B$229=O$3,SUMIF('TL01'!$C$238:$C$451,$C104,'TL01'!$J$238:$J$451),0),
IF('TL02'!$B$3=O$3,SUMIF('TL02'!$C$10:$C$224,$C104,'TL02'!$J$10:$J$224),0),
IF('TL02'!$B$229=O$3,SUMIF('TL02'!$C$238:$C$451,$C104,'TL02'!$J$238:$J$451),0),
IF('TL03'!$B$3=O$3,SUMIF('TL03'!$C$10:$C$224,$C104,'TL03'!$J$10:$J$224),0),
IF('TL03'!$B$229=O$3,SUMIF('TL03'!$C$238:$C$451,$C104,'TL03'!$J$238:$J$451),0),
IF('TL04'!$B$3=O$3,SUMIF('TL04'!$C$10:$C$224,$C104,'TL04'!$J$10:$J$224),0),
IF('TL04'!$B$229=O$3,SUMIF('TL04'!$C$238:$C$451,$C104,'TL04'!$J$238:$J$451),0),
IF('TL05'!$B$3=O$3,SUMIF('TL05'!$C$10:$C$224,$C104,'TL05'!$J$10:$J$224),0),
IF('TL05'!$B$229=O$3,SUMIF('TL05'!$C$238:$C$451,$C104,'TL05'!$J$238:$J$451),0),
IF('TL06'!$B$3=O$3,SUMIF('TL06'!$C$10:$C$224,$C104,'TL06'!$J$10:$J$224),0),
IF('TL06'!$B$229=O$3,SUMIF('TL06'!$C$238:$C$451,$C104,'TL06'!$J$238:$J$451),0),
IF('TL07'!$B$3=O$3,SUMIF('TL07'!$C$10:$C$224,$C104,'TL07'!$J$10:$J$224),0),
IF('TL07'!$B$229=O$3,SUMIF('TL07'!$C$238:$C$451,$C104,'TL07'!$J$238:$J$451),0),
IF('TL08'!$B$3=O$3,SUMIF('TL08'!$C$10:$C$224,$C104,'TL08'!$J$10:$J$224),0),
IF('TL08'!$B$229=O$3,SUMIF('TL08'!$C$238:$C$451,$C104,'TL08'!$J$238:$J$451),0),
IF('TL09'!$B$3=O$3,SUMIF('TL09'!$C$10:$C$224,$C104,'TL09'!$J$10:$J$224),0),
IF('TL09'!$B$229=O$3,SUMIF('TL09'!$C$238:$C$451,$C104,'TL09'!$J$238:$J$451),0),
IF('TL10'!$B$3=O$3,SUMIF('TL10'!$C$10:$C$224,$C104,'TL10'!$J$10:$J$224),0),
IF('TL10'!$B$229=O$3,SUMIF('TL10'!$C$238:$C$451,$C104,'TL10'!$J$238:$J$451),0),
IF('TL11'!$B$3=O$3,SUMIF('TL11'!$C$10:$C$224,$C104,'TL11'!$J$10:$J$224),0),
IF('TL11'!$B$229=O$3,SUMIF('TL11'!$C$238:$C$451,$C104,'TL11'!$J$238:$J$451),0),
IF('TL12'!$B$3=O$3,SUMIF('TL12'!$C$10:$C$224,$C104,'TL12'!$J$10:$J$224),0),
IF('TL12'!$B$229=O$3,SUMIF('TL12'!$C$238:$C$451,$C104,'TL12'!$J$238:$J$451),0),
IF('TL13'!$B$3=O$3,SUMIF('TL13'!$C$10:$C$224,$C104,'TL13'!$J$10:$J$224),0),
IF('TL13'!$B$229=O$3,SUMIF('TL13'!$C$238:$C$451,$C104,'TL13'!$J$238:$J$451),0),
IF('TL14'!$B$3=O$3,SUMIF('TL14'!$C$10:$C$224,$C104,'TL14'!$J$10:$J$224),0),
IF('TL14'!$B$229=O$3,SUMIF('TL14'!$C$238:$C$451,$C104,'TL14'!$J$238:$J$451),0),
IF('TL15'!$B$3=O$3,SUMIF('TL15'!$C$10:$C$224,$C104,'TL15'!$J$10:$J$224),0),
IF('TL15'!$B$229=O$3,SUMIF('TL15'!$C$238:$C$451,$C104,'TL15'!$J$238:$J$451),0),
IF('TL16'!$B$3=O$3,SUMIF('TL16'!$C$10:$C$224,$C104,'TL16'!$J$10:$J$224),0),
IF('TL16'!$B$229=O$3,SUMIF('TL16'!$C$238:$C$451,$C104,'TL16'!$J$238:$J$451),0),
IF('TL17'!$B$3=O$3,SUMIF('TL17'!$C$10:$C$224,$C104,'TL17'!$J$10:$J$224),0),
IF('TL17'!$B$229=O$3,SUMIF('TL17'!$C$238:$C$451,$C104,'TL17'!$J$238:$J$451),0),
IF('TL18'!$B$3=O$3,SUMIF('TL18'!$C$10:$C$224,$C104,'TL18'!$J$10:$J$224),0),
IF('TL18'!$B$229=O$3,SUMIF('TL18'!$C$238:$C$451,$C104,'TL18'!$J$238:$J$451),0),
IF('TL19'!$B$3=O$3,SUMIF('TL19'!$C$10:$C$224,$C104,'TL19'!$J$10:$J$224),0),
IF('TL19'!$B$229=O$3,SUMIF('TL19'!$C$238:$C$451,$C104,'TL19'!$J$238:$J$451),0)
),0)</f>
        <v>0</v>
      </c>
      <c r="P104" s="9">
        <f>IFERROR(SUM(
IF('TL01'!$B$3=P$3,SUMIF('TL01'!$C$10:$C$224,$C104,'TL01'!$J$10:$J$224),0),
IF('TL01'!$B$229=P$3,SUMIF('TL01'!$C$238:$C$451,$C104,'TL01'!$J$238:$J$451),0),
IF('TL02'!$B$3=P$3,SUMIF('TL02'!$C$10:$C$224,$C104,'TL02'!$J$10:$J$224),0),
IF('TL02'!$B$229=P$3,SUMIF('TL02'!$C$238:$C$451,$C104,'TL02'!$J$238:$J$451),0),
IF('TL03'!$B$3=P$3,SUMIF('TL03'!$C$10:$C$224,$C104,'TL03'!$J$10:$J$224),0),
IF('TL03'!$B$229=P$3,SUMIF('TL03'!$C$238:$C$451,$C104,'TL03'!$J$238:$J$451),0),
IF('TL04'!$B$3=P$3,SUMIF('TL04'!$C$10:$C$224,$C104,'TL04'!$J$10:$J$224),0),
IF('TL04'!$B$229=P$3,SUMIF('TL04'!$C$238:$C$451,$C104,'TL04'!$J$238:$J$451),0),
IF('TL05'!$B$3=P$3,SUMIF('TL05'!$C$10:$C$224,$C104,'TL05'!$J$10:$J$224),0),
IF('TL05'!$B$229=P$3,SUMIF('TL05'!$C$238:$C$451,$C104,'TL05'!$J$238:$J$451),0),
IF('TL06'!$B$3=P$3,SUMIF('TL06'!$C$10:$C$224,$C104,'TL06'!$J$10:$J$224),0),
IF('TL06'!$B$229=P$3,SUMIF('TL06'!$C$238:$C$451,$C104,'TL06'!$J$238:$J$451),0),
IF('TL07'!$B$3=P$3,SUMIF('TL07'!$C$10:$C$224,$C104,'TL07'!$J$10:$J$224),0),
IF('TL07'!$B$229=P$3,SUMIF('TL07'!$C$238:$C$451,$C104,'TL07'!$J$238:$J$451),0),
IF('TL08'!$B$3=P$3,SUMIF('TL08'!$C$10:$C$224,$C104,'TL08'!$J$10:$J$224),0),
IF('TL08'!$B$229=P$3,SUMIF('TL08'!$C$238:$C$451,$C104,'TL08'!$J$238:$J$451),0),
IF('TL09'!$B$3=P$3,SUMIF('TL09'!$C$10:$C$224,$C104,'TL09'!$J$10:$J$224),0),
IF('TL09'!$B$229=P$3,SUMIF('TL09'!$C$238:$C$451,$C104,'TL09'!$J$238:$J$451),0),
IF('TL10'!$B$3=P$3,SUMIF('TL10'!$C$10:$C$224,$C104,'TL10'!$J$10:$J$224),0),
IF('TL10'!$B$229=P$3,SUMIF('TL10'!$C$238:$C$451,$C104,'TL10'!$J$238:$J$451),0),
IF('TL11'!$B$3=P$3,SUMIF('TL11'!$C$10:$C$224,$C104,'TL11'!$J$10:$J$224),0),
IF('TL11'!$B$229=P$3,SUMIF('TL11'!$C$238:$C$451,$C104,'TL11'!$J$238:$J$451),0),
IF('TL12'!$B$3=P$3,SUMIF('TL12'!$C$10:$C$224,$C104,'TL12'!$J$10:$J$224),0),
IF('TL12'!$B$229=P$3,SUMIF('TL12'!$C$238:$C$451,$C104,'TL12'!$J$238:$J$451),0),
IF('TL13'!$B$3=P$3,SUMIF('TL13'!$C$10:$C$224,$C104,'TL13'!$J$10:$J$224),0),
IF('TL13'!$B$229=P$3,SUMIF('TL13'!$C$238:$C$451,$C104,'TL13'!$J$238:$J$451),0),
IF('TL14'!$B$3=P$3,SUMIF('TL14'!$C$10:$C$224,$C104,'TL14'!$J$10:$J$224),0),
IF('TL14'!$B$229=P$3,SUMIF('TL14'!$C$238:$C$451,$C104,'TL14'!$J$238:$J$451),0),
IF('TL15'!$B$3=P$3,SUMIF('TL15'!$C$10:$C$224,$C104,'TL15'!$J$10:$J$224),0),
IF('TL15'!$B$229=P$3,SUMIF('TL15'!$C$238:$C$451,$C104,'TL15'!$J$238:$J$451),0),
IF('TL16'!$B$3=P$3,SUMIF('TL16'!$C$10:$C$224,$C104,'TL16'!$J$10:$J$224),0),
IF('TL16'!$B$229=P$3,SUMIF('TL16'!$C$238:$C$451,$C104,'TL16'!$J$238:$J$451),0),
IF('TL17'!$B$3=P$3,SUMIF('TL17'!$C$10:$C$224,$C104,'TL17'!$J$10:$J$224),0),
IF('TL17'!$B$229=P$3,SUMIF('TL17'!$C$238:$C$451,$C104,'TL17'!$J$238:$J$451),0),
IF('TL18'!$B$3=P$3,SUMIF('TL18'!$C$10:$C$224,$C104,'TL18'!$J$10:$J$224),0),
IF('TL18'!$B$229=P$3,SUMIF('TL18'!$C$238:$C$451,$C104,'TL18'!$J$238:$J$451),0),
IF('TL19'!$B$3=P$3,SUMIF('TL19'!$C$10:$C$224,$C104,'TL19'!$J$10:$J$224),0),
IF('TL19'!$B$229=P$3,SUMIF('TL19'!$C$238:$C$451,$C104,'TL19'!$J$238:$J$451),0)
),0)</f>
        <v>0</v>
      </c>
      <c r="Q104" s="9">
        <f>IFERROR(SUM(
IF('TL01'!$B$3=Q$3,SUMIF('TL01'!$C$10:$C$224,$C104,'TL01'!$J$10:$J$224),0),
IF('TL01'!$B$229=Q$3,SUMIF('TL01'!$C$238:$C$451,$C104,'TL01'!$J$238:$J$451),0),
IF('TL02'!$B$3=Q$3,SUMIF('TL02'!$C$10:$C$224,$C104,'TL02'!$J$10:$J$224),0),
IF('TL02'!$B$229=Q$3,SUMIF('TL02'!$C$238:$C$451,$C104,'TL02'!$J$238:$J$451),0),
IF('TL03'!$B$3=Q$3,SUMIF('TL03'!$C$10:$C$224,$C104,'TL03'!$J$10:$J$224),0),
IF('TL03'!$B$229=Q$3,SUMIF('TL03'!$C$238:$C$451,$C104,'TL03'!$J$238:$J$451),0),
IF('TL04'!$B$3=Q$3,SUMIF('TL04'!$C$10:$C$224,$C104,'TL04'!$J$10:$J$224),0),
IF('TL04'!$B$229=Q$3,SUMIF('TL04'!$C$238:$C$451,$C104,'TL04'!$J$238:$J$451),0),
IF('TL05'!$B$3=Q$3,SUMIF('TL05'!$C$10:$C$224,$C104,'TL05'!$J$10:$J$224),0),
IF('TL05'!$B$229=Q$3,SUMIF('TL05'!$C$238:$C$451,$C104,'TL05'!$J$238:$J$451),0),
IF('TL06'!$B$3=Q$3,SUMIF('TL06'!$C$10:$C$224,$C104,'TL06'!$J$10:$J$224),0),
IF('TL06'!$B$229=Q$3,SUMIF('TL06'!$C$238:$C$451,$C104,'TL06'!$J$238:$J$451),0),
IF('TL07'!$B$3=Q$3,SUMIF('TL07'!$C$10:$C$224,$C104,'TL07'!$J$10:$J$224),0),
IF('TL07'!$B$229=Q$3,SUMIF('TL07'!$C$238:$C$451,$C104,'TL07'!$J$238:$J$451),0),
IF('TL08'!$B$3=Q$3,SUMIF('TL08'!$C$10:$C$224,$C104,'TL08'!$J$10:$J$224),0),
IF('TL08'!$B$229=Q$3,SUMIF('TL08'!$C$238:$C$451,$C104,'TL08'!$J$238:$J$451),0),
IF('TL09'!$B$3=Q$3,SUMIF('TL09'!$C$10:$C$224,$C104,'TL09'!$J$10:$J$224),0),
IF('TL09'!$B$229=Q$3,SUMIF('TL09'!$C$238:$C$451,$C104,'TL09'!$J$238:$J$451),0),
IF('TL10'!$B$3=Q$3,SUMIF('TL10'!$C$10:$C$224,$C104,'TL10'!$J$10:$J$224),0),
IF('TL10'!$B$229=Q$3,SUMIF('TL10'!$C$238:$C$451,$C104,'TL10'!$J$238:$J$451),0),
IF('TL11'!$B$3=Q$3,SUMIF('TL11'!$C$10:$C$224,$C104,'TL11'!$J$10:$J$224),0),
IF('TL11'!$B$229=Q$3,SUMIF('TL11'!$C$238:$C$451,$C104,'TL11'!$J$238:$J$451),0),
IF('TL12'!$B$3=Q$3,SUMIF('TL12'!$C$10:$C$224,$C104,'TL12'!$J$10:$J$224),0),
IF('TL12'!$B$229=Q$3,SUMIF('TL12'!$C$238:$C$451,$C104,'TL12'!$J$238:$J$451),0),
IF('TL13'!$B$3=Q$3,SUMIF('TL13'!$C$10:$C$224,$C104,'TL13'!$J$10:$J$224),0),
IF('TL13'!$B$229=Q$3,SUMIF('TL13'!$C$238:$C$451,$C104,'TL13'!$J$238:$J$451),0),
IF('TL14'!$B$3=Q$3,SUMIF('TL14'!$C$10:$C$224,$C104,'TL14'!$J$10:$J$224),0),
IF('TL14'!$B$229=Q$3,SUMIF('TL14'!$C$238:$C$451,$C104,'TL14'!$J$238:$J$451),0),
IF('TL15'!$B$3=Q$3,SUMIF('TL15'!$C$10:$C$224,$C104,'TL15'!$J$10:$J$224),0),
IF('TL15'!$B$229=Q$3,SUMIF('TL15'!$C$238:$C$451,$C104,'TL15'!$J$238:$J$451),0),
IF('TL16'!$B$3=Q$3,SUMIF('TL16'!$C$10:$C$224,$C104,'TL16'!$J$10:$J$224),0),
IF('TL16'!$B$229=Q$3,SUMIF('TL16'!$C$238:$C$451,$C104,'TL16'!$J$238:$J$451),0),
IF('TL17'!$B$3=Q$3,SUMIF('TL17'!$C$10:$C$224,$C104,'TL17'!$J$10:$J$224),0),
IF('TL17'!$B$229=Q$3,SUMIF('TL17'!$C$238:$C$451,$C104,'TL17'!$J$238:$J$451),0),
IF('TL18'!$B$3=Q$3,SUMIF('TL18'!$C$10:$C$224,$C104,'TL18'!$J$10:$J$224),0),
IF('TL18'!$B$229=Q$3,SUMIF('TL18'!$C$238:$C$451,$C104,'TL18'!$J$238:$J$451),0),
IF('TL19'!$B$3=Q$3,SUMIF('TL19'!$C$10:$C$224,$C104,'TL19'!$J$10:$J$224),0),
IF('TL19'!$B$229=Q$3,SUMIF('TL19'!$C$238:$C$451,$C104,'TL19'!$J$238:$J$451),0)
),0)</f>
        <v>0</v>
      </c>
      <c r="R104" s="9">
        <f>IFERROR(
SUM(
SUMIF('TL01'!C:C,C104,'TL01'!J:J),
SUMIF('TL02'!C:C,C104,'TL02'!J:J),
SUMIF('TL03'!C:C,C104,'TL03'!J:J),
SUMIF('TL04'!C:C,C104,'TL04'!J:J),
SUMIF('TL05'!C:C,C104,'TL05'!J:J),
SUMIF('TL06'!C:C,C104,'TL06'!J:J),
SUMIF('TL07'!C:C,C104,'TL07'!J:J),
SUMIF('TL08'!C:C,C104,'TL08'!J:J),
SUMIF('TL09'!C:C,C104,'TL09'!J:J),
SUMIF('TL10'!C:C,C104,'TL10'!J:J),
SUMIF('TL11'!C:C,C104,'TL11'!J:J),
SUMIF('TL12'!C:C,C104,'TL12'!J:J),
SUMIF('TL13'!C:C,C104,'TL13'!J:J),
SUMIF('TL14'!C:C,C104,'TL14'!J:J),
SUMIF('TL15'!C:C,C104,'TL15'!J:J),
SUMIF('TL16'!C:C,C104,'TL16'!J:J),
SUMIF('TL17'!C:C,C104,'TL17'!J:J),
SUMIF('TL18'!C:C,C104,'TL18'!J:J),SUMIF('TL19'!C:C,C104,'TL19'!J:J))
,0)</f>
        <v>0</v>
      </c>
      <c r="S104" s="17">
        <f>IFERROR(__xludf.DUMMYFUNCTION("IFERROR(VLOOKUP(C104,
IMPORTRANGE(""1wULbzX32WdYsx-lj2U3uUNBBe2INVIRDtcK0d-Dvl90"",
""26-27!C:G""),
5,
FALSE),
"""")"),153.36288000000002)</f>
        <v>153.36288</v>
      </c>
      <c r="T104" s="9"/>
      <c r="U104" s="92">
        <f t="shared" si="2"/>
        <v>0</v>
      </c>
      <c r="V104" s="93">
        <f t="shared" si="3"/>
        <v>0</v>
      </c>
    </row>
    <row r="105" ht="15.75" hidden="1" customHeight="1">
      <c r="A105" s="111" t="s">
        <v>358</v>
      </c>
      <c r="B105" s="112" t="s">
        <v>0</v>
      </c>
      <c r="C105" s="113" t="s">
        <v>603</v>
      </c>
      <c r="D105" s="113" t="s">
        <v>604</v>
      </c>
      <c r="E105" s="113">
        <v>750.0</v>
      </c>
      <c r="F105" s="4" t="s">
        <v>343</v>
      </c>
      <c r="G105" s="90" t="str">
        <f t="shared" si="4"/>
        <v>📄 Ver bula</v>
      </c>
      <c r="H105" s="9">
        <f>IFERROR(__xludf.DUMMYFUNCTION("IFERROR(VLOOKUP(C105,
IMPORTRANGE(""1wULbzX32WdYsx-lj2U3uUNBBe2INVIRDtcK0d-Dvl90"",
""26-27!C:K""),
8,
FALSE),
"""")"),0.5)</f>
        <v>0.5</v>
      </c>
      <c r="I105" s="114" t="s">
        <v>382</v>
      </c>
      <c r="J105" s="9">
        <f>IFERROR(SUM(
IF('TL01'!$B$3=J$3,SUMIF('TL01'!$C$10:$C$224,$C105,'TL01'!$J$10:$J$224),0),
IF('TL01'!$B$229=J$3,SUMIF('TL01'!$C$238:$C$451,$C105,'TL01'!$J$238:$J$451),0),
IF('TL02'!$B$3=J$3,SUMIF('TL02'!$C$10:$C$224,$C105,'TL02'!$J$10:$J$224),0),
IF('TL02'!$B$229=J$3,SUMIF('TL02'!$C$238:$C$451,$C105,'TL02'!$J$238:$J$451),0),
IF('TL03'!$B$3=J$3,SUMIF('TL03'!$C$10:$C$224,$C105,'TL03'!$J$10:$J$224),0),
IF('TL03'!$B$229=J$3,SUMIF('TL03'!$C$238:$C$451,$C105,'TL03'!$J$238:$J$451),0),
IF('TL04'!$B$3=J$3,SUMIF('TL04'!$C$10:$C$224,$C105,'TL04'!$J$10:$J$224),0),
IF('TL04'!$B$229=J$3,SUMIF('TL04'!$C$238:$C$451,$C105,'TL04'!$J$238:$J$451),0),
IF('TL05'!$B$3=J$3,SUMIF('TL05'!$C$10:$C$224,$C105,'TL05'!$J$10:$J$224),0),
IF('TL05'!$B$229=J$3,SUMIF('TL05'!$C$238:$C$451,$C105,'TL05'!$J$238:$J$451),0),
IF('TL06'!$B$3=J$3,SUMIF('TL06'!$C$10:$C$224,$C105,'TL06'!$J$10:$J$224),0),
IF('TL06'!$B$229=J$3,SUMIF('TL06'!$C$238:$C$451,$C105,'TL06'!$J$238:$J$451),0),
IF('TL07'!$B$3=J$3,SUMIF('TL07'!$C$10:$C$224,$C105,'TL07'!$J$10:$J$224),0),
IF('TL07'!$B$229=J$3,SUMIF('TL07'!$C$238:$C$451,$C105,'TL07'!$J$238:$J$451),0),
IF('TL08'!$B$3=J$3,SUMIF('TL08'!$C$10:$C$224,$C105,'TL08'!$J$10:$J$224),0),
IF('TL08'!$B$229=J$3,SUMIF('TL08'!$C$238:$C$451,$C105,'TL08'!$J$238:$J$451),0),
IF('TL09'!$B$3=J$3,SUMIF('TL09'!$C$10:$C$224,$C105,'TL09'!$J$10:$J$224),0),
IF('TL09'!$B$229=J$3,SUMIF('TL09'!$C$238:$C$451,$C105,'TL09'!$J$238:$J$451),0),
IF('TL10'!$B$3=J$3,SUMIF('TL10'!$C$10:$C$224,$C105,'TL10'!$J$10:$J$224),0),
IF('TL10'!$B$229=J$3,SUMIF('TL10'!$C$238:$C$451,$C105,'TL10'!$J$238:$J$451),0),
IF('TL11'!$B$3=J$3,SUMIF('TL11'!$C$10:$C$224,$C105,'TL11'!$J$10:$J$224),0),
IF('TL11'!$B$229=J$3,SUMIF('TL11'!$C$238:$C$451,$C105,'TL11'!$J$238:$J$451),0),
IF('TL12'!$B$3=J$3,SUMIF('TL12'!$C$10:$C$224,$C105,'TL12'!$J$10:$J$224),0),
IF('TL12'!$B$229=J$3,SUMIF('TL12'!$C$238:$C$451,$C105,'TL12'!$J$238:$J$451),0),
IF('TL13'!$B$3=J$3,SUMIF('TL13'!$C$10:$C$224,$C105,'TL13'!$J$10:$J$224),0),
IF('TL13'!$B$229=J$3,SUMIF('TL13'!$C$238:$C$451,$C105,'TL13'!$J$238:$J$451),0),
IF('TL14'!$B$3=J$3,SUMIF('TL14'!$C$10:$C$224,$C105,'TL14'!$J$10:$J$224),0),
IF('TL14'!$B$229=J$3,SUMIF('TL14'!$C$238:$C$451,$C105,'TL14'!$J$238:$J$451),0),
IF('TL15'!$B$3=J$3,SUMIF('TL15'!$C$10:$C$224,$C105,'TL15'!$J$10:$J$224),0),
IF('TL15'!$B$229=J$3,SUMIF('TL15'!$C$238:$C$451,$C105,'TL15'!$J$238:$J$451),0),
IF('TL16'!$B$3=J$3,SUMIF('TL16'!$C$10:$C$224,$C105,'TL16'!$J$10:$J$224),0),
IF('TL16'!$B$229=J$3,SUMIF('TL16'!$C$238:$C$451,$C105,'TL16'!$J$238:$J$451),0),
IF('TL17'!$B$3=J$3,SUMIF('TL17'!$C$10:$C$224,$C105,'TL17'!$J$10:$J$224),0),
IF('TL17'!$B$229=J$3,SUMIF('TL17'!$C$238:$C$451,$C105,'TL17'!$J$238:$J$451),0),
IF('TL18'!$B$3=J$3,SUMIF('TL18'!$C$10:$C$224,$C105,'TL18'!$J$10:$J$224),0),
IF('TL18'!$B$229=J$3,SUMIF('TL18'!$C$238:$C$451,$C105,'TL18'!$J$238:$J$451),0),
IF('TL19'!$B$3=J$3,SUMIF('TL19'!$C$10:$C$224,$C105,'TL19'!$J$10:$J$224),0),
IF('TL19'!$B$229=J$3,SUMIF('TL19'!$C$238:$C$451,$C105,'TL19'!$J$238:$J$451),0)
),0)</f>
        <v>0</v>
      </c>
      <c r="K105" s="9">
        <f>IFERROR(SUM(
IF('TL01'!$B$3=K$3,SUMIF('TL01'!$C$10:$C$224,$C105,'TL01'!$J$10:$J$224),0),
IF('TL01'!$B$229=K$3,SUMIF('TL01'!$C$238:$C$451,$C105,'TL01'!$J$238:$J$451),0),
IF('TL02'!$B$3=K$3,SUMIF('TL02'!$C$10:$C$224,$C105,'TL02'!$J$10:$J$224),0),
IF('TL02'!$B$229=K$3,SUMIF('TL02'!$C$238:$C$451,$C105,'TL02'!$J$238:$J$451),0),
IF('TL03'!$B$3=K$3,SUMIF('TL03'!$C$10:$C$224,$C105,'TL03'!$J$10:$J$224),0),
IF('TL03'!$B$229=K$3,SUMIF('TL03'!$C$238:$C$451,$C105,'TL03'!$J$238:$J$451),0),
IF('TL04'!$B$3=K$3,SUMIF('TL04'!$C$10:$C$224,$C105,'TL04'!$J$10:$J$224),0),
IF('TL04'!$B$229=K$3,SUMIF('TL04'!$C$238:$C$451,$C105,'TL04'!$J$238:$J$451),0),
IF('TL05'!$B$3=K$3,SUMIF('TL05'!$C$10:$C$224,$C105,'TL05'!$J$10:$J$224),0),
IF('TL05'!$B$229=K$3,SUMIF('TL05'!$C$238:$C$451,$C105,'TL05'!$J$238:$J$451),0),
IF('TL06'!$B$3=K$3,SUMIF('TL06'!$C$10:$C$224,$C105,'TL06'!$J$10:$J$224),0),
IF('TL06'!$B$229=K$3,SUMIF('TL06'!$C$238:$C$451,$C105,'TL06'!$J$238:$J$451),0),
IF('TL07'!$B$3=K$3,SUMIF('TL07'!$C$10:$C$224,$C105,'TL07'!$J$10:$J$224),0),
IF('TL07'!$B$229=K$3,SUMIF('TL07'!$C$238:$C$451,$C105,'TL07'!$J$238:$J$451),0),
IF('TL08'!$B$3=K$3,SUMIF('TL08'!$C$10:$C$224,$C105,'TL08'!$J$10:$J$224),0),
IF('TL08'!$B$229=K$3,SUMIF('TL08'!$C$238:$C$451,$C105,'TL08'!$J$238:$J$451),0),
IF('TL09'!$B$3=K$3,SUMIF('TL09'!$C$10:$C$224,$C105,'TL09'!$J$10:$J$224),0),
IF('TL09'!$B$229=K$3,SUMIF('TL09'!$C$238:$C$451,$C105,'TL09'!$J$238:$J$451),0),
IF('TL10'!$B$3=K$3,SUMIF('TL10'!$C$10:$C$224,$C105,'TL10'!$J$10:$J$224),0),
IF('TL10'!$B$229=K$3,SUMIF('TL10'!$C$238:$C$451,$C105,'TL10'!$J$238:$J$451),0),
IF('TL11'!$B$3=K$3,SUMIF('TL11'!$C$10:$C$224,$C105,'TL11'!$J$10:$J$224),0),
IF('TL11'!$B$229=K$3,SUMIF('TL11'!$C$238:$C$451,$C105,'TL11'!$J$238:$J$451),0),
IF('TL12'!$B$3=K$3,SUMIF('TL12'!$C$10:$C$224,$C105,'TL12'!$J$10:$J$224),0),
IF('TL12'!$B$229=K$3,SUMIF('TL12'!$C$238:$C$451,$C105,'TL12'!$J$238:$J$451),0),
IF('TL13'!$B$3=K$3,SUMIF('TL13'!$C$10:$C$224,$C105,'TL13'!$J$10:$J$224),0),
IF('TL13'!$B$229=K$3,SUMIF('TL13'!$C$238:$C$451,$C105,'TL13'!$J$238:$J$451),0),
IF('TL14'!$B$3=K$3,SUMIF('TL14'!$C$10:$C$224,$C105,'TL14'!$J$10:$J$224),0),
IF('TL14'!$B$229=K$3,SUMIF('TL14'!$C$238:$C$451,$C105,'TL14'!$J$238:$J$451),0),
IF('TL15'!$B$3=K$3,SUMIF('TL15'!$C$10:$C$224,$C105,'TL15'!$J$10:$J$224),0),
IF('TL15'!$B$229=K$3,SUMIF('TL15'!$C$238:$C$451,$C105,'TL15'!$J$238:$J$451),0),
IF('TL16'!$B$3=K$3,SUMIF('TL16'!$C$10:$C$224,$C105,'TL16'!$J$10:$J$224),0),
IF('TL16'!$B$229=K$3,SUMIF('TL16'!$C$238:$C$451,$C105,'TL16'!$J$238:$J$451),0),
IF('TL17'!$B$3=K$3,SUMIF('TL17'!$C$10:$C$224,$C105,'TL17'!$J$10:$J$224),0),
IF('TL17'!$B$229=K$3,SUMIF('TL17'!$C$238:$C$451,$C105,'TL17'!$J$238:$J$451),0),
IF('TL18'!$B$3=K$3,SUMIF('TL18'!$C$10:$C$224,$C105,'TL18'!$J$10:$J$224),0),
IF('TL18'!$B$229=K$3,SUMIF('TL18'!$C$238:$C$451,$C105,'TL18'!$J$238:$J$451),0),
IF('TL19'!$B$3=K$3,SUMIF('TL19'!$C$10:$C$224,$C105,'TL19'!$J$10:$J$224),0),
IF('TL19'!$B$229=K$3,SUMIF('TL19'!$C$238:$C$451,$C105,'TL19'!$J$238:$J$451),0)
),0)</f>
        <v>0</v>
      </c>
      <c r="L105" s="9">
        <f>IFERROR(SUM(
IF('TL01'!$B$3=L$3,SUMIF('TL01'!$C$10:$C$224,$C105,'TL01'!$J$10:$J$224),0),
IF('TL01'!$B$229=L$3,SUMIF('TL01'!$C$238:$C$451,$C105,'TL01'!$J$238:$J$451),0),
IF('TL02'!$B$3=L$3,SUMIF('TL02'!$C$10:$C$224,$C105,'TL02'!$J$10:$J$224),0),
IF('TL02'!$B$229=L$3,SUMIF('TL02'!$C$238:$C$451,$C105,'TL02'!$J$238:$J$451),0),
IF('TL03'!$B$3=L$3,SUMIF('TL03'!$C$10:$C$224,$C105,'TL03'!$J$10:$J$224),0),
IF('TL03'!$B$229=L$3,SUMIF('TL03'!$C$238:$C$451,$C105,'TL03'!$J$238:$J$451),0),
IF('TL04'!$B$3=L$3,SUMIF('TL04'!$C$10:$C$224,$C105,'TL04'!$J$10:$J$224),0),
IF('TL04'!$B$229=L$3,SUMIF('TL04'!$C$238:$C$451,$C105,'TL04'!$J$238:$J$451),0),
IF('TL05'!$B$3=L$3,SUMIF('TL05'!$C$10:$C$224,$C105,'TL05'!$J$10:$J$224),0),
IF('TL05'!$B$229=L$3,SUMIF('TL05'!$C$238:$C$451,$C105,'TL05'!$J$238:$J$451),0),
IF('TL06'!$B$3=L$3,SUMIF('TL06'!$C$10:$C$224,$C105,'TL06'!$J$10:$J$224),0),
IF('TL06'!$B$229=L$3,SUMIF('TL06'!$C$238:$C$451,$C105,'TL06'!$J$238:$J$451),0),
IF('TL07'!$B$3=L$3,SUMIF('TL07'!$C$10:$C$224,$C105,'TL07'!$J$10:$J$224),0),
IF('TL07'!$B$229=L$3,SUMIF('TL07'!$C$238:$C$451,$C105,'TL07'!$J$238:$J$451),0),
IF('TL08'!$B$3=L$3,SUMIF('TL08'!$C$10:$C$224,$C105,'TL08'!$J$10:$J$224),0),
IF('TL08'!$B$229=L$3,SUMIF('TL08'!$C$238:$C$451,$C105,'TL08'!$J$238:$J$451),0),
IF('TL09'!$B$3=L$3,SUMIF('TL09'!$C$10:$C$224,$C105,'TL09'!$J$10:$J$224),0),
IF('TL09'!$B$229=L$3,SUMIF('TL09'!$C$238:$C$451,$C105,'TL09'!$J$238:$J$451),0),
IF('TL10'!$B$3=L$3,SUMIF('TL10'!$C$10:$C$224,$C105,'TL10'!$J$10:$J$224),0),
IF('TL10'!$B$229=L$3,SUMIF('TL10'!$C$238:$C$451,$C105,'TL10'!$J$238:$J$451),0),
IF('TL11'!$B$3=L$3,SUMIF('TL11'!$C$10:$C$224,$C105,'TL11'!$J$10:$J$224),0),
IF('TL11'!$B$229=L$3,SUMIF('TL11'!$C$238:$C$451,$C105,'TL11'!$J$238:$J$451),0),
IF('TL12'!$B$3=L$3,SUMIF('TL12'!$C$10:$C$224,$C105,'TL12'!$J$10:$J$224),0),
IF('TL12'!$B$229=L$3,SUMIF('TL12'!$C$238:$C$451,$C105,'TL12'!$J$238:$J$451),0),
IF('TL13'!$B$3=L$3,SUMIF('TL13'!$C$10:$C$224,$C105,'TL13'!$J$10:$J$224),0),
IF('TL13'!$B$229=L$3,SUMIF('TL13'!$C$238:$C$451,$C105,'TL13'!$J$238:$J$451),0),
IF('TL14'!$B$3=L$3,SUMIF('TL14'!$C$10:$C$224,$C105,'TL14'!$J$10:$J$224),0),
IF('TL14'!$B$229=L$3,SUMIF('TL14'!$C$238:$C$451,$C105,'TL14'!$J$238:$J$451),0),
IF('TL15'!$B$3=L$3,SUMIF('TL15'!$C$10:$C$224,$C105,'TL15'!$J$10:$J$224),0),
IF('TL15'!$B$229=L$3,SUMIF('TL15'!$C$238:$C$451,$C105,'TL15'!$J$238:$J$451),0),
IF('TL16'!$B$3=L$3,SUMIF('TL16'!$C$10:$C$224,$C105,'TL16'!$J$10:$J$224),0),
IF('TL16'!$B$229=L$3,SUMIF('TL16'!$C$238:$C$451,$C105,'TL16'!$J$238:$J$451),0),
IF('TL17'!$B$3=L$3,SUMIF('TL17'!$C$10:$C$224,$C105,'TL17'!$J$10:$J$224),0),
IF('TL17'!$B$229=L$3,SUMIF('TL17'!$C$238:$C$451,$C105,'TL17'!$J$238:$J$451),0),
IF('TL18'!$B$3=L$3,SUMIF('TL18'!$C$10:$C$224,$C105,'TL18'!$J$10:$J$224),0),
IF('TL18'!$B$229=L$3,SUMIF('TL18'!$C$238:$C$451,$C105,'TL18'!$J$238:$J$451),0),
IF('TL19'!$B$3=L$3,SUMIF('TL19'!$C$10:$C$224,$C105,'TL19'!$J$10:$J$224),0),
IF('TL19'!$B$229=L$3,SUMIF('TL19'!$C$238:$C$451,$C105,'TL19'!$J$238:$J$451),0)
),0)</f>
        <v>0</v>
      </c>
      <c r="M105" s="9">
        <f>IFERROR(SUM(
IF('TL01'!$B$3=M$3,SUMIF('TL01'!$C$10:$C$224,$C105,'TL01'!$J$10:$J$224),0),
IF('TL01'!$B$229=M$3,SUMIF('TL01'!$C$238:$C$451,$C105,'TL01'!$J$238:$J$451),0),
IF('TL02'!$B$3=M$3,SUMIF('TL02'!$C$10:$C$224,$C105,'TL02'!$J$10:$J$224),0),
IF('TL02'!$B$229=M$3,SUMIF('TL02'!$C$238:$C$451,$C105,'TL02'!$J$238:$J$451),0),
IF('TL03'!$B$3=M$3,SUMIF('TL03'!$C$10:$C$224,$C105,'TL03'!$J$10:$J$224),0),
IF('TL03'!$B$229=M$3,SUMIF('TL03'!$C$238:$C$451,$C105,'TL03'!$J$238:$J$451),0),
IF('TL04'!$B$3=M$3,SUMIF('TL04'!$C$10:$C$224,$C105,'TL04'!$J$10:$J$224),0),
IF('TL04'!$B$229=M$3,SUMIF('TL04'!$C$238:$C$451,$C105,'TL04'!$J$238:$J$451),0),
IF('TL05'!$B$3=M$3,SUMIF('TL05'!$C$10:$C$224,$C105,'TL05'!$J$10:$J$224),0),
IF('TL05'!$B$229=M$3,SUMIF('TL05'!$C$238:$C$451,$C105,'TL05'!$J$238:$J$451),0),
IF('TL06'!$B$3=M$3,SUMIF('TL06'!$C$10:$C$224,$C105,'TL06'!$J$10:$J$224),0),
IF('TL06'!$B$229=M$3,SUMIF('TL06'!$C$238:$C$451,$C105,'TL06'!$J$238:$J$451),0),
IF('TL07'!$B$3=M$3,SUMIF('TL07'!$C$10:$C$224,$C105,'TL07'!$J$10:$J$224),0),
IF('TL07'!$B$229=M$3,SUMIF('TL07'!$C$238:$C$451,$C105,'TL07'!$J$238:$J$451),0),
IF('TL08'!$B$3=M$3,SUMIF('TL08'!$C$10:$C$224,$C105,'TL08'!$J$10:$J$224),0),
IF('TL08'!$B$229=M$3,SUMIF('TL08'!$C$238:$C$451,$C105,'TL08'!$J$238:$J$451),0),
IF('TL09'!$B$3=M$3,SUMIF('TL09'!$C$10:$C$224,$C105,'TL09'!$J$10:$J$224),0),
IF('TL09'!$B$229=M$3,SUMIF('TL09'!$C$238:$C$451,$C105,'TL09'!$J$238:$J$451),0),
IF('TL10'!$B$3=M$3,SUMIF('TL10'!$C$10:$C$224,$C105,'TL10'!$J$10:$J$224),0),
IF('TL10'!$B$229=M$3,SUMIF('TL10'!$C$238:$C$451,$C105,'TL10'!$J$238:$J$451),0),
IF('TL11'!$B$3=M$3,SUMIF('TL11'!$C$10:$C$224,$C105,'TL11'!$J$10:$J$224),0),
IF('TL11'!$B$229=M$3,SUMIF('TL11'!$C$238:$C$451,$C105,'TL11'!$J$238:$J$451),0),
IF('TL12'!$B$3=M$3,SUMIF('TL12'!$C$10:$C$224,$C105,'TL12'!$J$10:$J$224),0),
IF('TL12'!$B$229=M$3,SUMIF('TL12'!$C$238:$C$451,$C105,'TL12'!$J$238:$J$451),0),
IF('TL13'!$B$3=M$3,SUMIF('TL13'!$C$10:$C$224,$C105,'TL13'!$J$10:$J$224),0),
IF('TL13'!$B$229=M$3,SUMIF('TL13'!$C$238:$C$451,$C105,'TL13'!$J$238:$J$451),0),
IF('TL14'!$B$3=M$3,SUMIF('TL14'!$C$10:$C$224,$C105,'TL14'!$J$10:$J$224),0),
IF('TL14'!$B$229=M$3,SUMIF('TL14'!$C$238:$C$451,$C105,'TL14'!$J$238:$J$451),0),
IF('TL15'!$B$3=M$3,SUMIF('TL15'!$C$10:$C$224,$C105,'TL15'!$J$10:$J$224),0),
IF('TL15'!$B$229=M$3,SUMIF('TL15'!$C$238:$C$451,$C105,'TL15'!$J$238:$J$451),0),
IF('TL16'!$B$3=M$3,SUMIF('TL16'!$C$10:$C$224,$C105,'TL16'!$J$10:$J$224),0),
IF('TL16'!$B$229=M$3,SUMIF('TL16'!$C$238:$C$451,$C105,'TL16'!$J$238:$J$451),0),
IF('TL17'!$B$3=M$3,SUMIF('TL17'!$C$10:$C$224,$C105,'TL17'!$J$10:$J$224),0),
IF('TL17'!$B$229=M$3,SUMIF('TL17'!$C$238:$C$451,$C105,'TL17'!$J$238:$J$451),0),
IF('TL18'!$B$3=M$3,SUMIF('TL18'!$C$10:$C$224,$C105,'TL18'!$J$10:$J$224),0),
IF('TL18'!$B$229=M$3,SUMIF('TL18'!$C$238:$C$451,$C105,'TL18'!$J$238:$J$451),0),
IF('TL19'!$B$3=M$3,SUMIF('TL19'!$C$10:$C$224,$C105,'TL19'!$J$10:$J$224),0),
IF('TL19'!$B$229=M$3,SUMIF('TL19'!$C$238:$C$451,$C105,'TL19'!$J$238:$J$451),0)
),0)</f>
        <v>0</v>
      </c>
      <c r="N105" s="9">
        <f>IFERROR(SUM(
IF('TL01'!$B$3=N$3,SUMIF('TL01'!$C$10:$C$224,$C105,'TL01'!$J$10:$J$224),0),
IF('TL01'!$B$229=N$3,SUMIF('TL01'!$C$238:$C$451,$C105,'TL01'!$J$238:$J$451),0),
IF('TL02'!$B$3=N$3,SUMIF('TL02'!$C$10:$C$224,$C105,'TL02'!$J$10:$J$224),0),
IF('TL02'!$B$229=N$3,SUMIF('TL02'!$C$238:$C$451,$C105,'TL02'!$J$238:$J$451),0),
IF('TL03'!$B$3=N$3,SUMIF('TL03'!$C$10:$C$224,$C105,'TL03'!$J$10:$J$224),0),
IF('TL03'!$B$229=N$3,SUMIF('TL03'!$C$238:$C$451,$C105,'TL03'!$J$238:$J$451),0),
IF('TL04'!$B$3=N$3,SUMIF('TL04'!$C$10:$C$224,$C105,'TL04'!$J$10:$J$224),0),
IF('TL04'!$B$229=N$3,SUMIF('TL04'!$C$238:$C$451,$C105,'TL04'!$J$238:$J$451),0),
IF('TL05'!$B$3=N$3,SUMIF('TL05'!$C$10:$C$224,$C105,'TL05'!$J$10:$J$224),0),
IF('TL05'!$B$229=N$3,SUMIF('TL05'!$C$238:$C$451,$C105,'TL05'!$J$238:$J$451),0),
IF('TL06'!$B$3=N$3,SUMIF('TL06'!$C$10:$C$224,$C105,'TL06'!$J$10:$J$224),0),
IF('TL06'!$B$229=N$3,SUMIF('TL06'!$C$238:$C$451,$C105,'TL06'!$J$238:$J$451),0),
IF('TL07'!$B$3=N$3,SUMIF('TL07'!$C$10:$C$224,$C105,'TL07'!$J$10:$J$224),0),
IF('TL07'!$B$229=N$3,SUMIF('TL07'!$C$238:$C$451,$C105,'TL07'!$J$238:$J$451),0),
IF('TL08'!$B$3=N$3,SUMIF('TL08'!$C$10:$C$224,$C105,'TL08'!$J$10:$J$224),0),
IF('TL08'!$B$229=N$3,SUMIF('TL08'!$C$238:$C$451,$C105,'TL08'!$J$238:$J$451),0),
IF('TL09'!$B$3=N$3,SUMIF('TL09'!$C$10:$C$224,$C105,'TL09'!$J$10:$J$224),0),
IF('TL09'!$B$229=N$3,SUMIF('TL09'!$C$238:$C$451,$C105,'TL09'!$J$238:$J$451),0),
IF('TL10'!$B$3=N$3,SUMIF('TL10'!$C$10:$C$224,$C105,'TL10'!$J$10:$J$224),0),
IF('TL10'!$B$229=N$3,SUMIF('TL10'!$C$238:$C$451,$C105,'TL10'!$J$238:$J$451),0),
IF('TL11'!$B$3=N$3,SUMIF('TL11'!$C$10:$C$224,$C105,'TL11'!$J$10:$J$224),0),
IF('TL11'!$B$229=N$3,SUMIF('TL11'!$C$238:$C$451,$C105,'TL11'!$J$238:$J$451),0),
IF('TL12'!$B$3=N$3,SUMIF('TL12'!$C$10:$C$224,$C105,'TL12'!$J$10:$J$224),0),
IF('TL12'!$B$229=N$3,SUMIF('TL12'!$C$238:$C$451,$C105,'TL12'!$J$238:$J$451),0),
IF('TL13'!$B$3=N$3,SUMIF('TL13'!$C$10:$C$224,$C105,'TL13'!$J$10:$J$224),0),
IF('TL13'!$B$229=N$3,SUMIF('TL13'!$C$238:$C$451,$C105,'TL13'!$J$238:$J$451),0),
IF('TL14'!$B$3=N$3,SUMIF('TL14'!$C$10:$C$224,$C105,'TL14'!$J$10:$J$224),0),
IF('TL14'!$B$229=N$3,SUMIF('TL14'!$C$238:$C$451,$C105,'TL14'!$J$238:$J$451),0),
IF('TL15'!$B$3=N$3,SUMIF('TL15'!$C$10:$C$224,$C105,'TL15'!$J$10:$J$224),0),
IF('TL15'!$B$229=N$3,SUMIF('TL15'!$C$238:$C$451,$C105,'TL15'!$J$238:$J$451),0),
IF('TL16'!$B$3=N$3,SUMIF('TL16'!$C$10:$C$224,$C105,'TL16'!$J$10:$J$224),0),
IF('TL16'!$B$229=N$3,SUMIF('TL16'!$C$238:$C$451,$C105,'TL16'!$J$238:$J$451),0),
IF('TL17'!$B$3=N$3,SUMIF('TL17'!$C$10:$C$224,$C105,'TL17'!$J$10:$J$224),0),
IF('TL17'!$B$229=N$3,SUMIF('TL17'!$C$238:$C$451,$C105,'TL17'!$J$238:$J$451),0),
IF('TL18'!$B$3=N$3,SUMIF('TL18'!$C$10:$C$224,$C105,'TL18'!$J$10:$J$224),0),
IF('TL18'!$B$229=N$3,SUMIF('TL18'!$C$238:$C$451,$C105,'TL18'!$J$238:$J$451),0),
IF('TL19'!$B$3=N$3,SUMIF('TL19'!$C$10:$C$224,$C105,'TL19'!$J$10:$J$224),0),
IF('TL19'!$B$229=N$3,SUMIF('TL19'!$C$238:$C$451,$C105,'TL19'!$J$238:$J$451),0)
),0)</f>
        <v>0</v>
      </c>
      <c r="O105" s="9">
        <f>IFERROR(SUM(
IF('TL01'!$B$3=O$3,SUMIF('TL01'!$C$10:$C$224,$C105,'TL01'!$J$10:$J$224),0),
IF('TL01'!$B$229=O$3,SUMIF('TL01'!$C$238:$C$451,$C105,'TL01'!$J$238:$J$451),0),
IF('TL02'!$B$3=O$3,SUMIF('TL02'!$C$10:$C$224,$C105,'TL02'!$J$10:$J$224),0),
IF('TL02'!$B$229=O$3,SUMIF('TL02'!$C$238:$C$451,$C105,'TL02'!$J$238:$J$451),0),
IF('TL03'!$B$3=O$3,SUMIF('TL03'!$C$10:$C$224,$C105,'TL03'!$J$10:$J$224),0),
IF('TL03'!$B$229=O$3,SUMIF('TL03'!$C$238:$C$451,$C105,'TL03'!$J$238:$J$451),0),
IF('TL04'!$B$3=O$3,SUMIF('TL04'!$C$10:$C$224,$C105,'TL04'!$J$10:$J$224),0),
IF('TL04'!$B$229=O$3,SUMIF('TL04'!$C$238:$C$451,$C105,'TL04'!$J$238:$J$451),0),
IF('TL05'!$B$3=O$3,SUMIF('TL05'!$C$10:$C$224,$C105,'TL05'!$J$10:$J$224),0),
IF('TL05'!$B$229=O$3,SUMIF('TL05'!$C$238:$C$451,$C105,'TL05'!$J$238:$J$451),0),
IF('TL06'!$B$3=O$3,SUMIF('TL06'!$C$10:$C$224,$C105,'TL06'!$J$10:$J$224),0),
IF('TL06'!$B$229=O$3,SUMIF('TL06'!$C$238:$C$451,$C105,'TL06'!$J$238:$J$451),0),
IF('TL07'!$B$3=O$3,SUMIF('TL07'!$C$10:$C$224,$C105,'TL07'!$J$10:$J$224),0),
IF('TL07'!$B$229=O$3,SUMIF('TL07'!$C$238:$C$451,$C105,'TL07'!$J$238:$J$451),0),
IF('TL08'!$B$3=O$3,SUMIF('TL08'!$C$10:$C$224,$C105,'TL08'!$J$10:$J$224),0),
IF('TL08'!$B$229=O$3,SUMIF('TL08'!$C$238:$C$451,$C105,'TL08'!$J$238:$J$451),0),
IF('TL09'!$B$3=O$3,SUMIF('TL09'!$C$10:$C$224,$C105,'TL09'!$J$10:$J$224),0),
IF('TL09'!$B$229=O$3,SUMIF('TL09'!$C$238:$C$451,$C105,'TL09'!$J$238:$J$451),0),
IF('TL10'!$B$3=O$3,SUMIF('TL10'!$C$10:$C$224,$C105,'TL10'!$J$10:$J$224),0),
IF('TL10'!$B$229=O$3,SUMIF('TL10'!$C$238:$C$451,$C105,'TL10'!$J$238:$J$451),0),
IF('TL11'!$B$3=O$3,SUMIF('TL11'!$C$10:$C$224,$C105,'TL11'!$J$10:$J$224),0),
IF('TL11'!$B$229=O$3,SUMIF('TL11'!$C$238:$C$451,$C105,'TL11'!$J$238:$J$451),0),
IF('TL12'!$B$3=O$3,SUMIF('TL12'!$C$10:$C$224,$C105,'TL12'!$J$10:$J$224),0),
IF('TL12'!$B$229=O$3,SUMIF('TL12'!$C$238:$C$451,$C105,'TL12'!$J$238:$J$451),0),
IF('TL13'!$B$3=O$3,SUMIF('TL13'!$C$10:$C$224,$C105,'TL13'!$J$10:$J$224),0),
IF('TL13'!$B$229=O$3,SUMIF('TL13'!$C$238:$C$451,$C105,'TL13'!$J$238:$J$451),0),
IF('TL14'!$B$3=O$3,SUMIF('TL14'!$C$10:$C$224,$C105,'TL14'!$J$10:$J$224),0),
IF('TL14'!$B$229=O$3,SUMIF('TL14'!$C$238:$C$451,$C105,'TL14'!$J$238:$J$451),0),
IF('TL15'!$B$3=O$3,SUMIF('TL15'!$C$10:$C$224,$C105,'TL15'!$J$10:$J$224),0),
IF('TL15'!$B$229=O$3,SUMIF('TL15'!$C$238:$C$451,$C105,'TL15'!$J$238:$J$451),0),
IF('TL16'!$B$3=O$3,SUMIF('TL16'!$C$10:$C$224,$C105,'TL16'!$J$10:$J$224),0),
IF('TL16'!$B$229=O$3,SUMIF('TL16'!$C$238:$C$451,$C105,'TL16'!$J$238:$J$451),0),
IF('TL17'!$B$3=O$3,SUMIF('TL17'!$C$10:$C$224,$C105,'TL17'!$J$10:$J$224),0),
IF('TL17'!$B$229=O$3,SUMIF('TL17'!$C$238:$C$451,$C105,'TL17'!$J$238:$J$451),0),
IF('TL18'!$B$3=O$3,SUMIF('TL18'!$C$10:$C$224,$C105,'TL18'!$J$10:$J$224),0),
IF('TL18'!$B$229=O$3,SUMIF('TL18'!$C$238:$C$451,$C105,'TL18'!$J$238:$J$451),0),
IF('TL19'!$B$3=O$3,SUMIF('TL19'!$C$10:$C$224,$C105,'TL19'!$J$10:$J$224),0),
IF('TL19'!$B$229=O$3,SUMIF('TL19'!$C$238:$C$451,$C105,'TL19'!$J$238:$J$451),0)
),0)</f>
        <v>0</v>
      </c>
      <c r="P105" s="9">
        <f>IFERROR(SUM(
IF('TL01'!$B$3=P$3,SUMIF('TL01'!$C$10:$C$224,$C105,'TL01'!$J$10:$J$224),0),
IF('TL01'!$B$229=P$3,SUMIF('TL01'!$C$238:$C$451,$C105,'TL01'!$J$238:$J$451),0),
IF('TL02'!$B$3=P$3,SUMIF('TL02'!$C$10:$C$224,$C105,'TL02'!$J$10:$J$224),0),
IF('TL02'!$B$229=P$3,SUMIF('TL02'!$C$238:$C$451,$C105,'TL02'!$J$238:$J$451),0),
IF('TL03'!$B$3=P$3,SUMIF('TL03'!$C$10:$C$224,$C105,'TL03'!$J$10:$J$224),0),
IF('TL03'!$B$229=P$3,SUMIF('TL03'!$C$238:$C$451,$C105,'TL03'!$J$238:$J$451),0),
IF('TL04'!$B$3=P$3,SUMIF('TL04'!$C$10:$C$224,$C105,'TL04'!$J$10:$J$224),0),
IF('TL04'!$B$229=P$3,SUMIF('TL04'!$C$238:$C$451,$C105,'TL04'!$J$238:$J$451),0),
IF('TL05'!$B$3=P$3,SUMIF('TL05'!$C$10:$C$224,$C105,'TL05'!$J$10:$J$224),0),
IF('TL05'!$B$229=P$3,SUMIF('TL05'!$C$238:$C$451,$C105,'TL05'!$J$238:$J$451),0),
IF('TL06'!$B$3=P$3,SUMIF('TL06'!$C$10:$C$224,$C105,'TL06'!$J$10:$J$224),0),
IF('TL06'!$B$229=P$3,SUMIF('TL06'!$C$238:$C$451,$C105,'TL06'!$J$238:$J$451),0),
IF('TL07'!$B$3=P$3,SUMIF('TL07'!$C$10:$C$224,$C105,'TL07'!$J$10:$J$224),0),
IF('TL07'!$B$229=P$3,SUMIF('TL07'!$C$238:$C$451,$C105,'TL07'!$J$238:$J$451),0),
IF('TL08'!$B$3=P$3,SUMIF('TL08'!$C$10:$C$224,$C105,'TL08'!$J$10:$J$224),0),
IF('TL08'!$B$229=P$3,SUMIF('TL08'!$C$238:$C$451,$C105,'TL08'!$J$238:$J$451),0),
IF('TL09'!$B$3=P$3,SUMIF('TL09'!$C$10:$C$224,$C105,'TL09'!$J$10:$J$224),0),
IF('TL09'!$B$229=P$3,SUMIF('TL09'!$C$238:$C$451,$C105,'TL09'!$J$238:$J$451),0),
IF('TL10'!$B$3=P$3,SUMIF('TL10'!$C$10:$C$224,$C105,'TL10'!$J$10:$J$224),0),
IF('TL10'!$B$229=P$3,SUMIF('TL10'!$C$238:$C$451,$C105,'TL10'!$J$238:$J$451),0),
IF('TL11'!$B$3=P$3,SUMIF('TL11'!$C$10:$C$224,$C105,'TL11'!$J$10:$J$224),0),
IF('TL11'!$B$229=P$3,SUMIF('TL11'!$C$238:$C$451,$C105,'TL11'!$J$238:$J$451),0),
IF('TL12'!$B$3=P$3,SUMIF('TL12'!$C$10:$C$224,$C105,'TL12'!$J$10:$J$224),0),
IF('TL12'!$B$229=P$3,SUMIF('TL12'!$C$238:$C$451,$C105,'TL12'!$J$238:$J$451),0),
IF('TL13'!$B$3=P$3,SUMIF('TL13'!$C$10:$C$224,$C105,'TL13'!$J$10:$J$224),0),
IF('TL13'!$B$229=P$3,SUMIF('TL13'!$C$238:$C$451,$C105,'TL13'!$J$238:$J$451),0),
IF('TL14'!$B$3=P$3,SUMIF('TL14'!$C$10:$C$224,$C105,'TL14'!$J$10:$J$224),0),
IF('TL14'!$B$229=P$3,SUMIF('TL14'!$C$238:$C$451,$C105,'TL14'!$J$238:$J$451),0),
IF('TL15'!$B$3=P$3,SUMIF('TL15'!$C$10:$C$224,$C105,'TL15'!$J$10:$J$224),0),
IF('TL15'!$B$229=P$3,SUMIF('TL15'!$C$238:$C$451,$C105,'TL15'!$J$238:$J$451),0),
IF('TL16'!$B$3=P$3,SUMIF('TL16'!$C$10:$C$224,$C105,'TL16'!$J$10:$J$224),0),
IF('TL16'!$B$229=P$3,SUMIF('TL16'!$C$238:$C$451,$C105,'TL16'!$J$238:$J$451),0),
IF('TL17'!$B$3=P$3,SUMIF('TL17'!$C$10:$C$224,$C105,'TL17'!$J$10:$J$224),0),
IF('TL17'!$B$229=P$3,SUMIF('TL17'!$C$238:$C$451,$C105,'TL17'!$J$238:$J$451),0),
IF('TL18'!$B$3=P$3,SUMIF('TL18'!$C$10:$C$224,$C105,'TL18'!$J$10:$J$224),0),
IF('TL18'!$B$229=P$3,SUMIF('TL18'!$C$238:$C$451,$C105,'TL18'!$J$238:$J$451),0),
IF('TL19'!$B$3=P$3,SUMIF('TL19'!$C$10:$C$224,$C105,'TL19'!$J$10:$J$224),0),
IF('TL19'!$B$229=P$3,SUMIF('TL19'!$C$238:$C$451,$C105,'TL19'!$J$238:$J$451),0)
),0)</f>
        <v>0</v>
      </c>
      <c r="Q105" s="9">
        <f>IFERROR(SUM(
IF('TL01'!$B$3=Q$3,SUMIF('TL01'!$C$10:$C$224,$C105,'TL01'!$J$10:$J$224),0),
IF('TL01'!$B$229=Q$3,SUMIF('TL01'!$C$238:$C$451,$C105,'TL01'!$J$238:$J$451),0),
IF('TL02'!$B$3=Q$3,SUMIF('TL02'!$C$10:$C$224,$C105,'TL02'!$J$10:$J$224),0),
IF('TL02'!$B$229=Q$3,SUMIF('TL02'!$C$238:$C$451,$C105,'TL02'!$J$238:$J$451),0),
IF('TL03'!$B$3=Q$3,SUMIF('TL03'!$C$10:$C$224,$C105,'TL03'!$J$10:$J$224),0),
IF('TL03'!$B$229=Q$3,SUMIF('TL03'!$C$238:$C$451,$C105,'TL03'!$J$238:$J$451),0),
IF('TL04'!$B$3=Q$3,SUMIF('TL04'!$C$10:$C$224,$C105,'TL04'!$J$10:$J$224),0),
IF('TL04'!$B$229=Q$3,SUMIF('TL04'!$C$238:$C$451,$C105,'TL04'!$J$238:$J$451),0),
IF('TL05'!$B$3=Q$3,SUMIF('TL05'!$C$10:$C$224,$C105,'TL05'!$J$10:$J$224),0),
IF('TL05'!$B$229=Q$3,SUMIF('TL05'!$C$238:$C$451,$C105,'TL05'!$J$238:$J$451),0),
IF('TL06'!$B$3=Q$3,SUMIF('TL06'!$C$10:$C$224,$C105,'TL06'!$J$10:$J$224),0),
IF('TL06'!$B$229=Q$3,SUMIF('TL06'!$C$238:$C$451,$C105,'TL06'!$J$238:$J$451),0),
IF('TL07'!$B$3=Q$3,SUMIF('TL07'!$C$10:$C$224,$C105,'TL07'!$J$10:$J$224),0),
IF('TL07'!$B$229=Q$3,SUMIF('TL07'!$C$238:$C$451,$C105,'TL07'!$J$238:$J$451),0),
IF('TL08'!$B$3=Q$3,SUMIF('TL08'!$C$10:$C$224,$C105,'TL08'!$J$10:$J$224),0),
IF('TL08'!$B$229=Q$3,SUMIF('TL08'!$C$238:$C$451,$C105,'TL08'!$J$238:$J$451),0),
IF('TL09'!$B$3=Q$3,SUMIF('TL09'!$C$10:$C$224,$C105,'TL09'!$J$10:$J$224),0),
IF('TL09'!$B$229=Q$3,SUMIF('TL09'!$C$238:$C$451,$C105,'TL09'!$J$238:$J$451),0),
IF('TL10'!$B$3=Q$3,SUMIF('TL10'!$C$10:$C$224,$C105,'TL10'!$J$10:$J$224),0),
IF('TL10'!$B$229=Q$3,SUMIF('TL10'!$C$238:$C$451,$C105,'TL10'!$J$238:$J$451),0),
IF('TL11'!$B$3=Q$3,SUMIF('TL11'!$C$10:$C$224,$C105,'TL11'!$J$10:$J$224),0),
IF('TL11'!$B$229=Q$3,SUMIF('TL11'!$C$238:$C$451,$C105,'TL11'!$J$238:$J$451),0),
IF('TL12'!$B$3=Q$3,SUMIF('TL12'!$C$10:$C$224,$C105,'TL12'!$J$10:$J$224),0),
IF('TL12'!$B$229=Q$3,SUMIF('TL12'!$C$238:$C$451,$C105,'TL12'!$J$238:$J$451),0),
IF('TL13'!$B$3=Q$3,SUMIF('TL13'!$C$10:$C$224,$C105,'TL13'!$J$10:$J$224),0),
IF('TL13'!$B$229=Q$3,SUMIF('TL13'!$C$238:$C$451,$C105,'TL13'!$J$238:$J$451),0),
IF('TL14'!$B$3=Q$3,SUMIF('TL14'!$C$10:$C$224,$C105,'TL14'!$J$10:$J$224),0),
IF('TL14'!$B$229=Q$3,SUMIF('TL14'!$C$238:$C$451,$C105,'TL14'!$J$238:$J$451),0),
IF('TL15'!$B$3=Q$3,SUMIF('TL15'!$C$10:$C$224,$C105,'TL15'!$J$10:$J$224),0),
IF('TL15'!$B$229=Q$3,SUMIF('TL15'!$C$238:$C$451,$C105,'TL15'!$J$238:$J$451),0),
IF('TL16'!$B$3=Q$3,SUMIF('TL16'!$C$10:$C$224,$C105,'TL16'!$J$10:$J$224),0),
IF('TL16'!$B$229=Q$3,SUMIF('TL16'!$C$238:$C$451,$C105,'TL16'!$J$238:$J$451),0),
IF('TL17'!$B$3=Q$3,SUMIF('TL17'!$C$10:$C$224,$C105,'TL17'!$J$10:$J$224),0),
IF('TL17'!$B$229=Q$3,SUMIF('TL17'!$C$238:$C$451,$C105,'TL17'!$J$238:$J$451),0),
IF('TL18'!$B$3=Q$3,SUMIF('TL18'!$C$10:$C$224,$C105,'TL18'!$J$10:$J$224),0),
IF('TL18'!$B$229=Q$3,SUMIF('TL18'!$C$238:$C$451,$C105,'TL18'!$J$238:$J$451),0),
IF('TL19'!$B$3=Q$3,SUMIF('TL19'!$C$10:$C$224,$C105,'TL19'!$J$10:$J$224),0),
IF('TL19'!$B$229=Q$3,SUMIF('TL19'!$C$238:$C$451,$C105,'TL19'!$J$238:$J$451),0)
),0)</f>
        <v>0</v>
      </c>
      <c r="R105" s="9">
        <f>IFERROR(
SUM(
SUMIF('TL01'!C:C,C105,'TL01'!J:J),
SUMIF('TL02'!C:C,C105,'TL02'!J:J),
SUMIF('TL03'!C:C,C105,'TL03'!J:J),
SUMIF('TL04'!C:C,C105,'TL04'!J:J),
SUMIF('TL05'!C:C,C105,'TL05'!J:J),
SUMIF('TL06'!C:C,C105,'TL06'!J:J),
SUMIF('TL07'!C:C,C105,'TL07'!J:J),
SUMIF('TL08'!C:C,C105,'TL08'!J:J),
SUMIF('TL09'!C:C,C105,'TL09'!J:J),
SUMIF('TL10'!C:C,C105,'TL10'!J:J),
SUMIF('TL11'!C:C,C105,'TL11'!J:J),
SUMIF('TL12'!C:C,C105,'TL12'!J:J),
SUMIF('TL13'!C:C,C105,'TL13'!J:J),
SUMIF('TL14'!C:C,C105,'TL14'!J:J),
SUMIF('TL15'!C:C,C105,'TL15'!J:J),
SUMIF('TL16'!C:C,C105,'TL16'!J:J),
SUMIF('TL17'!C:C,C105,'TL17'!J:J),
SUMIF('TL18'!C:C,C105,'TL18'!J:J),SUMIF('TL19'!C:C,C105,'TL19'!J:J))
,0)</f>
        <v>0</v>
      </c>
      <c r="S105" s="17">
        <f>IFERROR(__xludf.DUMMYFUNCTION("IFERROR(VLOOKUP(C105,
IMPORTRANGE(""1wULbzX32WdYsx-lj2U3uUNBBe2INVIRDtcK0d-Dvl90"",
""26-27!C:G""),
5,
FALSE),
"""")"),201.41568)</f>
        <v>201.41568</v>
      </c>
      <c r="T105" s="9"/>
      <c r="U105" s="92">
        <f t="shared" si="2"/>
        <v>0</v>
      </c>
      <c r="V105" s="93">
        <f t="shared" si="3"/>
        <v>0</v>
      </c>
    </row>
    <row r="106" ht="15.75" hidden="1" customHeight="1">
      <c r="A106" s="115" t="s">
        <v>340</v>
      </c>
      <c r="B106" s="100" t="s">
        <v>1</v>
      </c>
      <c r="C106" s="116" t="s">
        <v>605</v>
      </c>
      <c r="D106" s="116" t="s">
        <v>606</v>
      </c>
      <c r="E106" s="116">
        <v>806.0</v>
      </c>
      <c r="F106" s="4" t="s">
        <v>392</v>
      </c>
      <c r="G106" s="90" t="str">
        <f t="shared" si="4"/>
        <v>📄 Ver bula</v>
      </c>
      <c r="H106" s="9">
        <f>IFERROR(__xludf.DUMMYFUNCTION("IFERROR(VLOOKUP(C106,
IMPORTRANGE(""1wULbzX32WdYsx-lj2U3uUNBBe2INVIRDtcK0d-Dvl90"",
""26-27!C:K""),
8,
FALSE),
"""")"),1.0)</f>
        <v>1</v>
      </c>
      <c r="I106" s="117" t="s">
        <v>344</v>
      </c>
      <c r="J106" s="9">
        <f>IFERROR(SUM(
IF('TL01'!$B$3=J$3,SUMIF('TL01'!$C$10:$C$224,$C106,'TL01'!$J$10:$J$224),0),
IF('TL01'!$B$229=J$3,SUMIF('TL01'!$C$238:$C$451,$C106,'TL01'!$J$238:$J$451),0),
IF('TL02'!$B$3=J$3,SUMIF('TL02'!$C$10:$C$224,$C106,'TL02'!$J$10:$J$224),0),
IF('TL02'!$B$229=J$3,SUMIF('TL02'!$C$238:$C$451,$C106,'TL02'!$J$238:$J$451),0),
IF('TL03'!$B$3=J$3,SUMIF('TL03'!$C$10:$C$224,$C106,'TL03'!$J$10:$J$224),0),
IF('TL03'!$B$229=J$3,SUMIF('TL03'!$C$238:$C$451,$C106,'TL03'!$J$238:$J$451),0),
IF('TL04'!$B$3=J$3,SUMIF('TL04'!$C$10:$C$224,$C106,'TL04'!$J$10:$J$224),0),
IF('TL04'!$B$229=J$3,SUMIF('TL04'!$C$238:$C$451,$C106,'TL04'!$J$238:$J$451),0),
IF('TL05'!$B$3=J$3,SUMIF('TL05'!$C$10:$C$224,$C106,'TL05'!$J$10:$J$224),0),
IF('TL05'!$B$229=J$3,SUMIF('TL05'!$C$238:$C$451,$C106,'TL05'!$J$238:$J$451),0),
IF('TL06'!$B$3=J$3,SUMIF('TL06'!$C$10:$C$224,$C106,'TL06'!$J$10:$J$224),0),
IF('TL06'!$B$229=J$3,SUMIF('TL06'!$C$238:$C$451,$C106,'TL06'!$J$238:$J$451),0),
IF('TL07'!$B$3=J$3,SUMIF('TL07'!$C$10:$C$224,$C106,'TL07'!$J$10:$J$224),0),
IF('TL07'!$B$229=J$3,SUMIF('TL07'!$C$238:$C$451,$C106,'TL07'!$J$238:$J$451),0),
IF('TL08'!$B$3=J$3,SUMIF('TL08'!$C$10:$C$224,$C106,'TL08'!$J$10:$J$224),0),
IF('TL08'!$B$229=J$3,SUMIF('TL08'!$C$238:$C$451,$C106,'TL08'!$J$238:$J$451),0),
IF('TL09'!$B$3=J$3,SUMIF('TL09'!$C$10:$C$224,$C106,'TL09'!$J$10:$J$224),0),
IF('TL09'!$B$229=J$3,SUMIF('TL09'!$C$238:$C$451,$C106,'TL09'!$J$238:$J$451),0),
IF('TL10'!$B$3=J$3,SUMIF('TL10'!$C$10:$C$224,$C106,'TL10'!$J$10:$J$224),0),
IF('TL10'!$B$229=J$3,SUMIF('TL10'!$C$238:$C$451,$C106,'TL10'!$J$238:$J$451),0),
IF('TL11'!$B$3=J$3,SUMIF('TL11'!$C$10:$C$224,$C106,'TL11'!$J$10:$J$224),0),
IF('TL11'!$B$229=J$3,SUMIF('TL11'!$C$238:$C$451,$C106,'TL11'!$J$238:$J$451),0),
IF('TL12'!$B$3=J$3,SUMIF('TL12'!$C$10:$C$224,$C106,'TL12'!$J$10:$J$224),0),
IF('TL12'!$B$229=J$3,SUMIF('TL12'!$C$238:$C$451,$C106,'TL12'!$J$238:$J$451),0),
IF('TL13'!$B$3=J$3,SUMIF('TL13'!$C$10:$C$224,$C106,'TL13'!$J$10:$J$224),0),
IF('TL13'!$B$229=J$3,SUMIF('TL13'!$C$238:$C$451,$C106,'TL13'!$J$238:$J$451),0),
IF('TL14'!$B$3=J$3,SUMIF('TL14'!$C$10:$C$224,$C106,'TL14'!$J$10:$J$224),0),
IF('TL14'!$B$229=J$3,SUMIF('TL14'!$C$238:$C$451,$C106,'TL14'!$J$238:$J$451),0),
IF('TL15'!$B$3=J$3,SUMIF('TL15'!$C$10:$C$224,$C106,'TL15'!$J$10:$J$224),0),
IF('TL15'!$B$229=J$3,SUMIF('TL15'!$C$238:$C$451,$C106,'TL15'!$J$238:$J$451),0),
IF('TL16'!$B$3=J$3,SUMIF('TL16'!$C$10:$C$224,$C106,'TL16'!$J$10:$J$224),0),
IF('TL16'!$B$229=J$3,SUMIF('TL16'!$C$238:$C$451,$C106,'TL16'!$J$238:$J$451),0),
IF('TL17'!$B$3=J$3,SUMIF('TL17'!$C$10:$C$224,$C106,'TL17'!$J$10:$J$224),0),
IF('TL17'!$B$229=J$3,SUMIF('TL17'!$C$238:$C$451,$C106,'TL17'!$J$238:$J$451),0),
IF('TL18'!$B$3=J$3,SUMIF('TL18'!$C$10:$C$224,$C106,'TL18'!$J$10:$J$224),0),
IF('TL18'!$B$229=J$3,SUMIF('TL18'!$C$238:$C$451,$C106,'TL18'!$J$238:$J$451),0),
IF('TL19'!$B$3=J$3,SUMIF('TL19'!$C$10:$C$224,$C106,'TL19'!$J$10:$J$224),0),
IF('TL19'!$B$229=J$3,SUMIF('TL19'!$C$238:$C$451,$C106,'TL19'!$J$238:$J$451),0)
),0)</f>
        <v>490</v>
      </c>
      <c r="K106" s="9">
        <f>IFERROR(SUM(
IF('TL01'!$B$3=K$3,SUMIF('TL01'!$C$10:$C$224,$C106,'TL01'!$J$10:$J$224),0),
IF('TL01'!$B$229=K$3,SUMIF('TL01'!$C$238:$C$451,$C106,'TL01'!$J$238:$J$451),0),
IF('TL02'!$B$3=K$3,SUMIF('TL02'!$C$10:$C$224,$C106,'TL02'!$J$10:$J$224),0),
IF('TL02'!$B$229=K$3,SUMIF('TL02'!$C$238:$C$451,$C106,'TL02'!$J$238:$J$451),0),
IF('TL03'!$B$3=K$3,SUMIF('TL03'!$C$10:$C$224,$C106,'TL03'!$J$10:$J$224),0),
IF('TL03'!$B$229=K$3,SUMIF('TL03'!$C$238:$C$451,$C106,'TL03'!$J$238:$J$451),0),
IF('TL04'!$B$3=K$3,SUMIF('TL04'!$C$10:$C$224,$C106,'TL04'!$J$10:$J$224),0),
IF('TL04'!$B$229=K$3,SUMIF('TL04'!$C$238:$C$451,$C106,'TL04'!$J$238:$J$451),0),
IF('TL05'!$B$3=K$3,SUMIF('TL05'!$C$10:$C$224,$C106,'TL05'!$J$10:$J$224),0),
IF('TL05'!$B$229=K$3,SUMIF('TL05'!$C$238:$C$451,$C106,'TL05'!$J$238:$J$451),0),
IF('TL06'!$B$3=K$3,SUMIF('TL06'!$C$10:$C$224,$C106,'TL06'!$J$10:$J$224),0),
IF('TL06'!$B$229=K$3,SUMIF('TL06'!$C$238:$C$451,$C106,'TL06'!$J$238:$J$451),0),
IF('TL07'!$B$3=K$3,SUMIF('TL07'!$C$10:$C$224,$C106,'TL07'!$J$10:$J$224),0),
IF('TL07'!$B$229=K$3,SUMIF('TL07'!$C$238:$C$451,$C106,'TL07'!$J$238:$J$451),0),
IF('TL08'!$B$3=K$3,SUMIF('TL08'!$C$10:$C$224,$C106,'TL08'!$J$10:$J$224),0),
IF('TL08'!$B$229=K$3,SUMIF('TL08'!$C$238:$C$451,$C106,'TL08'!$J$238:$J$451),0),
IF('TL09'!$B$3=K$3,SUMIF('TL09'!$C$10:$C$224,$C106,'TL09'!$J$10:$J$224),0),
IF('TL09'!$B$229=K$3,SUMIF('TL09'!$C$238:$C$451,$C106,'TL09'!$J$238:$J$451),0),
IF('TL10'!$B$3=K$3,SUMIF('TL10'!$C$10:$C$224,$C106,'TL10'!$J$10:$J$224),0),
IF('TL10'!$B$229=K$3,SUMIF('TL10'!$C$238:$C$451,$C106,'TL10'!$J$238:$J$451),0),
IF('TL11'!$B$3=K$3,SUMIF('TL11'!$C$10:$C$224,$C106,'TL11'!$J$10:$J$224),0),
IF('TL11'!$B$229=K$3,SUMIF('TL11'!$C$238:$C$451,$C106,'TL11'!$J$238:$J$451),0),
IF('TL12'!$B$3=K$3,SUMIF('TL12'!$C$10:$C$224,$C106,'TL12'!$J$10:$J$224),0),
IF('TL12'!$B$229=K$3,SUMIF('TL12'!$C$238:$C$451,$C106,'TL12'!$J$238:$J$451),0),
IF('TL13'!$B$3=K$3,SUMIF('TL13'!$C$10:$C$224,$C106,'TL13'!$J$10:$J$224),0),
IF('TL13'!$B$229=K$3,SUMIF('TL13'!$C$238:$C$451,$C106,'TL13'!$J$238:$J$451),0),
IF('TL14'!$B$3=K$3,SUMIF('TL14'!$C$10:$C$224,$C106,'TL14'!$J$10:$J$224),0),
IF('TL14'!$B$229=K$3,SUMIF('TL14'!$C$238:$C$451,$C106,'TL14'!$J$238:$J$451),0),
IF('TL15'!$B$3=K$3,SUMIF('TL15'!$C$10:$C$224,$C106,'TL15'!$J$10:$J$224),0),
IF('TL15'!$B$229=K$3,SUMIF('TL15'!$C$238:$C$451,$C106,'TL15'!$J$238:$J$451),0),
IF('TL16'!$B$3=K$3,SUMIF('TL16'!$C$10:$C$224,$C106,'TL16'!$J$10:$J$224),0),
IF('TL16'!$B$229=K$3,SUMIF('TL16'!$C$238:$C$451,$C106,'TL16'!$J$238:$J$451),0),
IF('TL17'!$B$3=K$3,SUMIF('TL17'!$C$10:$C$224,$C106,'TL17'!$J$10:$J$224),0),
IF('TL17'!$B$229=K$3,SUMIF('TL17'!$C$238:$C$451,$C106,'TL17'!$J$238:$J$451),0),
IF('TL18'!$B$3=K$3,SUMIF('TL18'!$C$10:$C$224,$C106,'TL18'!$J$10:$J$224),0),
IF('TL18'!$B$229=K$3,SUMIF('TL18'!$C$238:$C$451,$C106,'TL18'!$J$238:$J$451),0),
IF('TL19'!$B$3=K$3,SUMIF('TL19'!$C$10:$C$224,$C106,'TL19'!$J$10:$J$224),0),
IF('TL19'!$B$229=K$3,SUMIF('TL19'!$C$238:$C$451,$C106,'TL19'!$J$238:$J$451),0)
),0)</f>
        <v>0</v>
      </c>
      <c r="L106" s="9">
        <f>IFERROR(SUM(
IF('TL01'!$B$3=L$3,SUMIF('TL01'!$C$10:$C$224,$C106,'TL01'!$J$10:$J$224),0),
IF('TL01'!$B$229=L$3,SUMIF('TL01'!$C$238:$C$451,$C106,'TL01'!$J$238:$J$451),0),
IF('TL02'!$B$3=L$3,SUMIF('TL02'!$C$10:$C$224,$C106,'TL02'!$J$10:$J$224),0),
IF('TL02'!$B$229=L$3,SUMIF('TL02'!$C$238:$C$451,$C106,'TL02'!$J$238:$J$451),0),
IF('TL03'!$B$3=L$3,SUMIF('TL03'!$C$10:$C$224,$C106,'TL03'!$J$10:$J$224),0),
IF('TL03'!$B$229=L$3,SUMIF('TL03'!$C$238:$C$451,$C106,'TL03'!$J$238:$J$451),0),
IF('TL04'!$B$3=L$3,SUMIF('TL04'!$C$10:$C$224,$C106,'TL04'!$J$10:$J$224),0),
IF('TL04'!$B$229=L$3,SUMIF('TL04'!$C$238:$C$451,$C106,'TL04'!$J$238:$J$451),0),
IF('TL05'!$B$3=L$3,SUMIF('TL05'!$C$10:$C$224,$C106,'TL05'!$J$10:$J$224),0),
IF('TL05'!$B$229=L$3,SUMIF('TL05'!$C$238:$C$451,$C106,'TL05'!$J$238:$J$451),0),
IF('TL06'!$B$3=L$3,SUMIF('TL06'!$C$10:$C$224,$C106,'TL06'!$J$10:$J$224),0),
IF('TL06'!$B$229=L$3,SUMIF('TL06'!$C$238:$C$451,$C106,'TL06'!$J$238:$J$451),0),
IF('TL07'!$B$3=L$3,SUMIF('TL07'!$C$10:$C$224,$C106,'TL07'!$J$10:$J$224),0),
IF('TL07'!$B$229=L$3,SUMIF('TL07'!$C$238:$C$451,$C106,'TL07'!$J$238:$J$451),0),
IF('TL08'!$B$3=L$3,SUMIF('TL08'!$C$10:$C$224,$C106,'TL08'!$J$10:$J$224),0),
IF('TL08'!$B$229=L$3,SUMIF('TL08'!$C$238:$C$451,$C106,'TL08'!$J$238:$J$451),0),
IF('TL09'!$B$3=L$3,SUMIF('TL09'!$C$10:$C$224,$C106,'TL09'!$J$10:$J$224),0),
IF('TL09'!$B$229=L$3,SUMIF('TL09'!$C$238:$C$451,$C106,'TL09'!$J$238:$J$451),0),
IF('TL10'!$B$3=L$3,SUMIF('TL10'!$C$10:$C$224,$C106,'TL10'!$J$10:$J$224),0),
IF('TL10'!$B$229=L$3,SUMIF('TL10'!$C$238:$C$451,$C106,'TL10'!$J$238:$J$451),0),
IF('TL11'!$B$3=L$3,SUMIF('TL11'!$C$10:$C$224,$C106,'TL11'!$J$10:$J$224),0),
IF('TL11'!$B$229=L$3,SUMIF('TL11'!$C$238:$C$451,$C106,'TL11'!$J$238:$J$451),0),
IF('TL12'!$B$3=L$3,SUMIF('TL12'!$C$10:$C$224,$C106,'TL12'!$J$10:$J$224),0),
IF('TL12'!$B$229=L$3,SUMIF('TL12'!$C$238:$C$451,$C106,'TL12'!$J$238:$J$451),0),
IF('TL13'!$B$3=L$3,SUMIF('TL13'!$C$10:$C$224,$C106,'TL13'!$J$10:$J$224),0),
IF('TL13'!$B$229=L$3,SUMIF('TL13'!$C$238:$C$451,$C106,'TL13'!$J$238:$J$451),0),
IF('TL14'!$B$3=L$3,SUMIF('TL14'!$C$10:$C$224,$C106,'TL14'!$J$10:$J$224),0),
IF('TL14'!$B$229=L$3,SUMIF('TL14'!$C$238:$C$451,$C106,'TL14'!$J$238:$J$451),0),
IF('TL15'!$B$3=L$3,SUMIF('TL15'!$C$10:$C$224,$C106,'TL15'!$J$10:$J$224),0),
IF('TL15'!$B$229=L$3,SUMIF('TL15'!$C$238:$C$451,$C106,'TL15'!$J$238:$J$451),0),
IF('TL16'!$B$3=L$3,SUMIF('TL16'!$C$10:$C$224,$C106,'TL16'!$J$10:$J$224),0),
IF('TL16'!$B$229=L$3,SUMIF('TL16'!$C$238:$C$451,$C106,'TL16'!$J$238:$J$451),0),
IF('TL17'!$B$3=L$3,SUMIF('TL17'!$C$10:$C$224,$C106,'TL17'!$J$10:$J$224),0),
IF('TL17'!$B$229=L$3,SUMIF('TL17'!$C$238:$C$451,$C106,'TL17'!$J$238:$J$451),0),
IF('TL18'!$B$3=L$3,SUMIF('TL18'!$C$10:$C$224,$C106,'TL18'!$J$10:$J$224),0),
IF('TL18'!$B$229=L$3,SUMIF('TL18'!$C$238:$C$451,$C106,'TL18'!$J$238:$J$451),0),
IF('TL19'!$B$3=L$3,SUMIF('TL19'!$C$10:$C$224,$C106,'TL19'!$J$10:$J$224),0),
IF('TL19'!$B$229=L$3,SUMIF('TL19'!$C$238:$C$451,$C106,'TL19'!$J$238:$J$451),0)
),0)</f>
        <v>0</v>
      </c>
      <c r="M106" s="9">
        <f>IFERROR(SUM(
IF('TL01'!$B$3=M$3,SUMIF('TL01'!$C$10:$C$224,$C106,'TL01'!$J$10:$J$224),0),
IF('TL01'!$B$229=M$3,SUMIF('TL01'!$C$238:$C$451,$C106,'TL01'!$J$238:$J$451),0),
IF('TL02'!$B$3=M$3,SUMIF('TL02'!$C$10:$C$224,$C106,'TL02'!$J$10:$J$224),0),
IF('TL02'!$B$229=M$3,SUMIF('TL02'!$C$238:$C$451,$C106,'TL02'!$J$238:$J$451),0),
IF('TL03'!$B$3=M$3,SUMIF('TL03'!$C$10:$C$224,$C106,'TL03'!$J$10:$J$224),0),
IF('TL03'!$B$229=M$3,SUMIF('TL03'!$C$238:$C$451,$C106,'TL03'!$J$238:$J$451),0),
IF('TL04'!$B$3=M$3,SUMIF('TL04'!$C$10:$C$224,$C106,'TL04'!$J$10:$J$224),0),
IF('TL04'!$B$229=M$3,SUMIF('TL04'!$C$238:$C$451,$C106,'TL04'!$J$238:$J$451),0),
IF('TL05'!$B$3=M$3,SUMIF('TL05'!$C$10:$C$224,$C106,'TL05'!$J$10:$J$224),0),
IF('TL05'!$B$229=M$3,SUMIF('TL05'!$C$238:$C$451,$C106,'TL05'!$J$238:$J$451),0),
IF('TL06'!$B$3=M$3,SUMIF('TL06'!$C$10:$C$224,$C106,'TL06'!$J$10:$J$224),0),
IF('TL06'!$B$229=M$3,SUMIF('TL06'!$C$238:$C$451,$C106,'TL06'!$J$238:$J$451),0),
IF('TL07'!$B$3=M$3,SUMIF('TL07'!$C$10:$C$224,$C106,'TL07'!$J$10:$J$224),0),
IF('TL07'!$B$229=M$3,SUMIF('TL07'!$C$238:$C$451,$C106,'TL07'!$J$238:$J$451),0),
IF('TL08'!$B$3=M$3,SUMIF('TL08'!$C$10:$C$224,$C106,'TL08'!$J$10:$J$224),0),
IF('TL08'!$B$229=M$3,SUMIF('TL08'!$C$238:$C$451,$C106,'TL08'!$J$238:$J$451),0),
IF('TL09'!$B$3=M$3,SUMIF('TL09'!$C$10:$C$224,$C106,'TL09'!$J$10:$J$224),0),
IF('TL09'!$B$229=M$3,SUMIF('TL09'!$C$238:$C$451,$C106,'TL09'!$J$238:$J$451),0),
IF('TL10'!$B$3=M$3,SUMIF('TL10'!$C$10:$C$224,$C106,'TL10'!$J$10:$J$224),0),
IF('TL10'!$B$229=M$3,SUMIF('TL10'!$C$238:$C$451,$C106,'TL10'!$J$238:$J$451),0),
IF('TL11'!$B$3=M$3,SUMIF('TL11'!$C$10:$C$224,$C106,'TL11'!$J$10:$J$224),0),
IF('TL11'!$B$229=M$3,SUMIF('TL11'!$C$238:$C$451,$C106,'TL11'!$J$238:$J$451),0),
IF('TL12'!$B$3=M$3,SUMIF('TL12'!$C$10:$C$224,$C106,'TL12'!$J$10:$J$224),0),
IF('TL12'!$B$229=M$3,SUMIF('TL12'!$C$238:$C$451,$C106,'TL12'!$J$238:$J$451),0),
IF('TL13'!$B$3=M$3,SUMIF('TL13'!$C$10:$C$224,$C106,'TL13'!$J$10:$J$224),0),
IF('TL13'!$B$229=M$3,SUMIF('TL13'!$C$238:$C$451,$C106,'TL13'!$J$238:$J$451),0),
IF('TL14'!$B$3=M$3,SUMIF('TL14'!$C$10:$C$224,$C106,'TL14'!$J$10:$J$224),0),
IF('TL14'!$B$229=M$3,SUMIF('TL14'!$C$238:$C$451,$C106,'TL14'!$J$238:$J$451),0),
IF('TL15'!$B$3=M$3,SUMIF('TL15'!$C$10:$C$224,$C106,'TL15'!$J$10:$J$224),0),
IF('TL15'!$B$229=M$3,SUMIF('TL15'!$C$238:$C$451,$C106,'TL15'!$J$238:$J$451),0),
IF('TL16'!$B$3=M$3,SUMIF('TL16'!$C$10:$C$224,$C106,'TL16'!$J$10:$J$224),0),
IF('TL16'!$B$229=M$3,SUMIF('TL16'!$C$238:$C$451,$C106,'TL16'!$J$238:$J$451),0),
IF('TL17'!$B$3=M$3,SUMIF('TL17'!$C$10:$C$224,$C106,'TL17'!$J$10:$J$224),0),
IF('TL17'!$B$229=M$3,SUMIF('TL17'!$C$238:$C$451,$C106,'TL17'!$J$238:$J$451),0),
IF('TL18'!$B$3=M$3,SUMIF('TL18'!$C$10:$C$224,$C106,'TL18'!$J$10:$J$224),0),
IF('TL18'!$B$229=M$3,SUMIF('TL18'!$C$238:$C$451,$C106,'TL18'!$J$238:$J$451),0),
IF('TL19'!$B$3=M$3,SUMIF('TL19'!$C$10:$C$224,$C106,'TL19'!$J$10:$J$224),0),
IF('TL19'!$B$229=M$3,SUMIF('TL19'!$C$238:$C$451,$C106,'TL19'!$J$238:$J$451),0)
),0)</f>
        <v>0</v>
      </c>
      <c r="N106" s="9">
        <f>IFERROR(SUM(
IF('TL01'!$B$3=N$3,SUMIF('TL01'!$C$10:$C$224,$C106,'TL01'!$J$10:$J$224),0),
IF('TL01'!$B$229=N$3,SUMIF('TL01'!$C$238:$C$451,$C106,'TL01'!$J$238:$J$451),0),
IF('TL02'!$B$3=N$3,SUMIF('TL02'!$C$10:$C$224,$C106,'TL02'!$J$10:$J$224),0),
IF('TL02'!$B$229=N$3,SUMIF('TL02'!$C$238:$C$451,$C106,'TL02'!$J$238:$J$451),0),
IF('TL03'!$B$3=N$3,SUMIF('TL03'!$C$10:$C$224,$C106,'TL03'!$J$10:$J$224),0),
IF('TL03'!$B$229=N$3,SUMIF('TL03'!$C$238:$C$451,$C106,'TL03'!$J$238:$J$451),0),
IF('TL04'!$B$3=N$3,SUMIF('TL04'!$C$10:$C$224,$C106,'TL04'!$J$10:$J$224),0),
IF('TL04'!$B$229=N$3,SUMIF('TL04'!$C$238:$C$451,$C106,'TL04'!$J$238:$J$451),0),
IF('TL05'!$B$3=N$3,SUMIF('TL05'!$C$10:$C$224,$C106,'TL05'!$J$10:$J$224),0),
IF('TL05'!$B$229=N$3,SUMIF('TL05'!$C$238:$C$451,$C106,'TL05'!$J$238:$J$451),0),
IF('TL06'!$B$3=N$3,SUMIF('TL06'!$C$10:$C$224,$C106,'TL06'!$J$10:$J$224),0),
IF('TL06'!$B$229=N$3,SUMIF('TL06'!$C$238:$C$451,$C106,'TL06'!$J$238:$J$451),0),
IF('TL07'!$B$3=N$3,SUMIF('TL07'!$C$10:$C$224,$C106,'TL07'!$J$10:$J$224),0),
IF('TL07'!$B$229=N$3,SUMIF('TL07'!$C$238:$C$451,$C106,'TL07'!$J$238:$J$451),0),
IF('TL08'!$B$3=N$3,SUMIF('TL08'!$C$10:$C$224,$C106,'TL08'!$J$10:$J$224),0),
IF('TL08'!$B$229=N$3,SUMIF('TL08'!$C$238:$C$451,$C106,'TL08'!$J$238:$J$451),0),
IF('TL09'!$B$3=N$3,SUMIF('TL09'!$C$10:$C$224,$C106,'TL09'!$J$10:$J$224),0),
IF('TL09'!$B$229=N$3,SUMIF('TL09'!$C$238:$C$451,$C106,'TL09'!$J$238:$J$451),0),
IF('TL10'!$B$3=N$3,SUMIF('TL10'!$C$10:$C$224,$C106,'TL10'!$J$10:$J$224),0),
IF('TL10'!$B$229=N$3,SUMIF('TL10'!$C$238:$C$451,$C106,'TL10'!$J$238:$J$451),0),
IF('TL11'!$B$3=N$3,SUMIF('TL11'!$C$10:$C$224,$C106,'TL11'!$J$10:$J$224),0),
IF('TL11'!$B$229=N$3,SUMIF('TL11'!$C$238:$C$451,$C106,'TL11'!$J$238:$J$451),0),
IF('TL12'!$B$3=N$3,SUMIF('TL12'!$C$10:$C$224,$C106,'TL12'!$J$10:$J$224),0),
IF('TL12'!$B$229=N$3,SUMIF('TL12'!$C$238:$C$451,$C106,'TL12'!$J$238:$J$451),0),
IF('TL13'!$B$3=N$3,SUMIF('TL13'!$C$10:$C$224,$C106,'TL13'!$J$10:$J$224),0),
IF('TL13'!$B$229=N$3,SUMIF('TL13'!$C$238:$C$451,$C106,'TL13'!$J$238:$J$451),0),
IF('TL14'!$B$3=N$3,SUMIF('TL14'!$C$10:$C$224,$C106,'TL14'!$J$10:$J$224),0),
IF('TL14'!$B$229=N$3,SUMIF('TL14'!$C$238:$C$451,$C106,'TL14'!$J$238:$J$451),0),
IF('TL15'!$B$3=N$3,SUMIF('TL15'!$C$10:$C$224,$C106,'TL15'!$J$10:$J$224),0),
IF('TL15'!$B$229=N$3,SUMIF('TL15'!$C$238:$C$451,$C106,'TL15'!$J$238:$J$451),0),
IF('TL16'!$B$3=N$3,SUMIF('TL16'!$C$10:$C$224,$C106,'TL16'!$J$10:$J$224),0),
IF('TL16'!$B$229=N$3,SUMIF('TL16'!$C$238:$C$451,$C106,'TL16'!$J$238:$J$451),0),
IF('TL17'!$B$3=N$3,SUMIF('TL17'!$C$10:$C$224,$C106,'TL17'!$J$10:$J$224),0),
IF('TL17'!$B$229=N$3,SUMIF('TL17'!$C$238:$C$451,$C106,'TL17'!$J$238:$J$451),0),
IF('TL18'!$B$3=N$3,SUMIF('TL18'!$C$10:$C$224,$C106,'TL18'!$J$10:$J$224),0),
IF('TL18'!$B$229=N$3,SUMIF('TL18'!$C$238:$C$451,$C106,'TL18'!$J$238:$J$451),0),
IF('TL19'!$B$3=N$3,SUMIF('TL19'!$C$10:$C$224,$C106,'TL19'!$J$10:$J$224),0),
IF('TL19'!$B$229=N$3,SUMIF('TL19'!$C$238:$C$451,$C106,'TL19'!$J$238:$J$451),0)
),0)</f>
        <v>0</v>
      </c>
      <c r="O106" s="9">
        <f>IFERROR(SUM(
IF('TL01'!$B$3=O$3,SUMIF('TL01'!$C$10:$C$224,$C106,'TL01'!$J$10:$J$224),0),
IF('TL01'!$B$229=O$3,SUMIF('TL01'!$C$238:$C$451,$C106,'TL01'!$J$238:$J$451),0),
IF('TL02'!$B$3=O$3,SUMIF('TL02'!$C$10:$C$224,$C106,'TL02'!$J$10:$J$224),0),
IF('TL02'!$B$229=O$3,SUMIF('TL02'!$C$238:$C$451,$C106,'TL02'!$J$238:$J$451),0),
IF('TL03'!$B$3=O$3,SUMIF('TL03'!$C$10:$C$224,$C106,'TL03'!$J$10:$J$224),0),
IF('TL03'!$B$229=O$3,SUMIF('TL03'!$C$238:$C$451,$C106,'TL03'!$J$238:$J$451),0),
IF('TL04'!$B$3=O$3,SUMIF('TL04'!$C$10:$C$224,$C106,'TL04'!$J$10:$J$224),0),
IF('TL04'!$B$229=O$3,SUMIF('TL04'!$C$238:$C$451,$C106,'TL04'!$J$238:$J$451),0),
IF('TL05'!$B$3=O$3,SUMIF('TL05'!$C$10:$C$224,$C106,'TL05'!$J$10:$J$224),0),
IF('TL05'!$B$229=O$3,SUMIF('TL05'!$C$238:$C$451,$C106,'TL05'!$J$238:$J$451),0),
IF('TL06'!$B$3=O$3,SUMIF('TL06'!$C$10:$C$224,$C106,'TL06'!$J$10:$J$224),0),
IF('TL06'!$B$229=O$3,SUMIF('TL06'!$C$238:$C$451,$C106,'TL06'!$J$238:$J$451),0),
IF('TL07'!$B$3=O$3,SUMIF('TL07'!$C$10:$C$224,$C106,'TL07'!$J$10:$J$224),0),
IF('TL07'!$B$229=O$3,SUMIF('TL07'!$C$238:$C$451,$C106,'TL07'!$J$238:$J$451),0),
IF('TL08'!$B$3=O$3,SUMIF('TL08'!$C$10:$C$224,$C106,'TL08'!$J$10:$J$224),0),
IF('TL08'!$B$229=O$3,SUMIF('TL08'!$C$238:$C$451,$C106,'TL08'!$J$238:$J$451),0),
IF('TL09'!$B$3=O$3,SUMIF('TL09'!$C$10:$C$224,$C106,'TL09'!$J$10:$J$224),0),
IF('TL09'!$B$229=O$3,SUMIF('TL09'!$C$238:$C$451,$C106,'TL09'!$J$238:$J$451),0),
IF('TL10'!$B$3=O$3,SUMIF('TL10'!$C$10:$C$224,$C106,'TL10'!$J$10:$J$224),0),
IF('TL10'!$B$229=O$3,SUMIF('TL10'!$C$238:$C$451,$C106,'TL10'!$J$238:$J$451),0),
IF('TL11'!$B$3=O$3,SUMIF('TL11'!$C$10:$C$224,$C106,'TL11'!$J$10:$J$224),0),
IF('TL11'!$B$229=O$3,SUMIF('TL11'!$C$238:$C$451,$C106,'TL11'!$J$238:$J$451),0),
IF('TL12'!$B$3=O$3,SUMIF('TL12'!$C$10:$C$224,$C106,'TL12'!$J$10:$J$224),0),
IF('TL12'!$B$229=O$3,SUMIF('TL12'!$C$238:$C$451,$C106,'TL12'!$J$238:$J$451),0),
IF('TL13'!$B$3=O$3,SUMIF('TL13'!$C$10:$C$224,$C106,'TL13'!$J$10:$J$224),0),
IF('TL13'!$B$229=O$3,SUMIF('TL13'!$C$238:$C$451,$C106,'TL13'!$J$238:$J$451),0),
IF('TL14'!$B$3=O$3,SUMIF('TL14'!$C$10:$C$224,$C106,'TL14'!$J$10:$J$224),0),
IF('TL14'!$B$229=O$3,SUMIF('TL14'!$C$238:$C$451,$C106,'TL14'!$J$238:$J$451),0),
IF('TL15'!$B$3=O$3,SUMIF('TL15'!$C$10:$C$224,$C106,'TL15'!$J$10:$J$224),0),
IF('TL15'!$B$229=O$3,SUMIF('TL15'!$C$238:$C$451,$C106,'TL15'!$J$238:$J$451),0),
IF('TL16'!$B$3=O$3,SUMIF('TL16'!$C$10:$C$224,$C106,'TL16'!$J$10:$J$224),0),
IF('TL16'!$B$229=O$3,SUMIF('TL16'!$C$238:$C$451,$C106,'TL16'!$J$238:$J$451),0),
IF('TL17'!$B$3=O$3,SUMIF('TL17'!$C$10:$C$224,$C106,'TL17'!$J$10:$J$224),0),
IF('TL17'!$B$229=O$3,SUMIF('TL17'!$C$238:$C$451,$C106,'TL17'!$J$238:$J$451),0),
IF('TL18'!$B$3=O$3,SUMIF('TL18'!$C$10:$C$224,$C106,'TL18'!$J$10:$J$224),0),
IF('TL18'!$B$229=O$3,SUMIF('TL18'!$C$238:$C$451,$C106,'TL18'!$J$238:$J$451),0),
IF('TL19'!$B$3=O$3,SUMIF('TL19'!$C$10:$C$224,$C106,'TL19'!$J$10:$J$224),0),
IF('TL19'!$B$229=O$3,SUMIF('TL19'!$C$238:$C$451,$C106,'TL19'!$J$238:$J$451),0)
),0)</f>
        <v>0</v>
      </c>
      <c r="P106" s="9">
        <f>IFERROR(SUM(
IF('TL01'!$B$3=P$3,SUMIF('TL01'!$C$10:$C$224,$C106,'TL01'!$J$10:$J$224),0),
IF('TL01'!$B$229=P$3,SUMIF('TL01'!$C$238:$C$451,$C106,'TL01'!$J$238:$J$451),0),
IF('TL02'!$B$3=P$3,SUMIF('TL02'!$C$10:$C$224,$C106,'TL02'!$J$10:$J$224),0),
IF('TL02'!$B$229=P$3,SUMIF('TL02'!$C$238:$C$451,$C106,'TL02'!$J$238:$J$451),0),
IF('TL03'!$B$3=P$3,SUMIF('TL03'!$C$10:$C$224,$C106,'TL03'!$J$10:$J$224),0),
IF('TL03'!$B$229=P$3,SUMIF('TL03'!$C$238:$C$451,$C106,'TL03'!$J$238:$J$451),0),
IF('TL04'!$B$3=P$3,SUMIF('TL04'!$C$10:$C$224,$C106,'TL04'!$J$10:$J$224),0),
IF('TL04'!$B$229=P$3,SUMIF('TL04'!$C$238:$C$451,$C106,'TL04'!$J$238:$J$451),0),
IF('TL05'!$B$3=P$3,SUMIF('TL05'!$C$10:$C$224,$C106,'TL05'!$J$10:$J$224),0),
IF('TL05'!$B$229=P$3,SUMIF('TL05'!$C$238:$C$451,$C106,'TL05'!$J$238:$J$451),0),
IF('TL06'!$B$3=P$3,SUMIF('TL06'!$C$10:$C$224,$C106,'TL06'!$J$10:$J$224),0),
IF('TL06'!$B$229=P$3,SUMIF('TL06'!$C$238:$C$451,$C106,'TL06'!$J$238:$J$451),0),
IF('TL07'!$B$3=P$3,SUMIF('TL07'!$C$10:$C$224,$C106,'TL07'!$J$10:$J$224),0),
IF('TL07'!$B$229=P$3,SUMIF('TL07'!$C$238:$C$451,$C106,'TL07'!$J$238:$J$451),0),
IF('TL08'!$B$3=P$3,SUMIF('TL08'!$C$10:$C$224,$C106,'TL08'!$J$10:$J$224),0),
IF('TL08'!$B$229=P$3,SUMIF('TL08'!$C$238:$C$451,$C106,'TL08'!$J$238:$J$451),0),
IF('TL09'!$B$3=P$3,SUMIF('TL09'!$C$10:$C$224,$C106,'TL09'!$J$10:$J$224),0),
IF('TL09'!$B$229=P$3,SUMIF('TL09'!$C$238:$C$451,$C106,'TL09'!$J$238:$J$451),0),
IF('TL10'!$B$3=P$3,SUMIF('TL10'!$C$10:$C$224,$C106,'TL10'!$J$10:$J$224),0),
IF('TL10'!$B$229=P$3,SUMIF('TL10'!$C$238:$C$451,$C106,'TL10'!$J$238:$J$451),0),
IF('TL11'!$B$3=P$3,SUMIF('TL11'!$C$10:$C$224,$C106,'TL11'!$J$10:$J$224),0),
IF('TL11'!$B$229=P$3,SUMIF('TL11'!$C$238:$C$451,$C106,'TL11'!$J$238:$J$451),0),
IF('TL12'!$B$3=P$3,SUMIF('TL12'!$C$10:$C$224,$C106,'TL12'!$J$10:$J$224),0),
IF('TL12'!$B$229=P$3,SUMIF('TL12'!$C$238:$C$451,$C106,'TL12'!$J$238:$J$451),0),
IF('TL13'!$B$3=P$3,SUMIF('TL13'!$C$10:$C$224,$C106,'TL13'!$J$10:$J$224),0),
IF('TL13'!$B$229=P$3,SUMIF('TL13'!$C$238:$C$451,$C106,'TL13'!$J$238:$J$451),0),
IF('TL14'!$B$3=P$3,SUMIF('TL14'!$C$10:$C$224,$C106,'TL14'!$J$10:$J$224),0),
IF('TL14'!$B$229=P$3,SUMIF('TL14'!$C$238:$C$451,$C106,'TL14'!$J$238:$J$451),0),
IF('TL15'!$B$3=P$3,SUMIF('TL15'!$C$10:$C$224,$C106,'TL15'!$J$10:$J$224),0),
IF('TL15'!$B$229=P$3,SUMIF('TL15'!$C$238:$C$451,$C106,'TL15'!$J$238:$J$451),0),
IF('TL16'!$B$3=P$3,SUMIF('TL16'!$C$10:$C$224,$C106,'TL16'!$J$10:$J$224),0),
IF('TL16'!$B$229=P$3,SUMIF('TL16'!$C$238:$C$451,$C106,'TL16'!$J$238:$J$451),0),
IF('TL17'!$B$3=P$3,SUMIF('TL17'!$C$10:$C$224,$C106,'TL17'!$J$10:$J$224),0),
IF('TL17'!$B$229=P$3,SUMIF('TL17'!$C$238:$C$451,$C106,'TL17'!$J$238:$J$451),0),
IF('TL18'!$B$3=P$3,SUMIF('TL18'!$C$10:$C$224,$C106,'TL18'!$J$10:$J$224),0),
IF('TL18'!$B$229=P$3,SUMIF('TL18'!$C$238:$C$451,$C106,'TL18'!$J$238:$J$451),0),
IF('TL19'!$B$3=P$3,SUMIF('TL19'!$C$10:$C$224,$C106,'TL19'!$J$10:$J$224),0),
IF('TL19'!$B$229=P$3,SUMIF('TL19'!$C$238:$C$451,$C106,'TL19'!$J$238:$J$451),0)
),0)</f>
        <v>0</v>
      </c>
      <c r="Q106" s="9">
        <f>IFERROR(SUM(
IF('TL01'!$B$3=Q$3,SUMIF('TL01'!$C$10:$C$224,$C106,'TL01'!$J$10:$J$224),0),
IF('TL01'!$B$229=Q$3,SUMIF('TL01'!$C$238:$C$451,$C106,'TL01'!$J$238:$J$451),0),
IF('TL02'!$B$3=Q$3,SUMIF('TL02'!$C$10:$C$224,$C106,'TL02'!$J$10:$J$224),0),
IF('TL02'!$B$229=Q$3,SUMIF('TL02'!$C$238:$C$451,$C106,'TL02'!$J$238:$J$451),0),
IF('TL03'!$B$3=Q$3,SUMIF('TL03'!$C$10:$C$224,$C106,'TL03'!$J$10:$J$224),0),
IF('TL03'!$B$229=Q$3,SUMIF('TL03'!$C$238:$C$451,$C106,'TL03'!$J$238:$J$451),0),
IF('TL04'!$B$3=Q$3,SUMIF('TL04'!$C$10:$C$224,$C106,'TL04'!$J$10:$J$224),0),
IF('TL04'!$B$229=Q$3,SUMIF('TL04'!$C$238:$C$451,$C106,'TL04'!$J$238:$J$451),0),
IF('TL05'!$B$3=Q$3,SUMIF('TL05'!$C$10:$C$224,$C106,'TL05'!$J$10:$J$224),0),
IF('TL05'!$B$229=Q$3,SUMIF('TL05'!$C$238:$C$451,$C106,'TL05'!$J$238:$J$451),0),
IF('TL06'!$B$3=Q$3,SUMIF('TL06'!$C$10:$C$224,$C106,'TL06'!$J$10:$J$224),0),
IF('TL06'!$B$229=Q$3,SUMIF('TL06'!$C$238:$C$451,$C106,'TL06'!$J$238:$J$451),0),
IF('TL07'!$B$3=Q$3,SUMIF('TL07'!$C$10:$C$224,$C106,'TL07'!$J$10:$J$224),0),
IF('TL07'!$B$229=Q$3,SUMIF('TL07'!$C$238:$C$451,$C106,'TL07'!$J$238:$J$451),0),
IF('TL08'!$B$3=Q$3,SUMIF('TL08'!$C$10:$C$224,$C106,'TL08'!$J$10:$J$224),0),
IF('TL08'!$B$229=Q$3,SUMIF('TL08'!$C$238:$C$451,$C106,'TL08'!$J$238:$J$451),0),
IF('TL09'!$B$3=Q$3,SUMIF('TL09'!$C$10:$C$224,$C106,'TL09'!$J$10:$J$224),0),
IF('TL09'!$B$229=Q$3,SUMIF('TL09'!$C$238:$C$451,$C106,'TL09'!$J$238:$J$451),0),
IF('TL10'!$B$3=Q$3,SUMIF('TL10'!$C$10:$C$224,$C106,'TL10'!$J$10:$J$224),0),
IF('TL10'!$B$229=Q$3,SUMIF('TL10'!$C$238:$C$451,$C106,'TL10'!$J$238:$J$451),0),
IF('TL11'!$B$3=Q$3,SUMIF('TL11'!$C$10:$C$224,$C106,'TL11'!$J$10:$J$224),0),
IF('TL11'!$B$229=Q$3,SUMIF('TL11'!$C$238:$C$451,$C106,'TL11'!$J$238:$J$451),0),
IF('TL12'!$B$3=Q$3,SUMIF('TL12'!$C$10:$C$224,$C106,'TL12'!$J$10:$J$224),0),
IF('TL12'!$B$229=Q$3,SUMIF('TL12'!$C$238:$C$451,$C106,'TL12'!$J$238:$J$451),0),
IF('TL13'!$B$3=Q$3,SUMIF('TL13'!$C$10:$C$224,$C106,'TL13'!$J$10:$J$224),0),
IF('TL13'!$B$229=Q$3,SUMIF('TL13'!$C$238:$C$451,$C106,'TL13'!$J$238:$J$451),0),
IF('TL14'!$B$3=Q$3,SUMIF('TL14'!$C$10:$C$224,$C106,'TL14'!$J$10:$J$224),0),
IF('TL14'!$B$229=Q$3,SUMIF('TL14'!$C$238:$C$451,$C106,'TL14'!$J$238:$J$451),0),
IF('TL15'!$B$3=Q$3,SUMIF('TL15'!$C$10:$C$224,$C106,'TL15'!$J$10:$J$224),0),
IF('TL15'!$B$229=Q$3,SUMIF('TL15'!$C$238:$C$451,$C106,'TL15'!$J$238:$J$451),0),
IF('TL16'!$B$3=Q$3,SUMIF('TL16'!$C$10:$C$224,$C106,'TL16'!$J$10:$J$224),0),
IF('TL16'!$B$229=Q$3,SUMIF('TL16'!$C$238:$C$451,$C106,'TL16'!$J$238:$J$451),0),
IF('TL17'!$B$3=Q$3,SUMIF('TL17'!$C$10:$C$224,$C106,'TL17'!$J$10:$J$224),0),
IF('TL17'!$B$229=Q$3,SUMIF('TL17'!$C$238:$C$451,$C106,'TL17'!$J$238:$J$451),0),
IF('TL18'!$B$3=Q$3,SUMIF('TL18'!$C$10:$C$224,$C106,'TL18'!$J$10:$J$224),0),
IF('TL18'!$B$229=Q$3,SUMIF('TL18'!$C$238:$C$451,$C106,'TL18'!$J$238:$J$451),0),
IF('TL19'!$B$3=Q$3,SUMIF('TL19'!$C$10:$C$224,$C106,'TL19'!$J$10:$J$224),0),
IF('TL19'!$B$229=Q$3,SUMIF('TL19'!$C$238:$C$451,$C106,'TL19'!$J$238:$J$451),0)
),0)</f>
        <v>0</v>
      </c>
      <c r="R106" s="9">
        <f>IFERROR(
SUM(
SUMIF('TL01'!C:C,C106,'TL01'!J:J),
SUMIF('TL02'!C:C,C106,'TL02'!J:J),
SUMIF('TL03'!C:C,C106,'TL03'!J:J),
SUMIF('TL04'!C:C,C106,'TL04'!J:J),
SUMIF('TL05'!C:C,C106,'TL05'!J:J),
SUMIF('TL06'!C:C,C106,'TL06'!J:J),
SUMIF('TL07'!C:C,C106,'TL07'!J:J),
SUMIF('TL08'!C:C,C106,'TL08'!J:J),
SUMIF('TL09'!C:C,C106,'TL09'!J:J),
SUMIF('TL10'!C:C,C106,'TL10'!J:J),
SUMIF('TL11'!C:C,C106,'TL11'!J:J),
SUMIF('TL12'!C:C,C106,'TL12'!J:J),
SUMIF('TL13'!C:C,C106,'TL13'!J:J),
SUMIF('TL14'!C:C,C106,'TL14'!J:J),
SUMIF('TL15'!C:C,C106,'TL15'!J:J),
SUMIF('TL16'!C:C,C106,'TL16'!J:J),
SUMIF('TL17'!C:C,C106,'TL17'!J:J),
SUMIF('TL18'!C:C,C106,'TL18'!J:J),SUMIF('TL19'!C:C,C106,'TL19'!J:J))
,0)</f>
        <v>490</v>
      </c>
      <c r="S106" s="17">
        <f>IFERROR(__xludf.DUMMYFUNCTION("IFERROR(VLOOKUP(C106,
IMPORTRANGE(""1wULbzX32WdYsx-lj2U3uUNBBe2INVIRDtcK0d-Dvl90"",
""26-27!C:G""),
5,
FALSE),
"""")"),18.1892)</f>
        <v>18.1892</v>
      </c>
      <c r="T106" s="9"/>
      <c r="U106" s="92">
        <f t="shared" si="2"/>
        <v>490</v>
      </c>
      <c r="V106" s="93">
        <f t="shared" si="3"/>
        <v>8912.708</v>
      </c>
    </row>
    <row r="107" ht="15.75" hidden="1" customHeight="1">
      <c r="A107" s="111" t="s">
        <v>340</v>
      </c>
      <c r="B107" s="112" t="s">
        <v>1</v>
      </c>
      <c r="C107" s="113" t="s">
        <v>607</v>
      </c>
      <c r="D107" s="113" t="s">
        <v>608</v>
      </c>
      <c r="E107" s="113" t="s">
        <v>609</v>
      </c>
      <c r="F107" s="4" t="s">
        <v>343</v>
      </c>
      <c r="G107" s="90" t="str">
        <f t="shared" si="4"/>
        <v>📄 Ver bula</v>
      </c>
      <c r="H107" s="9" t="str">
        <f>IFERROR(__xludf.DUMMYFUNCTION("IFERROR(VLOOKUP(C107,
IMPORTRANGE(""1wULbzX32WdYsx-lj2U3uUNBBe2INVIRDtcK0d-Dvl90"",
""26-27!C:K""),
8,
FALSE),
"""")"),"")</f>
        <v/>
      </c>
      <c r="I107" s="114" t="s">
        <v>344</v>
      </c>
      <c r="J107" s="9">
        <f>IFERROR(SUM(
IF('TL01'!$B$3=J$3,SUMIF('TL01'!$C$10:$C$224,$C107,'TL01'!$J$10:$J$224),0),
IF('TL01'!$B$229=J$3,SUMIF('TL01'!$C$238:$C$451,$C107,'TL01'!$J$238:$J$451),0),
IF('TL02'!$B$3=J$3,SUMIF('TL02'!$C$10:$C$224,$C107,'TL02'!$J$10:$J$224),0),
IF('TL02'!$B$229=J$3,SUMIF('TL02'!$C$238:$C$451,$C107,'TL02'!$J$238:$J$451),0),
IF('TL03'!$B$3=J$3,SUMIF('TL03'!$C$10:$C$224,$C107,'TL03'!$J$10:$J$224),0),
IF('TL03'!$B$229=J$3,SUMIF('TL03'!$C$238:$C$451,$C107,'TL03'!$J$238:$J$451),0),
IF('TL04'!$B$3=J$3,SUMIF('TL04'!$C$10:$C$224,$C107,'TL04'!$J$10:$J$224),0),
IF('TL04'!$B$229=J$3,SUMIF('TL04'!$C$238:$C$451,$C107,'TL04'!$J$238:$J$451),0),
IF('TL05'!$B$3=J$3,SUMIF('TL05'!$C$10:$C$224,$C107,'TL05'!$J$10:$J$224),0),
IF('TL05'!$B$229=J$3,SUMIF('TL05'!$C$238:$C$451,$C107,'TL05'!$J$238:$J$451),0),
IF('TL06'!$B$3=J$3,SUMIF('TL06'!$C$10:$C$224,$C107,'TL06'!$J$10:$J$224),0),
IF('TL06'!$B$229=J$3,SUMIF('TL06'!$C$238:$C$451,$C107,'TL06'!$J$238:$J$451),0),
IF('TL07'!$B$3=J$3,SUMIF('TL07'!$C$10:$C$224,$C107,'TL07'!$J$10:$J$224),0),
IF('TL07'!$B$229=J$3,SUMIF('TL07'!$C$238:$C$451,$C107,'TL07'!$J$238:$J$451),0),
IF('TL08'!$B$3=J$3,SUMIF('TL08'!$C$10:$C$224,$C107,'TL08'!$J$10:$J$224),0),
IF('TL08'!$B$229=J$3,SUMIF('TL08'!$C$238:$C$451,$C107,'TL08'!$J$238:$J$451),0),
IF('TL09'!$B$3=J$3,SUMIF('TL09'!$C$10:$C$224,$C107,'TL09'!$J$10:$J$224),0),
IF('TL09'!$B$229=J$3,SUMIF('TL09'!$C$238:$C$451,$C107,'TL09'!$J$238:$J$451),0),
IF('TL10'!$B$3=J$3,SUMIF('TL10'!$C$10:$C$224,$C107,'TL10'!$J$10:$J$224),0),
IF('TL10'!$B$229=J$3,SUMIF('TL10'!$C$238:$C$451,$C107,'TL10'!$J$238:$J$451),0),
IF('TL11'!$B$3=J$3,SUMIF('TL11'!$C$10:$C$224,$C107,'TL11'!$J$10:$J$224),0),
IF('TL11'!$B$229=J$3,SUMIF('TL11'!$C$238:$C$451,$C107,'TL11'!$J$238:$J$451),0),
IF('TL12'!$B$3=J$3,SUMIF('TL12'!$C$10:$C$224,$C107,'TL12'!$J$10:$J$224),0),
IF('TL12'!$B$229=J$3,SUMIF('TL12'!$C$238:$C$451,$C107,'TL12'!$J$238:$J$451),0),
IF('TL13'!$B$3=J$3,SUMIF('TL13'!$C$10:$C$224,$C107,'TL13'!$J$10:$J$224),0),
IF('TL13'!$B$229=J$3,SUMIF('TL13'!$C$238:$C$451,$C107,'TL13'!$J$238:$J$451),0),
IF('TL14'!$B$3=J$3,SUMIF('TL14'!$C$10:$C$224,$C107,'TL14'!$J$10:$J$224),0),
IF('TL14'!$B$229=J$3,SUMIF('TL14'!$C$238:$C$451,$C107,'TL14'!$J$238:$J$451),0),
IF('TL15'!$B$3=J$3,SUMIF('TL15'!$C$10:$C$224,$C107,'TL15'!$J$10:$J$224),0),
IF('TL15'!$B$229=J$3,SUMIF('TL15'!$C$238:$C$451,$C107,'TL15'!$J$238:$J$451),0),
IF('TL16'!$B$3=J$3,SUMIF('TL16'!$C$10:$C$224,$C107,'TL16'!$J$10:$J$224),0),
IF('TL16'!$B$229=J$3,SUMIF('TL16'!$C$238:$C$451,$C107,'TL16'!$J$238:$J$451),0),
IF('TL17'!$B$3=J$3,SUMIF('TL17'!$C$10:$C$224,$C107,'TL17'!$J$10:$J$224),0),
IF('TL17'!$B$229=J$3,SUMIF('TL17'!$C$238:$C$451,$C107,'TL17'!$J$238:$J$451),0),
IF('TL18'!$B$3=J$3,SUMIF('TL18'!$C$10:$C$224,$C107,'TL18'!$J$10:$J$224),0),
IF('TL18'!$B$229=J$3,SUMIF('TL18'!$C$238:$C$451,$C107,'TL18'!$J$238:$J$451),0),
IF('TL19'!$B$3=J$3,SUMIF('TL19'!$C$10:$C$224,$C107,'TL19'!$J$10:$J$224),0),
IF('TL19'!$B$229=J$3,SUMIF('TL19'!$C$238:$C$451,$C107,'TL19'!$J$238:$J$451),0)
),0)</f>
        <v>0</v>
      </c>
      <c r="K107" s="9">
        <f>IFERROR(SUM(
IF('TL01'!$B$3=K$3,SUMIF('TL01'!$C$10:$C$224,$C107,'TL01'!$J$10:$J$224),0),
IF('TL01'!$B$229=K$3,SUMIF('TL01'!$C$238:$C$451,$C107,'TL01'!$J$238:$J$451),0),
IF('TL02'!$B$3=K$3,SUMIF('TL02'!$C$10:$C$224,$C107,'TL02'!$J$10:$J$224),0),
IF('TL02'!$B$229=K$3,SUMIF('TL02'!$C$238:$C$451,$C107,'TL02'!$J$238:$J$451),0),
IF('TL03'!$B$3=K$3,SUMIF('TL03'!$C$10:$C$224,$C107,'TL03'!$J$10:$J$224),0),
IF('TL03'!$B$229=K$3,SUMIF('TL03'!$C$238:$C$451,$C107,'TL03'!$J$238:$J$451),0),
IF('TL04'!$B$3=K$3,SUMIF('TL04'!$C$10:$C$224,$C107,'TL04'!$J$10:$J$224),0),
IF('TL04'!$B$229=K$3,SUMIF('TL04'!$C$238:$C$451,$C107,'TL04'!$J$238:$J$451),0),
IF('TL05'!$B$3=K$3,SUMIF('TL05'!$C$10:$C$224,$C107,'TL05'!$J$10:$J$224),0),
IF('TL05'!$B$229=K$3,SUMIF('TL05'!$C$238:$C$451,$C107,'TL05'!$J$238:$J$451),0),
IF('TL06'!$B$3=K$3,SUMIF('TL06'!$C$10:$C$224,$C107,'TL06'!$J$10:$J$224),0),
IF('TL06'!$B$229=K$3,SUMIF('TL06'!$C$238:$C$451,$C107,'TL06'!$J$238:$J$451),0),
IF('TL07'!$B$3=K$3,SUMIF('TL07'!$C$10:$C$224,$C107,'TL07'!$J$10:$J$224),0),
IF('TL07'!$B$229=K$3,SUMIF('TL07'!$C$238:$C$451,$C107,'TL07'!$J$238:$J$451),0),
IF('TL08'!$B$3=K$3,SUMIF('TL08'!$C$10:$C$224,$C107,'TL08'!$J$10:$J$224),0),
IF('TL08'!$B$229=K$3,SUMIF('TL08'!$C$238:$C$451,$C107,'TL08'!$J$238:$J$451),0),
IF('TL09'!$B$3=K$3,SUMIF('TL09'!$C$10:$C$224,$C107,'TL09'!$J$10:$J$224),0),
IF('TL09'!$B$229=K$3,SUMIF('TL09'!$C$238:$C$451,$C107,'TL09'!$J$238:$J$451),0),
IF('TL10'!$B$3=K$3,SUMIF('TL10'!$C$10:$C$224,$C107,'TL10'!$J$10:$J$224),0),
IF('TL10'!$B$229=K$3,SUMIF('TL10'!$C$238:$C$451,$C107,'TL10'!$J$238:$J$451),0),
IF('TL11'!$B$3=K$3,SUMIF('TL11'!$C$10:$C$224,$C107,'TL11'!$J$10:$J$224),0),
IF('TL11'!$B$229=K$3,SUMIF('TL11'!$C$238:$C$451,$C107,'TL11'!$J$238:$J$451),0),
IF('TL12'!$B$3=K$3,SUMIF('TL12'!$C$10:$C$224,$C107,'TL12'!$J$10:$J$224),0),
IF('TL12'!$B$229=K$3,SUMIF('TL12'!$C$238:$C$451,$C107,'TL12'!$J$238:$J$451),0),
IF('TL13'!$B$3=K$3,SUMIF('TL13'!$C$10:$C$224,$C107,'TL13'!$J$10:$J$224),0),
IF('TL13'!$B$229=K$3,SUMIF('TL13'!$C$238:$C$451,$C107,'TL13'!$J$238:$J$451),0),
IF('TL14'!$B$3=K$3,SUMIF('TL14'!$C$10:$C$224,$C107,'TL14'!$J$10:$J$224),0),
IF('TL14'!$B$229=K$3,SUMIF('TL14'!$C$238:$C$451,$C107,'TL14'!$J$238:$J$451),0),
IF('TL15'!$B$3=K$3,SUMIF('TL15'!$C$10:$C$224,$C107,'TL15'!$J$10:$J$224),0),
IF('TL15'!$B$229=K$3,SUMIF('TL15'!$C$238:$C$451,$C107,'TL15'!$J$238:$J$451),0),
IF('TL16'!$B$3=K$3,SUMIF('TL16'!$C$10:$C$224,$C107,'TL16'!$J$10:$J$224),0),
IF('TL16'!$B$229=K$3,SUMIF('TL16'!$C$238:$C$451,$C107,'TL16'!$J$238:$J$451),0),
IF('TL17'!$B$3=K$3,SUMIF('TL17'!$C$10:$C$224,$C107,'TL17'!$J$10:$J$224),0),
IF('TL17'!$B$229=K$3,SUMIF('TL17'!$C$238:$C$451,$C107,'TL17'!$J$238:$J$451),0),
IF('TL18'!$B$3=K$3,SUMIF('TL18'!$C$10:$C$224,$C107,'TL18'!$J$10:$J$224),0),
IF('TL18'!$B$229=K$3,SUMIF('TL18'!$C$238:$C$451,$C107,'TL18'!$J$238:$J$451),0),
IF('TL19'!$B$3=K$3,SUMIF('TL19'!$C$10:$C$224,$C107,'TL19'!$J$10:$J$224),0),
IF('TL19'!$B$229=K$3,SUMIF('TL19'!$C$238:$C$451,$C107,'TL19'!$J$238:$J$451),0)
),0)</f>
        <v>0</v>
      </c>
      <c r="L107" s="9">
        <f>IFERROR(SUM(
IF('TL01'!$B$3=L$3,SUMIF('TL01'!$C$10:$C$224,$C107,'TL01'!$J$10:$J$224),0),
IF('TL01'!$B$229=L$3,SUMIF('TL01'!$C$238:$C$451,$C107,'TL01'!$J$238:$J$451),0),
IF('TL02'!$B$3=L$3,SUMIF('TL02'!$C$10:$C$224,$C107,'TL02'!$J$10:$J$224),0),
IF('TL02'!$B$229=L$3,SUMIF('TL02'!$C$238:$C$451,$C107,'TL02'!$J$238:$J$451),0),
IF('TL03'!$B$3=L$3,SUMIF('TL03'!$C$10:$C$224,$C107,'TL03'!$J$10:$J$224),0),
IF('TL03'!$B$229=L$3,SUMIF('TL03'!$C$238:$C$451,$C107,'TL03'!$J$238:$J$451),0),
IF('TL04'!$B$3=L$3,SUMIF('TL04'!$C$10:$C$224,$C107,'TL04'!$J$10:$J$224),0),
IF('TL04'!$B$229=L$3,SUMIF('TL04'!$C$238:$C$451,$C107,'TL04'!$J$238:$J$451),0),
IF('TL05'!$B$3=L$3,SUMIF('TL05'!$C$10:$C$224,$C107,'TL05'!$J$10:$J$224),0),
IF('TL05'!$B$229=L$3,SUMIF('TL05'!$C$238:$C$451,$C107,'TL05'!$J$238:$J$451),0),
IF('TL06'!$B$3=L$3,SUMIF('TL06'!$C$10:$C$224,$C107,'TL06'!$J$10:$J$224),0),
IF('TL06'!$B$229=L$3,SUMIF('TL06'!$C$238:$C$451,$C107,'TL06'!$J$238:$J$451),0),
IF('TL07'!$B$3=L$3,SUMIF('TL07'!$C$10:$C$224,$C107,'TL07'!$J$10:$J$224),0),
IF('TL07'!$B$229=L$3,SUMIF('TL07'!$C$238:$C$451,$C107,'TL07'!$J$238:$J$451),0),
IF('TL08'!$B$3=L$3,SUMIF('TL08'!$C$10:$C$224,$C107,'TL08'!$J$10:$J$224),0),
IF('TL08'!$B$229=L$3,SUMIF('TL08'!$C$238:$C$451,$C107,'TL08'!$J$238:$J$451),0),
IF('TL09'!$B$3=L$3,SUMIF('TL09'!$C$10:$C$224,$C107,'TL09'!$J$10:$J$224),0),
IF('TL09'!$B$229=L$3,SUMIF('TL09'!$C$238:$C$451,$C107,'TL09'!$J$238:$J$451),0),
IF('TL10'!$B$3=L$3,SUMIF('TL10'!$C$10:$C$224,$C107,'TL10'!$J$10:$J$224),0),
IF('TL10'!$B$229=L$3,SUMIF('TL10'!$C$238:$C$451,$C107,'TL10'!$J$238:$J$451),0),
IF('TL11'!$B$3=L$3,SUMIF('TL11'!$C$10:$C$224,$C107,'TL11'!$J$10:$J$224),0),
IF('TL11'!$B$229=L$3,SUMIF('TL11'!$C$238:$C$451,$C107,'TL11'!$J$238:$J$451),0),
IF('TL12'!$B$3=L$3,SUMIF('TL12'!$C$10:$C$224,$C107,'TL12'!$J$10:$J$224),0),
IF('TL12'!$B$229=L$3,SUMIF('TL12'!$C$238:$C$451,$C107,'TL12'!$J$238:$J$451),0),
IF('TL13'!$B$3=L$3,SUMIF('TL13'!$C$10:$C$224,$C107,'TL13'!$J$10:$J$224),0),
IF('TL13'!$B$229=L$3,SUMIF('TL13'!$C$238:$C$451,$C107,'TL13'!$J$238:$J$451),0),
IF('TL14'!$B$3=L$3,SUMIF('TL14'!$C$10:$C$224,$C107,'TL14'!$J$10:$J$224),0),
IF('TL14'!$B$229=L$3,SUMIF('TL14'!$C$238:$C$451,$C107,'TL14'!$J$238:$J$451),0),
IF('TL15'!$B$3=L$3,SUMIF('TL15'!$C$10:$C$224,$C107,'TL15'!$J$10:$J$224),0),
IF('TL15'!$B$229=L$3,SUMIF('TL15'!$C$238:$C$451,$C107,'TL15'!$J$238:$J$451),0),
IF('TL16'!$B$3=L$3,SUMIF('TL16'!$C$10:$C$224,$C107,'TL16'!$J$10:$J$224),0),
IF('TL16'!$B$229=L$3,SUMIF('TL16'!$C$238:$C$451,$C107,'TL16'!$J$238:$J$451),0),
IF('TL17'!$B$3=L$3,SUMIF('TL17'!$C$10:$C$224,$C107,'TL17'!$J$10:$J$224),0),
IF('TL17'!$B$229=L$3,SUMIF('TL17'!$C$238:$C$451,$C107,'TL17'!$J$238:$J$451),0),
IF('TL18'!$B$3=L$3,SUMIF('TL18'!$C$10:$C$224,$C107,'TL18'!$J$10:$J$224),0),
IF('TL18'!$B$229=L$3,SUMIF('TL18'!$C$238:$C$451,$C107,'TL18'!$J$238:$J$451),0),
IF('TL19'!$B$3=L$3,SUMIF('TL19'!$C$10:$C$224,$C107,'TL19'!$J$10:$J$224),0),
IF('TL19'!$B$229=L$3,SUMIF('TL19'!$C$238:$C$451,$C107,'TL19'!$J$238:$J$451),0)
),0)</f>
        <v>0</v>
      </c>
      <c r="M107" s="9">
        <f>IFERROR(SUM(
IF('TL01'!$B$3=M$3,SUMIF('TL01'!$C$10:$C$224,$C107,'TL01'!$J$10:$J$224),0),
IF('TL01'!$B$229=M$3,SUMIF('TL01'!$C$238:$C$451,$C107,'TL01'!$J$238:$J$451),0),
IF('TL02'!$B$3=M$3,SUMIF('TL02'!$C$10:$C$224,$C107,'TL02'!$J$10:$J$224),0),
IF('TL02'!$B$229=M$3,SUMIF('TL02'!$C$238:$C$451,$C107,'TL02'!$J$238:$J$451),0),
IF('TL03'!$B$3=M$3,SUMIF('TL03'!$C$10:$C$224,$C107,'TL03'!$J$10:$J$224),0),
IF('TL03'!$B$229=M$3,SUMIF('TL03'!$C$238:$C$451,$C107,'TL03'!$J$238:$J$451),0),
IF('TL04'!$B$3=M$3,SUMIF('TL04'!$C$10:$C$224,$C107,'TL04'!$J$10:$J$224),0),
IF('TL04'!$B$229=M$3,SUMIF('TL04'!$C$238:$C$451,$C107,'TL04'!$J$238:$J$451),0),
IF('TL05'!$B$3=M$3,SUMIF('TL05'!$C$10:$C$224,$C107,'TL05'!$J$10:$J$224),0),
IF('TL05'!$B$229=M$3,SUMIF('TL05'!$C$238:$C$451,$C107,'TL05'!$J$238:$J$451),0),
IF('TL06'!$B$3=M$3,SUMIF('TL06'!$C$10:$C$224,$C107,'TL06'!$J$10:$J$224),0),
IF('TL06'!$B$229=M$3,SUMIF('TL06'!$C$238:$C$451,$C107,'TL06'!$J$238:$J$451),0),
IF('TL07'!$B$3=M$3,SUMIF('TL07'!$C$10:$C$224,$C107,'TL07'!$J$10:$J$224),0),
IF('TL07'!$B$229=M$3,SUMIF('TL07'!$C$238:$C$451,$C107,'TL07'!$J$238:$J$451),0),
IF('TL08'!$B$3=M$3,SUMIF('TL08'!$C$10:$C$224,$C107,'TL08'!$J$10:$J$224),0),
IF('TL08'!$B$229=M$3,SUMIF('TL08'!$C$238:$C$451,$C107,'TL08'!$J$238:$J$451),0),
IF('TL09'!$B$3=M$3,SUMIF('TL09'!$C$10:$C$224,$C107,'TL09'!$J$10:$J$224),0),
IF('TL09'!$B$229=M$3,SUMIF('TL09'!$C$238:$C$451,$C107,'TL09'!$J$238:$J$451),0),
IF('TL10'!$B$3=M$3,SUMIF('TL10'!$C$10:$C$224,$C107,'TL10'!$J$10:$J$224),0),
IF('TL10'!$B$229=M$3,SUMIF('TL10'!$C$238:$C$451,$C107,'TL10'!$J$238:$J$451),0),
IF('TL11'!$B$3=M$3,SUMIF('TL11'!$C$10:$C$224,$C107,'TL11'!$J$10:$J$224),0),
IF('TL11'!$B$229=M$3,SUMIF('TL11'!$C$238:$C$451,$C107,'TL11'!$J$238:$J$451),0),
IF('TL12'!$B$3=M$3,SUMIF('TL12'!$C$10:$C$224,$C107,'TL12'!$J$10:$J$224),0),
IF('TL12'!$B$229=M$3,SUMIF('TL12'!$C$238:$C$451,$C107,'TL12'!$J$238:$J$451),0),
IF('TL13'!$B$3=M$3,SUMIF('TL13'!$C$10:$C$224,$C107,'TL13'!$J$10:$J$224),0),
IF('TL13'!$B$229=M$3,SUMIF('TL13'!$C$238:$C$451,$C107,'TL13'!$J$238:$J$451),0),
IF('TL14'!$B$3=M$3,SUMIF('TL14'!$C$10:$C$224,$C107,'TL14'!$J$10:$J$224),0),
IF('TL14'!$B$229=M$3,SUMIF('TL14'!$C$238:$C$451,$C107,'TL14'!$J$238:$J$451),0),
IF('TL15'!$B$3=M$3,SUMIF('TL15'!$C$10:$C$224,$C107,'TL15'!$J$10:$J$224),0),
IF('TL15'!$B$229=M$3,SUMIF('TL15'!$C$238:$C$451,$C107,'TL15'!$J$238:$J$451),0),
IF('TL16'!$B$3=M$3,SUMIF('TL16'!$C$10:$C$224,$C107,'TL16'!$J$10:$J$224),0),
IF('TL16'!$B$229=M$3,SUMIF('TL16'!$C$238:$C$451,$C107,'TL16'!$J$238:$J$451),0),
IF('TL17'!$B$3=M$3,SUMIF('TL17'!$C$10:$C$224,$C107,'TL17'!$J$10:$J$224),0),
IF('TL17'!$B$229=M$3,SUMIF('TL17'!$C$238:$C$451,$C107,'TL17'!$J$238:$J$451),0),
IF('TL18'!$B$3=M$3,SUMIF('TL18'!$C$10:$C$224,$C107,'TL18'!$J$10:$J$224),0),
IF('TL18'!$B$229=M$3,SUMIF('TL18'!$C$238:$C$451,$C107,'TL18'!$J$238:$J$451),0),
IF('TL19'!$B$3=M$3,SUMIF('TL19'!$C$10:$C$224,$C107,'TL19'!$J$10:$J$224),0),
IF('TL19'!$B$229=M$3,SUMIF('TL19'!$C$238:$C$451,$C107,'TL19'!$J$238:$J$451),0)
),0)</f>
        <v>0</v>
      </c>
      <c r="N107" s="9">
        <f>IFERROR(SUM(
IF('TL01'!$B$3=N$3,SUMIF('TL01'!$C$10:$C$224,$C107,'TL01'!$J$10:$J$224),0),
IF('TL01'!$B$229=N$3,SUMIF('TL01'!$C$238:$C$451,$C107,'TL01'!$J$238:$J$451),0),
IF('TL02'!$B$3=N$3,SUMIF('TL02'!$C$10:$C$224,$C107,'TL02'!$J$10:$J$224),0),
IF('TL02'!$B$229=N$3,SUMIF('TL02'!$C$238:$C$451,$C107,'TL02'!$J$238:$J$451),0),
IF('TL03'!$B$3=N$3,SUMIF('TL03'!$C$10:$C$224,$C107,'TL03'!$J$10:$J$224),0),
IF('TL03'!$B$229=N$3,SUMIF('TL03'!$C$238:$C$451,$C107,'TL03'!$J$238:$J$451),0),
IF('TL04'!$B$3=N$3,SUMIF('TL04'!$C$10:$C$224,$C107,'TL04'!$J$10:$J$224),0),
IF('TL04'!$B$229=N$3,SUMIF('TL04'!$C$238:$C$451,$C107,'TL04'!$J$238:$J$451),0),
IF('TL05'!$B$3=N$3,SUMIF('TL05'!$C$10:$C$224,$C107,'TL05'!$J$10:$J$224),0),
IF('TL05'!$B$229=N$3,SUMIF('TL05'!$C$238:$C$451,$C107,'TL05'!$J$238:$J$451),0),
IF('TL06'!$B$3=N$3,SUMIF('TL06'!$C$10:$C$224,$C107,'TL06'!$J$10:$J$224),0),
IF('TL06'!$B$229=N$3,SUMIF('TL06'!$C$238:$C$451,$C107,'TL06'!$J$238:$J$451),0),
IF('TL07'!$B$3=N$3,SUMIF('TL07'!$C$10:$C$224,$C107,'TL07'!$J$10:$J$224),0),
IF('TL07'!$B$229=N$3,SUMIF('TL07'!$C$238:$C$451,$C107,'TL07'!$J$238:$J$451),0),
IF('TL08'!$B$3=N$3,SUMIF('TL08'!$C$10:$C$224,$C107,'TL08'!$J$10:$J$224),0),
IF('TL08'!$B$229=N$3,SUMIF('TL08'!$C$238:$C$451,$C107,'TL08'!$J$238:$J$451),0),
IF('TL09'!$B$3=N$3,SUMIF('TL09'!$C$10:$C$224,$C107,'TL09'!$J$10:$J$224),0),
IF('TL09'!$B$229=N$3,SUMIF('TL09'!$C$238:$C$451,$C107,'TL09'!$J$238:$J$451),0),
IF('TL10'!$B$3=N$3,SUMIF('TL10'!$C$10:$C$224,$C107,'TL10'!$J$10:$J$224),0),
IF('TL10'!$B$229=N$3,SUMIF('TL10'!$C$238:$C$451,$C107,'TL10'!$J$238:$J$451),0),
IF('TL11'!$B$3=N$3,SUMIF('TL11'!$C$10:$C$224,$C107,'TL11'!$J$10:$J$224),0),
IF('TL11'!$B$229=N$3,SUMIF('TL11'!$C$238:$C$451,$C107,'TL11'!$J$238:$J$451),0),
IF('TL12'!$B$3=N$3,SUMIF('TL12'!$C$10:$C$224,$C107,'TL12'!$J$10:$J$224),0),
IF('TL12'!$B$229=N$3,SUMIF('TL12'!$C$238:$C$451,$C107,'TL12'!$J$238:$J$451),0),
IF('TL13'!$B$3=N$3,SUMIF('TL13'!$C$10:$C$224,$C107,'TL13'!$J$10:$J$224),0),
IF('TL13'!$B$229=N$3,SUMIF('TL13'!$C$238:$C$451,$C107,'TL13'!$J$238:$J$451),0),
IF('TL14'!$B$3=N$3,SUMIF('TL14'!$C$10:$C$224,$C107,'TL14'!$J$10:$J$224),0),
IF('TL14'!$B$229=N$3,SUMIF('TL14'!$C$238:$C$451,$C107,'TL14'!$J$238:$J$451),0),
IF('TL15'!$B$3=N$3,SUMIF('TL15'!$C$10:$C$224,$C107,'TL15'!$J$10:$J$224),0),
IF('TL15'!$B$229=N$3,SUMIF('TL15'!$C$238:$C$451,$C107,'TL15'!$J$238:$J$451),0),
IF('TL16'!$B$3=N$3,SUMIF('TL16'!$C$10:$C$224,$C107,'TL16'!$J$10:$J$224),0),
IF('TL16'!$B$229=N$3,SUMIF('TL16'!$C$238:$C$451,$C107,'TL16'!$J$238:$J$451),0),
IF('TL17'!$B$3=N$3,SUMIF('TL17'!$C$10:$C$224,$C107,'TL17'!$J$10:$J$224),0),
IF('TL17'!$B$229=N$3,SUMIF('TL17'!$C$238:$C$451,$C107,'TL17'!$J$238:$J$451),0),
IF('TL18'!$B$3=N$3,SUMIF('TL18'!$C$10:$C$224,$C107,'TL18'!$J$10:$J$224),0),
IF('TL18'!$B$229=N$3,SUMIF('TL18'!$C$238:$C$451,$C107,'TL18'!$J$238:$J$451),0),
IF('TL19'!$B$3=N$3,SUMIF('TL19'!$C$10:$C$224,$C107,'TL19'!$J$10:$J$224),0),
IF('TL19'!$B$229=N$3,SUMIF('TL19'!$C$238:$C$451,$C107,'TL19'!$J$238:$J$451),0)
),0)</f>
        <v>0</v>
      </c>
      <c r="O107" s="9">
        <f>IFERROR(SUM(
IF('TL01'!$B$3=O$3,SUMIF('TL01'!$C$10:$C$224,$C107,'TL01'!$J$10:$J$224),0),
IF('TL01'!$B$229=O$3,SUMIF('TL01'!$C$238:$C$451,$C107,'TL01'!$J$238:$J$451),0),
IF('TL02'!$B$3=O$3,SUMIF('TL02'!$C$10:$C$224,$C107,'TL02'!$J$10:$J$224),0),
IF('TL02'!$B$229=O$3,SUMIF('TL02'!$C$238:$C$451,$C107,'TL02'!$J$238:$J$451),0),
IF('TL03'!$B$3=O$3,SUMIF('TL03'!$C$10:$C$224,$C107,'TL03'!$J$10:$J$224),0),
IF('TL03'!$B$229=O$3,SUMIF('TL03'!$C$238:$C$451,$C107,'TL03'!$J$238:$J$451),0),
IF('TL04'!$B$3=O$3,SUMIF('TL04'!$C$10:$C$224,$C107,'TL04'!$J$10:$J$224),0),
IF('TL04'!$B$229=O$3,SUMIF('TL04'!$C$238:$C$451,$C107,'TL04'!$J$238:$J$451),0),
IF('TL05'!$B$3=O$3,SUMIF('TL05'!$C$10:$C$224,$C107,'TL05'!$J$10:$J$224),0),
IF('TL05'!$B$229=O$3,SUMIF('TL05'!$C$238:$C$451,$C107,'TL05'!$J$238:$J$451),0),
IF('TL06'!$B$3=O$3,SUMIF('TL06'!$C$10:$C$224,$C107,'TL06'!$J$10:$J$224),0),
IF('TL06'!$B$229=O$3,SUMIF('TL06'!$C$238:$C$451,$C107,'TL06'!$J$238:$J$451),0),
IF('TL07'!$B$3=O$3,SUMIF('TL07'!$C$10:$C$224,$C107,'TL07'!$J$10:$J$224),0),
IF('TL07'!$B$229=O$3,SUMIF('TL07'!$C$238:$C$451,$C107,'TL07'!$J$238:$J$451),0),
IF('TL08'!$B$3=O$3,SUMIF('TL08'!$C$10:$C$224,$C107,'TL08'!$J$10:$J$224),0),
IF('TL08'!$B$229=O$3,SUMIF('TL08'!$C$238:$C$451,$C107,'TL08'!$J$238:$J$451),0),
IF('TL09'!$B$3=O$3,SUMIF('TL09'!$C$10:$C$224,$C107,'TL09'!$J$10:$J$224),0),
IF('TL09'!$B$229=O$3,SUMIF('TL09'!$C$238:$C$451,$C107,'TL09'!$J$238:$J$451),0),
IF('TL10'!$B$3=O$3,SUMIF('TL10'!$C$10:$C$224,$C107,'TL10'!$J$10:$J$224),0),
IF('TL10'!$B$229=O$3,SUMIF('TL10'!$C$238:$C$451,$C107,'TL10'!$J$238:$J$451),0),
IF('TL11'!$B$3=O$3,SUMIF('TL11'!$C$10:$C$224,$C107,'TL11'!$J$10:$J$224),0),
IF('TL11'!$B$229=O$3,SUMIF('TL11'!$C$238:$C$451,$C107,'TL11'!$J$238:$J$451),0),
IF('TL12'!$B$3=O$3,SUMIF('TL12'!$C$10:$C$224,$C107,'TL12'!$J$10:$J$224),0),
IF('TL12'!$B$229=O$3,SUMIF('TL12'!$C$238:$C$451,$C107,'TL12'!$J$238:$J$451),0),
IF('TL13'!$B$3=O$3,SUMIF('TL13'!$C$10:$C$224,$C107,'TL13'!$J$10:$J$224),0),
IF('TL13'!$B$229=O$3,SUMIF('TL13'!$C$238:$C$451,$C107,'TL13'!$J$238:$J$451),0),
IF('TL14'!$B$3=O$3,SUMIF('TL14'!$C$10:$C$224,$C107,'TL14'!$J$10:$J$224),0),
IF('TL14'!$B$229=O$3,SUMIF('TL14'!$C$238:$C$451,$C107,'TL14'!$J$238:$J$451),0),
IF('TL15'!$B$3=O$3,SUMIF('TL15'!$C$10:$C$224,$C107,'TL15'!$J$10:$J$224),0),
IF('TL15'!$B$229=O$3,SUMIF('TL15'!$C$238:$C$451,$C107,'TL15'!$J$238:$J$451),0),
IF('TL16'!$B$3=O$3,SUMIF('TL16'!$C$10:$C$224,$C107,'TL16'!$J$10:$J$224),0),
IF('TL16'!$B$229=O$3,SUMIF('TL16'!$C$238:$C$451,$C107,'TL16'!$J$238:$J$451),0),
IF('TL17'!$B$3=O$3,SUMIF('TL17'!$C$10:$C$224,$C107,'TL17'!$J$10:$J$224),0),
IF('TL17'!$B$229=O$3,SUMIF('TL17'!$C$238:$C$451,$C107,'TL17'!$J$238:$J$451),0),
IF('TL18'!$B$3=O$3,SUMIF('TL18'!$C$10:$C$224,$C107,'TL18'!$J$10:$J$224),0),
IF('TL18'!$B$229=O$3,SUMIF('TL18'!$C$238:$C$451,$C107,'TL18'!$J$238:$J$451),0),
IF('TL19'!$B$3=O$3,SUMIF('TL19'!$C$10:$C$224,$C107,'TL19'!$J$10:$J$224),0),
IF('TL19'!$B$229=O$3,SUMIF('TL19'!$C$238:$C$451,$C107,'TL19'!$J$238:$J$451),0)
),0)</f>
        <v>0</v>
      </c>
      <c r="P107" s="9">
        <f>IFERROR(SUM(
IF('TL01'!$B$3=P$3,SUMIF('TL01'!$C$10:$C$224,$C107,'TL01'!$J$10:$J$224),0),
IF('TL01'!$B$229=P$3,SUMIF('TL01'!$C$238:$C$451,$C107,'TL01'!$J$238:$J$451),0),
IF('TL02'!$B$3=P$3,SUMIF('TL02'!$C$10:$C$224,$C107,'TL02'!$J$10:$J$224),0),
IF('TL02'!$B$229=P$3,SUMIF('TL02'!$C$238:$C$451,$C107,'TL02'!$J$238:$J$451),0),
IF('TL03'!$B$3=P$3,SUMIF('TL03'!$C$10:$C$224,$C107,'TL03'!$J$10:$J$224),0),
IF('TL03'!$B$229=P$3,SUMIF('TL03'!$C$238:$C$451,$C107,'TL03'!$J$238:$J$451),0),
IF('TL04'!$B$3=P$3,SUMIF('TL04'!$C$10:$C$224,$C107,'TL04'!$J$10:$J$224),0),
IF('TL04'!$B$229=P$3,SUMIF('TL04'!$C$238:$C$451,$C107,'TL04'!$J$238:$J$451),0),
IF('TL05'!$B$3=P$3,SUMIF('TL05'!$C$10:$C$224,$C107,'TL05'!$J$10:$J$224),0),
IF('TL05'!$B$229=P$3,SUMIF('TL05'!$C$238:$C$451,$C107,'TL05'!$J$238:$J$451),0),
IF('TL06'!$B$3=P$3,SUMIF('TL06'!$C$10:$C$224,$C107,'TL06'!$J$10:$J$224),0),
IF('TL06'!$B$229=P$3,SUMIF('TL06'!$C$238:$C$451,$C107,'TL06'!$J$238:$J$451),0),
IF('TL07'!$B$3=P$3,SUMIF('TL07'!$C$10:$C$224,$C107,'TL07'!$J$10:$J$224),0),
IF('TL07'!$B$229=P$3,SUMIF('TL07'!$C$238:$C$451,$C107,'TL07'!$J$238:$J$451),0),
IF('TL08'!$B$3=P$3,SUMIF('TL08'!$C$10:$C$224,$C107,'TL08'!$J$10:$J$224),0),
IF('TL08'!$B$229=P$3,SUMIF('TL08'!$C$238:$C$451,$C107,'TL08'!$J$238:$J$451),0),
IF('TL09'!$B$3=P$3,SUMIF('TL09'!$C$10:$C$224,$C107,'TL09'!$J$10:$J$224),0),
IF('TL09'!$B$229=P$3,SUMIF('TL09'!$C$238:$C$451,$C107,'TL09'!$J$238:$J$451),0),
IF('TL10'!$B$3=P$3,SUMIF('TL10'!$C$10:$C$224,$C107,'TL10'!$J$10:$J$224),0),
IF('TL10'!$B$229=P$3,SUMIF('TL10'!$C$238:$C$451,$C107,'TL10'!$J$238:$J$451),0),
IF('TL11'!$B$3=P$3,SUMIF('TL11'!$C$10:$C$224,$C107,'TL11'!$J$10:$J$224),0),
IF('TL11'!$B$229=P$3,SUMIF('TL11'!$C$238:$C$451,$C107,'TL11'!$J$238:$J$451),0),
IF('TL12'!$B$3=P$3,SUMIF('TL12'!$C$10:$C$224,$C107,'TL12'!$J$10:$J$224),0),
IF('TL12'!$B$229=P$3,SUMIF('TL12'!$C$238:$C$451,$C107,'TL12'!$J$238:$J$451),0),
IF('TL13'!$B$3=P$3,SUMIF('TL13'!$C$10:$C$224,$C107,'TL13'!$J$10:$J$224),0),
IF('TL13'!$B$229=P$3,SUMIF('TL13'!$C$238:$C$451,$C107,'TL13'!$J$238:$J$451),0),
IF('TL14'!$B$3=P$3,SUMIF('TL14'!$C$10:$C$224,$C107,'TL14'!$J$10:$J$224),0),
IF('TL14'!$B$229=P$3,SUMIF('TL14'!$C$238:$C$451,$C107,'TL14'!$J$238:$J$451),0),
IF('TL15'!$B$3=P$3,SUMIF('TL15'!$C$10:$C$224,$C107,'TL15'!$J$10:$J$224),0),
IF('TL15'!$B$229=P$3,SUMIF('TL15'!$C$238:$C$451,$C107,'TL15'!$J$238:$J$451),0),
IF('TL16'!$B$3=P$3,SUMIF('TL16'!$C$10:$C$224,$C107,'TL16'!$J$10:$J$224),0),
IF('TL16'!$B$229=P$3,SUMIF('TL16'!$C$238:$C$451,$C107,'TL16'!$J$238:$J$451),0),
IF('TL17'!$B$3=P$3,SUMIF('TL17'!$C$10:$C$224,$C107,'TL17'!$J$10:$J$224),0),
IF('TL17'!$B$229=P$3,SUMIF('TL17'!$C$238:$C$451,$C107,'TL17'!$J$238:$J$451),0),
IF('TL18'!$B$3=P$3,SUMIF('TL18'!$C$10:$C$224,$C107,'TL18'!$J$10:$J$224),0),
IF('TL18'!$B$229=P$3,SUMIF('TL18'!$C$238:$C$451,$C107,'TL18'!$J$238:$J$451),0),
IF('TL19'!$B$3=P$3,SUMIF('TL19'!$C$10:$C$224,$C107,'TL19'!$J$10:$J$224),0),
IF('TL19'!$B$229=P$3,SUMIF('TL19'!$C$238:$C$451,$C107,'TL19'!$J$238:$J$451),0)
),0)</f>
        <v>0</v>
      </c>
      <c r="Q107" s="9">
        <f>IFERROR(SUM(
IF('TL01'!$B$3=Q$3,SUMIF('TL01'!$C$10:$C$224,$C107,'TL01'!$J$10:$J$224),0),
IF('TL01'!$B$229=Q$3,SUMIF('TL01'!$C$238:$C$451,$C107,'TL01'!$J$238:$J$451),0),
IF('TL02'!$B$3=Q$3,SUMIF('TL02'!$C$10:$C$224,$C107,'TL02'!$J$10:$J$224),0),
IF('TL02'!$B$229=Q$3,SUMIF('TL02'!$C$238:$C$451,$C107,'TL02'!$J$238:$J$451),0),
IF('TL03'!$B$3=Q$3,SUMIF('TL03'!$C$10:$C$224,$C107,'TL03'!$J$10:$J$224),0),
IF('TL03'!$B$229=Q$3,SUMIF('TL03'!$C$238:$C$451,$C107,'TL03'!$J$238:$J$451),0),
IF('TL04'!$B$3=Q$3,SUMIF('TL04'!$C$10:$C$224,$C107,'TL04'!$J$10:$J$224),0),
IF('TL04'!$B$229=Q$3,SUMIF('TL04'!$C$238:$C$451,$C107,'TL04'!$J$238:$J$451),0),
IF('TL05'!$B$3=Q$3,SUMIF('TL05'!$C$10:$C$224,$C107,'TL05'!$J$10:$J$224),0),
IF('TL05'!$B$229=Q$3,SUMIF('TL05'!$C$238:$C$451,$C107,'TL05'!$J$238:$J$451),0),
IF('TL06'!$B$3=Q$3,SUMIF('TL06'!$C$10:$C$224,$C107,'TL06'!$J$10:$J$224),0),
IF('TL06'!$B$229=Q$3,SUMIF('TL06'!$C$238:$C$451,$C107,'TL06'!$J$238:$J$451),0),
IF('TL07'!$B$3=Q$3,SUMIF('TL07'!$C$10:$C$224,$C107,'TL07'!$J$10:$J$224),0),
IF('TL07'!$B$229=Q$3,SUMIF('TL07'!$C$238:$C$451,$C107,'TL07'!$J$238:$J$451),0),
IF('TL08'!$B$3=Q$3,SUMIF('TL08'!$C$10:$C$224,$C107,'TL08'!$J$10:$J$224),0),
IF('TL08'!$B$229=Q$3,SUMIF('TL08'!$C$238:$C$451,$C107,'TL08'!$J$238:$J$451),0),
IF('TL09'!$B$3=Q$3,SUMIF('TL09'!$C$10:$C$224,$C107,'TL09'!$J$10:$J$224),0),
IF('TL09'!$B$229=Q$3,SUMIF('TL09'!$C$238:$C$451,$C107,'TL09'!$J$238:$J$451),0),
IF('TL10'!$B$3=Q$3,SUMIF('TL10'!$C$10:$C$224,$C107,'TL10'!$J$10:$J$224),0),
IF('TL10'!$B$229=Q$3,SUMIF('TL10'!$C$238:$C$451,$C107,'TL10'!$J$238:$J$451),0),
IF('TL11'!$B$3=Q$3,SUMIF('TL11'!$C$10:$C$224,$C107,'TL11'!$J$10:$J$224),0),
IF('TL11'!$B$229=Q$3,SUMIF('TL11'!$C$238:$C$451,$C107,'TL11'!$J$238:$J$451),0),
IF('TL12'!$B$3=Q$3,SUMIF('TL12'!$C$10:$C$224,$C107,'TL12'!$J$10:$J$224),0),
IF('TL12'!$B$229=Q$3,SUMIF('TL12'!$C$238:$C$451,$C107,'TL12'!$J$238:$J$451),0),
IF('TL13'!$B$3=Q$3,SUMIF('TL13'!$C$10:$C$224,$C107,'TL13'!$J$10:$J$224),0),
IF('TL13'!$B$229=Q$3,SUMIF('TL13'!$C$238:$C$451,$C107,'TL13'!$J$238:$J$451),0),
IF('TL14'!$B$3=Q$3,SUMIF('TL14'!$C$10:$C$224,$C107,'TL14'!$J$10:$J$224),0),
IF('TL14'!$B$229=Q$3,SUMIF('TL14'!$C$238:$C$451,$C107,'TL14'!$J$238:$J$451),0),
IF('TL15'!$B$3=Q$3,SUMIF('TL15'!$C$10:$C$224,$C107,'TL15'!$J$10:$J$224),0),
IF('TL15'!$B$229=Q$3,SUMIF('TL15'!$C$238:$C$451,$C107,'TL15'!$J$238:$J$451),0),
IF('TL16'!$B$3=Q$3,SUMIF('TL16'!$C$10:$C$224,$C107,'TL16'!$J$10:$J$224),0),
IF('TL16'!$B$229=Q$3,SUMIF('TL16'!$C$238:$C$451,$C107,'TL16'!$J$238:$J$451),0),
IF('TL17'!$B$3=Q$3,SUMIF('TL17'!$C$10:$C$224,$C107,'TL17'!$J$10:$J$224),0),
IF('TL17'!$B$229=Q$3,SUMIF('TL17'!$C$238:$C$451,$C107,'TL17'!$J$238:$J$451),0),
IF('TL18'!$B$3=Q$3,SUMIF('TL18'!$C$10:$C$224,$C107,'TL18'!$J$10:$J$224),0),
IF('TL18'!$B$229=Q$3,SUMIF('TL18'!$C$238:$C$451,$C107,'TL18'!$J$238:$J$451),0),
IF('TL19'!$B$3=Q$3,SUMIF('TL19'!$C$10:$C$224,$C107,'TL19'!$J$10:$J$224),0),
IF('TL19'!$B$229=Q$3,SUMIF('TL19'!$C$238:$C$451,$C107,'TL19'!$J$238:$J$451),0)
),0)</f>
        <v>0</v>
      </c>
      <c r="R107" s="9">
        <f>IFERROR(
SUM(
SUMIF('TL01'!C:C,C107,'TL01'!J:J),
SUMIF('TL02'!C:C,C107,'TL02'!J:J),
SUMIF('TL03'!C:C,C107,'TL03'!J:J),
SUMIF('TL04'!C:C,C107,'TL04'!J:J),
SUMIF('TL05'!C:C,C107,'TL05'!J:J),
SUMIF('TL06'!C:C,C107,'TL06'!J:J),
SUMIF('TL07'!C:C,C107,'TL07'!J:J),
SUMIF('TL08'!C:C,C107,'TL08'!J:J),
SUMIF('TL09'!C:C,C107,'TL09'!J:J),
SUMIF('TL10'!C:C,C107,'TL10'!J:J),
SUMIF('TL11'!C:C,C107,'TL11'!J:J),
SUMIF('TL12'!C:C,C107,'TL12'!J:J),
SUMIF('TL13'!C:C,C107,'TL13'!J:J),
SUMIF('TL14'!C:C,C107,'TL14'!J:J),
SUMIF('TL15'!C:C,C107,'TL15'!J:J),
SUMIF('TL16'!C:C,C107,'TL16'!J:J),
SUMIF('TL17'!C:C,C107,'TL17'!J:J),
SUMIF('TL18'!C:C,C107,'TL18'!J:J),SUMIF('TL19'!C:C,C107,'TL19'!J:J))
,0)</f>
        <v>0</v>
      </c>
      <c r="S107" s="17">
        <f>IFERROR(__xludf.DUMMYFUNCTION("IFERROR(VLOOKUP(C107,
IMPORTRANGE(""1wULbzX32WdYsx-lj2U3uUNBBe2INVIRDtcK0d-Dvl90"",
""26-27!C:G""),
5,
FALSE),
"""")"),54.887139999999995)</f>
        <v>54.88714</v>
      </c>
      <c r="T107" s="9"/>
      <c r="U107" s="92">
        <f t="shared" si="2"/>
        <v>0</v>
      </c>
      <c r="V107" s="93">
        <f t="shared" si="3"/>
        <v>0</v>
      </c>
    </row>
    <row r="108" ht="15.75" hidden="1" customHeight="1">
      <c r="A108" s="115" t="s">
        <v>340</v>
      </c>
      <c r="B108" s="100" t="s">
        <v>1</v>
      </c>
      <c r="C108" s="116" t="s">
        <v>610</v>
      </c>
      <c r="D108" s="116" t="s">
        <v>611</v>
      </c>
      <c r="E108" s="116" t="s">
        <v>612</v>
      </c>
      <c r="F108" s="4" t="s">
        <v>343</v>
      </c>
      <c r="G108" s="90" t="str">
        <f t="shared" si="4"/>
        <v>📄 Ver bula</v>
      </c>
      <c r="H108" s="9">
        <f>IFERROR(__xludf.DUMMYFUNCTION("IFERROR(VLOOKUP(C108,
IMPORTRANGE(""1wULbzX32WdYsx-lj2U3uUNBBe2INVIRDtcK0d-Dvl90"",
""26-27!C:K""),
8,
FALSE),
"""")"),1.0)</f>
        <v>1</v>
      </c>
      <c r="I108" s="117" t="s">
        <v>344</v>
      </c>
      <c r="J108" s="9">
        <f>IFERROR(SUM(
IF('TL01'!$B$3=J$3,SUMIF('TL01'!$C$10:$C$224,$C108,'TL01'!$J$10:$J$224),0),
IF('TL01'!$B$229=J$3,SUMIF('TL01'!$C$238:$C$451,$C108,'TL01'!$J$238:$J$451),0),
IF('TL02'!$B$3=J$3,SUMIF('TL02'!$C$10:$C$224,$C108,'TL02'!$J$10:$J$224),0),
IF('TL02'!$B$229=J$3,SUMIF('TL02'!$C$238:$C$451,$C108,'TL02'!$J$238:$J$451),0),
IF('TL03'!$B$3=J$3,SUMIF('TL03'!$C$10:$C$224,$C108,'TL03'!$J$10:$J$224),0),
IF('TL03'!$B$229=J$3,SUMIF('TL03'!$C$238:$C$451,$C108,'TL03'!$J$238:$J$451),0),
IF('TL04'!$B$3=J$3,SUMIF('TL04'!$C$10:$C$224,$C108,'TL04'!$J$10:$J$224),0),
IF('TL04'!$B$229=J$3,SUMIF('TL04'!$C$238:$C$451,$C108,'TL04'!$J$238:$J$451),0),
IF('TL05'!$B$3=J$3,SUMIF('TL05'!$C$10:$C$224,$C108,'TL05'!$J$10:$J$224),0),
IF('TL05'!$B$229=J$3,SUMIF('TL05'!$C$238:$C$451,$C108,'TL05'!$J$238:$J$451),0),
IF('TL06'!$B$3=J$3,SUMIF('TL06'!$C$10:$C$224,$C108,'TL06'!$J$10:$J$224),0),
IF('TL06'!$B$229=J$3,SUMIF('TL06'!$C$238:$C$451,$C108,'TL06'!$J$238:$J$451),0),
IF('TL07'!$B$3=J$3,SUMIF('TL07'!$C$10:$C$224,$C108,'TL07'!$J$10:$J$224),0),
IF('TL07'!$B$229=J$3,SUMIF('TL07'!$C$238:$C$451,$C108,'TL07'!$J$238:$J$451),0),
IF('TL08'!$B$3=J$3,SUMIF('TL08'!$C$10:$C$224,$C108,'TL08'!$J$10:$J$224),0),
IF('TL08'!$B$229=J$3,SUMIF('TL08'!$C$238:$C$451,$C108,'TL08'!$J$238:$J$451),0),
IF('TL09'!$B$3=J$3,SUMIF('TL09'!$C$10:$C$224,$C108,'TL09'!$J$10:$J$224),0),
IF('TL09'!$B$229=J$3,SUMIF('TL09'!$C$238:$C$451,$C108,'TL09'!$J$238:$J$451),0),
IF('TL10'!$B$3=J$3,SUMIF('TL10'!$C$10:$C$224,$C108,'TL10'!$J$10:$J$224),0),
IF('TL10'!$B$229=J$3,SUMIF('TL10'!$C$238:$C$451,$C108,'TL10'!$J$238:$J$451),0),
IF('TL11'!$B$3=J$3,SUMIF('TL11'!$C$10:$C$224,$C108,'TL11'!$J$10:$J$224),0),
IF('TL11'!$B$229=J$3,SUMIF('TL11'!$C$238:$C$451,$C108,'TL11'!$J$238:$J$451),0),
IF('TL12'!$B$3=J$3,SUMIF('TL12'!$C$10:$C$224,$C108,'TL12'!$J$10:$J$224),0),
IF('TL12'!$B$229=J$3,SUMIF('TL12'!$C$238:$C$451,$C108,'TL12'!$J$238:$J$451),0),
IF('TL13'!$B$3=J$3,SUMIF('TL13'!$C$10:$C$224,$C108,'TL13'!$J$10:$J$224),0),
IF('TL13'!$B$229=J$3,SUMIF('TL13'!$C$238:$C$451,$C108,'TL13'!$J$238:$J$451),0),
IF('TL14'!$B$3=J$3,SUMIF('TL14'!$C$10:$C$224,$C108,'TL14'!$J$10:$J$224),0),
IF('TL14'!$B$229=J$3,SUMIF('TL14'!$C$238:$C$451,$C108,'TL14'!$J$238:$J$451),0),
IF('TL15'!$B$3=J$3,SUMIF('TL15'!$C$10:$C$224,$C108,'TL15'!$J$10:$J$224),0),
IF('TL15'!$B$229=J$3,SUMIF('TL15'!$C$238:$C$451,$C108,'TL15'!$J$238:$J$451),0),
IF('TL16'!$B$3=J$3,SUMIF('TL16'!$C$10:$C$224,$C108,'TL16'!$J$10:$J$224),0),
IF('TL16'!$B$229=J$3,SUMIF('TL16'!$C$238:$C$451,$C108,'TL16'!$J$238:$J$451),0),
IF('TL17'!$B$3=J$3,SUMIF('TL17'!$C$10:$C$224,$C108,'TL17'!$J$10:$J$224),0),
IF('TL17'!$B$229=J$3,SUMIF('TL17'!$C$238:$C$451,$C108,'TL17'!$J$238:$J$451),0),
IF('TL18'!$B$3=J$3,SUMIF('TL18'!$C$10:$C$224,$C108,'TL18'!$J$10:$J$224),0),
IF('TL18'!$B$229=J$3,SUMIF('TL18'!$C$238:$C$451,$C108,'TL18'!$J$238:$J$451),0),
IF('TL19'!$B$3=J$3,SUMIF('TL19'!$C$10:$C$224,$C108,'TL19'!$J$10:$J$224),0),
IF('TL19'!$B$229=J$3,SUMIF('TL19'!$C$238:$C$451,$C108,'TL19'!$J$238:$J$451),0)
),0)</f>
        <v>0</v>
      </c>
      <c r="K108" s="9">
        <f>IFERROR(SUM(
IF('TL01'!$B$3=K$3,SUMIF('TL01'!$C$10:$C$224,$C108,'TL01'!$J$10:$J$224),0),
IF('TL01'!$B$229=K$3,SUMIF('TL01'!$C$238:$C$451,$C108,'TL01'!$J$238:$J$451),0),
IF('TL02'!$B$3=K$3,SUMIF('TL02'!$C$10:$C$224,$C108,'TL02'!$J$10:$J$224),0),
IF('TL02'!$B$229=K$3,SUMIF('TL02'!$C$238:$C$451,$C108,'TL02'!$J$238:$J$451),0),
IF('TL03'!$B$3=K$3,SUMIF('TL03'!$C$10:$C$224,$C108,'TL03'!$J$10:$J$224),0),
IF('TL03'!$B$229=K$3,SUMIF('TL03'!$C$238:$C$451,$C108,'TL03'!$J$238:$J$451),0),
IF('TL04'!$B$3=K$3,SUMIF('TL04'!$C$10:$C$224,$C108,'TL04'!$J$10:$J$224),0),
IF('TL04'!$B$229=K$3,SUMIF('TL04'!$C$238:$C$451,$C108,'TL04'!$J$238:$J$451),0),
IF('TL05'!$B$3=K$3,SUMIF('TL05'!$C$10:$C$224,$C108,'TL05'!$J$10:$J$224),0),
IF('TL05'!$B$229=K$3,SUMIF('TL05'!$C$238:$C$451,$C108,'TL05'!$J$238:$J$451),0),
IF('TL06'!$B$3=K$3,SUMIF('TL06'!$C$10:$C$224,$C108,'TL06'!$J$10:$J$224),0),
IF('TL06'!$B$229=K$3,SUMIF('TL06'!$C$238:$C$451,$C108,'TL06'!$J$238:$J$451),0),
IF('TL07'!$B$3=K$3,SUMIF('TL07'!$C$10:$C$224,$C108,'TL07'!$J$10:$J$224),0),
IF('TL07'!$B$229=K$3,SUMIF('TL07'!$C$238:$C$451,$C108,'TL07'!$J$238:$J$451),0),
IF('TL08'!$B$3=K$3,SUMIF('TL08'!$C$10:$C$224,$C108,'TL08'!$J$10:$J$224),0),
IF('TL08'!$B$229=K$3,SUMIF('TL08'!$C$238:$C$451,$C108,'TL08'!$J$238:$J$451),0),
IF('TL09'!$B$3=K$3,SUMIF('TL09'!$C$10:$C$224,$C108,'TL09'!$J$10:$J$224),0),
IF('TL09'!$B$229=K$3,SUMIF('TL09'!$C$238:$C$451,$C108,'TL09'!$J$238:$J$451),0),
IF('TL10'!$B$3=K$3,SUMIF('TL10'!$C$10:$C$224,$C108,'TL10'!$J$10:$J$224),0),
IF('TL10'!$B$229=K$3,SUMIF('TL10'!$C$238:$C$451,$C108,'TL10'!$J$238:$J$451),0),
IF('TL11'!$B$3=K$3,SUMIF('TL11'!$C$10:$C$224,$C108,'TL11'!$J$10:$J$224),0),
IF('TL11'!$B$229=K$3,SUMIF('TL11'!$C$238:$C$451,$C108,'TL11'!$J$238:$J$451),0),
IF('TL12'!$B$3=K$3,SUMIF('TL12'!$C$10:$C$224,$C108,'TL12'!$J$10:$J$224),0),
IF('TL12'!$B$229=K$3,SUMIF('TL12'!$C$238:$C$451,$C108,'TL12'!$J$238:$J$451),0),
IF('TL13'!$B$3=K$3,SUMIF('TL13'!$C$10:$C$224,$C108,'TL13'!$J$10:$J$224),0),
IF('TL13'!$B$229=K$3,SUMIF('TL13'!$C$238:$C$451,$C108,'TL13'!$J$238:$J$451),0),
IF('TL14'!$B$3=K$3,SUMIF('TL14'!$C$10:$C$224,$C108,'TL14'!$J$10:$J$224),0),
IF('TL14'!$B$229=K$3,SUMIF('TL14'!$C$238:$C$451,$C108,'TL14'!$J$238:$J$451),0),
IF('TL15'!$B$3=K$3,SUMIF('TL15'!$C$10:$C$224,$C108,'TL15'!$J$10:$J$224),0),
IF('TL15'!$B$229=K$3,SUMIF('TL15'!$C$238:$C$451,$C108,'TL15'!$J$238:$J$451),0),
IF('TL16'!$B$3=K$3,SUMIF('TL16'!$C$10:$C$224,$C108,'TL16'!$J$10:$J$224),0),
IF('TL16'!$B$229=K$3,SUMIF('TL16'!$C$238:$C$451,$C108,'TL16'!$J$238:$J$451),0),
IF('TL17'!$B$3=K$3,SUMIF('TL17'!$C$10:$C$224,$C108,'TL17'!$J$10:$J$224),0),
IF('TL17'!$B$229=K$3,SUMIF('TL17'!$C$238:$C$451,$C108,'TL17'!$J$238:$J$451),0),
IF('TL18'!$B$3=K$3,SUMIF('TL18'!$C$10:$C$224,$C108,'TL18'!$J$10:$J$224),0),
IF('TL18'!$B$229=K$3,SUMIF('TL18'!$C$238:$C$451,$C108,'TL18'!$J$238:$J$451),0),
IF('TL19'!$B$3=K$3,SUMIF('TL19'!$C$10:$C$224,$C108,'TL19'!$J$10:$J$224),0),
IF('TL19'!$B$229=K$3,SUMIF('TL19'!$C$238:$C$451,$C108,'TL19'!$J$238:$J$451),0)
),0)</f>
        <v>300</v>
      </c>
      <c r="L108" s="9">
        <f>IFERROR(SUM(
IF('TL01'!$B$3=L$3,SUMIF('TL01'!$C$10:$C$224,$C108,'TL01'!$J$10:$J$224),0),
IF('TL01'!$B$229=L$3,SUMIF('TL01'!$C$238:$C$451,$C108,'TL01'!$J$238:$J$451),0),
IF('TL02'!$B$3=L$3,SUMIF('TL02'!$C$10:$C$224,$C108,'TL02'!$J$10:$J$224),0),
IF('TL02'!$B$229=L$3,SUMIF('TL02'!$C$238:$C$451,$C108,'TL02'!$J$238:$J$451),0),
IF('TL03'!$B$3=L$3,SUMIF('TL03'!$C$10:$C$224,$C108,'TL03'!$J$10:$J$224),0),
IF('TL03'!$B$229=L$3,SUMIF('TL03'!$C$238:$C$451,$C108,'TL03'!$J$238:$J$451),0),
IF('TL04'!$B$3=L$3,SUMIF('TL04'!$C$10:$C$224,$C108,'TL04'!$J$10:$J$224),0),
IF('TL04'!$B$229=L$3,SUMIF('TL04'!$C$238:$C$451,$C108,'TL04'!$J$238:$J$451),0),
IF('TL05'!$B$3=L$3,SUMIF('TL05'!$C$10:$C$224,$C108,'TL05'!$J$10:$J$224),0),
IF('TL05'!$B$229=L$3,SUMIF('TL05'!$C$238:$C$451,$C108,'TL05'!$J$238:$J$451),0),
IF('TL06'!$B$3=L$3,SUMIF('TL06'!$C$10:$C$224,$C108,'TL06'!$J$10:$J$224),0),
IF('TL06'!$B$229=L$3,SUMIF('TL06'!$C$238:$C$451,$C108,'TL06'!$J$238:$J$451),0),
IF('TL07'!$B$3=L$3,SUMIF('TL07'!$C$10:$C$224,$C108,'TL07'!$J$10:$J$224),0),
IF('TL07'!$B$229=L$3,SUMIF('TL07'!$C$238:$C$451,$C108,'TL07'!$J$238:$J$451),0),
IF('TL08'!$B$3=L$3,SUMIF('TL08'!$C$10:$C$224,$C108,'TL08'!$J$10:$J$224),0),
IF('TL08'!$B$229=L$3,SUMIF('TL08'!$C$238:$C$451,$C108,'TL08'!$J$238:$J$451),0),
IF('TL09'!$B$3=L$3,SUMIF('TL09'!$C$10:$C$224,$C108,'TL09'!$J$10:$J$224),0),
IF('TL09'!$B$229=L$3,SUMIF('TL09'!$C$238:$C$451,$C108,'TL09'!$J$238:$J$451),0),
IF('TL10'!$B$3=L$3,SUMIF('TL10'!$C$10:$C$224,$C108,'TL10'!$J$10:$J$224),0),
IF('TL10'!$B$229=L$3,SUMIF('TL10'!$C$238:$C$451,$C108,'TL10'!$J$238:$J$451),0),
IF('TL11'!$B$3=L$3,SUMIF('TL11'!$C$10:$C$224,$C108,'TL11'!$J$10:$J$224),0),
IF('TL11'!$B$229=L$3,SUMIF('TL11'!$C$238:$C$451,$C108,'TL11'!$J$238:$J$451),0),
IF('TL12'!$B$3=L$3,SUMIF('TL12'!$C$10:$C$224,$C108,'TL12'!$J$10:$J$224),0),
IF('TL12'!$B$229=L$3,SUMIF('TL12'!$C$238:$C$451,$C108,'TL12'!$J$238:$J$451),0),
IF('TL13'!$B$3=L$3,SUMIF('TL13'!$C$10:$C$224,$C108,'TL13'!$J$10:$J$224),0),
IF('TL13'!$B$229=L$3,SUMIF('TL13'!$C$238:$C$451,$C108,'TL13'!$J$238:$J$451),0),
IF('TL14'!$B$3=L$3,SUMIF('TL14'!$C$10:$C$224,$C108,'TL14'!$J$10:$J$224),0),
IF('TL14'!$B$229=L$3,SUMIF('TL14'!$C$238:$C$451,$C108,'TL14'!$J$238:$J$451),0),
IF('TL15'!$B$3=L$3,SUMIF('TL15'!$C$10:$C$224,$C108,'TL15'!$J$10:$J$224),0),
IF('TL15'!$B$229=L$3,SUMIF('TL15'!$C$238:$C$451,$C108,'TL15'!$J$238:$J$451),0),
IF('TL16'!$B$3=L$3,SUMIF('TL16'!$C$10:$C$224,$C108,'TL16'!$J$10:$J$224),0),
IF('TL16'!$B$229=L$3,SUMIF('TL16'!$C$238:$C$451,$C108,'TL16'!$J$238:$J$451),0),
IF('TL17'!$B$3=L$3,SUMIF('TL17'!$C$10:$C$224,$C108,'TL17'!$J$10:$J$224),0),
IF('TL17'!$B$229=L$3,SUMIF('TL17'!$C$238:$C$451,$C108,'TL17'!$J$238:$J$451),0),
IF('TL18'!$B$3=L$3,SUMIF('TL18'!$C$10:$C$224,$C108,'TL18'!$J$10:$J$224),0),
IF('TL18'!$B$229=L$3,SUMIF('TL18'!$C$238:$C$451,$C108,'TL18'!$J$238:$J$451),0),
IF('TL19'!$B$3=L$3,SUMIF('TL19'!$C$10:$C$224,$C108,'TL19'!$J$10:$J$224),0),
IF('TL19'!$B$229=L$3,SUMIF('TL19'!$C$238:$C$451,$C108,'TL19'!$J$238:$J$451),0)
),0)</f>
        <v>220</v>
      </c>
      <c r="M108" s="9">
        <f>IFERROR(SUM(
IF('TL01'!$B$3=M$3,SUMIF('TL01'!$C$10:$C$224,$C108,'TL01'!$J$10:$J$224),0),
IF('TL01'!$B$229=M$3,SUMIF('TL01'!$C$238:$C$451,$C108,'TL01'!$J$238:$J$451),0),
IF('TL02'!$B$3=M$3,SUMIF('TL02'!$C$10:$C$224,$C108,'TL02'!$J$10:$J$224),0),
IF('TL02'!$B$229=M$3,SUMIF('TL02'!$C$238:$C$451,$C108,'TL02'!$J$238:$J$451),0),
IF('TL03'!$B$3=M$3,SUMIF('TL03'!$C$10:$C$224,$C108,'TL03'!$J$10:$J$224),0),
IF('TL03'!$B$229=M$3,SUMIF('TL03'!$C$238:$C$451,$C108,'TL03'!$J$238:$J$451),0),
IF('TL04'!$B$3=M$3,SUMIF('TL04'!$C$10:$C$224,$C108,'TL04'!$J$10:$J$224),0),
IF('TL04'!$B$229=M$3,SUMIF('TL04'!$C$238:$C$451,$C108,'TL04'!$J$238:$J$451),0),
IF('TL05'!$B$3=M$3,SUMIF('TL05'!$C$10:$C$224,$C108,'TL05'!$J$10:$J$224),0),
IF('TL05'!$B$229=M$3,SUMIF('TL05'!$C$238:$C$451,$C108,'TL05'!$J$238:$J$451),0),
IF('TL06'!$B$3=M$3,SUMIF('TL06'!$C$10:$C$224,$C108,'TL06'!$J$10:$J$224),0),
IF('TL06'!$B$229=M$3,SUMIF('TL06'!$C$238:$C$451,$C108,'TL06'!$J$238:$J$451),0),
IF('TL07'!$B$3=M$3,SUMIF('TL07'!$C$10:$C$224,$C108,'TL07'!$J$10:$J$224),0),
IF('TL07'!$B$229=M$3,SUMIF('TL07'!$C$238:$C$451,$C108,'TL07'!$J$238:$J$451),0),
IF('TL08'!$B$3=M$3,SUMIF('TL08'!$C$10:$C$224,$C108,'TL08'!$J$10:$J$224),0),
IF('TL08'!$B$229=M$3,SUMIF('TL08'!$C$238:$C$451,$C108,'TL08'!$J$238:$J$451),0),
IF('TL09'!$B$3=M$3,SUMIF('TL09'!$C$10:$C$224,$C108,'TL09'!$J$10:$J$224),0),
IF('TL09'!$B$229=M$3,SUMIF('TL09'!$C$238:$C$451,$C108,'TL09'!$J$238:$J$451),0),
IF('TL10'!$B$3=M$3,SUMIF('TL10'!$C$10:$C$224,$C108,'TL10'!$J$10:$J$224),0),
IF('TL10'!$B$229=M$3,SUMIF('TL10'!$C$238:$C$451,$C108,'TL10'!$J$238:$J$451),0),
IF('TL11'!$B$3=M$3,SUMIF('TL11'!$C$10:$C$224,$C108,'TL11'!$J$10:$J$224),0),
IF('TL11'!$B$229=M$3,SUMIF('TL11'!$C$238:$C$451,$C108,'TL11'!$J$238:$J$451),0),
IF('TL12'!$B$3=M$3,SUMIF('TL12'!$C$10:$C$224,$C108,'TL12'!$J$10:$J$224),0),
IF('TL12'!$B$229=M$3,SUMIF('TL12'!$C$238:$C$451,$C108,'TL12'!$J$238:$J$451),0),
IF('TL13'!$B$3=M$3,SUMIF('TL13'!$C$10:$C$224,$C108,'TL13'!$J$10:$J$224),0),
IF('TL13'!$B$229=M$3,SUMIF('TL13'!$C$238:$C$451,$C108,'TL13'!$J$238:$J$451),0),
IF('TL14'!$B$3=M$3,SUMIF('TL14'!$C$10:$C$224,$C108,'TL14'!$J$10:$J$224),0),
IF('TL14'!$B$229=M$3,SUMIF('TL14'!$C$238:$C$451,$C108,'TL14'!$J$238:$J$451),0),
IF('TL15'!$B$3=M$3,SUMIF('TL15'!$C$10:$C$224,$C108,'TL15'!$J$10:$J$224),0),
IF('TL15'!$B$229=M$3,SUMIF('TL15'!$C$238:$C$451,$C108,'TL15'!$J$238:$J$451),0),
IF('TL16'!$B$3=M$3,SUMIF('TL16'!$C$10:$C$224,$C108,'TL16'!$J$10:$J$224),0),
IF('TL16'!$B$229=M$3,SUMIF('TL16'!$C$238:$C$451,$C108,'TL16'!$J$238:$J$451),0),
IF('TL17'!$B$3=M$3,SUMIF('TL17'!$C$10:$C$224,$C108,'TL17'!$J$10:$J$224),0),
IF('TL17'!$B$229=M$3,SUMIF('TL17'!$C$238:$C$451,$C108,'TL17'!$J$238:$J$451),0),
IF('TL18'!$B$3=M$3,SUMIF('TL18'!$C$10:$C$224,$C108,'TL18'!$J$10:$J$224),0),
IF('TL18'!$B$229=M$3,SUMIF('TL18'!$C$238:$C$451,$C108,'TL18'!$J$238:$J$451),0),
IF('TL19'!$B$3=M$3,SUMIF('TL19'!$C$10:$C$224,$C108,'TL19'!$J$10:$J$224),0),
IF('TL19'!$B$229=M$3,SUMIF('TL19'!$C$238:$C$451,$C108,'TL19'!$J$238:$J$451),0)
),0)</f>
        <v>0</v>
      </c>
      <c r="N108" s="9">
        <f>IFERROR(SUM(
IF('TL01'!$B$3=N$3,SUMIF('TL01'!$C$10:$C$224,$C108,'TL01'!$J$10:$J$224),0),
IF('TL01'!$B$229=N$3,SUMIF('TL01'!$C$238:$C$451,$C108,'TL01'!$J$238:$J$451),0),
IF('TL02'!$B$3=N$3,SUMIF('TL02'!$C$10:$C$224,$C108,'TL02'!$J$10:$J$224),0),
IF('TL02'!$B$229=N$3,SUMIF('TL02'!$C$238:$C$451,$C108,'TL02'!$J$238:$J$451),0),
IF('TL03'!$B$3=N$3,SUMIF('TL03'!$C$10:$C$224,$C108,'TL03'!$J$10:$J$224),0),
IF('TL03'!$B$229=N$3,SUMIF('TL03'!$C$238:$C$451,$C108,'TL03'!$J$238:$J$451),0),
IF('TL04'!$B$3=N$3,SUMIF('TL04'!$C$10:$C$224,$C108,'TL04'!$J$10:$J$224),0),
IF('TL04'!$B$229=N$3,SUMIF('TL04'!$C$238:$C$451,$C108,'TL04'!$J$238:$J$451),0),
IF('TL05'!$B$3=N$3,SUMIF('TL05'!$C$10:$C$224,$C108,'TL05'!$J$10:$J$224),0),
IF('TL05'!$B$229=N$3,SUMIF('TL05'!$C$238:$C$451,$C108,'TL05'!$J$238:$J$451),0),
IF('TL06'!$B$3=N$3,SUMIF('TL06'!$C$10:$C$224,$C108,'TL06'!$J$10:$J$224),0),
IF('TL06'!$B$229=N$3,SUMIF('TL06'!$C$238:$C$451,$C108,'TL06'!$J$238:$J$451),0),
IF('TL07'!$B$3=N$3,SUMIF('TL07'!$C$10:$C$224,$C108,'TL07'!$J$10:$J$224),0),
IF('TL07'!$B$229=N$3,SUMIF('TL07'!$C$238:$C$451,$C108,'TL07'!$J$238:$J$451),0),
IF('TL08'!$B$3=N$3,SUMIF('TL08'!$C$10:$C$224,$C108,'TL08'!$J$10:$J$224),0),
IF('TL08'!$B$229=N$3,SUMIF('TL08'!$C$238:$C$451,$C108,'TL08'!$J$238:$J$451),0),
IF('TL09'!$B$3=N$3,SUMIF('TL09'!$C$10:$C$224,$C108,'TL09'!$J$10:$J$224),0),
IF('TL09'!$B$229=N$3,SUMIF('TL09'!$C$238:$C$451,$C108,'TL09'!$J$238:$J$451),0),
IF('TL10'!$B$3=N$3,SUMIF('TL10'!$C$10:$C$224,$C108,'TL10'!$J$10:$J$224),0),
IF('TL10'!$B$229=N$3,SUMIF('TL10'!$C$238:$C$451,$C108,'TL10'!$J$238:$J$451),0),
IF('TL11'!$B$3=N$3,SUMIF('TL11'!$C$10:$C$224,$C108,'TL11'!$J$10:$J$224),0),
IF('TL11'!$B$229=N$3,SUMIF('TL11'!$C$238:$C$451,$C108,'TL11'!$J$238:$J$451),0),
IF('TL12'!$B$3=N$3,SUMIF('TL12'!$C$10:$C$224,$C108,'TL12'!$J$10:$J$224),0),
IF('TL12'!$B$229=N$3,SUMIF('TL12'!$C$238:$C$451,$C108,'TL12'!$J$238:$J$451),0),
IF('TL13'!$B$3=N$3,SUMIF('TL13'!$C$10:$C$224,$C108,'TL13'!$J$10:$J$224),0),
IF('TL13'!$B$229=N$3,SUMIF('TL13'!$C$238:$C$451,$C108,'TL13'!$J$238:$J$451),0),
IF('TL14'!$B$3=N$3,SUMIF('TL14'!$C$10:$C$224,$C108,'TL14'!$J$10:$J$224),0),
IF('TL14'!$B$229=N$3,SUMIF('TL14'!$C$238:$C$451,$C108,'TL14'!$J$238:$J$451),0),
IF('TL15'!$B$3=N$3,SUMIF('TL15'!$C$10:$C$224,$C108,'TL15'!$J$10:$J$224),0),
IF('TL15'!$B$229=N$3,SUMIF('TL15'!$C$238:$C$451,$C108,'TL15'!$J$238:$J$451),0),
IF('TL16'!$B$3=N$3,SUMIF('TL16'!$C$10:$C$224,$C108,'TL16'!$J$10:$J$224),0),
IF('TL16'!$B$229=N$3,SUMIF('TL16'!$C$238:$C$451,$C108,'TL16'!$J$238:$J$451),0),
IF('TL17'!$B$3=N$3,SUMIF('TL17'!$C$10:$C$224,$C108,'TL17'!$J$10:$J$224),0),
IF('TL17'!$B$229=N$3,SUMIF('TL17'!$C$238:$C$451,$C108,'TL17'!$J$238:$J$451),0),
IF('TL18'!$B$3=N$3,SUMIF('TL18'!$C$10:$C$224,$C108,'TL18'!$J$10:$J$224),0),
IF('TL18'!$B$229=N$3,SUMIF('TL18'!$C$238:$C$451,$C108,'TL18'!$J$238:$J$451),0),
IF('TL19'!$B$3=N$3,SUMIF('TL19'!$C$10:$C$224,$C108,'TL19'!$J$10:$J$224),0),
IF('TL19'!$B$229=N$3,SUMIF('TL19'!$C$238:$C$451,$C108,'TL19'!$J$238:$J$451),0)
),0)</f>
        <v>0</v>
      </c>
      <c r="O108" s="9">
        <f>IFERROR(SUM(
IF('TL01'!$B$3=O$3,SUMIF('TL01'!$C$10:$C$224,$C108,'TL01'!$J$10:$J$224),0),
IF('TL01'!$B$229=O$3,SUMIF('TL01'!$C$238:$C$451,$C108,'TL01'!$J$238:$J$451),0),
IF('TL02'!$B$3=O$3,SUMIF('TL02'!$C$10:$C$224,$C108,'TL02'!$J$10:$J$224),0),
IF('TL02'!$B$229=O$3,SUMIF('TL02'!$C$238:$C$451,$C108,'TL02'!$J$238:$J$451),0),
IF('TL03'!$B$3=O$3,SUMIF('TL03'!$C$10:$C$224,$C108,'TL03'!$J$10:$J$224),0),
IF('TL03'!$B$229=O$3,SUMIF('TL03'!$C$238:$C$451,$C108,'TL03'!$J$238:$J$451),0),
IF('TL04'!$B$3=O$3,SUMIF('TL04'!$C$10:$C$224,$C108,'TL04'!$J$10:$J$224),0),
IF('TL04'!$B$229=O$3,SUMIF('TL04'!$C$238:$C$451,$C108,'TL04'!$J$238:$J$451),0),
IF('TL05'!$B$3=O$3,SUMIF('TL05'!$C$10:$C$224,$C108,'TL05'!$J$10:$J$224),0),
IF('TL05'!$B$229=O$3,SUMIF('TL05'!$C$238:$C$451,$C108,'TL05'!$J$238:$J$451),0),
IF('TL06'!$B$3=O$3,SUMIF('TL06'!$C$10:$C$224,$C108,'TL06'!$J$10:$J$224),0),
IF('TL06'!$B$229=O$3,SUMIF('TL06'!$C$238:$C$451,$C108,'TL06'!$J$238:$J$451),0),
IF('TL07'!$B$3=O$3,SUMIF('TL07'!$C$10:$C$224,$C108,'TL07'!$J$10:$J$224),0),
IF('TL07'!$B$229=O$3,SUMIF('TL07'!$C$238:$C$451,$C108,'TL07'!$J$238:$J$451),0),
IF('TL08'!$B$3=O$3,SUMIF('TL08'!$C$10:$C$224,$C108,'TL08'!$J$10:$J$224),0),
IF('TL08'!$B$229=O$3,SUMIF('TL08'!$C$238:$C$451,$C108,'TL08'!$J$238:$J$451),0),
IF('TL09'!$B$3=O$3,SUMIF('TL09'!$C$10:$C$224,$C108,'TL09'!$J$10:$J$224),0),
IF('TL09'!$B$229=O$3,SUMIF('TL09'!$C$238:$C$451,$C108,'TL09'!$J$238:$J$451),0),
IF('TL10'!$B$3=O$3,SUMIF('TL10'!$C$10:$C$224,$C108,'TL10'!$J$10:$J$224),0),
IF('TL10'!$B$229=O$3,SUMIF('TL10'!$C$238:$C$451,$C108,'TL10'!$J$238:$J$451),0),
IF('TL11'!$B$3=O$3,SUMIF('TL11'!$C$10:$C$224,$C108,'TL11'!$J$10:$J$224),0),
IF('TL11'!$B$229=O$3,SUMIF('TL11'!$C$238:$C$451,$C108,'TL11'!$J$238:$J$451),0),
IF('TL12'!$B$3=O$3,SUMIF('TL12'!$C$10:$C$224,$C108,'TL12'!$J$10:$J$224),0),
IF('TL12'!$B$229=O$3,SUMIF('TL12'!$C$238:$C$451,$C108,'TL12'!$J$238:$J$451),0),
IF('TL13'!$B$3=O$3,SUMIF('TL13'!$C$10:$C$224,$C108,'TL13'!$J$10:$J$224),0),
IF('TL13'!$B$229=O$3,SUMIF('TL13'!$C$238:$C$451,$C108,'TL13'!$J$238:$J$451),0),
IF('TL14'!$B$3=O$3,SUMIF('TL14'!$C$10:$C$224,$C108,'TL14'!$J$10:$J$224),0),
IF('TL14'!$B$229=O$3,SUMIF('TL14'!$C$238:$C$451,$C108,'TL14'!$J$238:$J$451),0),
IF('TL15'!$B$3=O$3,SUMIF('TL15'!$C$10:$C$224,$C108,'TL15'!$J$10:$J$224),0),
IF('TL15'!$B$229=O$3,SUMIF('TL15'!$C$238:$C$451,$C108,'TL15'!$J$238:$J$451),0),
IF('TL16'!$B$3=O$3,SUMIF('TL16'!$C$10:$C$224,$C108,'TL16'!$J$10:$J$224),0),
IF('TL16'!$B$229=O$3,SUMIF('TL16'!$C$238:$C$451,$C108,'TL16'!$J$238:$J$451),0),
IF('TL17'!$B$3=O$3,SUMIF('TL17'!$C$10:$C$224,$C108,'TL17'!$J$10:$J$224),0),
IF('TL17'!$B$229=O$3,SUMIF('TL17'!$C$238:$C$451,$C108,'TL17'!$J$238:$J$451),0),
IF('TL18'!$B$3=O$3,SUMIF('TL18'!$C$10:$C$224,$C108,'TL18'!$J$10:$J$224),0),
IF('TL18'!$B$229=O$3,SUMIF('TL18'!$C$238:$C$451,$C108,'TL18'!$J$238:$J$451),0),
IF('TL19'!$B$3=O$3,SUMIF('TL19'!$C$10:$C$224,$C108,'TL19'!$J$10:$J$224),0),
IF('TL19'!$B$229=O$3,SUMIF('TL19'!$C$238:$C$451,$C108,'TL19'!$J$238:$J$451),0)
),0)</f>
        <v>0</v>
      </c>
      <c r="P108" s="9">
        <f>IFERROR(SUM(
IF('TL01'!$B$3=P$3,SUMIF('TL01'!$C$10:$C$224,$C108,'TL01'!$J$10:$J$224),0),
IF('TL01'!$B$229=P$3,SUMIF('TL01'!$C$238:$C$451,$C108,'TL01'!$J$238:$J$451),0),
IF('TL02'!$B$3=P$3,SUMIF('TL02'!$C$10:$C$224,$C108,'TL02'!$J$10:$J$224),0),
IF('TL02'!$B$229=P$3,SUMIF('TL02'!$C$238:$C$451,$C108,'TL02'!$J$238:$J$451),0),
IF('TL03'!$B$3=P$3,SUMIF('TL03'!$C$10:$C$224,$C108,'TL03'!$J$10:$J$224),0),
IF('TL03'!$B$229=P$3,SUMIF('TL03'!$C$238:$C$451,$C108,'TL03'!$J$238:$J$451),0),
IF('TL04'!$B$3=P$3,SUMIF('TL04'!$C$10:$C$224,$C108,'TL04'!$J$10:$J$224),0),
IF('TL04'!$B$229=P$3,SUMIF('TL04'!$C$238:$C$451,$C108,'TL04'!$J$238:$J$451),0),
IF('TL05'!$B$3=P$3,SUMIF('TL05'!$C$10:$C$224,$C108,'TL05'!$J$10:$J$224),0),
IF('TL05'!$B$229=P$3,SUMIF('TL05'!$C$238:$C$451,$C108,'TL05'!$J$238:$J$451),0),
IF('TL06'!$B$3=P$3,SUMIF('TL06'!$C$10:$C$224,$C108,'TL06'!$J$10:$J$224),0),
IF('TL06'!$B$229=P$3,SUMIF('TL06'!$C$238:$C$451,$C108,'TL06'!$J$238:$J$451),0),
IF('TL07'!$B$3=P$3,SUMIF('TL07'!$C$10:$C$224,$C108,'TL07'!$J$10:$J$224),0),
IF('TL07'!$B$229=P$3,SUMIF('TL07'!$C$238:$C$451,$C108,'TL07'!$J$238:$J$451),0),
IF('TL08'!$B$3=P$3,SUMIF('TL08'!$C$10:$C$224,$C108,'TL08'!$J$10:$J$224),0),
IF('TL08'!$B$229=P$3,SUMIF('TL08'!$C$238:$C$451,$C108,'TL08'!$J$238:$J$451),0),
IF('TL09'!$B$3=P$3,SUMIF('TL09'!$C$10:$C$224,$C108,'TL09'!$J$10:$J$224),0),
IF('TL09'!$B$229=P$3,SUMIF('TL09'!$C$238:$C$451,$C108,'TL09'!$J$238:$J$451),0),
IF('TL10'!$B$3=P$3,SUMIF('TL10'!$C$10:$C$224,$C108,'TL10'!$J$10:$J$224),0),
IF('TL10'!$B$229=P$3,SUMIF('TL10'!$C$238:$C$451,$C108,'TL10'!$J$238:$J$451),0),
IF('TL11'!$B$3=P$3,SUMIF('TL11'!$C$10:$C$224,$C108,'TL11'!$J$10:$J$224),0),
IF('TL11'!$B$229=P$3,SUMIF('TL11'!$C$238:$C$451,$C108,'TL11'!$J$238:$J$451),0),
IF('TL12'!$B$3=P$3,SUMIF('TL12'!$C$10:$C$224,$C108,'TL12'!$J$10:$J$224),0),
IF('TL12'!$B$229=P$3,SUMIF('TL12'!$C$238:$C$451,$C108,'TL12'!$J$238:$J$451),0),
IF('TL13'!$B$3=P$3,SUMIF('TL13'!$C$10:$C$224,$C108,'TL13'!$J$10:$J$224),0),
IF('TL13'!$B$229=P$3,SUMIF('TL13'!$C$238:$C$451,$C108,'TL13'!$J$238:$J$451),0),
IF('TL14'!$B$3=P$3,SUMIF('TL14'!$C$10:$C$224,$C108,'TL14'!$J$10:$J$224),0),
IF('TL14'!$B$229=P$3,SUMIF('TL14'!$C$238:$C$451,$C108,'TL14'!$J$238:$J$451),0),
IF('TL15'!$B$3=P$3,SUMIF('TL15'!$C$10:$C$224,$C108,'TL15'!$J$10:$J$224),0),
IF('TL15'!$B$229=P$3,SUMIF('TL15'!$C$238:$C$451,$C108,'TL15'!$J$238:$J$451),0),
IF('TL16'!$B$3=P$3,SUMIF('TL16'!$C$10:$C$224,$C108,'TL16'!$J$10:$J$224),0),
IF('TL16'!$B$229=P$3,SUMIF('TL16'!$C$238:$C$451,$C108,'TL16'!$J$238:$J$451),0),
IF('TL17'!$B$3=P$3,SUMIF('TL17'!$C$10:$C$224,$C108,'TL17'!$J$10:$J$224),0),
IF('TL17'!$B$229=P$3,SUMIF('TL17'!$C$238:$C$451,$C108,'TL17'!$J$238:$J$451),0),
IF('TL18'!$B$3=P$3,SUMIF('TL18'!$C$10:$C$224,$C108,'TL18'!$J$10:$J$224),0),
IF('TL18'!$B$229=P$3,SUMIF('TL18'!$C$238:$C$451,$C108,'TL18'!$J$238:$J$451),0),
IF('TL19'!$B$3=P$3,SUMIF('TL19'!$C$10:$C$224,$C108,'TL19'!$J$10:$J$224),0),
IF('TL19'!$B$229=P$3,SUMIF('TL19'!$C$238:$C$451,$C108,'TL19'!$J$238:$J$451),0)
),0)</f>
        <v>369.4</v>
      </c>
      <c r="Q108" s="9">
        <f>IFERROR(SUM(
IF('TL01'!$B$3=Q$3,SUMIF('TL01'!$C$10:$C$224,$C108,'TL01'!$J$10:$J$224),0),
IF('TL01'!$B$229=Q$3,SUMIF('TL01'!$C$238:$C$451,$C108,'TL01'!$J$238:$J$451),0),
IF('TL02'!$B$3=Q$3,SUMIF('TL02'!$C$10:$C$224,$C108,'TL02'!$J$10:$J$224),0),
IF('TL02'!$B$229=Q$3,SUMIF('TL02'!$C$238:$C$451,$C108,'TL02'!$J$238:$J$451),0),
IF('TL03'!$B$3=Q$3,SUMIF('TL03'!$C$10:$C$224,$C108,'TL03'!$J$10:$J$224),0),
IF('TL03'!$B$229=Q$3,SUMIF('TL03'!$C$238:$C$451,$C108,'TL03'!$J$238:$J$451),0),
IF('TL04'!$B$3=Q$3,SUMIF('TL04'!$C$10:$C$224,$C108,'TL04'!$J$10:$J$224),0),
IF('TL04'!$B$229=Q$3,SUMIF('TL04'!$C$238:$C$451,$C108,'TL04'!$J$238:$J$451),0),
IF('TL05'!$B$3=Q$3,SUMIF('TL05'!$C$10:$C$224,$C108,'TL05'!$J$10:$J$224),0),
IF('TL05'!$B$229=Q$3,SUMIF('TL05'!$C$238:$C$451,$C108,'TL05'!$J$238:$J$451),0),
IF('TL06'!$B$3=Q$3,SUMIF('TL06'!$C$10:$C$224,$C108,'TL06'!$J$10:$J$224),0),
IF('TL06'!$B$229=Q$3,SUMIF('TL06'!$C$238:$C$451,$C108,'TL06'!$J$238:$J$451),0),
IF('TL07'!$B$3=Q$3,SUMIF('TL07'!$C$10:$C$224,$C108,'TL07'!$J$10:$J$224),0),
IF('TL07'!$B$229=Q$3,SUMIF('TL07'!$C$238:$C$451,$C108,'TL07'!$J$238:$J$451),0),
IF('TL08'!$B$3=Q$3,SUMIF('TL08'!$C$10:$C$224,$C108,'TL08'!$J$10:$J$224),0),
IF('TL08'!$B$229=Q$3,SUMIF('TL08'!$C$238:$C$451,$C108,'TL08'!$J$238:$J$451),0),
IF('TL09'!$B$3=Q$3,SUMIF('TL09'!$C$10:$C$224,$C108,'TL09'!$J$10:$J$224),0),
IF('TL09'!$B$229=Q$3,SUMIF('TL09'!$C$238:$C$451,$C108,'TL09'!$J$238:$J$451),0),
IF('TL10'!$B$3=Q$3,SUMIF('TL10'!$C$10:$C$224,$C108,'TL10'!$J$10:$J$224),0),
IF('TL10'!$B$229=Q$3,SUMIF('TL10'!$C$238:$C$451,$C108,'TL10'!$J$238:$J$451),0),
IF('TL11'!$B$3=Q$3,SUMIF('TL11'!$C$10:$C$224,$C108,'TL11'!$J$10:$J$224),0),
IF('TL11'!$B$229=Q$3,SUMIF('TL11'!$C$238:$C$451,$C108,'TL11'!$J$238:$J$451),0),
IF('TL12'!$B$3=Q$3,SUMIF('TL12'!$C$10:$C$224,$C108,'TL12'!$J$10:$J$224),0),
IF('TL12'!$B$229=Q$3,SUMIF('TL12'!$C$238:$C$451,$C108,'TL12'!$J$238:$J$451),0),
IF('TL13'!$B$3=Q$3,SUMIF('TL13'!$C$10:$C$224,$C108,'TL13'!$J$10:$J$224),0),
IF('TL13'!$B$229=Q$3,SUMIF('TL13'!$C$238:$C$451,$C108,'TL13'!$J$238:$J$451),0),
IF('TL14'!$B$3=Q$3,SUMIF('TL14'!$C$10:$C$224,$C108,'TL14'!$J$10:$J$224),0),
IF('TL14'!$B$229=Q$3,SUMIF('TL14'!$C$238:$C$451,$C108,'TL14'!$J$238:$J$451),0),
IF('TL15'!$B$3=Q$3,SUMIF('TL15'!$C$10:$C$224,$C108,'TL15'!$J$10:$J$224),0),
IF('TL15'!$B$229=Q$3,SUMIF('TL15'!$C$238:$C$451,$C108,'TL15'!$J$238:$J$451),0),
IF('TL16'!$B$3=Q$3,SUMIF('TL16'!$C$10:$C$224,$C108,'TL16'!$J$10:$J$224),0),
IF('TL16'!$B$229=Q$3,SUMIF('TL16'!$C$238:$C$451,$C108,'TL16'!$J$238:$J$451),0),
IF('TL17'!$B$3=Q$3,SUMIF('TL17'!$C$10:$C$224,$C108,'TL17'!$J$10:$J$224),0),
IF('TL17'!$B$229=Q$3,SUMIF('TL17'!$C$238:$C$451,$C108,'TL17'!$J$238:$J$451),0),
IF('TL18'!$B$3=Q$3,SUMIF('TL18'!$C$10:$C$224,$C108,'TL18'!$J$10:$J$224),0),
IF('TL18'!$B$229=Q$3,SUMIF('TL18'!$C$238:$C$451,$C108,'TL18'!$J$238:$J$451),0),
IF('TL19'!$B$3=Q$3,SUMIF('TL19'!$C$10:$C$224,$C108,'TL19'!$J$10:$J$224),0),
IF('TL19'!$B$229=Q$3,SUMIF('TL19'!$C$238:$C$451,$C108,'TL19'!$J$238:$J$451),0)
),0)</f>
        <v>310</v>
      </c>
      <c r="R108" s="9">
        <f>IFERROR(
SUM(
SUMIF('TL01'!C:C,C108,'TL01'!J:J),
SUMIF('TL02'!C:C,C108,'TL02'!J:J),
SUMIF('TL03'!C:C,C108,'TL03'!J:J),
SUMIF('TL04'!C:C,C108,'TL04'!J:J),
SUMIF('TL05'!C:C,C108,'TL05'!J:J),
SUMIF('TL06'!C:C,C108,'TL06'!J:J),
SUMIF('TL07'!C:C,C108,'TL07'!J:J),
SUMIF('TL08'!C:C,C108,'TL08'!J:J),
SUMIF('TL09'!C:C,C108,'TL09'!J:J),
SUMIF('TL10'!C:C,C108,'TL10'!J:J),
SUMIF('TL11'!C:C,C108,'TL11'!J:J),
SUMIF('TL12'!C:C,C108,'TL12'!J:J),
SUMIF('TL13'!C:C,C108,'TL13'!J:J),
SUMIF('TL14'!C:C,C108,'TL14'!J:J),
SUMIF('TL15'!C:C,C108,'TL15'!J:J),
SUMIF('TL16'!C:C,C108,'TL16'!J:J),
SUMIF('TL17'!C:C,C108,'TL17'!J:J),
SUMIF('TL18'!C:C,C108,'TL18'!J:J),SUMIF('TL19'!C:C,C108,'TL19'!J:J))
,0)</f>
        <v>1199.4</v>
      </c>
      <c r="S108" s="17">
        <f>IFERROR(__xludf.DUMMYFUNCTION("IFERROR(VLOOKUP(C108,
IMPORTRANGE(""1wULbzX32WdYsx-lj2U3uUNBBe2INVIRDtcK0d-Dvl90"",
""26-27!C:G""),
5,
FALSE),
"""")"),60.048939999999995)</f>
        <v>60.04894</v>
      </c>
      <c r="T108" s="9">
        <v>1200.0</v>
      </c>
      <c r="U108" s="92">
        <f t="shared" si="2"/>
        <v>-0.6</v>
      </c>
      <c r="V108" s="93">
        <f t="shared" si="3"/>
        <v>-36.029364</v>
      </c>
    </row>
    <row r="109" ht="15.75" hidden="1" customHeight="1">
      <c r="A109" s="111" t="s">
        <v>340</v>
      </c>
      <c r="B109" s="112" t="s">
        <v>1</v>
      </c>
      <c r="C109" s="113" t="s">
        <v>613</v>
      </c>
      <c r="D109" s="113" t="s">
        <v>614</v>
      </c>
      <c r="E109" s="113" t="s">
        <v>615</v>
      </c>
      <c r="F109" s="4" t="s">
        <v>343</v>
      </c>
      <c r="G109" s="90" t="str">
        <f t="shared" si="4"/>
        <v>📄 Ver bula</v>
      </c>
      <c r="H109" s="9">
        <f>IFERROR(__xludf.DUMMYFUNCTION("IFERROR(VLOOKUP(C109,
IMPORTRANGE(""1wULbzX32WdYsx-lj2U3uUNBBe2INVIRDtcK0d-Dvl90"",
""26-27!C:K""),
8,
FALSE),
"""")"),2.0)</f>
        <v>2</v>
      </c>
      <c r="I109" s="114" t="s">
        <v>344</v>
      </c>
      <c r="J109" s="9">
        <f>IFERROR(SUM(
IF('TL01'!$B$3=J$3,SUMIF('TL01'!$C$10:$C$224,$C109,'TL01'!$J$10:$J$224),0),
IF('TL01'!$B$229=J$3,SUMIF('TL01'!$C$238:$C$451,$C109,'TL01'!$J$238:$J$451),0),
IF('TL02'!$B$3=J$3,SUMIF('TL02'!$C$10:$C$224,$C109,'TL02'!$J$10:$J$224),0),
IF('TL02'!$B$229=J$3,SUMIF('TL02'!$C$238:$C$451,$C109,'TL02'!$J$238:$J$451),0),
IF('TL03'!$B$3=J$3,SUMIF('TL03'!$C$10:$C$224,$C109,'TL03'!$J$10:$J$224),0),
IF('TL03'!$B$229=J$3,SUMIF('TL03'!$C$238:$C$451,$C109,'TL03'!$J$238:$J$451),0),
IF('TL04'!$B$3=J$3,SUMIF('TL04'!$C$10:$C$224,$C109,'TL04'!$J$10:$J$224),0),
IF('TL04'!$B$229=J$3,SUMIF('TL04'!$C$238:$C$451,$C109,'TL04'!$J$238:$J$451),0),
IF('TL05'!$B$3=J$3,SUMIF('TL05'!$C$10:$C$224,$C109,'TL05'!$J$10:$J$224),0),
IF('TL05'!$B$229=J$3,SUMIF('TL05'!$C$238:$C$451,$C109,'TL05'!$J$238:$J$451),0),
IF('TL06'!$B$3=J$3,SUMIF('TL06'!$C$10:$C$224,$C109,'TL06'!$J$10:$J$224),0),
IF('TL06'!$B$229=J$3,SUMIF('TL06'!$C$238:$C$451,$C109,'TL06'!$J$238:$J$451),0),
IF('TL07'!$B$3=J$3,SUMIF('TL07'!$C$10:$C$224,$C109,'TL07'!$J$10:$J$224),0),
IF('TL07'!$B$229=J$3,SUMIF('TL07'!$C$238:$C$451,$C109,'TL07'!$J$238:$J$451),0),
IF('TL08'!$B$3=J$3,SUMIF('TL08'!$C$10:$C$224,$C109,'TL08'!$J$10:$J$224),0),
IF('TL08'!$B$229=J$3,SUMIF('TL08'!$C$238:$C$451,$C109,'TL08'!$J$238:$J$451),0),
IF('TL09'!$B$3=J$3,SUMIF('TL09'!$C$10:$C$224,$C109,'TL09'!$J$10:$J$224),0),
IF('TL09'!$B$229=J$3,SUMIF('TL09'!$C$238:$C$451,$C109,'TL09'!$J$238:$J$451),0),
IF('TL10'!$B$3=J$3,SUMIF('TL10'!$C$10:$C$224,$C109,'TL10'!$J$10:$J$224),0),
IF('TL10'!$B$229=J$3,SUMIF('TL10'!$C$238:$C$451,$C109,'TL10'!$J$238:$J$451),0),
IF('TL11'!$B$3=J$3,SUMIF('TL11'!$C$10:$C$224,$C109,'TL11'!$J$10:$J$224),0),
IF('TL11'!$B$229=J$3,SUMIF('TL11'!$C$238:$C$451,$C109,'TL11'!$J$238:$J$451),0),
IF('TL12'!$B$3=J$3,SUMIF('TL12'!$C$10:$C$224,$C109,'TL12'!$J$10:$J$224),0),
IF('TL12'!$B$229=J$3,SUMIF('TL12'!$C$238:$C$451,$C109,'TL12'!$J$238:$J$451),0),
IF('TL13'!$B$3=J$3,SUMIF('TL13'!$C$10:$C$224,$C109,'TL13'!$J$10:$J$224),0),
IF('TL13'!$B$229=J$3,SUMIF('TL13'!$C$238:$C$451,$C109,'TL13'!$J$238:$J$451),0),
IF('TL14'!$B$3=J$3,SUMIF('TL14'!$C$10:$C$224,$C109,'TL14'!$J$10:$J$224),0),
IF('TL14'!$B$229=J$3,SUMIF('TL14'!$C$238:$C$451,$C109,'TL14'!$J$238:$J$451),0),
IF('TL15'!$B$3=J$3,SUMIF('TL15'!$C$10:$C$224,$C109,'TL15'!$J$10:$J$224),0),
IF('TL15'!$B$229=J$3,SUMIF('TL15'!$C$238:$C$451,$C109,'TL15'!$J$238:$J$451),0),
IF('TL16'!$B$3=J$3,SUMIF('TL16'!$C$10:$C$224,$C109,'TL16'!$J$10:$J$224),0),
IF('TL16'!$B$229=J$3,SUMIF('TL16'!$C$238:$C$451,$C109,'TL16'!$J$238:$J$451),0),
IF('TL17'!$B$3=J$3,SUMIF('TL17'!$C$10:$C$224,$C109,'TL17'!$J$10:$J$224),0),
IF('TL17'!$B$229=J$3,SUMIF('TL17'!$C$238:$C$451,$C109,'TL17'!$J$238:$J$451),0),
IF('TL18'!$B$3=J$3,SUMIF('TL18'!$C$10:$C$224,$C109,'TL18'!$J$10:$J$224),0),
IF('TL18'!$B$229=J$3,SUMIF('TL18'!$C$238:$C$451,$C109,'TL18'!$J$238:$J$451),0),
IF('TL19'!$B$3=J$3,SUMIF('TL19'!$C$10:$C$224,$C109,'TL19'!$J$10:$J$224),0),
IF('TL19'!$B$229=J$3,SUMIF('TL19'!$C$238:$C$451,$C109,'TL19'!$J$238:$J$451),0)
),0)</f>
        <v>0</v>
      </c>
      <c r="K109" s="9">
        <f>IFERROR(SUM(
IF('TL01'!$B$3=K$3,SUMIF('TL01'!$C$10:$C$224,$C109,'TL01'!$J$10:$J$224),0),
IF('TL01'!$B$229=K$3,SUMIF('TL01'!$C$238:$C$451,$C109,'TL01'!$J$238:$J$451),0),
IF('TL02'!$B$3=K$3,SUMIF('TL02'!$C$10:$C$224,$C109,'TL02'!$J$10:$J$224),0),
IF('TL02'!$B$229=K$3,SUMIF('TL02'!$C$238:$C$451,$C109,'TL02'!$J$238:$J$451),0),
IF('TL03'!$B$3=K$3,SUMIF('TL03'!$C$10:$C$224,$C109,'TL03'!$J$10:$J$224),0),
IF('TL03'!$B$229=K$3,SUMIF('TL03'!$C$238:$C$451,$C109,'TL03'!$J$238:$J$451),0),
IF('TL04'!$B$3=K$3,SUMIF('TL04'!$C$10:$C$224,$C109,'TL04'!$J$10:$J$224),0),
IF('TL04'!$B$229=K$3,SUMIF('TL04'!$C$238:$C$451,$C109,'TL04'!$J$238:$J$451),0),
IF('TL05'!$B$3=K$3,SUMIF('TL05'!$C$10:$C$224,$C109,'TL05'!$J$10:$J$224),0),
IF('TL05'!$B$229=K$3,SUMIF('TL05'!$C$238:$C$451,$C109,'TL05'!$J$238:$J$451),0),
IF('TL06'!$B$3=K$3,SUMIF('TL06'!$C$10:$C$224,$C109,'TL06'!$J$10:$J$224),0),
IF('TL06'!$B$229=K$3,SUMIF('TL06'!$C$238:$C$451,$C109,'TL06'!$J$238:$J$451),0),
IF('TL07'!$B$3=K$3,SUMIF('TL07'!$C$10:$C$224,$C109,'TL07'!$J$10:$J$224),0),
IF('TL07'!$B$229=K$3,SUMIF('TL07'!$C$238:$C$451,$C109,'TL07'!$J$238:$J$451),0),
IF('TL08'!$B$3=K$3,SUMIF('TL08'!$C$10:$C$224,$C109,'TL08'!$J$10:$J$224),0),
IF('TL08'!$B$229=K$3,SUMIF('TL08'!$C$238:$C$451,$C109,'TL08'!$J$238:$J$451),0),
IF('TL09'!$B$3=K$3,SUMIF('TL09'!$C$10:$C$224,$C109,'TL09'!$J$10:$J$224),0),
IF('TL09'!$B$229=K$3,SUMIF('TL09'!$C$238:$C$451,$C109,'TL09'!$J$238:$J$451),0),
IF('TL10'!$B$3=K$3,SUMIF('TL10'!$C$10:$C$224,$C109,'TL10'!$J$10:$J$224),0),
IF('TL10'!$B$229=K$3,SUMIF('TL10'!$C$238:$C$451,$C109,'TL10'!$J$238:$J$451),0),
IF('TL11'!$B$3=K$3,SUMIF('TL11'!$C$10:$C$224,$C109,'TL11'!$J$10:$J$224),0),
IF('TL11'!$B$229=K$3,SUMIF('TL11'!$C$238:$C$451,$C109,'TL11'!$J$238:$J$451),0),
IF('TL12'!$B$3=K$3,SUMIF('TL12'!$C$10:$C$224,$C109,'TL12'!$J$10:$J$224),0),
IF('TL12'!$B$229=K$3,SUMIF('TL12'!$C$238:$C$451,$C109,'TL12'!$J$238:$J$451),0),
IF('TL13'!$B$3=K$3,SUMIF('TL13'!$C$10:$C$224,$C109,'TL13'!$J$10:$J$224),0),
IF('TL13'!$B$229=K$3,SUMIF('TL13'!$C$238:$C$451,$C109,'TL13'!$J$238:$J$451),0),
IF('TL14'!$B$3=K$3,SUMIF('TL14'!$C$10:$C$224,$C109,'TL14'!$J$10:$J$224),0),
IF('TL14'!$B$229=K$3,SUMIF('TL14'!$C$238:$C$451,$C109,'TL14'!$J$238:$J$451),0),
IF('TL15'!$B$3=K$3,SUMIF('TL15'!$C$10:$C$224,$C109,'TL15'!$J$10:$J$224),0),
IF('TL15'!$B$229=K$3,SUMIF('TL15'!$C$238:$C$451,$C109,'TL15'!$J$238:$J$451),0),
IF('TL16'!$B$3=K$3,SUMIF('TL16'!$C$10:$C$224,$C109,'TL16'!$J$10:$J$224),0),
IF('TL16'!$B$229=K$3,SUMIF('TL16'!$C$238:$C$451,$C109,'TL16'!$J$238:$J$451),0),
IF('TL17'!$B$3=K$3,SUMIF('TL17'!$C$10:$C$224,$C109,'TL17'!$J$10:$J$224),0),
IF('TL17'!$B$229=K$3,SUMIF('TL17'!$C$238:$C$451,$C109,'TL17'!$J$238:$J$451),0),
IF('TL18'!$B$3=K$3,SUMIF('TL18'!$C$10:$C$224,$C109,'TL18'!$J$10:$J$224),0),
IF('TL18'!$B$229=K$3,SUMIF('TL18'!$C$238:$C$451,$C109,'TL18'!$J$238:$J$451),0),
IF('TL19'!$B$3=K$3,SUMIF('TL19'!$C$10:$C$224,$C109,'TL19'!$J$10:$J$224),0),
IF('TL19'!$B$229=K$3,SUMIF('TL19'!$C$238:$C$451,$C109,'TL19'!$J$238:$J$451),0)
),0)</f>
        <v>0</v>
      </c>
      <c r="L109" s="9">
        <f>IFERROR(SUM(
IF('TL01'!$B$3=L$3,SUMIF('TL01'!$C$10:$C$224,$C109,'TL01'!$J$10:$J$224),0),
IF('TL01'!$B$229=L$3,SUMIF('TL01'!$C$238:$C$451,$C109,'TL01'!$J$238:$J$451),0),
IF('TL02'!$B$3=L$3,SUMIF('TL02'!$C$10:$C$224,$C109,'TL02'!$J$10:$J$224),0),
IF('TL02'!$B$229=L$3,SUMIF('TL02'!$C$238:$C$451,$C109,'TL02'!$J$238:$J$451),0),
IF('TL03'!$B$3=L$3,SUMIF('TL03'!$C$10:$C$224,$C109,'TL03'!$J$10:$J$224),0),
IF('TL03'!$B$229=L$3,SUMIF('TL03'!$C$238:$C$451,$C109,'TL03'!$J$238:$J$451),0),
IF('TL04'!$B$3=L$3,SUMIF('TL04'!$C$10:$C$224,$C109,'TL04'!$J$10:$J$224),0),
IF('TL04'!$B$229=L$3,SUMIF('TL04'!$C$238:$C$451,$C109,'TL04'!$J$238:$J$451),0),
IF('TL05'!$B$3=L$3,SUMIF('TL05'!$C$10:$C$224,$C109,'TL05'!$J$10:$J$224),0),
IF('TL05'!$B$229=L$3,SUMIF('TL05'!$C$238:$C$451,$C109,'TL05'!$J$238:$J$451),0),
IF('TL06'!$B$3=L$3,SUMIF('TL06'!$C$10:$C$224,$C109,'TL06'!$J$10:$J$224),0),
IF('TL06'!$B$229=L$3,SUMIF('TL06'!$C$238:$C$451,$C109,'TL06'!$J$238:$J$451),0),
IF('TL07'!$B$3=L$3,SUMIF('TL07'!$C$10:$C$224,$C109,'TL07'!$J$10:$J$224),0),
IF('TL07'!$B$229=L$3,SUMIF('TL07'!$C$238:$C$451,$C109,'TL07'!$J$238:$J$451),0),
IF('TL08'!$B$3=L$3,SUMIF('TL08'!$C$10:$C$224,$C109,'TL08'!$J$10:$J$224),0),
IF('TL08'!$B$229=L$3,SUMIF('TL08'!$C$238:$C$451,$C109,'TL08'!$J$238:$J$451),0),
IF('TL09'!$B$3=L$3,SUMIF('TL09'!$C$10:$C$224,$C109,'TL09'!$J$10:$J$224),0),
IF('TL09'!$B$229=L$3,SUMIF('TL09'!$C$238:$C$451,$C109,'TL09'!$J$238:$J$451),0),
IF('TL10'!$B$3=L$3,SUMIF('TL10'!$C$10:$C$224,$C109,'TL10'!$J$10:$J$224),0),
IF('TL10'!$B$229=L$3,SUMIF('TL10'!$C$238:$C$451,$C109,'TL10'!$J$238:$J$451),0),
IF('TL11'!$B$3=L$3,SUMIF('TL11'!$C$10:$C$224,$C109,'TL11'!$J$10:$J$224),0),
IF('TL11'!$B$229=L$3,SUMIF('TL11'!$C$238:$C$451,$C109,'TL11'!$J$238:$J$451),0),
IF('TL12'!$B$3=L$3,SUMIF('TL12'!$C$10:$C$224,$C109,'TL12'!$J$10:$J$224),0),
IF('TL12'!$B$229=L$3,SUMIF('TL12'!$C$238:$C$451,$C109,'TL12'!$J$238:$J$451),0),
IF('TL13'!$B$3=L$3,SUMIF('TL13'!$C$10:$C$224,$C109,'TL13'!$J$10:$J$224),0),
IF('TL13'!$B$229=L$3,SUMIF('TL13'!$C$238:$C$451,$C109,'TL13'!$J$238:$J$451),0),
IF('TL14'!$B$3=L$3,SUMIF('TL14'!$C$10:$C$224,$C109,'TL14'!$J$10:$J$224),0),
IF('TL14'!$B$229=L$3,SUMIF('TL14'!$C$238:$C$451,$C109,'TL14'!$J$238:$J$451),0),
IF('TL15'!$B$3=L$3,SUMIF('TL15'!$C$10:$C$224,$C109,'TL15'!$J$10:$J$224),0),
IF('TL15'!$B$229=L$3,SUMIF('TL15'!$C$238:$C$451,$C109,'TL15'!$J$238:$J$451),0),
IF('TL16'!$B$3=L$3,SUMIF('TL16'!$C$10:$C$224,$C109,'TL16'!$J$10:$J$224),0),
IF('TL16'!$B$229=L$3,SUMIF('TL16'!$C$238:$C$451,$C109,'TL16'!$J$238:$J$451),0),
IF('TL17'!$B$3=L$3,SUMIF('TL17'!$C$10:$C$224,$C109,'TL17'!$J$10:$J$224),0),
IF('TL17'!$B$229=L$3,SUMIF('TL17'!$C$238:$C$451,$C109,'TL17'!$J$238:$J$451),0),
IF('TL18'!$B$3=L$3,SUMIF('TL18'!$C$10:$C$224,$C109,'TL18'!$J$10:$J$224),0),
IF('TL18'!$B$229=L$3,SUMIF('TL18'!$C$238:$C$451,$C109,'TL18'!$J$238:$J$451),0),
IF('TL19'!$B$3=L$3,SUMIF('TL19'!$C$10:$C$224,$C109,'TL19'!$J$10:$J$224),0),
IF('TL19'!$B$229=L$3,SUMIF('TL19'!$C$238:$C$451,$C109,'TL19'!$J$238:$J$451),0)
),0)</f>
        <v>0</v>
      </c>
      <c r="M109" s="9">
        <f>IFERROR(SUM(
IF('TL01'!$B$3=M$3,SUMIF('TL01'!$C$10:$C$224,$C109,'TL01'!$J$10:$J$224),0),
IF('TL01'!$B$229=M$3,SUMIF('TL01'!$C$238:$C$451,$C109,'TL01'!$J$238:$J$451),0),
IF('TL02'!$B$3=M$3,SUMIF('TL02'!$C$10:$C$224,$C109,'TL02'!$J$10:$J$224),0),
IF('TL02'!$B$229=M$3,SUMIF('TL02'!$C$238:$C$451,$C109,'TL02'!$J$238:$J$451),0),
IF('TL03'!$B$3=M$3,SUMIF('TL03'!$C$10:$C$224,$C109,'TL03'!$J$10:$J$224),0),
IF('TL03'!$B$229=M$3,SUMIF('TL03'!$C$238:$C$451,$C109,'TL03'!$J$238:$J$451),0),
IF('TL04'!$B$3=M$3,SUMIF('TL04'!$C$10:$C$224,$C109,'TL04'!$J$10:$J$224),0),
IF('TL04'!$B$229=M$3,SUMIF('TL04'!$C$238:$C$451,$C109,'TL04'!$J$238:$J$451),0),
IF('TL05'!$B$3=M$3,SUMIF('TL05'!$C$10:$C$224,$C109,'TL05'!$J$10:$J$224),0),
IF('TL05'!$B$229=M$3,SUMIF('TL05'!$C$238:$C$451,$C109,'TL05'!$J$238:$J$451),0),
IF('TL06'!$B$3=M$3,SUMIF('TL06'!$C$10:$C$224,$C109,'TL06'!$J$10:$J$224),0),
IF('TL06'!$B$229=M$3,SUMIF('TL06'!$C$238:$C$451,$C109,'TL06'!$J$238:$J$451),0),
IF('TL07'!$B$3=M$3,SUMIF('TL07'!$C$10:$C$224,$C109,'TL07'!$J$10:$J$224),0),
IF('TL07'!$B$229=M$3,SUMIF('TL07'!$C$238:$C$451,$C109,'TL07'!$J$238:$J$451),0),
IF('TL08'!$B$3=M$3,SUMIF('TL08'!$C$10:$C$224,$C109,'TL08'!$J$10:$J$224),0),
IF('TL08'!$B$229=M$3,SUMIF('TL08'!$C$238:$C$451,$C109,'TL08'!$J$238:$J$451),0),
IF('TL09'!$B$3=M$3,SUMIF('TL09'!$C$10:$C$224,$C109,'TL09'!$J$10:$J$224),0),
IF('TL09'!$B$229=M$3,SUMIF('TL09'!$C$238:$C$451,$C109,'TL09'!$J$238:$J$451),0),
IF('TL10'!$B$3=M$3,SUMIF('TL10'!$C$10:$C$224,$C109,'TL10'!$J$10:$J$224),0),
IF('TL10'!$B$229=M$3,SUMIF('TL10'!$C$238:$C$451,$C109,'TL10'!$J$238:$J$451),0),
IF('TL11'!$B$3=M$3,SUMIF('TL11'!$C$10:$C$224,$C109,'TL11'!$J$10:$J$224),0),
IF('TL11'!$B$229=M$3,SUMIF('TL11'!$C$238:$C$451,$C109,'TL11'!$J$238:$J$451),0),
IF('TL12'!$B$3=M$3,SUMIF('TL12'!$C$10:$C$224,$C109,'TL12'!$J$10:$J$224),0),
IF('TL12'!$B$229=M$3,SUMIF('TL12'!$C$238:$C$451,$C109,'TL12'!$J$238:$J$451),0),
IF('TL13'!$B$3=M$3,SUMIF('TL13'!$C$10:$C$224,$C109,'TL13'!$J$10:$J$224),0),
IF('TL13'!$B$229=M$3,SUMIF('TL13'!$C$238:$C$451,$C109,'TL13'!$J$238:$J$451),0),
IF('TL14'!$B$3=M$3,SUMIF('TL14'!$C$10:$C$224,$C109,'TL14'!$J$10:$J$224),0),
IF('TL14'!$B$229=M$3,SUMIF('TL14'!$C$238:$C$451,$C109,'TL14'!$J$238:$J$451),0),
IF('TL15'!$B$3=M$3,SUMIF('TL15'!$C$10:$C$224,$C109,'TL15'!$J$10:$J$224),0),
IF('TL15'!$B$229=M$3,SUMIF('TL15'!$C$238:$C$451,$C109,'TL15'!$J$238:$J$451),0),
IF('TL16'!$B$3=M$3,SUMIF('TL16'!$C$10:$C$224,$C109,'TL16'!$J$10:$J$224),0),
IF('TL16'!$B$229=M$3,SUMIF('TL16'!$C$238:$C$451,$C109,'TL16'!$J$238:$J$451),0),
IF('TL17'!$B$3=M$3,SUMIF('TL17'!$C$10:$C$224,$C109,'TL17'!$J$10:$J$224),0),
IF('TL17'!$B$229=M$3,SUMIF('TL17'!$C$238:$C$451,$C109,'TL17'!$J$238:$J$451),0),
IF('TL18'!$B$3=M$3,SUMIF('TL18'!$C$10:$C$224,$C109,'TL18'!$J$10:$J$224),0),
IF('TL18'!$B$229=M$3,SUMIF('TL18'!$C$238:$C$451,$C109,'TL18'!$J$238:$J$451),0),
IF('TL19'!$B$3=M$3,SUMIF('TL19'!$C$10:$C$224,$C109,'TL19'!$J$10:$J$224),0),
IF('TL19'!$B$229=M$3,SUMIF('TL19'!$C$238:$C$451,$C109,'TL19'!$J$238:$J$451),0)
),0)</f>
        <v>0</v>
      </c>
      <c r="N109" s="9">
        <f>IFERROR(SUM(
IF('TL01'!$B$3=N$3,SUMIF('TL01'!$C$10:$C$224,$C109,'TL01'!$J$10:$J$224),0),
IF('TL01'!$B$229=N$3,SUMIF('TL01'!$C$238:$C$451,$C109,'TL01'!$J$238:$J$451),0),
IF('TL02'!$B$3=N$3,SUMIF('TL02'!$C$10:$C$224,$C109,'TL02'!$J$10:$J$224),0),
IF('TL02'!$B$229=N$3,SUMIF('TL02'!$C$238:$C$451,$C109,'TL02'!$J$238:$J$451),0),
IF('TL03'!$B$3=N$3,SUMIF('TL03'!$C$10:$C$224,$C109,'TL03'!$J$10:$J$224),0),
IF('TL03'!$B$229=N$3,SUMIF('TL03'!$C$238:$C$451,$C109,'TL03'!$J$238:$J$451),0),
IF('TL04'!$B$3=N$3,SUMIF('TL04'!$C$10:$C$224,$C109,'TL04'!$J$10:$J$224),0),
IF('TL04'!$B$229=N$3,SUMIF('TL04'!$C$238:$C$451,$C109,'TL04'!$J$238:$J$451),0),
IF('TL05'!$B$3=N$3,SUMIF('TL05'!$C$10:$C$224,$C109,'TL05'!$J$10:$J$224),0),
IF('TL05'!$B$229=N$3,SUMIF('TL05'!$C$238:$C$451,$C109,'TL05'!$J$238:$J$451),0),
IF('TL06'!$B$3=N$3,SUMIF('TL06'!$C$10:$C$224,$C109,'TL06'!$J$10:$J$224),0),
IF('TL06'!$B$229=N$3,SUMIF('TL06'!$C$238:$C$451,$C109,'TL06'!$J$238:$J$451),0),
IF('TL07'!$B$3=N$3,SUMIF('TL07'!$C$10:$C$224,$C109,'TL07'!$J$10:$J$224),0),
IF('TL07'!$B$229=N$3,SUMIF('TL07'!$C$238:$C$451,$C109,'TL07'!$J$238:$J$451),0),
IF('TL08'!$B$3=N$3,SUMIF('TL08'!$C$10:$C$224,$C109,'TL08'!$J$10:$J$224),0),
IF('TL08'!$B$229=N$3,SUMIF('TL08'!$C$238:$C$451,$C109,'TL08'!$J$238:$J$451),0),
IF('TL09'!$B$3=N$3,SUMIF('TL09'!$C$10:$C$224,$C109,'TL09'!$J$10:$J$224),0),
IF('TL09'!$B$229=N$3,SUMIF('TL09'!$C$238:$C$451,$C109,'TL09'!$J$238:$J$451),0),
IF('TL10'!$B$3=N$3,SUMIF('TL10'!$C$10:$C$224,$C109,'TL10'!$J$10:$J$224),0),
IF('TL10'!$B$229=N$3,SUMIF('TL10'!$C$238:$C$451,$C109,'TL10'!$J$238:$J$451),0),
IF('TL11'!$B$3=N$3,SUMIF('TL11'!$C$10:$C$224,$C109,'TL11'!$J$10:$J$224),0),
IF('TL11'!$B$229=N$3,SUMIF('TL11'!$C$238:$C$451,$C109,'TL11'!$J$238:$J$451),0),
IF('TL12'!$B$3=N$3,SUMIF('TL12'!$C$10:$C$224,$C109,'TL12'!$J$10:$J$224),0),
IF('TL12'!$B$229=N$3,SUMIF('TL12'!$C$238:$C$451,$C109,'TL12'!$J$238:$J$451),0),
IF('TL13'!$B$3=N$3,SUMIF('TL13'!$C$10:$C$224,$C109,'TL13'!$J$10:$J$224),0),
IF('TL13'!$B$229=N$3,SUMIF('TL13'!$C$238:$C$451,$C109,'TL13'!$J$238:$J$451),0),
IF('TL14'!$B$3=N$3,SUMIF('TL14'!$C$10:$C$224,$C109,'TL14'!$J$10:$J$224),0),
IF('TL14'!$B$229=N$3,SUMIF('TL14'!$C$238:$C$451,$C109,'TL14'!$J$238:$J$451),0),
IF('TL15'!$B$3=N$3,SUMIF('TL15'!$C$10:$C$224,$C109,'TL15'!$J$10:$J$224),0),
IF('TL15'!$B$229=N$3,SUMIF('TL15'!$C$238:$C$451,$C109,'TL15'!$J$238:$J$451),0),
IF('TL16'!$B$3=N$3,SUMIF('TL16'!$C$10:$C$224,$C109,'TL16'!$J$10:$J$224),0),
IF('TL16'!$B$229=N$3,SUMIF('TL16'!$C$238:$C$451,$C109,'TL16'!$J$238:$J$451),0),
IF('TL17'!$B$3=N$3,SUMIF('TL17'!$C$10:$C$224,$C109,'TL17'!$J$10:$J$224),0),
IF('TL17'!$B$229=N$3,SUMIF('TL17'!$C$238:$C$451,$C109,'TL17'!$J$238:$J$451),0),
IF('TL18'!$B$3=N$3,SUMIF('TL18'!$C$10:$C$224,$C109,'TL18'!$J$10:$J$224),0),
IF('TL18'!$B$229=N$3,SUMIF('TL18'!$C$238:$C$451,$C109,'TL18'!$J$238:$J$451),0),
IF('TL19'!$B$3=N$3,SUMIF('TL19'!$C$10:$C$224,$C109,'TL19'!$J$10:$J$224),0),
IF('TL19'!$B$229=N$3,SUMIF('TL19'!$C$238:$C$451,$C109,'TL19'!$J$238:$J$451),0)
),0)</f>
        <v>0</v>
      </c>
      <c r="O109" s="9">
        <f>IFERROR(SUM(
IF('TL01'!$B$3=O$3,SUMIF('TL01'!$C$10:$C$224,$C109,'TL01'!$J$10:$J$224),0),
IF('TL01'!$B$229=O$3,SUMIF('TL01'!$C$238:$C$451,$C109,'TL01'!$J$238:$J$451),0),
IF('TL02'!$B$3=O$3,SUMIF('TL02'!$C$10:$C$224,$C109,'TL02'!$J$10:$J$224),0),
IF('TL02'!$B$229=O$3,SUMIF('TL02'!$C$238:$C$451,$C109,'TL02'!$J$238:$J$451),0),
IF('TL03'!$B$3=O$3,SUMIF('TL03'!$C$10:$C$224,$C109,'TL03'!$J$10:$J$224),0),
IF('TL03'!$B$229=O$3,SUMIF('TL03'!$C$238:$C$451,$C109,'TL03'!$J$238:$J$451),0),
IF('TL04'!$B$3=O$3,SUMIF('TL04'!$C$10:$C$224,$C109,'TL04'!$J$10:$J$224),0),
IF('TL04'!$B$229=O$3,SUMIF('TL04'!$C$238:$C$451,$C109,'TL04'!$J$238:$J$451),0),
IF('TL05'!$B$3=O$3,SUMIF('TL05'!$C$10:$C$224,$C109,'TL05'!$J$10:$J$224),0),
IF('TL05'!$B$229=O$3,SUMIF('TL05'!$C$238:$C$451,$C109,'TL05'!$J$238:$J$451),0),
IF('TL06'!$B$3=O$3,SUMIF('TL06'!$C$10:$C$224,$C109,'TL06'!$J$10:$J$224),0),
IF('TL06'!$B$229=O$3,SUMIF('TL06'!$C$238:$C$451,$C109,'TL06'!$J$238:$J$451),0),
IF('TL07'!$B$3=O$3,SUMIF('TL07'!$C$10:$C$224,$C109,'TL07'!$J$10:$J$224),0),
IF('TL07'!$B$229=O$3,SUMIF('TL07'!$C$238:$C$451,$C109,'TL07'!$J$238:$J$451),0),
IF('TL08'!$B$3=O$3,SUMIF('TL08'!$C$10:$C$224,$C109,'TL08'!$J$10:$J$224),0),
IF('TL08'!$B$229=O$3,SUMIF('TL08'!$C$238:$C$451,$C109,'TL08'!$J$238:$J$451),0),
IF('TL09'!$B$3=O$3,SUMIF('TL09'!$C$10:$C$224,$C109,'TL09'!$J$10:$J$224),0),
IF('TL09'!$B$229=O$3,SUMIF('TL09'!$C$238:$C$451,$C109,'TL09'!$J$238:$J$451),0),
IF('TL10'!$B$3=O$3,SUMIF('TL10'!$C$10:$C$224,$C109,'TL10'!$J$10:$J$224),0),
IF('TL10'!$B$229=O$3,SUMIF('TL10'!$C$238:$C$451,$C109,'TL10'!$J$238:$J$451),0),
IF('TL11'!$B$3=O$3,SUMIF('TL11'!$C$10:$C$224,$C109,'TL11'!$J$10:$J$224),0),
IF('TL11'!$B$229=O$3,SUMIF('TL11'!$C$238:$C$451,$C109,'TL11'!$J$238:$J$451),0),
IF('TL12'!$B$3=O$3,SUMIF('TL12'!$C$10:$C$224,$C109,'TL12'!$J$10:$J$224),0),
IF('TL12'!$B$229=O$3,SUMIF('TL12'!$C$238:$C$451,$C109,'TL12'!$J$238:$J$451),0),
IF('TL13'!$B$3=O$3,SUMIF('TL13'!$C$10:$C$224,$C109,'TL13'!$J$10:$J$224),0),
IF('TL13'!$B$229=O$3,SUMIF('TL13'!$C$238:$C$451,$C109,'TL13'!$J$238:$J$451),0),
IF('TL14'!$B$3=O$3,SUMIF('TL14'!$C$10:$C$224,$C109,'TL14'!$J$10:$J$224),0),
IF('TL14'!$B$229=O$3,SUMIF('TL14'!$C$238:$C$451,$C109,'TL14'!$J$238:$J$451),0),
IF('TL15'!$B$3=O$3,SUMIF('TL15'!$C$10:$C$224,$C109,'TL15'!$J$10:$J$224),0),
IF('TL15'!$B$229=O$3,SUMIF('TL15'!$C$238:$C$451,$C109,'TL15'!$J$238:$J$451),0),
IF('TL16'!$B$3=O$3,SUMIF('TL16'!$C$10:$C$224,$C109,'TL16'!$J$10:$J$224),0),
IF('TL16'!$B$229=O$3,SUMIF('TL16'!$C$238:$C$451,$C109,'TL16'!$J$238:$J$451),0),
IF('TL17'!$B$3=O$3,SUMIF('TL17'!$C$10:$C$224,$C109,'TL17'!$J$10:$J$224),0),
IF('TL17'!$B$229=O$3,SUMIF('TL17'!$C$238:$C$451,$C109,'TL17'!$J$238:$J$451),0),
IF('TL18'!$B$3=O$3,SUMIF('TL18'!$C$10:$C$224,$C109,'TL18'!$J$10:$J$224),0),
IF('TL18'!$B$229=O$3,SUMIF('TL18'!$C$238:$C$451,$C109,'TL18'!$J$238:$J$451),0),
IF('TL19'!$B$3=O$3,SUMIF('TL19'!$C$10:$C$224,$C109,'TL19'!$J$10:$J$224),0),
IF('TL19'!$B$229=O$3,SUMIF('TL19'!$C$238:$C$451,$C109,'TL19'!$J$238:$J$451),0)
),0)</f>
        <v>0</v>
      </c>
      <c r="P109" s="9">
        <f>IFERROR(SUM(
IF('TL01'!$B$3=P$3,SUMIF('TL01'!$C$10:$C$224,$C109,'TL01'!$J$10:$J$224),0),
IF('TL01'!$B$229=P$3,SUMIF('TL01'!$C$238:$C$451,$C109,'TL01'!$J$238:$J$451),0),
IF('TL02'!$B$3=P$3,SUMIF('TL02'!$C$10:$C$224,$C109,'TL02'!$J$10:$J$224),0),
IF('TL02'!$B$229=P$3,SUMIF('TL02'!$C$238:$C$451,$C109,'TL02'!$J$238:$J$451),0),
IF('TL03'!$B$3=P$3,SUMIF('TL03'!$C$10:$C$224,$C109,'TL03'!$J$10:$J$224),0),
IF('TL03'!$B$229=P$3,SUMIF('TL03'!$C$238:$C$451,$C109,'TL03'!$J$238:$J$451),0),
IF('TL04'!$B$3=P$3,SUMIF('TL04'!$C$10:$C$224,$C109,'TL04'!$J$10:$J$224),0),
IF('TL04'!$B$229=P$3,SUMIF('TL04'!$C$238:$C$451,$C109,'TL04'!$J$238:$J$451),0),
IF('TL05'!$B$3=P$3,SUMIF('TL05'!$C$10:$C$224,$C109,'TL05'!$J$10:$J$224),0),
IF('TL05'!$B$229=P$3,SUMIF('TL05'!$C$238:$C$451,$C109,'TL05'!$J$238:$J$451),0),
IF('TL06'!$B$3=P$3,SUMIF('TL06'!$C$10:$C$224,$C109,'TL06'!$J$10:$J$224),0),
IF('TL06'!$B$229=P$3,SUMIF('TL06'!$C$238:$C$451,$C109,'TL06'!$J$238:$J$451),0),
IF('TL07'!$B$3=P$3,SUMIF('TL07'!$C$10:$C$224,$C109,'TL07'!$J$10:$J$224),0),
IF('TL07'!$B$229=P$3,SUMIF('TL07'!$C$238:$C$451,$C109,'TL07'!$J$238:$J$451),0),
IF('TL08'!$B$3=P$3,SUMIF('TL08'!$C$10:$C$224,$C109,'TL08'!$J$10:$J$224),0),
IF('TL08'!$B$229=P$3,SUMIF('TL08'!$C$238:$C$451,$C109,'TL08'!$J$238:$J$451),0),
IF('TL09'!$B$3=P$3,SUMIF('TL09'!$C$10:$C$224,$C109,'TL09'!$J$10:$J$224),0),
IF('TL09'!$B$229=P$3,SUMIF('TL09'!$C$238:$C$451,$C109,'TL09'!$J$238:$J$451),0),
IF('TL10'!$B$3=P$3,SUMIF('TL10'!$C$10:$C$224,$C109,'TL10'!$J$10:$J$224),0),
IF('TL10'!$B$229=P$3,SUMIF('TL10'!$C$238:$C$451,$C109,'TL10'!$J$238:$J$451),0),
IF('TL11'!$B$3=P$3,SUMIF('TL11'!$C$10:$C$224,$C109,'TL11'!$J$10:$J$224),0),
IF('TL11'!$B$229=P$3,SUMIF('TL11'!$C$238:$C$451,$C109,'TL11'!$J$238:$J$451),0),
IF('TL12'!$B$3=P$3,SUMIF('TL12'!$C$10:$C$224,$C109,'TL12'!$J$10:$J$224),0),
IF('TL12'!$B$229=P$3,SUMIF('TL12'!$C$238:$C$451,$C109,'TL12'!$J$238:$J$451),0),
IF('TL13'!$B$3=P$3,SUMIF('TL13'!$C$10:$C$224,$C109,'TL13'!$J$10:$J$224),0),
IF('TL13'!$B$229=P$3,SUMIF('TL13'!$C$238:$C$451,$C109,'TL13'!$J$238:$J$451),0),
IF('TL14'!$B$3=P$3,SUMIF('TL14'!$C$10:$C$224,$C109,'TL14'!$J$10:$J$224),0),
IF('TL14'!$B$229=P$3,SUMIF('TL14'!$C$238:$C$451,$C109,'TL14'!$J$238:$J$451),0),
IF('TL15'!$B$3=P$3,SUMIF('TL15'!$C$10:$C$224,$C109,'TL15'!$J$10:$J$224),0),
IF('TL15'!$B$229=P$3,SUMIF('TL15'!$C$238:$C$451,$C109,'TL15'!$J$238:$J$451),0),
IF('TL16'!$B$3=P$3,SUMIF('TL16'!$C$10:$C$224,$C109,'TL16'!$J$10:$J$224),0),
IF('TL16'!$B$229=P$3,SUMIF('TL16'!$C$238:$C$451,$C109,'TL16'!$J$238:$J$451),0),
IF('TL17'!$B$3=P$3,SUMIF('TL17'!$C$10:$C$224,$C109,'TL17'!$J$10:$J$224),0),
IF('TL17'!$B$229=P$3,SUMIF('TL17'!$C$238:$C$451,$C109,'TL17'!$J$238:$J$451),0),
IF('TL18'!$B$3=P$3,SUMIF('TL18'!$C$10:$C$224,$C109,'TL18'!$J$10:$J$224),0),
IF('TL18'!$B$229=P$3,SUMIF('TL18'!$C$238:$C$451,$C109,'TL18'!$J$238:$J$451),0),
IF('TL19'!$B$3=P$3,SUMIF('TL19'!$C$10:$C$224,$C109,'TL19'!$J$10:$J$224),0),
IF('TL19'!$B$229=P$3,SUMIF('TL19'!$C$238:$C$451,$C109,'TL19'!$J$238:$J$451),0)
),0)</f>
        <v>0</v>
      </c>
      <c r="Q109" s="9">
        <f>IFERROR(SUM(
IF('TL01'!$B$3=Q$3,SUMIF('TL01'!$C$10:$C$224,$C109,'TL01'!$J$10:$J$224),0),
IF('TL01'!$B$229=Q$3,SUMIF('TL01'!$C$238:$C$451,$C109,'TL01'!$J$238:$J$451),0),
IF('TL02'!$B$3=Q$3,SUMIF('TL02'!$C$10:$C$224,$C109,'TL02'!$J$10:$J$224),0),
IF('TL02'!$B$229=Q$3,SUMIF('TL02'!$C$238:$C$451,$C109,'TL02'!$J$238:$J$451),0),
IF('TL03'!$B$3=Q$3,SUMIF('TL03'!$C$10:$C$224,$C109,'TL03'!$J$10:$J$224),0),
IF('TL03'!$B$229=Q$3,SUMIF('TL03'!$C$238:$C$451,$C109,'TL03'!$J$238:$J$451),0),
IF('TL04'!$B$3=Q$3,SUMIF('TL04'!$C$10:$C$224,$C109,'TL04'!$J$10:$J$224),0),
IF('TL04'!$B$229=Q$3,SUMIF('TL04'!$C$238:$C$451,$C109,'TL04'!$J$238:$J$451),0),
IF('TL05'!$B$3=Q$3,SUMIF('TL05'!$C$10:$C$224,$C109,'TL05'!$J$10:$J$224),0),
IF('TL05'!$B$229=Q$3,SUMIF('TL05'!$C$238:$C$451,$C109,'TL05'!$J$238:$J$451),0),
IF('TL06'!$B$3=Q$3,SUMIF('TL06'!$C$10:$C$224,$C109,'TL06'!$J$10:$J$224),0),
IF('TL06'!$B$229=Q$3,SUMIF('TL06'!$C$238:$C$451,$C109,'TL06'!$J$238:$J$451),0),
IF('TL07'!$B$3=Q$3,SUMIF('TL07'!$C$10:$C$224,$C109,'TL07'!$J$10:$J$224),0),
IF('TL07'!$B$229=Q$3,SUMIF('TL07'!$C$238:$C$451,$C109,'TL07'!$J$238:$J$451),0),
IF('TL08'!$B$3=Q$3,SUMIF('TL08'!$C$10:$C$224,$C109,'TL08'!$J$10:$J$224),0),
IF('TL08'!$B$229=Q$3,SUMIF('TL08'!$C$238:$C$451,$C109,'TL08'!$J$238:$J$451),0),
IF('TL09'!$B$3=Q$3,SUMIF('TL09'!$C$10:$C$224,$C109,'TL09'!$J$10:$J$224),0),
IF('TL09'!$B$229=Q$3,SUMIF('TL09'!$C$238:$C$451,$C109,'TL09'!$J$238:$J$451),0),
IF('TL10'!$B$3=Q$3,SUMIF('TL10'!$C$10:$C$224,$C109,'TL10'!$J$10:$J$224),0),
IF('TL10'!$B$229=Q$3,SUMIF('TL10'!$C$238:$C$451,$C109,'TL10'!$J$238:$J$451),0),
IF('TL11'!$B$3=Q$3,SUMIF('TL11'!$C$10:$C$224,$C109,'TL11'!$J$10:$J$224),0),
IF('TL11'!$B$229=Q$3,SUMIF('TL11'!$C$238:$C$451,$C109,'TL11'!$J$238:$J$451),0),
IF('TL12'!$B$3=Q$3,SUMIF('TL12'!$C$10:$C$224,$C109,'TL12'!$J$10:$J$224),0),
IF('TL12'!$B$229=Q$3,SUMIF('TL12'!$C$238:$C$451,$C109,'TL12'!$J$238:$J$451),0),
IF('TL13'!$B$3=Q$3,SUMIF('TL13'!$C$10:$C$224,$C109,'TL13'!$J$10:$J$224),0),
IF('TL13'!$B$229=Q$3,SUMIF('TL13'!$C$238:$C$451,$C109,'TL13'!$J$238:$J$451),0),
IF('TL14'!$B$3=Q$3,SUMIF('TL14'!$C$10:$C$224,$C109,'TL14'!$J$10:$J$224),0),
IF('TL14'!$B$229=Q$3,SUMIF('TL14'!$C$238:$C$451,$C109,'TL14'!$J$238:$J$451),0),
IF('TL15'!$B$3=Q$3,SUMIF('TL15'!$C$10:$C$224,$C109,'TL15'!$J$10:$J$224),0),
IF('TL15'!$B$229=Q$3,SUMIF('TL15'!$C$238:$C$451,$C109,'TL15'!$J$238:$J$451),0),
IF('TL16'!$B$3=Q$3,SUMIF('TL16'!$C$10:$C$224,$C109,'TL16'!$J$10:$J$224),0),
IF('TL16'!$B$229=Q$3,SUMIF('TL16'!$C$238:$C$451,$C109,'TL16'!$J$238:$J$451),0),
IF('TL17'!$B$3=Q$3,SUMIF('TL17'!$C$10:$C$224,$C109,'TL17'!$J$10:$J$224),0),
IF('TL17'!$B$229=Q$3,SUMIF('TL17'!$C$238:$C$451,$C109,'TL17'!$J$238:$J$451),0),
IF('TL18'!$B$3=Q$3,SUMIF('TL18'!$C$10:$C$224,$C109,'TL18'!$J$10:$J$224),0),
IF('TL18'!$B$229=Q$3,SUMIF('TL18'!$C$238:$C$451,$C109,'TL18'!$J$238:$J$451),0),
IF('TL19'!$B$3=Q$3,SUMIF('TL19'!$C$10:$C$224,$C109,'TL19'!$J$10:$J$224),0),
IF('TL19'!$B$229=Q$3,SUMIF('TL19'!$C$238:$C$451,$C109,'TL19'!$J$238:$J$451),0)
),0)</f>
        <v>0</v>
      </c>
      <c r="R109" s="9">
        <f>IFERROR(
SUM(
SUMIF('TL01'!C:C,C109,'TL01'!J:J),
SUMIF('TL02'!C:C,C109,'TL02'!J:J),
SUMIF('TL03'!C:C,C109,'TL03'!J:J),
SUMIF('TL04'!C:C,C109,'TL04'!J:J),
SUMIF('TL05'!C:C,C109,'TL05'!J:J),
SUMIF('TL06'!C:C,C109,'TL06'!J:J),
SUMIF('TL07'!C:C,C109,'TL07'!J:J),
SUMIF('TL08'!C:C,C109,'TL08'!J:J),
SUMIF('TL09'!C:C,C109,'TL09'!J:J),
SUMIF('TL10'!C:C,C109,'TL10'!J:J),
SUMIF('TL11'!C:C,C109,'TL11'!J:J),
SUMIF('TL12'!C:C,C109,'TL12'!J:J),
SUMIF('TL13'!C:C,C109,'TL13'!J:J),
SUMIF('TL14'!C:C,C109,'TL14'!J:J),
SUMIF('TL15'!C:C,C109,'TL15'!J:J),
SUMIF('TL16'!C:C,C109,'TL16'!J:J),
SUMIF('TL17'!C:C,C109,'TL17'!J:J),
SUMIF('TL18'!C:C,C109,'TL18'!J:J),SUMIF('TL19'!C:C,C109,'TL19'!J:J))
,0)</f>
        <v>0</v>
      </c>
      <c r="S109" s="17">
        <f>IFERROR(__xludf.DUMMYFUNCTION("IFERROR(VLOOKUP(C109,
IMPORTRANGE(""1wULbzX32WdYsx-lj2U3uUNBBe2INVIRDtcK0d-Dvl90"",
""26-27!C:G""),
5,
FALSE),
"""")"),47.783519999999996)</f>
        <v>47.78352</v>
      </c>
      <c r="T109" s="9"/>
      <c r="U109" s="92">
        <f t="shared" si="2"/>
        <v>0</v>
      </c>
      <c r="V109" s="93">
        <f t="shared" si="3"/>
        <v>0</v>
      </c>
    </row>
    <row r="110" ht="15.75" hidden="1" customHeight="1">
      <c r="A110" s="115" t="s">
        <v>340</v>
      </c>
      <c r="B110" s="100" t="s">
        <v>1</v>
      </c>
      <c r="C110" s="116" t="s">
        <v>616</v>
      </c>
      <c r="D110" s="116" t="s">
        <v>617</v>
      </c>
      <c r="E110" s="116">
        <v>240.0</v>
      </c>
      <c r="F110" s="4" t="s">
        <v>343</v>
      </c>
      <c r="G110" s="90" t="str">
        <f t="shared" si="4"/>
        <v>📄 Ver bula</v>
      </c>
      <c r="H110" s="9">
        <f>IFERROR(__xludf.DUMMYFUNCTION("IFERROR(VLOOKUP(C110,
IMPORTRANGE(""1wULbzX32WdYsx-lj2U3uUNBBe2INVIRDtcK0d-Dvl90"",
""26-27!C:K""),
8,
FALSE),
"""")"),0.4)</f>
        <v>0.4</v>
      </c>
      <c r="I110" s="117" t="s">
        <v>344</v>
      </c>
      <c r="J110" s="9">
        <f>IFERROR(SUM(
IF('TL01'!$B$3=J$3,SUMIF('TL01'!$C$10:$C$224,$C110,'TL01'!$J$10:$J$224),0),
IF('TL01'!$B$229=J$3,SUMIF('TL01'!$C$238:$C$451,$C110,'TL01'!$J$238:$J$451),0),
IF('TL02'!$B$3=J$3,SUMIF('TL02'!$C$10:$C$224,$C110,'TL02'!$J$10:$J$224),0),
IF('TL02'!$B$229=J$3,SUMIF('TL02'!$C$238:$C$451,$C110,'TL02'!$J$238:$J$451),0),
IF('TL03'!$B$3=J$3,SUMIF('TL03'!$C$10:$C$224,$C110,'TL03'!$J$10:$J$224),0),
IF('TL03'!$B$229=J$3,SUMIF('TL03'!$C$238:$C$451,$C110,'TL03'!$J$238:$J$451),0),
IF('TL04'!$B$3=J$3,SUMIF('TL04'!$C$10:$C$224,$C110,'TL04'!$J$10:$J$224),0),
IF('TL04'!$B$229=J$3,SUMIF('TL04'!$C$238:$C$451,$C110,'TL04'!$J$238:$J$451),0),
IF('TL05'!$B$3=J$3,SUMIF('TL05'!$C$10:$C$224,$C110,'TL05'!$J$10:$J$224),0),
IF('TL05'!$B$229=J$3,SUMIF('TL05'!$C$238:$C$451,$C110,'TL05'!$J$238:$J$451),0),
IF('TL06'!$B$3=J$3,SUMIF('TL06'!$C$10:$C$224,$C110,'TL06'!$J$10:$J$224),0),
IF('TL06'!$B$229=J$3,SUMIF('TL06'!$C$238:$C$451,$C110,'TL06'!$J$238:$J$451),0),
IF('TL07'!$B$3=J$3,SUMIF('TL07'!$C$10:$C$224,$C110,'TL07'!$J$10:$J$224),0),
IF('TL07'!$B$229=J$3,SUMIF('TL07'!$C$238:$C$451,$C110,'TL07'!$J$238:$J$451),0),
IF('TL08'!$B$3=J$3,SUMIF('TL08'!$C$10:$C$224,$C110,'TL08'!$J$10:$J$224),0),
IF('TL08'!$B$229=J$3,SUMIF('TL08'!$C$238:$C$451,$C110,'TL08'!$J$238:$J$451),0),
IF('TL09'!$B$3=J$3,SUMIF('TL09'!$C$10:$C$224,$C110,'TL09'!$J$10:$J$224),0),
IF('TL09'!$B$229=J$3,SUMIF('TL09'!$C$238:$C$451,$C110,'TL09'!$J$238:$J$451),0),
IF('TL10'!$B$3=J$3,SUMIF('TL10'!$C$10:$C$224,$C110,'TL10'!$J$10:$J$224),0),
IF('TL10'!$B$229=J$3,SUMIF('TL10'!$C$238:$C$451,$C110,'TL10'!$J$238:$J$451),0),
IF('TL11'!$B$3=J$3,SUMIF('TL11'!$C$10:$C$224,$C110,'TL11'!$J$10:$J$224),0),
IF('TL11'!$B$229=J$3,SUMIF('TL11'!$C$238:$C$451,$C110,'TL11'!$J$238:$J$451),0),
IF('TL12'!$B$3=J$3,SUMIF('TL12'!$C$10:$C$224,$C110,'TL12'!$J$10:$J$224),0),
IF('TL12'!$B$229=J$3,SUMIF('TL12'!$C$238:$C$451,$C110,'TL12'!$J$238:$J$451),0),
IF('TL13'!$B$3=J$3,SUMIF('TL13'!$C$10:$C$224,$C110,'TL13'!$J$10:$J$224),0),
IF('TL13'!$B$229=J$3,SUMIF('TL13'!$C$238:$C$451,$C110,'TL13'!$J$238:$J$451),0),
IF('TL14'!$B$3=J$3,SUMIF('TL14'!$C$10:$C$224,$C110,'TL14'!$J$10:$J$224),0),
IF('TL14'!$B$229=J$3,SUMIF('TL14'!$C$238:$C$451,$C110,'TL14'!$J$238:$J$451),0),
IF('TL15'!$B$3=J$3,SUMIF('TL15'!$C$10:$C$224,$C110,'TL15'!$J$10:$J$224),0),
IF('TL15'!$B$229=J$3,SUMIF('TL15'!$C$238:$C$451,$C110,'TL15'!$J$238:$J$451),0),
IF('TL16'!$B$3=J$3,SUMIF('TL16'!$C$10:$C$224,$C110,'TL16'!$J$10:$J$224),0),
IF('TL16'!$B$229=J$3,SUMIF('TL16'!$C$238:$C$451,$C110,'TL16'!$J$238:$J$451),0),
IF('TL17'!$B$3=J$3,SUMIF('TL17'!$C$10:$C$224,$C110,'TL17'!$J$10:$J$224),0),
IF('TL17'!$B$229=J$3,SUMIF('TL17'!$C$238:$C$451,$C110,'TL17'!$J$238:$J$451),0),
IF('TL18'!$B$3=J$3,SUMIF('TL18'!$C$10:$C$224,$C110,'TL18'!$J$10:$J$224),0),
IF('TL18'!$B$229=J$3,SUMIF('TL18'!$C$238:$C$451,$C110,'TL18'!$J$238:$J$451),0),
IF('TL19'!$B$3=J$3,SUMIF('TL19'!$C$10:$C$224,$C110,'TL19'!$J$10:$J$224),0),
IF('TL19'!$B$229=J$3,SUMIF('TL19'!$C$238:$C$451,$C110,'TL19'!$J$238:$J$451),0)
),0)</f>
        <v>0</v>
      </c>
      <c r="K110" s="9">
        <f>IFERROR(SUM(
IF('TL01'!$B$3=K$3,SUMIF('TL01'!$C$10:$C$224,$C110,'TL01'!$J$10:$J$224),0),
IF('TL01'!$B$229=K$3,SUMIF('TL01'!$C$238:$C$451,$C110,'TL01'!$J$238:$J$451),0),
IF('TL02'!$B$3=K$3,SUMIF('TL02'!$C$10:$C$224,$C110,'TL02'!$J$10:$J$224),0),
IF('TL02'!$B$229=K$3,SUMIF('TL02'!$C$238:$C$451,$C110,'TL02'!$J$238:$J$451),0),
IF('TL03'!$B$3=K$3,SUMIF('TL03'!$C$10:$C$224,$C110,'TL03'!$J$10:$J$224),0),
IF('TL03'!$B$229=K$3,SUMIF('TL03'!$C$238:$C$451,$C110,'TL03'!$J$238:$J$451),0),
IF('TL04'!$B$3=K$3,SUMIF('TL04'!$C$10:$C$224,$C110,'TL04'!$J$10:$J$224),0),
IF('TL04'!$B$229=K$3,SUMIF('TL04'!$C$238:$C$451,$C110,'TL04'!$J$238:$J$451),0),
IF('TL05'!$B$3=K$3,SUMIF('TL05'!$C$10:$C$224,$C110,'TL05'!$J$10:$J$224),0),
IF('TL05'!$B$229=K$3,SUMIF('TL05'!$C$238:$C$451,$C110,'TL05'!$J$238:$J$451),0),
IF('TL06'!$B$3=K$3,SUMIF('TL06'!$C$10:$C$224,$C110,'TL06'!$J$10:$J$224),0),
IF('TL06'!$B$229=K$3,SUMIF('TL06'!$C$238:$C$451,$C110,'TL06'!$J$238:$J$451),0),
IF('TL07'!$B$3=K$3,SUMIF('TL07'!$C$10:$C$224,$C110,'TL07'!$J$10:$J$224),0),
IF('TL07'!$B$229=K$3,SUMIF('TL07'!$C$238:$C$451,$C110,'TL07'!$J$238:$J$451),0),
IF('TL08'!$B$3=K$3,SUMIF('TL08'!$C$10:$C$224,$C110,'TL08'!$J$10:$J$224),0),
IF('TL08'!$B$229=K$3,SUMIF('TL08'!$C$238:$C$451,$C110,'TL08'!$J$238:$J$451),0),
IF('TL09'!$B$3=K$3,SUMIF('TL09'!$C$10:$C$224,$C110,'TL09'!$J$10:$J$224),0),
IF('TL09'!$B$229=K$3,SUMIF('TL09'!$C$238:$C$451,$C110,'TL09'!$J$238:$J$451),0),
IF('TL10'!$B$3=K$3,SUMIF('TL10'!$C$10:$C$224,$C110,'TL10'!$J$10:$J$224),0),
IF('TL10'!$B$229=K$3,SUMIF('TL10'!$C$238:$C$451,$C110,'TL10'!$J$238:$J$451),0),
IF('TL11'!$B$3=K$3,SUMIF('TL11'!$C$10:$C$224,$C110,'TL11'!$J$10:$J$224),0),
IF('TL11'!$B$229=K$3,SUMIF('TL11'!$C$238:$C$451,$C110,'TL11'!$J$238:$J$451),0),
IF('TL12'!$B$3=K$3,SUMIF('TL12'!$C$10:$C$224,$C110,'TL12'!$J$10:$J$224),0),
IF('TL12'!$B$229=K$3,SUMIF('TL12'!$C$238:$C$451,$C110,'TL12'!$J$238:$J$451),0),
IF('TL13'!$B$3=K$3,SUMIF('TL13'!$C$10:$C$224,$C110,'TL13'!$J$10:$J$224),0),
IF('TL13'!$B$229=K$3,SUMIF('TL13'!$C$238:$C$451,$C110,'TL13'!$J$238:$J$451),0),
IF('TL14'!$B$3=K$3,SUMIF('TL14'!$C$10:$C$224,$C110,'TL14'!$J$10:$J$224),0),
IF('TL14'!$B$229=K$3,SUMIF('TL14'!$C$238:$C$451,$C110,'TL14'!$J$238:$J$451),0),
IF('TL15'!$B$3=K$3,SUMIF('TL15'!$C$10:$C$224,$C110,'TL15'!$J$10:$J$224),0),
IF('TL15'!$B$229=K$3,SUMIF('TL15'!$C$238:$C$451,$C110,'TL15'!$J$238:$J$451),0),
IF('TL16'!$B$3=K$3,SUMIF('TL16'!$C$10:$C$224,$C110,'TL16'!$J$10:$J$224),0),
IF('TL16'!$B$229=K$3,SUMIF('TL16'!$C$238:$C$451,$C110,'TL16'!$J$238:$J$451),0),
IF('TL17'!$B$3=K$3,SUMIF('TL17'!$C$10:$C$224,$C110,'TL17'!$J$10:$J$224),0),
IF('TL17'!$B$229=K$3,SUMIF('TL17'!$C$238:$C$451,$C110,'TL17'!$J$238:$J$451),0),
IF('TL18'!$B$3=K$3,SUMIF('TL18'!$C$10:$C$224,$C110,'TL18'!$J$10:$J$224),0),
IF('TL18'!$B$229=K$3,SUMIF('TL18'!$C$238:$C$451,$C110,'TL18'!$J$238:$J$451),0),
IF('TL19'!$B$3=K$3,SUMIF('TL19'!$C$10:$C$224,$C110,'TL19'!$J$10:$J$224),0),
IF('TL19'!$B$229=K$3,SUMIF('TL19'!$C$238:$C$451,$C110,'TL19'!$J$238:$J$451),0)
),0)</f>
        <v>96</v>
      </c>
      <c r="L110" s="9">
        <f>IFERROR(SUM(
IF('TL01'!$B$3=L$3,SUMIF('TL01'!$C$10:$C$224,$C110,'TL01'!$J$10:$J$224),0),
IF('TL01'!$B$229=L$3,SUMIF('TL01'!$C$238:$C$451,$C110,'TL01'!$J$238:$J$451),0),
IF('TL02'!$B$3=L$3,SUMIF('TL02'!$C$10:$C$224,$C110,'TL02'!$J$10:$J$224),0),
IF('TL02'!$B$229=L$3,SUMIF('TL02'!$C$238:$C$451,$C110,'TL02'!$J$238:$J$451),0),
IF('TL03'!$B$3=L$3,SUMIF('TL03'!$C$10:$C$224,$C110,'TL03'!$J$10:$J$224),0),
IF('TL03'!$B$229=L$3,SUMIF('TL03'!$C$238:$C$451,$C110,'TL03'!$J$238:$J$451),0),
IF('TL04'!$B$3=L$3,SUMIF('TL04'!$C$10:$C$224,$C110,'TL04'!$J$10:$J$224),0),
IF('TL04'!$B$229=L$3,SUMIF('TL04'!$C$238:$C$451,$C110,'TL04'!$J$238:$J$451),0),
IF('TL05'!$B$3=L$3,SUMIF('TL05'!$C$10:$C$224,$C110,'TL05'!$J$10:$J$224),0),
IF('TL05'!$B$229=L$3,SUMIF('TL05'!$C$238:$C$451,$C110,'TL05'!$J$238:$J$451),0),
IF('TL06'!$B$3=L$3,SUMIF('TL06'!$C$10:$C$224,$C110,'TL06'!$J$10:$J$224),0),
IF('TL06'!$B$229=L$3,SUMIF('TL06'!$C$238:$C$451,$C110,'TL06'!$J$238:$J$451),0),
IF('TL07'!$B$3=L$3,SUMIF('TL07'!$C$10:$C$224,$C110,'TL07'!$J$10:$J$224),0),
IF('TL07'!$B$229=L$3,SUMIF('TL07'!$C$238:$C$451,$C110,'TL07'!$J$238:$J$451),0),
IF('TL08'!$B$3=L$3,SUMIF('TL08'!$C$10:$C$224,$C110,'TL08'!$J$10:$J$224),0),
IF('TL08'!$B$229=L$3,SUMIF('TL08'!$C$238:$C$451,$C110,'TL08'!$J$238:$J$451),0),
IF('TL09'!$B$3=L$3,SUMIF('TL09'!$C$10:$C$224,$C110,'TL09'!$J$10:$J$224),0),
IF('TL09'!$B$229=L$3,SUMIF('TL09'!$C$238:$C$451,$C110,'TL09'!$J$238:$J$451),0),
IF('TL10'!$B$3=L$3,SUMIF('TL10'!$C$10:$C$224,$C110,'TL10'!$J$10:$J$224),0),
IF('TL10'!$B$229=L$3,SUMIF('TL10'!$C$238:$C$451,$C110,'TL10'!$J$238:$J$451),0),
IF('TL11'!$B$3=L$3,SUMIF('TL11'!$C$10:$C$224,$C110,'TL11'!$J$10:$J$224),0),
IF('TL11'!$B$229=L$3,SUMIF('TL11'!$C$238:$C$451,$C110,'TL11'!$J$238:$J$451),0),
IF('TL12'!$B$3=L$3,SUMIF('TL12'!$C$10:$C$224,$C110,'TL12'!$J$10:$J$224),0),
IF('TL12'!$B$229=L$3,SUMIF('TL12'!$C$238:$C$451,$C110,'TL12'!$J$238:$J$451),0),
IF('TL13'!$B$3=L$3,SUMIF('TL13'!$C$10:$C$224,$C110,'TL13'!$J$10:$J$224),0),
IF('TL13'!$B$229=L$3,SUMIF('TL13'!$C$238:$C$451,$C110,'TL13'!$J$238:$J$451),0),
IF('TL14'!$B$3=L$3,SUMIF('TL14'!$C$10:$C$224,$C110,'TL14'!$J$10:$J$224),0),
IF('TL14'!$B$229=L$3,SUMIF('TL14'!$C$238:$C$451,$C110,'TL14'!$J$238:$J$451),0),
IF('TL15'!$B$3=L$3,SUMIF('TL15'!$C$10:$C$224,$C110,'TL15'!$J$10:$J$224),0),
IF('TL15'!$B$229=L$3,SUMIF('TL15'!$C$238:$C$451,$C110,'TL15'!$J$238:$J$451),0),
IF('TL16'!$B$3=L$3,SUMIF('TL16'!$C$10:$C$224,$C110,'TL16'!$J$10:$J$224),0),
IF('TL16'!$B$229=L$3,SUMIF('TL16'!$C$238:$C$451,$C110,'TL16'!$J$238:$J$451),0),
IF('TL17'!$B$3=L$3,SUMIF('TL17'!$C$10:$C$224,$C110,'TL17'!$J$10:$J$224),0),
IF('TL17'!$B$229=L$3,SUMIF('TL17'!$C$238:$C$451,$C110,'TL17'!$J$238:$J$451),0),
IF('TL18'!$B$3=L$3,SUMIF('TL18'!$C$10:$C$224,$C110,'TL18'!$J$10:$J$224),0),
IF('TL18'!$B$229=L$3,SUMIF('TL18'!$C$238:$C$451,$C110,'TL18'!$J$238:$J$451),0),
IF('TL19'!$B$3=L$3,SUMIF('TL19'!$C$10:$C$224,$C110,'TL19'!$J$10:$J$224),0),
IF('TL19'!$B$229=L$3,SUMIF('TL19'!$C$238:$C$451,$C110,'TL19'!$J$238:$J$451),0)
),0)</f>
        <v>88</v>
      </c>
      <c r="M110" s="9">
        <f>IFERROR(SUM(
IF('TL01'!$B$3=M$3,SUMIF('TL01'!$C$10:$C$224,$C110,'TL01'!$J$10:$J$224),0),
IF('TL01'!$B$229=M$3,SUMIF('TL01'!$C$238:$C$451,$C110,'TL01'!$J$238:$J$451),0),
IF('TL02'!$B$3=M$3,SUMIF('TL02'!$C$10:$C$224,$C110,'TL02'!$J$10:$J$224),0),
IF('TL02'!$B$229=M$3,SUMIF('TL02'!$C$238:$C$451,$C110,'TL02'!$J$238:$J$451),0),
IF('TL03'!$B$3=M$3,SUMIF('TL03'!$C$10:$C$224,$C110,'TL03'!$J$10:$J$224),0),
IF('TL03'!$B$229=M$3,SUMIF('TL03'!$C$238:$C$451,$C110,'TL03'!$J$238:$J$451),0),
IF('TL04'!$B$3=M$3,SUMIF('TL04'!$C$10:$C$224,$C110,'TL04'!$J$10:$J$224),0),
IF('TL04'!$B$229=M$3,SUMIF('TL04'!$C$238:$C$451,$C110,'TL04'!$J$238:$J$451),0),
IF('TL05'!$B$3=M$3,SUMIF('TL05'!$C$10:$C$224,$C110,'TL05'!$J$10:$J$224),0),
IF('TL05'!$B$229=M$3,SUMIF('TL05'!$C$238:$C$451,$C110,'TL05'!$J$238:$J$451),0),
IF('TL06'!$B$3=M$3,SUMIF('TL06'!$C$10:$C$224,$C110,'TL06'!$J$10:$J$224),0),
IF('TL06'!$B$229=M$3,SUMIF('TL06'!$C$238:$C$451,$C110,'TL06'!$J$238:$J$451),0),
IF('TL07'!$B$3=M$3,SUMIF('TL07'!$C$10:$C$224,$C110,'TL07'!$J$10:$J$224),0),
IF('TL07'!$B$229=M$3,SUMIF('TL07'!$C$238:$C$451,$C110,'TL07'!$J$238:$J$451),0),
IF('TL08'!$B$3=M$3,SUMIF('TL08'!$C$10:$C$224,$C110,'TL08'!$J$10:$J$224),0),
IF('TL08'!$B$229=M$3,SUMIF('TL08'!$C$238:$C$451,$C110,'TL08'!$J$238:$J$451),0),
IF('TL09'!$B$3=M$3,SUMIF('TL09'!$C$10:$C$224,$C110,'TL09'!$J$10:$J$224),0),
IF('TL09'!$B$229=M$3,SUMIF('TL09'!$C$238:$C$451,$C110,'TL09'!$J$238:$J$451),0),
IF('TL10'!$B$3=M$3,SUMIF('TL10'!$C$10:$C$224,$C110,'TL10'!$J$10:$J$224),0),
IF('TL10'!$B$229=M$3,SUMIF('TL10'!$C$238:$C$451,$C110,'TL10'!$J$238:$J$451),0),
IF('TL11'!$B$3=M$3,SUMIF('TL11'!$C$10:$C$224,$C110,'TL11'!$J$10:$J$224),0),
IF('TL11'!$B$229=M$3,SUMIF('TL11'!$C$238:$C$451,$C110,'TL11'!$J$238:$J$451),0),
IF('TL12'!$B$3=M$3,SUMIF('TL12'!$C$10:$C$224,$C110,'TL12'!$J$10:$J$224),0),
IF('TL12'!$B$229=M$3,SUMIF('TL12'!$C$238:$C$451,$C110,'TL12'!$J$238:$J$451),0),
IF('TL13'!$B$3=M$3,SUMIF('TL13'!$C$10:$C$224,$C110,'TL13'!$J$10:$J$224),0),
IF('TL13'!$B$229=M$3,SUMIF('TL13'!$C$238:$C$451,$C110,'TL13'!$J$238:$J$451),0),
IF('TL14'!$B$3=M$3,SUMIF('TL14'!$C$10:$C$224,$C110,'TL14'!$J$10:$J$224),0),
IF('TL14'!$B$229=M$3,SUMIF('TL14'!$C$238:$C$451,$C110,'TL14'!$J$238:$J$451),0),
IF('TL15'!$B$3=M$3,SUMIF('TL15'!$C$10:$C$224,$C110,'TL15'!$J$10:$J$224),0),
IF('TL15'!$B$229=M$3,SUMIF('TL15'!$C$238:$C$451,$C110,'TL15'!$J$238:$J$451),0),
IF('TL16'!$B$3=M$3,SUMIF('TL16'!$C$10:$C$224,$C110,'TL16'!$J$10:$J$224),0),
IF('TL16'!$B$229=M$3,SUMIF('TL16'!$C$238:$C$451,$C110,'TL16'!$J$238:$J$451),0),
IF('TL17'!$B$3=M$3,SUMIF('TL17'!$C$10:$C$224,$C110,'TL17'!$J$10:$J$224),0),
IF('TL17'!$B$229=M$3,SUMIF('TL17'!$C$238:$C$451,$C110,'TL17'!$J$238:$J$451),0),
IF('TL18'!$B$3=M$3,SUMIF('TL18'!$C$10:$C$224,$C110,'TL18'!$J$10:$J$224),0),
IF('TL18'!$B$229=M$3,SUMIF('TL18'!$C$238:$C$451,$C110,'TL18'!$J$238:$J$451),0),
IF('TL19'!$B$3=M$3,SUMIF('TL19'!$C$10:$C$224,$C110,'TL19'!$J$10:$J$224),0),
IF('TL19'!$B$229=M$3,SUMIF('TL19'!$C$238:$C$451,$C110,'TL19'!$J$238:$J$451),0)
),0)</f>
        <v>0</v>
      </c>
      <c r="N110" s="9">
        <f>IFERROR(SUM(
IF('TL01'!$B$3=N$3,SUMIF('TL01'!$C$10:$C$224,$C110,'TL01'!$J$10:$J$224),0),
IF('TL01'!$B$229=N$3,SUMIF('TL01'!$C$238:$C$451,$C110,'TL01'!$J$238:$J$451),0),
IF('TL02'!$B$3=N$3,SUMIF('TL02'!$C$10:$C$224,$C110,'TL02'!$J$10:$J$224),0),
IF('TL02'!$B$229=N$3,SUMIF('TL02'!$C$238:$C$451,$C110,'TL02'!$J$238:$J$451),0),
IF('TL03'!$B$3=N$3,SUMIF('TL03'!$C$10:$C$224,$C110,'TL03'!$J$10:$J$224),0),
IF('TL03'!$B$229=N$3,SUMIF('TL03'!$C$238:$C$451,$C110,'TL03'!$J$238:$J$451),0),
IF('TL04'!$B$3=N$3,SUMIF('TL04'!$C$10:$C$224,$C110,'TL04'!$J$10:$J$224),0),
IF('TL04'!$B$229=N$3,SUMIF('TL04'!$C$238:$C$451,$C110,'TL04'!$J$238:$J$451),0),
IF('TL05'!$B$3=N$3,SUMIF('TL05'!$C$10:$C$224,$C110,'TL05'!$J$10:$J$224),0),
IF('TL05'!$B$229=N$3,SUMIF('TL05'!$C$238:$C$451,$C110,'TL05'!$J$238:$J$451),0),
IF('TL06'!$B$3=N$3,SUMIF('TL06'!$C$10:$C$224,$C110,'TL06'!$J$10:$J$224),0),
IF('TL06'!$B$229=N$3,SUMIF('TL06'!$C$238:$C$451,$C110,'TL06'!$J$238:$J$451),0),
IF('TL07'!$B$3=N$3,SUMIF('TL07'!$C$10:$C$224,$C110,'TL07'!$J$10:$J$224),0),
IF('TL07'!$B$229=N$3,SUMIF('TL07'!$C$238:$C$451,$C110,'TL07'!$J$238:$J$451),0),
IF('TL08'!$B$3=N$3,SUMIF('TL08'!$C$10:$C$224,$C110,'TL08'!$J$10:$J$224),0),
IF('TL08'!$B$229=N$3,SUMIF('TL08'!$C$238:$C$451,$C110,'TL08'!$J$238:$J$451),0),
IF('TL09'!$B$3=N$3,SUMIF('TL09'!$C$10:$C$224,$C110,'TL09'!$J$10:$J$224),0),
IF('TL09'!$B$229=N$3,SUMIF('TL09'!$C$238:$C$451,$C110,'TL09'!$J$238:$J$451),0),
IF('TL10'!$B$3=N$3,SUMIF('TL10'!$C$10:$C$224,$C110,'TL10'!$J$10:$J$224),0),
IF('TL10'!$B$229=N$3,SUMIF('TL10'!$C$238:$C$451,$C110,'TL10'!$J$238:$J$451),0),
IF('TL11'!$B$3=N$3,SUMIF('TL11'!$C$10:$C$224,$C110,'TL11'!$J$10:$J$224),0),
IF('TL11'!$B$229=N$3,SUMIF('TL11'!$C$238:$C$451,$C110,'TL11'!$J$238:$J$451),0),
IF('TL12'!$B$3=N$3,SUMIF('TL12'!$C$10:$C$224,$C110,'TL12'!$J$10:$J$224),0),
IF('TL12'!$B$229=N$3,SUMIF('TL12'!$C$238:$C$451,$C110,'TL12'!$J$238:$J$451),0),
IF('TL13'!$B$3=N$3,SUMIF('TL13'!$C$10:$C$224,$C110,'TL13'!$J$10:$J$224),0),
IF('TL13'!$B$229=N$3,SUMIF('TL13'!$C$238:$C$451,$C110,'TL13'!$J$238:$J$451),0),
IF('TL14'!$B$3=N$3,SUMIF('TL14'!$C$10:$C$224,$C110,'TL14'!$J$10:$J$224),0),
IF('TL14'!$B$229=N$3,SUMIF('TL14'!$C$238:$C$451,$C110,'TL14'!$J$238:$J$451),0),
IF('TL15'!$B$3=N$3,SUMIF('TL15'!$C$10:$C$224,$C110,'TL15'!$J$10:$J$224),0),
IF('TL15'!$B$229=N$3,SUMIF('TL15'!$C$238:$C$451,$C110,'TL15'!$J$238:$J$451),0),
IF('TL16'!$B$3=N$3,SUMIF('TL16'!$C$10:$C$224,$C110,'TL16'!$J$10:$J$224),0),
IF('TL16'!$B$229=N$3,SUMIF('TL16'!$C$238:$C$451,$C110,'TL16'!$J$238:$J$451),0),
IF('TL17'!$B$3=N$3,SUMIF('TL17'!$C$10:$C$224,$C110,'TL17'!$J$10:$J$224),0),
IF('TL17'!$B$229=N$3,SUMIF('TL17'!$C$238:$C$451,$C110,'TL17'!$J$238:$J$451),0),
IF('TL18'!$B$3=N$3,SUMIF('TL18'!$C$10:$C$224,$C110,'TL18'!$J$10:$J$224),0),
IF('TL18'!$B$229=N$3,SUMIF('TL18'!$C$238:$C$451,$C110,'TL18'!$J$238:$J$451),0),
IF('TL19'!$B$3=N$3,SUMIF('TL19'!$C$10:$C$224,$C110,'TL19'!$J$10:$J$224),0),
IF('TL19'!$B$229=N$3,SUMIF('TL19'!$C$238:$C$451,$C110,'TL19'!$J$238:$J$451),0)
),0)</f>
        <v>0</v>
      </c>
      <c r="O110" s="9">
        <f>IFERROR(SUM(
IF('TL01'!$B$3=O$3,SUMIF('TL01'!$C$10:$C$224,$C110,'TL01'!$J$10:$J$224),0),
IF('TL01'!$B$229=O$3,SUMIF('TL01'!$C$238:$C$451,$C110,'TL01'!$J$238:$J$451),0),
IF('TL02'!$B$3=O$3,SUMIF('TL02'!$C$10:$C$224,$C110,'TL02'!$J$10:$J$224),0),
IF('TL02'!$B$229=O$3,SUMIF('TL02'!$C$238:$C$451,$C110,'TL02'!$J$238:$J$451),0),
IF('TL03'!$B$3=O$3,SUMIF('TL03'!$C$10:$C$224,$C110,'TL03'!$J$10:$J$224),0),
IF('TL03'!$B$229=O$3,SUMIF('TL03'!$C$238:$C$451,$C110,'TL03'!$J$238:$J$451),0),
IF('TL04'!$B$3=O$3,SUMIF('TL04'!$C$10:$C$224,$C110,'TL04'!$J$10:$J$224),0),
IF('TL04'!$B$229=O$3,SUMIF('TL04'!$C$238:$C$451,$C110,'TL04'!$J$238:$J$451),0),
IF('TL05'!$B$3=O$3,SUMIF('TL05'!$C$10:$C$224,$C110,'TL05'!$J$10:$J$224),0),
IF('TL05'!$B$229=O$3,SUMIF('TL05'!$C$238:$C$451,$C110,'TL05'!$J$238:$J$451),0),
IF('TL06'!$B$3=O$3,SUMIF('TL06'!$C$10:$C$224,$C110,'TL06'!$J$10:$J$224),0),
IF('TL06'!$B$229=O$3,SUMIF('TL06'!$C$238:$C$451,$C110,'TL06'!$J$238:$J$451),0),
IF('TL07'!$B$3=O$3,SUMIF('TL07'!$C$10:$C$224,$C110,'TL07'!$J$10:$J$224),0),
IF('TL07'!$B$229=O$3,SUMIF('TL07'!$C$238:$C$451,$C110,'TL07'!$J$238:$J$451),0),
IF('TL08'!$B$3=O$3,SUMIF('TL08'!$C$10:$C$224,$C110,'TL08'!$J$10:$J$224),0),
IF('TL08'!$B$229=O$3,SUMIF('TL08'!$C$238:$C$451,$C110,'TL08'!$J$238:$J$451),0),
IF('TL09'!$B$3=O$3,SUMIF('TL09'!$C$10:$C$224,$C110,'TL09'!$J$10:$J$224),0),
IF('TL09'!$B$229=O$3,SUMIF('TL09'!$C$238:$C$451,$C110,'TL09'!$J$238:$J$451),0),
IF('TL10'!$B$3=O$3,SUMIF('TL10'!$C$10:$C$224,$C110,'TL10'!$J$10:$J$224),0),
IF('TL10'!$B$229=O$3,SUMIF('TL10'!$C$238:$C$451,$C110,'TL10'!$J$238:$J$451),0),
IF('TL11'!$B$3=O$3,SUMIF('TL11'!$C$10:$C$224,$C110,'TL11'!$J$10:$J$224),0),
IF('TL11'!$B$229=O$3,SUMIF('TL11'!$C$238:$C$451,$C110,'TL11'!$J$238:$J$451),0),
IF('TL12'!$B$3=O$3,SUMIF('TL12'!$C$10:$C$224,$C110,'TL12'!$J$10:$J$224),0),
IF('TL12'!$B$229=O$3,SUMIF('TL12'!$C$238:$C$451,$C110,'TL12'!$J$238:$J$451),0),
IF('TL13'!$B$3=O$3,SUMIF('TL13'!$C$10:$C$224,$C110,'TL13'!$J$10:$J$224),0),
IF('TL13'!$B$229=O$3,SUMIF('TL13'!$C$238:$C$451,$C110,'TL13'!$J$238:$J$451),0),
IF('TL14'!$B$3=O$3,SUMIF('TL14'!$C$10:$C$224,$C110,'TL14'!$J$10:$J$224),0),
IF('TL14'!$B$229=O$3,SUMIF('TL14'!$C$238:$C$451,$C110,'TL14'!$J$238:$J$451),0),
IF('TL15'!$B$3=O$3,SUMIF('TL15'!$C$10:$C$224,$C110,'TL15'!$J$10:$J$224),0),
IF('TL15'!$B$229=O$3,SUMIF('TL15'!$C$238:$C$451,$C110,'TL15'!$J$238:$J$451),0),
IF('TL16'!$B$3=O$3,SUMIF('TL16'!$C$10:$C$224,$C110,'TL16'!$J$10:$J$224),0),
IF('TL16'!$B$229=O$3,SUMIF('TL16'!$C$238:$C$451,$C110,'TL16'!$J$238:$J$451),0),
IF('TL17'!$B$3=O$3,SUMIF('TL17'!$C$10:$C$224,$C110,'TL17'!$J$10:$J$224),0),
IF('TL17'!$B$229=O$3,SUMIF('TL17'!$C$238:$C$451,$C110,'TL17'!$J$238:$J$451),0),
IF('TL18'!$B$3=O$3,SUMIF('TL18'!$C$10:$C$224,$C110,'TL18'!$J$10:$J$224),0),
IF('TL18'!$B$229=O$3,SUMIF('TL18'!$C$238:$C$451,$C110,'TL18'!$J$238:$J$451),0),
IF('TL19'!$B$3=O$3,SUMIF('TL19'!$C$10:$C$224,$C110,'TL19'!$J$10:$J$224),0),
IF('TL19'!$B$229=O$3,SUMIF('TL19'!$C$238:$C$451,$C110,'TL19'!$J$238:$J$451),0)
),0)</f>
        <v>0</v>
      </c>
      <c r="P110" s="9">
        <f>IFERROR(SUM(
IF('TL01'!$B$3=P$3,SUMIF('TL01'!$C$10:$C$224,$C110,'TL01'!$J$10:$J$224),0),
IF('TL01'!$B$229=P$3,SUMIF('TL01'!$C$238:$C$451,$C110,'TL01'!$J$238:$J$451),0),
IF('TL02'!$B$3=P$3,SUMIF('TL02'!$C$10:$C$224,$C110,'TL02'!$J$10:$J$224),0),
IF('TL02'!$B$229=P$3,SUMIF('TL02'!$C$238:$C$451,$C110,'TL02'!$J$238:$J$451),0),
IF('TL03'!$B$3=P$3,SUMIF('TL03'!$C$10:$C$224,$C110,'TL03'!$J$10:$J$224),0),
IF('TL03'!$B$229=P$3,SUMIF('TL03'!$C$238:$C$451,$C110,'TL03'!$J$238:$J$451),0),
IF('TL04'!$B$3=P$3,SUMIF('TL04'!$C$10:$C$224,$C110,'TL04'!$J$10:$J$224),0),
IF('TL04'!$B$229=P$3,SUMIF('TL04'!$C$238:$C$451,$C110,'TL04'!$J$238:$J$451),0),
IF('TL05'!$B$3=P$3,SUMIF('TL05'!$C$10:$C$224,$C110,'TL05'!$J$10:$J$224),0),
IF('TL05'!$B$229=P$3,SUMIF('TL05'!$C$238:$C$451,$C110,'TL05'!$J$238:$J$451),0),
IF('TL06'!$B$3=P$3,SUMIF('TL06'!$C$10:$C$224,$C110,'TL06'!$J$10:$J$224),0),
IF('TL06'!$B$229=P$3,SUMIF('TL06'!$C$238:$C$451,$C110,'TL06'!$J$238:$J$451),0),
IF('TL07'!$B$3=P$3,SUMIF('TL07'!$C$10:$C$224,$C110,'TL07'!$J$10:$J$224),0),
IF('TL07'!$B$229=P$3,SUMIF('TL07'!$C$238:$C$451,$C110,'TL07'!$J$238:$J$451),0),
IF('TL08'!$B$3=P$3,SUMIF('TL08'!$C$10:$C$224,$C110,'TL08'!$J$10:$J$224),0),
IF('TL08'!$B$229=P$3,SUMIF('TL08'!$C$238:$C$451,$C110,'TL08'!$J$238:$J$451),0),
IF('TL09'!$B$3=P$3,SUMIF('TL09'!$C$10:$C$224,$C110,'TL09'!$J$10:$J$224),0),
IF('TL09'!$B$229=P$3,SUMIF('TL09'!$C$238:$C$451,$C110,'TL09'!$J$238:$J$451),0),
IF('TL10'!$B$3=P$3,SUMIF('TL10'!$C$10:$C$224,$C110,'TL10'!$J$10:$J$224),0),
IF('TL10'!$B$229=P$3,SUMIF('TL10'!$C$238:$C$451,$C110,'TL10'!$J$238:$J$451),0),
IF('TL11'!$B$3=P$3,SUMIF('TL11'!$C$10:$C$224,$C110,'TL11'!$J$10:$J$224),0),
IF('TL11'!$B$229=P$3,SUMIF('TL11'!$C$238:$C$451,$C110,'TL11'!$J$238:$J$451),0),
IF('TL12'!$B$3=P$3,SUMIF('TL12'!$C$10:$C$224,$C110,'TL12'!$J$10:$J$224),0),
IF('TL12'!$B$229=P$3,SUMIF('TL12'!$C$238:$C$451,$C110,'TL12'!$J$238:$J$451),0),
IF('TL13'!$B$3=P$3,SUMIF('TL13'!$C$10:$C$224,$C110,'TL13'!$J$10:$J$224),0),
IF('TL13'!$B$229=P$3,SUMIF('TL13'!$C$238:$C$451,$C110,'TL13'!$J$238:$J$451),0),
IF('TL14'!$B$3=P$3,SUMIF('TL14'!$C$10:$C$224,$C110,'TL14'!$J$10:$J$224),0),
IF('TL14'!$B$229=P$3,SUMIF('TL14'!$C$238:$C$451,$C110,'TL14'!$J$238:$J$451),0),
IF('TL15'!$B$3=P$3,SUMIF('TL15'!$C$10:$C$224,$C110,'TL15'!$J$10:$J$224),0),
IF('TL15'!$B$229=P$3,SUMIF('TL15'!$C$238:$C$451,$C110,'TL15'!$J$238:$J$451),0),
IF('TL16'!$B$3=P$3,SUMIF('TL16'!$C$10:$C$224,$C110,'TL16'!$J$10:$J$224),0),
IF('TL16'!$B$229=P$3,SUMIF('TL16'!$C$238:$C$451,$C110,'TL16'!$J$238:$J$451),0),
IF('TL17'!$B$3=P$3,SUMIF('TL17'!$C$10:$C$224,$C110,'TL17'!$J$10:$J$224),0),
IF('TL17'!$B$229=P$3,SUMIF('TL17'!$C$238:$C$451,$C110,'TL17'!$J$238:$J$451),0),
IF('TL18'!$B$3=P$3,SUMIF('TL18'!$C$10:$C$224,$C110,'TL18'!$J$10:$J$224),0),
IF('TL18'!$B$229=P$3,SUMIF('TL18'!$C$238:$C$451,$C110,'TL18'!$J$238:$J$451),0),
IF('TL19'!$B$3=P$3,SUMIF('TL19'!$C$10:$C$224,$C110,'TL19'!$J$10:$J$224),0),
IF('TL19'!$B$229=P$3,SUMIF('TL19'!$C$238:$C$451,$C110,'TL19'!$J$238:$J$451),0)
),0)</f>
        <v>0</v>
      </c>
      <c r="Q110" s="9">
        <f>IFERROR(SUM(
IF('TL01'!$B$3=Q$3,SUMIF('TL01'!$C$10:$C$224,$C110,'TL01'!$J$10:$J$224),0),
IF('TL01'!$B$229=Q$3,SUMIF('TL01'!$C$238:$C$451,$C110,'TL01'!$J$238:$J$451),0),
IF('TL02'!$B$3=Q$3,SUMIF('TL02'!$C$10:$C$224,$C110,'TL02'!$J$10:$J$224),0),
IF('TL02'!$B$229=Q$3,SUMIF('TL02'!$C$238:$C$451,$C110,'TL02'!$J$238:$J$451),0),
IF('TL03'!$B$3=Q$3,SUMIF('TL03'!$C$10:$C$224,$C110,'TL03'!$J$10:$J$224),0),
IF('TL03'!$B$229=Q$3,SUMIF('TL03'!$C$238:$C$451,$C110,'TL03'!$J$238:$J$451),0),
IF('TL04'!$B$3=Q$3,SUMIF('TL04'!$C$10:$C$224,$C110,'TL04'!$J$10:$J$224),0),
IF('TL04'!$B$229=Q$3,SUMIF('TL04'!$C$238:$C$451,$C110,'TL04'!$J$238:$J$451),0),
IF('TL05'!$B$3=Q$3,SUMIF('TL05'!$C$10:$C$224,$C110,'TL05'!$J$10:$J$224),0),
IF('TL05'!$B$229=Q$3,SUMIF('TL05'!$C$238:$C$451,$C110,'TL05'!$J$238:$J$451),0),
IF('TL06'!$B$3=Q$3,SUMIF('TL06'!$C$10:$C$224,$C110,'TL06'!$J$10:$J$224),0),
IF('TL06'!$B$229=Q$3,SUMIF('TL06'!$C$238:$C$451,$C110,'TL06'!$J$238:$J$451),0),
IF('TL07'!$B$3=Q$3,SUMIF('TL07'!$C$10:$C$224,$C110,'TL07'!$J$10:$J$224),0),
IF('TL07'!$B$229=Q$3,SUMIF('TL07'!$C$238:$C$451,$C110,'TL07'!$J$238:$J$451),0),
IF('TL08'!$B$3=Q$3,SUMIF('TL08'!$C$10:$C$224,$C110,'TL08'!$J$10:$J$224),0),
IF('TL08'!$B$229=Q$3,SUMIF('TL08'!$C$238:$C$451,$C110,'TL08'!$J$238:$J$451),0),
IF('TL09'!$B$3=Q$3,SUMIF('TL09'!$C$10:$C$224,$C110,'TL09'!$J$10:$J$224),0),
IF('TL09'!$B$229=Q$3,SUMIF('TL09'!$C$238:$C$451,$C110,'TL09'!$J$238:$J$451),0),
IF('TL10'!$B$3=Q$3,SUMIF('TL10'!$C$10:$C$224,$C110,'TL10'!$J$10:$J$224),0),
IF('TL10'!$B$229=Q$3,SUMIF('TL10'!$C$238:$C$451,$C110,'TL10'!$J$238:$J$451),0),
IF('TL11'!$B$3=Q$3,SUMIF('TL11'!$C$10:$C$224,$C110,'TL11'!$J$10:$J$224),0),
IF('TL11'!$B$229=Q$3,SUMIF('TL11'!$C$238:$C$451,$C110,'TL11'!$J$238:$J$451),0),
IF('TL12'!$B$3=Q$3,SUMIF('TL12'!$C$10:$C$224,$C110,'TL12'!$J$10:$J$224),0),
IF('TL12'!$B$229=Q$3,SUMIF('TL12'!$C$238:$C$451,$C110,'TL12'!$J$238:$J$451),0),
IF('TL13'!$B$3=Q$3,SUMIF('TL13'!$C$10:$C$224,$C110,'TL13'!$J$10:$J$224),0),
IF('TL13'!$B$229=Q$3,SUMIF('TL13'!$C$238:$C$451,$C110,'TL13'!$J$238:$J$451),0),
IF('TL14'!$B$3=Q$3,SUMIF('TL14'!$C$10:$C$224,$C110,'TL14'!$J$10:$J$224),0),
IF('TL14'!$B$229=Q$3,SUMIF('TL14'!$C$238:$C$451,$C110,'TL14'!$J$238:$J$451),0),
IF('TL15'!$B$3=Q$3,SUMIF('TL15'!$C$10:$C$224,$C110,'TL15'!$J$10:$J$224),0),
IF('TL15'!$B$229=Q$3,SUMIF('TL15'!$C$238:$C$451,$C110,'TL15'!$J$238:$J$451),0),
IF('TL16'!$B$3=Q$3,SUMIF('TL16'!$C$10:$C$224,$C110,'TL16'!$J$10:$J$224),0),
IF('TL16'!$B$229=Q$3,SUMIF('TL16'!$C$238:$C$451,$C110,'TL16'!$J$238:$J$451),0),
IF('TL17'!$B$3=Q$3,SUMIF('TL17'!$C$10:$C$224,$C110,'TL17'!$J$10:$J$224),0),
IF('TL17'!$B$229=Q$3,SUMIF('TL17'!$C$238:$C$451,$C110,'TL17'!$J$238:$J$451),0),
IF('TL18'!$B$3=Q$3,SUMIF('TL18'!$C$10:$C$224,$C110,'TL18'!$J$10:$J$224),0),
IF('TL18'!$B$229=Q$3,SUMIF('TL18'!$C$238:$C$451,$C110,'TL18'!$J$238:$J$451),0),
IF('TL19'!$B$3=Q$3,SUMIF('TL19'!$C$10:$C$224,$C110,'TL19'!$J$10:$J$224),0),
IF('TL19'!$B$229=Q$3,SUMIF('TL19'!$C$238:$C$451,$C110,'TL19'!$J$238:$J$451),0)
),0)</f>
        <v>0</v>
      </c>
      <c r="R110" s="9">
        <f>IFERROR(
SUM(
SUMIF('TL01'!C:C,C110,'TL01'!J:J),
SUMIF('TL02'!C:C,C110,'TL02'!J:J),
SUMIF('TL03'!C:C,C110,'TL03'!J:J),
SUMIF('TL04'!C:C,C110,'TL04'!J:J),
SUMIF('TL05'!C:C,C110,'TL05'!J:J),
SUMIF('TL06'!C:C,C110,'TL06'!J:J),
SUMIF('TL07'!C:C,C110,'TL07'!J:J),
SUMIF('TL08'!C:C,C110,'TL08'!J:J),
SUMIF('TL09'!C:C,C110,'TL09'!J:J),
SUMIF('TL10'!C:C,C110,'TL10'!J:J),
SUMIF('TL11'!C:C,C110,'TL11'!J:J),
SUMIF('TL12'!C:C,C110,'TL12'!J:J),
SUMIF('TL13'!C:C,C110,'TL13'!J:J),
SUMIF('TL14'!C:C,C110,'TL14'!J:J),
SUMIF('TL15'!C:C,C110,'TL15'!J:J),
SUMIF('TL16'!C:C,C110,'TL16'!J:J),
SUMIF('TL17'!C:C,C110,'TL17'!J:J),
SUMIF('TL18'!C:C,C110,'TL18'!J:J),SUMIF('TL19'!C:C,C110,'TL19'!J:J))
,0)</f>
        <v>184</v>
      </c>
      <c r="S110" s="17">
        <f>IFERROR(__xludf.DUMMYFUNCTION("IFERROR(VLOOKUP(C110,
IMPORTRANGE(""1wULbzX32WdYsx-lj2U3uUNBBe2INVIRDtcK0d-Dvl90"",
""26-27!C:G""),
5,
FALSE),
"""")"),33.01094)</f>
        <v>33.01094</v>
      </c>
      <c r="T110" s="118">
        <v>920.0</v>
      </c>
      <c r="U110" s="92">
        <f t="shared" si="2"/>
        <v>-736</v>
      </c>
      <c r="V110" s="93">
        <f t="shared" si="3"/>
        <v>-24296.05184</v>
      </c>
    </row>
    <row r="111" ht="15.75" hidden="1" customHeight="1">
      <c r="A111" s="111" t="s">
        <v>340</v>
      </c>
      <c r="B111" s="112" t="s">
        <v>1</v>
      </c>
      <c r="C111" s="113" t="s">
        <v>618</v>
      </c>
      <c r="D111" s="113" t="s">
        <v>619</v>
      </c>
      <c r="E111" s="113">
        <v>600.0</v>
      </c>
      <c r="F111" s="4" t="s">
        <v>343</v>
      </c>
      <c r="G111" s="90" t="str">
        <f t="shared" si="4"/>
        <v>📄 Ver bula</v>
      </c>
      <c r="H111" s="9" t="str">
        <f>IFERROR(__xludf.DUMMYFUNCTION("IFERROR(VLOOKUP(C111,
IMPORTRANGE(""1wULbzX32WdYsx-lj2U3uUNBBe2INVIRDtcK0d-Dvl90"",
""26-27!C:K""),
8,
FALSE),
"""")"),"")</f>
        <v/>
      </c>
      <c r="I111" s="114" t="s">
        <v>344</v>
      </c>
      <c r="J111" s="9">
        <f>IFERROR(SUM(
IF('TL01'!$B$3=J$3,SUMIF('TL01'!$C$10:$C$224,$C111,'TL01'!$J$10:$J$224),0),
IF('TL01'!$B$229=J$3,SUMIF('TL01'!$C$238:$C$451,$C111,'TL01'!$J$238:$J$451),0),
IF('TL02'!$B$3=J$3,SUMIF('TL02'!$C$10:$C$224,$C111,'TL02'!$J$10:$J$224),0),
IF('TL02'!$B$229=J$3,SUMIF('TL02'!$C$238:$C$451,$C111,'TL02'!$J$238:$J$451),0),
IF('TL03'!$B$3=J$3,SUMIF('TL03'!$C$10:$C$224,$C111,'TL03'!$J$10:$J$224),0),
IF('TL03'!$B$229=J$3,SUMIF('TL03'!$C$238:$C$451,$C111,'TL03'!$J$238:$J$451),0),
IF('TL04'!$B$3=J$3,SUMIF('TL04'!$C$10:$C$224,$C111,'TL04'!$J$10:$J$224),0),
IF('TL04'!$B$229=J$3,SUMIF('TL04'!$C$238:$C$451,$C111,'TL04'!$J$238:$J$451),0),
IF('TL05'!$B$3=J$3,SUMIF('TL05'!$C$10:$C$224,$C111,'TL05'!$J$10:$J$224),0),
IF('TL05'!$B$229=J$3,SUMIF('TL05'!$C$238:$C$451,$C111,'TL05'!$J$238:$J$451),0),
IF('TL06'!$B$3=J$3,SUMIF('TL06'!$C$10:$C$224,$C111,'TL06'!$J$10:$J$224),0),
IF('TL06'!$B$229=J$3,SUMIF('TL06'!$C$238:$C$451,$C111,'TL06'!$J$238:$J$451),0),
IF('TL07'!$B$3=J$3,SUMIF('TL07'!$C$10:$C$224,$C111,'TL07'!$J$10:$J$224),0),
IF('TL07'!$B$229=J$3,SUMIF('TL07'!$C$238:$C$451,$C111,'TL07'!$J$238:$J$451),0),
IF('TL08'!$B$3=J$3,SUMIF('TL08'!$C$10:$C$224,$C111,'TL08'!$J$10:$J$224),0),
IF('TL08'!$B$229=J$3,SUMIF('TL08'!$C$238:$C$451,$C111,'TL08'!$J$238:$J$451),0),
IF('TL09'!$B$3=J$3,SUMIF('TL09'!$C$10:$C$224,$C111,'TL09'!$J$10:$J$224),0),
IF('TL09'!$B$229=J$3,SUMIF('TL09'!$C$238:$C$451,$C111,'TL09'!$J$238:$J$451),0),
IF('TL10'!$B$3=J$3,SUMIF('TL10'!$C$10:$C$224,$C111,'TL10'!$J$10:$J$224),0),
IF('TL10'!$B$229=J$3,SUMIF('TL10'!$C$238:$C$451,$C111,'TL10'!$J$238:$J$451),0),
IF('TL11'!$B$3=J$3,SUMIF('TL11'!$C$10:$C$224,$C111,'TL11'!$J$10:$J$224),0),
IF('TL11'!$B$229=J$3,SUMIF('TL11'!$C$238:$C$451,$C111,'TL11'!$J$238:$J$451),0),
IF('TL12'!$B$3=J$3,SUMIF('TL12'!$C$10:$C$224,$C111,'TL12'!$J$10:$J$224),0),
IF('TL12'!$B$229=J$3,SUMIF('TL12'!$C$238:$C$451,$C111,'TL12'!$J$238:$J$451),0),
IF('TL13'!$B$3=J$3,SUMIF('TL13'!$C$10:$C$224,$C111,'TL13'!$J$10:$J$224),0),
IF('TL13'!$B$229=J$3,SUMIF('TL13'!$C$238:$C$451,$C111,'TL13'!$J$238:$J$451),0),
IF('TL14'!$B$3=J$3,SUMIF('TL14'!$C$10:$C$224,$C111,'TL14'!$J$10:$J$224),0),
IF('TL14'!$B$229=J$3,SUMIF('TL14'!$C$238:$C$451,$C111,'TL14'!$J$238:$J$451),0),
IF('TL15'!$B$3=J$3,SUMIF('TL15'!$C$10:$C$224,$C111,'TL15'!$J$10:$J$224),0),
IF('TL15'!$B$229=J$3,SUMIF('TL15'!$C$238:$C$451,$C111,'TL15'!$J$238:$J$451),0),
IF('TL16'!$B$3=J$3,SUMIF('TL16'!$C$10:$C$224,$C111,'TL16'!$J$10:$J$224),0),
IF('TL16'!$B$229=J$3,SUMIF('TL16'!$C$238:$C$451,$C111,'TL16'!$J$238:$J$451),0),
IF('TL17'!$B$3=J$3,SUMIF('TL17'!$C$10:$C$224,$C111,'TL17'!$J$10:$J$224),0),
IF('TL17'!$B$229=J$3,SUMIF('TL17'!$C$238:$C$451,$C111,'TL17'!$J$238:$J$451),0),
IF('TL18'!$B$3=J$3,SUMIF('TL18'!$C$10:$C$224,$C111,'TL18'!$J$10:$J$224),0),
IF('TL18'!$B$229=J$3,SUMIF('TL18'!$C$238:$C$451,$C111,'TL18'!$J$238:$J$451),0),
IF('TL19'!$B$3=J$3,SUMIF('TL19'!$C$10:$C$224,$C111,'TL19'!$J$10:$J$224),0),
IF('TL19'!$B$229=J$3,SUMIF('TL19'!$C$238:$C$451,$C111,'TL19'!$J$238:$J$451),0)
),0)</f>
        <v>0</v>
      </c>
      <c r="K111" s="9">
        <f>IFERROR(SUM(
IF('TL01'!$B$3=K$3,SUMIF('TL01'!$C$10:$C$224,$C111,'TL01'!$J$10:$J$224),0),
IF('TL01'!$B$229=K$3,SUMIF('TL01'!$C$238:$C$451,$C111,'TL01'!$J$238:$J$451),0),
IF('TL02'!$B$3=K$3,SUMIF('TL02'!$C$10:$C$224,$C111,'TL02'!$J$10:$J$224),0),
IF('TL02'!$B$229=K$3,SUMIF('TL02'!$C$238:$C$451,$C111,'TL02'!$J$238:$J$451),0),
IF('TL03'!$B$3=K$3,SUMIF('TL03'!$C$10:$C$224,$C111,'TL03'!$J$10:$J$224),0),
IF('TL03'!$B$229=K$3,SUMIF('TL03'!$C$238:$C$451,$C111,'TL03'!$J$238:$J$451),0),
IF('TL04'!$B$3=K$3,SUMIF('TL04'!$C$10:$C$224,$C111,'TL04'!$J$10:$J$224),0),
IF('TL04'!$B$229=K$3,SUMIF('TL04'!$C$238:$C$451,$C111,'TL04'!$J$238:$J$451),0),
IF('TL05'!$B$3=K$3,SUMIF('TL05'!$C$10:$C$224,$C111,'TL05'!$J$10:$J$224),0),
IF('TL05'!$B$229=K$3,SUMIF('TL05'!$C$238:$C$451,$C111,'TL05'!$J$238:$J$451),0),
IF('TL06'!$B$3=K$3,SUMIF('TL06'!$C$10:$C$224,$C111,'TL06'!$J$10:$J$224),0),
IF('TL06'!$B$229=K$3,SUMIF('TL06'!$C$238:$C$451,$C111,'TL06'!$J$238:$J$451),0),
IF('TL07'!$B$3=K$3,SUMIF('TL07'!$C$10:$C$224,$C111,'TL07'!$J$10:$J$224),0),
IF('TL07'!$B$229=K$3,SUMIF('TL07'!$C$238:$C$451,$C111,'TL07'!$J$238:$J$451),0),
IF('TL08'!$B$3=K$3,SUMIF('TL08'!$C$10:$C$224,$C111,'TL08'!$J$10:$J$224),0),
IF('TL08'!$B$229=K$3,SUMIF('TL08'!$C$238:$C$451,$C111,'TL08'!$J$238:$J$451),0),
IF('TL09'!$B$3=K$3,SUMIF('TL09'!$C$10:$C$224,$C111,'TL09'!$J$10:$J$224),0),
IF('TL09'!$B$229=K$3,SUMIF('TL09'!$C$238:$C$451,$C111,'TL09'!$J$238:$J$451),0),
IF('TL10'!$B$3=K$3,SUMIF('TL10'!$C$10:$C$224,$C111,'TL10'!$J$10:$J$224),0),
IF('TL10'!$B$229=K$3,SUMIF('TL10'!$C$238:$C$451,$C111,'TL10'!$J$238:$J$451),0),
IF('TL11'!$B$3=K$3,SUMIF('TL11'!$C$10:$C$224,$C111,'TL11'!$J$10:$J$224),0),
IF('TL11'!$B$229=K$3,SUMIF('TL11'!$C$238:$C$451,$C111,'TL11'!$J$238:$J$451),0),
IF('TL12'!$B$3=K$3,SUMIF('TL12'!$C$10:$C$224,$C111,'TL12'!$J$10:$J$224),0),
IF('TL12'!$B$229=K$3,SUMIF('TL12'!$C$238:$C$451,$C111,'TL12'!$J$238:$J$451),0),
IF('TL13'!$B$3=K$3,SUMIF('TL13'!$C$10:$C$224,$C111,'TL13'!$J$10:$J$224),0),
IF('TL13'!$B$229=K$3,SUMIF('TL13'!$C$238:$C$451,$C111,'TL13'!$J$238:$J$451),0),
IF('TL14'!$B$3=K$3,SUMIF('TL14'!$C$10:$C$224,$C111,'TL14'!$J$10:$J$224),0),
IF('TL14'!$B$229=K$3,SUMIF('TL14'!$C$238:$C$451,$C111,'TL14'!$J$238:$J$451),0),
IF('TL15'!$B$3=K$3,SUMIF('TL15'!$C$10:$C$224,$C111,'TL15'!$J$10:$J$224),0),
IF('TL15'!$B$229=K$3,SUMIF('TL15'!$C$238:$C$451,$C111,'TL15'!$J$238:$J$451),0),
IF('TL16'!$B$3=K$3,SUMIF('TL16'!$C$10:$C$224,$C111,'TL16'!$J$10:$J$224),0),
IF('TL16'!$B$229=K$3,SUMIF('TL16'!$C$238:$C$451,$C111,'TL16'!$J$238:$J$451),0),
IF('TL17'!$B$3=K$3,SUMIF('TL17'!$C$10:$C$224,$C111,'TL17'!$J$10:$J$224),0),
IF('TL17'!$B$229=K$3,SUMIF('TL17'!$C$238:$C$451,$C111,'TL17'!$J$238:$J$451),0),
IF('TL18'!$B$3=K$3,SUMIF('TL18'!$C$10:$C$224,$C111,'TL18'!$J$10:$J$224),0),
IF('TL18'!$B$229=K$3,SUMIF('TL18'!$C$238:$C$451,$C111,'TL18'!$J$238:$J$451),0),
IF('TL19'!$B$3=K$3,SUMIF('TL19'!$C$10:$C$224,$C111,'TL19'!$J$10:$J$224),0),
IF('TL19'!$B$229=K$3,SUMIF('TL19'!$C$238:$C$451,$C111,'TL19'!$J$238:$J$451),0)
),0)</f>
        <v>0</v>
      </c>
      <c r="L111" s="9">
        <f>IFERROR(SUM(
IF('TL01'!$B$3=L$3,SUMIF('TL01'!$C$10:$C$224,$C111,'TL01'!$J$10:$J$224),0),
IF('TL01'!$B$229=L$3,SUMIF('TL01'!$C$238:$C$451,$C111,'TL01'!$J$238:$J$451),0),
IF('TL02'!$B$3=L$3,SUMIF('TL02'!$C$10:$C$224,$C111,'TL02'!$J$10:$J$224),0),
IF('TL02'!$B$229=L$3,SUMIF('TL02'!$C$238:$C$451,$C111,'TL02'!$J$238:$J$451),0),
IF('TL03'!$B$3=L$3,SUMIF('TL03'!$C$10:$C$224,$C111,'TL03'!$J$10:$J$224),0),
IF('TL03'!$B$229=L$3,SUMIF('TL03'!$C$238:$C$451,$C111,'TL03'!$J$238:$J$451),0),
IF('TL04'!$B$3=L$3,SUMIF('TL04'!$C$10:$C$224,$C111,'TL04'!$J$10:$J$224),0),
IF('TL04'!$B$229=L$3,SUMIF('TL04'!$C$238:$C$451,$C111,'TL04'!$J$238:$J$451),0),
IF('TL05'!$B$3=L$3,SUMIF('TL05'!$C$10:$C$224,$C111,'TL05'!$J$10:$J$224),0),
IF('TL05'!$B$229=L$3,SUMIF('TL05'!$C$238:$C$451,$C111,'TL05'!$J$238:$J$451),0),
IF('TL06'!$B$3=L$3,SUMIF('TL06'!$C$10:$C$224,$C111,'TL06'!$J$10:$J$224),0),
IF('TL06'!$B$229=L$3,SUMIF('TL06'!$C$238:$C$451,$C111,'TL06'!$J$238:$J$451),0),
IF('TL07'!$B$3=L$3,SUMIF('TL07'!$C$10:$C$224,$C111,'TL07'!$J$10:$J$224),0),
IF('TL07'!$B$229=L$3,SUMIF('TL07'!$C$238:$C$451,$C111,'TL07'!$J$238:$J$451),0),
IF('TL08'!$B$3=L$3,SUMIF('TL08'!$C$10:$C$224,$C111,'TL08'!$J$10:$J$224),0),
IF('TL08'!$B$229=L$3,SUMIF('TL08'!$C$238:$C$451,$C111,'TL08'!$J$238:$J$451),0),
IF('TL09'!$B$3=L$3,SUMIF('TL09'!$C$10:$C$224,$C111,'TL09'!$J$10:$J$224),0),
IF('TL09'!$B$229=L$3,SUMIF('TL09'!$C$238:$C$451,$C111,'TL09'!$J$238:$J$451),0),
IF('TL10'!$B$3=L$3,SUMIF('TL10'!$C$10:$C$224,$C111,'TL10'!$J$10:$J$224),0),
IF('TL10'!$B$229=L$3,SUMIF('TL10'!$C$238:$C$451,$C111,'TL10'!$J$238:$J$451),0),
IF('TL11'!$B$3=L$3,SUMIF('TL11'!$C$10:$C$224,$C111,'TL11'!$J$10:$J$224),0),
IF('TL11'!$B$229=L$3,SUMIF('TL11'!$C$238:$C$451,$C111,'TL11'!$J$238:$J$451),0),
IF('TL12'!$B$3=L$3,SUMIF('TL12'!$C$10:$C$224,$C111,'TL12'!$J$10:$J$224),0),
IF('TL12'!$B$229=L$3,SUMIF('TL12'!$C$238:$C$451,$C111,'TL12'!$J$238:$J$451),0),
IF('TL13'!$B$3=L$3,SUMIF('TL13'!$C$10:$C$224,$C111,'TL13'!$J$10:$J$224),0),
IF('TL13'!$B$229=L$3,SUMIF('TL13'!$C$238:$C$451,$C111,'TL13'!$J$238:$J$451),0),
IF('TL14'!$B$3=L$3,SUMIF('TL14'!$C$10:$C$224,$C111,'TL14'!$J$10:$J$224),0),
IF('TL14'!$B$229=L$3,SUMIF('TL14'!$C$238:$C$451,$C111,'TL14'!$J$238:$J$451),0),
IF('TL15'!$B$3=L$3,SUMIF('TL15'!$C$10:$C$224,$C111,'TL15'!$J$10:$J$224),0),
IF('TL15'!$B$229=L$3,SUMIF('TL15'!$C$238:$C$451,$C111,'TL15'!$J$238:$J$451),0),
IF('TL16'!$B$3=L$3,SUMIF('TL16'!$C$10:$C$224,$C111,'TL16'!$J$10:$J$224),0),
IF('TL16'!$B$229=L$3,SUMIF('TL16'!$C$238:$C$451,$C111,'TL16'!$J$238:$J$451),0),
IF('TL17'!$B$3=L$3,SUMIF('TL17'!$C$10:$C$224,$C111,'TL17'!$J$10:$J$224),0),
IF('TL17'!$B$229=L$3,SUMIF('TL17'!$C$238:$C$451,$C111,'TL17'!$J$238:$J$451),0),
IF('TL18'!$B$3=L$3,SUMIF('TL18'!$C$10:$C$224,$C111,'TL18'!$J$10:$J$224),0),
IF('TL18'!$B$229=L$3,SUMIF('TL18'!$C$238:$C$451,$C111,'TL18'!$J$238:$J$451),0),
IF('TL19'!$B$3=L$3,SUMIF('TL19'!$C$10:$C$224,$C111,'TL19'!$J$10:$J$224),0),
IF('TL19'!$B$229=L$3,SUMIF('TL19'!$C$238:$C$451,$C111,'TL19'!$J$238:$J$451),0)
),0)</f>
        <v>0</v>
      </c>
      <c r="M111" s="9">
        <f>IFERROR(SUM(
IF('TL01'!$B$3=M$3,SUMIF('TL01'!$C$10:$C$224,$C111,'TL01'!$J$10:$J$224),0),
IF('TL01'!$B$229=M$3,SUMIF('TL01'!$C$238:$C$451,$C111,'TL01'!$J$238:$J$451),0),
IF('TL02'!$B$3=M$3,SUMIF('TL02'!$C$10:$C$224,$C111,'TL02'!$J$10:$J$224),0),
IF('TL02'!$B$229=M$3,SUMIF('TL02'!$C$238:$C$451,$C111,'TL02'!$J$238:$J$451),0),
IF('TL03'!$B$3=M$3,SUMIF('TL03'!$C$10:$C$224,$C111,'TL03'!$J$10:$J$224),0),
IF('TL03'!$B$229=M$3,SUMIF('TL03'!$C$238:$C$451,$C111,'TL03'!$J$238:$J$451),0),
IF('TL04'!$B$3=M$3,SUMIF('TL04'!$C$10:$C$224,$C111,'TL04'!$J$10:$J$224),0),
IF('TL04'!$B$229=M$3,SUMIF('TL04'!$C$238:$C$451,$C111,'TL04'!$J$238:$J$451),0),
IF('TL05'!$B$3=M$3,SUMIF('TL05'!$C$10:$C$224,$C111,'TL05'!$J$10:$J$224),0),
IF('TL05'!$B$229=M$3,SUMIF('TL05'!$C$238:$C$451,$C111,'TL05'!$J$238:$J$451),0),
IF('TL06'!$B$3=M$3,SUMIF('TL06'!$C$10:$C$224,$C111,'TL06'!$J$10:$J$224),0),
IF('TL06'!$B$229=M$3,SUMIF('TL06'!$C$238:$C$451,$C111,'TL06'!$J$238:$J$451),0),
IF('TL07'!$B$3=M$3,SUMIF('TL07'!$C$10:$C$224,$C111,'TL07'!$J$10:$J$224),0),
IF('TL07'!$B$229=M$3,SUMIF('TL07'!$C$238:$C$451,$C111,'TL07'!$J$238:$J$451),0),
IF('TL08'!$B$3=M$3,SUMIF('TL08'!$C$10:$C$224,$C111,'TL08'!$J$10:$J$224),0),
IF('TL08'!$B$229=M$3,SUMIF('TL08'!$C$238:$C$451,$C111,'TL08'!$J$238:$J$451),0),
IF('TL09'!$B$3=M$3,SUMIF('TL09'!$C$10:$C$224,$C111,'TL09'!$J$10:$J$224),0),
IF('TL09'!$B$229=M$3,SUMIF('TL09'!$C$238:$C$451,$C111,'TL09'!$J$238:$J$451),0),
IF('TL10'!$B$3=M$3,SUMIF('TL10'!$C$10:$C$224,$C111,'TL10'!$J$10:$J$224),0),
IF('TL10'!$B$229=M$3,SUMIF('TL10'!$C$238:$C$451,$C111,'TL10'!$J$238:$J$451),0),
IF('TL11'!$B$3=M$3,SUMIF('TL11'!$C$10:$C$224,$C111,'TL11'!$J$10:$J$224),0),
IF('TL11'!$B$229=M$3,SUMIF('TL11'!$C$238:$C$451,$C111,'TL11'!$J$238:$J$451),0),
IF('TL12'!$B$3=M$3,SUMIF('TL12'!$C$10:$C$224,$C111,'TL12'!$J$10:$J$224),0),
IF('TL12'!$B$229=M$3,SUMIF('TL12'!$C$238:$C$451,$C111,'TL12'!$J$238:$J$451),0),
IF('TL13'!$B$3=M$3,SUMIF('TL13'!$C$10:$C$224,$C111,'TL13'!$J$10:$J$224),0),
IF('TL13'!$B$229=M$3,SUMIF('TL13'!$C$238:$C$451,$C111,'TL13'!$J$238:$J$451),0),
IF('TL14'!$B$3=M$3,SUMIF('TL14'!$C$10:$C$224,$C111,'TL14'!$J$10:$J$224),0),
IF('TL14'!$B$229=M$3,SUMIF('TL14'!$C$238:$C$451,$C111,'TL14'!$J$238:$J$451),0),
IF('TL15'!$B$3=M$3,SUMIF('TL15'!$C$10:$C$224,$C111,'TL15'!$J$10:$J$224),0),
IF('TL15'!$B$229=M$3,SUMIF('TL15'!$C$238:$C$451,$C111,'TL15'!$J$238:$J$451),0),
IF('TL16'!$B$3=M$3,SUMIF('TL16'!$C$10:$C$224,$C111,'TL16'!$J$10:$J$224),0),
IF('TL16'!$B$229=M$3,SUMIF('TL16'!$C$238:$C$451,$C111,'TL16'!$J$238:$J$451),0),
IF('TL17'!$B$3=M$3,SUMIF('TL17'!$C$10:$C$224,$C111,'TL17'!$J$10:$J$224),0),
IF('TL17'!$B$229=M$3,SUMIF('TL17'!$C$238:$C$451,$C111,'TL17'!$J$238:$J$451),0),
IF('TL18'!$B$3=M$3,SUMIF('TL18'!$C$10:$C$224,$C111,'TL18'!$J$10:$J$224),0),
IF('TL18'!$B$229=M$3,SUMIF('TL18'!$C$238:$C$451,$C111,'TL18'!$J$238:$J$451),0),
IF('TL19'!$B$3=M$3,SUMIF('TL19'!$C$10:$C$224,$C111,'TL19'!$J$10:$J$224),0),
IF('TL19'!$B$229=M$3,SUMIF('TL19'!$C$238:$C$451,$C111,'TL19'!$J$238:$J$451),0)
),0)</f>
        <v>0</v>
      </c>
      <c r="N111" s="9">
        <f>IFERROR(SUM(
IF('TL01'!$B$3=N$3,SUMIF('TL01'!$C$10:$C$224,$C111,'TL01'!$J$10:$J$224),0),
IF('TL01'!$B$229=N$3,SUMIF('TL01'!$C$238:$C$451,$C111,'TL01'!$J$238:$J$451),0),
IF('TL02'!$B$3=N$3,SUMIF('TL02'!$C$10:$C$224,$C111,'TL02'!$J$10:$J$224),0),
IF('TL02'!$B$229=N$3,SUMIF('TL02'!$C$238:$C$451,$C111,'TL02'!$J$238:$J$451),0),
IF('TL03'!$B$3=N$3,SUMIF('TL03'!$C$10:$C$224,$C111,'TL03'!$J$10:$J$224),0),
IF('TL03'!$B$229=N$3,SUMIF('TL03'!$C$238:$C$451,$C111,'TL03'!$J$238:$J$451),0),
IF('TL04'!$B$3=N$3,SUMIF('TL04'!$C$10:$C$224,$C111,'TL04'!$J$10:$J$224),0),
IF('TL04'!$B$229=N$3,SUMIF('TL04'!$C$238:$C$451,$C111,'TL04'!$J$238:$J$451),0),
IF('TL05'!$B$3=N$3,SUMIF('TL05'!$C$10:$C$224,$C111,'TL05'!$J$10:$J$224),0),
IF('TL05'!$B$229=N$3,SUMIF('TL05'!$C$238:$C$451,$C111,'TL05'!$J$238:$J$451),0),
IF('TL06'!$B$3=N$3,SUMIF('TL06'!$C$10:$C$224,$C111,'TL06'!$J$10:$J$224),0),
IF('TL06'!$B$229=N$3,SUMIF('TL06'!$C$238:$C$451,$C111,'TL06'!$J$238:$J$451),0),
IF('TL07'!$B$3=N$3,SUMIF('TL07'!$C$10:$C$224,$C111,'TL07'!$J$10:$J$224),0),
IF('TL07'!$B$229=N$3,SUMIF('TL07'!$C$238:$C$451,$C111,'TL07'!$J$238:$J$451),0),
IF('TL08'!$B$3=N$3,SUMIF('TL08'!$C$10:$C$224,$C111,'TL08'!$J$10:$J$224),0),
IF('TL08'!$B$229=N$3,SUMIF('TL08'!$C$238:$C$451,$C111,'TL08'!$J$238:$J$451),0),
IF('TL09'!$B$3=N$3,SUMIF('TL09'!$C$10:$C$224,$C111,'TL09'!$J$10:$J$224),0),
IF('TL09'!$B$229=N$3,SUMIF('TL09'!$C$238:$C$451,$C111,'TL09'!$J$238:$J$451),0),
IF('TL10'!$B$3=N$3,SUMIF('TL10'!$C$10:$C$224,$C111,'TL10'!$J$10:$J$224),0),
IF('TL10'!$B$229=N$3,SUMIF('TL10'!$C$238:$C$451,$C111,'TL10'!$J$238:$J$451),0),
IF('TL11'!$B$3=N$3,SUMIF('TL11'!$C$10:$C$224,$C111,'TL11'!$J$10:$J$224),0),
IF('TL11'!$B$229=N$3,SUMIF('TL11'!$C$238:$C$451,$C111,'TL11'!$J$238:$J$451),0),
IF('TL12'!$B$3=N$3,SUMIF('TL12'!$C$10:$C$224,$C111,'TL12'!$J$10:$J$224),0),
IF('TL12'!$B$229=N$3,SUMIF('TL12'!$C$238:$C$451,$C111,'TL12'!$J$238:$J$451),0),
IF('TL13'!$B$3=N$3,SUMIF('TL13'!$C$10:$C$224,$C111,'TL13'!$J$10:$J$224),0),
IF('TL13'!$B$229=N$3,SUMIF('TL13'!$C$238:$C$451,$C111,'TL13'!$J$238:$J$451),0),
IF('TL14'!$B$3=N$3,SUMIF('TL14'!$C$10:$C$224,$C111,'TL14'!$J$10:$J$224),0),
IF('TL14'!$B$229=N$3,SUMIF('TL14'!$C$238:$C$451,$C111,'TL14'!$J$238:$J$451),0),
IF('TL15'!$B$3=N$3,SUMIF('TL15'!$C$10:$C$224,$C111,'TL15'!$J$10:$J$224),0),
IF('TL15'!$B$229=N$3,SUMIF('TL15'!$C$238:$C$451,$C111,'TL15'!$J$238:$J$451),0),
IF('TL16'!$B$3=N$3,SUMIF('TL16'!$C$10:$C$224,$C111,'TL16'!$J$10:$J$224),0),
IF('TL16'!$B$229=N$3,SUMIF('TL16'!$C$238:$C$451,$C111,'TL16'!$J$238:$J$451),0),
IF('TL17'!$B$3=N$3,SUMIF('TL17'!$C$10:$C$224,$C111,'TL17'!$J$10:$J$224),0),
IF('TL17'!$B$229=N$3,SUMIF('TL17'!$C$238:$C$451,$C111,'TL17'!$J$238:$J$451),0),
IF('TL18'!$B$3=N$3,SUMIF('TL18'!$C$10:$C$224,$C111,'TL18'!$J$10:$J$224),0),
IF('TL18'!$B$229=N$3,SUMIF('TL18'!$C$238:$C$451,$C111,'TL18'!$J$238:$J$451),0),
IF('TL19'!$B$3=N$3,SUMIF('TL19'!$C$10:$C$224,$C111,'TL19'!$J$10:$J$224),0),
IF('TL19'!$B$229=N$3,SUMIF('TL19'!$C$238:$C$451,$C111,'TL19'!$J$238:$J$451),0)
),0)</f>
        <v>0</v>
      </c>
      <c r="O111" s="9">
        <f>IFERROR(SUM(
IF('TL01'!$B$3=O$3,SUMIF('TL01'!$C$10:$C$224,$C111,'TL01'!$J$10:$J$224),0),
IF('TL01'!$B$229=O$3,SUMIF('TL01'!$C$238:$C$451,$C111,'TL01'!$J$238:$J$451),0),
IF('TL02'!$B$3=O$3,SUMIF('TL02'!$C$10:$C$224,$C111,'TL02'!$J$10:$J$224),0),
IF('TL02'!$B$229=O$3,SUMIF('TL02'!$C$238:$C$451,$C111,'TL02'!$J$238:$J$451),0),
IF('TL03'!$B$3=O$3,SUMIF('TL03'!$C$10:$C$224,$C111,'TL03'!$J$10:$J$224),0),
IF('TL03'!$B$229=O$3,SUMIF('TL03'!$C$238:$C$451,$C111,'TL03'!$J$238:$J$451),0),
IF('TL04'!$B$3=O$3,SUMIF('TL04'!$C$10:$C$224,$C111,'TL04'!$J$10:$J$224),0),
IF('TL04'!$B$229=O$3,SUMIF('TL04'!$C$238:$C$451,$C111,'TL04'!$J$238:$J$451),0),
IF('TL05'!$B$3=O$3,SUMIF('TL05'!$C$10:$C$224,$C111,'TL05'!$J$10:$J$224),0),
IF('TL05'!$B$229=O$3,SUMIF('TL05'!$C$238:$C$451,$C111,'TL05'!$J$238:$J$451),0),
IF('TL06'!$B$3=O$3,SUMIF('TL06'!$C$10:$C$224,$C111,'TL06'!$J$10:$J$224),0),
IF('TL06'!$B$229=O$3,SUMIF('TL06'!$C$238:$C$451,$C111,'TL06'!$J$238:$J$451),0),
IF('TL07'!$B$3=O$3,SUMIF('TL07'!$C$10:$C$224,$C111,'TL07'!$J$10:$J$224),0),
IF('TL07'!$B$229=O$3,SUMIF('TL07'!$C$238:$C$451,$C111,'TL07'!$J$238:$J$451),0),
IF('TL08'!$B$3=O$3,SUMIF('TL08'!$C$10:$C$224,$C111,'TL08'!$J$10:$J$224),0),
IF('TL08'!$B$229=O$3,SUMIF('TL08'!$C$238:$C$451,$C111,'TL08'!$J$238:$J$451),0),
IF('TL09'!$B$3=O$3,SUMIF('TL09'!$C$10:$C$224,$C111,'TL09'!$J$10:$J$224),0),
IF('TL09'!$B$229=O$3,SUMIF('TL09'!$C$238:$C$451,$C111,'TL09'!$J$238:$J$451),0),
IF('TL10'!$B$3=O$3,SUMIF('TL10'!$C$10:$C$224,$C111,'TL10'!$J$10:$J$224),0),
IF('TL10'!$B$229=O$3,SUMIF('TL10'!$C$238:$C$451,$C111,'TL10'!$J$238:$J$451),0),
IF('TL11'!$B$3=O$3,SUMIF('TL11'!$C$10:$C$224,$C111,'TL11'!$J$10:$J$224),0),
IF('TL11'!$B$229=O$3,SUMIF('TL11'!$C$238:$C$451,$C111,'TL11'!$J$238:$J$451),0),
IF('TL12'!$B$3=O$3,SUMIF('TL12'!$C$10:$C$224,$C111,'TL12'!$J$10:$J$224),0),
IF('TL12'!$B$229=O$3,SUMIF('TL12'!$C$238:$C$451,$C111,'TL12'!$J$238:$J$451),0),
IF('TL13'!$B$3=O$3,SUMIF('TL13'!$C$10:$C$224,$C111,'TL13'!$J$10:$J$224),0),
IF('TL13'!$B$229=O$3,SUMIF('TL13'!$C$238:$C$451,$C111,'TL13'!$J$238:$J$451),0),
IF('TL14'!$B$3=O$3,SUMIF('TL14'!$C$10:$C$224,$C111,'TL14'!$J$10:$J$224),0),
IF('TL14'!$B$229=O$3,SUMIF('TL14'!$C$238:$C$451,$C111,'TL14'!$J$238:$J$451),0),
IF('TL15'!$B$3=O$3,SUMIF('TL15'!$C$10:$C$224,$C111,'TL15'!$J$10:$J$224),0),
IF('TL15'!$B$229=O$3,SUMIF('TL15'!$C$238:$C$451,$C111,'TL15'!$J$238:$J$451),0),
IF('TL16'!$B$3=O$3,SUMIF('TL16'!$C$10:$C$224,$C111,'TL16'!$J$10:$J$224),0),
IF('TL16'!$B$229=O$3,SUMIF('TL16'!$C$238:$C$451,$C111,'TL16'!$J$238:$J$451),0),
IF('TL17'!$B$3=O$3,SUMIF('TL17'!$C$10:$C$224,$C111,'TL17'!$J$10:$J$224),0),
IF('TL17'!$B$229=O$3,SUMIF('TL17'!$C$238:$C$451,$C111,'TL17'!$J$238:$J$451),0),
IF('TL18'!$B$3=O$3,SUMIF('TL18'!$C$10:$C$224,$C111,'TL18'!$J$10:$J$224),0),
IF('TL18'!$B$229=O$3,SUMIF('TL18'!$C$238:$C$451,$C111,'TL18'!$J$238:$J$451),0),
IF('TL19'!$B$3=O$3,SUMIF('TL19'!$C$10:$C$224,$C111,'TL19'!$J$10:$J$224),0),
IF('TL19'!$B$229=O$3,SUMIF('TL19'!$C$238:$C$451,$C111,'TL19'!$J$238:$J$451),0)
),0)</f>
        <v>0</v>
      </c>
      <c r="P111" s="9">
        <f>IFERROR(SUM(
IF('TL01'!$B$3=P$3,SUMIF('TL01'!$C$10:$C$224,$C111,'TL01'!$J$10:$J$224),0),
IF('TL01'!$B$229=P$3,SUMIF('TL01'!$C$238:$C$451,$C111,'TL01'!$J$238:$J$451),0),
IF('TL02'!$B$3=P$3,SUMIF('TL02'!$C$10:$C$224,$C111,'TL02'!$J$10:$J$224),0),
IF('TL02'!$B$229=P$3,SUMIF('TL02'!$C$238:$C$451,$C111,'TL02'!$J$238:$J$451),0),
IF('TL03'!$B$3=P$3,SUMIF('TL03'!$C$10:$C$224,$C111,'TL03'!$J$10:$J$224),0),
IF('TL03'!$B$229=P$3,SUMIF('TL03'!$C$238:$C$451,$C111,'TL03'!$J$238:$J$451),0),
IF('TL04'!$B$3=P$3,SUMIF('TL04'!$C$10:$C$224,$C111,'TL04'!$J$10:$J$224),0),
IF('TL04'!$B$229=P$3,SUMIF('TL04'!$C$238:$C$451,$C111,'TL04'!$J$238:$J$451),0),
IF('TL05'!$B$3=P$3,SUMIF('TL05'!$C$10:$C$224,$C111,'TL05'!$J$10:$J$224),0),
IF('TL05'!$B$229=P$3,SUMIF('TL05'!$C$238:$C$451,$C111,'TL05'!$J$238:$J$451),0),
IF('TL06'!$B$3=P$3,SUMIF('TL06'!$C$10:$C$224,$C111,'TL06'!$J$10:$J$224),0),
IF('TL06'!$B$229=P$3,SUMIF('TL06'!$C$238:$C$451,$C111,'TL06'!$J$238:$J$451),0),
IF('TL07'!$B$3=P$3,SUMIF('TL07'!$C$10:$C$224,$C111,'TL07'!$J$10:$J$224),0),
IF('TL07'!$B$229=P$3,SUMIF('TL07'!$C$238:$C$451,$C111,'TL07'!$J$238:$J$451),0),
IF('TL08'!$B$3=P$3,SUMIF('TL08'!$C$10:$C$224,$C111,'TL08'!$J$10:$J$224),0),
IF('TL08'!$B$229=P$3,SUMIF('TL08'!$C$238:$C$451,$C111,'TL08'!$J$238:$J$451),0),
IF('TL09'!$B$3=P$3,SUMIF('TL09'!$C$10:$C$224,$C111,'TL09'!$J$10:$J$224),0),
IF('TL09'!$B$229=P$3,SUMIF('TL09'!$C$238:$C$451,$C111,'TL09'!$J$238:$J$451),0),
IF('TL10'!$B$3=P$3,SUMIF('TL10'!$C$10:$C$224,$C111,'TL10'!$J$10:$J$224),0),
IF('TL10'!$B$229=P$3,SUMIF('TL10'!$C$238:$C$451,$C111,'TL10'!$J$238:$J$451),0),
IF('TL11'!$B$3=P$3,SUMIF('TL11'!$C$10:$C$224,$C111,'TL11'!$J$10:$J$224),0),
IF('TL11'!$B$229=P$3,SUMIF('TL11'!$C$238:$C$451,$C111,'TL11'!$J$238:$J$451),0),
IF('TL12'!$B$3=P$3,SUMIF('TL12'!$C$10:$C$224,$C111,'TL12'!$J$10:$J$224),0),
IF('TL12'!$B$229=P$3,SUMIF('TL12'!$C$238:$C$451,$C111,'TL12'!$J$238:$J$451),0),
IF('TL13'!$B$3=P$3,SUMIF('TL13'!$C$10:$C$224,$C111,'TL13'!$J$10:$J$224),0),
IF('TL13'!$B$229=P$3,SUMIF('TL13'!$C$238:$C$451,$C111,'TL13'!$J$238:$J$451),0),
IF('TL14'!$B$3=P$3,SUMIF('TL14'!$C$10:$C$224,$C111,'TL14'!$J$10:$J$224),0),
IF('TL14'!$B$229=P$3,SUMIF('TL14'!$C$238:$C$451,$C111,'TL14'!$J$238:$J$451),0),
IF('TL15'!$B$3=P$3,SUMIF('TL15'!$C$10:$C$224,$C111,'TL15'!$J$10:$J$224),0),
IF('TL15'!$B$229=P$3,SUMIF('TL15'!$C$238:$C$451,$C111,'TL15'!$J$238:$J$451),0),
IF('TL16'!$B$3=P$3,SUMIF('TL16'!$C$10:$C$224,$C111,'TL16'!$J$10:$J$224),0),
IF('TL16'!$B$229=P$3,SUMIF('TL16'!$C$238:$C$451,$C111,'TL16'!$J$238:$J$451),0),
IF('TL17'!$B$3=P$3,SUMIF('TL17'!$C$10:$C$224,$C111,'TL17'!$J$10:$J$224),0),
IF('TL17'!$B$229=P$3,SUMIF('TL17'!$C$238:$C$451,$C111,'TL17'!$J$238:$J$451),0),
IF('TL18'!$B$3=P$3,SUMIF('TL18'!$C$10:$C$224,$C111,'TL18'!$J$10:$J$224),0),
IF('TL18'!$B$229=P$3,SUMIF('TL18'!$C$238:$C$451,$C111,'TL18'!$J$238:$J$451),0),
IF('TL19'!$B$3=P$3,SUMIF('TL19'!$C$10:$C$224,$C111,'TL19'!$J$10:$J$224),0),
IF('TL19'!$B$229=P$3,SUMIF('TL19'!$C$238:$C$451,$C111,'TL19'!$J$238:$J$451),0)
),0)</f>
        <v>0</v>
      </c>
      <c r="Q111" s="9">
        <f>IFERROR(SUM(
IF('TL01'!$B$3=Q$3,SUMIF('TL01'!$C$10:$C$224,$C111,'TL01'!$J$10:$J$224),0),
IF('TL01'!$B$229=Q$3,SUMIF('TL01'!$C$238:$C$451,$C111,'TL01'!$J$238:$J$451),0),
IF('TL02'!$B$3=Q$3,SUMIF('TL02'!$C$10:$C$224,$C111,'TL02'!$J$10:$J$224),0),
IF('TL02'!$B$229=Q$3,SUMIF('TL02'!$C$238:$C$451,$C111,'TL02'!$J$238:$J$451),0),
IF('TL03'!$B$3=Q$3,SUMIF('TL03'!$C$10:$C$224,$C111,'TL03'!$J$10:$J$224),0),
IF('TL03'!$B$229=Q$3,SUMIF('TL03'!$C$238:$C$451,$C111,'TL03'!$J$238:$J$451),0),
IF('TL04'!$B$3=Q$3,SUMIF('TL04'!$C$10:$C$224,$C111,'TL04'!$J$10:$J$224),0),
IF('TL04'!$B$229=Q$3,SUMIF('TL04'!$C$238:$C$451,$C111,'TL04'!$J$238:$J$451),0),
IF('TL05'!$B$3=Q$3,SUMIF('TL05'!$C$10:$C$224,$C111,'TL05'!$J$10:$J$224),0),
IF('TL05'!$B$229=Q$3,SUMIF('TL05'!$C$238:$C$451,$C111,'TL05'!$J$238:$J$451),0),
IF('TL06'!$B$3=Q$3,SUMIF('TL06'!$C$10:$C$224,$C111,'TL06'!$J$10:$J$224),0),
IF('TL06'!$B$229=Q$3,SUMIF('TL06'!$C$238:$C$451,$C111,'TL06'!$J$238:$J$451),0),
IF('TL07'!$B$3=Q$3,SUMIF('TL07'!$C$10:$C$224,$C111,'TL07'!$J$10:$J$224),0),
IF('TL07'!$B$229=Q$3,SUMIF('TL07'!$C$238:$C$451,$C111,'TL07'!$J$238:$J$451),0),
IF('TL08'!$B$3=Q$3,SUMIF('TL08'!$C$10:$C$224,$C111,'TL08'!$J$10:$J$224),0),
IF('TL08'!$B$229=Q$3,SUMIF('TL08'!$C$238:$C$451,$C111,'TL08'!$J$238:$J$451),0),
IF('TL09'!$B$3=Q$3,SUMIF('TL09'!$C$10:$C$224,$C111,'TL09'!$J$10:$J$224),0),
IF('TL09'!$B$229=Q$3,SUMIF('TL09'!$C$238:$C$451,$C111,'TL09'!$J$238:$J$451),0),
IF('TL10'!$B$3=Q$3,SUMIF('TL10'!$C$10:$C$224,$C111,'TL10'!$J$10:$J$224),0),
IF('TL10'!$B$229=Q$3,SUMIF('TL10'!$C$238:$C$451,$C111,'TL10'!$J$238:$J$451),0),
IF('TL11'!$B$3=Q$3,SUMIF('TL11'!$C$10:$C$224,$C111,'TL11'!$J$10:$J$224),0),
IF('TL11'!$B$229=Q$3,SUMIF('TL11'!$C$238:$C$451,$C111,'TL11'!$J$238:$J$451),0),
IF('TL12'!$B$3=Q$3,SUMIF('TL12'!$C$10:$C$224,$C111,'TL12'!$J$10:$J$224),0),
IF('TL12'!$B$229=Q$3,SUMIF('TL12'!$C$238:$C$451,$C111,'TL12'!$J$238:$J$451),0),
IF('TL13'!$B$3=Q$3,SUMIF('TL13'!$C$10:$C$224,$C111,'TL13'!$J$10:$J$224),0),
IF('TL13'!$B$229=Q$3,SUMIF('TL13'!$C$238:$C$451,$C111,'TL13'!$J$238:$J$451),0),
IF('TL14'!$B$3=Q$3,SUMIF('TL14'!$C$10:$C$224,$C111,'TL14'!$J$10:$J$224),0),
IF('TL14'!$B$229=Q$3,SUMIF('TL14'!$C$238:$C$451,$C111,'TL14'!$J$238:$J$451),0),
IF('TL15'!$B$3=Q$3,SUMIF('TL15'!$C$10:$C$224,$C111,'TL15'!$J$10:$J$224),0),
IF('TL15'!$B$229=Q$3,SUMIF('TL15'!$C$238:$C$451,$C111,'TL15'!$J$238:$J$451),0),
IF('TL16'!$B$3=Q$3,SUMIF('TL16'!$C$10:$C$224,$C111,'TL16'!$J$10:$J$224),0),
IF('TL16'!$B$229=Q$3,SUMIF('TL16'!$C$238:$C$451,$C111,'TL16'!$J$238:$J$451),0),
IF('TL17'!$B$3=Q$3,SUMIF('TL17'!$C$10:$C$224,$C111,'TL17'!$J$10:$J$224),0),
IF('TL17'!$B$229=Q$3,SUMIF('TL17'!$C$238:$C$451,$C111,'TL17'!$J$238:$J$451),0),
IF('TL18'!$B$3=Q$3,SUMIF('TL18'!$C$10:$C$224,$C111,'TL18'!$J$10:$J$224),0),
IF('TL18'!$B$229=Q$3,SUMIF('TL18'!$C$238:$C$451,$C111,'TL18'!$J$238:$J$451),0),
IF('TL19'!$B$3=Q$3,SUMIF('TL19'!$C$10:$C$224,$C111,'TL19'!$J$10:$J$224),0),
IF('TL19'!$B$229=Q$3,SUMIF('TL19'!$C$238:$C$451,$C111,'TL19'!$J$238:$J$451),0)
),0)</f>
        <v>0</v>
      </c>
      <c r="R111" s="9">
        <f>IFERROR(
SUM(
SUMIF('TL01'!C:C,C111,'TL01'!J:J),
SUMIF('TL02'!C:C,C111,'TL02'!J:J),
SUMIF('TL03'!C:C,C111,'TL03'!J:J),
SUMIF('TL04'!C:C,C111,'TL04'!J:J),
SUMIF('TL05'!C:C,C111,'TL05'!J:J),
SUMIF('TL06'!C:C,C111,'TL06'!J:J),
SUMIF('TL07'!C:C,C111,'TL07'!J:J),
SUMIF('TL08'!C:C,C111,'TL08'!J:J),
SUMIF('TL09'!C:C,C111,'TL09'!J:J),
SUMIF('TL10'!C:C,C111,'TL10'!J:J),
SUMIF('TL11'!C:C,C111,'TL11'!J:J),
SUMIF('TL12'!C:C,C111,'TL12'!J:J),
SUMIF('TL13'!C:C,C111,'TL13'!J:J),
SUMIF('TL14'!C:C,C111,'TL14'!J:J),
SUMIF('TL15'!C:C,C111,'TL15'!J:J),
SUMIF('TL16'!C:C,C111,'TL16'!J:J),
SUMIF('TL17'!C:C,C111,'TL17'!J:J),
SUMIF('TL18'!C:C,C111,'TL18'!J:J),SUMIF('TL19'!C:C,C111,'TL19'!J:J))
,0)</f>
        <v>0</v>
      </c>
      <c r="S111" s="17">
        <f>IFERROR(__xludf.DUMMYFUNCTION("IFERROR(VLOOKUP(C111,
IMPORTRANGE(""1wULbzX32WdYsx-lj2U3uUNBBe2INVIRDtcK0d-Dvl90"",
""26-27!C:G""),
5,
FALSE),
"""")"),35.78848)</f>
        <v>35.78848</v>
      </c>
      <c r="T111" s="9"/>
      <c r="U111" s="92">
        <f t="shared" si="2"/>
        <v>0</v>
      </c>
      <c r="V111" s="93">
        <f t="shared" si="3"/>
        <v>0</v>
      </c>
    </row>
    <row r="112" ht="15.75" hidden="1" customHeight="1">
      <c r="A112" s="115" t="s">
        <v>345</v>
      </c>
      <c r="B112" s="100" t="s">
        <v>1</v>
      </c>
      <c r="C112" s="116" t="s">
        <v>620</v>
      </c>
      <c r="D112" s="116" t="s">
        <v>621</v>
      </c>
      <c r="E112" s="116" t="s">
        <v>622</v>
      </c>
      <c r="F112" s="4" t="s">
        <v>343</v>
      </c>
      <c r="G112" s="90" t="str">
        <f t="shared" si="4"/>
        <v>📄 Ver bula</v>
      </c>
      <c r="H112" s="9" t="str">
        <f>IFERROR(__xludf.DUMMYFUNCTION("IFERROR(VLOOKUP(C112,
IMPORTRANGE(""1wULbzX32WdYsx-lj2U3uUNBBe2INVIRDtcK0d-Dvl90"",
""26-27!C:K""),
8,
FALSE),
"""")"),"")</f>
        <v/>
      </c>
      <c r="I112" s="117" t="s">
        <v>361</v>
      </c>
      <c r="J112" s="9">
        <f>IFERROR(SUM(
IF('TL01'!$B$3=J$3,SUMIF('TL01'!$C$10:$C$224,$C112,'TL01'!$J$10:$J$224),0),
IF('TL01'!$B$229=J$3,SUMIF('TL01'!$C$238:$C$451,$C112,'TL01'!$J$238:$J$451),0),
IF('TL02'!$B$3=J$3,SUMIF('TL02'!$C$10:$C$224,$C112,'TL02'!$J$10:$J$224),0),
IF('TL02'!$B$229=J$3,SUMIF('TL02'!$C$238:$C$451,$C112,'TL02'!$J$238:$J$451),0),
IF('TL03'!$B$3=J$3,SUMIF('TL03'!$C$10:$C$224,$C112,'TL03'!$J$10:$J$224),0),
IF('TL03'!$B$229=J$3,SUMIF('TL03'!$C$238:$C$451,$C112,'TL03'!$J$238:$J$451),0),
IF('TL04'!$B$3=J$3,SUMIF('TL04'!$C$10:$C$224,$C112,'TL04'!$J$10:$J$224),0),
IF('TL04'!$B$229=J$3,SUMIF('TL04'!$C$238:$C$451,$C112,'TL04'!$J$238:$J$451),0),
IF('TL05'!$B$3=J$3,SUMIF('TL05'!$C$10:$C$224,$C112,'TL05'!$J$10:$J$224),0),
IF('TL05'!$B$229=J$3,SUMIF('TL05'!$C$238:$C$451,$C112,'TL05'!$J$238:$J$451),0),
IF('TL06'!$B$3=J$3,SUMIF('TL06'!$C$10:$C$224,$C112,'TL06'!$J$10:$J$224),0),
IF('TL06'!$B$229=J$3,SUMIF('TL06'!$C$238:$C$451,$C112,'TL06'!$J$238:$J$451),0),
IF('TL07'!$B$3=J$3,SUMIF('TL07'!$C$10:$C$224,$C112,'TL07'!$J$10:$J$224),0),
IF('TL07'!$B$229=J$3,SUMIF('TL07'!$C$238:$C$451,$C112,'TL07'!$J$238:$J$451),0),
IF('TL08'!$B$3=J$3,SUMIF('TL08'!$C$10:$C$224,$C112,'TL08'!$J$10:$J$224),0),
IF('TL08'!$B$229=J$3,SUMIF('TL08'!$C$238:$C$451,$C112,'TL08'!$J$238:$J$451),0),
IF('TL09'!$B$3=J$3,SUMIF('TL09'!$C$10:$C$224,$C112,'TL09'!$J$10:$J$224),0),
IF('TL09'!$B$229=J$3,SUMIF('TL09'!$C$238:$C$451,$C112,'TL09'!$J$238:$J$451),0),
IF('TL10'!$B$3=J$3,SUMIF('TL10'!$C$10:$C$224,$C112,'TL10'!$J$10:$J$224),0),
IF('TL10'!$B$229=J$3,SUMIF('TL10'!$C$238:$C$451,$C112,'TL10'!$J$238:$J$451),0),
IF('TL11'!$B$3=J$3,SUMIF('TL11'!$C$10:$C$224,$C112,'TL11'!$J$10:$J$224),0),
IF('TL11'!$B$229=J$3,SUMIF('TL11'!$C$238:$C$451,$C112,'TL11'!$J$238:$J$451),0),
IF('TL12'!$B$3=J$3,SUMIF('TL12'!$C$10:$C$224,$C112,'TL12'!$J$10:$J$224),0),
IF('TL12'!$B$229=J$3,SUMIF('TL12'!$C$238:$C$451,$C112,'TL12'!$J$238:$J$451),0),
IF('TL13'!$B$3=J$3,SUMIF('TL13'!$C$10:$C$224,$C112,'TL13'!$J$10:$J$224),0),
IF('TL13'!$B$229=J$3,SUMIF('TL13'!$C$238:$C$451,$C112,'TL13'!$J$238:$J$451),0),
IF('TL14'!$B$3=J$3,SUMIF('TL14'!$C$10:$C$224,$C112,'TL14'!$J$10:$J$224),0),
IF('TL14'!$B$229=J$3,SUMIF('TL14'!$C$238:$C$451,$C112,'TL14'!$J$238:$J$451),0),
IF('TL15'!$B$3=J$3,SUMIF('TL15'!$C$10:$C$224,$C112,'TL15'!$J$10:$J$224),0),
IF('TL15'!$B$229=J$3,SUMIF('TL15'!$C$238:$C$451,$C112,'TL15'!$J$238:$J$451),0),
IF('TL16'!$B$3=J$3,SUMIF('TL16'!$C$10:$C$224,$C112,'TL16'!$J$10:$J$224),0),
IF('TL16'!$B$229=J$3,SUMIF('TL16'!$C$238:$C$451,$C112,'TL16'!$J$238:$J$451),0),
IF('TL17'!$B$3=J$3,SUMIF('TL17'!$C$10:$C$224,$C112,'TL17'!$J$10:$J$224),0),
IF('TL17'!$B$229=J$3,SUMIF('TL17'!$C$238:$C$451,$C112,'TL17'!$J$238:$J$451),0),
IF('TL18'!$B$3=J$3,SUMIF('TL18'!$C$10:$C$224,$C112,'TL18'!$J$10:$J$224),0),
IF('TL18'!$B$229=J$3,SUMIF('TL18'!$C$238:$C$451,$C112,'TL18'!$J$238:$J$451),0),
IF('TL19'!$B$3=J$3,SUMIF('TL19'!$C$10:$C$224,$C112,'TL19'!$J$10:$J$224),0),
IF('TL19'!$B$229=J$3,SUMIF('TL19'!$C$238:$C$451,$C112,'TL19'!$J$238:$J$451),0)
),0)</f>
        <v>0</v>
      </c>
      <c r="K112" s="9">
        <f>IFERROR(SUM(
IF('TL01'!$B$3=K$3,SUMIF('TL01'!$C$10:$C$224,$C112,'TL01'!$J$10:$J$224),0),
IF('TL01'!$B$229=K$3,SUMIF('TL01'!$C$238:$C$451,$C112,'TL01'!$J$238:$J$451),0),
IF('TL02'!$B$3=K$3,SUMIF('TL02'!$C$10:$C$224,$C112,'TL02'!$J$10:$J$224),0),
IF('TL02'!$B$229=K$3,SUMIF('TL02'!$C$238:$C$451,$C112,'TL02'!$J$238:$J$451),0),
IF('TL03'!$B$3=K$3,SUMIF('TL03'!$C$10:$C$224,$C112,'TL03'!$J$10:$J$224),0),
IF('TL03'!$B$229=K$3,SUMIF('TL03'!$C$238:$C$451,$C112,'TL03'!$J$238:$J$451),0),
IF('TL04'!$B$3=K$3,SUMIF('TL04'!$C$10:$C$224,$C112,'TL04'!$J$10:$J$224),0),
IF('TL04'!$B$229=K$3,SUMIF('TL04'!$C$238:$C$451,$C112,'TL04'!$J$238:$J$451),0),
IF('TL05'!$B$3=K$3,SUMIF('TL05'!$C$10:$C$224,$C112,'TL05'!$J$10:$J$224),0),
IF('TL05'!$B$229=K$3,SUMIF('TL05'!$C$238:$C$451,$C112,'TL05'!$J$238:$J$451),0),
IF('TL06'!$B$3=K$3,SUMIF('TL06'!$C$10:$C$224,$C112,'TL06'!$J$10:$J$224),0),
IF('TL06'!$B$229=K$3,SUMIF('TL06'!$C$238:$C$451,$C112,'TL06'!$J$238:$J$451),0),
IF('TL07'!$B$3=K$3,SUMIF('TL07'!$C$10:$C$224,$C112,'TL07'!$J$10:$J$224),0),
IF('TL07'!$B$229=K$3,SUMIF('TL07'!$C$238:$C$451,$C112,'TL07'!$J$238:$J$451),0),
IF('TL08'!$B$3=K$3,SUMIF('TL08'!$C$10:$C$224,$C112,'TL08'!$J$10:$J$224),0),
IF('TL08'!$B$229=K$3,SUMIF('TL08'!$C$238:$C$451,$C112,'TL08'!$J$238:$J$451),0),
IF('TL09'!$B$3=K$3,SUMIF('TL09'!$C$10:$C$224,$C112,'TL09'!$J$10:$J$224),0),
IF('TL09'!$B$229=K$3,SUMIF('TL09'!$C$238:$C$451,$C112,'TL09'!$J$238:$J$451),0),
IF('TL10'!$B$3=K$3,SUMIF('TL10'!$C$10:$C$224,$C112,'TL10'!$J$10:$J$224),0),
IF('TL10'!$B$229=K$3,SUMIF('TL10'!$C$238:$C$451,$C112,'TL10'!$J$238:$J$451),0),
IF('TL11'!$B$3=K$3,SUMIF('TL11'!$C$10:$C$224,$C112,'TL11'!$J$10:$J$224),0),
IF('TL11'!$B$229=K$3,SUMIF('TL11'!$C$238:$C$451,$C112,'TL11'!$J$238:$J$451),0),
IF('TL12'!$B$3=K$3,SUMIF('TL12'!$C$10:$C$224,$C112,'TL12'!$J$10:$J$224),0),
IF('TL12'!$B$229=K$3,SUMIF('TL12'!$C$238:$C$451,$C112,'TL12'!$J$238:$J$451),0),
IF('TL13'!$B$3=K$3,SUMIF('TL13'!$C$10:$C$224,$C112,'TL13'!$J$10:$J$224),0),
IF('TL13'!$B$229=K$3,SUMIF('TL13'!$C$238:$C$451,$C112,'TL13'!$J$238:$J$451),0),
IF('TL14'!$B$3=K$3,SUMIF('TL14'!$C$10:$C$224,$C112,'TL14'!$J$10:$J$224),0),
IF('TL14'!$B$229=K$3,SUMIF('TL14'!$C$238:$C$451,$C112,'TL14'!$J$238:$J$451),0),
IF('TL15'!$B$3=K$3,SUMIF('TL15'!$C$10:$C$224,$C112,'TL15'!$J$10:$J$224),0),
IF('TL15'!$B$229=K$3,SUMIF('TL15'!$C$238:$C$451,$C112,'TL15'!$J$238:$J$451),0),
IF('TL16'!$B$3=K$3,SUMIF('TL16'!$C$10:$C$224,$C112,'TL16'!$J$10:$J$224),0),
IF('TL16'!$B$229=K$3,SUMIF('TL16'!$C$238:$C$451,$C112,'TL16'!$J$238:$J$451),0),
IF('TL17'!$B$3=K$3,SUMIF('TL17'!$C$10:$C$224,$C112,'TL17'!$J$10:$J$224),0),
IF('TL17'!$B$229=K$3,SUMIF('TL17'!$C$238:$C$451,$C112,'TL17'!$J$238:$J$451),0),
IF('TL18'!$B$3=K$3,SUMIF('TL18'!$C$10:$C$224,$C112,'TL18'!$J$10:$J$224),0),
IF('TL18'!$B$229=K$3,SUMIF('TL18'!$C$238:$C$451,$C112,'TL18'!$J$238:$J$451),0),
IF('TL19'!$B$3=K$3,SUMIF('TL19'!$C$10:$C$224,$C112,'TL19'!$J$10:$J$224),0),
IF('TL19'!$B$229=K$3,SUMIF('TL19'!$C$238:$C$451,$C112,'TL19'!$J$238:$J$451),0)
),0)</f>
        <v>0</v>
      </c>
      <c r="L112" s="9">
        <f>IFERROR(SUM(
IF('TL01'!$B$3=L$3,SUMIF('TL01'!$C$10:$C$224,$C112,'TL01'!$J$10:$J$224),0),
IF('TL01'!$B$229=L$3,SUMIF('TL01'!$C$238:$C$451,$C112,'TL01'!$J$238:$J$451),0),
IF('TL02'!$B$3=L$3,SUMIF('TL02'!$C$10:$C$224,$C112,'TL02'!$J$10:$J$224),0),
IF('TL02'!$B$229=L$3,SUMIF('TL02'!$C$238:$C$451,$C112,'TL02'!$J$238:$J$451),0),
IF('TL03'!$B$3=L$3,SUMIF('TL03'!$C$10:$C$224,$C112,'TL03'!$J$10:$J$224),0),
IF('TL03'!$B$229=L$3,SUMIF('TL03'!$C$238:$C$451,$C112,'TL03'!$J$238:$J$451),0),
IF('TL04'!$B$3=L$3,SUMIF('TL04'!$C$10:$C$224,$C112,'TL04'!$J$10:$J$224),0),
IF('TL04'!$B$229=L$3,SUMIF('TL04'!$C$238:$C$451,$C112,'TL04'!$J$238:$J$451),0),
IF('TL05'!$B$3=L$3,SUMIF('TL05'!$C$10:$C$224,$C112,'TL05'!$J$10:$J$224),0),
IF('TL05'!$B$229=L$3,SUMIF('TL05'!$C$238:$C$451,$C112,'TL05'!$J$238:$J$451),0),
IF('TL06'!$B$3=L$3,SUMIF('TL06'!$C$10:$C$224,$C112,'TL06'!$J$10:$J$224),0),
IF('TL06'!$B$229=L$3,SUMIF('TL06'!$C$238:$C$451,$C112,'TL06'!$J$238:$J$451),0),
IF('TL07'!$B$3=L$3,SUMIF('TL07'!$C$10:$C$224,$C112,'TL07'!$J$10:$J$224),0),
IF('TL07'!$B$229=L$3,SUMIF('TL07'!$C$238:$C$451,$C112,'TL07'!$J$238:$J$451),0),
IF('TL08'!$B$3=L$3,SUMIF('TL08'!$C$10:$C$224,$C112,'TL08'!$J$10:$J$224),0),
IF('TL08'!$B$229=L$3,SUMIF('TL08'!$C$238:$C$451,$C112,'TL08'!$J$238:$J$451),0),
IF('TL09'!$B$3=L$3,SUMIF('TL09'!$C$10:$C$224,$C112,'TL09'!$J$10:$J$224),0),
IF('TL09'!$B$229=L$3,SUMIF('TL09'!$C$238:$C$451,$C112,'TL09'!$J$238:$J$451),0),
IF('TL10'!$B$3=L$3,SUMIF('TL10'!$C$10:$C$224,$C112,'TL10'!$J$10:$J$224),0),
IF('TL10'!$B$229=L$3,SUMIF('TL10'!$C$238:$C$451,$C112,'TL10'!$J$238:$J$451),0),
IF('TL11'!$B$3=L$3,SUMIF('TL11'!$C$10:$C$224,$C112,'TL11'!$J$10:$J$224),0),
IF('TL11'!$B$229=L$3,SUMIF('TL11'!$C$238:$C$451,$C112,'TL11'!$J$238:$J$451),0),
IF('TL12'!$B$3=L$3,SUMIF('TL12'!$C$10:$C$224,$C112,'TL12'!$J$10:$J$224),0),
IF('TL12'!$B$229=L$3,SUMIF('TL12'!$C$238:$C$451,$C112,'TL12'!$J$238:$J$451),0),
IF('TL13'!$B$3=L$3,SUMIF('TL13'!$C$10:$C$224,$C112,'TL13'!$J$10:$J$224),0),
IF('TL13'!$B$229=L$3,SUMIF('TL13'!$C$238:$C$451,$C112,'TL13'!$J$238:$J$451),0),
IF('TL14'!$B$3=L$3,SUMIF('TL14'!$C$10:$C$224,$C112,'TL14'!$J$10:$J$224),0),
IF('TL14'!$B$229=L$3,SUMIF('TL14'!$C$238:$C$451,$C112,'TL14'!$J$238:$J$451),0),
IF('TL15'!$B$3=L$3,SUMIF('TL15'!$C$10:$C$224,$C112,'TL15'!$J$10:$J$224),0),
IF('TL15'!$B$229=L$3,SUMIF('TL15'!$C$238:$C$451,$C112,'TL15'!$J$238:$J$451),0),
IF('TL16'!$B$3=L$3,SUMIF('TL16'!$C$10:$C$224,$C112,'TL16'!$J$10:$J$224),0),
IF('TL16'!$B$229=L$3,SUMIF('TL16'!$C$238:$C$451,$C112,'TL16'!$J$238:$J$451),0),
IF('TL17'!$B$3=L$3,SUMIF('TL17'!$C$10:$C$224,$C112,'TL17'!$J$10:$J$224),0),
IF('TL17'!$B$229=L$3,SUMIF('TL17'!$C$238:$C$451,$C112,'TL17'!$J$238:$J$451),0),
IF('TL18'!$B$3=L$3,SUMIF('TL18'!$C$10:$C$224,$C112,'TL18'!$J$10:$J$224),0),
IF('TL18'!$B$229=L$3,SUMIF('TL18'!$C$238:$C$451,$C112,'TL18'!$J$238:$J$451),0),
IF('TL19'!$B$3=L$3,SUMIF('TL19'!$C$10:$C$224,$C112,'TL19'!$J$10:$J$224),0),
IF('TL19'!$B$229=L$3,SUMIF('TL19'!$C$238:$C$451,$C112,'TL19'!$J$238:$J$451),0)
),0)</f>
        <v>0</v>
      </c>
      <c r="M112" s="9">
        <f>IFERROR(SUM(
IF('TL01'!$B$3=M$3,SUMIF('TL01'!$C$10:$C$224,$C112,'TL01'!$J$10:$J$224),0),
IF('TL01'!$B$229=M$3,SUMIF('TL01'!$C$238:$C$451,$C112,'TL01'!$J$238:$J$451),0),
IF('TL02'!$B$3=M$3,SUMIF('TL02'!$C$10:$C$224,$C112,'TL02'!$J$10:$J$224),0),
IF('TL02'!$B$229=M$3,SUMIF('TL02'!$C$238:$C$451,$C112,'TL02'!$J$238:$J$451),0),
IF('TL03'!$B$3=M$3,SUMIF('TL03'!$C$10:$C$224,$C112,'TL03'!$J$10:$J$224),0),
IF('TL03'!$B$229=M$3,SUMIF('TL03'!$C$238:$C$451,$C112,'TL03'!$J$238:$J$451),0),
IF('TL04'!$B$3=M$3,SUMIF('TL04'!$C$10:$C$224,$C112,'TL04'!$J$10:$J$224),0),
IF('TL04'!$B$229=M$3,SUMIF('TL04'!$C$238:$C$451,$C112,'TL04'!$J$238:$J$451),0),
IF('TL05'!$B$3=M$3,SUMIF('TL05'!$C$10:$C$224,$C112,'TL05'!$J$10:$J$224),0),
IF('TL05'!$B$229=M$3,SUMIF('TL05'!$C$238:$C$451,$C112,'TL05'!$J$238:$J$451),0),
IF('TL06'!$B$3=M$3,SUMIF('TL06'!$C$10:$C$224,$C112,'TL06'!$J$10:$J$224),0),
IF('TL06'!$B$229=M$3,SUMIF('TL06'!$C$238:$C$451,$C112,'TL06'!$J$238:$J$451),0),
IF('TL07'!$B$3=M$3,SUMIF('TL07'!$C$10:$C$224,$C112,'TL07'!$J$10:$J$224),0),
IF('TL07'!$B$229=M$3,SUMIF('TL07'!$C$238:$C$451,$C112,'TL07'!$J$238:$J$451),0),
IF('TL08'!$B$3=M$3,SUMIF('TL08'!$C$10:$C$224,$C112,'TL08'!$J$10:$J$224),0),
IF('TL08'!$B$229=M$3,SUMIF('TL08'!$C$238:$C$451,$C112,'TL08'!$J$238:$J$451),0),
IF('TL09'!$B$3=M$3,SUMIF('TL09'!$C$10:$C$224,$C112,'TL09'!$J$10:$J$224),0),
IF('TL09'!$B$229=M$3,SUMIF('TL09'!$C$238:$C$451,$C112,'TL09'!$J$238:$J$451),0),
IF('TL10'!$B$3=M$3,SUMIF('TL10'!$C$10:$C$224,$C112,'TL10'!$J$10:$J$224),0),
IF('TL10'!$B$229=M$3,SUMIF('TL10'!$C$238:$C$451,$C112,'TL10'!$J$238:$J$451),0),
IF('TL11'!$B$3=M$3,SUMIF('TL11'!$C$10:$C$224,$C112,'TL11'!$J$10:$J$224),0),
IF('TL11'!$B$229=M$3,SUMIF('TL11'!$C$238:$C$451,$C112,'TL11'!$J$238:$J$451),0),
IF('TL12'!$B$3=M$3,SUMIF('TL12'!$C$10:$C$224,$C112,'TL12'!$J$10:$J$224),0),
IF('TL12'!$B$229=M$3,SUMIF('TL12'!$C$238:$C$451,$C112,'TL12'!$J$238:$J$451),0),
IF('TL13'!$B$3=M$3,SUMIF('TL13'!$C$10:$C$224,$C112,'TL13'!$J$10:$J$224),0),
IF('TL13'!$B$229=M$3,SUMIF('TL13'!$C$238:$C$451,$C112,'TL13'!$J$238:$J$451),0),
IF('TL14'!$B$3=M$3,SUMIF('TL14'!$C$10:$C$224,$C112,'TL14'!$J$10:$J$224),0),
IF('TL14'!$B$229=M$3,SUMIF('TL14'!$C$238:$C$451,$C112,'TL14'!$J$238:$J$451),0),
IF('TL15'!$B$3=M$3,SUMIF('TL15'!$C$10:$C$224,$C112,'TL15'!$J$10:$J$224),0),
IF('TL15'!$B$229=M$3,SUMIF('TL15'!$C$238:$C$451,$C112,'TL15'!$J$238:$J$451),0),
IF('TL16'!$B$3=M$3,SUMIF('TL16'!$C$10:$C$224,$C112,'TL16'!$J$10:$J$224),0),
IF('TL16'!$B$229=M$3,SUMIF('TL16'!$C$238:$C$451,$C112,'TL16'!$J$238:$J$451),0),
IF('TL17'!$B$3=M$3,SUMIF('TL17'!$C$10:$C$224,$C112,'TL17'!$J$10:$J$224),0),
IF('TL17'!$B$229=M$3,SUMIF('TL17'!$C$238:$C$451,$C112,'TL17'!$J$238:$J$451),0),
IF('TL18'!$B$3=M$3,SUMIF('TL18'!$C$10:$C$224,$C112,'TL18'!$J$10:$J$224),0),
IF('TL18'!$B$229=M$3,SUMIF('TL18'!$C$238:$C$451,$C112,'TL18'!$J$238:$J$451),0),
IF('TL19'!$B$3=M$3,SUMIF('TL19'!$C$10:$C$224,$C112,'TL19'!$J$10:$J$224),0),
IF('TL19'!$B$229=M$3,SUMIF('TL19'!$C$238:$C$451,$C112,'TL19'!$J$238:$J$451),0)
),0)</f>
        <v>0</v>
      </c>
      <c r="N112" s="9">
        <f>IFERROR(SUM(
IF('TL01'!$B$3=N$3,SUMIF('TL01'!$C$10:$C$224,$C112,'TL01'!$J$10:$J$224),0),
IF('TL01'!$B$229=N$3,SUMIF('TL01'!$C$238:$C$451,$C112,'TL01'!$J$238:$J$451),0),
IF('TL02'!$B$3=N$3,SUMIF('TL02'!$C$10:$C$224,$C112,'TL02'!$J$10:$J$224),0),
IF('TL02'!$B$229=N$3,SUMIF('TL02'!$C$238:$C$451,$C112,'TL02'!$J$238:$J$451),0),
IF('TL03'!$B$3=N$3,SUMIF('TL03'!$C$10:$C$224,$C112,'TL03'!$J$10:$J$224),0),
IF('TL03'!$B$229=N$3,SUMIF('TL03'!$C$238:$C$451,$C112,'TL03'!$J$238:$J$451),0),
IF('TL04'!$B$3=N$3,SUMIF('TL04'!$C$10:$C$224,$C112,'TL04'!$J$10:$J$224),0),
IF('TL04'!$B$229=N$3,SUMIF('TL04'!$C$238:$C$451,$C112,'TL04'!$J$238:$J$451),0),
IF('TL05'!$B$3=N$3,SUMIF('TL05'!$C$10:$C$224,$C112,'TL05'!$J$10:$J$224),0),
IF('TL05'!$B$229=N$3,SUMIF('TL05'!$C$238:$C$451,$C112,'TL05'!$J$238:$J$451),0),
IF('TL06'!$B$3=N$3,SUMIF('TL06'!$C$10:$C$224,$C112,'TL06'!$J$10:$J$224),0),
IF('TL06'!$B$229=N$3,SUMIF('TL06'!$C$238:$C$451,$C112,'TL06'!$J$238:$J$451),0),
IF('TL07'!$B$3=N$3,SUMIF('TL07'!$C$10:$C$224,$C112,'TL07'!$J$10:$J$224),0),
IF('TL07'!$B$229=N$3,SUMIF('TL07'!$C$238:$C$451,$C112,'TL07'!$J$238:$J$451),0),
IF('TL08'!$B$3=N$3,SUMIF('TL08'!$C$10:$C$224,$C112,'TL08'!$J$10:$J$224),0),
IF('TL08'!$B$229=N$3,SUMIF('TL08'!$C$238:$C$451,$C112,'TL08'!$J$238:$J$451),0),
IF('TL09'!$B$3=N$3,SUMIF('TL09'!$C$10:$C$224,$C112,'TL09'!$J$10:$J$224),0),
IF('TL09'!$B$229=N$3,SUMIF('TL09'!$C$238:$C$451,$C112,'TL09'!$J$238:$J$451),0),
IF('TL10'!$B$3=N$3,SUMIF('TL10'!$C$10:$C$224,$C112,'TL10'!$J$10:$J$224),0),
IF('TL10'!$B$229=N$3,SUMIF('TL10'!$C$238:$C$451,$C112,'TL10'!$J$238:$J$451),0),
IF('TL11'!$B$3=N$3,SUMIF('TL11'!$C$10:$C$224,$C112,'TL11'!$J$10:$J$224),0),
IF('TL11'!$B$229=N$3,SUMIF('TL11'!$C$238:$C$451,$C112,'TL11'!$J$238:$J$451),0),
IF('TL12'!$B$3=N$3,SUMIF('TL12'!$C$10:$C$224,$C112,'TL12'!$J$10:$J$224),0),
IF('TL12'!$B$229=N$3,SUMIF('TL12'!$C$238:$C$451,$C112,'TL12'!$J$238:$J$451),0),
IF('TL13'!$B$3=N$3,SUMIF('TL13'!$C$10:$C$224,$C112,'TL13'!$J$10:$J$224),0),
IF('TL13'!$B$229=N$3,SUMIF('TL13'!$C$238:$C$451,$C112,'TL13'!$J$238:$J$451),0),
IF('TL14'!$B$3=N$3,SUMIF('TL14'!$C$10:$C$224,$C112,'TL14'!$J$10:$J$224),0),
IF('TL14'!$B$229=N$3,SUMIF('TL14'!$C$238:$C$451,$C112,'TL14'!$J$238:$J$451),0),
IF('TL15'!$B$3=N$3,SUMIF('TL15'!$C$10:$C$224,$C112,'TL15'!$J$10:$J$224),0),
IF('TL15'!$B$229=N$3,SUMIF('TL15'!$C$238:$C$451,$C112,'TL15'!$J$238:$J$451),0),
IF('TL16'!$B$3=N$3,SUMIF('TL16'!$C$10:$C$224,$C112,'TL16'!$J$10:$J$224),0),
IF('TL16'!$B$229=N$3,SUMIF('TL16'!$C$238:$C$451,$C112,'TL16'!$J$238:$J$451),0),
IF('TL17'!$B$3=N$3,SUMIF('TL17'!$C$10:$C$224,$C112,'TL17'!$J$10:$J$224),0),
IF('TL17'!$B$229=N$3,SUMIF('TL17'!$C$238:$C$451,$C112,'TL17'!$J$238:$J$451),0),
IF('TL18'!$B$3=N$3,SUMIF('TL18'!$C$10:$C$224,$C112,'TL18'!$J$10:$J$224),0),
IF('TL18'!$B$229=N$3,SUMIF('TL18'!$C$238:$C$451,$C112,'TL18'!$J$238:$J$451),0),
IF('TL19'!$B$3=N$3,SUMIF('TL19'!$C$10:$C$224,$C112,'TL19'!$J$10:$J$224),0),
IF('TL19'!$B$229=N$3,SUMIF('TL19'!$C$238:$C$451,$C112,'TL19'!$J$238:$J$451),0)
),0)</f>
        <v>0</v>
      </c>
      <c r="O112" s="9">
        <f>IFERROR(SUM(
IF('TL01'!$B$3=O$3,SUMIF('TL01'!$C$10:$C$224,$C112,'TL01'!$J$10:$J$224),0),
IF('TL01'!$B$229=O$3,SUMIF('TL01'!$C$238:$C$451,$C112,'TL01'!$J$238:$J$451),0),
IF('TL02'!$B$3=O$3,SUMIF('TL02'!$C$10:$C$224,$C112,'TL02'!$J$10:$J$224),0),
IF('TL02'!$B$229=O$3,SUMIF('TL02'!$C$238:$C$451,$C112,'TL02'!$J$238:$J$451),0),
IF('TL03'!$B$3=O$3,SUMIF('TL03'!$C$10:$C$224,$C112,'TL03'!$J$10:$J$224),0),
IF('TL03'!$B$229=O$3,SUMIF('TL03'!$C$238:$C$451,$C112,'TL03'!$J$238:$J$451),0),
IF('TL04'!$B$3=O$3,SUMIF('TL04'!$C$10:$C$224,$C112,'TL04'!$J$10:$J$224),0),
IF('TL04'!$B$229=O$3,SUMIF('TL04'!$C$238:$C$451,$C112,'TL04'!$J$238:$J$451),0),
IF('TL05'!$B$3=O$3,SUMIF('TL05'!$C$10:$C$224,$C112,'TL05'!$J$10:$J$224),0),
IF('TL05'!$B$229=O$3,SUMIF('TL05'!$C$238:$C$451,$C112,'TL05'!$J$238:$J$451),0),
IF('TL06'!$B$3=O$3,SUMIF('TL06'!$C$10:$C$224,$C112,'TL06'!$J$10:$J$224),0),
IF('TL06'!$B$229=O$3,SUMIF('TL06'!$C$238:$C$451,$C112,'TL06'!$J$238:$J$451),0),
IF('TL07'!$B$3=O$3,SUMIF('TL07'!$C$10:$C$224,$C112,'TL07'!$J$10:$J$224),0),
IF('TL07'!$B$229=O$3,SUMIF('TL07'!$C$238:$C$451,$C112,'TL07'!$J$238:$J$451),0),
IF('TL08'!$B$3=O$3,SUMIF('TL08'!$C$10:$C$224,$C112,'TL08'!$J$10:$J$224),0),
IF('TL08'!$B$229=O$3,SUMIF('TL08'!$C$238:$C$451,$C112,'TL08'!$J$238:$J$451),0),
IF('TL09'!$B$3=O$3,SUMIF('TL09'!$C$10:$C$224,$C112,'TL09'!$J$10:$J$224),0),
IF('TL09'!$B$229=O$3,SUMIF('TL09'!$C$238:$C$451,$C112,'TL09'!$J$238:$J$451),0),
IF('TL10'!$B$3=O$3,SUMIF('TL10'!$C$10:$C$224,$C112,'TL10'!$J$10:$J$224),0),
IF('TL10'!$B$229=O$3,SUMIF('TL10'!$C$238:$C$451,$C112,'TL10'!$J$238:$J$451),0),
IF('TL11'!$B$3=O$3,SUMIF('TL11'!$C$10:$C$224,$C112,'TL11'!$J$10:$J$224),0),
IF('TL11'!$B$229=O$3,SUMIF('TL11'!$C$238:$C$451,$C112,'TL11'!$J$238:$J$451),0),
IF('TL12'!$B$3=O$3,SUMIF('TL12'!$C$10:$C$224,$C112,'TL12'!$J$10:$J$224),0),
IF('TL12'!$B$229=O$3,SUMIF('TL12'!$C$238:$C$451,$C112,'TL12'!$J$238:$J$451),0),
IF('TL13'!$B$3=O$3,SUMIF('TL13'!$C$10:$C$224,$C112,'TL13'!$J$10:$J$224),0),
IF('TL13'!$B$229=O$3,SUMIF('TL13'!$C$238:$C$451,$C112,'TL13'!$J$238:$J$451),0),
IF('TL14'!$B$3=O$3,SUMIF('TL14'!$C$10:$C$224,$C112,'TL14'!$J$10:$J$224),0),
IF('TL14'!$B$229=O$3,SUMIF('TL14'!$C$238:$C$451,$C112,'TL14'!$J$238:$J$451),0),
IF('TL15'!$B$3=O$3,SUMIF('TL15'!$C$10:$C$224,$C112,'TL15'!$J$10:$J$224),0),
IF('TL15'!$B$229=O$3,SUMIF('TL15'!$C$238:$C$451,$C112,'TL15'!$J$238:$J$451),0),
IF('TL16'!$B$3=O$3,SUMIF('TL16'!$C$10:$C$224,$C112,'TL16'!$J$10:$J$224),0),
IF('TL16'!$B$229=O$3,SUMIF('TL16'!$C$238:$C$451,$C112,'TL16'!$J$238:$J$451),0),
IF('TL17'!$B$3=O$3,SUMIF('TL17'!$C$10:$C$224,$C112,'TL17'!$J$10:$J$224),0),
IF('TL17'!$B$229=O$3,SUMIF('TL17'!$C$238:$C$451,$C112,'TL17'!$J$238:$J$451),0),
IF('TL18'!$B$3=O$3,SUMIF('TL18'!$C$10:$C$224,$C112,'TL18'!$J$10:$J$224),0),
IF('TL18'!$B$229=O$3,SUMIF('TL18'!$C$238:$C$451,$C112,'TL18'!$J$238:$J$451),0),
IF('TL19'!$B$3=O$3,SUMIF('TL19'!$C$10:$C$224,$C112,'TL19'!$J$10:$J$224),0),
IF('TL19'!$B$229=O$3,SUMIF('TL19'!$C$238:$C$451,$C112,'TL19'!$J$238:$J$451),0)
),0)</f>
        <v>0</v>
      </c>
      <c r="P112" s="9">
        <f>IFERROR(SUM(
IF('TL01'!$B$3=P$3,SUMIF('TL01'!$C$10:$C$224,$C112,'TL01'!$J$10:$J$224),0),
IF('TL01'!$B$229=P$3,SUMIF('TL01'!$C$238:$C$451,$C112,'TL01'!$J$238:$J$451),0),
IF('TL02'!$B$3=P$3,SUMIF('TL02'!$C$10:$C$224,$C112,'TL02'!$J$10:$J$224),0),
IF('TL02'!$B$229=P$3,SUMIF('TL02'!$C$238:$C$451,$C112,'TL02'!$J$238:$J$451),0),
IF('TL03'!$B$3=P$3,SUMIF('TL03'!$C$10:$C$224,$C112,'TL03'!$J$10:$J$224),0),
IF('TL03'!$B$229=P$3,SUMIF('TL03'!$C$238:$C$451,$C112,'TL03'!$J$238:$J$451),0),
IF('TL04'!$B$3=P$3,SUMIF('TL04'!$C$10:$C$224,$C112,'TL04'!$J$10:$J$224),0),
IF('TL04'!$B$229=P$3,SUMIF('TL04'!$C$238:$C$451,$C112,'TL04'!$J$238:$J$451),0),
IF('TL05'!$B$3=P$3,SUMIF('TL05'!$C$10:$C$224,$C112,'TL05'!$J$10:$J$224),0),
IF('TL05'!$B$229=P$3,SUMIF('TL05'!$C$238:$C$451,$C112,'TL05'!$J$238:$J$451),0),
IF('TL06'!$B$3=P$3,SUMIF('TL06'!$C$10:$C$224,$C112,'TL06'!$J$10:$J$224),0),
IF('TL06'!$B$229=P$3,SUMIF('TL06'!$C$238:$C$451,$C112,'TL06'!$J$238:$J$451),0),
IF('TL07'!$B$3=P$3,SUMIF('TL07'!$C$10:$C$224,$C112,'TL07'!$J$10:$J$224),0),
IF('TL07'!$B$229=P$3,SUMIF('TL07'!$C$238:$C$451,$C112,'TL07'!$J$238:$J$451),0),
IF('TL08'!$B$3=P$3,SUMIF('TL08'!$C$10:$C$224,$C112,'TL08'!$J$10:$J$224),0),
IF('TL08'!$B$229=P$3,SUMIF('TL08'!$C$238:$C$451,$C112,'TL08'!$J$238:$J$451),0),
IF('TL09'!$B$3=P$3,SUMIF('TL09'!$C$10:$C$224,$C112,'TL09'!$J$10:$J$224),0),
IF('TL09'!$B$229=P$3,SUMIF('TL09'!$C$238:$C$451,$C112,'TL09'!$J$238:$J$451),0),
IF('TL10'!$B$3=P$3,SUMIF('TL10'!$C$10:$C$224,$C112,'TL10'!$J$10:$J$224),0),
IF('TL10'!$B$229=P$3,SUMIF('TL10'!$C$238:$C$451,$C112,'TL10'!$J$238:$J$451),0),
IF('TL11'!$B$3=P$3,SUMIF('TL11'!$C$10:$C$224,$C112,'TL11'!$J$10:$J$224),0),
IF('TL11'!$B$229=P$3,SUMIF('TL11'!$C$238:$C$451,$C112,'TL11'!$J$238:$J$451),0),
IF('TL12'!$B$3=P$3,SUMIF('TL12'!$C$10:$C$224,$C112,'TL12'!$J$10:$J$224),0),
IF('TL12'!$B$229=P$3,SUMIF('TL12'!$C$238:$C$451,$C112,'TL12'!$J$238:$J$451),0),
IF('TL13'!$B$3=P$3,SUMIF('TL13'!$C$10:$C$224,$C112,'TL13'!$J$10:$J$224),0),
IF('TL13'!$B$229=P$3,SUMIF('TL13'!$C$238:$C$451,$C112,'TL13'!$J$238:$J$451),0),
IF('TL14'!$B$3=P$3,SUMIF('TL14'!$C$10:$C$224,$C112,'TL14'!$J$10:$J$224),0),
IF('TL14'!$B$229=P$3,SUMIF('TL14'!$C$238:$C$451,$C112,'TL14'!$J$238:$J$451),0),
IF('TL15'!$B$3=P$3,SUMIF('TL15'!$C$10:$C$224,$C112,'TL15'!$J$10:$J$224),0),
IF('TL15'!$B$229=P$3,SUMIF('TL15'!$C$238:$C$451,$C112,'TL15'!$J$238:$J$451),0),
IF('TL16'!$B$3=P$3,SUMIF('TL16'!$C$10:$C$224,$C112,'TL16'!$J$10:$J$224),0),
IF('TL16'!$B$229=P$3,SUMIF('TL16'!$C$238:$C$451,$C112,'TL16'!$J$238:$J$451),0),
IF('TL17'!$B$3=P$3,SUMIF('TL17'!$C$10:$C$224,$C112,'TL17'!$J$10:$J$224),0),
IF('TL17'!$B$229=P$3,SUMIF('TL17'!$C$238:$C$451,$C112,'TL17'!$J$238:$J$451),0),
IF('TL18'!$B$3=P$3,SUMIF('TL18'!$C$10:$C$224,$C112,'TL18'!$J$10:$J$224),0),
IF('TL18'!$B$229=P$3,SUMIF('TL18'!$C$238:$C$451,$C112,'TL18'!$J$238:$J$451),0),
IF('TL19'!$B$3=P$3,SUMIF('TL19'!$C$10:$C$224,$C112,'TL19'!$J$10:$J$224),0),
IF('TL19'!$B$229=P$3,SUMIF('TL19'!$C$238:$C$451,$C112,'TL19'!$J$238:$J$451),0)
),0)</f>
        <v>0</v>
      </c>
      <c r="Q112" s="9">
        <f>IFERROR(SUM(
IF('TL01'!$B$3=Q$3,SUMIF('TL01'!$C$10:$C$224,$C112,'TL01'!$J$10:$J$224),0),
IF('TL01'!$B$229=Q$3,SUMIF('TL01'!$C$238:$C$451,$C112,'TL01'!$J$238:$J$451),0),
IF('TL02'!$B$3=Q$3,SUMIF('TL02'!$C$10:$C$224,$C112,'TL02'!$J$10:$J$224),0),
IF('TL02'!$B$229=Q$3,SUMIF('TL02'!$C$238:$C$451,$C112,'TL02'!$J$238:$J$451),0),
IF('TL03'!$B$3=Q$3,SUMIF('TL03'!$C$10:$C$224,$C112,'TL03'!$J$10:$J$224),0),
IF('TL03'!$B$229=Q$3,SUMIF('TL03'!$C$238:$C$451,$C112,'TL03'!$J$238:$J$451),0),
IF('TL04'!$B$3=Q$3,SUMIF('TL04'!$C$10:$C$224,$C112,'TL04'!$J$10:$J$224),0),
IF('TL04'!$B$229=Q$3,SUMIF('TL04'!$C$238:$C$451,$C112,'TL04'!$J$238:$J$451),0),
IF('TL05'!$B$3=Q$3,SUMIF('TL05'!$C$10:$C$224,$C112,'TL05'!$J$10:$J$224),0),
IF('TL05'!$B$229=Q$3,SUMIF('TL05'!$C$238:$C$451,$C112,'TL05'!$J$238:$J$451),0),
IF('TL06'!$B$3=Q$3,SUMIF('TL06'!$C$10:$C$224,$C112,'TL06'!$J$10:$J$224),0),
IF('TL06'!$B$229=Q$3,SUMIF('TL06'!$C$238:$C$451,$C112,'TL06'!$J$238:$J$451),0),
IF('TL07'!$B$3=Q$3,SUMIF('TL07'!$C$10:$C$224,$C112,'TL07'!$J$10:$J$224),0),
IF('TL07'!$B$229=Q$3,SUMIF('TL07'!$C$238:$C$451,$C112,'TL07'!$J$238:$J$451),0),
IF('TL08'!$B$3=Q$3,SUMIF('TL08'!$C$10:$C$224,$C112,'TL08'!$J$10:$J$224),0),
IF('TL08'!$B$229=Q$3,SUMIF('TL08'!$C$238:$C$451,$C112,'TL08'!$J$238:$J$451),0),
IF('TL09'!$B$3=Q$3,SUMIF('TL09'!$C$10:$C$224,$C112,'TL09'!$J$10:$J$224),0),
IF('TL09'!$B$229=Q$3,SUMIF('TL09'!$C$238:$C$451,$C112,'TL09'!$J$238:$J$451),0),
IF('TL10'!$B$3=Q$3,SUMIF('TL10'!$C$10:$C$224,$C112,'TL10'!$J$10:$J$224),0),
IF('TL10'!$B$229=Q$3,SUMIF('TL10'!$C$238:$C$451,$C112,'TL10'!$J$238:$J$451),0),
IF('TL11'!$B$3=Q$3,SUMIF('TL11'!$C$10:$C$224,$C112,'TL11'!$J$10:$J$224),0),
IF('TL11'!$B$229=Q$3,SUMIF('TL11'!$C$238:$C$451,$C112,'TL11'!$J$238:$J$451),0),
IF('TL12'!$B$3=Q$3,SUMIF('TL12'!$C$10:$C$224,$C112,'TL12'!$J$10:$J$224),0),
IF('TL12'!$B$229=Q$3,SUMIF('TL12'!$C$238:$C$451,$C112,'TL12'!$J$238:$J$451),0),
IF('TL13'!$B$3=Q$3,SUMIF('TL13'!$C$10:$C$224,$C112,'TL13'!$J$10:$J$224),0),
IF('TL13'!$B$229=Q$3,SUMIF('TL13'!$C$238:$C$451,$C112,'TL13'!$J$238:$J$451),0),
IF('TL14'!$B$3=Q$3,SUMIF('TL14'!$C$10:$C$224,$C112,'TL14'!$J$10:$J$224),0),
IF('TL14'!$B$229=Q$3,SUMIF('TL14'!$C$238:$C$451,$C112,'TL14'!$J$238:$J$451),0),
IF('TL15'!$B$3=Q$3,SUMIF('TL15'!$C$10:$C$224,$C112,'TL15'!$J$10:$J$224),0),
IF('TL15'!$B$229=Q$3,SUMIF('TL15'!$C$238:$C$451,$C112,'TL15'!$J$238:$J$451),0),
IF('TL16'!$B$3=Q$3,SUMIF('TL16'!$C$10:$C$224,$C112,'TL16'!$J$10:$J$224),0),
IF('TL16'!$B$229=Q$3,SUMIF('TL16'!$C$238:$C$451,$C112,'TL16'!$J$238:$J$451),0),
IF('TL17'!$B$3=Q$3,SUMIF('TL17'!$C$10:$C$224,$C112,'TL17'!$J$10:$J$224),0),
IF('TL17'!$B$229=Q$3,SUMIF('TL17'!$C$238:$C$451,$C112,'TL17'!$J$238:$J$451),0),
IF('TL18'!$B$3=Q$3,SUMIF('TL18'!$C$10:$C$224,$C112,'TL18'!$J$10:$J$224),0),
IF('TL18'!$B$229=Q$3,SUMIF('TL18'!$C$238:$C$451,$C112,'TL18'!$J$238:$J$451),0),
IF('TL19'!$B$3=Q$3,SUMIF('TL19'!$C$10:$C$224,$C112,'TL19'!$J$10:$J$224),0),
IF('TL19'!$B$229=Q$3,SUMIF('TL19'!$C$238:$C$451,$C112,'TL19'!$J$238:$J$451),0)
),0)</f>
        <v>0</v>
      </c>
      <c r="R112" s="9">
        <f>IFERROR(
SUM(
SUMIF('TL01'!C:C,C112,'TL01'!J:J),
SUMIF('TL02'!C:C,C112,'TL02'!J:J),
SUMIF('TL03'!C:C,C112,'TL03'!J:J),
SUMIF('TL04'!C:C,C112,'TL04'!J:J),
SUMIF('TL05'!C:C,C112,'TL05'!J:J),
SUMIF('TL06'!C:C,C112,'TL06'!J:J),
SUMIF('TL07'!C:C,C112,'TL07'!J:J),
SUMIF('TL08'!C:C,C112,'TL08'!J:J),
SUMIF('TL09'!C:C,C112,'TL09'!J:J),
SUMIF('TL10'!C:C,C112,'TL10'!J:J),
SUMIF('TL11'!C:C,C112,'TL11'!J:J),
SUMIF('TL12'!C:C,C112,'TL12'!J:J),
SUMIF('TL13'!C:C,C112,'TL13'!J:J),
SUMIF('TL14'!C:C,C112,'TL14'!J:J),
SUMIF('TL15'!C:C,C112,'TL15'!J:J),
SUMIF('TL16'!C:C,C112,'TL16'!J:J),
SUMIF('TL17'!C:C,C112,'TL17'!J:J),
SUMIF('TL18'!C:C,C112,'TL18'!J:J),SUMIF('TL19'!C:C,C112,'TL19'!J:J))
,0)</f>
        <v>0</v>
      </c>
      <c r="S112" s="17">
        <f>IFERROR(__xludf.DUMMYFUNCTION("IFERROR(VLOOKUP(C112,
IMPORTRANGE(""1wULbzX32WdYsx-lj2U3uUNBBe2INVIRDtcK0d-Dvl90"",
""26-27!C:G""),
5,
FALSE),
"""")"),158.27061999999998)</f>
        <v>158.27062</v>
      </c>
      <c r="T112" s="9"/>
      <c r="U112" s="92">
        <f t="shared" si="2"/>
        <v>0</v>
      </c>
      <c r="V112" s="93">
        <f t="shared" si="3"/>
        <v>0</v>
      </c>
    </row>
    <row r="113" ht="15.75" hidden="1" customHeight="1">
      <c r="A113" s="111" t="s">
        <v>345</v>
      </c>
      <c r="B113" s="112" t="s">
        <v>1</v>
      </c>
      <c r="C113" s="113" t="s">
        <v>623</v>
      </c>
      <c r="D113" s="113" t="s">
        <v>624</v>
      </c>
      <c r="E113" s="113">
        <v>600.0</v>
      </c>
      <c r="F113" s="4" t="s">
        <v>343</v>
      </c>
      <c r="G113" s="90" t="str">
        <f t="shared" si="4"/>
        <v>📄 Ver bula</v>
      </c>
      <c r="H113" s="9">
        <f>IFERROR(__xludf.DUMMYFUNCTION("IFERROR(VLOOKUP(C113,
IMPORTRANGE(""1wULbzX32WdYsx-lj2U3uUNBBe2INVIRDtcK0d-Dvl90"",
""26-27!C:K""),
8,
FALSE),
"""")"),1.0)</f>
        <v>1</v>
      </c>
      <c r="I113" s="114" t="s">
        <v>361</v>
      </c>
      <c r="J113" s="9">
        <f>IFERROR(SUM(
IF('TL01'!$B$3=J$3,SUMIF('TL01'!$C$10:$C$224,$C113,'TL01'!$J$10:$J$224),0),
IF('TL01'!$B$229=J$3,SUMIF('TL01'!$C$238:$C$451,$C113,'TL01'!$J$238:$J$451),0),
IF('TL02'!$B$3=J$3,SUMIF('TL02'!$C$10:$C$224,$C113,'TL02'!$J$10:$J$224),0),
IF('TL02'!$B$229=J$3,SUMIF('TL02'!$C$238:$C$451,$C113,'TL02'!$J$238:$J$451),0),
IF('TL03'!$B$3=J$3,SUMIF('TL03'!$C$10:$C$224,$C113,'TL03'!$J$10:$J$224),0),
IF('TL03'!$B$229=J$3,SUMIF('TL03'!$C$238:$C$451,$C113,'TL03'!$J$238:$J$451),0),
IF('TL04'!$B$3=J$3,SUMIF('TL04'!$C$10:$C$224,$C113,'TL04'!$J$10:$J$224),0),
IF('TL04'!$B$229=J$3,SUMIF('TL04'!$C$238:$C$451,$C113,'TL04'!$J$238:$J$451),0),
IF('TL05'!$B$3=J$3,SUMIF('TL05'!$C$10:$C$224,$C113,'TL05'!$J$10:$J$224),0),
IF('TL05'!$B$229=J$3,SUMIF('TL05'!$C$238:$C$451,$C113,'TL05'!$J$238:$J$451),0),
IF('TL06'!$B$3=J$3,SUMIF('TL06'!$C$10:$C$224,$C113,'TL06'!$J$10:$J$224),0),
IF('TL06'!$B$229=J$3,SUMIF('TL06'!$C$238:$C$451,$C113,'TL06'!$J$238:$J$451),0),
IF('TL07'!$B$3=J$3,SUMIF('TL07'!$C$10:$C$224,$C113,'TL07'!$J$10:$J$224),0),
IF('TL07'!$B$229=J$3,SUMIF('TL07'!$C$238:$C$451,$C113,'TL07'!$J$238:$J$451),0),
IF('TL08'!$B$3=J$3,SUMIF('TL08'!$C$10:$C$224,$C113,'TL08'!$J$10:$J$224),0),
IF('TL08'!$B$229=J$3,SUMIF('TL08'!$C$238:$C$451,$C113,'TL08'!$J$238:$J$451),0),
IF('TL09'!$B$3=J$3,SUMIF('TL09'!$C$10:$C$224,$C113,'TL09'!$J$10:$J$224),0),
IF('TL09'!$B$229=J$3,SUMIF('TL09'!$C$238:$C$451,$C113,'TL09'!$J$238:$J$451),0),
IF('TL10'!$B$3=J$3,SUMIF('TL10'!$C$10:$C$224,$C113,'TL10'!$J$10:$J$224),0),
IF('TL10'!$B$229=J$3,SUMIF('TL10'!$C$238:$C$451,$C113,'TL10'!$J$238:$J$451),0),
IF('TL11'!$B$3=J$3,SUMIF('TL11'!$C$10:$C$224,$C113,'TL11'!$J$10:$J$224),0),
IF('TL11'!$B$229=J$3,SUMIF('TL11'!$C$238:$C$451,$C113,'TL11'!$J$238:$J$451),0),
IF('TL12'!$B$3=J$3,SUMIF('TL12'!$C$10:$C$224,$C113,'TL12'!$J$10:$J$224),0),
IF('TL12'!$B$229=J$3,SUMIF('TL12'!$C$238:$C$451,$C113,'TL12'!$J$238:$J$451),0),
IF('TL13'!$B$3=J$3,SUMIF('TL13'!$C$10:$C$224,$C113,'TL13'!$J$10:$J$224),0),
IF('TL13'!$B$229=J$3,SUMIF('TL13'!$C$238:$C$451,$C113,'TL13'!$J$238:$J$451),0),
IF('TL14'!$B$3=J$3,SUMIF('TL14'!$C$10:$C$224,$C113,'TL14'!$J$10:$J$224),0),
IF('TL14'!$B$229=J$3,SUMIF('TL14'!$C$238:$C$451,$C113,'TL14'!$J$238:$J$451),0),
IF('TL15'!$B$3=J$3,SUMIF('TL15'!$C$10:$C$224,$C113,'TL15'!$J$10:$J$224),0),
IF('TL15'!$B$229=J$3,SUMIF('TL15'!$C$238:$C$451,$C113,'TL15'!$J$238:$J$451),0),
IF('TL16'!$B$3=J$3,SUMIF('TL16'!$C$10:$C$224,$C113,'TL16'!$J$10:$J$224),0),
IF('TL16'!$B$229=J$3,SUMIF('TL16'!$C$238:$C$451,$C113,'TL16'!$J$238:$J$451),0),
IF('TL17'!$B$3=J$3,SUMIF('TL17'!$C$10:$C$224,$C113,'TL17'!$J$10:$J$224),0),
IF('TL17'!$B$229=J$3,SUMIF('TL17'!$C$238:$C$451,$C113,'TL17'!$J$238:$J$451),0),
IF('TL18'!$B$3=J$3,SUMIF('TL18'!$C$10:$C$224,$C113,'TL18'!$J$10:$J$224),0),
IF('TL18'!$B$229=J$3,SUMIF('TL18'!$C$238:$C$451,$C113,'TL18'!$J$238:$J$451),0),
IF('TL19'!$B$3=J$3,SUMIF('TL19'!$C$10:$C$224,$C113,'TL19'!$J$10:$J$224),0),
IF('TL19'!$B$229=J$3,SUMIF('TL19'!$C$238:$C$451,$C113,'TL19'!$J$238:$J$451),0)
),0)</f>
        <v>0</v>
      </c>
      <c r="K113" s="9">
        <f>IFERROR(SUM(
IF('TL01'!$B$3=K$3,SUMIF('TL01'!$C$10:$C$224,$C113,'TL01'!$J$10:$J$224),0),
IF('TL01'!$B$229=K$3,SUMIF('TL01'!$C$238:$C$451,$C113,'TL01'!$J$238:$J$451),0),
IF('TL02'!$B$3=K$3,SUMIF('TL02'!$C$10:$C$224,$C113,'TL02'!$J$10:$J$224),0),
IF('TL02'!$B$229=K$3,SUMIF('TL02'!$C$238:$C$451,$C113,'TL02'!$J$238:$J$451),0),
IF('TL03'!$B$3=K$3,SUMIF('TL03'!$C$10:$C$224,$C113,'TL03'!$J$10:$J$224),0),
IF('TL03'!$B$229=K$3,SUMIF('TL03'!$C$238:$C$451,$C113,'TL03'!$J$238:$J$451),0),
IF('TL04'!$B$3=K$3,SUMIF('TL04'!$C$10:$C$224,$C113,'TL04'!$J$10:$J$224),0),
IF('TL04'!$B$229=K$3,SUMIF('TL04'!$C$238:$C$451,$C113,'TL04'!$J$238:$J$451),0),
IF('TL05'!$B$3=K$3,SUMIF('TL05'!$C$10:$C$224,$C113,'TL05'!$J$10:$J$224),0),
IF('TL05'!$B$229=K$3,SUMIF('TL05'!$C$238:$C$451,$C113,'TL05'!$J$238:$J$451),0),
IF('TL06'!$B$3=K$3,SUMIF('TL06'!$C$10:$C$224,$C113,'TL06'!$J$10:$J$224),0),
IF('TL06'!$B$229=K$3,SUMIF('TL06'!$C$238:$C$451,$C113,'TL06'!$J$238:$J$451),0),
IF('TL07'!$B$3=K$3,SUMIF('TL07'!$C$10:$C$224,$C113,'TL07'!$J$10:$J$224),0),
IF('TL07'!$B$229=K$3,SUMIF('TL07'!$C$238:$C$451,$C113,'TL07'!$J$238:$J$451),0),
IF('TL08'!$B$3=K$3,SUMIF('TL08'!$C$10:$C$224,$C113,'TL08'!$J$10:$J$224),0),
IF('TL08'!$B$229=K$3,SUMIF('TL08'!$C$238:$C$451,$C113,'TL08'!$J$238:$J$451),0),
IF('TL09'!$B$3=K$3,SUMIF('TL09'!$C$10:$C$224,$C113,'TL09'!$J$10:$J$224),0),
IF('TL09'!$B$229=K$3,SUMIF('TL09'!$C$238:$C$451,$C113,'TL09'!$J$238:$J$451),0),
IF('TL10'!$B$3=K$3,SUMIF('TL10'!$C$10:$C$224,$C113,'TL10'!$J$10:$J$224),0),
IF('TL10'!$B$229=K$3,SUMIF('TL10'!$C$238:$C$451,$C113,'TL10'!$J$238:$J$451),0),
IF('TL11'!$B$3=K$3,SUMIF('TL11'!$C$10:$C$224,$C113,'TL11'!$J$10:$J$224),0),
IF('TL11'!$B$229=K$3,SUMIF('TL11'!$C$238:$C$451,$C113,'TL11'!$J$238:$J$451),0),
IF('TL12'!$B$3=K$3,SUMIF('TL12'!$C$10:$C$224,$C113,'TL12'!$J$10:$J$224),0),
IF('TL12'!$B$229=K$3,SUMIF('TL12'!$C$238:$C$451,$C113,'TL12'!$J$238:$J$451),0),
IF('TL13'!$B$3=K$3,SUMIF('TL13'!$C$10:$C$224,$C113,'TL13'!$J$10:$J$224),0),
IF('TL13'!$B$229=K$3,SUMIF('TL13'!$C$238:$C$451,$C113,'TL13'!$J$238:$J$451),0),
IF('TL14'!$B$3=K$3,SUMIF('TL14'!$C$10:$C$224,$C113,'TL14'!$J$10:$J$224),0),
IF('TL14'!$B$229=K$3,SUMIF('TL14'!$C$238:$C$451,$C113,'TL14'!$J$238:$J$451),0),
IF('TL15'!$B$3=K$3,SUMIF('TL15'!$C$10:$C$224,$C113,'TL15'!$J$10:$J$224),0),
IF('TL15'!$B$229=K$3,SUMIF('TL15'!$C$238:$C$451,$C113,'TL15'!$J$238:$J$451),0),
IF('TL16'!$B$3=K$3,SUMIF('TL16'!$C$10:$C$224,$C113,'TL16'!$J$10:$J$224),0),
IF('TL16'!$B$229=K$3,SUMIF('TL16'!$C$238:$C$451,$C113,'TL16'!$J$238:$J$451),0),
IF('TL17'!$B$3=K$3,SUMIF('TL17'!$C$10:$C$224,$C113,'TL17'!$J$10:$J$224),0),
IF('TL17'!$B$229=K$3,SUMIF('TL17'!$C$238:$C$451,$C113,'TL17'!$J$238:$J$451),0),
IF('TL18'!$B$3=K$3,SUMIF('TL18'!$C$10:$C$224,$C113,'TL18'!$J$10:$J$224),0),
IF('TL18'!$B$229=K$3,SUMIF('TL18'!$C$238:$C$451,$C113,'TL18'!$J$238:$J$451),0),
IF('TL19'!$B$3=K$3,SUMIF('TL19'!$C$10:$C$224,$C113,'TL19'!$J$10:$J$224),0),
IF('TL19'!$B$229=K$3,SUMIF('TL19'!$C$238:$C$451,$C113,'TL19'!$J$238:$J$451),0)
),0)</f>
        <v>0</v>
      </c>
      <c r="L113" s="9">
        <f>IFERROR(SUM(
IF('TL01'!$B$3=L$3,SUMIF('TL01'!$C$10:$C$224,$C113,'TL01'!$J$10:$J$224),0),
IF('TL01'!$B$229=L$3,SUMIF('TL01'!$C$238:$C$451,$C113,'TL01'!$J$238:$J$451),0),
IF('TL02'!$B$3=L$3,SUMIF('TL02'!$C$10:$C$224,$C113,'TL02'!$J$10:$J$224),0),
IF('TL02'!$B$229=L$3,SUMIF('TL02'!$C$238:$C$451,$C113,'TL02'!$J$238:$J$451),0),
IF('TL03'!$B$3=L$3,SUMIF('TL03'!$C$10:$C$224,$C113,'TL03'!$J$10:$J$224),0),
IF('TL03'!$B$229=L$3,SUMIF('TL03'!$C$238:$C$451,$C113,'TL03'!$J$238:$J$451),0),
IF('TL04'!$B$3=L$3,SUMIF('TL04'!$C$10:$C$224,$C113,'TL04'!$J$10:$J$224),0),
IF('TL04'!$B$229=L$3,SUMIF('TL04'!$C$238:$C$451,$C113,'TL04'!$J$238:$J$451),0),
IF('TL05'!$B$3=L$3,SUMIF('TL05'!$C$10:$C$224,$C113,'TL05'!$J$10:$J$224),0),
IF('TL05'!$B$229=L$3,SUMIF('TL05'!$C$238:$C$451,$C113,'TL05'!$J$238:$J$451),0),
IF('TL06'!$B$3=L$3,SUMIF('TL06'!$C$10:$C$224,$C113,'TL06'!$J$10:$J$224),0),
IF('TL06'!$B$229=L$3,SUMIF('TL06'!$C$238:$C$451,$C113,'TL06'!$J$238:$J$451),0),
IF('TL07'!$B$3=L$3,SUMIF('TL07'!$C$10:$C$224,$C113,'TL07'!$J$10:$J$224),0),
IF('TL07'!$B$229=L$3,SUMIF('TL07'!$C$238:$C$451,$C113,'TL07'!$J$238:$J$451),0),
IF('TL08'!$B$3=L$3,SUMIF('TL08'!$C$10:$C$224,$C113,'TL08'!$J$10:$J$224),0),
IF('TL08'!$B$229=L$3,SUMIF('TL08'!$C$238:$C$451,$C113,'TL08'!$J$238:$J$451),0),
IF('TL09'!$B$3=L$3,SUMIF('TL09'!$C$10:$C$224,$C113,'TL09'!$J$10:$J$224),0),
IF('TL09'!$B$229=L$3,SUMIF('TL09'!$C$238:$C$451,$C113,'TL09'!$J$238:$J$451),0),
IF('TL10'!$B$3=L$3,SUMIF('TL10'!$C$10:$C$224,$C113,'TL10'!$J$10:$J$224),0),
IF('TL10'!$B$229=L$3,SUMIF('TL10'!$C$238:$C$451,$C113,'TL10'!$J$238:$J$451),0),
IF('TL11'!$B$3=L$3,SUMIF('TL11'!$C$10:$C$224,$C113,'TL11'!$J$10:$J$224),0),
IF('TL11'!$B$229=L$3,SUMIF('TL11'!$C$238:$C$451,$C113,'TL11'!$J$238:$J$451),0),
IF('TL12'!$B$3=L$3,SUMIF('TL12'!$C$10:$C$224,$C113,'TL12'!$J$10:$J$224),0),
IF('TL12'!$B$229=L$3,SUMIF('TL12'!$C$238:$C$451,$C113,'TL12'!$J$238:$J$451),0),
IF('TL13'!$B$3=L$3,SUMIF('TL13'!$C$10:$C$224,$C113,'TL13'!$J$10:$J$224),0),
IF('TL13'!$B$229=L$3,SUMIF('TL13'!$C$238:$C$451,$C113,'TL13'!$J$238:$J$451),0),
IF('TL14'!$B$3=L$3,SUMIF('TL14'!$C$10:$C$224,$C113,'TL14'!$J$10:$J$224),0),
IF('TL14'!$B$229=L$3,SUMIF('TL14'!$C$238:$C$451,$C113,'TL14'!$J$238:$J$451),0),
IF('TL15'!$B$3=L$3,SUMIF('TL15'!$C$10:$C$224,$C113,'TL15'!$J$10:$J$224),0),
IF('TL15'!$B$229=L$3,SUMIF('TL15'!$C$238:$C$451,$C113,'TL15'!$J$238:$J$451),0),
IF('TL16'!$B$3=L$3,SUMIF('TL16'!$C$10:$C$224,$C113,'TL16'!$J$10:$J$224),0),
IF('TL16'!$B$229=L$3,SUMIF('TL16'!$C$238:$C$451,$C113,'TL16'!$J$238:$J$451),0),
IF('TL17'!$B$3=L$3,SUMIF('TL17'!$C$10:$C$224,$C113,'TL17'!$J$10:$J$224),0),
IF('TL17'!$B$229=L$3,SUMIF('TL17'!$C$238:$C$451,$C113,'TL17'!$J$238:$J$451),0),
IF('TL18'!$B$3=L$3,SUMIF('TL18'!$C$10:$C$224,$C113,'TL18'!$J$10:$J$224),0),
IF('TL18'!$B$229=L$3,SUMIF('TL18'!$C$238:$C$451,$C113,'TL18'!$J$238:$J$451),0),
IF('TL19'!$B$3=L$3,SUMIF('TL19'!$C$10:$C$224,$C113,'TL19'!$J$10:$J$224),0),
IF('TL19'!$B$229=L$3,SUMIF('TL19'!$C$238:$C$451,$C113,'TL19'!$J$238:$J$451),0)
),0)</f>
        <v>0</v>
      </c>
      <c r="M113" s="9">
        <f>IFERROR(SUM(
IF('TL01'!$B$3=M$3,SUMIF('TL01'!$C$10:$C$224,$C113,'TL01'!$J$10:$J$224),0),
IF('TL01'!$B$229=M$3,SUMIF('TL01'!$C$238:$C$451,$C113,'TL01'!$J$238:$J$451),0),
IF('TL02'!$B$3=M$3,SUMIF('TL02'!$C$10:$C$224,$C113,'TL02'!$J$10:$J$224),0),
IF('TL02'!$B$229=M$3,SUMIF('TL02'!$C$238:$C$451,$C113,'TL02'!$J$238:$J$451),0),
IF('TL03'!$B$3=M$3,SUMIF('TL03'!$C$10:$C$224,$C113,'TL03'!$J$10:$J$224),0),
IF('TL03'!$B$229=M$3,SUMIF('TL03'!$C$238:$C$451,$C113,'TL03'!$J$238:$J$451),0),
IF('TL04'!$B$3=M$3,SUMIF('TL04'!$C$10:$C$224,$C113,'TL04'!$J$10:$J$224),0),
IF('TL04'!$B$229=M$3,SUMIF('TL04'!$C$238:$C$451,$C113,'TL04'!$J$238:$J$451),0),
IF('TL05'!$B$3=M$3,SUMIF('TL05'!$C$10:$C$224,$C113,'TL05'!$J$10:$J$224),0),
IF('TL05'!$B$229=M$3,SUMIF('TL05'!$C$238:$C$451,$C113,'TL05'!$J$238:$J$451),0),
IF('TL06'!$B$3=M$3,SUMIF('TL06'!$C$10:$C$224,$C113,'TL06'!$J$10:$J$224),0),
IF('TL06'!$B$229=M$3,SUMIF('TL06'!$C$238:$C$451,$C113,'TL06'!$J$238:$J$451),0),
IF('TL07'!$B$3=M$3,SUMIF('TL07'!$C$10:$C$224,$C113,'TL07'!$J$10:$J$224),0),
IF('TL07'!$B$229=M$3,SUMIF('TL07'!$C$238:$C$451,$C113,'TL07'!$J$238:$J$451),0),
IF('TL08'!$B$3=M$3,SUMIF('TL08'!$C$10:$C$224,$C113,'TL08'!$J$10:$J$224),0),
IF('TL08'!$B$229=M$3,SUMIF('TL08'!$C$238:$C$451,$C113,'TL08'!$J$238:$J$451),0),
IF('TL09'!$B$3=M$3,SUMIF('TL09'!$C$10:$C$224,$C113,'TL09'!$J$10:$J$224),0),
IF('TL09'!$B$229=M$3,SUMIF('TL09'!$C$238:$C$451,$C113,'TL09'!$J$238:$J$451),0),
IF('TL10'!$B$3=M$3,SUMIF('TL10'!$C$10:$C$224,$C113,'TL10'!$J$10:$J$224),0),
IF('TL10'!$B$229=M$3,SUMIF('TL10'!$C$238:$C$451,$C113,'TL10'!$J$238:$J$451),0),
IF('TL11'!$B$3=M$3,SUMIF('TL11'!$C$10:$C$224,$C113,'TL11'!$J$10:$J$224),0),
IF('TL11'!$B$229=M$3,SUMIF('TL11'!$C$238:$C$451,$C113,'TL11'!$J$238:$J$451),0),
IF('TL12'!$B$3=M$3,SUMIF('TL12'!$C$10:$C$224,$C113,'TL12'!$J$10:$J$224),0),
IF('TL12'!$B$229=M$3,SUMIF('TL12'!$C$238:$C$451,$C113,'TL12'!$J$238:$J$451),0),
IF('TL13'!$B$3=M$3,SUMIF('TL13'!$C$10:$C$224,$C113,'TL13'!$J$10:$J$224),0),
IF('TL13'!$B$229=M$3,SUMIF('TL13'!$C$238:$C$451,$C113,'TL13'!$J$238:$J$451),0),
IF('TL14'!$B$3=M$3,SUMIF('TL14'!$C$10:$C$224,$C113,'TL14'!$J$10:$J$224),0),
IF('TL14'!$B$229=M$3,SUMIF('TL14'!$C$238:$C$451,$C113,'TL14'!$J$238:$J$451),0),
IF('TL15'!$B$3=M$3,SUMIF('TL15'!$C$10:$C$224,$C113,'TL15'!$J$10:$J$224),0),
IF('TL15'!$B$229=M$3,SUMIF('TL15'!$C$238:$C$451,$C113,'TL15'!$J$238:$J$451),0),
IF('TL16'!$B$3=M$3,SUMIF('TL16'!$C$10:$C$224,$C113,'TL16'!$J$10:$J$224),0),
IF('TL16'!$B$229=M$3,SUMIF('TL16'!$C$238:$C$451,$C113,'TL16'!$J$238:$J$451),0),
IF('TL17'!$B$3=M$3,SUMIF('TL17'!$C$10:$C$224,$C113,'TL17'!$J$10:$J$224),0),
IF('TL17'!$B$229=M$3,SUMIF('TL17'!$C$238:$C$451,$C113,'TL17'!$J$238:$J$451),0),
IF('TL18'!$B$3=M$3,SUMIF('TL18'!$C$10:$C$224,$C113,'TL18'!$J$10:$J$224),0),
IF('TL18'!$B$229=M$3,SUMIF('TL18'!$C$238:$C$451,$C113,'TL18'!$J$238:$J$451),0),
IF('TL19'!$B$3=M$3,SUMIF('TL19'!$C$10:$C$224,$C113,'TL19'!$J$10:$J$224),0),
IF('TL19'!$B$229=M$3,SUMIF('TL19'!$C$238:$C$451,$C113,'TL19'!$J$238:$J$451),0)
),0)</f>
        <v>0</v>
      </c>
      <c r="N113" s="9">
        <f>IFERROR(SUM(
IF('TL01'!$B$3=N$3,SUMIF('TL01'!$C$10:$C$224,$C113,'TL01'!$J$10:$J$224),0),
IF('TL01'!$B$229=N$3,SUMIF('TL01'!$C$238:$C$451,$C113,'TL01'!$J$238:$J$451),0),
IF('TL02'!$B$3=N$3,SUMIF('TL02'!$C$10:$C$224,$C113,'TL02'!$J$10:$J$224),0),
IF('TL02'!$B$229=N$3,SUMIF('TL02'!$C$238:$C$451,$C113,'TL02'!$J$238:$J$451),0),
IF('TL03'!$B$3=N$3,SUMIF('TL03'!$C$10:$C$224,$C113,'TL03'!$J$10:$J$224),0),
IF('TL03'!$B$229=N$3,SUMIF('TL03'!$C$238:$C$451,$C113,'TL03'!$J$238:$J$451),0),
IF('TL04'!$B$3=N$3,SUMIF('TL04'!$C$10:$C$224,$C113,'TL04'!$J$10:$J$224),0),
IF('TL04'!$B$229=N$3,SUMIF('TL04'!$C$238:$C$451,$C113,'TL04'!$J$238:$J$451),0),
IF('TL05'!$B$3=N$3,SUMIF('TL05'!$C$10:$C$224,$C113,'TL05'!$J$10:$J$224),0),
IF('TL05'!$B$229=N$3,SUMIF('TL05'!$C$238:$C$451,$C113,'TL05'!$J$238:$J$451),0),
IF('TL06'!$B$3=N$3,SUMIF('TL06'!$C$10:$C$224,$C113,'TL06'!$J$10:$J$224),0),
IF('TL06'!$B$229=N$3,SUMIF('TL06'!$C$238:$C$451,$C113,'TL06'!$J$238:$J$451),0),
IF('TL07'!$B$3=N$3,SUMIF('TL07'!$C$10:$C$224,$C113,'TL07'!$J$10:$J$224),0),
IF('TL07'!$B$229=N$3,SUMIF('TL07'!$C$238:$C$451,$C113,'TL07'!$J$238:$J$451),0),
IF('TL08'!$B$3=N$3,SUMIF('TL08'!$C$10:$C$224,$C113,'TL08'!$J$10:$J$224),0),
IF('TL08'!$B$229=N$3,SUMIF('TL08'!$C$238:$C$451,$C113,'TL08'!$J$238:$J$451),0),
IF('TL09'!$B$3=N$3,SUMIF('TL09'!$C$10:$C$224,$C113,'TL09'!$J$10:$J$224),0),
IF('TL09'!$B$229=N$3,SUMIF('TL09'!$C$238:$C$451,$C113,'TL09'!$J$238:$J$451),0),
IF('TL10'!$B$3=N$3,SUMIF('TL10'!$C$10:$C$224,$C113,'TL10'!$J$10:$J$224),0),
IF('TL10'!$B$229=N$3,SUMIF('TL10'!$C$238:$C$451,$C113,'TL10'!$J$238:$J$451),0),
IF('TL11'!$B$3=N$3,SUMIF('TL11'!$C$10:$C$224,$C113,'TL11'!$J$10:$J$224),0),
IF('TL11'!$B$229=N$3,SUMIF('TL11'!$C$238:$C$451,$C113,'TL11'!$J$238:$J$451),0),
IF('TL12'!$B$3=N$3,SUMIF('TL12'!$C$10:$C$224,$C113,'TL12'!$J$10:$J$224),0),
IF('TL12'!$B$229=N$3,SUMIF('TL12'!$C$238:$C$451,$C113,'TL12'!$J$238:$J$451),0),
IF('TL13'!$B$3=N$3,SUMIF('TL13'!$C$10:$C$224,$C113,'TL13'!$J$10:$J$224),0),
IF('TL13'!$B$229=N$3,SUMIF('TL13'!$C$238:$C$451,$C113,'TL13'!$J$238:$J$451),0),
IF('TL14'!$B$3=N$3,SUMIF('TL14'!$C$10:$C$224,$C113,'TL14'!$J$10:$J$224),0),
IF('TL14'!$B$229=N$3,SUMIF('TL14'!$C$238:$C$451,$C113,'TL14'!$J$238:$J$451),0),
IF('TL15'!$B$3=N$3,SUMIF('TL15'!$C$10:$C$224,$C113,'TL15'!$J$10:$J$224),0),
IF('TL15'!$B$229=N$3,SUMIF('TL15'!$C$238:$C$451,$C113,'TL15'!$J$238:$J$451),0),
IF('TL16'!$B$3=N$3,SUMIF('TL16'!$C$10:$C$224,$C113,'TL16'!$J$10:$J$224),0),
IF('TL16'!$B$229=N$3,SUMIF('TL16'!$C$238:$C$451,$C113,'TL16'!$J$238:$J$451),0),
IF('TL17'!$B$3=N$3,SUMIF('TL17'!$C$10:$C$224,$C113,'TL17'!$J$10:$J$224),0),
IF('TL17'!$B$229=N$3,SUMIF('TL17'!$C$238:$C$451,$C113,'TL17'!$J$238:$J$451),0),
IF('TL18'!$B$3=N$3,SUMIF('TL18'!$C$10:$C$224,$C113,'TL18'!$J$10:$J$224),0),
IF('TL18'!$B$229=N$3,SUMIF('TL18'!$C$238:$C$451,$C113,'TL18'!$J$238:$J$451),0),
IF('TL19'!$B$3=N$3,SUMIF('TL19'!$C$10:$C$224,$C113,'TL19'!$J$10:$J$224),0),
IF('TL19'!$B$229=N$3,SUMIF('TL19'!$C$238:$C$451,$C113,'TL19'!$J$238:$J$451),0)
),0)</f>
        <v>0</v>
      </c>
      <c r="O113" s="9">
        <f>IFERROR(SUM(
IF('TL01'!$B$3=O$3,SUMIF('TL01'!$C$10:$C$224,$C113,'TL01'!$J$10:$J$224),0),
IF('TL01'!$B$229=O$3,SUMIF('TL01'!$C$238:$C$451,$C113,'TL01'!$J$238:$J$451),0),
IF('TL02'!$B$3=O$3,SUMIF('TL02'!$C$10:$C$224,$C113,'TL02'!$J$10:$J$224),0),
IF('TL02'!$B$229=O$3,SUMIF('TL02'!$C$238:$C$451,$C113,'TL02'!$J$238:$J$451),0),
IF('TL03'!$B$3=O$3,SUMIF('TL03'!$C$10:$C$224,$C113,'TL03'!$J$10:$J$224),0),
IF('TL03'!$B$229=O$3,SUMIF('TL03'!$C$238:$C$451,$C113,'TL03'!$J$238:$J$451),0),
IF('TL04'!$B$3=O$3,SUMIF('TL04'!$C$10:$C$224,$C113,'TL04'!$J$10:$J$224),0),
IF('TL04'!$B$229=O$3,SUMIF('TL04'!$C$238:$C$451,$C113,'TL04'!$J$238:$J$451),0),
IF('TL05'!$B$3=O$3,SUMIF('TL05'!$C$10:$C$224,$C113,'TL05'!$J$10:$J$224),0),
IF('TL05'!$B$229=O$3,SUMIF('TL05'!$C$238:$C$451,$C113,'TL05'!$J$238:$J$451),0),
IF('TL06'!$B$3=O$3,SUMIF('TL06'!$C$10:$C$224,$C113,'TL06'!$J$10:$J$224),0),
IF('TL06'!$B$229=O$3,SUMIF('TL06'!$C$238:$C$451,$C113,'TL06'!$J$238:$J$451),0),
IF('TL07'!$B$3=O$3,SUMIF('TL07'!$C$10:$C$224,$C113,'TL07'!$J$10:$J$224),0),
IF('TL07'!$B$229=O$3,SUMIF('TL07'!$C$238:$C$451,$C113,'TL07'!$J$238:$J$451),0),
IF('TL08'!$B$3=O$3,SUMIF('TL08'!$C$10:$C$224,$C113,'TL08'!$J$10:$J$224),0),
IF('TL08'!$B$229=O$3,SUMIF('TL08'!$C$238:$C$451,$C113,'TL08'!$J$238:$J$451),0),
IF('TL09'!$B$3=O$3,SUMIF('TL09'!$C$10:$C$224,$C113,'TL09'!$J$10:$J$224),0),
IF('TL09'!$B$229=O$3,SUMIF('TL09'!$C$238:$C$451,$C113,'TL09'!$J$238:$J$451),0),
IF('TL10'!$B$3=O$3,SUMIF('TL10'!$C$10:$C$224,$C113,'TL10'!$J$10:$J$224),0),
IF('TL10'!$B$229=O$3,SUMIF('TL10'!$C$238:$C$451,$C113,'TL10'!$J$238:$J$451),0),
IF('TL11'!$B$3=O$3,SUMIF('TL11'!$C$10:$C$224,$C113,'TL11'!$J$10:$J$224),0),
IF('TL11'!$B$229=O$3,SUMIF('TL11'!$C$238:$C$451,$C113,'TL11'!$J$238:$J$451),0),
IF('TL12'!$B$3=O$3,SUMIF('TL12'!$C$10:$C$224,$C113,'TL12'!$J$10:$J$224),0),
IF('TL12'!$B$229=O$3,SUMIF('TL12'!$C$238:$C$451,$C113,'TL12'!$J$238:$J$451),0),
IF('TL13'!$B$3=O$3,SUMIF('TL13'!$C$10:$C$224,$C113,'TL13'!$J$10:$J$224),0),
IF('TL13'!$B$229=O$3,SUMIF('TL13'!$C$238:$C$451,$C113,'TL13'!$J$238:$J$451),0),
IF('TL14'!$B$3=O$3,SUMIF('TL14'!$C$10:$C$224,$C113,'TL14'!$J$10:$J$224),0),
IF('TL14'!$B$229=O$3,SUMIF('TL14'!$C$238:$C$451,$C113,'TL14'!$J$238:$J$451),0),
IF('TL15'!$B$3=O$3,SUMIF('TL15'!$C$10:$C$224,$C113,'TL15'!$J$10:$J$224),0),
IF('TL15'!$B$229=O$3,SUMIF('TL15'!$C$238:$C$451,$C113,'TL15'!$J$238:$J$451),0),
IF('TL16'!$B$3=O$3,SUMIF('TL16'!$C$10:$C$224,$C113,'TL16'!$J$10:$J$224),0),
IF('TL16'!$B$229=O$3,SUMIF('TL16'!$C$238:$C$451,$C113,'TL16'!$J$238:$J$451),0),
IF('TL17'!$B$3=O$3,SUMIF('TL17'!$C$10:$C$224,$C113,'TL17'!$J$10:$J$224),0),
IF('TL17'!$B$229=O$3,SUMIF('TL17'!$C$238:$C$451,$C113,'TL17'!$J$238:$J$451),0),
IF('TL18'!$B$3=O$3,SUMIF('TL18'!$C$10:$C$224,$C113,'TL18'!$J$10:$J$224),0),
IF('TL18'!$B$229=O$3,SUMIF('TL18'!$C$238:$C$451,$C113,'TL18'!$J$238:$J$451),0),
IF('TL19'!$B$3=O$3,SUMIF('TL19'!$C$10:$C$224,$C113,'TL19'!$J$10:$J$224),0),
IF('TL19'!$B$229=O$3,SUMIF('TL19'!$C$238:$C$451,$C113,'TL19'!$J$238:$J$451),0)
),0)</f>
        <v>0</v>
      </c>
      <c r="P113" s="9">
        <f>IFERROR(SUM(
IF('TL01'!$B$3=P$3,SUMIF('TL01'!$C$10:$C$224,$C113,'TL01'!$J$10:$J$224),0),
IF('TL01'!$B$229=P$3,SUMIF('TL01'!$C$238:$C$451,$C113,'TL01'!$J$238:$J$451),0),
IF('TL02'!$B$3=P$3,SUMIF('TL02'!$C$10:$C$224,$C113,'TL02'!$J$10:$J$224),0),
IF('TL02'!$B$229=P$3,SUMIF('TL02'!$C$238:$C$451,$C113,'TL02'!$J$238:$J$451),0),
IF('TL03'!$B$3=P$3,SUMIF('TL03'!$C$10:$C$224,$C113,'TL03'!$J$10:$J$224),0),
IF('TL03'!$B$229=P$3,SUMIF('TL03'!$C$238:$C$451,$C113,'TL03'!$J$238:$J$451),0),
IF('TL04'!$B$3=P$3,SUMIF('TL04'!$C$10:$C$224,$C113,'TL04'!$J$10:$J$224),0),
IF('TL04'!$B$229=P$3,SUMIF('TL04'!$C$238:$C$451,$C113,'TL04'!$J$238:$J$451),0),
IF('TL05'!$B$3=P$3,SUMIF('TL05'!$C$10:$C$224,$C113,'TL05'!$J$10:$J$224),0),
IF('TL05'!$B$229=P$3,SUMIF('TL05'!$C$238:$C$451,$C113,'TL05'!$J$238:$J$451),0),
IF('TL06'!$B$3=P$3,SUMIF('TL06'!$C$10:$C$224,$C113,'TL06'!$J$10:$J$224),0),
IF('TL06'!$B$229=P$3,SUMIF('TL06'!$C$238:$C$451,$C113,'TL06'!$J$238:$J$451),0),
IF('TL07'!$B$3=P$3,SUMIF('TL07'!$C$10:$C$224,$C113,'TL07'!$J$10:$J$224),0),
IF('TL07'!$B$229=P$3,SUMIF('TL07'!$C$238:$C$451,$C113,'TL07'!$J$238:$J$451),0),
IF('TL08'!$B$3=P$3,SUMIF('TL08'!$C$10:$C$224,$C113,'TL08'!$J$10:$J$224),0),
IF('TL08'!$B$229=P$3,SUMIF('TL08'!$C$238:$C$451,$C113,'TL08'!$J$238:$J$451),0),
IF('TL09'!$B$3=P$3,SUMIF('TL09'!$C$10:$C$224,$C113,'TL09'!$J$10:$J$224),0),
IF('TL09'!$B$229=P$3,SUMIF('TL09'!$C$238:$C$451,$C113,'TL09'!$J$238:$J$451),0),
IF('TL10'!$B$3=P$3,SUMIF('TL10'!$C$10:$C$224,$C113,'TL10'!$J$10:$J$224),0),
IF('TL10'!$B$229=P$3,SUMIF('TL10'!$C$238:$C$451,$C113,'TL10'!$J$238:$J$451),0),
IF('TL11'!$B$3=P$3,SUMIF('TL11'!$C$10:$C$224,$C113,'TL11'!$J$10:$J$224),0),
IF('TL11'!$B$229=P$3,SUMIF('TL11'!$C$238:$C$451,$C113,'TL11'!$J$238:$J$451),0),
IF('TL12'!$B$3=P$3,SUMIF('TL12'!$C$10:$C$224,$C113,'TL12'!$J$10:$J$224),0),
IF('TL12'!$B$229=P$3,SUMIF('TL12'!$C$238:$C$451,$C113,'TL12'!$J$238:$J$451),0),
IF('TL13'!$B$3=P$3,SUMIF('TL13'!$C$10:$C$224,$C113,'TL13'!$J$10:$J$224),0),
IF('TL13'!$B$229=P$3,SUMIF('TL13'!$C$238:$C$451,$C113,'TL13'!$J$238:$J$451),0),
IF('TL14'!$B$3=P$3,SUMIF('TL14'!$C$10:$C$224,$C113,'TL14'!$J$10:$J$224),0),
IF('TL14'!$B$229=P$3,SUMIF('TL14'!$C$238:$C$451,$C113,'TL14'!$J$238:$J$451),0),
IF('TL15'!$B$3=P$3,SUMIF('TL15'!$C$10:$C$224,$C113,'TL15'!$J$10:$J$224),0),
IF('TL15'!$B$229=P$3,SUMIF('TL15'!$C$238:$C$451,$C113,'TL15'!$J$238:$J$451),0),
IF('TL16'!$B$3=P$3,SUMIF('TL16'!$C$10:$C$224,$C113,'TL16'!$J$10:$J$224),0),
IF('TL16'!$B$229=P$3,SUMIF('TL16'!$C$238:$C$451,$C113,'TL16'!$J$238:$J$451),0),
IF('TL17'!$B$3=P$3,SUMIF('TL17'!$C$10:$C$224,$C113,'TL17'!$J$10:$J$224),0),
IF('TL17'!$B$229=P$3,SUMIF('TL17'!$C$238:$C$451,$C113,'TL17'!$J$238:$J$451),0),
IF('TL18'!$B$3=P$3,SUMIF('TL18'!$C$10:$C$224,$C113,'TL18'!$J$10:$J$224),0),
IF('TL18'!$B$229=P$3,SUMIF('TL18'!$C$238:$C$451,$C113,'TL18'!$J$238:$J$451),0),
IF('TL19'!$B$3=P$3,SUMIF('TL19'!$C$10:$C$224,$C113,'TL19'!$J$10:$J$224),0),
IF('TL19'!$B$229=P$3,SUMIF('TL19'!$C$238:$C$451,$C113,'TL19'!$J$238:$J$451),0)
),0)</f>
        <v>0</v>
      </c>
      <c r="Q113" s="9">
        <f>IFERROR(SUM(
IF('TL01'!$B$3=Q$3,SUMIF('TL01'!$C$10:$C$224,$C113,'TL01'!$J$10:$J$224),0),
IF('TL01'!$B$229=Q$3,SUMIF('TL01'!$C$238:$C$451,$C113,'TL01'!$J$238:$J$451),0),
IF('TL02'!$B$3=Q$3,SUMIF('TL02'!$C$10:$C$224,$C113,'TL02'!$J$10:$J$224),0),
IF('TL02'!$B$229=Q$3,SUMIF('TL02'!$C$238:$C$451,$C113,'TL02'!$J$238:$J$451),0),
IF('TL03'!$B$3=Q$3,SUMIF('TL03'!$C$10:$C$224,$C113,'TL03'!$J$10:$J$224),0),
IF('TL03'!$B$229=Q$3,SUMIF('TL03'!$C$238:$C$451,$C113,'TL03'!$J$238:$J$451),0),
IF('TL04'!$B$3=Q$3,SUMIF('TL04'!$C$10:$C$224,$C113,'TL04'!$J$10:$J$224),0),
IF('TL04'!$B$229=Q$3,SUMIF('TL04'!$C$238:$C$451,$C113,'TL04'!$J$238:$J$451),0),
IF('TL05'!$B$3=Q$3,SUMIF('TL05'!$C$10:$C$224,$C113,'TL05'!$J$10:$J$224),0),
IF('TL05'!$B$229=Q$3,SUMIF('TL05'!$C$238:$C$451,$C113,'TL05'!$J$238:$J$451),0),
IF('TL06'!$B$3=Q$3,SUMIF('TL06'!$C$10:$C$224,$C113,'TL06'!$J$10:$J$224),0),
IF('TL06'!$B$229=Q$3,SUMIF('TL06'!$C$238:$C$451,$C113,'TL06'!$J$238:$J$451),0),
IF('TL07'!$B$3=Q$3,SUMIF('TL07'!$C$10:$C$224,$C113,'TL07'!$J$10:$J$224),0),
IF('TL07'!$B$229=Q$3,SUMIF('TL07'!$C$238:$C$451,$C113,'TL07'!$J$238:$J$451),0),
IF('TL08'!$B$3=Q$3,SUMIF('TL08'!$C$10:$C$224,$C113,'TL08'!$J$10:$J$224),0),
IF('TL08'!$B$229=Q$3,SUMIF('TL08'!$C$238:$C$451,$C113,'TL08'!$J$238:$J$451),0),
IF('TL09'!$B$3=Q$3,SUMIF('TL09'!$C$10:$C$224,$C113,'TL09'!$J$10:$J$224),0),
IF('TL09'!$B$229=Q$3,SUMIF('TL09'!$C$238:$C$451,$C113,'TL09'!$J$238:$J$451),0),
IF('TL10'!$B$3=Q$3,SUMIF('TL10'!$C$10:$C$224,$C113,'TL10'!$J$10:$J$224),0),
IF('TL10'!$B$229=Q$3,SUMIF('TL10'!$C$238:$C$451,$C113,'TL10'!$J$238:$J$451),0),
IF('TL11'!$B$3=Q$3,SUMIF('TL11'!$C$10:$C$224,$C113,'TL11'!$J$10:$J$224),0),
IF('TL11'!$B$229=Q$3,SUMIF('TL11'!$C$238:$C$451,$C113,'TL11'!$J$238:$J$451),0),
IF('TL12'!$B$3=Q$3,SUMIF('TL12'!$C$10:$C$224,$C113,'TL12'!$J$10:$J$224),0),
IF('TL12'!$B$229=Q$3,SUMIF('TL12'!$C$238:$C$451,$C113,'TL12'!$J$238:$J$451),0),
IF('TL13'!$B$3=Q$3,SUMIF('TL13'!$C$10:$C$224,$C113,'TL13'!$J$10:$J$224),0),
IF('TL13'!$B$229=Q$3,SUMIF('TL13'!$C$238:$C$451,$C113,'TL13'!$J$238:$J$451),0),
IF('TL14'!$B$3=Q$3,SUMIF('TL14'!$C$10:$C$224,$C113,'TL14'!$J$10:$J$224),0),
IF('TL14'!$B$229=Q$3,SUMIF('TL14'!$C$238:$C$451,$C113,'TL14'!$J$238:$J$451),0),
IF('TL15'!$B$3=Q$3,SUMIF('TL15'!$C$10:$C$224,$C113,'TL15'!$J$10:$J$224),0),
IF('TL15'!$B$229=Q$3,SUMIF('TL15'!$C$238:$C$451,$C113,'TL15'!$J$238:$J$451),0),
IF('TL16'!$B$3=Q$3,SUMIF('TL16'!$C$10:$C$224,$C113,'TL16'!$J$10:$J$224),0),
IF('TL16'!$B$229=Q$3,SUMIF('TL16'!$C$238:$C$451,$C113,'TL16'!$J$238:$J$451),0),
IF('TL17'!$B$3=Q$3,SUMIF('TL17'!$C$10:$C$224,$C113,'TL17'!$J$10:$J$224),0),
IF('TL17'!$B$229=Q$3,SUMIF('TL17'!$C$238:$C$451,$C113,'TL17'!$J$238:$J$451),0),
IF('TL18'!$B$3=Q$3,SUMIF('TL18'!$C$10:$C$224,$C113,'TL18'!$J$10:$J$224),0),
IF('TL18'!$B$229=Q$3,SUMIF('TL18'!$C$238:$C$451,$C113,'TL18'!$J$238:$J$451),0),
IF('TL19'!$B$3=Q$3,SUMIF('TL19'!$C$10:$C$224,$C113,'TL19'!$J$10:$J$224),0),
IF('TL19'!$B$229=Q$3,SUMIF('TL19'!$C$238:$C$451,$C113,'TL19'!$J$238:$J$451),0)
),0)</f>
        <v>0</v>
      </c>
      <c r="R113" s="9">
        <f>IFERROR(
SUM(
SUMIF('TL01'!C:C,C113,'TL01'!J:J),
SUMIF('TL02'!C:C,C113,'TL02'!J:J),
SUMIF('TL03'!C:C,C113,'TL03'!J:J),
SUMIF('TL04'!C:C,C113,'TL04'!J:J),
SUMIF('TL05'!C:C,C113,'TL05'!J:J),
SUMIF('TL06'!C:C,C113,'TL06'!J:J),
SUMIF('TL07'!C:C,C113,'TL07'!J:J),
SUMIF('TL08'!C:C,C113,'TL08'!J:J),
SUMIF('TL09'!C:C,C113,'TL09'!J:J),
SUMIF('TL10'!C:C,C113,'TL10'!J:J),
SUMIF('TL11'!C:C,C113,'TL11'!J:J),
SUMIF('TL12'!C:C,C113,'TL12'!J:J),
SUMIF('TL13'!C:C,C113,'TL13'!J:J),
SUMIF('TL14'!C:C,C113,'TL14'!J:J),
SUMIF('TL15'!C:C,C113,'TL15'!J:J),
SUMIF('TL16'!C:C,C113,'TL16'!J:J),
SUMIF('TL17'!C:C,C113,'TL17'!J:J),
SUMIF('TL18'!C:C,C113,'TL18'!J:J),SUMIF('TL19'!C:C,C113,'TL19'!J:J))
,0)</f>
        <v>0</v>
      </c>
      <c r="S113" s="17">
        <f>IFERROR(__xludf.DUMMYFUNCTION("IFERROR(VLOOKUP(C113,
IMPORTRANGE(""1wULbzX32WdYsx-lj2U3uUNBBe2INVIRDtcK0d-Dvl90"",
""26-27!C:G""),
5,
FALSE),
"""")"),74.37907999999999)</f>
        <v>74.37908</v>
      </c>
      <c r="T113" s="9"/>
      <c r="U113" s="92">
        <f t="shared" si="2"/>
        <v>0</v>
      </c>
      <c r="V113" s="93">
        <f t="shared" si="3"/>
        <v>0</v>
      </c>
    </row>
    <row r="114" ht="15.75" hidden="1" customHeight="1">
      <c r="A114" s="115" t="s">
        <v>345</v>
      </c>
      <c r="B114" s="100" t="s">
        <v>1</v>
      </c>
      <c r="C114" s="116" t="s">
        <v>625</v>
      </c>
      <c r="D114" s="116" t="s">
        <v>626</v>
      </c>
      <c r="E114" s="116">
        <v>200.0</v>
      </c>
      <c r="F114" s="4" t="s">
        <v>343</v>
      </c>
      <c r="G114" s="90" t="str">
        <f t="shared" si="4"/>
        <v>📄 Ver bula</v>
      </c>
      <c r="H114" s="9">
        <f>IFERROR(__xludf.DUMMYFUNCTION("IFERROR(VLOOKUP(C114,
IMPORTRANGE(""1wULbzX32WdYsx-lj2U3uUNBBe2INVIRDtcK0d-Dvl90"",
""26-27!C:K""),
8,
FALSE),
"""")"),2.0)</f>
        <v>2</v>
      </c>
      <c r="I114" s="117" t="s">
        <v>361</v>
      </c>
      <c r="J114" s="9">
        <f>IFERROR(SUM(
IF('TL01'!$B$3=J$3,SUMIF('TL01'!$C$10:$C$224,$C114,'TL01'!$J$10:$J$224),0),
IF('TL01'!$B$229=J$3,SUMIF('TL01'!$C$238:$C$451,$C114,'TL01'!$J$238:$J$451),0),
IF('TL02'!$B$3=J$3,SUMIF('TL02'!$C$10:$C$224,$C114,'TL02'!$J$10:$J$224),0),
IF('TL02'!$B$229=J$3,SUMIF('TL02'!$C$238:$C$451,$C114,'TL02'!$J$238:$J$451),0),
IF('TL03'!$B$3=J$3,SUMIF('TL03'!$C$10:$C$224,$C114,'TL03'!$J$10:$J$224),0),
IF('TL03'!$B$229=J$3,SUMIF('TL03'!$C$238:$C$451,$C114,'TL03'!$J$238:$J$451),0),
IF('TL04'!$B$3=J$3,SUMIF('TL04'!$C$10:$C$224,$C114,'TL04'!$J$10:$J$224),0),
IF('TL04'!$B$229=J$3,SUMIF('TL04'!$C$238:$C$451,$C114,'TL04'!$J$238:$J$451),0),
IF('TL05'!$B$3=J$3,SUMIF('TL05'!$C$10:$C$224,$C114,'TL05'!$J$10:$J$224),0),
IF('TL05'!$B$229=J$3,SUMIF('TL05'!$C$238:$C$451,$C114,'TL05'!$J$238:$J$451),0),
IF('TL06'!$B$3=J$3,SUMIF('TL06'!$C$10:$C$224,$C114,'TL06'!$J$10:$J$224),0),
IF('TL06'!$B$229=J$3,SUMIF('TL06'!$C$238:$C$451,$C114,'TL06'!$J$238:$J$451),0),
IF('TL07'!$B$3=J$3,SUMIF('TL07'!$C$10:$C$224,$C114,'TL07'!$J$10:$J$224),0),
IF('TL07'!$B$229=J$3,SUMIF('TL07'!$C$238:$C$451,$C114,'TL07'!$J$238:$J$451),0),
IF('TL08'!$B$3=J$3,SUMIF('TL08'!$C$10:$C$224,$C114,'TL08'!$J$10:$J$224),0),
IF('TL08'!$B$229=J$3,SUMIF('TL08'!$C$238:$C$451,$C114,'TL08'!$J$238:$J$451),0),
IF('TL09'!$B$3=J$3,SUMIF('TL09'!$C$10:$C$224,$C114,'TL09'!$J$10:$J$224),0),
IF('TL09'!$B$229=J$3,SUMIF('TL09'!$C$238:$C$451,$C114,'TL09'!$J$238:$J$451),0),
IF('TL10'!$B$3=J$3,SUMIF('TL10'!$C$10:$C$224,$C114,'TL10'!$J$10:$J$224),0),
IF('TL10'!$B$229=J$3,SUMIF('TL10'!$C$238:$C$451,$C114,'TL10'!$J$238:$J$451),0),
IF('TL11'!$B$3=J$3,SUMIF('TL11'!$C$10:$C$224,$C114,'TL11'!$J$10:$J$224),0),
IF('TL11'!$B$229=J$3,SUMIF('TL11'!$C$238:$C$451,$C114,'TL11'!$J$238:$J$451),0),
IF('TL12'!$B$3=J$3,SUMIF('TL12'!$C$10:$C$224,$C114,'TL12'!$J$10:$J$224),0),
IF('TL12'!$B$229=J$3,SUMIF('TL12'!$C$238:$C$451,$C114,'TL12'!$J$238:$J$451),0),
IF('TL13'!$B$3=J$3,SUMIF('TL13'!$C$10:$C$224,$C114,'TL13'!$J$10:$J$224),0),
IF('TL13'!$B$229=J$3,SUMIF('TL13'!$C$238:$C$451,$C114,'TL13'!$J$238:$J$451),0),
IF('TL14'!$B$3=J$3,SUMIF('TL14'!$C$10:$C$224,$C114,'TL14'!$J$10:$J$224),0),
IF('TL14'!$B$229=J$3,SUMIF('TL14'!$C$238:$C$451,$C114,'TL14'!$J$238:$J$451),0),
IF('TL15'!$B$3=J$3,SUMIF('TL15'!$C$10:$C$224,$C114,'TL15'!$J$10:$J$224),0),
IF('TL15'!$B$229=J$3,SUMIF('TL15'!$C$238:$C$451,$C114,'TL15'!$J$238:$J$451),0),
IF('TL16'!$B$3=J$3,SUMIF('TL16'!$C$10:$C$224,$C114,'TL16'!$J$10:$J$224),0),
IF('TL16'!$B$229=J$3,SUMIF('TL16'!$C$238:$C$451,$C114,'TL16'!$J$238:$J$451),0),
IF('TL17'!$B$3=J$3,SUMIF('TL17'!$C$10:$C$224,$C114,'TL17'!$J$10:$J$224),0),
IF('TL17'!$B$229=J$3,SUMIF('TL17'!$C$238:$C$451,$C114,'TL17'!$J$238:$J$451),0),
IF('TL18'!$B$3=J$3,SUMIF('TL18'!$C$10:$C$224,$C114,'TL18'!$J$10:$J$224),0),
IF('TL18'!$B$229=J$3,SUMIF('TL18'!$C$238:$C$451,$C114,'TL18'!$J$238:$J$451),0),
IF('TL19'!$B$3=J$3,SUMIF('TL19'!$C$10:$C$224,$C114,'TL19'!$J$10:$J$224),0),
IF('TL19'!$B$229=J$3,SUMIF('TL19'!$C$238:$C$451,$C114,'TL19'!$J$238:$J$451),0)
),0)</f>
        <v>0</v>
      </c>
      <c r="K114" s="9">
        <f>IFERROR(SUM(
IF('TL01'!$B$3=K$3,SUMIF('TL01'!$C$10:$C$224,$C114,'TL01'!$J$10:$J$224),0),
IF('TL01'!$B$229=K$3,SUMIF('TL01'!$C$238:$C$451,$C114,'TL01'!$J$238:$J$451),0),
IF('TL02'!$B$3=K$3,SUMIF('TL02'!$C$10:$C$224,$C114,'TL02'!$J$10:$J$224),0),
IF('TL02'!$B$229=K$3,SUMIF('TL02'!$C$238:$C$451,$C114,'TL02'!$J$238:$J$451),0),
IF('TL03'!$B$3=K$3,SUMIF('TL03'!$C$10:$C$224,$C114,'TL03'!$J$10:$J$224),0),
IF('TL03'!$B$229=K$3,SUMIF('TL03'!$C$238:$C$451,$C114,'TL03'!$J$238:$J$451),0),
IF('TL04'!$B$3=K$3,SUMIF('TL04'!$C$10:$C$224,$C114,'TL04'!$J$10:$J$224),0),
IF('TL04'!$B$229=K$3,SUMIF('TL04'!$C$238:$C$451,$C114,'TL04'!$J$238:$J$451),0),
IF('TL05'!$B$3=K$3,SUMIF('TL05'!$C$10:$C$224,$C114,'TL05'!$J$10:$J$224),0),
IF('TL05'!$B$229=K$3,SUMIF('TL05'!$C$238:$C$451,$C114,'TL05'!$J$238:$J$451),0),
IF('TL06'!$B$3=K$3,SUMIF('TL06'!$C$10:$C$224,$C114,'TL06'!$J$10:$J$224),0),
IF('TL06'!$B$229=K$3,SUMIF('TL06'!$C$238:$C$451,$C114,'TL06'!$J$238:$J$451),0),
IF('TL07'!$B$3=K$3,SUMIF('TL07'!$C$10:$C$224,$C114,'TL07'!$J$10:$J$224),0),
IF('TL07'!$B$229=K$3,SUMIF('TL07'!$C$238:$C$451,$C114,'TL07'!$J$238:$J$451),0),
IF('TL08'!$B$3=K$3,SUMIF('TL08'!$C$10:$C$224,$C114,'TL08'!$J$10:$J$224),0),
IF('TL08'!$B$229=K$3,SUMIF('TL08'!$C$238:$C$451,$C114,'TL08'!$J$238:$J$451),0),
IF('TL09'!$B$3=K$3,SUMIF('TL09'!$C$10:$C$224,$C114,'TL09'!$J$10:$J$224),0),
IF('TL09'!$B$229=K$3,SUMIF('TL09'!$C$238:$C$451,$C114,'TL09'!$J$238:$J$451),0),
IF('TL10'!$B$3=K$3,SUMIF('TL10'!$C$10:$C$224,$C114,'TL10'!$J$10:$J$224),0),
IF('TL10'!$B$229=K$3,SUMIF('TL10'!$C$238:$C$451,$C114,'TL10'!$J$238:$J$451),0),
IF('TL11'!$B$3=K$3,SUMIF('TL11'!$C$10:$C$224,$C114,'TL11'!$J$10:$J$224),0),
IF('TL11'!$B$229=K$3,SUMIF('TL11'!$C$238:$C$451,$C114,'TL11'!$J$238:$J$451),0),
IF('TL12'!$B$3=K$3,SUMIF('TL12'!$C$10:$C$224,$C114,'TL12'!$J$10:$J$224),0),
IF('TL12'!$B$229=K$3,SUMIF('TL12'!$C$238:$C$451,$C114,'TL12'!$J$238:$J$451),0),
IF('TL13'!$B$3=K$3,SUMIF('TL13'!$C$10:$C$224,$C114,'TL13'!$J$10:$J$224),0),
IF('TL13'!$B$229=K$3,SUMIF('TL13'!$C$238:$C$451,$C114,'TL13'!$J$238:$J$451),0),
IF('TL14'!$B$3=K$3,SUMIF('TL14'!$C$10:$C$224,$C114,'TL14'!$J$10:$J$224),0),
IF('TL14'!$B$229=K$3,SUMIF('TL14'!$C$238:$C$451,$C114,'TL14'!$J$238:$J$451),0),
IF('TL15'!$B$3=K$3,SUMIF('TL15'!$C$10:$C$224,$C114,'TL15'!$J$10:$J$224),0),
IF('TL15'!$B$229=K$3,SUMIF('TL15'!$C$238:$C$451,$C114,'TL15'!$J$238:$J$451),0),
IF('TL16'!$B$3=K$3,SUMIF('TL16'!$C$10:$C$224,$C114,'TL16'!$J$10:$J$224),0),
IF('TL16'!$B$229=K$3,SUMIF('TL16'!$C$238:$C$451,$C114,'TL16'!$J$238:$J$451),0),
IF('TL17'!$B$3=K$3,SUMIF('TL17'!$C$10:$C$224,$C114,'TL17'!$J$10:$J$224),0),
IF('TL17'!$B$229=K$3,SUMIF('TL17'!$C$238:$C$451,$C114,'TL17'!$J$238:$J$451),0),
IF('TL18'!$B$3=K$3,SUMIF('TL18'!$C$10:$C$224,$C114,'TL18'!$J$10:$J$224),0),
IF('TL18'!$B$229=K$3,SUMIF('TL18'!$C$238:$C$451,$C114,'TL18'!$J$238:$J$451),0),
IF('TL19'!$B$3=K$3,SUMIF('TL19'!$C$10:$C$224,$C114,'TL19'!$J$10:$J$224),0),
IF('TL19'!$B$229=K$3,SUMIF('TL19'!$C$238:$C$451,$C114,'TL19'!$J$238:$J$451),0)
),0)</f>
        <v>0</v>
      </c>
      <c r="L114" s="9">
        <f>IFERROR(SUM(
IF('TL01'!$B$3=L$3,SUMIF('TL01'!$C$10:$C$224,$C114,'TL01'!$J$10:$J$224),0),
IF('TL01'!$B$229=L$3,SUMIF('TL01'!$C$238:$C$451,$C114,'TL01'!$J$238:$J$451),0),
IF('TL02'!$B$3=L$3,SUMIF('TL02'!$C$10:$C$224,$C114,'TL02'!$J$10:$J$224),0),
IF('TL02'!$B$229=L$3,SUMIF('TL02'!$C$238:$C$451,$C114,'TL02'!$J$238:$J$451),0),
IF('TL03'!$B$3=L$3,SUMIF('TL03'!$C$10:$C$224,$C114,'TL03'!$J$10:$J$224),0),
IF('TL03'!$B$229=L$3,SUMIF('TL03'!$C$238:$C$451,$C114,'TL03'!$J$238:$J$451),0),
IF('TL04'!$B$3=L$3,SUMIF('TL04'!$C$10:$C$224,$C114,'TL04'!$J$10:$J$224),0),
IF('TL04'!$B$229=L$3,SUMIF('TL04'!$C$238:$C$451,$C114,'TL04'!$J$238:$J$451),0),
IF('TL05'!$B$3=L$3,SUMIF('TL05'!$C$10:$C$224,$C114,'TL05'!$J$10:$J$224),0),
IF('TL05'!$B$229=L$3,SUMIF('TL05'!$C$238:$C$451,$C114,'TL05'!$J$238:$J$451),0),
IF('TL06'!$B$3=L$3,SUMIF('TL06'!$C$10:$C$224,$C114,'TL06'!$J$10:$J$224),0),
IF('TL06'!$B$229=L$3,SUMIF('TL06'!$C$238:$C$451,$C114,'TL06'!$J$238:$J$451),0),
IF('TL07'!$B$3=L$3,SUMIF('TL07'!$C$10:$C$224,$C114,'TL07'!$J$10:$J$224),0),
IF('TL07'!$B$229=L$3,SUMIF('TL07'!$C$238:$C$451,$C114,'TL07'!$J$238:$J$451),0),
IF('TL08'!$B$3=L$3,SUMIF('TL08'!$C$10:$C$224,$C114,'TL08'!$J$10:$J$224),0),
IF('TL08'!$B$229=L$3,SUMIF('TL08'!$C$238:$C$451,$C114,'TL08'!$J$238:$J$451),0),
IF('TL09'!$B$3=L$3,SUMIF('TL09'!$C$10:$C$224,$C114,'TL09'!$J$10:$J$224),0),
IF('TL09'!$B$229=L$3,SUMIF('TL09'!$C$238:$C$451,$C114,'TL09'!$J$238:$J$451),0),
IF('TL10'!$B$3=L$3,SUMIF('TL10'!$C$10:$C$224,$C114,'TL10'!$J$10:$J$224),0),
IF('TL10'!$B$229=L$3,SUMIF('TL10'!$C$238:$C$451,$C114,'TL10'!$J$238:$J$451),0),
IF('TL11'!$B$3=L$3,SUMIF('TL11'!$C$10:$C$224,$C114,'TL11'!$J$10:$J$224),0),
IF('TL11'!$B$229=L$3,SUMIF('TL11'!$C$238:$C$451,$C114,'TL11'!$J$238:$J$451),0),
IF('TL12'!$B$3=L$3,SUMIF('TL12'!$C$10:$C$224,$C114,'TL12'!$J$10:$J$224),0),
IF('TL12'!$B$229=L$3,SUMIF('TL12'!$C$238:$C$451,$C114,'TL12'!$J$238:$J$451),0),
IF('TL13'!$B$3=L$3,SUMIF('TL13'!$C$10:$C$224,$C114,'TL13'!$J$10:$J$224),0),
IF('TL13'!$B$229=L$3,SUMIF('TL13'!$C$238:$C$451,$C114,'TL13'!$J$238:$J$451),0),
IF('TL14'!$B$3=L$3,SUMIF('TL14'!$C$10:$C$224,$C114,'TL14'!$J$10:$J$224),0),
IF('TL14'!$B$229=L$3,SUMIF('TL14'!$C$238:$C$451,$C114,'TL14'!$J$238:$J$451),0),
IF('TL15'!$B$3=L$3,SUMIF('TL15'!$C$10:$C$224,$C114,'TL15'!$J$10:$J$224),0),
IF('TL15'!$B$229=L$3,SUMIF('TL15'!$C$238:$C$451,$C114,'TL15'!$J$238:$J$451),0),
IF('TL16'!$B$3=L$3,SUMIF('TL16'!$C$10:$C$224,$C114,'TL16'!$J$10:$J$224),0),
IF('TL16'!$B$229=L$3,SUMIF('TL16'!$C$238:$C$451,$C114,'TL16'!$J$238:$J$451),0),
IF('TL17'!$B$3=L$3,SUMIF('TL17'!$C$10:$C$224,$C114,'TL17'!$J$10:$J$224),0),
IF('TL17'!$B$229=L$3,SUMIF('TL17'!$C$238:$C$451,$C114,'TL17'!$J$238:$J$451),0),
IF('TL18'!$B$3=L$3,SUMIF('TL18'!$C$10:$C$224,$C114,'TL18'!$J$10:$J$224),0),
IF('TL18'!$B$229=L$3,SUMIF('TL18'!$C$238:$C$451,$C114,'TL18'!$J$238:$J$451),0),
IF('TL19'!$B$3=L$3,SUMIF('TL19'!$C$10:$C$224,$C114,'TL19'!$J$10:$J$224),0),
IF('TL19'!$B$229=L$3,SUMIF('TL19'!$C$238:$C$451,$C114,'TL19'!$J$238:$J$451),0)
),0)</f>
        <v>0</v>
      </c>
      <c r="M114" s="9">
        <f>IFERROR(SUM(
IF('TL01'!$B$3=M$3,SUMIF('TL01'!$C$10:$C$224,$C114,'TL01'!$J$10:$J$224),0),
IF('TL01'!$B$229=M$3,SUMIF('TL01'!$C$238:$C$451,$C114,'TL01'!$J$238:$J$451),0),
IF('TL02'!$B$3=M$3,SUMIF('TL02'!$C$10:$C$224,$C114,'TL02'!$J$10:$J$224),0),
IF('TL02'!$B$229=M$3,SUMIF('TL02'!$C$238:$C$451,$C114,'TL02'!$J$238:$J$451),0),
IF('TL03'!$B$3=M$3,SUMIF('TL03'!$C$10:$C$224,$C114,'TL03'!$J$10:$J$224),0),
IF('TL03'!$B$229=M$3,SUMIF('TL03'!$C$238:$C$451,$C114,'TL03'!$J$238:$J$451),0),
IF('TL04'!$B$3=M$3,SUMIF('TL04'!$C$10:$C$224,$C114,'TL04'!$J$10:$J$224),0),
IF('TL04'!$B$229=M$3,SUMIF('TL04'!$C$238:$C$451,$C114,'TL04'!$J$238:$J$451),0),
IF('TL05'!$B$3=M$3,SUMIF('TL05'!$C$10:$C$224,$C114,'TL05'!$J$10:$J$224),0),
IF('TL05'!$B$229=M$3,SUMIF('TL05'!$C$238:$C$451,$C114,'TL05'!$J$238:$J$451),0),
IF('TL06'!$B$3=M$3,SUMIF('TL06'!$C$10:$C$224,$C114,'TL06'!$J$10:$J$224),0),
IF('TL06'!$B$229=M$3,SUMIF('TL06'!$C$238:$C$451,$C114,'TL06'!$J$238:$J$451),0),
IF('TL07'!$B$3=M$3,SUMIF('TL07'!$C$10:$C$224,$C114,'TL07'!$J$10:$J$224),0),
IF('TL07'!$B$229=M$3,SUMIF('TL07'!$C$238:$C$451,$C114,'TL07'!$J$238:$J$451),0),
IF('TL08'!$B$3=M$3,SUMIF('TL08'!$C$10:$C$224,$C114,'TL08'!$J$10:$J$224),0),
IF('TL08'!$B$229=M$3,SUMIF('TL08'!$C$238:$C$451,$C114,'TL08'!$J$238:$J$451),0),
IF('TL09'!$B$3=M$3,SUMIF('TL09'!$C$10:$C$224,$C114,'TL09'!$J$10:$J$224),0),
IF('TL09'!$B$229=M$3,SUMIF('TL09'!$C$238:$C$451,$C114,'TL09'!$J$238:$J$451),0),
IF('TL10'!$B$3=M$3,SUMIF('TL10'!$C$10:$C$224,$C114,'TL10'!$J$10:$J$224),0),
IF('TL10'!$B$229=M$3,SUMIF('TL10'!$C$238:$C$451,$C114,'TL10'!$J$238:$J$451),0),
IF('TL11'!$B$3=M$3,SUMIF('TL11'!$C$10:$C$224,$C114,'TL11'!$J$10:$J$224),0),
IF('TL11'!$B$229=M$3,SUMIF('TL11'!$C$238:$C$451,$C114,'TL11'!$J$238:$J$451),0),
IF('TL12'!$B$3=M$3,SUMIF('TL12'!$C$10:$C$224,$C114,'TL12'!$J$10:$J$224),0),
IF('TL12'!$B$229=M$3,SUMIF('TL12'!$C$238:$C$451,$C114,'TL12'!$J$238:$J$451),0),
IF('TL13'!$B$3=M$3,SUMIF('TL13'!$C$10:$C$224,$C114,'TL13'!$J$10:$J$224),0),
IF('TL13'!$B$229=M$3,SUMIF('TL13'!$C$238:$C$451,$C114,'TL13'!$J$238:$J$451),0),
IF('TL14'!$B$3=M$3,SUMIF('TL14'!$C$10:$C$224,$C114,'TL14'!$J$10:$J$224),0),
IF('TL14'!$B$229=M$3,SUMIF('TL14'!$C$238:$C$451,$C114,'TL14'!$J$238:$J$451),0),
IF('TL15'!$B$3=M$3,SUMIF('TL15'!$C$10:$C$224,$C114,'TL15'!$J$10:$J$224),0),
IF('TL15'!$B$229=M$3,SUMIF('TL15'!$C$238:$C$451,$C114,'TL15'!$J$238:$J$451),0),
IF('TL16'!$B$3=M$3,SUMIF('TL16'!$C$10:$C$224,$C114,'TL16'!$J$10:$J$224),0),
IF('TL16'!$B$229=M$3,SUMIF('TL16'!$C$238:$C$451,$C114,'TL16'!$J$238:$J$451),0),
IF('TL17'!$B$3=M$3,SUMIF('TL17'!$C$10:$C$224,$C114,'TL17'!$J$10:$J$224),0),
IF('TL17'!$B$229=M$3,SUMIF('TL17'!$C$238:$C$451,$C114,'TL17'!$J$238:$J$451),0),
IF('TL18'!$B$3=M$3,SUMIF('TL18'!$C$10:$C$224,$C114,'TL18'!$J$10:$J$224),0),
IF('TL18'!$B$229=M$3,SUMIF('TL18'!$C$238:$C$451,$C114,'TL18'!$J$238:$J$451),0),
IF('TL19'!$B$3=M$3,SUMIF('TL19'!$C$10:$C$224,$C114,'TL19'!$J$10:$J$224),0),
IF('TL19'!$B$229=M$3,SUMIF('TL19'!$C$238:$C$451,$C114,'TL19'!$J$238:$J$451),0)
),0)</f>
        <v>0</v>
      </c>
      <c r="N114" s="9">
        <f>IFERROR(SUM(
IF('TL01'!$B$3=N$3,SUMIF('TL01'!$C$10:$C$224,$C114,'TL01'!$J$10:$J$224),0),
IF('TL01'!$B$229=N$3,SUMIF('TL01'!$C$238:$C$451,$C114,'TL01'!$J$238:$J$451),0),
IF('TL02'!$B$3=N$3,SUMIF('TL02'!$C$10:$C$224,$C114,'TL02'!$J$10:$J$224),0),
IF('TL02'!$B$229=N$3,SUMIF('TL02'!$C$238:$C$451,$C114,'TL02'!$J$238:$J$451),0),
IF('TL03'!$B$3=N$3,SUMIF('TL03'!$C$10:$C$224,$C114,'TL03'!$J$10:$J$224),0),
IF('TL03'!$B$229=N$3,SUMIF('TL03'!$C$238:$C$451,$C114,'TL03'!$J$238:$J$451),0),
IF('TL04'!$B$3=N$3,SUMIF('TL04'!$C$10:$C$224,$C114,'TL04'!$J$10:$J$224),0),
IF('TL04'!$B$229=N$3,SUMIF('TL04'!$C$238:$C$451,$C114,'TL04'!$J$238:$J$451),0),
IF('TL05'!$B$3=N$3,SUMIF('TL05'!$C$10:$C$224,$C114,'TL05'!$J$10:$J$224),0),
IF('TL05'!$B$229=N$3,SUMIF('TL05'!$C$238:$C$451,$C114,'TL05'!$J$238:$J$451),0),
IF('TL06'!$B$3=N$3,SUMIF('TL06'!$C$10:$C$224,$C114,'TL06'!$J$10:$J$224),0),
IF('TL06'!$B$229=N$3,SUMIF('TL06'!$C$238:$C$451,$C114,'TL06'!$J$238:$J$451),0),
IF('TL07'!$B$3=N$3,SUMIF('TL07'!$C$10:$C$224,$C114,'TL07'!$J$10:$J$224),0),
IF('TL07'!$B$229=N$3,SUMIF('TL07'!$C$238:$C$451,$C114,'TL07'!$J$238:$J$451),0),
IF('TL08'!$B$3=N$3,SUMIF('TL08'!$C$10:$C$224,$C114,'TL08'!$J$10:$J$224),0),
IF('TL08'!$B$229=N$3,SUMIF('TL08'!$C$238:$C$451,$C114,'TL08'!$J$238:$J$451),0),
IF('TL09'!$B$3=N$3,SUMIF('TL09'!$C$10:$C$224,$C114,'TL09'!$J$10:$J$224),0),
IF('TL09'!$B$229=N$3,SUMIF('TL09'!$C$238:$C$451,$C114,'TL09'!$J$238:$J$451),0),
IF('TL10'!$B$3=N$3,SUMIF('TL10'!$C$10:$C$224,$C114,'TL10'!$J$10:$J$224),0),
IF('TL10'!$B$229=N$3,SUMIF('TL10'!$C$238:$C$451,$C114,'TL10'!$J$238:$J$451),0),
IF('TL11'!$B$3=N$3,SUMIF('TL11'!$C$10:$C$224,$C114,'TL11'!$J$10:$J$224),0),
IF('TL11'!$B$229=N$3,SUMIF('TL11'!$C$238:$C$451,$C114,'TL11'!$J$238:$J$451),0),
IF('TL12'!$B$3=N$3,SUMIF('TL12'!$C$10:$C$224,$C114,'TL12'!$J$10:$J$224),0),
IF('TL12'!$B$229=N$3,SUMIF('TL12'!$C$238:$C$451,$C114,'TL12'!$J$238:$J$451),0),
IF('TL13'!$B$3=N$3,SUMIF('TL13'!$C$10:$C$224,$C114,'TL13'!$J$10:$J$224),0),
IF('TL13'!$B$229=N$3,SUMIF('TL13'!$C$238:$C$451,$C114,'TL13'!$J$238:$J$451),0),
IF('TL14'!$B$3=N$3,SUMIF('TL14'!$C$10:$C$224,$C114,'TL14'!$J$10:$J$224),0),
IF('TL14'!$B$229=N$3,SUMIF('TL14'!$C$238:$C$451,$C114,'TL14'!$J$238:$J$451),0),
IF('TL15'!$B$3=N$3,SUMIF('TL15'!$C$10:$C$224,$C114,'TL15'!$J$10:$J$224),0),
IF('TL15'!$B$229=N$3,SUMIF('TL15'!$C$238:$C$451,$C114,'TL15'!$J$238:$J$451),0),
IF('TL16'!$B$3=N$3,SUMIF('TL16'!$C$10:$C$224,$C114,'TL16'!$J$10:$J$224),0),
IF('TL16'!$B$229=N$3,SUMIF('TL16'!$C$238:$C$451,$C114,'TL16'!$J$238:$J$451),0),
IF('TL17'!$B$3=N$3,SUMIF('TL17'!$C$10:$C$224,$C114,'TL17'!$J$10:$J$224),0),
IF('TL17'!$B$229=N$3,SUMIF('TL17'!$C$238:$C$451,$C114,'TL17'!$J$238:$J$451),0),
IF('TL18'!$B$3=N$3,SUMIF('TL18'!$C$10:$C$224,$C114,'TL18'!$J$10:$J$224),0),
IF('TL18'!$B$229=N$3,SUMIF('TL18'!$C$238:$C$451,$C114,'TL18'!$J$238:$J$451),0),
IF('TL19'!$B$3=N$3,SUMIF('TL19'!$C$10:$C$224,$C114,'TL19'!$J$10:$J$224),0),
IF('TL19'!$B$229=N$3,SUMIF('TL19'!$C$238:$C$451,$C114,'TL19'!$J$238:$J$451),0)
),0)</f>
        <v>0</v>
      </c>
      <c r="O114" s="9">
        <f>IFERROR(SUM(
IF('TL01'!$B$3=O$3,SUMIF('TL01'!$C$10:$C$224,$C114,'TL01'!$J$10:$J$224),0),
IF('TL01'!$B$229=O$3,SUMIF('TL01'!$C$238:$C$451,$C114,'TL01'!$J$238:$J$451),0),
IF('TL02'!$B$3=O$3,SUMIF('TL02'!$C$10:$C$224,$C114,'TL02'!$J$10:$J$224),0),
IF('TL02'!$B$229=O$3,SUMIF('TL02'!$C$238:$C$451,$C114,'TL02'!$J$238:$J$451),0),
IF('TL03'!$B$3=O$3,SUMIF('TL03'!$C$10:$C$224,$C114,'TL03'!$J$10:$J$224),0),
IF('TL03'!$B$229=O$3,SUMIF('TL03'!$C$238:$C$451,$C114,'TL03'!$J$238:$J$451),0),
IF('TL04'!$B$3=O$3,SUMIF('TL04'!$C$10:$C$224,$C114,'TL04'!$J$10:$J$224),0),
IF('TL04'!$B$229=O$3,SUMIF('TL04'!$C$238:$C$451,$C114,'TL04'!$J$238:$J$451),0),
IF('TL05'!$B$3=O$3,SUMIF('TL05'!$C$10:$C$224,$C114,'TL05'!$J$10:$J$224),0),
IF('TL05'!$B$229=O$3,SUMIF('TL05'!$C$238:$C$451,$C114,'TL05'!$J$238:$J$451),0),
IF('TL06'!$B$3=O$3,SUMIF('TL06'!$C$10:$C$224,$C114,'TL06'!$J$10:$J$224),0),
IF('TL06'!$B$229=O$3,SUMIF('TL06'!$C$238:$C$451,$C114,'TL06'!$J$238:$J$451),0),
IF('TL07'!$B$3=O$3,SUMIF('TL07'!$C$10:$C$224,$C114,'TL07'!$J$10:$J$224),0),
IF('TL07'!$B$229=O$3,SUMIF('TL07'!$C$238:$C$451,$C114,'TL07'!$J$238:$J$451),0),
IF('TL08'!$B$3=O$3,SUMIF('TL08'!$C$10:$C$224,$C114,'TL08'!$J$10:$J$224),0),
IF('TL08'!$B$229=O$3,SUMIF('TL08'!$C$238:$C$451,$C114,'TL08'!$J$238:$J$451),0),
IF('TL09'!$B$3=O$3,SUMIF('TL09'!$C$10:$C$224,$C114,'TL09'!$J$10:$J$224),0),
IF('TL09'!$B$229=O$3,SUMIF('TL09'!$C$238:$C$451,$C114,'TL09'!$J$238:$J$451),0),
IF('TL10'!$B$3=O$3,SUMIF('TL10'!$C$10:$C$224,$C114,'TL10'!$J$10:$J$224),0),
IF('TL10'!$B$229=O$3,SUMIF('TL10'!$C$238:$C$451,$C114,'TL10'!$J$238:$J$451),0),
IF('TL11'!$B$3=O$3,SUMIF('TL11'!$C$10:$C$224,$C114,'TL11'!$J$10:$J$224),0),
IF('TL11'!$B$229=O$3,SUMIF('TL11'!$C$238:$C$451,$C114,'TL11'!$J$238:$J$451),0),
IF('TL12'!$B$3=O$3,SUMIF('TL12'!$C$10:$C$224,$C114,'TL12'!$J$10:$J$224),0),
IF('TL12'!$B$229=O$3,SUMIF('TL12'!$C$238:$C$451,$C114,'TL12'!$J$238:$J$451),0),
IF('TL13'!$B$3=O$3,SUMIF('TL13'!$C$10:$C$224,$C114,'TL13'!$J$10:$J$224),0),
IF('TL13'!$B$229=O$3,SUMIF('TL13'!$C$238:$C$451,$C114,'TL13'!$J$238:$J$451),0),
IF('TL14'!$B$3=O$3,SUMIF('TL14'!$C$10:$C$224,$C114,'TL14'!$J$10:$J$224),0),
IF('TL14'!$B$229=O$3,SUMIF('TL14'!$C$238:$C$451,$C114,'TL14'!$J$238:$J$451),0),
IF('TL15'!$B$3=O$3,SUMIF('TL15'!$C$10:$C$224,$C114,'TL15'!$J$10:$J$224),0),
IF('TL15'!$B$229=O$3,SUMIF('TL15'!$C$238:$C$451,$C114,'TL15'!$J$238:$J$451),0),
IF('TL16'!$B$3=O$3,SUMIF('TL16'!$C$10:$C$224,$C114,'TL16'!$J$10:$J$224),0),
IF('TL16'!$B$229=O$3,SUMIF('TL16'!$C$238:$C$451,$C114,'TL16'!$J$238:$J$451),0),
IF('TL17'!$B$3=O$3,SUMIF('TL17'!$C$10:$C$224,$C114,'TL17'!$J$10:$J$224),0),
IF('TL17'!$B$229=O$3,SUMIF('TL17'!$C$238:$C$451,$C114,'TL17'!$J$238:$J$451),0),
IF('TL18'!$B$3=O$3,SUMIF('TL18'!$C$10:$C$224,$C114,'TL18'!$J$10:$J$224),0),
IF('TL18'!$B$229=O$3,SUMIF('TL18'!$C$238:$C$451,$C114,'TL18'!$J$238:$J$451),0),
IF('TL19'!$B$3=O$3,SUMIF('TL19'!$C$10:$C$224,$C114,'TL19'!$J$10:$J$224),0),
IF('TL19'!$B$229=O$3,SUMIF('TL19'!$C$238:$C$451,$C114,'TL19'!$J$238:$J$451),0)
),0)</f>
        <v>0</v>
      </c>
      <c r="P114" s="9">
        <f>IFERROR(SUM(
IF('TL01'!$B$3=P$3,SUMIF('TL01'!$C$10:$C$224,$C114,'TL01'!$J$10:$J$224),0),
IF('TL01'!$B$229=P$3,SUMIF('TL01'!$C$238:$C$451,$C114,'TL01'!$J$238:$J$451),0),
IF('TL02'!$B$3=P$3,SUMIF('TL02'!$C$10:$C$224,$C114,'TL02'!$J$10:$J$224),0),
IF('TL02'!$B$229=P$3,SUMIF('TL02'!$C$238:$C$451,$C114,'TL02'!$J$238:$J$451),0),
IF('TL03'!$B$3=P$3,SUMIF('TL03'!$C$10:$C$224,$C114,'TL03'!$J$10:$J$224),0),
IF('TL03'!$B$229=P$3,SUMIF('TL03'!$C$238:$C$451,$C114,'TL03'!$J$238:$J$451),0),
IF('TL04'!$B$3=P$3,SUMIF('TL04'!$C$10:$C$224,$C114,'TL04'!$J$10:$J$224),0),
IF('TL04'!$B$229=P$3,SUMIF('TL04'!$C$238:$C$451,$C114,'TL04'!$J$238:$J$451),0),
IF('TL05'!$B$3=P$3,SUMIF('TL05'!$C$10:$C$224,$C114,'TL05'!$J$10:$J$224),0),
IF('TL05'!$B$229=P$3,SUMIF('TL05'!$C$238:$C$451,$C114,'TL05'!$J$238:$J$451),0),
IF('TL06'!$B$3=P$3,SUMIF('TL06'!$C$10:$C$224,$C114,'TL06'!$J$10:$J$224),0),
IF('TL06'!$B$229=P$3,SUMIF('TL06'!$C$238:$C$451,$C114,'TL06'!$J$238:$J$451),0),
IF('TL07'!$B$3=P$3,SUMIF('TL07'!$C$10:$C$224,$C114,'TL07'!$J$10:$J$224),0),
IF('TL07'!$B$229=P$3,SUMIF('TL07'!$C$238:$C$451,$C114,'TL07'!$J$238:$J$451),0),
IF('TL08'!$B$3=P$3,SUMIF('TL08'!$C$10:$C$224,$C114,'TL08'!$J$10:$J$224),0),
IF('TL08'!$B$229=P$3,SUMIF('TL08'!$C$238:$C$451,$C114,'TL08'!$J$238:$J$451),0),
IF('TL09'!$B$3=P$3,SUMIF('TL09'!$C$10:$C$224,$C114,'TL09'!$J$10:$J$224),0),
IF('TL09'!$B$229=P$3,SUMIF('TL09'!$C$238:$C$451,$C114,'TL09'!$J$238:$J$451),0),
IF('TL10'!$B$3=P$3,SUMIF('TL10'!$C$10:$C$224,$C114,'TL10'!$J$10:$J$224),0),
IF('TL10'!$B$229=P$3,SUMIF('TL10'!$C$238:$C$451,$C114,'TL10'!$J$238:$J$451),0),
IF('TL11'!$B$3=P$3,SUMIF('TL11'!$C$10:$C$224,$C114,'TL11'!$J$10:$J$224),0),
IF('TL11'!$B$229=P$3,SUMIF('TL11'!$C$238:$C$451,$C114,'TL11'!$J$238:$J$451),0),
IF('TL12'!$B$3=P$3,SUMIF('TL12'!$C$10:$C$224,$C114,'TL12'!$J$10:$J$224),0),
IF('TL12'!$B$229=P$3,SUMIF('TL12'!$C$238:$C$451,$C114,'TL12'!$J$238:$J$451),0),
IF('TL13'!$B$3=P$3,SUMIF('TL13'!$C$10:$C$224,$C114,'TL13'!$J$10:$J$224),0),
IF('TL13'!$B$229=P$3,SUMIF('TL13'!$C$238:$C$451,$C114,'TL13'!$J$238:$J$451),0),
IF('TL14'!$B$3=P$3,SUMIF('TL14'!$C$10:$C$224,$C114,'TL14'!$J$10:$J$224),0),
IF('TL14'!$B$229=P$3,SUMIF('TL14'!$C$238:$C$451,$C114,'TL14'!$J$238:$J$451),0),
IF('TL15'!$B$3=P$3,SUMIF('TL15'!$C$10:$C$224,$C114,'TL15'!$J$10:$J$224),0),
IF('TL15'!$B$229=P$3,SUMIF('TL15'!$C$238:$C$451,$C114,'TL15'!$J$238:$J$451),0),
IF('TL16'!$B$3=P$3,SUMIF('TL16'!$C$10:$C$224,$C114,'TL16'!$J$10:$J$224),0),
IF('TL16'!$B$229=P$3,SUMIF('TL16'!$C$238:$C$451,$C114,'TL16'!$J$238:$J$451),0),
IF('TL17'!$B$3=P$3,SUMIF('TL17'!$C$10:$C$224,$C114,'TL17'!$J$10:$J$224),0),
IF('TL17'!$B$229=P$3,SUMIF('TL17'!$C$238:$C$451,$C114,'TL17'!$J$238:$J$451),0),
IF('TL18'!$B$3=P$3,SUMIF('TL18'!$C$10:$C$224,$C114,'TL18'!$J$10:$J$224),0),
IF('TL18'!$B$229=P$3,SUMIF('TL18'!$C$238:$C$451,$C114,'TL18'!$J$238:$J$451),0),
IF('TL19'!$B$3=P$3,SUMIF('TL19'!$C$10:$C$224,$C114,'TL19'!$J$10:$J$224),0),
IF('TL19'!$B$229=P$3,SUMIF('TL19'!$C$238:$C$451,$C114,'TL19'!$J$238:$J$451),0)
),0)</f>
        <v>0</v>
      </c>
      <c r="Q114" s="9">
        <f>IFERROR(SUM(
IF('TL01'!$B$3=Q$3,SUMIF('TL01'!$C$10:$C$224,$C114,'TL01'!$J$10:$J$224),0),
IF('TL01'!$B$229=Q$3,SUMIF('TL01'!$C$238:$C$451,$C114,'TL01'!$J$238:$J$451),0),
IF('TL02'!$B$3=Q$3,SUMIF('TL02'!$C$10:$C$224,$C114,'TL02'!$J$10:$J$224),0),
IF('TL02'!$B$229=Q$3,SUMIF('TL02'!$C$238:$C$451,$C114,'TL02'!$J$238:$J$451),0),
IF('TL03'!$B$3=Q$3,SUMIF('TL03'!$C$10:$C$224,$C114,'TL03'!$J$10:$J$224),0),
IF('TL03'!$B$229=Q$3,SUMIF('TL03'!$C$238:$C$451,$C114,'TL03'!$J$238:$J$451),0),
IF('TL04'!$B$3=Q$3,SUMIF('TL04'!$C$10:$C$224,$C114,'TL04'!$J$10:$J$224),0),
IF('TL04'!$B$229=Q$3,SUMIF('TL04'!$C$238:$C$451,$C114,'TL04'!$J$238:$J$451),0),
IF('TL05'!$B$3=Q$3,SUMIF('TL05'!$C$10:$C$224,$C114,'TL05'!$J$10:$J$224),0),
IF('TL05'!$B$229=Q$3,SUMIF('TL05'!$C$238:$C$451,$C114,'TL05'!$J$238:$J$451),0),
IF('TL06'!$B$3=Q$3,SUMIF('TL06'!$C$10:$C$224,$C114,'TL06'!$J$10:$J$224),0),
IF('TL06'!$B$229=Q$3,SUMIF('TL06'!$C$238:$C$451,$C114,'TL06'!$J$238:$J$451),0),
IF('TL07'!$B$3=Q$3,SUMIF('TL07'!$C$10:$C$224,$C114,'TL07'!$J$10:$J$224),0),
IF('TL07'!$B$229=Q$3,SUMIF('TL07'!$C$238:$C$451,$C114,'TL07'!$J$238:$J$451),0),
IF('TL08'!$B$3=Q$3,SUMIF('TL08'!$C$10:$C$224,$C114,'TL08'!$J$10:$J$224),0),
IF('TL08'!$B$229=Q$3,SUMIF('TL08'!$C$238:$C$451,$C114,'TL08'!$J$238:$J$451),0),
IF('TL09'!$B$3=Q$3,SUMIF('TL09'!$C$10:$C$224,$C114,'TL09'!$J$10:$J$224),0),
IF('TL09'!$B$229=Q$3,SUMIF('TL09'!$C$238:$C$451,$C114,'TL09'!$J$238:$J$451),0),
IF('TL10'!$B$3=Q$3,SUMIF('TL10'!$C$10:$C$224,$C114,'TL10'!$J$10:$J$224),0),
IF('TL10'!$B$229=Q$3,SUMIF('TL10'!$C$238:$C$451,$C114,'TL10'!$J$238:$J$451),0),
IF('TL11'!$B$3=Q$3,SUMIF('TL11'!$C$10:$C$224,$C114,'TL11'!$J$10:$J$224),0),
IF('TL11'!$B$229=Q$3,SUMIF('TL11'!$C$238:$C$451,$C114,'TL11'!$J$238:$J$451),0),
IF('TL12'!$B$3=Q$3,SUMIF('TL12'!$C$10:$C$224,$C114,'TL12'!$J$10:$J$224),0),
IF('TL12'!$B$229=Q$3,SUMIF('TL12'!$C$238:$C$451,$C114,'TL12'!$J$238:$J$451),0),
IF('TL13'!$B$3=Q$3,SUMIF('TL13'!$C$10:$C$224,$C114,'TL13'!$J$10:$J$224),0),
IF('TL13'!$B$229=Q$3,SUMIF('TL13'!$C$238:$C$451,$C114,'TL13'!$J$238:$J$451),0),
IF('TL14'!$B$3=Q$3,SUMIF('TL14'!$C$10:$C$224,$C114,'TL14'!$J$10:$J$224),0),
IF('TL14'!$B$229=Q$3,SUMIF('TL14'!$C$238:$C$451,$C114,'TL14'!$J$238:$J$451),0),
IF('TL15'!$B$3=Q$3,SUMIF('TL15'!$C$10:$C$224,$C114,'TL15'!$J$10:$J$224),0),
IF('TL15'!$B$229=Q$3,SUMIF('TL15'!$C$238:$C$451,$C114,'TL15'!$J$238:$J$451),0),
IF('TL16'!$B$3=Q$3,SUMIF('TL16'!$C$10:$C$224,$C114,'TL16'!$J$10:$J$224),0),
IF('TL16'!$B$229=Q$3,SUMIF('TL16'!$C$238:$C$451,$C114,'TL16'!$J$238:$J$451),0),
IF('TL17'!$B$3=Q$3,SUMIF('TL17'!$C$10:$C$224,$C114,'TL17'!$J$10:$J$224),0),
IF('TL17'!$B$229=Q$3,SUMIF('TL17'!$C$238:$C$451,$C114,'TL17'!$J$238:$J$451),0),
IF('TL18'!$B$3=Q$3,SUMIF('TL18'!$C$10:$C$224,$C114,'TL18'!$J$10:$J$224),0),
IF('TL18'!$B$229=Q$3,SUMIF('TL18'!$C$238:$C$451,$C114,'TL18'!$J$238:$J$451),0),
IF('TL19'!$B$3=Q$3,SUMIF('TL19'!$C$10:$C$224,$C114,'TL19'!$J$10:$J$224),0),
IF('TL19'!$B$229=Q$3,SUMIF('TL19'!$C$238:$C$451,$C114,'TL19'!$J$238:$J$451),0)
),0)</f>
        <v>0</v>
      </c>
      <c r="R114" s="9">
        <f>IFERROR(
SUM(
SUMIF('TL01'!C:C,C114,'TL01'!J:J),
SUMIF('TL02'!C:C,C114,'TL02'!J:J),
SUMIF('TL03'!C:C,C114,'TL03'!J:J),
SUMIF('TL04'!C:C,C114,'TL04'!J:J),
SUMIF('TL05'!C:C,C114,'TL05'!J:J),
SUMIF('TL06'!C:C,C114,'TL06'!J:J),
SUMIF('TL07'!C:C,C114,'TL07'!J:J),
SUMIF('TL08'!C:C,C114,'TL08'!J:J),
SUMIF('TL09'!C:C,C114,'TL09'!J:J),
SUMIF('TL10'!C:C,C114,'TL10'!J:J),
SUMIF('TL11'!C:C,C114,'TL11'!J:J),
SUMIF('TL12'!C:C,C114,'TL12'!J:J),
SUMIF('TL13'!C:C,C114,'TL13'!J:J),
SUMIF('TL14'!C:C,C114,'TL14'!J:J),
SUMIF('TL15'!C:C,C114,'TL15'!J:J),
SUMIF('TL16'!C:C,C114,'TL16'!J:J),
SUMIF('TL17'!C:C,C114,'TL17'!J:J),
SUMIF('TL18'!C:C,C114,'TL18'!J:J),SUMIF('TL19'!C:C,C114,'TL19'!J:J))
,0)</f>
        <v>0</v>
      </c>
      <c r="S114" s="17">
        <f>IFERROR(__xludf.DUMMYFUNCTION("IFERROR(VLOOKUP(C114,
IMPORTRANGE(""1wULbzX32WdYsx-lj2U3uUNBBe2INVIRDtcK0d-Dvl90"",
""26-27!C:G""),
5,
FALSE),
"""")"),25.145339999999997)</f>
        <v>25.14534</v>
      </c>
      <c r="T114" s="9"/>
      <c r="U114" s="92">
        <f t="shared" si="2"/>
        <v>0</v>
      </c>
      <c r="V114" s="93">
        <f t="shared" si="3"/>
        <v>0</v>
      </c>
    </row>
    <row r="115" ht="15.75" hidden="1" customHeight="1">
      <c r="A115" s="111" t="s">
        <v>345</v>
      </c>
      <c r="B115" s="112" t="s">
        <v>1</v>
      </c>
      <c r="C115" s="113" t="s">
        <v>627</v>
      </c>
      <c r="D115" s="113" t="s">
        <v>628</v>
      </c>
      <c r="E115" s="113">
        <v>700.0</v>
      </c>
      <c r="F115" s="4" t="s">
        <v>343</v>
      </c>
      <c r="G115" s="90" t="str">
        <f t="shared" si="4"/>
        <v>📄 Ver bula</v>
      </c>
      <c r="H115" s="9" t="str">
        <f>IFERROR(__xludf.DUMMYFUNCTION("IFERROR(VLOOKUP(C115,
IMPORTRANGE(""1wULbzX32WdYsx-lj2U3uUNBBe2INVIRDtcK0d-Dvl90"",
""26-27!C:K""),
8,
FALSE),
"""")"),"")</f>
        <v/>
      </c>
      <c r="I115" s="114" t="s">
        <v>629</v>
      </c>
      <c r="J115" s="9">
        <f>IFERROR(SUM(
IF('TL01'!$B$3=J$3,SUMIF('TL01'!$C$10:$C$224,$C115,'TL01'!$J$10:$J$224),0),
IF('TL01'!$B$229=J$3,SUMIF('TL01'!$C$238:$C$451,$C115,'TL01'!$J$238:$J$451),0),
IF('TL02'!$B$3=J$3,SUMIF('TL02'!$C$10:$C$224,$C115,'TL02'!$J$10:$J$224),0),
IF('TL02'!$B$229=J$3,SUMIF('TL02'!$C$238:$C$451,$C115,'TL02'!$J$238:$J$451),0),
IF('TL03'!$B$3=J$3,SUMIF('TL03'!$C$10:$C$224,$C115,'TL03'!$J$10:$J$224),0),
IF('TL03'!$B$229=J$3,SUMIF('TL03'!$C$238:$C$451,$C115,'TL03'!$J$238:$J$451),0),
IF('TL04'!$B$3=J$3,SUMIF('TL04'!$C$10:$C$224,$C115,'TL04'!$J$10:$J$224),0),
IF('TL04'!$B$229=J$3,SUMIF('TL04'!$C$238:$C$451,$C115,'TL04'!$J$238:$J$451),0),
IF('TL05'!$B$3=J$3,SUMIF('TL05'!$C$10:$C$224,$C115,'TL05'!$J$10:$J$224),0),
IF('TL05'!$B$229=J$3,SUMIF('TL05'!$C$238:$C$451,$C115,'TL05'!$J$238:$J$451),0),
IF('TL06'!$B$3=J$3,SUMIF('TL06'!$C$10:$C$224,$C115,'TL06'!$J$10:$J$224),0),
IF('TL06'!$B$229=J$3,SUMIF('TL06'!$C$238:$C$451,$C115,'TL06'!$J$238:$J$451),0),
IF('TL07'!$B$3=J$3,SUMIF('TL07'!$C$10:$C$224,$C115,'TL07'!$J$10:$J$224),0),
IF('TL07'!$B$229=J$3,SUMIF('TL07'!$C$238:$C$451,$C115,'TL07'!$J$238:$J$451),0),
IF('TL08'!$B$3=J$3,SUMIF('TL08'!$C$10:$C$224,$C115,'TL08'!$J$10:$J$224),0),
IF('TL08'!$B$229=J$3,SUMIF('TL08'!$C$238:$C$451,$C115,'TL08'!$J$238:$J$451),0),
IF('TL09'!$B$3=J$3,SUMIF('TL09'!$C$10:$C$224,$C115,'TL09'!$J$10:$J$224),0),
IF('TL09'!$B$229=J$3,SUMIF('TL09'!$C$238:$C$451,$C115,'TL09'!$J$238:$J$451),0),
IF('TL10'!$B$3=J$3,SUMIF('TL10'!$C$10:$C$224,$C115,'TL10'!$J$10:$J$224),0),
IF('TL10'!$B$229=J$3,SUMIF('TL10'!$C$238:$C$451,$C115,'TL10'!$J$238:$J$451),0),
IF('TL11'!$B$3=J$3,SUMIF('TL11'!$C$10:$C$224,$C115,'TL11'!$J$10:$J$224),0),
IF('TL11'!$B$229=J$3,SUMIF('TL11'!$C$238:$C$451,$C115,'TL11'!$J$238:$J$451),0),
IF('TL12'!$B$3=J$3,SUMIF('TL12'!$C$10:$C$224,$C115,'TL12'!$J$10:$J$224),0),
IF('TL12'!$B$229=J$3,SUMIF('TL12'!$C$238:$C$451,$C115,'TL12'!$J$238:$J$451),0),
IF('TL13'!$B$3=J$3,SUMIF('TL13'!$C$10:$C$224,$C115,'TL13'!$J$10:$J$224),0),
IF('TL13'!$B$229=J$3,SUMIF('TL13'!$C$238:$C$451,$C115,'TL13'!$J$238:$J$451),0),
IF('TL14'!$B$3=J$3,SUMIF('TL14'!$C$10:$C$224,$C115,'TL14'!$J$10:$J$224),0),
IF('TL14'!$B$229=J$3,SUMIF('TL14'!$C$238:$C$451,$C115,'TL14'!$J$238:$J$451),0),
IF('TL15'!$B$3=J$3,SUMIF('TL15'!$C$10:$C$224,$C115,'TL15'!$J$10:$J$224),0),
IF('TL15'!$B$229=J$3,SUMIF('TL15'!$C$238:$C$451,$C115,'TL15'!$J$238:$J$451),0),
IF('TL16'!$B$3=J$3,SUMIF('TL16'!$C$10:$C$224,$C115,'TL16'!$J$10:$J$224),0),
IF('TL16'!$B$229=J$3,SUMIF('TL16'!$C$238:$C$451,$C115,'TL16'!$J$238:$J$451),0),
IF('TL17'!$B$3=J$3,SUMIF('TL17'!$C$10:$C$224,$C115,'TL17'!$J$10:$J$224),0),
IF('TL17'!$B$229=J$3,SUMIF('TL17'!$C$238:$C$451,$C115,'TL17'!$J$238:$J$451),0),
IF('TL18'!$B$3=J$3,SUMIF('TL18'!$C$10:$C$224,$C115,'TL18'!$J$10:$J$224),0),
IF('TL18'!$B$229=J$3,SUMIF('TL18'!$C$238:$C$451,$C115,'TL18'!$J$238:$J$451),0),
IF('TL19'!$B$3=J$3,SUMIF('TL19'!$C$10:$C$224,$C115,'TL19'!$J$10:$J$224),0),
IF('TL19'!$B$229=J$3,SUMIF('TL19'!$C$238:$C$451,$C115,'TL19'!$J$238:$J$451),0)
),0)</f>
        <v>0</v>
      </c>
      <c r="K115" s="9">
        <f>IFERROR(SUM(
IF('TL01'!$B$3=K$3,SUMIF('TL01'!$C$10:$C$224,$C115,'TL01'!$J$10:$J$224),0),
IF('TL01'!$B$229=K$3,SUMIF('TL01'!$C$238:$C$451,$C115,'TL01'!$J$238:$J$451),0),
IF('TL02'!$B$3=K$3,SUMIF('TL02'!$C$10:$C$224,$C115,'TL02'!$J$10:$J$224),0),
IF('TL02'!$B$229=K$3,SUMIF('TL02'!$C$238:$C$451,$C115,'TL02'!$J$238:$J$451),0),
IF('TL03'!$B$3=K$3,SUMIF('TL03'!$C$10:$C$224,$C115,'TL03'!$J$10:$J$224),0),
IF('TL03'!$B$229=K$3,SUMIF('TL03'!$C$238:$C$451,$C115,'TL03'!$J$238:$J$451),0),
IF('TL04'!$B$3=K$3,SUMIF('TL04'!$C$10:$C$224,$C115,'TL04'!$J$10:$J$224),0),
IF('TL04'!$B$229=K$3,SUMIF('TL04'!$C$238:$C$451,$C115,'TL04'!$J$238:$J$451),0),
IF('TL05'!$B$3=K$3,SUMIF('TL05'!$C$10:$C$224,$C115,'TL05'!$J$10:$J$224),0),
IF('TL05'!$B$229=K$3,SUMIF('TL05'!$C$238:$C$451,$C115,'TL05'!$J$238:$J$451),0),
IF('TL06'!$B$3=K$3,SUMIF('TL06'!$C$10:$C$224,$C115,'TL06'!$J$10:$J$224),0),
IF('TL06'!$B$229=K$3,SUMIF('TL06'!$C$238:$C$451,$C115,'TL06'!$J$238:$J$451),0),
IF('TL07'!$B$3=K$3,SUMIF('TL07'!$C$10:$C$224,$C115,'TL07'!$J$10:$J$224),0),
IF('TL07'!$B$229=K$3,SUMIF('TL07'!$C$238:$C$451,$C115,'TL07'!$J$238:$J$451),0),
IF('TL08'!$B$3=K$3,SUMIF('TL08'!$C$10:$C$224,$C115,'TL08'!$J$10:$J$224),0),
IF('TL08'!$B$229=K$3,SUMIF('TL08'!$C$238:$C$451,$C115,'TL08'!$J$238:$J$451),0),
IF('TL09'!$B$3=K$3,SUMIF('TL09'!$C$10:$C$224,$C115,'TL09'!$J$10:$J$224),0),
IF('TL09'!$B$229=K$3,SUMIF('TL09'!$C$238:$C$451,$C115,'TL09'!$J$238:$J$451),0),
IF('TL10'!$B$3=K$3,SUMIF('TL10'!$C$10:$C$224,$C115,'TL10'!$J$10:$J$224),0),
IF('TL10'!$B$229=K$3,SUMIF('TL10'!$C$238:$C$451,$C115,'TL10'!$J$238:$J$451),0),
IF('TL11'!$B$3=K$3,SUMIF('TL11'!$C$10:$C$224,$C115,'TL11'!$J$10:$J$224),0),
IF('TL11'!$B$229=K$3,SUMIF('TL11'!$C$238:$C$451,$C115,'TL11'!$J$238:$J$451),0),
IF('TL12'!$B$3=K$3,SUMIF('TL12'!$C$10:$C$224,$C115,'TL12'!$J$10:$J$224),0),
IF('TL12'!$B$229=K$3,SUMIF('TL12'!$C$238:$C$451,$C115,'TL12'!$J$238:$J$451),0),
IF('TL13'!$B$3=K$3,SUMIF('TL13'!$C$10:$C$224,$C115,'TL13'!$J$10:$J$224),0),
IF('TL13'!$B$229=K$3,SUMIF('TL13'!$C$238:$C$451,$C115,'TL13'!$J$238:$J$451),0),
IF('TL14'!$B$3=K$3,SUMIF('TL14'!$C$10:$C$224,$C115,'TL14'!$J$10:$J$224),0),
IF('TL14'!$B$229=K$3,SUMIF('TL14'!$C$238:$C$451,$C115,'TL14'!$J$238:$J$451),0),
IF('TL15'!$B$3=K$3,SUMIF('TL15'!$C$10:$C$224,$C115,'TL15'!$J$10:$J$224),0),
IF('TL15'!$B$229=K$3,SUMIF('TL15'!$C$238:$C$451,$C115,'TL15'!$J$238:$J$451),0),
IF('TL16'!$B$3=K$3,SUMIF('TL16'!$C$10:$C$224,$C115,'TL16'!$J$10:$J$224),0),
IF('TL16'!$B$229=K$3,SUMIF('TL16'!$C$238:$C$451,$C115,'TL16'!$J$238:$J$451),0),
IF('TL17'!$B$3=K$3,SUMIF('TL17'!$C$10:$C$224,$C115,'TL17'!$J$10:$J$224),0),
IF('TL17'!$B$229=K$3,SUMIF('TL17'!$C$238:$C$451,$C115,'TL17'!$J$238:$J$451),0),
IF('TL18'!$B$3=K$3,SUMIF('TL18'!$C$10:$C$224,$C115,'TL18'!$J$10:$J$224),0),
IF('TL18'!$B$229=K$3,SUMIF('TL18'!$C$238:$C$451,$C115,'TL18'!$J$238:$J$451),0),
IF('TL19'!$B$3=K$3,SUMIF('TL19'!$C$10:$C$224,$C115,'TL19'!$J$10:$J$224),0),
IF('TL19'!$B$229=K$3,SUMIF('TL19'!$C$238:$C$451,$C115,'TL19'!$J$238:$J$451),0)
),0)</f>
        <v>0</v>
      </c>
      <c r="L115" s="9">
        <f>IFERROR(SUM(
IF('TL01'!$B$3=L$3,SUMIF('TL01'!$C$10:$C$224,$C115,'TL01'!$J$10:$J$224),0),
IF('TL01'!$B$229=L$3,SUMIF('TL01'!$C$238:$C$451,$C115,'TL01'!$J$238:$J$451),0),
IF('TL02'!$B$3=L$3,SUMIF('TL02'!$C$10:$C$224,$C115,'TL02'!$J$10:$J$224),0),
IF('TL02'!$B$229=L$3,SUMIF('TL02'!$C$238:$C$451,$C115,'TL02'!$J$238:$J$451),0),
IF('TL03'!$B$3=L$3,SUMIF('TL03'!$C$10:$C$224,$C115,'TL03'!$J$10:$J$224),0),
IF('TL03'!$B$229=L$3,SUMIF('TL03'!$C$238:$C$451,$C115,'TL03'!$J$238:$J$451),0),
IF('TL04'!$B$3=L$3,SUMIF('TL04'!$C$10:$C$224,$C115,'TL04'!$J$10:$J$224),0),
IF('TL04'!$B$229=L$3,SUMIF('TL04'!$C$238:$C$451,$C115,'TL04'!$J$238:$J$451),0),
IF('TL05'!$B$3=L$3,SUMIF('TL05'!$C$10:$C$224,$C115,'TL05'!$J$10:$J$224),0),
IF('TL05'!$B$229=L$3,SUMIF('TL05'!$C$238:$C$451,$C115,'TL05'!$J$238:$J$451),0),
IF('TL06'!$B$3=L$3,SUMIF('TL06'!$C$10:$C$224,$C115,'TL06'!$J$10:$J$224),0),
IF('TL06'!$B$229=L$3,SUMIF('TL06'!$C$238:$C$451,$C115,'TL06'!$J$238:$J$451),0),
IF('TL07'!$B$3=L$3,SUMIF('TL07'!$C$10:$C$224,$C115,'TL07'!$J$10:$J$224),0),
IF('TL07'!$B$229=L$3,SUMIF('TL07'!$C$238:$C$451,$C115,'TL07'!$J$238:$J$451),0),
IF('TL08'!$B$3=L$3,SUMIF('TL08'!$C$10:$C$224,$C115,'TL08'!$J$10:$J$224),0),
IF('TL08'!$B$229=L$3,SUMIF('TL08'!$C$238:$C$451,$C115,'TL08'!$J$238:$J$451),0),
IF('TL09'!$B$3=L$3,SUMIF('TL09'!$C$10:$C$224,$C115,'TL09'!$J$10:$J$224),0),
IF('TL09'!$B$229=L$3,SUMIF('TL09'!$C$238:$C$451,$C115,'TL09'!$J$238:$J$451),0),
IF('TL10'!$B$3=L$3,SUMIF('TL10'!$C$10:$C$224,$C115,'TL10'!$J$10:$J$224),0),
IF('TL10'!$B$229=L$3,SUMIF('TL10'!$C$238:$C$451,$C115,'TL10'!$J$238:$J$451),0),
IF('TL11'!$B$3=L$3,SUMIF('TL11'!$C$10:$C$224,$C115,'TL11'!$J$10:$J$224),0),
IF('TL11'!$B$229=L$3,SUMIF('TL11'!$C$238:$C$451,$C115,'TL11'!$J$238:$J$451),0),
IF('TL12'!$B$3=L$3,SUMIF('TL12'!$C$10:$C$224,$C115,'TL12'!$J$10:$J$224),0),
IF('TL12'!$B$229=L$3,SUMIF('TL12'!$C$238:$C$451,$C115,'TL12'!$J$238:$J$451),0),
IF('TL13'!$B$3=L$3,SUMIF('TL13'!$C$10:$C$224,$C115,'TL13'!$J$10:$J$224),0),
IF('TL13'!$B$229=L$3,SUMIF('TL13'!$C$238:$C$451,$C115,'TL13'!$J$238:$J$451),0),
IF('TL14'!$B$3=L$3,SUMIF('TL14'!$C$10:$C$224,$C115,'TL14'!$J$10:$J$224),0),
IF('TL14'!$B$229=L$3,SUMIF('TL14'!$C$238:$C$451,$C115,'TL14'!$J$238:$J$451),0),
IF('TL15'!$B$3=L$3,SUMIF('TL15'!$C$10:$C$224,$C115,'TL15'!$J$10:$J$224),0),
IF('TL15'!$B$229=L$3,SUMIF('TL15'!$C$238:$C$451,$C115,'TL15'!$J$238:$J$451),0),
IF('TL16'!$B$3=L$3,SUMIF('TL16'!$C$10:$C$224,$C115,'TL16'!$J$10:$J$224),0),
IF('TL16'!$B$229=L$3,SUMIF('TL16'!$C$238:$C$451,$C115,'TL16'!$J$238:$J$451),0),
IF('TL17'!$B$3=L$3,SUMIF('TL17'!$C$10:$C$224,$C115,'TL17'!$J$10:$J$224),0),
IF('TL17'!$B$229=L$3,SUMIF('TL17'!$C$238:$C$451,$C115,'TL17'!$J$238:$J$451),0),
IF('TL18'!$B$3=L$3,SUMIF('TL18'!$C$10:$C$224,$C115,'TL18'!$J$10:$J$224),0),
IF('TL18'!$B$229=L$3,SUMIF('TL18'!$C$238:$C$451,$C115,'TL18'!$J$238:$J$451),0),
IF('TL19'!$B$3=L$3,SUMIF('TL19'!$C$10:$C$224,$C115,'TL19'!$J$10:$J$224),0),
IF('TL19'!$B$229=L$3,SUMIF('TL19'!$C$238:$C$451,$C115,'TL19'!$J$238:$J$451),0)
),0)</f>
        <v>0</v>
      </c>
      <c r="M115" s="9">
        <f>IFERROR(SUM(
IF('TL01'!$B$3=M$3,SUMIF('TL01'!$C$10:$C$224,$C115,'TL01'!$J$10:$J$224),0),
IF('TL01'!$B$229=M$3,SUMIF('TL01'!$C$238:$C$451,$C115,'TL01'!$J$238:$J$451),0),
IF('TL02'!$B$3=M$3,SUMIF('TL02'!$C$10:$C$224,$C115,'TL02'!$J$10:$J$224),0),
IF('TL02'!$B$229=M$3,SUMIF('TL02'!$C$238:$C$451,$C115,'TL02'!$J$238:$J$451),0),
IF('TL03'!$B$3=M$3,SUMIF('TL03'!$C$10:$C$224,$C115,'TL03'!$J$10:$J$224),0),
IF('TL03'!$B$229=M$3,SUMIF('TL03'!$C$238:$C$451,$C115,'TL03'!$J$238:$J$451),0),
IF('TL04'!$B$3=M$3,SUMIF('TL04'!$C$10:$C$224,$C115,'TL04'!$J$10:$J$224),0),
IF('TL04'!$B$229=M$3,SUMIF('TL04'!$C$238:$C$451,$C115,'TL04'!$J$238:$J$451),0),
IF('TL05'!$B$3=M$3,SUMIF('TL05'!$C$10:$C$224,$C115,'TL05'!$J$10:$J$224),0),
IF('TL05'!$B$229=M$3,SUMIF('TL05'!$C$238:$C$451,$C115,'TL05'!$J$238:$J$451),0),
IF('TL06'!$B$3=M$3,SUMIF('TL06'!$C$10:$C$224,$C115,'TL06'!$J$10:$J$224),0),
IF('TL06'!$B$229=M$3,SUMIF('TL06'!$C$238:$C$451,$C115,'TL06'!$J$238:$J$451),0),
IF('TL07'!$B$3=M$3,SUMIF('TL07'!$C$10:$C$224,$C115,'TL07'!$J$10:$J$224),0),
IF('TL07'!$B$229=M$3,SUMIF('TL07'!$C$238:$C$451,$C115,'TL07'!$J$238:$J$451),0),
IF('TL08'!$B$3=M$3,SUMIF('TL08'!$C$10:$C$224,$C115,'TL08'!$J$10:$J$224),0),
IF('TL08'!$B$229=M$3,SUMIF('TL08'!$C$238:$C$451,$C115,'TL08'!$J$238:$J$451),0),
IF('TL09'!$B$3=M$3,SUMIF('TL09'!$C$10:$C$224,$C115,'TL09'!$J$10:$J$224),0),
IF('TL09'!$B$229=M$3,SUMIF('TL09'!$C$238:$C$451,$C115,'TL09'!$J$238:$J$451),0),
IF('TL10'!$B$3=M$3,SUMIF('TL10'!$C$10:$C$224,$C115,'TL10'!$J$10:$J$224),0),
IF('TL10'!$B$229=M$3,SUMIF('TL10'!$C$238:$C$451,$C115,'TL10'!$J$238:$J$451),0),
IF('TL11'!$B$3=M$3,SUMIF('TL11'!$C$10:$C$224,$C115,'TL11'!$J$10:$J$224),0),
IF('TL11'!$B$229=M$3,SUMIF('TL11'!$C$238:$C$451,$C115,'TL11'!$J$238:$J$451),0),
IF('TL12'!$B$3=M$3,SUMIF('TL12'!$C$10:$C$224,$C115,'TL12'!$J$10:$J$224),0),
IF('TL12'!$B$229=M$3,SUMIF('TL12'!$C$238:$C$451,$C115,'TL12'!$J$238:$J$451),0),
IF('TL13'!$B$3=M$3,SUMIF('TL13'!$C$10:$C$224,$C115,'TL13'!$J$10:$J$224),0),
IF('TL13'!$B$229=M$3,SUMIF('TL13'!$C$238:$C$451,$C115,'TL13'!$J$238:$J$451),0),
IF('TL14'!$B$3=M$3,SUMIF('TL14'!$C$10:$C$224,$C115,'TL14'!$J$10:$J$224),0),
IF('TL14'!$B$229=M$3,SUMIF('TL14'!$C$238:$C$451,$C115,'TL14'!$J$238:$J$451),0),
IF('TL15'!$B$3=M$3,SUMIF('TL15'!$C$10:$C$224,$C115,'TL15'!$J$10:$J$224),0),
IF('TL15'!$B$229=M$3,SUMIF('TL15'!$C$238:$C$451,$C115,'TL15'!$J$238:$J$451),0),
IF('TL16'!$B$3=M$3,SUMIF('TL16'!$C$10:$C$224,$C115,'TL16'!$J$10:$J$224),0),
IF('TL16'!$B$229=M$3,SUMIF('TL16'!$C$238:$C$451,$C115,'TL16'!$J$238:$J$451),0),
IF('TL17'!$B$3=M$3,SUMIF('TL17'!$C$10:$C$224,$C115,'TL17'!$J$10:$J$224),0),
IF('TL17'!$B$229=M$3,SUMIF('TL17'!$C$238:$C$451,$C115,'TL17'!$J$238:$J$451),0),
IF('TL18'!$B$3=M$3,SUMIF('TL18'!$C$10:$C$224,$C115,'TL18'!$J$10:$J$224),0),
IF('TL18'!$B$229=M$3,SUMIF('TL18'!$C$238:$C$451,$C115,'TL18'!$J$238:$J$451),0),
IF('TL19'!$B$3=M$3,SUMIF('TL19'!$C$10:$C$224,$C115,'TL19'!$J$10:$J$224),0),
IF('TL19'!$B$229=M$3,SUMIF('TL19'!$C$238:$C$451,$C115,'TL19'!$J$238:$J$451),0)
),0)</f>
        <v>0</v>
      </c>
      <c r="N115" s="9">
        <f>IFERROR(SUM(
IF('TL01'!$B$3=N$3,SUMIF('TL01'!$C$10:$C$224,$C115,'TL01'!$J$10:$J$224),0),
IF('TL01'!$B$229=N$3,SUMIF('TL01'!$C$238:$C$451,$C115,'TL01'!$J$238:$J$451),0),
IF('TL02'!$B$3=N$3,SUMIF('TL02'!$C$10:$C$224,$C115,'TL02'!$J$10:$J$224),0),
IF('TL02'!$B$229=N$3,SUMIF('TL02'!$C$238:$C$451,$C115,'TL02'!$J$238:$J$451),0),
IF('TL03'!$B$3=N$3,SUMIF('TL03'!$C$10:$C$224,$C115,'TL03'!$J$10:$J$224),0),
IF('TL03'!$B$229=N$3,SUMIF('TL03'!$C$238:$C$451,$C115,'TL03'!$J$238:$J$451),0),
IF('TL04'!$B$3=N$3,SUMIF('TL04'!$C$10:$C$224,$C115,'TL04'!$J$10:$J$224),0),
IF('TL04'!$B$229=N$3,SUMIF('TL04'!$C$238:$C$451,$C115,'TL04'!$J$238:$J$451),0),
IF('TL05'!$B$3=N$3,SUMIF('TL05'!$C$10:$C$224,$C115,'TL05'!$J$10:$J$224),0),
IF('TL05'!$B$229=N$3,SUMIF('TL05'!$C$238:$C$451,$C115,'TL05'!$J$238:$J$451),0),
IF('TL06'!$B$3=N$3,SUMIF('TL06'!$C$10:$C$224,$C115,'TL06'!$J$10:$J$224),0),
IF('TL06'!$B$229=N$3,SUMIF('TL06'!$C$238:$C$451,$C115,'TL06'!$J$238:$J$451),0),
IF('TL07'!$B$3=N$3,SUMIF('TL07'!$C$10:$C$224,$C115,'TL07'!$J$10:$J$224),0),
IF('TL07'!$B$229=N$3,SUMIF('TL07'!$C$238:$C$451,$C115,'TL07'!$J$238:$J$451),0),
IF('TL08'!$B$3=N$3,SUMIF('TL08'!$C$10:$C$224,$C115,'TL08'!$J$10:$J$224),0),
IF('TL08'!$B$229=N$3,SUMIF('TL08'!$C$238:$C$451,$C115,'TL08'!$J$238:$J$451),0),
IF('TL09'!$B$3=N$3,SUMIF('TL09'!$C$10:$C$224,$C115,'TL09'!$J$10:$J$224),0),
IF('TL09'!$B$229=N$3,SUMIF('TL09'!$C$238:$C$451,$C115,'TL09'!$J$238:$J$451),0),
IF('TL10'!$B$3=N$3,SUMIF('TL10'!$C$10:$C$224,$C115,'TL10'!$J$10:$J$224),0),
IF('TL10'!$B$229=N$3,SUMIF('TL10'!$C$238:$C$451,$C115,'TL10'!$J$238:$J$451),0),
IF('TL11'!$B$3=N$3,SUMIF('TL11'!$C$10:$C$224,$C115,'TL11'!$J$10:$J$224),0),
IF('TL11'!$B$229=N$3,SUMIF('TL11'!$C$238:$C$451,$C115,'TL11'!$J$238:$J$451),0),
IF('TL12'!$B$3=N$3,SUMIF('TL12'!$C$10:$C$224,$C115,'TL12'!$J$10:$J$224),0),
IF('TL12'!$B$229=N$3,SUMIF('TL12'!$C$238:$C$451,$C115,'TL12'!$J$238:$J$451),0),
IF('TL13'!$B$3=N$3,SUMIF('TL13'!$C$10:$C$224,$C115,'TL13'!$J$10:$J$224),0),
IF('TL13'!$B$229=N$3,SUMIF('TL13'!$C$238:$C$451,$C115,'TL13'!$J$238:$J$451),0),
IF('TL14'!$B$3=N$3,SUMIF('TL14'!$C$10:$C$224,$C115,'TL14'!$J$10:$J$224),0),
IF('TL14'!$B$229=N$3,SUMIF('TL14'!$C$238:$C$451,$C115,'TL14'!$J$238:$J$451),0),
IF('TL15'!$B$3=N$3,SUMIF('TL15'!$C$10:$C$224,$C115,'TL15'!$J$10:$J$224),0),
IF('TL15'!$B$229=N$3,SUMIF('TL15'!$C$238:$C$451,$C115,'TL15'!$J$238:$J$451),0),
IF('TL16'!$B$3=N$3,SUMIF('TL16'!$C$10:$C$224,$C115,'TL16'!$J$10:$J$224),0),
IF('TL16'!$B$229=N$3,SUMIF('TL16'!$C$238:$C$451,$C115,'TL16'!$J$238:$J$451),0),
IF('TL17'!$B$3=N$3,SUMIF('TL17'!$C$10:$C$224,$C115,'TL17'!$J$10:$J$224),0),
IF('TL17'!$B$229=N$3,SUMIF('TL17'!$C$238:$C$451,$C115,'TL17'!$J$238:$J$451),0),
IF('TL18'!$B$3=N$3,SUMIF('TL18'!$C$10:$C$224,$C115,'TL18'!$J$10:$J$224),0),
IF('TL18'!$B$229=N$3,SUMIF('TL18'!$C$238:$C$451,$C115,'TL18'!$J$238:$J$451),0),
IF('TL19'!$B$3=N$3,SUMIF('TL19'!$C$10:$C$224,$C115,'TL19'!$J$10:$J$224),0),
IF('TL19'!$B$229=N$3,SUMIF('TL19'!$C$238:$C$451,$C115,'TL19'!$J$238:$J$451),0)
),0)</f>
        <v>0</v>
      </c>
      <c r="O115" s="9">
        <f>IFERROR(SUM(
IF('TL01'!$B$3=O$3,SUMIF('TL01'!$C$10:$C$224,$C115,'TL01'!$J$10:$J$224),0),
IF('TL01'!$B$229=O$3,SUMIF('TL01'!$C$238:$C$451,$C115,'TL01'!$J$238:$J$451),0),
IF('TL02'!$B$3=O$3,SUMIF('TL02'!$C$10:$C$224,$C115,'TL02'!$J$10:$J$224),0),
IF('TL02'!$B$229=O$3,SUMIF('TL02'!$C$238:$C$451,$C115,'TL02'!$J$238:$J$451),0),
IF('TL03'!$B$3=O$3,SUMIF('TL03'!$C$10:$C$224,$C115,'TL03'!$J$10:$J$224),0),
IF('TL03'!$B$229=O$3,SUMIF('TL03'!$C$238:$C$451,$C115,'TL03'!$J$238:$J$451),0),
IF('TL04'!$B$3=O$3,SUMIF('TL04'!$C$10:$C$224,$C115,'TL04'!$J$10:$J$224),0),
IF('TL04'!$B$229=O$3,SUMIF('TL04'!$C$238:$C$451,$C115,'TL04'!$J$238:$J$451),0),
IF('TL05'!$B$3=O$3,SUMIF('TL05'!$C$10:$C$224,$C115,'TL05'!$J$10:$J$224),0),
IF('TL05'!$B$229=O$3,SUMIF('TL05'!$C$238:$C$451,$C115,'TL05'!$J$238:$J$451),0),
IF('TL06'!$B$3=O$3,SUMIF('TL06'!$C$10:$C$224,$C115,'TL06'!$J$10:$J$224),0),
IF('TL06'!$B$229=O$3,SUMIF('TL06'!$C$238:$C$451,$C115,'TL06'!$J$238:$J$451),0),
IF('TL07'!$B$3=O$3,SUMIF('TL07'!$C$10:$C$224,$C115,'TL07'!$J$10:$J$224),0),
IF('TL07'!$B$229=O$3,SUMIF('TL07'!$C$238:$C$451,$C115,'TL07'!$J$238:$J$451),0),
IF('TL08'!$B$3=O$3,SUMIF('TL08'!$C$10:$C$224,$C115,'TL08'!$J$10:$J$224),0),
IF('TL08'!$B$229=O$3,SUMIF('TL08'!$C$238:$C$451,$C115,'TL08'!$J$238:$J$451),0),
IF('TL09'!$B$3=O$3,SUMIF('TL09'!$C$10:$C$224,$C115,'TL09'!$J$10:$J$224),0),
IF('TL09'!$B$229=O$3,SUMIF('TL09'!$C$238:$C$451,$C115,'TL09'!$J$238:$J$451),0),
IF('TL10'!$B$3=O$3,SUMIF('TL10'!$C$10:$C$224,$C115,'TL10'!$J$10:$J$224),0),
IF('TL10'!$B$229=O$3,SUMIF('TL10'!$C$238:$C$451,$C115,'TL10'!$J$238:$J$451),0),
IF('TL11'!$B$3=O$3,SUMIF('TL11'!$C$10:$C$224,$C115,'TL11'!$J$10:$J$224),0),
IF('TL11'!$B$229=O$3,SUMIF('TL11'!$C$238:$C$451,$C115,'TL11'!$J$238:$J$451),0),
IF('TL12'!$B$3=O$3,SUMIF('TL12'!$C$10:$C$224,$C115,'TL12'!$J$10:$J$224),0),
IF('TL12'!$B$229=O$3,SUMIF('TL12'!$C$238:$C$451,$C115,'TL12'!$J$238:$J$451),0),
IF('TL13'!$B$3=O$3,SUMIF('TL13'!$C$10:$C$224,$C115,'TL13'!$J$10:$J$224),0),
IF('TL13'!$B$229=O$3,SUMIF('TL13'!$C$238:$C$451,$C115,'TL13'!$J$238:$J$451),0),
IF('TL14'!$B$3=O$3,SUMIF('TL14'!$C$10:$C$224,$C115,'TL14'!$J$10:$J$224),0),
IF('TL14'!$B$229=O$3,SUMIF('TL14'!$C$238:$C$451,$C115,'TL14'!$J$238:$J$451),0),
IF('TL15'!$B$3=O$3,SUMIF('TL15'!$C$10:$C$224,$C115,'TL15'!$J$10:$J$224),0),
IF('TL15'!$B$229=O$3,SUMIF('TL15'!$C$238:$C$451,$C115,'TL15'!$J$238:$J$451),0),
IF('TL16'!$B$3=O$3,SUMIF('TL16'!$C$10:$C$224,$C115,'TL16'!$J$10:$J$224),0),
IF('TL16'!$B$229=O$3,SUMIF('TL16'!$C$238:$C$451,$C115,'TL16'!$J$238:$J$451),0),
IF('TL17'!$B$3=O$3,SUMIF('TL17'!$C$10:$C$224,$C115,'TL17'!$J$10:$J$224),0),
IF('TL17'!$B$229=O$3,SUMIF('TL17'!$C$238:$C$451,$C115,'TL17'!$J$238:$J$451),0),
IF('TL18'!$B$3=O$3,SUMIF('TL18'!$C$10:$C$224,$C115,'TL18'!$J$10:$J$224),0),
IF('TL18'!$B$229=O$3,SUMIF('TL18'!$C$238:$C$451,$C115,'TL18'!$J$238:$J$451),0),
IF('TL19'!$B$3=O$3,SUMIF('TL19'!$C$10:$C$224,$C115,'TL19'!$J$10:$J$224),0),
IF('TL19'!$B$229=O$3,SUMIF('TL19'!$C$238:$C$451,$C115,'TL19'!$J$238:$J$451),0)
),0)</f>
        <v>0</v>
      </c>
      <c r="P115" s="9">
        <f>IFERROR(SUM(
IF('TL01'!$B$3=P$3,SUMIF('TL01'!$C$10:$C$224,$C115,'TL01'!$J$10:$J$224),0),
IF('TL01'!$B$229=P$3,SUMIF('TL01'!$C$238:$C$451,$C115,'TL01'!$J$238:$J$451),0),
IF('TL02'!$B$3=P$3,SUMIF('TL02'!$C$10:$C$224,$C115,'TL02'!$J$10:$J$224),0),
IF('TL02'!$B$229=P$3,SUMIF('TL02'!$C$238:$C$451,$C115,'TL02'!$J$238:$J$451),0),
IF('TL03'!$B$3=P$3,SUMIF('TL03'!$C$10:$C$224,$C115,'TL03'!$J$10:$J$224),0),
IF('TL03'!$B$229=P$3,SUMIF('TL03'!$C$238:$C$451,$C115,'TL03'!$J$238:$J$451),0),
IF('TL04'!$B$3=P$3,SUMIF('TL04'!$C$10:$C$224,$C115,'TL04'!$J$10:$J$224),0),
IF('TL04'!$B$229=P$3,SUMIF('TL04'!$C$238:$C$451,$C115,'TL04'!$J$238:$J$451),0),
IF('TL05'!$B$3=P$3,SUMIF('TL05'!$C$10:$C$224,$C115,'TL05'!$J$10:$J$224),0),
IF('TL05'!$B$229=P$3,SUMIF('TL05'!$C$238:$C$451,$C115,'TL05'!$J$238:$J$451),0),
IF('TL06'!$B$3=P$3,SUMIF('TL06'!$C$10:$C$224,$C115,'TL06'!$J$10:$J$224),0),
IF('TL06'!$B$229=P$3,SUMIF('TL06'!$C$238:$C$451,$C115,'TL06'!$J$238:$J$451),0),
IF('TL07'!$B$3=P$3,SUMIF('TL07'!$C$10:$C$224,$C115,'TL07'!$J$10:$J$224),0),
IF('TL07'!$B$229=P$3,SUMIF('TL07'!$C$238:$C$451,$C115,'TL07'!$J$238:$J$451),0),
IF('TL08'!$B$3=P$3,SUMIF('TL08'!$C$10:$C$224,$C115,'TL08'!$J$10:$J$224),0),
IF('TL08'!$B$229=P$3,SUMIF('TL08'!$C$238:$C$451,$C115,'TL08'!$J$238:$J$451),0),
IF('TL09'!$B$3=P$3,SUMIF('TL09'!$C$10:$C$224,$C115,'TL09'!$J$10:$J$224),0),
IF('TL09'!$B$229=P$3,SUMIF('TL09'!$C$238:$C$451,$C115,'TL09'!$J$238:$J$451),0),
IF('TL10'!$B$3=P$3,SUMIF('TL10'!$C$10:$C$224,$C115,'TL10'!$J$10:$J$224),0),
IF('TL10'!$B$229=P$3,SUMIF('TL10'!$C$238:$C$451,$C115,'TL10'!$J$238:$J$451),0),
IF('TL11'!$B$3=P$3,SUMIF('TL11'!$C$10:$C$224,$C115,'TL11'!$J$10:$J$224),0),
IF('TL11'!$B$229=P$3,SUMIF('TL11'!$C$238:$C$451,$C115,'TL11'!$J$238:$J$451),0),
IF('TL12'!$B$3=P$3,SUMIF('TL12'!$C$10:$C$224,$C115,'TL12'!$J$10:$J$224),0),
IF('TL12'!$B$229=P$3,SUMIF('TL12'!$C$238:$C$451,$C115,'TL12'!$J$238:$J$451),0),
IF('TL13'!$B$3=P$3,SUMIF('TL13'!$C$10:$C$224,$C115,'TL13'!$J$10:$J$224),0),
IF('TL13'!$B$229=P$3,SUMIF('TL13'!$C$238:$C$451,$C115,'TL13'!$J$238:$J$451),0),
IF('TL14'!$B$3=P$3,SUMIF('TL14'!$C$10:$C$224,$C115,'TL14'!$J$10:$J$224),0),
IF('TL14'!$B$229=P$3,SUMIF('TL14'!$C$238:$C$451,$C115,'TL14'!$J$238:$J$451),0),
IF('TL15'!$B$3=P$3,SUMIF('TL15'!$C$10:$C$224,$C115,'TL15'!$J$10:$J$224),0),
IF('TL15'!$B$229=P$3,SUMIF('TL15'!$C$238:$C$451,$C115,'TL15'!$J$238:$J$451),0),
IF('TL16'!$B$3=P$3,SUMIF('TL16'!$C$10:$C$224,$C115,'TL16'!$J$10:$J$224),0),
IF('TL16'!$B$229=P$3,SUMIF('TL16'!$C$238:$C$451,$C115,'TL16'!$J$238:$J$451),0),
IF('TL17'!$B$3=P$3,SUMIF('TL17'!$C$10:$C$224,$C115,'TL17'!$J$10:$J$224),0),
IF('TL17'!$B$229=P$3,SUMIF('TL17'!$C$238:$C$451,$C115,'TL17'!$J$238:$J$451),0),
IF('TL18'!$B$3=P$3,SUMIF('TL18'!$C$10:$C$224,$C115,'TL18'!$J$10:$J$224),0),
IF('TL18'!$B$229=P$3,SUMIF('TL18'!$C$238:$C$451,$C115,'TL18'!$J$238:$J$451),0),
IF('TL19'!$B$3=P$3,SUMIF('TL19'!$C$10:$C$224,$C115,'TL19'!$J$10:$J$224),0),
IF('TL19'!$B$229=P$3,SUMIF('TL19'!$C$238:$C$451,$C115,'TL19'!$J$238:$J$451),0)
),0)</f>
        <v>0</v>
      </c>
      <c r="Q115" s="9">
        <f>IFERROR(SUM(
IF('TL01'!$B$3=Q$3,SUMIF('TL01'!$C$10:$C$224,$C115,'TL01'!$J$10:$J$224),0),
IF('TL01'!$B$229=Q$3,SUMIF('TL01'!$C$238:$C$451,$C115,'TL01'!$J$238:$J$451),0),
IF('TL02'!$B$3=Q$3,SUMIF('TL02'!$C$10:$C$224,$C115,'TL02'!$J$10:$J$224),0),
IF('TL02'!$B$229=Q$3,SUMIF('TL02'!$C$238:$C$451,$C115,'TL02'!$J$238:$J$451),0),
IF('TL03'!$B$3=Q$3,SUMIF('TL03'!$C$10:$C$224,$C115,'TL03'!$J$10:$J$224),0),
IF('TL03'!$B$229=Q$3,SUMIF('TL03'!$C$238:$C$451,$C115,'TL03'!$J$238:$J$451),0),
IF('TL04'!$B$3=Q$3,SUMIF('TL04'!$C$10:$C$224,$C115,'TL04'!$J$10:$J$224),0),
IF('TL04'!$B$229=Q$3,SUMIF('TL04'!$C$238:$C$451,$C115,'TL04'!$J$238:$J$451),0),
IF('TL05'!$B$3=Q$3,SUMIF('TL05'!$C$10:$C$224,$C115,'TL05'!$J$10:$J$224),0),
IF('TL05'!$B$229=Q$3,SUMIF('TL05'!$C$238:$C$451,$C115,'TL05'!$J$238:$J$451),0),
IF('TL06'!$B$3=Q$3,SUMIF('TL06'!$C$10:$C$224,$C115,'TL06'!$J$10:$J$224),0),
IF('TL06'!$B$229=Q$3,SUMIF('TL06'!$C$238:$C$451,$C115,'TL06'!$J$238:$J$451),0),
IF('TL07'!$B$3=Q$3,SUMIF('TL07'!$C$10:$C$224,$C115,'TL07'!$J$10:$J$224),0),
IF('TL07'!$B$229=Q$3,SUMIF('TL07'!$C$238:$C$451,$C115,'TL07'!$J$238:$J$451),0),
IF('TL08'!$B$3=Q$3,SUMIF('TL08'!$C$10:$C$224,$C115,'TL08'!$J$10:$J$224),0),
IF('TL08'!$B$229=Q$3,SUMIF('TL08'!$C$238:$C$451,$C115,'TL08'!$J$238:$J$451),0),
IF('TL09'!$B$3=Q$3,SUMIF('TL09'!$C$10:$C$224,$C115,'TL09'!$J$10:$J$224),0),
IF('TL09'!$B$229=Q$3,SUMIF('TL09'!$C$238:$C$451,$C115,'TL09'!$J$238:$J$451),0),
IF('TL10'!$B$3=Q$3,SUMIF('TL10'!$C$10:$C$224,$C115,'TL10'!$J$10:$J$224),0),
IF('TL10'!$B$229=Q$3,SUMIF('TL10'!$C$238:$C$451,$C115,'TL10'!$J$238:$J$451),0),
IF('TL11'!$B$3=Q$3,SUMIF('TL11'!$C$10:$C$224,$C115,'TL11'!$J$10:$J$224),0),
IF('TL11'!$B$229=Q$3,SUMIF('TL11'!$C$238:$C$451,$C115,'TL11'!$J$238:$J$451),0),
IF('TL12'!$B$3=Q$3,SUMIF('TL12'!$C$10:$C$224,$C115,'TL12'!$J$10:$J$224),0),
IF('TL12'!$B$229=Q$3,SUMIF('TL12'!$C$238:$C$451,$C115,'TL12'!$J$238:$J$451),0),
IF('TL13'!$B$3=Q$3,SUMIF('TL13'!$C$10:$C$224,$C115,'TL13'!$J$10:$J$224),0),
IF('TL13'!$B$229=Q$3,SUMIF('TL13'!$C$238:$C$451,$C115,'TL13'!$J$238:$J$451),0),
IF('TL14'!$B$3=Q$3,SUMIF('TL14'!$C$10:$C$224,$C115,'TL14'!$J$10:$J$224),0),
IF('TL14'!$B$229=Q$3,SUMIF('TL14'!$C$238:$C$451,$C115,'TL14'!$J$238:$J$451),0),
IF('TL15'!$B$3=Q$3,SUMIF('TL15'!$C$10:$C$224,$C115,'TL15'!$J$10:$J$224),0),
IF('TL15'!$B$229=Q$3,SUMIF('TL15'!$C$238:$C$451,$C115,'TL15'!$J$238:$J$451),0),
IF('TL16'!$B$3=Q$3,SUMIF('TL16'!$C$10:$C$224,$C115,'TL16'!$J$10:$J$224),0),
IF('TL16'!$B$229=Q$3,SUMIF('TL16'!$C$238:$C$451,$C115,'TL16'!$J$238:$J$451),0),
IF('TL17'!$B$3=Q$3,SUMIF('TL17'!$C$10:$C$224,$C115,'TL17'!$J$10:$J$224),0),
IF('TL17'!$B$229=Q$3,SUMIF('TL17'!$C$238:$C$451,$C115,'TL17'!$J$238:$J$451),0),
IF('TL18'!$B$3=Q$3,SUMIF('TL18'!$C$10:$C$224,$C115,'TL18'!$J$10:$J$224),0),
IF('TL18'!$B$229=Q$3,SUMIF('TL18'!$C$238:$C$451,$C115,'TL18'!$J$238:$J$451),0),
IF('TL19'!$B$3=Q$3,SUMIF('TL19'!$C$10:$C$224,$C115,'TL19'!$J$10:$J$224),0),
IF('TL19'!$B$229=Q$3,SUMIF('TL19'!$C$238:$C$451,$C115,'TL19'!$J$238:$J$451),0)
),0)</f>
        <v>0</v>
      </c>
      <c r="R115" s="9">
        <f>IFERROR(
SUM(
SUMIF('TL01'!C:C,C115,'TL01'!J:J),
SUMIF('TL02'!C:C,C115,'TL02'!J:J),
SUMIF('TL03'!C:C,C115,'TL03'!J:J),
SUMIF('TL04'!C:C,C115,'TL04'!J:J),
SUMIF('TL05'!C:C,C115,'TL05'!J:J),
SUMIF('TL06'!C:C,C115,'TL06'!J:J),
SUMIF('TL07'!C:C,C115,'TL07'!J:J),
SUMIF('TL08'!C:C,C115,'TL08'!J:J),
SUMIF('TL09'!C:C,C115,'TL09'!J:J),
SUMIF('TL10'!C:C,C115,'TL10'!J:J),
SUMIF('TL11'!C:C,C115,'TL11'!J:J),
SUMIF('TL12'!C:C,C115,'TL12'!J:J),
SUMIF('TL13'!C:C,C115,'TL13'!J:J),
SUMIF('TL14'!C:C,C115,'TL14'!J:J),
SUMIF('TL15'!C:C,C115,'TL15'!J:J),
SUMIF('TL16'!C:C,C115,'TL16'!J:J),
SUMIF('TL17'!C:C,C115,'TL17'!J:J),
SUMIF('TL18'!C:C,C115,'TL18'!J:J),SUMIF('TL19'!C:C,C115,'TL19'!J:J))
,0)</f>
        <v>0</v>
      </c>
      <c r="S115" s="17">
        <f>IFERROR(__xludf.DUMMYFUNCTION("IFERROR(VLOOKUP(C115,
IMPORTRANGE(""1wULbzX32WdYsx-lj2U3uUNBBe2INVIRDtcK0d-Dvl90"",
""26-27!C:G""),
5,
FALSE),
"""")"),930.9183399999998)</f>
        <v>930.91834</v>
      </c>
      <c r="T115" s="9"/>
      <c r="U115" s="92">
        <f t="shared" si="2"/>
        <v>0</v>
      </c>
      <c r="V115" s="93">
        <f t="shared" si="3"/>
        <v>0</v>
      </c>
    </row>
    <row r="116" ht="15.75" hidden="1" customHeight="1">
      <c r="A116" s="115" t="s">
        <v>345</v>
      </c>
      <c r="B116" s="100" t="s">
        <v>1</v>
      </c>
      <c r="C116" s="116" t="s">
        <v>630</v>
      </c>
      <c r="D116" s="116" t="s">
        <v>626</v>
      </c>
      <c r="E116" s="116">
        <v>200.0</v>
      </c>
      <c r="F116" s="4" t="s">
        <v>392</v>
      </c>
      <c r="G116" s="90" t="str">
        <f t="shared" si="4"/>
        <v>📄 Ver bula</v>
      </c>
      <c r="H116" s="9">
        <f>IFERROR(__xludf.DUMMYFUNCTION("IFERROR(VLOOKUP(C116,
IMPORTRANGE(""1wULbzX32WdYsx-lj2U3uUNBBe2INVIRDtcK0d-Dvl90"",
""26-27!C:K""),
8,
FALSE),
"""")"),2.0)</f>
        <v>2</v>
      </c>
      <c r="I116" s="117" t="s">
        <v>446</v>
      </c>
      <c r="J116" s="9">
        <f>IFERROR(SUM(
IF('TL01'!$B$3=J$3,SUMIF('TL01'!$C$10:$C$224,$C116,'TL01'!$J$10:$J$224),0),
IF('TL01'!$B$229=J$3,SUMIF('TL01'!$C$238:$C$451,$C116,'TL01'!$J$238:$J$451),0),
IF('TL02'!$B$3=J$3,SUMIF('TL02'!$C$10:$C$224,$C116,'TL02'!$J$10:$J$224),0),
IF('TL02'!$B$229=J$3,SUMIF('TL02'!$C$238:$C$451,$C116,'TL02'!$J$238:$J$451),0),
IF('TL03'!$B$3=J$3,SUMIF('TL03'!$C$10:$C$224,$C116,'TL03'!$J$10:$J$224),0),
IF('TL03'!$B$229=J$3,SUMIF('TL03'!$C$238:$C$451,$C116,'TL03'!$J$238:$J$451),0),
IF('TL04'!$B$3=J$3,SUMIF('TL04'!$C$10:$C$224,$C116,'TL04'!$J$10:$J$224),0),
IF('TL04'!$B$229=J$3,SUMIF('TL04'!$C$238:$C$451,$C116,'TL04'!$J$238:$J$451),0),
IF('TL05'!$B$3=J$3,SUMIF('TL05'!$C$10:$C$224,$C116,'TL05'!$J$10:$J$224),0),
IF('TL05'!$B$229=J$3,SUMIF('TL05'!$C$238:$C$451,$C116,'TL05'!$J$238:$J$451),0),
IF('TL06'!$B$3=J$3,SUMIF('TL06'!$C$10:$C$224,$C116,'TL06'!$J$10:$J$224),0),
IF('TL06'!$B$229=J$3,SUMIF('TL06'!$C$238:$C$451,$C116,'TL06'!$J$238:$J$451),0),
IF('TL07'!$B$3=J$3,SUMIF('TL07'!$C$10:$C$224,$C116,'TL07'!$J$10:$J$224),0),
IF('TL07'!$B$229=J$3,SUMIF('TL07'!$C$238:$C$451,$C116,'TL07'!$J$238:$J$451),0),
IF('TL08'!$B$3=J$3,SUMIF('TL08'!$C$10:$C$224,$C116,'TL08'!$J$10:$J$224),0),
IF('TL08'!$B$229=J$3,SUMIF('TL08'!$C$238:$C$451,$C116,'TL08'!$J$238:$J$451),0),
IF('TL09'!$B$3=J$3,SUMIF('TL09'!$C$10:$C$224,$C116,'TL09'!$J$10:$J$224),0),
IF('TL09'!$B$229=J$3,SUMIF('TL09'!$C$238:$C$451,$C116,'TL09'!$J$238:$J$451),0),
IF('TL10'!$B$3=J$3,SUMIF('TL10'!$C$10:$C$224,$C116,'TL10'!$J$10:$J$224),0),
IF('TL10'!$B$229=J$3,SUMIF('TL10'!$C$238:$C$451,$C116,'TL10'!$J$238:$J$451),0),
IF('TL11'!$B$3=J$3,SUMIF('TL11'!$C$10:$C$224,$C116,'TL11'!$J$10:$J$224),0),
IF('TL11'!$B$229=J$3,SUMIF('TL11'!$C$238:$C$451,$C116,'TL11'!$J$238:$J$451),0),
IF('TL12'!$B$3=J$3,SUMIF('TL12'!$C$10:$C$224,$C116,'TL12'!$J$10:$J$224),0),
IF('TL12'!$B$229=J$3,SUMIF('TL12'!$C$238:$C$451,$C116,'TL12'!$J$238:$J$451),0),
IF('TL13'!$B$3=J$3,SUMIF('TL13'!$C$10:$C$224,$C116,'TL13'!$J$10:$J$224),0),
IF('TL13'!$B$229=J$3,SUMIF('TL13'!$C$238:$C$451,$C116,'TL13'!$J$238:$J$451),0),
IF('TL14'!$B$3=J$3,SUMIF('TL14'!$C$10:$C$224,$C116,'TL14'!$J$10:$J$224),0),
IF('TL14'!$B$229=J$3,SUMIF('TL14'!$C$238:$C$451,$C116,'TL14'!$J$238:$J$451),0),
IF('TL15'!$B$3=J$3,SUMIF('TL15'!$C$10:$C$224,$C116,'TL15'!$J$10:$J$224),0),
IF('TL15'!$B$229=J$3,SUMIF('TL15'!$C$238:$C$451,$C116,'TL15'!$J$238:$J$451),0),
IF('TL16'!$B$3=J$3,SUMIF('TL16'!$C$10:$C$224,$C116,'TL16'!$J$10:$J$224),0),
IF('TL16'!$B$229=J$3,SUMIF('TL16'!$C$238:$C$451,$C116,'TL16'!$J$238:$J$451),0),
IF('TL17'!$B$3=J$3,SUMIF('TL17'!$C$10:$C$224,$C116,'TL17'!$J$10:$J$224),0),
IF('TL17'!$B$229=J$3,SUMIF('TL17'!$C$238:$C$451,$C116,'TL17'!$J$238:$J$451),0),
IF('TL18'!$B$3=J$3,SUMIF('TL18'!$C$10:$C$224,$C116,'TL18'!$J$10:$J$224),0),
IF('TL18'!$B$229=J$3,SUMIF('TL18'!$C$238:$C$451,$C116,'TL18'!$J$238:$J$451),0),
IF('TL19'!$B$3=J$3,SUMIF('TL19'!$C$10:$C$224,$C116,'TL19'!$J$10:$J$224),0),
IF('TL19'!$B$229=J$3,SUMIF('TL19'!$C$238:$C$451,$C116,'TL19'!$J$238:$J$451),0)
),0)</f>
        <v>0</v>
      </c>
      <c r="K116" s="9">
        <f>IFERROR(SUM(
IF('TL01'!$B$3=K$3,SUMIF('TL01'!$C$10:$C$224,$C116,'TL01'!$J$10:$J$224),0),
IF('TL01'!$B$229=K$3,SUMIF('TL01'!$C$238:$C$451,$C116,'TL01'!$J$238:$J$451),0),
IF('TL02'!$B$3=K$3,SUMIF('TL02'!$C$10:$C$224,$C116,'TL02'!$J$10:$J$224),0),
IF('TL02'!$B$229=K$3,SUMIF('TL02'!$C$238:$C$451,$C116,'TL02'!$J$238:$J$451),0),
IF('TL03'!$B$3=K$3,SUMIF('TL03'!$C$10:$C$224,$C116,'TL03'!$J$10:$J$224),0),
IF('TL03'!$B$229=K$3,SUMIF('TL03'!$C$238:$C$451,$C116,'TL03'!$J$238:$J$451),0),
IF('TL04'!$B$3=K$3,SUMIF('TL04'!$C$10:$C$224,$C116,'TL04'!$J$10:$J$224),0),
IF('TL04'!$B$229=K$3,SUMIF('TL04'!$C$238:$C$451,$C116,'TL04'!$J$238:$J$451),0),
IF('TL05'!$B$3=K$3,SUMIF('TL05'!$C$10:$C$224,$C116,'TL05'!$J$10:$J$224),0),
IF('TL05'!$B$229=K$3,SUMIF('TL05'!$C$238:$C$451,$C116,'TL05'!$J$238:$J$451),0),
IF('TL06'!$B$3=K$3,SUMIF('TL06'!$C$10:$C$224,$C116,'TL06'!$J$10:$J$224),0),
IF('TL06'!$B$229=K$3,SUMIF('TL06'!$C$238:$C$451,$C116,'TL06'!$J$238:$J$451),0),
IF('TL07'!$B$3=K$3,SUMIF('TL07'!$C$10:$C$224,$C116,'TL07'!$J$10:$J$224),0),
IF('TL07'!$B$229=K$3,SUMIF('TL07'!$C$238:$C$451,$C116,'TL07'!$J$238:$J$451),0),
IF('TL08'!$B$3=K$3,SUMIF('TL08'!$C$10:$C$224,$C116,'TL08'!$J$10:$J$224),0),
IF('TL08'!$B$229=K$3,SUMIF('TL08'!$C$238:$C$451,$C116,'TL08'!$J$238:$J$451),0),
IF('TL09'!$B$3=K$3,SUMIF('TL09'!$C$10:$C$224,$C116,'TL09'!$J$10:$J$224),0),
IF('TL09'!$B$229=K$3,SUMIF('TL09'!$C$238:$C$451,$C116,'TL09'!$J$238:$J$451),0),
IF('TL10'!$B$3=K$3,SUMIF('TL10'!$C$10:$C$224,$C116,'TL10'!$J$10:$J$224),0),
IF('TL10'!$B$229=K$3,SUMIF('TL10'!$C$238:$C$451,$C116,'TL10'!$J$238:$J$451),0),
IF('TL11'!$B$3=K$3,SUMIF('TL11'!$C$10:$C$224,$C116,'TL11'!$J$10:$J$224),0),
IF('TL11'!$B$229=K$3,SUMIF('TL11'!$C$238:$C$451,$C116,'TL11'!$J$238:$J$451),0),
IF('TL12'!$B$3=K$3,SUMIF('TL12'!$C$10:$C$224,$C116,'TL12'!$J$10:$J$224),0),
IF('TL12'!$B$229=K$3,SUMIF('TL12'!$C$238:$C$451,$C116,'TL12'!$J$238:$J$451),0),
IF('TL13'!$B$3=K$3,SUMIF('TL13'!$C$10:$C$224,$C116,'TL13'!$J$10:$J$224),0),
IF('TL13'!$B$229=K$3,SUMIF('TL13'!$C$238:$C$451,$C116,'TL13'!$J$238:$J$451),0),
IF('TL14'!$B$3=K$3,SUMIF('TL14'!$C$10:$C$224,$C116,'TL14'!$J$10:$J$224),0),
IF('TL14'!$B$229=K$3,SUMIF('TL14'!$C$238:$C$451,$C116,'TL14'!$J$238:$J$451),0),
IF('TL15'!$B$3=K$3,SUMIF('TL15'!$C$10:$C$224,$C116,'TL15'!$J$10:$J$224),0),
IF('TL15'!$B$229=K$3,SUMIF('TL15'!$C$238:$C$451,$C116,'TL15'!$J$238:$J$451),0),
IF('TL16'!$B$3=K$3,SUMIF('TL16'!$C$10:$C$224,$C116,'TL16'!$J$10:$J$224),0),
IF('TL16'!$B$229=K$3,SUMIF('TL16'!$C$238:$C$451,$C116,'TL16'!$J$238:$J$451),0),
IF('TL17'!$B$3=K$3,SUMIF('TL17'!$C$10:$C$224,$C116,'TL17'!$J$10:$J$224),0),
IF('TL17'!$B$229=K$3,SUMIF('TL17'!$C$238:$C$451,$C116,'TL17'!$J$238:$J$451),0),
IF('TL18'!$B$3=K$3,SUMIF('TL18'!$C$10:$C$224,$C116,'TL18'!$J$10:$J$224),0),
IF('TL18'!$B$229=K$3,SUMIF('TL18'!$C$238:$C$451,$C116,'TL18'!$J$238:$J$451),0),
IF('TL19'!$B$3=K$3,SUMIF('TL19'!$C$10:$C$224,$C116,'TL19'!$J$10:$J$224),0),
IF('TL19'!$B$229=K$3,SUMIF('TL19'!$C$238:$C$451,$C116,'TL19'!$J$238:$J$451),0)
),0)</f>
        <v>0</v>
      </c>
      <c r="L116" s="9">
        <f>IFERROR(SUM(
IF('TL01'!$B$3=L$3,SUMIF('TL01'!$C$10:$C$224,$C116,'TL01'!$J$10:$J$224),0),
IF('TL01'!$B$229=L$3,SUMIF('TL01'!$C$238:$C$451,$C116,'TL01'!$J$238:$J$451),0),
IF('TL02'!$B$3=L$3,SUMIF('TL02'!$C$10:$C$224,$C116,'TL02'!$J$10:$J$224),0),
IF('TL02'!$B$229=L$3,SUMIF('TL02'!$C$238:$C$451,$C116,'TL02'!$J$238:$J$451),0),
IF('TL03'!$B$3=L$3,SUMIF('TL03'!$C$10:$C$224,$C116,'TL03'!$J$10:$J$224),0),
IF('TL03'!$B$229=L$3,SUMIF('TL03'!$C$238:$C$451,$C116,'TL03'!$J$238:$J$451),0),
IF('TL04'!$B$3=L$3,SUMIF('TL04'!$C$10:$C$224,$C116,'TL04'!$J$10:$J$224),0),
IF('TL04'!$B$229=L$3,SUMIF('TL04'!$C$238:$C$451,$C116,'TL04'!$J$238:$J$451),0),
IF('TL05'!$B$3=L$3,SUMIF('TL05'!$C$10:$C$224,$C116,'TL05'!$J$10:$J$224),0),
IF('TL05'!$B$229=L$3,SUMIF('TL05'!$C$238:$C$451,$C116,'TL05'!$J$238:$J$451),0),
IF('TL06'!$B$3=L$3,SUMIF('TL06'!$C$10:$C$224,$C116,'TL06'!$J$10:$J$224),0),
IF('TL06'!$B$229=L$3,SUMIF('TL06'!$C$238:$C$451,$C116,'TL06'!$J$238:$J$451),0),
IF('TL07'!$B$3=L$3,SUMIF('TL07'!$C$10:$C$224,$C116,'TL07'!$J$10:$J$224),0),
IF('TL07'!$B$229=L$3,SUMIF('TL07'!$C$238:$C$451,$C116,'TL07'!$J$238:$J$451),0),
IF('TL08'!$B$3=L$3,SUMIF('TL08'!$C$10:$C$224,$C116,'TL08'!$J$10:$J$224),0),
IF('TL08'!$B$229=L$3,SUMIF('TL08'!$C$238:$C$451,$C116,'TL08'!$J$238:$J$451),0),
IF('TL09'!$B$3=L$3,SUMIF('TL09'!$C$10:$C$224,$C116,'TL09'!$J$10:$J$224),0),
IF('TL09'!$B$229=L$3,SUMIF('TL09'!$C$238:$C$451,$C116,'TL09'!$J$238:$J$451),0),
IF('TL10'!$B$3=L$3,SUMIF('TL10'!$C$10:$C$224,$C116,'TL10'!$J$10:$J$224),0),
IF('TL10'!$B$229=L$3,SUMIF('TL10'!$C$238:$C$451,$C116,'TL10'!$J$238:$J$451),0),
IF('TL11'!$B$3=L$3,SUMIF('TL11'!$C$10:$C$224,$C116,'TL11'!$J$10:$J$224),0),
IF('TL11'!$B$229=L$3,SUMIF('TL11'!$C$238:$C$451,$C116,'TL11'!$J$238:$J$451),0),
IF('TL12'!$B$3=L$3,SUMIF('TL12'!$C$10:$C$224,$C116,'TL12'!$J$10:$J$224),0),
IF('TL12'!$B$229=L$3,SUMIF('TL12'!$C$238:$C$451,$C116,'TL12'!$J$238:$J$451),0),
IF('TL13'!$B$3=L$3,SUMIF('TL13'!$C$10:$C$224,$C116,'TL13'!$J$10:$J$224),0),
IF('TL13'!$B$229=L$3,SUMIF('TL13'!$C$238:$C$451,$C116,'TL13'!$J$238:$J$451),0),
IF('TL14'!$B$3=L$3,SUMIF('TL14'!$C$10:$C$224,$C116,'TL14'!$J$10:$J$224),0),
IF('TL14'!$B$229=L$3,SUMIF('TL14'!$C$238:$C$451,$C116,'TL14'!$J$238:$J$451),0),
IF('TL15'!$B$3=L$3,SUMIF('TL15'!$C$10:$C$224,$C116,'TL15'!$J$10:$J$224),0),
IF('TL15'!$B$229=L$3,SUMIF('TL15'!$C$238:$C$451,$C116,'TL15'!$J$238:$J$451),0),
IF('TL16'!$B$3=L$3,SUMIF('TL16'!$C$10:$C$224,$C116,'TL16'!$J$10:$J$224),0),
IF('TL16'!$B$229=L$3,SUMIF('TL16'!$C$238:$C$451,$C116,'TL16'!$J$238:$J$451),0),
IF('TL17'!$B$3=L$3,SUMIF('TL17'!$C$10:$C$224,$C116,'TL17'!$J$10:$J$224),0),
IF('TL17'!$B$229=L$3,SUMIF('TL17'!$C$238:$C$451,$C116,'TL17'!$J$238:$J$451),0),
IF('TL18'!$B$3=L$3,SUMIF('TL18'!$C$10:$C$224,$C116,'TL18'!$J$10:$J$224),0),
IF('TL18'!$B$229=L$3,SUMIF('TL18'!$C$238:$C$451,$C116,'TL18'!$J$238:$J$451),0),
IF('TL19'!$B$3=L$3,SUMIF('TL19'!$C$10:$C$224,$C116,'TL19'!$J$10:$J$224),0),
IF('TL19'!$B$229=L$3,SUMIF('TL19'!$C$238:$C$451,$C116,'TL19'!$J$238:$J$451),0)
),0)</f>
        <v>0</v>
      </c>
      <c r="M116" s="9">
        <f>IFERROR(SUM(
IF('TL01'!$B$3=M$3,SUMIF('TL01'!$C$10:$C$224,$C116,'TL01'!$J$10:$J$224),0),
IF('TL01'!$B$229=M$3,SUMIF('TL01'!$C$238:$C$451,$C116,'TL01'!$J$238:$J$451),0),
IF('TL02'!$B$3=M$3,SUMIF('TL02'!$C$10:$C$224,$C116,'TL02'!$J$10:$J$224),0),
IF('TL02'!$B$229=M$3,SUMIF('TL02'!$C$238:$C$451,$C116,'TL02'!$J$238:$J$451),0),
IF('TL03'!$B$3=M$3,SUMIF('TL03'!$C$10:$C$224,$C116,'TL03'!$J$10:$J$224),0),
IF('TL03'!$B$229=M$3,SUMIF('TL03'!$C$238:$C$451,$C116,'TL03'!$J$238:$J$451),0),
IF('TL04'!$B$3=M$3,SUMIF('TL04'!$C$10:$C$224,$C116,'TL04'!$J$10:$J$224),0),
IF('TL04'!$B$229=M$3,SUMIF('TL04'!$C$238:$C$451,$C116,'TL04'!$J$238:$J$451),0),
IF('TL05'!$B$3=M$3,SUMIF('TL05'!$C$10:$C$224,$C116,'TL05'!$J$10:$J$224),0),
IF('TL05'!$B$229=M$3,SUMIF('TL05'!$C$238:$C$451,$C116,'TL05'!$J$238:$J$451),0),
IF('TL06'!$B$3=M$3,SUMIF('TL06'!$C$10:$C$224,$C116,'TL06'!$J$10:$J$224),0),
IF('TL06'!$B$229=M$3,SUMIF('TL06'!$C$238:$C$451,$C116,'TL06'!$J$238:$J$451),0),
IF('TL07'!$B$3=M$3,SUMIF('TL07'!$C$10:$C$224,$C116,'TL07'!$J$10:$J$224),0),
IF('TL07'!$B$229=M$3,SUMIF('TL07'!$C$238:$C$451,$C116,'TL07'!$J$238:$J$451),0),
IF('TL08'!$B$3=M$3,SUMIF('TL08'!$C$10:$C$224,$C116,'TL08'!$J$10:$J$224),0),
IF('TL08'!$B$229=M$3,SUMIF('TL08'!$C$238:$C$451,$C116,'TL08'!$J$238:$J$451),0),
IF('TL09'!$B$3=M$3,SUMIF('TL09'!$C$10:$C$224,$C116,'TL09'!$J$10:$J$224),0),
IF('TL09'!$B$229=M$3,SUMIF('TL09'!$C$238:$C$451,$C116,'TL09'!$J$238:$J$451),0),
IF('TL10'!$B$3=M$3,SUMIF('TL10'!$C$10:$C$224,$C116,'TL10'!$J$10:$J$224),0),
IF('TL10'!$B$229=M$3,SUMIF('TL10'!$C$238:$C$451,$C116,'TL10'!$J$238:$J$451),0),
IF('TL11'!$B$3=M$3,SUMIF('TL11'!$C$10:$C$224,$C116,'TL11'!$J$10:$J$224),0),
IF('TL11'!$B$229=M$3,SUMIF('TL11'!$C$238:$C$451,$C116,'TL11'!$J$238:$J$451),0),
IF('TL12'!$B$3=M$3,SUMIF('TL12'!$C$10:$C$224,$C116,'TL12'!$J$10:$J$224),0),
IF('TL12'!$B$229=M$3,SUMIF('TL12'!$C$238:$C$451,$C116,'TL12'!$J$238:$J$451),0),
IF('TL13'!$B$3=M$3,SUMIF('TL13'!$C$10:$C$224,$C116,'TL13'!$J$10:$J$224),0),
IF('TL13'!$B$229=M$3,SUMIF('TL13'!$C$238:$C$451,$C116,'TL13'!$J$238:$J$451),0),
IF('TL14'!$B$3=M$3,SUMIF('TL14'!$C$10:$C$224,$C116,'TL14'!$J$10:$J$224),0),
IF('TL14'!$B$229=M$3,SUMIF('TL14'!$C$238:$C$451,$C116,'TL14'!$J$238:$J$451),0),
IF('TL15'!$B$3=M$3,SUMIF('TL15'!$C$10:$C$224,$C116,'TL15'!$J$10:$J$224),0),
IF('TL15'!$B$229=M$3,SUMIF('TL15'!$C$238:$C$451,$C116,'TL15'!$J$238:$J$451),0),
IF('TL16'!$B$3=M$3,SUMIF('TL16'!$C$10:$C$224,$C116,'TL16'!$J$10:$J$224),0),
IF('TL16'!$B$229=M$3,SUMIF('TL16'!$C$238:$C$451,$C116,'TL16'!$J$238:$J$451),0),
IF('TL17'!$B$3=M$3,SUMIF('TL17'!$C$10:$C$224,$C116,'TL17'!$J$10:$J$224),0),
IF('TL17'!$B$229=M$3,SUMIF('TL17'!$C$238:$C$451,$C116,'TL17'!$J$238:$J$451),0),
IF('TL18'!$B$3=M$3,SUMIF('TL18'!$C$10:$C$224,$C116,'TL18'!$J$10:$J$224),0),
IF('TL18'!$B$229=M$3,SUMIF('TL18'!$C$238:$C$451,$C116,'TL18'!$J$238:$J$451),0),
IF('TL19'!$B$3=M$3,SUMIF('TL19'!$C$10:$C$224,$C116,'TL19'!$J$10:$J$224),0),
IF('TL19'!$B$229=M$3,SUMIF('TL19'!$C$238:$C$451,$C116,'TL19'!$J$238:$J$451),0)
),0)</f>
        <v>0</v>
      </c>
      <c r="N116" s="9">
        <f>IFERROR(SUM(
IF('TL01'!$B$3=N$3,SUMIF('TL01'!$C$10:$C$224,$C116,'TL01'!$J$10:$J$224),0),
IF('TL01'!$B$229=N$3,SUMIF('TL01'!$C$238:$C$451,$C116,'TL01'!$J$238:$J$451),0),
IF('TL02'!$B$3=N$3,SUMIF('TL02'!$C$10:$C$224,$C116,'TL02'!$J$10:$J$224),0),
IF('TL02'!$B$229=N$3,SUMIF('TL02'!$C$238:$C$451,$C116,'TL02'!$J$238:$J$451),0),
IF('TL03'!$B$3=N$3,SUMIF('TL03'!$C$10:$C$224,$C116,'TL03'!$J$10:$J$224),0),
IF('TL03'!$B$229=N$3,SUMIF('TL03'!$C$238:$C$451,$C116,'TL03'!$J$238:$J$451),0),
IF('TL04'!$B$3=N$3,SUMIF('TL04'!$C$10:$C$224,$C116,'TL04'!$J$10:$J$224),0),
IF('TL04'!$B$229=N$3,SUMIF('TL04'!$C$238:$C$451,$C116,'TL04'!$J$238:$J$451),0),
IF('TL05'!$B$3=N$3,SUMIF('TL05'!$C$10:$C$224,$C116,'TL05'!$J$10:$J$224),0),
IF('TL05'!$B$229=N$3,SUMIF('TL05'!$C$238:$C$451,$C116,'TL05'!$J$238:$J$451),0),
IF('TL06'!$B$3=N$3,SUMIF('TL06'!$C$10:$C$224,$C116,'TL06'!$J$10:$J$224),0),
IF('TL06'!$B$229=N$3,SUMIF('TL06'!$C$238:$C$451,$C116,'TL06'!$J$238:$J$451),0),
IF('TL07'!$B$3=N$3,SUMIF('TL07'!$C$10:$C$224,$C116,'TL07'!$J$10:$J$224),0),
IF('TL07'!$B$229=N$3,SUMIF('TL07'!$C$238:$C$451,$C116,'TL07'!$J$238:$J$451),0),
IF('TL08'!$B$3=N$3,SUMIF('TL08'!$C$10:$C$224,$C116,'TL08'!$J$10:$J$224),0),
IF('TL08'!$B$229=N$3,SUMIF('TL08'!$C$238:$C$451,$C116,'TL08'!$J$238:$J$451),0),
IF('TL09'!$B$3=N$3,SUMIF('TL09'!$C$10:$C$224,$C116,'TL09'!$J$10:$J$224),0),
IF('TL09'!$B$229=N$3,SUMIF('TL09'!$C$238:$C$451,$C116,'TL09'!$J$238:$J$451),0),
IF('TL10'!$B$3=N$3,SUMIF('TL10'!$C$10:$C$224,$C116,'TL10'!$J$10:$J$224),0),
IF('TL10'!$B$229=N$3,SUMIF('TL10'!$C$238:$C$451,$C116,'TL10'!$J$238:$J$451),0),
IF('TL11'!$B$3=N$3,SUMIF('TL11'!$C$10:$C$224,$C116,'TL11'!$J$10:$J$224),0),
IF('TL11'!$B$229=N$3,SUMIF('TL11'!$C$238:$C$451,$C116,'TL11'!$J$238:$J$451),0),
IF('TL12'!$B$3=N$3,SUMIF('TL12'!$C$10:$C$224,$C116,'TL12'!$J$10:$J$224),0),
IF('TL12'!$B$229=N$3,SUMIF('TL12'!$C$238:$C$451,$C116,'TL12'!$J$238:$J$451),0),
IF('TL13'!$B$3=N$3,SUMIF('TL13'!$C$10:$C$224,$C116,'TL13'!$J$10:$J$224),0),
IF('TL13'!$B$229=N$3,SUMIF('TL13'!$C$238:$C$451,$C116,'TL13'!$J$238:$J$451),0),
IF('TL14'!$B$3=N$3,SUMIF('TL14'!$C$10:$C$224,$C116,'TL14'!$J$10:$J$224),0),
IF('TL14'!$B$229=N$3,SUMIF('TL14'!$C$238:$C$451,$C116,'TL14'!$J$238:$J$451),0),
IF('TL15'!$B$3=N$3,SUMIF('TL15'!$C$10:$C$224,$C116,'TL15'!$J$10:$J$224),0),
IF('TL15'!$B$229=N$3,SUMIF('TL15'!$C$238:$C$451,$C116,'TL15'!$J$238:$J$451),0),
IF('TL16'!$B$3=N$3,SUMIF('TL16'!$C$10:$C$224,$C116,'TL16'!$J$10:$J$224),0),
IF('TL16'!$B$229=N$3,SUMIF('TL16'!$C$238:$C$451,$C116,'TL16'!$J$238:$J$451),0),
IF('TL17'!$B$3=N$3,SUMIF('TL17'!$C$10:$C$224,$C116,'TL17'!$J$10:$J$224),0),
IF('TL17'!$B$229=N$3,SUMIF('TL17'!$C$238:$C$451,$C116,'TL17'!$J$238:$J$451),0),
IF('TL18'!$B$3=N$3,SUMIF('TL18'!$C$10:$C$224,$C116,'TL18'!$J$10:$J$224),0),
IF('TL18'!$B$229=N$3,SUMIF('TL18'!$C$238:$C$451,$C116,'TL18'!$J$238:$J$451),0),
IF('TL19'!$B$3=N$3,SUMIF('TL19'!$C$10:$C$224,$C116,'TL19'!$J$10:$J$224),0),
IF('TL19'!$B$229=N$3,SUMIF('TL19'!$C$238:$C$451,$C116,'TL19'!$J$238:$J$451),0)
),0)</f>
        <v>0</v>
      </c>
      <c r="O116" s="9">
        <f>IFERROR(SUM(
IF('TL01'!$B$3=O$3,SUMIF('TL01'!$C$10:$C$224,$C116,'TL01'!$J$10:$J$224),0),
IF('TL01'!$B$229=O$3,SUMIF('TL01'!$C$238:$C$451,$C116,'TL01'!$J$238:$J$451),0),
IF('TL02'!$B$3=O$3,SUMIF('TL02'!$C$10:$C$224,$C116,'TL02'!$J$10:$J$224),0),
IF('TL02'!$B$229=O$3,SUMIF('TL02'!$C$238:$C$451,$C116,'TL02'!$J$238:$J$451),0),
IF('TL03'!$B$3=O$3,SUMIF('TL03'!$C$10:$C$224,$C116,'TL03'!$J$10:$J$224),0),
IF('TL03'!$B$229=O$3,SUMIF('TL03'!$C$238:$C$451,$C116,'TL03'!$J$238:$J$451),0),
IF('TL04'!$B$3=O$3,SUMIF('TL04'!$C$10:$C$224,$C116,'TL04'!$J$10:$J$224),0),
IF('TL04'!$B$229=O$3,SUMIF('TL04'!$C$238:$C$451,$C116,'TL04'!$J$238:$J$451),0),
IF('TL05'!$B$3=O$3,SUMIF('TL05'!$C$10:$C$224,$C116,'TL05'!$J$10:$J$224),0),
IF('TL05'!$B$229=O$3,SUMIF('TL05'!$C$238:$C$451,$C116,'TL05'!$J$238:$J$451),0),
IF('TL06'!$B$3=O$3,SUMIF('TL06'!$C$10:$C$224,$C116,'TL06'!$J$10:$J$224),0),
IF('TL06'!$B$229=O$3,SUMIF('TL06'!$C$238:$C$451,$C116,'TL06'!$J$238:$J$451),0),
IF('TL07'!$B$3=O$3,SUMIF('TL07'!$C$10:$C$224,$C116,'TL07'!$J$10:$J$224),0),
IF('TL07'!$B$229=O$3,SUMIF('TL07'!$C$238:$C$451,$C116,'TL07'!$J$238:$J$451),0),
IF('TL08'!$B$3=O$3,SUMIF('TL08'!$C$10:$C$224,$C116,'TL08'!$J$10:$J$224),0),
IF('TL08'!$B$229=O$3,SUMIF('TL08'!$C$238:$C$451,$C116,'TL08'!$J$238:$J$451),0),
IF('TL09'!$B$3=O$3,SUMIF('TL09'!$C$10:$C$224,$C116,'TL09'!$J$10:$J$224),0),
IF('TL09'!$B$229=O$3,SUMIF('TL09'!$C$238:$C$451,$C116,'TL09'!$J$238:$J$451),0),
IF('TL10'!$B$3=O$3,SUMIF('TL10'!$C$10:$C$224,$C116,'TL10'!$J$10:$J$224),0),
IF('TL10'!$B$229=O$3,SUMIF('TL10'!$C$238:$C$451,$C116,'TL10'!$J$238:$J$451),0),
IF('TL11'!$B$3=O$3,SUMIF('TL11'!$C$10:$C$224,$C116,'TL11'!$J$10:$J$224),0),
IF('TL11'!$B$229=O$3,SUMIF('TL11'!$C$238:$C$451,$C116,'TL11'!$J$238:$J$451),0),
IF('TL12'!$B$3=O$3,SUMIF('TL12'!$C$10:$C$224,$C116,'TL12'!$J$10:$J$224),0),
IF('TL12'!$B$229=O$3,SUMIF('TL12'!$C$238:$C$451,$C116,'TL12'!$J$238:$J$451),0),
IF('TL13'!$B$3=O$3,SUMIF('TL13'!$C$10:$C$224,$C116,'TL13'!$J$10:$J$224),0),
IF('TL13'!$B$229=O$3,SUMIF('TL13'!$C$238:$C$451,$C116,'TL13'!$J$238:$J$451),0),
IF('TL14'!$B$3=O$3,SUMIF('TL14'!$C$10:$C$224,$C116,'TL14'!$J$10:$J$224),0),
IF('TL14'!$B$229=O$3,SUMIF('TL14'!$C$238:$C$451,$C116,'TL14'!$J$238:$J$451),0),
IF('TL15'!$B$3=O$3,SUMIF('TL15'!$C$10:$C$224,$C116,'TL15'!$J$10:$J$224),0),
IF('TL15'!$B$229=O$3,SUMIF('TL15'!$C$238:$C$451,$C116,'TL15'!$J$238:$J$451),0),
IF('TL16'!$B$3=O$3,SUMIF('TL16'!$C$10:$C$224,$C116,'TL16'!$J$10:$J$224),0),
IF('TL16'!$B$229=O$3,SUMIF('TL16'!$C$238:$C$451,$C116,'TL16'!$J$238:$J$451),0),
IF('TL17'!$B$3=O$3,SUMIF('TL17'!$C$10:$C$224,$C116,'TL17'!$J$10:$J$224),0),
IF('TL17'!$B$229=O$3,SUMIF('TL17'!$C$238:$C$451,$C116,'TL17'!$J$238:$J$451),0),
IF('TL18'!$B$3=O$3,SUMIF('TL18'!$C$10:$C$224,$C116,'TL18'!$J$10:$J$224),0),
IF('TL18'!$B$229=O$3,SUMIF('TL18'!$C$238:$C$451,$C116,'TL18'!$J$238:$J$451),0),
IF('TL19'!$B$3=O$3,SUMIF('TL19'!$C$10:$C$224,$C116,'TL19'!$J$10:$J$224),0),
IF('TL19'!$B$229=O$3,SUMIF('TL19'!$C$238:$C$451,$C116,'TL19'!$J$238:$J$451),0)
),0)</f>
        <v>0</v>
      </c>
      <c r="P116" s="9">
        <f>IFERROR(SUM(
IF('TL01'!$B$3=P$3,SUMIF('TL01'!$C$10:$C$224,$C116,'TL01'!$J$10:$J$224),0),
IF('TL01'!$B$229=P$3,SUMIF('TL01'!$C$238:$C$451,$C116,'TL01'!$J$238:$J$451),0),
IF('TL02'!$B$3=P$3,SUMIF('TL02'!$C$10:$C$224,$C116,'TL02'!$J$10:$J$224),0),
IF('TL02'!$B$229=P$3,SUMIF('TL02'!$C$238:$C$451,$C116,'TL02'!$J$238:$J$451),0),
IF('TL03'!$B$3=P$3,SUMIF('TL03'!$C$10:$C$224,$C116,'TL03'!$J$10:$J$224),0),
IF('TL03'!$B$229=P$3,SUMIF('TL03'!$C$238:$C$451,$C116,'TL03'!$J$238:$J$451),0),
IF('TL04'!$B$3=P$3,SUMIF('TL04'!$C$10:$C$224,$C116,'TL04'!$J$10:$J$224),0),
IF('TL04'!$B$229=P$3,SUMIF('TL04'!$C$238:$C$451,$C116,'TL04'!$J$238:$J$451),0),
IF('TL05'!$B$3=P$3,SUMIF('TL05'!$C$10:$C$224,$C116,'TL05'!$J$10:$J$224),0),
IF('TL05'!$B$229=P$3,SUMIF('TL05'!$C$238:$C$451,$C116,'TL05'!$J$238:$J$451),0),
IF('TL06'!$B$3=P$3,SUMIF('TL06'!$C$10:$C$224,$C116,'TL06'!$J$10:$J$224),0),
IF('TL06'!$B$229=P$3,SUMIF('TL06'!$C$238:$C$451,$C116,'TL06'!$J$238:$J$451),0),
IF('TL07'!$B$3=P$3,SUMIF('TL07'!$C$10:$C$224,$C116,'TL07'!$J$10:$J$224),0),
IF('TL07'!$B$229=P$3,SUMIF('TL07'!$C$238:$C$451,$C116,'TL07'!$J$238:$J$451),0),
IF('TL08'!$B$3=P$3,SUMIF('TL08'!$C$10:$C$224,$C116,'TL08'!$J$10:$J$224),0),
IF('TL08'!$B$229=P$3,SUMIF('TL08'!$C$238:$C$451,$C116,'TL08'!$J$238:$J$451),0),
IF('TL09'!$B$3=P$3,SUMIF('TL09'!$C$10:$C$224,$C116,'TL09'!$J$10:$J$224),0),
IF('TL09'!$B$229=P$3,SUMIF('TL09'!$C$238:$C$451,$C116,'TL09'!$J$238:$J$451),0),
IF('TL10'!$B$3=P$3,SUMIF('TL10'!$C$10:$C$224,$C116,'TL10'!$J$10:$J$224),0),
IF('TL10'!$B$229=P$3,SUMIF('TL10'!$C$238:$C$451,$C116,'TL10'!$J$238:$J$451),0),
IF('TL11'!$B$3=P$3,SUMIF('TL11'!$C$10:$C$224,$C116,'TL11'!$J$10:$J$224),0),
IF('TL11'!$B$229=P$3,SUMIF('TL11'!$C$238:$C$451,$C116,'TL11'!$J$238:$J$451),0),
IF('TL12'!$B$3=P$3,SUMIF('TL12'!$C$10:$C$224,$C116,'TL12'!$J$10:$J$224),0),
IF('TL12'!$B$229=P$3,SUMIF('TL12'!$C$238:$C$451,$C116,'TL12'!$J$238:$J$451),0),
IF('TL13'!$B$3=P$3,SUMIF('TL13'!$C$10:$C$224,$C116,'TL13'!$J$10:$J$224),0),
IF('TL13'!$B$229=P$3,SUMIF('TL13'!$C$238:$C$451,$C116,'TL13'!$J$238:$J$451),0),
IF('TL14'!$B$3=P$3,SUMIF('TL14'!$C$10:$C$224,$C116,'TL14'!$J$10:$J$224),0),
IF('TL14'!$B$229=P$3,SUMIF('TL14'!$C$238:$C$451,$C116,'TL14'!$J$238:$J$451),0),
IF('TL15'!$B$3=P$3,SUMIF('TL15'!$C$10:$C$224,$C116,'TL15'!$J$10:$J$224),0),
IF('TL15'!$B$229=P$3,SUMIF('TL15'!$C$238:$C$451,$C116,'TL15'!$J$238:$J$451),0),
IF('TL16'!$B$3=P$3,SUMIF('TL16'!$C$10:$C$224,$C116,'TL16'!$J$10:$J$224),0),
IF('TL16'!$B$229=P$3,SUMIF('TL16'!$C$238:$C$451,$C116,'TL16'!$J$238:$J$451),0),
IF('TL17'!$B$3=P$3,SUMIF('TL17'!$C$10:$C$224,$C116,'TL17'!$J$10:$J$224),0),
IF('TL17'!$B$229=P$3,SUMIF('TL17'!$C$238:$C$451,$C116,'TL17'!$J$238:$J$451),0),
IF('TL18'!$B$3=P$3,SUMIF('TL18'!$C$10:$C$224,$C116,'TL18'!$J$10:$J$224),0),
IF('TL18'!$B$229=P$3,SUMIF('TL18'!$C$238:$C$451,$C116,'TL18'!$J$238:$J$451),0),
IF('TL19'!$B$3=P$3,SUMIF('TL19'!$C$10:$C$224,$C116,'TL19'!$J$10:$J$224),0),
IF('TL19'!$B$229=P$3,SUMIF('TL19'!$C$238:$C$451,$C116,'TL19'!$J$238:$J$451),0)
),0)</f>
        <v>0</v>
      </c>
      <c r="Q116" s="9">
        <f>IFERROR(SUM(
IF('TL01'!$B$3=Q$3,SUMIF('TL01'!$C$10:$C$224,$C116,'TL01'!$J$10:$J$224),0),
IF('TL01'!$B$229=Q$3,SUMIF('TL01'!$C$238:$C$451,$C116,'TL01'!$J$238:$J$451),0),
IF('TL02'!$B$3=Q$3,SUMIF('TL02'!$C$10:$C$224,$C116,'TL02'!$J$10:$J$224),0),
IF('TL02'!$B$229=Q$3,SUMIF('TL02'!$C$238:$C$451,$C116,'TL02'!$J$238:$J$451),0),
IF('TL03'!$B$3=Q$3,SUMIF('TL03'!$C$10:$C$224,$C116,'TL03'!$J$10:$J$224),0),
IF('TL03'!$B$229=Q$3,SUMIF('TL03'!$C$238:$C$451,$C116,'TL03'!$J$238:$J$451),0),
IF('TL04'!$B$3=Q$3,SUMIF('TL04'!$C$10:$C$224,$C116,'TL04'!$J$10:$J$224),0),
IF('TL04'!$B$229=Q$3,SUMIF('TL04'!$C$238:$C$451,$C116,'TL04'!$J$238:$J$451),0),
IF('TL05'!$B$3=Q$3,SUMIF('TL05'!$C$10:$C$224,$C116,'TL05'!$J$10:$J$224),0),
IF('TL05'!$B$229=Q$3,SUMIF('TL05'!$C$238:$C$451,$C116,'TL05'!$J$238:$J$451),0),
IF('TL06'!$B$3=Q$3,SUMIF('TL06'!$C$10:$C$224,$C116,'TL06'!$J$10:$J$224),0),
IF('TL06'!$B$229=Q$3,SUMIF('TL06'!$C$238:$C$451,$C116,'TL06'!$J$238:$J$451),0),
IF('TL07'!$B$3=Q$3,SUMIF('TL07'!$C$10:$C$224,$C116,'TL07'!$J$10:$J$224),0),
IF('TL07'!$B$229=Q$3,SUMIF('TL07'!$C$238:$C$451,$C116,'TL07'!$J$238:$J$451),0),
IF('TL08'!$B$3=Q$3,SUMIF('TL08'!$C$10:$C$224,$C116,'TL08'!$J$10:$J$224),0),
IF('TL08'!$B$229=Q$3,SUMIF('TL08'!$C$238:$C$451,$C116,'TL08'!$J$238:$J$451),0),
IF('TL09'!$B$3=Q$3,SUMIF('TL09'!$C$10:$C$224,$C116,'TL09'!$J$10:$J$224),0),
IF('TL09'!$B$229=Q$3,SUMIF('TL09'!$C$238:$C$451,$C116,'TL09'!$J$238:$J$451),0),
IF('TL10'!$B$3=Q$3,SUMIF('TL10'!$C$10:$C$224,$C116,'TL10'!$J$10:$J$224),0),
IF('TL10'!$B$229=Q$3,SUMIF('TL10'!$C$238:$C$451,$C116,'TL10'!$J$238:$J$451),0),
IF('TL11'!$B$3=Q$3,SUMIF('TL11'!$C$10:$C$224,$C116,'TL11'!$J$10:$J$224),0),
IF('TL11'!$B$229=Q$3,SUMIF('TL11'!$C$238:$C$451,$C116,'TL11'!$J$238:$J$451),0),
IF('TL12'!$B$3=Q$3,SUMIF('TL12'!$C$10:$C$224,$C116,'TL12'!$J$10:$J$224),0),
IF('TL12'!$B$229=Q$3,SUMIF('TL12'!$C$238:$C$451,$C116,'TL12'!$J$238:$J$451),0),
IF('TL13'!$B$3=Q$3,SUMIF('TL13'!$C$10:$C$224,$C116,'TL13'!$J$10:$J$224),0),
IF('TL13'!$B$229=Q$3,SUMIF('TL13'!$C$238:$C$451,$C116,'TL13'!$J$238:$J$451),0),
IF('TL14'!$B$3=Q$3,SUMIF('TL14'!$C$10:$C$224,$C116,'TL14'!$J$10:$J$224),0),
IF('TL14'!$B$229=Q$3,SUMIF('TL14'!$C$238:$C$451,$C116,'TL14'!$J$238:$J$451),0),
IF('TL15'!$B$3=Q$3,SUMIF('TL15'!$C$10:$C$224,$C116,'TL15'!$J$10:$J$224),0),
IF('TL15'!$B$229=Q$3,SUMIF('TL15'!$C$238:$C$451,$C116,'TL15'!$J$238:$J$451),0),
IF('TL16'!$B$3=Q$3,SUMIF('TL16'!$C$10:$C$224,$C116,'TL16'!$J$10:$J$224),0),
IF('TL16'!$B$229=Q$3,SUMIF('TL16'!$C$238:$C$451,$C116,'TL16'!$J$238:$J$451),0),
IF('TL17'!$B$3=Q$3,SUMIF('TL17'!$C$10:$C$224,$C116,'TL17'!$J$10:$J$224),0),
IF('TL17'!$B$229=Q$3,SUMIF('TL17'!$C$238:$C$451,$C116,'TL17'!$J$238:$J$451),0),
IF('TL18'!$B$3=Q$3,SUMIF('TL18'!$C$10:$C$224,$C116,'TL18'!$J$10:$J$224),0),
IF('TL18'!$B$229=Q$3,SUMIF('TL18'!$C$238:$C$451,$C116,'TL18'!$J$238:$J$451),0),
IF('TL19'!$B$3=Q$3,SUMIF('TL19'!$C$10:$C$224,$C116,'TL19'!$J$10:$J$224),0),
IF('TL19'!$B$229=Q$3,SUMIF('TL19'!$C$238:$C$451,$C116,'TL19'!$J$238:$J$451),0)
),0)</f>
        <v>0</v>
      </c>
      <c r="R116" s="9">
        <f>IFERROR(
SUM(
SUMIF('TL01'!C:C,C116,'TL01'!J:J),
SUMIF('TL02'!C:C,C116,'TL02'!J:J),
SUMIF('TL03'!C:C,C116,'TL03'!J:J),
SUMIF('TL04'!C:C,C116,'TL04'!J:J),
SUMIF('TL05'!C:C,C116,'TL05'!J:J),
SUMIF('TL06'!C:C,C116,'TL06'!J:J),
SUMIF('TL07'!C:C,C116,'TL07'!J:J),
SUMIF('TL08'!C:C,C116,'TL08'!J:J),
SUMIF('TL09'!C:C,C116,'TL09'!J:J),
SUMIF('TL10'!C:C,C116,'TL10'!J:J),
SUMIF('TL11'!C:C,C116,'TL11'!J:J),
SUMIF('TL12'!C:C,C116,'TL12'!J:J),
SUMIF('TL13'!C:C,C116,'TL13'!J:J),
SUMIF('TL14'!C:C,C116,'TL14'!J:J),
SUMIF('TL15'!C:C,C116,'TL15'!J:J),
SUMIF('TL16'!C:C,C116,'TL16'!J:J),
SUMIF('TL17'!C:C,C116,'TL17'!J:J),
SUMIF('TL18'!C:C,C116,'TL18'!J:J),SUMIF('TL19'!C:C,C116,'TL19'!J:J))
,0)</f>
        <v>0</v>
      </c>
      <c r="S116" s="17">
        <f>IFERROR(__xludf.DUMMYFUNCTION("IFERROR(VLOOKUP(C116,
IMPORTRANGE(""1wULbzX32WdYsx-lj2U3uUNBBe2INVIRDtcK0d-Dvl90"",
""26-27!C:G""),
5,
FALSE),
"""")"),27.308379999999996)</f>
        <v>27.30838</v>
      </c>
      <c r="T116" s="9"/>
      <c r="U116" s="92">
        <f t="shared" si="2"/>
        <v>0</v>
      </c>
      <c r="V116" s="93">
        <f t="shared" si="3"/>
        <v>0</v>
      </c>
    </row>
    <row r="117" ht="15.75" hidden="1" customHeight="1">
      <c r="A117" s="111" t="s">
        <v>345</v>
      </c>
      <c r="B117" s="112" t="s">
        <v>1</v>
      </c>
      <c r="C117" s="113" t="s">
        <v>631</v>
      </c>
      <c r="D117" s="113" t="s">
        <v>632</v>
      </c>
      <c r="E117" s="113">
        <v>455.0</v>
      </c>
      <c r="F117" s="4" t="s">
        <v>343</v>
      </c>
      <c r="G117" s="90" t="str">
        <f t="shared" si="4"/>
        <v>📄 Ver bula</v>
      </c>
      <c r="H117" s="9" t="str">
        <f>IFERROR(__xludf.DUMMYFUNCTION("IFERROR(VLOOKUP(C117,
IMPORTRANGE(""1wULbzX32WdYsx-lj2U3uUNBBe2INVIRDtcK0d-Dvl90"",
""26-27!C:K""),
8,
FALSE),
"""")"),"")</f>
        <v/>
      </c>
      <c r="I117" s="114" t="s">
        <v>633</v>
      </c>
      <c r="J117" s="9">
        <f>IFERROR(SUM(
IF('TL01'!$B$3=J$3,SUMIF('TL01'!$C$10:$C$224,$C117,'TL01'!$J$10:$J$224),0),
IF('TL01'!$B$229=J$3,SUMIF('TL01'!$C$238:$C$451,$C117,'TL01'!$J$238:$J$451),0),
IF('TL02'!$B$3=J$3,SUMIF('TL02'!$C$10:$C$224,$C117,'TL02'!$J$10:$J$224),0),
IF('TL02'!$B$229=J$3,SUMIF('TL02'!$C$238:$C$451,$C117,'TL02'!$J$238:$J$451),0),
IF('TL03'!$B$3=J$3,SUMIF('TL03'!$C$10:$C$224,$C117,'TL03'!$J$10:$J$224),0),
IF('TL03'!$B$229=J$3,SUMIF('TL03'!$C$238:$C$451,$C117,'TL03'!$J$238:$J$451),0),
IF('TL04'!$B$3=J$3,SUMIF('TL04'!$C$10:$C$224,$C117,'TL04'!$J$10:$J$224),0),
IF('TL04'!$B$229=J$3,SUMIF('TL04'!$C$238:$C$451,$C117,'TL04'!$J$238:$J$451),0),
IF('TL05'!$B$3=J$3,SUMIF('TL05'!$C$10:$C$224,$C117,'TL05'!$J$10:$J$224),0),
IF('TL05'!$B$229=J$3,SUMIF('TL05'!$C$238:$C$451,$C117,'TL05'!$J$238:$J$451),0),
IF('TL06'!$B$3=J$3,SUMIF('TL06'!$C$10:$C$224,$C117,'TL06'!$J$10:$J$224),0),
IF('TL06'!$B$229=J$3,SUMIF('TL06'!$C$238:$C$451,$C117,'TL06'!$J$238:$J$451),0),
IF('TL07'!$B$3=J$3,SUMIF('TL07'!$C$10:$C$224,$C117,'TL07'!$J$10:$J$224),0),
IF('TL07'!$B$229=J$3,SUMIF('TL07'!$C$238:$C$451,$C117,'TL07'!$J$238:$J$451),0),
IF('TL08'!$B$3=J$3,SUMIF('TL08'!$C$10:$C$224,$C117,'TL08'!$J$10:$J$224),0),
IF('TL08'!$B$229=J$3,SUMIF('TL08'!$C$238:$C$451,$C117,'TL08'!$J$238:$J$451),0),
IF('TL09'!$B$3=J$3,SUMIF('TL09'!$C$10:$C$224,$C117,'TL09'!$J$10:$J$224),0),
IF('TL09'!$B$229=J$3,SUMIF('TL09'!$C$238:$C$451,$C117,'TL09'!$J$238:$J$451),0),
IF('TL10'!$B$3=J$3,SUMIF('TL10'!$C$10:$C$224,$C117,'TL10'!$J$10:$J$224),0),
IF('TL10'!$B$229=J$3,SUMIF('TL10'!$C$238:$C$451,$C117,'TL10'!$J$238:$J$451),0),
IF('TL11'!$B$3=J$3,SUMIF('TL11'!$C$10:$C$224,$C117,'TL11'!$J$10:$J$224),0),
IF('TL11'!$B$229=J$3,SUMIF('TL11'!$C$238:$C$451,$C117,'TL11'!$J$238:$J$451),0),
IF('TL12'!$B$3=J$3,SUMIF('TL12'!$C$10:$C$224,$C117,'TL12'!$J$10:$J$224),0),
IF('TL12'!$B$229=J$3,SUMIF('TL12'!$C$238:$C$451,$C117,'TL12'!$J$238:$J$451),0),
IF('TL13'!$B$3=J$3,SUMIF('TL13'!$C$10:$C$224,$C117,'TL13'!$J$10:$J$224),0),
IF('TL13'!$B$229=J$3,SUMIF('TL13'!$C$238:$C$451,$C117,'TL13'!$J$238:$J$451),0),
IF('TL14'!$B$3=J$3,SUMIF('TL14'!$C$10:$C$224,$C117,'TL14'!$J$10:$J$224),0),
IF('TL14'!$B$229=J$3,SUMIF('TL14'!$C$238:$C$451,$C117,'TL14'!$J$238:$J$451),0),
IF('TL15'!$B$3=J$3,SUMIF('TL15'!$C$10:$C$224,$C117,'TL15'!$J$10:$J$224),0),
IF('TL15'!$B$229=J$3,SUMIF('TL15'!$C$238:$C$451,$C117,'TL15'!$J$238:$J$451),0),
IF('TL16'!$B$3=J$3,SUMIF('TL16'!$C$10:$C$224,$C117,'TL16'!$J$10:$J$224),0),
IF('TL16'!$B$229=J$3,SUMIF('TL16'!$C$238:$C$451,$C117,'TL16'!$J$238:$J$451),0),
IF('TL17'!$B$3=J$3,SUMIF('TL17'!$C$10:$C$224,$C117,'TL17'!$J$10:$J$224),0),
IF('TL17'!$B$229=J$3,SUMIF('TL17'!$C$238:$C$451,$C117,'TL17'!$J$238:$J$451),0),
IF('TL18'!$B$3=J$3,SUMIF('TL18'!$C$10:$C$224,$C117,'TL18'!$J$10:$J$224),0),
IF('TL18'!$B$229=J$3,SUMIF('TL18'!$C$238:$C$451,$C117,'TL18'!$J$238:$J$451),0),
IF('TL19'!$B$3=J$3,SUMIF('TL19'!$C$10:$C$224,$C117,'TL19'!$J$10:$J$224),0),
IF('TL19'!$B$229=J$3,SUMIF('TL19'!$C$238:$C$451,$C117,'TL19'!$J$238:$J$451),0)
),0)</f>
        <v>0</v>
      </c>
      <c r="K117" s="9">
        <f>IFERROR(SUM(
IF('TL01'!$B$3=K$3,SUMIF('TL01'!$C$10:$C$224,$C117,'TL01'!$J$10:$J$224),0),
IF('TL01'!$B$229=K$3,SUMIF('TL01'!$C$238:$C$451,$C117,'TL01'!$J$238:$J$451),0),
IF('TL02'!$B$3=K$3,SUMIF('TL02'!$C$10:$C$224,$C117,'TL02'!$J$10:$J$224),0),
IF('TL02'!$B$229=K$3,SUMIF('TL02'!$C$238:$C$451,$C117,'TL02'!$J$238:$J$451),0),
IF('TL03'!$B$3=K$3,SUMIF('TL03'!$C$10:$C$224,$C117,'TL03'!$J$10:$J$224),0),
IF('TL03'!$B$229=K$3,SUMIF('TL03'!$C$238:$C$451,$C117,'TL03'!$J$238:$J$451),0),
IF('TL04'!$B$3=K$3,SUMIF('TL04'!$C$10:$C$224,$C117,'TL04'!$J$10:$J$224),0),
IF('TL04'!$B$229=K$3,SUMIF('TL04'!$C$238:$C$451,$C117,'TL04'!$J$238:$J$451),0),
IF('TL05'!$B$3=K$3,SUMIF('TL05'!$C$10:$C$224,$C117,'TL05'!$J$10:$J$224),0),
IF('TL05'!$B$229=K$3,SUMIF('TL05'!$C$238:$C$451,$C117,'TL05'!$J$238:$J$451),0),
IF('TL06'!$B$3=K$3,SUMIF('TL06'!$C$10:$C$224,$C117,'TL06'!$J$10:$J$224),0),
IF('TL06'!$B$229=K$3,SUMIF('TL06'!$C$238:$C$451,$C117,'TL06'!$J$238:$J$451),0),
IF('TL07'!$B$3=K$3,SUMIF('TL07'!$C$10:$C$224,$C117,'TL07'!$J$10:$J$224),0),
IF('TL07'!$B$229=K$3,SUMIF('TL07'!$C$238:$C$451,$C117,'TL07'!$J$238:$J$451),0),
IF('TL08'!$B$3=K$3,SUMIF('TL08'!$C$10:$C$224,$C117,'TL08'!$J$10:$J$224),0),
IF('TL08'!$B$229=K$3,SUMIF('TL08'!$C$238:$C$451,$C117,'TL08'!$J$238:$J$451),0),
IF('TL09'!$B$3=K$3,SUMIF('TL09'!$C$10:$C$224,$C117,'TL09'!$J$10:$J$224),0),
IF('TL09'!$B$229=K$3,SUMIF('TL09'!$C$238:$C$451,$C117,'TL09'!$J$238:$J$451),0),
IF('TL10'!$B$3=K$3,SUMIF('TL10'!$C$10:$C$224,$C117,'TL10'!$J$10:$J$224),0),
IF('TL10'!$B$229=K$3,SUMIF('TL10'!$C$238:$C$451,$C117,'TL10'!$J$238:$J$451),0),
IF('TL11'!$B$3=K$3,SUMIF('TL11'!$C$10:$C$224,$C117,'TL11'!$J$10:$J$224),0),
IF('TL11'!$B$229=K$3,SUMIF('TL11'!$C$238:$C$451,$C117,'TL11'!$J$238:$J$451),0),
IF('TL12'!$B$3=K$3,SUMIF('TL12'!$C$10:$C$224,$C117,'TL12'!$J$10:$J$224),0),
IF('TL12'!$B$229=K$3,SUMIF('TL12'!$C$238:$C$451,$C117,'TL12'!$J$238:$J$451),0),
IF('TL13'!$B$3=K$3,SUMIF('TL13'!$C$10:$C$224,$C117,'TL13'!$J$10:$J$224),0),
IF('TL13'!$B$229=K$3,SUMIF('TL13'!$C$238:$C$451,$C117,'TL13'!$J$238:$J$451),0),
IF('TL14'!$B$3=K$3,SUMIF('TL14'!$C$10:$C$224,$C117,'TL14'!$J$10:$J$224),0),
IF('TL14'!$B$229=K$3,SUMIF('TL14'!$C$238:$C$451,$C117,'TL14'!$J$238:$J$451),0),
IF('TL15'!$B$3=K$3,SUMIF('TL15'!$C$10:$C$224,$C117,'TL15'!$J$10:$J$224),0),
IF('TL15'!$B$229=K$3,SUMIF('TL15'!$C$238:$C$451,$C117,'TL15'!$J$238:$J$451),0),
IF('TL16'!$B$3=K$3,SUMIF('TL16'!$C$10:$C$224,$C117,'TL16'!$J$10:$J$224),0),
IF('TL16'!$B$229=K$3,SUMIF('TL16'!$C$238:$C$451,$C117,'TL16'!$J$238:$J$451),0),
IF('TL17'!$B$3=K$3,SUMIF('TL17'!$C$10:$C$224,$C117,'TL17'!$J$10:$J$224),0),
IF('TL17'!$B$229=K$3,SUMIF('TL17'!$C$238:$C$451,$C117,'TL17'!$J$238:$J$451),0),
IF('TL18'!$B$3=K$3,SUMIF('TL18'!$C$10:$C$224,$C117,'TL18'!$J$10:$J$224),0),
IF('TL18'!$B$229=K$3,SUMIF('TL18'!$C$238:$C$451,$C117,'TL18'!$J$238:$J$451),0),
IF('TL19'!$B$3=K$3,SUMIF('TL19'!$C$10:$C$224,$C117,'TL19'!$J$10:$J$224),0),
IF('TL19'!$B$229=K$3,SUMIF('TL19'!$C$238:$C$451,$C117,'TL19'!$J$238:$J$451),0)
),0)</f>
        <v>0</v>
      </c>
      <c r="L117" s="9">
        <f>IFERROR(SUM(
IF('TL01'!$B$3=L$3,SUMIF('TL01'!$C$10:$C$224,$C117,'TL01'!$J$10:$J$224),0),
IF('TL01'!$B$229=L$3,SUMIF('TL01'!$C$238:$C$451,$C117,'TL01'!$J$238:$J$451),0),
IF('TL02'!$B$3=L$3,SUMIF('TL02'!$C$10:$C$224,$C117,'TL02'!$J$10:$J$224),0),
IF('TL02'!$B$229=L$3,SUMIF('TL02'!$C$238:$C$451,$C117,'TL02'!$J$238:$J$451),0),
IF('TL03'!$B$3=L$3,SUMIF('TL03'!$C$10:$C$224,$C117,'TL03'!$J$10:$J$224),0),
IF('TL03'!$B$229=L$3,SUMIF('TL03'!$C$238:$C$451,$C117,'TL03'!$J$238:$J$451),0),
IF('TL04'!$B$3=L$3,SUMIF('TL04'!$C$10:$C$224,$C117,'TL04'!$J$10:$J$224),0),
IF('TL04'!$B$229=L$3,SUMIF('TL04'!$C$238:$C$451,$C117,'TL04'!$J$238:$J$451),0),
IF('TL05'!$B$3=L$3,SUMIF('TL05'!$C$10:$C$224,$C117,'TL05'!$J$10:$J$224),0),
IF('TL05'!$B$229=L$3,SUMIF('TL05'!$C$238:$C$451,$C117,'TL05'!$J$238:$J$451),0),
IF('TL06'!$B$3=L$3,SUMIF('TL06'!$C$10:$C$224,$C117,'TL06'!$J$10:$J$224),0),
IF('TL06'!$B$229=L$3,SUMIF('TL06'!$C$238:$C$451,$C117,'TL06'!$J$238:$J$451),0),
IF('TL07'!$B$3=L$3,SUMIF('TL07'!$C$10:$C$224,$C117,'TL07'!$J$10:$J$224),0),
IF('TL07'!$B$229=L$3,SUMIF('TL07'!$C$238:$C$451,$C117,'TL07'!$J$238:$J$451),0),
IF('TL08'!$B$3=L$3,SUMIF('TL08'!$C$10:$C$224,$C117,'TL08'!$J$10:$J$224),0),
IF('TL08'!$B$229=L$3,SUMIF('TL08'!$C$238:$C$451,$C117,'TL08'!$J$238:$J$451),0),
IF('TL09'!$B$3=L$3,SUMIF('TL09'!$C$10:$C$224,$C117,'TL09'!$J$10:$J$224),0),
IF('TL09'!$B$229=L$3,SUMIF('TL09'!$C$238:$C$451,$C117,'TL09'!$J$238:$J$451),0),
IF('TL10'!$B$3=L$3,SUMIF('TL10'!$C$10:$C$224,$C117,'TL10'!$J$10:$J$224),0),
IF('TL10'!$B$229=L$3,SUMIF('TL10'!$C$238:$C$451,$C117,'TL10'!$J$238:$J$451),0),
IF('TL11'!$B$3=L$3,SUMIF('TL11'!$C$10:$C$224,$C117,'TL11'!$J$10:$J$224),0),
IF('TL11'!$B$229=L$3,SUMIF('TL11'!$C$238:$C$451,$C117,'TL11'!$J$238:$J$451),0),
IF('TL12'!$B$3=L$3,SUMIF('TL12'!$C$10:$C$224,$C117,'TL12'!$J$10:$J$224),0),
IF('TL12'!$B$229=L$3,SUMIF('TL12'!$C$238:$C$451,$C117,'TL12'!$J$238:$J$451),0),
IF('TL13'!$B$3=L$3,SUMIF('TL13'!$C$10:$C$224,$C117,'TL13'!$J$10:$J$224),0),
IF('TL13'!$B$229=L$3,SUMIF('TL13'!$C$238:$C$451,$C117,'TL13'!$J$238:$J$451),0),
IF('TL14'!$B$3=L$3,SUMIF('TL14'!$C$10:$C$224,$C117,'TL14'!$J$10:$J$224),0),
IF('TL14'!$B$229=L$3,SUMIF('TL14'!$C$238:$C$451,$C117,'TL14'!$J$238:$J$451),0),
IF('TL15'!$B$3=L$3,SUMIF('TL15'!$C$10:$C$224,$C117,'TL15'!$J$10:$J$224),0),
IF('TL15'!$B$229=L$3,SUMIF('TL15'!$C$238:$C$451,$C117,'TL15'!$J$238:$J$451),0),
IF('TL16'!$B$3=L$3,SUMIF('TL16'!$C$10:$C$224,$C117,'TL16'!$J$10:$J$224),0),
IF('TL16'!$B$229=L$3,SUMIF('TL16'!$C$238:$C$451,$C117,'TL16'!$J$238:$J$451),0),
IF('TL17'!$B$3=L$3,SUMIF('TL17'!$C$10:$C$224,$C117,'TL17'!$J$10:$J$224),0),
IF('TL17'!$B$229=L$3,SUMIF('TL17'!$C$238:$C$451,$C117,'TL17'!$J$238:$J$451),0),
IF('TL18'!$B$3=L$3,SUMIF('TL18'!$C$10:$C$224,$C117,'TL18'!$J$10:$J$224),0),
IF('TL18'!$B$229=L$3,SUMIF('TL18'!$C$238:$C$451,$C117,'TL18'!$J$238:$J$451),0),
IF('TL19'!$B$3=L$3,SUMIF('TL19'!$C$10:$C$224,$C117,'TL19'!$J$10:$J$224),0),
IF('TL19'!$B$229=L$3,SUMIF('TL19'!$C$238:$C$451,$C117,'TL19'!$J$238:$J$451),0)
),0)</f>
        <v>0</v>
      </c>
      <c r="M117" s="9">
        <f>IFERROR(SUM(
IF('TL01'!$B$3=M$3,SUMIF('TL01'!$C$10:$C$224,$C117,'TL01'!$J$10:$J$224),0),
IF('TL01'!$B$229=M$3,SUMIF('TL01'!$C$238:$C$451,$C117,'TL01'!$J$238:$J$451),0),
IF('TL02'!$B$3=M$3,SUMIF('TL02'!$C$10:$C$224,$C117,'TL02'!$J$10:$J$224),0),
IF('TL02'!$B$229=M$3,SUMIF('TL02'!$C$238:$C$451,$C117,'TL02'!$J$238:$J$451),0),
IF('TL03'!$B$3=M$3,SUMIF('TL03'!$C$10:$C$224,$C117,'TL03'!$J$10:$J$224),0),
IF('TL03'!$B$229=M$3,SUMIF('TL03'!$C$238:$C$451,$C117,'TL03'!$J$238:$J$451),0),
IF('TL04'!$B$3=M$3,SUMIF('TL04'!$C$10:$C$224,$C117,'TL04'!$J$10:$J$224),0),
IF('TL04'!$B$229=M$3,SUMIF('TL04'!$C$238:$C$451,$C117,'TL04'!$J$238:$J$451),0),
IF('TL05'!$B$3=M$3,SUMIF('TL05'!$C$10:$C$224,$C117,'TL05'!$J$10:$J$224),0),
IF('TL05'!$B$229=M$3,SUMIF('TL05'!$C$238:$C$451,$C117,'TL05'!$J$238:$J$451),0),
IF('TL06'!$B$3=M$3,SUMIF('TL06'!$C$10:$C$224,$C117,'TL06'!$J$10:$J$224),0),
IF('TL06'!$B$229=M$3,SUMIF('TL06'!$C$238:$C$451,$C117,'TL06'!$J$238:$J$451),0),
IF('TL07'!$B$3=M$3,SUMIF('TL07'!$C$10:$C$224,$C117,'TL07'!$J$10:$J$224),0),
IF('TL07'!$B$229=M$3,SUMIF('TL07'!$C$238:$C$451,$C117,'TL07'!$J$238:$J$451),0),
IF('TL08'!$B$3=M$3,SUMIF('TL08'!$C$10:$C$224,$C117,'TL08'!$J$10:$J$224),0),
IF('TL08'!$B$229=M$3,SUMIF('TL08'!$C$238:$C$451,$C117,'TL08'!$J$238:$J$451),0),
IF('TL09'!$B$3=M$3,SUMIF('TL09'!$C$10:$C$224,$C117,'TL09'!$J$10:$J$224),0),
IF('TL09'!$B$229=M$3,SUMIF('TL09'!$C$238:$C$451,$C117,'TL09'!$J$238:$J$451),0),
IF('TL10'!$B$3=M$3,SUMIF('TL10'!$C$10:$C$224,$C117,'TL10'!$J$10:$J$224),0),
IF('TL10'!$B$229=M$3,SUMIF('TL10'!$C$238:$C$451,$C117,'TL10'!$J$238:$J$451),0),
IF('TL11'!$B$3=M$3,SUMIF('TL11'!$C$10:$C$224,$C117,'TL11'!$J$10:$J$224),0),
IF('TL11'!$B$229=M$3,SUMIF('TL11'!$C$238:$C$451,$C117,'TL11'!$J$238:$J$451),0),
IF('TL12'!$B$3=M$3,SUMIF('TL12'!$C$10:$C$224,$C117,'TL12'!$J$10:$J$224),0),
IF('TL12'!$B$229=M$3,SUMIF('TL12'!$C$238:$C$451,$C117,'TL12'!$J$238:$J$451),0),
IF('TL13'!$B$3=M$3,SUMIF('TL13'!$C$10:$C$224,$C117,'TL13'!$J$10:$J$224),0),
IF('TL13'!$B$229=M$3,SUMIF('TL13'!$C$238:$C$451,$C117,'TL13'!$J$238:$J$451),0),
IF('TL14'!$B$3=M$3,SUMIF('TL14'!$C$10:$C$224,$C117,'TL14'!$J$10:$J$224),0),
IF('TL14'!$B$229=M$3,SUMIF('TL14'!$C$238:$C$451,$C117,'TL14'!$J$238:$J$451),0),
IF('TL15'!$B$3=M$3,SUMIF('TL15'!$C$10:$C$224,$C117,'TL15'!$J$10:$J$224),0),
IF('TL15'!$B$229=M$3,SUMIF('TL15'!$C$238:$C$451,$C117,'TL15'!$J$238:$J$451),0),
IF('TL16'!$B$3=M$3,SUMIF('TL16'!$C$10:$C$224,$C117,'TL16'!$J$10:$J$224),0),
IF('TL16'!$B$229=M$3,SUMIF('TL16'!$C$238:$C$451,$C117,'TL16'!$J$238:$J$451),0),
IF('TL17'!$B$3=M$3,SUMIF('TL17'!$C$10:$C$224,$C117,'TL17'!$J$10:$J$224),0),
IF('TL17'!$B$229=M$3,SUMIF('TL17'!$C$238:$C$451,$C117,'TL17'!$J$238:$J$451),0),
IF('TL18'!$B$3=M$3,SUMIF('TL18'!$C$10:$C$224,$C117,'TL18'!$J$10:$J$224),0),
IF('TL18'!$B$229=M$3,SUMIF('TL18'!$C$238:$C$451,$C117,'TL18'!$J$238:$J$451),0),
IF('TL19'!$B$3=M$3,SUMIF('TL19'!$C$10:$C$224,$C117,'TL19'!$J$10:$J$224),0),
IF('TL19'!$B$229=M$3,SUMIF('TL19'!$C$238:$C$451,$C117,'TL19'!$J$238:$J$451),0)
),0)</f>
        <v>0</v>
      </c>
      <c r="N117" s="9">
        <f>IFERROR(SUM(
IF('TL01'!$B$3=N$3,SUMIF('TL01'!$C$10:$C$224,$C117,'TL01'!$J$10:$J$224),0),
IF('TL01'!$B$229=N$3,SUMIF('TL01'!$C$238:$C$451,$C117,'TL01'!$J$238:$J$451),0),
IF('TL02'!$B$3=N$3,SUMIF('TL02'!$C$10:$C$224,$C117,'TL02'!$J$10:$J$224),0),
IF('TL02'!$B$229=N$3,SUMIF('TL02'!$C$238:$C$451,$C117,'TL02'!$J$238:$J$451),0),
IF('TL03'!$B$3=N$3,SUMIF('TL03'!$C$10:$C$224,$C117,'TL03'!$J$10:$J$224),0),
IF('TL03'!$B$229=N$3,SUMIF('TL03'!$C$238:$C$451,$C117,'TL03'!$J$238:$J$451),0),
IF('TL04'!$B$3=N$3,SUMIF('TL04'!$C$10:$C$224,$C117,'TL04'!$J$10:$J$224),0),
IF('TL04'!$B$229=N$3,SUMIF('TL04'!$C$238:$C$451,$C117,'TL04'!$J$238:$J$451),0),
IF('TL05'!$B$3=N$3,SUMIF('TL05'!$C$10:$C$224,$C117,'TL05'!$J$10:$J$224),0),
IF('TL05'!$B$229=N$3,SUMIF('TL05'!$C$238:$C$451,$C117,'TL05'!$J$238:$J$451),0),
IF('TL06'!$B$3=N$3,SUMIF('TL06'!$C$10:$C$224,$C117,'TL06'!$J$10:$J$224),0),
IF('TL06'!$B$229=N$3,SUMIF('TL06'!$C$238:$C$451,$C117,'TL06'!$J$238:$J$451),0),
IF('TL07'!$B$3=N$3,SUMIF('TL07'!$C$10:$C$224,$C117,'TL07'!$J$10:$J$224),0),
IF('TL07'!$B$229=N$3,SUMIF('TL07'!$C$238:$C$451,$C117,'TL07'!$J$238:$J$451),0),
IF('TL08'!$B$3=N$3,SUMIF('TL08'!$C$10:$C$224,$C117,'TL08'!$J$10:$J$224),0),
IF('TL08'!$B$229=N$3,SUMIF('TL08'!$C$238:$C$451,$C117,'TL08'!$J$238:$J$451),0),
IF('TL09'!$B$3=N$3,SUMIF('TL09'!$C$10:$C$224,$C117,'TL09'!$J$10:$J$224),0),
IF('TL09'!$B$229=N$3,SUMIF('TL09'!$C$238:$C$451,$C117,'TL09'!$J$238:$J$451),0),
IF('TL10'!$B$3=N$3,SUMIF('TL10'!$C$10:$C$224,$C117,'TL10'!$J$10:$J$224),0),
IF('TL10'!$B$229=N$3,SUMIF('TL10'!$C$238:$C$451,$C117,'TL10'!$J$238:$J$451),0),
IF('TL11'!$B$3=N$3,SUMIF('TL11'!$C$10:$C$224,$C117,'TL11'!$J$10:$J$224),0),
IF('TL11'!$B$229=N$3,SUMIF('TL11'!$C$238:$C$451,$C117,'TL11'!$J$238:$J$451),0),
IF('TL12'!$B$3=N$3,SUMIF('TL12'!$C$10:$C$224,$C117,'TL12'!$J$10:$J$224),0),
IF('TL12'!$B$229=N$3,SUMIF('TL12'!$C$238:$C$451,$C117,'TL12'!$J$238:$J$451),0),
IF('TL13'!$B$3=N$3,SUMIF('TL13'!$C$10:$C$224,$C117,'TL13'!$J$10:$J$224),0),
IF('TL13'!$B$229=N$3,SUMIF('TL13'!$C$238:$C$451,$C117,'TL13'!$J$238:$J$451),0),
IF('TL14'!$B$3=N$3,SUMIF('TL14'!$C$10:$C$224,$C117,'TL14'!$J$10:$J$224),0),
IF('TL14'!$B$229=N$3,SUMIF('TL14'!$C$238:$C$451,$C117,'TL14'!$J$238:$J$451),0),
IF('TL15'!$B$3=N$3,SUMIF('TL15'!$C$10:$C$224,$C117,'TL15'!$J$10:$J$224),0),
IF('TL15'!$B$229=N$3,SUMIF('TL15'!$C$238:$C$451,$C117,'TL15'!$J$238:$J$451),0),
IF('TL16'!$B$3=N$3,SUMIF('TL16'!$C$10:$C$224,$C117,'TL16'!$J$10:$J$224),0),
IF('TL16'!$B$229=N$3,SUMIF('TL16'!$C$238:$C$451,$C117,'TL16'!$J$238:$J$451),0),
IF('TL17'!$B$3=N$3,SUMIF('TL17'!$C$10:$C$224,$C117,'TL17'!$J$10:$J$224),0),
IF('TL17'!$B$229=N$3,SUMIF('TL17'!$C$238:$C$451,$C117,'TL17'!$J$238:$J$451),0),
IF('TL18'!$B$3=N$3,SUMIF('TL18'!$C$10:$C$224,$C117,'TL18'!$J$10:$J$224),0),
IF('TL18'!$B$229=N$3,SUMIF('TL18'!$C$238:$C$451,$C117,'TL18'!$J$238:$J$451),0),
IF('TL19'!$B$3=N$3,SUMIF('TL19'!$C$10:$C$224,$C117,'TL19'!$J$10:$J$224),0),
IF('TL19'!$B$229=N$3,SUMIF('TL19'!$C$238:$C$451,$C117,'TL19'!$J$238:$J$451),0)
),0)</f>
        <v>0</v>
      </c>
      <c r="O117" s="9">
        <f>IFERROR(SUM(
IF('TL01'!$B$3=O$3,SUMIF('TL01'!$C$10:$C$224,$C117,'TL01'!$J$10:$J$224),0),
IF('TL01'!$B$229=O$3,SUMIF('TL01'!$C$238:$C$451,$C117,'TL01'!$J$238:$J$451),0),
IF('TL02'!$B$3=O$3,SUMIF('TL02'!$C$10:$C$224,$C117,'TL02'!$J$10:$J$224),0),
IF('TL02'!$B$229=O$3,SUMIF('TL02'!$C$238:$C$451,$C117,'TL02'!$J$238:$J$451),0),
IF('TL03'!$B$3=O$3,SUMIF('TL03'!$C$10:$C$224,$C117,'TL03'!$J$10:$J$224),0),
IF('TL03'!$B$229=O$3,SUMIF('TL03'!$C$238:$C$451,$C117,'TL03'!$J$238:$J$451),0),
IF('TL04'!$B$3=O$3,SUMIF('TL04'!$C$10:$C$224,$C117,'TL04'!$J$10:$J$224),0),
IF('TL04'!$B$229=O$3,SUMIF('TL04'!$C$238:$C$451,$C117,'TL04'!$J$238:$J$451),0),
IF('TL05'!$B$3=O$3,SUMIF('TL05'!$C$10:$C$224,$C117,'TL05'!$J$10:$J$224),0),
IF('TL05'!$B$229=O$3,SUMIF('TL05'!$C$238:$C$451,$C117,'TL05'!$J$238:$J$451),0),
IF('TL06'!$B$3=O$3,SUMIF('TL06'!$C$10:$C$224,$C117,'TL06'!$J$10:$J$224),0),
IF('TL06'!$B$229=O$3,SUMIF('TL06'!$C$238:$C$451,$C117,'TL06'!$J$238:$J$451),0),
IF('TL07'!$B$3=O$3,SUMIF('TL07'!$C$10:$C$224,$C117,'TL07'!$J$10:$J$224),0),
IF('TL07'!$B$229=O$3,SUMIF('TL07'!$C$238:$C$451,$C117,'TL07'!$J$238:$J$451),0),
IF('TL08'!$B$3=O$3,SUMIF('TL08'!$C$10:$C$224,$C117,'TL08'!$J$10:$J$224),0),
IF('TL08'!$B$229=O$3,SUMIF('TL08'!$C$238:$C$451,$C117,'TL08'!$J$238:$J$451),0),
IF('TL09'!$B$3=O$3,SUMIF('TL09'!$C$10:$C$224,$C117,'TL09'!$J$10:$J$224),0),
IF('TL09'!$B$229=O$3,SUMIF('TL09'!$C$238:$C$451,$C117,'TL09'!$J$238:$J$451),0),
IF('TL10'!$B$3=O$3,SUMIF('TL10'!$C$10:$C$224,$C117,'TL10'!$J$10:$J$224),0),
IF('TL10'!$B$229=O$3,SUMIF('TL10'!$C$238:$C$451,$C117,'TL10'!$J$238:$J$451),0),
IF('TL11'!$B$3=O$3,SUMIF('TL11'!$C$10:$C$224,$C117,'TL11'!$J$10:$J$224),0),
IF('TL11'!$B$229=O$3,SUMIF('TL11'!$C$238:$C$451,$C117,'TL11'!$J$238:$J$451),0),
IF('TL12'!$B$3=O$3,SUMIF('TL12'!$C$10:$C$224,$C117,'TL12'!$J$10:$J$224),0),
IF('TL12'!$B$229=O$3,SUMIF('TL12'!$C$238:$C$451,$C117,'TL12'!$J$238:$J$451),0),
IF('TL13'!$B$3=O$3,SUMIF('TL13'!$C$10:$C$224,$C117,'TL13'!$J$10:$J$224),0),
IF('TL13'!$B$229=O$3,SUMIF('TL13'!$C$238:$C$451,$C117,'TL13'!$J$238:$J$451),0),
IF('TL14'!$B$3=O$3,SUMIF('TL14'!$C$10:$C$224,$C117,'TL14'!$J$10:$J$224),0),
IF('TL14'!$B$229=O$3,SUMIF('TL14'!$C$238:$C$451,$C117,'TL14'!$J$238:$J$451),0),
IF('TL15'!$B$3=O$3,SUMIF('TL15'!$C$10:$C$224,$C117,'TL15'!$J$10:$J$224),0),
IF('TL15'!$B$229=O$3,SUMIF('TL15'!$C$238:$C$451,$C117,'TL15'!$J$238:$J$451),0),
IF('TL16'!$B$3=O$3,SUMIF('TL16'!$C$10:$C$224,$C117,'TL16'!$J$10:$J$224),0),
IF('TL16'!$B$229=O$3,SUMIF('TL16'!$C$238:$C$451,$C117,'TL16'!$J$238:$J$451),0),
IF('TL17'!$B$3=O$3,SUMIF('TL17'!$C$10:$C$224,$C117,'TL17'!$J$10:$J$224),0),
IF('TL17'!$B$229=O$3,SUMIF('TL17'!$C$238:$C$451,$C117,'TL17'!$J$238:$J$451),0),
IF('TL18'!$B$3=O$3,SUMIF('TL18'!$C$10:$C$224,$C117,'TL18'!$J$10:$J$224),0),
IF('TL18'!$B$229=O$3,SUMIF('TL18'!$C$238:$C$451,$C117,'TL18'!$J$238:$J$451),0),
IF('TL19'!$B$3=O$3,SUMIF('TL19'!$C$10:$C$224,$C117,'TL19'!$J$10:$J$224),0),
IF('TL19'!$B$229=O$3,SUMIF('TL19'!$C$238:$C$451,$C117,'TL19'!$J$238:$J$451),0)
),0)</f>
        <v>0</v>
      </c>
      <c r="P117" s="9">
        <f>IFERROR(SUM(
IF('TL01'!$B$3=P$3,SUMIF('TL01'!$C$10:$C$224,$C117,'TL01'!$J$10:$J$224),0),
IF('TL01'!$B$229=P$3,SUMIF('TL01'!$C$238:$C$451,$C117,'TL01'!$J$238:$J$451),0),
IF('TL02'!$B$3=P$3,SUMIF('TL02'!$C$10:$C$224,$C117,'TL02'!$J$10:$J$224),0),
IF('TL02'!$B$229=P$3,SUMIF('TL02'!$C$238:$C$451,$C117,'TL02'!$J$238:$J$451),0),
IF('TL03'!$B$3=P$3,SUMIF('TL03'!$C$10:$C$224,$C117,'TL03'!$J$10:$J$224),0),
IF('TL03'!$B$229=P$3,SUMIF('TL03'!$C$238:$C$451,$C117,'TL03'!$J$238:$J$451),0),
IF('TL04'!$B$3=P$3,SUMIF('TL04'!$C$10:$C$224,$C117,'TL04'!$J$10:$J$224),0),
IF('TL04'!$B$229=P$3,SUMIF('TL04'!$C$238:$C$451,$C117,'TL04'!$J$238:$J$451),0),
IF('TL05'!$B$3=P$3,SUMIF('TL05'!$C$10:$C$224,$C117,'TL05'!$J$10:$J$224),0),
IF('TL05'!$B$229=P$3,SUMIF('TL05'!$C$238:$C$451,$C117,'TL05'!$J$238:$J$451),0),
IF('TL06'!$B$3=P$3,SUMIF('TL06'!$C$10:$C$224,$C117,'TL06'!$J$10:$J$224),0),
IF('TL06'!$B$229=P$3,SUMIF('TL06'!$C$238:$C$451,$C117,'TL06'!$J$238:$J$451),0),
IF('TL07'!$B$3=P$3,SUMIF('TL07'!$C$10:$C$224,$C117,'TL07'!$J$10:$J$224),0),
IF('TL07'!$B$229=P$3,SUMIF('TL07'!$C$238:$C$451,$C117,'TL07'!$J$238:$J$451),0),
IF('TL08'!$B$3=P$3,SUMIF('TL08'!$C$10:$C$224,$C117,'TL08'!$J$10:$J$224),0),
IF('TL08'!$B$229=P$3,SUMIF('TL08'!$C$238:$C$451,$C117,'TL08'!$J$238:$J$451),0),
IF('TL09'!$B$3=P$3,SUMIF('TL09'!$C$10:$C$224,$C117,'TL09'!$J$10:$J$224),0),
IF('TL09'!$B$229=P$3,SUMIF('TL09'!$C$238:$C$451,$C117,'TL09'!$J$238:$J$451),0),
IF('TL10'!$B$3=P$3,SUMIF('TL10'!$C$10:$C$224,$C117,'TL10'!$J$10:$J$224),0),
IF('TL10'!$B$229=P$3,SUMIF('TL10'!$C$238:$C$451,$C117,'TL10'!$J$238:$J$451),0),
IF('TL11'!$B$3=P$3,SUMIF('TL11'!$C$10:$C$224,$C117,'TL11'!$J$10:$J$224),0),
IF('TL11'!$B$229=P$3,SUMIF('TL11'!$C$238:$C$451,$C117,'TL11'!$J$238:$J$451),0),
IF('TL12'!$B$3=P$3,SUMIF('TL12'!$C$10:$C$224,$C117,'TL12'!$J$10:$J$224),0),
IF('TL12'!$B$229=P$3,SUMIF('TL12'!$C$238:$C$451,$C117,'TL12'!$J$238:$J$451),0),
IF('TL13'!$B$3=P$3,SUMIF('TL13'!$C$10:$C$224,$C117,'TL13'!$J$10:$J$224),0),
IF('TL13'!$B$229=P$3,SUMIF('TL13'!$C$238:$C$451,$C117,'TL13'!$J$238:$J$451),0),
IF('TL14'!$B$3=P$3,SUMIF('TL14'!$C$10:$C$224,$C117,'TL14'!$J$10:$J$224),0),
IF('TL14'!$B$229=P$3,SUMIF('TL14'!$C$238:$C$451,$C117,'TL14'!$J$238:$J$451),0),
IF('TL15'!$B$3=P$3,SUMIF('TL15'!$C$10:$C$224,$C117,'TL15'!$J$10:$J$224),0),
IF('TL15'!$B$229=P$3,SUMIF('TL15'!$C$238:$C$451,$C117,'TL15'!$J$238:$J$451),0),
IF('TL16'!$B$3=P$3,SUMIF('TL16'!$C$10:$C$224,$C117,'TL16'!$J$10:$J$224),0),
IF('TL16'!$B$229=P$3,SUMIF('TL16'!$C$238:$C$451,$C117,'TL16'!$J$238:$J$451),0),
IF('TL17'!$B$3=P$3,SUMIF('TL17'!$C$10:$C$224,$C117,'TL17'!$J$10:$J$224),0),
IF('TL17'!$B$229=P$3,SUMIF('TL17'!$C$238:$C$451,$C117,'TL17'!$J$238:$J$451),0),
IF('TL18'!$B$3=P$3,SUMIF('TL18'!$C$10:$C$224,$C117,'TL18'!$J$10:$J$224),0),
IF('TL18'!$B$229=P$3,SUMIF('TL18'!$C$238:$C$451,$C117,'TL18'!$J$238:$J$451),0),
IF('TL19'!$B$3=P$3,SUMIF('TL19'!$C$10:$C$224,$C117,'TL19'!$J$10:$J$224),0),
IF('TL19'!$B$229=P$3,SUMIF('TL19'!$C$238:$C$451,$C117,'TL19'!$J$238:$J$451),0)
),0)</f>
        <v>0</v>
      </c>
      <c r="Q117" s="9">
        <f>IFERROR(SUM(
IF('TL01'!$B$3=Q$3,SUMIF('TL01'!$C$10:$C$224,$C117,'TL01'!$J$10:$J$224),0),
IF('TL01'!$B$229=Q$3,SUMIF('TL01'!$C$238:$C$451,$C117,'TL01'!$J$238:$J$451),0),
IF('TL02'!$B$3=Q$3,SUMIF('TL02'!$C$10:$C$224,$C117,'TL02'!$J$10:$J$224),0),
IF('TL02'!$B$229=Q$3,SUMIF('TL02'!$C$238:$C$451,$C117,'TL02'!$J$238:$J$451),0),
IF('TL03'!$B$3=Q$3,SUMIF('TL03'!$C$10:$C$224,$C117,'TL03'!$J$10:$J$224),0),
IF('TL03'!$B$229=Q$3,SUMIF('TL03'!$C$238:$C$451,$C117,'TL03'!$J$238:$J$451),0),
IF('TL04'!$B$3=Q$3,SUMIF('TL04'!$C$10:$C$224,$C117,'TL04'!$J$10:$J$224),0),
IF('TL04'!$B$229=Q$3,SUMIF('TL04'!$C$238:$C$451,$C117,'TL04'!$J$238:$J$451),0),
IF('TL05'!$B$3=Q$3,SUMIF('TL05'!$C$10:$C$224,$C117,'TL05'!$J$10:$J$224),0),
IF('TL05'!$B$229=Q$3,SUMIF('TL05'!$C$238:$C$451,$C117,'TL05'!$J$238:$J$451),0),
IF('TL06'!$B$3=Q$3,SUMIF('TL06'!$C$10:$C$224,$C117,'TL06'!$J$10:$J$224),0),
IF('TL06'!$B$229=Q$3,SUMIF('TL06'!$C$238:$C$451,$C117,'TL06'!$J$238:$J$451),0),
IF('TL07'!$B$3=Q$3,SUMIF('TL07'!$C$10:$C$224,$C117,'TL07'!$J$10:$J$224),0),
IF('TL07'!$B$229=Q$3,SUMIF('TL07'!$C$238:$C$451,$C117,'TL07'!$J$238:$J$451),0),
IF('TL08'!$B$3=Q$3,SUMIF('TL08'!$C$10:$C$224,$C117,'TL08'!$J$10:$J$224),0),
IF('TL08'!$B$229=Q$3,SUMIF('TL08'!$C$238:$C$451,$C117,'TL08'!$J$238:$J$451),0),
IF('TL09'!$B$3=Q$3,SUMIF('TL09'!$C$10:$C$224,$C117,'TL09'!$J$10:$J$224),0),
IF('TL09'!$B$229=Q$3,SUMIF('TL09'!$C$238:$C$451,$C117,'TL09'!$J$238:$J$451),0),
IF('TL10'!$B$3=Q$3,SUMIF('TL10'!$C$10:$C$224,$C117,'TL10'!$J$10:$J$224),0),
IF('TL10'!$B$229=Q$3,SUMIF('TL10'!$C$238:$C$451,$C117,'TL10'!$J$238:$J$451),0),
IF('TL11'!$B$3=Q$3,SUMIF('TL11'!$C$10:$C$224,$C117,'TL11'!$J$10:$J$224),0),
IF('TL11'!$B$229=Q$3,SUMIF('TL11'!$C$238:$C$451,$C117,'TL11'!$J$238:$J$451),0),
IF('TL12'!$B$3=Q$3,SUMIF('TL12'!$C$10:$C$224,$C117,'TL12'!$J$10:$J$224),0),
IF('TL12'!$B$229=Q$3,SUMIF('TL12'!$C$238:$C$451,$C117,'TL12'!$J$238:$J$451),0),
IF('TL13'!$B$3=Q$3,SUMIF('TL13'!$C$10:$C$224,$C117,'TL13'!$J$10:$J$224),0),
IF('TL13'!$B$229=Q$3,SUMIF('TL13'!$C$238:$C$451,$C117,'TL13'!$J$238:$J$451),0),
IF('TL14'!$B$3=Q$3,SUMIF('TL14'!$C$10:$C$224,$C117,'TL14'!$J$10:$J$224),0),
IF('TL14'!$B$229=Q$3,SUMIF('TL14'!$C$238:$C$451,$C117,'TL14'!$J$238:$J$451),0),
IF('TL15'!$B$3=Q$3,SUMIF('TL15'!$C$10:$C$224,$C117,'TL15'!$J$10:$J$224),0),
IF('TL15'!$B$229=Q$3,SUMIF('TL15'!$C$238:$C$451,$C117,'TL15'!$J$238:$J$451),0),
IF('TL16'!$B$3=Q$3,SUMIF('TL16'!$C$10:$C$224,$C117,'TL16'!$J$10:$J$224),0),
IF('TL16'!$B$229=Q$3,SUMIF('TL16'!$C$238:$C$451,$C117,'TL16'!$J$238:$J$451),0),
IF('TL17'!$B$3=Q$3,SUMIF('TL17'!$C$10:$C$224,$C117,'TL17'!$J$10:$J$224),0),
IF('TL17'!$B$229=Q$3,SUMIF('TL17'!$C$238:$C$451,$C117,'TL17'!$J$238:$J$451),0),
IF('TL18'!$B$3=Q$3,SUMIF('TL18'!$C$10:$C$224,$C117,'TL18'!$J$10:$J$224),0),
IF('TL18'!$B$229=Q$3,SUMIF('TL18'!$C$238:$C$451,$C117,'TL18'!$J$238:$J$451),0),
IF('TL19'!$B$3=Q$3,SUMIF('TL19'!$C$10:$C$224,$C117,'TL19'!$J$10:$J$224),0),
IF('TL19'!$B$229=Q$3,SUMIF('TL19'!$C$238:$C$451,$C117,'TL19'!$J$238:$J$451),0)
),0)</f>
        <v>0</v>
      </c>
      <c r="R117" s="9">
        <f>IFERROR(
SUM(
SUMIF('TL01'!C:C,C117,'TL01'!J:J),
SUMIF('TL02'!C:C,C117,'TL02'!J:J),
SUMIF('TL03'!C:C,C117,'TL03'!J:J),
SUMIF('TL04'!C:C,C117,'TL04'!J:J),
SUMIF('TL05'!C:C,C117,'TL05'!J:J),
SUMIF('TL06'!C:C,C117,'TL06'!J:J),
SUMIF('TL07'!C:C,C117,'TL07'!J:J),
SUMIF('TL08'!C:C,C117,'TL08'!J:J),
SUMIF('TL09'!C:C,C117,'TL09'!J:J),
SUMIF('TL10'!C:C,C117,'TL10'!J:J),
SUMIF('TL11'!C:C,C117,'TL11'!J:J),
SUMIF('TL12'!C:C,C117,'TL12'!J:J),
SUMIF('TL13'!C:C,C117,'TL13'!J:J),
SUMIF('TL14'!C:C,C117,'TL14'!J:J),
SUMIF('TL15'!C:C,C117,'TL15'!J:J),
SUMIF('TL16'!C:C,C117,'TL16'!J:J),
SUMIF('TL17'!C:C,C117,'TL17'!J:J),
SUMIF('TL18'!C:C,C117,'TL18'!J:J),SUMIF('TL19'!C:C,C117,'TL19'!J:J))
,0)</f>
        <v>0</v>
      </c>
      <c r="S117" s="17">
        <f>IFERROR(__xludf.DUMMYFUNCTION("IFERROR(VLOOKUP(C117,
IMPORTRANGE(""1wULbzX32WdYsx-lj2U3uUNBBe2INVIRDtcK0d-Dvl90"",
""26-27!C:G""),
5,
FALSE),
"""")"),62.35945999999999)</f>
        <v>62.35946</v>
      </c>
      <c r="T117" s="9"/>
      <c r="U117" s="92">
        <f t="shared" si="2"/>
        <v>0</v>
      </c>
      <c r="V117" s="93">
        <f t="shared" si="3"/>
        <v>0</v>
      </c>
    </row>
    <row r="118" ht="15.75" hidden="1" customHeight="1">
      <c r="A118" s="115" t="s">
        <v>350</v>
      </c>
      <c r="B118" s="100" t="s">
        <v>1</v>
      </c>
      <c r="C118" s="116" t="s">
        <v>634</v>
      </c>
      <c r="D118" s="116" t="s">
        <v>635</v>
      </c>
      <c r="E118" s="116" t="s">
        <v>636</v>
      </c>
      <c r="F118" s="4" t="s">
        <v>343</v>
      </c>
      <c r="G118" s="90" t="str">
        <f t="shared" si="4"/>
        <v>📄 Ver bula</v>
      </c>
      <c r="H118" s="9">
        <f>IFERROR(__xludf.DUMMYFUNCTION("IFERROR(VLOOKUP(C118,
IMPORTRANGE(""1wULbzX32WdYsx-lj2U3uUNBBe2INVIRDtcK0d-Dvl90"",
""26-27!C:K""),
8,
FALSE),
"""")"),0.2)</f>
        <v>0.2</v>
      </c>
      <c r="I118" s="117" t="s">
        <v>373</v>
      </c>
      <c r="J118" s="9">
        <f>IFERROR(SUM(
IF('TL01'!$B$3=J$3,SUMIF('TL01'!$C$10:$C$224,$C118,'TL01'!$J$10:$J$224),0),
IF('TL01'!$B$229=J$3,SUMIF('TL01'!$C$238:$C$451,$C118,'TL01'!$J$238:$J$451),0),
IF('TL02'!$B$3=J$3,SUMIF('TL02'!$C$10:$C$224,$C118,'TL02'!$J$10:$J$224),0),
IF('TL02'!$B$229=J$3,SUMIF('TL02'!$C$238:$C$451,$C118,'TL02'!$J$238:$J$451),0),
IF('TL03'!$B$3=J$3,SUMIF('TL03'!$C$10:$C$224,$C118,'TL03'!$J$10:$J$224),0),
IF('TL03'!$B$229=J$3,SUMIF('TL03'!$C$238:$C$451,$C118,'TL03'!$J$238:$J$451),0),
IF('TL04'!$B$3=J$3,SUMIF('TL04'!$C$10:$C$224,$C118,'TL04'!$J$10:$J$224),0),
IF('TL04'!$B$229=J$3,SUMIF('TL04'!$C$238:$C$451,$C118,'TL04'!$J$238:$J$451),0),
IF('TL05'!$B$3=J$3,SUMIF('TL05'!$C$10:$C$224,$C118,'TL05'!$J$10:$J$224),0),
IF('TL05'!$B$229=J$3,SUMIF('TL05'!$C$238:$C$451,$C118,'TL05'!$J$238:$J$451),0),
IF('TL06'!$B$3=J$3,SUMIF('TL06'!$C$10:$C$224,$C118,'TL06'!$J$10:$J$224),0),
IF('TL06'!$B$229=J$3,SUMIF('TL06'!$C$238:$C$451,$C118,'TL06'!$J$238:$J$451),0),
IF('TL07'!$B$3=J$3,SUMIF('TL07'!$C$10:$C$224,$C118,'TL07'!$J$10:$J$224),0),
IF('TL07'!$B$229=J$3,SUMIF('TL07'!$C$238:$C$451,$C118,'TL07'!$J$238:$J$451),0),
IF('TL08'!$B$3=J$3,SUMIF('TL08'!$C$10:$C$224,$C118,'TL08'!$J$10:$J$224),0),
IF('TL08'!$B$229=J$3,SUMIF('TL08'!$C$238:$C$451,$C118,'TL08'!$J$238:$J$451),0),
IF('TL09'!$B$3=J$3,SUMIF('TL09'!$C$10:$C$224,$C118,'TL09'!$J$10:$J$224),0),
IF('TL09'!$B$229=J$3,SUMIF('TL09'!$C$238:$C$451,$C118,'TL09'!$J$238:$J$451),0),
IF('TL10'!$B$3=J$3,SUMIF('TL10'!$C$10:$C$224,$C118,'TL10'!$J$10:$J$224),0),
IF('TL10'!$B$229=J$3,SUMIF('TL10'!$C$238:$C$451,$C118,'TL10'!$J$238:$J$451),0),
IF('TL11'!$B$3=J$3,SUMIF('TL11'!$C$10:$C$224,$C118,'TL11'!$J$10:$J$224),0),
IF('TL11'!$B$229=J$3,SUMIF('TL11'!$C$238:$C$451,$C118,'TL11'!$J$238:$J$451),0),
IF('TL12'!$B$3=J$3,SUMIF('TL12'!$C$10:$C$224,$C118,'TL12'!$J$10:$J$224),0),
IF('TL12'!$B$229=J$3,SUMIF('TL12'!$C$238:$C$451,$C118,'TL12'!$J$238:$J$451),0),
IF('TL13'!$B$3=J$3,SUMIF('TL13'!$C$10:$C$224,$C118,'TL13'!$J$10:$J$224),0),
IF('TL13'!$B$229=J$3,SUMIF('TL13'!$C$238:$C$451,$C118,'TL13'!$J$238:$J$451),0),
IF('TL14'!$B$3=J$3,SUMIF('TL14'!$C$10:$C$224,$C118,'TL14'!$J$10:$J$224),0),
IF('TL14'!$B$229=J$3,SUMIF('TL14'!$C$238:$C$451,$C118,'TL14'!$J$238:$J$451),0),
IF('TL15'!$B$3=J$3,SUMIF('TL15'!$C$10:$C$224,$C118,'TL15'!$J$10:$J$224),0),
IF('TL15'!$B$229=J$3,SUMIF('TL15'!$C$238:$C$451,$C118,'TL15'!$J$238:$J$451),0),
IF('TL16'!$B$3=J$3,SUMIF('TL16'!$C$10:$C$224,$C118,'TL16'!$J$10:$J$224),0),
IF('TL16'!$B$229=J$3,SUMIF('TL16'!$C$238:$C$451,$C118,'TL16'!$J$238:$J$451),0),
IF('TL17'!$B$3=J$3,SUMIF('TL17'!$C$10:$C$224,$C118,'TL17'!$J$10:$J$224),0),
IF('TL17'!$B$229=J$3,SUMIF('TL17'!$C$238:$C$451,$C118,'TL17'!$J$238:$J$451),0),
IF('TL18'!$B$3=J$3,SUMIF('TL18'!$C$10:$C$224,$C118,'TL18'!$J$10:$J$224),0),
IF('TL18'!$B$229=J$3,SUMIF('TL18'!$C$238:$C$451,$C118,'TL18'!$J$238:$J$451),0),
IF('TL19'!$B$3=J$3,SUMIF('TL19'!$C$10:$C$224,$C118,'TL19'!$J$10:$J$224),0),
IF('TL19'!$B$229=J$3,SUMIF('TL19'!$C$238:$C$451,$C118,'TL19'!$J$238:$J$451),0)
),0)</f>
        <v>0</v>
      </c>
      <c r="K118" s="9">
        <f>IFERROR(SUM(
IF('TL01'!$B$3=K$3,SUMIF('TL01'!$C$10:$C$224,$C118,'TL01'!$J$10:$J$224),0),
IF('TL01'!$B$229=K$3,SUMIF('TL01'!$C$238:$C$451,$C118,'TL01'!$J$238:$J$451),0),
IF('TL02'!$B$3=K$3,SUMIF('TL02'!$C$10:$C$224,$C118,'TL02'!$J$10:$J$224),0),
IF('TL02'!$B$229=K$3,SUMIF('TL02'!$C$238:$C$451,$C118,'TL02'!$J$238:$J$451),0),
IF('TL03'!$B$3=K$3,SUMIF('TL03'!$C$10:$C$224,$C118,'TL03'!$J$10:$J$224),0),
IF('TL03'!$B$229=K$3,SUMIF('TL03'!$C$238:$C$451,$C118,'TL03'!$J$238:$J$451),0),
IF('TL04'!$B$3=K$3,SUMIF('TL04'!$C$10:$C$224,$C118,'TL04'!$J$10:$J$224),0),
IF('TL04'!$B$229=K$3,SUMIF('TL04'!$C$238:$C$451,$C118,'TL04'!$J$238:$J$451),0),
IF('TL05'!$B$3=K$3,SUMIF('TL05'!$C$10:$C$224,$C118,'TL05'!$J$10:$J$224),0),
IF('TL05'!$B$229=K$3,SUMIF('TL05'!$C$238:$C$451,$C118,'TL05'!$J$238:$J$451),0),
IF('TL06'!$B$3=K$3,SUMIF('TL06'!$C$10:$C$224,$C118,'TL06'!$J$10:$J$224),0),
IF('TL06'!$B$229=K$3,SUMIF('TL06'!$C$238:$C$451,$C118,'TL06'!$J$238:$J$451),0),
IF('TL07'!$B$3=K$3,SUMIF('TL07'!$C$10:$C$224,$C118,'TL07'!$J$10:$J$224),0),
IF('TL07'!$B$229=K$3,SUMIF('TL07'!$C$238:$C$451,$C118,'TL07'!$J$238:$J$451),0),
IF('TL08'!$B$3=K$3,SUMIF('TL08'!$C$10:$C$224,$C118,'TL08'!$J$10:$J$224),0),
IF('TL08'!$B$229=K$3,SUMIF('TL08'!$C$238:$C$451,$C118,'TL08'!$J$238:$J$451),0),
IF('TL09'!$B$3=K$3,SUMIF('TL09'!$C$10:$C$224,$C118,'TL09'!$J$10:$J$224),0),
IF('TL09'!$B$229=K$3,SUMIF('TL09'!$C$238:$C$451,$C118,'TL09'!$J$238:$J$451),0),
IF('TL10'!$B$3=K$3,SUMIF('TL10'!$C$10:$C$224,$C118,'TL10'!$J$10:$J$224),0),
IF('TL10'!$B$229=K$3,SUMIF('TL10'!$C$238:$C$451,$C118,'TL10'!$J$238:$J$451),0),
IF('TL11'!$B$3=K$3,SUMIF('TL11'!$C$10:$C$224,$C118,'TL11'!$J$10:$J$224),0),
IF('TL11'!$B$229=K$3,SUMIF('TL11'!$C$238:$C$451,$C118,'TL11'!$J$238:$J$451),0),
IF('TL12'!$B$3=K$3,SUMIF('TL12'!$C$10:$C$224,$C118,'TL12'!$J$10:$J$224),0),
IF('TL12'!$B$229=K$3,SUMIF('TL12'!$C$238:$C$451,$C118,'TL12'!$J$238:$J$451),0),
IF('TL13'!$B$3=K$3,SUMIF('TL13'!$C$10:$C$224,$C118,'TL13'!$J$10:$J$224),0),
IF('TL13'!$B$229=K$3,SUMIF('TL13'!$C$238:$C$451,$C118,'TL13'!$J$238:$J$451),0),
IF('TL14'!$B$3=K$3,SUMIF('TL14'!$C$10:$C$224,$C118,'TL14'!$J$10:$J$224),0),
IF('TL14'!$B$229=K$3,SUMIF('TL14'!$C$238:$C$451,$C118,'TL14'!$J$238:$J$451),0),
IF('TL15'!$B$3=K$3,SUMIF('TL15'!$C$10:$C$224,$C118,'TL15'!$J$10:$J$224),0),
IF('TL15'!$B$229=K$3,SUMIF('TL15'!$C$238:$C$451,$C118,'TL15'!$J$238:$J$451),0),
IF('TL16'!$B$3=K$3,SUMIF('TL16'!$C$10:$C$224,$C118,'TL16'!$J$10:$J$224),0),
IF('TL16'!$B$229=K$3,SUMIF('TL16'!$C$238:$C$451,$C118,'TL16'!$J$238:$J$451),0),
IF('TL17'!$B$3=K$3,SUMIF('TL17'!$C$10:$C$224,$C118,'TL17'!$J$10:$J$224),0),
IF('TL17'!$B$229=K$3,SUMIF('TL17'!$C$238:$C$451,$C118,'TL17'!$J$238:$J$451),0),
IF('TL18'!$B$3=K$3,SUMIF('TL18'!$C$10:$C$224,$C118,'TL18'!$J$10:$J$224),0),
IF('TL18'!$B$229=K$3,SUMIF('TL18'!$C$238:$C$451,$C118,'TL18'!$J$238:$J$451),0),
IF('TL19'!$B$3=K$3,SUMIF('TL19'!$C$10:$C$224,$C118,'TL19'!$J$10:$J$224),0),
IF('TL19'!$B$229=K$3,SUMIF('TL19'!$C$238:$C$451,$C118,'TL19'!$J$238:$J$451),0)
),0)</f>
        <v>0</v>
      </c>
      <c r="L118" s="9">
        <f>IFERROR(SUM(
IF('TL01'!$B$3=L$3,SUMIF('TL01'!$C$10:$C$224,$C118,'TL01'!$J$10:$J$224),0),
IF('TL01'!$B$229=L$3,SUMIF('TL01'!$C$238:$C$451,$C118,'TL01'!$J$238:$J$451),0),
IF('TL02'!$B$3=L$3,SUMIF('TL02'!$C$10:$C$224,$C118,'TL02'!$J$10:$J$224),0),
IF('TL02'!$B$229=L$3,SUMIF('TL02'!$C$238:$C$451,$C118,'TL02'!$J$238:$J$451),0),
IF('TL03'!$B$3=L$3,SUMIF('TL03'!$C$10:$C$224,$C118,'TL03'!$J$10:$J$224),0),
IF('TL03'!$B$229=L$3,SUMIF('TL03'!$C$238:$C$451,$C118,'TL03'!$J$238:$J$451),0),
IF('TL04'!$B$3=L$3,SUMIF('TL04'!$C$10:$C$224,$C118,'TL04'!$J$10:$J$224),0),
IF('TL04'!$B$229=L$3,SUMIF('TL04'!$C$238:$C$451,$C118,'TL04'!$J$238:$J$451),0),
IF('TL05'!$B$3=L$3,SUMIF('TL05'!$C$10:$C$224,$C118,'TL05'!$J$10:$J$224),0),
IF('TL05'!$B$229=L$3,SUMIF('TL05'!$C$238:$C$451,$C118,'TL05'!$J$238:$J$451),0),
IF('TL06'!$B$3=L$3,SUMIF('TL06'!$C$10:$C$224,$C118,'TL06'!$J$10:$J$224),0),
IF('TL06'!$B$229=L$3,SUMIF('TL06'!$C$238:$C$451,$C118,'TL06'!$J$238:$J$451),0),
IF('TL07'!$B$3=L$3,SUMIF('TL07'!$C$10:$C$224,$C118,'TL07'!$J$10:$J$224),0),
IF('TL07'!$B$229=L$3,SUMIF('TL07'!$C$238:$C$451,$C118,'TL07'!$J$238:$J$451),0),
IF('TL08'!$B$3=L$3,SUMIF('TL08'!$C$10:$C$224,$C118,'TL08'!$J$10:$J$224),0),
IF('TL08'!$B$229=L$3,SUMIF('TL08'!$C$238:$C$451,$C118,'TL08'!$J$238:$J$451),0),
IF('TL09'!$B$3=L$3,SUMIF('TL09'!$C$10:$C$224,$C118,'TL09'!$J$10:$J$224),0),
IF('TL09'!$B$229=L$3,SUMIF('TL09'!$C$238:$C$451,$C118,'TL09'!$J$238:$J$451),0),
IF('TL10'!$B$3=L$3,SUMIF('TL10'!$C$10:$C$224,$C118,'TL10'!$J$10:$J$224),0),
IF('TL10'!$B$229=L$3,SUMIF('TL10'!$C$238:$C$451,$C118,'TL10'!$J$238:$J$451),0),
IF('TL11'!$B$3=L$3,SUMIF('TL11'!$C$10:$C$224,$C118,'TL11'!$J$10:$J$224),0),
IF('TL11'!$B$229=L$3,SUMIF('TL11'!$C$238:$C$451,$C118,'TL11'!$J$238:$J$451),0),
IF('TL12'!$B$3=L$3,SUMIF('TL12'!$C$10:$C$224,$C118,'TL12'!$J$10:$J$224),0),
IF('TL12'!$B$229=L$3,SUMIF('TL12'!$C$238:$C$451,$C118,'TL12'!$J$238:$J$451),0),
IF('TL13'!$B$3=L$3,SUMIF('TL13'!$C$10:$C$224,$C118,'TL13'!$J$10:$J$224),0),
IF('TL13'!$B$229=L$3,SUMIF('TL13'!$C$238:$C$451,$C118,'TL13'!$J$238:$J$451),0),
IF('TL14'!$B$3=L$3,SUMIF('TL14'!$C$10:$C$224,$C118,'TL14'!$J$10:$J$224),0),
IF('TL14'!$B$229=L$3,SUMIF('TL14'!$C$238:$C$451,$C118,'TL14'!$J$238:$J$451),0),
IF('TL15'!$B$3=L$3,SUMIF('TL15'!$C$10:$C$224,$C118,'TL15'!$J$10:$J$224),0),
IF('TL15'!$B$229=L$3,SUMIF('TL15'!$C$238:$C$451,$C118,'TL15'!$J$238:$J$451),0),
IF('TL16'!$B$3=L$3,SUMIF('TL16'!$C$10:$C$224,$C118,'TL16'!$J$10:$J$224),0),
IF('TL16'!$B$229=L$3,SUMIF('TL16'!$C$238:$C$451,$C118,'TL16'!$J$238:$J$451),0),
IF('TL17'!$B$3=L$3,SUMIF('TL17'!$C$10:$C$224,$C118,'TL17'!$J$10:$J$224),0),
IF('TL17'!$B$229=L$3,SUMIF('TL17'!$C$238:$C$451,$C118,'TL17'!$J$238:$J$451),0),
IF('TL18'!$B$3=L$3,SUMIF('TL18'!$C$10:$C$224,$C118,'TL18'!$J$10:$J$224),0),
IF('TL18'!$B$229=L$3,SUMIF('TL18'!$C$238:$C$451,$C118,'TL18'!$J$238:$J$451),0),
IF('TL19'!$B$3=L$3,SUMIF('TL19'!$C$10:$C$224,$C118,'TL19'!$J$10:$J$224),0),
IF('TL19'!$B$229=L$3,SUMIF('TL19'!$C$238:$C$451,$C118,'TL19'!$J$238:$J$451),0)
),0)</f>
        <v>0</v>
      </c>
      <c r="M118" s="9">
        <f>IFERROR(SUM(
IF('TL01'!$B$3=M$3,SUMIF('TL01'!$C$10:$C$224,$C118,'TL01'!$J$10:$J$224),0),
IF('TL01'!$B$229=M$3,SUMIF('TL01'!$C$238:$C$451,$C118,'TL01'!$J$238:$J$451),0),
IF('TL02'!$B$3=M$3,SUMIF('TL02'!$C$10:$C$224,$C118,'TL02'!$J$10:$J$224),0),
IF('TL02'!$B$229=M$3,SUMIF('TL02'!$C$238:$C$451,$C118,'TL02'!$J$238:$J$451),0),
IF('TL03'!$B$3=M$3,SUMIF('TL03'!$C$10:$C$224,$C118,'TL03'!$J$10:$J$224),0),
IF('TL03'!$B$229=M$3,SUMIF('TL03'!$C$238:$C$451,$C118,'TL03'!$J$238:$J$451),0),
IF('TL04'!$B$3=M$3,SUMIF('TL04'!$C$10:$C$224,$C118,'TL04'!$J$10:$J$224),0),
IF('TL04'!$B$229=M$3,SUMIF('TL04'!$C$238:$C$451,$C118,'TL04'!$J$238:$J$451),0),
IF('TL05'!$B$3=M$3,SUMIF('TL05'!$C$10:$C$224,$C118,'TL05'!$J$10:$J$224),0),
IF('TL05'!$B$229=M$3,SUMIF('TL05'!$C$238:$C$451,$C118,'TL05'!$J$238:$J$451),0),
IF('TL06'!$B$3=M$3,SUMIF('TL06'!$C$10:$C$224,$C118,'TL06'!$J$10:$J$224),0),
IF('TL06'!$B$229=M$3,SUMIF('TL06'!$C$238:$C$451,$C118,'TL06'!$J$238:$J$451),0),
IF('TL07'!$B$3=M$3,SUMIF('TL07'!$C$10:$C$224,$C118,'TL07'!$J$10:$J$224),0),
IF('TL07'!$B$229=M$3,SUMIF('TL07'!$C$238:$C$451,$C118,'TL07'!$J$238:$J$451),0),
IF('TL08'!$B$3=M$3,SUMIF('TL08'!$C$10:$C$224,$C118,'TL08'!$J$10:$J$224),0),
IF('TL08'!$B$229=M$3,SUMIF('TL08'!$C$238:$C$451,$C118,'TL08'!$J$238:$J$451),0),
IF('TL09'!$B$3=M$3,SUMIF('TL09'!$C$10:$C$224,$C118,'TL09'!$J$10:$J$224),0),
IF('TL09'!$B$229=M$3,SUMIF('TL09'!$C$238:$C$451,$C118,'TL09'!$J$238:$J$451),0),
IF('TL10'!$B$3=M$3,SUMIF('TL10'!$C$10:$C$224,$C118,'TL10'!$J$10:$J$224),0),
IF('TL10'!$B$229=M$3,SUMIF('TL10'!$C$238:$C$451,$C118,'TL10'!$J$238:$J$451),0),
IF('TL11'!$B$3=M$3,SUMIF('TL11'!$C$10:$C$224,$C118,'TL11'!$J$10:$J$224),0),
IF('TL11'!$B$229=M$3,SUMIF('TL11'!$C$238:$C$451,$C118,'TL11'!$J$238:$J$451),0),
IF('TL12'!$B$3=M$3,SUMIF('TL12'!$C$10:$C$224,$C118,'TL12'!$J$10:$J$224),0),
IF('TL12'!$B$229=M$3,SUMIF('TL12'!$C$238:$C$451,$C118,'TL12'!$J$238:$J$451),0),
IF('TL13'!$B$3=M$3,SUMIF('TL13'!$C$10:$C$224,$C118,'TL13'!$J$10:$J$224),0),
IF('TL13'!$B$229=M$3,SUMIF('TL13'!$C$238:$C$451,$C118,'TL13'!$J$238:$J$451),0),
IF('TL14'!$B$3=M$3,SUMIF('TL14'!$C$10:$C$224,$C118,'TL14'!$J$10:$J$224),0),
IF('TL14'!$B$229=M$3,SUMIF('TL14'!$C$238:$C$451,$C118,'TL14'!$J$238:$J$451),0),
IF('TL15'!$B$3=M$3,SUMIF('TL15'!$C$10:$C$224,$C118,'TL15'!$J$10:$J$224),0),
IF('TL15'!$B$229=M$3,SUMIF('TL15'!$C$238:$C$451,$C118,'TL15'!$J$238:$J$451),0),
IF('TL16'!$B$3=M$3,SUMIF('TL16'!$C$10:$C$224,$C118,'TL16'!$J$10:$J$224),0),
IF('TL16'!$B$229=M$3,SUMIF('TL16'!$C$238:$C$451,$C118,'TL16'!$J$238:$J$451),0),
IF('TL17'!$B$3=M$3,SUMIF('TL17'!$C$10:$C$224,$C118,'TL17'!$J$10:$J$224),0),
IF('TL17'!$B$229=M$3,SUMIF('TL17'!$C$238:$C$451,$C118,'TL17'!$J$238:$J$451),0),
IF('TL18'!$B$3=M$3,SUMIF('TL18'!$C$10:$C$224,$C118,'TL18'!$J$10:$J$224),0),
IF('TL18'!$B$229=M$3,SUMIF('TL18'!$C$238:$C$451,$C118,'TL18'!$J$238:$J$451),0),
IF('TL19'!$B$3=M$3,SUMIF('TL19'!$C$10:$C$224,$C118,'TL19'!$J$10:$J$224),0),
IF('TL19'!$B$229=M$3,SUMIF('TL19'!$C$238:$C$451,$C118,'TL19'!$J$238:$J$451),0)
),0)</f>
        <v>0</v>
      </c>
      <c r="N118" s="9">
        <f>IFERROR(SUM(
IF('TL01'!$B$3=N$3,SUMIF('TL01'!$C$10:$C$224,$C118,'TL01'!$J$10:$J$224),0),
IF('TL01'!$B$229=N$3,SUMIF('TL01'!$C$238:$C$451,$C118,'TL01'!$J$238:$J$451),0),
IF('TL02'!$B$3=N$3,SUMIF('TL02'!$C$10:$C$224,$C118,'TL02'!$J$10:$J$224),0),
IF('TL02'!$B$229=N$3,SUMIF('TL02'!$C$238:$C$451,$C118,'TL02'!$J$238:$J$451),0),
IF('TL03'!$B$3=N$3,SUMIF('TL03'!$C$10:$C$224,$C118,'TL03'!$J$10:$J$224),0),
IF('TL03'!$B$229=N$3,SUMIF('TL03'!$C$238:$C$451,$C118,'TL03'!$J$238:$J$451),0),
IF('TL04'!$B$3=N$3,SUMIF('TL04'!$C$10:$C$224,$C118,'TL04'!$J$10:$J$224),0),
IF('TL04'!$B$229=N$3,SUMIF('TL04'!$C$238:$C$451,$C118,'TL04'!$J$238:$J$451),0),
IF('TL05'!$B$3=N$3,SUMIF('TL05'!$C$10:$C$224,$C118,'TL05'!$J$10:$J$224),0),
IF('TL05'!$B$229=N$3,SUMIF('TL05'!$C$238:$C$451,$C118,'TL05'!$J$238:$J$451),0),
IF('TL06'!$B$3=N$3,SUMIF('TL06'!$C$10:$C$224,$C118,'TL06'!$J$10:$J$224),0),
IF('TL06'!$B$229=N$3,SUMIF('TL06'!$C$238:$C$451,$C118,'TL06'!$J$238:$J$451),0),
IF('TL07'!$B$3=N$3,SUMIF('TL07'!$C$10:$C$224,$C118,'TL07'!$J$10:$J$224),0),
IF('TL07'!$B$229=N$3,SUMIF('TL07'!$C$238:$C$451,$C118,'TL07'!$J$238:$J$451),0),
IF('TL08'!$B$3=N$3,SUMIF('TL08'!$C$10:$C$224,$C118,'TL08'!$J$10:$J$224),0),
IF('TL08'!$B$229=N$3,SUMIF('TL08'!$C$238:$C$451,$C118,'TL08'!$J$238:$J$451),0),
IF('TL09'!$B$3=N$3,SUMIF('TL09'!$C$10:$C$224,$C118,'TL09'!$J$10:$J$224),0),
IF('TL09'!$B$229=N$3,SUMIF('TL09'!$C$238:$C$451,$C118,'TL09'!$J$238:$J$451),0),
IF('TL10'!$B$3=N$3,SUMIF('TL10'!$C$10:$C$224,$C118,'TL10'!$J$10:$J$224),0),
IF('TL10'!$B$229=N$3,SUMIF('TL10'!$C$238:$C$451,$C118,'TL10'!$J$238:$J$451),0),
IF('TL11'!$B$3=N$3,SUMIF('TL11'!$C$10:$C$224,$C118,'TL11'!$J$10:$J$224),0),
IF('TL11'!$B$229=N$3,SUMIF('TL11'!$C$238:$C$451,$C118,'TL11'!$J$238:$J$451),0),
IF('TL12'!$B$3=N$3,SUMIF('TL12'!$C$10:$C$224,$C118,'TL12'!$J$10:$J$224),0),
IF('TL12'!$B$229=N$3,SUMIF('TL12'!$C$238:$C$451,$C118,'TL12'!$J$238:$J$451),0),
IF('TL13'!$B$3=N$3,SUMIF('TL13'!$C$10:$C$224,$C118,'TL13'!$J$10:$J$224),0),
IF('TL13'!$B$229=N$3,SUMIF('TL13'!$C$238:$C$451,$C118,'TL13'!$J$238:$J$451),0),
IF('TL14'!$B$3=N$3,SUMIF('TL14'!$C$10:$C$224,$C118,'TL14'!$J$10:$J$224),0),
IF('TL14'!$B$229=N$3,SUMIF('TL14'!$C$238:$C$451,$C118,'TL14'!$J$238:$J$451),0),
IF('TL15'!$B$3=N$3,SUMIF('TL15'!$C$10:$C$224,$C118,'TL15'!$J$10:$J$224),0),
IF('TL15'!$B$229=N$3,SUMIF('TL15'!$C$238:$C$451,$C118,'TL15'!$J$238:$J$451),0),
IF('TL16'!$B$3=N$3,SUMIF('TL16'!$C$10:$C$224,$C118,'TL16'!$J$10:$J$224),0),
IF('TL16'!$B$229=N$3,SUMIF('TL16'!$C$238:$C$451,$C118,'TL16'!$J$238:$J$451),0),
IF('TL17'!$B$3=N$3,SUMIF('TL17'!$C$10:$C$224,$C118,'TL17'!$J$10:$J$224),0),
IF('TL17'!$B$229=N$3,SUMIF('TL17'!$C$238:$C$451,$C118,'TL17'!$J$238:$J$451),0),
IF('TL18'!$B$3=N$3,SUMIF('TL18'!$C$10:$C$224,$C118,'TL18'!$J$10:$J$224),0),
IF('TL18'!$B$229=N$3,SUMIF('TL18'!$C$238:$C$451,$C118,'TL18'!$J$238:$J$451),0),
IF('TL19'!$B$3=N$3,SUMIF('TL19'!$C$10:$C$224,$C118,'TL19'!$J$10:$J$224),0),
IF('TL19'!$B$229=N$3,SUMIF('TL19'!$C$238:$C$451,$C118,'TL19'!$J$238:$J$451),0)
),0)</f>
        <v>0</v>
      </c>
      <c r="O118" s="9">
        <f>IFERROR(SUM(
IF('TL01'!$B$3=O$3,SUMIF('TL01'!$C$10:$C$224,$C118,'TL01'!$J$10:$J$224),0),
IF('TL01'!$B$229=O$3,SUMIF('TL01'!$C$238:$C$451,$C118,'TL01'!$J$238:$J$451),0),
IF('TL02'!$B$3=O$3,SUMIF('TL02'!$C$10:$C$224,$C118,'TL02'!$J$10:$J$224),0),
IF('TL02'!$B$229=O$3,SUMIF('TL02'!$C$238:$C$451,$C118,'TL02'!$J$238:$J$451),0),
IF('TL03'!$B$3=O$3,SUMIF('TL03'!$C$10:$C$224,$C118,'TL03'!$J$10:$J$224),0),
IF('TL03'!$B$229=O$3,SUMIF('TL03'!$C$238:$C$451,$C118,'TL03'!$J$238:$J$451),0),
IF('TL04'!$B$3=O$3,SUMIF('TL04'!$C$10:$C$224,$C118,'TL04'!$J$10:$J$224),0),
IF('TL04'!$B$229=O$3,SUMIF('TL04'!$C$238:$C$451,$C118,'TL04'!$J$238:$J$451),0),
IF('TL05'!$B$3=O$3,SUMIF('TL05'!$C$10:$C$224,$C118,'TL05'!$J$10:$J$224),0),
IF('TL05'!$B$229=O$3,SUMIF('TL05'!$C$238:$C$451,$C118,'TL05'!$J$238:$J$451),0),
IF('TL06'!$B$3=O$3,SUMIF('TL06'!$C$10:$C$224,$C118,'TL06'!$J$10:$J$224),0),
IF('TL06'!$B$229=O$3,SUMIF('TL06'!$C$238:$C$451,$C118,'TL06'!$J$238:$J$451),0),
IF('TL07'!$B$3=O$3,SUMIF('TL07'!$C$10:$C$224,$C118,'TL07'!$J$10:$J$224),0),
IF('TL07'!$B$229=O$3,SUMIF('TL07'!$C$238:$C$451,$C118,'TL07'!$J$238:$J$451),0),
IF('TL08'!$B$3=O$3,SUMIF('TL08'!$C$10:$C$224,$C118,'TL08'!$J$10:$J$224),0),
IF('TL08'!$B$229=O$3,SUMIF('TL08'!$C$238:$C$451,$C118,'TL08'!$J$238:$J$451),0),
IF('TL09'!$B$3=O$3,SUMIF('TL09'!$C$10:$C$224,$C118,'TL09'!$J$10:$J$224),0),
IF('TL09'!$B$229=O$3,SUMIF('TL09'!$C$238:$C$451,$C118,'TL09'!$J$238:$J$451),0),
IF('TL10'!$B$3=O$3,SUMIF('TL10'!$C$10:$C$224,$C118,'TL10'!$J$10:$J$224),0),
IF('TL10'!$B$229=O$3,SUMIF('TL10'!$C$238:$C$451,$C118,'TL10'!$J$238:$J$451),0),
IF('TL11'!$B$3=O$3,SUMIF('TL11'!$C$10:$C$224,$C118,'TL11'!$J$10:$J$224),0),
IF('TL11'!$B$229=O$3,SUMIF('TL11'!$C$238:$C$451,$C118,'TL11'!$J$238:$J$451),0),
IF('TL12'!$B$3=O$3,SUMIF('TL12'!$C$10:$C$224,$C118,'TL12'!$J$10:$J$224),0),
IF('TL12'!$B$229=O$3,SUMIF('TL12'!$C$238:$C$451,$C118,'TL12'!$J$238:$J$451),0),
IF('TL13'!$B$3=O$3,SUMIF('TL13'!$C$10:$C$224,$C118,'TL13'!$J$10:$J$224),0),
IF('TL13'!$B$229=O$3,SUMIF('TL13'!$C$238:$C$451,$C118,'TL13'!$J$238:$J$451),0),
IF('TL14'!$B$3=O$3,SUMIF('TL14'!$C$10:$C$224,$C118,'TL14'!$J$10:$J$224),0),
IF('TL14'!$B$229=O$3,SUMIF('TL14'!$C$238:$C$451,$C118,'TL14'!$J$238:$J$451),0),
IF('TL15'!$B$3=O$3,SUMIF('TL15'!$C$10:$C$224,$C118,'TL15'!$J$10:$J$224),0),
IF('TL15'!$B$229=O$3,SUMIF('TL15'!$C$238:$C$451,$C118,'TL15'!$J$238:$J$451),0),
IF('TL16'!$B$3=O$3,SUMIF('TL16'!$C$10:$C$224,$C118,'TL16'!$J$10:$J$224),0),
IF('TL16'!$B$229=O$3,SUMIF('TL16'!$C$238:$C$451,$C118,'TL16'!$J$238:$J$451),0),
IF('TL17'!$B$3=O$3,SUMIF('TL17'!$C$10:$C$224,$C118,'TL17'!$J$10:$J$224),0),
IF('TL17'!$B$229=O$3,SUMIF('TL17'!$C$238:$C$451,$C118,'TL17'!$J$238:$J$451),0),
IF('TL18'!$B$3=O$3,SUMIF('TL18'!$C$10:$C$224,$C118,'TL18'!$J$10:$J$224),0),
IF('TL18'!$B$229=O$3,SUMIF('TL18'!$C$238:$C$451,$C118,'TL18'!$J$238:$J$451),0),
IF('TL19'!$B$3=O$3,SUMIF('TL19'!$C$10:$C$224,$C118,'TL19'!$J$10:$J$224),0),
IF('TL19'!$B$229=O$3,SUMIF('TL19'!$C$238:$C$451,$C118,'TL19'!$J$238:$J$451),0)
),0)</f>
        <v>0</v>
      </c>
      <c r="P118" s="9">
        <f>IFERROR(SUM(
IF('TL01'!$B$3=P$3,SUMIF('TL01'!$C$10:$C$224,$C118,'TL01'!$J$10:$J$224),0),
IF('TL01'!$B$229=P$3,SUMIF('TL01'!$C$238:$C$451,$C118,'TL01'!$J$238:$J$451),0),
IF('TL02'!$B$3=P$3,SUMIF('TL02'!$C$10:$C$224,$C118,'TL02'!$J$10:$J$224),0),
IF('TL02'!$B$229=P$3,SUMIF('TL02'!$C$238:$C$451,$C118,'TL02'!$J$238:$J$451),0),
IF('TL03'!$B$3=P$3,SUMIF('TL03'!$C$10:$C$224,$C118,'TL03'!$J$10:$J$224),0),
IF('TL03'!$B$229=P$3,SUMIF('TL03'!$C$238:$C$451,$C118,'TL03'!$J$238:$J$451),0),
IF('TL04'!$B$3=P$3,SUMIF('TL04'!$C$10:$C$224,$C118,'TL04'!$J$10:$J$224),0),
IF('TL04'!$B$229=P$3,SUMIF('TL04'!$C$238:$C$451,$C118,'TL04'!$J$238:$J$451),0),
IF('TL05'!$B$3=P$3,SUMIF('TL05'!$C$10:$C$224,$C118,'TL05'!$J$10:$J$224),0),
IF('TL05'!$B$229=P$3,SUMIF('TL05'!$C$238:$C$451,$C118,'TL05'!$J$238:$J$451),0),
IF('TL06'!$B$3=P$3,SUMIF('TL06'!$C$10:$C$224,$C118,'TL06'!$J$10:$J$224),0),
IF('TL06'!$B$229=P$3,SUMIF('TL06'!$C$238:$C$451,$C118,'TL06'!$J$238:$J$451),0),
IF('TL07'!$B$3=P$3,SUMIF('TL07'!$C$10:$C$224,$C118,'TL07'!$J$10:$J$224),0),
IF('TL07'!$B$229=P$3,SUMIF('TL07'!$C$238:$C$451,$C118,'TL07'!$J$238:$J$451),0),
IF('TL08'!$B$3=P$3,SUMIF('TL08'!$C$10:$C$224,$C118,'TL08'!$J$10:$J$224),0),
IF('TL08'!$B$229=P$3,SUMIF('TL08'!$C$238:$C$451,$C118,'TL08'!$J$238:$J$451),0),
IF('TL09'!$B$3=P$3,SUMIF('TL09'!$C$10:$C$224,$C118,'TL09'!$J$10:$J$224),0),
IF('TL09'!$B$229=P$3,SUMIF('TL09'!$C$238:$C$451,$C118,'TL09'!$J$238:$J$451),0),
IF('TL10'!$B$3=P$3,SUMIF('TL10'!$C$10:$C$224,$C118,'TL10'!$J$10:$J$224),0),
IF('TL10'!$B$229=P$3,SUMIF('TL10'!$C$238:$C$451,$C118,'TL10'!$J$238:$J$451),0),
IF('TL11'!$B$3=P$3,SUMIF('TL11'!$C$10:$C$224,$C118,'TL11'!$J$10:$J$224),0),
IF('TL11'!$B$229=P$3,SUMIF('TL11'!$C$238:$C$451,$C118,'TL11'!$J$238:$J$451),0),
IF('TL12'!$B$3=P$3,SUMIF('TL12'!$C$10:$C$224,$C118,'TL12'!$J$10:$J$224),0),
IF('TL12'!$B$229=P$3,SUMIF('TL12'!$C$238:$C$451,$C118,'TL12'!$J$238:$J$451),0),
IF('TL13'!$B$3=P$3,SUMIF('TL13'!$C$10:$C$224,$C118,'TL13'!$J$10:$J$224),0),
IF('TL13'!$B$229=P$3,SUMIF('TL13'!$C$238:$C$451,$C118,'TL13'!$J$238:$J$451),0),
IF('TL14'!$B$3=P$3,SUMIF('TL14'!$C$10:$C$224,$C118,'TL14'!$J$10:$J$224),0),
IF('TL14'!$B$229=P$3,SUMIF('TL14'!$C$238:$C$451,$C118,'TL14'!$J$238:$J$451),0),
IF('TL15'!$B$3=P$3,SUMIF('TL15'!$C$10:$C$224,$C118,'TL15'!$J$10:$J$224),0),
IF('TL15'!$B$229=P$3,SUMIF('TL15'!$C$238:$C$451,$C118,'TL15'!$J$238:$J$451),0),
IF('TL16'!$B$3=P$3,SUMIF('TL16'!$C$10:$C$224,$C118,'TL16'!$J$10:$J$224),0),
IF('TL16'!$B$229=P$3,SUMIF('TL16'!$C$238:$C$451,$C118,'TL16'!$J$238:$J$451),0),
IF('TL17'!$B$3=P$3,SUMIF('TL17'!$C$10:$C$224,$C118,'TL17'!$J$10:$J$224),0),
IF('TL17'!$B$229=P$3,SUMIF('TL17'!$C$238:$C$451,$C118,'TL17'!$J$238:$J$451),0),
IF('TL18'!$B$3=P$3,SUMIF('TL18'!$C$10:$C$224,$C118,'TL18'!$J$10:$J$224),0),
IF('TL18'!$B$229=P$3,SUMIF('TL18'!$C$238:$C$451,$C118,'TL18'!$J$238:$J$451),0),
IF('TL19'!$B$3=P$3,SUMIF('TL19'!$C$10:$C$224,$C118,'TL19'!$J$10:$J$224),0),
IF('TL19'!$B$229=P$3,SUMIF('TL19'!$C$238:$C$451,$C118,'TL19'!$J$238:$J$451),0)
),0)</f>
        <v>0</v>
      </c>
      <c r="Q118" s="9">
        <f>IFERROR(SUM(
IF('TL01'!$B$3=Q$3,SUMIF('TL01'!$C$10:$C$224,$C118,'TL01'!$J$10:$J$224),0),
IF('TL01'!$B$229=Q$3,SUMIF('TL01'!$C$238:$C$451,$C118,'TL01'!$J$238:$J$451),0),
IF('TL02'!$B$3=Q$3,SUMIF('TL02'!$C$10:$C$224,$C118,'TL02'!$J$10:$J$224),0),
IF('TL02'!$B$229=Q$3,SUMIF('TL02'!$C$238:$C$451,$C118,'TL02'!$J$238:$J$451),0),
IF('TL03'!$B$3=Q$3,SUMIF('TL03'!$C$10:$C$224,$C118,'TL03'!$J$10:$J$224),0),
IF('TL03'!$B$229=Q$3,SUMIF('TL03'!$C$238:$C$451,$C118,'TL03'!$J$238:$J$451),0),
IF('TL04'!$B$3=Q$3,SUMIF('TL04'!$C$10:$C$224,$C118,'TL04'!$J$10:$J$224),0),
IF('TL04'!$B$229=Q$3,SUMIF('TL04'!$C$238:$C$451,$C118,'TL04'!$J$238:$J$451),0),
IF('TL05'!$B$3=Q$3,SUMIF('TL05'!$C$10:$C$224,$C118,'TL05'!$J$10:$J$224),0),
IF('TL05'!$B$229=Q$3,SUMIF('TL05'!$C$238:$C$451,$C118,'TL05'!$J$238:$J$451),0),
IF('TL06'!$B$3=Q$3,SUMIF('TL06'!$C$10:$C$224,$C118,'TL06'!$J$10:$J$224),0),
IF('TL06'!$B$229=Q$3,SUMIF('TL06'!$C$238:$C$451,$C118,'TL06'!$J$238:$J$451),0),
IF('TL07'!$B$3=Q$3,SUMIF('TL07'!$C$10:$C$224,$C118,'TL07'!$J$10:$J$224),0),
IF('TL07'!$B$229=Q$3,SUMIF('TL07'!$C$238:$C$451,$C118,'TL07'!$J$238:$J$451),0),
IF('TL08'!$B$3=Q$3,SUMIF('TL08'!$C$10:$C$224,$C118,'TL08'!$J$10:$J$224),0),
IF('TL08'!$B$229=Q$3,SUMIF('TL08'!$C$238:$C$451,$C118,'TL08'!$J$238:$J$451),0),
IF('TL09'!$B$3=Q$3,SUMIF('TL09'!$C$10:$C$224,$C118,'TL09'!$J$10:$J$224),0),
IF('TL09'!$B$229=Q$3,SUMIF('TL09'!$C$238:$C$451,$C118,'TL09'!$J$238:$J$451),0),
IF('TL10'!$B$3=Q$3,SUMIF('TL10'!$C$10:$C$224,$C118,'TL10'!$J$10:$J$224),0),
IF('TL10'!$B$229=Q$3,SUMIF('TL10'!$C$238:$C$451,$C118,'TL10'!$J$238:$J$451),0),
IF('TL11'!$B$3=Q$3,SUMIF('TL11'!$C$10:$C$224,$C118,'TL11'!$J$10:$J$224),0),
IF('TL11'!$B$229=Q$3,SUMIF('TL11'!$C$238:$C$451,$C118,'TL11'!$J$238:$J$451),0),
IF('TL12'!$B$3=Q$3,SUMIF('TL12'!$C$10:$C$224,$C118,'TL12'!$J$10:$J$224),0),
IF('TL12'!$B$229=Q$3,SUMIF('TL12'!$C$238:$C$451,$C118,'TL12'!$J$238:$J$451),0),
IF('TL13'!$B$3=Q$3,SUMIF('TL13'!$C$10:$C$224,$C118,'TL13'!$J$10:$J$224),0),
IF('TL13'!$B$229=Q$3,SUMIF('TL13'!$C$238:$C$451,$C118,'TL13'!$J$238:$J$451),0),
IF('TL14'!$B$3=Q$3,SUMIF('TL14'!$C$10:$C$224,$C118,'TL14'!$J$10:$J$224),0),
IF('TL14'!$B$229=Q$3,SUMIF('TL14'!$C$238:$C$451,$C118,'TL14'!$J$238:$J$451),0),
IF('TL15'!$B$3=Q$3,SUMIF('TL15'!$C$10:$C$224,$C118,'TL15'!$J$10:$J$224),0),
IF('TL15'!$B$229=Q$3,SUMIF('TL15'!$C$238:$C$451,$C118,'TL15'!$J$238:$J$451),0),
IF('TL16'!$B$3=Q$3,SUMIF('TL16'!$C$10:$C$224,$C118,'TL16'!$J$10:$J$224),0),
IF('TL16'!$B$229=Q$3,SUMIF('TL16'!$C$238:$C$451,$C118,'TL16'!$J$238:$J$451),0),
IF('TL17'!$B$3=Q$3,SUMIF('TL17'!$C$10:$C$224,$C118,'TL17'!$J$10:$J$224),0),
IF('TL17'!$B$229=Q$3,SUMIF('TL17'!$C$238:$C$451,$C118,'TL17'!$J$238:$J$451),0),
IF('TL18'!$B$3=Q$3,SUMIF('TL18'!$C$10:$C$224,$C118,'TL18'!$J$10:$J$224),0),
IF('TL18'!$B$229=Q$3,SUMIF('TL18'!$C$238:$C$451,$C118,'TL18'!$J$238:$J$451),0),
IF('TL19'!$B$3=Q$3,SUMIF('TL19'!$C$10:$C$224,$C118,'TL19'!$J$10:$J$224),0),
IF('TL19'!$B$229=Q$3,SUMIF('TL19'!$C$238:$C$451,$C118,'TL19'!$J$238:$J$451),0)
),0)</f>
        <v>0</v>
      </c>
      <c r="R118" s="9">
        <f>IFERROR(
SUM(
SUMIF('TL01'!C:C,C118,'TL01'!J:J),
SUMIF('TL02'!C:C,C118,'TL02'!J:J),
SUMIF('TL03'!C:C,C118,'TL03'!J:J),
SUMIF('TL04'!C:C,C118,'TL04'!J:J),
SUMIF('TL05'!C:C,C118,'TL05'!J:J),
SUMIF('TL06'!C:C,C118,'TL06'!J:J),
SUMIF('TL07'!C:C,C118,'TL07'!J:J),
SUMIF('TL08'!C:C,C118,'TL08'!J:J),
SUMIF('TL09'!C:C,C118,'TL09'!J:J),
SUMIF('TL10'!C:C,C118,'TL10'!J:J),
SUMIF('TL11'!C:C,C118,'TL11'!J:J),
SUMIF('TL12'!C:C,C118,'TL12'!J:J),
SUMIF('TL13'!C:C,C118,'TL13'!J:J),
SUMIF('TL14'!C:C,C118,'TL14'!J:J),
SUMIF('TL15'!C:C,C118,'TL15'!J:J),
SUMIF('TL16'!C:C,C118,'TL16'!J:J),
SUMIF('TL17'!C:C,C118,'TL17'!J:J),
SUMIF('TL18'!C:C,C118,'TL18'!J:J),SUMIF('TL19'!C:C,C118,'TL19'!J:J))
,0)</f>
        <v>0</v>
      </c>
      <c r="S118" s="17">
        <f>IFERROR(__xludf.DUMMYFUNCTION("IFERROR(VLOOKUP(C118,
IMPORTRANGE(""1wULbzX32WdYsx-lj2U3uUNBBe2INVIRDtcK0d-Dvl90"",
""26-27!C:G""),
5,
FALSE),
"""")"),436.93407999999994)</f>
        <v>436.93408</v>
      </c>
      <c r="T118" s="9"/>
      <c r="U118" s="92">
        <f t="shared" si="2"/>
        <v>0</v>
      </c>
      <c r="V118" s="93">
        <f t="shared" si="3"/>
        <v>0</v>
      </c>
    </row>
    <row r="119" ht="15.75" hidden="1" customHeight="1">
      <c r="A119" s="111" t="s">
        <v>350</v>
      </c>
      <c r="B119" s="112" t="s">
        <v>1</v>
      </c>
      <c r="C119" s="113" t="s">
        <v>637</v>
      </c>
      <c r="D119" s="113" t="s">
        <v>638</v>
      </c>
      <c r="E119" s="113">
        <v>720.0</v>
      </c>
      <c r="F119" s="4" t="s">
        <v>343</v>
      </c>
      <c r="G119" s="90" t="str">
        <f t="shared" si="4"/>
        <v>📄 Ver bula</v>
      </c>
      <c r="H119" s="9">
        <f>IFERROR(__xludf.DUMMYFUNCTION("IFERROR(VLOOKUP(C119,
IMPORTRANGE(""1wULbzX32WdYsx-lj2U3uUNBBe2INVIRDtcK0d-Dvl90"",
""26-27!C:K""),
8,
FALSE),
"""")"),2.0)</f>
        <v>2</v>
      </c>
      <c r="I119" s="114" t="s">
        <v>382</v>
      </c>
      <c r="J119" s="9">
        <f>IFERROR(SUM(
IF('TL01'!$B$3=J$3,SUMIF('TL01'!$C$10:$C$224,$C119,'TL01'!$J$10:$J$224),0),
IF('TL01'!$B$229=J$3,SUMIF('TL01'!$C$238:$C$451,$C119,'TL01'!$J$238:$J$451),0),
IF('TL02'!$B$3=J$3,SUMIF('TL02'!$C$10:$C$224,$C119,'TL02'!$J$10:$J$224),0),
IF('TL02'!$B$229=J$3,SUMIF('TL02'!$C$238:$C$451,$C119,'TL02'!$J$238:$J$451),0),
IF('TL03'!$B$3=J$3,SUMIF('TL03'!$C$10:$C$224,$C119,'TL03'!$J$10:$J$224),0),
IF('TL03'!$B$229=J$3,SUMIF('TL03'!$C$238:$C$451,$C119,'TL03'!$J$238:$J$451),0),
IF('TL04'!$B$3=J$3,SUMIF('TL04'!$C$10:$C$224,$C119,'TL04'!$J$10:$J$224),0),
IF('TL04'!$B$229=J$3,SUMIF('TL04'!$C$238:$C$451,$C119,'TL04'!$J$238:$J$451),0),
IF('TL05'!$B$3=J$3,SUMIF('TL05'!$C$10:$C$224,$C119,'TL05'!$J$10:$J$224),0),
IF('TL05'!$B$229=J$3,SUMIF('TL05'!$C$238:$C$451,$C119,'TL05'!$J$238:$J$451),0),
IF('TL06'!$B$3=J$3,SUMIF('TL06'!$C$10:$C$224,$C119,'TL06'!$J$10:$J$224),0),
IF('TL06'!$B$229=J$3,SUMIF('TL06'!$C$238:$C$451,$C119,'TL06'!$J$238:$J$451),0),
IF('TL07'!$B$3=J$3,SUMIF('TL07'!$C$10:$C$224,$C119,'TL07'!$J$10:$J$224),0),
IF('TL07'!$B$229=J$3,SUMIF('TL07'!$C$238:$C$451,$C119,'TL07'!$J$238:$J$451),0),
IF('TL08'!$B$3=J$3,SUMIF('TL08'!$C$10:$C$224,$C119,'TL08'!$J$10:$J$224),0),
IF('TL08'!$B$229=J$3,SUMIF('TL08'!$C$238:$C$451,$C119,'TL08'!$J$238:$J$451),0),
IF('TL09'!$B$3=J$3,SUMIF('TL09'!$C$10:$C$224,$C119,'TL09'!$J$10:$J$224),0),
IF('TL09'!$B$229=J$3,SUMIF('TL09'!$C$238:$C$451,$C119,'TL09'!$J$238:$J$451),0),
IF('TL10'!$B$3=J$3,SUMIF('TL10'!$C$10:$C$224,$C119,'TL10'!$J$10:$J$224),0),
IF('TL10'!$B$229=J$3,SUMIF('TL10'!$C$238:$C$451,$C119,'TL10'!$J$238:$J$451),0),
IF('TL11'!$B$3=J$3,SUMIF('TL11'!$C$10:$C$224,$C119,'TL11'!$J$10:$J$224),0),
IF('TL11'!$B$229=J$3,SUMIF('TL11'!$C$238:$C$451,$C119,'TL11'!$J$238:$J$451),0),
IF('TL12'!$B$3=J$3,SUMIF('TL12'!$C$10:$C$224,$C119,'TL12'!$J$10:$J$224),0),
IF('TL12'!$B$229=J$3,SUMIF('TL12'!$C$238:$C$451,$C119,'TL12'!$J$238:$J$451),0),
IF('TL13'!$B$3=J$3,SUMIF('TL13'!$C$10:$C$224,$C119,'TL13'!$J$10:$J$224),0),
IF('TL13'!$B$229=J$3,SUMIF('TL13'!$C$238:$C$451,$C119,'TL13'!$J$238:$J$451),0),
IF('TL14'!$B$3=J$3,SUMIF('TL14'!$C$10:$C$224,$C119,'TL14'!$J$10:$J$224),0),
IF('TL14'!$B$229=J$3,SUMIF('TL14'!$C$238:$C$451,$C119,'TL14'!$J$238:$J$451),0),
IF('TL15'!$B$3=J$3,SUMIF('TL15'!$C$10:$C$224,$C119,'TL15'!$J$10:$J$224),0),
IF('TL15'!$B$229=J$3,SUMIF('TL15'!$C$238:$C$451,$C119,'TL15'!$J$238:$J$451),0),
IF('TL16'!$B$3=J$3,SUMIF('TL16'!$C$10:$C$224,$C119,'TL16'!$J$10:$J$224),0),
IF('TL16'!$B$229=J$3,SUMIF('TL16'!$C$238:$C$451,$C119,'TL16'!$J$238:$J$451),0),
IF('TL17'!$B$3=J$3,SUMIF('TL17'!$C$10:$C$224,$C119,'TL17'!$J$10:$J$224),0),
IF('TL17'!$B$229=J$3,SUMIF('TL17'!$C$238:$C$451,$C119,'TL17'!$J$238:$J$451),0),
IF('TL18'!$B$3=J$3,SUMIF('TL18'!$C$10:$C$224,$C119,'TL18'!$J$10:$J$224),0),
IF('TL18'!$B$229=J$3,SUMIF('TL18'!$C$238:$C$451,$C119,'TL18'!$J$238:$J$451),0),
IF('TL19'!$B$3=J$3,SUMIF('TL19'!$C$10:$C$224,$C119,'TL19'!$J$10:$J$224),0),
IF('TL19'!$B$229=J$3,SUMIF('TL19'!$C$238:$C$451,$C119,'TL19'!$J$238:$J$451),0)
),0)</f>
        <v>1890</v>
      </c>
      <c r="K119" s="9">
        <f>IFERROR(SUM(
IF('TL01'!$B$3=K$3,SUMIF('TL01'!$C$10:$C$224,$C119,'TL01'!$J$10:$J$224),0),
IF('TL01'!$B$229=K$3,SUMIF('TL01'!$C$238:$C$451,$C119,'TL01'!$J$238:$J$451),0),
IF('TL02'!$B$3=K$3,SUMIF('TL02'!$C$10:$C$224,$C119,'TL02'!$J$10:$J$224),0),
IF('TL02'!$B$229=K$3,SUMIF('TL02'!$C$238:$C$451,$C119,'TL02'!$J$238:$J$451),0),
IF('TL03'!$B$3=K$3,SUMIF('TL03'!$C$10:$C$224,$C119,'TL03'!$J$10:$J$224),0),
IF('TL03'!$B$229=K$3,SUMIF('TL03'!$C$238:$C$451,$C119,'TL03'!$J$238:$J$451),0),
IF('TL04'!$B$3=K$3,SUMIF('TL04'!$C$10:$C$224,$C119,'TL04'!$J$10:$J$224),0),
IF('TL04'!$B$229=K$3,SUMIF('TL04'!$C$238:$C$451,$C119,'TL04'!$J$238:$J$451),0),
IF('TL05'!$B$3=K$3,SUMIF('TL05'!$C$10:$C$224,$C119,'TL05'!$J$10:$J$224),0),
IF('TL05'!$B$229=K$3,SUMIF('TL05'!$C$238:$C$451,$C119,'TL05'!$J$238:$J$451),0),
IF('TL06'!$B$3=K$3,SUMIF('TL06'!$C$10:$C$224,$C119,'TL06'!$J$10:$J$224),0),
IF('TL06'!$B$229=K$3,SUMIF('TL06'!$C$238:$C$451,$C119,'TL06'!$J$238:$J$451),0),
IF('TL07'!$B$3=K$3,SUMIF('TL07'!$C$10:$C$224,$C119,'TL07'!$J$10:$J$224),0),
IF('TL07'!$B$229=K$3,SUMIF('TL07'!$C$238:$C$451,$C119,'TL07'!$J$238:$J$451),0),
IF('TL08'!$B$3=K$3,SUMIF('TL08'!$C$10:$C$224,$C119,'TL08'!$J$10:$J$224),0),
IF('TL08'!$B$229=K$3,SUMIF('TL08'!$C$238:$C$451,$C119,'TL08'!$J$238:$J$451),0),
IF('TL09'!$B$3=K$3,SUMIF('TL09'!$C$10:$C$224,$C119,'TL09'!$J$10:$J$224),0),
IF('TL09'!$B$229=K$3,SUMIF('TL09'!$C$238:$C$451,$C119,'TL09'!$J$238:$J$451),0),
IF('TL10'!$B$3=K$3,SUMIF('TL10'!$C$10:$C$224,$C119,'TL10'!$J$10:$J$224),0),
IF('TL10'!$B$229=K$3,SUMIF('TL10'!$C$238:$C$451,$C119,'TL10'!$J$238:$J$451),0),
IF('TL11'!$B$3=K$3,SUMIF('TL11'!$C$10:$C$224,$C119,'TL11'!$J$10:$J$224),0),
IF('TL11'!$B$229=K$3,SUMIF('TL11'!$C$238:$C$451,$C119,'TL11'!$J$238:$J$451),0),
IF('TL12'!$B$3=K$3,SUMIF('TL12'!$C$10:$C$224,$C119,'TL12'!$J$10:$J$224),0),
IF('TL12'!$B$229=K$3,SUMIF('TL12'!$C$238:$C$451,$C119,'TL12'!$J$238:$J$451),0),
IF('TL13'!$B$3=K$3,SUMIF('TL13'!$C$10:$C$224,$C119,'TL13'!$J$10:$J$224),0),
IF('TL13'!$B$229=K$3,SUMIF('TL13'!$C$238:$C$451,$C119,'TL13'!$J$238:$J$451),0),
IF('TL14'!$B$3=K$3,SUMIF('TL14'!$C$10:$C$224,$C119,'TL14'!$J$10:$J$224),0),
IF('TL14'!$B$229=K$3,SUMIF('TL14'!$C$238:$C$451,$C119,'TL14'!$J$238:$J$451),0),
IF('TL15'!$B$3=K$3,SUMIF('TL15'!$C$10:$C$224,$C119,'TL15'!$J$10:$J$224),0),
IF('TL15'!$B$229=K$3,SUMIF('TL15'!$C$238:$C$451,$C119,'TL15'!$J$238:$J$451),0),
IF('TL16'!$B$3=K$3,SUMIF('TL16'!$C$10:$C$224,$C119,'TL16'!$J$10:$J$224),0),
IF('TL16'!$B$229=K$3,SUMIF('TL16'!$C$238:$C$451,$C119,'TL16'!$J$238:$J$451),0),
IF('TL17'!$B$3=K$3,SUMIF('TL17'!$C$10:$C$224,$C119,'TL17'!$J$10:$J$224),0),
IF('TL17'!$B$229=K$3,SUMIF('TL17'!$C$238:$C$451,$C119,'TL17'!$J$238:$J$451),0),
IF('TL18'!$B$3=K$3,SUMIF('TL18'!$C$10:$C$224,$C119,'TL18'!$J$10:$J$224),0),
IF('TL18'!$B$229=K$3,SUMIF('TL18'!$C$238:$C$451,$C119,'TL18'!$J$238:$J$451),0),
IF('TL19'!$B$3=K$3,SUMIF('TL19'!$C$10:$C$224,$C119,'TL19'!$J$10:$J$224),0),
IF('TL19'!$B$229=K$3,SUMIF('TL19'!$C$238:$C$451,$C119,'TL19'!$J$238:$J$451),0)
),0)</f>
        <v>1200</v>
      </c>
      <c r="L119" s="9">
        <f>IFERROR(SUM(
IF('TL01'!$B$3=L$3,SUMIF('TL01'!$C$10:$C$224,$C119,'TL01'!$J$10:$J$224),0),
IF('TL01'!$B$229=L$3,SUMIF('TL01'!$C$238:$C$451,$C119,'TL01'!$J$238:$J$451),0),
IF('TL02'!$B$3=L$3,SUMIF('TL02'!$C$10:$C$224,$C119,'TL02'!$J$10:$J$224),0),
IF('TL02'!$B$229=L$3,SUMIF('TL02'!$C$238:$C$451,$C119,'TL02'!$J$238:$J$451),0),
IF('TL03'!$B$3=L$3,SUMIF('TL03'!$C$10:$C$224,$C119,'TL03'!$J$10:$J$224),0),
IF('TL03'!$B$229=L$3,SUMIF('TL03'!$C$238:$C$451,$C119,'TL03'!$J$238:$J$451),0),
IF('TL04'!$B$3=L$3,SUMIF('TL04'!$C$10:$C$224,$C119,'TL04'!$J$10:$J$224),0),
IF('TL04'!$B$229=L$3,SUMIF('TL04'!$C$238:$C$451,$C119,'TL04'!$J$238:$J$451),0),
IF('TL05'!$B$3=L$3,SUMIF('TL05'!$C$10:$C$224,$C119,'TL05'!$J$10:$J$224),0),
IF('TL05'!$B$229=L$3,SUMIF('TL05'!$C$238:$C$451,$C119,'TL05'!$J$238:$J$451),0),
IF('TL06'!$B$3=L$3,SUMIF('TL06'!$C$10:$C$224,$C119,'TL06'!$J$10:$J$224),0),
IF('TL06'!$B$229=L$3,SUMIF('TL06'!$C$238:$C$451,$C119,'TL06'!$J$238:$J$451),0),
IF('TL07'!$B$3=L$3,SUMIF('TL07'!$C$10:$C$224,$C119,'TL07'!$J$10:$J$224),0),
IF('TL07'!$B$229=L$3,SUMIF('TL07'!$C$238:$C$451,$C119,'TL07'!$J$238:$J$451),0),
IF('TL08'!$B$3=L$3,SUMIF('TL08'!$C$10:$C$224,$C119,'TL08'!$J$10:$J$224),0),
IF('TL08'!$B$229=L$3,SUMIF('TL08'!$C$238:$C$451,$C119,'TL08'!$J$238:$J$451),0),
IF('TL09'!$B$3=L$3,SUMIF('TL09'!$C$10:$C$224,$C119,'TL09'!$J$10:$J$224),0),
IF('TL09'!$B$229=L$3,SUMIF('TL09'!$C$238:$C$451,$C119,'TL09'!$J$238:$J$451),0),
IF('TL10'!$B$3=L$3,SUMIF('TL10'!$C$10:$C$224,$C119,'TL10'!$J$10:$J$224),0),
IF('TL10'!$B$229=L$3,SUMIF('TL10'!$C$238:$C$451,$C119,'TL10'!$J$238:$J$451),0),
IF('TL11'!$B$3=L$3,SUMIF('TL11'!$C$10:$C$224,$C119,'TL11'!$J$10:$J$224),0),
IF('TL11'!$B$229=L$3,SUMIF('TL11'!$C$238:$C$451,$C119,'TL11'!$J$238:$J$451),0),
IF('TL12'!$B$3=L$3,SUMIF('TL12'!$C$10:$C$224,$C119,'TL12'!$J$10:$J$224),0),
IF('TL12'!$B$229=L$3,SUMIF('TL12'!$C$238:$C$451,$C119,'TL12'!$J$238:$J$451),0),
IF('TL13'!$B$3=L$3,SUMIF('TL13'!$C$10:$C$224,$C119,'TL13'!$J$10:$J$224),0),
IF('TL13'!$B$229=L$3,SUMIF('TL13'!$C$238:$C$451,$C119,'TL13'!$J$238:$J$451),0),
IF('TL14'!$B$3=L$3,SUMIF('TL14'!$C$10:$C$224,$C119,'TL14'!$J$10:$J$224),0),
IF('TL14'!$B$229=L$3,SUMIF('TL14'!$C$238:$C$451,$C119,'TL14'!$J$238:$J$451),0),
IF('TL15'!$B$3=L$3,SUMIF('TL15'!$C$10:$C$224,$C119,'TL15'!$J$10:$J$224),0),
IF('TL15'!$B$229=L$3,SUMIF('TL15'!$C$238:$C$451,$C119,'TL15'!$J$238:$J$451),0),
IF('TL16'!$B$3=L$3,SUMIF('TL16'!$C$10:$C$224,$C119,'TL16'!$J$10:$J$224),0),
IF('TL16'!$B$229=L$3,SUMIF('TL16'!$C$238:$C$451,$C119,'TL16'!$J$238:$J$451),0),
IF('TL17'!$B$3=L$3,SUMIF('TL17'!$C$10:$C$224,$C119,'TL17'!$J$10:$J$224),0),
IF('TL17'!$B$229=L$3,SUMIF('TL17'!$C$238:$C$451,$C119,'TL17'!$J$238:$J$451),0),
IF('TL18'!$B$3=L$3,SUMIF('TL18'!$C$10:$C$224,$C119,'TL18'!$J$10:$J$224),0),
IF('TL18'!$B$229=L$3,SUMIF('TL18'!$C$238:$C$451,$C119,'TL18'!$J$238:$J$451),0),
IF('TL19'!$B$3=L$3,SUMIF('TL19'!$C$10:$C$224,$C119,'TL19'!$J$10:$J$224),0),
IF('TL19'!$B$229=L$3,SUMIF('TL19'!$C$238:$C$451,$C119,'TL19'!$J$238:$J$451),0)
),0)</f>
        <v>880</v>
      </c>
      <c r="M119" s="9">
        <f>IFERROR(SUM(
IF('TL01'!$B$3=M$3,SUMIF('TL01'!$C$10:$C$224,$C119,'TL01'!$J$10:$J$224),0),
IF('TL01'!$B$229=M$3,SUMIF('TL01'!$C$238:$C$451,$C119,'TL01'!$J$238:$J$451),0),
IF('TL02'!$B$3=M$3,SUMIF('TL02'!$C$10:$C$224,$C119,'TL02'!$J$10:$J$224),0),
IF('TL02'!$B$229=M$3,SUMIF('TL02'!$C$238:$C$451,$C119,'TL02'!$J$238:$J$451),0),
IF('TL03'!$B$3=M$3,SUMIF('TL03'!$C$10:$C$224,$C119,'TL03'!$J$10:$J$224),0),
IF('TL03'!$B$229=M$3,SUMIF('TL03'!$C$238:$C$451,$C119,'TL03'!$J$238:$J$451),0),
IF('TL04'!$B$3=M$3,SUMIF('TL04'!$C$10:$C$224,$C119,'TL04'!$J$10:$J$224),0),
IF('TL04'!$B$229=M$3,SUMIF('TL04'!$C$238:$C$451,$C119,'TL04'!$J$238:$J$451),0),
IF('TL05'!$B$3=M$3,SUMIF('TL05'!$C$10:$C$224,$C119,'TL05'!$J$10:$J$224),0),
IF('TL05'!$B$229=M$3,SUMIF('TL05'!$C$238:$C$451,$C119,'TL05'!$J$238:$J$451),0),
IF('TL06'!$B$3=M$3,SUMIF('TL06'!$C$10:$C$224,$C119,'TL06'!$J$10:$J$224),0),
IF('TL06'!$B$229=M$3,SUMIF('TL06'!$C$238:$C$451,$C119,'TL06'!$J$238:$J$451),0),
IF('TL07'!$B$3=M$3,SUMIF('TL07'!$C$10:$C$224,$C119,'TL07'!$J$10:$J$224),0),
IF('TL07'!$B$229=M$3,SUMIF('TL07'!$C$238:$C$451,$C119,'TL07'!$J$238:$J$451),0),
IF('TL08'!$B$3=M$3,SUMIF('TL08'!$C$10:$C$224,$C119,'TL08'!$J$10:$J$224),0),
IF('TL08'!$B$229=M$3,SUMIF('TL08'!$C$238:$C$451,$C119,'TL08'!$J$238:$J$451),0),
IF('TL09'!$B$3=M$3,SUMIF('TL09'!$C$10:$C$224,$C119,'TL09'!$J$10:$J$224),0),
IF('TL09'!$B$229=M$3,SUMIF('TL09'!$C$238:$C$451,$C119,'TL09'!$J$238:$J$451),0),
IF('TL10'!$B$3=M$3,SUMIF('TL10'!$C$10:$C$224,$C119,'TL10'!$J$10:$J$224),0),
IF('TL10'!$B$229=M$3,SUMIF('TL10'!$C$238:$C$451,$C119,'TL10'!$J$238:$J$451),0),
IF('TL11'!$B$3=M$3,SUMIF('TL11'!$C$10:$C$224,$C119,'TL11'!$J$10:$J$224),0),
IF('TL11'!$B$229=M$3,SUMIF('TL11'!$C$238:$C$451,$C119,'TL11'!$J$238:$J$451),0),
IF('TL12'!$B$3=M$3,SUMIF('TL12'!$C$10:$C$224,$C119,'TL12'!$J$10:$J$224),0),
IF('TL12'!$B$229=M$3,SUMIF('TL12'!$C$238:$C$451,$C119,'TL12'!$J$238:$J$451),0),
IF('TL13'!$B$3=M$3,SUMIF('TL13'!$C$10:$C$224,$C119,'TL13'!$J$10:$J$224),0),
IF('TL13'!$B$229=M$3,SUMIF('TL13'!$C$238:$C$451,$C119,'TL13'!$J$238:$J$451),0),
IF('TL14'!$B$3=M$3,SUMIF('TL14'!$C$10:$C$224,$C119,'TL14'!$J$10:$J$224),0),
IF('TL14'!$B$229=M$3,SUMIF('TL14'!$C$238:$C$451,$C119,'TL14'!$J$238:$J$451),0),
IF('TL15'!$B$3=M$3,SUMIF('TL15'!$C$10:$C$224,$C119,'TL15'!$J$10:$J$224),0),
IF('TL15'!$B$229=M$3,SUMIF('TL15'!$C$238:$C$451,$C119,'TL15'!$J$238:$J$451),0),
IF('TL16'!$B$3=M$3,SUMIF('TL16'!$C$10:$C$224,$C119,'TL16'!$J$10:$J$224),0),
IF('TL16'!$B$229=M$3,SUMIF('TL16'!$C$238:$C$451,$C119,'TL16'!$J$238:$J$451),0),
IF('TL17'!$B$3=M$3,SUMIF('TL17'!$C$10:$C$224,$C119,'TL17'!$J$10:$J$224),0),
IF('TL17'!$B$229=M$3,SUMIF('TL17'!$C$238:$C$451,$C119,'TL17'!$J$238:$J$451),0),
IF('TL18'!$B$3=M$3,SUMIF('TL18'!$C$10:$C$224,$C119,'TL18'!$J$10:$J$224),0),
IF('TL18'!$B$229=M$3,SUMIF('TL18'!$C$238:$C$451,$C119,'TL18'!$J$238:$J$451),0),
IF('TL19'!$B$3=M$3,SUMIF('TL19'!$C$10:$C$224,$C119,'TL19'!$J$10:$J$224),0),
IF('TL19'!$B$229=M$3,SUMIF('TL19'!$C$238:$C$451,$C119,'TL19'!$J$238:$J$451),0)
),0)</f>
        <v>400</v>
      </c>
      <c r="N119" s="9">
        <f>IFERROR(SUM(
IF('TL01'!$B$3=N$3,SUMIF('TL01'!$C$10:$C$224,$C119,'TL01'!$J$10:$J$224),0),
IF('TL01'!$B$229=N$3,SUMIF('TL01'!$C$238:$C$451,$C119,'TL01'!$J$238:$J$451),0),
IF('TL02'!$B$3=N$3,SUMIF('TL02'!$C$10:$C$224,$C119,'TL02'!$J$10:$J$224),0),
IF('TL02'!$B$229=N$3,SUMIF('TL02'!$C$238:$C$451,$C119,'TL02'!$J$238:$J$451),0),
IF('TL03'!$B$3=N$3,SUMIF('TL03'!$C$10:$C$224,$C119,'TL03'!$J$10:$J$224),0),
IF('TL03'!$B$229=N$3,SUMIF('TL03'!$C$238:$C$451,$C119,'TL03'!$J$238:$J$451),0),
IF('TL04'!$B$3=N$3,SUMIF('TL04'!$C$10:$C$224,$C119,'TL04'!$J$10:$J$224),0),
IF('TL04'!$B$229=N$3,SUMIF('TL04'!$C$238:$C$451,$C119,'TL04'!$J$238:$J$451),0),
IF('TL05'!$B$3=N$3,SUMIF('TL05'!$C$10:$C$224,$C119,'TL05'!$J$10:$J$224),0),
IF('TL05'!$B$229=N$3,SUMIF('TL05'!$C$238:$C$451,$C119,'TL05'!$J$238:$J$451),0),
IF('TL06'!$B$3=N$3,SUMIF('TL06'!$C$10:$C$224,$C119,'TL06'!$J$10:$J$224),0),
IF('TL06'!$B$229=N$3,SUMIF('TL06'!$C$238:$C$451,$C119,'TL06'!$J$238:$J$451),0),
IF('TL07'!$B$3=N$3,SUMIF('TL07'!$C$10:$C$224,$C119,'TL07'!$J$10:$J$224),0),
IF('TL07'!$B$229=N$3,SUMIF('TL07'!$C$238:$C$451,$C119,'TL07'!$J$238:$J$451),0),
IF('TL08'!$B$3=N$3,SUMIF('TL08'!$C$10:$C$224,$C119,'TL08'!$J$10:$J$224),0),
IF('TL08'!$B$229=N$3,SUMIF('TL08'!$C$238:$C$451,$C119,'TL08'!$J$238:$J$451),0),
IF('TL09'!$B$3=N$3,SUMIF('TL09'!$C$10:$C$224,$C119,'TL09'!$J$10:$J$224),0),
IF('TL09'!$B$229=N$3,SUMIF('TL09'!$C$238:$C$451,$C119,'TL09'!$J$238:$J$451),0),
IF('TL10'!$B$3=N$3,SUMIF('TL10'!$C$10:$C$224,$C119,'TL10'!$J$10:$J$224),0),
IF('TL10'!$B$229=N$3,SUMIF('TL10'!$C$238:$C$451,$C119,'TL10'!$J$238:$J$451),0),
IF('TL11'!$B$3=N$3,SUMIF('TL11'!$C$10:$C$224,$C119,'TL11'!$J$10:$J$224),0),
IF('TL11'!$B$229=N$3,SUMIF('TL11'!$C$238:$C$451,$C119,'TL11'!$J$238:$J$451),0),
IF('TL12'!$B$3=N$3,SUMIF('TL12'!$C$10:$C$224,$C119,'TL12'!$J$10:$J$224),0),
IF('TL12'!$B$229=N$3,SUMIF('TL12'!$C$238:$C$451,$C119,'TL12'!$J$238:$J$451),0),
IF('TL13'!$B$3=N$3,SUMIF('TL13'!$C$10:$C$224,$C119,'TL13'!$J$10:$J$224),0),
IF('TL13'!$B$229=N$3,SUMIF('TL13'!$C$238:$C$451,$C119,'TL13'!$J$238:$J$451),0),
IF('TL14'!$B$3=N$3,SUMIF('TL14'!$C$10:$C$224,$C119,'TL14'!$J$10:$J$224),0),
IF('TL14'!$B$229=N$3,SUMIF('TL14'!$C$238:$C$451,$C119,'TL14'!$J$238:$J$451),0),
IF('TL15'!$B$3=N$3,SUMIF('TL15'!$C$10:$C$224,$C119,'TL15'!$J$10:$J$224),0),
IF('TL15'!$B$229=N$3,SUMIF('TL15'!$C$238:$C$451,$C119,'TL15'!$J$238:$J$451),0),
IF('TL16'!$B$3=N$3,SUMIF('TL16'!$C$10:$C$224,$C119,'TL16'!$J$10:$J$224),0),
IF('TL16'!$B$229=N$3,SUMIF('TL16'!$C$238:$C$451,$C119,'TL16'!$J$238:$J$451),0),
IF('TL17'!$B$3=N$3,SUMIF('TL17'!$C$10:$C$224,$C119,'TL17'!$J$10:$J$224),0),
IF('TL17'!$B$229=N$3,SUMIF('TL17'!$C$238:$C$451,$C119,'TL17'!$J$238:$J$451),0),
IF('TL18'!$B$3=N$3,SUMIF('TL18'!$C$10:$C$224,$C119,'TL18'!$J$10:$J$224),0),
IF('TL18'!$B$229=N$3,SUMIF('TL18'!$C$238:$C$451,$C119,'TL18'!$J$238:$J$451),0),
IF('TL19'!$B$3=N$3,SUMIF('TL19'!$C$10:$C$224,$C119,'TL19'!$J$10:$J$224),0),
IF('TL19'!$B$229=N$3,SUMIF('TL19'!$C$238:$C$451,$C119,'TL19'!$J$238:$J$451),0)
),0)</f>
        <v>752</v>
      </c>
      <c r="O119" s="9">
        <f>IFERROR(SUM(
IF('TL01'!$B$3=O$3,SUMIF('TL01'!$C$10:$C$224,$C119,'TL01'!$J$10:$J$224),0),
IF('TL01'!$B$229=O$3,SUMIF('TL01'!$C$238:$C$451,$C119,'TL01'!$J$238:$J$451),0),
IF('TL02'!$B$3=O$3,SUMIF('TL02'!$C$10:$C$224,$C119,'TL02'!$J$10:$J$224),0),
IF('TL02'!$B$229=O$3,SUMIF('TL02'!$C$238:$C$451,$C119,'TL02'!$J$238:$J$451),0),
IF('TL03'!$B$3=O$3,SUMIF('TL03'!$C$10:$C$224,$C119,'TL03'!$J$10:$J$224),0),
IF('TL03'!$B$229=O$3,SUMIF('TL03'!$C$238:$C$451,$C119,'TL03'!$J$238:$J$451),0),
IF('TL04'!$B$3=O$3,SUMIF('TL04'!$C$10:$C$224,$C119,'TL04'!$J$10:$J$224),0),
IF('TL04'!$B$229=O$3,SUMIF('TL04'!$C$238:$C$451,$C119,'TL04'!$J$238:$J$451),0),
IF('TL05'!$B$3=O$3,SUMIF('TL05'!$C$10:$C$224,$C119,'TL05'!$J$10:$J$224),0),
IF('TL05'!$B$229=O$3,SUMIF('TL05'!$C$238:$C$451,$C119,'TL05'!$J$238:$J$451),0),
IF('TL06'!$B$3=O$3,SUMIF('TL06'!$C$10:$C$224,$C119,'TL06'!$J$10:$J$224),0),
IF('TL06'!$B$229=O$3,SUMIF('TL06'!$C$238:$C$451,$C119,'TL06'!$J$238:$J$451),0),
IF('TL07'!$B$3=O$3,SUMIF('TL07'!$C$10:$C$224,$C119,'TL07'!$J$10:$J$224),0),
IF('TL07'!$B$229=O$3,SUMIF('TL07'!$C$238:$C$451,$C119,'TL07'!$J$238:$J$451),0),
IF('TL08'!$B$3=O$3,SUMIF('TL08'!$C$10:$C$224,$C119,'TL08'!$J$10:$J$224),0),
IF('TL08'!$B$229=O$3,SUMIF('TL08'!$C$238:$C$451,$C119,'TL08'!$J$238:$J$451),0),
IF('TL09'!$B$3=O$3,SUMIF('TL09'!$C$10:$C$224,$C119,'TL09'!$J$10:$J$224),0),
IF('TL09'!$B$229=O$3,SUMIF('TL09'!$C$238:$C$451,$C119,'TL09'!$J$238:$J$451),0),
IF('TL10'!$B$3=O$3,SUMIF('TL10'!$C$10:$C$224,$C119,'TL10'!$J$10:$J$224),0),
IF('TL10'!$B$229=O$3,SUMIF('TL10'!$C$238:$C$451,$C119,'TL10'!$J$238:$J$451),0),
IF('TL11'!$B$3=O$3,SUMIF('TL11'!$C$10:$C$224,$C119,'TL11'!$J$10:$J$224),0),
IF('TL11'!$B$229=O$3,SUMIF('TL11'!$C$238:$C$451,$C119,'TL11'!$J$238:$J$451),0),
IF('TL12'!$B$3=O$3,SUMIF('TL12'!$C$10:$C$224,$C119,'TL12'!$J$10:$J$224),0),
IF('TL12'!$B$229=O$3,SUMIF('TL12'!$C$238:$C$451,$C119,'TL12'!$J$238:$J$451),0),
IF('TL13'!$B$3=O$3,SUMIF('TL13'!$C$10:$C$224,$C119,'TL13'!$J$10:$J$224),0),
IF('TL13'!$B$229=O$3,SUMIF('TL13'!$C$238:$C$451,$C119,'TL13'!$J$238:$J$451),0),
IF('TL14'!$B$3=O$3,SUMIF('TL14'!$C$10:$C$224,$C119,'TL14'!$J$10:$J$224),0),
IF('TL14'!$B$229=O$3,SUMIF('TL14'!$C$238:$C$451,$C119,'TL14'!$J$238:$J$451),0),
IF('TL15'!$B$3=O$3,SUMIF('TL15'!$C$10:$C$224,$C119,'TL15'!$J$10:$J$224),0),
IF('TL15'!$B$229=O$3,SUMIF('TL15'!$C$238:$C$451,$C119,'TL15'!$J$238:$J$451),0),
IF('TL16'!$B$3=O$3,SUMIF('TL16'!$C$10:$C$224,$C119,'TL16'!$J$10:$J$224),0),
IF('TL16'!$B$229=O$3,SUMIF('TL16'!$C$238:$C$451,$C119,'TL16'!$J$238:$J$451),0),
IF('TL17'!$B$3=O$3,SUMIF('TL17'!$C$10:$C$224,$C119,'TL17'!$J$10:$J$224),0),
IF('TL17'!$B$229=O$3,SUMIF('TL17'!$C$238:$C$451,$C119,'TL17'!$J$238:$J$451),0),
IF('TL18'!$B$3=O$3,SUMIF('TL18'!$C$10:$C$224,$C119,'TL18'!$J$10:$J$224),0),
IF('TL18'!$B$229=O$3,SUMIF('TL18'!$C$238:$C$451,$C119,'TL18'!$J$238:$J$451),0),
IF('TL19'!$B$3=O$3,SUMIF('TL19'!$C$10:$C$224,$C119,'TL19'!$J$10:$J$224),0),
IF('TL19'!$B$229=O$3,SUMIF('TL19'!$C$238:$C$451,$C119,'TL19'!$J$238:$J$451),0)
),0)</f>
        <v>330</v>
      </c>
      <c r="P119" s="9">
        <f>IFERROR(SUM(
IF('TL01'!$B$3=P$3,SUMIF('TL01'!$C$10:$C$224,$C119,'TL01'!$J$10:$J$224),0),
IF('TL01'!$B$229=P$3,SUMIF('TL01'!$C$238:$C$451,$C119,'TL01'!$J$238:$J$451),0),
IF('TL02'!$B$3=P$3,SUMIF('TL02'!$C$10:$C$224,$C119,'TL02'!$J$10:$J$224),0),
IF('TL02'!$B$229=P$3,SUMIF('TL02'!$C$238:$C$451,$C119,'TL02'!$J$238:$J$451),0),
IF('TL03'!$B$3=P$3,SUMIF('TL03'!$C$10:$C$224,$C119,'TL03'!$J$10:$J$224),0),
IF('TL03'!$B$229=P$3,SUMIF('TL03'!$C$238:$C$451,$C119,'TL03'!$J$238:$J$451),0),
IF('TL04'!$B$3=P$3,SUMIF('TL04'!$C$10:$C$224,$C119,'TL04'!$J$10:$J$224),0),
IF('TL04'!$B$229=P$3,SUMIF('TL04'!$C$238:$C$451,$C119,'TL04'!$J$238:$J$451),0),
IF('TL05'!$B$3=P$3,SUMIF('TL05'!$C$10:$C$224,$C119,'TL05'!$J$10:$J$224),0),
IF('TL05'!$B$229=P$3,SUMIF('TL05'!$C$238:$C$451,$C119,'TL05'!$J$238:$J$451),0),
IF('TL06'!$B$3=P$3,SUMIF('TL06'!$C$10:$C$224,$C119,'TL06'!$J$10:$J$224),0),
IF('TL06'!$B$229=P$3,SUMIF('TL06'!$C$238:$C$451,$C119,'TL06'!$J$238:$J$451),0),
IF('TL07'!$B$3=P$3,SUMIF('TL07'!$C$10:$C$224,$C119,'TL07'!$J$10:$J$224),0),
IF('TL07'!$B$229=P$3,SUMIF('TL07'!$C$238:$C$451,$C119,'TL07'!$J$238:$J$451),0),
IF('TL08'!$B$3=P$3,SUMIF('TL08'!$C$10:$C$224,$C119,'TL08'!$J$10:$J$224),0),
IF('TL08'!$B$229=P$3,SUMIF('TL08'!$C$238:$C$451,$C119,'TL08'!$J$238:$J$451),0),
IF('TL09'!$B$3=P$3,SUMIF('TL09'!$C$10:$C$224,$C119,'TL09'!$J$10:$J$224),0),
IF('TL09'!$B$229=P$3,SUMIF('TL09'!$C$238:$C$451,$C119,'TL09'!$J$238:$J$451),0),
IF('TL10'!$B$3=P$3,SUMIF('TL10'!$C$10:$C$224,$C119,'TL10'!$J$10:$J$224),0),
IF('TL10'!$B$229=P$3,SUMIF('TL10'!$C$238:$C$451,$C119,'TL10'!$J$238:$J$451),0),
IF('TL11'!$B$3=P$3,SUMIF('TL11'!$C$10:$C$224,$C119,'TL11'!$J$10:$J$224),0),
IF('TL11'!$B$229=P$3,SUMIF('TL11'!$C$238:$C$451,$C119,'TL11'!$J$238:$J$451),0),
IF('TL12'!$B$3=P$3,SUMIF('TL12'!$C$10:$C$224,$C119,'TL12'!$J$10:$J$224),0),
IF('TL12'!$B$229=P$3,SUMIF('TL12'!$C$238:$C$451,$C119,'TL12'!$J$238:$J$451),0),
IF('TL13'!$B$3=P$3,SUMIF('TL13'!$C$10:$C$224,$C119,'TL13'!$J$10:$J$224),0),
IF('TL13'!$B$229=P$3,SUMIF('TL13'!$C$238:$C$451,$C119,'TL13'!$J$238:$J$451),0),
IF('TL14'!$B$3=P$3,SUMIF('TL14'!$C$10:$C$224,$C119,'TL14'!$J$10:$J$224),0),
IF('TL14'!$B$229=P$3,SUMIF('TL14'!$C$238:$C$451,$C119,'TL14'!$J$238:$J$451),0),
IF('TL15'!$B$3=P$3,SUMIF('TL15'!$C$10:$C$224,$C119,'TL15'!$J$10:$J$224),0),
IF('TL15'!$B$229=P$3,SUMIF('TL15'!$C$238:$C$451,$C119,'TL15'!$J$238:$J$451),0),
IF('TL16'!$B$3=P$3,SUMIF('TL16'!$C$10:$C$224,$C119,'TL16'!$J$10:$J$224),0),
IF('TL16'!$B$229=P$3,SUMIF('TL16'!$C$238:$C$451,$C119,'TL16'!$J$238:$J$451),0),
IF('TL17'!$B$3=P$3,SUMIF('TL17'!$C$10:$C$224,$C119,'TL17'!$J$10:$J$224),0),
IF('TL17'!$B$229=P$3,SUMIF('TL17'!$C$238:$C$451,$C119,'TL17'!$J$238:$J$451),0),
IF('TL18'!$B$3=P$3,SUMIF('TL18'!$C$10:$C$224,$C119,'TL18'!$J$10:$J$224),0),
IF('TL18'!$B$229=P$3,SUMIF('TL18'!$C$238:$C$451,$C119,'TL18'!$J$238:$J$451),0),
IF('TL19'!$B$3=P$3,SUMIF('TL19'!$C$10:$C$224,$C119,'TL19'!$J$10:$J$224),0),
IF('TL19'!$B$229=P$3,SUMIF('TL19'!$C$238:$C$451,$C119,'TL19'!$J$238:$J$451),0)
),0)</f>
        <v>4872</v>
      </c>
      <c r="Q119" s="9">
        <f>IFERROR(SUM(
IF('TL01'!$B$3=Q$3,SUMIF('TL01'!$C$10:$C$224,$C119,'TL01'!$J$10:$J$224),0),
IF('TL01'!$B$229=Q$3,SUMIF('TL01'!$C$238:$C$451,$C119,'TL01'!$J$238:$J$451),0),
IF('TL02'!$B$3=Q$3,SUMIF('TL02'!$C$10:$C$224,$C119,'TL02'!$J$10:$J$224),0),
IF('TL02'!$B$229=Q$3,SUMIF('TL02'!$C$238:$C$451,$C119,'TL02'!$J$238:$J$451),0),
IF('TL03'!$B$3=Q$3,SUMIF('TL03'!$C$10:$C$224,$C119,'TL03'!$J$10:$J$224),0),
IF('TL03'!$B$229=Q$3,SUMIF('TL03'!$C$238:$C$451,$C119,'TL03'!$J$238:$J$451),0),
IF('TL04'!$B$3=Q$3,SUMIF('TL04'!$C$10:$C$224,$C119,'TL04'!$J$10:$J$224),0),
IF('TL04'!$B$229=Q$3,SUMIF('TL04'!$C$238:$C$451,$C119,'TL04'!$J$238:$J$451),0),
IF('TL05'!$B$3=Q$3,SUMIF('TL05'!$C$10:$C$224,$C119,'TL05'!$J$10:$J$224),0),
IF('TL05'!$B$229=Q$3,SUMIF('TL05'!$C$238:$C$451,$C119,'TL05'!$J$238:$J$451),0),
IF('TL06'!$B$3=Q$3,SUMIF('TL06'!$C$10:$C$224,$C119,'TL06'!$J$10:$J$224),0),
IF('TL06'!$B$229=Q$3,SUMIF('TL06'!$C$238:$C$451,$C119,'TL06'!$J$238:$J$451),0),
IF('TL07'!$B$3=Q$3,SUMIF('TL07'!$C$10:$C$224,$C119,'TL07'!$J$10:$J$224),0),
IF('TL07'!$B$229=Q$3,SUMIF('TL07'!$C$238:$C$451,$C119,'TL07'!$J$238:$J$451),0),
IF('TL08'!$B$3=Q$3,SUMIF('TL08'!$C$10:$C$224,$C119,'TL08'!$J$10:$J$224),0),
IF('TL08'!$B$229=Q$3,SUMIF('TL08'!$C$238:$C$451,$C119,'TL08'!$J$238:$J$451),0),
IF('TL09'!$B$3=Q$3,SUMIF('TL09'!$C$10:$C$224,$C119,'TL09'!$J$10:$J$224),0),
IF('TL09'!$B$229=Q$3,SUMIF('TL09'!$C$238:$C$451,$C119,'TL09'!$J$238:$J$451),0),
IF('TL10'!$B$3=Q$3,SUMIF('TL10'!$C$10:$C$224,$C119,'TL10'!$J$10:$J$224),0),
IF('TL10'!$B$229=Q$3,SUMIF('TL10'!$C$238:$C$451,$C119,'TL10'!$J$238:$J$451),0),
IF('TL11'!$B$3=Q$3,SUMIF('TL11'!$C$10:$C$224,$C119,'TL11'!$J$10:$J$224),0),
IF('TL11'!$B$229=Q$3,SUMIF('TL11'!$C$238:$C$451,$C119,'TL11'!$J$238:$J$451),0),
IF('TL12'!$B$3=Q$3,SUMIF('TL12'!$C$10:$C$224,$C119,'TL12'!$J$10:$J$224),0),
IF('TL12'!$B$229=Q$3,SUMIF('TL12'!$C$238:$C$451,$C119,'TL12'!$J$238:$J$451),0),
IF('TL13'!$B$3=Q$3,SUMIF('TL13'!$C$10:$C$224,$C119,'TL13'!$J$10:$J$224),0),
IF('TL13'!$B$229=Q$3,SUMIF('TL13'!$C$238:$C$451,$C119,'TL13'!$J$238:$J$451),0),
IF('TL14'!$B$3=Q$3,SUMIF('TL14'!$C$10:$C$224,$C119,'TL14'!$J$10:$J$224),0),
IF('TL14'!$B$229=Q$3,SUMIF('TL14'!$C$238:$C$451,$C119,'TL14'!$J$238:$J$451),0),
IF('TL15'!$B$3=Q$3,SUMIF('TL15'!$C$10:$C$224,$C119,'TL15'!$J$10:$J$224),0),
IF('TL15'!$B$229=Q$3,SUMIF('TL15'!$C$238:$C$451,$C119,'TL15'!$J$238:$J$451),0),
IF('TL16'!$B$3=Q$3,SUMIF('TL16'!$C$10:$C$224,$C119,'TL16'!$J$10:$J$224),0),
IF('TL16'!$B$229=Q$3,SUMIF('TL16'!$C$238:$C$451,$C119,'TL16'!$J$238:$J$451),0),
IF('TL17'!$B$3=Q$3,SUMIF('TL17'!$C$10:$C$224,$C119,'TL17'!$J$10:$J$224),0),
IF('TL17'!$B$229=Q$3,SUMIF('TL17'!$C$238:$C$451,$C119,'TL17'!$J$238:$J$451),0),
IF('TL18'!$B$3=Q$3,SUMIF('TL18'!$C$10:$C$224,$C119,'TL18'!$J$10:$J$224),0),
IF('TL18'!$B$229=Q$3,SUMIF('TL18'!$C$238:$C$451,$C119,'TL18'!$J$238:$J$451),0),
IF('TL19'!$B$3=Q$3,SUMIF('TL19'!$C$10:$C$224,$C119,'TL19'!$J$10:$J$224),0),
IF('TL19'!$B$229=Q$3,SUMIF('TL19'!$C$238:$C$451,$C119,'TL19'!$J$238:$J$451),0)
),0)</f>
        <v>1280</v>
      </c>
      <c r="R119" s="9">
        <f>IFERROR(
SUM(
SUMIF('TL01'!C:C,C119,'TL01'!J:J),
SUMIF('TL02'!C:C,C119,'TL02'!J:J),
SUMIF('TL03'!C:C,C119,'TL03'!J:J),
SUMIF('TL04'!C:C,C119,'TL04'!J:J),
SUMIF('TL05'!C:C,C119,'TL05'!J:J),
SUMIF('TL06'!C:C,C119,'TL06'!J:J),
SUMIF('TL07'!C:C,C119,'TL07'!J:J),
SUMIF('TL08'!C:C,C119,'TL08'!J:J),
SUMIF('TL09'!C:C,C119,'TL09'!J:J),
SUMIF('TL10'!C:C,C119,'TL10'!J:J),
SUMIF('TL11'!C:C,C119,'TL11'!J:J),
SUMIF('TL12'!C:C,C119,'TL12'!J:J),
SUMIF('TL13'!C:C,C119,'TL13'!J:J),
SUMIF('TL14'!C:C,C119,'TL14'!J:J),
SUMIF('TL15'!C:C,C119,'TL15'!J:J),
SUMIF('TL16'!C:C,C119,'TL16'!J:J),
SUMIF('TL17'!C:C,C119,'TL17'!J:J),
SUMIF('TL18'!C:C,C119,'TL18'!J:J),SUMIF('TL19'!C:C,C119,'TL19'!J:J))
,0)</f>
        <v>11604</v>
      </c>
      <c r="S119" s="17">
        <f>IFERROR(__xludf.DUMMYFUNCTION("IFERROR(VLOOKUP(C119,
IMPORTRANGE(""1wULbzX32WdYsx-lj2U3uUNBBe2INVIRDtcK0d-Dvl90"",
""26-27!C:G""),
5,
FALSE),
"""")"),24.58)</f>
        <v>24.58</v>
      </c>
      <c r="T119" s="9">
        <v>1266.0</v>
      </c>
      <c r="U119" s="92">
        <f t="shared" si="2"/>
        <v>10338</v>
      </c>
      <c r="V119" s="93">
        <f t="shared" si="3"/>
        <v>254108.04</v>
      </c>
    </row>
    <row r="120" ht="15.75" hidden="1" customHeight="1">
      <c r="A120" s="115" t="s">
        <v>350</v>
      </c>
      <c r="B120" s="100" t="s">
        <v>1</v>
      </c>
      <c r="C120" s="116" t="s">
        <v>639</v>
      </c>
      <c r="D120" s="116" t="s">
        <v>640</v>
      </c>
      <c r="E120" s="116">
        <v>420.0</v>
      </c>
      <c r="F120" s="4" t="s">
        <v>343</v>
      </c>
      <c r="G120" s="90" t="str">
        <f t="shared" si="4"/>
        <v>📄 Ver bula</v>
      </c>
      <c r="H120" s="9" t="str">
        <f>IFERROR(__xludf.DUMMYFUNCTION("IFERROR(VLOOKUP(C120,
IMPORTRANGE(""1wULbzX32WdYsx-lj2U3uUNBBe2INVIRDtcK0d-Dvl90"",
""26-27!C:K""),
8,
FALSE),
"""")"),"")</f>
        <v/>
      </c>
      <c r="I120" s="117" t="s">
        <v>361</v>
      </c>
      <c r="J120" s="9">
        <f>IFERROR(SUM(
IF('TL01'!$B$3=J$3,SUMIF('TL01'!$C$10:$C$224,$C120,'TL01'!$J$10:$J$224),0),
IF('TL01'!$B$229=J$3,SUMIF('TL01'!$C$238:$C$451,$C120,'TL01'!$J$238:$J$451),0),
IF('TL02'!$B$3=J$3,SUMIF('TL02'!$C$10:$C$224,$C120,'TL02'!$J$10:$J$224),0),
IF('TL02'!$B$229=J$3,SUMIF('TL02'!$C$238:$C$451,$C120,'TL02'!$J$238:$J$451),0),
IF('TL03'!$B$3=J$3,SUMIF('TL03'!$C$10:$C$224,$C120,'TL03'!$J$10:$J$224),0),
IF('TL03'!$B$229=J$3,SUMIF('TL03'!$C$238:$C$451,$C120,'TL03'!$J$238:$J$451),0),
IF('TL04'!$B$3=J$3,SUMIF('TL04'!$C$10:$C$224,$C120,'TL04'!$J$10:$J$224),0),
IF('TL04'!$B$229=J$3,SUMIF('TL04'!$C$238:$C$451,$C120,'TL04'!$J$238:$J$451),0),
IF('TL05'!$B$3=J$3,SUMIF('TL05'!$C$10:$C$224,$C120,'TL05'!$J$10:$J$224),0),
IF('TL05'!$B$229=J$3,SUMIF('TL05'!$C$238:$C$451,$C120,'TL05'!$J$238:$J$451),0),
IF('TL06'!$B$3=J$3,SUMIF('TL06'!$C$10:$C$224,$C120,'TL06'!$J$10:$J$224),0),
IF('TL06'!$B$229=J$3,SUMIF('TL06'!$C$238:$C$451,$C120,'TL06'!$J$238:$J$451),0),
IF('TL07'!$B$3=J$3,SUMIF('TL07'!$C$10:$C$224,$C120,'TL07'!$J$10:$J$224),0),
IF('TL07'!$B$229=J$3,SUMIF('TL07'!$C$238:$C$451,$C120,'TL07'!$J$238:$J$451),0),
IF('TL08'!$B$3=J$3,SUMIF('TL08'!$C$10:$C$224,$C120,'TL08'!$J$10:$J$224),0),
IF('TL08'!$B$229=J$3,SUMIF('TL08'!$C$238:$C$451,$C120,'TL08'!$J$238:$J$451),0),
IF('TL09'!$B$3=J$3,SUMIF('TL09'!$C$10:$C$224,$C120,'TL09'!$J$10:$J$224),0),
IF('TL09'!$B$229=J$3,SUMIF('TL09'!$C$238:$C$451,$C120,'TL09'!$J$238:$J$451),0),
IF('TL10'!$B$3=J$3,SUMIF('TL10'!$C$10:$C$224,$C120,'TL10'!$J$10:$J$224),0),
IF('TL10'!$B$229=J$3,SUMIF('TL10'!$C$238:$C$451,$C120,'TL10'!$J$238:$J$451),0),
IF('TL11'!$B$3=J$3,SUMIF('TL11'!$C$10:$C$224,$C120,'TL11'!$J$10:$J$224),0),
IF('TL11'!$B$229=J$3,SUMIF('TL11'!$C$238:$C$451,$C120,'TL11'!$J$238:$J$451),0),
IF('TL12'!$B$3=J$3,SUMIF('TL12'!$C$10:$C$224,$C120,'TL12'!$J$10:$J$224),0),
IF('TL12'!$B$229=J$3,SUMIF('TL12'!$C$238:$C$451,$C120,'TL12'!$J$238:$J$451),0),
IF('TL13'!$B$3=J$3,SUMIF('TL13'!$C$10:$C$224,$C120,'TL13'!$J$10:$J$224),0),
IF('TL13'!$B$229=J$3,SUMIF('TL13'!$C$238:$C$451,$C120,'TL13'!$J$238:$J$451),0),
IF('TL14'!$B$3=J$3,SUMIF('TL14'!$C$10:$C$224,$C120,'TL14'!$J$10:$J$224),0),
IF('TL14'!$B$229=J$3,SUMIF('TL14'!$C$238:$C$451,$C120,'TL14'!$J$238:$J$451),0),
IF('TL15'!$B$3=J$3,SUMIF('TL15'!$C$10:$C$224,$C120,'TL15'!$J$10:$J$224),0),
IF('TL15'!$B$229=J$3,SUMIF('TL15'!$C$238:$C$451,$C120,'TL15'!$J$238:$J$451),0),
IF('TL16'!$B$3=J$3,SUMIF('TL16'!$C$10:$C$224,$C120,'TL16'!$J$10:$J$224),0),
IF('TL16'!$B$229=J$3,SUMIF('TL16'!$C$238:$C$451,$C120,'TL16'!$J$238:$J$451),0),
IF('TL17'!$B$3=J$3,SUMIF('TL17'!$C$10:$C$224,$C120,'TL17'!$J$10:$J$224),0),
IF('TL17'!$B$229=J$3,SUMIF('TL17'!$C$238:$C$451,$C120,'TL17'!$J$238:$J$451),0),
IF('TL18'!$B$3=J$3,SUMIF('TL18'!$C$10:$C$224,$C120,'TL18'!$J$10:$J$224),0),
IF('TL18'!$B$229=J$3,SUMIF('TL18'!$C$238:$C$451,$C120,'TL18'!$J$238:$J$451),0),
IF('TL19'!$B$3=J$3,SUMIF('TL19'!$C$10:$C$224,$C120,'TL19'!$J$10:$J$224),0),
IF('TL19'!$B$229=J$3,SUMIF('TL19'!$C$238:$C$451,$C120,'TL19'!$J$238:$J$451),0)
),0)</f>
        <v>0</v>
      </c>
      <c r="K120" s="9">
        <f>IFERROR(SUM(
IF('TL01'!$B$3=K$3,SUMIF('TL01'!$C$10:$C$224,$C120,'TL01'!$J$10:$J$224),0),
IF('TL01'!$B$229=K$3,SUMIF('TL01'!$C$238:$C$451,$C120,'TL01'!$J$238:$J$451),0),
IF('TL02'!$B$3=K$3,SUMIF('TL02'!$C$10:$C$224,$C120,'TL02'!$J$10:$J$224),0),
IF('TL02'!$B$229=K$3,SUMIF('TL02'!$C$238:$C$451,$C120,'TL02'!$J$238:$J$451),0),
IF('TL03'!$B$3=K$3,SUMIF('TL03'!$C$10:$C$224,$C120,'TL03'!$J$10:$J$224),0),
IF('TL03'!$B$229=K$3,SUMIF('TL03'!$C$238:$C$451,$C120,'TL03'!$J$238:$J$451),0),
IF('TL04'!$B$3=K$3,SUMIF('TL04'!$C$10:$C$224,$C120,'TL04'!$J$10:$J$224),0),
IF('TL04'!$B$229=K$3,SUMIF('TL04'!$C$238:$C$451,$C120,'TL04'!$J$238:$J$451),0),
IF('TL05'!$B$3=K$3,SUMIF('TL05'!$C$10:$C$224,$C120,'TL05'!$J$10:$J$224),0),
IF('TL05'!$B$229=K$3,SUMIF('TL05'!$C$238:$C$451,$C120,'TL05'!$J$238:$J$451),0),
IF('TL06'!$B$3=K$3,SUMIF('TL06'!$C$10:$C$224,$C120,'TL06'!$J$10:$J$224),0),
IF('TL06'!$B$229=K$3,SUMIF('TL06'!$C$238:$C$451,$C120,'TL06'!$J$238:$J$451),0),
IF('TL07'!$B$3=K$3,SUMIF('TL07'!$C$10:$C$224,$C120,'TL07'!$J$10:$J$224),0),
IF('TL07'!$B$229=K$3,SUMIF('TL07'!$C$238:$C$451,$C120,'TL07'!$J$238:$J$451),0),
IF('TL08'!$B$3=K$3,SUMIF('TL08'!$C$10:$C$224,$C120,'TL08'!$J$10:$J$224),0),
IF('TL08'!$B$229=K$3,SUMIF('TL08'!$C$238:$C$451,$C120,'TL08'!$J$238:$J$451),0),
IF('TL09'!$B$3=K$3,SUMIF('TL09'!$C$10:$C$224,$C120,'TL09'!$J$10:$J$224),0),
IF('TL09'!$B$229=K$3,SUMIF('TL09'!$C$238:$C$451,$C120,'TL09'!$J$238:$J$451),0),
IF('TL10'!$B$3=K$3,SUMIF('TL10'!$C$10:$C$224,$C120,'TL10'!$J$10:$J$224),0),
IF('TL10'!$B$229=K$3,SUMIF('TL10'!$C$238:$C$451,$C120,'TL10'!$J$238:$J$451),0),
IF('TL11'!$B$3=K$3,SUMIF('TL11'!$C$10:$C$224,$C120,'TL11'!$J$10:$J$224),0),
IF('TL11'!$B$229=K$3,SUMIF('TL11'!$C$238:$C$451,$C120,'TL11'!$J$238:$J$451),0),
IF('TL12'!$B$3=K$3,SUMIF('TL12'!$C$10:$C$224,$C120,'TL12'!$J$10:$J$224),0),
IF('TL12'!$B$229=K$3,SUMIF('TL12'!$C$238:$C$451,$C120,'TL12'!$J$238:$J$451),0),
IF('TL13'!$B$3=K$3,SUMIF('TL13'!$C$10:$C$224,$C120,'TL13'!$J$10:$J$224),0),
IF('TL13'!$B$229=K$3,SUMIF('TL13'!$C$238:$C$451,$C120,'TL13'!$J$238:$J$451),0),
IF('TL14'!$B$3=K$3,SUMIF('TL14'!$C$10:$C$224,$C120,'TL14'!$J$10:$J$224),0),
IF('TL14'!$B$229=K$3,SUMIF('TL14'!$C$238:$C$451,$C120,'TL14'!$J$238:$J$451),0),
IF('TL15'!$B$3=K$3,SUMIF('TL15'!$C$10:$C$224,$C120,'TL15'!$J$10:$J$224),0),
IF('TL15'!$B$229=K$3,SUMIF('TL15'!$C$238:$C$451,$C120,'TL15'!$J$238:$J$451),0),
IF('TL16'!$B$3=K$3,SUMIF('TL16'!$C$10:$C$224,$C120,'TL16'!$J$10:$J$224),0),
IF('TL16'!$B$229=K$3,SUMIF('TL16'!$C$238:$C$451,$C120,'TL16'!$J$238:$J$451),0),
IF('TL17'!$B$3=K$3,SUMIF('TL17'!$C$10:$C$224,$C120,'TL17'!$J$10:$J$224),0),
IF('TL17'!$B$229=K$3,SUMIF('TL17'!$C$238:$C$451,$C120,'TL17'!$J$238:$J$451),0),
IF('TL18'!$B$3=K$3,SUMIF('TL18'!$C$10:$C$224,$C120,'TL18'!$J$10:$J$224),0),
IF('TL18'!$B$229=K$3,SUMIF('TL18'!$C$238:$C$451,$C120,'TL18'!$J$238:$J$451),0),
IF('TL19'!$B$3=K$3,SUMIF('TL19'!$C$10:$C$224,$C120,'TL19'!$J$10:$J$224),0),
IF('TL19'!$B$229=K$3,SUMIF('TL19'!$C$238:$C$451,$C120,'TL19'!$J$238:$J$451),0)
),0)</f>
        <v>0</v>
      </c>
      <c r="L120" s="9">
        <f>IFERROR(SUM(
IF('TL01'!$B$3=L$3,SUMIF('TL01'!$C$10:$C$224,$C120,'TL01'!$J$10:$J$224),0),
IF('TL01'!$B$229=L$3,SUMIF('TL01'!$C$238:$C$451,$C120,'TL01'!$J$238:$J$451),0),
IF('TL02'!$B$3=L$3,SUMIF('TL02'!$C$10:$C$224,$C120,'TL02'!$J$10:$J$224),0),
IF('TL02'!$B$229=L$3,SUMIF('TL02'!$C$238:$C$451,$C120,'TL02'!$J$238:$J$451),0),
IF('TL03'!$B$3=L$3,SUMIF('TL03'!$C$10:$C$224,$C120,'TL03'!$J$10:$J$224),0),
IF('TL03'!$B$229=L$3,SUMIF('TL03'!$C$238:$C$451,$C120,'TL03'!$J$238:$J$451),0),
IF('TL04'!$B$3=L$3,SUMIF('TL04'!$C$10:$C$224,$C120,'TL04'!$J$10:$J$224),0),
IF('TL04'!$B$229=L$3,SUMIF('TL04'!$C$238:$C$451,$C120,'TL04'!$J$238:$J$451),0),
IF('TL05'!$B$3=L$3,SUMIF('TL05'!$C$10:$C$224,$C120,'TL05'!$J$10:$J$224),0),
IF('TL05'!$B$229=L$3,SUMIF('TL05'!$C$238:$C$451,$C120,'TL05'!$J$238:$J$451),0),
IF('TL06'!$B$3=L$3,SUMIF('TL06'!$C$10:$C$224,$C120,'TL06'!$J$10:$J$224),0),
IF('TL06'!$B$229=L$3,SUMIF('TL06'!$C$238:$C$451,$C120,'TL06'!$J$238:$J$451),0),
IF('TL07'!$B$3=L$3,SUMIF('TL07'!$C$10:$C$224,$C120,'TL07'!$J$10:$J$224),0),
IF('TL07'!$B$229=L$3,SUMIF('TL07'!$C$238:$C$451,$C120,'TL07'!$J$238:$J$451),0),
IF('TL08'!$B$3=L$3,SUMIF('TL08'!$C$10:$C$224,$C120,'TL08'!$J$10:$J$224),0),
IF('TL08'!$B$229=L$3,SUMIF('TL08'!$C$238:$C$451,$C120,'TL08'!$J$238:$J$451),0),
IF('TL09'!$B$3=L$3,SUMIF('TL09'!$C$10:$C$224,$C120,'TL09'!$J$10:$J$224),0),
IF('TL09'!$B$229=L$3,SUMIF('TL09'!$C$238:$C$451,$C120,'TL09'!$J$238:$J$451),0),
IF('TL10'!$B$3=L$3,SUMIF('TL10'!$C$10:$C$224,$C120,'TL10'!$J$10:$J$224),0),
IF('TL10'!$B$229=L$3,SUMIF('TL10'!$C$238:$C$451,$C120,'TL10'!$J$238:$J$451),0),
IF('TL11'!$B$3=L$3,SUMIF('TL11'!$C$10:$C$224,$C120,'TL11'!$J$10:$J$224),0),
IF('TL11'!$B$229=L$3,SUMIF('TL11'!$C$238:$C$451,$C120,'TL11'!$J$238:$J$451),0),
IF('TL12'!$B$3=L$3,SUMIF('TL12'!$C$10:$C$224,$C120,'TL12'!$J$10:$J$224),0),
IF('TL12'!$B$229=L$3,SUMIF('TL12'!$C$238:$C$451,$C120,'TL12'!$J$238:$J$451),0),
IF('TL13'!$B$3=L$3,SUMIF('TL13'!$C$10:$C$224,$C120,'TL13'!$J$10:$J$224),0),
IF('TL13'!$B$229=L$3,SUMIF('TL13'!$C$238:$C$451,$C120,'TL13'!$J$238:$J$451),0),
IF('TL14'!$B$3=L$3,SUMIF('TL14'!$C$10:$C$224,$C120,'TL14'!$J$10:$J$224),0),
IF('TL14'!$B$229=L$3,SUMIF('TL14'!$C$238:$C$451,$C120,'TL14'!$J$238:$J$451),0),
IF('TL15'!$B$3=L$3,SUMIF('TL15'!$C$10:$C$224,$C120,'TL15'!$J$10:$J$224),0),
IF('TL15'!$B$229=L$3,SUMIF('TL15'!$C$238:$C$451,$C120,'TL15'!$J$238:$J$451),0),
IF('TL16'!$B$3=L$3,SUMIF('TL16'!$C$10:$C$224,$C120,'TL16'!$J$10:$J$224),0),
IF('TL16'!$B$229=L$3,SUMIF('TL16'!$C$238:$C$451,$C120,'TL16'!$J$238:$J$451),0),
IF('TL17'!$B$3=L$3,SUMIF('TL17'!$C$10:$C$224,$C120,'TL17'!$J$10:$J$224),0),
IF('TL17'!$B$229=L$3,SUMIF('TL17'!$C$238:$C$451,$C120,'TL17'!$J$238:$J$451),0),
IF('TL18'!$B$3=L$3,SUMIF('TL18'!$C$10:$C$224,$C120,'TL18'!$J$10:$J$224),0),
IF('TL18'!$B$229=L$3,SUMIF('TL18'!$C$238:$C$451,$C120,'TL18'!$J$238:$J$451),0),
IF('TL19'!$B$3=L$3,SUMIF('TL19'!$C$10:$C$224,$C120,'TL19'!$J$10:$J$224),0),
IF('TL19'!$B$229=L$3,SUMIF('TL19'!$C$238:$C$451,$C120,'TL19'!$J$238:$J$451),0)
),0)</f>
        <v>0</v>
      </c>
      <c r="M120" s="9">
        <f>IFERROR(SUM(
IF('TL01'!$B$3=M$3,SUMIF('TL01'!$C$10:$C$224,$C120,'TL01'!$J$10:$J$224),0),
IF('TL01'!$B$229=M$3,SUMIF('TL01'!$C$238:$C$451,$C120,'TL01'!$J$238:$J$451),0),
IF('TL02'!$B$3=M$3,SUMIF('TL02'!$C$10:$C$224,$C120,'TL02'!$J$10:$J$224),0),
IF('TL02'!$B$229=M$3,SUMIF('TL02'!$C$238:$C$451,$C120,'TL02'!$J$238:$J$451),0),
IF('TL03'!$B$3=M$3,SUMIF('TL03'!$C$10:$C$224,$C120,'TL03'!$J$10:$J$224),0),
IF('TL03'!$B$229=M$3,SUMIF('TL03'!$C$238:$C$451,$C120,'TL03'!$J$238:$J$451),0),
IF('TL04'!$B$3=M$3,SUMIF('TL04'!$C$10:$C$224,$C120,'TL04'!$J$10:$J$224),0),
IF('TL04'!$B$229=M$3,SUMIF('TL04'!$C$238:$C$451,$C120,'TL04'!$J$238:$J$451),0),
IF('TL05'!$B$3=M$3,SUMIF('TL05'!$C$10:$C$224,$C120,'TL05'!$J$10:$J$224),0),
IF('TL05'!$B$229=M$3,SUMIF('TL05'!$C$238:$C$451,$C120,'TL05'!$J$238:$J$451),0),
IF('TL06'!$B$3=M$3,SUMIF('TL06'!$C$10:$C$224,$C120,'TL06'!$J$10:$J$224),0),
IF('TL06'!$B$229=M$3,SUMIF('TL06'!$C$238:$C$451,$C120,'TL06'!$J$238:$J$451),0),
IF('TL07'!$B$3=M$3,SUMIF('TL07'!$C$10:$C$224,$C120,'TL07'!$J$10:$J$224),0),
IF('TL07'!$B$229=M$3,SUMIF('TL07'!$C$238:$C$451,$C120,'TL07'!$J$238:$J$451),0),
IF('TL08'!$B$3=M$3,SUMIF('TL08'!$C$10:$C$224,$C120,'TL08'!$J$10:$J$224),0),
IF('TL08'!$B$229=M$3,SUMIF('TL08'!$C$238:$C$451,$C120,'TL08'!$J$238:$J$451),0),
IF('TL09'!$B$3=M$3,SUMIF('TL09'!$C$10:$C$224,$C120,'TL09'!$J$10:$J$224),0),
IF('TL09'!$B$229=M$3,SUMIF('TL09'!$C$238:$C$451,$C120,'TL09'!$J$238:$J$451),0),
IF('TL10'!$B$3=M$3,SUMIF('TL10'!$C$10:$C$224,$C120,'TL10'!$J$10:$J$224),0),
IF('TL10'!$B$229=M$3,SUMIF('TL10'!$C$238:$C$451,$C120,'TL10'!$J$238:$J$451),0),
IF('TL11'!$B$3=M$3,SUMIF('TL11'!$C$10:$C$224,$C120,'TL11'!$J$10:$J$224),0),
IF('TL11'!$B$229=M$3,SUMIF('TL11'!$C$238:$C$451,$C120,'TL11'!$J$238:$J$451),0),
IF('TL12'!$B$3=M$3,SUMIF('TL12'!$C$10:$C$224,$C120,'TL12'!$J$10:$J$224),0),
IF('TL12'!$B$229=M$3,SUMIF('TL12'!$C$238:$C$451,$C120,'TL12'!$J$238:$J$451),0),
IF('TL13'!$B$3=M$3,SUMIF('TL13'!$C$10:$C$224,$C120,'TL13'!$J$10:$J$224),0),
IF('TL13'!$B$229=M$3,SUMIF('TL13'!$C$238:$C$451,$C120,'TL13'!$J$238:$J$451),0),
IF('TL14'!$B$3=M$3,SUMIF('TL14'!$C$10:$C$224,$C120,'TL14'!$J$10:$J$224),0),
IF('TL14'!$B$229=M$3,SUMIF('TL14'!$C$238:$C$451,$C120,'TL14'!$J$238:$J$451),0),
IF('TL15'!$B$3=M$3,SUMIF('TL15'!$C$10:$C$224,$C120,'TL15'!$J$10:$J$224),0),
IF('TL15'!$B$229=M$3,SUMIF('TL15'!$C$238:$C$451,$C120,'TL15'!$J$238:$J$451),0),
IF('TL16'!$B$3=M$3,SUMIF('TL16'!$C$10:$C$224,$C120,'TL16'!$J$10:$J$224),0),
IF('TL16'!$B$229=M$3,SUMIF('TL16'!$C$238:$C$451,$C120,'TL16'!$J$238:$J$451),0),
IF('TL17'!$B$3=M$3,SUMIF('TL17'!$C$10:$C$224,$C120,'TL17'!$J$10:$J$224),0),
IF('TL17'!$B$229=M$3,SUMIF('TL17'!$C$238:$C$451,$C120,'TL17'!$J$238:$J$451),0),
IF('TL18'!$B$3=M$3,SUMIF('TL18'!$C$10:$C$224,$C120,'TL18'!$J$10:$J$224),0),
IF('TL18'!$B$229=M$3,SUMIF('TL18'!$C$238:$C$451,$C120,'TL18'!$J$238:$J$451),0),
IF('TL19'!$B$3=M$3,SUMIF('TL19'!$C$10:$C$224,$C120,'TL19'!$J$10:$J$224),0),
IF('TL19'!$B$229=M$3,SUMIF('TL19'!$C$238:$C$451,$C120,'TL19'!$J$238:$J$451),0)
),0)</f>
        <v>0</v>
      </c>
      <c r="N120" s="9">
        <f>IFERROR(SUM(
IF('TL01'!$B$3=N$3,SUMIF('TL01'!$C$10:$C$224,$C120,'TL01'!$J$10:$J$224),0),
IF('TL01'!$B$229=N$3,SUMIF('TL01'!$C$238:$C$451,$C120,'TL01'!$J$238:$J$451),0),
IF('TL02'!$B$3=N$3,SUMIF('TL02'!$C$10:$C$224,$C120,'TL02'!$J$10:$J$224),0),
IF('TL02'!$B$229=N$3,SUMIF('TL02'!$C$238:$C$451,$C120,'TL02'!$J$238:$J$451),0),
IF('TL03'!$B$3=N$3,SUMIF('TL03'!$C$10:$C$224,$C120,'TL03'!$J$10:$J$224),0),
IF('TL03'!$B$229=N$3,SUMIF('TL03'!$C$238:$C$451,$C120,'TL03'!$J$238:$J$451),0),
IF('TL04'!$B$3=N$3,SUMIF('TL04'!$C$10:$C$224,$C120,'TL04'!$J$10:$J$224),0),
IF('TL04'!$B$229=N$3,SUMIF('TL04'!$C$238:$C$451,$C120,'TL04'!$J$238:$J$451),0),
IF('TL05'!$B$3=N$3,SUMIF('TL05'!$C$10:$C$224,$C120,'TL05'!$J$10:$J$224),0),
IF('TL05'!$B$229=N$3,SUMIF('TL05'!$C$238:$C$451,$C120,'TL05'!$J$238:$J$451),0),
IF('TL06'!$B$3=N$3,SUMIF('TL06'!$C$10:$C$224,$C120,'TL06'!$J$10:$J$224),0),
IF('TL06'!$B$229=N$3,SUMIF('TL06'!$C$238:$C$451,$C120,'TL06'!$J$238:$J$451),0),
IF('TL07'!$B$3=N$3,SUMIF('TL07'!$C$10:$C$224,$C120,'TL07'!$J$10:$J$224),0),
IF('TL07'!$B$229=N$3,SUMIF('TL07'!$C$238:$C$451,$C120,'TL07'!$J$238:$J$451),0),
IF('TL08'!$B$3=N$3,SUMIF('TL08'!$C$10:$C$224,$C120,'TL08'!$J$10:$J$224),0),
IF('TL08'!$B$229=N$3,SUMIF('TL08'!$C$238:$C$451,$C120,'TL08'!$J$238:$J$451),0),
IF('TL09'!$B$3=N$3,SUMIF('TL09'!$C$10:$C$224,$C120,'TL09'!$J$10:$J$224),0),
IF('TL09'!$B$229=N$3,SUMIF('TL09'!$C$238:$C$451,$C120,'TL09'!$J$238:$J$451),0),
IF('TL10'!$B$3=N$3,SUMIF('TL10'!$C$10:$C$224,$C120,'TL10'!$J$10:$J$224),0),
IF('TL10'!$B$229=N$3,SUMIF('TL10'!$C$238:$C$451,$C120,'TL10'!$J$238:$J$451),0),
IF('TL11'!$B$3=N$3,SUMIF('TL11'!$C$10:$C$224,$C120,'TL11'!$J$10:$J$224),0),
IF('TL11'!$B$229=N$3,SUMIF('TL11'!$C$238:$C$451,$C120,'TL11'!$J$238:$J$451),0),
IF('TL12'!$B$3=N$3,SUMIF('TL12'!$C$10:$C$224,$C120,'TL12'!$J$10:$J$224),0),
IF('TL12'!$B$229=N$3,SUMIF('TL12'!$C$238:$C$451,$C120,'TL12'!$J$238:$J$451),0),
IF('TL13'!$B$3=N$3,SUMIF('TL13'!$C$10:$C$224,$C120,'TL13'!$J$10:$J$224),0),
IF('TL13'!$B$229=N$3,SUMIF('TL13'!$C$238:$C$451,$C120,'TL13'!$J$238:$J$451),0),
IF('TL14'!$B$3=N$3,SUMIF('TL14'!$C$10:$C$224,$C120,'TL14'!$J$10:$J$224),0),
IF('TL14'!$B$229=N$3,SUMIF('TL14'!$C$238:$C$451,$C120,'TL14'!$J$238:$J$451),0),
IF('TL15'!$B$3=N$3,SUMIF('TL15'!$C$10:$C$224,$C120,'TL15'!$J$10:$J$224),0),
IF('TL15'!$B$229=N$3,SUMIF('TL15'!$C$238:$C$451,$C120,'TL15'!$J$238:$J$451),0),
IF('TL16'!$B$3=N$3,SUMIF('TL16'!$C$10:$C$224,$C120,'TL16'!$J$10:$J$224),0),
IF('TL16'!$B$229=N$3,SUMIF('TL16'!$C$238:$C$451,$C120,'TL16'!$J$238:$J$451),0),
IF('TL17'!$B$3=N$3,SUMIF('TL17'!$C$10:$C$224,$C120,'TL17'!$J$10:$J$224),0),
IF('TL17'!$B$229=N$3,SUMIF('TL17'!$C$238:$C$451,$C120,'TL17'!$J$238:$J$451),0),
IF('TL18'!$B$3=N$3,SUMIF('TL18'!$C$10:$C$224,$C120,'TL18'!$J$10:$J$224),0),
IF('TL18'!$B$229=N$3,SUMIF('TL18'!$C$238:$C$451,$C120,'TL18'!$J$238:$J$451),0),
IF('TL19'!$B$3=N$3,SUMIF('TL19'!$C$10:$C$224,$C120,'TL19'!$J$10:$J$224),0),
IF('TL19'!$B$229=N$3,SUMIF('TL19'!$C$238:$C$451,$C120,'TL19'!$J$238:$J$451),0)
),0)</f>
        <v>0</v>
      </c>
      <c r="O120" s="9">
        <f>IFERROR(SUM(
IF('TL01'!$B$3=O$3,SUMIF('TL01'!$C$10:$C$224,$C120,'TL01'!$J$10:$J$224),0),
IF('TL01'!$B$229=O$3,SUMIF('TL01'!$C$238:$C$451,$C120,'TL01'!$J$238:$J$451),0),
IF('TL02'!$B$3=O$3,SUMIF('TL02'!$C$10:$C$224,$C120,'TL02'!$J$10:$J$224),0),
IF('TL02'!$B$229=O$3,SUMIF('TL02'!$C$238:$C$451,$C120,'TL02'!$J$238:$J$451),0),
IF('TL03'!$B$3=O$3,SUMIF('TL03'!$C$10:$C$224,$C120,'TL03'!$J$10:$J$224),0),
IF('TL03'!$B$229=O$3,SUMIF('TL03'!$C$238:$C$451,$C120,'TL03'!$J$238:$J$451),0),
IF('TL04'!$B$3=O$3,SUMIF('TL04'!$C$10:$C$224,$C120,'TL04'!$J$10:$J$224),0),
IF('TL04'!$B$229=O$3,SUMIF('TL04'!$C$238:$C$451,$C120,'TL04'!$J$238:$J$451),0),
IF('TL05'!$B$3=O$3,SUMIF('TL05'!$C$10:$C$224,$C120,'TL05'!$J$10:$J$224),0),
IF('TL05'!$B$229=O$3,SUMIF('TL05'!$C$238:$C$451,$C120,'TL05'!$J$238:$J$451),0),
IF('TL06'!$B$3=O$3,SUMIF('TL06'!$C$10:$C$224,$C120,'TL06'!$J$10:$J$224),0),
IF('TL06'!$B$229=O$3,SUMIF('TL06'!$C$238:$C$451,$C120,'TL06'!$J$238:$J$451),0),
IF('TL07'!$B$3=O$3,SUMIF('TL07'!$C$10:$C$224,$C120,'TL07'!$J$10:$J$224),0),
IF('TL07'!$B$229=O$3,SUMIF('TL07'!$C$238:$C$451,$C120,'TL07'!$J$238:$J$451),0),
IF('TL08'!$B$3=O$3,SUMIF('TL08'!$C$10:$C$224,$C120,'TL08'!$J$10:$J$224),0),
IF('TL08'!$B$229=O$3,SUMIF('TL08'!$C$238:$C$451,$C120,'TL08'!$J$238:$J$451),0),
IF('TL09'!$B$3=O$3,SUMIF('TL09'!$C$10:$C$224,$C120,'TL09'!$J$10:$J$224),0),
IF('TL09'!$B$229=O$3,SUMIF('TL09'!$C$238:$C$451,$C120,'TL09'!$J$238:$J$451),0),
IF('TL10'!$B$3=O$3,SUMIF('TL10'!$C$10:$C$224,$C120,'TL10'!$J$10:$J$224),0),
IF('TL10'!$B$229=O$3,SUMIF('TL10'!$C$238:$C$451,$C120,'TL10'!$J$238:$J$451),0),
IF('TL11'!$B$3=O$3,SUMIF('TL11'!$C$10:$C$224,$C120,'TL11'!$J$10:$J$224),0),
IF('TL11'!$B$229=O$3,SUMIF('TL11'!$C$238:$C$451,$C120,'TL11'!$J$238:$J$451),0),
IF('TL12'!$B$3=O$3,SUMIF('TL12'!$C$10:$C$224,$C120,'TL12'!$J$10:$J$224),0),
IF('TL12'!$B$229=O$3,SUMIF('TL12'!$C$238:$C$451,$C120,'TL12'!$J$238:$J$451),0),
IF('TL13'!$B$3=O$3,SUMIF('TL13'!$C$10:$C$224,$C120,'TL13'!$J$10:$J$224),0),
IF('TL13'!$B$229=O$3,SUMIF('TL13'!$C$238:$C$451,$C120,'TL13'!$J$238:$J$451),0),
IF('TL14'!$B$3=O$3,SUMIF('TL14'!$C$10:$C$224,$C120,'TL14'!$J$10:$J$224),0),
IF('TL14'!$B$229=O$3,SUMIF('TL14'!$C$238:$C$451,$C120,'TL14'!$J$238:$J$451),0),
IF('TL15'!$B$3=O$3,SUMIF('TL15'!$C$10:$C$224,$C120,'TL15'!$J$10:$J$224),0),
IF('TL15'!$B$229=O$3,SUMIF('TL15'!$C$238:$C$451,$C120,'TL15'!$J$238:$J$451),0),
IF('TL16'!$B$3=O$3,SUMIF('TL16'!$C$10:$C$224,$C120,'TL16'!$J$10:$J$224),0),
IF('TL16'!$B$229=O$3,SUMIF('TL16'!$C$238:$C$451,$C120,'TL16'!$J$238:$J$451),0),
IF('TL17'!$B$3=O$3,SUMIF('TL17'!$C$10:$C$224,$C120,'TL17'!$J$10:$J$224),0),
IF('TL17'!$B$229=O$3,SUMIF('TL17'!$C$238:$C$451,$C120,'TL17'!$J$238:$J$451),0),
IF('TL18'!$B$3=O$3,SUMIF('TL18'!$C$10:$C$224,$C120,'TL18'!$J$10:$J$224),0),
IF('TL18'!$B$229=O$3,SUMIF('TL18'!$C$238:$C$451,$C120,'TL18'!$J$238:$J$451),0),
IF('TL19'!$B$3=O$3,SUMIF('TL19'!$C$10:$C$224,$C120,'TL19'!$J$10:$J$224),0),
IF('TL19'!$B$229=O$3,SUMIF('TL19'!$C$238:$C$451,$C120,'TL19'!$J$238:$J$451),0)
),0)</f>
        <v>0</v>
      </c>
      <c r="P120" s="9">
        <f>IFERROR(SUM(
IF('TL01'!$B$3=P$3,SUMIF('TL01'!$C$10:$C$224,$C120,'TL01'!$J$10:$J$224),0),
IF('TL01'!$B$229=P$3,SUMIF('TL01'!$C$238:$C$451,$C120,'TL01'!$J$238:$J$451),0),
IF('TL02'!$B$3=P$3,SUMIF('TL02'!$C$10:$C$224,$C120,'TL02'!$J$10:$J$224),0),
IF('TL02'!$B$229=P$3,SUMIF('TL02'!$C$238:$C$451,$C120,'TL02'!$J$238:$J$451),0),
IF('TL03'!$B$3=P$3,SUMIF('TL03'!$C$10:$C$224,$C120,'TL03'!$J$10:$J$224),0),
IF('TL03'!$B$229=P$3,SUMIF('TL03'!$C$238:$C$451,$C120,'TL03'!$J$238:$J$451),0),
IF('TL04'!$B$3=P$3,SUMIF('TL04'!$C$10:$C$224,$C120,'TL04'!$J$10:$J$224),0),
IF('TL04'!$B$229=P$3,SUMIF('TL04'!$C$238:$C$451,$C120,'TL04'!$J$238:$J$451),0),
IF('TL05'!$B$3=P$3,SUMIF('TL05'!$C$10:$C$224,$C120,'TL05'!$J$10:$J$224),0),
IF('TL05'!$B$229=P$3,SUMIF('TL05'!$C$238:$C$451,$C120,'TL05'!$J$238:$J$451),0),
IF('TL06'!$B$3=P$3,SUMIF('TL06'!$C$10:$C$224,$C120,'TL06'!$J$10:$J$224),0),
IF('TL06'!$B$229=P$3,SUMIF('TL06'!$C$238:$C$451,$C120,'TL06'!$J$238:$J$451),0),
IF('TL07'!$B$3=P$3,SUMIF('TL07'!$C$10:$C$224,$C120,'TL07'!$J$10:$J$224),0),
IF('TL07'!$B$229=P$3,SUMIF('TL07'!$C$238:$C$451,$C120,'TL07'!$J$238:$J$451),0),
IF('TL08'!$B$3=P$3,SUMIF('TL08'!$C$10:$C$224,$C120,'TL08'!$J$10:$J$224),0),
IF('TL08'!$B$229=P$3,SUMIF('TL08'!$C$238:$C$451,$C120,'TL08'!$J$238:$J$451),0),
IF('TL09'!$B$3=P$3,SUMIF('TL09'!$C$10:$C$224,$C120,'TL09'!$J$10:$J$224),0),
IF('TL09'!$B$229=P$3,SUMIF('TL09'!$C$238:$C$451,$C120,'TL09'!$J$238:$J$451),0),
IF('TL10'!$B$3=P$3,SUMIF('TL10'!$C$10:$C$224,$C120,'TL10'!$J$10:$J$224),0),
IF('TL10'!$B$229=P$3,SUMIF('TL10'!$C$238:$C$451,$C120,'TL10'!$J$238:$J$451),0),
IF('TL11'!$B$3=P$3,SUMIF('TL11'!$C$10:$C$224,$C120,'TL11'!$J$10:$J$224),0),
IF('TL11'!$B$229=P$3,SUMIF('TL11'!$C$238:$C$451,$C120,'TL11'!$J$238:$J$451),0),
IF('TL12'!$B$3=P$3,SUMIF('TL12'!$C$10:$C$224,$C120,'TL12'!$J$10:$J$224),0),
IF('TL12'!$B$229=P$3,SUMIF('TL12'!$C$238:$C$451,$C120,'TL12'!$J$238:$J$451),0),
IF('TL13'!$B$3=P$3,SUMIF('TL13'!$C$10:$C$224,$C120,'TL13'!$J$10:$J$224),0),
IF('TL13'!$B$229=P$3,SUMIF('TL13'!$C$238:$C$451,$C120,'TL13'!$J$238:$J$451),0),
IF('TL14'!$B$3=P$3,SUMIF('TL14'!$C$10:$C$224,$C120,'TL14'!$J$10:$J$224),0),
IF('TL14'!$B$229=P$3,SUMIF('TL14'!$C$238:$C$451,$C120,'TL14'!$J$238:$J$451),0),
IF('TL15'!$B$3=P$3,SUMIF('TL15'!$C$10:$C$224,$C120,'TL15'!$J$10:$J$224),0),
IF('TL15'!$B$229=P$3,SUMIF('TL15'!$C$238:$C$451,$C120,'TL15'!$J$238:$J$451),0),
IF('TL16'!$B$3=P$3,SUMIF('TL16'!$C$10:$C$224,$C120,'TL16'!$J$10:$J$224),0),
IF('TL16'!$B$229=P$3,SUMIF('TL16'!$C$238:$C$451,$C120,'TL16'!$J$238:$J$451),0),
IF('TL17'!$B$3=P$3,SUMIF('TL17'!$C$10:$C$224,$C120,'TL17'!$J$10:$J$224),0),
IF('TL17'!$B$229=P$3,SUMIF('TL17'!$C$238:$C$451,$C120,'TL17'!$J$238:$J$451),0),
IF('TL18'!$B$3=P$3,SUMIF('TL18'!$C$10:$C$224,$C120,'TL18'!$J$10:$J$224),0),
IF('TL18'!$B$229=P$3,SUMIF('TL18'!$C$238:$C$451,$C120,'TL18'!$J$238:$J$451),0),
IF('TL19'!$B$3=P$3,SUMIF('TL19'!$C$10:$C$224,$C120,'TL19'!$J$10:$J$224),0),
IF('TL19'!$B$229=P$3,SUMIF('TL19'!$C$238:$C$451,$C120,'TL19'!$J$238:$J$451),0)
),0)</f>
        <v>0</v>
      </c>
      <c r="Q120" s="9">
        <f>IFERROR(SUM(
IF('TL01'!$B$3=Q$3,SUMIF('TL01'!$C$10:$C$224,$C120,'TL01'!$J$10:$J$224),0),
IF('TL01'!$B$229=Q$3,SUMIF('TL01'!$C$238:$C$451,$C120,'TL01'!$J$238:$J$451),0),
IF('TL02'!$B$3=Q$3,SUMIF('TL02'!$C$10:$C$224,$C120,'TL02'!$J$10:$J$224),0),
IF('TL02'!$B$229=Q$3,SUMIF('TL02'!$C$238:$C$451,$C120,'TL02'!$J$238:$J$451),0),
IF('TL03'!$B$3=Q$3,SUMIF('TL03'!$C$10:$C$224,$C120,'TL03'!$J$10:$J$224),0),
IF('TL03'!$B$229=Q$3,SUMIF('TL03'!$C$238:$C$451,$C120,'TL03'!$J$238:$J$451),0),
IF('TL04'!$B$3=Q$3,SUMIF('TL04'!$C$10:$C$224,$C120,'TL04'!$J$10:$J$224),0),
IF('TL04'!$B$229=Q$3,SUMIF('TL04'!$C$238:$C$451,$C120,'TL04'!$J$238:$J$451),0),
IF('TL05'!$B$3=Q$3,SUMIF('TL05'!$C$10:$C$224,$C120,'TL05'!$J$10:$J$224),0),
IF('TL05'!$B$229=Q$3,SUMIF('TL05'!$C$238:$C$451,$C120,'TL05'!$J$238:$J$451),0),
IF('TL06'!$B$3=Q$3,SUMIF('TL06'!$C$10:$C$224,$C120,'TL06'!$J$10:$J$224),0),
IF('TL06'!$B$229=Q$3,SUMIF('TL06'!$C$238:$C$451,$C120,'TL06'!$J$238:$J$451),0),
IF('TL07'!$B$3=Q$3,SUMIF('TL07'!$C$10:$C$224,$C120,'TL07'!$J$10:$J$224),0),
IF('TL07'!$B$229=Q$3,SUMIF('TL07'!$C$238:$C$451,$C120,'TL07'!$J$238:$J$451),0),
IF('TL08'!$B$3=Q$3,SUMIF('TL08'!$C$10:$C$224,$C120,'TL08'!$J$10:$J$224),0),
IF('TL08'!$B$229=Q$3,SUMIF('TL08'!$C$238:$C$451,$C120,'TL08'!$J$238:$J$451),0),
IF('TL09'!$B$3=Q$3,SUMIF('TL09'!$C$10:$C$224,$C120,'TL09'!$J$10:$J$224),0),
IF('TL09'!$B$229=Q$3,SUMIF('TL09'!$C$238:$C$451,$C120,'TL09'!$J$238:$J$451),0),
IF('TL10'!$B$3=Q$3,SUMIF('TL10'!$C$10:$C$224,$C120,'TL10'!$J$10:$J$224),0),
IF('TL10'!$B$229=Q$3,SUMIF('TL10'!$C$238:$C$451,$C120,'TL10'!$J$238:$J$451),0),
IF('TL11'!$B$3=Q$3,SUMIF('TL11'!$C$10:$C$224,$C120,'TL11'!$J$10:$J$224),0),
IF('TL11'!$B$229=Q$3,SUMIF('TL11'!$C$238:$C$451,$C120,'TL11'!$J$238:$J$451),0),
IF('TL12'!$B$3=Q$3,SUMIF('TL12'!$C$10:$C$224,$C120,'TL12'!$J$10:$J$224),0),
IF('TL12'!$B$229=Q$3,SUMIF('TL12'!$C$238:$C$451,$C120,'TL12'!$J$238:$J$451),0),
IF('TL13'!$B$3=Q$3,SUMIF('TL13'!$C$10:$C$224,$C120,'TL13'!$J$10:$J$224),0),
IF('TL13'!$B$229=Q$3,SUMIF('TL13'!$C$238:$C$451,$C120,'TL13'!$J$238:$J$451),0),
IF('TL14'!$B$3=Q$3,SUMIF('TL14'!$C$10:$C$224,$C120,'TL14'!$J$10:$J$224),0),
IF('TL14'!$B$229=Q$3,SUMIF('TL14'!$C$238:$C$451,$C120,'TL14'!$J$238:$J$451),0),
IF('TL15'!$B$3=Q$3,SUMIF('TL15'!$C$10:$C$224,$C120,'TL15'!$J$10:$J$224),0),
IF('TL15'!$B$229=Q$3,SUMIF('TL15'!$C$238:$C$451,$C120,'TL15'!$J$238:$J$451),0),
IF('TL16'!$B$3=Q$3,SUMIF('TL16'!$C$10:$C$224,$C120,'TL16'!$J$10:$J$224),0),
IF('TL16'!$B$229=Q$3,SUMIF('TL16'!$C$238:$C$451,$C120,'TL16'!$J$238:$J$451),0),
IF('TL17'!$B$3=Q$3,SUMIF('TL17'!$C$10:$C$224,$C120,'TL17'!$J$10:$J$224),0),
IF('TL17'!$B$229=Q$3,SUMIF('TL17'!$C$238:$C$451,$C120,'TL17'!$J$238:$J$451),0),
IF('TL18'!$B$3=Q$3,SUMIF('TL18'!$C$10:$C$224,$C120,'TL18'!$J$10:$J$224),0),
IF('TL18'!$B$229=Q$3,SUMIF('TL18'!$C$238:$C$451,$C120,'TL18'!$J$238:$J$451),0),
IF('TL19'!$B$3=Q$3,SUMIF('TL19'!$C$10:$C$224,$C120,'TL19'!$J$10:$J$224),0),
IF('TL19'!$B$229=Q$3,SUMIF('TL19'!$C$238:$C$451,$C120,'TL19'!$J$238:$J$451),0)
),0)</f>
        <v>0</v>
      </c>
      <c r="R120" s="9">
        <f>IFERROR(
SUM(
SUMIF('TL01'!C:C,C120,'TL01'!J:J),
SUMIF('TL02'!C:C,C120,'TL02'!J:J),
SUMIF('TL03'!C:C,C120,'TL03'!J:J),
SUMIF('TL04'!C:C,C120,'TL04'!J:J),
SUMIF('TL05'!C:C,C120,'TL05'!J:J),
SUMIF('TL06'!C:C,C120,'TL06'!J:J),
SUMIF('TL07'!C:C,C120,'TL07'!J:J),
SUMIF('TL08'!C:C,C120,'TL08'!J:J),
SUMIF('TL09'!C:C,C120,'TL09'!J:J),
SUMIF('TL10'!C:C,C120,'TL10'!J:J),
SUMIF('TL11'!C:C,C120,'TL11'!J:J),
SUMIF('TL12'!C:C,C120,'TL12'!J:J),
SUMIF('TL13'!C:C,C120,'TL13'!J:J),
SUMIF('TL14'!C:C,C120,'TL14'!J:J),
SUMIF('TL15'!C:C,C120,'TL15'!J:J),
SUMIF('TL16'!C:C,C120,'TL16'!J:J),
SUMIF('TL17'!C:C,C120,'TL17'!J:J),
SUMIF('TL18'!C:C,C120,'TL18'!J:J),SUMIF('TL19'!C:C,C120,'TL19'!J:J))
,0)</f>
        <v>0</v>
      </c>
      <c r="S120" s="17">
        <f>IFERROR(__xludf.DUMMYFUNCTION("IFERROR(VLOOKUP(C120,
IMPORTRANGE(""1wULbzX32WdYsx-lj2U3uUNBBe2INVIRDtcK0d-Dvl90"",
""26-27!C:G""),
5,
FALSE),
"""")"),390.822)</f>
        <v>390.822</v>
      </c>
      <c r="T120" s="9"/>
      <c r="U120" s="92">
        <f t="shared" si="2"/>
        <v>0</v>
      </c>
      <c r="V120" s="93">
        <f t="shared" si="3"/>
        <v>0</v>
      </c>
    </row>
    <row r="121" ht="15.75" hidden="1" customHeight="1">
      <c r="A121" s="111" t="s">
        <v>480</v>
      </c>
      <c r="B121" s="112" t="s">
        <v>1</v>
      </c>
      <c r="C121" s="113" t="s">
        <v>641</v>
      </c>
      <c r="D121" s="113" t="s">
        <v>642</v>
      </c>
      <c r="E121" s="113" t="s">
        <v>643</v>
      </c>
      <c r="F121" s="4" t="s">
        <v>343</v>
      </c>
      <c r="G121" s="90" t="str">
        <f t="shared" si="4"/>
        <v>📄 Ver bula</v>
      </c>
      <c r="H121" s="9" t="str">
        <f>IFERROR(__xludf.DUMMYFUNCTION("IFERROR(VLOOKUP(C121,
IMPORTRANGE(""1wULbzX32WdYsx-lj2U3uUNBBe2INVIRDtcK0d-Dvl90"",
""26-27!C:K""),
8,
FALSE),
"""")"),"")</f>
        <v/>
      </c>
      <c r="I121" s="114" t="s">
        <v>344</v>
      </c>
      <c r="J121" s="9">
        <f>IFERROR(SUM(
IF('TL01'!$B$3=J$3,SUMIF('TL01'!$C$10:$C$224,$C121,'TL01'!$J$10:$J$224),0),
IF('TL01'!$B$229=J$3,SUMIF('TL01'!$C$238:$C$451,$C121,'TL01'!$J$238:$J$451),0),
IF('TL02'!$B$3=J$3,SUMIF('TL02'!$C$10:$C$224,$C121,'TL02'!$J$10:$J$224),0),
IF('TL02'!$B$229=J$3,SUMIF('TL02'!$C$238:$C$451,$C121,'TL02'!$J$238:$J$451),0),
IF('TL03'!$B$3=J$3,SUMIF('TL03'!$C$10:$C$224,$C121,'TL03'!$J$10:$J$224),0),
IF('TL03'!$B$229=J$3,SUMIF('TL03'!$C$238:$C$451,$C121,'TL03'!$J$238:$J$451),0),
IF('TL04'!$B$3=J$3,SUMIF('TL04'!$C$10:$C$224,$C121,'TL04'!$J$10:$J$224),0),
IF('TL04'!$B$229=J$3,SUMIF('TL04'!$C$238:$C$451,$C121,'TL04'!$J$238:$J$451),0),
IF('TL05'!$B$3=J$3,SUMIF('TL05'!$C$10:$C$224,$C121,'TL05'!$J$10:$J$224),0),
IF('TL05'!$B$229=J$3,SUMIF('TL05'!$C$238:$C$451,$C121,'TL05'!$J$238:$J$451),0),
IF('TL06'!$B$3=J$3,SUMIF('TL06'!$C$10:$C$224,$C121,'TL06'!$J$10:$J$224),0),
IF('TL06'!$B$229=J$3,SUMIF('TL06'!$C$238:$C$451,$C121,'TL06'!$J$238:$J$451),0),
IF('TL07'!$B$3=J$3,SUMIF('TL07'!$C$10:$C$224,$C121,'TL07'!$J$10:$J$224),0),
IF('TL07'!$B$229=J$3,SUMIF('TL07'!$C$238:$C$451,$C121,'TL07'!$J$238:$J$451),0),
IF('TL08'!$B$3=J$3,SUMIF('TL08'!$C$10:$C$224,$C121,'TL08'!$J$10:$J$224),0),
IF('TL08'!$B$229=J$3,SUMIF('TL08'!$C$238:$C$451,$C121,'TL08'!$J$238:$J$451),0),
IF('TL09'!$B$3=J$3,SUMIF('TL09'!$C$10:$C$224,$C121,'TL09'!$J$10:$J$224),0),
IF('TL09'!$B$229=J$3,SUMIF('TL09'!$C$238:$C$451,$C121,'TL09'!$J$238:$J$451),0),
IF('TL10'!$B$3=J$3,SUMIF('TL10'!$C$10:$C$224,$C121,'TL10'!$J$10:$J$224),0),
IF('TL10'!$B$229=J$3,SUMIF('TL10'!$C$238:$C$451,$C121,'TL10'!$J$238:$J$451),0),
IF('TL11'!$B$3=J$3,SUMIF('TL11'!$C$10:$C$224,$C121,'TL11'!$J$10:$J$224),0),
IF('TL11'!$B$229=J$3,SUMIF('TL11'!$C$238:$C$451,$C121,'TL11'!$J$238:$J$451),0),
IF('TL12'!$B$3=J$3,SUMIF('TL12'!$C$10:$C$224,$C121,'TL12'!$J$10:$J$224),0),
IF('TL12'!$B$229=J$3,SUMIF('TL12'!$C$238:$C$451,$C121,'TL12'!$J$238:$J$451),0),
IF('TL13'!$B$3=J$3,SUMIF('TL13'!$C$10:$C$224,$C121,'TL13'!$J$10:$J$224),0),
IF('TL13'!$B$229=J$3,SUMIF('TL13'!$C$238:$C$451,$C121,'TL13'!$J$238:$J$451),0),
IF('TL14'!$B$3=J$3,SUMIF('TL14'!$C$10:$C$224,$C121,'TL14'!$J$10:$J$224),0),
IF('TL14'!$B$229=J$3,SUMIF('TL14'!$C$238:$C$451,$C121,'TL14'!$J$238:$J$451),0),
IF('TL15'!$B$3=J$3,SUMIF('TL15'!$C$10:$C$224,$C121,'TL15'!$J$10:$J$224),0),
IF('TL15'!$B$229=J$3,SUMIF('TL15'!$C$238:$C$451,$C121,'TL15'!$J$238:$J$451),0),
IF('TL16'!$B$3=J$3,SUMIF('TL16'!$C$10:$C$224,$C121,'TL16'!$J$10:$J$224),0),
IF('TL16'!$B$229=J$3,SUMIF('TL16'!$C$238:$C$451,$C121,'TL16'!$J$238:$J$451),0),
IF('TL17'!$B$3=J$3,SUMIF('TL17'!$C$10:$C$224,$C121,'TL17'!$J$10:$J$224),0),
IF('TL17'!$B$229=J$3,SUMIF('TL17'!$C$238:$C$451,$C121,'TL17'!$J$238:$J$451),0),
IF('TL18'!$B$3=J$3,SUMIF('TL18'!$C$10:$C$224,$C121,'TL18'!$J$10:$J$224),0),
IF('TL18'!$B$229=J$3,SUMIF('TL18'!$C$238:$C$451,$C121,'TL18'!$J$238:$J$451),0),
IF('TL19'!$B$3=J$3,SUMIF('TL19'!$C$10:$C$224,$C121,'TL19'!$J$10:$J$224),0),
IF('TL19'!$B$229=J$3,SUMIF('TL19'!$C$238:$C$451,$C121,'TL19'!$J$238:$J$451),0)
),0)</f>
        <v>0</v>
      </c>
      <c r="K121" s="9">
        <f>IFERROR(SUM(
IF('TL01'!$B$3=K$3,SUMIF('TL01'!$C$10:$C$224,$C121,'TL01'!$J$10:$J$224),0),
IF('TL01'!$B$229=K$3,SUMIF('TL01'!$C$238:$C$451,$C121,'TL01'!$J$238:$J$451),0),
IF('TL02'!$B$3=K$3,SUMIF('TL02'!$C$10:$C$224,$C121,'TL02'!$J$10:$J$224),0),
IF('TL02'!$B$229=K$3,SUMIF('TL02'!$C$238:$C$451,$C121,'TL02'!$J$238:$J$451),0),
IF('TL03'!$B$3=K$3,SUMIF('TL03'!$C$10:$C$224,$C121,'TL03'!$J$10:$J$224),0),
IF('TL03'!$B$229=K$3,SUMIF('TL03'!$C$238:$C$451,$C121,'TL03'!$J$238:$J$451),0),
IF('TL04'!$B$3=K$3,SUMIF('TL04'!$C$10:$C$224,$C121,'TL04'!$J$10:$J$224),0),
IF('TL04'!$B$229=K$3,SUMIF('TL04'!$C$238:$C$451,$C121,'TL04'!$J$238:$J$451),0),
IF('TL05'!$B$3=K$3,SUMIF('TL05'!$C$10:$C$224,$C121,'TL05'!$J$10:$J$224),0),
IF('TL05'!$B$229=K$3,SUMIF('TL05'!$C$238:$C$451,$C121,'TL05'!$J$238:$J$451),0),
IF('TL06'!$B$3=K$3,SUMIF('TL06'!$C$10:$C$224,$C121,'TL06'!$J$10:$J$224),0),
IF('TL06'!$B$229=K$3,SUMIF('TL06'!$C$238:$C$451,$C121,'TL06'!$J$238:$J$451),0),
IF('TL07'!$B$3=K$3,SUMIF('TL07'!$C$10:$C$224,$C121,'TL07'!$J$10:$J$224),0),
IF('TL07'!$B$229=K$3,SUMIF('TL07'!$C$238:$C$451,$C121,'TL07'!$J$238:$J$451),0),
IF('TL08'!$B$3=K$3,SUMIF('TL08'!$C$10:$C$224,$C121,'TL08'!$J$10:$J$224),0),
IF('TL08'!$B$229=K$3,SUMIF('TL08'!$C$238:$C$451,$C121,'TL08'!$J$238:$J$451),0),
IF('TL09'!$B$3=K$3,SUMIF('TL09'!$C$10:$C$224,$C121,'TL09'!$J$10:$J$224),0),
IF('TL09'!$B$229=K$3,SUMIF('TL09'!$C$238:$C$451,$C121,'TL09'!$J$238:$J$451),0),
IF('TL10'!$B$3=K$3,SUMIF('TL10'!$C$10:$C$224,$C121,'TL10'!$J$10:$J$224),0),
IF('TL10'!$B$229=K$3,SUMIF('TL10'!$C$238:$C$451,$C121,'TL10'!$J$238:$J$451),0),
IF('TL11'!$B$3=K$3,SUMIF('TL11'!$C$10:$C$224,$C121,'TL11'!$J$10:$J$224),0),
IF('TL11'!$B$229=K$3,SUMIF('TL11'!$C$238:$C$451,$C121,'TL11'!$J$238:$J$451),0),
IF('TL12'!$B$3=K$3,SUMIF('TL12'!$C$10:$C$224,$C121,'TL12'!$J$10:$J$224),0),
IF('TL12'!$B$229=K$3,SUMIF('TL12'!$C$238:$C$451,$C121,'TL12'!$J$238:$J$451),0),
IF('TL13'!$B$3=K$3,SUMIF('TL13'!$C$10:$C$224,$C121,'TL13'!$J$10:$J$224),0),
IF('TL13'!$B$229=K$3,SUMIF('TL13'!$C$238:$C$451,$C121,'TL13'!$J$238:$J$451),0),
IF('TL14'!$B$3=K$3,SUMIF('TL14'!$C$10:$C$224,$C121,'TL14'!$J$10:$J$224),0),
IF('TL14'!$B$229=K$3,SUMIF('TL14'!$C$238:$C$451,$C121,'TL14'!$J$238:$J$451),0),
IF('TL15'!$B$3=K$3,SUMIF('TL15'!$C$10:$C$224,$C121,'TL15'!$J$10:$J$224),0),
IF('TL15'!$B$229=K$3,SUMIF('TL15'!$C$238:$C$451,$C121,'TL15'!$J$238:$J$451),0),
IF('TL16'!$B$3=K$3,SUMIF('TL16'!$C$10:$C$224,$C121,'TL16'!$J$10:$J$224),0),
IF('TL16'!$B$229=K$3,SUMIF('TL16'!$C$238:$C$451,$C121,'TL16'!$J$238:$J$451),0),
IF('TL17'!$B$3=K$3,SUMIF('TL17'!$C$10:$C$224,$C121,'TL17'!$J$10:$J$224),0),
IF('TL17'!$B$229=K$3,SUMIF('TL17'!$C$238:$C$451,$C121,'TL17'!$J$238:$J$451),0),
IF('TL18'!$B$3=K$3,SUMIF('TL18'!$C$10:$C$224,$C121,'TL18'!$J$10:$J$224),0),
IF('TL18'!$B$229=K$3,SUMIF('TL18'!$C$238:$C$451,$C121,'TL18'!$J$238:$J$451),0),
IF('TL19'!$B$3=K$3,SUMIF('TL19'!$C$10:$C$224,$C121,'TL19'!$J$10:$J$224),0),
IF('TL19'!$B$229=K$3,SUMIF('TL19'!$C$238:$C$451,$C121,'TL19'!$J$238:$J$451),0)
),0)</f>
        <v>0</v>
      </c>
      <c r="L121" s="9">
        <f>IFERROR(SUM(
IF('TL01'!$B$3=L$3,SUMIF('TL01'!$C$10:$C$224,$C121,'TL01'!$J$10:$J$224),0),
IF('TL01'!$B$229=L$3,SUMIF('TL01'!$C$238:$C$451,$C121,'TL01'!$J$238:$J$451),0),
IF('TL02'!$B$3=L$3,SUMIF('TL02'!$C$10:$C$224,$C121,'TL02'!$J$10:$J$224),0),
IF('TL02'!$B$229=L$3,SUMIF('TL02'!$C$238:$C$451,$C121,'TL02'!$J$238:$J$451),0),
IF('TL03'!$B$3=L$3,SUMIF('TL03'!$C$10:$C$224,$C121,'TL03'!$J$10:$J$224),0),
IF('TL03'!$B$229=L$3,SUMIF('TL03'!$C$238:$C$451,$C121,'TL03'!$J$238:$J$451),0),
IF('TL04'!$B$3=L$3,SUMIF('TL04'!$C$10:$C$224,$C121,'TL04'!$J$10:$J$224),0),
IF('TL04'!$B$229=L$3,SUMIF('TL04'!$C$238:$C$451,$C121,'TL04'!$J$238:$J$451),0),
IF('TL05'!$B$3=L$3,SUMIF('TL05'!$C$10:$C$224,$C121,'TL05'!$J$10:$J$224),0),
IF('TL05'!$B$229=L$3,SUMIF('TL05'!$C$238:$C$451,$C121,'TL05'!$J$238:$J$451),0),
IF('TL06'!$B$3=L$3,SUMIF('TL06'!$C$10:$C$224,$C121,'TL06'!$J$10:$J$224),0),
IF('TL06'!$B$229=L$3,SUMIF('TL06'!$C$238:$C$451,$C121,'TL06'!$J$238:$J$451),0),
IF('TL07'!$B$3=L$3,SUMIF('TL07'!$C$10:$C$224,$C121,'TL07'!$J$10:$J$224),0),
IF('TL07'!$B$229=L$3,SUMIF('TL07'!$C$238:$C$451,$C121,'TL07'!$J$238:$J$451),0),
IF('TL08'!$B$3=L$3,SUMIF('TL08'!$C$10:$C$224,$C121,'TL08'!$J$10:$J$224),0),
IF('TL08'!$B$229=L$3,SUMIF('TL08'!$C$238:$C$451,$C121,'TL08'!$J$238:$J$451),0),
IF('TL09'!$B$3=L$3,SUMIF('TL09'!$C$10:$C$224,$C121,'TL09'!$J$10:$J$224),0),
IF('TL09'!$B$229=L$3,SUMIF('TL09'!$C$238:$C$451,$C121,'TL09'!$J$238:$J$451),0),
IF('TL10'!$B$3=L$3,SUMIF('TL10'!$C$10:$C$224,$C121,'TL10'!$J$10:$J$224),0),
IF('TL10'!$B$229=L$3,SUMIF('TL10'!$C$238:$C$451,$C121,'TL10'!$J$238:$J$451),0),
IF('TL11'!$B$3=L$3,SUMIF('TL11'!$C$10:$C$224,$C121,'TL11'!$J$10:$J$224),0),
IF('TL11'!$B$229=L$3,SUMIF('TL11'!$C$238:$C$451,$C121,'TL11'!$J$238:$J$451),0),
IF('TL12'!$B$3=L$3,SUMIF('TL12'!$C$10:$C$224,$C121,'TL12'!$J$10:$J$224),0),
IF('TL12'!$B$229=L$3,SUMIF('TL12'!$C$238:$C$451,$C121,'TL12'!$J$238:$J$451),0),
IF('TL13'!$B$3=L$3,SUMIF('TL13'!$C$10:$C$224,$C121,'TL13'!$J$10:$J$224),0),
IF('TL13'!$B$229=L$3,SUMIF('TL13'!$C$238:$C$451,$C121,'TL13'!$J$238:$J$451),0),
IF('TL14'!$B$3=L$3,SUMIF('TL14'!$C$10:$C$224,$C121,'TL14'!$J$10:$J$224),0),
IF('TL14'!$B$229=L$3,SUMIF('TL14'!$C$238:$C$451,$C121,'TL14'!$J$238:$J$451),0),
IF('TL15'!$B$3=L$3,SUMIF('TL15'!$C$10:$C$224,$C121,'TL15'!$J$10:$J$224),0),
IF('TL15'!$B$229=L$3,SUMIF('TL15'!$C$238:$C$451,$C121,'TL15'!$J$238:$J$451),0),
IF('TL16'!$B$3=L$3,SUMIF('TL16'!$C$10:$C$224,$C121,'TL16'!$J$10:$J$224),0),
IF('TL16'!$B$229=L$3,SUMIF('TL16'!$C$238:$C$451,$C121,'TL16'!$J$238:$J$451),0),
IF('TL17'!$B$3=L$3,SUMIF('TL17'!$C$10:$C$224,$C121,'TL17'!$J$10:$J$224),0),
IF('TL17'!$B$229=L$3,SUMIF('TL17'!$C$238:$C$451,$C121,'TL17'!$J$238:$J$451),0),
IF('TL18'!$B$3=L$3,SUMIF('TL18'!$C$10:$C$224,$C121,'TL18'!$J$10:$J$224),0),
IF('TL18'!$B$229=L$3,SUMIF('TL18'!$C$238:$C$451,$C121,'TL18'!$J$238:$J$451),0),
IF('TL19'!$B$3=L$3,SUMIF('TL19'!$C$10:$C$224,$C121,'TL19'!$J$10:$J$224),0),
IF('TL19'!$B$229=L$3,SUMIF('TL19'!$C$238:$C$451,$C121,'TL19'!$J$238:$J$451),0)
),0)</f>
        <v>0</v>
      </c>
      <c r="M121" s="9">
        <f>IFERROR(SUM(
IF('TL01'!$B$3=M$3,SUMIF('TL01'!$C$10:$C$224,$C121,'TL01'!$J$10:$J$224),0),
IF('TL01'!$B$229=M$3,SUMIF('TL01'!$C$238:$C$451,$C121,'TL01'!$J$238:$J$451),0),
IF('TL02'!$B$3=M$3,SUMIF('TL02'!$C$10:$C$224,$C121,'TL02'!$J$10:$J$224),0),
IF('TL02'!$B$229=M$3,SUMIF('TL02'!$C$238:$C$451,$C121,'TL02'!$J$238:$J$451),0),
IF('TL03'!$B$3=M$3,SUMIF('TL03'!$C$10:$C$224,$C121,'TL03'!$J$10:$J$224),0),
IF('TL03'!$B$229=M$3,SUMIF('TL03'!$C$238:$C$451,$C121,'TL03'!$J$238:$J$451),0),
IF('TL04'!$B$3=M$3,SUMIF('TL04'!$C$10:$C$224,$C121,'TL04'!$J$10:$J$224),0),
IF('TL04'!$B$229=M$3,SUMIF('TL04'!$C$238:$C$451,$C121,'TL04'!$J$238:$J$451),0),
IF('TL05'!$B$3=M$3,SUMIF('TL05'!$C$10:$C$224,$C121,'TL05'!$J$10:$J$224),0),
IF('TL05'!$B$229=M$3,SUMIF('TL05'!$C$238:$C$451,$C121,'TL05'!$J$238:$J$451),0),
IF('TL06'!$B$3=M$3,SUMIF('TL06'!$C$10:$C$224,$C121,'TL06'!$J$10:$J$224),0),
IF('TL06'!$B$229=M$3,SUMIF('TL06'!$C$238:$C$451,$C121,'TL06'!$J$238:$J$451),0),
IF('TL07'!$B$3=M$3,SUMIF('TL07'!$C$10:$C$224,$C121,'TL07'!$J$10:$J$224),0),
IF('TL07'!$B$229=M$3,SUMIF('TL07'!$C$238:$C$451,$C121,'TL07'!$J$238:$J$451),0),
IF('TL08'!$B$3=M$3,SUMIF('TL08'!$C$10:$C$224,$C121,'TL08'!$J$10:$J$224),0),
IF('TL08'!$B$229=M$3,SUMIF('TL08'!$C$238:$C$451,$C121,'TL08'!$J$238:$J$451),0),
IF('TL09'!$B$3=M$3,SUMIF('TL09'!$C$10:$C$224,$C121,'TL09'!$J$10:$J$224),0),
IF('TL09'!$B$229=M$3,SUMIF('TL09'!$C$238:$C$451,$C121,'TL09'!$J$238:$J$451),0),
IF('TL10'!$B$3=M$3,SUMIF('TL10'!$C$10:$C$224,$C121,'TL10'!$J$10:$J$224),0),
IF('TL10'!$B$229=M$3,SUMIF('TL10'!$C$238:$C$451,$C121,'TL10'!$J$238:$J$451),0),
IF('TL11'!$B$3=M$3,SUMIF('TL11'!$C$10:$C$224,$C121,'TL11'!$J$10:$J$224),0),
IF('TL11'!$B$229=M$3,SUMIF('TL11'!$C$238:$C$451,$C121,'TL11'!$J$238:$J$451),0),
IF('TL12'!$B$3=M$3,SUMIF('TL12'!$C$10:$C$224,$C121,'TL12'!$J$10:$J$224),0),
IF('TL12'!$B$229=M$3,SUMIF('TL12'!$C$238:$C$451,$C121,'TL12'!$J$238:$J$451),0),
IF('TL13'!$B$3=M$3,SUMIF('TL13'!$C$10:$C$224,$C121,'TL13'!$J$10:$J$224),0),
IF('TL13'!$B$229=M$3,SUMIF('TL13'!$C$238:$C$451,$C121,'TL13'!$J$238:$J$451),0),
IF('TL14'!$B$3=M$3,SUMIF('TL14'!$C$10:$C$224,$C121,'TL14'!$J$10:$J$224),0),
IF('TL14'!$B$229=M$3,SUMIF('TL14'!$C$238:$C$451,$C121,'TL14'!$J$238:$J$451),0),
IF('TL15'!$B$3=M$3,SUMIF('TL15'!$C$10:$C$224,$C121,'TL15'!$J$10:$J$224),0),
IF('TL15'!$B$229=M$3,SUMIF('TL15'!$C$238:$C$451,$C121,'TL15'!$J$238:$J$451),0),
IF('TL16'!$B$3=M$3,SUMIF('TL16'!$C$10:$C$224,$C121,'TL16'!$J$10:$J$224),0),
IF('TL16'!$B$229=M$3,SUMIF('TL16'!$C$238:$C$451,$C121,'TL16'!$J$238:$J$451),0),
IF('TL17'!$B$3=M$3,SUMIF('TL17'!$C$10:$C$224,$C121,'TL17'!$J$10:$J$224),0),
IF('TL17'!$B$229=M$3,SUMIF('TL17'!$C$238:$C$451,$C121,'TL17'!$J$238:$J$451),0),
IF('TL18'!$B$3=M$3,SUMIF('TL18'!$C$10:$C$224,$C121,'TL18'!$J$10:$J$224),0),
IF('TL18'!$B$229=M$3,SUMIF('TL18'!$C$238:$C$451,$C121,'TL18'!$J$238:$J$451),0),
IF('TL19'!$B$3=M$3,SUMIF('TL19'!$C$10:$C$224,$C121,'TL19'!$J$10:$J$224),0),
IF('TL19'!$B$229=M$3,SUMIF('TL19'!$C$238:$C$451,$C121,'TL19'!$J$238:$J$451),0)
),0)</f>
        <v>0</v>
      </c>
      <c r="N121" s="9">
        <f>IFERROR(SUM(
IF('TL01'!$B$3=N$3,SUMIF('TL01'!$C$10:$C$224,$C121,'TL01'!$J$10:$J$224),0),
IF('TL01'!$B$229=N$3,SUMIF('TL01'!$C$238:$C$451,$C121,'TL01'!$J$238:$J$451),0),
IF('TL02'!$B$3=N$3,SUMIF('TL02'!$C$10:$C$224,$C121,'TL02'!$J$10:$J$224),0),
IF('TL02'!$B$229=N$3,SUMIF('TL02'!$C$238:$C$451,$C121,'TL02'!$J$238:$J$451),0),
IF('TL03'!$B$3=N$3,SUMIF('TL03'!$C$10:$C$224,$C121,'TL03'!$J$10:$J$224),0),
IF('TL03'!$B$229=N$3,SUMIF('TL03'!$C$238:$C$451,$C121,'TL03'!$J$238:$J$451),0),
IF('TL04'!$B$3=N$3,SUMIF('TL04'!$C$10:$C$224,$C121,'TL04'!$J$10:$J$224),0),
IF('TL04'!$B$229=N$3,SUMIF('TL04'!$C$238:$C$451,$C121,'TL04'!$J$238:$J$451),0),
IF('TL05'!$B$3=N$3,SUMIF('TL05'!$C$10:$C$224,$C121,'TL05'!$J$10:$J$224),0),
IF('TL05'!$B$229=N$3,SUMIF('TL05'!$C$238:$C$451,$C121,'TL05'!$J$238:$J$451),0),
IF('TL06'!$B$3=N$3,SUMIF('TL06'!$C$10:$C$224,$C121,'TL06'!$J$10:$J$224),0),
IF('TL06'!$B$229=N$3,SUMIF('TL06'!$C$238:$C$451,$C121,'TL06'!$J$238:$J$451),0),
IF('TL07'!$B$3=N$3,SUMIF('TL07'!$C$10:$C$224,$C121,'TL07'!$J$10:$J$224),0),
IF('TL07'!$B$229=N$3,SUMIF('TL07'!$C$238:$C$451,$C121,'TL07'!$J$238:$J$451),0),
IF('TL08'!$B$3=N$3,SUMIF('TL08'!$C$10:$C$224,$C121,'TL08'!$J$10:$J$224),0),
IF('TL08'!$B$229=N$3,SUMIF('TL08'!$C$238:$C$451,$C121,'TL08'!$J$238:$J$451),0),
IF('TL09'!$B$3=N$3,SUMIF('TL09'!$C$10:$C$224,$C121,'TL09'!$J$10:$J$224),0),
IF('TL09'!$B$229=N$3,SUMIF('TL09'!$C$238:$C$451,$C121,'TL09'!$J$238:$J$451),0),
IF('TL10'!$B$3=N$3,SUMIF('TL10'!$C$10:$C$224,$C121,'TL10'!$J$10:$J$224),0),
IF('TL10'!$B$229=N$3,SUMIF('TL10'!$C$238:$C$451,$C121,'TL10'!$J$238:$J$451),0),
IF('TL11'!$B$3=N$3,SUMIF('TL11'!$C$10:$C$224,$C121,'TL11'!$J$10:$J$224),0),
IF('TL11'!$B$229=N$3,SUMIF('TL11'!$C$238:$C$451,$C121,'TL11'!$J$238:$J$451),0),
IF('TL12'!$B$3=N$3,SUMIF('TL12'!$C$10:$C$224,$C121,'TL12'!$J$10:$J$224),0),
IF('TL12'!$B$229=N$3,SUMIF('TL12'!$C$238:$C$451,$C121,'TL12'!$J$238:$J$451),0),
IF('TL13'!$B$3=N$3,SUMIF('TL13'!$C$10:$C$224,$C121,'TL13'!$J$10:$J$224),0),
IF('TL13'!$B$229=N$3,SUMIF('TL13'!$C$238:$C$451,$C121,'TL13'!$J$238:$J$451),0),
IF('TL14'!$B$3=N$3,SUMIF('TL14'!$C$10:$C$224,$C121,'TL14'!$J$10:$J$224),0),
IF('TL14'!$B$229=N$3,SUMIF('TL14'!$C$238:$C$451,$C121,'TL14'!$J$238:$J$451),0),
IF('TL15'!$B$3=N$3,SUMIF('TL15'!$C$10:$C$224,$C121,'TL15'!$J$10:$J$224),0),
IF('TL15'!$B$229=N$3,SUMIF('TL15'!$C$238:$C$451,$C121,'TL15'!$J$238:$J$451),0),
IF('TL16'!$B$3=N$3,SUMIF('TL16'!$C$10:$C$224,$C121,'TL16'!$J$10:$J$224),0),
IF('TL16'!$B$229=N$3,SUMIF('TL16'!$C$238:$C$451,$C121,'TL16'!$J$238:$J$451),0),
IF('TL17'!$B$3=N$3,SUMIF('TL17'!$C$10:$C$224,$C121,'TL17'!$J$10:$J$224),0),
IF('TL17'!$B$229=N$3,SUMIF('TL17'!$C$238:$C$451,$C121,'TL17'!$J$238:$J$451),0),
IF('TL18'!$B$3=N$3,SUMIF('TL18'!$C$10:$C$224,$C121,'TL18'!$J$10:$J$224),0),
IF('TL18'!$B$229=N$3,SUMIF('TL18'!$C$238:$C$451,$C121,'TL18'!$J$238:$J$451),0),
IF('TL19'!$B$3=N$3,SUMIF('TL19'!$C$10:$C$224,$C121,'TL19'!$J$10:$J$224),0),
IF('TL19'!$B$229=N$3,SUMIF('TL19'!$C$238:$C$451,$C121,'TL19'!$J$238:$J$451),0)
),0)</f>
        <v>0</v>
      </c>
      <c r="O121" s="9">
        <f>IFERROR(SUM(
IF('TL01'!$B$3=O$3,SUMIF('TL01'!$C$10:$C$224,$C121,'TL01'!$J$10:$J$224),0),
IF('TL01'!$B$229=O$3,SUMIF('TL01'!$C$238:$C$451,$C121,'TL01'!$J$238:$J$451),0),
IF('TL02'!$B$3=O$3,SUMIF('TL02'!$C$10:$C$224,$C121,'TL02'!$J$10:$J$224),0),
IF('TL02'!$B$229=O$3,SUMIF('TL02'!$C$238:$C$451,$C121,'TL02'!$J$238:$J$451),0),
IF('TL03'!$B$3=O$3,SUMIF('TL03'!$C$10:$C$224,$C121,'TL03'!$J$10:$J$224),0),
IF('TL03'!$B$229=O$3,SUMIF('TL03'!$C$238:$C$451,$C121,'TL03'!$J$238:$J$451),0),
IF('TL04'!$B$3=O$3,SUMIF('TL04'!$C$10:$C$224,$C121,'TL04'!$J$10:$J$224),0),
IF('TL04'!$B$229=O$3,SUMIF('TL04'!$C$238:$C$451,$C121,'TL04'!$J$238:$J$451),0),
IF('TL05'!$B$3=O$3,SUMIF('TL05'!$C$10:$C$224,$C121,'TL05'!$J$10:$J$224),0),
IF('TL05'!$B$229=O$3,SUMIF('TL05'!$C$238:$C$451,$C121,'TL05'!$J$238:$J$451),0),
IF('TL06'!$B$3=O$3,SUMIF('TL06'!$C$10:$C$224,$C121,'TL06'!$J$10:$J$224),0),
IF('TL06'!$B$229=O$3,SUMIF('TL06'!$C$238:$C$451,$C121,'TL06'!$J$238:$J$451),0),
IF('TL07'!$B$3=O$3,SUMIF('TL07'!$C$10:$C$224,$C121,'TL07'!$J$10:$J$224),0),
IF('TL07'!$B$229=O$3,SUMIF('TL07'!$C$238:$C$451,$C121,'TL07'!$J$238:$J$451),0),
IF('TL08'!$B$3=O$3,SUMIF('TL08'!$C$10:$C$224,$C121,'TL08'!$J$10:$J$224),0),
IF('TL08'!$B$229=O$3,SUMIF('TL08'!$C$238:$C$451,$C121,'TL08'!$J$238:$J$451),0),
IF('TL09'!$B$3=O$3,SUMIF('TL09'!$C$10:$C$224,$C121,'TL09'!$J$10:$J$224),0),
IF('TL09'!$B$229=O$3,SUMIF('TL09'!$C$238:$C$451,$C121,'TL09'!$J$238:$J$451),0),
IF('TL10'!$B$3=O$3,SUMIF('TL10'!$C$10:$C$224,$C121,'TL10'!$J$10:$J$224),0),
IF('TL10'!$B$229=O$3,SUMIF('TL10'!$C$238:$C$451,$C121,'TL10'!$J$238:$J$451),0),
IF('TL11'!$B$3=O$3,SUMIF('TL11'!$C$10:$C$224,$C121,'TL11'!$J$10:$J$224),0),
IF('TL11'!$B$229=O$3,SUMIF('TL11'!$C$238:$C$451,$C121,'TL11'!$J$238:$J$451),0),
IF('TL12'!$B$3=O$3,SUMIF('TL12'!$C$10:$C$224,$C121,'TL12'!$J$10:$J$224),0),
IF('TL12'!$B$229=O$3,SUMIF('TL12'!$C$238:$C$451,$C121,'TL12'!$J$238:$J$451),0),
IF('TL13'!$B$3=O$3,SUMIF('TL13'!$C$10:$C$224,$C121,'TL13'!$J$10:$J$224),0),
IF('TL13'!$B$229=O$3,SUMIF('TL13'!$C$238:$C$451,$C121,'TL13'!$J$238:$J$451),0),
IF('TL14'!$B$3=O$3,SUMIF('TL14'!$C$10:$C$224,$C121,'TL14'!$J$10:$J$224),0),
IF('TL14'!$B$229=O$3,SUMIF('TL14'!$C$238:$C$451,$C121,'TL14'!$J$238:$J$451),0),
IF('TL15'!$B$3=O$3,SUMIF('TL15'!$C$10:$C$224,$C121,'TL15'!$J$10:$J$224),0),
IF('TL15'!$B$229=O$3,SUMIF('TL15'!$C$238:$C$451,$C121,'TL15'!$J$238:$J$451),0),
IF('TL16'!$B$3=O$3,SUMIF('TL16'!$C$10:$C$224,$C121,'TL16'!$J$10:$J$224),0),
IF('TL16'!$B$229=O$3,SUMIF('TL16'!$C$238:$C$451,$C121,'TL16'!$J$238:$J$451),0),
IF('TL17'!$B$3=O$3,SUMIF('TL17'!$C$10:$C$224,$C121,'TL17'!$J$10:$J$224),0),
IF('TL17'!$B$229=O$3,SUMIF('TL17'!$C$238:$C$451,$C121,'TL17'!$J$238:$J$451),0),
IF('TL18'!$B$3=O$3,SUMIF('TL18'!$C$10:$C$224,$C121,'TL18'!$J$10:$J$224),0),
IF('TL18'!$B$229=O$3,SUMIF('TL18'!$C$238:$C$451,$C121,'TL18'!$J$238:$J$451),0),
IF('TL19'!$B$3=O$3,SUMIF('TL19'!$C$10:$C$224,$C121,'TL19'!$J$10:$J$224),0),
IF('TL19'!$B$229=O$3,SUMIF('TL19'!$C$238:$C$451,$C121,'TL19'!$J$238:$J$451),0)
),0)</f>
        <v>0</v>
      </c>
      <c r="P121" s="9">
        <f>IFERROR(SUM(
IF('TL01'!$B$3=P$3,SUMIF('TL01'!$C$10:$C$224,$C121,'TL01'!$J$10:$J$224),0),
IF('TL01'!$B$229=P$3,SUMIF('TL01'!$C$238:$C$451,$C121,'TL01'!$J$238:$J$451),0),
IF('TL02'!$B$3=P$3,SUMIF('TL02'!$C$10:$C$224,$C121,'TL02'!$J$10:$J$224),0),
IF('TL02'!$B$229=P$3,SUMIF('TL02'!$C$238:$C$451,$C121,'TL02'!$J$238:$J$451),0),
IF('TL03'!$B$3=P$3,SUMIF('TL03'!$C$10:$C$224,$C121,'TL03'!$J$10:$J$224),0),
IF('TL03'!$B$229=P$3,SUMIF('TL03'!$C$238:$C$451,$C121,'TL03'!$J$238:$J$451),0),
IF('TL04'!$B$3=P$3,SUMIF('TL04'!$C$10:$C$224,$C121,'TL04'!$J$10:$J$224),0),
IF('TL04'!$B$229=P$3,SUMIF('TL04'!$C$238:$C$451,$C121,'TL04'!$J$238:$J$451),0),
IF('TL05'!$B$3=P$3,SUMIF('TL05'!$C$10:$C$224,$C121,'TL05'!$J$10:$J$224),0),
IF('TL05'!$B$229=P$3,SUMIF('TL05'!$C$238:$C$451,$C121,'TL05'!$J$238:$J$451),0),
IF('TL06'!$B$3=P$3,SUMIF('TL06'!$C$10:$C$224,$C121,'TL06'!$J$10:$J$224),0),
IF('TL06'!$B$229=P$3,SUMIF('TL06'!$C$238:$C$451,$C121,'TL06'!$J$238:$J$451),0),
IF('TL07'!$B$3=P$3,SUMIF('TL07'!$C$10:$C$224,$C121,'TL07'!$J$10:$J$224),0),
IF('TL07'!$B$229=P$3,SUMIF('TL07'!$C$238:$C$451,$C121,'TL07'!$J$238:$J$451),0),
IF('TL08'!$B$3=P$3,SUMIF('TL08'!$C$10:$C$224,$C121,'TL08'!$J$10:$J$224),0),
IF('TL08'!$B$229=P$3,SUMIF('TL08'!$C$238:$C$451,$C121,'TL08'!$J$238:$J$451),0),
IF('TL09'!$B$3=P$3,SUMIF('TL09'!$C$10:$C$224,$C121,'TL09'!$J$10:$J$224),0),
IF('TL09'!$B$229=P$3,SUMIF('TL09'!$C$238:$C$451,$C121,'TL09'!$J$238:$J$451),0),
IF('TL10'!$B$3=P$3,SUMIF('TL10'!$C$10:$C$224,$C121,'TL10'!$J$10:$J$224),0),
IF('TL10'!$B$229=P$3,SUMIF('TL10'!$C$238:$C$451,$C121,'TL10'!$J$238:$J$451),0),
IF('TL11'!$B$3=P$3,SUMIF('TL11'!$C$10:$C$224,$C121,'TL11'!$J$10:$J$224),0),
IF('TL11'!$B$229=P$3,SUMIF('TL11'!$C$238:$C$451,$C121,'TL11'!$J$238:$J$451),0),
IF('TL12'!$B$3=P$3,SUMIF('TL12'!$C$10:$C$224,$C121,'TL12'!$J$10:$J$224),0),
IF('TL12'!$B$229=P$3,SUMIF('TL12'!$C$238:$C$451,$C121,'TL12'!$J$238:$J$451),0),
IF('TL13'!$B$3=P$3,SUMIF('TL13'!$C$10:$C$224,$C121,'TL13'!$J$10:$J$224),0),
IF('TL13'!$B$229=P$3,SUMIF('TL13'!$C$238:$C$451,$C121,'TL13'!$J$238:$J$451),0),
IF('TL14'!$B$3=P$3,SUMIF('TL14'!$C$10:$C$224,$C121,'TL14'!$J$10:$J$224),0),
IF('TL14'!$B$229=P$3,SUMIF('TL14'!$C$238:$C$451,$C121,'TL14'!$J$238:$J$451),0),
IF('TL15'!$B$3=P$3,SUMIF('TL15'!$C$10:$C$224,$C121,'TL15'!$J$10:$J$224),0),
IF('TL15'!$B$229=P$3,SUMIF('TL15'!$C$238:$C$451,$C121,'TL15'!$J$238:$J$451),0),
IF('TL16'!$B$3=P$3,SUMIF('TL16'!$C$10:$C$224,$C121,'TL16'!$J$10:$J$224),0),
IF('TL16'!$B$229=P$3,SUMIF('TL16'!$C$238:$C$451,$C121,'TL16'!$J$238:$J$451),0),
IF('TL17'!$B$3=P$3,SUMIF('TL17'!$C$10:$C$224,$C121,'TL17'!$J$10:$J$224),0),
IF('TL17'!$B$229=P$3,SUMIF('TL17'!$C$238:$C$451,$C121,'TL17'!$J$238:$J$451),0),
IF('TL18'!$B$3=P$3,SUMIF('TL18'!$C$10:$C$224,$C121,'TL18'!$J$10:$J$224),0),
IF('TL18'!$B$229=P$3,SUMIF('TL18'!$C$238:$C$451,$C121,'TL18'!$J$238:$J$451),0),
IF('TL19'!$B$3=P$3,SUMIF('TL19'!$C$10:$C$224,$C121,'TL19'!$J$10:$J$224),0),
IF('TL19'!$B$229=P$3,SUMIF('TL19'!$C$238:$C$451,$C121,'TL19'!$J$238:$J$451),0)
),0)</f>
        <v>0</v>
      </c>
      <c r="Q121" s="9">
        <f>IFERROR(SUM(
IF('TL01'!$B$3=Q$3,SUMIF('TL01'!$C$10:$C$224,$C121,'TL01'!$J$10:$J$224),0),
IF('TL01'!$B$229=Q$3,SUMIF('TL01'!$C$238:$C$451,$C121,'TL01'!$J$238:$J$451),0),
IF('TL02'!$B$3=Q$3,SUMIF('TL02'!$C$10:$C$224,$C121,'TL02'!$J$10:$J$224),0),
IF('TL02'!$B$229=Q$3,SUMIF('TL02'!$C$238:$C$451,$C121,'TL02'!$J$238:$J$451),0),
IF('TL03'!$B$3=Q$3,SUMIF('TL03'!$C$10:$C$224,$C121,'TL03'!$J$10:$J$224),0),
IF('TL03'!$B$229=Q$3,SUMIF('TL03'!$C$238:$C$451,$C121,'TL03'!$J$238:$J$451),0),
IF('TL04'!$B$3=Q$3,SUMIF('TL04'!$C$10:$C$224,$C121,'TL04'!$J$10:$J$224),0),
IF('TL04'!$B$229=Q$3,SUMIF('TL04'!$C$238:$C$451,$C121,'TL04'!$J$238:$J$451),0),
IF('TL05'!$B$3=Q$3,SUMIF('TL05'!$C$10:$C$224,$C121,'TL05'!$J$10:$J$224),0),
IF('TL05'!$B$229=Q$3,SUMIF('TL05'!$C$238:$C$451,$C121,'TL05'!$J$238:$J$451),0),
IF('TL06'!$B$3=Q$3,SUMIF('TL06'!$C$10:$C$224,$C121,'TL06'!$J$10:$J$224),0),
IF('TL06'!$B$229=Q$3,SUMIF('TL06'!$C$238:$C$451,$C121,'TL06'!$J$238:$J$451),0),
IF('TL07'!$B$3=Q$3,SUMIF('TL07'!$C$10:$C$224,$C121,'TL07'!$J$10:$J$224),0),
IF('TL07'!$B$229=Q$3,SUMIF('TL07'!$C$238:$C$451,$C121,'TL07'!$J$238:$J$451),0),
IF('TL08'!$B$3=Q$3,SUMIF('TL08'!$C$10:$C$224,$C121,'TL08'!$J$10:$J$224),0),
IF('TL08'!$B$229=Q$3,SUMIF('TL08'!$C$238:$C$451,$C121,'TL08'!$J$238:$J$451),0),
IF('TL09'!$B$3=Q$3,SUMIF('TL09'!$C$10:$C$224,$C121,'TL09'!$J$10:$J$224),0),
IF('TL09'!$B$229=Q$3,SUMIF('TL09'!$C$238:$C$451,$C121,'TL09'!$J$238:$J$451),0),
IF('TL10'!$B$3=Q$3,SUMIF('TL10'!$C$10:$C$224,$C121,'TL10'!$J$10:$J$224),0),
IF('TL10'!$B$229=Q$3,SUMIF('TL10'!$C$238:$C$451,$C121,'TL10'!$J$238:$J$451),0),
IF('TL11'!$B$3=Q$3,SUMIF('TL11'!$C$10:$C$224,$C121,'TL11'!$J$10:$J$224),0),
IF('TL11'!$B$229=Q$3,SUMIF('TL11'!$C$238:$C$451,$C121,'TL11'!$J$238:$J$451),0),
IF('TL12'!$B$3=Q$3,SUMIF('TL12'!$C$10:$C$224,$C121,'TL12'!$J$10:$J$224),0),
IF('TL12'!$B$229=Q$3,SUMIF('TL12'!$C$238:$C$451,$C121,'TL12'!$J$238:$J$451),0),
IF('TL13'!$B$3=Q$3,SUMIF('TL13'!$C$10:$C$224,$C121,'TL13'!$J$10:$J$224),0),
IF('TL13'!$B$229=Q$3,SUMIF('TL13'!$C$238:$C$451,$C121,'TL13'!$J$238:$J$451),0),
IF('TL14'!$B$3=Q$3,SUMIF('TL14'!$C$10:$C$224,$C121,'TL14'!$J$10:$J$224),0),
IF('TL14'!$B$229=Q$3,SUMIF('TL14'!$C$238:$C$451,$C121,'TL14'!$J$238:$J$451),0),
IF('TL15'!$B$3=Q$3,SUMIF('TL15'!$C$10:$C$224,$C121,'TL15'!$J$10:$J$224),0),
IF('TL15'!$B$229=Q$3,SUMIF('TL15'!$C$238:$C$451,$C121,'TL15'!$J$238:$J$451),0),
IF('TL16'!$B$3=Q$3,SUMIF('TL16'!$C$10:$C$224,$C121,'TL16'!$J$10:$J$224),0),
IF('TL16'!$B$229=Q$3,SUMIF('TL16'!$C$238:$C$451,$C121,'TL16'!$J$238:$J$451),0),
IF('TL17'!$B$3=Q$3,SUMIF('TL17'!$C$10:$C$224,$C121,'TL17'!$J$10:$J$224),0),
IF('TL17'!$B$229=Q$3,SUMIF('TL17'!$C$238:$C$451,$C121,'TL17'!$J$238:$J$451),0),
IF('TL18'!$B$3=Q$3,SUMIF('TL18'!$C$10:$C$224,$C121,'TL18'!$J$10:$J$224),0),
IF('TL18'!$B$229=Q$3,SUMIF('TL18'!$C$238:$C$451,$C121,'TL18'!$J$238:$J$451),0),
IF('TL19'!$B$3=Q$3,SUMIF('TL19'!$C$10:$C$224,$C121,'TL19'!$J$10:$J$224),0),
IF('TL19'!$B$229=Q$3,SUMIF('TL19'!$C$238:$C$451,$C121,'TL19'!$J$238:$J$451),0)
),0)</f>
        <v>0</v>
      </c>
      <c r="R121" s="9">
        <f>IFERROR(
SUM(
SUMIF('TL01'!C:C,C121,'TL01'!J:J),
SUMIF('TL02'!C:C,C121,'TL02'!J:J),
SUMIF('TL03'!C:C,C121,'TL03'!J:J),
SUMIF('TL04'!C:C,C121,'TL04'!J:J),
SUMIF('TL05'!C:C,C121,'TL05'!J:J),
SUMIF('TL06'!C:C,C121,'TL06'!J:J),
SUMIF('TL07'!C:C,C121,'TL07'!J:J),
SUMIF('TL08'!C:C,C121,'TL08'!J:J),
SUMIF('TL09'!C:C,C121,'TL09'!J:J),
SUMIF('TL10'!C:C,C121,'TL10'!J:J),
SUMIF('TL11'!C:C,C121,'TL11'!J:J),
SUMIF('TL12'!C:C,C121,'TL12'!J:J),
SUMIF('TL13'!C:C,C121,'TL13'!J:J),
SUMIF('TL14'!C:C,C121,'TL14'!J:J),
SUMIF('TL15'!C:C,C121,'TL15'!J:J),
SUMIF('TL16'!C:C,C121,'TL16'!J:J),
SUMIF('TL17'!C:C,C121,'TL17'!J:J),
SUMIF('TL18'!C:C,C121,'TL18'!J:J),SUMIF('TL19'!C:C,C121,'TL19'!J:J))
,0)</f>
        <v>0</v>
      </c>
      <c r="S121" s="17">
        <f>IFERROR(__xludf.DUMMYFUNCTION("IFERROR(VLOOKUP(C121,
IMPORTRANGE(""1wULbzX32WdYsx-lj2U3uUNBBe2INVIRDtcK0d-Dvl90"",
""26-27!C:G""),
5,
FALSE),
"""")"),19.07408)</f>
        <v>19.07408</v>
      </c>
      <c r="T121" s="9"/>
      <c r="U121" s="92">
        <f t="shared" si="2"/>
        <v>0</v>
      </c>
      <c r="V121" s="93">
        <f t="shared" si="3"/>
        <v>0</v>
      </c>
    </row>
    <row r="122" ht="15.75" hidden="1" customHeight="1">
      <c r="A122" s="115" t="s">
        <v>480</v>
      </c>
      <c r="B122" s="100" t="s">
        <v>1</v>
      </c>
      <c r="C122" s="116" t="s">
        <v>644</v>
      </c>
      <c r="D122" s="116" t="s">
        <v>645</v>
      </c>
      <c r="E122" s="116">
        <v>250.0</v>
      </c>
      <c r="F122" s="4" t="s">
        <v>343</v>
      </c>
      <c r="G122" s="90" t="str">
        <f t="shared" si="4"/>
        <v>📄 Ver bula</v>
      </c>
      <c r="H122" s="9" t="str">
        <f>IFERROR(__xludf.DUMMYFUNCTION("IFERROR(VLOOKUP(C122,
IMPORTRANGE(""1wULbzX32WdYsx-lj2U3uUNBBe2INVIRDtcK0d-Dvl90"",
""26-27!C:K""),
8,
FALSE),
"""")"),"")</f>
        <v/>
      </c>
      <c r="I122" s="117" t="s">
        <v>344</v>
      </c>
      <c r="J122" s="9">
        <f>IFERROR(SUM(
IF('TL01'!$B$3=J$3,SUMIF('TL01'!$C$10:$C$224,$C122,'TL01'!$J$10:$J$224),0),
IF('TL01'!$B$229=J$3,SUMIF('TL01'!$C$238:$C$451,$C122,'TL01'!$J$238:$J$451),0),
IF('TL02'!$B$3=J$3,SUMIF('TL02'!$C$10:$C$224,$C122,'TL02'!$J$10:$J$224),0),
IF('TL02'!$B$229=J$3,SUMIF('TL02'!$C$238:$C$451,$C122,'TL02'!$J$238:$J$451),0),
IF('TL03'!$B$3=J$3,SUMIF('TL03'!$C$10:$C$224,$C122,'TL03'!$J$10:$J$224),0),
IF('TL03'!$B$229=J$3,SUMIF('TL03'!$C$238:$C$451,$C122,'TL03'!$J$238:$J$451),0),
IF('TL04'!$B$3=J$3,SUMIF('TL04'!$C$10:$C$224,$C122,'TL04'!$J$10:$J$224),0),
IF('TL04'!$B$229=J$3,SUMIF('TL04'!$C$238:$C$451,$C122,'TL04'!$J$238:$J$451),0),
IF('TL05'!$B$3=J$3,SUMIF('TL05'!$C$10:$C$224,$C122,'TL05'!$J$10:$J$224),0),
IF('TL05'!$B$229=J$3,SUMIF('TL05'!$C$238:$C$451,$C122,'TL05'!$J$238:$J$451),0),
IF('TL06'!$B$3=J$3,SUMIF('TL06'!$C$10:$C$224,$C122,'TL06'!$J$10:$J$224),0),
IF('TL06'!$B$229=J$3,SUMIF('TL06'!$C$238:$C$451,$C122,'TL06'!$J$238:$J$451),0),
IF('TL07'!$B$3=J$3,SUMIF('TL07'!$C$10:$C$224,$C122,'TL07'!$J$10:$J$224),0),
IF('TL07'!$B$229=J$3,SUMIF('TL07'!$C$238:$C$451,$C122,'TL07'!$J$238:$J$451),0),
IF('TL08'!$B$3=J$3,SUMIF('TL08'!$C$10:$C$224,$C122,'TL08'!$J$10:$J$224),0),
IF('TL08'!$B$229=J$3,SUMIF('TL08'!$C$238:$C$451,$C122,'TL08'!$J$238:$J$451),0),
IF('TL09'!$B$3=J$3,SUMIF('TL09'!$C$10:$C$224,$C122,'TL09'!$J$10:$J$224),0),
IF('TL09'!$B$229=J$3,SUMIF('TL09'!$C$238:$C$451,$C122,'TL09'!$J$238:$J$451),0),
IF('TL10'!$B$3=J$3,SUMIF('TL10'!$C$10:$C$224,$C122,'TL10'!$J$10:$J$224),0),
IF('TL10'!$B$229=J$3,SUMIF('TL10'!$C$238:$C$451,$C122,'TL10'!$J$238:$J$451),0),
IF('TL11'!$B$3=J$3,SUMIF('TL11'!$C$10:$C$224,$C122,'TL11'!$J$10:$J$224),0),
IF('TL11'!$B$229=J$3,SUMIF('TL11'!$C$238:$C$451,$C122,'TL11'!$J$238:$J$451),0),
IF('TL12'!$B$3=J$3,SUMIF('TL12'!$C$10:$C$224,$C122,'TL12'!$J$10:$J$224),0),
IF('TL12'!$B$229=J$3,SUMIF('TL12'!$C$238:$C$451,$C122,'TL12'!$J$238:$J$451),0),
IF('TL13'!$B$3=J$3,SUMIF('TL13'!$C$10:$C$224,$C122,'TL13'!$J$10:$J$224),0),
IF('TL13'!$B$229=J$3,SUMIF('TL13'!$C$238:$C$451,$C122,'TL13'!$J$238:$J$451),0),
IF('TL14'!$B$3=J$3,SUMIF('TL14'!$C$10:$C$224,$C122,'TL14'!$J$10:$J$224),0),
IF('TL14'!$B$229=J$3,SUMIF('TL14'!$C$238:$C$451,$C122,'TL14'!$J$238:$J$451),0),
IF('TL15'!$B$3=J$3,SUMIF('TL15'!$C$10:$C$224,$C122,'TL15'!$J$10:$J$224),0),
IF('TL15'!$B$229=J$3,SUMIF('TL15'!$C$238:$C$451,$C122,'TL15'!$J$238:$J$451),0),
IF('TL16'!$B$3=J$3,SUMIF('TL16'!$C$10:$C$224,$C122,'TL16'!$J$10:$J$224),0),
IF('TL16'!$B$229=J$3,SUMIF('TL16'!$C$238:$C$451,$C122,'TL16'!$J$238:$J$451),0),
IF('TL17'!$B$3=J$3,SUMIF('TL17'!$C$10:$C$224,$C122,'TL17'!$J$10:$J$224),0),
IF('TL17'!$B$229=J$3,SUMIF('TL17'!$C$238:$C$451,$C122,'TL17'!$J$238:$J$451),0),
IF('TL18'!$B$3=J$3,SUMIF('TL18'!$C$10:$C$224,$C122,'TL18'!$J$10:$J$224),0),
IF('TL18'!$B$229=J$3,SUMIF('TL18'!$C$238:$C$451,$C122,'TL18'!$J$238:$J$451),0),
IF('TL19'!$B$3=J$3,SUMIF('TL19'!$C$10:$C$224,$C122,'TL19'!$J$10:$J$224),0),
IF('TL19'!$B$229=J$3,SUMIF('TL19'!$C$238:$C$451,$C122,'TL19'!$J$238:$J$451),0)
),0)</f>
        <v>0</v>
      </c>
      <c r="K122" s="9">
        <f>IFERROR(SUM(
IF('TL01'!$B$3=K$3,SUMIF('TL01'!$C$10:$C$224,$C122,'TL01'!$J$10:$J$224),0),
IF('TL01'!$B$229=K$3,SUMIF('TL01'!$C$238:$C$451,$C122,'TL01'!$J$238:$J$451),0),
IF('TL02'!$B$3=K$3,SUMIF('TL02'!$C$10:$C$224,$C122,'TL02'!$J$10:$J$224),0),
IF('TL02'!$B$229=K$3,SUMIF('TL02'!$C$238:$C$451,$C122,'TL02'!$J$238:$J$451),0),
IF('TL03'!$B$3=K$3,SUMIF('TL03'!$C$10:$C$224,$C122,'TL03'!$J$10:$J$224),0),
IF('TL03'!$B$229=K$3,SUMIF('TL03'!$C$238:$C$451,$C122,'TL03'!$J$238:$J$451),0),
IF('TL04'!$B$3=K$3,SUMIF('TL04'!$C$10:$C$224,$C122,'TL04'!$J$10:$J$224),0),
IF('TL04'!$B$229=K$3,SUMIF('TL04'!$C$238:$C$451,$C122,'TL04'!$J$238:$J$451),0),
IF('TL05'!$B$3=K$3,SUMIF('TL05'!$C$10:$C$224,$C122,'TL05'!$J$10:$J$224),0),
IF('TL05'!$B$229=K$3,SUMIF('TL05'!$C$238:$C$451,$C122,'TL05'!$J$238:$J$451),0),
IF('TL06'!$B$3=K$3,SUMIF('TL06'!$C$10:$C$224,$C122,'TL06'!$J$10:$J$224),0),
IF('TL06'!$B$229=K$3,SUMIF('TL06'!$C$238:$C$451,$C122,'TL06'!$J$238:$J$451),0),
IF('TL07'!$B$3=K$3,SUMIF('TL07'!$C$10:$C$224,$C122,'TL07'!$J$10:$J$224),0),
IF('TL07'!$B$229=K$3,SUMIF('TL07'!$C$238:$C$451,$C122,'TL07'!$J$238:$J$451),0),
IF('TL08'!$B$3=K$3,SUMIF('TL08'!$C$10:$C$224,$C122,'TL08'!$J$10:$J$224),0),
IF('TL08'!$B$229=K$3,SUMIF('TL08'!$C$238:$C$451,$C122,'TL08'!$J$238:$J$451),0),
IF('TL09'!$B$3=K$3,SUMIF('TL09'!$C$10:$C$224,$C122,'TL09'!$J$10:$J$224),0),
IF('TL09'!$B$229=K$3,SUMIF('TL09'!$C$238:$C$451,$C122,'TL09'!$J$238:$J$451),0),
IF('TL10'!$B$3=K$3,SUMIF('TL10'!$C$10:$C$224,$C122,'TL10'!$J$10:$J$224),0),
IF('TL10'!$B$229=K$3,SUMIF('TL10'!$C$238:$C$451,$C122,'TL10'!$J$238:$J$451),0),
IF('TL11'!$B$3=K$3,SUMIF('TL11'!$C$10:$C$224,$C122,'TL11'!$J$10:$J$224),0),
IF('TL11'!$B$229=K$3,SUMIF('TL11'!$C$238:$C$451,$C122,'TL11'!$J$238:$J$451),0),
IF('TL12'!$B$3=K$3,SUMIF('TL12'!$C$10:$C$224,$C122,'TL12'!$J$10:$J$224),0),
IF('TL12'!$B$229=K$3,SUMIF('TL12'!$C$238:$C$451,$C122,'TL12'!$J$238:$J$451),0),
IF('TL13'!$B$3=K$3,SUMIF('TL13'!$C$10:$C$224,$C122,'TL13'!$J$10:$J$224),0),
IF('TL13'!$B$229=K$3,SUMIF('TL13'!$C$238:$C$451,$C122,'TL13'!$J$238:$J$451),0),
IF('TL14'!$B$3=K$3,SUMIF('TL14'!$C$10:$C$224,$C122,'TL14'!$J$10:$J$224),0),
IF('TL14'!$B$229=K$3,SUMIF('TL14'!$C$238:$C$451,$C122,'TL14'!$J$238:$J$451),0),
IF('TL15'!$B$3=K$3,SUMIF('TL15'!$C$10:$C$224,$C122,'TL15'!$J$10:$J$224),0),
IF('TL15'!$B$229=K$3,SUMIF('TL15'!$C$238:$C$451,$C122,'TL15'!$J$238:$J$451),0),
IF('TL16'!$B$3=K$3,SUMIF('TL16'!$C$10:$C$224,$C122,'TL16'!$J$10:$J$224),0),
IF('TL16'!$B$229=K$3,SUMIF('TL16'!$C$238:$C$451,$C122,'TL16'!$J$238:$J$451),0),
IF('TL17'!$B$3=K$3,SUMIF('TL17'!$C$10:$C$224,$C122,'TL17'!$J$10:$J$224),0),
IF('TL17'!$B$229=K$3,SUMIF('TL17'!$C$238:$C$451,$C122,'TL17'!$J$238:$J$451),0),
IF('TL18'!$B$3=K$3,SUMIF('TL18'!$C$10:$C$224,$C122,'TL18'!$J$10:$J$224),0),
IF('TL18'!$B$229=K$3,SUMIF('TL18'!$C$238:$C$451,$C122,'TL18'!$J$238:$J$451),0),
IF('TL19'!$B$3=K$3,SUMIF('TL19'!$C$10:$C$224,$C122,'TL19'!$J$10:$J$224),0),
IF('TL19'!$B$229=K$3,SUMIF('TL19'!$C$238:$C$451,$C122,'TL19'!$J$238:$J$451),0)
),0)</f>
        <v>0</v>
      </c>
      <c r="L122" s="9">
        <f>IFERROR(SUM(
IF('TL01'!$B$3=L$3,SUMIF('TL01'!$C$10:$C$224,$C122,'TL01'!$J$10:$J$224),0),
IF('TL01'!$B$229=L$3,SUMIF('TL01'!$C$238:$C$451,$C122,'TL01'!$J$238:$J$451),0),
IF('TL02'!$B$3=L$3,SUMIF('TL02'!$C$10:$C$224,$C122,'TL02'!$J$10:$J$224),0),
IF('TL02'!$B$229=L$3,SUMIF('TL02'!$C$238:$C$451,$C122,'TL02'!$J$238:$J$451),0),
IF('TL03'!$B$3=L$3,SUMIF('TL03'!$C$10:$C$224,$C122,'TL03'!$J$10:$J$224),0),
IF('TL03'!$B$229=L$3,SUMIF('TL03'!$C$238:$C$451,$C122,'TL03'!$J$238:$J$451),0),
IF('TL04'!$B$3=L$3,SUMIF('TL04'!$C$10:$C$224,$C122,'TL04'!$J$10:$J$224),0),
IF('TL04'!$B$229=L$3,SUMIF('TL04'!$C$238:$C$451,$C122,'TL04'!$J$238:$J$451),0),
IF('TL05'!$B$3=L$3,SUMIF('TL05'!$C$10:$C$224,$C122,'TL05'!$J$10:$J$224),0),
IF('TL05'!$B$229=L$3,SUMIF('TL05'!$C$238:$C$451,$C122,'TL05'!$J$238:$J$451),0),
IF('TL06'!$B$3=L$3,SUMIF('TL06'!$C$10:$C$224,$C122,'TL06'!$J$10:$J$224),0),
IF('TL06'!$B$229=L$3,SUMIF('TL06'!$C$238:$C$451,$C122,'TL06'!$J$238:$J$451),0),
IF('TL07'!$B$3=L$3,SUMIF('TL07'!$C$10:$C$224,$C122,'TL07'!$J$10:$J$224),0),
IF('TL07'!$B$229=L$3,SUMIF('TL07'!$C$238:$C$451,$C122,'TL07'!$J$238:$J$451),0),
IF('TL08'!$B$3=L$3,SUMIF('TL08'!$C$10:$C$224,$C122,'TL08'!$J$10:$J$224),0),
IF('TL08'!$B$229=L$3,SUMIF('TL08'!$C$238:$C$451,$C122,'TL08'!$J$238:$J$451),0),
IF('TL09'!$B$3=L$3,SUMIF('TL09'!$C$10:$C$224,$C122,'TL09'!$J$10:$J$224),0),
IF('TL09'!$B$229=L$3,SUMIF('TL09'!$C$238:$C$451,$C122,'TL09'!$J$238:$J$451),0),
IF('TL10'!$B$3=L$3,SUMIF('TL10'!$C$10:$C$224,$C122,'TL10'!$J$10:$J$224),0),
IF('TL10'!$B$229=L$3,SUMIF('TL10'!$C$238:$C$451,$C122,'TL10'!$J$238:$J$451),0),
IF('TL11'!$B$3=L$3,SUMIF('TL11'!$C$10:$C$224,$C122,'TL11'!$J$10:$J$224),0),
IF('TL11'!$B$229=L$3,SUMIF('TL11'!$C$238:$C$451,$C122,'TL11'!$J$238:$J$451),0),
IF('TL12'!$B$3=L$3,SUMIF('TL12'!$C$10:$C$224,$C122,'TL12'!$J$10:$J$224),0),
IF('TL12'!$B$229=L$3,SUMIF('TL12'!$C$238:$C$451,$C122,'TL12'!$J$238:$J$451),0),
IF('TL13'!$B$3=L$3,SUMIF('TL13'!$C$10:$C$224,$C122,'TL13'!$J$10:$J$224),0),
IF('TL13'!$B$229=L$3,SUMIF('TL13'!$C$238:$C$451,$C122,'TL13'!$J$238:$J$451),0),
IF('TL14'!$B$3=L$3,SUMIF('TL14'!$C$10:$C$224,$C122,'TL14'!$J$10:$J$224),0),
IF('TL14'!$B$229=L$3,SUMIF('TL14'!$C$238:$C$451,$C122,'TL14'!$J$238:$J$451),0),
IF('TL15'!$B$3=L$3,SUMIF('TL15'!$C$10:$C$224,$C122,'TL15'!$J$10:$J$224),0),
IF('TL15'!$B$229=L$3,SUMIF('TL15'!$C$238:$C$451,$C122,'TL15'!$J$238:$J$451),0),
IF('TL16'!$B$3=L$3,SUMIF('TL16'!$C$10:$C$224,$C122,'TL16'!$J$10:$J$224),0),
IF('TL16'!$B$229=L$3,SUMIF('TL16'!$C$238:$C$451,$C122,'TL16'!$J$238:$J$451),0),
IF('TL17'!$B$3=L$3,SUMIF('TL17'!$C$10:$C$224,$C122,'TL17'!$J$10:$J$224),0),
IF('TL17'!$B$229=L$3,SUMIF('TL17'!$C$238:$C$451,$C122,'TL17'!$J$238:$J$451),0),
IF('TL18'!$B$3=L$3,SUMIF('TL18'!$C$10:$C$224,$C122,'TL18'!$J$10:$J$224),0),
IF('TL18'!$B$229=L$3,SUMIF('TL18'!$C$238:$C$451,$C122,'TL18'!$J$238:$J$451),0),
IF('TL19'!$B$3=L$3,SUMIF('TL19'!$C$10:$C$224,$C122,'TL19'!$J$10:$J$224),0),
IF('TL19'!$B$229=L$3,SUMIF('TL19'!$C$238:$C$451,$C122,'TL19'!$J$238:$J$451),0)
),0)</f>
        <v>0</v>
      </c>
      <c r="M122" s="9">
        <f>IFERROR(SUM(
IF('TL01'!$B$3=M$3,SUMIF('TL01'!$C$10:$C$224,$C122,'TL01'!$J$10:$J$224),0),
IF('TL01'!$B$229=M$3,SUMIF('TL01'!$C$238:$C$451,$C122,'TL01'!$J$238:$J$451),0),
IF('TL02'!$B$3=M$3,SUMIF('TL02'!$C$10:$C$224,$C122,'TL02'!$J$10:$J$224),0),
IF('TL02'!$B$229=M$3,SUMIF('TL02'!$C$238:$C$451,$C122,'TL02'!$J$238:$J$451),0),
IF('TL03'!$B$3=M$3,SUMIF('TL03'!$C$10:$C$224,$C122,'TL03'!$J$10:$J$224),0),
IF('TL03'!$B$229=M$3,SUMIF('TL03'!$C$238:$C$451,$C122,'TL03'!$J$238:$J$451),0),
IF('TL04'!$B$3=M$3,SUMIF('TL04'!$C$10:$C$224,$C122,'TL04'!$J$10:$J$224),0),
IF('TL04'!$B$229=M$3,SUMIF('TL04'!$C$238:$C$451,$C122,'TL04'!$J$238:$J$451),0),
IF('TL05'!$B$3=M$3,SUMIF('TL05'!$C$10:$C$224,$C122,'TL05'!$J$10:$J$224),0),
IF('TL05'!$B$229=M$3,SUMIF('TL05'!$C$238:$C$451,$C122,'TL05'!$J$238:$J$451),0),
IF('TL06'!$B$3=M$3,SUMIF('TL06'!$C$10:$C$224,$C122,'TL06'!$J$10:$J$224),0),
IF('TL06'!$B$229=M$3,SUMIF('TL06'!$C$238:$C$451,$C122,'TL06'!$J$238:$J$451),0),
IF('TL07'!$B$3=M$3,SUMIF('TL07'!$C$10:$C$224,$C122,'TL07'!$J$10:$J$224),0),
IF('TL07'!$B$229=M$3,SUMIF('TL07'!$C$238:$C$451,$C122,'TL07'!$J$238:$J$451),0),
IF('TL08'!$B$3=M$3,SUMIF('TL08'!$C$10:$C$224,$C122,'TL08'!$J$10:$J$224),0),
IF('TL08'!$B$229=M$3,SUMIF('TL08'!$C$238:$C$451,$C122,'TL08'!$J$238:$J$451),0),
IF('TL09'!$B$3=M$3,SUMIF('TL09'!$C$10:$C$224,$C122,'TL09'!$J$10:$J$224),0),
IF('TL09'!$B$229=M$3,SUMIF('TL09'!$C$238:$C$451,$C122,'TL09'!$J$238:$J$451),0),
IF('TL10'!$B$3=M$3,SUMIF('TL10'!$C$10:$C$224,$C122,'TL10'!$J$10:$J$224),0),
IF('TL10'!$B$229=M$3,SUMIF('TL10'!$C$238:$C$451,$C122,'TL10'!$J$238:$J$451),0),
IF('TL11'!$B$3=M$3,SUMIF('TL11'!$C$10:$C$224,$C122,'TL11'!$J$10:$J$224),0),
IF('TL11'!$B$229=M$3,SUMIF('TL11'!$C$238:$C$451,$C122,'TL11'!$J$238:$J$451),0),
IF('TL12'!$B$3=M$3,SUMIF('TL12'!$C$10:$C$224,$C122,'TL12'!$J$10:$J$224),0),
IF('TL12'!$B$229=M$3,SUMIF('TL12'!$C$238:$C$451,$C122,'TL12'!$J$238:$J$451),0),
IF('TL13'!$B$3=M$3,SUMIF('TL13'!$C$10:$C$224,$C122,'TL13'!$J$10:$J$224),0),
IF('TL13'!$B$229=M$3,SUMIF('TL13'!$C$238:$C$451,$C122,'TL13'!$J$238:$J$451),0),
IF('TL14'!$B$3=M$3,SUMIF('TL14'!$C$10:$C$224,$C122,'TL14'!$J$10:$J$224),0),
IF('TL14'!$B$229=M$3,SUMIF('TL14'!$C$238:$C$451,$C122,'TL14'!$J$238:$J$451),0),
IF('TL15'!$B$3=M$3,SUMIF('TL15'!$C$10:$C$224,$C122,'TL15'!$J$10:$J$224),0),
IF('TL15'!$B$229=M$3,SUMIF('TL15'!$C$238:$C$451,$C122,'TL15'!$J$238:$J$451),0),
IF('TL16'!$B$3=M$3,SUMIF('TL16'!$C$10:$C$224,$C122,'TL16'!$J$10:$J$224),0),
IF('TL16'!$B$229=M$3,SUMIF('TL16'!$C$238:$C$451,$C122,'TL16'!$J$238:$J$451),0),
IF('TL17'!$B$3=M$3,SUMIF('TL17'!$C$10:$C$224,$C122,'TL17'!$J$10:$J$224),0),
IF('TL17'!$B$229=M$3,SUMIF('TL17'!$C$238:$C$451,$C122,'TL17'!$J$238:$J$451),0),
IF('TL18'!$B$3=M$3,SUMIF('TL18'!$C$10:$C$224,$C122,'TL18'!$J$10:$J$224),0),
IF('TL18'!$B$229=M$3,SUMIF('TL18'!$C$238:$C$451,$C122,'TL18'!$J$238:$J$451),0),
IF('TL19'!$B$3=M$3,SUMIF('TL19'!$C$10:$C$224,$C122,'TL19'!$J$10:$J$224),0),
IF('TL19'!$B$229=M$3,SUMIF('TL19'!$C$238:$C$451,$C122,'TL19'!$J$238:$J$451),0)
),0)</f>
        <v>0</v>
      </c>
      <c r="N122" s="9">
        <f>IFERROR(SUM(
IF('TL01'!$B$3=N$3,SUMIF('TL01'!$C$10:$C$224,$C122,'TL01'!$J$10:$J$224),0),
IF('TL01'!$B$229=N$3,SUMIF('TL01'!$C$238:$C$451,$C122,'TL01'!$J$238:$J$451),0),
IF('TL02'!$B$3=N$3,SUMIF('TL02'!$C$10:$C$224,$C122,'TL02'!$J$10:$J$224),0),
IF('TL02'!$B$229=N$3,SUMIF('TL02'!$C$238:$C$451,$C122,'TL02'!$J$238:$J$451),0),
IF('TL03'!$B$3=N$3,SUMIF('TL03'!$C$10:$C$224,$C122,'TL03'!$J$10:$J$224),0),
IF('TL03'!$B$229=N$3,SUMIF('TL03'!$C$238:$C$451,$C122,'TL03'!$J$238:$J$451),0),
IF('TL04'!$B$3=N$3,SUMIF('TL04'!$C$10:$C$224,$C122,'TL04'!$J$10:$J$224),0),
IF('TL04'!$B$229=N$3,SUMIF('TL04'!$C$238:$C$451,$C122,'TL04'!$J$238:$J$451),0),
IF('TL05'!$B$3=N$3,SUMIF('TL05'!$C$10:$C$224,$C122,'TL05'!$J$10:$J$224),0),
IF('TL05'!$B$229=N$3,SUMIF('TL05'!$C$238:$C$451,$C122,'TL05'!$J$238:$J$451),0),
IF('TL06'!$B$3=N$3,SUMIF('TL06'!$C$10:$C$224,$C122,'TL06'!$J$10:$J$224),0),
IF('TL06'!$B$229=N$3,SUMIF('TL06'!$C$238:$C$451,$C122,'TL06'!$J$238:$J$451),0),
IF('TL07'!$B$3=N$3,SUMIF('TL07'!$C$10:$C$224,$C122,'TL07'!$J$10:$J$224),0),
IF('TL07'!$B$229=N$3,SUMIF('TL07'!$C$238:$C$451,$C122,'TL07'!$J$238:$J$451),0),
IF('TL08'!$B$3=N$3,SUMIF('TL08'!$C$10:$C$224,$C122,'TL08'!$J$10:$J$224),0),
IF('TL08'!$B$229=N$3,SUMIF('TL08'!$C$238:$C$451,$C122,'TL08'!$J$238:$J$451),0),
IF('TL09'!$B$3=N$3,SUMIF('TL09'!$C$10:$C$224,$C122,'TL09'!$J$10:$J$224),0),
IF('TL09'!$B$229=N$3,SUMIF('TL09'!$C$238:$C$451,$C122,'TL09'!$J$238:$J$451),0),
IF('TL10'!$B$3=N$3,SUMIF('TL10'!$C$10:$C$224,$C122,'TL10'!$J$10:$J$224),0),
IF('TL10'!$B$229=N$3,SUMIF('TL10'!$C$238:$C$451,$C122,'TL10'!$J$238:$J$451),0),
IF('TL11'!$B$3=N$3,SUMIF('TL11'!$C$10:$C$224,$C122,'TL11'!$J$10:$J$224),0),
IF('TL11'!$B$229=N$3,SUMIF('TL11'!$C$238:$C$451,$C122,'TL11'!$J$238:$J$451),0),
IF('TL12'!$B$3=N$3,SUMIF('TL12'!$C$10:$C$224,$C122,'TL12'!$J$10:$J$224),0),
IF('TL12'!$B$229=N$3,SUMIF('TL12'!$C$238:$C$451,$C122,'TL12'!$J$238:$J$451),0),
IF('TL13'!$B$3=N$3,SUMIF('TL13'!$C$10:$C$224,$C122,'TL13'!$J$10:$J$224),0),
IF('TL13'!$B$229=N$3,SUMIF('TL13'!$C$238:$C$451,$C122,'TL13'!$J$238:$J$451),0),
IF('TL14'!$B$3=N$3,SUMIF('TL14'!$C$10:$C$224,$C122,'TL14'!$J$10:$J$224),0),
IF('TL14'!$B$229=N$3,SUMIF('TL14'!$C$238:$C$451,$C122,'TL14'!$J$238:$J$451),0),
IF('TL15'!$B$3=N$3,SUMIF('TL15'!$C$10:$C$224,$C122,'TL15'!$J$10:$J$224),0),
IF('TL15'!$B$229=N$3,SUMIF('TL15'!$C$238:$C$451,$C122,'TL15'!$J$238:$J$451),0),
IF('TL16'!$B$3=N$3,SUMIF('TL16'!$C$10:$C$224,$C122,'TL16'!$J$10:$J$224),0),
IF('TL16'!$B$229=N$3,SUMIF('TL16'!$C$238:$C$451,$C122,'TL16'!$J$238:$J$451),0),
IF('TL17'!$B$3=N$3,SUMIF('TL17'!$C$10:$C$224,$C122,'TL17'!$J$10:$J$224),0),
IF('TL17'!$B$229=N$3,SUMIF('TL17'!$C$238:$C$451,$C122,'TL17'!$J$238:$J$451),0),
IF('TL18'!$B$3=N$3,SUMIF('TL18'!$C$10:$C$224,$C122,'TL18'!$J$10:$J$224),0),
IF('TL18'!$B$229=N$3,SUMIF('TL18'!$C$238:$C$451,$C122,'TL18'!$J$238:$J$451),0),
IF('TL19'!$B$3=N$3,SUMIF('TL19'!$C$10:$C$224,$C122,'TL19'!$J$10:$J$224),0),
IF('TL19'!$B$229=N$3,SUMIF('TL19'!$C$238:$C$451,$C122,'TL19'!$J$238:$J$451),0)
),0)</f>
        <v>0</v>
      </c>
      <c r="O122" s="9">
        <f>IFERROR(SUM(
IF('TL01'!$B$3=O$3,SUMIF('TL01'!$C$10:$C$224,$C122,'TL01'!$J$10:$J$224),0),
IF('TL01'!$B$229=O$3,SUMIF('TL01'!$C$238:$C$451,$C122,'TL01'!$J$238:$J$451),0),
IF('TL02'!$B$3=O$3,SUMIF('TL02'!$C$10:$C$224,$C122,'TL02'!$J$10:$J$224),0),
IF('TL02'!$B$229=O$3,SUMIF('TL02'!$C$238:$C$451,$C122,'TL02'!$J$238:$J$451),0),
IF('TL03'!$B$3=O$3,SUMIF('TL03'!$C$10:$C$224,$C122,'TL03'!$J$10:$J$224),0),
IF('TL03'!$B$229=O$3,SUMIF('TL03'!$C$238:$C$451,$C122,'TL03'!$J$238:$J$451),0),
IF('TL04'!$B$3=O$3,SUMIF('TL04'!$C$10:$C$224,$C122,'TL04'!$J$10:$J$224),0),
IF('TL04'!$B$229=O$3,SUMIF('TL04'!$C$238:$C$451,$C122,'TL04'!$J$238:$J$451),0),
IF('TL05'!$B$3=O$3,SUMIF('TL05'!$C$10:$C$224,$C122,'TL05'!$J$10:$J$224),0),
IF('TL05'!$B$229=O$3,SUMIF('TL05'!$C$238:$C$451,$C122,'TL05'!$J$238:$J$451),0),
IF('TL06'!$B$3=O$3,SUMIF('TL06'!$C$10:$C$224,$C122,'TL06'!$J$10:$J$224),0),
IF('TL06'!$B$229=O$3,SUMIF('TL06'!$C$238:$C$451,$C122,'TL06'!$J$238:$J$451),0),
IF('TL07'!$B$3=O$3,SUMIF('TL07'!$C$10:$C$224,$C122,'TL07'!$J$10:$J$224),0),
IF('TL07'!$B$229=O$3,SUMIF('TL07'!$C$238:$C$451,$C122,'TL07'!$J$238:$J$451),0),
IF('TL08'!$B$3=O$3,SUMIF('TL08'!$C$10:$C$224,$C122,'TL08'!$J$10:$J$224),0),
IF('TL08'!$B$229=O$3,SUMIF('TL08'!$C$238:$C$451,$C122,'TL08'!$J$238:$J$451),0),
IF('TL09'!$B$3=O$3,SUMIF('TL09'!$C$10:$C$224,$C122,'TL09'!$J$10:$J$224),0),
IF('TL09'!$B$229=O$3,SUMIF('TL09'!$C$238:$C$451,$C122,'TL09'!$J$238:$J$451),0),
IF('TL10'!$B$3=O$3,SUMIF('TL10'!$C$10:$C$224,$C122,'TL10'!$J$10:$J$224),0),
IF('TL10'!$B$229=O$3,SUMIF('TL10'!$C$238:$C$451,$C122,'TL10'!$J$238:$J$451),0),
IF('TL11'!$B$3=O$3,SUMIF('TL11'!$C$10:$C$224,$C122,'TL11'!$J$10:$J$224),0),
IF('TL11'!$B$229=O$3,SUMIF('TL11'!$C$238:$C$451,$C122,'TL11'!$J$238:$J$451),0),
IF('TL12'!$B$3=O$3,SUMIF('TL12'!$C$10:$C$224,$C122,'TL12'!$J$10:$J$224),0),
IF('TL12'!$B$229=O$3,SUMIF('TL12'!$C$238:$C$451,$C122,'TL12'!$J$238:$J$451),0),
IF('TL13'!$B$3=O$3,SUMIF('TL13'!$C$10:$C$224,$C122,'TL13'!$J$10:$J$224),0),
IF('TL13'!$B$229=O$3,SUMIF('TL13'!$C$238:$C$451,$C122,'TL13'!$J$238:$J$451),0),
IF('TL14'!$B$3=O$3,SUMIF('TL14'!$C$10:$C$224,$C122,'TL14'!$J$10:$J$224),0),
IF('TL14'!$B$229=O$3,SUMIF('TL14'!$C$238:$C$451,$C122,'TL14'!$J$238:$J$451),0),
IF('TL15'!$B$3=O$3,SUMIF('TL15'!$C$10:$C$224,$C122,'TL15'!$J$10:$J$224),0),
IF('TL15'!$B$229=O$3,SUMIF('TL15'!$C$238:$C$451,$C122,'TL15'!$J$238:$J$451),0),
IF('TL16'!$B$3=O$3,SUMIF('TL16'!$C$10:$C$224,$C122,'TL16'!$J$10:$J$224),0),
IF('TL16'!$B$229=O$3,SUMIF('TL16'!$C$238:$C$451,$C122,'TL16'!$J$238:$J$451),0),
IF('TL17'!$B$3=O$3,SUMIF('TL17'!$C$10:$C$224,$C122,'TL17'!$J$10:$J$224),0),
IF('TL17'!$B$229=O$3,SUMIF('TL17'!$C$238:$C$451,$C122,'TL17'!$J$238:$J$451),0),
IF('TL18'!$B$3=O$3,SUMIF('TL18'!$C$10:$C$224,$C122,'TL18'!$J$10:$J$224),0),
IF('TL18'!$B$229=O$3,SUMIF('TL18'!$C$238:$C$451,$C122,'TL18'!$J$238:$J$451),0),
IF('TL19'!$B$3=O$3,SUMIF('TL19'!$C$10:$C$224,$C122,'TL19'!$J$10:$J$224),0),
IF('TL19'!$B$229=O$3,SUMIF('TL19'!$C$238:$C$451,$C122,'TL19'!$J$238:$J$451),0)
),0)</f>
        <v>0</v>
      </c>
      <c r="P122" s="9">
        <f>IFERROR(SUM(
IF('TL01'!$B$3=P$3,SUMIF('TL01'!$C$10:$C$224,$C122,'TL01'!$J$10:$J$224),0),
IF('TL01'!$B$229=P$3,SUMIF('TL01'!$C$238:$C$451,$C122,'TL01'!$J$238:$J$451),0),
IF('TL02'!$B$3=P$3,SUMIF('TL02'!$C$10:$C$224,$C122,'TL02'!$J$10:$J$224),0),
IF('TL02'!$B$229=P$3,SUMIF('TL02'!$C$238:$C$451,$C122,'TL02'!$J$238:$J$451),0),
IF('TL03'!$B$3=P$3,SUMIF('TL03'!$C$10:$C$224,$C122,'TL03'!$J$10:$J$224),0),
IF('TL03'!$B$229=P$3,SUMIF('TL03'!$C$238:$C$451,$C122,'TL03'!$J$238:$J$451),0),
IF('TL04'!$B$3=P$3,SUMIF('TL04'!$C$10:$C$224,$C122,'TL04'!$J$10:$J$224),0),
IF('TL04'!$B$229=P$3,SUMIF('TL04'!$C$238:$C$451,$C122,'TL04'!$J$238:$J$451),0),
IF('TL05'!$B$3=P$3,SUMIF('TL05'!$C$10:$C$224,$C122,'TL05'!$J$10:$J$224),0),
IF('TL05'!$B$229=P$3,SUMIF('TL05'!$C$238:$C$451,$C122,'TL05'!$J$238:$J$451),0),
IF('TL06'!$B$3=P$3,SUMIF('TL06'!$C$10:$C$224,$C122,'TL06'!$J$10:$J$224),0),
IF('TL06'!$B$229=P$3,SUMIF('TL06'!$C$238:$C$451,$C122,'TL06'!$J$238:$J$451),0),
IF('TL07'!$B$3=P$3,SUMIF('TL07'!$C$10:$C$224,$C122,'TL07'!$J$10:$J$224),0),
IF('TL07'!$B$229=P$3,SUMIF('TL07'!$C$238:$C$451,$C122,'TL07'!$J$238:$J$451),0),
IF('TL08'!$B$3=P$3,SUMIF('TL08'!$C$10:$C$224,$C122,'TL08'!$J$10:$J$224),0),
IF('TL08'!$B$229=P$3,SUMIF('TL08'!$C$238:$C$451,$C122,'TL08'!$J$238:$J$451),0),
IF('TL09'!$B$3=P$3,SUMIF('TL09'!$C$10:$C$224,$C122,'TL09'!$J$10:$J$224),0),
IF('TL09'!$B$229=P$3,SUMIF('TL09'!$C$238:$C$451,$C122,'TL09'!$J$238:$J$451),0),
IF('TL10'!$B$3=P$3,SUMIF('TL10'!$C$10:$C$224,$C122,'TL10'!$J$10:$J$224),0),
IF('TL10'!$B$229=P$3,SUMIF('TL10'!$C$238:$C$451,$C122,'TL10'!$J$238:$J$451),0),
IF('TL11'!$B$3=P$3,SUMIF('TL11'!$C$10:$C$224,$C122,'TL11'!$J$10:$J$224),0),
IF('TL11'!$B$229=P$3,SUMIF('TL11'!$C$238:$C$451,$C122,'TL11'!$J$238:$J$451),0),
IF('TL12'!$B$3=P$3,SUMIF('TL12'!$C$10:$C$224,$C122,'TL12'!$J$10:$J$224),0),
IF('TL12'!$B$229=P$3,SUMIF('TL12'!$C$238:$C$451,$C122,'TL12'!$J$238:$J$451),0),
IF('TL13'!$B$3=P$3,SUMIF('TL13'!$C$10:$C$224,$C122,'TL13'!$J$10:$J$224),0),
IF('TL13'!$B$229=P$3,SUMIF('TL13'!$C$238:$C$451,$C122,'TL13'!$J$238:$J$451),0),
IF('TL14'!$B$3=P$3,SUMIF('TL14'!$C$10:$C$224,$C122,'TL14'!$J$10:$J$224),0),
IF('TL14'!$B$229=P$3,SUMIF('TL14'!$C$238:$C$451,$C122,'TL14'!$J$238:$J$451),0),
IF('TL15'!$B$3=P$3,SUMIF('TL15'!$C$10:$C$224,$C122,'TL15'!$J$10:$J$224),0),
IF('TL15'!$B$229=P$3,SUMIF('TL15'!$C$238:$C$451,$C122,'TL15'!$J$238:$J$451),0),
IF('TL16'!$B$3=P$3,SUMIF('TL16'!$C$10:$C$224,$C122,'TL16'!$J$10:$J$224),0),
IF('TL16'!$B$229=P$3,SUMIF('TL16'!$C$238:$C$451,$C122,'TL16'!$J$238:$J$451),0),
IF('TL17'!$B$3=P$3,SUMIF('TL17'!$C$10:$C$224,$C122,'TL17'!$J$10:$J$224),0),
IF('TL17'!$B$229=P$3,SUMIF('TL17'!$C$238:$C$451,$C122,'TL17'!$J$238:$J$451),0),
IF('TL18'!$B$3=P$3,SUMIF('TL18'!$C$10:$C$224,$C122,'TL18'!$J$10:$J$224),0),
IF('TL18'!$B$229=P$3,SUMIF('TL18'!$C$238:$C$451,$C122,'TL18'!$J$238:$J$451),0),
IF('TL19'!$B$3=P$3,SUMIF('TL19'!$C$10:$C$224,$C122,'TL19'!$J$10:$J$224),0),
IF('TL19'!$B$229=P$3,SUMIF('TL19'!$C$238:$C$451,$C122,'TL19'!$J$238:$J$451),0)
),0)</f>
        <v>0</v>
      </c>
      <c r="Q122" s="9">
        <f>IFERROR(SUM(
IF('TL01'!$B$3=Q$3,SUMIF('TL01'!$C$10:$C$224,$C122,'TL01'!$J$10:$J$224),0),
IF('TL01'!$B$229=Q$3,SUMIF('TL01'!$C$238:$C$451,$C122,'TL01'!$J$238:$J$451),0),
IF('TL02'!$B$3=Q$3,SUMIF('TL02'!$C$10:$C$224,$C122,'TL02'!$J$10:$J$224),0),
IF('TL02'!$B$229=Q$3,SUMIF('TL02'!$C$238:$C$451,$C122,'TL02'!$J$238:$J$451),0),
IF('TL03'!$B$3=Q$3,SUMIF('TL03'!$C$10:$C$224,$C122,'TL03'!$J$10:$J$224),0),
IF('TL03'!$B$229=Q$3,SUMIF('TL03'!$C$238:$C$451,$C122,'TL03'!$J$238:$J$451),0),
IF('TL04'!$B$3=Q$3,SUMIF('TL04'!$C$10:$C$224,$C122,'TL04'!$J$10:$J$224),0),
IF('TL04'!$B$229=Q$3,SUMIF('TL04'!$C$238:$C$451,$C122,'TL04'!$J$238:$J$451),0),
IF('TL05'!$B$3=Q$3,SUMIF('TL05'!$C$10:$C$224,$C122,'TL05'!$J$10:$J$224),0),
IF('TL05'!$B$229=Q$3,SUMIF('TL05'!$C$238:$C$451,$C122,'TL05'!$J$238:$J$451),0),
IF('TL06'!$B$3=Q$3,SUMIF('TL06'!$C$10:$C$224,$C122,'TL06'!$J$10:$J$224),0),
IF('TL06'!$B$229=Q$3,SUMIF('TL06'!$C$238:$C$451,$C122,'TL06'!$J$238:$J$451),0),
IF('TL07'!$B$3=Q$3,SUMIF('TL07'!$C$10:$C$224,$C122,'TL07'!$J$10:$J$224),0),
IF('TL07'!$B$229=Q$3,SUMIF('TL07'!$C$238:$C$451,$C122,'TL07'!$J$238:$J$451),0),
IF('TL08'!$B$3=Q$3,SUMIF('TL08'!$C$10:$C$224,$C122,'TL08'!$J$10:$J$224),0),
IF('TL08'!$B$229=Q$3,SUMIF('TL08'!$C$238:$C$451,$C122,'TL08'!$J$238:$J$451),0),
IF('TL09'!$B$3=Q$3,SUMIF('TL09'!$C$10:$C$224,$C122,'TL09'!$J$10:$J$224),0),
IF('TL09'!$B$229=Q$3,SUMIF('TL09'!$C$238:$C$451,$C122,'TL09'!$J$238:$J$451),0),
IF('TL10'!$B$3=Q$3,SUMIF('TL10'!$C$10:$C$224,$C122,'TL10'!$J$10:$J$224),0),
IF('TL10'!$B$229=Q$3,SUMIF('TL10'!$C$238:$C$451,$C122,'TL10'!$J$238:$J$451),0),
IF('TL11'!$B$3=Q$3,SUMIF('TL11'!$C$10:$C$224,$C122,'TL11'!$J$10:$J$224),0),
IF('TL11'!$B$229=Q$3,SUMIF('TL11'!$C$238:$C$451,$C122,'TL11'!$J$238:$J$451),0),
IF('TL12'!$B$3=Q$3,SUMIF('TL12'!$C$10:$C$224,$C122,'TL12'!$J$10:$J$224),0),
IF('TL12'!$B$229=Q$3,SUMIF('TL12'!$C$238:$C$451,$C122,'TL12'!$J$238:$J$451),0),
IF('TL13'!$B$3=Q$3,SUMIF('TL13'!$C$10:$C$224,$C122,'TL13'!$J$10:$J$224),0),
IF('TL13'!$B$229=Q$3,SUMIF('TL13'!$C$238:$C$451,$C122,'TL13'!$J$238:$J$451),0),
IF('TL14'!$B$3=Q$3,SUMIF('TL14'!$C$10:$C$224,$C122,'TL14'!$J$10:$J$224),0),
IF('TL14'!$B$229=Q$3,SUMIF('TL14'!$C$238:$C$451,$C122,'TL14'!$J$238:$J$451),0),
IF('TL15'!$B$3=Q$3,SUMIF('TL15'!$C$10:$C$224,$C122,'TL15'!$J$10:$J$224),0),
IF('TL15'!$B$229=Q$3,SUMIF('TL15'!$C$238:$C$451,$C122,'TL15'!$J$238:$J$451),0),
IF('TL16'!$B$3=Q$3,SUMIF('TL16'!$C$10:$C$224,$C122,'TL16'!$J$10:$J$224),0),
IF('TL16'!$B$229=Q$3,SUMIF('TL16'!$C$238:$C$451,$C122,'TL16'!$J$238:$J$451),0),
IF('TL17'!$B$3=Q$3,SUMIF('TL17'!$C$10:$C$224,$C122,'TL17'!$J$10:$J$224),0),
IF('TL17'!$B$229=Q$3,SUMIF('TL17'!$C$238:$C$451,$C122,'TL17'!$J$238:$J$451),0),
IF('TL18'!$B$3=Q$3,SUMIF('TL18'!$C$10:$C$224,$C122,'TL18'!$J$10:$J$224),0),
IF('TL18'!$B$229=Q$3,SUMIF('TL18'!$C$238:$C$451,$C122,'TL18'!$J$238:$J$451),0),
IF('TL19'!$B$3=Q$3,SUMIF('TL19'!$C$10:$C$224,$C122,'TL19'!$J$10:$J$224),0),
IF('TL19'!$B$229=Q$3,SUMIF('TL19'!$C$238:$C$451,$C122,'TL19'!$J$238:$J$451),0)
),0)</f>
        <v>0</v>
      </c>
      <c r="R122" s="9">
        <f>IFERROR(
SUM(
SUMIF('TL01'!C:C,C122,'TL01'!J:J),
SUMIF('TL02'!C:C,C122,'TL02'!J:J),
SUMIF('TL03'!C:C,C122,'TL03'!J:J),
SUMIF('TL04'!C:C,C122,'TL04'!J:J),
SUMIF('TL05'!C:C,C122,'TL05'!J:J),
SUMIF('TL06'!C:C,C122,'TL06'!J:J),
SUMIF('TL07'!C:C,C122,'TL07'!J:J),
SUMIF('TL08'!C:C,C122,'TL08'!J:J),
SUMIF('TL09'!C:C,C122,'TL09'!J:J),
SUMIF('TL10'!C:C,C122,'TL10'!J:J),
SUMIF('TL11'!C:C,C122,'TL11'!J:J),
SUMIF('TL12'!C:C,C122,'TL12'!J:J),
SUMIF('TL13'!C:C,C122,'TL13'!J:J),
SUMIF('TL14'!C:C,C122,'TL14'!J:J),
SUMIF('TL15'!C:C,C122,'TL15'!J:J),
SUMIF('TL16'!C:C,C122,'TL16'!J:J),
SUMIF('TL17'!C:C,C122,'TL17'!J:J),
SUMIF('TL18'!C:C,C122,'TL18'!J:J),SUMIF('TL19'!C:C,C122,'TL19'!J:J))
,0)</f>
        <v>0</v>
      </c>
      <c r="S122" s="17">
        <f>IFERROR(__xludf.DUMMYFUNCTION("IFERROR(VLOOKUP(C122,
IMPORTRANGE(""1wULbzX32WdYsx-lj2U3uUNBBe2INVIRDtcK0d-Dvl90"",
""26-27!C:G""),
5,
FALSE),
"""")"),39.62296)</f>
        <v>39.62296</v>
      </c>
      <c r="T122" s="9"/>
      <c r="U122" s="92">
        <f t="shared" si="2"/>
        <v>0</v>
      </c>
      <c r="V122" s="93">
        <f t="shared" si="3"/>
        <v>0</v>
      </c>
    </row>
    <row r="123" ht="15.75" hidden="1" customHeight="1">
      <c r="A123" s="111" t="s">
        <v>480</v>
      </c>
      <c r="B123" s="112" t="s">
        <v>1</v>
      </c>
      <c r="C123" s="113" t="s">
        <v>646</v>
      </c>
      <c r="D123" s="113" t="s">
        <v>626</v>
      </c>
      <c r="E123" s="113">
        <v>200.0</v>
      </c>
      <c r="F123" s="4" t="s">
        <v>343</v>
      </c>
      <c r="G123" s="90" t="str">
        <f t="shared" si="4"/>
        <v>📄 Ver bula</v>
      </c>
      <c r="H123" s="9">
        <f>IFERROR(__xludf.DUMMYFUNCTION("IFERROR(VLOOKUP(C123,
IMPORTRANGE(""1wULbzX32WdYsx-lj2U3uUNBBe2INVIRDtcK0d-Dvl90"",
""26-27!C:K""),
8,
FALSE),
"""")"),2.0)</f>
        <v>2</v>
      </c>
      <c r="I123" s="114" t="s">
        <v>344</v>
      </c>
      <c r="J123" s="9">
        <f>IFERROR(SUM(
IF('TL01'!$B$3=J$3,SUMIF('TL01'!$C$10:$C$224,$C123,'TL01'!$J$10:$J$224),0),
IF('TL01'!$B$229=J$3,SUMIF('TL01'!$C$238:$C$451,$C123,'TL01'!$J$238:$J$451),0),
IF('TL02'!$B$3=J$3,SUMIF('TL02'!$C$10:$C$224,$C123,'TL02'!$J$10:$J$224),0),
IF('TL02'!$B$229=J$3,SUMIF('TL02'!$C$238:$C$451,$C123,'TL02'!$J$238:$J$451),0),
IF('TL03'!$B$3=J$3,SUMIF('TL03'!$C$10:$C$224,$C123,'TL03'!$J$10:$J$224),0),
IF('TL03'!$B$229=J$3,SUMIF('TL03'!$C$238:$C$451,$C123,'TL03'!$J$238:$J$451),0),
IF('TL04'!$B$3=J$3,SUMIF('TL04'!$C$10:$C$224,$C123,'TL04'!$J$10:$J$224),0),
IF('TL04'!$B$229=J$3,SUMIF('TL04'!$C$238:$C$451,$C123,'TL04'!$J$238:$J$451),0),
IF('TL05'!$B$3=J$3,SUMIF('TL05'!$C$10:$C$224,$C123,'TL05'!$J$10:$J$224),0),
IF('TL05'!$B$229=J$3,SUMIF('TL05'!$C$238:$C$451,$C123,'TL05'!$J$238:$J$451),0),
IF('TL06'!$B$3=J$3,SUMIF('TL06'!$C$10:$C$224,$C123,'TL06'!$J$10:$J$224),0),
IF('TL06'!$B$229=J$3,SUMIF('TL06'!$C$238:$C$451,$C123,'TL06'!$J$238:$J$451),0),
IF('TL07'!$B$3=J$3,SUMIF('TL07'!$C$10:$C$224,$C123,'TL07'!$J$10:$J$224),0),
IF('TL07'!$B$229=J$3,SUMIF('TL07'!$C$238:$C$451,$C123,'TL07'!$J$238:$J$451),0),
IF('TL08'!$B$3=J$3,SUMIF('TL08'!$C$10:$C$224,$C123,'TL08'!$J$10:$J$224),0),
IF('TL08'!$B$229=J$3,SUMIF('TL08'!$C$238:$C$451,$C123,'TL08'!$J$238:$J$451),0),
IF('TL09'!$B$3=J$3,SUMIF('TL09'!$C$10:$C$224,$C123,'TL09'!$J$10:$J$224),0),
IF('TL09'!$B$229=J$3,SUMIF('TL09'!$C$238:$C$451,$C123,'TL09'!$J$238:$J$451),0),
IF('TL10'!$B$3=J$3,SUMIF('TL10'!$C$10:$C$224,$C123,'TL10'!$J$10:$J$224),0),
IF('TL10'!$B$229=J$3,SUMIF('TL10'!$C$238:$C$451,$C123,'TL10'!$J$238:$J$451),0),
IF('TL11'!$B$3=J$3,SUMIF('TL11'!$C$10:$C$224,$C123,'TL11'!$J$10:$J$224),0),
IF('TL11'!$B$229=J$3,SUMIF('TL11'!$C$238:$C$451,$C123,'TL11'!$J$238:$J$451),0),
IF('TL12'!$B$3=J$3,SUMIF('TL12'!$C$10:$C$224,$C123,'TL12'!$J$10:$J$224),0),
IF('TL12'!$B$229=J$3,SUMIF('TL12'!$C$238:$C$451,$C123,'TL12'!$J$238:$J$451),0),
IF('TL13'!$B$3=J$3,SUMIF('TL13'!$C$10:$C$224,$C123,'TL13'!$J$10:$J$224),0),
IF('TL13'!$B$229=J$3,SUMIF('TL13'!$C$238:$C$451,$C123,'TL13'!$J$238:$J$451),0),
IF('TL14'!$B$3=J$3,SUMIF('TL14'!$C$10:$C$224,$C123,'TL14'!$J$10:$J$224),0),
IF('TL14'!$B$229=J$3,SUMIF('TL14'!$C$238:$C$451,$C123,'TL14'!$J$238:$J$451),0),
IF('TL15'!$B$3=J$3,SUMIF('TL15'!$C$10:$C$224,$C123,'TL15'!$J$10:$J$224),0),
IF('TL15'!$B$229=J$3,SUMIF('TL15'!$C$238:$C$451,$C123,'TL15'!$J$238:$J$451),0),
IF('TL16'!$B$3=J$3,SUMIF('TL16'!$C$10:$C$224,$C123,'TL16'!$J$10:$J$224),0),
IF('TL16'!$B$229=J$3,SUMIF('TL16'!$C$238:$C$451,$C123,'TL16'!$J$238:$J$451),0),
IF('TL17'!$B$3=J$3,SUMIF('TL17'!$C$10:$C$224,$C123,'TL17'!$J$10:$J$224),0),
IF('TL17'!$B$229=J$3,SUMIF('TL17'!$C$238:$C$451,$C123,'TL17'!$J$238:$J$451),0),
IF('TL18'!$B$3=J$3,SUMIF('TL18'!$C$10:$C$224,$C123,'TL18'!$J$10:$J$224),0),
IF('TL18'!$B$229=J$3,SUMIF('TL18'!$C$238:$C$451,$C123,'TL18'!$J$238:$J$451),0),
IF('TL19'!$B$3=J$3,SUMIF('TL19'!$C$10:$C$224,$C123,'TL19'!$J$10:$J$224),0),
IF('TL19'!$B$229=J$3,SUMIF('TL19'!$C$238:$C$451,$C123,'TL19'!$J$238:$J$451),0)
),0)</f>
        <v>0</v>
      </c>
      <c r="K123" s="9">
        <f>IFERROR(SUM(
IF('TL01'!$B$3=K$3,SUMIF('TL01'!$C$10:$C$224,$C123,'TL01'!$J$10:$J$224),0),
IF('TL01'!$B$229=K$3,SUMIF('TL01'!$C$238:$C$451,$C123,'TL01'!$J$238:$J$451),0),
IF('TL02'!$B$3=K$3,SUMIF('TL02'!$C$10:$C$224,$C123,'TL02'!$J$10:$J$224),0),
IF('TL02'!$B$229=K$3,SUMIF('TL02'!$C$238:$C$451,$C123,'TL02'!$J$238:$J$451),0),
IF('TL03'!$B$3=K$3,SUMIF('TL03'!$C$10:$C$224,$C123,'TL03'!$J$10:$J$224),0),
IF('TL03'!$B$229=K$3,SUMIF('TL03'!$C$238:$C$451,$C123,'TL03'!$J$238:$J$451),0),
IF('TL04'!$B$3=K$3,SUMIF('TL04'!$C$10:$C$224,$C123,'TL04'!$J$10:$J$224),0),
IF('TL04'!$B$229=K$3,SUMIF('TL04'!$C$238:$C$451,$C123,'TL04'!$J$238:$J$451),0),
IF('TL05'!$B$3=K$3,SUMIF('TL05'!$C$10:$C$224,$C123,'TL05'!$J$10:$J$224),0),
IF('TL05'!$B$229=K$3,SUMIF('TL05'!$C$238:$C$451,$C123,'TL05'!$J$238:$J$451),0),
IF('TL06'!$B$3=K$3,SUMIF('TL06'!$C$10:$C$224,$C123,'TL06'!$J$10:$J$224),0),
IF('TL06'!$B$229=K$3,SUMIF('TL06'!$C$238:$C$451,$C123,'TL06'!$J$238:$J$451),0),
IF('TL07'!$B$3=K$3,SUMIF('TL07'!$C$10:$C$224,$C123,'TL07'!$J$10:$J$224),0),
IF('TL07'!$B$229=K$3,SUMIF('TL07'!$C$238:$C$451,$C123,'TL07'!$J$238:$J$451),0),
IF('TL08'!$B$3=K$3,SUMIF('TL08'!$C$10:$C$224,$C123,'TL08'!$J$10:$J$224),0),
IF('TL08'!$B$229=K$3,SUMIF('TL08'!$C$238:$C$451,$C123,'TL08'!$J$238:$J$451),0),
IF('TL09'!$B$3=K$3,SUMIF('TL09'!$C$10:$C$224,$C123,'TL09'!$J$10:$J$224),0),
IF('TL09'!$B$229=K$3,SUMIF('TL09'!$C$238:$C$451,$C123,'TL09'!$J$238:$J$451),0),
IF('TL10'!$B$3=K$3,SUMIF('TL10'!$C$10:$C$224,$C123,'TL10'!$J$10:$J$224),0),
IF('TL10'!$B$229=K$3,SUMIF('TL10'!$C$238:$C$451,$C123,'TL10'!$J$238:$J$451),0),
IF('TL11'!$B$3=K$3,SUMIF('TL11'!$C$10:$C$224,$C123,'TL11'!$J$10:$J$224),0),
IF('TL11'!$B$229=K$3,SUMIF('TL11'!$C$238:$C$451,$C123,'TL11'!$J$238:$J$451),0),
IF('TL12'!$B$3=K$3,SUMIF('TL12'!$C$10:$C$224,$C123,'TL12'!$J$10:$J$224),0),
IF('TL12'!$B$229=K$3,SUMIF('TL12'!$C$238:$C$451,$C123,'TL12'!$J$238:$J$451),0),
IF('TL13'!$B$3=K$3,SUMIF('TL13'!$C$10:$C$224,$C123,'TL13'!$J$10:$J$224),0),
IF('TL13'!$B$229=K$3,SUMIF('TL13'!$C$238:$C$451,$C123,'TL13'!$J$238:$J$451),0),
IF('TL14'!$B$3=K$3,SUMIF('TL14'!$C$10:$C$224,$C123,'TL14'!$J$10:$J$224),0),
IF('TL14'!$B$229=K$3,SUMIF('TL14'!$C$238:$C$451,$C123,'TL14'!$J$238:$J$451),0),
IF('TL15'!$B$3=K$3,SUMIF('TL15'!$C$10:$C$224,$C123,'TL15'!$J$10:$J$224),0),
IF('TL15'!$B$229=K$3,SUMIF('TL15'!$C$238:$C$451,$C123,'TL15'!$J$238:$J$451),0),
IF('TL16'!$B$3=K$3,SUMIF('TL16'!$C$10:$C$224,$C123,'TL16'!$J$10:$J$224),0),
IF('TL16'!$B$229=K$3,SUMIF('TL16'!$C$238:$C$451,$C123,'TL16'!$J$238:$J$451),0),
IF('TL17'!$B$3=K$3,SUMIF('TL17'!$C$10:$C$224,$C123,'TL17'!$J$10:$J$224),0),
IF('TL17'!$B$229=K$3,SUMIF('TL17'!$C$238:$C$451,$C123,'TL17'!$J$238:$J$451),0),
IF('TL18'!$B$3=K$3,SUMIF('TL18'!$C$10:$C$224,$C123,'TL18'!$J$10:$J$224),0),
IF('TL18'!$B$229=K$3,SUMIF('TL18'!$C$238:$C$451,$C123,'TL18'!$J$238:$J$451),0),
IF('TL19'!$B$3=K$3,SUMIF('TL19'!$C$10:$C$224,$C123,'TL19'!$J$10:$J$224),0),
IF('TL19'!$B$229=K$3,SUMIF('TL19'!$C$238:$C$451,$C123,'TL19'!$J$238:$J$451),0)
),0)</f>
        <v>0</v>
      </c>
      <c r="L123" s="9">
        <f>IFERROR(SUM(
IF('TL01'!$B$3=L$3,SUMIF('TL01'!$C$10:$C$224,$C123,'TL01'!$J$10:$J$224),0),
IF('TL01'!$B$229=L$3,SUMIF('TL01'!$C$238:$C$451,$C123,'TL01'!$J$238:$J$451),0),
IF('TL02'!$B$3=L$3,SUMIF('TL02'!$C$10:$C$224,$C123,'TL02'!$J$10:$J$224),0),
IF('TL02'!$B$229=L$3,SUMIF('TL02'!$C$238:$C$451,$C123,'TL02'!$J$238:$J$451),0),
IF('TL03'!$B$3=L$3,SUMIF('TL03'!$C$10:$C$224,$C123,'TL03'!$J$10:$J$224),0),
IF('TL03'!$B$229=L$3,SUMIF('TL03'!$C$238:$C$451,$C123,'TL03'!$J$238:$J$451),0),
IF('TL04'!$B$3=L$3,SUMIF('TL04'!$C$10:$C$224,$C123,'TL04'!$J$10:$J$224),0),
IF('TL04'!$B$229=L$3,SUMIF('TL04'!$C$238:$C$451,$C123,'TL04'!$J$238:$J$451),0),
IF('TL05'!$B$3=L$3,SUMIF('TL05'!$C$10:$C$224,$C123,'TL05'!$J$10:$J$224),0),
IF('TL05'!$B$229=L$3,SUMIF('TL05'!$C$238:$C$451,$C123,'TL05'!$J$238:$J$451),0),
IF('TL06'!$B$3=L$3,SUMIF('TL06'!$C$10:$C$224,$C123,'TL06'!$J$10:$J$224),0),
IF('TL06'!$B$229=L$3,SUMIF('TL06'!$C$238:$C$451,$C123,'TL06'!$J$238:$J$451),0),
IF('TL07'!$B$3=L$3,SUMIF('TL07'!$C$10:$C$224,$C123,'TL07'!$J$10:$J$224),0),
IF('TL07'!$B$229=L$3,SUMIF('TL07'!$C$238:$C$451,$C123,'TL07'!$J$238:$J$451),0),
IF('TL08'!$B$3=L$3,SUMIF('TL08'!$C$10:$C$224,$C123,'TL08'!$J$10:$J$224),0),
IF('TL08'!$B$229=L$3,SUMIF('TL08'!$C$238:$C$451,$C123,'TL08'!$J$238:$J$451),0),
IF('TL09'!$B$3=L$3,SUMIF('TL09'!$C$10:$C$224,$C123,'TL09'!$J$10:$J$224),0),
IF('TL09'!$B$229=L$3,SUMIF('TL09'!$C$238:$C$451,$C123,'TL09'!$J$238:$J$451),0),
IF('TL10'!$B$3=L$3,SUMIF('TL10'!$C$10:$C$224,$C123,'TL10'!$J$10:$J$224),0),
IF('TL10'!$B$229=L$3,SUMIF('TL10'!$C$238:$C$451,$C123,'TL10'!$J$238:$J$451),0),
IF('TL11'!$B$3=L$3,SUMIF('TL11'!$C$10:$C$224,$C123,'TL11'!$J$10:$J$224),0),
IF('TL11'!$B$229=L$3,SUMIF('TL11'!$C$238:$C$451,$C123,'TL11'!$J$238:$J$451),0),
IF('TL12'!$B$3=L$3,SUMIF('TL12'!$C$10:$C$224,$C123,'TL12'!$J$10:$J$224),0),
IF('TL12'!$B$229=L$3,SUMIF('TL12'!$C$238:$C$451,$C123,'TL12'!$J$238:$J$451),0),
IF('TL13'!$B$3=L$3,SUMIF('TL13'!$C$10:$C$224,$C123,'TL13'!$J$10:$J$224),0),
IF('TL13'!$B$229=L$3,SUMIF('TL13'!$C$238:$C$451,$C123,'TL13'!$J$238:$J$451),0),
IF('TL14'!$B$3=L$3,SUMIF('TL14'!$C$10:$C$224,$C123,'TL14'!$J$10:$J$224),0),
IF('TL14'!$B$229=L$3,SUMIF('TL14'!$C$238:$C$451,$C123,'TL14'!$J$238:$J$451),0),
IF('TL15'!$B$3=L$3,SUMIF('TL15'!$C$10:$C$224,$C123,'TL15'!$J$10:$J$224),0),
IF('TL15'!$B$229=L$3,SUMIF('TL15'!$C$238:$C$451,$C123,'TL15'!$J$238:$J$451),0),
IF('TL16'!$B$3=L$3,SUMIF('TL16'!$C$10:$C$224,$C123,'TL16'!$J$10:$J$224),0),
IF('TL16'!$B$229=L$3,SUMIF('TL16'!$C$238:$C$451,$C123,'TL16'!$J$238:$J$451),0),
IF('TL17'!$B$3=L$3,SUMIF('TL17'!$C$10:$C$224,$C123,'TL17'!$J$10:$J$224),0),
IF('TL17'!$B$229=L$3,SUMIF('TL17'!$C$238:$C$451,$C123,'TL17'!$J$238:$J$451),0),
IF('TL18'!$B$3=L$3,SUMIF('TL18'!$C$10:$C$224,$C123,'TL18'!$J$10:$J$224),0),
IF('TL18'!$B$229=L$3,SUMIF('TL18'!$C$238:$C$451,$C123,'TL18'!$J$238:$J$451),0),
IF('TL19'!$B$3=L$3,SUMIF('TL19'!$C$10:$C$224,$C123,'TL19'!$J$10:$J$224),0),
IF('TL19'!$B$229=L$3,SUMIF('TL19'!$C$238:$C$451,$C123,'TL19'!$J$238:$J$451),0)
),0)</f>
        <v>0</v>
      </c>
      <c r="M123" s="9">
        <f>IFERROR(SUM(
IF('TL01'!$B$3=M$3,SUMIF('TL01'!$C$10:$C$224,$C123,'TL01'!$J$10:$J$224),0),
IF('TL01'!$B$229=M$3,SUMIF('TL01'!$C$238:$C$451,$C123,'TL01'!$J$238:$J$451),0),
IF('TL02'!$B$3=M$3,SUMIF('TL02'!$C$10:$C$224,$C123,'TL02'!$J$10:$J$224),0),
IF('TL02'!$B$229=M$3,SUMIF('TL02'!$C$238:$C$451,$C123,'TL02'!$J$238:$J$451),0),
IF('TL03'!$B$3=M$3,SUMIF('TL03'!$C$10:$C$224,$C123,'TL03'!$J$10:$J$224),0),
IF('TL03'!$B$229=M$3,SUMIF('TL03'!$C$238:$C$451,$C123,'TL03'!$J$238:$J$451),0),
IF('TL04'!$B$3=M$3,SUMIF('TL04'!$C$10:$C$224,$C123,'TL04'!$J$10:$J$224),0),
IF('TL04'!$B$229=M$3,SUMIF('TL04'!$C$238:$C$451,$C123,'TL04'!$J$238:$J$451),0),
IF('TL05'!$B$3=M$3,SUMIF('TL05'!$C$10:$C$224,$C123,'TL05'!$J$10:$J$224),0),
IF('TL05'!$B$229=M$3,SUMIF('TL05'!$C$238:$C$451,$C123,'TL05'!$J$238:$J$451),0),
IF('TL06'!$B$3=M$3,SUMIF('TL06'!$C$10:$C$224,$C123,'TL06'!$J$10:$J$224),0),
IF('TL06'!$B$229=M$3,SUMIF('TL06'!$C$238:$C$451,$C123,'TL06'!$J$238:$J$451),0),
IF('TL07'!$B$3=M$3,SUMIF('TL07'!$C$10:$C$224,$C123,'TL07'!$J$10:$J$224),0),
IF('TL07'!$B$229=M$3,SUMIF('TL07'!$C$238:$C$451,$C123,'TL07'!$J$238:$J$451),0),
IF('TL08'!$B$3=M$3,SUMIF('TL08'!$C$10:$C$224,$C123,'TL08'!$J$10:$J$224),0),
IF('TL08'!$B$229=M$3,SUMIF('TL08'!$C$238:$C$451,$C123,'TL08'!$J$238:$J$451),0),
IF('TL09'!$B$3=M$3,SUMIF('TL09'!$C$10:$C$224,$C123,'TL09'!$J$10:$J$224),0),
IF('TL09'!$B$229=M$3,SUMIF('TL09'!$C$238:$C$451,$C123,'TL09'!$J$238:$J$451),0),
IF('TL10'!$B$3=M$3,SUMIF('TL10'!$C$10:$C$224,$C123,'TL10'!$J$10:$J$224),0),
IF('TL10'!$B$229=M$3,SUMIF('TL10'!$C$238:$C$451,$C123,'TL10'!$J$238:$J$451),0),
IF('TL11'!$B$3=M$3,SUMIF('TL11'!$C$10:$C$224,$C123,'TL11'!$J$10:$J$224),0),
IF('TL11'!$B$229=M$3,SUMIF('TL11'!$C$238:$C$451,$C123,'TL11'!$J$238:$J$451),0),
IF('TL12'!$B$3=M$3,SUMIF('TL12'!$C$10:$C$224,$C123,'TL12'!$J$10:$J$224),0),
IF('TL12'!$B$229=M$3,SUMIF('TL12'!$C$238:$C$451,$C123,'TL12'!$J$238:$J$451),0),
IF('TL13'!$B$3=M$3,SUMIF('TL13'!$C$10:$C$224,$C123,'TL13'!$J$10:$J$224),0),
IF('TL13'!$B$229=M$3,SUMIF('TL13'!$C$238:$C$451,$C123,'TL13'!$J$238:$J$451),0),
IF('TL14'!$B$3=M$3,SUMIF('TL14'!$C$10:$C$224,$C123,'TL14'!$J$10:$J$224),0),
IF('TL14'!$B$229=M$3,SUMIF('TL14'!$C$238:$C$451,$C123,'TL14'!$J$238:$J$451),0),
IF('TL15'!$B$3=M$3,SUMIF('TL15'!$C$10:$C$224,$C123,'TL15'!$J$10:$J$224),0),
IF('TL15'!$B$229=M$3,SUMIF('TL15'!$C$238:$C$451,$C123,'TL15'!$J$238:$J$451),0),
IF('TL16'!$B$3=M$3,SUMIF('TL16'!$C$10:$C$224,$C123,'TL16'!$J$10:$J$224),0),
IF('TL16'!$B$229=M$3,SUMIF('TL16'!$C$238:$C$451,$C123,'TL16'!$J$238:$J$451),0),
IF('TL17'!$B$3=M$3,SUMIF('TL17'!$C$10:$C$224,$C123,'TL17'!$J$10:$J$224),0),
IF('TL17'!$B$229=M$3,SUMIF('TL17'!$C$238:$C$451,$C123,'TL17'!$J$238:$J$451),0),
IF('TL18'!$B$3=M$3,SUMIF('TL18'!$C$10:$C$224,$C123,'TL18'!$J$10:$J$224),0),
IF('TL18'!$B$229=M$3,SUMIF('TL18'!$C$238:$C$451,$C123,'TL18'!$J$238:$J$451),0),
IF('TL19'!$B$3=M$3,SUMIF('TL19'!$C$10:$C$224,$C123,'TL19'!$J$10:$J$224),0),
IF('TL19'!$B$229=M$3,SUMIF('TL19'!$C$238:$C$451,$C123,'TL19'!$J$238:$J$451),0)
),0)</f>
        <v>0</v>
      </c>
      <c r="N123" s="9">
        <f>IFERROR(SUM(
IF('TL01'!$B$3=N$3,SUMIF('TL01'!$C$10:$C$224,$C123,'TL01'!$J$10:$J$224),0),
IF('TL01'!$B$229=N$3,SUMIF('TL01'!$C$238:$C$451,$C123,'TL01'!$J$238:$J$451),0),
IF('TL02'!$B$3=N$3,SUMIF('TL02'!$C$10:$C$224,$C123,'TL02'!$J$10:$J$224),0),
IF('TL02'!$B$229=N$3,SUMIF('TL02'!$C$238:$C$451,$C123,'TL02'!$J$238:$J$451),0),
IF('TL03'!$B$3=N$3,SUMIF('TL03'!$C$10:$C$224,$C123,'TL03'!$J$10:$J$224),0),
IF('TL03'!$B$229=N$3,SUMIF('TL03'!$C$238:$C$451,$C123,'TL03'!$J$238:$J$451),0),
IF('TL04'!$B$3=N$3,SUMIF('TL04'!$C$10:$C$224,$C123,'TL04'!$J$10:$J$224),0),
IF('TL04'!$B$229=N$3,SUMIF('TL04'!$C$238:$C$451,$C123,'TL04'!$J$238:$J$451),0),
IF('TL05'!$B$3=N$3,SUMIF('TL05'!$C$10:$C$224,$C123,'TL05'!$J$10:$J$224),0),
IF('TL05'!$B$229=N$3,SUMIF('TL05'!$C$238:$C$451,$C123,'TL05'!$J$238:$J$451),0),
IF('TL06'!$B$3=N$3,SUMIF('TL06'!$C$10:$C$224,$C123,'TL06'!$J$10:$J$224),0),
IF('TL06'!$B$229=N$3,SUMIF('TL06'!$C$238:$C$451,$C123,'TL06'!$J$238:$J$451),0),
IF('TL07'!$B$3=N$3,SUMIF('TL07'!$C$10:$C$224,$C123,'TL07'!$J$10:$J$224),0),
IF('TL07'!$B$229=N$3,SUMIF('TL07'!$C$238:$C$451,$C123,'TL07'!$J$238:$J$451),0),
IF('TL08'!$B$3=N$3,SUMIF('TL08'!$C$10:$C$224,$C123,'TL08'!$J$10:$J$224),0),
IF('TL08'!$B$229=N$3,SUMIF('TL08'!$C$238:$C$451,$C123,'TL08'!$J$238:$J$451),0),
IF('TL09'!$B$3=N$3,SUMIF('TL09'!$C$10:$C$224,$C123,'TL09'!$J$10:$J$224),0),
IF('TL09'!$B$229=N$3,SUMIF('TL09'!$C$238:$C$451,$C123,'TL09'!$J$238:$J$451),0),
IF('TL10'!$B$3=N$3,SUMIF('TL10'!$C$10:$C$224,$C123,'TL10'!$J$10:$J$224),0),
IF('TL10'!$B$229=N$3,SUMIF('TL10'!$C$238:$C$451,$C123,'TL10'!$J$238:$J$451),0),
IF('TL11'!$B$3=N$3,SUMIF('TL11'!$C$10:$C$224,$C123,'TL11'!$J$10:$J$224),0),
IF('TL11'!$B$229=N$3,SUMIF('TL11'!$C$238:$C$451,$C123,'TL11'!$J$238:$J$451),0),
IF('TL12'!$B$3=N$3,SUMIF('TL12'!$C$10:$C$224,$C123,'TL12'!$J$10:$J$224),0),
IF('TL12'!$B$229=N$3,SUMIF('TL12'!$C$238:$C$451,$C123,'TL12'!$J$238:$J$451),0),
IF('TL13'!$B$3=N$3,SUMIF('TL13'!$C$10:$C$224,$C123,'TL13'!$J$10:$J$224),0),
IF('TL13'!$B$229=N$3,SUMIF('TL13'!$C$238:$C$451,$C123,'TL13'!$J$238:$J$451),0),
IF('TL14'!$B$3=N$3,SUMIF('TL14'!$C$10:$C$224,$C123,'TL14'!$J$10:$J$224),0),
IF('TL14'!$B$229=N$3,SUMIF('TL14'!$C$238:$C$451,$C123,'TL14'!$J$238:$J$451),0),
IF('TL15'!$B$3=N$3,SUMIF('TL15'!$C$10:$C$224,$C123,'TL15'!$J$10:$J$224),0),
IF('TL15'!$B$229=N$3,SUMIF('TL15'!$C$238:$C$451,$C123,'TL15'!$J$238:$J$451),0),
IF('TL16'!$B$3=N$3,SUMIF('TL16'!$C$10:$C$224,$C123,'TL16'!$J$10:$J$224),0),
IF('TL16'!$B$229=N$3,SUMIF('TL16'!$C$238:$C$451,$C123,'TL16'!$J$238:$J$451),0),
IF('TL17'!$B$3=N$3,SUMIF('TL17'!$C$10:$C$224,$C123,'TL17'!$J$10:$J$224),0),
IF('TL17'!$B$229=N$3,SUMIF('TL17'!$C$238:$C$451,$C123,'TL17'!$J$238:$J$451),0),
IF('TL18'!$B$3=N$3,SUMIF('TL18'!$C$10:$C$224,$C123,'TL18'!$J$10:$J$224),0),
IF('TL18'!$B$229=N$3,SUMIF('TL18'!$C$238:$C$451,$C123,'TL18'!$J$238:$J$451),0),
IF('TL19'!$B$3=N$3,SUMIF('TL19'!$C$10:$C$224,$C123,'TL19'!$J$10:$J$224),0),
IF('TL19'!$B$229=N$3,SUMIF('TL19'!$C$238:$C$451,$C123,'TL19'!$J$238:$J$451),0)
),0)</f>
        <v>0</v>
      </c>
      <c r="O123" s="9">
        <f>IFERROR(SUM(
IF('TL01'!$B$3=O$3,SUMIF('TL01'!$C$10:$C$224,$C123,'TL01'!$J$10:$J$224),0),
IF('TL01'!$B$229=O$3,SUMIF('TL01'!$C$238:$C$451,$C123,'TL01'!$J$238:$J$451),0),
IF('TL02'!$B$3=O$3,SUMIF('TL02'!$C$10:$C$224,$C123,'TL02'!$J$10:$J$224),0),
IF('TL02'!$B$229=O$3,SUMIF('TL02'!$C$238:$C$451,$C123,'TL02'!$J$238:$J$451),0),
IF('TL03'!$B$3=O$3,SUMIF('TL03'!$C$10:$C$224,$C123,'TL03'!$J$10:$J$224),0),
IF('TL03'!$B$229=O$3,SUMIF('TL03'!$C$238:$C$451,$C123,'TL03'!$J$238:$J$451),0),
IF('TL04'!$B$3=O$3,SUMIF('TL04'!$C$10:$C$224,$C123,'TL04'!$J$10:$J$224),0),
IF('TL04'!$B$229=O$3,SUMIF('TL04'!$C$238:$C$451,$C123,'TL04'!$J$238:$J$451),0),
IF('TL05'!$B$3=O$3,SUMIF('TL05'!$C$10:$C$224,$C123,'TL05'!$J$10:$J$224),0),
IF('TL05'!$B$229=O$3,SUMIF('TL05'!$C$238:$C$451,$C123,'TL05'!$J$238:$J$451),0),
IF('TL06'!$B$3=O$3,SUMIF('TL06'!$C$10:$C$224,$C123,'TL06'!$J$10:$J$224),0),
IF('TL06'!$B$229=O$3,SUMIF('TL06'!$C$238:$C$451,$C123,'TL06'!$J$238:$J$451),0),
IF('TL07'!$B$3=O$3,SUMIF('TL07'!$C$10:$C$224,$C123,'TL07'!$J$10:$J$224),0),
IF('TL07'!$B$229=O$3,SUMIF('TL07'!$C$238:$C$451,$C123,'TL07'!$J$238:$J$451),0),
IF('TL08'!$B$3=O$3,SUMIF('TL08'!$C$10:$C$224,$C123,'TL08'!$J$10:$J$224),0),
IF('TL08'!$B$229=O$3,SUMIF('TL08'!$C$238:$C$451,$C123,'TL08'!$J$238:$J$451),0),
IF('TL09'!$B$3=O$3,SUMIF('TL09'!$C$10:$C$224,$C123,'TL09'!$J$10:$J$224),0),
IF('TL09'!$B$229=O$3,SUMIF('TL09'!$C$238:$C$451,$C123,'TL09'!$J$238:$J$451),0),
IF('TL10'!$B$3=O$3,SUMIF('TL10'!$C$10:$C$224,$C123,'TL10'!$J$10:$J$224),0),
IF('TL10'!$B$229=O$3,SUMIF('TL10'!$C$238:$C$451,$C123,'TL10'!$J$238:$J$451),0),
IF('TL11'!$B$3=O$3,SUMIF('TL11'!$C$10:$C$224,$C123,'TL11'!$J$10:$J$224),0),
IF('TL11'!$B$229=O$3,SUMIF('TL11'!$C$238:$C$451,$C123,'TL11'!$J$238:$J$451),0),
IF('TL12'!$B$3=O$3,SUMIF('TL12'!$C$10:$C$224,$C123,'TL12'!$J$10:$J$224),0),
IF('TL12'!$B$229=O$3,SUMIF('TL12'!$C$238:$C$451,$C123,'TL12'!$J$238:$J$451),0),
IF('TL13'!$B$3=O$3,SUMIF('TL13'!$C$10:$C$224,$C123,'TL13'!$J$10:$J$224),0),
IF('TL13'!$B$229=O$3,SUMIF('TL13'!$C$238:$C$451,$C123,'TL13'!$J$238:$J$451),0),
IF('TL14'!$B$3=O$3,SUMIF('TL14'!$C$10:$C$224,$C123,'TL14'!$J$10:$J$224),0),
IF('TL14'!$B$229=O$3,SUMIF('TL14'!$C$238:$C$451,$C123,'TL14'!$J$238:$J$451),0),
IF('TL15'!$B$3=O$3,SUMIF('TL15'!$C$10:$C$224,$C123,'TL15'!$J$10:$J$224),0),
IF('TL15'!$B$229=O$3,SUMIF('TL15'!$C$238:$C$451,$C123,'TL15'!$J$238:$J$451),0),
IF('TL16'!$B$3=O$3,SUMIF('TL16'!$C$10:$C$224,$C123,'TL16'!$J$10:$J$224),0),
IF('TL16'!$B$229=O$3,SUMIF('TL16'!$C$238:$C$451,$C123,'TL16'!$J$238:$J$451),0),
IF('TL17'!$B$3=O$3,SUMIF('TL17'!$C$10:$C$224,$C123,'TL17'!$J$10:$J$224),0),
IF('TL17'!$B$229=O$3,SUMIF('TL17'!$C$238:$C$451,$C123,'TL17'!$J$238:$J$451),0),
IF('TL18'!$B$3=O$3,SUMIF('TL18'!$C$10:$C$224,$C123,'TL18'!$J$10:$J$224),0),
IF('TL18'!$B$229=O$3,SUMIF('TL18'!$C$238:$C$451,$C123,'TL18'!$J$238:$J$451),0),
IF('TL19'!$B$3=O$3,SUMIF('TL19'!$C$10:$C$224,$C123,'TL19'!$J$10:$J$224),0),
IF('TL19'!$B$229=O$3,SUMIF('TL19'!$C$238:$C$451,$C123,'TL19'!$J$238:$J$451),0)
),0)</f>
        <v>0</v>
      </c>
      <c r="P123" s="9">
        <f>IFERROR(SUM(
IF('TL01'!$B$3=P$3,SUMIF('TL01'!$C$10:$C$224,$C123,'TL01'!$J$10:$J$224),0),
IF('TL01'!$B$229=P$3,SUMIF('TL01'!$C$238:$C$451,$C123,'TL01'!$J$238:$J$451),0),
IF('TL02'!$B$3=P$3,SUMIF('TL02'!$C$10:$C$224,$C123,'TL02'!$J$10:$J$224),0),
IF('TL02'!$B$229=P$3,SUMIF('TL02'!$C$238:$C$451,$C123,'TL02'!$J$238:$J$451),0),
IF('TL03'!$B$3=P$3,SUMIF('TL03'!$C$10:$C$224,$C123,'TL03'!$J$10:$J$224),0),
IF('TL03'!$B$229=P$3,SUMIF('TL03'!$C$238:$C$451,$C123,'TL03'!$J$238:$J$451),0),
IF('TL04'!$B$3=P$3,SUMIF('TL04'!$C$10:$C$224,$C123,'TL04'!$J$10:$J$224),0),
IF('TL04'!$B$229=P$3,SUMIF('TL04'!$C$238:$C$451,$C123,'TL04'!$J$238:$J$451),0),
IF('TL05'!$B$3=P$3,SUMIF('TL05'!$C$10:$C$224,$C123,'TL05'!$J$10:$J$224),0),
IF('TL05'!$B$229=P$3,SUMIF('TL05'!$C$238:$C$451,$C123,'TL05'!$J$238:$J$451),0),
IF('TL06'!$B$3=P$3,SUMIF('TL06'!$C$10:$C$224,$C123,'TL06'!$J$10:$J$224),0),
IF('TL06'!$B$229=P$3,SUMIF('TL06'!$C$238:$C$451,$C123,'TL06'!$J$238:$J$451),0),
IF('TL07'!$B$3=P$3,SUMIF('TL07'!$C$10:$C$224,$C123,'TL07'!$J$10:$J$224),0),
IF('TL07'!$B$229=P$3,SUMIF('TL07'!$C$238:$C$451,$C123,'TL07'!$J$238:$J$451),0),
IF('TL08'!$B$3=P$3,SUMIF('TL08'!$C$10:$C$224,$C123,'TL08'!$J$10:$J$224),0),
IF('TL08'!$B$229=P$3,SUMIF('TL08'!$C$238:$C$451,$C123,'TL08'!$J$238:$J$451),0),
IF('TL09'!$B$3=P$3,SUMIF('TL09'!$C$10:$C$224,$C123,'TL09'!$J$10:$J$224),0),
IF('TL09'!$B$229=P$3,SUMIF('TL09'!$C$238:$C$451,$C123,'TL09'!$J$238:$J$451),0),
IF('TL10'!$B$3=P$3,SUMIF('TL10'!$C$10:$C$224,$C123,'TL10'!$J$10:$J$224),0),
IF('TL10'!$B$229=P$3,SUMIF('TL10'!$C$238:$C$451,$C123,'TL10'!$J$238:$J$451),0),
IF('TL11'!$B$3=P$3,SUMIF('TL11'!$C$10:$C$224,$C123,'TL11'!$J$10:$J$224),0),
IF('TL11'!$B$229=P$3,SUMIF('TL11'!$C$238:$C$451,$C123,'TL11'!$J$238:$J$451),0),
IF('TL12'!$B$3=P$3,SUMIF('TL12'!$C$10:$C$224,$C123,'TL12'!$J$10:$J$224),0),
IF('TL12'!$B$229=P$3,SUMIF('TL12'!$C$238:$C$451,$C123,'TL12'!$J$238:$J$451),0),
IF('TL13'!$B$3=P$3,SUMIF('TL13'!$C$10:$C$224,$C123,'TL13'!$J$10:$J$224),0),
IF('TL13'!$B$229=P$3,SUMIF('TL13'!$C$238:$C$451,$C123,'TL13'!$J$238:$J$451),0),
IF('TL14'!$B$3=P$3,SUMIF('TL14'!$C$10:$C$224,$C123,'TL14'!$J$10:$J$224),0),
IF('TL14'!$B$229=P$3,SUMIF('TL14'!$C$238:$C$451,$C123,'TL14'!$J$238:$J$451),0),
IF('TL15'!$B$3=P$3,SUMIF('TL15'!$C$10:$C$224,$C123,'TL15'!$J$10:$J$224),0),
IF('TL15'!$B$229=P$3,SUMIF('TL15'!$C$238:$C$451,$C123,'TL15'!$J$238:$J$451),0),
IF('TL16'!$B$3=P$3,SUMIF('TL16'!$C$10:$C$224,$C123,'TL16'!$J$10:$J$224),0),
IF('TL16'!$B$229=P$3,SUMIF('TL16'!$C$238:$C$451,$C123,'TL16'!$J$238:$J$451),0),
IF('TL17'!$B$3=P$3,SUMIF('TL17'!$C$10:$C$224,$C123,'TL17'!$J$10:$J$224),0),
IF('TL17'!$B$229=P$3,SUMIF('TL17'!$C$238:$C$451,$C123,'TL17'!$J$238:$J$451),0),
IF('TL18'!$B$3=P$3,SUMIF('TL18'!$C$10:$C$224,$C123,'TL18'!$J$10:$J$224),0),
IF('TL18'!$B$229=P$3,SUMIF('TL18'!$C$238:$C$451,$C123,'TL18'!$J$238:$J$451),0),
IF('TL19'!$B$3=P$3,SUMIF('TL19'!$C$10:$C$224,$C123,'TL19'!$J$10:$J$224),0),
IF('TL19'!$B$229=P$3,SUMIF('TL19'!$C$238:$C$451,$C123,'TL19'!$J$238:$J$451),0)
),0)</f>
        <v>0</v>
      </c>
      <c r="Q123" s="9">
        <f>IFERROR(SUM(
IF('TL01'!$B$3=Q$3,SUMIF('TL01'!$C$10:$C$224,$C123,'TL01'!$J$10:$J$224),0),
IF('TL01'!$B$229=Q$3,SUMIF('TL01'!$C$238:$C$451,$C123,'TL01'!$J$238:$J$451),0),
IF('TL02'!$B$3=Q$3,SUMIF('TL02'!$C$10:$C$224,$C123,'TL02'!$J$10:$J$224),0),
IF('TL02'!$B$229=Q$3,SUMIF('TL02'!$C$238:$C$451,$C123,'TL02'!$J$238:$J$451),0),
IF('TL03'!$B$3=Q$3,SUMIF('TL03'!$C$10:$C$224,$C123,'TL03'!$J$10:$J$224),0),
IF('TL03'!$B$229=Q$3,SUMIF('TL03'!$C$238:$C$451,$C123,'TL03'!$J$238:$J$451),0),
IF('TL04'!$B$3=Q$3,SUMIF('TL04'!$C$10:$C$224,$C123,'TL04'!$J$10:$J$224),0),
IF('TL04'!$B$229=Q$3,SUMIF('TL04'!$C$238:$C$451,$C123,'TL04'!$J$238:$J$451),0),
IF('TL05'!$B$3=Q$3,SUMIF('TL05'!$C$10:$C$224,$C123,'TL05'!$J$10:$J$224),0),
IF('TL05'!$B$229=Q$3,SUMIF('TL05'!$C$238:$C$451,$C123,'TL05'!$J$238:$J$451),0),
IF('TL06'!$B$3=Q$3,SUMIF('TL06'!$C$10:$C$224,$C123,'TL06'!$J$10:$J$224),0),
IF('TL06'!$B$229=Q$3,SUMIF('TL06'!$C$238:$C$451,$C123,'TL06'!$J$238:$J$451),0),
IF('TL07'!$B$3=Q$3,SUMIF('TL07'!$C$10:$C$224,$C123,'TL07'!$J$10:$J$224),0),
IF('TL07'!$B$229=Q$3,SUMIF('TL07'!$C$238:$C$451,$C123,'TL07'!$J$238:$J$451),0),
IF('TL08'!$B$3=Q$3,SUMIF('TL08'!$C$10:$C$224,$C123,'TL08'!$J$10:$J$224),0),
IF('TL08'!$B$229=Q$3,SUMIF('TL08'!$C$238:$C$451,$C123,'TL08'!$J$238:$J$451),0),
IF('TL09'!$B$3=Q$3,SUMIF('TL09'!$C$10:$C$224,$C123,'TL09'!$J$10:$J$224),0),
IF('TL09'!$B$229=Q$3,SUMIF('TL09'!$C$238:$C$451,$C123,'TL09'!$J$238:$J$451),0),
IF('TL10'!$B$3=Q$3,SUMIF('TL10'!$C$10:$C$224,$C123,'TL10'!$J$10:$J$224),0),
IF('TL10'!$B$229=Q$3,SUMIF('TL10'!$C$238:$C$451,$C123,'TL10'!$J$238:$J$451),0),
IF('TL11'!$B$3=Q$3,SUMIF('TL11'!$C$10:$C$224,$C123,'TL11'!$J$10:$J$224),0),
IF('TL11'!$B$229=Q$3,SUMIF('TL11'!$C$238:$C$451,$C123,'TL11'!$J$238:$J$451),0),
IF('TL12'!$B$3=Q$3,SUMIF('TL12'!$C$10:$C$224,$C123,'TL12'!$J$10:$J$224),0),
IF('TL12'!$B$229=Q$3,SUMIF('TL12'!$C$238:$C$451,$C123,'TL12'!$J$238:$J$451),0),
IF('TL13'!$B$3=Q$3,SUMIF('TL13'!$C$10:$C$224,$C123,'TL13'!$J$10:$J$224),0),
IF('TL13'!$B$229=Q$3,SUMIF('TL13'!$C$238:$C$451,$C123,'TL13'!$J$238:$J$451),0),
IF('TL14'!$B$3=Q$3,SUMIF('TL14'!$C$10:$C$224,$C123,'TL14'!$J$10:$J$224),0),
IF('TL14'!$B$229=Q$3,SUMIF('TL14'!$C$238:$C$451,$C123,'TL14'!$J$238:$J$451),0),
IF('TL15'!$B$3=Q$3,SUMIF('TL15'!$C$10:$C$224,$C123,'TL15'!$J$10:$J$224),0),
IF('TL15'!$B$229=Q$3,SUMIF('TL15'!$C$238:$C$451,$C123,'TL15'!$J$238:$J$451),0),
IF('TL16'!$B$3=Q$3,SUMIF('TL16'!$C$10:$C$224,$C123,'TL16'!$J$10:$J$224),0),
IF('TL16'!$B$229=Q$3,SUMIF('TL16'!$C$238:$C$451,$C123,'TL16'!$J$238:$J$451),0),
IF('TL17'!$B$3=Q$3,SUMIF('TL17'!$C$10:$C$224,$C123,'TL17'!$J$10:$J$224),0),
IF('TL17'!$B$229=Q$3,SUMIF('TL17'!$C$238:$C$451,$C123,'TL17'!$J$238:$J$451),0),
IF('TL18'!$B$3=Q$3,SUMIF('TL18'!$C$10:$C$224,$C123,'TL18'!$J$10:$J$224),0),
IF('TL18'!$B$229=Q$3,SUMIF('TL18'!$C$238:$C$451,$C123,'TL18'!$J$238:$J$451),0),
IF('TL19'!$B$3=Q$3,SUMIF('TL19'!$C$10:$C$224,$C123,'TL19'!$J$10:$J$224),0),
IF('TL19'!$B$229=Q$3,SUMIF('TL19'!$C$238:$C$451,$C123,'TL19'!$J$238:$J$451),0)
),0)</f>
        <v>0</v>
      </c>
      <c r="R123" s="9">
        <f>IFERROR(
SUM(
SUMIF('TL01'!C:C,C123,'TL01'!J:J),
SUMIF('TL02'!C:C,C123,'TL02'!J:J),
SUMIF('TL03'!C:C,C123,'TL03'!J:J),
SUMIF('TL04'!C:C,C123,'TL04'!J:J),
SUMIF('TL05'!C:C,C123,'TL05'!J:J),
SUMIF('TL06'!C:C,C123,'TL06'!J:J),
SUMIF('TL07'!C:C,C123,'TL07'!J:J),
SUMIF('TL08'!C:C,C123,'TL08'!J:J),
SUMIF('TL09'!C:C,C123,'TL09'!J:J),
SUMIF('TL10'!C:C,C123,'TL10'!J:J),
SUMIF('TL11'!C:C,C123,'TL11'!J:J),
SUMIF('TL12'!C:C,C123,'TL12'!J:J),
SUMIF('TL13'!C:C,C123,'TL13'!J:J),
SUMIF('TL14'!C:C,C123,'TL14'!J:J),
SUMIF('TL15'!C:C,C123,'TL15'!J:J),
SUMIF('TL16'!C:C,C123,'TL16'!J:J),
SUMIF('TL17'!C:C,C123,'TL17'!J:J),
SUMIF('TL18'!C:C,C123,'TL18'!J:J),SUMIF('TL19'!C:C,C123,'TL19'!J:J))
,0)</f>
        <v>0</v>
      </c>
      <c r="S123" s="17">
        <f>IFERROR(__xludf.DUMMYFUNCTION("IFERROR(VLOOKUP(C123,
IMPORTRANGE(""1wULbzX32WdYsx-lj2U3uUNBBe2INVIRDtcK0d-Dvl90"",
""26-27!C:G""),
5,
FALSE),
"""")"),14.649679999999998)</f>
        <v>14.64968</v>
      </c>
      <c r="T123" s="9"/>
      <c r="U123" s="92">
        <f t="shared" si="2"/>
        <v>0</v>
      </c>
      <c r="V123" s="93">
        <f t="shared" si="3"/>
        <v>0</v>
      </c>
    </row>
    <row r="124" ht="15.75" hidden="1" customHeight="1">
      <c r="A124" s="115" t="s">
        <v>480</v>
      </c>
      <c r="B124" s="100" t="s">
        <v>1</v>
      </c>
      <c r="C124" s="116" t="s">
        <v>647</v>
      </c>
      <c r="D124" s="116" t="s">
        <v>648</v>
      </c>
      <c r="E124" s="116">
        <v>480.0</v>
      </c>
      <c r="F124" s="4" t="s">
        <v>343</v>
      </c>
      <c r="G124" s="90" t="str">
        <f t="shared" si="4"/>
        <v>📄 Ver bula</v>
      </c>
      <c r="H124" s="9" t="str">
        <f>IFERROR(__xludf.DUMMYFUNCTION("IFERROR(VLOOKUP(C124,
IMPORTRANGE(""1wULbzX32WdYsx-lj2U3uUNBBe2INVIRDtcK0d-Dvl90"",
""26-27!C:K""),
8,
FALSE),
"""")"),"")</f>
        <v/>
      </c>
      <c r="I124" s="117" t="s">
        <v>344</v>
      </c>
      <c r="J124" s="9">
        <f>IFERROR(SUM(
IF('TL01'!$B$3=J$3,SUMIF('TL01'!$C$10:$C$224,$C124,'TL01'!$J$10:$J$224),0),
IF('TL01'!$B$229=J$3,SUMIF('TL01'!$C$238:$C$451,$C124,'TL01'!$J$238:$J$451),0),
IF('TL02'!$B$3=J$3,SUMIF('TL02'!$C$10:$C$224,$C124,'TL02'!$J$10:$J$224),0),
IF('TL02'!$B$229=J$3,SUMIF('TL02'!$C$238:$C$451,$C124,'TL02'!$J$238:$J$451),0),
IF('TL03'!$B$3=J$3,SUMIF('TL03'!$C$10:$C$224,$C124,'TL03'!$J$10:$J$224),0),
IF('TL03'!$B$229=J$3,SUMIF('TL03'!$C$238:$C$451,$C124,'TL03'!$J$238:$J$451),0),
IF('TL04'!$B$3=J$3,SUMIF('TL04'!$C$10:$C$224,$C124,'TL04'!$J$10:$J$224),0),
IF('TL04'!$B$229=J$3,SUMIF('TL04'!$C$238:$C$451,$C124,'TL04'!$J$238:$J$451),0),
IF('TL05'!$B$3=J$3,SUMIF('TL05'!$C$10:$C$224,$C124,'TL05'!$J$10:$J$224),0),
IF('TL05'!$B$229=J$3,SUMIF('TL05'!$C$238:$C$451,$C124,'TL05'!$J$238:$J$451),0),
IF('TL06'!$B$3=J$3,SUMIF('TL06'!$C$10:$C$224,$C124,'TL06'!$J$10:$J$224),0),
IF('TL06'!$B$229=J$3,SUMIF('TL06'!$C$238:$C$451,$C124,'TL06'!$J$238:$J$451),0),
IF('TL07'!$B$3=J$3,SUMIF('TL07'!$C$10:$C$224,$C124,'TL07'!$J$10:$J$224),0),
IF('TL07'!$B$229=J$3,SUMIF('TL07'!$C$238:$C$451,$C124,'TL07'!$J$238:$J$451),0),
IF('TL08'!$B$3=J$3,SUMIF('TL08'!$C$10:$C$224,$C124,'TL08'!$J$10:$J$224),0),
IF('TL08'!$B$229=J$3,SUMIF('TL08'!$C$238:$C$451,$C124,'TL08'!$J$238:$J$451),0),
IF('TL09'!$B$3=J$3,SUMIF('TL09'!$C$10:$C$224,$C124,'TL09'!$J$10:$J$224),0),
IF('TL09'!$B$229=J$3,SUMIF('TL09'!$C$238:$C$451,$C124,'TL09'!$J$238:$J$451),0),
IF('TL10'!$B$3=J$3,SUMIF('TL10'!$C$10:$C$224,$C124,'TL10'!$J$10:$J$224),0),
IF('TL10'!$B$229=J$3,SUMIF('TL10'!$C$238:$C$451,$C124,'TL10'!$J$238:$J$451),0),
IF('TL11'!$B$3=J$3,SUMIF('TL11'!$C$10:$C$224,$C124,'TL11'!$J$10:$J$224),0),
IF('TL11'!$B$229=J$3,SUMIF('TL11'!$C$238:$C$451,$C124,'TL11'!$J$238:$J$451),0),
IF('TL12'!$B$3=J$3,SUMIF('TL12'!$C$10:$C$224,$C124,'TL12'!$J$10:$J$224),0),
IF('TL12'!$B$229=J$3,SUMIF('TL12'!$C$238:$C$451,$C124,'TL12'!$J$238:$J$451),0),
IF('TL13'!$B$3=J$3,SUMIF('TL13'!$C$10:$C$224,$C124,'TL13'!$J$10:$J$224),0),
IF('TL13'!$B$229=J$3,SUMIF('TL13'!$C$238:$C$451,$C124,'TL13'!$J$238:$J$451),0),
IF('TL14'!$B$3=J$3,SUMIF('TL14'!$C$10:$C$224,$C124,'TL14'!$J$10:$J$224),0),
IF('TL14'!$B$229=J$3,SUMIF('TL14'!$C$238:$C$451,$C124,'TL14'!$J$238:$J$451),0),
IF('TL15'!$B$3=J$3,SUMIF('TL15'!$C$10:$C$224,$C124,'TL15'!$J$10:$J$224),0),
IF('TL15'!$B$229=J$3,SUMIF('TL15'!$C$238:$C$451,$C124,'TL15'!$J$238:$J$451),0),
IF('TL16'!$B$3=J$3,SUMIF('TL16'!$C$10:$C$224,$C124,'TL16'!$J$10:$J$224),0),
IF('TL16'!$B$229=J$3,SUMIF('TL16'!$C$238:$C$451,$C124,'TL16'!$J$238:$J$451),0),
IF('TL17'!$B$3=J$3,SUMIF('TL17'!$C$10:$C$224,$C124,'TL17'!$J$10:$J$224),0),
IF('TL17'!$B$229=J$3,SUMIF('TL17'!$C$238:$C$451,$C124,'TL17'!$J$238:$J$451),0),
IF('TL18'!$B$3=J$3,SUMIF('TL18'!$C$10:$C$224,$C124,'TL18'!$J$10:$J$224),0),
IF('TL18'!$B$229=J$3,SUMIF('TL18'!$C$238:$C$451,$C124,'TL18'!$J$238:$J$451),0),
IF('TL19'!$B$3=J$3,SUMIF('TL19'!$C$10:$C$224,$C124,'TL19'!$J$10:$J$224),0),
IF('TL19'!$B$229=J$3,SUMIF('TL19'!$C$238:$C$451,$C124,'TL19'!$J$238:$J$451),0)
),0)</f>
        <v>0</v>
      </c>
      <c r="K124" s="9">
        <f>IFERROR(SUM(
IF('TL01'!$B$3=K$3,SUMIF('TL01'!$C$10:$C$224,$C124,'TL01'!$J$10:$J$224),0),
IF('TL01'!$B$229=K$3,SUMIF('TL01'!$C$238:$C$451,$C124,'TL01'!$J$238:$J$451),0),
IF('TL02'!$B$3=K$3,SUMIF('TL02'!$C$10:$C$224,$C124,'TL02'!$J$10:$J$224),0),
IF('TL02'!$B$229=K$3,SUMIF('TL02'!$C$238:$C$451,$C124,'TL02'!$J$238:$J$451),0),
IF('TL03'!$B$3=K$3,SUMIF('TL03'!$C$10:$C$224,$C124,'TL03'!$J$10:$J$224),0),
IF('TL03'!$B$229=K$3,SUMIF('TL03'!$C$238:$C$451,$C124,'TL03'!$J$238:$J$451),0),
IF('TL04'!$B$3=K$3,SUMIF('TL04'!$C$10:$C$224,$C124,'TL04'!$J$10:$J$224),0),
IF('TL04'!$B$229=K$3,SUMIF('TL04'!$C$238:$C$451,$C124,'TL04'!$J$238:$J$451),0),
IF('TL05'!$B$3=K$3,SUMIF('TL05'!$C$10:$C$224,$C124,'TL05'!$J$10:$J$224),0),
IF('TL05'!$B$229=K$3,SUMIF('TL05'!$C$238:$C$451,$C124,'TL05'!$J$238:$J$451),0),
IF('TL06'!$B$3=K$3,SUMIF('TL06'!$C$10:$C$224,$C124,'TL06'!$J$10:$J$224),0),
IF('TL06'!$B$229=K$3,SUMIF('TL06'!$C$238:$C$451,$C124,'TL06'!$J$238:$J$451),0),
IF('TL07'!$B$3=K$3,SUMIF('TL07'!$C$10:$C$224,$C124,'TL07'!$J$10:$J$224),0),
IF('TL07'!$B$229=K$3,SUMIF('TL07'!$C$238:$C$451,$C124,'TL07'!$J$238:$J$451),0),
IF('TL08'!$B$3=K$3,SUMIF('TL08'!$C$10:$C$224,$C124,'TL08'!$J$10:$J$224),0),
IF('TL08'!$B$229=K$3,SUMIF('TL08'!$C$238:$C$451,$C124,'TL08'!$J$238:$J$451),0),
IF('TL09'!$B$3=K$3,SUMIF('TL09'!$C$10:$C$224,$C124,'TL09'!$J$10:$J$224),0),
IF('TL09'!$B$229=K$3,SUMIF('TL09'!$C$238:$C$451,$C124,'TL09'!$J$238:$J$451),0),
IF('TL10'!$B$3=K$3,SUMIF('TL10'!$C$10:$C$224,$C124,'TL10'!$J$10:$J$224),0),
IF('TL10'!$B$229=K$3,SUMIF('TL10'!$C$238:$C$451,$C124,'TL10'!$J$238:$J$451),0),
IF('TL11'!$B$3=K$3,SUMIF('TL11'!$C$10:$C$224,$C124,'TL11'!$J$10:$J$224),0),
IF('TL11'!$B$229=K$3,SUMIF('TL11'!$C$238:$C$451,$C124,'TL11'!$J$238:$J$451),0),
IF('TL12'!$B$3=K$3,SUMIF('TL12'!$C$10:$C$224,$C124,'TL12'!$J$10:$J$224),0),
IF('TL12'!$B$229=K$3,SUMIF('TL12'!$C$238:$C$451,$C124,'TL12'!$J$238:$J$451),0),
IF('TL13'!$B$3=K$3,SUMIF('TL13'!$C$10:$C$224,$C124,'TL13'!$J$10:$J$224),0),
IF('TL13'!$B$229=K$3,SUMIF('TL13'!$C$238:$C$451,$C124,'TL13'!$J$238:$J$451),0),
IF('TL14'!$B$3=K$3,SUMIF('TL14'!$C$10:$C$224,$C124,'TL14'!$J$10:$J$224),0),
IF('TL14'!$B$229=K$3,SUMIF('TL14'!$C$238:$C$451,$C124,'TL14'!$J$238:$J$451),0),
IF('TL15'!$B$3=K$3,SUMIF('TL15'!$C$10:$C$224,$C124,'TL15'!$J$10:$J$224),0),
IF('TL15'!$B$229=K$3,SUMIF('TL15'!$C$238:$C$451,$C124,'TL15'!$J$238:$J$451),0),
IF('TL16'!$B$3=K$3,SUMIF('TL16'!$C$10:$C$224,$C124,'TL16'!$J$10:$J$224),0),
IF('TL16'!$B$229=K$3,SUMIF('TL16'!$C$238:$C$451,$C124,'TL16'!$J$238:$J$451),0),
IF('TL17'!$B$3=K$3,SUMIF('TL17'!$C$10:$C$224,$C124,'TL17'!$J$10:$J$224),0),
IF('TL17'!$B$229=K$3,SUMIF('TL17'!$C$238:$C$451,$C124,'TL17'!$J$238:$J$451),0),
IF('TL18'!$B$3=K$3,SUMIF('TL18'!$C$10:$C$224,$C124,'TL18'!$J$10:$J$224),0),
IF('TL18'!$B$229=K$3,SUMIF('TL18'!$C$238:$C$451,$C124,'TL18'!$J$238:$J$451),0),
IF('TL19'!$B$3=K$3,SUMIF('TL19'!$C$10:$C$224,$C124,'TL19'!$J$10:$J$224),0),
IF('TL19'!$B$229=K$3,SUMIF('TL19'!$C$238:$C$451,$C124,'TL19'!$J$238:$J$451),0)
),0)</f>
        <v>0</v>
      </c>
      <c r="L124" s="9">
        <f>IFERROR(SUM(
IF('TL01'!$B$3=L$3,SUMIF('TL01'!$C$10:$C$224,$C124,'TL01'!$J$10:$J$224),0),
IF('TL01'!$B$229=L$3,SUMIF('TL01'!$C$238:$C$451,$C124,'TL01'!$J$238:$J$451),0),
IF('TL02'!$B$3=L$3,SUMIF('TL02'!$C$10:$C$224,$C124,'TL02'!$J$10:$J$224),0),
IF('TL02'!$B$229=L$3,SUMIF('TL02'!$C$238:$C$451,$C124,'TL02'!$J$238:$J$451),0),
IF('TL03'!$B$3=L$3,SUMIF('TL03'!$C$10:$C$224,$C124,'TL03'!$J$10:$J$224),0),
IF('TL03'!$B$229=L$3,SUMIF('TL03'!$C$238:$C$451,$C124,'TL03'!$J$238:$J$451),0),
IF('TL04'!$B$3=L$3,SUMIF('TL04'!$C$10:$C$224,$C124,'TL04'!$J$10:$J$224),0),
IF('TL04'!$B$229=L$3,SUMIF('TL04'!$C$238:$C$451,$C124,'TL04'!$J$238:$J$451),0),
IF('TL05'!$B$3=L$3,SUMIF('TL05'!$C$10:$C$224,$C124,'TL05'!$J$10:$J$224),0),
IF('TL05'!$B$229=L$3,SUMIF('TL05'!$C$238:$C$451,$C124,'TL05'!$J$238:$J$451),0),
IF('TL06'!$B$3=L$3,SUMIF('TL06'!$C$10:$C$224,$C124,'TL06'!$J$10:$J$224),0),
IF('TL06'!$B$229=L$3,SUMIF('TL06'!$C$238:$C$451,$C124,'TL06'!$J$238:$J$451),0),
IF('TL07'!$B$3=L$3,SUMIF('TL07'!$C$10:$C$224,$C124,'TL07'!$J$10:$J$224),0),
IF('TL07'!$B$229=L$3,SUMIF('TL07'!$C$238:$C$451,$C124,'TL07'!$J$238:$J$451),0),
IF('TL08'!$B$3=L$3,SUMIF('TL08'!$C$10:$C$224,$C124,'TL08'!$J$10:$J$224),0),
IF('TL08'!$B$229=L$3,SUMIF('TL08'!$C$238:$C$451,$C124,'TL08'!$J$238:$J$451),0),
IF('TL09'!$B$3=L$3,SUMIF('TL09'!$C$10:$C$224,$C124,'TL09'!$J$10:$J$224),0),
IF('TL09'!$B$229=L$3,SUMIF('TL09'!$C$238:$C$451,$C124,'TL09'!$J$238:$J$451),0),
IF('TL10'!$B$3=L$3,SUMIF('TL10'!$C$10:$C$224,$C124,'TL10'!$J$10:$J$224),0),
IF('TL10'!$B$229=L$3,SUMIF('TL10'!$C$238:$C$451,$C124,'TL10'!$J$238:$J$451),0),
IF('TL11'!$B$3=L$3,SUMIF('TL11'!$C$10:$C$224,$C124,'TL11'!$J$10:$J$224),0),
IF('TL11'!$B$229=L$3,SUMIF('TL11'!$C$238:$C$451,$C124,'TL11'!$J$238:$J$451),0),
IF('TL12'!$B$3=L$3,SUMIF('TL12'!$C$10:$C$224,$C124,'TL12'!$J$10:$J$224),0),
IF('TL12'!$B$229=L$3,SUMIF('TL12'!$C$238:$C$451,$C124,'TL12'!$J$238:$J$451),0),
IF('TL13'!$B$3=L$3,SUMIF('TL13'!$C$10:$C$224,$C124,'TL13'!$J$10:$J$224),0),
IF('TL13'!$B$229=L$3,SUMIF('TL13'!$C$238:$C$451,$C124,'TL13'!$J$238:$J$451),0),
IF('TL14'!$B$3=L$3,SUMIF('TL14'!$C$10:$C$224,$C124,'TL14'!$J$10:$J$224),0),
IF('TL14'!$B$229=L$3,SUMIF('TL14'!$C$238:$C$451,$C124,'TL14'!$J$238:$J$451),0),
IF('TL15'!$B$3=L$3,SUMIF('TL15'!$C$10:$C$224,$C124,'TL15'!$J$10:$J$224),0),
IF('TL15'!$B$229=L$3,SUMIF('TL15'!$C$238:$C$451,$C124,'TL15'!$J$238:$J$451),0),
IF('TL16'!$B$3=L$3,SUMIF('TL16'!$C$10:$C$224,$C124,'TL16'!$J$10:$J$224),0),
IF('TL16'!$B$229=L$3,SUMIF('TL16'!$C$238:$C$451,$C124,'TL16'!$J$238:$J$451),0),
IF('TL17'!$B$3=L$3,SUMIF('TL17'!$C$10:$C$224,$C124,'TL17'!$J$10:$J$224),0),
IF('TL17'!$B$229=L$3,SUMIF('TL17'!$C$238:$C$451,$C124,'TL17'!$J$238:$J$451),0),
IF('TL18'!$B$3=L$3,SUMIF('TL18'!$C$10:$C$224,$C124,'TL18'!$J$10:$J$224),0),
IF('TL18'!$B$229=L$3,SUMIF('TL18'!$C$238:$C$451,$C124,'TL18'!$J$238:$J$451),0),
IF('TL19'!$B$3=L$3,SUMIF('TL19'!$C$10:$C$224,$C124,'TL19'!$J$10:$J$224),0),
IF('TL19'!$B$229=L$3,SUMIF('TL19'!$C$238:$C$451,$C124,'TL19'!$J$238:$J$451),0)
),0)</f>
        <v>0</v>
      </c>
      <c r="M124" s="9">
        <f>IFERROR(SUM(
IF('TL01'!$B$3=M$3,SUMIF('TL01'!$C$10:$C$224,$C124,'TL01'!$J$10:$J$224),0),
IF('TL01'!$B$229=M$3,SUMIF('TL01'!$C$238:$C$451,$C124,'TL01'!$J$238:$J$451),0),
IF('TL02'!$B$3=M$3,SUMIF('TL02'!$C$10:$C$224,$C124,'TL02'!$J$10:$J$224),0),
IF('TL02'!$B$229=M$3,SUMIF('TL02'!$C$238:$C$451,$C124,'TL02'!$J$238:$J$451),0),
IF('TL03'!$B$3=M$3,SUMIF('TL03'!$C$10:$C$224,$C124,'TL03'!$J$10:$J$224),0),
IF('TL03'!$B$229=M$3,SUMIF('TL03'!$C$238:$C$451,$C124,'TL03'!$J$238:$J$451),0),
IF('TL04'!$B$3=M$3,SUMIF('TL04'!$C$10:$C$224,$C124,'TL04'!$J$10:$J$224),0),
IF('TL04'!$B$229=M$3,SUMIF('TL04'!$C$238:$C$451,$C124,'TL04'!$J$238:$J$451),0),
IF('TL05'!$B$3=M$3,SUMIF('TL05'!$C$10:$C$224,$C124,'TL05'!$J$10:$J$224),0),
IF('TL05'!$B$229=M$3,SUMIF('TL05'!$C$238:$C$451,$C124,'TL05'!$J$238:$J$451),0),
IF('TL06'!$B$3=M$3,SUMIF('TL06'!$C$10:$C$224,$C124,'TL06'!$J$10:$J$224),0),
IF('TL06'!$B$229=M$3,SUMIF('TL06'!$C$238:$C$451,$C124,'TL06'!$J$238:$J$451),0),
IF('TL07'!$B$3=M$3,SUMIF('TL07'!$C$10:$C$224,$C124,'TL07'!$J$10:$J$224),0),
IF('TL07'!$B$229=M$3,SUMIF('TL07'!$C$238:$C$451,$C124,'TL07'!$J$238:$J$451),0),
IF('TL08'!$B$3=M$3,SUMIF('TL08'!$C$10:$C$224,$C124,'TL08'!$J$10:$J$224),0),
IF('TL08'!$B$229=M$3,SUMIF('TL08'!$C$238:$C$451,$C124,'TL08'!$J$238:$J$451),0),
IF('TL09'!$B$3=M$3,SUMIF('TL09'!$C$10:$C$224,$C124,'TL09'!$J$10:$J$224),0),
IF('TL09'!$B$229=M$3,SUMIF('TL09'!$C$238:$C$451,$C124,'TL09'!$J$238:$J$451),0),
IF('TL10'!$B$3=M$3,SUMIF('TL10'!$C$10:$C$224,$C124,'TL10'!$J$10:$J$224),0),
IF('TL10'!$B$229=M$3,SUMIF('TL10'!$C$238:$C$451,$C124,'TL10'!$J$238:$J$451),0),
IF('TL11'!$B$3=M$3,SUMIF('TL11'!$C$10:$C$224,$C124,'TL11'!$J$10:$J$224),0),
IF('TL11'!$B$229=M$3,SUMIF('TL11'!$C$238:$C$451,$C124,'TL11'!$J$238:$J$451),0),
IF('TL12'!$B$3=M$3,SUMIF('TL12'!$C$10:$C$224,$C124,'TL12'!$J$10:$J$224),0),
IF('TL12'!$B$229=M$3,SUMIF('TL12'!$C$238:$C$451,$C124,'TL12'!$J$238:$J$451),0),
IF('TL13'!$B$3=M$3,SUMIF('TL13'!$C$10:$C$224,$C124,'TL13'!$J$10:$J$224),0),
IF('TL13'!$B$229=M$3,SUMIF('TL13'!$C$238:$C$451,$C124,'TL13'!$J$238:$J$451),0),
IF('TL14'!$B$3=M$3,SUMIF('TL14'!$C$10:$C$224,$C124,'TL14'!$J$10:$J$224),0),
IF('TL14'!$B$229=M$3,SUMIF('TL14'!$C$238:$C$451,$C124,'TL14'!$J$238:$J$451),0),
IF('TL15'!$B$3=M$3,SUMIF('TL15'!$C$10:$C$224,$C124,'TL15'!$J$10:$J$224),0),
IF('TL15'!$B$229=M$3,SUMIF('TL15'!$C$238:$C$451,$C124,'TL15'!$J$238:$J$451),0),
IF('TL16'!$B$3=M$3,SUMIF('TL16'!$C$10:$C$224,$C124,'TL16'!$J$10:$J$224),0),
IF('TL16'!$B$229=M$3,SUMIF('TL16'!$C$238:$C$451,$C124,'TL16'!$J$238:$J$451),0),
IF('TL17'!$B$3=M$3,SUMIF('TL17'!$C$10:$C$224,$C124,'TL17'!$J$10:$J$224),0),
IF('TL17'!$B$229=M$3,SUMIF('TL17'!$C$238:$C$451,$C124,'TL17'!$J$238:$J$451),0),
IF('TL18'!$B$3=M$3,SUMIF('TL18'!$C$10:$C$224,$C124,'TL18'!$J$10:$J$224),0),
IF('TL18'!$B$229=M$3,SUMIF('TL18'!$C$238:$C$451,$C124,'TL18'!$J$238:$J$451),0),
IF('TL19'!$B$3=M$3,SUMIF('TL19'!$C$10:$C$224,$C124,'TL19'!$J$10:$J$224),0),
IF('TL19'!$B$229=M$3,SUMIF('TL19'!$C$238:$C$451,$C124,'TL19'!$J$238:$J$451),0)
),0)</f>
        <v>0</v>
      </c>
      <c r="N124" s="9">
        <f>IFERROR(SUM(
IF('TL01'!$B$3=N$3,SUMIF('TL01'!$C$10:$C$224,$C124,'TL01'!$J$10:$J$224),0),
IF('TL01'!$B$229=N$3,SUMIF('TL01'!$C$238:$C$451,$C124,'TL01'!$J$238:$J$451),0),
IF('TL02'!$B$3=N$3,SUMIF('TL02'!$C$10:$C$224,$C124,'TL02'!$J$10:$J$224),0),
IF('TL02'!$B$229=N$3,SUMIF('TL02'!$C$238:$C$451,$C124,'TL02'!$J$238:$J$451),0),
IF('TL03'!$B$3=N$3,SUMIF('TL03'!$C$10:$C$224,$C124,'TL03'!$J$10:$J$224),0),
IF('TL03'!$B$229=N$3,SUMIF('TL03'!$C$238:$C$451,$C124,'TL03'!$J$238:$J$451),0),
IF('TL04'!$B$3=N$3,SUMIF('TL04'!$C$10:$C$224,$C124,'TL04'!$J$10:$J$224),0),
IF('TL04'!$B$229=N$3,SUMIF('TL04'!$C$238:$C$451,$C124,'TL04'!$J$238:$J$451),0),
IF('TL05'!$B$3=N$3,SUMIF('TL05'!$C$10:$C$224,$C124,'TL05'!$J$10:$J$224),0),
IF('TL05'!$B$229=N$3,SUMIF('TL05'!$C$238:$C$451,$C124,'TL05'!$J$238:$J$451),0),
IF('TL06'!$B$3=N$3,SUMIF('TL06'!$C$10:$C$224,$C124,'TL06'!$J$10:$J$224),0),
IF('TL06'!$B$229=N$3,SUMIF('TL06'!$C$238:$C$451,$C124,'TL06'!$J$238:$J$451),0),
IF('TL07'!$B$3=N$3,SUMIF('TL07'!$C$10:$C$224,$C124,'TL07'!$J$10:$J$224),0),
IF('TL07'!$B$229=N$3,SUMIF('TL07'!$C$238:$C$451,$C124,'TL07'!$J$238:$J$451),0),
IF('TL08'!$B$3=N$3,SUMIF('TL08'!$C$10:$C$224,$C124,'TL08'!$J$10:$J$224),0),
IF('TL08'!$B$229=N$3,SUMIF('TL08'!$C$238:$C$451,$C124,'TL08'!$J$238:$J$451),0),
IF('TL09'!$B$3=N$3,SUMIF('TL09'!$C$10:$C$224,$C124,'TL09'!$J$10:$J$224),0),
IF('TL09'!$B$229=N$3,SUMIF('TL09'!$C$238:$C$451,$C124,'TL09'!$J$238:$J$451),0),
IF('TL10'!$B$3=N$3,SUMIF('TL10'!$C$10:$C$224,$C124,'TL10'!$J$10:$J$224),0),
IF('TL10'!$B$229=N$3,SUMIF('TL10'!$C$238:$C$451,$C124,'TL10'!$J$238:$J$451),0),
IF('TL11'!$B$3=N$3,SUMIF('TL11'!$C$10:$C$224,$C124,'TL11'!$J$10:$J$224),0),
IF('TL11'!$B$229=N$3,SUMIF('TL11'!$C$238:$C$451,$C124,'TL11'!$J$238:$J$451),0),
IF('TL12'!$B$3=N$3,SUMIF('TL12'!$C$10:$C$224,$C124,'TL12'!$J$10:$J$224),0),
IF('TL12'!$B$229=N$3,SUMIF('TL12'!$C$238:$C$451,$C124,'TL12'!$J$238:$J$451),0),
IF('TL13'!$B$3=N$3,SUMIF('TL13'!$C$10:$C$224,$C124,'TL13'!$J$10:$J$224),0),
IF('TL13'!$B$229=N$3,SUMIF('TL13'!$C$238:$C$451,$C124,'TL13'!$J$238:$J$451),0),
IF('TL14'!$B$3=N$3,SUMIF('TL14'!$C$10:$C$224,$C124,'TL14'!$J$10:$J$224),0),
IF('TL14'!$B$229=N$3,SUMIF('TL14'!$C$238:$C$451,$C124,'TL14'!$J$238:$J$451),0),
IF('TL15'!$B$3=N$3,SUMIF('TL15'!$C$10:$C$224,$C124,'TL15'!$J$10:$J$224),0),
IF('TL15'!$B$229=N$3,SUMIF('TL15'!$C$238:$C$451,$C124,'TL15'!$J$238:$J$451),0),
IF('TL16'!$B$3=N$3,SUMIF('TL16'!$C$10:$C$224,$C124,'TL16'!$J$10:$J$224),0),
IF('TL16'!$B$229=N$3,SUMIF('TL16'!$C$238:$C$451,$C124,'TL16'!$J$238:$J$451),0),
IF('TL17'!$B$3=N$3,SUMIF('TL17'!$C$10:$C$224,$C124,'TL17'!$J$10:$J$224),0),
IF('TL17'!$B$229=N$3,SUMIF('TL17'!$C$238:$C$451,$C124,'TL17'!$J$238:$J$451),0),
IF('TL18'!$B$3=N$3,SUMIF('TL18'!$C$10:$C$224,$C124,'TL18'!$J$10:$J$224),0),
IF('TL18'!$B$229=N$3,SUMIF('TL18'!$C$238:$C$451,$C124,'TL18'!$J$238:$J$451),0),
IF('TL19'!$B$3=N$3,SUMIF('TL19'!$C$10:$C$224,$C124,'TL19'!$J$10:$J$224),0),
IF('TL19'!$B$229=N$3,SUMIF('TL19'!$C$238:$C$451,$C124,'TL19'!$J$238:$J$451),0)
),0)</f>
        <v>0</v>
      </c>
      <c r="O124" s="9">
        <f>IFERROR(SUM(
IF('TL01'!$B$3=O$3,SUMIF('TL01'!$C$10:$C$224,$C124,'TL01'!$J$10:$J$224),0),
IF('TL01'!$B$229=O$3,SUMIF('TL01'!$C$238:$C$451,$C124,'TL01'!$J$238:$J$451),0),
IF('TL02'!$B$3=O$3,SUMIF('TL02'!$C$10:$C$224,$C124,'TL02'!$J$10:$J$224),0),
IF('TL02'!$B$229=O$3,SUMIF('TL02'!$C$238:$C$451,$C124,'TL02'!$J$238:$J$451),0),
IF('TL03'!$B$3=O$3,SUMIF('TL03'!$C$10:$C$224,$C124,'TL03'!$J$10:$J$224),0),
IF('TL03'!$B$229=O$3,SUMIF('TL03'!$C$238:$C$451,$C124,'TL03'!$J$238:$J$451),0),
IF('TL04'!$B$3=O$3,SUMIF('TL04'!$C$10:$C$224,$C124,'TL04'!$J$10:$J$224),0),
IF('TL04'!$B$229=O$3,SUMIF('TL04'!$C$238:$C$451,$C124,'TL04'!$J$238:$J$451),0),
IF('TL05'!$B$3=O$3,SUMIF('TL05'!$C$10:$C$224,$C124,'TL05'!$J$10:$J$224),0),
IF('TL05'!$B$229=O$3,SUMIF('TL05'!$C$238:$C$451,$C124,'TL05'!$J$238:$J$451),0),
IF('TL06'!$B$3=O$3,SUMIF('TL06'!$C$10:$C$224,$C124,'TL06'!$J$10:$J$224),0),
IF('TL06'!$B$229=O$3,SUMIF('TL06'!$C$238:$C$451,$C124,'TL06'!$J$238:$J$451),0),
IF('TL07'!$B$3=O$3,SUMIF('TL07'!$C$10:$C$224,$C124,'TL07'!$J$10:$J$224),0),
IF('TL07'!$B$229=O$3,SUMIF('TL07'!$C$238:$C$451,$C124,'TL07'!$J$238:$J$451),0),
IF('TL08'!$B$3=O$3,SUMIF('TL08'!$C$10:$C$224,$C124,'TL08'!$J$10:$J$224),0),
IF('TL08'!$B$229=O$3,SUMIF('TL08'!$C$238:$C$451,$C124,'TL08'!$J$238:$J$451),0),
IF('TL09'!$B$3=O$3,SUMIF('TL09'!$C$10:$C$224,$C124,'TL09'!$J$10:$J$224),0),
IF('TL09'!$B$229=O$3,SUMIF('TL09'!$C$238:$C$451,$C124,'TL09'!$J$238:$J$451),0),
IF('TL10'!$B$3=O$3,SUMIF('TL10'!$C$10:$C$224,$C124,'TL10'!$J$10:$J$224),0),
IF('TL10'!$B$229=O$3,SUMIF('TL10'!$C$238:$C$451,$C124,'TL10'!$J$238:$J$451),0),
IF('TL11'!$B$3=O$3,SUMIF('TL11'!$C$10:$C$224,$C124,'TL11'!$J$10:$J$224),0),
IF('TL11'!$B$229=O$3,SUMIF('TL11'!$C$238:$C$451,$C124,'TL11'!$J$238:$J$451),0),
IF('TL12'!$B$3=O$3,SUMIF('TL12'!$C$10:$C$224,$C124,'TL12'!$J$10:$J$224),0),
IF('TL12'!$B$229=O$3,SUMIF('TL12'!$C$238:$C$451,$C124,'TL12'!$J$238:$J$451),0),
IF('TL13'!$B$3=O$3,SUMIF('TL13'!$C$10:$C$224,$C124,'TL13'!$J$10:$J$224),0),
IF('TL13'!$B$229=O$3,SUMIF('TL13'!$C$238:$C$451,$C124,'TL13'!$J$238:$J$451),0),
IF('TL14'!$B$3=O$3,SUMIF('TL14'!$C$10:$C$224,$C124,'TL14'!$J$10:$J$224),0),
IF('TL14'!$B$229=O$3,SUMIF('TL14'!$C$238:$C$451,$C124,'TL14'!$J$238:$J$451),0),
IF('TL15'!$B$3=O$3,SUMIF('TL15'!$C$10:$C$224,$C124,'TL15'!$J$10:$J$224),0),
IF('TL15'!$B$229=O$3,SUMIF('TL15'!$C$238:$C$451,$C124,'TL15'!$J$238:$J$451),0),
IF('TL16'!$B$3=O$3,SUMIF('TL16'!$C$10:$C$224,$C124,'TL16'!$J$10:$J$224),0),
IF('TL16'!$B$229=O$3,SUMIF('TL16'!$C$238:$C$451,$C124,'TL16'!$J$238:$J$451),0),
IF('TL17'!$B$3=O$3,SUMIF('TL17'!$C$10:$C$224,$C124,'TL17'!$J$10:$J$224),0),
IF('TL17'!$B$229=O$3,SUMIF('TL17'!$C$238:$C$451,$C124,'TL17'!$J$238:$J$451),0),
IF('TL18'!$B$3=O$3,SUMIF('TL18'!$C$10:$C$224,$C124,'TL18'!$J$10:$J$224),0),
IF('TL18'!$B$229=O$3,SUMIF('TL18'!$C$238:$C$451,$C124,'TL18'!$J$238:$J$451),0),
IF('TL19'!$B$3=O$3,SUMIF('TL19'!$C$10:$C$224,$C124,'TL19'!$J$10:$J$224),0),
IF('TL19'!$B$229=O$3,SUMIF('TL19'!$C$238:$C$451,$C124,'TL19'!$J$238:$J$451),0)
),0)</f>
        <v>0</v>
      </c>
      <c r="P124" s="9">
        <f>IFERROR(SUM(
IF('TL01'!$B$3=P$3,SUMIF('TL01'!$C$10:$C$224,$C124,'TL01'!$J$10:$J$224),0),
IF('TL01'!$B$229=P$3,SUMIF('TL01'!$C$238:$C$451,$C124,'TL01'!$J$238:$J$451),0),
IF('TL02'!$B$3=P$3,SUMIF('TL02'!$C$10:$C$224,$C124,'TL02'!$J$10:$J$224),0),
IF('TL02'!$B$229=P$3,SUMIF('TL02'!$C$238:$C$451,$C124,'TL02'!$J$238:$J$451),0),
IF('TL03'!$B$3=P$3,SUMIF('TL03'!$C$10:$C$224,$C124,'TL03'!$J$10:$J$224),0),
IF('TL03'!$B$229=P$3,SUMIF('TL03'!$C$238:$C$451,$C124,'TL03'!$J$238:$J$451),0),
IF('TL04'!$B$3=P$3,SUMIF('TL04'!$C$10:$C$224,$C124,'TL04'!$J$10:$J$224),0),
IF('TL04'!$B$229=P$3,SUMIF('TL04'!$C$238:$C$451,$C124,'TL04'!$J$238:$J$451),0),
IF('TL05'!$B$3=P$3,SUMIF('TL05'!$C$10:$C$224,$C124,'TL05'!$J$10:$J$224),0),
IF('TL05'!$B$229=P$3,SUMIF('TL05'!$C$238:$C$451,$C124,'TL05'!$J$238:$J$451),0),
IF('TL06'!$B$3=P$3,SUMIF('TL06'!$C$10:$C$224,$C124,'TL06'!$J$10:$J$224),0),
IF('TL06'!$B$229=P$3,SUMIF('TL06'!$C$238:$C$451,$C124,'TL06'!$J$238:$J$451),0),
IF('TL07'!$B$3=P$3,SUMIF('TL07'!$C$10:$C$224,$C124,'TL07'!$J$10:$J$224),0),
IF('TL07'!$B$229=P$3,SUMIF('TL07'!$C$238:$C$451,$C124,'TL07'!$J$238:$J$451),0),
IF('TL08'!$B$3=P$3,SUMIF('TL08'!$C$10:$C$224,$C124,'TL08'!$J$10:$J$224),0),
IF('TL08'!$B$229=P$3,SUMIF('TL08'!$C$238:$C$451,$C124,'TL08'!$J$238:$J$451),0),
IF('TL09'!$B$3=P$3,SUMIF('TL09'!$C$10:$C$224,$C124,'TL09'!$J$10:$J$224),0),
IF('TL09'!$B$229=P$3,SUMIF('TL09'!$C$238:$C$451,$C124,'TL09'!$J$238:$J$451),0),
IF('TL10'!$B$3=P$3,SUMIF('TL10'!$C$10:$C$224,$C124,'TL10'!$J$10:$J$224),0),
IF('TL10'!$B$229=P$3,SUMIF('TL10'!$C$238:$C$451,$C124,'TL10'!$J$238:$J$451),0),
IF('TL11'!$B$3=P$3,SUMIF('TL11'!$C$10:$C$224,$C124,'TL11'!$J$10:$J$224),0),
IF('TL11'!$B$229=P$3,SUMIF('TL11'!$C$238:$C$451,$C124,'TL11'!$J$238:$J$451),0),
IF('TL12'!$B$3=P$3,SUMIF('TL12'!$C$10:$C$224,$C124,'TL12'!$J$10:$J$224),0),
IF('TL12'!$B$229=P$3,SUMIF('TL12'!$C$238:$C$451,$C124,'TL12'!$J$238:$J$451),0),
IF('TL13'!$B$3=P$3,SUMIF('TL13'!$C$10:$C$224,$C124,'TL13'!$J$10:$J$224),0),
IF('TL13'!$B$229=P$3,SUMIF('TL13'!$C$238:$C$451,$C124,'TL13'!$J$238:$J$451),0),
IF('TL14'!$B$3=P$3,SUMIF('TL14'!$C$10:$C$224,$C124,'TL14'!$J$10:$J$224),0),
IF('TL14'!$B$229=P$3,SUMIF('TL14'!$C$238:$C$451,$C124,'TL14'!$J$238:$J$451),0),
IF('TL15'!$B$3=P$3,SUMIF('TL15'!$C$10:$C$224,$C124,'TL15'!$J$10:$J$224),0),
IF('TL15'!$B$229=P$3,SUMIF('TL15'!$C$238:$C$451,$C124,'TL15'!$J$238:$J$451),0),
IF('TL16'!$B$3=P$3,SUMIF('TL16'!$C$10:$C$224,$C124,'TL16'!$J$10:$J$224),0),
IF('TL16'!$B$229=P$3,SUMIF('TL16'!$C$238:$C$451,$C124,'TL16'!$J$238:$J$451),0),
IF('TL17'!$B$3=P$3,SUMIF('TL17'!$C$10:$C$224,$C124,'TL17'!$J$10:$J$224),0),
IF('TL17'!$B$229=P$3,SUMIF('TL17'!$C$238:$C$451,$C124,'TL17'!$J$238:$J$451),0),
IF('TL18'!$B$3=P$3,SUMIF('TL18'!$C$10:$C$224,$C124,'TL18'!$J$10:$J$224),0),
IF('TL18'!$B$229=P$3,SUMIF('TL18'!$C$238:$C$451,$C124,'TL18'!$J$238:$J$451),0),
IF('TL19'!$B$3=P$3,SUMIF('TL19'!$C$10:$C$224,$C124,'TL19'!$J$10:$J$224),0),
IF('TL19'!$B$229=P$3,SUMIF('TL19'!$C$238:$C$451,$C124,'TL19'!$J$238:$J$451),0)
),0)</f>
        <v>0</v>
      </c>
      <c r="Q124" s="9">
        <f>IFERROR(SUM(
IF('TL01'!$B$3=Q$3,SUMIF('TL01'!$C$10:$C$224,$C124,'TL01'!$J$10:$J$224),0),
IF('TL01'!$B$229=Q$3,SUMIF('TL01'!$C$238:$C$451,$C124,'TL01'!$J$238:$J$451),0),
IF('TL02'!$B$3=Q$3,SUMIF('TL02'!$C$10:$C$224,$C124,'TL02'!$J$10:$J$224),0),
IF('TL02'!$B$229=Q$3,SUMIF('TL02'!$C$238:$C$451,$C124,'TL02'!$J$238:$J$451),0),
IF('TL03'!$B$3=Q$3,SUMIF('TL03'!$C$10:$C$224,$C124,'TL03'!$J$10:$J$224),0),
IF('TL03'!$B$229=Q$3,SUMIF('TL03'!$C$238:$C$451,$C124,'TL03'!$J$238:$J$451),0),
IF('TL04'!$B$3=Q$3,SUMIF('TL04'!$C$10:$C$224,$C124,'TL04'!$J$10:$J$224),0),
IF('TL04'!$B$229=Q$3,SUMIF('TL04'!$C$238:$C$451,$C124,'TL04'!$J$238:$J$451),0),
IF('TL05'!$B$3=Q$3,SUMIF('TL05'!$C$10:$C$224,$C124,'TL05'!$J$10:$J$224),0),
IF('TL05'!$B$229=Q$3,SUMIF('TL05'!$C$238:$C$451,$C124,'TL05'!$J$238:$J$451),0),
IF('TL06'!$B$3=Q$3,SUMIF('TL06'!$C$10:$C$224,$C124,'TL06'!$J$10:$J$224),0),
IF('TL06'!$B$229=Q$3,SUMIF('TL06'!$C$238:$C$451,$C124,'TL06'!$J$238:$J$451),0),
IF('TL07'!$B$3=Q$3,SUMIF('TL07'!$C$10:$C$224,$C124,'TL07'!$J$10:$J$224),0),
IF('TL07'!$B$229=Q$3,SUMIF('TL07'!$C$238:$C$451,$C124,'TL07'!$J$238:$J$451),0),
IF('TL08'!$B$3=Q$3,SUMIF('TL08'!$C$10:$C$224,$C124,'TL08'!$J$10:$J$224),0),
IF('TL08'!$B$229=Q$3,SUMIF('TL08'!$C$238:$C$451,$C124,'TL08'!$J$238:$J$451),0),
IF('TL09'!$B$3=Q$3,SUMIF('TL09'!$C$10:$C$224,$C124,'TL09'!$J$10:$J$224),0),
IF('TL09'!$B$229=Q$3,SUMIF('TL09'!$C$238:$C$451,$C124,'TL09'!$J$238:$J$451),0),
IF('TL10'!$B$3=Q$3,SUMIF('TL10'!$C$10:$C$224,$C124,'TL10'!$J$10:$J$224),0),
IF('TL10'!$B$229=Q$3,SUMIF('TL10'!$C$238:$C$451,$C124,'TL10'!$J$238:$J$451),0),
IF('TL11'!$B$3=Q$3,SUMIF('TL11'!$C$10:$C$224,$C124,'TL11'!$J$10:$J$224),0),
IF('TL11'!$B$229=Q$3,SUMIF('TL11'!$C$238:$C$451,$C124,'TL11'!$J$238:$J$451),0),
IF('TL12'!$B$3=Q$3,SUMIF('TL12'!$C$10:$C$224,$C124,'TL12'!$J$10:$J$224),0),
IF('TL12'!$B$229=Q$3,SUMIF('TL12'!$C$238:$C$451,$C124,'TL12'!$J$238:$J$451),0),
IF('TL13'!$B$3=Q$3,SUMIF('TL13'!$C$10:$C$224,$C124,'TL13'!$J$10:$J$224),0),
IF('TL13'!$B$229=Q$3,SUMIF('TL13'!$C$238:$C$451,$C124,'TL13'!$J$238:$J$451),0),
IF('TL14'!$B$3=Q$3,SUMIF('TL14'!$C$10:$C$224,$C124,'TL14'!$J$10:$J$224),0),
IF('TL14'!$B$229=Q$3,SUMIF('TL14'!$C$238:$C$451,$C124,'TL14'!$J$238:$J$451),0),
IF('TL15'!$B$3=Q$3,SUMIF('TL15'!$C$10:$C$224,$C124,'TL15'!$J$10:$J$224),0),
IF('TL15'!$B$229=Q$3,SUMIF('TL15'!$C$238:$C$451,$C124,'TL15'!$J$238:$J$451),0),
IF('TL16'!$B$3=Q$3,SUMIF('TL16'!$C$10:$C$224,$C124,'TL16'!$J$10:$J$224),0),
IF('TL16'!$B$229=Q$3,SUMIF('TL16'!$C$238:$C$451,$C124,'TL16'!$J$238:$J$451),0),
IF('TL17'!$B$3=Q$3,SUMIF('TL17'!$C$10:$C$224,$C124,'TL17'!$J$10:$J$224),0),
IF('TL17'!$B$229=Q$3,SUMIF('TL17'!$C$238:$C$451,$C124,'TL17'!$J$238:$J$451),0),
IF('TL18'!$B$3=Q$3,SUMIF('TL18'!$C$10:$C$224,$C124,'TL18'!$J$10:$J$224),0),
IF('TL18'!$B$229=Q$3,SUMIF('TL18'!$C$238:$C$451,$C124,'TL18'!$J$238:$J$451),0),
IF('TL19'!$B$3=Q$3,SUMIF('TL19'!$C$10:$C$224,$C124,'TL19'!$J$10:$J$224),0),
IF('TL19'!$B$229=Q$3,SUMIF('TL19'!$C$238:$C$451,$C124,'TL19'!$J$238:$J$451),0)
),0)</f>
        <v>0</v>
      </c>
      <c r="R124" s="9">
        <f>IFERROR(
SUM(
SUMIF('TL01'!C:C,C124,'TL01'!J:J),
SUMIF('TL02'!C:C,C124,'TL02'!J:J),
SUMIF('TL03'!C:C,C124,'TL03'!J:J),
SUMIF('TL04'!C:C,C124,'TL04'!J:J),
SUMIF('TL05'!C:C,C124,'TL05'!J:J),
SUMIF('TL06'!C:C,C124,'TL06'!J:J),
SUMIF('TL07'!C:C,C124,'TL07'!J:J),
SUMIF('TL08'!C:C,C124,'TL08'!J:J),
SUMIF('TL09'!C:C,C124,'TL09'!J:J),
SUMIF('TL10'!C:C,C124,'TL10'!J:J),
SUMIF('TL11'!C:C,C124,'TL11'!J:J),
SUMIF('TL12'!C:C,C124,'TL12'!J:J),
SUMIF('TL13'!C:C,C124,'TL13'!J:J),
SUMIF('TL14'!C:C,C124,'TL14'!J:J),
SUMIF('TL15'!C:C,C124,'TL15'!J:J),
SUMIF('TL16'!C:C,C124,'TL16'!J:J),
SUMIF('TL17'!C:C,C124,'TL17'!J:J),
SUMIF('TL18'!C:C,C124,'TL18'!J:J),SUMIF('TL19'!C:C,C124,'TL19'!J:J))
,0)</f>
        <v>0</v>
      </c>
      <c r="S124" s="17">
        <f>IFERROR(__xludf.DUMMYFUNCTION("IFERROR(VLOOKUP(C124,
IMPORTRANGE(""1wULbzX32WdYsx-lj2U3uUNBBe2INVIRDtcK0d-Dvl90"",
""26-27!C:G""),
5,
FALSE),
"""")"),54.248059999999995)</f>
        <v>54.24806</v>
      </c>
      <c r="T124" s="9"/>
      <c r="U124" s="92">
        <f t="shared" si="2"/>
        <v>0</v>
      </c>
      <c r="V124" s="93">
        <f t="shared" si="3"/>
        <v>0</v>
      </c>
    </row>
    <row r="125" ht="15.75" hidden="1" customHeight="1">
      <c r="A125" s="111" t="s">
        <v>480</v>
      </c>
      <c r="B125" s="112" t="s">
        <v>1</v>
      </c>
      <c r="C125" s="113" t="s">
        <v>649</v>
      </c>
      <c r="D125" s="113" t="s">
        <v>650</v>
      </c>
      <c r="E125" s="113">
        <v>667.0</v>
      </c>
      <c r="F125" s="4" t="s">
        <v>392</v>
      </c>
      <c r="G125" s="90" t="str">
        <f t="shared" si="4"/>
        <v>📄 Ver bula</v>
      </c>
      <c r="H125" s="9" t="str">
        <f>IFERROR(__xludf.DUMMYFUNCTION("IFERROR(VLOOKUP(C125,
IMPORTRANGE(""1wULbzX32WdYsx-lj2U3uUNBBe2INVIRDtcK0d-Dvl90"",
""26-27!C:K""),
8,
FALSE),
"""")"),"")</f>
        <v/>
      </c>
      <c r="I125" s="114" t="s">
        <v>344</v>
      </c>
      <c r="J125" s="9">
        <f>IFERROR(SUM(
IF('TL01'!$B$3=J$3,SUMIF('TL01'!$C$10:$C$224,$C125,'TL01'!$J$10:$J$224),0),
IF('TL01'!$B$229=J$3,SUMIF('TL01'!$C$238:$C$451,$C125,'TL01'!$J$238:$J$451),0),
IF('TL02'!$B$3=J$3,SUMIF('TL02'!$C$10:$C$224,$C125,'TL02'!$J$10:$J$224),0),
IF('TL02'!$B$229=J$3,SUMIF('TL02'!$C$238:$C$451,$C125,'TL02'!$J$238:$J$451),0),
IF('TL03'!$B$3=J$3,SUMIF('TL03'!$C$10:$C$224,$C125,'TL03'!$J$10:$J$224),0),
IF('TL03'!$B$229=J$3,SUMIF('TL03'!$C$238:$C$451,$C125,'TL03'!$J$238:$J$451),0),
IF('TL04'!$B$3=J$3,SUMIF('TL04'!$C$10:$C$224,$C125,'TL04'!$J$10:$J$224),0),
IF('TL04'!$B$229=J$3,SUMIF('TL04'!$C$238:$C$451,$C125,'TL04'!$J$238:$J$451),0),
IF('TL05'!$B$3=J$3,SUMIF('TL05'!$C$10:$C$224,$C125,'TL05'!$J$10:$J$224),0),
IF('TL05'!$B$229=J$3,SUMIF('TL05'!$C$238:$C$451,$C125,'TL05'!$J$238:$J$451),0),
IF('TL06'!$B$3=J$3,SUMIF('TL06'!$C$10:$C$224,$C125,'TL06'!$J$10:$J$224),0),
IF('TL06'!$B$229=J$3,SUMIF('TL06'!$C$238:$C$451,$C125,'TL06'!$J$238:$J$451),0),
IF('TL07'!$B$3=J$3,SUMIF('TL07'!$C$10:$C$224,$C125,'TL07'!$J$10:$J$224),0),
IF('TL07'!$B$229=J$3,SUMIF('TL07'!$C$238:$C$451,$C125,'TL07'!$J$238:$J$451),0),
IF('TL08'!$B$3=J$3,SUMIF('TL08'!$C$10:$C$224,$C125,'TL08'!$J$10:$J$224),0),
IF('TL08'!$B$229=J$3,SUMIF('TL08'!$C$238:$C$451,$C125,'TL08'!$J$238:$J$451),0),
IF('TL09'!$B$3=J$3,SUMIF('TL09'!$C$10:$C$224,$C125,'TL09'!$J$10:$J$224),0),
IF('TL09'!$B$229=J$3,SUMIF('TL09'!$C$238:$C$451,$C125,'TL09'!$J$238:$J$451),0),
IF('TL10'!$B$3=J$3,SUMIF('TL10'!$C$10:$C$224,$C125,'TL10'!$J$10:$J$224),0),
IF('TL10'!$B$229=J$3,SUMIF('TL10'!$C$238:$C$451,$C125,'TL10'!$J$238:$J$451),0),
IF('TL11'!$B$3=J$3,SUMIF('TL11'!$C$10:$C$224,$C125,'TL11'!$J$10:$J$224),0),
IF('TL11'!$B$229=J$3,SUMIF('TL11'!$C$238:$C$451,$C125,'TL11'!$J$238:$J$451),0),
IF('TL12'!$B$3=J$3,SUMIF('TL12'!$C$10:$C$224,$C125,'TL12'!$J$10:$J$224),0),
IF('TL12'!$B$229=J$3,SUMIF('TL12'!$C$238:$C$451,$C125,'TL12'!$J$238:$J$451),0),
IF('TL13'!$B$3=J$3,SUMIF('TL13'!$C$10:$C$224,$C125,'TL13'!$J$10:$J$224),0),
IF('TL13'!$B$229=J$3,SUMIF('TL13'!$C$238:$C$451,$C125,'TL13'!$J$238:$J$451),0),
IF('TL14'!$B$3=J$3,SUMIF('TL14'!$C$10:$C$224,$C125,'TL14'!$J$10:$J$224),0),
IF('TL14'!$B$229=J$3,SUMIF('TL14'!$C$238:$C$451,$C125,'TL14'!$J$238:$J$451),0),
IF('TL15'!$B$3=J$3,SUMIF('TL15'!$C$10:$C$224,$C125,'TL15'!$J$10:$J$224),0),
IF('TL15'!$B$229=J$3,SUMIF('TL15'!$C$238:$C$451,$C125,'TL15'!$J$238:$J$451),0),
IF('TL16'!$B$3=J$3,SUMIF('TL16'!$C$10:$C$224,$C125,'TL16'!$J$10:$J$224),0),
IF('TL16'!$B$229=J$3,SUMIF('TL16'!$C$238:$C$451,$C125,'TL16'!$J$238:$J$451),0),
IF('TL17'!$B$3=J$3,SUMIF('TL17'!$C$10:$C$224,$C125,'TL17'!$J$10:$J$224),0),
IF('TL17'!$B$229=J$3,SUMIF('TL17'!$C$238:$C$451,$C125,'TL17'!$J$238:$J$451),0),
IF('TL18'!$B$3=J$3,SUMIF('TL18'!$C$10:$C$224,$C125,'TL18'!$J$10:$J$224),0),
IF('TL18'!$B$229=J$3,SUMIF('TL18'!$C$238:$C$451,$C125,'TL18'!$J$238:$J$451),0),
IF('TL19'!$B$3=J$3,SUMIF('TL19'!$C$10:$C$224,$C125,'TL19'!$J$10:$J$224),0),
IF('TL19'!$B$229=J$3,SUMIF('TL19'!$C$238:$C$451,$C125,'TL19'!$J$238:$J$451),0)
),0)</f>
        <v>0</v>
      </c>
      <c r="K125" s="9">
        <f>IFERROR(SUM(
IF('TL01'!$B$3=K$3,SUMIF('TL01'!$C$10:$C$224,$C125,'TL01'!$J$10:$J$224),0),
IF('TL01'!$B$229=K$3,SUMIF('TL01'!$C$238:$C$451,$C125,'TL01'!$J$238:$J$451),0),
IF('TL02'!$B$3=K$3,SUMIF('TL02'!$C$10:$C$224,$C125,'TL02'!$J$10:$J$224),0),
IF('TL02'!$B$229=K$3,SUMIF('TL02'!$C$238:$C$451,$C125,'TL02'!$J$238:$J$451),0),
IF('TL03'!$B$3=K$3,SUMIF('TL03'!$C$10:$C$224,$C125,'TL03'!$J$10:$J$224),0),
IF('TL03'!$B$229=K$3,SUMIF('TL03'!$C$238:$C$451,$C125,'TL03'!$J$238:$J$451),0),
IF('TL04'!$B$3=K$3,SUMIF('TL04'!$C$10:$C$224,$C125,'TL04'!$J$10:$J$224),0),
IF('TL04'!$B$229=K$3,SUMIF('TL04'!$C$238:$C$451,$C125,'TL04'!$J$238:$J$451),0),
IF('TL05'!$B$3=K$3,SUMIF('TL05'!$C$10:$C$224,$C125,'TL05'!$J$10:$J$224),0),
IF('TL05'!$B$229=K$3,SUMIF('TL05'!$C$238:$C$451,$C125,'TL05'!$J$238:$J$451),0),
IF('TL06'!$B$3=K$3,SUMIF('TL06'!$C$10:$C$224,$C125,'TL06'!$J$10:$J$224),0),
IF('TL06'!$B$229=K$3,SUMIF('TL06'!$C$238:$C$451,$C125,'TL06'!$J$238:$J$451),0),
IF('TL07'!$B$3=K$3,SUMIF('TL07'!$C$10:$C$224,$C125,'TL07'!$J$10:$J$224),0),
IF('TL07'!$B$229=K$3,SUMIF('TL07'!$C$238:$C$451,$C125,'TL07'!$J$238:$J$451),0),
IF('TL08'!$B$3=K$3,SUMIF('TL08'!$C$10:$C$224,$C125,'TL08'!$J$10:$J$224),0),
IF('TL08'!$B$229=K$3,SUMIF('TL08'!$C$238:$C$451,$C125,'TL08'!$J$238:$J$451),0),
IF('TL09'!$B$3=K$3,SUMIF('TL09'!$C$10:$C$224,$C125,'TL09'!$J$10:$J$224),0),
IF('TL09'!$B$229=K$3,SUMIF('TL09'!$C$238:$C$451,$C125,'TL09'!$J$238:$J$451),0),
IF('TL10'!$B$3=K$3,SUMIF('TL10'!$C$10:$C$224,$C125,'TL10'!$J$10:$J$224),0),
IF('TL10'!$B$229=K$3,SUMIF('TL10'!$C$238:$C$451,$C125,'TL10'!$J$238:$J$451),0),
IF('TL11'!$B$3=K$3,SUMIF('TL11'!$C$10:$C$224,$C125,'TL11'!$J$10:$J$224),0),
IF('TL11'!$B$229=K$3,SUMIF('TL11'!$C$238:$C$451,$C125,'TL11'!$J$238:$J$451),0),
IF('TL12'!$B$3=K$3,SUMIF('TL12'!$C$10:$C$224,$C125,'TL12'!$J$10:$J$224),0),
IF('TL12'!$B$229=K$3,SUMIF('TL12'!$C$238:$C$451,$C125,'TL12'!$J$238:$J$451),0),
IF('TL13'!$B$3=K$3,SUMIF('TL13'!$C$10:$C$224,$C125,'TL13'!$J$10:$J$224),0),
IF('TL13'!$B$229=K$3,SUMIF('TL13'!$C$238:$C$451,$C125,'TL13'!$J$238:$J$451),0),
IF('TL14'!$B$3=K$3,SUMIF('TL14'!$C$10:$C$224,$C125,'TL14'!$J$10:$J$224),0),
IF('TL14'!$B$229=K$3,SUMIF('TL14'!$C$238:$C$451,$C125,'TL14'!$J$238:$J$451),0),
IF('TL15'!$B$3=K$3,SUMIF('TL15'!$C$10:$C$224,$C125,'TL15'!$J$10:$J$224),0),
IF('TL15'!$B$229=K$3,SUMIF('TL15'!$C$238:$C$451,$C125,'TL15'!$J$238:$J$451),0),
IF('TL16'!$B$3=K$3,SUMIF('TL16'!$C$10:$C$224,$C125,'TL16'!$J$10:$J$224),0),
IF('TL16'!$B$229=K$3,SUMIF('TL16'!$C$238:$C$451,$C125,'TL16'!$J$238:$J$451),0),
IF('TL17'!$B$3=K$3,SUMIF('TL17'!$C$10:$C$224,$C125,'TL17'!$J$10:$J$224),0),
IF('TL17'!$B$229=K$3,SUMIF('TL17'!$C$238:$C$451,$C125,'TL17'!$J$238:$J$451),0),
IF('TL18'!$B$3=K$3,SUMIF('TL18'!$C$10:$C$224,$C125,'TL18'!$J$10:$J$224),0),
IF('TL18'!$B$229=K$3,SUMIF('TL18'!$C$238:$C$451,$C125,'TL18'!$J$238:$J$451),0),
IF('TL19'!$B$3=K$3,SUMIF('TL19'!$C$10:$C$224,$C125,'TL19'!$J$10:$J$224),0),
IF('TL19'!$B$229=K$3,SUMIF('TL19'!$C$238:$C$451,$C125,'TL19'!$J$238:$J$451),0)
),0)</f>
        <v>0</v>
      </c>
      <c r="L125" s="9">
        <f>IFERROR(SUM(
IF('TL01'!$B$3=L$3,SUMIF('TL01'!$C$10:$C$224,$C125,'TL01'!$J$10:$J$224),0),
IF('TL01'!$B$229=L$3,SUMIF('TL01'!$C$238:$C$451,$C125,'TL01'!$J$238:$J$451),0),
IF('TL02'!$B$3=L$3,SUMIF('TL02'!$C$10:$C$224,$C125,'TL02'!$J$10:$J$224),0),
IF('TL02'!$B$229=L$3,SUMIF('TL02'!$C$238:$C$451,$C125,'TL02'!$J$238:$J$451),0),
IF('TL03'!$B$3=L$3,SUMIF('TL03'!$C$10:$C$224,$C125,'TL03'!$J$10:$J$224),0),
IF('TL03'!$B$229=L$3,SUMIF('TL03'!$C$238:$C$451,$C125,'TL03'!$J$238:$J$451),0),
IF('TL04'!$B$3=L$3,SUMIF('TL04'!$C$10:$C$224,$C125,'TL04'!$J$10:$J$224),0),
IF('TL04'!$B$229=L$3,SUMIF('TL04'!$C$238:$C$451,$C125,'TL04'!$J$238:$J$451),0),
IF('TL05'!$B$3=L$3,SUMIF('TL05'!$C$10:$C$224,$C125,'TL05'!$J$10:$J$224),0),
IF('TL05'!$B$229=L$3,SUMIF('TL05'!$C$238:$C$451,$C125,'TL05'!$J$238:$J$451),0),
IF('TL06'!$B$3=L$3,SUMIF('TL06'!$C$10:$C$224,$C125,'TL06'!$J$10:$J$224),0),
IF('TL06'!$B$229=L$3,SUMIF('TL06'!$C$238:$C$451,$C125,'TL06'!$J$238:$J$451),0),
IF('TL07'!$B$3=L$3,SUMIF('TL07'!$C$10:$C$224,$C125,'TL07'!$J$10:$J$224),0),
IF('TL07'!$B$229=L$3,SUMIF('TL07'!$C$238:$C$451,$C125,'TL07'!$J$238:$J$451),0),
IF('TL08'!$B$3=L$3,SUMIF('TL08'!$C$10:$C$224,$C125,'TL08'!$J$10:$J$224),0),
IF('TL08'!$B$229=L$3,SUMIF('TL08'!$C$238:$C$451,$C125,'TL08'!$J$238:$J$451),0),
IF('TL09'!$B$3=L$3,SUMIF('TL09'!$C$10:$C$224,$C125,'TL09'!$J$10:$J$224),0),
IF('TL09'!$B$229=L$3,SUMIF('TL09'!$C$238:$C$451,$C125,'TL09'!$J$238:$J$451),0),
IF('TL10'!$B$3=L$3,SUMIF('TL10'!$C$10:$C$224,$C125,'TL10'!$J$10:$J$224),0),
IF('TL10'!$B$229=L$3,SUMIF('TL10'!$C$238:$C$451,$C125,'TL10'!$J$238:$J$451),0),
IF('TL11'!$B$3=L$3,SUMIF('TL11'!$C$10:$C$224,$C125,'TL11'!$J$10:$J$224),0),
IF('TL11'!$B$229=L$3,SUMIF('TL11'!$C$238:$C$451,$C125,'TL11'!$J$238:$J$451),0),
IF('TL12'!$B$3=L$3,SUMIF('TL12'!$C$10:$C$224,$C125,'TL12'!$J$10:$J$224),0),
IF('TL12'!$B$229=L$3,SUMIF('TL12'!$C$238:$C$451,$C125,'TL12'!$J$238:$J$451),0),
IF('TL13'!$B$3=L$3,SUMIF('TL13'!$C$10:$C$224,$C125,'TL13'!$J$10:$J$224),0),
IF('TL13'!$B$229=L$3,SUMIF('TL13'!$C$238:$C$451,$C125,'TL13'!$J$238:$J$451),0),
IF('TL14'!$B$3=L$3,SUMIF('TL14'!$C$10:$C$224,$C125,'TL14'!$J$10:$J$224),0),
IF('TL14'!$B$229=L$3,SUMIF('TL14'!$C$238:$C$451,$C125,'TL14'!$J$238:$J$451),0),
IF('TL15'!$B$3=L$3,SUMIF('TL15'!$C$10:$C$224,$C125,'TL15'!$J$10:$J$224),0),
IF('TL15'!$B$229=L$3,SUMIF('TL15'!$C$238:$C$451,$C125,'TL15'!$J$238:$J$451),0),
IF('TL16'!$B$3=L$3,SUMIF('TL16'!$C$10:$C$224,$C125,'TL16'!$J$10:$J$224),0),
IF('TL16'!$B$229=L$3,SUMIF('TL16'!$C$238:$C$451,$C125,'TL16'!$J$238:$J$451),0),
IF('TL17'!$B$3=L$3,SUMIF('TL17'!$C$10:$C$224,$C125,'TL17'!$J$10:$J$224),0),
IF('TL17'!$B$229=L$3,SUMIF('TL17'!$C$238:$C$451,$C125,'TL17'!$J$238:$J$451),0),
IF('TL18'!$B$3=L$3,SUMIF('TL18'!$C$10:$C$224,$C125,'TL18'!$J$10:$J$224),0),
IF('TL18'!$B$229=L$3,SUMIF('TL18'!$C$238:$C$451,$C125,'TL18'!$J$238:$J$451),0),
IF('TL19'!$B$3=L$3,SUMIF('TL19'!$C$10:$C$224,$C125,'TL19'!$J$10:$J$224),0),
IF('TL19'!$B$229=L$3,SUMIF('TL19'!$C$238:$C$451,$C125,'TL19'!$J$238:$J$451),0)
),0)</f>
        <v>0</v>
      </c>
      <c r="M125" s="9">
        <f>IFERROR(SUM(
IF('TL01'!$B$3=M$3,SUMIF('TL01'!$C$10:$C$224,$C125,'TL01'!$J$10:$J$224),0),
IF('TL01'!$B$229=M$3,SUMIF('TL01'!$C$238:$C$451,$C125,'TL01'!$J$238:$J$451),0),
IF('TL02'!$B$3=M$3,SUMIF('TL02'!$C$10:$C$224,$C125,'TL02'!$J$10:$J$224),0),
IF('TL02'!$B$229=M$3,SUMIF('TL02'!$C$238:$C$451,$C125,'TL02'!$J$238:$J$451),0),
IF('TL03'!$B$3=M$3,SUMIF('TL03'!$C$10:$C$224,$C125,'TL03'!$J$10:$J$224),0),
IF('TL03'!$B$229=M$3,SUMIF('TL03'!$C$238:$C$451,$C125,'TL03'!$J$238:$J$451),0),
IF('TL04'!$B$3=M$3,SUMIF('TL04'!$C$10:$C$224,$C125,'TL04'!$J$10:$J$224),0),
IF('TL04'!$B$229=M$3,SUMIF('TL04'!$C$238:$C$451,$C125,'TL04'!$J$238:$J$451),0),
IF('TL05'!$B$3=M$3,SUMIF('TL05'!$C$10:$C$224,$C125,'TL05'!$J$10:$J$224),0),
IF('TL05'!$B$229=M$3,SUMIF('TL05'!$C$238:$C$451,$C125,'TL05'!$J$238:$J$451),0),
IF('TL06'!$B$3=M$3,SUMIF('TL06'!$C$10:$C$224,$C125,'TL06'!$J$10:$J$224),0),
IF('TL06'!$B$229=M$3,SUMIF('TL06'!$C$238:$C$451,$C125,'TL06'!$J$238:$J$451),0),
IF('TL07'!$B$3=M$3,SUMIF('TL07'!$C$10:$C$224,$C125,'TL07'!$J$10:$J$224),0),
IF('TL07'!$B$229=M$3,SUMIF('TL07'!$C$238:$C$451,$C125,'TL07'!$J$238:$J$451),0),
IF('TL08'!$B$3=M$3,SUMIF('TL08'!$C$10:$C$224,$C125,'TL08'!$J$10:$J$224),0),
IF('TL08'!$B$229=M$3,SUMIF('TL08'!$C$238:$C$451,$C125,'TL08'!$J$238:$J$451),0),
IF('TL09'!$B$3=M$3,SUMIF('TL09'!$C$10:$C$224,$C125,'TL09'!$J$10:$J$224),0),
IF('TL09'!$B$229=M$3,SUMIF('TL09'!$C$238:$C$451,$C125,'TL09'!$J$238:$J$451),0),
IF('TL10'!$B$3=M$3,SUMIF('TL10'!$C$10:$C$224,$C125,'TL10'!$J$10:$J$224),0),
IF('TL10'!$B$229=M$3,SUMIF('TL10'!$C$238:$C$451,$C125,'TL10'!$J$238:$J$451),0),
IF('TL11'!$B$3=M$3,SUMIF('TL11'!$C$10:$C$224,$C125,'TL11'!$J$10:$J$224),0),
IF('TL11'!$B$229=M$3,SUMIF('TL11'!$C$238:$C$451,$C125,'TL11'!$J$238:$J$451),0),
IF('TL12'!$B$3=M$3,SUMIF('TL12'!$C$10:$C$224,$C125,'TL12'!$J$10:$J$224),0),
IF('TL12'!$B$229=M$3,SUMIF('TL12'!$C$238:$C$451,$C125,'TL12'!$J$238:$J$451),0),
IF('TL13'!$B$3=M$3,SUMIF('TL13'!$C$10:$C$224,$C125,'TL13'!$J$10:$J$224),0),
IF('TL13'!$B$229=M$3,SUMIF('TL13'!$C$238:$C$451,$C125,'TL13'!$J$238:$J$451),0),
IF('TL14'!$B$3=M$3,SUMIF('TL14'!$C$10:$C$224,$C125,'TL14'!$J$10:$J$224),0),
IF('TL14'!$B$229=M$3,SUMIF('TL14'!$C$238:$C$451,$C125,'TL14'!$J$238:$J$451),0),
IF('TL15'!$B$3=M$3,SUMIF('TL15'!$C$10:$C$224,$C125,'TL15'!$J$10:$J$224),0),
IF('TL15'!$B$229=M$3,SUMIF('TL15'!$C$238:$C$451,$C125,'TL15'!$J$238:$J$451),0),
IF('TL16'!$B$3=M$3,SUMIF('TL16'!$C$10:$C$224,$C125,'TL16'!$J$10:$J$224),0),
IF('TL16'!$B$229=M$3,SUMIF('TL16'!$C$238:$C$451,$C125,'TL16'!$J$238:$J$451),0),
IF('TL17'!$B$3=M$3,SUMIF('TL17'!$C$10:$C$224,$C125,'TL17'!$J$10:$J$224),0),
IF('TL17'!$B$229=M$3,SUMIF('TL17'!$C$238:$C$451,$C125,'TL17'!$J$238:$J$451),0),
IF('TL18'!$B$3=M$3,SUMIF('TL18'!$C$10:$C$224,$C125,'TL18'!$J$10:$J$224),0),
IF('TL18'!$B$229=M$3,SUMIF('TL18'!$C$238:$C$451,$C125,'TL18'!$J$238:$J$451),0),
IF('TL19'!$B$3=M$3,SUMIF('TL19'!$C$10:$C$224,$C125,'TL19'!$J$10:$J$224),0),
IF('TL19'!$B$229=M$3,SUMIF('TL19'!$C$238:$C$451,$C125,'TL19'!$J$238:$J$451),0)
),0)</f>
        <v>0</v>
      </c>
      <c r="N125" s="9">
        <f>IFERROR(SUM(
IF('TL01'!$B$3=N$3,SUMIF('TL01'!$C$10:$C$224,$C125,'TL01'!$J$10:$J$224),0),
IF('TL01'!$B$229=N$3,SUMIF('TL01'!$C$238:$C$451,$C125,'TL01'!$J$238:$J$451),0),
IF('TL02'!$B$3=N$3,SUMIF('TL02'!$C$10:$C$224,$C125,'TL02'!$J$10:$J$224),0),
IF('TL02'!$B$229=N$3,SUMIF('TL02'!$C$238:$C$451,$C125,'TL02'!$J$238:$J$451),0),
IF('TL03'!$B$3=N$3,SUMIF('TL03'!$C$10:$C$224,$C125,'TL03'!$J$10:$J$224),0),
IF('TL03'!$B$229=N$3,SUMIF('TL03'!$C$238:$C$451,$C125,'TL03'!$J$238:$J$451),0),
IF('TL04'!$B$3=N$3,SUMIF('TL04'!$C$10:$C$224,$C125,'TL04'!$J$10:$J$224),0),
IF('TL04'!$B$229=N$3,SUMIF('TL04'!$C$238:$C$451,$C125,'TL04'!$J$238:$J$451),0),
IF('TL05'!$B$3=N$3,SUMIF('TL05'!$C$10:$C$224,$C125,'TL05'!$J$10:$J$224),0),
IF('TL05'!$B$229=N$3,SUMIF('TL05'!$C$238:$C$451,$C125,'TL05'!$J$238:$J$451),0),
IF('TL06'!$B$3=N$3,SUMIF('TL06'!$C$10:$C$224,$C125,'TL06'!$J$10:$J$224),0),
IF('TL06'!$B$229=N$3,SUMIF('TL06'!$C$238:$C$451,$C125,'TL06'!$J$238:$J$451),0),
IF('TL07'!$B$3=N$3,SUMIF('TL07'!$C$10:$C$224,$C125,'TL07'!$J$10:$J$224),0),
IF('TL07'!$B$229=N$3,SUMIF('TL07'!$C$238:$C$451,$C125,'TL07'!$J$238:$J$451),0),
IF('TL08'!$B$3=N$3,SUMIF('TL08'!$C$10:$C$224,$C125,'TL08'!$J$10:$J$224),0),
IF('TL08'!$B$229=N$3,SUMIF('TL08'!$C$238:$C$451,$C125,'TL08'!$J$238:$J$451),0),
IF('TL09'!$B$3=N$3,SUMIF('TL09'!$C$10:$C$224,$C125,'TL09'!$J$10:$J$224),0),
IF('TL09'!$B$229=N$3,SUMIF('TL09'!$C$238:$C$451,$C125,'TL09'!$J$238:$J$451),0),
IF('TL10'!$B$3=N$3,SUMIF('TL10'!$C$10:$C$224,$C125,'TL10'!$J$10:$J$224),0),
IF('TL10'!$B$229=N$3,SUMIF('TL10'!$C$238:$C$451,$C125,'TL10'!$J$238:$J$451),0),
IF('TL11'!$B$3=N$3,SUMIF('TL11'!$C$10:$C$224,$C125,'TL11'!$J$10:$J$224),0),
IF('TL11'!$B$229=N$3,SUMIF('TL11'!$C$238:$C$451,$C125,'TL11'!$J$238:$J$451),0),
IF('TL12'!$B$3=N$3,SUMIF('TL12'!$C$10:$C$224,$C125,'TL12'!$J$10:$J$224),0),
IF('TL12'!$B$229=N$3,SUMIF('TL12'!$C$238:$C$451,$C125,'TL12'!$J$238:$J$451),0),
IF('TL13'!$B$3=N$3,SUMIF('TL13'!$C$10:$C$224,$C125,'TL13'!$J$10:$J$224),0),
IF('TL13'!$B$229=N$3,SUMIF('TL13'!$C$238:$C$451,$C125,'TL13'!$J$238:$J$451),0),
IF('TL14'!$B$3=N$3,SUMIF('TL14'!$C$10:$C$224,$C125,'TL14'!$J$10:$J$224),0),
IF('TL14'!$B$229=N$3,SUMIF('TL14'!$C$238:$C$451,$C125,'TL14'!$J$238:$J$451),0),
IF('TL15'!$B$3=N$3,SUMIF('TL15'!$C$10:$C$224,$C125,'TL15'!$J$10:$J$224),0),
IF('TL15'!$B$229=N$3,SUMIF('TL15'!$C$238:$C$451,$C125,'TL15'!$J$238:$J$451),0),
IF('TL16'!$B$3=N$3,SUMIF('TL16'!$C$10:$C$224,$C125,'TL16'!$J$10:$J$224),0),
IF('TL16'!$B$229=N$3,SUMIF('TL16'!$C$238:$C$451,$C125,'TL16'!$J$238:$J$451),0),
IF('TL17'!$B$3=N$3,SUMIF('TL17'!$C$10:$C$224,$C125,'TL17'!$J$10:$J$224),0),
IF('TL17'!$B$229=N$3,SUMIF('TL17'!$C$238:$C$451,$C125,'TL17'!$J$238:$J$451),0),
IF('TL18'!$B$3=N$3,SUMIF('TL18'!$C$10:$C$224,$C125,'TL18'!$J$10:$J$224),0),
IF('TL18'!$B$229=N$3,SUMIF('TL18'!$C$238:$C$451,$C125,'TL18'!$J$238:$J$451),0),
IF('TL19'!$B$3=N$3,SUMIF('TL19'!$C$10:$C$224,$C125,'TL19'!$J$10:$J$224),0),
IF('TL19'!$B$229=N$3,SUMIF('TL19'!$C$238:$C$451,$C125,'TL19'!$J$238:$J$451),0)
),0)</f>
        <v>0</v>
      </c>
      <c r="O125" s="9">
        <f>IFERROR(SUM(
IF('TL01'!$B$3=O$3,SUMIF('TL01'!$C$10:$C$224,$C125,'TL01'!$J$10:$J$224),0),
IF('TL01'!$B$229=O$3,SUMIF('TL01'!$C$238:$C$451,$C125,'TL01'!$J$238:$J$451),0),
IF('TL02'!$B$3=O$3,SUMIF('TL02'!$C$10:$C$224,$C125,'TL02'!$J$10:$J$224),0),
IF('TL02'!$B$229=O$3,SUMIF('TL02'!$C$238:$C$451,$C125,'TL02'!$J$238:$J$451),0),
IF('TL03'!$B$3=O$3,SUMIF('TL03'!$C$10:$C$224,$C125,'TL03'!$J$10:$J$224),0),
IF('TL03'!$B$229=O$3,SUMIF('TL03'!$C$238:$C$451,$C125,'TL03'!$J$238:$J$451),0),
IF('TL04'!$B$3=O$3,SUMIF('TL04'!$C$10:$C$224,$C125,'TL04'!$J$10:$J$224),0),
IF('TL04'!$B$229=O$3,SUMIF('TL04'!$C$238:$C$451,$C125,'TL04'!$J$238:$J$451),0),
IF('TL05'!$B$3=O$3,SUMIF('TL05'!$C$10:$C$224,$C125,'TL05'!$J$10:$J$224),0),
IF('TL05'!$B$229=O$3,SUMIF('TL05'!$C$238:$C$451,$C125,'TL05'!$J$238:$J$451),0),
IF('TL06'!$B$3=O$3,SUMIF('TL06'!$C$10:$C$224,$C125,'TL06'!$J$10:$J$224),0),
IF('TL06'!$B$229=O$3,SUMIF('TL06'!$C$238:$C$451,$C125,'TL06'!$J$238:$J$451),0),
IF('TL07'!$B$3=O$3,SUMIF('TL07'!$C$10:$C$224,$C125,'TL07'!$J$10:$J$224),0),
IF('TL07'!$B$229=O$3,SUMIF('TL07'!$C$238:$C$451,$C125,'TL07'!$J$238:$J$451),0),
IF('TL08'!$B$3=O$3,SUMIF('TL08'!$C$10:$C$224,$C125,'TL08'!$J$10:$J$224),0),
IF('TL08'!$B$229=O$3,SUMIF('TL08'!$C$238:$C$451,$C125,'TL08'!$J$238:$J$451),0),
IF('TL09'!$B$3=O$3,SUMIF('TL09'!$C$10:$C$224,$C125,'TL09'!$J$10:$J$224),0),
IF('TL09'!$B$229=O$3,SUMIF('TL09'!$C$238:$C$451,$C125,'TL09'!$J$238:$J$451),0),
IF('TL10'!$B$3=O$3,SUMIF('TL10'!$C$10:$C$224,$C125,'TL10'!$J$10:$J$224),0),
IF('TL10'!$B$229=O$3,SUMIF('TL10'!$C$238:$C$451,$C125,'TL10'!$J$238:$J$451),0),
IF('TL11'!$B$3=O$3,SUMIF('TL11'!$C$10:$C$224,$C125,'TL11'!$J$10:$J$224),0),
IF('TL11'!$B$229=O$3,SUMIF('TL11'!$C$238:$C$451,$C125,'TL11'!$J$238:$J$451),0),
IF('TL12'!$B$3=O$3,SUMIF('TL12'!$C$10:$C$224,$C125,'TL12'!$J$10:$J$224),0),
IF('TL12'!$B$229=O$3,SUMIF('TL12'!$C$238:$C$451,$C125,'TL12'!$J$238:$J$451),0),
IF('TL13'!$B$3=O$3,SUMIF('TL13'!$C$10:$C$224,$C125,'TL13'!$J$10:$J$224),0),
IF('TL13'!$B$229=O$3,SUMIF('TL13'!$C$238:$C$451,$C125,'TL13'!$J$238:$J$451),0),
IF('TL14'!$B$3=O$3,SUMIF('TL14'!$C$10:$C$224,$C125,'TL14'!$J$10:$J$224),0),
IF('TL14'!$B$229=O$3,SUMIF('TL14'!$C$238:$C$451,$C125,'TL14'!$J$238:$J$451),0),
IF('TL15'!$B$3=O$3,SUMIF('TL15'!$C$10:$C$224,$C125,'TL15'!$J$10:$J$224),0),
IF('TL15'!$B$229=O$3,SUMIF('TL15'!$C$238:$C$451,$C125,'TL15'!$J$238:$J$451),0),
IF('TL16'!$B$3=O$3,SUMIF('TL16'!$C$10:$C$224,$C125,'TL16'!$J$10:$J$224),0),
IF('TL16'!$B$229=O$3,SUMIF('TL16'!$C$238:$C$451,$C125,'TL16'!$J$238:$J$451),0),
IF('TL17'!$B$3=O$3,SUMIF('TL17'!$C$10:$C$224,$C125,'TL17'!$J$10:$J$224),0),
IF('TL17'!$B$229=O$3,SUMIF('TL17'!$C$238:$C$451,$C125,'TL17'!$J$238:$J$451),0),
IF('TL18'!$B$3=O$3,SUMIF('TL18'!$C$10:$C$224,$C125,'TL18'!$J$10:$J$224),0),
IF('TL18'!$B$229=O$3,SUMIF('TL18'!$C$238:$C$451,$C125,'TL18'!$J$238:$J$451),0),
IF('TL19'!$B$3=O$3,SUMIF('TL19'!$C$10:$C$224,$C125,'TL19'!$J$10:$J$224),0),
IF('TL19'!$B$229=O$3,SUMIF('TL19'!$C$238:$C$451,$C125,'TL19'!$J$238:$J$451),0)
),0)</f>
        <v>0</v>
      </c>
      <c r="P125" s="9">
        <f>IFERROR(SUM(
IF('TL01'!$B$3=P$3,SUMIF('TL01'!$C$10:$C$224,$C125,'TL01'!$J$10:$J$224),0),
IF('TL01'!$B$229=P$3,SUMIF('TL01'!$C$238:$C$451,$C125,'TL01'!$J$238:$J$451),0),
IF('TL02'!$B$3=P$3,SUMIF('TL02'!$C$10:$C$224,$C125,'TL02'!$J$10:$J$224),0),
IF('TL02'!$B$229=P$3,SUMIF('TL02'!$C$238:$C$451,$C125,'TL02'!$J$238:$J$451),0),
IF('TL03'!$B$3=P$3,SUMIF('TL03'!$C$10:$C$224,$C125,'TL03'!$J$10:$J$224),0),
IF('TL03'!$B$229=P$3,SUMIF('TL03'!$C$238:$C$451,$C125,'TL03'!$J$238:$J$451),0),
IF('TL04'!$B$3=P$3,SUMIF('TL04'!$C$10:$C$224,$C125,'TL04'!$J$10:$J$224),0),
IF('TL04'!$B$229=P$3,SUMIF('TL04'!$C$238:$C$451,$C125,'TL04'!$J$238:$J$451),0),
IF('TL05'!$B$3=P$3,SUMIF('TL05'!$C$10:$C$224,$C125,'TL05'!$J$10:$J$224),0),
IF('TL05'!$B$229=P$3,SUMIF('TL05'!$C$238:$C$451,$C125,'TL05'!$J$238:$J$451),0),
IF('TL06'!$B$3=P$3,SUMIF('TL06'!$C$10:$C$224,$C125,'TL06'!$J$10:$J$224),0),
IF('TL06'!$B$229=P$3,SUMIF('TL06'!$C$238:$C$451,$C125,'TL06'!$J$238:$J$451),0),
IF('TL07'!$B$3=P$3,SUMIF('TL07'!$C$10:$C$224,$C125,'TL07'!$J$10:$J$224),0),
IF('TL07'!$B$229=P$3,SUMIF('TL07'!$C$238:$C$451,$C125,'TL07'!$J$238:$J$451),0),
IF('TL08'!$B$3=P$3,SUMIF('TL08'!$C$10:$C$224,$C125,'TL08'!$J$10:$J$224),0),
IF('TL08'!$B$229=P$3,SUMIF('TL08'!$C$238:$C$451,$C125,'TL08'!$J$238:$J$451),0),
IF('TL09'!$B$3=P$3,SUMIF('TL09'!$C$10:$C$224,$C125,'TL09'!$J$10:$J$224),0),
IF('TL09'!$B$229=P$3,SUMIF('TL09'!$C$238:$C$451,$C125,'TL09'!$J$238:$J$451),0),
IF('TL10'!$B$3=P$3,SUMIF('TL10'!$C$10:$C$224,$C125,'TL10'!$J$10:$J$224),0),
IF('TL10'!$B$229=P$3,SUMIF('TL10'!$C$238:$C$451,$C125,'TL10'!$J$238:$J$451),0),
IF('TL11'!$B$3=P$3,SUMIF('TL11'!$C$10:$C$224,$C125,'TL11'!$J$10:$J$224),0),
IF('TL11'!$B$229=P$3,SUMIF('TL11'!$C$238:$C$451,$C125,'TL11'!$J$238:$J$451),0),
IF('TL12'!$B$3=P$3,SUMIF('TL12'!$C$10:$C$224,$C125,'TL12'!$J$10:$J$224),0),
IF('TL12'!$B$229=P$3,SUMIF('TL12'!$C$238:$C$451,$C125,'TL12'!$J$238:$J$451),0),
IF('TL13'!$B$3=P$3,SUMIF('TL13'!$C$10:$C$224,$C125,'TL13'!$J$10:$J$224),0),
IF('TL13'!$B$229=P$3,SUMIF('TL13'!$C$238:$C$451,$C125,'TL13'!$J$238:$J$451),0),
IF('TL14'!$B$3=P$3,SUMIF('TL14'!$C$10:$C$224,$C125,'TL14'!$J$10:$J$224),0),
IF('TL14'!$B$229=P$3,SUMIF('TL14'!$C$238:$C$451,$C125,'TL14'!$J$238:$J$451),0),
IF('TL15'!$B$3=P$3,SUMIF('TL15'!$C$10:$C$224,$C125,'TL15'!$J$10:$J$224),0),
IF('TL15'!$B$229=P$3,SUMIF('TL15'!$C$238:$C$451,$C125,'TL15'!$J$238:$J$451),0),
IF('TL16'!$B$3=P$3,SUMIF('TL16'!$C$10:$C$224,$C125,'TL16'!$J$10:$J$224),0),
IF('TL16'!$B$229=P$3,SUMIF('TL16'!$C$238:$C$451,$C125,'TL16'!$J$238:$J$451),0),
IF('TL17'!$B$3=P$3,SUMIF('TL17'!$C$10:$C$224,$C125,'TL17'!$J$10:$J$224),0),
IF('TL17'!$B$229=P$3,SUMIF('TL17'!$C$238:$C$451,$C125,'TL17'!$J$238:$J$451),0),
IF('TL18'!$B$3=P$3,SUMIF('TL18'!$C$10:$C$224,$C125,'TL18'!$J$10:$J$224),0),
IF('TL18'!$B$229=P$3,SUMIF('TL18'!$C$238:$C$451,$C125,'TL18'!$J$238:$J$451),0),
IF('TL19'!$B$3=P$3,SUMIF('TL19'!$C$10:$C$224,$C125,'TL19'!$J$10:$J$224),0),
IF('TL19'!$B$229=P$3,SUMIF('TL19'!$C$238:$C$451,$C125,'TL19'!$J$238:$J$451),0)
),0)</f>
        <v>0</v>
      </c>
      <c r="Q125" s="9">
        <f>IFERROR(SUM(
IF('TL01'!$B$3=Q$3,SUMIF('TL01'!$C$10:$C$224,$C125,'TL01'!$J$10:$J$224),0),
IF('TL01'!$B$229=Q$3,SUMIF('TL01'!$C$238:$C$451,$C125,'TL01'!$J$238:$J$451),0),
IF('TL02'!$B$3=Q$3,SUMIF('TL02'!$C$10:$C$224,$C125,'TL02'!$J$10:$J$224),0),
IF('TL02'!$B$229=Q$3,SUMIF('TL02'!$C$238:$C$451,$C125,'TL02'!$J$238:$J$451),0),
IF('TL03'!$B$3=Q$3,SUMIF('TL03'!$C$10:$C$224,$C125,'TL03'!$J$10:$J$224),0),
IF('TL03'!$B$229=Q$3,SUMIF('TL03'!$C$238:$C$451,$C125,'TL03'!$J$238:$J$451),0),
IF('TL04'!$B$3=Q$3,SUMIF('TL04'!$C$10:$C$224,$C125,'TL04'!$J$10:$J$224),0),
IF('TL04'!$B$229=Q$3,SUMIF('TL04'!$C$238:$C$451,$C125,'TL04'!$J$238:$J$451),0),
IF('TL05'!$B$3=Q$3,SUMIF('TL05'!$C$10:$C$224,$C125,'TL05'!$J$10:$J$224),0),
IF('TL05'!$B$229=Q$3,SUMIF('TL05'!$C$238:$C$451,$C125,'TL05'!$J$238:$J$451),0),
IF('TL06'!$B$3=Q$3,SUMIF('TL06'!$C$10:$C$224,$C125,'TL06'!$J$10:$J$224),0),
IF('TL06'!$B$229=Q$3,SUMIF('TL06'!$C$238:$C$451,$C125,'TL06'!$J$238:$J$451),0),
IF('TL07'!$B$3=Q$3,SUMIF('TL07'!$C$10:$C$224,$C125,'TL07'!$J$10:$J$224),0),
IF('TL07'!$B$229=Q$3,SUMIF('TL07'!$C$238:$C$451,$C125,'TL07'!$J$238:$J$451),0),
IF('TL08'!$B$3=Q$3,SUMIF('TL08'!$C$10:$C$224,$C125,'TL08'!$J$10:$J$224),0),
IF('TL08'!$B$229=Q$3,SUMIF('TL08'!$C$238:$C$451,$C125,'TL08'!$J$238:$J$451),0),
IF('TL09'!$B$3=Q$3,SUMIF('TL09'!$C$10:$C$224,$C125,'TL09'!$J$10:$J$224),0),
IF('TL09'!$B$229=Q$3,SUMIF('TL09'!$C$238:$C$451,$C125,'TL09'!$J$238:$J$451),0),
IF('TL10'!$B$3=Q$3,SUMIF('TL10'!$C$10:$C$224,$C125,'TL10'!$J$10:$J$224),0),
IF('TL10'!$B$229=Q$3,SUMIF('TL10'!$C$238:$C$451,$C125,'TL10'!$J$238:$J$451),0),
IF('TL11'!$B$3=Q$3,SUMIF('TL11'!$C$10:$C$224,$C125,'TL11'!$J$10:$J$224),0),
IF('TL11'!$B$229=Q$3,SUMIF('TL11'!$C$238:$C$451,$C125,'TL11'!$J$238:$J$451),0),
IF('TL12'!$B$3=Q$3,SUMIF('TL12'!$C$10:$C$224,$C125,'TL12'!$J$10:$J$224),0),
IF('TL12'!$B$229=Q$3,SUMIF('TL12'!$C$238:$C$451,$C125,'TL12'!$J$238:$J$451),0),
IF('TL13'!$B$3=Q$3,SUMIF('TL13'!$C$10:$C$224,$C125,'TL13'!$J$10:$J$224),0),
IF('TL13'!$B$229=Q$3,SUMIF('TL13'!$C$238:$C$451,$C125,'TL13'!$J$238:$J$451),0),
IF('TL14'!$B$3=Q$3,SUMIF('TL14'!$C$10:$C$224,$C125,'TL14'!$J$10:$J$224),0),
IF('TL14'!$B$229=Q$3,SUMIF('TL14'!$C$238:$C$451,$C125,'TL14'!$J$238:$J$451),0),
IF('TL15'!$B$3=Q$3,SUMIF('TL15'!$C$10:$C$224,$C125,'TL15'!$J$10:$J$224),0),
IF('TL15'!$B$229=Q$3,SUMIF('TL15'!$C$238:$C$451,$C125,'TL15'!$J$238:$J$451),0),
IF('TL16'!$B$3=Q$3,SUMIF('TL16'!$C$10:$C$224,$C125,'TL16'!$J$10:$J$224),0),
IF('TL16'!$B$229=Q$3,SUMIF('TL16'!$C$238:$C$451,$C125,'TL16'!$J$238:$J$451),0),
IF('TL17'!$B$3=Q$3,SUMIF('TL17'!$C$10:$C$224,$C125,'TL17'!$J$10:$J$224),0),
IF('TL17'!$B$229=Q$3,SUMIF('TL17'!$C$238:$C$451,$C125,'TL17'!$J$238:$J$451),0),
IF('TL18'!$B$3=Q$3,SUMIF('TL18'!$C$10:$C$224,$C125,'TL18'!$J$10:$J$224),0),
IF('TL18'!$B$229=Q$3,SUMIF('TL18'!$C$238:$C$451,$C125,'TL18'!$J$238:$J$451),0),
IF('TL19'!$B$3=Q$3,SUMIF('TL19'!$C$10:$C$224,$C125,'TL19'!$J$10:$J$224),0),
IF('TL19'!$B$229=Q$3,SUMIF('TL19'!$C$238:$C$451,$C125,'TL19'!$J$238:$J$451),0)
),0)</f>
        <v>0</v>
      </c>
      <c r="R125" s="9">
        <f>IFERROR(
SUM(
SUMIF('TL01'!C:C,C125,'TL01'!J:J),
SUMIF('TL02'!C:C,C125,'TL02'!J:J),
SUMIF('TL03'!C:C,C125,'TL03'!J:J),
SUMIF('TL04'!C:C,C125,'TL04'!J:J),
SUMIF('TL05'!C:C,C125,'TL05'!J:J),
SUMIF('TL06'!C:C,C125,'TL06'!J:J),
SUMIF('TL07'!C:C,C125,'TL07'!J:J),
SUMIF('TL08'!C:C,C125,'TL08'!J:J),
SUMIF('TL09'!C:C,C125,'TL09'!J:J),
SUMIF('TL10'!C:C,C125,'TL10'!J:J),
SUMIF('TL11'!C:C,C125,'TL11'!J:J),
SUMIF('TL12'!C:C,C125,'TL12'!J:J),
SUMIF('TL13'!C:C,C125,'TL13'!J:J),
SUMIF('TL14'!C:C,C125,'TL14'!J:J),
SUMIF('TL15'!C:C,C125,'TL15'!J:J),
SUMIF('TL16'!C:C,C125,'TL16'!J:J),
SUMIF('TL17'!C:C,C125,'TL17'!J:J),
SUMIF('TL18'!C:C,C125,'TL18'!J:J),SUMIF('TL19'!C:C,C125,'TL19'!J:J))
,0)</f>
        <v>0</v>
      </c>
      <c r="S125" s="17">
        <f>IFERROR(__xludf.DUMMYFUNCTION("IFERROR(VLOOKUP(C125,
IMPORTRANGE(""1wULbzX32WdYsx-lj2U3uUNBBe2INVIRDtcK0d-Dvl90"",
""26-27!C:G""),
5,
FALSE),
"""")"),38.17274)</f>
        <v>38.17274</v>
      </c>
      <c r="T125" s="9"/>
      <c r="U125" s="92">
        <f t="shared" si="2"/>
        <v>0</v>
      </c>
      <c r="V125" s="93">
        <f t="shared" si="3"/>
        <v>0</v>
      </c>
    </row>
    <row r="126" ht="15.75" hidden="1" customHeight="1">
      <c r="A126" s="115" t="s">
        <v>353</v>
      </c>
      <c r="B126" s="100" t="s">
        <v>1</v>
      </c>
      <c r="C126" s="116" t="s">
        <v>651</v>
      </c>
      <c r="D126" s="116" t="s">
        <v>652</v>
      </c>
      <c r="E126" s="116">
        <v>750.0</v>
      </c>
      <c r="F126" s="4" t="s">
        <v>392</v>
      </c>
      <c r="G126" s="90" t="str">
        <f t="shared" si="4"/>
        <v>📄 Ver bula</v>
      </c>
      <c r="H126" s="9" t="str">
        <f>IFERROR(__xludf.DUMMYFUNCTION("IFERROR(VLOOKUP(C126,
IMPORTRANGE(""1wULbzX32WdYsx-lj2U3uUNBBe2INVIRDtcK0d-Dvl90"",
""26-27!C:K""),
8,
FALSE),
"""")"),"")</f>
        <v/>
      </c>
      <c r="I126" s="117" t="s">
        <v>653</v>
      </c>
      <c r="J126" s="9">
        <f>IFERROR(SUM(
IF('TL01'!$B$3=J$3,SUMIF('TL01'!$C$10:$C$224,$C126,'TL01'!$J$10:$J$224),0),
IF('TL01'!$B$229=J$3,SUMIF('TL01'!$C$238:$C$451,$C126,'TL01'!$J$238:$J$451),0),
IF('TL02'!$B$3=J$3,SUMIF('TL02'!$C$10:$C$224,$C126,'TL02'!$J$10:$J$224),0),
IF('TL02'!$B$229=J$3,SUMIF('TL02'!$C$238:$C$451,$C126,'TL02'!$J$238:$J$451),0),
IF('TL03'!$B$3=J$3,SUMIF('TL03'!$C$10:$C$224,$C126,'TL03'!$J$10:$J$224),0),
IF('TL03'!$B$229=J$3,SUMIF('TL03'!$C$238:$C$451,$C126,'TL03'!$J$238:$J$451),0),
IF('TL04'!$B$3=J$3,SUMIF('TL04'!$C$10:$C$224,$C126,'TL04'!$J$10:$J$224),0),
IF('TL04'!$B$229=J$3,SUMIF('TL04'!$C$238:$C$451,$C126,'TL04'!$J$238:$J$451),0),
IF('TL05'!$B$3=J$3,SUMIF('TL05'!$C$10:$C$224,$C126,'TL05'!$J$10:$J$224),0),
IF('TL05'!$B$229=J$3,SUMIF('TL05'!$C$238:$C$451,$C126,'TL05'!$J$238:$J$451),0),
IF('TL06'!$B$3=J$3,SUMIF('TL06'!$C$10:$C$224,$C126,'TL06'!$J$10:$J$224),0),
IF('TL06'!$B$229=J$3,SUMIF('TL06'!$C$238:$C$451,$C126,'TL06'!$J$238:$J$451),0),
IF('TL07'!$B$3=J$3,SUMIF('TL07'!$C$10:$C$224,$C126,'TL07'!$J$10:$J$224),0),
IF('TL07'!$B$229=J$3,SUMIF('TL07'!$C$238:$C$451,$C126,'TL07'!$J$238:$J$451),0),
IF('TL08'!$B$3=J$3,SUMIF('TL08'!$C$10:$C$224,$C126,'TL08'!$J$10:$J$224),0),
IF('TL08'!$B$229=J$3,SUMIF('TL08'!$C$238:$C$451,$C126,'TL08'!$J$238:$J$451),0),
IF('TL09'!$B$3=J$3,SUMIF('TL09'!$C$10:$C$224,$C126,'TL09'!$J$10:$J$224),0),
IF('TL09'!$B$229=J$3,SUMIF('TL09'!$C$238:$C$451,$C126,'TL09'!$J$238:$J$451),0),
IF('TL10'!$B$3=J$3,SUMIF('TL10'!$C$10:$C$224,$C126,'TL10'!$J$10:$J$224),0),
IF('TL10'!$B$229=J$3,SUMIF('TL10'!$C$238:$C$451,$C126,'TL10'!$J$238:$J$451),0),
IF('TL11'!$B$3=J$3,SUMIF('TL11'!$C$10:$C$224,$C126,'TL11'!$J$10:$J$224),0),
IF('TL11'!$B$229=J$3,SUMIF('TL11'!$C$238:$C$451,$C126,'TL11'!$J$238:$J$451),0),
IF('TL12'!$B$3=J$3,SUMIF('TL12'!$C$10:$C$224,$C126,'TL12'!$J$10:$J$224),0),
IF('TL12'!$B$229=J$3,SUMIF('TL12'!$C$238:$C$451,$C126,'TL12'!$J$238:$J$451),0),
IF('TL13'!$B$3=J$3,SUMIF('TL13'!$C$10:$C$224,$C126,'TL13'!$J$10:$J$224),0),
IF('TL13'!$B$229=J$3,SUMIF('TL13'!$C$238:$C$451,$C126,'TL13'!$J$238:$J$451),0),
IF('TL14'!$B$3=J$3,SUMIF('TL14'!$C$10:$C$224,$C126,'TL14'!$J$10:$J$224),0),
IF('TL14'!$B$229=J$3,SUMIF('TL14'!$C$238:$C$451,$C126,'TL14'!$J$238:$J$451),0),
IF('TL15'!$B$3=J$3,SUMIF('TL15'!$C$10:$C$224,$C126,'TL15'!$J$10:$J$224),0),
IF('TL15'!$B$229=J$3,SUMIF('TL15'!$C$238:$C$451,$C126,'TL15'!$J$238:$J$451),0),
IF('TL16'!$B$3=J$3,SUMIF('TL16'!$C$10:$C$224,$C126,'TL16'!$J$10:$J$224),0),
IF('TL16'!$B$229=J$3,SUMIF('TL16'!$C$238:$C$451,$C126,'TL16'!$J$238:$J$451),0),
IF('TL17'!$B$3=J$3,SUMIF('TL17'!$C$10:$C$224,$C126,'TL17'!$J$10:$J$224),0),
IF('TL17'!$B$229=J$3,SUMIF('TL17'!$C$238:$C$451,$C126,'TL17'!$J$238:$J$451),0),
IF('TL18'!$B$3=J$3,SUMIF('TL18'!$C$10:$C$224,$C126,'TL18'!$J$10:$J$224),0),
IF('TL18'!$B$229=J$3,SUMIF('TL18'!$C$238:$C$451,$C126,'TL18'!$J$238:$J$451),0),
IF('TL19'!$B$3=J$3,SUMIF('TL19'!$C$10:$C$224,$C126,'TL19'!$J$10:$J$224),0),
IF('TL19'!$B$229=J$3,SUMIF('TL19'!$C$238:$C$451,$C126,'TL19'!$J$238:$J$451),0)
),0)</f>
        <v>0</v>
      </c>
      <c r="K126" s="9">
        <f>IFERROR(SUM(
IF('TL01'!$B$3=K$3,SUMIF('TL01'!$C$10:$C$224,$C126,'TL01'!$J$10:$J$224),0),
IF('TL01'!$B$229=K$3,SUMIF('TL01'!$C$238:$C$451,$C126,'TL01'!$J$238:$J$451),0),
IF('TL02'!$B$3=K$3,SUMIF('TL02'!$C$10:$C$224,$C126,'TL02'!$J$10:$J$224),0),
IF('TL02'!$B$229=K$3,SUMIF('TL02'!$C$238:$C$451,$C126,'TL02'!$J$238:$J$451),0),
IF('TL03'!$B$3=K$3,SUMIF('TL03'!$C$10:$C$224,$C126,'TL03'!$J$10:$J$224),0),
IF('TL03'!$B$229=K$3,SUMIF('TL03'!$C$238:$C$451,$C126,'TL03'!$J$238:$J$451),0),
IF('TL04'!$B$3=K$3,SUMIF('TL04'!$C$10:$C$224,$C126,'TL04'!$J$10:$J$224),0),
IF('TL04'!$B$229=K$3,SUMIF('TL04'!$C$238:$C$451,$C126,'TL04'!$J$238:$J$451),0),
IF('TL05'!$B$3=K$3,SUMIF('TL05'!$C$10:$C$224,$C126,'TL05'!$J$10:$J$224),0),
IF('TL05'!$B$229=K$3,SUMIF('TL05'!$C$238:$C$451,$C126,'TL05'!$J$238:$J$451),0),
IF('TL06'!$B$3=K$3,SUMIF('TL06'!$C$10:$C$224,$C126,'TL06'!$J$10:$J$224),0),
IF('TL06'!$B$229=K$3,SUMIF('TL06'!$C$238:$C$451,$C126,'TL06'!$J$238:$J$451),0),
IF('TL07'!$B$3=K$3,SUMIF('TL07'!$C$10:$C$224,$C126,'TL07'!$J$10:$J$224),0),
IF('TL07'!$B$229=K$3,SUMIF('TL07'!$C$238:$C$451,$C126,'TL07'!$J$238:$J$451),0),
IF('TL08'!$B$3=K$3,SUMIF('TL08'!$C$10:$C$224,$C126,'TL08'!$J$10:$J$224),0),
IF('TL08'!$B$229=K$3,SUMIF('TL08'!$C$238:$C$451,$C126,'TL08'!$J$238:$J$451),0),
IF('TL09'!$B$3=K$3,SUMIF('TL09'!$C$10:$C$224,$C126,'TL09'!$J$10:$J$224),0),
IF('TL09'!$B$229=K$3,SUMIF('TL09'!$C$238:$C$451,$C126,'TL09'!$J$238:$J$451),0),
IF('TL10'!$B$3=K$3,SUMIF('TL10'!$C$10:$C$224,$C126,'TL10'!$J$10:$J$224),0),
IF('TL10'!$B$229=K$3,SUMIF('TL10'!$C$238:$C$451,$C126,'TL10'!$J$238:$J$451),0),
IF('TL11'!$B$3=K$3,SUMIF('TL11'!$C$10:$C$224,$C126,'TL11'!$J$10:$J$224),0),
IF('TL11'!$B$229=K$3,SUMIF('TL11'!$C$238:$C$451,$C126,'TL11'!$J$238:$J$451),0),
IF('TL12'!$B$3=K$3,SUMIF('TL12'!$C$10:$C$224,$C126,'TL12'!$J$10:$J$224),0),
IF('TL12'!$B$229=K$3,SUMIF('TL12'!$C$238:$C$451,$C126,'TL12'!$J$238:$J$451),0),
IF('TL13'!$B$3=K$3,SUMIF('TL13'!$C$10:$C$224,$C126,'TL13'!$J$10:$J$224),0),
IF('TL13'!$B$229=K$3,SUMIF('TL13'!$C$238:$C$451,$C126,'TL13'!$J$238:$J$451),0),
IF('TL14'!$B$3=K$3,SUMIF('TL14'!$C$10:$C$224,$C126,'TL14'!$J$10:$J$224),0),
IF('TL14'!$B$229=K$3,SUMIF('TL14'!$C$238:$C$451,$C126,'TL14'!$J$238:$J$451),0),
IF('TL15'!$B$3=K$3,SUMIF('TL15'!$C$10:$C$224,$C126,'TL15'!$J$10:$J$224),0),
IF('TL15'!$B$229=K$3,SUMIF('TL15'!$C$238:$C$451,$C126,'TL15'!$J$238:$J$451),0),
IF('TL16'!$B$3=K$3,SUMIF('TL16'!$C$10:$C$224,$C126,'TL16'!$J$10:$J$224),0),
IF('TL16'!$B$229=K$3,SUMIF('TL16'!$C$238:$C$451,$C126,'TL16'!$J$238:$J$451),0),
IF('TL17'!$B$3=K$3,SUMIF('TL17'!$C$10:$C$224,$C126,'TL17'!$J$10:$J$224),0),
IF('TL17'!$B$229=K$3,SUMIF('TL17'!$C$238:$C$451,$C126,'TL17'!$J$238:$J$451),0),
IF('TL18'!$B$3=K$3,SUMIF('TL18'!$C$10:$C$224,$C126,'TL18'!$J$10:$J$224),0),
IF('TL18'!$B$229=K$3,SUMIF('TL18'!$C$238:$C$451,$C126,'TL18'!$J$238:$J$451),0),
IF('TL19'!$B$3=K$3,SUMIF('TL19'!$C$10:$C$224,$C126,'TL19'!$J$10:$J$224),0),
IF('TL19'!$B$229=K$3,SUMIF('TL19'!$C$238:$C$451,$C126,'TL19'!$J$238:$J$451),0)
),0)</f>
        <v>0</v>
      </c>
      <c r="L126" s="9">
        <f>IFERROR(SUM(
IF('TL01'!$B$3=L$3,SUMIF('TL01'!$C$10:$C$224,$C126,'TL01'!$J$10:$J$224),0),
IF('TL01'!$B$229=L$3,SUMIF('TL01'!$C$238:$C$451,$C126,'TL01'!$J$238:$J$451),0),
IF('TL02'!$B$3=L$3,SUMIF('TL02'!$C$10:$C$224,$C126,'TL02'!$J$10:$J$224),0),
IF('TL02'!$B$229=L$3,SUMIF('TL02'!$C$238:$C$451,$C126,'TL02'!$J$238:$J$451),0),
IF('TL03'!$B$3=L$3,SUMIF('TL03'!$C$10:$C$224,$C126,'TL03'!$J$10:$J$224),0),
IF('TL03'!$B$229=L$3,SUMIF('TL03'!$C$238:$C$451,$C126,'TL03'!$J$238:$J$451),0),
IF('TL04'!$B$3=L$3,SUMIF('TL04'!$C$10:$C$224,$C126,'TL04'!$J$10:$J$224),0),
IF('TL04'!$B$229=L$3,SUMIF('TL04'!$C$238:$C$451,$C126,'TL04'!$J$238:$J$451),0),
IF('TL05'!$B$3=L$3,SUMIF('TL05'!$C$10:$C$224,$C126,'TL05'!$J$10:$J$224),0),
IF('TL05'!$B$229=L$3,SUMIF('TL05'!$C$238:$C$451,$C126,'TL05'!$J$238:$J$451),0),
IF('TL06'!$B$3=L$3,SUMIF('TL06'!$C$10:$C$224,$C126,'TL06'!$J$10:$J$224),0),
IF('TL06'!$B$229=L$3,SUMIF('TL06'!$C$238:$C$451,$C126,'TL06'!$J$238:$J$451),0),
IF('TL07'!$B$3=L$3,SUMIF('TL07'!$C$10:$C$224,$C126,'TL07'!$J$10:$J$224),0),
IF('TL07'!$B$229=L$3,SUMIF('TL07'!$C$238:$C$451,$C126,'TL07'!$J$238:$J$451),0),
IF('TL08'!$B$3=L$3,SUMIF('TL08'!$C$10:$C$224,$C126,'TL08'!$J$10:$J$224),0),
IF('TL08'!$B$229=L$3,SUMIF('TL08'!$C$238:$C$451,$C126,'TL08'!$J$238:$J$451),0),
IF('TL09'!$B$3=L$3,SUMIF('TL09'!$C$10:$C$224,$C126,'TL09'!$J$10:$J$224),0),
IF('TL09'!$B$229=L$3,SUMIF('TL09'!$C$238:$C$451,$C126,'TL09'!$J$238:$J$451),0),
IF('TL10'!$B$3=L$3,SUMIF('TL10'!$C$10:$C$224,$C126,'TL10'!$J$10:$J$224),0),
IF('TL10'!$B$229=L$3,SUMIF('TL10'!$C$238:$C$451,$C126,'TL10'!$J$238:$J$451),0),
IF('TL11'!$B$3=L$3,SUMIF('TL11'!$C$10:$C$224,$C126,'TL11'!$J$10:$J$224),0),
IF('TL11'!$B$229=L$3,SUMIF('TL11'!$C$238:$C$451,$C126,'TL11'!$J$238:$J$451),0),
IF('TL12'!$B$3=L$3,SUMIF('TL12'!$C$10:$C$224,$C126,'TL12'!$J$10:$J$224),0),
IF('TL12'!$B$229=L$3,SUMIF('TL12'!$C$238:$C$451,$C126,'TL12'!$J$238:$J$451),0),
IF('TL13'!$B$3=L$3,SUMIF('TL13'!$C$10:$C$224,$C126,'TL13'!$J$10:$J$224),0),
IF('TL13'!$B$229=L$3,SUMIF('TL13'!$C$238:$C$451,$C126,'TL13'!$J$238:$J$451),0),
IF('TL14'!$B$3=L$3,SUMIF('TL14'!$C$10:$C$224,$C126,'TL14'!$J$10:$J$224),0),
IF('TL14'!$B$229=L$3,SUMIF('TL14'!$C$238:$C$451,$C126,'TL14'!$J$238:$J$451),0),
IF('TL15'!$B$3=L$3,SUMIF('TL15'!$C$10:$C$224,$C126,'TL15'!$J$10:$J$224),0),
IF('TL15'!$B$229=L$3,SUMIF('TL15'!$C$238:$C$451,$C126,'TL15'!$J$238:$J$451),0),
IF('TL16'!$B$3=L$3,SUMIF('TL16'!$C$10:$C$224,$C126,'TL16'!$J$10:$J$224),0),
IF('TL16'!$B$229=L$3,SUMIF('TL16'!$C$238:$C$451,$C126,'TL16'!$J$238:$J$451),0),
IF('TL17'!$B$3=L$3,SUMIF('TL17'!$C$10:$C$224,$C126,'TL17'!$J$10:$J$224),0),
IF('TL17'!$B$229=L$3,SUMIF('TL17'!$C$238:$C$451,$C126,'TL17'!$J$238:$J$451),0),
IF('TL18'!$B$3=L$3,SUMIF('TL18'!$C$10:$C$224,$C126,'TL18'!$J$10:$J$224),0),
IF('TL18'!$B$229=L$3,SUMIF('TL18'!$C$238:$C$451,$C126,'TL18'!$J$238:$J$451),0),
IF('TL19'!$B$3=L$3,SUMIF('TL19'!$C$10:$C$224,$C126,'TL19'!$J$10:$J$224),0),
IF('TL19'!$B$229=L$3,SUMIF('TL19'!$C$238:$C$451,$C126,'TL19'!$J$238:$J$451),0)
),0)</f>
        <v>0</v>
      </c>
      <c r="M126" s="9">
        <f>IFERROR(SUM(
IF('TL01'!$B$3=M$3,SUMIF('TL01'!$C$10:$C$224,$C126,'TL01'!$J$10:$J$224),0),
IF('TL01'!$B$229=M$3,SUMIF('TL01'!$C$238:$C$451,$C126,'TL01'!$J$238:$J$451),0),
IF('TL02'!$B$3=M$3,SUMIF('TL02'!$C$10:$C$224,$C126,'TL02'!$J$10:$J$224),0),
IF('TL02'!$B$229=M$3,SUMIF('TL02'!$C$238:$C$451,$C126,'TL02'!$J$238:$J$451),0),
IF('TL03'!$B$3=M$3,SUMIF('TL03'!$C$10:$C$224,$C126,'TL03'!$J$10:$J$224),0),
IF('TL03'!$B$229=M$3,SUMIF('TL03'!$C$238:$C$451,$C126,'TL03'!$J$238:$J$451),0),
IF('TL04'!$B$3=M$3,SUMIF('TL04'!$C$10:$C$224,$C126,'TL04'!$J$10:$J$224),0),
IF('TL04'!$B$229=M$3,SUMIF('TL04'!$C$238:$C$451,$C126,'TL04'!$J$238:$J$451),0),
IF('TL05'!$B$3=M$3,SUMIF('TL05'!$C$10:$C$224,$C126,'TL05'!$J$10:$J$224),0),
IF('TL05'!$B$229=M$3,SUMIF('TL05'!$C$238:$C$451,$C126,'TL05'!$J$238:$J$451),0),
IF('TL06'!$B$3=M$3,SUMIF('TL06'!$C$10:$C$224,$C126,'TL06'!$J$10:$J$224),0),
IF('TL06'!$B$229=M$3,SUMIF('TL06'!$C$238:$C$451,$C126,'TL06'!$J$238:$J$451),0),
IF('TL07'!$B$3=M$3,SUMIF('TL07'!$C$10:$C$224,$C126,'TL07'!$J$10:$J$224),0),
IF('TL07'!$B$229=M$3,SUMIF('TL07'!$C$238:$C$451,$C126,'TL07'!$J$238:$J$451),0),
IF('TL08'!$B$3=M$3,SUMIF('TL08'!$C$10:$C$224,$C126,'TL08'!$J$10:$J$224),0),
IF('TL08'!$B$229=M$3,SUMIF('TL08'!$C$238:$C$451,$C126,'TL08'!$J$238:$J$451),0),
IF('TL09'!$B$3=M$3,SUMIF('TL09'!$C$10:$C$224,$C126,'TL09'!$J$10:$J$224),0),
IF('TL09'!$B$229=M$3,SUMIF('TL09'!$C$238:$C$451,$C126,'TL09'!$J$238:$J$451),0),
IF('TL10'!$B$3=M$3,SUMIF('TL10'!$C$10:$C$224,$C126,'TL10'!$J$10:$J$224),0),
IF('TL10'!$B$229=M$3,SUMIF('TL10'!$C$238:$C$451,$C126,'TL10'!$J$238:$J$451),0),
IF('TL11'!$B$3=M$3,SUMIF('TL11'!$C$10:$C$224,$C126,'TL11'!$J$10:$J$224),0),
IF('TL11'!$B$229=M$3,SUMIF('TL11'!$C$238:$C$451,$C126,'TL11'!$J$238:$J$451),0),
IF('TL12'!$B$3=M$3,SUMIF('TL12'!$C$10:$C$224,$C126,'TL12'!$J$10:$J$224),0),
IF('TL12'!$B$229=M$3,SUMIF('TL12'!$C$238:$C$451,$C126,'TL12'!$J$238:$J$451),0),
IF('TL13'!$B$3=M$3,SUMIF('TL13'!$C$10:$C$224,$C126,'TL13'!$J$10:$J$224),0),
IF('TL13'!$B$229=M$3,SUMIF('TL13'!$C$238:$C$451,$C126,'TL13'!$J$238:$J$451),0),
IF('TL14'!$B$3=M$3,SUMIF('TL14'!$C$10:$C$224,$C126,'TL14'!$J$10:$J$224),0),
IF('TL14'!$B$229=M$3,SUMIF('TL14'!$C$238:$C$451,$C126,'TL14'!$J$238:$J$451),0),
IF('TL15'!$B$3=M$3,SUMIF('TL15'!$C$10:$C$224,$C126,'TL15'!$J$10:$J$224),0),
IF('TL15'!$B$229=M$3,SUMIF('TL15'!$C$238:$C$451,$C126,'TL15'!$J$238:$J$451),0),
IF('TL16'!$B$3=M$3,SUMIF('TL16'!$C$10:$C$224,$C126,'TL16'!$J$10:$J$224),0),
IF('TL16'!$B$229=M$3,SUMIF('TL16'!$C$238:$C$451,$C126,'TL16'!$J$238:$J$451),0),
IF('TL17'!$B$3=M$3,SUMIF('TL17'!$C$10:$C$224,$C126,'TL17'!$J$10:$J$224),0),
IF('TL17'!$B$229=M$3,SUMIF('TL17'!$C$238:$C$451,$C126,'TL17'!$J$238:$J$451),0),
IF('TL18'!$B$3=M$3,SUMIF('TL18'!$C$10:$C$224,$C126,'TL18'!$J$10:$J$224),0),
IF('TL18'!$B$229=M$3,SUMIF('TL18'!$C$238:$C$451,$C126,'TL18'!$J$238:$J$451),0),
IF('TL19'!$B$3=M$3,SUMIF('TL19'!$C$10:$C$224,$C126,'TL19'!$J$10:$J$224),0),
IF('TL19'!$B$229=M$3,SUMIF('TL19'!$C$238:$C$451,$C126,'TL19'!$J$238:$J$451),0)
),0)</f>
        <v>0</v>
      </c>
      <c r="N126" s="9">
        <f>IFERROR(SUM(
IF('TL01'!$B$3=N$3,SUMIF('TL01'!$C$10:$C$224,$C126,'TL01'!$J$10:$J$224),0),
IF('TL01'!$B$229=N$3,SUMIF('TL01'!$C$238:$C$451,$C126,'TL01'!$J$238:$J$451),0),
IF('TL02'!$B$3=N$3,SUMIF('TL02'!$C$10:$C$224,$C126,'TL02'!$J$10:$J$224),0),
IF('TL02'!$B$229=N$3,SUMIF('TL02'!$C$238:$C$451,$C126,'TL02'!$J$238:$J$451),0),
IF('TL03'!$B$3=N$3,SUMIF('TL03'!$C$10:$C$224,$C126,'TL03'!$J$10:$J$224),0),
IF('TL03'!$B$229=N$3,SUMIF('TL03'!$C$238:$C$451,$C126,'TL03'!$J$238:$J$451),0),
IF('TL04'!$B$3=N$3,SUMIF('TL04'!$C$10:$C$224,$C126,'TL04'!$J$10:$J$224),0),
IF('TL04'!$B$229=N$3,SUMIF('TL04'!$C$238:$C$451,$C126,'TL04'!$J$238:$J$451),0),
IF('TL05'!$B$3=N$3,SUMIF('TL05'!$C$10:$C$224,$C126,'TL05'!$J$10:$J$224),0),
IF('TL05'!$B$229=N$3,SUMIF('TL05'!$C$238:$C$451,$C126,'TL05'!$J$238:$J$451),0),
IF('TL06'!$B$3=N$3,SUMIF('TL06'!$C$10:$C$224,$C126,'TL06'!$J$10:$J$224),0),
IF('TL06'!$B$229=N$3,SUMIF('TL06'!$C$238:$C$451,$C126,'TL06'!$J$238:$J$451),0),
IF('TL07'!$B$3=N$3,SUMIF('TL07'!$C$10:$C$224,$C126,'TL07'!$J$10:$J$224),0),
IF('TL07'!$B$229=N$3,SUMIF('TL07'!$C$238:$C$451,$C126,'TL07'!$J$238:$J$451),0),
IF('TL08'!$B$3=N$3,SUMIF('TL08'!$C$10:$C$224,$C126,'TL08'!$J$10:$J$224),0),
IF('TL08'!$B$229=N$3,SUMIF('TL08'!$C$238:$C$451,$C126,'TL08'!$J$238:$J$451),0),
IF('TL09'!$B$3=N$3,SUMIF('TL09'!$C$10:$C$224,$C126,'TL09'!$J$10:$J$224),0),
IF('TL09'!$B$229=N$3,SUMIF('TL09'!$C$238:$C$451,$C126,'TL09'!$J$238:$J$451),0),
IF('TL10'!$B$3=N$3,SUMIF('TL10'!$C$10:$C$224,$C126,'TL10'!$J$10:$J$224),0),
IF('TL10'!$B$229=N$3,SUMIF('TL10'!$C$238:$C$451,$C126,'TL10'!$J$238:$J$451),0),
IF('TL11'!$B$3=N$3,SUMIF('TL11'!$C$10:$C$224,$C126,'TL11'!$J$10:$J$224),0),
IF('TL11'!$B$229=N$3,SUMIF('TL11'!$C$238:$C$451,$C126,'TL11'!$J$238:$J$451),0),
IF('TL12'!$B$3=N$3,SUMIF('TL12'!$C$10:$C$224,$C126,'TL12'!$J$10:$J$224),0),
IF('TL12'!$B$229=N$3,SUMIF('TL12'!$C$238:$C$451,$C126,'TL12'!$J$238:$J$451),0),
IF('TL13'!$B$3=N$3,SUMIF('TL13'!$C$10:$C$224,$C126,'TL13'!$J$10:$J$224),0),
IF('TL13'!$B$229=N$3,SUMIF('TL13'!$C$238:$C$451,$C126,'TL13'!$J$238:$J$451),0),
IF('TL14'!$B$3=N$3,SUMIF('TL14'!$C$10:$C$224,$C126,'TL14'!$J$10:$J$224),0),
IF('TL14'!$B$229=N$3,SUMIF('TL14'!$C$238:$C$451,$C126,'TL14'!$J$238:$J$451),0),
IF('TL15'!$B$3=N$3,SUMIF('TL15'!$C$10:$C$224,$C126,'TL15'!$J$10:$J$224),0),
IF('TL15'!$B$229=N$3,SUMIF('TL15'!$C$238:$C$451,$C126,'TL15'!$J$238:$J$451),0),
IF('TL16'!$B$3=N$3,SUMIF('TL16'!$C$10:$C$224,$C126,'TL16'!$J$10:$J$224),0),
IF('TL16'!$B$229=N$3,SUMIF('TL16'!$C$238:$C$451,$C126,'TL16'!$J$238:$J$451),0),
IF('TL17'!$B$3=N$3,SUMIF('TL17'!$C$10:$C$224,$C126,'TL17'!$J$10:$J$224),0),
IF('TL17'!$B$229=N$3,SUMIF('TL17'!$C$238:$C$451,$C126,'TL17'!$J$238:$J$451),0),
IF('TL18'!$B$3=N$3,SUMIF('TL18'!$C$10:$C$224,$C126,'TL18'!$J$10:$J$224),0),
IF('TL18'!$B$229=N$3,SUMIF('TL18'!$C$238:$C$451,$C126,'TL18'!$J$238:$J$451),0),
IF('TL19'!$B$3=N$3,SUMIF('TL19'!$C$10:$C$224,$C126,'TL19'!$J$10:$J$224),0),
IF('TL19'!$B$229=N$3,SUMIF('TL19'!$C$238:$C$451,$C126,'TL19'!$J$238:$J$451),0)
),0)</f>
        <v>0</v>
      </c>
      <c r="O126" s="9">
        <f>IFERROR(SUM(
IF('TL01'!$B$3=O$3,SUMIF('TL01'!$C$10:$C$224,$C126,'TL01'!$J$10:$J$224),0),
IF('TL01'!$B$229=O$3,SUMIF('TL01'!$C$238:$C$451,$C126,'TL01'!$J$238:$J$451),0),
IF('TL02'!$B$3=O$3,SUMIF('TL02'!$C$10:$C$224,$C126,'TL02'!$J$10:$J$224),0),
IF('TL02'!$B$229=O$3,SUMIF('TL02'!$C$238:$C$451,$C126,'TL02'!$J$238:$J$451),0),
IF('TL03'!$B$3=O$3,SUMIF('TL03'!$C$10:$C$224,$C126,'TL03'!$J$10:$J$224),0),
IF('TL03'!$B$229=O$3,SUMIF('TL03'!$C$238:$C$451,$C126,'TL03'!$J$238:$J$451),0),
IF('TL04'!$B$3=O$3,SUMIF('TL04'!$C$10:$C$224,$C126,'TL04'!$J$10:$J$224),0),
IF('TL04'!$B$229=O$3,SUMIF('TL04'!$C$238:$C$451,$C126,'TL04'!$J$238:$J$451),0),
IF('TL05'!$B$3=O$3,SUMIF('TL05'!$C$10:$C$224,$C126,'TL05'!$J$10:$J$224),0),
IF('TL05'!$B$229=O$3,SUMIF('TL05'!$C$238:$C$451,$C126,'TL05'!$J$238:$J$451),0),
IF('TL06'!$B$3=O$3,SUMIF('TL06'!$C$10:$C$224,$C126,'TL06'!$J$10:$J$224),0),
IF('TL06'!$B$229=O$3,SUMIF('TL06'!$C$238:$C$451,$C126,'TL06'!$J$238:$J$451),0),
IF('TL07'!$B$3=O$3,SUMIF('TL07'!$C$10:$C$224,$C126,'TL07'!$J$10:$J$224),0),
IF('TL07'!$B$229=O$3,SUMIF('TL07'!$C$238:$C$451,$C126,'TL07'!$J$238:$J$451),0),
IF('TL08'!$B$3=O$3,SUMIF('TL08'!$C$10:$C$224,$C126,'TL08'!$J$10:$J$224),0),
IF('TL08'!$B$229=O$3,SUMIF('TL08'!$C$238:$C$451,$C126,'TL08'!$J$238:$J$451),0),
IF('TL09'!$B$3=O$3,SUMIF('TL09'!$C$10:$C$224,$C126,'TL09'!$J$10:$J$224),0),
IF('TL09'!$B$229=O$3,SUMIF('TL09'!$C$238:$C$451,$C126,'TL09'!$J$238:$J$451),0),
IF('TL10'!$B$3=O$3,SUMIF('TL10'!$C$10:$C$224,$C126,'TL10'!$J$10:$J$224),0),
IF('TL10'!$B$229=O$3,SUMIF('TL10'!$C$238:$C$451,$C126,'TL10'!$J$238:$J$451),0),
IF('TL11'!$B$3=O$3,SUMIF('TL11'!$C$10:$C$224,$C126,'TL11'!$J$10:$J$224),0),
IF('TL11'!$B$229=O$3,SUMIF('TL11'!$C$238:$C$451,$C126,'TL11'!$J$238:$J$451),0),
IF('TL12'!$B$3=O$3,SUMIF('TL12'!$C$10:$C$224,$C126,'TL12'!$J$10:$J$224),0),
IF('TL12'!$B$229=O$3,SUMIF('TL12'!$C$238:$C$451,$C126,'TL12'!$J$238:$J$451),0),
IF('TL13'!$B$3=O$3,SUMIF('TL13'!$C$10:$C$224,$C126,'TL13'!$J$10:$J$224),0),
IF('TL13'!$B$229=O$3,SUMIF('TL13'!$C$238:$C$451,$C126,'TL13'!$J$238:$J$451),0),
IF('TL14'!$B$3=O$3,SUMIF('TL14'!$C$10:$C$224,$C126,'TL14'!$J$10:$J$224),0),
IF('TL14'!$B$229=O$3,SUMIF('TL14'!$C$238:$C$451,$C126,'TL14'!$J$238:$J$451),0),
IF('TL15'!$B$3=O$3,SUMIF('TL15'!$C$10:$C$224,$C126,'TL15'!$J$10:$J$224),0),
IF('TL15'!$B$229=O$3,SUMIF('TL15'!$C$238:$C$451,$C126,'TL15'!$J$238:$J$451),0),
IF('TL16'!$B$3=O$3,SUMIF('TL16'!$C$10:$C$224,$C126,'TL16'!$J$10:$J$224),0),
IF('TL16'!$B$229=O$3,SUMIF('TL16'!$C$238:$C$451,$C126,'TL16'!$J$238:$J$451),0),
IF('TL17'!$B$3=O$3,SUMIF('TL17'!$C$10:$C$224,$C126,'TL17'!$J$10:$J$224),0),
IF('TL17'!$B$229=O$3,SUMIF('TL17'!$C$238:$C$451,$C126,'TL17'!$J$238:$J$451),0),
IF('TL18'!$B$3=O$3,SUMIF('TL18'!$C$10:$C$224,$C126,'TL18'!$J$10:$J$224),0),
IF('TL18'!$B$229=O$3,SUMIF('TL18'!$C$238:$C$451,$C126,'TL18'!$J$238:$J$451),0),
IF('TL19'!$B$3=O$3,SUMIF('TL19'!$C$10:$C$224,$C126,'TL19'!$J$10:$J$224),0),
IF('TL19'!$B$229=O$3,SUMIF('TL19'!$C$238:$C$451,$C126,'TL19'!$J$238:$J$451),0)
),0)</f>
        <v>0</v>
      </c>
      <c r="P126" s="9">
        <f>IFERROR(SUM(
IF('TL01'!$B$3=P$3,SUMIF('TL01'!$C$10:$C$224,$C126,'TL01'!$J$10:$J$224),0),
IF('TL01'!$B$229=P$3,SUMIF('TL01'!$C$238:$C$451,$C126,'TL01'!$J$238:$J$451),0),
IF('TL02'!$B$3=P$3,SUMIF('TL02'!$C$10:$C$224,$C126,'TL02'!$J$10:$J$224),0),
IF('TL02'!$B$229=P$3,SUMIF('TL02'!$C$238:$C$451,$C126,'TL02'!$J$238:$J$451),0),
IF('TL03'!$B$3=P$3,SUMIF('TL03'!$C$10:$C$224,$C126,'TL03'!$J$10:$J$224),0),
IF('TL03'!$B$229=P$3,SUMIF('TL03'!$C$238:$C$451,$C126,'TL03'!$J$238:$J$451),0),
IF('TL04'!$B$3=P$3,SUMIF('TL04'!$C$10:$C$224,$C126,'TL04'!$J$10:$J$224),0),
IF('TL04'!$B$229=P$3,SUMIF('TL04'!$C$238:$C$451,$C126,'TL04'!$J$238:$J$451),0),
IF('TL05'!$B$3=P$3,SUMIF('TL05'!$C$10:$C$224,$C126,'TL05'!$J$10:$J$224),0),
IF('TL05'!$B$229=P$3,SUMIF('TL05'!$C$238:$C$451,$C126,'TL05'!$J$238:$J$451),0),
IF('TL06'!$B$3=P$3,SUMIF('TL06'!$C$10:$C$224,$C126,'TL06'!$J$10:$J$224),0),
IF('TL06'!$B$229=P$3,SUMIF('TL06'!$C$238:$C$451,$C126,'TL06'!$J$238:$J$451),0),
IF('TL07'!$B$3=P$3,SUMIF('TL07'!$C$10:$C$224,$C126,'TL07'!$J$10:$J$224),0),
IF('TL07'!$B$229=P$3,SUMIF('TL07'!$C$238:$C$451,$C126,'TL07'!$J$238:$J$451),0),
IF('TL08'!$B$3=P$3,SUMIF('TL08'!$C$10:$C$224,$C126,'TL08'!$J$10:$J$224),0),
IF('TL08'!$B$229=P$3,SUMIF('TL08'!$C$238:$C$451,$C126,'TL08'!$J$238:$J$451),0),
IF('TL09'!$B$3=P$3,SUMIF('TL09'!$C$10:$C$224,$C126,'TL09'!$J$10:$J$224),0),
IF('TL09'!$B$229=P$3,SUMIF('TL09'!$C$238:$C$451,$C126,'TL09'!$J$238:$J$451),0),
IF('TL10'!$B$3=P$3,SUMIF('TL10'!$C$10:$C$224,$C126,'TL10'!$J$10:$J$224),0),
IF('TL10'!$B$229=P$3,SUMIF('TL10'!$C$238:$C$451,$C126,'TL10'!$J$238:$J$451),0),
IF('TL11'!$B$3=P$3,SUMIF('TL11'!$C$10:$C$224,$C126,'TL11'!$J$10:$J$224),0),
IF('TL11'!$B$229=P$3,SUMIF('TL11'!$C$238:$C$451,$C126,'TL11'!$J$238:$J$451),0),
IF('TL12'!$B$3=P$3,SUMIF('TL12'!$C$10:$C$224,$C126,'TL12'!$J$10:$J$224),0),
IF('TL12'!$B$229=P$3,SUMIF('TL12'!$C$238:$C$451,$C126,'TL12'!$J$238:$J$451),0),
IF('TL13'!$B$3=P$3,SUMIF('TL13'!$C$10:$C$224,$C126,'TL13'!$J$10:$J$224),0),
IF('TL13'!$B$229=P$3,SUMIF('TL13'!$C$238:$C$451,$C126,'TL13'!$J$238:$J$451),0),
IF('TL14'!$B$3=P$3,SUMIF('TL14'!$C$10:$C$224,$C126,'TL14'!$J$10:$J$224),0),
IF('TL14'!$B$229=P$3,SUMIF('TL14'!$C$238:$C$451,$C126,'TL14'!$J$238:$J$451),0),
IF('TL15'!$B$3=P$3,SUMIF('TL15'!$C$10:$C$224,$C126,'TL15'!$J$10:$J$224),0),
IF('TL15'!$B$229=P$3,SUMIF('TL15'!$C$238:$C$451,$C126,'TL15'!$J$238:$J$451),0),
IF('TL16'!$B$3=P$3,SUMIF('TL16'!$C$10:$C$224,$C126,'TL16'!$J$10:$J$224),0),
IF('TL16'!$B$229=P$3,SUMIF('TL16'!$C$238:$C$451,$C126,'TL16'!$J$238:$J$451),0),
IF('TL17'!$B$3=P$3,SUMIF('TL17'!$C$10:$C$224,$C126,'TL17'!$J$10:$J$224),0),
IF('TL17'!$B$229=P$3,SUMIF('TL17'!$C$238:$C$451,$C126,'TL17'!$J$238:$J$451),0),
IF('TL18'!$B$3=P$3,SUMIF('TL18'!$C$10:$C$224,$C126,'TL18'!$J$10:$J$224),0),
IF('TL18'!$B$229=P$3,SUMIF('TL18'!$C$238:$C$451,$C126,'TL18'!$J$238:$J$451),0),
IF('TL19'!$B$3=P$3,SUMIF('TL19'!$C$10:$C$224,$C126,'TL19'!$J$10:$J$224),0),
IF('TL19'!$B$229=P$3,SUMIF('TL19'!$C$238:$C$451,$C126,'TL19'!$J$238:$J$451),0)
),0)</f>
        <v>0</v>
      </c>
      <c r="Q126" s="9">
        <f>IFERROR(SUM(
IF('TL01'!$B$3=Q$3,SUMIF('TL01'!$C$10:$C$224,$C126,'TL01'!$J$10:$J$224),0),
IF('TL01'!$B$229=Q$3,SUMIF('TL01'!$C$238:$C$451,$C126,'TL01'!$J$238:$J$451),0),
IF('TL02'!$B$3=Q$3,SUMIF('TL02'!$C$10:$C$224,$C126,'TL02'!$J$10:$J$224),0),
IF('TL02'!$B$229=Q$3,SUMIF('TL02'!$C$238:$C$451,$C126,'TL02'!$J$238:$J$451),0),
IF('TL03'!$B$3=Q$3,SUMIF('TL03'!$C$10:$C$224,$C126,'TL03'!$J$10:$J$224),0),
IF('TL03'!$B$229=Q$3,SUMIF('TL03'!$C$238:$C$451,$C126,'TL03'!$J$238:$J$451),0),
IF('TL04'!$B$3=Q$3,SUMIF('TL04'!$C$10:$C$224,$C126,'TL04'!$J$10:$J$224),0),
IF('TL04'!$B$229=Q$3,SUMIF('TL04'!$C$238:$C$451,$C126,'TL04'!$J$238:$J$451),0),
IF('TL05'!$B$3=Q$3,SUMIF('TL05'!$C$10:$C$224,$C126,'TL05'!$J$10:$J$224),0),
IF('TL05'!$B$229=Q$3,SUMIF('TL05'!$C$238:$C$451,$C126,'TL05'!$J$238:$J$451),0),
IF('TL06'!$B$3=Q$3,SUMIF('TL06'!$C$10:$C$224,$C126,'TL06'!$J$10:$J$224),0),
IF('TL06'!$B$229=Q$3,SUMIF('TL06'!$C$238:$C$451,$C126,'TL06'!$J$238:$J$451),0),
IF('TL07'!$B$3=Q$3,SUMIF('TL07'!$C$10:$C$224,$C126,'TL07'!$J$10:$J$224),0),
IF('TL07'!$B$229=Q$3,SUMIF('TL07'!$C$238:$C$451,$C126,'TL07'!$J$238:$J$451),0),
IF('TL08'!$B$3=Q$3,SUMIF('TL08'!$C$10:$C$224,$C126,'TL08'!$J$10:$J$224),0),
IF('TL08'!$B$229=Q$3,SUMIF('TL08'!$C$238:$C$451,$C126,'TL08'!$J$238:$J$451),0),
IF('TL09'!$B$3=Q$3,SUMIF('TL09'!$C$10:$C$224,$C126,'TL09'!$J$10:$J$224),0),
IF('TL09'!$B$229=Q$3,SUMIF('TL09'!$C$238:$C$451,$C126,'TL09'!$J$238:$J$451),0),
IF('TL10'!$B$3=Q$3,SUMIF('TL10'!$C$10:$C$224,$C126,'TL10'!$J$10:$J$224),0),
IF('TL10'!$B$229=Q$3,SUMIF('TL10'!$C$238:$C$451,$C126,'TL10'!$J$238:$J$451),0),
IF('TL11'!$B$3=Q$3,SUMIF('TL11'!$C$10:$C$224,$C126,'TL11'!$J$10:$J$224),0),
IF('TL11'!$B$229=Q$3,SUMIF('TL11'!$C$238:$C$451,$C126,'TL11'!$J$238:$J$451),0),
IF('TL12'!$B$3=Q$3,SUMIF('TL12'!$C$10:$C$224,$C126,'TL12'!$J$10:$J$224),0),
IF('TL12'!$B$229=Q$3,SUMIF('TL12'!$C$238:$C$451,$C126,'TL12'!$J$238:$J$451),0),
IF('TL13'!$B$3=Q$3,SUMIF('TL13'!$C$10:$C$224,$C126,'TL13'!$J$10:$J$224),0),
IF('TL13'!$B$229=Q$3,SUMIF('TL13'!$C$238:$C$451,$C126,'TL13'!$J$238:$J$451),0),
IF('TL14'!$B$3=Q$3,SUMIF('TL14'!$C$10:$C$224,$C126,'TL14'!$J$10:$J$224),0),
IF('TL14'!$B$229=Q$3,SUMIF('TL14'!$C$238:$C$451,$C126,'TL14'!$J$238:$J$451),0),
IF('TL15'!$B$3=Q$3,SUMIF('TL15'!$C$10:$C$224,$C126,'TL15'!$J$10:$J$224),0),
IF('TL15'!$B$229=Q$3,SUMIF('TL15'!$C$238:$C$451,$C126,'TL15'!$J$238:$J$451),0),
IF('TL16'!$B$3=Q$3,SUMIF('TL16'!$C$10:$C$224,$C126,'TL16'!$J$10:$J$224),0),
IF('TL16'!$B$229=Q$3,SUMIF('TL16'!$C$238:$C$451,$C126,'TL16'!$J$238:$J$451),0),
IF('TL17'!$B$3=Q$3,SUMIF('TL17'!$C$10:$C$224,$C126,'TL17'!$J$10:$J$224),0),
IF('TL17'!$B$229=Q$3,SUMIF('TL17'!$C$238:$C$451,$C126,'TL17'!$J$238:$J$451),0),
IF('TL18'!$B$3=Q$3,SUMIF('TL18'!$C$10:$C$224,$C126,'TL18'!$J$10:$J$224),0),
IF('TL18'!$B$229=Q$3,SUMIF('TL18'!$C$238:$C$451,$C126,'TL18'!$J$238:$J$451),0),
IF('TL19'!$B$3=Q$3,SUMIF('TL19'!$C$10:$C$224,$C126,'TL19'!$J$10:$J$224),0),
IF('TL19'!$B$229=Q$3,SUMIF('TL19'!$C$238:$C$451,$C126,'TL19'!$J$238:$J$451),0)
),0)</f>
        <v>0</v>
      </c>
      <c r="R126" s="9">
        <f>IFERROR(
SUM(
SUMIF('TL01'!C:C,C126,'TL01'!J:J),
SUMIF('TL02'!C:C,C126,'TL02'!J:J),
SUMIF('TL03'!C:C,C126,'TL03'!J:J),
SUMIF('TL04'!C:C,C126,'TL04'!J:J),
SUMIF('TL05'!C:C,C126,'TL05'!J:J),
SUMIF('TL06'!C:C,C126,'TL06'!J:J),
SUMIF('TL07'!C:C,C126,'TL07'!J:J),
SUMIF('TL08'!C:C,C126,'TL08'!J:J),
SUMIF('TL09'!C:C,C126,'TL09'!J:J),
SUMIF('TL10'!C:C,C126,'TL10'!J:J),
SUMIF('TL11'!C:C,C126,'TL11'!J:J),
SUMIF('TL12'!C:C,C126,'TL12'!J:J),
SUMIF('TL13'!C:C,C126,'TL13'!J:J),
SUMIF('TL14'!C:C,C126,'TL14'!J:J),
SUMIF('TL15'!C:C,C126,'TL15'!J:J),
SUMIF('TL16'!C:C,C126,'TL16'!J:J),
SUMIF('TL17'!C:C,C126,'TL17'!J:J),
SUMIF('TL18'!C:C,C126,'TL18'!J:J),SUMIF('TL19'!C:C,C126,'TL19'!J:J))
,0)</f>
        <v>0</v>
      </c>
      <c r="S126" s="17">
        <f>IFERROR(__xludf.DUMMYFUNCTION("IFERROR(VLOOKUP(C126,
IMPORTRANGE(""1wULbzX32WdYsx-lj2U3uUNBBe2INVIRDtcK0d-Dvl90"",
""26-27!C:G""),
5,
FALSE),
"""")"),1204.71496)</f>
        <v>1204.71496</v>
      </c>
      <c r="T126" s="9"/>
      <c r="U126" s="92">
        <f t="shared" si="2"/>
        <v>0</v>
      </c>
      <c r="V126" s="93">
        <f t="shared" si="3"/>
        <v>0</v>
      </c>
    </row>
    <row r="127" ht="15.75" hidden="1" customHeight="1">
      <c r="A127" s="111" t="s">
        <v>353</v>
      </c>
      <c r="B127" s="112" t="s">
        <v>1</v>
      </c>
      <c r="C127" s="113" t="s">
        <v>654</v>
      </c>
      <c r="D127" s="113" t="s">
        <v>655</v>
      </c>
      <c r="E127" s="113">
        <v>250.0</v>
      </c>
      <c r="F127" s="4" t="s">
        <v>343</v>
      </c>
      <c r="G127" s="90" t="str">
        <f t="shared" si="4"/>
        <v>📄 Ver bula</v>
      </c>
      <c r="H127" s="9" t="str">
        <f>IFERROR(__xludf.DUMMYFUNCTION("IFERROR(VLOOKUP(C127,
IMPORTRANGE(""1wULbzX32WdYsx-lj2U3uUNBBe2INVIRDtcK0d-Dvl90"",
""26-27!C:K""),
8,
FALSE),
"""")"),"")</f>
        <v/>
      </c>
      <c r="I127" s="114" t="s">
        <v>656</v>
      </c>
      <c r="J127" s="9">
        <f>IFERROR(SUM(
IF('TL01'!$B$3=J$3,SUMIF('TL01'!$C$10:$C$224,$C127,'TL01'!$J$10:$J$224),0),
IF('TL01'!$B$229=J$3,SUMIF('TL01'!$C$238:$C$451,$C127,'TL01'!$J$238:$J$451),0),
IF('TL02'!$B$3=J$3,SUMIF('TL02'!$C$10:$C$224,$C127,'TL02'!$J$10:$J$224),0),
IF('TL02'!$B$229=J$3,SUMIF('TL02'!$C$238:$C$451,$C127,'TL02'!$J$238:$J$451),0),
IF('TL03'!$B$3=J$3,SUMIF('TL03'!$C$10:$C$224,$C127,'TL03'!$J$10:$J$224),0),
IF('TL03'!$B$229=J$3,SUMIF('TL03'!$C$238:$C$451,$C127,'TL03'!$J$238:$J$451),0),
IF('TL04'!$B$3=J$3,SUMIF('TL04'!$C$10:$C$224,$C127,'TL04'!$J$10:$J$224),0),
IF('TL04'!$B$229=J$3,SUMIF('TL04'!$C$238:$C$451,$C127,'TL04'!$J$238:$J$451),0),
IF('TL05'!$B$3=J$3,SUMIF('TL05'!$C$10:$C$224,$C127,'TL05'!$J$10:$J$224),0),
IF('TL05'!$B$229=J$3,SUMIF('TL05'!$C$238:$C$451,$C127,'TL05'!$J$238:$J$451),0),
IF('TL06'!$B$3=J$3,SUMIF('TL06'!$C$10:$C$224,$C127,'TL06'!$J$10:$J$224),0),
IF('TL06'!$B$229=J$3,SUMIF('TL06'!$C$238:$C$451,$C127,'TL06'!$J$238:$J$451),0),
IF('TL07'!$B$3=J$3,SUMIF('TL07'!$C$10:$C$224,$C127,'TL07'!$J$10:$J$224),0),
IF('TL07'!$B$229=J$3,SUMIF('TL07'!$C$238:$C$451,$C127,'TL07'!$J$238:$J$451),0),
IF('TL08'!$B$3=J$3,SUMIF('TL08'!$C$10:$C$224,$C127,'TL08'!$J$10:$J$224),0),
IF('TL08'!$B$229=J$3,SUMIF('TL08'!$C$238:$C$451,$C127,'TL08'!$J$238:$J$451),0),
IF('TL09'!$B$3=J$3,SUMIF('TL09'!$C$10:$C$224,$C127,'TL09'!$J$10:$J$224),0),
IF('TL09'!$B$229=J$3,SUMIF('TL09'!$C$238:$C$451,$C127,'TL09'!$J$238:$J$451),0),
IF('TL10'!$B$3=J$3,SUMIF('TL10'!$C$10:$C$224,$C127,'TL10'!$J$10:$J$224),0),
IF('TL10'!$B$229=J$3,SUMIF('TL10'!$C$238:$C$451,$C127,'TL10'!$J$238:$J$451),0),
IF('TL11'!$B$3=J$3,SUMIF('TL11'!$C$10:$C$224,$C127,'TL11'!$J$10:$J$224),0),
IF('TL11'!$B$229=J$3,SUMIF('TL11'!$C$238:$C$451,$C127,'TL11'!$J$238:$J$451),0),
IF('TL12'!$B$3=J$3,SUMIF('TL12'!$C$10:$C$224,$C127,'TL12'!$J$10:$J$224),0),
IF('TL12'!$B$229=J$3,SUMIF('TL12'!$C$238:$C$451,$C127,'TL12'!$J$238:$J$451),0),
IF('TL13'!$B$3=J$3,SUMIF('TL13'!$C$10:$C$224,$C127,'TL13'!$J$10:$J$224),0),
IF('TL13'!$B$229=J$3,SUMIF('TL13'!$C$238:$C$451,$C127,'TL13'!$J$238:$J$451),0),
IF('TL14'!$B$3=J$3,SUMIF('TL14'!$C$10:$C$224,$C127,'TL14'!$J$10:$J$224),0),
IF('TL14'!$B$229=J$3,SUMIF('TL14'!$C$238:$C$451,$C127,'TL14'!$J$238:$J$451),0),
IF('TL15'!$B$3=J$3,SUMIF('TL15'!$C$10:$C$224,$C127,'TL15'!$J$10:$J$224),0),
IF('TL15'!$B$229=J$3,SUMIF('TL15'!$C$238:$C$451,$C127,'TL15'!$J$238:$J$451),0),
IF('TL16'!$B$3=J$3,SUMIF('TL16'!$C$10:$C$224,$C127,'TL16'!$J$10:$J$224),0),
IF('TL16'!$B$229=J$3,SUMIF('TL16'!$C$238:$C$451,$C127,'TL16'!$J$238:$J$451),0),
IF('TL17'!$B$3=J$3,SUMIF('TL17'!$C$10:$C$224,$C127,'TL17'!$J$10:$J$224),0),
IF('TL17'!$B$229=J$3,SUMIF('TL17'!$C$238:$C$451,$C127,'TL17'!$J$238:$J$451),0),
IF('TL18'!$B$3=J$3,SUMIF('TL18'!$C$10:$C$224,$C127,'TL18'!$J$10:$J$224),0),
IF('TL18'!$B$229=J$3,SUMIF('TL18'!$C$238:$C$451,$C127,'TL18'!$J$238:$J$451),0),
IF('TL19'!$B$3=J$3,SUMIF('TL19'!$C$10:$C$224,$C127,'TL19'!$J$10:$J$224),0),
IF('TL19'!$B$229=J$3,SUMIF('TL19'!$C$238:$C$451,$C127,'TL19'!$J$238:$J$451),0)
),0)</f>
        <v>0</v>
      </c>
      <c r="K127" s="9">
        <f>IFERROR(SUM(
IF('TL01'!$B$3=K$3,SUMIF('TL01'!$C$10:$C$224,$C127,'TL01'!$J$10:$J$224),0),
IF('TL01'!$B$229=K$3,SUMIF('TL01'!$C$238:$C$451,$C127,'TL01'!$J$238:$J$451),0),
IF('TL02'!$B$3=K$3,SUMIF('TL02'!$C$10:$C$224,$C127,'TL02'!$J$10:$J$224),0),
IF('TL02'!$B$229=K$3,SUMIF('TL02'!$C$238:$C$451,$C127,'TL02'!$J$238:$J$451),0),
IF('TL03'!$B$3=K$3,SUMIF('TL03'!$C$10:$C$224,$C127,'TL03'!$J$10:$J$224),0),
IF('TL03'!$B$229=K$3,SUMIF('TL03'!$C$238:$C$451,$C127,'TL03'!$J$238:$J$451),0),
IF('TL04'!$B$3=K$3,SUMIF('TL04'!$C$10:$C$224,$C127,'TL04'!$J$10:$J$224),0),
IF('TL04'!$B$229=K$3,SUMIF('TL04'!$C$238:$C$451,$C127,'TL04'!$J$238:$J$451),0),
IF('TL05'!$B$3=K$3,SUMIF('TL05'!$C$10:$C$224,$C127,'TL05'!$J$10:$J$224),0),
IF('TL05'!$B$229=K$3,SUMIF('TL05'!$C$238:$C$451,$C127,'TL05'!$J$238:$J$451),0),
IF('TL06'!$B$3=K$3,SUMIF('TL06'!$C$10:$C$224,$C127,'TL06'!$J$10:$J$224),0),
IF('TL06'!$B$229=K$3,SUMIF('TL06'!$C$238:$C$451,$C127,'TL06'!$J$238:$J$451),0),
IF('TL07'!$B$3=K$3,SUMIF('TL07'!$C$10:$C$224,$C127,'TL07'!$J$10:$J$224),0),
IF('TL07'!$B$229=K$3,SUMIF('TL07'!$C$238:$C$451,$C127,'TL07'!$J$238:$J$451),0),
IF('TL08'!$B$3=K$3,SUMIF('TL08'!$C$10:$C$224,$C127,'TL08'!$J$10:$J$224),0),
IF('TL08'!$B$229=K$3,SUMIF('TL08'!$C$238:$C$451,$C127,'TL08'!$J$238:$J$451),0),
IF('TL09'!$B$3=K$3,SUMIF('TL09'!$C$10:$C$224,$C127,'TL09'!$J$10:$J$224),0),
IF('TL09'!$B$229=K$3,SUMIF('TL09'!$C$238:$C$451,$C127,'TL09'!$J$238:$J$451),0),
IF('TL10'!$B$3=K$3,SUMIF('TL10'!$C$10:$C$224,$C127,'TL10'!$J$10:$J$224),0),
IF('TL10'!$B$229=K$3,SUMIF('TL10'!$C$238:$C$451,$C127,'TL10'!$J$238:$J$451),0),
IF('TL11'!$B$3=K$3,SUMIF('TL11'!$C$10:$C$224,$C127,'TL11'!$J$10:$J$224),0),
IF('TL11'!$B$229=K$3,SUMIF('TL11'!$C$238:$C$451,$C127,'TL11'!$J$238:$J$451),0),
IF('TL12'!$B$3=K$3,SUMIF('TL12'!$C$10:$C$224,$C127,'TL12'!$J$10:$J$224),0),
IF('TL12'!$B$229=K$3,SUMIF('TL12'!$C$238:$C$451,$C127,'TL12'!$J$238:$J$451),0),
IF('TL13'!$B$3=K$3,SUMIF('TL13'!$C$10:$C$224,$C127,'TL13'!$J$10:$J$224),0),
IF('TL13'!$B$229=K$3,SUMIF('TL13'!$C$238:$C$451,$C127,'TL13'!$J$238:$J$451),0),
IF('TL14'!$B$3=K$3,SUMIF('TL14'!$C$10:$C$224,$C127,'TL14'!$J$10:$J$224),0),
IF('TL14'!$B$229=K$3,SUMIF('TL14'!$C$238:$C$451,$C127,'TL14'!$J$238:$J$451),0),
IF('TL15'!$B$3=K$3,SUMIF('TL15'!$C$10:$C$224,$C127,'TL15'!$J$10:$J$224),0),
IF('TL15'!$B$229=K$3,SUMIF('TL15'!$C$238:$C$451,$C127,'TL15'!$J$238:$J$451),0),
IF('TL16'!$B$3=K$3,SUMIF('TL16'!$C$10:$C$224,$C127,'TL16'!$J$10:$J$224),0),
IF('TL16'!$B$229=K$3,SUMIF('TL16'!$C$238:$C$451,$C127,'TL16'!$J$238:$J$451),0),
IF('TL17'!$B$3=K$3,SUMIF('TL17'!$C$10:$C$224,$C127,'TL17'!$J$10:$J$224),0),
IF('TL17'!$B$229=K$3,SUMIF('TL17'!$C$238:$C$451,$C127,'TL17'!$J$238:$J$451),0),
IF('TL18'!$B$3=K$3,SUMIF('TL18'!$C$10:$C$224,$C127,'TL18'!$J$10:$J$224),0),
IF('TL18'!$B$229=K$3,SUMIF('TL18'!$C$238:$C$451,$C127,'TL18'!$J$238:$J$451),0),
IF('TL19'!$B$3=K$3,SUMIF('TL19'!$C$10:$C$224,$C127,'TL19'!$J$10:$J$224),0),
IF('TL19'!$B$229=K$3,SUMIF('TL19'!$C$238:$C$451,$C127,'TL19'!$J$238:$J$451),0)
),0)</f>
        <v>0</v>
      </c>
      <c r="L127" s="9">
        <f>IFERROR(SUM(
IF('TL01'!$B$3=L$3,SUMIF('TL01'!$C$10:$C$224,$C127,'TL01'!$J$10:$J$224),0),
IF('TL01'!$B$229=L$3,SUMIF('TL01'!$C$238:$C$451,$C127,'TL01'!$J$238:$J$451),0),
IF('TL02'!$B$3=L$3,SUMIF('TL02'!$C$10:$C$224,$C127,'TL02'!$J$10:$J$224),0),
IF('TL02'!$B$229=L$3,SUMIF('TL02'!$C$238:$C$451,$C127,'TL02'!$J$238:$J$451),0),
IF('TL03'!$B$3=L$3,SUMIF('TL03'!$C$10:$C$224,$C127,'TL03'!$J$10:$J$224),0),
IF('TL03'!$B$229=L$3,SUMIF('TL03'!$C$238:$C$451,$C127,'TL03'!$J$238:$J$451),0),
IF('TL04'!$B$3=L$3,SUMIF('TL04'!$C$10:$C$224,$C127,'TL04'!$J$10:$J$224),0),
IF('TL04'!$B$229=L$3,SUMIF('TL04'!$C$238:$C$451,$C127,'TL04'!$J$238:$J$451),0),
IF('TL05'!$B$3=L$3,SUMIF('TL05'!$C$10:$C$224,$C127,'TL05'!$J$10:$J$224),0),
IF('TL05'!$B$229=L$3,SUMIF('TL05'!$C$238:$C$451,$C127,'TL05'!$J$238:$J$451),0),
IF('TL06'!$B$3=L$3,SUMIF('TL06'!$C$10:$C$224,$C127,'TL06'!$J$10:$J$224),0),
IF('TL06'!$B$229=L$3,SUMIF('TL06'!$C$238:$C$451,$C127,'TL06'!$J$238:$J$451),0),
IF('TL07'!$B$3=L$3,SUMIF('TL07'!$C$10:$C$224,$C127,'TL07'!$J$10:$J$224),0),
IF('TL07'!$B$229=L$3,SUMIF('TL07'!$C$238:$C$451,$C127,'TL07'!$J$238:$J$451),0),
IF('TL08'!$B$3=L$3,SUMIF('TL08'!$C$10:$C$224,$C127,'TL08'!$J$10:$J$224),0),
IF('TL08'!$B$229=L$3,SUMIF('TL08'!$C$238:$C$451,$C127,'TL08'!$J$238:$J$451),0),
IF('TL09'!$B$3=L$3,SUMIF('TL09'!$C$10:$C$224,$C127,'TL09'!$J$10:$J$224),0),
IF('TL09'!$B$229=L$3,SUMIF('TL09'!$C$238:$C$451,$C127,'TL09'!$J$238:$J$451),0),
IF('TL10'!$B$3=L$3,SUMIF('TL10'!$C$10:$C$224,$C127,'TL10'!$J$10:$J$224),0),
IF('TL10'!$B$229=L$3,SUMIF('TL10'!$C$238:$C$451,$C127,'TL10'!$J$238:$J$451),0),
IF('TL11'!$B$3=L$3,SUMIF('TL11'!$C$10:$C$224,$C127,'TL11'!$J$10:$J$224),0),
IF('TL11'!$B$229=L$3,SUMIF('TL11'!$C$238:$C$451,$C127,'TL11'!$J$238:$J$451),0),
IF('TL12'!$B$3=L$3,SUMIF('TL12'!$C$10:$C$224,$C127,'TL12'!$J$10:$J$224),0),
IF('TL12'!$B$229=L$3,SUMIF('TL12'!$C$238:$C$451,$C127,'TL12'!$J$238:$J$451),0),
IF('TL13'!$B$3=L$3,SUMIF('TL13'!$C$10:$C$224,$C127,'TL13'!$J$10:$J$224),0),
IF('TL13'!$B$229=L$3,SUMIF('TL13'!$C$238:$C$451,$C127,'TL13'!$J$238:$J$451),0),
IF('TL14'!$B$3=L$3,SUMIF('TL14'!$C$10:$C$224,$C127,'TL14'!$J$10:$J$224),0),
IF('TL14'!$B$229=L$3,SUMIF('TL14'!$C$238:$C$451,$C127,'TL14'!$J$238:$J$451),0),
IF('TL15'!$B$3=L$3,SUMIF('TL15'!$C$10:$C$224,$C127,'TL15'!$J$10:$J$224),0),
IF('TL15'!$B$229=L$3,SUMIF('TL15'!$C$238:$C$451,$C127,'TL15'!$J$238:$J$451),0),
IF('TL16'!$B$3=L$3,SUMIF('TL16'!$C$10:$C$224,$C127,'TL16'!$J$10:$J$224),0),
IF('TL16'!$B$229=L$3,SUMIF('TL16'!$C$238:$C$451,$C127,'TL16'!$J$238:$J$451),0),
IF('TL17'!$B$3=L$3,SUMIF('TL17'!$C$10:$C$224,$C127,'TL17'!$J$10:$J$224),0),
IF('TL17'!$B$229=L$3,SUMIF('TL17'!$C$238:$C$451,$C127,'TL17'!$J$238:$J$451),0),
IF('TL18'!$B$3=L$3,SUMIF('TL18'!$C$10:$C$224,$C127,'TL18'!$J$10:$J$224),0),
IF('TL18'!$B$229=L$3,SUMIF('TL18'!$C$238:$C$451,$C127,'TL18'!$J$238:$J$451),0),
IF('TL19'!$B$3=L$3,SUMIF('TL19'!$C$10:$C$224,$C127,'TL19'!$J$10:$J$224),0),
IF('TL19'!$B$229=L$3,SUMIF('TL19'!$C$238:$C$451,$C127,'TL19'!$J$238:$J$451),0)
),0)</f>
        <v>0</v>
      </c>
      <c r="M127" s="9">
        <f>IFERROR(SUM(
IF('TL01'!$B$3=M$3,SUMIF('TL01'!$C$10:$C$224,$C127,'TL01'!$J$10:$J$224),0),
IF('TL01'!$B$229=M$3,SUMIF('TL01'!$C$238:$C$451,$C127,'TL01'!$J$238:$J$451),0),
IF('TL02'!$B$3=M$3,SUMIF('TL02'!$C$10:$C$224,$C127,'TL02'!$J$10:$J$224),0),
IF('TL02'!$B$229=M$3,SUMIF('TL02'!$C$238:$C$451,$C127,'TL02'!$J$238:$J$451),0),
IF('TL03'!$B$3=M$3,SUMIF('TL03'!$C$10:$C$224,$C127,'TL03'!$J$10:$J$224),0),
IF('TL03'!$B$229=M$3,SUMIF('TL03'!$C$238:$C$451,$C127,'TL03'!$J$238:$J$451),0),
IF('TL04'!$B$3=M$3,SUMIF('TL04'!$C$10:$C$224,$C127,'TL04'!$J$10:$J$224),0),
IF('TL04'!$B$229=M$3,SUMIF('TL04'!$C$238:$C$451,$C127,'TL04'!$J$238:$J$451),0),
IF('TL05'!$B$3=M$3,SUMIF('TL05'!$C$10:$C$224,$C127,'TL05'!$J$10:$J$224),0),
IF('TL05'!$B$229=M$3,SUMIF('TL05'!$C$238:$C$451,$C127,'TL05'!$J$238:$J$451),0),
IF('TL06'!$B$3=M$3,SUMIF('TL06'!$C$10:$C$224,$C127,'TL06'!$J$10:$J$224),0),
IF('TL06'!$B$229=M$3,SUMIF('TL06'!$C$238:$C$451,$C127,'TL06'!$J$238:$J$451),0),
IF('TL07'!$B$3=M$3,SUMIF('TL07'!$C$10:$C$224,$C127,'TL07'!$J$10:$J$224),0),
IF('TL07'!$B$229=M$3,SUMIF('TL07'!$C$238:$C$451,$C127,'TL07'!$J$238:$J$451),0),
IF('TL08'!$B$3=M$3,SUMIF('TL08'!$C$10:$C$224,$C127,'TL08'!$J$10:$J$224),0),
IF('TL08'!$B$229=M$3,SUMIF('TL08'!$C$238:$C$451,$C127,'TL08'!$J$238:$J$451),0),
IF('TL09'!$B$3=M$3,SUMIF('TL09'!$C$10:$C$224,$C127,'TL09'!$J$10:$J$224),0),
IF('TL09'!$B$229=M$3,SUMIF('TL09'!$C$238:$C$451,$C127,'TL09'!$J$238:$J$451),0),
IF('TL10'!$B$3=M$3,SUMIF('TL10'!$C$10:$C$224,$C127,'TL10'!$J$10:$J$224),0),
IF('TL10'!$B$229=M$3,SUMIF('TL10'!$C$238:$C$451,$C127,'TL10'!$J$238:$J$451),0),
IF('TL11'!$B$3=M$3,SUMIF('TL11'!$C$10:$C$224,$C127,'TL11'!$J$10:$J$224),0),
IF('TL11'!$B$229=M$3,SUMIF('TL11'!$C$238:$C$451,$C127,'TL11'!$J$238:$J$451),0),
IF('TL12'!$B$3=M$3,SUMIF('TL12'!$C$10:$C$224,$C127,'TL12'!$J$10:$J$224),0),
IF('TL12'!$B$229=M$3,SUMIF('TL12'!$C$238:$C$451,$C127,'TL12'!$J$238:$J$451),0),
IF('TL13'!$B$3=M$3,SUMIF('TL13'!$C$10:$C$224,$C127,'TL13'!$J$10:$J$224),0),
IF('TL13'!$B$229=M$3,SUMIF('TL13'!$C$238:$C$451,$C127,'TL13'!$J$238:$J$451),0),
IF('TL14'!$B$3=M$3,SUMIF('TL14'!$C$10:$C$224,$C127,'TL14'!$J$10:$J$224),0),
IF('TL14'!$B$229=M$3,SUMIF('TL14'!$C$238:$C$451,$C127,'TL14'!$J$238:$J$451),0),
IF('TL15'!$B$3=M$3,SUMIF('TL15'!$C$10:$C$224,$C127,'TL15'!$J$10:$J$224),0),
IF('TL15'!$B$229=M$3,SUMIF('TL15'!$C$238:$C$451,$C127,'TL15'!$J$238:$J$451),0),
IF('TL16'!$B$3=M$3,SUMIF('TL16'!$C$10:$C$224,$C127,'TL16'!$J$10:$J$224),0),
IF('TL16'!$B$229=M$3,SUMIF('TL16'!$C$238:$C$451,$C127,'TL16'!$J$238:$J$451),0),
IF('TL17'!$B$3=M$3,SUMIF('TL17'!$C$10:$C$224,$C127,'TL17'!$J$10:$J$224),0),
IF('TL17'!$B$229=M$3,SUMIF('TL17'!$C$238:$C$451,$C127,'TL17'!$J$238:$J$451),0),
IF('TL18'!$B$3=M$3,SUMIF('TL18'!$C$10:$C$224,$C127,'TL18'!$J$10:$J$224),0),
IF('TL18'!$B$229=M$3,SUMIF('TL18'!$C$238:$C$451,$C127,'TL18'!$J$238:$J$451),0),
IF('TL19'!$B$3=M$3,SUMIF('TL19'!$C$10:$C$224,$C127,'TL19'!$J$10:$J$224),0),
IF('TL19'!$B$229=M$3,SUMIF('TL19'!$C$238:$C$451,$C127,'TL19'!$J$238:$J$451),0)
),0)</f>
        <v>0</v>
      </c>
      <c r="N127" s="9">
        <f>IFERROR(SUM(
IF('TL01'!$B$3=N$3,SUMIF('TL01'!$C$10:$C$224,$C127,'TL01'!$J$10:$J$224),0),
IF('TL01'!$B$229=N$3,SUMIF('TL01'!$C$238:$C$451,$C127,'TL01'!$J$238:$J$451),0),
IF('TL02'!$B$3=N$3,SUMIF('TL02'!$C$10:$C$224,$C127,'TL02'!$J$10:$J$224),0),
IF('TL02'!$B$229=N$3,SUMIF('TL02'!$C$238:$C$451,$C127,'TL02'!$J$238:$J$451),0),
IF('TL03'!$B$3=N$3,SUMIF('TL03'!$C$10:$C$224,$C127,'TL03'!$J$10:$J$224),0),
IF('TL03'!$B$229=N$3,SUMIF('TL03'!$C$238:$C$451,$C127,'TL03'!$J$238:$J$451),0),
IF('TL04'!$B$3=N$3,SUMIF('TL04'!$C$10:$C$224,$C127,'TL04'!$J$10:$J$224),0),
IF('TL04'!$B$229=N$3,SUMIF('TL04'!$C$238:$C$451,$C127,'TL04'!$J$238:$J$451),0),
IF('TL05'!$B$3=N$3,SUMIF('TL05'!$C$10:$C$224,$C127,'TL05'!$J$10:$J$224),0),
IF('TL05'!$B$229=N$3,SUMIF('TL05'!$C$238:$C$451,$C127,'TL05'!$J$238:$J$451),0),
IF('TL06'!$B$3=N$3,SUMIF('TL06'!$C$10:$C$224,$C127,'TL06'!$J$10:$J$224),0),
IF('TL06'!$B$229=N$3,SUMIF('TL06'!$C$238:$C$451,$C127,'TL06'!$J$238:$J$451),0),
IF('TL07'!$B$3=N$3,SUMIF('TL07'!$C$10:$C$224,$C127,'TL07'!$J$10:$J$224),0),
IF('TL07'!$B$229=N$3,SUMIF('TL07'!$C$238:$C$451,$C127,'TL07'!$J$238:$J$451),0),
IF('TL08'!$B$3=N$3,SUMIF('TL08'!$C$10:$C$224,$C127,'TL08'!$J$10:$J$224),0),
IF('TL08'!$B$229=N$3,SUMIF('TL08'!$C$238:$C$451,$C127,'TL08'!$J$238:$J$451),0),
IF('TL09'!$B$3=N$3,SUMIF('TL09'!$C$10:$C$224,$C127,'TL09'!$J$10:$J$224),0),
IF('TL09'!$B$229=N$3,SUMIF('TL09'!$C$238:$C$451,$C127,'TL09'!$J$238:$J$451),0),
IF('TL10'!$B$3=N$3,SUMIF('TL10'!$C$10:$C$224,$C127,'TL10'!$J$10:$J$224),0),
IF('TL10'!$B$229=N$3,SUMIF('TL10'!$C$238:$C$451,$C127,'TL10'!$J$238:$J$451),0),
IF('TL11'!$B$3=N$3,SUMIF('TL11'!$C$10:$C$224,$C127,'TL11'!$J$10:$J$224),0),
IF('TL11'!$B$229=N$3,SUMIF('TL11'!$C$238:$C$451,$C127,'TL11'!$J$238:$J$451),0),
IF('TL12'!$B$3=N$3,SUMIF('TL12'!$C$10:$C$224,$C127,'TL12'!$J$10:$J$224),0),
IF('TL12'!$B$229=N$3,SUMIF('TL12'!$C$238:$C$451,$C127,'TL12'!$J$238:$J$451),0),
IF('TL13'!$B$3=N$3,SUMIF('TL13'!$C$10:$C$224,$C127,'TL13'!$J$10:$J$224),0),
IF('TL13'!$B$229=N$3,SUMIF('TL13'!$C$238:$C$451,$C127,'TL13'!$J$238:$J$451),0),
IF('TL14'!$B$3=N$3,SUMIF('TL14'!$C$10:$C$224,$C127,'TL14'!$J$10:$J$224),0),
IF('TL14'!$B$229=N$3,SUMIF('TL14'!$C$238:$C$451,$C127,'TL14'!$J$238:$J$451),0),
IF('TL15'!$B$3=N$3,SUMIF('TL15'!$C$10:$C$224,$C127,'TL15'!$J$10:$J$224),0),
IF('TL15'!$B$229=N$3,SUMIF('TL15'!$C$238:$C$451,$C127,'TL15'!$J$238:$J$451),0),
IF('TL16'!$B$3=N$3,SUMIF('TL16'!$C$10:$C$224,$C127,'TL16'!$J$10:$J$224),0),
IF('TL16'!$B$229=N$3,SUMIF('TL16'!$C$238:$C$451,$C127,'TL16'!$J$238:$J$451),0),
IF('TL17'!$B$3=N$3,SUMIF('TL17'!$C$10:$C$224,$C127,'TL17'!$J$10:$J$224),0),
IF('TL17'!$B$229=N$3,SUMIF('TL17'!$C$238:$C$451,$C127,'TL17'!$J$238:$J$451),0),
IF('TL18'!$B$3=N$3,SUMIF('TL18'!$C$10:$C$224,$C127,'TL18'!$J$10:$J$224),0),
IF('TL18'!$B$229=N$3,SUMIF('TL18'!$C$238:$C$451,$C127,'TL18'!$J$238:$J$451),0),
IF('TL19'!$B$3=N$3,SUMIF('TL19'!$C$10:$C$224,$C127,'TL19'!$J$10:$J$224),0),
IF('TL19'!$B$229=N$3,SUMIF('TL19'!$C$238:$C$451,$C127,'TL19'!$J$238:$J$451),0)
),0)</f>
        <v>0</v>
      </c>
      <c r="O127" s="9">
        <f>IFERROR(SUM(
IF('TL01'!$B$3=O$3,SUMIF('TL01'!$C$10:$C$224,$C127,'TL01'!$J$10:$J$224),0),
IF('TL01'!$B$229=O$3,SUMIF('TL01'!$C$238:$C$451,$C127,'TL01'!$J$238:$J$451),0),
IF('TL02'!$B$3=O$3,SUMIF('TL02'!$C$10:$C$224,$C127,'TL02'!$J$10:$J$224),0),
IF('TL02'!$B$229=O$3,SUMIF('TL02'!$C$238:$C$451,$C127,'TL02'!$J$238:$J$451),0),
IF('TL03'!$B$3=O$3,SUMIF('TL03'!$C$10:$C$224,$C127,'TL03'!$J$10:$J$224),0),
IF('TL03'!$B$229=O$3,SUMIF('TL03'!$C$238:$C$451,$C127,'TL03'!$J$238:$J$451),0),
IF('TL04'!$B$3=O$3,SUMIF('TL04'!$C$10:$C$224,$C127,'TL04'!$J$10:$J$224),0),
IF('TL04'!$B$229=O$3,SUMIF('TL04'!$C$238:$C$451,$C127,'TL04'!$J$238:$J$451),0),
IF('TL05'!$B$3=O$3,SUMIF('TL05'!$C$10:$C$224,$C127,'TL05'!$J$10:$J$224),0),
IF('TL05'!$B$229=O$3,SUMIF('TL05'!$C$238:$C$451,$C127,'TL05'!$J$238:$J$451),0),
IF('TL06'!$B$3=O$3,SUMIF('TL06'!$C$10:$C$224,$C127,'TL06'!$J$10:$J$224),0),
IF('TL06'!$B$229=O$3,SUMIF('TL06'!$C$238:$C$451,$C127,'TL06'!$J$238:$J$451),0),
IF('TL07'!$B$3=O$3,SUMIF('TL07'!$C$10:$C$224,$C127,'TL07'!$J$10:$J$224),0),
IF('TL07'!$B$229=O$3,SUMIF('TL07'!$C$238:$C$451,$C127,'TL07'!$J$238:$J$451),0),
IF('TL08'!$B$3=O$3,SUMIF('TL08'!$C$10:$C$224,$C127,'TL08'!$J$10:$J$224),0),
IF('TL08'!$B$229=O$3,SUMIF('TL08'!$C$238:$C$451,$C127,'TL08'!$J$238:$J$451),0),
IF('TL09'!$B$3=O$3,SUMIF('TL09'!$C$10:$C$224,$C127,'TL09'!$J$10:$J$224),0),
IF('TL09'!$B$229=O$3,SUMIF('TL09'!$C$238:$C$451,$C127,'TL09'!$J$238:$J$451),0),
IF('TL10'!$B$3=O$3,SUMIF('TL10'!$C$10:$C$224,$C127,'TL10'!$J$10:$J$224),0),
IF('TL10'!$B$229=O$3,SUMIF('TL10'!$C$238:$C$451,$C127,'TL10'!$J$238:$J$451),0),
IF('TL11'!$B$3=O$3,SUMIF('TL11'!$C$10:$C$224,$C127,'TL11'!$J$10:$J$224),0),
IF('TL11'!$B$229=O$3,SUMIF('TL11'!$C$238:$C$451,$C127,'TL11'!$J$238:$J$451),0),
IF('TL12'!$B$3=O$3,SUMIF('TL12'!$C$10:$C$224,$C127,'TL12'!$J$10:$J$224),0),
IF('TL12'!$B$229=O$3,SUMIF('TL12'!$C$238:$C$451,$C127,'TL12'!$J$238:$J$451),0),
IF('TL13'!$B$3=O$3,SUMIF('TL13'!$C$10:$C$224,$C127,'TL13'!$J$10:$J$224),0),
IF('TL13'!$B$229=O$3,SUMIF('TL13'!$C$238:$C$451,$C127,'TL13'!$J$238:$J$451),0),
IF('TL14'!$B$3=O$3,SUMIF('TL14'!$C$10:$C$224,$C127,'TL14'!$J$10:$J$224),0),
IF('TL14'!$B$229=O$3,SUMIF('TL14'!$C$238:$C$451,$C127,'TL14'!$J$238:$J$451),0),
IF('TL15'!$B$3=O$3,SUMIF('TL15'!$C$10:$C$224,$C127,'TL15'!$J$10:$J$224),0),
IF('TL15'!$B$229=O$3,SUMIF('TL15'!$C$238:$C$451,$C127,'TL15'!$J$238:$J$451),0),
IF('TL16'!$B$3=O$3,SUMIF('TL16'!$C$10:$C$224,$C127,'TL16'!$J$10:$J$224),0),
IF('TL16'!$B$229=O$3,SUMIF('TL16'!$C$238:$C$451,$C127,'TL16'!$J$238:$J$451),0),
IF('TL17'!$B$3=O$3,SUMIF('TL17'!$C$10:$C$224,$C127,'TL17'!$J$10:$J$224),0),
IF('TL17'!$B$229=O$3,SUMIF('TL17'!$C$238:$C$451,$C127,'TL17'!$J$238:$J$451),0),
IF('TL18'!$B$3=O$3,SUMIF('TL18'!$C$10:$C$224,$C127,'TL18'!$J$10:$J$224),0),
IF('TL18'!$B$229=O$3,SUMIF('TL18'!$C$238:$C$451,$C127,'TL18'!$J$238:$J$451),0),
IF('TL19'!$B$3=O$3,SUMIF('TL19'!$C$10:$C$224,$C127,'TL19'!$J$10:$J$224),0),
IF('TL19'!$B$229=O$3,SUMIF('TL19'!$C$238:$C$451,$C127,'TL19'!$J$238:$J$451),0)
),0)</f>
        <v>0</v>
      </c>
      <c r="P127" s="9">
        <f>IFERROR(SUM(
IF('TL01'!$B$3=P$3,SUMIF('TL01'!$C$10:$C$224,$C127,'TL01'!$J$10:$J$224),0),
IF('TL01'!$B$229=P$3,SUMIF('TL01'!$C$238:$C$451,$C127,'TL01'!$J$238:$J$451),0),
IF('TL02'!$B$3=P$3,SUMIF('TL02'!$C$10:$C$224,$C127,'TL02'!$J$10:$J$224),0),
IF('TL02'!$B$229=P$3,SUMIF('TL02'!$C$238:$C$451,$C127,'TL02'!$J$238:$J$451),0),
IF('TL03'!$B$3=P$3,SUMIF('TL03'!$C$10:$C$224,$C127,'TL03'!$J$10:$J$224),0),
IF('TL03'!$B$229=P$3,SUMIF('TL03'!$C$238:$C$451,$C127,'TL03'!$J$238:$J$451),0),
IF('TL04'!$B$3=P$3,SUMIF('TL04'!$C$10:$C$224,$C127,'TL04'!$J$10:$J$224),0),
IF('TL04'!$B$229=P$3,SUMIF('TL04'!$C$238:$C$451,$C127,'TL04'!$J$238:$J$451),0),
IF('TL05'!$B$3=P$3,SUMIF('TL05'!$C$10:$C$224,$C127,'TL05'!$J$10:$J$224),0),
IF('TL05'!$B$229=P$3,SUMIF('TL05'!$C$238:$C$451,$C127,'TL05'!$J$238:$J$451),0),
IF('TL06'!$B$3=P$3,SUMIF('TL06'!$C$10:$C$224,$C127,'TL06'!$J$10:$J$224),0),
IF('TL06'!$B$229=P$3,SUMIF('TL06'!$C$238:$C$451,$C127,'TL06'!$J$238:$J$451),0),
IF('TL07'!$B$3=P$3,SUMIF('TL07'!$C$10:$C$224,$C127,'TL07'!$J$10:$J$224),0),
IF('TL07'!$B$229=P$3,SUMIF('TL07'!$C$238:$C$451,$C127,'TL07'!$J$238:$J$451),0),
IF('TL08'!$B$3=P$3,SUMIF('TL08'!$C$10:$C$224,$C127,'TL08'!$J$10:$J$224),0),
IF('TL08'!$B$229=P$3,SUMIF('TL08'!$C$238:$C$451,$C127,'TL08'!$J$238:$J$451),0),
IF('TL09'!$B$3=P$3,SUMIF('TL09'!$C$10:$C$224,$C127,'TL09'!$J$10:$J$224),0),
IF('TL09'!$B$229=P$3,SUMIF('TL09'!$C$238:$C$451,$C127,'TL09'!$J$238:$J$451),0),
IF('TL10'!$B$3=P$3,SUMIF('TL10'!$C$10:$C$224,$C127,'TL10'!$J$10:$J$224),0),
IF('TL10'!$B$229=P$3,SUMIF('TL10'!$C$238:$C$451,$C127,'TL10'!$J$238:$J$451),0),
IF('TL11'!$B$3=P$3,SUMIF('TL11'!$C$10:$C$224,$C127,'TL11'!$J$10:$J$224),0),
IF('TL11'!$B$229=P$3,SUMIF('TL11'!$C$238:$C$451,$C127,'TL11'!$J$238:$J$451),0),
IF('TL12'!$B$3=P$3,SUMIF('TL12'!$C$10:$C$224,$C127,'TL12'!$J$10:$J$224),0),
IF('TL12'!$B$229=P$3,SUMIF('TL12'!$C$238:$C$451,$C127,'TL12'!$J$238:$J$451),0),
IF('TL13'!$B$3=P$3,SUMIF('TL13'!$C$10:$C$224,$C127,'TL13'!$J$10:$J$224),0),
IF('TL13'!$B$229=P$3,SUMIF('TL13'!$C$238:$C$451,$C127,'TL13'!$J$238:$J$451),0),
IF('TL14'!$B$3=P$3,SUMIF('TL14'!$C$10:$C$224,$C127,'TL14'!$J$10:$J$224),0),
IF('TL14'!$B$229=P$3,SUMIF('TL14'!$C$238:$C$451,$C127,'TL14'!$J$238:$J$451),0),
IF('TL15'!$B$3=P$3,SUMIF('TL15'!$C$10:$C$224,$C127,'TL15'!$J$10:$J$224),0),
IF('TL15'!$B$229=P$3,SUMIF('TL15'!$C$238:$C$451,$C127,'TL15'!$J$238:$J$451),0),
IF('TL16'!$B$3=P$3,SUMIF('TL16'!$C$10:$C$224,$C127,'TL16'!$J$10:$J$224),0),
IF('TL16'!$B$229=P$3,SUMIF('TL16'!$C$238:$C$451,$C127,'TL16'!$J$238:$J$451),0),
IF('TL17'!$B$3=P$3,SUMIF('TL17'!$C$10:$C$224,$C127,'TL17'!$J$10:$J$224),0),
IF('TL17'!$B$229=P$3,SUMIF('TL17'!$C$238:$C$451,$C127,'TL17'!$J$238:$J$451),0),
IF('TL18'!$B$3=P$3,SUMIF('TL18'!$C$10:$C$224,$C127,'TL18'!$J$10:$J$224),0),
IF('TL18'!$B$229=P$3,SUMIF('TL18'!$C$238:$C$451,$C127,'TL18'!$J$238:$J$451),0),
IF('TL19'!$B$3=P$3,SUMIF('TL19'!$C$10:$C$224,$C127,'TL19'!$J$10:$J$224),0),
IF('TL19'!$B$229=P$3,SUMIF('TL19'!$C$238:$C$451,$C127,'TL19'!$J$238:$J$451),0)
),0)</f>
        <v>0</v>
      </c>
      <c r="Q127" s="9">
        <f>IFERROR(SUM(
IF('TL01'!$B$3=Q$3,SUMIF('TL01'!$C$10:$C$224,$C127,'TL01'!$J$10:$J$224),0),
IF('TL01'!$B$229=Q$3,SUMIF('TL01'!$C$238:$C$451,$C127,'TL01'!$J$238:$J$451),0),
IF('TL02'!$B$3=Q$3,SUMIF('TL02'!$C$10:$C$224,$C127,'TL02'!$J$10:$J$224),0),
IF('TL02'!$B$229=Q$3,SUMIF('TL02'!$C$238:$C$451,$C127,'TL02'!$J$238:$J$451),0),
IF('TL03'!$B$3=Q$3,SUMIF('TL03'!$C$10:$C$224,$C127,'TL03'!$J$10:$J$224),0),
IF('TL03'!$B$229=Q$3,SUMIF('TL03'!$C$238:$C$451,$C127,'TL03'!$J$238:$J$451),0),
IF('TL04'!$B$3=Q$3,SUMIF('TL04'!$C$10:$C$224,$C127,'TL04'!$J$10:$J$224),0),
IF('TL04'!$B$229=Q$3,SUMIF('TL04'!$C$238:$C$451,$C127,'TL04'!$J$238:$J$451),0),
IF('TL05'!$B$3=Q$3,SUMIF('TL05'!$C$10:$C$224,$C127,'TL05'!$J$10:$J$224),0),
IF('TL05'!$B$229=Q$3,SUMIF('TL05'!$C$238:$C$451,$C127,'TL05'!$J$238:$J$451),0),
IF('TL06'!$B$3=Q$3,SUMIF('TL06'!$C$10:$C$224,$C127,'TL06'!$J$10:$J$224),0),
IF('TL06'!$B$229=Q$3,SUMIF('TL06'!$C$238:$C$451,$C127,'TL06'!$J$238:$J$451),0),
IF('TL07'!$B$3=Q$3,SUMIF('TL07'!$C$10:$C$224,$C127,'TL07'!$J$10:$J$224),0),
IF('TL07'!$B$229=Q$3,SUMIF('TL07'!$C$238:$C$451,$C127,'TL07'!$J$238:$J$451),0),
IF('TL08'!$B$3=Q$3,SUMIF('TL08'!$C$10:$C$224,$C127,'TL08'!$J$10:$J$224),0),
IF('TL08'!$B$229=Q$3,SUMIF('TL08'!$C$238:$C$451,$C127,'TL08'!$J$238:$J$451),0),
IF('TL09'!$B$3=Q$3,SUMIF('TL09'!$C$10:$C$224,$C127,'TL09'!$J$10:$J$224),0),
IF('TL09'!$B$229=Q$3,SUMIF('TL09'!$C$238:$C$451,$C127,'TL09'!$J$238:$J$451),0),
IF('TL10'!$B$3=Q$3,SUMIF('TL10'!$C$10:$C$224,$C127,'TL10'!$J$10:$J$224),0),
IF('TL10'!$B$229=Q$3,SUMIF('TL10'!$C$238:$C$451,$C127,'TL10'!$J$238:$J$451),0),
IF('TL11'!$B$3=Q$3,SUMIF('TL11'!$C$10:$C$224,$C127,'TL11'!$J$10:$J$224),0),
IF('TL11'!$B$229=Q$3,SUMIF('TL11'!$C$238:$C$451,$C127,'TL11'!$J$238:$J$451),0),
IF('TL12'!$B$3=Q$3,SUMIF('TL12'!$C$10:$C$224,$C127,'TL12'!$J$10:$J$224),0),
IF('TL12'!$B$229=Q$3,SUMIF('TL12'!$C$238:$C$451,$C127,'TL12'!$J$238:$J$451),0),
IF('TL13'!$B$3=Q$3,SUMIF('TL13'!$C$10:$C$224,$C127,'TL13'!$J$10:$J$224),0),
IF('TL13'!$B$229=Q$3,SUMIF('TL13'!$C$238:$C$451,$C127,'TL13'!$J$238:$J$451),0),
IF('TL14'!$B$3=Q$3,SUMIF('TL14'!$C$10:$C$224,$C127,'TL14'!$J$10:$J$224),0),
IF('TL14'!$B$229=Q$3,SUMIF('TL14'!$C$238:$C$451,$C127,'TL14'!$J$238:$J$451),0),
IF('TL15'!$B$3=Q$3,SUMIF('TL15'!$C$10:$C$224,$C127,'TL15'!$J$10:$J$224),0),
IF('TL15'!$B$229=Q$3,SUMIF('TL15'!$C$238:$C$451,$C127,'TL15'!$J$238:$J$451),0),
IF('TL16'!$B$3=Q$3,SUMIF('TL16'!$C$10:$C$224,$C127,'TL16'!$J$10:$J$224),0),
IF('TL16'!$B$229=Q$3,SUMIF('TL16'!$C$238:$C$451,$C127,'TL16'!$J$238:$J$451),0),
IF('TL17'!$B$3=Q$3,SUMIF('TL17'!$C$10:$C$224,$C127,'TL17'!$J$10:$J$224),0),
IF('TL17'!$B$229=Q$3,SUMIF('TL17'!$C$238:$C$451,$C127,'TL17'!$J$238:$J$451),0),
IF('TL18'!$B$3=Q$3,SUMIF('TL18'!$C$10:$C$224,$C127,'TL18'!$J$10:$J$224),0),
IF('TL18'!$B$229=Q$3,SUMIF('TL18'!$C$238:$C$451,$C127,'TL18'!$J$238:$J$451),0),
IF('TL19'!$B$3=Q$3,SUMIF('TL19'!$C$10:$C$224,$C127,'TL19'!$J$10:$J$224),0),
IF('TL19'!$B$229=Q$3,SUMIF('TL19'!$C$238:$C$451,$C127,'TL19'!$J$238:$J$451),0)
),0)</f>
        <v>0</v>
      </c>
      <c r="R127" s="9">
        <f>IFERROR(
SUM(
SUMIF('TL01'!C:C,C127,'TL01'!J:J),
SUMIF('TL02'!C:C,C127,'TL02'!J:J),
SUMIF('TL03'!C:C,C127,'TL03'!J:J),
SUMIF('TL04'!C:C,C127,'TL04'!J:J),
SUMIF('TL05'!C:C,C127,'TL05'!J:J),
SUMIF('TL06'!C:C,C127,'TL06'!J:J),
SUMIF('TL07'!C:C,C127,'TL07'!J:J),
SUMIF('TL08'!C:C,C127,'TL08'!J:J),
SUMIF('TL09'!C:C,C127,'TL09'!J:J),
SUMIF('TL10'!C:C,C127,'TL10'!J:J),
SUMIF('TL11'!C:C,C127,'TL11'!J:J),
SUMIF('TL12'!C:C,C127,'TL12'!J:J),
SUMIF('TL13'!C:C,C127,'TL13'!J:J),
SUMIF('TL14'!C:C,C127,'TL14'!J:J),
SUMIF('TL15'!C:C,C127,'TL15'!J:J),
SUMIF('TL16'!C:C,C127,'TL16'!J:J),
SUMIF('TL17'!C:C,C127,'TL17'!J:J),
SUMIF('TL18'!C:C,C127,'TL18'!J:J),SUMIF('TL19'!C:C,C127,'TL19'!J:J))
,0)</f>
        <v>0</v>
      </c>
      <c r="S127" s="17">
        <f>IFERROR(__xludf.DUMMYFUNCTION("IFERROR(VLOOKUP(C127,
IMPORTRANGE(""1wULbzX32WdYsx-lj2U3uUNBBe2INVIRDtcK0d-Dvl90"",
""26-27!C:G""),
5,
FALSE),
"""")"),148.4632)</f>
        <v>148.4632</v>
      </c>
      <c r="T127" s="9"/>
      <c r="U127" s="92">
        <f t="shared" si="2"/>
        <v>0</v>
      </c>
      <c r="V127" s="93">
        <f t="shared" si="3"/>
        <v>0</v>
      </c>
    </row>
    <row r="128" ht="15.75" hidden="1" customHeight="1">
      <c r="A128" s="115" t="s">
        <v>353</v>
      </c>
      <c r="B128" s="100" t="s">
        <v>1</v>
      </c>
      <c r="C128" s="116" t="s">
        <v>657</v>
      </c>
      <c r="D128" s="116" t="s">
        <v>658</v>
      </c>
      <c r="E128" s="116">
        <v>180.0</v>
      </c>
      <c r="F128" s="4" t="s">
        <v>392</v>
      </c>
      <c r="G128" s="90" t="str">
        <f t="shared" si="4"/>
        <v>📄 Ver bula</v>
      </c>
      <c r="H128" s="9" t="str">
        <f>IFERROR(__xludf.DUMMYFUNCTION("IFERROR(VLOOKUP(C128,
IMPORTRANGE(""1wULbzX32WdYsx-lj2U3uUNBBe2INVIRDtcK0d-Dvl90"",
""26-27!C:K""),
8,
FALSE),
"""")"),"")</f>
        <v/>
      </c>
      <c r="I128" s="117" t="s">
        <v>344</v>
      </c>
      <c r="J128" s="9">
        <f>IFERROR(SUM(
IF('TL01'!$B$3=J$3,SUMIF('TL01'!$C$10:$C$224,$C128,'TL01'!$J$10:$J$224),0),
IF('TL01'!$B$229=J$3,SUMIF('TL01'!$C$238:$C$451,$C128,'TL01'!$J$238:$J$451),0),
IF('TL02'!$B$3=J$3,SUMIF('TL02'!$C$10:$C$224,$C128,'TL02'!$J$10:$J$224),0),
IF('TL02'!$B$229=J$3,SUMIF('TL02'!$C$238:$C$451,$C128,'TL02'!$J$238:$J$451),0),
IF('TL03'!$B$3=J$3,SUMIF('TL03'!$C$10:$C$224,$C128,'TL03'!$J$10:$J$224),0),
IF('TL03'!$B$229=J$3,SUMIF('TL03'!$C$238:$C$451,$C128,'TL03'!$J$238:$J$451),0),
IF('TL04'!$B$3=J$3,SUMIF('TL04'!$C$10:$C$224,$C128,'TL04'!$J$10:$J$224),0),
IF('TL04'!$B$229=J$3,SUMIF('TL04'!$C$238:$C$451,$C128,'TL04'!$J$238:$J$451),0),
IF('TL05'!$B$3=J$3,SUMIF('TL05'!$C$10:$C$224,$C128,'TL05'!$J$10:$J$224),0),
IF('TL05'!$B$229=J$3,SUMIF('TL05'!$C$238:$C$451,$C128,'TL05'!$J$238:$J$451),0),
IF('TL06'!$B$3=J$3,SUMIF('TL06'!$C$10:$C$224,$C128,'TL06'!$J$10:$J$224),0),
IF('TL06'!$B$229=J$3,SUMIF('TL06'!$C$238:$C$451,$C128,'TL06'!$J$238:$J$451),0),
IF('TL07'!$B$3=J$3,SUMIF('TL07'!$C$10:$C$224,$C128,'TL07'!$J$10:$J$224),0),
IF('TL07'!$B$229=J$3,SUMIF('TL07'!$C$238:$C$451,$C128,'TL07'!$J$238:$J$451),0),
IF('TL08'!$B$3=J$3,SUMIF('TL08'!$C$10:$C$224,$C128,'TL08'!$J$10:$J$224),0),
IF('TL08'!$B$229=J$3,SUMIF('TL08'!$C$238:$C$451,$C128,'TL08'!$J$238:$J$451),0),
IF('TL09'!$B$3=J$3,SUMIF('TL09'!$C$10:$C$224,$C128,'TL09'!$J$10:$J$224),0),
IF('TL09'!$B$229=J$3,SUMIF('TL09'!$C$238:$C$451,$C128,'TL09'!$J$238:$J$451),0),
IF('TL10'!$B$3=J$3,SUMIF('TL10'!$C$10:$C$224,$C128,'TL10'!$J$10:$J$224),0),
IF('TL10'!$B$229=J$3,SUMIF('TL10'!$C$238:$C$451,$C128,'TL10'!$J$238:$J$451),0),
IF('TL11'!$B$3=J$3,SUMIF('TL11'!$C$10:$C$224,$C128,'TL11'!$J$10:$J$224),0),
IF('TL11'!$B$229=J$3,SUMIF('TL11'!$C$238:$C$451,$C128,'TL11'!$J$238:$J$451),0),
IF('TL12'!$B$3=J$3,SUMIF('TL12'!$C$10:$C$224,$C128,'TL12'!$J$10:$J$224),0),
IF('TL12'!$B$229=J$3,SUMIF('TL12'!$C$238:$C$451,$C128,'TL12'!$J$238:$J$451),0),
IF('TL13'!$B$3=J$3,SUMIF('TL13'!$C$10:$C$224,$C128,'TL13'!$J$10:$J$224),0),
IF('TL13'!$B$229=J$3,SUMIF('TL13'!$C$238:$C$451,$C128,'TL13'!$J$238:$J$451),0),
IF('TL14'!$B$3=J$3,SUMIF('TL14'!$C$10:$C$224,$C128,'TL14'!$J$10:$J$224),0),
IF('TL14'!$B$229=J$3,SUMIF('TL14'!$C$238:$C$451,$C128,'TL14'!$J$238:$J$451),0),
IF('TL15'!$B$3=J$3,SUMIF('TL15'!$C$10:$C$224,$C128,'TL15'!$J$10:$J$224),0),
IF('TL15'!$B$229=J$3,SUMIF('TL15'!$C$238:$C$451,$C128,'TL15'!$J$238:$J$451),0),
IF('TL16'!$B$3=J$3,SUMIF('TL16'!$C$10:$C$224,$C128,'TL16'!$J$10:$J$224),0),
IF('TL16'!$B$229=J$3,SUMIF('TL16'!$C$238:$C$451,$C128,'TL16'!$J$238:$J$451),0),
IF('TL17'!$B$3=J$3,SUMIF('TL17'!$C$10:$C$224,$C128,'TL17'!$J$10:$J$224),0),
IF('TL17'!$B$229=J$3,SUMIF('TL17'!$C$238:$C$451,$C128,'TL17'!$J$238:$J$451),0),
IF('TL18'!$B$3=J$3,SUMIF('TL18'!$C$10:$C$224,$C128,'TL18'!$J$10:$J$224),0),
IF('TL18'!$B$229=J$3,SUMIF('TL18'!$C$238:$C$451,$C128,'TL18'!$J$238:$J$451),0),
IF('TL19'!$B$3=J$3,SUMIF('TL19'!$C$10:$C$224,$C128,'TL19'!$J$10:$J$224),0),
IF('TL19'!$B$229=J$3,SUMIF('TL19'!$C$238:$C$451,$C128,'TL19'!$J$238:$J$451),0)
),0)</f>
        <v>0</v>
      </c>
      <c r="K128" s="9">
        <f>IFERROR(SUM(
IF('TL01'!$B$3=K$3,SUMIF('TL01'!$C$10:$C$224,$C128,'TL01'!$J$10:$J$224),0),
IF('TL01'!$B$229=K$3,SUMIF('TL01'!$C$238:$C$451,$C128,'TL01'!$J$238:$J$451),0),
IF('TL02'!$B$3=K$3,SUMIF('TL02'!$C$10:$C$224,$C128,'TL02'!$J$10:$J$224),0),
IF('TL02'!$B$229=K$3,SUMIF('TL02'!$C$238:$C$451,$C128,'TL02'!$J$238:$J$451),0),
IF('TL03'!$B$3=K$3,SUMIF('TL03'!$C$10:$C$224,$C128,'TL03'!$J$10:$J$224),0),
IF('TL03'!$B$229=K$3,SUMIF('TL03'!$C$238:$C$451,$C128,'TL03'!$J$238:$J$451),0),
IF('TL04'!$B$3=K$3,SUMIF('TL04'!$C$10:$C$224,$C128,'TL04'!$J$10:$J$224),0),
IF('TL04'!$B$229=K$3,SUMIF('TL04'!$C$238:$C$451,$C128,'TL04'!$J$238:$J$451),0),
IF('TL05'!$B$3=K$3,SUMIF('TL05'!$C$10:$C$224,$C128,'TL05'!$J$10:$J$224),0),
IF('TL05'!$B$229=K$3,SUMIF('TL05'!$C$238:$C$451,$C128,'TL05'!$J$238:$J$451),0),
IF('TL06'!$B$3=K$3,SUMIF('TL06'!$C$10:$C$224,$C128,'TL06'!$J$10:$J$224),0),
IF('TL06'!$B$229=K$3,SUMIF('TL06'!$C$238:$C$451,$C128,'TL06'!$J$238:$J$451),0),
IF('TL07'!$B$3=K$3,SUMIF('TL07'!$C$10:$C$224,$C128,'TL07'!$J$10:$J$224),0),
IF('TL07'!$B$229=K$3,SUMIF('TL07'!$C$238:$C$451,$C128,'TL07'!$J$238:$J$451),0),
IF('TL08'!$B$3=K$3,SUMIF('TL08'!$C$10:$C$224,$C128,'TL08'!$J$10:$J$224),0),
IF('TL08'!$B$229=K$3,SUMIF('TL08'!$C$238:$C$451,$C128,'TL08'!$J$238:$J$451),0),
IF('TL09'!$B$3=K$3,SUMIF('TL09'!$C$10:$C$224,$C128,'TL09'!$J$10:$J$224),0),
IF('TL09'!$B$229=K$3,SUMIF('TL09'!$C$238:$C$451,$C128,'TL09'!$J$238:$J$451),0),
IF('TL10'!$B$3=K$3,SUMIF('TL10'!$C$10:$C$224,$C128,'TL10'!$J$10:$J$224),0),
IF('TL10'!$B$229=K$3,SUMIF('TL10'!$C$238:$C$451,$C128,'TL10'!$J$238:$J$451),0),
IF('TL11'!$B$3=K$3,SUMIF('TL11'!$C$10:$C$224,$C128,'TL11'!$J$10:$J$224),0),
IF('TL11'!$B$229=K$3,SUMIF('TL11'!$C$238:$C$451,$C128,'TL11'!$J$238:$J$451),0),
IF('TL12'!$B$3=K$3,SUMIF('TL12'!$C$10:$C$224,$C128,'TL12'!$J$10:$J$224),0),
IF('TL12'!$B$229=K$3,SUMIF('TL12'!$C$238:$C$451,$C128,'TL12'!$J$238:$J$451),0),
IF('TL13'!$B$3=K$3,SUMIF('TL13'!$C$10:$C$224,$C128,'TL13'!$J$10:$J$224),0),
IF('TL13'!$B$229=K$3,SUMIF('TL13'!$C$238:$C$451,$C128,'TL13'!$J$238:$J$451),0),
IF('TL14'!$B$3=K$3,SUMIF('TL14'!$C$10:$C$224,$C128,'TL14'!$J$10:$J$224),0),
IF('TL14'!$B$229=K$3,SUMIF('TL14'!$C$238:$C$451,$C128,'TL14'!$J$238:$J$451),0),
IF('TL15'!$B$3=K$3,SUMIF('TL15'!$C$10:$C$224,$C128,'TL15'!$J$10:$J$224),0),
IF('TL15'!$B$229=K$3,SUMIF('TL15'!$C$238:$C$451,$C128,'TL15'!$J$238:$J$451),0),
IF('TL16'!$B$3=K$3,SUMIF('TL16'!$C$10:$C$224,$C128,'TL16'!$J$10:$J$224),0),
IF('TL16'!$B$229=K$3,SUMIF('TL16'!$C$238:$C$451,$C128,'TL16'!$J$238:$J$451),0),
IF('TL17'!$B$3=K$3,SUMIF('TL17'!$C$10:$C$224,$C128,'TL17'!$J$10:$J$224),0),
IF('TL17'!$B$229=K$3,SUMIF('TL17'!$C$238:$C$451,$C128,'TL17'!$J$238:$J$451),0),
IF('TL18'!$B$3=K$3,SUMIF('TL18'!$C$10:$C$224,$C128,'TL18'!$J$10:$J$224),0),
IF('TL18'!$B$229=K$3,SUMIF('TL18'!$C$238:$C$451,$C128,'TL18'!$J$238:$J$451),0),
IF('TL19'!$B$3=K$3,SUMIF('TL19'!$C$10:$C$224,$C128,'TL19'!$J$10:$J$224),0),
IF('TL19'!$B$229=K$3,SUMIF('TL19'!$C$238:$C$451,$C128,'TL19'!$J$238:$J$451),0)
),0)</f>
        <v>0</v>
      </c>
      <c r="L128" s="9">
        <f>IFERROR(SUM(
IF('TL01'!$B$3=L$3,SUMIF('TL01'!$C$10:$C$224,$C128,'TL01'!$J$10:$J$224),0),
IF('TL01'!$B$229=L$3,SUMIF('TL01'!$C$238:$C$451,$C128,'TL01'!$J$238:$J$451),0),
IF('TL02'!$B$3=L$3,SUMIF('TL02'!$C$10:$C$224,$C128,'TL02'!$J$10:$J$224),0),
IF('TL02'!$B$229=L$3,SUMIF('TL02'!$C$238:$C$451,$C128,'TL02'!$J$238:$J$451),0),
IF('TL03'!$B$3=L$3,SUMIF('TL03'!$C$10:$C$224,$C128,'TL03'!$J$10:$J$224),0),
IF('TL03'!$B$229=L$3,SUMIF('TL03'!$C$238:$C$451,$C128,'TL03'!$J$238:$J$451),0),
IF('TL04'!$B$3=L$3,SUMIF('TL04'!$C$10:$C$224,$C128,'TL04'!$J$10:$J$224),0),
IF('TL04'!$B$229=L$3,SUMIF('TL04'!$C$238:$C$451,$C128,'TL04'!$J$238:$J$451),0),
IF('TL05'!$B$3=L$3,SUMIF('TL05'!$C$10:$C$224,$C128,'TL05'!$J$10:$J$224),0),
IF('TL05'!$B$229=L$3,SUMIF('TL05'!$C$238:$C$451,$C128,'TL05'!$J$238:$J$451),0),
IF('TL06'!$B$3=L$3,SUMIF('TL06'!$C$10:$C$224,$C128,'TL06'!$J$10:$J$224),0),
IF('TL06'!$B$229=L$3,SUMIF('TL06'!$C$238:$C$451,$C128,'TL06'!$J$238:$J$451),0),
IF('TL07'!$B$3=L$3,SUMIF('TL07'!$C$10:$C$224,$C128,'TL07'!$J$10:$J$224),0),
IF('TL07'!$B$229=L$3,SUMIF('TL07'!$C$238:$C$451,$C128,'TL07'!$J$238:$J$451),0),
IF('TL08'!$B$3=L$3,SUMIF('TL08'!$C$10:$C$224,$C128,'TL08'!$J$10:$J$224),0),
IF('TL08'!$B$229=L$3,SUMIF('TL08'!$C$238:$C$451,$C128,'TL08'!$J$238:$J$451),0),
IF('TL09'!$B$3=L$3,SUMIF('TL09'!$C$10:$C$224,$C128,'TL09'!$J$10:$J$224),0),
IF('TL09'!$B$229=L$3,SUMIF('TL09'!$C$238:$C$451,$C128,'TL09'!$J$238:$J$451),0),
IF('TL10'!$B$3=L$3,SUMIF('TL10'!$C$10:$C$224,$C128,'TL10'!$J$10:$J$224),0),
IF('TL10'!$B$229=L$3,SUMIF('TL10'!$C$238:$C$451,$C128,'TL10'!$J$238:$J$451),0),
IF('TL11'!$B$3=L$3,SUMIF('TL11'!$C$10:$C$224,$C128,'TL11'!$J$10:$J$224),0),
IF('TL11'!$B$229=L$3,SUMIF('TL11'!$C$238:$C$451,$C128,'TL11'!$J$238:$J$451),0),
IF('TL12'!$B$3=L$3,SUMIF('TL12'!$C$10:$C$224,$C128,'TL12'!$J$10:$J$224),0),
IF('TL12'!$B$229=L$3,SUMIF('TL12'!$C$238:$C$451,$C128,'TL12'!$J$238:$J$451),0),
IF('TL13'!$B$3=L$3,SUMIF('TL13'!$C$10:$C$224,$C128,'TL13'!$J$10:$J$224),0),
IF('TL13'!$B$229=L$3,SUMIF('TL13'!$C$238:$C$451,$C128,'TL13'!$J$238:$J$451),0),
IF('TL14'!$B$3=L$3,SUMIF('TL14'!$C$10:$C$224,$C128,'TL14'!$J$10:$J$224),0),
IF('TL14'!$B$229=L$3,SUMIF('TL14'!$C$238:$C$451,$C128,'TL14'!$J$238:$J$451),0),
IF('TL15'!$B$3=L$3,SUMIF('TL15'!$C$10:$C$224,$C128,'TL15'!$J$10:$J$224),0),
IF('TL15'!$B$229=L$3,SUMIF('TL15'!$C$238:$C$451,$C128,'TL15'!$J$238:$J$451),0),
IF('TL16'!$B$3=L$3,SUMIF('TL16'!$C$10:$C$224,$C128,'TL16'!$J$10:$J$224),0),
IF('TL16'!$B$229=L$3,SUMIF('TL16'!$C$238:$C$451,$C128,'TL16'!$J$238:$J$451),0),
IF('TL17'!$B$3=L$3,SUMIF('TL17'!$C$10:$C$224,$C128,'TL17'!$J$10:$J$224),0),
IF('TL17'!$B$229=L$3,SUMIF('TL17'!$C$238:$C$451,$C128,'TL17'!$J$238:$J$451),0),
IF('TL18'!$B$3=L$3,SUMIF('TL18'!$C$10:$C$224,$C128,'TL18'!$J$10:$J$224),0),
IF('TL18'!$B$229=L$3,SUMIF('TL18'!$C$238:$C$451,$C128,'TL18'!$J$238:$J$451),0),
IF('TL19'!$B$3=L$3,SUMIF('TL19'!$C$10:$C$224,$C128,'TL19'!$J$10:$J$224),0),
IF('TL19'!$B$229=L$3,SUMIF('TL19'!$C$238:$C$451,$C128,'TL19'!$J$238:$J$451),0)
),0)</f>
        <v>0</v>
      </c>
      <c r="M128" s="9">
        <f>IFERROR(SUM(
IF('TL01'!$B$3=M$3,SUMIF('TL01'!$C$10:$C$224,$C128,'TL01'!$J$10:$J$224),0),
IF('TL01'!$B$229=M$3,SUMIF('TL01'!$C$238:$C$451,$C128,'TL01'!$J$238:$J$451),0),
IF('TL02'!$B$3=M$3,SUMIF('TL02'!$C$10:$C$224,$C128,'TL02'!$J$10:$J$224),0),
IF('TL02'!$B$229=M$3,SUMIF('TL02'!$C$238:$C$451,$C128,'TL02'!$J$238:$J$451),0),
IF('TL03'!$B$3=M$3,SUMIF('TL03'!$C$10:$C$224,$C128,'TL03'!$J$10:$J$224),0),
IF('TL03'!$B$229=M$3,SUMIF('TL03'!$C$238:$C$451,$C128,'TL03'!$J$238:$J$451),0),
IF('TL04'!$B$3=M$3,SUMIF('TL04'!$C$10:$C$224,$C128,'TL04'!$J$10:$J$224),0),
IF('TL04'!$B$229=M$3,SUMIF('TL04'!$C$238:$C$451,$C128,'TL04'!$J$238:$J$451),0),
IF('TL05'!$B$3=M$3,SUMIF('TL05'!$C$10:$C$224,$C128,'TL05'!$J$10:$J$224),0),
IF('TL05'!$B$229=M$3,SUMIF('TL05'!$C$238:$C$451,$C128,'TL05'!$J$238:$J$451),0),
IF('TL06'!$B$3=M$3,SUMIF('TL06'!$C$10:$C$224,$C128,'TL06'!$J$10:$J$224),0),
IF('TL06'!$B$229=M$3,SUMIF('TL06'!$C$238:$C$451,$C128,'TL06'!$J$238:$J$451),0),
IF('TL07'!$B$3=M$3,SUMIF('TL07'!$C$10:$C$224,$C128,'TL07'!$J$10:$J$224),0),
IF('TL07'!$B$229=M$3,SUMIF('TL07'!$C$238:$C$451,$C128,'TL07'!$J$238:$J$451),0),
IF('TL08'!$B$3=M$3,SUMIF('TL08'!$C$10:$C$224,$C128,'TL08'!$J$10:$J$224),0),
IF('TL08'!$B$229=M$3,SUMIF('TL08'!$C$238:$C$451,$C128,'TL08'!$J$238:$J$451),0),
IF('TL09'!$B$3=M$3,SUMIF('TL09'!$C$10:$C$224,$C128,'TL09'!$J$10:$J$224),0),
IF('TL09'!$B$229=M$3,SUMIF('TL09'!$C$238:$C$451,$C128,'TL09'!$J$238:$J$451),0),
IF('TL10'!$B$3=M$3,SUMIF('TL10'!$C$10:$C$224,$C128,'TL10'!$J$10:$J$224),0),
IF('TL10'!$B$229=M$3,SUMIF('TL10'!$C$238:$C$451,$C128,'TL10'!$J$238:$J$451),0),
IF('TL11'!$B$3=M$3,SUMIF('TL11'!$C$10:$C$224,$C128,'TL11'!$J$10:$J$224),0),
IF('TL11'!$B$229=M$3,SUMIF('TL11'!$C$238:$C$451,$C128,'TL11'!$J$238:$J$451),0),
IF('TL12'!$B$3=M$3,SUMIF('TL12'!$C$10:$C$224,$C128,'TL12'!$J$10:$J$224),0),
IF('TL12'!$B$229=M$3,SUMIF('TL12'!$C$238:$C$451,$C128,'TL12'!$J$238:$J$451),0),
IF('TL13'!$B$3=M$3,SUMIF('TL13'!$C$10:$C$224,$C128,'TL13'!$J$10:$J$224),0),
IF('TL13'!$B$229=M$3,SUMIF('TL13'!$C$238:$C$451,$C128,'TL13'!$J$238:$J$451),0),
IF('TL14'!$B$3=M$3,SUMIF('TL14'!$C$10:$C$224,$C128,'TL14'!$J$10:$J$224),0),
IF('TL14'!$B$229=M$3,SUMIF('TL14'!$C$238:$C$451,$C128,'TL14'!$J$238:$J$451),0),
IF('TL15'!$B$3=M$3,SUMIF('TL15'!$C$10:$C$224,$C128,'TL15'!$J$10:$J$224),0),
IF('TL15'!$B$229=M$3,SUMIF('TL15'!$C$238:$C$451,$C128,'TL15'!$J$238:$J$451),0),
IF('TL16'!$B$3=M$3,SUMIF('TL16'!$C$10:$C$224,$C128,'TL16'!$J$10:$J$224),0),
IF('TL16'!$B$229=M$3,SUMIF('TL16'!$C$238:$C$451,$C128,'TL16'!$J$238:$J$451),0),
IF('TL17'!$B$3=M$3,SUMIF('TL17'!$C$10:$C$224,$C128,'TL17'!$J$10:$J$224),0),
IF('TL17'!$B$229=M$3,SUMIF('TL17'!$C$238:$C$451,$C128,'TL17'!$J$238:$J$451),0),
IF('TL18'!$B$3=M$3,SUMIF('TL18'!$C$10:$C$224,$C128,'TL18'!$J$10:$J$224),0),
IF('TL18'!$B$229=M$3,SUMIF('TL18'!$C$238:$C$451,$C128,'TL18'!$J$238:$J$451),0),
IF('TL19'!$B$3=M$3,SUMIF('TL19'!$C$10:$C$224,$C128,'TL19'!$J$10:$J$224),0),
IF('TL19'!$B$229=M$3,SUMIF('TL19'!$C$238:$C$451,$C128,'TL19'!$J$238:$J$451),0)
),0)</f>
        <v>0</v>
      </c>
      <c r="N128" s="9">
        <f>IFERROR(SUM(
IF('TL01'!$B$3=N$3,SUMIF('TL01'!$C$10:$C$224,$C128,'TL01'!$J$10:$J$224),0),
IF('TL01'!$B$229=N$3,SUMIF('TL01'!$C$238:$C$451,$C128,'TL01'!$J$238:$J$451),0),
IF('TL02'!$B$3=N$3,SUMIF('TL02'!$C$10:$C$224,$C128,'TL02'!$J$10:$J$224),0),
IF('TL02'!$B$229=N$3,SUMIF('TL02'!$C$238:$C$451,$C128,'TL02'!$J$238:$J$451),0),
IF('TL03'!$B$3=N$3,SUMIF('TL03'!$C$10:$C$224,$C128,'TL03'!$J$10:$J$224),0),
IF('TL03'!$B$229=N$3,SUMIF('TL03'!$C$238:$C$451,$C128,'TL03'!$J$238:$J$451),0),
IF('TL04'!$B$3=N$3,SUMIF('TL04'!$C$10:$C$224,$C128,'TL04'!$J$10:$J$224),0),
IF('TL04'!$B$229=N$3,SUMIF('TL04'!$C$238:$C$451,$C128,'TL04'!$J$238:$J$451),0),
IF('TL05'!$B$3=N$3,SUMIF('TL05'!$C$10:$C$224,$C128,'TL05'!$J$10:$J$224),0),
IF('TL05'!$B$229=N$3,SUMIF('TL05'!$C$238:$C$451,$C128,'TL05'!$J$238:$J$451),0),
IF('TL06'!$B$3=N$3,SUMIF('TL06'!$C$10:$C$224,$C128,'TL06'!$J$10:$J$224),0),
IF('TL06'!$B$229=N$3,SUMIF('TL06'!$C$238:$C$451,$C128,'TL06'!$J$238:$J$451),0),
IF('TL07'!$B$3=N$3,SUMIF('TL07'!$C$10:$C$224,$C128,'TL07'!$J$10:$J$224),0),
IF('TL07'!$B$229=N$3,SUMIF('TL07'!$C$238:$C$451,$C128,'TL07'!$J$238:$J$451),0),
IF('TL08'!$B$3=N$3,SUMIF('TL08'!$C$10:$C$224,$C128,'TL08'!$J$10:$J$224),0),
IF('TL08'!$B$229=N$3,SUMIF('TL08'!$C$238:$C$451,$C128,'TL08'!$J$238:$J$451),0),
IF('TL09'!$B$3=N$3,SUMIF('TL09'!$C$10:$C$224,$C128,'TL09'!$J$10:$J$224),0),
IF('TL09'!$B$229=N$3,SUMIF('TL09'!$C$238:$C$451,$C128,'TL09'!$J$238:$J$451),0),
IF('TL10'!$B$3=N$3,SUMIF('TL10'!$C$10:$C$224,$C128,'TL10'!$J$10:$J$224),0),
IF('TL10'!$B$229=N$3,SUMIF('TL10'!$C$238:$C$451,$C128,'TL10'!$J$238:$J$451),0),
IF('TL11'!$B$3=N$3,SUMIF('TL11'!$C$10:$C$224,$C128,'TL11'!$J$10:$J$224),0),
IF('TL11'!$B$229=N$3,SUMIF('TL11'!$C$238:$C$451,$C128,'TL11'!$J$238:$J$451),0),
IF('TL12'!$B$3=N$3,SUMIF('TL12'!$C$10:$C$224,$C128,'TL12'!$J$10:$J$224),0),
IF('TL12'!$B$229=N$3,SUMIF('TL12'!$C$238:$C$451,$C128,'TL12'!$J$238:$J$451),0),
IF('TL13'!$B$3=N$3,SUMIF('TL13'!$C$10:$C$224,$C128,'TL13'!$J$10:$J$224),0),
IF('TL13'!$B$229=N$3,SUMIF('TL13'!$C$238:$C$451,$C128,'TL13'!$J$238:$J$451),0),
IF('TL14'!$B$3=N$3,SUMIF('TL14'!$C$10:$C$224,$C128,'TL14'!$J$10:$J$224),0),
IF('TL14'!$B$229=N$3,SUMIF('TL14'!$C$238:$C$451,$C128,'TL14'!$J$238:$J$451),0),
IF('TL15'!$B$3=N$3,SUMIF('TL15'!$C$10:$C$224,$C128,'TL15'!$J$10:$J$224),0),
IF('TL15'!$B$229=N$3,SUMIF('TL15'!$C$238:$C$451,$C128,'TL15'!$J$238:$J$451),0),
IF('TL16'!$B$3=N$3,SUMIF('TL16'!$C$10:$C$224,$C128,'TL16'!$J$10:$J$224),0),
IF('TL16'!$B$229=N$3,SUMIF('TL16'!$C$238:$C$451,$C128,'TL16'!$J$238:$J$451),0),
IF('TL17'!$B$3=N$3,SUMIF('TL17'!$C$10:$C$224,$C128,'TL17'!$J$10:$J$224),0),
IF('TL17'!$B$229=N$3,SUMIF('TL17'!$C$238:$C$451,$C128,'TL17'!$J$238:$J$451),0),
IF('TL18'!$B$3=N$3,SUMIF('TL18'!$C$10:$C$224,$C128,'TL18'!$J$10:$J$224),0),
IF('TL18'!$B$229=N$3,SUMIF('TL18'!$C$238:$C$451,$C128,'TL18'!$J$238:$J$451),0),
IF('TL19'!$B$3=N$3,SUMIF('TL19'!$C$10:$C$224,$C128,'TL19'!$J$10:$J$224),0),
IF('TL19'!$B$229=N$3,SUMIF('TL19'!$C$238:$C$451,$C128,'TL19'!$J$238:$J$451),0)
),0)</f>
        <v>0</v>
      </c>
      <c r="O128" s="9">
        <f>IFERROR(SUM(
IF('TL01'!$B$3=O$3,SUMIF('TL01'!$C$10:$C$224,$C128,'TL01'!$J$10:$J$224),0),
IF('TL01'!$B$229=O$3,SUMIF('TL01'!$C$238:$C$451,$C128,'TL01'!$J$238:$J$451),0),
IF('TL02'!$B$3=O$3,SUMIF('TL02'!$C$10:$C$224,$C128,'TL02'!$J$10:$J$224),0),
IF('TL02'!$B$229=O$3,SUMIF('TL02'!$C$238:$C$451,$C128,'TL02'!$J$238:$J$451),0),
IF('TL03'!$B$3=O$3,SUMIF('TL03'!$C$10:$C$224,$C128,'TL03'!$J$10:$J$224),0),
IF('TL03'!$B$229=O$3,SUMIF('TL03'!$C$238:$C$451,$C128,'TL03'!$J$238:$J$451),0),
IF('TL04'!$B$3=O$3,SUMIF('TL04'!$C$10:$C$224,$C128,'TL04'!$J$10:$J$224),0),
IF('TL04'!$B$229=O$3,SUMIF('TL04'!$C$238:$C$451,$C128,'TL04'!$J$238:$J$451),0),
IF('TL05'!$B$3=O$3,SUMIF('TL05'!$C$10:$C$224,$C128,'TL05'!$J$10:$J$224),0),
IF('TL05'!$B$229=O$3,SUMIF('TL05'!$C$238:$C$451,$C128,'TL05'!$J$238:$J$451),0),
IF('TL06'!$B$3=O$3,SUMIF('TL06'!$C$10:$C$224,$C128,'TL06'!$J$10:$J$224),0),
IF('TL06'!$B$229=O$3,SUMIF('TL06'!$C$238:$C$451,$C128,'TL06'!$J$238:$J$451),0),
IF('TL07'!$B$3=O$3,SUMIF('TL07'!$C$10:$C$224,$C128,'TL07'!$J$10:$J$224),0),
IF('TL07'!$B$229=O$3,SUMIF('TL07'!$C$238:$C$451,$C128,'TL07'!$J$238:$J$451),0),
IF('TL08'!$B$3=O$3,SUMIF('TL08'!$C$10:$C$224,$C128,'TL08'!$J$10:$J$224),0),
IF('TL08'!$B$229=O$3,SUMIF('TL08'!$C$238:$C$451,$C128,'TL08'!$J$238:$J$451),0),
IF('TL09'!$B$3=O$3,SUMIF('TL09'!$C$10:$C$224,$C128,'TL09'!$J$10:$J$224),0),
IF('TL09'!$B$229=O$3,SUMIF('TL09'!$C$238:$C$451,$C128,'TL09'!$J$238:$J$451),0),
IF('TL10'!$B$3=O$3,SUMIF('TL10'!$C$10:$C$224,$C128,'TL10'!$J$10:$J$224),0),
IF('TL10'!$B$229=O$3,SUMIF('TL10'!$C$238:$C$451,$C128,'TL10'!$J$238:$J$451),0),
IF('TL11'!$B$3=O$3,SUMIF('TL11'!$C$10:$C$224,$C128,'TL11'!$J$10:$J$224),0),
IF('TL11'!$B$229=O$3,SUMIF('TL11'!$C$238:$C$451,$C128,'TL11'!$J$238:$J$451),0),
IF('TL12'!$B$3=O$3,SUMIF('TL12'!$C$10:$C$224,$C128,'TL12'!$J$10:$J$224),0),
IF('TL12'!$B$229=O$3,SUMIF('TL12'!$C$238:$C$451,$C128,'TL12'!$J$238:$J$451),0),
IF('TL13'!$B$3=O$3,SUMIF('TL13'!$C$10:$C$224,$C128,'TL13'!$J$10:$J$224),0),
IF('TL13'!$B$229=O$3,SUMIF('TL13'!$C$238:$C$451,$C128,'TL13'!$J$238:$J$451),0),
IF('TL14'!$B$3=O$3,SUMIF('TL14'!$C$10:$C$224,$C128,'TL14'!$J$10:$J$224),0),
IF('TL14'!$B$229=O$3,SUMIF('TL14'!$C$238:$C$451,$C128,'TL14'!$J$238:$J$451),0),
IF('TL15'!$B$3=O$3,SUMIF('TL15'!$C$10:$C$224,$C128,'TL15'!$J$10:$J$224),0),
IF('TL15'!$B$229=O$3,SUMIF('TL15'!$C$238:$C$451,$C128,'TL15'!$J$238:$J$451),0),
IF('TL16'!$B$3=O$3,SUMIF('TL16'!$C$10:$C$224,$C128,'TL16'!$J$10:$J$224),0),
IF('TL16'!$B$229=O$3,SUMIF('TL16'!$C$238:$C$451,$C128,'TL16'!$J$238:$J$451),0),
IF('TL17'!$B$3=O$3,SUMIF('TL17'!$C$10:$C$224,$C128,'TL17'!$J$10:$J$224),0),
IF('TL17'!$B$229=O$3,SUMIF('TL17'!$C$238:$C$451,$C128,'TL17'!$J$238:$J$451),0),
IF('TL18'!$B$3=O$3,SUMIF('TL18'!$C$10:$C$224,$C128,'TL18'!$J$10:$J$224),0),
IF('TL18'!$B$229=O$3,SUMIF('TL18'!$C$238:$C$451,$C128,'TL18'!$J$238:$J$451),0),
IF('TL19'!$B$3=O$3,SUMIF('TL19'!$C$10:$C$224,$C128,'TL19'!$J$10:$J$224),0),
IF('TL19'!$B$229=O$3,SUMIF('TL19'!$C$238:$C$451,$C128,'TL19'!$J$238:$J$451),0)
),0)</f>
        <v>0</v>
      </c>
      <c r="P128" s="9">
        <f>IFERROR(SUM(
IF('TL01'!$B$3=P$3,SUMIF('TL01'!$C$10:$C$224,$C128,'TL01'!$J$10:$J$224),0),
IF('TL01'!$B$229=P$3,SUMIF('TL01'!$C$238:$C$451,$C128,'TL01'!$J$238:$J$451),0),
IF('TL02'!$B$3=P$3,SUMIF('TL02'!$C$10:$C$224,$C128,'TL02'!$J$10:$J$224),0),
IF('TL02'!$B$229=P$3,SUMIF('TL02'!$C$238:$C$451,$C128,'TL02'!$J$238:$J$451),0),
IF('TL03'!$B$3=P$3,SUMIF('TL03'!$C$10:$C$224,$C128,'TL03'!$J$10:$J$224),0),
IF('TL03'!$B$229=P$3,SUMIF('TL03'!$C$238:$C$451,$C128,'TL03'!$J$238:$J$451),0),
IF('TL04'!$B$3=P$3,SUMIF('TL04'!$C$10:$C$224,$C128,'TL04'!$J$10:$J$224),0),
IF('TL04'!$B$229=P$3,SUMIF('TL04'!$C$238:$C$451,$C128,'TL04'!$J$238:$J$451),0),
IF('TL05'!$B$3=P$3,SUMIF('TL05'!$C$10:$C$224,$C128,'TL05'!$J$10:$J$224),0),
IF('TL05'!$B$229=P$3,SUMIF('TL05'!$C$238:$C$451,$C128,'TL05'!$J$238:$J$451),0),
IF('TL06'!$B$3=P$3,SUMIF('TL06'!$C$10:$C$224,$C128,'TL06'!$J$10:$J$224),0),
IF('TL06'!$B$229=P$3,SUMIF('TL06'!$C$238:$C$451,$C128,'TL06'!$J$238:$J$451),0),
IF('TL07'!$B$3=P$3,SUMIF('TL07'!$C$10:$C$224,$C128,'TL07'!$J$10:$J$224),0),
IF('TL07'!$B$229=P$3,SUMIF('TL07'!$C$238:$C$451,$C128,'TL07'!$J$238:$J$451),0),
IF('TL08'!$B$3=P$3,SUMIF('TL08'!$C$10:$C$224,$C128,'TL08'!$J$10:$J$224),0),
IF('TL08'!$B$229=P$3,SUMIF('TL08'!$C$238:$C$451,$C128,'TL08'!$J$238:$J$451),0),
IF('TL09'!$B$3=P$3,SUMIF('TL09'!$C$10:$C$224,$C128,'TL09'!$J$10:$J$224),0),
IF('TL09'!$B$229=P$3,SUMIF('TL09'!$C$238:$C$451,$C128,'TL09'!$J$238:$J$451),0),
IF('TL10'!$B$3=P$3,SUMIF('TL10'!$C$10:$C$224,$C128,'TL10'!$J$10:$J$224),0),
IF('TL10'!$B$229=P$3,SUMIF('TL10'!$C$238:$C$451,$C128,'TL10'!$J$238:$J$451),0),
IF('TL11'!$B$3=P$3,SUMIF('TL11'!$C$10:$C$224,$C128,'TL11'!$J$10:$J$224),0),
IF('TL11'!$B$229=P$3,SUMIF('TL11'!$C$238:$C$451,$C128,'TL11'!$J$238:$J$451),0),
IF('TL12'!$B$3=P$3,SUMIF('TL12'!$C$10:$C$224,$C128,'TL12'!$J$10:$J$224),0),
IF('TL12'!$B$229=P$3,SUMIF('TL12'!$C$238:$C$451,$C128,'TL12'!$J$238:$J$451),0),
IF('TL13'!$B$3=P$3,SUMIF('TL13'!$C$10:$C$224,$C128,'TL13'!$J$10:$J$224),0),
IF('TL13'!$B$229=P$3,SUMIF('TL13'!$C$238:$C$451,$C128,'TL13'!$J$238:$J$451),0),
IF('TL14'!$B$3=P$3,SUMIF('TL14'!$C$10:$C$224,$C128,'TL14'!$J$10:$J$224),0),
IF('TL14'!$B$229=P$3,SUMIF('TL14'!$C$238:$C$451,$C128,'TL14'!$J$238:$J$451),0),
IF('TL15'!$B$3=P$3,SUMIF('TL15'!$C$10:$C$224,$C128,'TL15'!$J$10:$J$224),0),
IF('TL15'!$B$229=P$3,SUMIF('TL15'!$C$238:$C$451,$C128,'TL15'!$J$238:$J$451),0),
IF('TL16'!$B$3=P$3,SUMIF('TL16'!$C$10:$C$224,$C128,'TL16'!$J$10:$J$224),0),
IF('TL16'!$B$229=P$3,SUMIF('TL16'!$C$238:$C$451,$C128,'TL16'!$J$238:$J$451),0),
IF('TL17'!$B$3=P$3,SUMIF('TL17'!$C$10:$C$224,$C128,'TL17'!$J$10:$J$224),0),
IF('TL17'!$B$229=P$3,SUMIF('TL17'!$C$238:$C$451,$C128,'TL17'!$J$238:$J$451),0),
IF('TL18'!$B$3=P$3,SUMIF('TL18'!$C$10:$C$224,$C128,'TL18'!$J$10:$J$224),0),
IF('TL18'!$B$229=P$3,SUMIF('TL18'!$C$238:$C$451,$C128,'TL18'!$J$238:$J$451),0),
IF('TL19'!$B$3=P$3,SUMIF('TL19'!$C$10:$C$224,$C128,'TL19'!$J$10:$J$224),0),
IF('TL19'!$B$229=P$3,SUMIF('TL19'!$C$238:$C$451,$C128,'TL19'!$J$238:$J$451),0)
),0)</f>
        <v>0</v>
      </c>
      <c r="Q128" s="9">
        <f>IFERROR(SUM(
IF('TL01'!$B$3=Q$3,SUMIF('TL01'!$C$10:$C$224,$C128,'TL01'!$J$10:$J$224),0),
IF('TL01'!$B$229=Q$3,SUMIF('TL01'!$C$238:$C$451,$C128,'TL01'!$J$238:$J$451),0),
IF('TL02'!$B$3=Q$3,SUMIF('TL02'!$C$10:$C$224,$C128,'TL02'!$J$10:$J$224),0),
IF('TL02'!$B$229=Q$3,SUMIF('TL02'!$C$238:$C$451,$C128,'TL02'!$J$238:$J$451),0),
IF('TL03'!$B$3=Q$3,SUMIF('TL03'!$C$10:$C$224,$C128,'TL03'!$J$10:$J$224),0),
IF('TL03'!$B$229=Q$3,SUMIF('TL03'!$C$238:$C$451,$C128,'TL03'!$J$238:$J$451),0),
IF('TL04'!$B$3=Q$3,SUMIF('TL04'!$C$10:$C$224,$C128,'TL04'!$J$10:$J$224),0),
IF('TL04'!$B$229=Q$3,SUMIF('TL04'!$C$238:$C$451,$C128,'TL04'!$J$238:$J$451),0),
IF('TL05'!$B$3=Q$3,SUMIF('TL05'!$C$10:$C$224,$C128,'TL05'!$J$10:$J$224),0),
IF('TL05'!$B$229=Q$3,SUMIF('TL05'!$C$238:$C$451,$C128,'TL05'!$J$238:$J$451),0),
IF('TL06'!$B$3=Q$3,SUMIF('TL06'!$C$10:$C$224,$C128,'TL06'!$J$10:$J$224),0),
IF('TL06'!$B$229=Q$3,SUMIF('TL06'!$C$238:$C$451,$C128,'TL06'!$J$238:$J$451),0),
IF('TL07'!$B$3=Q$3,SUMIF('TL07'!$C$10:$C$224,$C128,'TL07'!$J$10:$J$224),0),
IF('TL07'!$B$229=Q$3,SUMIF('TL07'!$C$238:$C$451,$C128,'TL07'!$J$238:$J$451),0),
IF('TL08'!$B$3=Q$3,SUMIF('TL08'!$C$10:$C$224,$C128,'TL08'!$J$10:$J$224),0),
IF('TL08'!$B$229=Q$3,SUMIF('TL08'!$C$238:$C$451,$C128,'TL08'!$J$238:$J$451),0),
IF('TL09'!$B$3=Q$3,SUMIF('TL09'!$C$10:$C$224,$C128,'TL09'!$J$10:$J$224),0),
IF('TL09'!$B$229=Q$3,SUMIF('TL09'!$C$238:$C$451,$C128,'TL09'!$J$238:$J$451),0),
IF('TL10'!$B$3=Q$3,SUMIF('TL10'!$C$10:$C$224,$C128,'TL10'!$J$10:$J$224),0),
IF('TL10'!$B$229=Q$3,SUMIF('TL10'!$C$238:$C$451,$C128,'TL10'!$J$238:$J$451),0),
IF('TL11'!$B$3=Q$3,SUMIF('TL11'!$C$10:$C$224,$C128,'TL11'!$J$10:$J$224),0),
IF('TL11'!$B$229=Q$3,SUMIF('TL11'!$C$238:$C$451,$C128,'TL11'!$J$238:$J$451),0),
IF('TL12'!$B$3=Q$3,SUMIF('TL12'!$C$10:$C$224,$C128,'TL12'!$J$10:$J$224),0),
IF('TL12'!$B$229=Q$3,SUMIF('TL12'!$C$238:$C$451,$C128,'TL12'!$J$238:$J$451),0),
IF('TL13'!$B$3=Q$3,SUMIF('TL13'!$C$10:$C$224,$C128,'TL13'!$J$10:$J$224),0),
IF('TL13'!$B$229=Q$3,SUMIF('TL13'!$C$238:$C$451,$C128,'TL13'!$J$238:$J$451),0),
IF('TL14'!$B$3=Q$3,SUMIF('TL14'!$C$10:$C$224,$C128,'TL14'!$J$10:$J$224),0),
IF('TL14'!$B$229=Q$3,SUMIF('TL14'!$C$238:$C$451,$C128,'TL14'!$J$238:$J$451),0),
IF('TL15'!$B$3=Q$3,SUMIF('TL15'!$C$10:$C$224,$C128,'TL15'!$J$10:$J$224),0),
IF('TL15'!$B$229=Q$3,SUMIF('TL15'!$C$238:$C$451,$C128,'TL15'!$J$238:$J$451),0),
IF('TL16'!$B$3=Q$3,SUMIF('TL16'!$C$10:$C$224,$C128,'TL16'!$J$10:$J$224),0),
IF('TL16'!$B$229=Q$3,SUMIF('TL16'!$C$238:$C$451,$C128,'TL16'!$J$238:$J$451),0),
IF('TL17'!$B$3=Q$3,SUMIF('TL17'!$C$10:$C$224,$C128,'TL17'!$J$10:$J$224),0),
IF('TL17'!$B$229=Q$3,SUMIF('TL17'!$C$238:$C$451,$C128,'TL17'!$J$238:$J$451),0),
IF('TL18'!$B$3=Q$3,SUMIF('TL18'!$C$10:$C$224,$C128,'TL18'!$J$10:$J$224),0),
IF('TL18'!$B$229=Q$3,SUMIF('TL18'!$C$238:$C$451,$C128,'TL18'!$J$238:$J$451),0),
IF('TL19'!$B$3=Q$3,SUMIF('TL19'!$C$10:$C$224,$C128,'TL19'!$J$10:$J$224),0),
IF('TL19'!$B$229=Q$3,SUMIF('TL19'!$C$238:$C$451,$C128,'TL19'!$J$238:$J$451),0)
),0)</f>
        <v>0</v>
      </c>
      <c r="R128" s="9">
        <f>IFERROR(
SUM(
SUMIF('TL01'!C:C,C128,'TL01'!J:J),
SUMIF('TL02'!C:C,C128,'TL02'!J:J),
SUMIF('TL03'!C:C,C128,'TL03'!J:J),
SUMIF('TL04'!C:C,C128,'TL04'!J:J),
SUMIF('TL05'!C:C,C128,'TL05'!J:J),
SUMIF('TL06'!C:C,C128,'TL06'!J:J),
SUMIF('TL07'!C:C,C128,'TL07'!J:J),
SUMIF('TL08'!C:C,C128,'TL08'!J:J),
SUMIF('TL09'!C:C,C128,'TL09'!J:J),
SUMIF('TL10'!C:C,C128,'TL10'!J:J),
SUMIF('TL11'!C:C,C128,'TL11'!J:J),
SUMIF('TL12'!C:C,C128,'TL12'!J:J),
SUMIF('TL13'!C:C,C128,'TL13'!J:J),
SUMIF('TL14'!C:C,C128,'TL14'!J:J),
SUMIF('TL15'!C:C,C128,'TL15'!J:J),
SUMIF('TL16'!C:C,C128,'TL16'!J:J),
SUMIF('TL17'!C:C,C128,'TL17'!J:J),
SUMIF('TL18'!C:C,C128,'TL18'!J:J),SUMIF('TL19'!C:C,C128,'TL19'!J:J))
,0)</f>
        <v>0</v>
      </c>
      <c r="S128" s="17">
        <f>IFERROR(__xludf.DUMMYFUNCTION("IFERROR(VLOOKUP(C128,
IMPORTRANGE(""1wULbzX32WdYsx-lj2U3uUNBBe2INVIRDtcK0d-Dvl90"",
""26-27!C:G""),
5,
FALSE),
"""")"),144.35834)</f>
        <v>144.35834</v>
      </c>
      <c r="T128" s="9"/>
      <c r="U128" s="92">
        <f t="shared" si="2"/>
        <v>0</v>
      </c>
      <c r="V128" s="93">
        <f t="shared" si="3"/>
        <v>0</v>
      </c>
    </row>
    <row r="129" ht="15.75" hidden="1" customHeight="1">
      <c r="A129" s="111" t="s">
        <v>353</v>
      </c>
      <c r="B129" s="112" t="s">
        <v>1</v>
      </c>
      <c r="C129" s="113" t="s">
        <v>659</v>
      </c>
      <c r="D129" s="113" t="s">
        <v>660</v>
      </c>
      <c r="E129" s="113" t="s">
        <v>661</v>
      </c>
      <c r="F129" s="4" t="s">
        <v>343</v>
      </c>
      <c r="G129" s="90" t="str">
        <f t="shared" si="4"/>
        <v>📄 Ver bula</v>
      </c>
      <c r="H129" s="9" t="str">
        <f>IFERROR(__xludf.DUMMYFUNCTION("IFERROR(VLOOKUP(C129,
IMPORTRANGE(""1wULbzX32WdYsx-lj2U3uUNBBe2INVIRDtcK0d-Dvl90"",
""26-27!C:K""),
8,
FALSE),
"""")"),"")</f>
        <v/>
      </c>
      <c r="I129" s="114" t="s">
        <v>373</v>
      </c>
      <c r="J129" s="9">
        <f>IFERROR(SUM(
IF('TL01'!$B$3=J$3,SUMIF('TL01'!$C$10:$C$224,$C129,'TL01'!$J$10:$J$224),0),
IF('TL01'!$B$229=J$3,SUMIF('TL01'!$C$238:$C$451,$C129,'TL01'!$J$238:$J$451),0),
IF('TL02'!$B$3=J$3,SUMIF('TL02'!$C$10:$C$224,$C129,'TL02'!$J$10:$J$224),0),
IF('TL02'!$B$229=J$3,SUMIF('TL02'!$C$238:$C$451,$C129,'TL02'!$J$238:$J$451),0),
IF('TL03'!$B$3=J$3,SUMIF('TL03'!$C$10:$C$224,$C129,'TL03'!$J$10:$J$224),0),
IF('TL03'!$B$229=J$3,SUMIF('TL03'!$C$238:$C$451,$C129,'TL03'!$J$238:$J$451),0),
IF('TL04'!$B$3=J$3,SUMIF('TL04'!$C$10:$C$224,$C129,'TL04'!$J$10:$J$224),0),
IF('TL04'!$B$229=J$3,SUMIF('TL04'!$C$238:$C$451,$C129,'TL04'!$J$238:$J$451),0),
IF('TL05'!$B$3=J$3,SUMIF('TL05'!$C$10:$C$224,$C129,'TL05'!$J$10:$J$224),0),
IF('TL05'!$B$229=J$3,SUMIF('TL05'!$C$238:$C$451,$C129,'TL05'!$J$238:$J$451),0),
IF('TL06'!$B$3=J$3,SUMIF('TL06'!$C$10:$C$224,$C129,'TL06'!$J$10:$J$224),0),
IF('TL06'!$B$229=J$3,SUMIF('TL06'!$C$238:$C$451,$C129,'TL06'!$J$238:$J$451),0),
IF('TL07'!$B$3=J$3,SUMIF('TL07'!$C$10:$C$224,$C129,'TL07'!$J$10:$J$224),0),
IF('TL07'!$B$229=J$3,SUMIF('TL07'!$C$238:$C$451,$C129,'TL07'!$J$238:$J$451),0),
IF('TL08'!$B$3=J$3,SUMIF('TL08'!$C$10:$C$224,$C129,'TL08'!$J$10:$J$224),0),
IF('TL08'!$B$229=J$3,SUMIF('TL08'!$C$238:$C$451,$C129,'TL08'!$J$238:$J$451),0),
IF('TL09'!$B$3=J$3,SUMIF('TL09'!$C$10:$C$224,$C129,'TL09'!$J$10:$J$224),0),
IF('TL09'!$B$229=J$3,SUMIF('TL09'!$C$238:$C$451,$C129,'TL09'!$J$238:$J$451),0),
IF('TL10'!$B$3=J$3,SUMIF('TL10'!$C$10:$C$224,$C129,'TL10'!$J$10:$J$224),0),
IF('TL10'!$B$229=J$3,SUMIF('TL10'!$C$238:$C$451,$C129,'TL10'!$J$238:$J$451),0),
IF('TL11'!$B$3=J$3,SUMIF('TL11'!$C$10:$C$224,$C129,'TL11'!$J$10:$J$224),0),
IF('TL11'!$B$229=J$3,SUMIF('TL11'!$C$238:$C$451,$C129,'TL11'!$J$238:$J$451),0),
IF('TL12'!$B$3=J$3,SUMIF('TL12'!$C$10:$C$224,$C129,'TL12'!$J$10:$J$224),0),
IF('TL12'!$B$229=J$3,SUMIF('TL12'!$C$238:$C$451,$C129,'TL12'!$J$238:$J$451),0),
IF('TL13'!$B$3=J$3,SUMIF('TL13'!$C$10:$C$224,$C129,'TL13'!$J$10:$J$224),0),
IF('TL13'!$B$229=J$3,SUMIF('TL13'!$C$238:$C$451,$C129,'TL13'!$J$238:$J$451),0),
IF('TL14'!$B$3=J$3,SUMIF('TL14'!$C$10:$C$224,$C129,'TL14'!$J$10:$J$224),0),
IF('TL14'!$B$229=J$3,SUMIF('TL14'!$C$238:$C$451,$C129,'TL14'!$J$238:$J$451),0),
IF('TL15'!$B$3=J$3,SUMIF('TL15'!$C$10:$C$224,$C129,'TL15'!$J$10:$J$224),0),
IF('TL15'!$B$229=J$3,SUMIF('TL15'!$C$238:$C$451,$C129,'TL15'!$J$238:$J$451),0),
IF('TL16'!$B$3=J$3,SUMIF('TL16'!$C$10:$C$224,$C129,'TL16'!$J$10:$J$224),0),
IF('TL16'!$B$229=J$3,SUMIF('TL16'!$C$238:$C$451,$C129,'TL16'!$J$238:$J$451),0),
IF('TL17'!$B$3=J$3,SUMIF('TL17'!$C$10:$C$224,$C129,'TL17'!$J$10:$J$224),0),
IF('TL17'!$B$229=J$3,SUMIF('TL17'!$C$238:$C$451,$C129,'TL17'!$J$238:$J$451),0),
IF('TL18'!$B$3=J$3,SUMIF('TL18'!$C$10:$C$224,$C129,'TL18'!$J$10:$J$224),0),
IF('TL18'!$B$229=J$3,SUMIF('TL18'!$C$238:$C$451,$C129,'TL18'!$J$238:$J$451),0),
IF('TL19'!$B$3=J$3,SUMIF('TL19'!$C$10:$C$224,$C129,'TL19'!$J$10:$J$224),0),
IF('TL19'!$B$229=J$3,SUMIF('TL19'!$C$238:$C$451,$C129,'TL19'!$J$238:$J$451),0)
),0)</f>
        <v>0</v>
      </c>
      <c r="K129" s="9">
        <f>IFERROR(SUM(
IF('TL01'!$B$3=K$3,SUMIF('TL01'!$C$10:$C$224,$C129,'TL01'!$J$10:$J$224),0),
IF('TL01'!$B$229=K$3,SUMIF('TL01'!$C$238:$C$451,$C129,'TL01'!$J$238:$J$451),0),
IF('TL02'!$B$3=K$3,SUMIF('TL02'!$C$10:$C$224,$C129,'TL02'!$J$10:$J$224),0),
IF('TL02'!$B$229=K$3,SUMIF('TL02'!$C$238:$C$451,$C129,'TL02'!$J$238:$J$451),0),
IF('TL03'!$B$3=K$3,SUMIF('TL03'!$C$10:$C$224,$C129,'TL03'!$J$10:$J$224),0),
IF('TL03'!$B$229=K$3,SUMIF('TL03'!$C$238:$C$451,$C129,'TL03'!$J$238:$J$451),0),
IF('TL04'!$B$3=K$3,SUMIF('TL04'!$C$10:$C$224,$C129,'TL04'!$J$10:$J$224),0),
IF('TL04'!$B$229=K$3,SUMIF('TL04'!$C$238:$C$451,$C129,'TL04'!$J$238:$J$451),0),
IF('TL05'!$B$3=K$3,SUMIF('TL05'!$C$10:$C$224,$C129,'TL05'!$J$10:$J$224),0),
IF('TL05'!$B$229=K$3,SUMIF('TL05'!$C$238:$C$451,$C129,'TL05'!$J$238:$J$451),0),
IF('TL06'!$B$3=K$3,SUMIF('TL06'!$C$10:$C$224,$C129,'TL06'!$J$10:$J$224),0),
IF('TL06'!$B$229=K$3,SUMIF('TL06'!$C$238:$C$451,$C129,'TL06'!$J$238:$J$451),0),
IF('TL07'!$B$3=K$3,SUMIF('TL07'!$C$10:$C$224,$C129,'TL07'!$J$10:$J$224),0),
IF('TL07'!$B$229=K$3,SUMIF('TL07'!$C$238:$C$451,$C129,'TL07'!$J$238:$J$451),0),
IF('TL08'!$B$3=K$3,SUMIF('TL08'!$C$10:$C$224,$C129,'TL08'!$J$10:$J$224),0),
IF('TL08'!$B$229=K$3,SUMIF('TL08'!$C$238:$C$451,$C129,'TL08'!$J$238:$J$451),0),
IF('TL09'!$B$3=K$3,SUMIF('TL09'!$C$10:$C$224,$C129,'TL09'!$J$10:$J$224),0),
IF('TL09'!$B$229=K$3,SUMIF('TL09'!$C$238:$C$451,$C129,'TL09'!$J$238:$J$451),0),
IF('TL10'!$B$3=K$3,SUMIF('TL10'!$C$10:$C$224,$C129,'TL10'!$J$10:$J$224),0),
IF('TL10'!$B$229=K$3,SUMIF('TL10'!$C$238:$C$451,$C129,'TL10'!$J$238:$J$451),0),
IF('TL11'!$B$3=K$3,SUMIF('TL11'!$C$10:$C$224,$C129,'TL11'!$J$10:$J$224),0),
IF('TL11'!$B$229=K$3,SUMIF('TL11'!$C$238:$C$451,$C129,'TL11'!$J$238:$J$451),0),
IF('TL12'!$B$3=K$3,SUMIF('TL12'!$C$10:$C$224,$C129,'TL12'!$J$10:$J$224),0),
IF('TL12'!$B$229=K$3,SUMIF('TL12'!$C$238:$C$451,$C129,'TL12'!$J$238:$J$451),0),
IF('TL13'!$B$3=K$3,SUMIF('TL13'!$C$10:$C$224,$C129,'TL13'!$J$10:$J$224),0),
IF('TL13'!$B$229=K$3,SUMIF('TL13'!$C$238:$C$451,$C129,'TL13'!$J$238:$J$451),0),
IF('TL14'!$B$3=K$3,SUMIF('TL14'!$C$10:$C$224,$C129,'TL14'!$J$10:$J$224),0),
IF('TL14'!$B$229=K$3,SUMIF('TL14'!$C$238:$C$451,$C129,'TL14'!$J$238:$J$451),0),
IF('TL15'!$B$3=K$3,SUMIF('TL15'!$C$10:$C$224,$C129,'TL15'!$J$10:$J$224),0),
IF('TL15'!$B$229=K$3,SUMIF('TL15'!$C$238:$C$451,$C129,'TL15'!$J$238:$J$451),0),
IF('TL16'!$B$3=K$3,SUMIF('TL16'!$C$10:$C$224,$C129,'TL16'!$J$10:$J$224),0),
IF('TL16'!$B$229=K$3,SUMIF('TL16'!$C$238:$C$451,$C129,'TL16'!$J$238:$J$451),0),
IF('TL17'!$B$3=K$3,SUMIF('TL17'!$C$10:$C$224,$C129,'TL17'!$J$10:$J$224),0),
IF('TL17'!$B$229=K$3,SUMIF('TL17'!$C$238:$C$451,$C129,'TL17'!$J$238:$J$451),0),
IF('TL18'!$B$3=K$3,SUMIF('TL18'!$C$10:$C$224,$C129,'TL18'!$J$10:$J$224),0),
IF('TL18'!$B$229=K$3,SUMIF('TL18'!$C$238:$C$451,$C129,'TL18'!$J$238:$J$451),0),
IF('TL19'!$B$3=K$3,SUMIF('TL19'!$C$10:$C$224,$C129,'TL19'!$J$10:$J$224),0),
IF('TL19'!$B$229=K$3,SUMIF('TL19'!$C$238:$C$451,$C129,'TL19'!$J$238:$J$451),0)
),0)</f>
        <v>0</v>
      </c>
      <c r="L129" s="9">
        <f>IFERROR(SUM(
IF('TL01'!$B$3=L$3,SUMIF('TL01'!$C$10:$C$224,$C129,'TL01'!$J$10:$J$224),0),
IF('TL01'!$B$229=L$3,SUMIF('TL01'!$C$238:$C$451,$C129,'TL01'!$J$238:$J$451),0),
IF('TL02'!$B$3=L$3,SUMIF('TL02'!$C$10:$C$224,$C129,'TL02'!$J$10:$J$224),0),
IF('TL02'!$B$229=L$3,SUMIF('TL02'!$C$238:$C$451,$C129,'TL02'!$J$238:$J$451),0),
IF('TL03'!$B$3=L$3,SUMIF('TL03'!$C$10:$C$224,$C129,'TL03'!$J$10:$J$224),0),
IF('TL03'!$B$229=L$3,SUMIF('TL03'!$C$238:$C$451,$C129,'TL03'!$J$238:$J$451),0),
IF('TL04'!$B$3=L$3,SUMIF('TL04'!$C$10:$C$224,$C129,'TL04'!$J$10:$J$224),0),
IF('TL04'!$B$229=L$3,SUMIF('TL04'!$C$238:$C$451,$C129,'TL04'!$J$238:$J$451),0),
IF('TL05'!$B$3=L$3,SUMIF('TL05'!$C$10:$C$224,$C129,'TL05'!$J$10:$J$224),0),
IF('TL05'!$B$229=L$3,SUMIF('TL05'!$C$238:$C$451,$C129,'TL05'!$J$238:$J$451),0),
IF('TL06'!$B$3=L$3,SUMIF('TL06'!$C$10:$C$224,$C129,'TL06'!$J$10:$J$224),0),
IF('TL06'!$B$229=L$3,SUMIF('TL06'!$C$238:$C$451,$C129,'TL06'!$J$238:$J$451),0),
IF('TL07'!$B$3=L$3,SUMIF('TL07'!$C$10:$C$224,$C129,'TL07'!$J$10:$J$224),0),
IF('TL07'!$B$229=L$3,SUMIF('TL07'!$C$238:$C$451,$C129,'TL07'!$J$238:$J$451),0),
IF('TL08'!$B$3=L$3,SUMIF('TL08'!$C$10:$C$224,$C129,'TL08'!$J$10:$J$224),0),
IF('TL08'!$B$229=L$3,SUMIF('TL08'!$C$238:$C$451,$C129,'TL08'!$J$238:$J$451),0),
IF('TL09'!$B$3=L$3,SUMIF('TL09'!$C$10:$C$224,$C129,'TL09'!$J$10:$J$224),0),
IF('TL09'!$B$229=L$3,SUMIF('TL09'!$C$238:$C$451,$C129,'TL09'!$J$238:$J$451),0),
IF('TL10'!$B$3=L$3,SUMIF('TL10'!$C$10:$C$224,$C129,'TL10'!$J$10:$J$224),0),
IF('TL10'!$B$229=L$3,SUMIF('TL10'!$C$238:$C$451,$C129,'TL10'!$J$238:$J$451),0),
IF('TL11'!$B$3=L$3,SUMIF('TL11'!$C$10:$C$224,$C129,'TL11'!$J$10:$J$224),0),
IF('TL11'!$B$229=L$3,SUMIF('TL11'!$C$238:$C$451,$C129,'TL11'!$J$238:$J$451),0),
IF('TL12'!$B$3=L$3,SUMIF('TL12'!$C$10:$C$224,$C129,'TL12'!$J$10:$J$224),0),
IF('TL12'!$B$229=L$3,SUMIF('TL12'!$C$238:$C$451,$C129,'TL12'!$J$238:$J$451),0),
IF('TL13'!$B$3=L$3,SUMIF('TL13'!$C$10:$C$224,$C129,'TL13'!$J$10:$J$224),0),
IF('TL13'!$B$229=L$3,SUMIF('TL13'!$C$238:$C$451,$C129,'TL13'!$J$238:$J$451),0),
IF('TL14'!$B$3=L$3,SUMIF('TL14'!$C$10:$C$224,$C129,'TL14'!$J$10:$J$224),0),
IF('TL14'!$B$229=L$3,SUMIF('TL14'!$C$238:$C$451,$C129,'TL14'!$J$238:$J$451),0),
IF('TL15'!$B$3=L$3,SUMIF('TL15'!$C$10:$C$224,$C129,'TL15'!$J$10:$J$224),0),
IF('TL15'!$B$229=L$3,SUMIF('TL15'!$C$238:$C$451,$C129,'TL15'!$J$238:$J$451),0),
IF('TL16'!$B$3=L$3,SUMIF('TL16'!$C$10:$C$224,$C129,'TL16'!$J$10:$J$224),0),
IF('TL16'!$B$229=L$3,SUMIF('TL16'!$C$238:$C$451,$C129,'TL16'!$J$238:$J$451),0),
IF('TL17'!$B$3=L$3,SUMIF('TL17'!$C$10:$C$224,$C129,'TL17'!$J$10:$J$224),0),
IF('TL17'!$B$229=L$3,SUMIF('TL17'!$C$238:$C$451,$C129,'TL17'!$J$238:$J$451),0),
IF('TL18'!$B$3=L$3,SUMIF('TL18'!$C$10:$C$224,$C129,'TL18'!$J$10:$J$224),0),
IF('TL18'!$B$229=L$3,SUMIF('TL18'!$C$238:$C$451,$C129,'TL18'!$J$238:$J$451),0),
IF('TL19'!$B$3=L$3,SUMIF('TL19'!$C$10:$C$224,$C129,'TL19'!$J$10:$J$224),0),
IF('TL19'!$B$229=L$3,SUMIF('TL19'!$C$238:$C$451,$C129,'TL19'!$J$238:$J$451),0)
),0)</f>
        <v>0</v>
      </c>
      <c r="M129" s="9">
        <f>IFERROR(SUM(
IF('TL01'!$B$3=M$3,SUMIF('TL01'!$C$10:$C$224,$C129,'TL01'!$J$10:$J$224),0),
IF('TL01'!$B$229=M$3,SUMIF('TL01'!$C$238:$C$451,$C129,'TL01'!$J$238:$J$451),0),
IF('TL02'!$B$3=M$3,SUMIF('TL02'!$C$10:$C$224,$C129,'TL02'!$J$10:$J$224),0),
IF('TL02'!$B$229=M$3,SUMIF('TL02'!$C$238:$C$451,$C129,'TL02'!$J$238:$J$451),0),
IF('TL03'!$B$3=M$3,SUMIF('TL03'!$C$10:$C$224,$C129,'TL03'!$J$10:$J$224),0),
IF('TL03'!$B$229=M$3,SUMIF('TL03'!$C$238:$C$451,$C129,'TL03'!$J$238:$J$451),0),
IF('TL04'!$B$3=M$3,SUMIF('TL04'!$C$10:$C$224,$C129,'TL04'!$J$10:$J$224),0),
IF('TL04'!$B$229=M$3,SUMIF('TL04'!$C$238:$C$451,$C129,'TL04'!$J$238:$J$451),0),
IF('TL05'!$B$3=M$3,SUMIF('TL05'!$C$10:$C$224,$C129,'TL05'!$J$10:$J$224),0),
IF('TL05'!$B$229=M$3,SUMIF('TL05'!$C$238:$C$451,$C129,'TL05'!$J$238:$J$451),0),
IF('TL06'!$B$3=M$3,SUMIF('TL06'!$C$10:$C$224,$C129,'TL06'!$J$10:$J$224),0),
IF('TL06'!$B$229=M$3,SUMIF('TL06'!$C$238:$C$451,$C129,'TL06'!$J$238:$J$451),0),
IF('TL07'!$B$3=M$3,SUMIF('TL07'!$C$10:$C$224,$C129,'TL07'!$J$10:$J$224),0),
IF('TL07'!$B$229=M$3,SUMIF('TL07'!$C$238:$C$451,$C129,'TL07'!$J$238:$J$451),0),
IF('TL08'!$B$3=M$3,SUMIF('TL08'!$C$10:$C$224,$C129,'TL08'!$J$10:$J$224),0),
IF('TL08'!$B$229=M$3,SUMIF('TL08'!$C$238:$C$451,$C129,'TL08'!$J$238:$J$451),0),
IF('TL09'!$B$3=M$3,SUMIF('TL09'!$C$10:$C$224,$C129,'TL09'!$J$10:$J$224),0),
IF('TL09'!$B$229=M$3,SUMIF('TL09'!$C$238:$C$451,$C129,'TL09'!$J$238:$J$451),0),
IF('TL10'!$B$3=M$3,SUMIF('TL10'!$C$10:$C$224,$C129,'TL10'!$J$10:$J$224),0),
IF('TL10'!$B$229=M$3,SUMIF('TL10'!$C$238:$C$451,$C129,'TL10'!$J$238:$J$451),0),
IF('TL11'!$B$3=M$3,SUMIF('TL11'!$C$10:$C$224,$C129,'TL11'!$J$10:$J$224),0),
IF('TL11'!$B$229=M$3,SUMIF('TL11'!$C$238:$C$451,$C129,'TL11'!$J$238:$J$451),0),
IF('TL12'!$B$3=M$3,SUMIF('TL12'!$C$10:$C$224,$C129,'TL12'!$J$10:$J$224),0),
IF('TL12'!$B$229=M$3,SUMIF('TL12'!$C$238:$C$451,$C129,'TL12'!$J$238:$J$451),0),
IF('TL13'!$B$3=M$3,SUMIF('TL13'!$C$10:$C$224,$C129,'TL13'!$J$10:$J$224),0),
IF('TL13'!$B$229=M$3,SUMIF('TL13'!$C$238:$C$451,$C129,'TL13'!$J$238:$J$451),0),
IF('TL14'!$B$3=M$3,SUMIF('TL14'!$C$10:$C$224,$C129,'TL14'!$J$10:$J$224),0),
IF('TL14'!$B$229=M$3,SUMIF('TL14'!$C$238:$C$451,$C129,'TL14'!$J$238:$J$451),0),
IF('TL15'!$B$3=M$3,SUMIF('TL15'!$C$10:$C$224,$C129,'TL15'!$J$10:$J$224),0),
IF('TL15'!$B$229=M$3,SUMIF('TL15'!$C$238:$C$451,$C129,'TL15'!$J$238:$J$451),0),
IF('TL16'!$B$3=M$3,SUMIF('TL16'!$C$10:$C$224,$C129,'TL16'!$J$10:$J$224),0),
IF('TL16'!$B$229=M$3,SUMIF('TL16'!$C$238:$C$451,$C129,'TL16'!$J$238:$J$451),0),
IF('TL17'!$B$3=M$3,SUMIF('TL17'!$C$10:$C$224,$C129,'TL17'!$J$10:$J$224),0),
IF('TL17'!$B$229=M$3,SUMIF('TL17'!$C$238:$C$451,$C129,'TL17'!$J$238:$J$451),0),
IF('TL18'!$B$3=M$3,SUMIF('TL18'!$C$10:$C$224,$C129,'TL18'!$J$10:$J$224),0),
IF('TL18'!$B$229=M$3,SUMIF('TL18'!$C$238:$C$451,$C129,'TL18'!$J$238:$J$451),0),
IF('TL19'!$B$3=M$3,SUMIF('TL19'!$C$10:$C$224,$C129,'TL19'!$J$10:$J$224),0),
IF('TL19'!$B$229=M$3,SUMIF('TL19'!$C$238:$C$451,$C129,'TL19'!$J$238:$J$451),0)
),0)</f>
        <v>0</v>
      </c>
      <c r="N129" s="9">
        <f>IFERROR(SUM(
IF('TL01'!$B$3=N$3,SUMIF('TL01'!$C$10:$C$224,$C129,'TL01'!$J$10:$J$224),0),
IF('TL01'!$B$229=N$3,SUMIF('TL01'!$C$238:$C$451,$C129,'TL01'!$J$238:$J$451),0),
IF('TL02'!$B$3=N$3,SUMIF('TL02'!$C$10:$C$224,$C129,'TL02'!$J$10:$J$224),0),
IF('TL02'!$B$229=N$3,SUMIF('TL02'!$C$238:$C$451,$C129,'TL02'!$J$238:$J$451),0),
IF('TL03'!$B$3=N$3,SUMIF('TL03'!$C$10:$C$224,$C129,'TL03'!$J$10:$J$224),0),
IF('TL03'!$B$229=N$3,SUMIF('TL03'!$C$238:$C$451,$C129,'TL03'!$J$238:$J$451),0),
IF('TL04'!$B$3=N$3,SUMIF('TL04'!$C$10:$C$224,$C129,'TL04'!$J$10:$J$224),0),
IF('TL04'!$B$229=N$3,SUMIF('TL04'!$C$238:$C$451,$C129,'TL04'!$J$238:$J$451),0),
IF('TL05'!$B$3=N$3,SUMIF('TL05'!$C$10:$C$224,$C129,'TL05'!$J$10:$J$224),0),
IF('TL05'!$B$229=N$3,SUMIF('TL05'!$C$238:$C$451,$C129,'TL05'!$J$238:$J$451),0),
IF('TL06'!$B$3=N$3,SUMIF('TL06'!$C$10:$C$224,$C129,'TL06'!$J$10:$J$224),0),
IF('TL06'!$B$229=N$3,SUMIF('TL06'!$C$238:$C$451,$C129,'TL06'!$J$238:$J$451),0),
IF('TL07'!$B$3=N$3,SUMIF('TL07'!$C$10:$C$224,$C129,'TL07'!$J$10:$J$224),0),
IF('TL07'!$B$229=N$3,SUMIF('TL07'!$C$238:$C$451,$C129,'TL07'!$J$238:$J$451),0),
IF('TL08'!$B$3=N$3,SUMIF('TL08'!$C$10:$C$224,$C129,'TL08'!$J$10:$J$224),0),
IF('TL08'!$B$229=N$3,SUMIF('TL08'!$C$238:$C$451,$C129,'TL08'!$J$238:$J$451),0),
IF('TL09'!$B$3=N$3,SUMIF('TL09'!$C$10:$C$224,$C129,'TL09'!$J$10:$J$224),0),
IF('TL09'!$B$229=N$3,SUMIF('TL09'!$C$238:$C$451,$C129,'TL09'!$J$238:$J$451),0),
IF('TL10'!$B$3=N$3,SUMIF('TL10'!$C$10:$C$224,$C129,'TL10'!$J$10:$J$224),0),
IF('TL10'!$B$229=N$3,SUMIF('TL10'!$C$238:$C$451,$C129,'TL10'!$J$238:$J$451),0),
IF('TL11'!$B$3=N$3,SUMIF('TL11'!$C$10:$C$224,$C129,'TL11'!$J$10:$J$224),0),
IF('TL11'!$B$229=N$3,SUMIF('TL11'!$C$238:$C$451,$C129,'TL11'!$J$238:$J$451),0),
IF('TL12'!$B$3=N$3,SUMIF('TL12'!$C$10:$C$224,$C129,'TL12'!$J$10:$J$224),0),
IF('TL12'!$B$229=N$3,SUMIF('TL12'!$C$238:$C$451,$C129,'TL12'!$J$238:$J$451),0),
IF('TL13'!$B$3=N$3,SUMIF('TL13'!$C$10:$C$224,$C129,'TL13'!$J$10:$J$224),0),
IF('TL13'!$B$229=N$3,SUMIF('TL13'!$C$238:$C$451,$C129,'TL13'!$J$238:$J$451),0),
IF('TL14'!$B$3=N$3,SUMIF('TL14'!$C$10:$C$224,$C129,'TL14'!$J$10:$J$224),0),
IF('TL14'!$B$229=N$3,SUMIF('TL14'!$C$238:$C$451,$C129,'TL14'!$J$238:$J$451),0),
IF('TL15'!$B$3=N$3,SUMIF('TL15'!$C$10:$C$224,$C129,'TL15'!$J$10:$J$224),0),
IF('TL15'!$B$229=N$3,SUMIF('TL15'!$C$238:$C$451,$C129,'TL15'!$J$238:$J$451),0),
IF('TL16'!$B$3=N$3,SUMIF('TL16'!$C$10:$C$224,$C129,'TL16'!$J$10:$J$224),0),
IF('TL16'!$B$229=N$3,SUMIF('TL16'!$C$238:$C$451,$C129,'TL16'!$J$238:$J$451),0),
IF('TL17'!$B$3=N$3,SUMIF('TL17'!$C$10:$C$224,$C129,'TL17'!$J$10:$J$224),0),
IF('TL17'!$B$229=N$3,SUMIF('TL17'!$C$238:$C$451,$C129,'TL17'!$J$238:$J$451),0),
IF('TL18'!$B$3=N$3,SUMIF('TL18'!$C$10:$C$224,$C129,'TL18'!$J$10:$J$224),0),
IF('TL18'!$B$229=N$3,SUMIF('TL18'!$C$238:$C$451,$C129,'TL18'!$J$238:$J$451),0),
IF('TL19'!$B$3=N$3,SUMIF('TL19'!$C$10:$C$224,$C129,'TL19'!$J$10:$J$224),0),
IF('TL19'!$B$229=N$3,SUMIF('TL19'!$C$238:$C$451,$C129,'TL19'!$J$238:$J$451),0)
),0)</f>
        <v>0</v>
      </c>
      <c r="O129" s="9">
        <f>IFERROR(SUM(
IF('TL01'!$B$3=O$3,SUMIF('TL01'!$C$10:$C$224,$C129,'TL01'!$J$10:$J$224),0),
IF('TL01'!$B$229=O$3,SUMIF('TL01'!$C$238:$C$451,$C129,'TL01'!$J$238:$J$451),0),
IF('TL02'!$B$3=O$3,SUMIF('TL02'!$C$10:$C$224,$C129,'TL02'!$J$10:$J$224),0),
IF('TL02'!$B$229=O$3,SUMIF('TL02'!$C$238:$C$451,$C129,'TL02'!$J$238:$J$451),0),
IF('TL03'!$B$3=O$3,SUMIF('TL03'!$C$10:$C$224,$C129,'TL03'!$J$10:$J$224),0),
IF('TL03'!$B$229=O$3,SUMIF('TL03'!$C$238:$C$451,$C129,'TL03'!$J$238:$J$451),0),
IF('TL04'!$B$3=O$3,SUMIF('TL04'!$C$10:$C$224,$C129,'TL04'!$J$10:$J$224),0),
IF('TL04'!$B$229=O$3,SUMIF('TL04'!$C$238:$C$451,$C129,'TL04'!$J$238:$J$451),0),
IF('TL05'!$B$3=O$3,SUMIF('TL05'!$C$10:$C$224,$C129,'TL05'!$J$10:$J$224),0),
IF('TL05'!$B$229=O$3,SUMIF('TL05'!$C$238:$C$451,$C129,'TL05'!$J$238:$J$451),0),
IF('TL06'!$B$3=O$3,SUMIF('TL06'!$C$10:$C$224,$C129,'TL06'!$J$10:$J$224),0),
IF('TL06'!$B$229=O$3,SUMIF('TL06'!$C$238:$C$451,$C129,'TL06'!$J$238:$J$451),0),
IF('TL07'!$B$3=O$3,SUMIF('TL07'!$C$10:$C$224,$C129,'TL07'!$J$10:$J$224),0),
IF('TL07'!$B$229=O$3,SUMIF('TL07'!$C$238:$C$451,$C129,'TL07'!$J$238:$J$451),0),
IF('TL08'!$B$3=O$3,SUMIF('TL08'!$C$10:$C$224,$C129,'TL08'!$J$10:$J$224),0),
IF('TL08'!$B$229=O$3,SUMIF('TL08'!$C$238:$C$451,$C129,'TL08'!$J$238:$J$451),0),
IF('TL09'!$B$3=O$3,SUMIF('TL09'!$C$10:$C$224,$C129,'TL09'!$J$10:$J$224),0),
IF('TL09'!$B$229=O$3,SUMIF('TL09'!$C$238:$C$451,$C129,'TL09'!$J$238:$J$451),0),
IF('TL10'!$B$3=O$3,SUMIF('TL10'!$C$10:$C$224,$C129,'TL10'!$J$10:$J$224),0),
IF('TL10'!$B$229=O$3,SUMIF('TL10'!$C$238:$C$451,$C129,'TL10'!$J$238:$J$451),0),
IF('TL11'!$B$3=O$3,SUMIF('TL11'!$C$10:$C$224,$C129,'TL11'!$J$10:$J$224),0),
IF('TL11'!$B$229=O$3,SUMIF('TL11'!$C$238:$C$451,$C129,'TL11'!$J$238:$J$451),0),
IF('TL12'!$B$3=O$3,SUMIF('TL12'!$C$10:$C$224,$C129,'TL12'!$J$10:$J$224),0),
IF('TL12'!$B$229=O$3,SUMIF('TL12'!$C$238:$C$451,$C129,'TL12'!$J$238:$J$451),0),
IF('TL13'!$B$3=O$3,SUMIF('TL13'!$C$10:$C$224,$C129,'TL13'!$J$10:$J$224),0),
IF('TL13'!$B$229=O$3,SUMIF('TL13'!$C$238:$C$451,$C129,'TL13'!$J$238:$J$451),0),
IF('TL14'!$B$3=O$3,SUMIF('TL14'!$C$10:$C$224,$C129,'TL14'!$J$10:$J$224),0),
IF('TL14'!$B$229=O$3,SUMIF('TL14'!$C$238:$C$451,$C129,'TL14'!$J$238:$J$451),0),
IF('TL15'!$B$3=O$3,SUMIF('TL15'!$C$10:$C$224,$C129,'TL15'!$J$10:$J$224),0),
IF('TL15'!$B$229=O$3,SUMIF('TL15'!$C$238:$C$451,$C129,'TL15'!$J$238:$J$451),0),
IF('TL16'!$B$3=O$3,SUMIF('TL16'!$C$10:$C$224,$C129,'TL16'!$J$10:$J$224),0),
IF('TL16'!$B$229=O$3,SUMIF('TL16'!$C$238:$C$451,$C129,'TL16'!$J$238:$J$451),0),
IF('TL17'!$B$3=O$3,SUMIF('TL17'!$C$10:$C$224,$C129,'TL17'!$J$10:$J$224),0),
IF('TL17'!$B$229=O$3,SUMIF('TL17'!$C$238:$C$451,$C129,'TL17'!$J$238:$J$451),0),
IF('TL18'!$B$3=O$3,SUMIF('TL18'!$C$10:$C$224,$C129,'TL18'!$J$10:$J$224),0),
IF('TL18'!$B$229=O$3,SUMIF('TL18'!$C$238:$C$451,$C129,'TL18'!$J$238:$J$451),0),
IF('TL19'!$B$3=O$3,SUMIF('TL19'!$C$10:$C$224,$C129,'TL19'!$J$10:$J$224),0),
IF('TL19'!$B$229=O$3,SUMIF('TL19'!$C$238:$C$451,$C129,'TL19'!$J$238:$J$451),0)
),0)</f>
        <v>0</v>
      </c>
      <c r="P129" s="9">
        <f>IFERROR(SUM(
IF('TL01'!$B$3=P$3,SUMIF('TL01'!$C$10:$C$224,$C129,'TL01'!$J$10:$J$224),0),
IF('TL01'!$B$229=P$3,SUMIF('TL01'!$C$238:$C$451,$C129,'TL01'!$J$238:$J$451),0),
IF('TL02'!$B$3=P$3,SUMIF('TL02'!$C$10:$C$224,$C129,'TL02'!$J$10:$J$224),0),
IF('TL02'!$B$229=P$3,SUMIF('TL02'!$C$238:$C$451,$C129,'TL02'!$J$238:$J$451),0),
IF('TL03'!$B$3=P$3,SUMIF('TL03'!$C$10:$C$224,$C129,'TL03'!$J$10:$J$224),0),
IF('TL03'!$B$229=P$3,SUMIF('TL03'!$C$238:$C$451,$C129,'TL03'!$J$238:$J$451),0),
IF('TL04'!$B$3=P$3,SUMIF('TL04'!$C$10:$C$224,$C129,'TL04'!$J$10:$J$224),0),
IF('TL04'!$B$229=P$3,SUMIF('TL04'!$C$238:$C$451,$C129,'TL04'!$J$238:$J$451),0),
IF('TL05'!$B$3=P$3,SUMIF('TL05'!$C$10:$C$224,$C129,'TL05'!$J$10:$J$224),0),
IF('TL05'!$B$229=P$3,SUMIF('TL05'!$C$238:$C$451,$C129,'TL05'!$J$238:$J$451),0),
IF('TL06'!$B$3=P$3,SUMIF('TL06'!$C$10:$C$224,$C129,'TL06'!$J$10:$J$224),0),
IF('TL06'!$B$229=P$3,SUMIF('TL06'!$C$238:$C$451,$C129,'TL06'!$J$238:$J$451),0),
IF('TL07'!$B$3=P$3,SUMIF('TL07'!$C$10:$C$224,$C129,'TL07'!$J$10:$J$224),0),
IF('TL07'!$B$229=P$3,SUMIF('TL07'!$C$238:$C$451,$C129,'TL07'!$J$238:$J$451),0),
IF('TL08'!$B$3=P$3,SUMIF('TL08'!$C$10:$C$224,$C129,'TL08'!$J$10:$J$224),0),
IF('TL08'!$B$229=P$3,SUMIF('TL08'!$C$238:$C$451,$C129,'TL08'!$J$238:$J$451),0),
IF('TL09'!$B$3=P$3,SUMIF('TL09'!$C$10:$C$224,$C129,'TL09'!$J$10:$J$224),0),
IF('TL09'!$B$229=P$3,SUMIF('TL09'!$C$238:$C$451,$C129,'TL09'!$J$238:$J$451),0),
IF('TL10'!$B$3=P$3,SUMIF('TL10'!$C$10:$C$224,$C129,'TL10'!$J$10:$J$224),0),
IF('TL10'!$B$229=P$3,SUMIF('TL10'!$C$238:$C$451,$C129,'TL10'!$J$238:$J$451),0),
IF('TL11'!$B$3=P$3,SUMIF('TL11'!$C$10:$C$224,$C129,'TL11'!$J$10:$J$224),0),
IF('TL11'!$B$229=P$3,SUMIF('TL11'!$C$238:$C$451,$C129,'TL11'!$J$238:$J$451),0),
IF('TL12'!$B$3=P$3,SUMIF('TL12'!$C$10:$C$224,$C129,'TL12'!$J$10:$J$224),0),
IF('TL12'!$B$229=P$3,SUMIF('TL12'!$C$238:$C$451,$C129,'TL12'!$J$238:$J$451),0),
IF('TL13'!$B$3=P$3,SUMIF('TL13'!$C$10:$C$224,$C129,'TL13'!$J$10:$J$224),0),
IF('TL13'!$B$229=P$3,SUMIF('TL13'!$C$238:$C$451,$C129,'TL13'!$J$238:$J$451),0),
IF('TL14'!$B$3=P$3,SUMIF('TL14'!$C$10:$C$224,$C129,'TL14'!$J$10:$J$224),0),
IF('TL14'!$B$229=P$3,SUMIF('TL14'!$C$238:$C$451,$C129,'TL14'!$J$238:$J$451),0),
IF('TL15'!$B$3=P$3,SUMIF('TL15'!$C$10:$C$224,$C129,'TL15'!$J$10:$J$224),0),
IF('TL15'!$B$229=P$3,SUMIF('TL15'!$C$238:$C$451,$C129,'TL15'!$J$238:$J$451),0),
IF('TL16'!$B$3=P$3,SUMIF('TL16'!$C$10:$C$224,$C129,'TL16'!$J$10:$J$224),0),
IF('TL16'!$B$229=P$3,SUMIF('TL16'!$C$238:$C$451,$C129,'TL16'!$J$238:$J$451),0),
IF('TL17'!$B$3=P$3,SUMIF('TL17'!$C$10:$C$224,$C129,'TL17'!$J$10:$J$224),0),
IF('TL17'!$B$229=P$3,SUMIF('TL17'!$C$238:$C$451,$C129,'TL17'!$J$238:$J$451),0),
IF('TL18'!$B$3=P$3,SUMIF('TL18'!$C$10:$C$224,$C129,'TL18'!$J$10:$J$224),0),
IF('TL18'!$B$229=P$3,SUMIF('TL18'!$C$238:$C$451,$C129,'TL18'!$J$238:$J$451),0),
IF('TL19'!$B$3=P$3,SUMIF('TL19'!$C$10:$C$224,$C129,'TL19'!$J$10:$J$224),0),
IF('TL19'!$B$229=P$3,SUMIF('TL19'!$C$238:$C$451,$C129,'TL19'!$J$238:$J$451),0)
),0)</f>
        <v>0</v>
      </c>
      <c r="Q129" s="9">
        <f>IFERROR(SUM(
IF('TL01'!$B$3=Q$3,SUMIF('TL01'!$C$10:$C$224,$C129,'TL01'!$J$10:$J$224),0),
IF('TL01'!$B$229=Q$3,SUMIF('TL01'!$C$238:$C$451,$C129,'TL01'!$J$238:$J$451),0),
IF('TL02'!$B$3=Q$3,SUMIF('TL02'!$C$10:$C$224,$C129,'TL02'!$J$10:$J$224),0),
IF('TL02'!$B$229=Q$3,SUMIF('TL02'!$C$238:$C$451,$C129,'TL02'!$J$238:$J$451),0),
IF('TL03'!$B$3=Q$3,SUMIF('TL03'!$C$10:$C$224,$C129,'TL03'!$J$10:$J$224),0),
IF('TL03'!$B$229=Q$3,SUMIF('TL03'!$C$238:$C$451,$C129,'TL03'!$J$238:$J$451),0),
IF('TL04'!$B$3=Q$3,SUMIF('TL04'!$C$10:$C$224,$C129,'TL04'!$J$10:$J$224),0),
IF('TL04'!$B$229=Q$3,SUMIF('TL04'!$C$238:$C$451,$C129,'TL04'!$J$238:$J$451),0),
IF('TL05'!$B$3=Q$3,SUMIF('TL05'!$C$10:$C$224,$C129,'TL05'!$J$10:$J$224),0),
IF('TL05'!$B$229=Q$3,SUMIF('TL05'!$C$238:$C$451,$C129,'TL05'!$J$238:$J$451),0),
IF('TL06'!$B$3=Q$3,SUMIF('TL06'!$C$10:$C$224,$C129,'TL06'!$J$10:$J$224),0),
IF('TL06'!$B$229=Q$3,SUMIF('TL06'!$C$238:$C$451,$C129,'TL06'!$J$238:$J$451),0),
IF('TL07'!$B$3=Q$3,SUMIF('TL07'!$C$10:$C$224,$C129,'TL07'!$J$10:$J$224),0),
IF('TL07'!$B$229=Q$3,SUMIF('TL07'!$C$238:$C$451,$C129,'TL07'!$J$238:$J$451),0),
IF('TL08'!$B$3=Q$3,SUMIF('TL08'!$C$10:$C$224,$C129,'TL08'!$J$10:$J$224),0),
IF('TL08'!$B$229=Q$3,SUMIF('TL08'!$C$238:$C$451,$C129,'TL08'!$J$238:$J$451),0),
IF('TL09'!$B$3=Q$3,SUMIF('TL09'!$C$10:$C$224,$C129,'TL09'!$J$10:$J$224),0),
IF('TL09'!$B$229=Q$3,SUMIF('TL09'!$C$238:$C$451,$C129,'TL09'!$J$238:$J$451),0),
IF('TL10'!$B$3=Q$3,SUMIF('TL10'!$C$10:$C$224,$C129,'TL10'!$J$10:$J$224),0),
IF('TL10'!$B$229=Q$3,SUMIF('TL10'!$C$238:$C$451,$C129,'TL10'!$J$238:$J$451),0),
IF('TL11'!$B$3=Q$3,SUMIF('TL11'!$C$10:$C$224,$C129,'TL11'!$J$10:$J$224),0),
IF('TL11'!$B$229=Q$3,SUMIF('TL11'!$C$238:$C$451,$C129,'TL11'!$J$238:$J$451),0),
IF('TL12'!$B$3=Q$3,SUMIF('TL12'!$C$10:$C$224,$C129,'TL12'!$J$10:$J$224),0),
IF('TL12'!$B$229=Q$3,SUMIF('TL12'!$C$238:$C$451,$C129,'TL12'!$J$238:$J$451),0),
IF('TL13'!$B$3=Q$3,SUMIF('TL13'!$C$10:$C$224,$C129,'TL13'!$J$10:$J$224),0),
IF('TL13'!$B$229=Q$3,SUMIF('TL13'!$C$238:$C$451,$C129,'TL13'!$J$238:$J$451),0),
IF('TL14'!$B$3=Q$3,SUMIF('TL14'!$C$10:$C$224,$C129,'TL14'!$J$10:$J$224),0),
IF('TL14'!$B$229=Q$3,SUMIF('TL14'!$C$238:$C$451,$C129,'TL14'!$J$238:$J$451),0),
IF('TL15'!$B$3=Q$3,SUMIF('TL15'!$C$10:$C$224,$C129,'TL15'!$J$10:$J$224),0),
IF('TL15'!$B$229=Q$3,SUMIF('TL15'!$C$238:$C$451,$C129,'TL15'!$J$238:$J$451),0),
IF('TL16'!$B$3=Q$3,SUMIF('TL16'!$C$10:$C$224,$C129,'TL16'!$J$10:$J$224),0),
IF('TL16'!$B$229=Q$3,SUMIF('TL16'!$C$238:$C$451,$C129,'TL16'!$J$238:$J$451),0),
IF('TL17'!$B$3=Q$3,SUMIF('TL17'!$C$10:$C$224,$C129,'TL17'!$J$10:$J$224),0),
IF('TL17'!$B$229=Q$3,SUMIF('TL17'!$C$238:$C$451,$C129,'TL17'!$J$238:$J$451),0),
IF('TL18'!$B$3=Q$3,SUMIF('TL18'!$C$10:$C$224,$C129,'TL18'!$J$10:$J$224),0),
IF('TL18'!$B$229=Q$3,SUMIF('TL18'!$C$238:$C$451,$C129,'TL18'!$J$238:$J$451),0),
IF('TL19'!$B$3=Q$3,SUMIF('TL19'!$C$10:$C$224,$C129,'TL19'!$J$10:$J$224),0),
IF('TL19'!$B$229=Q$3,SUMIF('TL19'!$C$238:$C$451,$C129,'TL19'!$J$238:$J$451),0)
),0)</f>
        <v>0</v>
      </c>
      <c r="R129" s="9">
        <f>IFERROR(
SUM(
SUMIF('TL01'!C:C,C129,'TL01'!J:J),
SUMIF('TL02'!C:C,C129,'TL02'!J:J),
SUMIF('TL03'!C:C,C129,'TL03'!J:J),
SUMIF('TL04'!C:C,C129,'TL04'!J:J),
SUMIF('TL05'!C:C,C129,'TL05'!J:J),
SUMIF('TL06'!C:C,C129,'TL06'!J:J),
SUMIF('TL07'!C:C,C129,'TL07'!J:J),
SUMIF('TL08'!C:C,C129,'TL08'!J:J),
SUMIF('TL09'!C:C,C129,'TL09'!J:J),
SUMIF('TL10'!C:C,C129,'TL10'!J:J),
SUMIF('TL11'!C:C,C129,'TL11'!J:J),
SUMIF('TL12'!C:C,C129,'TL12'!J:J),
SUMIF('TL13'!C:C,C129,'TL13'!J:J),
SUMIF('TL14'!C:C,C129,'TL14'!J:J),
SUMIF('TL15'!C:C,C129,'TL15'!J:J),
SUMIF('TL16'!C:C,C129,'TL16'!J:J),
SUMIF('TL17'!C:C,C129,'TL17'!J:J),
SUMIF('TL18'!C:C,C129,'TL18'!J:J),SUMIF('TL19'!C:C,C129,'TL19'!J:J))
,0)</f>
        <v>0</v>
      </c>
      <c r="S129" s="17">
        <f>IFERROR(__xludf.DUMMYFUNCTION("IFERROR(VLOOKUP(C129,
IMPORTRANGE(""1wULbzX32WdYsx-lj2U3uUNBBe2INVIRDtcK0d-Dvl90"",
""26-27!C:G""),
5,
FALSE),
"""")"),585.4218599999999)</f>
        <v>585.42186</v>
      </c>
      <c r="T129" s="9"/>
      <c r="U129" s="92">
        <f t="shared" si="2"/>
        <v>0</v>
      </c>
      <c r="V129" s="93">
        <f t="shared" si="3"/>
        <v>0</v>
      </c>
    </row>
    <row r="130" ht="15.75" hidden="1" customHeight="1">
      <c r="A130" s="115" t="s">
        <v>353</v>
      </c>
      <c r="B130" s="100" t="s">
        <v>1</v>
      </c>
      <c r="C130" s="116" t="s">
        <v>662</v>
      </c>
      <c r="D130" s="116" t="s">
        <v>663</v>
      </c>
      <c r="E130" s="116" t="s">
        <v>664</v>
      </c>
      <c r="F130" s="4" t="s">
        <v>343</v>
      </c>
      <c r="G130" s="90" t="str">
        <f t="shared" si="4"/>
        <v>📄 Ver bula</v>
      </c>
      <c r="H130" s="9" t="str">
        <f>IFERROR(__xludf.DUMMYFUNCTION("IFERROR(VLOOKUP(C130,
IMPORTRANGE(""1wULbzX32WdYsx-lj2U3uUNBBe2INVIRDtcK0d-Dvl90"",
""26-27!C:K""),
8,
FALSE),
"""")"),"")</f>
        <v/>
      </c>
      <c r="I130" s="117" t="s">
        <v>344</v>
      </c>
      <c r="J130" s="9">
        <f>IFERROR(SUM(
IF('TL01'!$B$3=J$3,SUMIF('TL01'!$C$10:$C$224,$C130,'TL01'!$J$10:$J$224),0),
IF('TL01'!$B$229=J$3,SUMIF('TL01'!$C$238:$C$451,$C130,'TL01'!$J$238:$J$451),0),
IF('TL02'!$B$3=J$3,SUMIF('TL02'!$C$10:$C$224,$C130,'TL02'!$J$10:$J$224),0),
IF('TL02'!$B$229=J$3,SUMIF('TL02'!$C$238:$C$451,$C130,'TL02'!$J$238:$J$451),0),
IF('TL03'!$B$3=J$3,SUMIF('TL03'!$C$10:$C$224,$C130,'TL03'!$J$10:$J$224),0),
IF('TL03'!$B$229=J$3,SUMIF('TL03'!$C$238:$C$451,$C130,'TL03'!$J$238:$J$451),0),
IF('TL04'!$B$3=J$3,SUMIF('TL04'!$C$10:$C$224,$C130,'TL04'!$J$10:$J$224),0),
IF('TL04'!$B$229=J$3,SUMIF('TL04'!$C$238:$C$451,$C130,'TL04'!$J$238:$J$451),0),
IF('TL05'!$B$3=J$3,SUMIF('TL05'!$C$10:$C$224,$C130,'TL05'!$J$10:$J$224),0),
IF('TL05'!$B$229=J$3,SUMIF('TL05'!$C$238:$C$451,$C130,'TL05'!$J$238:$J$451),0),
IF('TL06'!$B$3=J$3,SUMIF('TL06'!$C$10:$C$224,$C130,'TL06'!$J$10:$J$224),0),
IF('TL06'!$B$229=J$3,SUMIF('TL06'!$C$238:$C$451,$C130,'TL06'!$J$238:$J$451),0),
IF('TL07'!$B$3=J$3,SUMIF('TL07'!$C$10:$C$224,$C130,'TL07'!$J$10:$J$224),0),
IF('TL07'!$B$229=J$3,SUMIF('TL07'!$C$238:$C$451,$C130,'TL07'!$J$238:$J$451),0),
IF('TL08'!$B$3=J$3,SUMIF('TL08'!$C$10:$C$224,$C130,'TL08'!$J$10:$J$224),0),
IF('TL08'!$B$229=J$3,SUMIF('TL08'!$C$238:$C$451,$C130,'TL08'!$J$238:$J$451),0),
IF('TL09'!$B$3=J$3,SUMIF('TL09'!$C$10:$C$224,$C130,'TL09'!$J$10:$J$224),0),
IF('TL09'!$B$229=J$3,SUMIF('TL09'!$C$238:$C$451,$C130,'TL09'!$J$238:$J$451),0),
IF('TL10'!$B$3=J$3,SUMIF('TL10'!$C$10:$C$224,$C130,'TL10'!$J$10:$J$224),0),
IF('TL10'!$B$229=J$3,SUMIF('TL10'!$C$238:$C$451,$C130,'TL10'!$J$238:$J$451),0),
IF('TL11'!$B$3=J$3,SUMIF('TL11'!$C$10:$C$224,$C130,'TL11'!$J$10:$J$224),0),
IF('TL11'!$B$229=J$3,SUMIF('TL11'!$C$238:$C$451,$C130,'TL11'!$J$238:$J$451),0),
IF('TL12'!$B$3=J$3,SUMIF('TL12'!$C$10:$C$224,$C130,'TL12'!$J$10:$J$224),0),
IF('TL12'!$B$229=J$3,SUMIF('TL12'!$C$238:$C$451,$C130,'TL12'!$J$238:$J$451),0),
IF('TL13'!$B$3=J$3,SUMIF('TL13'!$C$10:$C$224,$C130,'TL13'!$J$10:$J$224),0),
IF('TL13'!$B$229=J$3,SUMIF('TL13'!$C$238:$C$451,$C130,'TL13'!$J$238:$J$451),0),
IF('TL14'!$B$3=J$3,SUMIF('TL14'!$C$10:$C$224,$C130,'TL14'!$J$10:$J$224),0),
IF('TL14'!$B$229=J$3,SUMIF('TL14'!$C$238:$C$451,$C130,'TL14'!$J$238:$J$451),0),
IF('TL15'!$B$3=J$3,SUMIF('TL15'!$C$10:$C$224,$C130,'TL15'!$J$10:$J$224),0),
IF('TL15'!$B$229=J$3,SUMIF('TL15'!$C$238:$C$451,$C130,'TL15'!$J$238:$J$451),0),
IF('TL16'!$B$3=J$3,SUMIF('TL16'!$C$10:$C$224,$C130,'TL16'!$J$10:$J$224),0),
IF('TL16'!$B$229=J$3,SUMIF('TL16'!$C$238:$C$451,$C130,'TL16'!$J$238:$J$451),0),
IF('TL17'!$B$3=J$3,SUMIF('TL17'!$C$10:$C$224,$C130,'TL17'!$J$10:$J$224),0),
IF('TL17'!$B$229=J$3,SUMIF('TL17'!$C$238:$C$451,$C130,'TL17'!$J$238:$J$451),0),
IF('TL18'!$B$3=J$3,SUMIF('TL18'!$C$10:$C$224,$C130,'TL18'!$J$10:$J$224),0),
IF('TL18'!$B$229=J$3,SUMIF('TL18'!$C$238:$C$451,$C130,'TL18'!$J$238:$J$451),0),
IF('TL19'!$B$3=J$3,SUMIF('TL19'!$C$10:$C$224,$C130,'TL19'!$J$10:$J$224),0),
IF('TL19'!$B$229=J$3,SUMIF('TL19'!$C$238:$C$451,$C130,'TL19'!$J$238:$J$451),0)
),0)</f>
        <v>0</v>
      </c>
      <c r="K130" s="9">
        <f>IFERROR(SUM(
IF('TL01'!$B$3=K$3,SUMIF('TL01'!$C$10:$C$224,$C130,'TL01'!$J$10:$J$224),0),
IF('TL01'!$B$229=K$3,SUMIF('TL01'!$C$238:$C$451,$C130,'TL01'!$J$238:$J$451),0),
IF('TL02'!$B$3=K$3,SUMIF('TL02'!$C$10:$C$224,$C130,'TL02'!$J$10:$J$224),0),
IF('TL02'!$B$229=K$3,SUMIF('TL02'!$C$238:$C$451,$C130,'TL02'!$J$238:$J$451),0),
IF('TL03'!$B$3=K$3,SUMIF('TL03'!$C$10:$C$224,$C130,'TL03'!$J$10:$J$224),0),
IF('TL03'!$B$229=K$3,SUMIF('TL03'!$C$238:$C$451,$C130,'TL03'!$J$238:$J$451),0),
IF('TL04'!$B$3=K$3,SUMIF('TL04'!$C$10:$C$224,$C130,'TL04'!$J$10:$J$224),0),
IF('TL04'!$B$229=K$3,SUMIF('TL04'!$C$238:$C$451,$C130,'TL04'!$J$238:$J$451),0),
IF('TL05'!$B$3=K$3,SUMIF('TL05'!$C$10:$C$224,$C130,'TL05'!$J$10:$J$224),0),
IF('TL05'!$B$229=K$3,SUMIF('TL05'!$C$238:$C$451,$C130,'TL05'!$J$238:$J$451),0),
IF('TL06'!$B$3=K$3,SUMIF('TL06'!$C$10:$C$224,$C130,'TL06'!$J$10:$J$224),0),
IF('TL06'!$B$229=K$3,SUMIF('TL06'!$C$238:$C$451,$C130,'TL06'!$J$238:$J$451),0),
IF('TL07'!$B$3=K$3,SUMIF('TL07'!$C$10:$C$224,$C130,'TL07'!$J$10:$J$224),0),
IF('TL07'!$B$229=K$3,SUMIF('TL07'!$C$238:$C$451,$C130,'TL07'!$J$238:$J$451),0),
IF('TL08'!$B$3=K$3,SUMIF('TL08'!$C$10:$C$224,$C130,'TL08'!$J$10:$J$224),0),
IF('TL08'!$B$229=K$3,SUMIF('TL08'!$C$238:$C$451,$C130,'TL08'!$J$238:$J$451),0),
IF('TL09'!$B$3=K$3,SUMIF('TL09'!$C$10:$C$224,$C130,'TL09'!$J$10:$J$224),0),
IF('TL09'!$B$229=K$3,SUMIF('TL09'!$C$238:$C$451,$C130,'TL09'!$J$238:$J$451),0),
IF('TL10'!$B$3=K$3,SUMIF('TL10'!$C$10:$C$224,$C130,'TL10'!$J$10:$J$224),0),
IF('TL10'!$B$229=K$3,SUMIF('TL10'!$C$238:$C$451,$C130,'TL10'!$J$238:$J$451),0),
IF('TL11'!$B$3=K$3,SUMIF('TL11'!$C$10:$C$224,$C130,'TL11'!$J$10:$J$224),0),
IF('TL11'!$B$229=K$3,SUMIF('TL11'!$C$238:$C$451,$C130,'TL11'!$J$238:$J$451),0),
IF('TL12'!$B$3=K$3,SUMIF('TL12'!$C$10:$C$224,$C130,'TL12'!$J$10:$J$224),0),
IF('TL12'!$B$229=K$3,SUMIF('TL12'!$C$238:$C$451,$C130,'TL12'!$J$238:$J$451),0),
IF('TL13'!$B$3=K$3,SUMIF('TL13'!$C$10:$C$224,$C130,'TL13'!$J$10:$J$224),0),
IF('TL13'!$B$229=K$3,SUMIF('TL13'!$C$238:$C$451,$C130,'TL13'!$J$238:$J$451),0),
IF('TL14'!$B$3=K$3,SUMIF('TL14'!$C$10:$C$224,$C130,'TL14'!$J$10:$J$224),0),
IF('TL14'!$B$229=K$3,SUMIF('TL14'!$C$238:$C$451,$C130,'TL14'!$J$238:$J$451),0),
IF('TL15'!$B$3=K$3,SUMIF('TL15'!$C$10:$C$224,$C130,'TL15'!$J$10:$J$224),0),
IF('TL15'!$B$229=K$3,SUMIF('TL15'!$C$238:$C$451,$C130,'TL15'!$J$238:$J$451),0),
IF('TL16'!$B$3=K$3,SUMIF('TL16'!$C$10:$C$224,$C130,'TL16'!$J$10:$J$224),0),
IF('TL16'!$B$229=K$3,SUMIF('TL16'!$C$238:$C$451,$C130,'TL16'!$J$238:$J$451),0),
IF('TL17'!$B$3=K$3,SUMIF('TL17'!$C$10:$C$224,$C130,'TL17'!$J$10:$J$224),0),
IF('TL17'!$B$229=K$3,SUMIF('TL17'!$C$238:$C$451,$C130,'TL17'!$J$238:$J$451),0),
IF('TL18'!$B$3=K$3,SUMIF('TL18'!$C$10:$C$224,$C130,'TL18'!$J$10:$J$224),0),
IF('TL18'!$B$229=K$3,SUMIF('TL18'!$C$238:$C$451,$C130,'TL18'!$J$238:$J$451),0),
IF('TL19'!$B$3=K$3,SUMIF('TL19'!$C$10:$C$224,$C130,'TL19'!$J$10:$J$224),0),
IF('TL19'!$B$229=K$3,SUMIF('TL19'!$C$238:$C$451,$C130,'TL19'!$J$238:$J$451),0)
),0)</f>
        <v>0</v>
      </c>
      <c r="L130" s="9">
        <f>IFERROR(SUM(
IF('TL01'!$B$3=L$3,SUMIF('TL01'!$C$10:$C$224,$C130,'TL01'!$J$10:$J$224),0),
IF('TL01'!$B$229=L$3,SUMIF('TL01'!$C$238:$C$451,$C130,'TL01'!$J$238:$J$451),0),
IF('TL02'!$B$3=L$3,SUMIF('TL02'!$C$10:$C$224,$C130,'TL02'!$J$10:$J$224),0),
IF('TL02'!$B$229=L$3,SUMIF('TL02'!$C$238:$C$451,$C130,'TL02'!$J$238:$J$451),0),
IF('TL03'!$B$3=L$3,SUMIF('TL03'!$C$10:$C$224,$C130,'TL03'!$J$10:$J$224),0),
IF('TL03'!$B$229=L$3,SUMIF('TL03'!$C$238:$C$451,$C130,'TL03'!$J$238:$J$451),0),
IF('TL04'!$B$3=L$3,SUMIF('TL04'!$C$10:$C$224,$C130,'TL04'!$J$10:$J$224),0),
IF('TL04'!$B$229=L$3,SUMIF('TL04'!$C$238:$C$451,$C130,'TL04'!$J$238:$J$451),0),
IF('TL05'!$B$3=L$3,SUMIF('TL05'!$C$10:$C$224,$C130,'TL05'!$J$10:$J$224),0),
IF('TL05'!$B$229=L$3,SUMIF('TL05'!$C$238:$C$451,$C130,'TL05'!$J$238:$J$451),0),
IF('TL06'!$B$3=L$3,SUMIF('TL06'!$C$10:$C$224,$C130,'TL06'!$J$10:$J$224),0),
IF('TL06'!$B$229=L$3,SUMIF('TL06'!$C$238:$C$451,$C130,'TL06'!$J$238:$J$451),0),
IF('TL07'!$B$3=L$3,SUMIF('TL07'!$C$10:$C$224,$C130,'TL07'!$J$10:$J$224),0),
IF('TL07'!$B$229=L$3,SUMIF('TL07'!$C$238:$C$451,$C130,'TL07'!$J$238:$J$451),0),
IF('TL08'!$B$3=L$3,SUMIF('TL08'!$C$10:$C$224,$C130,'TL08'!$J$10:$J$224),0),
IF('TL08'!$B$229=L$3,SUMIF('TL08'!$C$238:$C$451,$C130,'TL08'!$J$238:$J$451),0),
IF('TL09'!$B$3=L$3,SUMIF('TL09'!$C$10:$C$224,$C130,'TL09'!$J$10:$J$224),0),
IF('TL09'!$B$229=L$3,SUMIF('TL09'!$C$238:$C$451,$C130,'TL09'!$J$238:$J$451),0),
IF('TL10'!$B$3=L$3,SUMIF('TL10'!$C$10:$C$224,$C130,'TL10'!$J$10:$J$224),0),
IF('TL10'!$B$229=L$3,SUMIF('TL10'!$C$238:$C$451,$C130,'TL10'!$J$238:$J$451),0),
IF('TL11'!$B$3=L$3,SUMIF('TL11'!$C$10:$C$224,$C130,'TL11'!$J$10:$J$224),0),
IF('TL11'!$B$229=L$3,SUMIF('TL11'!$C$238:$C$451,$C130,'TL11'!$J$238:$J$451),0),
IF('TL12'!$B$3=L$3,SUMIF('TL12'!$C$10:$C$224,$C130,'TL12'!$J$10:$J$224),0),
IF('TL12'!$B$229=L$3,SUMIF('TL12'!$C$238:$C$451,$C130,'TL12'!$J$238:$J$451),0),
IF('TL13'!$B$3=L$3,SUMIF('TL13'!$C$10:$C$224,$C130,'TL13'!$J$10:$J$224),0),
IF('TL13'!$B$229=L$3,SUMIF('TL13'!$C$238:$C$451,$C130,'TL13'!$J$238:$J$451),0),
IF('TL14'!$B$3=L$3,SUMIF('TL14'!$C$10:$C$224,$C130,'TL14'!$J$10:$J$224),0),
IF('TL14'!$B$229=L$3,SUMIF('TL14'!$C$238:$C$451,$C130,'TL14'!$J$238:$J$451),0),
IF('TL15'!$B$3=L$3,SUMIF('TL15'!$C$10:$C$224,$C130,'TL15'!$J$10:$J$224),0),
IF('TL15'!$B$229=L$3,SUMIF('TL15'!$C$238:$C$451,$C130,'TL15'!$J$238:$J$451),0),
IF('TL16'!$B$3=L$3,SUMIF('TL16'!$C$10:$C$224,$C130,'TL16'!$J$10:$J$224),0),
IF('TL16'!$B$229=L$3,SUMIF('TL16'!$C$238:$C$451,$C130,'TL16'!$J$238:$J$451),0),
IF('TL17'!$B$3=L$3,SUMIF('TL17'!$C$10:$C$224,$C130,'TL17'!$J$10:$J$224),0),
IF('TL17'!$B$229=L$3,SUMIF('TL17'!$C$238:$C$451,$C130,'TL17'!$J$238:$J$451),0),
IF('TL18'!$B$3=L$3,SUMIF('TL18'!$C$10:$C$224,$C130,'TL18'!$J$10:$J$224),0),
IF('TL18'!$B$229=L$3,SUMIF('TL18'!$C$238:$C$451,$C130,'TL18'!$J$238:$J$451),0),
IF('TL19'!$B$3=L$3,SUMIF('TL19'!$C$10:$C$224,$C130,'TL19'!$J$10:$J$224),0),
IF('TL19'!$B$229=L$3,SUMIF('TL19'!$C$238:$C$451,$C130,'TL19'!$J$238:$J$451),0)
),0)</f>
        <v>0</v>
      </c>
      <c r="M130" s="9">
        <f>IFERROR(SUM(
IF('TL01'!$B$3=M$3,SUMIF('TL01'!$C$10:$C$224,$C130,'TL01'!$J$10:$J$224),0),
IF('TL01'!$B$229=M$3,SUMIF('TL01'!$C$238:$C$451,$C130,'TL01'!$J$238:$J$451),0),
IF('TL02'!$B$3=M$3,SUMIF('TL02'!$C$10:$C$224,$C130,'TL02'!$J$10:$J$224),0),
IF('TL02'!$B$229=M$3,SUMIF('TL02'!$C$238:$C$451,$C130,'TL02'!$J$238:$J$451),0),
IF('TL03'!$B$3=M$3,SUMIF('TL03'!$C$10:$C$224,$C130,'TL03'!$J$10:$J$224),0),
IF('TL03'!$B$229=M$3,SUMIF('TL03'!$C$238:$C$451,$C130,'TL03'!$J$238:$J$451),0),
IF('TL04'!$B$3=M$3,SUMIF('TL04'!$C$10:$C$224,$C130,'TL04'!$J$10:$J$224),0),
IF('TL04'!$B$229=M$3,SUMIF('TL04'!$C$238:$C$451,$C130,'TL04'!$J$238:$J$451),0),
IF('TL05'!$B$3=M$3,SUMIF('TL05'!$C$10:$C$224,$C130,'TL05'!$J$10:$J$224),0),
IF('TL05'!$B$229=M$3,SUMIF('TL05'!$C$238:$C$451,$C130,'TL05'!$J$238:$J$451),0),
IF('TL06'!$B$3=M$3,SUMIF('TL06'!$C$10:$C$224,$C130,'TL06'!$J$10:$J$224),0),
IF('TL06'!$B$229=M$3,SUMIF('TL06'!$C$238:$C$451,$C130,'TL06'!$J$238:$J$451),0),
IF('TL07'!$B$3=M$3,SUMIF('TL07'!$C$10:$C$224,$C130,'TL07'!$J$10:$J$224),0),
IF('TL07'!$B$229=M$3,SUMIF('TL07'!$C$238:$C$451,$C130,'TL07'!$J$238:$J$451),0),
IF('TL08'!$B$3=M$3,SUMIF('TL08'!$C$10:$C$224,$C130,'TL08'!$J$10:$J$224),0),
IF('TL08'!$B$229=M$3,SUMIF('TL08'!$C$238:$C$451,$C130,'TL08'!$J$238:$J$451),0),
IF('TL09'!$B$3=M$3,SUMIF('TL09'!$C$10:$C$224,$C130,'TL09'!$J$10:$J$224),0),
IF('TL09'!$B$229=M$3,SUMIF('TL09'!$C$238:$C$451,$C130,'TL09'!$J$238:$J$451),0),
IF('TL10'!$B$3=M$3,SUMIF('TL10'!$C$10:$C$224,$C130,'TL10'!$J$10:$J$224),0),
IF('TL10'!$B$229=M$3,SUMIF('TL10'!$C$238:$C$451,$C130,'TL10'!$J$238:$J$451),0),
IF('TL11'!$B$3=M$3,SUMIF('TL11'!$C$10:$C$224,$C130,'TL11'!$J$10:$J$224),0),
IF('TL11'!$B$229=M$3,SUMIF('TL11'!$C$238:$C$451,$C130,'TL11'!$J$238:$J$451),0),
IF('TL12'!$B$3=M$3,SUMIF('TL12'!$C$10:$C$224,$C130,'TL12'!$J$10:$J$224),0),
IF('TL12'!$B$229=M$3,SUMIF('TL12'!$C$238:$C$451,$C130,'TL12'!$J$238:$J$451),0),
IF('TL13'!$B$3=M$3,SUMIF('TL13'!$C$10:$C$224,$C130,'TL13'!$J$10:$J$224),0),
IF('TL13'!$B$229=M$3,SUMIF('TL13'!$C$238:$C$451,$C130,'TL13'!$J$238:$J$451),0),
IF('TL14'!$B$3=M$3,SUMIF('TL14'!$C$10:$C$224,$C130,'TL14'!$J$10:$J$224),0),
IF('TL14'!$B$229=M$3,SUMIF('TL14'!$C$238:$C$451,$C130,'TL14'!$J$238:$J$451),0),
IF('TL15'!$B$3=M$3,SUMIF('TL15'!$C$10:$C$224,$C130,'TL15'!$J$10:$J$224),0),
IF('TL15'!$B$229=M$3,SUMIF('TL15'!$C$238:$C$451,$C130,'TL15'!$J$238:$J$451),0),
IF('TL16'!$B$3=M$3,SUMIF('TL16'!$C$10:$C$224,$C130,'TL16'!$J$10:$J$224),0),
IF('TL16'!$B$229=M$3,SUMIF('TL16'!$C$238:$C$451,$C130,'TL16'!$J$238:$J$451),0),
IF('TL17'!$B$3=M$3,SUMIF('TL17'!$C$10:$C$224,$C130,'TL17'!$J$10:$J$224),0),
IF('TL17'!$B$229=M$3,SUMIF('TL17'!$C$238:$C$451,$C130,'TL17'!$J$238:$J$451),0),
IF('TL18'!$B$3=M$3,SUMIF('TL18'!$C$10:$C$224,$C130,'TL18'!$J$10:$J$224),0),
IF('TL18'!$B$229=M$3,SUMIF('TL18'!$C$238:$C$451,$C130,'TL18'!$J$238:$J$451),0),
IF('TL19'!$B$3=M$3,SUMIF('TL19'!$C$10:$C$224,$C130,'TL19'!$J$10:$J$224),0),
IF('TL19'!$B$229=M$3,SUMIF('TL19'!$C$238:$C$451,$C130,'TL19'!$J$238:$J$451),0)
),0)</f>
        <v>0</v>
      </c>
      <c r="N130" s="9">
        <f>IFERROR(SUM(
IF('TL01'!$B$3=N$3,SUMIF('TL01'!$C$10:$C$224,$C130,'TL01'!$J$10:$J$224),0),
IF('TL01'!$B$229=N$3,SUMIF('TL01'!$C$238:$C$451,$C130,'TL01'!$J$238:$J$451),0),
IF('TL02'!$B$3=N$3,SUMIF('TL02'!$C$10:$C$224,$C130,'TL02'!$J$10:$J$224),0),
IF('TL02'!$B$229=N$3,SUMIF('TL02'!$C$238:$C$451,$C130,'TL02'!$J$238:$J$451),0),
IF('TL03'!$B$3=N$3,SUMIF('TL03'!$C$10:$C$224,$C130,'TL03'!$J$10:$J$224),0),
IF('TL03'!$B$229=N$3,SUMIF('TL03'!$C$238:$C$451,$C130,'TL03'!$J$238:$J$451),0),
IF('TL04'!$B$3=N$3,SUMIF('TL04'!$C$10:$C$224,$C130,'TL04'!$J$10:$J$224),0),
IF('TL04'!$B$229=N$3,SUMIF('TL04'!$C$238:$C$451,$C130,'TL04'!$J$238:$J$451),0),
IF('TL05'!$B$3=N$3,SUMIF('TL05'!$C$10:$C$224,$C130,'TL05'!$J$10:$J$224),0),
IF('TL05'!$B$229=N$3,SUMIF('TL05'!$C$238:$C$451,$C130,'TL05'!$J$238:$J$451),0),
IF('TL06'!$B$3=N$3,SUMIF('TL06'!$C$10:$C$224,$C130,'TL06'!$J$10:$J$224),0),
IF('TL06'!$B$229=N$3,SUMIF('TL06'!$C$238:$C$451,$C130,'TL06'!$J$238:$J$451),0),
IF('TL07'!$B$3=N$3,SUMIF('TL07'!$C$10:$C$224,$C130,'TL07'!$J$10:$J$224),0),
IF('TL07'!$B$229=N$3,SUMIF('TL07'!$C$238:$C$451,$C130,'TL07'!$J$238:$J$451),0),
IF('TL08'!$B$3=N$3,SUMIF('TL08'!$C$10:$C$224,$C130,'TL08'!$J$10:$J$224),0),
IF('TL08'!$B$229=N$3,SUMIF('TL08'!$C$238:$C$451,$C130,'TL08'!$J$238:$J$451),0),
IF('TL09'!$B$3=N$3,SUMIF('TL09'!$C$10:$C$224,$C130,'TL09'!$J$10:$J$224),0),
IF('TL09'!$B$229=N$3,SUMIF('TL09'!$C$238:$C$451,$C130,'TL09'!$J$238:$J$451),0),
IF('TL10'!$B$3=N$3,SUMIF('TL10'!$C$10:$C$224,$C130,'TL10'!$J$10:$J$224),0),
IF('TL10'!$B$229=N$3,SUMIF('TL10'!$C$238:$C$451,$C130,'TL10'!$J$238:$J$451),0),
IF('TL11'!$B$3=N$3,SUMIF('TL11'!$C$10:$C$224,$C130,'TL11'!$J$10:$J$224),0),
IF('TL11'!$B$229=N$3,SUMIF('TL11'!$C$238:$C$451,$C130,'TL11'!$J$238:$J$451),0),
IF('TL12'!$B$3=N$3,SUMIF('TL12'!$C$10:$C$224,$C130,'TL12'!$J$10:$J$224),0),
IF('TL12'!$B$229=N$3,SUMIF('TL12'!$C$238:$C$451,$C130,'TL12'!$J$238:$J$451),0),
IF('TL13'!$B$3=N$3,SUMIF('TL13'!$C$10:$C$224,$C130,'TL13'!$J$10:$J$224),0),
IF('TL13'!$B$229=N$3,SUMIF('TL13'!$C$238:$C$451,$C130,'TL13'!$J$238:$J$451),0),
IF('TL14'!$B$3=N$3,SUMIF('TL14'!$C$10:$C$224,$C130,'TL14'!$J$10:$J$224),0),
IF('TL14'!$B$229=N$3,SUMIF('TL14'!$C$238:$C$451,$C130,'TL14'!$J$238:$J$451),0),
IF('TL15'!$B$3=N$3,SUMIF('TL15'!$C$10:$C$224,$C130,'TL15'!$J$10:$J$224),0),
IF('TL15'!$B$229=N$3,SUMIF('TL15'!$C$238:$C$451,$C130,'TL15'!$J$238:$J$451),0),
IF('TL16'!$B$3=N$3,SUMIF('TL16'!$C$10:$C$224,$C130,'TL16'!$J$10:$J$224),0),
IF('TL16'!$B$229=N$3,SUMIF('TL16'!$C$238:$C$451,$C130,'TL16'!$J$238:$J$451),0),
IF('TL17'!$B$3=N$3,SUMIF('TL17'!$C$10:$C$224,$C130,'TL17'!$J$10:$J$224),0),
IF('TL17'!$B$229=N$3,SUMIF('TL17'!$C$238:$C$451,$C130,'TL17'!$J$238:$J$451),0),
IF('TL18'!$B$3=N$3,SUMIF('TL18'!$C$10:$C$224,$C130,'TL18'!$J$10:$J$224),0),
IF('TL18'!$B$229=N$3,SUMIF('TL18'!$C$238:$C$451,$C130,'TL18'!$J$238:$J$451),0),
IF('TL19'!$B$3=N$3,SUMIF('TL19'!$C$10:$C$224,$C130,'TL19'!$J$10:$J$224),0),
IF('TL19'!$B$229=N$3,SUMIF('TL19'!$C$238:$C$451,$C130,'TL19'!$J$238:$J$451),0)
),0)</f>
        <v>0</v>
      </c>
      <c r="O130" s="9">
        <f>IFERROR(SUM(
IF('TL01'!$B$3=O$3,SUMIF('TL01'!$C$10:$C$224,$C130,'TL01'!$J$10:$J$224),0),
IF('TL01'!$B$229=O$3,SUMIF('TL01'!$C$238:$C$451,$C130,'TL01'!$J$238:$J$451),0),
IF('TL02'!$B$3=O$3,SUMIF('TL02'!$C$10:$C$224,$C130,'TL02'!$J$10:$J$224),0),
IF('TL02'!$B$229=O$3,SUMIF('TL02'!$C$238:$C$451,$C130,'TL02'!$J$238:$J$451),0),
IF('TL03'!$B$3=O$3,SUMIF('TL03'!$C$10:$C$224,$C130,'TL03'!$J$10:$J$224),0),
IF('TL03'!$B$229=O$3,SUMIF('TL03'!$C$238:$C$451,$C130,'TL03'!$J$238:$J$451),0),
IF('TL04'!$B$3=O$3,SUMIF('TL04'!$C$10:$C$224,$C130,'TL04'!$J$10:$J$224),0),
IF('TL04'!$B$229=O$3,SUMIF('TL04'!$C$238:$C$451,$C130,'TL04'!$J$238:$J$451),0),
IF('TL05'!$B$3=O$3,SUMIF('TL05'!$C$10:$C$224,$C130,'TL05'!$J$10:$J$224),0),
IF('TL05'!$B$229=O$3,SUMIF('TL05'!$C$238:$C$451,$C130,'TL05'!$J$238:$J$451),0),
IF('TL06'!$B$3=O$3,SUMIF('TL06'!$C$10:$C$224,$C130,'TL06'!$J$10:$J$224),0),
IF('TL06'!$B$229=O$3,SUMIF('TL06'!$C$238:$C$451,$C130,'TL06'!$J$238:$J$451),0),
IF('TL07'!$B$3=O$3,SUMIF('TL07'!$C$10:$C$224,$C130,'TL07'!$J$10:$J$224),0),
IF('TL07'!$B$229=O$3,SUMIF('TL07'!$C$238:$C$451,$C130,'TL07'!$J$238:$J$451),0),
IF('TL08'!$B$3=O$3,SUMIF('TL08'!$C$10:$C$224,$C130,'TL08'!$J$10:$J$224),0),
IF('TL08'!$B$229=O$3,SUMIF('TL08'!$C$238:$C$451,$C130,'TL08'!$J$238:$J$451),0),
IF('TL09'!$B$3=O$3,SUMIF('TL09'!$C$10:$C$224,$C130,'TL09'!$J$10:$J$224),0),
IF('TL09'!$B$229=O$3,SUMIF('TL09'!$C$238:$C$451,$C130,'TL09'!$J$238:$J$451),0),
IF('TL10'!$B$3=O$3,SUMIF('TL10'!$C$10:$C$224,$C130,'TL10'!$J$10:$J$224),0),
IF('TL10'!$B$229=O$3,SUMIF('TL10'!$C$238:$C$451,$C130,'TL10'!$J$238:$J$451),0),
IF('TL11'!$B$3=O$3,SUMIF('TL11'!$C$10:$C$224,$C130,'TL11'!$J$10:$J$224),0),
IF('TL11'!$B$229=O$3,SUMIF('TL11'!$C$238:$C$451,$C130,'TL11'!$J$238:$J$451),0),
IF('TL12'!$B$3=O$3,SUMIF('TL12'!$C$10:$C$224,$C130,'TL12'!$J$10:$J$224),0),
IF('TL12'!$B$229=O$3,SUMIF('TL12'!$C$238:$C$451,$C130,'TL12'!$J$238:$J$451),0),
IF('TL13'!$B$3=O$3,SUMIF('TL13'!$C$10:$C$224,$C130,'TL13'!$J$10:$J$224),0),
IF('TL13'!$B$229=O$3,SUMIF('TL13'!$C$238:$C$451,$C130,'TL13'!$J$238:$J$451),0),
IF('TL14'!$B$3=O$3,SUMIF('TL14'!$C$10:$C$224,$C130,'TL14'!$J$10:$J$224),0),
IF('TL14'!$B$229=O$3,SUMIF('TL14'!$C$238:$C$451,$C130,'TL14'!$J$238:$J$451),0),
IF('TL15'!$B$3=O$3,SUMIF('TL15'!$C$10:$C$224,$C130,'TL15'!$J$10:$J$224),0),
IF('TL15'!$B$229=O$3,SUMIF('TL15'!$C$238:$C$451,$C130,'TL15'!$J$238:$J$451),0),
IF('TL16'!$B$3=O$3,SUMIF('TL16'!$C$10:$C$224,$C130,'TL16'!$J$10:$J$224),0),
IF('TL16'!$B$229=O$3,SUMIF('TL16'!$C$238:$C$451,$C130,'TL16'!$J$238:$J$451),0),
IF('TL17'!$B$3=O$3,SUMIF('TL17'!$C$10:$C$224,$C130,'TL17'!$J$10:$J$224),0),
IF('TL17'!$B$229=O$3,SUMIF('TL17'!$C$238:$C$451,$C130,'TL17'!$J$238:$J$451),0),
IF('TL18'!$B$3=O$3,SUMIF('TL18'!$C$10:$C$224,$C130,'TL18'!$J$10:$J$224),0),
IF('TL18'!$B$229=O$3,SUMIF('TL18'!$C$238:$C$451,$C130,'TL18'!$J$238:$J$451),0),
IF('TL19'!$B$3=O$3,SUMIF('TL19'!$C$10:$C$224,$C130,'TL19'!$J$10:$J$224),0),
IF('TL19'!$B$229=O$3,SUMIF('TL19'!$C$238:$C$451,$C130,'TL19'!$J$238:$J$451),0)
),0)</f>
        <v>0</v>
      </c>
      <c r="P130" s="9">
        <f>IFERROR(SUM(
IF('TL01'!$B$3=P$3,SUMIF('TL01'!$C$10:$C$224,$C130,'TL01'!$J$10:$J$224),0),
IF('TL01'!$B$229=P$3,SUMIF('TL01'!$C$238:$C$451,$C130,'TL01'!$J$238:$J$451),0),
IF('TL02'!$B$3=P$3,SUMIF('TL02'!$C$10:$C$224,$C130,'TL02'!$J$10:$J$224),0),
IF('TL02'!$B$229=P$3,SUMIF('TL02'!$C$238:$C$451,$C130,'TL02'!$J$238:$J$451),0),
IF('TL03'!$B$3=P$3,SUMIF('TL03'!$C$10:$C$224,$C130,'TL03'!$J$10:$J$224),0),
IF('TL03'!$B$229=P$3,SUMIF('TL03'!$C$238:$C$451,$C130,'TL03'!$J$238:$J$451),0),
IF('TL04'!$B$3=P$3,SUMIF('TL04'!$C$10:$C$224,$C130,'TL04'!$J$10:$J$224),0),
IF('TL04'!$B$229=P$3,SUMIF('TL04'!$C$238:$C$451,$C130,'TL04'!$J$238:$J$451),0),
IF('TL05'!$B$3=P$3,SUMIF('TL05'!$C$10:$C$224,$C130,'TL05'!$J$10:$J$224),0),
IF('TL05'!$B$229=P$3,SUMIF('TL05'!$C$238:$C$451,$C130,'TL05'!$J$238:$J$451),0),
IF('TL06'!$B$3=P$3,SUMIF('TL06'!$C$10:$C$224,$C130,'TL06'!$J$10:$J$224),0),
IF('TL06'!$B$229=P$3,SUMIF('TL06'!$C$238:$C$451,$C130,'TL06'!$J$238:$J$451),0),
IF('TL07'!$B$3=P$3,SUMIF('TL07'!$C$10:$C$224,$C130,'TL07'!$J$10:$J$224),0),
IF('TL07'!$B$229=P$3,SUMIF('TL07'!$C$238:$C$451,$C130,'TL07'!$J$238:$J$451),0),
IF('TL08'!$B$3=P$3,SUMIF('TL08'!$C$10:$C$224,$C130,'TL08'!$J$10:$J$224),0),
IF('TL08'!$B$229=P$3,SUMIF('TL08'!$C$238:$C$451,$C130,'TL08'!$J$238:$J$451),0),
IF('TL09'!$B$3=P$3,SUMIF('TL09'!$C$10:$C$224,$C130,'TL09'!$J$10:$J$224),0),
IF('TL09'!$B$229=P$3,SUMIF('TL09'!$C$238:$C$451,$C130,'TL09'!$J$238:$J$451),0),
IF('TL10'!$B$3=P$3,SUMIF('TL10'!$C$10:$C$224,$C130,'TL10'!$J$10:$J$224),0),
IF('TL10'!$B$229=P$3,SUMIF('TL10'!$C$238:$C$451,$C130,'TL10'!$J$238:$J$451),0),
IF('TL11'!$B$3=P$3,SUMIF('TL11'!$C$10:$C$224,$C130,'TL11'!$J$10:$J$224),0),
IF('TL11'!$B$229=P$3,SUMIF('TL11'!$C$238:$C$451,$C130,'TL11'!$J$238:$J$451),0),
IF('TL12'!$B$3=P$3,SUMIF('TL12'!$C$10:$C$224,$C130,'TL12'!$J$10:$J$224),0),
IF('TL12'!$B$229=P$3,SUMIF('TL12'!$C$238:$C$451,$C130,'TL12'!$J$238:$J$451),0),
IF('TL13'!$B$3=P$3,SUMIF('TL13'!$C$10:$C$224,$C130,'TL13'!$J$10:$J$224),0),
IF('TL13'!$B$229=P$3,SUMIF('TL13'!$C$238:$C$451,$C130,'TL13'!$J$238:$J$451),0),
IF('TL14'!$B$3=P$3,SUMIF('TL14'!$C$10:$C$224,$C130,'TL14'!$J$10:$J$224),0),
IF('TL14'!$B$229=P$3,SUMIF('TL14'!$C$238:$C$451,$C130,'TL14'!$J$238:$J$451),0),
IF('TL15'!$B$3=P$3,SUMIF('TL15'!$C$10:$C$224,$C130,'TL15'!$J$10:$J$224),0),
IF('TL15'!$B$229=P$3,SUMIF('TL15'!$C$238:$C$451,$C130,'TL15'!$J$238:$J$451),0),
IF('TL16'!$B$3=P$3,SUMIF('TL16'!$C$10:$C$224,$C130,'TL16'!$J$10:$J$224),0),
IF('TL16'!$B$229=P$3,SUMIF('TL16'!$C$238:$C$451,$C130,'TL16'!$J$238:$J$451),0),
IF('TL17'!$B$3=P$3,SUMIF('TL17'!$C$10:$C$224,$C130,'TL17'!$J$10:$J$224),0),
IF('TL17'!$B$229=P$3,SUMIF('TL17'!$C$238:$C$451,$C130,'TL17'!$J$238:$J$451),0),
IF('TL18'!$B$3=P$3,SUMIF('TL18'!$C$10:$C$224,$C130,'TL18'!$J$10:$J$224),0),
IF('TL18'!$B$229=P$3,SUMIF('TL18'!$C$238:$C$451,$C130,'TL18'!$J$238:$J$451),0),
IF('TL19'!$B$3=P$3,SUMIF('TL19'!$C$10:$C$224,$C130,'TL19'!$J$10:$J$224),0),
IF('TL19'!$B$229=P$3,SUMIF('TL19'!$C$238:$C$451,$C130,'TL19'!$J$238:$J$451),0)
),0)</f>
        <v>0</v>
      </c>
      <c r="Q130" s="9">
        <f>IFERROR(SUM(
IF('TL01'!$B$3=Q$3,SUMIF('TL01'!$C$10:$C$224,$C130,'TL01'!$J$10:$J$224),0),
IF('TL01'!$B$229=Q$3,SUMIF('TL01'!$C$238:$C$451,$C130,'TL01'!$J$238:$J$451),0),
IF('TL02'!$B$3=Q$3,SUMIF('TL02'!$C$10:$C$224,$C130,'TL02'!$J$10:$J$224),0),
IF('TL02'!$B$229=Q$3,SUMIF('TL02'!$C$238:$C$451,$C130,'TL02'!$J$238:$J$451),0),
IF('TL03'!$B$3=Q$3,SUMIF('TL03'!$C$10:$C$224,$C130,'TL03'!$J$10:$J$224),0),
IF('TL03'!$B$229=Q$3,SUMIF('TL03'!$C$238:$C$451,$C130,'TL03'!$J$238:$J$451),0),
IF('TL04'!$B$3=Q$3,SUMIF('TL04'!$C$10:$C$224,$C130,'TL04'!$J$10:$J$224),0),
IF('TL04'!$B$229=Q$3,SUMIF('TL04'!$C$238:$C$451,$C130,'TL04'!$J$238:$J$451),0),
IF('TL05'!$B$3=Q$3,SUMIF('TL05'!$C$10:$C$224,$C130,'TL05'!$J$10:$J$224),0),
IF('TL05'!$B$229=Q$3,SUMIF('TL05'!$C$238:$C$451,$C130,'TL05'!$J$238:$J$451),0),
IF('TL06'!$B$3=Q$3,SUMIF('TL06'!$C$10:$C$224,$C130,'TL06'!$J$10:$J$224),0),
IF('TL06'!$B$229=Q$3,SUMIF('TL06'!$C$238:$C$451,$C130,'TL06'!$J$238:$J$451),0),
IF('TL07'!$B$3=Q$3,SUMIF('TL07'!$C$10:$C$224,$C130,'TL07'!$J$10:$J$224),0),
IF('TL07'!$B$229=Q$3,SUMIF('TL07'!$C$238:$C$451,$C130,'TL07'!$J$238:$J$451),0),
IF('TL08'!$B$3=Q$3,SUMIF('TL08'!$C$10:$C$224,$C130,'TL08'!$J$10:$J$224),0),
IF('TL08'!$B$229=Q$3,SUMIF('TL08'!$C$238:$C$451,$C130,'TL08'!$J$238:$J$451),0),
IF('TL09'!$B$3=Q$3,SUMIF('TL09'!$C$10:$C$224,$C130,'TL09'!$J$10:$J$224),0),
IF('TL09'!$B$229=Q$3,SUMIF('TL09'!$C$238:$C$451,$C130,'TL09'!$J$238:$J$451),0),
IF('TL10'!$B$3=Q$3,SUMIF('TL10'!$C$10:$C$224,$C130,'TL10'!$J$10:$J$224),0),
IF('TL10'!$B$229=Q$3,SUMIF('TL10'!$C$238:$C$451,$C130,'TL10'!$J$238:$J$451),0),
IF('TL11'!$B$3=Q$3,SUMIF('TL11'!$C$10:$C$224,$C130,'TL11'!$J$10:$J$224),0),
IF('TL11'!$B$229=Q$3,SUMIF('TL11'!$C$238:$C$451,$C130,'TL11'!$J$238:$J$451),0),
IF('TL12'!$B$3=Q$3,SUMIF('TL12'!$C$10:$C$224,$C130,'TL12'!$J$10:$J$224),0),
IF('TL12'!$B$229=Q$3,SUMIF('TL12'!$C$238:$C$451,$C130,'TL12'!$J$238:$J$451),0),
IF('TL13'!$B$3=Q$3,SUMIF('TL13'!$C$10:$C$224,$C130,'TL13'!$J$10:$J$224),0),
IF('TL13'!$B$229=Q$3,SUMIF('TL13'!$C$238:$C$451,$C130,'TL13'!$J$238:$J$451),0),
IF('TL14'!$B$3=Q$3,SUMIF('TL14'!$C$10:$C$224,$C130,'TL14'!$J$10:$J$224),0),
IF('TL14'!$B$229=Q$3,SUMIF('TL14'!$C$238:$C$451,$C130,'TL14'!$J$238:$J$451),0),
IF('TL15'!$B$3=Q$3,SUMIF('TL15'!$C$10:$C$224,$C130,'TL15'!$J$10:$J$224),0),
IF('TL15'!$B$229=Q$3,SUMIF('TL15'!$C$238:$C$451,$C130,'TL15'!$J$238:$J$451),0),
IF('TL16'!$B$3=Q$3,SUMIF('TL16'!$C$10:$C$224,$C130,'TL16'!$J$10:$J$224),0),
IF('TL16'!$B$229=Q$3,SUMIF('TL16'!$C$238:$C$451,$C130,'TL16'!$J$238:$J$451),0),
IF('TL17'!$B$3=Q$3,SUMIF('TL17'!$C$10:$C$224,$C130,'TL17'!$J$10:$J$224),0),
IF('TL17'!$B$229=Q$3,SUMIF('TL17'!$C$238:$C$451,$C130,'TL17'!$J$238:$J$451),0),
IF('TL18'!$B$3=Q$3,SUMIF('TL18'!$C$10:$C$224,$C130,'TL18'!$J$10:$J$224),0),
IF('TL18'!$B$229=Q$3,SUMIF('TL18'!$C$238:$C$451,$C130,'TL18'!$J$238:$J$451),0),
IF('TL19'!$B$3=Q$3,SUMIF('TL19'!$C$10:$C$224,$C130,'TL19'!$J$10:$J$224),0),
IF('TL19'!$B$229=Q$3,SUMIF('TL19'!$C$238:$C$451,$C130,'TL19'!$J$238:$J$451),0)
),0)</f>
        <v>0</v>
      </c>
      <c r="R130" s="9">
        <f>IFERROR(
SUM(
SUMIF('TL01'!C:C,C130,'TL01'!J:J),
SUMIF('TL02'!C:C,C130,'TL02'!J:J),
SUMIF('TL03'!C:C,C130,'TL03'!J:J),
SUMIF('TL04'!C:C,C130,'TL04'!J:J),
SUMIF('TL05'!C:C,C130,'TL05'!J:J),
SUMIF('TL06'!C:C,C130,'TL06'!J:J),
SUMIF('TL07'!C:C,C130,'TL07'!J:J),
SUMIF('TL08'!C:C,C130,'TL08'!J:J),
SUMIF('TL09'!C:C,C130,'TL09'!J:J),
SUMIF('TL10'!C:C,C130,'TL10'!J:J),
SUMIF('TL11'!C:C,C130,'TL11'!J:J),
SUMIF('TL12'!C:C,C130,'TL12'!J:J),
SUMIF('TL13'!C:C,C130,'TL13'!J:J),
SUMIF('TL14'!C:C,C130,'TL14'!J:J),
SUMIF('TL15'!C:C,C130,'TL15'!J:J),
SUMIF('TL16'!C:C,C130,'TL16'!J:J),
SUMIF('TL17'!C:C,C130,'TL17'!J:J),
SUMIF('TL18'!C:C,C130,'TL18'!J:J),SUMIF('TL19'!C:C,C130,'TL19'!J:J))
,0)</f>
        <v>0</v>
      </c>
      <c r="S130" s="17">
        <f>IFERROR(__xludf.DUMMYFUNCTION("IFERROR(VLOOKUP(C130,
IMPORTRANGE(""1wULbzX32WdYsx-lj2U3uUNBBe2INVIRDtcK0d-Dvl90"",
""26-27!C:G""),
5,
FALSE),
"""")"),30.15966)</f>
        <v>30.15966</v>
      </c>
      <c r="T130" s="9"/>
      <c r="U130" s="92">
        <f t="shared" si="2"/>
        <v>0</v>
      </c>
      <c r="V130" s="93">
        <f t="shared" si="3"/>
        <v>0</v>
      </c>
    </row>
    <row r="131" ht="15.75" hidden="1" customHeight="1">
      <c r="A131" s="111" t="s">
        <v>353</v>
      </c>
      <c r="B131" s="112" t="s">
        <v>1</v>
      </c>
      <c r="C131" s="113" t="s">
        <v>665</v>
      </c>
      <c r="D131" s="113" t="s">
        <v>666</v>
      </c>
      <c r="E131" s="113">
        <v>25.0</v>
      </c>
      <c r="F131" s="4" t="s">
        <v>343</v>
      </c>
      <c r="G131" s="90" t="str">
        <f t="shared" si="4"/>
        <v>📄 Ver bula</v>
      </c>
      <c r="H131" s="9">
        <f>IFERROR(__xludf.DUMMYFUNCTION("IFERROR(VLOOKUP(C131,
IMPORTRANGE(""1wULbzX32WdYsx-lj2U3uUNBBe2INVIRDtcK0d-Dvl90"",
""26-27!C:K""),
8,
FALSE),
"""")"),0.3)</f>
        <v>0.3</v>
      </c>
      <c r="I131" s="114" t="s">
        <v>373</v>
      </c>
      <c r="J131" s="9">
        <f>IFERROR(SUM(
IF('TL01'!$B$3=J$3,SUMIF('TL01'!$C$10:$C$224,$C131,'TL01'!$J$10:$J$224),0),
IF('TL01'!$B$229=J$3,SUMIF('TL01'!$C$238:$C$451,$C131,'TL01'!$J$238:$J$451),0),
IF('TL02'!$B$3=J$3,SUMIF('TL02'!$C$10:$C$224,$C131,'TL02'!$J$10:$J$224),0),
IF('TL02'!$B$229=J$3,SUMIF('TL02'!$C$238:$C$451,$C131,'TL02'!$J$238:$J$451),0),
IF('TL03'!$B$3=J$3,SUMIF('TL03'!$C$10:$C$224,$C131,'TL03'!$J$10:$J$224),0),
IF('TL03'!$B$229=J$3,SUMIF('TL03'!$C$238:$C$451,$C131,'TL03'!$J$238:$J$451),0),
IF('TL04'!$B$3=J$3,SUMIF('TL04'!$C$10:$C$224,$C131,'TL04'!$J$10:$J$224),0),
IF('TL04'!$B$229=J$3,SUMIF('TL04'!$C$238:$C$451,$C131,'TL04'!$J$238:$J$451),0),
IF('TL05'!$B$3=J$3,SUMIF('TL05'!$C$10:$C$224,$C131,'TL05'!$J$10:$J$224),0),
IF('TL05'!$B$229=J$3,SUMIF('TL05'!$C$238:$C$451,$C131,'TL05'!$J$238:$J$451),0),
IF('TL06'!$B$3=J$3,SUMIF('TL06'!$C$10:$C$224,$C131,'TL06'!$J$10:$J$224),0),
IF('TL06'!$B$229=J$3,SUMIF('TL06'!$C$238:$C$451,$C131,'TL06'!$J$238:$J$451),0),
IF('TL07'!$B$3=J$3,SUMIF('TL07'!$C$10:$C$224,$C131,'TL07'!$J$10:$J$224),0),
IF('TL07'!$B$229=J$3,SUMIF('TL07'!$C$238:$C$451,$C131,'TL07'!$J$238:$J$451),0),
IF('TL08'!$B$3=J$3,SUMIF('TL08'!$C$10:$C$224,$C131,'TL08'!$J$10:$J$224),0),
IF('TL08'!$B$229=J$3,SUMIF('TL08'!$C$238:$C$451,$C131,'TL08'!$J$238:$J$451),0),
IF('TL09'!$B$3=J$3,SUMIF('TL09'!$C$10:$C$224,$C131,'TL09'!$J$10:$J$224),0),
IF('TL09'!$B$229=J$3,SUMIF('TL09'!$C$238:$C$451,$C131,'TL09'!$J$238:$J$451),0),
IF('TL10'!$B$3=J$3,SUMIF('TL10'!$C$10:$C$224,$C131,'TL10'!$J$10:$J$224),0),
IF('TL10'!$B$229=J$3,SUMIF('TL10'!$C$238:$C$451,$C131,'TL10'!$J$238:$J$451),0),
IF('TL11'!$B$3=J$3,SUMIF('TL11'!$C$10:$C$224,$C131,'TL11'!$J$10:$J$224),0),
IF('TL11'!$B$229=J$3,SUMIF('TL11'!$C$238:$C$451,$C131,'TL11'!$J$238:$J$451),0),
IF('TL12'!$B$3=J$3,SUMIF('TL12'!$C$10:$C$224,$C131,'TL12'!$J$10:$J$224),0),
IF('TL12'!$B$229=J$3,SUMIF('TL12'!$C$238:$C$451,$C131,'TL12'!$J$238:$J$451),0),
IF('TL13'!$B$3=J$3,SUMIF('TL13'!$C$10:$C$224,$C131,'TL13'!$J$10:$J$224),0),
IF('TL13'!$B$229=J$3,SUMIF('TL13'!$C$238:$C$451,$C131,'TL13'!$J$238:$J$451),0),
IF('TL14'!$B$3=J$3,SUMIF('TL14'!$C$10:$C$224,$C131,'TL14'!$J$10:$J$224),0),
IF('TL14'!$B$229=J$3,SUMIF('TL14'!$C$238:$C$451,$C131,'TL14'!$J$238:$J$451),0),
IF('TL15'!$B$3=J$3,SUMIF('TL15'!$C$10:$C$224,$C131,'TL15'!$J$10:$J$224),0),
IF('TL15'!$B$229=J$3,SUMIF('TL15'!$C$238:$C$451,$C131,'TL15'!$J$238:$J$451),0),
IF('TL16'!$B$3=J$3,SUMIF('TL16'!$C$10:$C$224,$C131,'TL16'!$J$10:$J$224),0),
IF('TL16'!$B$229=J$3,SUMIF('TL16'!$C$238:$C$451,$C131,'TL16'!$J$238:$J$451),0),
IF('TL17'!$B$3=J$3,SUMIF('TL17'!$C$10:$C$224,$C131,'TL17'!$J$10:$J$224),0),
IF('TL17'!$B$229=J$3,SUMIF('TL17'!$C$238:$C$451,$C131,'TL17'!$J$238:$J$451),0),
IF('TL18'!$B$3=J$3,SUMIF('TL18'!$C$10:$C$224,$C131,'TL18'!$J$10:$J$224),0),
IF('TL18'!$B$229=J$3,SUMIF('TL18'!$C$238:$C$451,$C131,'TL18'!$J$238:$J$451),0),
IF('TL19'!$B$3=J$3,SUMIF('TL19'!$C$10:$C$224,$C131,'TL19'!$J$10:$J$224),0),
IF('TL19'!$B$229=J$3,SUMIF('TL19'!$C$238:$C$451,$C131,'TL19'!$J$238:$J$451),0)
),0)</f>
        <v>0</v>
      </c>
      <c r="K131" s="9">
        <f>IFERROR(SUM(
IF('TL01'!$B$3=K$3,SUMIF('TL01'!$C$10:$C$224,$C131,'TL01'!$J$10:$J$224),0),
IF('TL01'!$B$229=K$3,SUMIF('TL01'!$C$238:$C$451,$C131,'TL01'!$J$238:$J$451),0),
IF('TL02'!$B$3=K$3,SUMIF('TL02'!$C$10:$C$224,$C131,'TL02'!$J$10:$J$224),0),
IF('TL02'!$B$229=K$3,SUMIF('TL02'!$C$238:$C$451,$C131,'TL02'!$J$238:$J$451),0),
IF('TL03'!$B$3=K$3,SUMIF('TL03'!$C$10:$C$224,$C131,'TL03'!$J$10:$J$224),0),
IF('TL03'!$B$229=K$3,SUMIF('TL03'!$C$238:$C$451,$C131,'TL03'!$J$238:$J$451),0),
IF('TL04'!$B$3=K$3,SUMIF('TL04'!$C$10:$C$224,$C131,'TL04'!$J$10:$J$224),0),
IF('TL04'!$B$229=K$3,SUMIF('TL04'!$C$238:$C$451,$C131,'TL04'!$J$238:$J$451),0),
IF('TL05'!$B$3=K$3,SUMIF('TL05'!$C$10:$C$224,$C131,'TL05'!$J$10:$J$224),0),
IF('TL05'!$B$229=K$3,SUMIF('TL05'!$C$238:$C$451,$C131,'TL05'!$J$238:$J$451),0),
IF('TL06'!$B$3=K$3,SUMIF('TL06'!$C$10:$C$224,$C131,'TL06'!$J$10:$J$224),0),
IF('TL06'!$B$229=K$3,SUMIF('TL06'!$C$238:$C$451,$C131,'TL06'!$J$238:$J$451),0),
IF('TL07'!$B$3=K$3,SUMIF('TL07'!$C$10:$C$224,$C131,'TL07'!$J$10:$J$224),0),
IF('TL07'!$B$229=K$3,SUMIF('TL07'!$C$238:$C$451,$C131,'TL07'!$J$238:$J$451),0),
IF('TL08'!$B$3=K$3,SUMIF('TL08'!$C$10:$C$224,$C131,'TL08'!$J$10:$J$224),0),
IF('TL08'!$B$229=K$3,SUMIF('TL08'!$C$238:$C$451,$C131,'TL08'!$J$238:$J$451),0),
IF('TL09'!$B$3=K$3,SUMIF('TL09'!$C$10:$C$224,$C131,'TL09'!$J$10:$J$224),0),
IF('TL09'!$B$229=K$3,SUMIF('TL09'!$C$238:$C$451,$C131,'TL09'!$J$238:$J$451),0),
IF('TL10'!$B$3=K$3,SUMIF('TL10'!$C$10:$C$224,$C131,'TL10'!$J$10:$J$224),0),
IF('TL10'!$B$229=K$3,SUMIF('TL10'!$C$238:$C$451,$C131,'TL10'!$J$238:$J$451),0),
IF('TL11'!$B$3=K$3,SUMIF('TL11'!$C$10:$C$224,$C131,'TL11'!$J$10:$J$224),0),
IF('TL11'!$B$229=K$3,SUMIF('TL11'!$C$238:$C$451,$C131,'TL11'!$J$238:$J$451),0),
IF('TL12'!$B$3=K$3,SUMIF('TL12'!$C$10:$C$224,$C131,'TL12'!$J$10:$J$224),0),
IF('TL12'!$B$229=K$3,SUMIF('TL12'!$C$238:$C$451,$C131,'TL12'!$J$238:$J$451),0),
IF('TL13'!$B$3=K$3,SUMIF('TL13'!$C$10:$C$224,$C131,'TL13'!$J$10:$J$224),0),
IF('TL13'!$B$229=K$3,SUMIF('TL13'!$C$238:$C$451,$C131,'TL13'!$J$238:$J$451),0),
IF('TL14'!$B$3=K$3,SUMIF('TL14'!$C$10:$C$224,$C131,'TL14'!$J$10:$J$224),0),
IF('TL14'!$B$229=K$3,SUMIF('TL14'!$C$238:$C$451,$C131,'TL14'!$J$238:$J$451),0),
IF('TL15'!$B$3=K$3,SUMIF('TL15'!$C$10:$C$224,$C131,'TL15'!$J$10:$J$224),0),
IF('TL15'!$B$229=K$3,SUMIF('TL15'!$C$238:$C$451,$C131,'TL15'!$J$238:$J$451),0),
IF('TL16'!$B$3=K$3,SUMIF('TL16'!$C$10:$C$224,$C131,'TL16'!$J$10:$J$224),0),
IF('TL16'!$B$229=K$3,SUMIF('TL16'!$C$238:$C$451,$C131,'TL16'!$J$238:$J$451),0),
IF('TL17'!$B$3=K$3,SUMIF('TL17'!$C$10:$C$224,$C131,'TL17'!$J$10:$J$224),0),
IF('TL17'!$B$229=K$3,SUMIF('TL17'!$C$238:$C$451,$C131,'TL17'!$J$238:$J$451),0),
IF('TL18'!$B$3=K$3,SUMIF('TL18'!$C$10:$C$224,$C131,'TL18'!$J$10:$J$224),0),
IF('TL18'!$B$229=K$3,SUMIF('TL18'!$C$238:$C$451,$C131,'TL18'!$J$238:$J$451),0),
IF('TL19'!$B$3=K$3,SUMIF('TL19'!$C$10:$C$224,$C131,'TL19'!$J$10:$J$224),0),
IF('TL19'!$B$229=K$3,SUMIF('TL19'!$C$238:$C$451,$C131,'TL19'!$J$238:$J$451),0)
),0)</f>
        <v>0</v>
      </c>
      <c r="L131" s="9">
        <f>IFERROR(SUM(
IF('TL01'!$B$3=L$3,SUMIF('TL01'!$C$10:$C$224,$C131,'TL01'!$J$10:$J$224),0),
IF('TL01'!$B$229=L$3,SUMIF('TL01'!$C$238:$C$451,$C131,'TL01'!$J$238:$J$451),0),
IF('TL02'!$B$3=L$3,SUMIF('TL02'!$C$10:$C$224,$C131,'TL02'!$J$10:$J$224),0),
IF('TL02'!$B$229=L$3,SUMIF('TL02'!$C$238:$C$451,$C131,'TL02'!$J$238:$J$451),0),
IF('TL03'!$B$3=L$3,SUMIF('TL03'!$C$10:$C$224,$C131,'TL03'!$J$10:$J$224),0),
IF('TL03'!$B$229=L$3,SUMIF('TL03'!$C$238:$C$451,$C131,'TL03'!$J$238:$J$451),0),
IF('TL04'!$B$3=L$3,SUMIF('TL04'!$C$10:$C$224,$C131,'TL04'!$J$10:$J$224),0),
IF('TL04'!$B$229=L$3,SUMIF('TL04'!$C$238:$C$451,$C131,'TL04'!$J$238:$J$451),0),
IF('TL05'!$B$3=L$3,SUMIF('TL05'!$C$10:$C$224,$C131,'TL05'!$J$10:$J$224),0),
IF('TL05'!$B$229=L$3,SUMIF('TL05'!$C$238:$C$451,$C131,'TL05'!$J$238:$J$451),0),
IF('TL06'!$B$3=L$3,SUMIF('TL06'!$C$10:$C$224,$C131,'TL06'!$J$10:$J$224),0),
IF('TL06'!$B$229=L$3,SUMIF('TL06'!$C$238:$C$451,$C131,'TL06'!$J$238:$J$451),0),
IF('TL07'!$B$3=L$3,SUMIF('TL07'!$C$10:$C$224,$C131,'TL07'!$J$10:$J$224),0),
IF('TL07'!$B$229=L$3,SUMIF('TL07'!$C$238:$C$451,$C131,'TL07'!$J$238:$J$451),0),
IF('TL08'!$B$3=L$3,SUMIF('TL08'!$C$10:$C$224,$C131,'TL08'!$J$10:$J$224),0),
IF('TL08'!$B$229=L$3,SUMIF('TL08'!$C$238:$C$451,$C131,'TL08'!$J$238:$J$451),0),
IF('TL09'!$B$3=L$3,SUMIF('TL09'!$C$10:$C$224,$C131,'TL09'!$J$10:$J$224),0),
IF('TL09'!$B$229=L$3,SUMIF('TL09'!$C$238:$C$451,$C131,'TL09'!$J$238:$J$451),0),
IF('TL10'!$B$3=L$3,SUMIF('TL10'!$C$10:$C$224,$C131,'TL10'!$J$10:$J$224),0),
IF('TL10'!$B$229=L$3,SUMIF('TL10'!$C$238:$C$451,$C131,'TL10'!$J$238:$J$451),0),
IF('TL11'!$B$3=L$3,SUMIF('TL11'!$C$10:$C$224,$C131,'TL11'!$J$10:$J$224),0),
IF('TL11'!$B$229=L$3,SUMIF('TL11'!$C$238:$C$451,$C131,'TL11'!$J$238:$J$451),0),
IF('TL12'!$B$3=L$3,SUMIF('TL12'!$C$10:$C$224,$C131,'TL12'!$J$10:$J$224),0),
IF('TL12'!$B$229=L$3,SUMIF('TL12'!$C$238:$C$451,$C131,'TL12'!$J$238:$J$451),0),
IF('TL13'!$B$3=L$3,SUMIF('TL13'!$C$10:$C$224,$C131,'TL13'!$J$10:$J$224),0),
IF('TL13'!$B$229=L$3,SUMIF('TL13'!$C$238:$C$451,$C131,'TL13'!$J$238:$J$451),0),
IF('TL14'!$B$3=L$3,SUMIF('TL14'!$C$10:$C$224,$C131,'TL14'!$J$10:$J$224),0),
IF('TL14'!$B$229=L$3,SUMIF('TL14'!$C$238:$C$451,$C131,'TL14'!$J$238:$J$451),0),
IF('TL15'!$B$3=L$3,SUMIF('TL15'!$C$10:$C$224,$C131,'TL15'!$J$10:$J$224),0),
IF('TL15'!$B$229=L$3,SUMIF('TL15'!$C$238:$C$451,$C131,'TL15'!$J$238:$J$451),0),
IF('TL16'!$B$3=L$3,SUMIF('TL16'!$C$10:$C$224,$C131,'TL16'!$J$10:$J$224),0),
IF('TL16'!$B$229=L$3,SUMIF('TL16'!$C$238:$C$451,$C131,'TL16'!$J$238:$J$451),0),
IF('TL17'!$B$3=L$3,SUMIF('TL17'!$C$10:$C$224,$C131,'TL17'!$J$10:$J$224),0),
IF('TL17'!$B$229=L$3,SUMIF('TL17'!$C$238:$C$451,$C131,'TL17'!$J$238:$J$451),0),
IF('TL18'!$B$3=L$3,SUMIF('TL18'!$C$10:$C$224,$C131,'TL18'!$J$10:$J$224),0),
IF('TL18'!$B$229=L$3,SUMIF('TL18'!$C$238:$C$451,$C131,'TL18'!$J$238:$J$451),0),
IF('TL19'!$B$3=L$3,SUMIF('TL19'!$C$10:$C$224,$C131,'TL19'!$J$10:$J$224),0),
IF('TL19'!$B$229=L$3,SUMIF('TL19'!$C$238:$C$451,$C131,'TL19'!$J$238:$J$451),0)
),0)</f>
        <v>0</v>
      </c>
      <c r="M131" s="9">
        <f>IFERROR(SUM(
IF('TL01'!$B$3=M$3,SUMIF('TL01'!$C$10:$C$224,$C131,'TL01'!$J$10:$J$224),0),
IF('TL01'!$B$229=M$3,SUMIF('TL01'!$C$238:$C$451,$C131,'TL01'!$J$238:$J$451),0),
IF('TL02'!$B$3=M$3,SUMIF('TL02'!$C$10:$C$224,$C131,'TL02'!$J$10:$J$224),0),
IF('TL02'!$B$229=M$3,SUMIF('TL02'!$C$238:$C$451,$C131,'TL02'!$J$238:$J$451),0),
IF('TL03'!$B$3=M$3,SUMIF('TL03'!$C$10:$C$224,$C131,'TL03'!$J$10:$J$224),0),
IF('TL03'!$B$229=M$3,SUMIF('TL03'!$C$238:$C$451,$C131,'TL03'!$J$238:$J$451),0),
IF('TL04'!$B$3=M$3,SUMIF('TL04'!$C$10:$C$224,$C131,'TL04'!$J$10:$J$224),0),
IF('TL04'!$B$229=M$3,SUMIF('TL04'!$C$238:$C$451,$C131,'TL04'!$J$238:$J$451),0),
IF('TL05'!$B$3=M$3,SUMIF('TL05'!$C$10:$C$224,$C131,'TL05'!$J$10:$J$224),0),
IF('TL05'!$B$229=M$3,SUMIF('TL05'!$C$238:$C$451,$C131,'TL05'!$J$238:$J$451),0),
IF('TL06'!$B$3=M$3,SUMIF('TL06'!$C$10:$C$224,$C131,'TL06'!$J$10:$J$224),0),
IF('TL06'!$B$229=M$3,SUMIF('TL06'!$C$238:$C$451,$C131,'TL06'!$J$238:$J$451),0),
IF('TL07'!$B$3=M$3,SUMIF('TL07'!$C$10:$C$224,$C131,'TL07'!$J$10:$J$224),0),
IF('TL07'!$B$229=M$3,SUMIF('TL07'!$C$238:$C$451,$C131,'TL07'!$J$238:$J$451),0),
IF('TL08'!$B$3=M$3,SUMIF('TL08'!$C$10:$C$224,$C131,'TL08'!$J$10:$J$224),0),
IF('TL08'!$B$229=M$3,SUMIF('TL08'!$C$238:$C$451,$C131,'TL08'!$J$238:$J$451),0),
IF('TL09'!$B$3=M$3,SUMIF('TL09'!$C$10:$C$224,$C131,'TL09'!$J$10:$J$224),0),
IF('TL09'!$B$229=M$3,SUMIF('TL09'!$C$238:$C$451,$C131,'TL09'!$J$238:$J$451),0),
IF('TL10'!$B$3=M$3,SUMIF('TL10'!$C$10:$C$224,$C131,'TL10'!$J$10:$J$224),0),
IF('TL10'!$B$229=M$3,SUMIF('TL10'!$C$238:$C$451,$C131,'TL10'!$J$238:$J$451),0),
IF('TL11'!$B$3=M$3,SUMIF('TL11'!$C$10:$C$224,$C131,'TL11'!$J$10:$J$224),0),
IF('TL11'!$B$229=M$3,SUMIF('TL11'!$C$238:$C$451,$C131,'TL11'!$J$238:$J$451),0),
IF('TL12'!$B$3=M$3,SUMIF('TL12'!$C$10:$C$224,$C131,'TL12'!$J$10:$J$224),0),
IF('TL12'!$B$229=M$3,SUMIF('TL12'!$C$238:$C$451,$C131,'TL12'!$J$238:$J$451),0),
IF('TL13'!$B$3=M$3,SUMIF('TL13'!$C$10:$C$224,$C131,'TL13'!$J$10:$J$224),0),
IF('TL13'!$B$229=M$3,SUMIF('TL13'!$C$238:$C$451,$C131,'TL13'!$J$238:$J$451),0),
IF('TL14'!$B$3=M$3,SUMIF('TL14'!$C$10:$C$224,$C131,'TL14'!$J$10:$J$224),0),
IF('TL14'!$B$229=M$3,SUMIF('TL14'!$C$238:$C$451,$C131,'TL14'!$J$238:$J$451),0),
IF('TL15'!$B$3=M$3,SUMIF('TL15'!$C$10:$C$224,$C131,'TL15'!$J$10:$J$224),0),
IF('TL15'!$B$229=M$3,SUMIF('TL15'!$C$238:$C$451,$C131,'TL15'!$J$238:$J$451),0),
IF('TL16'!$B$3=M$3,SUMIF('TL16'!$C$10:$C$224,$C131,'TL16'!$J$10:$J$224),0),
IF('TL16'!$B$229=M$3,SUMIF('TL16'!$C$238:$C$451,$C131,'TL16'!$J$238:$J$451),0),
IF('TL17'!$B$3=M$3,SUMIF('TL17'!$C$10:$C$224,$C131,'TL17'!$J$10:$J$224),0),
IF('TL17'!$B$229=M$3,SUMIF('TL17'!$C$238:$C$451,$C131,'TL17'!$J$238:$J$451),0),
IF('TL18'!$B$3=M$3,SUMIF('TL18'!$C$10:$C$224,$C131,'TL18'!$J$10:$J$224),0),
IF('TL18'!$B$229=M$3,SUMIF('TL18'!$C$238:$C$451,$C131,'TL18'!$J$238:$J$451),0),
IF('TL19'!$B$3=M$3,SUMIF('TL19'!$C$10:$C$224,$C131,'TL19'!$J$10:$J$224),0),
IF('TL19'!$B$229=M$3,SUMIF('TL19'!$C$238:$C$451,$C131,'TL19'!$J$238:$J$451),0)
),0)</f>
        <v>0</v>
      </c>
      <c r="N131" s="9">
        <f>IFERROR(SUM(
IF('TL01'!$B$3=N$3,SUMIF('TL01'!$C$10:$C$224,$C131,'TL01'!$J$10:$J$224),0),
IF('TL01'!$B$229=N$3,SUMIF('TL01'!$C$238:$C$451,$C131,'TL01'!$J$238:$J$451),0),
IF('TL02'!$B$3=N$3,SUMIF('TL02'!$C$10:$C$224,$C131,'TL02'!$J$10:$J$224),0),
IF('TL02'!$B$229=N$3,SUMIF('TL02'!$C$238:$C$451,$C131,'TL02'!$J$238:$J$451),0),
IF('TL03'!$B$3=N$3,SUMIF('TL03'!$C$10:$C$224,$C131,'TL03'!$J$10:$J$224),0),
IF('TL03'!$B$229=N$3,SUMIF('TL03'!$C$238:$C$451,$C131,'TL03'!$J$238:$J$451),0),
IF('TL04'!$B$3=N$3,SUMIF('TL04'!$C$10:$C$224,$C131,'TL04'!$J$10:$J$224),0),
IF('TL04'!$B$229=N$3,SUMIF('TL04'!$C$238:$C$451,$C131,'TL04'!$J$238:$J$451),0),
IF('TL05'!$B$3=N$3,SUMIF('TL05'!$C$10:$C$224,$C131,'TL05'!$J$10:$J$224),0),
IF('TL05'!$B$229=N$3,SUMIF('TL05'!$C$238:$C$451,$C131,'TL05'!$J$238:$J$451),0),
IF('TL06'!$B$3=N$3,SUMIF('TL06'!$C$10:$C$224,$C131,'TL06'!$J$10:$J$224),0),
IF('TL06'!$B$229=N$3,SUMIF('TL06'!$C$238:$C$451,$C131,'TL06'!$J$238:$J$451),0),
IF('TL07'!$B$3=N$3,SUMIF('TL07'!$C$10:$C$224,$C131,'TL07'!$J$10:$J$224),0),
IF('TL07'!$B$229=N$3,SUMIF('TL07'!$C$238:$C$451,$C131,'TL07'!$J$238:$J$451),0),
IF('TL08'!$B$3=N$3,SUMIF('TL08'!$C$10:$C$224,$C131,'TL08'!$J$10:$J$224),0),
IF('TL08'!$B$229=N$3,SUMIF('TL08'!$C$238:$C$451,$C131,'TL08'!$J$238:$J$451),0),
IF('TL09'!$B$3=N$3,SUMIF('TL09'!$C$10:$C$224,$C131,'TL09'!$J$10:$J$224),0),
IF('TL09'!$B$229=N$3,SUMIF('TL09'!$C$238:$C$451,$C131,'TL09'!$J$238:$J$451),0),
IF('TL10'!$B$3=N$3,SUMIF('TL10'!$C$10:$C$224,$C131,'TL10'!$J$10:$J$224),0),
IF('TL10'!$B$229=N$3,SUMIF('TL10'!$C$238:$C$451,$C131,'TL10'!$J$238:$J$451),0),
IF('TL11'!$B$3=N$3,SUMIF('TL11'!$C$10:$C$224,$C131,'TL11'!$J$10:$J$224),0),
IF('TL11'!$B$229=N$3,SUMIF('TL11'!$C$238:$C$451,$C131,'TL11'!$J$238:$J$451),0),
IF('TL12'!$B$3=N$3,SUMIF('TL12'!$C$10:$C$224,$C131,'TL12'!$J$10:$J$224),0),
IF('TL12'!$B$229=N$3,SUMIF('TL12'!$C$238:$C$451,$C131,'TL12'!$J$238:$J$451),0),
IF('TL13'!$B$3=N$3,SUMIF('TL13'!$C$10:$C$224,$C131,'TL13'!$J$10:$J$224),0),
IF('TL13'!$B$229=N$3,SUMIF('TL13'!$C$238:$C$451,$C131,'TL13'!$J$238:$J$451),0),
IF('TL14'!$B$3=N$3,SUMIF('TL14'!$C$10:$C$224,$C131,'TL14'!$J$10:$J$224),0),
IF('TL14'!$B$229=N$3,SUMIF('TL14'!$C$238:$C$451,$C131,'TL14'!$J$238:$J$451),0),
IF('TL15'!$B$3=N$3,SUMIF('TL15'!$C$10:$C$224,$C131,'TL15'!$J$10:$J$224),0),
IF('TL15'!$B$229=N$3,SUMIF('TL15'!$C$238:$C$451,$C131,'TL15'!$J$238:$J$451),0),
IF('TL16'!$B$3=N$3,SUMIF('TL16'!$C$10:$C$224,$C131,'TL16'!$J$10:$J$224),0),
IF('TL16'!$B$229=N$3,SUMIF('TL16'!$C$238:$C$451,$C131,'TL16'!$J$238:$J$451),0),
IF('TL17'!$B$3=N$3,SUMIF('TL17'!$C$10:$C$224,$C131,'TL17'!$J$10:$J$224),0),
IF('TL17'!$B$229=N$3,SUMIF('TL17'!$C$238:$C$451,$C131,'TL17'!$J$238:$J$451),0),
IF('TL18'!$B$3=N$3,SUMIF('TL18'!$C$10:$C$224,$C131,'TL18'!$J$10:$J$224),0),
IF('TL18'!$B$229=N$3,SUMIF('TL18'!$C$238:$C$451,$C131,'TL18'!$J$238:$J$451),0),
IF('TL19'!$B$3=N$3,SUMIF('TL19'!$C$10:$C$224,$C131,'TL19'!$J$10:$J$224),0),
IF('TL19'!$B$229=N$3,SUMIF('TL19'!$C$238:$C$451,$C131,'TL19'!$J$238:$J$451),0)
),0)</f>
        <v>0</v>
      </c>
      <c r="O131" s="9">
        <f>IFERROR(SUM(
IF('TL01'!$B$3=O$3,SUMIF('TL01'!$C$10:$C$224,$C131,'TL01'!$J$10:$J$224),0),
IF('TL01'!$B$229=O$3,SUMIF('TL01'!$C$238:$C$451,$C131,'TL01'!$J$238:$J$451),0),
IF('TL02'!$B$3=O$3,SUMIF('TL02'!$C$10:$C$224,$C131,'TL02'!$J$10:$J$224),0),
IF('TL02'!$B$229=O$3,SUMIF('TL02'!$C$238:$C$451,$C131,'TL02'!$J$238:$J$451),0),
IF('TL03'!$B$3=O$3,SUMIF('TL03'!$C$10:$C$224,$C131,'TL03'!$J$10:$J$224),0),
IF('TL03'!$B$229=O$3,SUMIF('TL03'!$C$238:$C$451,$C131,'TL03'!$J$238:$J$451),0),
IF('TL04'!$B$3=O$3,SUMIF('TL04'!$C$10:$C$224,$C131,'TL04'!$J$10:$J$224),0),
IF('TL04'!$B$229=O$3,SUMIF('TL04'!$C$238:$C$451,$C131,'TL04'!$J$238:$J$451),0),
IF('TL05'!$B$3=O$3,SUMIF('TL05'!$C$10:$C$224,$C131,'TL05'!$J$10:$J$224),0),
IF('TL05'!$B$229=O$3,SUMIF('TL05'!$C$238:$C$451,$C131,'TL05'!$J$238:$J$451),0),
IF('TL06'!$B$3=O$3,SUMIF('TL06'!$C$10:$C$224,$C131,'TL06'!$J$10:$J$224),0),
IF('TL06'!$B$229=O$3,SUMIF('TL06'!$C$238:$C$451,$C131,'TL06'!$J$238:$J$451),0),
IF('TL07'!$B$3=O$3,SUMIF('TL07'!$C$10:$C$224,$C131,'TL07'!$J$10:$J$224),0),
IF('TL07'!$B$229=O$3,SUMIF('TL07'!$C$238:$C$451,$C131,'TL07'!$J$238:$J$451),0),
IF('TL08'!$B$3=O$3,SUMIF('TL08'!$C$10:$C$224,$C131,'TL08'!$J$10:$J$224),0),
IF('TL08'!$B$229=O$3,SUMIF('TL08'!$C$238:$C$451,$C131,'TL08'!$J$238:$J$451),0),
IF('TL09'!$B$3=O$3,SUMIF('TL09'!$C$10:$C$224,$C131,'TL09'!$J$10:$J$224),0),
IF('TL09'!$B$229=O$3,SUMIF('TL09'!$C$238:$C$451,$C131,'TL09'!$J$238:$J$451),0),
IF('TL10'!$B$3=O$3,SUMIF('TL10'!$C$10:$C$224,$C131,'TL10'!$J$10:$J$224),0),
IF('TL10'!$B$229=O$3,SUMIF('TL10'!$C$238:$C$451,$C131,'TL10'!$J$238:$J$451),0),
IF('TL11'!$B$3=O$3,SUMIF('TL11'!$C$10:$C$224,$C131,'TL11'!$J$10:$J$224),0),
IF('TL11'!$B$229=O$3,SUMIF('TL11'!$C$238:$C$451,$C131,'TL11'!$J$238:$J$451),0),
IF('TL12'!$B$3=O$3,SUMIF('TL12'!$C$10:$C$224,$C131,'TL12'!$J$10:$J$224),0),
IF('TL12'!$B$229=O$3,SUMIF('TL12'!$C$238:$C$451,$C131,'TL12'!$J$238:$J$451),0),
IF('TL13'!$B$3=O$3,SUMIF('TL13'!$C$10:$C$224,$C131,'TL13'!$J$10:$J$224),0),
IF('TL13'!$B$229=O$3,SUMIF('TL13'!$C$238:$C$451,$C131,'TL13'!$J$238:$J$451),0),
IF('TL14'!$B$3=O$3,SUMIF('TL14'!$C$10:$C$224,$C131,'TL14'!$J$10:$J$224),0),
IF('TL14'!$B$229=O$3,SUMIF('TL14'!$C$238:$C$451,$C131,'TL14'!$J$238:$J$451),0),
IF('TL15'!$B$3=O$3,SUMIF('TL15'!$C$10:$C$224,$C131,'TL15'!$J$10:$J$224),0),
IF('TL15'!$B$229=O$3,SUMIF('TL15'!$C$238:$C$451,$C131,'TL15'!$J$238:$J$451),0),
IF('TL16'!$B$3=O$3,SUMIF('TL16'!$C$10:$C$224,$C131,'TL16'!$J$10:$J$224),0),
IF('TL16'!$B$229=O$3,SUMIF('TL16'!$C$238:$C$451,$C131,'TL16'!$J$238:$J$451),0),
IF('TL17'!$B$3=O$3,SUMIF('TL17'!$C$10:$C$224,$C131,'TL17'!$J$10:$J$224),0),
IF('TL17'!$B$229=O$3,SUMIF('TL17'!$C$238:$C$451,$C131,'TL17'!$J$238:$J$451),0),
IF('TL18'!$B$3=O$3,SUMIF('TL18'!$C$10:$C$224,$C131,'TL18'!$J$10:$J$224),0),
IF('TL18'!$B$229=O$3,SUMIF('TL18'!$C$238:$C$451,$C131,'TL18'!$J$238:$J$451),0),
IF('TL19'!$B$3=O$3,SUMIF('TL19'!$C$10:$C$224,$C131,'TL19'!$J$10:$J$224),0),
IF('TL19'!$B$229=O$3,SUMIF('TL19'!$C$238:$C$451,$C131,'TL19'!$J$238:$J$451),0)
),0)</f>
        <v>0</v>
      </c>
      <c r="P131" s="9">
        <f>IFERROR(SUM(
IF('TL01'!$B$3=P$3,SUMIF('TL01'!$C$10:$C$224,$C131,'TL01'!$J$10:$J$224),0),
IF('TL01'!$B$229=P$3,SUMIF('TL01'!$C$238:$C$451,$C131,'TL01'!$J$238:$J$451),0),
IF('TL02'!$B$3=P$3,SUMIF('TL02'!$C$10:$C$224,$C131,'TL02'!$J$10:$J$224),0),
IF('TL02'!$B$229=P$3,SUMIF('TL02'!$C$238:$C$451,$C131,'TL02'!$J$238:$J$451),0),
IF('TL03'!$B$3=P$3,SUMIF('TL03'!$C$10:$C$224,$C131,'TL03'!$J$10:$J$224),0),
IF('TL03'!$B$229=P$3,SUMIF('TL03'!$C$238:$C$451,$C131,'TL03'!$J$238:$J$451),0),
IF('TL04'!$B$3=P$3,SUMIF('TL04'!$C$10:$C$224,$C131,'TL04'!$J$10:$J$224),0),
IF('TL04'!$B$229=P$3,SUMIF('TL04'!$C$238:$C$451,$C131,'TL04'!$J$238:$J$451),0),
IF('TL05'!$B$3=P$3,SUMIF('TL05'!$C$10:$C$224,$C131,'TL05'!$J$10:$J$224),0),
IF('TL05'!$B$229=P$3,SUMIF('TL05'!$C$238:$C$451,$C131,'TL05'!$J$238:$J$451),0),
IF('TL06'!$B$3=P$3,SUMIF('TL06'!$C$10:$C$224,$C131,'TL06'!$J$10:$J$224),0),
IF('TL06'!$B$229=P$3,SUMIF('TL06'!$C$238:$C$451,$C131,'TL06'!$J$238:$J$451),0),
IF('TL07'!$B$3=P$3,SUMIF('TL07'!$C$10:$C$224,$C131,'TL07'!$J$10:$J$224),0),
IF('TL07'!$B$229=P$3,SUMIF('TL07'!$C$238:$C$451,$C131,'TL07'!$J$238:$J$451),0),
IF('TL08'!$B$3=P$3,SUMIF('TL08'!$C$10:$C$224,$C131,'TL08'!$J$10:$J$224),0),
IF('TL08'!$B$229=P$3,SUMIF('TL08'!$C$238:$C$451,$C131,'TL08'!$J$238:$J$451),0),
IF('TL09'!$B$3=P$3,SUMIF('TL09'!$C$10:$C$224,$C131,'TL09'!$J$10:$J$224),0),
IF('TL09'!$B$229=P$3,SUMIF('TL09'!$C$238:$C$451,$C131,'TL09'!$J$238:$J$451),0),
IF('TL10'!$B$3=P$3,SUMIF('TL10'!$C$10:$C$224,$C131,'TL10'!$J$10:$J$224),0),
IF('TL10'!$B$229=P$3,SUMIF('TL10'!$C$238:$C$451,$C131,'TL10'!$J$238:$J$451),0),
IF('TL11'!$B$3=P$3,SUMIF('TL11'!$C$10:$C$224,$C131,'TL11'!$J$10:$J$224),0),
IF('TL11'!$B$229=P$3,SUMIF('TL11'!$C$238:$C$451,$C131,'TL11'!$J$238:$J$451),0),
IF('TL12'!$B$3=P$3,SUMIF('TL12'!$C$10:$C$224,$C131,'TL12'!$J$10:$J$224),0),
IF('TL12'!$B$229=P$3,SUMIF('TL12'!$C$238:$C$451,$C131,'TL12'!$J$238:$J$451),0),
IF('TL13'!$B$3=P$3,SUMIF('TL13'!$C$10:$C$224,$C131,'TL13'!$J$10:$J$224),0),
IF('TL13'!$B$229=P$3,SUMIF('TL13'!$C$238:$C$451,$C131,'TL13'!$J$238:$J$451),0),
IF('TL14'!$B$3=P$3,SUMIF('TL14'!$C$10:$C$224,$C131,'TL14'!$J$10:$J$224),0),
IF('TL14'!$B$229=P$3,SUMIF('TL14'!$C$238:$C$451,$C131,'TL14'!$J$238:$J$451),0),
IF('TL15'!$B$3=P$3,SUMIF('TL15'!$C$10:$C$224,$C131,'TL15'!$J$10:$J$224),0),
IF('TL15'!$B$229=P$3,SUMIF('TL15'!$C$238:$C$451,$C131,'TL15'!$J$238:$J$451),0),
IF('TL16'!$B$3=P$3,SUMIF('TL16'!$C$10:$C$224,$C131,'TL16'!$J$10:$J$224),0),
IF('TL16'!$B$229=P$3,SUMIF('TL16'!$C$238:$C$451,$C131,'TL16'!$J$238:$J$451),0),
IF('TL17'!$B$3=P$3,SUMIF('TL17'!$C$10:$C$224,$C131,'TL17'!$J$10:$J$224),0),
IF('TL17'!$B$229=P$3,SUMIF('TL17'!$C$238:$C$451,$C131,'TL17'!$J$238:$J$451),0),
IF('TL18'!$B$3=P$3,SUMIF('TL18'!$C$10:$C$224,$C131,'TL18'!$J$10:$J$224),0),
IF('TL18'!$B$229=P$3,SUMIF('TL18'!$C$238:$C$451,$C131,'TL18'!$J$238:$J$451),0),
IF('TL19'!$B$3=P$3,SUMIF('TL19'!$C$10:$C$224,$C131,'TL19'!$J$10:$J$224),0),
IF('TL19'!$B$229=P$3,SUMIF('TL19'!$C$238:$C$451,$C131,'TL19'!$J$238:$J$451),0)
),0)</f>
        <v>0</v>
      </c>
      <c r="Q131" s="9">
        <f>IFERROR(SUM(
IF('TL01'!$B$3=Q$3,SUMIF('TL01'!$C$10:$C$224,$C131,'TL01'!$J$10:$J$224),0),
IF('TL01'!$B$229=Q$3,SUMIF('TL01'!$C$238:$C$451,$C131,'TL01'!$J$238:$J$451),0),
IF('TL02'!$B$3=Q$3,SUMIF('TL02'!$C$10:$C$224,$C131,'TL02'!$J$10:$J$224),0),
IF('TL02'!$B$229=Q$3,SUMIF('TL02'!$C$238:$C$451,$C131,'TL02'!$J$238:$J$451),0),
IF('TL03'!$B$3=Q$3,SUMIF('TL03'!$C$10:$C$224,$C131,'TL03'!$J$10:$J$224),0),
IF('TL03'!$B$229=Q$3,SUMIF('TL03'!$C$238:$C$451,$C131,'TL03'!$J$238:$J$451),0),
IF('TL04'!$B$3=Q$3,SUMIF('TL04'!$C$10:$C$224,$C131,'TL04'!$J$10:$J$224),0),
IF('TL04'!$B$229=Q$3,SUMIF('TL04'!$C$238:$C$451,$C131,'TL04'!$J$238:$J$451),0),
IF('TL05'!$B$3=Q$3,SUMIF('TL05'!$C$10:$C$224,$C131,'TL05'!$J$10:$J$224),0),
IF('TL05'!$B$229=Q$3,SUMIF('TL05'!$C$238:$C$451,$C131,'TL05'!$J$238:$J$451),0),
IF('TL06'!$B$3=Q$3,SUMIF('TL06'!$C$10:$C$224,$C131,'TL06'!$J$10:$J$224),0),
IF('TL06'!$B$229=Q$3,SUMIF('TL06'!$C$238:$C$451,$C131,'TL06'!$J$238:$J$451),0),
IF('TL07'!$B$3=Q$3,SUMIF('TL07'!$C$10:$C$224,$C131,'TL07'!$J$10:$J$224),0),
IF('TL07'!$B$229=Q$3,SUMIF('TL07'!$C$238:$C$451,$C131,'TL07'!$J$238:$J$451),0),
IF('TL08'!$B$3=Q$3,SUMIF('TL08'!$C$10:$C$224,$C131,'TL08'!$J$10:$J$224),0),
IF('TL08'!$B$229=Q$3,SUMIF('TL08'!$C$238:$C$451,$C131,'TL08'!$J$238:$J$451),0),
IF('TL09'!$B$3=Q$3,SUMIF('TL09'!$C$10:$C$224,$C131,'TL09'!$J$10:$J$224),0),
IF('TL09'!$B$229=Q$3,SUMIF('TL09'!$C$238:$C$451,$C131,'TL09'!$J$238:$J$451),0),
IF('TL10'!$B$3=Q$3,SUMIF('TL10'!$C$10:$C$224,$C131,'TL10'!$J$10:$J$224),0),
IF('TL10'!$B$229=Q$3,SUMIF('TL10'!$C$238:$C$451,$C131,'TL10'!$J$238:$J$451),0),
IF('TL11'!$B$3=Q$3,SUMIF('TL11'!$C$10:$C$224,$C131,'TL11'!$J$10:$J$224),0),
IF('TL11'!$B$229=Q$3,SUMIF('TL11'!$C$238:$C$451,$C131,'TL11'!$J$238:$J$451),0),
IF('TL12'!$B$3=Q$3,SUMIF('TL12'!$C$10:$C$224,$C131,'TL12'!$J$10:$J$224),0),
IF('TL12'!$B$229=Q$3,SUMIF('TL12'!$C$238:$C$451,$C131,'TL12'!$J$238:$J$451),0),
IF('TL13'!$B$3=Q$3,SUMIF('TL13'!$C$10:$C$224,$C131,'TL13'!$J$10:$J$224),0),
IF('TL13'!$B$229=Q$3,SUMIF('TL13'!$C$238:$C$451,$C131,'TL13'!$J$238:$J$451),0),
IF('TL14'!$B$3=Q$3,SUMIF('TL14'!$C$10:$C$224,$C131,'TL14'!$J$10:$J$224),0),
IF('TL14'!$B$229=Q$3,SUMIF('TL14'!$C$238:$C$451,$C131,'TL14'!$J$238:$J$451),0),
IF('TL15'!$B$3=Q$3,SUMIF('TL15'!$C$10:$C$224,$C131,'TL15'!$J$10:$J$224),0),
IF('TL15'!$B$229=Q$3,SUMIF('TL15'!$C$238:$C$451,$C131,'TL15'!$J$238:$J$451),0),
IF('TL16'!$B$3=Q$3,SUMIF('TL16'!$C$10:$C$224,$C131,'TL16'!$J$10:$J$224),0),
IF('TL16'!$B$229=Q$3,SUMIF('TL16'!$C$238:$C$451,$C131,'TL16'!$J$238:$J$451),0),
IF('TL17'!$B$3=Q$3,SUMIF('TL17'!$C$10:$C$224,$C131,'TL17'!$J$10:$J$224),0),
IF('TL17'!$B$229=Q$3,SUMIF('TL17'!$C$238:$C$451,$C131,'TL17'!$J$238:$J$451),0),
IF('TL18'!$B$3=Q$3,SUMIF('TL18'!$C$10:$C$224,$C131,'TL18'!$J$10:$J$224),0),
IF('TL18'!$B$229=Q$3,SUMIF('TL18'!$C$238:$C$451,$C131,'TL18'!$J$238:$J$451),0),
IF('TL19'!$B$3=Q$3,SUMIF('TL19'!$C$10:$C$224,$C131,'TL19'!$J$10:$J$224),0),
IF('TL19'!$B$229=Q$3,SUMIF('TL19'!$C$238:$C$451,$C131,'TL19'!$J$238:$J$451),0)
),0)</f>
        <v>0</v>
      </c>
      <c r="R131" s="9">
        <f>IFERROR(
SUM(
SUMIF('TL01'!C:C,C131,'TL01'!J:J),
SUMIF('TL02'!C:C,C131,'TL02'!J:J),
SUMIF('TL03'!C:C,C131,'TL03'!J:J),
SUMIF('TL04'!C:C,C131,'TL04'!J:J),
SUMIF('TL05'!C:C,C131,'TL05'!J:J),
SUMIF('TL06'!C:C,C131,'TL06'!J:J),
SUMIF('TL07'!C:C,C131,'TL07'!J:J),
SUMIF('TL08'!C:C,C131,'TL08'!J:J),
SUMIF('TL09'!C:C,C131,'TL09'!J:J),
SUMIF('TL10'!C:C,C131,'TL10'!J:J),
SUMIF('TL11'!C:C,C131,'TL11'!J:J),
SUMIF('TL12'!C:C,C131,'TL12'!J:J),
SUMIF('TL13'!C:C,C131,'TL13'!J:J),
SUMIF('TL14'!C:C,C131,'TL14'!J:J),
SUMIF('TL15'!C:C,C131,'TL15'!J:J),
SUMIF('TL16'!C:C,C131,'TL16'!J:J),
SUMIF('TL17'!C:C,C131,'TL17'!J:J),
SUMIF('TL18'!C:C,C131,'TL18'!J:J),SUMIF('TL19'!C:C,C131,'TL19'!J:J))
,0)</f>
        <v>0</v>
      </c>
      <c r="S131" s="17">
        <f>IFERROR(__xludf.DUMMYFUNCTION("IFERROR(VLOOKUP(C131,
IMPORTRANGE(""1wULbzX32WdYsx-lj2U3uUNBBe2INVIRDtcK0d-Dvl90"",
""26-27!C:G""),
5,
FALSE),
"""")"),275.27142)</f>
        <v>275.27142</v>
      </c>
      <c r="T131" s="9"/>
      <c r="U131" s="92">
        <f t="shared" si="2"/>
        <v>0</v>
      </c>
      <c r="V131" s="93">
        <f t="shared" si="3"/>
        <v>0</v>
      </c>
    </row>
    <row r="132" ht="15.75" hidden="1" customHeight="1">
      <c r="A132" s="115" t="s">
        <v>353</v>
      </c>
      <c r="B132" s="100" t="s">
        <v>1</v>
      </c>
      <c r="C132" s="116" t="s">
        <v>667</v>
      </c>
      <c r="D132" s="116" t="s">
        <v>668</v>
      </c>
      <c r="E132" s="116">
        <v>840.0</v>
      </c>
      <c r="F132" s="4" t="s">
        <v>343</v>
      </c>
      <c r="G132" s="90" t="str">
        <f t="shared" si="4"/>
        <v>📄 Ver bula</v>
      </c>
      <c r="H132" s="9" t="str">
        <f>IFERROR(__xludf.DUMMYFUNCTION("IFERROR(VLOOKUP(C132,
IMPORTRANGE(""1wULbzX32WdYsx-lj2U3uUNBBe2INVIRDtcK0d-Dvl90"",
""26-27!C:K""),
8,
FALSE),
"""")"),"")</f>
        <v/>
      </c>
      <c r="I132" s="117" t="s">
        <v>669</v>
      </c>
      <c r="J132" s="9">
        <f>IFERROR(SUM(
IF('TL01'!$B$3=J$3,SUMIF('TL01'!$C$10:$C$224,$C132,'TL01'!$J$10:$J$224),0),
IF('TL01'!$B$229=J$3,SUMIF('TL01'!$C$238:$C$451,$C132,'TL01'!$J$238:$J$451),0),
IF('TL02'!$B$3=J$3,SUMIF('TL02'!$C$10:$C$224,$C132,'TL02'!$J$10:$J$224),0),
IF('TL02'!$B$229=J$3,SUMIF('TL02'!$C$238:$C$451,$C132,'TL02'!$J$238:$J$451),0),
IF('TL03'!$B$3=J$3,SUMIF('TL03'!$C$10:$C$224,$C132,'TL03'!$J$10:$J$224),0),
IF('TL03'!$B$229=J$3,SUMIF('TL03'!$C$238:$C$451,$C132,'TL03'!$J$238:$J$451),0),
IF('TL04'!$B$3=J$3,SUMIF('TL04'!$C$10:$C$224,$C132,'TL04'!$J$10:$J$224),0),
IF('TL04'!$B$229=J$3,SUMIF('TL04'!$C$238:$C$451,$C132,'TL04'!$J$238:$J$451),0),
IF('TL05'!$B$3=J$3,SUMIF('TL05'!$C$10:$C$224,$C132,'TL05'!$J$10:$J$224),0),
IF('TL05'!$B$229=J$3,SUMIF('TL05'!$C$238:$C$451,$C132,'TL05'!$J$238:$J$451),0),
IF('TL06'!$B$3=J$3,SUMIF('TL06'!$C$10:$C$224,$C132,'TL06'!$J$10:$J$224),0),
IF('TL06'!$B$229=J$3,SUMIF('TL06'!$C$238:$C$451,$C132,'TL06'!$J$238:$J$451),0),
IF('TL07'!$B$3=J$3,SUMIF('TL07'!$C$10:$C$224,$C132,'TL07'!$J$10:$J$224),0),
IF('TL07'!$B$229=J$3,SUMIF('TL07'!$C$238:$C$451,$C132,'TL07'!$J$238:$J$451),0),
IF('TL08'!$B$3=J$3,SUMIF('TL08'!$C$10:$C$224,$C132,'TL08'!$J$10:$J$224),0),
IF('TL08'!$B$229=J$3,SUMIF('TL08'!$C$238:$C$451,$C132,'TL08'!$J$238:$J$451),0),
IF('TL09'!$B$3=J$3,SUMIF('TL09'!$C$10:$C$224,$C132,'TL09'!$J$10:$J$224),0),
IF('TL09'!$B$229=J$3,SUMIF('TL09'!$C$238:$C$451,$C132,'TL09'!$J$238:$J$451),0),
IF('TL10'!$B$3=J$3,SUMIF('TL10'!$C$10:$C$224,$C132,'TL10'!$J$10:$J$224),0),
IF('TL10'!$B$229=J$3,SUMIF('TL10'!$C$238:$C$451,$C132,'TL10'!$J$238:$J$451),0),
IF('TL11'!$B$3=J$3,SUMIF('TL11'!$C$10:$C$224,$C132,'TL11'!$J$10:$J$224),0),
IF('TL11'!$B$229=J$3,SUMIF('TL11'!$C$238:$C$451,$C132,'TL11'!$J$238:$J$451),0),
IF('TL12'!$B$3=J$3,SUMIF('TL12'!$C$10:$C$224,$C132,'TL12'!$J$10:$J$224),0),
IF('TL12'!$B$229=J$3,SUMIF('TL12'!$C$238:$C$451,$C132,'TL12'!$J$238:$J$451),0),
IF('TL13'!$B$3=J$3,SUMIF('TL13'!$C$10:$C$224,$C132,'TL13'!$J$10:$J$224),0),
IF('TL13'!$B$229=J$3,SUMIF('TL13'!$C$238:$C$451,$C132,'TL13'!$J$238:$J$451),0),
IF('TL14'!$B$3=J$3,SUMIF('TL14'!$C$10:$C$224,$C132,'TL14'!$J$10:$J$224),0),
IF('TL14'!$B$229=J$3,SUMIF('TL14'!$C$238:$C$451,$C132,'TL14'!$J$238:$J$451),0),
IF('TL15'!$B$3=J$3,SUMIF('TL15'!$C$10:$C$224,$C132,'TL15'!$J$10:$J$224),0),
IF('TL15'!$B$229=J$3,SUMIF('TL15'!$C$238:$C$451,$C132,'TL15'!$J$238:$J$451),0),
IF('TL16'!$B$3=J$3,SUMIF('TL16'!$C$10:$C$224,$C132,'TL16'!$J$10:$J$224),0),
IF('TL16'!$B$229=J$3,SUMIF('TL16'!$C$238:$C$451,$C132,'TL16'!$J$238:$J$451),0),
IF('TL17'!$B$3=J$3,SUMIF('TL17'!$C$10:$C$224,$C132,'TL17'!$J$10:$J$224),0),
IF('TL17'!$B$229=J$3,SUMIF('TL17'!$C$238:$C$451,$C132,'TL17'!$J$238:$J$451),0),
IF('TL18'!$B$3=J$3,SUMIF('TL18'!$C$10:$C$224,$C132,'TL18'!$J$10:$J$224),0),
IF('TL18'!$B$229=J$3,SUMIF('TL18'!$C$238:$C$451,$C132,'TL18'!$J$238:$J$451),0),
IF('TL19'!$B$3=J$3,SUMIF('TL19'!$C$10:$C$224,$C132,'TL19'!$J$10:$J$224),0),
IF('TL19'!$B$229=J$3,SUMIF('TL19'!$C$238:$C$451,$C132,'TL19'!$J$238:$J$451),0)
),0)</f>
        <v>0</v>
      </c>
      <c r="K132" s="9">
        <f>IFERROR(SUM(
IF('TL01'!$B$3=K$3,SUMIF('TL01'!$C$10:$C$224,$C132,'TL01'!$J$10:$J$224),0),
IF('TL01'!$B$229=K$3,SUMIF('TL01'!$C$238:$C$451,$C132,'TL01'!$J$238:$J$451),0),
IF('TL02'!$B$3=K$3,SUMIF('TL02'!$C$10:$C$224,$C132,'TL02'!$J$10:$J$224),0),
IF('TL02'!$B$229=K$3,SUMIF('TL02'!$C$238:$C$451,$C132,'TL02'!$J$238:$J$451),0),
IF('TL03'!$B$3=K$3,SUMIF('TL03'!$C$10:$C$224,$C132,'TL03'!$J$10:$J$224),0),
IF('TL03'!$B$229=K$3,SUMIF('TL03'!$C$238:$C$451,$C132,'TL03'!$J$238:$J$451),0),
IF('TL04'!$B$3=K$3,SUMIF('TL04'!$C$10:$C$224,$C132,'TL04'!$J$10:$J$224),0),
IF('TL04'!$B$229=K$3,SUMIF('TL04'!$C$238:$C$451,$C132,'TL04'!$J$238:$J$451),0),
IF('TL05'!$B$3=K$3,SUMIF('TL05'!$C$10:$C$224,$C132,'TL05'!$J$10:$J$224),0),
IF('TL05'!$B$229=K$3,SUMIF('TL05'!$C$238:$C$451,$C132,'TL05'!$J$238:$J$451),0),
IF('TL06'!$B$3=K$3,SUMIF('TL06'!$C$10:$C$224,$C132,'TL06'!$J$10:$J$224),0),
IF('TL06'!$B$229=K$3,SUMIF('TL06'!$C$238:$C$451,$C132,'TL06'!$J$238:$J$451),0),
IF('TL07'!$B$3=K$3,SUMIF('TL07'!$C$10:$C$224,$C132,'TL07'!$J$10:$J$224),0),
IF('TL07'!$B$229=K$3,SUMIF('TL07'!$C$238:$C$451,$C132,'TL07'!$J$238:$J$451),0),
IF('TL08'!$B$3=K$3,SUMIF('TL08'!$C$10:$C$224,$C132,'TL08'!$J$10:$J$224),0),
IF('TL08'!$B$229=K$3,SUMIF('TL08'!$C$238:$C$451,$C132,'TL08'!$J$238:$J$451),0),
IF('TL09'!$B$3=K$3,SUMIF('TL09'!$C$10:$C$224,$C132,'TL09'!$J$10:$J$224),0),
IF('TL09'!$B$229=K$3,SUMIF('TL09'!$C$238:$C$451,$C132,'TL09'!$J$238:$J$451),0),
IF('TL10'!$B$3=K$3,SUMIF('TL10'!$C$10:$C$224,$C132,'TL10'!$J$10:$J$224),0),
IF('TL10'!$B$229=K$3,SUMIF('TL10'!$C$238:$C$451,$C132,'TL10'!$J$238:$J$451),0),
IF('TL11'!$B$3=K$3,SUMIF('TL11'!$C$10:$C$224,$C132,'TL11'!$J$10:$J$224),0),
IF('TL11'!$B$229=K$3,SUMIF('TL11'!$C$238:$C$451,$C132,'TL11'!$J$238:$J$451),0),
IF('TL12'!$B$3=K$3,SUMIF('TL12'!$C$10:$C$224,$C132,'TL12'!$J$10:$J$224),0),
IF('TL12'!$B$229=K$3,SUMIF('TL12'!$C$238:$C$451,$C132,'TL12'!$J$238:$J$451),0),
IF('TL13'!$B$3=K$3,SUMIF('TL13'!$C$10:$C$224,$C132,'TL13'!$J$10:$J$224),0),
IF('TL13'!$B$229=K$3,SUMIF('TL13'!$C$238:$C$451,$C132,'TL13'!$J$238:$J$451),0),
IF('TL14'!$B$3=K$3,SUMIF('TL14'!$C$10:$C$224,$C132,'TL14'!$J$10:$J$224),0),
IF('TL14'!$B$229=K$3,SUMIF('TL14'!$C$238:$C$451,$C132,'TL14'!$J$238:$J$451),0),
IF('TL15'!$B$3=K$3,SUMIF('TL15'!$C$10:$C$224,$C132,'TL15'!$J$10:$J$224),0),
IF('TL15'!$B$229=K$3,SUMIF('TL15'!$C$238:$C$451,$C132,'TL15'!$J$238:$J$451),0),
IF('TL16'!$B$3=K$3,SUMIF('TL16'!$C$10:$C$224,$C132,'TL16'!$J$10:$J$224),0),
IF('TL16'!$B$229=K$3,SUMIF('TL16'!$C$238:$C$451,$C132,'TL16'!$J$238:$J$451),0),
IF('TL17'!$B$3=K$3,SUMIF('TL17'!$C$10:$C$224,$C132,'TL17'!$J$10:$J$224),0),
IF('TL17'!$B$229=K$3,SUMIF('TL17'!$C$238:$C$451,$C132,'TL17'!$J$238:$J$451),0),
IF('TL18'!$B$3=K$3,SUMIF('TL18'!$C$10:$C$224,$C132,'TL18'!$J$10:$J$224),0),
IF('TL18'!$B$229=K$3,SUMIF('TL18'!$C$238:$C$451,$C132,'TL18'!$J$238:$J$451),0),
IF('TL19'!$B$3=K$3,SUMIF('TL19'!$C$10:$C$224,$C132,'TL19'!$J$10:$J$224),0),
IF('TL19'!$B$229=K$3,SUMIF('TL19'!$C$238:$C$451,$C132,'TL19'!$J$238:$J$451),0)
),0)</f>
        <v>0</v>
      </c>
      <c r="L132" s="9">
        <f>IFERROR(SUM(
IF('TL01'!$B$3=L$3,SUMIF('TL01'!$C$10:$C$224,$C132,'TL01'!$J$10:$J$224),0),
IF('TL01'!$B$229=L$3,SUMIF('TL01'!$C$238:$C$451,$C132,'TL01'!$J$238:$J$451),0),
IF('TL02'!$B$3=L$3,SUMIF('TL02'!$C$10:$C$224,$C132,'TL02'!$J$10:$J$224),0),
IF('TL02'!$B$229=L$3,SUMIF('TL02'!$C$238:$C$451,$C132,'TL02'!$J$238:$J$451),0),
IF('TL03'!$B$3=L$3,SUMIF('TL03'!$C$10:$C$224,$C132,'TL03'!$J$10:$J$224),0),
IF('TL03'!$B$229=L$3,SUMIF('TL03'!$C$238:$C$451,$C132,'TL03'!$J$238:$J$451),0),
IF('TL04'!$B$3=L$3,SUMIF('TL04'!$C$10:$C$224,$C132,'TL04'!$J$10:$J$224),0),
IF('TL04'!$B$229=L$3,SUMIF('TL04'!$C$238:$C$451,$C132,'TL04'!$J$238:$J$451),0),
IF('TL05'!$B$3=L$3,SUMIF('TL05'!$C$10:$C$224,$C132,'TL05'!$J$10:$J$224),0),
IF('TL05'!$B$229=L$3,SUMIF('TL05'!$C$238:$C$451,$C132,'TL05'!$J$238:$J$451),0),
IF('TL06'!$B$3=L$3,SUMIF('TL06'!$C$10:$C$224,$C132,'TL06'!$J$10:$J$224),0),
IF('TL06'!$B$229=L$3,SUMIF('TL06'!$C$238:$C$451,$C132,'TL06'!$J$238:$J$451),0),
IF('TL07'!$B$3=L$3,SUMIF('TL07'!$C$10:$C$224,$C132,'TL07'!$J$10:$J$224),0),
IF('TL07'!$B$229=L$3,SUMIF('TL07'!$C$238:$C$451,$C132,'TL07'!$J$238:$J$451),0),
IF('TL08'!$B$3=L$3,SUMIF('TL08'!$C$10:$C$224,$C132,'TL08'!$J$10:$J$224),0),
IF('TL08'!$B$229=L$3,SUMIF('TL08'!$C$238:$C$451,$C132,'TL08'!$J$238:$J$451),0),
IF('TL09'!$B$3=L$3,SUMIF('TL09'!$C$10:$C$224,$C132,'TL09'!$J$10:$J$224),0),
IF('TL09'!$B$229=L$3,SUMIF('TL09'!$C$238:$C$451,$C132,'TL09'!$J$238:$J$451),0),
IF('TL10'!$B$3=L$3,SUMIF('TL10'!$C$10:$C$224,$C132,'TL10'!$J$10:$J$224),0),
IF('TL10'!$B$229=L$3,SUMIF('TL10'!$C$238:$C$451,$C132,'TL10'!$J$238:$J$451),0),
IF('TL11'!$B$3=L$3,SUMIF('TL11'!$C$10:$C$224,$C132,'TL11'!$J$10:$J$224),0),
IF('TL11'!$B$229=L$3,SUMIF('TL11'!$C$238:$C$451,$C132,'TL11'!$J$238:$J$451),0),
IF('TL12'!$B$3=L$3,SUMIF('TL12'!$C$10:$C$224,$C132,'TL12'!$J$10:$J$224),0),
IF('TL12'!$B$229=L$3,SUMIF('TL12'!$C$238:$C$451,$C132,'TL12'!$J$238:$J$451),0),
IF('TL13'!$B$3=L$3,SUMIF('TL13'!$C$10:$C$224,$C132,'TL13'!$J$10:$J$224),0),
IF('TL13'!$B$229=L$3,SUMIF('TL13'!$C$238:$C$451,$C132,'TL13'!$J$238:$J$451),0),
IF('TL14'!$B$3=L$3,SUMIF('TL14'!$C$10:$C$224,$C132,'TL14'!$J$10:$J$224),0),
IF('TL14'!$B$229=L$3,SUMIF('TL14'!$C$238:$C$451,$C132,'TL14'!$J$238:$J$451),0),
IF('TL15'!$B$3=L$3,SUMIF('TL15'!$C$10:$C$224,$C132,'TL15'!$J$10:$J$224),0),
IF('TL15'!$B$229=L$3,SUMIF('TL15'!$C$238:$C$451,$C132,'TL15'!$J$238:$J$451),0),
IF('TL16'!$B$3=L$3,SUMIF('TL16'!$C$10:$C$224,$C132,'TL16'!$J$10:$J$224),0),
IF('TL16'!$B$229=L$3,SUMIF('TL16'!$C$238:$C$451,$C132,'TL16'!$J$238:$J$451),0),
IF('TL17'!$B$3=L$3,SUMIF('TL17'!$C$10:$C$224,$C132,'TL17'!$J$10:$J$224),0),
IF('TL17'!$B$229=L$3,SUMIF('TL17'!$C$238:$C$451,$C132,'TL17'!$J$238:$J$451),0),
IF('TL18'!$B$3=L$3,SUMIF('TL18'!$C$10:$C$224,$C132,'TL18'!$J$10:$J$224),0),
IF('TL18'!$B$229=L$3,SUMIF('TL18'!$C$238:$C$451,$C132,'TL18'!$J$238:$J$451),0),
IF('TL19'!$B$3=L$3,SUMIF('TL19'!$C$10:$C$224,$C132,'TL19'!$J$10:$J$224),0),
IF('TL19'!$B$229=L$3,SUMIF('TL19'!$C$238:$C$451,$C132,'TL19'!$J$238:$J$451),0)
),0)</f>
        <v>0</v>
      </c>
      <c r="M132" s="9">
        <f>IFERROR(SUM(
IF('TL01'!$B$3=M$3,SUMIF('TL01'!$C$10:$C$224,$C132,'TL01'!$J$10:$J$224),0),
IF('TL01'!$B$229=M$3,SUMIF('TL01'!$C$238:$C$451,$C132,'TL01'!$J$238:$J$451),0),
IF('TL02'!$B$3=M$3,SUMIF('TL02'!$C$10:$C$224,$C132,'TL02'!$J$10:$J$224),0),
IF('TL02'!$B$229=M$3,SUMIF('TL02'!$C$238:$C$451,$C132,'TL02'!$J$238:$J$451),0),
IF('TL03'!$B$3=M$3,SUMIF('TL03'!$C$10:$C$224,$C132,'TL03'!$J$10:$J$224),0),
IF('TL03'!$B$229=M$3,SUMIF('TL03'!$C$238:$C$451,$C132,'TL03'!$J$238:$J$451),0),
IF('TL04'!$B$3=M$3,SUMIF('TL04'!$C$10:$C$224,$C132,'TL04'!$J$10:$J$224),0),
IF('TL04'!$B$229=M$3,SUMIF('TL04'!$C$238:$C$451,$C132,'TL04'!$J$238:$J$451),0),
IF('TL05'!$B$3=M$3,SUMIF('TL05'!$C$10:$C$224,$C132,'TL05'!$J$10:$J$224),0),
IF('TL05'!$B$229=M$3,SUMIF('TL05'!$C$238:$C$451,$C132,'TL05'!$J$238:$J$451),0),
IF('TL06'!$B$3=M$3,SUMIF('TL06'!$C$10:$C$224,$C132,'TL06'!$J$10:$J$224),0),
IF('TL06'!$B$229=M$3,SUMIF('TL06'!$C$238:$C$451,$C132,'TL06'!$J$238:$J$451),0),
IF('TL07'!$B$3=M$3,SUMIF('TL07'!$C$10:$C$224,$C132,'TL07'!$J$10:$J$224),0),
IF('TL07'!$B$229=M$3,SUMIF('TL07'!$C$238:$C$451,$C132,'TL07'!$J$238:$J$451),0),
IF('TL08'!$B$3=M$3,SUMIF('TL08'!$C$10:$C$224,$C132,'TL08'!$J$10:$J$224),0),
IF('TL08'!$B$229=M$3,SUMIF('TL08'!$C$238:$C$451,$C132,'TL08'!$J$238:$J$451),0),
IF('TL09'!$B$3=M$3,SUMIF('TL09'!$C$10:$C$224,$C132,'TL09'!$J$10:$J$224),0),
IF('TL09'!$B$229=M$3,SUMIF('TL09'!$C$238:$C$451,$C132,'TL09'!$J$238:$J$451),0),
IF('TL10'!$B$3=M$3,SUMIF('TL10'!$C$10:$C$224,$C132,'TL10'!$J$10:$J$224),0),
IF('TL10'!$B$229=M$3,SUMIF('TL10'!$C$238:$C$451,$C132,'TL10'!$J$238:$J$451),0),
IF('TL11'!$B$3=M$3,SUMIF('TL11'!$C$10:$C$224,$C132,'TL11'!$J$10:$J$224),0),
IF('TL11'!$B$229=M$3,SUMIF('TL11'!$C$238:$C$451,$C132,'TL11'!$J$238:$J$451),0),
IF('TL12'!$B$3=M$3,SUMIF('TL12'!$C$10:$C$224,$C132,'TL12'!$J$10:$J$224),0),
IF('TL12'!$B$229=M$3,SUMIF('TL12'!$C$238:$C$451,$C132,'TL12'!$J$238:$J$451),0),
IF('TL13'!$B$3=M$3,SUMIF('TL13'!$C$10:$C$224,$C132,'TL13'!$J$10:$J$224),0),
IF('TL13'!$B$229=M$3,SUMIF('TL13'!$C$238:$C$451,$C132,'TL13'!$J$238:$J$451),0),
IF('TL14'!$B$3=M$3,SUMIF('TL14'!$C$10:$C$224,$C132,'TL14'!$J$10:$J$224),0),
IF('TL14'!$B$229=M$3,SUMIF('TL14'!$C$238:$C$451,$C132,'TL14'!$J$238:$J$451),0),
IF('TL15'!$B$3=M$3,SUMIF('TL15'!$C$10:$C$224,$C132,'TL15'!$J$10:$J$224),0),
IF('TL15'!$B$229=M$3,SUMIF('TL15'!$C$238:$C$451,$C132,'TL15'!$J$238:$J$451),0),
IF('TL16'!$B$3=M$3,SUMIF('TL16'!$C$10:$C$224,$C132,'TL16'!$J$10:$J$224),0),
IF('TL16'!$B$229=M$3,SUMIF('TL16'!$C$238:$C$451,$C132,'TL16'!$J$238:$J$451),0),
IF('TL17'!$B$3=M$3,SUMIF('TL17'!$C$10:$C$224,$C132,'TL17'!$J$10:$J$224),0),
IF('TL17'!$B$229=M$3,SUMIF('TL17'!$C$238:$C$451,$C132,'TL17'!$J$238:$J$451),0),
IF('TL18'!$B$3=M$3,SUMIF('TL18'!$C$10:$C$224,$C132,'TL18'!$J$10:$J$224),0),
IF('TL18'!$B$229=M$3,SUMIF('TL18'!$C$238:$C$451,$C132,'TL18'!$J$238:$J$451),0),
IF('TL19'!$B$3=M$3,SUMIF('TL19'!$C$10:$C$224,$C132,'TL19'!$J$10:$J$224),0),
IF('TL19'!$B$229=M$3,SUMIF('TL19'!$C$238:$C$451,$C132,'TL19'!$J$238:$J$451),0)
),0)</f>
        <v>0</v>
      </c>
      <c r="N132" s="9">
        <f>IFERROR(SUM(
IF('TL01'!$B$3=N$3,SUMIF('TL01'!$C$10:$C$224,$C132,'TL01'!$J$10:$J$224),0),
IF('TL01'!$B$229=N$3,SUMIF('TL01'!$C$238:$C$451,$C132,'TL01'!$J$238:$J$451),0),
IF('TL02'!$B$3=N$3,SUMIF('TL02'!$C$10:$C$224,$C132,'TL02'!$J$10:$J$224),0),
IF('TL02'!$B$229=N$3,SUMIF('TL02'!$C$238:$C$451,$C132,'TL02'!$J$238:$J$451),0),
IF('TL03'!$B$3=N$3,SUMIF('TL03'!$C$10:$C$224,$C132,'TL03'!$J$10:$J$224),0),
IF('TL03'!$B$229=N$3,SUMIF('TL03'!$C$238:$C$451,$C132,'TL03'!$J$238:$J$451),0),
IF('TL04'!$B$3=N$3,SUMIF('TL04'!$C$10:$C$224,$C132,'TL04'!$J$10:$J$224),0),
IF('TL04'!$B$229=N$3,SUMIF('TL04'!$C$238:$C$451,$C132,'TL04'!$J$238:$J$451),0),
IF('TL05'!$B$3=N$3,SUMIF('TL05'!$C$10:$C$224,$C132,'TL05'!$J$10:$J$224),0),
IF('TL05'!$B$229=N$3,SUMIF('TL05'!$C$238:$C$451,$C132,'TL05'!$J$238:$J$451),0),
IF('TL06'!$B$3=N$3,SUMIF('TL06'!$C$10:$C$224,$C132,'TL06'!$J$10:$J$224),0),
IF('TL06'!$B$229=N$3,SUMIF('TL06'!$C$238:$C$451,$C132,'TL06'!$J$238:$J$451),0),
IF('TL07'!$B$3=N$3,SUMIF('TL07'!$C$10:$C$224,$C132,'TL07'!$J$10:$J$224),0),
IF('TL07'!$B$229=N$3,SUMIF('TL07'!$C$238:$C$451,$C132,'TL07'!$J$238:$J$451),0),
IF('TL08'!$B$3=N$3,SUMIF('TL08'!$C$10:$C$224,$C132,'TL08'!$J$10:$J$224),0),
IF('TL08'!$B$229=N$3,SUMIF('TL08'!$C$238:$C$451,$C132,'TL08'!$J$238:$J$451),0),
IF('TL09'!$B$3=N$3,SUMIF('TL09'!$C$10:$C$224,$C132,'TL09'!$J$10:$J$224),0),
IF('TL09'!$B$229=N$3,SUMIF('TL09'!$C$238:$C$451,$C132,'TL09'!$J$238:$J$451),0),
IF('TL10'!$B$3=N$3,SUMIF('TL10'!$C$10:$C$224,$C132,'TL10'!$J$10:$J$224),0),
IF('TL10'!$B$229=N$3,SUMIF('TL10'!$C$238:$C$451,$C132,'TL10'!$J$238:$J$451),0),
IF('TL11'!$B$3=N$3,SUMIF('TL11'!$C$10:$C$224,$C132,'TL11'!$J$10:$J$224),0),
IF('TL11'!$B$229=N$3,SUMIF('TL11'!$C$238:$C$451,$C132,'TL11'!$J$238:$J$451),0),
IF('TL12'!$B$3=N$3,SUMIF('TL12'!$C$10:$C$224,$C132,'TL12'!$J$10:$J$224),0),
IF('TL12'!$B$229=N$3,SUMIF('TL12'!$C$238:$C$451,$C132,'TL12'!$J$238:$J$451),0),
IF('TL13'!$B$3=N$3,SUMIF('TL13'!$C$10:$C$224,$C132,'TL13'!$J$10:$J$224),0),
IF('TL13'!$B$229=N$3,SUMIF('TL13'!$C$238:$C$451,$C132,'TL13'!$J$238:$J$451),0),
IF('TL14'!$B$3=N$3,SUMIF('TL14'!$C$10:$C$224,$C132,'TL14'!$J$10:$J$224),0),
IF('TL14'!$B$229=N$3,SUMIF('TL14'!$C$238:$C$451,$C132,'TL14'!$J$238:$J$451),0),
IF('TL15'!$B$3=N$3,SUMIF('TL15'!$C$10:$C$224,$C132,'TL15'!$J$10:$J$224),0),
IF('TL15'!$B$229=N$3,SUMIF('TL15'!$C$238:$C$451,$C132,'TL15'!$J$238:$J$451),0),
IF('TL16'!$B$3=N$3,SUMIF('TL16'!$C$10:$C$224,$C132,'TL16'!$J$10:$J$224),0),
IF('TL16'!$B$229=N$3,SUMIF('TL16'!$C$238:$C$451,$C132,'TL16'!$J$238:$J$451),0),
IF('TL17'!$B$3=N$3,SUMIF('TL17'!$C$10:$C$224,$C132,'TL17'!$J$10:$J$224),0),
IF('TL17'!$B$229=N$3,SUMIF('TL17'!$C$238:$C$451,$C132,'TL17'!$J$238:$J$451),0),
IF('TL18'!$B$3=N$3,SUMIF('TL18'!$C$10:$C$224,$C132,'TL18'!$J$10:$J$224),0),
IF('TL18'!$B$229=N$3,SUMIF('TL18'!$C$238:$C$451,$C132,'TL18'!$J$238:$J$451),0),
IF('TL19'!$B$3=N$3,SUMIF('TL19'!$C$10:$C$224,$C132,'TL19'!$J$10:$J$224),0),
IF('TL19'!$B$229=N$3,SUMIF('TL19'!$C$238:$C$451,$C132,'TL19'!$J$238:$J$451),0)
),0)</f>
        <v>0</v>
      </c>
      <c r="O132" s="9">
        <f>IFERROR(SUM(
IF('TL01'!$B$3=O$3,SUMIF('TL01'!$C$10:$C$224,$C132,'TL01'!$J$10:$J$224),0),
IF('TL01'!$B$229=O$3,SUMIF('TL01'!$C$238:$C$451,$C132,'TL01'!$J$238:$J$451),0),
IF('TL02'!$B$3=O$3,SUMIF('TL02'!$C$10:$C$224,$C132,'TL02'!$J$10:$J$224),0),
IF('TL02'!$B$229=O$3,SUMIF('TL02'!$C$238:$C$451,$C132,'TL02'!$J$238:$J$451),0),
IF('TL03'!$B$3=O$3,SUMIF('TL03'!$C$10:$C$224,$C132,'TL03'!$J$10:$J$224),0),
IF('TL03'!$B$229=O$3,SUMIF('TL03'!$C$238:$C$451,$C132,'TL03'!$J$238:$J$451),0),
IF('TL04'!$B$3=O$3,SUMIF('TL04'!$C$10:$C$224,$C132,'TL04'!$J$10:$J$224),0),
IF('TL04'!$B$229=O$3,SUMIF('TL04'!$C$238:$C$451,$C132,'TL04'!$J$238:$J$451),0),
IF('TL05'!$B$3=O$3,SUMIF('TL05'!$C$10:$C$224,$C132,'TL05'!$J$10:$J$224),0),
IF('TL05'!$B$229=O$3,SUMIF('TL05'!$C$238:$C$451,$C132,'TL05'!$J$238:$J$451),0),
IF('TL06'!$B$3=O$3,SUMIF('TL06'!$C$10:$C$224,$C132,'TL06'!$J$10:$J$224),0),
IF('TL06'!$B$229=O$3,SUMIF('TL06'!$C$238:$C$451,$C132,'TL06'!$J$238:$J$451),0),
IF('TL07'!$B$3=O$3,SUMIF('TL07'!$C$10:$C$224,$C132,'TL07'!$J$10:$J$224),0),
IF('TL07'!$B$229=O$3,SUMIF('TL07'!$C$238:$C$451,$C132,'TL07'!$J$238:$J$451),0),
IF('TL08'!$B$3=O$3,SUMIF('TL08'!$C$10:$C$224,$C132,'TL08'!$J$10:$J$224),0),
IF('TL08'!$B$229=O$3,SUMIF('TL08'!$C$238:$C$451,$C132,'TL08'!$J$238:$J$451),0),
IF('TL09'!$B$3=O$3,SUMIF('TL09'!$C$10:$C$224,$C132,'TL09'!$J$10:$J$224),0),
IF('TL09'!$B$229=O$3,SUMIF('TL09'!$C$238:$C$451,$C132,'TL09'!$J$238:$J$451),0),
IF('TL10'!$B$3=O$3,SUMIF('TL10'!$C$10:$C$224,$C132,'TL10'!$J$10:$J$224),0),
IF('TL10'!$B$229=O$3,SUMIF('TL10'!$C$238:$C$451,$C132,'TL10'!$J$238:$J$451),0),
IF('TL11'!$B$3=O$3,SUMIF('TL11'!$C$10:$C$224,$C132,'TL11'!$J$10:$J$224),0),
IF('TL11'!$B$229=O$3,SUMIF('TL11'!$C$238:$C$451,$C132,'TL11'!$J$238:$J$451),0),
IF('TL12'!$B$3=O$3,SUMIF('TL12'!$C$10:$C$224,$C132,'TL12'!$J$10:$J$224),0),
IF('TL12'!$B$229=O$3,SUMIF('TL12'!$C$238:$C$451,$C132,'TL12'!$J$238:$J$451),0),
IF('TL13'!$B$3=O$3,SUMIF('TL13'!$C$10:$C$224,$C132,'TL13'!$J$10:$J$224),0),
IF('TL13'!$B$229=O$3,SUMIF('TL13'!$C$238:$C$451,$C132,'TL13'!$J$238:$J$451),0),
IF('TL14'!$B$3=O$3,SUMIF('TL14'!$C$10:$C$224,$C132,'TL14'!$J$10:$J$224),0),
IF('TL14'!$B$229=O$3,SUMIF('TL14'!$C$238:$C$451,$C132,'TL14'!$J$238:$J$451),0),
IF('TL15'!$B$3=O$3,SUMIF('TL15'!$C$10:$C$224,$C132,'TL15'!$J$10:$J$224),0),
IF('TL15'!$B$229=O$3,SUMIF('TL15'!$C$238:$C$451,$C132,'TL15'!$J$238:$J$451),0),
IF('TL16'!$B$3=O$3,SUMIF('TL16'!$C$10:$C$224,$C132,'TL16'!$J$10:$J$224),0),
IF('TL16'!$B$229=O$3,SUMIF('TL16'!$C$238:$C$451,$C132,'TL16'!$J$238:$J$451),0),
IF('TL17'!$B$3=O$3,SUMIF('TL17'!$C$10:$C$224,$C132,'TL17'!$J$10:$J$224),0),
IF('TL17'!$B$229=O$3,SUMIF('TL17'!$C$238:$C$451,$C132,'TL17'!$J$238:$J$451),0),
IF('TL18'!$B$3=O$3,SUMIF('TL18'!$C$10:$C$224,$C132,'TL18'!$J$10:$J$224),0),
IF('TL18'!$B$229=O$3,SUMIF('TL18'!$C$238:$C$451,$C132,'TL18'!$J$238:$J$451),0),
IF('TL19'!$B$3=O$3,SUMIF('TL19'!$C$10:$C$224,$C132,'TL19'!$J$10:$J$224),0),
IF('TL19'!$B$229=O$3,SUMIF('TL19'!$C$238:$C$451,$C132,'TL19'!$J$238:$J$451),0)
),0)</f>
        <v>0</v>
      </c>
      <c r="P132" s="9">
        <f>IFERROR(SUM(
IF('TL01'!$B$3=P$3,SUMIF('TL01'!$C$10:$C$224,$C132,'TL01'!$J$10:$J$224),0),
IF('TL01'!$B$229=P$3,SUMIF('TL01'!$C$238:$C$451,$C132,'TL01'!$J$238:$J$451),0),
IF('TL02'!$B$3=P$3,SUMIF('TL02'!$C$10:$C$224,$C132,'TL02'!$J$10:$J$224),0),
IF('TL02'!$B$229=P$3,SUMIF('TL02'!$C$238:$C$451,$C132,'TL02'!$J$238:$J$451),0),
IF('TL03'!$B$3=P$3,SUMIF('TL03'!$C$10:$C$224,$C132,'TL03'!$J$10:$J$224),0),
IF('TL03'!$B$229=P$3,SUMIF('TL03'!$C$238:$C$451,$C132,'TL03'!$J$238:$J$451),0),
IF('TL04'!$B$3=P$3,SUMIF('TL04'!$C$10:$C$224,$C132,'TL04'!$J$10:$J$224),0),
IF('TL04'!$B$229=P$3,SUMIF('TL04'!$C$238:$C$451,$C132,'TL04'!$J$238:$J$451),0),
IF('TL05'!$B$3=P$3,SUMIF('TL05'!$C$10:$C$224,$C132,'TL05'!$J$10:$J$224),0),
IF('TL05'!$B$229=P$3,SUMIF('TL05'!$C$238:$C$451,$C132,'TL05'!$J$238:$J$451),0),
IF('TL06'!$B$3=P$3,SUMIF('TL06'!$C$10:$C$224,$C132,'TL06'!$J$10:$J$224),0),
IF('TL06'!$B$229=P$3,SUMIF('TL06'!$C$238:$C$451,$C132,'TL06'!$J$238:$J$451),0),
IF('TL07'!$B$3=P$3,SUMIF('TL07'!$C$10:$C$224,$C132,'TL07'!$J$10:$J$224),0),
IF('TL07'!$B$229=P$3,SUMIF('TL07'!$C$238:$C$451,$C132,'TL07'!$J$238:$J$451),0),
IF('TL08'!$B$3=P$3,SUMIF('TL08'!$C$10:$C$224,$C132,'TL08'!$J$10:$J$224),0),
IF('TL08'!$B$229=P$3,SUMIF('TL08'!$C$238:$C$451,$C132,'TL08'!$J$238:$J$451),0),
IF('TL09'!$B$3=P$3,SUMIF('TL09'!$C$10:$C$224,$C132,'TL09'!$J$10:$J$224),0),
IF('TL09'!$B$229=P$3,SUMIF('TL09'!$C$238:$C$451,$C132,'TL09'!$J$238:$J$451),0),
IF('TL10'!$B$3=P$3,SUMIF('TL10'!$C$10:$C$224,$C132,'TL10'!$J$10:$J$224),0),
IF('TL10'!$B$229=P$3,SUMIF('TL10'!$C$238:$C$451,$C132,'TL10'!$J$238:$J$451),0),
IF('TL11'!$B$3=P$3,SUMIF('TL11'!$C$10:$C$224,$C132,'TL11'!$J$10:$J$224),0),
IF('TL11'!$B$229=P$3,SUMIF('TL11'!$C$238:$C$451,$C132,'TL11'!$J$238:$J$451),0),
IF('TL12'!$B$3=P$3,SUMIF('TL12'!$C$10:$C$224,$C132,'TL12'!$J$10:$J$224),0),
IF('TL12'!$B$229=P$3,SUMIF('TL12'!$C$238:$C$451,$C132,'TL12'!$J$238:$J$451),0),
IF('TL13'!$B$3=P$3,SUMIF('TL13'!$C$10:$C$224,$C132,'TL13'!$J$10:$J$224),0),
IF('TL13'!$B$229=P$3,SUMIF('TL13'!$C$238:$C$451,$C132,'TL13'!$J$238:$J$451),0),
IF('TL14'!$B$3=P$3,SUMIF('TL14'!$C$10:$C$224,$C132,'TL14'!$J$10:$J$224),0),
IF('TL14'!$B$229=P$3,SUMIF('TL14'!$C$238:$C$451,$C132,'TL14'!$J$238:$J$451),0),
IF('TL15'!$B$3=P$3,SUMIF('TL15'!$C$10:$C$224,$C132,'TL15'!$J$10:$J$224),0),
IF('TL15'!$B$229=P$3,SUMIF('TL15'!$C$238:$C$451,$C132,'TL15'!$J$238:$J$451),0),
IF('TL16'!$B$3=P$3,SUMIF('TL16'!$C$10:$C$224,$C132,'TL16'!$J$10:$J$224),0),
IF('TL16'!$B$229=P$3,SUMIF('TL16'!$C$238:$C$451,$C132,'TL16'!$J$238:$J$451),0),
IF('TL17'!$B$3=P$3,SUMIF('TL17'!$C$10:$C$224,$C132,'TL17'!$J$10:$J$224),0),
IF('TL17'!$B$229=P$3,SUMIF('TL17'!$C$238:$C$451,$C132,'TL17'!$J$238:$J$451),0),
IF('TL18'!$B$3=P$3,SUMIF('TL18'!$C$10:$C$224,$C132,'TL18'!$J$10:$J$224),0),
IF('TL18'!$B$229=P$3,SUMIF('TL18'!$C$238:$C$451,$C132,'TL18'!$J$238:$J$451),0),
IF('TL19'!$B$3=P$3,SUMIF('TL19'!$C$10:$C$224,$C132,'TL19'!$J$10:$J$224),0),
IF('TL19'!$B$229=P$3,SUMIF('TL19'!$C$238:$C$451,$C132,'TL19'!$J$238:$J$451),0)
),0)</f>
        <v>0</v>
      </c>
      <c r="Q132" s="9">
        <f>IFERROR(SUM(
IF('TL01'!$B$3=Q$3,SUMIF('TL01'!$C$10:$C$224,$C132,'TL01'!$J$10:$J$224),0),
IF('TL01'!$B$229=Q$3,SUMIF('TL01'!$C$238:$C$451,$C132,'TL01'!$J$238:$J$451),0),
IF('TL02'!$B$3=Q$3,SUMIF('TL02'!$C$10:$C$224,$C132,'TL02'!$J$10:$J$224),0),
IF('TL02'!$B$229=Q$3,SUMIF('TL02'!$C$238:$C$451,$C132,'TL02'!$J$238:$J$451),0),
IF('TL03'!$B$3=Q$3,SUMIF('TL03'!$C$10:$C$224,$C132,'TL03'!$J$10:$J$224),0),
IF('TL03'!$B$229=Q$3,SUMIF('TL03'!$C$238:$C$451,$C132,'TL03'!$J$238:$J$451),0),
IF('TL04'!$B$3=Q$3,SUMIF('TL04'!$C$10:$C$224,$C132,'TL04'!$J$10:$J$224),0),
IF('TL04'!$B$229=Q$3,SUMIF('TL04'!$C$238:$C$451,$C132,'TL04'!$J$238:$J$451),0),
IF('TL05'!$B$3=Q$3,SUMIF('TL05'!$C$10:$C$224,$C132,'TL05'!$J$10:$J$224),0),
IF('TL05'!$B$229=Q$3,SUMIF('TL05'!$C$238:$C$451,$C132,'TL05'!$J$238:$J$451),0),
IF('TL06'!$B$3=Q$3,SUMIF('TL06'!$C$10:$C$224,$C132,'TL06'!$J$10:$J$224),0),
IF('TL06'!$B$229=Q$3,SUMIF('TL06'!$C$238:$C$451,$C132,'TL06'!$J$238:$J$451),0),
IF('TL07'!$B$3=Q$3,SUMIF('TL07'!$C$10:$C$224,$C132,'TL07'!$J$10:$J$224),0),
IF('TL07'!$B$229=Q$3,SUMIF('TL07'!$C$238:$C$451,$C132,'TL07'!$J$238:$J$451),0),
IF('TL08'!$B$3=Q$3,SUMIF('TL08'!$C$10:$C$224,$C132,'TL08'!$J$10:$J$224),0),
IF('TL08'!$B$229=Q$3,SUMIF('TL08'!$C$238:$C$451,$C132,'TL08'!$J$238:$J$451),0),
IF('TL09'!$B$3=Q$3,SUMIF('TL09'!$C$10:$C$224,$C132,'TL09'!$J$10:$J$224),0),
IF('TL09'!$B$229=Q$3,SUMIF('TL09'!$C$238:$C$451,$C132,'TL09'!$J$238:$J$451),0),
IF('TL10'!$B$3=Q$3,SUMIF('TL10'!$C$10:$C$224,$C132,'TL10'!$J$10:$J$224),0),
IF('TL10'!$B$229=Q$3,SUMIF('TL10'!$C$238:$C$451,$C132,'TL10'!$J$238:$J$451),0),
IF('TL11'!$B$3=Q$3,SUMIF('TL11'!$C$10:$C$224,$C132,'TL11'!$J$10:$J$224),0),
IF('TL11'!$B$229=Q$3,SUMIF('TL11'!$C$238:$C$451,$C132,'TL11'!$J$238:$J$451),0),
IF('TL12'!$B$3=Q$3,SUMIF('TL12'!$C$10:$C$224,$C132,'TL12'!$J$10:$J$224),0),
IF('TL12'!$B$229=Q$3,SUMIF('TL12'!$C$238:$C$451,$C132,'TL12'!$J$238:$J$451),0),
IF('TL13'!$B$3=Q$3,SUMIF('TL13'!$C$10:$C$224,$C132,'TL13'!$J$10:$J$224),0),
IF('TL13'!$B$229=Q$3,SUMIF('TL13'!$C$238:$C$451,$C132,'TL13'!$J$238:$J$451),0),
IF('TL14'!$B$3=Q$3,SUMIF('TL14'!$C$10:$C$224,$C132,'TL14'!$J$10:$J$224),0),
IF('TL14'!$B$229=Q$3,SUMIF('TL14'!$C$238:$C$451,$C132,'TL14'!$J$238:$J$451),0),
IF('TL15'!$B$3=Q$3,SUMIF('TL15'!$C$10:$C$224,$C132,'TL15'!$J$10:$J$224),0),
IF('TL15'!$B$229=Q$3,SUMIF('TL15'!$C$238:$C$451,$C132,'TL15'!$J$238:$J$451),0),
IF('TL16'!$B$3=Q$3,SUMIF('TL16'!$C$10:$C$224,$C132,'TL16'!$J$10:$J$224),0),
IF('TL16'!$B$229=Q$3,SUMIF('TL16'!$C$238:$C$451,$C132,'TL16'!$J$238:$J$451),0),
IF('TL17'!$B$3=Q$3,SUMIF('TL17'!$C$10:$C$224,$C132,'TL17'!$J$10:$J$224),0),
IF('TL17'!$B$229=Q$3,SUMIF('TL17'!$C$238:$C$451,$C132,'TL17'!$J$238:$J$451),0),
IF('TL18'!$B$3=Q$3,SUMIF('TL18'!$C$10:$C$224,$C132,'TL18'!$J$10:$J$224),0),
IF('TL18'!$B$229=Q$3,SUMIF('TL18'!$C$238:$C$451,$C132,'TL18'!$J$238:$J$451),0),
IF('TL19'!$B$3=Q$3,SUMIF('TL19'!$C$10:$C$224,$C132,'TL19'!$J$10:$J$224),0),
IF('TL19'!$B$229=Q$3,SUMIF('TL19'!$C$238:$C$451,$C132,'TL19'!$J$238:$J$451),0)
),0)</f>
        <v>0</v>
      </c>
      <c r="R132" s="9">
        <f>IFERROR(
SUM(
SUMIF('TL01'!C:C,C132,'TL01'!J:J),
SUMIF('TL02'!C:C,C132,'TL02'!J:J),
SUMIF('TL03'!C:C,C132,'TL03'!J:J),
SUMIF('TL04'!C:C,C132,'TL04'!J:J),
SUMIF('TL05'!C:C,C132,'TL05'!J:J),
SUMIF('TL06'!C:C,C132,'TL06'!J:J),
SUMIF('TL07'!C:C,C132,'TL07'!J:J),
SUMIF('TL08'!C:C,C132,'TL08'!J:J),
SUMIF('TL09'!C:C,C132,'TL09'!J:J),
SUMIF('TL10'!C:C,C132,'TL10'!J:J),
SUMIF('TL11'!C:C,C132,'TL11'!J:J),
SUMIF('TL12'!C:C,C132,'TL12'!J:J),
SUMIF('TL13'!C:C,C132,'TL13'!J:J),
SUMIF('TL14'!C:C,C132,'TL14'!J:J),
SUMIF('TL15'!C:C,C132,'TL15'!J:J),
SUMIF('TL16'!C:C,C132,'TL16'!J:J),
SUMIF('TL17'!C:C,C132,'TL17'!J:J),
SUMIF('TL18'!C:C,C132,'TL18'!J:J),SUMIF('TL19'!C:C,C132,'TL19'!J:J))
,0)</f>
        <v>0</v>
      </c>
      <c r="S132" s="17">
        <f>IFERROR(__xludf.DUMMYFUNCTION("IFERROR(VLOOKUP(C132,
IMPORTRANGE(""1wULbzX32WdYsx-lj2U3uUNBBe2INVIRDtcK0d-Dvl90"",
""26-27!C:G""),
5,
FALSE),
"""")"),1522.5097799999999)</f>
        <v>1522.50978</v>
      </c>
      <c r="T132" s="9"/>
      <c r="U132" s="92">
        <f t="shared" si="2"/>
        <v>0</v>
      </c>
      <c r="V132" s="93">
        <f t="shared" si="3"/>
        <v>0</v>
      </c>
    </row>
    <row r="133" ht="15.75" hidden="1" customHeight="1">
      <c r="A133" s="111" t="s">
        <v>353</v>
      </c>
      <c r="B133" s="112" t="s">
        <v>1</v>
      </c>
      <c r="C133" s="113" t="s">
        <v>670</v>
      </c>
      <c r="D133" s="113" t="s">
        <v>671</v>
      </c>
      <c r="E133" s="113" t="s">
        <v>672</v>
      </c>
      <c r="F133" s="4" t="s">
        <v>343</v>
      </c>
      <c r="G133" s="90" t="str">
        <f t="shared" si="4"/>
        <v>📄 Ver bula</v>
      </c>
      <c r="H133" s="9" t="str">
        <f>IFERROR(__xludf.DUMMYFUNCTION("IFERROR(VLOOKUP(C133,
IMPORTRANGE(""1wULbzX32WdYsx-lj2U3uUNBBe2INVIRDtcK0d-Dvl90"",
""26-27!C:K""),
8,
FALSE),
"""")"),"")</f>
        <v/>
      </c>
      <c r="I133" s="114" t="s">
        <v>673</v>
      </c>
      <c r="J133" s="9">
        <f>IFERROR(SUM(
IF('TL01'!$B$3=J$3,SUMIF('TL01'!$C$10:$C$224,$C133,'TL01'!$J$10:$J$224),0),
IF('TL01'!$B$229=J$3,SUMIF('TL01'!$C$238:$C$451,$C133,'TL01'!$J$238:$J$451),0),
IF('TL02'!$B$3=J$3,SUMIF('TL02'!$C$10:$C$224,$C133,'TL02'!$J$10:$J$224),0),
IF('TL02'!$B$229=J$3,SUMIF('TL02'!$C$238:$C$451,$C133,'TL02'!$J$238:$J$451),0),
IF('TL03'!$B$3=J$3,SUMIF('TL03'!$C$10:$C$224,$C133,'TL03'!$J$10:$J$224),0),
IF('TL03'!$B$229=J$3,SUMIF('TL03'!$C$238:$C$451,$C133,'TL03'!$J$238:$J$451),0),
IF('TL04'!$B$3=J$3,SUMIF('TL04'!$C$10:$C$224,$C133,'TL04'!$J$10:$J$224),0),
IF('TL04'!$B$229=J$3,SUMIF('TL04'!$C$238:$C$451,$C133,'TL04'!$J$238:$J$451),0),
IF('TL05'!$B$3=J$3,SUMIF('TL05'!$C$10:$C$224,$C133,'TL05'!$J$10:$J$224),0),
IF('TL05'!$B$229=J$3,SUMIF('TL05'!$C$238:$C$451,$C133,'TL05'!$J$238:$J$451),0),
IF('TL06'!$B$3=J$3,SUMIF('TL06'!$C$10:$C$224,$C133,'TL06'!$J$10:$J$224),0),
IF('TL06'!$B$229=J$3,SUMIF('TL06'!$C$238:$C$451,$C133,'TL06'!$J$238:$J$451),0),
IF('TL07'!$B$3=J$3,SUMIF('TL07'!$C$10:$C$224,$C133,'TL07'!$J$10:$J$224),0),
IF('TL07'!$B$229=J$3,SUMIF('TL07'!$C$238:$C$451,$C133,'TL07'!$J$238:$J$451),0),
IF('TL08'!$B$3=J$3,SUMIF('TL08'!$C$10:$C$224,$C133,'TL08'!$J$10:$J$224),0),
IF('TL08'!$B$229=J$3,SUMIF('TL08'!$C$238:$C$451,$C133,'TL08'!$J$238:$J$451),0),
IF('TL09'!$B$3=J$3,SUMIF('TL09'!$C$10:$C$224,$C133,'TL09'!$J$10:$J$224),0),
IF('TL09'!$B$229=J$3,SUMIF('TL09'!$C$238:$C$451,$C133,'TL09'!$J$238:$J$451),0),
IF('TL10'!$B$3=J$3,SUMIF('TL10'!$C$10:$C$224,$C133,'TL10'!$J$10:$J$224),0),
IF('TL10'!$B$229=J$3,SUMIF('TL10'!$C$238:$C$451,$C133,'TL10'!$J$238:$J$451),0),
IF('TL11'!$B$3=J$3,SUMIF('TL11'!$C$10:$C$224,$C133,'TL11'!$J$10:$J$224),0),
IF('TL11'!$B$229=J$3,SUMIF('TL11'!$C$238:$C$451,$C133,'TL11'!$J$238:$J$451),0),
IF('TL12'!$B$3=J$3,SUMIF('TL12'!$C$10:$C$224,$C133,'TL12'!$J$10:$J$224),0),
IF('TL12'!$B$229=J$3,SUMIF('TL12'!$C$238:$C$451,$C133,'TL12'!$J$238:$J$451),0),
IF('TL13'!$B$3=J$3,SUMIF('TL13'!$C$10:$C$224,$C133,'TL13'!$J$10:$J$224),0),
IF('TL13'!$B$229=J$3,SUMIF('TL13'!$C$238:$C$451,$C133,'TL13'!$J$238:$J$451),0),
IF('TL14'!$B$3=J$3,SUMIF('TL14'!$C$10:$C$224,$C133,'TL14'!$J$10:$J$224),0),
IF('TL14'!$B$229=J$3,SUMIF('TL14'!$C$238:$C$451,$C133,'TL14'!$J$238:$J$451),0),
IF('TL15'!$B$3=J$3,SUMIF('TL15'!$C$10:$C$224,$C133,'TL15'!$J$10:$J$224),0),
IF('TL15'!$B$229=J$3,SUMIF('TL15'!$C$238:$C$451,$C133,'TL15'!$J$238:$J$451),0),
IF('TL16'!$B$3=J$3,SUMIF('TL16'!$C$10:$C$224,$C133,'TL16'!$J$10:$J$224),0),
IF('TL16'!$B$229=J$3,SUMIF('TL16'!$C$238:$C$451,$C133,'TL16'!$J$238:$J$451),0),
IF('TL17'!$B$3=J$3,SUMIF('TL17'!$C$10:$C$224,$C133,'TL17'!$J$10:$J$224),0),
IF('TL17'!$B$229=J$3,SUMIF('TL17'!$C$238:$C$451,$C133,'TL17'!$J$238:$J$451),0),
IF('TL18'!$B$3=J$3,SUMIF('TL18'!$C$10:$C$224,$C133,'TL18'!$J$10:$J$224),0),
IF('TL18'!$B$229=J$3,SUMIF('TL18'!$C$238:$C$451,$C133,'TL18'!$J$238:$J$451),0),
IF('TL19'!$B$3=J$3,SUMIF('TL19'!$C$10:$C$224,$C133,'TL19'!$J$10:$J$224),0),
IF('TL19'!$B$229=J$3,SUMIF('TL19'!$C$238:$C$451,$C133,'TL19'!$J$238:$J$451),0)
),0)</f>
        <v>0</v>
      </c>
      <c r="K133" s="9">
        <f>IFERROR(SUM(
IF('TL01'!$B$3=K$3,SUMIF('TL01'!$C$10:$C$224,$C133,'TL01'!$J$10:$J$224),0),
IF('TL01'!$B$229=K$3,SUMIF('TL01'!$C$238:$C$451,$C133,'TL01'!$J$238:$J$451),0),
IF('TL02'!$B$3=K$3,SUMIF('TL02'!$C$10:$C$224,$C133,'TL02'!$J$10:$J$224),0),
IF('TL02'!$B$229=K$3,SUMIF('TL02'!$C$238:$C$451,$C133,'TL02'!$J$238:$J$451),0),
IF('TL03'!$B$3=K$3,SUMIF('TL03'!$C$10:$C$224,$C133,'TL03'!$J$10:$J$224),0),
IF('TL03'!$B$229=K$3,SUMIF('TL03'!$C$238:$C$451,$C133,'TL03'!$J$238:$J$451),0),
IF('TL04'!$B$3=K$3,SUMIF('TL04'!$C$10:$C$224,$C133,'TL04'!$J$10:$J$224),0),
IF('TL04'!$B$229=K$3,SUMIF('TL04'!$C$238:$C$451,$C133,'TL04'!$J$238:$J$451),0),
IF('TL05'!$B$3=K$3,SUMIF('TL05'!$C$10:$C$224,$C133,'TL05'!$J$10:$J$224),0),
IF('TL05'!$B$229=K$3,SUMIF('TL05'!$C$238:$C$451,$C133,'TL05'!$J$238:$J$451),0),
IF('TL06'!$B$3=K$3,SUMIF('TL06'!$C$10:$C$224,$C133,'TL06'!$J$10:$J$224),0),
IF('TL06'!$B$229=K$3,SUMIF('TL06'!$C$238:$C$451,$C133,'TL06'!$J$238:$J$451),0),
IF('TL07'!$B$3=K$3,SUMIF('TL07'!$C$10:$C$224,$C133,'TL07'!$J$10:$J$224),0),
IF('TL07'!$B$229=K$3,SUMIF('TL07'!$C$238:$C$451,$C133,'TL07'!$J$238:$J$451),0),
IF('TL08'!$B$3=K$3,SUMIF('TL08'!$C$10:$C$224,$C133,'TL08'!$J$10:$J$224),0),
IF('TL08'!$B$229=K$3,SUMIF('TL08'!$C$238:$C$451,$C133,'TL08'!$J$238:$J$451),0),
IF('TL09'!$B$3=K$3,SUMIF('TL09'!$C$10:$C$224,$C133,'TL09'!$J$10:$J$224),0),
IF('TL09'!$B$229=K$3,SUMIF('TL09'!$C$238:$C$451,$C133,'TL09'!$J$238:$J$451),0),
IF('TL10'!$B$3=K$3,SUMIF('TL10'!$C$10:$C$224,$C133,'TL10'!$J$10:$J$224),0),
IF('TL10'!$B$229=K$3,SUMIF('TL10'!$C$238:$C$451,$C133,'TL10'!$J$238:$J$451),0),
IF('TL11'!$B$3=K$3,SUMIF('TL11'!$C$10:$C$224,$C133,'TL11'!$J$10:$J$224),0),
IF('TL11'!$B$229=K$3,SUMIF('TL11'!$C$238:$C$451,$C133,'TL11'!$J$238:$J$451),0),
IF('TL12'!$B$3=K$3,SUMIF('TL12'!$C$10:$C$224,$C133,'TL12'!$J$10:$J$224),0),
IF('TL12'!$B$229=K$3,SUMIF('TL12'!$C$238:$C$451,$C133,'TL12'!$J$238:$J$451),0),
IF('TL13'!$B$3=K$3,SUMIF('TL13'!$C$10:$C$224,$C133,'TL13'!$J$10:$J$224),0),
IF('TL13'!$B$229=K$3,SUMIF('TL13'!$C$238:$C$451,$C133,'TL13'!$J$238:$J$451),0),
IF('TL14'!$B$3=K$3,SUMIF('TL14'!$C$10:$C$224,$C133,'TL14'!$J$10:$J$224),0),
IF('TL14'!$B$229=K$3,SUMIF('TL14'!$C$238:$C$451,$C133,'TL14'!$J$238:$J$451),0),
IF('TL15'!$B$3=K$3,SUMIF('TL15'!$C$10:$C$224,$C133,'TL15'!$J$10:$J$224),0),
IF('TL15'!$B$229=K$3,SUMIF('TL15'!$C$238:$C$451,$C133,'TL15'!$J$238:$J$451),0),
IF('TL16'!$B$3=K$3,SUMIF('TL16'!$C$10:$C$224,$C133,'TL16'!$J$10:$J$224),0),
IF('TL16'!$B$229=K$3,SUMIF('TL16'!$C$238:$C$451,$C133,'TL16'!$J$238:$J$451),0),
IF('TL17'!$B$3=K$3,SUMIF('TL17'!$C$10:$C$224,$C133,'TL17'!$J$10:$J$224),0),
IF('TL17'!$B$229=K$3,SUMIF('TL17'!$C$238:$C$451,$C133,'TL17'!$J$238:$J$451),0),
IF('TL18'!$B$3=K$3,SUMIF('TL18'!$C$10:$C$224,$C133,'TL18'!$J$10:$J$224),0),
IF('TL18'!$B$229=K$3,SUMIF('TL18'!$C$238:$C$451,$C133,'TL18'!$J$238:$J$451),0),
IF('TL19'!$B$3=K$3,SUMIF('TL19'!$C$10:$C$224,$C133,'TL19'!$J$10:$J$224),0),
IF('TL19'!$B$229=K$3,SUMIF('TL19'!$C$238:$C$451,$C133,'TL19'!$J$238:$J$451),0)
),0)</f>
        <v>0</v>
      </c>
      <c r="L133" s="9">
        <f>IFERROR(SUM(
IF('TL01'!$B$3=L$3,SUMIF('TL01'!$C$10:$C$224,$C133,'TL01'!$J$10:$J$224),0),
IF('TL01'!$B$229=L$3,SUMIF('TL01'!$C$238:$C$451,$C133,'TL01'!$J$238:$J$451),0),
IF('TL02'!$B$3=L$3,SUMIF('TL02'!$C$10:$C$224,$C133,'TL02'!$J$10:$J$224),0),
IF('TL02'!$B$229=L$3,SUMIF('TL02'!$C$238:$C$451,$C133,'TL02'!$J$238:$J$451),0),
IF('TL03'!$B$3=L$3,SUMIF('TL03'!$C$10:$C$224,$C133,'TL03'!$J$10:$J$224),0),
IF('TL03'!$B$229=L$3,SUMIF('TL03'!$C$238:$C$451,$C133,'TL03'!$J$238:$J$451),0),
IF('TL04'!$B$3=L$3,SUMIF('TL04'!$C$10:$C$224,$C133,'TL04'!$J$10:$J$224),0),
IF('TL04'!$B$229=L$3,SUMIF('TL04'!$C$238:$C$451,$C133,'TL04'!$J$238:$J$451),0),
IF('TL05'!$B$3=L$3,SUMIF('TL05'!$C$10:$C$224,$C133,'TL05'!$J$10:$J$224),0),
IF('TL05'!$B$229=L$3,SUMIF('TL05'!$C$238:$C$451,$C133,'TL05'!$J$238:$J$451),0),
IF('TL06'!$B$3=L$3,SUMIF('TL06'!$C$10:$C$224,$C133,'TL06'!$J$10:$J$224),0),
IF('TL06'!$B$229=L$3,SUMIF('TL06'!$C$238:$C$451,$C133,'TL06'!$J$238:$J$451),0),
IF('TL07'!$B$3=L$3,SUMIF('TL07'!$C$10:$C$224,$C133,'TL07'!$J$10:$J$224),0),
IF('TL07'!$B$229=L$3,SUMIF('TL07'!$C$238:$C$451,$C133,'TL07'!$J$238:$J$451),0),
IF('TL08'!$B$3=L$3,SUMIF('TL08'!$C$10:$C$224,$C133,'TL08'!$J$10:$J$224),0),
IF('TL08'!$B$229=L$3,SUMIF('TL08'!$C$238:$C$451,$C133,'TL08'!$J$238:$J$451),0),
IF('TL09'!$B$3=L$3,SUMIF('TL09'!$C$10:$C$224,$C133,'TL09'!$J$10:$J$224),0),
IF('TL09'!$B$229=L$3,SUMIF('TL09'!$C$238:$C$451,$C133,'TL09'!$J$238:$J$451),0),
IF('TL10'!$B$3=L$3,SUMIF('TL10'!$C$10:$C$224,$C133,'TL10'!$J$10:$J$224),0),
IF('TL10'!$B$229=L$3,SUMIF('TL10'!$C$238:$C$451,$C133,'TL10'!$J$238:$J$451),0),
IF('TL11'!$B$3=L$3,SUMIF('TL11'!$C$10:$C$224,$C133,'TL11'!$J$10:$J$224),0),
IF('TL11'!$B$229=L$3,SUMIF('TL11'!$C$238:$C$451,$C133,'TL11'!$J$238:$J$451),0),
IF('TL12'!$B$3=L$3,SUMIF('TL12'!$C$10:$C$224,$C133,'TL12'!$J$10:$J$224),0),
IF('TL12'!$B$229=L$3,SUMIF('TL12'!$C$238:$C$451,$C133,'TL12'!$J$238:$J$451),0),
IF('TL13'!$B$3=L$3,SUMIF('TL13'!$C$10:$C$224,$C133,'TL13'!$J$10:$J$224),0),
IF('TL13'!$B$229=L$3,SUMIF('TL13'!$C$238:$C$451,$C133,'TL13'!$J$238:$J$451),0),
IF('TL14'!$B$3=L$3,SUMIF('TL14'!$C$10:$C$224,$C133,'TL14'!$J$10:$J$224),0),
IF('TL14'!$B$229=L$3,SUMIF('TL14'!$C$238:$C$451,$C133,'TL14'!$J$238:$J$451),0),
IF('TL15'!$B$3=L$3,SUMIF('TL15'!$C$10:$C$224,$C133,'TL15'!$J$10:$J$224),0),
IF('TL15'!$B$229=L$3,SUMIF('TL15'!$C$238:$C$451,$C133,'TL15'!$J$238:$J$451),0),
IF('TL16'!$B$3=L$3,SUMIF('TL16'!$C$10:$C$224,$C133,'TL16'!$J$10:$J$224),0),
IF('TL16'!$B$229=L$3,SUMIF('TL16'!$C$238:$C$451,$C133,'TL16'!$J$238:$J$451),0),
IF('TL17'!$B$3=L$3,SUMIF('TL17'!$C$10:$C$224,$C133,'TL17'!$J$10:$J$224),0),
IF('TL17'!$B$229=L$3,SUMIF('TL17'!$C$238:$C$451,$C133,'TL17'!$J$238:$J$451),0),
IF('TL18'!$B$3=L$3,SUMIF('TL18'!$C$10:$C$224,$C133,'TL18'!$J$10:$J$224),0),
IF('TL18'!$B$229=L$3,SUMIF('TL18'!$C$238:$C$451,$C133,'TL18'!$J$238:$J$451),0),
IF('TL19'!$B$3=L$3,SUMIF('TL19'!$C$10:$C$224,$C133,'TL19'!$J$10:$J$224),0),
IF('TL19'!$B$229=L$3,SUMIF('TL19'!$C$238:$C$451,$C133,'TL19'!$J$238:$J$451),0)
),0)</f>
        <v>0</v>
      </c>
      <c r="M133" s="9">
        <f>IFERROR(SUM(
IF('TL01'!$B$3=M$3,SUMIF('TL01'!$C$10:$C$224,$C133,'TL01'!$J$10:$J$224),0),
IF('TL01'!$B$229=M$3,SUMIF('TL01'!$C$238:$C$451,$C133,'TL01'!$J$238:$J$451),0),
IF('TL02'!$B$3=M$3,SUMIF('TL02'!$C$10:$C$224,$C133,'TL02'!$J$10:$J$224),0),
IF('TL02'!$B$229=M$3,SUMIF('TL02'!$C$238:$C$451,$C133,'TL02'!$J$238:$J$451),0),
IF('TL03'!$B$3=M$3,SUMIF('TL03'!$C$10:$C$224,$C133,'TL03'!$J$10:$J$224),0),
IF('TL03'!$B$229=M$3,SUMIF('TL03'!$C$238:$C$451,$C133,'TL03'!$J$238:$J$451),0),
IF('TL04'!$B$3=M$3,SUMIF('TL04'!$C$10:$C$224,$C133,'TL04'!$J$10:$J$224),0),
IF('TL04'!$B$229=M$3,SUMIF('TL04'!$C$238:$C$451,$C133,'TL04'!$J$238:$J$451),0),
IF('TL05'!$B$3=M$3,SUMIF('TL05'!$C$10:$C$224,$C133,'TL05'!$J$10:$J$224),0),
IF('TL05'!$B$229=M$3,SUMIF('TL05'!$C$238:$C$451,$C133,'TL05'!$J$238:$J$451),0),
IF('TL06'!$B$3=M$3,SUMIF('TL06'!$C$10:$C$224,$C133,'TL06'!$J$10:$J$224),0),
IF('TL06'!$B$229=M$3,SUMIF('TL06'!$C$238:$C$451,$C133,'TL06'!$J$238:$J$451),0),
IF('TL07'!$B$3=M$3,SUMIF('TL07'!$C$10:$C$224,$C133,'TL07'!$J$10:$J$224),0),
IF('TL07'!$B$229=M$3,SUMIF('TL07'!$C$238:$C$451,$C133,'TL07'!$J$238:$J$451),0),
IF('TL08'!$B$3=M$3,SUMIF('TL08'!$C$10:$C$224,$C133,'TL08'!$J$10:$J$224),0),
IF('TL08'!$B$229=M$3,SUMIF('TL08'!$C$238:$C$451,$C133,'TL08'!$J$238:$J$451),0),
IF('TL09'!$B$3=M$3,SUMIF('TL09'!$C$10:$C$224,$C133,'TL09'!$J$10:$J$224),0),
IF('TL09'!$B$229=M$3,SUMIF('TL09'!$C$238:$C$451,$C133,'TL09'!$J$238:$J$451),0),
IF('TL10'!$B$3=M$3,SUMIF('TL10'!$C$10:$C$224,$C133,'TL10'!$J$10:$J$224),0),
IF('TL10'!$B$229=M$3,SUMIF('TL10'!$C$238:$C$451,$C133,'TL10'!$J$238:$J$451),0),
IF('TL11'!$B$3=M$3,SUMIF('TL11'!$C$10:$C$224,$C133,'TL11'!$J$10:$J$224),0),
IF('TL11'!$B$229=M$3,SUMIF('TL11'!$C$238:$C$451,$C133,'TL11'!$J$238:$J$451),0),
IF('TL12'!$B$3=M$3,SUMIF('TL12'!$C$10:$C$224,$C133,'TL12'!$J$10:$J$224),0),
IF('TL12'!$B$229=M$3,SUMIF('TL12'!$C$238:$C$451,$C133,'TL12'!$J$238:$J$451),0),
IF('TL13'!$B$3=M$3,SUMIF('TL13'!$C$10:$C$224,$C133,'TL13'!$J$10:$J$224),0),
IF('TL13'!$B$229=M$3,SUMIF('TL13'!$C$238:$C$451,$C133,'TL13'!$J$238:$J$451),0),
IF('TL14'!$B$3=M$3,SUMIF('TL14'!$C$10:$C$224,$C133,'TL14'!$J$10:$J$224),0),
IF('TL14'!$B$229=M$3,SUMIF('TL14'!$C$238:$C$451,$C133,'TL14'!$J$238:$J$451),0),
IF('TL15'!$B$3=M$3,SUMIF('TL15'!$C$10:$C$224,$C133,'TL15'!$J$10:$J$224),0),
IF('TL15'!$B$229=M$3,SUMIF('TL15'!$C$238:$C$451,$C133,'TL15'!$J$238:$J$451),0),
IF('TL16'!$B$3=M$3,SUMIF('TL16'!$C$10:$C$224,$C133,'TL16'!$J$10:$J$224),0),
IF('TL16'!$B$229=M$3,SUMIF('TL16'!$C$238:$C$451,$C133,'TL16'!$J$238:$J$451),0),
IF('TL17'!$B$3=M$3,SUMIF('TL17'!$C$10:$C$224,$C133,'TL17'!$J$10:$J$224),0),
IF('TL17'!$B$229=M$3,SUMIF('TL17'!$C$238:$C$451,$C133,'TL17'!$J$238:$J$451),0),
IF('TL18'!$B$3=M$3,SUMIF('TL18'!$C$10:$C$224,$C133,'TL18'!$J$10:$J$224),0),
IF('TL18'!$B$229=M$3,SUMIF('TL18'!$C$238:$C$451,$C133,'TL18'!$J$238:$J$451),0),
IF('TL19'!$B$3=M$3,SUMIF('TL19'!$C$10:$C$224,$C133,'TL19'!$J$10:$J$224),0),
IF('TL19'!$B$229=M$3,SUMIF('TL19'!$C$238:$C$451,$C133,'TL19'!$J$238:$J$451),0)
),0)</f>
        <v>0</v>
      </c>
      <c r="N133" s="9">
        <f>IFERROR(SUM(
IF('TL01'!$B$3=N$3,SUMIF('TL01'!$C$10:$C$224,$C133,'TL01'!$J$10:$J$224),0),
IF('TL01'!$B$229=N$3,SUMIF('TL01'!$C$238:$C$451,$C133,'TL01'!$J$238:$J$451),0),
IF('TL02'!$B$3=N$3,SUMIF('TL02'!$C$10:$C$224,$C133,'TL02'!$J$10:$J$224),0),
IF('TL02'!$B$229=N$3,SUMIF('TL02'!$C$238:$C$451,$C133,'TL02'!$J$238:$J$451),0),
IF('TL03'!$B$3=N$3,SUMIF('TL03'!$C$10:$C$224,$C133,'TL03'!$J$10:$J$224),0),
IF('TL03'!$B$229=N$3,SUMIF('TL03'!$C$238:$C$451,$C133,'TL03'!$J$238:$J$451),0),
IF('TL04'!$B$3=N$3,SUMIF('TL04'!$C$10:$C$224,$C133,'TL04'!$J$10:$J$224),0),
IF('TL04'!$B$229=N$3,SUMIF('TL04'!$C$238:$C$451,$C133,'TL04'!$J$238:$J$451),0),
IF('TL05'!$B$3=N$3,SUMIF('TL05'!$C$10:$C$224,$C133,'TL05'!$J$10:$J$224),0),
IF('TL05'!$B$229=N$3,SUMIF('TL05'!$C$238:$C$451,$C133,'TL05'!$J$238:$J$451),0),
IF('TL06'!$B$3=N$3,SUMIF('TL06'!$C$10:$C$224,$C133,'TL06'!$J$10:$J$224),0),
IF('TL06'!$B$229=N$3,SUMIF('TL06'!$C$238:$C$451,$C133,'TL06'!$J$238:$J$451),0),
IF('TL07'!$B$3=N$3,SUMIF('TL07'!$C$10:$C$224,$C133,'TL07'!$J$10:$J$224),0),
IF('TL07'!$B$229=N$3,SUMIF('TL07'!$C$238:$C$451,$C133,'TL07'!$J$238:$J$451),0),
IF('TL08'!$B$3=N$3,SUMIF('TL08'!$C$10:$C$224,$C133,'TL08'!$J$10:$J$224),0),
IF('TL08'!$B$229=N$3,SUMIF('TL08'!$C$238:$C$451,$C133,'TL08'!$J$238:$J$451),0),
IF('TL09'!$B$3=N$3,SUMIF('TL09'!$C$10:$C$224,$C133,'TL09'!$J$10:$J$224),0),
IF('TL09'!$B$229=N$3,SUMIF('TL09'!$C$238:$C$451,$C133,'TL09'!$J$238:$J$451),0),
IF('TL10'!$B$3=N$3,SUMIF('TL10'!$C$10:$C$224,$C133,'TL10'!$J$10:$J$224),0),
IF('TL10'!$B$229=N$3,SUMIF('TL10'!$C$238:$C$451,$C133,'TL10'!$J$238:$J$451),0),
IF('TL11'!$B$3=N$3,SUMIF('TL11'!$C$10:$C$224,$C133,'TL11'!$J$10:$J$224),0),
IF('TL11'!$B$229=N$3,SUMIF('TL11'!$C$238:$C$451,$C133,'TL11'!$J$238:$J$451),0),
IF('TL12'!$B$3=N$3,SUMIF('TL12'!$C$10:$C$224,$C133,'TL12'!$J$10:$J$224),0),
IF('TL12'!$B$229=N$3,SUMIF('TL12'!$C$238:$C$451,$C133,'TL12'!$J$238:$J$451),0),
IF('TL13'!$B$3=N$3,SUMIF('TL13'!$C$10:$C$224,$C133,'TL13'!$J$10:$J$224),0),
IF('TL13'!$B$229=N$3,SUMIF('TL13'!$C$238:$C$451,$C133,'TL13'!$J$238:$J$451),0),
IF('TL14'!$B$3=N$3,SUMIF('TL14'!$C$10:$C$224,$C133,'TL14'!$J$10:$J$224),0),
IF('TL14'!$B$229=N$3,SUMIF('TL14'!$C$238:$C$451,$C133,'TL14'!$J$238:$J$451),0),
IF('TL15'!$B$3=N$3,SUMIF('TL15'!$C$10:$C$224,$C133,'TL15'!$J$10:$J$224),0),
IF('TL15'!$B$229=N$3,SUMIF('TL15'!$C$238:$C$451,$C133,'TL15'!$J$238:$J$451),0),
IF('TL16'!$B$3=N$3,SUMIF('TL16'!$C$10:$C$224,$C133,'TL16'!$J$10:$J$224),0),
IF('TL16'!$B$229=N$3,SUMIF('TL16'!$C$238:$C$451,$C133,'TL16'!$J$238:$J$451),0),
IF('TL17'!$B$3=N$3,SUMIF('TL17'!$C$10:$C$224,$C133,'TL17'!$J$10:$J$224),0),
IF('TL17'!$B$229=N$3,SUMIF('TL17'!$C$238:$C$451,$C133,'TL17'!$J$238:$J$451),0),
IF('TL18'!$B$3=N$3,SUMIF('TL18'!$C$10:$C$224,$C133,'TL18'!$J$10:$J$224),0),
IF('TL18'!$B$229=N$3,SUMIF('TL18'!$C$238:$C$451,$C133,'TL18'!$J$238:$J$451),0),
IF('TL19'!$B$3=N$3,SUMIF('TL19'!$C$10:$C$224,$C133,'TL19'!$J$10:$J$224),0),
IF('TL19'!$B$229=N$3,SUMIF('TL19'!$C$238:$C$451,$C133,'TL19'!$J$238:$J$451),0)
),0)</f>
        <v>0</v>
      </c>
      <c r="O133" s="9">
        <f>IFERROR(SUM(
IF('TL01'!$B$3=O$3,SUMIF('TL01'!$C$10:$C$224,$C133,'TL01'!$J$10:$J$224),0),
IF('TL01'!$B$229=O$3,SUMIF('TL01'!$C$238:$C$451,$C133,'TL01'!$J$238:$J$451),0),
IF('TL02'!$B$3=O$3,SUMIF('TL02'!$C$10:$C$224,$C133,'TL02'!$J$10:$J$224),0),
IF('TL02'!$B$229=O$3,SUMIF('TL02'!$C$238:$C$451,$C133,'TL02'!$J$238:$J$451),0),
IF('TL03'!$B$3=O$3,SUMIF('TL03'!$C$10:$C$224,$C133,'TL03'!$J$10:$J$224),0),
IF('TL03'!$B$229=O$3,SUMIF('TL03'!$C$238:$C$451,$C133,'TL03'!$J$238:$J$451),0),
IF('TL04'!$B$3=O$3,SUMIF('TL04'!$C$10:$C$224,$C133,'TL04'!$J$10:$J$224),0),
IF('TL04'!$B$229=O$3,SUMIF('TL04'!$C$238:$C$451,$C133,'TL04'!$J$238:$J$451),0),
IF('TL05'!$B$3=O$3,SUMIF('TL05'!$C$10:$C$224,$C133,'TL05'!$J$10:$J$224),0),
IF('TL05'!$B$229=O$3,SUMIF('TL05'!$C$238:$C$451,$C133,'TL05'!$J$238:$J$451),0),
IF('TL06'!$B$3=O$3,SUMIF('TL06'!$C$10:$C$224,$C133,'TL06'!$J$10:$J$224),0),
IF('TL06'!$B$229=O$3,SUMIF('TL06'!$C$238:$C$451,$C133,'TL06'!$J$238:$J$451),0),
IF('TL07'!$B$3=O$3,SUMIF('TL07'!$C$10:$C$224,$C133,'TL07'!$J$10:$J$224),0),
IF('TL07'!$B$229=O$3,SUMIF('TL07'!$C$238:$C$451,$C133,'TL07'!$J$238:$J$451),0),
IF('TL08'!$B$3=O$3,SUMIF('TL08'!$C$10:$C$224,$C133,'TL08'!$J$10:$J$224),0),
IF('TL08'!$B$229=O$3,SUMIF('TL08'!$C$238:$C$451,$C133,'TL08'!$J$238:$J$451),0),
IF('TL09'!$B$3=O$3,SUMIF('TL09'!$C$10:$C$224,$C133,'TL09'!$J$10:$J$224),0),
IF('TL09'!$B$229=O$3,SUMIF('TL09'!$C$238:$C$451,$C133,'TL09'!$J$238:$J$451),0),
IF('TL10'!$B$3=O$3,SUMIF('TL10'!$C$10:$C$224,$C133,'TL10'!$J$10:$J$224),0),
IF('TL10'!$B$229=O$3,SUMIF('TL10'!$C$238:$C$451,$C133,'TL10'!$J$238:$J$451),0),
IF('TL11'!$B$3=O$3,SUMIF('TL11'!$C$10:$C$224,$C133,'TL11'!$J$10:$J$224),0),
IF('TL11'!$B$229=O$3,SUMIF('TL11'!$C$238:$C$451,$C133,'TL11'!$J$238:$J$451),0),
IF('TL12'!$B$3=O$3,SUMIF('TL12'!$C$10:$C$224,$C133,'TL12'!$J$10:$J$224),0),
IF('TL12'!$B$229=O$3,SUMIF('TL12'!$C$238:$C$451,$C133,'TL12'!$J$238:$J$451),0),
IF('TL13'!$B$3=O$3,SUMIF('TL13'!$C$10:$C$224,$C133,'TL13'!$J$10:$J$224),0),
IF('TL13'!$B$229=O$3,SUMIF('TL13'!$C$238:$C$451,$C133,'TL13'!$J$238:$J$451),0),
IF('TL14'!$B$3=O$3,SUMIF('TL14'!$C$10:$C$224,$C133,'TL14'!$J$10:$J$224),0),
IF('TL14'!$B$229=O$3,SUMIF('TL14'!$C$238:$C$451,$C133,'TL14'!$J$238:$J$451),0),
IF('TL15'!$B$3=O$3,SUMIF('TL15'!$C$10:$C$224,$C133,'TL15'!$J$10:$J$224),0),
IF('TL15'!$B$229=O$3,SUMIF('TL15'!$C$238:$C$451,$C133,'TL15'!$J$238:$J$451),0),
IF('TL16'!$B$3=O$3,SUMIF('TL16'!$C$10:$C$224,$C133,'TL16'!$J$10:$J$224),0),
IF('TL16'!$B$229=O$3,SUMIF('TL16'!$C$238:$C$451,$C133,'TL16'!$J$238:$J$451),0),
IF('TL17'!$B$3=O$3,SUMIF('TL17'!$C$10:$C$224,$C133,'TL17'!$J$10:$J$224),0),
IF('TL17'!$B$229=O$3,SUMIF('TL17'!$C$238:$C$451,$C133,'TL17'!$J$238:$J$451),0),
IF('TL18'!$B$3=O$3,SUMIF('TL18'!$C$10:$C$224,$C133,'TL18'!$J$10:$J$224),0),
IF('TL18'!$B$229=O$3,SUMIF('TL18'!$C$238:$C$451,$C133,'TL18'!$J$238:$J$451),0),
IF('TL19'!$B$3=O$3,SUMIF('TL19'!$C$10:$C$224,$C133,'TL19'!$J$10:$J$224),0),
IF('TL19'!$B$229=O$3,SUMIF('TL19'!$C$238:$C$451,$C133,'TL19'!$J$238:$J$451),0)
),0)</f>
        <v>0</v>
      </c>
      <c r="P133" s="9">
        <f>IFERROR(SUM(
IF('TL01'!$B$3=P$3,SUMIF('TL01'!$C$10:$C$224,$C133,'TL01'!$J$10:$J$224),0),
IF('TL01'!$B$229=P$3,SUMIF('TL01'!$C$238:$C$451,$C133,'TL01'!$J$238:$J$451),0),
IF('TL02'!$B$3=P$3,SUMIF('TL02'!$C$10:$C$224,$C133,'TL02'!$J$10:$J$224),0),
IF('TL02'!$B$229=P$3,SUMIF('TL02'!$C$238:$C$451,$C133,'TL02'!$J$238:$J$451),0),
IF('TL03'!$B$3=P$3,SUMIF('TL03'!$C$10:$C$224,$C133,'TL03'!$J$10:$J$224),0),
IF('TL03'!$B$229=P$3,SUMIF('TL03'!$C$238:$C$451,$C133,'TL03'!$J$238:$J$451),0),
IF('TL04'!$B$3=P$3,SUMIF('TL04'!$C$10:$C$224,$C133,'TL04'!$J$10:$J$224),0),
IF('TL04'!$B$229=P$3,SUMIF('TL04'!$C$238:$C$451,$C133,'TL04'!$J$238:$J$451),0),
IF('TL05'!$B$3=P$3,SUMIF('TL05'!$C$10:$C$224,$C133,'TL05'!$J$10:$J$224),0),
IF('TL05'!$B$229=P$3,SUMIF('TL05'!$C$238:$C$451,$C133,'TL05'!$J$238:$J$451),0),
IF('TL06'!$B$3=P$3,SUMIF('TL06'!$C$10:$C$224,$C133,'TL06'!$J$10:$J$224),0),
IF('TL06'!$B$229=P$3,SUMIF('TL06'!$C$238:$C$451,$C133,'TL06'!$J$238:$J$451),0),
IF('TL07'!$B$3=P$3,SUMIF('TL07'!$C$10:$C$224,$C133,'TL07'!$J$10:$J$224),0),
IF('TL07'!$B$229=P$3,SUMIF('TL07'!$C$238:$C$451,$C133,'TL07'!$J$238:$J$451),0),
IF('TL08'!$B$3=P$3,SUMIF('TL08'!$C$10:$C$224,$C133,'TL08'!$J$10:$J$224),0),
IF('TL08'!$B$229=P$3,SUMIF('TL08'!$C$238:$C$451,$C133,'TL08'!$J$238:$J$451),0),
IF('TL09'!$B$3=P$3,SUMIF('TL09'!$C$10:$C$224,$C133,'TL09'!$J$10:$J$224),0),
IF('TL09'!$B$229=P$3,SUMIF('TL09'!$C$238:$C$451,$C133,'TL09'!$J$238:$J$451),0),
IF('TL10'!$B$3=P$3,SUMIF('TL10'!$C$10:$C$224,$C133,'TL10'!$J$10:$J$224),0),
IF('TL10'!$B$229=P$3,SUMIF('TL10'!$C$238:$C$451,$C133,'TL10'!$J$238:$J$451),0),
IF('TL11'!$B$3=P$3,SUMIF('TL11'!$C$10:$C$224,$C133,'TL11'!$J$10:$J$224),0),
IF('TL11'!$B$229=P$3,SUMIF('TL11'!$C$238:$C$451,$C133,'TL11'!$J$238:$J$451),0),
IF('TL12'!$B$3=P$3,SUMIF('TL12'!$C$10:$C$224,$C133,'TL12'!$J$10:$J$224),0),
IF('TL12'!$B$229=P$3,SUMIF('TL12'!$C$238:$C$451,$C133,'TL12'!$J$238:$J$451),0),
IF('TL13'!$B$3=P$3,SUMIF('TL13'!$C$10:$C$224,$C133,'TL13'!$J$10:$J$224),0),
IF('TL13'!$B$229=P$3,SUMIF('TL13'!$C$238:$C$451,$C133,'TL13'!$J$238:$J$451),0),
IF('TL14'!$B$3=P$3,SUMIF('TL14'!$C$10:$C$224,$C133,'TL14'!$J$10:$J$224),0),
IF('TL14'!$B$229=P$3,SUMIF('TL14'!$C$238:$C$451,$C133,'TL14'!$J$238:$J$451),0),
IF('TL15'!$B$3=P$3,SUMIF('TL15'!$C$10:$C$224,$C133,'TL15'!$J$10:$J$224),0),
IF('TL15'!$B$229=P$3,SUMIF('TL15'!$C$238:$C$451,$C133,'TL15'!$J$238:$J$451),0),
IF('TL16'!$B$3=P$3,SUMIF('TL16'!$C$10:$C$224,$C133,'TL16'!$J$10:$J$224),0),
IF('TL16'!$B$229=P$3,SUMIF('TL16'!$C$238:$C$451,$C133,'TL16'!$J$238:$J$451),0),
IF('TL17'!$B$3=P$3,SUMIF('TL17'!$C$10:$C$224,$C133,'TL17'!$J$10:$J$224),0),
IF('TL17'!$B$229=P$3,SUMIF('TL17'!$C$238:$C$451,$C133,'TL17'!$J$238:$J$451),0),
IF('TL18'!$B$3=P$3,SUMIF('TL18'!$C$10:$C$224,$C133,'TL18'!$J$10:$J$224),0),
IF('TL18'!$B$229=P$3,SUMIF('TL18'!$C$238:$C$451,$C133,'TL18'!$J$238:$J$451),0),
IF('TL19'!$B$3=P$3,SUMIF('TL19'!$C$10:$C$224,$C133,'TL19'!$J$10:$J$224),0),
IF('TL19'!$B$229=P$3,SUMIF('TL19'!$C$238:$C$451,$C133,'TL19'!$J$238:$J$451),0)
),0)</f>
        <v>0</v>
      </c>
      <c r="Q133" s="9">
        <f>IFERROR(SUM(
IF('TL01'!$B$3=Q$3,SUMIF('TL01'!$C$10:$C$224,$C133,'TL01'!$J$10:$J$224),0),
IF('TL01'!$B$229=Q$3,SUMIF('TL01'!$C$238:$C$451,$C133,'TL01'!$J$238:$J$451),0),
IF('TL02'!$B$3=Q$3,SUMIF('TL02'!$C$10:$C$224,$C133,'TL02'!$J$10:$J$224),0),
IF('TL02'!$B$229=Q$3,SUMIF('TL02'!$C$238:$C$451,$C133,'TL02'!$J$238:$J$451),0),
IF('TL03'!$B$3=Q$3,SUMIF('TL03'!$C$10:$C$224,$C133,'TL03'!$J$10:$J$224),0),
IF('TL03'!$B$229=Q$3,SUMIF('TL03'!$C$238:$C$451,$C133,'TL03'!$J$238:$J$451),0),
IF('TL04'!$B$3=Q$3,SUMIF('TL04'!$C$10:$C$224,$C133,'TL04'!$J$10:$J$224),0),
IF('TL04'!$B$229=Q$3,SUMIF('TL04'!$C$238:$C$451,$C133,'TL04'!$J$238:$J$451),0),
IF('TL05'!$B$3=Q$3,SUMIF('TL05'!$C$10:$C$224,$C133,'TL05'!$J$10:$J$224),0),
IF('TL05'!$B$229=Q$3,SUMIF('TL05'!$C$238:$C$451,$C133,'TL05'!$J$238:$J$451),0),
IF('TL06'!$B$3=Q$3,SUMIF('TL06'!$C$10:$C$224,$C133,'TL06'!$J$10:$J$224),0),
IF('TL06'!$B$229=Q$3,SUMIF('TL06'!$C$238:$C$451,$C133,'TL06'!$J$238:$J$451),0),
IF('TL07'!$B$3=Q$3,SUMIF('TL07'!$C$10:$C$224,$C133,'TL07'!$J$10:$J$224),0),
IF('TL07'!$B$229=Q$3,SUMIF('TL07'!$C$238:$C$451,$C133,'TL07'!$J$238:$J$451),0),
IF('TL08'!$B$3=Q$3,SUMIF('TL08'!$C$10:$C$224,$C133,'TL08'!$J$10:$J$224),0),
IF('TL08'!$B$229=Q$3,SUMIF('TL08'!$C$238:$C$451,$C133,'TL08'!$J$238:$J$451),0),
IF('TL09'!$B$3=Q$3,SUMIF('TL09'!$C$10:$C$224,$C133,'TL09'!$J$10:$J$224),0),
IF('TL09'!$B$229=Q$3,SUMIF('TL09'!$C$238:$C$451,$C133,'TL09'!$J$238:$J$451),0),
IF('TL10'!$B$3=Q$3,SUMIF('TL10'!$C$10:$C$224,$C133,'TL10'!$J$10:$J$224),0),
IF('TL10'!$B$229=Q$3,SUMIF('TL10'!$C$238:$C$451,$C133,'TL10'!$J$238:$J$451),0),
IF('TL11'!$B$3=Q$3,SUMIF('TL11'!$C$10:$C$224,$C133,'TL11'!$J$10:$J$224),0),
IF('TL11'!$B$229=Q$3,SUMIF('TL11'!$C$238:$C$451,$C133,'TL11'!$J$238:$J$451),0),
IF('TL12'!$B$3=Q$3,SUMIF('TL12'!$C$10:$C$224,$C133,'TL12'!$J$10:$J$224),0),
IF('TL12'!$B$229=Q$3,SUMIF('TL12'!$C$238:$C$451,$C133,'TL12'!$J$238:$J$451),0),
IF('TL13'!$B$3=Q$3,SUMIF('TL13'!$C$10:$C$224,$C133,'TL13'!$J$10:$J$224),0),
IF('TL13'!$B$229=Q$3,SUMIF('TL13'!$C$238:$C$451,$C133,'TL13'!$J$238:$J$451),0),
IF('TL14'!$B$3=Q$3,SUMIF('TL14'!$C$10:$C$224,$C133,'TL14'!$J$10:$J$224),0),
IF('TL14'!$B$229=Q$3,SUMIF('TL14'!$C$238:$C$451,$C133,'TL14'!$J$238:$J$451),0),
IF('TL15'!$B$3=Q$3,SUMIF('TL15'!$C$10:$C$224,$C133,'TL15'!$J$10:$J$224),0),
IF('TL15'!$B$229=Q$3,SUMIF('TL15'!$C$238:$C$451,$C133,'TL15'!$J$238:$J$451),0),
IF('TL16'!$B$3=Q$3,SUMIF('TL16'!$C$10:$C$224,$C133,'TL16'!$J$10:$J$224),0),
IF('TL16'!$B$229=Q$3,SUMIF('TL16'!$C$238:$C$451,$C133,'TL16'!$J$238:$J$451),0),
IF('TL17'!$B$3=Q$3,SUMIF('TL17'!$C$10:$C$224,$C133,'TL17'!$J$10:$J$224),0),
IF('TL17'!$B$229=Q$3,SUMIF('TL17'!$C$238:$C$451,$C133,'TL17'!$J$238:$J$451),0),
IF('TL18'!$B$3=Q$3,SUMIF('TL18'!$C$10:$C$224,$C133,'TL18'!$J$10:$J$224),0),
IF('TL18'!$B$229=Q$3,SUMIF('TL18'!$C$238:$C$451,$C133,'TL18'!$J$238:$J$451),0),
IF('TL19'!$B$3=Q$3,SUMIF('TL19'!$C$10:$C$224,$C133,'TL19'!$J$10:$J$224),0),
IF('TL19'!$B$229=Q$3,SUMIF('TL19'!$C$238:$C$451,$C133,'TL19'!$J$238:$J$451),0)
),0)</f>
        <v>0</v>
      </c>
      <c r="R133" s="9">
        <f>IFERROR(
SUM(
SUMIF('TL01'!C:C,C133,'TL01'!J:J),
SUMIF('TL02'!C:C,C133,'TL02'!J:J),
SUMIF('TL03'!C:C,C133,'TL03'!J:J),
SUMIF('TL04'!C:C,C133,'TL04'!J:J),
SUMIF('TL05'!C:C,C133,'TL05'!J:J),
SUMIF('TL06'!C:C,C133,'TL06'!J:J),
SUMIF('TL07'!C:C,C133,'TL07'!J:J),
SUMIF('TL08'!C:C,C133,'TL08'!J:J),
SUMIF('TL09'!C:C,C133,'TL09'!J:J),
SUMIF('TL10'!C:C,C133,'TL10'!J:J),
SUMIF('TL11'!C:C,C133,'TL11'!J:J),
SUMIF('TL12'!C:C,C133,'TL12'!J:J),
SUMIF('TL13'!C:C,C133,'TL13'!J:J),
SUMIF('TL14'!C:C,C133,'TL14'!J:J),
SUMIF('TL15'!C:C,C133,'TL15'!J:J),
SUMIF('TL16'!C:C,C133,'TL16'!J:J),
SUMIF('TL17'!C:C,C133,'TL17'!J:J),
SUMIF('TL18'!C:C,C133,'TL18'!J:J),SUMIF('TL19'!C:C,C133,'TL19'!J:J))
,0)</f>
        <v>0</v>
      </c>
      <c r="S133" s="17">
        <f>IFERROR(__xludf.DUMMYFUNCTION("IFERROR(VLOOKUP(C133,
IMPORTRANGE(""1wULbzX32WdYsx-lj2U3uUNBBe2INVIRDtcK0d-Dvl90"",
""26-27!C:G""),
5,
FALSE),
"""")"),1630.4651399999998)</f>
        <v>1630.46514</v>
      </c>
      <c r="T133" s="9"/>
      <c r="U133" s="92">
        <f t="shared" si="2"/>
        <v>0</v>
      </c>
      <c r="V133" s="93">
        <f t="shared" si="3"/>
        <v>0</v>
      </c>
    </row>
    <row r="134" ht="15.75" hidden="1" customHeight="1">
      <c r="A134" s="115" t="s">
        <v>353</v>
      </c>
      <c r="B134" s="100" t="s">
        <v>1</v>
      </c>
      <c r="C134" s="116" t="s">
        <v>674</v>
      </c>
      <c r="D134" s="116" t="s">
        <v>675</v>
      </c>
      <c r="E134" s="116">
        <v>840.0</v>
      </c>
      <c r="F134" s="4" t="s">
        <v>343</v>
      </c>
      <c r="G134" s="90" t="str">
        <f t="shared" si="4"/>
        <v>📄 Ver bula</v>
      </c>
      <c r="H134" s="9" t="str">
        <f>IFERROR(__xludf.DUMMYFUNCTION("IFERROR(VLOOKUP(C134,
IMPORTRANGE(""1wULbzX32WdYsx-lj2U3uUNBBe2INVIRDtcK0d-Dvl90"",
""26-27!C:K""),
8,
FALSE),
"""")"),"")</f>
        <v/>
      </c>
      <c r="I134" s="117" t="s">
        <v>676</v>
      </c>
      <c r="J134" s="9">
        <f>IFERROR(SUM(
IF('TL01'!$B$3=J$3,SUMIF('TL01'!$C$10:$C$224,$C134,'TL01'!$J$10:$J$224),0),
IF('TL01'!$B$229=J$3,SUMIF('TL01'!$C$238:$C$451,$C134,'TL01'!$J$238:$J$451),0),
IF('TL02'!$B$3=J$3,SUMIF('TL02'!$C$10:$C$224,$C134,'TL02'!$J$10:$J$224),0),
IF('TL02'!$B$229=J$3,SUMIF('TL02'!$C$238:$C$451,$C134,'TL02'!$J$238:$J$451),0),
IF('TL03'!$B$3=J$3,SUMIF('TL03'!$C$10:$C$224,$C134,'TL03'!$J$10:$J$224),0),
IF('TL03'!$B$229=J$3,SUMIF('TL03'!$C$238:$C$451,$C134,'TL03'!$J$238:$J$451),0),
IF('TL04'!$B$3=J$3,SUMIF('TL04'!$C$10:$C$224,$C134,'TL04'!$J$10:$J$224),0),
IF('TL04'!$B$229=J$3,SUMIF('TL04'!$C$238:$C$451,$C134,'TL04'!$J$238:$J$451),0),
IF('TL05'!$B$3=J$3,SUMIF('TL05'!$C$10:$C$224,$C134,'TL05'!$J$10:$J$224),0),
IF('TL05'!$B$229=J$3,SUMIF('TL05'!$C$238:$C$451,$C134,'TL05'!$J$238:$J$451),0),
IF('TL06'!$B$3=J$3,SUMIF('TL06'!$C$10:$C$224,$C134,'TL06'!$J$10:$J$224),0),
IF('TL06'!$B$229=J$3,SUMIF('TL06'!$C$238:$C$451,$C134,'TL06'!$J$238:$J$451),0),
IF('TL07'!$B$3=J$3,SUMIF('TL07'!$C$10:$C$224,$C134,'TL07'!$J$10:$J$224),0),
IF('TL07'!$B$229=J$3,SUMIF('TL07'!$C$238:$C$451,$C134,'TL07'!$J$238:$J$451),0),
IF('TL08'!$B$3=J$3,SUMIF('TL08'!$C$10:$C$224,$C134,'TL08'!$J$10:$J$224),0),
IF('TL08'!$B$229=J$3,SUMIF('TL08'!$C$238:$C$451,$C134,'TL08'!$J$238:$J$451),0),
IF('TL09'!$B$3=J$3,SUMIF('TL09'!$C$10:$C$224,$C134,'TL09'!$J$10:$J$224),0),
IF('TL09'!$B$229=J$3,SUMIF('TL09'!$C$238:$C$451,$C134,'TL09'!$J$238:$J$451),0),
IF('TL10'!$B$3=J$3,SUMIF('TL10'!$C$10:$C$224,$C134,'TL10'!$J$10:$J$224),0),
IF('TL10'!$B$229=J$3,SUMIF('TL10'!$C$238:$C$451,$C134,'TL10'!$J$238:$J$451),0),
IF('TL11'!$B$3=J$3,SUMIF('TL11'!$C$10:$C$224,$C134,'TL11'!$J$10:$J$224),0),
IF('TL11'!$B$229=J$3,SUMIF('TL11'!$C$238:$C$451,$C134,'TL11'!$J$238:$J$451),0),
IF('TL12'!$B$3=J$3,SUMIF('TL12'!$C$10:$C$224,$C134,'TL12'!$J$10:$J$224),0),
IF('TL12'!$B$229=J$3,SUMIF('TL12'!$C$238:$C$451,$C134,'TL12'!$J$238:$J$451),0),
IF('TL13'!$B$3=J$3,SUMIF('TL13'!$C$10:$C$224,$C134,'TL13'!$J$10:$J$224),0),
IF('TL13'!$B$229=J$3,SUMIF('TL13'!$C$238:$C$451,$C134,'TL13'!$J$238:$J$451),0),
IF('TL14'!$B$3=J$3,SUMIF('TL14'!$C$10:$C$224,$C134,'TL14'!$J$10:$J$224),0),
IF('TL14'!$B$229=J$3,SUMIF('TL14'!$C$238:$C$451,$C134,'TL14'!$J$238:$J$451),0),
IF('TL15'!$B$3=J$3,SUMIF('TL15'!$C$10:$C$224,$C134,'TL15'!$J$10:$J$224),0),
IF('TL15'!$B$229=J$3,SUMIF('TL15'!$C$238:$C$451,$C134,'TL15'!$J$238:$J$451),0),
IF('TL16'!$B$3=J$3,SUMIF('TL16'!$C$10:$C$224,$C134,'TL16'!$J$10:$J$224),0),
IF('TL16'!$B$229=J$3,SUMIF('TL16'!$C$238:$C$451,$C134,'TL16'!$J$238:$J$451),0),
IF('TL17'!$B$3=J$3,SUMIF('TL17'!$C$10:$C$224,$C134,'TL17'!$J$10:$J$224),0),
IF('TL17'!$B$229=J$3,SUMIF('TL17'!$C$238:$C$451,$C134,'TL17'!$J$238:$J$451),0),
IF('TL18'!$B$3=J$3,SUMIF('TL18'!$C$10:$C$224,$C134,'TL18'!$J$10:$J$224),0),
IF('TL18'!$B$229=J$3,SUMIF('TL18'!$C$238:$C$451,$C134,'TL18'!$J$238:$J$451),0),
IF('TL19'!$B$3=J$3,SUMIF('TL19'!$C$10:$C$224,$C134,'TL19'!$J$10:$J$224),0),
IF('TL19'!$B$229=J$3,SUMIF('TL19'!$C$238:$C$451,$C134,'TL19'!$J$238:$J$451),0)
),0)</f>
        <v>0</v>
      </c>
      <c r="K134" s="9">
        <f>IFERROR(SUM(
IF('TL01'!$B$3=K$3,SUMIF('TL01'!$C$10:$C$224,$C134,'TL01'!$J$10:$J$224),0),
IF('TL01'!$B$229=K$3,SUMIF('TL01'!$C$238:$C$451,$C134,'TL01'!$J$238:$J$451),0),
IF('TL02'!$B$3=K$3,SUMIF('TL02'!$C$10:$C$224,$C134,'TL02'!$J$10:$J$224),0),
IF('TL02'!$B$229=K$3,SUMIF('TL02'!$C$238:$C$451,$C134,'TL02'!$J$238:$J$451),0),
IF('TL03'!$B$3=K$3,SUMIF('TL03'!$C$10:$C$224,$C134,'TL03'!$J$10:$J$224),0),
IF('TL03'!$B$229=K$3,SUMIF('TL03'!$C$238:$C$451,$C134,'TL03'!$J$238:$J$451),0),
IF('TL04'!$B$3=K$3,SUMIF('TL04'!$C$10:$C$224,$C134,'TL04'!$J$10:$J$224),0),
IF('TL04'!$B$229=K$3,SUMIF('TL04'!$C$238:$C$451,$C134,'TL04'!$J$238:$J$451),0),
IF('TL05'!$B$3=K$3,SUMIF('TL05'!$C$10:$C$224,$C134,'TL05'!$J$10:$J$224),0),
IF('TL05'!$B$229=K$3,SUMIF('TL05'!$C$238:$C$451,$C134,'TL05'!$J$238:$J$451),0),
IF('TL06'!$B$3=K$3,SUMIF('TL06'!$C$10:$C$224,$C134,'TL06'!$J$10:$J$224),0),
IF('TL06'!$B$229=K$3,SUMIF('TL06'!$C$238:$C$451,$C134,'TL06'!$J$238:$J$451),0),
IF('TL07'!$B$3=K$3,SUMIF('TL07'!$C$10:$C$224,$C134,'TL07'!$J$10:$J$224),0),
IF('TL07'!$B$229=K$3,SUMIF('TL07'!$C$238:$C$451,$C134,'TL07'!$J$238:$J$451),0),
IF('TL08'!$B$3=K$3,SUMIF('TL08'!$C$10:$C$224,$C134,'TL08'!$J$10:$J$224),0),
IF('TL08'!$B$229=K$3,SUMIF('TL08'!$C$238:$C$451,$C134,'TL08'!$J$238:$J$451),0),
IF('TL09'!$B$3=K$3,SUMIF('TL09'!$C$10:$C$224,$C134,'TL09'!$J$10:$J$224),0),
IF('TL09'!$B$229=K$3,SUMIF('TL09'!$C$238:$C$451,$C134,'TL09'!$J$238:$J$451),0),
IF('TL10'!$B$3=K$3,SUMIF('TL10'!$C$10:$C$224,$C134,'TL10'!$J$10:$J$224),0),
IF('TL10'!$B$229=K$3,SUMIF('TL10'!$C$238:$C$451,$C134,'TL10'!$J$238:$J$451),0),
IF('TL11'!$B$3=K$3,SUMIF('TL11'!$C$10:$C$224,$C134,'TL11'!$J$10:$J$224),0),
IF('TL11'!$B$229=K$3,SUMIF('TL11'!$C$238:$C$451,$C134,'TL11'!$J$238:$J$451),0),
IF('TL12'!$B$3=K$3,SUMIF('TL12'!$C$10:$C$224,$C134,'TL12'!$J$10:$J$224),0),
IF('TL12'!$B$229=K$3,SUMIF('TL12'!$C$238:$C$451,$C134,'TL12'!$J$238:$J$451),0),
IF('TL13'!$B$3=K$3,SUMIF('TL13'!$C$10:$C$224,$C134,'TL13'!$J$10:$J$224),0),
IF('TL13'!$B$229=K$3,SUMIF('TL13'!$C$238:$C$451,$C134,'TL13'!$J$238:$J$451),0),
IF('TL14'!$B$3=K$3,SUMIF('TL14'!$C$10:$C$224,$C134,'TL14'!$J$10:$J$224),0),
IF('TL14'!$B$229=K$3,SUMIF('TL14'!$C$238:$C$451,$C134,'TL14'!$J$238:$J$451),0),
IF('TL15'!$B$3=K$3,SUMIF('TL15'!$C$10:$C$224,$C134,'TL15'!$J$10:$J$224),0),
IF('TL15'!$B$229=K$3,SUMIF('TL15'!$C$238:$C$451,$C134,'TL15'!$J$238:$J$451),0),
IF('TL16'!$B$3=K$3,SUMIF('TL16'!$C$10:$C$224,$C134,'TL16'!$J$10:$J$224),0),
IF('TL16'!$B$229=K$3,SUMIF('TL16'!$C$238:$C$451,$C134,'TL16'!$J$238:$J$451),0),
IF('TL17'!$B$3=K$3,SUMIF('TL17'!$C$10:$C$224,$C134,'TL17'!$J$10:$J$224),0),
IF('TL17'!$B$229=K$3,SUMIF('TL17'!$C$238:$C$451,$C134,'TL17'!$J$238:$J$451),0),
IF('TL18'!$B$3=K$3,SUMIF('TL18'!$C$10:$C$224,$C134,'TL18'!$J$10:$J$224),0),
IF('TL18'!$B$229=K$3,SUMIF('TL18'!$C$238:$C$451,$C134,'TL18'!$J$238:$J$451),0),
IF('TL19'!$B$3=K$3,SUMIF('TL19'!$C$10:$C$224,$C134,'TL19'!$J$10:$J$224),0),
IF('TL19'!$B$229=K$3,SUMIF('TL19'!$C$238:$C$451,$C134,'TL19'!$J$238:$J$451),0)
),0)</f>
        <v>0</v>
      </c>
      <c r="L134" s="9">
        <f>IFERROR(SUM(
IF('TL01'!$B$3=L$3,SUMIF('TL01'!$C$10:$C$224,$C134,'TL01'!$J$10:$J$224),0),
IF('TL01'!$B$229=L$3,SUMIF('TL01'!$C$238:$C$451,$C134,'TL01'!$J$238:$J$451),0),
IF('TL02'!$B$3=L$3,SUMIF('TL02'!$C$10:$C$224,$C134,'TL02'!$J$10:$J$224),0),
IF('TL02'!$B$229=L$3,SUMIF('TL02'!$C$238:$C$451,$C134,'TL02'!$J$238:$J$451),0),
IF('TL03'!$B$3=L$3,SUMIF('TL03'!$C$10:$C$224,$C134,'TL03'!$J$10:$J$224),0),
IF('TL03'!$B$229=L$3,SUMIF('TL03'!$C$238:$C$451,$C134,'TL03'!$J$238:$J$451),0),
IF('TL04'!$B$3=L$3,SUMIF('TL04'!$C$10:$C$224,$C134,'TL04'!$J$10:$J$224),0),
IF('TL04'!$B$229=L$3,SUMIF('TL04'!$C$238:$C$451,$C134,'TL04'!$J$238:$J$451),0),
IF('TL05'!$B$3=L$3,SUMIF('TL05'!$C$10:$C$224,$C134,'TL05'!$J$10:$J$224),0),
IF('TL05'!$B$229=L$3,SUMIF('TL05'!$C$238:$C$451,$C134,'TL05'!$J$238:$J$451),0),
IF('TL06'!$B$3=L$3,SUMIF('TL06'!$C$10:$C$224,$C134,'TL06'!$J$10:$J$224),0),
IF('TL06'!$B$229=L$3,SUMIF('TL06'!$C$238:$C$451,$C134,'TL06'!$J$238:$J$451),0),
IF('TL07'!$B$3=L$3,SUMIF('TL07'!$C$10:$C$224,$C134,'TL07'!$J$10:$J$224),0),
IF('TL07'!$B$229=L$3,SUMIF('TL07'!$C$238:$C$451,$C134,'TL07'!$J$238:$J$451),0),
IF('TL08'!$B$3=L$3,SUMIF('TL08'!$C$10:$C$224,$C134,'TL08'!$J$10:$J$224),0),
IF('TL08'!$B$229=L$3,SUMIF('TL08'!$C$238:$C$451,$C134,'TL08'!$J$238:$J$451),0),
IF('TL09'!$B$3=L$3,SUMIF('TL09'!$C$10:$C$224,$C134,'TL09'!$J$10:$J$224),0),
IF('TL09'!$B$229=L$3,SUMIF('TL09'!$C$238:$C$451,$C134,'TL09'!$J$238:$J$451),0),
IF('TL10'!$B$3=L$3,SUMIF('TL10'!$C$10:$C$224,$C134,'TL10'!$J$10:$J$224),0),
IF('TL10'!$B$229=L$3,SUMIF('TL10'!$C$238:$C$451,$C134,'TL10'!$J$238:$J$451),0),
IF('TL11'!$B$3=L$3,SUMIF('TL11'!$C$10:$C$224,$C134,'TL11'!$J$10:$J$224),0),
IF('TL11'!$B$229=L$3,SUMIF('TL11'!$C$238:$C$451,$C134,'TL11'!$J$238:$J$451),0),
IF('TL12'!$B$3=L$3,SUMIF('TL12'!$C$10:$C$224,$C134,'TL12'!$J$10:$J$224),0),
IF('TL12'!$B$229=L$3,SUMIF('TL12'!$C$238:$C$451,$C134,'TL12'!$J$238:$J$451),0),
IF('TL13'!$B$3=L$3,SUMIF('TL13'!$C$10:$C$224,$C134,'TL13'!$J$10:$J$224),0),
IF('TL13'!$B$229=L$3,SUMIF('TL13'!$C$238:$C$451,$C134,'TL13'!$J$238:$J$451),0),
IF('TL14'!$B$3=L$3,SUMIF('TL14'!$C$10:$C$224,$C134,'TL14'!$J$10:$J$224),0),
IF('TL14'!$B$229=L$3,SUMIF('TL14'!$C$238:$C$451,$C134,'TL14'!$J$238:$J$451),0),
IF('TL15'!$B$3=L$3,SUMIF('TL15'!$C$10:$C$224,$C134,'TL15'!$J$10:$J$224),0),
IF('TL15'!$B$229=L$3,SUMIF('TL15'!$C$238:$C$451,$C134,'TL15'!$J$238:$J$451),0),
IF('TL16'!$B$3=L$3,SUMIF('TL16'!$C$10:$C$224,$C134,'TL16'!$J$10:$J$224),0),
IF('TL16'!$B$229=L$3,SUMIF('TL16'!$C$238:$C$451,$C134,'TL16'!$J$238:$J$451),0),
IF('TL17'!$B$3=L$3,SUMIF('TL17'!$C$10:$C$224,$C134,'TL17'!$J$10:$J$224),0),
IF('TL17'!$B$229=L$3,SUMIF('TL17'!$C$238:$C$451,$C134,'TL17'!$J$238:$J$451),0),
IF('TL18'!$B$3=L$3,SUMIF('TL18'!$C$10:$C$224,$C134,'TL18'!$J$10:$J$224),0),
IF('TL18'!$B$229=L$3,SUMIF('TL18'!$C$238:$C$451,$C134,'TL18'!$J$238:$J$451),0),
IF('TL19'!$B$3=L$3,SUMIF('TL19'!$C$10:$C$224,$C134,'TL19'!$J$10:$J$224),0),
IF('TL19'!$B$229=L$3,SUMIF('TL19'!$C$238:$C$451,$C134,'TL19'!$J$238:$J$451),0)
),0)</f>
        <v>0</v>
      </c>
      <c r="M134" s="9">
        <f>IFERROR(SUM(
IF('TL01'!$B$3=M$3,SUMIF('TL01'!$C$10:$C$224,$C134,'TL01'!$J$10:$J$224),0),
IF('TL01'!$B$229=M$3,SUMIF('TL01'!$C$238:$C$451,$C134,'TL01'!$J$238:$J$451),0),
IF('TL02'!$B$3=M$3,SUMIF('TL02'!$C$10:$C$224,$C134,'TL02'!$J$10:$J$224),0),
IF('TL02'!$B$229=M$3,SUMIF('TL02'!$C$238:$C$451,$C134,'TL02'!$J$238:$J$451),0),
IF('TL03'!$B$3=M$3,SUMIF('TL03'!$C$10:$C$224,$C134,'TL03'!$J$10:$J$224),0),
IF('TL03'!$B$229=M$3,SUMIF('TL03'!$C$238:$C$451,$C134,'TL03'!$J$238:$J$451),0),
IF('TL04'!$B$3=M$3,SUMIF('TL04'!$C$10:$C$224,$C134,'TL04'!$J$10:$J$224),0),
IF('TL04'!$B$229=M$3,SUMIF('TL04'!$C$238:$C$451,$C134,'TL04'!$J$238:$J$451),0),
IF('TL05'!$B$3=M$3,SUMIF('TL05'!$C$10:$C$224,$C134,'TL05'!$J$10:$J$224),0),
IF('TL05'!$B$229=M$3,SUMIF('TL05'!$C$238:$C$451,$C134,'TL05'!$J$238:$J$451),0),
IF('TL06'!$B$3=M$3,SUMIF('TL06'!$C$10:$C$224,$C134,'TL06'!$J$10:$J$224),0),
IF('TL06'!$B$229=M$3,SUMIF('TL06'!$C$238:$C$451,$C134,'TL06'!$J$238:$J$451),0),
IF('TL07'!$B$3=M$3,SUMIF('TL07'!$C$10:$C$224,$C134,'TL07'!$J$10:$J$224),0),
IF('TL07'!$B$229=M$3,SUMIF('TL07'!$C$238:$C$451,$C134,'TL07'!$J$238:$J$451),0),
IF('TL08'!$B$3=M$3,SUMIF('TL08'!$C$10:$C$224,$C134,'TL08'!$J$10:$J$224),0),
IF('TL08'!$B$229=M$3,SUMIF('TL08'!$C$238:$C$451,$C134,'TL08'!$J$238:$J$451),0),
IF('TL09'!$B$3=M$3,SUMIF('TL09'!$C$10:$C$224,$C134,'TL09'!$J$10:$J$224),0),
IF('TL09'!$B$229=M$3,SUMIF('TL09'!$C$238:$C$451,$C134,'TL09'!$J$238:$J$451),0),
IF('TL10'!$B$3=M$3,SUMIF('TL10'!$C$10:$C$224,$C134,'TL10'!$J$10:$J$224),0),
IF('TL10'!$B$229=M$3,SUMIF('TL10'!$C$238:$C$451,$C134,'TL10'!$J$238:$J$451),0),
IF('TL11'!$B$3=M$3,SUMIF('TL11'!$C$10:$C$224,$C134,'TL11'!$J$10:$J$224),0),
IF('TL11'!$B$229=M$3,SUMIF('TL11'!$C$238:$C$451,$C134,'TL11'!$J$238:$J$451),0),
IF('TL12'!$B$3=M$3,SUMIF('TL12'!$C$10:$C$224,$C134,'TL12'!$J$10:$J$224),0),
IF('TL12'!$B$229=M$3,SUMIF('TL12'!$C$238:$C$451,$C134,'TL12'!$J$238:$J$451),0),
IF('TL13'!$B$3=M$3,SUMIF('TL13'!$C$10:$C$224,$C134,'TL13'!$J$10:$J$224),0),
IF('TL13'!$B$229=M$3,SUMIF('TL13'!$C$238:$C$451,$C134,'TL13'!$J$238:$J$451),0),
IF('TL14'!$B$3=M$3,SUMIF('TL14'!$C$10:$C$224,$C134,'TL14'!$J$10:$J$224),0),
IF('TL14'!$B$229=M$3,SUMIF('TL14'!$C$238:$C$451,$C134,'TL14'!$J$238:$J$451),0),
IF('TL15'!$B$3=M$3,SUMIF('TL15'!$C$10:$C$224,$C134,'TL15'!$J$10:$J$224),0),
IF('TL15'!$B$229=M$3,SUMIF('TL15'!$C$238:$C$451,$C134,'TL15'!$J$238:$J$451),0),
IF('TL16'!$B$3=M$3,SUMIF('TL16'!$C$10:$C$224,$C134,'TL16'!$J$10:$J$224),0),
IF('TL16'!$B$229=M$3,SUMIF('TL16'!$C$238:$C$451,$C134,'TL16'!$J$238:$J$451),0),
IF('TL17'!$B$3=M$3,SUMIF('TL17'!$C$10:$C$224,$C134,'TL17'!$J$10:$J$224),0),
IF('TL17'!$B$229=M$3,SUMIF('TL17'!$C$238:$C$451,$C134,'TL17'!$J$238:$J$451),0),
IF('TL18'!$B$3=M$3,SUMIF('TL18'!$C$10:$C$224,$C134,'TL18'!$J$10:$J$224),0),
IF('TL18'!$B$229=M$3,SUMIF('TL18'!$C$238:$C$451,$C134,'TL18'!$J$238:$J$451),0),
IF('TL19'!$B$3=M$3,SUMIF('TL19'!$C$10:$C$224,$C134,'TL19'!$J$10:$J$224),0),
IF('TL19'!$B$229=M$3,SUMIF('TL19'!$C$238:$C$451,$C134,'TL19'!$J$238:$J$451),0)
),0)</f>
        <v>0</v>
      </c>
      <c r="N134" s="9">
        <f>IFERROR(SUM(
IF('TL01'!$B$3=N$3,SUMIF('TL01'!$C$10:$C$224,$C134,'TL01'!$J$10:$J$224),0),
IF('TL01'!$B$229=N$3,SUMIF('TL01'!$C$238:$C$451,$C134,'TL01'!$J$238:$J$451),0),
IF('TL02'!$B$3=N$3,SUMIF('TL02'!$C$10:$C$224,$C134,'TL02'!$J$10:$J$224),0),
IF('TL02'!$B$229=N$3,SUMIF('TL02'!$C$238:$C$451,$C134,'TL02'!$J$238:$J$451),0),
IF('TL03'!$B$3=N$3,SUMIF('TL03'!$C$10:$C$224,$C134,'TL03'!$J$10:$J$224),0),
IF('TL03'!$B$229=N$3,SUMIF('TL03'!$C$238:$C$451,$C134,'TL03'!$J$238:$J$451),0),
IF('TL04'!$B$3=N$3,SUMIF('TL04'!$C$10:$C$224,$C134,'TL04'!$J$10:$J$224),0),
IF('TL04'!$B$229=N$3,SUMIF('TL04'!$C$238:$C$451,$C134,'TL04'!$J$238:$J$451),0),
IF('TL05'!$B$3=N$3,SUMIF('TL05'!$C$10:$C$224,$C134,'TL05'!$J$10:$J$224),0),
IF('TL05'!$B$229=N$3,SUMIF('TL05'!$C$238:$C$451,$C134,'TL05'!$J$238:$J$451),0),
IF('TL06'!$B$3=N$3,SUMIF('TL06'!$C$10:$C$224,$C134,'TL06'!$J$10:$J$224),0),
IF('TL06'!$B$229=N$3,SUMIF('TL06'!$C$238:$C$451,$C134,'TL06'!$J$238:$J$451),0),
IF('TL07'!$B$3=N$3,SUMIF('TL07'!$C$10:$C$224,$C134,'TL07'!$J$10:$J$224),0),
IF('TL07'!$B$229=N$3,SUMIF('TL07'!$C$238:$C$451,$C134,'TL07'!$J$238:$J$451),0),
IF('TL08'!$B$3=N$3,SUMIF('TL08'!$C$10:$C$224,$C134,'TL08'!$J$10:$J$224),0),
IF('TL08'!$B$229=N$3,SUMIF('TL08'!$C$238:$C$451,$C134,'TL08'!$J$238:$J$451),0),
IF('TL09'!$B$3=N$3,SUMIF('TL09'!$C$10:$C$224,$C134,'TL09'!$J$10:$J$224),0),
IF('TL09'!$B$229=N$3,SUMIF('TL09'!$C$238:$C$451,$C134,'TL09'!$J$238:$J$451),0),
IF('TL10'!$B$3=N$3,SUMIF('TL10'!$C$10:$C$224,$C134,'TL10'!$J$10:$J$224),0),
IF('TL10'!$B$229=N$3,SUMIF('TL10'!$C$238:$C$451,$C134,'TL10'!$J$238:$J$451),0),
IF('TL11'!$B$3=N$3,SUMIF('TL11'!$C$10:$C$224,$C134,'TL11'!$J$10:$J$224),0),
IF('TL11'!$B$229=N$3,SUMIF('TL11'!$C$238:$C$451,$C134,'TL11'!$J$238:$J$451),0),
IF('TL12'!$B$3=N$3,SUMIF('TL12'!$C$10:$C$224,$C134,'TL12'!$J$10:$J$224),0),
IF('TL12'!$B$229=N$3,SUMIF('TL12'!$C$238:$C$451,$C134,'TL12'!$J$238:$J$451),0),
IF('TL13'!$B$3=N$3,SUMIF('TL13'!$C$10:$C$224,$C134,'TL13'!$J$10:$J$224),0),
IF('TL13'!$B$229=N$3,SUMIF('TL13'!$C$238:$C$451,$C134,'TL13'!$J$238:$J$451),0),
IF('TL14'!$B$3=N$3,SUMIF('TL14'!$C$10:$C$224,$C134,'TL14'!$J$10:$J$224),0),
IF('TL14'!$B$229=N$3,SUMIF('TL14'!$C$238:$C$451,$C134,'TL14'!$J$238:$J$451),0),
IF('TL15'!$B$3=N$3,SUMIF('TL15'!$C$10:$C$224,$C134,'TL15'!$J$10:$J$224),0),
IF('TL15'!$B$229=N$3,SUMIF('TL15'!$C$238:$C$451,$C134,'TL15'!$J$238:$J$451),0),
IF('TL16'!$B$3=N$3,SUMIF('TL16'!$C$10:$C$224,$C134,'TL16'!$J$10:$J$224),0),
IF('TL16'!$B$229=N$3,SUMIF('TL16'!$C$238:$C$451,$C134,'TL16'!$J$238:$J$451),0),
IF('TL17'!$B$3=N$3,SUMIF('TL17'!$C$10:$C$224,$C134,'TL17'!$J$10:$J$224),0),
IF('TL17'!$B$229=N$3,SUMIF('TL17'!$C$238:$C$451,$C134,'TL17'!$J$238:$J$451),0),
IF('TL18'!$B$3=N$3,SUMIF('TL18'!$C$10:$C$224,$C134,'TL18'!$J$10:$J$224),0),
IF('TL18'!$B$229=N$3,SUMIF('TL18'!$C$238:$C$451,$C134,'TL18'!$J$238:$J$451),0),
IF('TL19'!$B$3=N$3,SUMIF('TL19'!$C$10:$C$224,$C134,'TL19'!$J$10:$J$224),0),
IF('TL19'!$B$229=N$3,SUMIF('TL19'!$C$238:$C$451,$C134,'TL19'!$J$238:$J$451),0)
),0)</f>
        <v>0</v>
      </c>
      <c r="O134" s="9">
        <f>IFERROR(SUM(
IF('TL01'!$B$3=O$3,SUMIF('TL01'!$C$10:$C$224,$C134,'TL01'!$J$10:$J$224),0),
IF('TL01'!$B$229=O$3,SUMIF('TL01'!$C$238:$C$451,$C134,'TL01'!$J$238:$J$451),0),
IF('TL02'!$B$3=O$3,SUMIF('TL02'!$C$10:$C$224,$C134,'TL02'!$J$10:$J$224),0),
IF('TL02'!$B$229=O$3,SUMIF('TL02'!$C$238:$C$451,$C134,'TL02'!$J$238:$J$451),0),
IF('TL03'!$B$3=O$3,SUMIF('TL03'!$C$10:$C$224,$C134,'TL03'!$J$10:$J$224),0),
IF('TL03'!$B$229=O$3,SUMIF('TL03'!$C$238:$C$451,$C134,'TL03'!$J$238:$J$451),0),
IF('TL04'!$B$3=O$3,SUMIF('TL04'!$C$10:$C$224,$C134,'TL04'!$J$10:$J$224),0),
IF('TL04'!$B$229=O$3,SUMIF('TL04'!$C$238:$C$451,$C134,'TL04'!$J$238:$J$451),0),
IF('TL05'!$B$3=O$3,SUMIF('TL05'!$C$10:$C$224,$C134,'TL05'!$J$10:$J$224),0),
IF('TL05'!$B$229=O$3,SUMIF('TL05'!$C$238:$C$451,$C134,'TL05'!$J$238:$J$451),0),
IF('TL06'!$B$3=O$3,SUMIF('TL06'!$C$10:$C$224,$C134,'TL06'!$J$10:$J$224),0),
IF('TL06'!$B$229=O$3,SUMIF('TL06'!$C$238:$C$451,$C134,'TL06'!$J$238:$J$451),0),
IF('TL07'!$B$3=O$3,SUMIF('TL07'!$C$10:$C$224,$C134,'TL07'!$J$10:$J$224),0),
IF('TL07'!$B$229=O$3,SUMIF('TL07'!$C$238:$C$451,$C134,'TL07'!$J$238:$J$451),0),
IF('TL08'!$B$3=O$3,SUMIF('TL08'!$C$10:$C$224,$C134,'TL08'!$J$10:$J$224),0),
IF('TL08'!$B$229=O$3,SUMIF('TL08'!$C$238:$C$451,$C134,'TL08'!$J$238:$J$451),0),
IF('TL09'!$B$3=O$3,SUMIF('TL09'!$C$10:$C$224,$C134,'TL09'!$J$10:$J$224),0),
IF('TL09'!$B$229=O$3,SUMIF('TL09'!$C$238:$C$451,$C134,'TL09'!$J$238:$J$451),0),
IF('TL10'!$B$3=O$3,SUMIF('TL10'!$C$10:$C$224,$C134,'TL10'!$J$10:$J$224),0),
IF('TL10'!$B$229=O$3,SUMIF('TL10'!$C$238:$C$451,$C134,'TL10'!$J$238:$J$451),0),
IF('TL11'!$B$3=O$3,SUMIF('TL11'!$C$10:$C$224,$C134,'TL11'!$J$10:$J$224),0),
IF('TL11'!$B$229=O$3,SUMIF('TL11'!$C$238:$C$451,$C134,'TL11'!$J$238:$J$451),0),
IF('TL12'!$B$3=O$3,SUMIF('TL12'!$C$10:$C$224,$C134,'TL12'!$J$10:$J$224),0),
IF('TL12'!$B$229=O$3,SUMIF('TL12'!$C$238:$C$451,$C134,'TL12'!$J$238:$J$451),0),
IF('TL13'!$B$3=O$3,SUMIF('TL13'!$C$10:$C$224,$C134,'TL13'!$J$10:$J$224),0),
IF('TL13'!$B$229=O$3,SUMIF('TL13'!$C$238:$C$451,$C134,'TL13'!$J$238:$J$451),0),
IF('TL14'!$B$3=O$3,SUMIF('TL14'!$C$10:$C$224,$C134,'TL14'!$J$10:$J$224),0),
IF('TL14'!$B$229=O$3,SUMIF('TL14'!$C$238:$C$451,$C134,'TL14'!$J$238:$J$451),0),
IF('TL15'!$B$3=O$3,SUMIF('TL15'!$C$10:$C$224,$C134,'TL15'!$J$10:$J$224),0),
IF('TL15'!$B$229=O$3,SUMIF('TL15'!$C$238:$C$451,$C134,'TL15'!$J$238:$J$451),0),
IF('TL16'!$B$3=O$3,SUMIF('TL16'!$C$10:$C$224,$C134,'TL16'!$J$10:$J$224),0),
IF('TL16'!$B$229=O$3,SUMIF('TL16'!$C$238:$C$451,$C134,'TL16'!$J$238:$J$451),0),
IF('TL17'!$B$3=O$3,SUMIF('TL17'!$C$10:$C$224,$C134,'TL17'!$J$10:$J$224),0),
IF('TL17'!$B$229=O$3,SUMIF('TL17'!$C$238:$C$451,$C134,'TL17'!$J$238:$J$451),0),
IF('TL18'!$B$3=O$3,SUMIF('TL18'!$C$10:$C$224,$C134,'TL18'!$J$10:$J$224),0),
IF('TL18'!$B$229=O$3,SUMIF('TL18'!$C$238:$C$451,$C134,'TL18'!$J$238:$J$451),0),
IF('TL19'!$B$3=O$3,SUMIF('TL19'!$C$10:$C$224,$C134,'TL19'!$J$10:$J$224),0),
IF('TL19'!$B$229=O$3,SUMIF('TL19'!$C$238:$C$451,$C134,'TL19'!$J$238:$J$451),0)
),0)</f>
        <v>0</v>
      </c>
      <c r="P134" s="9">
        <f>IFERROR(SUM(
IF('TL01'!$B$3=P$3,SUMIF('TL01'!$C$10:$C$224,$C134,'TL01'!$J$10:$J$224),0),
IF('TL01'!$B$229=P$3,SUMIF('TL01'!$C$238:$C$451,$C134,'TL01'!$J$238:$J$451),0),
IF('TL02'!$B$3=P$3,SUMIF('TL02'!$C$10:$C$224,$C134,'TL02'!$J$10:$J$224),0),
IF('TL02'!$B$229=P$3,SUMIF('TL02'!$C$238:$C$451,$C134,'TL02'!$J$238:$J$451),0),
IF('TL03'!$B$3=P$3,SUMIF('TL03'!$C$10:$C$224,$C134,'TL03'!$J$10:$J$224),0),
IF('TL03'!$B$229=P$3,SUMIF('TL03'!$C$238:$C$451,$C134,'TL03'!$J$238:$J$451),0),
IF('TL04'!$B$3=P$3,SUMIF('TL04'!$C$10:$C$224,$C134,'TL04'!$J$10:$J$224),0),
IF('TL04'!$B$229=P$3,SUMIF('TL04'!$C$238:$C$451,$C134,'TL04'!$J$238:$J$451),0),
IF('TL05'!$B$3=P$3,SUMIF('TL05'!$C$10:$C$224,$C134,'TL05'!$J$10:$J$224),0),
IF('TL05'!$B$229=P$3,SUMIF('TL05'!$C$238:$C$451,$C134,'TL05'!$J$238:$J$451),0),
IF('TL06'!$B$3=P$3,SUMIF('TL06'!$C$10:$C$224,$C134,'TL06'!$J$10:$J$224),0),
IF('TL06'!$B$229=P$3,SUMIF('TL06'!$C$238:$C$451,$C134,'TL06'!$J$238:$J$451),0),
IF('TL07'!$B$3=P$3,SUMIF('TL07'!$C$10:$C$224,$C134,'TL07'!$J$10:$J$224),0),
IF('TL07'!$B$229=P$3,SUMIF('TL07'!$C$238:$C$451,$C134,'TL07'!$J$238:$J$451),0),
IF('TL08'!$B$3=P$3,SUMIF('TL08'!$C$10:$C$224,$C134,'TL08'!$J$10:$J$224),0),
IF('TL08'!$B$229=P$3,SUMIF('TL08'!$C$238:$C$451,$C134,'TL08'!$J$238:$J$451),0),
IF('TL09'!$B$3=P$3,SUMIF('TL09'!$C$10:$C$224,$C134,'TL09'!$J$10:$J$224),0),
IF('TL09'!$B$229=P$3,SUMIF('TL09'!$C$238:$C$451,$C134,'TL09'!$J$238:$J$451),0),
IF('TL10'!$B$3=P$3,SUMIF('TL10'!$C$10:$C$224,$C134,'TL10'!$J$10:$J$224),0),
IF('TL10'!$B$229=P$3,SUMIF('TL10'!$C$238:$C$451,$C134,'TL10'!$J$238:$J$451),0),
IF('TL11'!$B$3=P$3,SUMIF('TL11'!$C$10:$C$224,$C134,'TL11'!$J$10:$J$224),0),
IF('TL11'!$B$229=P$3,SUMIF('TL11'!$C$238:$C$451,$C134,'TL11'!$J$238:$J$451),0),
IF('TL12'!$B$3=P$3,SUMIF('TL12'!$C$10:$C$224,$C134,'TL12'!$J$10:$J$224),0),
IF('TL12'!$B$229=P$3,SUMIF('TL12'!$C$238:$C$451,$C134,'TL12'!$J$238:$J$451),0),
IF('TL13'!$B$3=P$3,SUMIF('TL13'!$C$10:$C$224,$C134,'TL13'!$J$10:$J$224),0),
IF('TL13'!$B$229=P$3,SUMIF('TL13'!$C$238:$C$451,$C134,'TL13'!$J$238:$J$451),0),
IF('TL14'!$B$3=P$3,SUMIF('TL14'!$C$10:$C$224,$C134,'TL14'!$J$10:$J$224),0),
IF('TL14'!$B$229=P$3,SUMIF('TL14'!$C$238:$C$451,$C134,'TL14'!$J$238:$J$451),0),
IF('TL15'!$B$3=P$3,SUMIF('TL15'!$C$10:$C$224,$C134,'TL15'!$J$10:$J$224),0),
IF('TL15'!$B$229=P$3,SUMIF('TL15'!$C$238:$C$451,$C134,'TL15'!$J$238:$J$451),0),
IF('TL16'!$B$3=P$3,SUMIF('TL16'!$C$10:$C$224,$C134,'TL16'!$J$10:$J$224),0),
IF('TL16'!$B$229=P$3,SUMIF('TL16'!$C$238:$C$451,$C134,'TL16'!$J$238:$J$451),0),
IF('TL17'!$B$3=P$3,SUMIF('TL17'!$C$10:$C$224,$C134,'TL17'!$J$10:$J$224),0),
IF('TL17'!$B$229=P$3,SUMIF('TL17'!$C$238:$C$451,$C134,'TL17'!$J$238:$J$451),0),
IF('TL18'!$B$3=P$3,SUMIF('TL18'!$C$10:$C$224,$C134,'TL18'!$J$10:$J$224),0),
IF('TL18'!$B$229=P$3,SUMIF('TL18'!$C$238:$C$451,$C134,'TL18'!$J$238:$J$451),0),
IF('TL19'!$B$3=P$3,SUMIF('TL19'!$C$10:$C$224,$C134,'TL19'!$J$10:$J$224),0),
IF('TL19'!$B$229=P$3,SUMIF('TL19'!$C$238:$C$451,$C134,'TL19'!$J$238:$J$451),0)
),0)</f>
        <v>0</v>
      </c>
      <c r="Q134" s="9">
        <f>IFERROR(SUM(
IF('TL01'!$B$3=Q$3,SUMIF('TL01'!$C$10:$C$224,$C134,'TL01'!$J$10:$J$224),0),
IF('TL01'!$B$229=Q$3,SUMIF('TL01'!$C$238:$C$451,$C134,'TL01'!$J$238:$J$451),0),
IF('TL02'!$B$3=Q$3,SUMIF('TL02'!$C$10:$C$224,$C134,'TL02'!$J$10:$J$224),0),
IF('TL02'!$B$229=Q$3,SUMIF('TL02'!$C$238:$C$451,$C134,'TL02'!$J$238:$J$451),0),
IF('TL03'!$B$3=Q$3,SUMIF('TL03'!$C$10:$C$224,$C134,'TL03'!$J$10:$J$224),0),
IF('TL03'!$B$229=Q$3,SUMIF('TL03'!$C$238:$C$451,$C134,'TL03'!$J$238:$J$451),0),
IF('TL04'!$B$3=Q$3,SUMIF('TL04'!$C$10:$C$224,$C134,'TL04'!$J$10:$J$224),0),
IF('TL04'!$B$229=Q$3,SUMIF('TL04'!$C$238:$C$451,$C134,'TL04'!$J$238:$J$451),0),
IF('TL05'!$B$3=Q$3,SUMIF('TL05'!$C$10:$C$224,$C134,'TL05'!$J$10:$J$224),0),
IF('TL05'!$B$229=Q$3,SUMIF('TL05'!$C$238:$C$451,$C134,'TL05'!$J$238:$J$451),0),
IF('TL06'!$B$3=Q$3,SUMIF('TL06'!$C$10:$C$224,$C134,'TL06'!$J$10:$J$224),0),
IF('TL06'!$B$229=Q$3,SUMIF('TL06'!$C$238:$C$451,$C134,'TL06'!$J$238:$J$451),0),
IF('TL07'!$B$3=Q$3,SUMIF('TL07'!$C$10:$C$224,$C134,'TL07'!$J$10:$J$224),0),
IF('TL07'!$B$229=Q$3,SUMIF('TL07'!$C$238:$C$451,$C134,'TL07'!$J$238:$J$451),0),
IF('TL08'!$B$3=Q$3,SUMIF('TL08'!$C$10:$C$224,$C134,'TL08'!$J$10:$J$224),0),
IF('TL08'!$B$229=Q$3,SUMIF('TL08'!$C$238:$C$451,$C134,'TL08'!$J$238:$J$451),0),
IF('TL09'!$B$3=Q$3,SUMIF('TL09'!$C$10:$C$224,$C134,'TL09'!$J$10:$J$224),0),
IF('TL09'!$B$229=Q$3,SUMIF('TL09'!$C$238:$C$451,$C134,'TL09'!$J$238:$J$451),0),
IF('TL10'!$B$3=Q$3,SUMIF('TL10'!$C$10:$C$224,$C134,'TL10'!$J$10:$J$224),0),
IF('TL10'!$B$229=Q$3,SUMIF('TL10'!$C$238:$C$451,$C134,'TL10'!$J$238:$J$451),0),
IF('TL11'!$B$3=Q$3,SUMIF('TL11'!$C$10:$C$224,$C134,'TL11'!$J$10:$J$224),0),
IF('TL11'!$B$229=Q$3,SUMIF('TL11'!$C$238:$C$451,$C134,'TL11'!$J$238:$J$451),0),
IF('TL12'!$B$3=Q$3,SUMIF('TL12'!$C$10:$C$224,$C134,'TL12'!$J$10:$J$224),0),
IF('TL12'!$B$229=Q$3,SUMIF('TL12'!$C$238:$C$451,$C134,'TL12'!$J$238:$J$451),0),
IF('TL13'!$B$3=Q$3,SUMIF('TL13'!$C$10:$C$224,$C134,'TL13'!$J$10:$J$224),0),
IF('TL13'!$B$229=Q$3,SUMIF('TL13'!$C$238:$C$451,$C134,'TL13'!$J$238:$J$451),0),
IF('TL14'!$B$3=Q$3,SUMIF('TL14'!$C$10:$C$224,$C134,'TL14'!$J$10:$J$224),0),
IF('TL14'!$B$229=Q$3,SUMIF('TL14'!$C$238:$C$451,$C134,'TL14'!$J$238:$J$451),0),
IF('TL15'!$B$3=Q$3,SUMIF('TL15'!$C$10:$C$224,$C134,'TL15'!$J$10:$J$224),0),
IF('TL15'!$B$229=Q$3,SUMIF('TL15'!$C$238:$C$451,$C134,'TL15'!$J$238:$J$451),0),
IF('TL16'!$B$3=Q$3,SUMIF('TL16'!$C$10:$C$224,$C134,'TL16'!$J$10:$J$224),0),
IF('TL16'!$B$229=Q$3,SUMIF('TL16'!$C$238:$C$451,$C134,'TL16'!$J$238:$J$451),0),
IF('TL17'!$B$3=Q$3,SUMIF('TL17'!$C$10:$C$224,$C134,'TL17'!$J$10:$J$224),0),
IF('TL17'!$B$229=Q$3,SUMIF('TL17'!$C$238:$C$451,$C134,'TL17'!$J$238:$J$451),0),
IF('TL18'!$B$3=Q$3,SUMIF('TL18'!$C$10:$C$224,$C134,'TL18'!$J$10:$J$224),0),
IF('TL18'!$B$229=Q$3,SUMIF('TL18'!$C$238:$C$451,$C134,'TL18'!$J$238:$J$451),0),
IF('TL19'!$B$3=Q$3,SUMIF('TL19'!$C$10:$C$224,$C134,'TL19'!$J$10:$J$224),0),
IF('TL19'!$B$229=Q$3,SUMIF('TL19'!$C$238:$C$451,$C134,'TL19'!$J$238:$J$451),0)
),0)</f>
        <v>0</v>
      </c>
      <c r="R134" s="9">
        <f>IFERROR(
SUM(
SUMIF('TL01'!C:C,C134,'TL01'!J:J),
SUMIF('TL02'!C:C,C134,'TL02'!J:J),
SUMIF('TL03'!C:C,C134,'TL03'!J:J),
SUMIF('TL04'!C:C,C134,'TL04'!J:J),
SUMIF('TL05'!C:C,C134,'TL05'!J:J),
SUMIF('TL06'!C:C,C134,'TL06'!J:J),
SUMIF('TL07'!C:C,C134,'TL07'!J:J),
SUMIF('TL08'!C:C,C134,'TL08'!J:J),
SUMIF('TL09'!C:C,C134,'TL09'!J:J),
SUMIF('TL10'!C:C,C134,'TL10'!J:J),
SUMIF('TL11'!C:C,C134,'TL11'!J:J),
SUMIF('TL12'!C:C,C134,'TL12'!J:J),
SUMIF('TL13'!C:C,C134,'TL13'!J:J),
SUMIF('TL14'!C:C,C134,'TL14'!J:J),
SUMIF('TL15'!C:C,C134,'TL15'!J:J),
SUMIF('TL16'!C:C,C134,'TL16'!J:J),
SUMIF('TL17'!C:C,C134,'TL17'!J:J),
SUMIF('TL18'!C:C,C134,'TL18'!J:J),SUMIF('TL19'!C:C,C134,'TL19'!J:J))
,0)</f>
        <v>0</v>
      </c>
      <c r="S134" s="17">
        <f>IFERROR(__xludf.DUMMYFUNCTION("IFERROR(VLOOKUP(C134,
IMPORTRANGE(""1wULbzX32WdYsx-lj2U3uUNBBe2INVIRDtcK0d-Dvl90"",
""26-27!C:G""),
5,
FALSE),
"""")"),1251.19574)</f>
        <v>1251.19574</v>
      </c>
      <c r="T134" s="9"/>
      <c r="U134" s="92">
        <f t="shared" si="2"/>
        <v>0</v>
      </c>
      <c r="V134" s="93">
        <f t="shared" si="3"/>
        <v>0</v>
      </c>
    </row>
    <row r="135" ht="15.75" hidden="1" customHeight="1">
      <c r="A135" s="111" t="s">
        <v>353</v>
      </c>
      <c r="B135" s="112" t="s">
        <v>1</v>
      </c>
      <c r="C135" s="113" t="s">
        <v>677</v>
      </c>
      <c r="D135" s="113" t="s">
        <v>678</v>
      </c>
      <c r="E135" s="113">
        <v>934.58</v>
      </c>
      <c r="F135" s="4" t="s">
        <v>343</v>
      </c>
      <c r="G135" s="90" t="str">
        <f t="shared" si="4"/>
        <v>📄 Ver bula</v>
      </c>
      <c r="H135" s="9" t="str">
        <f>IFERROR(__xludf.DUMMYFUNCTION("IFERROR(VLOOKUP(C135,
IMPORTRANGE(""1wULbzX32WdYsx-lj2U3uUNBBe2INVIRDtcK0d-Dvl90"",
""26-27!C:K""),
8,
FALSE),
"""")"),"")</f>
        <v/>
      </c>
      <c r="I135" s="114" t="s">
        <v>361</v>
      </c>
      <c r="J135" s="9">
        <f>IFERROR(SUM(
IF('TL01'!$B$3=J$3,SUMIF('TL01'!$C$10:$C$224,$C135,'TL01'!$J$10:$J$224),0),
IF('TL01'!$B$229=J$3,SUMIF('TL01'!$C$238:$C$451,$C135,'TL01'!$J$238:$J$451),0),
IF('TL02'!$B$3=J$3,SUMIF('TL02'!$C$10:$C$224,$C135,'TL02'!$J$10:$J$224),0),
IF('TL02'!$B$229=J$3,SUMIF('TL02'!$C$238:$C$451,$C135,'TL02'!$J$238:$J$451),0),
IF('TL03'!$B$3=J$3,SUMIF('TL03'!$C$10:$C$224,$C135,'TL03'!$J$10:$J$224),0),
IF('TL03'!$B$229=J$3,SUMIF('TL03'!$C$238:$C$451,$C135,'TL03'!$J$238:$J$451),0),
IF('TL04'!$B$3=J$3,SUMIF('TL04'!$C$10:$C$224,$C135,'TL04'!$J$10:$J$224),0),
IF('TL04'!$B$229=J$3,SUMIF('TL04'!$C$238:$C$451,$C135,'TL04'!$J$238:$J$451),0),
IF('TL05'!$B$3=J$3,SUMIF('TL05'!$C$10:$C$224,$C135,'TL05'!$J$10:$J$224),0),
IF('TL05'!$B$229=J$3,SUMIF('TL05'!$C$238:$C$451,$C135,'TL05'!$J$238:$J$451),0),
IF('TL06'!$B$3=J$3,SUMIF('TL06'!$C$10:$C$224,$C135,'TL06'!$J$10:$J$224),0),
IF('TL06'!$B$229=J$3,SUMIF('TL06'!$C$238:$C$451,$C135,'TL06'!$J$238:$J$451),0),
IF('TL07'!$B$3=J$3,SUMIF('TL07'!$C$10:$C$224,$C135,'TL07'!$J$10:$J$224),0),
IF('TL07'!$B$229=J$3,SUMIF('TL07'!$C$238:$C$451,$C135,'TL07'!$J$238:$J$451),0),
IF('TL08'!$B$3=J$3,SUMIF('TL08'!$C$10:$C$224,$C135,'TL08'!$J$10:$J$224),0),
IF('TL08'!$B$229=J$3,SUMIF('TL08'!$C$238:$C$451,$C135,'TL08'!$J$238:$J$451),0),
IF('TL09'!$B$3=J$3,SUMIF('TL09'!$C$10:$C$224,$C135,'TL09'!$J$10:$J$224),0),
IF('TL09'!$B$229=J$3,SUMIF('TL09'!$C$238:$C$451,$C135,'TL09'!$J$238:$J$451),0),
IF('TL10'!$B$3=J$3,SUMIF('TL10'!$C$10:$C$224,$C135,'TL10'!$J$10:$J$224),0),
IF('TL10'!$B$229=J$3,SUMIF('TL10'!$C$238:$C$451,$C135,'TL10'!$J$238:$J$451),0),
IF('TL11'!$B$3=J$3,SUMIF('TL11'!$C$10:$C$224,$C135,'TL11'!$J$10:$J$224),0),
IF('TL11'!$B$229=J$3,SUMIF('TL11'!$C$238:$C$451,$C135,'TL11'!$J$238:$J$451),0),
IF('TL12'!$B$3=J$3,SUMIF('TL12'!$C$10:$C$224,$C135,'TL12'!$J$10:$J$224),0),
IF('TL12'!$B$229=J$3,SUMIF('TL12'!$C$238:$C$451,$C135,'TL12'!$J$238:$J$451),0),
IF('TL13'!$B$3=J$3,SUMIF('TL13'!$C$10:$C$224,$C135,'TL13'!$J$10:$J$224),0),
IF('TL13'!$B$229=J$3,SUMIF('TL13'!$C$238:$C$451,$C135,'TL13'!$J$238:$J$451),0),
IF('TL14'!$B$3=J$3,SUMIF('TL14'!$C$10:$C$224,$C135,'TL14'!$J$10:$J$224),0),
IF('TL14'!$B$229=J$3,SUMIF('TL14'!$C$238:$C$451,$C135,'TL14'!$J$238:$J$451),0),
IF('TL15'!$B$3=J$3,SUMIF('TL15'!$C$10:$C$224,$C135,'TL15'!$J$10:$J$224),0),
IF('TL15'!$B$229=J$3,SUMIF('TL15'!$C$238:$C$451,$C135,'TL15'!$J$238:$J$451),0),
IF('TL16'!$B$3=J$3,SUMIF('TL16'!$C$10:$C$224,$C135,'TL16'!$J$10:$J$224),0),
IF('TL16'!$B$229=J$3,SUMIF('TL16'!$C$238:$C$451,$C135,'TL16'!$J$238:$J$451),0),
IF('TL17'!$B$3=J$3,SUMIF('TL17'!$C$10:$C$224,$C135,'TL17'!$J$10:$J$224),0),
IF('TL17'!$B$229=J$3,SUMIF('TL17'!$C$238:$C$451,$C135,'TL17'!$J$238:$J$451),0),
IF('TL18'!$B$3=J$3,SUMIF('TL18'!$C$10:$C$224,$C135,'TL18'!$J$10:$J$224),0),
IF('TL18'!$B$229=J$3,SUMIF('TL18'!$C$238:$C$451,$C135,'TL18'!$J$238:$J$451),0),
IF('TL19'!$B$3=J$3,SUMIF('TL19'!$C$10:$C$224,$C135,'TL19'!$J$10:$J$224),0),
IF('TL19'!$B$229=J$3,SUMIF('TL19'!$C$238:$C$451,$C135,'TL19'!$J$238:$J$451),0)
),0)</f>
        <v>0</v>
      </c>
      <c r="K135" s="9">
        <f>IFERROR(SUM(
IF('TL01'!$B$3=K$3,SUMIF('TL01'!$C$10:$C$224,$C135,'TL01'!$J$10:$J$224),0),
IF('TL01'!$B$229=K$3,SUMIF('TL01'!$C$238:$C$451,$C135,'TL01'!$J$238:$J$451),0),
IF('TL02'!$B$3=K$3,SUMIF('TL02'!$C$10:$C$224,$C135,'TL02'!$J$10:$J$224),0),
IF('TL02'!$B$229=K$3,SUMIF('TL02'!$C$238:$C$451,$C135,'TL02'!$J$238:$J$451),0),
IF('TL03'!$B$3=K$3,SUMIF('TL03'!$C$10:$C$224,$C135,'TL03'!$J$10:$J$224),0),
IF('TL03'!$B$229=K$3,SUMIF('TL03'!$C$238:$C$451,$C135,'TL03'!$J$238:$J$451),0),
IF('TL04'!$B$3=K$3,SUMIF('TL04'!$C$10:$C$224,$C135,'TL04'!$J$10:$J$224),0),
IF('TL04'!$B$229=K$3,SUMIF('TL04'!$C$238:$C$451,$C135,'TL04'!$J$238:$J$451),0),
IF('TL05'!$B$3=K$3,SUMIF('TL05'!$C$10:$C$224,$C135,'TL05'!$J$10:$J$224),0),
IF('TL05'!$B$229=K$3,SUMIF('TL05'!$C$238:$C$451,$C135,'TL05'!$J$238:$J$451),0),
IF('TL06'!$B$3=K$3,SUMIF('TL06'!$C$10:$C$224,$C135,'TL06'!$J$10:$J$224),0),
IF('TL06'!$B$229=K$3,SUMIF('TL06'!$C$238:$C$451,$C135,'TL06'!$J$238:$J$451),0),
IF('TL07'!$B$3=K$3,SUMIF('TL07'!$C$10:$C$224,$C135,'TL07'!$J$10:$J$224),0),
IF('TL07'!$B$229=K$3,SUMIF('TL07'!$C$238:$C$451,$C135,'TL07'!$J$238:$J$451),0),
IF('TL08'!$B$3=K$3,SUMIF('TL08'!$C$10:$C$224,$C135,'TL08'!$J$10:$J$224),0),
IF('TL08'!$B$229=K$3,SUMIF('TL08'!$C$238:$C$451,$C135,'TL08'!$J$238:$J$451),0),
IF('TL09'!$B$3=K$3,SUMIF('TL09'!$C$10:$C$224,$C135,'TL09'!$J$10:$J$224),0),
IF('TL09'!$B$229=K$3,SUMIF('TL09'!$C$238:$C$451,$C135,'TL09'!$J$238:$J$451),0),
IF('TL10'!$B$3=K$3,SUMIF('TL10'!$C$10:$C$224,$C135,'TL10'!$J$10:$J$224),0),
IF('TL10'!$B$229=K$3,SUMIF('TL10'!$C$238:$C$451,$C135,'TL10'!$J$238:$J$451),0),
IF('TL11'!$B$3=K$3,SUMIF('TL11'!$C$10:$C$224,$C135,'TL11'!$J$10:$J$224),0),
IF('TL11'!$B$229=K$3,SUMIF('TL11'!$C$238:$C$451,$C135,'TL11'!$J$238:$J$451),0),
IF('TL12'!$B$3=K$3,SUMIF('TL12'!$C$10:$C$224,$C135,'TL12'!$J$10:$J$224),0),
IF('TL12'!$B$229=K$3,SUMIF('TL12'!$C$238:$C$451,$C135,'TL12'!$J$238:$J$451),0),
IF('TL13'!$B$3=K$3,SUMIF('TL13'!$C$10:$C$224,$C135,'TL13'!$J$10:$J$224),0),
IF('TL13'!$B$229=K$3,SUMIF('TL13'!$C$238:$C$451,$C135,'TL13'!$J$238:$J$451),0),
IF('TL14'!$B$3=K$3,SUMIF('TL14'!$C$10:$C$224,$C135,'TL14'!$J$10:$J$224),0),
IF('TL14'!$B$229=K$3,SUMIF('TL14'!$C$238:$C$451,$C135,'TL14'!$J$238:$J$451),0),
IF('TL15'!$B$3=K$3,SUMIF('TL15'!$C$10:$C$224,$C135,'TL15'!$J$10:$J$224),0),
IF('TL15'!$B$229=K$3,SUMIF('TL15'!$C$238:$C$451,$C135,'TL15'!$J$238:$J$451),0),
IF('TL16'!$B$3=K$3,SUMIF('TL16'!$C$10:$C$224,$C135,'TL16'!$J$10:$J$224),0),
IF('TL16'!$B$229=K$3,SUMIF('TL16'!$C$238:$C$451,$C135,'TL16'!$J$238:$J$451),0),
IF('TL17'!$B$3=K$3,SUMIF('TL17'!$C$10:$C$224,$C135,'TL17'!$J$10:$J$224),0),
IF('TL17'!$B$229=K$3,SUMIF('TL17'!$C$238:$C$451,$C135,'TL17'!$J$238:$J$451),0),
IF('TL18'!$B$3=K$3,SUMIF('TL18'!$C$10:$C$224,$C135,'TL18'!$J$10:$J$224),0),
IF('TL18'!$B$229=K$3,SUMIF('TL18'!$C$238:$C$451,$C135,'TL18'!$J$238:$J$451),0),
IF('TL19'!$B$3=K$3,SUMIF('TL19'!$C$10:$C$224,$C135,'TL19'!$J$10:$J$224),0),
IF('TL19'!$B$229=K$3,SUMIF('TL19'!$C$238:$C$451,$C135,'TL19'!$J$238:$J$451),0)
),0)</f>
        <v>0</v>
      </c>
      <c r="L135" s="9">
        <f>IFERROR(SUM(
IF('TL01'!$B$3=L$3,SUMIF('TL01'!$C$10:$C$224,$C135,'TL01'!$J$10:$J$224),0),
IF('TL01'!$B$229=L$3,SUMIF('TL01'!$C$238:$C$451,$C135,'TL01'!$J$238:$J$451),0),
IF('TL02'!$B$3=L$3,SUMIF('TL02'!$C$10:$C$224,$C135,'TL02'!$J$10:$J$224),0),
IF('TL02'!$B$229=L$3,SUMIF('TL02'!$C$238:$C$451,$C135,'TL02'!$J$238:$J$451),0),
IF('TL03'!$B$3=L$3,SUMIF('TL03'!$C$10:$C$224,$C135,'TL03'!$J$10:$J$224),0),
IF('TL03'!$B$229=L$3,SUMIF('TL03'!$C$238:$C$451,$C135,'TL03'!$J$238:$J$451),0),
IF('TL04'!$B$3=L$3,SUMIF('TL04'!$C$10:$C$224,$C135,'TL04'!$J$10:$J$224),0),
IF('TL04'!$B$229=L$3,SUMIF('TL04'!$C$238:$C$451,$C135,'TL04'!$J$238:$J$451),0),
IF('TL05'!$B$3=L$3,SUMIF('TL05'!$C$10:$C$224,$C135,'TL05'!$J$10:$J$224),0),
IF('TL05'!$B$229=L$3,SUMIF('TL05'!$C$238:$C$451,$C135,'TL05'!$J$238:$J$451),0),
IF('TL06'!$B$3=L$3,SUMIF('TL06'!$C$10:$C$224,$C135,'TL06'!$J$10:$J$224),0),
IF('TL06'!$B$229=L$3,SUMIF('TL06'!$C$238:$C$451,$C135,'TL06'!$J$238:$J$451),0),
IF('TL07'!$B$3=L$3,SUMIF('TL07'!$C$10:$C$224,$C135,'TL07'!$J$10:$J$224),0),
IF('TL07'!$B$229=L$3,SUMIF('TL07'!$C$238:$C$451,$C135,'TL07'!$J$238:$J$451),0),
IF('TL08'!$B$3=L$3,SUMIF('TL08'!$C$10:$C$224,$C135,'TL08'!$J$10:$J$224),0),
IF('TL08'!$B$229=L$3,SUMIF('TL08'!$C$238:$C$451,$C135,'TL08'!$J$238:$J$451),0),
IF('TL09'!$B$3=L$3,SUMIF('TL09'!$C$10:$C$224,$C135,'TL09'!$J$10:$J$224),0),
IF('TL09'!$B$229=L$3,SUMIF('TL09'!$C$238:$C$451,$C135,'TL09'!$J$238:$J$451),0),
IF('TL10'!$B$3=L$3,SUMIF('TL10'!$C$10:$C$224,$C135,'TL10'!$J$10:$J$224),0),
IF('TL10'!$B$229=L$3,SUMIF('TL10'!$C$238:$C$451,$C135,'TL10'!$J$238:$J$451),0),
IF('TL11'!$B$3=L$3,SUMIF('TL11'!$C$10:$C$224,$C135,'TL11'!$J$10:$J$224),0),
IF('TL11'!$B$229=L$3,SUMIF('TL11'!$C$238:$C$451,$C135,'TL11'!$J$238:$J$451),0),
IF('TL12'!$B$3=L$3,SUMIF('TL12'!$C$10:$C$224,$C135,'TL12'!$J$10:$J$224),0),
IF('TL12'!$B$229=L$3,SUMIF('TL12'!$C$238:$C$451,$C135,'TL12'!$J$238:$J$451),0),
IF('TL13'!$B$3=L$3,SUMIF('TL13'!$C$10:$C$224,$C135,'TL13'!$J$10:$J$224),0),
IF('TL13'!$B$229=L$3,SUMIF('TL13'!$C$238:$C$451,$C135,'TL13'!$J$238:$J$451),0),
IF('TL14'!$B$3=L$3,SUMIF('TL14'!$C$10:$C$224,$C135,'TL14'!$J$10:$J$224),0),
IF('TL14'!$B$229=L$3,SUMIF('TL14'!$C$238:$C$451,$C135,'TL14'!$J$238:$J$451),0),
IF('TL15'!$B$3=L$3,SUMIF('TL15'!$C$10:$C$224,$C135,'TL15'!$J$10:$J$224),0),
IF('TL15'!$B$229=L$3,SUMIF('TL15'!$C$238:$C$451,$C135,'TL15'!$J$238:$J$451),0),
IF('TL16'!$B$3=L$3,SUMIF('TL16'!$C$10:$C$224,$C135,'TL16'!$J$10:$J$224),0),
IF('TL16'!$B$229=L$3,SUMIF('TL16'!$C$238:$C$451,$C135,'TL16'!$J$238:$J$451),0),
IF('TL17'!$B$3=L$3,SUMIF('TL17'!$C$10:$C$224,$C135,'TL17'!$J$10:$J$224),0),
IF('TL17'!$B$229=L$3,SUMIF('TL17'!$C$238:$C$451,$C135,'TL17'!$J$238:$J$451),0),
IF('TL18'!$B$3=L$3,SUMIF('TL18'!$C$10:$C$224,$C135,'TL18'!$J$10:$J$224),0),
IF('TL18'!$B$229=L$3,SUMIF('TL18'!$C$238:$C$451,$C135,'TL18'!$J$238:$J$451),0),
IF('TL19'!$B$3=L$3,SUMIF('TL19'!$C$10:$C$224,$C135,'TL19'!$J$10:$J$224),0),
IF('TL19'!$B$229=L$3,SUMIF('TL19'!$C$238:$C$451,$C135,'TL19'!$J$238:$J$451),0)
),0)</f>
        <v>0</v>
      </c>
      <c r="M135" s="9">
        <f>IFERROR(SUM(
IF('TL01'!$B$3=M$3,SUMIF('TL01'!$C$10:$C$224,$C135,'TL01'!$J$10:$J$224),0),
IF('TL01'!$B$229=M$3,SUMIF('TL01'!$C$238:$C$451,$C135,'TL01'!$J$238:$J$451),0),
IF('TL02'!$B$3=M$3,SUMIF('TL02'!$C$10:$C$224,$C135,'TL02'!$J$10:$J$224),0),
IF('TL02'!$B$229=M$3,SUMIF('TL02'!$C$238:$C$451,$C135,'TL02'!$J$238:$J$451),0),
IF('TL03'!$B$3=M$3,SUMIF('TL03'!$C$10:$C$224,$C135,'TL03'!$J$10:$J$224),0),
IF('TL03'!$B$229=M$3,SUMIF('TL03'!$C$238:$C$451,$C135,'TL03'!$J$238:$J$451),0),
IF('TL04'!$B$3=M$3,SUMIF('TL04'!$C$10:$C$224,$C135,'TL04'!$J$10:$J$224),0),
IF('TL04'!$B$229=M$3,SUMIF('TL04'!$C$238:$C$451,$C135,'TL04'!$J$238:$J$451),0),
IF('TL05'!$B$3=M$3,SUMIF('TL05'!$C$10:$C$224,$C135,'TL05'!$J$10:$J$224),0),
IF('TL05'!$B$229=M$3,SUMIF('TL05'!$C$238:$C$451,$C135,'TL05'!$J$238:$J$451),0),
IF('TL06'!$B$3=M$3,SUMIF('TL06'!$C$10:$C$224,$C135,'TL06'!$J$10:$J$224),0),
IF('TL06'!$B$229=M$3,SUMIF('TL06'!$C$238:$C$451,$C135,'TL06'!$J$238:$J$451),0),
IF('TL07'!$B$3=M$3,SUMIF('TL07'!$C$10:$C$224,$C135,'TL07'!$J$10:$J$224),0),
IF('TL07'!$B$229=M$3,SUMIF('TL07'!$C$238:$C$451,$C135,'TL07'!$J$238:$J$451),0),
IF('TL08'!$B$3=M$3,SUMIF('TL08'!$C$10:$C$224,$C135,'TL08'!$J$10:$J$224),0),
IF('TL08'!$B$229=M$3,SUMIF('TL08'!$C$238:$C$451,$C135,'TL08'!$J$238:$J$451),0),
IF('TL09'!$B$3=M$3,SUMIF('TL09'!$C$10:$C$224,$C135,'TL09'!$J$10:$J$224),0),
IF('TL09'!$B$229=M$3,SUMIF('TL09'!$C$238:$C$451,$C135,'TL09'!$J$238:$J$451),0),
IF('TL10'!$B$3=M$3,SUMIF('TL10'!$C$10:$C$224,$C135,'TL10'!$J$10:$J$224),0),
IF('TL10'!$B$229=M$3,SUMIF('TL10'!$C$238:$C$451,$C135,'TL10'!$J$238:$J$451),0),
IF('TL11'!$B$3=M$3,SUMIF('TL11'!$C$10:$C$224,$C135,'TL11'!$J$10:$J$224),0),
IF('TL11'!$B$229=M$3,SUMIF('TL11'!$C$238:$C$451,$C135,'TL11'!$J$238:$J$451),0),
IF('TL12'!$B$3=M$3,SUMIF('TL12'!$C$10:$C$224,$C135,'TL12'!$J$10:$J$224),0),
IF('TL12'!$B$229=M$3,SUMIF('TL12'!$C$238:$C$451,$C135,'TL12'!$J$238:$J$451),0),
IF('TL13'!$B$3=M$3,SUMIF('TL13'!$C$10:$C$224,$C135,'TL13'!$J$10:$J$224),0),
IF('TL13'!$B$229=M$3,SUMIF('TL13'!$C$238:$C$451,$C135,'TL13'!$J$238:$J$451),0),
IF('TL14'!$B$3=M$3,SUMIF('TL14'!$C$10:$C$224,$C135,'TL14'!$J$10:$J$224),0),
IF('TL14'!$B$229=M$3,SUMIF('TL14'!$C$238:$C$451,$C135,'TL14'!$J$238:$J$451),0),
IF('TL15'!$B$3=M$3,SUMIF('TL15'!$C$10:$C$224,$C135,'TL15'!$J$10:$J$224),0),
IF('TL15'!$B$229=M$3,SUMIF('TL15'!$C$238:$C$451,$C135,'TL15'!$J$238:$J$451),0),
IF('TL16'!$B$3=M$3,SUMIF('TL16'!$C$10:$C$224,$C135,'TL16'!$J$10:$J$224),0),
IF('TL16'!$B$229=M$3,SUMIF('TL16'!$C$238:$C$451,$C135,'TL16'!$J$238:$J$451),0),
IF('TL17'!$B$3=M$3,SUMIF('TL17'!$C$10:$C$224,$C135,'TL17'!$J$10:$J$224),0),
IF('TL17'!$B$229=M$3,SUMIF('TL17'!$C$238:$C$451,$C135,'TL17'!$J$238:$J$451),0),
IF('TL18'!$B$3=M$3,SUMIF('TL18'!$C$10:$C$224,$C135,'TL18'!$J$10:$J$224),0),
IF('TL18'!$B$229=M$3,SUMIF('TL18'!$C$238:$C$451,$C135,'TL18'!$J$238:$J$451),0),
IF('TL19'!$B$3=M$3,SUMIF('TL19'!$C$10:$C$224,$C135,'TL19'!$J$10:$J$224),0),
IF('TL19'!$B$229=M$3,SUMIF('TL19'!$C$238:$C$451,$C135,'TL19'!$J$238:$J$451),0)
),0)</f>
        <v>0</v>
      </c>
      <c r="N135" s="9">
        <f>IFERROR(SUM(
IF('TL01'!$B$3=N$3,SUMIF('TL01'!$C$10:$C$224,$C135,'TL01'!$J$10:$J$224),0),
IF('TL01'!$B$229=N$3,SUMIF('TL01'!$C$238:$C$451,$C135,'TL01'!$J$238:$J$451),0),
IF('TL02'!$B$3=N$3,SUMIF('TL02'!$C$10:$C$224,$C135,'TL02'!$J$10:$J$224),0),
IF('TL02'!$B$229=N$3,SUMIF('TL02'!$C$238:$C$451,$C135,'TL02'!$J$238:$J$451),0),
IF('TL03'!$B$3=N$3,SUMIF('TL03'!$C$10:$C$224,$C135,'TL03'!$J$10:$J$224),0),
IF('TL03'!$B$229=N$3,SUMIF('TL03'!$C$238:$C$451,$C135,'TL03'!$J$238:$J$451),0),
IF('TL04'!$B$3=N$3,SUMIF('TL04'!$C$10:$C$224,$C135,'TL04'!$J$10:$J$224),0),
IF('TL04'!$B$229=N$3,SUMIF('TL04'!$C$238:$C$451,$C135,'TL04'!$J$238:$J$451),0),
IF('TL05'!$B$3=N$3,SUMIF('TL05'!$C$10:$C$224,$C135,'TL05'!$J$10:$J$224),0),
IF('TL05'!$B$229=N$3,SUMIF('TL05'!$C$238:$C$451,$C135,'TL05'!$J$238:$J$451),0),
IF('TL06'!$B$3=N$3,SUMIF('TL06'!$C$10:$C$224,$C135,'TL06'!$J$10:$J$224),0),
IF('TL06'!$B$229=N$3,SUMIF('TL06'!$C$238:$C$451,$C135,'TL06'!$J$238:$J$451),0),
IF('TL07'!$B$3=N$3,SUMIF('TL07'!$C$10:$C$224,$C135,'TL07'!$J$10:$J$224),0),
IF('TL07'!$B$229=N$3,SUMIF('TL07'!$C$238:$C$451,$C135,'TL07'!$J$238:$J$451),0),
IF('TL08'!$B$3=N$3,SUMIF('TL08'!$C$10:$C$224,$C135,'TL08'!$J$10:$J$224),0),
IF('TL08'!$B$229=N$3,SUMIF('TL08'!$C$238:$C$451,$C135,'TL08'!$J$238:$J$451),0),
IF('TL09'!$B$3=N$3,SUMIF('TL09'!$C$10:$C$224,$C135,'TL09'!$J$10:$J$224),0),
IF('TL09'!$B$229=N$3,SUMIF('TL09'!$C$238:$C$451,$C135,'TL09'!$J$238:$J$451),0),
IF('TL10'!$B$3=N$3,SUMIF('TL10'!$C$10:$C$224,$C135,'TL10'!$J$10:$J$224),0),
IF('TL10'!$B$229=N$3,SUMIF('TL10'!$C$238:$C$451,$C135,'TL10'!$J$238:$J$451),0),
IF('TL11'!$B$3=N$3,SUMIF('TL11'!$C$10:$C$224,$C135,'TL11'!$J$10:$J$224),0),
IF('TL11'!$B$229=N$3,SUMIF('TL11'!$C$238:$C$451,$C135,'TL11'!$J$238:$J$451),0),
IF('TL12'!$B$3=N$3,SUMIF('TL12'!$C$10:$C$224,$C135,'TL12'!$J$10:$J$224),0),
IF('TL12'!$B$229=N$3,SUMIF('TL12'!$C$238:$C$451,$C135,'TL12'!$J$238:$J$451),0),
IF('TL13'!$B$3=N$3,SUMIF('TL13'!$C$10:$C$224,$C135,'TL13'!$J$10:$J$224),0),
IF('TL13'!$B$229=N$3,SUMIF('TL13'!$C$238:$C$451,$C135,'TL13'!$J$238:$J$451),0),
IF('TL14'!$B$3=N$3,SUMIF('TL14'!$C$10:$C$224,$C135,'TL14'!$J$10:$J$224),0),
IF('TL14'!$B$229=N$3,SUMIF('TL14'!$C$238:$C$451,$C135,'TL14'!$J$238:$J$451),0),
IF('TL15'!$B$3=N$3,SUMIF('TL15'!$C$10:$C$224,$C135,'TL15'!$J$10:$J$224),0),
IF('TL15'!$B$229=N$3,SUMIF('TL15'!$C$238:$C$451,$C135,'TL15'!$J$238:$J$451),0),
IF('TL16'!$B$3=N$3,SUMIF('TL16'!$C$10:$C$224,$C135,'TL16'!$J$10:$J$224),0),
IF('TL16'!$B$229=N$3,SUMIF('TL16'!$C$238:$C$451,$C135,'TL16'!$J$238:$J$451),0),
IF('TL17'!$B$3=N$3,SUMIF('TL17'!$C$10:$C$224,$C135,'TL17'!$J$10:$J$224),0),
IF('TL17'!$B$229=N$3,SUMIF('TL17'!$C$238:$C$451,$C135,'TL17'!$J$238:$J$451),0),
IF('TL18'!$B$3=N$3,SUMIF('TL18'!$C$10:$C$224,$C135,'TL18'!$J$10:$J$224),0),
IF('TL18'!$B$229=N$3,SUMIF('TL18'!$C$238:$C$451,$C135,'TL18'!$J$238:$J$451),0),
IF('TL19'!$B$3=N$3,SUMIF('TL19'!$C$10:$C$224,$C135,'TL19'!$J$10:$J$224),0),
IF('TL19'!$B$229=N$3,SUMIF('TL19'!$C$238:$C$451,$C135,'TL19'!$J$238:$J$451),0)
),0)</f>
        <v>0</v>
      </c>
      <c r="O135" s="9">
        <f>IFERROR(SUM(
IF('TL01'!$B$3=O$3,SUMIF('TL01'!$C$10:$C$224,$C135,'TL01'!$J$10:$J$224),0),
IF('TL01'!$B$229=O$3,SUMIF('TL01'!$C$238:$C$451,$C135,'TL01'!$J$238:$J$451),0),
IF('TL02'!$B$3=O$3,SUMIF('TL02'!$C$10:$C$224,$C135,'TL02'!$J$10:$J$224),0),
IF('TL02'!$B$229=O$3,SUMIF('TL02'!$C$238:$C$451,$C135,'TL02'!$J$238:$J$451),0),
IF('TL03'!$B$3=O$3,SUMIF('TL03'!$C$10:$C$224,$C135,'TL03'!$J$10:$J$224),0),
IF('TL03'!$B$229=O$3,SUMIF('TL03'!$C$238:$C$451,$C135,'TL03'!$J$238:$J$451),0),
IF('TL04'!$B$3=O$3,SUMIF('TL04'!$C$10:$C$224,$C135,'TL04'!$J$10:$J$224),0),
IF('TL04'!$B$229=O$3,SUMIF('TL04'!$C$238:$C$451,$C135,'TL04'!$J$238:$J$451),0),
IF('TL05'!$B$3=O$3,SUMIF('TL05'!$C$10:$C$224,$C135,'TL05'!$J$10:$J$224),0),
IF('TL05'!$B$229=O$3,SUMIF('TL05'!$C$238:$C$451,$C135,'TL05'!$J$238:$J$451),0),
IF('TL06'!$B$3=O$3,SUMIF('TL06'!$C$10:$C$224,$C135,'TL06'!$J$10:$J$224),0),
IF('TL06'!$B$229=O$3,SUMIF('TL06'!$C$238:$C$451,$C135,'TL06'!$J$238:$J$451),0),
IF('TL07'!$B$3=O$3,SUMIF('TL07'!$C$10:$C$224,$C135,'TL07'!$J$10:$J$224),0),
IF('TL07'!$B$229=O$3,SUMIF('TL07'!$C$238:$C$451,$C135,'TL07'!$J$238:$J$451),0),
IF('TL08'!$B$3=O$3,SUMIF('TL08'!$C$10:$C$224,$C135,'TL08'!$J$10:$J$224),0),
IF('TL08'!$B$229=O$3,SUMIF('TL08'!$C$238:$C$451,$C135,'TL08'!$J$238:$J$451),0),
IF('TL09'!$B$3=O$3,SUMIF('TL09'!$C$10:$C$224,$C135,'TL09'!$J$10:$J$224),0),
IF('TL09'!$B$229=O$3,SUMIF('TL09'!$C$238:$C$451,$C135,'TL09'!$J$238:$J$451),0),
IF('TL10'!$B$3=O$3,SUMIF('TL10'!$C$10:$C$224,$C135,'TL10'!$J$10:$J$224),0),
IF('TL10'!$B$229=O$3,SUMIF('TL10'!$C$238:$C$451,$C135,'TL10'!$J$238:$J$451),0),
IF('TL11'!$B$3=O$3,SUMIF('TL11'!$C$10:$C$224,$C135,'TL11'!$J$10:$J$224),0),
IF('TL11'!$B$229=O$3,SUMIF('TL11'!$C$238:$C$451,$C135,'TL11'!$J$238:$J$451),0),
IF('TL12'!$B$3=O$3,SUMIF('TL12'!$C$10:$C$224,$C135,'TL12'!$J$10:$J$224),0),
IF('TL12'!$B$229=O$3,SUMIF('TL12'!$C$238:$C$451,$C135,'TL12'!$J$238:$J$451),0),
IF('TL13'!$B$3=O$3,SUMIF('TL13'!$C$10:$C$224,$C135,'TL13'!$J$10:$J$224),0),
IF('TL13'!$B$229=O$3,SUMIF('TL13'!$C$238:$C$451,$C135,'TL13'!$J$238:$J$451),0),
IF('TL14'!$B$3=O$3,SUMIF('TL14'!$C$10:$C$224,$C135,'TL14'!$J$10:$J$224),0),
IF('TL14'!$B$229=O$3,SUMIF('TL14'!$C$238:$C$451,$C135,'TL14'!$J$238:$J$451),0),
IF('TL15'!$B$3=O$3,SUMIF('TL15'!$C$10:$C$224,$C135,'TL15'!$J$10:$J$224),0),
IF('TL15'!$B$229=O$3,SUMIF('TL15'!$C$238:$C$451,$C135,'TL15'!$J$238:$J$451),0),
IF('TL16'!$B$3=O$3,SUMIF('TL16'!$C$10:$C$224,$C135,'TL16'!$J$10:$J$224),0),
IF('TL16'!$B$229=O$3,SUMIF('TL16'!$C$238:$C$451,$C135,'TL16'!$J$238:$J$451),0),
IF('TL17'!$B$3=O$3,SUMIF('TL17'!$C$10:$C$224,$C135,'TL17'!$J$10:$J$224),0),
IF('TL17'!$B$229=O$3,SUMIF('TL17'!$C$238:$C$451,$C135,'TL17'!$J$238:$J$451),0),
IF('TL18'!$B$3=O$3,SUMIF('TL18'!$C$10:$C$224,$C135,'TL18'!$J$10:$J$224),0),
IF('TL18'!$B$229=O$3,SUMIF('TL18'!$C$238:$C$451,$C135,'TL18'!$J$238:$J$451),0),
IF('TL19'!$B$3=O$3,SUMIF('TL19'!$C$10:$C$224,$C135,'TL19'!$J$10:$J$224),0),
IF('TL19'!$B$229=O$3,SUMIF('TL19'!$C$238:$C$451,$C135,'TL19'!$J$238:$J$451),0)
),0)</f>
        <v>0</v>
      </c>
      <c r="P135" s="9">
        <f>IFERROR(SUM(
IF('TL01'!$B$3=P$3,SUMIF('TL01'!$C$10:$C$224,$C135,'TL01'!$J$10:$J$224),0),
IF('TL01'!$B$229=P$3,SUMIF('TL01'!$C$238:$C$451,$C135,'TL01'!$J$238:$J$451),0),
IF('TL02'!$B$3=P$3,SUMIF('TL02'!$C$10:$C$224,$C135,'TL02'!$J$10:$J$224),0),
IF('TL02'!$B$229=P$3,SUMIF('TL02'!$C$238:$C$451,$C135,'TL02'!$J$238:$J$451),0),
IF('TL03'!$B$3=P$3,SUMIF('TL03'!$C$10:$C$224,$C135,'TL03'!$J$10:$J$224),0),
IF('TL03'!$B$229=P$3,SUMIF('TL03'!$C$238:$C$451,$C135,'TL03'!$J$238:$J$451),0),
IF('TL04'!$B$3=P$3,SUMIF('TL04'!$C$10:$C$224,$C135,'TL04'!$J$10:$J$224),0),
IF('TL04'!$B$229=P$3,SUMIF('TL04'!$C$238:$C$451,$C135,'TL04'!$J$238:$J$451),0),
IF('TL05'!$B$3=P$3,SUMIF('TL05'!$C$10:$C$224,$C135,'TL05'!$J$10:$J$224),0),
IF('TL05'!$B$229=P$3,SUMIF('TL05'!$C$238:$C$451,$C135,'TL05'!$J$238:$J$451),0),
IF('TL06'!$B$3=P$3,SUMIF('TL06'!$C$10:$C$224,$C135,'TL06'!$J$10:$J$224),0),
IF('TL06'!$B$229=P$3,SUMIF('TL06'!$C$238:$C$451,$C135,'TL06'!$J$238:$J$451),0),
IF('TL07'!$B$3=P$3,SUMIF('TL07'!$C$10:$C$224,$C135,'TL07'!$J$10:$J$224),0),
IF('TL07'!$B$229=P$3,SUMIF('TL07'!$C$238:$C$451,$C135,'TL07'!$J$238:$J$451),0),
IF('TL08'!$B$3=P$3,SUMIF('TL08'!$C$10:$C$224,$C135,'TL08'!$J$10:$J$224),0),
IF('TL08'!$B$229=P$3,SUMIF('TL08'!$C$238:$C$451,$C135,'TL08'!$J$238:$J$451),0),
IF('TL09'!$B$3=P$3,SUMIF('TL09'!$C$10:$C$224,$C135,'TL09'!$J$10:$J$224),0),
IF('TL09'!$B$229=P$3,SUMIF('TL09'!$C$238:$C$451,$C135,'TL09'!$J$238:$J$451),0),
IF('TL10'!$B$3=P$3,SUMIF('TL10'!$C$10:$C$224,$C135,'TL10'!$J$10:$J$224),0),
IF('TL10'!$B$229=P$3,SUMIF('TL10'!$C$238:$C$451,$C135,'TL10'!$J$238:$J$451),0),
IF('TL11'!$B$3=P$3,SUMIF('TL11'!$C$10:$C$224,$C135,'TL11'!$J$10:$J$224),0),
IF('TL11'!$B$229=P$3,SUMIF('TL11'!$C$238:$C$451,$C135,'TL11'!$J$238:$J$451),0),
IF('TL12'!$B$3=P$3,SUMIF('TL12'!$C$10:$C$224,$C135,'TL12'!$J$10:$J$224),0),
IF('TL12'!$B$229=P$3,SUMIF('TL12'!$C$238:$C$451,$C135,'TL12'!$J$238:$J$451),0),
IF('TL13'!$B$3=P$3,SUMIF('TL13'!$C$10:$C$224,$C135,'TL13'!$J$10:$J$224),0),
IF('TL13'!$B$229=P$3,SUMIF('TL13'!$C$238:$C$451,$C135,'TL13'!$J$238:$J$451),0),
IF('TL14'!$B$3=P$3,SUMIF('TL14'!$C$10:$C$224,$C135,'TL14'!$J$10:$J$224),0),
IF('TL14'!$B$229=P$3,SUMIF('TL14'!$C$238:$C$451,$C135,'TL14'!$J$238:$J$451),0),
IF('TL15'!$B$3=P$3,SUMIF('TL15'!$C$10:$C$224,$C135,'TL15'!$J$10:$J$224),0),
IF('TL15'!$B$229=P$3,SUMIF('TL15'!$C$238:$C$451,$C135,'TL15'!$J$238:$J$451),0),
IF('TL16'!$B$3=P$3,SUMIF('TL16'!$C$10:$C$224,$C135,'TL16'!$J$10:$J$224),0),
IF('TL16'!$B$229=P$3,SUMIF('TL16'!$C$238:$C$451,$C135,'TL16'!$J$238:$J$451),0),
IF('TL17'!$B$3=P$3,SUMIF('TL17'!$C$10:$C$224,$C135,'TL17'!$J$10:$J$224),0),
IF('TL17'!$B$229=P$3,SUMIF('TL17'!$C$238:$C$451,$C135,'TL17'!$J$238:$J$451),0),
IF('TL18'!$B$3=P$3,SUMIF('TL18'!$C$10:$C$224,$C135,'TL18'!$J$10:$J$224),0),
IF('TL18'!$B$229=P$3,SUMIF('TL18'!$C$238:$C$451,$C135,'TL18'!$J$238:$J$451),0),
IF('TL19'!$B$3=P$3,SUMIF('TL19'!$C$10:$C$224,$C135,'TL19'!$J$10:$J$224),0),
IF('TL19'!$B$229=P$3,SUMIF('TL19'!$C$238:$C$451,$C135,'TL19'!$J$238:$J$451),0)
),0)</f>
        <v>0</v>
      </c>
      <c r="Q135" s="9">
        <f>IFERROR(SUM(
IF('TL01'!$B$3=Q$3,SUMIF('TL01'!$C$10:$C$224,$C135,'TL01'!$J$10:$J$224),0),
IF('TL01'!$B$229=Q$3,SUMIF('TL01'!$C$238:$C$451,$C135,'TL01'!$J$238:$J$451),0),
IF('TL02'!$B$3=Q$3,SUMIF('TL02'!$C$10:$C$224,$C135,'TL02'!$J$10:$J$224),0),
IF('TL02'!$B$229=Q$3,SUMIF('TL02'!$C$238:$C$451,$C135,'TL02'!$J$238:$J$451),0),
IF('TL03'!$B$3=Q$3,SUMIF('TL03'!$C$10:$C$224,$C135,'TL03'!$J$10:$J$224),0),
IF('TL03'!$B$229=Q$3,SUMIF('TL03'!$C$238:$C$451,$C135,'TL03'!$J$238:$J$451),0),
IF('TL04'!$B$3=Q$3,SUMIF('TL04'!$C$10:$C$224,$C135,'TL04'!$J$10:$J$224),0),
IF('TL04'!$B$229=Q$3,SUMIF('TL04'!$C$238:$C$451,$C135,'TL04'!$J$238:$J$451),0),
IF('TL05'!$B$3=Q$3,SUMIF('TL05'!$C$10:$C$224,$C135,'TL05'!$J$10:$J$224),0),
IF('TL05'!$B$229=Q$3,SUMIF('TL05'!$C$238:$C$451,$C135,'TL05'!$J$238:$J$451),0),
IF('TL06'!$B$3=Q$3,SUMIF('TL06'!$C$10:$C$224,$C135,'TL06'!$J$10:$J$224),0),
IF('TL06'!$B$229=Q$3,SUMIF('TL06'!$C$238:$C$451,$C135,'TL06'!$J$238:$J$451),0),
IF('TL07'!$B$3=Q$3,SUMIF('TL07'!$C$10:$C$224,$C135,'TL07'!$J$10:$J$224),0),
IF('TL07'!$B$229=Q$3,SUMIF('TL07'!$C$238:$C$451,$C135,'TL07'!$J$238:$J$451),0),
IF('TL08'!$B$3=Q$3,SUMIF('TL08'!$C$10:$C$224,$C135,'TL08'!$J$10:$J$224),0),
IF('TL08'!$B$229=Q$3,SUMIF('TL08'!$C$238:$C$451,$C135,'TL08'!$J$238:$J$451),0),
IF('TL09'!$B$3=Q$3,SUMIF('TL09'!$C$10:$C$224,$C135,'TL09'!$J$10:$J$224),0),
IF('TL09'!$B$229=Q$3,SUMIF('TL09'!$C$238:$C$451,$C135,'TL09'!$J$238:$J$451),0),
IF('TL10'!$B$3=Q$3,SUMIF('TL10'!$C$10:$C$224,$C135,'TL10'!$J$10:$J$224),0),
IF('TL10'!$B$229=Q$3,SUMIF('TL10'!$C$238:$C$451,$C135,'TL10'!$J$238:$J$451),0),
IF('TL11'!$B$3=Q$3,SUMIF('TL11'!$C$10:$C$224,$C135,'TL11'!$J$10:$J$224),0),
IF('TL11'!$B$229=Q$3,SUMIF('TL11'!$C$238:$C$451,$C135,'TL11'!$J$238:$J$451),0),
IF('TL12'!$B$3=Q$3,SUMIF('TL12'!$C$10:$C$224,$C135,'TL12'!$J$10:$J$224),0),
IF('TL12'!$B$229=Q$3,SUMIF('TL12'!$C$238:$C$451,$C135,'TL12'!$J$238:$J$451),0),
IF('TL13'!$B$3=Q$3,SUMIF('TL13'!$C$10:$C$224,$C135,'TL13'!$J$10:$J$224),0),
IF('TL13'!$B$229=Q$3,SUMIF('TL13'!$C$238:$C$451,$C135,'TL13'!$J$238:$J$451),0),
IF('TL14'!$B$3=Q$3,SUMIF('TL14'!$C$10:$C$224,$C135,'TL14'!$J$10:$J$224),0),
IF('TL14'!$B$229=Q$3,SUMIF('TL14'!$C$238:$C$451,$C135,'TL14'!$J$238:$J$451),0),
IF('TL15'!$B$3=Q$3,SUMIF('TL15'!$C$10:$C$224,$C135,'TL15'!$J$10:$J$224),0),
IF('TL15'!$B$229=Q$3,SUMIF('TL15'!$C$238:$C$451,$C135,'TL15'!$J$238:$J$451),0),
IF('TL16'!$B$3=Q$3,SUMIF('TL16'!$C$10:$C$224,$C135,'TL16'!$J$10:$J$224),0),
IF('TL16'!$B$229=Q$3,SUMIF('TL16'!$C$238:$C$451,$C135,'TL16'!$J$238:$J$451),0),
IF('TL17'!$B$3=Q$3,SUMIF('TL17'!$C$10:$C$224,$C135,'TL17'!$J$10:$J$224),0),
IF('TL17'!$B$229=Q$3,SUMIF('TL17'!$C$238:$C$451,$C135,'TL17'!$J$238:$J$451),0),
IF('TL18'!$B$3=Q$3,SUMIF('TL18'!$C$10:$C$224,$C135,'TL18'!$J$10:$J$224),0),
IF('TL18'!$B$229=Q$3,SUMIF('TL18'!$C$238:$C$451,$C135,'TL18'!$J$238:$J$451),0),
IF('TL19'!$B$3=Q$3,SUMIF('TL19'!$C$10:$C$224,$C135,'TL19'!$J$10:$J$224),0),
IF('TL19'!$B$229=Q$3,SUMIF('TL19'!$C$238:$C$451,$C135,'TL19'!$J$238:$J$451),0)
),0)</f>
        <v>0</v>
      </c>
      <c r="R135" s="9">
        <f>IFERROR(
SUM(
SUMIF('TL01'!C:C,C135,'TL01'!J:J),
SUMIF('TL02'!C:C,C135,'TL02'!J:J),
SUMIF('TL03'!C:C,C135,'TL03'!J:J),
SUMIF('TL04'!C:C,C135,'TL04'!J:J),
SUMIF('TL05'!C:C,C135,'TL05'!J:J),
SUMIF('TL06'!C:C,C135,'TL06'!J:J),
SUMIF('TL07'!C:C,C135,'TL07'!J:J),
SUMIF('TL08'!C:C,C135,'TL08'!J:J),
SUMIF('TL09'!C:C,C135,'TL09'!J:J),
SUMIF('TL10'!C:C,C135,'TL10'!J:J),
SUMIF('TL11'!C:C,C135,'TL11'!J:J),
SUMIF('TL12'!C:C,C135,'TL12'!J:J),
SUMIF('TL13'!C:C,C135,'TL13'!J:J),
SUMIF('TL14'!C:C,C135,'TL14'!J:J),
SUMIF('TL15'!C:C,C135,'TL15'!J:J),
SUMIF('TL16'!C:C,C135,'TL16'!J:J),
SUMIF('TL17'!C:C,C135,'TL17'!J:J),
SUMIF('TL18'!C:C,C135,'TL18'!J:J),SUMIF('TL19'!C:C,C135,'TL19'!J:J))
,0)</f>
        <v>0</v>
      </c>
      <c r="S135" s="17">
        <f>IFERROR(__xludf.DUMMYFUNCTION("IFERROR(VLOOKUP(C135,
IMPORTRANGE(""1wULbzX32WdYsx-lj2U3uUNBBe2INVIRDtcK0d-Dvl90"",
""26-27!C:G""),
5,
FALSE),
"""")"),164.12066)</f>
        <v>164.12066</v>
      </c>
      <c r="T135" s="9"/>
      <c r="U135" s="92">
        <f t="shared" si="2"/>
        <v>0</v>
      </c>
      <c r="V135" s="93">
        <f t="shared" si="3"/>
        <v>0</v>
      </c>
    </row>
    <row r="136" ht="15.75" hidden="1" customHeight="1">
      <c r="A136" s="115" t="s">
        <v>679</v>
      </c>
      <c r="B136" s="100" t="s">
        <v>1</v>
      </c>
      <c r="C136" s="116" t="s">
        <v>680</v>
      </c>
      <c r="D136" s="116" t="s">
        <v>681</v>
      </c>
      <c r="E136" s="116">
        <v>200.0</v>
      </c>
      <c r="F136" s="4" t="s">
        <v>343</v>
      </c>
      <c r="G136" s="90" t="str">
        <f t="shared" si="4"/>
        <v>📄 Ver bula</v>
      </c>
      <c r="H136" s="9" t="str">
        <f>IFERROR(__xludf.DUMMYFUNCTION("IFERROR(VLOOKUP(C136,
IMPORTRANGE(""1wULbzX32WdYsx-lj2U3uUNBBe2INVIRDtcK0d-Dvl90"",
""26-27!C:K""),
8,
FALSE),
"""")"),"")</f>
        <v/>
      </c>
      <c r="I136" s="117" t="s">
        <v>344</v>
      </c>
      <c r="J136" s="9">
        <f>IFERROR(SUM(
IF('TL01'!$B$3=J$3,SUMIF('TL01'!$C$10:$C$224,$C136,'TL01'!$J$10:$J$224),0),
IF('TL01'!$B$229=J$3,SUMIF('TL01'!$C$238:$C$451,$C136,'TL01'!$J$238:$J$451),0),
IF('TL02'!$B$3=J$3,SUMIF('TL02'!$C$10:$C$224,$C136,'TL02'!$J$10:$J$224),0),
IF('TL02'!$B$229=J$3,SUMIF('TL02'!$C$238:$C$451,$C136,'TL02'!$J$238:$J$451),0),
IF('TL03'!$B$3=J$3,SUMIF('TL03'!$C$10:$C$224,$C136,'TL03'!$J$10:$J$224),0),
IF('TL03'!$B$229=J$3,SUMIF('TL03'!$C$238:$C$451,$C136,'TL03'!$J$238:$J$451),0),
IF('TL04'!$B$3=J$3,SUMIF('TL04'!$C$10:$C$224,$C136,'TL04'!$J$10:$J$224),0),
IF('TL04'!$B$229=J$3,SUMIF('TL04'!$C$238:$C$451,$C136,'TL04'!$J$238:$J$451),0),
IF('TL05'!$B$3=J$3,SUMIF('TL05'!$C$10:$C$224,$C136,'TL05'!$J$10:$J$224),0),
IF('TL05'!$B$229=J$3,SUMIF('TL05'!$C$238:$C$451,$C136,'TL05'!$J$238:$J$451),0),
IF('TL06'!$B$3=J$3,SUMIF('TL06'!$C$10:$C$224,$C136,'TL06'!$J$10:$J$224),0),
IF('TL06'!$B$229=J$3,SUMIF('TL06'!$C$238:$C$451,$C136,'TL06'!$J$238:$J$451),0),
IF('TL07'!$B$3=J$3,SUMIF('TL07'!$C$10:$C$224,$C136,'TL07'!$J$10:$J$224),0),
IF('TL07'!$B$229=J$3,SUMIF('TL07'!$C$238:$C$451,$C136,'TL07'!$J$238:$J$451),0),
IF('TL08'!$B$3=J$3,SUMIF('TL08'!$C$10:$C$224,$C136,'TL08'!$J$10:$J$224),0),
IF('TL08'!$B$229=J$3,SUMIF('TL08'!$C$238:$C$451,$C136,'TL08'!$J$238:$J$451),0),
IF('TL09'!$B$3=J$3,SUMIF('TL09'!$C$10:$C$224,$C136,'TL09'!$J$10:$J$224),0),
IF('TL09'!$B$229=J$3,SUMIF('TL09'!$C$238:$C$451,$C136,'TL09'!$J$238:$J$451),0),
IF('TL10'!$B$3=J$3,SUMIF('TL10'!$C$10:$C$224,$C136,'TL10'!$J$10:$J$224),0),
IF('TL10'!$B$229=J$3,SUMIF('TL10'!$C$238:$C$451,$C136,'TL10'!$J$238:$J$451),0),
IF('TL11'!$B$3=J$3,SUMIF('TL11'!$C$10:$C$224,$C136,'TL11'!$J$10:$J$224),0),
IF('TL11'!$B$229=J$3,SUMIF('TL11'!$C$238:$C$451,$C136,'TL11'!$J$238:$J$451),0),
IF('TL12'!$B$3=J$3,SUMIF('TL12'!$C$10:$C$224,$C136,'TL12'!$J$10:$J$224),0),
IF('TL12'!$B$229=J$3,SUMIF('TL12'!$C$238:$C$451,$C136,'TL12'!$J$238:$J$451),0),
IF('TL13'!$B$3=J$3,SUMIF('TL13'!$C$10:$C$224,$C136,'TL13'!$J$10:$J$224),0),
IF('TL13'!$B$229=J$3,SUMIF('TL13'!$C$238:$C$451,$C136,'TL13'!$J$238:$J$451),0),
IF('TL14'!$B$3=J$3,SUMIF('TL14'!$C$10:$C$224,$C136,'TL14'!$J$10:$J$224),0),
IF('TL14'!$B$229=J$3,SUMIF('TL14'!$C$238:$C$451,$C136,'TL14'!$J$238:$J$451),0),
IF('TL15'!$B$3=J$3,SUMIF('TL15'!$C$10:$C$224,$C136,'TL15'!$J$10:$J$224),0),
IF('TL15'!$B$229=J$3,SUMIF('TL15'!$C$238:$C$451,$C136,'TL15'!$J$238:$J$451),0),
IF('TL16'!$B$3=J$3,SUMIF('TL16'!$C$10:$C$224,$C136,'TL16'!$J$10:$J$224),0),
IF('TL16'!$B$229=J$3,SUMIF('TL16'!$C$238:$C$451,$C136,'TL16'!$J$238:$J$451),0),
IF('TL17'!$B$3=J$3,SUMIF('TL17'!$C$10:$C$224,$C136,'TL17'!$J$10:$J$224),0),
IF('TL17'!$B$229=J$3,SUMIF('TL17'!$C$238:$C$451,$C136,'TL17'!$J$238:$J$451),0),
IF('TL18'!$B$3=J$3,SUMIF('TL18'!$C$10:$C$224,$C136,'TL18'!$J$10:$J$224),0),
IF('TL18'!$B$229=J$3,SUMIF('TL18'!$C$238:$C$451,$C136,'TL18'!$J$238:$J$451),0),
IF('TL19'!$B$3=J$3,SUMIF('TL19'!$C$10:$C$224,$C136,'TL19'!$J$10:$J$224),0),
IF('TL19'!$B$229=J$3,SUMIF('TL19'!$C$238:$C$451,$C136,'TL19'!$J$238:$J$451),0)
),0)</f>
        <v>0</v>
      </c>
      <c r="K136" s="9">
        <f>IFERROR(SUM(
IF('TL01'!$B$3=K$3,SUMIF('TL01'!$C$10:$C$224,$C136,'TL01'!$J$10:$J$224),0),
IF('TL01'!$B$229=K$3,SUMIF('TL01'!$C$238:$C$451,$C136,'TL01'!$J$238:$J$451),0),
IF('TL02'!$B$3=K$3,SUMIF('TL02'!$C$10:$C$224,$C136,'TL02'!$J$10:$J$224),0),
IF('TL02'!$B$229=K$3,SUMIF('TL02'!$C$238:$C$451,$C136,'TL02'!$J$238:$J$451),0),
IF('TL03'!$B$3=K$3,SUMIF('TL03'!$C$10:$C$224,$C136,'TL03'!$J$10:$J$224),0),
IF('TL03'!$B$229=K$3,SUMIF('TL03'!$C$238:$C$451,$C136,'TL03'!$J$238:$J$451),0),
IF('TL04'!$B$3=K$3,SUMIF('TL04'!$C$10:$C$224,$C136,'TL04'!$J$10:$J$224),0),
IF('TL04'!$B$229=K$3,SUMIF('TL04'!$C$238:$C$451,$C136,'TL04'!$J$238:$J$451),0),
IF('TL05'!$B$3=K$3,SUMIF('TL05'!$C$10:$C$224,$C136,'TL05'!$J$10:$J$224),0),
IF('TL05'!$B$229=K$3,SUMIF('TL05'!$C$238:$C$451,$C136,'TL05'!$J$238:$J$451),0),
IF('TL06'!$B$3=K$3,SUMIF('TL06'!$C$10:$C$224,$C136,'TL06'!$J$10:$J$224),0),
IF('TL06'!$B$229=K$3,SUMIF('TL06'!$C$238:$C$451,$C136,'TL06'!$J$238:$J$451),0),
IF('TL07'!$B$3=K$3,SUMIF('TL07'!$C$10:$C$224,$C136,'TL07'!$J$10:$J$224),0),
IF('TL07'!$B$229=K$3,SUMIF('TL07'!$C$238:$C$451,$C136,'TL07'!$J$238:$J$451),0),
IF('TL08'!$B$3=K$3,SUMIF('TL08'!$C$10:$C$224,$C136,'TL08'!$J$10:$J$224),0),
IF('TL08'!$B$229=K$3,SUMIF('TL08'!$C$238:$C$451,$C136,'TL08'!$J$238:$J$451),0),
IF('TL09'!$B$3=K$3,SUMIF('TL09'!$C$10:$C$224,$C136,'TL09'!$J$10:$J$224),0),
IF('TL09'!$B$229=K$3,SUMIF('TL09'!$C$238:$C$451,$C136,'TL09'!$J$238:$J$451),0),
IF('TL10'!$B$3=K$3,SUMIF('TL10'!$C$10:$C$224,$C136,'TL10'!$J$10:$J$224),0),
IF('TL10'!$B$229=K$3,SUMIF('TL10'!$C$238:$C$451,$C136,'TL10'!$J$238:$J$451),0),
IF('TL11'!$B$3=K$3,SUMIF('TL11'!$C$10:$C$224,$C136,'TL11'!$J$10:$J$224),0),
IF('TL11'!$B$229=K$3,SUMIF('TL11'!$C$238:$C$451,$C136,'TL11'!$J$238:$J$451),0),
IF('TL12'!$B$3=K$3,SUMIF('TL12'!$C$10:$C$224,$C136,'TL12'!$J$10:$J$224),0),
IF('TL12'!$B$229=K$3,SUMIF('TL12'!$C$238:$C$451,$C136,'TL12'!$J$238:$J$451),0),
IF('TL13'!$B$3=K$3,SUMIF('TL13'!$C$10:$C$224,$C136,'TL13'!$J$10:$J$224),0),
IF('TL13'!$B$229=K$3,SUMIF('TL13'!$C$238:$C$451,$C136,'TL13'!$J$238:$J$451),0),
IF('TL14'!$B$3=K$3,SUMIF('TL14'!$C$10:$C$224,$C136,'TL14'!$J$10:$J$224),0),
IF('TL14'!$B$229=K$3,SUMIF('TL14'!$C$238:$C$451,$C136,'TL14'!$J$238:$J$451),0),
IF('TL15'!$B$3=K$3,SUMIF('TL15'!$C$10:$C$224,$C136,'TL15'!$J$10:$J$224),0),
IF('TL15'!$B$229=K$3,SUMIF('TL15'!$C$238:$C$451,$C136,'TL15'!$J$238:$J$451),0),
IF('TL16'!$B$3=K$3,SUMIF('TL16'!$C$10:$C$224,$C136,'TL16'!$J$10:$J$224),0),
IF('TL16'!$B$229=K$3,SUMIF('TL16'!$C$238:$C$451,$C136,'TL16'!$J$238:$J$451),0),
IF('TL17'!$B$3=K$3,SUMIF('TL17'!$C$10:$C$224,$C136,'TL17'!$J$10:$J$224),0),
IF('TL17'!$B$229=K$3,SUMIF('TL17'!$C$238:$C$451,$C136,'TL17'!$J$238:$J$451),0),
IF('TL18'!$B$3=K$3,SUMIF('TL18'!$C$10:$C$224,$C136,'TL18'!$J$10:$J$224),0),
IF('TL18'!$B$229=K$3,SUMIF('TL18'!$C$238:$C$451,$C136,'TL18'!$J$238:$J$451),0),
IF('TL19'!$B$3=K$3,SUMIF('TL19'!$C$10:$C$224,$C136,'TL19'!$J$10:$J$224),0),
IF('TL19'!$B$229=K$3,SUMIF('TL19'!$C$238:$C$451,$C136,'TL19'!$J$238:$J$451),0)
),0)</f>
        <v>0</v>
      </c>
      <c r="L136" s="9">
        <f>IFERROR(SUM(
IF('TL01'!$B$3=L$3,SUMIF('TL01'!$C$10:$C$224,$C136,'TL01'!$J$10:$J$224),0),
IF('TL01'!$B$229=L$3,SUMIF('TL01'!$C$238:$C$451,$C136,'TL01'!$J$238:$J$451),0),
IF('TL02'!$B$3=L$3,SUMIF('TL02'!$C$10:$C$224,$C136,'TL02'!$J$10:$J$224),0),
IF('TL02'!$B$229=L$3,SUMIF('TL02'!$C$238:$C$451,$C136,'TL02'!$J$238:$J$451),0),
IF('TL03'!$B$3=L$3,SUMIF('TL03'!$C$10:$C$224,$C136,'TL03'!$J$10:$J$224),0),
IF('TL03'!$B$229=L$3,SUMIF('TL03'!$C$238:$C$451,$C136,'TL03'!$J$238:$J$451),0),
IF('TL04'!$B$3=L$3,SUMIF('TL04'!$C$10:$C$224,$C136,'TL04'!$J$10:$J$224),0),
IF('TL04'!$B$229=L$3,SUMIF('TL04'!$C$238:$C$451,$C136,'TL04'!$J$238:$J$451),0),
IF('TL05'!$B$3=L$3,SUMIF('TL05'!$C$10:$C$224,$C136,'TL05'!$J$10:$J$224),0),
IF('TL05'!$B$229=L$3,SUMIF('TL05'!$C$238:$C$451,$C136,'TL05'!$J$238:$J$451),0),
IF('TL06'!$B$3=L$3,SUMIF('TL06'!$C$10:$C$224,$C136,'TL06'!$J$10:$J$224),0),
IF('TL06'!$B$229=L$3,SUMIF('TL06'!$C$238:$C$451,$C136,'TL06'!$J$238:$J$451),0),
IF('TL07'!$B$3=L$3,SUMIF('TL07'!$C$10:$C$224,$C136,'TL07'!$J$10:$J$224),0),
IF('TL07'!$B$229=L$3,SUMIF('TL07'!$C$238:$C$451,$C136,'TL07'!$J$238:$J$451),0),
IF('TL08'!$B$3=L$3,SUMIF('TL08'!$C$10:$C$224,$C136,'TL08'!$J$10:$J$224),0),
IF('TL08'!$B$229=L$3,SUMIF('TL08'!$C$238:$C$451,$C136,'TL08'!$J$238:$J$451),0),
IF('TL09'!$B$3=L$3,SUMIF('TL09'!$C$10:$C$224,$C136,'TL09'!$J$10:$J$224),0),
IF('TL09'!$B$229=L$3,SUMIF('TL09'!$C$238:$C$451,$C136,'TL09'!$J$238:$J$451),0),
IF('TL10'!$B$3=L$3,SUMIF('TL10'!$C$10:$C$224,$C136,'TL10'!$J$10:$J$224),0),
IF('TL10'!$B$229=L$3,SUMIF('TL10'!$C$238:$C$451,$C136,'TL10'!$J$238:$J$451),0),
IF('TL11'!$B$3=L$3,SUMIF('TL11'!$C$10:$C$224,$C136,'TL11'!$J$10:$J$224),0),
IF('TL11'!$B$229=L$3,SUMIF('TL11'!$C$238:$C$451,$C136,'TL11'!$J$238:$J$451),0),
IF('TL12'!$B$3=L$3,SUMIF('TL12'!$C$10:$C$224,$C136,'TL12'!$J$10:$J$224),0),
IF('TL12'!$B$229=L$3,SUMIF('TL12'!$C$238:$C$451,$C136,'TL12'!$J$238:$J$451),0),
IF('TL13'!$B$3=L$3,SUMIF('TL13'!$C$10:$C$224,$C136,'TL13'!$J$10:$J$224),0),
IF('TL13'!$B$229=L$3,SUMIF('TL13'!$C$238:$C$451,$C136,'TL13'!$J$238:$J$451),0),
IF('TL14'!$B$3=L$3,SUMIF('TL14'!$C$10:$C$224,$C136,'TL14'!$J$10:$J$224),0),
IF('TL14'!$B$229=L$3,SUMIF('TL14'!$C$238:$C$451,$C136,'TL14'!$J$238:$J$451),0),
IF('TL15'!$B$3=L$3,SUMIF('TL15'!$C$10:$C$224,$C136,'TL15'!$J$10:$J$224),0),
IF('TL15'!$B$229=L$3,SUMIF('TL15'!$C$238:$C$451,$C136,'TL15'!$J$238:$J$451),0),
IF('TL16'!$B$3=L$3,SUMIF('TL16'!$C$10:$C$224,$C136,'TL16'!$J$10:$J$224),0),
IF('TL16'!$B$229=L$3,SUMIF('TL16'!$C$238:$C$451,$C136,'TL16'!$J$238:$J$451),0),
IF('TL17'!$B$3=L$3,SUMIF('TL17'!$C$10:$C$224,$C136,'TL17'!$J$10:$J$224),0),
IF('TL17'!$B$229=L$3,SUMIF('TL17'!$C$238:$C$451,$C136,'TL17'!$J$238:$J$451),0),
IF('TL18'!$B$3=L$3,SUMIF('TL18'!$C$10:$C$224,$C136,'TL18'!$J$10:$J$224),0),
IF('TL18'!$B$229=L$3,SUMIF('TL18'!$C$238:$C$451,$C136,'TL18'!$J$238:$J$451),0),
IF('TL19'!$B$3=L$3,SUMIF('TL19'!$C$10:$C$224,$C136,'TL19'!$J$10:$J$224),0),
IF('TL19'!$B$229=L$3,SUMIF('TL19'!$C$238:$C$451,$C136,'TL19'!$J$238:$J$451),0)
),0)</f>
        <v>0</v>
      </c>
      <c r="M136" s="9">
        <f>IFERROR(SUM(
IF('TL01'!$B$3=M$3,SUMIF('TL01'!$C$10:$C$224,$C136,'TL01'!$J$10:$J$224),0),
IF('TL01'!$B$229=M$3,SUMIF('TL01'!$C$238:$C$451,$C136,'TL01'!$J$238:$J$451),0),
IF('TL02'!$B$3=M$3,SUMIF('TL02'!$C$10:$C$224,$C136,'TL02'!$J$10:$J$224),0),
IF('TL02'!$B$229=M$3,SUMIF('TL02'!$C$238:$C$451,$C136,'TL02'!$J$238:$J$451),0),
IF('TL03'!$B$3=M$3,SUMIF('TL03'!$C$10:$C$224,$C136,'TL03'!$J$10:$J$224),0),
IF('TL03'!$B$229=M$3,SUMIF('TL03'!$C$238:$C$451,$C136,'TL03'!$J$238:$J$451),0),
IF('TL04'!$B$3=M$3,SUMIF('TL04'!$C$10:$C$224,$C136,'TL04'!$J$10:$J$224),0),
IF('TL04'!$B$229=M$3,SUMIF('TL04'!$C$238:$C$451,$C136,'TL04'!$J$238:$J$451),0),
IF('TL05'!$B$3=M$3,SUMIF('TL05'!$C$10:$C$224,$C136,'TL05'!$J$10:$J$224),0),
IF('TL05'!$B$229=M$3,SUMIF('TL05'!$C$238:$C$451,$C136,'TL05'!$J$238:$J$451),0),
IF('TL06'!$B$3=M$3,SUMIF('TL06'!$C$10:$C$224,$C136,'TL06'!$J$10:$J$224),0),
IF('TL06'!$B$229=M$3,SUMIF('TL06'!$C$238:$C$451,$C136,'TL06'!$J$238:$J$451),0),
IF('TL07'!$B$3=M$3,SUMIF('TL07'!$C$10:$C$224,$C136,'TL07'!$J$10:$J$224),0),
IF('TL07'!$B$229=M$3,SUMIF('TL07'!$C$238:$C$451,$C136,'TL07'!$J$238:$J$451),0),
IF('TL08'!$B$3=M$3,SUMIF('TL08'!$C$10:$C$224,$C136,'TL08'!$J$10:$J$224),0),
IF('TL08'!$B$229=M$3,SUMIF('TL08'!$C$238:$C$451,$C136,'TL08'!$J$238:$J$451),0),
IF('TL09'!$B$3=M$3,SUMIF('TL09'!$C$10:$C$224,$C136,'TL09'!$J$10:$J$224),0),
IF('TL09'!$B$229=M$3,SUMIF('TL09'!$C$238:$C$451,$C136,'TL09'!$J$238:$J$451),0),
IF('TL10'!$B$3=M$3,SUMIF('TL10'!$C$10:$C$224,$C136,'TL10'!$J$10:$J$224),0),
IF('TL10'!$B$229=M$3,SUMIF('TL10'!$C$238:$C$451,$C136,'TL10'!$J$238:$J$451),0),
IF('TL11'!$B$3=M$3,SUMIF('TL11'!$C$10:$C$224,$C136,'TL11'!$J$10:$J$224),0),
IF('TL11'!$B$229=M$3,SUMIF('TL11'!$C$238:$C$451,$C136,'TL11'!$J$238:$J$451),0),
IF('TL12'!$B$3=M$3,SUMIF('TL12'!$C$10:$C$224,$C136,'TL12'!$J$10:$J$224),0),
IF('TL12'!$B$229=M$3,SUMIF('TL12'!$C$238:$C$451,$C136,'TL12'!$J$238:$J$451),0),
IF('TL13'!$B$3=M$3,SUMIF('TL13'!$C$10:$C$224,$C136,'TL13'!$J$10:$J$224),0),
IF('TL13'!$B$229=M$3,SUMIF('TL13'!$C$238:$C$451,$C136,'TL13'!$J$238:$J$451),0),
IF('TL14'!$B$3=M$3,SUMIF('TL14'!$C$10:$C$224,$C136,'TL14'!$J$10:$J$224),0),
IF('TL14'!$B$229=M$3,SUMIF('TL14'!$C$238:$C$451,$C136,'TL14'!$J$238:$J$451),0),
IF('TL15'!$B$3=M$3,SUMIF('TL15'!$C$10:$C$224,$C136,'TL15'!$J$10:$J$224),0),
IF('TL15'!$B$229=M$3,SUMIF('TL15'!$C$238:$C$451,$C136,'TL15'!$J$238:$J$451),0),
IF('TL16'!$B$3=M$3,SUMIF('TL16'!$C$10:$C$224,$C136,'TL16'!$J$10:$J$224),0),
IF('TL16'!$B$229=M$3,SUMIF('TL16'!$C$238:$C$451,$C136,'TL16'!$J$238:$J$451),0),
IF('TL17'!$B$3=M$3,SUMIF('TL17'!$C$10:$C$224,$C136,'TL17'!$J$10:$J$224),0),
IF('TL17'!$B$229=M$3,SUMIF('TL17'!$C$238:$C$451,$C136,'TL17'!$J$238:$J$451),0),
IF('TL18'!$B$3=M$3,SUMIF('TL18'!$C$10:$C$224,$C136,'TL18'!$J$10:$J$224),0),
IF('TL18'!$B$229=M$3,SUMIF('TL18'!$C$238:$C$451,$C136,'TL18'!$J$238:$J$451),0),
IF('TL19'!$B$3=M$3,SUMIF('TL19'!$C$10:$C$224,$C136,'TL19'!$J$10:$J$224),0),
IF('TL19'!$B$229=M$3,SUMIF('TL19'!$C$238:$C$451,$C136,'TL19'!$J$238:$J$451),0)
),0)</f>
        <v>0</v>
      </c>
      <c r="N136" s="9">
        <f>IFERROR(SUM(
IF('TL01'!$B$3=N$3,SUMIF('TL01'!$C$10:$C$224,$C136,'TL01'!$J$10:$J$224),0),
IF('TL01'!$B$229=N$3,SUMIF('TL01'!$C$238:$C$451,$C136,'TL01'!$J$238:$J$451),0),
IF('TL02'!$B$3=N$3,SUMIF('TL02'!$C$10:$C$224,$C136,'TL02'!$J$10:$J$224),0),
IF('TL02'!$B$229=N$3,SUMIF('TL02'!$C$238:$C$451,$C136,'TL02'!$J$238:$J$451),0),
IF('TL03'!$B$3=N$3,SUMIF('TL03'!$C$10:$C$224,$C136,'TL03'!$J$10:$J$224),0),
IF('TL03'!$B$229=N$3,SUMIF('TL03'!$C$238:$C$451,$C136,'TL03'!$J$238:$J$451),0),
IF('TL04'!$B$3=N$3,SUMIF('TL04'!$C$10:$C$224,$C136,'TL04'!$J$10:$J$224),0),
IF('TL04'!$B$229=N$3,SUMIF('TL04'!$C$238:$C$451,$C136,'TL04'!$J$238:$J$451),0),
IF('TL05'!$B$3=N$3,SUMIF('TL05'!$C$10:$C$224,$C136,'TL05'!$J$10:$J$224),0),
IF('TL05'!$B$229=N$3,SUMIF('TL05'!$C$238:$C$451,$C136,'TL05'!$J$238:$J$451),0),
IF('TL06'!$B$3=N$3,SUMIF('TL06'!$C$10:$C$224,$C136,'TL06'!$J$10:$J$224),0),
IF('TL06'!$B$229=N$3,SUMIF('TL06'!$C$238:$C$451,$C136,'TL06'!$J$238:$J$451),0),
IF('TL07'!$B$3=N$3,SUMIF('TL07'!$C$10:$C$224,$C136,'TL07'!$J$10:$J$224),0),
IF('TL07'!$B$229=N$3,SUMIF('TL07'!$C$238:$C$451,$C136,'TL07'!$J$238:$J$451),0),
IF('TL08'!$B$3=N$3,SUMIF('TL08'!$C$10:$C$224,$C136,'TL08'!$J$10:$J$224),0),
IF('TL08'!$B$229=N$3,SUMIF('TL08'!$C$238:$C$451,$C136,'TL08'!$J$238:$J$451),0),
IF('TL09'!$B$3=N$3,SUMIF('TL09'!$C$10:$C$224,$C136,'TL09'!$J$10:$J$224),0),
IF('TL09'!$B$229=N$3,SUMIF('TL09'!$C$238:$C$451,$C136,'TL09'!$J$238:$J$451),0),
IF('TL10'!$B$3=N$3,SUMIF('TL10'!$C$10:$C$224,$C136,'TL10'!$J$10:$J$224),0),
IF('TL10'!$B$229=N$3,SUMIF('TL10'!$C$238:$C$451,$C136,'TL10'!$J$238:$J$451),0),
IF('TL11'!$B$3=N$3,SUMIF('TL11'!$C$10:$C$224,$C136,'TL11'!$J$10:$J$224),0),
IF('TL11'!$B$229=N$3,SUMIF('TL11'!$C$238:$C$451,$C136,'TL11'!$J$238:$J$451),0),
IF('TL12'!$B$3=N$3,SUMIF('TL12'!$C$10:$C$224,$C136,'TL12'!$J$10:$J$224),0),
IF('TL12'!$B$229=N$3,SUMIF('TL12'!$C$238:$C$451,$C136,'TL12'!$J$238:$J$451),0),
IF('TL13'!$B$3=N$3,SUMIF('TL13'!$C$10:$C$224,$C136,'TL13'!$J$10:$J$224),0),
IF('TL13'!$B$229=N$3,SUMIF('TL13'!$C$238:$C$451,$C136,'TL13'!$J$238:$J$451),0),
IF('TL14'!$B$3=N$3,SUMIF('TL14'!$C$10:$C$224,$C136,'TL14'!$J$10:$J$224),0),
IF('TL14'!$B$229=N$3,SUMIF('TL14'!$C$238:$C$451,$C136,'TL14'!$J$238:$J$451),0),
IF('TL15'!$B$3=N$3,SUMIF('TL15'!$C$10:$C$224,$C136,'TL15'!$J$10:$J$224),0),
IF('TL15'!$B$229=N$3,SUMIF('TL15'!$C$238:$C$451,$C136,'TL15'!$J$238:$J$451),0),
IF('TL16'!$B$3=N$3,SUMIF('TL16'!$C$10:$C$224,$C136,'TL16'!$J$10:$J$224),0),
IF('TL16'!$B$229=N$3,SUMIF('TL16'!$C$238:$C$451,$C136,'TL16'!$J$238:$J$451),0),
IF('TL17'!$B$3=N$3,SUMIF('TL17'!$C$10:$C$224,$C136,'TL17'!$J$10:$J$224),0),
IF('TL17'!$B$229=N$3,SUMIF('TL17'!$C$238:$C$451,$C136,'TL17'!$J$238:$J$451),0),
IF('TL18'!$B$3=N$3,SUMIF('TL18'!$C$10:$C$224,$C136,'TL18'!$J$10:$J$224),0),
IF('TL18'!$B$229=N$3,SUMIF('TL18'!$C$238:$C$451,$C136,'TL18'!$J$238:$J$451),0),
IF('TL19'!$B$3=N$3,SUMIF('TL19'!$C$10:$C$224,$C136,'TL19'!$J$10:$J$224),0),
IF('TL19'!$B$229=N$3,SUMIF('TL19'!$C$238:$C$451,$C136,'TL19'!$J$238:$J$451),0)
),0)</f>
        <v>0</v>
      </c>
      <c r="O136" s="9">
        <f>IFERROR(SUM(
IF('TL01'!$B$3=O$3,SUMIF('TL01'!$C$10:$C$224,$C136,'TL01'!$J$10:$J$224),0),
IF('TL01'!$B$229=O$3,SUMIF('TL01'!$C$238:$C$451,$C136,'TL01'!$J$238:$J$451),0),
IF('TL02'!$B$3=O$3,SUMIF('TL02'!$C$10:$C$224,$C136,'TL02'!$J$10:$J$224),0),
IF('TL02'!$B$229=O$3,SUMIF('TL02'!$C$238:$C$451,$C136,'TL02'!$J$238:$J$451),0),
IF('TL03'!$B$3=O$3,SUMIF('TL03'!$C$10:$C$224,$C136,'TL03'!$J$10:$J$224),0),
IF('TL03'!$B$229=O$3,SUMIF('TL03'!$C$238:$C$451,$C136,'TL03'!$J$238:$J$451),0),
IF('TL04'!$B$3=O$3,SUMIF('TL04'!$C$10:$C$224,$C136,'TL04'!$J$10:$J$224),0),
IF('TL04'!$B$229=O$3,SUMIF('TL04'!$C$238:$C$451,$C136,'TL04'!$J$238:$J$451),0),
IF('TL05'!$B$3=O$3,SUMIF('TL05'!$C$10:$C$224,$C136,'TL05'!$J$10:$J$224),0),
IF('TL05'!$B$229=O$3,SUMIF('TL05'!$C$238:$C$451,$C136,'TL05'!$J$238:$J$451),0),
IF('TL06'!$B$3=O$3,SUMIF('TL06'!$C$10:$C$224,$C136,'TL06'!$J$10:$J$224),0),
IF('TL06'!$B$229=O$3,SUMIF('TL06'!$C$238:$C$451,$C136,'TL06'!$J$238:$J$451),0),
IF('TL07'!$B$3=O$3,SUMIF('TL07'!$C$10:$C$224,$C136,'TL07'!$J$10:$J$224),0),
IF('TL07'!$B$229=O$3,SUMIF('TL07'!$C$238:$C$451,$C136,'TL07'!$J$238:$J$451),0),
IF('TL08'!$B$3=O$3,SUMIF('TL08'!$C$10:$C$224,$C136,'TL08'!$J$10:$J$224),0),
IF('TL08'!$B$229=O$3,SUMIF('TL08'!$C$238:$C$451,$C136,'TL08'!$J$238:$J$451),0),
IF('TL09'!$B$3=O$3,SUMIF('TL09'!$C$10:$C$224,$C136,'TL09'!$J$10:$J$224),0),
IF('TL09'!$B$229=O$3,SUMIF('TL09'!$C$238:$C$451,$C136,'TL09'!$J$238:$J$451),0),
IF('TL10'!$B$3=O$3,SUMIF('TL10'!$C$10:$C$224,$C136,'TL10'!$J$10:$J$224),0),
IF('TL10'!$B$229=O$3,SUMIF('TL10'!$C$238:$C$451,$C136,'TL10'!$J$238:$J$451),0),
IF('TL11'!$B$3=O$3,SUMIF('TL11'!$C$10:$C$224,$C136,'TL11'!$J$10:$J$224),0),
IF('TL11'!$B$229=O$3,SUMIF('TL11'!$C$238:$C$451,$C136,'TL11'!$J$238:$J$451),0),
IF('TL12'!$B$3=O$3,SUMIF('TL12'!$C$10:$C$224,$C136,'TL12'!$J$10:$J$224),0),
IF('TL12'!$B$229=O$3,SUMIF('TL12'!$C$238:$C$451,$C136,'TL12'!$J$238:$J$451),0),
IF('TL13'!$B$3=O$3,SUMIF('TL13'!$C$10:$C$224,$C136,'TL13'!$J$10:$J$224),0),
IF('TL13'!$B$229=O$3,SUMIF('TL13'!$C$238:$C$451,$C136,'TL13'!$J$238:$J$451),0),
IF('TL14'!$B$3=O$3,SUMIF('TL14'!$C$10:$C$224,$C136,'TL14'!$J$10:$J$224),0),
IF('TL14'!$B$229=O$3,SUMIF('TL14'!$C$238:$C$451,$C136,'TL14'!$J$238:$J$451),0),
IF('TL15'!$B$3=O$3,SUMIF('TL15'!$C$10:$C$224,$C136,'TL15'!$J$10:$J$224),0),
IF('TL15'!$B$229=O$3,SUMIF('TL15'!$C$238:$C$451,$C136,'TL15'!$J$238:$J$451),0),
IF('TL16'!$B$3=O$3,SUMIF('TL16'!$C$10:$C$224,$C136,'TL16'!$J$10:$J$224),0),
IF('TL16'!$B$229=O$3,SUMIF('TL16'!$C$238:$C$451,$C136,'TL16'!$J$238:$J$451),0),
IF('TL17'!$B$3=O$3,SUMIF('TL17'!$C$10:$C$224,$C136,'TL17'!$J$10:$J$224),0),
IF('TL17'!$B$229=O$3,SUMIF('TL17'!$C$238:$C$451,$C136,'TL17'!$J$238:$J$451),0),
IF('TL18'!$B$3=O$3,SUMIF('TL18'!$C$10:$C$224,$C136,'TL18'!$J$10:$J$224),0),
IF('TL18'!$B$229=O$3,SUMIF('TL18'!$C$238:$C$451,$C136,'TL18'!$J$238:$J$451),0),
IF('TL19'!$B$3=O$3,SUMIF('TL19'!$C$10:$C$224,$C136,'TL19'!$J$10:$J$224),0),
IF('TL19'!$B$229=O$3,SUMIF('TL19'!$C$238:$C$451,$C136,'TL19'!$J$238:$J$451),0)
),0)</f>
        <v>0</v>
      </c>
      <c r="P136" s="9">
        <f>IFERROR(SUM(
IF('TL01'!$B$3=P$3,SUMIF('TL01'!$C$10:$C$224,$C136,'TL01'!$J$10:$J$224),0),
IF('TL01'!$B$229=P$3,SUMIF('TL01'!$C$238:$C$451,$C136,'TL01'!$J$238:$J$451),0),
IF('TL02'!$B$3=P$3,SUMIF('TL02'!$C$10:$C$224,$C136,'TL02'!$J$10:$J$224),0),
IF('TL02'!$B$229=P$3,SUMIF('TL02'!$C$238:$C$451,$C136,'TL02'!$J$238:$J$451),0),
IF('TL03'!$B$3=P$3,SUMIF('TL03'!$C$10:$C$224,$C136,'TL03'!$J$10:$J$224),0),
IF('TL03'!$B$229=P$3,SUMIF('TL03'!$C$238:$C$451,$C136,'TL03'!$J$238:$J$451),0),
IF('TL04'!$B$3=P$3,SUMIF('TL04'!$C$10:$C$224,$C136,'TL04'!$J$10:$J$224),0),
IF('TL04'!$B$229=P$3,SUMIF('TL04'!$C$238:$C$451,$C136,'TL04'!$J$238:$J$451),0),
IF('TL05'!$B$3=P$3,SUMIF('TL05'!$C$10:$C$224,$C136,'TL05'!$J$10:$J$224),0),
IF('TL05'!$B$229=P$3,SUMIF('TL05'!$C$238:$C$451,$C136,'TL05'!$J$238:$J$451),0),
IF('TL06'!$B$3=P$3,SUMIF('TL06'!$C$10:$C$224,$C136,'TL06'!$J$10:$J$224),0),
IF('TL06'!$B$229=P$3,SUMIF('TL06'!$C$238:$C$451,$C136,'TL06'!$J$238:$J$451),0),
IF('TL07'!$B$3=P$3,SUMIF('TL07'!$C$10:$C$224,$C136,'TL07'!$J$10:$J$224),0),
IF('TL07'!$B$229=P$3,SUMIF('TL07'!$C$238:$C$451,$C136,'TL07'!$J$238:$J$451),0),
IF('TL08'!$B$3=P$3,SUMIF('TL08'!$C$10:$C$224,$C136,'TL08'!$J$10:$J$224),0),
IF('TL08'!$B$229=P$3,SUMIF('TL08'!$C$238:$C$451,$C136,'TL08'!$J$238:$J$451),0),
IF('TL09'!$B$3=P$3,SUMIF('TL09'!$C$10:$C$224,$C136,'TL09'!$J$10:$J$224),0),
IF('TL09'!$B$229=P$3,SUMIF('TL09'!$C$238:$C$451,$C136,'TL09'!$J$238:$J$451),0),
IF('TL10'!$B$3=P$3,SUMIF('TL10'!$C$10:$C$224,$C136,'TL10'!$J$10:$J$224),0),
IF('TL10'!$B$229=P$3,SUMIF('TL10'!$C$238:$C$451,$C136,'TL10'!$J$238:$J$451),0),
IF('TL11'!$B$3=P$3,SUMIF('TL11'!$C$10:$C$224,$C136,'TL11'!$J$10:$J$224),0),
IF('TL11'!$B$229=P$3,SUMIF('TL11'!$C$238:$C$451,$C136,'TL11'!$J$238:$J$451),0),
IF('TL12'!$B$3=P$3,SUMIF('TL12'!$C$10:$C$224,$C136,'TL12'!$J$10:$J$224),0),
IF('TL12'!$B$229=P$3,SUMIF('TL12'!$C$238:$C$451,$C136,'TL12'!$J$238:$J$451),0),
IF('TL13'!$B$3=P$3,SUMIF('TL13'!$C$10:$C$224,$C136,'TL13'!$J$10:$J$224),0),
IF('TL13'!$B$229=P$3,SUMIF('TL13'!$C$238:$C$451,$C136,'TL13'!$J$238:$J$451),0),
IF('TL14'!$B$3=P$3,SUMIF('TL14'!$C$10:$C$224,$C136,'TL14'!$J$10:$J$224),0),
IF('TL14'!$B$229=P$3,SUMIF('TL14'!$C$238:$C$451,$C136,'TL14'!$J$238:$J$451),0),
IF('TL15'!$B$3=P$3,SUMIF('TL15'!$C$10:$C$224,$C136,'TL15'!$J$10:$J$224),0),
IF('TL15'!$B$229=P$3,SUMIF('TL15'!$C$238:$C$451,$C136,'TL15'!$J$238:$J$451),0),
IF('TL16'!$B$3=P$3,SUMIF('TL16'!$C$10:$C$224,$C136,'TL16'!$J$10:$J$224),0),
IF('TL16'!$B$229=P$3,SUMIF('TL16'!$C$238:$C$451,$C136,'TL16'!$J$238:$J$451),0),
IF('TL17'!$B$3=P$3,SUMIF('TL17'!$C$10:$C$224,$C136,'TL17'!$J$10:$J$224),0),
IF('TL17'!$B$229=P$3,SUMIF('TL17'!$C$238:$C$451,$C136,'TL17'!$J$238:$J$451),0),
IF('TL18'!$B$3=P$3,SUMIF('TL18'!$C$10:$C$224,$C136,'TL18'!$J$10:$J$224),0),
IF('TL18'!$B$229=P$3,SUMIF('TL18'!$C$238:$C$451,$C136,'TL18'!$J$238:$J$451),0),
IF('TL19'!$B$3=P$3,SUMIF('TL19'!$C$10:$C$224,$C136,'TL19'!$J$10:$J$224),0),
IF('TL19'!$B$229=P$3,SUMIF('TL19'!$C$238:$C$451,$C136,'TL19'!$J$238:$J$451),0)
),0)</f>
        <v>0</v>
      </c>
      <c r="Q136" s="9">
        <f>IFERROR(SUM(
IF('TL01'!$B$3=Q$3,SUMIF('TL01'!$C$10:$C$224,$C136,'TL01'!$J$10:$J$224),0),
IF('TL01'!$B$229=Q$3,SUMIF('TL01'!$C$238:$C$451,$C136,'TL01'!$J$238:$J$451),0),
IF('TL02'!$B$3=Q$3,SUMIF('TL02'!$C$10:$C$224,$C136,'TL02'!$J$10:$J$224),0),
IF('TL02'!$B$229=Q$3,SUMIF('TL02'!$C$238:$C$451,$C136,'TL02'!$J$238:$J$451),0),
IF('TL03'!$B$3=Q$3,SUMIF('TL03'!$C$10:$C$224,$C136,'TL03'!$J$10:$J$224),0),
IF('TL03'!$B$229=Q$3,SUMIF('TL03'!$C$238:$C$451,$C136,'TL03'!$J$238:$J$451),0),
IF('TL04'!$B$3=Q$3,SUMIF('TL04'!$C$10:$C$224,$C136,'TL04'!$J$10:$J$224),0),
IF('TL04'!$B$229=Q$3,SUMIF('TL04'!$C$238:$C$451,$C136,'TL04'!$J$238:$J$451),0),
IF('TL05'!$B$3=Q$3,SUMIF('TL05'!$C$10:$C$224,$C136,'TL05'!$J$10:$J$224),0),
IF('TL05'!$B$229=Q$3,SUMIF('TL05'!$C$238:$C$451,$C136,'TL05'!$J$238:$J$451),0),
IF('TL06'!$B$3=Q$3,SUMIF('TL06'!$C$10:$C$224,$C136,'TL06'!$J$10:$J$224),0),
IF('TL06'!$B$229=Q$3,SUMIF('TL06'!$C$238:$C$451,$C136,'TL06'!$J$238:$J$451),0),
IF('TL07'!$B$3=Q$3,SUMIF('TL07'!$C$10:$C$224,$C136,'TL07'!$J$10:$J$224),0),
IF('TL07'!$B$229=Q$3,SUMIF('TL07'!$C$238:$C$451,$C136,'TL07'!$J$238:$J$451),0),
IF('TL08'!$B$3=Q$3,SUMIF('TL08'!$C$10:$C$224,$C136,'TL08'!$J$10:$J$224),0),
IF('TL08'!$B$229=Q$3,SUMIF('TL08'!$C$238:$C$451,$C136,'TL08'!$J$238:$J$451),0),
IF('TL09'!$B$3=Q$3,SUMIF('TL09'!$C$10:$C$224,$C136,'TL09'!$J$10:$J$224),0),
IF('TL09'!$B$229=Q$3,SUMIF('TL09'!$C$238:$C$451,$C136,'TL09'!$J$238:$J$451),0),
IF('TL10'!$B$3=Q$3,SUMIF('TL10'!$C$10:$C$224,$C136,'TL10'!$J$10:$J$224),0),
IF('TL10'!$B$229=Q$3,SUMIF('TL10'!$C$238:$C$451,$C136,'TL10'!$J$238:$J$451),0),
IF('TL11'!$B$3=Q$3,SUMIF('TL11'!$C$10:$C$224,$C136,'TL11'!$J$10:$J$224),0),
IF('TL11'!$B$229=Q$3,SUMIF('TL11'!$C$238:$C$451,$C136,'TL11'!$J$238:$J$451),0),
IF('TL12'!$B$3=Q$3,SUMIF('TL12'!$C$10:$C$224,$C136,'TL12'!$J$10:$J$224),0),
IF('TL12'!$B$229=Q$3,SUMIF('TL12'!$C$238:$C$451,$C136,'TL12'!$J$238:$J$451),0),
IF('TL13'!$B$3=Q$3,SUMIF('TL13'!$C$10:$C$224,$C136,'TL13'!$J$10:$J$224),0),
IF('TL13'!$B$229=Q$3,SUMIF('TL13'!$C$238:$C$451,$C136,'TL13'!$J$238:$J$451),0),
IF('TL14'!$B$3=Q$3,SUMIF('TL14'!$C$10:$C$224,$C136,'TL14'!$J$10:$J$224),0),
IF('TL14'!$B$229=Q$3,SUMIF('TL14'!$C$238:$C$451,$C136,'TL14'!$J$238:$J$451),0),
IF('TL15'!$B$3=Q$3,SUMIF('TL15'!$C$10:$C$224,$C136,'TL15'!$J$10:$J$224),0),
IF('TL15'!$B$229=Q$3,SUMIF('TL15'!$C$238:$C$451,$C136,'TL15'!$J$238:$J$451),0),
IF('TL16'!$B$3=Q$3,SUMIF('TL16'!$C$10:$C$224,$C136,'TL16'!$J$10:$J$224),0),
IF('TL16'!$B$229=Q$3,SUMIF('TL16'!$C$238:$C$451,$C136,'TL16'!$J$238:$J$451),0),
IF('TL17'!$B$3=Q$3,SUMIF('TL17'!$C$10:$C$224,$C136,'TL17'!$J$10:$J$224),0),
IF('TL17'!$B$229=Q$3,SUMIF('TL17'!$C$238:$C$451,$C136,'TL17'!$J$238:$J$451),0),
IF('TL18'!$B$3=Q$3,SUMIF('TL18'!$C$10:$C$224,$C136,'TL18'!$J$10:$J$224),0),
IF('TL18'!$B$229=Q$3,SUMIF('TL18'!$C$238:$C$451,$C136,'TL18'!$J$238:$J$451),0),
IF('TL19'!$B$3=Q$3,SUMIF('TL19'!$C$10:$C$224,$C136,'TL19'!$J$10:$J$224),0),
IF('TL19'!$B$229=Q$3,SUMIF('TL19'!$C$238:$C$451,$C136,'TL19'!$J$238:$J$451),0)
),0)</f>
        <v>0</v>
      </c>
      <c r="R136" s="9">
        <f>IFERROR(
SUM(
SUMIF('TL01'!C:C,C136,'TL01'!J:J),
SUMIF('TL02'!C:C,C136,'TL02'!J:J),
SUMIF('TL03'!C:C,C136,'TL03'!J:J),
SUMIF('TL04'!C:C,C136,'TL04'!J:J),
SUMIF('TL05'!C:C,C136,'TL05'!J:J),
SUMIF('TL06'!C:C,C136,'TL06'!J:J),
SUMIF('TL07'!C:C,C136,'TL07'!J:J),
SUMIF('TL08'!C:C,C136,'TL08'!J:J),
SUMIF('TL09'!C:C,C136,'TL09'!J:J),
SUMIF('TL10'!C:C,C136,'TL10'!J:J),
SUMIF('TL11'!C:C,C136,'TL11'!J:J),
SUMIF('TL12'!C:C,C136,'TL12'!J:J),
SUMIF('TL13'!C:C,C136,'TL13'!J:J),
SUMIF('TL14'!C:C,C136,'TL14'!J:J),
SUMIF('TL15'!C:C,C136,'TL15'!J:J),
SUMIF('TL16'!C:C,C136,'TL16'!J:J),
SUMIF('TL17'!C:C,C136,'TL17'!J:J),
SUMIF('TL18'!C:C,C136,'TL18'!J:J),SUMIF('TL19'!C:C,C136,'TL19'!J:J))
,0)</f>
        <v>0</v>
      </c>
      <c r="S136" s="17">
        <f>IFERROR(__xludf.DUMMYFUNCTION("IFERROR(VLOOKUP(C136,
IMPORTRANGE(""1wULbzX32WdYsx-lj2U3uUNBBe2INVIRDtcK0d-Dvl90"",
""26-27!C:G""),
5,
FALSE),
"""")"),30.52836)</f>
        <v>30.52836</v>
      </c>
      <c r="T136" s="9"/>
      <c r="U136" s="92">
        <f t="shared" si="2"/>
        <v>0</v>
      </c>
      <c r="V136" s="93">
        <f t="shared" si="3"/>
        <v>0</v>
      </c>
    </row>
    <row r="137" ht="15.75" hidden="1" customHeight="1">
      <c r="A137" s="111" t="s">
        <v>679</v>
      </c>
      <c r="B137" s="112" t="s">
        <v>1</v>
      </c>
      <c r="C137" s="113" t="s">
        <v>682</v>
      </c>
      <c r="D137" s="113" t="s">
        <v>617</v>
      </c>
      <c r="E137" s="113">
        <v>240.0</v>
      </c>
      <c r="F137" s="4" t="s">
        <v>343</v>
      </c>
      <c r="G137" s="90" t="str">
        <f t="shared" si="4"/>
        <v>📄 Ver bula</v>
      </c>
      <c r="H137" s="9">
        <v>0.4</v>
      </c>
      <c r="I137" s="114" t="s">
        <v>344</v>
      </c>
      <c r="J137" s="9">
        <f>IFERROR(SUM(
IF('TL01'!$B$3=J$3,SUMIF('TL01'!$C$10:$C$224,$C137,'TL01'!$J$10:$J$224),0),
IF('TL01'!$B$229=J$3,SUMIF('TL01'!$C$238:$C$451,$C137,'TL01'!$J$238:$J$451),0),
IF('TL02'!$B$3=J$3,SUMIF('TL02'!$C$10:$C$224,$C137,'TL02'!$J$10:$J$224),0),
IF('TL02'!$B$229=J$3,SUMIF('TL02'!$C$238:$C$451,$C137,'TL02'!$J$238:$J$451),0),
IF('TL03'!$B$3=J$3,SUMIF('TL03'!$C$10:$C$224,$C137,'TL03'!$J$10:$J$224),0),
IF('TL03'!$B$229=J$3,SUMIF('TL03'!$C$238:$C$451,$C137,'TL03'!$J$238:$J$451),0),
IF('TL04'!$B$3=J$3,SUMIF('TL04'!$C$10:$C$224,$C137,'TL04'!$J$10:$J$224),0),
IF('TL04'!$B$229=J$3,SUMIF('TL04'!$C$238:$C$451,$C137,'TL04'!$J$238:$J$451),0),
IF('TL05'!$B$3=J$3,SUMIF('TL05'!$C$10:$C$224,$C137,'TL05'!$J$10:$J$224),0),
IF('TL05'!$B$229=J$3,SUMIF('TL05'!$C$238:$C$451,$C137,'TL05'!$J$238:$J$451),0),
IF('TL06'!$B$3=J$3,SUMIF('TL06'!$C$10:$C$224,$C137,'TL06'!$J$10:$J$224),0),
IF('TL06'!$B$229=J$3,SUMIF('TL06'!$C$238:$C$451,$C137,'TL06'!$J$238:$J$451),0),
IF('TL07'!$B$3=J$3,SUMIF('TL07'!$C$10:$C$224,$C137,'TL07'!$J$10:$J$224),0),
IF('TL07'!$B$229=J$3,SUMIF('TL07'!$C$238:$C$451,$C137,'TL07'!$J$238:$J$451),0),
IF('TL08'!$B$3=J$3,SUMIF('TL08'!$C$10:$C$224,$C137,'TL08'!$J$10:$J$224),0),
IF('TL08'!$B$229=J$3,SUMIF('TL08'!$C$238:$C$451,$C137,'TL08'!$J$238:$J$451),0),
IF('TL09'!$B$3=J$3,SUMIF('TL09'!$C$10:$C$224,$C137,'TL09'!$J$10:$J$224),0),
IF('TL09'!$B$229=J$3,SUMIF('TL09'!$C$238:$C$451,$C137,'TL09'!$J$238:$J$451),0),
IF('TL10'!$B$3=J$3,SUMIF('TL10'!$C$10:$C$224,$C137,'TL10'!$J$10:$J$224),0),
IF('TL10'!$B$229=J$3,SUMIF('TL10'!$C$238:$C$451,$C137,'TL10'!$J$238:$J$451),0),
IF('TL11'!$B$3=J$3,SUMIF('TL11'!$C$10:$C$224,$C137,'TL11'!$J$10:$J$224),0),
IF('TL11'!$B$229=J$3,SUMIF('TL11'!$C$238:$C$451,$C137,'TL11'!$J$238:$J$451),0),
IF('TL12'!$B$3=J$3,SUMIF('TL12'!$C$10:$C$224,$C137,'TL12'!$J$10:$J$224),0),
IF('TL12'!$B$229=J$3,SUMIF('TL12'!$C$238:$C$451,$C137,'TL12'!$J$238:$J$451),0),
IF('TL13'!$B$3=J$3,SUMIF('TL13'!$C$10:$C$224,$C137,'TL13'!$J$10:$J$224),0),
IF('TL13'!$B$229=J$3,SUMIF('TL13'!$C$238:$C$451,$C137,'TL13'!$J$238:$J$451),0),
IF('TL14'!$B$3=J$3,SUMIF('TL14'!$C$10:$C$224,$C137,'TL14'!$J$10:$J$224),0),
IF('TL14'!$B$229=J$3,SUMIF('TL14'!$C$238:$C$451,$C137,'TL14'!$J$238:$J$451),0),
IF('TL15'!$B$3=J$3,SUMIF('TL15'!$C$10:$C$224,$C137,'TL15'!$J$10:$J$224),0),
IF('TL15'!$B$229=J$3,SUMIF('TL15'!$C$238:$C$451,$C137,'TL15'!$J$238:$J$451),0),
IF('TL16'!$B$3=J$3,SUMIF('TL16'!$C$10:$C$224,$C137,'TL16'!$J$10:$J$224),0),
IF('TL16'!$B$229=J$3,SUMIF('TL16'!$C$238:$C$451,$C137,'TL16'!$J$238:$J$451),0),
IF('TL17'!$B$3=J$3,SUMIF('TL17'!$C$10:$C$224,$C137,'TL17'!$J$10:$J$224),0),
IF('TL17'!$B$229=J$3,SUMIF('TL17'!$C$238:$C$451,$C137,'TL17'!$J$238:$J$451),0),
IF('TL18'!$B$3=J$3,SUMIF('TL18'!$C$10:$C$224,$C137,'TL18'!$J$10:$J$224),0),
IF('TL18'!$B$229=J$3,SUMIF('TL18'!$C$238:$C$451,$C137,'TL18'!$J$238:$J$451),0),
IF('TL19'!$B$3=J$3,SUMIF('TL19'!$C$10:$C$224,$C137,'TL19'!$J$10:$J$224),0),
IF('TL19'!$B$229=J$3,SUMIF('TL19'!$C$238:$C$451,$C137,'TL19'!$J$238:$J$451),0)
),0)</f>
        <v>0</v>
      </c>
      <c r="K137" s="9">
        <f>IFERROR(SUM(
IF('TL01'!$B$3=K$3,SUMIF('TL01'!$C$10:$C$224,$C137,'TL01'!$J$10:$J$224),0),
IF('TL01'!$B$229=K$3,SUMIF('TL01'!$C$238:$C$451,$C137,'TL01'!$J$238:$J$451),0),
IF('TL02'!$B$3=K$3,SUMIF('TL02'!$C$10:$C$224,$C137,'TL02'!$J$10:$J$224),0),
IF('TL02'!$B$229=K$3,SUMIF('TL02'!$C$238:$C$451,$C137,'TL02'!$J$238:$J$451),0),
IF('TL03'!$B$3=K$3,SUMIF('TL03'!$C$10:$C$224,$C137,'TL03'!$J$10:$J$224),0),
IF('TL03'!$B$229=K$3,SUMIF('TL03'!$C$238:$C$451,$C137,'TL03'!$J$238:$J$451),0),
IF('TL04'!$B$3=K$3,SUMIF('TL04'!$C$10:$C$224,$C137,'TL04'!$J$10:$J$224),0),
IF('TL04'!$B$229=K$3,SUMIF('TL04'!$C$238:$C$451,$C137,'TL04'!$J$238:$J$451),0),
IF('TL05'!$B$3=K$3,SUMIF('TL05'!$C$10:$C$224,$C137,'TL05'!$J$10:$J$224),0),
IF('TL05'!$B$229=K$3,SUMIF('TL05'!$C$238:$C$451,$C137,'TL05'!$J$238:$J$451),0),
IF('TL06'!$B$3=K$3,SUMIF('TL06'!$C$10:$C$224,$C137,'TL06'!$J$10:$J$224),0),
IF('TL06'!$B$229=K$3,SUMIF('TL06'!$C$238:$C$451,$C137,'TL06'!$J$238:$J$451),0),
IF('TL07'!$B$3=K$3,SUMIF('TL07'!$C$10:$C$224,$C137,'TL07'!$J$10:$J$224),0),
IF('TL07'!$B$229=K$3,SUMIF('TL07'!$C$238:$C$451,$C137,'TL07'!$J$238:$J$451),0),
IF('TL08'!$B$3=K$3,SUMIF('TL08'!$C$10:$C$224,$C137,'TL08'!$J$10:$J$224),0),
IF('TL08'!$B$229=K$3,SUMIF('TL08'!$C$238:$C$451,$C137,'TL08'!$J$238:$J$451),0),
IF('TL09'!$B$3=K$3,SUMIF('TL09'!$C$10:$C$224,$C137,'TL09'!$J$10:$J$224),0),
IF('TL09'!$B$229=K$3,SUMIF('TL09'!$C$238:$C$451,$C137,'TL09'!$J$238:$J$451),0),
IF('TL10'!$B$3=K$3,SUMIF('TL10'!$C$10:$C$224,$C137,'TL10'!$J$10:$J$224),0),
IF('TL10'!$B$229=K$3,SUMIF('TL10'!$C$238:$C$451,$C137,'TL10'!$J$238:$J$451),0),
IF('TL11'!$B$3=K$3,SUMIF('TL11'!$C$10:$C$224,$C137,'TL11'!$J$10:$J$224),0),
IF('TL11'!$B$229=K$3,SUMIF('TL11'!$C$238:$C$451,$C137,'TL11'!$J$238:$J$451),0),
IF('TL12'!$B$3=K$3,SUMIF('TL12'!$C$10:$C$224,$C137,'TL12'!$J$10:$J$224),0),
IF('TL12'!$B$229=K$3,SUMIF('TL12'!$C$238:$C$451,$C137,'TL12'!$J$238:$J$451),0),
IF('TL13'!$B$3=K$3,SUMIF('TL13'!$C$10:$C$224,$C137,'TL13'!$J$10:$J$224),0),
IF('TL13'!$B$229=K$3,SUMIF('TL13'!$C$238:$C$451,$C137,'TL13'!$J$238:$J$451),0),
IF('TL14'!$B$3=K$3,SUMIF('TL14'!$C$10:$C$224,$C137,'TL14'!$J$10:$J$224),0),
IF('TL14'!$B$229=K$3,SUMIF('TL14'!$C$238:$C$451,$C137,'TL14'!$J$238:$J$451),0),
IF('TL15'!$B$3=K$3,SUMIF('TL15'!$C$10:$C$224,$C137,'TL15'!$J$10:$J$224),0),
IF('TL15'!$B$229=K$3,SUMIF('TL15'!$C$238:$C$451,$C137,'TL15'!$J$238:$J$451),0),
IF('TL16'!$B$3=K$3,SUMIF('TL16'!$C$10:$C$224,$C137,'TL16'!$J$10:$J$224),0),
IF('TL16'!$B$229=K$3,SUMIF('TL16'!$C$238:$C$451,$C137,'TL16'!$J$238:$J$451),0),
IF('TL17'!$B$3=K$3,SUMIF('TL17'!$C$10:$C$224,$C137,'TL17'!$J$10:$J$224),0),
IF('TL17'!$B$229=K$3,SUMIF('TL17'!$C$238:$C$451,$C137,'TL17'!$J$238:$J$451),0),
IF('TL18'!$B$3=K$3,SUMIF('TL18'!$C$10:$C$224,$C137,'TL18'!$J$10:$J$224),0),
IF('TL18'!$B$229=K$3,SUMIF('TL18'!$C$238:$C$451,$C137,'TL18'!$J$238:$J$451),0),
IF('TL19'!$B$3=K$3,SUMIF('TL19'!$C$10:$C$224,$C137,'TL19'!$J$10:$J$224),0),
IF('TL19'!$B$229=K$3,SUMIF('TL19'!$C$238:$C$451,$C137,'TL19'!$J$238:$J$451),0)
),0)</f>
        <v>24</v>
      </c>
      <c r="L137" s="9">
        <f>IFERROR(SUM(
IF('TL01'!$B$3=L$3,SUMIF('TL01'!$C$10:$C$224,$C137,'TL01'!$J$10:$J$224),0),
IF('TL01'!$B$229=L$3,SUMIF('TL01'!$C$238:$C$451,$C137,'TL01'!$J$238:$J$451),0),
IF('TL02'!$B$3=L$3,SUMIF('TL02'!$C$10:$C$224,$C137,'TL02'!$J$10:$J$224),0),
IF('TL02'!$B$229=L$3,SUMIF('TL02'!$C$238:$C$451,$C137,'TL02'!$J$238:$J$451),0),
IF('TL03'!$B$3=L$3,SUMIF('TL03'!$C$10:$C$224,$C137,'TL03'!$J$10:$J$224),0),
IF('TL03'!$B$229=L$3,SUMIF('TL03'!$C$238:$C$451,$C137,'TL03'!$J$238:$J$451),0),
IF('TL04'!$B$3=L$3,SUMIF('TL04'!$C$10:$C$224,$C137,'TL04'!$J$10:$J$224),0),
IF('TL04'!$B$229=L$3,SUMIF('TL04'!$C$238:$C$451,$C137,'TL04'!$J$238:$J$451),0),
IF('TL05'!$B$3=L$3,SUMIF('TL05'!$C$10:$C$224,$C137,'TL05'!$J$10:$J$224),0),
IF('TL05'!$B$229=L$3,SUMIF('TL05'!$C$238:$C$451,$C137,'TL05'!$J$238:$J$451),0),
IF('TL06'!$B$3=L$3,SUMIF('TL06'!$C$10:$C$224,$C137,'TL06'!$J$10:$J$224),0),
IF('TL06'!$B$229=L$3,SUMIF('TL06'!$C$238:$C$451,$C137,'TL06'!$J$238:$J$451),0),
IF('TL07'!$B$3=L$3,SUMIF('TL07'!$C$10:$C$224,$C137,'TL07'!$J$10:$J$224),0),
IF('TL07'!$B$229=L$3,SUMIF('TL07'!$C$238:$C$451,$C137,'TL07'!$J$238:$J$451),0),
IF('TL08'!$B$3=L$3,SUMIF('TL08'!$C$10:$C$224,$C137,'TL08'!$J$10:$J$224),0),
IF('TL08'!$B$229=L$3,SUMIF('TL08'!$C$238:$C$451,$C137,'TL08'!$J$238:$J$451),0),
IF('TL09'!$B$3=L$3,SUMIF('TL09'!$C$10:$C$224,$C137,'TL09'!$J$10:$J$224),0),
IF('TL09'!$B$229=L$3,SUMIF('TL09'!$C$238:$C$451,$C137,'TL09'!$J$238:$J$451),0),
IF('TL10'!$B$3=L$3,SUMIF('TL10'!$C$10:$C$224,$C137,'TL10'!$J$10:$J$224),0),
IF('TL10'!$B$229=L$3,SUMIF('TL10'!$C$238:$C$451,$C137,'TL10'!$J$238:$J$451),0),
IF('TL11'!$B$3=L$3,SUMIF('TL11'!$C$10:$C$224,$C137,'TL11'!$J$10:$J$224),0),
IF('TL11'!$B$229=L$3,SUMIF('TL11'!$C$238:$C$451,$C137,'TL11'!$J$238:$J$451),0),
IF('TL12'!$B$3=L$3,SUMIF('TL12'!$C$10:$C$224,$C137,'TL12'!$J$10:$J$224),0),
IF('TL12'!$B$229=L$3,SUMIF('TL12'!$C$238:$C$451,$C137,'TL12'!$J$238:$J$451),0),
IF('TL13'!$B$3=L$3,SUMIF('TL13'!$C$10:$C$224,$C137,'TL13'!$J$10:$J$224),0),
IF('TL13'!$B$229=L$3,SUMIF('TL13'!$C$238:$C$451,$C137,'TL13'!$J$238:$J$451),0),
IF('TL14'!$B$3=L$3,SUMIF('TL14'!$C$10:$C$224,$C137,'TL14'!$J$10:$J$224),0),
IF('TL14'!$B$229=L$3,SUMIF('TL14'!$C$238:$C$451,$C137,'TL14'!$J$238:$J$451),0),
IF('TL15'!$B$3=L$3,SUMIF('TL15'!$C$10:$C$224,$C137,'TL15'!$J$10:$J$224),0),
IF('TL15'!$B$229=L$3,SUMIF('TL15'!$C$238:$C$451,$C137,'TL15'!$J$238:$J$451),0),
IF('TL16'!$B$3=L$3,SUMIF('TL16'!$C$10:$C$224,$C137,'TL16'!$J$10:$J$224),0),
IF('TL16'!$B$229=L$3,SUMIF('TL16'!$C$238:$C$451,$C137,'TL16'!$J$238:$J$451),0),
IF('TL17'!$B$3=L$3,SUMIF('TL17'!$C$10:$C$224,$C137,'TL17'!$J$10:$J$224),0),
IF('TL17'!$B$229=L$3,SUMIF('TL17'!$C$238:$C$451,$C137,'TL17'!$J$238:$J$451),0),
IF('TL18'!$B$3=L$3,SUMIF('TL18'!$C$10:$C$224,$C137,'TL18'!$J$10:$J$224),0),
IF('TL18'!$B$229=L$3,SUMIF('TL18'!$C$238:$C$451,$C137,'TL18'!$J$238:$J$451),0),
IF('TL19'!$B$3=L$3,SUMIF('TL19'!$C$10:$C$224,$C137,'TL19'!$J$10:$J$224),0),
IF('TL19'!$B$229=L$3,SUMIF('TL19'!$C$238:$C$451,$C137,'TL19'!$J$238:$J$451),0)
),0)</f>
        <v>0</v>
      </c>
      <c r="M137" s="9">
        <f>IFERROR(SUM(
IF('TL01'!$B$3=M$3,SUMIF('TL01'!$C$10:$C$224,$C137,'TL01'!$J$10:$J$224),0),
IF('TL01'!$B$229=M$3,SUMIF('TL01'!$C$238:$C$451,$C137,'TL01'!$J$238:$J$451),0),
IF('TL02'!$B$3=M$3,SUMIF('TL02'!$C$10:$C$224,$C137,'TL02'!$J$10:$J$224),0),
IF('TL02'!$B$229=M$3,SUMIF('TL02'!$C$238:$C$451,$C137,'TL02'!$J$238:$J$451),0),
IF('TL03'!$B$3=M$3,SUMIF('TL03'!$C$10:$C$224,$C137,'TL03'!$J$10:$J$224),0),
IF('TL03'!$B$229=M$3,SUMIF('TL03'!$C$238:$C$451,$C137,'TL03'!$J$238:$J$451),0),
IF('TL04'!$B$3=M$3,SUMIF('TL04'!$C$10:$C$224,$C137,'TL04'!$J$10:$J$224),0),
IF('TL04'!$B$229=M$3,SUMIF('TL04'!$C$238:$C$451,$C137,'TL04'!$J$238:$J$451),0),
IF('TL05'!$B$3=M$3,SUMIF('TL05'!$C$10:$C$224,$C137,'TL05'!$J$10:$J$224),0),
IF('TL05'!$B$229=M$3,SUMIF('TL05'!$C$238:$C$451,$C137,'TL05'!$J$238:$J$451),0),
IF('TL06'!$B$3=M$3,SUMIF('TL06'!$C$10:$C$224,$C137,'TL06'!$J$10:$J$224),0),
IF('TL06'!$B$229=M$3,SUMIF('TL06'!$C$238:$C$451,$C137,'TL06'!$J$238:$J$451),0),
IF('TL07'!$B$3=M$3,SUMIF('TL07'!$C$10:$C$224,$C137,'TL07'!$J$10:$J$224),0),
IF('TL07'!$B$229=M$3,SUMIF('TL07'!$C$238:$C$451,$C137,'TL07'!$J$238:$J$451),0),
IF('TL08'!$B$3=M$3,SUMIF('TL08'!$C$10:$C$224,$C137,'TL08'!$J$10:$J$224),0),
IF('TL08'!$B$229=M$3,SUMIF('TL08'!$C$238:$C$451,$C137,'TL08'!$J$238:$J$451),0),
IF('TL09'!$B$3=M$3,SUMIF('TL09'!$C$10:$C$224,$C137,'TL09'!$J$10:$J$224),0),
IF('TL09'!$B$229=M$3,SUMIF('TL09'!$C$238:$C$451,$C137,'TL09'!$J$238:$J$451),0),
IF('TL10'!$B$3=M$3,SUMIF('TL10'!$C$10:$C$224,$C137,'TL10'!$J$10:$J$224),0),
IF('TL10'!$B$229=M$3,SUMIF('TL10'!$C$238:$C$451,$C137,'TL10'!$J$238:$J$451),0),
IF('TL11'!$B$3=M$3,SUMIF('TL11'!$C$10:$C$224,$C137,'TL11'!$J$10:$J$224),0),
IF('TL11'!$B$229=M$3,SUMIF('TL11'!$C$238:$C$451,$C137,'TL11'!$J$238:$J$451),0),
IF('TL12'!$B$3=M$3,SUMIF('TL12'!$C$10:$C$224,$C137,'TL12'!$J$10:$J$224),0),
IF('TL12'!$B$229=M$3,SUMIF('TL12'!$C$238:$C$451,$C137,'TL12'!$J$238:$J$451),0),
IF('TL13'!$B$3=M$3,SUMIF('TL13'!$C$10:$C$224,$C137,'TL13'!$J$10:$J$224),0),
IF('TL13'!$B$229=M$3,SUMIF('TL13'!$C$238:$C$451,$C137,'TL13'!$J$238:$J$451),0),
IF('TL14'!$B$3=M$3,SUMIF('TL14'!$C$10:$C$224,$C137,'TL14'!$J$10:$J$224),0),
IF('TL14'!$B$229=M$3,SUMIF('TL14'!$C$238:$C$451,$C137,'TL14'!$J$238:$J$451),0),
IF('TL15'!$B$3=M$3,SUMIF('TL15'!$C$10:$C$224,$C137,'TL15'!$J$10:$J$224),0),
IF('TL15'!$B$229=M$3,SUMIF('TL15'!$C$238:$C$451,$C137,'TL15'!$J$238:$J$451),0),
IF('TL16'!$B$3=M$3,SUMIF('TL16'!$C$10:$C$224,$C137,'TL16'!$J$10:$J$224),0),
IF('TL16'!$B$229=M$3,SUMIF('TL16'!$C$238:$C$451,$C137,'TL16'!$J$238:$J$451),0),
IF('TL17'!$B$3=M$3,SUMIF('TL17'!$C$10:$C$224,$C137,'TL17'!$J$10:$J$224),0),
IF('TL17'!$B$229=M$3,SUMIF('TL17'!$C$238:$C$451,$C137,'TL17'!$J$238:$J$451),0),
IF('TL18'!$B$3=M$3,SUMIF('TL18'!$C$10:$C$224,$C137,'TL18'!$J$10:$J$224),0),
IF('TL18'!$B$229=M$3,SUMIF('TL18'!$C$238:$C$451,$C137,'TL18'!$J$238:$J$451),0),
IF('TL19'!$B$3=M$3,SUMIF('TL19'!$C$10:$C$224,$C137,'TL19'!$J$10:$J$224),0),
IF('TL19'!$B$229=M$3,SUMIF('TL19'!$C$238:$C$451,$C137,'TL19'!$J$238:$J$451),0)
),0)</f>
        <v>0</v>
      </c>
      <c r="N137" s="9">
        <f>IFERROR(SUM(
IF('TL01'!$B$3=N$3,SUMIF('TL01'!$C$10:$C$224,$C137,'TL01'!$J$10:$J$224),0),
IF('TL01'!$B$229=N$3,SUMIF('TL01'!$C$238:$C$451,$C137,'TL01'!$J$238:$J$451),0),
IF('TL02'!$B$3=N$3,SUMIF('TL02'!$C$10:$C$224,$C137,'TL02'!$J$10:$J$224),0),
IF('TL02'!$B$229=N$3,SUMIF('TL02'!$C$238:$C$451,$C137,'TL02'!$J$238:$J$451),0),
IF('TL03'!$B$3=N$3,SUMIF('TL03'!$C$10:$C$224,$C137,'TL03'!$J$10:$J$224),0),
IF('TL03'!$B$229=N$3,SUMIF('TL03'!$C$238:$C$451,$C137,'TL03'!$J$238:$J$451),0),
IF('TL04'!$B$3=N$3,SUMIF('TL04'!$C$10:$C$224,$C137,'TL04'!$J$10:$J$224),0),
IF('TL04'!$B$229=N$3,SUMIF('TL04'!$C$238:$C$451,$C137,'TL04'!$J$238:$J$451),0),
IF('TL05'!$B$3=N$3,SUMIF('TL05'!$C$10:$C$224,$C137,'TL05'!$J$10:$J$224),0),
IF('TL05'!$B$229=N$3,SUMIF('TL05'!$C$238:$C$451,$C137,'TL05'!$J$238:$J$451),0),
IF('TL06'!$B$3=N$3,SUMIF('TL06'!$C$10:$C$224,$C137,'TL06'!$J$10:$J$224),0),
IF('TL06'!$B$229=N$3,SUMIF('TL06'!$C$238:$C$451,$C137,'TL06'!$J$238:$J$451),0),
IF('TL07'!$B$3=N$3,SUMIF('TL07'!$C$10:$C$224,$C137,'TL07'!$J$10:$J$224),0),
IF('TL07'!$B$229=N$3,SUMIF('TL07'!$C$238:$C$451,$C137,'TL07'!$J$238:$J$451),0),
IF('TL08'!$B$3=N$3,SUMIF('TL08'!$C$10:$C$224,$C137,'TL08'!$J$10:$J$224),0),
IF('TL08'!$B$229=N$3,SUMIF('TL08'!$C$238:$C$451,$C137,'TL08'!$J$238:$J$451),0),
IF('TL09'!$B$3=N$3,SUMIF('TL09'!$C$10:$C$224,$C137,'TL09'!$J$10:$J$224),0),
IF('TL09'!$B$229=N$3,SUMIF('TL09'!$C$238:$C$451,$C137,'TL09'!$J$238:$J$451),0),
IF('TL10'!$B$3=N$3,SUMIF('TL10'!$C$10:$C$224,$C137,'TL10'!$J$10:$J$224),0),
IF('TL10'!$B$229=N$3,SUMIF('TL10'!$C$238:$C$451,$C137,'TL10'!$J$238:$J$451),0),
IF('TL11'!$B$3=N$3,SUMIF('TL11'!$C$10:$C$224,$C137,'TL11'!$J$10:$J$224),0),
IF('TL11'!$B$229=N$3,SUMIF('TL11'!$C$238:$C$451,$C137,'TL11'!$J$238:$J$451),0),
IF('TL12'!$B$3=N$3,SUMIF('TL12'!$C$10:$C$224,$C137,'TL12'!$J$10:$J$224),0),
IF('TL12'!$B$229=N$3,SUMIF('TL12'!$C$238:$C$451,$C137,'TL12'!$J$238:$J$451),0),
IF('TL13'!$B$3=N$3,SUMIF('TL13'!$C$10:$C$224,$C137,'TL13'!$J$10:$J$224),0),
IF('TL13'!$B$229=N$3,SUMIF('TL13'!$C$238:$C$451,$C137,'TL13'!$J$238:$J$451),0),
IF('TL14'!$B$3=N$3,SUMIF('TL14'!$C$10:$C$224,$C137,'TL14'!$J$10:$J$224),0),
IF('TL14'!$B$229=N$3,SUMIF('TL14'!$C$238:$C$451,$C137,'TL14'!$J$238:$J$451),0),
IF('TL15'!$B$3=N$3,SUMIF('TL15'!$C$10:$C$224,$C137,'TL15'!$J$10:$J$224),0),
IF('TL15'!$B$229=N$3,SUMIF('TL15'!$C$238:$C$451,$C137,'TL15'!$J$238:$J$451),0),
IF('TL16'!$B$3=N$3,SUMIF('TL16'!$C$10:$C$224,$C137,'TL16'!$J$10:$J$224),0),
IF('TL16'!$B$229=N$3,SUMIF('TL16'!$C$238:$C$451,$C137,'TL16'!$J$238:$J$451),0),
IF('TL17'!$B$3=N$3,SUMIF('TL17'!$C$10:$C$224,$C137,'TL17'!$J$10:$J$224),0),
IF('TL17'!$B$229=N$3,SUMIF('TL17'!$C$238:$C$451,$C137,'TL17'!$J$238:$J$451),0),
IF('TL18'!$B$3=N$3,SUMIF('TL18'!$C$10:$C$224,$C137,'TL18'!$J$10:$J$224),0),
IF('TL18'!$B$229=N$3,SUMIF('TL18'!$C$238:$C$451,$C137,'TL18'!$J$238:$J$451),0),
IF('TL19'!$B$3=N$3,SUMIF('TL19'!$C$10:$C$224,$C137,'TL19'!$J$10:$J$224),0),
IF('TL19'!$B$229=N$3,SUMIF('TL19'!$C$238:$C$451,$C137,'TL19'!$J$238:$J$451),0)
),0)</f>
        <v>0</v>
      </c>
      <c r="O137" s="9">
        <f>IFERROR(SUM(
IF('TL01'!$B$3=O$3,SUMIF('TL01'!$C$10:$C$224,$C137,'TL01'!$J$10:$J$224),0),
IF('TL01'!$B$229=O$3,SUMIF('TL01'!$C$238:$C$451,$C137,'TL01'!$J$238:$J$451),0),
IF('TL02'!$B$3=O$3,SUMIF('TL02'!$C$10:$C$224,$C137,'TL02'!$J$10:$J$224),0),
IF('TL02'!$B$229=O$3,SUMIF('TL02'!$C$238:$C$451,$C137,'TL02'!$J$238:$J$451),0),
IF('TL03'!$B$3=O$3,SUMIF('TL03'!$C$10:$C$224,$C137,'TL03'!$J$10:$J$224),0),
IF('TL03'!$B$229=O$3,SUMIF('TL03'!$C$238:$C$451,$C137,'TL03'!$J$238:$J$451),0),
IF('TL04'!$B$3=O$3,SUMIF('TL04'!$C$10:$C$224,$C137,'TL04'!$J$10:$J$224),0),
IF('TL04'!$B$229=O$3,SUMIF('TL04'!$C$238:$C$451,$C137,'TL04'!$J$238:$J$451),0),
IF('TL05'!$B$3=O$3,SUMIF('TL05'!$C$10:$C$224,$C137,'TL05'!$J$10:$J$224),0),
IF('TL05'!$B$229=O$3,SUMIF('TL05'!$C$238:$C$451,$C137,'TL05'!$J$238:$J$451),0),
IF('TL06'!$B$3=O$3,SUMIF('TL06'!$C$10:$C$224,$C137,'TL06'!$J$10:$J$224),0),
IF('TL06'!$B$229=O$3,SUMIF('TL06'!$C$238:$C$451,$C137,'TL06'!$J$238:$J$451),0),
IF('TL07'!$B$3=O$3,SUMIF('TL07'!$C$10:$C$224,$C137,'TL07'!$J$10:$J$224),0),
IF('TL07'!$B$229=O$3,SUMIF('TL07'!$C$238:$C$451,$C137,'TL07'!$J$238:$J$451),0),
IF('TL08'!$B$3=O$3,SUMIF('TL08'!$C$10:$C$224,$C137,'TL08'!$J$10:$J$224),0),
IF('TL08'!$B$229=O$3,SUMIF('TL08'!$C$238:$C$451,$C137,'TL08'!$J$238:$J$451),0),
IF('TL09'!$B$3=O$3,SUMIF('TL09'!$C$10:$C$224,$C137,'TL09'!$J$10:$J$224),0),
IF('TL09'!$B$229=O$3,SUMIF('TL09'!$C$238:$C$451,$C137,'TL09'!$J$238:$J$451),0),
IF('TL10'!$B$3=O$3,SUMIF('TL10'!$C$10:$C$224,$C137,'TL10'!$J$10:$J$224),0),
IF('TL10'!$B$229=O$3,SUMIF('TL10'!$C$238:$C$451,$C137,'TL10'!$J$238:$J$451),0),
IF('TL11'!$B$3=O$3,SUMIF('TL11'!$C$10:$C$224,$C137,'TL11'!$J$10:$J$224),0),
IF('TL11'!$B$229=O$3,SUMIF('TL11'!$C$238:$C$451,$C137,'TL11'!$J$238:$J$451),0),
IF('TL12'!$B$3=O$3,SUMIF('TL12'!$C$10:$C$224,$C137,'TL12'!$J$10:$J$224),0),
IF('TL12'!$B$229=O$3,SUMIF('TL12'!$C$238:$C$451,$C137,'TL12'!$J$238:$J$451),0),
IF('TL13'!$B$3=O$3,SUMIF('TL13'!$C$10:$C$224,$C137,'TL13'!$J$10:$J$224),0),
IF('TL13'!$B$229=O$3,SUMIF('TL13'!$C$238:$C$451,$C137,'TL13'!$J$238:$J$451),0),
IF('TL14'!$B$3=O$3,SUMIF('TL14'!$C$10:$C$224,$C137,'TL14'!$J$10:$J$224),0),
IF('TL14'!$B$229=O$3,SUMIF('TL14'!$C$238:$C$451,$C137,'TL14'!$J$238:$J$451),0),
IF('TL15'!$B$3=O$3,SUMIF('TL15'!$C$10:$C$224,$C137,'TL15'!$J$10:$J$224),0),
IF('TL15'!$B$229=O$3,SUMIF('TL15'!$C$238:$C$451,$C137,'TL15'!$J$238:$J$451),0),
IF('TL16'!$B$3=O$3,SUMIF('TL16'!$C$10:$C$224,$C137,'TL16'!$J$10:$J$224),0),
IF('TL16'!$B$229=O$3,SUMIF('TL16'!$C$238:$C$451,$C137,'TL16'!$J$238:$J$451),0),
IF('TL17'!$B$3=O$3,SUMIF('TL17'!$C$10:$C$224,$C137,'TL17'!$J$10:$J$224),0),
IF('TL17'!$B$229=O$3,SUMIF('TL17'!$C$238:$C$451,$C137,'TL17'!$J$238:$J$451),0),
IF('TL18'!$B$3=O$3,SUMIF('TL18'!$C$10:$C$224,$C137,'TL18'!$J$10:$J$224),0),
IF('TL18'!$B$229=O$3,SUMIF('TL18'!$C$238:$C$451,$C137,'TL18'!$J$238:$J$451),0),
IF('TL19'!$B$3=O$3,SUMIF('TL19'!$C$10:$C$224,$C137,'TL19'!$J$10:$J$224),0),
IF('TL19'!$B$229=O$3,SUMIF('TL19'!$C$238:$C$451,$C137,'TL19'!$J$238:$J$451),0)
),0)</f>
        <v>0</v>
      </c>
      <c r="P137" s="9">
        <f>IFERROR(SUM(
IF('TL01'!$B$3=P$3,SUMIF('TL01'!$C$10:$C$224,$C137,'TL01'!$J$10:$J$224),0),
IF('TL01'!$B$229=P$3,SUMIF('TL01'!$C$238:$C$451,$C137,'TL01'!$J$238:$J$451),0),
IF('TL02'!$B$3=P$3,SUMIF('TL02'!$C$10:$C$224,$C137,'TL02'!$J$10:$J$224),0),
IF('TL02'!$B$229=P$3,SUMIF('TL02'!$C$238:$C$451,$C137,'TL02'!$J$238:$J$451),0),
IF('TL03'!$B$3=P$3,SUMIF('TL03'!$C$10:$C$224,$C137,'TL03'!$J$10:$J$224),0),
IF('TL03'!$B$229=P$3,SUMIF('TL03'!$C$238:$C$451,$C137,'TL03'!$J$238:$J$451),0),
IF('TL04'!$B$3=P$3,SUMIF('TL04'!$C$10:$C$224,$C137,'TL04'!$J$10:$J$224),0),
IF('TL04'!$B$229=P$3,SUMIF('TL04'!$C$238:$C$451,$C137,'TL04'!$J$238:$J$451),0),
IF('TL05'!$B$3=P$3,SUMIF('TL05'!$C$10:$C$224,$C137,'TL05'!$J$10:$J$224),0),
IF('TL05'!$B$229=P$3,SUMIF('TL05'!$C$238:$C$451,$C137,'TL05'!$J$238:$J$451),0),
IF('TL06'!$B$3=P$3,SUMIF('TL06'!$C$10:$C$224,$C137,'TL06'!$J$10:$J$224),0),
IF('TL06'!$B$229=P$3,SUMIF('TL06'!$C$238:$C$451,$C137,'TL06'!$J$238:$J$451),0),
IF('TL07'!$B$3=P$3,SUMIF('TL07'!$C$10:$C$224,$C137,'TL07'!$J$10:$J$224),0),
IF('TL07'!$B$229=P$3,SUMIF('TL07'!$C$238:$C$451,$C137,'TL07'!$J$238:$J$451),0),
IF('TL08'!$B$3=P$3,SUMIF('TL08'!$C$10:$C$224,$C137,'TL08'!$J$10:$J$224),0),
IF('TL08'!$B$229=P$3,SUMIF('TL08'!$C$238:$C$451,$C137,'TL08'!$J$238:$J$451),0),
IF('TL09'!$B$3=P$3,SUMIF('TL09'!$C$10:$C$224,$C137,'TL09'!$J$10:$J$224),0),
IF('TL09'!$B$229=P$3,SUMIF('TL09'!$C$238:$C$451,$C137,'TL09'!$J$238:$J$451),0),
IF('TL10'!$B$3=P$3,SUMIF('TL10'!$C$10:$C$224,$C137,'TL10'!$J$10:$J$224),0),
IF('TL10'!$B$229=P$3,SUMIF('TL10'!$C$238:$C$451,$C137,'TL10'!$J$238:$J$451),0),
IF('TL11'!$B$3=P$3,SUMIF('TL11'!$C$10:$C$224,$C137,'TL11'!$J$10:$J$224),0),
IF('TL11'!$B$229=P$3,SUMIF('TL11'!$C$238:$C$451,$C137,'TL11'!$J$238:$J$451),0),
IF('TL12'!$B$3=P$3,SUMIF('TL12'!$C$10:$C$224,$C137,'TL12'!$J$10:$J$224),0),
IF('TL12'!$B$229=P$3,SUMIF('TL12'!$C$238:$C$451,$C137,'TL12'!$J$238:$J$451),0),
IF('TL13'!$B$3=P$3,SUMIF('TL13'!$C$10:$C$224,$C137,'TL13'!$J$10:$J$224),0),
IF('TL13'!$B$229=P$3,SUMIF('TL13'!$C$238:$C$451,$C137,'TL13'!$J$238:$J$451),0),
IF('TL14'!$B$3=P$3,SUMIF('TL14'!$C$10:$C$224,$C137,'TL14'!$J$10:$J$224),0),
IF('TL14'!$B$229=P$3,SUMIF('TL14'!$C$238:$C$451,$C137,'TL14'!$J$238:$J$451),0),
IF('TL15'!$B$3=P$3,SUMIF('TL15'!$C$10:$C$224,$C137,'TL15'!$J$10:$J$224),0),
IF('TL15'!$B$229=P$3,SUMIF('TL15'!$C$238:$C$451,$C137,'TL15'!$J$238:$J$451),0),
IF('TL16'!$B$3=P$3,SUMIF('TL16'!$C$10:$C$224,$C137,'TL16'!$J$10:$J$224),0),
IF('TL16'!$B$229=P$3,SUMIF('TL16'!$C$238:$C$451,$C137,'TL16'!$J$238:$J$451),0),
IF('TL17'!$B$3=P$3,SUMIF('TL17'!$C$10:$C$224,$C137,'TL17'!$J$10:$J$224),0),
IF('TL17'!$B$229=P$3,SUMIF('TL17'!$C$238:$C$451,$C137,'TL17'!$J$238:$J$451),0),
IF('TL18'!$B$3=P$3,SUMIF('TL18'!$C$10:$C$224,$C137,'TL18'!$J$10:$J$224),0),
IF('TL18'!$B$229=P$3,SUMIF('TL18'!$C$238:$C$451,$C137,'TL18'!$J$238:$J$451),0),
IF('TL19'!$B$3=P$3,SUMIF('TL19'!$C$10:$C$224,$C137,'TL19'!$J$10:$J$224),0),
IF('TL19'!$B$229=P$3,SUMIF('TL19'!$C$238:$C$451,$C137,'TL19'!$J$238:$J$451),0)
),0)</f>
        <v>612.2</v>
      </c>
      <c r="Q137" s="9">
        <f>IFERROR(SUM(
IF('TL01'!$B$3=Q$3,SUMIF('TL01'!$C$10:$C$224,$C137,'TL01'!$J$10:$J$224),0),
IF('TL01'!$B$229=Q$3,SUMIF('TL01'!$C$238:$C$451,$C137,'TL01'!$J$238:$J$451),0),
IF('TL02'!$B$3=Q$3,SUMIF('TL02'!$C$10:$C$224,$C137,'TL02'!$J$10:$J$224),0),
IF('TL02'!$B$229=Q$3,SUMIF('TL02'!$C$238:$C$451,$C137,'TL02'!$J$238:$J$451),0),
IF('TL03'!$B$3=Q$3,SUMIF('TL03'!$C$10:$C$224,$C137,'TL03'!$J$10:$J$224),0),
IF('TL03'!$B$229=Q$3,SUMIF('TL03'!$C$238:$C$451,$C137,'TL03'!$J$238:$J$451),0),
IF('TL04'!$B$3=Q$3,SUMIF('TL04'!$C$10:$C$224,$C137,'TL04'!$J$10:$J$224),0),
IF('TL04'!$B$229=Q$3,SUMIF('TL04'!$C$238:$C$451,$C137,'TL04'!$J$238:$J$451),0),
IF('TL05'!$B$3=Q$3,SUMIF('TL05'!$C$10:$C$224,$C137,'TL05'!$J$10:$J$224),0),
IF('TL05'!$B$229=Q$3,SUMIF('TL05'!$C$238:$C$451,$C137,'TL05'!$J$238:$J$451),0),
IF('TL06'!$B$3=Q$3,SUMIF('TL06'!$C$10:$C$224,$C137,'TL06'!$J$10:$J$224),0),
IF('TL06'!$B$229=Q$3,SUMIF('TL06'!$C$238:$C$451,$C137,'TL06'!$J$238:$J$451),0),
IF('TL07'!$B$3=Q$3,SUMIF('TL07'!$C$10:$C$224,$C137,'TL07'!$J$10:$J$224),0),
IF('TL07'!$B$229=Q$3,SUMIF('TL07'!$C$238:$C$451,$C137,'TL07'!$J$238:$J$451),0),
IF('TL08'!$B$3=Q$3,SUMIF('TL08'!$C$10:$C$224,$C137,'TL08'!$J$10:$J$224),0),
IF('TL08'!$B$229=Q$3,SUMIF('TL08'!$C$238:$C$451,$C137,'TL08'!$J$238:$J$451),0),
IF('TL09'!$B$3=Q$3,SUMIF('TL09'!$C$10:$C$224,$C137,'TL09'!$J$10:$J$224),0),
IF('TL09'!$B$229=Q$3,SUMIF('TL09'!$C$238:$C$451,$C137,'TL09'!$J$238:$J$451),0),
IF('TL10'!$B$3=Q$3,SUMIF('TL10'!$C$10:$C$224,$C137,'TL10'!$J$10:$J$224),0),
IF('TL10'!$B$229=Q$3,SUMIF('TL10'!$C$238:$C$451,$C137,'TL10'!$J$238:$J$451),0),
IF('TL11'!$B$3=Q$3,SUMIF('TL11'!$C$10:$C$224,$C137,'TL11'!$J$10:$J$224),0),
IF('TL11'!$B$229=Q$3,SUMIF('TL11'!$C$238:$C$451,$C137,'TL11'!$J$238:$J$451),0),
IF('TL12'!$B$3=Q$3,SUMIF('TL12'!$C$10:$C$224,$C137,'TL12'!$J$10:$J$224),0),
IF('TL12'!$B$229=Q$3,SUMIF('TL12'!$C$238:$C$451,$C137,'TL12'!$J$238:$J$451),0),
IF('TL13'!$B$3=Q$3,SUMIF('TL13'!$C$10:$C$224,$C137,'TL13'!$J$10:$J$224),0),
IF('TL13'!$B$229=Q$3,SUMIF('TL13'!$C$238:$C$451,$C137,'TL13'!$J$238:$J$451),0),
IF('TL14'!$B$3=Q$3,SUMIF('TL14'!$C$10:$C$224,$C137,'TL14'!$J$10:$J$224),0),
IF('TL14'!$B$229=Q$3,SUMIF('TL14'!$C$238:$C$451,$C137,'TL14'!$J$238:$J$451),0),
IF('TL15'!$B$3=Q$3,SUMIF('TL15'!$C$10:$C$224,$C137,'TL15'!$J$10:$J$224),0),
IF('TL15'!$B$229=Q$3,SUMIF('TL15'!$C$238:$C$451,$C137,'TL15'!$J$238:$J$451),0),
IF('TL16'!$B$3=Q$3,SUMIF('TL16'!$C$10:$C$224,$C137,'TL16'!$J$10:$J$224),0),
IF('TL16'!$B$229=Q$3,SUMIF('TL16'!$C$238:$C$451,$C137,'TL16'!$J$238:$J$451),0),
IF('TL17'!$B$3=Q$3,SUMIF('TL17'!$C$10:$C$224,$C137,'TL17'!$J$10:$J$224),0),
IF('TL17'!$B$229=Q$3,SUMIF('TL17'!$C$238:$C$451,$C137,'TL17'!$J$238:$J$451),0),
IF('TL18'!$B$3=Q$3,SUMIF('TL18'!$C$10:$C$224,$C137,'TL18'!$J$10:$J$224),0),
IF('TL18'!$B$229=Q$3,SUMIF('TL18'!$C$238:$C$451,$C137,'TL18'!$J$238:$J$451),0),
IF('TL19'!$B$3=Q$3,SUMIF('TL19'!$C$10:$C$224,$C137,'TL19'!$J$10:$J$224),0),
IF('TL19'!$B$229=Q$3,SUMIF('TL19'!$C$238:$C$451,$C137,'TL19'!$J$238:$J$451),0)
),0)</f>
        <v>168</v>
      </c>
      <c r="R137" s="9">
        <f>IFERROR(
SUM(
SUMIF('TL01'!C:C,C137,'TL01'!J:J),
SUMIF('TL02'!C:C,C137,'TL02'!J:J),
SUMIF('TL03'!C:C,C137,'TL03'!J:J),
SUMIF('TL04'!C:C,C137,'TL04'!J:J),
SUMIF('TL05'!C:C,C137,'TL05'!J:J),
SUMIF('TL06'!C:C,C137,'TL06'!J:J),
SUMIF('TL07'!C:C,C137,'TL07'!J:J),
SUMIF('TL08'!C:C,C137,'TL08'!J:J),
SUMIF('TL09'!C:C,C137,'TL09'!J:J),
SUMIF('TL10'!C:C,C137,'TL10'!J:J),
SUMIF('TL11'!C:C,C137,'TL11'!J:J),
SUMIF('TL12'!C:C,C137,'TL12'!J:J),
SUMIF('TL13'!C:C,C137,'TL13'!J:J),
SUMIF('TL14'!C:C,C137,'TL14'!J:J),
SUMIF('TL15'!C:C,C137,'TL15'!J:J),
SUMIF('TL16'!C:C,C137,'TL16'!J:J),
SUMIF('TL17'!C:C,C137,'TL17'!J:J),
SUMIF('TL18'!C:C,C137,'TL18'!J:J),SUMIF('TL19'!C:C,C137,'TL19'!J:J))
,0)</f>
        <v>804.2</v>
      </c>
      <c r="S137" s="17">
        <f>IFERROR(__xludf.DUMMYFUNCTION("IFERROR(VLOOKUP(C137,
IMPORTRANGE(""1wULbzX32WdYsx-lj2U3uUNBBe2INVIRDtcK0d-Dvl90"",
""26-27!C:G""),
5,
FALSE),
"""")"),30.847899999999996)</f>
        <v>30.8479</v>
      </c>
      <c r="T137" s="9"/>
      <c r="U137" s="92">
        <f t="shared" si="2"/>
        <v>804.2</v>
      </c>
      <c r="V137" s="93">
        <f t="shared" si="3"/>
        <v>24807.88118</v>
      </c>
    </row>
    <row r="138" ht="15.75" hidden="1" customHeight="1">
      <c r="A138" s="115" t="s">
        <v>679</v>
      </c>
      <c r="B138" s="100" t="s">
        <v>1</v>
      </c>
      <c r="C138" s="116" t="s">
        <v>683</v>
      </c>
      <c r="D138" s="116" t="s">
        <v>626</v>
      </c>
      <c r="E138" s="116">
        <v>880.0</v>
      </c>
      <c r="F138" s="4" t="s">
        <v>343</v>
      </c>
      <c r="G138" s="90" t="str">
        <f t="shared" si="4"/>
        <v>📄 Ver bula</v>
      </c>
      <c r="H138" s="9">
        <f>IFERROR(__xludf.DUMMYFUNCTION("IFERROR(VLOOKUP(C138,
IMPORTRANGE(""1wULbzX32WdYsx-lj2U3uUNBBe2INVIRDtcK0d-Dvl90"",
""26-27!C:K""),
8,
FALSE),
"""")"),0.5)</f>
        <v>0.5</v>
      </c>
      <c r="I138" s="117" t="s">
        <v>377</v>
      </c>
      <c r="J138" s="9">
        <f>IFERROR(SUM(
IF('TL01'!$B$3=J$3,SUMIF('TL01'!$C$10:$C$224,$C138,'TL01'!$J$10:$J$224),0),
IF('TL01'!$B$229=J$3,SUMIF('TL01'!$C$238:$C$451,$C138,'TL01'!$J$238:$J$451),0),
IF('TL02'!$B$3=J$3,SUMIF('TL02'!$C$10:$C$224,$C138,'TL02'!$J$10:$J$224),0),
IF('TL02'!$B$229=J$3,SUMIF('TL02'!$C$238:$C$451,$C138,'TL02'!$J$238:$J$451),0),
IF('TL03'!$B$3=J$3,SUMIF('TL03'!$C$10:$C$224,$C138,'TL03'!$J$10:$J$224),0),
IF('TL03'!$B$229=J$3,SUMIF('TL03'!$C$238:$C$451,$C138,'TL03'!$J$238:$J$451),0),
IF('TL04'!$B$3=J$3,SUMIF('TL04'!$C$10:$C$224,$C138,'TL04'!$J$10:$J$224),0),
IF('TL04'!$B$229=J$3,SUMIF('TL04'!$C$238:$C$451,$C138,'TL04'!$J$238:$J$451),0),
IF('TL05'!$B$3=J$3,SUMIF('TL05'!$C$10:$C$224,$C138,'TL05'!$J$10:$J$224),0),
IF('TL05'!$B$229=J$3,SUMIF('TL05'!$C$238:$C$451,$C138,'TL05'!$J$238:$J$451),0),
IF('TL06'!$B$3=J$3,SUMIF('TL06'!$C$10:$C$224,$C138,'TL06'!$J$10:$J$224),0),
IF('TL06'!$B$229=J$3,SUMIF('TL06'!$C$238:$C$451,$C138,'TL06'!$J$238:$J$451),0),
IF('TL07'!$B$3=J$3,SUMIF('TL07'!$C$10:$C$224,$C138,'TL07'!$J$10:$J$224),0),
IF('TL07'!$B$229=J$3,SUMIF('TL07'!$C$238:$C$451,$C138,'TL07'!$J$238:$J$451),0),
IF('TL08'!$B$3=J$3,SUMIF('TL08'!$C$10:$C$224,$C138,'TL08'!$J$10:$J$224),0),
IF('TL08'!$B$229=J$3,SUMIF('TL08'!$C$238:$C$451,$C138,'TL08'!$J$238:$J$451),0),
IF('TL09'!$B$3=J$3,SUMIF('TL09'!$C$10:$C$224,$C138,'TL09'!$J$10:$J$224),0),
IF('TL09'!$B$229=J$3,SUMIF('TL09'!$C$238:$C$451,$C138,'TL09'!$J$238:$J$451),0),
IF('TL10'!$B$3=J$3,SUMIF('TL10'!$C$10:$C$224,$C138,'TL10'!$J$10:$J$224),0),
IF('TL10'!$B$229=J$3,SUMIF('TL10'!$C$238:$C$451,$C138,'TL10'!$J$238:$J$451),0),
IF('TL11'!$B$3=J$3,SUMIF('TL11'!$C$10:$C$224,$C138,'TL11'!$J$10:$J$224),0),
IF('TL11'!$B$229=J$3,SUMIF('TL11'!$C$238:$C$451,$C138,'TL11'!$J$238:$J$451),0),
IF('TL12'!$B$3=J$3,SUMIF('TL12'!$C$10:$C$224,$C138,'TL12'!$J$10:$J$224),0),
IF('TL12'!$B$229=J$3,SUMIF('TL12'!$C$238:$C$451,$C138,'TL12'!$J$238:$J$451),0),
IF('TL13'!$B$3=J$3,SUMIF('TL13'!$C$10:$C$224,$C138,'TL13'!$J$10:$J$224),0),
IF('TL13'!$B$229=J$3,SUMIF('TL13'!$C$238:$C$451,$C138,'TL13'!$J$238:$J$451),0),
IF('TL14'!$B$3=J$3,SUMIF('TL14'!$C$10:$C$224,$C138,'TL14'!$J$10:$J$224),0),
IF('TL14'!$B$229=J$3,SUMIF('TL14'!$C$238:$C$451,$C138,'TL14'!$J$238:$J$451),0),
IF('TL15'!$B$3=J$3,SUMIF('TL15'!$C$10:$C$224,$C138,'TL15'!$J$10:$J$224),0),
IF('TL15'!$B$229=J$3,SUMIF('TL15'!$C$238:$C$451,$C138,'TL15'!$J$238:$J$451),0),
IF('TL16'!$B$3=J$3,SUMIF('TL16'!$C$10:$C$224,$C138,'TL16'!$J$10:$J$224),0),
IF('TL16'!$B$229=J$3,SUMIF('TL16'!$C$238:$C$451,$C138,'TL16'!$J$238:$J$451),0),
IF('TL17'!$B$3=J$3,SUMIF('TL17'!$C$10:$C$224,$C138,'TL17'!$J$10:$J$224),0),
IF('TL17'!$B$229=J$3,SUMIF('TL17'!$C$238:$C$451,$C138,'TL17'!$J$238:$J$451),0),
IF('TL18'!$B$3=J$3,SUMIF('TL18'!$C$10:$C$224,$C138,'TL18'!$J$10:$J$224),0),
IF('TL18'!$B$229=J$3,SUMIF('TL18'!$C$238:$C$451,$C138,'TL18'!$J$238:$J$451),0),
IF('TL19'!$B$3=J$3,SUMIF('TL19'!$C$10:$C$224,$C138,'TL19'!$J$10:$J$224),0),
IF('TL19'!$B$229=J$3,SUMIF('TL19'!$C$238:$C$451,$C138,'TL19'!$J$238:$J$451),0)
),0)</f>
        <v>490</v>
      </c>
      <c r="K138" s="9">
        <f>IFERROR(SUM(
IF('TL01'!$B$3=K$3,SUMIF('TL01'!$C$10:$C$224,$C138,'TL01'!$J$10:$J$224),0),
IF('TL01'!$B$229=K$3,SUMIF('TL01'!$C$238:$C$451,$C138,'TL01'!$J$238:$J$451),0),
IF('TL02'!$B$3=K$3,SUMIF('TL02'!$C$10:$C$224,$C138,'TL02'!$J$10:$J$224),0),
IF('TL02'!$B$229=K$3,SUMIF('TL02'!$C$238:$C$451,$C138,'TL02'!$J$238:$J$451),0),
IF('TL03'!$B$3=K$3,SUMIF('TL03'!$C$10:$C$224,$C138,'TL03'!$J$10:$J$224),0),
IF('TL03'!$B$229=K$3,SUMIF('TL03'!$C$238:$C$451,$C138,'TL03'!$J$238:$J$451),0),
IF('TL04'!$B$3=K$3,SUMIF('TL04'!$C$10:$C$224,$C138,'TL04'!$J$10:$J$224),0),
IF('TL04'!$B$229=K$3,SUMIF('TL04'!$C$238:$C$451,$C138,'TL04'!$J$238:$J$451),0),
IF('TL05'!$B$3=K$3,SUMIF('TL05'!$C$10:$C$224,$C138,'TL05'!$J$10:$J$224),0),
IF('TL05'!$B$229=K$3,SUMIF('TL05'!$C$238:$C$451,$C138,'TL05'!$J$238:$J$451),0),
IF('TL06'!$B$3=K$3,SUMIF('TL06'!$C$10:$C$224,$C138,'TL06'!$J$10:$J$224),0),
IF('TL06'!$B$229=K$3,SUMIF('TL06'!$C$238:$C$451,$C138,'TL06'!$J$238:$J$451),0),
IF('TL07'!$B$3=K$3,SUMIF('TL07'!$C$10:$C$224,$C138,'TL07'!$J$10:$J$224),0),
IF('TL07'!$B$229=K$3,SUMIF('TL07'!$C$238:$C$451,$C138,'TL07'!$J$238:$J$451),0),
IF('TL08'!$B$3=K$3,SUMIF('TL08'!$C$10:$C$224,$C138,'TL08'!$J$10:$J$224),0),
IF('TL08'!$B$229=K$3,SUMIF('TL08'!$C$238:$C$451,$C138,'TL08'!$J$238:$J$451),0),
IF('TL09'!$B$3=K$3,SUMIF('TL09'!$C$10:$C$224,$C138,'TL09'!$J$10:$J$224),0),
IF('TL09'!$B$229=K$3,SUMIF('TL09'!$C$238:$C$451,$C138,'TL09'!$J$238:$J$451),0),
IF('TL10'!$B$3=K$3,SUMIF('TL10'!$C$10:$C$224,$C138,'TL10'!$J$10:$J$224),0),
IF('TL10'!$B$229=K$3,SUMIF('TL10'!$C$238:$C$451,$C138,'TL10'!$J$238:$J$451),0),
IF('TL11'!$B$3=K$3,SUMIF('TL11'!$C$10:$C$224,$C138,'TL11'!$J$10:$J$224),0),
IF('TL11'!$B$229=K$3,SUMIF('TL11'!$C$238:$C$451,$C138,'TL11'!$J$238:$J$451),0),
IF('TL12'!$B$3=K$3,SUMIF('TL12'!$C$10:$C$224,$C138,'TL12'!$J$10:$J$224),0),
IF('TL12'!$B$229=K$3,SUMIF('TL12'!$C$238:$C$451,$C138,'TL12'!$J$238:$J$451),0),
IF('TL13'!$B$3=K$3,SUMIF('TL13'!$C$10:$C$224,$C138,'TL13'!$J$10:$J$224),0),
IF('TL13'!$B$229=K$3,SUMIF('TL13'!$C$238:$C$451,$C138,'TL13'!$J$238:$J$451),0),
IF('TL14'!$B$3=K$3,SUMIF('TL14'!$C$10:$C$224,$C138,'TL14'!$J$10:$J$224),0),
IF('TL14'!$B$229=K$3,SUMIF('TL14'!$C$238:$C$451,$C138,'TL14'!$J$238:$J$451),0),
IF('TL15'!$B$3=K$3,SUMIF('TL15'!$C$10:$C$224,$C138,'TL15'!$J$10:$J$224),0),
IF('TL15'!$B$229=K$3,SUMIF('TL15'!$C$238:$C$451,$C138,'TL15'!$J$238:$J$451),0),
IF('TL16'!$B$3=K$3,SUMIF('TL16'!$C$10:$C$224,$C138,'TL16'!$J$10:$J$224),0),
IF('TL16'!$B$229=K$3,SUMIF('TL16'!$C$238:$C$451,$C138,'TL16'!$J$238:$J$451),0),
IF('TL17'!$B$3=K$3,SUMIF('TL17'!$C$10:$C$224,$C138,'TL17'!$J$10:$J$224),0),
IF('TL17'!$B$229=K$3,SUMIF('TL17'!$C$238:$C$451,$C138,'TL17'!$J$238:$J$451),0),
IF('TL18'!$B$3=K$3,SUMIF('TL18'!$C$10:$C$224,$C138,'TL18'!$J$10:$J$224),0),
IF('TL18'!$B$229=K$3,SUMIF('TL18'!$C$238:$C$451,$C138,'TL18'!$J$238:$J$451),0),
IF('TL19'!$B$3=K$3,SUMIF('TL19'!$C$10:$C$224,$C138,'TL19'!$J$10:$J$224),0),
IF('TL19'!$B$229=K$3,SUMIF('TL19'!$C$238:$C$451,$C138,'TL19'!$J$238:$J$451),0)
),0)</f>
        <v>80</v>
      </c>
      <c r="L138" s="9">
        <f>IFERROR(SUM(
IF('TL01'!$B$3=L$3,SUMIF('TL01'!$C$10:$C$224,$C138,'TL01'!$J$10:$J$224),0),
IF('TL01'!$B$229=L$3,SUMIF('TL01'!$C$238:$C$451,$C138,'TL01'!$J$238:$J$451),0),
IF('TL02'!$B$3=L$3,SUMIF('TL02'!$C$10:$C$224,$C138,'TL02'!$J$10:$J$224),0),
IF('TL02'!$B$229=L$3,SUMIF('TL02'!$C$238:$C$451,$C138,'TL02'!$J$238:$J$451),0),
IF('TL03'!$B$3=L$3,SUMIF('TL03'!$C$10:$C$224,$C138,'TL03'!$J$10:$J$224),0),
IF('TL03'!$B$229=L$3,SUMIF('TL03'!$C$238:$C$451,$C138,'TL03'!$J$238:$J$451),0),
IF('TL04'!$B$3=L$3,SUMIF('TL04'!$C$10:$C$224,$C138,'TL04'!$J$10:$J$224),0),
IF('TL04'!$B$229=L$3,SUMIF('TL04'!$C$238:$C$451,$C138,'TL04'!$J$238:$J$451),0),
IF('TL05'!$B$3=L$3,SUMIF('TL05'!$C$10:$C$224,$C138,'TL05'!$J$10:$J$224),0),
IF('TL05'!$B$229=L$3,SUMIF('TL05'!$C$238:$C$451,$C138,'TL05'!$J$238:$J$451),0),
IF('TL06'!$B$3=L$3,SUMIF('TL06'!$C$10:$C$224,$C138,'TL06'!$J$10:$J$224),0),
IF('TL06'!$B$229=L$3,SUMIF('TL06'!$C$238:$C$451,$C138,'TL06'!$J$238:$J$451),0),
IF('TL07'!$B$3=L$3,SUMIF('TL07'!$C$10:$C$224,$C138,'TL07'!$J$10:$J$224),0),
IF('TL07'!$B$229=L$3,SUMIF('TL07'!$C$238:$C$451,$C138,'TL07'!$J$238:$J$451),0),
IF('TL08'!$B$3=L$3,SUMIF('TL08'!$C$10:$C$224,$C138,'TL08'!$J$10:$J$224),0),
IF('TL08'!$B$229=L$3,SUMIF('TL08'!$C$238:$C$451,$C138,'TL08'!$J$238:$J$451),0),
IF('TL09'!$B$3=L$3,SUMIF('TL09'!$C$10:$C$224,$C138,'TL09'!$J$10:$J$224),0),
IF('TL09'!$B$229=L$3,SUMIF('TL09'!$C$238:$C$451,$C138,'TL09'!$J$238:$J$451),0),
IF('TL10'!$B$3=L$3,SUMIF('TL10'!$C$10:$C$224,$C138,'TL10'!$J$10:$J$224),0),
IF('TL10'!$B$229=L$3,SUMIF('TL10'!$C$238:$C$451,$C138,'TL10'!$J$238:$J$451),0),
IF('TL11'!$B$3=L$3,SUMIF('TL11'!$C$10:$C$224,$C138,'TL11'!$J$10:$J$224),0),
IF('TL11'!$B$229=L$3,SUMIF('TL11'!$C$238:$C$451,$C138,'TL11'!$J$238:$J$451),0),
IF('TL12'!$B$3=L$3,SUMIF('TL12'!$C$10:$C$224,$C138,'TL12'!$J$10:$J$224),0),
IF('TL12'!$B$229=L$3,SUMIF('TL12'!$C$238:$C$451,$C138,'TL12'!$J$238:$J$451),0),
IF('TL13'!$B$3=L$3,SUMIF('TL13'!$C$10:$C$224,$C138,'TL13'!$J$10:$J$224),0),
IF('TL13'!$B$229=L$3,SUMIF('TL13'!$C$238:$C$451,$C138,'TL13'!$J$238:$J$451),0),
IF('TL14'!$B$3=L$3,SUMIF('TL14'!$C$10:$C$224,$C138,'TL14'!$J$10:$J$224),0),
IF('TL14'!$B$229=L$3,SUMIF('TL14'!$C$238:$C$451,$C138,'TL14'!$J$238:$J$451),0),
IF('TL15'!$B$3=L$3,SUMIF('TL15'!$C$10:$C$224,$C138,'TL15'!$J$10:$J$224),0),
IF('TL15'!$B$229=L$3,SUMIF('TL15'!$C$238:$C$451,$C138,'TL15'!$J$238:$J$451),0),
IF('TL16'!$B$3=L$3,SUMIF('TL16'!$C$10:$C$224,$C138,'TL16'!$J$10:$J$224),0),
IF('TL16'!$B$229=L$3,SUMIF('TL16'!$C$238:$C$451,$C138,'TL16'!$J$238:$J$451),0),
IF('TL17'!$B$3=L$3,SUMIF('TL17'!$C$10:$C$224,$C138,'TL17'!$J$10:$J$224),0),
IF('TL17'!$B$229=L$3,SUMIF('TL17'!$C$238:$C$451,$C138,'TL17'!$J$238:$J$451),0),
IF('TL18'!$B$3=L$3,SUMIF('TL18'!$C$10:$C$224,$C138,'TL18'!$J$10:$J$224),0),
IF('TL18'!$B$229=L$3,SUMIF('TL18'!$C$238:$C$451,$C138,'TL18'!$J$238:$J$451),0),
IF('TL19'!$B$3=L$3,SUMIF('TL19'!$C$10:$C$224,$C138,'TL19'!$J$10:$J$224),0),
IF('TL19'!$B$229=L$3,SUMIF('TL19'!$C$238:$C$451,$C138,'TL19'!$J$238:$J$451),0)
),0)</f>
        <v>110</v>
      </c>
      <c r="M138" s="9">
        <f>IFERROR(SUM(
IF('TL01'!$B$3=M$3,SUMIF('TL01'!$C$10:$C$224,$C138,'TL01'!$J$10:$J$224),0),
IF('TL01'!$B$229=M$3,SUMIF('TL01'!$C$238:$C$451,$C138,'TL01'!$J$238:$J$451),0),
IF('TL02'!$B$3=M$3,SUMIF('TL02'!$C$10:$C$224,$C138,'TL02'!$J$10:$J$224),0),
IF('TL02'!$B$229=M$3,SUMIF('TL02'!$C$238:$C$451,$C138,'TL02'!$J$238:$J$451),0),
IF('TL03'!$B$3=M$3,SUMIF('TL03'!$C$10:$C$224,$C138,'TL03'!$J$10:$J$224),0),
IF('TL03'!$B$229=M$3,SUMIF('TL03'!$C$238:$C$451,$C138,'TL03'!$J$238:$J$451),0),
IF('TL04'!$B$3=M$3,SUMIF('TL04'!$C$10:$C$224,$C138,'TL04'!$J$10:$J$224),0),
IF('TL04'!$B$229=M$3,SUMIF('TL04'!$C$238:$C$451,$C138,'TL04'!$J$238:$J$451),0),
IF('TL05'!$B$3=M$3,SUMIF('TL05'!$C$10:$C$224,$C138,'TL05'!$J$10:$J$224),0),
IF('TL05'!$B$229=M$3,SUMIF('TL05'!$C$238:$C$451,$C138,'TL05'!$J$238:$J$451),0),
IF('TL06'!$B$3=M$3,SUMIF('TL06'!$C$10:$C$224,$C138,'TL06'!$J$10:$J$224),0),
IF('TL06'!$B$229=M$3,SUMIF('TL06'!$C$238:$C$451,$C138,'TL06'!$J$238:$J$451),0),
IF('TL07'!$B$3=M$3,SUMIF('TL07'!$C$10:$C$224,$C138,'TL07'!$J$10:$J$224),0),
IF('TL07'!$B$229=M$3,SUMIF('TL07'!$C$238:$C$451,$C138,'TL07'!$J$238:$J$451),0),
IF('TL08'!$B$3=M$3,SUMIF('TL08'!$C$10:$C$224,$C138,'TL08'!$J$10:$J$224),0),
IF('TL08'!$B$229=M$3,SUMIF('TL08'!$C$238:$C$451,$C138,'TL08'!$J$238:$J$451),0),
IF('TL09'!$B$3=M$3,SUMIF('TL09'!$C$10:$C$224,$C138,'TL09'!$J$10:$J$224),0),
IF('TL09'!$B$229=M$3,SUMIF('TL09'!$C$238:$C$451,$C138,'TL09'!$J$238:$J$451),0),
IF('TL10'!$B$3=M$3,SUMIF('TL10'!$C$10:$C$224,$C138,'TL10'!$J$10:$J$224),0),
IF('TL10'!$B$229=M$3,SUMIF('TL10'!$C$238:$C$451,$C138,'TL10'!$J$238:$J$451),0),
IF('TL11'!$B$3=M$3,SUMIF('TL11'!$C$10:$C$224,$C138,'TL11'!$J$10:$J$224),0),
IF('TL11'!$B$229=M$3,SUMIF('TL11'!$C$238:$C$451,$C138,'TL11'!$J$238:$J$451),0),
IF('TL12'!$B$3=M$3,SUMIF('TL12'!$C$10:$C$224,$C138,'TL12'!$J$10:$J$224),0),
IF('TL12'!$B$229=M$3,SUMIF('TL12'!$C$238:$C$451,$C138,'TL12'!$J$238:$J$451),0),
IF('TL13'!$B$3=M$3,SUMIF('TL13'!$C$10:$C$224,$C138,'TL13'!$J$10:$J$224),0),
IF('TL13'!$B$229=M$3,SUMIF('TL13'!$C$238:$C$451,$C138,'TL13'!$J$238:$J$451),0),
IF('TL14'!$B$3=M$3,SUMIF('TL14'!$C$10:$C$224,$C138,'TL14'!$J$10:$J$224),0),
IF('TL14'!$B$229=M$3,SUMIF('TL14'!$C$238:$C$451,$C138,'TL14'!$J$238:$J$451),0),
IF('TL15'!$B$3=M$3,SUMIF('TL15'!$C$10:$C$224,$C138,'TL15'!$J$10:$J$224),0),
IF('TL15'!$B$229=M$3,SUMIF('TL15'!$C$238:$C$451,$C138,'TL15'!$J$238:$J$451),0),
IF('TL16'!$B$3=M$3,SUMIF('TL16'!$C$10:$C$224,$C138,'TL16'!$J$10:$J$224),0),
IF('TL16'!$B$229=M$3,SUMIF('TL16'!$C$238:$C$451,$C138,'TL16'!$J$238:$J$451),0),
IF('TL17'!$B$3=M$3,SUMIF('TL17'!$C$10:$C$224,$C138,'TL17'!$J$10:$J$224),0),
IF('TL17'!$B$229=M$3,SUMIF('TL17'!$C$238:$C$451,$C138,'TL17'!$J$238:$J$451),0),
IF('TL18'!$B$3=M$3,SUMIF('TL18'!$C$10:$C$224,$C138,'TL18'!$J$10:$J$224),0),
IF('TL18'!$B$229=M$3,SUMIF('TL18'!$C$238:$C$451,$C138,'TL18'!$J$238:$J$451),0),
IF('TL19'!$B$3=M$3,SUMIF('TL19'!$C$10:$C$224,$C138,'TL19'!$J$10:$J$224),0),
IF('TL19'!$B$229=M$3,SUMIF('TL19'!$C$238:$C$451,$C138,'TL19'!$J$238:$J$451),0)
),0)</f>
        <v>0</v>
      </c>
      <c r="N138" s="9">
        <f>IFERROR(SUM(
IF('TL01'!$B$3=N$3,SUMIF('TL01'!$C$10:$C$224,$C138,'TL01'!$J$10:$J$224),0),
IF('TL01'!$B$229=N$3,SUMIF('TL01'!$C$238:$C$451,$C138,'TL01'!$J$238:$J$451),0),
IF('TL02'!$B$3=N$3,SUMIF('TL02'!$C$10:$C$224,$C138,'TL02'!$J$10:$J$224),0),
IF('TL02'!$B$229=N$3,SUMIF('TL02'!$C$238:$C$451,$C138,'TL02'!$J$238:$J$451),0),
IF('TL03'!$B$3=N$3,SUMIF('TL03'!$C$10:$C$224,$C138,'TL03'!$J$10:$J$224),0),
IF('TL03'!$B$229=N$3,SUMIF('TL03'!$C$238:$C$451,$C138,'TL03'!$J$238:$J$451),0),
IF('TL04'!$B$3=N$3,SUMIF('TL04'!$C$10:$C$224,$C138,'TL04'!$J$10:$J$224),0),
IF('TL04'!$B$229=N$3,SUMIF('TL04'!$C$238:$C$451,$C138,'TL04'!$J$238:$J$451),0),
IF('TL05'!$B$3=N$3,SUMIF('TL05'!$C$10:$C$224,$C138,'TL05'!$J$10:$J$224),0),
IF('TL05'!$B$229=N$3,SUMIF('TL05'!$C$238:$C$451,$C138,'TL05'!$J$238:$J$451),0),
IF('TL06'!$B$3=N$3,SUMIF('TL06'!$C$10:$C$224,$C138,'TL06'!$J$10:$J$224),0),
IF('TL06'!$B$229=N$3,SUMIF('TL06'!$C$238:$C$451,$C138,'TL06'!$J$238:$J$451),0),
IF('TL07'!$B$3=N$3,SUMIF('TL07'!$C$10:$C$224,$C138,'TL07'!$J$10:$J$224),0),
IF('TL07'!$B$229=N$3,SUMIF('TL07'!$C$238:$C$451,$C138,'TL07'!$J$238:$J$451),0),
IF('TL08'!$B$3=N$3,SUMIF('TL08'!$C$10:$C$224,$C138,'TL08'!$J$10:$J$224),0),
IF('TL08'!$B$229=N$3,SUMIF('TL08'!$C$238:$C$451,$C138,'TL08'!$J$238:$J$451),0),
IF('TL09'!$B$3=N$3,SUMIF('TL09'!$C$10:$C$224,$C138,'TL09'!$J$10:$J$224),0),
IF('TL09'!$B$229=N$3,SUMIF('TL09'!$C$238:$C$451,$C138,'TL09'!$J$238:$J$451),0),
IF('TL10'!$B$3=N$3,SUMIF('TL10'!$C$10:$C$224,$C138,'TL10'!$J$10:$J$224),0),
IF('TL10'!$B$229=N$3,SUMIF('TL10'!$C$238:$C$451,$C138,'TL10'!$J$238:$J$451),0),
IF('TL11'!$B$3=N$3,SUMIF('TL11'!$C$10:$C$224,$C138,'TL11'!$J$10:$J$224),0),
IF('TL11'!$B$229=N$3,SUMIF('TL11'!$C$238:$C$451,$C138,'TL11'!$J$238:$J$451),0),
IF('TL12'!$B$3=N$3,SUMIF('TL12'!$C$10:$C$224,$C138,'TL12'!$J$10:$J$224),0),
IF('TL12'!$B$229=N$3,SUMIF('TL12'!$C$238:$C$451,$C138,'TL12'!$J$238:$J$451),0),
IF('TL13'!$B$3=N$3,SUMIF('TL13'!$C$10:$C$224,$C138,'TL13'!$J$10:$J$224),0),
IF('TL13'!$B$229=N$3,SUMIF('TL13'!$C$238:$C$451,$C138,'TL13'!$J$238:$J$451),0),
IF('TL14'!$B$3=N$3,SUMIF('TL14'!$C$10:$C$224,$C138,'TL14'!$J$10:$J$224),0),
IF('TL14'!$B$229=N$3,SUMIF('TL14'!$C$238:$C$451,$C138,'TL14'!$J$238:$J$451),0),
IF('TL15'!$B$3=N$3,SUMIF('TL15'!$C$10:$C$224,$C138,'TL15'!$J$10:$J$224),0),
IF('TL15'!$B$229=N$3,SUMIF('TL15'!$C$238:$C$451,$C138,'TL15'!$J$238:$J$451),0),
IF('TL16'!$B$3=N$3,SUMIF('TL16'!$C$10:$C$224,$C138,'TL16'!$J$10:$J$224),0),
IF('TL16'!$B$229=N$3,SUMIF('TL16'!$C$238:$C$451,$C138,'TL16'!$J$238:$J$451),0),
IF('TL17'!$B$3=N$3,SUMIF('TL17'!$C$10:$C$224,$C138,'TL17'!$J$10:$J$224),0),
IF('TL17'!$B$229=N$3,SUMIF('TL17'!$C$238:$C$451,$C138,'TL17'!$J$238:$J$451),0),
IF('TL18'!$B$3=N$3,SUMIF('TL18'!$C$10:$C$224,$C138,'TL18'!$J$10:$J$224),0),
IF('TL18'!$B$229=N$3,SUMIF('TL18'!$C$238:$C$451,$C138,'TL18'!$J$238:$J$451),0),
IF('TL19'!$B$3=N$3,SUMIF('TL19'!$C$10:$C$224,$C138,'TL19'!$J$10:$J$224),0),
IF('TL19'!$B$229=N$3,SUMIF('TL19'!$C$238:$C$451,$C138,'TL19'!$J$238:$J$451),0)
),0)</f>
        <v>280.2</v>
      </c>
      <c r="O138" s="9">
        <f>IFERROR(SUM(
IF('TL01'!$B$3=O$3,SUMIF('TL01'!$C$10:$C$224,$C138,'TL01'!$J$10:$J$224),0),
IF('TL01'!$B$229=O$3,SUMIF('TL01'!$C$238:$C$451,$C138,'TL01'!$J$238:$J$451),0),
IF('TL02'!$B$3=O$3,SUMIF('TL02'!$C$10:$C$224,$C138,'TL02'!$J$10:$J$224),0),
IF('TL02'!$B$229=O$3,SUMIF('TL02'!$C$238:$C$451,$C138,'TL02'!$J$238:$J$451),0),
IF('TL03'!$B$3=O$3,SUMIF('TL03'!$C$10:$C$224,$C138,'TL03'!$J$10:$J$224),0),
IF('TL03'!$B$229=O$3,SUMIF('TL03'!$C$238:$C$451,$C138,'TL03'!$J$238:$J$451),0),
IF('TL04'!$B$3=O$3,SUMIF('TL04'!$C$10:$C$224,$C138,'TL04'!$J$10:$J$224),0),
IF('TL04'!$B$229=O$3,SUMIF('TL04'!$C$238:$C$451,$C138,'TL04'!$J$238:$J$451),0),
IF('TL05'!$B$3=O$3,SUMIF('TL05'!$C$10:$C$224,$C138,'TL05'!$J$10:$J$224),0),
IF('TL05'!$B$229=O$3,SUMIF('TL05'!$C$238:$C$451,$C138,'TL05'!$J$238:$J$451),0),
IF('TL06'!$B$3=O$3,SUMIF('TL06'!$C$10:$C$224,$C138,'TL06'!$J$10:$J$224),0),
IF('TL06'!$B$229=O$3,SUMIF('TL06'!$C$238:$C$451,$C138,'TL06'!$J$238:$J$451),0),
IF('TL07'!$B$3=O$3,SUMIF('TL07'!$C$10:$C$224,$C138,'TL07'!$J$10:$J$224),0),
IF('TL07'!$B$229=O$3,SUMIF('TL07'!$C$238:$C$451,$C138,'TL07'!$J$238:$J$451),0),
IF('TL08'!$B$3=O$3,SUMIF('TL08'!$C$10:$C$224,$C138,'TL08'!$J$10:$J$224),0),
IF('TL08'!$B$229=O$3,SUMIF('TL08'!$C$238:$C$451,$C138,'TL08'!$J$238:$J$451),0),
IF('TL09'!$B$3=O$3,SUMIF('TL09'!$C$10:$C$224,$C138,'TL09'!$J$10:$J$224),0),
IF('TL09'!$B$229=O$3,SUMIF('TL09'!$C$238:$C$451,$C138,'TL09'!$J$238:$J$451),0),
IF('TL10'!$B$3=O$3,SUMIF('TL10'!$C$10:$C$224,$C138,'TL10'!$J$10:$J$224),0),
IF('TL10'!$B$229=O$3,SUMIF('TL10'!$C$238:$C$451,$C138,'TL10'!$J$238:$J$451),0),
IF('TL11'!$B$3=O$3,SUMIF('TL11'!$C$10:$C$224,$C138,'TL11'!$J$10:$J$224),0),
IF('TL11'!$B$229=O$3,SUMIF('TL11'!$C$238:$C$451,$C138,'TL11'!$J$238:$J$451),0),
IF('TL12'!$B$3=O$3,SUMIF('TL12'!$C$10:$C$224,$C138,'TL12'!$J$10:$J$224),0),
IF('TL12'!$B$229=O$3,SUMIF('TL12'!$C$238:$C$451,$C138,'TL12'!$J$238:$J$451),0),
IF('TL13'!$B$3=O$3,SUMIF('TL13'!$C$10:$C$224,$C138,'TL13'!$J$10:$J$224),0),
IF('TL13'!$B$229=O$3,SUMIF('TL13'!$C$238:$C$451,$C138,'TL13'!$J$238:$J$451),0),
IF('TL14'!$B$3=O$3,SUMIF('TL14'!$C$10:$C$224,$C138,'TL14'!$J$10:$J$224),0),
IF('TL14'!$B$229=O$3,SUMIF('TL14'!$C$238:$C$451,$C138,'TL14'!$J$238:$J$451),0),
IF('TL15'!$B$3=O$3,SUMIF('TL15'!$C$10:$C$224,$C138,'TL15'!$J$10:$J$224),0),
IF('TL15'!$B$229=O$3,SUMIF('TL15'!$C$238:$C$451,$C138,'TL15'!$J$238:$J$451),0),
IF('TL16'!$B$3=O$3,SUMIF('TL16'!$C$10:$C$224,$C138,'TL16'!$J$10:$J$224),0),
IF('TL16'!$B$229=O$3,SUMIF('TL16'!$C$238:$C$451,$C138,'TL16'!$J$238:$J$451),0),
IF('TL17'!$B$3=O$3,SUMIF('TL17'!$C$10:$C$224,$C138,'TL17'!$J$10:$J$224),0),
IF('TL17'!$B$229=O$3,SUMIF('TL17'!$C$238:$C$451,$C138,'TL17'!$J$238:$J$451),0),
IF('TL18'!$B$3=O$3,SUMIF('TL18'!$C$10:$C$224,$C138,'TL18'!$J$10:$J$224),0),
IF('TL18'!$B$229=O$3,SUMIF('TL18'!$C$238:$C$451,$C138,'TL18'!$J$238:$J$451),0),
IF('TL19'!$B$3=O$3,SUMIF('TL19'!$C$10:$C$224,$C138,'TL19'!$J$10:$J$224),0),
IF('TL19'!$B$229=O$3,SUMIF('TL19'!$C$238:$C$451,$C138,'TL19'!$J$238:$J$451),0)
),0)</f>
        <v>220</v>
      </c>
      <c r="P138" s="9">
        <f>IFERROR(SUM(
IF('TL01'!$B$3=P$3,SUMIF('TL01'!$C$10:$C$224,$C138,'TL01'!$J$10:$J$224),0),
IF('TL01'!$B$229=P$3,SUMIF('TL01'!$C$238:$C$451,$C138,'TL01'!$J$238:$J$451),0),
IF('TL02'!$B$3=P$3,SUMIF('TL02'!$C$10:$C$224,$C138,'TL02'!$J$10:$J$224),0),
IF('TL02'!$B$229=P$3,SUMIF('TL02'!$C$238:$C$451,$C138,'TL02'!$J$238:$J$451),0),
IF('TL03'!$B$3=P$3,SUMIF('TL03'!$C$10:$C$224,$C138,'TL03'!$J$10:$J$224),0),
IF('TL03'!$B$229=P$3,SUMIF('TL03'!$C$238:$C$451,$C138,'TL03'!$J$238:$J$451),0),
IF('TL04'!$B$3=P$3,SUMIF('TL04'!$C$10:$C$224,$C138,'TL04'!$J$10:$J$224),0),
IF('TL04'!$B$229=P$3,SUMIF('TL04'!$C$238:$C$451,$C138,'TL04'!$J$238:$J$451),0),
IF('TL05'!$B$3=P$3,SUMIF('TL05'!$C$10:$C$224,$C138,'TL05'!$J$10:$J$224),0),
IF('TL05'!$B$229=P$3,SUMIF('TL05'!$C$238:$C$451,$C138,'TL05'!$J$238:$J$451),0),
IF('TL06'!$B$3=P$3,SUMIF('TL06'!$C$10:$C$224,$C138,'TL06'!$J$10:$J$224),0),
IF('TL06'!$B$229=P$3,SUMIF('TL06'!$C$238:$C$451,$C138,'TL06'!$J$238:$J$451),0),
IF('TL07'!$B$3=P$3,SUMIF('TL07'!$C$10:$C$224,$C138,'TL07'!$J$10:$J$224),0),
IF('TL07'!$B$229=P$3,SUMIF('TL07'!$C$238:$C$451,$C138,'TL07'!$J$238:$J$451),0),
IF('TL08'!$B$3=P$3,SUMIF('TL08'!$C$10:$C$224,$C138,'TL08'!$J$10:$J$224),0),
IF('TL08'!$B$229=P$3,SUMIF('TL08'!$C$238:$C$451,$C138,'TL08'!$J$238:$J$451),0),
IF('TL09'!$B$3=P$3,SUMIF('TL09'!$C$10:$C$224,$C138,'TL09'!$J$10:$J$224),0),
IF('TL09'!$B$229=P$3,SUMIF('TL09'!$C$238:$C$451,$C138,'TL09'!$J$238:$J$451),0),
IF('TL10'!$B$3=P$3,SUMIF('TL10'!$C$10:$C$224,$C138,'TL10'!$J$10:$J$224),0),
IF('TL10'!$B$229=P$3,SUMIF('TL10'!$C$238:$C$451,$C138,'TL10'!$J$238:$J$451),0),
IF('TL11'!$B$3=P$3,SUMIF('TL11'!$C$10:$C$224,$C138,'TL11'!$J$10:$J$224),0),
IF('TL11'!$B$229=P$3,SUMIF('TL11'!$C$238:$C$451,$C138,'TL11'!$J$238:$J$451),0),
IF('TL12'!$B$3=P$3,SUMIF('TL12'!$C$10:$C$224,$C138,'TL12'!$J$10:$J$224),0),
IF('TL12'!$B$229=P$3,SUMIF('TL12'!$C$238:$C$451,$C138,'TL12'!$J$238:$J$451),0),
IF('TL13'!$B$3=P$3,SUMIF('TL13'!$C$10:$C$224,$C138,'TL13'!$J$10:$J$224),0),
IF('TL13'!$B$229=P$3,SUMIF('TL13'!$C$238:$C$451,$C138,'TL13'!$J$238:$J$451),0),
IF('TL14'!$B$3=P$3,SUMIF('TL14'!$C$10:$C$224,$C138,'TL14'!$J$10:$J$224),0),
IF('TL14'!$B$229=P$3,SUMIF('TL14'!$C$238:$C$451,$C138,'TL14'!$J$238:$J$451),0),
IF('TL15'!$B$3=P$3,SUMIF('TL15'!$C$10:$C$224,$C138,'TL15'!$J$10:$J$224),0),
IF('TL15'!$B$229=P$3,SUMIF('TL15'!$C$238:$C$451,$C138,'TL15'!$J$238:$J$451),0),
IF('TL16'!$B$3=P$3,SUMIF('TL16'!$C$10:$C$224,$C138,'TL16'!$J$10:$J$224),0),
IF('TL16'!$B$229=P$3,SUMIF('TL16'!$C$238:$C$451,$C138,'TL16'!$J$238:$J$451),0),
IF('TL17'!$B$3=P$3,SUMIF('TL17'!$C$10:$C$224,$C138,'TL17'!$J$10:$J$224),0),
IF('TL17'!$B$229=P$3,SUMIF('TL17'!$C$238:$C$451,$C138,'TL17'!$J$238:$J$451),0),
IF('TL18'!$B$3=P$3,SUMIF('TL18'!$C$10:$C$224,$C138,'TL18'!$J$10:$J$224),0),
IF('TL18'!$B$229=P$3,SUMIF('TL18'!$C$238:$C$451,$C138,'TL18'!$J$238:$J$451),0),
IF('TL19'!$B$3=P$3,SUMIF('TL19'!$C$10:$C$224,$C138,'TL19'!$J$10:$J$224),0),
IF('TL19'!$B$229=P$3,SUMIF('TL19'!$C$238:$C$451,$C138,'TL19'!$J$238:$J$451),0)
),0)</f>
        <v>625</v>
      </c>
      <c r="Q138" s="9">
        <f>IFERROR(SUM(
IF('TL01'!$B$3=Q$3,SUMIF('TL01'!$C$10:$C$224,$C138,'TL01'!$J$10:$J$224),0),
IF('TL01'!$B$229=Q$3,SUMIF('TL01'!$C$238:$C$451,$C138,'TL01'!$J$238:$J$451),0),
IF('TL02'!$B$3=Q$3,SUMIF('TL02'!$C$10:$C$224,$C138,'TL02'!$J$10:$J$224),0),
IF('TL02'!$B$229=Q$3,SUMIF('TL02'!$C$238:$C$451,$C138,'TL02'!$J$238:$J$451),0),
IF('TL03'!$B$3=Q$3,SUMIF('TL03'!$C$10:$C$224,$C138,'TL03'!$J$10:$J$224),0),
IF('TL03'!$B$229=Q$3,SUMIF('TL03'!$C$238:$C$451,$C138,'TL03'!$J$238:$J$451),0),
IF('TL04'!$B$3=Q$3,SUMIF('TL04'!$C$10:$C$224,$C138,'TL04'!$J$10:$J$224),0),
IF('TL04'!$B$229=Q$3,SUMIF('TL04'!$C$238:$C$451,$C138,'TL04'!$J$238:$J$451),0),
IF('TL05'!$B$3=Q$3,SUMIF('TL05'!$C$10:$C$224,$C138,'TL05'!$J$10:$J$224),0),
IF('TL05'!$B$229=Q$3,SUMIF('TL05'!$C$238:$C$451,$C138,'TL05'!$J$238:$J$451),0),
IF('TL06'!$B$3=Q$3,SUMIF('TL06'!$C$10:$C$224,$C138,'TL06'!$J$10:$J$224),0),
IF('TL06'!$B$229=Q$3,SUMIF('TL06'!$C$238:$C$451,$C138,'TL06'!$J$238:$J$451),0),
IF('TL07'!$B$3=Q$3,SUMIF('TL07'!$C$10:$C$224,$C138,'TL07'!$J$10:$J$224),0),
IF('TL07'!$B$229=Q$3,SUMIF('TL07'!$C$238:$C$451,$C138,'TL07'!$J$238:$J$451),0),
IF('TL08'!$B$3=Q$3,SUMIF('TL08'!$C$10:$C$224,$C138,'TL08'!$J$10:$J$224),0),
IF('TL08'!$B$229=Q$3,SUMIF('TL08'!$C$238:$C$451,$C138,'TL08'!$J$238:$J$451),0),
IF('TL09'!$B$3=Q$3,SUMIF('TL09'!$C$10:$C$224,$C138,'TL09'!$J$10:$J$224),0),
IF('TL09'!$B$229=Q$3,SUMIF('TL09'!$C$238:$C$451,$C138,'TL09'!$J$238:$J$451),0),
IF('TL10'!$B$3=Q$3,SUMIF('TL10'!$C$10:$C$224,$C138,'TL10'!$J$10:$J$224),0),
IF('TL10'!$B$229=Q$3,SUMIF('TL10'!$C$238:$C$451,$C138,'TL10'!$J$238:$J$451),0),
IF('TL11'!$B$3=Q$3,SUMIF('TL11'!$C$10:$C$224,$C138,'TL11'!$J$10:$J$224),0),
IF('TL11'!$B$229=Q$3,SUMIF('TL11'!$C$238:$C$451,$C138,'TL11'!$J$238:$J$451),0),
IF('TL12'!$B$3=Q$3,SUMIF('TL12'!$C$10:$C$224,$C138,'TL12'!$J$10:$J$224),0),
IF('TL12'!$B$229=Q$3,SUMIF('TL12'!$C$238:$C$451,$C138,'TL12'!$J$238:$J$451),0),
IF('TL13'!$B$3=Q$3,SUMIF('TL13'!$C$10:$C$224,$C138,'TL13'!$J$10:$J$224),0),
IF('TL13'!$B$229=Q$3,SUMIF('TL13'!$C$238:$C$451,$C138,'TL13'!$J$238:$J$451),0),
IF('TL14'!$B$3=Q$3,SUMIF('TL14'!$C$10:$C$224,$C138,'TL14'!$J$10:$J$224),0),
IF('TL14'!$B$229=Q$3,SUMIF('TL14'!$C$238:$C$451,$C138,'TL14'!$J$238:$J$451),0),
IF('TL15'!$B$3=Q$3,SUMIF('TL15'!$C$10:$C$224,$C138,'TL15'!$J$10:$J$224),0),
IF('TL15'!$B$229=Q$3,SUMIF('TL15'!$C$238:$C$451,$C138,'TL15'!$J$238:$J$451),0),
IF('TL16'!$B$3=Q$3,SUMIF('TL16'!$C$10:$C$224,$C138,'TL16'!$J$10:$J$224),0),
IF('TL16'!$B$229=Q$3,SUMIF('TL16'!$C$238:$C$451,$C138,'TL16'!$J$238:$J$451),0),
IF('TL17'!$B$3=Q$3,SUMIF('TL17'!$C$10:$C$224,$C138,'TL17'!$J$10:$J$224),0),
IF('TL17'!$B$229=Q$3,SUMIF('TL17'!$C$238:$C$451,$C138,'TL17'!$J$238:$J$451),0),
IF('TL18'!$B$3=Q$3,SUMIF('TL18'!$C$10:$C$224,$C138,'TL18'!$J$10:$J$224),0),
IF('TL18'!$B$229=Q$3,SUMIF('TL18'!$C$238:$C$451,$C138,'TL18'!$J$238:$J$451),0),
IF('TL19'!$B$3=Q$3,SUMIF('TL19'!$C$10:$C$224,$C138,'TL19'!$J$10:$J$224),0),
IF('TL19'!$B$229=Q$3,SUMIF('TL19'!$C$238:$C$451,$C138,'TL19'!$J$238:$J$451),0)
),0)</f>
        <v>100</v>
      </c>
      <c r="R138" s="9">
        <f>IFERROR(
SUM(
SUMIF('TL01'!C:C,C138,'TL01'!J:J),
SUMIF('TL02'!C:C,C138,'TL02'!J:J),
SUMIF('TL03'!C:C,C138,'TL03'!J:J),
SUMIF('TL04'!C:C,C138,'TL04'!J:J),
SUMIF('TL05'!C:C,C138,'TL05'!J:J),
SUMIF('TL06'!C:C,C138,'TL06'!J:J),
SUMIF('TL07'!C:C,C138,'TL07'!J:J),
SUMIF('TL08'!C:C,C138,'TL08'!J:J),
SUMIF('TL09'!C:C,C138,'TL09'!J:J),
SUMIF('TL10'!C:C,C138,'TL10'!J:J),
SUMIF('TL11'!C:C,C138,'TL11'!J:J),
SUMIF('TL12'!C:C,C138,'TL12'!J:J),
SUMIF('TL13'!C:C,C138,'TL13'!J:J),
SUMIF('TL14'!C:C,C138,'TL14'!J:J),
SUMIF('TL15'!C:C,C138,'TL15'!J:J),
SUMIF('TL16'!C:C,C138,'TL16'!J:J),
SUMIF('TL17'!C:C,C138,'TL17'!J:J),
SUMIF('TL18'!C:C,C138,'TL18'!J:J),SUMIF('TL19'!C:C,C138,'TL19'!J:J))
,0)</f>
        <v>1905.2</v>
      </c>
      <c r="S138" s="17">
        <f>IFERROR(__xludf.DUMMYFUNCTION("IFERROR(VLOOKUP(C138,
IMPORTRANGE(""1wULbzX32WdYsx-lj2U3uUNBBe2INVIRDtcK0d-Dvl90"",
""26-27!C:G""),
5,
FALSE),
"""")"),46.03834)</f>
        <v>46.03834</v>
      </c>
      <c r="T138" s="9"/>
      <c r="U138" s="92">
        <f t="shared" si="2"/>
        <v>1905.2</v>
      </c>
      <c r="V138" s="93">
        <f t="shared" si="3"/>
        <v>87712.24537</v>
      </c>
    </row>
    <row r="139" ht="15.75" hidden="1" customHeight="1">
      <c r="A139" s="111" t="s">
        <v>504</v>
      </c>
      <c r="B139" s="112" t="s">
        <v>1</v>
      </c>
      <c r="C139" s="113" t="s">
        <v>684</v>
      </c>
      <c r="D139" s="113" t="s">
        <v>685</v>
      </c>
      <c r="E139" s="113">
        <v>212.0</v>
      </c>
      <c r="F139" s="4" t="s">
        <v>392</v>
      </c>
      <c r="G139" s="90" t="str">
        <f t="shared" si="4"/>
        <v>📄 Ver bula</v>
      </c>
      <c r="H139" s="9" t="str">
        <f>IFERROR(__xludf.DUMMYFUNCTION("IFERROR(VLOOKUP(C139,
IMPORTRANGE(""1wULbzX32WdYsx-lj2U3uUNBBe2INVIRDtcK0d-Dvl90"",
""26-27!C:K""),
8,
FALSE),
"""")"),"")</f>
        <v/>
      </c>
      <c r="I139" s="114" t="s">
        <v>344</v>
      </c>
      <c r="J139" s="9">
        <f>IFERROR(SUM(
IF('TL01'!$B$3=J$3,SUMIF('TL01'!$C$10:$C$224,$C139,'TL01'!$J$10:$J$224),0),
IF('TL01'!$B$229=J$3,SUMIF('TL01'!$C$238:$C$451,$C139,'TL01'!$J$238:$J$451),0),
IF('TL02'!$B$3=J$3,SUMIF('TL02'!$C$10:$C$224,$C139,'TL02'!$J$10:$J$224),0),
IF('TL02'!$B$229=J$3,SUMIF('TL02'!$C$238:$C$451,$C139,'TL02'!$J$238:$J$451),0),
IF('TL03'!$B$3=J$3,SUMIF('TL03'!$C$10:$C$224,$C139,'TL03'!$J$10:$J$224),0),
IF('TL03'!$B$229=J$3,SUMIF('TL03'!$C$238:$C$451,$C139,'TL03'!$J$238:$J$451),0),
IF('TL04'!$B$3=J$3,SUMIF('TL04'!$C$10:$C$224,$C139,'TL04'!$J$10:$J$224),0),
IF('TL04'!$B$229=J$3,SUMIF('TL04'!$C$238:$C$451,$C139,'TL04'!$J$238:$J$451),0),
IF('TL05'!$B$3=J$3,SUMIF('TL05'!$C$10:$C$224,$C139,'TL05'!$J$10:$J$224),0),
IF('TL05'!$B$229=J$3,SUMIF('TL05'!$C$238:$C$451,$C139,'TL05'!$J$238:$J$451),0),
IF('TL06'!$B$3=J$3,SUMIF('TL06'!$C$10:$C$224,$C139,'TL06'!$J$10:$J$224),0),
IF('TL06'!$B$229=J$3,SUMIF('TL06'!$C$238:$C$451,$C139,'TL06'!$J$238:$J$451),0),
IF('TL07'!$B$3=J$3,SUMIF('TL07'!$C$10:$C$224,$C139,'TL07'!$J$10:$J$224),0),
IF('TL07'!$B$229=J$3,SUMIF('TL07'!$C$238:$C$451,$C139,'TL07'!$J$238:$J$451),0),
IF('TL08'!$B$3=J$3,SUMIF('TL08'!$C$10:$C$224,$C139,'TL08'!$J$10:$J$224),0),
IF('TL08'!$B$229=J$3,SUMIF('TL08'!$C$238:$C$451,$C139,'TL08'!$J$238:$J$451),0),
IF('TL09'!$B$3=J$3,SUMIF('TL09'!$C$10:$C$224,$C139,'TL09'!$J$10:$J$224),0),
IF('TL09'!$B$229=J$3,SUMIF('TL09'!$C$238:$C$451,$C139,'TL09'!$J$238:$J$451),0),
IF('TL10'!$B$3=J$3,SUMIF('TL10'!$C$10:$C$224,$C139,'TL10'!$J$10:$J$224),0),
IF('TL10'!$B$229=J$3,SUMIF('TL10'!$C$238:$C$451,$C139,'TL10'!$J$238:$J$451),0),
IF('TL11'!$B$3=J$3,SUMIF('TL11'!$C$10:$C$224,$C139,'TL11'!$J$10:$J$224),0),
IF('TL11'!$B$229=J$3,SUMIF('TL11'!$C$238:$C$451,$C139,'TL11'!$J$238:$J$451),0),
IF('TL12'!$B$3=J$3,SUMIF('TL12'!$C$10:$C$224,$C139,'TL12'!$J$10:$J$224),0),
IF('TL12'!$B$229=J$3,SUMIF('TL12'!$C$238:$C$451,$C139,'TL12'!$J$238:$J$451),0),
IF('TL13'!$B$3=J$3,SUMIF('TL13'!$C$10:$C$224,$C139,'TL13'!$J$10:$J$224),0),
IF('TL13'!$B$229=J$3,SUMIF('TL13'!$C$238:$C$451,$C139,'TL13'!$J$238:$J$451),0),
IF('TL14'!$B$3=J$3,SUMIF('TL14'!$C$10:$C$224,$C139,'TL14'!$J$10:$J$224),0),
IF('TL14'!$B$229=J$3,SUMIF('TL14'!$C$238:$C$451,$C139,'TL14'!$J$238:$J$451),0),
IF('TL15'!$B$3=J$3,SUMIF('TL15'!$C$10:$C$224,$C139,'TL15'!$J$10:$J$224),0),
IF('TL15'!$B$229=J$3,SUMIF('TL15'!$C$238:$C$451,$C139,'TL15'!$J$238:$J$451),0),
IF('TL16'!$B$3=J$3,SUMIF('TL16'!$C$10:$C$224,$C139,'TL16'!$J$10:$J$224),0),
IF('TL16'!$B$229=J$3,SUMIF('TL16'!$C$238:$C$451,$C139,'TL16'!$J$238:$J$451),0),
IF('TL17'!$B$3=J$3,SUMIF('TL17'!$C$10:$C$224,$C139,'TL17'!$J$10:$J$224),0),
IF('TL17'!$B$229=J$3,SUMIF('TL17'!$C$238:$C$451,$C139,'TL17'!$J$238:$J$451),0),
IF('TL18'!$B$3=J$3,SUMIF('TL18'!$C$10:$C$224,$C139,'TL18'!$J$10:$J$224),0),
IF('TL18'!$B$229=J$3,SUMIF('TL18'!$C$238:$C$451,$C139,'TL18'!$J$238:$J$451),0),
IF('TL19'!$B$3=J$3,SUMIF('TL19'!$C$10:$C$224,$C139,'TL19'!$J$10:$J$224),0),
IF('TL19'!$B$229=J$3,SUMIF('TL19'!$C$238:$C$451,$C139,'TL19'!$J$238:$J$451),0)
),0)</f>
        <v>0</v>
      </c>
      <c r="K139" s="9">
        <f>IFERROR(SUM(
IF('TL01'!$B$3=K$3,SUMIF('TL01'!$C$10:$C$224,$C139,'TL01'!$J$10:$J$224),0),
IF('TL01'!$B$229=K$3,SUMIF('TL01'!$C$238:$C$451,$C139,'TL01'!$J$238:$J$451),0),
IF('TL02'!$B$3=K$3,SUMIF('TL02'!$C$10:$C$224,$C139,'TL02'!$J$10:$J$224),0),
IF('TL02'!$B$229=K$3,SUMIF('TL02'!$C$238:$C$451,$C139,'TL02'!$J$238:$J$451),0),
IF('TL03'!$B$3=K$3,SUMIF('TL03'!$C$10:$C$224,$C139,'TL03'!$J$10:$J$224),0),
IF('TL03'!$B$229=K$3,SUMIF('TL03'!$C$238:$C$451,$C139,'TL03'!$J$238:$J$451),0),
IF('TL04'!$B$3=K$3,SUMIF('TL04'!$C$10:$C$224,$C139,'TL04'!$J$10:$J$224),0),
IF('TL04'!$B$229=K$3,SUMIF('TL04'!$C$238:$C$451,$C139,'TL04'!$J$238:$J$451),0),
IF('TL05'!$B$3=K$3,SUMIF('TL05'!$C$10:$C$224,$C139,'TL05'!$J$10:$J$224),0),
IF('TL05'!$B$229=K$3,SUMIF('TL05'!$C$238:$C$451,$C139,'TL05'!$J$238:$J$451),0),
IF('TL06'!$B$3=K$3,SUMIF('TL06'!$C$10:$C$224,$C139,'TL06'!$J$10:$J$224),0),
IF('TL06'!$B$229=K$3,SUMIF('TL06'!$C$238:$C$451,$C139,'TL06'!$J$238:$J$451),0),
IF('TL07'!$B$3=K$3,SUMIF('TL07'!$C$10:$C$224,$C139,'TL07'!$J$10:$J$224),0),
IF('TL07'!$B$229=K$3,SUMIF('TL07'!$C$238:$C$451,$C139,'TL07'!$J$238:$J$451),0),
IF('TL08'!$B$3=K$3,SUMIF('TL08'!$C$10:$C$224,$C139,'TL08'!$J$10:$J$224),0),
IF('TL08'!$B$229=K$3,SUMIF('TL08'!$C$238:$C$451,$C139,'TL08'!$J$238:$J$451),0),
IF('TL09'!$B$3=K$3,SUMIF('TL09'!$C$10:$C$224,$C139,'TL09'!$J$10:$J$224),0),
IF('TL09'!$B$229=K$3,SUMIF('TL09'!$C$238:$C$451,$C139,'TL09'!$J$238:$J$451),0),
IF('TL10'!$B$3=K$3,SUMIF('TL10'!$C$10:$C$224,$C139,'TL10'!$J$10:$J$224),0),
IF('TL10'!$B$229=K$3,SUMIF('TL10'!$C$238:$C$451,$C139,'TL10'!$J$238:$J$451),0),
IF('TL11'!$B$3=K$3,SUMIF('TL11'!$C$10:$C$224,$C139,'TL11'!$J$10:$J$224),0),
IF('TL11'!$B$229=K$3,SUMIF('TL11'!$C$238:$C$451,$C139,'TL11'!$J$238:$J$451),0),
IF('TL12'!$B$3=K$3,SUMIF('TL12'!$C$10:$C$224,$C139,'TL12'!$J$10:$J$224),0),
IF('TL12'!$B$229=K$3,SUMIF('TL12'!$C$238:$C$451,$C139,'TL12'!$J$238:$J$451),0),
IF('TL13'!$B$3=K$3,SUMIF('TL13'!$C$10:$C$224,$C139,'TL13'!$J$10:$J$224),0),
IF('TL13'!$B$229=K$3,SUMIF('TL13'!$C$238:$C$451,$C139,'TL13'!$J$238:$J$451),0),
IF('TL14'!$B$3=K$3,SUMIF('TL14'!$C$10:$C$224,$C139,'TL14'!$J$10:$J$224),0),
IF('TL14'!$B$229=K$3,SUMIF('TL14'!$C$238:$C$451,$C139,'TL14'!$J$238:$J$451),0),
IF('TL15'!$B$3=K$3,SUMIF('TL15'!$C$10:$C$224,$C139,'TL15'!$J$10:$J$224),0),
IF('TL15'!$B$229=K$3,SUMIF('TL15'!$C$238:$C$451,$C139,'TL15'!$J$238:$J$451),0),
IF('TL16'!$B$3=K$3,SUMIF('TL16'!$C$10:$C$224,$C139,'TL16'!$J$10:$J$224),0),
IF('TL16'!$B$229=K$3,SUMIF('TL16'!$C$238:$C$451,$C139,'TL16'!$J$238:$J$451),0),
IF('TL17'!$B$3=K$3,SUMIF('TL17'!$C$10:$C$224,$C139,'TL17'!$J$10:$J$224),0),
IF('TL17'!$B$229=K$3,SUMIF('TL17'!$C$238:$C$451,$C139,'TL17'!$J$238:$J$451),0),
IF('TL18'!$B$3=K$3,SUMIF('TL18'!$C$10:$C$224,$C139,'TL18'!$J$10:$J$224),0),
IF('TL18'!$B$229=K$3,SUMIF('TL18'!$C$238:$C$451,$C139,'TL18'!$J$238:$J$451),0),
IF('TL19'!$B$3=K$3,SUMIF('TL19'!$C$10:$C$224,$C139,'TL19'!$J$10:$J$224),0),
IF('TL19'!$B$229=K$3,SUMIF('TL19'!$C$238:$C$451,$C139,'TL19'!$J$238:$J$451),0)
),0)</f>
        <v>0</v>
      </c>
      <c r="L139" s="9">
        <f>IFERROR(SUM(
IF('TL01'!$B$3=L$3,SUMIF('TL01'!$C$10:$C$224,$C139,'TL01'!$J$10:$J$224),0),
IF('TL01'!$B$229=L$3,SUMIF('TL01'!$C$238:$C$451,$C139,'TL01'!$J$238:$J$451),0),
IF('TL02'!$B$3=L$3,SUMIF('TL02'!$C$10:$C$224,$C139,'TL02'!$J$10:$J$224),0),
IF('TL02'!$B$229=L$3,SUMIF('TL02'!$C$238:$C$451,$C139,'TL02'!$J$238:$J$451),0),
IF('TL03'!$B$3=L$3,SUMIF('TL03'!$C$10:$C$224,$C139,'TL03'!$J$10:$J$224),0),
IF('TL03'!$B$229=L$3,SUMIF('TL03'!$C$238:$C$451,$C139,'TL03'!$J$238:$J$451),0),
IF('TL04'!$B$3=L$3,SUMIF('TL04'!$C$10:$C$224,$C139,'TL04'!$J$10:$J$224),0),
IF('TL04'!$B$229=L$3,SUMIF('TL04'!$C$238:$C$451,$C139,'TL04'!$J$238:$J$451),0),
IF('TL05'!$B$3=L$3,SUMIF('TL05'!$C$10:$C$224,$C139,'TL05'!$J$10:$J$224),0),
IF('TL05'!$B$229=L$3,SUMIF('TL05'!$C$238:$C$451,$C139,'TL05'!$J$238:$J$451),0),
IF('TL06'!$B$3=L$3,SUMIF('TL06'!$C$10:$C$224,$C139,'TL06'!$J$10:$J$224),0),
IF('TL06'!$B$229=L$3,SUMIF('TL06'!$C$238:$C$451,$C139,'TL06'!$J$238:$J$451),0),
IF('TL07'!$B$3=L$3,SUMIF('TL07'!$C$10:$C$224,$C139,'TL07'!$J$10:$J$224),0),
IF('TL07'!$B$229=L$3,SUMIF('TL07'!$C$238:$C$451,$C139,'TL07'!$J$238:$J$451),0),
IF('TL08'!$B$3=L$3,SUMIF('TL08'!$C$10:$C$224,$C139,'TL08'!$J$10:$J$224),0),
IF('TL08'!$B$229=L$3,SUMIF('TL08'!$C$238:$C$451,$C139,'TL08'!$J$238:$J$451),0),
IF('TL09'!$B$3=L$3,SUMIF('TL09'!$C$10:$C$224,$C139,'TL09'!$J$10:$J$224),0),
IF('TL09'!$B$229=L$3,SUMIF('TL09'!$C$238:$C$451,$C139,'TL09'!$J$238:$J$451),0),
IF('TL10'!$B$3=L$3,SUMIF('TL10'!$C$10:$C$224,$C139,'TL10'!$J$10:$J$224),0),
IF('TL10'!$B$229=L$3,SUMIF('TL10'!$C$238:$C$451,$C139,'TL10'!$J$238:$J$451),0),
IF('TL11'!$B$3=L$3,SUMIF('TL11'!$C$10:$C$224,$C139,'TL11'!$J$10:$J$224),0),
IF('TL11'!$B$229=L$3,SUMIF('TL11'!$C$238:$C$451,$C139,'TL11'!$J$238:$J$451),0),
IF('TL12'!$B$3=L$3,SUMIF('TL12'!$C$10:$C$224,$C139,'TL12'!$J$10:$J$224),0),
IF('TL12'!$B$229=L$3,SUMIF('TL12'!$C$238:$C$451,$C139,'TL12'!$J$238:$J$451),0),
IF('TL13'!$B$3=L$3,SUMIF('TL13'!$C$10:$C$224,$C139,'TL13'!$J$10:$J$224),0),
IF('TL13'!$B$229=L$3,SUMIF('TL13'!$C$238:$C$451,$C139,'TL13'!$J$238:$J$451),0),
IF('TL14'!$B$3=L$3,SUMIF('TL14'!$C$10:$C$224,$C139,'TL14'!$J$10:$J$224),0),
IF('TL14'!$B$229=L$3,SUMIF('TL14'!$C$238:$C$451,$C139,'TL14'!$J$238:$J$451),0),
IF('TL15'!$B$3=L$3,SUMIF('TL15'!$C$10:$C$224,$C139,'TL15'!$J$10:$J$224),0),
IF('TL15'!$B$229=L$3,SUMIF('TL15'!$C$238:$C$451,$C139,'TL15'!$J$238:$J$451),0),
IF('TL16'!$B$3=L$3,SUMIF('TL16'!$C$10:$C$224,$C139,'TL16'!$J$10:$J$224),0),
IF('TL16'!$B$229=L$3,SUMIF('TL16'!$C$238:$C$451,$C139,'TL16'!$J$238:$J$451),0),
IF('TL17'!$B$3=L$3,SUMIF('TL17'!$C$10:$C$224,$C139,'TL17'!$J$10:$J$224),0),
IF('TL17'!$B$229=L$3,SUMIF('TL17'!$C$238:$C$451,$C139,'TL17'!$J$238:$J$451),0),
IF('TL18'!$B$3=L$3,SUMIF('TL18'!$C$10:$C$224,$C139,'TL18'!$J$10:$J$224),0),
IF('TL18'!$B$229=L$3,SUMIF('TL18'!$C$238:$C$451,$C139,'TL18'!$J$238:$J$451),0),
IF('TL19'!$B$3=L$3,SUMIF('TL19'!$C$10:$C$224,$C139,'TL19'!$J$10:$J$224),0),
IF('TL19'!$B$229=L$3,SUMIF('TL19'!$C$238:$C$451,$C139,'TL19'!$J$238:$J$451),0)
),0)</f>
        <v>0</v>
      </c>
      <c r="M139" s="9">
        <f>IFERROR(SUM(
IF('TL01'!$B$3=M$3,SUMIF('TL01'!$C$10:$C$224,$C139,'TL01'!$J$10:$J$224),0),
IF('TL01'!$B$229=M$3,SUMIF('TL01'!$C$238:$C$451,$C139,'TL01'!$J$238:$J$451),0),
IF('TL02'!$B$3=M$3,SUMIF('TL02'!$C$10:$C$224,$C139,'TL02'!$J$10:$J$224),0),
IF('TL02'!$B$229=M$3,SUMIF('TL02'!$C$238:$C$451,$C139,'TL02'!$J$238:$J$451),0),
IF('TL03'!$B$3=M$3,SUMIF('TL03'!$C$10:$C$224,$C139,'TL03'!$J$10:$J$224),0),
IF('TL03'!$B$229=M$3,SUMIF('TL03'!$C$238:$C$451,$C139,'TL03'!$J$238:$J$451),0),
IF('TL04'!$B$3=M$3,SUMIF('TL04'!$C$10:$C$224,$C139,'TL04'!$J$10:$J$224),0),
IF('TL04'!$B$229=M$3,SUMIF('TL04'!$C$238:$C$451,$C139,'TL04'!$J$238:$J$451),0),
IF('TL05'!$B$3=M$3,SUMIF('TL05'!$C$10:$C$224,$C139,'TL05'!$J$10:$J$224),0),
IF('TL05'!$B$229=M$3,SUMIF('TL05'!$C$238:$C$451,$C139,'TL05'!$J$238:$J$451),0),
IF('TL06'!$B$3=M$3,SUMIF('TL06'!$C$10:$C$224,$C139,'TL06'!$J$10:$J$224),0),
IF('TL06'!$B$229=M$3,SUMIF('TL06'!$C$238:$C$451,$C139,'TL06'!$J$238:$J$451),0),
IF('TL07'!$B$3=M$3,SUMIF('TL07'!$C$10:$C$224,$C139,'TL07'!$J$10:$J$224),0),
IF('TL07'!$B$229=M$3,SUMIF('TL07'!$C$238:$C$451,$C139,'TL07'!$J$238:$J$451),0),
IF('TL08'!$B$3=M$3,SUMIF('TL08'!$C$10:$C$224,$C139,'TL08'!$J$10:$J$224),0),
IF('TL08'!$B$229=M$3,SUMIF('TL08'!$C$238:$C$451,$C139,'TL08'!$J$238:$J$451),0),
IF('TL09'!$B$3=M$3,SUMIF('TL09'!$C$10:$C$224,$C139,'TL09'!$J$10:$J$224),0),
IF('TL09'!$B$229=M$3,SUMIF('TL09'!$C$238:$C$451,$C139,'TL09'!$J$238:$J$451),0),
IF('TL10'!$B$3=M$3,SUMIF('TL10'!$C$10:$C$224,$C139,'TL10'!$J$10:$J$224),0),
IF('TL10'!$B$229=M$3,SUMIF('TL10'!$C$238:$C$451,$C139,'TL10'!$J$238:$J$451),0),
IF('TL11'!$B$3=M$3,SUMIF('TL11'!$C$10:$C$224,$C139,'TL11'!$J$10:$J$224),0),
IF('TL11'!$B$229=M$3,SUMIF('TL11'!$C$238:$C$451,$C139,'TL11'!$J$238:$J$451),0),
IF('TL12'!$B$3=M$3,SUMIF('TL12'!$C$10:$C$224,$C139,'TL12'!$J$10:$J$224),0),
IF('TL12'!$B$229=M$3,SUMIF('TL12'!$C$238:$C$451,$C139,'TL12'!$J$238:$J$451),0),
IF('TL13'!$B$3=M$3,SUMIF('TL13'!$C$10:$C$224,$C139,'TL13'!$J$10:$J$224),0),
IF('TL13'!$B$229=M$3,SUMIF('TL13'!$C$238:$C$451,$C139,'TL13'!$J$238:$J$451),0),
IF('TL14'!$B$3=M$3,SUMIF('TL14'!$C$10:$C$224,$C139,'TL14'!$J$10:$J$224),0),
IF('TL14'!$B$229=M$3,SUMIF('TL14'!$C$238:$C$451,$C139,'TL14'!$J$238:$J$451),0),
IF('TL15'!$B$3=M$3,SUMIF('TL15'!$C$10:$C$224,$C139,'TL15'!$J$10:$J$224),0),
IF('TL15'!$B$229=M$3,SUMIF('TL15'!$C$238:$C$451,$C139,'TL15'!$J$238:$J$451),0),
IF('TL16'!$B$3=M$3,SUMIF('TL16'!$C$10:$C$224,$C139,'TL16'!$J$10:$J$224),0),
IF('TL16'!$B$229=M$3,SUMIF('TL16'!$C$238:$C$451,$C139,'TL16'!$J$238:$J$451),0),
IF('TL17'!$B$3=M$3,SUMIF('TL17'!$C$10:$C$224,$C139,'TL17'!$J$10:$J$224),0),
IF('TL17'!$B$229=M$3,SUMIF('TL17'!$C$238:$C$451,$C139,'TL17'!$J$238:$J$451),0),
IF('TL18'!$B$3=M$3,SUMIF('TL18'!$C$10:$C$224,$C139,'TL18'!$J$10:$J$224),0),
IF('TL18'!$B$229=M$3,SUMIF('TL18'!$C$238:$C$451,$C139,'TL18'!$J$238:$J$451),0),
IF('TL19'!$B$3=M$3,SUMIF('TL19'!$C$10:$C$224,$C139,'TL19'!$J$10:$J$224),0),
IF('TL19'!$B$229=M$3,SUMIF('TL19'!$C$238:$C$451,$C139,'TL19'!$J$238:$J$451),0)
),0)</f>
        <v>0</v>
      </c>
      <c r="N139" s="9">
        <f>IFERROR(SUM(
IF('TL01'!$B$3=N$3,SUMIF('TL01'!$C$10:$C$224,$C139,'TL01'!$J$10:$J$224),0),
IF('TL01'!$B$229=N$3,SUMIF('TL01'!$C$238:$C$451,$C139,'TL01'!$J$238:$J$451),0),
IF('TL02'!$B$3=N$3,SUMIF('TL02'!$C$10:$C$224,$C139,'TL02'!$J$10:$J$224),0),
IF('TL02'!$B$229=N$3,SUMIF('TL02'!$C$238:$C$451,$C139,'TL02'!$J$238:$J$451),0),
IF('TL03'!$B$3=N$3,SUMIF('TL03'!$C$10:$C$224,$C139,'TL03'!$J$10:$J$224),0),
IF('TL03'!$B$229=N$3,SUMIF('TL03'!$C$238:$C$451,$C139,'TL03'!$J$238:$J$451),0),
IF('TL04'!$B$3=N$3,SUMIF('TL04'!$C$10:$C$224,$C139,'TL04'!$J$10:$J$224),0),
IF('TL04'!$B$229=N$3,SUMIF('TL04'!$C$238:$C$451,$C139,'TL04'!$J$238:$J$451),0),
IF('TL05'!$B$3=N$3,SUMIF('TL05'!$C$10:$C$224,$C139,'TL05'!$J$10:$J$224),0),
IF('TL05'!$B$229=N$3,SUMIF('TL05'!$C$238:$C$451,$C139,'TL05'!$J$238:$J$451),0),
IF('TL06'!$B$3=N$3,SUMIF('TL06'!$C$10:$C$224,$C139,'TL06'!$J$10:$J$224),0),
IF('TL06'!$B$229=N$3,SUMIF('TL06'!$C$238:$C$451,$C139,'TL06'!$J$238:$J$451),0),
IF('TL07'!$B$3=N$3,SUMIF('TL07'!$C$10:$C$224,$C139,'TL07'!$J$10:$J$224),0),
IF('TL07'!$B$229=N$3,SUMIF('TL07'!$C$238:$C$451,$C139,'TL07'!$J$238:$J$451),0),
IF('TL08'!$B$3=N$3,SUMIF('TL08'!$C$10:$C$224,$C139,'TL08'!$J$10:$J$224),0),
IF('TL08'!$B$229=N$3,SUMIF('TL08'!$C$238:$C$451,$C139,'TL08'!$J$238:$J$451),0),
IF('TL09'!$B$3=N$3,SUMIF('TL09'!$C$10:$C$224,$C139,'TL09'!$J$10:$J$224),0),
IF('TL09'!$B$229=N$3,SUMIF('TL09'!$C$238:$C$451,$C139,'TL09'!$J$238:$J$451),0),
IF('TL10'!$B$3=N$3,SUMIF('TL10'!$C$10:$C$224,$C139,'TL10'!$J$10:$J$224),0),
IF('TL10'!$B$229=N$3,SUMIF('TL10'!$C$238:$C$451,$C139,'TL10'!$J$238:$J$451),0),
IF('TL11'!$B$3=N$3,SUMIF('TL11'!$C$10:$C$224,$C139,'TL11'!$J$10:$J$224),0),
IF('TL11'!$B$229=N$3,SUMIF('TL11'!$C$238:$C$451,$C139,'TL11'!$J$238:$J$451),0),
IF('TL12'!$B$3=N$3,SUMIF('TL12'!$C$10:$C$224,$C139,'TL12'!$J$10:$J$224),0),
IF('TL12'!$B$229=N$3,SUMIF('TL12'!$C$238:$C$451,$C139,'TL12'!$J$238:$J$451),0),
IF('TL13'!$B$3=N$3,SUMIF('TL13'!$C$10:$C$224,$C139,'TL13'!$J$10:$J$224),0),
IF('TL13'!$B$229=N$3,SUMIF('TL13'!$C$238:$C$451,$C139,'TL13'!$J$238:$J$451),0),
IF('TL14'!$B$3=N$3,SUMIF('TL14'!$C$10:$C$224,$C139,'TL14'!$J$10:$J$224),0),
IF('TL14'!$B$229=N$3,SUMIF('TL14'!$C$238:$C$451,$C139,'TL14'!$J$238:$J$451),0),
IF('TL15'!$B$3=N$3,SUMIF('TL15'!$C$10:$C$224,$C139,'TL15'!$J$10:$J$224),0),
IF('TL15'!$B$229=N$3,SUMIF('TL15'!$C$238:$C$451,$C139,'TL15'!$J$238:$J$451),0),
IF('TL16'!$B$3=N$3,SUMIF('TL16'!$C$10:$C$224,$C139,'TL16'!$J$10:$J$224),0),
IF('TL16'!$B$229=N$3,SUMIF('TL16'!$C$238:$C$451,$C139,'TL16'!$J$238:$J$451),0),
IF('TL17'!$B$3=N$3,SUMIF('TL17'!$C$10:$C$224,$C139,'TL17'!$J$10:$J$224),0),
IF('TL17'!$B$229=N$3,SUMIF('TL17'!$C$238:$C$451,$C139,'TL17'!$J$238:$J$451),0),
IF('TL18'!$B$3=N$3,SUMIF('TL18'!$C$10:$C$224,$C139,'TL18'!$J$10:$J$224),0),
IF('TL18'!$B$229=N$3,SUMIF('TL18'!$C$238:$C$451,$C139,'TL18'!$J$238:$J$451),0),
IF('TL19'!$B$3=N$3,SUMIF('TL19'!$C$10:$C$224,$C139,'TL19'!$J$10:$J$224),0),
IF('TL19'!$B$229=N$3,SUMIF('TL19'!$C$238:$C$451,$C139,'TL19'!$J$238:$J$451),0)
),0)</f>
        <v>0</v>
      </c>
      <c r="O139" s="9">
        <f>IFERROR(SUM(
IF('TL01'!$B$3=O$3,SUMIF('TL01'!$C$10:$C$224,$C139,'TL01'!$J$10:$J$224),0),
IF('TL01'!$B$229=O$3,SUMIF('TL01'!$C$238:$C$451,$C139,'TL01'!$J$238:$J$451),0),
IF('TL02'!$B$3=O$3,SUMIF('TL02'!$C$10:$C$224,$C139,'TL02'!$J$10:$J$224),0),
IF('TL02'!$B$229=O$3,SUMIF('TL02'!$C$238:$C$451,$C139,'TL02'!$J$238:$J$451),0),
IF('TL03'!$B$3=O$3,SUMIF('TL03'!$C$10:$C$224,$C139,'TL03'!$J$10:$J$224),0),
IF('TL03'!$B$229=O$3,SUMIF('TL03'!$C$238:$C$451,$C139,'TL03'!$J$238:$J$451),0),
IF('TL04'!$B$3=O$3,SUMIF('TL04'!$C$10:$C$224,$C139,'TL04'!$J$10:$J$224),0),
IF('TL04'!$B$229=O$3,SUMIF('TL04'!$C$238:$C$451,$C139,'TL04'!$J$238:$J$451),0),
IF('TL05'!$B$3=O$3,SUMIF('TL05'!$C$10:$C$224,$C139,'TL05'!$J$10:$J$224),0),
IF('TL05'!$B$229=O$3,SUMIF('TL05'!$C$238:$C$451,$C139,'TL05'!$J$238:$J$451),0),
IF('TL06'!$B$3=O$3,SUMIF('TL06'!$C$10:$C$224,$C139,'TL06'!$J$10:$J$224),0),
IF('TL06'!$B$229=O$3,SUMIF('TL06'!$C$238:$C$451,$C139,'TL06'!$J$238:$J$451),0),
IF('TL07'!$B$3=O$3,SUMIF('TL07'!$C$10:$C$224,$C139,'TL07'!$J$10:$J$224),0),
IF('TL07'!$B$229=O$3,SUMIF('TL07'!$C$238:$C$451,$C139,'TL07'!$J$238:$J$451),0),
IF('TL08'!$B$3=O$3,SUMIF('TL08'!$C$10:$C$224,$C139,'TL08'!$J$10:$J$224),0),
IF('TL08'!$B$229=O$3,SUMIF('TL08'!$C$238:$C$451,$C139,'TL08'!$J$238:$J$451),0),
IF('TL09'!$B$3=O$3,SUMIF('TL09'!$C$10:$C$224,$C139,'TL09'!$J$10:$J$224),0),
IF('TL09'!$B$229=O$3,SUMIF('TL09'!$C$238:$C$451,$C139,'TL09'!$J$238:$J$451),0),
IF('TL10'!$B$3=O$3,SUMIF('TL10'!$C$10:$C$224,$C139,'TL10'!$J$10:$J$224),0),
IF('TL10'!$B$229=O$3,SUMIF('TL10'!$C$238:$C$451,$C139,'TL10'!$J$238:$J$451),0),
IF('TL11'!$B$3=O$3,SUMIF('TL11'!$C$10:$C$224,$C139,'TL11'!$J$10:$J$224),0),
IF('TL11'!$B$229=O$3,SUMIF('TL11'!$C$238:$C$451,$C139,'TL11'!$J$238:$J$451),0),
IF('TL12'!$B$3=O$3,SUMIF('TL12'!$C$10:$C$224,$C139,'TL12'!$J$10:$J$224),0),
IF('TL12'!$B$229=O$3,SUMIF('TL12'!$C$238:$C$451,$C139,'TL12'!$J$238:$J$451),0),
IF('TL13'!$B$3=O$3,SUMIF('TL13'!$C$10:$C$224,$C139,'TL13'!$J$10:$J$224),0),
IF('TL13'!$B$229=O$3,SUMIF('TL13'!$C$238:$C$451,$C139,'TL13'!$J$238:$J$451),0),
IF('TL14'!$B$3=O$3,SUMIF('TL14'!$C$10:$C$224,$C139,'TL14'!$J$10:$J$224),0),
IF('TL14'!$B$229=O$3,SUMIF('TL14'!$C$238:$C$451,$C139,'TL14'!$J$238:$J$451),0),
IF('TL15'!$B$3=O$3,SUMIF('TL15'!$C$10:$C$224,$C139,'TL15'!$J$10:$J$224),0),
IF('TL15'!$B$229=O$3,SUMIF('TL15'!$C$238:$C$451,$C139,'TL15'!$J$238:$J$451),0),
IF('TL16'!$B$3=O$3,SUMIF('TL16'!$C$10:$C$224,$C139,'TL16'!$J$10:$J$224),0),
IF('TL16'!$B$229=O$3,SUMIF('TL16'!$C$238:$C$451,$C139,'TL16'!$J$238:$J$451),0),
IF('TL17'!$B$3=O$3,SUMIF('TL17'!$C$10:$C$224,$C139,'TL17'!$J$10:$J$224),0),
IF('TL17'!$B$229=O$3,SUMIF('TL17'!$C$238:$C$451,$C139,'TL17'!$J$238:$J$451),0),
IF('TL18'!$B$3=O$3,SUMIF('TL18'!$C$10:$C$224,$C139,'TL18'!$J$10:$J$224),0),
IF('TL18'!$B$229=O$3,SUMIF('TL18'!$C$238:$C$451,$C139,'TL18'!$J$238:$J$451),0),
IF('TL19'!$B$3=O$3,SUMIF('TL19'!$C$10:$C$224,$C139,'TL19'!$J$10:$J$224),0),
IF('TL19'!$B$229=O$3,SUMIF('TL19'!$C$238:$C$451,$C139,'TL19'!$J$238:$J$451),0)
),0)</f>
        <v>0</v>
      </c>
      <c r="P139" s="9">
        <f>IFERROR(SUM(
IF('TL01'!$B$3=P$3,SUMIF('TL01'!$C$10:$C$224,$C139,'TL01'!$J$10:$J$224),0),
IF('TL01'!$B$229=P$3,SUMIF('TL01'!$C$238:$C$451,$C139,'TL01'!$J$238:$J$451),0),
IF('TL02'!$B$3=P$3,SUMIF('TL02'!$C$10:$C$224,$C139,'TL02'!$J$10:$J$224),0),
IF('TL02'!$B$229=P$3,SUMIF('TL02'!$C$238:$C$451,$C139,'TL02'!$J$238:$J$451),0),
IF('TL03'!$B$3=P$3,SUMIF('TL03'!$C$10:$C$224,$C139,'TL03'!$J$10:$J$224),0),
IF('TL03'!$B$229=P$3,SUMIF('TL03'!$C$238:$C$451,$C139,'TL03'!$J$238:$J$451),0),
IF('TL04'!$B$3=P$3,SUMIF('TL04'!$C$10:$C$224,$C139,'TL04'!$J$10:$J$224),0),
IF('TL04'!$B$229=P$3,SUMIF('TL04'!$C$238:$C$451,$C139,'TL04'!$J$238:$J$451),0),
IF('TL05'!$B$3=P$3,SUMIF('TL05'!$C$10:$C$224,$C139,'TL05'!$J$10:$J$224),0),
IF('TL05'!$B$229=P$3,SUMIF('TL05'!$C$238:$C$451,$C139,'TL05'!$J$238:$J$451),0),
IF('TL06'!$B$3=P$3,SUMIF('TL06'!$C$10:$C$224,$C139,'TL06'!$J$10:$J$224),0),
IF('TL06'!$B$229=P$3,SUMIF('TL06'!$C$238:$C$451,$C139,'TL06'!$J$238:$J$451),0),
IF('TL07'!$B$3=P$3,SUMIF('TL07'!$C$10:$C$224,$C139,'TL07'!$J$10:$J$224),0),
IF('TL07'!$B$229=P$3,SUMIF('TL07'!$C$238:$C$451,$C139,'TL07'!$J$238:$J$451),0),
IF('TL08'!$B$3=P$3,SUMIF('TL08'!$C$10:$C$224,$C139,'TL08'!$J$10:$J$224),0),
IF('TL08'!$B$229=P$3,SUMIF('TL08'!$C$238:$C$451,$C139,'TL08'!$J$238:$J$451),0),
IF('TL09'!$B$3=P$3,SUMIF('TL09'!$C$10:$C$224,$C139,'TL09'!$J$10:$J$224),0),
IF('TL09'!$B$229=P$3,SUMIF('TL09'!$C$238:$C$451,$C139,'TL09'!$J$238:$J$451),0),
IF('TL10'!$B$3=P$3,SUMIF('TL10'!$C$10:$C$224,$C139,'TL10'!$J$10:$J$224),0),
IF('TL10'!$B$229=P$3,SUMIF('TL10'!$C$238:$C$451,$C139,'TL10'!$J$238:$J$451),0),
IF('TL11'!$B$3=P$3,SUMIF('TL11'!$C$10:$C$224,$C139,'TL11'!$J$10:$J$224),0),
IF('TL11'!$B$229=P$3,SUMIF('TL11'!$C$238:$C$451,$C139,'TL11'!$J$238:$J$451),0),
IF('TL12'!$B$3=P$3,SUMIF('TL12'!$C$10:$C$224,$C139,'TL12'!$J$10:$J$224),0),
IF('TL12'!$B$229=P$3,SUMIF('TL12'!$C$238:$C$451,$C139,'TL12'!$J$238:$J$451),0),
IF('TL13'!$B$3=P$3,SUMIF('TL13'!$C$10:$C$224,$C139,'TL13'!$J$10:$J$224),0),
IF('TL13'!$B$229=P$3,SUMIF('TL13'!$C$238:$C$451,$C139,'TL13'!$J$238:$J$451),0),
IF('TL14'!$B$3=P$3,SUMIF('TL14'!$C$10:$C$224,$C139,'TL14'!$J$10:$J$224),0),
IF('TL14'!$B$229=P$3,SUMIF('TL14'!$C$238:$C$451,$C139,'TL14'!$J$238:$J$451),0),
IF('TL15'!$B$3=P$3,SUMIF('TL15'!$C$10:$C$224,$C139,'TL15'!$J$10:$J$224),0),
IF('TL15'!$B$229=P$3,SUMIF('TL15'!$C$238:$C$451,$C139,'TL15'!$J$238:$J$451),0),
IF('TL16'!$B$3=P$3,SUMIF('TL16'!$C$10:$C$224,$C139,'TL16'!$J$10:$J$224),0),
IF('TL16'!$B$229=P$3,SUMIF('TL16'!$C$238:$C$451,$C139,'TL16'!$J$238:$J$451),0),
IF('TL17'!$B$3=P$3,SUMIF('TL17'!$C$10:$C$224,$C139,'TL17'!$J$10:$J$224),0),
IF('TL17'!$B$229=P$3,SUMIF('TL17'!$C$238:$C$451,$C139,'TL17'!$J$238:$J$451),0),
IF('TL18'!$B$3=P$3,SUMIF('TL18'!$C$10:$C$224,$C139,'TL18'!$J$10:$J$224),0),
IF('TL18'!$B$229=P$3,SUMIF('TL18'!$C$238:$C$451,$C139,'TL18'!$J$238:$J$451),0),
IF('TL19'!$B$3=P$3,SUMIF('TL19'!$C$10:$C$224,$C139,'TL19'!$J$10:$J$224),0),
IF('TL19'!$B$229=P$3,SUMIF('TL19'!$C$238:$C$451,$C139,'TL19'!$J$238:$J$451),0)
),0)</f>
        <v>0</v>
      </c>
      <c r="Q139" s="9">
        <f>IFERROR(SUM(
IF('TL01'!$B$3=Q$3,SUMIF('TL01'!$C$10:$C$224,$C139,'TL01'!$J$10:$J$224),0),
IF('TL01'!$B$229=Q$3,SUMIF('TL01'!$C$238:$C$451,$C139,'TL01'!$J$238:$J$451),0),
IF('TL02'!$B$3=Q$3,SUMIF('TL02'!$C$10:$C$224,$C139,'TL02'!$J$10:$J$224),0),
IF('TL02'!$B$229=Q$3,SUMIF('TL02'!$C$238:$C$451,$C139,'TL02'!$J$238:$J$451),0),
IF('TL03'!$B$3=Q$3,SUMIF('TL03'!$C$10:$C$224,$C139,'TL03'!$J$10:$J$224),0),
IF('TL03'!$B$229=Q$3,SUMIF('TL03'!$C$238:$C$451,$C139,'TL03'!$J$238:$J$451),0),
IF('TL04'!$B$3=Q$3,SUMIF('TL04'!$C$10:$C$224,$C139,'TL04'!$J$10:$J$224),0),
IF('TL04'!$B$229=Q$3,SUMIF('TL04'!$C$238:$C$451,$C139,'TL04'!$J$238:$J$451),0),
IF('TL05'!$B$3=Q$3,SUMIF('TL05'!$C$10:$C$224,$C139,'TL05'!$J$10:$J$224),0),
IF('TL05'!$B$229=Q$3,SUMIF('TL05'!$C$238:$C$451,$C139,'TL05'!$J$238:$J$451),0),
IF('TL06'!$B$3=Q$3,SUMIF('TL06'!$C$10:$C$224,$C139,'TL06'!$J$10:$J$224),0),
IF('TL06'!$B$229=Q$3,SUMIF('TL06'!$C$238:$C$451,$C139,'TL06'!$J$238:$J$451),0),
IF('TL07'!$B$3=Q$3,SUMIF('TL07'!$C$10:$C$224,$C139,'TL07'!$J$10:$J$224),0),
IF('TL07'!$B$229=Q$3,SUMIF('TL07'!$C$238:$C$451,$C139,'TL07'!$J$238:$J$451),0),
IF('TL08'!$B$3=Q$3,SUMIF('TL08'!$C$10:$C$224,$C139,'TL08'!$J$10:$J$224),0),
IF('TL08'!$B$229=Q$3,SUMIF('TL08'!$C$238:$C$451,$C139,'TL08'!$J$238:$J$451),0),
IF('TL09'!$B$3=Q$3,SUMIF('TL09'!$C$10:$C$224,$C139,'TL09'!$J$10:$J$224),0),
IF('TL09'!$B$229=Q$3,SUMIF('TL09'!$C$238:$C$451,$C139,'TL09'!$J$238:$J$451),0),
IF('TL10'!$B$3=Q$3,SUMIF('TL10'!$C$10:$C$224,$C139,'TL10'!$J$10:$J$224),0),
IF('TL10'!$B$229=Q$3,SUMIF('TL10'!$C$238:$C$451,$C139,'TL10'!$J$238:$J$451),0),
IF('TL11'!$B$3=Q$3,SUMIF('TL11'!$C$10:$C$224,$C139,'TL11'!$J$10:$J$224),0),
IF('TL11'!$B$229=Q$3,SUMIF('TL11'!$C$238:$C$451,$C139,'TL11'!$J$238:$J$451),0),
IF('TL12'!$B$3=Q$3,SUMIF('TL12'!$C$10:$C$224,$C139,'TL12'!$J$10:$J$224),0),
IF('TL12'!$B$229=Q$3,SUMIF('TL12'!$C$238:$C$451,$C139,'TL12'!$J$238:$J$451),0),
IF('TL13'!$B$3=Q$3,SUMIF('TL13'!$C$10:$C$224,$C139,'TL13'!$J$10:$J$224),0),
IF('TL13'!$B$229=Q$3,SUMIF('TL13'!$C$238:$C$451,$C139,'TL13'!$J$238:$J$451),0),
IF('TL14'!$B$3=Q$3,SUMIF('TL14'!$C$10:$C$224,$C139,'TL14'!$J$10:$J$224),0),
IF('TL14'!$B$229=Q$3,SUMIF('TL14'!$C$238:$C$451,$C139,'TL14'!$J$238:$J$451),0),
IF('TL15'!$B$3=Q$3,SUMIF('TL15'!$C$10:$C$224,$C139,'TL15'!$J$10:$J$224),0),
IF('TL15'!$B$229=Q$3,SUMIF('TL15'!$C$238:$C$451,$C139,'TL15'!$J$238:$J$451),0),
IF('TL16'!$B$3=Q$3,SUMIF('TL16'!$C$10:$C$224,$C139,'TL16'!$J$10:$J$224),0),
IF('TL16'!$B$229=Q$3,SUMIF('TL16'!$C$238:$C$451,$C139,'TL16'!$J$238:$J$451),0),
IF('TL17'!$B$3=Q$3,SUMIF('TL17'!$C$10:$C$224,$C139,'TL17'!$J$10:$J$224),0),
IF('TL17'!$B$229=Q$3,SUMIF('TL17'!$C$238:$C$451,$C139,'TL17'!$J$238:$J$451),0),
IF('TL18'!$B$3=Q$3,SUMIF('TL18'!$C$10:$C$224,$C139,'TL18'!$J$10:$J$224),0),
IF('TL18'!$B$229=Q$3,SUMIF('TL18'!$C$238:$C$451,$C139,'TL18'!$J$238:$J$451),0),
IF('TL19'!$B$3=Q$3,SUMIF('TL19'!$C$10:$C$224,$C139,'TL19'!$J$10:$J$224),0),
IF('TL19'!$B$229=Q$3,SUMIF('TL19'!$C$238:$C$451,$C139,'TL19'!$J$238:$J$451),0)
),0)</f>
        <v>0</v>
      </c>
      <c r="R139" s="9">
        <f>IFERROR(
SUM(
SUMIF('TL01'!C:C,C139,'TL01'!J:J),
SUMIF('TL02'!C:C,C139,'TL02'!J:J),
SUMIF('TL03'!C:C,C139,'TL03'!J:J),
SUMIF('TL04'!C:C,C139,'TL04'!J:J),
SUMIF('TL05'!C:C,C139,'TL05'!J:J),
SUMIF('TL06'!C:C,C139,'TL06'!J:J),
SUMIF('TL07'!C:C,C139,'TL07'!J:J),
SUMIF('TL08'!C:C,C139,'TL08'!J:J),
SUMIF('TL09'!C:C,C139,'TL09'!J:J),
SUMIF('TL10'!C:C,C139,'TL10'!J:J),
SUMIF('TL11'!C:C,C139,'TL11'!J:J),
SUMIF('TL12'!C:C,C139,'TL12'!J:J),
SUMIF('TL13'!C:C,C139,'TL13'!J:J),
SUMIF('TL14'!C:C,C139,'TL14'!J:J),
SUMIF('TL15'!C:C,C139,'TL15'!J:J),
SUMIF('TL16'!C:C,C139,'TL16'!J:J),
SUMIF('TL17'!C:C,C139,'TL17'!J:J),
SUMIF('TL18'!C:C,C139,'TL18'!J:J),SUMIF('TL19'!C:C,C139,'TL19'!J:J))
,0)</f>
        <v>0</v>
      </c>
      <c r="S139" s="17">
        <f>IFERROR(__xludf.DUMMYFUNCTION("IFERROR(VLOOKUP(C139,
IMPORTRANGE(""1wULbzX32WdYsx-lj2U3uUNBBe2INVIRDtcK0d-Dvl90"",
""26-27!C:G""),
5,
FALSE),
"""")"),47.21818)</f>
        <v>47.21818</v>
      </c>
      <c r="T139" s="9"/>
      <c r="U139" s="92">
        <f t="shared" si="2"/>
        <v>0</v>
      </c>
      <c r="V139" s="93">
        <f t="shared" si="3"/>
        <v>0</v>
      </c>
    </row>
    <row r="140" ht="15.75" hidden="1" customHeight="1">
      <c r="A140" s="115" t="s">
        <v>378</v>
      </c>
      <c r="B140" s="100" t="s">
        <v>1</v>
      </c>
      <c r="C140" s="116" t="s">
        <v>686</v>
      </c>
      <c r="D140" s="116" t="s">
        <v>687</v>
      </c>
      <c r="E140" s="116">
        <v>400.0</v>
      </c>
      <c r="F140" s="4" t="s">
        <v>343</v>
      </c>
      <c r="G140" s="90" t="str">
        <f t="shared" si="4"/>
        <v>📄 Ver bula</v>
      </c>
      <c r="H140" s="9">
        <f>IFERROR(__xludf.DUMMYFUNCTION("IFERROR(VLOOKUP(C140,
IMPORTRANGE(""1wULbzX32WdYsx-lj2U3uUNBBe2INVIRDtcK0d-Dvl90"",
""26-27!C:K""),
8,
FALSE),
"""")"),0.075)</f>
        <v>0.075</v>
      </c>
      <c r="I140" s="117" t="s">
        <v>382</v>
      </c>
      <c r="J140" s="9">
        <f>IFERROR(SUM(
IF('TL01'!$B$3=J$3,SUMIF('TL01'!$C$10:$C$224,$C140,'TL01'!$J$10:$J$224),0),
IF('TL01'!$B$229=J$3,SUMIF('TL01'!$C$238:$C$451,$C140,'TL01'!$J$238:$J$451),0),
IF('TL02'!$B$3=J$3,SUMIF('TL02'!$C$10:$C$224,$C140,'TL02'!$J$10:$J$224),0),
IF('TL02'!$B$229=J$3,SUMIF('TL02'!$C$238:$C$451,$C140,'TL02'!$J$238:$J$451),0),
IF('TL03'!$B$3=J$3,SUMIF('TL03'!$C$10:$C$224,$C140,'TL03'!$J$10:$J$224),0),
IF('TL03'!$B$229=J$3,SUMIF('TL03'!$C$238:$C$451,$C140,'TL03'!$J$238:$J$451),0),
IF('TL04'!$B$3=J$3,SUMIF('TL04'!$C$10:$C$224,$C140,'TL04'!$J$10:$J$224),0),
IF('TL04'!$B$229=J$3,SUMIF('TL04'!$C$238:$C$451,$C140,'TL04'!$J$238:$J$451),0),
IF('TL05'!$B$3=J$3,SUMIF('TL05'!$C$10:$C$224,$C140,'TL05'!$J$10:$J$224),0),
IF('TL05'!$B$229=J$3,SUMIF('TL05'!$C$238:$C$451,$C140,'TL05'!$J$238:$J$451),0),
IF('TL06'!$B$3=J$3,SUMIF('TL06'!$C$10:$C$224,$C140,'TL06'!$J$10:$J$224),0),
IF('TL06'!$B$229=J$3,SUMIF('TL06'!$C$238:$C$451,$C140,'TL06'!$J$238:$J$451),0),
IF('TL07'!$B$3=J$3,SUMIF('TL07'!$C$10:$C$224,$C140,'TL07'!$J$10:$J$224),0),
IF('TL07'!$B$229=J$3,SUMIF('TL07'!$C$238:$C$451,$C140,'TL07'!$J$238:$J$451),0),
IF('TL08'!$B$3=J$3,SUMIF('TL08'!$C$10:$C$224,$C140,'TL08'!$J$10:$J$224),0),
IF('TL08'!$B$229=J$3,SUMIF('TL08'!$C$238:$C$451,$C140,'TL08'!$J$238:$J$451),0),
IF('TL09'!$B$3=J$3,SUMIF('TL09'!$C$10:$C$224,$C140,'TL09'!$J$10:$J$224),0),
IF('TL09'!$B$229=J$3,SUMIF('TL09'!$C$238:$C$451,$C140,'TL09'!$J$238:$J$451),0),
IF('TL10'!$B$3=J$3,SUMIF('TL10'!$C$10:$C$224,$C140,'TL10'!$J$10:$J$224),0),
IF('TL10'!$B$229=J$3,SUMIF('TL10'!$C$238:$C$451,$C140,'TL10'!$J$238:$J$451),0),
IF('TL11'!$B$3=J$3,SUMIF('TL11'!$C$10:$C$224,$C140,'TL11'!$J$10:$J$224),0),
IF('TL11'!$B$229=J$3,SUMIF('TL11'!$C$238:$C$451,$C140,'TL11'!$J$238:$J$451),0),
IF('TL12'!$B$3=J$3,SUMIF('TL12'!$C$10:$C$224,$C140,'TL12'!$J$10:$J$224),0),
IF('TL12'!$B$229=J$3,SUMIF('TL12'!$C$238:$C$451,$C140,'TL12'!$J$238:$J$451),0),
IF('TL13'!$B$3=J$3,SUMIF('TL13'!$C$10:$C$224,$C140,'TL13'!$J$10:$J$224),0),
IF('TL13'!$B$229=J$3,SUMIF('TL13'!$C$238:$C$451,$C140,'TL13'!$J$238:$J$451),0),
IF('TL14'!$B$3=J$3,SUMIF('TL14'!$C$10:$C$224,$C140,'TL14'!$J$10:$J$224),0),
IF('TL14'!$B$229=J$3,SUMIF('TL14'!$C$238:$C$451,$C140,'TL14'!$J$238:$J$451),0),
IF('TL15'!$B$3=J$3,SUMIF('TL15'!$C$10:$C$224,$C140,'TL15'!$J$10:$J$224),0),
IF('TL15'!$B$229=J$3,SUMIF('TL15'!$C$238:$C$451,$C140,'TL15'!$J$238:$J$451),0),
IF('TL16'!$B$3=J$3,SUMIF('TL16'!$C$10:$C$224,$C140,'TL16'!$J$10:$J$224),0),
IF('TL16'!$B$229=J$3,SUMIF('TL16'!$C$238:$C$451,$C140,'TL16'!$J$238:$J$451),0),
IF('TL17'!$B$3=J$3,SUMIF('TL17'!$C$10:$C$224,$C140,'TL17'!$J$10:$J$224),0),
IF('TL17'!$B$229=J$3,SUMIF('TL17'!$C$238:$C$451,$C140,'TL17'!$J$238:$J$451),0),
IF('TL18'!$B$3=J$3,SUMIF('TL18'!$C$10:$C$224,$C140,'TL18'!$J$10:$J$224),0),
IF('TL18'!$B$229=J$3,SUMIF('TL18'!$C$238:$C$451,$C140,'TL18'!$J$238:$J$451),0),
IF('TL19'!$B$3=J$3,SUMIF('TL19'!$C$10:$C$224,$C140,'TL19'!$J$10:$J$224),0),
IF('TL19'!$B$229=J$3,SUMIF('TL19'!$C$238:$C$451,$C140,'TL19'!$J$238:$J$451),0)
),0)</f>
        <v>0</v>
      </c>
      <c r="K140" s="9">
        <f>IFERROR(SUM(
IF('TL01'!$B$3=K$3,SUMIF('TL01'!$C$10:$C$224,$C140,'TL01'!$J$10:$J$224),0),
IF('TL01'!$B$229=K$3,SUMIF('TL01'!$C$238:$C$451,$C140,'TL01'!$J$238:$J$451),0),
IF('TL02'!$B$3=K$3,SUMIF('TL02'!$C$10:$C$224,$C140,'TL02'!$J$10:$J$224),0),
IF('TL02'!$B$229=K$3,SUMIF('TL02'!$C$238:$C$451,$C140,'TL02'!$J$238:$J$451),0),
IF('TL03'!$B$3=K$3,SUMIF('TL03'!$C$10:$C$224,$C140,'TL03'!$J$10:$J$224),0),
IF('TL03'!$B$229=K$3,SUMIF('TL03'!$C$238:$C$451,$C140,'TL03'!$J$238:$J$451),0),
IF('TL04'!$B$3=K$3,SUMIF('TL04'!$C$10:$C$224,$C140,'TL04'!$J$10:$J$224),0),
IF('TL04'!$B$229=K$3,SUMIF('TL04'!$C$238:$C$451,$C140,'TL04'!$J$238:$J$451),0),
IF('TL05'!$B$3=K$3,SUMIF('TL05'!$C$10:$C$224,$C140,'TL05'!$J$10:$J$224),0),
IF('TL05'!$B$229=K$3,SUMIF('TL05'!$C$238:$C$451,$C140,'TL05'!$J$238:$J$451),0),
IF('TL06'!$B$3=K$3,SUMIF('TL06'!$C$10:$C$224,$C140,'TL06'!$J$10:$J$224),0),
IF('TL06'!$B$229=K$3,SUMIF('TL06'!$C$238:$C$451,$C140,'TL06'!$J$238:$J$451),0),
IF('TL07'!$B$3=K$3,SUMIF('TL07'!$C$10:$C$224,$C140,'TL07'!$J$10:$J$224),0),
IF('TL07'!$B$229=K$3,SUMIF('TL07'!$C$238:$C$451,$C140,'TL07'!$J$238:$J$451),0),
IF('TL08'!$B$3=K$3,SUMIF('TL08'!$C$10:$C$224,$C140,'TL08'!$J$10:$J$224),0),
IF('TL08'!$B$229=K$3,SUMIF('TL08'!$C$238:$C$451,$C140,'TL08'!$J$238:$J$451),0),
IF('TL09'!$B$3=K$3,SUMIF('TL09'!$C$10:$C$224,$C140,'TL09'!$J$10:$J$224),0),
IF('TL09'!$B$229=K$3,SUMIF('TL09'!$C$238:$C$451,$C140,'TL09'!$J$238:$J$451),0),
IF('TL10'!$B$3=K$3,SUMIF('TL10'!$C$10:$C$224,$C140,'TL10'!$J$10:$J$224),0),
IF('TL10'!$B$229=K$3,SUMIF('TL10'!$C$238:$C$451,$C140,'TL10'!$J$238:$J$451),0),
IF('TL11'!$B$3=K$3,SUMIF('TL11'!$C$10:$C$224,$C140,'TL11'!$J$10:$J$224),0),
IF('TL11'!$B$229=K$3,SUMIF('TL11'!$C$238:$C$451,$C140,'TL11'!$J$238:$J$451),0),
IF('TL12'!$B$3=K$3,SUMIF('TL12'!$C$10:$C$224,$C140,'TL12'!$J$10:$J$224),0),
IF('TL12'!$B$229=K$3,SUMIF('TL12'!$C$238:$C$451,$C140,'TL12'!$J$238:$J$451),0),
IF('TL13'!$B$3=K$3,SUMIF('TL13'!$C$10:$C$224,$C140,'TL13'!$J$10:$J$224),0),
IF('TL13'!$B$229=K$3,SUMIF('TL13'!$C$238:$C$451,$C140,'TL13'!$J$238:$J$451),0),
IF('TL14'!$B$3=K$3,SUMIF('TL14'!$C$10:$C$224,$C140,'TL14'!$J$10:$J$224),0),
IF('TL14'!$B$229=K$3,SUMIF('TL14'!$C$238:$C$451,$C140,'TL14'!$J$238:$J$451),0),
IF('TL15'!$B$3=K$3,SUMIF('TL15'!$C$10:$C$224,$C140,'TL15'!$J$10:$J$224),0),
IF('TL15'!$B$229=K$3,SUMIF('TL15'!$C$238:$C$451,$C140,'TL15'!$J$238:$J$451),0),
IF('TL16'!$B$3=K$3,SUMIF('TL16'!$C$10:$C$224,$C140,'TL16'!$J$10:$J$224),0),
IF('TL16'!$B$229=K$3,SUMIF('TL16'!$C$238:$C$451,$C140,'TL16'!$J$238:$J$451),0),
IF('TL17'!$B$3=K$3,SUMIF('TL17'!$C$10:$C$224,$C140,'TL17'!$J$10:$J$224),0),
IF('TL17'!$B$229=K$3,SUMIF('TL17'!$C$238:$C$451,$C140,'TL17'!$J$238:$J$451),0),
IF('TL18'!$B$3=K$3,SUMIF('TL18'!$C$10:$C$224,$C140,'TL18'!$J$10:$J$224),0),
IF('TL18'!$B$229=K$3,SUMIF('TL18'!$C$238:$C$451,$C140,'TL18'!$J$238:$J$451),0),
IF('TL19'!$B$3=K$3,SUMIF('TL19'!$C$10:$C$224,$C140,'TL19'!$J$10:$J$224),0),
IF('TL19'!$B$229=K$3,SUMIF('TL19'!$C$238:$C$451,$C140,'TL19'!$J$238:$J$451),0)
),0)</f>
        <v>0</v>
      </c>
      <c r="L140" s="9">
        <f>IFERROR(SUM(
IF('TL01'!$B$3=L$3,SUMIF('TL01'!$C$10:$C$224,$C140,'TL01'!$J$10:$J$224),0),
IF('TL01'!$B$229=L$3,SUMIF('TL01'!$C$238:$C$451,$C140,'TL01'!$J$238:$J$451),0),
IF('TL02'!$B$3=L$3,SUMIF('TL02'!$C$10:$C$224,$C140,'TL02'!$J$10:$J$224),0),
IF('TL02'!$B$229=L$3,SUMIF('TL02'!$C$238:$C$451,$C140,'TL02'!$J$238:$J$451),0),
IF('TL03'!$B$3=L$3,SUMIF('TL03'!$C$10:$C$224,$C140,'TL03'!$J$10:$J$224),0),
IF('TL03'!$B$229=L$3,SUMIF('TL03'!$C$238:$C$451,$C140,'TL03'!$J$238:$J$451),0),
IF('TL04'!$B$3=L$3,SUMIF('TL04'!$C$10:$C$224,$C140,'TL04'!$J$10:$J$224),0),
IF('TL04'!$B$229=L$3,SUMIF('TL04'!$C$238:$C$451,$C140,'TL04'!$J$238:$J$451),0),
IF('TL05'!$B$3=L$3,SUMIF('TL05'!$C$10:$C$224,$C140,'TL05'!$J$10:$J$224),0),
IF('TL05'!$B$229=L$3,SUMIF('TL05'!$C$238:$C$451,$C140,'TL05'!$J$238:$J$451),0),
IF('TL06'!$B$3=L$3,SUMIF('TL06'!$C$10:$C$224,$C140,'TL06'!$J$10:$J$224),0),
IF('TL06'!$B$229=L$3,SUMIF('TL06'!$C$238:$C$451,$C140,'TL06'!$J$238:$J$451),0),
IF('TL07'!$B$3=L$3,SUMIF('TL07'!$C$10:$C$224,$C140,'TL07'!$J$10:$J$224),0),
IF('TL07'!$B$229=L$3,SUMIF('TL07'!$C$238:$C$451,$C140,'TL07'!$J$238:$J$451),0),
IF('TL08'!$B$3=L$3,SUMIF('TL08'!$C$10:$C$224,$C140,'TL08'!$J$10:$J$224),0),
IF('TL08'!$B$229=L$3,SUMIF('TL08'!$C$238:$C$451,$C140,'TL08'!$J$238:$J$451),0),
IF('TL09'!$B$3=L$3,SUMIF('TL09'!$C$10:$C$224,$C140,'TL09'!$J$10:$J$224),0),
IF('TL09'!$B$229=L$3,SUMIF('TL09'!$C$238:$C$451,$C140,'TL09'!$J$238:$J$451),0),
IF('TL10'!$B$3=L$3,SUMIF('TL10'!$C$10:$C$224,$C140,'TL10'!$J$10:$J$224),0),
IF('TL10'!$B$229=L$3,SUMIF('TL10'!$C$238:$C$451,$C140,'TL10'!$J$238:$J$451),0),
IF('TL11'!$B$3=L$3,SUMIF('TL11'!$C$10:$C$224,$C140,'TL11'!$J$10:$J$224),0),
IF('TL11'!$B$229=L$3,SUMIF('TL11'!$C$238:$C$451,$C140,'TL11'!$J$238:$J$451),0),
IF('TL12'!$B$3=L$3,SUMIF('TL12'!$C$10:$C$224,$C140,'TL12'!$J$10:$J$224),0),
IF('TL12'!$B$229=L$3,SUMIF('TL12'!$C$238:$C$451,$C140,'TL12'!$J$238:$J$451),0),
IF('TL13'!$B$3=L$3,SUMIF('TL13'!$C$10:$C$224,$C140,'TL13'!$J$10:$J$224),0),
IF('TL13'!$B$229=L$3,SUMIF('TL13'!$C$238:$C$451,$C140,'TL13'!$J$238:$J$451),0),
IF('TL14'!$B$3=L$3,SUMIF('TL14'!$C$10:$C$224,$C140,'TL14'!$J$10:$J$224),0),
IF('TL14'!$B$229=L$3,SUMIF('TL14'!$C$238:$C$451,$C140,'TL14'!$J$238:$J$451),0),
IF('TL15'!$B$3=L$3,SUMIF('TL15'!$C$10:$C$224,$C140,'TL15'!$J$10:$J$224),0),
IF('TL15'!$B$229=L$3,SUMIF('TL15'!$C$238:$C$451,$C140,'TL15'!$J$238:$J$451),0),
IF('TL16'!$B$3=L$3,SUMIF('TL16'!$C$10:$C$224,$C140,'TL16'!$J$10:$J$224),0),
IF('TL16'!$B$229=L$3,SUMIF('TL16'!$C$238:$C$451,$C140,'TL16'!$J$238:$J$451),0),
IF('TL17'!$B$3=L$3,SUMIF('TL17'!$C$10:$C$224,$C140,'TL17'!$J$10:$J$224),0),
IF('TL17'!$B$229=L$3,SUMIF('TL17'!$C$238:$C$451,$C140,'TL17'!$J$238:$J$451),0),
IF('TL18'!$B$3=L$3,SUMIF('TL18'!$C$10:$C$224,$C140,'TL18'!$J$10:$J$224),0),
IF('TL18'!$B$229=L$3,SUMIF('TL18'!$C$238:$C$451,$C140,'TL18'!$J$238:$J$451),0),
IF('TL19'!$B$3=L$3,SUMIF('TL19'!$C$10:$C$224,$C140,'TL19'!$J$10:$J$224),0),
IF('TL19'!$B$229=L$3,SUMIF('TL19'!$C$238:$C$451,$C140,'TL19'!$J$238:$J$451),0)
),0)</f>
        <v>0</v>
      </c>
      <c r="M140" s="9">
        <f>IFERROR(SUM(
IF('TL01'!$B$3=M$3,SUMIF('TL01'!$C$10:$C$224,$C140,'TL01'!$J$10:$J$224),0),
IF('TL01'!$B$229=M$3,SUMIF('TL01'!$C$238:$C$451,$C140,'TL01'!$J$238:$J$451),0),
IF('TL02'!$B$3=M$3,SUMIF('TL02'!$C$10:$C$224,$C140,'TL02'!$J$10:$J$224),0),
IF('TL02'!$B$229=M$3,SUMIF('TL02'!$C$238:$C$451,$C140,'TL02'!$J$238:$J$451),0),
IF('TL03'!$B$3=M$3,SUMIF('TL03'!$C$10:$C$224,$C140,'TL03'!$J$10:$J$224),0),
IF('TL03'!$B$229=M$3,SUMIF('TL03'!$C$238:$C$451,$C140,'TL03'!$J$238:$J$451),0),
IF('TL04'!$B$3=M$3,SUMIF('TL04'!$C$10:$C$224,$C140,'TL04'!$J$10:$J$224),0),
IF('TL04'!$B$229=M$3,SUMIF('TL04'!$C$238:$C$451,$C140,'TL04'!$J$238:$J$451),0),
IF('TL05'!$B$3=M$3,SUMIF('TL05'!$C$10:$C$224,$C140,'TL05'!$J$10:$J$224),0),
IF('TL05'!$B$229=M$3,SUMIF('TL05'!$C$238:$C$451,$C140,'TL05'!$J$238:$J$451),0),
IF('TL06'!$B$3=M$3,SUMIF('TL06'!$C$10:$C$224,$C140,'TL06'!$J$10:$J$224),0),
IF('TL06'!$B$229=M$3,SUMIF('TL06'!$C$238:$C$451,$C140,'TL06'!$J$238:$J$451),0),
IF('TL07'!$B$3=M$3,SUMIF('TL07'!$C$10:$C$224,$C140,'TL07'!$J$10:$J$224),0),
IF('TL07'!$B$229=M$3,SUMIF('TL07'!$C$238:$C$451,$C140,'TL07'!$J$238:$J$451),0),
IF('TL08'!$B$3=M$3,SUMIF('TL08'!$C$10:$C$224,$C140,'TL08'!$J$10:$J$224),0),
IF('TL08'!$B$229=M$3,SUMIF('TL08'!$C$238:$C$451,$C140,'TL08'!$J$238:$J$451),0),
IF('TL09'!$B$3=M$3,SUMIF('TL09'!$C$10:$C$224,$C140,'TL09'!$J$10:$J$224),0),
IF('TL09'!$B$229=M$3,SUMIF('TL09'!$C$238:$C$451,$C140,'TL09'!$J$238:$J$451),0),
IF('TL10'!$B$3=M$3,SUMIF('TL10'!$C$10:$C$224,$C140,'TL10'!$J$10:$J$224),0),
IF('TL10'!$B$229=M$3,SUMIF('TL10'!$C$238:$C$451,$C140,'TL10'!$J$238:$J$451),0),
IF('TL11'!$B$3=M$3,SUMIF('TL11'!$C$10:$C$224,$C140,'TL11'!$J$10:$J$224),0),
IF('TL11'!$B$229=M$3,SUMIF('TL11'!$C$238:$C$451,$C140,'TL11'!$J$238:$J$451),0),
IF('TL12'!$B$3=M$3,SUMIF('TL12'!$C$10:$C$224,$C140,'TL12'!$J$10:$J$224),0),
IF('TL12'!$B$229=M$3,SUMIF('TL12'!$C$238:$C$451,$C140,'TL12'!$J$238:$J$451),0),
IF('TL13'!$B$3=M$3,SUMIF('TL13'!$C$10:$C$224,$C140,'TL13'!$J$10:$J$224),0),
IF('TL13'!$B$229=M$3,SUMIF('TL13'!$C$238:$C$451,$C140,'TL13'!$J$238:$J$451),0),
IF('TL14'!$B$3=M$3,SUMIF('TL14'!$C$10:$C$224,$C140,'TL14'!$J$10:$J$224),0),
IF('TL14'!$B$229=M$3,SUMIF('TL14'!$C$238:$C$451,$C140,'TL14'!$J$238:$J$451),0),
IF('TL15'!$B$3=M$3,SUMIF('TL15'!$C$10:$C$224,$C140,'TL15'!$J$10:$J$224),0),
IF('TL15'!$B$229=M$3,SUMIF('TL15'!$C$238:$C$451,$C140,'TL15'!$J$238:$J$451),0),
IF('TL16'!$B$3=M$3,SUMIF('TL16'!$C$10:$C$224,$C140,'TL16'!$J$10:$J$224),0),
IF('TL16'!$B$229=M$3,SUMIF('TL16'!$C$238:$C$451,$C140,'TL16'!$J$238:$J$451),0),
IF('TL17'!$B$3=M$3,SUMIF('TL17'!$C$10:$C$224,$C140,'TL17'!$J$10:$J$224),0),
IF('TL17'!$B$229=M$3,SUMIF('TL17'!$C$238:$C$451,$C140,'TL17'!$J$238:$J$451),0),
IF('TL18'!$B$3=M$3,SUMIF('TL18'!$C$10:$C$224,$C140,'TL18'!$J$10:$J$224),0),
IF('TL18'!$B$229=M$3,SUMIF('TL18'!$C$238:$C$451,$C140,'TL18'!$J$238:$J$451),0),
IF('TL19'!$B$3=M$3,SUMIF('TL19'!$C$10:$C$224,$C140,'TL19'!$J$10:$J$224),0),
IF('TL19'!$B$229=M$3,SUMIF('TL19'!$C$238:$C$451,$C140,'TL19'!$J$238:$J$451),0)
),0)</f>
        <v>0</v>
      </c>
      <c r="N140" s="9">
        <f>IFERROR(SUM(
IF('TL01'!$B$3=N$3,SUMIF('TL01'!$C$10:$C$224,$C140,'TL01'!$J$10:$J$224),0),
IF('TL01'!$B$229=N$3,SUMIF('TL01'!$C$238:$C$451,$C140,'TL01'!$J$238:$J$451),0),
IF('TL02'!$B$3=N$3,SUMIF('TL02'!$C$10:$C$224,$C140,'TL02'!$J$10:$J$224),0),
IF('TL02'!$B$229=N$3,SUMIF('TL02'!$C$238:$C$451,$C140,'TL02'!$J$238:$J$451),0),
IF('TL03'!$B$3=N$3,SUMIF('TL03'!$C$10:$C$224,$C140,'TL03'!$J$10:$J$224),0),
IF('TL03'!$B$229=N$3,SUMIF('TL03'!$C$238:$C$451,$C140,'TL03'!$J$238:$J$451),0),
IF('TL04'!$B$3=N$3,SUMIF('TL04'!$C$10:$C$224,$C140,'TL04'!$J$10:$J$224),0),
IF('TL04'!$B$229=N$3,SUMIF('TL04'!$C$238:$C$451,$C140,'TL04'!$J$238:$J$451),0),
IF('TL05'!$B$3=N$3,SUMIF('TL05'!$C$10:$C$224,$C140,'TL05'!$J$10:$J$224),0),
IF('TL05'!$B$229=N$3,SUMIF('TL05'!$C$238:$C$451,$C140,'TL05'!$J$238:$J$451),0),
IF('TL06'!$B$3=N$3,SUMIF('TL06'!$C$10:$C$224,$C140,'TL06'!$J$10:$J$224),0),
IF('TL06'!$B$229=N$3,SUMIF('TL06'!$C$238:$C$451,$C140,'TL06'!$J$238:$J$451),0),
IF('TL07'!$B$3=N$3,SUMIF('TL07'!$C$10:$C$224,$C140,'TL07'!$J$10:$J$224),0),
IF('TL07'!$B$229=N$3,SUMIF('TL07'!$C$238:$C$451,$C140,'TL07'!$J$238:$J$451),0),
IF('TL08'!$B$3=N$3,SUMIF('TL08'!$C$10:$C$224,$C140,'TL08'!$J$10:$J$224),0),
IF('TL08'!$B$229=N$3,SUMIF('TL08'!$C$238:$C$451,$C140,'TL08'!$J$238:$J$451),0),
IF('TL09'!$B$3=N$3,SUMIF('TL09'!$C$10:$C$224,$C140,'TL09'!$J$10:$J$224),0),
IF('TL09'!$B$229=N$3,SUMIF('TL09'!$C$238:$C$451,$C140,'TL09'!$J$238:$J$451),0),
IF('TL10'!$B$3=N$3,SUMIF('TL10'!$C$10:$C$224,$C140,'TL10'!$J$10:$J$224),0),
IF('TL10'!$B$229=N$3,SUMIF('TL10'!$C$238:$C$451,$C140,'TL10'!$J$238:$J$451),0),
IF('TL11'!$B$3=N$3,SUMIF('TL11'!$C$10:$C$224,$C140,'TL11'!$J$10:$J$224),0),
IF('TL11'!$B$229=N$3,SUMIF('TL11'!$C$238:$C$451,$C140,'TL11'!$J$238:$J$451),0),
IF('TL12'!$B$3=N$3,SUMIF('TL12'!$C$10:$C$224,$C140,'TL12'!$J$10:$J$224),0),
IF('TL12'!$B$229=N$3,SUMIF('TL12'!$C$238:$C$451,$C140,'TL12'!$J$238:$J$451),0),
IF('TL13'!$B$3=N$3,SUMIF('TL13'!$C$10:$C$224,$C140,'TL13'!$J$10:$J$224),0),
IF('TL13'!$B$229=N$3,SUMIF('TL13'!$C$238:$C$451,$C140,'TL13'!$J$238:$J$451),0),
IF('TL14'!$B$3=N$3,SUMIF('TL14'!$C$10:$C$224,$C140,'TL14'!$J$10:$J$224),0),
IF('TL14'!$B$229=N$3,SUMIF('TL14'!$C$238:$C$451,$C140,'TL14'!$J$238:$J$451),0),
IF('TL15'!$B$3=N$3,SUMIF('TL15'!$C$10:$C$224,$C140,'TL15'!$J$10:$J$224),0),
IF('TL15'!$B$229=N$3,SUMIF('TL15'!$C$238:$C$451,$C140,'TL15'!$J$238:$J$451),0),
IF('TL16'!$B$3=N$3,SUMIF('TL16'!$C$10:$C$224,$C140,'TL16'!$J$10:$J$224),0),
IF('TL16'!$B$229=N$3,SUMIF('TL16'!$C$238:$C$451,$C140,'TL16'!$J$238:$J$451),0),
IF('TL17'!$B$3=N$3,SUMIF('TL17'!$C$10:$C$224,$C140,'TL17'!$J$10:$J$224),0),
IF('TL17'!$B$229=N$3,SUMIF('TL17'!$C$238:$C$451,$C140,'TL17'!$J$238:$J$451),0),
IF('TL18'!$B$3=N$3,SUMIF('TL18'!$C$10:$C$224,$C140,'TL18'!$J$10:$J$224),0),
IF('TL18'!$B$229=N$3,SUMIF('TL18'!$C$238:$C$451,$C140,'TL18'!$J$238:$J$451),0),
IF('TL19'!$B$3=N$3,SUMIF('TL19'!$C$10:$C$224,$C140,'TL19'!$J$10:$J$224),0),
IF('TL19'!$B$229=N$3,SUMIF('TL19'!$C$238:$C$451,$C140,'TL19'!$J$238:$J$451),0)
),0)</f>
        <v>0</v>
      </c>
      <c r="O140" s="9">
        <f>IFERROR(SUM(
IF('TL01'!$B$3=O$3,SUMIF('TL01'!$C$10:$C$224,$C140,'TL01'!$J$10:$J$224),0),
IF('TL01'!$B$229=O$3,SUMIF('TL01'!$C$238:$C$451,$C140,'TL01'!$J$238:$J$451),0),
IF('TL02'!$B$3=O$3,SUMIF('TL02'!$C$10:$C$224,$C140,'TL02'!$J$10:$J$224),0),
IF('TL02'!$B$229=O$3,SUMIF('TL02'!$C$238:$C$451,$C140,'TL02'!$J$238:$J$451),0),
IF('TL03'!$B$3=O$3,SUMIF('TL03'!$C$10:$C$224,$C140,'TL03'!$J$10:$J$224),0),
IF('TL03'!$B$229=O$3,SUMIF('TL03'!$C$238:$C$451,$C140,'TL03'!$J$238:$J$451),0),
IF('TL04'!$B$3=O$3,SUMIF('TL04'!$C$10:$C$224,$C140,'TL04'!$J$10:$J$224),0),
IF('TL04'!$B$229=O$3,SUMIF('TL04'!$C$238:$C$451,$C140,'TL04'!$J$238:$J$451),0),
IF('TL05'!$B$3=O$3,SUMIF('TL05'!$C$10:$C$224,$C140,'TL05'!$J$10:$J$224),0),
IF('TL05'!$B$229=O$3,SUMIF('TL05'!$C$238:$C$451,$C140,'TL05'!$J$238:$J$451),0),
IF('TL06'!$B$3=O$3,SUMIF('TL06'!$C$10:$C$224,$C140,'TL06'!$J$10:$J$224),0),
IF('TL06'!$B$229=O$3,SUMIF('TL06'!$C$238:$C$451,$C140,'TL06'!$J$238:$J$451),0),
IF('TL07'!$B$3=O$3,SUMIF('TL07'!$C$10:$C$224,$C140,'TL07'!$J$10:$J$224),0),
IF('TL07'!$B$229=O$3,SUMIF('TL07'!$C$238:$C$451,$C140,'TL07'!$J$238:$J$451),0),
IF('TL08'!$B$3=O$3,SUMIF('TL08'!$C$10:$C$224,$C140,'TL08'!$J$10:$J$224),0),
IF('TL08'!$B$229=O$3,SUMIF('TL08'!$C$238:$C$451,$C140,'TL08'!$J$238:$J$451),0),
IF('TL09'!$B$3=O$3,SUMIF('TL09'!$C$10:$C$224,$C140,'TL09'!$J$10:$J$224),0),
IF('TL09'!$B$229=O$3,SUMIF('TL09'!$C$238:$C$451,$C140,'TL09'!$J$238:$J$451),0),
IF('TL10'!$B$3=O$3,SUMIF('TL10'!$C$10:$C$224,$C140,'TL10'!$J$10:$J$224),0),
IF('TL10'!$B$229=O$3,SUMIF('TL10'!$C$238:$C$451,$C140,'TL10'!$J$238:$J$451),0),
IF('TL11'!$B$3=O$3,SUMIF('TL11'!$C$10:$C$224,$C140,'TL11'!$J$10:$J$224),0),
IF('TL11'!$B$229=O$3,SUMIF('TL11'!$C$238:$C$451,$C140,'TL11'!$J$238:$J$451),0),
IF('TL12'!$B$3=O$3,SUMIF('TL12'!$C$10:$C$224,$C140,'TL12'!$J$10:$J$224),0),
IF('TL12'!$B$229=O$3,SUMIF('TL12'!$C$238:$C$451,$C140,'TL12'!$J$238:$J$451),0),
IF('TL13'!$B$3=O$3,SUMIF('TL13'!$C$10:$C$224,$C140,'TL13'!$J$10:$J$224),0),
IF('TL13'!$B$229=O$3,SUMIF('TL13'!$C$238:$C$451,$C140,'TL13'!$J$238:$J$451),0),
IF('TL14'!$B$3=O$3,SUMIF('TL14'!$C$10:$C$224,$C140,'TL14'!$J$10:$J$224),0),
IF('TL14'!$B$229=O$3,SUMIF('TL14'!$C$238:$C$451,$C140,'TL14'!$J$238:$J$451),0),
IF('TL15'!$B$3=O$3,SUMIF('TL15'!$C$10:$C$224,$C140,'TL15'!$J$10:$J$224),0),
IF('TL15'!$B$229=O$3,SUMIF('TL15'!$C$238:$C$451,$C140,'TL15'!$J$238:$J$451),0),
IF('TL16'!$B$3=O$3,SUMIF('TL16'!$C$10:$C$224,$C140,'TL16'!$J$10:$J$224),0),
IF('TL16'!$B$229=O$3,SUMIF('TL16'!$C$238:$C$451,$C140,'TL16'!$J$238:$J$451),0),
IF('TL17'!$B$3=O$3,SUMIF('TL17'!$C$10:$C$224,$C140,'TL17'!$J$10:$J$224),0),
IF('TL17'!$B$229=O$3,SUMIF('TL17'!$C$238:$C$451,$C140,'TL17'!$J$238:$J$451),0),
IF('TL18'!$B$3=O$3,SUMIF('TL18'!$C$10:$C$224,$C140,'TL18'!$J$10:$J$224),0),
IF('TL18'!$B$229=O$3,SUMIF('TL18'!$C$238:$C$451,$C140,'TL18'!$J$238:$J$451),0),
IF('TL19'!$B$3=O$3,SUMIF('TL19'!$C$10:$C$224,$C140,'TL19'!$J$10:$J$224),0),
IF('TL19'!$B$229=O$3,SUMIF('TL19'!$C$238:$C$451,$C140,'TL19'!$J$238:$J$451),0)
),0)</f>
        <v>0</v>
      </c>
      <c r="P140" s="9">
        <f>IFERROR(SUM(
IF('TL01'!$B$3=P$3,SUMIF('TL01'!$C$10:$C$224,$C140,'TL01'!$J$10:$J$224),0),
IF('TL01'!$B$229=P$3,SUMIF('TL01'!$C$238:$C$451,$C140,'TL01'!$J$238:$J$451),0),
IF('TL02'!$B$3=P$3,SUMIF('TL02'!$C$10:$C$224,$C140,'TL02'!$J$10:$J$224),0),
IF('TL02'!$B$229=P$3,SUMIF('TL02'!$C$238:$C$451,$C140,'TL02'!$J$238:$J$451),0),
IF('TL03'!$B$3=P$3,SUMIF('TL03'!$C$10:$C$224,$C140,'TL03'!$J$10:$J$224),0),
IF('TL03'!$B$229=P$3,SUMIF('TL03'!$C$238:$C$451,$C140,'TL03'!$J$238:$J$451),0),
IF('TL04'!$B$3=P$3,SUMIF('TL04'!$C$10:$C$224,$C140,'TL04'!$J$10:$J$224),0),
IF('TL04'!$B$229=P$3,SUMIF('TL04'!$C$238:$C$451,$C140,'TL04'!$J$238:$J$451),0),
IF('TL05'!$B$3=P$3,SUMIF('TL05'!$C$10:$C$224,$C140,'TL05'!$J$10:$J$224),0),
IF('TL05'!$B$229=P$3,SUMIF('TL05'!$C$238:$C$451,$C140,'TL05'!$J$238:$J$451),0),
IF('TL06'!$B$3=P$3,SUMIF('TL06'!$C$10:$C$224,$C140,'TL06'!$J$10:$J$224),0),
IF('TL06'!$B$229=P$3,SUMIF('TL06'!$C$238:$C$451,$C140,'TL06'!$J$238:$J$451),0),
IF('TL07'!$B$3=P$3,SUMIF('TL07'!$C$10:$C$224,$C140,'TL07'!$J$10:$J$224),0),
IF('TL07'!$B$229=P$3,SUMIF('TL07'!$C$238:$C$451,$C140,'TL07'!$J$238:$J$451),0),
IF('TL08'!$B$3=P$3,SUMIF('TL08'!$C$10:$C$224,$C140,'TL08'!$J$10:$J$224),0),
IF('TL08'!$B$229=P$3,SUMIF('TL08'!$C$238:$C$451,$C140,'TL08'!$J$238:$J$451),0),
IF('TL09'!$B$3=P$3,SUMIF('TL09'!$C$10:$C$224,$C140,'TL09'!$J$10:$J$224),0),
IF('TL09'!$B$229=P$3,SUMIF('TL09'!$C$238:$C$451,$C140,'TL09'!$J$238:$J$451),0),
IF('TL10'!$B$3=P$3,SUMIF('TL10'!$C$10:$C$224,$C140,'TL10'!$J$10:$J$224),0),
IF('TL10'!$B$229=P$3,SUMIF('TL10'!$C$238:$C$451,$C140,'TL10'!$J$238:$J$451),0),
IF('TL11'!$B$3=P$3,SUMIF('TL11'!$C$10:$C$224,$C140,'TL11'!$J$10:$J$224),0),
IF('TL11'!$B$229=P$3,SUMIF('TL11'!$C$238:$C$451,$C140,'TL11'!$J$238:$J$451),0),
IF('TL12'!$B$3=P$3,SUMIF('TL12'!$C$10:$C$224,$C140,'TL12'!$J$10:$J$224),0),
IF('TL12'!$B$229=P$3,SUMIF('TL12'!$C$238:$C$451,$C140,'TL12'!$J$238:$J$451),0),
IF('TL13'!$B$3=P$3,SUMIF('TL13'!$C$10:$C$224,$C140,'TL13'!$J$10:$J$224),0),
IF('TL13'!$B$229=P$3,SUMIF('TL13'!$C$238:$C$451,$C140,'TL13'!$J$238:$J$451),0),
IF('TL14'!$B$3=P$3,SUMIF('TL14'!$C$10:$C$224,$C140,'TL14'!$J$10:$J$224),0),
IF('TL14'!$B$229=P$3,SUMIF('TL14'!$C$238:$C$451,$C140,'TL14'!$J$238:$J$451),0),
IF('TL15'!$B$3=P$3,SUMIF('TL15'!$C$10:$C$224,$C140,'TL15'!$J$10:$J$224),0),
IF('TL15'!$B$229=P$3,SUMIF('TL15'!$C$238:$C$451,$C140,'TL15'!$J$238:$J$451),0),
IF('TL16'!$B$3=P$3,SUMIF('TL16'!$C$10:$C$224,$C140,'TL16'!$J$10:$J$224),0),
IF('TL16'!$B$229=P$3,SUMIF('TL16'!$C$238:$C$451,$C140,'TL16'!$J$238:$J$451),0),
IF('TL17'!$B$3=P$3,SUMIF('TL17'!$C$10:$C$224,$C140,'TL17'!$J$10:$J$224),0),
IF('TL17'!$B$229=P$3,SUMIF('TL17'!$C$238:$C$451,$C140,'TL17'!$J$238:$J$451),0),
IF('TL18'!$B$3=P$3,SUMIF('TL18'!$C$10:$C$224,$C140,'TL18'!$J$10:$J$224),0),
IF('TL18'!$B$229=P$3,SUMIF('TL18'!$C$238:$C$451,$C140,'TL18'!$J$238:$J$451),0),
IF('TL19'!$B$3=P$3,SUMIF('TL19'!$C$10:$C$224,$C140,'TL19'!$J$10:$J$224),0),
IF('TL19'!$B$229=P$3,SUMIF('TL19'!$C$238:$C$451,$C140,'TL19'!$J$238:$J$451),0)
),0)</f>
        <v>0</v>
      </c>
      <c r="Q140" s="9">
        <f>IFERROR(SUM(
IF('TL01'!$B$3=Q$3,SUMIF('TL01'!$C$10:$C$224,$C140,'TL01'!$J$10:$J$224),0),
IF('TL01'!$B$229=Q$3,SUMIF('TL01'!$C$238:$C$451,$C140,'TL01'!$J$238:$J$451),0),
IF('TL02'!$B$3=Q$3,SUMIF('TL02'!$C$10:$C$224,$C140,'TL02'!$J$10:$J$224),0),
IF('TL02'!$B$229=Q$3,SUMIF('TL02'!$C$238:$C$451,$C140,'TL02'!$J$238:$J$451),0),
IF('TL03'!$B$3=Q$3,SUMIF('TL03'!$C$10:$C$224,$C140,'TL03'!$J$10:$J$224),0),
IF('TL03'!$B$229=Q$3,SUMIF('TL03'!$C$238:$C$451,$C140,'TL03'!$J$238:$J$451),0),
IF('TL04'!$B$3=Q$3,SUMIF('TL04'!$C$10:$C$224,$C140,'TL04'!$J$10:$J$224),0),
IF('TL04'!$B$229=Q$3,SUMIF('TL04'!$C$238:$C$451,$C140,'TL04'!$J$238:$J$451),0),
IF('TL05'!$B$3=Q$3,SUMIF('TL05'!$C$10:$C$224,$C140,'TL05'!$J$10:$J$224),0),
IF('TL05'!$B$229=Q$3,SUMIF('TL05'!$C$238:$C$451,$C140,'TL05'!$J$238:$J$451),0),
IF('TL06'!$B$3=Q$3,SUMIF('TL06'!$C$10:$C$224,$C140,'TL06'!$J$10:$J$224),0),
IF('TL06'!$B$229=Q$3,SUMIF('TL06'!$C$238:$C$451,$C140,'TL06'!$J$238:$J$451),0),
IF('TL07'!$B$3=Q$3,SUMIF('TL07'!$C$10:$C$224,$C140,'TL07'!$J$10:$J$224),0),
IF('TL07'!$B$229=Q$3,SUMIF('TL07'!$C$238:$C$451,$C140,'TL07'!$J$238:$J$451),0),
IF('TL08'!$B$3=Q$3,SUMIF('TL08'!$C$10:$C$224,$C140,'TL08'!$J$10:$J$224),0),
IF('TL08'!$B$229=Q$3,SUMIF('TL08'!$C$238:$C$451,$C140,'TL08'!$J$238:$J$451),0),
IF('TL09'!$B$3=Q$3,SUMIF('TL09'!$C$10:$C$224,$C140,'TL09'!$J$10:$J$224),0),
IF('TL09'!$B$229=Q$3,SUMIF('TL09'!$C$238:$C$451,$C140,'TL09'!$J$238:$J$451),0),
IF('TL10'!$B$3=Q$3,SUMIF('TL10'!$C$10:$C$224,$C140,'TL10'!$J$10:$J$224),0),
IF('TL10'!$B$229=Q$3,SUMIF('TL10'!$C$238:$C$451,$C140,'TL10'!$J$238:$J$451),0),
IF('TL11'!$B$3=Q$3,SUMIF('TL11'!$C$10:$C$224,$C140,'TL11'!$J$10:$J$224),0),
IF('TL11'!$B$229=Q$3,SUMIF('TL11'!$C$238:$C$451,$C140,'TL11'!$J$238:$J$451),0),
IF('TL12'!$B$3=Q$3,SUMIF('TL12'!$C$10:$C$224,$C140,'TL12'!$J$10:$J$224),0),
IF('TL12'!$B$229=Q$3,SUMIF('TL12'!$C$238:$C$451,$C140,'TL12'!$J$238:$J$451),0),
IF('TL13'!$B$3=Q$3,SUMIF('TL13'!$C$10:$C$224,$C140,'TL13'!$J$10:$J$224),0),
IF('TL13'!$B$229=Q$3,SUMIF('TL13'!$C$238:$C$451,$C140,'TL13'!$J$238:$J$451),0),
IF('TL14'!$B$3=Q$3,SUMIF('TL14'!$C$10:$C$224,$C140,'TL14'!$J$10:$J$224),0),
IF('TL14'!$B$229=Q$3,SUMIF('TL14'!$C$238:$C$451,$C140,'TL14'!$J$238:$J$451),0),
IF('TL15'!$B$3=Q$3,SUMIF('TL15'!$C$10:$C$224,$C140,'TL15'!$J$10:$J$224),0),
IF('TL15'!$B$229=Q$3,SUMIF('TL15'!$C$238:$C$451,$C140,'TL15'!$J$238:$J$451),0),
IF('TL16'!$B$3=Q$3,SUMIF('TL16'!$C$10:$C$224,$C140,'TL16'!$J$10:$J$224),0),
IF('TL16'!$B$229=Q$3,SUMIF('TL16'!$C$238:$C$451,$C140,'TL16'!$J$238:$J$451),0),
IF('TL17'!$B$3=Q$3,SUMIF('TL17'!$C$10:$C$224,$C140,'TL17'!$J$10:$J$224),0),
IF('TL17'!$B$229=Q$3,SUMIF('TL17'!$C$238:$C$451,$C140,'TL17'!$J$238:$J$451),0),
IF('TL18'!$B$3=Q$3,SUMIF('TL18'!$C$10:$C$224,$C140,'TL18'!$J$10:$J$224),0),
IF('TL18'!$B$229=Q$3,SUMIF('TL18'!$C$238:$C$451,$C140,'TL18'!$J$238:$J$451),0),
IF('TL19'!$B$3=Q$3,SUMIF('TL19'!$C$10:$C$224,$C140,'TL19'!$J$10:$J$224),0),
IF('TL19'!$B$229=Q$3,SUMIF('TL19'!$C$238:$C$451,$C140,'TL19'!$J$238:$J$451),0)
),0)</f>
        <v>0</v>
      </c>
      <c r="R140" s="9">
        <f>IFERROR(
SUM(
SUMIF('TL01'!C:C,C140,'TL01'!J:J),
SUMIF('TL02'!C:C,C140,'TL02'!J:J),
SUMIF('TL03'!C:C,C140,'TL03'!J:J),
SUMIF('TL04'!C:C,C140,'TL04'!J:J),
SUMIF('TL05'!C:C,C140,'TL05'!J:J),
SUMIF('TL06'!C:C,C140,'TL06'!J:J),
SUMIF('TL07'!C:C,C140,'TL07'!J:J),
SUMIF('TL08'!C:C,C140,'TL08'!J:J),
SUMIF('TL09'!C:C,C140,'TL09'!J:J),
SUMIF('TL10'!C:C,C140,'TL10'!J:J),
SUMIF('TL11'!C:C,C140,'TL11'!J:J),
SUMIF('TL12'!C:C,C140,'TL12'!J:J),
SUMIF('TL13'!C:C,C140,'TL13'!J:J),
SUMIF('TL14'!C:C,C140,'TL14'!J:J),
SUMIF('TL15'!C:C,C140,'TL15'!J:J),
SUMIF('TL16'!C:C,C140,'TL16'!J:J),
SUMIF('TL17'!C:C,C140,'TL17'!J:J),
SUMIF('TL18'!C:C,C140,'TL18'!J:J),SUMIF('TL19'!C:C,C140,'TL19'!J:J))
,0)</f>
        <v>0</v>
      </c>
      <c r="S140" s="17">
        <f>IFERROR(__xludf.DUMMYFUNCTION("IFERROR(VLOOKUP(C140,
IMPORTRANGE(""1wULbzX32WdYsx-lj2U3uUNBBe2INVIRDtcK0d-Dvl90"",
""26-27!C:G""),
5,
FALSE),
"""")"),256.00069999999994)</f>
        <v>256.0007</v>
      </c>
      <c r="T140" s="9"/>
      <c r="U140" s="92">
        <f t="shared" si="2"/>
        <v>0</v>
      </c>
      <c r="V140" s="93">
        <f t="shared" si="3"/>
        <v>0</v>
      </c>
    </row>
    <row r="141" ht="15.75" hidden="1" customHeight="1">
      <c r="A141" s="111" t="s">
        <v>378</v>
      </c>
      <c r="B141" s="112" t="s">
        <v>1</v>
      </c>
      <c r="C141" s="113" t="s">
        <v>688</v>
      </c>
      <c r="D141" s="113" t="s">
        <v>689</v>
      </c>
      <c r="E141" s="113" t="s">
        <v>690</v>
      </c>
      <c r="F141" s="4" t="s">
        <v>343</v>
      </c>
      <c r="G141" s="90" t="str">
        <f t="shared" si="4"/>
        <v>📄 Ver bula</v>
      </c>
      <c r="H141" s="9" t="str">
        <f>IFERROR(__xludf.DUMMYFUNCTION("IFERROR(VLOOKUP(C141,
IMPORTRANGE(""1wULbzX32WdYsx-lj2U3uUNBBe2INVIRDtcK0d-Dvl90"",
""26-27!C:K""),
8,
FALSE),
"""")"),"")</f>
        <v/>
      </c>
      <c r="I141" s="114" t="s">
        <v>344</v>
      </c>
      <c r="J141" s="9">
        <f>IFERROR(SUM(
IF('TL01'!$B$3=J$3,SUMIF('TL01'!$C$10:$C$224,$C141,'TL01'!$J$10:$J$224),0),
IF('TL01'!$B$229=J$3,SUMIF('TL01'!$C$238:$C$451,$C141,'TL01'!$J$238:$J$451),0),
IF('TL02'!$B$3=J$3,SUMIF('TL02'!$C$10:$C$224,$C141,'TL02'!$J$10:$J$224),0),
IF('TL02'!$B$229=J$3,SUMIF('TL02'!$C$238:$C$451,$C141,'TL02'!$J$238:$J$451),0),
IF('TL03'!$B$3=J$3,SUMIF('TL03'!$C$10:$C$224,$C141,'TL03'!$J$10:$J$224),0),
IF('TL03'!$B$229=J$3,SUMIF('TL03'!$C$238:$C$451,$C141,'TL03'!$J$238:$J$451),0),
IF('TL04'!$B$3=J$3,SUMIF('TL04'!$C$10:$C$224,$C141,'TL04'!$J$10:$J$224),0),
IF('TL04'!$B$229=J$3,SUMIF('TL04'!$C$238:$C$451,$C141,'TL04'!$J$238:$J$451),0),
IF('TL05'!$B$3=J$3,SUMIF('TL05'!$C$10:$C$224,$C141,'TL05'!$J$10:$J$224),0),
IF('TL05'!$B$229=J$3,SUMIF('TL05'!$C$238:$C$451,$C141,'TL05'!$J$238:$J$451),0),
IF('TL06'!$B$3=J$3,SUMIF('TL06'!$C$10:$C$224,$C141,'TL06'!$J$10:$J$224),0),
IF('TL06'!$B$229=J$3,SUMIF('TL06'!$C$238:$C$451,$C141,'TL06'!$J$238:$J$451),0),
IF('TL07'!$B$3=J$3,SUMIF('TL07'!$C$10:$C$224,$C141,'TL07'!$J$10:$J$224),0),
IF('TL07'!$B$229=J$3,SUMIF('TL07'!$C$238:$C$451,$C141,'TL07'!$J$238:$J$451),0),
IF('TL08'!$B$3=J$3,SUMIF('TL08'!$C$10:$C$224,$C141,'TL08'!$J$10:$J$224),0),
IF('TL08'!$B$229=J$3,SUMIF('TL08'!$C$238:$C$451,$C141,'TL08'!$J$238:$J$451),0),
IF('TL09'!$B$3=J$3,SUMIF('TL09'!$C$10:$C$224,$C141,'TL09'!$J$10:$J$224),0),
IF('TL09'!$B$229=J$3,SUMIF('TL09'!$C$238:$C$451,$C141,'TL09'!$J$238:$J$451),0),
IF('TL10'!$B$3=J$3,SUMIF('TL10'!$C$10:$C$224,$C141,'TL10'!$J$10:$J$224),0),
IF('TL10'!$B$229=J$3,SUMIF('TL10'!$C$238:$C$451,$C141,'TL10'!$J$238:$J$451),0),
IF('TL11'!$B$3=J$3,SUMIF('TL11'!$C$10:$C$224,$C141,'TL11'!$J$10:$J$224),0),
IF('TL11'!$B$229=J$3,SUMIF('TL11'!$C$238:$C$451,$C141,'TL11'!$J$238:$J$451),0),
IF('TL12'!$B$3=J$3,SUMIF('TL12'!$C$10:$C$224,$C141,'TL12'!$J$10:$J$224),0),
IF('TL12'!$B$229=J$3,SUMIF('TL12'!$C$238:$C$451,$C141,'TL12'!$J$238:$J$451),0),
IF('TL13'!$B$3=J$3,SUMIF('TL13'!$C$10:$C$224,$C141,'TL13'!$J$10:$J$224),0),
IF('TL13'!$B$229=J$3,SUMIF('TL13'!$C$238:$C$451,$C141,'TL13'!$J$238:$J$451),0),
IF('TL14'!$B$3=J$3,SUMIF('TL14'!$C$10:$C$224,$C141,'TL14'!$J$10:$J$224),0),
IF('TL14'!$B$229=J$3,SUMIF('TL14'!$C$238:$C$451,$C141,'TL14'!$J$238:$J$451),0),
IF('TL15'!$B$3=J$3,SUMIF('TL15'!$C$10:$C$224,$C141,'TL15'!$J$10:$J$224),0),
IF('TL15'!$B$229=J$3,SUMIF('TL15'!$C$238:$C$451,$C141,'TL15'!$J$238:$J$451),0),
IF('TL16'!$B$3=J$3,SUMIF('TL16'!$C$10:$C$224,$C141,'TL16'!$J$10:$J$224),0),
IF('TL16'!$B$229=J$3,SUMIF('TL16'!$C$238:$C$451,$C141,'TL16'!$J$238:$J$451),0),
IF('TL17'!$B$3=J$3,SUMIF('TL17'!$C$10:$C$224,$C141,'TL17'!$J$10:$J$224),0),
IF('TL17'!$B$229=J$3,SUMIF('TL17'!$C$238:$C$451,$C141,'TL17'!$J$238:$J$451),0),
IF('TL18'!$B$3=J$3,SUMIF('TL18'!$C$10:$C$224,$C141,'TL18'!$J$10:$J$224),0),
IF('TL18'!$B$229=J$3,SUMIF('TL18'!$C$238:$C$451,$C141,'TL18'!$J$238:$J$451),0),
IF('TL19'!$B$3=J$3,SUMIF('TL19'!$C$10:$C$224,$C141,'TL19'!$J$10:$J$224),0),
IF('TL19'!$B$229=J$3,SUMIF('TL19'!$C$238:$C$451,$C141,'TL19'!$J$238:$J$451),0)
),0)</f>
        <v>0</v>
      </c>
      <c r="K141" s="9">
        <f>IFERROR(SUM(
IF('TL01'!$B$3=K$3,SUMIF('TL01'!$C$10:$C$224,$C141,'TL01'!$J$10:$J$224),0),
IF('TL01'!$B$229=K$3,SUMIF('TL01'!$C$238:$C$451,$C141,'TL01'!$J$238:$J$451),0),
IF('TL02'!$B$3=K$3,SUMIF('TL02'!$C$10:$C$224,$C141,'TL02'!$J$10:$J$224),0),
IF('TL02'!$B$229=K$3,SUMIF('TL02'!$C$238:$C$451,$C141,'TL02'!$J$238:$J$451),0),
IF('TL03'!$B$3=K$3,SUMIF('TL03'!$C$10:$C$224,$C141,'TL03'!$J$10:$J$224),0),
IF('TL03'!$B$229=K$3,SUMIF('TL03'!$C$238:$C$451,$C141,'TL03'!$J$238:$J$451),0),
IF('TL04'!$B$3=K$3,SUMIF('TL04'!$C$10:$C$224,$C141,'TL04'!$J$10:$J$224),0),
IF('TL04'!$B$229=K$3,SUMIF('TL04'!$C$238:$C$451,$C141,'TL04'!$J$238:$J$451),0),
IF('TL05'!$B$3=K$3,SUMIF('TL05'!$C$10:$C$224,$C141,'TL05'!$J$10:$J$224),0),
IF('TL05'!$B$229=K$3,SUMIF('TL05'!$C$238:$C$451,$C141,'TL05'!$J$238:$J$451),0),
IF('TL06'!$B$3=K$3,SUMIF('TL06'!$C$10:$C$224,$C141,'TL06'!$J$10:$J$224),0),
IF('TL06'!$B$229=K$3,SUMIF('TL06'!$C$238:$C$451,$C141,'TL06'!$J$238:$J$451),0),
IF('TL07'!$B$3=K$3,SUMIF('TL07'!$C$10:$C$224,$C141,'TL07'!$J$10:$J$224),0),
IF('TL07'!$B$229=K$3,SUMIF('TL07'!$C$238:$C$451,$C141,'TL07'!$J$238:$J$451),0),
IF('TL08'!$B$3=K$3,SUMIF('TL08'!$C$10:$C$224,$C141,'TL08'!$J$10:$J$224),0),
IF('TL08'!$B$229=K$3,SUMIF('TL08'!$C$238:$C$451,$C141,'TL08'!$J$238:$J$451),0),
IF('TL09'!$B$3=K$3,SUMIF('TL09'!$C$10:$C$224,$C141,'TL09'!$J$10:$J$224),0),
IF('TL09'!$B$229=K$3,SUMIF('TL09'!$C$238:$C$451,$C141,'TL09'!$J$238:$J$451),0),
IF('TL10'!$B$3=K$3,SUMIF('TL10'!$C$10:$C$224,$C141,'TL10'!$J$10:$J$224),0),
IF('TL10'!$B$229=K$3,SUMIF('TL10'!$C$238:$C$451,$C141,'TL10'!$J$238:$J$451),0),
IF('TL11'!$B$3=K$3,SUMIF('TL11'!$C$10:$C$224,$C141,'TL11'!$J$10:$J$224),0),
IF('TL11'!$B$229=K$3,SUMIF('TL11'!$C$238:$C$451,$C141,'TL11'!$J$238:$J$451),0),
IF('TL12'!$B$3=K$3,SUMIF('TL12'!$C$10:$C$224,$C141,'TL12'!$J$10:$J$224),0),
IF('TL12'!$B$229=K$3,SUMIF('TL12'!$C$238:$C$451,$C141,'TL12'!$J$238:$J$451),0),
IF('TL13'!$B$3=K$3,SUMIF('TL13'!$C$10:$C$224,$C141,'TL13'!$J$10:$J$224),0),
IF('TL13'!$B$229=K$3,SUMIF('TL13'!$C$238:$C$451,$C141,'TL13'!$J$238:$J$451),0),
IF('TL14'!$B$3=K$3,SUMIF('TL14'!$C$10:$C$224,$C141,'TL14'!$J$10:$J$224),0),
IF('TL14'!$B$229=K$3,SUMIF('TL14'!$C$238:$C$451,$C141,'TL14'!$J$238:$J$451),0),
IF('TL15'!$B$3=K$3,SUMIF('TL15'!$C$10:$C$224,$C141,'TL15'!$J$10:$J$224),0),
IF('TL15'!$B$229=K$3,SUMIF('TL15'!$C$238:$C$451,$C141,'TL15'!$J$238:$J$451),0),
IF('TL16'!$B$3=K$3,SUMIF('TL16'!$C$10:$C$224,$C141,'TL16'!$J$10:$J$224),0),
IF('TL16'!$B$229=K$3,SUMIF('TL16'!$C$238:$C$451,$C141,'TL16'!$J$238:$J$451),0),
IF('TL17'!$B$3=K$3,SUMIF('TL17'!$C$10:$C$224,$C141,'TL17'!$J$10:$J$224),0),
IF('TL17'!$B$229=K$3,SUMIF('TL17'!$C$238:$C$451,$C141,'TL17'!$J$238:$J$451),0),
IF('TL18'!$B$3=K$3,SUMIF('TL18'!$C$10:$C$224,$C141,'TL18'!$J$10:$J$224),0),
IF('TL18'!$B$229=K$3,SUMIF('TL18'!$C$238:$C$451,$C141,'TL18'!$J$238:$J$451),0),
IF('TL19'!$B$3=K$3,SUMIF('TL19'!$C$10:$C$224,$C141,'TL19'!$J$10:$J$224),0),
IF('TL19'!$B$229=K$3,SUMIF('TL19'!$C$238:$C$451,$C141,'TL19'!$J$238:$J$451),0)
),0)</f>
        <v>0</v>
      </c>
      <c r="L141" s="9">
        <f>IFERROR(SUM(
IF('TL01'!$B$3=L$3,SUMIF('TL01'!$C$10:$C$224,$C141,'TL01'!$J$10:$J$224),0),
IF('TL01'!$B$229=L$3,SUMIF('TL01'!$C$238:$C$451,$C141,'TL01'!$J$238:$J$451),0),
IF('TL02'!$B$3=L$3,SUMIF('TL02'!$C$10:$C$224,$C141,'TL02'!$J$10:$J$224),0),
IF('TL02'!$B$229=L$3,SUMIF('TL02'!$C$238:$C$451,$C141,'TL02'!$J$238:$J$451),0),
IF('TL03'!$B$3=L$3,SUMIF('TL03'!$C$10:$C$224,$C141,'TL03'!$J$10:$J$224),0),
IF('TL03'!$B$229=L$3,SUMIF('TL03'!$C$238:$C$451,$C141,'TL03'!$J$238:$J$451),0),
IF('TL04'!$B$3=L$3,SUMIF('TL04'!$C$10:$C$224,$C141,'TL04'!$J$10:$J$224),0),
IF('TL04'!$B$229=L$3,SUMIF('TL04'!$C$238:$C$451,$C141,'TL04'!$J$238:$J$451),0),
IF('TL05'!$B$3=L$3,SUMIF('TL05'!$C$10:$C$224,$C141,'TL05'!$J$10:$J$224),0),
IF('TL05'!$B$229=L$3,SUMIF('TL05'!$C$238:$C$451,$C141,'TL05'!$J$238:$J$451),0),
IF('TL06'!$B$3=L$3,SUMIF('TL06'!$C$10:$C$224,$C141,'TL06'!$J$10:$J$224),0),
IF('TL06'!$B$229=L$3,SUMIF('TL06'!$C$238:$C$451,$C141,'TL06'!$J$238:$J$451),0),
IF('TL07'!$B$3=L$3,SUMIF('TL07'!$C$10:$C$224,$C141,'TL07'!$J$10:$J$224),0),
IF('TL07'!$B$229=L$3,SUMIF('TL07'!$C$238:$C$451,$C141,'TL07'!$J$238:$J$451),0),
IF('TL08'!$B$3=L$3,SUMIF('TL08'!$C$10:$C$224,$C141,'TL08'!$J$10:$J$224),0),
IF('TL08'!$B$229=L$3,SUMIF('TL08'!$C$238:$C$451,$C141,'TL08'!$J$238:$J$451),0),
IF('TL09'!$B$3=L$3,SUMIF('TL09'!$C$10:$C$224,$C141,'TL09'!$J$10:$J$224),0),
IF('TL09'!$B$229=L$3,SUMIF('TL09'!$C$238:$C$451,$C141,'TL09'!$J$238:$J$451),0),
IF('TL10'!$B$3=L$3,SUMIF('TL10'!$C$10:$C$224,$C141,'TL10'!$J$10:$J$224),0),
IF('TL10'!$B$229=L$3,SUMIF('TL10'!$C$238:$C$451,$C141,'TL10'!$J$238:$J$451),0),
IF('TL11'!$B$3=L$3,SUMIF('TL11'!$C$10:$C$224,$C141,'TL11'!$J$10:$J$224),0),
IF('TL11'!$B$229=L$3,SUMIF('TL11'!$C$238:$C$451,$C141,'TL11'!$J$238:$J$451),0),
IF('TL12'!$B$3=L$3,SUMIF('TL12'!$C$10:$C$224,$C141,'TL12'!$J$10:$J$224),0),
IF('TL12'!$B$229=L$3,SUMIF('TL12'!$C$238:$C$451,$C141,'TL12'!$J$238:$J$451),0),
IF('TL13'!$B$3=L$3,SUMIF('TL13'!$C$10:$C$224,$C141,'TL13'!$J$10:$J$224),0),
IF('TL13'!$B$229=L$3,SUMIF('TL13'!$C$238:$C$451,$C141,'TL13'!$J$238:$J$451),0),
IF('TL14'!$B$3=L$3,SUMIF('TL14'!$C$10:$C$224,$C141,'TL14'!$J$10:$J$224),0),
IF('TL14'!$B$229=L$3,SUMIF('TL14'!$C$238:$C$451,$C141,'TL14'!$J$238:$J$451),0),
IF('TL15'!$B$3=L$3,SUMIF('TL15'!$C$10:$C$224,$C141,'TL15'!$J$10:$J$224),0),
IF('TL15'!$B$229=L$3,SUMIF('TL15'!$C$238:$C$451,$C141,'TL15'!$J$238:$J$451),0),
IF('TL16'!$B$3=L$3,SUMIF('TL16'!$C$10:$C$224,$C141,'TL16'!$J$10:$J$224),0),
IF('TL16'!$B$229=L$3,SUMIF('TL16'!$C$238:$C$451,$C141,'TL16'!$J$238:$J$451),0),
IF('TL17'!$B$3=L$3,SUMIF('TL17'!$C$10:$C$224,$C141,'TL17'!$J$10:$J$224),0),
IF('TL17'!$B$229=L$3,SUMIF('TL17'!$C$238:$C$451,$C141,'TL17'!$J$238:$J$451),0),
IF('TL18'!$B$3=L$3,SUMIF('TL18'!$C$10:$C$224,$C141,'TL18'!$J$10:$J$224),0),
IF('TL18'!$B$229=L$3,SUMIF('TL18'!$C$238:$C$451,$C141,'TL18'!$J$238:$J$451),0),
IF('TL19'!$B$3=L$3,SUMIF('TL19'!$C$10:$C$224,$C141,'TL19'!$J$10:$J$224),0),
IF('TL19'!$B$229=L$3,SUMIF('TL19'!$C$238:$C$451,$C141,'TL19'!$J$238:$J$451),0)
),0)</f>
        <v>0</v>
      </c>
      <c r="M141" s="9">
        <f>IFERROR(SUM(
IF('TL01'!$B$3=M$3,SUMIF('TL01'!$C$10:$C$224,$C141,'TL01'!$J$10:$J$224),0),
IF('TL01'!$B$229=M$3,SUMIF('TL01'!$C$238:$C$451,$C141,'TL01'!$J$238:$J$451),0),
IF('TL02'!$B$3=M$3,SUMIF('TL02'!$C$10:$C$224,$C141,'TL02'!$J$10:$J$224),0),
IF('TL02'!$B$229=M$3,SUMIF('TL02'!$C$238:$C$451,$C141,'TL02'!$J$238:$J$451),0),
IF('TL03'!$B$3=M$3,SUMIF('TL03'!$C$10:$C$224,$C141,'TL03'!$J$10:$J$224),0),
IF('TL03'!$B$229=M$3,SUMIF('TL03'!$C$238:$C$451,$C141,'TL03'!$J$238:$J$451),0),
IF('TL04'!$B$3=M$3,SUMIF('TL04'!$C$10:$C$224,$C141,'TL04'!$J$10:$J$224),0),
IF('TL04'!$B$229=M$3,SUMIF('TL04'!$C$238:$C$451,$C141,'TL04'!$J$238:$J$451),0),
IF('TL05'!$B$3=M$3,SUMIF('TL05'!$C$10:$C$224,$C141,'TL05'!$J$10:$J$224),0),
IF('TL05'!$B$229=M$3,SUMIF('TL05'!$C$238:$C$451,$C141,'TL05'!$J$238:$J$451),0),
IF('TL06'!$B$3=M$3,SUMIF('TL06'!$C$10:$C$224,$C141,'TL06'!$J$10:$J$224),0),
IF('TL06'!$B$229=M$3,SUMIF('TL06'!$C$238:$C$451,$C141,'TL06'!$J$238:$J$451),0),
IF('TL07'!$B$3=M$3,SUMIF('TL07'!$C$10:$C$224,$C141,'TL07'!$J$10:$J$224),0),
IF('TL07'!$B$229=M$3,SUMIF('TL07'!$C$238:$C$451,$C141,'TL07'!$J$238:$J$451),0),
IF('TL08'!$B$3=M$3,SUMIF('TL08'!$C$10:$C$224,$C141,'TL08'!$J$10:$J$224),0),
IF('TL08'!$B$229=M$3,SUMIF('TL08'!$C$238:$C$451,$C141,'TL08'!$J$238:$J$451),0),
IF('TL09'!$B$3=M$3,SUMIF('TL09'!$C$10:$C$224,$C141,'TL09'!$J$10:$J$224),0),
IF('TL09'!$B$229=M$3,SUMIF('TL09'!$C$238:$C$451,$C141,'TL09'!$J$238:$J$451),0),
IF('TL10'!$B$3=M$3,SUMIF('TL10'!$C$10:$C$224,$C141,'TL10'!$J$10:$J$224),0),
IF('TL10'!$B$229=M$3,SUMIF('TL10'!$C$238:$C$451,$C141,'TL10'!$J$238:$J$451),0),
IF('TL11'!$B$3=M$3,SUMIF('TL11'!$C$10:$C$224,$C141,'TL11'!$J$10:$J$224),0),
IF('TL11'!$B$229=M$3,SUMIF('TL11'!$C$238:$C$451,$C141,'TL11'!$J$238:$J$451),0),
IF('TL12'!$B$3=M$3,SUMIF('TL12'!$C$10:$C$224,$C141,'TL12'!$J$10:$J$224),0),
IF('TL12'!$B$229=M$3,SUMIF('TL12'!$C$238:$C$451,$C141,'TL12'!$J$238:$J$451),0),
IF('TL13'!$B$3=M$3,SUMIF('TL13'!$C$10:$C$224,$C141,'TL13'!$J$10:$J$224),0),
IF('TL13'!$B$229=M$3,SUMIF('TL13'!$C$238:$C$451,$C141,'TL13'!$J$238:$J$451),0),
IF('TL14'!$B$3=M$3,SUMIF('TL14'!$C$10:$C$224,$C141,'TL14'!$J$10:$J$224),0),
IF('TL14'!$B$229=M$3,SUMIF('TL14'!$C$238:$C$451,$C141,'TL14'!$J$238:$J$451),0),
IF('TL15'!$B$3=M$3,SUMIF('TL15'!$C$10:$C$224,$C141,'TL15'!$J$10:$J$224),0),
IF('TL15'!$B$229=M$3,SUMIF('TL15'!$C$238:$C$451,$C141,'TL15'!$J$238:$J$451),0),
IF('TL16'!$B$3=M$3,SUMIF('TL16'!$C$10:$C$224,$C141,'TL16'!$J$10:$J$224),0),
IF('TL16'!$B$229=M$3,SUMIF('TL16'!$C$238:$C$451,$C141,'TL16'!$J$238:$J$451),0),
IF('TL17'!$B$3=M$3,SUMIF('TL17'!$C$10:$C$224,$C141,'TL17'!$J$10:$J$224),0),
IF('TL17'!$B$229=M$3,SUMIF('TL17'!$C$238:$C$451,$C141,'TL17'!$J$238:$J$451),0),
IF('TL18'!$B$3=M$3,SUMIF('TL18'!$C$10:$C$224,$C141,'TL18'!$J$10:$J$224),0),
IF('TL18'!$B$229=M$3,SUMIF('TL18'!$C$238:$C$451,$C141,'TL18'!$J$238:$J$451),0),
IF('TL19'!$B$3=M$3,SUMIF('TL19'!$C$10:$C$224,$C141,'TL19'!$J$10:$J$224),0),
IF('TL19'!$B$229=M$3,SUMIF('TL19'!$C$238:$C$451,$C141,'TL19'!$J$238:$J$451),0)
),0)</f>
        <v>0</v>
      </c>
      <c r="N141" s="9">
        <f>IFERROR(SUM(
IF('TL01'!$B$3=N$3,SUMIF('TL01'!$C$10:$C$224,$C141,'TL01'!$J$10:$J$224),0),
IF('TL01'!$B$229=N$3,SUMIF('TL01'!$C$238:$C$451,$C141,'TL01'!$J$238:$J$451),0),
IF('TL02'!$B$3=N$3,SUMIF('TL02'!$C$10:$C$224,$C141,'TL02'!$J$10:$J$224),0),
IF('TL02'!$B$229=N$3,SUMIF('TL02'!$C$238:$C$451,$C141,'TL02'!$J$238:$J$451),0),
IF('TL03'!$B$3=N$3,SUMIF('TL03'!$C$10:$C$224,$C141,'TL03'!$J$10:$J$224),0),
IF('TL03'!$B$229=N$3,SUMIF('TL03'!$C$238:$C$451,$C141,'TL03'!$J$238:$J$451),0),
IF('TL04'!$B$3=N$3,SUMIF('TL04'!$C$10:$C$224,$C141,'TL04'!$J$10:$J$224),0),
IF('TL04'!$B$229=N$3,SUMIF('TL04'!$C$238:$C$451,$C141,'TL04'!$J$238:$J$451),0),
IF('TL05'!$B$3=N$3,SUMIF('TL05'!$C$10:$C$224,$C141,'TL05'!$J$10:$J$224),0),
IF('TL05'!$B$229=N$3,SUMIF('TL05'!$C$238:$C$451,$C141,'TL05'!$J$238:$J$451),0),
IF('TL06'!$B$3=N$3,SUMIF('TL06'!$C$10:$C$224,$C141,'TL06'!$J$10:$J$224),0),
IF('TL06'!$B$229=N$3,SUMIF('TL06'!$C$238:$C$451,$C141,'TL06'!$J$238:$J$451),0),
IF('TL07'!$B$3=N$3,SUMIF('TL07'!$C$10:$C$224,$C141,'TL07'!$J$10:$J$224),0),
IF('TL07'!$B$229=N$3,SUMIF('TL07'!$C$238:$C$451,$C141,'TL07'!$J$238:$J$451),0),
IF('TL08'!$B$3=N$3,SUMIF('TL08'!$C$10:$C$224,$C141,'TL08'!$J$10:$J$224),0),
IF('TL08'!$B$229=N$3,SUMIF('TL08'!$C$238:$C$451,$C141,'TL08'!$J$238:$J$451),0),
IF('TL09'!$B$3=N$3,SUMIF('TL09'!$C$10:$C$224,$C141,'TL09'!$J$10:$J$224),0),
IF('TL09'!$B$229=N$3,SUMIF('TL09'!$C$238:$C$451,$C141,'TL09'!$J$238:$J$451),0),
IF('TL10'!$B$3=N$3,SUMIF('TL10'!$C$10:$C$224,$C141,'TL10'!$J$10:$J$224),0),
IF('TL10'!$B$229=N$3,SUMIF('TL10'!$C$238:$C$451,$C141,'TL10'!$J$238:$J$451),0),
IF('TL11'!$B$3=N$3,SUMIF('TL11'!$C$10:$C$224,$C141,'TL11'!$J$10:$J$224),0),
IF('TL11'!$B$229=N$3,SUMIF('TL11'!$C$238:$C$451,$C141,'TL11'!$J$238:$J$451),0),
IF('TL12'!$B$3=N$3,SUMIF('TL12'!$C$10:$C$224,$C141,'TL12'!$J$10:$J$224),0),
IF('TL12'!$B$229=N$3,SUMIF('TL12'!$C$238:$C$451,$C141,'TL12'!$J$238:$J$451),0),
IF('TL13'!$B$3=N$3,SUMIF('TL13'!$C$10:$C$224,$C141,'TL13'!$J$10:$J$224),0),
IF('TL13'!$B$229=N$3,SUMIF('TL13'!$C$238:$C$451,$C141,'TL13'!$J$238:$J$451),0),
IF('TL14'!$B$3=N$3,SUMIF('TL14'!$C$10:$C$224,$C141,'TL14'!$J$10:$J$224),0),
IF('TL14'!$B$229=N$3,SUMIF('TL14'!$C$238:$C$451,$C141,'TL14'!$J$238:$J$451),0),
IF('TL15'!$B$3=N$3,SUMIF('TL15'!$C$10:$C$224,$C141,'TL15'!$J$10:$J$224),0),
IF('TL15'!$B$229=N$3,SUMIF('TL15'!$C$238:$C$451,$C141,'TL15'!$J$238:$J$451),0),
IF('TL16'!$B$3=N$3,SUMIF('TL16'!$C$10:$C$224,$C141,'TL16'!$J$10:$J$224),0),
IF('TL16'!$B$229=N$3,SUMIF('TL16'!$C$238:$C$451,$C141,'TL16'!$J$238:$J$451),0),
IF('TL17'!$B$3=N$3,SUMIF('TL17'!$C$10:$C$224,$C141,'TL17'!$J$10:$J$224),0),
IF('TL17'!$B$229=N$3,SUMIF('TL17'!$C$238:$C$451,$C141,'TL17'!$J$238:$J$451),0),
IF('TL18'!$B$3=N$3,SUMIF('TL18'!$C$10:$C$224,$C141,'TL18'!$J$10:$J$224),0),
IF('TL18'!$B$229=N$3,SUMIF('TL18'!$C$238:$C$451,$C141,'TL18'!$J$238:$J$451),0),
IF('TL19'!$B$3=N$3,SUMIF('TL19'!$C$10:$C$224,$C141,'TL19'!$J$10:$J$224),0),
IF('TL19'!$B$229=N$3,SUMIF('TL19'!$C$238:$C$451,$C141,'TL19'!$J$238:$J$451),0)
),0)</f>
        <v>0</v>
      </c>
      <c r="O141" s="9">
        <f>IFERROR(SUM(
IF('TL01'!$B$3=O$3,SUMIF('TL01'!$C$10:$C$224,$C141,'TL01'!$J$10:$J$224),0),
IF('TL01'!$B$229=O$3,SUMIF('TL01'!$C$238:$C$451,$C141,'TL01'!$J$238:$J$451),0),
IF('TL02'!$B$3=O$3,SUMIF('TL02'!$C$10:$C$224,$C141,'TL02'!$J$10:$J$224),0),
IF('TL02'!$B$229=O$3,SUMIF('TL02'!$C$238:$C$451,$C141,'TL02'!$J$238:$J$451),0),
IF('TL03'!$B$3=O$3,SUMIF('TL03'!$C$10:$C$224,$C141,'TL03'!$J$10:$J$224),0),
IF('TL03'!$B$229=O$3,SUMIF('TL03'!$C$238:$C$451,$C141,'TL03'!$J$238:$J$451),0),
IF('TL04'!$B$3=O$3,SUMIF('TL04'!$C$10:$C$224,$C141,'TL04'!$J$10:$J$224),0),
IF('TL04'!$B$229=O$3,SUMIF('TL04'!$C$238:$C$451,$C141,'TL04'!$J$238:$J$451),0),
IF('TL05'!$B$3=O$3,SUMIF('TL05'!$C$10:$C$224,$C141,'TL05'!$J$10:$J$224),0),
IF('TL05'!$B$229=O$3,SUMIF('TL05'!$C$238:$C$451,$C141,'TL05'!$J$238:$J$451),0),
IF('TL06'!$B$3=O$3,SUMIF('TL06'!$C$10:$C$224,$C141,'TL06'!$J$10:$J$224),0),
IF('TL06'!$B$229=O$3,SUMIF('TL06'!$C$238:$C$451,$C141,'TL06'!$J$238:$J$451),0),
IF('TL07'!$B$3=O$3,SUMIF('TL07'!$C$10:$C$224,$C141,'TL07'!$J$10:$J$224),0),
IF('TL07'!$B$229=O$3,SUMIF('TL07'!$C$238:$C$451,$C141,'TL07'!$J$238:$J$451),0),
IF('TL08'!$B$3=O$3,SUMIF('TL08'!$C$10:$C$224,$C141,'TL08'!$J$10:$J$224),0),
IF('TL08'!$B$229=O$3,SUMIF('TL08'!$C$238:$C$451,$C141,'TL08'!$J$238:$J$451),0),
IF('TL09'!$B$3=O$3,SUMIF('TL09'!$C$10:$C$224,$C141,'TL09'!$J$10:$J$224),0),
IF('TL09'!$B$229=O$3,SUMIF('TL09'!$C$238:$C$451,$C141,'TL09'!$J$238:$J$451),0),
IF('TL10'!$B$3=O$3,SUMIF('TL10'!$C$10:$C$224,$C141,'TL10'!$J$10:$J$224),0),
IF('TL10'!$B$229=O$3,SUMIF('TL10'!$C$238:$C$451,$C141,'TL10'!$J$238:$J$451),0),
IF('TL11'!$B$3=O$3,SUMIF('TL11'!$C$10:$C$224,$C141,'TL11'!$J$10:$J$224),0),
IF('TL11'!$B$229=O$3,SUMIF('TL11'!$C$238:$C$451,$C141,'TL11'!$J$238:$J$451),0),
IF('TL12'!$B$3=O$3,SUMIF('TL12'!$C$10:$C$224,$C141,'TL12'!$J$10:$J$224),0),
IF('TL12'!$B$229=O$3,SUMIF('TL12'!$C$238:$C$451,$C141,'TL12'!$J$238:$J$451),0),
IF('TL13'!$B$3=O$3,SUMIF('TL13'!$C$10:$C$224,$C141,'TL13'!$J$10:$J$224),0),
IF('TL13'!$B$229=O$3,SUMIF('TL13'!$C$238:$C$451,$C141,'TL13'!$J$238:$J$451),0),
IF('TL14'!$B$3=O$3,SUMIF('TL14'!$C$10:$C$224,$C141,'TL14'!$J$10:$J$224),0),
IF('TL14'!$B$229=O$3,SUMIF('TL14'!$C$238:$C$451,$C141,'TL14'!$J$238:$J$451),0),
IF('TL15'!$B$3=O$3,SUMIF('TL15'!$C$10:$C$224,$C141,'TL15'!$J$10:$J$224),0),
IF('TL15'!$B$229=O$3,SUMIF('TL15'!$C$238:$C$451,$C141,'TL15'!$J$238:$J$451),0),
IF('TL16'!$B$3=O$3,SUMIF('TL16'!$C$10:$C$224,$C141,'TL16'!$J$10:$J$224),0),
IF('TL16'!$B$229=O$3,SUMIF('TL16'!$C$238:$C$451,$C141,'TL16'!$J$238:$J$451),0),
IF('TL17'!$B$3=O$3,SUMIF('TL17'!$C$10:$C$224,$C141,'TL17'!$J$10:$J$224),0),
IF('TL17'!$B$229=O$3,SUMIF('TL17'!$C$238:$C$451,$C141,'TL17'!$J$238:$J$451),0),
IF('TL18'!$B$3=O$3,SUMIF('TL18'!$C$10:$C$224,$C141,'TL18'!$J$10:$J$224),0),
IF('TL18'!$B$229=O$3,SUMIF('TL18'!$C$238:$C$451,$C141,'TL18'!$J$238:$J$451),0),
IF('TL19'!$B$3=O$3,SUMIF('TL19'!$C$10:$C$224,$C141,'TL19'!$J$10:$J$224),0),
IF('TL19'!$B$229=O$3,SUMIF('TL19'!$C$238:$C$451,$C141,'TL19'!$J$238:$J$451),0)
),0)</f>
        <v>0</v>
      </c>
      <c r="P141" s="9">
        <f>IFERROR(SUM(
IF('TL01'!$B$3=P$3,SUMIF('TL01'!$C$10:$C$224,$C141,'TL01'!$J$10:$J$224),0),
IF('TL01'!$B$229=P$3,SUMIF('TL01'!$C$238:$C$451,$C141,'TL01'!$J$238:$J$451),0),
IF('TL02'!$B$3=P$3,SUMIF('TL02'!$C$10:$C$224,$C141,'TL02'!$J$10:$J$224),0),
IF('TL02'!$B$229=P$3,SUMIF('TL02'!$C$238:$C$451,$C141,'TL02'!$J$238:$J$451),0),
IF('TL03'!$B$3=P$3,SUMIF('TL03'!$C$10:$C$224,$C141,'TL03'!$J$10:$J$224),0),
IF('TL03'!$B$229=P$3,SUMIF('TL03'!$C$238:$C$451,$C141,'TL03'!$J$238:$J$451),0),
IF('TL04'!$B$3=P$3,SUMIF('TL04'!$C$10:$C$224,$C141,'TL04'!$J$10:$J$224),0),
IF('TL04'!$B$229=P$3,SUMIF('TL04'!$C$238:$C$451,$C141,'TL04'!$J$238:$J$451),0),
IF('TL05'!$B$3=P$3,SUMIF('TL05'!$C$10:$C$224,$C141,'TL05'!$J$10:$J$224),0),
IF('TL05'!$B$229=P$3,SUMIF('TL05'!$C$238:$C$451,$C141,'TL05'!$J$238:$J$451),0),
IF('TL06'!$B$3=P$3,SUMIF('TL06'!$C$10:$C$224,$C141,'TL06'!$J$10:$J$224),0),
IF('TL06'!$B$229=P$3,SUMIF('TL06'!$C$238:$C$451,$C141,'TL06'!$J$238:$J$451),0),
IF('TL07'!$B$3=P$3,SUMIF('TL07'!$C$10:$C$224,$C141,'TL07'!$J$10:$J$224),0),
IF('TL07'!$B$229=P$3,SUMIF('TL07'!$C$238:$C$451,$C141,'TL07'!$J$238:$J$451),0),
IF('TL08'!$B$3=P$3,SUMIF('TL08'!$C$10:$C$224,$C141,'TL08'!$J$10:$J$224),0),
IF('TL08'!$B$229=P$3,SUMIF('TL08'!$C$238:$C$451,$C141,'TL08'!$J$238:$J$451),0),
IF('TL09'!$B$3=P$3,SUMIF('TL09'!$C$10:$C$224,$C141,'TL09'!$J$10:$J$224),0),
IF('TL09'!$B$229=P$3,SUMIF('TL09'!$C$238:$C$451,$C141,'TL09'!$J$238:$J$451),0),
IF('TL10'!$B$3=P$3,SUMIF('TL10'!$C$10:$C$224,$C141,'TL10'!$J$10:$J$224),0),
IF('TL10'!$B$229=P$3,SUMIF('TL10'!$C$238:$C$451,$C141,'TL10'!$J$238:$J$451),0),
IF('TL11'!$B$3=P$3,SUMIF('TL11'!$C$10:$C$224,$C141,'TL11'!$J$10:$J$224),0),
IF('TL11'!$B$229=P$3,SUMIF('TL11'!$C$238:$C$451,$C141,'TL11'!$J$238:$J$451),0),
IF('TL12'!$B$3=P$3,SUMIF('TL12'!$C$10:$C$224,$C141,'TL12'!$J$10:$J$224),0),
IF('TL12'!$B$229=P$3,SUMIF('TL12'!$C$238:$C$451,$C141,'TL12'!$J$238:$J$451),0),
IF('TL13'!$B$3=P$3,SUMIF('TL13'!$C$10:$C$224,$C141,'TL13'!$J$10:$J$224),0),
IF('TL13'!$B$229=P$3,SUMIF('TL13'!$C$238:$C$451,$C141,'TL13'!$J$238:$J$451),0),
IF('TL14'!$B$3=P$3,SUMIF('TL14'!$C$10:$C$224,$C141,'TL14'!$J$10:$J$224),0),
IF('TL14'!$B$229=P$3,SUMIF('TL14'!$C$238:$C$451,$C141,'TL14'!$J$238:$J$451),0),
IF('TL15'!$B$3=P$3,SUMIF('TL15'!$C$10:$C$224,$C141,'TL15'!$J$10:$J$224),0),
IF('TL15'!$B$229=P$3,SUMIF('TL15'!$C$238:$C$451,$C141,'TL15'!$J$238:$J$451),0),
IF('TL16'!$B$3=P$3,SUMIF('TL16'!$C$10:$C$224,$C141,'TL16'!$J$10:$J$224),0),
IF('TL16'!$B$229=P$3,SUMIF('TL16'!$C$238:$C$451,$C141,'TL16'!$J$238:$J$451),0),
IF('TL17'!$B$3=P$3,SUMIF('TL17'!$C$10:$C$224,$C141,'TL17'!$J$10:$J$224),0),
IF('TL17'!$B$229=P$3,SUMIF('TL17'!$C$238:$C$451,$C141,'TL17'!$J$238:$J$451),0),
IF('TL18'!$B$3=P$3,SUMIF('TL18'!$C$10:$C$224,$C141,'TL18'!$J$10:$J$224),0),
IF('TL18'!$B$229=P$3,SUMIF('TL18'!$C$238:$C$451,$C141,'TL18'!$J$238:$J$451),0),
IF('TL19'!$B$3=P$3,SUMIF('TL19'!$C$10:$C$224,$C141,'TL19'!$J$10:$J$224),0),
IF('TL19'!$B$229=P$3,SUMIF('TL19'!$C$238:$C$451,$C141,'TL19'!$J$238:$J$451),0)
),0)</f>
        <v>0</v>
      </c>
      <c r="Q141" s="9">
        <f>IFERROR(SUM(
IF('TL01'!$B$3=Q$3,SUMIF('TL01'!$C$10:$C$224,$C141,'TL01'!$J$10:$J$224),0),
IF('TL01'!$B$229=Q$3,SUMIF('TL01'!$C$238:$C$451,$C141,'TL01'!$J$238:$J$451),0),
IF('TL02'!$B$3=Q$3,SUMIF('TL02'!$C$10:$C$224,$C141,'TL02'!$J$10:$J$224),0),
IF('TL02'!$B$229=Q$3,SUMIF('TL02'!$C$238:$C$451,$C141,'TL02'!$J$238:$J$451),0),
IF('TL03'!$B$3=Q$3,SUMIF('TL03'!$C$10:$C$224,$C141,'TL03'!$J$10:$J$224),0),
IF('TL03'!$B$229=Q$3,SUMIF('TL03'!$C$238:$C$451,$C141,'TL03'!$J$238:$J$451),0),
IF('TL04'!$B$3=Q$3,SUMIF('TL04'!$C$10:$C$224,$C141,'TL04'!$J$10:$J$224),0),
IF('TL04'!$B$229=Q$3,SUMIF('TL04'!$C$238:$C$451,$C141,'TL04'!$J$238:$J$451),0),
IF('TL05'!$B$3=Q$3,SUMIF('TL05'!$C$10:$C$224,$C141,'TL05'!$J$10:$J$224),0),
IF('TL05'!$B$229=Q$3,SUMIF('TL05'!$C$238:$C$451,$C141,'TL05'!$J$238:$J$451),0),
IF('TL06'!$B$3=Q$3,SUMIF('TL06'!$C$10:$C$224,$C141,'TL06'!$J$10:$J$224),0),
IF('TL06'!$B$229=Q$3,SUMIF('TL06'!$C$238:$C$451,$C141,'TL06'!$J$238:$J$451),0),
IF('TL07'!$B$3=Q$3,SUMIF('TL07'!$C$10:$C$224,$C141,'TL07'!$J$10:$J$224),0),
IF('TL07'!$B$229=Q$3,SUMIF('TL07'!$C$238:$C$451,$C141,'TL07'!$J$238:$J$451),0),
IF('TL08'!$B$3=Q$3,SUMIF('TL08'!$C$10:$C$224,$C141,'TL08'!$J$10:$J$224),0),
IF('TL08'!$B$229=Q$3,SUMIF('TL08'!$C$238:$C$451,$C141,'TL08'!$J$238:$J$451),0),
IF('TL09'!$B$3=Q$3,SUMIF('TL09'!$C$10:$C$224,$C141,'TL09'!$J$10:$J$224),0),
IF('TL09'!$B$229=Q$3,SUMIF('TL09'!$C$238:$C$451,$C141,'TL09'!$J$238:$J$451),0),
IF('TL10'!$B$3=Q$3,SUMIF('TL10'!$C$10:$C$224,$C141,'TL10'!$J$10:$J$224),0),
IF('TL10'!$B$229=Q$3,SUMIF('TL10'!$C$238:$C$451,$C141,'TL10'!$J$238:$J$451),0),
IF('TL11'!$B$3=Q$3,SUMIF('TL11'!$C$10:$C$224,$C141,'TL11'!$J$10:$J$224),0),
IF('TL11'!$B$229=Q$3,SUMIF('TL11'!$C$238:$C$451,$C141,'TL11'!$J$238:$J$451),0),
IF('TL12'!$B$3=Q$3,SUMIF('TL12'!$C$10:$C$224,$C141,'TL12'!$J$10:$J$224),0),
IF('TL12'!$B$229=Q$3,SUMIF('TL12'!$C$238:$C$451,$C141,'TL12'!$J$238:$J$451),0),
IF('TL13'!$B$3=Q$3,SUMIF('TL13'!$C$10:$C$224,$C141,'TL13'!$J$10:$J$224),0),
IF('TL13'!$B$229=Q$3,SUMIF('TL13'!$C$238:$C$451,$C141,'TL13'!$J$238:$J$451),0),
IF('TL14'!$B$3=Q$3,SUMIF('TL14'!$C$10:$C$224,$C141,'TL14'!$J$10:$J$224),0),
IF('TL14'!$B$229=Q$3,SUMIF('TL14'!$C$238:$C$451,$C141,'TL14'!$J$238:$J$451),0),
IF('TL15'!$B$3=Q$3,SUMIF('TL15'!$C$10:$C$224,$C141,'TL15'!$J$10:$J$224),0),
IF('TL15'!$B$229=Q$3,SUMIF('TL15'!$C$238:$C$451,$C141,'TL15'!$J$238:$J$451),0),
IF('TL16'!$B$3=Q$3,SUMIF('TL16'!$C$10:$C$224,$C141,'TL16'!$J$10:$J$224),0),
IF('TL16'!$B$229=Q$3,SUMIF('TL16'!$C$238:$C$451,$C141,'TL16'!$J$238:$J$451),0),
IF('TL17'!$B$3=Q$3,SUMIF('TL17'!$C$10:$C$224,$C141,'TL17'!$J$10:$J$224),0),
IF('TL17'!$B$229=Q$3,SUMIF('TL17'!$C$238:$C$451,$C141,'TL17'!$J$238:$J$451),0),
IF('TL18'!$B$3=Q$3,SUMIF('TL18'!$C$10:$C$224,$C141,'TL18'!$J$10:$J$224),0),
IF('TL18'!$B$229=Q$3,SUMIF('TL18'!$C$238:$C$451,$C141,'TL18'!$J$238:$J$451),0),
IF('TL19'!$B$3=Q$3,SUMIF('TL19'!$C$10:$C$224,$C141,'TL19'!$J$10:$J$224),0),
IF('TL19'!$B$229=Q$3,SUMIF('TL19'!$C$238:$C$451,$C141,'TL19'!$J$238:$J$451),0)
),0)</f>
        <v>0</v>
      </c>
      <c r="R141" s="9">
        <f>IFERROR(
SUM(
SUMIF('TL01'!C:C,C141,'TL01'!J:J),
SUMIF('TL02'!C:C,C141,'TL02'!J:J),
SUMIF('TL03'!C:C,C141,'TL03'!J:J),
SUMIF('TL04'!C:C,C141,'TL04'!J:J),
SUMIF('TL05'!C:C,C141,'TL05'!J:J),
SUMIF('TL06'!C:C,C141,'TL06'!J:J),
SUMIF('TL07'!C:C,C141,'TL07'!J:J),
SUMIF('TL08'!C:C,C141,'TL08'!J:J),
SUMIF('TL09'!C:C,C141,'TL09'!J:J),
SUMIF('TL10'!C:C,C141,'TL10'!J:J),
SUMIF('TL11'!C:C,C141,'TL11'!J:J),
SUMIF('TL12'!C:C,C141,'TL12'!J:J),
SUMIF('TL13'!C:C,C141,'TL13'!J:J),
SUMIF('TL14'!C:C,C141,'TL14'!J:J),
SUMIF('TL15'!C:C,C141,'TL15'!J:J),
SUMIF('TL16'!C:C,C141,'TL16'!J:J),
SUMIF('TL17'!C:C,C141,'TL17'!J:J),
SUMIF('TL18'!C:C,C141,'TL18'!J:J),SUMIF('TL19'!C:C,C141,'TL19'!J:J))
,0)</f>
        <v>0</v>
      </c>
      <c r="S141" s="17">
        <f>IFERROR(__xludf.DUMMYFUNCTION("IFERROR(VLOOKUP(C141,
IMPORTRANGE(""1wULbzX32WdYsx-lj2U3uUNBBe2INVIRDtcK0d-Dvl90"",
""26-27!C:G""),
5,
FALSE),
"""")"),108.98772)</f>
        <v>108.98772</v>
      </c>
      <c r="T141" s="9"/>
      <c r="U141" s="92">
        <f t="shared" si="2"/>
        <v>0</v>
      </c>
      <c r="V141" s="93">
        <f t="shared" si="3"/>
        <v>0</v>
      </c>
    </row>
    <row r="142" ht="15.75" hidden="1" customHeight="1">
      <c r="A142" s="115" t="s">
        <v>378</v>
      </c>
      <c r="B142" s="100" t="s">
        <v>1</v>
      </c>
      <c r="C142" s="116" t="s">
        <v>691</v>
      </c>
      <c r="D142" s="116" t="s">
        <v>692</v>
      </c>
      <c r="E142" s="116">
        <v>500.0</v>
      </c>
      <c r="F142" s="4" t="s">
        <v>343</v>
      </c>
      <c r="G142" s="90" t="str">
        <f t="shared" si="4"/>
        <v>📄 Ver bula</v>
      </c>
      <c r="H142" s="9" t="str">
        <f>IFERROR(__xludf.DUMMYFUNCTION("IFERROR(VLOOKUP(C142,
IMPORTRANGE(""1wULbzX32WdYsx-lj2U3uUNBBe2INVIRDtcK0d-Dvl90"",
""26-27!C:K""),
8,
FALSE),
"""")"),"")</f>
        <v/>
      </c>
      <c r="I142" s="117" t="s">
        <v>361</v>
      </c>
      <c r="J142" s="9">
        <f>IFERROR(SUM(
IF('TL01'!$B$3=J$3,SUMIF('TL01'!$C$10:$C$224,$C142,'TL01'!$J$10:$J$224),0),
IF('TL01'!$B$229=J$3,SUMIF('TL01'!$C$238:$C$451,$C142,'TL01'!$J$238:$J$451),0),
IF('TL02'!$B$3=J$3,SUMIF('TL02'!$C$10:$C$224,$C142,'TL02'!$J$10:$J$224),0),
IF('TL02'!$B$229=J$3,SUMIF('TL02'!$C$238:$C$451,$C142,'TL02'!$J$238:$J$451),0),
IF('TL03'!$B$3=J$3,SUMIF('TL03'!$C$10:$C$224,$C142,'TL03'!$J$10:$J$224),0),
IF('TL03'!$B$229=J$3,SUMIF('TL03'!$C$238:$C$451,$C142,'TL03'!$J$238:$J$451),0),
IF('TL04'!$B$3=J$3,SUMIF('TL04'!$C$10:$C$224,$C142,'TL04'!$J$10:$J$224),0),
IF('TL04'!$B$229=J$3,SUMIF('TL04'!$C$238:$C$451,$C142,'TL04'!$J$238:$J$451),0),
IF('TL05'!$B$3=J$3,SUMIF('TL05'!$C$10:$C$224,$C142,'TL05'!$J$10:$J$224),0),
IF('TL05'!$B$229=J$3,SUMIF('TL05'!$C$238:$C$451,$C142,'TL05'!$J$238:$J$451),0),
IF('TL06'!$B$3=J$3,SUMIF('TL06'!$C$10:$C$224,$C142,'TL06'!$J$10:$J$224),0),
IF('TL06'!$B$229=J$3,SUMIF('TL06'!$C$238:$C$451,$C142,'TL06'!$J$238:$J$451),0),
IF('TL07'!$B$3=J$3,SUMIF('TL07'!$C$10:$C$224,$C142,'TL07'!$J$10:$J$224),0),
IF('TL07'!$B$229=J$3,SUMIF('TL07'!$C$238:$C$451,$C142,'TL07'!$J$238:$J$451),0),
IF('TL08'!$B$3=J$3,SUMIF('TL08'!$C$10:$C$224,$C142,'TL08'!$J$10:$J$224),0),
IF('TL08'!$B$229=J$3,SUMIF('TL08'!$C$238:$C$451,$C142,'TL08'!$J$238:$J$451),0),
IF('TL09'!$B$3=J$3,SUMIF('TL09'!$C$10:$C$224,$C142,'TL09'!$J$10:$J$224),0),
IF('TL09'!$B$229=J$3,SUMIF('TL09'!$C$238:$C$451,$C142,'TL09'!$J$238:$J$451),0),
IF('TL10'!$B$3=J$3,SUMIF('TL10'!$C$10:$C$224,$C142,'TL10'!$J$10:$J$224),0),
IF('TL10'!$B$229=J$3,SUMIF('TL10'!$C$238:$C$451,$C142,'TL10'!$J$238:$J$451),0),
IF('TL11'!$B$3=J$3,SUMIF('TL11'!$C$10:$C$224,$C142,'TL11'!$J$10:$J$224),0),
IF('TL11'!$B$229=J$3,SUMIF('TL11'!$C$238:$C$451,$C142,'TL11'!$J$238:$J$451),0),
IF('TL12'!$B$3=J$3,SUMIF('TL12'!$C$10:$C$224,$C142,'TL12'!$J$10:$J$224),0),
IF('TL12'!$B$229=J$3,SUMIF('TL12'!$C$238:$C$451,$C142,'TL12'!$J$238:$J$451),0),
IF('TL13'!$B$3=J$3,SUMIF('TL13'!$C$10:$C$224,$C142,'TL13'!$J$10:$J$224),0),
IF('TL13'!$B$229=J$3,SUMIF('TL13'!$C$238:$C$451,$C142,'TL13'!$J$238:$J$451),0),
IF('TL14'!$B$3=J$3,SUMIF('TL14'!$C$10:$C$224,$C142,'TL14'!$J$10:$J$224),0),
IF('TL14'!$B$229=J$3,SUMIF('TL14'!$C$238:$C$451,$C142,'TL14'!$J$238:$J$451),0),
IF('TL15'!$B$3=J$3,SUMIF('TL15'!$C$10:$C$224,$C142,'TL15'!$J$10:$J$224),0),
IF('TL15'!$B$229=J$3,SUMIF('TL15'!$C$238:$C$451,$C142,'TL15'!$J$238:$J$451),0),
IF('TL16'!$B$3=J$3,SUMIF('TL16'!$C$10:$C$224,$C142,'TL16'!$J$10:$J$224),0),
IF('TL16'!$B$229=J$3,SUMIF('TL16'!$C$238:$C$451,$C142,'TL16'!$J$238:$J$451),0),
IF('TL17'!$B$3=J$3,SUMIF('TL17'!$C$10:$C$224,$C142,'TL17'!$J$10:$J$224),0),
IF('TL17'!$B$229=J$3,SUMIF('TL17'!$C$238:$C$451,$C142,'TL17'!$J$238:$J$451),0),
IF('TL18'!$B$3=J$3,SUMIF('TL18'!$C$10:$C$224,$C142,'TL18'!$J$10:$J$224),0),
IF('TL18'!$B$229=J$3,SUMIF('TL18'!$C$238:$C$451,$C142,'TL18'!$J$238:$J$451),0),
IF('TL19'!$B$3=J$3,SUMIF('TL19'!$C$10:$C$224,$C142,'TL19'!$J$10:$J$224),0),
IF('TL19'!$B$229=J$3,SUMIF('TL19'!$C$238:$C$451,$C142,'TL19'!$J$238:$J$451),0)
),0)</f>
        <v>0</v>
      </c>
      <c r="K142" s="9">
        <f>IFERROR(SUM(
IF('TL01'!$B$3=K$3,SUMIF('TL01'!$C$10:$C$224,$C142,'TL01'!$J$10:$J$224),0),
IF('TL01'!$B$229=K$3,SUMIF('TL01'!$C$238:$C$451,$C142,'TL01'!$J$238:$J$451),0),
IF('TL02'!$B$3=K$3,SUMIF('TL02'!$C$10:$C$224,$C142,'TL02'!$J$10:$J$224),0),
IF('TL02'!$B$229=K$3,SUMIF('TL02'!$C$238:$C$451,$C142,'TL02'!$J$238:$J$451),0),
IF('TL03'!$B$3=K$3,SUMIF('TL03'!$C$10:$C$224,$C142,'TL03'!$J$10:$J$224),0),
IF('TL03'!$B$229=K$3,SUMIF('TL03'!$C$238:$C$451,$C142,'TL03'!$J$238:$J$451),0),
IF('TL04'!$B$3=K$3,SUMIF('TL04'!$C$10:$C$224,$C142,'TL04'!$J$10:$J$224),0),
IF('TL04'!$B$229=K$3,SUMIF('TL04'!$C$238:$C$451,$C142,'TL04'!$J$238:$J$451),0),
IF('TL05'!$B$3=K$3,SUMIF('TL05'!$C$10:$C$224,$C142,'TL05'!$J$10:$J$224),0),
IF('TL05'!$B$229=K$3,SUMIF('TL05'!$C$238:$C$451,$C142,'TL05'!$J$238:$J$451),0),
IF('TL06'!$B$3=K$3,SUMIF('TL06'!$C$10:$C$224,$C142,'TL06'!$J$10:$J$224),0),
IF('TL06'!$B$229=K$3,SUMIF('TL06'!$C$238:$C$451,$C142,'TL06'!$J$238:$J$451),0),
IF('TL07'!$B$3=K$3,SUMIF('TL07'!$C$10:$C$224,$C142,'TL07'!$J$10:$J$224),0),
IF('TL07'!$B$229=K$3,SUMIF('TL07'!$C$238:$C$451,$C142,'TL07'!$J$238:$J$451),0),
IF('TL08'!$B$3=K$3,SUMIF('TL08'!$C$10:$C$224,$C142,'TL08'!$J$10:$J$224),0),
IF('TL08'!$B$229=K$3,SUMIF('TL08'!$C$238:$C$451,$C142,'TL08'!$J$238:$J$451),0),
IF('TL09'!$B$3=K$3,SUMIF('TL09'!$C$10:$C$224,$C142,'TL09'!$J$10:$J$224),0),
IF('TL09'!$B$229=K$3,SUMIF('TL09'!$C$238:$C$451,$C142,'TL09'!$J$238:$J$451),0),
IF('TL10'!$B$3=K$3,SUMIF('TL10'!$C$10:$C$224,$C142,'TL10'!$J$10:$J$224),0),
IF('TL10'!$B$229=K$3,SUMIF('TL10'!$C$238:$C$451,$C142,'TL10'!$J$238:$J$451),0),
IF('TL11'!$B$3=K$3,SUMIF('TL11'!$C$10:$C$224,$C142,'TL11'!$J$10:$J$224),0),
IF('TL11'!$B$229=K$3,SUMIF('TL11'!$C$238:$C$451,$C142,'TL11'!$J$238:$J$451),0),
IF('TL12'!$B$3=K$3,SUMIF('TL12'!$C$10:$C$224,$C142,'TL12'!$J$10:$J$224),0),
IF('TL12'!$B$229=K$3,SUMIF('TL12'!$C$238:$C$451,$C142,'TL12'!$J$238:$J$451),0),
IF('TL13'!$B$3=K$3,SUMIF('TL13'!$C$10:$C$224,$C142,'TL13'!$J$10:$J$224),0),
IF('TL13'!$B$229=K$3,SUMIF('TL13'!$C$238:$C$451,$C142,'TL13'!$J$238:$J$451),0),
IF('TL14'!$B$3=K$3,SUMIF('TL14'!$C$10:$C$224,$C142,'TL14'!$J$10:$J$224),0),
IF('TL14'!$B$229=K$3,SUMIF('TL14'!$C$238:$C$451,$C142,'TL14'!$J$238:$J$451),0),
IF('TL15'!$B$3=K$3,SUMIF('TL15'!$C$10:$C$224,$C142,'TL15'!$J$10:$J$224),0),
IF('TL15'!$B$229=K$3,SUMIF('TL15'!$C$238:$C$451,$C142,'TL15'!$J$238:$J$451),0),
IF('TL16'!$B$3=K$3,SUMIF('TL16'!$C$10:$C$224,$C142,'TL16'!$J$10:$J$224),0),
IF('TL16'!$B$229=K$3,SUMIF('TL16'!$C$238:$C$451,$C142,'TL16'!$J$238:$J$451),0),
IF('TL17'!$B$3=K$3,SUMIF('TL17'!$C$10:$C$224,$C142,'TL17'!$J$10:$J$224),0),
IF('TL17'!$B$229=K$3,SUMIF('TL17'!$C$238:$C$451,$C142,'TL17'!$J$238:$J$451),0),
IF('TL18'!$B$3=K$3,SUMIF('TL18'!$C$10:$C$224,$C142,'TL18'!$J$10:$J$224),0),
IF('TL18'!$B$229=K$3,SUMIF('TL18'!$C$238:$C$451,$C142,'TL18'!$J$238:$J$451),0),
IF('TL19'!$B$3=K$3,SUMIF('TL19'!$C$10:$C$224,$C142,'TL19'!$J$10:$J$224),0),
IF('TL19'!$B$229=K$3,SUMIF('TL19'!$C$238:$C$451,$C142,'TL19'!$J$238:$J$451),0)
),0)</f>
        <v>0</v>
      </c>
      <c r="L142" s="9">
        <f>IFERROR(SUM(
IF('TL01'!$B$3=L$3,SUMIF('TL01'!$C$10:$C$224,$C142,'TL01'!$J$10:$J$224),0),
IF('TL01'!$B$229=L$3,SUMIF('TL01'!$C$238:$C$451,$C142,'TL01'!$J$238:$J$451),0),
IF('TL02'!$B$3=L$3,SUMIF('TL02'!$C$10:$C$224,$C142,'TL02'!$J$10:$J$224),0),
IF('TL02'!$B$229=L$3,SUMIF('TL02'!$C$238:$C$451,$C142,'TL02'!$J$238:$J$451),0),
IF('TL03'!$B$3=L$3,SUMIF('TL03'!$C$10:$C$224,$C142,'TL03'!$J$10:$J$224),0),
IF('TL03'!$B$229=L$3,SUMIF('TL03'!$C$238:$C$451,$C142,'TL03'!$J$238:$J$451),0),
IF('TL04'!$B$3=L$3,SUMIF('TL04'!$C$10:$C$224,$C142,'TL04'!$J$10:$J$224),0),
IF('TL04'!$B$229=L$3,SUMIF('TL04'!$C$238:$C$451,$C142,'TL04'!$J$238:$J$451),0),
IF('TL05'!$B$3=L$3,SUMIF('TL05'!$C$10:$C$224,$C142,'TL05'!$J$10:$J$224),0),
IF('TL05'!$B$229=L$3,SUMIF('TL05'!$C$238:$C$451,$C142,'TL05'!$J$238:$J$451),0),
IF('TL06'!$B$3=L$3,SUMIF('TL06'!$C$10:$C$224,$C142,'TL06'!$J$10:$J$224),0),
IF('TL06'!$B$229=L$3,SUMIF('TL06'!$C$238:$C$451,$C142,'TL06'!$J$238:$J$451),0),
IF('TL07'!$B$3=L$3,SUMIF('TL07'!$C$10:$C$224,$C142,'TL07'!$J$10:$J$224),0),
IF('TL07'!$B$229=L$3,SUMIF('TL07'!$C$238:$C$451,$C142,'TL07'!$J$238:$J$451),0),
IF('TL08'!$B$3=L$3,SUMIF('TL08'!$C$10:$C$224,$C142,'TL08'!$J$10:$J$224),0),
IF('TL08'!$B$229=L$3,SUMIF('TL08'!$C$238:$C$451,$C142,'TL08'!$J$238:$J$451),0),
IF('TL09'!$B$3=L$3,SUMIF('TL09'!$C$10:$C$224,$C142,'TL09'!$J$10:$J$224),0),
IF('TL09'!$B$229=L$3,SUMIF('TL09'!$C$238:$C$451,$C142,'TL09'!$J$238:$J$451),0),
IF('TL10'!$B$3=L$3,SUMIF('TL10'!$C$10:$C$224,$C142,'TL10'!$J$10:$J$224),0),
IF('TL10'!$B$229=L$3,SUMIF('TL10'!$C$238:$C$451,$C142,'TL10'!$J$238:$J$451),0),
IF('TL11'!$B$3=L$3,SUMIF('TL11'!$C$10:$C$224,$C142,'TL11'!$J$10:$J$224),0),
IF('TL11'!$B$229=L$3,SUMIF('TL11'!$C$238:$C$451,$C142,'TL11'!$J$238:$J$451),0),
IF('TL12'!$B$3=L$3,SUMIF('TL12'!$C$10:$C$224,$C142,'TL12'!$J$10:$J$224),0),
IF('TL12'!$B$229=L$3,SUMIF('TL12'!$C$238:$C$451,$C142,'TL12'!$J$238:$J$451),0),
IF('TL13'!$B$3=L$3,SUMIF('TL13'!$C$10:$C$224,$C142,'TL13'!$J$10:$J$224),0),
IF('TL13'!$B$229=L$3,SUMIF('TL13'!$C$238:$C$451,$C142,'TL13'!$J$238:$J$451),0),
IF('TL14'!$B$3=L$3,SUMIF('TL14'!$C$10:$C$224,$C142,'TL14'!$J$10:$J$224),0),
IF('TL14'!$B$229=L$3,SUMIF('TL14'!$C$238:$C$451,$C142,'TL14'!$J$238:$J$451),0),
IF('TL15'!$B$3=L$3,SUMIF('TL15'!$C$10:$C$224,$C142,'TL15'!$J$10:$J$224),0),
IF('TL15'!$B$229=L$3,SUMIF('TL15'!$C$238:$C$451,$C142,'TL15'!$J$238:$J$451),0),
IF('TL16'!$B$3=L$3,SUMIF('TL16'!$C$10:$C$224,$C142,'TL16'!$J$10:$J$224),0),
IF('TL16'!$B$229=L$3,SUMIF('TL16'!$C$238:$C$451,$C142,'TL16'!$J$238:$J$451),0),
IF('TL17'!$B$3=L$3,SUMIF('TL17'!$C$10:$C$224,$C142,'TL17'!$J$10:$J$224),0),
IF('TL17'!$B$229=L$3,SUMIF('TL17'!$C$238:$C$451,$C142,'TL17'!$J$238:$J$451),0),
IF('TL18'!$B$3=L$3,SUMIF('TL18'!$C$10:$C$224,$C142,'TL18'!$J$10:$J$224),0),
IF('TL18'!$B$229=L$3,SUMIF('TL18'!$C$238:$C$451,$C142,'TL18'!$J$238:$J$451),0),
IF('TL19'!$B$3=L$3,SUMIF('TL19'!$C$10:$C$224,$C142,'TL19'!$J$10:$J$224),0),
IF('TL19'!$B$229=L$3,SUMIF('TL19'!$C$238:$C$451,$C142,'TL19'!$J$238:$J$451),0)
),0)</f>
        <v>0</v>
      </c>
      <c r="M142" s="9">
        <f>IFERROR(SUM(
IF('TL01'!$B$3=M$3,SUMIF('TL01'!$C$10:$C$224,$C142,'TL01'!$J$10:$J$224),0),
IF('TL01'!$B$229=M$3,SUMIF('TL01'!$C$238:$C$451,$C142,'TL01'!$J$238:$J$451),0),
IF('TL02'!$B$3=M$3,SUMIF('TL02'!$C$10:$C$224,$C142,'TL02'!$J$10:$J$224),0),
IF('TL02'!$B$229=M$3,SUMIF('TL02'!$C$238:$C$451,$C142,'TL02'!$J$238:$J$451),0),
IF('TL03'!$B$3=M$3,SUMIF('TL03'!$C$10:$C$224,$C142,'TL03'!$J$10:$J$224),0),
IF('TL03'!$B$229=M$3,SUMIF('TL03'!$C$238:$C$451,$C142,'TL03'!$J$238:$J$451),0),
IF('TL04'!$B$3=M$3,SUMIF('TL04'!$C$10:$C$224,$C142,'TL04'!$J$10:$J$224),0),
IF('TL04'!$B$229=M$3,SUMIF('TL04'!$C$238:$C$451,$C142,'TL04'!$J$238:$J$451),0),
IF('TL05'!$B$3=M$3,SUMIF('TL05'!$C$10:$C$224,$C142,'TL05'!$J$10:$J$224),0),
IF('TL05'!$B$229=M$3,SUMIF('TL05'!$C$238:$C$451,$C142,'TL05'!$J$238:$J$451),0),
IF('TL06'!$B$3=M$3,SUMIF('TL06'!$C$10:$C$224,$C142,'TL06'!$J$10:$J$224),0),
IF('TL06'!$B$229=M$3,SUMIF('TL06'!$C$238:$C$451,$C142,'TL06'!$J$238:$J$451),0),
IF('TL07'!$B$3=M$3,SUMIF('TL07'!$C$10:$C$224,$C142,'TL07'!$J$10:$J$224),0),
IF('TL07'!$B$229=M$3,SUMIF('TL07'!$C$238:$C$451,$C142,'TL07'!$J$238:$J$451),0),
IF('TL08'!$B$3=M$3,SUMIF('TL08'!$C$10:$C$224,$C142,'TL08'!$J$10:$J$224),0),
IF('TL08'!$B$229=M$3,SUMIF('TL08'!$C$238:$C$451,$C142,'TL08'!$J$238:$J$451),0),
IF('TL09'!$B$3=M$3,SUMIF('TL09'!$C$10:$C$224,$C142,'TL09'!$J$10:$J$224),0),
IF('TL09'!$B$229=M$3,SUMIF('TL09'!$C$238:$C$451,$C142,'TL09'!$J$238:$J$451),0),
IF('TL10'!$B$3=M$3,SUMIF('TL10'!$C$10:$C$224,$C142,'TL10'!$J$10:$J$224),0),
IF('TL10'!$B$229=M$3,SUMIF('TL10'!$C$238:$C$451,$C142,'TL10'!$J$238:$J$451),0),
IF('TL11'!$B$3=M$3,SUMIF('TL11'!$C$10:$C$224,$C142,'TL11'!$J$10:$J$224),0),
IF('TL11'!$B$229=M$3,SUMIF('TL11'!$C$238:$C$451,$C142,'TL11'!$J$238:$J$451),0),
IF('TL12'!$B$3=M$3,SUMIF('TL12'!$C$10:$C$224,$C142,'TL12'!$J$10:$J$224),0),
IF('TL12'!$B$229=M$3,SUMIF('TL12'!$C$238:$C$451,$C142,'TL12'!$J$238:$J$451),0),
IF('TL13'!$B$3=M$3,SUMIF('TL13'!$C$10:$C$224,$C142,'TL13'!$J$10:$J$224),0),
IF('TL13'!$B$229=M$3,SUMIF('TL13'!$C$238:$C$451,$C142,'TL13'!$J$238:$J$451),0),
IF('TL14'!$B$3=M$3,SUMIF('TL14'!$C$10:$C$224,$C142,'TL14'!$J$10:$J$224),0),
IF('TL14'!$B$229=M$3,SUMIF('TL14'!$C$238:$C$451,$C142,'TL14'!$J$238:$J$451),0),
IF('TL15'!$B$3=M$3,SUMIF('TL15'!$C$10:$C$224,$C142,'TL15'!$J$10:$J$224),0),
IF('TL15'!$B$229=M$3,SUMIF('TL15'!$C$238:$C$451,$C142,'TL15'!$J$238:$J$451),0),
IF('TL16'!$B$3=M$3,SUMIF('TL16'!$C$10:$C$224,$C142,'TL16'!$J$10:$J$224),0),
IF('TL16'!$B$229=M$3,SUMIF('TL16'!$C$238:$C$451,$C142,'TL16'!$J$238:$J$451),0),
IF('TL17'!$B$3=M$3,SUMIF('TL17'!$C$10:$C$224,$C142,'TL17'!$J$10:$J$224),0),
IF('TL17'!$B$229=M$3,SUMIF('TL17'!$C$238:$C$451,$C142,'TL17'!$J$238:$J$451),0),
IF('TL18'!$B$3=M$3,SUMIF('TL18'!$C$10:$C$224,$C142,'TL18'!$J$10:$J$224),0),
IF('TL18'!$B$229=M$3,SUMIF('TL18'!$C$238:$C$451,$C142,'TL18'!$J$238:$J$451),0),
IF('TL19'!$B$3=M$3,SUMIF('TL19'!$C$10:$C$224,$C142,'TL19'!$J$10:$J$224),0),
IF('TL19'!$B$229=M$3,SUMIF('TL19'!$C$238:$C$451,$C142,'TL19'!$J$238:$J$451),0)
),0)</f>
        <v>0</v>
      </c>
      <c r="N142" s="9">
        <f>IFERROR(SUM(
IF('TL01'!$B$3=N$3,SUMIF('TL01'!$C$10:$C$224,$C142,'TL01'!$J$10:$J$224),0),
IF('TL01'!$B$229=N$3,SUMIF('TL01'!$C$238:$C$451,$C142,'TL01'!$J$238:$J$451),0),
IF('TL02'!$B$3=N$3,SUMIF('TL02'!$C$10:$C$224,$C142,'TL02'!$J$10:$J$224),0),
IF('TL02'!$B$229=N$3,SUMIF('TL02'!$C$238:$C$451,$C142,'TL02'!$J$238:$J$451),0),
IF('TL03'!$B$3=N$3,SUMIF('TL03'!$C$10:$C$224,$C142,'TL03'!$J$10:$J$224),0),
IF('TL03'!$B$229=N$3,SUMIF('TL03'!$C$238:$C$451,$C142,'TL03'!$J$238:$J$451),0),
IF('TL04'!$B$3=N$3,SUMIF('TL04'!$C$10:$C$224,$C142,'TL04'!$J$10:$J$224),0),
IF('TL04'!$B$229=N$3,SUMIF('TL04'!$C$238:$C$451,$C142,'TL04'!$J$238:$J$451),0),
IF('TL05'!$B$3=N$3,SUMIF('TL05'!$C$10:$C$224,$C142,'TL05'!$J$10:$J$224),0),
IF('TL05'!$B$229=N$3,SUMIF('TL05'!$C$238:$C$451,$C142,'TL05'!$J$238:$J$451),0),
IF('TL06'!$B$3=N$3,SUMIF('TL06'!$C$10:$C$224,$C142,'TL06'!$J$10:$J$224),0),
IF('TL06'!$B$229=N$3,SUMIF('TL06'!$C$238:$C$451,$C142,'TL06'!$J$238:$J$451),0),
IF('TL07'!$B$3=N$3,SUMIF('TL07'!$C$10:$C$224,$C142,'TL07'!$J$10:$J$224),0),
IF('TL07'!$B$229=N$3,SUMIF('TL07'!$C$238:$C$451,$C142,'TL07'!$J$238:$J$451),0),
IF('TL08'!$B$3=N$3,SUMIF('TL08'!$C$10:$C$224,$C142,'TL08'!$J$10:$J$224),0),
IF('TL08'!$B$229=N$3,SUMIF('TL08'!$C$238:$C$451,$C142,'TL08'!$J$238:$J$451),0),
IF('TL09'!$B$3=N$3,SUMIF('TL09'!$C$10:$C$224,$C142,'TL09'!$J$10:$J$224),0),
IF('TL09'!$B$229=N$3,SUMIF('TL09'!$C$238:$C$451,$C142,'TL09'!$J$238:$J$451),0),
IF('TL10'!$B$3=N$3,SUMIF('TL10'!$C$10:$C$224,$C142,'TL10'!$J$10:$J$224),0),
IF('TL10'!$B$229=N$3,SUMIF('TL10'!$C$238:$C$451,$C142,'TL10'!$J$238:$J$451),0),
IF('TL11'!$B$3=N$3,SUMIF('TL11'!$C$10:$C$224,$C142,'TL11'!$J$10:$J$224),0),
IF('TL11'!$B$229=N$3,SUMIF('TL11'!$C$238:$C$451,$C142,'TL11'!$J$238:$J$451),0),
IF('TL12'!$B$3=N$3,SUMIF('TL12'!$C$10:$C$224,$C142,'TL12'!$J$10:$J$224),0),
IF('TL12'!$B$229=N$3,SUMIF('TL12'!$C$238:$C$451,$C142,'TL12'!$J$238:$J$451),0),
IF('TL13'!$B$3=N$3,SUMIF('TL13'!$C$10:$C$224,$C142,'TL13'!$J$10:$J$224),0),
IF('TL13'!$B$229=N$3,SUMIF('TL13'!$C$238:$C$451,$C142,'TL13'!$J$238:$J$451),0),
IF('TL14'!$B$3=N$3,SUMIF('TL14'!$C$10:$C$224,$C142,'TL14'!$J$10:$J$224),0),
IF('TL14'!$B$229=N$3,SUMIF('TL14'!$C$238:$C$451,$C142,'TL14'!$J$238:$J$451),0),
IF('TL15'!$B$3=N$3,SUMIF('TL15'!$C$10:$C$224,$C142,'TL15'!$J$10:$J$224),0),
IF('TL15'!$B$229=N$3,SUMIF('TL15'!$C$238:$C$451,$C142,'TL15'!$J$238:$J$451),0),
IF('TL16'!$B$3=N$3,SUMIF('TL16'!$C$10:$C$224,$C142,'TL16'!$J$10:$J$224),0),
IF('TL16'!$B$229=N$3,SUMIF('TL16'!$C$238:$C$451,$C142,'TL16'!$J$238:$J$451),0),
IF('TL17'!$B$3=N$3,SUMIF('TL17'!$C$10:$C$224,$C142,'TL17'!$J$10:$J$224),0),
IF('TL17'!$B$229=N$3,SUMIF('TL17'!$C$238:$C$451,$C142,'TL17'!$J$238:$J$451),0),
IF('TL18'!$B$3=N$3,SUMIF('TL18'!$C$10:$C$224,$C142,'TL18'!$J$10:$J$224),0),
IF('TL18'!$B$229=N$3,SUMIF('TL18'!$C$238:$C$451,$C142,'TL18'!$J$238:$J$451),0),
IF('TL19'!$B$3=N$3,SUMIF('TL19'!$C$10:$C$224,$C142,'TL19'!$J$10:$J$224),0),
IF('TL19'!$B$229=N$3,SUMIF('TL19'!$C$238:$C$451,$C142,'TL19'!$J$238:$J$451),0)
),0)</f>
        <v>0</v>
      </c>
      <c r="O142" s="9">
        <f>IFERROR(SUM(
IF('TL01'!$B$3=O$3,SUMIF('TL01'!$C$10:$C$224,$C142,'TL01'!$J$10:$J$224),0),
IF('TL01'!$B$229=O$3,SUMIF('TL01'!$C$238:$C$451,$C142,'TL01'!$J$238:$J$451),0),
IF('TL02'!$B$3=O$3,SUMIF('TL02'!$C$10:$C$224,$C142,'TL02'!$J$10:$J$224),0),
IF('TL02'!$B$229=O$3,SUMIF('TL02'!$C$238:$C$451,$C142,'TL02'!$J$238:$J$451),0),
IF('TL03'!$B$3=O$3,SUMIF('TL03'!$C$10:$C$224,$C142,'TL03'!$J$10:$J$224),0),
IF('TL03'!$B$229=O$3,SUMIF('TL03'!$C$238:$C$451,$C142,'TL03'!$J$238:$J$451),0),
IF('TL04'!$B$3=O$3,SUMIF('TL04'!$C$10:$C$224,$C142,'TL04'!$J$10:$J$224),0),
IF('TL04'!$B$229=O$3,SUMIF('TL04'!$C$238:$C$451,$C142,'TL04'!$J$238:$J$451),0),
IF('TL05'!$B$3=O$3,SUMIF('TL05'!$C$10:$C$224,$C142,'TL05'!$J$10:$J$224),0),
IF('TL05'!$B$229=O$3,SUMIF('TL05'!$C$238:$C$451,$C142,'TL05'!$J$238:$J$451),0),
IF('TL06'!$B$3=O$3,SUMIF('TL06'!$C$10:$C$224,$C142,'TL06'!$J$10:$J$224),0),
IF('TL06'!$B$229=O$3,SUMIF('TL06'!$C$238:$C$451,$C142,'TL06'!$J$238:$J$451),0),
IF('TL07'!$B$3=O$3,SUMIF('TL07'!$C$10:$C$224,$C142,'TL07'!$J$10:$J$224),0),
IF('TL07'!$B$229=O$3,SUMIF('TL07'!$C$238:$C$451,$C142,'TL07'!$J$238:$J$451),0),
IF('TL08'!$B$3=O$3,SUMIF('TL08'!$C$10:$C$224,$C142,'TL08'!$J$10:$J$224),0),
IF('TL08'!$B$229=O$3,SUMIF('TL08'!$C$238:$C$451,$C142,'TL08'!$J$238:$J$451),0),
IF('TL09'!$B$3=O$3,SUMIF('TL09'!$C$10:$C$224,$C142,'TL09'!$J$10:$J$224),0),
IF('TL09'!$B$229=O$3,SUMIF('TL09'!$C$238:$C$451,$C142,'TL09'!$J$238:$J$451),0),
IF('TL10'!$B$3=O$3,SUMIF('TL10'!$C$10:$C$224,$C142,'TL10'!$J$10:$J$224),0),
IF('TL10'!$B$229=O$3,SUMIF('TL10'!$C$238:$C$451,$C142,'TL10'!$J$238:$J$451),0),
IF('TL11'!$B$3=O$3,SUMIF('TL11'!$C$10:$C$224,$C142,'TL11'!$J$10:$J$224),0),
IF('TL11'!$B$229=O$3,SUMIF('TL11'!$C$238:$C$451,$C142,'TL11'!$J$238:$J$451),0),
IF('TL12'!$B$3=O$3,SUMIF('TL12'!$C$10:$C$224,$C142,'TL12'!$J$10:$J$224),0),
IF('TL12'!$B$229=O$3,SUMIF('TL12'!$C$238:$C$451,$C142,'TL12'!$J$238:$J$451),0),
IF('TL13'!$B$3=O$3,SUMIF('TL13'!$C$10:$C$224,$C142,'TL13'!$J$10:$J$224),0),
IF('TL13'!$B$229=O$3,SUMIF('TL13'!$C$238:$C$451,$C142,'TL13'!$J$238:$J$451),0),
IF('TL14'!$B$3=O$3,SUMIF('TL14'!$C$10:$C$224,$C142,'TL14'!$J$10:$J$224),0),
IF('TL14'!$B$229=O$3,SUMIF('TL14'!$C$238:$C$451,$C142,'TL14'!$J$238:$J$451),0),
IF('TL15'!$B$3=O$3,SUMIF('TL15'!$C$10:$C$224,$C142,'TL15'!$J$10:$J$224),0),
IF('TL15'!$B$229=O$3,SUMIF('TL15'!$C$238:$C$451,$C142,'TL15'!$J$238:$J$451),0),
IF('TL16'!$B$3=O$3,SUMIF('TL16'!$C$10:$C$224,$C142,'TL16'!$J$10:$J$224),0),
IF('TL16'!$B$229=O$3,SUMIF('TL16'!$C$238:$C$451,$C142,'TL16'!$J$238:$J$451),0),
IF('TL17'!$B$3=O$3,SUMIF('TL17'!$C$10:$C$224,$C142,'TL17'!$J$10:$J$224),0),
IF('TL17'!$B$229=O$3,SUMIF('TL17'!$C$238:$C$451,$C142,'TL17'!$J$238:$J$451),0),
IF('TL18'!$B$3=O$3,SUMIF('TL18'!$C$10:$C$224,$C142,'TL18'!$J$10:$J$224),0),
IF('TL18'!$B$229=O$3,SUMIF('TL18'!$C$238:$C$451,$C142,'TL18'!$J$238:$J$451),0),
IF('TL19'!$B$3=O$3,SUMIF('TL19'!$C$10:$C$224,$C142,'TL19'!$J$10:$J$224),0),
IF('TL19'!$B$229=O$3,SUMIF('TL19'!$C$238:$C$451,$C142,'TL19'!$J$238:$J$451),0)
),0)</f>
        <v>0</v>
      </c>
      <c r="P142" s="9">
        <f>IFERROR(SUM(
IF('TL01'!$B$3=P$3,SUMIF('TL01'!$C$10:$C$224,$C142,'TL01'!$J$10:$J$224),0),
IF('TL01'!$B$229=P$3,SUMIF('TL01'!$C$238:$C$451,$C142,'TL01'!$J$238:$J$451),0),
IF('TL02'!$B$3=P$3,SUMIF('TL02'!$C$10:$C$224,$C142,'TL02'!$J$10:$J$224),0),
IF('TL02'!$B$229=P$3,SUMIF('TL02'!$C$238:$C$451,$C142,'TL02'!$J$238:$J$451),0),
IF('TL03'!$B$3=P$3,SUMIF('TL03'!$C$10:$C$224,$C142,'TL03'!$J$10:$J$224),0),
IF('TL03'!$B$229=P$3,SUMIF('TL03'!$C$238:$C$451,$C142,'TL03'!$J$238:$J$451),0),
IF('TL04'!$B$3=P$3,SUMIF('TL04'!$C$10:$C$224,$C142,'TL04'!$J$10:$J$224),0),
IF('TL04'!$B$229=P$3,SUMIF('TL04'!$C$238:$C$451,$C142,'TL04'!$J$238:$J$451),0),
IF('TL05'!$B$3=P$3,SUMIF('TL05'!$C$10:$C$224,$C142,'TL05'!$J$10:$J$224),0),
IF('TL05'!$B$229=P$3,SUMIF('TL05'!$C$238:$C$451,$C142,'TL05'!$J$238:$J$451),0),
IF('TL06'!$B$3=P$3,SUMIF('TL06'!$C$10:$C$224,$C142,'TL06'!$J$10:$J$224),0),
IF('TL06'!$B$229=P$3,SUMIF('TL06'!$C$238:$C$451,$C142,'TL06'!$J$238:$J$451),0),
IF('TL07'!$B$3=P$3,SUMIF('TL07'!$C$10:$C$224,$C142,'TL07'!$J$10:$J$224),0),
IF('TL07'!$B$229=P$3,SUMIF('TL07'!$C$238:$C$451,$C142,'TL07'!$J$238:$J$451),0),
IF('TL08'!$B$3=P$3,SUMIF('TL08'!$C$10:$C$224,$C142,'TL08'!$J$10:$J$224),0),
IF('TL08'!$B$229=P$3,SUMIF('TL08'!$C$238:$C$451,$C142,'TL08'!$J$238:$J$451),0),
IF('TL09'!$B$3=P$3,SUMIF('TL09'!$C$10:$C$224,$C142,'TL09'!$J$10:$J$224),0),
IF('TL09'!$B$229=P$3,SUMIF('TL09'!$C$238:$C$451,$C142,'TL09'!$J$238:$J$451),0),
IF('TL10'!$B$3=P$3,SUMIF('TL10'!$C$10:$C$224,$C142,'TL10'!$J$10:$J$224),0),
IF('TL10'!$B$229=P$3,SUMIF('TL10'!$C$238:$C$451,$C142,'TL10'!$J$238:$J$451),0),
IF('TL11'!$B$3=P$3,SUMIF('TL11'!$C$10:$C$224,$C142,'TL11'!$J$10:$J$224),0),
IF('TL11'!$B$229=P$3,SUMIF('TL11'!$C$238:$C$451,$C142,'TL11'!$J$238:$J$451),0),
IF('TL12'!$B$3=P$3,SUMIF('TL12'!$C$10:$C$224,$C142,'TL12'!$J$10:$J$224),0),
IF('TL12'!$B$229=P$3,SUMIF('TL12'!$C$238:$C$451,$C142,'TL12'!$J$238:$J$451),0),
IF('TL13'!$B$3=P$3,SUMIF('TL13'!$C$10:$C$224,$C142,'TL13'!$J$10:$J$224),0),
IF('TL13'!$B$229=P$3,SUMIF('TL13'!$C$238:$C$451,$C142,'TL13'!$J$238:$J$451),0),
IF('TL14'!$B$3=P$3,SUMIF('TL14'!$C$10:$C$224,$C142,'TL14'!$J$10:$J$224),0),
IF('TL14'!$B$229=P$3,SUMIF('TL14'!$C$238:$C$451,$C142,'TL14'!$J$238:$J$451),0),
IF('TL15'!$B$3=P$3,SUMIF('TL15'!$C$10:$C$224,$C142,'TL15'!$J$10:$J$224),0),
IF('TL15'!$B$229=P$3,SUMIF('TL15'!$C$238:$C$451,$C142,'TL15'!$J$238:$J$451),0),
IF('TL16'!$B$3=P$3,SUMIF('TL16'!$C$10:$C$224,$C142,'TL16'!$J$10:$J$224),0),
IF('TL16'!$B$229=P$3,SUMIF('TL16'!$C$238:$C$451,$C142,'TL16'!$J$238:$J$451),0),
IF('TL17'!$B$3=P$3,SUMIF('TL17'!$C$10:$C$224,$C142,'TL17'!$J$10:$J$224),0),
IF('TL17'!$B$229=P$3,SUMIF('TL17'!$C$238:$C$451,$C142,'TL17'!$J$238:$J$451),0),
IF('TL18'!$B$3=P$3,SUMIF('TL18'!$C$10:$C$224,$C142,'TL18'!$J$10:$J$224),0),
IF('TL18'!$B$229=P$3,SUMIF('TL18'!$C$238:$C$451,$C142,'TL18'!$J$238:$J$451),0),
IF('TL19'!$B$3=P$3,SUMIF('TL19'!$C$10:$C$224,$C142,'TL19'!$J$10:$J$224),0),
IF('TL19'!$B$229=P$3,SUMIF('TL19'!$C$238:$C$451,$C142,'TL19'!$J$238:$J$451),0)
),0)</f>
        <v>0</v>
      </c>
      <c r="Q142" s="9">
        <f>IFERROR(SUM(
IF('TL01'!$B$3=Q$3,SUMIF('TL01'!$C$10:$C$224,$C142,'TL01'!$J$10:$J$224),0),
IF('TL01'!$B$229=Q$3,SUMIF('TL01'!$C$238:$C$451,$C142,'TL01'!$J$238:$J$451),0),
IF('TL02'!$B$3=Q$3,SUMIF('TL02'!$C$10:$C$224,$C142,'TL02'!$J$10:$J$224),0),
IF('TL02'!$B$229=Q$3,SUMIF('TL02'!$C$238:$C$451,$C142,'TL02'!$J$238:$J$451),0),
IF('TL03'!$B$3=Q$3,SUMIF('TL03'!$C$10:$C$224,$C142,'TL03'!$J$10:$J$224),0),
IF('TL03'!$B$229=Q$3,SUMIF('TL03'!$C$238:$C$451,$C142,'TL03'!$J$238:$J$451),0),
IF('TL04'!$B$3=Q$3,SUMIF('TL04'!$C$10:$C$224,$C142,'TL04'!$J$10:$J$224),0),
IF('TL04'!$B$229=Q$3,SUMIF('TL04'!$C$238:$C$451,$C142,'TL04'!$J$238:$J$451),0),
IF('TL05'!$B$3=Q$3,SUMIF('TL05'!$C$10:$C$224,$C142,'TL05'!$J$10:$J$224),0),
IF('TL05'!$B$229=Q$3,SUMIF('TL05'!$C$238:$C$451,$C142,'TL05'!$J$238:$J$451),0),
IF('TL06'!$B$3=Q$3,SUMIF('TL06'!$C$10:$C$224,$C142,'TL06'!$J$10:$J$224),0),
IF('TL06'!$B$229=Q$3,SUMIF('TL06'!$C$238:$C$451,$C142,'TL06'!$J$238:$J$451),0),
IF('TL07'!$B$3=Q$3,SUMIF('TL07'!$C$10:$C$224,$C142,'TL07'!$J$10:$J$224),0),
IF('TL07'!$B$229=Q$3,SUMIF('TL07'!$C$238:$C$451,$C142,'TL07'!$J$238:$J$451),0),
IF('TL08'!$B$3=Q$3,SUMIF('TL08'!$C$10:$C$224,$C142,'TL08'!$J$10:$J$224),0),
IF('TL08'!$B$229=Q$3,SUMIF('TL08'!$C$238:$C$451,$C142,'TL08'!$J$238:$J$451),0),
IF('TL09'!$B$3=Q$3,SUMIF('TL09'!$C$10:$C$224,$C142,'TL09'!$J$10:$J$224),0),
IF('TL09'!$B$229=Q$3,SUMIF('TL09'!$C$238:$C$451,$C142,'TL09'!$J$238:$J$451),0),
IF('TL10'!$B$3=Q$3,SUMIF('TL10'!$C$10:$C$224,$C142,'TL10'!$J$10:$J$224),0),
IF('TL10'!$B$229=Q$3,SUMIF('TL10'!$C$238:$C$451,$C142,'TL10'!$J$238:$J$451),0),
IF('TL11'!$B$3=Q$3,SUMIF('TL11'!$C$10:$C$224,$C142,'TL11'!$J$10:$J$224),0),
IF('TL11'!$B$229=Q$3,SUMIF('TL11'!$C$238:$C$451,$C142,'TL11'!$J$238:$J$451),0),
IF('TL12'!$B$3=Q$3,SUMIF('TL12'!$C$10:$C$224,$C142,'TL12'!$J$10:$J$224),0),
IF('TL12'!$B$229=Q$3,SUMIF('TL12'!$C$238:$C$451,$C142,'TL12'!$J$238:$J$451),0),
IF('TL13'!$B$3=Q$3,SUMIF('TL13'!$C$10:$C$224,$C142,'TL13'!$J$10:$J$224),0),
IF('TL13'!$B$229=Q$3,SUMIF('TL13'!$C$238:$C$451,$C142,'TL13'!$J$238:$J$451),0),
IF('TL14'!$B$3=Q$3,SUMIF('TL14'!$C$10:$C$224,$C142,'TL14'!$J$10:$J$224),0),
IF('TL14'!$B$229=Q$3,SUMIF('TL14'!$C$238:$C$451,$C142,'TL14'!$J$238:$J$451),0),
IF('TL15'!$B$3=Q$3,SUMIF('TL15'!$C$10:$C$224,$C142,'TL15'!$J$10:$J$224),0),
IF('TL15'!$B$229=Q$3,SUMIF('TL15'!$C$238:$C$451,$C142,'TL15'!$J$238:$J$451),0),
IF('TL16'!$B$3=Q$3,SUMIF('TL16'!$C$10:$C$224,$C142,'TL16'!$J$10:$J$224),0),
IF('TL16'!$B$229=Q$3,SUMIF('TL16'!$C$238:$C$451,$C142,'TL16'!$J$238:$J$451),0),
IF('TL17'!$B$3=Q$3,SUMIF('TL17'!$C$10:$C$224,$C142,'TL17'!$J$10:$J$224),0),
IF('TL17'!$B$229=Q$3,SUMIF('TL17'!$C$238:$C$451,$C142,'TL17'!$J$238:$J$451),0),
IF('TL18'!$B$3=Q$3,SUMIF('TL18'!$C$10:$C$224,$C142,'TL18'!$J$10:$J$224),0),
IF('TL18'!$B$229=Q$3,SUMIF('TL18'!$C$238:$C$451,$C142,'TL18'!$J$238:$J$451),0),
IF('TL19'!$B$3=Q$3,SUMIF('TL19'!$C$10:$C$224,$C142,'TL19'!$J$10:$J$224),0),
IF('TL19'!$B$229=Q$3,SUMIF('TL19'!$C$238:$C$451,$C142,'TL19'!$J$238:$J$451),0)
),0)</f>
        <v>0</v>
      </c>
      <c r="R142" s="9">
        <f>IFERROR(
SUM(
SUMIF('TL01'!C:C,C142,'TL01'!J:J),
SUMIF('TL02'!C:C,C142,'TL02'!J:J),
SUMIF('TL03'!C:C,C142,'TL03'!J:J),
SUMIF('TL04'!C:C,C142,'TL04'!J:J),
SUMIF('TL05'!C:C,C142,'TL05'!J:J),
SUMIF('TL06'!C:C,C142,'TL06'!J:J),
SUMIF('TL07'!C:C,C142,'TL07'!J:J),
SUMIF('TL08'!C:C,C142,'TL08'!J:J),
SUMIF('TL09'!C:C,C142,'TL09'!J:J),
SUMIF('TL10'!C:C,C142,'TL10'!J:J),
SUMIF('TL11'!C:C,C142,'TL11'!J:J),
SUMIF('TL12'!C:C,C142,'TL12'!J:J),
SUMIF('TL13'!C:C,C142,'TL13'!J:J),
SUMIF('TL14'!C:C,C142,'TL14'!J:J),
SUMIF('TL15'!C:C,C142,'TL15'!J:J),
SUMIF('TL16'!C:C,C142,'TL16'!J:J),
SUMIF('TL17'!C:C,C142,'TL17'!J:J),
SUMIF('TL18'!C:C,C142,'TL18'!J:J),SUMIF('TL19'!C:C,C142,'TL19'!J:J))
,0)</f>
        <v>0</v>
      </c>
      <c r="S142" s="17">
        <f>IFERROR(__xludf.DUMMYFUNCTION("IFERROR(VLOOKUP(C142,
IMPORTRANGE(""1wULbzX32WdYsx-lj2U3uUNBBe2INVIRDtcK0d-Dvl90"",
""26-27!C:G""),
5,
FALSE),
"""")"),93.55148)</f>
        <v>93.55148</v>
      </c>
      <c r="T142" s="9"/>
      <c r="U142" s="92">
        <f t="shared" si="2"/>
        <v>0</v>
      </c>
      <c r="V142" s="93">
        <f t="shared" si="3"/>
        <v>0</v>
      </c>
    </row>
    <row r="143" ht="15.75" hidden="1" customHeight="1">
      <c r="A143" s="111" t="s">
        <v>378</v>
      </c>
      <c r="B143" s="112" t="s">
        <v>1</v>
      </c>
      <c r="C143" s="113" t="s">
        <v>693</v>
      </c>
      <c r="D143" s="113" t="s">
        <v>694</v>
      </c>
      <c r="E143" s="113">
        <v>360.0</v>
      </c>
      <c r="F143" s="4" t="s">
        <v>343</v>
      </c>
      <c r="G143" s="90" t="str">
        <f t="shared" si="4"/>
        <v>📄 Ver bula</v>
      </c>
      <c r="H143" s="9">
        <f>IFERROR(__xludf.DUMMYFUNCTION("IFERROR(VLOOKUP(C143,
IMPORTRANGE(""1wULbzX32WdYsx-lj2U3uUNBBe2INVIRDtcK0d-Dvl90"",
""26-27!C:K""),
8,
FALSE),
"""")"),1.0)</f>
        <v>1</v>
      </c>
      <c r="I143" s="114" t="s">
        <v>344</v>
      </c>
      <c r="J143" s="9">
        <f>IFERROR(SUM(
IF('TL01'!$B$3=J$3,SUMIF('TL01'!$C$10:$C$224,$C143,'TL01'!$J$10:$J$224),0),
IF('TL01'!$B$229=J$3,SUMIF('TL01'!$C$238:$C$451,$C143,'TL01'!$J$238:$J$451),0),
IF('TL02'!$B$3=J$3,SUMIF('TL02'!$C$10:$C$224,$C143,'TL02'!$J$10:$J$224),0),
IF('TL02'!$B$229=J$3,SUMIF('TL02'!$C$238:$C$451,$C143,'TL02'!$J$238:$J$451),0),
IF('TL03'!$B$3=J$3,SUMIF('TL03'!$C$10:$C$224,$C143,'TL03'!$J$10:$J$224),0),
IF('TL03'!$B$229=J$3,SUMIF('TL03'!$C$238:$C$451,$C143,'TL03'!$J$238:$J$451),0),
IF('TL04'!$B$3=J$3,SUMIF('TL04'!$C$10:$C$224,$C143,'TL04'!$J$10:$J$224),0),
IF('TL04'!$B$229=J$3,SUMIF('TL04'!$C$238:$C$451,$C143,'TL04'!$J$238:$J$451),0),
IF('TL05'!$B$3=J$3,SUMIF('TL05'!$C$10:$C$224,$C143,'TL05'!$J$10:$J$224),0),
IF('TL05'!$B$229=J$3,SUMIF('TL05'!$C$238:$C$451,$C143,'TL05'!$J$238:$J$451),0),
IF('TL06'!$B$3=J$3,SUMIF('TL06'!$C$10:$C$224,$C143,'TL06'!$J$10:$J$224),0),
IF('TL06'!$B$229=J$3,SUMIF('TL06'!$C$238:$C$451,$C143,'TL06'!$J$238:$J$451),0),
IF('TL07'!$B$3=J$3,SUMIF('TL07'!$C$10:$C$224,$C143,'TL07'!$J$10:$J$224),0),
IF('TL07'!$B$229=J$3,SUMIF('TL07'!$C$238:$C$451,$C143,'TL07'!$J$238:$J$451),0),
IF('TL08'!$B$3=J$3,SUMIF('TL08'!$C$10:$C$224,$C143,'TL08'!$J$10:$J$224),0),
IF('TL08'!$B$229=J$3,SUMIF('TL08'!$C$238:$C$451,$C143,'TL08'!$J$238:$J$451),0),
IF('TL09'!$B$3=J$3,SUMIF('TL09'!$C$10:$C$224,$C143,'TL09'!$J$10:$J$224),0),
IF('TL09'!$B$229=J$3,SUMIF('TL09'!$C$238:$C$451,$C143,'TL09'!$J$238:$J$451),0),
IF('TL10'!$B$3=J$3,SUMIF('TL10'!$C$10:$C$224,$C143,'TL10'!$J$10:$J$224),0),
IF('TL10'!$B$229=J$3,SUMIF('TL10'!$C$238:$C$451,$C143,'TL10'!$J$238:$J$451),0),
IF('TL11'!$B$3=J$3,SUMIF('TL11'!$C$10:$C$224,$C143,'TL11'!$J$10:$J$224),0),
IF('TL11'!$B$229=J$3,SUMIF('TL11'!$C$238:$C$451,$C143,'TL11'!$J$238:$J$451),0),
IF('TL12'!$B$3=J$3,SUMIF('TL12'!$C$10:$C$224,$C143,'TL12'!$J$10:$J$224),0),
IF('TL12'!$B$229=J$3,SUMIF('TL12'!$C$238:$C$451,$C143,'TL12'!$J$238:$J$451),0),
IF('TL13'!$B$3=J$3,SUMIF('TL13'!$C$10:$C$224,$C143,'TL13'!$J$10:$J$224),0),
IF('TL13'!$B$229=J$3,SUMIF('TL13'!$C$238:$C$451,$C143,'TL13'!$J$238:$J$451),0),
IF('TL14'!$B$3=J$3,SUMIF('TL14'!$C$10:$C$224,$C143,'TL14'!$J$10:$J$224),0),
IF('TL14'!$B$229=J$3,SUMIF('TL14'!$C$238:$C$451,$C143,'TL14'!$J$238:$J$451),0),
IF('TL15'!$B$3=J$3,SUMIF('TL15'!$C$10:$C$224,$C143,'TL15'!$J$10:$J$224),0),
IF('TL15'!$B$229=J$3,SUMIF('TL15'!$C$238:$C$451,$C143,'TL15'!$J$238:$J$451),0),
IF('TL16'!$B$3=J$3,SUMIF('TL16'!$C$10:$C$224,$C143,'TL16'!$J$10:$J$224),0),
IF('TL16'!$B$229=J$3,SUMIF('TL16'!$C$238:$C$451,$C143,'TL16'!$J$238:$J$451),0),
IF('TL17'!$B$3=J$3,SUMIF('TL17'!$C$10:$C$224,$C143,'TL17'!$J$10:$J$224),0),
IF('TL17'!$B$229=J$3,SUMIF('TL17'!$C$238:$C$451,$C143,'TL17'!$J$238:$J$451),0),
IF('TL18'!$B$3=J$3,SUMIF('TL18'!$C$10:$C$224,$C143,'TL18'!$J$10:$J$224),0),
IF('TL18'!$B$229=J$3,SUMIF('TL18'!$C$238:$C$451,$C143,'TL18'!$J$238:$J$451),0),
IF('TL19'!$B$3=J$3,SUMIF('TL19'!$C$10:$C$224,$C143,'TL19'!$J$10:$J$224),0),
IF('TL19'!$B$229=J$3,SUMIF('TL19'!$C$238:$C$451,$C143,'TL19'!$J$238:$J$451),0)
),0)</f>
        <v>0</v>
      </c>
      <c r="K143" s="9">
        <f>IFERROR(SUM(
IF('TL01'!$B$3=K$3,SUMIF('TL01'!$C$10:$C$224,$C143,'TL01'!$J$10:$J$224),0),
IF('TL01'!$B$229=K$3,SUMIF('TL01'!$C$238:$C$451,$C143,'TL01'!$J$238:$J$451),0),
IF('TL02'!$B$3=K$3,SUMIF('TL02'!$C$10:$C$224,$C143,'TL02'!$J$10:$J$224),0),
IF('TL02'!$B$229=K$3,SUMIF('TL02'!$C$238:$C$451,$C143,'TL02'!$J$238:$J$451),0),
IF('TL03'!$B$3=K$3,SUMIF('TL03'!$C$10:$C$224,$C143,'TL03'!$J$10:$J$224),0),
IF('TL03'!$B$229=K$3,SUMIF('TL03'!$C$238:$C$451,$C143,'TL03'!$J$238:$J$451),0),
IF('TL04'!$B$3=K$3,SUMIF('TL04'!$C$10:$C$224,$C143,'TL04'!$J$10:$J$224),0),
IF('TL04'!$B$229=K$3,SUMIF('TL04'!$C$238:$C$451,$C143,'TL04'!$J$238:$J$451),0),
IF('TL05'!$B$3=K$3,SUMIF('TL05'!$C$10:$C$224,$C143,'TL05'!$J$10:$J$224),0),
IF('TL05'!$B$229=K$3,SUMIF('TL05'!$C$238:$C$451,$C143,'TL05'!$J$238:$J$451),0),
IF('TL06'!$B$3=K$3,SUMIF('TL06'!$C$10:$C$224,$C143,'TL06'!$J$10:$J$224),0),
IF('TL06'!$B$229=K$3,SUMIF('TL06'!$C$238:$C$451,$C143,'TL06'!$J$238:$J$451),0),
IF('TL07'!$B$3=K$3,SUMIF('TL07'!$C$10:$C$224,$C143,'TL07'!$J$10:$J$224),0),
IF('TL07'!$B$229=K$3,SUMIF('TL07'!$C$238:$C$451,$C143,'TL07'!$J$238:$J$451),0),
IF('TL08'!$B$3=K$3,SUMIF('TL08'!$C$10:$C$224,$C143,'TL08'!$J$10:$J$224),0),
IF('TL08'!$B$229=K$3,SUMIF('TL08'!$C$238:$C$451,$C143,'TL08'!$J$238:$J$451),0),
IF('TL09'!$B$3=K$3,SUMIF('TL09'!$C$10:$C$224,$C143,'TL09'!$J$10:$J$224),0),
IF('TL09'!$B$229=K$3,SUMIF('TL09'!$C$238:$C$451,$C143,'TL09'!$J$238:$J$451),0),
IF('TL10'!$B$3=K$3,SUMIF('TL10'!$C$10:$C$224,$C143,'TL10'!$J$10:$J$224),0),
IF('TL10'!$B$229=K$3,SUMIF('TL10'!$C$238:$C$451,$C143,'TL10'!$J$238:$J$451),0),
IF('TL11'!$B$3=K$3,SUMIF('TL11'!$C$10:$C$224,$C143,'TL11'!$J$10:$J$224),0),
IF('TL11'!$B$229=K$3,SUMIF('TL11'!$C$238:$C$451,$C143,'TL11'!$J$238:$J$451),0),
IF('TL12'!$B$3=K$3,SUMIF('TL12'!$C$10:$C$224,$C143,'TL12'!$J$10:$J$224),0),
IF('TL12'!$B$229=K$3,SUMIF('TL12'!$C$238:$C$451,$C143,'TL12'!$J$238:$J$451),0),
IF('TL13'!$B$3=K$3,SUMIF('TL13'!$C$10:$C$224,$C143,'TL13'!$J$10:$J$224),0),
IF('TL13'!$B$229=K$3,SUMIF('TL13'!$C$238:$C$451,$C143,'TL13'!$J$238:$J$451),0),
IF('TL14'!$B$3=K$3,SUMIF('TL14'!$C$10:$C$224,$C143,'TL14'!$J$10:$J$224),0),
IF('TL14'!$B$229=K$3,SUMIF('TL14'!$C$238:$C$451,$C143,'TL14'!$J$238:$J$451),0),
IF('TL15'!$B$3=K$3,SUMIF('TL15'!$C$10:$C$224,$C143,'TL15'!$J$10:$J$224),0),
IF('TL15'!$B$229=K$3,SUMIF('TL15'!$C$238:$C$451,$C143,'TL15'!$J$238:$J$451),0),
IF('TL16'!$B$3=K$3,SUMIF('TL16'!$C$10:$C$224,$C143,'TL16'!$J$10:$J$224),0),
IF('TL16'!$B$229=K$3,SUMIF('TL16'!$C$238:$C$451,$C143,'TL16'!$J$238:$J$451),0),
IF('TL17'!$B$3=K$3,SUMIF('TL17'!$C$10:$C$224,$C143,'TL17'!$J$10:$J$224),0),
IF('TL17'!$B$229=K$3,SUMIF('TL17'!$C$238:$C$451,$C143,'TL17'!$J$238:$J$451),0),
IF('TL18'!$B$3=K$3,SUMIF('TL18'!$C$10:$C$224,$C143,'TL18'!$J$10:$J$224),0),
IF('TL18'!$B$229=K$3,SUMIF('TL18'!$C$238:$C$451,$C143,'TL18'!$J$238:$J$451),0),
IF('TL19'!$B$3=K$3,SUMIF('TL19'!$C$10:$C$224,$C143,'TL19'!$J$10:$J$224),0),
IF('TL19'!$B$229=K$3,SUMIF('TL19'!$C$238:$C$451,$C143,'TL19'!$J$238:$J$451),0)
),0)</f>
        <v>0</v>
      </c>
      <c r="L143" s="9">
        <f>IFERROR(SUM(
IF('TL01'!$B$3=L$3,SUMIF('TL01'!$C$10:$C$224,$C143,'TL01'!$J$10:$J$224),0),
IF('TL01'!$B$229=L$3,SUMIF('TL01'!$C$238:$C$451,$C143,'TL01'!$J$238:$J$451),0),
IF('TL02'!$B$3=L$3,SUMIF('TL02'!$C$10:$C$224,$C143,'TL02'!$J$10:$J$224),0),
IF('TL02'!$B$229=L$3,SUMIF('TL02'!$C$238:$C$451,$C143,'TL02'!$J$238:$J$451),0),
IF('TL03'!$B$3=L$3,SUMIF('TL03'!$C$10:$C$224,$C143,'TL03'!$J$10:$J$224),0),
IF('TL03'!$B$229=L$3,SUMIF('TL03'!$C$238:$C$451,$C143,'TL03'!$J$238:$J$451),0),
IF('TL04'!$B$3=L$3,SUMIF('TL04'!$C$10:$C$224,$C143,'TL04'!$J$10:$J$224),0),
IF('TL04'!$B$229=L$3,SUMIF('TL04'!$C$238:$C$451,$C143,'TL04'!$J$238:$J$451),0),
IF('TL05'!$B$3=L$3,SUMIF('TL05'!$C$10:$C$224,$C143,'TL05'!$J$10:$J$224),0),
IF('TL05'!$B$229=L$3,SUMIF('TL05'!$C$238:$C$451,$C143,'TL05'!$J$238:$J$451),0),
IF('TL06'!$B$3=L$3,SUMIF('TL06'!$C$10:$C$224,$C143,'TL06'!$J$10:$J$224),0),
IF('TL06'!$B$229=L$3,SUMIF('TL06'!$C$238:$C$451,$C143,'TL06'!$J$238:$J$451),0),
IF('TL07'!$B$3=L$3,SUMIF('TL07'!$C$10:$C$224,$C143,'TL07'!$J$10:$J$224),0),
IF('TL07'!$B$229=L$3,SUMIF('TL07'!$C$238:$C$451,$C143,'TL07'!$J$238:$J$451),0),
IF('TL08'!$B$3=L$3,SUMIF('TL08'!$C$10:$C$224,$C143,'TL08'!$J$10:$J$224),0),
IF('TL08'!$B$229=L$3,SUMIF('TL08'!$C$238:$C$451,$C143,'TL08'!$J$238:$J$451),0),
IF('TL09'!$B$3=L$3,SUMIF('TL09'!$C$10:$C$224,$C143,'TL09'!$J$10:$J$224),0),
IF('TL09'!$B$229=L$3,SUMIF('TL09'!$C$238:$C$451,$C143,'TL09'!$J$238:$J$451),0),
IF('TL10'!$B$3=L$3,SUMIF('TL10'!$C$10:$C$224,$C143,'TL10'!$J$10:$J$224),0),
IF('TL10'!$B$229=L$3,SUMIF('TL10'!$C$238:$C$451,$C143,'TL10'!$J$238:$J$451),0),
IF('TL11'!$B$3=L$3,SUMIF('TL11'!$C$10:$C$224,$C143,'TL11'!$J$10:$J$224),0),
IF('TL11'!$B$229=L$3,SUMIF('TL11'!$C$238:$C$451,$C143,'TL11'!$J$238:$J$451),0),
IF('TL12'!$B$3=L$3,SUMIF('TL12'!$C$10:$C$224,$C143,'TL12'!$J$10:$J$224),0),
IF('TL12'!$B$229=L$3,SUMIF('TL12'!$C$238:$C$451,$C143,'TL12'!$J$238:$J$451),0),
IF('TL13'!$B$3=L$3,SUMIF('TL13'!$C$10:$C$224,$C143,'TL13'!$J$10:$J$224),0),
IF('TL13'!$B$229=L$3,SUMIF('TL13'!$C$238:$C$451,$C143,'TL13'!$J$238:$J$451),0),
IF('TL14'!$B$3=L$3,SUMIF('TL14'!$C$10:$C$224,$C143,'TL14'!$J$10:$J$224),0),
IF('TL14'!$B$229=L$3,SUMIF('TL14'!$C$238:$C$451,$C143,'TL14'!$J$238:$J$451),0),
IF('TL15'!$B$3=L$3,SUMIF('TL15'!$C$10:$C$224,$C143,'TL15'!$J$10:$J$224),0),
IF('TL15'!$B$229=L$3,SUMIF('TL15'!$C$238:$C$451,$C143,'TL15'!$J$238:$J$451),0),
IF('TL16'!$B$3=L$3,SUMIF('TL16'!$C$10:$C$224,$C143,'TL16'!$J$10:$J$224),0),
IF('TL16'!$B$229=L$3,SUMIF('TL16'!$C$238:$C$451,$C143,'TL16'!$J$238:$J$451),0),
IF('TL17'!$B$3=L$3,SUMIF('TL17'!$C$10:$C$224,$C143,'TL17'!$J$10:$J$224),0),
IF('TL17'!$B$229=L$3,SUMIF('TL17'!$C$238:$C$451,$C143,'TL17'!$J$238:$J$451),0),
IF('TL18'!$B$3=L$3,SUMIF('TL18'!$C$10:$C$224,$C143,'TL18'!$J$10:$J$224),0),
IF('TL18'!$B$229=L$3,SUMIF('TL18'!$C$238:$C$451,$C143,'TL18'!$J$238:$J$451),0),
IF('TL19'!$B$3=L$3,SUMIF('TL19'!$C$10:$C$224,$C143,'TL19'!$J$10:$J$224),0),
IF('TL19'!$B$229=L$3,SUMIF('TL19'!$C$238:$C$451,$C143,'TL19'!$J$238:$J$451),0)
),0)</f>
        <v>220</v>
      </c>
      <c r="M143" s="9">
        <f>IFERROR(SUM(
IF('TL01'!$B$3=M$3,SUMIF('TL01'!$C$10:$C$224,$C143,'TL01'!$J$10:$J$224),0),
IF('TL01'!$B$229=M$3,SUMIF('TL01'!$C$238:$C$451,$C143,'TL01'!$J$238:$J$451),0),
IF('TL02'!$B$3=M$3,SUMIF('TL02'!$C$10:$C$224,$C143,'TL02'!$J$10:$J$224),0),
IF('TL02'!$B$229=M$3,SUMIF('TL02'!$C$238:$C$451,$C143,'TL02'!$J$238:$J$451),0),
IF('TL03'!$B$3=M$3,SUMIF('TL03'!$C$10:$C$224,$C143,'TL03'!$J$10:$J$224),0),
IF('TL03'!$B$229=M$3,SUMIF('TL03'!$C$238:$C$451,$C143,'TL03'!$J$238:$J$451),0),
IF('TL04'!$B$3=M$3,SUMIF('TL04'!$C$10:$C$224,$C143,'TL04'!$J$10:$J$224),0),
IF('TL04'!$B$229=M$3,SUMIF('TL04'!$C$238:$C$451,$C143,'TL04'!$J$238:$J$451),0),
IF('TL05'!$B$3=M$3,SUMIF('TL05'!$C$10:$C$224,$C143,'TL05'!$J$10:$J$224),0),
IF('TL05'!$B$229=M$3,SUMIF('TL05'!$C$238:$C$451,$C143,'TL05'!$J$238:$J$451),0),
IF('TL06'!$B$3=M$3,SUMIF('TL06'!$C$10:$C$224,$C143,'TL06'!$J$10:$J$224),0),
IF('TL06'!$B$229=M$3,SUMIF('TL06'!$C$238:$C$451,$C143,'TL06'!$J$238:$J$451),0),
IF('TL07'!$B$3=M$3,SUMIF('TL07'!$C$10:$C$224,$C143,'TL07'!$J$10:$J$224),0),
IF('TL07'!$B$229=M$3,SUMIF('TL07'!$C$238:$C$451,$C143,'TL07'!$J$238:$J$451),0),
IF('TL08'!$B$3=M$3,SUMIF('TL08'!$C$10:$C$224,$C143,'TL08'!$J$10:$J$224),0),
IF('TL08'!$B$229=M$3,SUMIF('TL08'!$C$238:$C$451,$C143,'TL08'!$J$238:$J$451),0),
IF('TL09'!$B$3=M$3,SUMIF('TL09'!$C$10:$C$224,$C143,'TL09'!$J$10:$J$224),0),
IF('TL09'!$B$229=M$3,SUMIF('TL09'!$C$238:$C$451,$C143,'TL09'!$J$238:$J$451),0),
IF('TL10'!$B$3=M$3,SUMIF('TL10'!$C$10:$C$224,$C143,'TL10'!$J$10:$J$224),0),
IF('TL10'!$B$229=M$3,SUMIF('TL10'!$C$238:$C$451,$C143,'TL10'!$J$238:$J$451),0),
IF('TL11'!$B$3=M$3,SUMIF('TL11'!$C$10:$C$224,$C143,'TL11'!$J$10:$J$224),0),
IF('TL11'!$B$229=M$3,SUMIF('TL11'!$C$238:$C$451,$C143,'TL11'!$J$238:$J$451),0),
IF('TL12'!$B$3=M$3,SUMIF('TL12'!$C$10:$C$224,$C143,'TL12'!$J$10:$J$224),0),
IF('TL12'!$B$229=M$3,SUMIF('TL12'!$C$238:$C$451,$C143,'TL12'!$J$238:$J$451),0),
IF('TL13'!$B$3=M$3,SUMIF('TL13'!$C$10:$C$224,$C143,'TL13'!$J$10:$J$224),0),
IF('TL13'!$B$229=M$3,SUMIF('TL13'!$C$238:$C$451,$C143,'TL13'!$J$238:$J$451),0),
IF('TL14'!$B$3=M$3,SUMIF('TL14'!$C$10:$C$224,$C143,'TL14'!$J$10:$J$224),0),
IF('TL14'!$B$229=M$3,SUMIF('TL14'!$C$238:$C$451,$C143,'TL14'!$J$238:$J$451),0),
IF('TL15'!$B$3=M$3,SUMIF('TL15'!$C$10:$C$224,$C143,'TL15'!$J$10:$J$224),0),
IF('TL15'!$B$229=M$3,SUMIF('TL15'!$C$238:$C$451,$C143,'TL15'!$J$238:$J$451),0),
IF('TL16'!$B$3=M$3,SUMIF('TL16'!$C$10:$C$224,$C143,'TL16'!$J$10:$J$224),0),
IF('TL16'!$B$229=M$3,SUMIF('TL16'!$C$238:$C$451,$C143,'TL16'!$J$238:$J$451),0),
IF('TL17'!$B$3=M$3,SUMIF('TL17'!$C$10:$C$224,$C143,'TL17'!$J$10:$J$224),0),
IF('TL17'!$B$229=M$3,SUMIF('TL17'!$C$238:$C$451,$C143,'TL17'!$J$238:$J$451),0),
IF('TL18'!$B$3=M$3,SUMIF('TL18'!$C$10:$C$224,$C143,'TL18'!$J$10:$J$224),0),
IF('TL18'!$B$229=M$3,SUMIF('TL18'!$C$238:$C$451,$C143,'TL18'!$J$238:$J$451),0),
IF('TL19'!$B$3=M$3,SUMIF('TL19'!$C$10:$C$224,$C143,'TL19'!$J$10:$J$224),0),
IF('TL19'!$B$229=M$3,SUMIF('TL19'!$C$238:$C$451,$C143,'TL19'!$J$238:$J$451),0)
),0)</f>
        <v>0</v>
      </c>
      <c r="N143" s="9">
        <f>IFERROR(SUM(
IF('TL01'!$B$3=N$3,SUMIF('TL01'!$C$10:$C$224,$C143,'TL01'!$J$10:$J$224),0),
IF('TL01'!$B$229=N$3,SUMIF('TL01'!$C$238:$C$451,$C143,'TL01'!$J$238:$J$451),0),
IF('TL02'!$B$3=N$3,SUMIF('TL02'!$C$10:$C$224,$C143,'TL02'!$J$10:$J$224),0),
IF('TL02'!$B$229=N$3,SUMIF('TL02'!$C$238:$C$451,$C143,'TL02'!$J$238:$J$451),0),
IF('TL03'!$B$3=N$3,SUMIF('TL03'!$C$10:$C$224,$C143,'TL03'!$J$10:$J$224),0),
IF('TL03'!$B$229=N$3,SUMIF('TL03'!$C$238:$C$451,$C143,'TL03'!$J$238:$J$451),0),
IF('TL04'!$B$3=N$3,SUMIF('TL04'!$C$10:$C$224,$C143,'TL04'!$J$10:$J$224),0),
IF('TL04'!$B$229=N$3,SUMIF('TL04'!$C$238:$C$451,$C143,'TL04'!$J$238:$J$451),0),
IF('TL05'!$B$3=N$3,SUMIF('TL05'!$C$10:$C$224,$C143,'TL05'!$J$10:$J$224),0),
IF('TL05'!$B$229=N$3,SUMIF('TL05'!$C$238:$C$451,$C143,'TL05'!$J$238:$J$451),0),
IF('TL06'!$B$3=N$3,SUMIF('TL06'!$C$10:$C$224,$C143,'TL06'!$J$10:$J$224),0),
IF('TL06'!$B$229=N$3,SUMIF('TL06'!$C$238:$C$451,$C143,'TL06'!$J$238:$J$451),0),
IF('TL07'!$B$3=N$3,SUMIF('TL07'!$C$10:$C$224,$C143,'TL07'!$J$10:$J$224),0),
IF('TL07'!$B$229=N$3,SUMIF('TL07'!$C$238:$C$451,$C143,'TL07'!$J$238:$J$451),0),
IF('TL08'!$B$3=N$3,SUMIF('TL08'!$C$10:$C$224,$C143,'TL08'!$J$10:$J$224),0),
IF('TL08'!$B$229=N$3,SUMIF('TL08'!$C$238:$C$451,$C143,'TL08'!$J$238:$J$451),0),
IF('TL09'!$B$3=N$3,SUMIF('TL09'!$C$10:$C$224,$C143,'TL09'!$J$10:$J$224),0),
IF('TL09'!$B$229=N$3,SUMIF('TL09'!$C$238:$C$451,$C143,'TL09'!$J$238:$J$451),0),
IF('TL10'!$B$3=N$3,SUMIF('TL10'!$C$10:$C$224,$C143,'TL10'!$J$10:$J$224),0),
IF('TL10'!$B$229=N$3,SUMIF('TL10'!$C$238:$C$451,$C143,'TL10'!$J$238:$J$451),0),
IF('TL11'!$B$3=N$3,SUMIF('TL11'!$C$10:$C$224,$C143,'TL11'!$J$10:$J$224),0),
IF('TL11'!$B$229=N$3,SUMIF('TL11'!$C$238:$C$451,$C143,'TL11'!$J$238:$J$451),0),
IF('TL12'!$B$3=N$3,SUMIF('TL12'!$C$10:$C$224,$C143,'TL12'!$J$10:$J$224),0),
IF('TL12'!$B$229=N$3,SUMIF('TL12'!$C$238:$C$451,$C143,'TL12'!$J$238:$J$451),0),
IF('TL13'!$B$3=N$3,SUMIF('TL13'!$C$10:$C$224,$C143,'TL13'!$J$10:$J$224),0),
IF('TL13'!$B$229=N$3,SUMIF('TL13'!$C$238:$C$451,$C143,'TL13'!$J$238:$J$451),0),
IF('TL14'!$B$3=N$3,SUMIF('TL14'!$C$10:$C$224,$C143,'TL14'!$J$10:$J$224),0),
IF('TL14'!$B$229=N$3,SUMIF('TL14'!$C$238:$C$451,$C143,'TL14'!$J$238:$J$451),0),
IF('TL15'!$B$3=N$3,SUMIF('TL15'!$C$10:$C$224,$C143,'TL15'!$J$10:$J$224),0),
IF('TL15'!$B$229=N$3,SUMIF('TL15'!$C$238:$C$451,$C143,'TL15'!$J$238:$J$451),0),
IF('TL16'!$B$3=N$3,SUMIF('TL16'!$C$10:$C$224,$C143,'TL16'!$J$10:$J$224),0),
IF('TL16'!$B$229=N$3,SUMIF('TL16'!$C$238:$C$451,$C143,'TL16'!$J$238:$J$451),0),
IF('TL17'!$B$3=N$3,SUMIF('TL17'!$C$10:$C$224,$C143,'TL17'!$J$10:$J$224),0),
IF('TL17'!$B$229=N$3,SUMIF('TL17'!$C$238:$C$451,$C143,'TL17'!$J$238:$J$451),0),
IF('TL18'!$B$3=N$3,SUMIF('TL18'!$C$10:$C$224,$C143,'TL18'!$J$10:$J$224),0),
IF('TL18'!$B$229=N$3,SUMIF('TL18'!$C$238:$C$451,$C143,'TL18'!$J$238:$J$451),0),
IF('TL19'!$B$3=N$3,SUMIF('TL19'!$C$10:$C$224,$C143,'TL19'!$J$10:$J$224),0),
IF('TL19'!$B$229=N$3,SUMIF('TL19'!$C$238:$C$451,$C143,'TL19'!$J$238:$J$451),0)
),0)</f>
        <v>0</v>
      </c>
      <c r="O143" s="9">
        <f>IFERROR(SUM(
IF('TL01'!$B$3=O$3,SUMIF('TL01'!$C$10:$C$224,$C143,'TL01'!$J$10:$J$224),0),
IF('TL01'!$B$229=O$3,SUMIF('TL01'!$C$238:$C$451,$C143,'TL01'!$J$238:$J$451),0),
IF('TL02'!$B$3=O$3,SUMIF('TL02'!$C$10:$C$224,$C143,'TL02'!$J$10:$J$224),0),
IF('TL02'!$B$229=O$3,SUMIF('TL02'!$C$238:$C$451,$C143,'TL02'!$J$238:$J$451),0),
IF('TL03'!$B$3=O$3,SUMIF('TL03'!$C$10:$C$224,$C143,'TL03'!$J$10:$J$224),0),
IF('TL03'!$B$229=O$3,SUMIF('TL03'!$C$238:$C$451,$C143,'TL03'!$J$238:$J$451),0),
IF('TL04'!$B$3=O$3,SUMIF('TL04'!$C$10:$C$224,$C143,'TL04'!$J$10:$J$224),0),
IF('TL04'!$B$229=O$3,SUMIF('TL04'!$C$238:$C$451,$C143,'TL04'!$J$238:$J$451),0),
IF('TL05'!$B$3=O$3,SUMIF('TL05'!$C$10:$C$224,$C143,'TL05'!$J$10:$J$224),0),
IF('TL05'!$B$229=O$3,SUMIF('TL05'!$C$238:$C$451,$C143,'TL05'!$J$238:$J$451),0),
IF('TL06'!$B$3=O$3,SUMIF('TL06'!$C$10:$C$224,$C143,'TL06'!$J$10:$J$224),0),
IF('TL06'!$B$229=O$3,SUMIF('TL06'!$C$238:$C$451,$C143,'TL06'!$J$238:$J$451),0),
IF('TL07'!$B$3=O$3,SUMIF('TL07'!$C$10:$C$224,$C143,'TL07'!$J$10:$J$224),0),
IF('TL07'!$B$229=O$3,SUMIF('TL07'!$C$238:$C$451,$C143,'TL07'!$J$238:$J$451),0),
IF('TL08'!$B$3=O$3,SUMIF('TL08'!$C$10:$C$224,$C143,'TL08'!$J$10:$J$224),0),
IF('TL08'!$B$229=O$3,SUMIF('TL08'!$C$238:$C$451,$C143,'TL08'!$J$238:$J$451),0),
IF('TL09'!$B$3=O$3,SUMIF('TL09'!$C$10:$C$224,$C143,'TL09'!$J$10:$J$224),0),
IF('TL09'!$B$229=O$3,SUMIF('TL09'!$C$238:$C$451,$C143,'TL09'!$J$238:$J$451),0),
IF('TL10'!$B$3=O$3,SUMIF('TL10'!$C$10:$C$224,$C143,'TL10'!$J$10:$J$224),0),
IF('TL10'!$B$229=O$3,SUMIF('TL10'!$C$238:$C$451,$C143,'TL10'!$J$238:$J$451),0),
IF('TL11'!$B$3=O$3,SUMIF('TL11'!$C$10:$C$224,$C143,'TL11'!$J$10:$J$224),0),
IF('TL11'!$B$229=O$3,SUMIF('TL11'!$C$238:$C$451,$C143,'TL11'!$J$238:$J$451),0),
IF('TL12'!$B$3=O$3,SUMIF('TL12'!$C$10:$C$224,$C143,'TL12'!$J$10:$J$224),0),
IF('TL12'!$B$229=O$3,SUMIF('TL12'!$C$238:$C$451,$C143,'TL12'!$J$238:$J$451),0),
IF('TL13'!$B$3=O$3,SUMIF('TL13'!$C$10:$C$224,$C143,'TL13'!$J$10:$J$224),0),
IF('TL13'!$B$229=O$3,SUMIF('TL13'!$C$238:$C$451,$C143,'TL13'!$J$238:$J$451),0),
IF('TL14'!$B$3=O$3,SUMIF('TL14'!$C$10:$C$224,$C143,'TL14'!$J$10:$J$224),0),
IF('TL14'!$B$229=O$3,SUMIF('TL14'!$C$238:$C$451,$C143,'TL14'!$J$238:$J$451),0),
IF('TL15'!$B$3=O$3,SUMIF('TL15'!$C$10:$C$224,$C143,'TL15'!$J$10:$J$224),0),
IF('TL15'!$B$229=O$3,SUMIF('TL15'!$C$238:$C$451,$C143,'TL15'!$J$238:$J$451),0),
IF('TL16'!$B$3=O$3,SUMIF('TL16'!$C$10:$C$224,$C143,'TL16'!$J$10:$J$224),0),
IF('TL16'!$B$229=O$3,SUMIF('TL16'!$C$238:$C$451,$C143,'TL16'!$J$238:$J$451),0),
IF('TL17'!$B$3=O$3,SUMIF('TL17'!$C$10:$C$224,$C143,'TL17'!$J$10:$J$224),0),
IF('TL17'!$B$229=O$3,SUMIF('TL17'!$C$238:$C$451,$C143,'TL17'!$J$238:$J$451),0),
IF('TL18'!$B$3=O$3,SUMIF('TL18'!$C$10:$C$224,$C143,'TL18'!$J$10:$J$224),0),
IF('TL18'!$B$229=O$3,SUMIF('TL18'!$C$238:$C$451,$C143,'TL18'!$J$238:$J$451),0),
IF('TL19'!$B$3=O$3,SUMIF('TL19'!$C$10:$C$224,$C143,'TL19'!$J$10:$J$224),0),
IF('TL19'!$B$229=O$3,SUMIF('TL19'!$C$238:$C$451,$C143,'TL19'!$J$238:$J$451),0)
),0)</f>
        <v>0</v>
      </c>
      <c r="P143" s="9">
        <f>IFERROR(SUM(
IF('TL01'!$B$3=P$3,SUMIF('TL01'!$C$10:$C$224,$C143,'TL01'!$J$10:$J$224),0),
IF('TL01'!$B$229=P$3,SUMIF('TL01'!$C$238:$C$451,$C143,'TL01'!$J$238:$J$451),0),
IF('TL02'!$B$3=P$3,SUMIF('TL02'!$C$10:$C$224,$C143,'TL02'!$J$10:$J$224),0),
IF('TL02'!$B$229=P$3,SUMIF('TL02'!$C$238:$C$451,$C143,'TL02'!$J$238:$J$451),0),
IF('TL03'!$B$3=P$3,SUMIF('TL03'!$C$10:$C$224,$C143,'TL03'!$J$10:$J$224),0),
IF('TL03'!$B$229=P$3,SUMIF('TL03'!$C$238:$C$451,$C143,'TL03'!$J$238:$J$451),0),
IF('TL04'!$B$3=P$3,SUMIF('TL04'!$C$10:$C$224,$C143,'TL04'!$J$10:$J$224),0),
IF('TL04'!$B$229=P$3,SUMIF('TL04'!$C$238:$C$451,$C143,'TL04'!$J$238:$J$451),0),
IF('TL05'!$B$3=P$3,SUMIF('TL05'!$C$10:$C$224,$C143,'TL05'!$J$10:$J$224),0),
IF('TL05'!$B$229=P$3,SUMIF('TL05'!$C$238:$C$451,$C143,'TL05'!$J$238:$J$451),0),
IF('TL06'!$B$3=P$3,SUMIF('TL06'!$C$10:$C$224,$C143,'TL06'!$J$10:$J$224),0),
IF('TL06'!$B$229=P$3,SUMIF('TL06'!$C$238:$C$451,$C143,'TL06'!$J$238:$J$451),0),
IF('TL07'!$B$3=P$3,SUMIF('TL07'!$C$10:$C$224,$C143,'TL07'!$J$10:$J$224),0),
IF('TL07'!$B$229=P$3,SUMIF('TL07'!$C$238:$C$451,$C143,'TL07'!$J$238:$J$451),0),
IF('TL08'!$B$3=P$3,SUMIF('TL08'!$C$10:$C$224,$C143,'TL08'!$J$10:$J$224),0),
IF('TL08'!$B$229=P$3,SUMIF('TL08'!$C$238:$C$451,$C143,'TL08'!$J$238:$J$451),0),
IF('TL09'!$B$3=P$3,SUMIF('TL09'!$C$10:$C$224,$C143,'TL09'!$J$10:$J$224),0),
IF('TL09'!$B$229=P$3,SUMIF('TL09'!$C$238:$C$451,$C143,'TL09'!$J$238:$J$451),0),
IF('TL10'!$B$3=P$3,SUMIF('TL10'!$C$10:$C$224,$C143,'TL10'!$J$10:$J$224),0),
IF('TL10'!$B$229=P$3,SUMIF('TL10'!$C$238:$C$451,$C143,'TL10'!$J$238:$J$451),0),
IF('TL11'!$B$3=P$3,SUMIF('TL11'!$C$10:$C$224,$C143,'TL11'!$J$10:$J$224),0),
IF('TL11'!$B$229=P$3,SUMIF('TL11'!$C$238:$C$451,$C143,'TL11'!$J$238:$J$451),0),
IF('TL12'!$B$3=P$3,SUMIF('TL12'!$C$10:$C$224,$C143,'TL12'!$J$10:$J$224),0),
IF('TL12'!$B$229=P$3,SUMIF('TL12'!$C$238:$C$451,$C143,'TL12'!$J$238:$J$451),0),
IF('TL13'!$B$3=P$3,SUMIF('TL13'!$C$10:$C$224,$C143,'TL13'!$J$10:$J$224),0),
IF('TL13'!$B$229=P$3,SUMIF('TL13'!$C$238:$C$451,$C143,'TL13'!$J$238:$J$451),0),
IF('TL14'!$B$3=P$3,SUMIF('TL14'!$C$10:$C$224,$C143,'TL14'!$J$10:$J$224),0),
IF('TL14'!$B$229=P$3,SUMIF('TL14'!$C$238:$C$451,$C143,'TL14'!$J$238:$J$451),0),
IF('TL15'!$B$3=P$3,SUMIF('TL15'!$C$10:$C$224,$C143,'TL15'!$J$10:$J$224),0),
IF('TL15'!$B$229=P$3,SUMIF('TL15'!$C$238:$C$451,$C143,'TL15'!$J$238:$J$451),0),
IF('TL16'!$B$3=P$3,SUMIF('TL16'!$C$10:$C$224,$C143,'TL16'!$J$10:$J$224),0),
IF('TL16'!$B$229=P$3,SUMIF('TL16'!$C$238:$C$451,$C143,'TL16'!$J$238:$J$451),0),
IF('TL17'!$B$3=P$3,SUMIF('TL17'!$C$10:$C$224,$C143,'TL17'!$J$10:$J$224),0),
IF('TL17'!$B$229=P$3,SUMIF('TL17'!$C$238:$C$451,$C143,'TL17'!$J$238:$J$451),0),
IF('TL18'!$B$3=P$3,SUMIF('TL18'!$C$10:$C$224,$C143,'TL18'!$J$10:$J$224),0),
IF('TL18'!$B$229=P$3,SUMIF('TL18'!$C$238:$C$451,$C143,'TL18'!$J$238:$J$451),0),
IF('TL19'!$B$3=P$3,SUMIF('TL19'!$C$10:$C$224,$C143,'TL19'!$J$10:$J$224),0),
IF('TL19'!$B$229=P$3,SUMIF('TL19'!$C$238:$C$451,$C143,'TL19'!$J$238:$J$451),0)
),0)</f>
        <v>958</v>
      </c>
      <c r="Q143" s="9">
        <f>IFERROR(SUM(
IF('TL01'!$B$3=Q$3,SUMIF('TL01'!$C$10:$C$224,$C143,'TL01'!$J$10:$J$224),0),
IF('TL01'!$B$229=Q$3,SUMIF('TL01'!$C$238:$C$451,$C143,'TL01'!$J$238:$J$451),0),
IF('TL02'!$B$3=Q$3,SUMIF('TL02'!$C$10:$C$224,$C143,'TL02'!$J$10:$J$224),0),
IF('TL02'!$B$229=Q$3,SUMIF('TL02'!$C$238:$C$451,$C143,'TL02'!$J$238:$J$451),0),
IF('TL03'!$B$3=Q$3,SUMIF('TL03'!$C$10:$C$224,$C143,'TL03'!$J$10:$J$224),0),
IF('TL03'!$B$229=Q$3,SUMIF('TL03'!$C$238:$C$451,$C143,'TL03'!$J$238:$J$451),0),
IF('TL04'!$B$3=Q$3,SUMIF('TL04'!$C$10:$C$224,$C143,'TL04'!$J$10:$J$224),0),
IF('TL04'!$B$229=Q$3,SUMIF('TL04'!$C$238:$C$451,$C143,'TL04'!$J$238:$J$451),0),
IF('TL05'!$B$3=Q$3,SUMIF('TL05'!$C$10:$C$224,$C143,'TL05'!$J$10:$J$224),0),
IF('TL05'!$B$229=Q$3,SUMIF('TL05'!$C$238:$C$451,$C143,'TL05'!$J$238:$J$451),0),
IF('TL06'!$B$3=Q$3,SUMIF('TL06'!$C$10:$C$224,$C143,'TL06'!$J$10:$J$224),0),
IF('TL06'!$B$229=Q$3,SUMIF('TL06'!$C$238:$C$451,$C143,'TL06'!$J$238:$J$451),0),
IF('TL07'!$B$3=Q$3,SUMIF('TL07'!$C$10:$C$224,$C143,'TL07'!$J$10:$J$224),0),
IF('TL07'!$B$229=Q$3,SUMIF('TL07'!$C$238:$C$451,$C143,'TL07'!$J$238:$J$451),0),
IF('TL08'!$B$3=Q$3,SUMIF('TL08'!$C$10:$C$224,$C143,'TL08'!$J$10:$J$224),0),
IF('TL08'!$B$229=Q$3,SUMIF('TL08'!$C$238:$C$451,$C143,'TL08'!$J$238:$J$451),0),
IF('TL09'!$B$3=Q$3,SUMIF('TL09'!$C$10:$C$224,$C143,'TL09'!$J$10:$J$224),0),
IF('TL09'!$B$229=Q$3,SUMIF('TL09'!$C$238:$C$451,$C143,'TL09'!$J$238:$J$451),0),
IF('TL10'!$B$3=Q$3,SUMIF('TL10'!$C$10:$C$224,$C143,'TL10'!$J$10:$J$224),0),
IF('TL10'!$B$229=Q$3,SUMIF('TL10'!$C$238:$C$451,$C143,'TL10'!$J$238:$J$451),0),
IF('TL11'!$B$3=Q$3,SUMIF('TL11'!$C$10:$C$224,$C143,'TL11'!$J$10:$J$224),0),
IF('TL11'!$B$229=Q$3,SUMIF('TL11'!$C$238:$C$451,$C143,'TL11'!$J$238:$J$451),0),
IF('TL12'!$B$3=Q$3,SUMIF('TL12'!$C$10:$C$224,$C143,'TL12'!$J$10:$J$224),0),
IF('TL12'!$B$229=Q$3,SUMIF('TL12'!$C$238:$C$451,$C143,'TL12'!$J$238:$J$451),0),
IF('TL13'!$B$3=Q$3,SUMIF('TL13'!$C$10:$C$224,$C143,'TL13'!$J$10:$J$224),0),
IF('TL13'!$B$229=Q$3,SUMIF('TL13'!$C$238:$C$451,$C143,'TL13'!$J$238:$J$451),0),
IF('TL14'!$B$3=Q$3,SUMIF('TL14'!$C$10:$C$224,$C143,'TL14'!$J$10:$J$224),0),
IF('TL14'!$B$229=Q$3,SUMIF('TL14'!$C$238:$C$451,$C143,'TL14'!$J$238:$J$451),0),
IF('TL15'!$B$3=Q$3,SUMIF('TL15'!$C$10:$C$224,$C143,'TL15'!$J$10:$J$224),0),
IF('TL15'!$B$229=Q$3,SUMIF('TL15'!$C$238:$C$451,$C143,'TL15'!$J$238:$J$451),0),
IF('TL16'!$B$3=Q$3,SUMIF('TL16'!$C$10:$C$224,$C143,'TL16'!$J$10:$J$224),0),
IF('TL16'!$B$229=Q$3,SUMIF('TL16'!$C$238:$C$451,$C143,'TL16'!$J$238:$J$451),0),
IF('TL17'!$B$3=Q$3,SUMIF('TL17'!$C$10:$C$224,$C143,'TL17'!$J$10:$J$224),0),
IF('TL17'!$B$229=Q$3,SUMIF('TL17'!$C$238:$C$451,$C143,'TL17'!$J$238:$J$451),0),
IF('TL18'!$B$3=Q$3,SUMIF('TL18'!$C$10:$C$224,$C143,'TL18'!$J$10:$J$224),0),
IF('TL18'!$B$229=Q$3,SUMIF('TL18'!$C$238:$C$451,$C143,'TL18'!$J$238:$J$451),0),
IF('TL19'!$B$3=Q$3,SUMIF('TL19'!$C$10:$C$224,$C143,'TL19'!$J$10:$J$224),0),
IF('TL19'!$B$229=Q$3,SUMIF('TL19'!$C$238:$C$451,$C143,'TL19'!$J$238:$J$451),0)
),0)</f>
        <v>320</v>
      </c>
      <c r="R143" s="9">
        <f>IFERROR(
SUM(
SUMIF('TL01'!C:C,C143,'TL01'!J:J),
SUMIF('TL02'!C:C,C143,'TL02'!J:J),
SUMIF('TL03'!C:C,C143,'TL03'!J:J),
SUMIF('TL04'!C:C,C143,'TL04'!J:J),
SUMIF('TL05'!C:C,C143,'TL05'!J:J),
SUMIF('TL06'!C:C,C143,'TL06'!J:J),
SUMIF('TL07'!C:C,C143,'TL07'!J:J),
SUMIF('TL08'!C:C,C143,'TL08'!J:J),
SUMIF('TL09'!C:C,C143,'TL09'!J:J),
SUMIF('TL10'!C:C,C143,'TL10'!J:J),
SUMIF('TL11'!C:C,C143,'TL11'!J:J),
SUMIF('TL12'!C:C,C143,'TL12'!J:J),
SUMIF('TL13'!C:C,C143,'TL13'!J:J),
SUMIF('TL14'!C:C,C143,'TL14'!J:J),
SUMIF('TL15'!C:C,C143,'TL15'!J:J),
SUMIF('TL16'!C:C,C143,'TL16'!J:J),
SUMIF('TL17'!C:C,C143,'TL17'!J:J),
SUMIF('TL18'!C:C,C143,'TL18'!J:J),SUMIF('TL19'!C:C,C143,'TL19'!J:J))
,0)</f>
        <v>1498</v>
      </c>
      <c r="S143" s="17">
        <f>IFERROR(__xludf.DUMMYFUNCTION("IFERROR(VLOOKUP(C143,
IMPORTRANGE(""1wULbzX32WdYsx-lj2U3uUNBBe2INVIRDtcK0d-Dvl90"",
""26-27!C:G""),
5,
FALSE),
"""")"),43.801559999999995)</f>
        <v>43.80156</v>
      </c>
      <c r="T143" s="9"/>
      <c r="U143" s="92">
        <f t="shared" si="2"/>
        <v>1498</v>
      </c>
      <c r="V143" s="93">
        <f t="shared" si="3"/>
        <v>65614.73688</v>
      </c>
    </row>
    <row r="144" ht="15.75" hidden="1" customHeight="1">
      <c r="A144" s="115" t="s">
        <v>378</v>
      </c>
      <c r="B144" s="100" t="s">
        <v>1</v>
      </c>
      <c r="C144" s="116" t="s">
        <v>695</v>
      </c>
      <c r="D144" s="116" t="s">
        <v>696</v>
      </c>
      <c r="E144" s="116" t="s">
        <v>697</v>
      </c>
      <c r="F144" s="4" t="s">
        <v>343</v>
      </c>
      <c r="G144" s="90" t="str">
        <f t="shared" si="4"/>
        <v>📄 Ver bula</v>
      </c>
      <c r="H144" s="9" t="str">
        <f>IFERROR(__xludf.DUMMYFUNCTION("IFERROR(VLOOKUP(C144,
IMPORTRANGE(""1wULbzX32WdYsx-lj2U3uUNBBe2INVIRDtcK0d-Dvl90"",
""26-27!C:K""),
8,
FALSE),
"""")"),"")</f>
        <v/>
      </c>
      <c r="I144" s="117" t="s">
        <v>344</v>
      </c>
      <c r="J144" s="9">
        <f>IFERROR(SUM(
IF('TL01'!$B$3=J$3,SUMIF('TL01'!$C$10:$C$224,$C144,'TL01'!$J$10:$J$224),0),
IF('TL01'!$B$229=J$3,SUMIF('TL01'!$C$238:$C$451,$C144,'TL01'!$J$238:$J$451),0),
IF('TL02'!$B$3=J$3,SUMIF('TL02'!$C$10:$C$224,$C144,'TL02'!$J$10:$J$224),0),
IF('TL02'!$B$229=J$3,SUMIF('TL02'!$C$238:$C$451,$C144,'TL02'!$J$238:$J$451),0),
IF('TL03'!$B$3=J$3,SUMIF('TL03'!$C$10:$C$224,$C144,'TL03'!$J$10:$J$224),0),
IF('TL03'!$B$229=J$3,SUMIF('TL03'!$C$238:$C$451,$C144,'TL03'!$J$238:$J$451),0),
IF('TL04'!$B$3=J$3,SUMIF('TL04'!$C$10:$C$224,$C144,'TL04'!$J$10:$J$224),0),
IF('TL04'!$B$229=J$3,SUMIF('TL04'!$C$238:$C$451,$C144,'TL04'!$J$238:$J$451),0),
IF('TL05'!$B$3=J$3,SUMIF('TL05'!$C$10:$C$224,$C144,'TL05'!$J$10:$J$224),0),
IF('TL05'!$B$229=J$3,SUMIF('TL05'!$C$238:$C$451,$C144,'TL05'!$J$238:$J$451),0),
IF('TL06'!$B$3=J$3,SUMIF('TL06'!$C$10:$C$224,$C144,'TL06'!$J$10:$J$224),0),
IF('TL06'!$B$229=J$3,SUMIF('TL06'!$C$238:$C$451,$C144,'TL06'!$J$238:$J$451),0),
IF('TL07'!$B$3=J$3,SUMIF('TL07'!$C$10:$C$224,$C144,'TL07'!$J$10:$J$224),0),
IF('TL07'!$B$229=J$3,SUMIF('TL07'!$C$238:$C$451,$C144,'TL07'!$J$238:$J$451),0),
IF('TL08'!$B$3=J$3,SUMIF('TL08'!$C$10:$C$224,$C144,'TL08'!$J$10:$J$224),0),
IF('TL08'!$B$229=J$3,SUMIF('TL08'!$C$238:$C$451,$C144,'TL08'!$J$238:$J$451),0),
IF('TL09'!$B$3=J$3,SUMIF('TL09'!$C$10:$C$224,$C144,'TL09'!$J$10:$J$224),0),
IF('TL09'!$B$229=J$3,SUMIF('TL09'!$C$238:$C$451,$C144,'TL09'!$J$238:$J$451),0),
IF('TL10'!$B$3=J$3,SUMIF('TL10'!$C$10:$C$224,$C144,'TL10'!$J$10:$J$224),0),
IF('TL10'!$B$229=J$3,SUMIF('TL10'!$C$238:$C$451,$C144,'TL10'!$J$238:$J$451),0),
IF('TL11'!$B$3=J$3,SUMIF('TL11'!$C$10:$C$224,$C144,'TL11'!$J$10:$J$224),0),
IF('TL11'!$B$229=J$3,SUMIF('TL11'!$C$238:$C$451,$C144,'TL11'!$J$238:$J$451),0),
IF('TL12'!$B$3=J$3,SUMIF('TL12'!$C$10:$C$224,$C144,'TL12'!$J$10:$J$224),0),
IF('TL12'!$B$229=J$3,SUMIF('TL12'!$C$238:$C$451,$C144,'TL12'!$J$238:$J$451),0),
IF('TL13'!$B$3=J$3,SUMIF('TL13'!$C$10:$C$224,$C144,'TL13'!$J$10:$J$224),0),
IF('TL13'!$B$229=J$3,SUMIF('TL13'!$C$238:$C$451,$C144,'TL13'!$J$238:$J$451),0),
IF('TL14'!$B$3=J$3,SUMIF('TL14'!$C$10:$C$224,$C144,'TL14'!$J$10:$J$224),0),
IF('TL14'!$B$229=J$3,SUMIF('TL14'!$C$238:$C$451,$C144,'TL14'!$J$238:$J$451),0),
IF('TL15'!$B$3=J$3,SUMIF('TL15'!$C$10:$C$224,$C144,'TL15'!$J$10:$J$224),0),
IF('TL15'!$B$229=J$3,SUMIF('TL15'!$C$238:$C$451,$C144,'TL15'!$J$238:$J$451),0),
IF('TL16'!$B$3=J$3,SUMIF('TL16'!$C$10:$C$224,$C144,'TL16'!$J$10:$J$224),0),
IF('TL16'!$B$229=J$3,SUMIF('TL16'!$C$238:$C$451,$C144,'TL16'!$J$238:$J$451),0),
IF('TL17'!$B$3=J$3,SUMIF('TL17'!$C$10:$C$224,$C144,'TL17'!$J$10:$J$224),0),
IF('TL17'!$B$229=J$3,SUMIF('TL17'!$C$238:$C$451,$C144,'TL17'!$J$238:$J$451),0),
IF('TL18'!$B$3=J$3,SUMIF('TL18'!$C$10:$C$224,$C144,'TL18'!$J$10:$J$224),0),
IF('TL18'!$B$229=J$3,SUMIF('TL18'!$C$238:$C$451,$C144,'TL18'!$J$238:$J$451),0),
IF('TL19'!$B$3=J$3,SUMIF('TL19'!$C$10:$C$224,$C144,'TL19'!$J$10:$J$224),0),
IF('TL19'!$B$229=J$3,SUMIF('TL19'!$C$238:$C$451,$C144,'TL19'!$J$238:$J$451),0)
),0)</f>
        <v>0</v>
      </c>
      <c r="K144" s="9">
        <f>IFERROR(SUM(
IF('TL01'!$B$3=K$3,SUMIF('TL01'!$C$10:$C$224,$C144,'TL01'!$J$10:$J$224),0),
IF('TL01'!$B$229=K$3,SUMIF('TL01'!$C$238:$C$451,$C144,'TL01'!$J$238:$J$451),0),
IF('TL02'!$B$3=K$3,SUMIF('TL02'!$C$10:$C$224,$C144,'TL02'!$J$10:$J$224),0),
IF('TL02'!$B$229=K$3,SUMIF('TL02'!$C$238:$C$451,$C144,'TL02'!$J$238:$J$451),0),
IF('TL03'!$B$3=K$3,SUMIF('TL03'!$C$10:$C$224,$C144,'TL03'!$J$10:$J$224),0),
IF('TL03'!$B$229=K$3,SUMIF('TL03'!$C$238:$C$451,$C144,'TL03'!$J$238:$J$451),0),
IF('TL04'!$B$3=K$3,SUMIF('TL04'!$C$10:$C$224,$C144,'TL04'!$J$10:$J$224),0),
IF('TL04'!$B$229=K$3,SUMIF('TL04'!$C$238:$C$451,$C144,'TL04'!$J$238:$J$451),0),
IF('TL05'!$B$3=K$3,SUMIF('TL05'!$C$10:$C$224,$C144,'TL05'!$J$10:$J$224),0),
IF('TL05'!$B$229=K$3,SUMIF('TL05'!$C$238:$C$451,$C144,'TL05'!$J$238:$J$451),0),
IF('TL06'!$B$3=K$3,SUMIF('TL06'!$C$10:$C$224,$C144,'TL06'!$J$10:$J$224),0),
IF('TL06'!$B$229=K$3,SUMIF('TL06'!$C$238:$C$451,$C144,'TL06'!$J$238:$J$451),0),
IF('TL07'!$B$3=K$3,SUMIF('TL07'!$C$10:$C$224,$C144,'TL07'!$J$10:$J$224),0),
IF('TL07'!$B$229=K$3,SUMIF('TL07'!$C$238:$C$451,$C144,'TL07'!$J$238:$J$451),0),
IF('TL08'!$B$3=K$3,SUMIF('TL08'!$C$10:$C$224,$C144,'TL08'!$J$10:$J$224),0),
IF('TL08'!$B$229=K$3,SUMIF('TL08'!$C$238:$C$451,$C144,'TL08'!$J$238:$J$451),0),
IF('TL09'!$B$3=K$3,SUMIF('TL09'!$C$10:$C$224,$C144,'TL09'!$J$10:$J$224),0),
IF('TL09'!$B$229=K$3,SUMIF('TL09'!$C$238:$C$451,$C144,'TL09'!$J$238:$J$451),0),
IF('TL10'!$B$3=K$3,SUMIF('TL10'!$C$10:$C$224,$C144,'TL10'!$J$10:$J$224),0),
IF('TL10'!$B$229=K$3,SUMIF('TL10'!$C$238:$C$451,$C144,'TL10'!$J$238:$J$451),0),
IF('TL11'!$B$3=K$3,SUMIF('TL11'!$C$10:$C$224,$C144,'TL11'!$J$10:$J$224),0),
IF('TL11'!$B$229=K$3,SUMIF('TL11'!$C$238:$C$451,$C144,'TL11'!$J$238:$J$451),0),
IF('TL12'!$B$3=K$3,SUMIF('TL12'!$C$10:$C$224,$C144,'TL12'!$J$10:$J$224),0),
IF('TL12'!$B$229=K$3,SUMIF('TL12'!$C$238:$C$451,$C144,'TL12'!$J$238:$J$451),0),
IF('TL13'!$B$3=K$3,SUMIF('TL13'!$C$10:$C$224,$C144,'TL13'!$J$10:$J$224),0),
IF('TL13'!$B$229=K$3,SUMIF('TL13'!$C$238:$C$451,$C144,'TL13'!$J$238:$J$451),0),
IF('TL14'!$B$3=K$3,SUMIF('TL14'!$C$10:$C$224,$C144,'TL14'!$J$10:$J$224),0),
IF('TL14'!$B$229=K$3,SUMIF('TL14'!$C$238:$C$451,$C144,'TL14'!$J$238:$J$451),0),
IF('TL15'!$B$3=K$3,SUMIF('TL15'!$C$10:$C$224,$C144,'TL15'!$J$10:$J$224),0),
IF('TL15'!$B$229=K$3,SUMIF('TL15'!$C$238:$C$451,$C144,'TL15'!$J$238:$J$451),0),
IF('TL16'!$B$3=K$3,SUMIF('TL16'!$C$10:$C$224,$C144,'TL16'!$J$10:$J$224),0),
IF('TL16'!$B$229=K$3,SUMIF('TL16'!$C$238:$C$451,$C144,'TL16'!$J$238:$J$451),0),
IF('TL17'!$B$3=K$3,SUMIF('TL17'!$C$10:$C$224,$C144,'TL17'!$J$10:$J$224),0),
IF('TL17'!$B$229=K$3,SUMIF('TL17'!$C$238:$C$451,$C144,'TL17'!$J$238:$J$451),0),
IF('TL18'!$B$3=K$3,SUMIF('TL18'!$C$10:$C$224,$C144,'TL18'!$J$10:$J$224),0),
IF('TL18'!$B$229=K$3,SUMIF('TL18'!$C$238:$C$451,$C144,'TL18'!$J$238:$J$451),0),
IF('TL19'!$B$3=K$3,SUMIF('TL19'!$C$10:$C$224,$C144,'TL19'!$J$10:$J$224),0),
IF('TL19'!$B$229=K$3,SUMIF('TL19'!$C$238:$C$451,$C144,'TL19'!$J$238:$J$451),0)
),0)</f>
        <v>300</v>
      </c>
      <c r="L144" s="9">
        <f>IFERROR(SUM(
IF('TL01'!$B$3=L$3,SUMIF('TL01'!$C$10:$C$224,$C144,'TL01'!$J$10:$J$224),0),
IF('TL01'!$B$229=L$3,SUMIF('TL01'!$C$238:$C$451,$C144,'TL01'!$J$238:$J$451),0),
IF('TL02'!$B$3=L$3,SUMIF('TL02'!$C$10:$C$224,$C144,'TL02'!$J$10:$J$224),0),
IF('TL02'!$B$229=L$3,SUMIF('TL02'!$C$238:$C$451,$C144,'TL02'!$J$238:$J$451),0),
IF('TL03'!$B$3=L$3,SUMIF('TL03'!$C$10:$C$224,$C144,'TL03'!$J$10:$J$224),0),
IF('TL03'!$B$229=L$3,SUMIF('TL03'!$C$238:$C$451,$C144,'TL03'!$J$238:$J$451),0),
IF('TL04'!$B$3=L$3,SUMIF('TL04'!$C$10:$C$224,$C144,'TL04'!$J$10:$J$224),0),
IF('TL04'!$B$229=L$3,SUMIF('TL04'!$C$238:$C$451,$C144,'TL04'!$J$238:$J$451),0),
IF('TL05'!$B$3=L$3,SUMIF('TL05'!$C$10:$C$224,$C144,'TL05'!$J$10:$J$224),0),
IF('TL05'!$B$229=L$3,SUMIF('TL05'!$C$238:$C$451,$C144,'TL05'!$J$238:$J$451),0),
IF('TL06'!$B$3=L$3,SUMIF('TL06'!$C$10:$C$224,$C144,'TL06'!$J$10:$J$224),0),
IF('TL06'!$B$229=L$3,SUMIF('TL06'!$C$238:$C$451,$C144,'TL06'!$J$238:$J$451),0),
IF('TL07'!$B$3=L$3,SUMIF('TL07'!$C$10:$C$224,$C144,'TL07'!$J$10:$J$224),0),
IF('TL07'!$B$229=L$3,SUMIF('TL07'!$C$238:$C$451,$C144,'TL07'!$J$238:$J$451),0),
IF('TL08'!$B$3=L$3,SUMIF('TL08'!$C$10:$C$224,$C144,'TL08'!$J$10:$J$224),0),
IF('TL08'!$B$229=L$3,SUMIF('TL08'!$C$238:$C$451,$C144,'TL08'!$J$238:$J$451),0),
IF('TL09'!$B$3=L$3,SUMIF('TL09'!$C$10:$C$224,$C144,'TL09'!$J$10:$J$224),0),
IF('TL09'!$B$229=L$3,SUMIF('TL09'!$C$238:$C$451,$C144,'TL09'!$J$238:$J$451),0),
IF('TL10'!$B$3=L$3,SUMIF('TL10'!$C$10:$C$224,$C144,'TL10'!$J$10:$J$224),0),
IF('TL10'!$B$229=L$3,SUMIF('TL10'!$C$238:$C$451,$C144,'TL10'!$J$238:$J$451),0),
IF('TL11'!$B$3=L$3,SUMIF('TL11'!$C$10:$C$224,$C144,'TL11'!$J$10:$J$224),0),
IF('TL11'!$B$229=L$3,SUMIF('TL11'!$C$238:$C$451,$C144,'TL11'!$J$238:$J$451),0),
IF('TL12'!$B$3=L$3,SUMIF('TL12'!$C$10:$C$224,$C144,'TL12'!$J$10:$J$224),0),
IF('TL12'!$B$229=L$3,SUMIF('TL12'!$C$238:$C$451,$C144,'TL12'!$J$238:$J$451),0),
IF('TL13'!$B$3=L$3,SUMIF('TL13'!$C$10:$C$224,$C144,'TL13'!$J$10:$J$224),0),
IF('TL13'!$B$229=L$3,SUMIF('TL13'!$C$238:$C$451,$C144,'TL13'!$J$238:$J$451),0),
IF('TL14'!$B$3=L$3,SUMIF('TL14'!$C$10:$C$224,$C144,'TL14'!$J$10:$J$224),0),
IF('TL14'!$B$229=L$3,SUMIF('TL14'!$C$238:$C$451,$C144,'TL14'!$J$238:$J$451),0),
IF('TL15'!$B$3=L$3,SUMIF('TL15'!$C$10:$C$224,$C144,'TL15'!$J$10:$J$224),0),
IF('TL15'!$B$229=L$3,SUMIF('TL15'!$C$238:$C$451,$C144,'TL15'!$J$238:$J$451),0),
IF('TL16'!$B$3=L$3,SUMIF('TL16'!$C$10:$C$224,$C144,'TL16'!$J$10:$J$224),0),
IF('TL16'!$B$229=L$3,SUMIF('TL16'!$C$238:$C$451,$C144,'TL16'!$J$238:$J$451),0),
IF('TL17'!$B$3=L$3,SUMIF('TL17'!$C$10:$C$224,$C144,'TL17'!$J$10:$J$224),0),
IF('TL17'!$B$229=L$3,SUMIF('TL17'!$C$238:$C$451,$C144,'TL17'!$J$238:$J$451),0),
IF('TL18'!$B$3=L$3,SUMIF('TL18'!$C$10:$C$224,$C144,'TL18'!$J$10:$J$224),0),
IF('TL18'!$B$229=L$3,SUMIF('TL18'!$C$238:$C$451,$C144,'TL18'!$J$238:$J$451),0),
IF('TL19'!$B$3=L$3,SUMIF('TL19'!$C$10:$C$224,$C144,'TL19'!$J$10:$J$224),0),
IF('TL19'!$B$229=L$3,SUMIF('TL19'!$C$238:$C$451,$C144,'TL19'!$J$238:$J$451),0)
),0)</f>
        <v>0</v>
      </c>
      <c r="M144" s="9">
        <f>IFERROR(SUM(
IF('TL01'!$B$3=M$3,SUMIF('TL01'!$C$10:$C$224,$C144,'TL01'!$J$10:$J$224),0),
IF('TL01'!$B$229=M$3,SUMIF('TL01'!$C$238:$C$451,$C144,'TL01'!$J$238:$J$451),0),
IF('TL02'!$B$3=M$3,SUMIF('TL02'!$C$10:$C$224,$C144,'TL02'!$J$10:$J$224),0),
IF('TL02'!$B$229=M$3,SUMIF('TL02'!$C$238:$C$451,$C144,'TL02'!$J$238:$J$451),0),
IF('TL03'!$B$3=M$3,SUMIF('TL03'!$C$10:$C$224,$C144,'TL03'!$J$10:$J$224),0),
IF('TL03'!$B$229=M$3,SUMIF('TL03'!$C$238:$C$451,$C144,'TL03'!$J$238:$J$451),0),
IF('TL04'!$B$3=M$3,SUMIF('TL04'!$C$10:$C$224,$C144,'TL04'!$J$10:$J$224),0),
IF('TL04'!$B$229=M$3,SUMIF('TL04'!$C$238:$C$451,$C144,'TL04'!$J$238:$J$451),0),
IF('TL05'!$B$3=M$3,SUMIF('TL05'!$C$10:$C$224,$C144,'TL05'!$J$10:$J$224),0),
IF('TL05'!$B$229=M$3,SUMIF('TL05'!$C$238:$C$451,$C144,'TL05'!$J$238:$J$451),0),
IF('TL06'!$B$3=M$3,SUMIF('TL06'!$C$10:$C$224,$C144,'TL06'!$J$10:$J$224),0),
IF('TL06'!$B$229=M$3,SUMIF('TL06'!$C$238:$C$451,$C144,'TL06'!$J$238:$J$451),0),
IF('TL07'!$B$3=M$3,SUMIF('TL07'!$C$10:$C$224,$C144,'TL07'!$J$10:$J$224),0),
IF('TL07'!$B$229=M$3,SUMIF('TL07'!$C$238:$C$451,$C144,'TL07'!$J$238:$J$451),0),
IF('TL08'!$B$3=M$3,SUMIF('TL08'!$C$10:$C$224,$C144,'TL08'!$J$10:$J$224),0),
IF('TL08'!$B$229=M$3,SUMIF('TL08'!$C$238:$C$451,$C144,'TL08'!$J$238:$J$451),0),
IF('TL09'!$B$3=M$3,SUMIF('TL09'!$C$10:$C$224,$C144,'TL09'!$J$10:$J$224),0),
IF('TL09'!$B$229=M$3,SUMIF('TL09'!$C$238:$C$451,$C144,'TL09'!$J$238:$J$451),0),
IF('TL10'!$B$3=M$3,SUMIF('TL10'!$C$10:$C$224,$C144,'TL10'!$J$10:$J$224),0),
IF('TL10'!$B$229=M$3,SUMIF('TL10'!$C$238:$C$451,$C144,'TL10'!$J$238:$J$451),0),
IF('TL11'!$B$3=M$3,SUMIF('TL11'!$C$10:$C$224,$C144,'TL11'!$J$10:$J$224),0),
IF('TL11'!$B$229=M$3,SUMIF('TL11'!$C$238:$C$451,$C144,'TL11'!$J$238:$J$451),0),
IF('TL12'!$B$3=M$3,SUMIF('TL12'!$C$10:$C$224,$C144,'TL12'!$J$10:$J$224),0),
IF('TL12'!$B$229=M$3,SUMIF('TL12'!$C$238:$C$451,$C144,'TL12'!$J$238:$J$451),0),
IF('TL13'!$B$3=M$3,SUMIF('TL13'!$C$10:$C$224,$C144,'TL13'!$J$10:$J$224),0),
IF('TL13'!$B$229=M$3,SUMIF('TL13'!$C$238:$C$451,$C144,'TL13'!$J$238:$J$451),0),
IF('TL14'!$B$3=M$3,SUMIF('TL14'!$C$10:$C$224,$C144,'TL14'!$J$10:$J$224),0),
IF('TL14'!$B$229=M$3,SUMIF('TL14'!$C$238:$C$451,$C144,'TL14'!$J$238:$J$451),0),
IF('TL15'!$B$3=M$3,SUMIF('TL15'!$C$10:$C$224,$C144,'TL15'!$J$10:$J$224),0),
IF('TL15'!$B$229=M$3,SUMIF('TL15'!$C$238:$C$451,$C144,'TL15'!$J$238:$J$451),0),
IF('TL16'!$B$3=M$3,SUMIF('TL16'!$C$10:$C$224,$C144,'TL16'!$J$10:$J$224),0),
IF('TL16'!$B$229=M$3,SUMIF('TL16'!$C$238:$C$451,$C144,'TL16'!$J$238:$J$451),0),
IF('TL17'!$B$3=M$3,SUMIF('TL17'!$C$10:$C$224,$C144,'TL17'!$J$10:$J$224),0),
IF('TL17'!$B$229=M$3,SUMIF('TL17'!$C$238:$C$451,$C144,'TL17'!$J$238:$J$451),0),
IF('TL18'!$B$3=M$3,SUMIF('TL18'!$C$10:$C$224,$C144,'TL18'!$J$10:$J$224),0),
IF('TL18'!$B$229=M$3,SUMIF('TL18'!$C$238:$C$451,$C144,'TL18'!$J$238:$J$451),0),
IF('TL19'!$B$3=M$3,SUMIF('TL19'!$C$10:$C$224,$C144,'TL19'!$J$10:$J$224),0),
IF('TL19'!$B$229=M$3,SUMIF('TL19'!$C$238:$C$451,$C144,'TL19'!$J$238:$J$451),0)
),0)</f>
        <v>0</v>
      </c>
      <c r="N144" s="9">
        <f>IFERROR(SUM(
IF('TL01'!$B$3=N$3,SUMIF('TL01'!$C$10:$C$224,$C144,'TL01'!$J$10:$J$224),0),
IF('TL01'!$B$229=N$3,SUMIF('TL01'!$C$238:$C$451,$C144,'TL01'!$J$238:$J$451),0),
IF('TL02'!$B$3=N$3,SUMIF('TL02'!$C$10:$C$224,$C144,'TL02'!$J$10:$J$224),0),
IF('TL02'!$B$229=N$3,SUMIF('TL02'!$C$238:$C$451,$C144,'TL02'!$J$238:$J$451),0),
IF('TL03'!$B$3=N$3,SUMIF('TL03'!$C$10:$C$224,$C144,'TL03'!$J$10:$J$224),0),
IF('TL03'!$B$229=N$3,SUMIF('TL03'!$C$238:$C$451,$C144,'TL03'!$J$238:$J$451),0),
IF('TL04'!$B$3=N$3,SUMIF('TL04'!$C$10:$C$224,$C144,'TL04'!$J$10:$J$224),0),
IF('TL04'!$B$229=N$3,SUMIF('TL04'!$C$238:$C$451,$C144,'TL04'!$J$238:$J$451),0),
IF('TL05'!$B$3=N$3,SUMIF('TL05'!$C$10:$C$224,$C144,'TL05'!$J$10:$J$224),0),
IF('TL05'!$B$229=N$3,SUMIF('TL05'!$C$238:$C$451,$C144,'TL05'!$J$238:$J$451),0),
IF('TL06'!$B$3=N$3,SUMIF('TL06'!$C$10:$C$224,$C144,'TL06'!$J$10:$J$224),0),
IF('TL06'!$B$229=N$3,SUMIF('TL06'!$C$238:$C$451,$C144,'TL06'!$J$238:$J$451),0),
IF('TL07'!$B$3=N$3,SUMIF('TL07'!$C$10:$C$224,$C144,'TL07'!$J$10:$J$224),0),
IF('TL07'!$B$229=N$3,SUMIF('TL07'!$C$238:$C$451,$C144,'TL07'!$J$238:$J$451),0),
IF('TL08'!$B$3=N$3,SUMIF('TL08'!$C$10:$C$224,$C144,'TL08'!$J$10:$J$224),0),
IF('TL08'!$B$229=N$3,SUMIF('TL08'!$C$238:$C$451,$C144,'TL08'!$J$238:$J$451),0),
IF('TL09'!$B$3=N$3,SUMIF('TL09'!$C$10:$C$224,$C144,'TL09'!$J$10:$J$224),0),
IF('TL09'!$B$229=N$3,SUMIF('TL09'!$C$238:$C$451,$C144,'TL09'!$J$238:$J$451),0),
IF('TL10'!$B$3=N$3,SUMIF('TL10'!$C$10:$C$224,$C144,'TL10'!$J$10:$J$224),0),
IF('TL10'!$B$229=N$3,SUMIF('TL10'!$C$238:$C$451,$C144,'TL10'!$J$238:$J$451),0),
IF('TL11'!$B$3=N$3,SUMIF('TL11'!$C$10:$C$224,$C144,'TL11'!$J$10:$J$224),0),
IF('TL11'!$B$229=N$3,SUMIF('TL11'!$C$238:$C$451,$C144,'TL11'!$J$238:$J$451),0),
IF('TL12'!$B$3=N$3,SUMIF('TL12'!$C$10:$C$224,$C144,'TL12'!$J$10:$J$224),0),
IF('TL12'!$B$229=N$3,SUMIF('TL12'!$C$238:$C$451,$C144,'TL12'!$J$238:$J$451),0),
IF('TL13'!$B$3=N$3,SUMIF('TL13'!$C$10:$C$224,$C144,'TL13'!$J$10:$J$224),0),
IF('TL13'!$B$229=N$3,SUMIF('TL13'!$C$238:$C$451,$C144,'TL13'!$J$238:$J$451),0),
IF('TL14'!$B$3=N$3,SUMIF('TL14'!$C$10:$C$224,$C144,'TL14'!$J$10:$J$224),0),
IF('TL14'!$B$229=N$3,SUMIF('TL14'!$C$238:$C$451,$C144,'TL14'!$J$238:$J$451),0),
IF('TL15'!$B$3=N$3,SUMIF('TL15'!$C$10:$C$224,$C144,'TL15'!$J$10:$J$224),0),
IF('TL15'!$B$229=N$3,SUMIF('TL15'!$C$238:$C$451,$C144,'TL15'!$J$238:$J$451),0),
IF('TL16'!$B$3=N$3,SUMIF('TL16'!$C$10:$C$224,$C144,'TL16'!$J$10:$J$224),0),
IF('TL16'!$B$229=N$3,SUMIF('TL16'!$C$238:$C$451,$C144,'TL16'!$J$238:$J$451),0),
IF('TL17'!$B$3=N$3,SUMIF('TL17'!$C$10:$C$224,$C144,'TL17'!$J$10:$J$224),0),
IF('TL17'!$B$229=N$3,SUMIF('TL17'!$C$238:$C$451,$C144,'TL17'!$J$238:$J$451),0),
IF('TL18'!$B$3=N$3,SUMIF('TL18'!$C$10:$C$224,$C144,'TL18'!$J$10:$J$224),0),
IF('TL18'!$B$229=N$3,SUMIF('TL18'!$C$238:$C$451,$C144,'TL18'!$J$238:$J$451),0),
IF('TL19'!$B$3=N$3,SUMIF('TL19'!$C$10:$C$224,$C144,'TL19'!$J$10:$J$224),0),
IF('TL19'!$B$229=N$3,SUMIF('TL19'!$C$238:$C$451,$C144,'TL19'!$J$238:$J$451),0)
),0)</f>
        <v>0</v>
      </c>
      <c r="O144" s="9">
        <f>IFERROR(SUM(
IF('TL01'!$B$3=O$3,SUMIF('TL01'!$C$10:$C$224,$C144,'TL01'!$J$10:$J$224),0),
IF('TL01'!$B$229=O$3,SUMIF('TL01'!$C$238:$C$451,$C144,'TL01'!$J$238:$J$451),0),
IF('TL02'!$B$3=O$3,SUMIF('TL02'!$C$10:$C$224,$C144,'TL02'!$J$10:$J$224),0),
IF('TL02'!$B$229=O$3,SUMIF('TL02'!$C$238:$C$451,$C144,'TL02'!$J$238:$J$451),0),
IF('TL03'!$B$3=O$3,SUMIF('TL03'!$C$10:$C$224,$C144,'TL03'!$J$10:$J$224),0),
IF('TL03'!$B$229=O$3,SUMIF('TL03'!$C$238:$C$451,$C144,'TL03'!$J$238:$J$451),0),
IF('TL04'!$B$3=O$3,SUMIF('TL04'!$C$10:$C$224,$C144,'TL04'!$J$10:$J$224),0),
IF('TL04'!$B$229=O$3,SUMIF('TL04'!$C$238:$C$451,$C144,'TL04'!$J$238:$J$451),0),
IF('TL05'!$B$3=O$3,SUMIF('TL05'!$C$10:$C$224,$C144,'TL05'!$J$10:$J$224),0),
IF('TL05'!$B$229=O$3,SUMIF('TL05'!$C$238:$C$451,$C144,'TL05'!$J$238:$J$451),0),
IF('TL06'!$B$3=O$3,SUMIF('TL06'!$C$10:$C$224,$C144,'TL06'!$J$10:$J$224),0),
IF('TL06'!$B$229=O$3,SUMIF('TL06'!$C$238:$C$451,$C144,'TL06'!$J$238:$J$451),0),
IF('TL07'!$B$3=O$3,SUMIF('TL07'!$C$10:$C$224,$C144,'TL07'!$J$10:$J$224),0),
IF('TL07'!$B$229=O$3,SUMIF('TL07'!$C$238:$C$451,$C144,'TL07'!$J$238:$J$451),0),
IF('TL08'!$B$3=O$3,SUMIF('TL08'!$C$10:$C$224,$C144,'TL08'!$J$10:$J$224),0),
IF('TL08'!$B$229=O$3,SUMIF('TL08'!$C$238:$C$451,$C144,'TL08'!$J$238:$J$451),0),
IF('TL09'!$B$3=O$3,SUMIF('TL09'!$C$10:$C$224,$C144,'TL09'!$J$10:$J$224),0),
IF('TL09'!$B$229=O$3,SUMIF('TL09'!$C$238:$C$451,$C144,'TL09'!$J$238:$J$451),0),
IF('TL10'!$B$3=O$3,SUMIF('TL10'!$C$10:$C$224,$C144,'TL10'!$J$10:$J$224),0),
IF('TL10'!$B$229=O$3,SUMIF('TL10'!$C$238:$C$451,$C144,'TL10'!$J$238:$J$451),0),
IF('TL11'!$B$3=O$3,SUMIF('TL11'!$C$10:$C$224,$C144,'TL11'!$J$10:$J$224),0),
IF('TL11'!$B$229=O$3,SUMIF('TL11'!$C$238:$C$451,$C144,'TL11'!$J$238:$J$451),0),
IF('TL12'!$B$3=O$3,SUMIF('TL12'!$C$10:$C$224,$C144,'TL12'!$J$10:$J$224),0),
IF('TL12'!$B$229=O$3,SUMIF('TL12'!$C$238:$C$451,$C144,'TL12'!$J$238:$J$451),0),
IF('TL13'!$B$3=O$3,SUMIF('TL13'!$C$10:$C$224,$C144,'TL13'!$J$10:$J$224),0),
IF('TL13'!$B$229=O$3,SUMIF('TL13'!$C$238:$C$451,$C144,'TL13'!$J$238:$J$451),0),
IF('TL14'!$B$3=O$3,SUMIF('TL14'!$C$10:$C$224,$C144,'TL14'!$J$10:$J$224),0),
IF('TL14'!$B$229=O$3,SUMIF('TL14'!$C$238:$C$451,$C144,'TL14'!$J$238:$J$451),0),
IF('TL15'!$B$3=O$3,SUMIF('TL15'!$C$10:$C$224,$C144,'TL15'!$J$10:$J$224),0),
IF('TL15'!$B$229=O$3,SUMIF('TL15'!$C$238:$C$451,$C144,'TL15'!$J$238:$J$451),0),
IF('TL16'!$B$3=O$3,SUMIF('TL16'!$C$10:$C$224,$C144,'TL16'!$J$10:$J$224),0),
IF('TL16'!$B$229=O$3,SUMIF('TL16'!$C$238:$C$451,$C144,'TL16'!$J$238:$J$451),0),
IF('TL17'!$B$3=O$3,SUMIF('TL17'!$C$10:$C$224,$C144,'TL17'!$J$10:$J$224),0),
IF('TL17'!$B$229=O$3,SUMIF('TL17'!$C$238:$C$451,$C144,'TL17'!$J$238:$J$451),0),
IF('TL18'!$B$3=O$3,SUMIF('TL18'!$C$10:$C$224,$C144,'TL18'!$J$10:$J$224),0),
IF('TL18'!$B$229=O$3,SUMIF('TL18'!$C$238:$C$451,$C144,'TL18'!$J$238:$J$451),0),
IF('TL19'!$B$3=O$3,SUMIF('TL19'!$C$10:$C$224,$C144,'TL19'!$J$10:$J$224),0),
IF('TL19'!$B$229=O$3,SUMIF('TL19'!$C$238:$C$451,$C144,'TL19'!$J$238:$J$451),0)
),0)</f>
        <v>0</v>
      </c>
      <c r="P144" s="9">
        <f>IFERROR(SUM(
IF('TL01'!$B$3=P$3,SUMIF('TL01'!$C$10:$C$224,$C144,'TL01'!$J$10:$J$224),0),
IF('TL01'!$B$229=P$3,SUMIF('TL01'!$C$238:$C$451,$C144,'TL01'!$J$238:$J$451),0),
IF('TL02'!$B$3=P$3,SUMIF('TL02'!$C$10:$C$224,$C144,'TL02'!$J$10:$J$224),0),
IF('TL02'!$B$229=P$3,SUMIF('TL02'!$C$238:$C$451,$C144,'TL02'!$J$238:$J$451),0),
IF('TL03'!$B$3=P$3,SUMIF('TL03'!$C$10:$C$224,$C144,'TL03'!$J$10:$J$224),0),
IF('TL03'!$B$229=P$3,SUMIF('TL03'!$C$238:$C$451,$C144,'TL03'!$J$238:$J$451),0),
IF('TL04'!$B$3=P$3,SUMIF('TL04'!$C$10:$C$224,$C144,'TL04'!$J$10:$J$224),0),
IF('TL04'!$B$229=P$3,SUMIF('TL04'!$C$238:$C$451,$C144,'TL04'!$J$238:$J$451),0),
IF('TL05'!$B$3=P$3,SUMIF('TL05'!$C$10:$C$224,$C144,'TL05'!$J$10:$J$224),0),
IF('TL05'!$B$229=P$3,SUMIF('TL05'!$C$238:$C$451,$C144,'TL05'!$J$238:$J$451),0),
IF('TL06'!$B$3=P$3,SUMIF('TL06'!$C$10:$C$224,$C144,'TL06'!$J$10:$J$224),0),
IF('TL06'!$B$229=P$3,SUMIF('TL06'!$C$238:$C$451,$C144,'TL06'!$J$238:$J$451),0),
IF('TL07'!$B$3=P$3,SUMIF('TL07'!$C$10:$C$224,$C144,'TL07'!$J$10:$J$224),0),
IF('TL07'!$B$229=P$3,SUMIF('TL07'!$C$238:$C$451,$C144,'TL07'!$J$238:$J$451),0),
IF('TL08'!$B$3=P$3,SUMIF('TL08'!$C$10:$C$224,$C144,'TL08'!$J$10:$J$224),0),
IF('TL08'!$B$229=P$3,SUMIF('TL08'!$C$238:$C$451,$C144,'TL08'!$J$238:$J$451),0),
IF('TL09'!$B$3=P$3,SUMIF('TL09'!$C$10:$C$224,$C144,'TL09'!$J$10:$J$224),0),
IF('TL09'!$B$229=P$3,SUMIF('TL09'!$C$238:$C$451,$C144,'TL09'!$J$238:$J$451),0),
IF('TL10'!$B$3=P$3,SUMIF('TL10'!$C$10:$C$224,$C144,'TL10'!$J$10:$J$224),0),
IF('TL10'!$B$229=P$3,SUMIF('TL10'!$C$238:$C$451,$C144,'TL10'!$J$238:$J$451),0),
IF('TL11'!$B$3=P$3,SUMIF('TL11'!$C$10:$C$224,$C144,'TL11'!$J$10:$J$224),0),
IF('TL11'!$B$229=P$3,SUMIF('TL11'!$C$238:$C$451,$C144,'TL11'!$J$238:$J$451),0),
IF('TL12'!$B$3=P$3,SUMIF('TL12'!$C$10:$C$224,$C144,'TL12'!$J$10:$J$224),0),
IF('TL12'!$B$229=P$3,SUMIF('TL12'!$C$238:$C$451,$C144,'TL12'!$J$238:$J$451),0),
IF('TL13'!$B$3=P$3,SUMIF('TL13'!$C$10:$C$224,$C144,'TL13'!$J$10:$J$224),0),
IF('TL13'!$B$229=P$3,SUMIF('TL13'!$C$238:$C$451,$C144,'TL13'!$J$238:$J$451),0),
IF('TL14'!$B$3=P$3,SUMIF('TL14'!$C$10:$C$224,$C144,'TL14'!$J$10:$J$224),0),
IF('TL14'!$B$229=P$3,SUMIF('TL14'!$C$238:$C$451,$C144,'TL14'!$J$238:$J$451),0),
IF('TL15'!$B$3=P$3,SUMIF('TL15'!$C$10:$C$224,$C144,'TL15'!$J$10:$J$224),0),
IF('TL15'!$B$229=P$3,SUMIF('TL15'!$C$238:$C$451,$C144,'TL15'!$J$238:$J$451),0),
IF('TL16'!$B$3=P$3,SUMIF('TL16'!$C$10:$C$224,$C144,'TL16'!$J$10:$J$224),0),
IF('TL16'!$B$229=P$3,SUMIF('TL16'!$C$238:$C$451,$C144,'TL16'!$J$238:$J$451),0),
IF('TL17'!$B$3=P$3,SUMIF('TL17'!$C$10:$C$224,$C144,'TL17'!$J$10:$J$224),0),
IF('TL17'!$B$229=P$3,SUMIF('TL17'!$C$238:$C$451,$C144,'TL17'!$J$238:$J$451),0),
IF('TL18'!$B$3=P$3,SUMIF('TL18'!$C$10:$C$224,$C144,'TL18'!$J$10:$J$224),0),
IF('TL18'!$B$229=P$3,SUMIF('TL18'!$C$238:$C$451,$C144,'TL18'!$J$238:$J$451),0),
IF('TL19'!$B$3=P$3,SUMIF('TL19'!$C$10:$C$224,$C144,'TL19'!$J$10:$J$224),0),
IF('TL19'!$B$229=P$3,SUMIF('TL19'!$C$238:$C$451,$C144,'TL19'!$J$238:$J$451),0)
),0)</f>
        <v>0</v>
      </c>
      <c r="Q144" s="9">
        <f>IFERROR(SUM(
IF('TL01'!$B$3=Q$3,SUMIF('TL01'!$C$10:$C$224,$C144,'TL01'!$J$10:$J$224),0),
IF('TL01'!$B$229=Q$3,SUMIF('TL01'!$C$238:$C$451,$C144,'TL01'!$J$238:$J$451),0),
IF('TL02'!$B$3=Q$3,SUMIF('TL02'!$C$10:$C$224,$C144,'TL02'!$J$10:$J$224),0),
IF('TL02'!$B$229=Q$3,SUMIF('TL02'!$C$238:$C$451,$C144,'TL02'!$J$238:$J$451),0),
IF('TL03'!$B$3=Q$3,SUMIF('TL03'!$C$10:$C$224,$C144,'TL03'!$J$10:$J$224),0),
IF('TL03'!$B$229=Q$3,SUMIF('TL03'!$C$238:$C$451,$C144,'TL03'!$J$238:$J$451),0),
IF('TL04'!$B$3=Q$3,SUMIF('TL04'!$C$10:$C$224,$C144,'TL04'!$J$10:$J$224),0),
IF('TL04'!$B$229=Q$3,SUMIF('TL04'!$C$238:$C$451,$C144,'TL04'!$J$238:$J$451),0),
IF('TL05'!$B$3=Q$3,SUMIF('TL05'!$C$10:$C$224,$C144,'TL05'!$J$10:$J$224),0),
IF('TL05'!$B$229=Q$3,SUMIF('TL05'!$C$238:$C$451,$C144,'TL05'!$J$238:$J$451),0),
IF('TL06'!$B$3=Q$3,SUMIF('TL06'!$C$10:$C$224,$C144,'TL06'!$J$10:$J$224),0),
IF('TL06'!$B$229=Q$3,SUMIF('TL06'!$C$238:$C$451,$C144,'TL06'!$J$238:$J$451),0),
IF('TL07'!$B$3=Q$3,SUMIF('TL07'!$C$10:$C$224,$C144,'TL07'!$J$10:$J$224),0),
IF('TL07'!$B$229=Q$3,SUMIF('TL07'!$C$238:$C$451,$C144,'TL07'!$J$238:$J$451),0),
IF('TL08'!$B$3=Q$3,SUMIF('TL08'!$C$10:$C$224,$C144,'TL08'!$J$10:$J$224),0),
IF('TL08'!$B$229=Q$3,SUMIF('TL08'!$C$238:$C$451,$C144,'TL08'!$J$238:$J$451),0),
IF('TL09'!$B$3=Q$3,SUMIF('TL09'!$C$10:$C$224,$C144,'TL09'!$J$10:$J$224),0),
IF('TL09'!$B$229=Q$3,SUMIF('TL09'!$C$238:$C$451,$C144,'TL09'!$J$238:$J$451),0),
IF('TL10'!$B$3=Q$3,SUMIF('TL10'!$C$10:$C$224,$C144,'TL10'!$J$10:$J$224),0),
IF('TL10'!$B$229=Q$3,SUMIF('TL10'!$C$238:$C$451,$C144,'TL10'!$J$238:$J$451),0),
IF('TL11'!$B$3=Q$3,SUMIF('TL11'!$C$10:$C$224,$C144,'TL11'!$J$10:$J$224),0),
IF('TL11'!$B$229=Q$3,SUMIF('TL11'!$C$238:$C$451,$C144,'TL11'!$J$238:$J$451),0),
IF('TL12'!$B$3=Q$3,SUMIF('TL12'!$C$10:$C$224,$C144,'TL12'!$J$10:$J$224),0),
IF('TL12'!$B$229=Q$3,SUMIF('TL12'!$C$238:$C$451,$C144,'TL12'!$J$238:$J$451),0),
IF('TL13'!$B$3=Q$3,SUMIF('TL13'!$C$10:$C$224,$C144,'TL13'!$J$10:$J$224),0),
IF('TL13'!$B$229=Q$3,SUMIF('TL13'!$C$238:$C$451,$C144,'TL13'!$J$238:$J$451),0),
IF('TL14'!$B$3=Q$3,SUMIF('TL14'!$C$10:$C$224,$C144,'TL14'!$J$10:$J$224),0),
IF('TL14'!$B$229=Q$3,SUMIF('TL14'!$C$238:$C$451,$C144,'TL14'!$J$238:$J$451),0),
IF('TL15'!$B$3=Q$3,SUMIF('TL15'!$C$10:$C$224,$C144,'TL15'!$J$10:$J$224),0),
IF('TL15'!$B$229=Q$3,SUMIF('TL15'!$C$238:$C$451,$C144,'TL15'!$J$238:$J$451),0),
IF('TL16'!$B$3=Q$3,SUMIF('TL16'!$C$10:$C$224,$C144,'TL16'!$J$10:$J$224),0),
IF('TL16'!$B$229=Q$3,SUMIF('TL16'!$C$238:$C$451,$C144,'TL16'!$J$238:$J$451),0),
IF('TL17'!$B$3=Q$3,SUMIF('TL17'!$C$10:$C$224,$C144,'TL17'!$J$10:$J$224),0),
IF('TL17'!$B$229=Q$3,SUMIF('TL17'!$C$238:$C$451,$C144,'TL17'!$J$238:$J$451),0),
IF('TL18'!$B$3=Q$3,SUMIF('TL18'!$C$10:$C$224,$C144,'TL18'!$J$10:$J$224),0),
IF('TL18'!$B$229=Q$3,SUMIF('TL18'!$C$238:$C$451,$C144,'TL18'!$J$238:$J$451),0),
IF('TL19'!$B$3=Q$3,SUMIF('TL19'!$C$10:$C$224,$C144,'TL19'!$J$10:$J$224),0),
IF('TL19'!$B$229=Q$3,SUMIF('TL19'!$C$238:$C$451,$C144,'TL19'!$J$238:$J$451),0)
),0)</f>
        <v>0</v>
      </c>
      <c r="R144" s="9">
        <f>IFERROR(
SUM(
SUMIF('TL01'!C:C,C144,'TL01'!J:J),
SUMIF('TL02'!C:C,C144,'TL02'!J:J),
SUMIF('TL03'!C:C,C144,'TL03'!J:J),
SUMIF('TL04'!C:C,C144,'TL04'!J:J),
SUMIF('TL05'!C:C,C144,'TL05'!J:J),
SUMIF('TL06'!C:C,C144,'TL06'!J:J),
SUMIF('TL07'!C:C,C144,'TL07'!J:J),
SUMIF('TL08'!C:C,C144,'TL08'!J:J),
SUMIF('TL09'!C:C,C144,'TL09'!J:J),
SUMIF('TL10'!C:C,C144,'TL10'!J:J),
SUMIF('TL11'!C:C,C144,'TL11'!J:J),
SUMIF('TL12'!C:C,C144,'TL12'!J:J),
SUMIF('TL13'!C:C,C144,'TL13'!J:J),
SUMIF('TL14'!C:C,C144,'TL14'!J:J),
SUMIF('TL15'!C:C,C144,'TL15'!J:J),
SUMIF('TL16'!C:C,C144,'TL16'!J:J),
SUMIF('TL17'!C:C,C144,'TL17'!J:J),
SUMIF('TL18'!C:C,C144,'TL18'!J:J),SUMIF('TL19'!C:C,C144,'TL19'!J:J))
,0)</f>
        <v>300</v>
      </c>
      <c r="S144" s="17">
        <f>IFERROR(__xludf.DUMMYFUNCTION("IFERROR(VLOOKUP(C144,
IMPORTRANGE(""1wULbzX32WdYsx-lj2U3uUNBBe2INVIRDtcK0d-Dvl90"",
""26-27!C:G""),
5,
FALSE),
"""")"),68.11117999999999)</f>
        <v>68.11118</v>
      </c>
      <c r="T144" s="118">
        <v>390.0</v>
      </c>
      <c r="U144" s="92">
        <f t="shared" si="2"/>
        <v>-90</v>
      </c>
      <c r="V144" s="93">
        <f t="shared" si="3"/>
        <v>-6130.0062</v>
      </c>
    </row>
    <row r="145" ht="15.75" hidden="1" customHeight="1">
      <c r="A145" s="111" t="s">
        <v>516</v>
      </c>
      <c r="B145" s="112" t="s">
        <v>1</v>
      </c>
      <c r="C145" s="113" t="s">
        <v>698</v>
      </c>
      <c r="D145" s="113" t="s">
        <v>699</v>
      </c>
      <c r="E145" s="113" t="s">
        <v>700</v>
      </c>
      <c r="F145" s="4" t="s">
        <v>343</v>
      </c>
      <c r="G145" s="90" t="str">
        <f t="shared" si="4"/>
        <v>📄 Ver bula</v>
      </c>
      <c r="H145" s="9" t="str">
        <f>IFERROR(__xludf.DUMMYFUNCTION("IFERROR(VLOOKUP(C145,
IMPORTRANGE(""1wULbzX32WdYsx-lj2U3uUNBBe2INVIRDtcK0d-Dvl90"",
""26-27!C:K""),
8,
FALSE),
"""")"),"")</f>
        <v/>
      </c>
      <c r="I145" s="114" t="s">
        <v>361</v>
      </c>
      <c r="J145" s="9">
        <f>IFERROR(SUM(
IF('TL01'!$B$3=J$3,SUMIF('TL01'!$C$10:$C$224,$C145,'TL01'!$J$10:$J$224),0),
IF('TL01'!$B$229=J$3,SUMIF('TL01'!$C$238:$C$451,$C145,'TL01'!$J$238:$J$451),0),
IF('TL02'!$B$3=J$3,SUMIF('TL02'!$C$10:$C$224,$C145,'TL02'!$J$10:$J$224),0),
IF('TL02'!$B$229=J$3,SUMIF('TL02'!$C$238:$C$451,$C145,'TL02'!$J$238:$J$451),0),
IF('TL03'!$B$3=J$3,SUMIF('TL03'!$C$10:$C$224,$C145,'TL03'!$J$10:$J$224),0),
IF('TL03'!$B$229=J$3,SUMIF('TL03'!$C$238:$C$451,$C145,'TL03'!$J$238:$J$451),0),
IF('TL04'!$B$3=J$3,SUMIF('TL04'!$C$10:$C$224,$C145,'TL04'!$J$10:$J$224),0),
IF('TL04'!$B$229=J$3,SUMIF('TL04'!$C$238:$C$451,$C145,'TL04'!$J$238:$J$451),0),
IF('TL05'!$B$3=J$3,SUMIF('TL05'!$C$10:$C$224,$C145,'TL05'!$J$10:$J$224),0),
IF('TL05'!$B$229=J$3,SUMIF('TL05'!$C$238:$C$451,$C145,'TL05'!$J$238:$J$451),0),
IF('TL06'!$B$3=J$3,SUMIF('TL06'!$C$10:$C$224,$C145,'TL06'!$J$10:$J$224),0),
IF('TL06'!$B$229=J$3,SUMIF('TL06'!$C$238:$C$451,$C145,'TL06'!$J$238:$J$451),0),
IF('TL07'!$B$3=J$3,SUMIF('TL07'!$C$10:$C$224,$C145,'TL07'!$J$10:$J$224),0),
IF('TL07'!$B$229=J$3,SUMIF('TL07'!$C$238:$C$451,$C145,'TL07'!$J$238:$J$451),0),
IF('TL08'!$B$3=J$3,SUMIF('TL08'!$C$10:$C$224,$C145,'TL08'!$J$10:$J$224),0),
IF('TL08'!$B$229=J$3,SUMIF('TL08'!$C$238:$C$451,$C145,'TL08'!$J$238:$J$451),0),
IF('TL09'!$B$3=J$3,SUMIF('TL09'!$C$10:$C$224,$C145,'TL09'!$J$10:$J$224),0),
IF('TL09'!$B$229=J$3,SUMIF('TL09'!$C$238:$C$451,$C145,'TL09'!$J$238:$J$451),0),
IF('TL10'!$B$3=J$3,SUMIF('TL10'!$C$10:$C$224,$C145,'TL10'!$J$10:$J$224),0),
IF('TL10'!$B$229=J$3,SUMIF('TL10'!$C$238:$C$451,$C145,'TL10'!$J$238:$J$451),0),
IF('TL11'!$B$3=J$3,SUMIF('TL11'!$C$10:$C$224,$C145,'TL11'!$J$10:$J$224),0),
IF('TL11'!$B$229=J$3,SUMIF('TL11'!$C$238:$C$451,$C145,'TL11'!$J$238:$J$451),0),
IF('TL12'!$B$3=J$3,SUMIF('TL12'!$C$10:$C$224,$C145,'TL12'!$J$10:$J$224),0),
IF('TL12'!$B$229=J$3,SUMIF('TL12'!$C$238:$C$451,$C145,'TL12'!$J$238:$J$451),0),
IF('TL13'!$B$3=J$3,SUMIF('TL13'!$C$10:$C$224,$C145,'TL13'!$J$10:$J$224),0),
IF('TL13'!$B$229=J$3,SUMIF('TL13'!$C$238:$C$451,$C145,'TL13'!$J$238:$J$451),0),
IF('TL14'!$B$3=J$3,SUMIF('TL14'!$C$10:$C$224,$C145,'TL14'!$J$10:$J$224),0),
IF('TL14'!$B$229=J$3,SUMIF('TL14'!$C$238:$C$451,$C145,'TL14'!$J$238:$J$451),0),
IF('TL15'!$B$3=J$3,SUMIF('TL15'!$C$10:$C$224,$C145,'TL15'!$J$10:$J$224),0),
IF('TL15'!$B$229=J$3,SUMIF('TL15'!$C$238:$C$451,$C145,'TL15'!$J$238:$J$451),0),
IF('TL16'!$B$3=J$3,SUMIF('TL16'!$C$10:$C$224,$C145,'TL16'!$J$10:$J$224),0),
IF('TL16'!$B$229=J$3,SUMIF('TL16'!$C$238:$C$451,$C145,'TL16'!$J$238:$J$451),0),
IF('TL17'!$B$3=J$3,SUMIF('TL17'!$C$10:$C$224,$C145,'TL17'!$J$10:$J$224),0),
IF('TL17'!$B$229=J$3,SUMIF('TL17'!$C$238:$C$451,$C145,'TL17'!$J$238:$J$451),0),
IF('TL18'!$B$3=J$3,SUMIF('TL18'!$C$10:$C$224,$C145,'TL18'!$J$10:$J$224),0),
IF('TL18'!$B$229=J$3,SUMIF('TL18'!$C$238:$C$451,$C145,'TL18'!$J$238:$J$451),0),
IF('TL19'!$B$3=J$3,SUMIF('TL19'!$C$10:$C$224,$C145,'TL19'!$J$10:$J$224),0),
IF('TL19'!$B$229=J$3,SUMIF('TL19'!$C$238:$C$451,$C145,'TL19'!$J$238:$J$451),0)
),0)</f>
        <v>0</v>
      </c>
      <c r="K145" s="9">
        <f>IFERROR(SUM(
IF('TL01'!$B$3=K$3,SUMIF('TL01'!$C$10:$C$224,$C145,'TL01'!$J$10:$J$224),0),
IF('TL01'!$B$229=K$3,SUMIF('TL01'!$C$238:$C$451,$C145,'TL01'!$J$238:$J$451),0),
IF('TL02'!$B$3=K$3,SUMIF('TL02'!$C$10:$C$224,$C145,'TL02'!$J$10:$J$224),0),
IF('TL02'!$B$229=K$3,SUMIF('TL02'!$C$238:$C$451,$C145,'TL02'!$J$238:$J$451),0),
IF('TL03'!$B$3=K$3,SUMIF('TL03'!$C$10:$C$224,$C145,'TL03'!$J$10:$J$224),0),
IF('TL03'!$B$229=K$3,SUMIF('TL03'!$C$238:$C$451,$C145,'TL03'!$J$238:$J$451),0),
IF('TL04'!$B$3=K$3,SUMIF('TL04'!$C$10:$C$224,$C145,'TL04'!$J$10:$J$224),0),
IF('TL04'!$B$229=K$3,SUMIF('TL04'!$C$238:$C$451,$C145,'TL04'!$J$238:$J$451),0),
IF('TL05'!$B$3=K$3,SUMIF('TL05'!$C$10:$C$224,$C145,'TL05'!$J$10:$J$224),0),
IF('TL05'!$B$229=K$3,SUMIF('TL05'!$C$238:$C$451,$C145,'TL05'!$J$238:$J$451),0),
IF('TL06'!$B$3=K$3,SUMIF('TL06'!$C$10:$C$224,$C145,'TL06'!$J$10:$J$224),0),
IF('TL06'!$B$229=K$3,SUMIF('TL06'!$C$238:$C$451,$C145,'TL06'!$J$238:$J$451),0),
IF('TL07'!$B$3=K$3,SUMIF('TL07'!$C$10:$C$224,$C145,'TL07'!$J$10:$J$224),0),
IF('TL07'!$B$229=K$3,SUMIF('TL07'!$C$238:$C$451,$C145,'TL07'!$J$238:$J$451),0),
IF('TL08'!$B$3=K$3,SUMIF('TL08'!$C$10:$C$224,$C145,'TL08'!$J$10:$J$224),0),
IF('TL08'!$B$229=K$3,SUMIF('TL08'!$C$238:$C$451,$C145,'TL08'!$J$238:$J$451),0),
IF('TL09'!$B$3=K$3,SUMIF('TL09'!$C$10:$C$224,$C145,'TL09'!$J$10:$J$224),0),
IF('TL09'!$B$229=K$3,SUMIF('TL09'!$C$238:$C$451,$C145,'TL09'!$J$238:$J$451),0),
IF('TL10'!$B$3=K$3,SUMIF('TL10'!$C$10:$C$224,$C145,'TL10'!$J$10:$J$224),0),
IF('TL10'!$B$229=K$3,SUMIF('TL10'!$C$238:$C$451,$C145,'TL10'!$J$238:$J$451),0),
IF('TL11'!$B$3=K$3,SUMIF('TL11'!$C$10:$C$224,$C145,'TL11'!$J$10:$J$224),0),
IF('TL11'!$B$229=K$3,SUMIF('TL11'!$C$238:$C$451,$C145,'TL11'!$J$238:$J$451),0),
IF('TL12'!$B$3=K$3,SUMIF('TL12'!$C$10:$C$224,$C145,'TL12'!$J$10:$J$224),0),
IF('TL12'!$B$229=K$3,SUMIF('TL12'!$C$238:$C$451,$C145,'TL12'!$J$238:$J$451),0),
IF('TL13'!$B$3=K$3,SUMIF('TL13'!$C$10:$C$224,$C145,'TL13'!$J$10:$J$224),0),
IF('TL13'!$B$229=K$3,SUMIF('TL13'!$C$238:$C$451,$C145,'TL13'!$J$238:$J$451),0),
IF('TL14'!$B$3=K$3,SUMIF('TL14'!$C$10:$C$224,$C145,'TL14'!$J$10:$J$224),0),
IF('TL14'!$B$229=K$3,SUMIF('TL14'!$C$238:$C$451,$C145,'TL14'!$J$238:$J$451),0),
IF('TL15'!$B$3=K$3,SUMIF('TL15'!$C$10:$C$224,$C145,'TL15'!$J$10:$J$224),0),
IF('TL15'!$B$229=K$3,SUMIF('TL15'!$C$238:$C$451,$C145,'TL15'!$J$238:$J$451),0),
IF('TL16'!$B$3=K$3,SUMIF('TL16'!$C$10:$C$224,$C145,'TL16'!$J$10:$J$224),0),
IF('TL16'!$B$229=K$3,SUMIF('TL16'!$C$238:$C$451,$C145,'TL16'!$J$238:$J$451),0),
IF('TL17'!$B$3=K$3,SUMIF('TL17'!$C$10:$C$224,$C145,'TL17'!$J$10:$J$224),0),
IF('TL17'!$B$229=K$3,SUMIF('TL17'!$C$238:$C$451,$C145,'TL17'!$J$238:$J$451),0),
IF('TL18'!$B$3=K$3,SUMIF('TL18'!$C$10:$C$224,$C145,'TL18'!$J$10:$J$224),0),
IF('TL18'!$B$229=K$3,SUMIF('TL18'!$C$238:$C$451,$C145,'TL18'!$J$238:$J$451),0),
IF('TL19'!$B$3=K$3,SUMIF('TL19'!$C$10:$C$224,$C145,'TL19'!$J$10:$J$224),0),
IF('TL19'!$B$229=K$3,SUMIF('TL19'!$C$238:$C$451,$C145,'TL19'!$J$238:$J$451),0)
),0)</f>
        <v>0</v>
      </c>
      <c r="L145" s="9">
        <f>IFERROR(SUM(
IF('TL01'!$B$3=L$3,SUMIF('TL01'!$C$10:$C$224,$C145,'TL01'!$J$10:$J$224),0),
IF('TL01'!$B$229=L$3,SUMIF('TL01'!$C$238:$C$451,$C145,'TL01'!$J$238:$J$451),0),
IF('TL02'!$B$3=L$3,SUMIF('TL02'!$C$10:$C$224,$C145,'TL02'!$J$10:$J$224),0),
IF('TL02'!$B$229=L$3,SUMIF('TL02'!$C$238:$C$451,$C145,'TL02'!$J$238:$J$451),0),
IF('TL03'!$B$3=L$3,SUMIF('TL03'!$C$10:$C$224,$C145,'TL03'!$J$10:$J$224),0),
IF('TL03'!$B$229=L$3,SUMIF('TL03'!$C$238:$C$451,$C145,'TL03'!$J$238:$J$451),0),
IF('TL04'!$B$3=L$3,SUMIF('TL04'!$C$10:$C$224,$C145,'TL04'!$J$10:$J$224),0),
IF('TL04'!$B$229=L$3,SUMIF('TL04'!$C$238:$C$451,$C145,'TL04'!$J$238:$J$451),0),
IF('TL05'!$B$3=L$3,SUMIF('TL05'!$C$10:$C$224,$C145,'TL05'!$J$10:$J$224),0),
IF('TL05'!$B$229=L$3,SUMIF('TL05'!$C$238:$C$451,$C145,'TL05'!$J$238:$J$451),0),
IF('TL06'!$B$3=L$3,SUMIF('TL06'!$C$10:$C$224,$C145,'TL06'!$J$10:$J$224),0),
IF('TL06'!$B$229=L$3,SUMIF('TL06'!$C$238:$C$451,$C145,'TL06'!$J$238:$J$451),0),
IF('TL07'!$B$3=L$3,SUMIF('TL07'!$C$10:$C$224,$C145,'TL07'!$J$10:$J$224),0),
IF('TL07'!$B$229=L$3,SUMIF('TL07'!$C$238:$C$451,$C145,'TL07'!$J$238:$J$451),0),
IF('TL08'!$B$3=L$3,SUMIF('TL08'!$C$10:$C$224,$C145,'TL08'!$J$10:$J$224),0),
IF('TL08'!$B$229=L$3,SUMIF('TL08'!$C$238:$C$451,$C145,'TL08'!$J$238:$J$451),0),
IF('TL09'!$B$3=L$3,SUMIF('TL09'!$C$10:$C$224,$C145,'TL09'!$J$10:$J$224),0),
IF('TL09'!$B$229=L$3,SUMIF('TL09'!$C$238:$C$451,$C145,'TL09'!$J$238:$J$451),0),
IF('TL10'!$B$3=L$3,SUMIF('TL10'!$C$10:$C$224,$C145,'TL10'!$J$10:$J$224),0),
IF('TL10'!$B$229=L$3,SUMIF('TL10'!$C$238:$C$451,$C145,'TL10'!$J$238:$J$451),0),
IF('TL11'!$B$3=L$3,SUMIF('TL11'!$C$10:$C$224,$C145,'TL11'!$J$10:$J$224),0),
IF('TL11'!$B$229=L$3,SUMIF('TL11'!$C$238:$C$451,$C145,'TL11'!$J$238:$J$451),0),
IF('TL12'!$B$3=L$3,SUMIF('TL12'!$C$10:$C$224,$C145,'TL12'!$J$10:$J$224),0),
IF('TL12'!$B$229=L$3,SUMIF('TL12'!$C$238:$C$451,$C145,'TL12'!$J$238:$J$451),0),
IF('TL13'!$B$3=L$3,SUMIF('TL13'!$C$10:$C$224,$C145,'TL13'!$J$10:$J$224),0),
IF('TL13'!$B$229=L$3,SUMIF('TL13'!$C$238:$C$451,$C145,'TL13'!$J$238:$J$451),0),
IF('TL14'!$B$3=L$3,SUMIF('TL14'!$C$10:$C$224,$C145,'TL14'!$J$10:$J$224),0),
IF('TL14'!$B$229=L$3,SUMIF('TL14'!$C$238:$C$451,$C145,'TL14'!$J$238:$J$451),0),
IF('TL15'!$B$3=L$3,SUMIF('TL15'!$C$10:$C$224,$C145,'TL15'!$J$10:$J$224),0),
IF('TL15'!$B$229=L$3,SUMIF('TL15'!$C$238:$C$451,$C145,'TL15'!$J$238:$J$451),0),
IF('TL16'!$B$3=L$3,SUMIF('TL16'!$C$10:$C$224,$C145,'TL16'!$J$10:$J$224),0),
IF('TL16'!$B$229=L$3,SUMIF('TL16'!$C$238:$C$451,$C145,'TL16'!$J$238:$J$451),0),
IF('TL17'!$B$3=L$3,SUMIF('TL17'!$C$10:$C$224,$C145,'TL17'!$J$10:$J$224),0),
IF('TL17'!$B$229=L$3,SUMIF('TL17'!$C$238:$C$451,$C145,'TL17'!$J$238:$J$451),0),
IF('TL18'!$B$3=L$3,SUMIF('TL18'!$C$10:$C$224,$C145,'TL18'!$J$10:$J$224),0),
IF('TL18'!$B$229=L$3,SUMIF('TL18'!$C$238:$C$451,$C145,'TL18'!$J$238:$J$451),0),
IF('TL19'!$B$3=L$3,SUMIF('TL19'!$C$10:$C$224,$C145,'TL19'!$J$10:$J$224),0),
IF('TL19'!$B$229=L$3,SUMIF('TL19'!$C$238:$C$451,$C145,'TL19'!$J$238:$J$451),0)
),0)</f>
        <v>0</v>
      </c>
      <c r="M145" s="9">
        <f>IFERROR(SUM(
IF('TL01'!$B$3=M$3,SUMIF('TL01'!$C$10:$C$224,$C145,'TL01'!$J$10:$J$224),0),
IF('TL01'!$B$229=M$3,SUMIF('TL01'!$C$238:$C$451,$C145,'TL01'!$J$238:$J$451),0),
IF('TL02'!$B$3=M$3,SUMIF('TL02'!$C$10:$C$224,$C145,'TL02'!$J$10:$J$224),0),
IF('TL02'!$B$229=M$3,SUMIF('TL02'!$C$238:$C$451,$C145,'TL02'!$J$238:$J$451),0),
IF('TL03'!$B$3=M$3,SUMIF('TL03'!$C$10:$C$224,$C145,'TL03'!$J$10:$J$224),0),
IF('TL03'!$B$229=M$3,SUMIF('TL03'!$C$238:$C$451,$C145,'TL03'!$J$238:$J$451),0),
IF('TL04'!$B$3=M$3,SUMIF('TL04'!$C$10:$C$224,$C145,'TL04'!$J$10:$J$224),0),
IF('TL04'!$B$229=M$3,SUMIF('TL04'!$C$238:$C$451,$C145,'TL04'!$J$238:$J$451),0),
IF('TL05'!$B$3=M$3,SUMIF('TL05'!$C$10:$C$224,$C145,'TL05'!$J$10:$J$224),0),
IF('TL05'!$B$229=M$3,SUMIF('TL05'!$C$238:$C$451,$C145,'TL05'!$J$238:$J$451),0),
IF('TL06'!$B$3=M$3,SUMIF('TL06'!$C$10:$C$224,$C145,'TL06'!$J$10:$J$224),0),
IF('TL06'!$B$229=M$3,SUMIF('TL06'!$C$238:$C$451,$C145,'TL06'!$J$238:$J$451),0),
IF('TL07'!$B$3=M$3,SUMIF('TL07'!$C$10:$C$224,$C145,'TL07'!$J$10:$J$224),0),
IF('TL07'!$B$229=M$3,SUMIF('TL07'!$C$238:$C$451,$C145,'TL07'!$J$238:$J$451),0),
IF('TL08'!$B$3=M$3,SUMIF('TL08'!$C$10:$C$224,$C145,'TL08'!$J$10:$J$224),0),
IF('TL08'!$B$229=M$3,SUMIF('TL08'!$C$238:$C$451,$C145,'TL08'!$J$238:$J$451),0),
IF('TL09'!$B$3=M$3,SUMIF('TL09'!$C$10:$C$224,$C145,'TL09'!$J$10:$J$224),0),
IF('TL09'!$B$229=M$3,SUMIF('TL09'!$C$238:$C$451,$C145,'TL09'!$J$238:$J$451),0),
IF('TL10'!$B$3=M$3,SUMIF('TL10'!$C$10:$C$224,$C145,'TL10'!$J$10:$J$224),0),
IF('TL10'!$B$229=M$3,SUMIF('TL10'!$C$238:$C$451,$C145,'TL10'!$J$238:$J$451),0),
IF('TL11'!$B$3=M$3,SUMIF('TL11'!$C$10:$C$224,$C145,'TL11'!$J$10:$J$224),0),
IF('TL11'!$B$229=M$3,SUMIF('TL11'!$C$238:$C$451,$C145,'TL11'!$J$238:$J$451),0),
IF('TL12'!$B$3=M$3,SUMIF('TL12'!$C$10:$C$224,$C145,'TL12'!$J$10:$J$224),0),
IF('TL12'!$B$229=M$3,SUMIF('TL12'!$C$238:$C$451,$C145,'TL12'!$J$238:$J$451),0),
IF('TL13'!$B$3=M$3,SUMIF('TL13'!$C$10:$C$224,$C145,'TL13'!$J$10:$J$224),0),
IF('TL13'!$B$229=M$3,SUMIF('TL13'!$C$238:$C$451,$C145,'TL13'!$J$238:$J$451),0),
IF('TL14'!$B$3=M$3,SUMIF('TL14'!$C$10:$C$224,$C145,'TL14'!$J$10:$J$224),0),
IF('TL14'!$B$229=M$3,SUMIF('TL14'!$C$238:$C$451,$C145,'TL14'!$J$238:$J$451),0),
IF('TL15'!$B$3=M$3,SUMIF('TL15'!$C$10:$C$224,$C145,'TL15'!$J$10:$J$224),0),
IF('TL15'!$B$229=M$3,SUMIF('TL15'!$C$238:$C$451,$C145,'TL15'!$J$238:$J$451),0),
IF('TL16'!$B$3=M$3,SUMIF('TL16'!$C$10:$C$224,$C145,'TL16'!$J$10:$J$224),0),
IF('TL16'!$B$229=M$3,SUMIF('TL16'!$C$238:$C$451,$C145,'TL16'!$J$238:$J$451),0),
IF('TL17'!$B$3=M$3,SUMIF('TL17'!$C$10:$C$224,$C145,'TL17'!$J$10:$J$224),0),
IF('TL17'!$B$229=M$3,SUMIF('TL17'!$C$238:$C$451,$C145,'TL17'!$J$238:$J$451),0),
IF('TL18'!$B$3=M$3,SUMIF('TL18'!$C$10:$C$224,$C145,'TL18'!$J$10:$J$224),0),
IF('TL18'!$B$229=M$3,SUMIF('TL18'!$C$238:$C$451,$C145,'TL18'!$J$238:$J$451),0),
IF('TL19'!$B$3=M$3,SUMIF('TL19'!$C$10:$C$224,$C145,'TL19'!$J$10:$J$224),0),
IF('TL19'!$B$229=M$3,SUMIF('TL19'!$C$238:$C$451,$C145,'TL19'!$J$238:$J$451),0)
),0)</f>
        <v>0</v>
      </c>
      <c r="N145" s="9">
        <f>IFERROR(SUM(
IF('TL01'!$B$3=N$3,SUMIF('TL01'!$C$10:$C$224,$C145,'TL01'!$J$10:$J$224),0),
IF('TL01'!$B$229=N$3,SUMIF('TL01'!$C$238:$C$451,$C145,'TL01'!$J$238:$J$451),0),
IF('TL02'!$B$3=N$3,SUMIF('TL02'!$C$10:$C$224,$C145,'TL02'!$J$10:$J$224),0),
IF('TL02'!$B$229=N$3,SUMIF('TL02'!$C$238:$C$451,$C145,'TL02'!$J$238:$J$451),0),
IF('TL03'!$B$3=N$3,SUMIF('TL03'!$C$10:$C$224,$C145,'TL03'!$J$10:$J$224),0),
IF('TL03'!$B$229=N$3,SUMIF('TL03'!$C$238:$C$451,$C145,'TL03'!$J$238:$J$451),0),
IF('TL04'!$B$3=N$3,SUMIF('TL04'!$C$10:$C$224,$C145,'TL04'!$J$10:$J$224),0),
IF('TL04'!$B$229=N$3,SUMIF('TL04'!$C$238:$C$451,$C145,'TL04'!$J$238:$J$451),0),
IF('TL05'!$B$3=N$3,SUMIF('TL05'!$C$10:$C$224,$C145,'TL05'!$J$10:$J$224),0),
IF('TL05'!$B$229=N$3,SUMIF('TL05'!$C$238:$C$451,$C145,'TL05'!$J$238:$J$451),0),
IF('TL06'!$B$3=N$3,SUMIF('TL06'!$C$10:$C$224,$C145,'TL06'!$J$10:$J$224),0),
IF('TL06'!$B$229=N$3,SUMIF('TL06'!$C$238:$C$451,$C145,'TL06'!$J$238:$J$451),0),
IF('TL07'!$B$3=N$3,SUMIF('TL07'!$C$10:$C$224,$C145,'TL07'!$J$10:$J$224),0),
IF('TL07'!$B$229=N$3,SUMIF('TL07'!$C$238:$C$451,$C145,'TL07'!$J$238:$J$451),0),
IF('TL08'!$B$3=N$3,SUMIF('TL08'!$C$10:$C$224,$C145,'TL08'!$J$10:$J$224),0),
IF('TL08'!$B$229=N$3,SUMIF('TL08'!$C$238:$C$451,$C145,'TL08'!$J$238:$J$451),0),
IF('TL09'!$B$3=N$3,SUMIF('TL09'!$C$10:$C$224,$C145,'TL09'!$J$10:$J$224),0),
IF('TL09'!$B$229=N$3,SUMIF('TL09'!$C$238:$C$451,$C145,'TL09'!$J$238:$J$451),0),
IF('TL10'!$B$3=N$3,SUMIF('TL10'!$C$10:$C$224,$C145,'TL10'!$J$10:$J$224),0),
IF('TL10'!$B$229=N$3,SUMIF('TL10'!$C$238:$C$451,$C145,'TL10'!$J$238:$J$451),0),
IF('TL11'!$B$3=N$3,SUMIF('TL11'!$C$10:$C$224,$C145,'TL11'!$J$10:$J$224),0),
IF('TL11'!$B$229=N$3,SUMIF('TL11'!$C$238:$C$451,$C145,'TL11'!$J$238:$J$451),0),
IF('TL12'!$B$3=N$3,SUMIF('TL12'!$C$10:$C$224,$C145,'TL12'!$J$10:$J$224),0),
IF('TL12'!$B$229=N$3,SUMIF('TL12'!$C$238:$C$451,$C145,'TL12'!$J$238:$J$451),0),
IF('TL13'!$B$3=N$3,SUMIF('TL13'!$C$10:$C$224,$C145,'TL13'!$J$10:$J$224),0),
IF('TL13'!$B$229=N$3,SUMIF('TL13'!$C$238:$C$451,$C145,'TL13'!$J$238:$J$451),0),
IF('TL14'!$B$3=N$3,SUMIF('TL14'!$C$10:$C$224,$C145,'TL14'!$J$10:$J$224),0),
IF('TL14'!$B$229=N$3,SUMIF('TL14'!$C$238:$C$451,$C145,'TL14'!$J$238:$J$451),0),
IF('TL15'!$B$3=N$3,SUMIF('TL15'!$C$10:$C$224,$C145,'TL15'!$J$10:$J$224),0),
IF('TL15'!$B$229=N$3,SUMIF('TL15'!$C$238:$C$451,$C145,'TL15'!$J$238:$J$451),0),
IF('TL16'!$B$3=N$3,SUMIF('TL16'!$C$10:$C$224,$C145,'TL16'!$J$10:$J$224),0),
IF('TL16'!$B$229=N$3,SUMIF('TL16'!$C$238:$C$451,$C145,'TL16'!$J$238:$J$451),0),
IF('TL17'!$B$3=N$3,SUMIF('TL17'!$C$10:$C$224,$C145,'TL17'!$J$10:$J$224),0),
IF('TL17'!$B$229=N$3,SUMIF('TL17'!$C$238:$C$451,$C145,'TL17'!$J$238:$J$451),0),
IF('TL18'!$B$3=N$3,SUMIF('TL18'!$C$10:$C$224,$C145,'TL18'!$J$10:$J$224),0),
IF('TL18'!$B$229=N$3,SUMIF('TL18'!$C$238:$C$451,$C145,'TL18'!$J$238:$J$451),0),
IF('TL19'!$B$3=N$3,SUMIF('TL19'!$C$10:$C$224,$C145,'TL19'!$J$10:$J$224),0),
IF('TL19'!$B$229=N$3,SUMIF('TL19'!$C$238:$C$451,$C145,'TL19'!$J$238:$J$451),0)
),0)</f>
        <v>0</v>
      </c>
      <c r="O145" s="9">
        <f>IFERROR(SUM(
IF('TL01'!$B$3=O$3,SUMIF('TL01'!$C$10:$C$224,$C145,'TL01'!$J$10:$J$224),0),
IF('TL01'!$B$229=O$3,SUMIF('TL01'!$C$238:$C$451,$C145,'TL01'!$J$238:$J$451),0),
IF('TL02'!$B$3=O$3,SUMIF('TL02'!$C$10:$C$224,$C145,'TL02'!$J$10:$J$224),0),
IF('TL02'!$B$229=O$3,SUMIF('TL02'!$C$238:$C$451,$C145,'TL02'!$J$238:$J$451),0),
IF('TL03'!$B$3=O$3,SUMIF('TL03'!$C$10:$C$224,$C145,'TL03'!$J$10:$J$224),0),
IF('TL03'!$B$229=O$3,SUMIF('TL03'!$C$238:$C$451,$C145,'TL03'!$J$238:$J$451),0),
IF('TL04'!$B$3=O$3,SUMIF('TL04'!$C$10:$C$224,$C145,'TL04'!$J$10:$J$224),0),
IF('TL04'!$B$229=O$3,SUMIF('TL04'!$C$238:$C$451,$C145,'TL04'!$J$238:$J$451),0),
IF('TL05'!$B$3=O$3,SUMIF('TL05'!$C$10:$C$224,$C145,'TL05'!$J$10:$J$224),0),
IF('TL05'!$B$229=O$3,SUMIF('TL05'!$C$238:$C$451,$C145,'TL05'!$J$238:$J$451),0),
IF('TL06'!$B$3=O$3,SUMIF('TL06'!$C$10:$C$224,$C145,'TL06'!$J$10:$J$224),0),
IF('TL06'!$B$229=O$3,SUMIF('TL06'!$C$238:$C$451,$C145,'TL06'!$J$238:$J$451),0),
IF('TL07'!$B$3=O$3,SUMIF('TL07'!$C$10:$C$224,$C145,'TL07'!$J$10:$J$224),0),
IF('TL07'!$B$229=O$3,SUMIF('TL07'!$C$238:$C$451,$C145,'TL07'!$J$238:$J$451),0),
IF('TL08'!$B$3=O$3,SUMIF('TL08'!$C$10:$C$224,$C145,'TL08'!$J$10:$J$224),0),
IF('TL08'!$B$229=O$3,SUMIF('TL08'!$C$238:$C$451,$C145,'TL08'!$J$238:$J$451),0),
IF('TL09'!$B$3=O$3,SUMIF('TL09'!$C$10:$C$224,$C145,'TL09'!$J$10:$J$224),0),
IF('TL09'!$B$229=O$3,SUMIF('TL09'!$C$238:$C$451,$C145,'TL09'!$J$238:$J$451),0),
IF('TL10'!$B$3=O$3,SUMIF('TL10'!$C$10:$C$224,$C145,'TL10'!$J$10:$J$224),0),
IF('TL10'!$B$229=O$3,SUMIF('TL10'!$C$238:$C$451,$C145,'TL10'!$J$238:$J$451),0),
IF('TL11'!$B$3=O$3,SUMIF('TL11'!$C$10:$C$224,$C145,'TL11'!$J$10:$J$224),0),
IF('TL11'!$B$229=O$3,SUMIF('TL11'!$C$238:$C$451,$C145,'TL11'!$J$238:$J$451),0),
IF('TL12'!$B$3=O$3,SUMIF('TL12'!$C$10:$C$224,$C145,'TL12'!$J$10:$J$224),0),
IF('TL12'!$B$229=O$3,SUMIF('TL12'!$C$238:$C$451,$C145,'TL12'!$J$238:$J$451),0),
IF('TL13'!$B$3=O$3,SUMIF('TL13'!$C$10:$C$224,$C145,'TL13'!$J$10:$J$224),0),
IF('TL13'!$B$229=O$3,SUMIF('TL13'!$C$238:$C$451,$C145,'TL13'!$J$238:$J$451),0),
IF('TL14'!$B$3=O$3,SUMIF('TL14'!$C$10:$C$224,$C145,'TL14'!$J$10:$J$224),0),
IF('TL14'!$B$229=O$3,SUMIF('TL14'!$C$238:$C$451,$C145,'TL14'!$J$238:$J$451),0),
IF('TL15'!$B$3=O$3,SUMIF('TL15'!$C$10:$C$224,$C145,'TL15'!$J$10:$J$224),0),
IF('TL15'!$B$229=O$3,SUMIF('TL15'!$C$238:$C$451,$C145,'TL15'!$J$238:$J$451),0),
IF('TL16'!$B$3=O$3,SUMIF('TL16'!$C$10:$C$224,$C145,'TL16'!$J$10:$J$224),0),
IF('TL16'!$B$229=O$3,SUMIF('TL16'!$C$238:$C$451,$C145,'TL16'!$J$238:$J$451),0),
IF('TL17'!$B$3=O$3,SUMIF('TL17'!$C$10:$C$224,$C145,'TL17'!$J$10:$J$224),0),
IF('TL17'!$B$229=O$3,SUMIF('TL17'!$C$238:$C$451,$C145,'TL17'!$J$238:$J$451),0),
IF('TL18'!$B$3=O$3,SUMIF('TL18'!$C$10:$C$224,$C145,'TL18'!$J$10:$J$224),0),
IF('TL18'!$B$229=O$3,SUMIF('TL18'!$C$238:$C$451,$C145,'TL18'!$J$238:$J$451),0),
IF('TL19'!$B$3=O$3,SUMIF('TL19'!$C$10:$C$224,$C145,'TL19'!$J$10:$J$224),0),
IF('TL19'!$B$229=O$3,SUMIF('TL19'!$C$238:$C$451,$C145,'TL19'!$J$238:$J$451),0)
),0)</f>
        <v>0</v>
      </c>
      <c r="P145" s="9">
        <f>IFERROR(SUM(
IF('TL01'!$B$3=P$3,SUMIF('TL01'!$C$10:$C$224,$C145,'TL01'!$J$10:$J$224),0),
IF('TL01'!$B$229=P$3,SUMIF('TL01'!$C$238:$C$451,$C145,'TL01'!$J$238:$J$451),0),
IF('TL02'!$B$3=P$3,SUMIF('TL02'!$C$10:$C$224,$C145,'TL02'!$J$10:$J$224),0),
IF('TL02'!$B$229=P$3,SUMIF('TL02'!$C$238:$C$451,$C145,'TL02'!$J$238:$J$451),0),
IF('TL03'!$B$3=P$3,SUMIF('TL03'!$C$10:$C$224,$C145,'TL03'!$J$10:$J$224),0),
IF('TL03'!$B$229=P$3,SUMIF('TL03'!$C$238:$C$451,$C145,'TL03'!$J$238:$J$451),0),
IF('TL04'!$B$3=P$3,SUMIF('TL04'!$C$10:$C$224,$C145,'TL04'!$J$10:$J$224),0),
IF('TL04'!$B$229=P$3,SUMIF('TL04'!$C$238:$C$451,$C145,'TL04'!$J$238:$J$451),0),
IF('TL05'!$B$3=P$3,SUMIF('TL05'!$C$10:$C$224,$C145,'TL05'!$J$10:$J$224),0),
IF('TL05'!$B$229=P$3,SUMIF('TL05'!$C$238:$C$451,$C145,'TL05'!$J$238:$J$451),0),
IF('TL06'!$B$3=P$3,SUMIF('TL06'!$C$10:$C$224,$C145,'TL06'!$J$10:$J$224),0),
IF('TL06'!$B$229=P$3,SUMIF('TL06'!$C$238:$C$451,$C145,'TL06'!$J$238:$J$451),0),
IF('TL07'!$B$3=P$3,SUMIF('TL07'!$C$10:$C$224,$C145,'TL07'!$J$10:$J$224),0),
IF('TL07'!$B$229=P$3,SUMIF('TL07'!$C$238:$C$451,$C145,'TL07'!$J$238:$J$451),0),
IF('TL08'!$B$3=P$3,SUMIF('TL08'!$C$10:$C$224,$C145,'TL08'!$J$10:$J$224),0),
IF('TL08'!$B$229=P$3,SUMIF('TL08'!$C$238:$C$451,$C145,'TL08'!$J$238:$J$451),0),
IF('TL09'!$B$3=P$3,SUMIF('TL09'!$C$10:$C$224,$C145,'TL09'!$J$10:$J$224),0),
IF('TL09'!$B$229=P$3,SUMIF('TL09'!$C$238:$C$451,$C145,'TL09'!$J$238:$J$451),0),
IF('TL10'!$B$3=P$3,SUMIF('TL10'!$C$10:$C$224,$C145,'TL10'!$J$10:$J$224),0),
IF('TL10'!$B$229=P$3,SUMIF('TL10'!$C$238:$C$451,$C145,'TL10'!$J$238:$J$451),0),
IF('TL11'!$B$3=P$3,SUMIF('TL11'!$C$10:$C$224,$C145,'TL11'!$J$10:$J$224),0),
IF('TL11'!$B$229=P$3,SUMIF('TL11'!$C$238:$C$451,$C145,'TL11'!$J$238:$J$451),0),
IF('TL12'!$B$3=P$3,SUMIF('TL12'!$C$10:$C$224,$C145,'TL12'!$J$10:$J$224),0),
IF('TL12'!$B$229=P$3,SUMIF('TL12'!$C$238:$C$451,$C145,'TL12'!$J$238:$J$451),0),
IF('TL13'!$B$3=P$3,SUMIF('TL13'!$C$10:$C$224,$C145,'TL13'!$J$10:$J$224),0),
IF('TL13'!$B$229=P$3,SUMIF('TL13'!$C$238:$C$451,$C145,'TL13'!$J$238:$J$451),0),
IF('TL14'!$B$3=P$3,SUMIF('TL14'!$C$10:$C$224,$C145,'TL14'!$J$10:$J$224),0),
IF('TL14'!$B$229=P$3,SUMIF('TL14'!$C$238:$C$451,$C145,'TL14'!$J$238:$J$451),0),
IF('TL15'!$B$3=P$3,SUMIF('TL15'!$C$10:$C$224,$C145,'TL15'!$J$10:$J$224),0),
IF('TL15'!$B$229=P$3,SUMIF('TL15'!$C$238:$C$451,$C145,'TL15'!$J$238:$J$451),0),
IF('TL16'!$B$3=P$3,SUMIF('TL16'!$C$10:$C$224,$C145,'TL16'!$J$10:$J$224),0),
IF('TL16'!$B$229=P$3,SUMIF('TL16'!$C$238:$C$451,$C145,'TL16'!$J$238:$J$451),0),
IF('TL17'!$B$3=P$3,SUMIF('TL17'!$C$10:$C$224,$C145,'TL17'!$J$10:$J$224),0),
IF('TL17'!$B$229=P$3,SUMIF('TL17'!$C$238:$C$451,$C145,'TL17'!$J$238:$J$451),0),
IF('TL18'!$B$3=P$3,SUMIF('TL18'!$C$10:$C$224,$C145,'TL18'!$J$10:$J$224),0),
IF('TL18'!$B$229=P$3,SUMIF('TL18'!$C$238:$C$451,$C145,'TL18'!$J$238:$J$451),0),
IF('TL19'!$B$3=P$3,SUMIF('TL19'!$C$10:$C$224,$C145,'TL19'!$J$10:$J$224),0),
IF('TL19'!$B$229=P$3,SUMIF('TL19'!$C$238:$C$451,$C145,'TL19'!$J$238:$J$451),0)
),0)</f>
        <v>0</v>
      </c>
      <c r="Q145" s="9">
        <f>IFERROR(SUM(
IF('TL01'!$B$3=Q$3,SUMIF('TL01'!$C$10:$C$224,$C145,'TL01'!$J$10:$J$224),0),
IF('TL01'!$B$229=Q$3,SUMIF('TL01'!$C$238:$C$451,$C145,'TL01'!$J$238:$J$451),0),
IF('TL02'!$B$3=Q$3,SUMIF('TL02'!$C$10:$C$224,$C145,'TL02'!$J$10:$J$224),0),
IF('TL02'!$B$229=Q$3,SUMIF('TL02'!$C$238:$C$451,$C145,'TL02'!$J$238:$J$451),0),
IF('TL03'!$B$3=Q$3,SUMIF('TL03'!$C$10:$C$224,$C145,'TL03'!$J$10:$J$224),0),
IF('TL03'!$B$229=Q$3,SUMIF('TL03'!$C$238:$C$451,$C145,'TL03'!$J$238:$J$451),0),
IF('TL04'!$B$3=Q$3,SUMIF('TL04'!$C$10:$C$224,$C145,'TL04'!$J$10:$J$224),0),
IF('TL04'!$B$229=Q$3,SUMIF('TL04'!$C$238:$C$451,$C145,'TL04'!$J$238:$J$451),0),
IF('TL05'!$B$3=Q$3,SUMIF('TL05'!$C$10:$C$224,$C145,'TL05'!$J$10:$J$224),0),
IF('TL05'!$B$229=Q$3,SUMIF('TL05'!$C$238:$C$451,$C145,'TL05'!$J$238:$J$451),0),
IF('TL06'!$B$3=Q$3,SUMIF('TL06'!$C$10:$C$224,$C145,'TL06'!$J$10:$J$224),0),
IF('TL06'!$B$229=Q$3,SUMIF('TL06'!$C$238:$C$451,$C145,'TL06'!$J$238:$J$451),0),
IF('TL07'!$B$3=Q$3,SUMIF('TL07'!$C$10:$C$224,$C145,'TL07'!$J$10:$J$224),0),
IF('TL07'!$B$229=Q$3,SUMIF('TL07'!$C$238:$C$451,$C145,'TL07'!$J$238:$J$451),0),
IF('TL08'!$B$3=Q$3,SUMIF('TL08'!$C$10:$C$224,$C145,'TL08'!$J$10:$J$224),0),
IF('TL08'!$B$229=Q$3,SUMIF('TL08'!$C$238:$C$451,$C145,'TL08'!$J$238:$J$451),0),
IF('TL09'!$B$3=Q$3,SUMIF('TL09'!$C$10:$C$224,$C145,'TL09'!$J$10:$J$224),0),
IF('TL09'!$B$229=Q$3,SUMIF('TL09'!$C$238:$C$451,$C145,'TL09'!$J$238:$J$451),0),
IF('TL10'!$B$3=Q$3,SUMIF('TL10'!$C$10:$C$224,$C145,'TL10'!$J$10:$J$224),0),
IF('TL10'!$B$229=Q$3,SUMIF('TL10'!$C$238:$C$451,$C145,'TL10'!$J$238:$J$451),0),
IF('TL11'!$B$3=Q$3,SUMIF('TL11'!$C$10:$C$224,$C145,'TL11'!$J$10:$J$224),0),
IF('TL11'!$B$229=Q$3,SUMIF('TL11'!$C$238:$C$451,$C145,'TL11'!$J$238:$J$451),0),
IF('TL12'!$B$3=Q$3,SUMIF('TL12'!$C$10:$C$224,$C145,'TL12'!$J$10:$J$224),0),
IF('TL12'!$B$229=Q$3,SUMIF('TL12'!$C$238:$C$451,$C145,'TL12'!$J$238:$J$451),0),
IF('TL13'!$B$3=Q$3,SUMIF('TL13'!$C$10:$C$224,$C145,'TL13'!$J$10:$J$224),0),
IF('TL13'!$B$229=Q$3,SUMIF('TL13'!$C$238:$C$451,$C145,'TL13'!$J$238:$J$451),0),
IF('TL14'!$B$3=Q$3,SUMIF('TL14'!$C$10:$C$224,$C145,'TL14'!$J$10:$J$224),0),
IF('TL14'!$B$229=Q$3,SUMIF('TL14'!$C$238:$C$451,$C145,'TL14'!$J$238:$J$451),0),
IF('TL15'!$B$3=Q$3,SUMIF('TL15'!$C$10:$C$224,$C145,'TL15'!$J$10:$J$224),0),
IF('TL15'!$B$229=Q$3,SUMIF('TL15'!$C$238:$C$451,$C145,'TL15'!$J$238:$J$451),0),
IF('TL16'!$B$3=Q$3,SUMIF('TL16'!$C$10:$C$224,$C145,'TL16'!$J$10:$J$224),0),
IF('TL16'!$B$229=Q$3,SUMIF('TL16'!$C$238:$C$451,$C145,'TL16'!$J$238:$J$451),0),
IF('TL17'!$B$3=Q$3,SUMIF('TL17'!$C$10:$C$224,$C145,'TL17'!$J$10:$J$224),0),
IF('TL17'!$B$229=Q$3,SUMIF('TL17'!$C$238:$C$451,$C145,'TL17'!$J$238:$J$451),0),
IF('TL18'!$B$3=Q$3,SUMIF('TL18'!$C$10:$C$224,$C145,'TL18'!$J$10:$J$224),0),
IF('TL18'!$B$229=Q$3,SUMIF('TL18'!$C$238:$C$451,$C145,'TL18'!$J$238:$J$451),0),
IF('TL19'!$B$3=Q$3,SUMIF('TL19'!$C$10:$C$224,$C145,'TL19'!$J$10:$J$224),0),
IF('TL19'!$B$229=Q$3,SUMIF('TL19'!$C$238:$C$451,$C145,'TL19'!$J$238:$J$451),0)
),0)</f>
        <v>0</v>
      </c>
      <c r="R145" s="9">
        <f>IFERROR(
SUM(
SUMIF('TL01'!C:C,C145,'TL01'!J:J),
SUMIF('TL02'!C:C,C145,'TL02'!J:J),
SUMIF('TL03'!C:C,C145,'TL03'!J:J),
SUMIF('TL04'!C:C,C145,'TL04'!J:J),
SUMIF('TL05'!C:C,C145,'TL05'!J:J),
SUMIF('TL06'!C:C,C145,'TL06'!J:J),
SUMIF('TL07'!C:C,C145,'TL07'!J:J),
SUMIF('TL08'!C:C,C145,'TL08'!J:J),
SUMIF('TL09'!C:C,C145,'TL09'!J:J),
SUMIF('TL10'!C:C,C145,'TL10'!J:J),
SUMIF('TL11'!C:C,C145,'TL11'!J:J),
SUMIF('TL12'!C:C,C145,'TL12'!J:J),
SUMIF('TL13'!C:C,C145,'TL13'!J:J),
SUMIF('TL14'!C:C,C145,'TL14'!J:J),
SUMIF('TL15'!C:C,C145,'TL15'!J:J),
SUMIF('TL16'!C:C,C145,'TL16'!J:J),
SUMIF('TL17'!C:C,C145,'TL17'!J:J),
SUMIF('TL18'!C:C,C145,'TL18'!J:J),SUMIF('TL19'!C:C,C145,'TL19'!J:J))
,0)</f>
        <v>0</v>
      </c>
      <c r="S145" s="17">
        <f>IFERROR(__xludf.DUMMYFUNCTION("IFERROR(VLOOKUP(C145,
IMPORTRANGE(""1wULbzX32WdYsx-lj2U3uUNBBe2INVIRDtcK0d-Dvl90"",
""26-27!C:G""),
5,
FALSE),
"""")"),202.09676000000002)</f>
        <v>202.09676</v>
      </c>
      <c r="T145" s="9"/>
      <c r="U145" s="92">
        <f t="shared" si="2"/>
        <v>0</v>
      </c>
      <c r="V145" s="93">
        <f t="shared" si="3"/>
        <v>0</v>
      </c>
    </row>
    <row r="146" ht="15.75" hidden="1" customHeight="1">
      <c r="A146" s="115" t="s">
        <v>516</v>
      </c>
      <c r="B146" s="100" t="s">
        <v>1</v>
      </c>
      <c r="C146" s="116" t="s">
        <v>701</v>
      </c>
      <c r="D146" s="116" t="s">
        <v>617</v>
      </c>
      <c r="E146" s="116">
        <v>240.0</v>
      </c>
      <c r="F146" s="4" t="s">
        <v>343</v>
      </c>
      <c r="G146" s="90" t="str">
        <f t="shared" si="4"/>
        <v>📄 Ver bula</v>
      </c>
      <c r="H146" s="9">
        <f>IFERROR(__xludf.DUMMYFUNCTION("IFERROR(VLOOKUP(C146,
IMPORTRANGE(""1wULbzX32WdYsx-lj2U3uUNBBe2INVIRDtcK0d-Dvl90"",
""26-27!C:K""),
8,
FALSE),
"""")"),0.4)</f>
        <v>0.4</v>
      </c>
      <c r="I146" s="117" t="s">
        <v>344</v>
      </c>
      <c r="J146" s="9">
        <f>IFERROR(SUM(
IF('TL01'!$B$3=J$3,SUMIF('TL01'!$C$10:$C$224,$C146,'TL01'!$J$10:$J$224),0),
IF('TL01'!$B$229=J$3,SUMIF('TL01'!$C$238:$C$451,$C146,'TL01'!$J$238:$J$451),0),
IF('TL02'!$B$3=J$3,SUMIF('TL02'!$C$10:$C$224,$C146,'TL02'!$J$10:$J$224),0),
IF('TL02'!$B$229=J$3,SUMIF('TL02'!$C$238:$C$451,$C146,'TL02'!$J$238:$J$451),0),
IF('TL03'!$B$3=J$3,SUMIF('TL03'!$C$10:$C$224,$C146,'TL03'!$J$10:$J$224),0),
IF('TL03'!$B$229=J$3,SUMIF('TL03'!$C$238:$C$451,$C146,'TL03'!$J$238:$J$451),0),
IF('TL04'!$B$3=J$3,SUMIF('TL04'!$C$10:$C$224,$C146,'TL04'!$J$10:$J$224),0),
IF('TL04'!$B$229=J$3,SUMIF('TL04'!$C$238:$C$451,$C146,'TL04'!$J$238:$J$451),0),
IF('TL05'!$B$3=J$3,SUMIF('TL05'!$C$10:$C$224,$C146,'TL05'!$J$10:$J$224),0),
IF('TL05'!$B$229=J$3,SUMIF('TL05'!$C$238:$C$451,$C146,'TL05'!$J$238:$J$451),0),
IF('TL06'!$B$3=J$3,SUMIF('TL06'!$C$10:$C$224,$C146,'TL06'!$J$10:$J$224),0),
IF('TL06'!$B$229=J$3,SUMIF('TL06'!$C$238:$C$451,$C146,'TL06'!$J$238:$J$451),0),
IF('TL07'!$B$3=J$3,SUMIF('TL07'!$C$10:$C$224,$C146,'TL07'!$J$10:$J$224),0),
IF('TL07'!$B$229=J$3,SUMIF('TL07'!$C$238:$C$451,$C146,'TL07'!$J$238:$J$451),0),
IF('TL08'!$B$3=J$3,SUMIF('TL08'!$C$10:$C$224,$C146,'TL08'!$J$10:$J$224),0),
IF('TL08'!$B$229=J$3,SUMIF('TL08'!$C$238:$C$451,$C146,'TL08'!$J$238:$J$451),0),
IF('TL09'!$B$3=J$3,SUMIF('TL09'!$C$10:$C$224,$C146,'TL09'!$J$10:$J$224),0),
IF('TL09'!$B$229=J$3,SUMIF('TL09'!$C$238:$C$451,$C146,'TL09'!$J$238:$J$451),0),
IF('TL10'!$B$3=J$3,SUMIF('TL10'!$C$10:$C$224,$C146,'TL10'!$J$10:$J$224),0),
IF('TL10'!$B$229=J$3,SUMIF('TL10'!$C$238:$C$451,$C146,'TL10'!$J$238:$J$451),0),
IF('TL11'!$B$3=J$3,SUMIF('TL11'!$C$10:$C$224,$C146,'TL11'!$J$10:$J$224),0),
IF('TL11'!$B$229=J$3,SUMIF('TL11'!$C$238:$C$451,$C146,'TL11'!$J$238:$J$451),0),
IF('TL12'!$B$3=J$3,SUMIF('TL12'!$C$10:$C$224,$C146,'TL12'!$J$10:$J$224),0),
IF('TL12'!$B$229=J$3,SUMIF('TL12'!$C$238:$C$451,$C146,'TL12'!$J$238:$J$451),0),
IF('TL13'!$B$3=J$3,SUMIF('TL13'!$C$10:$C$224,$C146,'TL13'!$J$10:$J$224),0),
IF('TL13'!$B$229=J$3,SUMIF('TL13'!$C$238:$C$451,$C146,'TL13'!$J$238:$J$451),0),
IF('TL14'!$B$3=J$3,SUMIF('TL14'!$C$10:$C$224,$C146,'TL14'!$J$10:$J$224),0),
IF('TL14'!$B$229=J$3,SUMIF('TL14'!$C$238:$C$451,$C146,'TL14'!$J$238:$J$451),0),
IF('TL15'!$B$3=J$3,SUMIF('TL15'!$C$10:$C$224,$C146,'TL15'!$J$10:$J$224),0),
IF('TL15'!$B$229=J$3,SUMIF('TL15'!$C$238:$C$451,$C146,'TL15'!$J$238:$J$451),0),
IF('TL16'!$B$3=J$3,SUMIF('TL16'!$C$10:$C$224,$C146,'TL16'!$J$10:$J$224),0),
IF('TL16'!$B$229=J$3,SUMIF('TL16'!$C$238:$C$451,$C146,'TL16'!$J$238:$J$451),0),
IF('TL17'!$B$3=J$3,SUMIF('TL17'!$C$10:$C$224,$C146,'TL17'!$J$10:$J$224),0),
IF('TL17'!$B$229=J$3,SUMIF('TL17'!$C$238:$C$451,$C146,'TL17'!$J$238:$J$451),0),
IF('TL18'!$B$3=J$3,SUMIF('TL18'!$C$10:$C$224,$C146,'TL18'!$J$10:$J$224),0),
IF('TL18'!$B$229=J$3,SUMIF('TL18'!$C$238:$C$451,$C146,'TL18'!$J$238:$J$451),0),
IF('TL19'!$B$3=J$3,SUMIF('TL19'!$C$10:$C$224,$C146,'TL19'!$J$10:$J$224),0),
IF('TL19'!$B$229=J$3,SUMIF('TL19'!$C$238:$C$451,$C146,'TL19'!$J$238:$J$451),0)
),0)</f>
        <v>0</v>
      </c>
      <c r="K146" s="9">
        <f>IFERROR(SUM(
IF('TL01'!$B$3=K$3,SUMIF('TL01'!$C$10:$C$224,$C146,'TL01'!$J$10:$J$224),0),
IF('TL01'!$B$229=K$3,SUMIF('TL01'!$C$238:$C$451,$C146,'TL01'!$J$238:$J$451),0),
IF('TL02'!$B$3=K$3,SUMIF('TL02'!$C$10:$C$224,$C146,'TL02'!$J$10:$J$224),0),
IF('TL02'!$B$229=K$3,SUMIF('TL02'!$C$238:$C$451,$C146,'TL02'!$J$238:$J$451),0),
IF('TL03'!$B$3=K$3,SUMIF('TL03'!$C$10:$C$224,$C146,'TL03'!$J$10:$J$224),0),
IF('TL03'!$B$229=K$3,SUMIF('TL03'!$C$238:$C$451,$C146,'TL03'!$J$238:$J$451),0),
IF('TL04'!$B$3=K$3,SUMIF('TL04'!$C$10:$C$224,$C146,'TL04'!$J$10:$J$224),0),
IF('TL04'!$B$229=K$3,SUMIF('TL04'!$C$238:$C$451,$C146,'TL04'!$J$238:$J$451),0),
IF('TL05'!$B$3=K$3,SUMIF('TL05'!$C$10:$C$224,$C146,'TL05'!$J$10:$J$224),0),
IF('TL05'!$B$229=K$3,SUMIF('TL05'!$C$238:$C$451,$C146,'TL05'!$J$238:$J$451),0),
IF('TL06'!$B$3=K$3,SUMIF('TL06'!$C$10:$C$224,$C146,'TL06'!$J$10:$J$224),0),
IF('TL06'!$B$229=K$3,SUMIF('TL06'!$C$238:$C$451,$C146,'TL06'!$J$238:$J$451),0),
IF('TL07'!$B$3=K$3,SUMIF('TL07'!$C$10:$C$224,$C146,'TL07'!$J$10:$J$224),0),
IF('TL07'!$B$229=K$3,SUMIF('TL07'!$C$238:$C$451,$C146,'TL07'!$J$238:$J$451),0),
IF('TL08'!$B$3=K$3,SUMIF('TL08'!$C$10:$C$224,$C146,'TL08'!$J$10:$J$224),0),
IF('TL08'!$B$229=K$3,SUMIF('TL08'!$C$238:$C$451,$C146,'TL08'!$J$238:$J$451),0),
IF('TL09'!$B$3=K$3,SUMIF('TL09'!$C$10:$C$224,$C146,'TL09'!$J$10:$J$224),0),
IF('TL09'!$B$229=K$3,SUMIF('TL09'!$C$238:$C$451,$C146,'TL09'!$J$238:$J$451),0),
IF('TL10'!$B$3=K$3,SUMIF('TL10'!$C$10:$C$224,$C146,'TL10'!$J$10:$J$224),0),
IF('TL10'!$B$229=K$3,SUMIF('TL10'!$C$238:$C$451,$C146,'TL10'!$J$238:$J$451),0),
IF('TL11'!$B$3=K$3,SUMIF('TL11'!$C$10:$C$224,$C146,'TL11'!$J$10:$J$224),0),
IF('TL11'!$B$229=K$3,SUMIF('TL11'!$C$238:$C$451,$C146,'TL11'!$J$238:$J$451),0),
IF('TL12'!$B$3=K$3,SUMIF('TL12'!$C$10:$C$224,$C146,'TL12'!$J$10:$J$224),0),
IF('TL12'!$B$229=K$3,SUMIF('TL12'!$C$238:$C$451,$C146,'TL12'!$J$238:$J$451),0),
IF('TL13'!$B$3=K$3,SUMIF('TL13'!$C$10:$C$224,$C146,'TL13'!$J$10:$J$224),0),
IF('TL13'!$B$229=K$3,SUMIF('TL13'!$C$238:$C$451,$C146,'TL13'!$J$238:$J$451),0),
IF('TL14'!$B$3=K$3,SUMIF('TL14'!$C$10:$C$224,$C146,'TL14'!$J$10:$J$224),0),
IF('TL14'!$B$229=K$3,SUMIF('TL14'!$C$238:$C$451,$C146,'TL14'!$J$238:$J$451),0),
IF('TL15'!$B$3=K$3,SUMIF('TL15'!$C$10:$C$224,$C146,'TL15'!$J$10:$J$224),0),
IF('TL15'!$B$229=K$3,SUMIF('TL15'!$C$238:$C$451,$C146,'TL15'!$J$238:$J$451),0),
IF('TL16'!$B$3=K$3,SUMIF('TL16'!$C$10:$C$224,$C146,'TL16'!$J$10:$J$224),0),
IF('TL16'!$B$229=K$3,SUMIF('TL16'!$C$238:$C$451,$C146,'TL16'!$J$238:$J$451),0),
IF('TL17'!$B$3=K$3,SUMIF('TL17'!$C$10:$C$224,$C146,'TL17'!$J$10:$J$224),0),
IF('TL17'!$B$229=K$3,SUMIF('TL17'!$C$238:$C$451,$C146,'TL17'!$J$238:$J$451),0),
IF('TL18'!$B$3=K$3,SUMIF('TL18'!$C$10:$C$224,$C146,'TL18'!$J$10:$J$224),0),
IF('TL18'!$B$229=K$3,SUMIF('TL18'!$C$238:$C$451,$C146,'TL18'!$J$238:$J$451),0),
IF('TL19'!$B$3=K$3,SUMIF('TL19'!$C$10:$C$224,$C146,'TL19'!$J$10:$J$224),0),
IF('TL19'!$B$229=K$3,SUMIF('TL19'!$C$238:$C$451,$C146,'TL19'!$J$238:$J$451),0)
),0)</f>
        <v>0</v>
      </c>
      <c r="L146" s="9">
        <f>IFERROR(SUM(
IF('TL01'!$B$3=L$3,SUMIF('TL01'!$C$10:$C$224,$C146,'TL01'!$J$10:$J$224),0),
IF('TL01'!$B$229=L$3,SUMIF('TL01'!$C$238:$C$451,$C146,'TL01'!$J$238:$J$451),0),
IF('TL02'!$B$3=L$3,SUMIF('TL02'!$C$10:$C$224,$C146,'TL02'!$J$10:$J$224),0),
IF('TL02'!$B$229=L$3,SUMIF('TL02'!$C$238:$C$451,$C146,'TL02'!$J$238:$J$451),0),
IF('TL03'!$B$3=L$3,SUMIF('TL03'!$C$10:$C$224,$C146,'TL03'!$J$10:$J$224),0),
IF('TL03'!$B$229=L$3,SUMIF('TL03'!$C$238:$C$451,$C146,'TL03'!$J$238:$J$451),0),
IF('TL04'!$B$3=L$3,SUMIF('TL04'!$C$10:$C$224,$C146,'TL04'!$J$10:$J$224),0),
IF('TL04'!$B$229=L$3,SUMIF('TL04'!$C$238:$C$451,$C146,'TL04'!$J$238:$J$451),0),
IF('TL05'!$B$3=L$3,SUMIF('TL05'!$C$10:$C$224,$C146,'TL05'!$J$10:$J$224),0),
IF('TL05'!$B$229=L$3,SUMIF('TL05'!$C$238:$C$451,$C146,'TL05'!$J$238:$J$451),0),
IF('TL06'!$B$3=L$3,SUMIF('TL06'!$C$10:$C$224,$C146,'TL06'!$J$10:$J$224),0),
IF('TL06'!$B$229=L$3,SUMIF('TL06'!$C$238:$C$451,$C146,'TL06'!$J$238:$J$451),0),
IF('TL07'!$B$3=L$3,SUMIF('TL07'!$C$10:$C$224,$C146,'TL07'!$J$10:$J$224),0),
IF('TL07'!$B$229=L$3,SUMIF('TL07'!$C$238:$C$451,$C146,'TL07'!$J$238:$J$451),0),
IF('TL08'!$B$3=L$3,SUMIF('TL08'!$C$10:$C$224,$C146,'TL08'!$J$10:$J$224),0),
IF('TL08'!$B$229=L$3,SUMIF('TL08'!$C$238:$C$451,$C146,'TL08'!$J$238:$J$451),0),
IF('TL09'!$B$3=L$3,SUMIF('TL09'!$C$10:$C$224,$C146,'TL09'!$J$10:$J$224),0),
IF('TL09'!$B$229=L$3,SUMIF('TL09'!$C$238:$C$451,$C146,'TL09'!$J$238:$J$451),0),
IF('TL10'!$B$3=L$3,SUMIF('TL10'!$C$10:$C$224,$C146,'TL10'!$J$10:$J$224),0),
IF('TL10'!$B$229=L$3,SUMIF('TL10'!$C$238:$C$451,$C146,'TL10'!$J$238:$J$451),0),
IF('TL11'!$B$3=L$3,SUMIF('TL11'!$C$10:$C$224,$C146,'TL11'!$J$10:$J$224),0),
IF('TL11'!$B$229=L$3,SUMIF('TL11'!$C$238:$C$451,$C146,'TL11'!$J$238:$J$451),0),
IF('TL12'!$B$3=L$3,SUMIF('TL12'!$C$10:$C$224,$C146,'TL12'!$J$10:$J$224),0),
IF('TL12'!$B$229=L$3,SUMIF('TL12'!$C$238:$C$451,$C146,'TL12'!$J$238:$J$451),0),
IF('TL13'!$B$3=L$3,SUMIF('TL13'!$C$10:$C$224,$C146,'TL13'!$J$10:$J$224),0),
IF('TL13'!$B$229=L$3,SUMIF('TL13'!$C$238:$C$451,$C146,'TL13'!$J$238:$J$451),0),
IF('TL14'!$B$3=L$3,SUMIF('TL14'!$C$10:$C$224,$C146,'TL14'!$J$10:$J$224),0),
IF('TL14'!$B$229=L$3,SUMIF('TL14'!$C$238:$C$451,$C146,'TL14'!$J$238:$J$451),0),
IF('TL15'!$B$3=L$3,SUMIF('TL15'!$C$10:$C$224,$C146,'TL15'!$J$10:$J$224),0),
IF('TL15'!$B$229=L$3,SUMIF('TL15'!$C$238:$C$451,$C146,'TL15'!$J$238:$J$451),0),
IF('TL16'!$B$3=L$3,SUMIF('TL16'!$C$10:$C$224,$C146,'TL16'!$J$10:$J$224),0),
IF('TL16'!$B$229=L$3,SUMIF('TL16'!$C$238:$C$451,$C146,'TL16'!$J$238:$J$451),0),
IF('TL17'!$B$3=L$3,SUMIF('TL17'!$C$10:$C$224,$C146,'TL17'!$J$10:$J$224),0),
IF('TL17'!$B$229=L$3,SUMIF('TL17'!$C$238:$C$451,$C146,'TL17'!$J$238:$J$451),0),
IF('TL18'!$B$3=L$3,SUMIF('TL18'!$C$10:$C$224,$C146,'TL18'!$J$10:$J$224),0),
IF('TL18'!$B$229=L$3,SUMIF('TL18'!$C$238:$C$451,$C146,'TL18'!$J$238:$J$451),0),
IF('TL19'!$B$3=L$3,SUMIF('TL19'!$C$10:$C$224,$C146,'TL19'!$J$10:$J$224),0),
IF('TL19'!$B$229=L$3,SUMIF('TL19'!$C$238:$C$451,$C146,'TL19'!$J$238:$J$451),0)
),0)</f>
        <v>0</v>
      </c>
      <c r="M146" s="9">
        <f>IFERROR(SUM(
IF('TL01'!$B$3=M$3,SUMIF('TL01'!$C$10:$C$224,$C146,'TL01'!$J$10:$J$224),0),
IF('TL01'!$B$229=M$3,SUMIF('TL01'!$C$238:$C$451,$C146,'TL01'!$J$238:$J$451),0),
IF('TL02'!$B$3=M$3,SUMIF('TL02'!$C$10:$C$224,$C146,'TL02'!$J$10:$J$224),0),
IF('TL02'!$B$229=M$3,SUMIF('TL02'!$C$238:$C$451,$C146,'TL02'!$J$238:$J$451),0),
IF('TL03'!$B$3=M$3,SUMIF('TL03'!$C$10:$C$224,$C146,'TL03'!$J$10:$J$224),0),
IF('TL03'!$B$229=M$3,SUMIF('TL03'!$C$238:$C$451,$C146,'TL03'!$J$238:$J$451),0),
IF('TL04'!$B$3=M$3,SUMIF('TL04'!$C$10:$C$224,$C146,'TL04'!$J$10:$J$224),0),
IF('TL04'!$B$229=M$3,SUMIF('TL04'!$C$238:$C$451,$C146,'TL04'!$J$238:$J$451),0),
IF('TL05'!$B$3=M$3,SUMIF('TL05'!$C$10:$C$224,$C146,'TL05'!$J$10:$J$224),0),
IF('TL05'!$B$229=M$3,SUMIF('TL05'!$C$238:$C$451,$C146,'TL05'!$J$238:$J$451),0),
IF('TL06'!$B$3=M$3,SUMIF('TL06'!$C$10:$C$224,$C146,'TL06'!$J$10:$J$224),0),
IF('TL06'!$B$229=M$3,SUMIF('TL06'!$C$238:$C$451,$C146,'TL06'!$J$238:$J$451),0),
IF('TL07'!$B$3=M$3,SUMIF('TL07'!$C$10:$C$224,$C146,'TL07'!$J$10:$J$224),0),
IF('TL07'!$B$229=M$3,SUMIF('TL07'!$C$238:$C$451,$C146,'TL07'!$J$238:$J$451),0),
IF('TL08'!$B$3=M$3,SUMIF('TL08'!$C$10:$C$224,$C146,'TL08'!$J$10:$J$224),0),
IF('TL08'!$B$229=M$3,SUMIF('TL08'!$C$238:$C$451,$C146,'TL08'!$J$238:$J$451),0),
IF('TL09'!$B$3=M$3,SUMIF('TL09'!$C$10:$C$224,$C146,'TL09'!$J$10:$J$224),0),
IF('TL09'!$B$229=M$3,SUMIF('TL09'!$C$238:$C$451,$C146,'TL09'!$J$238:$J$451),0),
IF('TL10'!$B$3=M$3,SUMIF('TL10'!$C$10:$C$224,$C146,'TL10'!$J$10:$J$224),0),
IF('TL10'!$B$229=M$3,SUMIF('TL10'!$C$238:$C$451,$C146,'TL10'!$J$238:$J$451),0),
IF('TL11'!$B$3=M$3,SUMIF('TL11'!$C$10:$C$224,$C146,'TL11'!$J$10:$J$224),0),
IF('TL11'!$B$229=M$3,SUMIF('TL11'!$C$238:$C$451,$C146,'TL11'!$J$238:$J$451),0),
IF('TL12'!$B$3=M$3,SUMIF('TL12'!$C$10:$C$224,$C146,'TL12'!$J$10:$J$224),0),
IF('TL12'!$B$229=M$3,SUMIF('TL12'!$C$238:$C$451,$C146,'TL12'!$J$238:$J$451),0),
IF('TL13'!$B$3=M$3,SUMIF('TL13'!$C$10:$C$224,$C146,'TL13'!$J$10:$J$224),0),
IF('TL13'!$B$229=M$3,SUMIF('TL13'!$C$238:$C$451,$C146,'TL13'!$J$238:$J$451),0),
IF('TL14'!$B$3=M$3,SUMIF('TL14'!$C$10:$C$224,$C146,'TL14'!$J$10:$J$224),0),
IF('TL14'!$B$229=M$3,SUMIF('TL14'!$C$238:$C$451,$C146,'TL14'!$J$238:$J$451),0),
IF('TL15'!$B$3=M$3,SUMIF('TL15'!$C$10:$C$224,$C146,'TL15'!$J$10:$J$224),0),
IF('TL15'!$B$229=M$3,SUMIF('TL15'!$C$238:$C$451,$C146,'TL15'!$J$238:$J$451),0),
IF('TL16'!$B$3=M$3,SUMIF('TL16'!$C$10:$C$224,$C146,'TL16'!$J$10:$J$224),0),
IF('TL16'!$B$229=M$3,SUMIF('TL16'!$C$238:$C$451,$C146,'TL16'!$J$238:$J$451),0),
IF('TL17'!$B$3=M$3,SUMIF('TL17'!$C$10:$C$224,$C146,'TL17'!$J$10:$J$224),0),
IF('TL17'!$B$229=M$3,SUMIF('TL17'!$C$238:$C$451,$C146,'TL17'!$J$238:$J$451),0),
IF('TL18'!$B$3=M$3,SUMIF('TL18'!$C$10:$C$224,$C146,'TL18'!$J$10:$J$224),0),
IF('TL18'!$B$229=M$3,SUMIF('TL18'!$C$238:$C$451,$C146,'TL18'!$J$238:$J$451),0),
IF('TL19'!$B$3=M$3,SUMIF('TL19'!$C$10:$C$224,$C146,'TL19'!$J$10:$J$224),0),
IF('TL19'!$B$229=M$3,SUMIF('TL19'!$C$238:$C$451,$C146,'TL19'!$J$238:$J$451),0)
),0)</f>
        <v>0</v>
      </c>
      <c r="N146" s="9">
        <f>IFERROR(SUM(
IF('TL01'!$B$3=N$3,SUMIF('TL01'!$C$10:$C$224,$C146,'TL01'!$J$10:$J$224),0),
IF('TL01'!$B$229=N$3,SUMIF('TL01'!$C$238:$C$451,$C146,'TL01'!$J$238:$J$451),0),
IF('TL02'!$B$3=N$3,SUMIF('TL02'!$C$10:$C$224,$C146,'TL02'!$J$10:$J$224),0),
IF('TL02'!$B$229=N$3,SUMIF('TL02'!$C$238:$C$451,$C146,'TL02'!$J$238:$J$451),0),
IF('TL03'!$B$3=N$3,SUMIF('TL03'!$C$10:$C$224,$C146,'TL03'!$J$10:$J$224),0),
IF('TL03'!$B$229=N$3,SUMIF('TL03'!$C$238:$C$451,$C146,'TL03'!$J$238:$J$451),0),
IF('TL04'!$B$3=N$3,SUMIF('TL04'!$C$10:$C$224,$C146,'TL04'!$J$10:$J$224),0),
IF('TL04'!$B$229=N$3,SUMIF('TL04'!$C$238:$C$451,$C146,'TL04'!$J$238:$J$451),0),
IF('TL05'!$B$3=N$3,SUMIF('TL05'!$C$10:$C$224,$C146,'TL05'!$J$10:$J$224),0),
IF('TL05'!$B$229=N$3,SUMIF('TL05'!$C$238:$C$451,$C146,'TL05'!$J$238:$J$451),0),
IF('TL06'!$B$3=N$3,SUMIF('TL06'!$C$10:$C$224,$C146,'TL06'!$J$10:$J$224),0),
IF('TL06'!$B$229=N$3,SUMIF('TL06'!$C$238:$C$451,$C146,'TL06'!$J$238:$J$451),0),
IF('TL07'!$B$3=N$3,SUMIF('TL07'!$C$10:$C$224,$C146,'TL07'!$J$10:$J$224),0),
IF('TL07'!$B$229=N$3,SUMIF('TL07'!$C$238:$C$451,$C146,'TL07'!$J$238:$J$451),0),
IF('TL08'!$B$3=N$3,SUMIF('TL08'!$C$10:$C$224,$C146,'TL08'!$J$10:$J$224),0),
IF('TL08'!$B$229=N$3,SUMIF('TL08'!$C$238:$C$451,$C146,'TL08'!$J$238:$J$451),0),
IF('TL09'!$B$3=N$3,SUMIF('TL09'!$C$10:$C$224,$C146,'TL09'!$J$10:$J$224),0),
IF('TL09'!$B$229=N$3,SUMIF('TL09'!$C$238:$C$451,$C146,'TL09'!$J$238:$J$451),0),
IF('TL10'!$B$3=N$3,SUMIF('TL10'!$C$10:$C$224,$C146,'TL10'!$J$10:$J$224),0),
IF('TL10'!$B$229=N$3,SUMIF('TL10'!$C$238:$C$451,$C146,'TL10'!$J$238:$J$451),0),
IF('TL11'!$B$3=N$3,SUMIF('TL11'!$C$10:$C$224,$C146,'TL11'!$J$10:$J$224),0),
IF('TL11'!$B$229=N$3,SUMIF('TL11'!$C$238:$C$451,$C146,'TL11'!$J$238:$J$451),0),
IF('TL12'!$B$3=N$3,SUMIF('TL12'!$C$10:$C$224,$C146,'TL12'!$J$10:$J$224),0),
IF('TL12'!$B$229=N$3,SUMIF('TL12'!$C$238:$C$451,$C146,'TL12'!$J$238:$J$451),0),
IF('TL13'!$B$3=N$3,SUMIF('TL13'!$C$10:$C$224,$C146,'TL13'!$J$10:$J$224),0),
IF('TL13'!$B$229=N$3,SUMIF('TL13'!$C$238:$C$451,$C146,'TL13'!$J$238:$J$451),0),
IF('TL14'!$B$3=N$3,SUMIF('TL14'!$C$10:$C$224,$C146,'TL14'!$J$10:$J$224),0),
IF('TL14'!$B$229=N$3,SUMIF('TL14'!$C$238:$C$451,$C146,'TL14'!$J$238:$J$451),0),
IF('TL15'!$B$3=N$3,SUMIF('TL15'!$C$10:$C$224,$C146,'TL15'!$J$10:$J$224),0),
IF('TL15'!$B$229=N$3,SUMIF('TL15'!$C$238:$C$451,$C146,'TL15'!$J$238:$J$451),0),
IF('TL16'!$B$3=N$3,SUMIF('TL16'!$C$10:$C$224,$C146,'TL16'!$J$10:$J$224),0),
IF('TL16'!$B$229=N$3,SUMIF('TL16'!$C$238:$C$451,$C146,'TL16'!$J$238:$J$451),0),
IF('TL17'!$B$3=N$3,SUMIF('TL17'!$C$10:$C$224,$C146,'TL17'!$J$10:$J$224),0),
IF('TL17'!$B$229=N$3,SUMIF('TL17'!$C$238:$C$451,$C146,'TL17'!$J$238:$J$451),0),
IF('TL18'!$B$3=N$3,SUMIF('TL18'!$C$10:$C$224,$C146,'TL18'!$J$10:$J$224),0),
IF('TL18'!$B$229=N$3,SUMIF('TL18'!$C$238:$C$451,$C146,'TL18'!$J$238:$J$451),0),
IF('TL19'!$B$3=N$3,SUMIF('TL19'!$C$10:$C$224,$C146,'TL19'!$J$10:$J$224),0),
IF('TL19'!$B$229=N$3,SUMIF('TL19'!$C$238:$C$451,$C146,'TL19'!$J$238:$J$451),0)
),0)</f>
        <v>0</v>
      </c>
      <c r="O146" s="9">
        <f>IFERROR(SUM(
IF('TL01'!$B$3=O$3,SUMIF('TL01'!$C$10:$C$224,$C146,'TL01'!$J$10:$J$224),0),
IF('TL01'!$B$229=O$3,SUMIF('TL01'!$C$238:$C$451,$C146,'TL01'!$J$238:$J$451),0),
IF('TL02'!$B$3=O$3,SUMIF('TL02'!$C$10:$C$224,$C146,'TL02'!$J$10:$J$224),0),
IF('TL02'!$B$229=O$3,SUMIF('TL02'!$C$238:$C$451,$C146,'TL02'!$J$238:$J$451),0),
IF('TL03'!$B$3=O$3,SUMIF('TL03'!$C$10:$C$224,$C146,'TL03'!$J$10:$J$224),0),
IF('TL03'!$B$229=O$3,SUMIF('TL03'!$C$238:$C$451,$C146,'TL03'!$J$238:$J$451),0),
IF('TL04'!$B$3=O$3,SUMIF('TL04'!$C$10:$C$224,$C146,'TL04'!$J$10:$J$224),0),
IF('TL04'!$B$229=O$3,SUMIF('TL04'!$C$238:$C$451,$C146,'TL04'!$J$238:$J$451),0),
IF('TL05'!$B$3=O$3,SUMIF('TL05'!$C$10:$C$224,$C146,'TL05'!$J$10:$J$224),0),
IF('TL05'!$B$229=O$3,SUMIF('TL05'!$C$238:$C$451,$C146,'TL05'!$J$238:$J$451),0),
IF('TL06'!$B$3=O$3,SUMIF('TL06'!$C$10:$C$224,$C146,'TL06'!$J$10:$J$224),0),
IF('TL06'!$B$229=O$3,SUMIF('TL06'!$C$238:$C$451,$C146,'TL06'!$J$238:$J$451),0),
IF('TL07'!$B$3=O$3,SUMIF('TL07'!$C$10:$C$224,$C146,'TL07'!$J$10:$J$224),0),
IF('TL07'!$B$229=O$3,SUMIF('TL07'!$C$238:$C$451,$C146,'TL07'!$J$238:$J$451),0),
IF('TL08'!$B$3=O$3,SUMIF('TL08'!$C$10:$C$224,$C146,'TL08'!$J$10:$J$224),0),
IF('TL08'!$B$229=O$3,SUMIF('TL08'!$C$238:$C$451,$C146,'TL08'!$J$238:$J$451),0),
IF('TL09'!$B$3=O$3,SUMIF('TL09'!$C$10:$C$224,$C146,'TL09'!$J$10:$J$224),0),
IF('TL09'!$B$229=O$3,SUMIF('TL09'!$C$238:$C$451,$C146,'TL09'!$J$238:$J$451),0),
IF('TL10'!$B$3=O$3,SUMIF('TL10'!$C$10:$C$224,$C146,'TL10'!$J$10:$J$224),0),
IF('TL10'!$B$229=O$3,SUMIF('TL10'!$C$238:$C$451,$C146,'TL10'!$J$238:$J$451),0),
IF('TL11'!$B$3=O$3,SUMIF('TL11'!$C$10:$C$224,$C146,'TL11'!$J$10:$J$224),0),
IF('TL11'!$B$229=O$3,SUMIF('TL11'!$C$238:$C$451,$C146,'TL11'!$J$238:$J$451),0),
IF('TL12'!$B$3=O$3,SUMIF('TL12'!$C$10:$C$224,$C146,'TL12'!$J$10:$J$224),0),
IF('TL12'!$B$229=O$3,SUMIF('TL12'!$C$238:$C$451,$C146,'TL12'!$J$238:$J$451),0),
IF('TL13'!$B$3=O$3,SUMIF('TL13'!$C$10:$C$224,$C146,'TL13'!$J$10:$J$224),0),
IF('TL13'!$B$229=O$3,SUMIF('TL13'!$C$238:$C$451,$C146,'TL13'!$J$238:$J$451),0),
IF('TL14'!$B$3=O$3,SUMIF('TL14'!$C$10:$C$224,$C146,'TL14'!$J$10:$J$224),0),
IF('TL14'!$B$229=O$3,SUMIF('TL14'!$C$238:$C$451,$C146,'TL14'!$J$238:$J$451),0),
IF('TL15'!$B$3=O$3,SUMIF('TL15'!$C$10:$C$224,$C146,'TL15'!$J$10:$J$224),0),
IF('TL15'!$B$229=O$3,SUMIF('TL15'!$C$238:$C$451,$C146,'TL15'!$J$238:$J$451),0),
IF('TL16'!$B$3=O$3,SUMIF('TL16'!$C$10:$C$224,$C146,'TL16'!$J$10:$J$224),0),
IF('TL16'!$B$229=O$3,SUMIF('TL16'!$C$238:$C$451,$C146,'TL16'!$J$238:$J$451),0),
IF('TL17'!$B$3=O$3,SUMIF('TL17'!$C$10:$C$224,$C146,'TL17'!$J$10:$J$224),0),
IF('TL17'!$B$229=O$3,SUMIF('TL17'!$C$238:$C$451,$C146,'TL17'!$J$238:$J$451),0),
IF('TL18'!$B$3=O$3,SUMIF('TL18'!$C$10:$C$224,$C146,'TL18'!$J$10:$J$224),0),
IF('TL18'!$B$229=O$3,SUMIF('TL18'!$C$238:$C$451,$C146,'TL18'!$J$238:$J$451),0),
IF('TL19'!$B$3=O$3,SUMIF('TL19'!$C$10:$C$224,$C146,'TL19'!$J$10:$J$224),0),
IF('TL19'!$B$229=O$3,SUMIF('TL19'!$C$238:$C$451,$C146,'TL19'!$J$238:$J$451),0)
),0)</f>
        <v>0</v>
      </c>
      <c r="P146" s="9">
        <f>IFERROR(SUM(
IF('TL01'!$B$3=P$3,SUMIF('TL01'!$C$10:$C$224,$C146,'TL01'!$J$10:$J$224),0),
IF('TL01'!$B$229=P$3,SUMIF('TL01'!$C$238:$C$451,$C146,'TL01'!$J$238:$J$451),0),
IF('TL02'!$B$3=P$3,SUMIF('TL02'!$C$10:$C$224,$C146,'TL02'!$J$10:$J$224),0),
IF('TL02'!$B$229=P$3,SUMIF('TL02'!$C$238:$C$451,$C146,'TL02'!$J$238:$J$451),0),
IF('TL03'!$B$3=P$3,SUMIF('TL03'!$C$10:$C$224,$C146,'TL03'!$J$10:$J$224),0),
IF('TL03'!$B$229=P$3,SUMIF('TL03'!$C$238:$C$451,$C146,'TL03'!$J$238:$J$451),0),
IF('TL04'!$B$3=P$3,SUMIF('TL04'!$C$10:$C$224,$C146,'TL04'!$J$10:$J$224),0),
IF('TL04'!$B$229=P$3,SUMIF('TL04'!$C$238:$C$451,$C146,'TL04'!$J$238:$J$451),0),
IF('TL05'!$B$3=P$3,SUMIF('TL05'!$C$10:$C$224,$C146,'TL05'!$J$10:$J$224),0),
IF('TL05'!$B$229=P$3,SUMIF('TL05'!$C$238:$C$451,$C146,'TL05'!$J$238:$J$451),0),
IF('TL06'!$B$3=P$3,SUMIF('TL06'!$C$10:$C$224,$C146,'TL06'!$J$10:$J$224),0),
IF('TL06'!$B$229=P$3,SUMIF('TL06'!$C$238:$C$451,$C146,'TL06'!$J$238:$J$451),0),
IF('TL07'!$B$3=P$3,SUMIF('TL07'!$C$10:$C$224,$C146,'TL07'!$J$10:$J$224),0),
IF('TL07'!$B$229=P$3,SUMIF('TL07'!$C$238:$C$451,$C146,'TL07'!$J$238:$J$451),0),
IF('TL08'!$B$3=P$3,SUMIF('TL08'!$C$10:$C$224,$C146,'TL08'!$J$10:$J$224),0),
IF('TL08'!$B$229=P$3,SUMIF('TL08'!$C$238:$C$451,$C146,'TL08'!$J$238:$J$451),0),
IF('TL09'!$B$3=P$3,SUMIF('TL09'!$C$10:$C$224,$C146,'TL09'!$J$10:$J$224),0),
IF('TL09'!$B$229=P$3,SUMIF('TL09'!$C$238:$C$451,$C146,'TL09'!$J$238:$J$451),0),
IF('TL10'!$B$3=P$3,SUMIF('TL10'!$C$10:$C$224,$C146,'TL10'!$J$10:$J$224),0),
IF('TL10'!$B$229=P$3,SUMIF('TL10'!$C$238:$C$451,$C146,'TL10'!$J$238:$J$451),0),
IF('TL11'!$B$3=P$3,SUMIF('TL11'!$C$10:$C$224,$C146,'TL11'!$J$10:$J$224),0),
IF('TL11'!$B$229=P$3,SUMIF('TL11'!$C$238:$C$451,$C146,'TL11'!$J$238:$J$451),0),
IF('TL12'!$B$3=P$3,SUMIF('TL12'!$C$10:$C$224,$C146,'TL12'!$J$10:$J$224),0),
IF('TL12'!$B$229=P$3,SUMIF('TL12'!$C$238:$C$451,$C146,'TL12'!$J$238:$J$451),0),
IF('TL13'!$B$3=P$3,SUMIF('TL13'!$C$10:$C$224,$C146,'TL13'!$J$10:$J$224),0),
IF('TL13'!$B$229=P$3,SUMIF('TL13'!$C$238:$C$451,$C146,'TL13'!$J$238:$J$451),0),
IF('TL14'!$B$3=P$3,SUMIF('TL14'!$C$10:$C$224,$C146,'TL14'!$J$10:$J$224),0),
IF('TL14'!$B$229=P$3,SUMIF('TL14'!$C$238:$C$451,$C146,'TL14'!$J$238:$J$451),0),
IF('TL15'!$B$3=P$3,SUMIF('TL15'!$C$10:$C$224,$C146,'TL15'!$J$10:$J$224),0),
IF('TL15'!$B$229=P$3,SUMIF('TL15'!$C$238:$C$451,$C146,'TL15'!$J$238:$J$451),0),
IF('TL16'!$B$3=P$3,SUMIF('TL16'!$C$10:$C$224,$C146,'TL16'!$J$10:$J$224),0),
IF('TL16'!$B$229=P$3,SUMIF('TL16'!$C$238:$C$451,$C146,'TL16'!$J$238:$J$451),0),
IF('TL17'!$B$3=P$3,SUMIF('TL17'!$C$10:$C$224,$C146,'TL17'!$J$10:$J$224),0),
IF('TL17'!$B$229=P$3,SUMIF('TL17'!$C$238:$C$451,$C146,'TL17'!$J$238:$J$451),0),
IF('TL18'!$B$3=P$3,SUMIF('TL18'!$C$10:$C$224,$C146,'TL18'!$J$10:$J$224),0),
IF('TL18'!$B$229=P$3,SUMIF('TL18'!$C$238:$C$451,$C146,'TL18'!$J$238:$J$451),0),
IF('TL19'!$B$3=P$3,SUMIF('TL19'!$C$10:$C$224,$C146,'TL19'!$J$10:$J$224),0),
IF('TL19'!$B$229=P$3,SUMIF('TL19'!$C$238:$C$451,$C146,'TL19'!$J$238:$J$451),0)
),0)</f>
        <v>0</v>
      </c>
      <c r="Q146" s="9">
        <f>IFERROR(SUM(
IF('TL01'!$B$3=Q$3,SUMIF('TL01'!$C$10:$C$224,$C146,'TL01'!$J$10:$J$224),0),
IF('TL01'!$B$229=Q$3,SUMIF('TL01'!$C$238:$C$451,$C146,'TL01'!$J$238:$J$451),0),
IF('TL02'!$B$3=Q$3,SUMIF('TL02'!$C$10:$C$224,$C146,'TL02'!$J$10:$J$224),0),
IF('TL02'!$B$229=Q$3,SUMIF('TL02'!$C$238:$C$451,$C146,'TL02'!$J$238:$J$451),0),
IF('TL03'!$B$3=Q$3,SUMIF('TL03'!$C$10:$C$224,$C146,'TL03'!$J$10:$J$224),0),
IF('TL03'!$B$229=Q$3,SUMIF('TL03'!$C$238:$C$451,$C146,'TL03'!$J$238:$J$451),0),
IF('TL04'!$B$3=Q$3,SUMIF('TL04'!$C$10:$C$224,$C146,'TL04'!$J$10:$J$224),0),
IF('TL04'!$B$229=Q$3,SUMIF('TL04'!$C$238:$C$451,$C146,'TL04'!$J$238:$J$451),0),
IF('TL05'!$B$3=Q$3,SUMIF('TL05'!$C$10:$C$224,$C146,'TL05'!$J$10:$J$224),0),
IF('TL05'!$B$229=Q$3,SUMIF('TL05'!$C$238:$C$451,$C146,'TL05'!$J$238:$J$451),0),
IF('TL06'!$B$3=Q$3,SUMIF('TL06'!$C$10:$C$224,$C146,'TL06'!$J$10:$J$224),0),
IF('TL06'!$B$229=Q$3,SUMIF('TL06'!$C$238:$C$451,$C146,'TL06'!$J$238:$J$451),0),
IF('TL07'!$B$3=Q$3,SUMIF('TL07'!$C$10:$C$224,$C146,'TL07'!$J$10:$J$224),0),
IF('TL07'!$B$229=Q$3,SUMIF('TL07'!$C$238:$C$451,$C146,'TL07'!$J$238:$J$451),0),
IF('TL08'!$B$3=Q$3,SUMIF('TL08'!$C$10:$C$224,$C146,'TL08'!$J$10:$J$224),0),
IF('TL08'!$B$229=Q$3,SUMIF('TL08'!$C$238:$C$451,$C146,'TL08'!$J$238:$J$451),0),
IF('TL09'!$B$3=Q$3,SUMIF('TL09'!$C$10:$C$224,$C146,'TL09'!$J$10:$J$224),0),
IF('TL09'!$B$229=Q$3,SUMIF('TL09'!$C$238:$C$451,$C146,'TL09'!$J$238:$J$451),0),
IF('TL10'!$B$3=Q$3,SUMIF('TL10'!$C$10:$C$224,$C146,'TL10'!$J$10:$J$224),0),
IF('TL10'!$B$229=Q$3,SUMIF('TL10'!$C$238:$C$451,$C146,'TL10'!$J$238:$J$451),0),
IF('TL11'!$B$3=Q$3,SUMIF('TL11'!$C$10:$C$224,$C146,'TL11'!$J$10:$J$224),0),
IF('TL11'!$B$229=Q$3,SUMIF('TL11'!$C$238:$C$451,$C146,'TL11'!$J$238:$J$451),0),
IF('TL12'!$B$3=Q$3,SUMIF('TL12'!$C$10:$C$224,$C146,'TL12'!$J$10:$J$224),0),
IF('TL12'!$B$229=Q$3,SUMIF('TL12'!$C$238:$C$451,$C146,'TL12'!$J$238:$J$451),0),
IF('TL13'!$B$3=Q$3,SUMIF('TL13'!$C$10:$C$224,$C146,'TL13'!$J$10:$J$224),0),
IF('TL13'!$B$229=Q$3,SUMIF('TL13'!$C$238:$C$451,$C146,'TL13'!$J$238:$J$451),0),
IF('TL14'!$B$3=Q$3,SUMIF('TL14'!$C$10:$C$224,$C146,'TL14'!$J$10:$J$224),0),
IF('TL14'!$B$229=Q$3,SUMIF('TL14'!$C$238:$C$451,$C146,'TL14'!$J$238:$J$451),0),
IF('TL15'!$B$3=Q$3,SUMIF('TL15'!$C$10:$C$224,$C146,'TL15'!$J$10:$J$224),0),
IF('TL15'!$B$229=Q$3,SUMIF('TL15'!$C$238:$C$451,$C146,'TL15'!$J$238:$J$451),0),
IF('TL16'!$B$3=Q$3,SUMIF('TL16'!$C$10:$C$224,$C146,'TL16'!$J$10:$J$224),0),
IF('TL16'!$B$229=Q$3,SUMIF('TL16'!$C$238:$C$451,$C146,'TL16'!$J$238:$J$451),0),
IF('TL17'!$B$3=Q$3,SUMIF('TL17'!$C$10:$C$224,$C146,'TL17'!$J$10:$J$224),0),
IF('TL17'!$B$229=Q$3,SUMIF('TL17'!$C$238:$C$451,$C146,'TL17'!$J$238:$J$451),0),
IF('TL18'!$B$3=Q$3,SUMIF('TL18'!$C$10:$C$224,$C146,'TL18'!$J$10:$J$224),0),
IF('TL18'!$B$229=Q$3,SUMIF('TL18'!$C$238:$C$451,$C146,'TL18'!$J$238:$J$451),0),
IF('TL19'!$B$3=Q$3,SUMIF('TL19'!$C$10:$C$224,$C146,'TL19'!$J$10:$J$224),0),
IF('TL19'!$B$229=Q$3,SUMIF('TL19'!$C$238:$C$451,$C146,'TL19'!$J$238:$J$451),0)
),0)</f>
        <v>0</v>
      </c>
      <c r="R146" s="9">
        <f>IFERROR(
SUM(
SUMIF('TL01'!C:C,C146,'TL01'!J:J),
SUMIF('TL02'!C:C,C146,'TL02'!J:J),
SUMIF('TL03'!C:C,C146,'TL03'!J:J),
SUMIF('TL04'!C:C,C146,'TL04'!J:J),
SUMIF('TL05'!C:C,C146,'TL05'!J:J),
SUMIF('TL06'!C:C,C146,'TL06'!J:J),
SUMIF('TL07'!C:C,C146,'TL07'!J:J),
SUMIF('TL08'!C:C,C146,'TL08'!J:J),
SUMIF('TL09'!C:C,C146,'TL09'!J:J),
SUMIF('TL10'!C:C,C146,'TL10'!J:J),
SUMIF('TL11'!C:C,C146,'TL11'!J:J),
SUMIF('TL12'!C:C,C146,'TL12'!J:J),
SUMIF('TL13'!C:C,C146,'TL13'!J:J),
SUMIF('TL14'!C:C,C146,'TL14'!J:J),
SUMIF('TL15'!C:C,C146,'TL15'!J:J),
SUMIF('TL16'!C:C,C146,'TL16'!J:J),
SUMIF('TL17'!C:C,C146,'TL17'!J:J),
SUMIF('TL18'!C:C,C146,'TL18'!J:J),SUMIF('TL19'!C:C,C146,'TL19'!J:J))
,0)</f>
        <v>0</v>
      </c>
      <c r="S146" s="17">
        <f>IFERROR(__xludf.DUMMYFUNCTION("IFERROR(VLOOKUP(C146,
IMPORTRANGE(""1wULbzX32WdYsx-lj2U3uUNBBe2INVIRDtcK0d-Dvl90"",
""26-27!C:G""),
5,
FALSE),
"""")"),32.88804)</f>
        <v>32.88804</v>
      </c>
      <c r="T146" s="9"/>
      <c r="U146" s="92">
        <f t="shared" si="2"/>
        <v>0</v>
      </c>
      <c r="V146" s="93">
        <f t="shared" si="3"/>
        <v>0</v>
      </c>
    </row>
    <row r="147" ht="15.75" hidden="1" customHeight="1">
      <c r="A147" s="111" t="s">
        <v>516</v>
      </c>
      <c r="B147" s="112" t="s">
        <v>1</v>
      </c>
      <c r="C147" s="113" t="s">
        <v>702</v>
      </c>
      <c r="D147" s="113" t="s">
        <v>655</v>
      </c>
      <c r="E147" s="113">
        <v>750.0</v>
      </c>
      <c r="F147" s="4" t="s">
        <v>343</v>
      </c>
      <c r="G147" s="90" t="str">
        <f t="shared" si="4"/>
        <v>📄 Ver bula</v>
      </c>
      <c r="H147" s="9" t="str">
        <f>IFERROR(__xludf.DUMMYFUNCTION("IFERROR(VLOOKUP(C147,
IMPORTRANGE(""1wULbzX32WdYsx-lj2U3uUNBBe2INVIRDtcK0d-Dvl90"",
""26-27!C:K""),
8,
FALSE),
"""")"),"")</f>
        <v/>
      </c>
      <c r="I147" s="114" t="s">
        <v>703</v>
      </c>
      <c r="J147" s="9">
        <f>IFERROR(SUM(
IF('TL01'!$B$3=J$3,SUMIF('TL01'!$C$10:$C$224,$C147,'TL01'!$J$10:$J$224),0),
IF('TL01'!$B$229=J$3,SUMIF('TL01'!$C$238:$C$451,$C147,'TL01'!$J$238:$J$451),0),
IF('TL02'!$B$3=J$3,SUMIF('TL02'!$C$10:$C$224,$C147,'TL02'!$J$10:$J$224),0),
IF('TL02'!$B$229=J$3,SUMIF('TL02'!$C$238:$C$451,$C147,'TL02'!$J$238:$J$451),0),
IF('TL03'!$B$3=J$3,SUMIF('TL03'!$C$10:$C$224,$C147,'TL03'!$J$10:$J$224),0),
IF('TL03'!$B$229=J$3,SUMIF('TL03'!$C$238:$C$451,$C147,'TL03'!$J$238:$J$451),0),
IF('TL04'!$B$3=J$3,SUMIF('TL04'!$C$10:$C$224,$C147,'TL04'!$J$10:$J$224),0),
IF('TL04'!$B$229=J$3,SUMIF('TL04'!$C$238:$C$451,$C147,'TL04'!$J$238:$J$451),0),
IF('TL05'!$B$3=J$3,SUMIF('TL05'!$C$10:$C$224,$C147,'TL05'!$J$10:$J$224),0),
IF('TL05'!$B$229=J$3,SUMIF('TL05'!$C$238:$C$451,$C147,'TL05'!$J$238:$J$451),0),
IF('TL06'!$B$3=J$3,SUMIF('TL06'!$C$10:$C$224,$C147,'TL06'!$J$10:$J$224),0),
IF('TL06'!$B$229=J$3,SUMIF('TL06'!$C$238:$C$451,$C147,'TL06'!$J$238:$J$451),0),
IF('TL07'!$B$3=J$3,SUMIF('TL07'!$C$10:$C$224,$C147,'TL07'!$J$10:$J$224),0),
IF('TL07'!$B$229=J$3,SUMIF('TL07'!$C$238:$C$451,$C147,'TL07'!$J$238:$J$451),0),
IF('TL08'!$B$3=J$3,SUMIF('TL08'!$C$10:$C$224,$C147,'TL08'!$J$10:$J$224),0),
IF('TL08'!$B$229=J$3,SUMIF('TL08'!$C$238:$C$451,$C147,'TL08'!$J$238:$J$451),0),
IF('TL09'!$B$3=J$3,SUMIF('TL09'!$C$10:$C$224,$C147,'TL09'!$J$10:$J$224),0),
IF('TL09'!$B$229=J$3,SUMIF('TL09'!$C$238:$C$451,$C147,'TL09'!$J$238:$J$451),0),
IF('TL10'!$B$3=J$3,SUMIF('TL10'!$C$10:$C$224,$C147,'TL10'!$J$10:$J$224),0),
IF('TL10'!$B$229=J$3,SUMIF('TL10'!$C$238:$C$451,$C147,'TL10'!$J$238:$J$451),0),
IF('TL11'!$B$3=J$3,SUMIF('TL11'!$C$10:$C$224,$C147,'TL11'!$J$10:$J$224),0),
IF('TL11'!$B$229=J$3,SUMIF('TL11'!$C$238:$C$451,$C147,'TL11'!$J$238:$J$451),0),
IF('TL12'!$B$3=J$3,SUMIF('TL12'!$C$10:$C$224,$C147,'TL12'!$J$10:$J$224),0),
IF('TL12'!$B$229=J$3,SUMIF('TL12'!$C$238:$C$451,$C147,'TL12'!$J$238:$J$451),0),
IF('TL13'!$B$3=J$3,SUMIF('TL13'!$C$10:$C$224,$C147,'TL13'!$J$10:$J$224),0),
IF('TL13'!$B$229=J$3,SUMIF('TL13'!$C$238:$C$451,$C147,'TL13'!$J$238:$J$451),0),
IF('TL14'!$B$3=J$3,SUMIF('TL14'!$C$10:$C$224,$C147,'TL14'!$J$10:$J$224),0),
IF('TL14'!$B$229=J$3,SUMIF('TL14'!$C$238:$C$451,$C147,'TL14'!$J$238:$J$451),0),
IF('TL15'!$B$3=J$3,SUMIF('TL15'!$C$10:$C$224,$C147,'TL15'!$J$10:$J$224),0),
IF('TL15'!$B$229=J$3,SUMIF('TL15'!$C$238:$C$451,$C147,'TL15'!$J$238:$J$451),0),
IF('TL16'!$B$3=J$3,SUMIF('TL16'!$C$10:$C$224,$C147,'TL16'!$J$10:$J$224),0),
IF('TL16'!$B$229=J$3,SUMIF('TL16'!$C$238:$C$451,$C147,'TL16'!$J$238:$J$451),0),
IF('TL17'!$B$3=J$3,SUMIF('TL17'!$C$10:$C$224,$C147,'TL17'!$J$10:$J$224),0),
IF('TL17'!$B$229=J$3,SUMIF('TL17'!$C$238:$C$451,$C147,'TL17'!$J$238:$J$451),0),
IF('TL18'!$B$3=J$3,SUMIF('TL18'!$C$10:$C$224,$C147,'TL18'!$J$10:$J$224),0),
IF('TL18'!$B$229=J$3,SUMIF('TL18'!$C$238:$C$451,$C147,'TL18'!$J$238:$J$451),0),
IF('TL19'!$B$3=J$3,SUMIF('TL19'!$C$10:$C$224,$C147,'TL19'!$J$10:$J$224),0),
IF('TL19'!$B$229=J$3,SUMIF('TL19'!$C$238:$C$451,$C147,'TL19'!$J$238:$J$451),0)
),0)</f>
        <v>0</v>
      </c>
      <c r="K147" s="9">
        <f>IFERROR(SUM(
IF('TL01'!$B$3=K$3,SUMIF('TL01'!$C$10:$C$224,$C147,'TL01'!$J$10:$J$224),0),
IF('TL01'!$B$229=K$3,SUMIF('TL01'!$C$238:$C$451,$C147,'TL01'!$J$238:$J$451),0),
IF('TL02'!$B$3=K$3,SUMIF('TL02'!$C$10:$C$224,$C147,'TL02'!$J$10:$J$224),0),
IF('TL02'!$B$229=K$3,SUMIF('TL02'!$C$238:$C$451,$C147,'TL02'!$J$238:$J$451),0),
IF('TL03'!$B$3=K$3,SUMIF('TL03'!$C$10:$C$224,$C147,'TL03'!$J$10:$J$224),0),
IF('TL03'!$B$229=K$3,SUMIF('TL03'!$C$238:$C$451,$C147,'TL03'!$J$238:$J$451),0),
IF('TL04'!$B$3=K$3,SUMIF('TL04'!$C$10:$C$224,$C147,'TL04'!$J$10:$J$224),0),
IF('TL04'!$B$229=K$3,SUMIF('TL04'!$C$238:$C$451,$C147,'TL04'!$J$238:$J$451),0),
IF('TL05'!$B$3=K$3,SUMIF('TL05'!$C$10:$C$224,$C147,'TL05'!$J$10:$J$224),0),
IF('TL05'!$B$229=K$3,SUMIF('TL05'!$C$238:$C$451,$C147,'TL05'!$J$238:$J$451),0),
IF('TL06'!$B$3=K$3,SUMIF('TL06'!$C$10:$C$224,$C147,'TL06'!$J$10:$J$224),0),
IF('TL06'!$B$229=K$3,SUMIF('TL06'!$C$238:$C$451,$C147,'TL06'!$J$238:$J$451),0),
IF('TL07'!$B$3=K$3,SUMIF('TL07'!$C$10:$C$224,$C147,'TL07'!$J$10:$J$224),0),
IF('TL07'!$B$229=K$3,SUMIF('TL07'!$C$238:$C$451,$C147,'TL07'!$J$238:$J$451),0),
IF('TL08'!$B$3=K$3,SUMIF('TL08'!$C$10:$C$224,$C147,'TL08'!$J$10:$J$224),0),
IF('TL08'!$B$229=K$3,SUMIF('TL08'!$C$238:$C$451,$C147,'TL08'!$J$238:$J$451),0),
IF('TL09'!$B$3=K$3,SUMIF('TL09'!$C$10:$C$224,$C147,'TL09'!$J$10:$J$224),0),
IF('TL09'!$B$229=K$3,SUMIF('TL09'!$C$238:$C$451,$C147,'TL09'!$J$238:$J$451),0),
IF('TL10'!$B$3=K$3,SUMIF('TL10'!$C$10:$C$224,$C147,'TL10'!$J$10:$J$224),0),
IF('TL10'!$B$229=K$3,SUMIF('TL10'!$C$238:$C$451,$C147,'TL10'!$J$238:$J$451),0),
IF('TL11'!$B$3=K$3,SUMIF('TL11'!$C$10:$C$224,$C147,'TL11'!$J$10:$J$224),0),
IF('TL11'!$B$229=K$3,SUMIF('TL11'!$C$238:$C$451,$C147,'TL11'!$J$238:$J$451),0),
IF('TL12'!$B$3=K$3,SUMIF('TL12'!$C$10:$C$224,$C147,'TL12'!$J$10:$J$224),0),
IF('TL12'!$B$229=K$3,SUMIF('TL12'!$C$238:$C$451,$C147,'TL12'!$J$238:$J$451),0),
IF('TL13'!$B$3=K$3,SUMIF('TL13'!$C$10:$C$224,$C147,'TL13'!$J$10:$J$224),0),
IF('TL13'!$B$229=K$3,SUMIF('TL13'!$C$238:$C$451,$C147,'TL13'!$J$238:$J$451),0),
IF('TL14'!$B$3=K$3,SUMIF('TL14'!$C$10:$C$224,$C147,'TL14'!$J$10:$J$224),0),
IF('TL14'!$B$229=K$3,SUMIF('TL14'!$C$238:$C$451,$C147,'TL14'!$J$238:$J$451),0),
IF('TL15'!$B$3=K$3,SUMIF('TL15'!$C$10:$C$224,$C147,'TL15'!$J$10:$J$224),0),
IF('TL15'!$B$229=K$3,SUMIF('TL15'!$C$238:$C$451,$C147,'TL15'!$J$238:$J$451),0),
IF('TL16'!$B$3=K$3,SUMIF('TL16'!$C$10:$C$224,$C147,'TL16'!$J$10:$J$224),0),
IF('TL16'!$B$229=K$3,SUMIF('TL16'!$C$238:$C$451,$C147,'TL16'!$J$238:$J$451),0),
IF('TL17'!$B$3=K$3,SUMIF('TL17'!$C$10:$C$224,$C147,'TL17'!$J$10:$J$224),0),
IF('TL17'!$B$229=K$3,SUMIF('TL17'!$C$238:$C$451,$C147,'TL17'!$J$238:$J$451),0),
IF('TL18'!$B$3=K$3,SUMIF('TL18'!$C$10:$C$224,$C147,'TL18'!$J$10:$J$224),0),
IF('TL18'!$B$229=K$3,SUMIF('TL18'!$C$238:$C$451,$C147,'TL18'!$J$238:$J$451),0),
IF('TL19'!$B$3=K$3,SUMIF('TL19'!$C$10:$C$224,$C147,'TL19'!$J$10:$J$224),0),
IF('TL19'!$B$229=K$3,SUMIF('TL19'!$C$238:$C$451,$C147,'TL19'!$J$238:$J$451),0)
),0)</f>
        <v>0</v>
      </c>
      <c r="L147" s="9">
        <f>IFERROR(SUM(
IF('TL01'!$B$3=L$3,SUMIF('TL01'!$C$10:$C$224,$C147,'TL01'!$J$10:$J$224),0),
IF('TL01'!$B$229=L$3,SUMIF('TL01'!$C$238:$C$451,$C147,'TL01'!$J$238:$J$451),0),
IF('TL02'!$B$3=L$3,SUMIF('TL02'!$C$10:$C$224,$C147,'TL02'!$J$10:$J$224),0),
IF('TL02'!$B$229=L$3,SUMIF('TL02'!$C$238:$C$451,$C147,'TL02'!$J$238:$J$451),0),
IF('TL03'!$B$3=L$3,SUMIF('TL03'!$C$10:$C$224,$C147,'TL03'!$J$10:$J$224),0),
IF('TL03'!$B$229=L$3,SUMIF('TL03'!$C$238:$C$451,$C147,'TL03'!$J$238:$J$451),0),
IF('TL04'!$B$3=L$3,SUMIF('TL04'!$C$10:$C$224,$C147,'TL04'!$J$10:$J$224),0),
IF('TL04'!$B$229=L$3,SUMIF('TL04'!$C$238:$C$451,$C147,'TL04'!$J$238:$J$451),0),
IF('TL05'!$B$3=L$3,SUMIF('TL05'!$C$10:$C$224,$C147,'TL05'!$J$10:$J$224),0),
IF('TL05'!$B$229=L$3,SUMIF('TL05'!$C$238:$C$451,$C147,'TL05'!$J$238:$J$451),0),
IF('TL06'!$B$3=L$3,SUMIF('TL06'!$C$10:$C$224,$C147,'TL06'!$J$10:$J$224),0),
IF('TL06'!$B$229=L$3,SUMIF('TL06'!$C$238:$C$451,$C147,'TL06'!$J$238:$J$451),0),
IF('TL07'!$B$3=L$3,SUMIF('TL07'!$C$10:$C$224,$C147,'TL07'!$J$10:$J$224),0),
IF('TL07'!$B$229=L$3,SUMIF('TL07'!$C$238:$C$451,$C147,'TL07'!$J$238:$J$451),0),
IF('TL08'!$B$3=L$3,SUMIF('TL08'!$C$10:$C$224,$C147,'TL08'!$J$10:$J$224),0),
IF('TL08'!$B$229=L$3,SUMIF('TL08'!$C$238:$C$451,$C147,'TL08'!$J$238:$J$451),0),
IF('TL09'!$B$3=L$3,SUMIF('TL09'!$C$10:$C$224,$C147,'TL09'!$J$10:$J$224),0),
IF('TL09'!$B$229=L$3,SUMIF('TL09'!$C$238:$C$451,$C147,'TL09'!$J$238:$J$451),0),
IF('TL10'!$B$3=L$3,SUMIF('TL10'!$C$10:$C$224,$C147,'TL10'!$J$10:$J$224),0),
IF('TL10'!$B$229=L$3,SUMIF('TL10'!$C$238:$C$451,$C147,'TL10'!$J$238:$J$451),0),
IF('TL11'!$B$3=L$3,SUMIF('TL11'!$C$10:$C$224,$C147,'TL11'!$J$10:$J$224),0),
IF('TL11'!$B$229=L$3,SUMIF('TL11'!$C$238:$C$451,$C147,'TL11'!$J$238:$J$451),0),
IF('TL12'!$B$3=L$3,SUMIF('TL12'!$C$10:$C$224,$C147,'TL12'!$J$10:$J$224),0),
IF('TL12'!$B$229=L$3,SUMIF('TL12'!$C$238:$C$451,$C147,'TL12'!$J$238:$J$451),0),
IF('TL13'!$B$3=L$3,SUMIF('TL13'!$C$10:$C$224,$C147,'TL13'!$J$10:$J$224),0),
IF('TL13'!$B$229=L$3,SUMIF('TL13'!$C$238:$C$451,$C147,'TL13'!$J$238:$J$451),0),
IF('TL14'!$B$3=L$3,SUMIF('TL14'!$C$10:$C$224,$C147,'TL14'!$J$10:$J$224),0),
IF('TL14'!$B$229=L$3,SUMIF('TL14'!$C$238:$C$451,$C147,'TL14'!$J$238:$J$451),0),
IF('TL15'!$B$3=L$3,SUMIF('TL15'!$C$10:$C$224,$C147,'TL15'!$J$10:$J$224),0),
IF('TL15'!$B$229=L$3,SUMIF('TL15'!$C$238:$C$451,$C147,'TL15'!$J$238:$J$451),0),
IF('TL16'!$B$3=L$3,SUMIF('TL16'!$C$10:$C$224,$C147,'TL16'!$J$10:$J$224),0),
IF('TL16'!$B$229=L$3,SUMIF('TL16'!$C$238:$C$451,$C147,'TL16'!$J$238:$J$451),0),
IF('TL17'!$B$3=L$3,SUMIF('TL17'!$C$10:$C$224,$C147,'TL17'!$J$10:$J$224),0),
IF('TL17'!$B$229=L$3,SUMIF('TL17'!$C$238:$C$451,$C147,'TL17'!$J$238:$J$451),0),
IF('TL18'!$B$3=L$3,SUMIF('TL18'!$C$10:$C$224,$C147,'TL18'!$J$10:$J$224),0),
IF('TL18'!$B$229=L$3,SUMIF('TL18'!$C$238:$C$451,$C147,'TL18'!$J$238:$J$451),0),
IF('TL19'!$B$3=L$3,SUMIF('TL19'!$C$10:$C$224,$C147,'TL19'!$J$10:$J$224),0),
IF('TL19'!$B$229=L$3,SUMIF('TL19'!$C$238:$C$451,$C147,'TL19'!$J$238:$J$451),0)
),0)</f>
        <v>0</v>
      </c>
      <c r="M147" s="9">
        <f>IFERROR(SUM(
IF('TL01'!$B$3=M$3,SUMIF('TL01'!$C$10:$C$224,$C147,'TL01'!$J$10:$J$224),0),
IF('TL01'!$B$229=M$3,SUMIF('TL01'!$C$238:$C$451,$C147,'TL01'!$J$238:$J$451),0),
IF('TL02'!$B$3=M$3,SUMIF('TL02'!$C$10:$C$224,$C147,'TL02'!$J$10:$J$224),0),
IF('TL02'!$B$229=M$3,SUMIF('TL02'!$C$238:$C$451,$C147,'TL02'!$J$238:$J$451),0),
IF('TL03'!$B$3=M$3,SUMIF('TL03'!$C$10:$C$224,$C147,'TL03'!$J$10:$J$224),0),
IF('TL03'!$B$229=M$3,SUMIF('TL03'!$C$238:$C$451,$C147,'TL03'!$J$238:$J$451),0),
IF('TL04'!$B$3=M$3,SUMIF('TL04'!$C$10:$C$224,$C147,'TL04'!$J$10:$J$224),0),
IF('TL04'!$B$229=M$3,SUMIF('TL04'!$C$238:$C$451,$C147,'TL04'!$J$238:$J$451),0),
IF('TL05'!$B$3=M$3,SUMIF('TL05'!$C$10:$C$224,$C147,'TL05'!$J$10:$J$224),0),
IF('TL05'!$B$229=M$3,SUMIF('TL05'!$C$238:$C$451,$C147,'TL05'!$J$238:$J$451),0),
IF('TL06'!$B$3=M$3,SUMIF('TL06'!$C$10:$C$224,$C147,'TL06'!$J$10:$J$224),0),
IF('TL06'!$B$229=M$3,SUMIF('TL06'!$C$238:$C$451,$C147,'TL06'!$J$238:$J$451),0),
IF('TL07'!$B$3=M$3,SUMIF('TL07'!$C$10:$C$224,$C147,'TL07'!$J$10:$J$224),0),
IF('TL07'!$B$229=M$3,SUMIF('TL07'!$C$238:$C$451,$C147,'TL07'!$J$238:$J$451),0),
IF('TL08'!$B$3=M$3,SUMIF('TL08'!$C$10:$C$224,$C147,'TL08'!$J$10:$J$224),0),
IF('TL08'!$B$229=M$3,SUMIF('TL08'!$C$238:$C$451,$C147,'TL08'!$J$238:$J$451),0),
IF('TL09'!$B$3=M$3,SUMIF('TL09'!$C$10:$C$224,$C147,'TL09'!$J$10:$J$224),0),
IF('TL09'!$B$229=M$3,SUMIF('TL09'!$C$238:$C$451,$C147,'TL09'!$J$238:$J$451),0),
IF('TL10'!$B$3=M$3,SUMIF('TL10'!$C$10:$C$224,$C147,'TL10'!$J$10:$J$224),0),
IF('TL10'!$B$229=M$3,SUMIF('TL10'!$C$238:$C$451,$C147,'TL10'!$J$238:$J$451),0),
IF('TL11'!$B$3=M$3,SUMIF('TL11'!$C$10:$C$224,$C147,'TL11'!$J$10:$J$224),0),
IF('TL11'!$B$229=M$3,SUMIF('TL11'!$C$238:$C$451,$C147,'TL11'!$J$238:$J$451),0),
IF('TL12'!$B$3=M$3,SUMIF('TL12'!$C$10:$C$224,$C147,'TL12'!$J$10:$J$224),0),
IF('TL12'!$B$229=M$3,SUMIF('TL12'!$C$238:$C$451,$C147,'TL12'!$J$238:$J$451),0),
IF('TL13'!$B$3=M$3,SUMIF('TL13'!$C$10:$C$224,$C147,'TL13'!$J$10:$J$224),0),
IF('TL13'!$B$229=M$3,SUMIF('TL13'!$C$238:$C$451,$C147,'TL13'!$J$238:$J$451),0),
IF('TL14'!$B$3=M$3,SUMIF('TL14'!$C$10:$C$224,$C147,'TL14'!$J$10:$J$224),0),
IF('TL14'!$B$229=M$3,SUMIF('TL14'!$C$238:$C$451,$C147,'TL14'!$J$238:$J$451),0),
IF('TL15'!$B$3=M$3,SUMIF('TL15'!$C$10:$C$224,$C147,'TL15'!$J$10:$J$224),0),
IF('TL15'!$B$229=M$3,SUMIF('TL15'!$C$238:$C$451,$C147,'TL15'!$J$238:$J$451),0),
IF('TL16'!$B$3=M$3,SUMIF('TL16'!$C$10:$C$224,$C147,'TL16'!$J$10:$J$224),0),
IF('TL16'!$B$229=M$3,SUMIF('TL16'!$C$238:$C$451,$C147,'TL16'!$J$238:$J$451),0),
IF('TL17'!$B$3=M$3,SUMIF('TL17'!$C$10:$C$224,$C147,'TL17'!$J$10:$J$224),0),
IF('TL17'!$B$229=M$3,SUMIF('TL17'!$C$238:$C$451,$C147,'TL17'!$J$238:$J$451),0),
IF('TL18'!$B$3=M$3,SUMIF('TL18'!$C$10:$C$224,$C147,'TL18'!$J$10:$J$224),0),
IF('TL18'!$B$229=M$3,SUMIF('TL18'!$C$238:$C$451,$C147,'TL18'!$J$238:$J$451),0),
IF('TL19'!$B$3=M$3,SUMIF('TL19'!$C$10:$C$224,$C147,'TL19'!$J$10:$J$224),0),
IF('TL19'!$B$229=M$3,SUMIF('TL19'!$C$238:$C$451,$C147,'TL19'!$J$238:$J$451),0)
),0)</f>
        <v>0</v>
      </c>
      <c r="N147" s="9">
        <f>IFERROR(SUM(
IF('TL01'!$B$3=N$3,SUMIF('TL01'!$C$10:$C$224,$C147,'TL01'!$J$10:$J$224),0),
IF('TL01'!$B$229=N$3,SUMIF('TL01'!$C$238:$C$451,$C147,'TL01'!$J$238:$J$451),0),
IF('TL02'!$B$3=N$3,SUMIF('TL02'!$C$10:$C$224,$C147,'TL02'!$J$10:$J$224),0),
IF('TL02'!$B$229=N$3,SUMIF('TL02'!$C$238:$C$451,$C147,'TL02'!$J$238:$J$451),0),
IF('TL03'!$B$3=N$3,SUMIF('TL03'!$C$10:$C$224,$C147,'TL03'!$J$10:$J$224),0),
IF('TL03'!$B$229=N$3,SUMIF('TL03'!$C$238:$C$451,$C147,'TL03'!$J$238:$J$451),0),
IF('TL04'!$B$3=N$3,SUMIF('TL04'!$C$10:$C$224,$C147,'TL04'!$J$10:$J$224),0),
IF('TL04'!$B$229=N$3,SUMIF('TL04'!$C$238:$C$451,$C147,'TL04'!$J$238:$J$451),0),
IF('TL05'!$B$3=N$3,SUMIF('TL05'!$C$10:$C$224,$C147,'TL05'!$J$10:$J$224),0),
IF('TL05'!$B$229=N$3,SUMIF('TL05'!$C$238:$C$451,$C147,'TL05'!$J$238:$J$451),0),
IF('TL06'!$B$3=N$3,SUMIF('TL06'!$C$10:$C$224,$C147,'TL06'!$J$10:$J$224),0),
IF('TL06'!$B$229=N$3,SUMIF('TL06'!$C$238:$C$451,$C147,'TL06'!$J$238:$J$451),0),
IF('TL07'!$B$3=N$3,SUMIF('TL07'!$C$10:$C$224,$C147,'TL07'!$J$10:$J$224),0),
IF('TL07'!$B$229=N$3,SUMIF('TL07'!$C$238:$C$451,$C147,'TL07'!$J$238:$J$451),0),
IF('TL08'!$B$3=N$3,SUMIF('TL08'!$C$10:$C$224,$C147,'TL08'!$J$10:$J$224),0),
IF('TL08'!$B$229=N$3,SUMIF('TL08'!$C$238:$C$451,$C147,'TL08'!$J$238:$J$451),0),
IF('TL09'!$B$3=N$3,SUMIF('TL09'!$C$10:$C$224,$C147,'TL09'!$J$10:$J$224),0),
IF('TL09'!$B$229=N$3,SUMIF('TL09'!$C$238:$C$451,$C147,'TL09'!$J$238:$J$451),0),
IF('TL10'!$B$3=N$3,SUMIF('TL10'!$C$10:$C$224,$C147,'TL10'!$J$10:$J$224),0),
IF('TL10'!$B$229=N$3,SUMIF('TL10'!$C$238:$C$451,$C147,'TL10'!$J$238:$J$451),0),
IF('TL11'!$B$3=N$3,SUMIF('TL11'!$C$10:$C$224,$C147,'TL11'!$J$10:$J$224),0),
IF('TL11'!$B$229=N$3,SUMIF('TL11'!$C$238:$C$451,$C147,'TL11'!$J$238:$J$451),0),
IF('TL12'!$B$3=N$3,SUMIF('TL12'!$C$10:$C$224,$C147,'TL12'!$J$10:$J$224),0),
IF('TL12'!$B$229=N$3,SUMIF('TL12'!$C$238:$C$451,$C147,'TL12'!$J$238:$J$451),0),
IF('TL13'!$B$3=N$3,SUMIF('TL13'!$C$10:$C$224,$C147,'TL13'!$J$10:$J$224),0),
IF('TL13'!$B$229=N$3,SUMIF('TL13'!$C$238:$C$451,$C147,'TL13'!$J$238:$J$451),0),
IF('TL14'!$B$3=N$3,SUMIF('TL14'!$C$10:$C$224,$C147,'TL14'!$J$10:$J$224),0),
IF('TL14'!$B$229=N$3,SUMIF('TL14'!$C$238:$C$451,$C147,'TL14'!$J$238:$J$451),0),
IF('TL15'!$B$3=N$3,SUMIF('TL15'!$C$10:$C$224,$C147,'TL15'!$J$10:$J$224),0),
IF('TL15'!$B$229=N$3,SUMIF('TL15'!$C$238:$C$451,$C147,'TL15'!$J$238:$J$451),0),
IF('TL16'!$B$3=N$3,SUMIF('TL16'!$C$10:$C$224,$C147,'TL16'!$J$10:$J$224),0),
IF('TL16'!$B$229=N$3,SUMIF('TL16'!$C$238:$C$451,$C147,'TL16'!$J$238:$J$451),0),
IF('TL17'!$B$3=N$3,SUMIF('TL17'!$C$10:$C$224,$C147,'TL17'!$J$10:$J$224),0),
IF('TL17'!$B$229=N$3,SUMIF('TL17'!$C$238:$C$451,$C147,'TL17'!$J$238:$J$451),0),
IF('TL18'!$B$3=N$3,SUMIF('TL18'!$C$10:$C$224,$C147,'TL18'!$J$10:$J$224),0),
IF('TL18'!$B$229=N$3,SUMIF('TL18'!$C$238:$C$451,$C147,'TL18'!$J$238:$J$451),0),
IF('TL19'!$B$3=N$3,SUMIF('TL19'!$C$10:$C$224,$C147,'TL19'!$J$10:$J$224),0),
IF('TL19'!$B$229=N$3,SUMIF('TL19'!$C$238:$C$451,$C147,'TL19'!$J$238:$J$451),0)
),0)</f>
        <v>0</v>
      </c>
      <c r="O147" s="9">
        <f>IFERROR(SUM(
IF('TL01'!$B$3=O$3,SUMIF('TL01'!$C$10:$C$224,$C147,'TL01'!$J$10:$J$224),0),
IF('TL01'!$B$229=O$3,SUMIF('TL01'!$C$238:$C$451,$C147,'TL01'!$J$238:$J$451),0),
IF('TL02'!$B$3=O$3,SUMIF('TL02'!$C$10:$C$224,$C147,'TL02'!$J$10:$J$224),0),
IF('TL02'!$B$229=O$3,SUMIF('TL02'!$C$238:$C$451,$C147,'TL02'!$J$238:$J$451),0),
IF('TL03'!$B$3=O$3,SUMIF('TL03'!$C$10:$C$224,$C147,'TL03'!$J$10:$J$224),0),
IF('TL03'!$B$229=O$3,SUMIF('TL03'!$C$238:$C$451,$C147,'TL03'!$J$238:$J$451),0),
IF('TL04'!$B$3=O$3,SUMIF('TL04'!$C$10:$C$224,$C147,'TL04'!$J$10:$J$224),0),
IF('TL04'!$B$229=O$3,SUMIF('TL04'!$C$238:$C$451,$C147,'TL04'!$J$238:$J$451),0),
IF('TL05'!$B$3=O$3,SUMIF('TL05'!$C$10:$C$224,$C147,'TL05'!$J$10:$J$224),0),
IF('TL05'!$B$229=O$3,SUMIF('TL05'!$C$238:$C$451,$C147,'TL05'!$J$238:$J$451),0),
IF('TL06'!$B$3=O$3,SUMIF('TL06'!$C$10:$C$224,$C147,'TL06'!$J$10:$J$224),0),
IF('TL06'!$B$229=O$3,SUMIF('TL06'!$C$238:$C$451,$C147,'TL06'!$J$238:$J$451),0),
IF('TL07'!$B$3=O$3,SUMIF('TL07'!$C$10:$C$224,$C147,'TL07'!$J$10:$J$224),0),
IF('TL07'!$B$229=O$3,SUMIF('TL07'!$C$238:$C$451,$C147,'TL07'!$J$238:$J$451),0),
IF('TL08'!$B$3=O$3,SUMIF('TL08'!$C$10:$C$224,$C147,'TL08'!$J$10:$J$224),0),
IF('TL08'!$B$229=O$3,SUMIF('TL08'!$C$238:$C$451,$C147,'TL08'!$J$238:$J$451),0),
IF('TL09'!$B$3=O$3,SUMIF('TL09'!$C$10:$C$224,$C147,'TL09'!$J$10:$J$224),0),
IF('TL09'!$B$229=O$3,SUMIF('TL09'!$C$238:$C$451,$C147,'TL09'!$J$238:$J$451),0),
IF('TL10'!$B$3=O$3,SUMIF('TL10'!$C$10:$C$224,$C147,'TL10'!$J$10:$J$224),0),
IF('TL10'!$B$229=O$3,SUMIF('TL10'!$C$238:$C$451,$C147,'TL10'!$J$238:$J$451),0),
IF('TL11'!$B$3=O$3,SUMIF('TL11'!$C$10:$C$224,$C147,'TL11'!$J$10:$J$224),0),
IF('TL11'!$B$229=O$3,SUMIF('TL11'!$C$238:$C$451,$C147,'TL11'!$J$238:$J$451),0),
IF('TL12'!$B$3=O$3,SUMIF('TL12'!$C$10:$C$224,$C147,'TL12'!$J$10:$J$224),0),
IF('TL12'!$B$229=O$3,SUMIF('TL12'!$C$238:$C$451,$C147,'TL12'!$J$238:$J$451),0),
IF('TL13'!$B$3=O$3,SUMIF('TL13'!$C$10:$C$224,$C147,'TL13'!$J$10:$J$224),0),
IF('TL13'!$B$229=O$3,SUMIF('TL13'!$C$238:$C$451,$C147,'TL13'!$J$238:$J$451),0),
IF('TL14'!$B$3=O$3,SUMIF('TL14'!$C$10:$C$224,$C147,'TL14'!$J$10:$J$224),0),
IF('TL14'!$B$229=O$3,SUMIF('TL14'!$C$238:$C$451,$C147,'TL14'!$J$238:$J$451),0),
IF('TL15'!$B$3=O$3,SUMIF('TL15'!$C$10:$C$224,$C147,'TL15'!$J$10:$J$224),0),
IF('TL15'!$B$229=O$3,SUMIF('TL15'!$C$238:$C$451,$C147,'TL15'!$J$238:$J$451),0),
IF('TL16'!$B$3=O$3,SUMIF('TL16'!$C$10:$C$224,$C147,'TL16'!$J$10:$J$224),0),
IF('TL16'!$B$229=O$3,SUMIF('TL16'!$C$238:$C$451,$C147,'TL16'!$J$238:$J$451),0),
IF('TL17'!$B$3=O$3,SUMIF('TL17'!$C$10:$C$224,$C147,'TL17'!$J$10:$J$224),0),
IF('TL17'!$B$229=O$3,SUMIF('TL17'!$C$238:$C$451,$C147,'TL17'!$J$238:$J$451),0),
IF('TL18'!$B$3=O$3,SUMIF('TL18'!$C$10:$C$224,$C147,'TL18'!$J$10:$J$224),0),
IF('TL18'!$B$229=O$3,SUMIF('TL18'!$C$238:$C$451,$C147,'TL18'!$J$238:$J$451),0),
IF('TL19'!$B$3=O$3,SUMIF('TL19'!$C$10:$C$224,$C147,'TL19'!$J$10:$J$224),0),
IF('TL19'!$B$229=O$3,SUMIF('TL19'!$C$238:$C$451,$C147,'TL19'!$J$238:$J$451),0)
),0)</f>
        <v>0</v>
      </c>
      <c r="P147" s="9">
        <f>IFERROR(SUM(
IF('TL01'!$B$3=P$3,SUMIF('TL01'!$C$10:$C$224,$C147,'TL01'!$J$10:$J$224),0),
IF('TL01'!$B$229=P$3,SUMIF('TL01'!$C$238:$C$451,$C147,'TL01'!$J$238:$J$451),0),
IF('TL02'!$B$3=P$3,SUMIF('TL02'!$C$10:$C$224,$C147,'TL02'!$J$10:$J$224),0),
IF('TL02'!$B$229=P$3,SUMIF('TL02'!$C$238:$C$451,$C147,'TL02'!$J$238:$J$451),0),
IF('TL03'!$B$3=P$3,SUMIF('TL03'!$C$10:$C$224,$C147,'TL03'!$J$10:$J$224),0),
IF('TL03'!$B$229=P$3,SUMIF('TL03'!$C$238:$C$451,$C147,'TL03'!$J$238:$J$451),0),
IF('TL04'!$B$3=P$3,SUMIF('TL04'!$C$10:$C$224,$C147,'TL04'!$J$10:$J$224),0),
IF('TL04'!$B$229=P$3,SUMIF('TL04'!$C$238:$C$451,$C147,'TL04'!$J$238:$J$451),0),
IF('TL05'!$B$3=P$3,SUMIF('TL05'!$C$10:$C$224,$C147,'TL05'!$J$10:$J$224),0),
IF('TL05'!$B$229=P$3,SUMIF('TL05'!$C$238:$C$451,$C147,'TL05'!$J$238:$J$451),0),
IF('TL06'!$B$3=P$3,SUMIF('TL06'!$C$10:$C$224,$C147,'TL06'!$J$10:$J$224),0),
IF('TL06'!$B$229=P$3,SUMIF('TL06'!$C$238:$C$451,$C147,'TL06'!$J$238:$J$451),0),
IF('TL07'!$B$3=P$3,SUMIF('TL07'!$C$10:$C$224,$C147,'TL07'!$J$10:$J$224),0),
IF('TL07'!$B$229=P$3,SUMIF('TL07'!$C$238:$C$451,$C147,'TL07'!$J$238:$J$451),0),
IF('TL08'!$B$3=P$3,SUMIF('TL08'!$C$10:$C$224,$C147,'TL08'!$J$10:$J$224),0),
IF('TL08'!$B$229=P$3,SUMIF('TL08'!$C$238:$C$451,$C147,'TL08'!$J$238:$J$451),0),
IF('TL09'!$B$3=P$3,SUMIF('TL09'!$C$10:$C$224,$C147,'TL09'!$J$10:$J$224),0),
IF('TL09'!$B$229=P$3,SUMIF('TL09'!$C$238:$C$451,$C147,'TL09'!$J$238:$J$451),0),
IF('TL10'!$B$3=P$3,SUMIF('TL10'!$C$10:$C$224,$C147,'TL10'!$J$10:$J$224),0),
IF('TL10'!$B$229=P$3,SUMIF('TL10'!$C$238:$C$451,$C147,'TL10'!$J$238:$J$451),0),
IF('TL11'!$B$3=P$3,SUMIF('TL11'!$C$10:$C$224,$C147,'TL11'!$J$10:$J$224),0),
IF('TL11'!$B$229=P$3,SUMIF('TL11'!$C$238:$C$451,$C147,'TL11'!$J$238:$J$451),0),
IF('TL12'!$B$3=P$3,SUMIF('TL12'!$C$10:$C$224,$C147,'TL12'!$J$10:$J$224),0),
IF('TL12'!$B$229=P$3,SUMIF('TL12'!$C$238:$C$451,$C147,'TL12'!$J$238:$J$451),0),
IF('TL13'!$B$3=P$3,SUMIF('TL13'!$C$10:$C$224,$C147,'TL13'!$J$10:$J$224),0),
IF('TL13'!$B$229=P$3,SUMIF('TL13'!$C$238:$C$451,$C147,'TL13'!$J$238:$J$451),0),
IF('TL14'!$B$3=P$3,SUMIF('TL14'!$C$10:$C$224,$C147,'TL14'!$J$10:$J$224),0),
IF('TL14'!$B$229=P$3,SUMIF('TL14'!$C$238:$C$451,$C147,'TL14'!$J$238:$J$451),0),
IF('TL15'!$B$3=P$3,SUMIF('TL15'!$C$10:$C$224,$C147,'TL15'!$J$10:$J$224),0),
IF('TL15'!$B$229=P$3,SUMIF('TL15'!$C$238:$C$451,$C147,'TL15'!$J$238:$J$451),0),
IF('TL16'!$B$3=P$3,SUMIF('TL16'!$C$10:$C$224,$C147,'TL16'!$J$10:$J$224),0),
IF('TL16'!$B$229=P$3,SUMIF('TL16'!$C$238:$C$451,$C147,'TL16'!$J$238:$J$451),0),
IF('TL17'!$B$3=P$3,SUMIF('TL17'!$C$10:$C$224,$C147,'TL17'!$J$10:$J$224),0),
IF('TL17'!$B$229=P$3,SUMIF('TL17'!$C$238:$C$451,$C147,'TL17'!$J$238:$J$451),0),
IF('TL18'!$B$3=P$3,SUMIF('TL18'!$C$10:$C$224,$C147,'TL18'!$J$10:$J$224),0),
IF('TL18'!$B$229=P$3,SUMIF('TL18'!$C$238:$C$451,$C147,'TL18'!$J$238:$J$451),0),
IF('TL19'!$B$3=P$3,SUMIF('TL19'!$C$10:$C$224,$C147,'TL19'!$J$10:$J$224),0),
IF('TL19'!$B$229=P$3,SUMIF('TL19'!$C$238:$C$451,$C147,'TL19'!$J$238:$J$451),0)
),0)</f>
        <v>0</v>
      </c>
      <c r="Q147" s="9">
        <f>IFERROR(SUM(
IF('TL01'!$B$3=Q$3,SUMIF('TL01'!$C$10:$C$224,$C147,'TL01'!$J$10:$J$224),0),
IF('TL01'!$B$229=Q$3,SUMIF('TL01'!$C$238:$C$451,$C147,'TL01'!$J$238:$J$451),0),
IF('TL02'!$B$3=Q$3,SUMIF('TL02'!$C$10:$C$224,$C147,'TL02'!$J$10:$J$224),0),
IF('TL02'!$B$229=Q$3,SUMIF('TL02'!$C$238:$C$451,$C147,'TL02'!$J$238:$J$451),0),
IF('TL03'!$B$3=Q$3,SUMIF('TL03'!$C$10:$C$224,$C147,'TL03'!$J$10:$J$224),0),
IF('TL03'!$B$229=Q$3,SUMIF('TL03'!$C$238:$C$451,$C147,'TL03'!$J$238:$J$451),0),
IF('TL04'!$B$3=Q$3,SUMIF('TL04'!$C$10:$C$224,$C147,'TL04'!$J$10:$J$224),0),
IF('TL04'!$B$229=Q$3,SUMIF('TL04'!$C$238:$C$451,$C147,'TL04'!$J$238:$J$451),0),
IF('TL05'!$B$3=Q$3,SUMIF('TL05'!$C$10:$C$224,$C147,'TL05'!$J$10:$J$224),0),
IF('TL05'!$B$229=Q$3,SUMIF('TL05'!$C$238:$C$451,$C147,'TL05'!$J$238:$J$451),0),
IF('TL06'!$B$3=Q$3,SUMIF('TL06'!$C$10:$C$224,$C147,'TL06'!$J$10:$J$224),0),
IF('TL06'!$B$229=Q$3,SUMIF('TL06'!$C$238:$C$451,$C147,'TL06'!$J$238:$J$451),0),
IF('TL07'!$B$3=Q$3,SUMIF('TL07'!$C$10:$C$224,$C147,'TL07'!$J$10:$J$224),0),
IF('TL07'!$B$229=Q$3,SUMIF('TL07'!$C$238:$C$451,$C147,'TL07'!$J$238:$J$451),0),
IF('TL08'!$B$3=Q$3,SUMIF('TL08'!$C$10:$C$224,$C147,'TL08'!$J$10:$J$224),0),
IF('TL08'!$B$229=Q$3,SUMIF('TL08'!$C$238:$C$451,$C147,'TL08'!$J$238:$J$451),0),
IF('TL09'!$B$3=Q$3,SUMIF('TL09'!$C$10:$C$224,$C147,'TL09'!$J$10:$J$224),0),
IF('TL09'!$B$229=Q$3,SUMIF('TL09'!$C$238:$C$451,$C147,'TL09'!$J$238:$J$451),0),
IF('TL10'!$B$3=Q$3,SUMIF('TL10'!$C$10:$C$224,$C147,'TL10'!$J$10:$J$224),0),
IF('TL10'!$B$229=Q$3,SUMIF('TL10'!$C$238:$C$451,$C147,'TL10'!$J$238:$J$451),0),
IF('TL11'!$B$3=Q$3,SUMIF('TL11'!$C$10:$C$224,$C147,'TL11'!$J$10:$J$224),0),
IF('TL11'!$B$229=Q$3,SUMIF('TL11'!$C$238:$C$451,$C147,'TL11'!$J$238:$J$451),0),
IF('TL12'!$B$3=Q$3,SUMIF('TL12'!$C$10:$C$224,$C147,'TL12'!$J$10:$J$224),0),
IF('TL12'!$B$229=Q$3,SUMIF('TL12'!$C$238:$C$451,$C147,'TL12'!$J$238:$J$451),0),
IF('TL13'!$B$3=Q$3,SUMIF('TL13'!$C$10:$C$224,$C147,'TL13'!$J$10:$J$224),0),
IF('TL13'!$B$229=Q$3,SUMIF('TL13'!$C$238:$C$451,$C147,'TL13'!$J$238:$J$451),0),
IF('TL14'!$B$3=Q$3,SUMIF('TL14'!$C$10:$C$224,$C147,'TL14'!$J$10:$J$224),0),
IF('TL14'!$B$229=Q$3,SUMIF('TL14'!$C$238:$C$451,$C147,'TL14'!$J$238:$J$451),0),
IF('TL15'!$B$3=Q$3,SUMIF('TL15'!$C$10:$C$224,$C147,'TL15'!$J$10:$J$224),0),
IF('TL15'!$B$229=Q$3,SUMIF('TL15'!$C$238:$C$451,$C147,'TL15'!$J$238:$J$451),0),
IF('TL16'!$B$3=Q$3,SUMIF('TL16'!$C$10:$C$224,$C147,'TL16'!$J$10:$J$224),0),
IF('TL16'!$B$229=Q$3,SUMIF('TL16'!$C$238:$C$451,$C147,'TL16'!$J$238:$J$451),0),
IF('TL17'!$B$3=Q$3,SUMIF('TL17'!$C$10:$C$224,$C147,'TL17'!$J$10:$J$224),0),
IF('TL17'!$B$229=Q$3,SUMIF('TL17'!$C$238:$C$451,$C147,'TL17'!$J$238:$J$451),0),
IF('TL18'!$B$3=Q$3,SUMIF('TL18'!$C$10:$C$224,$C147,'TL18'!$J$10:$J$224),0),
IF('TL18'!$B$229=Q$3,SUMIF('TL18'!$C$238:$C$451,$C147,'TL18'!$J$238:$J$451),0),
IF('TL19'!$B$3=Q$3,SUMIF('TL19'!$C$10:$C$224,$C147,'TL19'!$J$10:$J$224),0),
IF('TL19'!$B$229=Q$3,SUMIF('TL19'!$C$238:$C$451,$C147,'TL19'!$J$238:$J$451),0)
),0)</f>
        <v>0</v>
      </c>
      <c r="R147" s="9">
        <f>IFERROR(
SUM(
SUMIF('TL01'!C:C,C147,'TL01'!J:J),
SUMIF('TL02'!C:C,C147,'TL02'!J:J),
SUMIF('TL03'!C:C,C147,'TL03'!J:J),
SUMIF('TL04'!C:C,C147,'TL04'!J:J),
SUMIF('TL05'!C:C,C147,'TL05'!J:J),
SUMIF('TL06'!C:C,C147,'TL06'!J:J),
SUMIF('TL07'!C:C,C147,'TL07'!J:J),
SUMIF('TL08'!C:C,C147,'TL08'!J:J),
SUMIF('TL09'!C:C,C147,'TL09'!J:J),
SUMIF('TL10'!C:C,C147,'TL10'!J:J),
SUMIF('TL11'!C:C,C147,'TL11'!J:J),
SUMIF('TL12'!C:C,C147,'TL12'!J:J),
SUMIF('TL13'!C:C,C147,'TL13'!J:J),
SUMIF('TL14'!C:C,C147,'TL14'!J:J),
SUMIF('TL15'!C:C,C147,'TL15'!J:J),
SUMIF('TL16'!C:C,C147,'TL16'!J:J),
SUMIF('TL17'!C:C,C147,'TL17'!J:J),
SUMIF('TL18'!C:C,C147,'TL18'!J:J),SUMIF('TL19'!C:C,C147,'TL19'!J:J))
,0)</f>
        <v>0</v>
      </c>
      <c r="S147" s="17">
        <f>IFERROR(__xludf.DUMMYFUNCTION("IFERROR(VLOOKUP(C147,
IMPORTRANGE(""1wULbzX32WdYsx-lj2U3uUNBBe2INVIRDtcK0d-Dvl90"",
""26-27!C:G""),
5,
FALSE),
"""")"),131.60132)</f>
        <v>131.60132</v>
      </c>
      <c r="T147" s="9"/>
      <c r="U147" s="92">
        <f t="shared" si="2"/>
        <v>0</v>
      </c>
      <c r="V147" s="93">
        <f t="shared" si="3"/>
        <v>0</v>
      </c>
    </row>
    <row r="148" ht="15.75" hidden="1" customHeight="1">
      <c r="A148" s="115" t="s">
        <v>516</v>
      </c>
      <c r="B148" s="100" t="s">
        <v>1</v>
      </c>
      <c r="C148" s="116" t="s">
        <v>704</v>
      </c>
      <c r="D148" s="116" t="s">
        <v>705</v>
      </c>
      <c r="E148" s="116">
        <v>287.9</v>
      </c>
      <c r="F148" s="4" t="s">
        <v>343</v>
      </c>
      <c r="G148" s="90" t="str">
        <f t="shared" si="4"/>
        <v>📄 Ver bula</v>
      </c>
      <c r="H148" s="9" t="str">
        <f>IFERROR(__xludf.DUMMYFUNCTION("IFERROR(VLOOKUP(C148,
IMPORTRANGE(""1wULbzX32WdYsx-lj2U3uUNBBe2INVIRDtcK0d-Dvl90"",
""26-27!C:K""),
8,
FALSE),
"""")"),"")</f>
        <v/>
      </c>
      <c r="I148" s="117" t="s">
        <v>344</v>
      </c>
      <c r="J148" s="9">
        <f>IFERROR(SUM(
IF('TL01'!$B$3=J$3,SUMIF('TL01'!$C$10:$C$224,$C148,'TL01'!$J$10:$J$224),0),
IF('TL01'!$B$229=J$3,SUMIF('TL01'!$C$238:$C$451,$C148,'TL01'!$J$238:$J$451),0),
IF('TL02'!$B$3=J$3,SUMIF('TL02'!$C$10:$C$224,$C148,'TL02'!$J$10:$J$224),0),
IF('TL02'!$B$229=J$3,SUMIF('TL02'!$C$238:$C$451,$C148,'TL02'!$J$238:$J$451),0),
IF('TL03'!$B$3=J$3,SUMIF('TL03'!$C$10:$C$224,$C148,'TL03'!$J$10:$J$224),0),
IF('TL03'!$B$229=J$3,SUMIF('TL03'!$C$238:$C$451,$C148,'TL03'!$J$238:$J$451),0),
IF('TL04'!$B$3=J$3,SUMIF('TL04'!$C$10:$C$224,$C148,'TL04'!$J$10:$J$224),0),
IF('TL04'!$B$229=J$3,SUMIF('TL04'!$C$238:$C$451,$C148,'TL04'!$J$238:$J$451),0),
IF('TL05'!$B$3=J$3,SUMIF('TL05'!$C$10:$C$224,$C148,'TL05'!$J$10:$J$224),0),
IF('TL05'!$B$229=J$3,SUMIF('TL05'!$C$238:$C$451,$C148,'TL05'!$J$238:$J$451),0),
IF('TL06'!$B$3=J$3,SUMIF('TL06'!$C$10:$C$224,$C148,'TL06'!$J$10:$J$224),0),
IF('TL06'!$B$229=J$3,SUMIF('TL06'!$C$238:$C$451,$C148,'TL06'!$J$238:$J$451),0),
IF('TL07'!$B$3=J$3,SUMIF('TL07'!$C$10:$C$224,$C148,'TL07'!$J$10:$J$224),0),
IF('TL07'!$B$229=J$3,SUMIF('TL07'!$C$238:$C$451,$C148,'TL07'!$J$238:$J$451),0),
IF('TL08'!$B$3=J$3,SUMIF('TL08'!$C$10:$C$224,$C148,'TL08'!$J$10:$J$224),0),
IF('TL08'!$B$229=J$3,SUMIF('TL08'!$C$238:$C$451,$C148,'TL08'!$J$238:$J$451),0),
IF('TL09'!$B$3=J$3,SUMIF('TL09'!$C$10:$C$224,$C148,'TL09'!$J$10:$J$224),0),
IF('TL09'!$B$229=J$3,SUMIF('TL09'!$C$238:$C$451,$C148,'TL09'!$J$238:$J$451),0),
IF('TL10'!$B$3=J$3,SUMIF('TL10'!$C$10:$C$224,$C148,'TL10'!$J$10:$J$224),0),
IF('TL10'!$B$229=J$3,SUMIF('TL10'!$C$238:$C$451,$C148,'TL10'!$J$238:$J$451),0),
IF('TL11'!$B$3=J$3,SUMIF('TL11'!$C$10:$C$224,$C148,'TL11'!$J$10:$J$224),0),
IF('TL11'!$B$229=J$3,SUMIF('TL11'!$C$238:$C$451,$C148,'TL11'!$J$238:$J$451),0),
IF('TL12'!$B$3=J$3,SUMIF('TL12'!$C$10:$C$224,$C148,'TL12'!$J$10:$J$224),0),
IF('TL12'!$B$229=J$3,SUMIF('TL12'!$C$238:$C$451,$C148,'TL12'!$J$238:$J$451),0),
IF('TL13'!$B$3=J$3,SUMIF('TL13'!$C$10:$C$224,$C148,'TL13'!$J$10:$J$224),0),
IF('TL13'!$B$229=J$3,SUMIF('TL13'!$C$238:$C$451,$C148,'TL13'!$J$238:$J$451),0),
IF('TL14'!$B$3=J$3,SUMIF('TL14'!$C$10:$C$224,$C148,'TL14'!$J$10:$J$224),0),
IF('TL14'!$B$229=J$3,SUMIF('TL14'!$C$238:$C$451,$C148,'TL14'!$J$238:$J$451),0),
IF('TL15'!$B$3=J$3,SUMIF('TL15'!$C$10:$C$224,$C148,'TL15'!$J$10:$J$224),0),
IF('TL15'!$B$229=J$3,SUMIF('TL15'!$C$238:$C$451,$C148,'TL15'!$J$238:$J$451),0),
IF('TL16'!$B$3=J$3,SUMIF('TL16'!$C$10:$C$224,$C148,'TL16'!$J$10:$J$224),0),
IF('TL16'!$B$229=J$3,SUMIF('TL16'!$C$238:$C$451,$C148,'TL16'!$J$238:$J$451),0),
IF('TL17'!$B$3=J$3,SUMIF('TL17'!$C$10:$C$224,$C148,'TL17'!$J$10:$J$224),0),
IF('TL17'!$B$229=J$3,SUMIF('TL17'!$C$238:$C$451,$C148,'TL17'!$J$238:$J$451),0),
IF('TL18'!$B$3=J$3,SUMIF('TL18'!$C$10:$C$224,$C148,'TL18'!$J$10:$J$224),0),
IF('TL18'!$B$229=J$3,SUMIF('TL18'!$C$238:$C$451,$C148,'TL18'!$J$238:$J$451),0),
IF('TL19'!$B$3=J$3,SUMIF('TL19'!$C$10:$C$224,$C148,'TL19'!$J$10:$J$224),0),
IF('TL19'!$B$229=J$3,SUMIF('TL19'!$C$238:$C$451,$C148,'TL19'!$J$238:$J$451),0)
),0)</f>
        <v>0</v>
      </c>
      <c r="K148" s="9">
        <f>IFERROR(SUM(
IF('TL01'!$B$3=K$3,SUMIF('TL01'!$C$10:$C$224,$C148,'TL01'!$J$10:$J$224),0),
IF('TL01'!$B$229=K$3,SUMIF('TL01'!$C$238:$C$451,$C148,'TL01'!$J$238:$J$451),0),
IF('TL02'!$B$3=K$3,SUMIF('TL02'!$C$10:$C$224,$C148,'TL02'!$J$10:$J$224),0),
IF('TL02'!$B$229=K$3,SUMIF('TL02'!$C$238:$C$451,$C148,'TL02'!$J$238:$J$451),0),
IF('TL03'!$B$3=K$3,SUMIF('TL03'!$C$10:$C$224,$C148,'TL03'!$J$10:$J$224),0),
IF('TL03'!$B$229=K$3,SUMIF('TL03'!$C$238:$C$451,$C148,'TL03'!$J$238:$J$451),0),
IF('TL04'!$B$3=K$3,SUMIF('TL04'!$C$10:$C$224,$C148,'TL04'!$J$10:$J$224),0),
IF('TL04'!$B$229=K$3,SUMIF('TL04'!$C$238:$C$451,$C148,'TL04'!$J$238:$J$451),0),
IF('TL05'!$B$3=K$3,SUMIF('TL05'!$C$10:$C$224,$C148,'TL05'!$J$10:$J$224),0),
IF('TL05'!$B$229=K$3,SUMIF('TL05'!$C$238:$C$451,$C148,'TL05'!$J$238:$J$451),0),
IF('TL06'!$B$3=K$3,SUMIF('TL06'!$C$10:$C$224,$C148,'TL06'!$J$10:$J$224),0),
IF('TL06'!$B$229=K$3,SUMIF('TL06'!$C$238:$C$451,$C148,'TL06'!$J$238:$J$451),0),
IF('TL07'!$B$3=K$3,SUMIF('TL07'!$C$10:$C$224,$C148,'TL07'!$J$10:$J$224),0),
IF('TL07'!$B$229=K$3,SUMIF('TL07'!$C$238:$C$451,$C148,'TL07'!$J$238:$J$451),0),
IF('TL08'!$B$3=K$3,SUMIF('TL08'!$C$10:$C$224,$C148,'TL08'!$J$10:$J$224),0),
IF('TL08'!$B$229=K$3,SUMIF('TL08'!$C$238:$C$451,$C148,'TL08'!$J$238:$J$451),0),
IF('TL09'!$B$3=K$3,SUMIF('TL09'!$C$10:$C$224,$C148,'TL09'!$J$10:$J$224),0),
IF('TL09'!$B$229=K$3,SUMIF('TL09'!$C$238:$C$451,$C148,'TL09'!$J$238:$J$451),0),
IF('TL10'!$B$3=K$3,SUMIF('TL10'!$C$10:$C$224,$C148,'TL10'!$J$10:$J$224),0),
IF('TL10'!$B$229=K$3,SUMIF('TL10'!$C$238:$C$451,$C148,'TL10'!$J$238:$J$451),0),
IF('TL11'!$B$3=K$3,SUMIF('TL11'!$C$10:$C$224,$C148,'TL11'!$J$10:$J$224),0),
IF('TL11'!$B$229=K$3,SUMIF('TL11'!$C$238:$C$451,$C148,'TL11'!$J$238:$J$451),0),
IF('TL12'!$B$3=K$3,SUMIF('TL12'!$C$10:$C$224,$C148,'TL12'!$J$10:$J$224),0),
IF('TL12'!$B$229=K$3,SUMIF('TL12'!$C$238:$C$451,$C148,'TL12'!$J$238:$J$451),0),
IF('TL13'!$B$3=K$3,SUMIF('TL13'!$C$10:$C$224,$C148,'TL13'!$J$10:$J$224),0),
IF('TL13'!$B$229=K$3,SUMIF('TL13'!$C$238:$C$451,$C148,'TL13'!$J$238:$J$451),0),
IF('TL14'!$B$3=K$3,SUMIF('TL14'!$C$10:$C$224,$C148,'TL14'!$J$10:$J$224),0),
IF('TL14'!$B$229=K$3,SUMIF('TL14'!$C$238:$C$451,$C148,'TL14'!$J$238:$J$451),0),
IF('TL15'!$B$3=K$3,SUMIF('TL15'!$C$10:$C$224,$C148,'TL15'!$J$10:$J$224),0),
IF('TL15'!$B$229=K$3,SUMIF('TL15'!$C$238:$C$451,$C148,'TL15'!$J$238:$J$451),0),
IF('TL16'!$B$3=K$3,SUMIF('TL16'!$C$10:$C$224,$C148,'TL16'!$J$10:$J$224),0),
IF('TL16'!$B$229=K$3,SUMIF('TL16'!$C$238:$C$451,$C148,'TL16'!$J$238:$J$451),0),
IF('TL17'!$B$3=K$3,SUMIF('TL17'!$C$10:$C$224,$C148,'TL17'!$J$10:$J$224),0),
IF('TL17'!$B$229=K$3,SUMIF('TL17'!$C$238:$C$451,$C148,'TL17'!$J$238:$J$451),0),
IF('TL18'!$B$3=K$3,SUMIF('TL18'!$C$10:$C$224,$C148,'TL18'!$J$10:$J$224),0),
IF('TL18'!$B$229=K$3,SUMIF('TL18'!$C$238:$C$451,$C148,'TL18'!$J$238:$J$451),0),
IF('TL19'!$B$3=K$3,SUMIF('TL19'!$C$10:$C$224,$C148,'TL19'!$J$10:$J$224),0),
IF('TL19'!$B$229=K$3,SUMIF('TL19'!$C$238:$C$451,$C148,'TL19'!$J$238:$J$451),0)
),0)</f>
        <v>0</v>
      </c>
      <c r="L148" s="9">
        <f>IFERROR(SUM(
IF('TL01'!$B$3=L$3,SUMIF('TL01'!$C$10:$C$224,$C148,'TL01'!$J$10:$J$224),0),
IF('TL01'!$B$229=L$3,SUMIF('TL01'!$C$238:$C$451,$C148,'TL01'!$J$238:$J$451),0),
IF('TL02'!$B$3=L$3,SUMIF('TL02'!$C$10:$C$224,$C148,'TL02'!$J$10:$J$224),0),
IF('TL02'!$B$229=L$3,SUMIF('TL02'!$C$238:$C$451,$C148,'TL02'!$J$238:$J$451),0),
IF('TL03'!$B$3=L$3,SUMIF('TL03'!$C$10:$C$224,$C148,'TL03'!$J$10:$J$224),0),
IF('TL03'!$B$229=L$3,SUMIF('TL03'!$C$238:$C$451,$C148,'TL03'!$J$238:$J$451),0),
IF('TL04'!$B$3=L$3,SUMIF('TL04'!$C$10:$C$224,$C148,'TL04'!$J$10:$J$224),0),
IF('TL04'!$B$229=L$3,SUMIF('TL04'!$C$238:$C$451,$C148,'TL04'!$J$238:$J$451),0),
IF('TL05'!$B$3=L$3,SUMIF('TL05'!$C$10:$C$224,$C148,'TL05'!$J$10:$J$224),0),
IF('TL05'!$B$229=L$3,SUMIF('TL05'!$C$238:$C$451,$C148,'TL05'!$J$238:$J$451),0),
IF('TL06'!$B$3=L$3,SUMIF('TL06'!$C$10:$C$224,$C148,'TL06'!$J$10:$J$224),0),
IF('TL06'!$B$229=L$3,SUMIF('TL06'!$C$238:$C$451,$C148,'TL06'!$J$238:$J$451),0),
IF('TL07'!$B$3=L$3,SUMIF('TL07'!$C$10:$C$224,$C148,'TL07'!$J$10:$J$224),0),
IF('TL07'!$B$229=L$3,SUMIF('TL07'!$C$238:$C$451,$C148,'TL07'!$J$238:$J$451),0),
IF('TL08'!$B$3=L$3,SUMIF('TL08'!$C$10:$C$224,$C148,'TL08'!$J$10:$J$224),0),
IF('TL08'!$B$229=L$3,SUMIF('TL08'!$C$238:$C$451,$C148,'TL08'!$J$238:$J$451),0),
IF('TL09'!$B$3=L$3,SUMIF('TL09'!$C$10:$C$224,$C148,'TL09'!$J$10:$J$224),0),
IF('TL09'!$B$229=L$3,SUMIF('TL09'!$C$238:$C$451,$C148,'TL09'!$J$238:$J$451),0),
IF('TL10'!$B$3=L$3,SUMIF('TL10'!$C$10:$C$224,$C148,'TL10'!$J$10:$J$224),0),
IF('TL10'!$B$229=L$3,SUMIF('TL10'!$C$238:$C$451,$C148,'TL10'!$J$238:$J$451),0),
IF('TL11'!$B$3=L$3,SUMIF('TL11'!$C$10:$C$224,$C148,'TL11'!$J$10:$J$224),0),
IF('TL11'!$B$229=L$3,SUMIF('TL11'!$C$238:$C$451,$C148,'TL11'!$J$238:$J$451),0),
IF('TL12'!$B$3=L$3,SUMIF('TL12'!$C$10:$C$224,$C148,'TL12'!$J$10:$J$224),0),
IF('TL12'!$B$229=L$3,SUMIF('TL12'!$C$238:$C$451,$C148,'TL12'!$J$238:$J$451),0),
IF('TL13'!$B$3=L$3,SUMIF('TL13'!$C$10:$C$224,$C148,'TL13'!$J$10:$J$224),0),
IF('TL13'!$B$229=L$3,SUMIF('TL13'!$C$238:$C$451,$C148,'TL13'!$J$238:$J$451),0),
IF('TL14'!$B$3=L$3,SUMIF('TL14'!$C$10:$C$224,$C148,'TL14'!$J$10:$J$224),0),
IF('TL14'!$B$229=L$3,SUMIF('TL14'!$C$238:$C$451,$C148,'TL14'!$J$238:$J$451),0),
IF('TL15'!$B$3=L$3,SUMIF('TL15'!$C$10:$C$224,$C148,'TL15'!$J$10:$J$224),0),
IF('TL15'!$B$229=L$3,SUMIF('TL15'!$C$238:$C$451,$C148,'TL15'!$J$238:$J$451),0),
IF('TL16'!$B$3=L$3,SUMIF('TL16'!$C$10:$C$224,$C148,'TL16'!$J$10:$J$224),0),
IF('TL16'!$B$229=L$3,SUMIF('TL16'!$C$238:$C$451,$C148,'TL16'!$J$238:$J$451),0),
IF('TL17'!$B$3=L$3,SUMIF('TL17'!$C$10:$C$224,$C148,'TL17'!$J$10:$J$224),0),
IF('TL17'!$B$229=L$3,SUMIF('TL17'!$C$238:$C$451,$C148,'TL17'!$J$238:$J$451),0),
IF('TL18'!$B$3=L$3,SUMIF('TL18'!$C$10:$C$224,$C148,'TL18'!$J$10:$J$224),0),
IF('TL18'!$B$229=L$3,SUMIF('TL18'!$C$238:$C$451,$C148,'TL18'!$J$238:$J$451),0),
IF('TL19'!$B$3=L$3,SUMIF('TL19'!$C$10:$C$224,$C148,'TL19'!$J$10:$J$224),0),
IF('TL19'!$B$229=L$3,SUMIF('TL19'!$C$238:$C$451,$C148,'TL19'!$J$238:$J$451),0)
),0)</f>
        <v>0</v>
      </c>
      <c r="M148" s="9">
        <f>IFERROR(SUM(
IF('TL01'!$B$3=M$3,SUMIF('TL01'!$C$10:$C$224,$C148,'TL01'!$J$10:$J$224),0),
IF('TL01'!$B$229=M$3,SUMIF('TL01'!$C$238:$C$451,$C148,'TL01'!$J$238:$J$451),0),
IF('TL02'!$B$3=M$3,SUMIF('TL02'!$C$10:$C$224,$C148,'TL02'!$J$10:$J$224),0),
IF('TL02'!$B$229=M$3,SUMIF('TL02'!$C$238:$C$451,$C148,'TL02'!$J$238:$J$451),0),
IF('TL03'!$B$3=M$3,SUMIF('TL03'!$C$10:$C$224,$C148,'TL03'!$J$10:$J$224),0),
IF('TL03'!$B$229=M$3,SUMIF('TL03'!$C$238:$C$451,$C148,'TL03'!$J$238:$J$451),0),
IF('TL04'!$B$3=M$3,SUMIF('TL04'!$C$10:$C$224,$C148,'TL04'!$J$10:$J$224),0),
IF('TL04'!$B$229=M$3,SUMIF('TL04'!$C$238:$C$451,$C148,'TL04'!$J$238:$J$451),0),
IF('TL05'!$B$3=M$3,SUMIF('TL05'!$C$10:$C$224,$C148,'TL05'!$J$10:$J$224),0),
IF('TL05'!$B$229=M$3,SUMIF('TL05'!$C$238:$C$451,$C148,'TL05'!$J$238:$J$451),0),
IF('TL06'!$B$3=M$3,SUMIF('TL06'!$C$10:$C$224,$C148,'TL06'!$J$10:$J$224),0),
IF('TL06'!$B$229=M$3,SUMIF('TL06'!$C$238:$C$451,$C148,'TL06'!$J$238:$J$451),0),
IF('TL07'!$B$3=M$3,SUMIF('TL07'!$C$10:$C$224,$C148,'TL07'!$J$10:$J$224),0),
IF('TL07'!$B$229=M$3,SUMIF('TL07'!$C$238:$C$451,$C148,'TL07'!$J$238:$J$451),0),
IF('TL08'!$B$3=M$3,SUMIF('TL08'!$C$10:$C$224,$C148,'TL08'!$J$10:$J$224),0),
IF('TL08'!$B$229=M$3,SUMIF('TL08'!$C$238:$C$451,$C148,'TL08'!$J$238:$J$451),0),
IF('TL09'!$B$3=M$3,SUMIF('TL09'!$C$10:$C$224,$C148,'TL09'!$J$10:$J$224),0),
IF('TL09'!$B$229=M$3,SUMIF('TL09'!$C$238:$C$451,$C148,'TL09'!$J$238:$J$451),0),
IF('TL10'!$B$3=M$3,SUMIF('TL10'!$C$10:$C$224,$C148,'TL10'!$J$10:$J$224),0),
IF('TL10'!$B$229=M$3,SUMIF('TL10'!$C$238:$C$451,$C148,'TL10'!$J$238:$J$451),0),
IF('TL11'!$B$3=M$3,SUMIF('TL11'!$C$10:$C$224,$C148,'TL11'!$J$10:$J$224),0),
IF('TL11'!$B$229=M$3,SUMIF('TL11'!$C$238:$C$451,$C148,'TL11'!$J$238:$J$451),0),
IF('TL12'!$B$3=M$3,SUMIF('TL12'!$C$10:$C$224,$C148,'TL12'!$J$10:$J$224),0),
IF('TL12'!$B$229=M$3,SUMIF('TL12'!$C$238:$C$451,$C148,'TL12'!$J$238:$J$451),0),
IF('TL13'!$B$3=M$3,SUMIF('TL13'!$C$10:$C$224,$C148,'TL13'!$J$10:$J$224),0),
IF('TL13'!$B$229=M$3,SUMIF('TL13'!$C$238:$C$451,$C148,'TL13'!$J$238:$J$451),0),
IF('TL14'!$B$3=M$3,SUMIF('TL14'!$C$10:$C$224,$C148,'TL14'!$J$10:$J$224),0),
IF('TL14'!$B$229=M$3,SUMIF('TL14'!$C$238:$C$451,$C148,'TL14'!$J$238:$J$451),0),
IF('TL15'!$B$3=M$3,SUMIF('TL15'!$C$10:$C$224,$C148,'TL15'!$J$10:$J$224),0),
IF('TL15'!$B$229=M$3,SUMIF('TL15'!$C$238:$C$451,$C148,'TL15'!$J$238:$J$451),0),
IF('TL16'!$B$3=M$3,SUMIF('TL16'!$C$10:$C$224,$C148,'TL16'!$J$10:$J$224),0),
IF('TL16'!$B$229=M$3,SUMIF('TL16'!$C$238:$C$451,$C148,'TL16'!$J$238:$J$451),0),
IF('TL17'!$B$3=M$3,SUMIF('TL17'!$C$10:$C$224,$C148,'TL17'!$J$10:$J$224),0),
IF('TL17'!$B$229=M$3,SUMIF('TL17'!$C$238:$C$451,$C148,'TL17'!$J$238:$J$451),0),
IF('TL18'!$B$3=M$3,SUMIF('TL18'!$C$10:$C$224,$C148,'TL18'!$J$10:$J$224),0),
IF('TL18'!$B$229=M$3,SUMIF('TL18'!$C$238:$C$451,$C148,'TL18'!$J$238:$J$451),0),
IF('TL19'!$B$3=M$3,SUMIF('TL19'!$C$10:$C$224,$C148,'TL19'!$J$10:$J$224),0),
IF('TL19'!$B$229=M$3,SUMIF('TL19'!$C$238:$C$451,$C148,'TL19'!$J$238:$J$451),0)
),0)</f>
        <v>0</v>
      </c>
      <c r="N148" s="9">
        <f>IFERROR(SUM(
IF('TL01'!$B$3=N$3,SUMIF('TL01'!$C$10:$C$224,$C148,'TL01'!$J$10:$J$224),0),
IF('TL01'!$B$229=N$3,SUMIF('TL01'!$C$238:$C$451,$C148,'TL01'!$J$238:$J$451),0),
IF('TL02'!$B$3=N$3,SUMIF('TL02'!$C$10:$C$224,$C148,'TL02'!$J$10:$J$224),0),
IF('TL02'!$B$229=N$3,SUMIF('TL02'!$C$238:$C$451,$C148,'TL02'!$J$238:$J$451),0),
IF('TL03'!$B$3=N$3,SUMIF('TL03'!$C$10:$C$224,$C148,'TL03'!$J$10:$J$224),0),
IF('TL03'!$B$229=N$3,SUMIF('TL03'!$C$238:$C$451,$C148,'TL03'!$J$238:$J$451),0),
IF('TL04'!$B$3=N$3,SUMIF('TL04'!$C$10:$C$224,$C148,'TL04'!$J$10:$J$224),0),
IF('TL04'!$B$229=N$3,SUMIF('TL04'!$C$238:$C$451,$C148,'TL04'!$J$238:$J$451),0),
IF('TL05'!$B$3=N$3,SUMIF('TL05'!$C$10:$C$224,$C148,'TL05'!$J$10:$J$224),0),
IF('TL05'!$B$229=N$3,SUMIF('TL05'!$C$238:$C$451,$C148,'TL05'!$J$238:$J$451),0),
IF('TL06'!$B$3=N$3,SUMIF('TL06'!$C$10:$C$224,$C148,'TL06'!$J$10:$J$224),0),
IF('TL06'!$B$229=N$3,SUMIF('TL06'!$C$238:$C$451,$C148,'TL06'!$J$238:$J$451),0),
IF('TL07'!$B$3=N$3,SUMIF('TL07'!$C$10:$C$224,$C148,'TL07'!$J$10:$J$224),0),
IF('TL07'!$B$229=N$3,SUMIF('TL07'!$C$238:$C$451,$C148,'TL07'!$J$238:$J$451),0),
IF('TL08'!$B$3=N$3,SUMIF('TL08'!$C$10:$C$224,$C148,'TL08'!$J$10:$J$224),0),
IF('TL08'!$B$229=N$3,SUMIF('TL08'!$C$238:$C$451,$C148,'TL08'!$J$238:$J$451),0),
IF('TL09'!$B$3=N$3,SUMIF('TL09'!$C$10:$C$224,$C148,'TL09'!$J$10:$J$224),0),
IF('TL09'!$B$229=N$3,SUMIF('TL09'!$C$238:$C$451,$C148,'TL09'!$J$238:$J$451),0),
IF('TL10'!$B$3=N$3,SUMIF('TL10'!$C$10:$C$224,$C148,'TL10'!$J$10:$J$224),0),
IF('TL10'!$B$229=N$3,SUMIF('TL10'!$C$238:$C$451,$C148,'TL10'!$J$238:$J$451),0),
IF('TL11'!$B$3=N$3,SUMIF('TL11'!$C$10:$C$224,$C148,'TL11'!$J$10:$J$224),0),
IF('TL11'!$B$229=N$3,SUMIF('TL11'!$C$238:$C$451,$C148,'TL11'!$J$238:$J$451),0),
IF('TL12'!$B$3=N$3,SUMIF('TL12'!$C$10:$C$224,$C148,'TL12'!$J$10:$J$224),0),
IF('TL12'!$B$229=N$3,SUMIF('TL12'!$C$238:$C$451,$C148,'TL12'!$J$238:$J$451),0),
IF('TL13'!$B$3=N$3,SUMIF('TL13'!$C$10:$C$224,$C148,'TL13'!$J$10:$J$224),0),
IF('TL13'!$B$229=N$3,SUMIF('TL13'!$C$238:$C$451,$C148,'TL13'!$J$238:$J$451),0),
IF('TL14'!$B$3=N$3,SUMIF('TL14'!$C$10:$C$224,$C148,'TL14'!$J$10:$J$224),0),
IF('TL14'!$B$229=N$3,SUMIF('TL14'!$C$238:$C$451,$C148,'TL14'!$J$238:$J$451),0),
IF('TL15'!$B$3=N$3,SUMIF('TL15'!$C$10:$C$224,$C148,'TL15'!$J$10:$J$224),0),
IF('TL15'!$B$229=N$3,SUMIF('TL15'!$C$238:$C$451,$C148,'TL15'!$J$238:$J$451),0),
IF('TL16'!$B$3=N$3,SUMIF('TL16'!$C$10:$C$224,$C148,'TL16'!$J$10:$J$224),0),
IF('TL16'!$B$229=N$3,SUMIF('TL16'!$C$238:$C$451,$C148,'TL16'!$J$238:$J$451),0),
IF('TL17'!$B$3=N$3,SUMIF('TL17'!$C$10:$C$224,$C148,'TL17'!$J$10:$J$224),0),
IF('TL17'!$B$229=N$3,SUMIF('TL17'!$C$238:$C$451,$C148,'TL17'!$J$238:$J$451),0),
IF('TL18'!$B$3=N$3,SUMIF('TL18'!$C$10:$C$224,$C148,'TL18'!$J$10:$J$224),0),
IF('TL18'!$B$229=N$3,SUMIF('TL18'!$C$238:$C$451,$C148,'TL18'!$J$238:$J$451),0),
IF('TL19'!$B$3=N$3,SUMIF('TL19'!$C$10:$C$224,$C148,'TL19'!$J$10:$J$224),0),
IF('TL19'!$B$229=N$3,SUMIF('TL19'!$C$238:$C$451,$C148,'TL19'!$J$238:$J$451),0)
),0)</f>
        <v>0</v>
      </c>
      <c r="O148" s="9">
        <f>IFERROR(SUM(
IF('TL01'!$B$3=O$3,SUMIF('TL01'!$C$10:$C$224,$C148,'TL01'!$J$10:$J$224),0),
IF('TL01'!$B$229=O$3,SUMIF('TL01'!$C$238:$C$451,$C148,'TL01'!$J$238:$J$451),0),
IF('TL02'!$B$3=O$3,SUMIF('TL02'!$C$10:$C$224,$C148,'TL02'!$J$10:$J$224),0),
IF('TL02'!$B$229=O$3,SUMIF('TL02'!$C$238:$C$451,$C148,'TL02'!$J$238:$J$451),0),
IF('TL03'!$B$3=O$3,SUMIF('TL03'!$C$10:$C$224,$C148,'TL03'!$J$10:$J$224),0),
IF('TL03'!$B$229=O$3,SUMIF('TL03'!$C$238:$C$451,$C148,'TL03'!$J$238:$J$451),0),
IF('TL04'!$B$3=O$3,SUMIF('TL04'!$C$10:$C$224,$C148,'TL04'!$J$10:$J$224),0),
IF('TL04'!$B$229=O$3,SUMIF('TL04'!$C$238:$C$451,$C148,'TL04'!$J$238:$J$451),0),
IF('TL05'!$B$3=O$3,SUMIF('TL05'!$C$10:$C$224,$C148,'TL05'!$J$10:$J$224),0),
IF('TL05'!$B$229=O$3,SUMIF('TL05'!$C$238:$C$451,$C148,'TL05'!$J$238:$J$451),0),
IF('TL06'!$B$3=O$3,SUMIF('TL06'!$C$10:$C$224,$C148,'TL06'!$J$10:$J$224),0),
IF('TL06'!$B$229=O$3,SUMIF('TL06'!$C$238:$C$451,$C148,'TL06'!$J$238:$J$451),0),
IF('TL07'!$B$3=O$3,SUMIF('TL07'!$C$10:$C$224,$C148,'TL07'!$J$10:$J$224),0),
IF('TL07'!$B$229=O$3,SUMIF('TL07'!$C$238:$C$451,$C148,'TL07'!$J$238:$J$451),0),
IF('TL08'!$B$3=O$3,SUMIF('TL08'!$C$10:$C$224,$C148,'TL08'!$J$10:$J$224),0),
IF('TL08'!$B$229=O$3,SUMIF('TL08'!$C$238:$C$451,$C148,'TL08'!$J$238:$J$451),0),
IF('TL09'!$B$3=O$3,SUMIF('TL09'!$C$10:$C$224,$C148,'TL09'!$J$10:$J$224),0),
IF('TL09'!$B$229=O$3,SUMIF('TL09'!$C$238:$C$451,$C148,'TL09'!$J$238:$J$451),0),
IF('TL10'!$B$3=O$3,SUMIF('TL10'!$C$10:$C$224,$C148,'TL10'!$J$10:$J$224),0),
IF('TL10'!$B$229=O$3,SUMIF('TL10'!$C$238:$C$451,$C148,'TL10'!$J$238:$J$451),0),
IF('TL11'!$B$3=O$3,SUMIF('TL11'!$C$10:$C$224,$C148,'TL11'!$J$10:$J$224),0),
IF('TL11'!$B$229=O$3,SUMIF('TL11'!$C$238:$C$451,$C148,'TL11'!$J$238:$J$451),0),
IF('TL12'!$B$3=O$3,SUMIF('TL12'!$C$10:$C$224,$C148,'TL12'!$J$10:$J$224),0),
IF('TL12'!$B$229=O$3,SUMIF('TL12'!$C$238:$C$451,$C148,'TL12'!$J$238:$J$451),0),
IF('TL13'!$B$3=O$3,SUMIF('TL13'!$C$10:$C$224,$C148,'TL13'!$J$10:$J$224),0),
IF('TL13'!$B$229=O$3,SUMIF('TL13'!$C$238:$C$451,$C148,'TL13'!$J$238:$J$451),0),
IF('TL14'!$B$3=O$3,SUMIF('TL14'!$C$10:$C$224,$C148,'TL14'!$J$10:$J$224),0),
IF('TL14'!$B$229=O$3,SUMIF('TL14'!$C$238:$C$451,$C148,'TL14'!$J$238:$J$451),0),
IF('TL15'!$B$3=O$3,SUMIF('TL15'!$C$10:$C$224,$C148,'TL15'!$J$10:$J$224),0),
IF('TL15'!$B$229=O$3,SUMIF('TL15'!$C$238:$C$451,$C148,'TL15'!$J$238:$J$451),0),
IF('TL16'!$B$3=O$3,SUMIF('TL16'!$C$10:$C$224,$C148,'TL16'!$J$10:$J$224),0),
IF('TL16'!$B$229=O$3,SUMIF('TL16'!$C$238:$C$451,$C148,'TL16'!$J$238:$J$451),0),
IF('TL17'!$B$3=O$3,SUMIF('TL17'!$C$10:$C$224,$C148,'TL17'!$J$10:$J$224),0),
IF('TL17'!$B$229=O$3,SUMIF('TL17'!$C$238:$C$451,$C148,'TL17'!$J$238:$J$451),0),
IF('TL18'!$B$3=O$3,SUMIF('TL18'!$C$10:$C$224,$C148,'TL18'!$J$10:$J$224),0),
IF('TL18'!$B$229=O$3,SUMIF('TL18'!$C$238:$C$451,$C148,'TL18'!$J$238:$J$451),0),
IF('TL19'!$B$3=O$3,SUMIF('TL19'!$C$10:$C$224,$C148,'TL19'!$J$10:$J$224),0),
IF('TL19'!$B$229=O$3,SUMIF('TL19'!$C$238:$C$451,$C148,'TL19'!$J$238:$J$451),0)
),0)</f>
        <v>0</v>
      </c>
      <c r="P148" s="9">
        <f>IFERROR(SUM(
IF('TL01'!$B$3=P$3,SUMIF('TL01'!$C$10:$C$224,$C148,'TL01'!$J$10:$J$224),0),
IF('TL01'!$B$229=P$3,SUMIF('TL01'!$C$238:$C$451,$C148,'TL01'!$J$238:$J$451),0),
IF('TL02'!$B$3=P$3,SUMIF('TL02'!$C$10:$C$224,$C148,'TL02'!$J$10:$J$224),0),
IF('TL02'!$B$229=P$3,SUMIF('TL02'!$C$238:$C$451,$C148,'TL02'!$J$238:$J$451),0),
IF('TL03'!$B$3=P$3,SUMIF('TL03'!$C$10:$C$224,$C148,'TL03'!$J$10:$J$224),0),
IF('TL03'!$B$229=P$3,SUMIF('TL03'!$C$238:$C$451,$C148,'TL03'!$J$238:$J$451),0),
IF('TL04'!$B$3=P$3,SUMIF('TL04'!$C$10:$C$224,$C148,'TL04'!$J$10:$J$224),0),
IF('TL04'!$B$229=P$3,SUMIF('TL04'!$C$238:$C$451,$C148,'TL04'!$J$238:$J$451),0),
IF('TL05'!$B$3=P$3,SUMIF('TL05'!$C$10:$C$224,$C148,'TL05'!$J$10:$J$224),0),
IF('TL05'!$B$229=P$3,SUMIF('TL05'!$C$238:$C$451,$C148,'TL05'!$J$238:$J$451),0),
IF('TL06'!$B$3=P$3,SUMIF('TL06'!$C$10:$C$224,$C148,'TL06'!$J$10:$J$224),0),
IF('TL06'!$B$229=P$3,SUMIF('TL06'!$C$238:$C$451,$C148,'TL06'!$J$238:$J$451),0),
IF('TL07'!$B$3=P$3,SUMIF('TL07'!$C$10:$C$224,$C148,'TL07'!$J$10:$J$224),0),
IF('TL07'!$B$229=P$3,SUMIF('TL07'!$C$238:$C$451,$C148,'TL07'!$J$238:$J$451),0),
IF('TL08'!$B$3=P$3,SUMIF('TL08'!$C$10:$C$224,$C148,'TL08'!$J$10:$J$224),0),
IF('TL08'!$B$229=P$3,SUMIF('TL08'!$C$238:$C$451,$C148,'TL08'!$J$238:$J$451),0),
IF('TL09'!$B$3=P$3,SUMIF('TL09'!$C$10:$C$224,$C148,'TL09'!$J$10:$J$224),0),
IF('TL09'!$B$229=P$3,SUMIF('TL09'!$C$238:$C$451,$C148,'TL09'!$J$238:$J$451),0),
IF('TL10'!$B$3=P$3,SUMIF('TL10'!$C$10:$C$224,$C148,'TL10'!$J$10:$J$224),0),
IF('TL10'!$B$229=P$3,SUMIF('TL10'!$C$238:$C$451,$C148,'TL10'!$J$238:$J$451),0),
IF('TL11'!$B$3=P$3,SUMIF('TL11'!$C$10:$C$224,$C148,'TL11'!$J$10:$J$224),0),
IF('TL11'!$B$229=P$3,SUMIF('TL11'!$C$238:$C$451,$C148,'TL11'!$J$238:$J$451),0),
IF('TL12'!$B$3=P$3,SUMIF('TL12'!$C$10:$C$224,$C148,'TL12'!$J$10:$J$224),0),
IF('TL12'!$B$229=P$3,SUMIF('TL12'!$C$238:$C$451,$C148,'TL12'!$J$238:$J$451),0),
IF('TL13'!$B$3=P$3,SUMIF('TL13'!$C$10:$C$224,$C148,'TL13'!$J$10:$J$224),0),
IF('TL13'!$B$229=P$3,SUMIF('TL13'!$C$238:$C$451,$C148,'TL13'!$J$238:$J$451),0),
IF('TL14'!$B$3=P$3,SUMIF('TL14'!$C$10:$C$224,$C148,'TL14'!$J$10:$J$224),0),
IF('TL14'!$B$229=P$3,SUMIF('TL14'!$C$238:$C$451,$C148,'TL14'!$J$238:$J$451),0),
IF('TL15'!$B$3=P$3,SUMIF('TL15'!$C$10:$C$224,$C148,'TL15'!$J$10:$J$224),0),
IF('TL15'!$B$229=P$3,SUMIF('TL15'!$C$238:$C$451,$C148,'TL15'!$J$238:$J$451),0),
IF('TL16'!$B$3=P$3,SUMIF('TL16'!$C$10:$C$224,$C148,'TL16'!$J$10:$J$224),0),
IF('TL16'!$B$229=P$3,SUMIF('TL16'!$C$238:$C$451,$C148,'TL16'!$J$238:$J$451),0),
IF('TL17'!$B$3=P$3,SUMIF('TL17'!$C$10:$C$224,$C148,'TL17'!$J$10:$J$224),0),
IF('TL17'!$B$229=P$3,SUMIF('TL17'!$C$238:$C$451,$C148,'TL17'!$J$238:$J$451),0),
IF('TL18'!$B$3=P$3,SUMIF('TL18'!$C$10:$C$224,$C148,'TL18'!$J$10:$J$224),0),
IF('TL18'!$B$229=P$3,SUMIF('TL18'!$C$238:$C$451,$C148,'TL18'!$J$238:$J$451),0),
IF('TL19'!$B$3=P$3,SUMIF('TL19'!$C$10:$C$224,$C148,'TL19'!$J$10:$J$224),0),
IF('TL19'!$B$229=P$3,SUMIF('TL19'!$C$238:$C$451,$C148,'TL19'!$J$238:$J$451),0)
),0)</f>
        <v>0</v>
      </c>
      <c r="Q148" s="9">
        <f>IFERROR(SUM(
IF('TL01'!$B$3=Q$3,SUMIF('TL01'!$C$10:$C$224,$C148,'TL01'!$J$10:$J$224),0),
IF('TL01'!$B$229=Q$3,SUMIF('TL01'!$C$238:$C$451,$C148,'TL01'!$J$238:$J$451),0),
IF('TL02'!$B$3=Q$3,SUMIF('TL02'!$C$10:$C$224,$C148,'TL02'!$J$10:$J$224),0),
IF('TL02'!$B$229=Q$3,SUMIF('TL02'!$C$238:$C$451,$C148,'TL02'!$J$238:$J$451),0),
IF('TL03'!$B$3=Q$3,SUMIF('TL03'!$C$10:$C$224,$C148,'TL03'!$J$10:$J$224),0),
IF('TL03'!$B$229=Q$3,SUMIF('TL03'!$C$238:$C$451,$C148,'TL03'!$J$238:$J$451),0),
IF('TL04'!$B$3=Q$3,SUMIF('TL04'!$C$10:$C$224,$C148,'TL04'!$J$10:$J$224),0),
IF('TL04'!$B$229=Q$3,SUMIF('TL04'!$C$238:$C$451,$C148,'TL04'!$J$238:$J$451),0),
IF('TL05'!$B$3=Q$3,SUMIF('TL05'!$C$10:$C$224,$C148,'TL05'!$J$10:$J$224),0),
IF('TL05'!$B$229=Q$3,SUMIF('TL05'!$C$238:$C$451,$C148,'TL05'!$J$238:$J$451),0),
IF('TL06'!$B$3=Q$3,SUMIF('TL06'!$C$10:$C$224,$C148,'TL06'!$J$10:$J$224),0),
IF('TL06'!$B$229=Q$3,SUMIF('TL06'!$C$238:$C$451,$C148,'TL06'!$J$238:$J$451),0),
IF('TL07'!$B$3=Q$3,SUMIF('TL07'!$C$10:$C$224,$C148,'TL07'!$J$10:$J$224),0),
IF('TL07'!$B$229=Q$3,SUMIF('TL07'!$C$238:$C$451,$C148,'TL07'!$J$238:$J$451),0),
IF('TL08'!$B$3=Q$3,SUMIF('TL08'!$C$10:$C$224,$C148,'TL08'!$J$10:$J$224),0),
IF('TL08'!$B$229=Q$3,SUMIF('TL08'!$C$238:$C$451,$C148,'TL08'!$J$238:$J$451),0),
IF('TL09'!$B$3=Q$3,SUMIF('TL09'!$C$10:$C$224,$C148,'TL09'!$J$10:$J$224),0),
IF('TL09'!$B$229=Q$3,SUMIF('TL09'!$C$238:$C$451,$C148,'TL09'!$J$238:$J$451),0),
IF('TL10'!$B$3=Q$3,SUMIF('TL10'!$C$10:$C$224,$C148,'TL10'!$J$10:$J$224),0),
IF('TL10'!$B$229=Q$3,SUMIF('TL10'!$C$238:$C$451,$C148,'TL10'!$J$238:$J$451),0),
IF('TL11'!$B$3=Q$3,SUMIF('TL11'!$C$10:$C$224,$C148,'TL11'!$J$10:$J$224),0),
IF('TL11'!$B$229=Q$3,SUMIF('TL11'!$C$238:$C$451,$C148,'TL11'!$J$238:$J$451),0),
IF('TL12'!$B$3=Q$3,SUMIF('TL12'!$C$10:$C$224,$C148,'TL12'!$J$10:$J$224),0),
IF('TL12'!$B$229=Q$3,SUMIF('TL12'!$C$238:$C$451,$C148,'TL12'!$J$238:$J$451),0),
IF('TL13'!$B$3=Q$3,SUMIF('TL13'!$C$10:$C$224,$C148,'TL13'!$J$10:$J$224),0),
IF('TL13'!$B$229=Q$3,SUMIF('TL13'!$C$238:$C$451,$C148,'TL13'!$J$238:$J$451),0),
IF('TL14'!$B$3=Q$3,SUMIF('TL14'!$C$10:$C$224,$C148,'TL14'!$J$10:$J$224),0),
IF('TL14'!$B$229=Q$3,SUMIF('TL14'!$C$238:$C$451,$C148,'TL14'!$J$238:$J$451),0),
IF('TL15'!$B$3=Q$3,SUMIF('TL15'!$C$10:$C$224,$C148,'TL15'!$J$10:$J$224),0),
IF('TL15'!$B$229=Q$3,SUMIF('TL15'!$C$238:$C$451,$C148,'TL15'!$J$238:$J$451),0),
IF('TL16'!$B$3=Q$3,SUMIF('TL16'!$C$10:$C$224,$C148,'TL16'!$J$10:$J$224),0),
IF('TL16'!$B$229=Q$3,SUMIF('TL16'!$C$238:$C$451,$C148,'TL16'!$J$238:$J$451),0),
IF('TL17'!$B$3=Q$3,SUMIF('TL17'!$C$10:$C$224,$C148,'TL17'!$J$10:$J$224),0),
IF('TL17'!$B$229=Q$3,SUMIF('TL17'!$C$238:$C$451,$C148,'TL17'!$J$238:$J$451),0),
IF('TL18'!$B$3=Q$3,SUMIF('TL18'!$C$10:$C$224,$C148,'TL18'!$J$10:$J$224),0),
IF('TL18'!$B$229=Q$3,SUMIF('TL18'!$C$238:$C$451,$C148,'TL18'!$J$238:$J$451),0),
IF('TL19'!$B$3=Q$3,SUMIF('TL19'!$C$10:$C$224,$C148,'TL19'!$J$10:$J$224),0),
IF('TL19'!$B$229=Q$3,SUMIF('TL19'!$C$238:$C$451,$C148,'TL19'!$J$238:$J$451),0)
),0)</f>
        <v>0</v>
      </c>
      <c r="R148" s="9">
        <f>IFERROR(
SUM(
SUMIF('TL01'!C:C,C148,'TL01'!J:J),
SUMIF('TL02'!C:C,C148,'TL02'!J:J),
SUMIF('TL03'!C:C,C148,'TL03'!J:J),
SUMIF('TL04'!C:C,C148,'TL04'!J:J),
SUMIF('TL05'!C:C,C148,'TL05'!J:J),
SUMIF('TL06'!C:C,C148,'TL06'!J:J),
SUMIF('TL07'!C:C,C148,'TL07'!J:J),
SUMIF('TL08'!C:C,C148,'TL08'!J:J),
SUMIF('TL09'!C:C,C148,'TL09'!J:J),
SUMIF('TL10'!C:C,C148,'TL10'!J:J),
SUMIF('TL11'!C:C,C148,'TL11'!J:J),
SUMIF('TL12'!C:C,C148,'TL12'!J:J),
SUMIF('TL13'!C:C,C148,'TL13'!J:J),
SUMIF('TL14'!C:C,C148,'TL14'!J:J),
SUMIF('TL15'!C:C,C148,'TL15'!J:J),
SUMIF('TL16'!C:C,C148,'TL16'!J:J),
SUMIF('TL17'!C:C,C148,'TL17'!J:J),
SUMIF('TL18'!C:C,C148,'TL18'!J:J),SUMIF('TL19'!C:C,C148,'TL19'!J:J))
,0)</f>
        <v>0</v>
      </c>
      <c r="S148" s="17">
        <f>IFERROR(__xludf.DUMMYFUNCTION("IFERROR(VLOOKUP(C148,
IMPORTRANGE(""1wULbzX32WdYsx-lj2U3uUNBBe2INVIRDtcK0d-Dvl90"",
""26-27!C:G""),
5,
FALSE),
"""")"),39.47548)</f>
        <v>39.47548</v>
      </c>
      <c r="T148" s="9"/>
      <c r="U148" s="92">
        <f t="shared" si="2"/>
        <v>0</v>
      </c>
      <c r="V148" s="93">
        <f t="shared" si="3"/>
        <v>0</v>
      </c>
    </row>
    <row r="149" ht="15.75" hidden="1" customHeight="1">
      <c r="A149" s="111" t="s">
        <v>516</v>
      </c>
      <c r="B149" s="112" t="s">
        <v>1</v>
      </c>
      <c r="C149" s="113" t="s">
        <v>706</v>
      </c>
      <c r="D149" s="113" t="s">
        <v>626</v>
      </c>
      <c r="E149" s="113">
        <v>880.0</v>
      </c>
      <c r="F149" s="4" t="s">
        <v>343</v>
      </c>
      <c r="G149" s="90" t="str">
        <f t="shared" si="4"/>
        <v>📄 Ver bula</v>
      </c>
      <c r="H149" s="9">
        <f>IFERROR(__xludf.DUMMYFUNCTION("IFERROR(VLOOKUP(C149,
IMPORTRANGE(""1wULbzX32WdYsx-lj2U3uUNBBe2INVIRDtcK0d-Dvl90"",
""26-27!C:K""),
8,
FALSE),
"""")"),0.5)</f>
        <v>0.5</v>
      </c>
      <c r="I149" s="114" t="s">
        <v>361</v>
      </c>
      <c r="J149" s="9">
        <f>IFERROR(SUM(
IF('TL01'!$B$3=J$3,SUMIF('TL01'!$C$10:$C$224,$C149,'TL01'!$J$10:$J$224),0),
IF('TL01'!$B$229=J$3,SUMIF('TL01'!$C$238:$C$451,$C149,'TL01'!$J$238:$J$451),0),
IF('TL02'!$B$3=J$3,SUMIF('TL02'!$C$10:$C$224,$C149,'TL02'!$J$10:$J$224),0),
IF('TL02'!$B$229=J$3,SUMIF('TL02'!$C$238:$C$451,$C149,'TL02'!$J$238:$J$451),0),
IF('TL03'!$B$3=J$3,SUMIF('TL03'!$C$10:$C$224,$C149,'TL03'!$J$10:$J$224),0),
IF('TL03'!$B$229=J$3,SUMIF('TL03'!$C$238:$C$451,$C149,'TL03'!$J$238:$J$451),0),
IF('TL04'!$B$3=J$3,SUMIF('TL04'!$C$10:$C$224,$C149,'TL04'!$J$10:$J$224),0),
IF('TL04'!$B$229=J$3,SUMIF('TL04'!$C$238:$C$451,$C149,'TL04'!$J$238:$J$451),0),
IF('TL05'!$B$3=J$3,SUMIF('TL05'!$C$10:$C$224,$C149,'TL05'!$J$10:$J$224),0),
IF('TL05'!$B$229=J$3,SUMIF('TL05'!$C$238:$C$451,$C149,'TL05'!$J$238:$J$451),0),
IF('TL06'!$B$3=J$3,SUMIF('TL06'!$C$10:$C$224,$C149,'TL06'!$J$10:$J$224),0),
IF('TL06'!$B$229=J$3,SUMIF('TL06'!$C$238:$C$451,$C149,'TL06'!$J$238:$J$451),0),
IF('TL07'!$B$3=J$3,SUMIF('TL07'!$C$10:$C$224,$C149,'TL07'!$J$10:$J$224),0),
IF('TL07'!$B$229=J$3,SUMIF('TL07'!$C$238:$C$451,$C149,'TL07'!$J$238:$J$451),0),
IF('TL08'!$B$3=J$3,SUMIF('TL08'!$C$10:$C$224,$C149,'TL08'!$J$10:$J$224),0),
IF('TL08'!$B$229=J$3,SUMIF('TL08'!$C$238:$C$451,$C149,'TL08'!$J$238:$J$451),0),
IF('TL09'!$B$3=J$3,SUMIF('TL09'!$C$10:$C$224,$C149,'TL09'!$J$10:$J$224),0),
IF('TL09'!$B$229=J$3,SUMIF('TL09'!$C$238:$C$451,$C149,'TL09'!$J$238:$J$451),0),
IF('TL10'!$B$3=J$3,SUMIF('TL10'!$C$10:$C$224,$C149,'TL10'!$J$10:$J$224),0),
IF('TL10'!$B$229=J$3,SUMIF('TL10'!$C$238:$C$451,$C149,'TL10'!$J$238:$J$451),0),
IF('TL11'!$B$3=J$3,SUMIF('TL11'!$C$10:$C$224,$C149,'TL11'!$J$10:$J$224),0),
IF('TL11'!$B$229=J$3,SUMIF('TL11'!$C$238:$C$451,$C149,'TL11'!$J$238:$J$451),0),
IF('TL12'!$B$3=J$3,SUMIF('TL12'!$C$10:$C$224,$C149,'TL12'!$J$10:$J$224),0),
IF('TL12'!$B$229=J$3,SUMIF('TL12'!$C$238:$C$451,$C149,'TL12'!$J$238:$J$451),0),
IF('TL13'!$B$3=J$3,SUMIF('TL13'!$C$10:$C$224,$C149,'TL13'!$J$10:$J$224),0),
IF('TL13'!$B$229=J$3,SUMIF('TL13'!$C$238:$C$451,$C149,'TL13'!$J$238:$J$451),0),
IF('TL14'!$B$3=J$3,SUMIF('TL14'!$C$10:$C$224,$C149,'TL14'!$J$10:$J$224),0),
IF('TL14'!$B$229=J$3,SUMIF('TL14'!$C$238:$C$451,$C149,'TL14'!$J$238:$J$451),0),
IF('TL15'!$B$3=J$3,SUMIF('TL15'!$C$10:$C$224,$C149,'TL15'!$J$10:$J$224),0),
IF('TL15'!$B$229=J$3,SUMIF('TL15'!$C$238:$C$451,$C149,'TL15'!$J$238:$J$451),0),
IF('TL16'!$B$3=J$3,SUMIF('TL16'!$C$10:$C$224,$C149,'TL16'!$J$10:$J$224),0),
IF('TL16'!$B$229=J$3,SUMIF('TL16'!$C$238:$C$451,$C149,'TL16'!$J$238:$J$451),0),
IF('TL17'!$B$3=J$3,SUMIF('TL17'!$C$10:$C$224,$C149,'TL17'!$J$10:$J$224),0),
IF('TL17'!$B$229=J$3,SUMIF('TL17'!$C$238:$C$451,$C149,'TL17'!$J$238:$J$451),0),
IF('TL18'!$B$3=J$3,SUMIF('TL18'!$C$10:$C$224,$C149,'TL18'!$J$10:$J$224),0),
IF('TL18'!$B$229=J$3,SUMIF('TL18'!$C$238:$C$451,$C149,'TL18'!$J$238:$J$451),0),
IF('TL19'!$B$3=J$3,SUMIF('TL19'!$C$10:$C$224,$C149,'TL19'!$J$10:$J$224),0),
IF('TL19'!$B$229=J$3,SUMIF('TL19'!$C$238:$C$451,$C149,'TL19'!$J$238:$J$451),0)
),0)</f>
        <v>0</v>
      </c>
      <c r="K149" s="9">
        <f>IFERROR(SUM(
IF('TL01'!$B$3=K$3,SUMIF('TL01'!$C$10:$C$224,$C149,'TL01'!$J$10:$J$224),0),
IF('TL01'!$B$229=K$3,SUMIF('TL01'!$C$238:$C$451,$C149,'TL01'!$J$238:$J$451),0),
IF('TL02'!$B$3=K$3,SUMIF('TL02'!$C$10:$C$224,$C149,'TL02'!$J$10:$J$224),0),
IF('TL02'!$B$229=K$3,SUMIF('TL02'!$C$238:$C$451,$C149,'TL02'!$J$238:$J$451),0),
IF('TL03'!$B$3=K$3,SUMIF('TL03'!$C$10:$C$224,$C149,'TL03'!$J$10:$J$224),0),
IF('TL03'!$B$229=K$3,SUMIF('TL03'!$C$238:$C$451,$C149,'TL03'!$J$238:$J$451),0),
IF('TL04'!$B$3=K$3,SUMIF('TL04'!$C$10:$C$224,$C149,'TL04'!$J$10:$J$224),0),
IF('TL04'!$B$229=K$3,SUMIF('TL04'!$C$238:$C$451,$C149,'TL04'!$J$238:$J$451),0),
IF('TL05'!$B$3=K$3,SUMIF('TL05'!$C$10:$C$224,$C149,'TL05'!$J$10:$J$224),0),
IF('TL05'!$B$229=K$3,SUMIF('TL05'!$C$238:$C$451,$C149,'TL05'!$J$238:$J$451),0),
IF('TL06'!$B$3=K$3,SUMIF('TL06'!$C$10:$C$224,$C149,'TL06'!$J$10:$J$224),0),
IF('TL06'!$B$229=K$3,SUMIF('TL06'!$C$238:$C$451,$C149,'TL06'!$J$238:$J$451),0),
IF('TL07'!$B$3=K$3,SUMIF('TL07'!$C$10:$C$224,$C149,'TL07'!$J$10:$J$224),0),
IF('TL07'!$B$229=K$3,SUMIF('TL07'!$C$238:$C$451,$C149,'TL07'!$J$238:$J$451),0),
IF('TL08'!$B$3=K$3,SUMIF('TL08'!$C$10:$C$224,$C149,'TL08'!$J$10:$J$224),0),
IF('TL08'!$B$229=K$3,SUMIF('TL08'!$C$238:$C$451,$C149,'TL08'!$J$238:$J$451),0),
IF('TL09'!$B$3=K$3,SUMIF('TL09'!$C$10:$C$224,$C149,'TL09'!$J$10:$J$224),0),
IF('TL09'!$B$229=K$3,SUMIF('TL09'!$C$238:$C$451,$C149,'TL09'!$J$238:$J$451),0),
IF('TL10'!$B$3=K$3,SUMIF('TL10'!$C$10:$C$224,$C149,'TL10'!$J$10:$J$224),0),
IF('TL10'!$B$229=K$3,SUMIF('TL10'!$C$238:$C$451,$C149,'TL10'!$J$238:$J$451),0),
IF('TL11'!$B$3=K$3,SUMIF('TL11'!$C$10:$C$224,$C149,'TL11'!$J$10:$J$224),0),
IF('TL11'!$B$229=K$3,SUMIF('TL11'!$C$238:$C$451,$C149,'TL11'!$J$238:$J$451),0),
IF('TL12'!$B$3=K$3,SUMIF('TL12'!$C$10:$C$224,$C149,'TL12'!$J$10:$J$224),0),
IF('TL12'!$B$229=K$3,SUMIF('TL12'!$C$238:$C$451,$C149,'TL12'!$J$238:$J$451),0),
IF('TL13'!$B$3=K$3,SUMIF('TL13'!$C$10:$C$224,$C149,'TL13'!$J$10:$J$224),0),
IF('TL13'!$B$229=K$3,SUMIF('TL13'!$C$238:$C$451,$C149,'TL13'!$J$238:$J$451),0),
IF('TL14'!$B$3=K$3,SUMIF('TL14'!$C$10:$C$224,$C149,'TL14'!$J$10:$J$224),0),
IF('TL14'!$B$229=K$3,SUMIF('TL14'!$C$238:$C$451,$C149,'TL14'!$J$238:$J$451),0),
IF('TL15'!$B$3=K$3,SUMIF('TL15'!$C$10:$C$224,$C149,'TL15'!$J$10:$J$224),0),
IF('TL15'!$B$229=K$3,SUMIF('TL15'!$C$238:$C$451,$C149,'TL15'!$J$238:$J$451),0),
IF('TL16'!$B$3=K$3,SUMIF('TL16'!$C$10:$C$224,$C149,'TL16'!$J$10:$J$224),0),
IF('TL16'!$B$229=K$3,SUMIF('TL16'!$C$238:$C$451,$C149,'TL16'!$J$238:$J$451),0),
IF('TL17'!$B$3=K$3,SUMIF('TL17'!$C$10:$C$224,$C149,'TL17'!$J$10:$J$224),0),
IF('TL17'!$B$229=K$3,SUMIF('TL17'!$C$238:$C$451,$C149,'TL17'!$J$238:$J$451),0),
IF('TL18'!$B$3=K$3,SUMIF('TL18'!$C$10:$C$224,$C149,'TL18'!$J$10:$J$224),0),
IF('TL18'!$B$229=K$3,SUMIF('TL18'!$C$238:$C$451,$C149,'TL18'!$J$238:$J$451),0),
IF('TL19'!$B$3=K$3,SUMIF('TL19'!$C$10:$C$224,$C149,'TL19'!$J$10:$J$224),0),
IF('TL19'!$B$229=K$3,SUMIF('TL19'!$C$238:$C$451,$C149,'TL19'!$J$238:$J$451),0)
),0)</f>
        <v>70</v>
      </c>
      <c r="L149" s="9">
        <f>IFERROR(SUM(
IF('TL01'!$B$3=L$3,SUMIF('TL01'!$C$10:$C$224,$C149,'TL01'!$J$10:$J$224),0),
IF('TL01'!$B$229=L$3,SUMIF('TL01'!$C$238:$C$451,$C149,'TL01'!$J$238:$J$451),0),
IF('TL02'!$B$3=L$3,SUMIF('TL02'!$C$10:$C$224,$C149,'TL02'!$J$10:$J$224),0),
IF('TL02'!$B$229=L$3,SUMIF('TL02'!$C$238:$C$451,$C149,'TL02'!$J$238:$J$451),0),
IF('TL03'!$B$3=L$3,SUMIF('TL03'!$C$10:$C$224,$C149,'TL03'!$J$10:$J$224),0),
IF('TL03'!$B$229=L$3,SUMIF('TL03'!$C$238:$C$451,$C149,'TL03'!$J$238:$J$451),0),
IF('TL04'!$B$3=L$3,SUMIF('TL04'!$C$10:$C$224,$C149,'TL04'!$J$10:$J$224),0),
IF('TL04'!$B$229=L$3,SUMIF('TL04'!$C$238:$C$451,$C149,'TL04'!$J$238:$J$451),0),
IF('TL05'!$B$3=L$3,SUMIF('TL05'!$C$10:$C$224,$C149,'TL05'!$J$10:$J$224),0),
IF('TL05'!$B$229=L$3,SUMIF('TL05'!$C$238:$C$451,$C149,'TL05'!$J$238:$J$451),0),
IF('TL06'!$B$3=L$3,SUMIF('TL06'!$C$10:$C$224,$C149,'TL06'!$J$10:$J$224),0),
IF('TL06'!$B$229=L$3,SUMIF('TL06'!$C$238:$C$451,$C149,'TL06'!$J$238:$J$451),0),
IF('TL07'!$B$3=L$3,SUMIF('TL07'!$C$10:$C$224,$C149,'TL07'!$J$10:$J$224),0),
IF('TL07'!$B$229=L$3,SUMIF('TL07'!$C$238:$C$451,$C149,'TL07'!$J$238:$J$451),0),
IF('TL08'!$B$3=L$3,SUMIF('TL08'!$C$10:$C$224,$C149,'TL08'!$J$10:$J$224),0),
IF('TL08'!$B$229=L$3,SUMIF('TL08'!$C$238:$C$451,$C149,'TL08'!$J$238:$J$451),0),
IF('TL09'!$B$3=L$3,SUMIF('TL09'!$C$10:$C$224,$C149,'TL09'!$J$10:$J$224),0),
IF('TL09'!$B$229=L$3,SUMIF('TL09'!$C$238:$C$451,$C149,'TL09'!$J$238:$J$451),0),
IF('TL10'!$B$3=L$3,SUMIF('TL10'!$C$10:$C$224,$C149,'TL10'!$J$10:$J$224),0),
IF('TL10'!$B$229=L$3,SUMIF('TL10'!$C$238:$C$451,$C149,'TL10'!$J$238:$J$451),0),
IF('TL11'!$B$3=L$3,SUMIF('TL11'!$C$10:$C$224,$C149,'TL11'!$J$10:$J$224),0),
IF('TL11'!$B$229=L$3,SUMIF('TL11'!$C$238:$C$451,$C149,'TL11'!$J$238:$J$451),0),
IF('TL12'!$B$3=L$3,SUMIF('TL12'!$C$10:$C$224,$C149,'TL12'!$J$10:$J$224),0),
IF('TL12'!$B$229=L$3,SUMIF('TL12'!$C$238:$C$451,$C149,'TL12'!$J$238:$J$451),0),
IF('TL13'!$B$3=L$3,SUMIF('TL13'!$C$10:$C$224,$C149,'TL13'!$J$10:$J$224),0),
IF('TL13'!$B$229=L$3,SUMIF('TL13'!$C$238:$C$451,$C149,'TL13'!$J$238:$J$451),0),
IF('TL14'!$B$3=L$3,SUMIF('TL14'!$C$10:$C$224,$C149,'TL14'!$J$10:$J$224),0),
IF('TL14'!$B$229=L$3,SUMIF('TL14'!$C$238:$C$451,$C149,'TL14'!$J$238:$J$451),0),
IF('TL15'!$B$3=L$3,SUMIF('TL15'!$C$10:$C$224,$C149,'TL15'!$J$10:$J$224),0),
IF('TL15'!$B$229=L$3,SUMIF('TL15'!$C$238:$C$451,$C149,'TL15'!$J$238:$J$451),0),
IF('TL16'!$B$3=L$3,SUMIF('TL16'!$C$10:$C$224,$C149,'TL16'!$J$10:$J$224),0),
IF('TL16'!$B$229=L$3,SUMIF('TL16'!$C$238:$C$451,$C149,'TL16'!$J$238:$J$451),0),
IF('TL17'!$B$3=L$3,SUMIF('TL17'!$C$10:$C$224,$C149,'TL17'!$J$10:$J$224),0),
IF('TL17'!$B$229=L$3,SUMIF('TL17'!$C$238:$C$451,$C149,'TL17'!$J$238:$J$451),0),
IF('TL18'!$B$3=L$3,SUMIF('TL18'!$C$10:$C$224,$C149,'TL18'!$J$10:$J$224),0),
IF('TL18'!$B$229=L$3,SUMIF('TL18'!$C$238:$C$451,$C149,'TL18'!$J$238:$J$451),0),
IF('TL19'!$B$3=L$3,SUMIF('TL19'!$C$10:$C$224,$C149,'TL19'!$J$10:$J$224),0),
IF('TL19'!$B$229=L$3,SUMIF('TL19'!$C$238:$C$451,$C149,'TL19'!$J$238:$J$451),0)
),0)</f>
        <v>0</v>
      </c>
      <c r="M149" s="9">
        <f>IFERROR(SUM(
IF('TL01'!$B$3=M$3,SUMIF('TL01'!$C$10:$C$224,$C149,'TL01'!$J$10:$J$224),0),
IF('TL01'!$B$229=M$3,SUMIF('TL01'!$C$238:$C$451,$C149,'TL01'!$J$238:$J$451),0),
IF('TL02'!$B$3=M$3,SUMIF('TL02'!$C$10:$C$224,$C149,'TL02'!$J$10:$J$224),0),
IF('TL02'!$B$229=M$3,SUMIF('TL02'!$C$238:$C$451,$C149,'TL02'!$J$238:$J$451),0),
IF('TL03'!$B$3=M$3,SUMIF('TL03'!$C$10:$C$224,$C149,'TL03'!$J$10:$J$224),0),
IF('TL03'!$B$229=M$3,SUMIF('TL03'!$C$238:$C$451,$C149,'TL03'!$J$238:$J$451),0),
IF('TL04'!$B$3=M$3,SUMIF('TL04'!$C$10:$C$224,$C149,'TL04'!$J$10:$J$224),0),
IF('TL04'!$B$229=M$3,SUMIF('TL04'!$C$238:$C$451,$C149,'TL04'!$J$238:$J$451),0),
IF('TL05'!$B$3=M$3,SUMIF('TL05'!$C$10:$C$224,$C149,'TL05'!$J$10:$J$224),0),
IF('TL05'!$B$229=M$3,SUMIF('TL05'!$C$238:$C$451,$C149,'TL05'!$J$238:$J$451),0),
IF('TL06'!$B$3=M$3,SUMIF('TL06'!$C$10:$C$224,$C149,'TL06'!$J$10:$J$224),0),
IF('TL06'!$B$229=M$3,SUMIF('TL06'!$C$238:$C$451,$C149,'TL06'!$J$238:$J$451),0),
IF('TL07'!$B$3=M$3,SUMIF('TL07'!$C$10:$C$224,$C149,'TL07'!$J$10:$J$224),0),
IF('TL07'!$B$229=M$3,SUMIF('TL07'!$C$238:$C$451,$C149,'TL07'!$J$238:$J$451),0),
IF('TL08'!$B$3=M$3,SUMIF('TL08'!$C$10:$C$224,$C149,'TL08'!$J$10:$J$224),0),
IF('TL08'!$B$229=M$3,SUMIF('TL08'!$C$238:$C$451,$C149,'TL08'!$J$238:$J$451),0),
IF('TL09'!$B$3=M$3,SUMIF('TL09'!$C$10:$C$224,$C149,'TL09'!$J$10:$J$224),0),
IF('TL09'!$B$229=M$3,SUMIF('TL09'!$C$238:$C$451,$C149,'TL09'!$J$238:$J$451),0),
IF('TL10'!$B$3=M$3,SUMIF('TL10'!$C$10:$C$224,$C149,'TL10'!$J$10:$J$224),0),
IF('TL10'!$B$229=M$3,SUMIF('TL10'!$C$238:$C$451,$C149,'TL10'!$J$238:$J$451),0),
IF('TL11'!$B$3=M$3,SUMIF('TL11'!$C$10:$C$224,$C149,'TL11'!$J$10:$J$224),0),
IF('TL11'!$B$229=M$3,SUMIF('TL11'!$C$238:$C$451,$C149,'TL11'!$J$238:$J$451),0),
IF('TL12'!$B$3=M$3,SUMIF('TL12'!$C$10:$C$224,$C149,'TL12'!$J$10:$J$224),0),
IF('TL12'!$B$229=M$3,SUMIF('TL12'!$C$238:$C$451,$C149,'TL12'!$J$238:$J$451),0),
IF('TL13'!$B$3=M$3,SUMIF('TL13'!$C$10:$C$224,$C149,'TL13'!$J$10:$J$224),0),
IF('TL13'!$B$229=M$3,SUMIF('TL13'!$C$238:$C$451,$C149,'TL13'!$J$238:$J$451),0),
IF('TL14'!$B$3=M$3,SUMIF('TL14'!$C$10:$C$224,$C149,'TL14'!$J$10:$J$224),0),
IF('TL14'!$B$229=M$3,SUMIF('TL14'!$C$238:$C$451,$C149,'TL14'!$J$238:$J$451),0),
IF('TL15'!$B$3=M$3,SUMIF('TL15'!$C$10:$C$224,$C149,'TL15'!$J$10:$J$224),0),
IF('TL15'!$B$229=M$3,SUMIF('TL15'!$C$238:$C$451,$C149,'TL15'!$J$238:$J$451),0),
IF('TL16'!$B$3=M$3,SUMIF('TL16'!$C$10:$C$224,$C149,'TL16'!$J$10:$J$224),0),
IF('TL16'!$B$229=M$3,SUMIF('TL16'!$C$238:$C$451,$C149,'TL16'!$J$238:$J$451),0),
IF('TL17'!$B$3=M$3,SUMIF('TL17'!$C$10:$C$224,$C149,'TL17'!$J$10:$J$224),0),
IF('TL17'!$B$229=M$3,SUMIF('TL17'!$C$238:$C$451,$C149,'TL17'!$J$238:$J$451),0),
IF('TL18'!$B$3=M$3,SUMIF('TL18'!$C$10:$C$224,$C149,'TL18'!$J$10:$J$224),0),
IF('TL18'!$B$229=M$3,SUMIF('TL18'!$C$238:$C$451,$C149,'TL18'!$J$238:$J$451),0),
IF('TL19'!$B$3=M$3,SUMIF('TL19'!$C$10:$C$224,$C149,'TL19'!$J$10:$J$224),0),
IF('TL19'!$B$229=M$3,SUMIF('TL19'!$C$238:$C$451,$C149,'TL19'!$J$238:$J$451),0)
),0)</f>
        <v>160</v>
      </c>
      <c r="N149" s="9">
        <f>IFERROR(SUM(
IF('TL01'!$B$3=N$3,SUMIF('TL01'!$C$10:$C$224,$C149,'TL01'!$J$10:$J$224),0),
IF('TL01'!$B$229=N$3,SUMIF('TL01'!$C$238:$C$451,$C149,'TL01'!$J$238:$J$451),0),
IF('TL02'!$B$3=N$3,SUMIF('TL02'!$C$10:$C$224,$C149,'TL02'!$J$10:$J$224),0),
IF('TL02'!$B$229=N$3,SUMIF('TL02'!$C$238:$C$451,$C149,'TL02'!$J$238:$J$451),0),
IF('TL03'!$B$3=N$3,SUMIF('TL03'!$C$10:$C$224,$C149,'TL03'!$J$10:$J$224),0),
IF('TL03'!$B$229=N$3,SUMIF('TL03'!$C$238:$C$451,$C149,'TL03'!$J$238:$J$451),0),
IF('TL04'!$B$3=N$3,SUMIF('TL04'!$C$10:$C$224,$C149,'TL04'!$J$10:$J$224),0),
IF('TL04'!$B$229=N$3,SUMIF('TL04'!$C$238:$C$451,$C149,'TL04'!$J$238:$J$451),0),
IF('TL05'!$B$3=N$3,SUMIF('TL05'!$C$10:$C$224,$C149,'TL05'!$J$10:$J$224),0),
IF('TL05'!$B$229=N$3,SUMIF('TL05'!$C$238:$C$451,$C149,'TL05'!$J$238:$J$451),0),
IF('TL06'!$B$3=N$3,SUMIF('TL06'!$C$10:$C$224,$C149,'TL06'!$J$10:$J$224),0),
IF('TL06'!$B$229=N$3,SUMIF('TL06'!$C$238:$C$451,$C149,'TL06'!$J$238:$J$451),0),
IF('TL07'!$B$3=N$3,SUMIF('TL07'!$C$10:$C$224,$C149,'TL07'!$J$10:$J$224),0),
IF('TL07'!$B$229=N$3,SUMIF('TL07'!$C$238:$C$451,$C149,'TL07'!$J$238:$J$451),0),
IF('TL08'!$B$3=N$3,SUMIF('TL08'!$C$10:$C$224,$C149,'TL08'!$J$10:$J$224),0),
IF('TL08'!$B$229=N$3,SUMIF('TL08'!$C$238:$C$451,$C149,'TL08'!$J$238:$J$451),0),
IF('TL09'!$B$3=N$3,SUMIF('TL09'!$C$10:$C$224,$C149,'TL09'!$J$10:$J$224),0),
IF('TL09'!$B$229=N$3,SUMIF('TL09'!$C$238:$C$451,$C149,'TL09'!$J$238:$J$451),0),
IF('TL10'!$B$3=N$3,SUMIF('TL10'!$C$10:$C$224,$C149,'TL10'!$J$10:$J$224),0),
IF('TL10'!$B$229=N$3,SUMIF('TL10'!$C$238:$C$451,$C149,'TL10'!$J$238:$J$451),0),
IF('TL11'!$B$3=N$3,SUMIF('TL11'!$C$10:$C$224,$C149,'TL11'!$J$10:$J$224),0),
IF('TL11'!$B$229=N$3,SUMIF('TL11'!$C$238:$C$451,$C149,'TL11'!$J$238:$J$451),0),
IF('TL12'!$B$3=N$3,SUMIF('TL12'!$C$10:$C$224,$C149,'TL12'!$J$10:$J$224),0),
IF('TL12'!$B$229=N$3,SUMIF('TL12'!$C$238:$C$451,$C149,'TL12'!$J$238:$J$451),0),
IF('TL13'!$B$3=N$3,SUMIF('TL13'!$C$10:$C$224,$C149,'TL13'!$J$10:$J$224),0),
IF('TL13'!$B$229=N$3,SUMIF('TL13'!$C$238:$C$451,$C149,'TL13'!$J$238:$J$451),0),
IF('TL14'!$B$3=N$3,SUMIF('TL14'!$C$10:$C$224,$C149,'TL14'!$J$10:$J$224),0),
IF('TL14'!$B$229=N$3,SUMIF('TL14'!$C$238:$C$451,$C149,'TL14'!$J$238:$J$451),0),
IF('TL15'!$B$3=N$3,SUMIF('TL15'!$C$10:$C$224,$C149,'TL15'!$J$10:$J$224),0),
IF('TL15'!$B$229=N$3,SUMIF('TL15'!$C$238:$C$451,$C149,'TL15'!$J$238:$J$451),0),
IF('TL16'!$B$3=N$3,SUMIF('TL16'!$C$10:$C$224,$C149,'TL16'!$J$10:$J$224),0),
IF('TL16'!$B$229=N$3,SUMIF('TL16'!$C$238:$C$451,$C149,'TL16'!$J$238:$J$451),0),
IF('TL17'!$B$3=N$3,SUMIF('TL17'!$C$10:$C$224,$C149,'TL17'!$J$10:$J$224),0),
IF('TL17'!$B$229=N$3,SUMIF('TL17'!$C$238:$C$451,$C149,'TL17'!$J$238:$J$451),0),
IF('TL18'!$B$3=N$3,SUMIF('TL18'!$C$10:$C$224,$C149,'TL18'!$J$10:$J$224),0),
IF('TL18'!$B$229=N$3,SUMIF('TL18'!$C$238:$C$451,$C149,'TL18'!$J$238:$J$451),0),
IF('TL19'!$B$3=N$3,SUMIF('TL19'!$C$10:$C$224,$C149,'TL19'!$J$10:$J$224),0),
IF('TL19'!$B$229=N$3,SUMIF('TL19'!$C$238:$C$451,$C149,'TL19'!$J$238:$J$451),0)
),0)</f>
        <v>0</v>
      </c>
      <c r="O149" s="9">
        <f>IFERROR(SUM(
IF('TL01'!$B$3=O$3,SUMIF('TL01'!$C$10:$C$224,$C149,'TL01'!$J$10:$J$224),0),
IF('TL01'!$B$229=O$3,SUMIF('TL01'!$C$238:$C$451,$C149,'TL01'!$J$238:$J$451),0),
IF('TL02'!$B$3=O$3,SUMIF('TL02'!$C$10:$C$224,$C149,'TL02'!$J$10:$J$224),0),
IF('TL02'!$B$229=O$3,SUMIF('TL02'!$C$238:$C$451,$C149,'TL02'!$J$238:$J$451),0),
IF('TL03'!$B$3=O$3,SUMIF('TL03'!$C$10:$C$224,$C149,'TL03'!$J$10:$J$224),0),
IF('TL03'!$B$229=O$3,SUMIF('TL03'!$C$238:$C$451,$C149,'TL03'!$J$238:$J$451),0),
IF('TL04'!$B$3=O$3,SUMIF('TL04'!$C$10:$C$224,$C149,'TL04'!$J$10:$J$224),0),
IF('TL04'!$B$229=O$3,SUMIF('TL04'!$C$238:$C$451,$C149,'TL04'!$J$238:$J$451),0),
IF('TL05'!$B$3=O$3,SUMIF('TL05'!$C$10:$C$224,$C149,'TL05'!$J$10:$J$224),0),
IF('TL05'!$B$229=O$3,SUMIF('TL05'!$C$238:$C$451,$C149,'TL05'!$J$238:$J$451),0),
IF('TL06'!$B$3=O$3,SUMIF('TL06'!$C$10:$C$224,$C149,'TL06'!$J$10:$J$224),0),
IF('TL06'!$B$229=O$3,SUMIF('TL06'!$C$238:$C$451,$C149,'TL06'!$J$238:$J$451),0),
IF('TL07'!$B$3=O$3,SUMIF('TL07'!$C$10:$C$224,$C149,'TL07'!$J$10:$J$224),0),
IF('TL07'!$B$229=O$3,SUMIF('TL07'!$C$238:$C$451,$C149,'TL07'!$J$238:$J$451),0),
IF('TL08'!$B$3=O$3,SUMIF('TL08'!$C$10:$C$224,$C149,'TL08'!$J$10:$J$224),0),
IF('TL08'!$B$229=O$3,SUMIF('TL08'!$C$238:$C$451,$C149,'TL08'!$J$238:$J$451),0),
IF('TL09'!$B$3=O$3,SUMIF('TL09'!$C$10:$C$224,$C149,'TL09'!$J$10:$J$224),0),
IF('TL09'!$B$229=O$3,SUMIF('TL09'!$C$238:$C$451,$C149,'TL09'!$J$238:$J$451),0),
IF('TL10'!$B$3=O$3,SUMIF('TL10'!$C$10:$C$224,$C149,'TL10'!$J$10:$J$224),0),
IF('TL10'!$B$229=O$3,SUMIF('TL10'!$C$238:$C$451,$C149,'TL10'!$J$238:$J$451),0),
IF('TL11'!$B$3=O$3,SUMIF('TL11'!$C$10:$C$224,$C149,'TL11'!$J$10:$J$224),0),
IF('TL11'!$B$229=O$3,SUMIF('TL11'!$C$238:$C$451,$C149,'TL11'!$J$238:$J$451),0),
IF('TL12'!$B$3=O$3,SUMIF('TL12'!$C$10:$C$224,$C149,'TL12'!$J$10:$J$224),0),
IF('TL12'!$B$229=O$3,SUMIF('TL12'!$C$238:$C$451,$C149,'TL12'!$J$238:$J$451),0),
IF('TL13'!$B$3=O$3,SUMIF('TL13'!$C$10:$C$224,$C149,'TL13'!$J$10:$J$224),0),
IF('TL13'!$B$229=O$3,SUMIF('TL13'!$C$238:$C$451,$C149,'TL13'!$J$238:$J$451),0),
IF('TL14'!$B$3=O$3,SUMIF('TL14'!$C$10:$C$224,$C149,'TL14'!$J$10:$J$224),0),
IF('TL14'!$B$229=O$3,SUMIF('TL14'!$C$238:$C$451,$C149,'TL14'!$J$238:$J$451),0),
IF('TL15'!$B$3=O$3,SUMIF('TL15'!$C$10:$C$224,$C149,'TL15'!$J$10:$J$224),0),
IF('TL15'!$B$229=O$3,SUMIF('TL15'!$C$238:$C$451,$C149,'TL15'!$J$238:$J$451),0),
IF('TL16'!$B$3=O$3,SUMIF('TL16'!$C$10:$C$224,$C149,'TL16'!$J$10:$J$224),0),
IF('TL16'!$B$229=O$3,SUMIF('TL16'!$C$238:$C$451,$C149,'TL16'!$J$238:$J$451),0),
IF('TL17'!$B$3=O$3,SUMIF('TL17'!$C$10:$C$224,$C149,'TL17'!$J$10:$J$224),0),
IF('TL17'!$B$229=O$3,SUMIF('TL17'!$C$238:$C$451,$C149,'TL17'!$J$238:$J$451),0),
IF('TL18'!$B$3=O$3,SUMIF('TL18'!$C$10:$C$224,$C149,'TL18'!$J$10:$J$224),0),
IF('TL18'!$B$229=O$3,SUMIF('TL18'!$C$238:$C$451,$C149,'TL18'!$J$238:$J$451),0),
IF('TL19'!$B$3=O$3,SUMIF('TL19'!$C$10:$C$224,$C149,'TL19'!$J$10:$J$224),0),
IF('TL19'!$B$229=O$3,SUMIF('TL19'!$C$238:$C$451,$C149,'TL19'!$J$238:$J$451),0)
),0)</f>
        <v>0</v>
      </c>
      <c r="P149" s="9">
        <f>IFERROR(SUM(
IF('TL01'!$B$3=P$3,SUMIF('TL01'!$C$10:$C$224,$C149,'TL01'!$J$10:$J$224),0),
IF('TL01'!$B$229=P$3,SUMIF('TL01'!$C$238:$C$451,$C149,'TL01'!$J$238:$J$451),0),
IF('TL02'!$B$3=P$3,SUMIF('TL02'!$C$10:$C$224,$C149,'TL02'!$J$10:$J$224),0),
IF('TL02'!$B$229=P$3,SUMIF('TL02'!$C$238:$C$451,$C149,'TL02'!$J$238:$J$451),0),
IF('TL03'!$B$3=P$3,SUMIF('TL03'!$C$10:$C$224,$C149,'TL03'!$J$10:$J$224),0),
IF('TL03'!$B$229=P$3,SUMIF('TL03'!$C$238:$C$451,$C149,'TL03'!$J$238:$J$451),0),
IF('TL04'!$B$3=P$3,SUMIF('TL04'!$C$10:$C$224,$C149,'TL04'!$J$10:$J$224),0),
IF('TL04'!$B$229=P$3,SUMIF('TL04'!$C$238:$C$451,$C149,'TL04'!$J$238:$J$451),0),
IF('TL05'!$B$3=P$3,SUMIF('TL05'!$C$10:$C$224,$C149,'TL05'!$J$10:$J$224),0),
IF('TL05'!$B$229=P$3,SUMIF('TL05'!$C$238:$C$451,$C149,'TL05'!$J$238:$J$451),0),
IF('TL06'!$B$3=P$3,SUMIF('TL06'!$C$10:$C$224,$C149,'TL06'!$J$10:$J$224),0),
IF('TL06'!$B$229=P$3,SUMIF('TL06'!$C$238:$C$451,$C149,'TL06'!$J$238:$J$451),0),
IF('TL07'!$B$3=P$3,SUMIF('TL07'!$C$10:$C$224,$C149,'TL07'!$J$10:$J$224),0),
IF('TL07'!$B$229=P$3,SUMIF('TL07'!$C$238:$C$451,$C149,'TL07'!$J$238:$J$451),0),
IF('TL08'!$B$3=P$3,SUMIF('TL08'!$C$10:$C$224,$C149,'TL08'!$J$10:$J$224),0),
IF('TL08'!$B$229=P$3,SUMIF('TL08'!$C$238:$C$451,$C149,'TL08'!$J$238:$J$451),0),
IF('TL09'!$B$3=P$3,SUMIF('TL09'!$C$10:$C$224,$C149,'TL09'!$J$10:$J$224),0),
IF('TL09'!$B$229=P$3,SUMIF('TL09'!$C$238:$C$451,$C149,'TL09'!$J$238:$J$451),0),
IF('TL10'!$B$3=P$3,SUMIF('TL10'!$C$10:$C$224,$C149,'TL10'!$J$10:$J$224),0),
IF('TL10'!$B$229=P$3,SUMIF('TL10'!$C$238:$C$451,$C149,'TL10'!$J$238:$J$451),0),
IF('TL11'!$B$3=P$3,SUMIF('TL11'!$C$10:$C$224,$C149,'TL11'!$J$10:$J$224),0),
IF('TL11'!$B$229=P$3,SUMIF('TL11'!$C$238:$C$451,$C149,'TL11'!$J$238:$J$451),0),
IF('TL12'!$B$3=P$3,SUMIF('TL12'!$C$10:$C$224,$C149,'TL12'!$J$10:$J$224),0),
IF('TL12'!$B$229=P$3,SUMIF('TL12'!$C$238:$C$451,$C149,'TL12'!$J$238:$J$451),0),
IF('TL13'!$B$3=P$3,SUMIF('TL13'!$C$10:$C$224,$C149,'TL13'!$J$10:$J$224),0),
IF('TL13'!$B$229=P$3,SUMIF('TL13'!$C$238:$C$451,$C149,'TL13'!$J$238:$J$451),0),
IF('TL14'!$B$3=P$3,SUMIF('TL14'!$C$10:$C$224,$C149,'TL14'!$J$10:$J$224),0),
IF('TL14'!$B$229=P$3,SUMIF('TL14'!$C$238:$C$451,$C149,'TL14'!$J$238:$J$451),0),
IF('TL15'!$B$3=P$3,SUMIF('TL15'!$C$10:$C$224,$C149,'TL15'!$J$10:$J$224),0),
IF('TL15'!$B$229=P$3,SUMIF('TL15'!$C$238:$C$451,$C149,'TL15'!$J$238:$J$451),0),
IF('TL16'!$B$3=P$3,SUMIF('TL16'!$C$10:$C$224,$C149,'TL16'!$J$10:$J$224),0),
IF('TL16'!$B$229=P$3,SUMIF('TL16'!$C$238:$C$451,$C149,'TL16'!$J$238:$J$451),0),
IF('TL17'!$B$3=P$3,SUMIF('TL17'!$C$10:$C$224,$C149,'TL17'!$J$10:$J$224),0),
IF('TL17'!$B$229=P$3,SUMIF('TL17'!$C$238:$C$451,$C149,'TL17'!$J$238:$J$451),0),
IF('TL18'!$B$3=P$3,SUMIF('TL18'!$C$10:$C$224,$C149,'TL18'!$J$10:$J$224),0),
IF('TL18'!$B$229=P$3,SUMIF('TL18'!$C$238:$C$451,$C149,'TL18'!$J$238:$J$451),0),
IF('TL19'!$B$3=P$3,SUMIF('TL19'!$C$10:$C$224,$C149,'TL19'!$J$10:$J$224),0),
IF('TL19'!$B$229=P$3,SUMIF('TL19'!$C$238:$C$451,$C149,'TL19'!$J$238:$J$451),0)
),0)</f>
        <v>375</v>
      </c>
      <c r="Q149" s="9">
        <f>IFERROR(SUM(
IF('TL01'!$B$3=Q$3,SUMIF('TL01'!$C$10:$C$224,$C149,'TL01'!$J$10:$J$224),0),
IF('TL01'!$B$229=Q$3,SUMIF('TL01'!$C$238:$C$451,$C149,'TL01'!$J$238:$J$451),0),
IF('TL02'!$B$3=Q$3,SUMIF('TL02'!$C$10:$C$224,$C149,'TL02'!$J$10:$J$224),0),
IF('TL02'!$B$229=Q$3,SUMIF('TL02'!$C$238:$C$451,$C149,'TL02'!$J$238:$J$451),0),
IF('TL03'!$B$3=Q$3,SUMIF('TL03'!$C$10:$C$224,$C149,'TL03'!$J$10:$J$224),0),
IF('TL03'!$B$229=Q$3,SUMIF('TL03'!$C$238:$C$451,$C149,'TL03'!$J$238:$J$451),0),
IF('TL04'!$B$3=Q$3,SUMIF('TL04'!$C$10:$C$224,$C149,'TL04'!$J$10:$J$224),0),
IF('TL04'!$B$229=Q$3,SUMIF('TL04'!$C$238:$C$451,$C149,'TL04'!$J$238:$J$451),0),
IF('TL05'!$B$3=Q$3,SUMIF('TL05'!$C$10:$C$224,$C149,'TL05'!$J$10:$J$224),0),
IF('TL05'!$B$229=Q$3,SUMIF('TL05'!$C$238:$C$451,$C149,'TL05'!$J$238:$J$451),0),
IF('TL06'!$B$3=Q$3,SUMIF('TL06'!$C$10:$C$224,$C149,'TL06'!$J$10:$J$224),0),
IF('TL06'!$B$229=Q$3,SUMIF('TL06'!$C$238:$C$451,$C149,'TL06'!$J$238:$J$451),0),
IF('TL07'!$B$3=Q$3,SUMIF('TL07'!$C$10:$C$224,$C149,'TL07'!$J$10:$J$224),0),
IF('TL07'!$B$229=Q$3,SUMIF('TL07'!$C$238:$C$451,$C149,'TL07'!$J$238:$J$451),0),
IF('TL08'!$B$3=Q$3,SUMIF('TL08'!$C$10:$C$224,$C149,'TL08'!$J$10:$J$224),0),
IF('TL08'!$B$229=Q$3,SUMIF('TL08'!$C$238:$C$451,$C149,'TL08'!$J$238:$J$451),0),
IF('TL09'!$B$3=Q$3,SUMIF('TL09'!$C$10:$C$224,$C149,'TL09'!$J$10:$J$224),0),
IF('TL09'!$B$229=Q$3,SUMIF('TL09'!$C$238:$C$451,$C149,'TL09'!$J$238:$J$451),0),
IF('TL10'!$B$3=Q$3,SUMIF('TL10'!$C$10:$C$224,$C149,'TL10'!$J$10:$J$224),0),
IF('TL10'!$B$229=Q$3,SUMIF('TL10'!$C$238:$C$451,$C149,'TL10'!$J$238:$J$451),0),
IF('TL11'!$B$3=Q$3,SUMIF('TL11'!$C$10:$C$224,$C149,'TL11'!$J$10:$J$224),0),
IF('TL11'!$B$229=Q$3,SUMIF('TL11'!$C$238:$C$451,$C149,'TL11'!$J$238:$J$451),0),
IF('TL12'!$B$3=Q$3,SUMIF('TL12'!$C$10:$C$224,$C149,'TL12'!$J$10:$J$224),0),
IF('TL12'!$B$229=Q$3,SUMIF('TL12'!$C$238:$C$451,$C149,'TL12'!$J$238:$J$451),0),
IF('TL13'!$B$3=Q$3,SUMIF('TL13'!$C$10:$C$224,$C149,'TL13'!$J$10:$J$224),0),
IF('TL13'!$B$229=Q$3,SUMIF('TL13'!$C$238:$C$451,$C149,'TL13'!$J$238:$J$451),0),
IF('TL14'!$B$3=Q$3,SUMIF('TL14'!$C$10:$C$224,$C149,'TL14'!$J$10:$J$224),0),
IF('TL14'!$B$229=Q$3,SUMIF('TL14'!$C$238:$C$451,$C149,'TL14'!$J$238:$J$451),0),
IF('TL15'!$B$3=Q$3,SUMIF('TL15'!$C$10:$C$224,$C149,'TL15'!$J$10:$J$224),0),
IF('TL15'!$B$229=Q$3,SUMIF('TL15'!$C$238:$C$451,$C149,'TL15'!$J$238:$J$451),0),
IF('TL16'!$B$3=Q$3,SUMIF('TL16'!$C$10:$C$224,$C149,'TL16'!$J$10:$J$224),0),
IF('TL16'!$B$229=Q$3,SUMIF('TL16'!$C$238:$C$451,$C149,'TL16'!$J$238:$J$451),0),
IF('TL17'!$B$3=Q$3,SUMIF('TL17'!$C$10:$C$224,$C149,'TL17'!$J$10:$J$224),0),
IF('TL17'!$B$229=Q$3,SUMIF('TL17'!$C$238:$C$451,$C149,'TL17'!$J$238:$J$451),0),
IF('TL18'!$B$3=Q$3,SUMIF('TL18'!$C$10:$C$224,$C149,'TL18'!$J$10:$J$224),0),
IF('TL18'!$B$229=Q$3,SUMIF('TL18'!$C$238:$C$451,$C149,'TL18'!$J$238:$J$451),0),
IF('TL19'!$B$3=Q$3,SUMIF('TL19'!$C$10:$C$224,$C149,'TL19'!$J$10:$J$224),0),
IF('TL19'!$B$229=Q$3,SUMIF('TL19'!$C$238:$C$451,$C149,'TL19'!$J$238:$J$451),0)
),0)</f>
        <v>60</v>
      </c>
      <c r="R149" s="9">
        <f>IFERROR(
SUM(
SUMIF('TL01'!C:C,C149,'TL01'!J:J),
SUMIF('TL02'!C:C,C149,'TL02'!J:J),
SUMIF('TL03'!C:C,C149,'TL03'!J:J),
SUMIF('TL04'!C:C,C149,'TL04'!J:J),
SUMIF('TL05'!C:C,C149,'TL05'!J:J),
SUMIF('TL06'!C:C,C149,'TL06'!J:J),
SUMIF('TL07'!C:C,C149,'TL07'!J:J),
SUMIF('TL08'!C:C,C149,'TL08'!J:J),
SUMIF('TL09'!C:C,C149,'TL09'!J:J),
SUMIF('TL10'!C:C,C149,'TL10'!J:J),
SUMIF('TL11'!C:C,C149,'TL11'!J:J),
SUMIF('TL12'!C:C,C149,'TL12'!J:J),
SUMIF('TL13'!C:C,C149,'TL13'!J:J),
SUMIF('TL14'!C:C,C149,'TL14'!J:J),
SUMIF('TL15'!C:C,C149,'TL15'!J:J),
SUMIF('TL16'!C:C,C149,'TL16'!J:J),
SUMIF('TL17'!C:C,C149,'TL17'!J:J),
SUMIF('TL18'!C:C,C149,'TL18'!J:J),SUMIF('TL19'!C:C,C149,'TL19'!J:J))
,0)</f>
        <v>665</v>
      </c>
      <c r="S149" s="17">
        <f>IFERROR(__xludf.DUMMYFUNCTION("IFERROR(VLOOKUP(C149,
IMPORTRANGE(""1wULbzX32WdYsx-lj2U3uUNBBe2INVIRDtcK0d-Dvl90"",
""26-27!C:G""),
5,
FALSE),
"""")"),46.996959999999994)</f>
        <v>46.99696</v>
      </c>
      <c r="T149" s="9"/>
      <c r="U149" s="92">
        <f t="shared" si="2"/>
        <v>665</v>
      </c>
      <c r="V149" s="93">
        <f t="shared" si="3"/>
        <v>31252.9784</v>
      </c>
    </row>
    <row r="150" ht="15.75" hidden="1" customHeight="1">
      <c r="A150" s="115" t="s">
        <v>516</v>
      </c>
      <c r="B150" s="100" t="s">
        <v>1</v>
      </c>
      <c r="C150" s="116" t="s">
        <v>707</v>
      </c>
      <c r="D150" s="116" t="s">
        <v>685</v>
      </c>
      <c r="E150" s="116">
        <v>212.0</v>
      </c>
      <c r="F150" s="4" t="s">
        <v>343</v>
      </c>
      <c r="G150" s="90" t="str">
        <f t="shared" si="4"/>
        <v>📄 Ver bula</v>
      </c>
      <c r="H150" s="9">
        <f>IFERROR(__xludf.DUMMYFUNCTION("IFERROR(VLOOKUP(C150,
IMPORTRANGE(""1wULbzX32WdYsx-lj2U3uUNBBe2INVIRDtcK0d-Dvl90"",
""26-27!C:K""),
8,
FALSE),
"""")"),1.0)</f>
        <v>1</v>
      </c>
      <c r="I150" s="117" t="s">
        <v>344</v>
      </c>
      <c r="J150" s="9">
        <f>IFERROR(SUM(
IF('TL01'!$B$3=J$3,SUMIF('TL01'!$C$10:$C$224,$C150,'TL01'!$J$10:$J$224),0),
IF('TL01'!$B$229=J$3,SUMIF('TL01'!$C$238:$C$451,$C150,'TL01'!$J$238:$J$451),0),
IF('TL02'!$B$3=J$3,SUMIF('TL02'!$C$10:$C$224,$C150,'TL02'!$J$10:$J$224),0),
IF('TL02'!$B$229=J$3,SUMIF('TL02'!$C$238:$C$451,$C150,'TL02'!$J$238:$J$451),0),
IF('TL03'!$B$3=J$3,SUMIF('TL03'!$C$10:$C$224,$C150,'TL03'!$J$10:$J$224),0),
IF('TL03'!$B$229=J$3,SUMIF('TL03'!$C$238:$C$451,$C150,'TL03'!$J$238:$J$451),0),
IF('TL04'!$B$3=J$3,SUMIF('TL04'!$C$10:$C$224,$C150,'TL04'!$J$10:$J$224),0),
IF('TL04'!$B$229=J$3,SUMIF('TL04'!$C$238:$C$451,$C150,'TL04'!$J$238:$J$451),0),
IF('TL05'!$B$3=J$3,SUMIF('TL05'!$C$10:$C$224,$C150,'TL05'!$J$10:$J$224),0),
IF('TL05'!$B$229=J$3,SUMIF('TL05'!$C$238:$C$451,$C150,'TL05'!$J$238:$J$451),0),
IF('TL06'!$B$3=J$3,SUMIF('TL06'!$C$10:$C$224,$C150,'TL06'!$J$10:$J$224),0),
IF('TL06'!$B$229=J$3,SUMIF('TL06'!$C$238:$C$451,$C150,'TL06'!$J$238:$J$451),0),
IF('TL07'!$B$3=J$3,SUMIF('TL07'!$C$10:$C$224,$C150,'TL07'!$J$10:$J$224),0),
IF('TL07'!$B$229=J$3,SUMIF('TL07'!$C$238:$C$451,$C150,'TL07'!$J$238:$J$451),0),
IF('TL08'!$B$3=J$3,SUMIF('TL08'!$C$10:$C$224,$C150,'TL08'!$J$10:$J$224),0),
IF('TL08'!$B$229=J$3,SUMIF('TL08'!$C$238:$C$451,$C150,'TL08'!$J$238:$J$451),0),
IF('TL09'!$B$3=J$3,SUMIF('TL09'!$C$10:$C$224,$C150,'TL09'!$J$10:$J$224),0),
IF('TL09'!$B$229=J$3,SUMIF('TL09'!$C$238:$C$451,$C150,'TL09'!$J$238:$J$451),0),
IF('TL10'!$B$3=J$3,SUMIF('TL10'!$C$10:$C$224,$C150,'TL10'!$J$10:$J$224),0),
IF('TL10'!$B$229=J$3,SUMIF('TL10'!$C$238:$C$451,$C150,'TL10'!$J$238:$J$451),0),
IF('TL11'!$B$3=J$3,SUMIF('TL11'!$C$10:$C$224,$C150,'TL11'!$J$10:$J$224),0),
IF('TL11'!$B$229=J$3,SUMIF('TL11'!$C$238:$C$451,$C150,'TL11'!$J$238:$J$451),0),
IF('TL12'!$B$3=J$3,SUMIF('TL12'!$C$10:$C$224,$C150,'TL12'!$J$10:$J$224),0),
IF('TL12'!$B$229=J$3,SUMIF('TL12'!$C$238:$C$451,$C150,'TL12'!$J$238:$J$451),0),
IF('TL13'!$B$3=J$3,SUMIF('TL13'!$C$10:$C$224,$C150,'TL13'!$J$10:$J$224),0),
IF('TL13'!$B$229=J$3,SUMIF('TL13'!$C$238:$C$451,$C150,'TL13'!$J$238:$J$451),0),
IF('TL14'!$B$3=J$3,SUMIF('TL14'!$C$10:$C$224,$C150,'TL14'!$J$10:$J$224),0),
IF('TL14'!$B$229=J$3,SUMIF('TL14'!$C$238:$C$451,$C150,'TL14'!$J$238:$J$451),0),
IF('TL15'!$B$3=J$3,SUMIF('TL15'!$C$10:$C$224,$C150,'TL15'!$J$10:$J$224),0),
IF('TL15'!$B$229=J$3,SUMIF('TL15'!$C$238:$C$451,$C150,'TL15'!$J$238:$J$451),0),
IF('TL16'!$B$3=J$3,SUMIF('TL16'!$C$10:$C$224,$C150,'TL16'!$J$10:$J$224),0),
IF('TL16'!$B$229=J$3,SUMIF('TL16'!$C$238:$C$451,$C150,'TL16'!$J$238:$J$451),0),
IF('TL17'!$B$3=J$3,SUMIF('TL17'!$C$10:$C$224,$C150,'TL17'!$J$10:$J$224),0),
IF('TL17'!$B$229=J$3,SUMIF('TL17'!$C$238:$C$451,$C150,'TL17'!$J$238:$J$451),0),
IF('TL18'!$B$3=J$3,SUMIF('TL18'!$C$10:$C$224,$C150,'TL18'!$J$10:$J$224),0),
IF('TL18'!$B$229=J$3,SUMIF('TL18'!$C$238:$C$451,$C150,'TL18'!$J$238:$J$451),0),
IF('TL19'!$B$3=J$3,SUMIF('TL19'!$C$10:$C$224,$C150,'TL19'!$J$10:$J$224),0),
IF('TL19'!$B$229=J$3,SUMIF('TL19'!$C$238:$C$451,$C150,'TL19'!$J$238:$J$451),0)
),0)</f>
        <v>490</v>
      </c>
      <c r="K150" s="9">
        <f>IFERROR(SUM(
IF('TL01'!$B$3=K$3,SUMIF('TL01'!$C$10:$C$224,$C150,'TL01'!$J$10:$J$224),0),
IF('TL01'!$B$229=K$3,SUMIF('TL01'!$C$238:$C$451,$C150,'TL01'!$J$238:$J$451),0),
IF('TL02'!$B$3=K$3,SUMIF('TL02'!$C$10:$C$224,$C150,'TL02'!$J$10:$J$224),0),
IF('TL02'!$B$229=K$3,SUMIF('TL02'!$C$238:$C$451,$C150,'TL02'!$J$238:$J$451),0),
IF('TL03'!$B$3=K$3,SUMIF('TL03'!$C$10:$C$224,$C150,'TL03'!$J$10:$J$224),0),
IF('TL03'!$B$229=K$3,SUMIF('TL03'!$C$238:$C$451,$C150,'TL03'!$J$238:$J$451),0),
IF('TL04'!$B$3=K$3,SUMIF('TL04'!$C$10:$C$224,$C150,'TL04'!$J$10:$J$224),0),
IF('TL04'!$B$229=K$3,SUMIF('TL04'!$C$238:$C$451,$C150,'TL04'!$J$238:$J$451),0),
IF('TL05'!$B$3=K$3,SUMIF('TL05'!$C$10:$C$224,$C150,'TL05'!$J$10:$J$224),0),
IF('TL05'!$B$229=K$3,SUMIF('TL05'!$C$238:$C$451,$C150,'TL05'!$J$238:$J$451),0),
IF('TL06'!$B$3=K$3,SUMIF('TL06'!$C$10:$C$224,$C150,'TL06'!$J$10:$J$224),0),
IF('TL06'!$B$229=K$3,SUMIF('TL06'!$C$238:$C$451,$C150,'TL06'!$J$238:$J$451),0),
IF('TL07'!$B$3=K$3,SUMIF('TL07'!$C$10:$C$224,$C150,'TL07'!$J$10:$J$224),0),
IF('TL07'!$B$229=K$3,SUMIF('TL07'!$C$238:$C$451,$C150,'TL07'!$J$238:$J$451),0),
IF('TL08'!$B$3=K$3,SUMIF('TL08'!$C$10:$C$224,$C150,'TL08'!$J$10:$J$224),0),
IF('TL08'!$B$229=K$3,SUMIF('TL08'!$C$238:$C$451,$C150,'TL08'!$J$238:$J$451),0),
IF('TL09'!$B$3=K$3,SUMIF('TL09'!$C$10:$C$224,$C150,'TL09'!$J$10:$J$224),0),
IF('TL09'!$B$229=K$3,SUMIF('TL09'!$C$238:$C$451,$C150,'TL09'!$J$238:$J$451),0),
IF('TL10'!$B$3=K$3,SUMIF('TL10'!$C$10:$C$224,$C150,'TL10'!$J$10:$J$224),0),
IF('TL10'!$B$229=K$3,SUMIF('TL10'!$C$238:$C$451,$C150,'TL10'!$J$238:$J$451),0),
IF('TL11'!$B$3=K$3,SUMIF('TL11'!$C$10:$C$224,$C150,'TL11'!$J$10:$J$224),0),
IF('TL11'!$B$229=K$3,SUMIF('TL11'!$C$238:$C$451,$C150,'TL11'!$J$238:$J$451),0),
IF('TL12'!$B$3=K$3,SUMIF('TL12'!$C$10:$C$224,$C150,'TL12'!$J$10:$J$224),0),
IF('TL12'!$B$229=K$3,SUMIF('TL12'!$C$238:$C$451,$C150,'TL12'!$J$238:$J$451),0),
IF('TL13'!$B$3=K$3,SUMIF('TL13'!$C$10:$C$224,$C150,'TL13'!$J$10:$J$224),0),
IF('TL13'!$B$229=K$3,SUMIF('TL13'!$C$238:$C$451,$C150,'TL13'!$J$238:$J$451),0),
IF('TL14'!$B$3=K$3,SUMIF('TL14'!$C$10:$C$224,$C150,'TL14'!$J$10:$J$224),0),
IF('TL14'!$B$229=K$3,SUMIF('TL14'!$C$238:$C$451,$C150,'TL14'!$J$238:$J$451),0),
IF('TL15'!$B$3=K$3,SUMIF('TL15'!$C$10:$C$224,$C150,'TL15'!$J$10:$J$224),0),
IF('TL15'!$B$229=K$3,SUMIF('TL15'!$C$238:$C$451,$C150,'TL15'!$J$238:$J$451),0),
IF('TL16'!$B$3=K$3,SUMIF('TL16'!$C$10:$C$224,$C150,'TL16'!$J$10:$J$224),0),
IF('TL16'!$B$229=K$3,SUMIF('TL16'!$C$238:$C$451,$C150,'TL16'!$J$238:$J$451),0),
IF('TL17'!$B$3=K$3,SUMIF('TL17'!$C$10:$C$224,$C150,'TL17'!$J$10:$J$224),0),
IF('TL17'!$B$229=K$3,SUMIF('TL17'!$C$238:$C$451,$C150,'TL17'!$J$238:$J$451),0),
IF('TL18'!$B$3=K$3,SUMIF('TL18'!$C$10:$C$224,$C150,'TL18'!$J$10:$J$224),0),
IF('TL18'!$B$229=K$3,SUMIF('TL18'!$C$238:$C$451,$C150,'TL18'!$J$238:$J$451),0),
IF('TL19'!$B$3=K$3,SUMIF('TL19'!$C$10:$C$224,$C150,'TL19'!$J$10:$J$224),0),
IF('TL19'!$B$229=K$3,SUMIF('TL19'!$C$238:$C$451,$C150,'TL19'!$J$238:$J$451),0)
),0)</f>
        <v>0</v>
      </c>
      <c r="L150" s="9">
        <f>IFERROR(SUM(
IF('TL01'!$B$3=L$3,SUMIF('TL01'!$C$10:$C$224,$C150,'TL01'!$J$10:$J$224),0),
IF('TL01'!$B$229=L$3,SUMIF('TL01'!$C$238:$C$451,$C150,'TL01'!$J$238:$J$451),0),
IF('TL02'!$B$3=L$3,SUMIF('TL02'!$C$10:$C$224,$C150,'TL02'!$J$10:$J$224),0),
IF('TL02'!$B$229=L$3,SUMIF('TL02'!$C$238:$C$451,$C150,'TL02'!$J$238:$J$451),0),
IF('TL03'!$B$3=L$3,SUMIF('TL03'!$C$10:$C$224,$C150,'TL03'!$J$10:$J$224),0),
IF('TL03'!$B$229=L$3,SUMIF('TL03'!$C$238:$C$451,$C150,'TL03'!$J$238:$J$451),0),
IF('TL04'!$B$3=L$3,SUMIF('TL04'!$C$10:$C$224,$C150,'TL04'!$J$10:$J$224),0),
IF('TL04'!$B$229=L$3,SUMIF('TL04'!$C$238:$C$451,$C150,'TL04'!$J$238:$J$451),0),
IF('TL05'!$B$3=L$3,SUMIF('TL05'!$C$10:$C$224,$C150,'TL05'!$J$10:$J$224),0),
IF('TL05'!$B$229=L$3,SUMIF('TL05'!$C$238:$C$451,$C150,'TL05'!$J$238:$J$451),0),
IF('TL06'!$B$3=L$3,SUMIF('TL06'!$C$10:$C$224,$C150,'TL06'!$J$10:$J$224),0),
IF('TL06'!$B$229=L$3,SUMIF('TL06'!$C$238:$C$451,$C150,'TL06'!$J$238:$J$451),0),
IF('TL07'!$B$3=L$3,SUMIF('TL07'!$C$10:$C$224,$C150,'TL07'!$J$10:$J$224),0),
IF('TL07'!$B$229=L$3,SUMIF('TL07'!$C$238:$C$451,$C150,'TL07'!$J$238:$J$451),0),
IF('TL08'!$B$3=L$3,SUMIF('TL08'!$C$10:$C$224,$C150,'TL08'!$J$10:$J$224),0),
IF('TL08'!$B$229=L$3,SUMIF('TL08'!$C$238:$C$451,$C150,'TL08'!$J$238:$J$451),0),
IF('TL09'!$B$3=L$3,SUMIF('TL09'!$C$10:$C$224,$C150,'TL09'!$J$10:$J$224),0),
IF('TL09'!$B$229=L$3,SUMIF('TL09'!$C$238:$C$451,$C150,'TL09'!$J$238:$J$451),0),
IF('TL10'!$B$3=L$3,SUMIF('TL10'!$C$10:$C$224,$C150,'TL10'!$J$10:$J$224),0),
IF('TL10'!$B$229=L$3,SUMIF('TL10'!$C$238:$C$451,$C150,'TL10'!$J$238:$J$451),0),
IF('TL11'!$B$3=L$3,SUMIF('TL11'!$C$10:$C$224,$C150,'TL11'!$J$10:$J$224),0),
IF('TL11'!$B$229=L$3,SUMIF('TL11'!$C$238:$C$451,$C150,'TL11'!$J$238:$J$451),0),
IF('TL12'!$B$3=L$3,SUMIF('TL12'!$C$10:$C$224,$C150,'TL12'!$J$10:$J$224),0),
IF('TL12'!$B$229=L$3,SUMIF('TL12'!$C$238:$C$451,$C150,'TL12'!$J$238:$J$451),0),
IF('TL13'!$B$3=L$3,SUMIF('TL13'!$C$10:$C$224,$C150,'TL13'!$J$10:$J$224),0),
IF('TL13'!$B$229=L$3,SUMIF('TL13'!$C$238:$C$451,$C150,'TL13'!$J$238:$J$451),0),
IF('TL14'!$B$3=L$3,SUMIF('TL14'!$C$10:$C$224,$C150,'TL14'!$J$10:$J$224),0),
IF('TL14'!$B$229=L$3,SUMIF('TL14'!$C$238:$C$451,$C150,'TL14'!$J$238:$J$451),0),
IF('TL15'!$B$3=L$3,SUMIF('TL15'!$C$10:$C$224,$C150,'TL15'!$J$10:$J$224),0),
IF('TL15'!$B$229=L$3,SUMIF('TL15'!$C$238:$C$451,$C150,'TL15'!$J$238:$J$451),0),
IF('TL16'!$B$3=L$3,SUMIF('TL16'!$C$10:$C$224,$C150,'TL16'!$J$10:$J$224),0),
IF('TL16'!$B$229=L$3,SUMIF('TL16'!$C$238:$C$451,$C150,'TL16'!$J$238:$J$451),0),
IF('TL17'!$B$3=L$3,SUMIF('TL17'!$C$10:$C$224,$C150,'TL17'!$J$10:$J$224),0),
IF('TL17'!$B$229=L$3,SUMIF('TL17'!$C$238:$C$451,$C150,'TL17'!$J$238:$J$451),0),
IF('TL18'!$B$3=L$3,SUMIF('TL18'!$C$10:$C$224,$C150,'TL18'!$J$10:$J$224),0),
IF('TL18'!$B$229=L$3,SUMIF('TL18'!$C$238:$C$451,$C150,'TL18'!$J$238:$J$451),0),
IF('TL19'!$B$3=L$3,SUMIF('TL19'!$C$10:$C$224,$C150,'TL19'!$J$10:$J$224),0),
IF('TL19'!$B$229=L$3,SUMIF('TL19'!$C$238:$C$451,$C150,'TL19'!$J$238:$J$451),0)
),0)</f>
        <v>0</v>
      </c>
      <c r="M150" s="9">
        <f>IFERROR(SUM(
IF('TL01'!$B$3=M$3,SUMIF('TL01'!$C$10:$C$224,$C150,'TL01'!$J$10:$J$224),0),
IF('TL01'!$B$229=M$3,SUMIF('TL01'!$C$238:$C$451,$C150,'TL01'!$J$238:$J$451),0),
IF('TL02'!$B$3=M$3,SUMIF('TL02'!$C$10:$C$224,$C150,'TL02'!$J$10:$J$224),0),
IF('TL02'!$B$229=M$3,SUMIF('TL02'!$C$238:$C$451,$C150,'TL02'!$J$238:$J$451),0),
IF('TL03'!$B$3=M$3,SUMIF('TL03'!$C$10:$C$224,$C150,'TL03'!$J$10:$J$224),0),
IF('TL03'!$B$229=M$3,SUMIF('TL03'!$C$238:$C$451,$C150,'TL03'!$J$238:$J$451),0),
IF('TL04'!$B$3=M$3,SUMIF('TL04'!$C$10:$C$224,$C150,'TL04'!$J$10:$J$224),0),
IF('TL04'!$B$229=M$3,SUMIF('TL04'!$C$238:$C$451,$C150,'TL04'!$J$238:$J$451),0),
IF('TL05'!$B$3=M$3,SUMIF('TL05'!$C$10:$C$224,$C150,'TL05'!$J$10:$J$224),0),
IF('TL05'!$B$229=M$3,SUMIF('TL05'!$C$238:$C$451,$C150,'TL05'!$J$238:$J$451),0),
IF('TL06'!$B$3=M$3,SUMIF('TL06'!$C$10:$C$224,$C150,'TL06'!$J$10:$J$224),0),
IF('TL06'!$B$229=M$3,SUMIF('TL06'!$C$238:$C$451,$C150,'TL06'!$J$238:$J$451),0),
IF('TL07'!$B$3=M$3,SUMIF('TL07'!$C$10:$C$224,$C150,'TL07'!$J$10:$J$224),0),
IF('TL07'!$B$229=M$3,SUMIF('TL07'!$C$238:$C$451,$C150,'TL07'!$J$238:$J$451),0),
IF('TL08'!$B$3=M$3,SUMIF('TL08'!$C$10:$C$224,$C150,'TL08'!$J$10:$J$224),0),
IF('TL08'!$B$229=M$3,SUMIF('TL08'!$C$238:$C$451,$C150,'TL08'!$J$238:$J$451),0),
IF('TL09'!$B$3=M$3,SUMIF('TL09'!$C$10:$C$224,$C150,'TL09'!$J$10:$J$224),0),
IF('TL09'!$B$229=M$3,SUMIF('TL09'!$C$238:$C$451,$C150,'TL09'!$J$238:$J$451),0),
IF('TL10'!$B$3=M$3,SUMIF('TL10'!$C$10:$C$224,$C150,'TL10'!$J$10:$J$224),0),
IF('TL10'!$B$229=M$3,SUMIF('TL10'!$C$238:$C$451,$C150,'TL10'!$J$238:$J$451),0),
IF('TL11'!$B$3=M$3,SUMIF('TL11'!$C$10:$C$224,$C150,'TL11'!$J$10:$J$224),0),
IF('TL11'!$B$229=M$3,SUMIF('TL11'!$C$238:$C$451,$C150,'TL11'!$J$238:$J$451),0),
IF('TL12'!$B$3=M$3,SUMIF('TL12'!$C$10:$C$224,$C150,'TL12'!$J$10:$J$224),0),
IF('TL12'!$B$229=M$3,SUMIF('TL12'!$C$238:$C$451,$C150,'TL12'!$J$238:$J$451),0),
IF('TL13'!$B$3=M$3,SUMIF('TL13'!$C$10:$C$224,$C150,'TL13'!$J$10:$J$224),0),
IF('TL13'!$B$229=M$3,SUMIF('TL13'!$C$238:$C$451,$C150,'TL13'!$J$238:$J$451),0),
IF('TL14'!$B$3=M$3,SUMIF('TL14'!$C$10:$C$224,$C150,'TL14'!$J$10:$J$224),0),
IF('TL14'!$B$229=M$3,SUMIF('TL14'!$C$238:$C$451,$C150,'TL14'!$J$238:$J$451),0),
IF('TL15'!$B$3=M$3,SUMIF('TL15'!$C$10:$C$224,$C150,'TL15'!$J$10:$J$224),0),
IF('TL15'!$B$229=M$3,SUMIF('TL15'!$C$238:$C$451,$C150,'TL15'!$J$238:$J$451),0),
IF('TL16'!$B$3=M$3,SUMIF('TL16'!$C$10:$C$224,$C150,'TL16'!$J$10:$J$224),0),
IF('TL16'!$B$229=M$3,SUMIF('TL16'!$C$238:$C$451,$C150,'TL16'!$J$238:$J$451),0),
IF('TL17'!$B$3=M$3,SUMIF('TL17'!$C$10:$C$224,$C150,'TL17'!$J$10:$J$224),0),
IF('TL17'!$B$229=M$3,SUMIF('TL17'!$C$238:$C$451,$C150,'TL17'!$J$238:$J$451),0),
IF('TL18'!$B$3=M$3,SUMIF('TL18'!$C$10:$C$224,$C150,'TL18'!$J$10:$J$224),0),
IF('TL18'!$B$229=M$3,SUMIF('TL18'!$C$238:$C$451,$C150,'TL18'!$J$238:$J$451),0),
IF('TL19'!$B$3=M$3,SUMIF('TL19'!$C$10:$C$224,$C150,'TL19'!$J$10:$J$224),0),
IF('TL19'!$B$229=M$3,SUMIF('TL19'!$C$238:$C$451,$C150,'TL19'!$J$238:$J$451),0)
),0)</f>
        <v>0</v>
      </c>
      <c r="N150" s="9">
        <f>IFERROR(SUM(
IF('TL01'!$B$3=N$3,SUMIF('TL01'!$C$10:$C$224,$C150,'TL01'!$J$10:$J$224),0),
IF('TL01'!$B$229=N$3,SUMIF('TL01'!$C$238:$C$451,$C150,'TL01'!$J$238:$J$451),0),
IF('TL02'!$B$3=N$3,SUMIF('TL02'!$C$10:$C$224,$C150,'TL02'!$J$10:$J$224),0),
IF('TL02'!$B$229=N$3,SUMIF('TL02'!$C$238:$C$451,$C150,'TL02'!$J$238:$J$451),0),
IF('TL03'!$B$3=N$3,SUMIF('TL03'!$C$10:$C$224,$C150,'TL03'!$J$10:$J$224),0),
IF('TL03'!$B$229=N$3,SUMIF('TL03'!$C$238:$C$451,$C150,'TL03'!$J$238:$J$451),0),
IF('TL04'!$B$3=N$3,SUMIF('TL04'!$C$10:$C$224,$C150,'TL04'!$J$10:$J$224),0),
IF('TL04'!$B$229=N$3,SUMIF('TL04'!$C$238:$C$451,$C150,'TL04'!$J$238:$J$451),0),
IF('TL05'!$B$3=N$3,SUMIF('TL05'!$C$10:$C$224,$C150,'TL05'!$J$10:$J$224),0),
IF('TL05'!$B$229=N$3,SUMIF('TL05'!$C$238:$C$451,$C150,'TL05'!$J$238:$J$451),0),
IF('TL06'!$B$3=N$3,SUMIF('TL06'!$C$10:$C$224,$C150,'TL06'!$J$10:$J$224),0),
IF('TL06'!$B$229=N$3,SUMIF('TL06'!$C$238:$C$451,$C150,'TL06'!$J$238:$J$451),0),
IF('TL07'!$B$3=N$3,SUMIF('TL07'!$C$10:$C$224,$C150,'TL07'!$J$10:$J$224),0),
IF('TL07'!$B$229=N$3,SUMIF('TL07'!$C$238:$C$451,$C150,'TL07'!$J$238:$J$451),0),
IF('TL08'!$B$3=N$3,SUMIF('TL08'!$C$10:$C$224,$C150,'TL08'!$J$10:$J$224),0),
IF('TL08'!$B$229=N$3,SUMIF('TL08'!$C$238:$C$451,$C150,'TL08'!$J$238:$J$451),0),
IF('TL09'!$B$3=N$3,SUMIF('TL09'!$C$10:$C$224,$C150,'TL09'!$J$10:$J$224),0),
IF('TL09'!$B$229=N$3,SUMIF('TL09'!$C$238:$C$451,$C150,'TL09'!$J$238:$J$451),0),
IF('TL10'!$B$3=N$3,SUMIF('TL10'!$C$10:$C$224,$C150,'TL10'!$J$10:$J$224),0),
IF('TL10'!$B$229=N$3,SUMIF('TL10'!$C$238:$C$451,$C150,'TL10'!$J$238:$J$451),0),
IF('TL11'!$B$3=N$3,SUMIF('TL11'!$C$10:$C$224,$C150,'TL11'!$J$10:$J$224),0),
IF('TL11'!$B$229=N$3,SUMIF('TL11'!$C$238:$C$451,$C150,'TL11'!$J$238:$J$451),0),
IF('TL12'!$B$3=N$3,SUMIF('TL12'!$C$10:$C$224,$C150,'TL12'!$J$10:$J$224),0),
IF('TL12'!$B$229=N$3,SUMIF('TL12'!$C$238:$C$451,$C150,'TL12'!$J$238:$J$451),0),
IF('TL13'!$B$3=N$3,SUMIF('TL13'!$C$10:$C$224,$C150,'TL13'!$J$10:$J$224),0),
IF('TL13'!$B$229=N$3,SUMIF('TL13'!$C$238:$C$451,$C150,'TL13'!$J$238:$J$451),0),
IF('TL14'!$B$3=N$3,SUMIF('TL14'!$C$10:$C$224,$C150,'TL14'!$J$10:$J$224),0),
IF('TL14'!$B$229=N$3,SUMIF('TL14'!$C$238:$C$451,$C150,'TL14'!$J$238:$J$451),0),
IF('TL15'!$B$3=N$3,SUMIF('TL15'!$C$10:$C$224,$C150,'TL15'!$J$10:$J$224),0),
IF('TL15'!$B$229=N$3,SUMIF('TL15'!$C$238:$C$451,$C150,'TL15'!$J$238:$J$451),0),
IF('TL16'!$B$3=N$3,SUMIF('TL16'!$C$10:$C$224,$C150,'TL16'!$J$10:$J$224),0),
IF('TL16'!$B$229=N$3,SUMIF('TL16'!$C$238:$C$451,$C150,'TL16'!$J$238:$J$451),0),
IF('TL17'!$B$3=N$3,SUMIF('TL17'!$C$10:$C$224,$C150,'TL17'!$J$10:$J$224),0),
IF('TL17'!$B$229=N$3,SUMIF('TL17'!$C$238:$C$451,$C150,'TL17'!$J$238:$J$451),0),
IF('TL18'!$B$3=N$3,SUMIF('TL18'!$C$10:$C$224,$C150,'TL18'!$J$10:$J$224),0),
IF('TL18'!$B$229=N$3,SUMIF('TL18'!$C$238:$C$451,$C150,'TL18'!$J$238:$J$451),0),
IF('TL19'!$B$3=N$3,SUMIF('TL19'!$C$10:$C$224,$C150,'TL19'!$J$10:$J$224),0),
IF('TL19'!$B$229=N$3,SUMIF('TL19'!$C$238:$C$451,$C150,'TL19'!$J$238:$J$451),0)
),0)</f>
        <v>0</v>
      </c>
      <c r="O150" s="9">
        <f>IFERROR(SUM(
IF('TL01'!$B$3=O$3,SUMIF('TL01'!$C$10:$C$224,$C150,'TL01'!$J$10:$J$224),0),
IF('TL01'!$B$229=O$3,SUMIF('TL01'!$C$238:$C$451,$C150,'TL01'!$J$238:$J$451),0),
IF('TL02'!$B$3=O$3,SUMIF('TL02'!$C$10:$C$224,$C150,'TL02'!$J$10:$J$224),0),
IF('TL02'!$B$229=O$3,SUMIF('TL02'!$C$238:$C$451,$C150,'TL02'!$J$238:$J$451),0),
IF('TL03'!$B$3=O$3,SUMIF('TL03'!$C$10:$C$224,$C150,'TL03'!$J$10:$J$224),0),
IF('TL03'!$B$229=O$3,SUMIF('TL03'!$C$238:$C$451,$C150,'TL03'!$J$238:$J$451),0),
IF('TL04'!$B$3=O$3,SUMIF('TL04'!$C$10:$C$224,$C150,'TL04'!$J$10:$J$224),0),
IF('TL04'!$B$229=O$3,SUMIF('TL04'!$C$238:$C$451,$C150,'TL04'!$J$238:$J$451),0),
IF('TL05'!$B$3=O$3,SUMIF('TL05'!$C$10:$C$224,$C150,'TL05'!$J$10:$J$224),0),
IF('TL05'!$B$229=O$3,SUMIF('TL05'!$C$238:$C$451,$C150,'TL05'!$J$238:$J$451),0),
IF('TL06'!$B$3=O$3,SUMIF('TL06'!$C$10:$C$224,$C150,'TL06'!$J$10:$J$224),0),
IF('TL06'!$B$229=O$3,SUMIF('TL06'!$C$238:$C$451,$C150,'TL06'!$J$238:$J$451),0),
IF('TL07'!$B$3=O$3,SUMIF('TL07'!$C$10:$C$224,$C150,'TL07'!$J$10:$J$224),0),
IF('TL07'!$B$229=O$3,SUMIF('TL07'!$C$238:$C$451,$C150,'TL07'!$J$238:$J$451),0),
IF('TL08'!$B$3=O$3,SUMIF('TL08'!$C$10:$C$224,$C150,'TL08'!$J$10:$J$224),0),
IF('TL08'!$B$229=O$3,SUMIF('TL08'!$C$238:$C$451,$C150,'TL08'!$J$238:$J$451),0),
IF('TL09'!$B$3=O$3,SUMIF('TL09'!$C$10:$C$224,$C150,'TL09'!$J$10:$J$224),0),
IF('TL09'!$B$229=O$3,SUMIF('TL09'!$C$238:$C$451,$C150,'TL09'!$J$238:$J$451),0),
IF('TL10'!$B$3=O$3,SUMIF('TL10'!$C$10:$C$224,$C150,'TL10'!$J$10:$J$224),0),
IF('TL10'!$B$229=O$3,SUMIF('TL10'!$C$238:$C$451,$C150,'TL10'!$J$238:$J$451),0),
IF('TL11'!$B$3=O$3,SUMIF('TL11'!$C$10:$C$224,$C150,'TL11'!$J$10:$J$224),0),
IF('TL11'!$B$229=O$3,SUMIF('TL11'!$C$238:$C$451,$C150,'TL11'!$J$238:$J$451),0),
IF('TL12'!$B$3=O$3,SUMIF('TL12'!$C$10:$C$224,$C150,'TL12'!$J$10:$J$224),0),
IF('TL12'!$B$229=O$3,SUMIF('TL12'!$C$238:$C$451,$C150,'TL12'!$J$238:$J$451),0),
IF('TL13'!$B$3=O$3,SUMIF('TL13'!$C$10:$C$224,$C150,'TL13'!$J$10:$J$224),0),
IF('TL13'!$B$229=O$3,SUMIF('TL13'!$C$238:$C$451,$C150,'TL13'!$J$238:$J$451),0),
IF('TL14'!$B$3=O$3,SUMIF('TL14'!$C$10:$C$224,$C150,'TL14'!$J$10:$J$224),0),
IF('TL14'!$B$229=O$3,SUMIF('TL14'!$C$238:$C$451,$C150,'TL14'!$J$238:$J$451),0),
IF('TL15'!$B$3=O$3,SUMIF('TL15'!$C$10:$C$224,$C150,'TL15'!$J$10:$J$224),0),
IF('TL15'!$B$229=O$3,SUMIF('TL15'!$C$238:$C$451,$C150,'TL15'!$J$238:$J$451),0),
IF('TL16'!$B$3=O$3,SUMIF('TL16'!$C$10:$C$224,$C150,'TL16'!$J$10:$J$224),0),
IF('TL16'!$B$229=O$3,SUMIF('TL16'!$C$238:$C$451,$C150,'TL16'!$J$238:$J$451),0),
IF('TL17'!$B$3=O$3,SUMIF('TL17'!$C$10:$C$224,$C150,'TL17'!$J$10:$J$224),0),
IF('TL17'!$B$229=O$3,SUMIF('TL17'!$C$238:$C$451,$C150,'TL17'!$J$238:$J$451),0),
IF('TL18'!$B$3=O$3,SUMIF('TL18'!$C$10:$C$224,$C150,'TL18'!$J$10:$J$224),0),
IF('TL18'!$B$229=O$3,SUMIF('TL18'!$C$238:$C$451,$C150,'TL18'!$J$238:$J$451),0),
IF('TL19'!$B$3=O$3,SUMIF('TL19'!$C$10:$C$224,$C150,'TL19'!$J$10:$J$224),0),
IF('TL19'!$B$229=O$3,SUMIF('TL19'!$C$238:$C$451,$C150,'TL19'!$J$238:$J$451),0)
),0)</f>
        <v>0</v>
      </c>
      <c r="P150" s="9">
        <f>IFERROR(SUM(
IF('TL01'!$B$3=P$3,SUMIF('TL01'!$C$10:$C$224,$C150,'TL01'!$J$10:$J$224),0),
IF('TL01'!$B$229=P$3,SUMIF('TL01'!$C$238:$C$451,$C150,'TL01'!$J$238:$J$451),0),
IF('TL02'!$B$3=P$3,SUMIF('TL02'!$C$10:$C$224,$C150,'TL02'!$J$10:$J$224),0),
IF('TL02'!$B$229=P$3,SUMIF('TL02'!$C$238:$C$451,$C150,'TL02'!$J$238:$J$451),0),
IF('TL03'!$B$3=P$3,SUMIF('TL03'!$C$10:$C$224,$C150,'TL03'!$J$10:$J$224),0),
IF('TL03'!$B$229=P$3,SUMIF('TL03'!$C$238:$C$451,$C150,'TL03'!$J$238:$J$451),0),
IF('TL04'!$B$3=P$3,SUMIF('TL04'!$C$10:$C$224,$C150,'TL04'!$J$10:$J$224),0),
IF('TL04'!$B$229=P$3,SUMIF('TL04'!$C$238:$C$451,$C150,'TL04'!$J$238:$J$451),0),
IF('TL05'!$B$3=P$3,SUMIF('TL05'!$C$10:$C$224,$C150,'TL05'!$J$10:$J$224),0),
IF('TL05'!$B$229=P$3,SUMIF('TL05'!$C$238:$C$451,$C150,'TL05'!$J$238:$J$451),0),
IF('TL06'!$B$3=P$3,SUMIF('TL06'!$C$10:$C$224,$C150,'TL06'!$J$10:$J$224),0),
IF('TL06'!$B$229=P$3,SUMIF('TL06'!$C$238:$C$451,$C150,'TL06'!$J$238:$J$451),0),
IF('TL07'!$B$3=P$3,SUMIF('TL07'!$C$10:$C$224,$C150,'TL07'!$J$10:$J$224),0),
IF('TL07'!$B$229=P$3,SUMIF('TL07'!$C$238:$C$451,$C150,'TL07'!$J$238:$J$451),0),
IF('TL08'!$B$3=P$3,SUMIF('TL08'!$C$10:$C$224,$C150,'TL08'!$J$10:$J$224),0),
IF('TL08'!$B$229=P$3,SUMIF('TL08'!$C$238:$C$451,$C150,'TL08'!$J$238:$J$451),0),
IF('TL09'!$B$3=P$3,SUMIF('TL09'!$C$10:$C$224,$C150,'TL09'!$J$10:$J$224),0),
IF('TL09'!$B$229=P$3,SUMIF('TL09'!$C$238:$C$451,$C150,'TL09'!$J$238:$J$451),0),
IF('TL10'!$B$3=P$3,SUMIF('TL10'!$C$10:$C$224,$C150,'TL10'!$J$10:$J$224),0),
IF('TL10'!$B$229=P$3,SUMIF('TL10'!$C$238:$C$451,$C150,'TL10'!$J$238:$J$451),0),
IF('TL11'!$B$3=P$3,SUMIF('TL11'!$C$10:$C$224,$C150,'TL11'!$J$10:$J$224),0),
IF('TL11'!$B$229=P$3,SUMIF('TL11'!$C$238:$C$451,$C150,'TL11'!$J$238:$J$451),0),
IF('TL12'!$B$3=P$3,SUMIF('TL12'!$C$10:$C$224,$C150,'TL12'!$J$10:$J$224),0),
IF('TL12'!$B$229=P$3,SUMIF('TL12'!$C$238:$C$451,$C150,'TL12'!$J$238:$J$451),0),
IF('TL13'!$B$3=P$3,SUMIF('TL13'!$C$10:$C$224,$C150,'TL13'!$J$10:$J$224),0),
IF('TL13'!$B$229=P$3,SUMIF('TL13'!$C$238:$C$451,$C150,'TL13'!$J$238:$J$451),0),
IF('TL14'!$B$3=P$3,SUMIF('TL14'!$C$10:$C$224,$C150,'TL14'!$J$10:$J$224),0),
IF('TL14'!$B$229=P$3,SUMIF('TL14'!$C$238:$C$451,$C150,'TL14'!$J$238:$J$451),0),
IF('TL15'!$B$3=P$3,SUMIF('TL15'!$C$10:$C$224,$C150,'TL15'!$J$10:$J$224),0),
IF('TL15'!$B$229=P$3,SUMIF('TL15'!$C$238:$C$451,$C150,'TL15'!$J$238:$J$451),0),
IF('TL16'!$B$3=P$3,SUMIF('TL16'!$C$10:$C$224,$C150,'TL16'!$J$10:$J$224),0),
IF('TL16'!$B$229=P$3,SUMIF('TL16'!$C$238:$C$451,$C150,'TL16'!$J$238:$J$451),0),
IF('TL17'!$B$3=P$3,SUMIF('TL17'!$C$10:$C$224,$C150,'TL17'!$J$10:$J$224),0),
IF('TL17'!$B$229=P$3,SUMIF('TL17'!$C$238:$C$451,$C150,'TL17'!$J$238:$J$451),0),
IF('TL18'!$B$3=P$3,SUMIF('TL18'!$C$10:$C$224,$C150,'TL18'!$J$10:$J$224),0),
IF('TL18'!$B$229=P$3,SUMIF('TL18'!$C$238:$C$451,$C150,'TL18'!$J$238:$J$451),0),
IF('TL19'!$B$3=P$3,SUMIF('TL19'!$C$10:$C$224,$C150,'TL19'!$J$10:$J$224),0),
IF('TL19'!$B$229=P$3,SUMIF('TL19'!$C$238:$C$451,$C150,'TL19'!$J$238:$J$451),0)
),0)</f>
        <v>0</v>
      </c>
      <c r="Q150" s="9">
        <f>IFERROR(SUM(
IF('TL01'!$B$3=Q$3,SUMIF('TL01'!$C$10:$C$224,$C150,'TL01'!$J$10:$J$224),0),
IF('TL01'!$B$229=Q$3,SUMIF('TL01'!$C$238:$C$451,$C150,'TL01'!$J$238:$J$451),0),
IF('TL02'!$B$3=Q$3,SUMIF('TL02'!$C$10:$C$224,$C150,'TL02'!$J$10:$J$224),0),
IF('TL02'!$B$229=Q$3,SUMIF('TL02'!$C$238:$C$451,$C150,'TL02'!$J$238:$J$451),0),
IF('TL03'!$B$3=Q$3,SUMIF('TL03'!$C$10:$C$224,$C150,'TL03'!$J$10:$J$224),0),
IF('TL03'!$B$229=Q$3,SUMIF('TL03'!$C$238:$C$451,$C150,'TL03'!$J$238:$J$451),0),
IF('TL04'!$B$3=Q$3,SUMIF('TL04'!$C$10:$C$224,$C150,'TL04'!$J$10:$J$224),0),
IF('TL04'!$B$229=Q$3,SUMIF('TL04'!$C$238:$C$451,$C150,'TL04'!$J$238:$J$451),0),
IF('TL05'!$B$3=Q$3,SUMIF('TL05'!$C$10:$C$224,$C150,'TL05'!$J$10:$J$224),0),
IF('TL05'!$B$229=Q$3,SUMIF('TL05'!$C$238:$C$451,$C150,'TL05'!$J$238:$J$451),0),
IF('TL06'!$B$3=Q$3,SUMIF('TL06'!$C$10:$C$224,$C150,'TL06'!$J$10:$J$224),0),
IF('TL06'!$B$229=Q$3,SUMIF('TL06'!$C$238:$C$451,$C150,'TL06'!$J$238:$J$451),0),
IF('TL07'!$B$3=Q$3,SUMIF('TL07'!$C$10:$C$224,$C150,'TL07'!$J$10:$J$224),0),
IF('TL07'!$B$229=Q$3,SUMIF('TL07'!$C$238:$C$451,$C150,'TL07'!$J$238:$J$451),0),
IF('TL08'!$B$3=Q$3,SUMIF('TL08'!$C$10:$C$224,$C150,'TL08'!$J$10:$J$224),0),
IF('TL08'!$B$229=Q$3,SUMIF('TL08'!$C$238:$C$451,$C150,'TL08'!$J$238:$J$451),0),
IF('TL09'!$B$3=Q$3,SUMIF('TL09'!$C$10:$C$224,$C150,'TL09'!$J$10:$J$224),0),
IF('TL09'!$B$229=Q$3,SUMIF('TL09'!$C$238:$C$451,$C150,'TL09'!$J$238:$J$451),0),
IF('TL10'!$B$3=Q$3,SUMIF('TL10'!$C$10:$C$224,$C150,'TL10'!$J$10:$J$224),0),
IF('TL10'!$B$229=Q$3,SUMIF('TL10'!$C$238:$C$451,$C150,'TL10'!$J$238:$J$451),0),
IF('TL11'!$B$3=Q$3,SUMIF('TL11'!$C$10:$C$224,$C150,'TL11'!$J$10:$J$224),0),
IF('TL11'!$B$229=Q$3,SUMIF('TL11'!$C$238:$C$451,$C150,'TL11'!$J$238:$J$451),0),
IF('TL12'!$B$3=Q$3,SUMIF('TL12'!$C$10:$C$224,$C150,'TL12'!$J$10:$J$224),0),
IF('TL12'!$B$229=Q$3,SUMIF('TL12'!$C$238:$C$451,$C150,'TL12'!$J$238:$J$451),0),
IF('TL13'!$B$3=Q$3,SUMIF('TL13'!$C$10:$C$224,$C150,'TL13'!$J$10:$J$224),0),
IF('TL13'!$B$229=Q$3,SUMIF('TL13'!$C$238:$C$451,$C150,'TL13'!$J$238:$J$451),0),
IF('TL14'!$B$3=Q$3,SUMIF('TL14'!$C$10:$C$224,$C150,'TL14'!$J$10:$J$224),0),
IF('TL14'!$B$229=Q$3,SUMIF('TL14'!$C$238:$C$451,$C150,'TL14'!$J$238:$J$451),0),
IF('TL15'!$B$3=Q$3,SUMIF('TL15'!$C$10:$C$224,$C150,'TL15'!$J$10:$J$224),0),
IF('TL15'!$B$229=Q$3,SUMIF('TL15'!$C$238:$C$451,$C150,'TL15'!$J$238:$J$451),0),
IF('TL16'!$B$3=Q$3,SUMIF('TL16'!$C$10:$C$224,$C150,'TL16'!$J$10:$J$224),0),
IF('TL16'!$B$229=Q$3,SUMIF('TL16'!$C$238:$C$451,$C150,'TL16'!$J$238:$J$451),0),
IF('TL17'!$B$3=Q$3,SUMIF('TL17'!$C$10:$C$224,$C150,'TL17'!$J$10:$J$224),0),
IF('TL17'!$B$229=Q$3,SUMIF('TL17'!$C$238:$C$451,$C150,'TL17'!$J$238:$J$451),0),
IF('TL18'!$B$3=Q$3,SUMIF('TL18'!$C$10:$C$224,$C150,'TL18'!$J$10:$J$224),0),
IF('TL18'!$B$229=Q$3,SUMIF('TL18'!$C$238:$C$451,$C150,'TL18'!$J$238:$J$451),0),
IF('TL19'!$B$3=Q$3,SUMIF('TL19'!$C$10:$C$224,$C150,'TL19'!$J$10:$J$224),0),
IF('TL19'!$B$229=Q$3,SUMIF('TL19'!$C$238:$C$451,$C150,'TL19'!$J$238:$J$451),0)
),0)</f>
        <v>0</v>
      </c>
      <c r="R150" s="9">
        <f>IFERROR(
SUM(
SUMIF('TL01'!C:C,C150,'TL01'!J:J),
SUMIF('TL02'!C:C,C150,'TL02'!J:J),
SUMIF('TL03'!C:C,C150,'TL03'!J:J),
SUMIF('TL04'!C:C,C150,'TL04'!J:J),
SUMIF('TL05'!C:C,C150,'TL05'!J:J),
SUMIF('TL06'!C:C,C150,'TL06'!J:J),
SUMIF('TL07'!C:C,C150,'TL07'!J:J),
SUMIF('TL08'!C:C,C150,'TL08'!J:J),
SUMIF('TL09'!C:C,C150,'TL09'!J:J),
SUMIF('TL10'!C:C,C150,'TL10'!J:J),
SUMIF('TL11'!C:C,C150,'TL11'!J:J),
SUMIF('TL12'!C:C,C150,'TL12'!J:J),
SUMIF('TL13'!C:C,C150,'TL13'!J:J),
SUMIF('TL14'!C:C,C150,'TL14'!J:J),
SUMIF('TL15'!C:C,C150,'TL15'!J:J),
SUMIF('TL16'!C:C,C150,'TL16'!J:J),
SUMIF('TL17'!C:C,C150,'TL17'!J:J),
SUMIF('TL18'!C:C,C150,'TL18'!J:J),SUMIF('TL19'!C:C,C150,'TL19'!J:J))
,0)</f>
        <v>490</v>
      </c>
      <c r="S150" s="17">
        <f>IFERROR(__xludf.DUMMYFUNCTION("IFERROR(VLOOKUP(C150,
IMPORTRANGE(""1wULbzX32WdYsx-lj2U3uUNBBe2INVIRDtcK0d-Dvl90"",
""26-27!C:G""),
5,
FALSE),
"""")"),41.36814)</f>
        <v>41.36814</v>
      </c>
      <c r="T150" s="118">
        <v>135.0</v>
      </c>
      <c r="U150" s="92">
        <f t="shared" si="2"/>
        <v>355</v>
      </c>
      <c r="V150" s="93">
        <f t="shared" si="3"/>
        <v>14685.6897</v>
      </c>
    </row>
    <row r="151" ht="15.75" hidden="1" customHeight="1">
      <c r="A151" s="111" t="s">
        <v>516</v>
      </c>
      <c r="B151" s="112" t="s">
        <v>1</v>
      </c>
      <c r="C151" s="113" t="s">
        <v>708</v>
      </c>
      <c r="D151" s="113" t="s">
        <v>648</v>
      </c>
      <c r="E151" s="113">
        <v>480.0</v>
      </c>
      <c r="F151" s="4" t="s">
        <v>343</v>
      </c>
      <c r="G151" s="90" t="str">
        <f t="shared" si="4"/>
        <v>📄 Ver bula</v>
      </c>
      <c r="H151" s="9" t="str">
        <f>IFERROR(__xludf.DUMMYFUNCTION("IFERROR(VLOOKUP(C151,
IMPORTRANGE(""1wULbzX32WdYsx-lj2U3uUNBBe2INVIRDtcK0d-Dvl90"",
""26-27!C:K""),
8,
FALSE),
"""")"),"")</f>
        <v/>
      </c>
      <c r="I151" s="114" t="s">
        <v>361</v>
      </c>
      <c r="J151" s="9">
        <f>IFERROR(SUM(
IF('TL01'!$B$3=J$3,SUMIF('TL01'!$C$10:$C$224,$C151,'TL01'!$J$10:$J$224),0),
IF('TL01'!$B$229=J$3,SUMIF('TL01'!$C$238:$C$451,$C151,'TL01'!$J$238:$J$451),0),
IF('TL02'!$B$3=J$3,SUMIF('TL02'!$C$10:$C$224,$C151,'TL02'!$J$10:$J$224),0),
IF('TL02'!$B$229=J$3,SUMIF('TL02'!$C$238:$C$451,$C151,'TL02'!$J$238:$J$451),0),
IF('TL03'!$B$3=J$3,SUMIF('TL03'!$C$10:$C$224,$C151,'TL03'!$J$10:$J$224),0),
IF('TL03'!$B$229=J$3,SUMIF('TL03'!$C$238:$C$451,$C151,'TL03'!$J$238:$J$451),0),
IF('TL04'!$B$3=J$3,SUMIF('TL04'!$C$10:$C$224,$C151,'TL04'!$J$10:$J$224),0),
IF('TL04'!$B$229=J$3,SUMIF('TL04'!$C$238:$C$451,$C151,'TL04'!$J$238:$J$451),0),
IF('TL05'!$B$3=J$3,SUMIF('TL05'!$C$10:$C$224,$C151,'TL05'!$J$10:$J$224),0),
IF('TL05'!$B$229=J$3,SUMIF('TL05'!$C$238:$C$451,$C151,'TL05'!$J$238:$J$451),0),
IF('TL06'!$B$3=J$3,SUMIF('TL06'!$C$10:$C$224,$C151,'TL06'!$J$10:$J$224),0),
IF('TL06'!$B$229=J$3,SUMIF('TL06'!$C$238:$C$451,$C151,'TL06'!$J$238:$J$451),0),
IF('TL07'!$B$3=J$3,SUMIF('TL07'!$C$10:$C$224,$C151,'TL07'!$J$10:$J$224),0),
IF('TL07'!$B$229=J$3,SUMIF('TL07'!$C$238:$C$451,$C151,'TL07'!$J$238:$J$451),0),
IF('TL08'!$B$3=J$3,SUMIF('TL08'!$C$10:$C$224,$C151,'TL08'!$J$10:$J$224),0),
IF('TL08'!$B$229=J$3,SUMIF('TL08'!$C$238:$C$451,$C151,'TL08'!$J$238:$J$451),0),
IF('TL09'!$B$3=J$3,SUMIF('TL09'!$C$10:$C$224,$C151,'TL09'!$J$10:$J$224),0),
IF('TL09'!$B$229=J$3,SUMIF('TL09'!$C$238:$C$451,$C151,'TL09'!$J$238:$J$451),0),
IF('TL10'!$B$3=J$3,SUMIF('TL10'!$C$10:$C$224,$C151,'TL10'!$J$10:$J$224),0),
IF('TL10'!$B$229=J$3,SUMIF('TL10'!$C$238:$C$451,$C151,'TL10'!$J$238:$J$451),0),
IF('TL11'!$B$3=J$3,SUMIF('TL11'!$C$10:$C$224,$C151,'TL11'!$J$10:$J$224),0),
IF('TL11'!$B$229=J$3,SUMIF('TL11'!$C$238:$C$451,$C151,'TL11'!$J$238:$J$451),0),
IF('TL12'!$B$3=J$3,SUMIF('TL12'!$C$10:$C$224,$C151,'TL12'!$J$10:$J$224),0),
IF('TL12'!$B$229=J$3,SUMIF('TL12'!$C$238:$C$451,$C151,'TL12'!$J$238:$J$451),0),
IF('TL13'!$B$3=J$3,SUMIF('TL13'!$C$10:$C$224,$C151,'TL13'!$J$10:$J$224),0),
IF('TL13'!$B$229=J$3,SUMIF('TL13'!$C$238:$C$451,$C151,'TL13'!$J$238:$J$451),0),
IF('TL14'!$B$3=J$3,SUMIF('TL14'!$C$10:$C$224,$C151,'TL14'!$J$10:$J$224),0),
IF('TL14'!$B$229=J$3,SUMIF('TL14'!$C$238:$C$451,$C151,'TL14'!$J$238:$J$451),0),
IF('TL15'!$B$3=J$3,SUMIF('TL15'!$C$10:$C$224,$C151,'TL15'!$J$10:$J$224),0),
IF('TL15'!$B$229=J$3,SUMIF('TL15'!$C$238:$C$451,$C151,'TL15'!$J$238:$J$451),0),
IF('TL16'!$B$3=J$3,SUMIF('TL16'!$C$10:$C$224,$C151,'TL16'!$J$10:$J$224),0),
IF('TL16'!$B$229=J$3,SUMIF('TL16'!$C$238:$C$451,$C151,'TL16'!$J$238:$J$451),0),
IF('TL17'!$B$3=J$3,SUMIF('TL17'!$C$10:$C$224,$C151,'TL17'!$J$10:$J$224),0),
IF('TL17'!$B$229=J$3,SUMIF('TL17'!$C$238:$C$451,$C151,'TL17'!$J$238:$J$451),0),
IF('TL18'!$B$3=J$3,SUMIF('TL18'!$C$10:$C$224,$C151,'TL18'!$J$10:$J$224),0),
IF('TL18'!$B$229=J$3,SUMIF('TL18'!$C$238:$C$451,$C151,'TL18'!$J$238:$J$451),0),
IF('TL19'!$B$3=J$3,SUMIF('TL19'!$C$10:$C$224,$C151,'TL19'!$J$10:$J$224),0),
IF('TL19'!$B$229=J$3,SUMIF('TL19'!$C$238:$C$451,$C151,'TL19'!$J$238:$J$451),0)
),0)</f>
        <v>0</v>
      </c>
      <c r="K151" s="9">
        <f>IFERROR(SUM(
IF('TL01'!$B$3=K$3,SUMIF('TL01'!$C$10:$C$224,$C151,'TL01'!$J$10:$J$224),0),
IF('TL01'!$B$229=K$3,SUMIF('TL01'!$C$238:$C$451,$C151,'TL01'!$J$238:$J$451),0),
IF('TL02'!$B$3=K$3,SUMIF('TL02'!$C$10:$C$224,$C151,'TL02'!$J$10:$J$224),0),
IF('TL02'!$B$229=K$3,SUMIF('TL02'!$C$238:$C$451,$C151,'TL02'!$J$238:$J$451),0),
IF('TL03'!$B$3=K$3,SUMIF('TL03'!$C$10:$C$224,$C151,'TL03'!$J$10:$J$224),0),
IF('TL03'!$B$229=K$3,SUMIF('TL03'!$C$238:$C$451,$C151,'TL03'!$J$238:$J$451),0),
IF('TL04'!$B$3=K$3,SUMIF('TL04'!$C$10:$C$224,$C151,'TL04'!$J$10:$J$224),0),
IF('TL04'!$B$229=K$3,SUMIF('TL04'!$C$238:$C$451,$C151,'TL04'!$J$238:$J$451),0),
IF('TL05'!$B$3=K$3,SUMIF('TL05'!$C$10:$C$224,$C151,'TL05'!$J$10:$J$224),0),
IF('TL05'!$B$229=K$3,SUMIF('TL05'!$C$238:$C$451,$C151,'TL05'!$J$238:$J$451),0),
IF('TL06'!$B$3=K$3,SUMIF('TL06'!$C$10:$C$224,$C151,'TL06'!$J$10:$J$224),0),
IF('TL06'!$B$229=K$3,SUMIF('TL06'!$C$238:$C$451,$C151,'TL06'!$J$238:$J$451),0),
IF('TL07'!$B$3=K$3,SUMIF('TL07'!$C$10:$C$224,$C151,'TL07'!$J$10:$J$224),0),
IF('TL07'!$B$229=K$3,SUMIF('TL07'!$C$238:$C$451,$C151,'TL07'!$J$238:$J$451),0),
IF('TL08'!$B$3=K$3,SUMIF('TL08'!$C$10:$C$224,$C151,'TL08'!$J$10:$J$224),0),
IF('TL08'!$B$229=K$3,SUMIF('TL08'!$C$238:$C$451,$C151,'TL08'!$J$238:$J$451),0),
IF('TL09'!$B$3=K$3,SUMIF('TL09'!$C$10:$C$224,$C151,'TL09'!$J$10:$J$224),0),
IF('TL09'!$B$229=K$3,SUMIF('TL09'!$C$238:$C$451,$C151,'TL09'!$J$238:$J$451),0),
IF('TL10'!$B$3=K$3,SUMIF('TL10'!$C$10:$C$224,$C151,'TL10'!$J$10:$J$224),0),
IF('TL10'!$B$229=K$3,SUMIF('TL10'!$C$238:$C$451,$C151,'TL10'!$J$238:$J$451),0),
IF('TL11'!$B$3=K$3,SUMIF('TL11'!$C$10:$C$224,$C151,'TL11'!$J$10:$J$224),0),
IF('TL11'!$B$229=K$3,SUMIF('TL11'!$C$238:$C$451,$C151,'TL11'!$J$238:$J$451),0),
IF('TL12'!$B$3=K$3,SUMIF('TL12'!$C$10:$C$224,$C151,'TL12'!$J$10:$J$224),0),
IF('TL12'!$B$229=K$3,SUMIF('TL12'!$C$238:$C$451,$C151,'TL12'!$J$238:$J$451),0),
IF('TL13'!$B$3=K$3,SUMIF('TL13'!$C$10:$C$224,$C151,'TL13'!$J$10:$J$224),0),
IF('TL13'!$B$229=K$3,SUMIF('TL13'!$C$238:$C$451,$C151,'TL13'!$J$238:$J$451),0),
IF('TL14'!$B$3=K$3,SUMIF('TL14'!$C$10:$C$224,$C151,'TL14'!$J$10:$J$224),0),
IF('TL14'!$B$229=K$3,SUMIF('TL14'!$C$238:$C$451,$C151,'TL14'!$J$238:$J$451),0),
IF('TL15'!$B$3=K$3,SUMIF('TL15'!$C$10:$C$224,$C151,'TL15'!$J$10:$J$224),0),
IF('TL15'!$B$229=K$3,SUMIF('TL15'!$C$238:$C$451,$C151,'TL15'!$J$238:$J$451),0),
IF('TL16'!$B$3=K$3,SUMIF('TL16'!$C$10:$C$224,$C151,'TL16'!$J$10:$J$224),0),
IF('TL16'!$B$229=K$3,SUMIF('TL16'!$C$238:$C$451,$C151,'TL16'!$J$238:$J$451),0),
IF('TL17'!$B$3=K$3,SUMIF('TL17'!$C$10:$C$224,$C151,'TL17'!$J$10:$J$224),0),
IF('TL17'!$B$229=K$3,SUMIF('TL17'!$C$238:$C$451,$C151,'TL17'!$J$238:$J$451),0),
IF('TL18'!$B$3=K$3,SUMIF('TL18'!$C$10:$C$224,$C151,'TL18'!$J$10:$J$224),0),
IF('TL18'!$B$229=K$3,SUMIF('TL18'!$C$238:$C$451,$C151,'TL18'!$J$238:$J$451),0),
IF('TL19'!$B$3=K$3,SUMIF('TL19'!$C$10:$C$224,$C151,'TL19'!$J$10:$J$224),0),
IF('TL19'!$B$229=K$3,SUMIF('TL19'!$C$238:$C$451,$C151,'TL19'!$J$238:$J$451),0)
),0)</f>
        <v>0</v>
      </c>
      <c r="L151" s="9">
        <f>IFERROR(SUM(
IF('TL01'!$B$3=L$3,SUMIF('TL01'!$C$10:$C$224,$C151,'TL01'!$J$10:$J$224),0),
IF('TL01'!$B$229=L$3,SUMIF('TL01'!$C$238:$C$451,$C151,'TL01'!$J$238:$J$451),0),
IF('TL02'!$B$3=L$3,SUMIF('TL02'!$C$10:$C$224,$C151,'TL02'!$J$10:$J$224),0),
IF('TL02'!$B$229=L$3,SUMIF('TL02'!$C$238:$C$451,$C151,'TL02'!$J$238:$J$451),0),
IF('TL03'!$B$3=L$3,SUMIF('TL03'!$C$10:$C$224,$C151,'TL03'!$J$10:$J$224),0),
IF('TL03'!$B$229=L$3,SUMIF('TL03'!$C$238:$C$451,$C151,'TL03'!$J$238:$J$451),0),
IF('TL04'!$B$3=L$3,SUMIF('TL04'!$C$10:$C$224,$C151,'TL04'!$J$10:$J$224),0),
IF('TL04'!$B$229=L$3,SUMIF('TL04'!$C$238:$C$451,$C151,'TL04'!$J$238:$J$451),0),
IF('TL05'!$B$3=L$3,SUMIF('TL05'!$C$10:$C$224,$C151,'TL05'!$J$10:$J$224),0),
IF('TL05'!$B$229=L$3,SUMIF('TL05'!$C$238:$C$451,$C151,'TL05'!$J$238:$J$451),0),
IF('TL06'!$B$3=L$3,SUMIF('TL06'!$C$10:$C$224,$C151,'TL06'!$J$10:$J$224),0),
IF('TL06'!$B$229=L$3,SUMIF('TL06'!$C$238:$C$451,$C151,'TL06'!$J$238:$J$451),0),
IF('TL07'!$B$3=L$3,SUMIF('TL07'!$C$10:$C$224,$C151,'TL07'!$J$10:$J$224),0),
IF('TL07'!$B$229=L$3,SUMIF('TL07'!$C$238:$C$451,$C151,'TL07'!$J$238:$J$451),0),
IF('TL08'!$B$3=L$3,SUMIF('TL08'!$C$10:$C$224,$C151,'TL08'!$J$10:$J$224),0),
IF('TL08'!$B$229=L$3,SUMIF('TL08'!$C$238:$C$451,$C151,'TL08'!$J$238:$J$451),0),
IF('TL09'!$B$3=L$3,SUMIF('TL09'!$C$10:$C$224,$C151,'TL09'!$J$10:$J$224),0),
IF('TL09'!$B$229=L$3,SUMIF('TL09'!$C$238:$C$451,$C151,'TL09'!$J$238:$J$451),0),
IF('TL10'!$B$3=L$3,SUMIF('TL10'!$C$10:$C$224,$C151,'TL10'!$J$10:$J$224),0),
IF('TL10'!$B$229=L$3,SUMIF('TL10'!$C$238:$C$451,$C151,'TL10'!$J$238:$J$451),0),
IF('TL11'!$B$3=L$3,SUMIF('TL11'!$C$10:$C$224,$C151,'TL11'!$J$10:$J$224),0),
IF('TL11'!$B$229=L$3,SUMIF('TL11'!$C$238:$C$451,$C151,'TL11'!$J$238:$J$451),0),
IF('TL12'!$B$3=L$3,SUMIF('TL12'!$C$10:$C$224,$C151,'TL12'!$J$10:$J$224),0),
IF('TL12'!$B$229=L$3,SUMIF('TL12'!$C$238:$C$451,$C151,'TL12'!$J$238:$J$451),0),
IF('TL13'!$B$3=L$3,SUMIF('TL13'!$C$10:$C$224,$C151,'TL13'!$J$10:$J$224),0),
IF('TL13'!$B$229=L$3,SUMIF('TL13'!$C$238:$C$451,$C151,'TL13'!$J$238:$J$451),0),
IF('TL14'!$B$3=L$3,SUMIF('TL14'!$C$10:$C$224,$C151,'TL14'!$J$10:$J$224),0),
IF('TL14'!$B$229=L$3,SUMIF('TL14'!$C$238:$C$451,$C151,'TL14'!$J$238:$J$451),0),
IF('TL15'!$B$3=L$3,SUMIF('TL15'!$C$10:$C$224,$C151,'TL15'!$J$10:$J$224),0),
IF('TL15'!$B$229=L$3,SUMIF('TL15'!$C$238:$C$451,$C151,'TL15'!$J$238:$J$451),0),
IF('TL16'!$B$3=L$3,SUMIF('TL16'!$C$10:$C$224,$C151,'TL16'!$J$10:$J$224),0),
IF('TL16'!$B$229=L$3,SUMIF('TL16'!$C$238:$C$451,$C151,'TL16'!$J$238:$J$451),0),
IF('TL17'!$B$3=L$3,SUMIF('TL17'!$C$10:$C$224,$C151,'TL17'!$J$10:$J$224),0),
IF('TL17'!$B$229=L$3,SUMIF('TL17'!$C$238:$C$451,$C151,'TL17'!$J$238:$J$451),0),
IF('TL18'!$B$3=L$3,SUMIF('TL18'!$C$10:$C$224,$C151,'TL18'!$J$10:$J$224),0),
IF('TL18'!$B$229=L$3,SUMIF('TL18'!$C$238:$C$451,$C151,'TL18'!$J$238:$J$451),0),
IF('TL19'!$B$3=L$3,SUMIF('TL19'!$C$10:$C$224,$C151,'TL19'!$J$10:$J$224),0),
IF('TL19'!$B$229=L$3,SUMIF('TL19'!$C$238:$C$451,$C151,'TL19'!$J$238:$J$451),0)
),0)</f>
        <v>0</v>
      </c>
      <c r="M151" s="9">
        <f>IFERROR(SUM(
IF('TL01'!$B$3=M$3,SUMIF('TL01'!$C$10:$C$224,$C151,'TL01'!$J$10:$J$224),0),
IF('TL01'!$B$229=M$3,SUMIF('TL01'!$C$238:$C$451,$C151,'TL01'!$J$238:$J$451),0),
IF('TL02'!$B$3=M$3,SUMIF('TL02'!$C$10:$C$224,$C151,'TL02'!$J$10:$J$224),0),
IF('TL02'!$B$229=M$3,SUMIF('TL02'!$C$238:$C$451,$C151,'TL02'!$J$238:$J$451),0),
IF('TL03'!$B$3=M$3,SUMIF('TL03'!$C$10:$C$224,$C151,'TL03'!$J$10:$J$224),0),
IF('TL03'!$B$229=M$3,SUMIF('TL03'!$C$238:$C$451,$C151,'TL03'!$J$238:$J$451),0),
IF('TL04'!$B$3=M$3,SUMIF('TL04'!$C$10:$C$224,$C151,'TL04'!$J$10:$J$224),0),
IF('TL04'!$B$229=M$3,SUMIF('TL04'!$C$238:$C$451,$C151,'TL04'!$J$238:$J$451),0),
IF('TL05'!$B$3=M$3,SUMIF('TL05'!$C$10:$C$224,$C151,'TL05'!$J$10:$J$224),0),
IF('TL05'!$B$229=M$3,SUMIF('TL05'!$C$238:$C$451,$C151,'TL05'!$J$238:$J$451),0),
IF('TL06'!$B$3=M$3,SUMIF('TL06'!$C$10:$C$224,$C151,'TL06'!$J$10:$J$224),0),
IF('TL06'!$B$229=M$3,SUMIF('TL06'!$C$238:$C$451,$C151,'TL06'!$J$238:$J$451),0),
IF('TL07'!$B$3=M$3,SUMIF('TL07'!$C$10:$C$224,$C151,'TL07'!$J$10:$J$224),0),
IF('TL07'!$B$229=M$3,SUMIF('TL07'!$C$238:$C$451,$C151,'TL07'!$J$238:$J$451),0),
IF('TL08'!$B$3=M$3,SUMIF('TL08'!$C$10:$C$224,$C151,'TL08'!$J$10:$J$224),0),
IF('TL08'!$B$229=M$3,SUMIF('TL08'!$C$238:$C$451,$C151,'TL08'!$J$238:$J$451),0),
IF('TL09'!$B$3=M$3,SUMIF('TL09'!$C$10:$C$224,$C151,'TL09'!$J$10:$J$224),0),
IF('TL09'!$B$229=M$3,SUMIF('TL09'!$C$238:$C$451,$C151,'TL09'!$J$238:$J$451),0),
IF('TL10'!$B$3=M$3,SUMIF('TL10'!$C$10:$C$224,$C151,'TL10'!$J$10:$J$224),0),
IF('TL10'!$B$229=M$3,SUMIF('TL10'!$C$238:$C$451,$C151,'TL10'!$J$238:$J$451),0),
IF('TL11'!$B$3=M$3,SUMIF('TL11'!$C$10:$C$224,$C151,'TL11'!$J$10:$J$224),0),
IF('TL11'!$B$229=M$3,SUMIF('TL11'!$C$238:$C$451,$C151,'TL11'!$J$238:$J$451),0),
IF('TL12'!$B$3=M$3,SUMIF('TL12'!$C$10:$C$224,$C151,'TL12'!$J$10:$J$224),0),
IF('TL12'!$B$229=M$3,SUMIF('TL12'!$C$238:$C$451,$C151,'TL12'!$J$238:$J$451),0),
IF('TL13'!$B$3=M$3,SUMIF('TL13'!$C$10:$C$224,$C151,'TL13'!$J$10:$J$224),0),
IF('TL13'!$B$229=M$3,SUMIF('TL13'!$C$238:$C$451,$C151,'TL13'!$J$238:$J$451),0),
IF('TL14'!$B$3=M$3,SUMIF('TL14'!$C$10:$C$224,$C151,'TL14'!$J$10:$J$224),0),
IF('TL14'!$B$229=M$3,SUMIF('TL14'!$C$238:$C$451,$C151,'TL14'!$J$238:$J$451),0),
IF('TL15'!$B$3=M$3,SUMIF('TL15'!$C$10:$C$224,$C151,'TL15'!$J$10:$J$224),0),
IF('TL15'!$B$229=M$3,SUMIF('TL15'!$C$238:$C$451,$C151,'TL15'!$J$238:$J$451),0),
IF('TL16'!$B$3=M$3,SUMIF('TL16'!$C$10:$C$224,$C151,'TL16'!$J$10:$J$224),0),
IF('TL16'!$B$229=M$3,SUMIF('TL16'!$C$238:$C$451,$C151,'TL16'!$J$238:$J$451),0),
IF('TL17'!$B$3=M$3,SUMIF('TL17'!$C$10:$C$224,$C151,'TL17'!$J$10:$J$224),0),
IF('TL17'!$B$229=M$3,SUMIF('TL17'!$C$238:$C$451,$C151,'TL17'!$J$238:$J$451),0),
IF('TL18'!$B$3=M$3,SUMIF('TL18'!$C$10:$C$224,$C151,'TL18'!$J$10:$J$224),0),
IF('TL18'!$B$229=M$3,SUMIF('TL18'!$C$238:$C$451,$C151,'TL18'!$J$238:$J$451),0),
IF('TL19'!$B$3=M$3,SUMIF('TL19'!$C$10:$C$224,$C151,'TL19'!$J$10:$J$224),0),
IF('TL19'!$B$229=M$3,SUMIF('TL19'!$C$238:$C$451,$C151,'TL19'!$J$238:$J$451),0)
),0)</f>
        <v>0</v>
      </c>
      <c r="N151" s="9">
        <f>IFERROR(SUM(
IF('TL01'!$B$3=N$3,SUMIF('TL01'!$C$10:$C$224,$C151,'TL01'!$J$10:$J$224),0),
IF('TL01'!$B$229=N$3,SUMIF('TL01'!$C$238:$C$451,$C151,'TL01'!$J$238:$J$451),0),
IF('TL02'!$B$3=N$3,SUMIF('TL02'!$C$10:$C$224,$C151,'TL02'!$J$10:$J$224),0),
IF('TL02'!$B$229=N$3,SUMIF('TL02'!$C$238:$C$451,$C151,'TL02'!$J$238:$J$451),0),
IF('TL03'!$B$3=N$3,SUMIF('TL03'!$C$10:$C$224,$C151,'TL03'!$J$10:$J$224),0),
IF('TL03'!$B$229=N$3,SUMIF('TL03'!$C$238:$C$451,$C151,'TL03'!$J$238:$J$451),0),
IF('TL04'!$B$3=N$3,SUMIF('TL04'!$C$10:$C$224,$C151,'TL04'!$J$10:$J$224),0),
IF('TL04'!$B$229=N$3,SUMIF('TL04'!$C$238:$C$451,$C151,'TL04'!$J$238:$J$451),0),
IF('TL05'!$B$3=N$3,SUMIF('TL05'!$C$10:$C$224,$C151,'TL05'!$J$10:$J$224),0),
IF('TL05'!$B$229=N$3,SUMIF('TL05'!$C$238:$C$451,$C151,'TL05'!$J$238:$J$451),0),
IF('TL06'!$B$3=N$3,SUMIF('TL06'!$C$10:$C$224,$C151,'TL06'!$J$10:$J$224),0),
IF('TL06'!$B$229=N$3,SUMIF('TL06'!$C$238:$C$451,$C151,'TL06'!$J$238:$J$451),0),
IF('TL07'!$B$3=N$3,SUMIF('TL07'!$C$10:$C$224,$C151,'TL07'!$J$10:$J$224),0),
IF('TL07'!$B$229=N$3,SUMIF('TL07'!$C$238:$C$451,$C151,'TL07'!$J$238:$J$451),0),
IF('TL08'!$B$3=N$3,SUMIF('TL08'!$C$10:$C$224,$C151,'TL08'!$J$10:$J$224),0),
IF('TL08'!$B$229=N$3,SUMIF('TL08'!$C$238:$C$451,$C151,'TL08'!$J$238:$J$451),0),
IF('TL09'!$B$3=N$3,SUMIF('TL09'!$C$10:$C$224,$C151,'TL09'!$J$10:$J$224),0),
IF('TL09'!$B$229=N$3,SUMIF('TL09'!$C$238:$C$451,$C151,'TL09'!$J$238:$J$451),0),
IF('TL10'!$B$3=N$3,SUMIF('TL10'!$C$10:$C$224,$C151,'TL10'!$J$10:$J$224),0),
IF('TL10'!$B$229=N$3,SUMIF('TL10'!$C$238:$C$451,$C151,'TL10'!$J$238:$J$451),0),
IF('TL11'!$B$3=N$3,SUMIF('TL11'!$C$10:$C$224,$C151,'TL11'!$J$10:$J$224),0),
IF('TL11'!$B$229=N$3,SUMIF('TL11'!$C$238:$C$451,$C151,'TL11'!$J$238:$J$451),0),
IF('TL12'!$B$3=N$3,SUMIF('TL12'!$C$10:$C$224,$C151,'TL12'!$J$10:$J$224),0),
IF('TL12'!$B$229=N$3,SUMIF('TL12'!$C$238:$C$451,$C151,'TL12'!$J$238:$J$451),0),
IF('TL13'!$B$3=N$3,SUMIF('TL13'!$C$10:$C$224,$C151,'TL13'!$J$10:$J$224),0),
IF('TL13'!$B$229=N$3,SUMIF('TL13'!$C$238:$C$451,$C151,'TL13'!$J$238:$J$451),0),
IF('TL14'!$B$3=N$3,SUMIF('TL14'!$C$10:$C$224,$C151,'TL14'!$J$10:$J$224),0),
IF('TL14'!$B$229=N$3,SUMIF('TL14'!$C$238:$C$451,$C151,'TL14'!$J$238:$J$451),0),
IF('TL15'!$B$3=N$3,SUMIF('TL15'!$C$10:$C$224,$C151,'TL15'!$J$10:$J$224),0),
IF('TL15'!$B$229=N$3,SUMIF('TL15'!$C$238:$C$451,$C151,'TL15'!$J$238:$J$451),0),
IF('TL16'!$B$3=N$3,SUMIF('TL16'!$C$10:$C$224,$C151,'TL16'!$J$10:$J$224),0),
IF('TL16'!$B$229=N$3,SUMIF('TL16'!$C$238:$C$451,$C151,'TL16'!$J$238:$J$451),0),
IF('TL17'!$B$3=N$3,SUMIF('TL17'!$C$10:$C$224,$C151,'TL17'!$J$10:$J$224),0),
IF('TL17'!$B$229=N$3,SUMIF('TL17'!$C$238:$C$451,$C151,'TL17'!$J$238:$J$451),0),
IF('TL18'!$B$3=N$3,SUMIF('TL18'!$C$10:$C$224,$C151,'TL18'!$J$10:$J$224),0),
IF('TL18'!$B$229=N$3,SUMIF('TL18'!$C$238:$C$451,$C151,'TL18'!$J$238:$J$451),0),
IF('TL19'!$B$3=N$3,SUMIF('TL19'!$C$10:$C$224,$C151,'TL19'!$J$10:$J$224),0),
IF('TL19'!$B$229=N$3,SUMIF('TL19'!$C$238:$C$451,$C151,'TL19'!$J$238:$J$451),0)
),0)</f>
        <v>0</v>
      </c>
      <c r="O151" s="9">
        <f>IFERROR(SUM(
IF('TL01'!$B$3=O$3,SUMIF('TL01'!$C$10:$C$224,$C151,'TL01'!$J$10:$J$224),0),
IF('TL01'!$B$229=O$3,SUMIF('TL01'!$C$238:$C$451,$C151,'TL01'!$J$238:$J$451),0),
IF('TL02'!$B$3=O$3,SUMIF('TL02'!$C$10:$C$224,$C151,'TL02'!$J$10:$J$224),0),
IF('TL02'!$B$229=O$3,SUMIF('TL02'!$C$238:$C$451,$C151,'TL02'!$J$238:$J$451),0),
IF('TL03'!$B$3=O$3,SUMIF('TL03'!$C$10:$C$224,$C151,'TL03'!$J$10:$J$224),0),
IF('TL03'!$B$229=O$3,SUMIF('TL03'!$C$238:$C$451,$C151,'TL03'!$J$238:$J$451),0),
IF('TL04'!$B$3=O$3,SUMIF('TL04'!$C$10:$C$224,$C151,'TL04'!$J$10:$J$224),0),
IF('TL04'!$B$229=O$3,SUMIF('TL04'!$C$238:$C$451,$C151,'TL04'!$J$238:$J$451),0),
IF('TL05'!$B$3=O$3,SUMIF('TL05'!$C$10:$C$224,$C151,'TL05'!$J$10:$J$224),0),
IF('TL05'!$B$229=O$3,SUMIF('TL05'!$C$238:$C$451,$C151,'TL05'!$J$238:$J$451),0),
IF('TL06'!$B$3=O$3,SUMIF('TL06'!$C$10:$C$224,$C151,'TL06'!$J$10:$J$224),0),
IF('TL06'!$B$229=O$3,SUMIF('TL06'!$C$238:$C$451,$C151,'TL06'!$J$238:$J$451),0),
IF('TL07'!$B$3=O$3,SUMIF('TL07'!$C$10:$C$224,$C151,'TL07'!$J$10:$J$224),0),
IF('TL07'!$B$229=O$3,SUMIF('TL07'!$C$238:$C$451,$C151,'TL07'!$J$238:$J$451),0),
IF('TL08'!$B$3=O$3,SUMIF('TL08'!$C$10:$C$224,$C151,'TL08'!$J$10:$J$224),0),
IF('TL08'!$B$229=O$3,SUMIF('TL08'!$C$238:$C$451,$C151,'TL08'!$J$238:$J$451),0),
IF('TL09'!$B$3=O$3,SUMIF('TL09'!$C$10:$C$224,$C151,'TL09'!$J$10:$J$224),0),
IF('TL09'!$B$229=O$3,SUMIF('TL09'!$C$238:$C$451,$C151,'TL09'!$J$238:$J$451),0),
IF('TL10'!$B$3=O$3,SUMIF('TL10'!$C$10:$C$224,$C151,'TL10'!$J$10:$J$224),0),
IF('TL10'!$B$229=O$3,SUMIF('TL10'!$C$238:$C$451,$C151,'TL10'!$J$238:$J$451),0),
IF('TL11'!$B$3=O$3,SUMIF('TL11'!$C$10:$C$224,$C151,'TL11'!$J$10:$J$224),0),
IF('TL11'!$B$229=O$3,SUMIF('TL11'!$C$238:$C$451,$C151,'TL11'!$J$238:$J$451),0),
IF('TL12'!$B$3=O$3,SUMIF('TL12'!$C$10:$C$224,$C151,'TL12'!$J$10:$J$224),0),
IF('TL12'!$B$229=O$3,SUMIF('TL12'!$C$238:$C$451,$C151,'TL12'!$J$238:$J$451),0),
IF('TL13'!$B$3=O$3,SUMIF('TL13'!$C$10:$C$224,$C151,'TL13'!$J$10:$J$224),0),
IF('TL13'!$B$229=O$3,SUMIF('TL13'!$C$238:$C$451,$C151,'TL13'!$J$238:$J$451),0),
IF('TL14'!$B$3=O$3,SUMIF('TL14'!$C$10:$C$224,$C151,'TL14'!$J$10:$J$224),0),
IF('TL14'!$B$229=O$3,SUMIF('TL14'!$C$238:$C$451,$C151,'TL14'!$J$238:$J$451),0),
IF('TL15'!$B$3=O$3,SUMIF('TL15'!$C$10:$C$224,$C151,'TL15'!$J$10:$J$224),0),
IF('TL15'!$B$229=O$3,SUMIF('TL15'!$C$238:$C$451,$C151,'TL15'!$J$238:$J$451),0),
IF('TL16'!$B$3=O$3,SUMIF('TL16'!$C$10:$C$224,$C151,'TL16'!$J$10:$J$224),0),
IF('TL16'!$B$229=O$3,SUMIF('TL16'!$C$238:$C$451,$C151,'TL16'!$J$238:$J$451),0),
IF('TL17'!$B$3=O$3,SUMIF('TL17'!$C$10:$C$224,$C151,'TL17'!$J$10:$J$224),0),
IF('TL17'!$B$229=O$3,SUMIF('TL17'!$C$238:$C$451,$C151,'TL17'!$J$238:$J$451),0),
IF('TL18'!$B$3=O$3,SUMIF('TL18'!$C$10:$C$224,$C151,'TL18'!$J$10:$J$224),0),
IF('TL18'!$B$229=O$3,SUMIF('TL18'!$C$238:$C$451,$C151,'TL18'!$J$238:$J$451),0),
IF('TL19'!$B$3=O$3,SUMIF('TL19'!$C$10:$C$224,$C151,'TL19'!$J$10:$J$224),0),
IF('TL19'!$B$229=O$3,SUMIF('TL19'!$C$238:$C$451,$C151,'TL19'!$J$238:$J$451),0)
),0)</f>
        <v>0</v>
      </c>
      <c r="P151" s="9">
        <f>IFERROR(SUM(
IF('TL01'!$B$3=P$3,SUMIF('TL01'!$C$10:$C$224,$C151,'TL01'!$J$10:$J$224),0),
IF('TL01'!$B$229=P$3,SUMIF('TL01'!$C$238:$C$451,$C151,'TL01'!$J$238:$J$451),0),
IF('TL02'!$B$3=P$3,SUMIF('TL02'!$C$10:$C$224,$C151,'TL02'!$J$10:$J$224),0),
IF('TL02'!$B$229=P$3,SUMIF('TL02'!$C$238:$C$451,$C151,'TL02'!$J$238:$J$451),0),
IF('TL03'!$B$3=P$3,SUMIF('TL03'!$C$10:$C$224,$C151,'TL03'!$J$10:$J$224),0),
IF('TL03'!$B$229=P$3,SUMIF('TL03'!$C$238:$C$451,$C151,'TL03'!$J$238:$J$451),0),
IF('TL04'!$B$3=P$3,SUMIF('TL04'!$C$10:$C$224,$C151,'TL04'!$J$10:$J$224),0),
IF('TL04'!$B$229=P$3,SUMIF('TL04'!$C$238:$C$451,$C151,'TL04'!$J$238:$J$451),0),
IF('TL05'!$B$3=P$3,SUMIF('TL05'!$C$10:$C$224,$C151,'TL05'!$J$10:$J$224),0),
IF('TL05'!$B$229=P$3,SUMIF('TL05'!$C$238:$C$451,$C151,'TL05'!$J$238:$J$451),0),
IF('TL06'!$B$3=P$3,SUMIF('TL06'!$C$10:$C$224,$C151,'TL06'!$J$10:$J$224),0),
IF('TL06'!$B$229=P$3,SUMIF('TL06'!$C$238:$C$451,$C151,'TL06'!$J$238:$J$451),0),
IF('TL07'!$B$3=P$3,SUMIF('TL07'!$C$10:$C$224,$C151,'TL07'!$J$10:$J$224),0),
IF('TL07'!$B$229=P$3,SUMIF('TL07'!$C$238:$C$451,$C151,'TL07'!$J$238:$J$451),0),
IF('TL08'!$B$3=P$3,SUMIF('TL08'!$C$10:$C$224,$C151,'TL08'!$J$10:$J$224),0),
IF('TL08'!$B$229=P$3,SUMIF('TL08'!$C$238:$C$451,$C151,'TL08'!$J$238:$J$451),0),
IF('TL09'!$B$3=P$3,SUMIF('TL09'!$C$10:$C$224,$C151,'TL09'!$J$10:$J$224),0),
IF('TL09'!$B$229=P$3,SUMIF('TL09'!$C$238:$C$451,$C151,'TL09'!$J$238:$J$451),0),
IF('TL10'!$B$3=P$3,SUMIF('TL10'!$C$10:$C$224,$C151,'TL10'!$J$10:$J$224),0),
IF('TL10'!$B$229=P$3,SUMIF('TL10'!$C$238:$C$451,$C151,'TL10'!$J$238:$J$451),0),
IF('TL11'!$B$3=P$3,SUMIF('TL11'!$C$10:$C$224,$C151,'TL11'!$J$10:$J$224),0),
IF('TL11'!$B$229=P$3,SUMIF('TL11'!$C$238:$C$451,$C151,'TL11'!$J$238:$J$451),0),
IF('TL12'!$B$3=P$3,SUMIF('TL12'!$C$10:$C$224,$C151,'TL12'!$J$10:$J$224),0),
IF('TL12'!$B$229=P$3,SUMIF('TL12'!$C$238:$C$451,$C151,'TL12'!$J$238:$J$451),0),
IF('TL13'!$B$3=P$3,SUMIF('TL13'!$C$10:$C$224,$C151,'TL13'!$J$10:$J$224),0),
IF('TL13'!$B$229=P$3,SUMIF('TL13'!$C$238:$C$451,$C151,'TL13'!$J$238:$J$451),0),
IF('TL14'!$B$3=P$3,SUMIF('TL14'!$C$10:$C$224,$C151,'TL14'!$J$10:$J$224),0),
IF('TL14'!$B$229=P$3,SUMIF('TL14'!$C$238:$C$451,$C151,'TL14'!$J$238:$J$451),0),
IF('TL15'!$B$3=P$3,SUMIF('TL15'!$C$10:$C$224,$C151,'TL15'!$J$10:$J$224),0),
IF('TL15'!$B$229=P$3,SUMIF('TL15'!$C$238:$C$451,$C151,'TL15'!$J$238:$J$451),0),
IF('TL16'!$B$3=P$3,SUMIF('TL16'!$C$10:$C$224,$C151,'TL16'!$J$10:$J$224),0),
IF('TL16'!$B$229=P$3,SUMIF('TL16'!$C$238:$C$451,$C151,'TL16'!$J$238:$J$451),0),
IF('TL17'!$B$3=P$3,SUMIF('TL17'!$C$10:$C$224,$C151,'TL17'!$J$10:$J$224),0),
IF('TL17'!$B$229=P$3,SUMIF('TL17'!$C$238:$C$451,$C151,'TL17'!$J$238:$J$451),0),
IF('TL18'!$B$3=P$3,SUMIF('TL18'!$C$10:$C$224,$C151,'TL18'!$J$10:$J$224),0),
IF('TL18'!$B$229=P$3,SUMIF('TL18'!$C$238:$C$451,$C151,'TL18'!$J$238:$J$451),0),
IF('TL19'!$B$3=P$3,SUMIF('TL19'!$C$10:$C$224,$C151,'TL19'!$J$10:$J$224),0),
IF('TL19'!$B$229=P$3,SUMIF('TL19'!$C$238:$C$451,$C151,'TL19'!$J$238:$J$451),0)
),0)</f>
        <v>0</v>
      </c>
      <c r="Q151" s="9">
        <f>IFERROR(SUM(
IF('TL01'!$B$3=Q$3,SUMIF('TL01'!$C$10:$C$224,$C151,'TL01'!$J$10:$J$224),0),
IF('TL01'!$B$229=Q$3,SUMIF('TL01'!$C$238:$C$451,$C151,'TL01'!$J$238:$J$451),0),
IF('TL02'!$B$3=Q$3,SUMIF('TL02'!$C$10:$C$224,$C151,'TL02'!$J$10:$J$224),0),
IF('TL02'!$B$229=Q$3,SUMIF('TL02'!$C$238:$C$451,$C151,'TL02'!$J$238:$J$451),0),
IF('TL03'!$B$3=Q$3,SUMIF('TL03'!$C$10:$C$224,$C151,'TL03'!$J$10:$J$224),0),
IF('TL03'!$B$229=Q$3,SUMIF('TL03'!$C$238:$C$451,$C151,'TL03'!$J$238:$J$451),0),
IF('TL04'!$B$3=Q$3,SUMIF('TL04'!$C$10:$C$224,$C151,'TL04'!$J$10:$J$224),0),
IF('TL04'!$B$229=Q$3,SUMIF('TL04'!$C$238:$C$451,$C151,'TL04'!$J$238:$J$451),0),
IF('TL05'!$B$3=Q$3,SUMIF('TL05'!$C$10:$C$224,$C151,'TL05'!$J$10:$J$224),0),
IF('TL05'!$B$229=Q$3,SUMIF('TL05'!$C$238:$C$451,$C151,'TL05'!$J$238:$J$451),0),
IF('TL06'!$B$3=Q$3,SUMIF('TL06'!$C$10:$C$224,$C151,'TL06'!$J$10:$J$224),0),
IF('TL06'!$B$229=Q$3,SUMIF('TL06'!$C$238:$C$451,$C151,'TL06'!$J$238:$J$451),0),
IF('TL07'!$B$3=Q$3,SUMIF('TL07'!$C$10:$C$224,$C151,'TL07'!$J$10:$J$224),0),
IF('TL07'!$B$229=Q$3,SUMIF('TL07'!$C$238:$C$451,$C151,'TL07'!$J$238:$J$451),0),
IF('TL08'!$B$3=Q$3,SUMIF('TL08'!$C$10:$C$224,$C151,'TL08'!$J$10:$J$224),0),
IF('TL08'!$B$229=Q$3,SUMIF('TL08'!$C$238:$C$451,$C151,'TL08'!$J$238:$J$451),0),
IF('TL09'!$B$3=Q$3,SUMIF('TL09'!$C$10:$C$224,$C151,'TL09'!$J$10:$J$224),0),
IF('TL09'!$B$229=Q$3,SUMIF('TL09'!$C$238:$C$451,$C151,'TL09'!$J$238:$J$451),0),
IF('TL10'!$B$3=Q$3,SUMIF('TL10'!$C$10:$C$224,$C151,'TL10'!$J$10:$J$224),0),
IF('TL10'!$B$229=Q$3,SUMIF('TL10'!$C$238:$C$451,$C151,'TL10'!$J$238:$J$451),0),
IF('TL11'!$B$3=Q$3,SUMIF('TL11'!$C$10:$C$224,$C151,'TL11'!$J$10:$J$224),0),
IF('TL11'!$B$229=Q$3,SUMIF('TL11'!$C$238:$C$451,$C151,'TL11'!$J$238:$J$451),0),
IF('TL12'!$B$3=Q$3,SUMIF('TL12'!$C$10:$C$224,$C151,'TL12'!$J$10:$J$224),0),
IF('TL12'!$B$229=Q$3,SUMIF('TL12'!$C$238:$C$451,$C151,'TL12'!$J$238:$J$451),0),
IF('TL13'!$B$3=Q$3,SUMIF('TL13'!$C$10:$C$224,$C151,'TL13'!$J$10:$J$224),0),
IF('TL13'!$B$229=Q$3,SUMIF('TL13'!$C$238:$C$451,$C151,'TL13'!$J$238:$J$451),0),
IF('TL14'!$B$3=Q$3,SUMIF('TL14'!$C$10:$C$224,$C151,'TL14'!$J$10:$J$224),0),
IF('TL14'!$B$229=Q$3,SUMIF('TL14'!$C$238:$C$451,$C151,'TL14'!$J$238:$J$451),0),
IF('TL15'!$B$3=Q$3,SUMIF('TL15'!$C$10:$C$224,$C151,'TL15'!$J$10:$J$224),0),
IF('TL15'!$B$229=Q$3,SUMIF('TL15'!$C$238:$C$451,$C151,'TL15'!$J$238:$J$451),0),
IF('TL16'!$B$3=Q$3,SUMIF('TL16'!$C$10:$C$224,$C151,'TL16'!$J$10:$J$224),0),
IF('TL16'!$B$229=Q$3,SUMIF('TL16'!$C$238:$C$451,$C151,'TL16'!$J$238:$J$451),0),
IF('TL17'!$B$3=Q$3,SUMIF('TL17'!$C$10:$C$224,$C151,'TL17'!$J$10:$J$224),0),
IF('TL17'!$B$229=Q$3,SUMIF('TL17'!$C$238:$C$451,$C151,'TL17'!$J$238:$J$451),0),
IF('TL18'!$B$3=Q$3,SUMIF('TL18'!$C$10:$C$224,$C151,'TL18'!$J$10:$J$224),0),
IF('TL18'!$B$229=Q$3,SUMIF('TL18'!$C$238:$C$451,$C151,'TL18'!$J$238:$J$451),0),
IF('TL19'!$B$3=Q$3,SUMIF('TL19'!$C$10:$C$224,$C151,'TL19'!$J$10:$J$224),0),
IF('TL19'!$B$229=Q$3,SUMIF('TL19'!$C$238:$C$451,$C151,'TL19'!$J$238:$J$451),0)
),0)</f>
        <v>0</v>
      </c>
      <c r="R151" s="9">
        <f>IFERROR(
SUM(
SUMIF('TL01'!C:C,C151,'TL01'!J:J),
SUMIF('TL02'!C:C,C151,'TL02'!J:J),
SUMIF('TL03'!C:C,C151,'TL03'!J:J),
SUMIF('TL04'!C:C,C151,'TL04'!J:J),
SUMIF('TL05'!C:C,C151,'TL05'!J:J),
SUMIF('TL06'!C:C,C151,'TL06'!J:J),
SUMIF('TL07'!C:C,C151,'TL07'!J:J),
SUMIF('TL08'!C:C,C151,'TL08'!J:J),
SUMIF('TL09'!C:C,C151,'TL09'!J:J),
SUMIF('TL10'!C:C,C151,'TL10'!J:J),
SUMIF('TL11'!C:C,C151,'TL11'!J:J),
SUMIF('TL12'!C:C,C151,'TL12'!J:J),
SUMIF('TL13'!C:C,C151,'TL13'!J:J),
SUMIF('TL14'!C:C,C151,'TL14'!J:J),
SUMIF('TL15'!C:C,C151,'TL15'!J:J),
SUMIF('TL16'!C:C,C151,'TL16'!J:J),
SUMIF('TL17'!C:C,C151,'TL17'!J:J),
SUMIF('TL18'!C:C,C151,'TL18'!J:J),SUMIF('TL19'!C:C,C151,'TL19'!J:J))
,0)</f>
        <v>0</v>
      </c>
      <c r="S151" s="17">
        <f>IFERROR(__xludf.DUMMYFUNCTION("IFERROR(VLOOKUP(C151,
IMPORTRANGE(""1wULbzX32WdYsx-lj2U3uUNBBe2INVIRDtcK0d-Dvl90"",
""26-27!C:G""),
5,
FALSE),
"""")"),48.889619999999994)</f>
        <v>48.88962</v>
      </c>
      <c r="T151" s="9"/>
      <c r="U151" s="92">
        <f t="shared" si="2"/>
        <v>0</v>
      </c>
      <c r="V151" s="93">
        <f t="shared" si="3"/>
        <v>0</v>
      </c>
    </row>
    <row r="152" ht="15.75" hidden="1" customHeight="1">
      <c r="A152" s="115" t="s">
        <v>516</v>
      </c>
      <c r="B152" s="100" t="s">
        <v>1</v>
      </c>
      <c r="C152" s="116" t="s">
        <v>709</v>
      </c>
      <c r="D152" s="116" t="s">
        <v>619</v>
      </c>
      <c r="E152" s="116">
        <v>450.0</v>
      </c>
      <c r="F152" s="4" t="s">
        <v>343</v>
      </c>
      <c r="G152" s="90" t="str">
        <f t="shared" si="4"/>
        <v>📄 Ver bula</v>
      </c>
      <c r="H152" s="9" t="str">
        <f>IFERROR(__xludf.DUMMYFUNCTION("IFERROR(VLOOKUP(C152,
IMPORTRANGE(""1wULbzX32WdYsx-lj2U3uUNBBe2INVIRDtcK0d-Dvl90"",
""26-27!C:K""),
8,
FALSE),
"""")"),"")</f>
        <v/>
      </c>
      <c r="I152" s="117" t="s">
        <v>344</v>
      </c>
      <c r="J152" s="9">
        <f>IFERROR(SUM(
IF('TL01'!$B$3=J$3,SUMIF('TL01'!$C$10:$C$224,$C152,'TL01'!$J$10:$J$224),0),
IF('TL01'!$B$229=J$3,SUMIF('TL01'!$C$238:$C$451,$C152,'TL01'!$J$238:$J$451),0),
IF('TL02'!$B$3=J$3,SUMIF('TL02'!$C$10:$C$224,$C152,'TL02'!$J$10:$J$224),0),
IF('TL02'!$B$229=J$3,SUMIF('TL02'!$C$238:$C$451,$C152,'TL02'!$J$238:$J$451),0),
IF('TL03'!$B$3=J$3,SUMIF('TL03'!$C$10:$C$224,$C152,'TL03'!$J$10:$J$224),0),
IF('TL03'!$B$229=J$3,SUMIF('TL03'!$C$238:$C$451,$C152,'TL03'!$J$238:$J$451),0),
IF('TL04'!$B$3=J$3,SUMIF('TL04'!$C$10:$C$224,$C152,'TL04'!$J$10:$J$224),0),
IF('TL04'!$B$229=J$3,SUMIF('TL04'!$C$238:$C$451,$C152,'TL04'!$J$238:$J$451),0),
IF('TL05'!$B$3=J$3,SUMIF('TL05'!$C$10:$C$224,$C152,'TL05'!$J$10:$J$224),0),
IF('TL05'!$B$229=J$3,SUMIF('TL05'!$C$238:$C$451,$C152,'TL05'!$J$238:$J$451),0),
IF('TL06'!$B$3=J$3,SUMIF('TL06'!$C$10:$C$224,$C152,'TL06'!$J$10:$J$224),0),
IF('TL06'!$B$229=J$3,SUMIF('TL06'!$C$238:$C$451,$C152,'TL06'!$J$238:$J$451),0),
IF('TL07'!$B$3=J$3,SUMIF('TL07'!$C$10:$C$224,$C152,'TL07'!$J$10:$J$224),0),
IF('TL07'!$B$229=J$3,SUMIF('TL07'!$C$238:$C$451,$C152,'TL07'!$J$238:$J$451),0),
IF('TL08'!$B$3=J$3,SUMIF('TL08'!$C$10:$C$224,$C152,'TL08'!$J$10:$J$224),0),
IF('TL08'!$B$229=J$3,SUMIF('TL08'!$C$238:$C$451,$C152,'TL08'!$J$238:$J$451),0),
IF('TL09'!$B$3=J$3,SUMIF('TL09'!$C$10:$C$224,$C152,'TL09'!$J$10:$J$224),0),
IF('TL09'!$B$229=J$3,SUMIF('TL09'!$C$238:$C$451,$C152,'TL09'!$J$238:$J$451),0),
IF('TL10'!$B$3=J$3,SUMIF('TL10'!$C$10:$C$224,$C152,'TL10'!$J$10:$J$224),0),
IF('TL10'!$B$229=J$3,SUMIF('TL10'!$C$238:$C$451,$C152,'TL10'!$J$238:$J$451),0),
IF('TL11'!$B$3=J$3,SUMIF('TL11'!$C$10:$C$224,$C152,'TL11'!$J$10:$J$224),0),
IF('TL11'!$B$229=J$3,SUMIF('TL11'!$C$238:$C$451,$C152,'TL11'!$J$238:$J$451),0),
IF('TL12'!$B$3=J$3,SUMIF('TL12'!$C$10:$C$224,$C152,'TL12'!$J$10:$J$224),0),
IF('TL12'!$B$229=J$3,SUMIF('TL12'!$C$238:$C$451,$C152,'TL12'!$J$238:$J$451),0),
IF('TL13'!$B$3=J$3,SUMIF('TL13'!$C$10:$C$224,$C152,'TL13'!$J$10:$J$224),0),
IF('TL13'!$B$229=J$3,SUMIF('TL13'!$C$238:$C$451,$C152,'TL13'!$J$238:$J$451),0),
IF('TL14'!$B$3=J$3,SUMIF('TL14'!$C$10:$C$224,$C152,'TL14'!$J$10:$J$224),0),
IF('TL14'!$B$229=J$3,SUMIF('TL14'!$C$238:$C$451,$C152,'TL14'!$J$238:$J$451),0),
IF('TL15'!$B$3=J$3,SUMIF('TL15'!$C$10:$C$224,$C152,'TL15'!$J$10:$J$224),0),
IF('TL15'!$B$229=J$3,SUMIF('TL15'!$C$238:$C$451,$C152,'TL15'!$J$238:$J$451),0),
IF('TL16'!$B$3=J$3,SUMIF('TL16'!$C$10:$C$224,$C152,'TL16'!$J$10:$J$224),0),
IF('TL16'!$B$229=J$3,SUMIF('TL16'!$C$238:$C$451,$C152,'TL16'!$J$238:$J$451),0),
IF('TL17'!$B$3=J$3,SUMIF('TL17'!$C$10:$C$224,$C152,'TL17'!$J$10:$J$224),0),
IF('TL17'!$B$229=J$3,SUMIF('TL17'!$C$238:$C$451,$C152,'TL17'!$J$238:$J$451),0),
IF('TL18'!$B$3=J$3,SUMIF('TL18'!$C$10:$C$224,$C152,'TL18'!$J$10:$J$224),0),
IF('TL18'!$B$229=J$3,SUMIF('TL18'!$C$238:$C$451,$C152,'TL18'!$J$238:$J$451),0),
IF('TL19'!$B$3=J$3,SUMIF('TL19'!$C$10:$C$224,$C152,'TL19'!$J$10:$J$224),0),
IF('TL19'!$B$229=J$3,SUMIF('TL19'!$C$238:$C$451,$C152,'TL19'!$J$238:$J$451),0)
),0)</f>
        <v>0</v>
      </c>
      <c r="K152" s="9">
        <f>IFERROR(SUM(
IF('TL01'!$B$3=K$3,SUMIF('TL01'!$C$10:$C$224,$C152,'TL01'!$J$10:$J$224),0),
IF('TL01'!$B$229=K$3,SUMIF('TL01'!$C$238:$C$451,$C152,'TL01'!$J$238:$J$451),0),
IF('TL02'!$B$3=K$3,SUMIF('TL02'!$C$10:$C$224,$C152,'TL02'!$J$10:$J$224),0),
IF('TL02'!$B$229=K$3,SUMIF('TL02'!$C$238:$C$451,$C152,'TL02'!$J$238:$J$451),0),
IF('TL03'!$B$3=K$3,SUMIF('TL03'!$C$10:$C$224,$C152,'TL03'!$J$10:$J$224),0),
IF('TL03'!$B$229=K$3,SUMIF('TL03'!$C$238:$C$451,$C152,'TL03'!$J$238:$J$451),0),
IF('TL04'!$B$3=K$3,SUMIF('TL04'!$C$10:$C$224,$C152,'TL04'!$J$10:$J$224),0),
IF('TL04'!$B$229=K$3,SUMIF('TL04'!$C$238:$C$451,$C152,'TL04'!$J$238:$J$451),0),
IF('TL05'!$B$3=K$3,SUMIF('TL05'!$C$10:$C$224,$C152,'TL05'!$J$10:$J$224),0),
IF('TL05'!$B$229=K$3,SUMIF('TL05'!$C$238:$C$451,$C152,'TL05'!$J$238:$J$451),0),
IF('TL06'!$B$3=K$3,SUMIF('TL06'!$C$10:$C$224,$C152,'TL06'!$J$10:$J$224),0),
IF('TL06'!$B$229=K$3,SUMIF('TL06'!$C$238:$C$451,$C152,'TL06'!$J$238:$J$451),0),
IF('TL07'!$B$3=K$3,SUMIF('TL07'!$C$10:$C$224,$C152,'TL07'!$J$10:$J$224),0),
IF('TL07'!$B$229=K$3,SUMIF('TL07'!$C$238:$C$451,$C152,'TL07'!$J$238:$J$451),0),
IF('TL08'!$B$3=K$3,SUMIF('TL08'!$C$10:$C$224,$C152,'TL08'!$J$10:$J$224),0),
IF('TL08'!$B$229=K$3,SUMIF('TL08'!$C$238:$C$451,$C152,'TL08'!$J$238:$J$451),0),
IF('TL09'!$B$3=K$3,SUMIF('TL09'!$C$10:$C$224,$C152,'TL09'!$J$10:$J$224),0),
IF('TL09'!$B$229=K$3,SUMIF('TL09'!$C$238:$C$451,$C152,'TL09'!$J$238:$J$451),0),
IF('TL10'!$B$3=K$3,SUMIF('TL10'!$C$10:$C$224,$C152,'TL10'!$J$10:$J$224),0),
IF('TL10'!$B$229=K$3,SUMIF('TL10'!$C$238:$C$451,$C152,'TL10'!$J$238:$J$451),0),
IF('TL11'!$B$3=K$3,SUMIF('TL11'!$C$10:$C$224,$C152,'TL11'!$J$10:$J$224),0),
IF('TL11'!$B$229=K$3,SUMIF('TL11'!$C$238:$C$451,$C152,'TL11'!$J$238:$J$451),0),
IF('TL12'!$B$3=K$3,SUMIF('TL12'!$C$10:$C$224,$C152,'TL12'!$J$10:$J$224),0),
IF('TL12'!$B$229=K$3,SUMIF('TL12'!$C$238:$C$451,$C152,'TL12'!$J$238:$J$451),0),
IF('TL13'!$B$3=K$3,SUMIF('TL13'!$C$10:$C$224,$C152,'TL13'!$J$10:$J$224),0),
IF('TL13'!$B$229=K$3,SUMIF('TL13'!$C$238:$C$451,$C152,'TL13'!$J$238:$J$451),0),
IF('TL14'!$B$3=K$3,SUMIF('TL14'!$C$10:$C$224,$C152,'TL14'!$J$10:$J$224),0),
IF('TL14'!$B$229=K$3,SUMIF('TL14'!$C$238:$C$451,$C152,'TL14'!$J$238:$J$451),0),
IF('TL15'!$B$3=K$3,SUMIF('TL15'!$C$10:$C$224,$C152,'TL15'!$J$10:$J$224),0),
IF('TL15'!$B$229=K$3,SUMIF('TL15'!$C$238:$C$451,$C152,'TL15'!$J$238:$J$451),0),
IF('TL16'!$B$3=K$3,SUMIF('TL16'!$C$10:$C$224,$C152,'TL16'!$J$10:$J$224),0),
IF('TL16'!$B$229=K$3,SUMIF('TL16'!$C$238:$C$451,$C152,'TL16'!$J$238:$J$451),0),
IF('TL17'!$B$3=K$3,SUMIF('TL17'!$C$10:$C$224,$C152,'TL17'!$J$10:$J$224),0),
IF('TL17'!$B$229=K$3,SUMIF('TL17'!$C$238:$C$451,$C152,'TL17'!$J$238:$J$451),0),
IF('TL18'!$B$3=K$3,SUMIF('TL18'!$C$10:$C$224,$C152,'TL18'!$J$10:$J$224),0),
IF('TL18'!$B$229=K$3,SUMIF('TL18'!$C$238:$C$451,$C152,'TL18'!$J$238:$J$451),0),
IF('TL19'!$B$3=K$3,SUMIF('TL19'!$C$10:$C$224,$C152,'TL19'!$J$10:$J$224),0),
IF('TL19'!$B$229=K$3,SUMIF('TL19'!$C$238:$C$451,$C152,'TL19'!$J$238:$J$451),0)
),0)</f>
        <v>0</v>
      </c>
      <c r="L152" s="9">
        <f>IFERROR(SUM(
IF('TL01'!$B$3=L$3,SUMIF('TL01'!$C$10:$C$224,$C152,'TL01'!$J$10:$J$224),0),
IF('TL01'!$B$229=L$3,SUMIF('TL01'!$C$238:$C$451,$C152,'TL01'!$J$238:$J$451),0),
IF('TL02'!$B$3=L$3,SUMIF('TL02'!$C$10:$C$224,$C152,'TL02'!$J$10:$J$224),0),
IF('TL02'!$B$229=L$3,SUMIF('TL02'!$C$238:$C$451,$C152,'TL02'!$J$238:$J$451),0),
IF('TL03'!$B$3=L$3,SUMIF('TL03'!$C$10:$C$224,$C152,'TL03'!$J$10:$J$224),0),
IF('TL03'!$B$229=L$3,SUMIF('TL03'!$C$238:$C$451,$C152,'TL03'!$J$238:$J$451),0),
IF('TL04'!$B$3=L$3,SUMIF('TL04'!$C$10:$C$224,$C152,'TL04'!$J$10:$J$224),0),
IF('TL04'!$B$229=L$3,SUMIF('TL04'!$C$238:$C$451,$C152,'TL04'!$J$238:$J$451),0),
IF('TL05'!$B$3=L$3,SUMIF('TL05'!$C$10:$C$224,$C152,'TL05'!$J$10:$J$224),0),
IF('TL05'!$B$229=L$3,SUMIF('TL05'!$C$238:$C$451,$C152,'TL05'!$J$238:$J$451),0),
IF('TL06'!$B$3=L$3,SUMIF('TL06'!$C$10:$C$224,$C152,'TL06'!$J$10:$J$224),0),
IF('TL06'!$B$229=L$3,SUMIF('TL06'!$C$238:$C$451,$C152,'TL06'!$J$238:$J$451),0),
IF('TL07'!$B$3=L$3,SUMIF('TL07'!$C$10:$C$224,$C152,'TL07'!$J$10:$J$224),0),
IF('TL07'!$B$229=L$3,SUMIF('TL07'!$C$238:$C$451,$C152,'TL07'!$J$238:$J$451),0),
IF('TL08'!$B$3=L$3,SUMIF('TL08'!$C$10:$C$224,$C152,'TL08'!$J$10:$J$224),0),
IF('TL08'!$B$229=L$3,SUMIF('TL08'!$C$238:$C$451,$C152,'TL08'!$J$238:$J$451),0),
IF('TL09'!$B$3=L$3,SUMIF('TL09'!$C$10:$C$224,$C152,'TL09'!$J$10:$J$224),0),
IF('TL09'!$B$229=L$3,SUMIF('TL09'!$C$238:$C$451,$C152,'TL09'!$J$238:$J$451),0),
IF('TL10'!$B$3=L$3,SUMIF('TL10'!$C$10:$C$224,$C152,'TL10'!$J$10:$J$224),0),
IF('TL10'!$B$229=L$3,SUMIF('TL10'!$C$238:$C$451,$C152,'TL10'!$J$238:$J$451),0),
IF('TL11'!$B$3=L$3,SUMIF('TL11'!$C$10:$C$224,$C152,'TL11'!$J$10:$J$224),0),
IF('TL11'!$B$229=L$3,SUMIF('TL11'!$C$238:$C$451,$C152,'TL11'!$J$238:$J$451),0),
IF('TL12'!$B$3=L$3,SUMIF('TL12'!$C$10:$C$224,$C152,'TL12'!$J$10:$J$224),0),
IF('TL12'!$B$229=L$3,SUMIF('TL12'!$C$238:$C$451,$C152,'TL12'!$J$238:$J$451),0),
IF('TL13'!$B$3=L$3,SUMIF('TL13'!$C$10:$C$224,$C152,'TL13'!$J$10:$J$224),0),
IF('TL13'!$B$229=L$3,SUMIF('TL13'!$C$238:$C$451,$C152,'TL13'!$J$238:$J$451),0),
IF('TL14'!$B$3=L$3,SUMIF('TL14'!$C$10:$C$224,$C152,'TL14'!$J$10:$J$224),0),
IF('TL14'!$B$229=L$3,SUMIF('TL14'!$C$238:$C$451,$C152,'TL14'!$J$238:$J$451),0),
IF('TL15'!$B$3=L$3,SUMIF('TL15'!$C$10:$C$224,$C152,'TL15'!$J$10:$J$224),0),
IF('TL15'!$B$229=L$3,SUMIF('TL15'!$C$238:$C$451,$C152,'TL15'!$J$238:$J$451),0),
IF('TL16'!$B$3=L$3,SUMIF('TL16'!$C$10:$C$224,$C152,'TL16'!$J$10:$J$224),0),
IF('TL16'!$B$229=L$3,SUMIF('TL16'!$C$238:$C$451,$C152,'TL16'!$J$238:$J$451),0),
IF('TL17'!$B$3=L$3,SUMIF('TL17'!$C$10:$C$224,$C152,'TL17'!$J$10:$J$224),0),
IF('TL17'!$B$229=L$3,SUMIF('TL17'!$C$238:$C$451,$C152,'TL17'!$J$238:$J$451),0),
IF('TL18'!$B$3=L$3,SUMIF('TL18'!$C$10:$C$224,$C152,'TL18'!$J$10:$J$224),0),
IF('TL18'!$B$229=L$3,SUMIF('TL18'!$C$238:$C$451,$C152,'TL18'!$J$238:$J$451),0),
IF('TL19'!$B$3=L$3,SUMIF('TL19'!$C$10:$C$224,$C152,'TL19'!$J$10:$J$224),0),
IF('TL19'!$B$229=L$3,SUMIF('TL19'!$C$238:$C$451,$C152,'TL19'!$J$238:$J$451),0)
),0)</f>
        <v>0</v>
      </c>
      <c r="M152" s="9">
        <f>IFERROR(SUM(
IF('TL01'!$B$3=M$3,SUMIF('TL01'!$C$10:$C$224,$C152,'TL01'!$J$10:$J$224),0),
IF('TL01'!$B$229=M$3,SUMIF('TL01'!$C$238:$C$451,$C152,'TL01'!$J$238:$J$451),0),
IF('TL02'!$B$3=M$3,SUMIF('TL02'!$C$10:$C$224,$C152,'TL02'!$J$10:$J$224),0),
IF('TL02'!$B$229=M$3,SUMIF('TL02'!$C$238:$C$451,$C152,'TL02'!$J$238:$J$451),0),
IF('TL03'!$B$3=M$3,SUMIF('TL03'!$C$10:$C$224,$C152,'TL03'!$J$10:$J$224),0),
IF('TL03'!$B$229=M$3,SUMIF('TL03'!$C$238:$C$451,$C152,'TL03'!$J$238:$J$451),0),
IF('TL04'!$B$3=M$3,SUMIF('TL04'!$C$10:$C$224,$C152,'TL04'!$J$10:$J$224),0),
IF('TL04'!$B$229=M$3,SUMIF('TL04'!$C$238:$C$451,$C152,'TL04'!$J$238:$J$451),0),
IF('TL05'!$B$3=M$3,SUMIF('TL05'!$C$10:$C$224,$C152,'TL05'!$J$10:$J$224),0),
IF('TL05'!$B$229=M$3,SUMIF('TL05'!$C$238:$C$451,$C152,'TL05'!$J$238:$J$451),0),
IF('TL06'!$B$3=M$3,SUMIF('TL06'!$C$10:$C$224,$C152,'TL06'!$J$10:$J$224),0),
IF('TL06'!$B$229=M$3,SUMIF('TL06'!$C$238:$C$451,$C152,'TL06'!$J$238:$J$451),0),
IF('TL07'!$B$3=M$3,SUMIF('TL07'!$C$10:$C$224,$C152,'TL07'!$J$10:$J$224),0),
IF('TL07'!$B$229=M$3,SUMIF('TL07'!$C$238:$C$451,$C152,'TL07'!$J$238:$J$451),0),
IF('TL08'!$B$3=M$3,SUMIF('TL08'!$C$10:$C$224,$C152,'TL08'!$J$10:$J$224),0),
IF('TL08'!$B$229=M$3,SUMIF('TL08'!$C$238:$C$451,$C152,'TL08'!$J$238:$J$451),0),
IF('TL09'!$B$3=M$3,SUMIF('TL09'!$C$10:$C$224,$C152,'TL09'!$J$10:$J$224),0),
IF('TL09'!$B$229=M$3,SUMIF('TL09'!$C$238:$C$451,$C152,'TL09'!$J$238:$J$451),0),
IF('TL10'!$B$3=M$3,SUMIF('TL10'!$C$10:$C$224,$C152,'TL10'!$J$10:$J$224),0),
IF('TL10'!$B$229=M$3,SUMIF('TL10'!$C$238:$C$451,$C152,'TL10'!$J$238:$J$451),0),
IF('TL11'!$B$3=M$3,SUMIF('TL11'!$C$10:$C$224,$C152,'TL11'!$J$10:$J$224),0),
IF('TL11'!$B$229=M$3,SUMIF('TL11'!$C$238:$C$451,$C152,'TL11'!$J$238:$J$451),0),
IF('TL12'!$B$3=M$3,SUMIF('TL12'!$C$10:$C$224,$C152,'TL12'!$J$10:$J$224),0),
IF('TL12'!$B$229=M$3,SUMIF('TL12'!$C$238:$C$451,$C152,'TL12'!$J$238:$J$451),0),
IF('TL13'!$B$3=M$3,SUMIF('TL13'!$C$10:$C$224,$C152,'TL13'!$J$10:$J$224),0),
IF('TL13'!$B$229=M$3,SUMIF('TL13'!$C$238:$C$451,$C152,'TL13'!$J$238:$J$451),0),
IF('TL14'!$B$3=M$3,SUMIF('TL14'!$C$10:$C$224,$C152,'TL14'!$J$10:$J$224),0),
IF('TL14'!$B$229=M$3,SUMIF('TL14'!$C$238:$C$451,$C152,'TL14'!$J$238:$J$451),0),
IF('TL15'!$B$3=M$3,SUMIF('TL15'!$C$10:$C$224,$C152,'TL15'!$J$10:$J$224),0),
IF('TL15'!$B$229=M$3,SUMIF('TL15'!$C$238:$C$451,$C152,'TL15'!$J$238:$J$451),0),
IF('TL16'!$B$3=M$3,SUMIF('TL16'!$C$10:$C$224,$C152,'TL16'!$J$10:$J$224),0),
IF('TL16'!$B$229=M$3,SUMIF('TL16'!$C$238:$C$451,$C152,'TL16'!$J$238:$J$451),0),
IF('TL17'!$B$3=M$3,SUMIF('TL17'!$C$10:$C$224,$C152,'TL17'!$J$10:$J$224),0),
IF('TL17'!$B$229=M$3,SUMIF('TL17'!$C$238:$C$451,$C152,'TL17'!$J$238:$J$451),0),
IF('TL18'!$B$3=M$3,SUMIF('TL18'!$C$10:$C$224,$C152,'TL18'!$J$10:$J$224),0),
IF('TL18'!$B$229=M$3,SUMIF('TL18'!$C$238:$C$451,$C152,'TL18'!$J$238:$J$451),0),
IF('TL19'!$B$3=M$3,SUMIF('TL19'!$C$10:$C$224,$C152,'TL19'!$J$10:$J$224),0),
IF('TL19'!$B$229=M$3,SUMIF('TL19'!$C$238:$C$451,$C152,'TL19'!$J$238:$J$451),0)
),0)</f>
        <v>0</v>
      </c>
      <c r="N152" s="9">
        <f>IFERROR(SUM(
IF('TL01'!$B$3=N$3,SUMIF('TL01'!$C$10:$C$224,$C152,'TL01'!$J$10:$J$224),0),
IF('TL01'!$B$229=N$3,SUMIF('TL01'!$C$238:$C$451,$C152,'TL01'!$J$238:$J$451),0),
IF('TL02'!$B$3=N$3,SUMIF('TL02'!$C$10:$C$224,$C152,'TL02'!$J$10:$J$224),0),
IF('TL02'!$B$229=N$3,SUMIF('TL02'!$C$238:$C$451,$C152,'TL02'!$J$238:$J$451),0),
IF('TL03'!$B$3=N$3,SUMIF('TL03'!$C$10:$C$224,$C152,'TL03'!$J$10:$J$224),0),
IF('TL03'!$B$229=N$3,SUMIF('TL03'!$C$238:$C$451,$C152,'TL03'!$J$238:$J$451),0),
IF('TL04'!$B$3=N$3,SUMIF('TL04'!$C$10:$C$224,$C152,'TL04'!$J$10:$J$224),0),
IF('TL04'!$B$229=N$3,SUMIF('TL04'!$C$238:$C$451,$C152,'TL04'!$J$238:$J$451),0),
IF('TL05'!$B$3=N$3,SUMIF('TL05'!$C$10:$C$224,$C152,'TL05'!$J$10:$J$224),0),
IF('TL05'!$B$229=N$3,SUMIF('TL05'!$C$238:$C$451,$C152,'TL05'!$J$238:$J$451),0),
IF('TL06'!$B$3=N$3,SUMIF('TL06'!$C$10:$C$224,$C152,'TL06'!$J$10:$J$224),0),
IF('TL06'!$B$229=N$3,SUMIF('TL06'!$C$238:$C$451,$C152,'TL06'!$J$238:$J$451),0),
IF('TL07'!$B$3=N$3,SUMIF('TL07'!$C$10:$C$224,$C152,'TL07'!$J$10:$J$224),0),
IF('TL07'!$B$229=N$3,SUMIF('TL07'!$C$238:$C$451,$C152,'TL07'!$J$238:$J$451),0),
IF('TL08'!$B$3=N$3,SUMIF('TL08'!$C$10:$C$224,$C152,'TL08'!$J$10:$J$224),0),
IF('TL08'!$B$229=N$3,SUMIF('TL08'!$C$238:$C$451,$C152,'TL08'!$J$238:$J$451),0),
IF('TL09'!$B$3=N$3,SUMIF('TL09'!$C$10:$C$224,$C152,'TL09'!$J$10:$J$224),0),
IF('TL09'!$B$229=N$3,SUMIF('TL09'!$C$238:$C$451,$C152,'TL09'!$J$238:$J$451),0),
IF('TL10'!$B$3=N$3,SUMIF('TL10'!$C$10:$C$224,$C152,'TL10'!$J$10:$J$224),0),
IF('TL10'!$B$229=N$3,SUMIF('TL10'!$C$238:$C$451,$C152,'TL10'!$J$238:$J$451),0),
IF('TL11'!$B$3=N$3,SUMIF('TL11'!$C$10:$C$224,$C152,'TL11'!$J$10:$J$224),0),
IF('TL11'!$B$229=N$3,SUMIF('TL11'!$C$238:$C$451,$C152,'TL11'!$J$238:$J$451),0),
IF('TL12'!$B$3=N$3,SUMIF('TL12'!$C$10:$C$224,$C152,'TL12'!$J$10:$J$224),0),
IF('TL12'!$B$229=N$3,SUMIF('TL12'!$C$238:$C$451,$C152,'TL12'!$J$238:$J$451),0),
IF('TL13'!$B$3=N$3,SUMIF('TL13'!$C$10:$C$224,$C152,'TL13'!$J$10:$J$224),0),
IF('TL13'!$B$229=N$3,SUMIF('TL13'!$C$238:$C$451,$C152,'TL13'!$J$238:$J$451),0),
IF('TL14'!$B$3=N$3,SUMIF('TL14'!$C$10:$C$224,$C152,'TL14'!$J$10:$J$224),0),
IF('TL14'!$B$229=N$3,SUMIF('TL14'!$C$238:$C$451,$C152,'TL14'!$J$238:$J$451),0),
IF('TL15'!$B$3=N$3,SUMIF('TL15'!$C$10:$C$224,$C152,'TL15'!$J$10:$J$224),0),
IF('TL15'!$B$229=N$3,SUMIF('TL15'!$C$238:$C$451,$C152,'TL15'!$J$238:$J$451),0),
IF('TL16'!$B$3=N$3,SUMIF('TL16'!$C$10:$C$224,$C152,'TL16'!$J$10:$J$224),0),
IF('TL16'!$B$229=N$3,SUMIF('TL16'!$C$238:$C$451,$C152,'TL16'!$J$238:$J$451),0),
IF('TL17'!$B$3=N$3,SUMIF('TL17'!$C$10:$C$224,$C152,'TL17'!$J$10:$J$224),0),
IF('TL17'!$B$229=N$3,SUMIF('TL17'!$C$238:$C$451,$C152,'TL17'!$J$238:$J$451),0),
IF('TL18'!$B$3=N$3,SUMIF('TL18'!$C$10:$C$224,$C152,'TL18'!$J$10:$J$224),0),
IF('TL18'!$B$229=N$3,SUMIF('TL18'!$C$238:$C$451,$C152,'TL18'!$J$238:$J$451),0),
IF('TL19'!$B$3=N$3,SUMIF('TL19'!$C$10:$C$224,$C152,'TL19'!$J$10:$J$224),0),
IF('TL19'!$B$229=N$3,SUMIF('TL19'!$C$238:$C$451,$C152,'TL19'!$J$238:$J$451),0)
),0)</f>
        <v>0</v>
      </c>
      <c r="O152" s="9">
        <f>IFERROR(SUM(
IF('TL01'!$B$3=O$3,SUMIF('TL01'!$C$10:$C$224,$C152,'TL01'!$J$10:$J$224),0),
IF('TL01'!$B$229=O$3,SUMIF('TL01'!$C$238:$C$451,$C152,'TL01'!$J$238:$J$451),0),
IF('TL02'!$B$3=O$3,SUMIF('TL02'!$C$10:$C$224,$C152,'TL02'!$J$10:$J$224),0),
IF('TL02'!$B$229=O$3,SUMIF('TL02'!$C$238:$C$451,$C152,'TL02'!$J$238:$J$451),0),
IF('TL03'!$B$3=O$3,SUMIF('TL03'!$C$10:$C$224,$C152,'TL03'!$J$10:$J$224),0),
IF('TL03'!$B$229=O$3,SUMIF('TL03'!$C$238:$C$451,$C152,'TL03'!$J$238:$J$451),0),
IF('TL04'!$B$3=O$3,SUMIF('TL04'!$C$10:$C$224,$C152,'TL04'!$J$10:$J$224),0),
IF('TL04'!$B$229=O$3,SUMIF('TL04'!$C$238:$C$451,$C152,'TL04'!$J$238:$J$451),0),
IF('TL05'!$B$3=O$3,SUMIF('TL05'!$C$10:$C$224,$C152,'TL05'!$J$10:$J$224),0),
IF('TL05'!$B$229=O$3,SUMIF('TL05'!$C$238:$C$451,$C152,'TL05'!$J$238:$J$451),0),
IF('TL06'!$B$3=O$3,SUMIF('TL06'!$C$10:$C$224,$C152,'TL06'!$J$10:$J$224),0),
IF('TL06'!$B$229=O$3,SUMIF('TL06'!$C$238:$C$451,$C152,'TL06'!$J$238:$J$451),0),
IF('TL07'!$B$3=O$3,SUMIF('TL07'!$C$10:$C$224,$C152,'TL07'!$J$10:$J$224),0),
IF('TL07'!$B$229=O$3,SUMIF('TL07'!$C$238:$C$451,$C152,'TL07'!$J$238:$J$451),0),
IF('TL08'!$B$3=O$3,SUMIF('TL08'!$C$10:$C$224,$C152,'TL08'!$J$10:$J$224),0),
IF('TL08'!$B$229=O$3,SUMIF('TL08'!$C$238:$C$451,$C152,'TL08'!$J$238:$J$451),0),
IF('TL09'!$B$3=O$3,SUMIF('TL09'!$C$10:$C$224,$C152,'TL09'!$J$10:$J$224),0),
IF('TL09'!$B$229=O$3,SUMIF('TL09'!$C$238:$C$451,$C152,'TL09'!$J$238:$J$451),0),
IF('TL10'!$B$3=O$3,SUMIF('TL10'!$C$10:$C$224,$C152,'TL10'!$J$10:$J$224),0),
IF('TL10'!$B$229=O$3,SUMIF('TL10'!$C$238:$C$451,$C152,'TL10'!$J$238:$J$451),0),
IF('TL11'!$B$3=O$3,SUMIF('TL11'!$C$10:$C$224,$C152,'TL11'!$J$10:$J$224),0),
IF('TL11'!$B$229=O$3,SUMIF('TL11'!$C$238:$C$451,$C152,'TL11'!$J$238:$J$451),0),
IF('TL12'!$B$3=O$3,SUMIF('TL12'!$C$10:$C$224,$C152,'TL12'!$J$10:$J$224),0),
IF('TL12'!$B$229=O$3,SUMIF('TL12'!$C$238:$C$451,$C152,'TL12'!$J$238:$J$451),0),
IF('TL13'!$B$3=O$3,SUMIF('TL13'!$C$10:$C$224,$C152,'TL13'!$J$10:$J$224),0),
IF('TL13'!$B$229=O$3,SUMIF('TL13'!$C$238:$C$451,$C152,'TL13'!$J$238:$J$451),0),
IF('TL14'!$B$3=O$3,SUMIF('TL14'!$C$10:$C$224,$C152,'TL14'!$J$10:$J$224),0),
IF('TL14'!$B$229=O$3,SUMIF('TL14'!$C$238:$C$451,$C152,'TL14'!$J$238:$J$451),0),
IF('TL15'!$B$3=O$3,SUMIF('TL15'!$C$10:$C$224,$C152,'TL15'!$J$10:$J$224),0),
IF('TL15'!$B$229=O$3,SUMIF('TL15'!$C$238:$C$451,$C152,'TL15'!$J$238:$J$451),0),
IF('TL16'!$B$3=O$3,SUMIF('TL16'!$C$10:$C$224,$C152,'TL16'!$J$10:$J$224),0),
IF('TL16'!$B$229=O$3,SUMIF('TL16'!$C$238:$C$451,$C152,'TL16'!$J$238:$J$451),0),
IF('TL17'!$B$3=O$3,SUMIF('TL17'!$C$10:$C$224,$C152,'TL17'!$J$10:$J$224),0),
IF('TL17'!$B$229=O$3,SUMIF('TL17'!$C$238:$C$451,$C152,'TL17'!$J$238:$J$451),0),
IF('TL18'!$B$3=O$3,SUMIF('TL18'!$C$10:$C$224,$C152,'TL18'!$J$10:$J$224),0),
IF('TL18'!$B$229=O$3,SUMIF('TL18'!$C$238:$C$451,$C152,'TL18'!$J$238:$J$451),0),
IF('TL19'!$B$3=O$3,SUMIF('TL19'!$C$10:$C$224,$C152,'TL19'!$J$10:$J$224),0),
IF('TL19'!$B$229=O$3,SUMIF('TL19'!$C$238:$C$451,$C152,'TL19'!$J$238:$J$451),0)
),0)</f>
        <v>0</v>
      </c>
      <c r="P152" s="9">
        <f>IFERROR(SUM(
IF('TL01'!$B$3=P$3,SUMIF('TL01'!$C$10:$C$224,$C152,'TL01'!$J$10:$J$224),0),
IF('TL01'!$B$229=P$3,SUMIF('TL01'!$C$238:$C$451,$C152,'TL01'!$J$238:$J$451),0),
IF('TL02'!$B$3=P$3,SUMIF('TL02'!$C$10:$C$224,$C152,'TL02'!$J$10:$J$224),0),
IF('TL02'!$B$229=P$3,SUMIF('TL02'!$C$238:$C$451,$C152,'TL02'!$J$238:$J$451),0),
IF('TL03'!$B$3=P$3,SUMIF('TL03'!$C$10:$C$224,$C152,'TL03'!$J$10:$J$224),0),
IF('TL03'!$B$229=P$3,SUMIF('TL03'!$C$238:$C$451,$C152,'TL03'!$J$238:$J$451),0),
IF('TL04'!$B$3=P$3,SUMIF('TL04'!$C$10:$C$224,$C152,'TL04'!$J$10:$J$224),0),
IF('TL04'!$B$229=P$3,SUMIF('TL04'!$C$238:$C$451,$C152,'TL04'!$J$238:$J$451),0),
IF('TL05'!$B$3=P$3,SUMIF('TL05'!$C$10:$C$224,$C152,'TL05'!$J$10:$J$224),0),
IF('TL05'!$B$229=P$3,SUMIF('TL05'!$C$238:$C$451,$C152,'TL05'!$J$238:$J$451),0),
IF('TL06'!$B$3=P$3,SUMIF('TL06'!$C$10:$C$224,$C152,'TL06'!$J$10:$J$224),0),
IF('TL06'!$B$229=P$3,SUMIF('TL06'!$C$238:$C$451,$C152,'TL06'!$J$238:$J$451),0),
IF('TL07'!$B$3=P$3,SUMIF('TL07'!$C$10:$C$224,$C152,'TL07'!$J$10:$J$224),0),
IF('TL07'!$B$229=P$3,SUMIF('TL07'!$C$238:$C$451,$C152,'TL07'!$J$238:$J$451),0),
IF('TL08'!$B$3=P$3,SUMIF('TL08'!$C$10:$C$224,$C152,'TL08'!$J$10:$J$224),0),
IF('TL08'!$B$229=P$3,SUMIF('TL08'!$C$238:$C$451,$C152,'TL08'!$J$238:$J$451),0),
IF('TL09'!$B$3=P$3,SUMIF('TL09'!$C$10:$C$224,$C152,'TL09'!$J$10:$J$224),0),
IF('TL09'!$B$229=P$3,SUMIF('TL09'!$C$238:$C$451,$C152,'TL09'!$J$238:$J$451),0),
IF('TL10'!$B$3=P$3,SUMIF('TL10'!$C$10:$C$224,$C152,'TL10'!$J$10:$J$224),0),
IF('TL10'!$B$229=P$3,SUMIF('TL10'!$C$238:$C$451,$C152,'TL10'!$J$238:$J$451),0),
IF('TL11'!$B$3=P$3,SUMIF('TL11'!$C$10:$C$224,$C152,'TL11'!$J$10:$J$224),0),
IF('TL11'!$B$229=P$3,SUMIF('TL11'!$C$238:$C$451,$C152,'TL11'!$J$238:$J$451),0),
IF('TL12'!$B$3=P$3,SUMIF('TL12'!$C$10:$C$224,$C152,'TL12'!$J$10:$J$224),0),
IF('TL12'!$B$229=P$3,SUMIF('TL12'!$C$238:$C$451,$C152,'TL12'!$J$238:$J$451),0),
IF('TL13'!$B$3=P$3,SUMIF('TL13'!$C$10:$C$224,$C152,'TL13'!$J$10:$J$224),0),
IF('TL13'!$B$229=P$3,SUMIF('TL13'!$C$238:$C$451,$C152,'TL13'!$J$238:$J$451),0),
IF('TL14'!$B$3=P$3,SUMIF('TL14'!$C$10:$C$224,$C152,'TL14'!$J$10:$J$224),0),
IF('TL14'!$B$229=P$3,SUMIF('TL14'!$C$238:$C$451,$C152,'TL14'!$J$238:$J$451),0),
IF('TL15'!$B$3=P$3,SUMIF('TL15'!$C$10:$C$224,$C152,'TL15'!$J$10:$J$224),0),
IF('TL15'!$B$229=P$3,SUMIF('TL15'!$C$238:$C$451,$C152,'TL15'!$J$238:$J$451),0),
IF('TL16'!$B$3=P$3,SUMIF('TL16'!$C$10:$C$224,$C152,'TL16'!$J$10:$J$224),0),
IF('TL16'!$B$229=P$3,SUMIF('TL16'!$C$238:$C$451,$C152,'TL16'!$J$238:$J$451),0),
IF('TL17'!$B$3=P$3,SUMIF('TL17'!$C$10:$C$224,$C152,'TL17'!$J$10:$J$224),0),
IF('TL17'!$B$229=P$3,SUMIF('TL17'!$C$238:$C$451,$C152,'TL17'!$J$238:$J$451),0),
IF('TL18'!$B$3=P$3,SUMIF('TL18'!$C$10:$C$224,$C152,'TL18'!$J$10:$J$224),0),
IF('TL18'!$B$229=P$3,SUMIF('TL18'!$C$238:$C$451,$C152,'TL18'!$J$238:$J$451),0),
IF('TL19'!$B$3=P$3,SUMIF('TL19'!$C$10:$C$224,$C152,'TL19'!$J$10:$J$224),0),
IF('TL19'!$B$229=P$3,SUMIF('TL19'!$C$238:$C$451,$C152,'TL19'!$J$238:$J$451),0)
),0)</f>
        <v>0</v>
      </c>
      <c r="Q152" s="9">
        <f>IFERROR(SUM(
IF('TL01'!$B$3=Q$3,SUMIF('TL01'!$C$10:$C$224,$C152,'TL01'!$J$10:$J$224),0),
IF('TL01'!$B$229=Q$3,SUMIF('TL01'!$C$238:$C$451,$C152,'TL01'!$J$238:$J$451),0),
IF('TL02'!$B$3=Q$3,SUMIF('TL02'!$C$10:$C$224,$C152,'TL02'!$J$10:$J$224),0),
IF('TL02'!$B$229=Q$3,SUMIF('TL02'!$C$238:$C$451,$C152,'TL02'!$J$238:$J$451),0),
IF('TL03'!$B$3=Q$3,SUMIF('TL03'!$C$10:$C$224,$C152,'TL03'!$J$10:$J$224),0),
IF('TL03'!$B$229=Q$3,SUMIF('TL03'!$C$238:$C$451,$C152,'TL03'!$J$238:$J$451),0),
IF('TL04'!$B$3=Q$3,SUMIF('TL04'!$C$10:$C$224,$C152,'TL04'!$J$10:$J$224),0),
IF('TL04'!$B$229=Q$3,SUMIF('TL04'!$C$238:$C$451,$C152,'TL04'!$J$238:$J$451),0),
IF('TL05'!$B$3=Q$3,SUMIF('TL05'!$C$10:$C$224,$C152,'TL05'!$J$10:$J$224),0),
IF('TL05'!$B$229=Q$3,SUMIF('TL05'!$C$238:$C$451,$C152,'TL05'!$J$238:$J$451),0),
IF('TL06'!$B$3=Q$3,SUMIF('TL06'!$C$10:$C$224,$C152,'TL06'!$J$10:$J$224),0),
IF('TL06'!$B$229=Q$3,SUMIF('TL06'!$C$238:$C$451,$C152,'TL06'!$J$238:$J$451),0),
IF('TL07'!$B$3=Q$3,SUMIF('TL07'!$C$10:$C$224,$C152,'TL07'!$J$10:$J$224),0),
IF('TL07'!$B$229=Q$3,SUMIF('TL07'!$C$238:$C$451,$C152,'TL07'!$J$238:$J$451),0),
IF('TL08'!$B$3=Q$3,SUMIF('TL08'!$C$10:$C$224,$C152,'TL08'!$J$10:$J$224),0),
IF('TL08'!$B$229=Q$3,SUMIF('TL08'!$C$238:$C$451,$C152,'TL08'!$J$238:$J$451),0),
IF('TL09'!$B$3=Q$3,SUMIF('TL09'!$C$10:$C$224,$C152,'TL09'!$J$10:$J$224),0),
IF('TL09'!$B$229=Q$3,SUMIF('TL09'!$C$238:$C$451,$C152,'TL09'!$J$238:$J$451),0),
IF('TL10'!$B$3=Q$3,SUMIF('TL10'!$C$10:$C$224,$C152,'TL10'!$J$10:$J$224),0),
IF('TL10'!$B$229=Q$3,SUMIF('TL10'!$C$238:$C$451,$C152,'TL10'!$J$238:$J$451),0),
IF('TL11'!$B$3=Q$3,SUMIF('TL11'!$C$10:$C$224,$C152,'TL11'!$J$10:$J$224),0),
IF('TL11'!$B$229=Q$3,SUMIF('TL11'!$C$238:$C$451,$C152,'TL11'!$J$238:$J$451),0),
IF('TL12'!$B$3=Q$3,SUMIF('TL12'!$C$10:$C$224,$C152,'TL12'!$J$10:$J$224),0),
IF('TL12'!$B$229=Q$3,SUMIF('TL12'!$C$238:$C$451,$C152,'TL12'!$J$238:$J$451),0),
IF('TL13'!$B$3=Q$3,SUMIF('TL13'!$C$10:$C$224,$C152,'TL13'!$J$10:$J$224),0),
IF('TL13'!$B$229=Q$3,SUMIF('TL13'!$C$238:$C$451,$C152,'TL13'!$J$238:$J$451),0),
IF('TL14'!$B$3=Q$3,SUMIF('TL14'!$C$10:$C$224,$C152,'TL14'!$J$10:$J$224),0),
IF('TL14'!$B$229=Q$3,SUMIF('TL14'!$C$238:$C$451,$C152,'TL14'!$J$238:$J$451),0),
IF('TL15'!$B$3=Q$3,SUMIF('TL15'!$C$10:$C$224,$C152,'TL15'!$J$10:$J$224),0),
IF('TL15'!$B$229=Q$3,SUMIF('TL15'!$C$238:$C$451,$C152,'TL15'!$J$238:$J$451),0),
IF('TL16'!$B$3=Q$3,SUMIF('TL16'!$C$10:$C$224,$C152,'TL16'!$J$10:$J$224),0),
IF('TL16'!$B$229=Q$3,SUMIF('TL16'!$C$238:$C$451,$C152,'TL16'!$J$238:$J$451),0),
IF('TL17'!$B$3=Q$3,SUMIF('TL17'!$C$10:$C$224,$C152,'TL17'!$J$10:$J$224),0),
IF('TL17'!$B$229=Q$3,SUMIF('TL17'!$C$238:$C$451,$C152,'TL17'!$J$238:$J$451),0),
IF('TL18'!$B$3=Q$3,SUMIF('TL18'!$C$10:$C$224,$C152,'TL18'!$J$10:$J$224),0),
IF('TL18'!$B$229=Q$3,SUMIF('TL18'!$C$238:$C$451,$C152,'TL18'!$J$238:$J$451),0),
IF('TL19'!$B$3=Q$3,SUMIF('TL19'!$C$10:$C$224,$C152,'TL19'!$J$10:$J$224),0),
IF('TL19'!$B$229=Q$3,SUMIF('TL19'!$C$238:$C$451,$C152,'TL19'!$J$238:$J$451),0)
),0)</f>
        <v>0</v>
      </c>
      <c r="R152" s="9">
        <f>IFERROR(
SUM(
SUMIF('TL01'!C:C,C152,'TL01'!J:J),
SUMIF('TL02'!C:C,C152,'TL02'!J:J),
SUMIF('TL03'!C:C,C152,'TL03'!J:J),
SUMIF('TL04'!C:C,C152,'TL04'!J:J),
SUMIF('TL05'!C:C,C152,'TL05'!J:J),
SUMIF('TL06'!C:C,C152,'TL06'!J:J),
SUMIF('TL07'!C:C,C152,'TL07'!J:J),
SUMIF('TL08'!C:C,C152,'TL08'!J:J),
SUMIF('TL09'!C:C,C152,'TL09'!J:J),
SUMIF('TL10'!C:C,C152,'TL10'!J:J),
SUMIF('TL11'!C:C,C152,'TL11'!J:J),
SUMIF('TL12'!C:C,C152,'TL12'!J:J),
SUMIF('TL13'!C:C,C152,'TL13'!J:J),
SUMIF('TL14'!C:C,C152,'TL14'!J:J),
SUMIF('TL15'!C:C,C152,'TL15'!J:J),
SUMIF('TL16'!C:C,C152,'TL16'!J:J),
SUMIF('TL17'!C:C,C152,'TL17'!J:J),
SUMIF('TL18'!C:C,C152,'TL18'!J:J),SUMIF('TL19'!C:C,C152,'TL19'!J:J))
,0)</f>
        <v>0</v>
      </c>
      <c r="S152" s="17">
        <f>IFERROR(__xludf.DUMMYFUNCTION("IFERROR(VLOOKUP(C152,
IMPORTRANGE(""1wULbzX32WdYsx-lj2U3uUNBBe2INVIRDtcK0d-Dvl90"",
""26-27!C:G""),
5,
FALSE),
"""")"),32.88804)</f>
        <v>32.88804</v>
      </c>
      <c r="T152" s="9"/>
      <c r="U152" s="92">
        <f t="shared" si="2"/>
        <v>0</v>
      </c>
      <c r="V152" s="93">
        <f t="shared" si="3"/>
        <v>0</v>
      </c>
    </row>
    <row r="153" ht="15.75" hidden="1" customHeight="1">
      <c r="A153" s="111" t="s">
        <v>534</v>
      </c>
      <c r="B153" s="112" t="s">
        <v>1</v>
      </c>
      <c r="C153" s="113" t="s">
        <v>710</v>
      </c>
      <c r="D153" s="113" t="s">
        <v>711</v>
      </c>
      <c r="E153" s="113">
        <v>500.0</v>
      </c>
      <c r="F153" s="4" t="s">
        <v>343</v>
      </c>
      <c r="G153" s="90" t="str">
        <f t="shared" si="4"/>
        <v>📄 Ver bula</v>
      </c>
      <c r="H153" s="9" t="str">
        <f>IFERROR(__xludf.DUMMYFUNCTION("IFERROR(VLOOKUP(C153,
IMPORTRANGE(""1wULbzX32WdYsx-lj2U3uUNBBe2INVIRDtcK0d-Dvl90"",
""26-27!C:K""),
8,
FALSE),
"""")"),"")</f>
        <v/>
      </c>
      <c r="I153" s="114" t="s">
        <v>344</v>
      </c>
      <c r="J153" s="9">
        <f>IFERROR(SUM(
IF('TL01'!$B$3=J$3,SUMIF('TL01'!$C$10:$C$224,$C153,'TL01'!$J$10:$J$224),0),
IF('TL01'!$B$229=J$3,SUMIF('TL01'!$C$238:$C$451,$C153,'TL01'!$J$238:$J$451),0),
IF('TL02'!$B$3=J$3,SUMIF('TL02'!$C$10:$C$224,$C153,'TL02'!$J$10:$J$224),0),
IF('TL02'!$B$229=J$3,SUMIF('TL02'!$C$238:$C$451,$C153,'TL02'!$J$238:$J$451),0),
IF('TL03'!$B$3=J$3,SUMIF('TL03'!$C$10:$C$224,$C153,'TL03'!$J$10:$J$224),0),
IF('TL03'!$B$229=J$3,SUMIF('TL03'!$C$238:$C$451,$C153,'TL03'!$J$238:$J$451),0),
IF('TL04'!$B$3=J$3,SUMIF('TL04'!$C$10:$C$224,$C153,'TL04'!$J$10:$J$224),0),
IF('TL04'!$B$229=J$3,SUMIF('TL04'!$C$238:$C$451,$C153,'TL04'!$J$238:$J$451),0),
IF('TL05'!$B$3=J$3,SUMIF('TL05'!$C$10:$C$224,$C153,'TL05'!$J$10:$J$224),0),
IF('TL05'!$B$229=J$3,SUMIF('TL05'!$C$238:$C$451,$C153,'TL05'!$J$238:$J$451),0),
IF('TL06'!$B$3=J$3,SUMIF('TL06'!$C$10:$C$224,$C153,'TL06'!$J$10:$J$224),0),
IF('TL06'!$B$229=J$3,SUMIF('TL06'!$C$238:$C$451,$C153,'TL06'!$J$238:$J$451),0),
IF('TL07'!$B$3=J$3,SUMIF('TL07'!$C$10:$C$224,$C153,'TL07'!$J$10:$J$224),0),
IF('TL07'!$B$229=J$3,SUMIF('TL07'!$C$238:$C$451,$C153,'TL07'!$J$238:$J$451),0),
IF('TL08'!$B$3=J$3,SUMIF('TL08'!$C$10:$C$224,$C153,'TL08'!$J$10:$J$224),0),
IF('TL08'!$B$229=J$3,SUMIF('TL08'!$C$238:$C$451,$C153,'TL08'!$J$238:$J$451),0),
IF('TL09'!$B$3=J$3,SUMIF('TL09'!$C$10:$C$224,$C153,'TL09'!$J$10:$J$224),0),
IF('TL09'!$B$229=J$3,SUMIF('TL09'!$C$238:$C$451,$C153,'TL09'!$J$238:$J$451),0),
IF('TL10'!$B$3=J$3,SUMIF('TL10'!$C$10:$C$224,$C153,'TL10'!$J$10:$J$224),0),
IF('TL10'!$B$229=J$3,SUMIF('TL10'!$C$238:$C$451,$C153,'TL10'!$J$238:$J$451),0),
IF('TL11'!$B$3=J$3,SUMIF('TL11'!$C$10:$C$224,$C153,'TL11'!$J$10:$J$224),0),
IF('TL11'!$B$229=J$3,SUMIF('TL11'!$C$238:$C$451,$C153,'TL11'!$J$238:$J$451),0),
IF('TL12'!$B$3=J$3,SUMIF('TL12'!$C$10:$C$224,$C153,'TL12'!$J$10:$J$224),0),
IF('TL12'!$B$229=J$3,SUMIF('TL12'!$C$238:$C$451,$C153,'TL12'!$J$238:$J$451),0),
IF('TL13'!$B$3=J$3,SUMIF('TL13'!$C$10:$C$224,$C153,'TL13'!$J$10:$J$224),0),
IF('TL13'!$B$229=J$3,SUMIF('TL13'!$C$238:$C$451,$C153,'TL13'!$J$238:$J$451),0),
IF('TL14'!$B$3=J$3,SUMIF('TL14'!$C$10:$C$224,$C153,'TL14'!$J$10:$J$224),0),
IF('TL14'!$B$229=J$3,SUMIF('TL14'!$C$238:$C$451,$C153,'TL14'!$J$238:$J$451),0),
IF('TL15'!$B$3=J$3,SUMIF('TL15'!$C$10:$C$224,$C153,'TL15'!$J$10:$J$224),0),
IF('TL15'!$B$229=J$3,SUMIF('TL15'!$C$238:$C$451,$C153,'TL15'!$J$238:$J$451),0),
IF('TL16'!$B$3=J$3,SUMIF('TL16'!$C$10:$C$224,$C153,'TL16'!$J$10:$J$224),0),
IF('TL16'!$B$229=J$3,SUMIF('TL16'!$C$238:$C$451,$C153,'TL16'!$J$238:$J$451),0),
IF('TL17'!$B$3=J$3,SUMIF('TL17'!$C$10:$C$224,$C153,'TL17'!$J$10:$J$224),0),
IF('TL17'!$B$229=J$3,SUMIF('TL17'!$C$238:$C$451,$C153,'TL17'!$J$238:$J$451),0),
IF('TL18'!$B$3=J$3,SUMIF('TL18'!$C$10:$C$224,$C153,'TL18'!$J$10:$J$224),0),
IF('TL18'!$B$229=J$3,SUMIF('TL18'!$C$238:$C$451,$C153,'TL18'!$J$238:$J$451),0),
IF('TL19'!$B$3=J$3,SUMIF('TL19'!$C$10:$C$224,$C153,'TL19'!$J$10:$J$224),0),
IF('TL19'!$B$229=J$3,SUMIF('TL19'!$C$238:$C$451,$C153,'TL19'!$J$238:$J$451),0)
),0)</f>
        <v>0</v>
      </c>
      <c r="K153" s="9">
        <f>IFERROR(SUM(
IF('TL01'!$B$3=K$3,SUMIF('TL01'!$C$10:$C$224,$C153,'TL01'!$J$10:$J$224),0),
IF('TL01'!$B$229=K$3,SUMIF('TL01'!$C$238:$C$451,$C153,'TL01'!$J$238:$J$451),0),
IF('TL02'!$B$3=K$3,SUMIF('TL02'!$C$10:$C$224,$C153,'TL02'!$J$10:$J$224),0),
IF('TL02'!$B$229=K$3,SUMIF('TL02'!$C$238:$C$451,$C153,'TL02'!$J$238:$J$451),0),
IF('TL03'!$B$3=K$3,SUMIF('TL03'!$C$10:$C$224,$C153,'TL03'!$J$10:$J$224),0),
IF('TL03'!$B$229=K$3,SUMIF('TL03'!$C$238:$C$451,$C153,'TL03'!$J$238:$J$451),0),
IF('TL04'!$B$3=K$3,SUMIF('TL04'!$C$10:$C$224,$C153,'TL04'!$J$10:$J$224),0),
IF('TL04'!$B$229=K$3,SUMIF('TL04'!$C$238:$C$451,$C153,'TL04'!$J$238:$J$451),0),
IF('TL05'!$B$3=K$3,SUMIF('TL05'!$C$10:$C$224,$C153,'TL05'!$J$10:$J$224),0),
IF('TL05'!$B$229=K$3,SUMIF('TL05'!$C$238:$C$451,$C153,'TL05'!$J$238:$J$451),0),
IF('TL06'!$B$3=K$3,SUMIF('TL06'!$C$10:$C$224,$C153,'TL06'!$J$10:$J$224),0),
IF('TL06'!$B$229=K$3,SUMIF('TL06'!$C$238:$C$451,$C153,'TL06'!$J$238:$J$451),0),
IF('TL07'!$B$3=K$3,SUMIF('TL07'!$C$10:$C$224,$C153,'TL07'!$J$10:$J$224),0),
IF('TL07'!$B$229=K$3,SUMIF('TL07'!$C$238:$C$451,$C153,'TL07'!$J$238:$J$451),0),
IF('TL08'!$B$3=K$3,SUMIF('TL08'!$C$10:$C$224,$C153,'TL08'!$J$10:$J$224),0),
IF('TL08'!$B$229=K$3,SUMIF('TL08'!$C$238:$C$451,$C153,'TL08'!$J$238:$J$451),0),
IF('TL09'!$B$3=K$3,SUMIF('TL09'!$C$10:$C$224,$C153,'TL09'!$J$10:$J$224),0),
IF('TL09'!$B$229=K$3,SUMIF('TL09'!$C$238:$C$451,$C153,'TL09'!$J$238:$J$451),0),
IF('TL10'!$B$3=K$3,SUMIF('TL10'!$C$10:$C$224,$C153,'TL10'!$J$10:$J$224),0),
IF('TL10'!$B$229=K$3,SUMIF('TL10'!$C$238:$C$451,$C153,'TL10'!$J$238:$J$451),0),
IF('TL11'!$B$3=K$3,SUMIF('TL11'!$C$10:$C$224,$C153,'TL11'!$J$10:$J$224),0),
IF('TL11'!$B$229=K$3,SUMIF('TL11'!$C$238:$C$451,$C153,'TL11'!$J$238:$J$451),0),
IF('TL12'!$B$3=K$3,SUMIF('TL12'!$C$10:$C$224,$C153,'TL12'!$J$10:$J$224),0),
IF('TL12'!$B$229=K$3,SUMIF('TL12'!$C$238:$C$451,$C153,'TL12'!$J$238:$J$451),0),
IF('TL13'!$B$3=K$3,SUMIF('TL13'!$C$10:$C$224,$C153,'TL13'!$J$10:$J$224),0),
IF('TL13'!$B$229=K$3,SUMIF('TL13'!$C$238:$C$451,$C153,'TL13'!$J$238:$J$451),0),
IF('TL14'!$B$3=K$3,SUMIF('TL14'!$C$10:$C$224,$C153,'TL14'!$J$10:$J$224),0),
IF('TL14'!$B$229=K$3,SUMIF('TL14'!$C$238:$C$451,$C153,'TL14'!$J$238:$J$451),0),
IF('TL15'!$B$3=K$3,SUMIF('TL15'!$C$10:$C$224,$C153,'TL15'!$J$10:$J$224),0),
IF('TL15'!$B$229=K$3,SUMIF('TL15'!$C$238:$C$451,$C153,'TL15'!$J$238:$J$451),0),
IF('TL16'!$B$3=K$3,SUMIF('TL16'!$C$10:$C$224,$C153,'TL16'!$J$10:$J$224),0),
IF('TL16'!$B$229=K$3,SUMIF('TL16'!$C$238:$C$451,$C153,'TL16'!$J$238:$J$451),0),
IF('TL17'!$B$3=K$3,SUMIF('TL17'!$C$10:$C$224,$C153,'TL17'!$J$10:$J$224),0),
IF('TL17'!$B$229=K$3,SUMIF('TL17'!$C$238:$C$451,$C153,'TL17'!$J$238:$J$451),0),
IF('TL18'!$B$3=K$3,SUMIF('TL18'!$C$10:$C$224,$C153,'TL18'!$J$10:$J$224),0),
IF('TL18'!$B$229=K$3,SUMIF('TL18'!$C$238:$C$451,$C153,'TL18'!$J$238:$J$451),0),
IF('TL19'!$B$3=K$3,SUMIF('TL19'!$C$10:$C$224,$C153,'TL19'!$J$10:$J$224),0),
IF('TL19'!$B$229=K$3,SUMIF('TL19'!$C$238:$C$451,$C153,'TL19'!$J$238:$J$451),0)
),0)</f>
        <v>0</v>
      </c>
      <c r="L153" s="9">
        <f>IFERROR(SUM(
IF('TL01'!$B$3=L$3,SUMIF('TL01'!$C$10:$C$224,$C153,'TL01'!$J$10:$J$224),0),
IF('TL01'!$B$229=L$3,SUMIF('TL01'!$C$238:$C$451,$C153,'TL01'!$J$238:$J$451),0),
IF('TL02'!$B$3=L$3,SUMIF('TL02'!$C$10:$C$224,$C153,'TL02'!$J$10:$J$224),0),
IF('TL02'!$B$229=L$3,SUMIF('TL02'!$C$238:$C$451,$C153,'TL02'!$J$238:$J$451),0),
IF('TL03'!$B$3=L$3,SUMIF('TL03'!$C$10:$C$224,$C153,'TL03'!$J$10:$J$224),0),
IF('TL03'!$B$229=L$3,SUMIF('TL03'!$C$238:$C$451,$C153,'TL03'!$J$238:$J$451),0),
IF('TL04'!$B$3=L$3,SUMIF('TL04'!$C$10:$C$224,$C153,'TL04'!$J$10:$J$224),0),
IF('TL04'!$B$229=L$3,SUMIF('TL04'!$C$238:$C$451,$C153,'TL04'!$J$238:$J$451),0),
IF('TL05'!$B$3=L$3,SUMIF('TL05'!$C$10:$C$224,$C153,'TL05'!$J$10:$J$224),0),
IF('TL05'!$B$229=L$3,SUMIF('TL05'!$C$238:$C$451,$C153,'TL05'!$J$238:$J$451),0),
IF('TL06'!$B$3=L$3,SUMIF('TL06'!$C$10:$C$224,$C153,'TL06'!$J$10:$J$224),0),
IF('TL06'!$B$229=L$3,SUMIF('TL06'!$C$238:$C$451,$C153,'TL06'!$J$238:$J$451),0),
IF('TL07'!$B$3=L$3,SUMIF('TL07'!$C$10:$C$224,$C153,'TL07'!$J$10:$J$224),0),
IF('TL07'!$B$229=L$3,SUMIF('TL07'!$C$238:$C$451,$C153,'TL07'!$J$238:$J$451),0),
IF('TL08'!$B$3=L$3,SUMIF('TL08'!$C$10:$C$224,$C153,'TL08'!$J$10:$J$224),0),
IF('TL08'!$B$229=L$3,SUMIF('TL08'!$C$238:$C$451,$C153,'TL08'!$J$238:$J$451),0),
IF('TL09'!$B$3=L$3,SUMIF('TL09'!$C$10:$C$224,$C153,'TL09'!$J$10:$J$224),0),
IF('TL09'!$B$229=L$3,SUMIF('TL09'!$C$238:$C$451,$C153,'TL09'!$J$238:$J$451),0),
IF('TL10'!$B$3=L$3,SUMIF('TL10'!$C$10:$C$224,$C153,'TL10'!$J$10:$J$224),0),
IF('TL10'!$B$229=L$3,SUMIF('TL10'!$C$238:$C$451,$C153,'TL10'!$J$238:$J$451),0),
IF('TL11'!$B$3=L$3,SUMIF('TL11'!$C$10:$C$224,$C153,'TL11'!$J$10:$J$224),0),
IF('TL11'!$B$229=L$3,SUMIF('TL11'!$C$238:$C$451,$C153,'TL11'!$J$238:$J$451),0),
IF('TL12'!$B$3=L$3,SUMIF('TL12'!$C$10:$C$224,$C153,'TL12'!$J$10:$J$224),0),
IF('TL12'!$B$229=L$3,SUMIF('TL12'!$C$238:$C$451,$C153,'TL12'!$J$238:$J$451),0),
IF('TL13'!$B$3=L$3,SUMIF('TL13'!$C$10:$C$224,$C153,'TL13'!$J$10:$J$224),0),
IF('TL13'!$B$229=L$3,SUMIF('TL13'!$C$238:$C$451,$C153,'TL13'!$J$238:$J$451),0),
IF('TL14'!$B$3=L$3,SUMIF('TL14'!$C$10:$C$224,$C153,'TL14'!$J$10:$J$224),0),
IF('TL14'!$B$229=L$3,SUMIF('TL14'!$C$238:$C$451,$C153,'TL14'!$J$238:$J$451),0),
IF('TL15'!$B$3=L$3,SUMIF('TL15'!$C$10:$C$224,$C153,'TL15'!$J$10:$J$224),0),
IF('TL15'!$B$229=L$3,SUMIF('TL15'!$C$238:$C$451,$C153,'TL15'!$J$238:$J$451),0),
IF('TL16'!$B$3=L$3,SUMIF('TL16'!$C$10:$C$224,$C153,'TL16'!$J$10:$J$224),0),
IF('TL16'!$B$229=L$3,SUMIF('TL16'!$C$238:$C$451,$C153,'TL16'!$J$238:$J$451),0),
IF('TL17'!$B$3=L$3,SUMIF('TL17'!$C$10:$C$224,$C153,'TL17'!$J$10:$J$224),0),
IF('TL17'!$B$229=L$3,SUMIF('TL17'!$C$238:$C$451,$C153,'TL17'!$J$238:$J$451),0),
IF('TL18'!$B$3=L$3,SUMIF('TL18'!$C$10:$C$224,$C153,'TL18'!$J$10:$J$224),0),
IF('TL18'!$B$229=L$3,SUMIF('TL18'!$C$238:$C$451,$C153,'TL18'!$J$238:$J$451),0),
IF('TL19'!$B$3=L$3,SUMIF('TL19'!$C$10:$C$224,$C153,'TL19'!$J$10:$J$224),0),
IF('TL19'!$B$229=L$3,SUMIF('TL19'!$C$238:$C$451,$C153,'TL19'!$J$238:$J$451),0)
),0)</f>
        <v>0</v>
      </c>
      <c r="M153" s="9">
        <f>IFERROR(SUM(
IF('TL01'!$B$3=M$3,SUMIF('TL01'!$C$10:$C$224,$C153,'TL01'!$J$10:$J$224),0),
IF('TL01'!$B$229=M$3,SUMIF('TL01'!$C$238:$C$451,$C153,'TL01'!$J$238:$J$451),0),
IF('TL02'!$B$3=M$3,SUMIF('TL02'!$C$10:$C$224,$C153,'TL02'!$J$10:$J$224),0),
IF('TL02'!$B$229=M$3,SUMIF('TL02'!$C$238:$C$451,$C153,'TL02'!$J$238:$J$451),0),
IF('TL03'!$B$3=M$3,SUMIF('TL03'!$C$10:$C$224,$C153,'TL03'!$J$10:$J$224),0),
IF('TL03'!$B$229=M$3,SUMIF('TL03'!$C$238:$C$451,$C153,'TL03'!$J$238:$J$451),0),
IF('TL04'!$B$3=M$3,SUMIF('TL04'!$C$10:$C$224,$C153,'TL04'!$J$10:$J$224),0),
IF('TL04'!$B$229=M$3,SUMIF('TL04'!$C$238:$C$451,$C153,'TL04'!$J$238:$J$451),0),
IF('TL05'!$B$3=M$3,SUMIF('TL05'!$C$10:$C$224,$C153,'TL05'!$J$10:$J$224),0),
IF('TL05'!$B$229=M$3,SUMIF('TL05'!$C$238:$C$451,$C153,'TL05'!$J$238:$J$451),0),
IF('TL06'!$B$3=M$3,SUMIF('TL06'!$C$10:$C$224,$C153,'TL06'!$J$10:$J$224),0),
IF('TL06'!$B$229=M$3,SUMIF('TL06'!$C$238:$C$451,$C153,'TL06'!$J$238:$J$451),0),
IF('TL07'!$B$3=M$3,SUMIF('TL07'!$C$10:$C$224,$C153,'TL07'!$J$10:$J$224),0),
IF('TL07'!$B$229=M$3,SUMIF('TL07'!$C$238:$C$451,$C153,'TL07'!$J$238:$J$451),0),
IF('TL08'!$B$3=M$3,SUMIF('TL08'!$C$10:$C$224,$C153,'TL08'!$J$10:$J$224),0),
IF('TL08'!$B$229=M$3,SUMIF('TL08'!$C$238:$C$451,$C153,'TL08'!$J$238:$J$451),0),
IF('TL09'!$B$3=M$3,SUMIF('TL09'!$C$10:$C$224,$C153,'TL09'!$J$10:$J$224),0),
IF('TL09'!$B$229=M$3,SUMIF('TL09'!$C$238:$C$451,$C153,'TL09'!$J$238:$J$451),0),
IF('TL10'!$B$3=M$3,SUMIF('TL10'!$C$10:$C$224,$C153,'TL10'!$J$10:$J$224),0),
IF('TL10'!$B$229=M$3,SUMIF('TL10'!$C$238:$C$451,$C153,'TL10'!$J$238:$J$451),0),
IF('TL11'!$B$3=M$3,SUMIF('TL11'!$C$10:$C$224,$C153,'TL11'!$J$10:$J$224),0),
IF('TL11'!$B$229=M$3,SUMIF('TL11'!$C$238:$C$451,$C153,'TL11'!$J$238:$J$451),0),
IF('TL12'!$B$3=M$3,SUMIF('TL12'!$C$10:$C$224,$C153,'TL12'!$J$10:$J$224),0),
IF('TL12'!$B$229=M$3,SUMIF('TL12'!$C$238:$C$451,$C153,'TL12'!$J$238:$J$451),0),
IF('TL13'!$B$3=M$3,SUMIF('TL13'!$C$10:$C$224,$C153,'TL13'!$J$10:$J$224),0),
IF('TL13'!$B$229=M$3,SUMIF('TL13'!$C$238:$C$451,$C153,'TL13'!$J$238:$J$451),0),
IF('TL14'!$B$3=M$3,SUMIF('TL14'!$C$10:$C$224,$C153,'TL14'!$J$10:$J$224),0),
IF('TL14'!$B$229=M$3,SUMIF('TL14'!$C$238:$C$451,$C153,'TL14'!$J$238:$J$451),0),
IF('TL15'!$B$3=M$3,SUMIF('TL15'!$C$10:$C$224,$C153,'TL15'!$J$10:$J$224),0),
IF('TL15'!$B$229=M$3,SUMIF('TL15'!$C$238:$C$451,$C153,'TL15'!$J$238:$J$451),0),
IF('TL16'!$B$3=M$3,SUMIF('TL16'!$C$10:$C$224,$C153,'TL16'!$J$10:$J$224),0),
IF('TL16'!$B$229=M$3,SUMIF('TL16'!$C$238:$C$451,$C153,'TL16'!$J$238:$J$451),0),
IF('TL17'!$B$3=M$3,SUMIF('TL17'!$C$10:$C$224,$C153,'TL17'!$J$10:$J$224),0),
IF('TL17'!$B$229=M$3,SUMIF('TL17'!$C$238:$C$451,$C153,'TL17'!$J$238:$J$451),0),
IF('TL18'!$B$3=M$3,SUMIF('TL18'!$C$10:$C$224,$C153,'TL18'!$J$10:$J$224),0),
IF('TL18'!$B$229=M$3,SUMIF('TL18'!$C$238:$C$451,$C153,'TL18'!$J$238:$J$451),0),
IF('TL19'!$B$3=M$3,SUMIF('TL19'!$C$10:$C$224,$C153,'TL19'!$J$10:$J$224),0),
IF('TL19'!$B$229=M$3,SUMIF('TL19'!$C$238:$C$451,$C153,'TL19'!$J$238:$J$451),0)
),0)</f>
        <v>0</v>
      </c>
      <c r="N153" s="9">
        <f>IFERROR(SUM(
IF('TL01'!$B$3=N$3,SUMIF('TL01'!$C$10:$C$224,$C153,'TL01'!$J$10:$J$224),0),
IF('TL01'!$B$229=N$3,SUMIF('TL01'!$C$238:$C$451,$C153,'TL01'!$J$238:$J$451),0),
IF('TL02'!$B$3=N$3,SUMIF('TL02'!$C$10:$C$224,$C153,'TL02'!$J$10:$J$224),0),
IF('TL02'!$B$229=N$3,SUMIF('TL02'!$C$238:$C$451,$C153,'TL02'!$J$238:$J$451),0),
IF('TL03'!$B$3=N$3,SUMIF('TL03'!$C$10:$C$224,$C153,'TL03'!$J$10:$J$224),0),
IF('TL03'!$B$229=N$3,SUMIF('TL03'!$C$238:$C$451,$C153,'TL03'!$J$238:$J$451),0),
IF('TL04'!$B$3=N$3,SUMIF('TL04'!$C$10:$C$224,$C153,'TL04'!$J$10:$J$224),0),
IF('TL04'!$B$229=N$3,SUMIF('TL04'!$C$238:$C$451,$C153,'TL04'!$J$238:$J$451),0),
IF('TL05'!$B$3=N$3,SUMIF('TL05'!$C$10:$C$224,$C153,'TL05'!$J$10:$J$224),0),
IF('TL05'!$B$229=N$3,SUMIF('TL05'!$C$238:$C$451,$C153,'TL05'!$J$238:$J$451),0),
IF('TL06'!$B$3=N$3,SUMIF('TL06'!$C$10:$C$224,$C153,'TL06'!$J$10:$J$224),0),
IF('TL06'!$B$229=N$3,SUMIF('TL06'!$C$238:$C$451,$C153,'TL06'!$J$238:$J$451),0),
IF('TL07'!$B$3=N$3,SUMIF('TL07'!$C$10:$C$224,$C153,'TL07'!$J$10:$J$224),0),
IF('TL07'!$B$229=N$3,SUMIF('TL07'!$C$238:$C$451,$C153,'TL07'!$J$238:$J$451),0),
IF('TL08'!$B$3=N$3,SUMIF('TL08'!$C$10:$C$224,$C153,'TL08'!$J$10:$J$224),0),
IF('TL08'!$B$229=N$3,SUMIF('TL08'!$C$238:$C$451,$C153,'TL08'!$J$238:$J$451),0),
IF('TL09'!$B$3=N$3,SUMIF('TL09'!$C$10:$C$224,$C153,'TL09'!$J$10:$J$224),0),
IF('TL09'!$B$229=N$3,SUMIF('TL09'!$C$238:$C$451,$C153,'TL09'!$J$238:$J$451),0),
IF('TL10'!$B$3=N$3,SUMIF('TL10'!$C$10:$C$224,$C153,'TL10'!$J$10:$J$224),0),
IF('TL10'!$B$229=N$3,SUMIF('TL10'!$C$238:$C$451,$C153,'TL10'!$J$238:$J$451),0),
IF('TL11'!$B$3=N$3,SUMIF('TL11'!$C$10:$C$224,$C153,'TL11'!$J$10:$J$224),0),
IF('TL11'!$B$229=N$3,SUMIF('TL11'!$C$238:$C$451,$C153,'TL11'!$J$238:$J$451),0),
IF('TL12'!$B$3=N$3,SUMIF('TL12'!$C$10:$C$224,$C153,'TL12'!$J$10:$J$224),0),
IF('TL12'!$B$229=N$3,SUMIF('TL12'!$C$238:$C$451,$C153,'TL12'!$J$238:$J$451),0),
IF('TL13'!$B$3=N$3,SUMIF('TL13'!$C$10:$C$224,$C153,'TL13'!$J$10:$J$224),0),
IF('TL13'!$B$229=N$3,SUMIF('TL13'!$C$238:$C$451,$C153,'TL13'!$J$238:$J$451),0),
IF('TL14'!$B$3=N$3,SUMIF('TL14'!$C$10:$C$224,$C153,'TL14'!$J$10:$J$224),0),
IF('TL14'!$B$229=N$3,SUMIF('TL14'!$C$238:$C$451,$C153,'TL14'!$J$238:$J$451),0),
IF('TL15'!$B$3=N$3,SUMIF('TL15'!$C$10:$C$224,$C153,'TL15'!$J$10:$J$224),0),
IF('TL15'!$B$229=N$3,SUMIF('TL15'!$C$238:$C$451,$C153,'TL15'!$J$238:$J$451),0),
IF('TL16'!$B$3=N$3,SUMIF('TL16'!$C$10:$C$224,$C153,'TL16'!$J$10:$J$224),0),
IF('TL16'!$B$229=N$3,SUMIF('TL16'!$C$238:$C$451,$C153,'TL16'!$J$238:$J$451),0),
IF('TL17'!$B$3=N$3,SUMIF('TL17'!$C$10:$C$224,$C153,'TL17'!$J$10:$J$224),0),
IF('TL17'!$B$229=N$3,SUMIF('TL17'!$C$238:$C$451,$C153,'TL17'!$J$238:$J$451),0),
IF('TL18'!$B$3=N$3,SUMIF('TL18'!$C$10:$C$224,$C153,'TL18'!$J$10:$J$224),0),
IF('TL18'!$B$229=N$3,SUMIF('TL18'!$C$238:$C$451,$C153,'TL18'!$J$238:$J$451),0),
IF('TL19'!$B$3=N$3,SUMIF('TL19'!$C$10:$C$224,$C153,'TL19'!$J$10:$J$224),0),
IF('TL19'!$B$229=N$3,SUMIF('TL19'!$C$238:$C$451,$C153,'TL19'!$J$238:$J$451),0)
),0)</f>
        <v>0</v>
      </c>
      <c r="O153" s="9">
        <f>IFERROR(SUM(
IF('TL01'!$B$3=O$3,SUMIF('TL01'!$C$10:$C$224,$C153,'TL01'!$J$10:$J$224),0),
IF('TL01'!$B$229=O$3,SUMIF('TL01'!$C$238:$C$451,$C153,'TL01'!$J$238:$J$451),0),
IF('TL02'!$B$3=O$3,SUMIF('TL02'!$C$10:$C$224,$C153,'TL02'!$J$10:$J$224),0),
IF('TL02'!$B$229=O$3,SUMIF('TL02'!$C$238:$C$451,$C153,'TL02'!$J$238:$J$451),0),
IF('TL03'!$B$3=O$3,SUMIF('TL03'!$C$10:$C$224,$C153,'TL03'!$J$10:$J$224),0),
IF('TL03'!$B$229=O$3,SUMIF('TL03'!$C$238:$C$451,$C153,'TL03'!$J$238:$J$451),0),
IF('TL04'!$B$3=O$3,SUMIF('TL04'!$C$10:$C$224,$C153,'TL04'!$J$10:$J$224),0),
IF('TL04'!$B$229=O$3,SUMIF('TL04'!$C$238:$C$451,$C153,'TL04'!$J$238:$J$451),0),
IF('TL05'!$B$3=O$3,SUMIF('TL05'!$C$10:$C$224,$C153,'TL05'!$J$10:$J$224),0),
IF('TL05'!$B$229=O$3,SUMIF('TL05'!$C$238:$C$451,$C153,'TL05'!$J$238:$J$451),0),
IF('TL06'!$B$3=O$3,SUMIF('TL06'!$C$10:$C$224,$C153,'TL06'!$J$10:$J$224),0),
IF('TL06'!$B$229=O$3,SUMIF('TL06'!$C$238:$C$451,$C153,'TL06'!$J$238:$J$451),0),
IF('TL07'!$B$3=O$3,SUMIF('TL07'!$C$10:$C$224,$C153,'TL07'!$J$10:$J$224),0),
IF('TL07'!$B$229=O$3,SUMIF('TL07'!$C$238:$C$451,$C153,'TL07'!$J$238:$J$451),0),
IF('TL08'!$B$3=O$3,SUMIF('TL08'!$C$10:$C$224,$C153,'TL08'!$J$10:$J$224),0),
IF('TL08'!$B$229=O$3,SUMIF('TL08'!$C$238:$C$451,$C153,'TL08'!$J$238:$J$451),0),
IF('TL09'!$B$3=O$3,SUMIF('TL09'!$C$10:$C$224,$C153,'TL09'!$J$10:$J$224),0),
IF('TL09'!$B$229=O$3,SUMIF('TL09'!$C$238:$C$451,$C153,'TL09'!$J$238:$J$451),0),
IF('TL10'!$B$3=O$3,SUMIF('TL10'!$C$10:$C$224,$C153,'TL10'!$J$10:$J$224),0),
IF('TL10'!$B$229=O$3,SUMIF('TL10'!$C$238:$C$451,$C153,'TL10'!$J$238:$J$451),0),
IF('TL11'!$B$3=O$3,SUMIF('TL11'!$C$10:$C$224,$C153,'TL11'!$J$10:$J$224),0),
IF('TL11'!$B$229=O$3,SUMIF('TL11'!$C$238:$C$451,$C153,'TL11'!$J$238:$J$451),0),
IF('TL12'!$B$3=O$3,SUMIF('TL12'!$C$10:$C$224,$C153,'TL12'!$J$10:$J$224),0),
IF('TL12'!$B$229=O$3,SUMIF('TL12'!$C$238:$C$451,$C153,'TL12'!$J$238:$J$451),0),
IF('TL13'!$B$3=O$3,SUMIF('TL13'!$C$10:$C$224,$C153,'TL13'!$J$10:$J$224),0),
IF('TL13'!$B$229=O$3,SUMIF('TL13'!$C$238:$C$451,$C153,'TL13'!$J$238:$J$451),0),
IF('TL14'!$B$3=O$3,SUMIF('TL14'!$C$10:$C$224,$C153,'TL14'!$J$10:$J$224),0),
IF('TL14'!$B$229=O$3,SUMIF('TL14'!$C$238:$C$451,$C153,'TL14'!$J$238:$J$451),0),
IF('TL15'!$B$3=O$3,SUMIF('TL15'!$C$10:$C$224,$C153,'TL15'!$J$10:$J$224),0),
IF('TL15'!$B$229=O$3,SUMIF('TL15'!$C$238:$C$451,$C153,'TL15'!$J$238:$J$451),0),
IF('TL16'!$B$3=O$3,SUMIF('TL16'!$C$10:$C$224,$C153,'TL16'!$J$10:$J$224),0),
IF('TL16'!$B$229=O$3,SUMIF('TL16'!$C$238:$C$451,$C153,'TL16'!$J$238:$J$451),0),
IF('TL17'!$B$3=O$3,SUMIF('TL17'!$C$10:$C$224,$C153,'TL17'!$J$10:$J$224),0),
IF('TL17'!$B$229=O$3,SUMIF('TL17'!$C$238:$C$451,$C153,'TL17'!$J$238:$J$451),0),
IF('TL18'!$B$3=O$3,SUMIF('TL18'!$C$10:$C$224,$C153,'TL18'!$J$10:$J$224),0),
IF('TL18'!$B$229=O$3,SUMIF('TL18'!$C$238:$C$451,$C153,'TL18'!$J$238:$J$451),0),
IF('TL19'!$B$3=O$3,SUMIF('TL19'!$C$10:$C$224,$C153,'TL19'!$J$10:$J$224),0),
IF('TL19'!$B$229=O$3,SUMIF('TL19'!$C$238:$C$451,$C153,'TL19'!$J$238:$J$451),0)
),0)</f>
        <v>0</v>
      </c>
      <c r="P153" s="9">
        <f>IFERROR(SUM(
IF('TL01'!$B$3=P$3,SUMIF('TL01'!$C$10:$C$224,$C153,'TL01'!$J$10:$J$224),0),
IF('TL01'!$B$229=P$3,SUMIF('TL01'!$C$238:$C$451,$C153,'TL01'!$J$238:$J$451),0),
IF('TL02'!$B$3=P$3,SUMIF('TL02'!$C$10:$C$224,$C153,'TL02'!$J$10:$J$224),0),
IF('TL02'!$B$229=P$3,SUMIF('TL02'!$C$238:$C$451,$C153,'TL02'!$J$238:$J$451),0),
IF('TL03'!$B$3=P$3,SUMIF('TL03'!$C$10:$C$224,$C153,'TL03'!$J$10:$J$224),0),
IF('TL03'!$B$229=P$3,SUMIF('TL03'!$C$238:$C$451,$C153,'TL03'!$J$238:$J$451),0),
IF('TL04'!$B$3=P$3,SUMIF('TL04'!$C$10:$C$224,$C153,'TL04'!$J$10:$J$224),0),
IF('TL04'!$B$229=P$3,SUMIF('TL04'!$C$238:$C$451,$C153,'TL04'!$J$238:$J$451),0),
IF('TL05'!$B$3=P$3,SUMIF('TL05'!$C$10:$C$224,$C153,'TL05'!$J$10:$J$224),0),
IF('TL05'!$B$229=P$3,SUMIF('TL05'!$C$238:$C$451,$C153,'TL05'!$J$238:$J$451),0),
IF('TL06'!$B$3=P$3,SUMIF('TL06'!$C$10:$C$224,$C153,'TL06'!$J$10:$J$224),0),
IF('TL06'!$B$229=P$3,SUMIF('TL06'!$C$238:$C$451,$C153,'TL06'!$J$238:$J$451),0),
IF('TL07'!$B$3=P$3,SUMIF('TL07'!$C$10:$C$224,$C153,'TL07'!$J$10:$J$224),0),
IF('TL07'!$B$229=P$3,SUMIF('TL07'!$C$238:$C$451,$C153,'TL07'!$J$238:$J$451),0),
IF('TL08'!$B$3=P$3,SUMIF('TL08'!$C$10:$C$224,$C153,'TL08'!$J$10:$J$224),0),
IF('TL08'!$B$229=P$3,SUMIF('TL08'!$C$238:$C$451,$C153,'TL08'!$J$238:$J$451),0),
IF('TL09'!$B$3=P$3,SUMIF('TL09'!$C$10:$C$224,$C153,'TL09'!$J$10:$J$224),0),
IF('TL09'!$B$229=P$3,SUMIF('TL09'!$C$238:$C$451,$C153,'TL09'!$J$238:$J$451),0),
IF('TL10'!$B$3=P$3,SUMIF('TL10'!$C$10:$C$224,$C153,'TL10'!$J$10:$J$224),0),
IF('TL10'!$B$229=P$3,SUMIF('TL10'!$C$238:$C$451,$C153,'TL10'!$J$238:$J$451),0),
IF('TL11'!$B$3=P$3,SUMIF('TL11'!$C$10:$C$224,$C153,'TL11'!$J$10:$J$224),0),
IF('TL11'!$B$229=P$3,SUMIF('TL11'!$C$238:$C$451,$C153,'TL11'!$J$238:$J$451),0),
IF('TL12'!$B$3=P$3,SUMIF('TL12'!$C$10:$C$224,$C153,'TL12'!$J$10:$J$224),0),
IF('TL12'!$B$229=P$3,SUMIF('TL12'!$C$238:$C$451,$C153,'TL12'!$J$238:$J$451),0),
IF('TL13'!$B$3=P$3,SUMIF('TL13'!$C$10:$C$224,$C153,'TL13'!$J$10:$J$224),0),
IF('TL13'!$B$229=P$3,SUMIF('TL13'!$C$238:$C$451,$C153,'TL13'!$J$238:$J$451),0),
IF('TL14'!$B$3=P$3,SUMIF('TL14'!$C$10:$C$224,$C153,'TL14'!$J$10:$J$224),0),
IF('TL14'!$B$229=P$3,SUMIF('TL14'!$C$238:$C$451,$C153,'TL14'!$J$238:$J$451),0),
IF('TL15'!$B$3=P$3,SUMIF('TL15'!$C$10:$C$224,$C153,'TL15'!$J$10:$J$224),0),
IF('TL15'!$B$229=P$3,SUMIF('TL15'!$C$238:$C$451,$C153,'TL15'!$J$238:$J$451),0),
IF('TL16'!$B$3=P$3,SUMIF('TL16'!$C$10:$C$224,$C153,'TL16'!$J$10:$J$224),0),
IF('TL16'!$B$229=P$3,SUMIF('TL16'!$C$238:$C$451,$C153,'TL16'!$J$238:$J$451),0),
IF('TL17'!$B$3=P$3,SUMIF('TL17'!$C$10:$C$224,$C153,'TL17'!$J$10:$J$224),0),
IF('TL17'!$B$229=P$3,SUMIF('TL17'!$C$238:$C$451,$C153,'TL17'!$J$238:$J$451),0),
IF('TL18'!$B$3=P$3,SUMIF('TL18'!$C$10:$C$224,$C153,'TL18'!$J$10:$J$224),0),
IF('TL18'!$B$229=P$3,SUMIF('TL18'!$C$238:$C$451,$C153,'TL18'!$J$238:$J$451),0),
IF('TL19'!$B$3=P$3,SUMIF('TL19'!$C$10:$C$224,$C153,'TL19'!$J$10:$J$224),0),
IF('TL19'!$B$229=P$3,SUMIF('TL19'!$C$238:$C$451,$C153,'TL19'!$J$238:$J$451),0)
),0)</f>
        <v>0</v>
      </c>
      <c r="Q153" s="9">
        <f>IFERROR(SUM(
IF('TL01'!$B$3=Q$3,SUMIF('TL01'!$C$10:$C$224,$C153,'TL01'!$J$10:$J$224),0),
IF('TL01'!$B$229=Q$3,SUMIF('TL01'!$C$238:$C$451,$C153,'TL01'!$J$238:$J$451),0),
IF('TL02'!$B$3=Q$3,SUMIF('TL02'!$C$10:$C$224,$C153,'TL02'!$J$10:$J$224),0),
IF('TL02'!$B$229=Q$3,SUMIF('TL02'!$C$238:$C$451,$C153,'TL02'!$J$238:$J$451),0),
IF('TL03'!$B$3=Q$3,SUMIF('TL03'!$C$10:$C$224,$C153,'TL03'!$J$10:$J$224),0),
IF('TL03'!$B$229=Q$3,SUMIF('TL03'!$C$238:$C$451,$C153,'TL03'!$J$238:$J$451),0),
IF('TL04'!$B$3=Q$3,SUMIF('TL04'!$C$10:$C$224,$C153,'TL04'!$J$10:$J$224),0),
IF('TL04'!$B$229=Q$3,SUMIF('TL04'!$C$238:$C$451,$C153,'TL04'!$J$238:$J$451),0),
IF('TL05'!$B$3=Q$3,SUMIF('TL05'!$C$10:$C$224,$C153,'TL05'!$J$10:$J$224),0),
IF('TL05'!$B$229=Q$3,SUMIF('TL05'!$C$238:$C$451,$C153,'TL05'!$J$238:$J$451),0),
IF('TL06'!$B$3=Q$3,SUMIF('TL06'!$C$10:$C$224,$C153,'TL06'!$J$10:$J$224),0),
IF('TL06'!$B$229=Q$3,SUMIF('TL06'!$C$238:$C$451,$C153,'TL06'!$J$238:$J$451),0),
IF('TL07'!$B$3=Q$3,SUMIF('TL07'!$C$10:$C$224,$C153,'TL07'!$J$10:$J$224),0),
IF('TL07'!$B$229=Q$3,SUMIF('TL07'!$C$238:$C$451,$C153,'TL07'!$J$238:$J$451),0),
IF('TL08'!$B$3=Q$3,SUMIF('TL08'!$C$10:$C$224,$C153,'TL08'!$J$10:$J$224),0),
IF('TL08'!$B$229=Q$3,SUMIF('TL08'!$C$238:$C$451,$C153,'TL08'!$J$238:$J$451),0),
IF('TL09'!$B$3=Q$3,SUMIF('TL09'!$C$10:$C$224,$C153,'TL09'!$J$10:$J$224),0),
IF('TL09'!$B$229=Q$3,SUMIF('TL09'!$C$238:$C$451,$C153,'TL09'!$J$238:$J$451),0),
IF('TL10'!$B$3=Q$3,SUMIF('TL10'!$C$10:$C$224,$C153,'TL10'!$J$10:$J$224),0),
IF('TL10'!$B$229=Q$3,SUMIF('TL10'!$C$238:$C$451,$C153,'TL10'!$J$238:$J$451),0),
IF('TL11'!$B$3=Q$3,SUMIF('TL11'!$C$10:$C$224,$C153,'TL11'!$J$10:$J$224),0),
IF('TL11'!$B$229=Q$3,SUMIF('TL11'!$C$238:$C$451,$C153,'TL11'!$J$238:$J$451),0),
IF('TL12'!$B$3=Q$3,SUMIF('TL12'!$C$10:$C$224,$C153,'TL12'!$J$10:$J$224),0),
IF('TL12'!$B$229=Q$3,SUMIF('TL12'!$C$238:$C$451,$C153,'TL12'!$J$238:$J$451),0),
IF('TL13'!$B$3=Q$3,SUMIF('TL13'!$C$10:$C$224,$C153,'TL13'!$J$10:$J$224),0),
IF('TL13'!$B$229=Q$3,SUMIF('TL13'!$C$238:$C$451,$C153,'TL13'!$J$238:$J$451),0),
IF('TL14'!$B$3=Q$3,SUMIF('TL14'!$C$10:$C$224,$C153,'TL14'!$J$10:$J$224),0),
IF('TL14'!$B$229=Q$3,SUMIF('TL14'!$C$238:$C$451,$C153,'TL14'!$J$238:$J$451),0),
IF('TL15'!$B$3=Q$3,SUMIF('TL15'!$C$10:$C$224,$C153,'TL15'!$J$10:$J$224),0),
IF('TL15'!$B$229=Q$3,SUMIF('TL15'!$C$238:$C$451,$C153,'TL15'!$J$238:$J$451),0),
IF('TL16'!$B$3=Q$3,SUMIF('TL16'!$C$10:$C$224,$C153,'TL16'!$J$10:$J$224),0),
IF('TL16'!$B$229=Q$3,SUMIF('TL16'!$C$238:$C$451,$C153,'TL16'!$J$238:$J$451),0),
IF('TL17'!$B$3=Q$3,SUMIF('TL17'!$C$10:$C$224,$C153,'TL17'!$J$10:$J$224),0),
IF('TL17'!$B$229=Q$3,SUMIF('TL17'!$C$238:$C$451,$C153,'TL17'!$J$238:$J$451),0),
IF('TL18'!$B$3=Q$3,SUMIF('TL18'!$C$10:$C$224,$C153,'TL18'!$J$10:$J$224),0),
IF('TL18'!$B$229=Q$3,SUMIF('TL18'!$C$238:$C$451,$C153,'TL18'!$J$238:$J$451),0),
IF('TL19'!$B$3=Q$3,SUMIF('TL19'!$C$10:$C$224,$C153,'TL19'!$J$10:$J$224),0),
IF('TL19'!$B$229=Q$3,SUMIF('TL19'!$C$238:$C$451,$C153,'TL19'!$J$238:$J$451),0)
),0)</f>
        <v>0</v>
      </c>
      <c r="R153" s="9">
        <f>IFERROR(
SUM(
SUMIF('TL01'!C:C,C153,'TL01'!J:J),
SUMIF('TL02'!C:C,C153,'TL02'!J:J),
SUMIF('TL03'!C:C,C153,'TL03'!J:J),
SUMIF('TL04'!C:C,C153,'TL04'!J:J),
SUMIF('TL05'!C:C,C153,'TL05'!J:J),
SUMIF('TL06'!C:C,C153,'TL06'!J:J),
SUMIF('TL07'!C:C,C153,'TL07'!J:J),
SUMIF('TL08'!C:C,C153,'TL08'!J:J),
SUMIF('TL09'!C:C,C153,'TL09'!J:J),
SUMIF('TL10'!C:C,C153,'TL10'!J:J),
SUMIF('TL11'!C:C,C153,'TL11'!J:J),
SUMIF('TL12'!C:C,C153,'TL12'!J:J),
SUMIF('TL13'!C:C,C153,'TL13'!J:J),
SUMIF('TL14'!C:C,C153,'TL14'!J:J),
SUMIF('TL15'!C:C,C153,'TL15'!J:J),
SUMIF('TL16'!C:C,C153,'TL16'!J:J),
SUMIF('TL17'!C:C,C153,'TL17'!J:J),
SUMIF('TL18'!C:C,C153,'TL18'!J:J),SUMIF('TL19'!C:C,C153,'TL19'!J:J))
,0)</f>
        <v>0</v>
      </c>
      <c r="S153" s="17">
        <f>IFERROR(__xludf.DUMMYFUNCTION("IFERROR(VLOOKUP(C153,
IMPORTRANGE(""1wULbzX32WdYsx-lj2U3uUNBBe2INVIRDtcK0d-Dvl90"",
""26-27!C:G""),
5,
FALSE),
"""")"),22.44154)</f>
        <v>22.44154</v>
      </c>
      <c r="T153" s="9"/>
      <c r="U153" s="92">
        <f t="shared" si="2"/>
        <v>0</v>
      </c>
      <c r="V153" s="93">
        <f t="shared" si="3"/>
        <v>0</v>
      </c>
    </row>
    <row r="154" ht="15.75" hidden="1" customHeight="1">
      <c r="A154" s="115" t="s">
        <v>534</v>
      </c>
      <c r="B154" s="100" t="s">
        <v>1</v>
      </c>
      <c r="C154" s="116" t="s">
        <v>712</v>
      </c>
      <c r="D154" s="116" t="s">
        <v>713</v>
      </c>
      <c r="E154" s="116">
        <v>790.0</v>
      </c>
      <c r="F154" s="4" t="s">
        <v>343</v>
      </c>
      <c r="G154" s="90" t="str">
        <f t="shared" si="4"/>
        <v>📄 Ver bula</v>
      </c>
      <c r="H154" s="9" t="str">
        <f>IFERROR(__xludf.DUMMYFUNCTION("IFERROR(VLOOKUP(C154,
IMPORTRANGE(""1wULbzX32WdYsx-lj2U3uUNBBe2INVIRDtcK0d-Dvl90"",
""26-27!C:K""),
8,
FALSE),
"""")"),"")</f>
        <v/>
      </c>
      <c r="I154" s="117" t="s">
        <v>344</v>
      </c>
      <c r="J154" s="9">
        <f>IFERROR(SUM(
IF('TL01'!$B$3=J$3,SUMIF('TL01'!$C$10:$C$224,$C154,'TL01'!$J$10:$J$224),0),
IF('TL01'!$B$229=J$3,SUMIF('TL01'!$C$238:$C$451,$C154,'TL01'!$J$238:$J$451),0),
IF('TL02'!$B$3=J$3,SUMIF('TL02'!$C$10:$C$224,$C154,'TL02'!$J$10:$J$224),0),
IF('TL02'!$B$229=J$3,SUMIF('TL02'!$C$238:$C$451,$C154,'TL02'!$J$238:$J$451),0),
IF('TL03'!$B$3=J$3,SUMIF('TL03'!$C$10:$C$224,$C154,'TL03'!$J$10:$J$224),0),
IF('TL03'!$B$229=J$3,SUMIF('TL03'!$C$238:$C$451,$C154,'TL03'!$J$238:$J$451),0),
IF('TL04'!$B$3=J$3,SUMIF('TL04'!$C$10:$C$224,$C154,'TL04'!$J$10:$J$224),0),
IF('TL04'!$B$229=J$3,SUMIF('TL04'!$C$238:$C$451,$C154,'TL04'!$J$238:$J$451),0),
IF('TL05'!$B$3=J$3,SUMIF('TL05'!$C$10:$C$224,$C154,'TL05'!$J$10:$J$224),0),
IF('TL05'!$B$229=J$3,SUMIF('TL05'!$C$238:$C$451,$C154,'TL05'!$J$238:$J$451),0),
IF('TL06'!$B$3=J$3,SUMIF('TL06'!$C$10:$C$224,$C154,'TL06'!$J$10:$J$224),0),
IF('TL06'!$B$229=J$3,SUMIF('TL06'!$C$238:$C$451,$C154,'TL06'!$J$238:$J$451),0),
IF('TL07'!$B$3=J$3,SUMIF('TL07'!$C$10:$C$224,$C154,'TL07'!$J$10:$J$224),0),
IF('TL07'!$B$229=J$3,SUMIF('TL07'!$C$238:$C$451,$C154,'TL07'!$J$238:$J$451),0),
IF('TL08'!$B$3=J$3,SUMIF('TL08'!$C$10:$C$224,$C154,'TL08'!$J$10:$J$224),0),
IF('TL08'!$B$229=J$3,SUMIF('TL08'!$C$238:$C$451,$C154,'TL08'!$J$238:$J$451),0),
IF('TL09'!$B$3=J$3,SUMIF('TL09'!$C$10:$C$224,$C154,'TL09'!$J$10:$J$224),0),
IF('TL09'!$B$229=J$3,SUMIF('TL09'!$C$238:$C$451,$C154,'TL09'!$J$238:$J$451),0),
IF('TL10'!$B$3=J$3,SUMIF('TL10'!$C$10:$C$224,$C154,'TL10'!$J$10:$J$224),0),
IF('TL10'!$B$229=J$3,SUMIF('TL10'!$C$238:$C$451,$C154,'TL10'!$J$238:$J$451),0),
IF('TL11'!$B$3=J$3,SUMIF('TL11'!$C$10:$C$224,$C154,'TL11'!$J$10:$J$224),0),
IF('TL11'!$B$229=J$3,SUMIF('TL11'!$C$238:$C$451,$C154,'TL11'!$J$238:$J$451),0),
IF('TL12'!$B$3=J$3,SUMIF('TL12'!$C$10:$C$224,$C154,'TL12'!$J$10:$J$224),0),
IF('TL12'!$B$229=J$3,SUMIF('TL12'!$C$238:$C$451,$C154,'TL12'!$J$238:$J$451),0),
IF('TL13'!$B$3=J$3,SUMIF('TL13'!$C$10:$C$224,$C154,'TL13'!$J$10:$J$224),0),
IF('TL13'!$B$229=J$3,SUMIF('TL13'!$C$238:$C$451,$C154,'TL13'!$J$238:$J$451),0),
IF('TL14'!$B$3=J$3,SUMIF('TL14'!$C$10:$C$224,$C154,'TL14'!$J$10:$J$224),0),
IF('TL14'!$B$229=J$3,SUMIF('TL14'!$C$238:$C$451,$C154,'TL14'!$J$238:$J$451),0),
IF('TL15'!$B$3=J$3,SUMIF('TL15'!$C$10:$C$224,$C154,'TL15'!$J$10:$J$224),0),
IF('TL15'!$B$229=J$3,SUMIF('TL15'!$C$238:$C$451,$C154,'TL15'!$J$238:$J$451),0),
IF('TL16'!$B$3=J$3,SUMIF('TL16'!$C$10:$C$224,$C154,'TL16'!$J$10:$J$224),0),
IF('TL16'!$B$229=J$3,SUMIF('TL16'!$C$238:$C$451,$C154,'TL16'!$J$238:$J$451),0),
IF('TL17'!$B$3=J$3,SUMIF('TL17'!$C$10:$C$224,$C154,'TL17'!$J$10:$J$224),0),
IF('TL17'!$B$229=J$3,SUMIF('TL17'!$C$238:$C$451,$C154,'TL17'!$J$238:$J$451),0),
IF('TL18'!$B$3=J$3,SUMIF('TL18'!$C$10:$C$224,$C154,'TL18'!$J$10:$J$224),0),
IF('TL18'!$B$229=J$3,SUMIF('TL18'!$C$238:$C$451,$C154,'TL18'!$J$238:$J$451),0),
IF('TL19'!$B$3=J$3,SUMIF('TL19'!$C$10:$C$224,$C154,'TL19'!$J$10:$J$224),0),
IF('TL19'!$B$229=J$3,SUMIF('TL19'!$C$238:$C$451,$C154,'TL19'!$J$238:$J$451),0)
),0)</f>
        <v>0</v>
      </c>
      <c r="K154" s="9">
        <f>IFERROR(SUM(
IF('TL01'!$B$3=K$3,SUMIF('TL01'!$C$10:$C$224,$C154,'TL01'!$J$10:$J$224),0),
IF('TL01'!$B$229=K$3,SUMIF('TL01'!$C$238:$C$451,$C154,'TL01'!$J$238:$J$451),0),
IF('TL02'!$B$3=K$3,SUMIF('TL02'!$C$10:$C$224,$C154,'TL02'!$J$10:$J$224),0),
IF('TL02'!$B$229=K$3,SUMIF('TL02'!$C$238:$C$451,$C154,'TL02'!$J$238:$J$451),0),
IF('TL03'!$B$3=K$3,SUMIF('TL03'!$C$10:$C$224,$C154,'TL03'!$J$10:$J$224),0),
IF('TL03'!$B$229=K$3,SUMIF('TL03'!$C$238:$C$451,$C154,'TL03'!$J$238:$J$451),0),
IF('TL04'!$B$3=K$3,SUMIF('TL04'!$C$10:$C$224,$C154,'TL04'!$J$10:$J$224),0),
IF('TL04'!$B$229=K$3,SUMIF('TL04'!$C$238:$C$451,$C154,'TL04'!$J$238:$J$451),0),
IF('TL05'!$B$3=K$3,SUMIF('TL05'!$C$10:$C$224,$C154,'TL05'!$J$10:$J$224),0),
IF('TL05'!$B$229=K$3,SUMIF('TL05'!$C$238:$C$451,$C154,'TL05'!$J$238:$J$451),0),
IF('TL06'!$B$3=K$3,SUMIF('TL06'!$C$10:$C$224,$C154,'TL06'!$J$10:$J$224),0),
IF('TL06'!$B$229=K$3,SUMIF('TL06'!$C$238:$C$451,$C154,'TL06'!$J$238:$J$451),0),
IF('TL07'!$B$3=K$3,SUMIF('TL07'!$C$10:$C$224,$C154,'TL07'!$J$10:$J$224),0),
IF('TL07'!$B$229=K$3,SUMIF('TL07'!$C$238:$C$451,$C154,'TL07'!$J$238:$J$451),0),
IF('TL08'!$B$3=K$3,SUMIF('TL08'!$C$10:$C$224,$C154,'TL08'!$J$10:$J$224),0),
IF('TL08'!$B$229=K$3,SUMIF('TL08'!$C$238:$C$451,$C154,'TL08'!$J$238:$J$451),0),
IF('TL09'!$B$3=K$3,SUMIF('TL09'!$C$10:$C$224,$C154,'TL09'!$J$10:$J$224),0),
IF('TL09'!$B$229=K$3,SUMIF('TL09'!$C$238:$C$451,$C154,'TL09'!$J$238:$J$451),0),
IF('TL10'!$B$3=K$3,SUMIF('TL10'!$C$10:$C$224,$C154,'TL10'!$J$10:$J$224),0),
IF('TL10'!$B$229=K$3,SUMIF('TL10'!$C$238:$C$451,$C154,'TL10'!$J$238:$J$451),0),
IF('TL11'!$B$3=K$3,SUMIF('TL11'!$C$10:$C$224,$C154,'TL11'!$J$10:$J$224),0),
IF('TL11'!$B$229=K$3,SUMIF('TL11'!$C$238:$C$451,$C154,'TL11'!$J$238:$J$451),0),
IF('TL12'!$B$3=K$3,SUMIF('TL12'!$C$10:$C$224,$C154,'TL12'!$J$10:$J$224),0),
IF('TL12'!$B$229=K$3,SUMIF('TL12'!$C$238:$C$451,$C154,'TL12'!$J$238:$J$451),0),
IF('TL13'!$B$3=K$3,SUMIF('TL13'!$C$10:$C$224,$C154,'TL13'!$J$10:$J$224),0),
IF('TL13'!$B$229=K$3,SUMIF('TL13'!$C$238:$C$451,$C154,'TL13'!$J$238:$J$451),0),
IF('TL14'!$B$3=K$3,SUMIF('TL14'!$C$10:$C$224,$C154,'TL14'!$J$10:$J$224),0),
IF('TL14'!$B$229=K$3,SUMIF('TL14'!$C$238:$C$451,$C154,'TL14'!$J$238:$J$451),0),
IF('TL15'!$B$3=K$3,SUMIF('TL15'!$C$10:$C$224,$C154,'TL15'!$J$10:$J$224),0),
IF('TL15'!$B$229=K$3,SUMIF('TL15'!$C$238:$C$451,$C154,'TL15'!$J$238:$J$451),0),
IF('TL16'!$B$3=K$3,SUMIF('TL16'!$C$10:$C$224,$C154,'TL16'!$J$10:$J$224),0),
IF('TL16'!$B$229=K$3,SUMIF('TL16'!$C$238:$C$451,$C154,'TL16'!$J$238:$J$451),0),
IF('TL17'!$B$3=K$3,SUMIF('TL17'!$C$10:$C$224,$C154,'TL17'!$J$10:$J$224),0),
IF('TL17'!$B$229=K$3,SUMIF('TL17'!$C$238:$C$451,$C154,'TL17'!$J$238:$J$451),0),
IF('TL18'!$B$3=K$3,SUMIF('TL18'!$C$10:$C$224,$C154,'TL18'!$J$10:$J$224),0),
IF('TL18'!$B$229=K$3,SUMIF('TL18'!$C$238:$C$451,$C154,'TL18'!$J$238:$J$451),0),
IF('TL19'!$B$3=K$3,SUMIF('TL19'!$C$10:$C$224,$C154,'TL19'!$J$10:$J$224),0),
IF('TL19'!$B$229=K$3,SUMIF('TL19'!$C$238:$C$451,$C154,'TL19'!$J$238:$J$451),0)
),0)</f>
        <v>0</v>
      </c>
      <c r="L154" s="9">
        <f>IFERROR(SUM(
IF('TL01'!$B$3=L$3,SUMIF('TL01'!$C$10:$C$224,$C154,'TL01'!$J$10:$J$224),0),
IF('TL01'!$B$229=L$3,SUMIF('TL01'!$C$238:$C$451,$C154,'TL01'!$J$238:$J$451),0),
IF('TL02'!$B$3=L$3,SUMIF('TL02'!$C$10:$C$224,$C154,'TL02'!$J$10:$J$224),0),
IF('TL02'!$B$229=L$3,SUMIF('TL02'!$C$238:$C$451,$C154,'TL02'!$J$238:$J$451),0),
IF('TL03'!$B$3=L$3,SUMIF('TL03'!$C$10:$C$224,$C154,'TL03'!$J$10:$J$224),0),
IF('TL03'!$B$229=L$3,SUMIF('TL03'!$C$238:$C$451,$C154,'TL03'!$J$238:$J$451),0),
IF('TL04'!$B$3=L$3,SUMIF('TL04'!$C$10:$C$224,$C154,'TL04'!$J$10:$J$224),0),
IF('TL04'!$B$229=L$3,SUMIF('TL04'!$C$238:$C$451,$C154,'TL04'!$J$238:$J$451),0),
IF('TL05'!$B$3=L$3,SUMIF('TL05'!$C$10:$C$224,$C154,'TL05'!$J$10:$J$224),0),
IF('TL05'!$B$229=L$3,SUMIF('TL05'!$C$238:$C$451,$C154,'TL05'!$J$238:$J$451),0),
IF('TL06'!$B$3=L$3,SUMIF('TL06'!$C$10:$C$224,$C154,'TL06'!$J$10:$J$224),0),
IF('TL06'!$B$229=L$3,SUMIF('TL06'!$C$238:$C$451,$C154,'TL06'!$J$238:$J$451),0),
IF('TL07'!$B$3=L$3,SUMIF('TL07'!$C$10:$C$224,$C154,'TL07'!$J$10:$J$224),0),
IF('TL07'!$B$229=L$3,SUMIF('TL07'!$C$238:$C$451,$C154,'TL07'!$J$238:$J$451),0),
IF('TL08'!$B$3=L$3,SUMIF('TL08'!$C$10:$C$224,$C154,'TL08'!$J$10:$J$224),0),
IF('TL08'!$B$229=L$3,SUMIF('TL08'!$C$238:$C$451,$C154,'TL08'!$J$238:$J$451),0),
IF('TL09'!$B$3=L$3,SUMIF('TL09'!$C$10:$C$224,$C154,'TL09'!$J$10:$J$224),0),
IF('TL09'!$B$229=L$3,SUMIF('TL09'!$C$238:$C$451,$C154,'TL09'!$J$238:$J$451),0),
IF('TL10'!$B$3=L$3,SUMIF('TL10'!$C$10:$C$224,$C154,'TL10'!$J$10:$J$224),0),
IF('TL10'!$B$229=L$3,SUMIF('TL10'!$C$238:$C$451,$C154,'TL10'!$J$238:$J$451),0),
IF('TL11'!$B$3=L$3,SUMIF('TL11'!$C$10:$C$224,$C154,'TL11'!$J$10:$J$224),0),
IF('TL11'!$B$229=L$3,SUMIF('TL11'!$C$238:$C$451,$C154,'TL11'!$J$238:$J$451),0),
IF('TL12'!$B$3=L$3,SUMIF('TL12'!$C$10:$C$224,$C154,'TL12'!$J$10:$J$224),0),
IF('TL12'!$B$229=L$3,SUMIF('TL12'!$C$238:$C$451,$C154,'TL12'!$J$238:$J$451),0),
IF('TL13'!$B$3=L$3,SUMIF('TL13'!$C$10:$C$224,$C154,'TL13'!$J$10:$J$224),0),
IF('TL13'!$B$229=L$3,SUMIF('TL13'!$C$238:$C$451,$C154,'TL13'!$J$238:$J$451),0),
IF('TL14'!$B$3=L$3,SUMIF('TL14'!$C$10:$C$224,$C154,'TL14'!$J$10:$J$224),0),
IF('TL14'!$B$229=L$3,SUMIF('TL14'!$C$238:$C$451,$C154,'TL14'!$J$238:$J$451),0),
IF('TL15'!$B$3=L$3,SUMIF('TL15'!$C$10:$C$224,$C154,'TL15'!$J$10:$J$224),0),
IF('TL15'!$B$229=L$3,SUMIF('TL15'!$C$238:$C$451,$C154,'TL15'!$J$238:$J$451),0),
IF('TL16'!$B$3=L$3,SUMIF('TL16'!$C$10:$C$224,$C154,'TL16'!$J$10:$J$224),0),
IF('TL16'!$B$229=L$3,SUMIF('TL16'!$C$238:$C$451,$C154,'TL16'!$J$238:$J$451),0),
IF('TL17'!$B$3=L$3,SUMIF('TL17'!$C$10:$C$224,$C154,'TL17'!$J$10:$J$224),0),
IF('TL17'!$B$229=L$3,SUMIF('TL17'!$C$238:$C$451,$C154,'TL17'!$J$238:$J$451),0),
IF('TL18'!$B$3=L$3,SUMIF('TL18'!$C$10:$C$224,$C154,'TL18'!$J$10:$J$224),0),
IF('TL18'!$B$229=L$3,SUMIF('TL18'!$C$238:$C$451,$C154,'TL18'!$J$238:$J$451),0),
IF('TL19'!$B$3=L$3,SUMIF('TL19'!$C$10:$C$224,$C154,'TL19'!$J$10:$J$224),0),
IF('TL19'!$B$229=L$3,SUMIF('TL19'!$C$238:$C$451,$C154,'TL19'!$J$238:$J$451),0)
),0)</f>
        <v>0</v>
      </c>
      <c r="M154" s="9">
        <f>IFERROR(SUM(
IF('TL01'!$B$3=M$3,SUMIF('TL01'!$C$10:$C$224,$C154,'TL01'!$J$10:$J$224),0),
IF('TL01'!$B$229=M$3,SUMIF('TL01'!$C$238:$C$451,$C154,'TL01'!$J$238:$J$451),0),
IF('TL02'!$B$3=M$3,SUMIF('TL02'!$C$10:$C$224,$C154,'TL02'!$J$10:$J$224),0),
IF('TL02'!$B$229=M$3,SUMIF('TL02'!$C$238:$C$451,$C154,'TL02'!$J$238:$J$451),0),
IF('TL03'!$B$3=M$3,SUMIF('TL03'!$C$10:$C$224,$C154,'TL03'!$J$10:$J$224),0),
IF('TL03'!$B$229=M$3,SUMIF('TL03'!$C$238:$C$451,$C154,'TL03'!$J$238:$J$451),0),
IF('TL04'!$B$3=M$3,SUMIF('TL04'!$C$10:$C$224,$C154,'TL04'!$J$10:$J$224),0),
IF('TL04'!$B$229=M$3,SUMIF('TL04'!$C$238:$C$451,$C154,'TL04'!$J$238:$J$451),0),
IF('TL05'!$B$3=M$3,SUMIF('TL05'!$C$10:$C$224,$C154,'TL05'!$J$10:$J$224),0),
IF('TL05'!$B$229=M$3,SUMIF('TL05'!$C$238:$C$451,$C154,'TL05'!$J$238:$J$451),0),
IF('TL06'!$B$3=M$3,SUMIF('TL06'!$C$10:$C$224,$C154,'TL06'!$J$10:$J$224),0),
IF('TL06'!$B$229=M$3,SUMIF('TL06'!$C$238:$C$451,$C154,'TL06'!$J$238:$J$451),0),
IF('TL07'!$B$3=M$3,SUMIF('TL07'!$C$10:$C$224,$C154,'TL07'!$J$10:$J$224),0),
IF('TL07'!$B$229=M$3,SUMIF('TL07'!$C$238:$C$451,$C154,'TL07'!$J$238:$J$451),0),
IF('TL08'!$B$3=M$3,SUMIF('TL08'!$C$10:$C$224,$C154,'TL08'!$J$10:$J$224),0),
IF('TL08'!$B$229=M$3,SUMIF('TL08'!$C$238:$C$451,$C154,'TL08'!$J$238:$J$451),0),
IF('TL09'!$B$3=M$3,SUMIF('TL09'!$C$10:$C$224,$C154,'TL09'!$J$10:$J$224),0),
IF('TL09'!$B$229=M$3,SUMIF('TL09'!$C$238:$C$451,$C154,'TL09'!$J$238:$J$451),0),
IF('TL10'!$B$3=M$3,SUMIF('TL10'!$C$10:$C$224,$C154,'TL10'!$J$10:$J$224),0),
IF('TL10'!$B$229=M$3,SUMIF('TL10'!$C$238:$C$451,$C154,'TL10'!$J$238:$J$451),0),
IF('TL11'!$B$3=M$3,SUMIF('TL11'!$C$10:$C$224,$C154,'TL11'!$J$10:$J$224),0),
IF('TL11'!$B$229=M$3,SUMIF('TL11'!$C$238:$C$451,$C154,'TL11'!$J$238:$J$451),0),
IF('TL12'!$B$3=M$3,SUMIF('TL12'!$C$10:$C$224,$C154,'TL12'!$J$10:$J$224),0),
IF('TL12'!$B$229=M$3,SUMIF('TL12'!$C$238:$C$451,$C154,'TL12'!$J$238:$J$451),0),
IF('TL13'!$B$3=M$3,SUMIF('TL13'!$C$10:$C$224,$C154,'TL13'!$J$10:$J$224),0),
IF('TL13'!$B$229=M$3,SUMIF('TL13'!$C$238:$C$451,$C154,'TL13'!$J$238:$J$451),0),
IF('TL14'!$B$3=M$3,SUMIF('TL14'!$C$10:$C$224,$C154,'TL14'!$J$10:$J$224),0),
IF('TL14'!$B$229=M$3,SUMIF('TL14'!$C$238:$C$451,$C154,'TL14'!$J$238:$J$451),0),
IF('TL15'!$B$3=M$3,SUMIF('TL15'!$C$10:$C$224,$C154,'TL15'!$J$10:$J$224),0),
IF('TL15'!$B$229=M$3,SUMIF('TL15'!$C$238:$C$451,$C154,'TL15'!$J$238:$J$451),0),
IF('TL16'!$B$3=M$3,SUMIF('TL16'!$C$10:$C$224,$C154,'TL16'!$J$10:$J$224),0),
IF('TL16'!$B$229=M$3,SUMIF('TL16'!$C$238:$C$451,$C154,'TL16'!$J$238:$J$451),0),
IF('TL17'!$B$3=M$3,SUMIF('TL17'!$C$10:$C$224,$C154,'TL17'!$J$10:$J$224),0),
IF('TL17'!$B$229=M$3,SUMIF('TL17'!$C$238:$C$451,$C154,'TL17'!$J$238:$J$451),0),
IF('TL18'!$B$3=M$3,SUMIF('TL18'!$C$10:$C$224,$C154,'TL18'!$J$10:$J$224),0),
IF('TL18'!$B$229=M$3,SUMIF('TL18'!$C$238:$C$451,$C154,'TL18'!$J$238:$J$451),0),
IF('TL19'!$B$3=M$3,SUMIF('TL19'!$C$10:$C$224,$C154,'TL19'!$J$10:$J$224),0),
IF('TL19'!$B$229=M$3,SUMIF('TL19'!$C$238:$C$451,$C154,'TL19'!$J$238:$J$451),0)
),0)</f>
        <v>0</v>
      </c>
      <c r="N154" s="9">
        <f>IFERROR(SUM(
IF('TL01'!$B$3=N$3,SUMIF('TL01'!$C$10:$C$224,$C154,'TL01'!$J$10:$J$224),0),
IF('TL01'!$B$229=N$3,SUMIF('TL01'!$C$238:$C$451,$C154,'TL01'!$J$238:$J$451),0),
IF('TL02'!$B$3=N$3,SUMIF('TL02'!$C$10:$C$224,$C154,'TL02'!$J$10:$J$224),0),
IF('TL02'!$B$229=N$3,SUMIF('TL02'!$C$238:$C$451,$C154,'TL02'!$J$238:$J$451),0),
IF('TL03'!$B$3=N$3,SUMIF('TL03'!$C$10:$C$224,$C154,'TL03'!$J$10:$J$224),0),
IF('TL03'!$B$229=N$3,SUMIF('TL03'!$C$238:$C$451,$C154,'TL03'!$J$238:$J$451),0),
IF('TL04'!$B$3=N$3,SUMIF('TL04'!$C$10:$C$224,$C154,'TL04'!$J$10:$J$224),0),
IF('TL04'!$B$229=N$3,SUMIF('TL04'!$C$238:$C$451,$C154,'TL04'!$J$238:$J$451),0),
IF('TL05'!$B$3=N$3,SUMIF('TL05'!$C$10:$C$224,$C154,'TL05'!$J$10:$J$224),0),
IF('TL05'!$B$229=N$3,SUMIF('TL05'!$C$238:$C$451,$C154,'TL05'!$J$238:$J$451),0),
IF('TL06'!$B$3=N$3,SUMIF('TL06'!$C$10:$C$224,$C154,'TL06'!$J$10:$J$224),0),
IF('TL06'!$B$229=N$3,SUMIF('TL06'!$C$238:$C$451,$C154,'TL06'!$J$238:$J$451),0),
IF('TL07'!$B$3=N$3,SUMIF('TL07'!$C$10:$C$224,$C154,'TL07'!$J$10:$J$224),0),
IF('TL07'!$B$229=N$3,SUMIF('TL07'!$C$238:$C$451,$C154,'TL07'!$J$238:$J$451),0),
IF('TL08'!$B$3=N$3,SUMIF('TL08'!$C$10:$C$224,$C154,'TL08'!$J$10:$J$224),0),
IF('TL08'!$B$229=N$3,SUMIF('TL08'!$C$238:$C$451,$C154,'TL08'!$J$238:$J$451),0),
IF('TL09'!$B$3=N$3,SUMIF('TL09'!$C$10:$C$224,$C154,'TL09'!$J$10:$J$224),0),
IF('TL09'!$B$229=N$3,SUMIF('TL09'!$C$238:$C$451,$C154,'TL09'!$J$238:$J$451),0),
IF('TL10'!$B$3=N$3,SUMIF('TL10'!$C$10:$C$224,$C154,'TL10'!$J$10:$J$224),0),
IF('TL10'!$B$229=N$3,SUMIF('TL10'!$C$238:$C$451,$C154,'TL10'!$J$238:$J$451),0),
IF('TL11'!$B$3=N$3,SUMIF('TL11'!$C$10:$C$224,$C154,'TL11'!$J$10:$J$224),0),
IF('TL11'!$B$229=N$3,SUMIF('TL11'!$C$238:$C$451,$C154,'TL11'!$J$238:$J$451),0),
IF('TL12'!$B$3=N$3,SUMIF('TL12'!$C$10:$C$224,$C154,'TL12'!$J$10:$J$224),0),
IF('TL12'!$B$229=N$3,SUMIF('TL12'!$C$238:$C$451,$C154,'TL12'!$J$238:$J$451),0),
IF('TL13'!$B$3=N$3,SUMIF('TL13'!$C$10:$C$224,$C154,'TL13'!$J$10:$J$224),0),
IF('TL13'!$B$229=N$3,SUMIF('TL13'!$C$238:$C$451,$C154,'TL13'!$J$238:$J$451),0),
IF('TL14'!$B$3=N$3,SUMIF('TL14'!$C$10:$C$224,$C154,'TL14'!$J$10:$J$224),0),
IF('TL14'!$B$229=N$3,SUMIF('TL14'!$C$238:$C$451,$C154,'TL14'!$J$238:$J$451),0),
IF('TL15'!$B$3=N$3,SUMIF('TL15'!$C$10:$C$224,$C154,'TL15'!$J$10:$J$224),0),
IF('TL15'!$B$229=N$3,SUMIF('TL15'!$C$238:$C$451,$C154,'TL15'!$J$238:$J$451),0),
IF('TL16'!$B$3=N$3,SUMIF('TL16'!$C$10:$C$224,$C154,'TL16'!$J$10:$J$224),0),
IF('TL16'!$B$229=N$3,SUMIF('TL16'!$C$238:$C$451,$C154,'TL16'!$J$238:$J$451),0),
IF('TL17'!$B$3=N$3,SUMIF('TL17'!$C$10:$C$224,$C154,'TL17'!$J$10:$J$224),0),
IF('TL17'!$B$229=N$3,SUMIF('TL17'!$C$238:$C$451,$C154,'TL17'!$J$238:$J$451),0),
IF('TL18'!$B$3=N$3,SUMIF('TL18'!$C$10:$C$224,$C154,'TL18'!$J$10:$J$224),0),
IF('TL18'!$B$229=N$3,SUMIF('TL18'!$C$238:$C$451,$C154,'TL18'!$J$238:$J$451),0),
IF('TL19'!$B$3=N$3,SUMIF('TL19'!$C$10:$C$224,$C154,'TL19'!$J$10:$J$224),0),
IF('TL19'!$B$229=N$3,SUMIF('TL19'!$C$238:$C$451,$C154,'TL19'!$J$238:$J$451),0)
),0)</f>
        <v>0</v>
      </c>
      <c r="O154" s="9">
        <f>IFERROR(SUM(
IF('TL01'!$B$3=O$3,SUMIF('TL01'!$C$10:$C$224,$C154,'TL01'!$J$10:$J$224),0),
IF('TL01'!$B$229=O$3,SUMIF('TL01'!$C$238:$C$451,$C154,'TL01'!$J$238:$J$451),0),
IF('TL02'!$B$3=O$3,SUMIF('TL02'!$C$10:$C$224,$C154,'TL02'!$J$10:$J$224),0),
IF('TL02'!$B$229=O$3,SUMIF('TL02'!$C$238:$C$451,$C154,'TL02'!$J$238:$J$451),0),
IF('TL03'!$B$3=O$3,SUMIF('TL03'!$C$10:$C$224,$C154,'TL03'!$J$10:$J$224),0),
IF('TL03'!$B$229=O$3,SUMIF('TL03'!$C$238:$C$451,$C154,'TL03'!$J$238:$J$451),0),
IF('TL04'!$B$3=O$3,SUMIF('TL04'!$C$10:$C$224,$C154,'TL04'!$J$10:$J$224),0),
IF('TL04'!$B$229=O$3,SUMIF('TL04'!$C$238:$C$451,$C154,'TL04'!$J$238:$J$451),0),
IF('TL05'!$B$3=O$3,SUMIF('TL05'!$C$10:$C$224,$C154,'TL05'!$J$10:$J$224),0),
IF('TL05'!$B$229=O$3,SUMIF('TL05'!$C$238:$C$451,$C154,'TL05'!$J$238:$J$451),0),
IF('TL06'!$B$3=O$3,SUMIF('TL06'!$C$10:$C$224,$C154,'TL06'!$J$10:$J$224),0),
IF('TL06'!$B$229=O$3,SUMIF('TL06'!$C$238:$C$451,$C154,'TL06'!$J$238:$J$451),0),
IF('TL07'!$B$3=O$3,SUMIF('TL07'!$C$10:$C$224,$C154,'TL07'!$J$10:$J$224),0),
IF('TL07'!$B$229=O$3,SUMIF('TL07'!$C$238:$C$451,$C154,'TL07'!$J$238:$J$451),0),
IF('TL08'!$B$3=O$3,SUMIF('TL08'!$C$10:$C$224,$C154,'TL08'!$J$10:$J$224),0),
IF('TL08'!$B$229=O$3,SUMIF('TL08'!$C$238:$C$451,$C154,'TL08'!$J$238:$J$451),0),
IF('TL09'!$B$3=O$3,SUMIF('TL09'!$C$10:$C$224,$C154,'TL09'!$J$10:$J$224),0),
IF('TL09'!$B$229=O$3,SUMIF('TL09'!$C$238:$C$451,$C154,'TL09'!$J$238:$J$451),0),
IF('TL10'!$B$3=O$3,SUMIF('TL10'!$C$10:$C$224,$C154,'TL10'!$J$10:$J$224),0),
IF('TL10'!$B$229=O$3,SUMIF('TL10'!$C$238:$C$451,$C154,'TL10'!$J$238:$J$451),0),
IF('TL11'!$B$3=O$3,SUMIF('TL11'!$C$10:$C$224,$C154,'TL11'!$J$10:$J$224),0),
IF('TL11'!$B$229=O$3,SUMIF('TL11'!$C$238:$C$451,$C154,'TL11'!$J$238:$J$451),0),
IF('TL12'!$B$3=O$3,SUMIF('TL12'!$C$10:$C$224,$C154,'TL12'!$J$10:$J$224),0),
IF('TL12'!$B$229=O$3,SUMIF('TL12'!$C$238:$C$451,$C154,'TL12'!$J$238:$J$451),0),
IF('TL13'!$B$3=O$3,SUMIF('TL13'!$C$10:$C$224,$C154,'TL13'!$J$10:$J$224),0),
IF('TL13'!$B$229=O$3,SUMIF('TL13'!$C$238:$C$451,$C154,'TL13'!$J$238:$J$451),0),
IF('TL14'!$B$3=O$3,SUMIF('TL14'!$C$10:$C$224,$C154,'TL14'!$J$10:$J$224),0),
IF('TL14'!$B$229=O$3,SUMIF('TL14'!$C$238:$C$451,$C154,'TL14'!$J$238:$J$451),0),
IF('TL15'!$B$3=O$3,SUMIF('TL15'!$C$10:$C$224,$C154,'TL15'!$J$10:$J$224),0),
IF('TL15'!$B$229=O$3,SUMIF('TL15'!$C$238:$C$451,$C154,'TL15'!$J$238:$J$451),0),
IF('TL16'!$B$3=O$3,SUMIF('TL16'!$C$10:$C$224,$C154,'TL16'!$J$10:$J$224),0),
IF('TL16'!$B$229=O$3,SUMIF('TL16'!$C$238:$C$451,$C154,'TL16'!$J$238:$J$451),0),
IF('TL17'!$B$3=O$3,SUMIF('TL17'!$C$10:$C$224,$C154,'TL17'!$J$10:$J$224),0),
IF('TL17'!$B$229=O$3,SUMIF('TL17'!$C$238:$C$451,$C154,'TL17'!$J$238:$J$451),0),
IF('TL18'!$B$3=O$3,SUMIF('TL18'!$C$10:$C$224,$C154,'TL18'!$J$10:$J$224),0),
IF('TL18'!$B$229=O$3,SUMIF('TL18'!$C$238:$C$451,$C154,'TL18'!$J$238:$J$451),0),
IF('TL19'!$B$3=O$3,SUMIF('TL19'!$C$10:$C$224,$C154,'TL19'!$J$10:$J$224),0),
IF('TL19'!$B$229=O$3,SUMIF('TL19'!$C$238:$C$451,$C154,'TL19'!$J$238:$J$451),0)
),0)</f>
        <v>0</v>
      </c>
      <c r="P154" s="9">
        <f>IFERROR(SUM(
IF('TL01'!$B$3=P$3,SUMIF('TL01'!$C$10:$C$224,$C154,'TL01'!$J$10:$J$224),0),
IF('TL01'!$B$229=P$3,SUMIF('TL01'!$C$238:$C$451,$C154,'TL01'!$J$238:$J$451),0),
IF('TL02'!$B$3=P$3,SUMIF('TL02'!$C$10:$C$224,$C154,'TL02'!$J$10:$J$224),0),
IF('TL02'!$B$229=P$3,SUMIF('TL02'!$C$238:$C$451,$C154,'TL02'!$J$238:$J$451),0),
IF('TL03'!$B$3=P$3,SUMIF('TL03'!$C$10:$C$224,$C154,'TL03'!$J$10:$J$224),0),
IF('TL03'!$B$229=P$3,SUMIF('TL03'!$C$238:$C$451,$C154,'TL03'!$J$238:$J$451),0),
IF('TL04'!$B$3=P$3,SUMIF('TL04'!$C$10:$C$224,$C154,'TL04'!$J$10:$J$224),0),
IF('TL04'!$B$229=P$3,SUMIF('TL04'!$C$238:$C$451,$C154,'TL04'!$J$238:$J$451),0),
IF('TL05'!$B$3=P$3,SUMIF('TL05'!$C$10:$C$224,$C154,'TL05'!$J$10:$J$224),0),
IF('TL05'!$B$229=P$3,SUMIF('TL05'!$C$238:$C$451,$C154,'TL05'!$J$238:$J$451),0),
IF('TL06'!$B$3=P$3,SUMIF('TL06'!$C$10:$C$224,$C154,'TL06'!$J$10:$J$224),0),
IF('TL06'!$B$229=P$3,SUMIF('TL06'!$C$238:$C$451,$C154,'TL06'!$J$238:$J$451),0),
IF('TL07'!$B$3=P$3,SUMIF('TL07'!$C$10:$C$224,$C154,'TL07'!$J$10:$J$224),0),
IF('TL07'!$B$229=P$3,SUMIF('TL07'!$C$238:$C$451,$C154,'TL07'!$J$238:$J$451),0),
IF('TL08'!$B$3=P$3,SUMIF('TL08'!$C$10:$C$224,$C154,'TL08'!$J$10:$J$224),0),
IF('TL08'!$B$229=P$3,SUMIF('TL08'!$C$238:$C$451,$C154,'TL08'!$J$238:$J$451),0),
IF('TL09'!$B$3=P$3,SUMIF('TL09'!$C$10:$C$224,$C154,'TL09'!$J$10:$J$224),0),
IF('TL09'!$B$229=P$3,SUMIF('TL09'!$C$238:$C$451,$C154,'TL09'!$J$238:$J$451),0),
IF('TL10'!$B$3=P$3,SUMIF('TL10'!$C$10:$C$224,$C154,'TL10'!$J$10:$J$224),0),
IF('TL10'!$B$229=P$3,SUMIF('TL10'!$C$238:$C$451,$C154,'TL10'!$J$238:$J$451),0),
IF('TL11'!$B$3=P$3,SUMIF('TL11'!$C$10:$C$224,$C154,'TL11'!$J$10:$J$224),0),
IF('TL11'!$B$229=P$3,SUMIF('TL11'!$C$238:$C$451,$C154,'TL11'!$J$238:$J$451),0),
IF('TL12'!$B$3=P$3,SUMIF('TL12'!$C$10:$C$224,$C154,'TL12'!$J$10:$J$224),0),
IF('TL12'!$B$229=P$3,SUMIF('TL12'!$C$238:$C$451,$C154,'TL12'!$J$238:$J$451),0),
IF('TL13'!$B$3=P$3,SUMIF('TL13'!$C$10:$C$224,$C154,'TL13'!$J$10:$J$224),0),
IF('TL13'!$B$229=P$3,SUMIF('TL13'!$C$238:$C$451,$C154,'TL13'!$J$238:$J$451),0),
IF('TL14'!$B$3=P$3,SUMIF('TL14'!$C$10:$C$224,$C154,'TL14'!$J$10:$J$224),0),
IF('TL14'!$B$229=P$3,SUMIF('TL14'!$C$238:$C$451,$C154,'TL14'!$J$238:$J$451),0),
IF('TL15'!$B$3=P$3,SUMIF('TL15'!$C$10:$C$224,$C154,'TL15'!$J$10:$J$224),0),
IF('TL15'!$B$229=P$3,SUMIF('TL15'!$C$238:$C$451,$C154,'TL15'!$J$238:$J$451),0),
IF('TL16'!$B$3=P$3,SUMIF('TL16'!$C$10:$C$224,$C154,'TL16'!$J$10:$J$224),0),
IF('TL16'!$B$229=P$3,SUMIF('TL16'!$C$238:$C$451,$C154,'TL16'!$J$238:$J$451),0),
IF('TL17'!$B$3=P$3,SUMIF('TL17'!$C$10:$C$224,$C154,'TL17'!$J$10:$J$224),0),
IF('TL17'!$B$229=P$3,SUMIF('TL17'!$C$238:$C$451,$C154,'TL17'!$J$238:$J$451),0),
IF('TL18'!$B$3=P$3,SUMIF('TL18'!$C$10:$C$224,$C154,'TL18'!$J$10:$J$224),0),
IF('TL18'!$B$229=P$3,SUMIF('TL18'!$C$238:$C$451,$C154,'TL18'!$J$238:$J$451),0),
IF('TL19'!$B$3=P$3,SUMIF('TL19'!$C$10:$C$224,$C154,'TL19'!$J$10:$J$224),0),
IF('TL19'!$B$229=P$3,SUMIF('TL19'!$C$238:$C$451,$C154,'TL19'!$J$238:$J$451),0)
),0)</f>
        <v>0</v>
      </c>
      <c r="Q154" s="9">
        <f>IFERROR(SUM(
IF('TL01'!$B$3=Q$3,SUMIF('TL01'!$C$10:$C$224,$C154,'TL01'!$J$10:$J$224),0),
IF('TL01'!$B$229=Q$3,SUMIF('TL01'!$C$238:$C$451,$C154,'TL01'!$J$238:$J$451),0),
IF('TL02'!$B$3=Q$3,SUMIF('TL02'!$C$10:$C$224,$C154,'TL02'!$J$10:$J$224),0),
IF('TL02'!$B$229=Q$3,SUMIF('TL02'!$C$238:$C$451,$C154,'TL02'!$J$238:$J$451),0),
IF('TL03'!$B$3=Q$3,SUMIF('TL03'!$C$10:$C$224,$C154,'TL03'!$J$10:$J$224),0),
IF('TL03'!$B$229=Q$3,SUMIF('TL03'!$C$238:$C$451,$C154,'TL03'!$J$238:$J$451),0),
IF('TL04'!$B$3=Q$3,SUMIF('TL04'!$C$10:$C$224,$C154,'TL04'!$J$10:$J$224),0),
IF('TL04'!$B$229=Q$3,SUMIF('TL04'!$C$238:$C$451,$C154,'TL04'!$J$238:$J$451),0),
IF('TL05'!$B$3=Q$3,SUMIF('TL05'!$C$10:$C$224,$C154,'TL05'!$J$10:$J$224),0),
IF('TL05'!$B$229=Q$3,SUMIF('TL05'!$C$238:$C$451,$C154,'TL05'!$J$238:$J$451),0),
IF('TL06'!$B$3=Q$3,SUMIF('TL06'!$C$10:$C$224,$C154,'TL06'!$J$10:$J$224),0),
IF('TL06'!$B$229=Q$3,SUMIF('TL06'!$C$238:$C$451,$C154,'TL06'!$J$238:$J$451),0),
IF('TL07'!$B$3=Q$3,SUMIF('TL07'!$C$10:$C$224,$C154,'TL07'!$J$10:$J$224),0),
IF('TL07'!$B$229=Q$3,SUMIF('TL07'!$C$238:$C$451,$C154,'TL07'!$J$238:$J$451),0),
IF('TL08'!$B$3=Q$3,SUMIF('TL08'!$C$10:$C$224,$C154,'TL08'!$J$10:$J$224),0),
IF('TL08'!$B$229=Q$3,SUMIF('TL08'!$C$238:$C$451,$C154,'TL08'!$J$238:$J$451),0),
IF('TL09'!$B$3=Q$3,SUMIF('TL09'!$C$10:$C$224,$C154,'TL09'!$J$10:$J$224),0),
IF('TL09'!$B$229=Q$3,SUMIF('TL09'!$C$238:$C$451,$C154,'TL09'!$J$238:$J$451),0),
IF('TL10'!$B$3=Q$3,SUMIF('TL10'!$C$10:$C$224,$C154,'TL10'!$J$10:$J$224),0),
IF('TL10'!$B$229=Q$3,SUMIF('TL10'!$C$238:$C$451,$C154,'TL10'!$J$238:$J$451),0),
IF('TL11'!$B$3=Q$3,SUMIF('TL11'!$C$10:$C$224,$C154,'TL11'!$J$10:$J$224),0),
IF('TL11'!$B$229=Q$3,SUMIF('TL11'!$C$238:$C$451,$C154,'TL11'!$J$238:$J$451),0),
IF('TL12'!$B$3=Q$3,SUMIF('TL12'!$C$10:$C$224,$C154,'TL12'!$J$10:$J$224),0),
IF('TL12'!$B$229=Q$3,SUMIF('TL12'!$C$238:$C$451,$C154,'TL12'!$J$238:$J$451),0),
IF('TL13'!$B$3=Q$3,SUMIF('TL13'!$C$10:$C$224,$C154,'TL13'!$J$10:$J$224),0),
IF('TL13'!$B$229=Q$3,SUMIF('TL13'!$C$238:$C$451,$C154,'TL13'!$J$238:$J$451),0),
IF('TL14'!$B$3=Q$3,SUMIF('TL14'!$C$10:$C$224,$C154,'TL14'!$J$10:$J$224),0),
IF('TL14'!$B$229=Q$3,SUMIF('TL14'!$C$238:$C$451,$C154,'TL14'!$J$238:$J$451),0),
IF('TL15'!$B$3=Q$3,SUMIF('TL15'!$C$10:$C$224,$C154,'TL15'!$J$10:$J$224),0),
IF('TL15'!$B$229=Q$3,SUMIF('TL15'!$C$238:$C$451,$C154,'TL15'!$J$238:$J$451),0),
IF('TL16'!$B$3=Q$3,SUMIF('TL16'!$C$10:$C$224,$C154,'TL16'!$J$10:$J$224),0),
IF('TL16'!$B$229=Q$3,SUMIF('TL16'!$C$238:$C$451,$C154,'TL16'!$J$238:$J$451),0),
IF('TL17'!$B$3=Q$3,SUMIF('TL17'!$C$10:$C$224,$C154,'TL17'!$J$10:$J$224),0),
IF('TL17'!$B$229=Q$3,SUMIF('TL17'!$C$238:$C$451,$C154,'TL17'!$J$238:$J$451),0),
IF('TL18'!$B$3=Q$3,SUMIF('TL18'!$C$10:$C$224,$C154,'TL18'!$J$10:$J$224),0),
IF('TL18'!$B$229=Q$3,SUMIF('TL18'!$C$238:$C$451,$C154,'TL18'!$J$238:$J$451),0),
IF('TL19'!$B$3=Q$3,SUMIF('TL19'!$C$10:$C$224,$C154,'TL19'!$J$10:$J$224),0),
IF('TL19'!$B$229=Q$3,SUMIF('TL19'!$C$238:$C$451,$C154,'TL19'!$J$238:$J$451),0)
),0)</f>
        <v>0</v>
      </c>
      <c r="R154" s="9">
        <f>IFERROR(
SUM(
SUMIF('TL01'!C:C,C154,'TL01'!J:J),
SUMIF('TL02'!C:C,C154,'TL02'!J:J),
SUMIF('TL03'!C:C,C154,'TL03'!J:J),
SUMIF('TL04'!C:C,C154,'TL04'!J:J),
SUMIF('TL05'!C:C,C154,'TL05'!J:J),
SUMIF('TL06'!C:C,C154,'TL06'!J:J),
SUMIF('TL07'!C:C,C154,'TL07'!J:J),
SUMIF('TL08'!C:C,C154,'TL08'!J:J),
SUMIF('TL09'!C:C,C154,'TL09'!J:J),
SUMIF('TL10'!C:C,C154,'TL10'!J:J),
SUMIF('TL11'!C:C,C154,'TL11'!J:J),
SUMIF('TL12'!C:C,C154,'TL12'!J:J),
SUMIF('TL13'!C:C,C154,'TL13'!J:J),
SUMIF('TL14'!C:C,C154,'TL14'!J:J),
SUMIF('TL15'!C:C,C154,'TL15'!J:J),
SUMIF('TL16'!C:C,C154,'TL16'!J:J),
SUMIF('TL17'!C:C,C154,'TL17'!J:J),
SUMIF('TL18'!C:C,C154,'TL18'!J:J),SUMIF('TL19'!C:C,C154,'TL19'!J:J))
,0)</f>
        <v>0</v>
      </c>
      <c r="S154" s="17">
        <f>IFERROR(__xludf.DUMMYFUNCTION("IFERROR(VLOOKUP(C154,
IMPORTRANGE(""1wULbzX32WdYsx-lj2U3uUNBBe2INVIRDtcK0d-Dvl90"",
""26-27!C:G""),
5,
FALSE),
"""")"),26.49724)</f>
        <v>26.49724</v>
      </c>
      <c r="T154" s="9"/>
      <c r="U154" s="92">
        <f t="shared" si="2"/>
        <v>0</v>
      </c>
      <c r="V154" s="93">
        <f t="shared" si="3"/>
        <v>0</v>
      </c>
    </row>
    <row r="155" ht="15.75" hidden="1" customHeight="1">
      <c r="A155" s="111" t="s">
        <v>356</v>
      </c>
      <c r="B155" s="112" t="s">
        <v>1</v>
      </c>
      <c r="C155" s="113" t="s">
        <v>714</v>
      </c>
      <c r="D155" s="113" t="s">
        <v>715</v>
      </c>
      <c r="E155" s="113">
        <v>540.0</v>
      </c>
      <c r="F155" s="4" t="s">
        <v>343</v>
      </c>
      <c r="G155" s="90" t="str">
        <f t="shared" si="4"/>
        <v>📄 Ver bula</v>
      </c>
      <c r="H155" s="9">
        <f>IFERROR(__xludf.DUMMYFUNCTION("IFERROR(VLOOKUP(C155,
IMPORTRANGE(""1wULbzX32WdYsx-lj2U3uUNBBe2INVIRDtcK0d-Dvl90"",
""26-27!C:K""),
8,
FALSE),
"""")"),2.0)</f>
        <v>2</v>
      </c>
      <c r="I155" s="114" t="s">
        <v>344</v>
      </c>
      <c r="J155" s="9">
        <f>IFERROR(SUM(
IF('TL01'!$B$3=J$3,SUMIF('TL01'!$C$10:$C$224,$C155,'TL01'!$J$10:$J$224),0),
IF('TL01'!$B$229=J$3,SUMIF('TL01'!$C$238:$C$451,$C155,'TL01'!$J$238:$J$451),0),
IF('TL02'!$B$3=J$3,SUMIF('TL02'!$C$10:$C$224,$C155,'TL02'!$J$10:$J$224),0),
IF('TL02'!$B$229=J$3,SUMIF('TL02'!$C$238:$C$451,$C155,'TL02'!$J$238:$J$451),0),
IF('TL03'!$B$3=J$3,SUMIF('TL03'!$C$10:$C$224,$C155,'TL03'!$J$10:$J$224),0),
IF('TL03'!$B$229=J$3,SUMIF('TL03'!$C$238:$C$451,$C155,'TL03'!$J$238:$J$451),0),
IF('TL04'!$B$3=J$3,SUMIF('TL04'!$C$10:$C$224,$C155,'TL04'!$J$10:$J$224),0),
IF('TL04'!$B$229=J$3,SUMIF('TL04'!$C$238:$C$451,$C155,'TL04'!$J$238:$J$451),0),
IF('TL05'!$B$3=J$3,SUMIF('TL05'!$C$10:$C$224,$C155,'TL05'!$J$10:$J$224),0),
IF('TL05'!$B$229=J$3,SUMIF('TL05'!$C$238:$C$451,$C155,'TL05'!$J$238:$J$451),0),
IF('TL06'!$B$3=J$3,SUMIF('TL06'!$C$10:$C$224,$C155,'TL06'!$J$10:$J$224),0),
IF('TL06'!$B$229=J$3,SUMIF('TL06'!$C$238:$C$451,$C155,'TL06'!$J$238:$J$451),0),
IF('TL07'!$B$3=J$3,SUMIF('TL07'!$C$10:$C$224,$C155,'TL07'!$J$10:$J$224),0),
IF('TL07'!$B$229=J$3,SUMIF('TL07'!$C$238:$C$451,$C155,'TL07'!$J$238:$J$451),0),
IF('TL08'!$B$3=J$3,SUMIF('TL08'!$C$10:$C$224,$C155,'TL08'!$J$10:$J$224),0),
IF('TL08'!$B$229=J$3,SUMIF('TL08'!$C$238:$C$451,$C155,'TL08'!$J$238:$J$451),0),
IF('TL09'!$B$3=J$3,SUMIF('TL09'!$C$10:$C$224,$C155,'TL09'!$J$10:$J$224),0),
IF('TL09'!$B$229=J$3,SUMIF('TL09'!$C$238:$C$451,$C155,'TL09'!$J$238:$J$451),0),
IF('TL10'!$B$3=J$3,SUMIF('TL10'!$C$10:$C$224,$C155,'TL10'!$J$10:$J$224),0),
IF('TL10'!$B$229=J$3,SUMIF('TL10'!$C$238:$C$451,$C155,'TL10'!$J$238:$J$451),0),
IF('TL11'!$B$3=J$3,SUMIF('TL11'!$C$10:$C$224,$C155,'TL11'!$J$10:$J$224),0),
IF('TL11'!$B$229=J$3,SUMIF('TL11'!$C$238:$C$451,$C155,'TL11'!$J$238:$J$451),0),
IF('TL12'!$B$3=J$3,SUMIF('TL12'!$C$10:$C$224,$C155,'TL12'!$J$10:$J$224),0),
IF('TL12'!$B$229=J$3,SUMIF('TL12'!$C$238:$C$451,$C155,'TL12'!$J$238:$J$451),0),
IF('TL13'!$B$3=J$3,SUMIF('TL13'!$C$10:$C$224,$C155,'TL13'!$J$10:$J$224),0),
IF('TL13'!$B$229=J$3,SUMIF('TL13'!$C$238:$C$451,$C155,'TL13'!$J$238:$J$451),0),
IF('TL14'!$B$3=J$3,SUMIF('TL14'!$C$10:$C$224,$C155,'TL14'!$J$10:$J$224),0),
IF('TL14'!$B$229=J$3,SUMIF('TL14'!$C$238:$C$451,$C155,'TL14'!$J$238:$J$451),0),
IF('TL15'!$B$3=J$3,SUMIF('TL15'!$C$10:$C$224,$C155,'TL15'!$J$10:$J$224),0),
IF('TL15'!$B$229=J$3,SUMIF('TL15'!$C$238:$C$451,$C155,'TL15'!$J$238:$J$451),0),
IF('TL16'!$B$3=J$3,SUMIF('TL16'!$C$10:$C$224,$C155,'TL16'!$J$10:$J$224),0),
IF('TL16'!$B$229=J$3,SUMIF('TL16'!$C$238:$C$451,$C155,'TL16'!$J$238:$J$451),0),
IF('TL17'!$B$3=J$3,SUMIF('TL17'!$C$10:$C$224,$C155,'TL17'!$J$10:$J$224),0),
IF('TL17'!$B$229=J$3,SUMIF('TL17'!$C$238:$C$451,$C155,'TL17'!$J$238:$J$451),0),
IF('TL18'!$B$3=J$3,SUMIF('TL18'!$C$10:$C$224,$C155,'TL18'!$J$10:$J$224),0),
IF('TL18'!$B$229=J$3,SUMIF('TL18'!$C$238:$C$451,$C155,'TL18'!$J$238:$J$451),0),
IF('TL19'!$B$3=J$3,SUMIF('TL19'!$C$10:$C$224,$C155,'TL19'!$J$10:$J$224),0),
IF('TL19'!$B$229=J$3,SUMIF('TL19'!$C$238:$C$451,$C155,'TL19'!$J$238:$J$451),0)
),0)</f>
        <v>0</v>
      </c>
      <c r="K155" s="9">
        <f>IFERROR(SUM(
IF('TL01'!$B$3=K$3,SUMIF('TL01'!$C$10:$C$224,$C155,'TL01'!$J$10:$J$224),0),
IF('TL01'!$B$229=K$3,SUMIF('TL01'!$C$238:$C$451,$C155,'TL01'!$J$238:$J$451),0),
IF('TL02'!$B$3=K$3,SUMIF('TL02'!$C$10:$C$224,$C155,'TL02'!$J$10:$J$224),0),
IF('TL02'!$B$229=K$3,SUMIF('TL02'!$C$238:$C$451,$C155,'TL02'!$J$238:$J$451),0),
IF('TL03'!$B$3=K$3,SUMIF('TL03'!$C$10:$C$224,$C155,'TL03'!$J$10:$J$224),0),
IF('TL03'!$B$229=K$3,SUMIF('TL03'!$C$238:$C$451,$C155,'TL03'!$J$238:$J$451),0),
IF('TL04'!$B$3=K$3,SUMIF('TL04'!$C$10:$C$224,$C155,'TL04'!$J$10:$J$224),0),
IF('TL04'!$B$229=K$3,SUMIF('TL04'!$C$238:$C$451,$C155,'TL04'!$J$238:$J$451),0),
IF('TL05'!$B$3=K$3,SUMIF('TL05'!$C$10:$C$224,$C155,'TL05'!$J$10:$J$224),0),
IF('TL05'!$B$229=K$3,SUMIF('TL05'!$C$238:$C$451,$C155,'TL05'!$J$238:$J$451),0),
IF('TL06'!$B$3=K$3,SUMIF('TL06'!$C$10:$C$224,$C155,'TL06'!$J$10:$J$224),0),
IF('TL06'!$B$229=K$3,SUMIF('TL06'!$C$238:$C$451,$C155,'TL06'!$J$238:$J$451),0),
IF('TL07'!$B$3=K$3,SUMIF('TL07'!$C$10:$C$224,$C155,'TL07'!$J$10:$J$224),0),
IF('TL07'!$B$229=K$3,SUMIF('TL07'!$C$238:$C$451,$C155,'TL07'!$J$238:$J$451),0),
IF('TL08'!$B$3=K$3,SUMIF('TL08'!$C$10:$C$224,$C155,'TL08'!$J$10:$J$224),0),
IF('TL08'!$B$229=K$3,SUMIF('TL08'!$C$238:$C$451,$C155,'TL08'!$J$238:$J$451),0),
IF('TL09'!$B$3=K$3,SUMIF('TL09'!$C$10:$C$224,$C155,'TL09'!$J$10:$J$224),0),
IF('TL09'!$B$229=K$3,SUMIF('TL09'!$C$238:$C$451,$C155,'TL09'!$J$238:$J$451),0),
IF('TL10'!$B$3=K$3,SUMIF('TL10'!$C$10:$C$224,$C155,'TL10'!$J$10:$J$224),0),
IF('TL10'!$B$229=K$3,SUMIF('TL10'!$C$238:$C$451,$C155,'TL10'!$J$238:$J$451),0),
IF('TL11'!$B$3=K$3,SUMIF('TL11'!$C$10:$C$224,$C155,'TL11'!$J$10:$J$224),0),
IF('TL11'!$B$229=K$3,SUMIF('TL11'!$C$238:$C$451,$C155,'TL11'!$J$238:$J$451),0),
IF('TL12'!$B$3=K$3,SUMIF('TL12'!$C$10:$C$224,$C155,'TL12'!$J$10:$J$224),0),
IF('TL12'!$B$229=K$3,SUMIF('TL12'!$C$238:$C$451,$C155,'TL12'!$J$238:$J$451),0),
IF('TL13'!$B$3=K$3,SUMIF('TL13'!$C$10:$C$224,$C155,'TL13'!$J$10:$J$224),0),
IF('TL13'!$B$229=K$3,SUMIF('TL13'!$C$238:$C$451,$C155,'TL13'!$J$238:$J$451),0),
IF('TL14'!$B$3=K$3,SUMIF('TL14'!$C$10:$C$224,$C155,'TL14'!$J$10:$J$224),0),
IF('TL14'!$B$229=K$3,SUMIF('TL14'!$C$238:$C$451,$C155,'TL14'!$J$238:$J$451),0),
IF('TL15'!$B$3=K$3,SUMIF('TL15'!$C$10:$C$224,$C155,'TL15'!$J$10:$J$224),0),
IF('TL15'!$B$229=K$3,SUMIF('TL15'!$C$238:$C$451,$C155,'TL15'!$J$238:$J$451),0),
IF('TL16'!$B$3=K$3,SUMIF('TL16'!$C$10:$C$224,$C155,'TL16'!$J$10:$J$224),0),
IF('TL16'!$B$229=K$3,SUMIF('TL16'!$C$238:$C$451,$C155,'TL16'!$J$238:$J$451),0),
IF('TL17'!$B$3=K$3,SUMIF('TL17'!$C$10:$C$224,$C155,'TL17'!$J$10:$J$224),0),
IF('TL17'!$B$229=K$3,SUMIF('TL17'!$C$238:$C$451,$C155,'TL17'!$J$238:$J$451),0),
IF('TL18'!$B$3=K$3,SUMIF('TL18'!$C$10:$C$224,$C155,'TL18'!$J$10:$J$224),0),
IF('TL18'!$B$229=K$3,SUMIF('TL18'!$C$238:$C$451,$C155,'TL18'!$J$238:$J$451),0),
IF('TL19'!$B$3=K$3,SUMIF('TL19'!$C$10:$C$224,$C155,'TL19'!$J$10:$J$224),0),
IF('TL19'!$B$229=K$3,SUMIF('TL19'!$C$238:$C$451,$C155,'TL19'!$J$238:$J$451),0)
),0)</f>
        <v>0</v>
      </c>
      <c r="L155" s="9">
        <f>IFERROR(SUM(
IF('TL01'!$B$3=L$3,SUMIF('TL01'!$C$10:$C$224,$C155,'TL01'!$J$10:$J$224),0),
IF('TL01'!$B$229=L$3,SUMIF('TL01'!$C$238:$C$451,$C155,'TL01'!$J$238:$J$451),0),
IF('TL02'!$B$3=L$3,SUMIF('TL02'!$C$10:$C$224,$C155,'TL02'!$J$10:$J$224),0),
IF('TL02'!$B$229=L$3,SUMIF('TL02'!$C$238:$C$451,$C155,'TL02'!$J$238:$J$451),0),
IF('TL03'!$B$3=L$3,SUMIF('TL03'!$C$10:$C$224,$C155,'TL03'!$J$10:$J$224),0),
IF('TL03'!$B$229=L$3,SUMIF('TL03'!$C$238:$C$451,$C155,'TL03'!$J$238:$J$451),0),
IF('TL04'!$B$3=L$3,SUMIF('TL04'!$C$10:$C$224,$C155,'TL04'!$J$10:$J$224),0),
IF('TL04'!$B$229=L$3,SUMIF('TL04'!$C$238:$C$451,$C155,'TL04'!$J$238:$J$451),0),
IF('TL05'!$B$3=L$3,SUMIF('TL05'!$C$10:$C$224,$C155,'TL05'!$J$10:$J$224),0),
IF('TL05'!$B$229=L$3,SUMIF('TL05'!$C$238:$C$451,$C155,'TL05'!$J$238:$J$451),0),
IF('TL06'!$B$3=L$3,SUMIF('TL06'!$C$10:$C$224,$C155,'TL06'!$J$10:$J$224),0),
IF('TL06'!$B$229=L$3,SUMIF('TL06'!$C$238:$C$451,$C155,'TL06'!$J$238:$J$451),0),
IF('TL07'!$B$3=L$3,SUMIF('TL07'!$C$10:$C$224,$C155,'TL07'!$J$10:$J$224),0),
IF('TL07'!$B$229=L$3,SUMIF('TL07'!$C$238:$C$451,$C155,'TL07'!$J$238:$J$451),0),
IF('TL08'!$B$3=L$3,SUMIF('TL08'!$C$10:$C$224,$C155,'TL08'!$J$10:$J$224),0),
IF('TL08'!$B$229=L$3,SUMIF('TL08'!$C$238:$C$451,$C155,'TL08'!$J$238:$J$451),0),
IF('TL09'!$B$3=L$3,SUMIF('TL09'!$C$10:$C$224,$C155,'TL09'!$J$10:$J$224),0),
IF('TL09'!$B$229=L$3,SUMIF('TL09'!$C$238:$C$451,$C155,'TL09'!$J$238:$J$451),0),
IF('TL10'!$B$3=L$3,SUMIF('TL10'!$C$10:$C$224,$C155,'TL10'!$J$10:$J$224),0),
IF('TL10'!$B$229=L$3,SUMIF('TL10'!$C$238:$C$451,$C155,'TL10'!$J$238:$J$451),0),
IF('TL11'!$B$3=L$3,SUMIF('TL11'!$C$10:$C$224,$C155,'TL11'!$J$10:$J$224),0),
IF('TL11'!$B$229=L$3,SUMIF('TL11'!$C$238:$C$451,$C155,'TL11'!$J$238:$J$451),0),
IF('TL12'!$B$3=L$3,SUMIF('TL12'!$C$10:$C$224,$C155,'TL12'!$J$10:$J$224),0),
IF('TL12'!$B$229=L$3,SUMIF('TL12'!$C$238:$C$451,$C155,'TL12'!$J$238:$J$451),0),
IF('TL13'!$B$3=L$3,SUMIF('TL13'!$C$10:$C$224,$C155,'TL13'!$J$10:$J$224),0),
IF('TL13'!$B$229=L$3,SUMIF('TL13'!$C$238:$C$451,$C155,'TL13'!$J$238:$J$451),0),
IF('TL14'!$B$3=L$3,SUMIF('TL14'!$C$10:$C$224,$C155,'TL14'!$J$10:$J$224),0),
IF('TL14'!$B$229=L$3,SUMIF('TL14'!$C$238:$C$451,$C155,'TL14'!$J$238:$J$451),0),
IF('TL15'!$B$3=L$3,SUMIF('TL15'!$C$10:$C$224,$C155,'TL15'!$J$10:$J$224),0),
IF('TL15'!$B$229=L$3,SUMIF('TL15'!$C$238:$C$451,$C155,'TL15'!$J$238:$J$451),0),
IF('TL16'!$B$3=L$3,SUMIF('TL16'!$C$10:$C$224,$C155,'TL16'!$J$10:$J$224),0),
IF('TL16'!$B$229=L$3,SUMIF('TL16'!$C$238:$C$451,$C155,'TL16'!$J$238:$J$451),0),
IF('TL17'!$B$3=L$3,SUMIF('TL17'!$C$10:$C$224,$C155,'TL17'!$J$10:$J$224),0),
IF('TL17'!$B$229=L$3,SUMIF('TL17'!$C$238:$C$451,$C155,'TL17'!$J$238:$J$451),0),
IF('TL18'!$B$3=L$3,SUMIF('TL18'!$C$10:$C$224,$C155,'TL18'!$J$10:$J$224),0),
IF('TL18'!$B$229=L$3,SUMIF('TL18'!$C$238:$C$451,$C155,'TL18'!$J$238:$J$451),0),
IF('TL19'!$B$3=L$3,SUMIF('TL19'!$C$10:$C$224,$C155,'TL19'!$J$10:$J$224),0),
IF('TL19'!$B$229=L$3,SUMIF('TL19'!$C$238:$C$451,$C155,'TL19'!$J$238:$J$451),0)
),0)</f>
        <v>0</v>
      </c>
      <c r="M155" s="9">
        <f>IFERROR(SUM(
IF('TL01'!$B$3=M$3,SUMIF('TL01'!$C$10:$C$224,$C155,'TL01'!$J$10:$J$224),0),
IF('TL01'!$B$229=M$3,SUMIF('TL01'!$C$238:$C$451,$C155,'TL01'!$J$238:$J$451),0),
IF('TL02'!$B$3=M$3,SUMIF('TL02'!$C$10:$C$224,$C155,'TL02'!$J$10:$J$224),0),
IF('TL02'!$B$229=M$3,SUMIF('TL02'!$C$238:$C$451,$C155,'TL02'!$J$238:$J$451),0),
IF('TL03'!$B$3=M$3,SUMIF('TL03'!$C$10:$C$224,$C155,'TL03'!$J$10:$J$224),0),
IF('TL03'!$B$229=M$3,SUMIF('TL03'!$C$238:$C$451,$C155,'TL03'!$J$238:$J$451),0),
IF('TL04'!$B$3=M$3,SUMIF('TL04'!$C$10:$C$224,$C155,'TL04'!$J$10:$J$224),0),
IF('TL04'!$B$229=M$3,SUMIF('TL04'!$C$238:$C$451,$C155,'TL04'!$J$238:$J$451),0),
IF('TL05'!$B$3=M$3,SUMIF('TL05'!$C$10:$C$224,$C155,'TL05'!$J$10:$J$224),0),
IF('TL05'!$B$229=M$3,SUMIF('TL05'!$C$238:$C$451,$C155,'TL05'!$J$238:$J$451),0),
IF('TL06'!$B$3=M$3,SUMIF('TL06'!$C$10:$C$224,$C155,'TL06'!$J$10:$J$224),0),
IF('TL06'!$B$229=M$3,SUMIF('TL06'!$C$238:$C$451,$C155,'TL06'!$J$238:$J$451),0),
IF('TL07'!$B$3=M$3,SUMIF('TL07'!$C$10:$C$224,$C155,'TL07'!$J$10:$J$224),0),
IF('TL07'!$B$229=M$3,SUMIF('TL07'!$C$238:$C$451,$C155,'TL07'!$J$238:$J$451),0),
IF('TL08'!$B$3=M$3,SUMIF('TL08'!$C$10:$C$224,$C155,'TL08'!$J$10:$J$224),0),
IF('TL08'!$B$229=M$3,SUMIF('TL08'!$C$238:$C$451,$C155,'TL08'!$J$238:$J$451),0),
IF('TL09'!$B$3=M$3,SUMIF('TL09'!$C$10:$C$224,$C155,'TL09'!$J$10:$J$224),0),
IF('TL09'!$B$229=M$3,SUMIF('TL09'!$C$238:$C$451,$C155,'TL09'!$J$238:$J$451),0),
IF('TL10'!$B$3=M$3,SUMIF('TL10'!$C$10:$C$224,$C155,'TL10'!$J$10:$J$224),0),
IF('TL10'!$B$229=M$3,SUMIF('TL10'!$C$238:$C$451,$C155,'TL10'!$J$238:$J$451),0),
IF('TL11'!$B$3=M$3,SUMIF('TL11'!$C$10:$C$224,$C155,'TL11'!$J$10:$J$224),0),
IF('TL11'!$B$229=M$3,SUMIF('TL11'!$C$238:$C$451,$C155,'TL11'!$J$238:$J$451),0),
IF('TL12'!$B$3=M$3,SUMIF('TL12'!$C$10:$C$224,$C155,'TL12'!$J$10:$J$224),0),
IF('TL12'!$B$229=M$3,SUMIF('TL12'!$C$238:$C$451,$C155,'TL12'!$J$238:$J$451),0),
IF('TL13'!$B$3=M$3,SUMIF('TL13'!$C$10:$C$224,$C155,'TL13'!$J$10:$J$224),0),
IF('TL13'!$B$229=M$3,SUMIF('TL13'!$C$238:$C$451,$C155,'TL13'!$J$238:$J$451),0),
IF('TL14'!$B$3=M$3,SUMIF('TL14'!$C$10:$C$224,$C155,'TL14'!$J$10:$J$224),0),
IF('TL14'!$B$229=M$3,SUMIF('TL14'!$C$238:$C$451,$C155,'TL14'!$J$238:$J$451),0),
IF('TL15'!$B$3=M$3,SUMIF('TL15'!$C$10:$C$224,$C155,'TL15'!$J$10:$J$224),0),
IF('TL15'!$B$229=M$3,SUMIF('TL15'!$C$238:$C$451,$C155,'TL15'!$J$238:$J$451),0),
IF('TL16'!$B$3=M$3,SUMIF('TL16'!$C$10:$C$224,$C155,'TL16'!$J$10:$J$224),0),
IF('TL16'!$B$229=M$3,SUMIF('TL16'!$C$238:$C$451,$C155,'TL16'!$J$238:$J$451),0),
IF('TL17'!$B$3=M$3,SUMIF('TL17'!$C$10:$C$224,$C155,'TL17'!$J$10:$J$224),0),
IF('TL17'!$B$229=M$3,SUMIF('TL17'!$C$238:$C$451,$C155,'TL17'!$J$238:$J$451),0),
IF('TL18'!$B$3=M$3,SUMIF('TL18'!$C$10:$C$224,$C155,'TL18'!$J$10:$J$224),0),
IF('TL18'!$B$229=M$3,SUMIF('TL18'!$C$238:$C$451,$C155,'TL18'!$J$238:$J$451),0),
IF('TL19'!$B$3=M$3,SUMIF('TL19'!$C$10:$C$224,$C155,'TL19'!$J$10:$J$224),0),
IF('TL19'!$B$229=M$3,SUMIF('TL19'!$C$238:$C$451,$C155,'TL19'!$J$238:$J$451),0)
),0)</f>
        <v>0</v>
      </c>
      <c r="N155" s="9">
        <f>IFERROR(SUM(
IF('TL01'!$B$3=N$3,SUMIF('TL01'!$C$10:$C$224,$C155,'TL01'!$J$10:$J$224),0),
IF('TL01'!$B$229=N$3,SUMIF('TL01'!$C$238:$C$451,$C155,'TL01'!$J$238:$J$451),0),
IF('TL02'!$B$3=N$3,SUMIF('TL02'!$C$10:$C$224,$C155,'TL02'!$J$10:$J$224),0),
IF('TL02'!$B$229=N$3,SUMIF('TL02'!$C$238:$C$451,$C155,'TL02'!$J$238:$J$451),0),
IF('TL03'!$B$3=N$3,SUMIF('TL03'!$C$10:$C$224,$C155,'TL03'!$J$10:$J$224),0),
IF('TL03'!$B$229=N$3,SUMIF('TL03'!$C$238:$C$451,$C155,'TL03'!$J$238:$J$451),0),
IF('TL04'!$B$3=N$3,SUMIF('TL04'!$C$10:$C$224,$C155,'TL04'!$J$10:$J$224),0),
IF('TL04'!$B$229=N$3,SUMIF('TL04'!$C$238:$C$451,$C155,'TL04'!$J$238:$J$451),0),
IF('TL05'!$B$3=N$3,SUMIF('TL05'!$C$10:$C$224,$C155,'TL05'!$J$10:$J$224),0),
IF('TL05'!$B$229=N$3,SUMIF('TL05'!$C$238:$C$451,$C155,'TL05'!$J$238:$J$451),0),
IF('TL06'!$B$3=N$3,SUMIF('TL06'!$C$10:$C$224,$C155,'TL06'!$J$10:$J$224),0),
IF('TL06'!$B$229=N$3,SUMIF('TL06'!$C$238:$C$451,$C155,'TL06'!$J$238:$J$451),0),
IF('TL07'!$B$3=N$3,SUMIF('TL07'!$C$10:$C$224,$C155,'TL07'!$J$10:$J$224),0),
IF('TL07'!$B$229=N$3,SUMIF('TL07'!$C$238:$C$451,$C155,'TL07'!$J$238:$J$451),0),
IF('TL08'!$B$3=N$3,SUMIF('TL08'!$C$10:$C$224,$C155,'TL08'!$J$10:$J$224),0),
IF('TL08'!$B$229=N$3,SUMIF('TL08'!$C$238:$C$451,$C155,'TL08'!$J$238:$J$451),0),
IF('TL09'!$B$3=N$3,SUMIF('TL09'!$C$10:$C$224,$C155,'TL09'!$J$10:$J$224),0),
IF('TL09'!$B$229=N$3,SUMIF('TL09'!$C$238:$C$451,$C155,'TL09'!$J$238:$J$451),0),
IF('TL10'!$B$3=N$3,SUMIF('TL10'!$C$10:$C$224,$C155,'TL10'!$J$10:$J$224),0),
IF('TL10'!$B$229=N$3,SUMIF('TL10'!$C$238:$C$451,$C155,'TL10'!$J$238:$J$451),0),
IF('TL11'!$B$3=N$3,SUMIF('TL11'!$C$10:$C$224,$C155,'TL11'!$J$10:$J$224),0),
IF('TL11'!$B$229=N$3,SUMIF('TL11'!$C$238:$C$451,$C155,'TL11'!$J$238:$J$451),0),
IF('TL12'!$B$3=N$3,SUMIF('TL12'!$C$10:$C$224,$C155,'TL12'!$J$10:$J$224),0),
IF('TL12'!$B$229=N$3,SUMIF('TL12'!$C$238:$C$451,$C155,'TL12'!$J$238:$J$451),0),
IF('TL13'!$B$3=N$3,SUMIF('TL13'!$C$10:$C$224,$C155,'TL13'!$J$10:$J$224),0),
IF('TL13'!$B$229=N$3,SUMIF('TL13'!$C$238:$C$451,$C155,'TL13'!$J$238:$J$451),0),
IF('TL14'!$B$3=N$3,SUMIF('TL14'!$C$10:$C$224,$C155,'TL14'!$J$10:$J$224),0),
IF('TL14'!$B$229=N$3,SUMIF('TL14'!$C$238:$C$451,$C155,'TL14'!$J$238:$J$451),0),
IF('TL15'!$B$3=N$3,SUMIF('TL15'!$C$10:$C$224,$C155,'TL15'!$J$10:$J$224),0),
IF('TL15'!$B$229=N$3,SUMIF('TL15'!$C$238:$C$451,$C155,'TL15'!$J$238:$J$451),0),
IF('TL16'!$B$3=N$3,SUMIF('TL16'!$C$10:$C$224,$C155,'TL16'!$J$10:$J$224),0),
IF('TL16'!$B$229=N$3,SUMIF('TL16'!$C$238:$C$451,$C155,'TL16'!$J$238:$J$451),0),
IF('TL17'!$B$3=N$3,SUMIF('TL17'!$C$10:$C$224,$C155,'TL17'!$J$10:$J$224),0),
IF('TL17'!$B$229=N$3,SUMIF('TL17'!$C$238:$C$451,$C155,'TL17'!$J$238:$J$451),0),
IF('TL18'!$B$3=N$3,SUMIF('TL18'!$C$10:$C$224,$C155,'TL18'!$J$10:$J$224),0),
IF('TL18'!$B$229=N$3,SUMIF('TL18'!$C$238:$C$451,$C155,'TL18'!$J$238:$J$451),0),
IF('TL19'!$B$3=N$3,SUMIF('TL19'!$C$10:$C$224,$C155,'TL19'!$J$10:$J$224),0),
IF('TL19'!$B$229=N$3,SUMIF('TL19'!$C$238:$C$451,$C155,'TL19'!$J$238:$J$451),0)
),0)</f>
        <v>0</v>
      </c>
      <c r="O155" s="9">
        <f>IFERROR(SUM(
IF('TL01'!$B$3=O$3,SUMIF('TL01'!$C$10:$C$224,$C155,'TL01'!$J$10:$J$224),0),
IF('TL01'!$B$229=O$3,SUMIF('TL01'!$C$238:$C$451,$C155,'TL01'!$J$238:$J$451),0),
IF('TL02'!$B$3=O$3,SUMIF('TL02'!$C$10:$C$224,$C155,'TL02'!$J$10:$J$224),0),
IF('TL02'!$B$229=O$3,SUMIF('TL02'!$C$238:$C$451,$C155,'TL02'!$J$238:$J$451),0),
IF('TL03'!$B$3=O$3,SUMIF('TL03'!$C$10:$C$224,$C155,'TL03'!$J$10:$J$224),0),
IF('TL03'!$B$229=O$3,SUMIF('TL03'!$C$238:$C$451,$C155,'TL03'!$J$238:$J$451),0),
IF('TL04'!$B$3=O$3,SUMIF('TL04'!$C$10:$C$224,$C155,'TL04'!$J$10:$J$224),0),
IF('TL04'!$B$229=O$3,SUMIF('TL04'!$C$238:$C$451,$C155,'TL04'!$J$238:$J$451),0),
IF('TL05'!$B$3=O$3,SUMIF('TL05'!$C$10:$C$224,$C155,'TL05'!$J$10:$J$224),0),
IF('TL05'!$B$229=O$3,SUMIF('TL05'!$C$238:$C$451,$C155,'TL05'!$J$238:$J$451),0),
IF('TL06'!$B$3=O$3,SUMIF('TL06'!$C$10:$C$224,$C155,'TL06'!$J$10:$J$224),0),
IF('TL06'!$B$229=O$3,SUMIF('TL06'!$C$238:$C$451,$C155,'TL06'!$J$238:$J$451),0),
IF('TL07'!$B$3=O$3,SUMIF('TL07'!$C$10:$C$224,$C155,'TL07'!$J$10:$J$224),0),
IF('TL07'!$B$229=O$3,SUMIF('TL07'!$C$238:$C$451,$C155,'TL07'!$J$238:$J$451),0),
IF('TL08'!$B$3=O$3,SUMIF('TL08'!$C$10:$C$224,$C155,'TL08'!$J$10:$J$224),0),
IF('TL08'!$B$229=O$3,SUMIF('TL08'!$C$238:$C$451,$C155,'TL08'!$J$238:$J$451),0),
IF('TL09'!$B$3=O$3,SUMIF('TL09'!$C$10:$C$224,$C155,'TL09'!$J$10:$J$224),0),
IF('TL09'!$B$229=O$3,SUMIF('TL09'!$C$238:$C$451,$C155,'TL09'!$J$238:$J$451),0),
IF('TL10'!$B$3=O$3,SUMIF('TL10'!$C$10:$C$224,$C155,'TL10'!$J$10:$J$224),0),
IF('TL10'!$B$229=O$3,SUMIF('TL10'!$C$238:$C$451,$C155,'TL10'!$J$238:$J$451),0),
IF('TL11'!$B$3=O$3,SUMIF('TL11'!$C$10:$C$224,$C155,'TL11'!$J$10:$J$224),0),
IF('TL11'!$B$229=O$3,SUMIF('TL11'!$C$238:$C$451,$C155,'TL11'!$J$238:$J$451),0),
IF('TL12'!$B$3=O$3,SUMIF('TL12'!$C$10:$C$224,$C155,'TL12'!$J$10:$J$224),0),
IF('TL12'!$B$229=O$3,SUMIF('TL12'!$C$238:$C$451,$C155,'TL12'!$J$238:$J$451),0),
IF('TL13'!$B$3=O$3,SUMIF('TL13'!$C$10:$C$224,$C155,'TL13'!$J$10:$J$224),0),
IF('TL13'!$B$229=O$3,SUMIF('TL13'!$C$238:$C$451,$C155,'TL13'!$J$238:$J$451),0),
IF('TL14'!$B$3=O$3,SUMIF('TL14'!$C$10:$C$224,$C155,'TL14'!$J$10:$J$224),0),
IF('TL14'!$B$229=O$3,SUMIF('TL14'!$C$238:$C$451,$C155,'TL14'!$J$238:$J$451),0),
IF('TL15'!$B$3=O$3,SUMIF('TL15'!$C$10:$C$224,$C155,'TL15'!$J$10:$J$224),0),
IF('TL15'!$B$229=O$3,SUMIF('TL15'!$C$238:$C$451,$C155,'TL15'!$J$238:$J$451),0),
IF('TL16'!$B$3=O$3,SUMIF('TL16'!$C$10:$C$224,$C155,'TL16'!$J$10:$J$224),0),
IF('TL16'!$B$229=O$3,SUMIF('TL16'!$C$238:$C$451,$C155,'TL16'!$J$238:$J$451),0),
IF('TL17'!$B$3=O$3,SUMIF('TL17'!$C$10:$C$224,$C155,'TL17'!$J$10:$J$224),0),
IF('TL17'!$B$229=O$3,SUMIF('TL17'!$C$238:$C$451,$C155,'TL17'!$J$238:$J$451),0),
IF('TL18'!$B$3=O$3,SUMIF('TL18'!$C$10:$C$224,$C155,'TL18'!$J$10:$J$224),0),
IF('TL18'!$B$229=O$3,SUMIF('TL18'!$C$238:$C$451,$C155,'TL18'!$J$238:$J$451),0),
IF('TL19'!$B$3=O$3,SUMIF('TL19'!$C$10:$C$224,$C155,'TL19'!$J$10:$J$224),0),
IF('TL19'!$B$229=O$3,SUMIF('TL19'!$C$238:$C$451,$C155,'TL19'!$J$238:$J$451),0)
),0)</f>
        <v>0</v>
      </c>
      <c r="P155" s="9">
        <f>IFERROR(SUM(
IF('TL01'!$B$3=P$3,SUMIF('TL01'!$C$10:$C$224,$C155,'TL01'!$J$10:$J$224),0),
IF('TL01'!$B$229=P$3,SUMIF('TL01'!$C$238:$C$451,$C155,'TL01'!$J$238:$J$451),0),
IF('TL02'!$B$3=P$3,SUMIF('TL02'!$C$10:$C$224,$C155,'TL02'!$J$10:$J$224),0),
IF('TL02'!$B$229=P$3,SUMIF('TL02'!$C$238:$C$451,$C155,'TL02'!$J$238:$J$451),0),
IF('TL03'!$B$3=P$3,SUMIF('TL03'!$C$10:$C$224,$C155,'TL03'!$J$10:$J$224),0),
IF('TL03'!$B$229=P$3,SUMIF('TL03'!$C$238:$C$451,$C155,'TL03'!$J$238:$J$451),0),
IF('TL04'!$B$3=P$3,SUMIF('TL04'!$C$10:$C$224,$C155,'TL04'!$J$10:$J$224),0),
IF('TL04'!$B$229=P$3,SUMIF('TL04'!$C$238:$C$451,$C155,'TL04'!$J$238:$J$451),0),
IF('TL05'!$B$3=P$3,SUMIF('TL05'!$C$10:$C$224,$C155,'TL05'!$J$10:$J$224),0),
IF('TL05'!$B$229=P$3,SUMIF('TL05'!$C$238:$C$451,$C155,'TL05'!$J$238:$J$451),0),
IF('TL06'!$B$3=P$3,SUMIF('TL06'!$C$10:$C$224,$C155,'TL06'!$J$10:$J$224),0),
IF('TL06'!$B$229=P$3,SUMIF('TL06'!$C$238:$C$451,$C155,'TL06'!$J$238:$J$451),0),
IF('TL07'!$B$3=P$3,SUMIF('TL07'!$C$10:$C$224,$C155,'TL07'!$J$10:$J$224),0),
IF('TL07'!$B$229=P$3,SUMIF('TL07'!$C$238:$C$451,$C155,'TL07'!$J$238:$J$451),0),
IF('TL08'!$B$3=P$3,SUMIF('TL08'!$C$10:$C$224,$C155,'TL08'!$J$10:$J$224),0),
IF('TL08'!$B$229=P$3,SUMIF('TL08'!$C$238:$C$451,$C155,'TL08'!$J$238:$J$451),0),
IF('TL09'!$B$3=P$3,SUMIF('TL09'!$C$10:$C$224,$C155,'TL09'!$J$10:$J$224),0),
IF('TL09'!$B$229=P$3,SUMIF('TL09'!$C$238:$C$451,$C155,'TL09'!$J$238:$J$451),0),
IF('TL10'!$B$3=P$3,SUMIF('TL10'!$C$10:$C$224,$C155,'TL10'!$J$10:$J$224),0),
IF('TL10'!$B$229=P$3,SUMIF('TL10'!$C$238:$C$451,$C155,'TL10'!$J$238:$J$451),0),
IF('TL11'!$B$3=P$3,SUMIF('TL11'!$C$10:$C$224,$C155,'TL11'!$J$10:$J$224),0),
IF('TL11'!$B$229=P$3,SUMIF('TL11'!$C$238:$C$451,$C155,'TL11'!$J$238:$J$451),0),
IF('TL12'!$B$3=P$3,SUMIF('TL12'!$C$10:$C$224,$C155,'TL12'!$J$10:$J$224),0),
IF('TL12'!$B$229=P$3,SUMIF('TL12'!$C$238:$C$451,$C155,'TL12'!$J$238:$J$451),0),
IF('TL13'!$B$3=P$3,SUMIF('TL13'!$C$10:$C$224,$C155,'TL13'!$J$10:$J$224),0),
IF('TL13'!$B$229=P$3,SUMIF('TL13'!$C$238:$C$451,$C155,'TL13'!$J$238:$J$451),0),
IF('TL14'!$B$3=P$3,SUMIF('TL14'!$C$10:$C$224,$C155,'TL14'!$J$10:$J$224),0),
IF('TL14'!$B$229=P$3,SUMIF('TL14'!$C$238:$C$451,$C155,'TL14'!$J$238:$J$451),0),
IF('TL15'!$B$3=P$3,SUMIF('TL15'!$C$10:$C$224,$C155,'TL15'!$J$10:$J$224),0),
IF('TL15'!$B$229=P$3,SUMIF('TL15'!$C$238:$C$451,$C155,'TL15'!$J$238:$J$451),0),
IF('TL16'!$B$3=P$3,SUMIF('TL16'!$C$10:$C$224,$C155,'TL16'!$J$10:$J$224),0),
IF('TL16'!$B$229=P$3,SUMIF('TL16'!$C$238:$C$451,$C155,'TL16'!$J$238:$J$451),0),
IF('TL17'!$B$3=P$3,SUMIF('TL17'!$C$10:$C$224,$C155,'TL17'!$J$10:$J$224),0),
IF('TL17'!$B$229=P$3,SUMIF('TL17'!$C$238:$C$451,$C155,'TL17'!$J$238:$J$451),0),
IF('TL18'!$B$3=P$3,SUMIF('TL18'!$C$10:$C$224,$C155,'TL18'!$J$10:$J$224),0),
IF('TL18'!$B$229=P$3,SUMIF('TL18'!$C$238:$C$451,$C155,'TL18'!$J$238:$J$451),0),
IF('TL19'!$B$3=P$3,SUMIF('TL19'!$C$10:$C$224,$C155,'TL19'!$J$10:$J$224),0),
IF('TL19'!$B$229=P$3,SUMIF('TL19'!$C$238:$C$451,$C155,'TL19'!$J$238:$J$451),0)
),0)</f>
        <v>0</v>
      </c>
      <c r="Q155" s="9">
        <f>IFERROR(SUM(
IF('TL01'!$B$3=Q$3,SUMIF('TL01'!$C$10:$C$224,$C155,'TL01'!$J$10:$J$224),0),
IF('TL01'!$B$229=Q$3,SUMIF('TL01'!$C$238:$C$451,$C155,'TL01'!$J$238:$J$451),0),
IF('TL02'!$B$3=Q$3,SUMIF('TL02'!$C$10:$C$224,$C155,'TL02'!$J$10:$J$224),0),
IF('TL02'!$B$229=Q$3,SUMIF('TL02'!$C$238:$C$451,$C155,'TL02'!$J$238:$J$451),0),
IF('TL03'!$B$3=Q$3,SUMIF('TL03'!$C$10:$C$224,$C155,'TL03'!$J$10:$J$224),0),
IF('TL03'!$B$229=Q$3,SUMIF('TL03'!$C$238:$C$451,$C155,'TL03'!$J$238:$J$451),0),
IF('TL04'!$B$3=Q$3,SUMIF('TL04'!$C$10:$C$224,$C155,'TL04'!$J$10:$J$224),0),
IF('TL04'!$B$229=Q$3,SUMIF('TL04'!$C$238:$C$451,$C155,'TL04'!$J$238:$J$451),0),
IF('TL05'!$B$3=Q$3,SUMIF('TL05'!$C$10:$C$224,$C155,'TL05'!$J$10:$J$224),0),
IF('TL05'!$B$229=Q$3,SUMIF('TL05'!$C$238:$C$451,$C155,'TL05'!$J$238:$J$451),0),
IF('TL06'!$B$3=Q$3,SUMIF('TL06'!$C$10:$C$224,$C155,'TL06'!$J$10:$J$224),0),
IF('TL06'!$B$229=Q$3,SUMIF('TL06'!$C$238:$C$451,$C155,'TL06'!$J$238:$J$451),0),
IF('TL07'!$B$3=Q$3,SUMIF('TL07'!$C$10:$C$224,$C155,'TL07'!$J$10:$J$224),0),
IF('TL07'!$B$229=Q$3,SUMIF('TL07'!$C$238:$C$451,$C155,'TL07'!$J$238:$J$451),0),
IF('TL08'!$B$3=Q$3,SUMIF('TL08'!$C$10:$C$224,$C155,'TL08'!$J$10:$J$224),0),
IF('TL08'!$B$229=Q$3,SUMIF('TL08'!$C$238:$C$451,$C155,'TL08'!$J$238:$J$451),0),
IF('TL09'!$B$3=Q$3,SUMIF('TL09'!$C$10:$C$224,$C155,'TL09'!$J$10:$J$224),0),
IF('TL09'!$B$229=Q$3,SUMIF('TL09'!$C$238:$C$451,$C155,'TL09'!$J$238:$J$451),0),
IF('TL10'!$B$3=Q$3,SUMIF('TL10'!$C$10:$C$224,$C155,'TL10'!$J$10:$J$224),0),
IF('TL10'!$B$229=Q$3,SUMIF('TL10'!$C$238:$C$451,$C155,'TL10'!$J$238:$J$451),0),
IF('TL11'!$B$3=Q$3,SUMIF('TL11'!$C$10:$C$224,$C155,'TL11'!$J$10:$J$224),0),
IF('TL11'!$B$229=Q$3,SUMIF('TL11'!$C$238:$C$451,$C155,'TL11'!$J$238:$J$451),0),
IF('TL12'!$B$3=Q$3,SUMIF('TL12'!$C$10:$C$224,$C155,'TL12'!$J$10:$J$224),0),
IF('TL12'!$B$229=Q$3,SUMIF('TL12'!$C$238:$C$451,$C155,'TL12'!$J$238:$J$451),0),
IF('TL13'!$B$3=Q$3,SUMIF('TL13'!$C$10:$C$224,$C155,'TL13'!$J$10:$J$224),0),
IF('TL13'!$B$229=Q$3,SUMIF('TL13'!$C$238:$C$451,$C155,'TL13'!$J$238:$J$451),0),
IF('TL14'!$B$3=Q$3,SUMIF('TL14'!$C$10:$C$224,$C155,'TL14'!$J$10:$J$224),0),
IF('TL14'!$B$229=Q$3,SUMIF('TL14'!$C$238:$C$451,$C155,'TL14'!$J$238:$J$451),0),
IF('TL15'!$B$3=Q$3,SUMIF('TL15'!$C$10:$C$224,$C155,'TL15'!$J$10:$J$224),0),
IF('TL15'!$B$229=Q$3,SUMIF('TL15'!$C$238:$C$451,$C155,'TL15'!$J$238:$J$451),0),
IF('TL16'!$B$3=Q$3,SUMIF('TL16'!$C$10:$C$224,$C155,'TL16'!$J$10:$J$224),0),
IF('TL16'!$B$229=Q$3,SUMIF('TL16'!$C$238:$C$451,$C155,'TL16'!$J$238:$J$451),0),
IF('TL17'!$B$3=Q$3,SUMIF('TL17'!$C$10:$C$224,$C155,'TL17'!$J$10:$J$224),0),
IF('TL17'!$B$229=Q$3,SUMIF('TL17'!$C$238:$C$451,$C155,'TL17'!$J$238:$J$451),0),
IF('TL18'!$B$3=Q$3,SUMIF('TL18'!$C$10:$C$224,$C155,'TL18'!$J$10:$J$224),0),
IF('TL18'!$B$229=Q$3,SUMIF('TL18'!$C$238:$C$451,$C155,'TL18'!$J$238:$J$451),0),
IF('TL19'!$B$3=Q$3,SUMIF('TL19'!$C$10:$C$224,$C155,'TL19'!$J$10:$J$224),0),
IF('TL19'!$B$229=Q$3,SUMIF('TL19'!$C$238:$C$451,$C155,'TL19'!$J$238:$J$451),0)
),0)</f>
        <v>0</v>
      </c>
      <c r="R155" s="9">
        <f>IFERROR(
SUM(
SUMIF('TL01'!C:C,C155,'TL01'!J:J),
SUMIF('TL02'!C:C,C155,'TL02'!J:J),
SUMIF('TL03'!C:C,C155,'TL03'!J:J),
SUMIF('TL04'!C:C,C155,'TL04'!J:J),
SUMIF('TL05'!C:C,C155,'TL05'!J:J),
SUMIF('TL06'!C:C,C155,'TL06'!J:J),
SUMIF('TL07'!C:C,C155,'TL07'!J:J),
SUMIF('TL08'!C:C,C155,'TL08'!J:J),
SUMIF('TL09'!C:C,C155,'TL09'!J:J),
SUMIF('TL10'!C:C,C155,'TL10'!J:J),
SUMIF('TL11'!C:C,C155,'TL11'!J:J),
SUMIF('TL12'!C:C,C155,'TL12'!J:J),
SUMIF('TL13'!C:C,C155,'TL13'!J:J),
SUMIF('TL14'!C:C,C155,'TL14'!J:J),
SUMIF('TL15'!C:C,C155,'TL15'!J:J),
SUMIF('TL16'!C:C,C155,'TL16'!J:J),
SUMIF('TL17'!C:C,C155,'TL17'!J:J),
SUMIF('TL18'!C:C,C155,'TL18'!J:J),SUMIF('TL19'!C:C,C155,'TL19'!J:J))
,0)</f>
        <v>0</v>
      </c>
      <c r="S155" s="17">
        <f>IFERROR(__xludf.DUMMYFUNCTION("IFERROR(VLOOKUP(C155,
IMPORTRANGE(""1wULbzX32WdYsx-lj2U3uUNBBe2INVIRDtcK0d-Dvl90"",
""26-27!C:G""),
5,
FALSE),
"""")"),27.111739999999998)</f>
        <v>27.11174</v>
      </c>
      <c r="T155" s="9"/>
      <c r="U155" s="92">
        <f t="shared" si="2"/>
        <v>0</v>
      </c>
      <c r="V155" s="93">
        <f t="shared" si="3"/>
        <v>0</v>
      </c>
    </row>
    <row r="156" ht="15.75" hidden="1" customHeight="1">
      <c r="A156" s="115" t="s">
        <v>356</v>
      </c>
      <c r="B156" s="100" t="s">
        <v>1</v>
      </c>
      <c r="C156" s="116" t="s">
        <v>716</v>
      </c>
      <c r="D156" s="116" t="s">
        <v>717</v>
      </c>
      <c r="E156" s="116">
        <v>500.0</v>
      </c>
      <c r="F156" s="4" t="s">
        <v>343</v>
      </c>
      <c r="G156" s="90" t="str">
        <f t="shared" si="4"/>
        <v>📄 Ver bula</v>
      </c>
      <c r="H156" s="9">
        <f>IFERROR(__xludf.DUMMYFUNCTION("IFERROR(VLOOKUP(C156,
IMPORTRANGE(""1wULbzX32WdYsx-lj2U3uUNBBe2INVIRDtcK0d-Dvl90"",
""26-27!C:K""),
8,
FALSE),
"""")"),0.1)</f>
        <v>0.1</v>
      </c>
      <c r="I156" s="117" t="s">
        <v>361</v>
      </c>
      <c r="J156" s="9">
        <f>IFERROR(SUM(
IF('TL01'!$B$3=J$3,SUMIF('TL01'!$C$10:$C$224,$C156,'TL01'!$J$10:$J$224),0),
IF('TL01'!$B$229=J$3,SUMIF('TL01'!$C$238:$C$451,$C156,'TL01'!$J$238:$J$451),0),
IF('TL02'!$B$3=J$3,SUMIF('TL02'!$C$10:$C$224,$C156,'TL02'!$J$10:$J$224),0),
IF('TL02'!$B$229=J$3,SUMIF('TL02'!$C$238:$C$451,$C156,'TL02'!$J$238:$J$451),0),
IF('TL03'!$B$3=J$3,SUMIF('TL03'!$C$10:$C$224,$C156,'TL03'!$J$10:$J$224),0),
IF('TL03'!$B$229=J$3,SUMIF('TL03'!$C$238:$C$451,$C156,'TL03'!$J$238:$J$451),0),
IF('TL04'!$B$3=J$3,SUMIF('TL04'!$C$10:$C$224,$C156,'TL04'!$J$10:$J$224),0),
IF('TL04'!$B$229=J$3,SUMIF('TL04'!$C$238:$C$451,$C156,'TL04'!$J$238:$J$451),0),
IF('TL05'!$B$3=J$3,SUMIF('TL05'!$C$10:$C$224,$C156,'TL05'!$J$10:$J$224),0),
IF('TL05'!$B$229=J$3,SUMIF('TL05'!$C$238:$C$451,$C156,'TL05'!$J$238:$J$451),0),
IF('TL06'!$B$3=J$3,SUMIF('TL06'!$C$10:$C$224,$C156,'TL06'!$J$10:$J$224),0),
IF('TL06'!$B$229=J$3,SUMIF('TL06'!$C$238:$C$451,$C156,'TL06'!$J$238:$J$451),0),
IF('TL07'!$B$3=J$3,SUMIF('TL07'!$C$10:$C$224,$C156,'TL07'!$J$10:$J$224),0),
IF('TL07'!$B$229=J$3,SUMIF('TL07'!$C$238:$C$451,$C156,'TL07'!$J$238:$J$451),0),
IF('TL08'!$B$3=J$3,SUMIF('TL08'!$C$10:$C$224,$C156,'TL08'!$J$10:$J$224),0),
IF('TL08'!$B$229=J$3,SUMIF('TL08'!$C$238:$C$451,$C156,'TL08'!$J$238:$J$451),0),
IF('TL09'!$B$3=J$3,SUMIF('TL09'!$C$10:$C$224,$C156,'TL09'!$J$10:$J$224),0),
IF('TL09'!$B$229=J$3,SUMIF('TL09'!$C$238:$C$451,$C156,'TL09'!$J$238:$J$451),0),
IF('TL10'!$B$3=J$3,SUMIF('TL10'!$C$10:$C$224,$C156,'TL10'!$J$10:$J$224),0),
IF('TL10'!$B$229=J$3,SUMIF('TL10'!$C$238:$C$451,$C156,'TL10'!$J$238:$J$451),0),
IF('TL11'!$B$3=J$3,SUMIF('TL11'!$C$10:$C$224,$C156,'TL11'!$J$10:$J$224),0),
IF('TL11'!$B$229=J$3,SUMIF('TL11'!$C$238:$C$451,$C156,'TL11'!$J$238:$J$451),0),
IF('TL12'!$B$3=J$3,SUMIF('TL12'!$C$10:$C$224,$C156,'TL12'!$J$10:$J$224),0),
IF('TL12'!$B$229=J$3,SUMIF('TL12'!$C$238:$C$451,$C156,'TL12'!$J$238:$J$451),0),
IF('TL13'!$B$3=J$3,SUMIF('TL13'!$C$10:$C$224,$C156,'TL13'!$J$10:$J$224),0),
IF('TL13'!$B$229=J$3,SUMIF('TL13'!$C$238:$C$451,$C156,'TL13'!$J$238:$J$451),0),
IF('TL14'!$B$3=J$3,SUMIF('TL14'!$C$10:$C$224,$C156,'TL14'!$J$10:$J$224),0),
IF('TL14'!$B$229=J$3,SUMIF('TL14'!$C$238:$C$451,$C156,'TL14'!$J$238:$J$451),0),
IF('TL15'!$B$3=J$3,SUMIF('TL15'!$C$10:$C$224,$C156,'TL15'!$J$10:$J$224),0),
IF('TL15'!$B$229=J$3,SUMIF('TL15'!$C$238:$C$451,$C156,'TL15'!$J$238:$J$451),0),
IF('TL16'!$B$3=J$3,SUMIF('TL16'!$C$10:$C$224,$C156,'TL16'!$J$10:$J$224),0),
IF('TL16'!$B$229=J$3,SUMIF('TL16'!$C$238:$C$451,$C156,'TL16'!$J$238:$J$451),0),
IF('TL17'!$B$3=J$3,SUMIF('TL17'!$C$10:$C$224,$C156,'TL17'!$J$10:$J$224),0),
IF('TL17'!$B$229=J$3,SUMIF('TL17'!$C$238:$C$451,$C156,'TL17'!$J$238:$J$451),0),
IF('TL18'!$B$3=J$3,SUMIF('TL18'!$C$10:$C$224,$C156,'TL18'!$J$10:$J$224),0),
IF('TL18'!$B$229=J$3,SUMIF('TL18'!$C$238:$C$451,$C156,'TL18'!$J$238:$J$451),0),
IF('TL19'!$B$3=J$3,SUMIF('TL19'!$C$10:$C$224,$C156,'TL19'!$J$10:$J$224),0),
IF('TL19'!$B$229=J$3,SUMIF('TL19'!$C$238:$C$451,$C156,'TL19'!$J$238:$J$451),0)
),0)</f>
        <v>0</v>
      </c>
      <c r="K156" s="9">
        <f>IFERROR(SUM(
IF('TL01'!$B$3=K$3,SUMIF('TL01'!$C$10:$C$224,$C156,'TL01'!$J$10:$J$224),0),
IF('TL01'!$B$229=K$3,SUMIF('TL01'!$C$238:$C$451,$C156,'TL01'!$J$238:$J$451),0),
IF('TL02'!$B$3=K$3,SUMIF('TL02'!$C$10:$C$224,$C156,'TL02'!$J$10:$J$224),0),
IF('TL02'!$B$229=K$3,SUMIF('TL02'!$C$238:$C$451,$C156,'TL02'!$J$238:$J$451),0),
IF('TL03'!$B$3=K$3,SUMIF('TL03'!$C$10:$C$224,$C156,'TL03'!$J$10:$J$224),0),
IF('TL03'!$B$229=K$3,SUMIF('TL03'!$C$238:$C$451,$C156,'TL03'!$J$238:$J$451),0),
IF('TL04'!$B$3=K$3,SUMIF('TL04'!$C$10:$C$224,$C156,'TL04'!$J$10:$J$224),0),
IF('TL04'!$B$229=K$3,SUMIF('TL04'!$C$238:$C$451,$C156,'TL04'!$J$238:$J$451),0),
IF('TL05'!$B$3=K$3,SUMIF('TL05'!$C$10:$C$224,$C156,'TL05'!$J$10:$J$224),0),
IF('TL05'!$B$229=K$3,SUMIF('TL05'!$C$238:$C$451,$C156,'TL05'!$J$238:$J$451),0),
IF('TL06'!$B$3=K$3,SUMIF('TL06'!$C$10:$C$224,$C156,'TL06'!$J$10:$J$224),0),
IF('TL06'!$B$229=K$3,SUMIF('TL06'!$C$238:$C$451,$C156,'TL06'!$J$238:$J$451),0),
IF('TL07'!$B$3=K$3,SUMIF('TL07'!$C$10:$C$224,$C156,'TL07'!$J$10:$J$224),0),
IF('TL07'!$B$229=K$3,SUMIF('TL07'!$C$238:$C$451,$C156,'TL07'!$J$238:$J$451),0),
IF('TL08'!$B$3=K$3,SUMIF('TL08'!$C$10:$C$224,$C156,'TL08'!$J$10:$J$224),0),
IF('TL08'!$B$229=K$3,SUMIF('TL08'!$C$238:$C$451,$C156,'TL08'!$J$238:$J$451),0),
IF('TL09'!$B$3=K$3,SUMIF('TL09'!$C$10:$C$224,$C156,'TL09'!$J$10:$J$224),0),
IF('TL09'!$B$229=K$3,SUMIF('TL09'!$C$238:$C$451,$C156,'TL09'!$J$238:$J$451),0),
IF('TL10'!$B$3=K$3,SUMIF('TL10'!$C$10:$C$224,$C156,'TL10'!$J$10:$J$224),0),
IF('TL10'!$B$229=K$3,SUMIF('TL10'!$C$238:$C$451,$C156,'TL10'!$J$238:$J$451),0),
IF('TL11'!$B$3=K$3,SUMIF('TL11'!$C$10:$C$224,$C156,'TL11'!$J$10:$J$224),0),
IF('TL11'!$B$229=K$3,SUMIF('TL11'!$C$238:$C$451,$C156,'TL11'!$J$238:$J$451),0),
IF('TL12'!$B$3=K$3,SUMIF('TL12'!$C$10:$C$224,$C156,'TL12'!$J$10:$J$224),0),
IF('TL12'!$B$229=K$3,SUMIF('TL12'!$C$238:$C$451,$C156,'TL12'!$J$238:$J$451),0),
IF('TL13'!$B$3=K$3,SUMIF('TL13'!$C$10:$C$224,$C156,'TL13'!$J$10:$J$224),0),
IF('TL13'!$B$229=K$3,SUMIF('TL13'!$C$238:$C$451,$C156,'TL13'!$J$238:$J$451),0),
IF('TL14'!$B$3=K$3,SUMIF('TL14'!$C$10:$C$224,$C156,'TL14'!$J$10:$J$224),0),
IF('TL14'!$B$229=K$3,SUMIF('TL14'!$C$238:$C$451,$C156,'TL14'!$J$238:$J$451),0),
IF('TL15'!$B$3=K$3,SUMIF('TL15'!$C$10:$C$224,$C156,'TL15'!$J$10:$J$224),0),
IF('TL15'!$B$229=K$3,SUMIF('TL15'!$C$238:$C$451,$C156,'TL15'!$J$238:$J$451),0),
IF('TL16'!$B$3=K$3,SUMIF('TL16'!$C$10:$C$224,$C156,'TL16'!$J$10:$J$224),0),
IF('TL16'!$B$229=K$3,SUMIF('TL16'!$C$238:$C$451,$C156,'TL16'!$J$238:$J$451),0),
IF('TL17'!$B$3=K$3,SUMIF('TL17'!$C$10:$C$224,$C156,'TL17'!$J$10:$J$224),0),
IF('TL17'!$B$229=K$3,SUMIF('TL17'!$C$238:$C$451,$C156,'TL17'!$J$238:$J$451),0),
IF('TL18'!$B$3=K$3,SUMIF('TL18'!$C$10:$C$224,$C156,'TL18'!$J$10:$J$224),0),
IF('TL18'!$B$229=K$3,SUMIF('TL18'!$C$238:$C$451,$C156,'TL18'!$J$238:$J$451),0),
IF('TL19'!$B$3=K$3,SUMIF('TL19'!$C$10:$C$224,$C156,'TL19'!$J$10:$J$224),0),
IF('TL19'!$B$229=K$3,SUMIF('TL19'!$C$238:$C$451,$C156,'TL19'!$J$238:$J$451),0)
),0)</f>
        <v>0</v>
      </c>
      <c r="L156" s="9">
        <f>IFERROR(SUM(
IF('TL01'!$B$3=L$3,SUMIF('TL01'!$C$10:$C$224,$C156,'TL01'!$J$10:$J$224),0),
IF('TL01'!$B$229=L$3,SUMIF('TL01'!$C$238:$C$451,$C156,'TL01'!$J$238:$J$451),0),
IF('TL02'!$B$3=L$3,SUMIF('TL02'!$C$10:$C$224,$C156,'TL02'!$J$10:$J$224),0),
IF('TL02'!$B$229=L$3,SUMIF('TL02'!$C$238:$C$451,$C156,'TL02'!$J$238:$J$451),0),
IF('TL03'!$B$3=L$3,SUMIF('TL03'!$C$10:$C$224,$C156,'TL03'!$J$10:$J$224),0),
IF('TL03'!$B$229=L$3,SUMIF('TL03'!$C$238:$C$451,$C156,'TL03'!$J$238:$J$451),0),
IF('TL04'!$B$3=L$3,SUMIF('TL04'!$C$10:$C$224,$C156,'TL04'!$J$10:$J$224),0),
IF('TL04'!$B$229=L$3,SUMIF('TL04'!$C$238:$C$451,$C156,'TL04'!$J$238:$J$451),0),
IF('TL05'!$B$3=L$3,SUMIF('TL05'!$C$10:$C$224,$C156,'TL05'!$J$10:$J$224),0),
IF('TL05'!$B$229=L$3,SUMIF('TL05'!$C$238:$C$451,$C156,'TL05'!$J$238:$J$451),0),
IF('TL06'!$B$3=L$3,SUMIF('TL06'!$C$10:$C$224,$C156,'TL06'!$J$10:$J$224),0),
IF('TL06'!$B$229=L$3,SUMIF('TL06'!$C$238:$C$451,$C156,'TL06'!$J$238:$J$451),0),
IF('TL07'!$B$3=L$3,SUMIF('TL07'!$C$10:$C$224,$C156,'TL07'!$J$10:$J$224),0),
IF('TL07'!$B$229=L$3,SUMIF('TL07'!$C$238:$C$451,$C156,'TL07'!$J$238:$J$451),0),
IF('TL08'!$B$3=L$3,SUMIF('TL08'!$C$10:$C$224,$C156,'TL08'!$J$10:$J$224),0),
IF('TL08'!$B$229=L$3,SUMIF('TL08'!$C$238:$C$451,$C156,'TL08'!$J$238:$J$451),0),
IF('TL09'!$B$3=L$3,SUMIF('TL09'!$C$10:$C$224,$C156,'TL09'!$J$10:$J$224),0),
IF('TL09'!$B$229=L$3,SUMIF('TL09'!$C$238:$C$451,$C156,'TL09'!$J$238:$J$451),0),
IF('TL10'!$B$3=L$3,SUMIF('TL10'!$C$10:$C$224,$C156,'TL10'!$J$10:$J$224),0),
IF('TL10'!$B$229=L$3,SUMIF('TL10'!$C$238:$C$451,$C156,'TL10'!$J$238:$J$451),0),
IF('TL11'!$B$3=L$3,SUMIF('TL11'!$C$10:$C$224,$C156,'TL11'!$J$10:$J$224),0),
IF('TL11'!$B$229=L$3,SUMIF('TL11'!$C$238:$C$451,$C156,'TL11'!$J$238:$J$451),0),
IF('TL12'!$B$3=L$3,SUMIF('TL12'!$C$10:$C$224,$C156,'TL12'!$J$10:$J$224),0),
IF('TL12'!$B$229=L$3,SUMIF('TL12'!$C$238:$C$451,$C156,'TL12'!$J$238:$J$451),0),
IF('TL13'!$B$3=L$3,SUMIF('TL13'!$C$10:$C$224,$C156,'TL13'!$J$10:$J$224),0),
IF('TL13'!$B$229=L$3,SUMIF('TL13'!$C$238:$C$451,$C156,'TL13'!$J$238:$J$451),0),
IF('TL14'!$B$3=L$3,SUMIF('TL14'!$C$10:$C$224,$C156,'TL14'!$J$10:$J$224),0),
IF('TL14'!$B$229=L$3,SUMIF('TL14'!$C$238:$C$451,$C156,'TL14'!$J$238:$J$451),0),
IF('TL15'!$B$3=L$3,SUMIF('TL15'!$C$10:$C$224,$C156,'TL15'!$J$10:$J$224),0),
IF('TL15'!$B$229=L$3,SUMIF('TL15'!$C$238:$C$451,$C156,'TL15'!$J$238:$J$451),0),
IF('TL16'!$B$3=L$3,SUMIF('TL16'!$C$10:$C$224,$C156,'TL16'!$J$10:$J$224),0),
IF('TL16'!$B$229=L$3,SUMIF('TL16'!$C$238:$C$451,$C156,'TL16'!$J$238:$J$451),0),
IF('TL17'!$B$3=L$3,SUMIF('TL17'!$C$10:$C$224,$C156,'TL17'!$J$10:$J$224),0),
IF('TL17'!$B$229=L$3,SUMIF('TL17'!$C$238:$C$451,$C156,'TL17'!$J$238:$J$451),0),
IF('TL18'!$B$3=L$3,SUMIF('TL18'!$C$10:$C$224,$C156,'TL18'!$J$10:$J$224),0),
IF('TL18'!$B$229=L$3,SUMIF('TL18'!$C$238:$C$451,$C156,'TL18'!$J$238:$J$451),0),
IF('TL19'!$B$3=L$3,SUMIF('TL19'!$C$10:$C$224,$C156,'TL19'!$J$10:$J$224),0),
IF('TL19'!$B$229=L$3,SUMIF('TL19'!$C$238:$C$451,$C156,'TL19'!$J$238:$J$451),0)
),0)</f>
        <v>0</v>
      </c>
      <c r="M156" s="9">
        <f>IFERROR(SUM(
IF('TL01'!$B$3=M$3,SUMIF('TL01'!$C$10:$C$224,$C156,'TL01'!$J$10:$J$224),0),
IF('TL01'!$B$229=M$3,SUMIF('TL01'!$C$238:$C$451,$C156,'TL01'!$J$238:$J$451),0),
IF('TL02'!$B$3=M$3,SUMIF('TL02'!$C$10:$C$224,$C156,'TL02'!$J$10:$J$224),0),
IF('TL02'!$B$229=M$3,SUMIF('TL02'!$C$238:$C$451,$C156,'TL02'!$J$238:$J$451),0),
IF('TL03'!$B$3=M$3,SUMIF('TL03'!$C$10:$C$224,$C156,'TL03'!$J$10:$J$224),0),
IF('TL03'!$B$229=M$3,SUMIF('TL03'!$C$238:$C$451,$C156,'TL03'!$J$238:$J$451),0),
IF('TL04'!$B$3=M$3,SUMIF('TL04'!$C$10:$C$224,$C156,'TL04'!$J$10:$J$224),0),
IF('TL04'!$B$229=M$3,SUMIF('TL04'!$C$238:$C$451,$C156,'TL04'!$J$238:$J$451),0),
IF('TL05'!$B$3=M$3,SUMIF('TL05'!$C$10:$C$224,$C156,'TL05'!$J$10:$J$224),0),
IF('TL05'!$B$229=M$3,SUMIF('TL05'!$C$238:$C$451,$C156,'TL05'!$J$238:$J$451),0),
IF('TL06'!$B$3=M$3,SUMIF('TL06'!$C$10:$C$224,$C156,'TL06'!$J$10:$J$224),0),
IF('TL06'!$B$229=M$3,SUMIF('TL06'!$C$238:$C$451,$C156,'TL06'!$J$238:$J$451),0),
IF('TL07'!$B$3=M$3,SUMIF('TL07'!$C$10:$C$224,$C156,'TL07'!$J$10:$J$224),0),
IF('TL07'!$B$229=M$3,SUMIF('TL07'!$C$238:$C$451,$C156,'TL07'!$J$238:$J$451),0),
IF('TL08'!$B$3=M$3,SUMIF('TL08'!$C$10:$C$224,$C156,'TL08'!$J$10:$J$224),0),
IF('TL08'!$B$229=M$3,SUMIF('TL08'!$C$238:$C$451,$C156,'TL08'!$J$238:$J$451),0),
IF('TL09'!$B$3=M$3,SUMIF('TL09'!$C$10:$C$224,$C156,'TL09'!$J$10:$J$224),0),
IF('TL09'!$B$229=M$3,SUMIF('TL09'!$C$238:$C$451,$C156,'TL09'!$J$238:$J$451),0),
IF('TL10'!$B$3=M$3,SUMIF('TL10'!$C$10:$C$224,$C156,'TL10'!$J$10:$J$224),0),
IF('TL10'!$B$229=M$3,SUMIF('TL10'!$C$238:$C$451,$C156,'TL10'!$J$238:$J$451),0),
IF('TL11'!$B$3=M$3,SUMIF('TL11'!$C$10:$C$224,$C156,'TL11'!$J$10:$J$224),0),
IF('TL11'!$B$229=M$3,SUMIF('TL11'!$C$238:$C$451,$C156,'TL11'!$J$238:$J$451),0),
IF('TL12'!$B$3=M$3,SUMIF('TL12'!$C$10:$C$224,$C156,'TL12'!$J$10:$J$224),0),
IF('TL12'!$B$229=M$3,SUMIF('TL12'!$C$238:$C$451,$C156,'TL12'!$J$238:$J$451),0),
IF('TL13'!$B$3=M$3,SUMIF('TL13'!$C$10:$C$224,$C156,'TL13'!$J$10:$J$224),0),
IF('TL13'!$B$229=M$3,SUMIF('TL13'!$C$238:$C$451,$C156,'TL13'!$J$238:$J$451),0),
IF('TL14'!$B$3=M$3,SUMIF('TL14'!$C$10:$C$224,$C156,'TL14'!$J$10:$J$224),0),
IF('TL14'!$B$229=M$3,SUMIF('TL14'!$C$238:$C$451,$C156,'TL14'!$J$238:$J$451),0),
IF('TL15'!$B$3=M$3,SUMIF('TL15'!$C$10:$C$224,$C156,'TL15'!$J$10:$J$224),0),
IF('TL15'!$B$229=M$3,SUMIF('TL15'!$C$238:$C$451,$C156,'TL15'!$J$238:$J$451),0),
IF('TL16'!$B$3=M$3,SUMIF('TL16'!$C$10:$C$224,$C156,'TL16'!$J$10:$J$224),0),
IF('TL16'!$B$229=M$3,SUMIF('TL16'!$C$238:$C$451,$C156,'TL16'!$J$238:$J$451),0),
IF('TL17'!$B$3=M$3,SUMIF('TL17'!$C$10:$C$224,$C156,'TL17'!$J$10:$J$224),0),
IF('TL17'!$B$229=M$3,SUMIF('TL17'!$C$238:$C$451,$C156,'TL17'!$J$238:$J$451),0),
IF('TL18'!$B$3=M$3,SUMIF('TL18'!$C$10:$C$224,$C156,'TL18'!$J$10:$J$224),0),
IF('TL18'!$B$229=M$3,SUMIF('TL18'!$C$238:$C$451,$C156,'TL18'!$J$238:$J$451),0),
IF('TL19'!$B$3=M$3,SUMIF('TL19'!$C$10:$C$224,$C156,'TL19'!$J$10:$J$224),0),
IF('TL19'!$B$229=M$3,SUMIF('TL19'!$C$238:$C$451,$C156,'TL19'!$J$238:$J$451),0)
),0)</f>
        <v>0</v>
      </c>
      <c r="N156" s="9">
        <f>IFERROR(SUM(
IF('TL01'!$B$3=N$3,SUMIF('TL01'!$C$10:$C$224,$C156,'TL01'!$J$10:$J$224),0),
IF('TL01'!$B$229=N$3,SUMIF('TL01'!$C$238:$C$451,$C156,'TL01'!$J$238:$J$451),0),
IF('TL02'!$B$3=N$3,SUMIF('TL02'!$C$10:$C$224,$C156,'TL02'!$J$10:$J$224),0),
IF('TL02'!$B$229=N$3,SUMIF('TL02'!$C$238:$C$451,$C156,'TL02'!$J$238:$J$451),0),
IF('TL03'!$B$3=N$3,SUMIF('TL03'!$C$10:$C$224,$C156,'TL03'!$J$10:$J$224),0),
IF('TL03'!$B$229=N$3,SUMIF('TL03'!$C$238:$C$451,$C156,'TL03'!$J$238:$J$451),0),
IF('TL04'!$B$3=N$3,SUMIF('TL04'!$C$10:$C$224,$C156,'TL04'!$J$10:$J$224),0),
IF('TL04'!$B$229=N$3,SUMIF('TL04'!$C$238:$C$451,$C156,'TL04'!$J$238:$J$451),0),
IF('TL05'!$B$3=N$3,SUMIF('TL05'!$C$10:$C$224,$C156,'TL05'!$J$10:$J$224),0),
IF('TL05'!$B$229=N$3,SUMIF('TL05'!$C$238:$C$451,$C156,'TL05'!$J$238:$J$451),0),
IF('TL06'!$B$3=N$3,SUMIF('TL06'!$C$10:$C$224,$C156,'TL06'!$J$10:$J$224),0),
IF('TL06'!$B$229=N$3,SUMIF('TL06'!$C$238:$C$451,$C156,'TL06'!$J$238:$J$451),0),
IF('TL07'!$B$3=N$3,SUMIF('TL07'!$C$10:$C$224,$C156,'TL07'!$J$10:$J$224),0),
IF('TL07'!$B$229=N$3,SUMIF('TL07'!$C$238:$C$451,$C156,'TL07'!$J$238:$J$451),0),
IF('TL08'!$B$3=N$3,SUMIF('TL08'!$C$10:$C$224,$C156,'TL08'!$J$10:$J$224),0),
IF('TL08'!$B$229=N$3,SUMIF('TL08'!$C$238:$C$451,$C156,'TL08'!$J$238:$J$451),0),
IF('TL09'!$B$3=N$3,SUMIF('TL09'!$C$10:$C$224,$C156,'TL09'!$J$10:$J$224),0),
IF('TL09'!$B$229=N$3,SUMIF('TL09'!$C$238:$C$451,$C156,'TL09'!$J$238:$J$451),0),
IF('TL10'!$B$3=N$3,SUMIF('TL10'!$C$10:$C$224,$C156,'TL10'!$J$10:$J$224),0),
IF('TL10'!$B$229=N$3,SUMIF('TL10'!$C$238:$C$451,$C156,'TL10'!$J$238:$J$451),0),
IF('TL11'!$B$3=N$3,SUMIF('TL11'!$C$10:$C$224,$C156,'TL11'!$J$10:$J$224),0),
IF('TL11'!$B$229=N$3,SUMIF('TL11'!$C$238:$C$451,$C156,'TL11'!$J$238:$J$451),0),
IF('TL12'!$B$3=N$3,SUMIF('TL12'!$C$10:$C$224,$C156,'TL12'!$J$10:$J$224),0),
IF('TL12'!$B$229=N$3,SUMIF('TL12'!$C$238:$C$451,$C156,'TL12'!$J$238:$J$451),0),
IF('TL13'!$B$3=N$3,SUMIF('TL13'!$C$10:$C$224,$C156,'TL13'!$J$10:$J$224),0),
IF('TL13'!$B$229=N$3,SUMIF('TL13'!$C$238:$C$451,$C156,'TL13'!$J$238:$J$451),0),
IF('TL14'!$B$3=N$3,SUMIF('TL14'!$C$10:$C$224,$C156,'TL14'!$J$10:$J$224),0),
IF('TL14'!$B$229=N$3,SUMIF('TL14'!$C$238:$C$451,$C156,'TL14'!$J$238:$J$451),0),
IF('TL15'!$B$3=N$3,SUMIF('TL15'!$C$10:$C$224,$C156,'TL15'!$J$10:$J$224),0),
IF('TL15'!$B$229=N$3,SUMIF('TL15'!$C$238:$C$451,$C156,'TL15'!$J$238:$J$451),0),
IF('TL16'!$B$3=N$3,SUMIF('TL16'!$C$10:$C$224,$C156,'TL16'!$J$10:$J$224),0),
IF('TL16'!$B$229=N$3,SUMIF('TL16'!$C$238:$C$451,$C156,'TL16'!$J$238:$J$451),0),
IF('TL17'!$B$3=N$3,SUMIF('TL17'!$C$10:$C$224,$C156,'TL17'!$J$10:$J$224),0),
IF('TL17'!$B$229=N$3,SUMIF('TL17'!$C$238:$C$451,$C156,'TL17'!$J$238:$J$451),0),
IF('TL18'!$B$3=N$3,SUMIF('TL18'!$C$10:$C$224,$C156,'TL18'!$J$10:$J$224),0),
IF('TL18'!$B$229=N$3,SUMIF('TL18'!$C$238:$C$451,$C156,'TL18'!$J$238:$J$451),0),
IF('TL19'!$B$3=N$3,SUMIF('TL19'!$C$10:$C$224,$C156,'TL19'!$J$10:$J$224),0),
IF('TL19'!$B$229=N$3,SUMIF('TL19'!$C$238:$C$451,$C156,'TL19'!$J$238:$J$451),0)
),0)</f>
        <v>0</v>
      </c>
      <c r="O156" s="9">
        <f>IFERROR(SUM(
IF('TL01'!$B$3=O$3,SUMIF('TL01'!$C$10:$C$224,$C156,'TL01'!$J$10:$J$224),0),
IF('TL01'!$B$229=O$3,SUMIF('TL01'!$C$238:$C$451,$C156,'TL01'!$J$238:$J$451),0),
IF('TL02'!$B$3=O$3,SUMIF('TL02'!$C$10:$C$224,$C156,'TL02'!$J$10:$J$224),0),
IF('TL02'!$B$229=O$3,SUMIF('TL02'!$C$238:$C$451,$C156,'TL02'!$J$238:$J$451),0),
IF('TL03'!$B$3=O$3,SUMIF('TL03'!$C$10:$C$224,$C156,'TL03'!$J$10:$J$224),0),
IF('TL03'!$B$229=O$3,SUMIF('TL03'!$C$238:$C$451,$C156,'TL03'!$J$238:$J$451),0),
IF('TL04'!$B$3=O$3,SUMIF('TL04'!$C$10:$C$224,$C156,'TL04'!$J$10:$J$224),0),
IF('TL04'!$B$229=O$3,SUMIF('TL04'!$C$238:$C$451,$C156,'TL04'!$J$238:$J$451),0),
IF('TL05'!$B$3=O$3,SUMIF('TL05'!$C$10:$C$224,$C156,'TL05'!$J$10:$J$224),0),
IF('TL05'!$B$229=O$3,SUMIF('TL05'!$C$238:$C$451,$C156,'TL05'!$J$238:$J$451),0),
IF('TL06'!$B$3=O$3,SUMIF('TL06'!$C$10:$C$224,$C156,'TL06'!$J$10:$J$224),0),
IF('TL06'!$B$229=O$3,SUMIF('TL06'!$C$238:$C$451,$C156,'TL06'!$J$238:$J$451),0),
IF('TL07'!$B$3=O$3,SUMIF('TL07'!$C$10:$C$224,$C156,'TL07'!$J$10:$J$224),0),
IF('TL07'!$B$229=O$3,SUMIF('TL07'!$C$238:$C$451,$C156,'TL07'!$J$238:$J$451),0),
IF('TL08'!$B$3=O$3,SUMIF('TL08'!$C$10:$C$224,$C156,'TL08'!$J$10:$J$224),0),
IF('TL08'!$B$229=O$3,SUMIF('TL08'!$C$238:$C$451,$C156,'TL08'!$J$238:$J$451),0),
IF('TL09'!$B$3=O$3,SUMIF('TL09'!$C$10:$C$224,$C156,'TL09'!$J$10:$J$224),0),
IF('TL09'!$B$229=O$3,SUMIF('TL09'!$C$238:$C$451,$C156,'TL09'!$J$238:$J$451),0),
IF('TL10'!$B$3=O$3,SUMIF('TL10'!$C$10:$C$224,$C156,'TL10'!$J$10:$J$224),0),
IF('TL10'!$B$229=O$3,SUMIF('TL10'!$C$238:$C$451,$C156,'TL10'!$J$238:$J$451),0),
IF('TL11'!$B$3=O$3,SUMIF('TL11'!$C$10:$C$224,$C156,'TL11'!$J$10:$J$224),0),
IF('TL11'!$B$229=O$3,SUMIF('TL11'!$C$238:$C$451,$C156,'TL11'!$J$238:$J$451),0),
IF('TL12'!$B$3=O$3,SUMIF('TL12'!$C$10:$C$224,$C156,'TL12'!$J$10:$J$224),0),
IF('TL12'!$B$229=O$3,SUMIF('TL12'!$C$238:$C$451,$C156,'TL12'!$J$238:$J$451),0),
IF('TL13'!$B$3=O$3,SUMIF('TL13'!$C$10:$C$224,$C156,'TL13'!$J$10:$J$224),0),
IF('TL13'!$B$229=O$3,SUMIF('TL13'!$C$238:$C$451,$C156,'TL13'!$J$238:$J$451),0),
IF('TL14'!$B$3=O$3,SUMIF('TL14'!$C$10:$C$224,$C156,'TL14'!$J$10:$J$224),0),
IF('TL14'!$B$229=O$3,SUMIF('TL14'!$C$238:$C$451,$C156,'TL14'!$J$238:$J$451),0),
IF('TL15'!$B$3=O$3,SUMIF('TL15'!$C$10:$C$224,$C156,'TL15'!$J$10:$J$224),0),
IF('TL15'!$B$229=O$3,SUMIF('TL15'!$C$238:$C$451,$C156,'TL15'!$J$238:$J$451),0),
IF('TL16'!$B$3=O$3,SUMIF('TL16'!$C$10:$C$224,$C156,'TL16'!$J$10:$J$224),0),
IF('TL16'!$B$229=O$3,SUMIF('TL16'!$C$238:$C$451,$C156,'TL16'!$J$238:$J$451),0),
IF('TL17'!$B$3=O$3,SUMIF('TL17'!$C$10:$C$224,$C156,'TL17'!$J$10:$J$224),0),
IF('TL17'!$B$229=O$3,SUMIF('TL17'!$C$238:$C$451,$C156,'TL17'!$J$238:$J$451),0),
IF('TL18'!$B$3=O$3,SUMIF('TL18'!$C$10:$C$224,$C156,'TL18'!$J$10:$J$224),0),
IF('TL18'!$B$229=O$3,SUMIF('TL18'!$C$238:$C$451,$C156,'TL18'!$J$238:$J$451),0),
IF('TL19'!$B$3=O$3,SUMIF('TL19'!$C$10:$C$224,$C156,'TL19'!$J$10:$J$224),0),
IF('TL19'!$B$229=O$3,SUMIF('TL19'!$C$238:$C$451,$C156,'TL19'!$J$238:$J$451),0)
),0)</f>
        <v>0</v>
      </c>
      <c r="P156" s="9">
        <f>IFERROR(SUM(
IF('TL01'!$B$3=P$3,SUMIF('TL01'!$C$10:$C$224,$C156,'TL01'!$J$10:$J$224),0),
IF('TL01'!$B$229=P$3,SUMIF('TL01'!$C$238:$C$451,$C156,'TL01'!$J$238:$J$451),0),
IF('TL02'!$B$3=P$3,SUMIF('TL02'!$C$10:$C$224,$C156,'TL02'!$J$10:$J$224),0),
IF('TL02'!$B$229=P$3,SUMIF('TL02'!$C$238:$C$451,$C156,'TL02'!$J$238:$J$451),0),
IF('TL03'!$B$3=P$3,SUMIF('TL03'!$C$10:$C$224,$C156,'TL03'!$J$10:$J$224),0),
IF('TL03'!$B$229=P$3,SUMIF('TL03'!$C$238:$C$451,$C156,'TL03'!$J$238:$J$451),0),
IF('TL04'!$B$3=P$3,SUMIF('TL04'!$C$10:$C$224,$C156,'TL04'!$J$10:$J$224),0),
IF('TL04'!$B$229=P$3,SUMIF('TL04'!$C$238:$C$451,$C156,'TL04'!$J$238:$J$451),0),
IF('TL05'!$B$3=P$3,SUMIF('TL05'!$C$10:$C$224,$C156,'TL05'!$J$10:$J$224),0),
IF('TL05'!$B$229=P$3,SUMIF('TL05'!$C$238:$C$451,$C156,'TL05'!$J$238:$J$451),0),
IF('TL06'!$B$3=P$3,SUMIF('TL06'!$C$10:$C$224,$C156,'TL06'!$J$10:$J$224),0),
IF('TL06'!$B$229=P$3,SUMIF('TL06'!$C$238:$C$451,$C156,'TL06'!$J$238:$J$451),0),
IF('TL07'!$B$3=P$3,SUMIF('TL07'!$C$10:$C$224,$C156,'TL07'!$J$10:$J$224),0),
IF('TL07'!$B$229=P$3,SUMIF('TL07'!$C$238:$C$451,$C156,'TL07'!$J$238:$J$451),0),
IF('TL08'!$B$3=P$3,SUMIF('TL08'!$C$10:$C$224,$C156,'TL08'!$J$10:$J$224),0),
IF('TL08'!$B$229=P$3,SUMIF('TL08'!$C$238:$C$451,$C156,'TL08'!$J$238:$J$451),0),
IF('TL09'!$B$3=P$3,SUMIF('TL09'!$C$10:$C$224,$C156,'TL09'!$J$10:$J$224),0),
IF('TL09'!$B$229=P$3,SUMIF('TL09'!$C$238:$C$451,$C156,'TL09'!$J$238:$J$451),0),
IF('TL10'!$B$3=P$3,SUMIF('TL10'!$C$10:$C$224,$C156,'TL10'!$J$10:$J$224),0),
IF('TL10'!$B$229=P$3,SUMIF('TL10'!$C$238:$C$451,$C156,'TL10'!$J$238:$J$451),0),
IF('TL11'!$B$3=P$3,SUMIF('TL11'!$C$10:$C$224,$C156,'TL11'!$J$10:$J$224),0),
IF('TL11'!$B$229=P$3,SUMIF('TL11'!$C$238:$C$451,$C156,'TL11'!$J$238:$J$451),0),
IF('TL12'!$B$3=P$3,SUMIF('TL12'!$C$10:$C$224,$C156,'TL12'!$J$10:$J$224),0),
IF('TL12'!$B$229=P$3,SUMIF('TL12'!$C$238:$C$451,$C156,'TL12'!$J$238:$J$451),0),
IF('TL13'!$B$3=P$3,SUMIF('TL13'!$C$10:$C$224,$C156,'TL13'!$J$10:$J$224),0),
IF('TL13'!$B$229=P$3,SUMIF('TL13'!$C$238:$C$451,$C156,'TL13'!$J$238:$J$451),0),
IF('TL14'!$B$3=P$3,SUMIF('TL14'!$C$10:$C$224,$C156,'TL14'!$J$10:$J$224),0),
IF('TL14'!$B$229=P$3,SUMIF('TL14'!$C$238:$C$451,$C156,'TL14'!$J$238:$J$451),0),
IF('TL15'!$B$3=P$3,SUMIF('TL15'!$C$10:$C$224,$C156,'TL15'!$J$10:$J$224),0),
IF('TL15'!$B$229=P$3,SUMIF('TL15'!$C$238:$C$451,$C156,'TL15'!$J$238:$J$451),0),
IF('TL16'!$B$3=P$3,SUMIF('TL16'!$C$10:$C$224,$C156,'TL16'!$J$10:$J$224),0),
IF('TL16'!$B$229=P$3,SUMIF('TL16'!$C$238:$C$451,$C156,'TL16'!$J$238:$J$451),0),
IF('TL17'!$B$3=P$3,SUMIF('TL17'!$C$10:$C$224,$C156,'TL17'!$J$10:$J$224),0),
IF('TL17'!$B$229=P$3,SUMIF('TL17'!$C$238:$C$451,$C156,'TL17'!$J$238:$J$451),0),
IF('TL18'!$B$3=P$3,SUMIF('TL18'!$C$10:$C$224,$C156,'TL18'!$J$10:$J$224),0),
IF('TL18'!$B$229=P$3,SUMIF('TL18'!$C$238:$C$451,$C156,'TL18'!$J$238:$J$451),0),
IF('TL19'!$B$3=P$3,SUMIF('TL19'!$C$10:$C$224,$C156,'TL19'!$J$10:$J$224),0),
IF('TL19'!$B$229=P$3,SUMIF('TL19'!$C$238:$C$451,$C156,'TL19'!$J$238:$J$451),0)
),0)</f>
        <v>0</v>
      </c>
      <c r="Q156" s="9">
        <f>IFERROR(SUM(
IF('TL01'!$B$3=Q$3,SUMIF('TL01'!$C$10:$C$224,$C156,'TL01'!$J$10:$J$224),0),
IF('TL01'!$B$229=Q$3,SUMIF('TL01'!$C$238:$C$451,$C156,'TL01'!$J$238:$J$451),0),
IF('TL02'!$B$3=Q$3,SUMIF('TL02'!$C$10:$C$224,$C156,'TL02'!$J$10:$J$224),0),
IF('TL02'!$B$229=Q$3,SUMIF('TL02'!$C$238:$C$451,$C156,'TL02'!$J$238:$J$451),0),
IF('TL03'!$B$3=Q$3,SUMIF('TL03'!$C$10:$C$224,$C156,'TL03'!$J$10:$J$224),0),
IF('TL03'!$B$229=Q$3,SUMIF('TL03'!$C$238:$C$451,$C156,'TL03'!$J$238:$J$451),0),
IF('TL04'!$B$3=Q$3,SUMIF('TL04'!$C$10:$C$224,$C156,'TL04'!$J$10:$J$224),0),
IF('TL04'!$B$229=Q$3,SUMIF('TL04'!$C$238:$C$451,$C156,'TL04'!$J$238:$J$451),0),
IF('TL05'!$B$3=Q$3,SUMIF('TL05'!$C$10:$C$224,$C156,'TL05'!$J$10:$J$224),0),
IF('TL05'!$B$229=Q$3,SUMIF('TL05'!$C$238:$C$451,$C156,'TL05'!$J$238:$J$451),0),
IF('TL06'!$B$3=Q$3,SUMIF('TL06'!$C$10:$C$224,$C156,'TL06'!$J$10:$J$224),0),
IF('TL06'!$B$229=Q$3,SUMIF('TL06'!$C$238:$C$451,$C156,'TL06'!$J$238:$J$451),0),
IF('TL07'!$B$3=Q$3,SUMIF('TL07'!$C$10:$C$224,$C156,'TL07'!$J$10:$J$224),0),
IF('TL07'!$B$229=Q$3,SUMIF('TL07'!$C$238:$C$451,$C156,'TL07'!$J$238:$J$451),0),
IF('TL08'!$B$3=Q$3,SUMIF('TL08'!$C$10:$C$224,$C156,'TL08'!$J$10:$J$224),0),
IF('TL08'!$B$229=Q$3,SUMIF('TL08'!$C$238:$C$451,$C156,'TL08'!$J$238:$J$451),0),
IF('TL09'!$B$3=Q$3,SUMIF('TL09'!$C$10:$C$224,$C156,'TL09'!$J$10:$J$224),0),
IF('TL09'!$B$229=Q$3,SUMIF('TL09'!$C$238:$C$451,$C156,'TL09'!$J$238:$J$451),0),
IF('TL10'!$B$3=Q$3,SUMIF('TL10'!$C$10:$C$224,$C156,'TL10'!$J$10:$J$224),0),
IF('TL10'!$B$229=Q$3,SUMIF('TL10'!$C$238:$C$451,$C156,'TL10'!$J$238:$J$451),0),
IF('TL11'!$B$3=Q$3,SUMIF('TL11'!$C$10:$C$224,$C156,'TL11'!$J$10:$J$224),0),
IF('TL11'!$B$229=Q$3,SUMIF('TL11'!$C$238:$C$451,$C156,'TL11'!$J$238:$J$451),0),
IF('TL12'!$B$3=Q$3,SUMIF('TL12'!$C$10:$C$224,$C156,'TL12'!$J$10:$J$224),0),
IF('TL12'!$B$229=Q$3,SUMIF('TL12'!$C$238:$C$451,$C156,'TL12'!$J$238:$J$451),0),
IF('TL13'!$B$3=Q$3,SUMIF('TL13'!$C$10:$C$224,$C156,'TL13'!$J$10:$J$224),0),
IF('TL13'!$B$229=Q$3,SUMIF('TL13'!$C$238:$C$451,$C156,'TL13'!$J$238:$J$451),0),
IF('TL14'!$B$3=Q$3,SUMIF('TL14'!$C$10:$C$224,$C156,'TL14'!$J$10:$J$224),0),
IF('TL14'!$B$229=Q$3,SUMIF('TL14'!$C$238:$C$451,$C156,'TL14'!$J$238:$J$451),0),
IF('TL15'!$B$3=Q$3,SUMIF('TL15'!$C$10:$C$224,$C156,'TL15'!$J$10:$J$224),0),
IF('TL15'!$B$229=Q$3,SUMIF('TL15'!$C$238:$C$451,$C156,'TL15'!$J$238:$J$451),0),
IF('TL16'!$B$3=Q$3,SUMIF('TL16'!$C$10:$C$224,$C156,'TL16'!$J$10:$J$224),0),
IF('TL16'!$B$229=Q$3,SUMIF('TL16'!$C$238:$C$451,$C156,'TL16'!$J$238:$J$451),0),
IF('TL17'!$B$3=Q$3,SUMIF('TL17'!$C$10:$C$224,$C156,'TL17'!$J$10:$J$224),0),
IF('TL17'!$B$229=Q$3,SUMIF('TL17'!$C$238:$C$451,$C156,'TL17'!$J$238:$J$451),0),
IF('TL18'!$B$3=Q$3,SUMIF('TL18'!$C$10:$C$224,$C156,'TL18'!$J$10:$J$224),0),
IF('TL18'!$B$229=Q$3,SUMIF('TL18'!$C$238:$C$451,$C156,'TL18'!$J$238:$J$451),0),
IF('TL19'!$B$3=Q$3,SUMIF('TL19'!$C$10:$C$224,$C156,'TL19'!$J$10:$J$224),0),
IF('TL19'!$B$229=Q$3,SUMIF('TL19'!$C$238:$C$451,$C156,'TL19'!$J$238:$J$451),0)
),0)</f>
        <v>0</v>
      </c>
      <c r="R156" s="9">
        <f>IFERROR(
SUM(
SUMIF('TL01'!C:C,C156,'TL01'!J:J),
SUMIF('TL02'!C:C,C156,'TL02'!J:J),
SUMIF('TL03'!C:C,C156,'TL03'!J:J),
SUMIF('TL04'!C:C,C156,'TL04'!J:J),
SUMIF('TL05'!C:C,C156,'TL05'!J:J),
SUMIF('TL06'!C:C,C156,'TL06'!J:J),
SUMIF('TL07'!C:C,C156,'TL07'!J:J),
SUMIF('TL08'!C:C,C156,'TL08'!J:J),
SUMIF('TL09'!C:C,C156,'TL09'!J:J),
SUMIF('TL10'!C:C,C156,'TL10'!J:J),
SUMIF('TL11'!C:C,C156,'TL11'!J:J),
SUMIF('TL12'!C:C,C156,'TL12'!J:J),
SUMIF('TL13'!C:C,C156,'TL13'!J:J),
SUMIF('TL14'!C:C,C156,'TL14'!J:J),
SUMIF('TL15'!C:C,C156,'TL15'!J:J),
SUMIF('TL16'!C:C,C156,'TL16'!J:J),
SUMIF('TL17'!C:C,C156,'TL17'!J:J),
SUMIF('TL18'!C:C,C156,'TL18'!J:J),SUMIF('TL19'!C:C,C156,'TL19'!J:J))
,0)</f>
        <v>0</v>
      </c>
      <c r="S156" s="17">
        <f>IFERROR(__xludf.DUMMYFUNCTION("IFERROR(VLOOKUP(C156,
IMPORTRANGE(""1wULbzX32WdYsx-lj2U3uUNBBe2INVIRDtcK0d-Dvl90"",
""26-27!C:G""),
5,
FALSE),
"""")"),82.44131999999999)</f>
        <v>82.44132</v>
      </c>
      <c r="T156" s="9">
        <v>30.0</v>
      </c>
      <c r="U156" s="92">
        <f t="shared" si="2"/>
        <v>-30</v>
      </c>
      <c r="V156" s="93">
        <f t="shared" si="3"/>
        <v>-2473.2396</v>
      </c>
    </row>
    <row r="157" ht="15.75" hidden="1" customHeight="1">
      <c r="A157" s="111" t="s">
        <v>356</v>
      </c>
      <c r="B157" s="112" t="s">
        <v>1</v>
      </c>
      <c r="C157" s="113" t="s">
        <v>718</v>
      </c>
      <c r="D157" s="113" t="s">
        <v>606</v>
      </c>
      <c r="E157" s="113">
        <v>806.0</v>
      </c>
      <c r="F157" s="4" t="s">
        <v>343</v>
      </c>
      <c r="G157" s="90" t="str">
        <f t="shared" si="4"/>
        <v>📄 Ver bula</v>
      </c>
      <c r="H157" s="9">
        <f>IFERROR(__xludf.DUMMYFUNCTION("IFERROR(VLOOKUP(C157,
IMPORTRANGE(""1wULbzX32WdYsx-lj2U3uUNBBe2INVIRDtcK0d-Dvl90"",
""26-27!C:K""),
8,
FALSE),
"""")"),1.0)</f>
        <v>1</v>
      </c>
      <c r="I157" s="114" t="s">
        <v>344</v>
      </c>
      <c r="J157" s="9">
        <f>IFERROR(SUM(
IF('TL01'!$B$3=J$3,SUMIF('TL01'!$C$10:$C$224,$C157,'TL01'!$J$10:$J$224),0),
IF('TL01'!$B$229=J$3,SUMIF('TL01'!$C$238:$C$451,$C157,'TL01'!$J$238:$J$451),0),
IF('TL02'!$B$3=J$3,SUMIF('TL02'!$C$10:$C$224,$C157,'TL02'!$J$10:$J$224),0),
IF('TL02'!$B$229=J$3,SUMIF('TL02'!$C$238:$C$451,$C157,'TL02'!$J$238:$J$451),0),
IF('TL03'!$B$3=J$3,SUMIF('TL03'!$C$10:$C$224,$C157,'TL03'!$J$10:$J$224),0),
IF('TL03'!$B$229=J$3,SUMIF('TL03'!$C$238:$C$451,$C157,'TL03'!$J$238:$J$451),0),
IF('TL04'!$B$3=J$3,SUMIF('TL04'!$C$10:$C$224,$C157,'TL04'!$J$10:$J$224),0),
IF('TL04'!$B$229=J$3,SUMIF('TL04'!$C$238:$C$451,$C157,'TL04'!$J$238:$J$451),0),
IF('TL05'!$B$3=J$3,SUMIF('TL05'!$C$10:$C$224,$C157,'TL05'!$J$10:$J$224),0),
IF('TL05'!$B$229=J$3,SUMIF('TL05'!$C$238:$C$451,$C157,'TL05'!$J$238:$J$451),0),
IF('TL06'!$B$3=J$3,SUMIF('TL06'!$C$10:$C$224,$C157,'TL06'!$J$10:$J$224),0),
IF('TL06'!$B$229=J$3,SUMIF('TL06'!$C$238:$C$451,$C157,'TL06'!$J$238:$J$451),0),
IF('TL07'!$B$3=J$3,SUMIF('TL07'!$C$10:$C$224,$C157,'TL07'!$J$10:$J$224),0),
IF('TL07'!$B$229=J$3,SUMIF('TL07'!$C$238:$C$451,$C157,'TL07'!$J$238:$J$451),0),
IF('TL08'!$B$3=J$3,SUMIF('TL08'!$C$10:$C$224,$C157,'TL08'!$J$10:$J$224),0),
IF('TL08'!$B$229=J$3,SUMIF('TL08'!$C$238:$C$451,$C157,'TL08'!$J$238:$J$451),0),
IF('TL09'!$B$3=J$3,SUMIF('TL09'!$C$10:$C$224,$C157,'TL09'!$J$10:$J$224),0),
IF('TL09'!$B$229=J$3,SUMIF('TL09'!$C$238:$C$451,$C157,'TL09'!$J$238:$J$451),0),
IF('TL10'!$B$3=J$3,SUMIF('TL10'!$C$10:$C$224,$C157,'TL10'!$J$10:$J$224),0),
IF('TL10'!$B$229=J$3,SUMIF('TL10'!$C$238:$C$451,$C157,'TL10'!$J$238:$J$451),0),
IF('TL11'!$B$3=J$3,SUMIF('TL11'!$C$10:$C$224,$C157,'TL11'!$J$10:$J$224),0),
IF('TL11'!$B$229=J$3,SUMIF('TL11'!$C$238:$C$451,$C157,'TL11'!$J$238:$J$451),0),
IF('TL12'!$B$3=J$3,SUMIF('TL12'!$C$10:$C$224,$C157,'TL12'!$J$10:$J$224),0),
IF('TL12'!$B$229=J$3,SUMIF('TL12'!$C$238:$C$451,$C157,'TL12'!$J$238:$J$451),0),
IF('TL13'!$B$3=J$3,SUMIF('TL13'!$C$10:$C$224,$C157,'TL13'!$J$10:$J$224),0),
IF('TL13'!$B$229=J$3,SUMIF('TL13'!$C$238:$C$451,$C157,'TL13'!$J$238:$J$451),0),
IF('TL14'!$B$3=J$3,SUMIF('TL14'!$C$10:$C$224,$C157,'TL14'!$J$10:$J$224),0),
IF('TL14'!$B$229=J$3,SUMIF('TL14'!$C$238:$C$451,$C157,'TL14'!$J$238:$J$451),0),
IF('TL15'!$B$3=J$3,SUMIF('TL15'!$C$10:$C$224,$C157,'TL15'!$J$10:$J$224),0),
IF('TL15'!$B$229=J$3,SUMIF('TL15'!$C$238:$C$451,$C157,'TL15'!$J$238:$J$451),0),
IF('TL16'!$B$3=J$3,SUMIF('TL16'!$C$10:$C$224,$C157,'TL16'!$J$10:$J$224),0),
IF('TL16'!$B$229=J$3,SUMIF('TL16'!$C$238:$C$451,$C157,'TL16'!$J$238:$J$451),0),
IF('TL17'!$B$3=J$3,SUMIF('TL17'!$C$10:$C$224,$C157,'TL17'!$J$10:$J$224),0),
IF('TL17'!$B$229=J$3,SUMIF('TL17'!$C$238:$C$451,$C157,'TL17'!$J$238:$J$451),0),
IF('TL18'!$B$3=J$3,SUMIF('TL18'!$C$10:$C$224,$C157,'TL18'!$J$10:$J$224),0),
IF('TL18'!$B$229=J$3,SUMIF('TL18'!$C$238:$C$451,$C157,'TL18'!$J$238:$J$451),0),
IF('TL19'!$B$3=J$3,SUMIF('TL19'!$C$10:$C$224,$C157,'TL19'!$J$10:$J$224),0),
IF('TL19'!$B$229=J$3,SUMIF('TL19'!$C$238:$C$451,$C157,'TL19'!$J$238:$J$451),0)
),0)</f>
        <v>0</v>
      </c>
      <c r="K157" s="9">
        <f>IFERROR(SUM(
IF('TL01'!$B$3=K$3,SUMIF('TL01'!$C$10:$C$224,$C157,'TL01'!$J$10:$J$224),0),
IF('TL01'!$B$229=K$3,SUMIF('TL01'!$C$238:$C$451,$C157,'TL01'!$J$238:$J$451),0),
IF('TL02'!$B$3=K$3,SUMIF('TL02'!$C$10:$C$224,$C157,'TL02'!$J$10:$J$224),0),
IF('TL02'!$B$229=K$3,SUMIF('TL02'!$C$238:$C$451,$C157,'TL02'!$J$238:$J$451),0),
IF('TL03'!$B$3=K$3,SUMIF('TL03'!$C$10:$C$224,$C157,'TL03'!$J$10:$J$224),0),
IF('TL03'!$B$229=K$3,SUMIF('TL03'!$C$238:$C$451,$C157,'TL03'!$J$238:$J$451),0),
IF('TL04'!$B$3=K$3,SUMIF('TL04'!$C$10:$C$224,$C157,'TL04'!$J$10:$J$224),0),
IF('TL04'!$B$229=K$3,SUMIF('TL04'!$C$238:$C$451,$C157,'TL04'!$J$238:$J$451),0),
IF('TL05'!$B$3=K$3,SUMIF('TL05'!$C$10:$C$224,$C157,'TL05'!$J$10:$J$224),0),
IF('TL05'!$B$229=K$3,SUMIF('TL05'!$C$238:$C$451,$C157,'TL05'!$J$238:$J$451),0),
IF('TL06'!$B$3=K$3,SUMIF('TL06'!$C$10:$C$224,$C157,'TL06'!$J$10:$J$224),0),
IF('TL06'!$B$229=K$3,SUMIF('TL06'!$C$238:$C$451,$C157,'TL06'!$J$238:$J$451),0),
IF('TL07'!$B$3=K$3,SUMIF('TL07'!$C$10:$C$224,$C157,'TL07'!$J$10:$J$224),0),
IF('TL07'!$B$229=K$3,SUMIF('TL07'!$C$238:$C$451,$C157,'TL07'!$J$238:$J$451),0),
IF('TL08'!$B$3=K$3,SUMIF('TL08'!$C$10:$C$224,$C157,'TL08'!$J$10:$J$224),0),
IF('TL08'!$B$229=K$3,SUMIF('TL08'!$C$238:$C$451,$C157,'TL08'!$J$238:$J$451),0),
IF('TL09'!$B$3=K$3,SUMIF('TL09'!$C$10:$C$224,$C157,'TL09'!$J$10:$J$224),0),
IF('TL09'!$B$229=K$3,SUMIF('TL09'!$C$238:$C$451,$C157,'TL09'!$J$238:$J$451),0),
IF('TL10'!$B$3=K$3,SUMIF('TL10'!$C$10:$C$224,$C157,'TL10'!$J$10:$J$224),0),
IF('TL10'!$B$229=K$3,SUMIF('TL10'!$C$238:$C$451,$C157,'TL10'!$J$238:$J$451),0),
IF('TL11'!$B$3=K$3,SUMIF('TL11'!$C$10:$C$224,$C157,'TL11'!$J$10:$J$224),0),
IF('TL11'!$B$229=K$3,SUMIF('TL11'!$C$238:$C$451,$C157,'TL11'!$J$238:$J$451),0),
IF('TL12'!$B$3=K$3,SUMIF('TL12'!$C$10:$C$224,$C157,'TL12'!$J$10:$J$224),0),
IF('TL12'!$B$229=K$3,SUMIF('TL12'!$C$238:$C$451,$C157,'TL12'!$J$238:$J$451),0),
IF('TL13'!$B$3=K$3,SUMIF('TL13'!$C$10:$C$224,$C157,'TL13'!$J$10:$J$224),0),
IF('TL13'!$B$229=K$3,SUMIF('TL13'!$C$238:$C$451,$C157,'TL13'!$J$238:$J$451),0),
IF('TL14'!$B$3=K$3,SUMIF('TL14'!$C$10:$C$224,$C157,'TL14'!$J$10:$J$224),0),
IF('TL14'!$B$229=K$3,SUMIF('TL14'!$C$238:$C$451,$C157,'TL14'!$J$238:$J$451),0),
IF('TL15'!$B$3=K$3,SUMIF('TL15'!$C$10:$C$224,$C157,'TL15'!$J$10:$J$224),0),
IF('TL15'!$B$229=K$3,SUMIF('TL15'!$C$238:$C$451,$C157,'TL15'!$J$238:$J$451),0),
IF('TL16'!$B$3=K$3,SUMIF('TL16'!$C$10:$C$224,$C157,'TL16'!$J$10:$J$224),0),
IF('TL16'!$B$229=K$3,SUMIF('TL16'!$C$238:$C$451,$C157,'TL16'!$J$238:$J$451),0),
IF('TL17'!$B$3=K$3,SUMIF('TL17'!$C$10:$C$224,$C157,'TL17'!$J$10:$J$224),0),
IF('TL17'!$B$229=K$3,SUMIF('TL17'!$C$238:$C$451,$C157,'TL17'!$J$238:$J$451),0),
IF('TL18'!$B$3=K$3,SUMIF('TL18'!$C$10:$C$224,$C157,'TL18'!$J$10:$J$224),0),
IF('TL18'!$B$229=K$3,SUMIF('TL18'!$C$238:$C$451,$C157,'TL18'!$J$238:$J$451),0),
IF('TL19'!$B$3=K$3,SUMIF('TL19'!$C$10:$C$224,$C157,'TL19'!$J$10:$J$224),0),
IF('TL19'!$B$229=K$3,SUMIF('TL19'!$C$238:$C$451,$C157,'TL19'!$J$238:$J$451),0)
),0)</f>
        <v>0</v>
      </c>
      <c r="L157" s="9">
        <f>IFERROR(SUM(
IF('TL01'!$B$3=L$3,SUMIF('TL01'!$C$10:$C$224,$C157,'TL01'!$J$10:$J$224),0),
IF('TL01'!$B$229=L$3,SUMIF('TL01'!$C$238:$C$451,$C157,'TL01'!$J$238:$J$451),0),
IF('TL02'!$B$3=L$3,SUMIF('TL02'!$C$10:$C$224,$C157,'TL02'!$J$10:$J$224),0),
IF('TL02'!$B$229=L$3,SUMIF('TL02'!$C$238:$C$451,$C157,'TL02'!$J$238:$J$451),0),
IF('TL03'!$B$3=L$3,SUMIF('TL03'!$C$10:$C$224,$C157,'TL03'!$J$10:$J$224),0),
IF('TL03'!$B$229=L$3,SUMIF('TL03'!$C$238:$C$451,$C157,'TL03'!$J$238:$J$451),0),
IF('TL04'!$B$3=L$3,SUMIF('TL04'!$C$10:$C$224,$C157,'TL04'!$J$10:$J$224),0),
IF('TL04'!$B$229=L$3,SUMIF('TL04'!$C$238:$C$451,$C157,'TL04'!$J$238:$J$451),0),
IF('TL05'!$B$3=L$3,SUMIF('TL05'!$C$10:$C$224,$C157,'TL05'!$J$10:$J$224),0),
IF('TL05'!$B$229=L$3,SUMIF('TL05'!$C$238:$C$451,$C157,'TL05'!$J$238:$J$451),0),
IF('TL06'!$B$3=L$3,SUMIF('TL06'!$C$10:$C$224,$C157,'TL06'!$J$10:$J$224),0),
IF('TL06'!$B$229=L$3,SUMIF('TL06'!$C$238:$C$451,$C157,'TL06'!$J$238:$J$451),0),
IF('TL07'!$B$3=L$3,SUMIF('TL07'!$C$10:$C$224,$C157,'TL07'!$J$10:$J$224),0),
IF('TL07'!$B$229=L$3,SUMIF('TL07'!$C$238:$C$451,$C157,'TL07'!$J$238:$J$451),0),
IF('TL08'!$B$3=L$3,SUMIF('TL08'!$C$10:$C$224,$C157,'TL08'!$J$10:$J$224),0),
IF('TL08'!$B$229=L$3,SUMIF('TL08'!$C$238:$C$451,$C157,'TL08'!$J$238:$J$451),0),
IF('TL09'!$B$3=L$3,SUMIF('TL09'!$C$10:$C$224,$C157,'TL09'!$J$10:$J$224),0),
IF('TL09'!$B$229=L$3,SUMIF('TL09'!$C$238:$C$451,$C157,'TL09'!$J$238:$J$451),0),
IF('TL10'!$B$3=L$3,SUMIF('TL10'!$C$10:$C$224,$C157,'TL10'!$J$10:$J$224),0),
IF('TL10'!$B$229=L$3,SUMIF('TL10'!$C$238:$C$451,$C157,'TL10'!$J$238:$J$451),0),
IF('TL11'!$B$3=L$3,SUMIF('TL11'!$C$10:$C$224,$C157,'TL11'!$J$10:$J$224),0),
IF('TL11'!$B$229=L$3,SUMIF('TL11'!$C$238:$C$451,$C157,'TL11'!$J$238:$J$451),0),
IF('TL12'!$B$3=L$3,SUMIF('TL12'!$C$10:$C$224,$C157,'TL12'!$J$10:$J$224),0),
IF('TL12'!$B$229=L$3,SUMIF('TL12'!$C$238:$C$451,$C157,'TL12'!$J$238:$J$451),0),
IF('TL13'!$B$3=L$3,SUMIF('TL13'!$C$10:$C$224,$C157,'TL13'!$J$10:$J$224),0),
IF('TL13'!$B$229=L$3,SUMIF('TL13'!$C$238:$C$451,$C157,'TL13'!$J$238:$J$451),0),
IF('TL14'!$B$3=L$3,SUMIF('TL14'!$C$10:$C$224,$C157,'TL14'!$J$10:$J$224),0),
IF('TL14'!$B$229=L$3,SUMIF('TL14'!$C$238:$C$451,$C157,'TL14'!$J$238:$J$451),0),
IF('TL15'!$B$3=L$3,SUMIF('TL15'!$C$10:$C$224,$C157,'TL15'!$J$10:$J$224),0),
IF('TL15'!$B$229=L$3,SUMIF('TL15'!$C$238:$C$451,$C157,'TL15'!$J$238:$J$451),0),
IF('TL16'!$B$3=L$3,SUMIF('TL16'!$C$10:$C$224,$C157,'TL16'!$J$10:$J$224),0),
IF('TL16'!$B$229=L$3,SUMIF('TL16'!$C$238:$C$451,$C157,'TL16'!$J$238:$J$451),0),
IF('TL17'!$B$3=L$3,SUMIF('TL17'!$C$10:$C$224,$C157,'TL17'!$J$10:$J$224),0),
IF('TL17'!$B$229=L$3,SUMIF('TL17'!$C$238:$C$451,$C157,'TL17'!$J$238:$J$451),0),
IF('TL18'!$B$3=L$3,SUMIF('TL18'!$C$10:$C$224,$C157,'TL18'!$J$10:$J$224),0),
IF('TL18'!$B$229=L$3,SUMIF('TL18'!$C$238:$C$451,$C157,'TL18'!$J$238:$J$451),0),
IF('TL19'!$B$3=L$3,SUMIF('TL19'!$C$10:$C$224,$C157,'TL19'!$J$10:$J$224),0),
IF('TL19'!$B$229=L$3,SUMIF('TL19'!$C$238:$C$451,$C157,'TL19'!$J$238:$J$451),0)
),0)</f>
        <v>0</v>
      </c>
      <c r="M157" s="9">
        <f>IFERROR(SUM(
IF('TL01'!$B$3=M$3,SUMIF('TL01'!$C$10:$C$224,$C157,'TL01'!$J$10:$J$224),0),
IF('TL01'!$B$229=M$3,SUMIF('TL01'!$C$238:$C$451,$C157,'TL01'!$J$238:$J$451),0),
IF('TL02'!$B$3=M$3,SUMIF('TL02'!$C$10:$C$224,$C157,'TL02'!$J$10:$J$224),0),
IF('TL02'!$B$229=M$3,SUMIF('TL02'!$C$238:$C$451,$C157,'TL02'!$J$238:$J$451),0),
IF('TL03'!$B$3=M$3,SUMIF('TL03'!$C$10:$C$224,$C157,'TL03'!$J$10:$J$224),0),
IF('TL03'!$B$229=M$3,SUMIF('TL03'!$C$238:$C$451,$C157,'TL03'!$J$238:$J$451),0),
IF('TL04'!$B$3=M$3,SUMIF('TL04'!$C$10:$C$224,$C157,'TL04'!$J$10:$J$224),0),
IF('TL04'!$B$229=M$3,SUMIF('TL04'!$C$238:$C$451,$C157,'TL04'!$J$238:$J$451),0),
IF('TL05'!$B$3=M$3,SUMIF('TL05'!$C$10:$C$224,$C157,'TL05'!$J$10:$J$224),0),
IF('TL05'!$B$229=M$3,SUMIF('TL05'!$C$238:$C$451,$C157,'TL05'!$J$238:$J$451),0),
IF('TL06'!$B$3=M$3,SUMIF('TL06'!$C$10:$C$224,$C157,'TL06'!$J$10:$J$224),0),
IF('TL06'!$B$229=M$3,SUMIF('TL06'!$C$238:$C$451,$C157,'TL06'!$J$238:$J$451),0),
IF('TL07'!$B$3=M$3,SUMIF('TL07'!$C$10:$C$224,$C157,'TL07'!$J$10:$J$224),0),
IF('TL07'!$B$229=M$3,SUMIF('TL07'!$C$238:$C$451,$C157,'TL07'!$J$238:$J$451),0),
IF('TL08'!$B$3=M$3,SUMIF('TL08'!$C$10:$C$224,$C157,'TL08'!$J$10:$J$224),0),
IF('TL08'!$B$229=M$3,SUMIF('TL08'!$C$238:$C$451,$C157,'TL08'!$J$238:$J$451),0),
IF('TL09'!$B$3=M$3,SUMIF('TL09'!$C$10:$C$224,$C157,'TL09'!$J$10:$J$224),0),
IF('TL09'!$B$229=M$3,SUMIF('TL09'!$C$238:$C$451,$C157,'TL09'!$J$238:$J$451),0),
IF('TL10'!$B$3=M$3,SUMIF('TL10'!$C$10:$C$224,$C157,'TL10'!$J$10:$J$224),0),
IF('TL10'!$B$229=M$3,SUMIF('TL10'!$C$238:$C$451,$C157,'TL10'!$J$238:$J$451),0),
IF('TL11'!$B$3=M$3,SUMIF('TL11'!$C$10:$C$224,$C157,'TL11'!$J$10:$J$224),0),
IF('TL11'!$B$229=M$3,SUMIF('TL11'!$C$238:$C$451,$C157,'TL11'!$J$238:$J$451),0),
IF('TL12'!$B$3=M$3,SUMIF('TL12'!$C$10:$C$224,$C157,'TL12'!$J$10:$J$224),0),
IF('TL12'!$B$229=M$3,SUMIF('TL12'!$C$238:$C$451,$C157,'TL12'!$J$238:$J$451),0),
IF('TL13'!$B$3=M$3,SUMIF('TL13'!$C$10:$C$224,$C157,'TL13'!$J$10:$J$224),0),
IF('TL13'!$B$229=M$3,SUMIF('TL13'!$C$238:$C$451,$C157,'TL13'!$J$238:$J$451),0),
IF('TL14'!$B$3=M$3,SUMIF('TL14'!$C$10:$C$224,$C157,'TL14'!$J$10:$J$224),0),
IF('TL14'!$B$229=M$3,SUMIF('TL14'!$C$238:$C$451,$C157,'TL14'!$J$238:$J$451),0),
IF('TL15'!$B$3=M$3,SUMIF('TL15'!$C$10:$C$224,$C157,'TL15'!$J$10:$J$224),0),
IF('TL15'!$B$229=M$3,SUMIF('TL15'!$C$238:$C$451,$C157,'TL15'!$J$238:$J$451),0),
IF('TL16'!$B$3=M$3,SUMIF('TL16'!$C$10:$C$224,$C157,'TL16'!$J$10:$J$224),0),
IF('TL16'!$B$229=M$3,SUMIF('TL16'!$C$238:$C$451,$C157,'TL16'!$J$238:$J$451),0),
IF('TL17'!$B$3=M$3,SUMIF('TL17'!$C$10:$C$224,$C157,'TL17'!$J$10:$J$224),0),
IF('TL17'!$B$229=M$3,SUMIF('TL17'!$C$238:$C$451,$C157,'TL17'!$J$238:$J$451),0),
IF('TL18'!$B$3=M$3,SUMIF('TL18'!$C$10:$C$224,$C157,'TL18'!$J$10:$J$224),0),
IF('TL18'!$B$229=M$3,SUMIF('TL18'!$C$238:$C$451,$C157,'TL18'!$J$238:$J$451),0),
IF('TL19'!$B$3=M$3,SUMIF('TL19'!$C$10:$C$224,$C157,'TL19'!$J$10:$J$224),0),
IF('TL19'!$B$229=M$3,SUMIF('TL19'!$C$238:$C$451,$C157,'TL19'!$J$238:$J$451),0)
),0)</f>
        <v>0</v>
      </c>
      <c r="N157" s="9">
        <f>IFERROR(SUM(
IF('TL01'!$B$3=N$3,SUMIF('TL01'!$C$10:$C$224,$C157,'TL01'!$J$10:$J$224),0),
IF('TL01'!$B$229=N$3,SUMIF('TL01'!$C$238:$C$451,$C157,'TL01'!$J$238:$J$451),0),
IF('TL02'!$B$3=N$3,SUMIF('TL02'!$C$10:$C$224,$C157,'TL02'!$J$10:$J$224),0),
IF('TL02'!$B$229=N$3,SUMIF('TL02'!$C$238:$C$451,$C157,'TL02'!$J$238:$J$451),0),
IF('TL03'!$B$3=N$3,SUMIF('TL03'!$C$10:$C$224,$C157,'TL03'!$J$10:$J$224),0),
IF('TL03'!$B$229=N$3,SUMIF('TL03'!$C$238:$C$451,$C157,'TL03'!$J$238:$J$451),0),
IF('TL04'!$B$3=N$3,SUMIF('TL04'!$C$10:$C$224,$C157,'TL04'!$J$10:$J$224),0),
IF('TL04'!$B$229=N$3,SUMIF('TL04'!$C$238:$C$451,$C157,'TL04'!$J$238:$J$451),0),
IF('TL05'!$B$3=N$3,SUMIF('TL05'!$C$10:$C$224,$C157,'TL05'!$J$10:$J$224),0),
IF('TL05'!$B$229=N$3,SUMIF('TL05'!$C$238:$C$451,$C157,'TL05'!$J$238:$J$451),0),
IF('TL06'!$B$3=N$3,SUMIF('TL06'!$C$10:$C$224,$C157,'TL06'!$J$10:$J$224),0),
IF('TL06'!$B$229=N$3,SUMIF('TL06'!$C$238:$C$451,$C157,'TL06'!$J$238:$J$451),0),
IF('TL07'!$B$3=N$3,SUMIF('TL07'!$C$10:$C$224,$C157,'TL07'!$J$10:$J$224),0),
IF('TL07'!$B$229=N$3,SUMIF('TL07'!$C$238:$C$451,$C157,'TL07'!$J$238:$J$451),0),
IF('TL08'!$B$3=N$3,SUMIF('TL08'!$C$10:$C$224,$C157,'TL08'!$J$10:$J$224),0),
IF('TL08'!$B$229=N$3,SUMIF('TL08'!$C$238:$C$451,$C157,'TL08'!$J$238:$J$451),0),
IF('TL09'!$B$3=N$3,SUMIF('TL09'!$C$10:$C$224,$C157,'TL09'!$J$10:$J$224),0),
IF('TL09'!$B$229=N$3,SUMIF('TL09'!$C$238:$C$451,$C157,'TL09'!$J$238:$J$451),0),
IF('TL10'!$B$3=N$3,SUMIF('TL10'!$C$10:$C$224,$C157,'TL10'!$J$10:$J$224),0),
IF('TL10'!$B$229=N$3,SUMIF('TL10'!$C$238:$C$451,$C157,'TL10'!$J$238:$J$451),0),
IF('TL11'!$B$3=N$3,SUMIF('TL11'!$C$10:$C$224,$C157,'TL11'!$J$10:$J$224),0),
IF('TL11'!$B$229=N$3,SUMIF('TL11'!$C$238:$C$451,$C157,'TL11'!$J$238:$J$451),0),
IF('TL12'!$B$3=N$3,SUMIF('TL12'!$C$10:$C$224,$C157,'TL12'!$J$10:$J$224),0),
IF('TL12'!$B$229=N$3,SUMIF('TL12'!$C$238:$C$451,$C157,'TL12'!$J$238:$J$451),0),
IF('TL13'!$B$3=N$3,SUMIF('TL13'!$C$10:$C$224,$C157,'TL13'!$J$10:$J$224),0),
IF('TL13'!$B$229=N$3,SUMIF('TL13'!$C$238:$C$451,$C157,'TL13'!$J$238:$J$451),0),
IF('TL14'!$B$3=N$3,SUMIF('TL14'!$C$10:$C$224,$C157,'TL14'!$J$10:$J$224),0),
IF('TL14'!$B$229=N$3,SUMIF('TL14'!$C$238:$C$451,$C157,'TL14'!$J$238:$J$451),0),
IF('TL15'!$B$3=N$3,SUMIF('TL15'!$C$10:$C$224,$C157,'TL15'!$J$10:$J$224),0),
IF('TL15'!$B$229=N$3,SUMIF('TL15'!$C$238:$C$451,$C157,'TL15'!$J$238:$J$451),0),
IF('TL16'!$B$3=N$3,SUMIF('TL16'!$C$10:$C$224,$C157,'TL16'!$J$10:$J$224),0),
IF('TL16'!$B$229=N$3,SUMIF('TL16'!$C$238:$C$451,$C157,'TL16'!$J$238:$J$451),0),
IF('TL17'!$B$3=N$3,SUMIF('TL17'!$C$10:$C$224,$C157,'TL17'!$J$10:$J$224),0),
IF('TL17'!$B$229=N$3,SUMIF('TL17'!$C$238:$C$451,$C157,'TL17'!$J$238:$J$451),0),
IF('TL18'!$B$3=N$3,SUMIF('TL18'!$C$10:$C$224,$C157,'TL18'!$J$10:$J$224),0),
IF('TL18'!$B$229=N$3,SUMIF('TL18'!$C$238:$C$451,$C157,'TL18'!$J$238:$J$451),0),
IF('TL19'!$B$3=N$3,SUMIF('TL19'!$C$10:$C$224,$C157,'TL19'!$J$10:$J$224),0),
IF('TL19'!$B$229=N$3,SUMIF('TL19'!$C$238:$C$451,$C157,'TL19'!$J$238:$J$451),0)
),0)</f>
        <v>0</v>
      </c>
      <c r="O157" s="9">
        <f>IFERROR(SUM(
IF('TL01'!$B$3=O$3,SUMIF('TL01'!$C$10:$C$224,$C157,'TL01'!$J$10:$J$224),0),
IF('TL01'!$B$229=O$3,SUMIF('TL01'!$C$238:$C$451,$C157,'TL01'!$J$238:$J$451),0),
IF('TL02'!$B$3=O$3,SUMIF('TL02'!$C$10:$C$224,$C157,'TL02'!$J$10:$J$224),0),
IF('TL02'!$B$229=O$3,SUMIF('TL02'!$C$238:$C$451,$C157,'TL02'!$J$238:$J$451),0),
IF('TL03'!$B$3=O$3,SUMIF('TL03'!$C$10:$C$224,$C157,'TL03'!$J$10:$J$224),0),
IF('TL03'!$B$229=O$3,SUMIF('TL03'!$C$238:$C$451,$C157,'TL03'!$J$238:$J$451),0),
IF('TL04'!$B$3=O$3,SUMIF('TL04'!$C$10:$C$224,$C157,'TL04'!$J$10:$J$224),0),
IF('TL04'!$B$229=O$3,SUMIF('TL04'!$C$238:$C$451,$C157,'TL04'!$J$238:$J$451),0),
IF('TL05'!$B$3=O$3,SUMIF('TL05'!$C$10:$C$224,$C157,'TL05'!$J$10:$J$224),0),
IF('TL05'!$B$229=O$3,SUMIF('TL05'!$C$238:$C$451,$C157,'TL05'!$J$238:$J$451),0),
IF('TL06'!$B$3=O$3,SUMIF('TL06'!$C$10:$C$224,$C157,'TL06'!$J$10:$J$224),0),
IF('TL06'!$B$229=O$3,SUMIF('TL06'!$C$238:$C$451,$C157,'TL06'!$J$238:$J$451),0),
IF('TL07'!$B$3=O$3,SUMIF('TL07'!$C$10:$C$224,$C157,'TL07'!$J$10:$J$224),0),
IF('TL07'!$B$229=O$3,SUMIF('TL07'!$C$238:$C$451,$C157,'TL07'!$J$238:$J$451),0),
IF('TL08'!$B$3=O$3,SUMIF('TL08'!$C$10:$C$224,$C157,'TL08'!$J$10:$J$224),0),
IF('TL08'!$B$229=O$3,SUMIF('TL08'!$C$238:$C$451,$C157,'TL08'!$J$238:$J$451),0),
IF('TL09'!$B$3=O$3,SUMIF('TL09'!$C$10:$C$224,$C157,'TL09'!$J$10:$J$224),0),
IF('TL09'!$B$229=O$3,SUMIF('TL09'!$C$238:$C$451,$C157,'TL09'!$J$238:$J$451),0),
IF('TL10'!$B$3=O$3,SUMIF('TL10'!$C$10:$C$224,$C157,'TL10'!$J$10:$J$224),0),
IF('TL10'!$B$229=O$3,SUMIF('TL10'!$C$238:$C$451,$C157,'TL10'!$J$238:$J$451),0),
IF('TL11'!$B$3=O$3,SUMIF('TL11'!$C$10:$C$224,$C157,'TL11'!$J$10:$J$224),0),
IF('TL11'!$B$229=O$3,SUMIF('TL11'!$C$238:$C$451,$C157,'TL11'!$J$238:$J$451),0),
IF('TL12'!$B$3=O$3,SUMIF('TL12'!$C$10:$C$224,$C157,'TL12'!$J$10:$J$224),0),
IF('TL12'!$B$229=O$3,SUMIF('TL12'!$C$238:$C$451,$C157,'TL12'!$J$238:$J$451),0),
IF('TL13'!$B$3=O$3,SUMIF('TL13'!$C$10:$C$224,$C157,'TL13'!$J$10:$J$224),0),
IF('TL13'!$B$229=O$3,SUMIF('TL13'!$C$238:$C$451,$C157,'TL13'!$J$238:$J$451),0),
IF('TL14'!$B$3=O$3,SUMIF('TL14'!$C$10:$C$224,$C157,'TL14'!$J$10:$J$224),0),
IF('TL14'!$B$229=O$3,SUMIF('TL14'!$C$238:$C$451,$C157,'TL14'!$J$238:$J$451),0),
IF('TL15'!$B$3=O$3,SUMIF('TL15'!$C$10:$C$224,$C157,'TL15'!$J$10:$J$224),0),
IF('TL15'!$B$229=O$3,SUMIF('TL15'!$C$238:$C$451,$C157,'TL15'!$J$238:$J$451),0),
IF('TL16'!$B$3=O$3,SUMIF('TL16'!$C$10:$C$224,$C157,'TL16'!$J$10:$J$224),0),
IF('TL16'!$B$229=O$3,SUMIF('TL16'!$C$238:$C$451,$C157,'TL16'!$J$238:$J$451),0),
IF('TL17'!$B$3=O$3,SUMIF('TL17'!$C$10:$C$224,$C157,'TL17'!$J$10:$J$224),0),
IF('TL17'!$B$229=O$3,SUMIF('TL17'!$C$238:$C$451,$C157,'TL17'!$J$238:$J$451),0),
IF('TL18'!$B$3=O$3,SUMIF('TL18'!$C$10:$C$224,$C157,'TL18'!$J$10:$J$224),0),
IF('TL18'!$B$229=O$3,SUMIF('TL18'!$C$238:$C$451,$C157,'TL18'!$J$238:$J$451),0),
IF('TL19'!$B$3=O$3,SUMIF('TL19'!$C$10:$C$224,$C157,'TL19'!$J$10:$J$224),0),
IF('TL19'!$B$229=O$3,SUMIF('TL19'!$C$238:$C$451,$C157,'TL19'!$J$238:$J$451),0)
),0)</f>
        <v>0</v>
      </c>
      <c r="P157" s="9">
        <f>IFERROR(SUM(
IF('TL01'!$B$3=P$3,SUMIF('TL01'!$C$10:$C$224,$C157,'TL01'!$J$10:$J$224),0),
IF('TL01'!$B$229=P$3,SUMIF('TL01'!$C$238:$C$451,$C157,'TL01'!$J$238:$J$451),0),
IF('TL02'!$B$3=P$3,SUMIF('TL02'!$C$10:$C$224,$C157,'TL02'!$J$10:$J$224),0),
IF('TL02'!$B$229=P$3,SUMIF('TL02'!$C$238:$C$451,$C157,'TL02'!$J$238:$J$451),0),
IF('TL03'!$B$3=P$3,SUMIF('TL03'!$C$10:$C$224,$C157,'TL03'!$J$10:$J$224),0),
IF('TL03'!$B$229=P$3,SUMIF('TL03'!$C$238:$C$451,$C157,'TL03'!$J$238:$J$451),0),
IF('TL04'!$B$3=P$3,SUMIF('TL04'!$C$10:$C$224,$C157,'TL04'!$J$10:$J$224),0),
IF('TL04'!$B$229=P$3,SUMIF('TL04'!$C$238:$C$451,$C157,'TL04'!$J$238:$J$451),0),
IF('TL05'!$B$3=P$3,SUMIF('TL05'!$C$10:$C$224,$C157,'TL05'!$J$10:$J$224),0),
IF('TL05'!$B$229=P$3,SUMIF('TL05'!$C$238:$C$451,$C157,'TL05'!$J$238:$J$451),0),
IF('TL06'!$B$3=P$3,SUMIF('TL06'!$C$10:$C$224,$C157,'TL06'!$J$10:$J$224),0),
IF('TL06'!$B$229=P$3,SUMIF('TL06'!$C$238:$C$451,$C157,'TL06'!$J$238:$J$451),0),
IF('TL07'!$B$3=P$3,SUMIF('TL07'!$C$10:$C$224,$C157,'TL07'!$J$10:$J$224),0),
IF('TL07'!$B$229=P$3,SUMIF('TL07'!$C$238:$C$451,$C157,'TL07'!$J$238:$J$451),0),
IF('TL08'!$B$3=P$3,SUMIF('TL08'!$C$10:$C$224,$C157,'TL08'!$J$10:$J$224),0),
IF('TL08'!$B$229=P$3,SUMIF('TL08'!$C$238:$C$451,$C157,'TL08'!$J$238:$J$451),0),
IF('TL09'!$B$3=P$3,SUMIF('TL09'!$C$10:$C$224,$C157,'TL09'!$J$10:$J$224),0),
IF('TL09'!$B$229=P$3,SUMIF('TL09'!$C$238:$C$451,$C157,'TL09'!$J$238:$J$451),0),
IF('TL10'!$B$3=P$3,SUMIF('TL10'!$C$10:$C$224,$C157,'TL10'!$J$10:$J$224),0),
IF('TL10'!$B$229=P$3,SUMIF('TL10'!$C$238:$C$451,$C157,'TL10'!$J$238:$J$451),0),
IF('TL11'!$B$3=P$3,SUMIF('TL11'!$C$10:$C$224,$C157,'TL11'!$J$10:$J$224),0),
IF('TL11'!$B$229=P$3,SUMIF('TL11'!$C$238:$C$451,$C157,'TL11'!$J$238:$J$451),0),
IF('TL12'!$B$3=P$3,SUMIF('TL12'!$C$10:$C$224,$C157,'TL12'!$J$10:$J$224),0),
IF('TL12'!$B$229=P$3,SUMIF('TL12'!$C$238:$C$451,$C157,'TL12'!$J$238:$J$451),0),
IF('TL13'!$B$3=P$3,SUMIF('TL13'!$C$10:$C$224,$C157,'TL13'!$J$10:$J$224),0),
IF('TL13'!$B$229=P$3,SUMIF('TL13'!$C$238:$C$451,$C157,'TL13'!$J$238:$J$451),0),
IF('TL14'!$B$3=P$3,SUMIF('TL14'!$C$10:$C$224,$C157,'TL14'!$J$10:$J$224),0),
IF('TL14'!$B$229=P$3,SUMIF('TL14'!$C$238:$C$451,$C157,'TL14'!$J$238:$J$451),0),
IF('TL15'!$B$3=P$3,SUMIF('TL15'!$C$10:$C$224,$C157,'TL15'!$J$10:$J$224),0),
IF('TL15'!$B$229=P$3,SUMIF('TL15'!$C$238:$C$451,$C157,'TL15'!$J$238:$J$451),0),
IF('TL16'!$B$3=P$3,SUMIF('TL16'!$C$10:$C$224,$C157,'TL16'!$J$10:$J$224),0),
IF('TL16'!$B$229=P$3,SUMIF('TL16'!$C$238:$C$451,$C157,'TL16'!$J$238:$J$451),0),
IF('TL17'!$B$3=P$3,SUMIF('TL17'!$C$10:$C$224,$C157,'TL17'!$J$10:$J$224),0),
IF('TL17'!$B$229=P$3,SUMIF('TL17'!$C$238:$C$451,$C157,'TL17'!$J$238:$J$451),0),
IF('TL18'!$B$3=P$3,SUMIF('TL18'!$C$10:$C$224,$C157,'TL18'!$J$10:$J$224),0),
IF('TL18'!$B$229=P$3,SUMIF('TL18'!$C$238:$C$451,$C157,'TL18'!$J$238:$J$451),0),
IF('TL19'!$B$3=P$3,SUMIF('TL19'!$C$10:$C$224,$C157,'TL19'!$J$10:$J$224),0),
IF('TL19'!$B$229=P$3,SUMIF('TL19'!$C$238:$C$451,$C157,'TL19'!$J$238:$J$451),0)
),0)</f>
        <v>0</v>
      </c>
      <c r="Q157" s="9">
        <f>IFERROR(SUM(
IF('TL01'!$B$3=Q$3,SUMIF('TL01'!$C$10:$C$224,$C157,'TL01'!$J$10:$J$224),0),
IF('TL01'!$B$229=Q$3,SUMIF('TL01'!$C$238:$C$451,$C157,'TL01'!$J$238:$J$451),0),
IF('TL02'!$B$3=Q$3,SUMIF('TL02'!$C$10:$C$224,$C157,'TL02'!$J$10:$J$224),0),
IF('TL02'!$B$229=Q$3,SUMIF('TL02'!$C$238:$C$451,$C157,'TL02'!$J$238:$J$451),0),
IF('TL03'!$B$3=Q$3,SUMIF('TL03'!$C$10:$C$224,$C157,'TL03'!$J$10:$J$224),0),
IF('TL03'!$B$229=Q$3,SUMIF('TL03'!$C$238:$C$451,$C157,'TL03'!$J$238:$J$451),0),
IF('TL04'!$B$3=Q$3,SUMIF('TL04'!$C$10:$C$224,$C157,'TL04'!$J$10:$J$224),0),
IF('TL04'!$B$229=Q$3,SUMIF('TL04'!$C$238:$C$451,$C157,'TL04'!$J$238:$J$451),0),
IF('TL05'!$B$3=Q$3,SUMIF('TL05'!$C$10:$C$224,$C157,'TL05'!$J$10:$J$224),0),
IF('TL05'!$B$229=Q$3,SUMIF('TL05'!$C$238:$C$451,$C157,'TL05'!$J$238:$J$451),0),
IF('TL06'!$B$3=Q$3,SUMIF('TL06'!$C$10:$C$224,$C157,'TL06'!$J$10:$J$224),0),
IF('TL06'!$B$229=Q$3,SUMIF('TL06'!$C$238:$C$451,$C157,'TL06'!$J$238:$J$451),0),
IF('TL07'!$B$3=Q$3,SUMIF('TL07'!$C$10:$C$224,$C157,'TL07'!$J$10:$J$224),0),
IF('TL07'!$B$229=Q$3,SUMIF('TL07'!$C$238:$C$451,$C157,'TL07'!$J$238:$J$451),0),
IF('TL08'!$B$3=Q$3,SUMIF('TL08'!$C$10:$C$224,$C157,'TL08'!$J$10:$J$224),0),
IF('TL08'!$B$229=Q$3,SUMIF('TL08'!$C$238:$C$451,$C157,'TL08'!$J$238:$J$451),0),
IF('TL09'!$B$3=Q$3,SUMIF('TL09'!$C$10:$C$224,$C157,'TL09'!$J$10:$J$224),0),
IF('TL09'!$B$229=Q$3,SUMIF('TL09'!$C$238:$C$451,$C157,'TL09'!$J$238:$J$451),0),
IF('TL10'!$B$3=Q$3,SUMIF('TL10'!$C$10:$C$224,$C157,'TL10'!$J$10:$J$224),0),
IF('TL10'!$B$229=Q$3,SUMIF('TL10'!$C$238:$C$451,$C157,'TL10'!$J$238:$J$451),0),
IF('TL11'!$B$3=Q$3,SUMIF('TL11'!$C$10:$C$224,$C157,'TL11'!$J$10:$J$224),0),
IF('TL11'!$B$229=Q$3,SUMIF('TL11'!$C$238:$C$451,$C157,'TL11'!$J$238:$J$451),0),
IF('TL12'!$B$3=Q$3,SUMIF('TL12'!$C$10:$C$224,$C157,'TL12'!$J$10:$J$224),0),
IF('TL12'!$B$229=Q$3,SUMIF('TL12'!$C$238:$C$451,$C157,'TL12'!$J$238:$J$451),0),
IF('TL13'!$B$3=Q$3,SUMIF('TL13'!$C$10:$C$224,$C157,'TL13'!$J$10:$J$224),0),
IF('TL13'!$B$229=Q$3,SUMIF('TL13'!$C$238:$C$451,$C157,'TL13'!$J$238:$J$451),0),
IF('TL14'!$B$3=Q$3,SUMIF('TL14'!$C$10:$C$224,$C157,'TL14'!$J$10:$J$224),0),
IF('TL14'!$B$229=Q$3,SUMIF('TL14'!$C$238:$C$451,$C157,'TL14'!$J$238:$J$451),0),
IF('TL15'!$B$3=Q$3,SUMIF('TL15'!$C$10:$C$224,$C157,'TL15'!$J$10:$J$224),0),
IF('TL15'!$B$229=Q$3,SUMIF('TL15'!$C$238:$C$451,$C157,'TL15'!$J$238:$J$451),0),
IF('TL16'!$B$3=Q$3,SUMIF('TL16'!$C$10:$C$224,$C157,'TL16'!$J$10:$J$224),0),
IF('TL16'!$B$229=Q$3,SUMIF('TL16'!$C$238:$C$451,$C157,'TL16'!$J$238:$J$451),0),
IF('TL17'!$B$3=Q$3,SUMIF('TL17'!$C$10:$C$224,$C157,'TL17'!$J$10:$J$224),0),
IF('TL17'!$B$229=Q$3,SUMIF('TL17'!$C$238:$C$451,$C157,'TL17'!$J$238:$J$451),0),
IF('TL18'!$B$3=Q$3,SUMIF('TL18'!$C$10:$C$224,$C157,'TL18'!$J$10:$J$224),0),
IF('TL18'!$B$229=Q$3,SUMIF('TL18'!$C$238:$C$451,$C157,'TL18'!$J$238:$J$451),0),
IF('TL19'!$B$3=Q$3,SUMIF('TL19'!$C$10:$C$224,$C157,'TL19'!$J$10:$J$224),0),
IF('TL19'!$B$229=Q$3,SUMIF('TL19'!$C$238:$C$451,$C157,'TL19'!$J$238:$J$451),0)
),0)</f>
        <v>0</v>
      </c>
      <c r="R157" s="9">
        <f>IFERROR(
SUM(
SUMIF('TL01'!C:C,C157,'TL01'!J:J),
SUMIF('TL02'!C:C,C157,'TL02'!J:J),
SUMIF('TL03'!C:C,C157,'TL03'!J:J),
SUMIF('TL04'!C:C,C157,'TL04'!J:J),
SUMIF('TL05'!C:C,C157,'TL05'!J:J),
SUMIF('TL06'!C:C,C157,'TL06'!J:J),
SUMIF('TL07'!C:C,C157,'TL07'!J:J),
SUMIF('TL08'!C:C,C157,'TL08'!J:J),
SUMIF('TL09'!C:C,C157,'TL09'!J:J),
SUMIF('TL10'!C:C,C157,'TL10'!J:J),
SUMIF('TL11'!C:C,C157,'TL11'!J:J),
SUMIF('TL12'!C:C,C157,'TL12'!J:J),
SUMIF('TL13'!C:C,C157,'TL13'!J:J),
SUMIF('TL14'!C:C,C157,'TL14'!J:J),
SUMIF('TL15'!C:C,C157,'TL15'!J:J),
SUMIF('TL16'!C:C,C157,'TL16'!J:J),
SUMIF('TL17'!C:C,C157,'TL17'!J:J),
SUMIF('TL18'!C:C,C157,'TL18'!J:J),SUMIF('TL19'!C:C,C157,'TL19'!J:J))
,0)</f>
        <v>0</v>
      </c>
      <c r="S157" s="17">
        <f>IFERROR(__xludf.DUMMYFUNCTION("IFERROR(VLOOKUP(C157,
IMPORTRANGE(""1wULbzX32WdYsx-lj2U3uUNBBe2INVIRDtcK0d-Dvl90"",
""26-27!C:G""),
5,
FALSE),
"""")"),15.92784)</f>
        <v>15.92784</v>
      </c>
      <c r="T157" s="9"/>
      <c r="U157" s="92">
        <f t="shared" si="2"/>
        <v>0</v>
      </c>
      <c r="V157" s="93">
        <f t="shared" si="3"/>
        <v>0</v>
      </c>
    </row>
    <row r="158" ht="15.75" hidden="1" customHeight="1">
      <c r="A158" s="115" t="s">
        <v>356</v>
      </c>
      <c r="B158" s="100" t="s">
        <v>1</v>
      </c>
      <c r="C158" s="116" t="s">
        <v>719</v>
      </c>
      <c r="D158" s="116" t="s">
        <v>720</v>
      </c>
      <c r="E158" s="116" t="s">
        <v>721</v>
      </c>
      <c r="F158" s="4" t="s">
        <v>343</v>
      </c>
      <c r="G158" s="90" t="str">
        <f t="shared" si="4"/>
        <v>📄 Ver bula</v>
      </c>
      <c r="H158" s="9">
        <v>0.4</v>
      </c>
      <c r="I158" s="117" t="s">
        <v>344</v>
      </c>
      <c r="J158" s="9">
        <f>IFERROR(SUM(
IF('TL01'!$B$3=J$3,SUMIF('TL01'!$C$10:$C$224,$C158,'TL01'!$J$10:$J$224),0),
IF('TL01'!$B$229=J$3,SUMIF('TL01'!$C$238:$C$451,$C158,'TL01'!$J$238:$J$451),0),
IF('TL02'!$B$3=J$3,SUMIF('TL02'!$C$10:$C$224,$C158,'TL02'!$J$10:$J$224),0),
IF('TL02'!$B$229=J$3,SUMIF('TL02'!$C$238:$C$451,$C158,'TL02'!$J$238:$J$451),0),
IF('TL03'!$B$3=J$3,SUMIF('TL03'!$C$10:$C$224,$C158,'TL03'!$J$10:$J$224),0),
IF('TL03'!$B$229=J$3,SUMIF('TL03'!$C$238:$C$451,$C158,'TL03'!$J$238:$J$451),0),
IF('TL04'!$B$3=J$3,SUMIF('TL04'!$C$10:$C$224,$C158,'TL04'!$J$10:$J$224),0),
IF('TL04'!$B$229=J$3,SUMIF('TL04'!$C$238:$C$451,$C158,'TL04'!$J$238:$J$451),0),
IF('TL05'!$B$3=J$3,SUMIF('TL05'!$C$10:$C$224,$C158,'TL05'!$J$10:$J$224),0),
IF('TL05'!$B$229=J$3,SUMIF('TL05'!$C$238:$C$451,$C158,'TL05'!$J$238:$J$451),0),
IF('TL06'!$B$3=J$3,SUMIF('TL06'!$C$10:$C$224,$C158,'TL06'!$J$10:$J$224),0),
IF('TL06'!$B$229=J$3,SUMIF('TL06'!$C$238:$C$451,$C158,'TL06'!$J$238:$J$451),0),
IF('TL07'!$B$3=J$3,SUMIF('TL07'!$C$10:$C$224,$C158,'TL07'!$J$10:$J$224),0),
IF('TL07'!$B$229=J$3,SUMIF('TL07'!$C$238:$C$451,$C158,'TL07'!$J$238:$J$451),0),
IF('TL08'!$B$3=J$3,SUMIF('TL08'!$C$10:$C$224,$C158,'TL08'!$J$10:$J$224),0),
IF('TL08'!$B$229=J$3,SUMIF('TL08'!$C$238:$C$451,$C158,'TL08'!$J$238:$J$451),0),
IF('TL09'!$B$3=J$3,SUMIF('TL09'!$C$10:$C$224,$C158,'TL09'!$J$10:$J$224),0),
IF('TL09'!$B$229=J$3,SUMIF('TL09'!$C$238:$C$451,$C158,'TL09'!$J$238:$J$451),0),
IF('TL10'!$B$3=J$3,SUMIF('TL10'!$C$10:$C$224,$C158,'TL10'!$J$10:$J$224),0),
IF('TL10'!$B$229=J$3,SUMIF('TL10'!$C$238:$C$451,$C158,'TL10'!$J$238:$J$451),0),
IF('TL11'!$B$3=J$3,SUMIF('TL11'!$C$10:$C$224,$C158,'TL11'!$J$10:$J$224),0),
IF('TL11'!$B$229=J$3,SUMIF('TL11'!$C$238:$C$451,$C158,'TL11'!$J$238:$J$451),0),
IF('TL12'!$B$3=J$3,SUMIF('TL12'!$C$10:$C$224,$C158,'TL12'!$J$10:$J$224),0),
IF('TL12'!$B$229=J$3,SUMIF('TL12'!$C$238:$C$451,$C158,'TL12'!$J$238:$J$451),0),
IF('TL13'!$B$3=J$3,SUMIF('TL13'!$C$10:$C$224,$C158,'TL13'!$J$10:$J$224),0),
IF('TL13'!$B$229=J$3,SUMIF('TL13'!$C$238:$C$451,$C158,'TL13'!$J$238:$J$451),0),
IF('TL14'!$B$3=J$3,SUMIF('TL14'!$C$10:$C$224,$C158,'TL14'!$J$10:$J$224),0),
IF('TL14'!$B$229=J$3,SUMIF('TL14'!$C$238:$C$451,$C158,'TL14'!$J$238:$J$451),0),
IF('TL15'!$B$3=J$3,SUMIF('TL15'!$C$10:$C$224,$C158,'TL15'!$J$10:$J$224),0),
IF('TL15'!$B$229=J$3,SUMIF('TL15'!$C$238:$C$451,$C158,'TL15'!$J$238:$J$451),0),
IF('TL16'!$B$3=J$3,SUMIF('TL16'!$C$10:$C$224,$C158,'TL16'!$J$10:$J$224),0),
IF('TL16'!$B$229=J$3,SUMIF('TL16'!$C$238:$C$451,$C158,'TL16'!$J$238:$J$451),0),
IF('TL17'!$B$3=J$3,SUMIF('TL17'!$C$10:$C$224,$C158,'TL17'!$J$10:$J$224),0),
IF('TL17'!$B$229=J$3,SUMIF('TL17'!$C$238:$C$451,$C158,'TL17'!$J$238:$J$451),0),
IF('TL18'!$B$3=J$3,SUMIF('TL18'!$C$10:$C$224,$C158,'TL18'!$J$10:$J$224),0),
IF('TL18'!$B$229=J$3,SUMIF('TL18'!$C$238:$C$451,$C158,'TL18'!$J$238:$J$451),0),
IF('TL19'!$B$3=J$3,SUMIF('TL19'!$C$10:$C$224,$C158,'TL19'!$J$10:$J$224),0),
IF('TL19'!$B$229=J$3,SUMIF('TL19'!$C$238:$C$451,$C158,'TL19'!$J$238:$J$451),0)
),0)</f>
        <v>0</v>
      </c>
      <c r="K158" s="9">
        <f>IFERROR(SUM(
IF('TL01'!$B$3=K$3,SUMIF('TL01'!$C$10:$C$224,$C158,'TL01'!$J$10:$J$224),0),
IF('TL01'!$B$229=K$3,SUMIF('TL01'!$C$238:$C$451,$C158,'TL01'!$J$238:$J$451),0),
IF('TL02'!$B$3=K$3,SUMIF('TL02'!$C$10:$C$224,$C158,'TL02'!$J$10:$J$224),0),
IF('TL02'!$B$229=K$3,SUMIF('TL02'!$C$238:$C$451,$C158,'TL02'!$J$238:$J$451),0),
IF('TL03'!$B$3=K$3,SUMIF('TL03'!$C$10:$C$224,$C158,'TL03'!$J$10:$J$224),0),
IF('TL03'!$B$229=K$3,SUMIF('TL03'!$C$238:$C$451,$C158,'TL03'!$J$238:$J$451),0),
IF('TL04'!$B$3=K$3,SUMIF('TL04'!$C$10:$C$224,$C158,'TL04'!$J$10:$J$224),0),
IF('TL04'!$B$229=K$3,SUMIF('TL04'!$C$238:$C$451,$C158,'TL04'!$J$238:$J$451),0),
IF('TL05'!$B$3=K$3,SUMIF('TL05'!$C$10:$C$224,$C158,'TL05'!$J$10:$J$224),0),
IF('TL05'!$B$229=K$3,SUMIF('TL05'!$C$238:$C$451,$C158,'TL05'!$J$238:$J$451),0),
IF('TL06'!$B$3=K$3,SUMIF('TL06'!$C$10:$C$224,$C158,'TL06'!$J$10:$J$224),0),
IF('TL06'!$B$229=K$3,SUMIF('TL06'!$C$238:$C$451,$C158,'TL06'!$J$238:$J$451),0),
IF('TL07'!$B$3=K$3,SUMIF('TL07'!$C$10:$C$224,$C158,'TL07'!$J$10:$J$224),0),
IF('TL07'!$B$229=K$3,SUMIF('TL07'!$C$238:$C$451,$C158,'TL07'!$J$238:$J$451),0),
IF('TL08'!$B$3=K$3,SUMIF('TL08'!$C$10:$C$224,$C158,'TL08'!$J$10:$J$224),0),
IF('TL08'!$B$229=K$3,SUMIF('TL08'!$C$238:$C$451,$C158,'TL08'!$J$238:$J$451),0),
IF('TL09'!$B$3=K$3,SUMIF('TL09'!$C$10:$C$224,$C158,'TL09'!$J$10:$J$224),0),
IF('TL09'!$B$229=K$3,SUMIF('TL09'!$C$238:$C$451,$C158,'TL09'!$J$238:$J$451),0),
IF('TL10'!$B$3=K$3,SUMIF('TL10'!$C$10:$C$224,$C158,'TL10'!$J$10:$J$224),0),
IF('TL10'!$B$229=K$3,SUMIF('TL10'!$C$238:$C$451,$C158,'TL10'!$J$238:$J$451),0),
IF('TL11'!$B$3=K$3,SUMIF('TL11'!$C$10:$C$224,$C158,'TL11'!$J$10:$J$224),0),
IF('TL11'!$B$229=K$3,SUMIF('TL11'!$C$238:$C$451,$C158,'TL11'!$J$238:$J$451),0),
IF('TL12'!$B$3=K$3,SUMIF('TL12'!$C$10:$C$224,$C158,'TL12'!$J$10:$J$224),0),
IF('TL12'!$B$229=K$3,SUMIF('TL12'!$C$238:$C$451,$C158,'TL12'!$J$238:$J$451),0),
IF('TL13'!$B$3=K$3,SUMIF('TL13'!$C$10:$C$224,$C158,'TL13'!$J$10:$J$224),0),
IF('TL13'!$B$229=K$3,SUMIF('TL13'!$C$238:$C$451,$C158,'TL13'!$J$238:$J$451),0),
IF('TL14'!$B$3=K$3,SUMIF('TL14'!$C$10:$C$224,$C158,'TL14'!$J$10:$J$224),0),
IF('TL14'!$B$229=K$3,SUMIF('TL14'!$C$238:$C$451,$C158,'TL14'!$J$238:$J$451),0),
IF('TL15'!$B$3=K$3,SUMIF('TL15'!$C$10:$C$224,$C158,'TL15'!$J$10:$J$224),0),
IF('TL15'!$B$229=K$3,SUMIF('TL15'!$C$238:$C$451,$C158,'TL15'!$J$238:$J$451),0),
IF('TL16'!$B$3=K$3,SUMIF('TL16'!$C$10:$C$224,$C158,'TL16'!$J$10:$J$224),0),
IF('TL16'!$B$229=K$3,SUMIF('TL16'!$C$238:$C$451,$C158,'TL16'!$J$238:$J$451),0),
IF('TL17'!$B$3=K$3,SUMIF('TL17'!$C$10:$C$224,$C158,'TL17'!$J$10:$J$224),0),
IF('TL17'!$B$229=K$3,SUMIF('TL17'!$C$238:$C$451,$C158,'TL17'!$J$238:$J$451),0),
IF('TL18'!$B$3=K$3,SUMIF('TL18'!$C$10:$C$224,$C158,'TL18'!$J$10:$J$224),0),
IF('TL18'!$B$229=K$3,SUMIF('TL18'!$C$238:$C$451,$C158,'TL18'!$J$238:$J$451),0),
IF('TL19'!$B$3=K$3,SUMIF('TL19'!$C$10:$C$224,$C158,'TL19'!$J$10:$J$224),0),
IF('TL19'!$B$229=K$3,SUMIF('TL19'!$C$238:$C$451,$C158,'TL19'!$J$238:$J$451),0)
),0)</f>
        <v>0</v>
      </c>
      <c r="L158" s="9">
        <f>IFERROR(SUM(
IF('TL01'!$B$3=L$3,SUMIF('TL01'!$C$10:$C$224,$C158,'TL01'!$J$10:$J$224),0),
IF('TL01'!$B$229=L$3,SUMIF('TL01'!$C$238:$C$451,$C158,'TL01'!$J$238:$J$451),0),
IF('TL02'!$B$3=L$3,SUMIF('TL02'!$C$10:$C$224,$C158,'TL02'!$J$10:$J$224),0),
IF('TL02'!$B$229=L$3,SUMIF('TL02'!$C$238:$C$451,$C158,'TL02'!$J$238:$J$451),0),
IF('TL03'!$B$3=L$3,SUMIF('TL03'!$C$10:$C$224,$C158,'TL03'!$J$10:$J$224),0),
IF('TL03'!$B$229=L$3,SUMIF('TL03'!$C$238:$C$451,$C158,'TL03'!$J$238:$J$451),0),
IF('TL04'!$B$3=L$3,SUMIF('TL04'!$C$10:$C$224,$C158,'TL04'!$J$10:$J$224),0),
IF('TL04'!$B$229=L$3,SUMIF('TL04'!$C$238:$C$451,$C158,'TL04'!$J$238:$J$451),0),
IF('TL05'!$B$3=L$3,SUMIF('TL05'!$C$10:$C$224,$C158,'TL05'!$J$10:$J$224),0),
IF('TL05'!$B$229=L$3,SUMIF('TL05'!$C$238:$C$451,$C158,'TL05'!$J$238:$J$451),0),
IF('TL06'!$B$3=L$3,SUMIF('TL06'!$C$10:$C$224,$C158,'TL06'!$J$10:$J$224),0),
IF('TL06'!$B$229=L$3,SUMIF('TL06'!$C$238:$C$451,$C158,'TL06'!$J$238:$J$451),0),
IF('TL07'!$B$3=L$3,SUMIF('TL07'!$C$10:$C$224,$C158,'TL07'!$J$10:$J$224),0),
IF('TL07'!$B$229=L$3,SUMIF('TL07'!$C$238:$C$451,$C158,'TL07'!$J$238:$J$451),0),
IF('TL08'!$B$3=L$3,SUMIF('TL08'!$C$10:$C$224,$C158,'TL08'!$J$10:$J$224),0),
IF('TL08'!$B$229=L$3,SUMIF('TL08'!$C$238:$C$451,$C158,'TL08'!$J$238:$J$451),0),
IF('TL09'!$B$3=L$3,SUMIF('TL09'!$C$10:$C$224,$C158,'TL09'!$J$10:$J$224),0),
IF('TL09'!$B$229=L$3,SUMIF('TL09'!$C$238:$C$451,$C158,'TL09'!$J$238:$J$451),0),
IF('TL10'!$B$3=L$3,SUMIF('TL10'!$C$10:$C$224,$C158,'TL10'!$J$10:$J$224),0),
IF('TL10'!$B$229=L$3,SUMIF('TL10'!$C$238:$C$451,$C158,'TL10'!$J$238:$J$451),0),
IF('TL11'!$B$3=L$3,SUMIF('TL11'!$C$10:$C$224,$C158,'TL11'!$J$10:$J$224),0),
IF('TL11'!$B$229=L$3,SUMIF('TL11'!$C$238:$C$451,$C158,'TL11'!$J$238:$J$451),0),
IF('TL12'!$B$3=L$3,SUMIF('TL12'!$C$10:$C$224,$C158,'TL12'!$J$10:$J$224),0),
IF('TL12'!$B$229=L$3,SUMIF('TL12'!$C$238:$C$451,$C158,'TL12'!$J$238:$J$451),0),
IF('TL13'!$B$3=L$3,SUMIF('TL13'!$C$10:$C$224,$C158,'TL13'!$J$10:$J$224),0),
IF('TL13'!$B$229=L$3,SUMIF('TL13'!$C$238:$C$451,$C158,'TL13'!$J$238:$J$451),0),
IF('TL14'!$B$3=L$3,SUMIF('TL14'!$C$10:$C$224,$C158,'TL14'!$J$10:$J$224),0),
IF('TL14'!$B$229=L$3,SUMIF('TL14'!$C$238:$C$451,$C158,'TL14'!$J$238:$J$451),0),
IF('TL15'!$B$3=L$3,SUMIF('TL15'!$C$10:$C$224,$C158,'TL15'!$J$10:$J$224),0),
IF('TL15'!$B$229=L$3,SUMIF('TL15'!$C$238:$C$451,$C158,'TL15'!$J$238:$J$451),0),
IF('TL16'!$B$3=L$3,SUMIF('TL16'!$C$10:$C$224,$C158,'TL16'!$J$10:$J$224),0),
IF('TL16'!$B$229=L$3,SUMIF('TL16'!$C$238:$C$451,$C158,'TL16'!$J$238:$J$451),0),
IF('TL17'!$B$3=L$3,SUMIF('TL17'!$C$10:$C$224,$C158,'TL17'!$J$10:$J$224),0),
IF('TL17'!$B$229=L$3,SUMIF('TL17'!$C$238:$C$451,$C158,'TL17'!$J$238:$J$451),0),
IF('TL18'!$B$3=L$3,SUMIF('TL18'!$C$10:$C$224,$C158,'TL18'!$J$10:$J$224),0),
IF('TL18'!$B$229=L$3,SUMIF('TL18'!$C$238:$C$451,$C158,'TL18'!$J$238:$J$451),0),
IF('TL19'!$B$3=L$3,SUMIF('TL19'!$C$10:$C$224,$C158,'TL19'!$J$10:$J$224),0),
IF('TL19'!$B$229=L$3,SUMIF('TL19'!$C$238:$C$451,$C158,'TL19'!$J$238:$J$451),0)
),0)</f>
        <v>0</v>
      </c>
      <c r="M158" s="9">
        <f>IFERROR(SUM(
IF('TL01'!$B$3=M$3,SUMIF('TL01'!$C$10:$C$224,$C158,'TL01'!$J$10:$J$224),0),
IF('TL01'!$B$229=M$3,SUMIF('TL01'!$C$238:$C$451,$C158,'TL01'!$J$238:$J$451),0),
IF('TL02'!$B$3=M$3,SUMIF('TL02'!$C$10:$C$224,$C158,'TL02'!$J$10:$J$224),0),
IF('TL02'!$B$229=M$3,SUMIF('TL02'!$C$238:$C$451,$C158,'TL02'!$J$238:$J$451),0),
IF('TL03'!$B$3=M$3,SUMIF('TL03'!$C$10:$C$224,$C158,'TL03'!$J$10:$J$224),0),
IF('TL03'!$B$229=M$3,SUMIF('TL03'!$C$238:$C$451,$C158,'TL03'!$J$238:$J$451),0),
IF('TL04'!$B$3=M$3,SUMIF('TL04'!$C$10:$C$224,$C158,'TL04'!$J$10:$J$224),0),
IF('TL04'!$B$229=M$3,SUMIF('TL04'!$C$238:$C$451,$C158,'TL04'!$J$238:$J$451),0),
IF('TL05'!$B$3=M$3,SUMIF('TL05'!$C$10:$C$224,$C158,'TL05'!$J$10:$J$224),0),
IF('TL05'!$B$229=M$3,SUMIF('TL05'!$C$238:$C$451,$C158,'TL05'!$J$238:$J$451),0),
IF('TL06'!$B$3=M$3,SUMIF('TL06'!$C$10:$C$224,$C158,'TL06'!$J$10:$J$224),0),
IF('TL06'!$B$229=M$3,SUMIF('TL06'!$C$238:$C$451,$C158,'TL06'!$J$238:$J$451),0),
IF('TL07'!$B$3=M$3,SUMIF('TL07'!$C$10:$C$224,$C158,'TL07'!$J$10:$J$224),0),
IF('TL07'!$B$229=M$3,SUMIF('TL07'!$C$238:$C$451,$C158,'TL07'!$J$238:$J$451),0),
IF('TL08'!$B$3=M$3,SUMIF('TL08'!$C$10:$C$224,$C158,'TL08'!$J$10:$J$224),0),
IF('TL08'!$B$229=M$3,SUMIF('TL08'!$C$238:$C$451,$C158,'TL08'!$J$238:$J$451),0),
IF('TL09'!$B$3=M$3,SUMIF('TL09'!$C$10:$C$224,$C158,'TL09'!$J$10:$J$224),0),
IF('TL09'!$B$229=M$3,SUMIF('TL09'!$C$238:$C$451,$C158,'TL09'!$J$238:$J$451),0),
IF('TL10'!$B$3=M$3,SUMIF('TL10'!$C$10:$C$224,$C158,'TL10'!$J$10:$J$224),0),
IF('TL10'!$B$229=M$3,SUMIF('TL10'!$C$238:$C$451,$C158,'TL10'!$J$238:$J$451),0),
IF('TL11'!$B$3=M$3,SUMIF('TL11'!$C$10:$C$224,$C158,'TL11'!$J$10:$J$224),0),
IF('TL11'!$B$229=M$3,SUMIF('TL11'!$C$238:$C$451,$C158,'TL11'!$J$238:$J$451),0),
IF('TL12'!$B$3=M$3,SUMIF('TL12'!$C$10:$C$224,$C158,'TL12'!$J$10:$J$224),0),
IF('TL12'!$B$229=M$3,SUMIF('TL12'!$C$238:$C$451,$C158,'TL12'!$J$238:$J$451),0),
IF('TL13'!$B$3=M$3,SUMIF('TL13'!$C$10:$C$224,$C158,'TL13'!$J$10:$J$224),0),
IF('TL13'!$B$229=M$3,SUMIF('TL13'!$C$238:$C$451,$C158,'TL13'!$J$238:$J$451),0),
IF('TL14'!$B$3=M$3,SUMIF('TL14'!$C$10:$C$224,$C158,'TL14'!$J$10:$J$224),0),
IF('TL14'!$B$229=M$3,SUMIF('TL14'!$C$238:$C$451,$C158,'TL14'!$J$238:$J$451),0),
IF('TL15'!$B$3=M$3,SUMIF('TL15'!$C$10:$C$224,$C158,'TL15'!$J$10:$J$224),0),
IF('TL15'!$B$229=M$3,SUMIF('TL15'!$C$238:$C$451,$C158,'TL15'!$J$238:$J$451),0),
IF('TL16'!$B$3=M$3,SUMIF('TL16'!$C$10:$C$224,$C158,'TL16'!$J$10:$J$224),0),
IF('TL16'!$B$229=M$3,SUMIF('TL16'!$C$238:$C$451,$C158,'TL16'!$J$238:$J$451),0),
IF('TL17'!$B$3=M$3,SUMIF('TL17'!$C$10:$C$224,$C158,'TL17'!$J$10:$J$224),0),
IF('TL17'!$B$229=M$3,SUMIF('TL17'!$C$238:$C$451,$C158,'TL17'!$J$238:$J$451),0),
IF('TL18'!$B$3=M$3,SUMIF('TL18'!$C$10:$C$224,$C158,'TL18'!$J$10:$J$224),0),
IF('TL18'!$B$229=M$3,SUMIF('TL18'!$C$238:$C$451,$C158,'TL18'!$J$238:$J$451),0),
IF('TL19'!$B$3=M$3,SUMIF('TL19'!$C$10:$C$224,$C158,'TL19'!$J$10:$J$224),0),
IF('TL19'!$B$229=M$3,SUMIF('TL19'!$C$238:$C$451,$C158,'TL19'!$J$238:$J$451),0)
),0)</f>
        <v>0</v>
      </c>
      <c r="N158" s="9">
        <f>IFERROR(SUM(
IF('TL01'!$B$3=N$3,SUMIF('TL01'!$C$10:$C$224,$C158,'TL01'!$J$10:$J$224),0),
IF('TL01'!$B$229=N$3,SUMIF('TL01'!$C$238:$C$451,$C158,'TL01'!$J$238:$J$451),0),
IF('TL02'!$B$3=N$3,SUMIF('TL02'!$C$10:$C$224,$C158,'TL02'!$J$10:$J$224),0),
IF('TL02'!$B$229=N$3,SUMIF('TL02'!$C$238:$C$451,$C158,'TL02'!$J$238:$J$451),0),
IF('TL03'!$B$3=N$3,SUMIF('TL03'!$C$10:$C$224,$C158,'TL03'!$J$10:$J$224),0),
IF('TL03'!$B$229=N$3,SUMIF('TL03'!$C$238:$C$451,$C158,'TL03'!$J$238:$J$451),0),
IF('TL04'!$B$3=N$3,SUMIF('TL04'!$C$10:$C$224,$C158,'TL04'!$J$10:$J$224),0),
IF('TL04'!$B$229=N$3,SUMIF('TL04'!$C$238:$C$451,$C158,'TL04'!$J$238:$J$451),0),
IF('TL05'!$B$3=N$3,SUMIF('TL05'!$C$10:$C$224,$C158,'TL05'!$J$10:$J$224),0),
IF('TL05'!$B$229=N$3,SUMIF('TL05'!$C$238:$C$451,$C158,'TL05'!$J$238:$J$451),0),
IF('TL06'!$B$3=N$3,SUMIF('TL06'!$C$10:$C$224,$C158,'TL06'!$J$10:$J$224),0),
IF('TL06'!$B$229=N$3,SUMIF('TL06'!$C$238:$C$451,$C158,'TL06'!$J$238:$J$451),0),
IF('TL07'!$B$3=N$3,SUMIF('TL07'!$C$10:$C$224,$C158,'TL07'!$J$10:$J$224),0),
IF('TL07'!$B$229=N$3,SUMIF('TL07'!$C$238:$C$451,$C158,'TL07'!$J$238:$J$451),0),
IF('TL08'!$B$3=N$3,SUMIF('TL08'!$C$10:$C$224,$C158,'TL08'!$J$10:$J$224),0),
IF('TL08'!$B$229=N$3,SUMIF('TL08'!$C$238:$C$451,$C158,'TL08'!$J$238:$J$451),0),
IF('TL09'!$B$3=N$3,SUMIF('TL09'!$C$10:$C$224,$C158,'TL09'!$J$10:$J$224),0),
IF('TL09'!$B$229=N$3,SUMIF('TL09'!$C$238:$C$451,$C158,'TL09'!$J$238:$J$451),0),
IF('TL10'!$B$3=N$3,SUMIF('TL10'!$C$10:$C$224,$C158,'TL10'!$J$10:$J$224),0),
IF('TL10'!$B$229=N$3,SUMIF('TL10'!$C$238:$C$451,$C158,'TL10'!$J$238:$J$451),0),
IF('TL11'!$B$3=N$3,SUMIF('TL11'!$C$10:$C$224,$C158,'TL11'!$J$10:$J$224),0),
IF('TL11'!$B$229=N$3,SUMIF('TL11'!$C$238:$C$451,$C158,'TL11'!$J$238:$J$451),0),
IF('TL12'!$B$3=N$3,SUMIF('TL12'!$C$10:$C$224,$C158,'TL12'!$J$10:$J$224),0),
IF('TL12'!$B$229=N$3,SUMIF('TL12'!$C$238:$C$451,$C158,'TL12'!$J$238:$J$451),0),
IF('TL13'!$B$3=N$3,SUMIF('TL13'!$C$10:$C$224,$C158,'TL13'!$J$10:$J$224),0),
IF('TL13'!$B$229=N$3,SUMIF('TL13'!$C$238:$C$451,$C158,'TL13'!$J$238:$J$451),0),
IF('TL14'!$B$3=N$3,SUMIF('TL14'!$C$10:$C$224,$C158,'TL14'!$J$10:$J$224),0),
IF('TL14'!$B$229=N$3,SUMIF('TL14'!$C$238:$C$451,$C158,'TL14'!$J$238:$J$451),0),
IF('TL15'!$B$3=N$3,SUMIF('TL15'!$C$10:$C$224,$C158,'TL15'!$J$10:$J$224),0),
IF('TL15'!$B$229=N$3,SUMIF('TL15'!$C$238:$C$451,$C158,'TL15'!$J$238:$J$451),0),
IF('TL16'!$B$3=N$3,SUMIF('TL16'!$C$10:$C$224,$C158,'TL16'!$J$10:$J$224),0),
IF('TL16'!$B$229=N$3,SUMIF('TL16'!$C$238:$C$451,$C158,'TL16'!$J$238:$J$451),0),
IF('TL17'!$B$3=N$3,SUMIF('TL17'!$C$10:$C$224,$C158,'TL17'!$J$10:$J$224),0),
IF('TL17'!$B$229=N$3,SUMIF('TL17'!$C$238:$C$451,$C158,'TL17'!$J$238:$J$451),0),
IF('TL18'!$B$3=N$3,SUMIF('TL18'!$C$10:$C$224,$C158,'TL18'!$J$10:$J$224),0),
IF('TL18'!$B$229=N$3,SUMIF('TL18'!$C$238:$C$451,$C158,'TL18'!$J$238:$J$451),0),
IF('TL19'!$B$3=N$3,SUMIF('TL19'!$C$10:$C$224,$C158,'TL19'!$J$10:$J$224),0),
IF('TL19'!$B$229=N$3,SUMIF('TL19'!$C$238:$C$451,$C158,'TL19'!$J$238:$J$451),0)
),0)</f>
        <v>0</v>
      </c>
      <c r="O158" s="9">
        <f>IFERROR(SUM(
IF('TL01'!$B$3=O$3,SUMIF('TL01'!$C$10:$C$224,$C158,'TL01'!$J$10:$J$224),0),
IF('TL01'!$B$229=O$3,SUMIF('TL01'!$C$238:$C$451,$C158,'TL01'!$J$238:$J$451),0),
IF('TL02'!$B$3=O$3,SUMIF('TL02'!$C$10:$C$224,$C158,'TL02'!$J$10:$J$224),0),
IF('TL02'!$B$229=O$3,SUMIF('TL02'!$C$238:$C$451,$C158,'TL02'!$J$238:$J$451),0),
IF('TL03'!$B$3=O$3,SUMIF('TL03'!$C$10:$C$224,$C158,'TL03'!$J$10:$J$224),0),
IF('TL03'!$B$229=O$3,SUMIF('TL03'!$C$238:$C$451,$C158,'TL03'!$J$238:$J$451),0),
IF('TL04'!$B$3=O$3,SUMIF('TL04'!$C$10:$C$224,$C158,'TL04'!$J$10:$J$224),0),
IF('TL04'!$B$229=O$3,SUMIF('TL04'!$C$238:$C$451,$C158,'TL04'!$J$238:$J$451),0),
IF('TL05'!$B$3=O$3,SUMIF('TL05'!$C$10:$C$224,$C158,'TL05'!$J$10:$J$224),0),
IF('TL05'!$B$229=O$3,SUMIF('TL05'!$C$238:$C$451,$C158,'TL05'!$J$238:$J$451),0),
IF('TL06'!$B$3=O$3,SUMIF('TL06'!$C$10:$C$224,$C158,'TL06'!$J$10:$J$224),0),
IF('TL06'!$B$229=O$3,SUMIF('TL06'!$C$238:$C$451,$C158,'TL06'!$J$238:$J$451),0),
IF('TL07'!$B$3=O$3,SUMIF('TL07'!$C$10:$C$224,$C158,'TL07'!$J$10:$J$224),0),
IF('TL07'!$B$229=O$3,SUMIF('TL07'!$C$238:$C$451,$C158,'TL07'!$J$238:$J$451),0),
IF('TL08'!$B$3=O$3,SUMIF('TL08'!$C$10:$C$224,$C158,'TL08'!$J$10:$J$224),0),
IF('TL08'!$B$229=O$3,SUMIF('TL08'!$C$238:$C$451,$C158,'TL08'!$J$238:$J$451),0),
IF('TL09'!$B$3=O$3,SUMIF('TL09'!$C$10:$C$224,$C158,'TL09'!$J$10:$J$224),0),
IF('TL09'!$B$229=O$3,SUMIF('TL09'!$C$238:$C$451,$C158,'TL09'!$J$238:$J$451),0),
IF('TL10'!$B$3=O$3,SUMIF('TL10'!$C$10:$C$224,$C158,'TL10'!$J$10:$J$224),0),
IF('TL10'!$B$229=O$3,SUMIF('TL10'!$C$238:$C$451,$C158,'TL10'!$J$238:$J$451),0),
IF('TL11'!$B$3=O$3,SUMIF('TL11'!$C$10:$C$224,$C158,'TL11'!$J$10:$J$224),0),
IF('TL11'!$B$229=O$3,SUMIF('TL11'!$C$238:$C$451,$C158,'TL11'!$J$238:$J$451),0),
IF('TL12'!$B$3=O$3,SUMIF('TL12'!$C$10:$C$224,$C158,'TL12'!$J$10:$J$224),0),
IF('TL12'!$B$229=O$3,SUMIF('TL12'!$C$238:$C$451,$C158,'TL12'!$J$238:$J$451),0),
IF('TL13'!$B$3=O$3,SUMIF('TL13'!$C$10:$C$224,$C158,'TL13'!$J$10:$J$224),0),
IF('TL13'!$B$229=O$3,SUMIF('TL13'!$C$238:$C$451,$C158,'TL13'!$J$238:$J$451),0),
IF('TL14'!$B$3=O$3,SUMIF('TL14'!$C$10:$C$224,$C158,'TL14'!$J$10:$J$224),0),
IF('TL14'!$B$229=O$3,SUMIF('TL14'!$C$238:$C$451,$C158,'TL14'!$J$238:$J$451),0),
IF('TL15'!$B$3=O$3,SUMIF('TL15'!$C$10:$C$224,$C158,'TL15'!$J$10:$J$224),0),
IF('TL15'!$B$229=O$3,SUMIF('TL15'!$C$238:$C$451,$C158,'TL15'!$J$238:$J$451),0),
IF('TL16'!$B$3=O$3,SUMIF('TL16'!$C$10:$C$224,$C158,'TL16'!$J$10:$J$224),0),
IF('TL16'!$B$229=O$3,SUMIF('TL16'!$C$238:$C$451,$C158,'TL16'!$J$238:$J$451),0),
IF('TL17'!$B$3=O$3,SUMIF('TL17'!$C$10:$C$224,$C158,'TL17'!$J$10:$J$224),0),
IF('TL17'!$B$229=O$3,SUMIF('TL17'!$C$238:$C$451,$C158,'TL17'!$J$238:$J$451),0),
IF('TL18'!$B$3=O$3,SUMIF('TL18'!$C$10:$C$224,$C158,'TL18'!$J$10:$J$224),0),
IF('TL18'!$B$229=O$3,SUMIF('TL18'!$C$238:$C$451,$C158,'TL18'!$J$238:$J$451),0),
IF('TL19'!$B$3=O$3,SUMIF('TL19'!$C$10:$C$224,$C158,'TL19'!$J$10:$J$224),0),
IF('TL19'!$B$229=O$3,SUMIF('TL19'!$C$238:$C$451,$C158,'TL19'!$J$238:$J$451),0)
),0)</f>
        <v>0</v>
      </c>
      <c r="P158" s="9">
        <f>IFERROR(SUM(
IF('TL01'!$B$3=P$3,SUMIF('TL01'!$C$10:$C$224,$C158,'TL01'!$J$10:$J$224),0),
IF('TL01'!$B$229=P$3,SUMIF('TL01'!$C$238:$C$451,$C158,'TL01'!$J$238:$J$451),0),
IF('TL02'!$B$3=P$3,SUMIF('TL02'!$C$10:$C$224,$C158,'TL02'!$J$10:$J$224),0),
IF('TL02'!$B$229=P$3,SUMIF('TL02'!$C$238:$C$451,$C158,'TL02'!$J$238:$J$451),0),
IF('TL03'!$B$3=P$3,SUMIF('TL03'!$C$10:$C$224,$C158,'TL03'!$J$10:$J$224),0),
IF('TL03'!$B$229=P$3,SUMIF('TL03'!$C$238:$C$451,$C158,'TL03'!$J$238:$J$451),0),
IF('TL04'!$B$3=P$3,SUMIF('TL04'!$C$10:$C$224,$C158,'TL04'!$J$10:$J$224),0),
IF('TL04'!$B$229=P$3,SUMIF('TL04'!$C$238:$C$451,$C158,'TL04'!$J$238:$J$451),0),
IF('TL05'!$B$3=P$3,SUMIF('TL05'!$C$10:$C$224,$C158,'TL05'!$J$10:$J$224),0),
IF('TL05'!$B$229=P$3,SUMIF('TL05'!$C$238:$C$451,$C158,'TL05'!$J$238:$J$451),0),
IF('TL06'!$B$3=P$3,SUMIF('TL06'!$C$10:$C$224,$C158,'TL06'!$J$10:$J$224),0),
IF('TL06'!$B$229=P$3,SUMIF('TL06'!$C$238:$C$451,$C158,'TL06'!$J$238:$J$451),0),
IF('TL07'!$B$3=P$3,SUMIF('TL07'!$C$10:$C$224,$C158,'TL07'!$J$10:$J$224),0),
IF('TL07'!$B$229=P$3,SUMIF('TL07'!$C$238:$C$451,$C158,'TL07'!$J$238:$J$451),0),
IF('TL08'!$B$3=P$3,SUMIF('TL08'!$C$10:$C$224,$C158,'TL08'!$J$10:$J$224),0),
IF('TL08'!$B$229=P$3,SUMIF('TL08'!$C$238:$C$451,$C158,'TL08'!$J$238:$J$451),0),
IF('TL09'!$B$3=P$3,SUMIF('TL09'!$C$10:$C$224,$C158,'TL09'!$J$10:$J$224),0),
IF('TL09'!$B$229=P$3,SUMIF('TL09'!$C$238:$C$451,$C158,'TL09'!$J$238:$J$451),0),
IF('TL10'!$B$3=P$3,SUMIF('TL10'!$C$10:$C$224,$C158,'TL10'!$J$10:$J$224),0),
IF('TL10'!$B$229=P$3,SUMIF('TL10'!$C$238:$C$451,$C158,'TL10'!$J$238:$J$451),0),
IF('TL11'!$B$3=P$3,SUMIF('TL11'!$C$10:$C$224,$C158,'TL11'!$J$10:$J$224),0),
IF('TL11'!$B$229=P$3,SUMIF('TL11'!$C$238:$C$451,$C158,'TL11'!$J$238:$J$451),0),
IF('TL12'!$B$3=P$3,SUMIF('TL12'!$C$10:$C$224,$C158,'TL12'!$J$10:$J$224),0),
IF('TL12'!$B$229=P$3,SUMIF('TL12'!$C$238:$C$451,$C158,'TL12'!$J$238:$J$451),0),
IF('TL13'!$B$3=P$3,SUMIF('TL13'!$C$10:$C$224,$C158,'TL13'!$J$10:$J$224),0),
IF('TL13'!$B$229=P$3,SUMIF('TL13'!$C$238:$C$451,$C158,'TL13'!$J$238:$J$451),0),
IF('TL14'!$B$3=P$3,SUMIF('TL14'!$C$10:$C$224,$C158,'TL14'!$J$10:$J$224),0),
IF('TL14'!$B$229=P$3,SUMIF('TL14'!$C$238:$C$451,$C158,'TL14'!$J$238:$J$451),0),
IF('TL15'!$B$3=P$3,SUMIF('TL15'!$C$10:$C$224,$C158,'TL15'!$J$10:$J$224),0),
IF('TL15'!$B$229=P$3,SUMIF('TL15'!$C$238:$C$451,$C158,'TL15'!$J$238:$J$451),0),
IF('TL16'!$B$3=P$3,SUMIF('TL16'!$C$10:$C$224,$C158,'TL16'!$J$10:$J$224),0),
IF('TL16'!$B$229=P$3,SUMIF('TL16'!$C$238:$C$451,$C158,'TL16'!$J$238:$J$451),0),
IF('TL17'!$B$3=P$3,SUMIF('TL17'!$C$10:$C$224,$C158,'TL17'!$J$10:$J$224),0),
IF('TL17'!$B$229=P$3,SUMIF('TL17'!$C$238:$C$451,$C158,'TL17'!$J$238:$J$451),0),
IF('TL18'!$B$3=P$3,SUMIF('TL18'!$C$10:$C$224,$C158,'TL18'!$J$10:$J$224),0),
IF('TL18'!$B$229=P$3,SUMIF('TL18'!$C$238:$C$451,$C158,'TL18'!$J$238:$J$451),0),
IF('TL19'!$B$3=P$3,SUMIF('TL19'!$C$10:$C$224,$C158,'TL19'!$J$10:$J$224),0),
IF('TL19'!$B$229=P$3,SUMIF('TL19'!$C$238:$C$451,$C158,'TL19'!$J$238:$J$451),0)
),0)</f>
        <v>104</v>
      </c>
      <c r="Q158" s="9">
        <f>IFERROR(SUM(
IF('TL01'!$B$3=Q$3,SUMIF('TL01'!$C$10:$C$224,$C158,'TL01'!$J$10:$J$224),0),
IF('TL01'!$B$229=Q$3,SUMIF('TL01'!$C$238:$C$451,$C158,'TL01'!$J$238:$J$451),0),
IF('TL02'!$B$3=Q$3,SUMIF('TL02'!$C$10:$C$224,$C158,'TL02'!$J$10:$J$224),0),
IF('TL02'!$B$229=Q$3,SUMIF('TL02'!$C$238:$C$451,$C158,'TL02'!$J$238:$J$451),0),
IF('TL03'!$B$3=Q$3,SUMIF('TL03'!$C$10:$C$224,$C158,'TL03'!$J$10:$J$224),0),
IF('TL03'!$B$229=Q$3,SUMIF('TL03'!$C$238:$C$451,$C158,'TL03'!$J$238:$J$451),0),
IF('TL04'!$B$3=Q$3,SUMIF('TL04'!$C$10:$C$224,$C158,'TL04'!$J$10:$J$224),0),
IF('TL04'!$B$229=Q$3,SUMIF('TL04'!$C$238:$C$451,$C158,'TL04'!$J$238:$J$451),0),
IF('TL05'!$B$3=Q$3,SUMIF('TL05'!$C$10:$C$224,$C158,'TL05'!$J$10:$J$224),0),
IF('TL05'!$B$229=Q$3,SUMIF('TL05'!$C$238:$C$451,$C158,'TL05'!$J$238:$J$451),0),
IF('TL06'!$B$3=Q$3,SUMIF('TL06'!$C$10:$C$224,$C158,'TL06'!$J$10:$J$224),0),
IF('TL06'!$B$229=Q$3,SUMIF('TL06'!$C$238:$C$451,$C158,'TL06'!$J$238:$J$451),0),
IF('TL07'!$B$3=Q$3,SUMIF('TL07'!$C$10:$C$224,$C158,'TL07'!$J$10:$J$224),0),
IF('TL07'!$B$229=Q$3,SUMIF('TL07'!$C$238:$C$451,$C158,'TL07'!$J$238:$J$451),0),
IF('TL08'!$B$3=Q$3,SUMIF('TL08'!$C$10:$C$224,$C158,'TL08'!$J$10:$J$224),0),
IF('TL08'!$B$229=Q$3,SUMIF('TL08'!$C$238:$C$451,$C158,'TL08'!$J$238:$J$451),0),
IF('TL09'!$B$3=Q$3,SUMIF('TL09'!$C$10:$C$224,$C158,'TL09'!$J$10:$J$224),0),
IF('TL09'!$B$229=Q$3,SUMIF('TL09'!$C$238:$C$451,$C158,'TL09'!$J$238:$J$451),0),
IF('TL10'!$B$3=Q$3,SUMIF('TL10'!$C$10:$C$224,$C158,'TL10'!$J$10:$J$224),0),
IF('TL10'!$B$229=Q$3,SUMIF('TL10'!$C$238:$C$451,$C158,'TL10'!$J$238:$J$451),0),
IF('TL11'!$B$3=Q$3,SUMIF('TL11'!$C$10:$C$224,$C158,'TL11'!$J$10:$J$224),0),
IF('TL11'!$B$229=Q$3,SUMIF('TL11'!$C$238:$C$451,$C158,'TL11'!$J$238:$J$451),0),
IF('TL12'!$B$3=Q$3,SUMIF('TL12'!$C$10:$C$224,$C158,'TL12'!$J$10:$J$224),0),
IF('TL12'!$B$229=Q$3,SUMIF('TL12'!$C$238:$C$451,$C158,'TL12'!$J$238:$J$451),0),
IF('TL13'!$B$3=Q$3,SUMIF('TL13'!$C$10:$C$224,$C158,'TL13'!$J$10:$J$224),0),
IF('TL13'!$B$229=Q$3,SUMIF('TL13'!$C$238:$C$451,$C158,'TL13'!$J$238:$J$451),0),
IF('TL14'!$B$3=Q$3,SUMIF('TL14'!$C$10:$C$224,$C158,'TL14'!$J$10:$J$224),0),
IF('TL14'!$B$229=Q$3,SUMIF('TL14'!$C$238:$C$451,$C158,'TL14'!$J$238:$J$451),0),
IF('TL15'!$B$3=Q$3,SUMIF('TL15'!$C$10:$C$224,$C158,'TL15'!$J$10:$J$224),0),
IF('TL15'!$B$229=Q$3,SUMIF('TL15'!$C$238:$C$451,$C158,'TL15'!$J$238:$J$451),0),
IF('TL16'!$B$3=Q$3,SUMIF('TL16'!$C$10:$C$224,$C158,'TL16'!$J$10:$J$224),0),
IF('TL16'!$B$229=Q$3,SUMIF('TL16'!$C$238:$C$451,$C158,'TL16'!$J$238:$J$451),0),
IF('TL17'!$B$3=Q$3,SUMIF('TL17'!$C$10:$C$224,$C158,'TL17'!$J$10:$J$224),0),
IF('TL17'!$B$229=Q$3,SUMIF('TL17'!$C$238:$C$451,$C158,'TL17'!$J$238:$J$451),0),
IF('TL18'!$B$3=Q$3,SUMIF('TL18'!$C$10:$C$224,$C158,'TL18'!$J$10:$J$224),0),
IF('TL18'!$B$229=Q$3,SUMIF('TL18'!$C$238:$C$451,$C158,'TL18'!$J$238:$J$451),0),
IF('TL19'!$B$3=Q$3,SUMIF('TL19'!$C$10:$C$224,$C158,'TL19'!$J$10:$J$224),0),
IF('TL19'!$B$229=Q$3,SUMIF('TL19'!$C$238:$C$451,$C158,'TL19'!$J$238:$J$451),0)
),0)</f>
        <v>0</v>
      </c>
      <c r="R158" s="9">
        <f>IFERROR(
SUM(
SUMIF('TL01'!C:C,C158,'TL01'!J:J),
SUMIF('TL02'!C:C,C158,'TL02'!J:J),
SUMIF('TL03'!C:C,C158,'TL03'!J:J),
SUMIF('TL04'!C:C,C158,'TL04'!J:J),
SUMIF('TL05'!C:C,C158,'TL05'!J:J),
SUMIF('TL06'!C:C,C158,'TL06'!J:J),
SUMIF('TL07'!C:C,C158,'TL07'!J:J),
SUMIF('TL08'!C:C,C158,'TL08'!J:J),
SUMIF('TL09'!C:C,C158,'TL09'!J:J),
SUMIF('TL10'!C:C,C158,'TL10'!J:J),
SUMIF('TL11'!C:C,C158,'TL11'!J:J),
SUMIF('TL12'!C:C,C158,'TL12'!J:J),
SUMIF('TL13'!C:C,C158,'TL13'!J:J),
SUMIF('TL14'!C:C,C158,'TL14'!J:J),
SUMIF('TL15'!C:C,C158,'TL15'!J:J),
SUMIF('TL16'!C:C,C158,'TL16'!J:J),
SUMIF('TL17'!C:C,C158,'TL17'!J:J),
SUMIF('TL18'!C:C,C158,'TL18'!J:J),SUMIF('TL19'!C:C,C158,'TL19'!J:J))
,0)</f>
        <v>104</v>
      </c>
      <c r="S158" s="17">
        <f>IFERROR(__xludf.DUMMYFUNCTION("IFERROR(VLOOKUP(C158,
IMPORTRANGE(""1wULbzX32WdYsx-lj2U3uUNBBe2INVIRDtcK0d-Dvl90"",
""26-27!C:G""),
5,
FALSE),
"""")"),82.66253999999999)</f>
        <v>82.66254</v>
      </c>
      <c r="T158" s="118">
        <v>135.0</v>
      </c>
      <c r="U158" s="92">
        <f t="shared" si="2"/>
        <v>-31</v>
      </c>
      <c r="V158" s="93">
        <f t="shared" si="3"/>
        <v>-2562.53874</v>
      </c>
    </row>
    <row r="159" ht="15.75" hidden="1" customHeight="1">
      <c r="A159" s="111" t="s">
        <v>356</v>
      </c>
      <c r="B159" s="112" t="s">
        <v>1</v>
      </c>
      <c r="C159" s="113" t="s">
        <v>722</v>
      </c>
      <c r="D159" s="113" t="s">
        <v>723</v>
      </c>
      <c r="E159" s="113" t="s">
        <v>724</v>
      </c>
      <c r="F159" s="4" t="s">
        <v>343</v>
      </c>
      <c r="G159" s="90" t="str">
        <f t="shared" si="4"/>
        <v>📄 Ver bula</v>
      </c>
      <c r="H159" s="9">
        <f>IFERROR(__xludf.DUMMYFUNCTION("IFERROR(VLOOKUP(C159,
IMPORTRANGE(""1wULbzX32WdYsx-lj2U3uUNBBe2INVIRDtcK0d-Dvl90"",
""26-27!C:K""),
8,
FALSE),
"""")"),1.0)</f>
        <v>1</v>
      </c>
      <c r="I159" s="114" t="s">
        <v>344</v>
      </c>
      <c r="J159" s="9">
        <f>IFERROR(SUM(
IF('TL01'!$B$3=J$3,SUMIF('TL01'!$C$10:$C$224,$C159,'TL01'!$J$10:$J$224),0),
IF('TL01'!$B$229=J$3,SUMIF('TL01'!$C$238:$C$451,$C159,'TL01'!$J$238:$J$451),0),
IF('TL02'!$B$3=J$3,SUMIF('TL02'!$C$10:$C$224,$C159,'TL02'!$J$10:$J$224),0),
IF('TL02'!$B$229=J$3,SUMIF('TL02'!$C$238:$C$451,$C159,'TL02'!$J$238:$J$451),0),
IF('TL03'!$B$3=J$3,SUMIF('TL03'!$C$10:$C$224,$C159,'TL03'!$J$10:$J$224),0),
IF('TL03'!$B$229=J$3,SUMIF('TL03'!$C$238:$C$451,$C159,'TL03'!$J$238:$J$451),0),
IF('TL04'!$B$3=J$3,SUMIF('TL04'!$C$10:$C$224,$C159,'TL04'!$J$10:$J$224),0),
IF('TL04'!$B$229=J$3,SUMIF('TL04'!$C$238:$C$451,$C159,'TL04'!$J$238:$J$451),0),
IF('TL05'!$B$3=J$3,SUMIF('TL05'!$C$10:$C$224,$C159,'TL05'!$J$10:$J$224),0),
IF('TL05'!$B$229=J$3,SUMIF('TL05'!$C$238:$C$451,$C159,'TL05'!$J$238:$J$451),0),
IF('TL06'!$B$3=J$3,SUMIF('TL06'!$C$10:$C$224,$C159,'TL06'!$J$10:$J$224),0),
IF('TL06'!$B$229=J$3,SUMIF('TL06'!$C$238:$C$451,$C159,'TL06'!$J$238:$J$451),0),
IF('TL07'!$B$3=J$3,SUMIF('TL07'!$C$10:$C$224,$C159,'TL07'!$J$10:$J$224),0),
IF('TL07'!$B$229=J$3,SUMIF('TL07'!$C$238:$C$451,$C159,'TL07'!$J$238:$J$451),0),
IF('TL08'!$B$3=J$3,SUMIF('TL08'!$C$10:$C$224,$C159,'TL08'!$J$10:$J$224),0),
IF('TL08'!$B$229=J$3,SUMIF('TL08'!$C$238:$C$451,$C159,'TL08'!$J$238:$J$451),0),
IF('TL09'!$B$3=J$3,SUMIF('TL09'!$C$10:$C$224,$C159,'TL09'!$J$10:$J$224),0),
IF('TL09'!$B$229=J$3,SUMIF('TL09'!$C$238:$C$451,$C159,'TL09'!$J$238:$J$451),0),
IF('TL10'!$B$3=J$3,SUMIF('TL10'!$C$10:$C$224,$C159,'TL10'!$J$10:$J$224),0),
IF('TL10'!$B$229=J$3,SUMIF('TL10'!$C$238:$C$451,$C159,'TL10'!$J$238:$J$451),0),
IF('TL11'!$B$3=J$3,SUMIF('TL11'!$C$10:$C$224,$C159,'TL11'!$J$10:$J$224),0),
IF('TL11'!$B$229=J$3,SUMIF('TL11'!$C$238:$C$451,$C159,'TL11'!$J$238:$J$451),0),
IF('TL12'!$B$3=J$3,SUMIF('TL12'!$C$10:$C$224,$C159,'TL12'!$J$10:$J$224),0),
IF('TL12'!$B$229=J$3,SUMIF('TL12'!$C$238:$C$451,$C159,'TL12'!$J$238:$J$451),0),
IF('TL13'!$B$3=J$3,SUMIF('TL13'!$C$10:$C$224,$C159,'TL13'!$J$10:$J$224),0),
IF('TL13'!$B$229=J$3,SUMIF('TL13'!$C$238:$C$451,$C159,'TL13'!$J$238:$J$451),0),
IF('TL14'!$B$3=J$3,SUMIF('TL14'!$C$10:$C$224,$C159,'TL14'!$J$10:$J$224),0),
IF('TL14'!$B$229=J$3,SUMIF('TL14'!$C$238:$C$451,$C159,'TL14'!$J$238:$J$451),0),
IF('TL15'!$B$3=J$3,SUMIF('TL15'!$C$10:$C$224,$C159,'TL15'!$J$10:$J$224),0),
IF('TL15'!$B$229=J$3,SUMIF('TL15'!$C$238:$C$451,$C159,'TL15'!$J$238:$J$451),0),
IF('TL16'!$B$3=J$3,SUMIF('TL16'!$C$10:$C$224,$C159,'TL16'!$J$10:$J$224),0),
IF('TL16'!$B$229=J$3,SUMIF('TL16'!$C$238:$C$451,$C159,'TL16'!$J$238:$J$451),0),
IF('TL17'!$B$3=J$3,SUMIF('TL17'!$C$10:$C$224,$C159,'TL17'!$J$10:$J$224),0),
IF('TL17'!$B$229=J$3,SUMIF('TL17'!$C$238:$C$451,$C159,'TL17'!$J$238:$J$451),0),
IF('TL18'!$B$3=J$3,SUMIF('TL18'!$C$10:$C$224,$C159,'TL18'!$J$10:$J$224),0),
IF('TL18'!$B$229=J$3,SUMIF('TL18'!$C$238:$C$451,$C159,'TL18'!$J$238:$J$451),0),
IF('TL19'!$B$3=J$3,SUMIF('TL19'!$C$10:$C$224,$C159,'TL19'!$J$10:$J$224),0),
IF('TL19'!$B$229=J$3,SUMIF('TL19'!$C$238:$C$451,$C159,'TL19'!$J$238:$J$451),0)
),0)</f>
        <v>0</v>
      </c>
      <c r="K159" s="9">
        <f>IFERROR(SUM(
IF('TL01'!$B$3=K$3,SUMIF('TL01'!$C$10:$C$224,$C159,'TL01'!$J$10:$J$224),0),
IF('TL01'!$B$229=K$3,SUMIF('TL01'!$C$238:$C$451,$C159,'TL01'!$J$238:$J$451),0),
IF('TL02'!$B$3=K$3,SUMIF('TL02'!$C$10:$C$224,$C159,'TL02'!$J$10:$J$224),0),
IF('TL02'!$B$229=K$3,SUMIF('TL02'!$C$238:$C$451,$C159,'TL02'!$J$238:$J$451),0),
IF('TL03'!$B$3=K$3,SUMIF('TL03'!$C$10:$C$224,$C159,'TL03'!$J$10:$J$224),0),
IF('TL03'!$B$229=K$3,SUMIF('TL03'!$C$238:$C$451,$C159,'TL03'!$J$238:$J$451),0),
IF('TL04'!$B$3=K$3,SUMIF('TL04'!$C$10:$C$224,$C159,'TL04'!$J$10:$J$224),0),
IF('TL04'!$B$229=K$3,SUMIF('TL04'!$C$238:$C$451,$C159,'TL04'!$J$238:$J$451),0),
IF('TL05'!$B$3=K$3,SUMIF('TL05'!$C$10:$C$224,$C159,'TL05'!$J$10:$J$224),0),
IF('TL05'!$B$229=K$3,SUMIF('TL05'!$C$238:$C$451,$C159,'TL05'!$J$238:$J$451),0),
IF('TL06'!$B$3=K$3,SUMIF('TL06'!$C$10:$C$224,$C159,'TL06'!$J$10:$J$224),0),
IF('TL06'!$B$229=K$3,SUMIF('TL06'!$C$238:$C$451,$C159,'TL06'!$J$238:$J$451),0),
IF('TL07'!$B$3=K$3,SUMIF('TL07'!$C$10:$C$224,$C159,'TL07'!$J$10:$J$224),0),
IF('TL07'!$B$229=K$3,SUMIF('TL07'!$C$238:$C$451,$C159,'TL07'!$J$238:$J$451),0),
IF('TL08'!$B$3=K$3,SUMIF('TL08'!$C$10:$C$224,$C159,'TL08'!$J$10:$J$224),0),
IF('TL08'!$B$229=K$3,SUMIF('TL08'!$C$238:$C$451,$C159,'TL08'!$J$238:$J$451),0),
IF('TL09'!$B$3=K$3,SUMIF('TL09'!$C$10:$C$224,$C159,'TL09'!$J$10:$J$224),0),
IF('TL09'!$B$229=K$3,SUMIF('TL09'!$C$238:$C$451,$C159,'TL09'!$J$238:$J$451),0),
IF('TL10'!$B$3=K$3,SUMIF('TL10'!$C$10:$C$224,$C159,'TL10'!$J$10:$J$224),0),
IF('TL10'!$B$229=K$3,SUMIF('TL10'!$C$238:$C$451,$C159,'TL10'!$J$238:$J$451),0),
IF('TL11'!$B$3=K$3,SUMIF('TL11'!$C$10:$C$224,$C159,'TL11'!$J$10:$J$224),0),
IF('TL11'!$B$229=K$3,SUMIF('TL11'!$C$238:$C$451,$C159,'TL11'!$J$238:$J$451),0),
IF('TL12'!$B$3=K$3,SUMIF('TL12'!$C$10:$C$224,$C159,'TL12'!$J$10:$J$224),0),
IF('TL12'!$B$229=K$3,SUMIF('TL12'!$C$238:$C$451,$C159,'TL12'!$J$238:$J$451),0),
IF('TL13'!$B$3=K$3,SUMIF('TL13'!$C$10:$C$224,$C159,'TL13'!$J$10:$J$224),0),
IF('TL13'!$B$229=K$3,SUMIF('TL13'!$C$238:$C$451,$C159,'TL13'!$J$238:$J$451),0),
IF('TL14'!$B$3=K$3,SUMIF('TL14'!$C$10:$C$224,$C159,'TL14'!$J$10:$J$224),0),
IF('TL14'!$B$229=K$3,SUMIF('TL14'!$C$238:$C$451,$C159,'TL14'!$J$238:$J$451),0),
IF('TL15'!$B$3=K$3,SUMIF('TL15'!$C$10:$C$224,$C159,'TL15'!$J$10:$J$224),0),
IF('TL15'!$B$229=K$3,SUMIF('TL15'!$C$238:$C$451,$C159,'TL15'!$J$238:$J$451),0),
IF('TL16'!$B$3=K$3,SUMIF('TL16'!$C$10:$C$224,$C159,'TL16'!$J$10:$J$224),0),
IF('TL16'!$B$229=K$3,SUMIF('TL16'!$C$238:$C$451,$C159,'TL16'!$J$238:$J$451),0),
IF('TL17'!$B$3=K$3,SUMIF('TL17'!$C$10:$C$224,$C159,'TL17'!$J$10:$J$224),0),
IF('TL17'!$B$229=K$3,SUMIF('TL17'!$C$238:$C$451,$C159,'TL17'!$J$238:$J$451),0),
IF('TL18'!$B$3=K$3,SUMIF('TL18'!$C$10:$C$224,$C159,'TL18'!$J$10:$J$224),0),
IF('TL18'!$B$229=K$3,SUMIF('TL18'!$C$238:$C$451,$C159,'TL18'!$J$238:$J$451),0),
IF('TL19'!$B$3=K$3,SUMIF('TL19'!$C$10:$C$224,$C159,'TL19'!$J$10:$J$224),0),
IF('TL19'!$B$229=K$3,SUMIF('TL19'!$C$238:$C$451,$C159,'TL19'!$J$238:$J$451),0)
),0)</f>
        <v>0</v>
      </c>
      <c r="L159" s="9">
        <f>IFERROR(SUM(
IF('TL01'!$B$3=L$3,SUMIF('TL01'!$C$10:$C$224,$C159,'TL01'!$J$10:$J$224),0),
IF('TL01'!$B$229=L$3,SUMIF('TL01'!$C$238:$C$451,$C159,'TL01'!$J$238:$J$451),0),
IF('TL02'!$B$3=L$3,SUMIF('TL02'!$C$10:$C$224,$C159,'TL02'!$J$10:$J$224),0),
IF('TL02'!$B$229=L$3,SUMIF('TL02'!$C$238:$C$451,$C159,'TL02'!$J$238:$J$451),0),
IF('TL03'!$B$3=L$3,SUMIF('TL03'!$C$10:$C$224,$C159,'TL03'!$J$10:$J$224),0),
IF('TL03'!$B$229=L$3,SUMIF('TL03'!$C$238:$C$451,$C159,'TL03'!$J$238:$J$451),0),
IF('TL04'!$B$3=L$3,SUMIF('TL04'!$C$10:$C$224,$C159,'TL04'!$J$10:$J$224),0),
IF('TL04'!$B$229=L$3,SUMIF('TL04'!$C$238:$C$451,$C159,'TL04'!$J$238:$J$451),0),
IF('TL05'!$B$3=L$3,SUMIF('TL05'!$C$10:$C$224,$C159,'TL05'!$J$10:$J$224),0),
IF('TL05'!$B$229=L$3,SUMIF('TL05'!$C$238:$C$451,$C159,'TL05'!$J$238:$J$451),0),
IF('TL06'!$B$3=L$3,SUMIF('TL06'!$C$10:$C$224,$C159,'TL06'!$J$10:$J$224),0),
IF('TL06'!$B$229=L$3,SUMIF('TL06'!$C$238:$C$451,$C159,'TL06'!$J$238:$J$451),0),
IF('TL07'!$B$3=L$3,SUMIF('TL07'!$C$10:$C$224,$C159,'TL07'!$J$10:$J$224),0),
IF('TL07'!$B$229=L$3,SUMIF('TL07'!$C$238:$C$451,$C159,'TL07'!$J$238:$J$451),0),
IF('TL08'!$B$3=L$3,SUMIF('TL08'!$C$10:$C$224,$C159,'TL08'!$J$10:$J$224),0),
IF('TL08'!$B$229=L$3,SUMIF('TL08'!$C$238:$C$451,$C159,'TL08'!$J$238:$J$451),0),
IF('TL09'!$B$3=L$3,SUMIF('TL09'!$C$10:$C$224,$C159,'TL09'!$J$10:$J$224),0),
IF('TL09'!$B$229=L$3,SUMIF('TL09'!$C$238:$C$451,$C159,'TL09'!$J$238:$J$451),0),
IF('TL10'!$B$3=L$3,SUMIF('TL10'!$C$10:$C$224,$C159,'TL10'!$J$10:$J$224),0),
IF('TL10'!$B$229=L$3,SUMIF('TL10'!$C$238:$C$451,$C159,'TL10'!$J$238:$J$451),0),
IF('TL11'!$B$3=L$3,SUMIF('TL11'!$C$10:$C$224,$C159,'TL11'!$J$10:$J$224),0),
IF('TL11'!$B$229=L$3,SUMIF('TL11'!$C$238:$C$451,$C159,'TL11'!$J$238:$J$451),0),
IF('TL12'!$B$3=L$3,SUMIF('TL12'!$C$10:$C$224,$C159,'TL12'!$J$10:$J$224),0),
IF('TL12'!$B$229=L$3,SUMIF('TL12'!$C$238:$C$451,$C159,'TL12'!$J$238:$J$451),0),
IF('TL13'!$B$3=L$3,SUMIF('TL13'!$C$10:$C$224,$C159,'TL13'!$J$10:$J$224),0),
IF('TL13'!$B$229=L$3,SUMIF('TL13'!$C$238:$C$451,$C159,'TL13'!$J$238:$J$451),0),
IF('TL14'!$B$3=L$3,SUMIF('TL14'!$C$10:$C$224,$C159,'TL14'!$J$10:$J$224),0),
IF('TL14'!$B$229=L$3,SUMIF('TL14'!$C$238:$C$451,$C159,'TL14'!$J$238:$J$451),0),
IF('TL15'!$B$3=L$3,SUMIF('TL15'!$C$10:$C$224,$C159,'TL15'!$J$10:$J$224),0),
IF('TL15'!$B$229=L$3,SUMIF('TL15'!$C$238:$C$451,$C159,'TL15'!$J$238:$J$451),0),
IF('TL16'!$B$3=L$3,SUMIF('TL16'!$C$10:$C$224,$C159,'TL16'!$J$10:$J$224),0),
IF('TL16'!$B$229=L$3,SUMIF('TL16'!$C$238:$C$451,$C159,'TL16'!$J$238:$J$451),0),
IF('TL17'!$B$3=L$3,SUMIF('TL17'!$C$10:$C$224,$C159,'TL17'!$J$10:$J$224),0),
IF('TL17'!$B$229=L$3,SUMIF('TL17'!$C$238:$C$451,$C159,'TL17'!$J$238:$J$451),0),
IF('TL18'!$B$3=L$3,SUMIF('TL18'!$C$10:$C$224,$C159,'TL18'!$J$10:$J$224),0),
IF('TL18'!$B$229=L$3,SUMIF('TL18'!$C$238:$C$451,$C159,'TL18'!$J$238:$J$451),0),
IF('TL19'!$B$3=L$3,SUMIF('TL19'!$C$10:$C$224,$C159,'TL19'!$J$10:$J$224),0),
IF('TL19'!$B$229=L$3,SUMIF('TL19'!$C$238:$C$451,$C159,'TL19'!$J$238:$J$451),0)
),0)</f>
        <v>0</v>
      </c>
      <c r="M159" s="9">
        <f>IFERROR(SUM(
IF('TL01'!$B$3=M$3,SUMIF('TL01'!$C$10:$C$224,$C159,'TL01'!$J$10:$J$224),0),
IF('TL01'!$B$229=M$3,SUMIF('TL01'!$C$238:$C$451,$C159,'TL01'!$J$238:$J$451),0),
IF('TL02'!$B$3=M$3,SUMIF('TL02'!$C$10:$C$224,$C159,'TL02'!$J$10:$J$224),0),
IF('TL02'!$B$229=M$3,SUMIF('TL02'!$C$238:$C$451,$C159,'TL02'!$J$238:$J$451),0),
IF('TL03'!$B$3=M$3,SUMIF('TL03'!$C$10:$C$224,$C159,'TL03'!$J$10:$J$224),0),
IF('TL03'!$B$229=M$3,SUMIF('TL03'!$C$238:$C$451,$C159,'TL03'!$J$238:$J$451),0),
IF('TL04'!$B$3=M$3,SUMIF('TL04'!$C$10:$C$224,$C159,'TL04'!$J$10:$J$224),0),
IF('TL04'!$B$229=M$3,SUMIF('TL04'!$C$238:$C$451,$C159,'TL04'!$J$238:$J$451),0),
IF('TL05'!$B$3=M$3,SUMIF('TL05'!$C$10:$C$224,$C159,'TL05'!$J$10:$J$224),0),
IF('TL05'!$B$229=M$3,SUMIF('TL05'!$C$238:$C$451,$C159,'TL05'!$J$238:$J$451),0),
IF('TL06'!$B$3=M$3,SUMIF('TL06'!$C$10:$C$224,$C159,'TL06'!$J$10:$J$224),0),
IF('TL06'!$B$229=M$3,SUMIF('TL06'!$C$238:$C$451,$C159,'TL06'!$J$238:$J$451),0),
IF('TL07'!$B$3=M$3,SUMIF('TL07'!$C$10:$C$224,$C159,'TL07'!$J$10:$J$224),0),
IF('TL07'!$B$229=M$3,SUMIF('TL07'!$C$238:$C$451,$C159,'TL07'!$J$238:$J$451),0),
IF('TL08'!$B$3=M$3,SUMIF('TL08'!$C$10:$C$224,$C159,'TL08'!$J$10:$J$224),0),
IF('TL08'!$B$229=M$3,SUMIF('TL08'!$C$238:$C$451,$C159,'TL08'!$J$238:$J$451),0),
IF('TL09'!$B$3=M$3,SUMIF('TL09'!$C$10:$C$224,$C159,'TL09'!$J$10:$J$224),0),
IF('TL09'!$B$229=M$3,SUMIF('TL09'!$C$238:$C$451,$C159,'TL09'!$J$238:$J$451),0),
IF('TL10'!$B$3=M$3,SUMIF('TL10'!$C$10:$C$224,$C159,'TL10'!$J$10:$J$224),0),
IF('TL10'!$B$229=M$3,SUMIF('TL10'!$C$238:$C$451,$C159,'TL10'!$J$238:$J$451),0),
IF('TL11'!$B$3=M$3,SUMIF('TL11'!$C$10:$C$224,$C159,'TL11'!$J$10:$J$224),0),
IF('TL11'!$B$229=M$3,SUMIF('TL11'!$C$238:$C$451,$C159,'TL11'!$J$238:$J$451),0),
IF('TL12'!$B$3=M$3,SUMIF('TL12'!$C$10:$C$224,$C159,'TL12'!$J$10:$J$224),0),
IF('TL12'!$B$229=M$3,SUMIF('TL12'!$C$238:$C$451,$C159,'TL12'!$J$238:$J$451),0),
IF('TL13'!$B$3=M$3,SUMIF('TL13'!$C$10:$C$224,$C159,'TL13'!$J$10:$J$224),0),
IF('TL13'!$B$229=M$3,SUMIF('TL13'!$C$238:$C$451,$C159,'TL13'!$J$238:$J$451),0),
IF('TL14'!$B$3=M$3,SUMIF('TL14'!$C$10:$C$224,$C159,'TL14'!$J$10:$J$224),0),
IF('TL14'!$B$229=M$3,SUMIF('TL14'!$C$238:$C$451,$C159,'TL14'!$J$238:$J$451),0),
IF('TL15'!$B$3=M$3,SUMIF('TL15'!$C$10:$C$224,$C159,'TL15'!$J$10:$J$224),0),
IF('TL15'!$B$229=M$3,SUMIF('TL15'!$C$238:$C$451,$C159,'TL15'!$J$238:$J$451),0),
IF('TL16'!$B$3=M$3,SUMIF('TL16'!$C$10:$C$224,$C159,'TL16'!$J$10:$J$224),0),
IF('TL16'!$B$229=M$3,SUMIF('TL16'!$C$238:$C$451,$C159,'TL16'!$J$238:$J$451),0),
IF('TL17'!$B$3=M$3,SUMIF('TL17'!$C$10:$C$224,$C159,'TL17'!$J$10:$J$224),0),
IF('TL17'!$B$229=M$3,SUMIF('TL17'!$C$238:$C$451,$C159,'TL17'!$J$238:$J$451),0),
IF('TL18'!$B$3=M$3,SUMIF('TL18'!$C$10:$C$224,$C159,'TL18'!$J$10:$J$224),0),
IF('TL18'!$B$229=M$3,SUMIF('TL18'!$C$238:$C$451,$C159,'TL18'!$J$238:$J$451),0),
IF('TL19'!$B$3=M$3,SUMIF('TL19'!$C$10:$C$224,$C159,'TL19'!$J$10:$J$224),0),
IF('TL19'!$B$229=M$3,SUMIF('TL19'!$C$238:$C$451,$C159,'TL19'!$J$238:$J$451),0)
),0)</f>
        <v>0</v>
      </c>
      <c r="N159" s="9">
        <f>IFERROR(SUM(
IF('TL01'!$B$3=N$3,SUMIF('TL01'!$C$10:$C$224,$C159,'TL01'!$J$10:$J$224),0),
IF('TL01'!$B$229=N$3,SUMIF('TL01'!$C$238:$C$451,$C159,'TL01'!$J$238:$J$451),0),
IF('TL02'!$B$3=N$3,SUMIF('TL02'!$C$10:$C$224,$C159,'TL02'!$J$10:$J$224),0),
IF('TL02'!$B$229=N$3,SUMIF('TL02'!$C$238:$C$451,$C159,'TL02'!$J$238:$J$451),0),
IF('TL03'!$B$3=N$3,SUMIF('TL03'!$C$10:$C$224,$C159,'TL03'!$J$10:$J$224),0),
IF('TL03'!$B$229=N$3,SUMIF('TL03'!$C$238:$C$451,$C159,'TL03'!$J$238:$J$451),0),
IF('TL04'!$B$3=N$3,SUMIF('TL04'!$C$10:$C$224,$C159,'TL04'!$J$10:$J$224),0),
IF('TL04'!$B$229=N$3,SUMIF('TL04'!$C$238:$C$451,$C159,'TL04'!$J$238:$J$451),0),
IF('TL05'!$B$3=N$3,SUMIF('TL05'!$C$10:$C$224,$C159,'TL05'!$J$10:$J$224),0),
IF('TL05'!$B$229=N$3,SUMIF('TL05'!$C$238:$C$451,$C159,'TL05'!$J$238:$J$451),0),
IF('TL06'!$B$3=N$3,SUMIF('TL06'!$C$10:$C$224,$C159,'TL06'!$J$10:$J$224),0),
IF('TL06'!$B$229=N$3,SUMIF('TL06'!$C$238:$C$451,$C159,'TL06'!$J$238:$J$451),0),
IF('TL07'!$B$3=N$3,SUMIF('TL07'!$C$10:$C$224,$C159,'TL07'!$J$10:$J$224),0),
IF('TL07'!$B$229=N$3,SUMIF('TL07'!$C$238:$C$451,$C159,'TL07'!$J$238:$J$451),0),
IF('TL08'!$B$3=N$3,SUMIF('TL08'!$C$10:$C$224,$C159,'TL08'!$J$10:$J$224),0),
IF('TL08'!$B$229=N$3,SUMIF('TL08'!$C$238:$C$451,$C159,'TL08'!$J$238:$J$451),0),
IF('TL09'!$B$3=N$3,SUMIF('TL09'!$C$10:$C$224,$C159,'TL09'!$J$10:$J$224),0),
IF('TL09'!$B$229=N$3,SUMIF('TL09'!$C$238:$C$451,$C159,'TL09'!$J$238:$J$451),0),
IF('TL10'!$B$3=N$3,SUMIF('TL10'!$C$10:$C$224,$C159,'TL10'!$J$10:$J$224),0),
IF('TL10'!$B$229=N$3,SUMIF('TL10'!$C$238:$C$451,$C159,'TL10'!$J$238:$J$451),0),
IF('TL11'!$B$3=N$3,SUMIF('TL11'!$C$10:$C$224,$C159,'TL11'!$J$10:$J$224),0),
IF('TL11'!$B$229=N$3,SUMIF('TL11'!$C$238:$C$451,$C159,'TL11'!$J$238:$J$451),0),
IF('TL12'!$B$3=N$3,SUMIF('TL12'!$C$10:$C$224,$C159,'TL12'!$J$10:$J$224),0),
IF('TL12'!$B$229=N$3,SUMIF('TL12'!$C$238:$C$451,$C159,'TL12'!$J$238:$J$451),0),
IF('TL13'!$B$3=N$3,SUMIF('TL13'!$C$10:$C$224,$C159,'TL13'!$J$10:$J$224),0),
IF('TL13'!$B$229=N$3,SUMIF('TL13'!$C$238:$C$451,$C159,'TL13'!$J$238:$J$451),0),
IF('TL14'!$B$3=N$3,SUMIF('TL14'!$C$10:$C$224,$C159,'TL14'!$J$10:$J$224),0),
IF('TL14'!$B$229=N$3,SUMIF('TL14'!$C$238:$C$451,$C159,'TL14'!$J$238:$J$451),0),
IF('TL15'!$B$3=N$3,SUMIF('TL15'!$C$10:$C$224,$C159,'TL15'!$J$10:$J$224),0),
IF('TL15'!$B$229=N$3,SUMIF('TL15'!$C$238:$C$451,$C159,'TL15'!$J$238:$J$451),0),
IF('TL16'!$B$3=N$3,SUMIF('TL16'!$C$10:$C$224,$C159,'TL16'!$J$10:$J$224),0),
IF('TL16'!$B$229=N$3,SUMIF('TL16'!$C$238:$C$451,$C159,'TL16'!$J$238:$J$451),0),
IF('TL17'!$B$3=N$3,SUMIF('TL17'!$C$10:$C$224,$C159,'TL17'!$J$10:$J$224),0),
IF('TL17'!$B$229=N$3,SUMIF('TL17'!$C$238:$C$451,$C159,'TL17'!$J$238:$J$451),0),
IF('TL18'!$B$3=N$3,SUMIF('TL18'!$C$10:$C$224,$C159,'TL18'!$J$10:$J$224),0),
IF('TL18'!$B$229=N$3,SUMIF('TL18'!$C$238:$C$451,$C159,'TL18'!$J$238:$J$451),0),
IF('TL19'!$B$3=N$3,SUMIF('TL19'!$C$10:$C$224,$C159,'TL19'!$J$10:$J$224),0),
IF('TL19'!$B$229=N$3,SUMIF('TL19'!$C$238:$C$451,$C159,'TL19'!$J$238:$J$451),0)
),0)</f>
        <v>0</v>
      </c>
      <c r="O159" s="9">
        <f>IFERROR(SUM(
IF('TL01'!$B$3=O$3,SUMIF('TL01'!$C$10:$C$224,$C159,'TL01'!$J$10:$J$224),0),
IF('TL01'!$B$229=O$3,SUMIF('TL01'!$C$238:$C$451,$C159,'TL01'!$J$238:$J$451),0),
IF('TL02'!$B$3=O$3,SUMIF('TL02'!$C$10:$C$224,$C159,'TL02'!$J$10:$J$224),0),
IF('TL02'!$B$229=O$3,SUMIF('TL02'!$C$238:$C$451,$C159,'TL02'!$J$238:$J$451),0),
IF('TL03'!$B$3=O$3,SUMIF('TL03'!$C$10:$C$224,$C159,'TL03'!$J$10:$J$224),0),
IF('TL03'!$B$229=O$3,SUMIF('TL03'!$C$238:$C$451,$C159,'TL03'!$J$238:$J$451),0),
IF('TL04'!$B$3=O$3,SUMIF('TL04'!$C$10:$C$224,$C159,'TL04'!$J$10:$J$224),0),
IF('TL04'!$B$229=O$3,SUMIF('TL04'!$C$238:$C$451,$C159,'TL04'!$J$238:$J$451),0),
IF('TL05'!$B$3=O$3,SUMIF('TL05'!$C$10:$C$224,$C159,'TL05'!$J$10:$J$224),0),
IF('TL05'!$B$229=O$3,SUMIF('TL05'!$C$238:$C$451,$C159,'TL05'!$J$238:$J$451),0),
IF('TL06'!$B$3=O$3,SUMIF('TL06'!$C$10:$C$224,$C159,'TL06'!$J$10:$J$224),0),
IF('TL06'!$B$229=O$3,SUMIF('TL06'!$C$238:$C$451,$C159,'TL06'!$J$238:$J$451),0),
IF('TL07'!$B$3=O$3,SUMIF('TL07'!$C$10:$C$224,$C159,'TL07'!$J$10:$J$224),0),
IF('TL07'!$B$229=O$3,SUMIF('TL07'!$C$238:$C$451,$C159,'TL07'!$J$238:$J$451),0),
IF('TL08'!$B$3=O$3,SUMIF('TL08'!$C$10:$C$224,$C159,'TL08'!$J$10:$J$224),0),
IF('TL08'!$B$229=O$3,SUMIF('TL08'!$C$238:$C$451,$C159,'TL08'!$J$238:$J$451),0),
IF('TL09'!$B$3=O$3,SUMIF('TL09'!$C$10:$C$224,$C159,'TL09'!$J$10:$J$224),0),
IF('TL09'!$B$229=O$3,SUMIF('TL09'!$C$238:$C$451,$C159,'TL09'!$J$238:$J$451),0),
IF('TL10'!$B$3=O$3,SUMIF('TL10'!$C$10:$C$224,$C159,'TL10'!$J$10:$J$224),0),
IF('TL10'!$B$229=O$3,SUMIF('TL10'!$C$238:$C$451,$C159,'TL10'!$J$238:$J$451),0),
IF('TL11'!$B$3=O$3,SUMIF('TL11'!$C$10:$C$224,$C159,'TL11'!$J$10:$J$224),0),
IF('TL11'!$B$229=O$3,SUMIF('TL11'!$C$238:$C$451,$C159,'TL11'!$J$238:$J$451),0),
IF('TL12'!$B$3=O$3,SUMIF('TL12'!$C$10:$C$224,$C159,'TL12'!$J$10:$J$224),0),
IF('TL12'!$B$229=O$3,SUMIF('TL12'!$C$238:$C$451,$C159,'TL12'!$J$238:$J$451),0),
IF('TL13'!$B$3=O$3,SUMIF('TL13'!$C$10:$C$224,$C159,'TL13'!$J$10:$J$224),0),
IF('TL13'!$B$229=O$3,SUMIF('TL13'!$C$238:$C$451,$C159,'TL13'!$J$238:$J$451),0),
IF('TL14'!$B$3=O$3,SUMIF('TL14'!$C$10:$C$224,$C159,'TL14'!$J$10:$J$224),0),
IF('TL14'!$B$229=O$3,SUMIF('TL14'!$C$238:$C$451,$C159,'TL14'!$J$238:$J$451),0),
IF('TL15'!$B$3=O$3,SUMIF('TL15'!$C$10:$C$224,$C159,'TL15'!$J$10:$J$224),0),
IF('TL15'!$B$229=O$3,SUMIF('TL15'!$C$238:$C$451,$C159,'TL15'!$J$238:$J$451),0),
IF('TL16'!$B$3=O$3,SUMIF('TL16'!$C$10:$C$224,$C159,'TL16'!$J$10:$J$224),0),
IF('TL16'!$B$229=O$3,SUMIF('TL16'!$C$238:$C$451,$C159,'TL16'!$J$238:$J$451),0),
IF('TL17'!$B$3=O$3,SUMIF('TL17'!$C$10:$C$224,$C159,'TL17'!$J$10:$J$224),0),
IF('TL17'!$B$229=O$3,SUMIF('TL17'!$C$238:$C$451,$C159,'TL17'!$J$238:$J$451),0),
IF('TL18'!$B$3=O$3,SUMIF('TL18'!$C$10:$C$224,$C159,'TL18'!$J$10:$J$224),0),
IF('TL18'!$B$229=O$3,SUMIF('TL18'!$C$238:$C$451,$C159,'TL18'!$J$238:$J$451),0),
IF('TL19'!$B$3=O$3,SUMIF('TL19'!$C$10:$C$224,$C159,'TL19'!$J$10:$J$224),0),
IF('TL19'!$B$229=O$3,SUMIF('TL19'!$C$238:$C$451,$C159,'TL19'!$J$238:$J$451),0)
),0)</f>
        <v>0</v>
      </c>
      <c r="P159" s="9">
        <f>IFERROR(SUM(
IF('TL01'!$B$3=P$3,SUMIF('TL01'!$C$10:$C$224,$C159,'TL01'!$J$10:$J$224),0),
IF('TL01'!$B$229=P$3,SUMIF('TL01'!$C$238:$C$451,$C159,'TL01'!$J$238:$J$451),0),
IF('TL02'!$B$3=P$3,SUMIF('TL02'!$C$10:$C$224,$C159,'TL02'!$J$10:$J$224),0),
IF('TL02'!$B$229=P$3,SUMIF('TL02'!$C$238:$C$451,$C159,'TL02'!$J$238:$J$451),0),
IF('TL03'!$B$3=P$3,SUMIF('TL03'!$C$10:$C$224,$C159,'TL03'!$J$10:$J$224),0),
IF('TL03'!$B$229=P$3,SUMIF('TL03'!$C$238:$C$451,$C159,'TL03'!$J$238:$J$451),0),
IF('TL04'!$B$3=P$3,SUMIF('TL04'!$C$10:$C$224,$C159,'TL04'!$J$10:$J$224),0),
IF('TL04'!$B$229=P$3,SUMIF('TL04'!$C$238:$C$451,$C159,'TL04'!$J$238:$J$451),0),
IF('TL05'!$B$3=P$3,SUMIF('TL05'!$C$10:$C$224,$C159,'TL05'!$J$10:$J$224),0),
IF('TL05'!$B$229=P$3,SUMIF('TL05'!$C$238:$C$451,$C159,'TL05'!$J$238:$J$451),0),
IF('TL06'!$B$3=P$3,SUMIF('TL06'!$C$10:$C$224,$C159,'TL06'!$J$10:$J$224),0),
IF('TL06'!$B$229=P$3,SUMIF('TL06'!$C$238:$C$451,$C159,'TL06'!$J$238:$J$451),0),
IF('TL07'!$B$3=P$3,SUMIF('TL07'!$C$10:$C$224,$C159,'TL07'!$J$10:$J$224),0),
IF('TL07'!$B$229=P$3,SUMIF('TL07'!$C$238:$C$451,$C159,'TL07'!$J$238:$J$451),0),
IF('TL08'!$B$3=P$3,SUMIF('TL08'!$C$10:$C$224,$C159,'TL08'!$J$10:$J$224),0),
IF('TL08'!$B$229=P$3,SUMIF('TL08'!$C$238:$C$451,$C159,'TL08'!$J$238:$J$451),0),
IF('TL09'!$B$3=P$3,SUMIF('TL09'!$C$10:$C$224,$C159,'TL09'!$J$10:$J$224),0),
IF('TL09'!$B$229=P$3,SUMIF('TL09'!$C$238:$C$451,$C159,'TL09'!$J$238:$J$451),0),
IF('TL10'!$B$3=P$3,SUMIF('TL10'!$C$10:$C$224,$C159,'TL10'!$J$10:$J$224),0),
IF('TL10'!$B$229=P$3,SUMIF('TL10'!$C$238:$C$451,$C159,'TL10'!$J$238:$J$451),0),
IF('TL11'!$B$3=P$3,SUMIF('TL11'!$C$10:$C$224,$C159,'TL11'!$J$10:$J$224),0),
IF('TL11'!$B$229=P$3,SUMIF('TL11'!$C$238:$C$451,$C159,'TL11'!$J$238:$J$451),0),
IF('TL12'!$B$3=P$3,SUMIF('TL12'!$C$10:$C$224,$C159,'TL12'!$J$10:$J$224),0),
IF('TL12'!$B$229=P$3,SUMIF('TL12'!$C$238:$C$451,$C159,'TL12'!$J$238:$J$451),0),
IF('TL13'!$B$3=P$3,SUMIF('TL13'!$C$10:$C$224,$C159,'TL13'!$J$10:$J$224),0),
IF('TL13'!$B$229=P$3,SUMIF('TL13'!$C$238:$C$451,$C159,'TL13'!$J$238:$J$451),0),
IF('TL14'!$B$3=P$3,SUMIF('TL14'!$C$10:$C$224,$C159,'TL14'!$J$10:$J$224),0),
IF('TL14'!$B$229=P$3,SUMIF('TL14'!$C$238:$C$451,$C159,'TL14'!$J$238:$J$451),0),
IF('TL15'!$B$3=P$3,SUMIF('TL15'!$C$10:$C$224,$C159,'TL15'!$J$10:$J$224),0),
IF('TL15'!$B$229=P$3,SUMIF('TL15'!$C$238:$C$451,$C159,'TL15'!$J$238:$J$451),0),
IF('TL16'!$B$3=P$3,SUMIF('TL16'!$C$10:$C$224,$C159,'TL16'!$J$10:$J$224),0),
IF('TL16'!$B$229=P$3,SUMIF('TL16'!$C$238:$C$451,$C159,'TL16'!$J$238:$J$451),0),
IF('TL17'!$B$3=P$3,SUMIF('TL17'!$C$10:$C$224,$C159,'TL17'!$J$10:$J$224),0),
IF('TL17'!$B$229=P$3,SUMIF('TL17'!$C$238:$C$451,$C159,'TL17'!$J$238:$J$451),0),
IF('TL18'!$B$3=P$3,SUMIF('TL18'!$C$10:$C$224,$C159,'TL18'!$J$10:$J$224),0),
IF('TL18'!$B$229=P$3,SUMIF('TL18'!$C$238:$C$451,$C159,'TL18'!$J$238:$J$451),0),
IF('TL19'!$B$3=P$3,SUMIF('TL19'!$C$10:$C$224,$C159,'TL19'!$J$10:$J$224),0),
IF('TL19'!$B$229=P$3,SUMIF('TL19'!$C$238:$C$451,$C159,'TL19'!$J$238:$J$451),0)
),0)</f>
        <v>0</v>
      </c>
      <c r="Q159" s="9">
        <f>IFERROR(SUM(
IF('TL01'!$B$3=Q$3,SUMIF('TL01'!$C$10:$C$224,$C159,'TL01'!$J$10:$J$224),0),
IF('TL01'!$B$229=Q$3,SUMIF('TL01'!$C$238:$C$451,$C159,'TL01'!$J$238:$J$451),0),
IF('TL02'!$B$3=Q$3,SUMIF('TL02'!$C$10:$C$224,$C159,'TL02'!$J$10:$J$224),0),
IF('TL02'!$B$229=Q$3,SUMIF('TL02'!$C$238:$C$451,$C159,'TL02'!$J$238:$J$451),0),
IF('TL03'!$B$3=Q$3,SUMIF('TL03'!$C$10:$C$224,$C159,'TL03'!$J$10:$J$224),0),
IF('TL03'!$B$229=Q$3,SUMIF('TL03'!$C$238:$C$451,$C159,'TL03'!$J$238:$J$451),0),
IF('TL04'!$B$3=Q$3,SUMIF('TL04'!$C$10:$C$224,$C159,'TL04'!$J$10:$J$224),0),
IF('TL04'!$B$229=Q$3,SUMIF('TL04'!$C$238:$C$451,$C159,'TL04'!$J$238:$J$451),0),
IF('TL05'!$B$3=Q$3,SUMIF('TL05'!$C$10:$C$224,$C159,'TL05'!$J$10:$J$224),0),
IF('TL05'!$B$229=Q$3,SUMIF('TL05'!$C$238:$C$451,$C159,'TL05'!$J$238:$J$451),0),
IF('TL06'!$B$3=Q$3,SUMIF('TL06'!$C$10:$C$224,$C159,'TL06'!$J$10:$J$224),0),
IF('TL06'!$B$229=Q$3,SUMIF('TL06'!$C$238:$C$451,$C159,'TL06'!$J$238:$J$451),0),
IF('TL07'!$B$3=Q$3,SUMIF('TL07'!$C$10:$C$224,$C159,'TL07'!$J$10:$J$224),0),
IF('TL07'!$B$229=Q$3,SUMIF('TL07'!$C$238:$C$451,$C159,'TL07'!$J$238:$J$451),0),
IF('TL08'!$B$3=Q$3,SUMIF('TL08'!$C$10:$C$224,$C159,'TL08'!$J$10:$J$224),0),
IF('TL08'!$B$229=Q$3,SUMIF('TL08'!$C$238:$C$451,$C159,'TL08'!$J$238:$J$451),0),
IF('TL09'!$B$3=Q$3,SUMIF('TL09'!$C$10:$C$224,$C159,'TL09'!$J$10:$J$224),0),
IF('TL09'!$B$229=Q$3,SUMIF('TL09'!$C$238:$C$451,$C159,'TL09'!$J$238:$J$451),0),
IF('TL10'!$B$3=Q$3,SUMIF('TL10'!$C$10:$C$224,$C159,'TL10'!$J$10:$J$224),0),
IF('TL10'!$B$229=Q$3,SUMIF('TL10'!$C$238:$C$451,$C159,'TL10'!$J$238:$J$451),0),
IF('TL11'!$B$3=Q$3,SUMIF('TL11'!$C$10:$C$224,$C159,'TL11'!$J$10:$J$224),0),
IF('TL11'!$B$229=Q$3,SUMIF('TL11'!$C$238:$C$451,$C159,'TL11'!$J$238:$J$451),0),
IF('TL12'!$B$3=Q$3,SUMIF('TL12'!$C$10:$C$224,$C159,'TL12'!$J$10:$J$224),0),
IF('TL12'!$B$229=Q$3,SUMIF('TL12'!$C$238:$C$451,$C159,'TL12'!$J$238:$J$451),0),
IF('TL13'!$B$3=Q$3,SUMIF('TL13'!$C$10:$C$224,$C159,'TL13'!$J$10:$J$224),0),
IF('TL13'!$B$229=Q$3,SUMIF('TL13'!$C$238:$C$451,$C159,'TL13'!$J$238:$J$451),0),
IF('TL14'!$B$3=Q$3,SUMIF('TL14'!$C$10:$C$224,$C159,'TL14'!$J$10:$J$224),0),
IF('TL14'!$B$229=Q$3,SUMIF('TL14'!$C$238:$C$451,$C159,'TL14'!$J$238:$J$451),0),
IF('TL15'!$B$3=Q$3,SUMIF('TL15'!$C$10:$C$224,$C159,'TL15'!$J$10:$J$224),0),
IF('TL15'!$B$229=Q$3,SUMIF('TL15'!$C$238:$C$451,$C159,'TL15'!$J$238:$J$451),0),
IF('TL16'!$B$3=Q$3,SUMIF('TL16'!$C$10:$C$224,$C159,'TL16'!$J$10:$J$224),0),
IF('TL16'!$B$229=Q$3,SUMIF('TL16'!$C$238:$C$451,$C159,'TL16'!$J$238:$J$451),0),
IF('TL17'!$B$3=Q$3,SUMIF('TL17'!$C$10:$C$224,$C159,'TL17'!$J$10:$J$224),0),
IF('TL17'!$B$229=Q$3,SUMIF('TL17'!$C$238:$C$451,$C159,'TL17'!$J$238:$J$451),0),
IF('TL18'!$B$3=Q$3,SUMIF('TL18'!$C$10:$C$224,$C159,'TL18'!$J$10:$J$224),0),
IF('TL18'!$B$229=Q$3,SUMIF('TL18'!$C$238:$C$451,$C159,'TL18'!$J$238:$J$451),0),
IF('TL19'!$B$3=Q$3,SUMIF('TL19'!$C$10:$C$224,$C159,'TL19'!$J$10:$J$224),0),
IF('TL19'!$B$229=Q$3,SUMIF('TL19'!$C$238:$C$451,$C159,'TL19'!$J$238:$J$451),0)
),0)</f>
        <v>0</v>
      </c>
      <c r="R159" s="9">
        <f>IFERROR(
SUM(
SUMIF('TL01'!C:C,C159,'TL01'!J:J),
SUMIF('TL02'!C:C,C159,'TL02'!J:J),
SUMIF('TL03'!C:C,C159,'TL03'!J:J),
SUMIF('TL04'!C:C,C159,'TL04'!J:J),
SUMIF('TL05'!C:C,C159,'TL05'!J:J),
SUMIF('TL06'!C:C,C159,'TL06'!J:J),
SUMIF('TL07'!C:C,C159,'TL07'!J:J),
SUMIF('TL08'!C:C,C159,'TL08'!J:J),
SUMIF('TL09'!C:C,C159,'TL09'!J:J),
SUMIF('TL10'!C:C,C159,'TL10'!J:J),
SUMIF('TL11'!C:C,C159,'TL11'!J:J),
SUMIF('TL12'!C:C,C159,'TL12'!J:J),
SUMIF('TL13'!C:C,C159,'TL13'!J:J),
SUMIF('TL14'!C:C,C159,'TL14'!J:J),
SUMIF('TL15'!C:C,C159,'TL15'!J:J),
SUMIF('TL16'!C:C,C159,'TL16'!J:J),
SUMIF('TL17'!C:C,C159,'TL17'!J:J),
SUMIF('TL18'!C:C,C159,'TL18'!J:J),SUMIF('TL19'!C:C,C159,'TL19'!J:J))
,0)</f>
        <v>0</v>
      </c>
      <c r="S159" s="17">
        <f>IFERROR(__xludf.DUMMYFUNCTION("IFERROR(VLOOKUP(C159,
IMPORTRANGE(""1wULbzX32WdYsx-lj2U3uUNBBe2INVIRDtcK0d-Dvl90"",
""26-27!C:G""),
5,
FALSE),
"""")"),50.38899999999999)</f>
        <v>50.389</v>
      </c>
      <c r="T159" s="9"/>
      <c r="U159" s="92">
        <f t="shared" si="2"/>
        <v>0</v>
      </c>
      <c r="V159" s="93">
        <f t="shared" si="3"/>
        <v>0</v>
      </c>
    </row>
    <row r="160" ht="15.75" hidden="1" customHeight="1">
      <c r="A160" s="115" t="s">
        <v>358</v>
      </c>
      <c r="B160" s="100" t="s">
        <v>1</v>
      </c>
      <c r="C160" s="116" t="s">
        <v>725</v>
      </c>
      <c r="D160" s="116" t="s">
        <v>726</v>
      </c>
      <c r="E160" s="116" t="s">
        <v>727</v>
      </c>
      <c r="F160" s="4" t="s">
        <v>343</v>
      </c>
      <c r="G160" s="90" t="str">
        <f t="shared" si="4"/>
        <v>📄 Ver bula</v>
      </c>
      <c r="H160" s="9" t="str">
        <f>IFERROR(__xludf.DUMMYFUNCTION("IFERROR(VLOOKUP(C160,
IMPORTRANGE(""1wULbzX32WdYsx-lj2U3uUNBBe2INVIRDtcK0d-Dvl90"",
""26-27!C:K""),
8,
FALSE),
"""")"),"")</f>
        <v/>
      </c>
      <c r="I160" s="117" t="s">
        <v>344</v>
      </c>
      <c r="J160" s="9">
        <f>IFERROR(SUM(
IF('TL01'!$B$3=J$3,SUMIF('TL01'!$C$10:$C$224,$C160,'TL01'!$J$10:$J$224),0),
IF('TL01'!$B$229=J$3,SUMIF('TL01'!$C$238:$C$451,$C160,'TL01'!$J$238:$J$451),0),
IF('TL02'!$B$3=J$3,SUMIF('TL02'!$C$10:$C$224,$C160,'TL02'!$J$10:$J$224),0),
IF('TL02'!$B$229=J$3,SUMIF('TL02'!$C$238:$C$451,$C160,'TL02'!$J$238:$J$451),0),
IF('TL03'!$B$3=J$3,SUMIF('TL03'!$C$10:$C$224,$C160,'TL03'!$J$10:$J$224),0),
IF('TL03'!$B$229=J$3,SUMIF('TL03'!$C$238:$C$451,$C160,'TL03'!$J$238:$J$451),0),
IF('TL04'!$B$3=J$3,SUMIF('TL04'!$C$10:$C$224,$C160,'TL04'!$J$10:$J$224),0),
IF('TL04'!$B$229=J$3,SUMIF('TL04'!$C$238:$C$451,$C160,'TL04'!$J$238:$J$451),0),
IF('TL05'!$B$3=J$3,SUMIF('TL05'!$C$10:$C$224,$C160,'TL05'!$J$10:$J$224),0),
IF('TL05'!$B$229=J$3,SUMIF('TL05'!$C$238:$C$451,$C160,'TL05'!$J$238:$J$451),0),
IF('TL06'!$B$3=J$3,SUMIF('TL06'!$C$10:$C$224,$C160,'TL06'!$J$10:$J$224),0),
IF('TL06'!$B$229=J$3,SUMIF('TL06'!$C$238:$C$451,$C160,'TL06'!$J$238:$J$451),0),
IF('TL07'!$B$3=J$3,SUMIF('TL07'!$C$10:$C$224,$C160,'TL07'!$J$10:$J$224),0),
IF('TL07'!$B$229=J$3,SUMIF('TL07'!$C$238:$C$451,$C160,'TL07'!$J$238:$J$451),0),
IF('TL08'!$B$3=J$3,SUMIF('TL08'!$C$10:$C$224,$C160,'TL08'!$J$10:$J$224),0),
IF('TL08'!$B$229=J$3,SUMIF('TL08'!$C$238:$C$451,$C160,'TL08'!$J$238:$J$451),0),
IF('TL09'!$B$3=J$3,SUMIF('TL09'!$C$10:$C$224,$C160,'TL09'!$J$10:$J$224),0),
IF('TL09'!$B$229=J$3,SUMIF('TL09'!$C$238:$C$451,$C160,'TL09'!$J$238:$J$451),0),
IF('TL10'!$B$3=J$3,SUMIF('TL10'!$C$10:$C$224,$C160,'TL10'!$J$10:$J$224),0),
IF('TL10'!$B$229=J$3,SUMIF('TL10'!$C$238:$C$451,$C160,'TL10'!$J$238:$J$451),0),
IF('TL11'!$B$3=J$3,SUMIF('TL11'!$C$10:$C$224,$C160,'TL11'!$J$10:$J$224),0),
IF('TL11'!$B$229=J$3,SUMIF('TL11'!$C$238:$C$451,$C160,'TL11'!$J$238:$J$451),0),
IF('TL12'!$B$3=J$3,SUMIF('TL12'!$C$10:$C$224,$C160,'TL12'!$J$10:$J$224),0),
IF('TL12'!$B$229=J$3,SUMIF('TL12'!$C$238:$C$451,$C160,'TL12'!$J$238:$J$451),0),
IF('TL13'!$B$3=J$3,SUMIF('TL13'!$C$10:$C$224,$C160,'TL13'!$J$10:$J$224),0),
IF('TL13'!$B$229=J$3,SUMIF('TL13'!$C$238:$C$451,$C160,'TL13'!$J$238:$J$451),0),
IF('TL14'!$B$3=J$3,SUMIF('TL14'!$C$10:$C$224,$C160,'TL14'!$J$10:$J$224),0),
IF('TL14'!$B$229=J$3,SUMIF('TL14'!$C$238:$C$451,$C160,'TL14'!$J$238:$J$451),0),
IF('TL15'!$B$3=J$3,SUMIF('TL15'!$C$10:$C$224,$C160,'TL15'!$J$10:$J$224),0),
IF('TL15'!$B$229=J$3,SUMIF('TL15'!$C$238:$C$451,$C160,'TL15'!$J$238:$J$451),0),
IF('TL16'!$B$3=J$3,SUMIF('TL16'!$C$10:$C$224,$C160,'TL16'!$J$10:$J$224),0),
IF('TL16'!$B$229=J$3,SUMIF('TL16'!$C$238:$C$451,$C160,'TL16'!$J$238:$J$451),0),
IF('TL17'!$B$3=J$3,SUMIF('TL17'!$C$10:$C$224,$C160,'TL17'!$J$10:$J$224),0),
IF('TL17'!$B$229=J$3,SUMIF('TL17'!$C$238:$C$451,$C160,'TL17'!$J$238:$J$451),0),
IF('TL18'!$B$3=J$3,SUMIF('TL18'!$C$10:$C$224,$C160,'TL18'!$J$10:$J$224),0),
IF('TL18'!$B$229=J$3,SUMIF('TL18'!$C$238:$C$451,$C160,'TL18'!$J$238:$J$451),0),
IF('TL19'!$B$3=J$3,SUMIF('TL19'!$C$10:$C$224,$C160,'TL19'!$J$10:$J$224),0),
IF('TL19'!$B$229=J$3,SUMIF('TL19'!$C$238:$C$451,$C160,'TL19'!$J$238:$J$451),0)
),0)</f>
        <v>0</v>
      </c>
      <c r="K160" s="9">
        <f>IFERROR(SUM(
IF('TL01'!$B$3=K$3,SUMIF('TL01'!$C$10:$C$224,$C160,'TL01'!$J$10:$J$224),0),
IF('TL01'!$B$229=K$3,SUMIF('TL01'!$C$238:$C$451,$C160,'TL01'!$J$238:$J$451),0),
IF('TL02'!$B$3=K$3,SUMIF('TL02'!$C$10:$C$224,$C160,'TL02'!$J$10:$J$224),0),
IF('TL02'!$B$229=K$3,SUMIF('TL02'!$C$238:$C$451,$C160,'TL02'!$J$238:$J$451),0),
IF('TL03'!$B$3=K$3,SUMIF('TL03'!$C$10:$C$224,$C160,'TL03'!$J$10:$J$224),0),
IF('TL03'!$B$229=K$3,SUMIF('TL03'!$C$238:$C$451,$C160,'TL03'!$J$238:$J$451),0),
IF('TL04'!$B$3=K$3,SUMIF('TL04'!$C$10:$C$224,$C160,'TL04'!$J$10:$J$224),0),
IF('TL04'!$B$229=K$3,SUMIF('TL04'!$C$238:$C$451,$C160,'TL04'!$J$238:$J$451),0),
IF('TL05'!$B$3=K$3,SUMIF('TL05'!$C$10:$C$224,$C160,'TL05'!$J$10:$J$224),0),
IF('TL05'!$B$229=K$3,SUMIF('TL05'!$C$238:$C$451,$C160,'TL05'!$J$238:$J$451),0),
IF('TL06'!$B$3=K$3,SUMIF('TL06'!$C$10:$C$224,$C160,'TL06'!$J$10:$J$224),0),
IF('TL06'!$B$229=K$3,SUMIF('TL06'!$C$238:$C$451,$C160,'TL06'!$J$238:$J$451),0),
IF('TL07'!$B$3=K$3,SUMIF('TL07'!$C$10:$C$224,$C160,'TL07'!$J$10:$J$224),0),
IF('TL07'!$B$229=K$3,SUMIF('TL07'!$C$238:$C$451,$C160,'TL07'!$J$238:$J$451),0),
IF('TL08'!$B$3=K$3,SUMIF('TL08'!$C$10:$C$224,$C160,'TL08'!$J$10:$J$224),0),
IF('TL08'!$B$229=K$3,SUMIF('TL08'!$C$238:$C$451,$C160,'TL08'!$J$238:$J$451),0),
IF('TL09'!$B$3=K$3,SUMIF('TL09'!$C$10:$C$224,$C160,'TL09'!$J$10:$J$224),0),
IF('TL09'!$B$229=K$3,SUMIF('TL09'!$C$238:$C$451,$C160,'TL09'!$J$238:$J$451),0),
IF('TL10'!$B$3=K$3,SUMIF('TL10'!$C$10:$C$224,$C160,'TL10'!$J$10:$J$224),0),
IF('TL10'!$B$229=K$3,SUMIF('TL10'!$C$238:$C$451,$C160,'TL10'!$J$238:$J$451),0),
IF('TL11'!$B$3=K$3,SUMIF('TL11'!$C$10:$C$224,$C160,'TL11'!$J$10:$J$224),0),
IF('TL11'!$B$229=K$3,SUMIF('TL11'!$C$238:$C$451,$C160,'TL11'!$J$238:$J$451),0),
IF('TL12'!$B$3=K$3,SUMIF('TL12'!$C$10:$C$224,$C160,'TL12'!$J$10:$J$224),0),
IF('TL12'!$B$229=K$3,SUMIF('TL12'!$C$238:$C$451,$C160,'TL12'!$J$238:$J$451),0),
IF('TL13'!$B$3=K$3,SUMIF('TL13'!$C$10:$C$224,$C160,'TL13'!$J$10:$J$224),0),
IF('TL13'!$B$229=K$3,SUMIF('TL13'!$C$238:$C$451,$C160,'TL13'!$J$238:$J$451),0),
IF('TL14'!$B$3=K$3,SUMIF('TL14'!$C$10:$C$224,$C160,'TL14'!$J$10:$J$224),0),
IF('TL14'!$B$229=K$3,SUMIF('TL14'!$C$238:$C$451,$C160,'TL14'!$J$238:$J$451),0),
IF('TL15'!$B$3=K$3,SUMIF('TL15'!$C$10:$C$224,$C160,'TL15'!$J$10:$J$224),0),
IF('TL15'!$B$229=K$3,SUMIF('TL15'!$C$238:$C$451,$C160,'TL15'!$J$238:$J$451),0),
IF('TL16'!$B$3=K$3,SUMIF('TL16'!$C$10:$C$224,$C160,'TL16'!$J$10:$J$224),0),
IF('TL16'!$B$229=K$3,SUMIF('TL16'!$C$238:$C$451,$C160,'TL16'!$J$238:$J$451),0),
IF('TL17'!$B$3=K$3,SUMIF('TL17'!$C$10:$C$224,$C160,'TL17'!$J$10:$J$224),0),
IF('TL17'!$B$229=K$3,SUMIF('TL17'!$C$238:$C$451,$C160,'TL17'!$J$238:$J$451),0),
IF('TL18'!$B$3=K$3,SUMIF('TL18'!$C$10:$C$224,$C160,'TL18'!$J$10:$J$224),0),
IF('TL18'!$B$229=K$3,SUMIF('TL18'!$C$238:$C$451,$C160,'TL18'!$J$238:$J$451),0),
IF('TL19'!$B$3=K$3,SUMIF('TL19'!$C$10:$C$224,$C160,'TL19'!$J$10:$J$224),0),
IF('TL19'!$B$229=K$3,SUMIF('TL19'!$C$238:$C$451,$C160,'TL19'!$J$238:$J$451),0)
),0)</f>
        <v>0</v>
      </c>
      <c r="L160" s="9">
        <f>IFERROR(SUM(
IF('TL01'!$B$3=L$3,SUMIF('TL01'!$C$10:$C$224,$C160,'TL01'!$J$10:$J$224),0),
IF('TL01'!$B$229=L$3,SUMIF('TL01'!$C$238:$C$451,$C160,'TL01'!$J$238:$J$451),0),
IF('TL02'!$B$3=L$3,SUMIF('TL02'!$C$10:$C$224,$C160,'TL02'!$J$10:$J$224),0),
IF('TL02'!$B$229=L$3,SUMIF('TL02'!$C$238:$C$451,$C160,'TL02'!$J$238:$J$451),0),
IF('TL03'!$B$3=L$3,SUMIF('TL03'!$C$10:$C$224,$C160,'TL03'!$J$10:$J$224),0),
IF('TL03'!$B$229=L$3,SUMIF('TL03'!$C$238:$C$451,$C160,'TL03'!$J$238:$J$451),0),
IF('TL04'!$B$3=L$3,SUMIF('TL04'!$C$10:$C$224,$C160,'TL04'!$J$10:$J$224),0),
IF('TL04'!$B$229=L$3,SUMIF('TL04'!$C$238:$C$451,$C160,'TL04'!$J$238:$J$451),0),
IF('TL05'!$B$3=L$3,SUMIF('TL05'!$C$10:$C$224,$C160,'TL05'!$J$10:$J$224),0),
IF('TL05'!$B$229=L$3,SUMIF('TL05'!$C$238:$C$451,$C160,'TL05'!$J$238:$J$451),0),
IF('TL06'!$B$3=L$3,SUMIF('TL06'!$C$10:$C$224,$C160,'TL06'!$J$10:$J$224),0),
IF('TL06'!$B$229=L$3,SUMIF('TL06'!$C$238:$C$451,$C160,'TL06'!$J$238:$J$451),0),
IF('TL07'!$B$3=L$3,SUMIF('TL07'!$C$10:$C$224,$C160,'TL07'!$J$10:$J$224),0),
IF('TL07'!$B$229=L$3,SUMIF('TL07'!$C$238:$C$451,$C160,'TL07'!$J$238:$J$451),0),
IF('TL08'!$B$3=L$3,SUMIF('TL08'!$C$10:$C$224,$C160,'TL08'!$J$10:$J$224),0),
IF('TL08'!$B$229=L$3,SUMIF('TL08'!$C$238:$C$451,$C160,'TL08'!$J$238:$J$451),0),
IF('TL09'!$B$3=L$3,SUMIF('TL09'!$C$10:$C$224,$C160,'TL09'!$J$10:$J$224),0),
IF('TL09'!$B$229=L$3,SUMIF('TL09'!$C$238:$C$451,$C160,'TL09'!$J$238:$J$451),0),
IF('TL10'!$B$3=L$3,SUMIF('TL10'!$C$10:$C$224,$C160,'TL10'!$J$10:$J$224),0),
IF('TL10'!$B$229=L$3,SUMIF('TL10'!$C$238:$C$451,$C160,'TL10'!$J$238:$J$451),0),
IF('TL11'!$B$3=L$3,SUMIF('TL11'!$C$10:$C$224,$C160,'TL11'!$J$10:$J$224),0),
IF('TL11'!$B$229=L$3,SUMIF('TL11'!$C$238:$C$451,$C160,'TL11'!$J$238:$J$451),0),
IF('TL12'!$B$3=L$3,SUMIF('TL12'!$C$10:$C$224,$C160,'TL12'!$J$10:$J$224),0),
IF('TL12'!$B$229=L$3,SUMIF('TL12'!$C$238:$C$451,$C160,'TL12'!$J$238:$J$451),0),
IF('TL13'!$B$3=L$3,SUMIF('TL13'!$C$10:$C$224,$C160,'TL13'!$J$10:$J$224),0),
IF('TL13'!$B$229=L$3,SUMIF('TL13'!$C$238:$C$451,$C160,'TL13'!$J$238:$J$451),0),
IF('TL14'!$B$3=L$3,SUMIF('TL14'!$C$10:$C$224,$C160,'TL14'!$J$10:$J$224),0),
IF('TL14'!$B$229=L$3,SUMIF('TL14'!$C$238:$C$451,$C160,'TL14'!$J$238:$J$451),0),
IF('TL15'!$B$3=L$3,SUMIF('TL15'!$C$10:$C$224,$C160,'TL15'!$J$10:$J$224),0),
IF('TL15'!$B$229=L$3,SUMIF('TL15'!$C$238:$C$451,$C160,'TL15'!$J$238:$J$451),0),
IF('TL16'!$B$3=L$3,SUMIF('TL16'!$C$10:$C$224,$C160,'TL16'!$J$10:$J$224),0),
IF('TL16'!$B$229=L$3,SUMIF('TL16'!$C$238:$C$451,$C160,'TL16'!$J$238:$J$451),0),
IF('TL17'!$B$3=L$3,SUMIF('TL17'!$C$10:$C$224,$C160,'TL17'!$J$10:$J$224),0),
IF('TL17'!$B$229=L$3,SUMIF('TL17'!$C$238:$C$451,$C160,'TL17'!$J$238:$J$451),0),
IF('TL18'!$B$3=L$3,SUMIF('TL18'!$C$10:$C$224,$C160,'TL18'!$J$10:$J$224),0),
IF('TL18'!$B$229=L$3,SUMIF('TL18'!$C$238:$C$451,$C160,'TL18'!$J$238:$J$451),0),
IF('TL19'!$B$3=L$3,SUMIF('TL19'!$C$10:$C$224,$C160,'TL19'!$J$10:$J$224),0),
IF('TL19'!$B$229=L$3,SUMIF('TL19'!$C$238:$C$451,$C160,'TL19'!$J$238:$J$451),0)
),0)</f>
        <v>0</v>
      </c>
      <c r="M160" s="9">
        <f>IFERROR(SUM(
IF('TL01'!$B$3=M$3,SUMIF('TL01'!$C$10:$C$224,$C160,'TL01'!$J$10:$J$224),0),
IF('TL01'!$B$229=M$3,SUMIF('TL01'!$C$238:$C$451,$C160,'TL01'!$J$238:$J$451),0),
IF('TL02'!$B$3=M$3,SUMIF('TL02'!$C$10:$C$224,$C160,'TL02'!$J$10:$J$224),0),
IF('TL02'!$B$229=M$3,SUMIF('TL02'!$C$238:$C$451,$C160,'TL02'!$J$238:$J$451),0),
IF('TL03'!$B$3=M$3,SUMIF('TL03'!$C$10:$C$224,$C160,'TL03'!$J$10:$J$224),0),
IF('TL03'!$B$229=M$3,SUMIF('TL03'!$C$238:$C$451,$C160,'TL03'!$J$238:$J$451),0),
IF('TL04'!$B$3=M$3,SUMIF('TL04'!$C$10:$C$224,$C160,'TL04'!$J$10:$J$224),0),
IF('TL04'!$B$229=M$3,SUMIF('TL04'!$C$238:$C$451,$C160,'TL04'!$J$238:$J$451),0),
IF('TL05'!$B$3=M$3,SUMIF('TL05'!$C$10:$C$224,$C160,'TL05'!$J$10:$J$224),0),
IF('TL05'!$B$229=M$3,SUMIF('TL05'!$C$238:$C$451,$C160,'TL05'!$J$238:$J$451),0),
IF('TL06'!$B$3=M$3,SUMIF('TL06'!$C$10:$C$224,$C160,'TL06'!$J$10:$J$224),0),
IF('TL06'!$B$229=M$3,SUMIF('TL06'!$C$238:$C$451,$C160,'TL06'!$J$238:$J$451),0),
IF('TL07'!$B$3=M$3,SUMIF('TL07'!$C$10:$C$224,$C160,'TL07'!$J$10:$J$224),0),
IF('TL07'!$B$229=M$3,SUMIF('TL07'!$C$238:$C$451,$C160,'TL07'!$J$238:$J$451),0),
IF('TL08'!$B$3=M$3,SUMIF('TL08'!$C$10:$C$224,$C160,'TL08'!$J$10:$J$224),0),
IF('TL08'!$B$229=M$3,SUMIF('TL08'!$C$238:$C$451,$C160,'TL08'!$J$238:$J$451),0),
IF('TL09'!$B$3=M$3,SUMIF('TL09'!$C$10:$C$224,$C160,'TL09'!$J$10:$J$224),0),
IF('TL09'!$B$229=M$3,SUMIF('TL09'!$C$238:$C$451,$C160,'TL09'!$J$238:$J$451),0),
IF('TL10'!$B$3=M$3,SUMIF('TL10'!$C$10:$C$224,$C160,'TL10'!$J$10:$J$224),0),
IF('TL10'!$B$229=M$3,SUMIF('TL10'!$C$238:$C$451,$C160,'TL10'!$J$238:$J$451),0),
IF('TL11'!$B$3=M$3,SUMIF('TL11'!$C$10:$C$224,$C160,'TL11'!$J$10:$J$224),0),
IF('TL11'!$B$229=M$3,SUMIF('TL11'!$C$238:$C$451,$C160,'TL11'!$J$238:$J$451),0),
IF('TL12'!$B$3=M$3,SUMIF('TL12'!$C$10:$C$224,$C160,'TL12'!$J$10:$J$224),0),
IF('TL12'!$B$229=M$3,SUMIF('TL12'!$C$238:$C$451,$C160,'TL12'!$J$238:$J$451),0),
IF('TL13'!$B$3=M$3,SUMIF('TL13'!$C$10:$C$224,$C160,'TL13'!$J$10:$J$224),0),
IF('TL13'!$B$229=M$3,SUMIF('TL13'!$C$238:$C$451,$C160,'TL13'!$J$238:$J$451),0),
IF('TL14'!$B$3=M$3,SUMIF('TL14'!$C$10:$C$224,$C160,'TL14'!$J$10:$J$224),0),
IF('TL14'!$B$229=M$3,SUMIF('TL14'!$C$238:$C$451,$C160,'TL14'!$J$238:$J$451),0),
IF('TL15'!$B$3=M$3,SUMIF('TL15'!$C$10:$C$224,$C160,'TL15'!$J$10:$J$224),0),
IF('TL15'!$B$229=M$3,SUMIF('TL15'!$C$238:$C$451,$C160,'TL15'!$J$238:$J$451),0),
IF('TL16'!$B$3=M$3,SUMIF('TL16'!$C$10:$C$224,$C160,'TL16'!$J$10:$J$224),0),
IF('TL16'!$B$229=M$3,SUMIF('TL16'!$C$238:$C$451,$C160,'TL16'!$J$238:$J$451),0),
IF('TL17'!$B$3=M$3,SUMIF('TL17'!$C$10:$C$224,$C160,'TL17'!$J$10:$J$224),0),
IF('TL17'!$B$229=M$3,SUMIF('TL17'!$C$238:$C$451,$C160,'TL17'!$J$238:$J$451),0),
IF('TL18'!$B$3=M$3,SUMIF('TL18'!$C$10:$C$224,$C160,'TL18'!$J$10:$J$224),0),
IF('TL18'!$B$229=M$3,SUMIF('TL18'!$C$238:$C$451,$C160,'TL18'!$J$238:$J$451),0),
IF('TL19'!$B$3=M$3,SUMIF('TL19'!$C$10:$C$224,$C160,'TL19'!$J$10:$J$224),0),
IF('TL19'!$B$229=M$3,SUMIF('TL19'!$C$238:$C$451,$C160,'TL19'!$J$238:$J$451),0)
),0)</f>
        <v>0</v>
      </c>
      <c r="N160" s="9">
        <f>IFERROR(SUM(
IF('TL01'!$B$3=N$3,SUMIF('TL01'!$C$10:$C$224,$C160,'TL01'!$J$10:$J$224),0),
IF('TL01'!$B$229=N$3,SUMIF('TL01'!$C$238:$C$451,$C160,'TL01'!$J$238:$J$451),0),
IF('TL02'!$B$3=N$3,SUMIF('TL02'!$C$10:$C$224,$C160,'TL02'!$J$10:$J$224),0),
IF('TL02'!$B$229=N$3,SUMIF('TL02'!$C$238:$C$451,$C160,'TL02'!$J$238:$J$451),0),
IF('TL03'!$B$3=N$3,SUMIF('TL03'!$C$10:$C$224,$C160,'TL03'!$J$10:$J$224),0),
IF('TL03'!$B$229=N$3,SUMIF('TL03'!$C$238:$C$451,$C160,'TL03'!$J$238:$J$451),0),
IF('TL04'!$B$3=N$3,SUMIF('TL04'!$C$10:$C$224,$C160,'TL04'!$J$10:$J$224),0),
IF('TL04'!$B$229=N$3,SUMIF('TL04'!$C$238:$C$451,$C160,'TL04'!$J$238:$J$451),0),
IF('TL05'!$B$3=N$3,SUMIF('TL05'!$C$10:$C$224,$C160,'TL05'!$J$10:$J$224),0),
IF('TL05'!$B$229=N$3,SUMIF('TL05'!$C$238:$C$451,$C160,'TL05'!$J$238:$J$451),0),
IF('TL06'!$B$3=N$3,SUMIF('TL06'!$C$10:$C$224,$C160,'TL06'!$J$10:$J$224),0),
IF('TL06'!$B$229=N$3,SUMIF('TL06'!$C$238:$C$451,$C160,'TL06'!$J$238:$J$451),0),
IF('TL07'!$B$3=N$3,SUMIF('TL07'!$C$10:$C$224,$C160,'TL07'!$J$10:$J$224),0),
IF('TL07'!$B$229=N$3,SUMIF('TL07'!$C$238:$C$451,$C160,'TL07'!$J$238:$J$451),0),
IF('TL08'!$B$3=N$3,SUMIF('TL08'!$C$10:$C$224,$C160,'TL08'!$J$10:$J$224),0),
IF('TL08'!$B$229=N$3,SUMIF('TL08'!$C$238:$C$451,$C160,'TL08'!$J$238:$J$451),0),
IF('TL09'!$B$3=N$3,SUMIF('TL09'!$C$10:$C$224,$C160,'TL09'!$J$10:$J$224),0),
IF('TL09'!$B$229=N$3,SUMIF('TL09'!$C$238:$C$451,$C160,'TL09'!$J$238:$J$451),0),
IF('TL10'!$B$3=N$3,SUMIF('TL10'!$C$10:$C$224,$C160,'TL10'!$J$10:$J$224),0),
IF('TL10'!$B$229=N$3,SUMIF('TL10'!$C$238:$C$451,$C160,'TL10'!$J$238:$J$451),0),
IF('TL11'!$B$3=N$3,SUMIF('TL11'!$C$10:$C$224,$C160,'TL11'!$J$10:$J$224),0),
IF('TL11'!$B$229=N$3,SUMIF('TL11'!$C$238:$C$451,$C160,'TL11'!$J$238:$J$451),0),
IF('TL12'!$B$3=N$3,SUMIF('TL12'!$C$10:$C$224,$C160,'TL12'!$J$10:$J$224),0),
IF('TL12'!$B$229=N$3,SUMIF('TL12'!$C$238:$C$451,$C160,'TL12'!$J$238:$J$451),0),
IF('TL13'!$B$3=N$3,SUMIF('TL13'!$C$10:$C$224,$C160,'TL13'!$J$10:$J$224),0),
IF('TL13'!$B$229=N$3,SUMIF('TL13'!$C$238:$C$451,$C160,'TL13'!$J$238:$J$451),0),
IF('TL14'!$B$3=N$3,SUMIF('TL14'!$C$10:$C$224,$C160,'TL14'!$J$10:$J$224),0),
IF('TL14'!$B$229=N$3,SUMIF('TL14'!$C$238:$C$451,$C160,'TL14'!$J$238:$J$451),0),
IF('TL15'!$B$3=N$3,SUMIF('TL15'!$C$10:$C$224,$C160,'TL15'!$J$10:$J$224),0),
IF('TL15'!$B$229=N$3,SUMIF('TL15'!$C$238:$C$451,$C160,'TL15'!$J$238:$J$451),0),
IF('TL16'!$B$3=N$3,SUMIF('TL16'!$C$10:$C$224,$C160,'TL16'!$J$10:$J$224),0),
IF('TL16'!$B$229=N$3,SUMIF('TL16'!$C$238:$C$451,$C160,'TL16'!$J$238:$J$451),0),
IF('TL17'!$B$3=N$3,SUMIF('TL17'!$C$10:$C$224,$C160,'TL17'!$J$10:$J$224),0),
IF('TL17'!$B$229=N$3,SUMIF('TL17'!$C$238:$C$451,$C160,'TL17'!$J$238:$J$451),0),
IF('TL18'!$B$3=N$3,SUMIF('TL18'!$C$10:$C$224,$C160,'TL18'!$J$10:$J$224),0),
IF('TL18'!$B$229=N$3,SUMIF('TL18'!$C$238:$C$451,$C160,'TL18'!$J$238:$J$451),0),
IF('TL19'!$B$3=N$3,SUMIF('TL19'!$C$10:$C$224,$C160,'TL19'!$J$10:$J$224),0),
IF('TL19'!$B$229=N$3,SUMIF('TL19'!$C$238:$C$451,$C160,'TL19'!$J$238:$J$451),0)
),0)</f>
        <v>0</v>
      </c>
      <c r="O160" s="9">
        <f>IFERROR(SUM(
IF('TL01'!$B$3=O$3,SUMIF('TL01'!$C$10:$C$224,$C160,'TL01'!$J$10:$J$224),0),
IF('TL01'!$B$229=O$3,SUMIF('TL01'!$C$238:$C$451,$C160,'TL01'!$J$238:$J$451),0),
IF('TL02'!$B$3=O$3,SUMIF('TL02'!$C$10:$C$224,$C160,'TL02'!$J$10:$J$224),0),
IF('TL02'!$B$229=O$3,SUMIF('TL02'!$C$238:$C$451,$C160,'TL02'!$J$238:$J$451),0),
IF('TL03'!$B$3=O$3,SUMIF('TL03'!$C$10:$C$224,$C160,'TL03'!$J$10:$J$224),0),
IF('TL03'!$B$229=O$3,SUMIF('TL03'!$C$238:$C$451,$C160,'TL03'!$J$238:$J$451),0),
IF('TL04'!$B$3=O$3,SUMIF('TL04'!$C$10:$C$224,$C160,'TL04'!$J$10:$J$224),0),
IF('TL04'!$B$229=O$3,SUMIF('TL04'!$C$238:$C$451,$C160,'TL04'!$J$238:$J$451),0),
IF('TL05'!$B$3=O$3,SUMIF('TL05'!$C$10:$C$224,$C160,'TL05'!$J$10:$J$224),0),
IF('TL05'!$B$229=O$3,SUMIF('TL05'!$C$238:$C$451,$C160,'TL05'!$J$238:$J$451),0),
IF('TL06'!$B$3=O$3,SUMIF('TL06'!$C$10:$C$224,$C160,'TL06'!$J$10:$J$224),0),
IF('TL06'!$B$229=O$3,SUMIF('TL06'!$C$238:$C$451,$C160,'TL06'!$J$238:$J$451),0),
IF('TL07'!$B$3=O$3,SUMIF('TL07'!$C$10:$C$224,$C160,'TL07'!$J$10:$J$224),0),
IF('TL07'!$B$229=O$3,SUMIF('TL07'!$C$238:$C$451,$C160,'TL07'!$J$238:$J$451),0),
IF('TL08'!$B$3=O$3,SUMIF('TL08'!$C$10:$C$224,$C160,'TL08'!$J$10:$J$224),0),
IF('TL08'!$B$229=O$3,SUMIF('TL08'!$C$238:$C$451,$C160,'TL08'!$J$238:$J$451),0),
IF('TL09'!$B$3=O$3,SUMIF('TL09'!$C$10:$C$224,$C160,'TL09'!$J$10:$J$224),0),
IF('TL09'!$B$229=O$3,SUMIF('TL09'!$C$238:$C$451,$C160,'TL09'!$J$238:$J$451),0),
IF('TL10'!$B$3=O$3,SUMIF('TL10'!$C$10:$C$224,$C160,'TL10'!$J$10:$J$224),0),
IF('TL10'!$B$229=O$3,SUMIF('TL10'!$C$238:$C$451,$C160,'TL10'!$J$238:$J$451),0),
IF('TL11'!$B$3=O$3,SUMIF('TL11'!$C$10:$C$224,$C160,'TL11'!$J$10:$J$224),0),
IF('TL11'!$B$229=O$3,SUMIF('TL11'!$C$238:$C$451,$C160,'TL11'!$J$238:$J$451),0),
IF('TL12'!$B$3=O$3,SUMIF('TL12'!$C$10:$C$224,$C160,'TL12'!$J$10:$J$224),0),
IF('TL12'!$B$229=O$3,SUMIF('TL12'!$C$238:$C$451,$C160,'TL12'!$J$238:$J$451),0),
IF('TL13'!$B$3=O$3,SUMIF('TL13'!$C$10:$C$224,$C160,'TL13'!$J$10:$J$224),0),
IF('TL13'!$B$229=O$3,SUMIF('TL13'!$C$238:$C$451,$C160,'TL13'!$J$238:$J$451),0),
IF('TL14'!$B$3=O$3,SUMIF('TL14'!$C$10:$C$224,$C160,'TL14'!$J$10:$J$224),0),
IF('TL14'!$B$229=O$3,SUMIF('TL14'!$C$238:$C$451,$C160,'TL14'!$J$238:$J$451),0),
IF('TL15'!$B$3=O$3,SUMIF('TL15'!$C$10:$C$224,$C160,'TL15'!$J$10:$J$224),0),
IF('TL15'!$B$229=O$3,SUMIF('TL15'!$C$238:$C$451,$C160,'TL15'!$J$238:$J$451),0),
IF('TL16'!$B$3=O$3,SUMIF('TL16'!$C$10:$C$224,$C160,'TL16'!$J$10:$J$224),0),
IF('TL16'!$B$229=O$3,SUMIF('TL16'!$C$238:$C$451,$C160,'TL16'!$J$238:$J$451),0),
IF('TL17'!$B$3=O$3,SUMIF('TL17'!$C$10:$C$224,$C160,'TL17'!$J$10:$J$224),0),
IF('TL17'!$B$229=O$3,SUMIF('TL17'!$C$238:$C$451,$C160,'TL17'!$J$238:$J$451),0),
IF('TL18'!$B$3=O$3,SUMIF('TL18'!$C$10:$C$224,$C160,'TL18'!$J$10:$J$224),0),
IF('TL18'!$B$229=O$3,SUMIF('TL18'!$C$238:$C$451,$C160,'TL18'!$J$238:$J$451),0),
IF('TL19'!$B$3=O$3,SUMIF('TL19'!$C$10:$C$224,$C160,'TL19'!$J$10:$J$224),0),
IF('TL19'!$B$229=O$3,SUMIF('TL19'!$C$238:$C$451,$C160,'TL19'!$J$238:$J$451),0)
),0)</f>
        <v>0</v>
      </c>
      <c r="P160" s="9">
        <f>IFERROR(SUM(
IF('TL01'!$B$3=P$3,SUMIF('TL01'!$C$10:$C$224,$C160,'TL01'!$J$10:$J$224),0),
IF('TL01'!$B$229=P$3,SUMIF('TL01'!$C$238:$C$451,$C160,'TL01'!$J$238:$J$451),0),
IF('TL02'!$B$3=P$3,SUMIF('TL02'!$C$10:$C$224,$C160,'TL02'!$J$10:$J$224),0),
IF('TL02'!$B$229=P$3,SUMIF('TL02'!$C$238:$C$451,$C160,'TL02'!$J$238:$J$451),0),
IF('TL03'!$B$3=P$3,SUMIF('TL03'!$C$10:$C$224,$C160,'TL03'!$J$10:$J$224),0),
IF('TL03'!$B$229=P$3,SUMIF('TL03'!$C$238:$C$451,$C160,'TL03'!$J$238:$J$451),0),
IF('TL04'!$B$3=P$3,SUMIF('TL04'!$C$10:$C$224,$C160,'TL04'!$J$10:$J$224),0),
IF('TL04'!$B$229=P$3,SUMIF('TL04'!$C$238:$C$451,$C160,'TL04'!$J$238:$J$451),0),
IF('TL05'!$B$3=P$3,SUMIF('TL05'!$C$10:$C$224,$C160,'TL05'!$J$10:$J$224),0),
IF('TL05'!$B$229=P$3,SUMIF('TL05'!$C$238:$C$451,$C160,'TL05'!$J$238:$J$451),0),
IF('TL06'!$B$3=P$3,SUMIF('TL06'!$C$10:$C$224,$C160,'TL06'!$J$10:$J$224),0),
IF('TL06'!$B$229=P$3,SUMIF('TL06'!$C$238:$C$451,$C160,'TL06'!$J$238:$J$451),0),
IF('TL07'!$B$3=P$3,SUMIF('TL07'!$C$10:$C$224,$C160,'TL07'!$J$10:$J$224),0),
IF('TL07'!$B$229=P$3,SUMIF('TL07'!$C$238:$C$451,$C160,'TL07'!$J$238:$J$451),0),
IF('TL08'!$B$3=P$3,SUMIF('TL08'!$C$10:$C$224,$C160,'TL08'!$J$10:$J$224),0),
IF('TL08'!$B$229=P$3,SUMIF('TL08'!$C$238:$C$451,$C160,'TL08'!$J$238:$J$451),0),
IF('TL09'!$B$3=P$3,SUMIF('TL09'!$C$10:$C$224,$C160,'TL09'!$J$10:$J$224),0),
IF('TL09'!$B$229=P$3,SUMIF('TL09'!$C$238:$C$451,$C160,'TL09'!$J$238:$J$451),0),
IF('TL10'!$B$3=P$3,SUMIF('TL10'!$C$10:$C$224,$C160,'TL10'!$J$10:$J$224),0),
IF('TL10'!$B$229=P$3,SUMIF('TL10'!$C$238:$C$451,$C160,'TL10'!$J$238:$J$451),0),
IF('TL11'!$B$3=P$3,SUMIF('TL11'!$C$10:$C$224,$C160,'TL11'!$J$10:$J$224),0),
IF('TL11'!$B$229=P$3,SUMIF('TL11'!$C$238:$C$451,$C160,'TL11'!$J$238:$J$451),0),
IF('TL12'!$B$3=P$3,SUMIF('TL12'!$C$10:$C$224,$C160,'TL12'!$J$10:$J$224),0),
IF('TL12'!$B$229=P$3,SUMIF('TL12'!$C$238:$C$451,$C160,'TL12'!$J$238:$J$451),0),
IF('TL13'!$B$3=P$3,SUMIF('TL13'!$C$10:$C$224,$C160,'TL13'!$J$10:$J$224),0),
IF('TL13'!$B$229=P$3,SUMIF('TL13'!$C$238:$C$451,$C160,'TL13'!$J$238:$J$451),0),
IF('TL14'!$B$3=P$3,SUMIF('TL14'!$C$10:$C$224,$C160,'TL14'!$J$10:$J$224),0),
IF('TL14'!$B$229=P$3,SUMIF('TL14'!$C$238:$C$451,$C160,'TL14'!$J$238:$J$451),0),
IF('TL15'!$B$3=P$3,SUMIF('TL15'!$C$10:$C$224,$C160,'TL15'!$J$10:$J$224),0),
IF('TL15'!$B$229=P$3,SUMIF('TL15'!$C$238:$C$451,$C160,'TL15'!$J$238:$J$451),0),
IF('TL16'!$B$3=P$3,SUMIF('TL16'!$C$10:$C$224,$C160,'TL16'!$J$10:$J$224),0),
IF('TL16'!$B$229=P$3,SUMIF('TL16'!$C$238:$C$451,$C160,'TL16'!$J$238:$J$451),0),
IF('TL17'!$B$3=P$3,SUMIF('TL17'!$C$10:$C$224,$C160,'TL17'!$J$10:$J$224),0),
IF('TL17'!$B$229=P$3,SUMIF('TL17'!$C$238:$C$451,$C160,'TL17'!$J$238:$J$451),0),
IF('TL18'!$B$3=P$3,SUMIF('TL18'!$C$10:$C$224,$C160,'TL18'!$J$10:$J$224),0),
IF('TL18'!$B$229=P$3,SUMIF('TL18'!$C$238:$C$451,$C160,'TL18'!$J$238:$J$451),0),
IF('TL19'!$B$3=P$3,SUMIF('TL19'!$C$10:$C$224,$C160,'TL19'!$J$10:$J$224),0),
IF('TL19'!$B$229=P$3,SUMIF('TL19'!$C$238:$C$451,$C160,'TL19'!$J$238:$J$451),0)
),0)</f>
        <v>0</v>
      </c>
      <c r="Q160" s="9">
        <f>IFERROR(SUM(
IF('TL01'!$B$3=Q$3,SUMIF('TL01'!$C$10:$C$224,$C160,'TL01'!$J$10:$J$224),0),
IF('TL01'!$B$229=Q$3,SUMIF('TL01'!$C$238:$C$451,$C160,'TL01'!$J$238:$J$451),0),
IF('TL02'!$B$3=Q$3,SUMIF('TL02'!$C$10:$C$224,$C160,'TL02'!$J$10:$J$224),0),
IF('TL02'!$B$229=Q$3,SUMIF('TL02'!$C$238:$C$451,$C160,'TL02'!$J$238:$J$451),0),
IF('TL03'!$B$3=Q$3,SUMIF('TL03'!$C$10:$C$224,$C160,'TL03'!$J$10:$J$224),0),
IF('TL03'!$B$229=Q$3,SUMIF('TL03'!$C$238:$C$451,$C160,'TL03'!$J$238:$J$451),0),
IF('TL04'!$B$3=Q$3,SUMIF('TL04'!$C$10:$C$224,$C160,'TL04'!$J$10:$J$224),0),
IF('TL04'!$B$229=Q$3,SUMIF('TL04'!$C$238:$C$451,$C160,'TL04'!$J$238:$J$451),0),
IF('TL05'!$B$3=Q$3,SUMIF('TL05'!$C$10:$C$224,$C160,'TL05'!$J$10:$J$224),0),
IF('TL05'!$B$229=Q$3,SUMIF('TL05'!$C$238:$C$451,$C160,'TL05'!$J$238:$J$451),0),
IF('TL06'!$B$3=Q$3,SUMIF('TL06'!$C$10:$C$224,$C160,'TL06'!$J$10:$J$224),0),
IF('TL06'!$B$229=Q$3,SUMIF('TL06'!$C$238:$C$451,$C160,'TL06'!$J$238:$J$451),0),
IF('TL07'!$B$3=Q$3,SUMIF('TL07'!$C$10:$C$224,$C160,'TL07'!$J$10:$J$224),0),
IF('TL07'!$B$229=Q$3,SUMIF('TL07'!$C$238:$C$451,$C160,'TL07'!$J$238:$J$451),0),
IF('TL08'!$B$3=Q$3,SUMIF('TL08'!$C$10:$C$224,$C160,'TL08'!$J$10:$J$224),0),
IF('TL08'!$B$229=Q$3,SUMIF('TL08'!$C$238:$C$451,$C160,'TL08'!$J$238:$J$451),0),
IF('TL09'!$B$3=Q$3,SUMIF('TL09'!$C$10:$C$224,$C160,'TL09'!$J$10:$J$224),0),
IF('TL09'!$B$229=Q$3,SUMIF('TL09'!$C$238:$C$451,$C160,'TL09'!$J$238:$J$451),0),
IF('TL10'!$B$3=Q$3,SUMIF('TL10'!$C$10:$C$224,$C160,'TL10'!$J$10:$J$224),0),
IF('TL10'!$B$229=Q$3,SUMIF('TL10'!$C$238:$C$451,$C160,'TL10'!$J$238:$J$451),0),
IF('TL11'!$B$3=Q$3,SUMIF('TL11'!$C$10:$C$224,$C160,'TL11'!$J$10:$J$224),0),
IF('TL11'!$B$229=Q$3,SUMIF('TL11'!$C$238:$C$451,$C160,'TL11'!$J$238:$J$451),0),
IF('TL12'!$B$3=Q$3,SUMIF('TL12'!$C$10:$C$224,$C160,'TL12'!$J$10:$J$224),0),
IF('TL12'!$B$229=Q$3,SUMIF('TL12'!$C$238:$C$451,$C160,'TL12'!$J$238:$J$451),0),
IF('TL13'!$B$3=Q$3,SUMIF('TL13'!$C$10:$C$224,$C160,'TL13'!$J$10:$J$224),0),
IF('TL13'!$B$229=Q$3,SUMIF('TL13'!$C$238:$C$451,$C160,'TL13'!$J$238:$J$451),0),
IF('TL14'!$B$3=Q$3,SUMIF('TL14'!$C$10:$C$224,$C160,'TL14'!$J$10:$J$224),0),
IF('TL14'!$B$229=Q$3,SUMIF('TL14'!$C$238:$C$451,$C160,'TL14'!$J$238:$J$451),0),
IF('TL15'!$B$3=Q$3,SUMIF('TL15'!$C$10:$C$224,$C160,'TL15'!$J$10:$J$224),0),
IF('TL15'!$B$229=Q$3,SUMIF('TL15'!$C$238:$C$451,$C160,'TL15'!$J$238:$J$451),0),
IF('TL16'!$B$3=Q$3,SUMIF('TL16'!$C$10:$C$224,$C160,'TL16'!$J$10:$J$224),0),
IF('TL16'!$B$229=Q$3,SUMIF('TL16'!$C$238:$C$451,$C160,'TL16'!$J$238:$J$451),0),
IF('TL17'!$B$3=Q$3,SUMIF('TL17'!$C$10:$C$224,$C160,'TL17'!$J$10:$J$224),0),
IF('TL17'!$B$229=Q$3,SUMIF('TL17'!$C$238:$C$451,$C160,'TL17'!$J$238:$J$451),0),
IF('TL18'!$B$3=Q$3,SUMIF('TL18'!$C$10:$C$224,$C160,'TL18'!$J$10:$J$224),0),
IF('TL18'!$B$229=Q$3,SUMIF('TL18'!$C$238:$C$451,$C160,'TL18'!$J$238:$J$451),0),
IF('TL19'!$B$3=Q$3,SUMIF('TL19'!$C$10:$C$224,$C160,'TL19'!$J$10:$J$224),0),
IF('TL19'!$B$229=Q$3,SUMIF('TL19'!$C$238:$C$451,$C160,'TL19'!$J$238:$J$451),0)
),0)</f>
        <v>0</v>
      </c>
      <c r="R160" s="9">
        <f>IFERROR(
SUM(
SUMIF('TL01'!C:C,C160,'TL01'!J:J),
SUMIF('TL02'!C:C,C160,'TL02'!J:J),
SUMIF('TL03'!C:C,C160,'TL03'!J:J),
SUMIF('TL04'!C:C,C160,'TL04'!J:J),
SUMIF('TL05'!C:C,C160,'TL05'!J:J),
SUMIF('TL06'!C:C,C160,'TL06'!J:J),
SUMIF('TL07'!C:C,C160,'TL07'!J:J),
SUMIF('TL08'!C:C,C160,'TL08'!J:J),
SUMIF('TL09'!C:C,C160,'TL09'!J:J),
SUMIF('TL10'!C:C,C160,'TL10'!J:J),
SUMIF('TL11'!C:C,C160,'TL11'!J:J),
SUMIF('TL12'!C:C,C160,'TL12'!J:J),
SUMIF('TL13'!C:C,C160,'TL13'!J:J),
SUMIF('TL14'!C:C,C160,'TL14'!J:J),
SUMIF('TL15'!C:C,C160,'TL15'!J:J),
SUMIF('TL16'!C:C,C160,'TL16'!J:J),
SUMIF('TL17'!C:C,C160,'TL17'!J:J),
SUMIF('TL18'!C:C,C160,'TL18'!J:J),SUMIF('TL19'!C:C,C160,'TL19'!J:J))
,0)</f>
        <v>0</v>
      </c>
      <c r="S160" s="17">
        <f>IFERROR(__xludf.DUMMYFUNCTION("IFERROR(VLOOKUP(C160,
IMPORTRANGE(""1wULbzX32WdYsx-lj2U3uUNBBe2INVIRDtcK0d-Dvl90"",
""26-27!C:G""),
5,
FALSE),
"""")"),36.05886)</f>
        <v>36.05886</v>
      </c>
      <c r="T160" s="9"/>
      <c r="U160" s="92">
        <f t="shared" si="2"/>
        <v>0</v>
      </c>
      <c r="V160" s="93">
        <f t="shared" si="3"/>
        <v>0</v>
      </c>
    </row>
    <row r="161" ht="15.75" hidden="1" customHeight="1">
      <c r="A161" s="111" t="s">
        <v>358</v>
      </c>
      <c r="B161" s="112" t="s">
        <v>1</v>
      </c>
      <c r="C161" s="113" t="s">
        <v>728</v>
      </c>
      <c r="D161" s="113" t="s">
        <v>729</v>
      </c>
      <c r="E161" s="113">
        <v>960.0</v>
      </c>
      <c r="F161" s="4" t="s">
        <v>392</v>
      </c>
      <c r="G161" s="90" t="str">
        <f t="shared" si="4"/>
        <v>📄 Ver bula</v>
      </c>
      <c r="H161" s="9">
        <f>IFERROR(__xludf.DUMMYFUNCTION("IFERROR(VLOOKUP(C161,
IMPORTRANGE(""1wULbzX32WdYsx-lj2U3uUNBBe2INVIRDtcK0d-Dvl90"",
""26-27!C:K""),
8,
FALSE),
"""")"),2.0)</f>
        <v>2</v>
      </c>
      <c r="I161" s="114" t="s">
        <v>344</v>
      </c>
      <c r="J161" s="9">
        <f>IFERROR(SUM(
IF('TL01'!$B$3=J$3,SUMIF('TL01'!$C$10:$C$224,$C161,'TL01'!$J$10:$J$224),0),
IF('TL01'!$B$229=J$3,SUMIF('TL01'!$C$238:$C$451,$C161,'TL01'!$J$238:$J$451),0),
IF('TL02'!$B$3=J$3,SUMIF('TL02'!$C$10:$C$224,$C161,'TL02'!$J$10:$J$224),0),
IF('TL02'!$B$229=J$3,SUMIF('TL02'!$C$238:$C$451,$C161,'TL02'!$J$238:$J$451),0),
IF('TL03'!$B$3=J$3,SUMIF('TL03'!$C$10:$C$224,$C161,'TL03'!$J$10:$J$224),0),
IF('TL03'!$B$229=J$3,SUMIF('TL03'!$C$238:$C$451,$C161,'TL03'!$J$238:$J$451),0),
IF('TL04'!$B$3=J$3,SUMIF('TL04'!$C$10:$C$224,$C161,'TL04'!$J$10:$J$224),0),
IF('TL04'!$B$229=J$3,SUMIF('TL04'!$C$238:$C$451,$C161,'TL04'!$J$238:$J$451),0),
IF('TL05'!$B$3=J$3,SUMIF('TL05'!$C$10:$C$224,$C161,'TL05'!$J$10:$J$224),0),
IF('TL05'!$B$229=J$3,SUMIF('TL05'!$C$238:$C$451,$C161,'TL05'!$J$238:$J$451),0),
IF('TL06'!$B$3=J$3,SUMIF('TL06'!$C$10:$C$224,$C161,'TL06'!$J$10:$J$224),0),
IF('TL06'!$B$229=J$3,SUMIF('TL06'!$C$238:$C$451,$C161,'TL06'!$J$238:$J$451),0),
IF('TL07'!$B$3=J$3,SUMIF('TL07'!$C$10:$C$224,$C161,'TL07'!$J$10:$J$224),0),
IF('TL07'!$B$229=J$3,SUMIF('TL07'!$C$238:$C$451,$C161,'TL07'!$J$238:$J$451),0),
IF('TL08'!$B$3=J$3,SUMIF('TL08'!$C$10:$C$224,$C161,'TL08'!$J$10:$J$224),0),
IF('TL08'!$B$229=J$3,SUMIF('TL08'!$C$238:$C$451,$C161,'TL08'!$J$238:$J$451),0),
IF('TL09'!$B$3=J$3,SUMIF('TL09'!$C$10:$C$224,$C161,'TL09'!$J$10:$J$224),0),
IF('TL09'!$B$229=J$3,SUMIF('TL09'!$C$238:$C$451,$C161,'TL09'!$J$238:$J$451),0),
IF('TL10'!$B$3=J$3,SUMIF('TL10'!$C$10:$C$224,$C161,'TL10'!$J$10:$J$224),0),
IF('TL10'!$B$229=J$3,SUMIF('TL10'!$C$238:$C$451,$C161,'TL10'!$J$238:$J$451),0),
IF('TL11'!$B$3=J$3,SUMIF('TL11'!$C$10:$C$224,$C161,'TL11'!$J$10:$J$224),0),
IF('TL11'!$B$229=J$3,SUMIF('TL11'!$C$238:$C$451,$C161,'TL11'!$J$238:$J$451),0),
IF('TL12'!$B$3=J$3,SUMIF('TL12'!$C$10:$C$224,$C161,'TL12'!$J$10:$J$224),0),
IF('TL12'!$B$229=J$3,SUMIF('TL12'!$C$238:$C$451,$C161,'TL12'!$J$238:$J$451),0),
IF('TL13'!$B$3=J$3,SUMIF('TL13'!$C$10:$C$224,$C161,'TL13'!$J$10:$J$224),0),
IF('TL13'!$B$229=J$3,SUMIF('TL13'!$C$238:$C$451,$C161,'TL13'!$J$238:$J$451),0),
IF('TL14'!$B$3=J$3,SUMIF('TL14'!$C$10:$C$224,$C161,'TL14'!$J$10:$J$224),0),
IF('TL14'!$B$229=J$3,SUMIF('TL14'!$C$238:$C$451,$C161,'TL14'!$J$238:$J$451),0),
IF('TL15'!$B$3=J$3,SUMIF('TL15'!$C$10:$C$224,$C161,'TL15'!$J$10:$J$224),0),
IF('TL15'!$B$229=J$3,SUMIF('TL15'!$C$238:$C$451,$C161,'TL15'!$J$238:$J$451),0),
IF('TL16'!$B$3=J$3,SUMIF('TL16'!$C$10:$C$224,$C161,'TL16'!$J$10:$J$224),0),
IF('TL16'!$B$229=J$3,SUMIF('TL16'!$C$238:$C$451,$C161,'TL16'!$J$238:$J$451),0),
IF('TL17'!$B$3=J$3,SUMIF('TL17'!$C$10:$C$224,$C161,'TL17'!$J$10:$J$224),0),
IF('TL17'!$B$229=J$3,SUMIF('TL17'!$C$238:$C$451,$C161,'TL17'!$J$238:$J$451),0),
IF('TL18'!$B$3=J$3,SUMIF('TL18'!$C$10:$C$224,$C161,'TL18'!$J$10:$J$224),0),
IF('TL18'!$B$229=J$3,SUMIF('TL18'!$C$238:$C$451,$C161,'TL18'!$J$238:$J$451),0),
IF('TL19'!$B$3=J$3,SUMIF('TL19'!$C$10:$C$224,$C161,'TL19'!$J$10:$J$224),0),
IF('TL19'!$B$229=J$3,SUMIF('TL19'!$C$238:$C$451,$C161,'TL19'!$J$238:$J$451),0)
),0)</f>
        <v>0</v>
      </c>
      <c r="K161" s="9">
        <f>IFERROR(SUM(
IF('TL01'!$B$3=K$3,SUMIF('TL01'!$C$10:$C$224,$C161,'TL01'!$J$10:$J$224),0),
IF('TL01'!$B$229=K$3,SUMIF('TL01'!$C$238:$C$451,$C161,'TL01'!$J$238:$J$451),0),
IF('TL02'!$B$3=K$3,SUMIF('TL02'!$C$10:$C$224,$C161,'TL02'!$J$10:$J$224),0),
IF('TL02'!$B$229=K$3,SUMIF('TL02'!$C$238:$C$451,$C161,'TL02'!$J$238:$J$451),0),
IF('TL03'!$B$3=K$3,SUMIF('TL03'!$C$10:$C$224,$C161,'TL03'!$J$10:$J$224),0),
IF('TL03'!$B$229=K$3,SUMIF('TL03'!$C$238:$C$451,$C161,'TL03'!$J$238:$J$451),0),
IF('TL04'!$B$3=K$3,SUMIF('TL04'!$C$10:$C$224,$C161,'TL04'!$J$10:$J$224),0),
IF('TL04'!$B$229=K$3,SUMIF('TL04'!$C$238:$C$451,$C161,'TL04'!$J$238:$J$451),0),
IF('TL05'!$B$3=K$3,SUMIF('TL05'!$C$10:$C$224,$C161,'TL05'!$J$10:$J$224),0),
IF('TL05'!$B$229=K$3,SUMIF('TL05'!$C$238:$C$451,$C161,'TL05'!$J$238:$J$451),0),
IF('TL06'!$B$3=K$3,SUMIF('TL06'!$C$10:$C$224,$C161,'TL06'!$J$10:$J$224),0),
IF('TL06'!$B$229=K$3,SUMIF('TL06'!$C$238:$C$451,$C161,'TL06'!$J$238:$J$451),0),
IF('TL07'!$B$3=K$3,SUMIF('TL07'!$C$10:$C$224,$C161,'TL07'!$J$10:$J$224),0),
IF('TL07'!$B$229=K$3,SUMIF('TL07'!$C$238:$C$451,$C161,'TL07'!$J$238:$J$451),0),
IF('TL08'!$B$3=K$3,SUMIF('TL08'!$C$10:$C$224,$C161,'TL08'!$J$10:$J$224),0),
IF('TL08'!$B$229=K$3,SUMIF('TL08'!$C$238:$C$451,$C161,'TL08'!$J$238:$J$451),0),
IF('TL09'!$B$3=K$3,SUMIF('TL09'!$C$10:$C$224,$C161,'TL09'!$J$10:$J$224),0),
IF('TL09'!$B$229=K$3,SUMIF('TL09'!$C$238:$C$451,$C161,'TL09'!$J$238:$J$451),0),
IF('TL10'!$B$3=K$3,SUMIF('TL10'!$C$10:$C$224,$C161,'TL10'!$J$10:$J$224),0),
IF('TL10'!$B$229=K$3,SUMIF('TL10'!$C$238:$C$451,$C161,'TL10'!$J$238:$J$451),0),
IF('TL11'!$B$3=K$3,SUMIF('TL11'!$C$10:$C$224,$C161,'TL11'!$J$10:$J$224),0),
IF('TL11'!$B$229=K$3,SUMIF('TL11'!$C$238:$C$451,$C161,'TL11'!$J$238:$J$451),0),
IF('TL12'!$B$3=K$3,SUMIF('TL12'!$C$10:$C$224,$C161,'TL12'!$J$10:$J$224),0),
IF('TL12'!$B$229=K$3,SUMIF('TL12'!$C$238:$C$451,$C161,'TL12'!$J$238:$J$451),0),
IF('TL13'!$B$3=K$3,SUMIF('TL13'!$C$10:$C$224,$C161,'TL13'!$J$10:$J$224),0),
IF('TL13'!$B$229=K$3,SUMIF('TL13'!$C$238:$C$451,$C161,'TL13'!$J$238:$J$451),0),
IF('TL14'!$B$3=K$3,SUMIF('TL14'!$C$10:$C$224,$C161,'TL14'!$J$10:$J$224),0),
IF('TL14'!$B$229=K$3,SUMIF('TL14'!$C$238:$C$451,$C161,'TL14'!$J$238:$J$451),0),
IF('TL15'!$B$3=K$3,SUMIF('TL15'!$C$10:$C$224,$C161,'TL15'!$J$10:$J$224),0),
IF('TL15'!$B$229=K$3,SUMIF('TL15'!$C$238:$C$451,$C161,'TL15'!$J$238:$J$451),0),
IF('TL16'!$B$3=K$3,SUMIF('TL16'!$C$10:$C$224,$C161,'TL16'!$J$10:$J$224),0),
IF('TL16'!$B$229=K$3,SUMIF('TL16'!$C$238:$C$451,$C161,'TL16'!$J$238:$J$451),0),
IF('TL17'!$B$3=K$3,SUMIF('TL17'!$C$10:$C$224,$C161,'TL17'!$J$10:$J$224),0),
IF('TL17'!$B$229=K$3,SUMIF('TL17'!$C$238:$C$451,$C161,'TL17'!$J$238:$J$451),0),
IF('TL18'!$B$3=K$3,SUMIF('TL18'!$C$10:$C$224,$C161,'TL18'!$J$10:$J$224),0),
IF('TL18'!$B$229=K$3,SUMIF('TL18'!$C$238:$C$451,$C161,'TL18'!$J$238:$J$451),0),
IF('TL19'!$B$3=K$3,SUMIF('TL19'!$C$10:$C$224,$C161,'TL19'!$J$10:$J$224),0),
IF('TL19'!$B$229=K$3,SUMIF('TL19'!$C$238:$C$451,$C161,'TL19'!$J$238:$J$451),0)
),0)</f>
        <v>300</v>
      </c>
      <c r="L161" s="9">
        <f>IFERROR(SUM(
IF('TL01'!$B$3=L$3,SUMIF('TL01'!$C$10:$C$224,$C161,'TL01'!$J$10:$J$224),0),
IF('TL01'!$B$229=L$3,SUMIF('TL01'!$C$238:$C$451,$C161,'TL01'!$J$238:$J$451),0),
IF('TL02'!$B$3=L$3,SUMIF('TL02'!$C$10:$C$224,$C161,'TL02'!$J$10:$J$224),0),
IF('TL02'!$B$229=L$3,SUMIF('TL02'!$C$238:$C$451,$C161,'TL02'!$J$238:$J$451),0),
IF('TL03'!$B$3=L$3,SUMIF('TL03'!$C$10:$C$224,$C161,'TL03'!$J$10:$J$224),0),
IF('TL03'!$B$229=L$3,SUMIF('TL03'!$C$238:$C$451,$C161,'TL03'!$J$238:$J$451),0),
IF('TL04'!$B$3=L$3,SUMIF('TL04'!$C$10:$C$224,$C161,'TL04'!$J$10:$J$224),0),
IF('TL04'!$B$229=L$3,SUMIF('TL04'!$C$238:$C$451,$C161,'TL04'!$J$238:$J$451),0),
IF('TL05'!$B$3=L$3,SUMIF('TL05'!$C$10:$C$224,$C161,'TL05'!$J$10:$J$224),0),
IF('TL05'!$B$229=L$3,SUMIF('TL05'!$C$238:$C$451,$C161,'TL05'!$J$238:$J$451),0),
IF('TL06'!$B$3=L$3,SUMIF('TL06'!$C$10:$C$224,$C161,'TL06'!$J$10:$J$224),0),
IF('TL06'!$B$229=L$3,SUMIF('TL06'!$C$238:$C$451,$C161,'TL06'!$J$238:$J$451),0),
IF('TL07'!$B$3=L$3,SUMIF('TL07'!$C$10:$C$224,$C161,'TL07'!$J$10:$J$224),0),
IF('TL07'!$B$229=L$3,SUMIF('TL07'!$C$238:$C$451,$C161,'TL07'!$J$238:$J$451),0),
IF('TL08'!$B$3=L$3,SUMIF('TL08'!$C$10:$C$224,$C161,'TL08'!$J$10:$J$224),0),
IF('TL08'!$B$229=L$3,SUMIF('TL08'!$C$238:$C$451,$C161,'TL08'!$J$238:$J$451),0),
IF('TL09'!$B$3=L$3,SUMIF('TL09'!$C$10:$C$224,$C161,'TL09'!$J$10:$J$224),0),
IF('TL09'!$B$229=L$3,SUMIF('TL09'!$C$238:$C$451,$C161,'TL09'!$J$238:$J$451),0),
IF('TL10'!$B$3=L$3,SUMIF('TL10'!$C$10:$C$224,$C161,'TL10'!$J$10:$J$224),0),
IF('TL10'!$B$229=L$3,SUMIF('TL10'!$C$238:$C$451,$C161,'TL10'!$J$238:$J$451),0),
IF('TL11'!$B$3=L$3,SUMIF('TL11'!$C$10:$C$224,$C161,'TL11'!$J$10:$J$224),0),
IF('TL11'!$B$229=L$3,SUMIF('TL11'!$C$238:$C$451,$C161,'TL11'!$J$238:$J$451),0),
IF('TL12'!$B$3=L$3,SUMIF('TL12'!$C$10:$C$224,$C161,'TL12'!$J$10:$J$224),0),
IF('TL12'!$B$229=L$3,SUMIF('TL12'!$C$238:$C$451,$C161,'TL12'!$J$238:$J$451),0),
IF('TL13'!$B$3=L$3,SUMIF('TL13'!$C$10:$C$224,$C161,'TL13'!$J$10:$J$224),0),
IF('TL13'!$B$229=L$3,SUMIF('TL13'!$C$238:$C$451,$C161,'TL13'!$J$238:$J$451),0),
IF('TL14'!$B$3=L$3,SUMIF('TL14'!$C$10:$C$224,$C161,'TL14'!$J$10:$J$224),0),
IF('TL14'!$B$229=L$3,SUMIF('TL14'!$C$238:$C$451,$C161,'TL14'!$J$238:$J$451),0),
IF('TL15'!$B$3=L$3,SUMIF('TL15'!$C$10:$C$224,$C161,'TL15'!$J$10:$J$224),0),
IF('TL15'!$B$229=L$3,SUMIF('TL15'!$C$238:$C$451,$C161,'TL15'!$J$238:$J$451),0),
IF('TL16'!$B$3=L$3,SUMIF('TL16'!$C$10:$C$224,$C161,'TL16'!$J$10:$J$224),0),
IF('TL16'!$B$229=L$3,SUMIF('TL16'!$C$238:$C$451,$C161,'TL16'!$J$238:$J$451),0),
IF('TL17'!$B$3=L$3,SUMIF('TL17'!$C$10:$C$224,$C161,'TL17'!$J$10:$J$224),0),
IF('TL17'!$B$229=L$3,SUMIF('TL17'!$C$238:$C$451,$C161,'TL17'!$J$238:$J$451),0),
IF('TL18'!$B$3=L$3,SUMIF('TL18'!$C$10:$C$224,$C161,'TL18'!$J$10:$J$224),0),
IF('TL18'!$B$229=L$3,SUMIF('TL18'!$C$238:$C$451,$C161,'TL18'!$J$238:$J$451),0),
IF('TL19'!$B$3=L$3,SUMIF('TL19'!$C$10:$C$224,$C161,'TL19'!$J$10:$J$224),0),
IF('TL19'!$B$229=L$3,SUMIF('TL19'!$C$238:$C$451,$C161,'TL19'!$J$238:$J$451),0)
),0)</f>
        <v>220</v>
      </c>
      <c r="M161" s="9">
        <f>IFERROR(SUM(
IF('TL01'!$B$3=M$3,SUMIF('TL01'!$C$10:$C$224,$C161,'TL01'!$J$10:$J$224),0),
IF('TL01'!$B$229=M$3,SUMIF('TL01'!$C$238:$C$451,$C161,'TL01'!$J$238:$J$451),0),
IF('TL02'!$B$3=M$3,SUMIF('TL02'!$C$10:$C$224,$C161,'TL02'!$J$10:$J$224),0),
IF('TL02'!$B$229=M$3,SUMIF('TL02'!$C$238:$C$451,$C161,'TL02'!$J$238:$J$451),0),
IF('TL03'!$B$3=M$3,SUMIF('TL03'!$C$10:$C$224,$C161,'TL03'!$J$10:$J$224),0),
IF('TL03'!$B$229=M$3,SUMIF('TL03'!$C$238:$C$451,$C161,'TL03'!$J$238:$J$451),0),
IF('TL04'!$B$3=M$3,SUMIF('TL04'!$C$10:$C$224,$C161,'TL04'!$J$10:$J$224),0),
IF('TL04'!$B$229=M$3,SUMIF('TL04'!$C$238:$C$451,$C161,'TL04'!$J$238:$J$451),0),
IF('TL05'!$B$3=M$3,SUMIF('TL05'!$C$10:$C$224,$C161,'TL05'!$J$10:$J$224),0),
IF('TL05'!$B$229=M$3,SUMIF('TL05'!$C$238:$C$451,$C161,'TL05'!$J$238:$J$451),0),
IF('TL06'!$B$3=M$3,SUMIF('TL06'!$C$10:$C$224,$C161,'TL06'!$J$10:$J$224),0),
IF('TL06'!$B$229=M$3,SUMIF('TL06'!$C$238:$C$451,$C161,'TL06'!$J$238:$J$451),0),
IF('TL07'!$B$3=M$3,SUMIF('TL07'!$C$10:$C$224,$C161,'TL07'!$J$10:$J$224),0),
IF('TL07'!$B$229=M$3,SUMIF('TL07'!$C$238:$C$451,$C161,'TL07'!$J$238:$J$451),0),
IF('TL08'!$B$3=M$3,SUMIF('TL08'!$C$10:$C$224,$C161,'TL08'!$J$10:$J$224),0),
IF('TL08'!$B$229=M$3,SUMIF('TL08'!$C$238:$C$451,$C161,'TL08'!$J$238:$J$451),0),
IF('TL09'!$B$3=M$3,SUMIF('TL09'!$C$10:$C$224,$C161,'TL09'!$J$10:$J$224),0),
IF('TL09'!$B$229=M$3,SUMIF('TL09'!$C$238:$C$451,$C161,'TL09'!$J$238:$J$451),0),
IF('TL10'!$B$3=M$3,SUMIF('TL10'!$C$10:$C$224,$C161,'TL10'!$J$10:$J$224),0),
IF('TL10'!$B$229=M$3,SUMIF('TL10'!$C$238:$C$451,$C161,'TL10'!$J$238:$J$451),0),
IF('TL11'!$B$3=M$3,SUMIF('TL11'!$C$10:$C$224,$C161,'TL11'!$J$10:$J$224),0),
IF('TL11'!$B$229=M$3,SUMIF('TL11'!$C$238:$C$451,$C161,'TL11'!$J$238:$J$451),0),
IF('TL12'!$B$3=M$3,SUMIF('TL12'!$C$10:$C$224,$C161,'TL12'!$J$10:$J$224),0),
IF('TL12'!$B$229=M$3,SUMIF('TL12'!$C$238:$C$451,$C161,'TL12'!$J$238:$J$451),0),
IF('TL13'!$B$3=M$3,SUMIF('TL13'!$C$10:$C$224,$C161,'TL13'!$J$10:$J$224),0),
IF('TL13'!$B$229=M$3,SUMIF('TL13'!$C$238:$C$451,$C161,'TL13'!$J$238:$J$451),0),
IF('TL14'!$B$3=M$3,SUMIF('TL14'!$C$10:$C$224,$C161,'TL14'!$J$10:$J$224),0),
IF('TL14'!$B$229=M$3,SUMIF('TL14'!$C$238:$C$451,$C161,'TL14'!$J$238:$J$451),0),
IF('TL15'!$B$3=M$3,SUMIF('TL15'!$C$10:$C$224,$C161,'TL15'!$J$10:$J$224),0),
IF('TL15'!$B$229=M$3,SUMIF('TL15'!$C$238:$C$451,$C161,'TL15'!$J$238:$J$451),0),
IF('TL16'!$B$3=M$3,SUMIF('TL16'!$C$10:$C$224,$C161,'TL16'!$J$10:$J$224),0),
IF('TL16'!$B$229=M$3,SUMIF('TL16'!$C$238:$C$451,$C161,'TL16'!$J$238:$J$451),0),
IF('TL17'!$B$3=M$3,SUMIF('TL17'!$C$10:$C$224,$C161,'TL17'!$J$10:$J$224),0),
IF('TL17'!$B$229=M$3,SUMIF('TL17'!$C$238:$C$451,$C161,'TL17'!$J$238:$J$451),0),
IF('TL18'!$B$3=M$3,SUMIF('TL18'!$C$10:$C$224,$C161,'TL18'!$J$10:$J$224),0),
IF('TL18'!$B$229=M$3,SUMIF('TL18'!$C$238:$C$451,$C161,'TL18'!$J$238:$J$451),0),
IF('TL19'!$B$3=M$3,SUMIF('TL19'!$C$10:$C$224,$C161,'TL19'!$J$10:$J$224),0),
IF('TL19'!$B$229=M$3,SUMIF('TL19'!$C$238:$C$451,$C161,'TL19'!$J$238:$J$451),0)
),0)</f>
        <v>240</v>
      </c>
      <c r="N161" s="9">
        <f>IFERROR(SUM(
IF('TL01'!$B$3=N$3,SUMIF('TL01'!$C$10:$C$224,$C161,'TL01'!$J$10:$J$224),0),
IF('TL01'!$B$229=N$3,SUMIF('TL01'!$C$238:$C$451,$C161,'TL01'!$J$238:$J$451),0),
IF('TL02'!$B$3=N$3,SUMIF('TL02'!$C$10:$C$224,$C161,'TL02'!$J$10:$J$224),0),
IF('TL02'!$B$229=N$3,SUMIF('TL02'!$C$238:$C$451,$C161,'TL02'!$J$238:$J$451),0),
IF('TL03'!$B$3=N$3,SUMIF('TL03'!$C$10:$C$224,$C161,'TL03'!$J$10:$J$224),0),
IF('TL03'!$B$229=N$3,SUMIF('TL03'!$C$238:$C$451,$C161,'TL03'!$J$238:$J$451),0),
IF('TL04'!$B$3=N$3,SUMIF('TL04'!$C$10:$C$224,$C161,'TL04'!$J$10:$J$224),0),
IF('TL04'!$B$229=N$3,SUMIF('TL04'!$C$238:$C$451,$C161,'TL04'!$J$238:$J$451),0),
IF('TL05'!$B$3=N$3,SUMIF('TL05'!$C$10:$C$224,$C161,'TL05'!$J$10:$J$224),0),
IF('TL05'!$B$229=N$3,SUMIF('TL05'!$C$238:$C$451,$C161,'TL05'!$J$238:$J$451),0),
IF('TL06'!$B$3=N$3,SUMIF('TL06'!$C$10:$C$224,$C161,'TL06'!$J$10:$J$224),0),
IF('TL06'!$B$229=N$3,SUMIF('TL06'!$C$238:$C$451,$C161,'TL06'!$J$238:$J$451),0),
IF('TL07'!$B$3=N$3,SUMIF('TL07'!$C$10:$C$224,$C161,'TL07'!$J$10:$J$224),0),
IF('TL07'!$B$229=N$3,SUMIF('TL07'!$C$238:$C$451,$C161,'TL07'!$J$238:$J$451),0),
IF('TL08'!$B$3=N$3,SUMIF('TL08'!$C$10:$C$224,$C161,'TL08'!$J$10:$J$224),0),
IF('TL08'!$B$229=N$3,SUMIF('TL08'!$C$238:$C$451,$C161,'TL08'!$J$238:$J$451),0),
IF('TL09'!$B$3=N$3,SUMIF('TL09'!$C$10:$C$224,$C161,'TL09'!$J$10:$J$224),0),
IF('TL09'!$B$229=N$3,SUMIF('TL09'!$C$238:$C$451,$C161,'TL09'!$J$238:$J$451),0),
IF('TL10'!$B$3=N$3,SUMIF('TL10'!$C$10:$C$224,$C161,'TL10'!$J$10:$J$224),0),
IF('TL10'!$B$229=N$3,SUMIF('TL10'!$C$238:$C$451,$C161,'TL10'!$J$238:$J$451),0),
IF('TL11'!$B$3=N$3,SUMIF('TL11'!$C$10:$C$224,$C161,'TL11'!$J$10:$J$224),0),
IF('TL11'!$B$229=N$3,SUMIF('TL11'!$C$238:$C$451,$C161,'TL11'!$J$238:$J$451),0),
IF('TL12'!$B$3=N$3,SUMIF('TL12'!$C$10:$C$224,$C161,'TL12'!$J$10:$J$224),0),
IF('TL12'!$B$229=N$3,SUMIF('TL12'!$C$238:$C$451,$C161,'TL12'!$J$238:$J$451),0),
IF('TL13'!$B$3=N$3,SUMIF('TL13'!$C$10:$C$224,$C161,'TL13'!$J$10:$J$224),0),
IF('TL13'!$B$229=N$3,SUMIF('TL13'!$C$238:$C$451,$C161,'TL13'!$J$238:$J$451),0),
IF('TL14'!$B$3=N$3,SUMIF('TL14'!$C$10:$C$224,$C161,'TL14'!$J$10:$J$224),0),
IF('TL14'!$B$229=N$3,SUMIF('TL14'!$C$238:$C$451,$C161,'TL14'!$J$238:$J$451),0),
IF('TL15'!$B$3=N$3,SUMIF('TL15'!$C$10:$C$224,$C161,'TL15'!$J$10:$J$224),0),
IF('TL15'!$B$229=N$3,SUMIF('TL15'!$C$238:$C$451,$C161,'TL15'!$J$238:$J$451),0),
IF('TL16'!$B$3=N$3,SUMIF('TL16'!$C$10:$C$224,$C161,'TL16'!$J$10:$J$224),0),
IF('TL16'!$B$229=N$3,SUMIF('TL16'!$C$238:$C$451,$C161,'TL16'!$J$238:$J$451),0),
IF('TL17'!$B$3=N$3,SUMIF('TL17'!$C$10:$C$224,$C161,'TL17'!$J$10:$J$224),0),
IF('TL17'!$B$229=N$3,SUMIF('TL17'!$C$238:$C$451,$C161,'TL17'!$J$238:$J$451),0),
IF('TL18'!$B$3=N$3,SUMIF('TL18'!$C$10:$C$224,$C161,'TL18'!$J$10:$J$224),0),
IF('TL18'!$B$229=N$3,SUMIF('TL18'!$C$238:$C$451,$C161,'TL18'!$J$238:$J$451),0),
IF('TL19'!$B$3=N$3,SUMIF('TL19'!$C$10:$C$224,$C161,'TL19'!$J$10:$J$224),0),
IF('TL19'!$B$229=N$3,SUMIF('TL19'!$C$238:$C$451,$C161,'TL19'!$J$238:$J$451),0)
),0)</f>
        <v>451.2</v>
      </c>
      <c r="O161" s="9">
        <f>IFERROR(SUM(
IF('TL01'!$B$3=O$3,SUMIF('TL01'!$C$10:$C$224,$C161,'TL01'!$J$10:$J$224),0),
IF('TL01'!$B$229=O$3,SUMIF('TL01'!$C$238:$C$451,$C161,'TL01'!$J$238:$J$451),0),
IF('TL02'!$B$3=O$3,SUMIF('TL02'!$C$10:$C$224,$C161,'TL02'!$J$10:$J$224),0),
IF('TL02'!$B$229=O$3,SUMIF('TL02'!$C$238:$C$451,$C161,'TL02'!$J$238:$J$451),0),
IF('TL03'!$B$3=O$3,SUMIF('TL03'!$C$10:$C$224,$C161,'TL03'!$J$10:$J$224),0),
IF('TL03'!$B$229=O$3,SUMIF('TL03'!$C$238:$C$451,$C161,'TL03'!$J$238:$J$451),0),
IF('TL04'!$B$3=O$3,SUMIF('TL04'!$C$10:$C$224,$C161,'TL04'!$J$10:$J$224),0),
IF('TL04'!$B$229=O$3,SUMIF('TL04'!$C$238:$C$451,$C161,'TL04'!$J$238:$J$451),0),
IF('TL05'!$B$3=O$3,SUMIF('TL05'!$C$10:$C$224,$C161,'TL05'!$J$10:$J$224),0),
IF('TL05'!$B$229=O$3,SUMIF('TL05'!$C$238:$C$451,$C161,'TL05'!$J$238:$J$451),0),
IF('TL06'!$B$3=O$3,SUMIF('TL06'!$C$10:$C$224,$C161,'TL06'!$J$10:$J$224),0),
IF('TL06'!$B$229=O$3,SUMIF('TL06'!$C$238:$C$451,$C161,'TL06'!$J$238:$J$451),0),
IF('TL07'!$B$3=O$3,SUMIF('TL07'!$C$10:$C$224,$C161,'TL07'!$J$10:$J$224),0),
IF('TL07'!$B$229=O$3,SUMIF('TL07'!$C$238:$C$451,$C161,'TL07'!$J$238:$J$451),0),
IF('TL08'!$B$3=O$3,SUMIF('TL08'!$C$10:$C$224,$C161,'TL08'!$J$10:$J$224),0),
IF('TL08'!$B$229=O$3,SUMIF('TL08'!$C$238:$C$451,$C161,'TL08'!$J$238:$J$451),0),
IF('TL09'!$B$3=O$3,SUMIF('TL09'!$C$10:$C$224,$C161,'TL09'!$J$10:$J$224),0),
IF('TL09'!$B$229=O$3,SUMIF('TL09'!$C$238:$C$451,$C161,'TL09'!$J$238:$J$451),0),
IF('TL10'!$B$3=O$3,SUMIF('TL10'!$C$10:$C$224,$C161,'TL10'!$J$10:$J$224),0),
IF('TL10'!$B$229=O$3,SUMIF('TL10'!$C$238:$C$451,$C161,'TL10'!$J$238:$J$451),0),
IF('TL11'!$B$3=O$3,SUMIF('TL11'!$C$10:$C$224,$C161,'TL11'!$J$10:$J$224),0),
IF('TL11'!$B$229=O$3,SUMIF('TL11'!$C$238:$C$451,$C161,'TL11'!$J$238:$J$451),0),
IF('TL12'!$B$3=O$3,SUMIF('TL12'!$C$10:$C$224,$C161,'TL12'!$J$10:$J$224),0),
IF('TL12'!$B$229=O$3,SUMIF('TL12'!$C$238:$C$451,$C161,'TL12'!$J$238:$J$451),0),
IF('TL13'!$B$3=O$3,SUMIF('TL13'!$C$10:$C$224,$C161,'TL13'!$J$10:$J$224),0),
IF('TL13'!$B$229=O$3,SUMIF('TL13'!$C$238:$C$451,$C161,'TL13'!$J$238:$J$451),0),
IF('TL14'!$B$3=O$3,SUMIF('TL14'!$C$10:$C$224,$C161,'TL14'!$J$10:$J$224),0),
IF('TL14'!$B$229=O$3,SUMIF('TL14'!$C$238:$C$451,$C161,'TL14'!$J$238:$J$451),0),
IF('TL15'!$B$3=O$3,SUMIF('TL15'!$C$10:$C$224,$C161,'TL15'!$J$10:$J$224),0),
IF('TL15'!$B$229=O$3,SUMIF('TL15'!$C$238:$C$451,$C161,'TL15'!$J$238:$J$451),0),
IF('TL16'!$B$3=O$3,SUMIF('TL16'!$C$10:$C$224,$C161,'TL16'!$J$10:$J$224),0),
IF('TL16'!$B$229=O$3,SUMIF('TL16'!$C$238:$C$451,$C161,'TL16'!$J$238:$J$451),0),
IF('TL17'!$B$3=O$3,SUMIF('TL17'!$C$10:$C$224,$C161,'TL17'!$J$10:$J$224),0),
IF('TL17'!$B$229=O$3,SUMIF('TL17'!$C$238:$C$451,$C161,'TL17'!$J$238:$J$451),0),
IF('TL18'!$B$3=O$3,SUMIF('TL18'!$C$10:$C$224,$C161,'TL18'!$J$10:$J$224),0),
IF('TL18'!$B$229=O$3,SUMIF('TL18'!$C$238:$C$451,$C161,'TL18'!$J$238:$J$451),0),
IF('TL19'!$B$3=O$3,SUMIF('TL19'!$C$10:$C$224,$C161,'TL19'!$J$10:$J$224),0),
IF('TL19'!$B$229=O$3,SUMIF('TL19'!$C$238:$C$451,$C161,'TL19'!$J$238:$J$451),0)
),0)</f>
        <v>220</v>
      </c>
      <c r="P161" s="9">
        <f>IFERROR(SUM(
IF('TL01'!$B$3=P$3,SUMIF('TL01'!$C$10:$C$224,$C161,'TL01'!$J$10:$J$224),0),
IF('TL01'!$B$229=P$3,SUMIF('TL01'!$C$238:$C$451,$C161,'TL01'!$J$238:$J$451),0),
IF('TL02'!$B$3=P$3,SUMIF('TL02'!$C$10:$C$224,$C161,'TL02'!$J$10:$J$224),0),
IF('TL02'!$B$229=P$3,SUMIF('TL02'!$C$238:$C$451,$C161,'TL02'!$J$238:$J$451),0),
IF('TL03'!$B$3=P$3,SUMIF('TL03'!$C$10:$C$224,$C161,'TL03'!$J$10:$J$224),0),
IF('TL03'!$B$229=P$3,SUMIF('TL03'!$C$238:$C$451,$C161,'TL03'!$J$238:$J$451),0),
IF('TL04'!$B$3=P$3,SUMIF('TL04'!$C$10:$C$224,$C161,'TL04'!$J$10:$J$224),0),
IF('TL04'!$B$229=P$3,SUMIF('TL04'!$C$238:$C$451,$C161,'TL04'!$J$238:$J$451),0),
IF('TL05'!$B$3=P$3,SUMIF('TL05'!$C$10:$C$224,$C161,'TL05'!$J$10:$J$224),0),
IF('TL05'!$B$229=P$3,SUMIF('TL05'!$C$238:$C$451,$C161,'TL05'!$J$238:$J$451),0),
IF('TL06'!$B$3=P$3,SUMIF('TL06'!$C$10:$C$224,$C161,'TL06'!$J$10:$J$224),0),
IF('TL06'!$B$229=P$3,SUMIF('TL06'!$C$238:$C$451,$C161,'TL06'!$J$238:$J$451),0),
IF('TL07'!$B$3=P$3,SUMIF('TL07'!$C$10:$C$224,$C161,'TL07'!$J$10:$J$224),0),
IF('TL07'!$B$229=P$3,SUMIF('TL07'!$C$238:$C$451,$C161,'TL07'!$J$238:$J$451),0),
IF('TL08'!$B$3=P$3,SUMIF('TL08'!$C$10:$C$224,$C161,'TL08'!$J$10:$J$224),0),
IF('TL08'!$B$229=P$3,SUMIF('TL08'!$C$238:$C$451,$C161,'TL08'!$J$238:$J$451),0),
IF('TL09'!$B$3=P$3,SUMIF('TL09'!$C$10:$C$224,$C161,'TL09'!$J$10:$J$224),0),
IF('TL09'!$B$229=P$3,SUMIF('TL09'!$C$238:$C$451,$C161,'TL09'!$J$238:$J$451),0),
IF('TL10'!$B$3=P$3,SUMIF('TL10'!$C$10:$C$224,$C161,'TL10'!$J$10:$J$224),0),
IF('TL10'!$B$229=P$3,SUMIF('TL10'!$C$238:$C$451,$C161,'TL10'!$J$238:$J$451),0),
IF('TL11'!$B$3=P$3,SUMIF('TL11'!$C$10:$C$224,$C161,'TL11'!$J$10:$J$224),0),
IF('TL11'!$B$229=P$3,SUMIF('TL11'!$C$238:$C$451,$C161,'TL11'!$J$238:$J$451),0),
IF('TL12'!$B$3=P$3,SUMIF('TL12'!$C$10:$C$224,$C161,'TL12'!$J$10:$J$224),0),
IF('TL12'!$B$229=P$3,SUMIF('TL12'!$C$238:$C$451,$C161,'TL12'!$J$238:$J$451),0),
IF('TL13'!$B$3=P$3,SUMIF('TL13'!$C$10:$C$224,$C161,'TL13'!$J$10:$J$224),0),
IF('TL13'!$B$229=P$3,SUMIF('TL13'!$C$238:$C$451,$C161,'TL13'!$J$238:$J$451),0),
IF('TL14'!$B$3=P$3,SUMIF('TL14'!$C$10:$C$224,$C161,'TL14'!$J$10:$J$224),0),
IF('TL14'!$B$229=P$3,SUMIF('TL14'!$C$238:$C$451,$C161,'TL14'!$J$238:$J$451),0),
IF('TL15'!$B$3=P$3,SUMIF('TL15'!$C$10:$C$224,$C161,'TL15'!$J$10:$J$224),0),
IF('TL15'!$B$229=P$3,SUMIF('TL15'!$C$238:$C$451,$C161,'TL15'!$J$238:$J$451),0),
IF('TL16'!$B$3=P$3,SUMIF('TL16'!$C$10:$C$224,$C161,'TL16'!$J$10:$J$224),0),
IF('TL16'!$B$229=P$3,SUMIF('TL16'!$C$238:$C$451,$C161,'TL16'!$J$238:$J$451),0),
IF('TL17'!$B$3=P$3,SUMIF('TL17'!$C$10:$C$224,$C161,'TL17'!$J$10:$J$224),0),
IF('TL17'!$B$229=P$3,SUMIF('TL17'!$C$238:$C$451,$C161,'TL17'!$J$238:$J$451),0),
IF('TL18'!$B$3=P$3,SUMIF('TL18'!$C$10:$C$224,$C161,'TL18'!$J$10:$J$224),0),
IF('TL18'!$B$229=P$3,SUMIF('TL18'!$C$238:$C$451,$C161,'TL18'!$J$238:$J$451),0),
IF('TL19'!$B$3=P$3,SUMIF('TL19'!$C$10:$C$224,$C161,'TL19'!$J$10:$J$224),0),
IF('TL19'!$B$229=P$3,SUMIF('TL19'!$C$238:$C$451,$C161,'TL19'!$J$238:$J$451),0)
),0)</f>
        <v>1218</v>
      </c>
      <c r="Q161" s="9">
        <f>IFERROR(SUM(
IF('TL01'!$B$3=Q$3,SUMIF('TL01'!$C$10:$C$224,$C161,'TL01'!$J$10:$J$224),0),
IF('TL01'!$B$229=Q$3,SUMIF('TL01'!$C$238:$C$451,$C161,'TL01'!$J$238:$J$451),0),
IF('TL02'!$B$3=Q$3,SUMIF('TL02'!$C$10:$C$224,$C161,'TL02'!$J$10:$J$224),0),
IF('TL02'!$B$229=Q$3,SUMIF('TL02'!$C$238:$C$451,$C161,'TL02'!$J$238:$J$451),0),
IF('TL03'!$B$3=Q$3,SUMIF('TL03'!$C$10:$C$224,$C161,'TL03'!$J$10:$J$224),0),
IF('TL03'!$B$229=Q$3,SUMIF('TL03'!$C$238:$C$451,$C161,'TL03'!$J$238:$J$451),0),
IF('TL04'!$B$3=Q$3,SUMIF('TL04'!$C$10:$C$224,$C161,'TL04'!$J$10:$J$224),0),
IF('TL04'!$B$229=Q$3,SUMIF('TL04'!$C$238:$C$451,$C161,'TL04'!$J$238:$J$451),0),
IF('TL05'!$B$3=Q$3,SUMIF('TL05'!$C$10:$C$224,$C161,'TL05'!$J$10:$J$224),0),
IF('TL05'!$B$229=Q$3,SUMIF('TL05'!$C$238:$C$451,$C161,'TL05'!$J$238:$J$451),0),
IF('TL06'!$B$3=Q$3,SUMIF('TL06'!$C$10:$C$224,$C161,'TL06'!$J$10:$J$224),0),
IF('TL06'!$B$229=Q$3,SUMIF('TL06'!$C$238:$C$451,$C161,'TL06'!$J$238:$J$451),0),
IF('TL07'!$B$3=Q$3,SUMIF('TL07'!$C$10:$C$224,$C161,'TL07'!$J$10:$J$224),0),
IF('TL07'!$B$229=Q$3,SUMIF('TL07'!$C$238:$C$451,$C161,'TL07'!$J$238:$J$451),0),
IF('TL08'!$B$3=Q$3,SUMIF('TL08'!$C$10:$C$224,$C161,'TL08'!$J$10:$J$224),0),
IF('TL08'!$B$229=Q$3,SUMIF('TL08'!$C$238:$C$451,$C161,'TL08'!$J$238:$J$451),0),
IF('TL09'!$B$3=Q$3,SUMIF('TL09'!$C$10:$C$224,$C161,'TL09'!$J$10:$J$224),0),
IF('TL09'!$B$229=Q$3,SUMIF('TL09'!$C$238:$C$451,$C161,'TL09'!$J$238:$J$451),0),
IF('TL10'!$B$3=Q$3,SUMIF('TL10'!$C$10:$C$224,$C161,'TL10'!$J$10:$J$224),0),
IF('TL10'!$B$229=Q$3,SUMIF('TL10'!$C$238:$C$451,$C161,'TL10'!$J$238:$J$451),0),
IF('TL11'!$B$3=Q$3,SUMIF('TL11'!$C$10:$C$224,$C161,'TL11'!$J$10:$J$224),0),
IF('TL11'!$B$229=Q$3,SUMIF('TL11'!$C$238:$C$451,$C161,'TL11'!$J$238:$J$451),0),
IF('TL12'!$B$3=Q$3,SUMIF('TL12'!$C$10:$C$224,$C161,'TL12'!$J$10:$J$224),0),
IF('TL12'!$B$229=Q$3,SUMIF('TL12'!$C$238:$C$451,$C161,'TL12'!$J$238:$J$451),0),
IF('TL13'!$B$3=Q$3,SUMIF('TL13'!$C$10:$C$224,$C161,'TL13'!$J$10:$J$224),0),
IF('TL13'!$B$229=Q$3,SUMIF('TL13'!$C$238:$C$451,$C161,'TL13'!$J$238:$J$451),0),
IF('TL14'!$B$3=Q$3,SUMIF('TL14'!$C$10:$C$224,$C161,'TL14'!$J$10:$J$224),0),
IF('TL14'!$B$229=Q$3,SUMIF('TL14'!$C$238:$C$451,$C161,'TL14'!$J$238:$J$451),0),
IF('TL15'!$B$3=Q$3,SUMIF('TL15'!$C$10:$C$224,$C161,'TL15'!$J$10:$J$224),0),
IF('TL15'!$B$229=Q$3,SUMIF('TL15'!$C$238:$C$451,$C161,'TL15'!$J$238:$J$451),0),
IF('TL16'!$B$3=Q$3,SUMIF('TL16'!$C$10:$C$224,$C161,'TL16'!$J$10:$J$224),0),
IF('TL16'!$B$229=Q$3,SUMIF('TL16'!$C$238:$C$451,$C161,'TL16'!$J$238:$J$451),0),
IF('TL17'!$B$3=Q$3,SUMIF('TL17'!$C$10:$C$224,$C161,'TL17'!$J$10:$J$224),0),
IF('TL17'!$B$229=Q$3,SUMIF('TL17'!$C$238:$C$451,$C161,'TL17'!$J$238:$J$451),0),
IF('TL18'!$B$3=Q$3,SUMIF('TL18'!$C$10:$C$224,$C161,'TL18'!$J$10:$J$224),0),
IF('TL18'!$B$229=Q$3,SUMIF('TL18'!$C$238:$C$451,$C161,'TL18'!$J$238:$J$451),0),
IF('TL19'!$B$3=Q$3,SUMIF('TL19'!$C$10:$C$224,$C161,'TL19'!$J$10:$J$224),0),
IF('TL19'!$B$229=Q$3,SUMIF('TL19'!$C$238:$C$451,$C161,'TL19'!$J$238:$J$451),0)
),0)</f>
        <v>320</v>
      </c>
      <c r="R161" s="9">
        <f>IFERROR(
SUM(
SUMIF('TL01'!C:C,C161,'TL01'!J:J),
SUMIF('TL02'!C:C,C161,'TL02'!J:J),
SUMIF('TL03'!C:C,C161,'TL03'!J:J),
SUMIF('TL04'!C:C,C161,'TL04'!J:J),
SUMIF('TL05'!C:C,C161,'TL05'!J:J),
SUMIF('TL06'!C:C,C161,'TL06'!J:J),
SUMIF('TL07'!C:C,C161,'TL07'!J:J),
SUMIF('TL08'!C:C,C161,'TL08'!J:J),
SUMIF('TL09'!C:C,C161,'TL09'!J:J),
SUMIF('TL10'!C:C,C161,'TL10'!J:J),
SUMIF('TL11'!C:C,C161,'TL11'!J:J),
SUMIF('TL12'!C:C,C161,'TL12'!J:J),
SUMIF('TL13'!C:C,C161,'TL13'!J:J),
SUMIF('TL14'!C:C,C161,'TL14'!J:J),
SUMIF('TL15'!C:C,C161,'TL15'!J:J),
SUMIF('TL16'!C:C,C161,'TL16'!J:J),
SUMIF('TL17'!C:C,C161,'TL17'!J:J),
SUMIF('TL18'!C:C,C161,'TL18'!J:J),SUMIF('TL19'!C:C,C161,'TL19'!J:J))
,0)</f>
        <v>2969.2</v>
      </c>
      <c r="S161" s="17">
        <f>IFERROR(__xludf.DUMMYFUNCTION("IFERROR(VLOOKUP(C161,
IMPORTRANGE(""1wULbzX32WdYsx-lj2U3uUNBBe2INVIRDtcK0d-Dvl90"",
""26-27!C:G""),
5,
FALSE),
"""")"),29.127299999999998)</f>
        <v>29.1273</v>
      </c>
      <c r="T161" s="118">
        <v>480.0</v>
      </c>
      <c r="U161" s="92">
        <f t="shared" si="2"/>
        <v>2489.2</v>
      </c>
      <c r="V161" s="93">
        <f t="shared" si="3"/>
        <v>72503.67516</v>
      </c>
    </row>
    <row r="162" ht="15.75" hidden="1" customHeight="1">
      <c r="A162" s="115" t="s">
        <v>358</v>
      </c>
      <c r="B162" s="100" t="s">
        <v>1</v>
      </c>
      <c r="C162" s="116" t="s">
        <v>730</v>
      </c>
      <c r="D162" s="116" t="s">
        <v>731</v>
      </c>
      <c r="E162" s="116" t="s">
        <v>732</v>
      </c>
      <c r="F162" s="4" t="s">
        <v>343</v>
      </c>
      <c r="G162" s="90" t="str">
        <f t="shared" si="4"/>
        <v>📄 Ver bula</v>
      </c>
      <c r="H162" s="9" t="str">
        <f>IFERROR(__xludf.DUMMYFUNCTION("IFERROR(VLOOKUP(C162,
IMPORTRANGE(""1wULbzX32WdYsx-lj2U3uUNBBe2INVIRDtcK0d-Dvl90"",
""26-27!C:K""),
8,
FALSE),
"""")"),"")</f>
        <v/>
      </c>
      <c r="I162" s="117" t="s">
        <v>344</v>
      </c>
      <c r="J162" s="9">
        <f>IFERROR(SUM(
IF('TL01'!$B$3=J$3,SUMIF('TL01'!$C$10:$C$224,$C162,'TL01'!$J$10:$J$224),0),
IF('TL01'!$B$229=J$3,SUMIF('TL01'!$C$238:$C$451,$C162,'TL01'!$J$238:$J$451),0),
IF('TL02'!$B$3=J$3,SUMIF('TL02'!$C$10:$C$224,$C162,'TL02'!$J$10:$J$224),0),
IF('TL02'!$B$229=J$3,SUMIF('TL02'!$C$238:$C$451,$C162,'TL02'!$J$238:$J$451),0),
IF('TL03'!$B$3=J$3,SUMIF('TL03'!$C$10:$C$224,$C162,'TL03'!$J$10:$J$224),0),
IF('TL03'!$B$229=J$3,SUMIF('TL03'!$C$238:$C$451,$C162,'TL03'!$J$238:$J$451),0),
IF('TL04'!$B$3=J$3,SUMIF('TL04'!$C$10:$C$224,$C162,'TL04'!$J$10:$J$224),0),
IF('TL04'!$B$229=J$3,SUMIF('TL04'!$C$238:$C$451,$C162,'TL04'!$J$238:$J$451),0),
IF('TL05'!$B$3=J$3,SUMIF('TL05'!$C$10:$C$224,$C162,'TL05'!$J$10:$J$224),0),
IF('TL05'!$B$229=J$3,SUMIF('TL05'!$C$238:$C$451,$C162,'TL05'!$J$238:$J$451),0),
IF('TL06'!$B$3=J$3,SUMIF('TL06'!$C$10:$C$224,$C162,'TL06'!$J$10:$J$224),0),
IF('TL06'!$B$229=J$3,SUMIF('TL06'!$C$238:$C$451,$C162,'TL06'!$J$238:$J$451),0),
IF('TL07'!$B$3=J$3,SUMIF('TL07'!$C$10:$C$224,$C162,'TL07'!$J$10:$J$224),0),
IF('TL07'!$B$229=J$3,SUMIF('TL07'!$C$238:$C$451,$C162,'TL07'!$J$238:$J$451),0),
IF('TL08'!$B$3=J$3,SUMIF('TL08'!$C$10:$C$224,$C162,'TL08'!$J$10:$J$224),0),
IF('TL08'!$B$229=J$3,SUMIF('TL08'!$C$238:$C$451,$C162,'TL08'!$J$238:$J$451),0),
IF('TL09'!$B$3=J$3,SUMIF('TL09'!$C$10:$C$224,$C162,'TL09'!$J$10:$J$224),0),
IF('TL09'!$B$229=J$3,SUMIF('TL09'!$C$238:$C$451,$C162,'TL09'!$J$238:$J$451),0),
IF('TL10'!$B$3=J$3,SUMIF('TL10'!$C$10:$C$224,$C162,'TL10'!$J$10:$J$224),0),
IF('TL10'!$B$229=J$3,SUMIF('TL10'!$C$238:$C$451,$C162,'TL10'!$J$238:$J$451),0),
IF('TL11'!$B$3=J$3,SUMIF('TL11'!$C$10:$C$224,$C162,'TL11'!$J$10:$J$224),0),
IF('TL11'!$B$229=J$3,SUMIF('TL11'!$C$238:$C$451,$C162,'TL11'!$J$238:$J$451),0),
IF('TL12'!$B$3=J$3,SUMIF('TL12'!$C$10:$C$224,$C162,'TL12'!$J$10:$J$224),0),
IF('TL12'!$B$229=J$3,SUMIF('TL12'!$C$238:$C$451,$C162,'TL12'!$J$238:$J$451),0),
IF('TL13'!$B$3=J$3,SUMIF('TL13'!$C$10:$C$224,$C162,'TL13'!$J$10:$J$224),0),
IF('TL13'!$B$229=J$3,SUMIF('TL13'!$C$238:$C$451,$C162,'TL13'!$J$238:$J$451),0),
IF('TL14'!$B$3=J$3,SUMIF('TL14'!$C$10:$C$224,$C162,'TL14'!$J$10:$J$224),0),
IF('TL14'!$B$229=J$3,SUMIF('TL14'!$C$238:$C$451,$C162,'TL14'!$J$238:$J$451),0),
IF('TL15'!$B$3=J$3,SUMIF('TL15'!$C$10:$C$224,$C162,'TL15'!$J$10:$J$224),0),
IF('TL15'!$B$229=J$3,SUMIF('TL15'!$C$238:$C$451,$C162,'TL15'!$J$238:$J$451),0),
IF('TL16'!$B$3=J$3,SUMIF('TL16'!$C$10:$C$224,$C162,'TL16'!$J$10:$J$224),0),
IF('TL16'!$B$229=J$3,SUMIF('TL16'!$C$238:$C$451,$C162,'TL16'!$J$238:$J$451),0),
IF('TL17'!$B$3=J$3,SUMIF('TL17'!$C$10:$C$224,$C162,'TL17'!$J$10:$J$224),0),
IF('TL17'!$B$229=J$3,SUMIF('TL17'!$C$238:$C$451,$C162,'TL17'!$J$238:$J$451),0),
IF('TL18'!$B$3=J$3,SUMIF('TL18'!$C$10:$C$224,$C162,'TL18'!$J$10:$J$224),0),
IF('TL18'!$B$229=J$3,SUMIF('TL18'!$C$238:$C$451,$C162,'TL18'!$J$238:$J$451),0),
IF('TL19'!$B$3=J$3,SUMIF('TL19'!$C$10:$C$224,$C162,'TL19'!$J$10:$J$224),0),
IF('TL19'!$B$229=J$3,SUMIF('TL19'!$C$238:$C$451,$C162,'TL19'!$J$238:$J$451),0)
),0)</f>
        <v>0</v>
      </c>
      <c r="K162" s="9">
        <f>IFERROR(SUM(
IF('TL01'!$B$3=K$3,SUMIF('TL01'!$C$10:$C$224,$C162,'TL01'!$J$10:$J$224),0),
IF('TL01'!$B$229=K$3,SUMIF('TL01'!$C$238:$C$451,$C162,'TL01'!$J$238:$J$451),0),
IF('TL02'!$B$3=K$3,SUMIF('TL02'!$C$10:$C$224,$C162,'TL02'!$J$10:$J$224),0),
IF('TL02'!$B$229=K$3,SUMIF('TL02'!$C$238:$C$451,$C162,'TL02'!$J$238:$J$451),0),
IF('TL03'!$B$3=K$3,SUMIF('TL03'!$C$10:$C$224,$C162,'TL03'!$J$10:$J$224),0),
IF('TL03'!$B$229=K$3,SUMIF('TL03'!$C$238:$C$451,$C162,'TL03'!$J$238:$J$451),0),
IF('TL04'!$B$3=K$3,SUMIF('TL04'!$C$10:$C$224,$C162,'TL04'!$J$10:$J$224),0),
IF('TL04'!$B$229=K$3,SUMIF('TL04'!$C$238:$C$451,$C162,'TL04'!$J$238:$J$451),0),
IF('TL05'!$B$3=K$3,SUMIF('TL05'!$C$10:$C$224,$C162,'TL05'!$J$10:$J$224),0),
IF('TL05'!$B$229=K$3,SUMIF('TL05'!$C$238:$C$451,$C162,'TL05'!$J$238:$J$451),0),
IF('TL06'!$B$3=K$3,SUMIF('TL06'!$C$10:$C$224,$C162,'TL06'!$J$10:$J$224),0),
IF('TL06'!$B$229=K$3,SUMIF('TL06'!$C$238:$C$451,$C162,'TL06'!$J$238:$J$451),0),
IF('TL07'!$B$3=K$3,SUMIF('TL07'!$C$10:$C$224,$C162,'TL07'!$J$10:$J$224),0),
IF('TL07'!$B$229=K$3,SUMIF('TL07'!$C$238:$C$451,$C162,'TL07'!$J$238:$J$451),0),
IF('TL08'!$B$3=K$3,SUMIF('TL08'!$C$10:$C$224,$C162,'TL08'!$J$10:$J$224),0),
IF('TL08'!$B$229=K$3,SUMIF('TL08'!$C$238:$C$451,$C162,'TL08'!$J$238:$J$451),0),
IF('TL09'!$B$3=K$3,SUMIF('TL09'!$C$10:$C$224,$C162,'TL09'!$J$10:$J$224),0),
IF('TL09'!$B$229=K$3,SUMIF('TL09'!$C$238:$C$451,$C162,'TL09'!$J$238:$J$451),0),
IF('TL10'!$B$3=K$3,SUMIF('TL10'!$C$10:$C$224,$C162,'TL10'!$J$10:$J$224),0),
IF('TL10'!$B$229=K$3,SUMIF('TL10'!$C$238:$C$451,$C162,'TL10'!$J$238:$J$451),0),
IF('TL11'!$B$3=K$3,SUMIF('TL11'!$C$10:$C$224,$C162,'TL11'!$J$10:$J$224),0),
IF('TL11'!$B$229=K$3,SUMIF('TL11'!$C$238:$C$451,$C162,'TL11'!$J$238:$J$451),0),
IF('TL12'!$B$3=K$3,SUMIF('TL12'!$C$10:$C$224,$C162,'TL12'!$J$10:$J$224),0),
IF('TL12'!$B$229=K$3,SUMIF('TL12'!$C$238:$C$451,$C162,'TL12'!$J$238:$J$451),0),
IF('TL13'!$B$3=K$3,SUMIF('TL13'!$C$10:$C$224,$C162,'TL13'!$J$10:$J$224),0),
IF('TL13'!$B$229=K$3,SUMIF('TL13'!$C$238:$C$451,$C162,'TL13'!$J$238:$J$451),0),
IF('TL14'!$B$3=K$3,SUMIF('TL14'!$C$10:$C$224,$C162,'TL14'!$J$10:$J$224),0),
IF('TL14'!$B$229=K$3,SUMIF('TL14'!$C$238:$C$451,$C162,'TL14'!$J$238:$J$451),0),
IF('TL15'!$B$3=K$3,SUMIF('TL15'!$C$10:$C$224,$C162,'TL15'!$J$10:$J$224),0),
IF('TL15'!$B$229=K$3,SUMIF('TL15'!$C$238:$C$451,$C162,'TL15'!$J$238:$J$451),0),
IF('TL16'!$B$3=K$3,SUMIF('TL16'!$C$10:$C$224,$C162,'TL16'!$J$10:$J$224),0),
IF('TL16'!$B$229=K$3,SUMIF('TL16'!$C$238:$C$451,$C162,'TL16'!$J$238:$J$451),0),
IF('TL17'!$B$3=K$3,SUMIF('TL17'!$C$10:$C$224,$C162,'TL17'!$J$10:$J$224),0),
IF('TL17'!$B$229=K$3,SUMIF('TL17'!$C$238:$C$451,$C162,'TL17'!$J$238:$J$451),0),
IF('TL18'!$B$3=K$3,SUMIF('TL18'!$C$10:$C$224,$C162,'TL18'!$J$10:$J$224),0),
IF('TL18'!$B$229=K$3,SUMIF('TL18'!$C$238:$C$451,$C162,'TL18'!$J$238:$J$451),0),
IF('TL19'!$B$3=K$3,SUMIF('TL19'!$C$10:$C$224,$C162,'TL19'!$J$10:$J$224),0),
IF('TL19'!$B$229=K$3,SUMIF('TL19'!$C$238:$C$451,$C162,'TL19'!$J$238:$J$451),0)
),0)</f>
        <v>0</v>
      </c>
      <c r="L162" s="9">
        <f>IFERROR(SUM(
IF('TL01'!$B$3=L$3,SUMIF('TL01'!$C$10:$C$224,$C162,'TL01'!$J$10:$J$224),0),
IF('TL01'!$B$229=L$3,SUMIF('TL01'!$C$238:$C$451,$C162,'TL01'!$J$238:$J$451),0),
IF('TL02'!$B$3=L$3,SUMIF('TL02'!$C$10:$C$224,$C162,'TL02'!$J$10:$J$224),0),
IF('TL02'!$B$229=L$3,SUMIF('TL02'!$C$238:$C$451,$C162,'TL02'!$J$238:$J$451),0),
IF('TL03'!$B$3=L$3,SUMIF('TL03'!$C$10:$C$224,$C162,'TL03'!$J$10:$J$224),0),
IF('TL03'!$B$229=L$3,SUMIF('TL03'!$C$238:$C$451,$C162,'TL03'!$J$238:$J$451),0),
IF('TL04'!$B$3=L$3,SUMIF('TL04'!$C$10:$C$224,$C162,'TL04'!$J$10:$J$224),0),
IF('TL04'!$B$229=L$3,SUMIF('TL04'!$C$238:$C$451,$C162,'TL04'!$J$238:$J$451),0),
IF('TL05'!$B$3=L$3,SUMIF('TL05'!$C$10:$C$224,$C162,'TL05'!$J$10:$J$224),0),
IF('TL05'!$B$229=L$3,SUMIF('TL05'!$C$238:$C$451,$C162,'TL05'!$J$238:$J$451),0),
IF('TL06'!$B$3=L$3,SUMIF('TL06'!$C$10:$C$224,$C162,'TL06'!$J$10:$J$224),0),
IF('TL06'!$B$229=L$3,SUMIF('TL06'!$C$238:$C$451,$C162,'TL06'!$J$238:$J$451),0),
IF('TL07'!$B$3=L$3,SUMIF('TL07'!$C$10:$C$224,$C162,'TL07'!$J$10:$J$224),0),
IF('TL07'!$B$229=L$3,SUMIF('TL07'!$C$238:$C$451,$C162,'TL07'!$J$238:$J$451),0),
IF('TL08'!$B$3=L$3,SUMIF('TL08'!$C$10:$C$224,$C162,'TL08'!$J$10:$J$224),0),
IF('TL08'!$B$229=L$3,SUMIF('TL08'!$C$238:$C$451,$C162,'TL08'!$J$238:$J$451),0),
IF('TL09'!$B$3=L$3,SUMIF('TL09'!$C$10:$C$224,$C162,'TL09'!$J$10:$J$224),0),
IF('TL09'!$B$229=L$3,SUMIF('TL09'!$C$238:$C$451,$C162,'TL09'!$J$238:$J$451),0),
IF('TL10'!$B$3=L$3,SUMIF('TL10'!$C$10:$C$224,$C162,'TL10'!$J$10:$J$224),0),
IF('TL10'!$B$229=L$3,SUMIF('TL10'!$C$238:$C$451,$C162,'TL10'!$J$238:$J$451),0),
IF('TL11'!$B$3=L$3,SUMIF('TL11'!$C$10:$C$224,$C162,'TL11'!$J$10:$J$224),0),
IF('TL11'!$B$229=L$3,SUMIF('TL11'!$C$238:$C$451,$C162,'TL11'!$J$238:$J$451),0),
IF('TL12'!$B$3=L$3,SUMIF('TL12'!$C$10:$C$224,$C162,'TL12'!$J$10:$J$224),0),
IF('TL12'!$B$229=L$3,SUMIF('TL12'!$C$238:$C$451,$C162,'TL12'!$J$238:$J$451),0),
IF('TL13'!$B$3=L$3,SUMIF('TL13'!$C$10:$C$224,$C162,'TL13'!$J$10:$J$224),0),
IF('TL13'!$B$229=L$3,SUMIF('TL13'!$C$238:$C$451,$C162,'TL13'!$J$238:$J$451),0),
IF('TL14'!$B$3=L$3,SUMIF('TL14'!$C$10:$C$224,$C162,'TL14'!$J$10:$J$224),0),
IF('TL14'!$B$229=L$3,SUMIF('TL14'!$C$238:$C$451,$C162,'TL14'!$J$238:$J$451),0),
IF('TL15'!$B$3=L$3,SUMIF('TL15'!$C$10:$C$224,$C162,'TL15'!$J$10:$J$224),0),
IF('TL15'!$B$229=L$3,SUMIF('TL15'!$C$238:$C$451,$C162,'TL15'!$J$238:$J$451),0),
IF('TL16'!$B$3=L$3,SUMIF('TL16'!$C$10:$C$224,$C162,'TL16'!$J$10:$J$224),0),
IF('TL16'!$B$229=L$3,SUMIF('TL16'!$C$238:$C$451,$C162,'TL16'!$J$238:$J$451),0),
IF('TL17'!$B$3=L$3,SUMIF('TL17'!$C$10:$C$224,$C162,'TL17'!$J$10:$J$224),0),
IF('TL17'!$B$229=L$3,SUMIF('TL17'!$C$238:$C$451,$C162,'TL17'!$J$238:$J$451),0),
IF('TL18'!$B$3=L$3,SUMIF('TL18'!$C$10:$C$224,$C162,'TL18'!$J$10:$J$224),0),
IF('TL18'!$B$229=L$3,SUMIF('TL18'!$C$238:$C$451,$C162,'TL18'!$J$238:$J$451),0),
IF('TL19'!$B$3=L$3,SUMIF('TL19'!$C$10:$C$224,$C162,'TL19'!$J$10:$J$224),0),
IF('TL19'!$B$229=L$3,SUMIF('TL19'!$C$238:$C$451,$C162,'TL19'!$J$238:$J$451),0)
),0)</f>
        <v>0</v>
      </c>
      <c r="M162" s="9">
        <f>IFERROR(SUM(
IF('TL01'!$B$3=M$3,SUMIF('TL01'!$C$10:$C$224,$C162,'TL01'!$J$10:$J$224),0),
IF('TL01'!$B$229=M$3,SUMIF('TL01'!$C$238:$C$451,$C162,'TL01'!$J$238:$J$451),0),
IF('TL02'!$B$3=M$3,SUMIF('TL02'!$C$10:$C$224,$C162,'TL02'!$J$10:$J$224),0),
IF('TL02'!$B$229=M$3,SUMIF('TL02'!$C$238:$C$451,$C162,'TL02'!$J$238:$J$451),0),
IF('TL03'!$B$3=M$3,SUMIF('TL03'!$C$10:$C$224,$C162,'TL03'!$J$10:$J$224),0),
IF('TL03'!$B$229=M$3,SUMIF('TL03'!$C$238:$C$451,$C162,'TL03'!$J$238:$J$451),0),
IF('TL04'!$B$3=M$3,SUMIF('TL04'!$C$10:$C$224,$C162,'TL04'!$J$10:$J$224),0),
IF('TL04'!$B$229=M$3,SUMIF('TL04'!$C$238:$C$451,$C162,'TL04'!$J$238:$J$451),0),
IF('TL05'!$B$3=M$3,SUMIF('TL05'!$C$10:$C$224,$C162,'TL05'!$J$10:$J$224),0),
IF('TL05'!$B$229=M$3,SUMIF('TL05'!$C$238:$C$451,$C162,'TL05'!$J$238:$J$451),0),
IF('TL06'!$B$3=M$3,SUMIF('TL06'!$C$10:$C$224,$C162,'TL06'!$J$10:$J$224),0),
IF('TL06'!$B$229=M$3,SUMIF('TL06'!$C$238:$C$451,$C162,'TL06'!$J$238:$J$451),0),
IF('TL07'!$B$3=M$3,SUMIF('TL07'!$C$10:$C$224,$C162,'TL07'!$J$10:$J$224),0),
IF('TL07'!$B$229=M$3,SUMIF('TL07'!$C$238:$C$451,$C162,'TL07'!$J$238:$J$451),0),
IF('TL08'!$B$3=M$3,SUMIF('TL08'!$C$10:$C$224,$C162,'TL08'!$J$10:$J$224),0),
IF('TL08'!$B$229=M$3,SUMIF('TL08'!$C$238:$C$451,$C162,'TL08'!$J$238:$J$451),0),
IF('TL09'!$B$3=M$3,SUMIF('TL09'!$C$10:$C$224,$C162,'TL09'!$J$10:$J$224),0),
IF('TL09'!$B$229=M$3,SUMIF('TL09'!$C$238:$C$451,$C162,'TL09'!$J$238:$J$451),0),
IF('TL10'!$B$3=M$3,SUMIF('TL10'!$C$10:$C$224,$C162,'TL10'!$J$10:$J$224),0),
IF('TL10'!$B$229=M$3,SUMIF('TL10'!$C$238:$C$451,$C162,'TL10'!$J$238:$J$451),0),
IF('TL11'!$B$3=M$3,SUMIF('TL11'!$C$10:$C$224,$C162,'TL11'!$J$10:$J$224),0),
IF('TL11'!$B$229=M$3,SUMIF('TL11'!$C$238:$C$451,$C162,'TL11'!$J$238:$J$451),0),
IF('TL12'!$B$3=M$3,SUMIF('TL12'!$C$10:$C$224,$C162,'TL12'!$J$10:$J$224),0),
IF('TL12'!$B$229=M$3,SUMIF('TL12'!$C$238:$C$451,$C162,'TL12'!$J$238:$J$451),0),
IF('TL13'!$B$3=M$3,SUMIF('TL13'!$C$10:$C$224,$C162,'TL13'!$J$10:$J$224),0),
IF('TL13'!$B$229=M$3,SUMIF('TL13'!$C$238:$C$451,$C162,'TL13'!$J$238:$J$451),0),
IF('TL14'!$B$3=M$3,SUMIF('TL14'!$C$10:$C$224,$C162,'TL14'!$J$10:$J$224),0),
IF('TL14'!$B$229=M$3,SUMIF('TL14'!$C$238:$C$451,$C162,'TL14'!$J$238:$J$451),0),
IF('TL15'!$B$3=M$3,SUMIF('TL15'!$C$10:$C$224,$C162,'TL15'!$J$10:$J$224),0),
IF('TL15'!$B$229=M$3,SUMIF('TL15'!$C$238:$C$451,$C162,'TL15'!$J$238:$J$451),0),
IF('TL16'!$B$3=M$3,SUMIF('TL16'!$C$10:$C$224,$C162,'TL16'!$J$10:$J$224),0),
IF('TL16'!$B$229=M$3,SUMIF('TL16'!$C$238:$C$451,$C162,'TL16'!$J$238:$J$451),0),
IF('TL17'!$B$3=M$3,SUMIF('TL17'!$C$10:$C$224,$C162,'TL17'!$J$10:$J$224),0),
IF('TL17'!$B$229=M$3,SUMIF('TL17'!$C$238:$C$451,$C162,'TL17'!$J$238:$J$451),0),
IF('TL18'!$B$3=M$3,SUMIF('TL18'!$C$10:$C$224,$C162,'TL18'!$J$10:$J$224),0),
IF('TL18'!$B$229=M$3,SUMIF('TL18'!$C$238:$C$451,$C162,'TL18'!$J$238:$J$451),0),
IF('TL19'!$B$3=M$3,SUMIF('TL19'!$C$10:$C$224,$C162,'TL19'!$J$10:$J$224),0),
IF('TL19'!$B$229=M$3,SUMIF('TL19'!$C$238:$C$451,$C162,'TL19'!$J$238:$J$451),0)
),0)</f>
        <v>0</v>
      </c>
      <c r="N162" s="9">
        <f>IFERROR(SUM(
IF('TL01'!$B$3=N$3,SUMIF('TL01'!$C$10:$C$224,$C162,'TL01'!$J$10:$J$224),0),
IF('TL01'!$B$229=N$3,SUMIF('TL01'!$C$238:$C$451,$C162,'TL01'!$J$238:$J$451),0),
IF('TL02'!$B$3=N$3,SUMIF('TL02'!$C$10:$C$224,$C162,'TL02'!$J$10:$J$224),0),
IF('TL02'!$B$229=N$3,SUMIF('TL02'!$C$238:$C$451,$C162,'TL02'!$J$238:$J$451),0),
IF('TL03'!$B$3=N$3,SUMIF('TL03'!$C$10:$C$224,$C162,'TL03'!$J$10:$J$224),0),
IF('TL03'!$B$229=N$3,SUMIF('TL03'!$C$238:$C$451,$C162,'TL03'!$J$238:$J$451),0),
IF('TL04'!$B$3=N$3,SUMIF('TL04'!$C$10:$C$224,$C162,'TL04'!$J$10:$J$224),0),
IF('TL04'!$B$229=N$3,SUMIF('TL04'!$C$238:$C$451,$C162,'TL04'!$J$238:$J$451),0),
IF('TL05'!$B$3=N$3,SUMIF('TL05'!$C$10:$C$224,$C162,'TL05'!$J$10:$J$224),0),
IF('TL05'!$B$229=N$3,SUMIF('TL05'!$C$238:$C$451,$C162,'TL05'!$J$238:$J$451),0),
IF('TL06'!$B$3=N$3,SUMIF('TL06'!$C$10:$C$224,$C162,'TL06'!$J$10:$J$224),0),
IF('TL06'!$B$229=N$3,SUMIF('TL06'!$C$238:$C$451,$C162,'TL06'!$J$238:$J$451),0),
IF('TL07'!$B$3=N$3,SUMIF('TL07'!$C$10:$C$224,$C162,'TL07'!$J$10:$J$224),0),
IF('TL07'!$B$229=N$3,SUMIF('TL07'!$C$238:$C$451,$C162,'TL07'!$J$238:$J$451),0),
IF('TL08'!$B$3=N$3,SUMIF('TL08'!$C$10:$C$224,$C162,'TL08'!$J$10:$J$224),0),
IF('TL08'!$B$229=N$3,SUMIF('TL08'!$C$238:$C$451,$C162,'TL08'!$J$238:$J$451),0),
IF('TL09'!$B$3=N$3,SUMIF('TL09'!$C$10:$C$224,$C162,'TL09'!$J$10:$J$224),0),
IF('TL09'!$B$229=N$3,SUMIF('TL09'!$C$238:$C$451,$C162,'TL09'!$J$238:$J$451),0),
IF('TL10'!$B$3=N$3,SUMIF('TL10'!$C$10:$C$224,$C162,'TL10'!$J$10:$J$224),0),
IF('TL10'!$B$229=N$3,SUMIF('TL10'!$C$238:$C$451,$C162,'TL10'!$J$238:$J$451),0),
IF('TL11'!$B$3=N$3,SUMIF('TL11'!$C$10:$C$224,$C162,'TL11'!$J$10:$J$224),0),
IF('TL11'!$B$229=N$3,SUMIF('TL11'!$C$238:$C$451,$C162,'TL11'!$J$238:$J$451),0),
IF('TL12'!$B$3=N$3,SUMIF('TL12'!$C$10:$C$224,$C162,'TL12'!$J$10:$J$224),0),
IF('TL12'!$B$229=N$3,SUMIF('TL12'!$C$238:$C$451,$C162,'TL12'!$J$238:$J$451),0),
IF('TL13'!$B$3=N$3,SUMIF('TL13'!$C$10:$C$224,$C162,'TL13'!$J$10:$J$224),0),
IF('TL13'!$B$229=N$3,SUMIF('TL13'!$C$238:$C$451,$C162,'TL13'!$J$238:$J$451),0),
IF('TL14'!$B$3=N$3,SUMIF('TL14'!$C$10:$C$224,$C162,'TL14'!$J$10:$J$224),0),
IF('TL14'!$B$229=N$3,SUMIF('TL14'!$C$238:$C$451,$C162,'TL14'!$J$238:$J$451),0),
IF('TL15'!$B$3=N$3,SUMIF('TL15'!$C$10:$C$224,$C162,'TL15'!$J$10:$J$224),0),
IF('TL15'!$B$229=N$3,SUMIF('TL15'!$C$238:$C$451,$C162,'TL15'!$J$238:$J$451),0),
IF('TL16'!$B$3=N$3,SUMIF('TL16'!$C$10:$C$224,$C162,'TL16'!$J$10:$J$224),0),
IF('TL16'!$B$229=N$3,SUMIF('TL16'!$C$238:$C$451,$C162,'TL16'!$J$238:$J$451),0),
IF('TL17'!$B$3=N$3,SUMIF('TL17'!$C$10:$C$224,$C162,'TL17'!$J$10:$J$224),0),
IF('TL17'!$B$229=N$3,SUMIF('TL17'!$C$238:$C$451,$C162,'TL17'!$J$238:$J$451),0),
IF('TL18'!$B$3=N$3,SUMIF('TL18'!$C$10:$C$224,$C162,'TL18'!$J$10:$J$224),0),
IF('TL18'!$B$229=N$3,SUMIF('TL18'!$C$238:$C$451,$C162,'TL18'!$J$238:$J$451),0),
IF('TL19'!$B$3=N$3,SUMIF('TL19'!$C$10:$C$224,$C162,'TL19'!$J$10:$J$224),0),
IF('TL19'!$B$229=N$3,SUMIF('TL19'!$C$238:$C$451,$C162,'TL19'!$J$238:$J$451),0)
),0)</f>
        <v>0</v>
      </c>
      <c r="O162" s="9">
        <f>IFERROR(SUM(
IF('TL01'!$B$3=O$3,SUMIF('TL01'!$C$10:$C$224,$C162,'TL01'!$J$10:$J$224),0),
IF('TL01'!$B$229=O$3,SUMIF('TL01'!$C$238:$C$451,$C162,'TL01'!$J$238:$J$451),0),
IF('TL02'!$B$3=O$3,SUMIF('TL02'!$C$10:$C$224,$C162,'TL02'!$J$10:$J$224),0),
IF('TL02'!$B$229=O$3,SUMIF('TL02'!$C$238:$C$451,$C162,'TL02'!$J$238:$J$451),0),
IF('TL03'!$B$3=O$3,SUMIF('TL03'!$C$10:$C$224,$C162,'TL03'!$J$10:$J$224),0),
IF('TL03'!$B$229=O$3,SUMIF('TL03'!$C$238:$C$451,$C162,'TL03'!$J$238:$J$451),0),
IF('TL04'!$B$3=O$3,SUMIF('TL04'!$C$10:$C$224,$C162,'TL04'!$J$10:$J$224),0),
IF('TL04'!$B$229=O$3,SUMIF('TL04'!$C$238:$C$451,$C162,'TL04'!$J$238:$J$451),0),
IF('TL05'!$B$3=O$3,SUMIF('TL05'!$C$10:$C$224,$C162,'TL05'!$J$10:$J$224),0),
IF('TL05'!$B$229=O$3,SUMIF('TL05'!$C$238:$C$451,$C162,'TL05'!$J$238:$J$451),0),
IF('TL06'!$B$3=O$3,SUMIF('TL06'!$C$10:$C$224,$C162,'TL06'!$J$10:$J$224),0),
IF('TL06'!$B$229=O$3,SUMIF('TL06'!$C$238:$C$451,$C162,'TL06'!$J$238:$J$451),0),
IF('TL07'!$B$3=O$3,SUMIF('TL07'!$C$10:$C$224,$C162,'TL07'!$J$10:$J$224),0),
IF('TL07'!$B$229=O$3,SUMIF('TL07'!$C$238:$C$451,$C162,'TL07'!$J$238:$J$451),0),
IF('TL08'!$B$3=O$3,SUMIF('TL08'!$C$10:$C$224,$C162,'TL08'!$J$10:$J$224),0),
IF('TL08'!$B$229=O$3,SUMIF('TL08'!$C$238:$C$451,$C162,'TL08'!$J$238:$J$451),0),
IF('TL09'!$B$3=O$3,SUMIF('TL09'!$C$10:$C$224,$C162,'TL09'!$J$10:$J$224),0),
IF('TL09'!$B$229=O$3,SUMIF('TL09'!$C$238:$C$451,$C162,'TL09'!$J$238:$J$451),0),
IF('TL10'!$B$3=O$3,SUMIF('TL10'!$C$10:$C$224,$C162,'TL10'!$J$10:$J$224),0),
IF('TL10'!$B$229=O$3,SUMIF('TL10'!$C$238:$C$451,$C162,'TL10'!$J$238:$J$451),0),
IF('TL11'!$B$3=O$3,SUMIF('TL11'!$C$10:$C$224,$C162,'TL11'!$J$10:$J$224),0),
IF('TL11'!$B$229=O$3,SUMIF('TL11'!$C$238:$C$451,$C162,'TL11'!$J$238:$J$451),0),
IF('TL12'!$B$3=O$3,SUMIF('TL12'!$C$10:$C$224,$C162,'TL12'!$J$10:$J$224),0),
IF('TL12'!$B$229=O$3,SUMIF('TL12'!$C$238:$C$451,$C162,'TL12'!$J$238:$J$451),0),
IF('TL13'!$B$3=O$3,SUMIF('TL13'!$C$10:$C$224,$C162,'TL13'!$J$10:$J$224),0),
IF('TL13'!$B$229=O$3,SUMIF('TL13'!$C$238:$C$451,$C162,'TL13'!$J$238:$J$451),0),
IF('TL14'!$B$3=O$3,SUMIF('TL14'!$C$10:$C$224,$C162,'TL14'!$J$10:$J$224),0),
IF('TL14'!$B$229=O$3,SUMIF('TL14'!$C$238:$C$451,$C162,'TL14'!$J$238:$J$451),0),
IF('TL15'!$B$3=O$3,SUMIF('TL15'!$C$10:$C$224,$C162,'TL15'!$J$10:$J$224),0),
IF('TL15'!$B$229=O$3,SUMIF('TL15'!$C$238:$C$451,$C162,'TL15'!$J$238:$J$451),0),
IF('TL16'!$B$3=O$3,SUMIF('TL16'!$C$10:$C$224,$C162,'TL16'!$J$10:$J$224),0),
IF('TL16'!$B$229=O$3,SUMIF('TL16'!$C$238:$C$451,$C162,'TL16'!$J$238:$J$451),0),
IF('TL17'!$B$3=O$3,SUMIF('TL17'!$C$10:$C$224,$C162,'TL17'!$J$10:$J$224),0),
IF('TL17'!$B$229=O$3,SUMIF('TL17'!$C$238:$C$451,$C162,'TL17'!$J$238:$J$451),0),
IF('TL18'!$B$3=O$3,SUMIF('TL18'!$C$10:$C$224,$C162,'TL18'!$J$10:$J$224),0),
IF('TL18'!$B$229=O$3,SUMIF('TL18'!$C$238:$C$451,$C162,'TL18'!$J$238:$J$451),0),
IF('TL19'!$B$3=O$3,SUMIF('TL19'!$C$10:$C$224,$C162,'TL19'!$J$10:$J$224),0),
IF('TL19'!$B$229=O$3,SUMIF('TL19'!$C$238:$C$451,$C162,'TL19'!$J$238:$J$451),0)
),0)</f>
        <v>0</v>
      </c>
      <c r="P162" s="9">
        <f>IFERROR(SUM(
IF('TL01'!$B$3=P$3,SUMIF('TL01'!$C$10:$C$224,$C162,'TL01'!$J$10:$J$224),0),
IF('TL01'!$B$229=P$3,SUMIF('TL01'!$C$238:$C$451,$C162,'TL01'!$J$238:$J$451),0),
IF('TL02'!$B$3=P$3,SUMIF('TL02'!$C$10:$C$224,$C162,'TL02'!$J$10:$J$224),0),
IF('TL02'!$B$229=P$3,SUMIF('TL02'!$C$238:$C$451,$C162,'TL02'!$J$238:$J$451),0),
IF('TL03'!$B$3=P$3,SUMIF('TL03'!$C$10:$C$224,$C162,'TL03'!$J$10:$J$224),0),
IF('TL03'!$B$229=P$3,SUMIF('TL03'!$C$238:$C$451,$C162,'TL03'!$J$238:$J$451),0),
IF('TL04'!$B$3=P$3,SUMIF('TL04'!$C$10:$C$224,$C162,'TL04'!$J$10:$J$224),0),
IF('TL04'!$B$229=P$3,SUMIF('TL04'!$C$238:$C$451,$C162,'TL04'!$J$238:$J$451),0),
IF('TL05'!$B$3=P$3,SUMIF('TL05'!$C$10:$C$224,$C162,'TL05'!$J$10:$J$224),0),
IF('TL05'!$B$229=P$3,SUMIF('TL05'!$C$238:$C$451,$C162,'TL05'!$J$238:$J$451),0),
IF('TL06'!$B$3=P$3,SUMIF('TL06'!$C$10:$C$224,$C162,'TL06'!$J$10:$J$224),0),
IF('TL06'!$B$229=P$3,SUMIF('TL06'!$C$238:$C$451,$C162,'TL06'!$J$238:$J$451),0),
IF('TL07'!$B$3=P$3,SUMIF('TL07'!$C$10:$C$224,$C162,'TL07'!$J$10:$J$224),0),
IF('TL07'!$B$229=P$3,SUMIF('TL07'!$C$238:$C$451,$C162,'TL07'!$J$238:$J$451),0),
IF('TL08'!$B$3=P$3,SUMIF('TL08'!$C$10:$C$224,$C162,'TL08'!$J$10:$J$224),0),
IF('TL08'!$B$229=P$3,SUMIF('TL08'!$C$238:$C$451,$C162,'TL08'!$J$238:$J$451),0),
IF('TL09'!$B$3=P$3,SUMIF('TL09'!$C$10:$C$224,$C162,'TL09'!$J$10:$J$224),0),
IF('TL09'!$B$229=P$3,SUMIF('TL09'!$C$238:$C$451,$C162,'TL09'!$J$238:$J$451),0),
IF('TL10'!$B$3=P$3,SUMIF('TL10'!$C$10:$C$224,$C162,'TL10'!$J$10:$J$224),0),
IF('TL10'!$B$229=P$3,SUMIF('TL10'!$C$238:$C$451,$C162,'TL10'!$J$238:$J$451),0),
IF('TL11'!$B$3=P$3,SUMIF('TL11'!$C$10:$C$224,$C162,'TL11'!$J$10:$J$224),0),
IF('TL11'!$B$229=P$3,SUMIF('TL11'!$C$238:$C$451,$C162,'TL11'!$J$238:$J$451),0),
IF('TL12'!$B$3=P$3,SUMIF('TL12'!$C$10:$C$224,$C162,'TL12'!$J$10:$J$224),0),
IF('TL12'!$B$229=P$3,SUMIF('TL12'!$C$238:$C$451,$C162,'TL12'!$J$238:$J$451),0),
IF('TL13'!$B$3=P$3,SUMIF('TL13'!$C$10:$C$224,$C162,'TL13'!$J$10:$J$224),0),
IF('TL13'!$B$229=P$3,SUMIF('TL13'!$C$238:$C$451,$C162,'TL13'!$J$238:$J$451),0),
IF('TL14'!$B$3=P$3,SUMIF('TL14'!$C$10:$C$224,$C162,'TL14'!$J$10:$J$224),0),
IF('TL14'!$B$229=P$3,SUMIF('TL14'!$C$238:$C$451,$C162,'TL14'!$J$238:$J$451),0),
IF('TL15'!$B$3=P$3,SUMIF('TL15'!$C$10:$C$224,$C162,'TL15'!$J$10:$J$224),0),
IF('TL15'!$B$229=P$3,SUMIF('TL15'!$C$238:$C$451,$C162,'TL15'!$J$238:$J$451),0),
IF('TL16'!$B$3=P$3,SUMIF('TL16'!$C$10:$C$224,$C162,'TL16'!$J$10:$J$224),0),
IF('TL16'!$B$229=P$3,SUMIF('TL16'!$C$238:$C$451,$C162,'TL16'!$J$238:$J$451),0),
IF('TL17'!$B$3=P$3,SUMIF('TL17'!$C$10:$C$224,$C162,'TL17'!$J$10:$J$224),0),
IF('TL17'!$B$229=P$3,SUMIF('TL17'!$C$238:$C$451,$C162,'TL17'!$J$238:$J$451),0),
IF('TL18'!$B$3=P$3,SUMIF('TL18'!$C$10:$C$224,$C162,'TL18'!$J$10:$J$224),0),
IF('TL18'!$B$229=P$3,SUMIF('TL18'!$C$238:$C$451,$C162,'TL18'!$J$238:$J$451),0),
IF('TL19'!$B$3=P$3,SUMIF('TL19'!$C$10:$C$224,$C162,'TL19'!$J$10:$J$224),0),
IF('TL19'!$B$229=P$3,SUMIF('TL19'!$C$238:$C$451,$C162,'TL19'!$J$238:$J$451),0)
),0)</f>
        <v>0</v>
      </c>
      <c r="Q162" s="9">
        <f>IFERROR(SUM(
IF('TL01'!$B$3=Q$3,SUMIF('TL01'!$C$10:$C$224,$C162,'TL01'!$J$10:$J$224),0),
IF('TL01'!$B$229=Q$3,SUMIF('TL01'!$C$238:$C$451,$C162,'TL01'!$J$238:$J$451),0),
IF('TL02'!$B$3=Q$3,SUMIF('TL02'!$C$10:$C$224,$C162,'TL02'!$J$10:$J$224),0),
IF('TL02'!$B$229=Q$3,SUMIF('TL02'!$C$238:$C$451,$C162,'TL02'!$J$238:$J$451),0),
IF('TL03'!$B$3=Q$3,SUMIF('TL03'!$C$10:$C$224,$C162,'TL03'!$J$10:$J$224),0),
IF('TL03'!$B$229=Q$3,SUMIF('TL03'!$C$238:$C$451,$C162,'TL03'!$J$238:$J$451),0),
IF('TL04'!$B$3=Q$3,SUMIF('TL04'!$C$10:$C$224,$C162,'TL04'!$J$10:$J$224),0),
IF('TL04'!$B$229=Q$3,SUMIF('TL04'!$C$238:$C$451,$C162,'TL04'!$J$238:$J$451),0),
IF('TL05'!$B$3=Q$3,SUMIF('TL05'!$C$10:$C$224,$C162,'TL05'!$J$10:$J$224),0),
IF('TL05'!$B$229=Q$3,SUMIF('TL05'!$C$238:$C$451,$C162,'TL05'!$J$238:$J$451),0),
IF('TL06'!$B$3=Q$3,SUMIF('TL06'!$C$10:$C$224,$C162,'TL06'!$J$10:$J$224),0),
IF('TL06'!$B$229=Q$3,SUMIF('TL06'!$C$238:$C$451,$C162,'TL06'!$J$238:$J$451),0),
IF('TL07'!$B$3=Q$3,SUMIF('TL07'!$C$10:$C$224,$C162,'TL07'!$J$10:$J$224),0),
IF('TL07'!$B$229=Q$3,SUMIF('TL07'!$C$238:$C$451,$C162,'TL07'!$J$238:$J$451),0),
IF('TL08'!$B$3=Q$3,SUMIF('TL08'!$C$10:$C$224,$C162,'TL08'!$J$10:$J$224),0),
IF('TL08'!$B$229=Q$3,SUMIF('TL08'!$C$238:$C$451,$C162,'TL08'!$J$238:$J$451),0),
IF('TL09'!$B$3=Q$3,SUMIF('TL09'!$C$10:$C$224,$C162,'TL09'!$J$10:$J$224),0),
IF('TL09'!$B$229=Q$3,SUMIF('TL09'!$C$238:$C$451,$C162,'TL09'!$J$238:$J$451),0),
IF('TL10'!$B$3=Q$3,SUMIF('TL10'!$C$10:$C$224,$C162,'TL10'!$J$10:$J$224),0),
IF('TL10'!$B$229=Q$3,SUMIF('TL10'!$C$238:$C$451,$C162,'TL10'!$J$238:$J$451),0),
IF('TL11'!$B$3=Q$3,SUMIF('TL11'!$C$10:$C$224,$C162,'TL11'!$J$10:$J$224),0),
IF('TL11'!$B$229=Q$3,SUMIF('TL11'!$C$238:$C$451,$C162,'TL11'!$J$238:$J$451),0),
IF('TL12'!$B$3=Q$3,SUMIF('TL12'!$C$10:$C$224,$C162,'TL12'!$J$10:$J$224),0),
IF('TL12'!$B$229=Q$3,SUMIF('TL12'!$C$238:$C$451,$C162,'TL12'!$J$238:$J$451),0),
IF('TL13'!$B$3=Q$3,SUMIF('TL13'!$C$10:$C$224,$C162,'TL13'!$J$10:$J$224),0),
IF('TL13'!$B$229=Q$3,SUMIF('TL13'!$C$238:$C$451,$C162,'TL13'!$J$238:$J$451),0),
IF('TL14'!$B$3=Q$3,SUMIF('TL14'!$C$10:$C$224,$C162,'TL14'!$J$10:$J$224),0),
IF('TL14'!$B$229=Q$3,SUMIF('TL14'!$C$238:$C$451,$C162,'TL14'!$J$238:$J$451),0),
IF('TL15'!$B$3=Q$3,SUMIF('TL15'!$C$10:$C$224,$C162,'TL15'!$J$10:$J$224),0),
IF('TL15'!$B$229=Q$3,SUMIF('TL15'!$C$238:$C$451,$C162,'TL15'!$J$238:$J$451),0),
IF('TL16'!$B$3=Q$3,SUMIF('TL16'!$C$10:$C$224,$C162,'TL16'!$J$10:$J$224),0),
IF('TL16'!$B$229=Q$3,SUMIF('TL16'!$C$238:$C$451,$C162,'TL16'!$J$238:$J$451),0),
IF('TL17'!$B$3=Q$3,SUMIF('TL17'!$C$10:$C$224,$C162,'TL17'!$J$10:$J$224),0),
IF('TL17'!$B$229=Q$3,SUMIF('TL17'!$C$238:$C$451,$C162,'TL17'!$J$238:$J$451),0),
IF('TL18'!$B$3=Q$3,SUMIF('TL18'!$C$10:$C$224,$C162,'TL18'!$J$10:$J$224),0),
IF('TL18'!$B$229=Q$3,SUMIF('TL18'!$C$238:$C$451,$C162,'TL18'!$J$238:$J$451),0),
IF('TL19'!$B$3=Q$3,SUMIF('TL19'!$C$10:$C$224,$C162,'TL19'!$J$10:$J$224),0),
IF('TL19'!$B$229=Q$3,SUMIF('TL19'!$C$238:$C$451,$C162,'TL19'!$J$238:$J$451),0)
),0)</f>
        <v>0</v>
      </c>
      <c r="R162" s="9">
        <f>IFERROR(
SUM(
SUMIF('TL01'!C:C,C162,'TL01'!J:J),
SUMIF('TL02'!C:C,C162,'TL02'!J:J),
SUMIF('TL03'!C:C,C162,'TL03'!J:J),
SUMIF('TL04'!C:C,C162,'TL04'!J:J),
SUMIF('TL05'!C:C,C162,'TL05'!J:J),
SUMIF('TL06'!C:C,C162,'TL06'!J:J),
SUMIF('TL07'!C:C,C162,'TL07'!J:J),
SUMIF('TL08'!C:C,C162,'TL08'!J:J),
SUMIF('TL09'!C:C,C162,'TL09'!J:J),
SUMIF('TL10'!C:C,C162,'TL10'!J:J),
SUMIF('TL11'!C:C,C162,'TL11'!J:J),
SUMIF('TL12'!C:C,C162,'TL12'!J:J),
SUMIF('TL13'!C:C,C162,'TL13'!J:J),
SUMIF('TL14'!C:C,C162,'TL14'!J:J),
SUMIF('TL15'!C:C,C162,'TL15'!J:J),
SUMIF('TL16'!C:C,C162,'TL16'!J:J),
SUMIF('TL17'!C:C,C162,'TL17'!J:J),
SUMIF('TL18'!C:C,C162,'TL18'!J:J),SUMIF('TL19'!C:C,C162,'TL19'!J:J))
,0)</f>
        <v>0</v>
      </c>
      <c r="S162" s="17">
        <f>IFERROR(__xludf.DUMMYFUNCTION("IFERROR(VLOOKUP(C162,
IMPORTRANGE(""1wULbzX32WdYsx-lj2U3uUNBBe2INVIRDtcK0d-Dvl90"",
""26-27!C:G""),
5,
FALSE),
"""")"),30.970799999999997)</f>
        <v>30.9708</v>
      </c>
      <c r="T162" s="9"/>
      <c r="U162" s="92">
        <f t="shared" si="2"/>
        <v>0</v>
      </c>
      <c r="V162" s="93">
        <f t="shared" si="3"/>
        <v>0</v>
      </c>
    </row>
    <row r="163" ht="15.75" hidden="1" customHeight="1">
      <c r="A163" s="111" t="s">
        <v>358</v>
      </c>
      <c r="B163" s="112" t="s">
        <v>1</v>
      </c>
      <c r="C163" s="113" t="s">
        <v>733</v>
      </c>
      <c r="D163" s="113" t="s">
        <v>645</v>
      </c>
      <c r="E163" s="113">
        <v>250.0</v>
      </c>
      <c r="F163" s="4" t="s">
        <v>343</v>
      </c>
      <c r="G163" s="90" t="str">
        <f t="shared" si="4"/>
        <v>📄 Ver bula</v>
      </c>
      <c r="H163" s="9" t="str">
        <f>IFERROR(__xludf.DUMMYFUNCTION("IFERROR(VLOOKUP(C163,
IMPORTRANGE(""1wULbzX32WdYsx-lj2U3uUNBBe2INVIRDtcK0d-Dvl90"",
""26-27!C:K""),
8,
FALSE),
"""")"),"")</f>
        <v/>
      </c>
      <c r="I163" s="114" t="s">
        <v>361</v>
      </c>
      <c r="J163" s="9">
        <f>IFERROR(SUM(
IF('TL01'!$B$3=J$3,SUMIF('TL01'!$C$10:$C$224,$C163,'TL01'!$J$10:$J$224),0),
IF('TL01'!$B$229=J$3,SUMIF('TL01'!$C$238:$C$451,$C163,'TL01'!$J$238:$J$451),0),
IF('TL02'!$B$3=J$3,SUMIF('TL02'!$C$10:$C$224,$C163,'TL02'!$J$10:$J$224),0),
IF('TL02'!$B$229=J$3,SUMIF('TL02'!$C$238:$C$451,$C163,'TL02'!$J$238:$J$451),0),
IF('TL03'!$B$3=J$3,SUMIF('TL03'!$C$10:$C$224,$C163,'TL03'!$J$10:$J$224),0),
IF('TL03'!$B$229=J$3,SUMIF('TL03'!$C$238:$C$451,$C163,'TL03'!$J$238:$J$451),0),
IF('TL04'!$B$3=J$3,SUMIF('TL04'!$C$10:$C$224,$C163,'TL04'!$J$10:$J$224),0),
IF('TL04'!$B$229=J$3,SUMIF('TL04'!$C$238:$C$451,$C163,'TL04'!$J$238:$J$451),0),
IF('TL05'!$B$3=J$3,SUMIF('TL05'!$C$10:$C$224,$C163,'TL05'!$J$10:$J$224),0),
IF('TL05'!$B$229=J$3,SUMIF('TL05'!$C$238:$C$451,$C163,'TL05'!$J$238:$J$451),0),
IF('TL06'!$B$3=J$3,SUMIF('TL06'!$C$10:$C$224,$C163,'TL06'!$J$10:$J$224),0),
IF('TL06'!$B$229=J$3,SUMIF('TL06'!$C$238:$C$451,$C163,'TL06'!$J$238:$J$451),0),
IF('TL07'!$B$3=J$3,SUMIF('TL07'!$C$10:$C$224,$C163,'TL07'!$J$10:$J$224),0),
IF('TL07'!$B$229=J$3,SUMIF('TL07'!$C$238:$C$451,$C163,'TL07'!$J$238:$J$451),0),
IF('TL08'!$B$3=J$3,SUMIF('TL08'!$C$10:$C$224,$C163,'TL08'!$J$10:$J$224),0),
IF('TL08'!$B$229=J$3,SUMIF('TL08'!$C$238:$C$451,$C163,'TL08'!$J$238:$J$451),0),
IF('TL09'!$B$3=J$3,SUMIF('TL09'!$C$10:$C$224,$C163,'TL09'!$J$10:$J$224),0),
IF('TL09'!$B$229=J$3,SUMIF('TL09'!$C$238:$C$451,$C163,'TL09'!$J$238:$J$451),0),
IF('TL10'!$B$3=J$3,SUMIF('TL10'!$C$10:$C$224,$C163,'TL10'!$J$10:$J$224),0),
IF('TL10'!$B$229=J$3,SUMIF('TL10'!$C$238:$C$451,$C163,'TL10'!$J$238:$J$451),0),
IF('TL11'!$B$3=J$3,SUMIF('TL11'!$C$10:$C$224,$C163,'TL11'!$J$10:$J$224),0),
IF('TL11'!$B$229=J$3,SUMIF('TL11'!$C$238:$C$451,$C163,'TL11'!$J$238:$J$451),0),
IF('TL12'!$B$3=J$3,SUMIF('TL12'!$C$10:$C$224,$C163,'TL12'!$J$10:$J$224),0),
IF('TL12'!$B$229=J$3,SUMIF('TL12'!$C$238:$C$451,$C163,'TL12'!$J$238:$J$451),0),
IF('TL13'!$B$3=J$3,SUMIF('TL13'!$C$10:$C$224,$C163,'TL13'!$J$10:$J$224),0),
IF('TL13'!$B$229=J$3,SUMIF('TL13'!$C$238:$C$451,$C163,'TL13'!$J$238:$J$451),0),
IF('TL14'!$B$3=J$3,SUMIF('TL14'!$C$10:$C$224,$C163,'TL14'!$J$10:$J$224),0),
IF('TL14'!$B$229=J$3,SUMIF('TL14'!$C$238:$C$451,$C163,'TL14'!$J$238:$J$451),0),
IF('TL15'!$B$3=J$3,SUMIF('TL15'!$C$10:$C$224,$C163,'TL15'!$J$10:$J$224),0),
IF('TL15'!$B$229=J$3,SUMIF('TL15'!$C$238:$C$451,$C163,'TL15'!$J$238:$J$451),0),
IF('TL16'!$B$3=J$3,SUMIF('TL16'!$C$10:$C$224,$C163,'TL16'!$J$10:$J$224),0),
IF('TL16'!$B$229=J$3,SUMIF('TL16'!$C$238:$C$451,$C163,'TL16'!$J$238:$J$451),0),
IF('TL17'!$B$3=J$3,SUMIF('TL17'!$C$10:$C$224,$C163,'TL17'!$J$10:$J$224),0),
IF('TL17'!$B$229=J$3,SUMIF('TL17'!$C$238:$C$451,$C163,'TL17'!$J$238:$J$451),0),
IF('TL18'!$B$3=J$3,SUMIF('TL18'!$C$10:$C$224,$C163,'TL18'!$J$10:$J$224),0),
IF('TL18'!$B$229=J$3,SUMIF('TL18'!$C$238:$C$451,$C163,'TL18'!$J$238:$J$451),0),
IF('TL19'!$B$3=J$3,SUMIF('TL19'!$C$10:$C$224,$C163,'TL19'!$J$10:$J$224),0),
IF('TL19'!$B$229=J$3,SUMIF('TL19'!$C$238:$C$451,$C163,'TL19'!$J$238:$J$451),0)
),0)</f>
        <v>0</v>
      </c>
      <c r="K163" s="9">
        <f>IFERROR(SUM(
IF('TL01'!$B$3=K$3,SUMIF('TL01'!$C$10:$C$224,$C163,'TL01'!$J$10:$J$224),0),
IF('TL01'!$B$229=K$3,SUMIF('TL01'!$C$238:$C$451,$C163,'TL01'!$J$238:$J$451),0),
IF('TL02'!$B$3=K$3,SUMIF('TL02'!$C$10:$C$224,$C163,'TL02'!$J$10:$J$224),0),
IF('TL02'!$B$229=K$3,SUMIF('TL02'!$C$238:$C$451,$C163,'TL02'!$J$238:$J$451),0),
IF('TL03'!$B$3=K$3,SUMIF('TL03'!$C$10:$C$224,$C163,'TL03'!$J$10:$J$224),0),
IF('TL03'!$B$229=K$3,SUMIF('TL03'!$C$238:$C$451,$C163,'TL03'!$J$238:$J$451),0),
IF('TL04'!$B$3=K$3,SUMIF('TL04'!$C$10:$C$224,$C163,'TL04'!$J$10:$J$224),0),
IF('TL04'!$B$229=K$3,SUMIF('TL04'!$C$238:$C$451,$C163,'TL04'!$J$238:$J$451),0),
IF('TL05'!$B$3=K$3,SUMIF('TL05'!$C$10:$C$224,$C163,'TL05'!$J$10:$J$224),0),
IF('TL05'!$B$229=K$3,SUMIF('TL05'!$C$238:$C$451,$C163,'TL05'!$J$238:$J$451),0),
IF('TL06'!$B$3=K$3,SUMIF('TL06'!$C$10:$C$224,$C163,'TL06'!$J$10:$J$224),0),
IF('TL06'!$B$229=K$3,SUMIF('TL06'!$C$238:$C$451,$C163,'TL06'!$J$238:$J$451),0),
IF('TL07'!$B$3=K$3,SUMIF('TL07'!$C$10:$C$224,$C163,'TL07'!$J$10:$J$224),0),
IF('TL07'!$B$229=K$3,SUMIF('TL07'!$C$238:$C$451,$C163,'TL07'!$J$238:$J$451),0),
IF('TL08'!$B$3=K$3,SUMIF('TL08'!$C$10:$C$224,$C163,'TL08'!$J$10:$J$224),0),
IF('TL08'!$B$229=K$3,SUMIF('TL08'!$C$238:$C$451,$C163,'TL08'!$J$238:$J$451),0),
IF('TL09'!$B$3=K$3,SUMIF('TL09'!$C$10:$C$224,$C163,'TL09'!$J$10:$J$224),0),
IF('TL09'!$B$229=K$3,SUMIF('TL09'!$C$238:$C$451,$C163,'TL09'!$J$238:$J$451),0),
IF('TL10'!$B$3=K$3,SUMIF('TL10'!$C$10:$C$224,$C163,'TL10'!$J$10:$J$224),0),
IF('TL10'!$B$229=K$3,SUMIF('TL10'!$C$238:$C$451,$C163,'TL10'!$J$238:$J$451),0),
IF('TL11'!$B$3=K$3,SUMIF('TL11'!$C$10:$C$224,$C163,'TL11'!$J$10:$J$224),0),
IF('TL11'!$B$229=K$3,SUMIF('TL11'!$C$238:$C$451,$C163,'TL11'!$J$238:$J$451),0),
IF('TL12'!$B$3=K$3,SUMIF('TL12'!$C$10:$C$224,$C163,'TL12'!$J$10:$J$224),0),
IF('TL12'!$B$229=K$3,SUMIF('TL12'!$C$238:$C$451,$C163,'TL12'!$J$238:$J$451),0),
IF('TL13'!$B$3=K$3,SUMIF('TL13'!$C$10:$C$224,$C163,'TL13'!$J$10:$J$224),0),
IF('TL13'!$B$229=K$3,SUMIF('TL13'!$C$238:$C$451,$C163,'TL13'!$J$238:$J$451),0),
IF('TL14'!$B$3=K$3,SUMIF('TL14'!$C$10:$C$224,$C163,'TL14'!$J$10:$J$224),0),
IF('TL14'!$B$229=K$3,SUMIF('TL14'!$C$238:$C$451,$C163,'TL14'!$J$238:$J$451),0),
IF('TL15'!$B$3=K$3,SUMIF('TL15'!$C$10:$C$224,$C163,'TL15'!$J$10:$J$224),0),
IF('TL15'!$B$229=K$3,SUMIF('TL15'!$C$238:$C$451,$C163,'TL15'!$J$238:$J$451),0),
IF('TL16'!$B$3=K$3,SUMIF('TL16'!$C$10:$C$224,$C163,'TL16'!$J$10:$J$224),0),
IF('TL16'!$B$229=K$3,SUMIF('TL16'!$C$238:$C$451,$C163,'TL16'!$J$238:$J$451),0),
IF('TL17'!$B$3=K$3,SUMIF('TL17'!$C$10:$C$224,$C163,'TL17'!$J$10:$J$224),0),
IF('TL17'!$B$229=K$3,SUMIF('TL17'!$C$238:$C$451,$C163,'TL17'!$J$238:$J$451),0),
IF('TL18'!$B$3=K$3,SUMIF('TL18'!$C$10:$C$224,$C163,'TL18'!$J$10:$J$224),0),
IF('TL18'!$B$229=K$3,SUMIF('TL18'!$C$238:$C$451,$C163,'TL18'!$J$238:$J$451),0),
IF('TL19'!$B$3=K$3,SUMIF('TL19'!$C$10:$C$224,$C163,'TL19'!$J$10:$J$224),0),
IF('TL19'!$B$229=K$3,SUMIF('TL19'!$C$238:$C$451,$C163,'TL19'!$J$238:$J$451),0)
),0)</f>
        <v>0</v>
      </c>
      <c r="L163" s="9">
        <f>IFERROR(SUM(
IF('TL01'!$B$3=L$3,SUMIF('TL01'!$C$10:$C$224,$C163,'TL01'!$J$10:$J$224),0),
IF('TL01'!$B$229=L$3,SUMIF('TL01'!$C$238:$C$451,$C163,'TL01'!$J$238:$J$451),0),
IF('TL02'!$B$3=L$3,SUMIF('TL02'!$C$10:$C$224,$C163,'TL02'!$J$10:$J$224),0),
IF('TL02'!$B$229=L$3,SUMIF('TL02'!$C$238:$C$451,$C163,'TL02'!$J$238:$J$451),0),
IF('TL03'!$B$3=L$3,SUMIF('TL03'!$C$10:$C$224,$C163,'TL03'!$J$10:$J$224),0),
IF('TL03'!$B$229=L$3,SUMIF('TL03'!$C$238:$C$451,$C163,'TL03'!$J$238:$J$451),0),
IF('TL04'!$B$3=L$3,SUMIF('TL04'!$C$10:$C$224,$C163,'TL04'!$J$10:$J$224),0),
IF('TL04'!$B$229=L$3,SUMIF('TL04'!$C$238:$C$451,$C163,'TL04'!$J$238:$J$451),0),
IF('TL05'!$B$3=L$3,SUMIF('TL05'!$C$10:$C$224,$C163,'TL05'!$J$10:$J$224),0),
IF('TL05'!$B$229=L$3,SUMIF('TL05'!$C$238:$C$451,$C163,'TL05'!$J$238:$J$451),0),
IF('TL06'!$B$3=L$3,SUMIF('TL06'!$C$10:$C$224,$C163,'TL06'!$J$10:$J$224),0),
IF('TL06'!$B$229=L$3,SUMIF('TL06'!$C$238:$C$451,$C163,'TL06'!$J$238:$J$451),0),
IF('TL07'!$B$3=L$3,SUMIF('TL07'!$C$10:$C$224,$C163,'TL07'!$J$10:$J$224),0),
IF('TL07'!$B$229=L$3,SUMIF('TL07'!$C$238:$C$451,$C163,'TL07'!$J$238:$J$451),0),
IF('TL08'!$B$3=L$3,SUMIF('TL08'!$C$10:$C$224,$C163,'TL08'!$J$10:$J$224),0),
IF('TL08'!$B$229=L$3,SUMIF('TL08'!$C$238:$C$451,$C163,'TL08'!$J$238:$J$451),0),
IF('TL09'!$B$3=L$3,SUMIF('TL09'!$C$10:$C$224,$C163,'TL09'!$J$10:$J$224),0),
IF('TL09'!$B$229=L$3,SUMIF('TL09'!$C$238:$C$451,$C163,'TL09'!$J$238:$J$451),0),
IF('TL10'!$B$3=L$3,SUMIF('TL10'!$C$10:$C$224,$C163,'TL10'!$J$10:$J$224),0),
IF('TL10'!$B$229=L$3,SUMIF('TL10'!$C$238:$C$451,$C163,'TL10'!$J$238:$J$451),0),
IF('TL11'!$B$3=L$3,SUMIF('TL11'!$C$10:$C$224,$C163,'TL11'!$J$10:$J$224),0),
IF('TL11'!$B$229=L$3,SUMIF('TL11'!$C$238:$C$451,$C163,'TL11'!$J$238:$J$451),0),
IF('TL12'!$B$3=L$3,SUMIF('TL12'!$C$10:$C$224,$C163,'TL12'!$J$10:$J$224),0),
IF('TL12'!$B$229=L$3,SUMIF('TL12'!$C$238:$C$451,$C163,'TL12'!$J$238:$J$451),0),
IF('TL13'!$B$3=L$3,SUMIF('TL13'!$C$10:$C$224,$C163,'TL13'!$J$10:$J$224),0),
IF('TL13'!$B$229=L$3,SUMIF('TL13'!$C$238:$C$451,$C163,'TL13'!$J$238:$J$451),0),
IF('TL14'!$B$3=L$3,SUMIF('TL14'!$C$10:$C$224,$C163,'TL14'!$J$10:$J$224),0),
IF('TL14'!$B$229=L$3,SUMIF('TL14'!$C$238:$C$451,$C163,'TL14'!$J$238:$J$451),0),
IF('TL15'!$B$3=L$3,SUMIF('TL15'!$C$10:$C$224,$C163,'TL15'!$J$10:$J$224),0),
IF('TL15'!$B$229=L$3,SUMIF('TL15'!$C$238:$C$451,$C163,'TL15'!$J$238:$J$451),0),
IF('TL16'!$B$3=L$3,SUMIF('TL16'!$C$10:$C$224,$C163,'TL16'!$J$10:$J$224),0),
IF('TL16'!$B$229=L$3,SUMIF('TL16'!$C$238:$C$451,$C163,'TL16'!$J$238:$J$451),0),
IF('TL17'!$B$3=L$3,SUMIF('TL17'!$C$10:$C$224,$C163,'TL17'!$J$10:$J$224),0),
IF('TL17'!$B$229=L$3,SUMIF('TL17'!$C$238:$C$451,$C163,'TL17'!$J$238:$J$451),0),
IF('TL18'!$B$3=L$3,SUMIF('TL18'!$C$10:$C$224,$C163,'TL18'!$J$10:$J$224),0),
IF('TL18'!$B$229=L$3,SUMIF('TL18'!$C$238:$C$451,$C163,'TL18'!$J$238:$J$451),0),
IF('TL19'!$B$3=L$3,SUMIF('TL19'!$C$10:$C$224,$C163,'TL19'!$J$10:$J$224),0),
IF('TL19'!$B$229=L$3,SUMIF('TL19'!$C$238:$C$451,$C163,'TL19'!$J$238:$J$451),0)
),0)</f>
        <v>0</v>
      </c>
      <c r="M163" s="9">
        <f>IFERROR(SUM(
IF('TL01'!$B$3=M$3,SUMIF('TL01'!$C$10:$C$224,$C163,'TL01'!$J$10:$J$224),0),
IF('TL01'!$B$229=M$3,SUMIF('TL01'!$C$238:$C$451,$C163,'TL01'!$J$238:$J$451),0),
IF('TL02'!$B$3=M$3,SUMIF('TL02'!$C$10:$C$224,$C163,'TL02'!$J$10:$J$224),0),
IF('TL02'!$B$229=M$3,SUMIF('TL02'!$C$238:$C$451,$C163,'TL02'!$J$238:$J$451),0),
IF('TL03'!$B$3=M$3,SUMIF('TL03'!$C$10:$C$224,$C163,'TL03'!$J$10:$J$224),0),
IF('TL03'!$B$229=M$3,SUMIF('TL03'!$C$238:$C$451,$C163,'TL03'!$J$238:$J$451),0),
IF('TL04'!$B$3=M$3,SUMIF('TL04'!$C$10:$C$224,$C163,'TL04'!$J$10:$J$224),0),
IF('TL04'!$B$229=M$3,SUMIF('TL04'!$C$238:$C$451,$C163,'TL04'!$J$238:$J$451),0),
IF('TL05'!$B$3=M$3,SUMIF('TL05'!$C$10:$C$224,$C163,'TL05'!$J$10:$J$224),0),
IF('TL05'!$B$229=M$3,SUMIF('TL05'!$C$238:$C$451,$C163,'TL05'!$J$238:$J$451),0),
IF('TL06'!$B$3=M$3,SUMIF('TL06'!$C$10:$C$224,$C163,'TL06'!$J$10:$J$224),0),
IF('TL06'!$B$229=M$3,SUMIF('TL06'!$C$238:$C$451,$C163,'TL06'!$J$238:$J$451),0),
IF('TL07'!$B$3=M$3,SUMIF('TL07'!$C$10:$C$224,$C163,'TL07'!$J$10:$J$224),0),
IF('TL07'!$B$229=M$3,SUMIF('TL07'!$C$238:$C$451,$C163,'TL07'!$J$238:$J$451),0),
IF('TL08'!$B$3=M$3,SUMIF('TL08'!$C$10:$C$224,$C163,'TL08'!$J$10:$J$224),0),
IF('TL08'!$B$229=M$3,SUMIF('TL08'!$C$238:$C$451,$C163,'TL08'!$J$238:$J$451),0),
IF('TL09'!$B$3=M$3,SUMIF('TL09'!$C$10:$C$224,$C163,'TL09'!$J$10:$J$224),0),
IF('TL09'!$B$229=M$3,SUMIF('TL09'!$C$238:$C$451,$C163,'TL09'!$J$238:$J$451),0),
IF('TL10'!$B$3=M$3,SUMIF('TL10'!$C$10:$C$224,$C163,'TL10'!$J$10:$J$224),0),
IF('TL10'!$B$229=M$3,SUMIF('TL10'!$C$238:$C$451,$C163,'TL10'!$J$238:$J$451),0),
IF('TL11'!$B$3=M$3,SUMIF('TL11'!$C$10:$C$224,$C163,'TL11'!$J$10:$J$224),0),
IF('TL11'!$B$229=M$3,SUMIF('TL11'!$C$238:$C$451,$C163,'TL11'!$J$238:$J$451),0),
IF('TL12'!$B$3=M$3,SUMIF('TL12'!$C$10:$C$224,$C163,'TL12'!$J$10:$J$224),0),
IF('TL12'!$B$229=M$3,SUMIF('TL12'!$C$238:$C$451,$C163,'TL12'!$J$238:$J$451),0),
IF('TL13'!$B$3=M$3,SUMIF('TL13'!$C$10:$C$224,$C163,'TL13'!$J$10:$J$224),0),
IF('TL13'!$B$229=M$3,SUMIF('TL13'!$C$238:$C$451,$C163,'TL13'!$J$238:$J$451),0),
IF('TL14'!$B$3=M$3,SUMIF('TL14'!$C$10:$C$224,$C163,'TL14'!$J$10:$J$224),0),
IF('TL14'!$B$229=M$3,SUMIF('TL14'!$C$238:$C$451,$C163,'TL14'!$J$238:$J$451),0),
IF('TL15'!$B$3=M$3,SUMIF('TL15'!$C$10:$C$224,$C163,'TL15'!$J$10:$J$224),0),
IF('TL15'!$B$229=M$3,SUMIF('TL15'!$C$238:$C$451,$C163,'TL15'!$J$238:$J$451),0),
IF('TL16'!$B$3=M$3,SUMIF('TL16'!$C$10:$C$224,$C163,'TL16'!$J$10:$J$224),0),
IF('TL16'!$B$229=M$3,SUMIF('TL16'!$C$238:$C$451,$C163,'TL16'!$J$238:$J$451),0),
IF('TL17'!$B$3=M$3,SUMIF('TL17'!$C$10:$C$224,$C163,'TL17'!$J$10:$J$224),0),
IF('TL17'!$B$229=M$3,SUMIF('TL17'!$C$238:$C$451,$C163,'TL17'!$J$238:$J$451),0),
IF('TL18'!$B$3=M$3,SUMIF('TL18'!$C$10:$C$224,$C163,'TL18'!$J$10:$J$224),0),
IF('TL18'!$B$229=M$3,SUMIF('TL18'!$C$238:$C$451,$C163,'TL18'!$J$238:$J$451),0),
IF('TL19'!$B$3=M$3,SUMIF('TL19'!$C$10:$C$224,$C163,'TL19'!$J$10:$J$224),0),
IF('TL19'!$B$229=M$3,SUMIF('TL19'!$C$238:$C$451,$C163,'TL19'!$J$238:$J$451),0)
),0)</f>
        <v>0</v>
      </c>
      <c r="N163" s="9">
        <f>IFERROR(SUM(
IF('TL01'!$B$3=N$3,SUMIF('TL01'!$C$10:$C$224,$C163,'TL01'!$J$10:$J$224),0),
IF('TL01'!$B$229=N$3,SUMIF('TL01'!$C$238:$C$451,$C163,'TL01'!$J$238:$J$451),0),
IF('TL02'!$B$3=N$3,SUMIF('TL02'!$C$10:$C$224,$C163,'TL02'!$J$10:$J$224),0),
IF('TL02'!$B$229=N$3,SUMIF('TL02'!$C$238:$C$451,$C163,'TL02'!$J$238:$J$451),0),
IF('TL03'!$B$3=N$3,SUMIF('TL03'!$C$10:$C$224,$C163,'TL03'!$J$10:$J$224),0),
IF('TL03'!$B$229=N$3,SUMIF('TL03'!$C$238:$C$451,$C163,'TL03'!$J$238:$J$451),0),
IF('TL04'!$B$3=N$3,SUMIF('TL04'!$C$10:$C$224,$C163,'TL04'!$J$10:$J$224),0),
IF('TL04'!$B$229=N$3,SUMIF('TL04'!$C$238:$C$451,$C163,'TL04'!$J$238:$J$451),0),
IF('TL05'!$B$3=N$3,SUMIF('TL05'!$C$10:$C$224,$C163,'TL05'!$J$10:$J$224),0),
IF('TL05'!$B$229=N$3,SUMIF('TL05'!$C$238:$C$451,$C163,'TL05'!$J$238:$J$451),0),
IF('TL06'!$B$3=N$3,SUMIF('TL06'!$C$10:$C$224,$C163,'TL06'!$J$10:$J$224),0),
IF('TL06'!$B$229=N$3,SUMIF('TL06'!$C$238:$C$451,$C163,'TL06'!$J$238:$J$451),0),
IF('TL07'!$B$3=N$3,SUMIF('TL07'!$C$10:$C$224,$C163,'TL07'!$J$10:$J$224),0),
IF('TL07'!$B$229=N$3,SUMIF('TL07'!$C$238:$C$451,$C163,'TL07'!$J$238:$J$451),0),
IF('TL08'!$B$3=N$3,SUMIF('TL08'!$C$10:$C$224,$C163,'TL08'!$J$10:$J$224),0),
IF('TL08'!$B$229=N$3,SUMIF('TL08'!$C$238:$C$451,$C163,'TL08'!$J$238:$J$451),0),
IF('TL09'!$B$3=N$3,SUMIF('TL09'!$C$10:$C$224,$C163,'TL09'!$J$10:$J$224),0),
IF('TL09'!$B$229=N$3,SUMIF('TL09'!$C$238:$C$451,$C163,'TL09'!$J$238:$J$451),0),
IF('TL10'!$B$3=N$3,SUMIF('TL10'!$C$10:$C$224,$C163,'TL10'!$J$10:$J$224),0),
IF('TL10'!$B$229=N$3,SUMIF('TL10'!$C$238:$C$451,$C163,'TL10'!$J$238:$J$451),0),
IF('TL11'!$B$3=N$3,SUMIF('TL11'!$C$10:$C$224,$C163,'TL11'!$J$10:$J$224),0),
IF('TL11'!$B$229=N$3,SUMIF('TL11'!$C$238:$C$451,$C163,'TL11'!$J$238:$J$451),0),
IF('TL12'!$B$3=N$3,SUMIF('TL12'!$C$10:$C$224,$C163,'TL12'!$J$10:$J$224),0),
IF('TL12'!$B$229=N$3,SUMIF('TL12'!$C$238:$C$451,$C163,'TL12'!$J$238:$J$451),0),
IF('TL13'!$B$3=N$3,SUMIF('TL13'!$C$10:$C$224,$C163,'TL13'!$J$10:$J$224),0),
IF('TL13'!$B$229=N$3,SUMIF('TL13'!$C$238:$C$451,$C163,'TL13'!$J$238:$J$451),0),
IF('TL14'!$B$3=N$3,SUMIF('TL14'!$C$10:$C$224,$C163,'TL14'!$J$10:$J$224),0),
IF('TL14'!$B$229=N$3,SUMIF('TL14'!$C$238:$C$451,$C163,'TL14'!$J$238:$J$451),0),
IF('TL15'!$B$3=N$3,SUMIF('TL15'!$C$10:$C$224,$C163,'TL15'!$J$10:$J$224),0),
IF('TL15'!$B$229=N$3,SUMIF('TL15'!$C$238:$C$451,$C163,'TL15'!$J$238:$J$451),0),
IF('TL16'!$B$3=N$3,SUMIF('TL16'!$C$10:$C$224,$C163,'TL16'!$J$10:$J$224),0),
IF('TL16'!$B$229=N$3,SUMIF('TL16'!$C$238:$C$451,$C163,'TL16'!$J$238:$J$451),0),
IF('TL17'!$B$3=N$3,SUMIF('TL17'!$C$10:$C$224,$C163,'TL17'!$J$10:$J$224),0),
IF('TL17'!$B$229=N$3,SUMIF('TL17'!$C$238:$C$451,$C163,'TL17'!$J$238:$J$451),0),
IF('TL18'!$B$3=N$3,SUMIF('TL18'!$C$10:$C$224,$C163,'TL18'!$J$10:$J$224),0),
IF('TL18'!$B$229=N$3,SUMIF('TL18'!$C$238:$C$451,$C163,'TL18'!$J$238:$J$451),0),
IF('TL19'!$B$3=N$3,SUMIF('TL19'!$C$10:$C$224,$C163,'TL19'!$J$10:$J$224),0),
IF('TL19'!$B$229=N$3,SUMIF('TL19'!$C$238:$C$451,$C163,'TL19'!$J$238:$J$451),0)
),0)</f>
        <v>0</v>
      </c>
      <c r="O163" s="9">
        <f>IFERROR(SUM(
IF('TL01'!$B$3=O$3,SUMIF('TL01'!$C$10:$C$224,$C163,'TL01'!$J$10:$J$224),0),
IF('TL01'!$B$229=O$3,SUMIF('TL01'!$C$238:$C$451,$C163,'TL01'!$J$238:$J$451),0),
IF('TL02'!$B$3=O$3,SUMIF('TL02'!$C$10:$C$224,$C163,'TL02'!$J$10:$J$224),0),
IF('TL02'!$B$229=O$3,SUMIF('TL02'!$C$238:$C$451,$C163,'TL02'!$J$238:$J$451),0),
IF('TL03'!$B$3=O$3,SUMIF('TL03'!$C$10:$C$224,$C163,'TL03'!$J$10:$J$224),0),
IF('TL03'!$B$229=O$3,SUMIF('TL03'!$C$238:$C$451,$C163,'TL03'!$J$238:$J$451),0),
IF('TL04'!$B$3=O$3,SUMIF('TL04'!$C$10:$C$224,$C163,'TL04'!$J$10:$J$224),0),
IF('TL04'!$B$229=O$3,SUMIF('TL04'!$C$238:$C$451,$C163,'TL04'!$J$238:$J$451),0),
IF('TL05'!$B$3=O$3,SUMIF('TL05'!$C$10:$C$224,$C163,'TL05'!$J$10:$J$224),0),
IF('TL05'!$B$229=O$3,SUMIF('TL05'!$C$238:$C$451,$C163,'TL05'!$J$238:$J$451),0),
IF('TL06'!$B$3=O$3,SUMIF('TL06'!$C$10:$C$224,$C163,'TL06'!$J$10:$J$224),0),
IF('TL06'!$B$229=O$3,SUMIF('TL06'!$C$238:$C$451,$C163,'TL06'!$J$238:$J$451),0),
IF('TL07'!$B$3=O$3,SUMIF('TL07'!$C$10:$C$224,$C163,'TL07'!$J$10:$J$224),0),
IF('TL07'!$B$229=O$3,SUMIF('TL07'!$C$238:$C$451,$C163,'TL07'!$J$238:$J$451),0),
IF('TL08'!$B$3=O$3,SUMIF('TL08'!$C$10:$C$224,$C163,'TL08'!$J$10:$J$224),0),
IF('TL08'!$B$229=O$3,SUMIF('TL08'!$C$238:$C$451,$C163,'TL08'!$J$238:$J$451),0),
IF('TL09'!$B$3=O$3,SUMIF('TL09'!$C$10:$C$224,$C163,'TL09'!$J$10:$J$224),0),
IF('TL09'!$B$229=O$3,SUMIF('TL09'!$C$238:$C$451,$C163,'TL09'!$J$238:$J$451),0),
IF('TL10'!$B$3=O$3,SUMIF('TL10'!$C$10:$C$224,$C163,'TL10'!$J$10:$J$224),0),
IF('TL10'!$B$229=O$3,SUMIF('TL10'!$C$238:$C$451,$C163,'TL10'!$J$238:$J$451),0),
IF('TL11'!$B$3=O$3,SUMIF('TL11'!$C$10:$C$224,$C163,'TL11'!$J$10:$J$224),0),
IF('TL11'!$B$229=O$3,SUMIF('TL11'!$C$238:$C$451,$C163,'TL11'!$J$238:$J$451),0),
IF('TL12'!$B$3=O$3,SUMIF('TL12'!$C$10:$C$224,$C163,'TL12'!$J$10:$J$224),0),
IF('TL12'!$B$229=O$3,SUMIF('TL12'!$C$238:$C$451,$C163,'TL12'!$J$238:$J$451),0),
IF('TL13'!$B$3=O$3,SUMIF('TL13'!$C$10:$C$224,$C163,'TL13'!$J$10:$J$224),0),
IF('TL13'!$B$229=O$3,SUMIF('TL13'!$C$238:$C$451,$C163,'TL13'!$J$238:$J$451),0),
IF('TL14'!$B$3=O$3,SUMIF('TL14'!$C$10:$C$224,$C163,'TL14'!$J$10:$J$224),0),
IF('TL14'!$B$229=O$3,SUMIF('TL14'!$C$238:$C$451,$C163,'TL14'!$J$238:$J$451),0),
IF('TL15'!$B$3=O$3,SUMIF('TL15'!$C$10:$C$224,$C163,'TL15'!$J$10:$J$224),0),
IF('TL15'!$B$229=O$3,SUMIF('TL15'!$C$238:$C$451,$C163,'TL15'!$J$238:$J$451),0),
IF('TL16'!$B$3=O$3,SUMIF('TL16'!$C$10:$C$224,$C163,'TL16'!$J$10:$J$224),0),
IF('TL16'!$B$229=O$3,SUMIF('TL16'!$C$238:$C$451,$C163,'TL16'!$J$238:$J$451),0),
IF('TL17'!$B$3=O$3,SUMIF('TL17'!$C$10:$C$224,$C163,'TL17'!$J$10:$J$224),0),
IF('TL17'!$B$229=O$3,SUMIF('TL17'!$C$238:$C$451,$C163,'TL17'!$J$238:$J$451),0),
IF('TL18'!$B$3=O$3,SUMIF('TL18'!$C$10:$C$224,$C163,'TL18'!$J$10:$J$224),0),
IF('TL18'!$B$229=O$3,SUMIF('TL18'!$C$238:$C$451,$C163,'TL18'!$J$238:$J$451),0),
IF('TL19'!$B$3=O$3,SUMIF('TL19'!$C$10:$C$224,$C163,'TL19'!$J$10:$J$224),0),
IF('TL19'!$B$229=O$3,SUMIF('TL19'!$C$238:$C$451,$C163,'TL19'!$J$238:$J$451),0)
),0)</f>
        <v>0</v>
      </c>
      <c r="P163" s="9">
        <f>IFERROR(SUM(
IF('TL01'!$B$3=P$3,SUMIF('TL01'!$C$10:$C$224,$C163,'TL01'!$J$10:$J$224),0),
IF('TL01'!$B$229=P$3,SUMIF('TL01'!$C$238:$C$451,$C163,'TL01'!$J$238:$J$451),0),
IF('TL02'!$B$3=P$3,SUMIF('TL02'!$C$10:$C$224,$C163,'TL02'!$J$10:$J$224),0),
IF('TL02'!$B$229=P$3,SUMIF('TL02'!$C$238:$C$451,$C163,'TL02'!$J$238:$J$451),0),
IF('TL03'!$B$3=P$3,SUMIF('TL03'!$C$10:$C$224,$C163,'TL03'!$J$10:$J$224),0),
IF('TL03'!$B$229=P$3,SUMIF('TL03'!$C$238:$C$451,$C163,'TL03'!$J$238:$J$451),0),
IF('TL04'!$B$3=P$3,SUMIF('TL04'!$C$10:$C$224,$C163,'TL04'!$J$10:$J$224),0),
IF('TL04'!$B$229=P$3,SUMIF('TL04'!$C$238:$C$451,$C163,'TL04'!$J$238:$J$451),0),
IF('TL05'!$B$3=P$3,SUMIF('TL05'!$C$10:$C$224,$C163,'TL05'!$J$10:$J$224),0),
IF('TL05'!$B$229=P$3,SUMIF('TL05'!$C$238:$C$451,$C163,'TL05'!$J$238:$J$451),0),
IF('TL06'!$B$3=P$3,SUMIF('TL06'!$C$10:$C$224,$C163,'TL06'!$J$10:$J$224),0),
IF('TL06'!$B$229=P$3,SUMIF('TL06'!$C$238:$C$451,$C163,'TL06'!$J$238:$J$451),0),
IF('TL07'!$B$3=P$3,SUMIF('TL07'!$C$10:$C$224,$C163,'TL07'!$J$10:$J$224),0),
IF('TL07'!$B$229=P$3,SUMIF('TL07'!$C$238:$C$451,$C163,'TL07'!$J$238:$J$451),0),
IF('TL08'!$B$3=P$3,SUMIF('TL08'!$C$10:$C$224,$C163,'TL08'!$J$10:$J$224),0),
IF('TL08'!$B$229=P$3,SUMIF('TL08'!$C$238:$C$451,$C163,'TL08'!$J$238:$J$451),0),
IF('TL09'!$B$3=P$3,SUMIF('TL09'!$C$10:$C$224,$C163,'TL09'!$J$10:$J$224),0),
IF('TL09'!$B$229=P$3,SUMIF('TL09'!$C$238:$C$451,$C163,'TL09'!$J$238:$J$451),0),
IF('TL10'!$B$3=P$3,SUMIF('TL10'!$C$10:$C$224,$C163,'TL10'!$J$10:$J$224),0),
IF('TL10'!$B$229=P$3,SUMIF('TL10'!$C$238:$C$451,$C163,'TL10'!$J$238:$J$451),0),
IF('TL11'!$B$3=P$3,SUMIF('TL11'!$C$10:$C$224,$C163,'TL11'!$J$10:$J$224),0),
IF('TL11'!$B$229=P$3,SUMIF('TL11'!$C$238:$C$451,$C163,'TL11'!$J$238:$J$451),0),
IF('TL12'!$B$3=P$3,SUMIF('TL12'!$C$10:$C$224,$C163,'TL12'!$J$10:$J$224),0),
IF('TL12'!$B$229=P$3,SUMIF('TL12'!$C$238:$C$451,$C163,'TL12'!$J$238:$J$451),0),
IF('TL13'!$B$3=P$3,SUMIF('TL13'!$C$10:$C$224,$C163,'TL13'!$J$10:$J$224),0),
IF('TL13'!$B$229=P$3,SUMIF('TL13'!$C$238:$C$451,$C163,'TL13'!$J$238:$J$451),0),
IF('TL14'!$B$3=P$3,SUMIF('TL14'!$C$10:$C$224,$C163,'TL14'!$J$10:$J$224),0),
IF('TL14'!$B$229=P$3,SUMIF('TL14'!$C$238:$C$451,$C163,'TL14'!$J$238:$J$451),0),
IF('TL15'!$B$3=P$3,SUMIF('TL15'!$C$10:$C$224,$C163,'TL15'!$J$10:$J$224),0),
IF('TL15'!$B$229=P$3,SUMIF('TL15'!$C$238:$C$451,$C163,'TL15'!$J$238:$J$451),0),
IF('TL16'!$B$3=P$3,SUMIF('TL16'!$C$10:$C$224,$C163,'TL16'!$J$10:$J$224),0),
IF('TL16'!$B$229=P$3,SUMIF('TL16'!$C$238:$C$451,$C163,'TL16'!$J$238:$J$451),0),
IF('TL17'!$B$3=P$3,SUMIF('TL17'!$C$10:$C$224,$C163,'TL17'!$J$10:$J$224),0),
IF('TL17'!$B$229=P$3,SUMIF('TL17'!$C$238:$C$451,$C163,'TL17'!$J$238:$J$451),0),
IF('TL18'!$B$3=P$3,SUMIF('TL18'!$C$10:$C$224,$C163,'TL18'!$J$10:$J$224),0),
IF('TL18'!$B$229=P$3,SUMIF('TL18'!$C$238:$C$451,$C163,'TL18'!$J$238:$J$451),0),
IF('TL19'!$B$3=P$3,SUMIF('TL19'!$C$10:$C$224,$C163,'TL19'!$J$10:$J$224),0),
IF('TL19'!$B$229=P$3,SUMIF('TL19'!$C$238:$C$451,$C163,'TL19'!$J$238:$J$451),0)
),0)</f>
        <v>0</v>
      </c>
      <c r="Q163" s="9">
        <f>IFERROR(SUM(
IF('TL01'!$B$3=Q$3,SUMIF('TL01'!$C$10:$C$224,$C163,'TL01'!$J$10:$J$224),0),
IF('TL01'!$B$229=Q$3,SUMIF('TL01'!$C$238:$C$451,$C163,'TL01'!$J$238:$J$451),0),
IF('TL02'!$B$3=Q$3,SUMIF('TL02'!$C$10:$C$224,$C163,'TL02'!$J$10:$J$224),0),
IF('TL02'!$B$229=Q$3,SUMIF('TL02'!$C$238:$C$451,$C163,'TL02'!$J$238:$J$451),0),
IF('TL03'!$B$3=Q$3,SUMIF('TL03'!$C$10:$C$224,$C163,'TL03'!$J$10:$J$224),0),
IF('TL03'!$B$229=Q$3,SUMIF('TL03'!$C$238:$C$451,$C163,'TL03'!$J$238:$J$451),0),
IF('TL04'!$B$3=Q$3,SUMIF('TL04'!$C$10:$C$224,$C163,'TL04'!$J$10:$J$224),0),
IF('TL04'!$B$229=Q$3,SUMIF('TL04'!$C$238:$C$451,$C163,'TL04'!$J$238:$J$451),0),
IF('TL05'!$B$3=Q$3,SUMIF('TL05'!$C$10:$C$224,$C163,'TL05'!$J$10:$J$224),0),
IF('TL05'!$B$229=Q$3,SUMIF('TL05'!$C$238:$C$451,$C163,'TL05'!$J$238:$J$451),0),
IF('TL06'!$B$3=Q$3,SUMIF('TL06'!$C$10:$C$224,$C163,'TL06'!$J$10:$J$224),0),
IF('TL06'!$B$229=Q$3,SUMIF('TL06'!$C$238:$C$451,$C163,'TL06'!$J$238:$J$451),0),
IF('TL07'!$B$3=Q$3,SUMIF('TL07'!$C$10:$C$224,$C163,'TL07'!$J$10:$J$224),0),
IF('TL07'!$B$229=Q$3,SUMIF('TL07'!$C$238:$C$451,$C163,'TL07'!$J$238:$J$451),0),
IF('TL08'!$B$3=Q$3,SUMIF('TL08'!$C$10:$C$224,$C163,'TL08'!$J$10:$J$224),0),
IF('TL08'!$B$229=Q$3,SUMIF('TL08'!$C$238:$C$451,$C163,'TL08'!$J$238:$J$451),0),
IF('TL09'!$B$3=Q$3,SUMIF('TL09'!$C$10:$C$224,$C163,'TL09'!$J$10:$J$224),0),
IF('TL09'!$B$229=Q$3,SUMIF('TL09'!$C$238:$C$451,$C163,'TL09'!$J$238:$J$451),0),
IF('TL10'!$B$3=Q$3,SUMIF('TL10'!$C$10:$C$224,$C163,'TL10'!$J$10:$J$224),0),
IF('TL10'!$B$229=Q$3,SUMIF('TL10'!$C$238:$C$451,$C163,'TL10'!$J$238:$J$451),0),
IF('TL11'!$B$3=Q$3,SUMIF('TL11'!$C$10:$C$224,$C163,'TL11'!$J$10:$J$224),0),
IF('TL11'!$B$229=Q$3,SUMIF('TL11'!$C$238:$C$451,$C163,'TL11'!$J$238:$J$451),0),
IF('TL12'!$B$3=Q$3,SUMIF('TL12'!$C$10:$C$224,$C163,'TL12'!$J$10:$J$224),0),
IF('TL12'!$B$229=Q$3,SUMIF('TL12'!$C$238:$C$451,$C163,'TL12'!$J$238:$J$451),0),
IF('TL13'!$B$3=Q$3,SUMIF('TL13'!$C$10:$C$224,$C163,'TL13'!$J$10:$J$224),0),
IF('TL13'!$B$229=Q$3,SUMIF('TL13'!$C$238:$C$451,$C163,'TL13'!$J$238:$J$451),0),
IF('TL14'!$B$3=Q$3,SUMIF('TL14'!$C$10:$C$224,$C163,'TL14'!$J$10:$J$224),0),
IF('TL14'!$B$229=Q$3,SUMIF('TL14'!$C$238:$C$451,$C163,'TL14'!$J$238:$J$451),0),
IF('TL15'!$B$3=Q$3,SUMIF('TL15'!$C$10:$C$224,$C163,'TL15'!$J$10:$J$224),0),
IF('TL15'!$B$229=Q$3,SUMIF('TL15'!$C$238:$C$451,$C163,'TL15'!$J$238:$J$451),0),
IF('TL16'!$B$3=Q$3,SUMIF('TL16'!$C$10:$C$224,$C163,'TL16'!$J$10:$J$224),0),
IF('TL16'!$B$229=Q$3,SUMIF('TL16'!$C$238:$C$451,$C163,'TL16'!$J$238:$J$451),0),
IF('TL17'!$B$3=Q$3,SUMIF('TL17'!$C$10:$C$224,$C163,'TL17'!$J$10:$J$224),0),
IF('TL17'!$B$229=Q$3,SUMIF('TL17'!$C$238:$C$451,$C163,'TL17'!$J$238:$J$451),0),
IF('TL18'!$B$3=Q$3,SUMIF('TL18'!$C$10:$C$224,$C163,'TL18'!$J$10:$J$224),0),
IF('TL18'!$B$229=Q$3,SUMIF('TL18'!$C$238:$C$451,$C163,'TL18'!$J$238:$J$451),0),
IF('TL19'!$B$3=Q$3,SUMIF('TL19'!$C$10:$C$224,$C163,'TL19'!$J$10:$J$224),0),
IF('TL19'!$B$229=Q$3,SUMIF('TL19'!$C$238:$C$451,$C163,'TL19'!$J$238:$J$451),0)
),0)</f>
        <v>0</v>
      </c>
      <c r="R163" s="9">
        <f>IFERROR(
SUM(
SUMIF('TL01'!C:C,C163,'TL01'!J:J),
SUMIF('TL02'!C:C,C163,'TL02'!J:J),
SUMIF('TL03'!C:C,C163,'TL03'!J:J),
SUMIF('TL04'!C:C,C163,'TL04'!J:J),
SUMIF('TL05'!C:C,C163,'TL05'!J:J),
SUMIF('TL06'!C:C,C163,'TL06'!J:J),
SUMIF('TL07'!C:C,C163,'TL07'!J:J),
SUMIF('TL08'!C:C,C163,'TL08'!J:J),
SUMIF('TL09'!C:C,C163,'TL09'!J:J),
SUMIF('TL10'!C:C,C163,'TL10'!J:J),
SUMIF('TL11'!C:C,C163,'TL11'!J:J),
SUMIF('TL12'!C:C,C163,'TL12'!J:J),
SUMIF('TL13'!C:C,C163,'TL13'!J:J),
SUMIF('TL14'!C:C,C163,'TL14'!J:J),
SUMIF('TL15'!C:C,C163,'TL15'!J:J),
SUMIF('TL16'!C:C,C163,'TL16'!J:J),
SUMIF('TL17'!C:C,C163,'TL17'!J:J),
SUMIF('TL18'!C:C,C163,'TL18'!J:J),SUMIF('TL19'!C:C,C163,'TL19'!J:J))
,0)</f>
        <v>0</v>
      </c>
      <c r="S163" s="17">
        <f>IFERROR(__xludf.DUMMYFUNCTION("IFERROR(VLOOKUP(C163,
IMPORTRANGE(""1wULbzX32WdYsx-lj2U3uUNBBe2INVIRDtcK0d-Dvl90"",
""26-27!C:G""),
5,
FALSE),
"""")"),36.624199999999995)</f>
        <v>36.6242</v>
      </c>
      <c r="T163" s="9"/>
      <c r="U163" s="92">
        <f t="shared" si="2"/>
        <v>0</v>
      </c>
      <c r="V163" s="93">
        <f t="shared" si="3"/>
        <v>0</v>
      </c>
    </row>
    <row r="164" ht="15.75" hidden="1" customHeight="1">
      <c r="A164" s="115" t="s">
        <v>358</v>
      </c>
      <c r="B164" s="100" t="s">
        <v>1</v>
      </c>
      <c r="C164" s="116" t="s">
        <v>734</v>
      </c>
      <c r="D164" s="116" t="s">
        <v>735</v>
      </c>
      <c r="E164" s="116">
        <v>250.0</v>
      </c>
      <c r="F164" s="4" t="s">
        <v>343</v>
      </c>
      <c r="G164" s="90" t="str">
        <f t="shared" si="4"/>
        <v>📄 Ver bula</v>
      </c>
      <c r="H164" s="9" t="str">
        <f>IFERROR(__xludf.DUMMYFUNCTION("IFERROR(VLOOKUP(C164,
IMPORTRANGE(""1wULbzX32WdYsx-lj2U3uUNBBe2INVIRDtcK0d-Dvl90"",
""26-27!C:K""),
8,
FALSE),
"""")"),"")</f>
        <v/>
      </c>
      <c r="I164" s="117" t="s">
        <v>361</v>
      </c>
      <c r="J164" s="9">
        <f>IFERROR(SUM(
IF('TL01'!$B$3=J$3,SUMIF('TL01'!$C$10:$C$224,$C164,'TL01'!$J$10:$J$224),0),
IF('TL01'!$B$229=J$3,SUMIF('TL01'!$C$238:$C$451,$C164,'TL01'!$J$238:$J$451),0),
IF('TL02'!$B$3=J$3,SUMIF('TL02'!$C$10:$C$224,$C164,'TL02'!$J$10:$J$224),0),
IF('TL02'!$B$229=J$3,SUMIF('TL02'!$C$238:$C$451,$C164,'TL02'!$J$238:$J$451),0),
IF('TL03'!$B$3=J$3,SUMIF('TL03'!$C$10:$C$224,$C164,'TL03'!$J$10:$J$224),0),
IF('TL03'!$B$229=J$3,SUMIF('TL03'!$C$238:$C$451,$C164,'TL03'!$J$238:$J$451),0),
IF('TL04'!$B$3=J$3,SUMIF('TL04'!$C$10:$C$224,$C164,'TL04'!$J$10:$J$224),0),
IF('TL04'!$B$229=J$3,SUMIF('TL04'!$C$238:$C$451,$C164,'TL04'!$J$238:$J$451),0),
IF('TL05'!$B$3=J$3,SUMIF('TL05'!$C$10:$C$224,$C164,'TL05'!$J$10:$J$224),0),
IF('TL05'!$B$229=J$3,SUMIF('TL05'!$C$238:$C$451,$C164,'TL05'!$J$238:$J$451),0),
IF('TL06'!$B$3=J$3,SUMIF('TL06'!$C$10:$C$224,$C164,'TL06'!$J$10:$J$224),0),
IF('TL06'!$B$229=J$3,SUMIF('TL06'!$C$238:$C$451,$C164,'TL06'!$J$238:$J$451),0),
IF('TL07'!$B$3=J$3,SUMIF('TL07'!$C$10:$C$224,$C164,'TL07'!$J$10:$J$224),0),
IF('TL07'!$B$229=J$3,SUMIF('TL07'!$C$238:$C$451,$C164,'TL07'!$J$238:$J$451),0),
IF('TL08'!$B$3=J$3,SUMIF('TL08'!$C$10:$C$224,$C164,'TL08'!$J$10:$J$224),0),
IF('TL08'!$B$229=J$3,SUMIF('TL08'!$C$238:$C$451,$C164,'TL08'!$J$238:$J$451),0),
IF('TL09'!$B$3=J$3,SUMIF('TL09'!$C$10:$C$224,$C164,'TL09'!$J$10:$J$224),0),
IF('TL09'!$B$229=J$3,SUMIF('TL09'!$C$238:$C$451,$C164,'TL09'!$J$238:$J$451),0),
IF('TL10'!$B$3=J$3,SUMIF('TL10'!$C$10:$C$224,$C164,'TL10'!$J$10:$J$224),0),
IF('TL10'!$B$229=J$3,SUMIF('TL10'!$C$238:$C$451,$C164,'TL10'!$J$238:$J$451),0),
IF('TL11'!$B$3=J$3,SUMIF('TL11'!$C$10:$C$224,$C164,'TL11'!$J$10:$J$224),0),
IF('TL11'!$B$229=J$3,SUMIF('TL11'!$C$238:$C$451,$C164,'TL11'!$J$238:$J$451),0),
IF('TL12'!$B$3=J$3,SUMIF('TL12'!$C$10:$C$224,$C164,'TL12'!$J$10:$J$224),0),
IF('TL12'!$B$229=J$3,SUMIF('TL12'!$C$238:$C$451,$C164,'TL12'!$J$238:$J$451),0),
IF('TL13'!$B$3=J$3,SUMIF('TL13'!$C$10:$C$224,$C164,'TL13'!$J$10:$J$224),0),
IF('TL13'!$B$229=J$3,SUMIF('TL13'!$C$238:$C$451,$C164,'TL13'!$J$238:$J$451),0),
IF('TL14'!$B$3=J$3,SUMIF('TL14'!$C$10:$C$224,$C164,'TL14'!$J$10:$J$224),0),
IF('TL14'!$B$229=J$3,SUMIF('TL14'!$C$238:$C$451,$C164,'TL14'!$J$238:$J$451),0),
IF('TL15'!$B$3=J$3,SUMIF('TL15'!$C$10:$C$224,$C164,'TL15'!$J$10:$J$224),0),
IF('TL15'!$B$229=J$3,SUMIF('TL15'!$C$238:$C$451,$C164,'TL15'!$J$238:$J$451),0),
IF('TL16'!$B$3=J$3,SUMIF('TL16'!$C$10:$C$224,$C164,'TL16'!$J$10:$J$224),0),
IF('TL16'!$B$229=J$3,SUMIF('TL16'!$C$238:$C$451,$C164,'TL16'!$J$238:$J$451),0),
IF('TL17'!$B$3=J$3,SUMIF('TL17'!$C$10:$C$224,$C164,'TL17'!$J$10:$J$224),0),
IF('TL17'!$B$229=J$3,SUMIF('TL17'!$C$238:$C$451,$C164,'TL17'!$J$238:$J$451),0),
IF('TL18'!$B$3=J$3,SUMIF('TL18'!$C$10:$C$224,$C164,'TL18'!$J$10:$J$224),0),
IF('TL18'!$B$229=J$3,SUMIF('TL18'!$C$238:$C$451,$C164,'TL18'!$J$238:$J$451),0),
IF('TL19'!$B$3=J$3,SUMIF('TL19'!$C$10:$C$224,$C164,'TL19'!$J$10:$J$224),0),
IF('TL19'!$B$229=J$3,SUMIF('TL19'!$C$238:$C$451,$C164,'TL19'!$J$238:$J$451),0)
),0)</f>
        <v>0</v>
      </c>
      <c r="K164" s="9">
        <f>IFERROR(SUM(
IF('TL01'!$B$3=K$3,SUMIF('TL01'!$C$10:$C$224,$C164,'TL01'!$J$10:$J$224),0),
IF('TL01'!$B$229=K$3,SUMIF('TL01'!$C$238:$C$451,$C164,'TL01'!$J$238:$J$451),0),
IF('TL02'!$B$3=K$3,SUMIF('TL02'!$C$10:$C$224,$C164,'TL02'!$J$10:$J$224),0),
IF('TL02'!$B$229=K$3,SUMIF('TL02'!$C$238:$C$451,$C164,'TL02'!$J$238:$J$451),0),
IF('TL03'!$B$3=K$3,SUMIF('TL03'!$C$10:$C$224,$C164,'TL03'!$J$10:$J$224),0),
IF('TL03'!$B$229=K$3,SUMIF('TL03'!$C$238:$C$451,$C164,'TL03'!$J$238:$J$451),0),
IF('TL04'!$B$3=K$3,SUMIF('TL04'!$C$10:$C$224,$C164,'TL04'!$J$10:$J$224),0),
IF('TL04'!$B$229=K$3,SUMIF('TL04'!$C$238:$C$451,$C164,'TL04'!$J$238:$J$451),0),
IF('TL05'!$B$3=K$3,SUMIF('TL05'!$C$10:$C$224,$C164,'TL05'!$J$10:$J$224),0),
IF('TL05'!$B$229=K$3,SUMIF('TL05'!$C$238:$C$451,$C164,'TL05'!$J$238:$J$451),0),
IF('TL06'!$B$3=K$3,SUMIF('TL06'!$C$10:$C$224,$C164,'TL06'!$J$10:$J$224),0),
IF('TL06'!$B$229=K$3,SUMIF('TL06'!$C$238:$C$451,$C164,'TL06'!$J$238:$J$451),0),
IF('TL07'!$B$3=K$3,SUMIF('TL07'!$C$10:$C$224,$C164,'TL07'!$J$10:$J$224),0),
IF('TL07'!$B$229=K$3,SUMIF('TL07'!$C$238:$C$451,$C164,'TL07'!$J$238:$J$451),0),
IF('TL08'!$B$3=K$3,SUMIF('TL08'!$C$10:$C$224,$C164,'TL08'!$J$10:$J$224),0),
IF('TL08'!$B$229=K$3,SUMIF('TL08'!$C$238:$C$451,$C164,'TL08'!$J$238:$J$451),0),
IF('TL09'!$B$3=K$3,SUMIF('TL09'!$C$10:$C$224,$C164,'TL09'!$J$10:$J$224),0),
IF('TL09'!$B$229=K$3,SUMIF('TL09'!$C$238:$C$451,$C164,'TL09'!$J$238:$J$451),0),
IF('TL10'!$B$3=K$3,SUMIF('TL10'!$C$10:$C$224,$C164,'TL10'!$J$10:$J$224),0),
IF('TL10'!$B$229=K$3,SUMIF('TL10'!$C$238:$C$451,$C164,'TL10'!$J$238:$J$451),0),
IF('TL11'!$B$3=K$3,SUMIF('TL11'!$C$10:$C$224,$C164,'TL11'!$J$10:$J$224),0),
IF('TL11'!$B$229=K$3,SUMIF('TL11'!$C$238:$C$451,$C164,'TL11'!$J$238:$J$451),0),
IF('TL12'!$B$3=K$3,SUMIF('TL12'!$C$10:$C$224,$C164,'TL12'!$J$10:$J$224),0),
IF('TL12'!$B$229=K$3,SUMIF('TL12'!$C$238:$C$451,$C164,'TL12'!$J$238:$J$451),0),
IF('TL13'!$B$3=K$3,SUMIF('TL13'!$C$10:$C$224,$C164,'TL13'!$J$10:$J$224),0),
IF('TL13'!$B$229=K$3,SUMIF('TL13'!$C$238:$C$451,$C164,'TL13'!$J$238:$J$451),0),
IF('TL14'!$B$3=K$3,SUMIF('TL14'!$C$10:$C$224,$C164,'TL14'!$J$10:$J$224),0),
IF('TL14'!$B$229=K$3,SUMIF('TL14'!$C$238:$C$451,$C164,'TL14'!$J$238:$J$451),0),
IF('TL15'!$B$3=K$3,SUMIF('TL15'!$C$10:$C$224,$C164,'TL15'!$J$10:$J$224),0),
IF('TL15'!$B$229=K$3,SUMIF('TL15'!$C$238:$C$451,$C164,'TL15'!$J$238:$J$451),0),
IF('TL16'!$B$3=K$3,SUMIF('TL16'!$C$10:$C$224,$C164,'TL16'!$J$10:$J$224),0),
IF('TL16'!$B$229=K$3,SUMIF('TL16'!$C$238:$C$451,$C164,'TL16'!$J$238:$J$451),0),
IF('TL17'!$B$3=K$3,SUMIF('TL17'!$C$10:$C$224,$C164,'TL17'!$J$10:$J$224),0),
IF('TL17'!$B$229=K$3,SUMIF('TL17'!$C$238:$C$451,$C164,'TL17'!$J$238:$J$451),0),
IF('TL18'!$B$3=K$3,SUMIF('TL18'!$C$10:$C$224,$C164,'TL18'!$J$10:$J$224),0),
IF('TL18'!$B$229=K$3,SUMIF('TL18'!$C$238:$C$451,$C164,'TL18'!$J$238:$J$451),0),
IF('TL19'!$B$3=K$3,SUMIF('TL19'!$C$10:$C$224,$C164,'TL19'!$J$10:$J$224),0),
IF('TL19'!$B$229=K$3,SUMIF('TL19'!$C$238:$C$451,$C164,'TL19'!$J$238:$J$451),0)
),0)</f>
        <v>0</v>
      </c>
      <c r="L164" s="9">
        <f>IFERROR(SUM(
IF('TL01'!$B$3=L$3,SUMIF('TL01'!$C$10:$C$224,$C164,'TL01'!$J$10:$J$224),0),
IF('TL01'!$B$229=L$3,SUMIF('TL01'!$C$238:$C$451,$C164,'TL01'!$J$238:$J$451),0),
IF('TL02'!$B$3=L$3,SUMIF('TL02'!$C$10:$C$224,$C164,'TL02'!$J$10:$J$224),0),
IF('TL02'!$B$229=L$3,SUMIF('TL02'!$C$238:$C$451,$C164,'TL02'!$J$238:$J$451),0),
IF('TL03'!$B$3=L$3,SUMIF('TL03'!$C$10:$C$224,$C164,'TL03'!$J$10:$J$224),0),
IF('TL03'!$B$229=L$3,SUMIF('TL03'!$C$238:$C$451,$C164,'TL03'!$J$238:$J$451),0),
IF('TL04'!$B$3=L$3,SUMIF('TL04'!$C$10:$C$224,$C164,'TL04'!$J$10:$J$224),0),
IF('TL04'!$B$229=L$3,SUMIF('TL04'!$C$238:$C$451,$C164,'TL04'!$J$238:$J$451),0),
IF('TL05'!$B$3=L$3,SUMIF('TL05'!$C$10:$C$224,$C164,'TL05'!$J$10:$J$224),0),
IF('TL05'!$B$229=L$3,SUMIF('TL05'!$C$238:$C$451,$C164,'TL05'!$J$238:$J$451),0),
IF('TL06'!$B$3=L$3,SUMIF('TL06'!$C$10:$C$224,$C164,'TL06'!$J$10:$J$224),0),
IF('TL06'!$B$229=L$3,SUMIF('TL06'!$C$238:$C$451,$C164,'TL06'!$J$238:$J$451),0),
IF('TL07'!$B$3=L$3,SUMIF('TL07'!$C$10:$C$224,$C164,'TL07'!$J$10:$J$224),0),
IF('TL07'!$B$229=L$3,SUMIF('TL07'!$C$238:$C$451,$C164,'TL07'!$J$238:$J$451),0),
IF('TL08'!$B$3=L$3,SUMIF('TL08'!$C$10:$C$224,$C164,'TL08'!$J$10:$J$224),0),
IF('TL08'!$B$229=L$3,SUMIF('TL08'!$C$238:$C$451,$C164,'TL08'!$J$238:$J$451),0),
IF('TL09'!$B$3=L$3,SUMIF('TL09'!$C$10:$C$224,$C164,'TL09'!$J$10:$J$224),0),
IF('TL09'!$B$229=L$3,SUMIF('TL09'!$C$238:$C$451,$C164,'TL09'!$J$238:$J$451),0),
IF('TL10'!$B$3=L$3,SUMIF('TL10'!$C$10:$C$224,$C164,'TL10'!$J$10:$J$224),0),
IF('TL10'!$B$229=L$3,SUMIF('TL10'!$C$238:$C$451,$C164,'TL10'!$J$238:$J$451),0),
IF('TL11'!$B$3=L$3,SUMIF('TL11'!$C$10:$C$224,$C164,'TL11'!$J$10:$J$224),0),
IF('TL11'!$B$229=L$3,SUMIF('TL11'!$C$238:$C$451,$C164,'TL11'!$J$238:$J$451),0),
IF('TL12'!$B$3=L$3,SUMIF('TL12'!$C$10:$C$224,$C164,'TL12'!$J$10:$J$224),0),
IF('TL12'!$B$229=L$3,SUMIF('TL12'!$C$238:$C$451,$C164,'TL12'!$J$238:$J$451),0),
IF('TL13'!$B$3=L$3,SUMIF('TL13'!$C$10:$C$224,$C164,'TL13'!$J$10:$J$224),0),
IF('TL13'!$B$229=L$3,SUMIF('TL13'!$C$238:$C$451,$C164,'TL13'!$J$238:$J$451),0),
IF('TL14'!$B$3=L$3,SUMIF('TL14'!$C$10:$C$224,$C164,'TL14'!$J$10:$J$224),0),
IF('TL14'!$B$229=L$3,SUMIF('TL14'!$C$238:$C$451,$C164,'TL14'!$J$238:$J$451),0),
IF('TL15'!$B$3=L$3,SUMIF('TL15'!$C$10:$C$224,$C164,'TL15'!$J$10:$J$224),0),
IF('TL15'!$B$229=L$3,SUMIF('TL15'!$C$238:$C$451,$C164,'TL15'!$J$238:$J$451),0),
IF('TL16'!$B$3=L$3,SUMIF('TL16'!$C$10:$C$224,$C164,'TL16'!$J$10:$J$224),0),
IF('TL16'!$B$229=L$3,SUMIF('TL16'!$C$238:$C$451,$C164,'TL16'!$J$238:$J$451),0),
IF('TL17'!$B$3=L$3,SUMIF('TL17'!$C$10:$C$224,$C164,'TL17'!$J$10:$J$224),0),
IF('TL17'!$B$229=L$3,SUMIF('TL17'!$C$238:$C$451,$C164,'TL17'!$J$238:$J$451),0),
IF('TL18'!$B$3=L$3,SUMIF('TL18'!$C$10:$C$224,$C164,'TL18'!$J$10:$J$224),0),
IF('TL18'!$B$229=L$3,SUMIF('TL18'!$C$238:$C$451,$C164,'TL18'!$J$238:$J$451),0),
IF('TL19'!$B$3=L$3,SUMIF('TL19'!$C$10:$C$224,$C164,'TL19'!$J$10:$J$224),0),
IF('TL19'!$B$229=L$3,SUMIF('TL19'!$C$238:$C$451,$C164,'TL19'!$J$238:$J$451),0)
),0)</f>
        <v>0</v>
      </c>
      <c r="M164" s="9">
        <f>IFERROR(SUM(
IF('TL01'!$B$3=M$3,SUMIF('TL01'!$C$10:$C$224,$C164,'TL01'!$J$10:$J$224),0),
IF('TL01'!$B$229=M$3,SUMIF('TL01'!$C$238:$C$451,$C164,'TL01'!$J$238:$J$451),0),
IF('TL02'!$B$3=M$3,SUMIF('TL02'!$C$10:$C$224,$C164,'TL02'!$J$10:$J$224),0),
IF('TL02'!$B$229=M$3,SUMIF('TL02'!$C$238:$C$451,$C164,'TL02'!$J$238:$J$451),0),
IF('TL03'!$B$3=M$3,SUMIF('TL03'!$C$10:$C$224,$C164,'TL03'!$J$10:$J$224),0),
IF('TL03'!$B$229=M$3,SUMIF('TL03'!$C$238:$C$451,$C164,'TL03'!$J$238:$J$451),0),
IF('TL04'!$B$3=M$3,SUMIF('TL04'!$C$10:$C$224,$C164,'TL04'!$J$10:$J$224),0),
IF('TL04'!$B$229=M$3,SUMIF('TL04'!$C$238:$C$451,$C164,'TL04'!$J$238:$J$451),0),
IF('TL05'!$B$3=M$3,SUMIF('TL05'!$C$10:$C$224,$C164,'TL05'!$J$10:$J$224),0),
IF('TL05'!$B$229=M$3,SUMIF('TL05'!$C$238:$C$451,$C164,'TL05'!$J$238:$J$451),0),
IF('TL06'!$B$3=M$3,SUMIF('TL06'!$C$10:$C$224,$C164,'TL06'!$J$10:$J$224),0),
IF('TL06'!$B$229=M$3,SUMIF('TL06'!$C$238:$C$451,$C164,'TL06'!$J$238:$J$451),0),
IF('TL07'!$B$3=M$3,SUMIF('TL07'!$C$10:$C$224,$C164,'TL07'!$J$10:$J$224),0),
IF('TL07'!$B$229=M$3,SUMIF('TL07'!$C$238:$C$451,$C164,'TL07'!$J$238:$J$451),0),
IF('TL08'!$B$3=M$3,SUMIF('TL08'!$C$10:$C$224,$C164,'TL08'!$J$10:$J$224),0),
IF('TL08'!$B$229=M$3,SUMIF('TL08'!$C$238:$C$451,$C164,'TL08'!$J$238:$J$451),0),
IF('TL09'!$B$3=M$3,SUMIF('TL09'!$C$10:$C$224,$C164,'TL09'!$J$10:$J$224),0),
IF('TL09'!$B$229=M$3,SUMIF('TL09'!$C$238:$C$451,$C164,'TL09'!$J$238:$J$451),0),
IF('TL10'!$B$3=M$3,SUMIF('TL10'!$C$10:$C$224,$C164,'TL10'!$J$10:$J$224),0),
IF('TL10'!$B$229=M$3,SUMIF('TL10'!$C$238:$C$451,$C164,'TL10'!$J$238:$J$451),0),
IF('TL11'!$B$3=M$3,SUMIF('TL11'!$C$10:$C$224,$C164,'TL11'!$J$10:$J$224),0),
IF('TL11'!$B$229=M$3,SUMIF('TL11'!$C$238:$C$451,$C164,'TL11'!$J$238:$J$451),0),
IF('TL12'!$B$3=M$3,SUMIF('TL12'!$C$10:$C$224,$C164,'TL12'!$J$10:$J$224),0),
IF('TL12'!$B$229=M$3,SUMIF('TL12'!$C$238:$C$451,$C164,'TL12'!$J$238:$J$451),0),
IF('TL13'!$B$3=M$3,SUMIF('TL13'!$C$10:$C$224,$C164,'TL13'!$J$10:$J$224),0),
IF('TL13'!$B$229=M$3,SUMIF('TL13'!$C$238:$C$451,$C164,'TL13'!$J$238:$J$451),0),
IF('TL14'!$B$3=M$3,SUMIF('TL14'!$C$10:$C$224,$C164,'TL14'!$J$10:$J$224),0),
IF('TL14'!$B$229=M$3,SUMIF('TL14'!$C$238:$C$451,$C164,'TL14'!$J$238:$J$451),0),
IF('TL15'!$B$3=M$3,SUMIF('TL15'!$C$10:$C$224,$C164,'TL15'!$J$10:$J$224),0),
IF('TL15'!$B$229=M$3,SUMIF('TL15'!$C$238:$C$451,$C164,'TL15'!$J$238:$J$451),0),
IF('TL16'!$B$3=M$3,SUMIF('TL16'!$C$10:$C$224,$C164,'TL16'!$J$10:$J$224),0),
IF('TL16'!$B$229=M$3,SUMIF('TL16'!$C$238:$C$451,$C164,'TL16'!$J$238:$J$451),0),
IF('TL17'!$B$3=M$3,SUMIF('TL17'!$C$10:$C$224,$C164,'TL17'!$J$10:$J$224),0),
IF('TL17'!$B$229=M$3,SUMIF('TL17'!$C$238:$C$451,$C164,'TL17'!$J$238:$J$451),0),
IF('TL18'!$B$3=M$3,SUMIF('TL18'!$C$10:$C$224,$C164,'TL18'!$J$10:$J$224),0),
IF('TL18'!$B$229=M$3,SUMIF('TL18'!$C$238:$C$451,$C164,'TL18'!$J$238:$J$451),0),
IF('TL19'!$B$3=M$3,SUMIF('TL19'!$C$10:$C$224,$C164,'TL19'!$J$10:$J$224),0),
IF('TL19'!$B$229=M$3,SUMIF('TL19'!$C$238:$C$451,$C164,'TL19'!$J$238:$J$451),0)
),0)</f>
        <v>0</v>
      </c>
      <c r="N164" s="9">
        <f>IFERROR(SUM(
IF('TL01'!$B$3=N$3,SUMIF('TL01'!$C$10:$C$224,$C164,'TL01'!$J$10:$J$224),0),
IF('TL01'!$B$229=N$3,SUMIF('TL01'!$C$238:$C$451,$C164,'TL01'!$J$238:$J$451),0),
IF('TL02'!$B$3=N$3,SUMIF('TL02'!$C$10:$C$224,$C164,'TL02'!$J$10:$J$224),0),
IF('TL02'!$B$229=N$3,SUMIF('TL02'!$C$238:$C$451,$C164,'TL02'!$J$238:$J$451),0),
IF('TL03'!$B$3=N$3,SUMIF('TL03'!$C$10:$C$224,$C164,'TL03'!$J$10:$J$224),0),
IF('TL03'!$B$229=N$3,SUMIF('TL03'!$C$238:$C$451,$C164,'TL03'!$J$238:$J$451),0),
IF('TL04'!$B$3=N$3,SUMIF('TL04'!$C$10:$C$224,$C164,'TL04'!$J$10:$J$224),0),
IF('TL04'!$B$229=N$3,SUMIF('TL04'!$C$238:$C$451,$C164,'TL04'!$J$238:$J$451),0),
IF('TL05'!$B$3=N$3,SUMIF('TL05'!$C$10:$C$224,$C164,'TL05'!$J$10:$J$224),0),
IF('TL05'!$B$229=N$3,SUMIF('TL05'!$C$238:$C$451,$C164,'TL05'!$J$238:$J$451),0),
IF('TL06'!$B$3=N$3,SUMIF('TL06'!$C$10:$C$224,$C164,'TL06'!$J$10:$J$224),0),
IF('TL06'!$B$229=N$3,SUMIF('TL06'!$C$238:$C$451,$C164,'TL06'!$J$238:$J$451),0),
IF('TL07'!$B$3=N$3,SUMIF('TL07'!$C$10:$C$224,$C164,'TL07'!$J$10:$J$224),0),
IF('TL07'!$B$229=N$3,SUMIF('TL07'!$C$238:$C$451,$C164,'TL07'!$J$238:$J$451),0),
IF('TL08'!$B$3=N$3,SUMIF('TL08'!$C$10:$C$224,$C164,'TL08'!$J$10:$J$224),0),
IF('TL08'!$B$229=N$3,SUMIF('TL08'!$C$238:$C$451,$C164,'TL08'!$J$238:$J$451),0),
IF('TL09'!$B$3=N$3,SUMIF('TL09'!$C$10:$C$224,$C164,'TL09'!$J$10:$J$224),0),
IF('TL09'!$B$229=N$3,SUMIF('TL09'!$C$238:$C$451,$C164,'TL09'!$J$238:$J$451),0),
IF('TL10'!$B$3=N$3,SUMIF('TL10'!$C$10:$C$224,$C164,'TL10'!$J$10:$J$224),0),
IF('TL10'!$B$229=N$3,SUMIF('TL10'!$C$238:$C$451,$C164,'TL10'!$J$238:$J$451),0),
IF('TL11'!$B$3=N$3,SUMIF('TL11'!$C$10:$C$224,$C164,'TL11'!$J$10:$J$224),0),
IF('TL11'!$B$229=N$3,SUMIF('TL11'!$C$238:$C$451,$C164,'TL11'!$J$238:$J$451),0),
IF('TL12'!$B$3=N$3,SUMIF('TL12'!$C$10:$C$224,$C164,'TL12'!$J$10:$J$224),0),
IF('TL12'!$B$229=N$3,SUMIF('TL12'!$C$238:$C$451,$C164,'TL12'!$J$238:$J$451),0),
IF('TL13'!$B$3=N$3,SUMIF('TL13'!$C$10:$C$224,$C164,'TL13'!$J$10:$J$224),0),
IF('TL13'!$B$229=N$3,SUMIF('TL13'!$C$238:$C$451,$C164,'TL13'!$J$238:$J$451),0),
IF('TL14'!$B$3=N$3,SUMIF('TL14'!$C$10:$C$224,$C164,'TL14'!$J$10:$J$224),0),
IF('TL14'!$B$229=N$3,SUMIF('TL14'!$C$238:$C$451,$C164,'TL14'!$J$238:$J$451),0),
IF('TL15'!$B$3=N$3,SUMIF('TL15'!$C$10:$C$224,$C164,'TL15'!$J$10:$J$224),0),
IF('TL15'!$B$229=N$3,SUMIF('TL15'!$C$238:$C$451,$C164,'TL15'!$J$238:$J$451),0),
IF('TL16'!$B$3=N$3,SUMIF('TL16'!$C$10:$C$224,$C164,'TL16'!$J$10:$J$224),0),
IF('TL16'!$B$229=N$3,SUMIF('TL16'!$C$238:$C$451,$C164,'TL16'!$J$238:$J$451),0),
IF('TL17'!$B$3=N$3,SUMIF('TL17'!$C$10:$C$224,$C164,'TL17'!$J$10:$J$224),0),
IF('TL17'!$B$229=N$3,SUMIF('TL17'!$C$238:$C$451,$C164,'TL17'!$J$238:$J$451),0),
IF('TL18'!$B$3=N$3,SUMIF('TL18'!$C$10:$C$224,$C164,'TL18'!$J$10:$J$224),0),
IF('TL18'!$B$229=N$3,SUMIF('TL18'!$C$238:$C$451,$C164,'TL18'!$J$238:$J$451),0),
IF('TL19'!$B$3=N$3,SUMIF('TL19'!$C$10:$C$224,$C164,'TL19'!$J$10:$J$224),0),
IF('TL19'!$B$229=N$3,SUMIF('TL19'!$C$238:$C$451,$C164,'TL19'!$J$238:$J$451),0)
),0)</f>
        <v>0</v>
      </c>
      <c r="O164" s="9">
        <f>IFERROR(SUM(
IF('TL01'!$B$3=O$3,SUMIF('TL01'!$C$10:$C$224,$C164,'TL01'!$J$10:$J$224),0),
IF('TL01'!$B$229=O$3,SUMIF('TL01'!$C$238:$C$451,$C164,'TL01'!$J$238:$J$451),0),
IF('TL02'!$B$3=O$3,SUMIF('TL02'!$C$10:$C$224,$C164,'TL02'!$J$10:$J$224),0),
IF('TL02'!$B$229=O$3,SUMIF('TL02'!$C$238:$C$451,$C164,'TL02'!$J$238:$J$451),0),
IF('TL03'!$B$3=O$3,SUMIF('TL03'!$C$10:$C$224,$C164,'TL03'!$J$10:$J$224),0),
IF('TL03'!$B$229=O$3,SUMIF('TL03'!$C$238:$C$451,$C164,'TL03'!$J$238:$J$451),0),
IF('TL04'!$B$3=O$3,SUMIF('TL04'!$C$10:$C$224,$C164,'TL04'!$J$10:$J$224),0),
IF('TL04'!$B$229=O$3,SUMIF('TL04'!$C$238:$C$451,$C164,'TL04'!$J$238:$J$451),0),
IF('TL05'!$B$3=O$3,SUMIF('TL05'!$C$10:$C$224,$C164,'TL05'!$J$10:$J$224),0),
IF('TL05'!$B$229=O$3,SUMIF('TL05'!$C$238:$C$451,$C164,'TL05'!$J$238:$J$451),0),
IF('TL06'!$B$3=O$3,SUMIF('TL06'!$C$10:$C$224,$C164,'TL06'!$J$10:$J$224),0),
IF('TL06'!$B$229=O$3,SUMIF('TL06'!$C$238:$C$451,$C164,'TL06'!$J$238:$J$451),0),
IF('TL07'!$B$3=O$3,SUMIF('TL07'!$C$10:$C$224,$C164,'TL07'!$J$10:$J$224),0),
IF('TL07'!$B$229=O$3,SUMIF('TL07'!$C$238:$C$451,$C164,'TL07'!$J$238:$J$451),0),
IF('TL08'!$B$3=O$3,SUMIF('TL08'!$C$10:$C$224,$C164,'TL08'!$J$10:$J$224),0),
IF('TL08'!$B$229=O$3,SUMIF('TL08'!$C$238:$C$451,$C164,'TL08'!$J$238:$J$451),0),
IF('TL09'!$B$3=O$3,SUMIF('TL09'!$C$10:$C$224,$C164,'TL09'!$J$10:$J$224),0),
IF('TL09'!$B$229=O$3,SUMIF('TL09'!$C$238:$C$451,$C164,'TL09'!$J$238:$J$451),0),
IF('TL10'!$B$3=O$3,SUMIF('TL10'!$C$10:$C$224,$C164,'TL10'!$J$10:$J$224),0),
IF('TL10'!$B$229=O$3,SUMIF('TL10'!$C$238:$C$451,$C164,'TL10'!$J$238:$J$451),0),
IF('TL11'!$B$3=O$3,SUMIF('TL11'!$C$10:$C$224,$C164,'TL11'!$J$10:$J$224),0),
IF('TL11'!$B$229=O$3,SUMIF('TL11'!$C$238:$C$451,$C164,'TL11'!$J$238:$J$451),0),
IF('TL12'!$B$3=O$3,SUMIF('TL12'!$C$10:$C$224,$C164,'TL12'!$J$10:$J$224),0),
IF('TL12'!$B$229=O$3,SUMIF('TL12'!$C$238:$C$451,$C164,'TL12'!$J$238:$J$451),0),
IF('TL13'!$B$3=O$3,SUMIF('TL13'!$C$10:$C$224,$C164,'TL13'!$J$10:$J$224),0),
IF('TL13'!$B$229=O$3,SUMIF('TL13'!$C$238:$C$451,$C164,'TL13'!$J$238:$J$451),0),
IF('TL14'!$B$3=O$3,SUMIF('TL14'!$C$10:$C$224,$C164,'TL14'!$J$10:$J$224),0),
IF('TL14'!$B$229=O$3,SUMIF('TL14'!$C$238:$C$451,$C164,'TL14'!$J$238:$J$451),0),
IF('TL15'!$B$3=O$3,SUMIF('TL15'!$C$10:$C$224,$C164,'TL15'!$J$10:$J$224),0),
IF('TL15'!$B$229=O$3,SUMIF('TL15'!$C$238:$C$451,$C164,'TL15'!$J$238:$J$451),0),
IF('TL16'!$B$3=O$3,SUMIF('TL16'!$C$10:$C$224,$C164,'TL16'!$J$10:$J$224),0),
IF('TL16'!$B$229=O$3,SUMIF('TL16'!$C$238:$C$451,$C164,'TL16'!$J$238:$J$451),0),
IF('TL17'!$B$3=O$3,SUMIF('TL17'!$C$10:$C$224,$C164,'TL17'!$J$10:$J$224),0),
IF('TL17'!$B$229=O$3,SUMIF('TL17'!$C$238:$C$451,$C164,'TL17'!$J$238:$J$451),0),
IF('TL18'!$B$3=O$3,SUMIF('TL18'!$C$10:$C$224,$C164,'TL18'!$J$10:$J$224),0),
IF('TL18'!$B$229=O$3,SUMIF('TL18'!$C$238:$C$451,$C164,'TL18'!$J$238:$J$451),0),
IF('TL19'!$B$3=O$3,SUMIF('TL19'!$C$10:$C$224,$C164,'TL19'!$J$10:$J$224),0),
IF('TL19'!$B$229=O$3,SUMIF('TL19'!$C$238:$C$451,$C164,'TL19'!$J$238:$J$451),0)
),0)</f>
        <v>0</v>
      </c>
      <c r="P164" s="9">
        <f>IFERROR(SUM(
IF('TL01'!$B$3=P$3,SUMIF('TL01'!$C$10:$C$224,$C164,'TL01'!$J$10:$J$224),0),
IF('TL01'!$B$229=P$3,SUMIF('TL01'!$C$238:$C$451,$C164,'TL01'!$J$238:$J$451),0),
IF('TL02'!$B$3=P$3,SUMIF('TL02'!$C$10:$C$224,$C164,'TL02'!$J$10:$J$224),0),
IF('TL02'!$B$229=P$3,SUMIF('TL02'!$C$238:$C$451,$C164,'TL02'!$J$238:$J$451),0),
IF('TL03'!$B$3=P$3,SUMIF('TL03'!$C$10:$C$224,$C164,'TL03'!$J$10:$J$224),0),
IF('TL03'!$B$229=P$3,SUMIF('TL03'!$C$238:$C$451,$C164,'TL03'!$J$238:$J$451),0),
IF('TL04'!$B$3=P$3,SUMIF('TL04'!$C$10:$C$224,$C164,'TL04'!$J$10:$J$224),0),
IF('TL04'!$B$229=P$3,SUMIF('TL04'!$C$238:$C$451,$C164,'TL04'!$J$238:$J$451),0),
IF('TL05'!$B$3=P$3,SUMIF('TL05'!$C$10:$C$224,$C164,'TL05'!$J$10:$J$224),0),
IF('TL05'!$B$229=P$3,SUMIF('TL05'!$C$238:$C$451,$C164,'TL05'!$J$238:$J$451),0),
IF('TL06'!$B$3=P$3,SUMIF('TL06'!$C$10:$C$224,$C164,'TL06'!$J$10:$J$224),0),
IF('TL06'!$B$229=P$3,SUMIF('TL06'!$C$238:$C$451,$C164,'TL06'!$J$238:$J$451),0),
IF('TL07'!$B$3=P$3,SUMIF('TL07'!$C$10:$C$224,$C164,'TL07'!$J$10:$J$224),0),
IF('TL07'!$B$229=P$3,SUMIF('TL07'!$C$238:$C$451,$C164,'TL07'!$J$238:$J$451),0),
IF('TL08'!$B$3=P$3,SUMIF('TL08'!$C$10:$C$224,$C164,'TL08'!$J$10:$J$224),0),
IF('TL08'!$B$229=P$3,SUMIF('TL08'!$C$238:$C$451,$C164,'TL08'!$J$238:$J$451),0),
IF('TL09'!$B$3=P$3,SUMIF('TL09'!$C$10:$C$224,$C164,'TL09'!$J$10:$J$224),0),
IF('TL09'!$B$229=P$3,SUMIF('TL09'!$C$238:$C$451,$C164,'TL09'!$J$238:$J$451),0),
IF('TL10'!$B$3=P$3,SUMIF('TL10'!$C$10:$C$224,$C164,'TL10'!$J$10:$J$224),0),
IF('TL10'!$B$229=P$3,SUMIF('TL10'!$C$238:$C$451,$C164,'TL10'!$J$238:$J$451),0),
IF('TL11'!$B$3=P$3,SUMIF('TL11'!$C$10:$C$224,$C164,'TL11'!$J$10:$J$224),0),
IF('TL11'!$B$229=P$3,SUMIF('TL11'!$C$238:$C$451,$C164,'TL11'!$J$238:$J$451),0),
IF('TL12'!$B$3=P$3,SUMIF('TL12'!$C$10:$C$224,$C164,'TL12'!$J$10:$J$224),0),
IF('TL12'!$B$229=P$3,SUMIF('TL12'!$C$238:$C$451,$C164,'TL12'!$J$238:$J$451),0),
IF('TL13'!$B$3=P$3,SUMIF('TL13'!$C$10:$C$224,$C164,'TL13'!$J$10:$J$224),0),
IF('TL13'!$B$229=P$3,SUMIF('TL13'!$C$238:$C$451,$C164,'TL13'!$J$238:$J$451),0),
IF('TL14'!$B$3=P$3,SUMIF('TL14'!$C$10:$C$224,$C164,'TL14'!$J$10:$J$224),0),
IF('TL14'!$B$229=P$3,SUMIF('TL14'!$C$238:$C$451,$C164,'TL14'!$J$238:$J$451),0),
IF('TL15'!$B$3=P$3,SUMIF('TL15'!$C$10:$C$224,$C164,'TL15'!$J$10:$J$224),0),
IF('TL15'!$B$229=P$3,SUMIF('TL15'!$C$238:$C$451,$C164,'TL15'!$J$238:$J$451),0),
IF('TL16'!$B$3=P$3,SUMIF('TL16'!$C$10:$C$224,$C164,'TL16'!$J$10:$J$224),0),
IF('TL16'!$B$229=P$3,SUMIF('TL16'!$C$238:$C$451,$C164,'TL16'!$J$238:$J$451),0),
IF('TL17'!$B$3=P$3,SUMIF('TL17'!$C$10:$C$224,$C164,'TL17'!$J$10:$J$224),0),
IF('TL17'!$B$229=P$3,SUMIF('TL17'!$C$238:$C$451,$C164,'TL17'!$J$238:$J$451),0),
IF('TL18'!$B$3=P$3,SUMIF('TL18'!$C$10:$C$224,$C164,'TL18'!$J$10:$J$224),0),
IF('TL18'!$B$229=P$3,SUMIF('TL18'!$C$238:$C$451,$C164,'TL18'!$J$238:$J$451),0),
IF('TL19'!$B$3=P$3,SUMIF('TL19'!$C$10:$C$224,$C164,'TL19'!$J$10:$J$224),0),
IF('TL19'!$B$229=P$3,SUMIF('TL19'!$C$238:$C$451,$C164,'TL19'!$J$238:$J$451),0)
),0)</f>
        <v>0</v>
      </c>
      <c r="Q164" s="9">
        <f>IFERROR(SUM(
IF('TL01'!$B$3=Q$3,SUMIF('TL01'!$C$10:$C$224,$C164,'TL01'!$J$10:$J$224),0),
IF('TL01'!$B$229=Q$3,SUMIF('TL01'!$C$238:$C$451,$C164,'TL01'!$J$238:$J$451),0),
IF('TL02'!$B$3=Q$3,SUMIF('TL02'!$C$10:$C$224,$C164,'TL02'!$J$10:$J$224),0),
IF('TL02'!$B$229=Q$3,SUMIF('TL02'!$C$238:$C$451,$C164,'TL02'!$J$238:$J$451),0),
IF('TL03'!$B$3=Q$3,SUMIF('TL03'!$C$10:$C$224,$C164,'TL03'!$J$10:$J$224),0),
IF('TL03'!$B$229=Q$3,SUMIF('TL03'!$C$238:$C$451,$C164,'TL03'!$J$238:$J$451),0),
IF('TL04'!$B$3=Q$3,SUMIF('TL04'!$C$10:$C$224,$C164,'TL04'!$J$10:$J$224),0),
IF('TL04'!$B$229=Q$3,SUMIF('TL04'!$C$238:$C$451,$C164,'TL04'!$J$238:$J$451),0),
IF('TL05'!$B$3=Q$3,SUMIF('TL05'!$C$10:$C$224,$C164,'TL05'!$J$10:$J$224),0),
IF('TL05'!$B$229=Q$3,SUMIF('TL05'!$C$238:$C$451,$C164,'TL05'!$J$238:$J$451),0),
IF('TL06'!$B$3=Q$3,SUMIF('TL06'!$C$10:$C$224,$C164,'TL06'!$J$10:$J$224),0),
IF('TL06'!$B$229=Q$3,SUMIF('TL06'!$C$238:$C$451,$C164,'TL06'!$J$238:$J$451),0),
IF('TL07'!$B$3=Q$3,SUMIF('TL07'!$C$10:$C$224,$C164,'TL07'!$J$10:$J$224),0),
IF('TL07'!$B$229=Q$3,SUMIF('TL07'!$C$238:$C$451,$C164,'TL07'!$J$238:$J$451),0),
IF('TL08'!$B$3=Q$3,SUMIF('TL08'!$C$10:$C$224,$C164,'TL08'!$J$10:$J$224),0),
IF('TL08'!$B$229=Q$3,SUMIF('TL08'!$C$238:$C$451,$C164,'TL08'!$J$238:$J$451),0),
IF('TL09'!$B$3=Q$3,SUMIF('TL09'!$C$10:$C$224,$C164,'TL09'!$J$10:$J$224),0),
IF('TL09'!$B$229=Q$3,SUMIF('TL09'!$C$238:$C$451,$C164,'TL09'!$J$238:$J$451),0),
IF('TL10'!$B$3=Q$3,SUMIF('TL10'!$C$10:$C$224,$C164,'TL10'!$J$10:$J$224),0),
IF('TL10'!$B$229=Q$3,SUMIF('TL10'!$C$238:$C$451,$C164,'TL10'!$J$238:$J$451),0),
IF('TL11'!$B$3=Q$3,SUMIF('TL11'!$C$10:$C$224,$C164,'TL11'!$J$10:$J$224),0),
IF('TL11'!$B$229=Q$3,SUMIF('TL11'!$C$238:$C$451,$C164,'TL11'!$J$238:$J$451),0),
IF('TL12'!$B$3=Q$3,SUMIF('TL12'!$C$10:$C$224,$C164,'TL12'!$J$10:$J$224),0),
IF('TL12'!$B$229=Q$3,SUMIF('TL12'!$C$238:$C$451,$C164,'TL12'!$J$238:$J$451),0),
IF('TL13'!$B$3=Q$3,SUMIF('TL13'!$C$10:$C$224,$C164,'TL13'!$J$10:$J$224),0),
IF('TL13'!$B$229=Q$3,SUMIF('TL13'!$C$238:$C$451,$C164,'TL13'!$J$238:$J$451),0),
IF('TL14'!$B$3=Q$3,SUMIF('TL14'!$C$10:$C$224,$C164,'TL14'!$J$10:$J$224),0),
IF('TL14'!$B$229=Q$3,SUMIF('TL14'!$C$238:$C$451,$C164,'TL14'!$J$238:$J$451),0),
IF('TL15'!$B$3=Q$3,SUMIF('TL15'!$C$10:$C$224,$C164,'TL15'!$J$10:$J$224),0),
IF('TL15'!$B$229=Q$3,SUMIF('TL15'!$C$238:$C$451,$C164,'TL15'!$J$238:$J$451),0),
IF('TL16'!$B$3=Q$3,SUMIF('TL16'!$C$10:$C$224,$C164,'TL16'!$J$10:$J$224),0),
IF('TL16'!$B$229=Q$3,SUMIF('TL16'!$C$238:$C$451,$C164,'TL16'!$J$238:$J$451),0),
IF('TL17'!$B$3=Q$3,SUMIF('TL17'!$C$10:$C$224,$C164,'TL17'!$J$10:$J$224),0),
IF('TL17'!$B$229=Q$3,SUMIF('TL17'!$C$238:$C$451,$C164,'TL17'!$J$238:$J$451),0),
IF('TL18'!$B$3=Q$3,SUMIF('TL18'!$C$10:$C$224,$C164,'TL18'!$J$10:$J$224),0),
IF('TL18'!$B$229=Q$3,SUMIF('TL18'!$C$238:$C$451,$C164,'TL18'!$J$238:$J$451),0),
IF('TL19'!$B$3=Q$3,SUMIF('TL19'!$C$10:$C$224,$C164,'TL19'!$J$10:$J$224),0),
IF('TL19'!$B$229=Q$3,SUMIF('TL19'!$C$238:$C$451,$C164,'TL19'!$J$238:$J$451),0)
),0)</f>
        <v>0</v>
      </c>
      <c r="R164" s="9">
        <f>IFERROR(
SUM(
SUMIF('TL01'!C:C,C164,'TL01'!J:J),
SUMIF('TL02'!C:C,C164,'TL02'!J:J),
SUMIF('TL03'!C:C,C164,'TL03'!J:J),
SUMIF('TL04'!C:C,C164,'TL04'!J:J),
SUMIF('TL05'!C:C,C164,'TL05'!J:J),
SUMIF('TL06'!C:C,C164,'TL06'!J:J),
SUMIF('TL07'!C:C,C164,'TL07'!J:J),
SUMIF('TL08'!C:C,C164,'TL08'!J:J),
SUMIF('TL09'!C:C,C164,'TL09'!J:J),
SUMIF('TL10'!C:C,C164,'TL10'!J:J),
SUMIF('TL11'!C:C,C164,'TL11'!J:J),
SUMIF('TL12'!C:C,C164,'TL12'!J:J),
SUMIF('TL13'!C:C,C164,'TL13'!J:J),
SUMIF('TL14'!C:C,C164,'TL14'!J:J),
SUMIF('TL15'!C:C,C164,'TL15'!J:J),
SUMIF('TL16'!C:C,C164,'TL16'!J:J),
SUMIF('TL17'!C:C,C164,'TL17'!J:J),
SUMIF('TL18'!C:C,C164,'TL18'!J:J),SUMIF('TL19'!C:C,C164,'TL19'!J:J))
,0)</f>
        <v>0</v>
      </c>
      <c r="S164" s="17">
        <f>IFERROR(__xludf.DUMMYFUNCTION("IFERROR(VLOOKUP(C164,
IMPORTRANGE(""1wULbzX32WdYsx-lj2U3uUNBBe2INVIRDtcK0d-Dvl90"",
""26-27!C:G""),
5,
FALSE),
"""")"),87.48022)</f>
        <v>87.48022</v>
      </c>
      <c r="T164" s="9"/>
      <c r="U164" s="92">
        <f t="shared" si="2"/>
        <v>0</v>
      </c>
      <c r="V164" s="93">
        <f t="shared" si="3"/>
        <v>0</v>
      </c>
    </row>
    <row r="165" ht="15.75" hidden="1" customHeight="1">
      <c r="A165" s="111" t="s">
        <v>358</v>
      </c>
      <c r="B165" s="112" t="s">
        <v>1</v>
      </c>
      <c r="C165" s="113" t="s">
        <v>736</v>
      </c>
      <c r="D165" s="113" t="s">
        <v>737</v>
      </c>
      <c r="E165" s="113">
        <v>880.0</v>
      </c>
      <c r="F165" s="4" t="s">
        <v>343</v>
      </c>
      <c r="G165" s="90" t="str">
        <f t="shared" si="4"/>
        <v>📄 Ver bula</v>
      </c>
      <c r="H165" s="9" t="str">
        <f>IFERROR(__xludf.DUMMYFUNCTION("IFERROR(VLOOKUP(C165,
IMPORTRANGE(""1wULbzX32WdYsx-lj2U3uUNBBe2INVIRDtcK0d-Dvl90"",
""26-27!C:K""),
8,
FALSE),
"""")"),"")</f>
        <v/>
      </c>
      <c r="I165" s="114" t="s">
        <v>377</v>
      </c>
      <c r="J165" s="9">
        <f>IFERROR(SUM(
IF('TL01'!$B$3=J$3,SUMIF('TL01'!$C$10:$C$224,$C165,'TL01'!$J$10:$J$224),0),
IF('TL01'!$B$229=J$3,SUMIF('TL01'!$C$238:$C$451,$C165,'TL01'!$J$238:$J$451),0),
IF('TL02'!$B$3=J$3,SUMIF('TL02'!$C$10:$C$224,$C165,'TL02'!$J$10:$J$224),0),
IF('TL02'!$B$229=J$3,SUMIF('TL02'!$C$238:$C$451,$C165,'TL02'!$J$238:$J$451),0),
IF('TL03'!$B$3=J$3,SUMIF('TL03'!$C$10:$C$224,$C165,'TL03'!$J$10:$J$224),0),
IF('TL03'!$B$229=J$3,SUMIF('TL03'!$C$238:$C$451,$C165,'TL03'!$J$238:$J$451),0),
IF('TL04'!$B$3=J$3,SUMIF('TL04'!$C$10:$C$224,$C165,'TL04'!$J$10:$J$224),0),
IF('TL04'!$B$229=J$3,SUMIF('TL04'!$C$238:$C$451,$C165,'TL04'!$J$238:$J$451),0),
IF('TL05'!$B$3=J$3,SUMIF('TL05'!$C$10:$C$224,$C165,'TL05'!$J$10:$J$224),0),
IF('TL05'!$B$229=J$3,SUMIF('TL05'!$C$238:$C$451,$C165,'TL05'!$J$238:$J$451),0),
IF('TL06'!$B$3=J$3,SUMIF('TL06'!$C$10:$C$224,$C165,'TL06'!$J$10:$J$224),0),
IF('TL06'!$B$229=J$3,SUMIF('TL06'!$C$238:$C$451,$C165,'TL06'!$J$238:$J$451),0),
IF('TL07'!$B$3=J$3,SUMIF('TL07'!$C$10:$C$224,$C165,'TL07'!$J$10:$J$224),0),
IF('TL07'!$B$229=J$3,SUMIF('TL07'!$C$238:$C$451,$C165,'TL07'!$J$238:$J$451),0),
IF('TL08'!$B$3=J$3,SUMIF('TL08'!$C$10:$C$224,$C165,'TL08'!$J$10:$J$224),0),
IF('TL08'!$B$229=J$3,SUMIF('TL08'!$C$238:$C$451,$C165,'TL08'!$J$238:$J$451),0),
IF('TL09'!$B$3=J$3,SUMIF('TL09'!$C$10:$C$224,$C165,'TL09'!$J$10:$J$224),0),
IF('TL09'!$B$229=J$3,SUMIF('TL09'!$C$238:$C$451,$C165,'TL09'!$J$238:$J$451),0),
IF('TL10'!$B$3=J$3,SUMIF('TL10'!$C$10:$C$224,$C165,'TL10'!$J$10:$J$224),0),
IF('TL10'!$B$229=J$3,SUMIF('TL10'!$C$238:$C$451,$C165,'TL10'!$J$238:$J$451),0),
IF('TL11'!$B$3=J$3,SUMIF('TL11'!$C$10:$C$224,$C165,'TL11'!$J$10:$J$224),0),
IF('TL11'!$B$229=J$3,SUMIF('TL11'!$C$238:$C$451,$C165,'TL11'!$J$238:$J$451),0),
IF('TL12'!$B$3=J$3,SUMIF('TL12'!$C$10:$C$224,$C165,'TL12'!$J$10:$J$224),0),
IF('TL12'!$B$229=J$3,SUMIF('TL12'!$C$238:$C$451,$C165,'TL12'!$J$238:$J$451),0),
IF('TL13'!$B$3=J$3,SUMIF('TL13'!$C$10:$C$224,$C165,'TL13'!$J$10:$J$224),0),
IF('TL13'!$B$229=J$3,SUMIF('TL13'!$C$238:$C$451,$C165,'TL13'!$J$238:$J$451),0),
IF('TL14'!$B$3=J$3,SUMIF('TL14'!$C$10:$C$224,$C165,'TL14'!$J$10:$J$224),0),
IF('TL14'!$B$229=J$3,SUMIF('TL14'!$C$238:$C$451,$C165,'TL14'!$J$238:$J$451),0),
IF('TL15'!$B$3=J$3,SUMIF('TL15'!$C$10:$C$224,$C165,'TL15'!$J$10:$J$224),0),
IF('TL15'!$B$229=J$3,SUMIF('TL15'!$C$238:$C$451,$C165,'TL15'!$J$238:$J$451),0),
IF('TL16'!$B$3=J$3,SUMIF('TL16'!$C$10:$C$224,$C165,'TL16'!$J$10:$J$224),0),
IF('TL16'!$B$229=J$3,SUMIF('TL16'!$C$238:$C$451,$C165,'TL16'!$J$238:$J$451),0),
IF('TL17'!$B$3=J$3,SUMIF('TL17'!$C$10:$C$224,$C165,'TL17'!$J$10:$J$224),0),
IF('TL17'!$B$229=J$3,SUMIF('TL17'!$C$238:$C$451,$C165,'TL17'!$J$238:$J$451),0),
IF('TL18'!$B$3=J$3,SUMIF('TL18'!$C$10:$C$224,$C165,'TL18'!$J$10:$J$224),0),
IF('TL18'!$B$229=J$3,SUMIF('TL18'!$C$238:$C$451,$C165,'TL18'!$J$238:$J$451),0),
IF('TL19'!$B$3=J$3,SUMIF('TL19'!$C$10:$C$224,$C165,'TL19'!$J$10:$J$224),0),
IF('TL19'!$B$229=J$3,SUMIF('TL19'!$C$238:$C$451,$C165,'TL19'!$J$238:$J$451),0)
),0)</f>
        <v>0</v>
      </c>
      <c r="K165" s="9">
        <f>IFERROR(SUM(
IF('TL01'!$B$3=K$3,SUMIF('TL01'!$C$10:$C$224,$C165,'TL01'!$J$10:$J$224),0),
IF('TL01'!$B$229=K$3,SUMIF('TL01'!$C$238:$C$451,$C165,'TL01'!$J$238:$J$451),0),
IF('TL02'!$B$3=K$3,SUMIF('TL02'!$C$10:$C$224,$C165,'TL02'!$J$10:$J$224),0),
IF('TL02'!$B$229=K$3,SUMIF('TL02'!$C$238:$C$451,$C165,'TL02'!$J$238:$J$451),0),
IF('TL03'!$B$3=K$3,SUMIF('TL03'!$C$10:$C$224,$C165,'TL03'!$J$10:$J$224),0),
IF('TL03'!$B$229=K$3,SUMIF('TL03'!$C$238:$C$451,$C165,'TL03'!$J$238:$J$451),0),
IF('TL04'!$B$3=K$3,SUMIF('TL04'!$C$10:$C$224,$C165,'TL04'!$J$10:$J$224),0),
IF('TL04'!$B$229=K$3,SUMIF('TL04'!$C$238:$C$451,$C165,'TL04'!$J$238:$J$451),0),
IF('TL05'!$B$3=K$3,SUMIF('TL05'!$C$10:$C$224,$C165,'TL05'!$J$10:$J$224),0),
IF('TL05'!$B$229=K$3,SUMIF('TL05'!$C$238:$C$451,$C165,'TL05'!$J$238:$J$451),0),
IF('TL06'!$B$3=K$3,SUMIF('TL06'!$C$10:$C$224,$C165,'TL06'!$J$10:$J$224),0),
IF('TL06'!$B$229=K$3,SUMIF('TL06'!$C$238:$C$451,$C165,'TL06'!$J$238:$J$451),0),
IF('TL07'!$B$3=K$3,SUMIF('TL07'!$C$10:$C$224,$C165,'TL07'!$J$10:$J$224),0),
IF('TL07'!$B$229=K$3,SUMIF('TL07'!$C$238:$C$451,$C165,'TL07'!$J$238:$J$451),0),
IF('TL08'!$B$3=K$3,SUMIF('TL08'!$C$10:$C$224,$C165,'TL08'!$J$10:$J$224),0),
IF('TL08'!$B$229=K$3,SUMIF('TL08'!$C$238:$C$451,$C165,'TL08'!$J$238:$J$451),0),
IF('TL09'!$B$3=K$3,SUMIF('TL09'!$C$10:$C$224,$C165,'TL09'!$J$10:$J$224),0),
IF('TL09'!$B$229=K$3,SUMIF('TL09'!$C$238:$C$451,$C165,'TL09'!$J$238:$J$451),0),
IF('TL10'!$B$3=K$3,SUMIF('TL10'!$C$10:$C$224,$C165,'TL10'!$J$10:$J$224),0),
IF('TL10'!$B$229=K$3,SUMIF('TL10'!$C$238:$C$451,$C165,'TL10'!$J$238:$J$451),0),
IF('TL11'!$B$3=K$3,SUMIF('TL11'!$C$10:$C$224,$C165,'TL11'!$J$10:$J$224),0),
IF('TL11'!$B$229=K$3,SUMIF('TL11'!$C$238:$C$451,$C165,'TL11'!$J$238:$J$451),0),
IF('TL12'!$B$3=K$3,SUMIF('TL12'!$C$10:$C$224,$C165,'TL12'!$J$10:$J$224),0),
IF('TL12'!$B$229=K$3,SUMIF('TL12'!$C$238:$C$451,$C165,'TL12'!$J$238:$J$451),0),
IF('TL13'!$B$3=K$3,SUMIF('TL13'!$C$10:$C$224,$C165,'TL13'!$J$10:$J$224),0),
IF('TL13'!$B$229=K$3,SUMIF('TL13'!$C$238:$C$451,$C165,'TL13'!$J$238:$J$451),0),
IF('TL14'!$B$3=K$3,SUMIF('TL14'!$C$10:$C$224,$C165,'TL14'!$J$10:$J$224),0),
IF('TL14'!$B$229=K$3,SUMIF('TL14'!$C$238:$C$451,$C165,'TL14'!$J$238:$J$451),0),
IF('TL15'!$B$3=K$3,SUMIF('TL15'!$C$10:$C$224,$C165,'TL15'!$J$10:$J$224),0),
IF('TL15'!$B$229=K$3,SUMIF('TL15'!$C$238:$C$451,$C165,'TL15'!$J$238:$J$451),0),
IF('TL16'!$B$3=K$3,SUMIF('TL16'!$C$10:$C$224,$C165,'TL16'!$J$10:$J$224),0),
IF('TL16'!$B$229=K$3,SUMIF('TL16'!$C$238:$C$451,$C165,'TL16'!$J$238:$J$451),0),
IF('TL17'!$B$3=K$3,SUMIF('TL17'!$C$10:$C$224,$C165,'TL17'!$J$10:$J$224),0),
IF('TL17'!$B$229=K$3,SUMIF('TL17'!$C$238:$C$451,$C165,'TL17'!$J$238:$J$451),0),
IF('TL18'!$B$3=K$3,SUMIF('TL18'!$C$10:$C$224,$C165,'TL18'!$J$10:$J$224),0),
IF('TL18'!$B$229=K$3,SUMIF('TL18'!$C$238:$C$451,$C165,'TL18'!$J$238:$J$451),0),
IF('TL19'!$B$3=K$3,SUMIF('TL19'!$C$10:$C$224,$C165,'TL19'!$J$10:$J$224),0),
IF('TL19'!$B$229=K$3,SUMIF('TL19'!$C$238:$C$451,$C165,'TL19'!$J$238:$J$451),0)
),0)</f>
        <v>0</v>
      </c>
      <c r="L165" s="9">
        <f>IFERROR(SUM(
IF('TL01'!$B$3=L$3,SUMIF('TL01'!$C$10:$C$224,$C165,'TL01'!$J$10:$J$224),0),
IF('TL01'!$B$229=L$3,SUMIF('TL01'!$C$238:$C$451,$C165,'TL01'!$J$238:$J$451),0),
IF('TL02'!$B$3=L$3,SUMIF('TL02'!$C$10:$C$224,$C165,'TL02'!$J$10:$J$224),0),
IF('TL02'!$B$229=L$3,SUMIF('TL02'!$C$238:$C$451,$C165,'TL02'!$J$238:$J$451),0),
IF('TL03'!$B$3=L$3,SUMIF('TL03'!$C$10:$C$224,$C165,'TL03'!$J$10:$J$224),0),
IF('TL03'!$B$229=L$3,SUMIF('TL03'!$C$238:$C$451,$C165,'TL03'!$J$238:$J$451),0),
IF('TL04'!$B$3=L$3,SUMIF('TL04'!$C$10:$C$224,$C165,'TL04'!$J$10:$J$224),0),
IF('TL04'!$B$229=L$3,SUMIF('TL04'!$C$238:$C$451,$C165,'TL04'!$J$238:$J$451),0),
IF('TL05'!$B$3=L$3,SUMIF('TL05'!$C$10:$C$224,$C165,'TL05'!$J$10:$J$224),0),
IF('TL05'!$B$229=L$3,SUMIF('TL05'!$C$238:$C$451,$C165,'TL05'!$J$238:$J$451),0),
IF('TL06'!$B$3=L$3,SUMIF('TL06'!$C$10:$C$224,$C165,'TL06'!$J$10:$J$224),0),
IF('TL06'!$B$229=L$3,SUMIF('TL06'!$C$238:$C$451,$C165,'TL06'!$J$238:$J$451),0),
IF('TL07'!$B$3=L$3,SUMIF('TL07'!$C$10:$C$224,$C165,'TL07'!$J$10:$J$224),0),
IF('TL07'!$B$229=L$3,SUMIF('TL07'!$C$238:$C$451,$C165,'TL07'!$J$238:$J$451),0),
IF('TL08'!$B$3=L$3,SUMIF('TL08'!$C$10:$C$224,$C165,'TL08'!$J$10:$J$224),0),
IF('TL08'!$B$229=L$3,SUMIF('TL08'!$C$238:$C$451,$C165,'TL08'!$J$238:$J$451),0),
IF('TL09'!$B$3=L$3,SUMIF('TL09'!$C$10:$C$224,$C165,'TL09'!$J$10:$J$224),0),
IF('TL09'!$B$229=L$3,SUMIF('TL09'!$C$238:$C$451,$C165,'TL09'!$J$238:$J$451),0),
IF('TL10'!$B$3=L$3,SUMIF('TL10'!$C$10:$C$224,$C165,'TL10'!$J$10:$J$224),0),
IF('TL10'!$B$229=L$3,SUMIF('TL10'!$C$238:$C$451,$C165,'TL10'!$J$238:$J$451),0),
IF('TL11'!$B$3=L$3,SUMIF('TL11'!$C$10:$C$224,$C165,'TL11'!$J$10:$J$224),0),
IF('TL11'!$B$229=L$3,SUMIF('TL11'!$C$238:$C$451,$C165,'TL11'!$J$238:$J$451),0),
IF('TL12'!$B$3=L$3,SUMIF('TL12'!$C$10:$C$224,$C165,'TL12'!$J$10:$J$224),0),
IF('TL12'!$B$229=L$3,SUMIF('TL12'!$C$238:$C$451,$C165,'TL12'!$J$238:$J$451),0),
IF('TL13'!$B$3=L$3,SUMIF('TL13'!$C$10:$C$224,$C165,'TL13'!$J$10:$J$224),0),
IF('TL13'!$B$229=L$3,SUMIF('TL13'!$C$238:$C$451,$C165,'TL13'!$J$238:$J$451),0),
IF('TL14'!$B$3=L$3,SUMIF('TL14'!$C$10:$C$224,$C165,'TL14'!$J$10:$J$224),0),
IF('TL14'!$B$229=L$3,SUMIF('TL14'!$C$238:$C$451,$C165,'TL14'!$J$238:$J$451),0),
IF('TL15'!$B$3=L$3,SUMIF('TL15'!$C$10:$C$224,$C165,'TL15'!$J$10:$J$224),0),
IF('TL15'!$B$229=L$3,SUMIF('TL15'!$C$238:$C$451,$C165,'TL15'!$J$238:$J$451),0),
IF('TL16'!$B$3=L$3,SUMIF('TL16'!$C$10:$C$224,$C165,'TL16'!$J$10:$J$224),0),
IF('TL16'!$B$229=L$3,SUMIF('TL16'!$C$238:$C$451,$C165,'TL16'!$J$238:$J$451),0),
IF('TL17'!$B$3=L$3,SUMIF('TL17'!$C$10:$C$224,$C165,'TL17'!$J$10:$J$224),0),
IF('TL17'!$B$229=L$3,SUMIF('TL17'!$C$238:$C$451,$C165,'TL17'!$J$238:$J$451),0),
IF('TL18'!$B$3=L$3,SUMIF('TL18'!$C$10:$C$224,$C165,'TL18'!$J$10:$J$224),0),
IF('TL18'!$B$229=L$3,SUMIF('TL18'!$C$238:$C$451,$C165,'TL18'!$J$238:$J$451),0),
IF('TL19'!$B$3=L$3,SUMIF('TL19'!$C$10:$C$224,$C165,'TL19'!$J$10:$J$224),0),
IF('TL19'!$B$229=L$3,SUMIF('TL19'!$C$238:$C$451,$C165,'TL19'!$J$238:$J$451),0)
),0)</f>
        <v>0</v>
      </c>
      <c r="M165" s="9">
        <f>IFERROR(SUM(
IF('TL01'!$B$3=M$3,SUMIF('TL01'!$C$10:$C$224,$C165,'TL01'!$J$10:$J$224),0),
IF('TL01'!$B$229=M$3,SUMIF('TL01'!$C$238:$C$451,$C165,'TL01'!$J$238:$J$451),0),
IF('TL02'!$B$3=M$3,SUMIF('TL02'!$C$10:$C$224,$C165,'TL02'!$J$10:$J$224),0),
IF('TL02'!$B$229=M$3,SUMIF('TL02'!$C$238:$C$451,$C165,'TL02'!$J$238:$J$451),0),
IF('TL03'!$B$3=M$3,SUMIF('TL03'!$C$10:$C$224,$C165,'TL03'!$J$10:$J$224),0),
IF('TL03'!$B$229=M$3,SUMIF('TL03'!$C$238:$C$451,$C165,'TL03'!$J$238:$J$451),0),
IF('TL04'!$B$3=M$3,SUMIF('TL04'!$C$10:$C$224,$C165,'TL04'!$J$10:$J$224),0),
IF('TL04'!$B$229=M$3,SUMIF('TL04'!$C$238:$C$451,$C165,'TL04'!$J$238:$J$451),0),
IF('TL05'!$B$3=M$3,SUMIF('TL05'!$C$10:$C$224,$C165,'TL05'!$J$10:$J$224),0),
IF('TL05'!$B$229=M$3,SUMIF('TL05'!$C$238:$C$451,$C165,'TL05'!$J$238:$J$451),0),
IF('TL06'!$B$3=M$3,SUMIF('TL06'!$C$10:$C$224,$C165,'TL06'!$J$10:$J$224),0),
IF('TL06'!$B$229=M$3,SUMIF('TL06'!$C$238:$C$451,$C165,'TL06'!$J$238:$J$451),0),
IF('TL07'!$B$3=M$3,SUMIF('TL07'!$C$10:$C$224,$C165,'TL07'!$J$10:$J$224),0),
IF('TL07'!$B$229=M$3,SUMIF('TL07'!$C$238:$C$451,$C165,'TL07'!$J$238:$J$451),0),
IF('TL08'!$B$3=M$3,SUMIF('TL08'!$C$10:$C$224,$C165,'TL08'!$J$10:$J$224),0),
IF('TL08'!$B$229=M$3,SUMIF('TL08'!$C$238:$C$451,$C165,'TL08'!$J$238:$J$451),0),
IF('TL09'!$B$3=M$3,SUMIF('TL09'!$C$10:$C$224,$C165,'TL09'!$J$10:$J$224),0),
IF('TL09'!$B$229=M$3,SUMIF('TL09'!$C$238:$C$451,$C165,'TL09'!$J$238:$J$451),0),
IF('TL10'!$B$3=M$3,SUMIF('TL10'!$C$10:$C$224,$C165,'TL10'!$J$10:$J$224),0),
IF('TL10'!$B$229=M$3,SUMIF('TL10'!$C$238:$C$451,$C165,'TL10'!$J$238:$J$451),0),
IF('TL11'!$B$3=M$3,SUMIF('TL11'!$C$10:$C$224,$C165,'TL11'!$J$10:$J$224),0),
IF('TL11'!$B$229=M$3,SUMIF('TL11'!$C$238:$C$451,$C165,'TL11'!$J$238:$J$451),0),
IF('TL12'!$B$3=M$3,SUMIF('TL12'!$C$10:$C$224,$C165,'TL12'!$J$10:$J$224),0),
IF('TL12'!$B$229=M$3,SUMIF('TL12'!$C$238:$C$451,$C165,'TL12'!$J$238:$J$451),0),
IF('TL13'!$B$3=M$3,SUMIF('TL13'!$C$10:$C$224,$C165,'TL13'!$J$10:$J$224),0),
IF('TL13'!$B$229=M$3,SUMIF('TL13'!$C$238:$C$451,$C165,'TL13'!$J$238:$J$451),0),
IF('TL14'!$B$3=M$3,SUMIF('TL14'!$C$10:$C$224,$C165,'TL14'!$J$10:$J$224),0),
IF('TL14'!$B$229=M$3,SUMIF('TL14'!$C$238:$C$451,$C165,'TL14'!$J$238:$J$451),0),
IF('TL15'!$B$3=M$3,SUMIF('TL15'!$C$10:$C$224,$C165,'TL15'!$J$10:$J$224),0),
IF('TL15'!$B$229=M$3,SUMIF('TL15'!$C$238:$C$451,$C165,'TL15'!$J$238:$J$451),0),
IF('TL16'!$B$3=M$3,SUMIF('TL16'!$C$10:$C$224,$C165,'TL16'!$J$10:$J$224),0),
IF('TL16'!$B$229=M$3,SUMIF('TL16'!$C$238:$C$451,$C165,'TL16'!$J$238:$J$451),0),
IF('TL17'!$B$3=M$3,SUMIF('TL17'!$C$10:$C$224,$C165,'TL17'!$J$10:$J$224),0),
IF('TL17'!$B$229=M$3,SUMIF('TL17'!$C$238:$C$451,$C165,'TL17'!$J$238:$J$451),0),
IF('TL18'!$B$3=M$3,SUMIF('TL18'!$C$10:$C$224,$C165,'TL18'!$J$10:$J$224),0),
IF('TL18'!$B$229=M$3,SUMIF('TL18'!$C$238:$C$451,$C165,'TL18'!$J$238:$J$451),0),
IF('TL19'!$B$3=M$3,SUMIF('TL19'!$C$10:$C$224,$C165,'TL19'!$J$10:$J$224),0),
IF('TL19'!$B$229=M$3,SUMIF('TL19'!$C$238:$C$451,$C165,'TL19'!$J$238:$J$451),0)
),0)</f>
        <v>400</v>
      </c>
      <c r="N165" s="9">
        <f>IFERROR(SUM(
IF('TL01'!$B$3=N$3,SUMIF('TL01'!$C$10:$C$224,$C165,'TL01'!$J$10:$J$224),0),
IF('TL01'!$B$229=N$3,SUMIF('TL01'!$C$238:$C$451,$C165,'TL01'!$J$238:$J$451),0),
IF('TL02'!$B$3=N$3,SUMIF('TL02'!$C$10:$C$224,$C165,'TL02'!$J$10:$J$224),0),
IF('TL02'!$B$229=N$3,SUMIF('TL02'!$C$238:$C$451,$C165,'TL02'!$J$238:$J$451),0),
IF('TL03'!$B$3=N$3,SUMIF('TL03'!$C$10:$C$224,$C165,'TL03'!$J$10:$J$224),0),
IF('TL03'!$B$229=N$3,SUMIF('TL03'!$C$238:$C$451,$C165,'TL03'!$J$238:$J$451),0),
IF('TL04'!$B$3=N$3,SUMIF('TL04'!$C$10:$C$224,$C165,'TL04'!$J$10:$J$224),0),
IF('TL04'!$B$229=N$3,SUMIF('TL04'!$C$238:$C$451,$C165,'TL04'!$J$238:$J$451),0),
IF('TL05'!$B$3=N$3,SUMIF('TL05'!$C$10:$C$224,$C165,'TL05'!$J$10:$J$224),0),
IF('TL05'!$B$229=N$3,SUMIF('TL05'!$C$238:$C$451,$C165,'TL05'!$J$238:$J$451),0),
IF('TL06'!$B$3=N$3,SUMIF('TL06'!$C$10:$C$224,$C165,'TL06'!$J$10:$J$224),0),
IF('TL06'!$B$229=N$3,SUMIF('TL06'!$C$238:$C$451,$C165,'TL06'!$J$238:$J$451),0),
IF('TL07'!$B$3=N$3,SUMIF('TL07'!$C$10:$C$224,$C165,'TL07'!$J$10:$J$224),0),
IF('TL07'!$B$229=N$3,SUMIF('TL07'!$C$238:$C$451,$C165,'TL07'!$J$238:$J$451),0),
IF('TL08'!$B$3=N$3,SUMIF('TL08'!$C$10:$C$224,$C165,'TL08'!$J$10:$J$224),0),
IF('TL08'!$B$229=N$3,SUMIF('TL08'!$C$238:$C$451,$C165,'TL08'!$J$238:$J$451),0),
IF('TL09'!$B$3=N$3,SUMIF('TL09'!$C$10:$C$224,$C165,'TL09'!$J$10:$J$224),0),
IF('TL09'!$B$229=N$3,SUMIF('TL09'!$C$238:$C$451,$C165,'TL09'!$J$238:$J$451),0),
IF('TL10'!$B$3=N$3,SUMIF('TL10'!$C$10:$C$224,$C165,'TL10'!$J$10:$J$224),0),
IF('TL10'!$B$229=N$3,SUMIF('TL10'!$C$238:$C$451,$C165,'TL10'!$J$238:$J$451),0),
IF('TL11'!$B$3=N$3,SUMIF('TL11'!$C$10:$C$224,$C165,'TL11'!$J$10:$J$224),0),
IF('TL11'!$B$229=N$3,SUMIF('TL11'!$C$238:$C$451,$C165,'TL11'!$J$238:$J$451),0),
IF('TL12'!$B$3=N$3,SUMIF('TL12'!$C$10:$C$224,$C165,'TL12'!$J$10:$J$224),0),
IF('TL12'!$B$229=N$3,SUMIF('TL12'!$C$238:$C$451,$C165,'TL12'!$J$238:$J$451),0),
IF('TL13'!$B$3=N$3,SUMIF('TL13'!$C$10:$C$224,$C165,'TL13'!$J$10:$J$224),0),
IF('TL13'!$B$229=N$3,SUMIF('TL13'!$C$238:$C$451,$C165,'TL13'!$J$238:$J$451),0),
IF('TL14'!$B$3=N$3,SUMIF('TL14'!$C$10:$C$224,$C165,'TL14'!$J$10:$J$224),0),
IF('TL14'!$B$229=N$3,SUMIF('TL14'!$C$238:$C$451,$C165,'TL14'!$J$238:$J$451),0),
IF('TL15'!$B$3=N$3,SUMIF('TL15'!$C$10:$C$224,$C165,'TL15'!$J$10:$J$224),0),
IF('TL15'!$B$229=N$3,SUMIF('TL15'!$C$238:$C$451,$C165,'TL15'!$J$238:$J$451),0),
IF('TL16'!$B$3=N$3,SUMIF('TL16'!$C$10:$C$224,$C165,'TL16'!$J$10:$J$224),0),
IF('TL16'!$B$229=N$3,SUMIF('TL16'!$C$238:$C$451,$C165,'TL16'!$J$238:$J$451),0),
IF('TL17'!$B$3=N$3,SUMIF('TL17'!$C$10:$C$224,$C165,'TL17'!$J$10:$J$224),0),
IF('TL17'!$B$229=N$3,SUMIF('TL17'!$C$238:$C$451,$C165,'TL17'!$J$238:$J$451),0),
IF('TL18'!$B$3=N$3,SUMIF('TL18'!$C$10:$C$224,$C165,'TL18'!$J$10:$J$224),0),
IF('TL18'!$B$229=N$3,SUMIF('TL18'!$C$238:$C$451,$C165,'TL18'!$J$238:$J$451),0),
IF('TL19'!$B$3=N$3,SUMIF('TL19'!$C$10:$C$224,$C165,'TL19'!$J$10:$J$224),0),
IF('TL19'!$B$229=N$3,SUMIF('TL19'!$C$238:$C$451,$C165,'TL19'!$J$238:$J$451),0)
),0)</f>
        <v>752</v>
      </c>
      <c r="O165" s="9">
        <f>IFERROR(SUM(
IF('TL01'!$B$3=O$3,SUMIF('TL01'!$C$10:$C$224,$C165,'TL01'!$J$10:$J$224),0),
IF('TL01'!$B$229=O$3,SUMIF('TL01'!$C$238:$C$451,$C165,'TL01'!$J$238:$J$451),0),
IF('TL02'!$B$3=O$3,SUMIF('TL02'!$C$10:$C$224,$C165,'TL02'!$J$10:$J$224),0),
IF('TL02'!$B$229=O$3,SUMIF('TL02'!$C$238:$C$451,$C165,'TL02'!$J$238:$J$451),0),
IF('TL03'!$B$3=O$3,SUMIF('TL03'!$C$10:$C$224,$C165,'TL03'!$J$10:$J$224),0),
IF('TL03'!$B$229=O$3,SUMIF('TL03'!$C$238:$C$451,$C165,'TL03'!$J$238:$J$451),0),
IF('TL04'!$B$3=O$3,SUMIF('TL04'!$C$10:$C$224,$C165,'TL04'!$J$10:$J$224),0),
IF('TL04'!$B$229=O$3,SUMIF('TL04'!$C$238:$C$451,$C165,'TL04'!$J$238:$J$451),0),
IF('TL05'!$B$3=O$3,SUMIF('TL05'!$C$10:$C$224,$C165,'TL05'!$J$10:$J$224),0),
IF('TL05'!$B$229=O$3,SUMIF('TL05'!$C$238:$C$451,$C165,'TL05'!$J$238:$J$451),0),
IF('TL06'!$B$3=O$3,SUMIF('TL06'!$C$10:$C$224,$C165,'TL06'!$J$10:$J$224),0),
IF('TL06'!$B$229=O$3,SUMIF('TL06'!$C$238:$C$451,$C165,'TL06'!$J$238:$J$451),0),
IF('TL07'!$B$3=O$3,SUMIF('TL07'!$C$10:$C$224,$C165,'TL07'!$J$10:$J$224),0),
IF('TL07'!$B$229=O$3,SUMIF('TL07'!$C$238:$C$451,$C165,'TL07'!$J$238:$J$451),0),
IF('TL08'!$B$3=O$3,SUMIF('TL08'!$C$10:$C$224,$C165,'TL08'!$J$10:$J$224),0),
IF('TL08'!$B$229=O$3,SUMIF('TL08'!$C$238:$C$451,$C165,'TL08'!$J$238:$J$451),0),
IF('TL09'!$B$3=O$3,SUMIF('TL09'!$C$10:$C$224,$C165,'TL09'!$J$10:$J$224),0),
IF('TL09'!$B$229=O$3,SUMIF('TL09'!$C$238:$C$451,$C165,'TL09'!$J$238:$J$451),0),
IF('TL10'!$B$3=O$3,SUMIF('TL10'!$C$10:$C$224,$C165,'TL10'!$J$10:$J$224),0),
IF('TL10'!$B$229=O$3,SUMIF('TL10'!$C$238:$C$451,$C165,'TL10'!$J$238:$J$451),0),
IF('TL11'!$B$3=O$3,SUMIF('TL11'!$C$10:$C$224,$C165,'TL11'!$J$10:$J$224),0),
IF('TL11'!$B$229=O$3,SUMIF('TL11'!$C$238:$C$451,$C165,'TL11'!$J$238:$J$451),0),
IF('TL12'!$B$3=O$3,SUMIF('TL12'!$C$10:$C$224,$C165,'TL12'!$J$10:$J$224),0),
IF('TL12'!$B$229=O$3,SUMIF('TL12'!$C$238:$C$451,$C165,'TL12'!$J$238:$J$451),0),
IF('TL13'!$B$3=O$3,SUMIF('TL13'!$C$10:$C$224,$C165,'TL13'!$J$10:$J$224),0),
IF('TL13'!$B$229=O$3,SUMIF('TL13'!$C$238:$C$451,$C165,'TL13'!$J$238:$J$451),0),
IF('TL14'!$B$3=O$3,SUMIF('TL14'!$C$10:$C$224,$C165,'TL14'!$J$10:$J$224),0),
IF('TL14'!$B$229=O$3,SUMIF('TL14'!$C$238:$C$451,$C165,'TL14'!$J$238:$J$451),0),
IF('TL15'!$B$3=O$3,SUMIF('TL15'!$C$10:$C$224,$C165,'TL15'!$J$10:$J$224),0),
IF('TL15'!$B$229=O$3,SUMIF('TL15'!$C$238:$C$451,$C165,'TL15'!$J$238:$J$451),0),
IF('TL16'!$B$3=O$3,SUMIF('TL16'!$C$10:$C$224,$C165,'TL16'!$J$10:$J$224),0),
IF('TL16'!$B$229=O$3,SUMIF('TL16'!$C$238:$C$451,$C165,'TL16'!$J$238:$J$451),0),
IF('TL17'!$B$3=O$3,SUMIF('TL17'!$C$10:$C$224,$C165,'TL17'!$J$10:$J$224),0),
IF('TL17'!$B$229=O$3,SUMIF('TL17'!$C$238:$C$451,$C165,'TL17'!$J$238:$J$451),0),
IF('TL18'!$B$3=O$3,SUMIF('TL18'!$C$10:$C$224,$C165,'TL18'!$J$10:$J$224),0),
IF('TL18'!$B$229=O$3,SUMIF('TL18'!$C$238:$C$451,$C165,'TL18'!$J$238:$J$451),0),
IF('TL19'!$B$3=O$3,SUMIF('TL19'!$C$10:$C$224,$C165,'TL19'!$J$10:$J$224),0),
IF('TL19'!$B$229=O$3,SUMIF('TL19'!$C$238:$C$451,$C165,'TL19'!$J$238:$J$451),0)
),0)</f>
        <v>440</v>
      </c>
      <c r="P165" s="9">
        <f>IFERROR(SUM(
IF('TL01'!$B$3=P$3,SUMIF('TL01'!$C$10:$C$224,$C165,'TL01'!$J$10:$J$224),0),
IF('TL01'!$B$229=P$3,SUMIF('TL01'!$C$238:$C$451,$C165,'TL01'!$J$238:$J$451),0),
IF('TL02'!$B$3=P$3,SUMIF('TL02'!$C$10:$C$224,$C165,'TL02'!$J$10:$J$224),0),
IF('TL02'!$B$229=P$3,SUMIF('TL02'!$C$238:$C$451,$C165,'TL02'!$J$238:$J$451),0),
IF('TL03'!$B$3=P$3,SUMIF('TL03'!$C$10:$C$224,$C165,'TL03'!$J$10:$J$224),0),
IF('TL03'!$B$229=P$3,SUMIF('TL03'!$C$238:$C$451,$C165,'TL03'!$J$238:$J$451),0),
IF('TL04'!$B$3=P$3,SUMIF('TL04'!$C$10:$C$224,$C165,'TL04'!$J$10:$J$224),0),
IF('TL04'!$B$229=P$3,SUMIF('TL04'!$C$238:$C$451,$C165,'TL04'!$J$238:$J$451),0),
IF('TL05'!$B$3=P$3,SUMIF('TL05'!$C$10:$C$224,$C165,'TL05'!$J$10:$J$224),0),
IF('TL05'!$B$229=P$3,SUMIF('TL05'!$C$238:$C$451,$C165,'TL05'!$J$238:$J$451),0),
IF('TL06'!$B$3=P$3,SUMIF('TL06'!$C$10:$C$224,$C165,'TL06'!$J$10:$J$224),0),
IF('TL06'!$B$229=P$3,SUMIF('TL06'!$C$238:$C$451,$C165,'TL06'!$J$238:$J$451),0),
IF('TL07'!$B$3=P$3,SUMIF('TL07'!$C$10:$C$224,$C165,'TL07'!$J$10:$J$224),0),
IF('TL07'!$B$229=P$3,SUMIF('TL07'!$C$238:$C$451,$C165,'TL07'!$J$238:$J$451),0),
IF('TL08'!$B$3=P$3,SUMIF('TL08'!$C$10:$C$224,$C165,'TL08'!$J$10:$J$224),0),
IF('TL08'!$B$229=P$3,SUMIF('TL08'!$C$238:$C$451,$C165,'TL08'!$J$238:$J$451),0),
IF('TL09'!$B$3=P$3,SUMIF('TL09'!$C$10:$C$224,$C165,'TL09'!$J$10:$J$224),0),
IF('TL09'!$B$229=P$3,SUMIF('TL09'!$C$238:$C$451,$C165,'TL09'!$J$238:$J$451),0),
IF('TL10'!$B$3=P$3,SUMIF('TL10'!$C$10:$C$224,$C165,'TL10'!$J$10:$J$224),0),
IF('TL10'!$B$229=P$3,SUMIF('TL10'!$C$238:$C$451,$C165,'TL10'!$J$238:$J$451),0),
IF('TL11'!$B$3=P$3,SUMIF('TL11'!$C$10:$C$224,$C165,'TL11'!$J$10:$J$224),0),
IF('TL11'!$B$229=P$3,SUMIF('TL11'!$C$238:$C$451,$C165,'TL11'!$J$238:$J$451),0),
IF('TL12'!$B$3=P$3,SUMIF('TL12'!$C$10:$C$224,$C165,'TL12'!$J$10:$J$224),0),
IF('TL12'!$B$229=P$3,SUMIF('TL12'!$C$238:$C$451,$C165,'TL12'!$J$238:$J$451),0),
IF('TL13'!$B$3=P$3,SUMIF('TL13'!$C$10:$C$224,$C165,'TL13'!$J$10:$J$224),0),
IF('TL13'!$B$229=P$3,SUMIF('TL13'!$C$238:$C$451,$C165,'TL13'!$J$238:$J$451),0),
IF('TL14'!$B$3=P$3,SUMIF('TL14'!$C$10:$C$224,$C165,'TL14'!$J$10:$J$224),0),
IF('TL14'!$B$229=P$3,SUMIF('TL14'!$C$238:$C$451,$C165,'TL14'!$J$238:$J$451),0),
IF('TL15'!$B$3=P$3,SUMIF('TL15'!$C$10:$C$224,$C165,'TL15'!$J$10:$J$224),0),
IF('TL15'!$B$229=P$3,SUMIF('TL15'!$C$238:$C$451,$C165,'TL15'!$J$238:$J$451),0),
IF('TL16'!$B$3=P$3,SUMIF('TL16'!$C$10:$C$224,$C165,'TL16'!$J$10:$J$224),0),
IF('TL16'!$B$229=P$3,SUMIF('TL16'!$C$238:$C$451,$C165,'TL16'!$J$238:$J$451),0),
IF('TL17'!$B$3=P$3,SUMIF('TL17'!$C$10:$C$224,$C165,'TL17'!$J$10:$J$224),0),
IF('TL17'!$B$229=P$3,SUMIF('TL17'!$C$238:$C$451,$C165,'TL17'!$J$238:$J$451),0),
IF('TL18'!$B$3=P$3,SUMIF('TL18'!$C$10:$C$224,$C165,'TL18'!$J$10:$J$224),0),
IF('TL18'!$B$229=P$3,SUMIF('TL18'!$C$238:$C$451,$C165,'TL18'!$J$238:$J$451),0),
IF('TL19'!$B$3=P$3,SUMIF('TL19'!$C$10:$C$224,$C165,'TL19'!$J$10:$J$224),0),
IF('TL19'!$B$229=P$3,SUMIF('TL19'!$C$238:$C$451,$C165,'TL19'!$J$238:$J$451),0)
),0)</f>
        <v>0</v>
      </c>
      <c r="Q165" s="9">
        <f>IFERROR(SUM(
IF('TL01'!$B$3=Q$3,SUMIF('TL01'!$C$10:$C$224,$C165,'TL01'!$J$10:$J$224),0),
IF('TL01'!$B$229=Q$3,SUMIF('TL01'!$C$238:$C$451,$C165,'TL01'!$J$238:$J$451),0),
IF('TL02'!$B$3=Q$3,SUMIF('TL02'!$C$10:$C$224,$C165,'TL02'!$J$10:$J$224),0),
IF('TL02'!$B$229=Q$3,SUMIF('TL02'!$C$238:$C$451,$C165,'TL02'!$J$238:$J$451),0),
IF('TL03'!$B$3=Q$3,SUMIF('TL03'!$C$10:$C$224,$C165,'TL03'!$J$10:$J$224),0),
IF('TL03'!$B$229=Q$3,SUMIF('TL03'!$C$238:$C$451,$C165,'TL03'!$J$238:$J$451),0),
IF('TL04'!$B$3=Q$3,SUMIF('TL04'!$C$10:$C$224,$C165,'TL04'!$J$10:$J$224),0),
IF('TL04'!$B$229=Q$3,SUMIF('TL04'!$C$238:$C$451,$C165,'TL04'!$J$238:$J$451),0),
IF('TL05'!$B$3=Q$3,SUMIF('TL05'!$C$10:$C$224,$C165,'TL05'!$J$10:$J$224),0),
IF('TL05'!$B$229=Q$3,SUMIF('TL05'!$C$238:$C$451,$C165,'TL05'!$J$238:$J$451),0),
IF('TL06'!$B$3=Q$3,SUMIF('TL06'!$C$10:$C$224,$C165,'TL06'!$J$10:$J$224),0),
IF('TL06'!$B$229=Q$3,SUMIF('TL06'!$C$238:$C$451,$C165,'TL06'!$J$238:$J$451),0),
IF('TL07'!$B$3=Q$3,SUMIF('TL07'!$C$10:$C$224,$C165,'TL07'!$J$10:$J$224),0),
IF('TL07'!$B$229=Q$3,SUMIF('TL07'!$C$238:$C$451,$C165,'TL07'!$J$238:$J$451),0),
IF('TL08'!$B$3=Q$3,SUMIF('TL08'!$C$10:$C$224,$C165,'TL08'!$J$10:$J$224),0),
IF('TL08'!$B$229=Q$3,SUMIF('TL08'!$C$238:$C$451,$C165,'TL08'!$J$238:$J$451),0),
IF('TL09'!$B$3=Q$3,SUMIF('TL09'!$C$10:$C$224,$C165,'TL09'!$J$10:$J$224),0),
IF('TL09'!$B$229=Q$3,SUMIF('TL09'!$C$238:$C$451,$C165,'TL09'!$J$238:$J$451),0),
IF('TL10'!$B$3=Q$3,SUMIF('TL10'!$C$10:$C$224,$C165,'TL10'!$J$10:$J$224),0),
IF('TL10'!$B$229=Q$3,SUMIF('TL10'!$C$238:$C$451,$C165,'TL10'!$J$238:$J$451),0),
IF('TL11'!$B$3=Q$3,SUMIF('TL11'!$C$10:$C$224,$C165,'TL11'!$J$10:$J$224),0),
IF('TL11'!$B$229=Q$3,SUMIF('TL11'!$C$238:$C$451,$C165,'TL11'!$J$238:$J$451),0),
IF('TL12'!$B$3=Q$3,SUMIF('TL12'!$C$10:$C$224,$C165,'TL12'!$J$10:$J$224),0),
IF('TL12'!$B$229=Q$3,SUMIF('TL12'!$C$238:$C$451,$C165,'TL12'!$J$238:$J$451),0),
IF('TL13'!$B$3=Q$3,SUMIF('TL13'!$C$10:$C$224,$C165,'TL13'!$J$10:$J$224),0),
IF('TL13'!$B$229=Q$3,SUMIF('TL13'!$C$238:$C$451,$C165,'TL13'!$J$238:$J$451),0),
IF('TL14'!$B$3=Q$3,SUMIF('TL14'!$C$10:$C$224,$C165,'TL14'!$J$10:$J$224),0),
IF('TL14'!$B$229=Q$3,SUMIF('TL14'!$C$238:$C$451,$C165,'TL14'!$J$238:$J$451),0),
IF('TL15'!$B$3=Q$3,SUMIF('TL15'!$C$10:$C$224,$C165,'TL15'!$J$10:$J$224),0),
IF('TL15'!$B$229=Q$3,SUMIF('TL15'!$C$238:$C$451,$C165,'TL15'!$J$238:$J$451),0),
IF('TL16'!$B$3=Q$3,SUMIF('TL16'!$C$10:$C$224,$C165,'TL16'!$J$10:$J$224),0),
IF('TL16'!$B$229=Q$3,SUMIF('TL16'!$C$238:$C$451,$C165,'TL16'!$J$238:$J$451),0),
IF('TL17'!$B$3=Q$3,SUMIF('TL17'!$C$10:$C$224,$C165,'TL17'!$J$10:$J$224),0),
IF('TL17'!$B$229=Q$3,SUMIF('TL17'!$C$238:$C$451,$C165,'TL17'!$J$238:$J$451),0),
IF('TL18'!$B$3=Q$3,SUMIF('TL18'!$C$10:$C$224,$C165,'TL18'!$J$10:$J$224),0),
IF('TL18'!$B$229=Q$3,SUMIF('TL18'!$C$238:$C$451,$C165,'TL18'!$J$238:$J$451),0),
IF('TL19'!$B$3=Q$3,SUMIF('TL19'!$C$10:$C$224,$C165,'TL19'!$J$10:$J$224),0),
IF('TL19'!$B$229=Q$3,SUMIF('TL19'!$C$238:$C$451,$C165,'TL19'!$J$238:$J$451),0)
),0)</f>
        <v>0</v>
      </c>
      <c r="R165" s="9">
        <f>IFERROR(
SUM(
SUMIF('TL01'!C:C,C165,'TL01'!J:J),
SUMIF('TL02'!C:C,C165,'TL02'!J:J),
SUMIF('TL03'!C:C,C165,'TL03'!J:J),
SUMIF('TL04'!C:C,C165,'TL04'!J:J),
SUMIF('TL05'!C:C,C165,'TL05'!J:J),
SUMIF('TL06'!C:C,C165,'TL06'!J:J),
SUMIF('TL07'!C:C,C165,'TL07'!J:J),
SUMIF('TL08'!C:C,C165,'TL08'!J:J),
SUMIF('TL09'!C:C,C165,'TL09'!J:J),
SUMIF('TL10'!C:C,C165,'TL10'!J:J),
SUMIF('TL11'!C:C,C165,'TL11'!J:J),
SUMIF('TL12'!C:C,C165,'TL12'!J:J),
SUMIF('TL13'!C:C,C165,'TL13'!J:J),
SUMIF('TL14'!C:C,C165,'TL14'!J:J),
SUMIF('TL15'!C:C,C165,'TL15'!J:J),
SUMIF('TL16'!C:C,C165,'TL16'!J:J),
SUMIF('TL17'!C:C,C165,'TL17'!J:J),
SUMIF('TL18'!C:C,C165,'TL18'!J:J),SUMIF('TL19'!C:C,C165,'TL19'!J:J))
,0)</f>
        <v>1592</v>
      </c>
      <c r="S165" s="17">
        <f>IFERROR(__xludf.DUMMYFUNCTION("IFERROR(VLOOKUP(C165,
IMPORTRANGE(""1wULbzX32WdYsx-lj2U3uUNBBe2INVIRDtcK0d-Dvl90"",
""26-27!C:G""),
5,
FALSE),
"""")"),26.3006)</f>
        <v>26.3006</v>
      </c>
      <c r="T165" s="9"/>
      <c r="U165" s="92">
        <f t="shared" si="2"/>
        <v>1592</v>
      </c>
      <c r="V165" s="93">
        <f t="shared" si="3"/>
        <v>41870.5552</v>
      </c>
    </row>
    <row r="166" ht="15.75" hidden="1" customHeight="1">
      <c r="A166" s="115" t="s">
        <v>358</v>
      </c>
      <c r="B166" s="100" t="s">
        <v>1</v>
      </c>
      <c r="C166" s="116" t="s">
        <v>738</v>
      </c>
      <c r="D166" s="116" t="s">
        <v>739</v>
      </c>
      <c r="E166" s="116" t="s">
        <v>740</v>
      </c>
      <c r="F166" s="4" t="s">
        <v>343</v>
      </c>
      <c r="G166" s="90" t="str">
        <f t="shared" si="4"/>
        <v>📄 Ver bula</v>
      </c>
      <c r="H166" s="9" t="str">
        <f>IFERROR(__xludf.DUMMYFUNCTION("IFERROR(VLOOKUP(C166,
IMPORTRANGE(""1wULbzX32WdYsx-lj2U3uUNBBe2INVIRDtcK0d-Dvl90"",
""26-27!C:K""),
8,
FALSE),
"""")"),"")</f>
        <v/>
      </c>
      <c r="I166" s="117" t="s">
        <v>344</v>
      </c>
      <c r="J166" s="9">
        <f>IFERROR(SUM(
IF('TL01'!$B$3=J$3,SUMIF('TL01'!$C$10:$C$224,$C166,'TL01'!$J$10:$J$224),0),
IF('TL01'!$B$229=J$3,SUMIF('TL01'!$C$238:$C$451,$C166,'TL01'!$J$238:$J$451),0),
IF('TL02'!$B$3=J$3,SUMIF('TL02'!$C$10:$C$224,$C166,'TL02'!$J$10:$J$224),0),
IF('TL02'!$B$229=J$3,SUMIF('TL02'!$C$238:$C$451,$C166,'TL02'!$J$238:$J$451),0),
IF('TL03'!$B$3=J$3,SUMIF('TL03'!$C$10:$C$224,$C166,'TL03'!$J$10:$J$224),0),
IF('TL03'!$B$229=J$3,SUMIF('TL03'!$C$238:$C$451,$C166,'TL03'!$J$238:$J$451),0),
IF('TL04'!$B$3=J$3,SUMIF('TL04'!$C$10:$C$224,$C166,'TL04'!$J$10:$J$224),0),
IF('TL04'!$B$229=J$3,SUMIF('TL04'!$C$238:$C$451,$C166,'TL04'!$J$238:$J$451),0),
IF('TL05'!$B$3=J$3,SUMIF('TL05'!$C$10:$C$224,$C166,'TL05'!$J$10:$J$224),0),
IF('TL05'!$B$229=J$3,SUMIF('TL05'!$C$238:$C$451,$C166,'TL05'!$J$238:$J$451),0),
IF('TL06'!$B$3=J$3,SUMIF('TL06'!$C$10:$C$224,$C166,'TL06'!$J$10:$J$224),0),
IF('TL06'!$B$229=J$3,SUMIF('TL06'!$C$238:$C$451,$C166,'TL06'!$J$238:$J$451),0),
IF('TL07'!$B$3=J$3,SUMIF('TL07'!$C$10:$C$224,$C166,'TL07'!$J$10:$J$224),0),
IF('TL07'!$B$229=J$3,SUMIF('TL07'!$C$238:$C$451,$C166,'TL07'!$J$238:$J$451),0),
IF('TL08'!$B$3=J$3,SUMIF('TL08'!$C$10:$C$224,$C166,'TL08'!$J$10:$J$224),0),
IF('TL08'!$B$229=J$3,SUMIF('TL08'!$C$238:$C$451,$C166,'TL08'!$J$238:$J$451),0),
IF('TL09'!$B$3=J$3,SUMIF('TL09'!$C$10:$C$224,$C166,'TL09'!$J$10:$J$224),0),
IF('TL09'!$B$229=J$3,SUMIF('TL09'!$C$238:$C$451,$C166,'TL09'!$J$238:$J$451),0),
IF('TL10'!$B$3=J$3,SUMIF('TL10'!$C$10:$C$224,$C166,'TL10'!$J$10:$J$224),0),
IF('TL10'!$B$229=J$3,SUMIF('TL10'!$C$238:$C$451,$C166,'TL10'!$J$238:$J$451),0),
IF('TL11'!$B$3=J$3,SUMIF('TL11'!$C$10:$C$224,$C166,'TL11'!$J$10:$J$224),0),
IF('TL11'!$B$229=J$3,SUMIF('TL11'!$C$238:$C$451,$C166,'TL11'!$J$238:$J$451),0),
IF('TL12'!$B$3=J$3,SUMIF('TL12'!$C$10:$C$224,$C166,'TL12'!$J$10:$J$224),0),
IF('TL12'!$B$229=J$3,SUMIF('TL12'!$C$238:$C$451,$C166,'TL12'!$J$238:$J$451),0),
IF('TL13'!$B$3=J$3,SUMIF('TL13'!$C$10:$C$224,$C166,'TL13'!$J$10:$J$224),0),
IF('TL13'!$B$229=J$3,SUMIF('TL13'!$C$238:$C$451,$C166,'TL13'!$J$238:$J$451),0),
IF('TL14'!$B$3=J$3,SUMIF('TL14'!$C$10:$C$224,$C166,'TL14'!$J$10:$J$224),0),
IF('TL14'!$B$229=J$3,SUMIF('TL14'!$C$238:$C$451,$C166,'TL14'!$J$238:$J$451),0),
IF('TL15'!$B$3=J$3,SUMIF('TL15'!$C$10:$C$224,$C166,'TL15'!$J$10:$J$224),0),
IF('TL15'!$B$229=J$3,SUMIF('TL15'!$C$238:$C$451,$C166,'TL15'!$J$238:$J$451),0),
IF('TL16'!$B$3=J$3,SUMIF('TL16'!$C$10:$C$224,$C166,'TL16'!$J$10:$J$224),0),
IF('TL16'!$B$229=J$3,SUMIF('TL16'!$C$238:$C$451,$C166,'TL16'!$J$238:$J$451),0),
IF('TL17'!$B$3=J$3,SUMIF('TL17'!$C$10:$C$224,$C166,'TL17'!$J$10:$J$224),0),
IF('TL17'!$B$229=J$3,SUMIF('TL17'!$C$238:$C$451,$C166,'TL17'!$J$238:$J$451),0),
IF('TL18'!$B$3=J$3,SUMIF('TL18'!$C$10:$C$224,$C166,'TL18'!$J$10:$J$224),0),
IF('TL18'!$B$229=J$3,SUMIF('TL18'!$C$238:$C$451,$C166,'TL18'!$J$238:$J$451),0),
IF('TL19'!$B$3=J$3,SUMIF('TL19'!$C$10:$C$224,$C166,'TL19'!$J$10:$J$224),0),
IF('TL19'!$B$229=J$3,SUMIF('TL19'!$C$238:$C$451,$C166,'TL19'!$J$238:$J$451),0)
),0)</f>
        <v>0</v>
      </c>
      <c r="K166" s="9">
        <f>IFERROR(SUM(
IF('TL01'!$B$3=K$3,SUMIF('TL01'!$C$10:$C$224,$C166,'TL01'!$J$10:$J$224),0),
IF('TL01'!$B$229=K$3,SUMIF('TL01'!$C$238:$C$451,$C166,'TL01'!$J$238:$J$451),0),
IF('TL02'!$B$3=K$3,SUMIF('TL02'!$C$10:$C$224,$C166,'TL02'!$J$10:$J$224),0),
IF('TL02'!$B$229=K$3,SUMIF('TL02'!$C$238:$C$451,$C166,'TL02'!$J$238:$J$451),0),
IF('TL03'!$B$3=K$3,SUMIF('TL03'!$C$10:$C$224,$C166,'TL03'!$J$10:$J$224),0),
IF('TL03'!$B$229=K$3,SUMIF('TL03'!$C$238:$C$451,$C166,'TL03'!$J$238:$J$451),0),
IF('TL04'!$B$3=K$3,SUMIF('TL04'!$C$10:$C$224,$C166,'TL04'!$J$10:$J$224),0),
IF('TL04'!$B$229=K$3,SUMIF('TL04'!$C$238:$C$451,$C166,'TL04'!$J$238:$J$451),0),
IF('TL05'!$B$3=K$3,SUMIF('TL05'!$C$10:$C$224,$C166,'TL05'!$J$10:$J$224),0),
IF('TL05'!$B$229=K$3,SUMIF('TL05'!$C$238:$C$451,$C166,'TL05'!$J$238:$J$451),0),
IF('TL06'!$B$3=K$3,SUMIF('TL06'!$C$10:$C$224,$C166,'TL06'!$J$10:$J$224),0),
IF('TL06'!$B$229=K$3,SUMIF('TL06'!$C$238:$C$451,$C166,'TL06'!$J$238:$J$451),0),
IF('TL07'!$B$3=K$3,SUMIF('TL07'!$C$10:$C$224,$C166,'TL07'!$J$10:$J$224),0),
IF('TL07'!$B$229=K$3,SUMIF('TL07'!$C$238:$C$451,$C166,'TL07'!$J$238:$J$451),0),
IF('TL08'!$B$3=K$3,SUMIF('TL08'!$C$10:$C$224,$C166,'TL08'!$J$10:$J$224),0),
IF('TL08'!$B$229=K$3,SUMIF('TL08'!$C$238:$C$451,$C166,'TL08'!$J$238:$J$451),0),
IF('TL09'!$B$3=K$3,SUMIF('TL09'!$C$10:$C$224,$C166,'TL09'!$J$10:$J$224),0),
IF('TL09'!$B$229=K$3,SUMIF('TL09'!$C$238:$C$451,$C166,'TL09'!$J$238:$J$451),0),
IF('TL10'!$B$3=K$3,SUMIF('TL10'!$C$10:$C$224,$C166,'TL10'!$J$10:$J$224),0),
IF('TL10'!$B$229=K$3,SUMIF('TL10'!$C$238:$C$451,$C166,'TL10'!$J$238:$J$451),0),
IF('TL11'!$B$3=K$3,SUMIF('TL11'!$C$10:$C$224,$C166,'TL11'!$J$10:$J$224),0),
IF('TL11'!$B$229=K$3,SUMIF('TL11'!$C$238:$C$451,$C166,'TL11'!$J$238:$J$451),0),
IF('TL12'!$B$3=K$3,SUMIF('TL12'!$C$10:$C$224,$C166,'TL12'!$J$10:$J$224),0),
IF('TL12'!$B$229=K$3,SUMIF('TL12'!$C$238:$C$451,$C166,'TL12'!$J$238:$J$451),0),
IF('TL13'!$B$3=K$3,SUMIF('TL13'!$C$10:$C$224,$C166,'TL13'!$J$10:$J$224),0),
IF('TL13'!$B$229=K$3,SUMIF('TL13'!$C$238:$C$451,$C166,'TL13'!$J$238:$J$451),0),
IF('TL14'!$B$3=K$3,SUMIF('TL14'!$C$10:$C$224,$C166,'TL14'!$J$10:$J$224),0),
IF('TL14'!$B$229=K$3,SUMIF('TL14'!$C$238:$C$451,$C166,'TL14'!$J$238:$J$451),0),
IF('TL15'!$B$3=K$3,SUMIF('TL15'!$C$10:$C$224,$C166,'TL15'!$J$10:$J$224),0),
IF('TL15'!$B$229=K$3,SUMIF('TL15'!$C$238:$C$451,$C166,'TL15'!$J$238:$J$451),0),
IF('TL16'!$B$3=K$3,SUMIF('TL16'!$C$10:$C$224,$C166,'TL16'!$J$10:$J$224),0),
IF('TL16'!$B$229=K$3,SUMIF('TL16'!$C$238:$C$451,$C166,'TL16'!$J$238:$J$451),0),
IF('TL17'!$B$3=K$3,SUMIF('TL17'!$C$10:$C$224,$C166,'TL17'!$J$10:$J$224),0),
IF('TL17'!$B$229=K$3,SUMIF('TL17'!$C$238:$C$451,$C166,'TL17'!$J$238:$J$451),0),
IF('TL18'!$B$3=K$3,SUMIF('TL18'!$C$10:$C$224,$C166,'TL18'!$J$10:$J$224),0),
IF('TL18'!$B$229=K$3,SUMIF('TL18'!$C$238:$C$451,$C166,'TL18'!$J$238:$J$451),0),
IF('TL19'!$B$3=K$3,SUMIF('TL19'!$C$10:$C$224,$C166,'TL19'!$J$10:$J$224),0),
IF('TL19'!$B$229=K$3,SUMIF('TL19'!$C$238:$C$451,$C166,'TL19'!$J$238:$J$451),0)
),0)</f>
        <v>0</v>
      </c>
      <c r="L166" s="9">
        <f>IFERROR(SUM(
IF('TL01'!$B$3=L$3,SUMIF('TL01'!$C$10:$C$224,$C166,'TL01'!$J$10:$J$224),0),
IF('TL01'!$B$229=L$3,SUMIF('TL01'!$C$238:$C$451,$C166,'TL01'!$J$238:$J$451),0),
IF('TL02'!$B$3=L$3,SUMIF('TL02'!$C$10:$C$224,$C166,'TL02'!$J$10:$J$224),0),
IF('TL02'!$B$229=L$3,SUMIF('TL02'!$C$238:$C$451,$C166,'TL02'!$J$238:$J$451),0),
IF('TL03'!$B$3=L$3,SUMIF('TL03'!$C$10:$C$224,$C166,'TL03'!$J$10:$J$224),0),
IF('TL03'!$B$229=L$3,SUMIF('TL03'!$C$238:$C$451,$C166,'TL03'!$J$238:$J$451),0),
IF('TL04'!$B$3=L$3,SUMIF('TL04'!$C$10:$C$224,$C166,'TL04'!$J$10:$J$224),0),
IF('TL04'!$B$229=L$3,SUMIF('TL04'!$C$238:$C$451,$C166,'TL04'!$J$238:$J$451),0),
IF('TL05'!$B$3=L$3,SUMIF('TL05'!$C$10:$C$224,$C166,'TL05'!$J$10:$J$224),0),
IF('TL05'!$B$229=L$3,SUMIF('TL05'!$C$238:$C$451,$C166,'TL05'!$J$238:$J$451),0),
IF('TL06'!$B$3=L$3,SUMIF('TL06'!$C$10:$C$224,$C166,'TL06'!$J$10:$J$224),0),
IF('TL06'!$B$229=L$3,SUMIF('TL06'!$C$238:$C$451,$C166,'TL06'!$J$238:$J$451),0),
IF('TL07'!$B$3=L$3,SUMIF('TL07'!$C$10:$C$224,$C166,'TL07'!$J$10:$J$224),0),
IF('TL07'!$B$229=L$3,SUMIF('TL07'!$C$238:$C$451,$C166,'TL07'!$J$238:$J$451),0),
IF('TL08'!$B$3=L$3,SUMIF('TL08'!$C$10:$C$224,$C166,'TL08'!$J$10:$J$224),0),
IF('TL08'!$B$229=L$3,SUMIF('TL08'!$C$238:$C$451,$C166,'TL08'!$J$238:$J$451),0),
IF('TL09'!$B$3=L$3,SUMIF('TL09'!$C$10:$C$224,$C166,'TL09'!$J$10:$J$224),0),
IF('TL09'!$B$229=L$3,SUMIF('TL09'!$C$238:$C$451,$C166,'TL09'!$J$238:$J$451),0),
IF('TL10'!$B$3=L$3,SUMIF('TL10'!$C$10:$C$224,$C166,'TL10'!$J$10:$J$224),0),
IF('TL10'!$B$229=L$3,SUMIF('TL10'!$C$238:$C$451,$C166,'TL10'!$J$238:$J$451),0),
IF('TL11'!$B$3=L$3,SUMIF('TL11'!$C$10:$C$224,$C166,'TL11'!$J$10:$J$224),0),
IF('TL11'!$B$229=L$3,SUMIF('TL11'!$C$238:$C$451,$C166,'TL11'!$J$238:$J$451),0),
IF('TL12'!$B$3=L$3,SUMIF('TL12'!$C$10:$C$224,$C166,'TL12'!$J$10:$J$224),0),
IF('TL12'!$B$229=L$3,SUMIF('TL12'!$C$238:$C$451,$C166,'TL12'!$J$238:$J$451),0),
IF('TL13'!$B$3=L$3,SUMIF('TL13'!$C$10:$C$224,$C166,'TL13'!$J$10:$J$224),0),
IF('TL13'!$B$229=L$3,SUMIF('TL13'!$C$238:$C$451,$C166,'TL13'!$J$238:$J$451),0),
IF('TL14'!$B$3=L$3,SUMIF('TL14'!$C$10:$C$224,$C166,'TL14'!$J$10:$J$224),0),
IF('TL14'!$B$229=L$3,SUMIF('TL14'!$C$238:$C$451,$C166,'TL14'!$J$238:$J$451),0),
IF('TL15'!$B$3=L$3,SUMIF('TL15'!$C$10:$C$224,$C166,'TL15'!$J$10:$J$224),0),
IF('TL15'!$B$229=L$3,SUMIF('TL15'!$C$238:$C$451,$C166,'TL15'!$J$238:$J$451),0),
IF('TL16'!$B$3=L$3,SUMIF('TL16'!$C$10:$C$224,$C166,'TL16'!$J$10:$J$224),0),
IF('TL16'!$B$229=L$3,SUMIF('TL16'!$C$238:$C$451,$C166,'TL16'!$J$238:$J$451),0),
IF('TL17'!$B$3=L$3,SUMIF('TL17'!$C$10:$C$224,$C166,'TL17'!$J$10:$J$224),0),
IF('TL17'!$B$229=L$3,SUMIF('TL17'!$C$238:$C$451,$C166,'TL17'!$J$238:$J$451),0),
IF('TL18'!$B$3=L$3,SUMIF('TL18'!$C$10:$C$224,$C166,'TL18'!$J$10:$J$224),0),
IF('TL18'!$B$229=L$3,SUMIF('TL18'!$C$238:$C$451,$C166,'TL18'!$J$238:$J$451),0),
IF('TL19'!$B$3=L$3,SUMIF('TL19'!$C$10:$C$224,$C166,'TL19'!$J$10:$J$224),0),
IF('TL19'!$B$229=L$3,SUMIF('TL19'!$C$238:$C$451,$C166,'TL19'!$J$238:$J$451),0)
),0)</f>
        <v>0</v>
      </c>
      <c r="M166" s="9">
        <f>IFERROR(SUM(
IF('TL01'!$B$3=M$3,SUMIF('TL01'!$C$10:$C$224,$C166,'TL01'!$J$10:$J$224),0),
IF('TL01'!$B$229=M$3,SUMIF('TL01'!$C$238:$C$451,$C166,'TL01'!$J$238:$J$451),0),
IF('TL02'!$B$3=M$3,SUMIF('TL02'!$C$10:$C$224,$C166,'TL02'!$J$10:$J$224),0),
IF('TL02'!$B$229=M$3,SUMIF('TL02'!$C$238:$C$451,$C166,'TL02'!$J$238:$J$451),0),
IF('TL03'!$B$3=M$3,SUMIF('TL03'!$C$10:$C$224,$C166,'TL03'!$J$10:$J$224),0),
IF('TL03'!$B$229=M$3,SUMIF('TL03'!$C$238:$C$451,$C166,'TL03'!$J$238:$J$451),0),
IF('TL04'!$B$3=M$3,SUMIF('TL04'!$C$10:$C$224,$C166,'TL04'!$J$10:$J$224),0),
IF('TL04'!$B$229=M$3,SUMIF('TL04'!$C$238:$C$451,$C166,'TL04'!$J$238:$J$451),0),
IF('TL05'!$B$3=M$3,SUMIF('TL05'!$C$10:$C$224,$C166,'TL05'!$J$10:$J$224),0),
IF('TL05'!$B$229=M$3,SUMIF('TL05'!$C$238:$C$451,$C166,'TL05'!$J$238:$J$451),0),
IF('TL06'!$B$3=M$3,SUMIF('TL06'!$C$10:$C$224,$C166,'TL06'!$J$10:$J$224),0),
IF('TL06'!$B$229=M$3,SUMIF('TL06'!$C$238:$C$451,$C166,'TL06'!$J$238:$J$451),0),
IF('TL07'!$B$3=M$3,SUMIF('TL07'!$C$10:$C$224,$C166,'TL07'!$J$10:$J$224),0),
IF('TL07'!$B$229=M$3,SUMIF('TL07'!$C$238:$C$451,$C166,'TL07'!$J$238:$J$451),0),
IF('TL08'!$B$3=M$3,SUMIF('TL08'!$C$10:$C$224,$C166,'TL08'!$J$10:$J$224),0),
IF('TL08'!$B$229=M$3,SUMIF('TL08'!$C$238:$C$451,$C166,'TL08'!$J$238:$J$451),0),
IF('TL09'!$B$3=M$3,SUMIF('TL09'!$C$10:$C$224,$C166,'TL09'!$J$10:$J$224),0),
IF('TL09'!$B$229=M$3,SUMIF('TL09'!$C$238:$C$451,$C166,'TL09'!$J$238:$J$451),0),
IF('TL10'!$B$3=M$3,SUMIF('TL10'!$C$10:$C$224,$C166,'TL10'!$J$10:$J$224),0),
IF('TL10'!$B$229=M$3,SUMIF('TL10'!$C$238:$C$451,$C166,'TL10'!$J$238:$J$451),0),
IF('TL11'!$B$3=M$3,SUMIF('TL11'!$C$10:$C$224,$C166,'TL11'!$J$10:$J$224),0),
IF('TL11'!$B$229=M$3,SUMIF('TL11'!$C$238:$C$451,$C166,'TL11'!$J$238:$J$451),0),
IF('TL12'!$B$3=M$3,SUMIF('TL12'!$C$10:$C$224,$C166,'TL12'!$J$10:$J$224),0),
IF('TL12'!$B$229=M$3,SUMIF('TL12'!$C$238:$C$451,$C166,'TL12'!$J$238:$J$451),0),
IF('TL13'!$B$3=M$3,SUMIF('TL13'!$C$10:$C$224,$C166,'TL13'!$J$10:$J$224),0),
IF('TL13'!$B$229=M$3,SUMIF('TL13'!$C$238:$C$451,$C166,'TL13'!$J$238:$J$451),0),
IF('TL14'!$B$3=M$3,SUMIF('TL14'!$C$10:$C$224,$C166,'TL14'!$J$10:$J$224),0),
IF('TL14'!$B$229=M$3,SUMIF('TL14'!$C$238:$C$451,$C166,'TL14'!$J$238:$J$451),0),
IF('TL15'!$B$3=M$3,SUMIF('TL15'!$C$10:$C$224,$C166,'TL15'!$J$10:$J$224),0),
IF('TL15'!$B$229=M$3,SUMIF('TL15'!$C$238:$C$451,$C166,'TL15'!$J$238:$J$451),0),
IF('TL16'!$B$3=M$3,SUMIF('TL16'!$C$10:$C$224,$C166,'TL16'!$J$10:$J$224),0),
IF('TL16'!$B$229=M$3,SUMIF('TL16'!$C$238:$C$451,$C166,'TL16'!$J$238:$J$451),0),
IF('TL17'!$B$3=M$3,SUMIF('TL17'!$C$10:$C$224,$C166,'TL17'!$J$10:$J$224),0),
IF('TL17'!$B$229=M$3,SUMIF('TL17'!$C$238:$C$451,$C166,'TL17'!$J$238:$J$451),0),
IF('TL18'!$B$3=M$3,SUMIF('TL18'!$C$10:$C$224,$C166,'TL18'!$J$10:$J$224),0),
IF('TL18'!$B$229=M$3,SUMIF('TL18'!$C$238:$C$451,$C166,'TL18'!$J$238:$J$451),0),
IF('TL19'!$B$3=M$3,SUMIF('TL19'!$C$10:$C$224,$C166,'TL19'!$J$10:$J$224),0),
IF('TL19'!$B$229=M$3,SUMIF('TL19'!$C$238:$C$451,$C166,'TL19'!$J$238:$J$451),0)
),0)</f>
        <v>0</v>
      </c>
      <c r="N166" s="9">
        <f>IFERROR(SUM(
IF('TL01'!$B$3=N$3,SUMIF('TL01'!$C$10:$C$224,$C166,'TL01'!$J$10:$J$224),0),
IF('TL01'!$B$229=N$3,SUMIF('TL01'!$C$238:$C$451,$C166,'TL01'!$J$238:$J$451),0),
IF('TL02'!$B$3=N$3,SUMIF('TL02'!$C$10:$C$224,$C166,'TL02'!$J$10:$J$224),0),
IF('TL02'!$B$229=N$3,SUMIF('TL02'!$C$238:$C$451,$C166,'TL02'!$J$238:$J$451),0),
IF('TL03'!$B$3=N$3,SUMIF('TL03'!$C$10:$C$224,$C166,'TL03'!$J$10:$J$224),0),
IF('TL03'!$B$229=N$3,SUMIF('TL03'!$C$238:$C$451,$C166,'TL03'!$J$238:$J$451),0),
IF('TL04'!$B$3=N$3,SUMIF('TL04'!$C$10:$C$224,$C166,'TL04'!$J$10:$J$224),0),
IF('TL04'!$B$229=N$3,SUMIF('TL04'!$C$238:$C$451,$C166,'TL04'!$J$238:$J$451),0),
IF('TL05'!$B$3=N$3,SUMIF('TL05'!$C$10:$C$224,$C166,'TL05'!$J$10:$J$224),0),
IF('TL05'!$B$229=N$3,SUMIF('TL05'!$C$238:$C$451,$C166,'TL05'!$J$238:$J$451),0),
IF('TL06'!$B$3=N$3,SUMIF('TL06'!$C$10:$C$224,$C166,'TL06'!$J$10:$J$224),0),
IF('TL06'!$B$229=N$3,SUMIF('TL06'!$C$238:$C$451,$C166,'TL06'!$J$238:$J$451),0),
IF('TL07'!$B$3=N$3,SUMIF('TL07'!$C$10:$C$224,$C166,'TL07'!$J$10:$J$224),0),
IF('TL07'!$B$229=N$3,SUMIF('TL07'!$C$238:$C$451,$C166,'TL07'!$J$238:$J$451),0),
IF('TL08'!$B$3=N$3,SUMIF('TL08'!$C$10:$C$224,$C166,'TL08'!$J$10:$J$224),0),
IF('TL08'!$B$229=N$3,SUMIF('TL08'!$C$238:$C$451,$C166,'TL08'!$J$238:$J$451),0),
IF('TL09'!$B$3=N$3,SUMIF('TL09'!$C$10:$C$224,$C166,'TL09'!$J$10:$J$224),0),
IF('TL09'!$B$229=N$3,SUMIF('TL09'!$C$238:$C$451,$C166,'TL09'!$J$238:$J$451),0),
IF('TL10'!$B$3=N$3,SUMIF('TL10'!$C$10:$C$224,$C166,'TL10'!$J$10:$J$224),0),
IF('TL10'!$B$229=N$3,SUMIF('TL10'!$C$238:$C$451,$C166,'TL10'!$J$238:$J$451),0),
IF('TL11'!$B$3=N$3,SUMIF('TL11'!$C$10:$C$224,$C166,'TL11'!$J$10:$J$224),0),
IF('TL11'!$B$229=N$3,SUMIF('TL11'!$C$238:$C$451,$C166,'TL11'!$J$238:$J$451),0),
IF('TL12'!$B$3=N$3,SUMIF('TL12'!$C$10:$C$224,$C166,'TL12'!$J$10:$J$224),0),
IF('TL12'!$B$229=N$3,SUMIF('TL12'!$C$238:$C$451,$C166,'TL12'!$J$238:$J$451),0),
IF('TL13'!$B$3=N$3,SUMIF('TL13'!$C$10:$C$224,$C166,'TL13'!$J$10:$J$224),0),
IF('TL13'!$B$229=N$3,SUMIF('TL13'!$C$238:$C$451,$C166,'TL13'!$J$238:$J$451),0),
IF('TL14'!$B$3=N$3,SUMIF('TL14'!$C$10:$C$224,$C166,'TL14'!$J$10:$J$224),0),
IF('TL14'!$B$229=N$3,SUMIF('TL14'!$C$238:$C$451,$C166,'TL14'!$J$238:$J$451),0),
IF('TL15'!$B$3=N$3,SUMIF('TL15'!$C$10:$C$224,$C166,'TL15'!$J$10:$J$224),0),
IF('TL15'!$B$229=N$3,SUMIF('TL15'!$C$238:$C$451,$C166,'TL15'!$J$238:$J$451),0),
IF('TL16'!$B$3=N$3,SUMIF('TL16'!$C$10:$C$224,$C166,'TL16'!$J$10:$J$224),0),
IF('TL16'!$B$229=N$3,SUMIF('TL16'!$C$238:$C$451,$C166,'TL16'!$J$238:$J$451),0),
IF('TL17'!$B$3=N$3,SUMIF('TL17'!$C$10:$C$224,$C166,'TL17'!$J$10:$J$224),0),
IF('TL17'!$B$229=N$3,SUMIF('TL17'!$C$238:$C$451,$C166,'TL17'!$J$238:$J$451),0),
IF('TL18'!$B$3=N$3,SUMIF('TL18'!$C$10:$C$224,$C166,'TL18'!$J$10:$J$224),0),
IF('TL18'!$B$229=N$3,SUMIF('TL18'!$C$238:$C$451,$C166,'TL18'!$J$238:$J$451),0),
IF('TL19'!$B$3=N$3,SUMIF('TL19'!$C$10:$C$224,$C166,'TL19'!$J$10:$J$224),0),
IF('TL19'!$B$229=N$3,SUMIF('TL19'!$C$238:$C$451,$C166,'TL19'!$J$238:$J$451),0)
),0)</f>
        <v>0</v>
      </c>
      <c r="O166" s="9">
        <f>IFERROR(SUM(
IF('TL01'!$B$3=O$3,SUMIF('TL01'!$C$10:$C$224,$C166,'TL01'!$J$10:$J$224),0),
IF('TL01'!$B$229=O$3,SUMIF('TL01'!$C$238:$C$451,$C166,'TL01'!$J$238:$J$451),0),
IF('TL02'!$B$3=O$3,SUMIF('TL02'!$C$10:$C$224,$C166,'TL02'!$J$10:$J$224),0),
IF('TL02'!$B$229=O$3,SUMIF('TL02'!$C$238:$C$451,$C166,'TL02'!$J$238:$J$451),0),
IF('TL03'!$B$3=O$3,SUMIF('TL03'!$C$10:$C$224,$C166,'TL03'!$J$10:$J$224),0),
IF('TL03'!$B$229=O$3,SUMIF('TL03'!$C$238:$C$451,$C166,'TL03'!$J$238:$J$451),0),
IF('TL04'!$B$3=O$3,SUMIF('TL04'!$C$10:$C$224,$C166,'TL04'!$J$10:$J$224),0),
IF('TL04'!$B$229=O$3,SUMIF('TL04'!$C$238:$C$451,$C166,'TL04'!$J$238:$J$451),0),
IF('TL05'!$B$3=O$3,SUMIF('TL05'!$C$10:$C$224,$C166,'TL05'!$J$10:$J$224),0),
IF('TL05'!$B$229=O$3,SUMIF('TL05'!$C$238:$C$451,$C166,'TL05'!$J$238:$J$451),0),
IF('TL06'!$B$3=O$3,SUMIF('TL06'!$C$10:$C$224,$C166,'TL06'!$J$10:$J$224),0),
IF('TL06'!$B$229=O$3,SUMIF('TL06'!$C$238:$C$451,$C166,'TL06'!$J$238:$J$451),0),
IF('TL07'!$B$3=O$3,SUMIF('TL07'!$C$10:$C$224,$C166,'TL07'!$J$10:$J$224),0),
IF('TL07'!$B$229=O$3,SUMIF('TL07'!$C$238:$C$451,$C166,'TL07'!$J$238:$J$451),0),
IF('TL08'!$B$3=O$3,SUMIF('TL08'!$C$10:$C$224,$C166,'TL08'!$J$10:$J$224),0),
IF('TL08'!$B$229=O$3,SUMIF('TL08'!$C$238:$C$451,$C166,'TL08'!$J$238:$J$451),0),
IF('TL09'!$B$3=O$3,SUMIF('TL09'!$C$10:$C$224,$C166,'TL09'!$J$10:$J$224),0),
IF('TL09'!$B$229=O$3,SUMIF('TL09'!$C$238:$C$451,$C166,'TL09'!$J$238:$J$451),0),
IF('TL10'!$B$3=O$3,SUMIF('TL10'!$C$10:$C$224,$C166,'TL10'!$J$10:$J$224),0),
IF('TL10'!$B$229=O$3,SUMIF('TL10'!$C$238:$C$451,$C166,'TL10'!$J$238:$J$451),0),
IF('TL11'!$B$3=O$3,SUMIF('TL11'!$C$10:$C$224,$C166,'TL11'!$J$10:$J$224),0),
IF('TL11'!$B$229=O$3,SUMIF('TL11'!$C$238:$C$451,$C166,'TL11'!$J$238:$J$451),0),
IF('TL12'!$B$3=O$3,SUMIF('TL12'!$C$10:$C$224,$C166,'TL12'!$J$10:$J$224),0),
IF('TL12'!$B$229=O$3,SUMIF('TL12'!$C$238:$C$451,$C166,'TL12'!$J$238:$J$451),0),
IF('TL13'!$B$3=O$3,SUMIF('TL13'!$C$10:$C$224,$C166,'TL13'!$J$10:$J$224),0),
IF('TL13'!$B$229=O$3,SUMIF('TL13'!$C$238:$C$451,$C166,'TL13'!$J$238:$J$451),0),
IF('TL14'!$B$3=O$3,SUMIF('TL14'!$C$10:$C$224,$C166,'TL14'!$J$10:$J$224),0),
IF('TL14'!$B$229=O$3,SUMIF('TL14'!$C$238:$C$451,$C166,'TL14'!$J$238:$J$451),0),
IF('TL15'!$B$3=O$3,SUMIF('TL15'!$C$10:$C$224,$C166,'TL15'!$J$10:$J$224),0),
IF('TL15'!$B$229=O$3,SUMIF('TL15'!$C$238:$C$451,$C166,'TL15'!$J$238:$J$451),0),
IF('TL16'!$B$3=O$3,SUMIF('TL16'!$C$10:$C$224,$C166,'TL16'!$J$10:$J$224),0),
IF('TL16'!$B$229=O$3,SUMIF('TL16'!$C$238:$C$451,$C166,'TL16'!$J$238:$J$451),0),
IF('TL17'!$B$3=O$3,SUMIF('TL17'!$C$10:$C$224,$C166,'TL17'!$J$10:$J$224),0),
IF('TL17'!$B$229=O$3,SUMIF('TL17'!$C$238:$C$451,$C166,'TL17'!$J$238:$J$451),0),
IF('TL18'!$B$3=O$3,SUMIF('TL18'!$C$10:$C$224,$C166,'TL18'!$J$10:$J$224),0),
IF('TL18'!$B$229=O$3,SUMIF('TL18'!$C$238:$C$451,$C166,'TL18'!$J$238:$J$451),0),
IF('TL19'!$B$3=O$3,SUMIF('TL19'!$C$10:$C$224,$C166,'TL19'!$J$10:$J$224),0),
IF('TL19'!$B$229=O$3,SUMIF('TL19'!$C$238:$C$451,$C166,'TL19'!$J$238:$J$451),0)
),0)</f>
        <v>0</v>
      </c>
      <c r="P166" s="9">
        <f>IFERROR(SUM(
IF('TL01'!$B$3=P$3,SUMIF('TL01'!$C$10:$C$224,$C166,'TL01'!$J$10:$J$224),0),
IF('TL01'!$B$229=P$3,SUMIF('TL01'!$C$238:$C$451,$C166,'TL01'!$J$238:$J$451),0),
IF('TL02'!$B$3=P$3,SUMIF('TL02'!$C$10:$C$224,$C166,'TL02'!$J$10:$J$224),0),
IF('TL02'!$B$229=P$3,SUMIF('TL02'!$C$238:$C$451,$C166,'TL02'!$J$238:$J$451),0),
IF('TL03'!$B$3=P$3,SUMIF('TL03'!$C$10:$C$224,$C166,'TL03'!$J$10:$J$224),0),
IF('TL03'!$B$229=P$3,SUMIF('TL03'!$C$238:$C$451,$C166,'TL03'!$J$238:$J$451),0),
IF('TL04'!$B$3=P$3,SUMIF('TL04'!$C$10:$C$224,$C166,'TL04'!$J$10:$J$224),0),
IF('TL04'!$B$229=P$3,SUMIF('TL04'!$C$238:$C$451,$C166,'TL04'!$J$238:$J$451),0),
IF('TL05'!$B$3=P$3,SUMIF('TL05'!$C$10:$C$224,$C166,'TL05'!$J$10:$J$224),0),
IF('TL05'!$B$229=P$3,SUMIF('TL05'!$C$238:$C$451,$C166,'TL05'!$J$238:$J$451),0),
IF('TL06'!$B$3=P$3,SUMIF('TL06'!$C$10:$C$224,$C166,'TL06'!$J$10:$J$224),0),
IF('TL06'!$B$229=P$3,SUMIF('TL06'!$C$238:$C$451,$C166,'TL06'!$J$238:$J$451),0),
IF('TL07'!$B$3=P$3,SUMIF('TL07'!$C$10:$C$224,$C166,'TL07'!$J$10:$J$224),0),
IF('TL07'!$B$229=P$3,SUMIF('TL07'!$C$238:$C$451,$C166,'TL07'!$J$238:$J$451),0),
IF('TL08'!$B$3=P$3,SUMIF('TL08'!$C$10:$C$224,$C166,'TL08'!$J$10:$J$224),0),
IF('TL08'!$B$229=P$3,SUMIF('TL08'!$C$238:$C$451,$C166,'TL08'!$J$238:$J$451),0),
IF('TL09'!$B$3=P$3,SUMIF('TL09'!$C$10:$C$224,$C166,'TL09'!$J$10:$J$224),0),
IF('TL09'!$B$229=P$3,SUMIF('TL09'!$C$238:$C$451,$C166,'TL09'!$J$238:$J$451),0),
IF('TL10'!$B$3=P$3,SUMIF('TL10'!$C$10:$C$224,$C166,'TL10'!$J$10:$J$224),0),
IF('TL10'!$B$229=P$3,SUMIF('TL10'!$C$238:$C$451,$C166,'TL10'!$J$238:$J$451),0),
IF('TL11'!$B$3=P$3,SUMIF('TL11'!$C$10:$C$224,$C166,'TL11'!$J$10:$J$224),0),
IF('TL11'!$B$229=P$3,SUMIF('TL11'!$C$238:$C$451,$C166,'TL11'!$J$238:$J$451),0),
IF('TL12'!$B$3=P$3,SUMIF('TL12'!$C$10:$C$224,$C166,'TL12'!$J$10:$J$224),0),
IF('TL12'!$B$229=P$3,SUMIF('TL12'!$C$238:$C$451,$C166,'TL12'!$J$238:$J$451),0),
IF('TL13'!$B$3=P$3,SUMIF('TL13'!$C$10:$C$224,$C166,'TL13'!$J$10:$J$224),0),
IF('TL13'!$B$229=P$3,SUMIF('TL13'!$C$238:$C$451,$C166,'TL13'!$J$238:$J$451),0),
IF('TL14'!$B$3=P$3,SUMIF('TL14'!$C$10:$C$224,$C166,'TL14'!$J$10:$J$224),0),
IF('TL14'!$B$229=P$3,SUMIF('TL14'!$C$238:$C$451,$C166,'TL14'!$J$238:$J$451),0),
IF('TL15'!$B$3=P$3,SUMIF('TL15'!$C$10:$C$224,$C166,'TL15'!$J$10:$J$224),0),
IF('TL15'!$B$229=P$3,SUMIF('TL15'!$C$238:$C$451,$C166,'TL15'!$J$238:$J$451),0),
IF('TL16'!$B$3=P$3,SUMIF('TL16'!$C$10:$C$224,$C166,'TL16'!$J$10:$J$224),0),
IF('TL16'!$B$229=P$3,SUMIF('TL16'!$C$238:$C$451,$C166,'TL16'!$J$238:$J$451),0),
IF('TL17'!$B$3=P$3,SUMIF('TL17'!$C$10:$C$224,$C166,'TL17'!$J$10:$J$224),0),
IF('TL17'!$B$229=P$3,SUMIF('TL17'!$C$238:$C$451,$C166,'TL17'!$J$238:$J$451),0),
IF('TL18'!$B$3=P$3,SUMIF('TL18'!$C$10:$C$224,$C166,'TL18'!$J$10:$J$224),0),
IF('TL18'!$B$229=P$3,SUMIF('TL18'!$C$238:$C$451,$C166,'TL18'!$J$238:$J$451),0),
IF('TL19'!$B$3=P$3,SUMIF('TL19'!$C$10:$C$224,$C166,'TL19'!$J$10:$J$224),0),
IF('TL19'!$B$229=P$3,SUMIF('TL19'!$C$238:$C$451,$C166,'TL19'!$J$238:$J$451),0)
),0)</f>
        <v>0</v>
      </c>
      <c r="Q166" s="9">
        <f>IFERROR(SUM(
IF('TL01'!$B$3=Q$3,SUMIF('TL01'!$C$10:$C$224,$C166,'TL01'!$J$10:$J$224),0),
IF('TL01'!$B$229=Q$3,SUMIF('TL01'!$C$238:$C$451,$C166,'TL01'!$J$238:$J$451),0),
IF('TL02'!$B$3=Q$3,SUMIF('TL02'!$C$10:$C$224,$C166,'TL02'!$J$10:$J$224),0),
IF('TL02'!$B$229=Q$3,SUMIF('TL02'!$C$238:$C$451,$C166,'TL02'!$J$238:$J$451),0),
IF('TL03'!$B$3=Q$3,SUMIF('TL03'!$C$10:$C$224,$C166,'TL03'!$J$10:$J$224),0),
IF('TL03'!$B$229=Q$3,SUMIF('TL03'!$C$238:$C$451,$C166,'TL03'!$J$238:$J$451),0),
IF('TL04'!$B$3=Q$3,SUMIF('TL04'!$C$10:$C$224,$C166,'TL04'!$J$10:$J$224),0),
IF('TL04'!$B$229=Q$3,SUMIF('TL04'!$C$238:$C$451,$C166,'TL04'!$J$238:$J$451),0),
IF('TL05'!$B$3=Q$3,SUMIF('TL05'!$C$10:$C$224,$C166,'TL05'!$J$10:$J$224),0),
IF('TL05'!$B$229=Q$3,SUMIF('TL05'!$C$238:$C$451,$C166,'TL05'!$J$238:$J$451),0),
IF('TL06'!$B$3=Q$3,SUMIF('TL06'!$C$10:$C$224,$C166,'TL06'!$J$10:$J$224),0),
IF('TL06'!$B$229=Q$3,SUMIF('TL06'!$C$238:$C$451,$C166,'TL06'!$J$238:$J$451),0),
IF('TL07'!$B$3=Q$3,SUMIF('TL07'!$C$10:$C$224,$C166,'TL07'!$J$10:$J$224),0),
IF('TL07'!$B$229=Q$3,SUMIF('TL07'!$C$238:$C$451,$C166,'TL07'!$J$238:$J$451),0),
IF('TL08'!$B$3=Q$3,SUMIF('TL08'!$C$10:$C$224,$C166,'TL08'!$J$10:$J$224),0),
IF('TL08'!$B$229=Q$3,SUMIF('TL08'!$C$238:$C$451,$C166,'TL08'!$J$238:$J$451),0),
IF('TL09'!$B$3=Q$3,SUMIF('TL09'!$C$10:$C$224,$C166,'TL09'!$J$10:$J$224),0),
IF('TL09'!$B$229=Q$3,SUMIF('TL09'!$C$238:$C$451,$C166,'TL09'!$J$238:$J$451),0),
IF('TL10'!$B$3=Q$3,SUMIF('TL10'!$C$10:$C$224,$C166,'TL10'!$J$10:$J$224),0),
IF('TL10'!$B$229=Q$3,SUMIF('TL10'!$C$238:$C$451,$C166,'TL10'!$J$238:$J$451),0),
IF('TL11'!$B$3=Q$3,SUMIF('TL11'!$C$10:$C$224,$C166,'TL11'!$J$10:$J$224),0),
IF('TL11'!$B$229=Q$3,SUMIF('TL11'!$C$238:$C$451,$C166,'TL11'!$J$238:$J$451),0),
IF('TL12'!$B$3=Q$3,SUMIF('TL12'!$C$10:$C$224,$C166,'TL12'!$J$10:$J$224),0),
IF('TL12'!$B$229=Q$3,SUMIF('TL12'!$C$238:$C$451,$C166,'TL12'!$J$238:$J$451),0),
IF('TL13'!$B$3=Q$3,SUMIF('TL13'!$C$10:$C$224,$C166,'TL13'!$J$10:$J$224),0),
IF('TL13'!$B$229=Q$3,SUMIF('TL13'!$C$238:$C$451,$C166,'TL13'!$J$238:$J$451),0),
IF('TL14'!$B$3=Q$3,SUMIF('TL14'!$C$10:$C$224,$C166,'TL14'!$J$10:$J$224),0),
IF('TL14'!$B$229=Q$3,SUMIF('TL14'!$C$238:$C$451,$C166,'TL14'!$J$238:$J$451),0),
IF('TL15'!$B$3=Q$3,SUMIF('TL15'!$C$10:$C$224,$C166,'TL15'!$J$10:$J$224),0),
IF('TL15'!$B$229=Q$3,SUMIF('TL15'!$C$238:$C$451,$C166,'TL15'!$J$238:$J$451),0),
IF('TL16'!$B$3=Q$3,SUMIF('TL16'!$C$10:$C$224,$C166,'TL16'!$J$10:$J$224),0),
IF('TL16'!$B$229=Q$3,SUMIF('TL16'!$C$238:$C$451,$C166,'TL16'!$J$238:$J$451),0),
IF('TL17'!$B$3=Q$3,SUMIF('TL17'!$C$10:$C$224,$C166,'TL17'!$J$10:$J$224),0),
IF('TL17'!$B$229=Q$3,SUMIF('TL17'!$C$238:$C$451,$C166,'TL17'!$J$238:$J$451),0),
IF('TL18'!$B$3=Q$3,SUMIF('TL18'!$C$10:$C$224,$C166,'TL18'!$J$10:$J$224),0),
IF('TL18'!$B$229=Q$3,SUMIF('TL18'!$C$238:$C$451,$C166,'TL18'!$J$238:$J$451),0),
IF('TL19'!$B$3=Q$3,SUMIF('TL19'!$C$10:$C$224,$C166,'TL19'!$J$10:$J$224),0),
IF('TL19'!$B$229=Q$3,SUMIF('TL19'!$C$238:$C$451,$C166,'TL19'!$J$238:$J$451),0)
),0)</f>
        <v>0</v>
      </c>
      <c r="R166" s="9">
        <f>IFERROR(
SUM(
SUMIF('TL01'!C:C,C166,'TL01'!J:J),
SUMIF('TL02'!C:C,C166,'TL02'!J:J),
SUMIF('TL03'!C:C,C166,'TL03'!J:J),
SUMIF('TL04'!C:C,C166,'TL04'!J:J),
SUMIF('TL05'!C:C,C166,'TL05'!J:J),
SUMIF('TL06'!C:C,C166,'TL06'!J:J),
SUMIF('TL07'!C:C,C166,'TL07'!J:J),
SUMIF('TL08'!C:C,C166,'TL08'!J:J),
SUMIF('TL09'!C:C,C166,'TL09'!J:J),
SUMIF('TL10'!C:C,C166,'TL10'!J:J),
SUMIF('TL11'!C:C,C166,'TL11'!J:J),
SUMIF('TL12'!C:C,C166,'TL12'!J:J),
SUMIF('TL13'!C:C,C166,'TL13'!J:J),
SUMIF('TL14'!C:C,C166,'TL14'!J:J),
SUMIF('TL15'!C:C,C166,'TL15'!J:J),
SUMIF('TL16'!C:C,C166,'TL16'!J:J),
SUMIF('TL17'!C:C,C166,'TL17'!J:J),
SUMIF('TL18'!C:C,C166,'TL18'!J:J),SUMIF('TL19'!C:C,C166,'TL19'!J:J))
,0)</f>
        <v>0</v>
      </c>
      <c r="S166" s="17">
        <f>IFERROR(__xludf.DUMMYFUNCTION("IFERROR(VLOOKUP(C166,
IMPORTRANGE(""1wULbzX32WdYsx-lj2U3uUNBBe2INVIRDtcK0d-Dvl90"",
""26-27!C:G""),
5,
FALSE),
"""")"),31.314919999999997)</f>
        <v>31.31492</v>
      </c>
      <c r="T166" s="9"/>
      <c r="U166" s="92">
        <f t="shared" si="2"/>
        <v>0</v>
      </c>
      <c r="V166" s="93">
        <f t="shared" si="3"/>
        <v>0</v>
      </c>
    </row>
    <row r="167" ht="15.75" hidden="1" customHeight="1">
      <c r="A167" s="111" t="s">
        <v>358</v>
      </c>
      <c r="B167" s="112" t="s">
        <v>1</v>
      </c>
      <c r="C167" s="113" t="s">
        <v>741</v>
      </c>
      <c r="D167" s="113" t="s">
        <v>737</v>
      </c>
      <c r="E167" s="113">
        <v>500.0</v>
      </c>
      <c r="F167" s="4" t="s">
        <v>343</v>
      </c>
      <c r="G167" s="90" t="str">
        <f t="shared" si="4"/>
        <v>📄 Ver bula</v>
      </c>
      <c r="H167" s="9">
        <f>IFERROR(__xludf.DUMMYFUNCTION("IFERROR(VLOOKUP(C167,
IMPORTRANGE(""1wULbzX32WdYsx-lj2U3uUNBBe2INVIRDtcK0d-Dvl90"",
""26-27!C:K""),
8,
FALSE),
"""")"),2.0)</f>
        <v>2</v>
      </c>
      <c r="I167" s="114" t="s">
        <v>344</v>
      </c>
      <c r="J167" s="9">
        <f>IFERROR(SUM(
IF('TL01'!$B$3=J$3,SUMIF('TL01'!$C$10:$C$224,$C167,'TL01'!$J$10:$J$224),0),
IF('TL01'!$B$229=J$3,SUMIF('TL01'!$C$238:$C$451,$C167,'TL01'!$J$238:$J$451),0),
IF('TL02'!$B$3=J$3,SUMIF('TL02'!$C$10:$C$224,$C167,'TL02'!$J$10:$J$224),0),
IF('TL02'!$B$229=J$3,SUMIF('TL02'!$C$238:$C$451,$C167,'TL02'!$J$238:$J$451),0),
IF('TL03'!$B$3=J$3,SUMIF('TL03'!$C$10:$C$224,$C167,'TL03'!$J$10:$J$224),0),
IF('TL03'!$B$229=J$3,SUMIF('TL03'!$C$238:$C$451,$C167,'TL03'!$J$238:$J$451),0),
IF('TL04'!$B$3=J$3,SUMIF('TL04'!$C$10:$C$224,$C167,'TL04'!$J$10:$J$224),0),
IF('TL04'!$B$229=J$3,SUMIF('TL04'!$C$238:$C$451,$C167,'TL04'!$J$238:$J$451),0),
IF('TL05'!$B$3=J$3,SUMIF('TL05'!$C$10:$C$224,$C167,'TL05'!$J$10:$J$224),0),
IF('TL05'!$B$229=J$3,SUMIF('TL05'!$C$238:$C$451,$C167,'TL05'!$J$238:$J$451),0),
IF('TL06'!$B$3=J$3,SUMIF('TL06'!$C$10:$C$224,$C167,'TL06'!$J$10:$J$224),0),
IF('TL06'!$B$229=J$3,SUMIF('TL06'!$C$238:$C$451,$C167,'TL06'!$J$238:$J$451),0),
IF('TL07'!$B$3=J$3,SUMIF('TL07'!$C$10:$C$224,$C167,'TL07'!$J$10:$J$224),0),
IF('TL07'!$B$229=J$3,SUMIF('TL07'!$C$238:$C$451,$C167,'TL07'!$J$238:$J$451),0),
IF('TL08'!$B$3=J$3,SUMIF('TL08'!$C$10:$C$224,$C167,'TL08'!$J$10:$J$224),0),
IF('TL08'!$B$229=J$3,SUMIF('TL08'!$C$238:$C$451,$C167,'TL08'!$J$238:$J$451),0),
IF('TL09'!$B$3=J$3,SUMIF('TL09'!$C$10:$C$224,$C167,'TL09'!$J$10:$J$224),0),
IF('TL09'!$B$229=J$3,SUMIF('TL09'!$C$238:$C$451,$C167,'TL09'!$J$238:$J$451),0),
IF('TL10'!$B$3=J$3,SUMIF('TL10'!$C$10:$C$224,$C167,'TL10'!$J$10:$J$224),0),
IF('TL10'!$B$229=J$3,SUMIF('TL10'!$C$238:$C$451,$C167,'TL10'!$J$238:$J$451),0),
IF('TL11'!$B$3=J$3,SUMIF('TL11'!$C$10:$C$224,$C167,'TL11'!$J$10:$J$224),0),
IF('TL11'!$B$229=J$3,SUMIF('TL11'!$C$238:$C$451,$C167,'TL11'!$J$238:$J$451),0),
IF('TL12'!$B$3=J$3,SUMIF('TL12'!$C$10:$C$224,$C167,'TL12'!$J$10:$J$224),0),
IF('TL12'!$B$229=J$3,SUMIF('TL12'!$C$238:$C$451,$C167,'TL12'!$J$238:$J$451),0),
IF('TL13'!$B$3=J$3,SUMIF('TL13'!$C$10:$C$224,$C167,'TL13'!$J$10:$J$224),0),
IF('TL13'!$B$229=J$3,SUMIF('TL13'!$C$238:$C$451,$C167,'TL13'!$J$238:$J$451),0),
IF('TL14'!$B$3=J$3,SUMIF('TL14'!$C$10:$C$224,$C167,'TL14'!$J$10:$J$224),0),
IF('TL14'!$B$229=J$3,SUMIF('TL14'!$C$238:$C$451,$C167,'TL14'!$J$238:$J$451),0),
IF('TL15'!$B$3=J$3,SUMIF('TL15'!$C$10:$C$224,$C167,'TL15'!$J$10:$J$224),0),
IF('TL15'!$B$229=J$3,SUMIF('TL15'!$C$238:$C$451,$C167,'TL15'!$J$238:$J$451),0),
IF('TL16'!$B$3=J$3,SUMIF('TL16'!$C$10:$C$224,$C167,'TL16'!$J$10:$J$224),0),
IF('TL16'!$B$229=J$3,SUMIF('TL16'!$C$238:$C$451,$C167,'TL16'!$J$238:$J$451),0),
IF('TL17'!$B$3=J$3,SUMIF('TL17'!$C$10:$C$224,$C167,'TL17'!$J$10:$J$224),0),
IF('TL17'!$B$229=J$3,SUMIF('TL17'!$C$238:$C$451,$C167,'TL17'!$J$238:$J$451),0),
IF('TL18'!$B$3=J$3,SUMIF('TL18'!$C$10:$C$224,$C167,'TL18'!$J$10:$J$224),0),
IF('TL18'!$B$229=J$3,SUMIF('TL18'!$C$238:$C$451,$C167,'TL18'!$J$238:$J$451),0),
IF('TL19'!$B$3=J$3,SUMIF('TL19'!$C$10:$C$224,$C167,'TL19'!$J$10:$J$224),0),
IF('TL19'!$B$229=J$3,SUMIF('TL19'!$C$238:$C$451,$C167,'TL19'!$J$238:$J$451),0)
),0)</f>
        <v>0</v>
      </c>
      <c r="K167" s="9">
        <f>IFERROR(SUM(
IF('TL01'!$B$3=K$3,SUMIF('TL01'!$C$10:$C$224,$C167,'TL01'!$J$10:$J$224),0),
IF('TL01'!$B$229=K$3,SUMIF('TL01'!$C$238:$C$451,$C167,'TL01'!$J$238:$J$451),0),
IF('TL02'!$B$3=K$3,SUMIF('TL02'!$C$10:$C$224,$C167,'TL02'!$J$10:$J$224),0),
IF('TL02'!$B$229=K$3,SUMIF('TL02'!$C$238:$C$451,$C167,'TL02'!$J$238:$J$451),0),
IF('TL03'!$B$3=K$3,SUMIF('TL03'!$C$10:$C$224,$C167,'TL03'!$J$10:$J$224),0),
IF('TL03'!$B$229=K$3,SUMIF('TL03'!$C$238:$C$451,$C167,'TL03'!$J$238:$J$451),0),
IF('TL04'!$B$3=K$3,SUMIF('TL04'!$C$10:$C$224,$C167,'TL04'!$J$10:$J$224),0),
IF('TL04'!$B$229=K$3,SUMIF('TL04'!$C$238:$C$451,$C167,'TL04'!$J$238:$J$451),0),
IF('TL05'!$B$3=K$3,SUMIF('TL05'!$C$10:$C$224,$C167,'TL05'!$J$10:$J$224),0),
IF('TL05'!$B$229=K$3,SUMIF('TL05'!$C$238:$C$451,$C167,'TL05'!$J$238:$J$451),0),
IF('TL06'!$B$3=K$3,SUMIF('TL06'!$C$10:$C$224,$C167,'TL06'!$J$10:$J$224),0),
IF('TL06'!$B$229=K$3,SUMIF('TL06'!$C$238:$C$451,$C167,'TL06'!$J$238:$J$451),0),
IF('TL07'!$B$3=K$3,SUMIF('TL07'!$C$10:$C$224,$C167,'TL07'!$J$10:$J$224),0),
IF('TL07'!$B$229=K$3,SUMIF('TL07'!$C$238:$C$451,$C167,'TL07'!$J$238:$J$451),0),
IF('TL08'!$B$3=K$3,SUMIF('TL08'!$C$10:$C$224,$C167,'TL08'!$J$10:$J$224),0),
IF('TL08'!$B$229=K$3,SUMIF('TL08'!$C$238:$C$451,$C167,'TL08'!$J$238:$J$451),0),
IF('TL09'!$B$3=K$3,SUMIF('TL09'!$C$10:$C$224,$C167,'TL09'!$J$10:$J$224),0),
IF('TL09'!$B$229=K$3,SUMIF('TL09'!$C$238:$C$451,$C167,'TL09'!$J$238:$J$451),0),
IF('TL10'!$B$3=K$3,SUMIF('TL10'!$C$10:$C$224,$C167,'TL10'!$J$10:$J$224),0),
IF('TL10'!$B$229=K$3,SUMIF('TL10'!$C$238:$C$451,$C167,'TL10'!$J$238:$J$451),0),
IF('TL11'!$B$3=K$3,SUMIF('TL11'!$C$10:$C$224,$C167,'TL11'!$J$10:$J$224),0),
IF('TL11'!$B$229=K$3,SUMIF('TL11'!$C$238:$C$451,$C167,'TL11'!$J$238:$J$451),0),
IF('TL12'!$B$3=K$3,SUMIF('TL12'!$C$10:$C$224,$C167,'TL12'!$J$10:$J$224),0),
IF('TL12'!$B$229=K$3,SUMIF('TL12'!$C$238:$C$451,$C167,'TL12'!$J$238:$J$451),0),
IF('TL13'!$B$3=K$3,SUMIF('TL13'!$C$10:$C$224,$C167,'TL13'!$J$10:$J$224),0),
IF('TL13'!$B$229=K$3,SUMIF('TL13'!$C$238:$C$451,$C167,'TL13'!$J$238:$J$451),0),
IF('TL14'!$B$3=K$3,SUMIF('TL14'!$C$10:$C$224,$C167,'TL14'!$J$10:$J$224),0),
IF('TL14'!$B$229=K$3,SUMIF('TL14'!$C$238:$C$451,$C167,'TL14'!$J$238:$J$451),0),
IF('TL15'!$B$3=K$3,SUMIF('TL15'!$C$10:$C$224,$C167,'TL15'!$J$10:$J$224),0),
IF('TL15'!$B$229=K$3,SUMIF('TL15'!$C$238:$C$451,$C167,'TL15'!$J$238:$J$451),0),
IF('TL16'!$B$3=K$3,SUMIF('TL16'!$C$10:$C$224,$C167,'TL16'!$J$10:$J$224),0),
IF('TL16'!$B$229=K$3,SUMIF('TL16'!$C$238:$C$451,$C167,'TL16'!$J$238:$J$451),0),
IF('TL17'!$B$3=K$3,SUMIF('TL17'!$C$10:$C$224,$C167,'TL17'!$J$10:$J$224),0),
IF('TL17'!$B$229=K$3,SUMIF('TL17'!$C$238:$C$451,$C167,'TL17'!$J$238:$J$451),0),
IF('TL18'!$B$3=K$3,SUMIF('TL18'!$C$10:$C$224,$C167,'TL18'!$J$10:$J$224),0),
IF('TL18'!$B$229=K$3,SUMIF('TL18'!$C$238:$C$451,$C167,'TL18'!$J$238:$J$451),0),
IF('TL19'!$B$3=K$3,SUMIF('TL19'!$C$10:$C$224,$C167,'TL19'!$J$10:$J$224),0),
IF('TL19'!$B$229=K$3,SUMIF('TL19'!$C$238:$C$451,$C167,'TL19'!$J$238:$J$451),0)
),0)</f>
        <v>0</v>
      </c>
      <c r="L167" s="9">
        <f>IFERROR(SUM(
IF('TL01'!$B$3=L$3,SUMIF('TL01'!$C$10:$C$224,$C167,'TL01'!$J$10:$J$224),0),
IF('TL01'!$B$229=L$3,SUMIF('TL01'!$C$238:$C$451,$C167,'TL01'!$J$238:$J$451),0),
IF('TL02'!$B$3=L$3,SUMIF('TL02'!$C$10:$C$224,$C167,'TL02'!$J$10:$J$224),0),
IF('TL02'!$B$229=L$3,SUMIF('TL02'!$C$238:$C$451,$C167,'TL02'!$J$238:$J$451),0),
IF('TL03'!$B$3=L$3,SUMIF('TL03'!$C$10:$C$224,$C167,'TL03'!$J$10:$J$224),0),
IF('TL03'!$B$229=L$3,SUMIF('TL03'!$C$238:$C$451,$C167,'TL03'!$J$238:$J$451),0),
IF('TL04'!$B$3=L$3,SUMIF('TL04'!$C$10:$C$224,$C167,'TL04'!$J$10:$J$224),0),
IF('TL04'!$B$229=L$3,SUMIF('TL04'!$C$238:$C$451,$C167,'TL04'!$J$238:$J$451),0),
IF('TL05'!$B$3=L$3,SUMIF('TL05'!$C$10:$C$224,$C167,'TL05'!$J$10:$J$224),0),
IF('TL05'!$B$229=L$3,SUMIF('TL05'!$C$238:$C$451,$C167,'TL05'!$J$238:$J$451),0),
IF('TL06'!$B$3=L$3,SUMIF('TL06'!$C$10:$C$224,$C167,'TL06'!$J$10:$J$224),0),
IF('TL06'!$B$229=L$3,SUMIF('TL06'!$C$238:$C$451,$C167,'TL06'!$J$238:$J$451),0),
IF('TL07'!$B$3=L$3,SUMIF('TL07'!$C$10:$C$224,$C167,'TL07'!$J$10:$J$224),0),
IF('TL07'!$B$229=L$3,SUMIF('TL07'!$C$238:$C$451,$C167,'TL07'!$J$238:$J$451),0),
IF('TL08'!$B$3=L$3,SUMIF('TL08'!$C$10:$C$224,$C167,'TL08'!$J$10:$J$224),0),
IF('TL08'!$B$229=L$3,SUMIF('TL08'!$C$238:$C$451,$C167,'TL08'!$J$238:$J$451),0),
IF('TL09'!$B$3=L$3,SUMIF('TL09'!$C$10:$C$224,$C167,'TL09'!$J$10:$J$224),0),
IF('TL09'!$B$229=L$3,SUMIF('TL09'!$C$238:$C$451,$C167,'TL09'!$J$238:$J$451),0),
IF('TL10'!$B$3=L$3,SUMIF('TL10'!$C$10:$C$224,$C167,'TL10'!$J$10:$J$224),0),
IF('TL10'!$B$229=L$3,SUMIF('TL10'!$C$238:$C$451,$C167,'TL10'!$J$238:$J$451),0),
IF('TL11'!$B$3=L$3,SUMIF('TL11'!$C$10:$C$224,$C167,'TL11'!$J$10:$J$224),0),
IF('TL11'!$B$229=L$3,SUMIF('TL11'!$C$238:$C$451,$C167,'TL11'!$J$238:$J$451),0),
IF('TL12'!$B$3=L$3,SUMIF('TL12'!$C$10:$C$224,$C167,'TL12'!$J$10:$J$224),0),
IF('TL12'!$B$229=L$3,SUMIF('TL12'!$C$238:$C$451,$C167,'TL12'!$J$238:$J$451),0),
IF('TL13'!$B$3=L$3,SUMIF('TL13'!$C$10:$C$224,$C167,'TL13'!$J$10:$J$224),0),
IF('TL13'!$B$229=L$3,SUMIF('TL13'!$C$238:$C$451,$C167,'TL13'!$J$238:$J$451),0),
IF('TL14'!$B$3=L$3,SUMIF('TL14'!$C$10:$C$224,$C167,'TL14'!$J$10:$J$224),0),
IF('TL14'!$B$229=L$3,SUMIF('TL14'!$C$238:$C$451,$C167,'TL14'!$J$238:$J$451),0),
IF('TL15'!$B$3=L$3,SUMIF('TL15'!$C$10:$C$224,$C167,'TL15'!$J$10:$J$224),0),
IF('TL15'!$B$229=L$3,SUMIF('TL15'!$C$238:$C$451,$C167,'TL15'!$J$238:$J$451),0),
IF('TL16'!$B$3=L$3,SUMIF('TL16'!$C$10:$C$224,$C167,'TL16'!$J$10:$J$224),0),
IF('TL16'!$B$229=L$3,SUMIF('TL16'!$C$238:$C$451,$C167,'TL16'!$J$238:$J$451),0),
IF('TL17'!$B$3=L$3,SUMIF('TL17'!$C$10:$C$224,$C167,'TL17'!$J$10:$J$224),0),
IF('TL17'!$B$229=L$3,SUMIF('TL17'!$C$238:$C$451,$C167,'TL17'!$J$238:$J$451),0),
IF('TL18'!$B$3=L$3,SUMIF('TL18'!$C$10:$C$224,$C167,'TL18'!$J$10:$J$224),0),
IF('TL18'!$B$229=L$3,SUMIF('TL18'!$C$238:$C$451,$C167,'TL18'!$J$238:$J$451),0),
IF('TL19'!$B$3=L$3,SUMIF('TL19'!$C$10:$C$224,$C167,'TL19'!$J$10:$J$224),0),
IF('TL19'!$B$229=L$3,SUMIF('TL19'!$C$238:$C$451,$C167,'TL19'!$J$238:$J$451),0)
),0)</f>
        <v>0</v>
      </c>
      <c r="M167" s="9">
        <f>IFERROR(SUM(
IF('TL01'!$B$3=M$3,SUMIF('TL01'!$C$10:$C$224,$C167,'TL01'!$J$10:$J$224),0),
IF('TL01'!$B$229=M$3,SUMIF('TL01'!$C$238:$C$451,$C167,'TL01'!$J$238:$J$451),0),
IF('TL02'!$B$3=M$3,SUMIF('TL02'!$C$10:$C$224,$C167,'TL02'!$J$10:$J$224),0),
IF('TL02'!$B$229=M$3,SUMIF('TL02'!$C$238:$C$451,$C167,'TL02'!$J$238:$J$451),0),
IF('TL03'!$B$3=M$3,SUMIF('TL03'!$C$10:$C$224,$C167,'TL03'!$J$10:$J$224),0),
IF('TL03'!$B$229=M$3,SUMIF('TL03'!$C$238:$C$451,$C167,'TL03'!$J$238:$J$451),0),
IF('TL04'!$B$3=M$3,SUMIF('TL04'!$C$10:$C$224,$C167,'TL04'!$J$10:$J$224),0),
IF('TL04'!$B$229=M$3,SUMIF('TL04'!$C$238:$C$451,$C167,'TL04'!$J$238:$J$451),0),
IF('TL05'!$B$3=M$3,SUMIF('TL05'!$C$10:$C$224,$C167,'TL05'!$J$10:$J$224),0),
IF('TL05'!$B$229=M$3,SUMIF('TL05'!$C$238:$C$451,$C167,'TL05'!$J$238:$J$451),0),
IF('TL06'!$B$3=M$3,SUMIF('TL06'!$C$10:$C$224,$C167,'TL06'!$J$10:$J$224),0),
IF('TL06'!$B$229=M$3,SUMIF('TL06'!$C$238:$C$451,$C167,'TL06'!$J$238:$J$451),0),
IF('TL07'!$B$3=M$3,SUMIF('TL07'!$C$10:$C$224,$C167,'TL07'!$J$10:$J$224),0),
IF('TL07'!$B$229=M$3,SUMIF('TL07'!$C$238:$C$451,$C167,'TL07'!$J$238:$J$451),0),
IF('TL08'!$B$3=M$3,SUMIF('TL08'!$C$10:$C$224,$C167,'TL08'!$J$10:$J$224),0),
IF('TL08'!$B$229=M$3,SUMIF('TL08'!$C$238:$C$451,$C167,'TL08'!$J$238:$J$451),0),
IF('TL09'!$B$3=M$3,SUMIF('TL09'!$C$10:$C$224,$C167,'TL09'!$J$10:$J$224),0),
IF('TL09'!$B$229=M$3,SUMIF('TL09'!$C$238:$C$451,$C167,'TL09'!$J$238:$J$451),0),
IF('TL10'!$B$3=M$3,SUMIF('TL10'!$C$10:$C$224,$C167,'TL10'!$J$10:$J$224),0),
IF('TL10'!$B$229=M$3,SUMIF('TL10'!$C$238:$C$451,$C167,'TL10'!$J$238:$J$451),0),
IF('TL11'!$B$3=M$3,SUMIF('TL11'!$C$10:$C$224,$C167,'TL11'!$J$10:$J$224),0),
IF('TL11'!$B$229=M$3,SUMIF('TL11'!$C$238:$C$451,$C167,'TL11'!$J$238:$J$451),0),
IF('TL12'!$B$3=M$3,SUMIF('TL12'!$C$10:$C$224,$C167,'TL12'!$J$10:$J$224),0),
IF('TL12'!$B$229=M$3,SUMIF('TL12'!$C$238:$C$451,$C167,'TL12'!$J$238:$J$451),0),
IF('TL13'!$B$3=M$3,SUMIF('TL13'!$C$10:$C$224,$C167,'TL13'!$J$10:$J$224),0),
IF('TL13'!$B$229=M$3,SUMIF('TL13'!$C$238:$C$451,$C167,'TL13'!$J$238:$J$451),0),
IF('TL14'!$B$3=M$3,SUMIF('TL14'!$C$10:$C$224,$C167,'TL14'!$J$10:$J$224),0),
IF('TL14'!$B$229=M$3,SUMIF('TL14'!$C$238:$C$451,$C167,'TL14'!$J$238:$J$451),0),
IF('TL15'!$B$3=M$3,SUMIF('TL15'!$C$10:$C$224,$C167,'TL15'!$J$10:$J$224),0),
IF('TL15'!$B$229=M$3,SUMIF('TL15'!$C$238:$C$451,$C167,'TL15'!$J$238:$J$451),0),
IF('TL16'!$B$3=M$3,SUMIF('TL16'!$C$10:$C$224,$C167,'TL16'!$J$10:$J$224),0),
IF('TL16'!$B$229=M$3,SUMIF('TL16'!$C$238:$C$451,$C167,'TL16'!$J$238:$J$451),0),
IF('TL17'!$B$3=M$3,SUMIF('TL17'!$C$10:$C$224,$C167,'TL17'!$J$10:$J$224),0),
IF('TL17'!$B$229=M$3,SUMIF('TL17'!$C$238:$C$451,$C167,'TL17'!$J$238:$J$451),0),
IF('TL18'!$B$3=M$3,SUMIF('TL18'!$C$10:$C$224,$C167,'TL18'!$J$10:$J$224),0),
IF('TL18'!$B$229=M$3,SUMIF('TL18'!$C$238:$C$451,$C167,'TL18'!$J$238:$J$451),0),
IF('TL19'!$B$3=M$3,SUMIF('TL19'!$C$10:$C$224,$C167,'TL19'!$J$10:$J$224),0),
IF('TL19'!$B$229=M$3,SUMIF('TL19'!$C$238:$C$451,$C167,'TL19'!$J$238:$J$451),0)
),0)</f>
        <v>0</v>
      </c>
      <c r="N167" s="9">
        <f>IFERROR(SUM(
IF('TL01'!$B$3=N$3,SUMIF('TL01'!$C$10:$C$224,$C167,'TL01'!$J$10:$J$224),0),
IF('TL01'!$B$229=N$3,SUMIF('TL01'!$C$238:$C$451,$C167,'TL01'!$J$238:$J$451),0),
IF('TL02'!$B$3=N$3,SUMIF('TL02'!$C$10:$C$224,$C167,'TL02'!$J$10:$J$224),0),
IF('TL02'!$B$229=N$3,SUMIF('TL02'!$C$238:$C$451,$C167,'TL02'!$J$238:$J$451),0),
IF('TL03'!$B$3=N$3,SUMIF('TL03'!$C$10:$C$224,$C167,'TL03'!$J$10:$J$224),0),
IF('TL03'!$B$229=N$3,SUMIF('TL03'!$C$238:$C$451,$C167,'TL03'!$J$238:$J$451),0),
IF('TL04'!$B$3=N$3,SUMIF('TL04'!$C$10:$C$224,$C167,'TL04'!$J$10:$J$224),0),
IF('TL04'!$B$229=N$3,SUMIF('TL04'!$C$238:$C$451,$C167,'TL04'!$J$238:$J$451),0),
IF('TL05'!$B$3=N$3,SUMIF('TL05'!$C$10:$C$224,$C167,'TL05'!$J$10:$J$224),0),
IF('TL05'!$B$229=N$3,SUMIF('TL05'!$C$238:$C$451,$C167,'TL05'!$J$238:$J$451),0),
IF('TL06'!$B$3=N$3,SUMIF('TL06'!$C$10:$C$224,$C167,'TL06'!$J$10:$J$224),0),
IF('TL06'!$B$229=N$3,SUMIF('TL06'!$C$238:$C$451,$C167,'TL06'!$J$238:$J$451),0),
IF('TL07'!$B$3=N$3,SUMIF('TL07'!$C$10:$C$224,$C167,'TL07'!$J$10:$J$224),0),
IF('TL07'!$B$229=N$3,SUMIF('TL07'!$C$238:$C$451,$C167,'TL07'!$J$238:$J$451),0),
IF('TL08'!$B$3=N$3,SUMIF('TL08'!$C$10:$C$224,$C167,'TL08'!$J$10:$J$224),0),
IF('TL08'!$B$229=N$3,SUMIF('TL08'!$C$238:$C$451,$C167,'TL08'!$J$238:$J$451),0),
IF('TL09'!$B$3=N$3,SUMIF('TL09'!$C$10:$C$224,$C167,'TL09'!$J$10:$J$224),0),
IF('TL09'!$B$229=N$3,SUMIF('TL09'!$C$238:$C$451,$C167,'TL09'!$J$238:$J$451),0),
IF('TL10'!$B$3=N$3,SUMIF('TL10'!$C$10:$C$224,$C167,'TL10'!$J$10:$J$224),0),
IF('TL10'!$B$229=N$3,SUMIF('TL10'!$C$238:$C$451,$C167,'TL10'!$J$238:$J$451),0),
IF('TL11'!$B$3=N$3,SUMIF('TL11'!$C$10:$C$224,$C167,'TL11'!$J$10:$J$224),0),
IF('TL11'!$B$229=N$3,SUMIF('TL11'!$C$238:$C$451,$C167,'TL11'!$J$238:$J$451),0),
IF('TL12'!$B$3=N$3,SUMIF('TL12'!$C$10:$C$224,$C167,'TL12'!$J$10:$J$224),0),
IF('TL12'!$B$229=N$3,SUMIF('TL12'!$C$238:$C$451,$C167,'TL12'!$J$238:$J$451),0),
IF('TL13'!$B$3=N$3,SUMIF('TL13'!$C$10:$C$224,$C167,'TL13'!$J$10:$J$224),0),
IF('TL13'!$B$229=N$3,SUMIF('TL13'!$C$238:$C$451,$C167,'TL13'!$J$238:$J$451),0),
IF('TL14'!$B$3=N$3,SUMIF('TL14'!$C$10:$C$224,$C167,'TL14'!$J$10:$J$224),0),
IF('TL14'!$B$229=N$3,SUMIF('TL14'!$C$238:$C$451,$C167,'TL14'!$J$238:$J$451),0),
IF('TL15'!$B$3=N$3,SUMIF('TL15'!$C$10:$C$224,$C167,'TL15'!$J$10:$J$224),0),
IF('TL15'!$B$229=N$3,SUMIF('TL15'!$C$238:$C$451,$C167,'TL15'!$J$238:$J$451),0),
IF('TL16'!$B$3=N$3,SUMIF('TL16'!$C$10:$C$224,$C167,'TL16'!$J$10:$J$224),0),
IF('TL16'!$B$229=N$3,SUMIF('TL16'!$C$238:$C$451,$C167,'TL16'!$J$238:$J$451),0),
IF('TL17'!$B$3=N$3,SUMIF('TL17'!$C$10:$C$224,$C167,'TL17'!$J$10:$J$224),0),
IF('TL17'!$B$229=N$3,SUMIF('TL17'!$C$238:$C$451,$C167,'TL17'!$J$238:$J$451),0),
IF('TL18'!$B$3=N$3,SUMIF('TL18'!$C$10:$C$224,$C167,'TL18'!$J$10:$J$224),0),
IF('TL18'!$B$229=N$3,SUMIF('TL18'!$C$238:$C$451,$C167,'TL18'!$J$238:$J$451),0),
IF('TL19'!$B$3=N$3,SUMIF('TL19'!$C$10:$C$224,$C167,'TL19'!$J$10:$J$224),0),
IF('TL19'!$B$229=N$3,SUMIF('TL19'!$C$238:$C$451,$C167,'TL19'!$J$238:$J$451),0)
),0)</f>
        <v>0</v>
      </c>
      <c r="O167" s="9">
        <f>IFERROR(SUM(
IF('TL01'!$B$3=O$3,SUMIF('TL01'!$C$10:$C$224,$C167,'TL01'!$J$10:$J$224),0),
IF('TL01'!$B$229=O$3,SUMIF('TL01'!$C$238:$C$451,$C167,'TL01'!$J$238:$J$451),0),
IF('TL02'!$B$3=O$3,SUMIF('TL02'!$C$10:$C$224,$C167,'TL02'!$J$10:$J$224),0),
IF('TL02'!$B$229=O$3,SUMIF('TL02'!$C$238:$C$451,$C167,'TL02'!$J$238:$J$451),0),
IF('TL03'!$B$3=O$3,SUMIF('TL03'!$C$10:$C$224,$C167,'TL03'!$J$10:$J$224),0),
IF('TL03'!$B$229=O$3,SUMIF('TL03'!$C$238:$C$451,$C167,'TL03'!$J$238:$J$451),0),
IF('TL04'!$B$3=O$3,SUMIF('TL04'!$C$10:$C$224,$C167,'TL04'!$J$10:$J$224),0),
IF('TL04'!$B$229=O$3,SUMIF('TL04'!$C$238:$C$451,$C167,'TL04'!$J$238:$J$451),0),
IF('TL05'!$B$3=O$3,SUMIF('TL05'!$C$10:$C$224,$C167,'TL05'!$J$10:$J$224),0),
IF('TL05'!$B$229=O$3,SUMIF('TL05'!$C$238:$C$451,$C167,'TL05'!$J$238:$J$451),0),
IF('TL06'!$B$3=O$3,SUMIF('TL06'!$C$10:$C$224,$C167,'TL06'!$J$10:$J$224),0),
IF('TL06'!$B$229=O$3,SUMIF('TL06'!$C$238:$C$451,$C167,'TL06'!$J$238:$J$451),0),
IF('TL07'!$B$3=O$3,SUMIF('TL07'!$C$10:$C$224,$C167,'TL07'!$J$10:$J$224),0),
IF('TL07'!$B$229=O$3,SUMIF('TL07'!$C$238:$C$451,$C167,'TL07'!$J$238:$J$451),0),
IF('TL08'!$B$3=O$3,SUMIF('TL08'!$C$10:$C$224,$C167,'TL08'!$J$10:$J$224),0),
IF('TL08'!$B$229=O$3,SUMIF('TL08'!$C$238:$C$451,$C167,'TL08'!$J$238:$J$451),0),
IF('TL09'!$B$3=O$3,SUMIF('TL09'!$C$10:$C$224,$C167,'TL09'!$J$10:$J$224),0),
IF('TL09'!$B$229=O$3,SUMIF('TL09'!$C$238:$C$451,$C167,'TL09'!$J$238:$J$451),0),
IF('TL10'!$B$3=O$3,SUMIF('TL10'!$C$10:$C$224,$C167,'TL10'!$J$10:$J$224),0),
IF('TL10'!$B$229=O$3,SUMIF('TL10'!$C$238:$C$451,$C167,'TL10'!$J$238:$J$451),0),
IF('TL11'!$B$3=O$3,SUMIF('TL11'!$C$10:$C$224,$C167,'TL11'!$J$10:$J$224),0),
IF('TL11'!$B$229=O$3,SUMIF('TL11'!$C$238:$C$451,$C167,'TL11'!$J$238:$J$451),0),
IF('TL12'!$B$3=O$3,SUMIF('TL12'!$C$10:$C$224,$C167,'TL12'!$J$10:$J$224),0),
IF('TL12'!$B$229=O$3,SUMIF('TL12'!$C$238:$C$451,$C167,'TL12'!$J$238:$J$451),0),
IF('TL13'!$B$3=O$3,SUMIF('TL13'!$C$10:$C$224,$C167,'TL13'!$J$10:$J$224),0),
IF('TL13'!$B$229=O$3,SUMIF('TL13'!$C$238:$C$451,$C167,'TL13'!$J$238:$J$451),0),
IF('TL14'!$B$3=O$3,SUMIF('TL14'!$C$10:$C$224,$C167,'TL14'!$J$10:$J$224),0),
IF('TL14'!$B$229=O$3,SUMIF('TL14'!$C$238:$C$451,$C167,'TL14'!$J$238:$J$451),0),
IF('TL15'!$B$3=O$3,SUMIF('TL15'!$C$10:$C$224,$C167,'TL15'!$J$10:$J$224),0),
IF('TL15'!$B$229=O$3,SUMIF('TL15'!$C$238:$C$451,$C167,'TL15'!$J$238:$J$451),0),
IF('TL16'!$B$3=O$3,SUMIF('TL16'!$C$10:$C$224,$C167,'TL16'!$J$10:$J$224),0),
IF('TL16'!$B$229=O$3,SUMIF('TL16'!$C$238:$C$451,$C167,'TL16'!$J$238:$J$451),0),
IF('TL17'!$B$3=O$3,SUMIF('TL17'!$C$10:$C$224,$C167,'TL17'!$J$10:$J$224),0),
IF('TL17'!$B$229=O$3,SUMIF('TL17'!$C$238:$C$451,$C167,'TL17'!$J$238:$J$451),0),
IF('TL18'!$B$3=O$3,SUMIF('TL18'!$C$10:$C$224,$C167,'TL18'!$J$10:$J$224),0),
IF('TL18'!$B$229=O$3,SUMIF('TL18'!$C$238:$C$451,$C167,'TL18'!$J$238:$J$451),0),
IF('TL19'!$B$3=O$3,SUMIF('TL19'!$C$10:$C$224,$C167,'TL19'!$J$10:$J$224),0),
IF('TL19'!$B$229=O$3,SUMIF('TL19'!$C$238:$C$451,$C167,'TL19'!$J$238:$J$451),0)
),0)</f>
        <v>0</v>
      </c>
      <c r="P167" s="9">
        <f>IFERROR(SUM(
IF('TL01'!$B$3=P$3,SUMIF('TL01'!$C$10:$C$224,$C167,'TL01'!$J$10:$J$224),0),
IF('TL01'!$B$229=P$3,SUMIF('TL01'!$C$238:$C$451,$C167,'TL01'!$J$238:$J$451),0),
IF('TL02'!$B$3=P$3,SUMIF('TL02'!$C$10:$C$224,$C167,'TL02'!$J$10:$J$224),0),
IF('TL02'!$B$229=P$3,SUMIF('TL02'!$C$238:$C$451,$C167,'TL02'!$J$238:$J$451),0),
IF('TL03'!$B$3=P$3,SUMIF('TL03'!$C$10:$C$224,$C167,'TL03'!$J$10:$J$224),0),
IF('TL03'!$B$229=P$3,SUMIF('TL03'!$C$238:$C$451,$C167,'TL03'!$J$238:$J$451),0),
IF('TL04'!$B$3=P$3,SUMIF('TL04'!$C$10:$C$224,$C167,'TL04'!$J$10:$J$224),0),
IF('TL04'!$B$229=P$3,SUMIF('TL04'!$C$238:$C$451,$C167,'TL04'!$J$238:$J$451),0),
IF('TL05'!$B$3=P$3,SUMIF('TL05'!$C$10:$C$224,$C167,'TL05'!$J$10:$J$224),0),
IF('TL05'!$B$229=P$3,SUMIF('TL05'!$C$238:$C$451,$C167,'TL05'!$J$238:$J$451),0),
IF('TL06'!$B$3=P$3,SUMIF('TL06'!$C$10:$C$224,$C167,'TL06'!$J$10:$J$224),0),
IF('TL06'!$B$229=P$3,SUMIF('TL06'!$C$238:$C$451,$C167,'TL06'!$J$238:$J$451),0),
IF('TL07'!$B$3=P$3,SUMIF('TL07'!$C$10:$C$224,$C167,'TL07'!$J$10:$J$224),0),
IF('TL07'!$B$229=P$3,SUMIF('TL07'!$C$238:$C$451,$C167,'TL07'!$J$238:$J$451),0),
IF('TL08'!$B$3=P$3,SUMIF('TL08'!$C$10:$C$224,$C167,'TL08'!$J$10:$J$224),0),
IF('TL08'!$B$229=P$3,SUMIF('TL08'!$C$238:$C$451,$C167,'TL08'!$J$238:$J$451),0),
IF('TL09'!$B$3=P$3,SUMIF('TL09'!$C$10:$C$224,$C167,'TL09'!$J$10:$J$224),0),
IF('TL09'!$B$229=P$3,SUMIF('TL09'!$C$238:$C$451,$C167,'TL09'!$J$238:$J$451),0),
IF('TL10'!$B$3=P$3,SUMIF('TL10'!$C$10:$C$224,$C167,'TL10'!$J$10:$J$224),0),
IF('TL10'!$B$229=P$3,SUMIF('TL10'!$C$238:$C$451,$C167,'TL10'!$J$238:$J$451),0),
IF('TL11'!$B$3=P$3,SUMIF('TL11'!$C$10:$C$224,$C167,'TL11'!$J$10:$J$224),0),
IF('TL11'!$B$229=P$3,SUMIF('TL11'!$C$238:$C$451,$C167,'TL11'!$J$238:$J$451),0),
IF('TL12'!$B$3=P$3,SUMIF('TL12'!$C$10:$C$224,$C167,'TL12'!$J$10:$J$224),0),
IF('TL12'!$B$229=P$3,SUMIF('TL12'!$C$238:$C$451,$C167,'TL12'!$J$238:$J$451),0),
IF('TL13'!$B$3=P$3,SUMIF('TL13'!$C$10:$C$224,$C167,'TL13'!$J$10:$J$224),0),
IF('TL13'!$B$229=P$3,SUMIF('TL13'!$C$238:$C$451,$C167,'TL13'!$J$238:$J$451),0),
IF('TL14'!$B$3=P$3,SUMIF('TL14'!$C$10:$C$224,$C167,'TL14'!$J$10:$J$224),0),
IF('TL14'!$B$229=P$3,SUMIF('TL14'!$C$238:$C$451,$C167,'TL14'!$J$238:$J$451),0),
IF('TL15'!$B$3=P$3,SUMIF('TL15'!$C$10:$C$224,$C167,'TL15'!$J$10:$J$224),0),
IF('TL15'!$B$229=P$3,SUMIF('TL15'!$C$238:$C$451,$C167,'TL15'!$J$238:$J$451),0),
IF('TL16'!$B$3=P$3,SUMIF('TL16'!$C$10:$C$224,$C167,'TL16'!$J$10:$J$224),0),
IF('TL16'!$B$229=P$3,SUMIF('TL16'!$C$238:$C$451,$C167,'TL16'!$J$238:$J$451),0),
IF('TL17'!$B$3=P$3,SUMIF('TL17'!$C$10:$C$224,$C167,'TL17'!$J$10:$J$224),0),
IF('TL17'!$B$229=P$3,SUMIF('TL17'!$C$238:$C$451,$C167,'TL17'!$J$238:$J$451),0),
IF('TL18'!$B$3=P$3,SUMIF('TL18'!$C$10:$C$224,$C167,'TL18'!$J$10:$J$224),0),
IF('TL18'!$B$229=P$3,SUMIF('TL18'!$C$238:$C$451,$C167,'TL18'!$J$238:$J$451),0),
IF('TL19'!$B$3=P$3,SUMIF('TL19'!$C$10:$C$224,$C167,'TL19'!$J$10:$J$224),0),
IF('TL19'!$B$229=P$3,SUMIF('TL19'!$C$238:$C$451,$C167,'TL19'!$J$238:$J$451),0)
),0)</f>
        <v>0</v>
      </c>
      <c r="Q167" s="9">
        <f>IFERROR(SUM(
IF('TL01'!$B$3=Q$3,SUMIF('TL01'!$C$10:$C$224,$C167,'TL01'!$J$10:$J$224),0),
IF('TL01'!$B$229=Q$3,SUMIF('TL01'!$C$238:$C$451,$C167,'TL01'!$J$238:$J$451),0),
IF('TL02'!$B$3=Q$3,SUMIF('TL02'!$C$10:$C$224,$C167,'TL02'!$J$10:$J$224),0),
IF('TL02'!$B$229=Q$3,SUMIF('TL02'!$C$238:$C$451,$C167,'TL02'!$J$238:$J$451),0),
IF('TL03'!$B$3=Q$3,SUMIF('TL03'!$C$10:$C$224,$C167,'TL03'!$J$10:$J$224),0),
IF('TL03'!$B$229=Q$3,SUMIF('TL03'!$C$238:$C$451,$C167,'TL03'!$J$238:$J$451),0),
IF('TL04'!$B$3=Q$3,SUMIF('TL04'!$C$10:$C$224,$C167,'TL04'!$J$10:$J$224),0),
IF('TL04'!$B$229=Q$3,SUMIF('TL04'!$C$238:$C$451,$C167,'TL04'!$J$238:$J$451),0),
IF('TL05'!$B$3=Q$3,SUMIF('TL05'!$C$10:$C$224,$C167,'TL05'!$J$10:$J$224),0),
IF('TL05'!$B$229=Q$3,SUMIF('TL05'!$C$238:$C$451,$C167,'TL05'!$J$238:$J$451),0),
IF('TL06'!$B$3=Q$3,SUMIF('TL06'!$C$10:$C$224,$C167,'TL06'!$J$10:$J$224),0),
IF('TL06'!$B$229=Q$3,SUMIF('TL06'!$C$238:$C$451,$C167,'TL06'!$J$238:$J$451),0),
IF('TL07'!$B$3=Q$3,SUMIF('TL07'!$C$10:$C$224,$C167,'TL07'!$J$10:$J$224),0),
IF('TL07'!$B$229=Q$3,SUMIF('TL07'!$C$238:$C$451,$C167,'TL07'!$J$238:$J$451),0),
IF('TL08'!$B$3=Q$3,SUMIF('TL08'!$C$10:$C$224,$C167,'TL08'!$J$10:$J$224),0),
IF('TL08'!$B$229=Q$3,SUMIF('TL08'!$C$238:$C$451,$C167,'TL08'!$J$238:$J$451),0),
IF('TL09'!$B$3=Q$3,SUMIF('TL09'!$C$10:$C$224,$C167,'TL09'!$J$10:$J$224),0),
IF('TL09'!$B$229=Q$3,SUMIF('TL09'!$C$238:$C$451,$C167,'TL09'!$J$238:$J$451),0),
IF('TL10'!$B$3=Q$3,SUMIF('TL10'!$C$10:$C$224,$C167,'TL10'!$J$10:$J$224),0),
IF('TL10'!$B$229=Q$3,SUMIF('TL10'!$C$238:$C$451,$C167,'TL10'!$J$238:$J$451),0),
IF('TL11'!$B$3=Q$3,SUMIF('TL11'!$C$10:$C$224,$C167,'TL11'!$J$10:$J$224),0),
IF('TL11'!$B$229=Q$3,SUMIF('TL11'!$C$238:$C$451,$C167,'TL11'!$J$238:$J$451),0),
IF('TL12'!$B$3=Q$3,SUMIF('TL12'!$C$10:$C$224,$C167,'TL12'!$J$10:$J$224),0),
IF('TL12'!$B$229=Q$3,SUMIF('TL12'!$C$238:$C$451,$C167,'TL12'!$J$238:$J$451),0),
IF('TL13'!$B$3=Q$3,SUMIF('TL13'!$C$10:$C$224,$C167,'TL13'!$J$10:$J$224),0),
IF('TL13'!$B$229=Q$3,SUMIF('TL13'!$C$238:$C$451,$C167,'TL13'!$J$238:$J$451),0),
IF('TL14'!$B$3=Q$3,SUMIF('TL14'!$C$10:$C$224,$C167,'TL14'!$J$10:$J$224),0),
IF('TL14'!$B$229=Q$3,SUMIF('TL14'!$C$238:$C$451,$C167,'TL14'!$J$238:$J$451),0),
IF('TL15'!$B$3=Q$3,SUMIF('TL15'!$C$10:$C$224,$C167,'TL15'!$J$10:$J$224),0),
IF('TL15'!$B$229=Q$3,SUMIF('TL15'!$C$238:$C$451,$C167,'TL15'!$J$238:$J$451),0),
IF('TL16'!$B$3=Q$3,SUMIF('TL16'!$C$10:$C$224,$C167,'TL16'!$J$10:$J$224),0),
IF('TL16'!$B$229=Q$3,SUMIF('TL16'!$C$238:$C$451,$C167,'TL16'!$J$238:$J$451),0),
IF('TL17'!$B$3=Q$3,SUMIF('TL17'!$C$10:$C$224,$C167,'TL17'!$J$10:$J$224),0),
IF('TL17'!$B$229=Q$3,SUMIF('TL17'!$C$238:$C$451,$C167,'TL17'!$J$238:$J$451),0),
IF('TL18'!$B$3=Q$3,SUMIF('TL18'!$C$10:$C$224,$C167,'TL18'!$J$10:$J$224),0),
IF('TL18'!$B$229=Q$3,SUMIF('TL18'!$C$238:$C$451,$C167,'TL18'!$J$238:$J$451),0),
IF('TL19'!$B$3=Q$3,SUMIF('TL19'!$C$10:$C$224,$C167,'TL19'!$J$10:$J$224),0),
IF('TL19'!$B$229=Q$3,SUMIF('TL19'!$C$238:$C$451,$C167,'TL19'!$J$238:$J$451),0)
),0)</f>
        <v>0</v>
      </c>
      <c r="R167" s="9">
        <f>IFERROR(
SUM(
SUMIF('TL01'!C:C,C167,'TL01'!J:J),
SUMIF('TL02'!C:C,C167,'TL02'!J:J),
SUMIF('TL03'!C:C,C167,'TL03'!J:J),
SUMIF('TL04'!C:C,C167,'TL04'!J:J),
SUMIF('TL05'!C:C,C167,'TL05'!J:J),
SUMIF('TL06'!C:C,C167,'TL06'!J:J),
SUMIF('TL07'!C:C,C167,'TL07'!J:J),
SUMIF('TL08'!C:C,C167,'TL08'!J:J),
SUMIF('TL09'!C:C,C167,'TL09'!J:J),
SUMIF('TL10'!C:C,C167,'TL10'!J:J),
SUMIF('TL11'!C:C,C167,'TL11'!J:J),
SUMIF('TL12'!C:C,C167,'TL12'!J:J),
SUMIF('TL13'!C:C,C167,'TL13'!J:J),
SUMIF('TL14'!C:C,C167,'TL14'!J:J),
SUMIF('TL15'!C:C,C167,'TL15'!J:J),
SUMIF('TL16'!C:C,C167,'TL16'!J:J),
SUMIF('TL17'!C:C,C167,'TL17'!J:J),
SUMIF('TL18'!C:C,C167,'TL18'!J:J),SUMIF('TL19'!C:C,C167,'TL19'!J:J))
,0)</f>
        <v>0</v>
      </c>
      <c r="S167" s="17">
        <f>IFERROR(__xludf.DUMMYFUNCTION("IFERROR(VLOOKUP(C167,
IMPORTRANGE(""1wULbzX32WdYsx-lj2U3uUNBBe2INVIRDtcK0d-Dvl90"",
""26-27!C:G""),
5,
FALSE),
"""")"),31.437819999999995)</f>
        <v>31.43782</v>
      </c>
      <c r="T167" s="9"/>
      <c r="U167" s="92">
        <f t="shared" si="2"/>
        <v>0</v>
      </c>
      <c r="V167" s="93">
        <f t="shared" si="3"/>
        <v>0</v>
      </c>
    </row>
    <row r="168" ht="15.75" hidden="1" customHeight="1">
      <c r="A168" s="115" t="s">
        <v>358</v>
      </c>
      <c r="B168" s="100" t="s">
        <v>1</v>
      </c>
      <c r="C168" s="116" t="s">
        <v>742</v>
      </c>
      <c r="D168" s="116" t="s">
        <v>743</v>
      </c>
      <c r="E168" s="116">
        <v>200.0</v>
      </c>
      <c r="F168" s="4" t="s">
        <v>343</v>
      </c>
      <c r="G168" s="90" t="str">
        <f t="shared" si="4"/>
        <v>📄 Ver bula</v>
      </c>
      <c r="H168" s="9">
        <f>IFERROR(__xludf.DUMMYFUNCTION("IFERROR(VLOOKUP(C168,
IMPORTRANGE(""1wULbzX32WdYsx-lj2U3uUNBBe2INVIRDtcK0d-Dvl90"",
""26-27!C:K""),
8,
FALSE),
"""")"),2.0)</f>
        <v>2</v>
      </c>
      <c r="I168" s="117" t="s">
        <v>344</v>
      </c>
      <c r="J168" s="9">
        <f>IFERROR(SUM(
IF('TL01'!$B$3=J$3,SUMIF('TL01'!$C$10:$C$224,$C168,'TL01'!$J$10:$J$224),0),
IF('TL01'!$B$229=J$3,SUMIF('TL01'!$C$238:$C$451,$C168,'TL01'!$J$238:$J$451),0),
IF('TL02'!$B$3=J$3,SUMIF('TL02'!$C$10:$C$224,$C168,'TL02'!$J$10:$J$224),0),
IF('TL02'!$B$229=J$3,SUMIF('TL02'!$C$238:$C$451,$C168,'TL02'!$J$238:$J$451),0),
IF('TL03'!$B$3=J$3,SUMIF('TL03'!$C$10:$C$224,$C168,'TL03'!$J$10:$J$224),0),
IF('TL03'!$B$229=J$3,SUMIF('TL03'!$C$238:$C$451,$C168,'TL03'!$J$238:$J$451),0),
IF('TL04'!$B$3=J$3,SUMIF('TL04'!$C$10:$C$224,$C168,'TL04'!$J$10:$J$224),0),
IF('TL04'!$B$229=J$3,SUMIF('TL04'!$C$238:$C$451,$C168,'TL04'!$J$238:$J$451),0),
IF('TL05'!$B$3=J$3,SUMIF('TL05'!$C$10:$C$224,$C168,'TL05'!$J$10:$J$224),0),
IF('TL05'!$B$229=J$3,SUMIF('TL05'!$C$238:$C$451,$C168,'TL05'!$J$238:$J$451),0),
IF('TL06'!$B$3=J$3,SUMIF('TL06'!$C$10:$C$224,$C168,'TL06'!$J$10:$J$224),0),
IF('TL06'!$B$229=J$3,SUMIF('TL06'!$C$238:$C$451,$C168,'TL06'!$J$238:$J$451),0),
IF('TL07'!$B$3=J$3,SUMIF('TL07'!$C$10:$C$224,$C168,'TL07'!$J$10:$J$224),0),
IF('TL07'!$B$229=J$3,SUMIF('TL07'!$C$238:$C$451,$C168,'TL07'!$J$238:$J$451),0),
IF('TL08'!$B$3=J$3,SUMIF('TL08'!$C$10:$C$224,$C168,'TL08'!$J$10:$J$224),0),
IF('TL08'!$B$229=J$3,SUMIF('TL08'!$C$238:$C$451,$C168,'TL08'!$J$238:$J$451),0),
IF('TL09'!$B$3=J$3,SUMIF('TL09'!$C$10:$C$224,$C168,'TL09'!$J$10:$J$224),0),
IF('TL09'!$B$229=J$3,SUMIF('TL09'!$C$238:$C$451,$C168,'TL09'!$J$238:$J$451),0),
IF('TL10'!$B$3=J$3,SUMIF('TL10'!$C$10:$C$224,$C168,'TL10'!$J$10:$J$224),0),
IF('TL10'!$B$229=J$3,SUMIF('TL10'!$C$238:$C$451,$C168,'TL10'!$J$238:$J$451),0),
IF('TL11'!$B$3=J$3,SUMIF('TL11'!$C$10:$C$224,$C168,'TL11'!$J$10:$J$224),0),
IF('TL11'!$B$229=J$3,SUMIF('TL11'!$C$238:$C$451,$C168,'TL11'!$J$238:$J$451),0),
IF('TL12'!$B$3=J$3,SUMIF('TL12'!$C$10:$C$224,$C168,'TL12'!$J$10:$J$224),0),
IF('TL12'!$B$229=J$3,SUMIF('TL12'!$C$238:$C$451,$C168,'TL12'!$J$238:$J$451),0),
IF('TL13'!$B$3=J$3,SUMIF('TL13'!$C$10:$C$224,$C168,'TL13'!$J$10:$J$224),0),
IF('TL13'!$B$229=J$3,SUMIF('TL13'!$C$238:$C$451,$C168,'TL13'!$J$238:$J$451),0),
IF('TL14'!$B$3=J$3,SUMIF('TL14'!$C$10:$C$224,$C168,'TL14'!$J$10:$J$224),0),
IF('TL14'!$B$229=J$3,SUMIF('TL14'!$C$238:$C$451,$C168,'TL14'!$J$238:$J$451),0),
IF('TL15'!$B$3=J$3,SUMIF('TL15'!$C$10:$C$224,$C168,'TL15'!$J$10:$J$224),0),
IF('TL15'!$B$229=J$3,SUMIF('TL15'!$C$238:$C$451,$C168,'TL15'!$J$238:$J$451),0),
IF('TL16'!$B$3=J$3,SUMIF('TL16'!$C$10:$C$224,$C168,'TL16'!$J$10:$J$224),0),
IF('TL16'!$B$229=J$3,SUMIF('TL16'!$C$238:$C$451,$C168,'TL16'!$J$238:$J$451),0),
IF('TL17'!$B$3=J$3,SUMIF('TL17'!$C$10:$C$224,$C168,'TL17'!$J$10:$J$224),0),
IF('TL17'!$B$229=J$3,SUMIF('TL17'!$C$238:$C$451,$C168,'TL17'!$J$238:$J$451),0),
IF('TL18'!$B$3=J$3,SUMIF('TL18'!$C$10:$C$224,$C168,'TL18'!$J$10:$J$224),0),
IF('TL18'!$B$229=J$3,SUMIF('TL18'!$C$238:$C$451,$C168,'TL18'!$J$238:$J$451),0),
IF('TL19'!$B$3=J$3,SUMIF('TL19'!$C$10:$C$224,$C168,'TL19'!$J$10:$J$224),0),
IF('TL19'!$B$229=J$3,SUMIF('TL19'!$C$238:$C$451,$C168,'TL19'!$J$238:$J$451),0)
),0)</f>
        <v>0</v>
      </c>
      <c r="K168" s="9">
        <f>IFERROR(SUM(
IF('TL01'!$B$3=K$3,SUMIF('TL01'!$C$10:$C$224,$C168,'TL01'!$J$10:$J$224),0),
IF('TL01'!$B$229=K$3,SUMIF('TL01'!$C$238:$C$451,$C168,'TL01'!$J$238:$J$451),0),
IF('TL02'!$B$3=K$3,SUMIF('TL02'!$C$10:$C$224,$C168,'TL02'!$J$10:$J$224),0),
IF('TL02'!$B$229=K$3,SUMIF('TL02'!$C$238:$C$451,$C168,'TL02'!$J$238:$J$451),0),
IF('TL03'!$B$3=K$3,SUMIF('TL03'!$C$10:$C$224,$C168,'TL03'!$J$10:$J$224),0),
IF('TL03'!$B$229=K$3,SUMIF('TL03'!$C$238:$C$451,$C168,'TL03'!$J$238:$J$451),0),
IF('TL04'!$B$3=K$3,SUMIF('TL04'!$C$10:$C$224,$C168,'TL04'!$J$10:$J$224),0),
IF('TL04'!$B$229=K$3,SUMIF('TL04'!$C$238:$C$451,$C168,'TL04'!$J$238:$J$451),0),
IF('TL05'!$B$3=K$3,SUMIF('TL05'!$C$10:$C$224,$C168,'TL05'!$J$10:$J$224),0),
IF('TL05'!$B$229=K$3,SUMIF('TL05'!$C$238:$C$451,$C168,'TL05'!$J$238:$J$451),0),
IF('TL06'!$B$3=K$3,SUMIF('TL06'!$C$10:$C$224,$C168,'TL06'!$J$10:$J$224),0),
IF('TL06'!$B$229=K$3,SUMIF('TL06'!$C$238:$C$451,$C168,'TL06'!$J$238:$J$451),0),
IF('TL07'!$B$3=K$3,SUMIF('TL07'!$C$10:$C$224,$C168,'TL07'!$J$10:$J$224),0),
IF('TL07'!$B$229=K$3,SUMIF('TL07'!$C$238:$C$451,$C168,'TL07'!$J$238:$J$451),0),
IF('TL08'!$B$3=K$3,SUMIF('TL08'!$C$10:$C$224,$C168,'TL08'!$J$10:$J$224),0),
IF('TL08'!$B$229=K$3,SUMIF('TL08'!$C$238:$C$451,$C168,'TL08'!$J$238:$J$451),0),
IF('TL09'!$B$3=K$3,SUMIF('TL09'!$C$10:$C$224,$C168,'TL09'!$J$10:$J$224),0),
IF('TL09'!$B$229=K$3,SUMIF('TL09'!$C$238:$C$451,$C168,'TL09'!$J$238:$J$451),0),
IF('TL10'!$B$3=K$3,SUMIF('TL10'!$C$10:$C$224,$C168,'TL10'!$J$10:$J$224),0),
IF('TL10'!$B$229=K$3,SUMIF('TL10'!$C$238:$C$451,$C168,'TL10'!$J$238:$J$451),0),
IF('TL11'!$B$3=K$3,SUMIF('TL11'!$C$10:$C$224,$C168,'TL11'!$J$10:$J$224),0),
IF('TL11'!$B$229=K$3,SUMIF('TL11'!$C$238:$C$451,$C168,'TL11'!$J$238:$J$451),0),
IF('TL12'!$B$3=K$3,SUMIF('TL12'!$C$10:$C$224,$C168,'TL12'!$J$10:$J$224),0),
IF('TL12'!$B$229=K$3,SUMIF('TL12'!$C$238:$C$451,$C168,'TL12'!$J$238:$J$451),0),
IF('TL13'!$B$3=K$3,SUMIF('TL13'!$C$10:$C$224,$C168,'TL13'!$J$10:$J$224),0),
IF('TL13'!$B$229=K$3,SUMIF('TL13'!$C$238:$C$451,$C168,'TL13'!$J$238:$J$451),0),
IF('TL14'!$B$3=K$3,SUMIF('TL14'!$C$10:$C$224,$C168,'TL14'!$J$10:$J$224),0),
IF('TL14'!$B$229=K$3,SUMIF('TL14'!$C$238:$C$451,$C168,'TL14'!$J$238:$J$451),0),
IF('TL15'!$B$3=K$3,SUMIF('TL15'!$C$10:$C$224,$C168,'TL15'!$J$10:$J$224),0),
IF('TL15'!$B$229=K$3,SUMIF('TL15'!$C$238:$C$451,$C168,'TL15'!$J$238:$J$451),0),
IF('TL16'!$B$3=K$3,SUMIF('TL16'!$C$10:$C$224,$C168,'TL16'!$J$10:$J$224),0),
IF('TL16'!$B$229=K$3,SUMIF('TL16'!$C$238:$C$451,$C168,'TL16'!$J$238:$J$451),0),
IF('TL17'!$B$3=K$3,SUMIF('TL17'!$C$10:$C$224,$C168,'TL17'!$J$10:$J$224),0),
IF('TL17'!$B$229=K$3,SUMIF('TL17'!$C$238:$C$451,$C168,'TL17'!$J$238:$J$451),0),
IF('TL18'!$B$3=K$3,SUMIF('TL18'!$C$10:$C$224,$C168,'TL18'!$J$10:$J$224),0),
IF('TL18'!$B$229=K$3,SUMIF('TL18'!$C$238:$C$451,$C168,'TL18'!$J$238:$J$451),0),
IF('TL19'!$B$3=K$3,SUMIF('TL19'!$C$10:$C$224,$C168,'TL19'!$J$10:$J$224),0),
IF('TL19'!$B$229=K$3,SUMIF('TL19'!$C$238:$C$451,$C168,'TL19'!$J$238:$J$451),0)
),0)</f>
        <v>600</v>
      </c>
      <c r="L168" s="9">
        <f>IFERROR(SUM(
IF('TL01'!$B$3=L$3,SUMIF('TL01'!$C$10:$C$224,$C168,'TL01'!$J$10:$J$224),0),
IF('TL01'!$B$229=L$3,SUMIF('TL01'!$C$238:$C$451,$C168,'TL01'!$J$238:$J$451),0),
IF('TL02'!$B$3=L$3,SUMIF('TL02'!$C$10:$C$224,$C168,'TL02'!$J$10:$J$224),0),
IF('TL02'!$B$229=L$3,SUMIF('TL02'!$C$238:$C$451,$C168,'TL02'!$J$238:$J$451),0),
IF('TL03'!$B$3=L$3,SUMIF('TL03'!$C$10:$C$224,$C168,'TL03'!$J$10:$J$224),0),
IF('TL03'!$B$229=L$3,SUMIF('TL03'!$C$238:$C$451,$C168,'TL03'!$J$238:$J$451),0),
IF('TL04'!$B$3=L$3,SUMIF('TL04'!$C$10:$C$224,$C168,'TL04'!$J$10:$J$224),0),
IF('TL04'!$B$229=L$3,SUMIF('TL04'!$C$238:$C$451,$C168,'TL04'!$J$238:$J$451),0),
IF('TL05'!$B$3=L$3,SUMIF('TL05'!$C$10:$C$224,$C168,'TL05'!$J$10:$J$224),0),
IF('TL05'!$B$229=L$3,SUMIF('TL05'!$C$238:$C$451,$C168,'TL05'!$J$238:$J$451),0),
IF('TL06'!$B$3=L$3,SUMIF('TL06'!$C$10:$C$224,$C168,'TL06'!$J$10:$J$224),0),
IF('TL06'!$B$229=L$3,SUMIF('TL06'!$C$238:$C$451,$C168,'TL06'!$J$238:$J$451),0),
IF('TL07'!$B$3=L$3,SUMIF('TL07'!$C$10:$C$224,$C168,'TL07'!$J$10:$J$224),0),
IF('TL07'!$B$229=L$3,SUMIF('TL07'!$C$238:$C$451,$C168,'TL07'!$J$238:$J$451),0),
IF('TL08'!$B$3=L$3,SUMIF('TL08'!$C$10:$C$224,$C168,'TL08'!$J$10:$J$224),0),
IF('TL08'!$B$229=L$3,SUMIF('TL08'!$C$238:$C$451,$C168,'TL08'!$J$238:$J$451),0),
IF('TL09'!$B$3=L$3,SUMIF('TL09'!$C$10:$C$224,$C168,'TL09'!$J$10:$J$224),0),
IF('TL09'!$B$229=L$3,SUMIF('TL09'!$C$238:$C$451,$C168,'TL09'!$J$238:$J$451),0),
IF('TL10'!$B$3=L$3,SUMIF('TL10'!$C$10:$C$224,$C168,'TL10'!$J$10:$J$224),0),
IF('TL10'!$B$229=L$3,SUMIF('TL10'!$C$238:$C$451,$C168,'TL10'!$J$238:$J$451),0),
IF('TL11'!$B$3=L$3,SUMIF('TL11'!$C$10:$C$224,$C168,'TL11'!$J$10:$J$224),0),
IF('TL11'!$B$229=L$3,SUMIF('TL11'!$C$238:$C$451,$C168,'TL11'!$J$238:$J$451),0),
IF('TL12'!$B$3=L$3,SUMIF('TL12'!$C$10:$C$224,$C168,'TL12'!$J$10:$J$224),0),
IF('TL12'!$B$229=L$3,SUMIF('TL12'!$C$238:$C$451,$C168,'TL12'!$J$238:$J$451),0),
IF('TL13'!$B$3=L$3,SUMIF('TL13'!$C$10:$C$224,$C168,'TL13'!$J$10:$J$224),0),
IF('TL13'!$B$229=L$3,SUMIF('TL13'!$C$238:$C$451,$C168,'TL13'!$J$238:$J$451),0),
IF('TL14'!$B$3=L$3,SUMIF('TL14'!$C$10:$C$224,$C168,'TL14'!$J$10:$J$224),0),
IF('TL14'!$B$229=L$3,SUMIF('TL14'!$C$238:$C$451,$C168,'TL14'!$J$238:$J$451),0),
IF('TL15'!$B$3=L$3,SUMIF('TL15'!$C$10:$C$224,$C168,'TL15'!$J$10:$J$224),0),
IF('TL15'!$B$229=L$3,SUMIF('TL15'!$C$238:$C$451,$C168,'TL15'!$J$238:$J$451),0),
IF('TL16'!$B$3=L$3,SUMIF('TL16'!$C$10:$C$224,$C168,'TL16'!$J$10:$J$224),0),
IF('TL16'!$B$229=L$3,SUMIF('TL16'!$C$238:$C$451,$C168,'TL16'!$J$238:$J$451),0),
IF('TL17'!$B$3=L$3,SUMIF('TL17'!$C$10:$C$224,$C168,'TL17'!$J$10:$J$224),0),
IF('TL17'!$B$229=L$3,SUMIF('TL17'!$C$238:$C$451,$C168,'TL17'!$J$238:$J$451),0),
IF('TL18'!$B$3=L$3,SUMIF('TL18'!$C$10:$C$224,$C168,'TL18'!$J$10:$J$224),0),
IF('TL18'!$B$229=L$3,SUMIF('TL18'!$C$238:$C$451,$C168,'TL18'!$J$238:$J$451),0),
IF('TL19'!$B$3=L$3,SUMIF('TL19'!$C$10:$C$224,$C168,'TL19'!$J$10:$J$224),0),
IF('TL19'!$B$229=L$3,SUMIF('TL19'!$C$238:$C$451,$C168,'TL19'!$J$238:$J$451),0)
),0)</f>
        <v>440</v>
      </c>
      <c r="M168" s="9">
        <f>IFERROR(SUM(
IF('TL01'!$B$3=M$3,SUMIF('TL01'!$C$10:$C$224,$C168,'TL01'!$J$10:$J$224),0),
IF('TL01'!$B$229=M$3,SUMIF('TL01'!$C$238:$C$451,$C168,'TL01'!$J$238:$J$451),0),
IF('TL02'!$B$3=M$3,SUMIF('TL02'!$C$10:$C$224,$C168,'TL02'!$J$10:$J$224),0),
IF('TL02'!$B$229=M$3,SUMIF('TL02'!$C$238:$C$451,$C168,'TL02'!$J$238:$J$451),0),
IF('TL03'!$B$3=M$3,SUMIF('TL03'!$C$10:$C$224,$C168,'TL03'!$J$10:$J$224),0),
IF('TL03'!$B$229=M$3,SUMIF('TL03'!$C$238:$C$451,$C168,'TL03'!$J$238:$J$451),0),
IF('TL04'!$B$3=M$3,SUMIF('TL04'!$C$10:$C$224,$C168,'TL04'!$J$10:$J$224),0),
IF('TL04'!$B$229=M$3,SUMIF('TL04'!$C$238:$C$451,$C168,'TL04'!$J$238:$J$451),0),
IF('TL05'!$B$3=M$3,SUMIF('TL05'!$C$10:$C$224,$C168,'TL05'!$J$10:$J$224),0),
IF('TL05'!$B$229=M$3,SUMIF('TL05'!$C$238:$C$451,$C168,'TL05'!$J$238:$J$451),0),
IF('TL06'!$B$3=M$3,SUMIF('TL06'!$C$10:$C$224,$C168,'TL06'!$J$10:$J$224),0),
IF('TL06'!$B$229=M$3,SUMIF('TL06'!$C$238:$C$451,$C168,'TL06'!$J$238:$J$451),0),
IF('TL07'!$B$3=M$3,SUMIF('TL07'!$C$10:$C$224,$C168,'TL07'!$J$10:$J$224),0),
IF('TL07'!$B$229=M$3,SUMIF('TL07'!$C$238:$C$451,$C168,'TL07'!$J$238:$J$451),0),
IF('TL08'!$B$3=M$3,SUMIF('TL08'!$C$10:$C$224,$C168,'TL08'!$J$10:$J$224),0),
IF('TL08'!$B$229=M$3,SUMIF('TL08'!$C$238:$C$451,$C168,'TL08'!$J$238:$J$451),0),
IF('TL09'!$B$3=M$3,SUMIF('TL09'!$C$10:$C$224,$C168,'TL09'!$J$10:$J$224),0),
IF('TL09'!$B$229=M$3,SUMIF('TL09'!$C$238:$C$451,$C168,'TL09'!$J$238:$J$451),0),
IF('TL10'!$B$3=M$3,SUMIF('TL10'!$C$10:$C$224,$C168,'TL10'!$J$10:$J$224),0),
IF('TL10'!$B$229=M$3,SUMIF('TL10'!$C$238:$C$451,$C168,'TL10'!$J$238:$J$451),0),
IF('TL11'!$B$3=M$3,SUMIF('TL11'!$C$10:$C$224,$C168,'TL11'!$J$10:$J$224),0),
IF('TL11'!$B$229=M$3,SUMIF('TL11'!$C$238:$C$451,$C168,'TL11'!$J$238:$J$451),0),
IF('TL12'!$B$3=M$3,SUMIF('TL12'!$C$10:$C$224,$C168,'TL12'!$J$10:$J$224),0),
IF('TL12'!$B$229=M$3,SUMIF('TL12'!$C$238:$C$451,$C168,'TL12'!$J$238:$J$451),0),
IF('TL13'!$B$3=M$3,SUMIF('TL13'!$C$10:$C$224,$C168,'TL13'!$J$10:$J$224),0),
IF('TL13'!$B$229=M$3,SUMIF('TL13'!$C$238:$C$451,$C168,'TL13'!$J$238:$J$451),0),
IF('TL14'!$B$3=M$3,SUMIF('TL14'!$C$10:$C$224,$C168,'TL14'!$J$10:$J$224),0),
IF('TL14'!$B$229=M$3,SUMIF('TL14'!$C$238:$C$451,$C168,'TL14'!$J$238:$J$451),0),
IF('TL15'!$B$3=M$3,SUMIF('TL15'!$C$10:$C$224,$C168,'TL15'!$J$10:$J$224),0),
IF('TL15'!$B$229=M$3,SUMIF('TL15'!$C$238:$C$451,$C168,'TL15'!$J$238:$J$451),0),
IF('TL16'!$B$3=M$3,SUMIF('TL16'!$C$10:$C$224,$C168,'TL16'!$J$10:$J$224),0),
IF('TL16'!$B$229=M$3,SUMIF('TL16'!$C$238:$C$451,$C168,'TL16'!$J$238:$J$451),0),
IF('TL17'!$B$3=M$3,SUMIF('TL17'!$C$10:$C$224,$C168,'TL17'!$J$10:$J$224),0),
IF('TL17'!$B$229=M$3,SUMIF('TL17'!$C$238:$C$451,$C168,'TL17'!$J$238:$J$451),0),
IF('TL18'!$B$3=M$3,SUMIF('TL18'!$C$10:$C$224,$C168,'TL18'!$J$10:$J$224),0),
IF('TL18'!$B$229=M$3,SUMIF('TL18'!$C$238:$C$451,$C168,'TL18'!$J$238:$J$451),0),
IF('TL19'!$B$3=M$3,SUMIF('TL19'!$C$10:$C$224,$C168,'TL19'!$J$10:$J$224),0),
IF('TL19'!$B$229=M$3,SUMIF('TL19'!$C$238:$C$451,$C168,'TL19'!$J$238:$J$451),0)
),0)</f>
        <v>0</v>
      </c>
      <c r="N168" s="9">
        <f>IFERROR(SUM(
IF('TL01'!$B$3=N$3,SUMIF('TL01'!$C$10:$C$224,$C168,'TL01'!$J$10:$J$224),0),
IF('TL01'!$B$229=N$3,SUMIF('TL01'!$C$238:$C$451,$C168,'TL01'!$J$238:$J$451),0),
IF('TL02'!$B$3=N$3,SUMIF('TL02'!$C$10:$C$224,$C168,'TL02'!$J$10:$J$224),0),
IF('TL02'!$B$229=N$3,SUMIF('TL02'!$C$238:$C$451,$C168,'TL02'!$J$238:$J$451),0),
IF('TL03'!$B$3=N$3,SUMIF('TL03'!$C$10:$C$224,$C168,'TL03'!$J$10:$J$224),0),
IF('TL03'!$B$229=N$3,SUMIF('TL03'!$C$238:$C$451,$C168,'TL03'!$J$238:$J$451),0),
IF('TL04'!$B$3=N$3,SUMIF('TL04'!$C$10:$C$224,$C168,'TL04'!$J$10:$J$224),0),
IF('TL04'!$B$229=N$3,SUMIF('TL04'!$C$238:$C$451,$C168,'TL04'!$J$238:$J$451),0),
IF('TL05'!$B$3=N$3,SUMIF('TL05'!$C$10:$C$224,$C168,'TL05'!$J$10:$J$224),0),
IF('TL05'!$B$229=N$3,SUMIF('TL05'!$C$238:$C$451,$C168,'TL05'!$J$238:$J$451),0),
IF('TL06'!$B$3=N$3,SUMIF('TL06'!$C$10:$C$224,$C168,'TL06'!$J$10:$J$224),0),
IF('TL06'!$B$229=N$3,SUMIF('TL06'!$C$238:$C$451,$C168,'TL06'!$J$238:$J$451),0),
IF('TL07'!$B$3=N$3,SUMIF('TL07'!$C$10:$C$224,$C168,'TL07'!$J$10:$J$224),0),
IF('TL07'!$B$229=N$3,SUMIF('TL07'!$C$238:$C$451,$C168,'TL07'!$J$238:$J$451),0),
IF('TL08'!$B$3=N$3,SUMIF('TL08'!$C$10:$C$224,$C168,'TL08'!$J$10:$J$224),0),
IF('TL08'!$B$229=N$3,SUMIF('TL08'!$C$238:$C$451,$C168,'TL08'!$J$238:$J$451),0),
IF('TL09'!$B$3=N$3,SUMIF('TL09'!$C$10:$C$224,$C168,'TL09'!$J$10:$J$224),0),
IF('TL09'!$B$229=N$3,SUMIF('TL09'!$C$238:$C$451,$C168,'TL09'!$J$238:$J$451),0),
IF('TL10'!$B$3=N$3,SUMIF('TL10'!$C$10:$C$224,$C168,'TL10'!$J$10:$J$224),0),
IF('TL10'!$B$229=N$3,SUMIF('TL10'!$C$238:$C$451,$C168,'TL10'!$J$238:$J$451),0),
IF('TL11'!$B$3=N$3,SUMIF('TL11'!$C$10:$C$224,$C168,'TL11'!$J$10:$J$224),0),
IF('TL11'!$B$229=N$3,SUMIF('TL11'!$C$238:$C$451,$C168,'TL11'!$J$238:$J$451),0),
IF('TL12'!$B$3=N$3,SUMIF('TL12'!$C$10:$C$224,$C168,'TL12'!$J$10:$J$224),0),
IF('TL12'!$B$229=N$3,SUMIF('TL12'!$C$238:$C$451,$C168,'TL12'!$J$238:$J$451),0),
IF('TL13'!$B$3=N$3,SUMIF('TL13'!$C$10:$C$224,$C168,'TL13'!$J$10:$J$224),0),
IF('TL13'!$B$229=N$3,SUMIF('TL13'!$C$238:$C$451,$C168,'TL13'!$J$238:$J$451),0),
IF('TL14'!$B$3=N$3,SUMIF('TL14'!$C$10:$C$224,$C168,'TL14'!$J$10:$J$224),0),
IF('TL14'!$B$229=N$3,SUMIF('TL14'!$C$238:$C$451,$C168,'TL14'!$J$238:$J$451),0),
IF('TL15'!$B$3=N$3,SUMIF('TL15'!$C$10:$C$224,$C168,'TL15'!$J$10:$J$224),0),
IF('TL15'!$B$229=N$3,SUMIF('TL15'!$C$238:$C$451,$C168,'TL15'!$J$238:$J$451),0),
IF('TL16'!$B$3=N$3,SUMIF('TL16'!$C$10:$C$224,$C168,'TL16'!$J$10:$J$224),0),
IF('TL16'!$B$229=N$3,SUMIF('TL16'!$C$238:$C$451,$C168,'TL16'!$J$238:$J$451),0),
IF('TL17'!$B$3=N$3,SUMIF('TL17'!$C$10:$C$224,$C168,'TL17'!$J$10:$J$224),0),
IF('TL17'!$B$229=N$3,SUMIF('TL17'!$C$238:$C$451,$C168,'TL17'!$J$238:$J$451),0),
IF('TL18'!$B$3=N$3,SUMIF('TL18'!$C$10:$C$224,$C168,'TL18'!$J$10:$J$224),0),
IF('TL18'!$B$229=N$3,SUMIF('TL18'!$C$238:$C$451,$C168,'TL18'!$J$238:$J$451),0),
IF('TL19'!$B$3=N$3,SUMIF('TL19'!$C$10:$C$224,$C168,'TL19'!$J$10:$J$224),0),
IF('TL19'!$B$229=N$3,SUMIF('TL19'!$C$238:$C$451,$C168,'TL19'!$J$238:$J$451),0)
),0)</f>
        <v>0</v>
      </c>
      <c r="O168" s="9">
        <f>IFERROR(SUM(
IF('TL01'!$B$3=O$3,SUMIF('TL01'!$C$10:$C$224,$C168,'TL01'!$J$10:$J$224),0),
IF('TL01'!$B$229=O$3,SUMIF('TL01'!$C$238:$C$451,$C168,'TL01'!$J$238:$J$451),0),
IF('TL02'!$B$3=O$3,SUMIF('TL02'!$C$10:$C$224,$C168,'TL02'!$J$10:$J$224),0),
IF('TL02'!$B$229=O$3,SUMIF('TL02'!$C$238:$C$451,$C168,'TL02'!$J$238:$J$451),0),
IF('TL03'!$B$3=O$3,SUMIF('TL03'!$C$10:$C$224,$C168,'TL03'!$J$10:$J$224),0),
IF('TL03'!$B$229=O$3,SUMIF('TL03'!$C$238:$C$451,$C168,'TL03'!$J$238:$J$451),0),
IF('TL04'!$B$3=O$3,SUMIF('TL04'!$C$10:$C$224,$C168,'TL04'!$J$10:$J$224),0),
IF('TL04'!$B$229=O$3,SUMIF('TL04'!$C$238:$C$451,$C168,'TL04'!$J$238:$J$451),0),
IF('TL05'!$B$3=O$3,SUMIF('TL05'!$C$10:$C$224,$C168,'TL05'!$J$10:$J$224),0),
IF('TL05'!$B$229=O$3,SUMIF('TL05'!$C$238:$C$451,$C168,'TL05'!$J$238:$J$451),0),
IF('TL06'!$B$3=O$3,SUMIF('TL06'!$C$10:$C$224,$C168,'TL06'!$J$10:$J$224),0),
IF('TL06'!$B$229=O$3,SUMIF('TL06'!$C$238:$C$451,$C168,'TL06'!$J$238:$J$451),0),
IF('TL07'!$B$3=O$3,SUMIF('TL07'!$C$10:$C$224,$C168,'TL07'!$J$10:$J$224),0),
IF('TL07'!$B$229=O$3,SUMIF('TL07'!$C$238:$C$451,$C168,'TL07'!$J$238:$J$451),0),
IF('TL08'!$B$3=O$3,SUMIF('TL08'!$C$10:$C$224,$C168,'TL08'!$J$10:$J$224),0),
IF('TL08'!$B$229=O$3,SUMIF('TL08'!$C$238:$C$451,$C168,'TL08'!$J$238:$J$451),0),
IF('TL09'!$B$3=O$3,SUMIF('TL09'!$C$10:$C$224,$C168,'TL09'!$J$10:$J$224),0),
IF('TL09'!$B$229=O$3,SUMIF('TL09'!$C$238:$C$451,$C168,'TL09'!$J$238:$J$451),0),
IF('TL10'!$B$3=O$3,SUMIF('TL10'!$C$10:$C$224,$C168,'TL10'!$J$10:$J$224),0),
IF('TL10'!$B$229=O$3,SUMIF('TL10'!$C$238:$C$451,$C168,'TL10'!$J$238:$J$451),0),
IF('TL11'!$B$3=O$3,SUMIF('TL11'!$C$10:$C$224,$C168,'TL11'!$J$10:$J$224),0),
IF('TL11'!$B$229=O$3,SUMIF('TL11'!$C$238:$C$451,$C168,'TL11'!$J$238:$J$451),0),
IF('TL12'!$B$3=O$3,SUMIF('TL12'!$C$10:$C$224,$C168,'TL12'!$J$10:$J$224),0),
IF('TL12'!$B$229=O$3,SUMIF('TL12'!$C$238:$C$451,$C168,'TL12'!$J$238:$J$451),0),
IF('TL13'!$B$3=O$3,SUMIF('TL13'!$C$10:$C$224,$C168,'TL13'!$J$10:$J$224),0),
IF('TL13'!$B$229=O$3,SUMIF('TL13'!$C$238:$C$451,$C168,'TL13'!$J$238:$J$451),0),
IF('TL14'!$B$3=O$3,SUMIF('TL14'!$C$10:$C$224,$C168,'TL14'!$J$10:$J$224),0),
IF('TL14'!$B$229=O$3,SUMIF('TL14'!$C$238:$C$451,$C168,'TL14'!$J$238:$J$451),0),
IF('TL15'!$B$3=O$3,SUMIF('TL15'!$C$10:$C$224,$C168,'TL15'!$J$10:$J$224),0),
IF('TL15'!$B$229=O$3,SUMIF('TL15'!$C$238:$C$451,$C168,'TL15'!$J$238:$J$451),0),
IF('TL16'!$B$3=O$3,SUMIF('TL16'!$C$10:$C$224,$C168,'TL16'!$J$10:$J$224),0),
IF('TL16'!$B$229=O$3,SUMIF('TL16'!$C$238:$C$451,$C168,'TL16'!$J$238:$J$451),0),
IF('TL17'!$B$3=O$3,SUMIF('TL17'!$C$10:$C$224,$C168,'TL17'!$J$10:$J$224),0),
IF('TL17'!$B$229=O$3,SUMIF('TL17'!$C$238:$C$451,$C168,'TL17'!$J$238:$J$451),0),
IF('TL18'!$B$3=O$3,SUMIF('TL18'!$C$10:$C$224,$C168,'TL18'!$J$10:$J$224),0),
IF('TL18'!$B$229=O$3,SUMIF('TL18'!$C$238:$C$451,$C168,'TL18'!$J$238:$J$451),0),
IF('TL19'!$B$3=O$3,SUMIF('TL19'!$C$10:$C$224,$C168,'TL19'!$J$10:$J$224),0),
IF('TL19'!$B$229=O$3,SUMIF('TL19'!$C$238:$C$451,$C168,'TL19'!$J$238:$J$451),0)
),0)</f>
        <v>0</v>
      </c>
      <c r="P168" s="9">
        <f>IFERROR(SUM(
IF('TL01'!$B$3=P$3,SUMIF('TL01'!$C$10:$C$224,$C168,'TL01'!$J$10:$J$224),0),
IF('TL01'!$B$229=P$3,SUMIF('TL01'!$C$238:$C$451,$C168,'TL01'!$J$238:$J$451),0),
IF('TL02'!$B$3=P$3,SUMIF('TL02'!$C$10:$C$224,$C168,'TL02'!$J$10:$J$224),0),
IF('TL02'!$B$229=P$3,SUMIF('TL02'!$C$238:$C$451,$C168,'TL02'!$J$238:$J$451),0),
IF('TL03'!$B$3=P$3,SUMIF('TL03'!$C$10:$C$224,$C168,'TL03'!$J$10:$J$224),0),
IF('TL03'!$B$229=P$3,SUMIF('TL03'!$C$238:$C$451,$C168,'TL03'!$J$238:$J$451),0),
IF('TL04'!$B$3=P$3,SUMIF('TL04'!$C$10:$C$224,$C168,'TL04'!$J$10:$J$224),0),
IF('TL04'!$B$229=P$3,SUMIF('TL04'!$C$238:$C$451,$C168,'TL04'!$J$238:$J$451),0),
IF('TL05'!$B$3=P$3,SUMIF('TL05'!$C$10:$C$224,$C168,'TL05'!$J$10:$J$224),0),
IF('TL05'!$B$229=P$3,SUMIF('TL05'!$C$238:$C$451,$C168,'TL05'!$J$238:$J$451),0),
IF('TL06'!$B$3=P$3,SUMIF('TL06'!$C$10:$C$224,$C168,'TL06'!$J$10:$J$224),0),
IF('TL06'!$B$229=P$3,SUMIF('TL06'!$C$238:$C$451,$C168,'TL06'!$J$238:$J$451),0),
IF('TL07'!$B$3=P$3,SUMIF('TL07'!$C$10:$C$224,$C168,'TL07'!$J$10:$J$224),0),
IF('TL07'!$B$229=P$3,SUMIF('TL07'!$C$238:$C$451,$C168,'TL07'!$J$238:$J$451),0),
IF('TL08'!$B$3=P$3,SUMIF('TL08'!$C$10:$C$224,$C168,'TL08'!$J$10:$J$224),0),
IF('TL08'!$B$229=P$3,SUMIF('TL08'!$C$238:$C$451,$C168,'TL08'!$J$238:$J$451),0),
IF('TL09'!$B$3=P$3,SUMIF('TL09'!$C$10:$C$224,$C168,'TL09'!$J$10:$J$224),0),
IF('TL09'!$B$229=P$3,SUMIF('TL09'!$C$238:$C$451,$C168,'TL09'!$J$238:$J$451),0),
IF('TL10'!$B$3=P$3,SUMIF('TL10'!$C$10:$C$224,$C168,'TL10'!$J$10:$J$224),0),
IF('TL10'!$B$229=P$3,SUMIF('TL10'!$C$238:$C$451,$C168,'TL10'!$J$238:$J$451),0),
IF('TL11'!$B$3=P$3,SUMIF('TL11'!$C$10:$C$224,$C168,'TL11'!$J$10:$J$224),0),
IF('TL11'!$B$229=P$3,SUMIF('TL11'!$C$238:$C$451,$C168,'TL11'!$J$238:$J$451),0),
IF('TL12'!$B$3=P$3,SUMIF('TL12'!$C$10:$C$224,$C168,'TL12'!$J$10:$J$224),0),
IF('TL12'!$B$229=P$3,SUMIF('TL12'!$C$238:$C$451,$C168,'TL12'!$J$238:$J$451),0),
IF('TL13'!$B$3=P$3,SUMIF('TL13'!$C$10:$C$224,$C168,'TL13'!$J$10:$J$224),0),
IF('TL13'!$B$229=P$3,SUMIF('TL13'!$C$238:$C$451,$C168,'TL13'!$J$238:$J$451),0),
IF('TL14'!$B$3=P$3,SUMIF('TL14'!$C$10:$C$224,$C168,'TL14'!$J$10:$J$224),0),
IF('TL14'!$B$229=P$3,SUMIF('TL14'!$C$238:$C$451,$C168,'TL14'!$J$238:$J$451),0),
IF('TL15'!$B$3=P$3,SUMIF('TL15'!$C$10:$C$224,$C168,'TL15'!$J$10:$J$224),0),
IF('TL15'!$B$229=P$3,SUMIF('TL15'!$C$238:$C$451,$C168,'TL15'!$J$238:$J$451),0),
IF('TL16'!$B$3=P$3,SUMIF('TL16'!$C$10:$C$224,$C168,'TL16'!$J$10:$J$224),0),
IF('TL16'!$B$229=P$3,SUMIF('TL16'!$C$238:$C$451,$C168,'TL16'!$J$238:$J$451),0),
IF('TL17'!$B$3=P$3,SUMIF('TL17'!$C$10:$C$224,$C168,'TL17'!$J$10:$J$224),0),
IF('TL17'!$B$229=P$3,SUMIF('TL17'!$C$238:$C$451,$C168,'TL17'!$J$238:$J$451),0),
IF('TL18'!$B$3=P$3,SUMIF('TL18'!$C$10:$C$224,$C168,'TL18'!$J$10:$J$224),0),
IF('TL18'!$B$229=P$3,SUMIF('TL18'!$C$238:$C$451,$C168,'TL18'!$J$238:$J$451),0),
IF('TL19'!$B$3=P$3,SUMIF('TL19'!$C$10:$C$224,$C168,'TL19'!$J$10:$J$224),0),
IF('TL19'!$B$229=P$3,SUMIF('TL19'!$C$238:$C$451,$C168,'TL19'!$J$238:$J$451),0)
),0)</f>
        <v>2436</v>
      </c>
      <c r="Q168" s="9">
        <f>IFERROR(SUM(
IF('TL01'!$B$3=Q$3,SUMIF('TL01'!$C$10:$C$224,$C168,'TL01'!$J$10:$J$224),0),
IF('TL01'!$B$229=Q$3,SUMIF('TL01'!$C$238:$C$451,$C168,'TL01'!$J$238:$J$451),0),
IF('TL02'!$B$3=Q$3,SUMIF('TL02'!$C$10:$C$224,$C168,'TL02'!$J$10:$J$224),0),
IF('TL02'!$B$229=Q$3,SUMIF('TL02'!$C$238:$C$451,$C168,'TL02'!$J$238:$J$451),0),
IF('TL03'!$B$3=Q$3,SUMIF('TL03'!$C$10:$C$224,$C168,'TL03'!$J$10:$J$224),0),
IF('TL03'!$B$229=Q$3,SUMIF('TL03'!$C$238:$C$451,$C168,'TL03'!$J$238:$J$451),0),
IF('TL04'!$B$3=Q$3,SUMIF('TL04'!$C$10:$C$224,$C168,'TL04'!$J$10:$J$224),0),
IF('TL04'!$B$229=Q$3,SUMIF('TL04'!$C$238:$C$451,$C168,'TL04'!$J$238:$J$451),0),
IF('TL05'!$B$3=Q$3,SUMIF('TL05'!$C$10:$C$224,$C168,'TL05'!$J$10:$J$224),0),
IF('TL05'!$B$229=Q$3,SUMIF('TL05'!$C$238:$C$451,$C168,'TL05'!$J$238:$J$451),0),
IF('TL06'!$B$3=Q$3,SUMIF('TL06'!$C$10:$C$224,$C168,'TL06'!$J$10:$J$224),0),
IF('TL06'!$B$229=Q$3,SUMIF('TL06'!$C$238:$C$451,$C168,'TL06'!$J$238:$J$451),0),
IF('TL07'!$B$3=Q$3,SUMIF('TL07'!$C$10:$C$224,$C168,'TL07'!$J$10:$J$224),0),
IF('TL07'!$B$229=Q$3,SUMIF('TL07'!$C$238:$C$451,$C168,'TL07'!$J$238:$J$451),0),
IF('TL08'!$B$3=Q$3,SUMIF('TL08'!$C$10:$C$224,$C168,'TL08'!$J$10:$J$224),0),
IF('TL08'!$B$229=Q$3,SUMIF('TL08'!$C$238:$C$451,$C168,'TL08'!$J$238:$J$451),0),
IF('TL09'!$B$3=Q$3,SUMIF('TL09'!$C$10:$C$224,$C168,'TL09'!$J$10:$J$224),0),
IF('TL09'!$B$229=Q$3,SUMIF('TL09'!$C$238:$C$451,$C168,'TL09'!$J$238:$J$451),0),
IF('TL10'!$B$3=Q$3,SUMIF('TL10'!$C$10:$C$224,$C168,'TL10'!$J$10:$J$224),0),
IF('TL10'!$B$229=Q$3,SUMIF('TL10'!$C$238:$C$451,$C168,'TL10'!$J$238:$J$451),0),
IF('TL11'!$B$3=Q$3,SUMIF('TL11'!$C$10:$C$224,$C168,'TL11'!$J$10:$J$224),0),
IF('TL11'!$B$229=Q$3,SUMIF('TL11'!$C$238:$C$451,$C168,'TL11'!$J$238:$J$451),0),
IF('TL12'!$B$3=Q$3,SUMIF('TL12'!$C$10:$C$224,$C168,'TL12'!$J$10:$J$224),0),
IF('TL12'!$B$229=Q$3,SUMIF('TL12'!$C$238:$C$451,$C168,'TL12'!$J$238:$J$451),0),
IF('TL13'!$B$3=Q$3,SUMIF('TL13'!$C$10:$C$224,$C168,'TL13'!$J$10:$J$224),0),
IF('TL13'!$B$229=Q$3,SUMIF('TL13'!$C$238:$C$451,$C168,'TL13'!$J$238:$J$451),0),
IF('TL14'!$B$3=Q$3,SUMIF('TL14'!$C$10:$C$224,$C168,'TL14'!$J$10:$J$224),0),
IF('TL14'!$B$229=Q$3,SUMIF('TL14'!$C$238:$C$451,$C168,'TL14'!$J$238:$J$451),0),
IF('TL15'!$B$3=Q$3,SUMIF('TL15'!$C$10:$C$224,$C168,'TL15'!$J$10:$J$224),0),
IF('TL15'!$B$229=Q$3,SUMIF('TL15'!$C$238:$C$451,$C168,'TL15'!$J$238:$J$451),0),
IF('TL16'!$B$3=Q$3,SUMIF('TL16'!$C$10:$C$224,$C168,'TL16'!$J$10:$J$224),0),
IF('TL16'!$B$229=Q$3,SUMIF('TL16'!$C$238:$C$451,$C168,'TL16'!$J$238:$J$451),0),
IF('TL17'!$B$3=Q$3,SUMIF('TL17'!$C$10:$C$224,$C168,'TL17'!$J$10:$J$224),0),
IF('TL17'!$B$229=Q$3,SUMIF('TL17'!$C$238:$C$451,$C168,'TL17'!$J$238:$J$451),0),
IF('TL18'!$B$3=Q$3,SUMIF('TL18'!$C$10:$C$224,$C168,'TL18'!$J$10:$J$224),0),
IF('TL18'!$B$229=Q$3,SUMIF('TL18'!$C$238:$C$451,$C168,'TL18'!$J$238:$J$451),0),
IF('TL19'!$B$3=Q$3,SUMIF('TL19'!$C$10:$C$224,$C168,'TL19'!$J$10:$J$224),0),
IF('TL19'!$B$229=Q$3,SUMIF('TL19'!$C$238:$C$451,$C168,'TL19'!$J$238:$J$451),0)
),0)</f>
        <v>640</v>
      </c>
      <c r="R168" s="9">
        <f>IFERROR(
SUM(
SUMIF('TL01'!C:C,C168,'TL01'!J:J),
SUMIF('TL02'!C:C,C168,'TL02'!J:J),
SUMIF('TL03'!C:C,C168,'TL03'!J:J),
SUMIF('TL04'!C:C,C168,'TL04'!J:J),
SUMIF('TL05'!C:C,C168,'TL05'!J:J),
SUMIF('TL06'!C:C,C168,'TL06'!J:J),
SUMIF('TL07'!C:C,C168,'TL07'!J:J),
SUMIF('TL08'!C:C,C168,'TL08'!J:J),
SUMIF('TL09'!C:C,C168,'TL09'!J:J),
SUMIF('TL10'!C:C,C168,'TL10'!J:J),
SUMIF('TL11'!C:C,C168,'TL11'!J:J),
SUMIF('TL12'!C:C,C168,'TL12'!J:J),
SUMIF('TL13'!C:C,C168,'TL13'!J:J),
SUMIF('TL14'!C:C,C168,'TL14'!J:J),
SUMIF('TL15'!C:C,C168,'TL15'!J:J),
SUMIF('TL16'!C:C,C168,'TL16'!J:J),
SUMIF('TL17'!C:C,C168,'TL17'!J:J),
SUMIF('TL18'!C:C,C168,'TL18'!J:J),SUMIF('TL19'!C:C,C168,'TL19'!J:J))
,0)</f>
        <v>4116</v>
      </c>
      <c r="S168" s="17">
        <f>IFERROR(__xludf.DUMMYFUNCTION("IFERROR(VLOOKUP(C168,
IMPORTRANGE(""1wULbzX32WdYsx-lj2U3uUNBBe2INVIRDtcK0d-Dvl90"",
""26-27!C:G""),
5,
FALSE),
"""")"),23.744279999999996)</f>
        <v>23.74428</v>
      </c>
      <c r="T168" s="9">
        <v>1580.0</v>
      </c>
      <c r="U168" s="92">
        <f t="shared" si="2"/>
        <v>2536</v>
      </c>
      <c r="V168" s="93">
        <f t="shared" si="3"/>
        <v>60215.49408</v>
      </c>
    </row>
    <row r="169" ht="15.75" hidden="1" customHeight="1">
      <c r="A169" s="111" t="s">
        <v>358</v>
      </c>
      <c r="B169" s="112" t="s">
        <v>1</v>
      </c>
      <c r="C169" s="113" t="s">
        <v>744</v>
      </c>
      <c r="D169" s="113" t="s">
        <v>745</v>
      </c>
      <c r="E169" s="113">
        <v>240.0</v>
      </c>
      <c r="F169" s="4" t="s">
        <v>343</v>
      </c>
      <c r="G169" s="90" t="str">
        <f t="shared" si="4"/>
        <v>📄 Ver bula</v>
      </c>
      <c r="H169" s="9" t="str">
        <f>IFERROR(__xludf.DUMMYFUNCTION("IFERROR(VLOOKUP(C169,
IMPORTRANGE(""1wULbzX32WdYsx-lj2U3uUNBBe2INVIRDtcK0d-Dvl90"",
""26-27!C:K""),
8,
FALSE),
"""")"),"")</f>
        <v/>
      </c>
      <c r="I169" s="114" t="s">
        <v>373</v>
      </c>
      <c r="J169" s="9">
        <f>IFERROR(SUM(
IF('TL01'!$B$3=J$3,SUMIF('TL01'!$C$10:$C$224,$C169,'TL01'!$J$10:$J$224),0),
IF('TL01'!$B$229=J$3,SUMIF('TL01'!$C$238:$C$451,$C169,'TL01'!$J$238:$J$451),0),
IF('TL02'!$B$3=J$3,SUMIF('TL02'!$C$10:$C$224,$C169,'TL02'!$J$10:$J$224),0),
IF('TL02'!$B$229=J$3,SUMIF('TL02'!$C$238:$C$451,$C169,'TL02'!$J$238:$J$451),0),
IF('TL03'!$B$3=J$3,SUMIF('TL03'!$C$10:$C$224,$C169,'TL03'!$J$10:$J$224),0),
IF('TL03'!$B$229=J$3,SUMIF('TL03'!$C$238:$C$451,$C169,'TL03'!$J$238:$J$451),0),
IF('TL04'!$B$3=J$3,SUMIF('TL04'!$C$10:$C$224,$C169,'TL04'!$J$10:$J$224),0),
IF('TL04'!$B$229=J$3,SUMIF('TL04'!$C$238:$C$451,$C169,'TL04'!$J$238:$J$451),0),
IF('TL05'!$B$3=J$3,SUMIF('TL05'!$C$10:$C$224,$C169,'TL05'!$J$10:$J$224),0),
IF('TL05'!$B$229=J$3,SUMIF('TL05'!$C$238:$C$451,$C169,'TL05'!$J$238:$J$451),0),
IF('TL06'!$B$3=J$3,SUMIF('TL06'!$C$10:$C$224,$C169,'TL06'!$J$10:$J$224),0),
IF('TL06'!$B$229=J$3,SUMIF('TL06'!$C$238:$C$451,$C169,'TL06'!$J$238:$J$451),0),
IF('TL07'!$B$3=J$3,SUMIF('TL07'!$C$10:$C$224,$C169,'TL07'!$J$10:$J$224),0),
IF('TL07'!$B$229=J$3,SUMIF('TL07'!$C$238:$C$451,$C169,'TL07'!$J$238:$J$451),0),
IF('TL08'!$B$3=J$3,SUMIF('TL08'!$C$10:$C$224,$C169,'TL08'!$J$10:$J$224),0),
IF('TL08'!$B$229=J$3,SUMIF('TL08'!$C$238:$C$451,$C169,'TL08'!$J$238:$J$451),0),
IF('TL09'!$B$3=J$3,SUMIF('TL09'!$C$10:$C$224,$C169,'TL09'!$J$10:$J$224),0),
IF('TL09'!$B$229=J$3,SUMIF('TL09'!$C$238:$C$451,$C169,'TL09'!$J$238:$J$451),0),
IF('TL10'!$B$3=J$3,SUMIF('TL10'!$C$10:$C$224,$C169,'TL10'!$J$10:$J$224),0),
IF('TL10'!$B$229=J$3,SUMIF('TL10'!$C$238:$C$451,$C169,'TL10'!$J$238:$J$451),0),
IF('TL11'!$B$3=J$3,SUMIF('TL11'!$C$10:$C$224,$C169,'TL11'!$J$10:$J$224),0),
IF('TL11'!$B$229=J$3,SUMIF('TL11'!$C$238:$C$451,$C169,'TL11'!$J$238:$J$451),0),
IF('TL12'!$B$3=J$3,SUMIF('TL12'!$C$10:$C$224,$C169,'TL12'!$J$10:$J$224),0),
IF('TL12'!$B$229=J$3,SUMIF('TL12'!$C$238:$C$451,$C169,'TL12'!$J$238:$J$451),0),
IF('TL13'!$B$3=J$3,SUMIF('TL13'!$C$10:$C$224,$C169,'TL13'!$J$10:$J$224),0),
IF('TL13'!$B$229=J$3,SUMIF('TL13'!$C$238:$C$451,$C169,'TL13'!$J$238:$J$451),0),
IF('TL14'!$B$3=J$3,SUMIF('TL14'!$C$10:$C$224,$C169,'TL14'!$J$10:$J$224),0),
IF('TL14'!$B$229=J$3,SUMIF('TL14'!$C$238:$C$451,$C169,'TL14'!$J$238:$J$451),0),
IF('TL15'!$B$3=J$3,SUMIF('TL15'!$C$10:$C$224,$C169,'TL15'!$J$10:$J$224),0),
IF('TL15'!$B$229=J$3,SUMIF('TL15'!$C$238:$C$451,$C169,'TL15'!$J$238:$J$451),0),
IF('TL16'!$B$3=J$3,SUMIF('TL16'!$C$10:$C$224,$C169,'TL16'!$J$10:$J$224),0),
IF('TL16'!$B$229=J$3,SUMIF('TL16'!$C$238:$C$451,$C169,'TL16'!$J$238:$J$451),0),
IF('TL17'!$B$3=J$3,SUMIF('TL17'!$C$10:$C$224,$C169,'TL17'!$J$10:$J$224),0),
IF('TL17'!$B$229=J$3,SUMIF('TL17'!$C$238:$C$451,$C169,'TL17'!$J$238:$J$451),0),
IF('TL18'!$B$3=J$3,SUMIF('TL18'!$C$10:$C$224,$C169,'TL18'!$J$10:$J$224),0),
IF('TL18'!$B$229=J$3,SUMIF('TL18'!$C$238:$C$451,$C169,'TL18'!$J$238:$J$451),0),
IF('TL19'!$B$3=J$3,SUMIF('TL19'!$C$10:$C$224,$C169,'TL19'!$J$10:$J$224),0),
IF('TL19'!$B$229=J$3,SUMIF('TL19'!$C$238:$C$451,$C169,'TL19'!$J$238:$J$451),0)
),0)</f>
        <v>0</v>
      </c>
      <c r="K169" s="9">
        <f>IFERROR(SUM(
IF('TL01'!$B$3=K$3,SUMIF('TL01'!$C$10:$C$224,$C169,'TL01'!$J$10:$J$224),0),
IF('TL01'!$B$229=K$3,SUMIF('TL01'!$C$238:$C$451,$C169,'TL01'!$J$238:$J$451),0),
IF('TL02'!$B$3=K$3,SUMIF('TL02'!$C$10:$C$224,$C169,'TL02'!$J$10:$J$224),0),
IF('TL02'!$B$229=K$3,SUMIF('TL02'!$C$238:$C$451,$C169,'TL02'!$J$238:$J$451),0),
IF('TL03'!$B$3=K$3,SUMIF('TL03'!$C$10:$C$224,$C169,'TL03'!$J$10:$J$224),0),
IF('TL03'!$B$229=K$3,SUMIF('TL03'!$C$238:$C$451,$C169,'TL03'!$J$238:$J$451),0),
IF('TL04'!$B$3=K$3,SUMIF('TL04'!$C$10:$C$224,$C169,'TL04'!$J$10:$J$224),0),
IF('TL04'!$B$229=K$3,SUMIF('TL04'!$C$238:$C$451,$C169,'TL04'!$J$238:$J$451),0),
IF('TL05'!$B$3=K$3,SUMIF('TL05'!$C$10:$C$224,$C169,'TL05'!$J$10:$J$224),0),
IF('TL05'!$B$229=K$3,SUMIF('TL05'!$C$238:$C$451,$C169,'TL05'!$J$238:$J$451),0),
IF('TL06'!$B$3=K$3,SUMIF('TL06'!$C$10:$C$224,$C169,'TL06'!$J$10:$J$224),0),
IF('TL06'!$B$229=K$3,SUMIF('TL06'!$C$238:$C$451,$C169,'TL06'!$J$238:$J$451),0),
IF('TL07'!$B$3=K$3,SUMIF('TL07'!$C$10:$C$224,$C169,'TL07'!$J$10:$J$224),0),
IF('TL07'!$B$229=K$3,SUMIF('TL07'!$C$238:$C$451,$C169,'TL07'!$J$238:$J$451),0),
IF('TL08'!$B$3=K$3,SUMIF('TL08'!$C$10:$C$224,$C169,'TL08'!$J$10:$J$224),0),
IF('TL08'!$B$229=K$3,SUMIF('TL08'!$C$238:$C$451,$C169,'TL08'!$J$238:$J$451),0),
IF('TL09'!$B$3=K$3,SUMIF('TL09'!$C$10:$C$224,$C169,'TL09'!$J$10:$J$224),0),
IF('TL09'!$B$229=K$3,SUMIF('TL09'!$C$238:$C$451,$C169,'TL09'!$J$238:$J$451),0),
IF('TL10'!$B$3=K$3,SUMIF('TL10'!$C$10:$C$224,$C169,'TL10'!$J$10:$J$224),0),
IF('TL10'!$B$229=K$3,SUMIF('TL10'!$C$238:$C$451,$C169,'TL10'!$J$238:$J$451),0),
IF('TL11'!$B$3=K$3,SUMIF('TL11'!$C$10:$C$224,$C169,'TL11'!$J$10:$J$224),0),
IF('TL11'!$B$229=K$3,SUMIF('TL11'!$C$238:$C$451,$C169,'TL11'!$J$238:$J$451),0),
IF('TL12'!$B$3=K$3,SUMIF('TL12'!$C$10:$C$224,$C169,'TL12'!$J$10:$J$224),0),
IF('TL12'!$B$229=K$3,SUMIF('TL12'!$C$238:$C$451,$C169,'TL12'!$J$238:$J$451),0),
IF('TL13'!$B$3=K$3,SUMIF('TL13'!$C$10:$C$224,$C169,'TL13'!$J$10:$J$224),0),
IF('TL13'!$B$229=K$3,SUMIF('TL13'!$C$238:$C$451,$C169,'TL13'!$J$238:$J$451),0),
IF('TL14'!$B$3=K$3,SUMIF('TL14'!$C$10:$C$224,$C169,'TL14'!$J$10:$J$224),0),
IF('TL14'!$B$229=K$3,SUMIF('TL14'!$C$238:$C$451,$C169,'TL14'!$J$238:$J$451),0),
IF('TL15'!$B$3=K$3,SUMIF('TL15'!$C$10:$C$224,$C169,'TL15'!$J$10:$J$224),0),
IF('TL15'!$B$229=K$3,SUMIF('TL15'!$C$238:$C$451,$C169,'TL15'!$J$238:$J$451),0),
IF('TL16'!$B$3=K$3,SUMIF('TL16'!$C$10:$C$224,$C169,'TL16'!$J$10:$J$224),0),
IF('TL16'!$B$229=K$3,SUMIF('TL16'!$C$238:$C$451,$C169,'TL16'!$J$238:$J$451),0),
IF('TL17'!$B$3=K$3,SUMIF('TL17'!$C$10:$C$224,$C169,'TL17'!$J$10:$J$224),0),
IF('TL17'!$B$229=K$3,SUMIF('TL17'!$C$238:$C$451,$C169,'TL17'!$J$238:$J$451),0),
IF('TL18'!$B$3=K$3,SUMIF('TL18'!$C$10:$C$224,$C169,'TL18'!$J$10:$J$224),0),
IF('TL18'!$B$229=K$3,SUMIF('TL18'!$C$238:$C$451,$C169,'TL18'!$J$238:$J$451),0),
IF('TL19'!$B$3=K$3,SUMIF('TL19'!$C$10:$C$224,$C169,'TL19'!$J$10:$J$224),0),
IF('TL19'!$B$229=K$3,SUMIF('TL19'!$C$238:$C$451,$C169,'TL19'!$J$238:$J$451),0)
),0)</f>
        <v>0</v>
      </c>
      <c r="L169" s="9">
        <f>IFERROR(SUM(
IF('TL01'!$B$3=L$3,SUMIF('TL01'!$C$10:$C$224,$C169,'TL01'!$J$10:$J$224),0),
IF('TL01'!$B$229=L$3,SUMIF('TL01'!$C$238:$C$451,$C169,'TL01'!$J$238:$J$451),0),
IF('TL02'!$B$3=L$3,SUMIF('TL02'!$C$10:$C$224,$C169,'TL02'!$J$10:$J$224),0),
IF('TL02'!$B$229=L$3,SUMIF('TL02'!$C$238:$C$451,$C169,'TL02'!$J$238:$J$451),0),
IF('TL03'!$B$3=L$3,SUMIF('TL03'!$C$10:$C$224,$C169,'TL03'!$J$10:$J$224),0),
IF('TL03'!$B$229=L$3,SUMIF('TL03'!$C$238:$C$451,$C169,'TL03'!$J$238:$J$451),0),
IF('TL04'!$B$3=L$3,SUMIF('TL04'!$C$10:$C$224,$C169,'TL04'!$J$10:$J$224),0),
IF('TL04'!$B$229=L$3,SUMIF('TL04'!$C$238:$C$451,$C169,'TL04'!$J$238:$J$451),0),
IF('TL05'!$B$3=L$3,SUMIF('TL05'!$C$10:$C$224,$C169,'TL05'!$J$10:$J$224),0),
IF('TL05'!$B$229=L$3,SUMIF('TL05'!$C$238:$C$451,$C169,'TL05'!$J$238:$J$451),0),
IF('TL06'!$B$3=L$3,SUMIF('TL06'!$C$10:$C$224,$C169,'TL06'!$J$10:$J$224),0),
IF('TL06'!$B$229=L$3,SUMIF('TL06'!$C$238:$C$451,$C169,'TL06'!$J$238:$J$451),0),
IF('TL07'!$B$3=L$3,SUMIF('TL07'!$C$10:$C$224,$C169,'TL07'!$J$10:$J$224),0),
IF('TL07'!$B$229=L$3,SUMIF('TL07'!$C$238:$C$451,$C169,'TL07'!$J$238:$J$451),0),
IF('TL08'!$B$3=L$3,SUMIF('TL08'!$C$10:$C$224,$C169,'TL08'!$J$10:$J$224),0),
IF('TL08'!$B$229=L$3,SUMIF('TL08'!$C$238:$C$451,$C169,'TL08'!$J$238:$J$451),0),
IF('TL09'!$B$3=L$3,SUMIF('TL09'!$C$10:$C$224,$C169,'TL09'!$J$10:$J$224),0),
IF('TL09'!$B$229=L$3,SUMIF('TL09'!$C$238:$C$451,$C169,'TL09'!$J$238:$J$451),0),
IF('TL10'!$B$3=L$3,SUMIF('TL10'!$C$10:$C$224,$C169,'TL10'!$J$10:$J$224),0),
IF('TL10'!$B$229=L$3,SUMIF('TL10'!$C$238:$C$451,$C169,'TL10'!$J$238:$J$451),0),
IF('TL11'!$B$3=L$3,SUMIF('TL11'!$C$10:$C$224,$C169,'TL11'!$J$10:$J$224),0),
IF('TL11'!$B$229=L$3,SUMIF('TL11'!$C$238:$C$451,$C169,'TL11'!$J$238:$J$451),0),
IF('TL12'!$B$3=L$3,SUMIF('TL12'!$C$10:$C$224,$C169,'TL12'!$J$10:$J$224),0),
IF('TL12'!$B$229=L$3,SUMIF('TL12'!$C$238:$C$451,$C169,'TL12'!$J$238:$J$451),0),
IF('TL13'!$B$3=L$3,SUMIF('TL13'!$C$10:$C$224,$C169,'TL13'!$J$10:$J$224),0),
IF('TL13'!$B$229=L$3,SUMIF('TL13'!$C$238:$C$451,$C169,'TL13'!$J$238:$J$451),0),
IF('TL14'!$B$3=L$3,SUMIF('TL14'!$C$10:$C$224,$C169,'TL14'!$J$10:$J$224),0),
IF('TL14'!$B$229=L$3,SUMIF('TL14'!$C$238:$C$451,$C169,'TL14'!$J$238:$J$451),0),
IF('TL15'!$B$3=L$3,SUMIF('TL15'!$C$10:$C$224,$C169,'TL15'!$J$10:$J$224),0),
IF('TL15'!$B$229=L$3,SUMIF('TL15'!$C$238:$C$451,$C169,'TL15'!$J$238:$J$451),0),
IF('TL16'!$B$3=L$3,SUMIF('TL16'!$C$10:$C$224,$C169,'TL16'!$J$10:$J$224),0),
IF('TL16'!$B$229=L$3,SUMIF('TL16'!$C$238:$C$451,$C169,'TL16'!$J$238:$J$451),0),
IF('TL17'!$B$3=L$3,SUMIF('TL17'!$C$10:$C$224,$C169,'TL17'!$J$10:$J$224),0),
IF('TL17'!$B$229=L$3,SUMIF('TL17'!$C$238:$C$451,$C169,'TL17'!$J$238:$J$451),0),
IF('TL18'!$B$3=L$3,SUMIF('TL18'!$C$10:$C$224,$C169,'TL18'!$J$10:$J$224),0),
IF('TL18'!$B$229=L$3,SUMIF('TL18'!$C$238:$C$451,$C169,'TL18'!$J$238:$J$451),0),
IF('TL19'!$B$3=L$3,SUMIF('TL19'!$C$10:$C$224,$C169,'TL19'!$J$10:$J$224),0),
IF('TL19'!$B$229=L$3,SUMIF('TL19'!$C$238:$C$451,$C169,'TL19'!$J$238:$J$451),0)
),0)</f>
        <v>0</v>
      </c>
      <c r="M169" s="9">
        <f>IFERROR(SUM(
IF('TL01'!$B$3=M$3,SUMIF('TL01'!$C$10:$C$224,$C169,'TL01'!$J$10:$J$224),0),
IF('TL01'!$B$229=M$3,SUMIF('TL01'!$C$238:$C$451,$C169,'TL01'!$J$238:$J$451),0),
IF('TL02'!$B$3=M$3,SUMIF('TL02'!$C$10:$C$224,$C169,'TL02'!$J$10:$J$224),0),
IF('TL02'!$B$229=M$3,SUMIF('TL02'!$C$238:$C$451,$C169,'TL02'!$J$238:$J$451),0),
IF('TL03'!$B$3=M$3,SUMIF('TL03'!$C$10:$C$224,$C169,'TL03'!$J$10:$J$224),0),
IF('TL03'!$B$229=M$3,SUMIF('TL03'!$C$238:$C$451,$C169,'TL03'!$J$238:$J$451),0),
IF('TL04'!$B$3=M$3,SUMIF('TL04'!$C$10:$C$224,$C169,'TL04'!$J$10:$J$224),0),
IF('TL04'!$B$229=M$3,SUMIF('TL04'!$C$238:$C$451,$C169,'TL04'!$J$238:$J$451),0),
IF('TL05'!$B$3=M$3,SUMIF('TL05'!$C$10:$C$224,$C169,'TL05'!$J$10:$J$224),0),
IF('TL05'!$B$229=M$3,SUMIF('TL05'!$C$238:$C$451,$C169,'TL05'!$J$238:$J$451),0),
IF('TL06'!$B$3=M$3,SUMIF('TL06'!$C$10:$C$224,$C169,'TL06'!$J$10:$J$224),0),
IF('TL06'!$B$229=M$3,SUMIF('TL06'!$C$238:$C$451,$C169,'TL06'!$J$238:$J$451),0),
IF('TL07'!$B$3=M$3,SUMIF('TL07'!$C$10:$C$224,$C169,'TL07'!$J$10:$J$224),0),
IF('TL07'!$B$229=M$3,SUMIF('TL07'!$C$238:$C$451,$C169,'TL07'!$J$238:$J$451),0),
IF('TL08'!$B$3=M$3,SUMIF('TL08'!$C$10:$C$224,$C169,'TL08'!$J$10:$J$224),0),
IF('TL08'!$B$229=M$3,SUMIF('TL08'!$C$238:$C$451,$C169,'TL08'!$J$238:$J$451),0),
IF('TL09'!$B$3=M$3,SUMIF('TL09'!$C$10:$C$224,$C169,'TL09'!$J$10:$J$224),0),
IF('TL09'!$B$229=M$3,SUMIF('TL09'!$C$238:$C$451,$C169,'TL09'!$J$238:$J$451),0),
IF('TL10'!$B$3=M$3,SUMIF('TL10'!$C$10:$C$224,$C169,'TL10'!$J$10:$J$224),0),
IF('TL10'!$B$229=M$3,SUMIF('TL10'!$C$238:$C$451,$C169,'TL10'!$J$238:$J$451),0),
IF('TL11'!$B$3=M$3,SUMIF('TL11'!$C$10:$C$224,$C169,'TL11'!$J$10:$J$224),0),
IF('TL11'!$B$229=M$3,SUMIF('TL11'!$C$238:$C$451,$C169,'TL11'!$J$238:$J$451),0),
IF('TL12'!$B$3=M$3,SUMIF('TL12'!$C$10:$C$224,$C169,'TL12'!$J$10:$J$224),0),
IF('TL12'!$B$229=M$3,SUMIF('TL12'!$C$238:$C$451,$C169,'TL12'!$J$238:$J$451),0),
IF('TL13'!$B$3=M$3,SUMIF('TL13'!$C$10:$C$224,$C169,'TL13'!$J$10:$J$224),0),
IF('TL13'!$B$229=M$3,SUMIF('TL13'!$C$238:$C$451,$C169,'TL13'!$J$238:$J$451),0),
IF('TL14'!$B$3=M$3,SUMIF('TL14'!$C$10:$C$224,$C169,'TL14'!$J$10:$J$224),0),
IF('TL14'!$B$229=M$3,SUMIF('TL14'!$C$238:$C$451,$C169,'TL14'!$J$238:$J$451),0),
IF('TL15'!$B$3=M$3,SUMIF('TL15'!$C$10:$C$224,$C169,'TL15'!$J$10:$J$224),0),
IF('TL15'!$B$229=M$3,SUMIF('TL15'!$C$238:$C$451,$C169,'TL15'!$J$238:$J$451),0),
IF('TL16'!$B$3=M$3,SUMIF('TL16'!$C$10:$C$224,$C169,'TL16'!$J$10:$J$224),0),
IF('TL16'!$B$229=M$3,SUMIF('TL16'!$C$238:$C$451,$C169,'TL16'!$J$238:$J$451),0),
IF('TL17'!$B$3=M$3,SUMIF('TL17'!$C$10:$C$224,$C169,'TL17'!$J$10:$J$224),0),
IF('TL17'!$B$229=M$3,SUMIF('TL17'!$C$238:$C$451,$C169,'TL17'!$J$238:$J$451),0),
IF('TL18'!$B$3=M$3,SUMIF('TL18'!$C$10:$C$224,$C169,'TL18'!$J$10:$J$224),0),
IF('TL18'!$B$229=M$3,SUMIF('TL18'!$C$238:$C$451,$C169,'TL18'!$J$238:$J$451),0),
IF('TL19'!$B$3=M$3,SUMIF('TL19'!$C$10:$C$224,$C169,'TL19'!$J$10:$J$224),0),
IF('TL19'!$B$229=M$3,SUMIF('TL19'!$C$238:$C$451,$C169,'TL19'!$J$238:$J$451),0)
),0)</f>
        <v>0</v>
      </c>
      <c r="N169" s="9">
        <f>IFERROR(SUM(
IF('TL01'!$B$3=N$3,SUMIF('TL01'!$C$10:$C$224,$C169,'TL01'!$J$10:$J$224),0),
IF('TL01'!$B$229=N$3,SUMIF('TL01'!$C$238:$C$451,$C169,'TL01'!$J$238:$J$451),0),
IF('TL02'!$B$3=N$3,SUMIF('TL02'!$C$10:$C$224,$C169,'TL02'!$J$10:$J$224),0),
IF('TL02'!$B$229=N$3,SUMIF('TL02'!$C$238:$C$451,$C169,'TL02'!$J$238:$J$451),0),
IF('TL03'!$B$3=N$3,SUMIF('TL03'!$C$10:$C$224,$C169,'TL03'!$J$10:$J$224),0),
IF('TL03'!$B$229=N$3,SUMIF('TL03'!$C$238:$C$451,$C169,'TL03'!$J$238:$J$451),0),
IF('TL04'!$B$3=N$3,SUMIF('TL04'!$C$10:$C$224,$C169,'TL04'!$J$10:$J$224),0),
IF('TL04'!$B$229=N$3,SUMIF('TL04'!$C$238:$C$451,$C169,'TL04'!$J$238:$J$451),0),
IF('TL05'!$B$3=N$3,SUMIF('TL05'!$C$10:$C$224,$C169,'TL05'!$J$10:$J$224),0),
IF('TL05'!$B$229=N$3,SUMIF('TL05'!$C$238:$C$451,$C169,'TL05'!$J$238:$J$451),0),
IF('TL06'!$B$3=N$3,SUMIF('TL06'!$C$10:$C$224,$C169,'TL06'!$J$10:$J$224),0),
IF('TL06'!$B$229=N$3,SUMIF('TL06'!$C$238:$C$451,$C169,'TL06'!$J$238:$J$451),0),
IF('TL07'!$B$3=N$3,SUMIF('TL07'!$C$10:$C$224,$C169,'TL07'!$J$10:$J$224),0),
IF('TL07'!$B$229=N$3,SUMIF('TL07'!$C$238:$C$451,$C169,'TL07'!$J$238:$J$451),0),
IF('TL08'!$B$3=N$3,SUMIF('TL08'!$C$10:$C$224,$C169,'TL08'!$J$10:$J$224),0),
IF('TL08'!$B$229=N$3,SUMIF('TL08'!$C$238:$C$451,$C169,'TL08'!$J$238:$J$451),0),
IF('TL09'!$B$3=N$3,SUMIF('TL09'!$C$10:$C$224,$C169,'TL09'!$J$10:$J$224),0),
IF('TL09'!$B$229=N$3,SUMIF('TL09'!$C$238:$C$451,$C169,'TL09'!$J$238:$J$451),0),
IF('TL10'!$B$3=N$3,SUMIF('TL10'!$C$10:$C$224,$C169,'TL10'!$J$10:$J$224),0),
IF('TL10'!$B$229=N$3,SUMIF('TL10'!$C$238:$C$451,$C169,'TL10'!$J$238:$J$451),0),
IF('TL11'!$B$3=N$3,SUMIF('TL11'!$C$10:$C$224,$C169,'TL11'!$J$10:$J$224),0),
IF('TL11'!$B$229=N$3,SUMIF('TL11'!$C$238:$C$451,$C169,'TL11'!$J$238:$J$451),0),
IF('TL12'!$B$3=N$3,SUMIF('TL12'!$C$10:$C$224,$C169,'TL12'!$J$10:$J$224),0),
IF('TL12'!$B$229=N$3,SUMIF('TL12'!$C$238:$C$451,$C169,'TL12'!$J$238:$J$451),0),
IF('TL13'!$B$3=N$3,SUMIF('TL13'!$C$10:$C$224,$C169,'TL13'!$J$10:$J$224),0),
IF('TL13'!$B$229=N$3,SUMIF('TL13'!$C$238:$C$451,$C169,'TL13'!$J$238:$J$451),0),
IF('TL14'!$B$3=N$3,SUMIF('TL14'!$C$10:$C$224,$C169,'TL14'!$J$10:$J$224),0),
IF('TL14'!$B$229=N$3,SUMIF('TL14'!$C$238:$C$451,$C169,'TL14'!$J$238:$J$451),0),
IF('TL15'!$B$3=N$3,SUMIF('TL15'!$C$10:$C$224,$C169,'TL15'!$J$10:$J$224),0),
IF('TL15'!$B$229=N$3,SUMIF('TL15'!$C$238:$C$451,$C169,'TL15'!$J$238:$J$451),0),
IF('TL16'!$B$3=N$3,SUMIF('TL16'!$C$10:$C$224,$C169,'TL16'!$J$10:$J$224),0),
IF('TL16'!$B$229=N$3,SUMIF('TL16'!$C$238:$C$451,$C169,'TL16'!$J$238:$J$451),0),
IF('TL17'!$B$3=N$3,SUMIF('TL17'!$C$10:$C$224,$C169,'TL17'!$J$10:$J$224),0),
IF('TL17'!$B$229=N$3,SUMIF('TL17'!$C$238:$C$451,$C169,'TL17'!$J$238:$J$451),0),
IF('TL18'!$B$3=N$3,SUMIF('TL18'!$C$10:$C$224,$C169,'TL18'!$J$10:$J$224),0),
IF('TL18'!$B$229=N$3,SUMIF('TL18'!$C$238:$C$451,$C169,'TL18'!$J$238:$J$451),0),
IF('TL19'!$B$3=N$3,SUMIF('TL19'!$C$10:$C$224,$C169,'TL19'!$J$10:$J$224),0),
IF('TL19'!$B$229=N$3,SUMIF('TL19'!$C$238:$C$451,$C169,'TL19'!$J$238:$J$451),0)
),0)</f>
        <v>0</v>
      </c>
      <c r="O169" s="9">
        <f>IFERROR(SUM(
IF('TL01'!$B$3=O$3,SUMIF('TL01'!$C$10:$C$224,$C169,'TL01'!$J$10:$J$224),0),
IF('TL01'!$B$229=O$3,SUMIF('TL01'!$C$238:$C$451,$C169,'TL01'!$J$238:$J$451),0),
IF('TL02'!$B$3=O$3,SUMIF('TL02'!$C$10:$C$224,$C169,'TL02'!$J$10:$J$224),0),
IF('TL02'!$B$229=O$3,SUMIF('TL02'!$C$238:$C$451,$C169,'TL02'!$J$238:$J$451),0),
IF('TL03'!$B$3=O$3,SUMIF('TL03'!$C$10:$C$224,$C169,'TL03'!$J$10:$J$224),0),
IF('TL03'!$B$229=O$3,SUMIF('TL03'!$C$238:$C$451,$C169,'TL03'!$J$238:$J$451),0),
IF('TL04'!$B$3=O$3,SUMIF('TL04'!$C$10:$C$224,$C169,'TL04'!$J$10:$J$224),0),
IF('TL04'!$B$229=O$3,SUMIF('TL04'!$C$238:$C$451,$C169,'TL04'!$J$238:$J$451),0),
IF('TL05'!$B$3=O$3,SUMIF('TL05'!$C$10:$C$224,$C169,'TL05'!$J$10:$J$224),0),
IF('TL05'!$B$229=O$3,SUMIF('TL05'!$C$238:$C$451,$C169,'TL05'!$J$238:$J$451),0),
IF('TL06'!$B$3=O$3,SUMIF('TL06'!$C$10:$C$224,$C169,'TL06'!$J$10:$J$224),0),
IF('TL06'!$B$229=O$3,SUMIF('TL06'!$C$238:$C$451,$C169,'TL06'!$J$238:$J$451),0),
IF('TL07'!$B$3=O$3,SUMIF('TL07'!$C$10:$C$224,$C169,'TL07'!$J$10:$J$224),0),
IF('TL07'!$B$229=O$3,SUMIF('TL07'!$C$238:$C$451,$C169,'TL07'!$J$238:$J$451),0),
IF('TL08'!$B$3=O$3,SUMIF('TL08'!$C$10:$C$224,$C169,'TL08'!$J$10:$J$224),0),
IF('TL08'!$B$229=O$3,SUMIF('TL08'!$C$238:$C$451,$C169,'TL08'!$J$238:$J$451),0),
IF('TL09'!$B$3=O$3,SUMIF('TL09'!$C$10:$C$224,$C169,'TL09'!$J$10:$J$224),0),
IF('TL09'!$B$229=O$3,SUMIF('TL09'!$C$238:$C$451,$C169,'TL09'!$J$238:$J$451),0),
IF('TL10'!$B$3=O$3,SUMIF('TL10'!$C$10:$C$224,$C169,'TL10'!$J$10:$J$224),0),
IF('TL10'!$B$229=O$3,SUMIF('TL10'!$C$238:$C$451,$C169,'TL10'!$J$238:$J$451),0),
IF('TL11'!$B$3=O$3,SUMIF('TL11'!$C$10:$C$224,$C169,'TL11'!$J$10:$J$224),0),
IF('TL11'!$B$229=O$3,SUMIF('TL11'!$C$238:$C$451,$C169,'TL11'!$J$238:$J$451),0),
IF('TL12'!$B$3=O$3,SUMIF('TL12'!$C$10:$C$224,$C169,'TL12'!$J$10:$J$224),0),
IF('TL12'!$B$229=O$3,SUMIF('TL12'!$C$238:$C$451,$C169,'TL12'!$J$238:$J$451),0),
IF('TL13'!$B$3=O$3,SUMIF('TL13'!$C$10:$C$224,$C169,'TL13'!$J$10:$J$224),0),
IF('TL13'!$B$229=O$3,SUMIF('TL13'!$C$238:$C$451,$C169,'TL13'!$J$238:$J$451),0),
IF('TL14'!$B$3=O$3,SUMIF('TL14'!$C$10:$C$224,$C169,'TL14'!$J$10:$J$224),0),
IF('TL14'!$B$229=O$3,SUMIF('TL14'!$C$238:$C$451,$C169,'TL14'!$J$238:$J$451),0),
IF('TL15'!$B$3=O$3,SUMIF('TL15'!$C$10:$C$224,$C169,'TL15'!$J$10:$J$224),0),
IF('TL15'!$B$229=O$3,SUMIF('TL15'!$C$238:$C$451,$C169,'TL15'!$J$238:$J$451),0),
IF('TL16'!$B$3=O$3,SUMIF('TL16'!$C$10:$C$224,$C169,'TL16'!$J$10:$J$224),0),
IF('TL16'!$B$229=O$3,SUMIF('TL16'!$C$238:$C$451,$C169,'TL16'!$J$238:$J$451),0),
IF('TL17'!$B$3=O$3,SUMIF('TL17'!$C$10:$C$224,$C169,'TL17'!$J$10:$J$224),0),
IF('TL17'!$B$229=O$3,SUMIF('TL17'!$C$238:$C$451,$C169,'TL17'!$J$238:$J$451),0),
IF('TL18'!$B$3=O$3,SUMIF('TL18'!$C$10:$C$224,$C169,'TL18'!$J$10:$J$224),0),
IF('TL18'!$B$229=O$3,SUMIF('TL18'!$C$238:$C$451,$C169,'TL18'!$J$238:$J$451),0),
IF('TL19'!$B$3=O$3,SUMIF('TL19'!$C$10:$C$224,$C169,'TL19'!$J$10:$J$224),0),
IF('TL19'!$B$229=O$3,SUMIF('TL19'!$C$238:$C$451,$C169,'TL19'!$J$238:$J$451),0)
),0)</f>
        <v>0</v>
      </c>
      <c r="P169" s="9">
        <f>IFERROR(SUM(
IF('TL01'!$B$3=P$3,SUMIF('TL01'!$C$10:$C$224,$C169,'TL01'!$J$10:$J$224),0),
IF('TL01'!$B$229=P$3,SUMIF('TL01'!$C$238:$C$451,$C169,'TL01'!$J$238:$J$451),0),
IF('TL02'!$B$3=P$3,SUMIF('TL02'!$C$10:$C$224,$C169,'TL02'!$J$10:$J$224),0),
IF('TL02'!$B$229=P$3,SUMIF('TL02'!$C$238:$C$451,$C169,'TL02'!$J$238:$J$451),0),
IF('TL03'!$B$3=P$3,SUMIF('TL03'!$C$10:$C$224,$C169,'TL03'!$J$10:$J$224),0),
IF('TL03'!$B$229=P$3,SUMIF('TL03'!$C$238:$C$451,$C169,'TL03'!$J$238:$J$451),0),
IF('TL04'!$B$3=P$3,SUMIF('TL04'!$C$10:$C$224,$C169,'TL04'!$J$10:$J$224),0),
IF('TL04'!$B$229=P$3,SUMIF('TL04'!$C$238:$C$451,$C169,'TL04'!$J$238:$J$451),0),
IF('TL05'!$B$3=P$3,SUMIF('TL05'!$C$10:$C$224,$C169,'TL05'!$J$10:$J$224),0),
IF('TL05'!$B$229=P$3,SUMIF('TL05'!$C$238:$C$451,$C169,'TL05'!$J$238:$J$451),0),
IF('TL06'!$B$3=P$3,SUMIF('TL06'!$C$10:$C$224,$C169,'TL06'!$J$10:$J$224),0),
IF('TL06'!$B$229=P$3,SUMIF('TL06'!$C$238:$C$451,$C169,'TL06'!$J$238:$J$451),0),
IF('TL07'!$B$3=P$3,SUMIF('TL07'!$C$10:$C$224,$C169,'TL07'!$J$10:$J$224),0),
IF('TL07'!$B$229=P$3,SUMIF('TL07'!$C$238:$C$451,$C169,'TL07'!$J$238:$J$451),0),
IF('TL08'!$B$3=P$3,SUMIF('TL08'!$C$10:$C$224,$C169,'TL08'!$J$10:$J$224),0),
IF('TL08'!$B$229=P$3,SUMIF('TL08'!$C$238:$C$451,$C169,'TL08'!$J$238:$J$451),0),
IF('TL09'!$B$3=P$3,SUMIF('TL09'!$C$10:$C$224,$C169,'TL09'!$J$10:$J$224),0),
IF('TL09'!$B$229=P$3,SUMIF('TL09'!$C$238:$C$451,$C169,'TL09'!$J$238:$J$451),0),
IF('TL10'!$B$3=P$3,SUMIF('TL10'!$C$10:$C$224,$C169,'TL10'!$J$10:$J$224),0),
IF('TL10'!$B$229=P$3,SUMIF('TL10'!$C$238:$C$451,$C169,'TL10'!$J$238:$J$451),0),
IF('TL11'!$B$3=P$3,SUMIF('TL11'!$C$10:$C$224,$C169,'TL11'!$J$10:$J$224),0),
IF('TL11'!$B$229=P$3,SUMIF('TL11'!$C$238:$C$451,$C169,'TL11'!$J$238:$J$451),0),
IF('TL12'!$B$3=P$3,SUMIF('TL12'!$C$10:$C$224,$C169,'TL12'!$J$10:$J$224),0),
IF('TL12'!$B$229=P$3,SUMIF('TL12'!$C$238:$C$451,$C169,'TL12'!$J$238:$J$451),0),
IF('TL13'!$B$3=P$3,SUMIF('TL13'!$C$10:$C$224,$C169,'TL13'!$J$10:$J$224),0),
IF('TL13'!$B$229=P$3,SUMIF('TL13'!$C$238:$C$451,$C169,'TL13'!$J$238:$J$451),0),
IF('TL14'!$B$3=P$3,SUMIF('TL14'!$C$10:$C$224,$C169,'TL14'!$J$10:$J$224),0),
IF('TL14'!$B$229=P$3,SUMIF('TL14'!$C$238:$C$451,$C169,'TL14'!$J$238:$J$451),0),
IF('TL15'!$B$3=P$3,SUMIF('TL15'!$C$10:$C$224,$C169,'TL15'!$J$10:$J$224),0),
IF('TL15'!$B$229=P$3,SUMIF('TL15'!$C$238:$C$451,$C169,'TL15'!$J$238:$J$451),0),
IF('TL16'!$B$3=P$3,SUMIF('TL16'!$C$10:$C$224,$C169,'TL16'!$J$10:$J$224),0),
IF('TL16'!$B$229=P$3,SUMIF('TL16'!$C$238:$C$451,$C169,'TL16'!$J$238:$J$451),0),
IF('TL17'!$B$3=P$3,SUMIF('TL17'!$C$10:$C$224,$C169,'TL17'!$J$10:$J$224),0),
IF('TL17'!$B$229=P$3,SUMIF('TL17'!$C$238:$C$451,$C169,'TL17'!$J$238:$J$451),0),
IF('TL18'!$B$3=P$3,SUMIF('TL18'!$C$10:$C$224,$C169,'TL18'!$J$10:$J$224),0),
IF('TL18'!$B$229=P$3,SUMIF('TL18'!$C$238:$C$451,$C169,'TL18'!$J$238:$J$451),0),
IF('TL19'!$B$3=P$3,SUMIF('TL19'!$C$10:$C$224,$C169,'TL19'!$J$10:$J$224),0),
IF('TL19'!$B$229=P$3,SUMIF('TL19'!$C$238:$C$451,$C169,'TL19'!$J$238:$J$451),0)
),0)</f>
        <v>0</v>
      </c>
      <c r="Q169" s="9">
        <f>IFERROR(SUM(
IF('TL01'!$B$3=Q$3,SUMIF('TL01'!$C$10:$C$224,$C169,'TL01'!$J$10:$J$224),0),
IF('TL01'!$B$229=Q$3,SUMIF('TL01'!$C$238:$C$451,$C169,'TL01'!$J$238:$J$451),0),
IF('TL02'!$B$3=Q$3,SUMIF('TL02'!$C$10:$C$224,$C169,'TL02'!$J$10:$J$224),0),
IF('TL02'!$B$229=Q$3,SUMIF('TL02'!$C$238:$C$451,$C169,'TL02'!$J$238:$J$451),0),
IF('TL03'!$B$3=Q$3,SUMIF('TL03'!$C$10:$C$224,$C169,'TL03'!$J$10:$J$224),0),
IF('TL03'!$B$229=Q$3,SUMIF('TL03'!$C$238:$C$451,$C169,'TL03'!$J$238:$J$451),0),
IF('TL04'!$B$3=Q$3,SUMIF('TL04'!$C$10:$C$224,$C169,'TL04'!$J$10:$J$224),0),
IF('TL04'!$B$229=Q$3,SUMIF('TL04'!$C$238:$C$451,$C169,'TL04'!$J$238:$J$451),0),
IF('TL05'!$B$3=Q$3,SUMIF('TL05'!$C$10:$C$224,$C169,'TL05'!$J$10:$J$224),0),
IF('TL05'!$B$229=Q$3,SUMIF('TL05'!$C$238:$C$451,$C169,'TL05'!$J$238:$J$451),0),
IF('TL06'!$B$3=Q$3,SUMIF('TL06'!$C$10:$C$224,$C169,'TL06'!$J$10:$J$224),0),
IF('TL06'!$B$229=Q$3,SUMIF('TL06'!$C$238:$C$451,$C169,'TL06'!$J$238:$J$451),0),
IF('TL07'!$B$3=Q$3,SUMIF('TL07'!$C$10:$C$224,$C169,'TL07'!$J$10:$J$224),0),
IF('TL07'!$B$229=Q$3,SUMIF('TL07'!$C$238:$C$451,$C169,'TL07'!$J$238:$J$451),0),
IF('TL08'!$B$3=Q$3,SUMIF('TL08'!$C$10:$C$224,$C169,'TL08'!$J$10:$J$224),0),
IF('TL08'!$B$229=Q$3,SUMIF('TL08'!$C$238:$C$451,$C169,'TL08'!$J$238:$J$451),0),
IF('TL09'!$B$3=Q$3,SUMIF('TL09'!$C$10:$C$224,$C169,'TL09'!$J$10:$J$224),0),
IF('TL09'!$B$229=Q$3,SUMIF('TL09'!$C$238:$C$451,$C169,'TL09'!$J$238:$J$451),0),
IF('TL10'!$B$3=Q$3,SUMIF('TL10'!$C$10:$C$224,$C169,'TL10'!$J$10:$J$224),0),
IF('TL10'!$B$229=Q$3,SUMIF('TL10'!$C$238:$C$451,$C169,'TL10'!$J$238:$J$451),0),
IF('TL11'!$B$3=Q$3,SUMIF('TL11'!$C$10:$C$224,$C169,'TL11'!$J$10:$J$224),0),
IF('TL11'!$B$229=Q$3,SUMIF('TL11'!$C$238:$C$451,$C169,'TL11'!$J$238:$J$451),0),
IF('TL12'!$B$3=Q$3,SUMIF('TL12'!$C$10:$C$224,$C169,'TL12'!$J$10:$J$224),0),
IF('TL12'!$B$229=Q$3,SUMIF('TL12'!$C$238:$C$451,$C169,'TL12'!$J$238:$J$451),0),
IF('TL13'!$B$3=Q$3,SUMIF('TL13'!$C$10:$C$224,$C169,'TL13'!$J$10:$J$224),0),
IF('TL13'!$B$229=Q$3,SUMIF('TL13'!$C$238:$C$451,$C169,'TL13'!$J$238:$J$451),0),
IF('TL14'!$B$3=Q$3,SUMIF('TL14'!$C$10:$C$224,$C169,'TL14'!$J$10:$J$224),0),
IF('TL14'!$B$229=Q$3,SUMIF('TL14'!$C$238:$C$451,$C169,'TL14'!$J$238:$J$451),0),
IF('TL15'!$B$3=Q$3,SUMIF('TL15'!$C$10:$C$224,$C169,'TL15'!$J$10:$J$224),0),
IF('TL15'!$B$229=Q$3,SUMIF('TL15'!$C$238:$C$451,$C169,'TL15'!$J$238:$J$451),0),
IF('TL16'!$B$3=Q$3,SUMIF('TL16'!$C$10:$C$224,$C169,'TL16'!$J$10:$J$224),0),
IF('TL16'!$B$229=Q$3,SUMIF('TL16'!$C$238:$C$451,$C169,'TL16'!$J$238:$J$451),0),
IF('TL17'!$B$3=Q$3,SUMIF('TL17'!$C$10:$C$224,$C169,'TL17'!$J$10:$J$224),0),
IF('TL17'!$B$229=Q$3,SUMIF('TL17'!$C$238:$C$451,$C169,'TL17'!$J$238:$J$451),0),
IF('TL18'!$B$3=Q$3,SUMIF('TL18'!$C$10:$C$224,$C169,'TL18'!$J$10:$J$224),0),
IF('TL18'!$B$229=Q$3,SUMIF('TL18'!$C$238:$C$451,$C169,'TL18'!$J$238:$J$451),0),
IF('TL19'!$B$3=Q$3,SUMIF('TL19'!$C$10:$C$224,$C169,'TL19'!$J$10:$J$224),0),
IF('TL19'!$B$229=Q$3,SUMIF('TL19'!$C$238:$C$451,$C169,'TL19'!$J$238:$J$451),0)
),0)</f>
        <v>0</v>
      </c>
      <c r="R169" s="9">
        <f>IFERROR(
SUM(
SUMIF('TL01'!C:C,C169,'TL01'!J:J),
SUMIF('TL02'!C:C,C169,'TL02'!J:J),
SUMIF('TL03'!C:C,C169,'TL03'!J:J),
SUMIF('TL04'!C:C,C169,'TL04'!J:J),
SUMIF('TL05'!C:C,C169,'TL05'!J:J),
SUMIF('TL06'!C:C,C169,'TL06'!J:J),
SUMIF('TL07'!C:C,C169,'TL07'!J:J),
SUMIF('TL08'!C:C,C169,'TL08'!J:J),
SUMIF('TL09'!C:C,C169,'TL09'!J:J),
SUMIF('TL10'!C:C,C169,'TL10'!J:J),
SUMIF('TL11'!C:C,C169,'TL11'!J:J),
SUMIF('TL12'!C:C,C169,'TL12'!J:J),
SUMIF('TL13'!C:C,C169,'TL13'!J:J),
SUMIF('TL14'!C:C,C169,'TL14'!J:J),
SUMIF('TL15'!C:C,C169,'TL15'!J:J),
SUMIF('TL16'!C:C,C169,'TL16'!J:J),
SUMIF('TL17'!C:C,C169,'TL17'!J:J),
SUMIF('TL18'!C:C,C169,'TL18'!J:J),SUMIF('TL19'!C:C,C169,'TL19'!J:J))
,0)</f>
        <v>0</v>
      </c>
      <c r="S169" s="17">
        <f>IFERROR(__xludf.DUMMYFUNCTION("IFERROR(VLOOKUP(C169,
IMPORTRANGE(""1wULbzX32WdYsx-lj2U3uUNBBe2INVIRDtcK0d-Dvl90"",
""26-27!C:G""),
5,
FALSE),
"""")"),436.88491999999997)</f>
        <v>436.88492</v>
      </c>
      <c r="T169" s="9"/>
      <c r="U169" s="92">
        <f t="shared" si="2"/>
        <v>0</v>
      </c>
      <c r="V169" s="93">
        <f t="shared" si="3"/>
        <v>0</v>
      </c>
    </row>
    <row r="170" ht="15.75" hidden="1" customHeight="1">
      <c r="A170" s="115" t="s">
        <v>358</v>
      </c>
      <c r="B170" s="100" t="s">
        <v>1</v>
      </c>
      <c r="C170" s="116" t="s">
        <v>746</v>
      </c>
      <c r="D170" s="116" t="s">
        <v>747</v>
      </c>
      <c r="E170" s="116">
        <v>500.0</v>
      </c>
      <c r="F170" s="4" t="s">
        <v>343</v>
      </c>
      <c r="G170" s="90" t="str">
        <f t="shared" si="4"/>
        <v>📄 Ver bula</v>
      </c>
      <c r="H170" s="9">
        <f>IFERROR(__xludf.DUMMYFUNCTION("IFERROR(VLOOKUP(C170,
IMPORTRANGE(""1wULbzX32WdYsx-lj2U3uUNBBe2INVIRDtcK0d-Dvl90"",
""26-27!C:K""),
8,
FALSE),
"""")"),2.0)</f>
        <v>2</v>
      </c>
      <c r="I170" s="117" t="s">
        <v>344</v>
      </c>
      <c r="J170" s="9">
        <f>IFERROR(SUM(
IF('TL01'!$B$3=J$3,SUMIF('TL01'!$C$10:$C$224,$C170,'TL01'!$J$10:$J$224),0),
IF('TL01'!$B$229=J$3,SUMIF('TL01'!$C$238:$C$451,$C170,'TL01'!$J$238:$J$451),0),
IF('TL02'!$B$3=J$3,SUMIF('TL02'!$C$10:$C$224,$C170,'TL02'!$J$10:$J$224),0),
IF('TL02'!$B$229=J$3,SUMIF('TL02'!$C$238:$C$451,$C170,'TL02'!$J$238:$J$451),0),
IF('TL03'!$B$3=J$3,SUMIF('TL03'!$C$10:$C$224,$C170,'TL03'!$J$10:$J$224),0),
IF('TL03'!$B$229=J$3,SUMIF('TL03'!$C$238:$C$451,$C170,'TL03'!$J$238:$J$451),0),
IF('TL04'!$B$3=J$3,SUMIF('TL04'!$C$10:$C$224,$C170,'TL04'!$J$10:$J$224),0),
IF('TL04'!$B$229=J$3,SUMIF('TL04'!$C$238:$C$451,$C170,'TL04'!$J$238:$J$451),0),
IF('TL05'!$B$3=J$3,SUMIF('TL05'!$C$10:$C$224,$C170,'TL05'!$J$10:$J$224),0),
IF('TL05'!$B$229=J$3,SUMIF('TL05'!$C$238:$C$451,$C170,'TL05'!$J$238:$J$451),0),
IF('TL06'!$B$3=J$3,SUMIF('TL06'!$C$10:$C$224,$C170,'TL06'!$J$10:$J$224),0),
IF('TL06'!$B$229=J$3,SUMIF('TL06'!$C$238:$C$451,$C170,'TL06'!$J$238:$J$451),0),
IF('TL07'!$B$3=J$3,SUMIF('TL07'!$C$10:$C$224,$C170,'TL07'!$J$10:$J$224),0),
IF('TL07'!$B$229=J$3,SUMIF('TL07'!$C$238:$C$451,$C170,'TL07'!$J$238:$J$451),0),
IF('TL08'!$B$3=J$3,SUMIF('TL08'!$C$10:$C$224,$C170,'TL08'!$J$10:$J$224),0),
IF('TL08'!$B$229=J$3,SUMIF('TL08'!$C$238:$C$451,$C170,'TL08'!$J$238:$J$451),0),
IF('TL09'!$B$3=J$3,SUMIF('TL09'!$C$10:$C$224,$C170,'TL09'!$J$10:$J$224),0),
IF('TL09'!$B$229=J$3,SUMIF('TL09'!$C$238:$C$451,$C170,'TL09'!$J$238:$J$451),0),
IF('TL10'!$B$3=J$3,SUMIF('TL10'!$C$10:$C$224,$C170,'TL10'!$J$10:$J$224),0),
IF('TL10'!$B$229=J$3,SUMIF('TL10'!$C$238:$C$451,$C170,'TL10'!$J$238:$J$451),0),
IF('TL11'!$B$3=J$3,SUMIF('TL11'!$C$10:$C$224,$C170,'TL11'!$J$10:$J$224),0),
IF('TL11'!$B$229=J$3,SUMIF('TL11'!$C$238:$C$451,$C170,'TL11'!$J$238:$J$451),0),
IF('TL12'!$B$3=J$3,SUMIF('TL12'!$C$10:$C$224,$C170,'TL12'!$J$10:$J$224),0),
IF('TL12'!$B$229=J$3,SUMIF('TL12'!$C$238:$C$451,$C170,'TL12'!$J$238:$J$451),0),
IF('TL13'!$B$3=J$3,SUMIF('TL13'!$C$10:$C$224,$C170,'TL13'!$J$10:$J$224),0),
IF('TL13'!$B$229=J$3,SUMIF('TL13'!$C$238:$C$451,$C170,'TL13'!$J$238:$J$451),0),
IF('TL14'!$B$3=J$3,SUMIF('TL14'!$C$10:$C$224,$C170,'TL14'!$J$10:$J$224),0),
IF('TL14'!$B$229=J$3,SUMIF('TL14'!$C$238:$C$451,$C170,'TL14'!$J$238:$J$451),0),
IF('TL15'!$B$3=J$3,SUMIF('TL15'!$C$10:$C$224,$C170,'TL15'!$J$10:$J$224),0),
IF('TL15'!$B$229=J$3,SUMIF('TL15'!$C$238:$C$451,$C170,'TL15'!$J$238:$J$451),0),
IF('TL16'!$B$3=J$3,SUMIF('TL16'!$C$10:$C$224,$C170,'TL16'!$J$10:$J$224),0),
IF('TL16'!$B$229=J$3,SUMIF('TL16'!$C$238:$C$451,$C170,'TL16'!$J$238:$J$451),0),
IF('TL17'!$B$3=J$3,SUMIF('TL17'!$C$10:$C$224,$C170,'TL17'!$J$10:$J$224),0),
IF('TL17'!$B$229=J$3,SUMIF('TL17'!$C$238:$C$451,$C170,'TL17'!$J$238:$J$451),0),
IF('TL18'!$B$3=J$3,SUMIF('TL18'!$C$10:$C$224,$C170,'TL18'!$J$10:$J$224),0),
IF('TL18'!$B$229=J$3,SUMIF('TL18'!$C$238:$C$451,$C170,'TL18'!$J$238:$J$451),0),
IF('TL19'!$B$3=J$3,SUMIF('TL19'!$C$10:$C$224,$C170,'TL19'!$J$10:$J$224),0),
IF('TL19'!$B$229=J$3,SUMIF('TL19'!$C$238:$C$451,$C170,'TL19'!$J$238:$J$451),0)
),0)</f>
        <v>0</v>
      </c>
      <c r="K170" s="9">
        <f>IFERROR(SUM(
IF('TL01'!$B$3=K$3,SUMIF('TL01'!$C$10:$C$224,$C170,'TL01'!$J$10:$J$224),0),
IF('TL01'!$B$229=K$3,SUMIF('TL01'!$C$238:$C$451,$C170,'TL01'!$J$238:$J$451),0),
IF('TL02'!$B$3=K$3,SUMIF('TL02'!$C$10:$C$224,$C170,'TL02'!$J$10:$J$224),0),
IF('TL02'!$B$229=K$3,SUMIF('TL02'!$C$238:$C$451,$C170,'TL02'!$J$238:$J$451),0),
IF('TL03'!$B$3=K$3,SUMIF('TL03'!$C$10:$C$224,$C170,'TL03'!$J$10:$J$224),0),
IF('TL03'!$B$229=K$3,SUMIF('TL03'!$C$238:$C$451,$C170,'TL03'!$J$238:$J$451),0),
IF('TL04'!$B$3=K$3,SUMIF('TL04'!$C$10:$C$224,$C170,'TL04'!$J$10:$J$224),0),
IF('TL04'!$B$229=K$3,SUMIF('TL04'!$C$238:$C$451,$C170,'TL04'!$J$238:$J$451),0),
IF('TL05'!$B$3=K$3,SUMIF('TL05'!$C$10:$C$224,$C170,'TL05'!$J$10:$J$224),0),
IF('TL05'!$B$229=K$3,SUMIF('TL05'!$C$238:$C$451,$C170,'TL05'!$J$238:$J$451),0),
IF('TL06'!$B$3=K$3,SUMIF('TL06'!$C$10:$C$224,$C170,'TL06'!$J$10:$J$224),0),
IF('TL06'!$B$229=K$3,SUMIF('TL06'!$C$238:$C$451,$C170,'TL06'!$J$238:$J$451),0),
IF('TL07'!$B$3=K$3,SUMIF('TL07'!$C$10:$C$224,$C170,'TL07'!$J$10:$J$224),0),
IF('TL07'!$B$229=K$3,SUMIF('TL07'!$C$238:$C$451,$C170,'TL07'!$J$238:$J$451),0),
IF('TL08'!$B$3=K$3,SUMIF('TL08'!$C$10:$C$224,$C170,'TL08'!$J$10:$J$224),0),
IF('TL08'!$B$229=K$3,SUMIF('TL08'!$C$238:$C$451,$C170,'TL08'!$J$238:$J$451),0),
IF('TL09'!$B$3=K$3,SUMIF('TL09'!$C$10:$C$224,$C170,'TL09'!$J$10:$J$224),0),
IF('TL09'!$B$229=K$3,SUMIF('TL09'!$C$238:$C$451,$C170,'TL09'!$J$238:$J$451),0),
IF('TL10'!$B$3=K$3,SUMIF('TL10'!$C$10:$C$224,$C170,'TL10'!$J$10:$J$224),0),
IF('TL10'!$B$229=K$3,SUMIF('TL10'!$C$238:$C$451,$C170,'TL10'!$J$238:$J$451),0),
IF('TL11'!$B$3=K$3,SUMIF('TL11'!$C$10:$C$224,$C170,'TL11'!$J$10:$J$224),0),
IF('TL11'!$B$229=K$3,SUMIF('TL11'!$C$238:$C$451,$C170,'TL11'!$J$238:$J$451),0),
IF('TL12'!$B$3=K$3,SUMIF('TL12'!$C$10:$C$224,$C170,'TL12'!$J$10:$J$224),0),
IF('TL12'!$B$229=K$3,SUMIF('TL12'!$C$238:$C$451,$C170,'TL12'!$J$238:$J$451),0),
IF('TL13'!$B$3=K$3,SUMIF('TL13'!$C$10:$C$224,$C170,'TL13'!$J$10:$J$224),0),
IF('TL13'!$B$229=K$3,SUMIF('TL13'!$C$238:$C$451,$C170,'TL13'!$J$238:$J$451),0),
IF('TL14'!$B$3=K$3,SUMIF('TL14'!$C$10:$C$224,$C170,'TL14'!$J$10:$J$224),0),
IF('TL14'!$B$229=K$3,SUMIF('TL14'!$C$238:$C$451,$C170,'TL14'!$J$238:$J$451),0),
IF('TL15'!$B$3=K$3,SUMIF('TL15'!$C$10:$C$224,$C170,'TL15'!$J$10:$J$224),0),
IF('TL15'!$B$229=K$3,SUMIF('TL15'!$C$238:$C$451,$C170,'TL15'!$J$238:$J$451),0),
IF('TL16'!$B$3=K$3,SUMIF('TL16'!$C$10:$C$224,$C170,'TL16'!$J$10:$J$224),0),
IF('TL16'!$B$229=K$3,SUMIF('TL16'!$C$238:$C$451,$C170,'TL16'!$J$238:$J$451),0),
IF('TL17'!$B$3=K$3,SUMIF('TL17'!$C$10:$C$224,$C170,'TL17'!$J$10:$J$224),0),
IF('TL17'!$B$229=K$3,SUMIF('TL17'!$C$238:$C$451,$C170,'TL17'!$J$238:$J$451),0),
IF('TL18'!$B$3=K$3,SUMIF('TL18'!$C$10:$C$224,$C170,'TL18'!$J$10:$J$224),0),
IF('TL18'!$B$229=K$3,SUMIF('TL18'!$C$238:$C$451,$C170,'TL18'!$J$238:$J$451),0),
IF('TL19'!$B$3=K$3,SUMIF('TL19'!$C$10:$C$224,$C170,'TL19'!$J$10:$J$224),0),
IF('TL19'!$B$229=K$3,SUMIF('TL19'!$C$238:$C$451,$C170,'TL19'!$J$238:$J$451),0)
),0)</f>
        <v>0</v>
      </c>
      <c r="L170" s="9">
        <f>IFERROR(SUM(
IF('TL01'!$B$3=L$3,SUMIF('TL01'!$C$10:$C$224,$C170,'TL01'!$J$10:$J$224),0),
IF('TL01'!$B$229=L$3,SUMIF('TL01'!$C$238:$C$451,$C170,'TL01'!$J$238:$J$451),0),
IF('TL02'!$B$3=L$3,SUMIF('TL02'!$C$10:$C$224,$C170,'TL02'!$J$10:$J$224),0),
IF('TL02'!$B$229=L$3,SUMIF('TL02'!$C$238:$C$451,$C170,'TL02'!$J$238:$J$451),0),
IF('TL03'!$B$3=L$3,SUMIF('TL03'!$C$10:$C$224,$C170,'TL03'!$J$10:$J$224),0),
IF('TL03'!$B$229=L$3,SUMIF('TL03'!$C$238:$C$451,$C170,'TL03'!$J$238:$J$451),0),
IF('TL04'!$B$3=L$3,SUMIF('TL04'!$C$10:$C$224,$C170,'TL04'!$J$10:$J$224),0),
IF('TL04'!$B$229=L$3,SUMIF('TL04'!$C$238:$C$451,$C170,'TL04'!$J$238:$J$451),0),
IF('TL05'!$B$3=L$3,SUMIF('TL05'!$C$10:$C$224,$C170,'TL05'!$J$10:$J$224),0),
IF('TL05'!$B$229=L$3,SUMIF('TL05'!$C$238:$C$451,$C170,'TL05'!$J$238:$J$451),0),
IF('TL06'!$B$3=L$3,SUMIF('TL06'!$C$10:$C$224,$C170,'TL06'!$J$10:$J$224),0),
IF('TL06'!$B$229=L$3,SUMIF('TL06'!$C$238:$C$451,$C170,'TL06'!$J$238:$J$451),0),
IF('TL07'!$B$3=L$3,SUMIF('TL07'!$C$10:$C$224,$C170,'TL07'!$J$10:$J$224),0),
IF('TL07'!$B$229=L$3,SUMIF('TL07'!$C$238:$C$451,$C170,'TL07'!$J$238:$J$451),0),
IF('TL08'!$B$3=L$3,SUMIF('TL08'!$C$10:$C$224,$C170,'TL08'!$J$10:$J$224),0),
IF('TL08'!$B$229=L$3,SUMIF('TL08'!$C$238:$C$451,$C170,'TL08'!$J$238:$J$451),0),
IF('TL09'!$B$3=L$3,SUMIF('TL09'!$C$10:$C$224,$C170,'TL09'!$J$10:$J$224),0),
IF('TL09'!$B$229=L$3,SUMIF('TL09'!$C$238:$C$451,$C170,'TL09'!$J$238:$J$451),0),
IF('TL10'!$B$3=L$3,SUMIF('TL10'!$C$10:$C$224,$C170,'TL10'!$J$10:$J$224),0),
IF('TL10'!$B$229=L$3,SUMIF('TL10'!$C$238:$C$451,$C170,'TL10'!$J$238:$J$451),0),
IF('TL11'!$B$3=L$3,SUMIF('TL11'!$C$10:$C$224,$C170,'TL11'!$J$10:$J$224),0),
IF('TL11'!$B$229=L$3,SUMIF('TL11'!$C$238:$C$451,$C170,'TL11'!$J$238:$J$451),0),
IF('TL12'!$B$3=L$3,SUMIF('TL12'!$C$10:$C$224,$C170,'TL12'!$J$10:$J$224),0),
IF('TL12'!$B$229=L$3,SUMIF('TL12'!$C$238:$C$451,$C170,'TL12'!$J$238:$J$451),0),
IF('TL13'!$B$3=L$3,SUMIF('TL13'!$C$10:$C$224,$C170,'TL13'!$J$10:$J$224),0),
IF('TL13'!$B$229=L$3,SUMIF('TL13'!$C$238:$C$451,$C170,'TL13'!$J$238:$J$451),0),
IF('TL14'!$B$3=L$3,SUMIF('TL14'!$C$10:$C$224,$C170,'TL14'!$J$10:$J$224),0),
IF('TL14'!$B$229=L$3,SUMIF('TL14'!$C$238:$C$451,$C170,'TL14'!$J$238:$J$451),0),
IF('TL15'!$B$3=L$3,SUMIF('TL15'!$C$10:$C$224,$C170,'TL15'!$J$10:$J$224),0),
IF('TL15'!$B$229=L$3,SUMIF('TL15'!$C$238:$C$451,$C170,'TL15'!$J$238:$J$451),0),
IF('TL16'!$B$3=L$3,SUMIF('TL16'!$C$10:$C$224,$C170,'TL16'!$J$10:$J$224),0),
IF('TL16'!$B$229=L$3,SUMIF('TL16'!$C$238:$C$451,$C170,'TL16'!$J$238:$J$451),0),
IF('TL17'!$B$3=L$3,SUMIF('TL17'!$C$10:$C$224,$C170,'TL17'!$J$10:$J$224),0),
IF('TL17'!$B$229=L$3,SUMIF('TL17'!$C$238:$C$451,$C170,'TL17'!$J$238:$J$451),0),
IF('TL18'!$B$3=L$3,SUMIF('TL18'!$C$10:$C$224,$C170,'TL18'!$J$10:$J$224),0),
IF('TL18'!$B$229=L$3,SUMIF('TL18'!$C$238:$C$451,$C170,'TL18'!$J$238:$J$451),0),
IF('TL19'!$B$3=L$3,SUMIF('TL19'!$C$10:$C$224,$C170,'TL19'!$J$10:$J$224),0),
IF('TL19'!$B$229=L$3,SUMIF('TL19'!$C$238:$C$451,$C170,'TL19'!$J$238:$J$451),0)
),0)</f>
        <v>0</v>
      </c>
      <c r="M170" s="9">
        <f>IFERROR(SUM(
IF('TL01'!$B$3=M$3,SUMIF('TL01'!$C$10:$C$224,$C170,'TL01'!$J$10:$J$224),0),
IF('TL01'!$B$229=M$3,SUMIF('TL01'!$C$238:$C$451,$C170,'TL01'!$J$238:$J$451),0),
IF('TL02'!$B$3=M$3,SUMIF('TL02'!$C$10:$C$224,$C170,'TL02'!$J$10:$J$224),0),
IF('TL02'!$B$229=M$3,SUMIF('TL02'!$C$238:$C$451,$C170,'TL02'!$J$238:$J$451),0),
IF('TL03'!$B$3=M$3,SUMIF('TL03'!$C$10:$C$224,$C170,'TL03'!$J$10:$J$224),0),
IF('TL03'!$B$229=M$3,SUMIF('TL03'!$C$238:$C$451,$C170,'TL03'!$J$238:$J$451),0),
IF('TL04'!$B$3=M$3,SUMIF('TL04'!$C$10:$C$224,$C170,'TL04'!$J$10:$J$224),0),
IF('TL04'!$B$229=M$3,SUMIF('TL04'!$C$238:$C$451,$C170,'TL04'!$J$238:$J$451),0),
IF('TL05'!$B$3=M$3,SUMIF('TL05'!$C$10:$C$224,$C170,'TL05'!$J$10:$J$224),0),
IF('TL05'!$B$229=M$3,SUMIF('TL05'!$C$238:$C$451,$C170,'TL05'!$J$238:$J$451),0),
IF('TL06'!$B$3=M$3,SUMIF('TL06'!$C$10:$C$224,$C170,'TL06'!$J$10:$J$224),0),
IF('TL06'!$B$229=M$3,SUMIF('TL06'!$C$238:$C$451,$C170,'TL06'!$J$238:$J$451),0),
IF('TL07'!$B$3=M$3,SUMIF('TL07'!$C$10:$C$224,$C170,'TL07'!$J$10:$J$224),0),
IF('TL07'!$B$229=M$3,SUMIF('TL07'!$C$238:$C$451,$C170,'TL07'!$J$238:$J$451),0),
IF('TL08'!$B$3=M$3,SUMIF('TL08'!$C$10:$C$224,$C170,'TL08'!$J$10:$J$224),0),
IF('TL08'!$B$229=M$3,SUMIF('TL08'!$C$238:$C$451,$C170,'TL08'!$J$238:$J$451),0),
IF('TL09'!$B$3=M$3,SUMIF('TL09'!$C$10:$C$224,$C170,'TL09'!$J$10:$J$224),0),
IF('TL09'!$B$229=M$3,SUMIF('TL09'!$C$238:$C$451,$C170,'TL09'!$J$238:$J$451),0),
IF('TL10'!$B$3=M$3,SUMIF('TL10'!$C$10:$C$224,$C170,'TL10'!$J$10:$J$224),0),
IF('TL10'!$B$229=M$3,SUMIF('TL10'!$C$238:$C$451,$C170,'TL10'!$J$238:$J$451),0),
IF('TL11'!$B$3=M$3,SUMIF('TL11'!$C$10:$C$224,$C170,'TL11'!$J$10:$J$224),0),
IF('TL11'!$B$229=M$3,SUMIF('TL11'!$C$238:$C$451,$C170,'TL11'!$J$238:$J$451),0),
IF('TL12'!$B$3=M$3,SUMIF('TL12'!$C$10:$C$224,$C170,'TL12'!$J$10:$J$224),0),
IF('TL12'!$B$229=M$3,SUMIF('TL12'!$C$238:$C$451,$C170,'TL12'!$J$238:$J$451),0),
IF('TL13'!$B$3=M$3,SUMIF('TL13'!$C$10:$C$224,$C170,'TL13'!$J$10:$J$224),0),
IF('TL13'!$B$229=M$3,SUMIF('TL13'!$C$238:$C$451,$C170,'TL13'!$J$238:$J$451),0),
IF('TL14'!$B$3=M$3,SUMIF('TL14'!$C$10:$C$224,$C170,'TL14'!$J$10:$J$224),0),
IF('TL14'!$B$229=M$3,SUMIF('TL14'!$C$238:$C$451,$C170,'TL14'!$J$238:$J$451),0),
IF('TL15'!$B$3=M$3,SUMIF('TL15'!$C$10:$C$224,$C170,'TL15'!$J$10:$J$224),0),
IF('TL15'!$B$229=M$3,SUMIF('TL15'!$C$238:$C$451,$C170,'TL15'!$J$238:$J$451),0),
IF('TL16'!$B$3=M$3,SUMIF('TL16'!$C$10:$C$224,$C170,'TL16'!$J$10:$J$224),0),
IF('TL16'!$B$229=M$3,SUMIF('TL16'!$C$238:$C$451,$C170,'TL16'!$J$238:$J$451),0),
IF('TL17'!$B$3=M$3,SUMIF('TL17'!$C$10:$C$224,$C170,'TL17'!$J$10:$J$224),0),
IF('TL17'!$B$229=M$3,SUMIF('TL17'!$C$238:$C$451,$C170,'TL17'!$J$238:$J$451),0),
IF('TL18'!$B$3=M$3,SUMIF('TL18'!$C$10:$C$224,$C170,'TL18'!$J$10:$J$224),0),
IF('TL18'!$B$229=M$3,SUMIF('TL18'!$C$238:$C$451,$C170,'TL18'!$J$238:$J$451),0),
IF('TL19'!$B$3=M$3,SUMIF('TL19'!$C$10:$C$224,$C170,'TL19'!$J$10:$J$224),0),
IF('TL19'!$B$229=M$3,SUMIF('TL19'!$C$238:$C$451,$C170,'TL19'!$J$238:$J$451),0)
),0)</f>
        <v>0</v>
      </c>
      <c r="N170" s="9">
        <f>IFERROR(SUM(
IF('TL01'!$B$3=N$3,SUMIF('TL01'!$C$10:$C$224,$C170,'TL01'!$J$10:$J$224),0),
IF('TL01'!$B$229=N$3,SUMIF('TL01'!$C$238:$C$451,$C170,'TL01'!$J$238:$J$451),0),
IF('TL02'!$B$3=N$3,SUMIF('TL02'!$C$10:$C$224,$C170,'TL02'!$J$10:$J$224),0),
IF('TL02'!$B$229=N$3,SUMIF('TL02'!$C$238:$C$451,$C170,'TL02'!$J$238:$J$451),0),
IF('TL03'!$B$3=N$3,SUMIF('TL03'!$C$10:$C$224,$C170,'TL03'!$J$10:$J$224),0),
IF('TL03'!$B$229=N$3,SUMIF('TL03'!$C$238:$C$451,$C170,'TL03'!$J$238:$J$451),0),
IF('TL04'!$B$3=N$3,SUMIF('TL04'!$C$10:$C$224,$C170,'TL04'!$J$10:$J$224),0),
IF('TL04'!$B$229=N$3,SUMIF('TL04'!$C$238:$C$451,$C170,'TL04'!$J$238:$J$451),0),
IF('TL05'!$B$3=N$3,SUMIF('TL05'!$C$10:$C$224,$C170,'TL05'!$J$10:$J$224),0),
IF('TL05'!$B$229=N$3,SUMIF('TL05'!$C$238:$C$451,$C170,'TL05'!$J$238:$J$451),0),
IF('TL06'!$B$3=N$3,SUMIF('TL06'!$C$10:$C$224,$C170,'TL06'!$J$10:$J$224),0),
IF('TL06'!$B$229=N$3,SUMIF('TL06'!$C$238:$C$451,$C170,'TL06'!$J$238:$J$451),0),
IF('TL07'!$B$3=N$3,SUMIF('TL07'!$C$10:$C$224,$C170,'TL07'!$J$10:$J$224),0),
IF('TL07'!$B$229=N$3,SUMIF('TL07'!$C$238:$C$451,$C170,'TL07'!$J$238:$J$451),0),
IF('TL08'!$B$3=N$3,SUMIF('TL08'!$C$10:$C$224,$C170,'TL08'!$J$10:$J$224),0),
IF('TL08'!$B$229=N$3,SUMIF('TL08'!$C$238:$C$451,$C170,'TL08'!$J$238:$J$451),0),
IF('TL09'!$B$3=N$3,SUMIF('TL09'!$C$10:$C$224,$C170,'TL09'!$J$10:$J$224),0),
IF('TL09'!$B$229=N$3,SUMIF('TL09'!$C$238:$C$451,$C170,'TL09'!$J$238:$J$451),0),
IF('TL10'!$B$3=N$3,SUMIF('TL10'!$C$10:$C$224,$C170,'TL10'!$J$10:$J$224),0),
IF('TL10'!$B$229=N$3,SUMIF('TL10'!$C$238:$C$451,$C170,'TL10'!$J$238:$J$451),0),
IF('TL11'!$B$3=N$3,SUMIF('TL11'!$C$10:$C$224,$C170,'TL11'!$J$10:$J$224),0),
IF('TL11'!$B$229=N$3,SUMIF('TL11'!$C$238:$C$451,$C170,'TL11'!$J$238:$J$451),0),
IF('TL12'!$B$3=N$3,SUMIF('TL12'!$C$10:$C$224,$C170,'TL12'!$J$10:$J$224),0),
IF('TL12'!$B$229=N$3,SUMIF('TL12'!$C$238:$C$451,$C170,'TL12'!$J$238:$J$451),0),
IF('TL13'!$B$3=N$3,SUMIF('TL13'!$C$10:$C$224,$C170,'TL13'!$J$10:$J$224),0),
IF('TL13'!$B$229=N$3,SUMIF('TL13'!$C$238:$C$451,$C170,'TL13'!$J$238:$J$451),0),
IF('TL14'!$B$3=N$3,SUMIF('TL14'!$C$10:$C$224,$C170,'TL14'!$J$10:$J$224),0),
IF('TL14'!$B$229=N$3,SUMIF('TL14'!$C$238:$C$451,$C170,'TL14'!$J$238:$J$451),0),
IF('TL15'!$B$3=N$3,SUMIF('TL15'!$C$10:$C$224,$C170,'TL15'!$J$10:$J$224),0),
IF('TL15'!$B$229=N$3,SUMIF('TL15'!$C$238:$C$451,$C170,'TL15'!$J$238:$J$451),0),
IF('TL16'!$B$3=N$3,SUMIF('TL16'!$C$10:$C$224,$C170,'TL16'!$J$10:$J$224),0),
IF('TL16'!$B$229=N$3,SUMIF('TL16'!$C$238:$C$451,$C170,'TL16'!$J$238:$J$451),0),
IF('TL17'!$B$3=N$3,SUMIF('TL17'!$C$10:$C$224,$C170,'TL17'!$J$10:$J$224),0),
IF('TL17'!$B$229=N$3,SUMIF('TL17'!$C$238:$C$451,$C170,'TL17'!$J$238:$J$451),0),
IF('TL18'!$B$3=N$3,SUMIF('TL18'!$C$10:$C$224,$C170,'TL18'!$J$10:$J$224),0),
IF('TL18'!$B$229=N$3,SUMIF('TL18'!$C$238:$C$451,$C170,'TL18'!$J$238:$J$451),0),
IF('TL19'!$B$3=N$3,SUMIF('TL19'!$C$10:$C$224,$C170,'TL19'!$J$10:$J$224),0),
IF('TL19'!$B$229=N$3,SUMIF('TL19'!$C$238:$C$451,$C170,'TL19'!$J$238:$J$451),0)
),0)</f>
        <v>0</v>
      </c>
      <c r="O170" s="9">
        <f>IFERROR(SUM(
IF('TL01'!$B$3=O$3,SUMIF('TL01'!$C$10:$C$224,$C170,'TL01'!$J$10:$J$224),0),
IF('TL01'!$B$229=O$3,SUMIF('TL01'!$C$238:$C$451,$C170,'TL01'!$J$238:$J$451),0),
IF('TL02'!$B$3=O$3,SUMIF('TL02'!$C$10:$C$224,$C170,'TL02'!$J$10:$J$224),0),
IF('TL02'!$B$229=O$3,SUMIF('TL02'!$C$238:$C$451,$C170,'TL02'!$J$238:$J$451),0),
IF('TL03'!$B$3=O$3,SUMIF('TL03'!$C$10:$C$224,$C170,'TL03'!$J$10:$J$224),0),
IF('TL03'!$B$229=O$3,SUMIF('TL03'!$C$238:$C$451,$C170,'TL03'!$J$238:$J$451),0),
IF('TL04'!$B$3=O$3,SUMIF('TL04'!$C$10:$C$224,$C170,'TL04'!$J$10:$J$224),0),
IF('TL04'!$B$229=O$3,SUMIF('TL04'!$C$238:$C$451,$C170,'TL04'!$J$238:$J$451),0),
IF('TL05'!$B$3=O$3,SUMIF('TL05'!$C$10:$C$224,$C170,'TL05'!$J$10:$J$224),0),
IF('TL05'!$B$229=O$3,SUMIF('TL05'!$C$238:$C$451,$C170,'TL05'!$J$238:$J$451),0),
IF('TL06'!$B$3=O$3,SUMIF('TL06'!$C$10:$C$224,$C170,'TL06'!$J$10:$J$224),0),
IF('TL06'!$B$229=O$3,SUMIF('TL06'!$C$238:$C$451,$C170,'TL06'!$J$238:$J$451),0),
IF('TL07'!$B$3=O$3,SUMIF('TL07'!$C$10:$C$224,$C170,'TL07'!$J$10:$J$224),0),
IF('TL07'!$B$229=O$3,SUMIF('TL07'!$C$238:$C$451,$C170,'TL07'!$J$238:$J$451),0),
IF('TL08'!$B$3=O$3,SUMIF('TL08'!$C$10:$C$224,$C170,'TL08'!$J$10:$J$224),0),
IF('TL08'!$B$229=O$3,SUMIF('TL08'!$C$238:$C$451,$C170,'TL08'!$J$238:$J$451),0),
IF('TL09'!$B$3=O$3,SUMIF('TL09'!$C$10:$C$224,$C170,'TL09'!$J$10:$J$224),0),
IF('TL09'!$B$229=O$3,SUMIF('TL09'!$C$238:$C$451,$C170,'TL09'!$J$238:$J$451),0),
IF('TL10'!$B$3=O$3,SUMIF('TL10'!$C$10:$C$224,$C170,'TL10'!$J$10:$J$224),0),
IF('TL10'!$B$229=O$3,SUMIF('TL10'!$C$238:$C$451,$C170,'TL10'!$J$238:$J$451),0),
IF('TL11'!$B$3=O$3,SUMIF('TL11'!$C$10:$C$224,$C170,'TL11'!$J$10:$J$224),0),
IF('TL11'!$B$229=O$3,SUMIF('TL11'!$C$238:$C$451,$C170,'TL11'!$J$238:$J$451),0),
IF('TL12'!$B$3=O$3,SUMIF('TL12'!$C$10:$C$224,$C170,'TL12'!$J$10:$J$224),0),
IF('TL12'!$B$229=O$3,SUMIF('TL12'!$C$238:$C$451,$C170,'TL12'!$J$238:$J$451),0),
IF('TL13'!$B$3=O$3,SUMIF('TL13'!$C$10:$C$224,$C170,'TL13'!$J$10:$J$224),0),
IF('TL13'!$B$229=O$3,SUMIF('TL13'!$C$238:$C$451,$C170,'TL13'!$J$238:$J$451),0),
IF('TL14'!$B$3=O$3,SUMIF('TL14'!$C$10:$C$224,$C170,'TL14'!$J$10:$J$224),0),
IF('TL14'!$B$229=O$3,SUMIF('TL14'!$C$238:$C$451,$C170,'TL14'!$J$238:$J$451),0),
IF('TL15'!$B$3=O$3,SUMIF('TL15'!$C$10:$C$224,$C170,'TL15'!$J$10:$J$224),0),
IF('TL15'!$B$229=O$3,SUMIF('TL15'!$C$238:$C$451,$C170,'TL15'!$J$238:$J$451),0),
IF('TL16'!$B$3=O$3,SUMIF('TL16'!$C$10:$C$224,$C170,'TL16'!$J$10:$J$224),0),
IF('TL16'!$B$229=O$3,SUMIF('TL16'!$C$238:$C$451,$C170,'TL16'!$J$238:$J$451),0),
IF('TL17'!$B$3=O$3,SUMIF('TL17'!$C$10:$C$224,$C170,'TL17'!$J$10:$J$224),0),
IF('TL17'!$B$229=O$3,SUMIF('TL17'!$C$238:$C$451,$C170,'TL17'!$J$238:$J$451),0),
IF('TL18'!$B$3=O$3,SUMIF('TL18'!$C$10:$C$224,$C170,'TL18'!$J$10:$J$224),0),
IF('TL18'!$B$229=O$3,SUMIF('TL18'!$C$238:$C$451,$C170,'TL18'!$J$238:$J$451),0),
IF('TL19'!$B$3=O$3,SUMIF('TL19'!$C$10:$C$224,$C170,'TL19'!$J$10:$J$224),0),
IF('TL19'!$B$229=O$3,SUMIF('TL19'!$C$238:$C$451,$C170,'TL19'!$J$238:$J$451),0)
),0)</f>
        <v>440</v>
      </c>
      <c r="P170" s="9">
        <f>IFERROR(SUM(
IF('TL01'!$B$3=P$3,SUMIF('TL01'!$C$10:$C$224,$C170,'TL01'!$J$10:$J$224),0),
IF('TL01'!$B$229=P$3,SUMIF('TL01'!$C$238:$C$451,$C170,'TL01'!$J$238:$J$451),0),
IF('TL02'!$B$3=P$3,SUMIF('TL02'!$C$10:$C$224,$C170,'TL02'!$J$10:$J$224),0),
IF('TL02'!$B$229=P$3,SUMIF('TL02'!$C$238:$C$451,$C170,'TL02'!$J$238:$J$451),0),
IF('TL03'!$B$3=P$3,SUMIF('TL03'!$C$10:$C$224,$C170,'TL03'!$J$10:$J$224),0),
IF('TL03'!$B$229=P$3,SUMIF('TL03'!$C$238:$C$451,$C170,'TL03'!$J$238:$J$451),0),
IF('TL04'!$B$3=P$3,SUMIF('TL04'!$C$10:$C$224,$C170,'TL04'!$J$10:$J$224),0),
IF('TL04'!$B$229=P$3,SUMIF('TL04'!$C$238:$C$451,$C170,'TL04'!$J$238:$J$451),0),
IF('TL05'!$B$3=P$3,SUMIF('TL05'!$C$10:$C$224,$C170,'TL05'!$J$10:$J$224),0),
IF('TL05'!$B$229=P$3,SUMIF('TL05'!$C$238:$C$451,$C170,'TL05'!$J$238:$J$451),0),
IF('TL06'!$B$3=P$3,SUMIF('TL06'!$C$10:$C$224,$C170,'TL06'!$J$10:$J$224),0),
IF('TL06'!$B$229=P$3,SUMIF('TL06'!$C$238:$C$451,$C170,'TL06'!$J$238:$J$451),0),
IF('TL07'!$B$3=P$3,SUMIF('TL07'!$C$10:$C$224,$C170,'TL07'!$J$10:$J$224),0),
IF('TL07'!$B$229=P$3,SUMIF('TL07'!$C$238:$C$451,$C170,'TL07'!$J$238:$J$451),0),
IF('TL08'!$B$3=P$3,SUMIF('TL08'!$C$10:$C$224,$C170,'TL08'!$J$10:$J$224),0),
IF('TL08'!$B$229=P$3,SUMIF('TL08'!$C$238:$C$451,$C170,'TL08'!$J$238:$J$451),0),
IF('TL09'!$B$3=P$3,SUMIF('TL09'!$C$10:$C$224,$C170,'TL09'!$J$10:$J$224),0),
IF('TL09'!$B$229=P$3,SUMIF('TL09'!$C$238:$C$451,$C170,'TL09'!$J$238:$J$451),0),
IF('TL10'!$B$3=P$3,SUMIF('TL10'!$C$10:$C$224,$C170,'TL10'!$J$10:$J$224),0),
IF('TL10'!$B$229=P$3,SUMIF('TL10'!$C$238:$C$451,$C170,'TL10'!$J$238:$J$451),0),
IF('TL11'!$B$3=P$3,SUMIF('TL11'!$C$10:$C$224,$C170,'TL11'!$J$10:$J$224),0),
IF('TL11'!$B$229=P$3,SUMIF('TL11'!$C$238:$C$451,$C170,'TL11'!$J$238:$J$451),0),
IF('TL12'!$B$3=P$3,SUMIF('TL12'!$C$10:$C$224,$C170,'TL12'!$J$10:$J$224),0),
IF('TL12'!$B$229=P$3,SUMIF('TL12'!$C$238:$C$451,$C170,'TL12'!$J$238:$J$451),0),
IF('TL13'!$B$3=P$3,SUMIF('TL13'!$C$10:$C$224,$C170,'TL13'!$J$10:$J$224),0),
IF('TL13'!$B$229=P$3,SUMIF('TL13'!$C$238:$C$451,$C170,'TL13'!$J$238:$J$451),0),
IF('TL14'!$B$3=P$3,SUMIF('TL14'!$C$10:$C$224,$C170,'TL14'!$J$10:$J$224),0),
IF('TL14'!$B$229=P$3,SUMIF('TL14'!$C$238:$C$451,$C170,'TL14'!$J$238:$J$451),0),
IF('TL15'!$B$3=P$3,SUMIF('TL15'!$C$10:$C$224,$C170,'TL15'!$J$10:$J$224),0),
IF('TL15'!$B$229=P$3,SUMIF('TL15'!$C$238:$C$451,$C170,'TL15'!$J$238:$J$451),0),
IF('TL16'!$B$3=P$3,SUMIF('TL16'!$C$10:$C$224,$C170,'TL16'!$J$10:$J$224),0),
IF('TL16'!$B$229=P$3,SUMIF('TL16'!$C$238:$C$451,$C170,'TL16'!$J$238:$J$451),0),
IF('TL17'!$B$3=P$3,SUMIF('TL17'!$C$10:$C$224,$C170,'TL17'!$J$10:$J$224),0),
IF('TL17'!$B$229=P$3,SUMIF('TL17'!$C$238:$C$451,$C170,'TL17'!$J$238:$J$451),0),
IF('TL18'!$B$3=P$3,SUMIF('TL18'!$C$10:$C$224,$C170,'TL18'!$J$10:$J$224),0),
IF('TL18'!$B$229=P$3,SUMIF('TL18'!$C$238:$C$451,$C170,'TL18'!$J$238:$J$451),0),
IF('TL19'!$B$3=P$3,SUMIF('TL19'!$C$10:$C$224,$C170,'TL19'!$J$10:$J$224),0),
IF('TL19'!$B$229=P$3,SUMIF('TL19'!$C$238:$C$451,$C170,'TL19'!$J$238:$J$451),0)
),0)</f>
        <v>0</v>
      </c>
      <c r="Q170" s="9">
        <f>IFERROR(SUM(
IF('TL01'!$B$3=Q$3,SUMIF('TL01'!$C$10:$C$224,$C170,'TL01'!$J$10:$J$224),0),
IF('TL01'!$B$229=Q$3,SUMIF('TL01'!$C$238:$C$451,$C170,'TL01'!$J$238:$J$451),0),
IF('TL02'!$B$3=Q$3,SUMIF('TL02'!$C$10:$C$224,$C170,'TL02'!$J$10:$J$224),0),
IF('TL02'!$B$229=Q$3,SUMIF('TL02'!$C$238:$C$451,$C170,'TL02'!$J$238:$J$451),0),
IF('TL03'!$B$3=Q$3,SUMIF('TL03'!$C$10:$C$224,$C170,'TL03'!$J$10:$J$224),0),
IF('TL03'!$B$229=Q$3,SUMIF('TL03'!$C$238:$C$451,$C170,'TL03'!$J$238:$J$451),0),
IF('TL04'!$B$3=Q$3,SUMIF('TL04'!$C$10:$C$224,$C170,'TL04'!$J$10:$J$224),0),
IF('TL04'!$B$229=Q$3,SUMIF('TL04'!$C$238:$C$451,$C170,'TL04'!$J$238:$J$451),0),
IF('TL05'!$B$3=Q$3,SUMIF('TL05'!$C$10:$C$224,$C170,'TL05'!$J$10:$J$224),0),
IF('TL05'!$B$229=Q$3,SUMIF('TL05'!$C$238:$C$451,$C170,'TL05'!$J$238:$J$451),0),
IF('TL06'!$B$3=Q$3,SUMIF('TL06'!$C$10:$C$224,$C170,'TL06'!$J$10:$J$224),0),
IF('TL06'!$B$229=Q$3,SUMIF('TL06'!$C$238:$C$451,$C170,'TL06'!$J$238:$J$451),0),
IF('TL07'!$B$3=Q$3,SUMIF('TL07'!$C$10:$C$224,$C170,'TL07'!$J$10:$J$224),0),
IF('TL07'!$B$229=Q$3,SUMIF('TL07'!$C$238:$C$451,$C170,'TL07'!$J$238:$J$451),0),
IF('TL08'!$B$3=Q$3,SUMIF('TL08'!$C$10:$C$224,$C170,'TL08'!$J$10:$J$224),0),
IF('TL08'!$B$229=Q$3,SUMIF('TL08'!$C$238:$C$451,$C170,'TL08'!$J$238:$J$451),0),
IF('TL09'!$B$3=Q$3,SUMIF('TL09'!$C$10:$C$224,$C170,'TL09'!$J$10:$J$224),0),
IF('TL09'!$B$229=Q$3,SUMIF('TL09'!$C$238:$C$451,$C170,'TL09'!$J$238:$J$451),0),
IF('TL10'!$B$3=Q$3,SUMIF('TL10'!$C$10:$C$224,$C170,'TL10'!$J$10:$J$224),0),
IF('TL10'!$B$229=Q$3,SUMIF('TL10'!$C$238:$C$451,$C170,'TL10'!$J$238:$J$451),0),
IF('TL11'!$B$3=Q$3,SUMIF('TL11'!$C$10:$C$224,$C170,'TL11'!$J$10:$J$224),0),
IF('TL11'!$B$229=Q$3,SUMIF('TL11'!$C$238:$C$451,$C170,'TL11'!$J$238:$J$451),0),
IF('TL12'!$B$3=Q$3,SUMIF('TL12'!$C$10:$C$224,$C170,'TL12'!$J$10:$J$224),0),
IF('TL12'!$B$229=Q$3,SUMIF('TL12'!$C$238:$C$451,$C170,'TL12'!$J$238:$J$451),0),
IF('TL13'!$B$3=Q$3,SUMIF('TL13'!$C$10:$C$224,$C170,'TL13'!$J$10:$J$224),0),
IF('TL13'!$B$229=Q$3,SUMIF('TL13'!$C$238:$C$451,$C170,'TL13'!$J$238:$J$451),0),
IF('TL14'!$B$3=Q$3,SUMIF('TL14'!$C$10:$C$224,$C170,'TL14'!$J$10:$J$224),0),
IF('TL14'!$B$229=Q$3,SUMIF('TL14'!$C$238:$C$451,$C170,'TL14'!$J$238:$J$451),0),
IF('TL15'!$B$3=Q$3,SUMIF('TL15'!$C$10:$C$224,$C170,'TL15'!$J$10:$J$224),0),
IF('TL15'!$B$229=Q$3,SUMIF('TL15'!$C$238:$C$451,$C170,'TL15'!$J$238:$J$451),0),
IF('TL16'!$B$3=Q$3,SUMIF('TL16'!$C$10:$C$224,$C170,'TL16'!$J$10:$J$224),0),
IF('TL16'!$B$229=Q$3,SUMIF('TL16'!$C$238:$C$451,$C170,'TL16'!$J$238:$J$451),0),
IF('TL17'!$B$3=Q$3,SUMIF('TL17'!$C$10:$C$224,$C170,'TL17'!$J$10:$J$224),0),
IF('TL17'!$B$229=Q$3,SUMIF('TL17'!$C$238:$C$451,$C170,'TL17'!$J$238:$J$451),0),
IF('TL18'!$B$3=Q$3,SUMIF('TL18'!$C$10:$C$224,$C170,'TL18'!$J$10:$J$224),0),
IF('TL18'!$B$229=Q$3,SUMIF('TL18'!$C$238:$C$451,$C170,'TL18'!$J$238:$J$451),0),
IF('TL19'!$B$3=Q$3,SUMIF('TL19'!$C$10:$C$224,$C170,'TL19'!$J$10:$J$224),0),
IF('TL19'!$B$229=Q$3,SUMIF('TL19'!$C$238:$C$451,$C170,'TL19'!$J$238:$J$451),0)
),0)</f>
        <v>0</v>
      </c>
      <c r="R170" s="9">
        <f>IFERROR(
SUM(
SUMIF('TL01'!C:C,C170,'TL01'!J:J),
SUMIF('TL02'!C:C,C170,'TL02'!J:J),
SUMIF('TL03'!C:C,C170,'TL03'!J:J),
SUMIF('TL04'!C:C,C170,'TL04'!J:J),
SUMIF('TL05'!C:C,C170,'TL05'!J:J),
SUMIF('TL06'!C:C,C170,'TL06'!J:J),
SUMIF('TL07'!C:C,C170,'TL07'!J:J),
SUMIF('TL08'!C:C,C170,'TL08'!J:J),
SUMIF('TL09'!C:C,C170,'TL09'!J:J),
SUMIF('TL10'!C:C,C170,'TL10'!J:J),
SUMIF('TL11'!C:C,C170,'TL11'!J:J),
SUMIF('TL12'!C:C,C170,'TL12'!J:J),
SUMIF('TL13'!C:C,C170,'TL13'!J:J),
SUMIF('TL14'!C:C,C170,'TL14'!J:J),
SUMIF('TL15'!C:C,C170,'TL15'!J:J),
SUMIF('TL16'!C:C,C170,'TL16'!J:J),
SUMIF('TL17'!C:C,C170,'TL17'!J:J),
SUMIF('TL18'!C:C,C170,'TL18'!J:J),SUMIF('TL19'!C:C,C170,'TL19'!J:J))
,0)</f>
        <v>440</v>
      </c>
      <c r="S170" s="17">
        <f>IFERROR(__xludf.DUMMYFUNCTION("IFERROR(VLOOKUP(C170,
IMPORTRANGE(""1wULbzX32WdYsx-lj2U3uUNBBe2INVIRDtcK0d-Dvl90"",
""26-27!C:G""),
5,
FALSE),
"""")"),26.69388)</f>
        <v>26.69388</v>
      </c>
      <c r="T170" s="9">
        <v>470.0</v>
      </c>
      <c r="U170" s="92">
        <f t="shared" si="2"/>
        <v>-30</v>
      </c>
      <c r="V170" s="93">
        <f t="shared" si="3"/>
        <v>-800.8164</v>
      </c>
    </row>
    <row r="171" ht="15.75" hidden="1" customHeight="1">
      <c r="A171" s="111" t="s">
        <v>504</v>
      </c>
      <c r="B171" s="112" t="s">
        <v>1</v>
      </c>
      <c r="C171" s="113" t="s">
        <v>748</v>
      </c>
      <c r="D171" s="113" t="s">
        <v>694</v>
      </c>
      <c r="E171" s="113">
        <v>360.0</v>
      </c>
      <c r="F171" s="4" t="s">
        <v>343</v>
      </c>
      <c r="G171" s="90" t="str">
        <f t="shared" si="4"/>
        <v>📄 Ver bula</v>
      </c>
      <c r="H171" s="9">
        <f>IFERROR(__xludf.DUMMYFUNCTION("IFERROR(VLOOKUP(C171,
IMPORTRANGE(""1wULbzX32WdYsx-lj2U3uUNBBe2INVIRDtcK0d-Dvl90"",
""26-27!C:K""),
8,
FALSE),
"""")"),1.0)</f>
        <v>1</v>
      </c>
      <c r="I171" s="114" t="s">
        <v>344</v>
      </c>
      <c r="J171" s="9">
        <f>IFERROR(SUM(
IF('TL01'!$B$3=J$3,SUMIF('TL01'!$C$10:$C$224,$C171,'TL01'!$J$10:$J$224),0),
IF('TL01'!$B$229=J$3,SUMIF('TL01'!$C$238:$C$451,$C171,'TL01'!$J$238:$J$451),0),
IF('TL02'!$B$3=J$3,SUMIF('TL02'!$C$10:$C$224,$C171,'TL02'!$J$10:$J$224),0),
IF('TL02'!$B$229=J$3,SUMIF('TL02'!$C$238:$C$451,$C171,'TL02'!$J$238:$J$451),0),
IF('TL03'!$B$3=J$3,SUMIF('TL03'!$C$10:$C$224,$C171,'TL03'!$J$10:$J$224),0),
IF('TL03'!$B$229=J$3,SUMIF('TL03'!$C$238:$C$451,$C171,'TL03'!$J$238:$J$451),0),
IF('TL04'!$B$3=J$3,SUMIF('TL04'!$C$10:$C$224,$C171,'TL04'!$J$10:$J$224),0),
IF('TL04'!$B$229=J$3,SUMIF('TL04'!$C$238:$C$451,$C171,'TL04'!$J$238:$J$451),0),
IF('TL05'!$B$3=J$3,SUMIF('TL05'!$C$10:$C$224,$C171,'TL05'!$J$10:$J$224),0),
IF('TL05'!$B$229=J$3,SUMIF('TL05'!$C$238:$C$451,$C171,'TL05'!$J$238:$J$451),0),
IF('TL06'!$B$3=J$3,SUMIF('TL06'!$C$10:$C$224,$C171,'TL06'!$J$10:$J$224),0),
IF('TL06'!$B$229=J$3,SUMIF('TL06'!$C$238:$C$451,$C171,'TL06'!$J$238:$J$451),0),
IF('TL07'!$B$3=J$3,SUMIF('TL07'!$C$10:$C$224,$C171,'TL07'!$J$10:$J$224),0),
IF('TL07'!$B$229=J$3,SUMIF('TL07'!$C$238:$C$451,$C171,'TL07'!$J$238:$J$451),0),
IF('TL08'!$B$3=J$3,SUMIF('TL08'!$C$10:$C$224,$C171,'TL08'!$J$10:$J$224),0),
IF('TL08'!$B$229=J$3,SUMIF('TL08'!$C$238:$C$451,$C171,'TL08'!$J$238:$J$451),0),
IF('TL09'!$B$3=J$3,SUMIF('TL09'!$C$10:$C$224,$C171,'TL09'!$J$10:$J$224),0),
IF('TL09'!$B$229=J$3,SUMIF('TL09'!$C$238:$C$451,$C171,'TL09'!$J$238:$J$451),0),
IF('TL10'!$B$3=J$3,SUMIF('TL10'!$C$10:$C$224,$C171,'TL10'!$J$10:$J$224),0),
IF('TL10'!$B$229=J$3,SUMIF('TL10'!$C$238:$C$451,$C171,'TL10'!$J$238:$J$451),0),
IF('TL11'!$B$3=J$3,SUMIF('TL11'!$C$10:$C$224,$C171,'TL11'!$J$10:$J$224),0),
IF('TL11'!$B$229=J$3,SUMIF('TL11'!$C$238:$C$451,$C171,'TL11'!$J$238:$J$451),0),
IF('TL12'!$B$3=J$3,SUMIF('TL12'!$C$10:$C$224,$C171,'TL12'!$J$10:$J$224),0),
IF('TL12'!$B$229=J$3,SUMIF('TL12'!$C$238:$C$451,$C171,'TL12'!$J$238:$J$451),0),
IF('TL13'!$B$3=J$3,SUMIF('TL13'!$C$10:$C$224,$C171,'TL13'!$J$10:$J$224),0),
IF('TL13'!$B$229=J$3,SUMIF('TL13'!$C$238:$C$451,$C171,'TL13'!$J$238:$J$451),0),
IF('TL14'!$B$3=J$3,SUMIF('TL14'!$C$10:$C$224,$C171,'TL14'!$J$10:$J$224),0),
IF('TL14'!$B$229=J$3,SUMIF('TL14'!$C$238:$C$451,$C171,'TL14'!$J$238:$J$451),0),
IF('TL15'!$B$3=J$3,SUMIF('TL15'!$C$10:$C$224,$C171,'TL15'!$J$10:$J$224),0),
IF('TL15'!$B$229=J$3,SUMIF('TL15'!$C$238:$C$451,$C171,'TL15'!$J$238:$J$451),0),
IF('TL16'!$B$3=J$3,SUMIF('TL16'!$C$10:$C$224,$C171,'TL16'!$J$10:$J$224),0),
IF('TL16'!$B$229=J$3,SUMIF('TL16'!$C$238:$C$451,$C171,'TL16'!$J$238:$J$451),0),
IF('TL17'!$B$3=J$3,SUMIF('TL17'!$C$10:$C$224,$C171,'TL17'!$J$10:$J$224),0),
IF('TL17'!$B$229=J$3,SUMIF('TL17'!$C$238:$C$451,$C171,'TL17'!$J$238:$J$451),0),
IF('TL18'!$B$3=J$3,SUMIF('TL18'!$C$10:$C$224,$C171,'TL18'!$J$10:$J$224),0),
IF('TL18'!$B$229=J$3,SUMIF('TL18'!$C$238:$C$451,$C171,'TL18'!$J$238:$J$451),0),
IF('TL19'!$B$3=J$3,SUMIF('TL19'!$C$10:$C$224,$C171,'TL19'!$J$10:$J$224),0),
IF('TL19'!$B$229=J$3,SUMIF('TL19'!$C$238:$C$451,$C171,'TL19'!$J$238:$J$451),0)
),0)</f>
        <v>0</v>
      </c>
      <c r="K171" s="9">
        <f>IFERROR(SUM(
IF('TL01'!$B$3=K$3,SUMIF('TL01'!$C$10:$C$224,$C171,'TL01'!$J$10:$J$224),0),
IF('TL01'!$B$229=K$3,SUMIF('TL01'!$C$238:$C$451,$C171,'TL01'!$J$238:$J$451),0),
IF('TL02'!$B$3=K$3,SUMIF('TL02'!$C$10:$C$224,$C171,'TL02'!$J$10:$J$224),0),
IF('TL02'!$B$229=K$3,SUMIF('TL02'!$C$238:$C$451,$C171,'TL02'!$J$238:$J$451),0),
IF('TL03'!$B$3=K$3,SUMIF('TL03'!$C$10:$C$224,$C171,'TL03'!$J$10:$J$224),0),
IF('TL03'!$B$229=K$3,SUMIF('TL03'!$C$238:$C$451,$C171,'TL03'!$J$238:$J$451),0),
IF('TL04'!$B$3=K$3,SUMIF('TL04'!$C$10:$C$224,$C171,'TL04'!$J$10:$J$224),0),
IF('TL04'!$B$229=K$3,SUMIF('TL04'!$C$238:$C$451,$C171,'TL04'!$J$238:$J$451),0),
IF('TL05'!$B$3=K$3,SUMIF('TL05'!$C$10:$C$224,$C171,'TL05'!$J$10:$J$224),0),
IF('TL05'!$B$229=K$3,SUMIF('TL05'!$C$238:$C$451,$C171,'TL05'!$J$238:$J$451),0),
IF('TL06'!$B$3=K$3,SUMIF('TL06'!$C$10:$C$224,$C171,'TL06'!$J$10:$J$224),0),
IF('TL06'!$B$229=K$3,SUMIF('TL06'!$C$238:$C$451,$C171,'TL06'!$J$238:$J$451),0),
IF('TL07'!$B$3=K$3,SUMIF('TL07'!$C$10:$C$224,$C171,'TL07'!$J$10:$J$224),0),
IF('TL07'!$B$229=K$3,SUMIF('TL07'!$C$238:$C$451,$C171,'TL07'!$J$238:$J$451),0),
IF('TL08'!$B$3=K$3,SUMIF('TL08'!$C$10:$C$224,$C171,'TL08'!$J$10:$J$224),0),
IF('TL08'!$B$229=K$3,SUMIF('TL08'!$C$238:$C$451,$C171,'TL08'!$J$238:$J$451),0),
IF('TL09'!$B$3=K$3,SUMIF('TL09'!$C$10:$C$224,$C171,'TL09'!$J$10:$J$224),0),
IF('TL09'!$B$229=K$3,SUMIF('TL09'!$C$238:$C$451,$C171,'TL09'!$J$238:$J$451),0),
IF('TL10'!$B$3=K$3,SUMIF('TL10'!$C$10:$C$224,$C171,'TL10'!$J$10:$J$224),0),
IF('TL10'!$B$229=K$3,SUMIF('TL10'!$C$238:$C$451,$C171,'TL10'!$J$238:$J$451),0),
IF('TL11'!$B$3=K$3,SUMIF('TL11'!$C$10:$C$224,$C171,'TL11'!$J$10:$J$224),0),
IF('TL11'!$B$229=K$3,SUMIF('TL11'!$C$238:$C$451,$C171,'TL11'!$J$238:$J$451),0),
IF('TL12'!$B$3=K$3,SUMIF('TL12'!$C$10:$C$224,$C171,'TL12'!$J$10:$J$224),0),
IF('TL12'!$B$229=K$3,SUMIF('TL12'!$C$238:$C$451,$C171,'TL12'!$J$238:$J$451),0),
IF('TL13'!$B$3=K$3,SUMIF('TL13'!$C$10:$C$224,$C171,'TL13'!$J$10:$J$224),0),
IF('TL13'!$B$229=K$3,SUMIF('TL13'!$C$238:$C$451,$C171,'TL13'!$J$238:$J$451),0),
IF('TL14'!$B$3=K$3,SUMIF('TL14'!$C$10:$C$224,$C171,'TL14'!$J$10:$J$224),0),
IF('TL14'!$B$229=K$3,SUMIF('TL14'!$C$238:$C$451,$C171,'TL14'!$J$238:$J$451),0),
IF('TL15'!$B$3=K$3,SUMIF('TL15'!$C$10:$C$224,$C171,'TL15'!$J$10:$J$224),0),
IF('TL15'!$B$229=K$3,SUMIF('TL15'!$C$238:$C$451,$C171,'TL15'!$J$238:$J$451),0),
IF('TL16'!$B$3=K$3,SUMIF('TL16'!$C$10:$C$224,$C171,'TL16'!$J$10:$J$224),0),
IF('TL16'!$B$229=K$3,SUMIF('TL16'!$C$238:$C$451,$C171,'TL16'!$J$238:$J$451),0),
IF('TL17'!$B$3=K$3,SUMIF('TL17'!$C$10:$C$224,$C171,'TL17'!$J$10:$J$224),0),
IF('TL17'!$B$229=K$3,SUMIF('TL17'!$C$238:$C$451,$C171,'TL17'!$J$238:$J$451),0),
IF('TL18'!$B$3=K$3,SUMIF('TL18'!$C$10:$C$224,$C171,'TL18'!$J$10:$J$224),0),
IF('TL18'!$B$229=K$3,SUMIF('TL18'!$C$238:$C$451,$C171,'TL18'!$J$238:$J$451),0),
IF('TL19'!$B$3=K$3,SUMIF('TL19'!$C$10:$C$224,$C171,'TL19'!$J$10:$J$224),0),
IF('TL19'!$B$229=K$3,SUMIF('TL19'!$C$238:$C$451,$C171,'TL19'!$J$238:$J$451),0)
),0)</f>
        <v>0</v>
      </c>
      <c r="L171" s="9">
        <f>IFERROR(SUM(
IF('TL01'!$B$3=L$3,SUMIF('TL01'!$C$10:$C$224,$C171,'TL01'!$J$10:$J$224),0),
IF('TL01'!$B$229=L$3,SUMIF('TL01'!$C$238:$C$451,$C171,'TL01'!$J$238:$J$451),0),
IF('TL02'!$B$3=L$3,SUMIF('TL02'!$C$10:$C$224,$C171,'TL02'!$J$10:$J$224),0),
IF('TL02'!$B$229=L$3,SUMIF('TL02'!$C$238:$C$451,$C171,'TL02'!$J$238:$J$451),0),
IF('TL03'!$B$3=L$3,SUMIF('TL03'!$C$10:$C$224,$C171,'TL03'!$J$10:$J$224),0),
IF('TL03'!$B$229=L$3,SUMIF('TL03'!$C$238:$C$451,$C171,'TL03'!$J$238:$J$451),0),
IF('TL04'!$B$3=L$3,SUMIF('TL04'!$C$10:$C$224,$C171,'TL04'!$J$10:$J$224),0),
IF('TL04'!$B$229=L$3,SUMIF('TL04'!$C$238:$C$451,$C171,'TL04'!$J$238:$J$451),0),
IF('TL05'!$B$3=L$3,SUMIF('TL05'!$C$10:$C$224,$C171,'TL05'!$J$10:$J$224),0),
IF('TL05'!$B$229=L$3,SUMIF('TL05'!$C$238:$C$451,$C171,'TL05'!$J$238:$J$451),0),
IF('TL06'!$B$3=L$3,SUMIF('TL06'!$C$10:$C$224,$C171,'TL06'!$J$10:$J$224),0),
IF('TL06'!$B$229=L$3,SUMIF('TL06'!$C$238:$C$451,$C171,'TL06'!$J$238:$J$451),0),
IF('TL07'!$B$3=L$3,SUMIF('TL07'!$C$10:$C$224,$C171,'TL07'!$J$10:$J$224),0),
IF('TL07'!$B$229=L$3,SUMIF('TL07'!$C$238:$C$451,$C171,'TL07'!$J$238:$J$451),0),
IF('TL08'!$B$3=L$3,SUMIF('TL08'!$C$10:$C$224,$C171,'TL08'!$J$10:$J$224),0),
IF('TL08'!$B$229=L$3,SUMIF('TL08'!$C$238:$C$451,$C171,'TL08'!$J$238:$J$451),0),
IF('TL09'!$B$3=L$3,SUMIF('TL09'!$C$10:$C$224,$C171,'TL09'!$J$10:$J$224),0),
IF('TL09'!$B$229=L$3,SUMIF('TL09'!$C$238:$C$451,$C171,'TL09'!$J$238:$J$451),0),
IF('TL10'!$B$3=L$3,SUMIF('TL10'!$C$10:$C$224,$C171,'TL10'!$J$10:$J$224),0),
IF('TL10'!$B$229=L$3,SUMIF('TL10'!$C$238:$C$451,$C171,'TL10'!$J$238:$J$451),0),
IF('TL11'!$B$3=L$3,SUMIF('TL11'!$C$10:$C$224,$C171,'TL11'!$J$10:$J$224),0),
IF('TL11'!$B$229=L$3,SUMIF('TL11'!$C$238:$C$451,$C171,'TL11'!$J$238:$J$451),0),
IF('TL12'!$B$3=L$3,SUMIF('TL12'!$C$10:$C$224,$C171,'TL12'!$J$10:$J$224),0),
IF('TL12'!$B$229=L$3,SUMIF('TL12'!$C$238:$C$451,$C171,'TL12'!$J$238:$J$451),0),
IF('TL13'!$B$3=L$3,SUMIF('TL13'!$C$10:$C$224,$C171,'TL13'!$J$10:$J$224),0),
IF('TL13'!$B$229=L$3,SUMIF('TL13'!$C$238:$C$451,$C171,'TL13'!$J$238:$J$451),0),
IF('TL14'!$B$3=L$3,SUMIF('TL14'!$C$10:$C$224,$C171,'TL14'!$J$10:$J$224),0),
IF('TL14'!$B$229=L$3,SUMIF('TL14'!$C$238:$C$451,$C171,'TL14'!$J$238:$J$451),0),
IF('TL15'!$B$3=L$3,SUMIF('TL15'!$C$10:$C$224,$C171,'TL15'!$J$10:$J$224),0),
IF('TL15'!$B$229=L$3,SUMIF('TL15'!$C$238:$C$451,$C171,'TL15'!$J$238:$J$451),0),
IF('TL16'!$B$3=L$3,SUMIF('TL16'!$C$10:$C$224,$C171,'TL16'!$J$10:$J$224),0),
IF('TL16'!$B$229=L$3,SUMIF('TL16'!$C$238:$C$451,$C171,'TL16'!$J$238:$J$451),0),
IF('TL17'!$B$3=L$3,SUMIF('TL17'!$C$10:$C$224,$C171,'TL17'!$J$10:$J$224),0),
IF('TL17'!$B$229=L$3,SUMIF('TL17'!$C$238:$C$451,$C171,'TL17'!$J$238:$J$451),0),
IF('TL18'!$B$3=L$3,SUMIF('TL18'!$C$10:$C$224,$C171,'TL18'!$J$10:$J$224),0),
IF('TL18'!$B$229=L$3,SUMIF('TL18'!$C$238:$C$451,$C171,'TL18'!$J$238:$J$451),0),
IF('TL19'!$B$3=L$3,SUMIF('TL19'!$C$10:$C$224,$C171,'TL19'!$J$10:$J$224),0),
IF('TL19'!$B$229=L$3,SUMIF('TL19'!$C$238:$C$451,$C171,'TL19'!$J$238:$J$451),0)
),0)</f>
        <v>0</v>
      </c>
      <c r="M171" s="9">
        <f>IFERROR(SUM(
IF('TL01'!$B$3=M$3,SUMIF('TL01'!$C$10:$C$224,$C171,'TL01'!$J$10:$J$224),0),
IF('TL01'!$B$229=M$3,SUMIF('TL01'!$C$238:$C$451,$C171,'TL01'!$J$238:$J$451),0),
IF('TL02'!$B$3=M$3,SUMIF('TL02'!$C$10:$C$224,$C171,'TL02'!$J$10:$J$224),0),
IF('TL02'!$B$229=M$3,SUMIF('TL02'!$C$238:$C$451,$C171,'TL02'!$J$238:$J$451),0),
IF('TL03'!$B$3=M$3,SUMIF('TL03'!$C$10:$C$224,$C171,'TL03'!$J$10:$J$224),0),
IF('TL03'!$B$229=M$3,SUMIF('TL03'!$C$238:$C$451,$C171,'TL03'!$J$238:$J$451),0),
IF('TL04'!$B$3=M$3,SUMIF('TL04'!$C$10:$C$224,$C171,'TL04'!$J$10:$J$224),0),
IF('TL04'!$B$229=M$3,SUMIF('TL04'!$C$238:$C$451,$C171,'TL04'!$J$238:$J$451),0),
IF('TL05'!$B$3=M$3,SUMIF('TL05'!$C$10:$C$224,$C171,'TL05'!$J$10:$J$224),0),
IF('TL05'!$B$229=M$3,SUMIF('TL05'!$C$238:$C$451,$C171,'TL05'!$J$238:$J$451),0),
IF('TL06'!$B$3=M$3,SUMIF('TL06'!$C$10:$C$224,$C171,'TL06'!$J$10:$J$224),0),
IF('TL06'!$B$229=M$3,SUMIF('TL06'!$C$238:$C$451,$C171,'TL06'!$J$238:$J$451),0),
IF('TL07'!$B$3=M$3,SUMIF('TL07'!$C$10:$C$224,$C171,'TL07'!$J$10:$J$224),0),
IF('TL07'!$B$229=M$3,SUMIF('TL07'!$C$238:$C$451,$C171,'TL07'!$J$238:$J$451),0),
IF('TL08'!$B$3=M$3,SUMIF('TL08'!$C$10:$C$224,$C171,'TL08'!$J$10:$J$224),0),
IF('TL08'!$B$229=M$3,SUMIF('TL08'!$C$238:$C$451,$C171,'TL08'!$J$238:$J$451),0),
IF('TL09'!$B$3=M$3,SUMIF('TL09'!$C$10:$C$224,$C171,'TL09'!$J$10:$J$224),0),
IF('TL09'!$B$229=M$3,SUMIF('TL09'!$C$238:$C$451,$C171,'TL09'!$J$238:$J$451),0),
IF('TL10'!$B$3=M$3,SUMIF('TL10'!$C$10:$C$224,$C171,'TL10'!$J$10:$J$224),0),
IF('TL10'!$B$229=M$3,SUMIF('TL10'!$C$238:$C$451,$C171,'TL10'!$J$238:$J$451),0),
IF('TL11'!$B$3=M$3,SUMIF('TL11'!$C$10:$C$224,$C171,'TL11'!$J$10:$J$224),0),
IF('TL11'!$B$229=M$3,SUMIF('TL11'!$C$238:$C$451,$C171,'TL11'!$J$238:$J$451),0),
IF('TL12'!$B$3=M$3,SUMIF('TL12'!$C$10:$C$224,$C171,'TL12'!$J$10:$J$224),0),
IF('TL12'!$B$229=M$3,SUMIF('TL12'!$C$238:$C$451,$C171,'TL12'!$J$238:$J$451),0),
IF('TL13'!$B$3=M$3,SUMIF('TL13'!$C$10:$C$224,$C171,'TL13'!$J$10:$J$224),0),
IF('TL13'!$B$229=M$3,SUMIF('TL13'!$C$238:$C$451,$C171,'TL13'!$J$238:$J$451),0),
IF('TL14'!$B$3=M$3,SUMIF('TL14'!$C$10:$C$224,$C171,'TL14'!$J$10:$J$224),0),
IF('TL14'!$B$229=M$3,SUMIF('TL14'!$C$238:$C$451,$C171,'TL14'!$J$238:$J$451),0),
IF('TL15'!$B$3=M$3,SUMIF('TL15'!$C$10:$C$224,$C171,'TL15'!$J$10:$J$224),0),
IF('TL15'!$B$229=M$3,SUMIF('TL15'!$C$238:$C$451,$C171,'TL15'!$J$238:$J$451),0),
IF('TL16'!$B$3=M$3,SUMIF('TL16'!$C$10:$C$224,$C171,'TL16'!$J$10:$J$224),0),
IF('TL16'!$B$229=M$3,SUMIF('TL16'!$C$238:$C$451,$C171,'TL16'!$J$238:$J$451),0),
IF('TL17'!$B$3=M$3,SUMIF('TL17'!$C$10:$C$224,$C171,'TL17'!$J$10:$J$224),0),
IF('TL17'!$B$229=M$3,SUMIF('TL17'!$C$238:$C$451,$C171,'TL17'!$J$238:$J$451),0),
IF('TL18'!$B$3=M$3,SUMIF('TL18'!$C$10:$C$224,$C171,'TL18'!$J$10:$J$224),0),
IF('TL18'!$B$229=M$3,SUMIF('TL18'!$C$238:$C$451,$C171,'TL18'!$J$238:$J$451),0),
IF('TL19'!$B$3=M$3,SUMIF('TL19'!$C$10:$C$224,$C171,'TL19'!$J$10:$J$224),0),
IF('TL19'!$B$229=M$3,SUMIF('TL19'!$C$238:$C$451,$C171,'TL19'!$J$238:$J$451),0)
),0)</f>
        <v>0</v>
      </c>
      <c r="N171" s="9">
        <f>IFERROR(SUM(
IF('TL01'!$B$3=N$3,SUMIF('TL01'!$C$10:$C$224,$C171,'TL01'!$J$10:$J$224),0),
IF('TL01'!$B$229=N$3,SUMIF('TL01'!$C$238:$C$451,$C171,'TL01'!$J$238:$J$451),0),
IF('TL02'!$B$3=N$3,SUMIF('TL02'!$C$10:$C$224,$C171,'TL02'!$J$10:$J$224),0),
IF('TL02'!$B$229=N$3,SUMIF('TL02'!$C$238:$C$451,$C171,'TL02'!$J$238:$J$451),0),
IF('TL03'!$B$3=N$3,SUMIF('TL03'!$C$10:$C$224,$C171,'TL03'!$J$10:$J$224),0),
IF('TL03'!$B$229=N$3,SUMIF('TL03'!$C$238:$C$451,$C171,'TL03'!$J$238:$J$451),0),
IF('TL04'!$B$3=N$3,SUMIF('TL04'!$C$10:$C$224,$C171,'TL04'!$J$10:$J$224),0),
IF('TL04'!$B$229=N$3,SUMIF('TL04'!$C$238:$C$451,$C171,'TL04'!$J$238:$J$451),0),
IF('TL05'!$B$3=N$3,SUMIF('TL05'!$C$10:$C$224,$C171,'TL05'!$J$10:$J$224),0),
IF('TL05'!$B$229=N$3,SUMIF('TL05'!$C$238:$C$451,$C171,'TL05'!$J$238:$J$451),0),
IF('TL06'!$B$3=N$3,SUMIF('TL06'!$C$10:$C$224,$C171,'TL06'!$J$10:$J$224),0),
IF('TL06'!$B$229=N$3,SUMIF('TL06'!$C$238:$C$451,$C171,'TL06'!$J$238:$J$451),0),
IF('TL07'!$B$3=N$3,SUMIF('TL07'!$C$10:$C$224,$C171,'TL07'!$J$10:$J$224),0),
IF('TL07'!$B$229=N$3,SUMIF('TL07'!$C$238:$C$451,$C171,'TL07'!$J$238:$J$451),0),
IF('TL08'!$B$3=N$3,SUMIF('TL08'!$C$10:$C$224,$C171,'TL08'!$J$10:$J$224),0),
IF('TL08'!$B$229=N$3,SUMIF('TL08'!$C$238:$C$451,$C171,'TL08'!$J$238:$J$451),0),
IF('TL09'!$B$3=N$3,SUMIF('TL09'!$C$10:$C$224,$C171,'TL09'!$J$10:$J$224),0),
IF('TL09'!$B$229=N$3,SUMIF('TL09'!$C$238:$C$451,$C171,'TL09'!$J$238:$J$451),0),
IF('TL10'!$B$3=N$3,SUMIF('TL10'!$C$10:$C$224,$C171,'TL10'!$J$10:$J$224),0),
IF('TL10'!$B$229=N$3,SUMIF('TL10'!$C$238:$C$451,$C171,'TL10'!$J$238:$J$451),0),
IF('TL11'!$B$3=N$3,SUMIF('TL11'!$C$10:$C$224,$C171,'TL11'!$J$10:$J$224),0),
IF('TL11'!$B$229=N$3,SUMIF('TL11'!$C$238:$C$451,$C171,'TL11'!$J$238:$J$451),0),
IF('TL12'!$B$3=N$3,SUMIF('TL12'!$C$10:$C$224,$C171,'TL12'!$J$10:$J$224),0),
IF('TL12'!$B$229=N$3,SUMIF('TL12'!$C$238:$C$451,$C171,'TL12'!$J$238:$J$451),0),
IF('TL13'!$B$3=N$3,SUMIF('TL13'!$C$10:$C$224,$C171,'TL13'!$J$10:$J$224),0),
IF('TL13'!$B$229=N$3,SUMIF('TL13'!$C$238:$C$451,$C171,'TL13'!$J$238:$J$451),0),
IF('TL14'!$B$3=N$3,SUMIF('TL14'!$C$10:$C$224,$C171,'TL14'!$J$10:$J$224),0),
IF('TL14'!$B$229=N$3,SUMIF('TL14'!$C$238:$C$451,$C171,'TL14'!$J$238:$J$451),0),
IF('TL15'!$B$3=N$3,SUMIF('TL15'!$C$10:$C$224,$C171,'TL15'!$J$10:$J$224),0),
IF('TL15'!$B$229=N$3,SUMIF('TL15'!$C$238:$C$451,$C171,'TL15'!$J$238:$J$451),0),
IF('TL16'!$B$3=N$3,SUMIF('TL16'!$C$10:$C$224,$C171,'TL16'!$J$10:$J$224),0),
IF('TL16'!$B$229=N$3,SUMIF('TL16'!$C$238:$C$451,$C171,'TL16'!$J$238:$J$451),0),
IF('TL17'!$B$3=N$3,SUMIF('TL17'!$C$10:$C$224,$C171,'TL17'!$J$10:$J$224),0),
IF('TL17'!$B$229=N$3,SUMIF('TL17'!$C$238:$C$451,$C171,'TL17'!$J$238:$J$451),0),
IF('TL18'!$B$3=N$3,SUMIF('TL18'!$C$10:$C$224,$C171,'TL18'!$J$10:$J$224),0),
IF('TL18'!$B$229=N$3,SUMIF('TL18'!$C$238:$C$451,$C171,'TL18'!$J$238:$J$451),0),
IF('TL19'!$B$3=N$3,SUMIF('TL19'!$C$10:$C$224,$C171,'TL19'!$J$10:$J$224),0),
IF('TL19'!$B$229=N$3,SUMIF('TL19'!$C$238:$C$451,$C171,'TL19'!$J$238:$J$451),0)
),0)</f>
        <v>0</v>
      </c>
      <c r="O171" s="9">
        <f>IFERROR(SUM(
IF('TL01'!$B$3=O$3,SUMIF('TL01'!$C$10:$C$224,$C171,'TL01'!$J$10:$J$224),0),
IF('TL01'!$B$229=O$3,SUMIF('TL01'!$C$238:$C$451,$C171,'TL01'!$J$238:$J$451),0),
IF('TL02'!$B$3=O$3,SUMIF('TL02'!$C$10:$C$224,$C171,'TL02'!$J$10:$J$224),0),
IF('TL02'!$B$229=O$3,SUMIF('TL02'!$C$238:$C$451,$C171,'TL02'!$J$238:$J$451),0),
IF('TL03'!$B$3=O$3,SUMIF('TL03'!$C$10:$C$224,$C171,'TL03'!$J$10:$J$224),0),
IF('TL03'!$B$229=O$3,SUMIF('TL03'!$C$238:$C$451,$C171,'TL03'!$J$238:$J$451),0),
IF('TL04'!$B$3=O$3,SUMIF('TL04'!$C$10:$C$224,$C171,'TL04'!$J$10:$J$224),0),
IF('TL04'!$B$229=O$3,SUMIF('TL04'!$C$238:$C$451,$C171,'TL04'!$J$238:$J$451),0),
IF('TL05'!$B$3=O$3,SUMIF('TL05'!$C$10:$C$224,$C171,'TL05'!$J$10:$J$224),0),
IF('TL05'!$B$229=O$3,SUMIF('TL05'!$C$238:$C$451,$C171,'TL05'!$J$238:$J$451),0),
IF('TL06'!$B$3=O$3,SUMIF('TL06'!$C$10:$C$224,$C171,'TL06'!$J$10:$J$224),0),
IF('TL06'!$B$229=O$3,SUMIF('TL06'!$C$238:$C$451,$C171,'TL06'!$J$238:$J$451),0),
IF('TL07'!$B$3=O$3,SUMIF('TL07'!$C$10:$C$224,$C171,'TL07'!$J$10:$J$224),0),
IF('TL07'!$B$229=O$3,SUMIF('TL07'!$C$238:$C$451,$C171,'TL07'!$J$238:$J$451),0),
IF('TL08'!$B$3=O$3,SUMIF('TL08'!$C$10:$C$224,$C171,'TL08'!$J$10:$J$224),0),
IF('TL08'!$B$229=O$3,SUMIF('TL08'!$C$238:$C$451,$C171,'TL08'!$J$238:$J$451),0),
IF('TL09'!$B$3=O$3,SUMIF('TL09'!$C$10:$C$224,$C171,'TL09'!$J$10:$J$224),0),
IF('TL09'!$B$229=O$3,SUMIF('TL09'!$C$238:$C$451,$C171,'TL09'!$J$238:$J$451),0),
IF('TL10'!$B$3=O$3,SUMIF('TL10'!$C$10:$C$224,$C171,'TL10'!$J$10:$J$224),0),
IF('TL10'!$B$229=O$3,SUMIF('TL10'!$C$238:$C$451,$C171,'TL10'!$J$238:$J$451),0),
IF('TL11'!$B$3=O$3,SUMIF('TL11'!$C$10:$C$224,$C171,'TL11'!$J$10:$J$224),0),
IF('TL11'!$B$229=O$3,SUMIF('TL11'!$C$238:$C$451,$C171,'TL11'!$J$238:$J$451),0),
IF('TL12'!$B$3=O$3,SUMIF('TL12'!$C$10:$C$224,$C171,'TL12'!$J$10:$J$224),0),
IF('TL12'!$B$229=O$3,SUMIF('TL12'!$C$238:$C$451,$C171,'TL12'!$J$238:$J$451),0),
IF('TL13'!$B$3=O$3,SUMIF('TL13'!$C$10:$C$224,$C171,'TL13'!$J$10:$J$224),0),
IF('TL13'!$B$229=O$3,SUMIF('TL13'!$C$238:$C$451,$C171,'TL13'!$J$238:$J$451),0),
IF('TL14'!$B$3=O$3,SUMIF('TL14'!$C$10:$C$224,$C171,'TL14'!$J$10:$J$224),0),
IF('TL14'!$B$229=O$3,SUMIF('TL14'!$C$238:$C$451,$C171,'TL14'!$J$238:$J$451),0),
IF('TL15'!$B$3=O$3,SUMIF('TL15'!$C$10:$C$224,$C171,'TL15'!$J$10:$J$224),0),
IF('TL15'!$B$229=O$3,SUMIF('TL15'!$C$238:$C$451,$C171,'TL15'!$J$238:$J$451),0),
IF('TL16'!$B$3=O$3,SUMIF('TL16'!$C$10:$C$224,$C171,'TL16'!$J$10:$J$224),0),
IF('TL16'!$B$229=O$3,SUMIF('TL16'!$C$238:$C$451,$C171,'TL16'!$J$238:$J$451),0),
IF('TL17'!$B$3=O$3,SUMIF('TL17'!$C$10:$C$224,$C171,'TL17'!$J$10:$J$224),0),
IF('TL17'!$B$229=O$3,SUMIF('TL17'!$C$238:$C$451,$C171,'TL17'!$J$238:$J$451),0),
IF('TL18'!$B$3=O$3,SUMIF('TL18'!$C$10:$C$224,$C171,'TL18'!$J$10:$J$224),0),
IF('TL18'!$B$229=O$3,SUMIF('TL18'!$C$238:$C$451,$C171,'TL18'!$J$238:$J$451),0),
IF('TL19'!$B$3=O$3,SUMIF('TL19'!$C$10:$C$224,$C171,'TL19'!$J$10:$J$224),0),
IF('TL19'!$B$229=O$3,SUMIF('TL19'!$C$238:$C$451,$C171,'TL19'!$J$238:$J$451),0)
),0)</f>
        <v>0</v>
      </c>
      <c r="P171" s="9">
        <f>IFERROR(SUM(
IF('TL01'!$B$3=P$3,SUMIF('TL01'!$C$10:$C$224,$C171,'TL01'!$J$10:$J$224),0),
IF('TL01'!$B$229=P$3,SUMIF('TL01'!$C$238:$C$451,$C171,'TL01'!$J$238:$J$451),0),
IF('TL02'!$B$3=P$3,SUMIF('TL02'!$C$10:$C$224,$C171,'TL02'!$J$10:$J$224),0),
IF('TL02'!$B$229=P$3,SUMIF('TL02'!$C$238:$C$451,$C171,'TL02'!$J$238:$J$451),0),
IF('TL03'!$B$3=P$3,SUMIF('TL03'!$C$10:$C$224,$C171,'TL03'!$J$10:$J$224),0),
IF('TL03'!$B$229=P$3,SUMIF('TL03'!$C$238:$C$451,$C171,'TL03'!$J$238:$J$451),0),
IF('TL04'!$B$3=P$3,SUMIF('TL04'!$C$10:$C$224,$C171,'TL04'!$J$10:$J$224),0),
IF('TL04'!$B$229=P$3,SUMIF('TL04'!$C$238:$C$451,$C171,'TL04'!$J$238:$J$451),0),
IF('TL05'!$B$3=P$3,SUMIF('TL05'!$C$10:$C$224,$C171,'TL05'!$J$10:$J$224),0),
IF('TL05'!$B$229=P$3,SUMIF('TL05'!$C$238:$C$451,$C171,'TL05'!$J$238:$J$451),0),
IF('TL06'!$B$3=P$3,SUMIF('TL06'!$C$10:$C$224,$C171,'TL06'!$J$10:$J$224),0),
IF('TL06'!$B$229=P$3,SUMIF('TL06'!$C$238:$C$451,$C171,'TL06'!$J$238:$J$451),0),
IF('TL07'!$B$3=P$3,SUMIF('TL07'!$C$10:$C$224,$C171,'TL07'!$J$10:$J$224),0),
IF('TL07'!$B$229=P$3,SUMIF('TL07'!$C$238:$C$451,$C171,'TL07'!$J$238:$J$451),0),
IF('TL08'!$B$3=P$3,SUMIF('TL08'!$C$10:$C$224,$C171,'TL08'!$J$10:$J$224),0),
IF('TL08'!$B$229=P$3,SUMIF('TL08'!$C$238:$C$451,$C171,'TL08'!$J$238:$J$451),0),
IF('TL09'!$B$3=P$3,SUMIF('TL09'!$C$10:$C$224,$C171,'TL09'!$J$10:$J$224),0),
IF('TL09'!$B$229=P$3,SUMIF('TL09'!$C$238:$C$451,$C171,'TL09'!$J$238:$J$451),0),
IF('TL10'!$B$3=P$3,SUMIF('TL10'!$C$10:$C$224,$C171,'TL10'!$J$10:$J$224),0),
IF('TL10'!$B$229=P$3,SUMIF('TL10'!$C$238:$C$451,$C171,'TL10'!$J$238:$J$451),0),
IF('TL11'!$B$3=P$3,SUMIF('TL11'!$C$10:$C$224,$C171,'TL11'!$J$10:$J$224),0),
IF('TL11'!$B$229=P$3,SUMIF('TL11'!$C$238:$C$451,$C171,'TL11'!$J$238:$J$451),0),
IF('TL12'!$B$3=P$3,SUMIF('TL12'!$C$10:$C$224,$C171,'TL12'!$J$10:$J$224),0),
IF('TL12'!$B$229=P$3,SUMIF('TL12'!$C$238:$C$451,$C171,'TL12'!$J$238:$J$451),0),
IF('TL13'!$B$3=P$3,SUMIF('TL13'!$C$10:$C$224,$C171,'TL13'!$J$10:$J$224),0),
IF('TL13'!$B$229=P$3,SUMIF('TL13'!$C$238:$C$451,$C171,'TL13'!$J$238:$J$451),0),
IF('TL14'!$B$3=P$3,SUMIF('TL14'!$C$10:$C$224,$C171,'TL14'!$J$10:$J$224),0),
IF('TL14'!$B$229=P$3,SUMIF('TL14'!$C$238:$C$451,$C171,'TL14'!$J$238:$J$451),0),
IF('TL15'!$B$3=P$3,SUMIF('TL15'!$C$10:$C$224,$C171,'TL15'!$J$10:$J$224),0),
IF('TL15'!$B$229=P$3,SUMIF('TL15'!$C$238:$C$451,$C171,'TL15'!$J$238:$J$451),0),
IF('TL16'!$B$3=P$3,SUMIF('TL16'!$C$10:$C$224,$C171,'TL16'!$J$10:$J$224),0),
IF('TL16'!$B$229=P$3,SUMIF('TL16'!$C$238:$C$451,$C171,'TL16'!$J$238:$J$451),0),
IF('TL17'!$B$3=P$3,SUMIF('TL17'!$C$10:$C$224,$C171,'TL17'!$J$10:$J$224),0),
IF('TL17'!$B$229=P$3,SUMIF('TL17'!$C$238:$C$451,$C171,'TL17'!$J$238:$J$451),0),
IF('TL18'!$B$3=P$3,SUMIF('TL18'!$C$10:$C$224,$C171,'TL18'!$J$10:$J$224),0),
IF('TL18'!$B$229=P$3,SUMIF('TL18'!$C$238:$C$451,$C171,'TL18'!$J$238:$J$451),0),
IF('TL19'!$B$3=P$3,SUMIF('TL19'!$C$10:$C$224,$C171,'TL19'!$J$10:$J$224),0),
IF('TL19'!$B$229=P$3,SUMIF('TL19'!$C$238:$C$451,$C171,'TL19'!$J$238:$J$451),0)
),0)</f>
        <v>0</v>
      </c>
      <c r="Q171" s="9">
        <f>IFERROR(SUM(
IF('TL01'!$B$3=Q$3,SUMIF('TL01'!$C$10:$C$224,$C171,'TL01'!$J$10:$J$224),0),
IF('TL01'!$B$229=Q$3,SUMIF('TL01'!$C$238:$C$451,$C171,'TL01'!$J$238:$J$451),0),
IF('TL02'!$B$3=Q$3,SUMIF('TL02'!$C$10:$C$224,$C171,'TL02'!$J$10:$J$224),0),
IF('TL02'!$B$229=Q$3,SUMIF('TL02'!$C$238:$C$451,$C171,'TL02'!$J$238:$J$451),0),
IF('TL03'!$B$3=Q$3,SUMIF('TL03'!$C$10:$C$224,$C171,'TL03'!$J$10:$J$224),0),
IF('TL03'!$B$229=Q$3,SUMIF('TL03'!$C$238:$C$451,$C171,'TL03'!$J$238:$J$451),0),
IF('TL04'!$B$3=Q$3,SUMIF('TL04'!$C$10:$C$224,$C171,'TL04'!$J$10:$J$224),0),
IF('TL04'!$B$229=Q$3,SUMIF('TL04'!$C$238:$C$451,$C171,'TL04'!$J$238:$J$451),0),
IF('TL05'!$B$3=Q$3,SUMIF('TL05'!$C$10:$C$224,$C171,'TL05'!$J$10:$J$224),0),
IF('TL05'!$B$229=Q$3,SUMIF('TL05'!$C$238:$C$451,$C171,'TL05'!$J$238:$J$451),0),
IF('TL06'!$B$3=Q$3,SUMIF('TL06'!$C$10:$C$224,$C171,'TL06'!$J$10:$J$224),0),
IF('TL06'!$B$229=Q$3,SUMIF('TL06'!$C$238:$C$451,$C171,'TL06'!$J$238:$J$451),0),
IF('TL07'!$B$3=Q$3,SUMIF('TL07'!$C$10:$C$224,$C171,'TL07'!$J$10:$J$224),0),
IF('TL07'!$B$229=Q$3,SUMIF('TL07'!$C$238:$C$451,$C171,'TL07'!$J$238:$J$451),0),
IF('TL08'!$B$3=Q$3,SUMIF('TL08'!$C$10:$C$224,$C171,'TL08'!$J$10:$J$224),0),
IF('TL08'!$B$229=Q$3,SUMIF('TL08'!$C$238:$C$451,$C171,'TL08'!$J$238:$J$451),0),
IF('TL09'!$B$3=Q$3,SUMIF('TL09'!$C$10:$C$224,$C171,'TL09'!$J$10:$J$224),0),
IF('TL09'!$B$229=Q$3,SUMIF('TL09'!$C$238:$C$451,$C171,'TL09'!$J$238:$J$451),0),
IF('TL10'!$B$3=Q$3,SUMIF('TL10'!$C$10:$C$224,$C171,'TL10'!$J$10:$J$224),0),
IF('TL10'!$B$229=Q$3,SUMIF('TL10'!$C$238:$C$451,$C171,'TL10'!$J$238:$J$451),0),
IF('TL11'!$B$3=Q$3,SUMIF('TL11'!$C$10:$C$224,$C171,'TL11'!$J$10:$J$224),0),
IF('TL11'!$B$229=Q$3,SUMIF('TL11'!$C$238:$C$451,$C171,'TL11'!$J$238:$J$451),0),
IF('TL12'!$B$3=Q$3,SUMIF('TL12'!$C$10:$C$224,$C171,'TL12'!$J$10:$J$224),0),
IF('TL12'!$B$229=Q$3,SUMIF('TL12'!$C$238:$C$451,$C171,'TL12'!$J$238:$J$451),0),
IF('TL13'!$B$3=Q$3,SUMIF('TL13'!$C$10:$C$224,$C171,'TL13'!$J$10:$J$224),0),
IF('TL13'!$B$229=Q$3,SUMIF('TL13'!$C$238:$C$451,$C171,'TL13'!$J$238:$J$451),0),
IF('TL14'!$B$3=Q$3,SUMIF('TL14'!$C$10:$C$224,$C171,'TL14'!$J$10:$J$224),0),
IF('TL14'!$B$229=Q$3,SUMIF('TL14'!$C$238:$C$451,$C171,'TL14'!$J$238:$J$451),0),
IF('TL15'!$B$3=Q$3,SUMIF('TL15'!$C$10:$C$224,$C171,'TL15'!$J$10:$J$224),0),
IF('TL15'!$B$229=Q$3,SUMIF('TL15'!$C$238:$C$451,$C171,'TL15'!$J$238:$J$451),0),
IF('TL16'!$B$3=Q$3,SUMIF('TL16'!$C$10:$C$224,$C171,'TL16'!$J$10:$J$224),0),
IF('TL16'!$B$229=Q$3,SUMIF('TL16'!$C$238:$C$451,$C171,'TL16'!$J$238:$J$451),0),
IF('TL17'!$B$3=Q$3,SUMIF('TL17'!$C$10:$C$224,$C171,'TL17'!$J$10:$J$224),0),
IF('TL17'!$B$229=Q$3,SUMIF('TL17'!$C$238:$C$451,$C171,'TL17'!$J$238:$J$451),0),
IF('TL18'!$B$3=Q$3,SUMIF('TL18'!$C$10:$C$224,$C171,'TL18'!$J$10:$J$224),0),
IF('TL18'!$B$229=Q$3,SUMIF('TL18'!$C$238:$C$451,$C171,'TL18'!$J$238:$J$451),0),
IF('TL19'!$B$3=Q$3,SUMIF('TL19'!$C$10:$C$224,$C171,'TL19'!$J$10:$J$224),0),
IF('TL19'!$B$229=Q$3,SUMIF('TL19'!$C$238:$C$451,$C171,'TL19'!$J$238:$J$451),0)
),0)</f>
        <v>0</v>
      </c>
      <c r="R171" s="9">
        <f>IFERROR(
SUM(
SUMIF('TL01'!C:C,C171,'TL01'!J:J),
SUMIF('TL02'!C:C,C171,'TL02'!J:J),
SUMIF('TL03'!C:C,C171,'TL03'!J:J),
SUMIF('TL04'!C:C,C171,'TL04'!J:J),
SUMIF('TL05'!C:C,C171,'TL05'!J:J),
SUMIF('TL06'!C:C,C171,'TL06'!J:J),
SUMIF('TL07'!C:C,C171,'TL07'!J:J),
SUMIF('TL08'!C:C,C171,'TL08'!J:J),
SUMIF('TL09'!C:C,C171,'TL09'!J:J),
SUMIF('TL10'!C:C,C171,'TL10'!J:J),
SUMIF('TL11'!C:C,C171,'TL11'!J:J),
SUMIF('TL12'!C:C,C171,'TL12'!J:J),
SUMIF('TL13'!C:C,C171,'TL13'!J:J),
SUMIF('TL14'!C:C,C171,'TL14'!J:J),
SUMIF('TL15'!C:C,C171,'TL15'!J:J),
SUMIF('TL16'!C:C,C171,'TL16'!J:J),
SUMIF('TL17'!C:C,C171,'TL17'!J:J),
SUMIF('TL18'!C:C,C171,'TL18'!J:J),SUMIF('TL19'!C:C,C171,'TL19'!J:J))
,0)</f>
        <v>0</v>
      </c>
      <c r="S171" s="17">
        <f>IFERROR(__xludf.DUMMYFUNCTION("IFERROR(VLOOKUP(C171,
IMPORTRANGE(""1wULbzX32WdYsx-lj2U3uUNBBe2INVIRDtcK0d-Dvl90"",
""26-27!C:G""),
5,
FALSE),
"""")"),43.65408)</f>
        <v>43.65408</v>
      </c>
      <c r="T171" s="9"/>
      <c r="U171" s="92">
        <f t="shared" si="2"/>
        <v>0</v>
      </c>
      <c r="V171" s="93">
        <f t="shared" si="3"/>
        <v>0</v>
      </c>
    </row>
    <row r="172" ht="15.75" hidden="1" customHeight="1">
      <c r="A172" s="87" t="s">
        <v>340</v>
      </c>
      <c r="B172" s="88" t="s">
        <v>2</v>
      </c>
      <c r="C172" s="89" t="s">
        <v>749</v>
      </c>
      <c r="D172" s="89" t="s">
        <v>750</v>
      </c>
      <c r="E172" s="89" t="s">
        <v>751</v>
      </c>
      <c r="F172" s="4" t="s">
        <v>392</v>
      </c>
      <c r="G172" s="90" t="str">
        <f t="shared" si="4"/>
        <v>📄 Ver bula</v>
      </c>
      <c r="H172" s="9">
        <f>IFERROR(__xludf.DUMMYFUNCTION("IFERROR(VLOOKUP(C172,
IMPORTRANGE(""1wULbzX32WdYsx-lj2U3uUNBBe2INVIRDtcK0d-Dvl90"",
""26-27!C:K""),
8,
FALSE),
"""")"),0.4)</f>
        <v>0.4</v>
      </c>
      <c r="I172" s="91" t="s">
        <v>344</v>
      </c>
      <c r="J172" s="9">
        <f>IFERROR(SUM(
IF('TL01'!$B$3=J$3,SUMIF('TL01'!$C$10:$C$224,$C172,'TL01'!$J$10:$J$224),0),
IF('TL01'!$B$229=J$3,SUMIF('TL01'!$C$238:$C$451,$C172,'TL01'!$J$238:$J$451),0),
IF('TL02'!$B$3=J$3,SUMIF('TL02'!$C$10:$C$224,$C172,'TL02'!$J$10:$J$224),0),
IF('TL02'!$B$229=J$3,SUMIF('TL02'!$C$238:$C$451,$C172,'TL02'!$J$238:$J$451),0),
IF('TL03'!$B$3=J$3,SUMIF('TL03'!$C$10:$C$224,$C172,'TL03'!$J$10:$J$224),0),
IF('TL03'!$B$229=J$3,SUMIF('TL03'!$C$238:$C$451,$C172,'TL03'!$J$238:$J$451),0),
IF('TL04'!$B$3=J$3,SUMIF('TL04'!$C$10:$C$224,$C172,'TL04'!$J$10:$J$224),0),
IF('TL04'!$B$229=J$3,SUMIF('TL04'!$C$238:$C$451,$C172,'TL04'!$J$238:$J$451),0),
IF('TL05'!$B$3=J$3,SUMIF('TL05'!$C$10:$C$224,$C172,'TL05'!$J$10:$J$224),0),
IF('TL05'!$B$229=J$3,SUMIF('TL05'!$C$238:$C$451,$C172,'TL05'!$J$238:$J$451),0),
IF('TL06'!$B$3=J$3,SUMIF('TL06'!$C$10:$C$224,$C172,'TL06'!$J$10:$J$224),0),
IF('TL06'!$B$229=J$3,SUMIF('TL06'!$C$238:$C$451,$C172,'TL06'!$J$238:$J$451),0),
IF('TL07'!$B$3=J$3,SUMIF('TL07'!$C$10:$C$224,$C172,'TL07'!$J$10:$J$224),0),
IF('TL07'!$B$229=J$3,SUMIF('TL07'!$C$238:$C$451,$C172,'TL07'!$J$238:$J$451),0),
IF('TL08'!$B$3=J$3,SUMIF('TL08'!$C$10:$C$224,$C172,'TL08'!$J$10:$J$224),0),
IF('TL08'!$B$229=J$3,SUMIF('TL08'!$C$238:$C$451,$C172,'TL08'!$J$238:$J$451),0),
IF('TL09'!$B$3=J$3,SUMIF('TL09'!$C$10:$C$224,$C172,'TL09'!$J$10:$J$224),0),
IF('TL09'!$B$229=J$3,SUMIF('TL09'!$C$238:$C$451,$C172,'TL09'!$J$238:$J$451),0),
IF('TL10'!$B$3=J$3,SUMIF('TL10'!$C$10:$C$224,$C172,'TL10'!$J$10:$J$224),0),
IF('TL10'!$B$229=J$3,SUMIF('TL10'!$C$238:$C$451,$C172,'TL10'!$J$238:$J$451),0),
IF('TL11'!$B$3=J$3,SUMIF('TL11'!$C$10:$C$224,$C172,'TL11'!$J$10:$J$224),0),
IF('TL11'!$B$229=J$3,SUMIF('TL11'!$C$238:$C$451,$C172,'TL11'!$J$238:$J$451),0),
IF('TL12'!$B$3=J$3,SUMIF('TL12'!$C$10:$C$224,$C172,'TL12'!$J$10:$J$224),0),
IF('TL12'!$B$229=J$3,SUMIF('TL12'!$C$238:$C$451,$C172,'TL12'!$J$238:$J$451),0),
IF('TL13'!$B$3=J$3,SUMIF('TL13'!$C$10:$C$224,$C172,'TL13'!$J$10:$J$224),0),
IF('TL13'!$B$229=J$3,SUMIF('TL13'!$C$238:$C$451,$C172,'TL13'!$J$238:$J$451),0),
IF('TL14'!$B$3=J$3,SUMIF('TL14'!$C$10:$C$224,$C172,'TL14'!$J$10:$J$224),0),
IF('TL14'!$B$229=J$3,SUMIF('TL14'!$C$238:$C$451,$C172,'TL14'!$J$238:$J$451),0),
IF('TL15'!$B$3=J$3,SUMIF('TL15'!$C$10:$C$224,$C172,'TL15'!$J$10:$J$224),0),
IF('TL15'!$B$229=J$3,SUMIF('TL15'!$C$238:$C$451,$C172,'TL15'!$J$238:$J$451),0),
IF('TL16'!$B$3=J$3,SUMIF('TL16'!$C$10:$C$224,$C172,'TL16'!$J$10:$J$224),0),
IF('TL16'!$B$229=J$3,SUMIF('TL16'!$C$238:$C$451,$C172,'TL16'!$J$238:$J$451),0),
IF('TL17'!$B$3=J$3,SUMIF('TL17'!$C$10:$C$224,$C172,'TL17'!$J$10:$J$224),0),
IF('TL17'!$B$229=J$3,SUMIF('TL17'!$C$238:$C$451,$C172,'TL17'!$J$238:$J$451),0),
IF('TL18'!$B$3=J$3,SUMIF('TL18'!$C$10:$C$224,$C172,'TL18'!$J$10:$J$224),0),
IF('TL18'!$B$229=J$3,SUMIF('TL18'!$C$238:$C$451,$C172,'TL18'!$J$238:$J$451),0),
IF('TL19'!$B$3=J$3,SUMIF('TL19'!$C$10:$C$224,$C172,'TL19'!$J$10:$J$224),0),
IF('TL19'!$B$229=J$3,SUMIF('TL19'!$C$238:$C$451,$C172,'TL19'!$J$238:$J$451),0)
),0)</f>
        <v>0</v>
      </c>
      <c r="K172" s="9">
        <f>IFERROR(SUM(
IF('TL01'!$B$3=K$3,SUMIF('TL01'!$C$10:$C$224,$C172,'TL01'!$J$10:$J$224),0),
IF('TL01'!$B$229=K$3,SUMIF('TL01'!$C$238:$C$451,$C172,'TL01'!$J$238:$J$451),0),
IF('TL02'!$B$3=K$3,SUMIF('TL02'!$C$10:$C$224,$C172,'TL02'!$J$10:$J$224),0),
IF('TL02'!$B$229=K$3,SUMIF('TL02'!$C$238:$C$451,$C172,'TL02'!$J$238:$J$451),0),
IF('TL03'!$B$3=K$3,SUMIF('TL03'!$C$10:$C$224,$C172,'TL03'!$J$10:$J$224),0),
IF('TL03'!$B$229=K$3,SUMIF('TL03'!$C$238:$C$451,$C172,'TL03'!$J$238:$J$451),0),
IF('TL04'!$B$3=K$3,SUMIF('TL04'!$C$10:$C$224,$C172,'TL04'!$J$10:$J$224),0),
IF('TL04'!$B$229=K$3,SUMIF('TL04'!$C$238:$C$451,$C172,'TL04'!$J$238:$J$451),0),
IF('TL05'!$B$3=K$3,SUMIF('TL05'!$C$10:$C$224,$C172,'TL05'!$J$10:$J$224),0),
IF('TL05'!$B$229=K$3,SUMIF('TL05'!$C$238:$C$451,$C172,'TL05'!$J$238:$J$451),0),
IF('TL06'!$B$3=K$3,SUMIF('TL06'!$C$10:$C$224,$C172,'TL06'!$J$10:$J$224),0),
IF('TL06'!$B$229=K$3,SUMIF('TL06'!$C$238:$C$451,$C172,'TL06'!$J$238:$J$451),0),
IF('TL07'!$B$3=K$3,SUMIF('TL07'!$C$10:$C$224,$C172,'TL07'!$J$10:$J$224),0),
IF('TL07'!$B$229=K$3,SUMIF('TL07'!$C$238:$C$451,$C172,'TL07'!$J$238:$J$451),0),
IF('TL08'!$B$3=K$3,SUMIF('TL08'!$C$10:$C$224,$C172,'TL08'!$J$10:$J$224),0),
IF('TL08'!$B$229=K$3,SUMIF('TL08'!$C$238:$C$451,$C172,'TL08'!$J$238:$J$451),0),
IF('TL09'!$B$3=K$3,SUMIF('TL09'!$C$10:$C$224,$C172,'TL09'!$J$10:$J$224),0),
IF('TL09'!$B$229=K$3,SUMIF('TL09'!$C$238:$C$451,$C172,'TL09'!$J$238:$J$451),0),
IF('TL10'!$B$3=K$3,SUMIF('TL10'!$C$10:$C$224,$C172,'TL10'!$J$10:$J$224),0),
IF('TL10'!$B$229=K$3,SUMIF('TL10'!$C$238:$C$451,$C172,'TL10'!$J$238:$J$451),0),
IF('TL11'!$B$3=K$3,SUMIF('TL11'!$C$10:$C$224,$C172,'TL11'!$J$10:$J$224),0),
IF('TL11'!$B$229=K$3,SUMIF('TL11'!$C$238:$C$451,$C172,'TL11'!$J$238:$J$451),0),
IF('TL12'!$B$3=K$3,SUMIF('TL12'!$C$10:$C$224,$C172,'TL12'!$J$10:$J$224),0),
IF('TL12'!$B$229=K$3,SUMIF('TL12'!$C$238:$C$451,$C172,'TL12'!$J$238:$J$451),0),
IF('TL13'!$B$3=K$3,SUMIF('TL13'!$C$10:$C$224,$C172,'TL13'!$J$10:$J$224),0),
IF('TL13'!$B$229=K$3,SUMIF('TL13'!$C$238:$C$451,$C172,'TL13'!$J$238:$J$451),0),
IF('TL14'!$B$3=K$3,SUMIF('TL14'!$C$10:$C$224,$C172,'TL14'!$J$10:$J$224),0),
IF('TL14'!$B$229=K$3,SUMIF('TL14'!$C$238:$C$451,$C172,'TL14'!$J$238:$J$451),0),
IF('TL15'!$B$3=K$3,SUMIF('TL15'!$C$10:$C$224,$C172,'TL15'!$J$10:$J$224),0),
IF('TL15'!$B$229=K$3,SUMIF('TL15'!$C$238:$C$451,$C172,'TL15'!$J$238:$J$451),0),
IF('TL16'!$B$3=K$3,SUMIF('TL16'!$C$10:$C$224,$C172,'TL16'!$J$10:$J$224),0),
IF('TL16'!$B$229=K$3,SUMIF('TL16'!$C$238:$C$451,$C172,'TL16'!$J$238:$J$451),0),
IF('TL17'!$B$3=K$3,SUMIF('TL17'!$C$10:$C$224,$C172,'TL17'!$J$10:$J$224),0),
IF('TL17'!$B$229=K$3,SUMIF('TL17'!$C$238:$C$451,$C172,'TL17'!$J$238:$J$451),0),
IF('TL18'!$B$3=K$3,SUMIF('TL18'!$C$10:$C$224,$C172,'TL18'!$J$10:$J$224),0),
IF('TL18'!$B$229=K$3,SUMIF('TL18'!$C$238:$C$451,$C172,'TL18'!$J$238:$J$451),0),
IF('TL19'!$B$3=K$3,SUMIF('TL19'!$C$10:$C$224,$C172,'TL19'!$J$10:$J$224),0),
IF('TL19'!$B$229=K$3,SUMIF('TL19'!$C$238:$C$451,$C172,'TL19'!$J$238:$J$451),0)
),0)</f>
        <v>0</v>
      </c>
      <c r="L172" s="9">
        <f>IFERROR(SUM(
IF('TL01'!$B$3=L$3,SUMIF('TL01'!$C$10:$C$224,$C172,'TL01'!$J$10:$J$224),0),
IF('TL01'!$B$229=L$3,SUMIF('TL01'!$C$238:$C$451,$C172,'TL01'!$J$238:$J$451),0),
IF('TL02'!$B$3=L$3,SUMIF('TL02'!$C$10:$C$224,$C172,'TL02'!$J$10:$J$224),0),
IF('TL02'!$B$229=L$3,SUMIF('TL02'!$C$238:$C$451,$C172,'TL02'!$J$238:$J$451),0),
IF('TL03'!$B$3=L$3,SUMIF('TL03'!$C$10:$C$224,$C172,'TL03'!$J$10:$J$224),0),
IF('TL03'!$B$229=L$3,SUMIF('TL03'!$C$238:$C$451,$C172,'TL03'!$J$238:$J$451),0),
IF('TL04'!$B$3=L$3,SUMIF('TL04'!$C$10:$C$224,$C172,'TL04'!$J$10:$J$224),0),
IF('TL04'!$B$229=L$3,SUMIF('TL04'!$C$238:$C$451,$C172,'TL04'!$J$238:$J$451),0),
IF('TL05'!$B$3=L$3,SUMIF('TL05'!$C$10:$C$224,$C172,'TL05'!$J$10:$J$224),0),
IF('TL05'!$B$229=L$3,SUMIF('TL05'!$C$238:$C$451,$C172,'TL05'!$J$238:$J$451),0),
IF('TL06'!$B$3=L$3,SUMIF('TL06'!$C$10:$C$224,$C172,'TL06'!$J$10:$J$224),0),
IF('TL06'!$B$229=L$3,SUMIF('TL06'!$C$238:$C$451,$C172,'TL06'!$J$238:$J$451),0),
IF('TL07'!$B$3=L$3,SUMIF('TL07'!$C$10:$C$224,$C172,'TL07'!$J$10:$J$224),0),
IF('TL07'!$B$229=L$3,SUMIF('TL07'!$C$238:$C$451,$C172,'TL07'!$J$238:$J$451),0),
IF('TL08'!$B$3=L$3,SUMIF('TL08'!$C$10:$C$224,$C172,'TL08'!$J$10:$J$224),0),
IF('TL08'!$B$229=L$3,SUMIF('TL08'!$C$238:$C$451,$C172,'TL08'!$J$238:$J$451),0),
IF('TL09'!$B$3=L$3,SUMIF('TL09'!$C$10:$C$224,$C172,'TL09'!$J$10:$J$224),0),
IF('TL09'!$B$229=L$3,SUMIF('TL09'!$C$238:$C$451,$C172,'TL09'!$J$238:$J$451),0),
IF('TL10'!$B$3=L$3,SUMIF('TL10'!$C$10:$C$224,$C172,'TL10'!$J$10:$J$224),0),
IF('TL10'!$B$229=L$3,SUMIF('TL10'!$C$238:$C$451,$C172,'TL10'!$J$238:$J$451),0),
IF('TL11'!$B$3=L$3,SUMIF('TL11'!$C$10:$C$224,$C172,'TL11'!$J$10:$J$224),0),
IF('TL11'!$B$229=L$3,SUMIF('TL11'!$C$238:$C$451,$C172,'TL11'!$J$238:$J$451),0),
IF('TL12'!$B$3=L$3,SUMIF('TL12'!$C$10:$C$224,$C172,'TL12'!$J$10:$J$224),0),
IF('TL12'!$B$229=L$3,SUMIF('TL12'!$C$238:$C$451,$C172,'TL12'!$J$238:$J$451),0),
IF('TL13'!$B$3=L$3,SUMIF('TL13'!$C$10:$C$224,$C172,'TL13'!$J$10:$J$224),0),
IF('TL13'!$B$229=L$3,SUMIF('TL13'!$C$238:$C$451,$C172,'TL13'!$J$238:$J$451),0),
IF('TL14'!$B$3=L$3,SUMIF('TL14'!$C$10:$C$224,$C172,'TL14'!$J$10:$J$224),0),
IF('TL14'!$B$229=L$3,SUMIF('TL14'!$C$238:$C$451,$C172,'TL14'!$J$238:$J$451),0),
IF('TL15'!$B$3=L$3,SUMIF('TL15'!$C$10:$C$224,$C172,'TL15'!$J$10:$J$224),0),
IF('TL15'!$B$229=L$3,SUMIF('TL15'!$C$238:$C$451,$C172,'TL15'!$J$238:$J$451),0),
IF('TL16'!$B$3=L$3,SUMIF('TL16'!$C$10:$C$224,$C172,'TL16'!$J$10:$J$224),0),
IF('TL16'!$B$229=L$3,SUMIF('TL16'!$C$238:$C$451,$C172,'TL16'!$J$238:$J$451),0),
IF('TL17'!$B$3=L$3,SUMIF('TL17'!$C$10:$C$224,$C172,'TL17'!$J$10:$J$224),0),
IF('TL17'!$B$229=L$3,SUMIF('TL17'!$C$238:$C$451,$C172,'TL17'!$J$238:$J$451),0),
IF('TL18'!$B$3=L$3,SUMIF('TL18'!$C$10:$C$224,$C172,'TL18'!$J$10:$J$224),0),
IF('TL18'!$B$229=L$3,SUMIF('TL18'!$C$238:$C$451,$C172,'TL18'!$J$238:$J$451),0),
IF('TL19'!$B$3=L$3,SUMIF('TL19'!$C$10:$C$224,$C172,'TL19'!$J$10:$J$224),0),
IF('TL19'!$B$229=L$3,SUMIF('TL19'!$C$238:$C$451,$C172,'TL19'!$J$238:$J$451),0)
),0)</f>
        <v>0</v>
      </c>
      <c r="M172" s="9">
        <f>IFERROR(SUM(
IF('TL01'!$B$3=M$3,SUMIF('TL01'!$C$10:$C$224,$C172,'TL01'!$J$10:$J$224),0),
IF('TL01'!$B$229=M$3,SUMIF('TL01'!$C$238:$C$451,$C172,'TL01'!$J$238:$J$451),0),
IF('TL02'!$B$3=M$3,SUMIF('TL02'!$C$10:$C$224,$C172,'TL02'!$J$10:$J$224),0),
IF('TL02'!$B$229=M$3,SUMIF('TL02'!$C$238:$C$451,$C172,'TL02'!$J$238:$J$451),0),
IF('TL03'!$B$3=M$3,SUMIF('TL03'!$C$10:$C$224,$C172,'TL03'!$J$10:$J$224),0),
IF('TL03'!$B$229=M$3,SUMIF('TL03'!$C$238:$C$451,$C172,'TL03'!$J$238:$J$451),0),
IF('TL04'!$B$3=M$3,SUMIF('TL04'!$C$10:$C$224,$C172,'TL04'!$J$10:$J$224),0),
IF('TL04'!$B$229=M$3,SUMIF('TL04'!$C$238:$C$451,$C172,'TL04'!$J$238:$J$451),0),
IF('TL05'!$B$3=M$3,SUMIF('TL05'!$C$10:$C$224,$C172,'TL05'!$J$10:$J$224),0),
IF('TL05'!$B$229=M$3,SUMIF('TL05'!$C$238:$C$451,$C172,'TL05'!$J$238:$J$451),0),
IF('TL06'!$B$3=M$3,SUMIF('TL06'!$C$10:$C$224,$C172,'TL06'!$J$10:$J$224),0),
IF('TL06'!$B$229=M$3,SUMIF('TL06'!$C$238:$C$451,$C172,'TL06'!$J$238:$J$451),0),
IF('TL07'!$B$3=M$3,SUMIF('TL07'!$C$10:$C$224,$C172,'TL07'!$J$10:$J$224),0),
IF('TL07'!$B$229=M$3,SUMIF('TL07'!$C$238:$C$451,$C172,'TL07'!$J$238:$J$451),0),
IF('TL08'!$B$3=M$3,SUMIF('TL08'!$C$10:$C$224,$C172,'TL08'!$J$10:$J$224),0),
IF('TL08'!$B$229=M$3,SUMIF('TL08'!$C$238:$C$451,$C172,'TL08'!$J$238:$J$451),0),
IF('TL09'!$B$3=M$3,SUMIF('TL09'!$C$10:$C$224,$C172,'TL09'!$J$10:$J$224),0),
IF('TL09'!$B$229=M$3,SUMIF('TL09'!$C$238:$C$451,$C172,'TL09'!$J$238:$J$451),0),
IF('TL10'!$B$3=M$3,SUMIF('TL10'!$C$10:$C$224,$C172,'TL10'!$J$10:$J$224),0),
IF('TL10'!$B$229=M$3,SUMIF('TL10'!$C$238:$C$451,$C172,'TL10'!$J$238:$J$451),0),
IF('TL11'!$B$3=M$3,SUMIF('TL11'!$C$10:$C$224,$C172,'TL11'!$J$10:$J$224),0),
IF('TL11'!$B$229=M$3,SUMIF('TL11'!$C$238:$C$451,$C172,'TL11'!$J$238:$J$451),0),
IF('TL12'!$B$3=M$3,SUMIF('TL12'!$C$10:$C$224,$C172,'TL12'!$J$10:$J$224),0),
IF('TL12'!$B$229=M$3,SUMIF('TL12'!$C$238:$C$451,$C172,'TL12'!$J$238:$J$451),0),
IF('TL13'!$B$3=M$3,SUMIF('TL13'!$C$10:$C$224,$C172,'TL13'!$J$10:$J$224),0),
IF('TL13'!$B$229=M$3,SUMIF('TL13'!$C$238:$C$451,$C172,'TL13'!$J$238:$J$451),0),
IF('TL14'!$B$3=M$3,SUMIF('TL14'!$C$10:$C$224,$C172,'TL14'!$J$10:$J$224),0),
IF('TL14'!$B$229=M$3,SUMIF('TL14'!$C$238:$C$451,$C172,'TL14'!$J$238:$J$451),0),
IF('TL15'!$B$3=M$3,SUMIF('TL15'!$C$10:$C$224,$C172,'TL15'!$J$10:$J$224),0),
IF('TL15'!$B$229=M$3,SUMIF('TL15'!$C$238:$C$451,$C172,'TL15'!$J$238:$J$451),0),
IF('TL16'!$B$3=M$3,SUMIF('TL16'!$C$10:$C$224,$C172,'TL16'!$J$10:$J$224),0),
IF('TL16'!$B$229=M$3,SUMIF('TL16'!$C$238:$C$451,$C172,'TL16'!$J$238:$J$451),0),
IF('TL17'!$B$3=M$3,SUMIF('TL17'!$C$10:$C$224,$C172,'TL17'!$J$10:$J$224),0),
IF('TL17'!$B$229=M$3,SUMIF('TL17'!$C$238:$C$451,$C172,'TL17'!$J$238:$J$451),0),
IF('TL18'!$B$3=M$3,SUMIF('TL18'!$C$10:$C$224,$C172,'TL18'!$J$10:$J$224),0),
IF('TL18'!$B$229=M$3,SUMIF('TL18'!$C$238:$C$451,$C172,'TL18'!$J$238:$J$451),0),
IF('TL19'!$B$3=M$3,SUMIF('TL19'!$C$10:$C$224,$C172,'TL19'!$J$10:$J$224),0),
IF('TL19'!$B$229=M$3,SUMIF('TL19'!$C$238:$C$451,$C172,'TL19'!$J$238:$J$451),0)
),0)</f>
        <v>0</v>
      </c>
      <c r="N172" s="9">
        <f>IFERROR(SUM(
IF('TL01'!$B$3=N$3,SUMIF('TL01'!$C$10:$C$224,$C172,'TL01'!$J$10:$J$224),0),
IF('TL01'!$B$229=N$3,SUMIF('TL01'!$C$238:$C$451,$C172,'TL01'!$J$238:$J$451),0),
IF('TL02'!$B$3=N$3,SUMIF('TL02'!$C$10:$C$224,$C172,'TL02'!$J$10:$J$224),0),
IF('TL02'!$B$229=N$3,SUMIF('TL02'!$C$238:$C$451,$C172,'TL02'!$J$238:$J$451),0),
IF('TL03'!$B$3=N$3,SUMIF('TL03'!$C$10:$C$224,$C172,'TL03'!$J$10:$J$224),0),
IF('TL03'!$B$229=N$3,SUMIF('TL03'!$C$238:$C$451,$C172,'TL03'!$J$238:$J$451),0),
IF('TL04'!$B$3=N$3,SUMIF('TL04'!$C$10:$C$224,$C172,'TL04'!$J$10:$J$224),0),
IF('TL04'!$B$229=N$3,SUMIF('TL04'!$C$238:$C$451,$C172,'TL04'!$J$238:$J$451),0),
IF('TL05'!$B$3=N$3,SUMIF('TL05'!$C$10:$C$224,$C172,'TL05'!$J$10:$J$224),0),
IF('TL05'!$B$229=N$3,SUMIF('TL05'!$C$238:$C$451,$C172,'TL05'!$J$238:$J$451),0),
IF('TL06'!$B$3=N$3,SUMIF('TL06'!$C$10:$C$224,$C172,'TL06'!$J$10:$J$224),0),
IF('TL06'!$B$229=N$3,SUMIF('TL06'!$C$238:$C$451,$C172,'TL06'!$J$238:$J$451),0),
IF('TL07'!$B$3=N$3,SUMIF('TL07'!$C$10:$C$224,$C172,'TL07'!$J$10:$J$224),0),
IF('TL07'!$B$229=N$3,SUMIF('TL07'!$C$238:$C$451,$C172,'TL07'!$J$238:$J$451),0),
IF('TL08'!$B$3=N$3,SUMIF('TL08'!$C$10:$C$224,$C172,'TL08'!$J$10:$J$224),0),
IF('TL08'!$B$229=N$3,SUMIF('TL08'!$C$238:$C$451,$C172,'TL08'!$J$238:$J$451),0),
IF('TL09'!$B$3=N$3,SUMIF('TL09'!$C$10:$C$224,$C172,'TL09'!$J$10:$J$224),0),
IF('TL09'!$B$229=N$3,SUMIF('TL09'!$C$238:$C$451,$C172,'TL09'!$J$238:$J$451),0),
IF('TL10'!$B$3=N$3,SUMIF('TL10'!$C$10:$C$224,$C172,'TL10'!$J$10:$J$224),0),
IF('TL10'!$B$229=N$3,SUMIF('TL10'!$C$238:$C$451,$C172,'TL10'!$J$238:$J$451),0),
IF('TL11'!$B$3=N$3,SUMIF('TL11'!$C$10:$C$224,$C172,'TL11'!$J$10:$J$224),0),
IF('TL11'!$B$229=N$3,SUMIF('TL11'!$C$238:$C$451,$C172,'TL11'!$J$238:$J$451),0),
IF('TL12'!$B$3=N$3,SUMIF('TL12'!$C$10:$C$224,$C172,'TL12'!$J$10:$J$224),0),
IF('TL12'!$B$229=N$3,SUMIF('TL12'!$C$238:$C$451,$C172,'TL12'!$J$238:$J$451),0),
IF('TL13'!$B$3=N$3,SUMIF('TL13'!$C$10:$C$224,$C172,'TL13'!$J$10:$J$224),0),
IF('TL13'!$B$229=N$3,SUMIF('TL13'!$C$238:$C$451,$C172,'TL13'!$J$238:$J$451),0),
IF('TL14'!$B$3=N$3,SUMIF('TL14'!$C$10:$C$224,$C172,'TL14'!$J$10:$J$224),0),
IF('TL14'!$B$229=N$3,SUMIF('TL14'!$C$238:$C$451,$C172,'TL14'!$J$238:$J$451),0),
IF('TL15'!$B$3=N$3,SUMIF('TL15'!$C$10:$C$224,$C172,'TL15'!$J$10:$J$224),0),
IF('TL15'!$B$229=N$3,SUMIF('TL15'!$C$238:$C$451,$C172,'TL15'!$J$238:$J$451),0),
IF('TL16'!$B$3=N$3,SUMIF('TL16'!$C$10:$C$224,$C172,'TL16'!$J$10:$J$224),0),
IF('TL16'!$B$229=N$3,SUMIF('TL16'!$C$238:$C$451,$C172,'TL16'!$J$238:$J$451),0),
IF('TL17'!$B$3=N$3,SUMIF('TL17'!$C$10:$C$224,$C172,'TL17'!$J$10:$J$224),0),
IF('TL17'!$B$229=N$3,SUMIF('TL17'!$C$238:$C$451,$C172,'TL17'!$J$238:$J$451),0),
IF('TL18'!$B$3=N$3,SUMIF('TL18'!$C$10:$C$224,$C172,'TL18'!$J$10:$J$224),0),
IF('TL18'!$B$229=N$3,SUMIF('TL18'!$C$238:$C$451,$C172,'TL18'!$J$238:$J$451),0),
IF('TL19'!$B$3=N$3,SUMIF('TL19'!$C$10:$C$224,$C172,'TL19'!$J$10:$J$224),0),
IF('TL19'!$B$229=N$3,SUMIF('TL19'!$C$238:$C$451,$C172,'TL19'!$J$238:$J$451),0)
),0)</f>
        <v>0</v>
      </c>
      <c r="O172" s="9">
        <f>IFERROR(SUM(
IF('TL01'!$B$3=O$3,SUMIF('TL01'!$C$10:$C$224,$C172,'TL01'!$J$10:$J$224),0),
IF('TL01'!$B$229=O$3,SUMIF('TL01'!$C$238:$C$451,$C172,'TL01'!$J$238:$J$451),0),
IF('TL02'!$B$3=O$3,SUMIF('TL02'!$C$10:$C$224,$C172,'TL02'!$J$10:$J$224),0),
IF('TL02'!$B$229=O$3,SUMIF('TL02'!$C$238:$C$451,$C172,'TL02'!$J$238:$J$451),0),
IF('TL03'!$B$3=O$3,SUMIF('TL03'!$C$10:$C$224,$C172,'TL03'!$J$10:$J$224),0),
IF('TL03'!$B$229=O$3,SUMIF('TL03'!$C$238:$C$451,$C172,'TL03'!$J$238:$J$451),0),
IF('TL04'!$B$3=O$3,SUMIF('TL04'!$C$10:$C$224,$C172,'TL04'!$J$10:$J$224),0),
IF('TL04'!$B$229=O$3,SUMIF('TL04'!$C$238:$C$451,$C172,'TL04'!$J$238:$J$451),0),
IF('TL05'!$B$3=O$3,SUMIF('TL05'!$C$10:$C$224,$C172,'TL05'!$J$10:$J$224),0),
IF('TL05'!$B$229=O$3,SUMIF('TL05'!$C$238:$C$451,$C172,'TL05'!$J$238:$J$451),0),
IF('TL06'!$B$3=O$3,SUMIF('TL06'!$C$10:$C$224,$C172,'TL06'!$J$10:$J$224),0),
IF('TL06'!$B$229=O$3,SUMIF('TL06'!$C$238:$C$451,$C172,'TL06'!$J$238:$J$451),0),
IF('TL07'!$B$3=O$3,SUMIF('TL07'!$C$10:$C$224,$C172,'TL07'!$J$10:$J$224),0),
IF('TL07'!$B$229=O$3,SUMIF('TL07'!$C$238:$C$451,$C172,'TL07'!$J$238:$J$451),0),
IF('TL08'!$B$3=O$3,SUMIF('TL08'!$C$10:$C$224,$C172,'TL08'!$J$10:$J$224),0),
IF('TL08'!$B$229=O$3,SUMIF('TL08'!$C$238:$C$451,$C172,'TL08'!$J$238:$J$451),0),
IF('TL09'!$B$3=O$3,SUMIF('TL09'!$C$10:$C$224,$C172,'TL09'!$J$10:$J$224),0),
IF('TL09'!$B$229=O$3,SUMIF('TL09'!$C$238:$C$451,$C172,'TL09'!$J$238:$J$451),0),
IF('TL10'!$B$3=O$3,SUMIF('TL10'!$C$10:$C$224,$C172,'TL10'!$J$10:$J$224),0),
IF('TL10'!$B$229=O$3,SUMIF('TL10'!$C$238:$C$451,$C172,'TL10'!$J$238:$J$451),0),
IF('TL11'!$B$3=O$3,SUMIF('TL11'!$C$10:$C$224,$C172,'TL11'!$J$10:$J$224),0),
IF('TL11'!$B$229=O$3,SUMIF('TL11'!$C$238:$C$451,$C172,'TL11'!$J$238:$J$451),0),
IF('TL12'!$B$3=O$3,SUMIF('TL12'!$C$10:$C$224,$C172,'TL12'!$J$10:$J$224),0),
IF('TL12'!$B$229=O$3,SUMIF('TL12'!$C$238:$C$451,$C172,'TL12'!$J$238:$J$451),0),
IF('TL13'!$B$3=O$3,SUMIF('TL13'!$C$10:$C$224,$C172,'TL13'!$J$10:$J$224),0),
IF('TL13'!$B$229=O$3,SUMIF('TL13'!$C$238:$C$451,$C172,'TL13'!$J$238:$J$451),0),
IF('TL14'!$B$3=O$3,SUMIF('TL14'!$C$10:$C$224,$C172,'TL14'!$J$10:$J$224),0),
IF('TL14'!$B$229=O$3,SUMIF('TL14'!$C$238:$C$451,$C172,'TL14'!$J$238:$J$451),0),
IF('TL15'!$B$3=O$3,SUMIF('TL15'!$C$10:$C$224,$C172,'TL15'!$J$10:$J$224),0),
IF('TL15'!$B$229=O$3,SUMIF('TL15'!$C$238:$C$451,$C172,'TL15'!$J$238:$J$451),0),
IF('TL16'!$B$3=O$3,SUMIF('TL16'!$C$10:$C$224,$C172,'TL16'!$J$10:$J$224),0),
IF('TL16'!$B$229=O$3,SUMIF('TL16'!$C$238:$C$451,$C172,'TL16'!$J$238:$J$451),0),
IF('TL17'!$B$3=O$3,SUMIF('TL17'!$C$10:$C$224,$C172,'TL17'!$J$10:$J$224),0),
IF('TL17'!$B$229=O$3,SUMIF('TL17'!$C$238:$C$451,$C172,'TL17'!$J$238:$J$451),0),
IF('TL18'!$B$3=O$3,SUMIF('TL18'!$C$10:$C$224,$C172,'TL18'!$J$10:$J$224),0),
IF('TL18'!$B$229=O$3,SUMIF('TL18'!$C$238:$C$451,$C172,'TL18'!$J$238:$J$451),0),
IF('TL19'!$B$3=O$3,SUMIF('TL19'!$C$10:$C$224,$C172,'TL19'!$J$10:$J$224),0),
IF('TL19'!$B$229=O$3,SUMIF('TL19'!$C$238:$C$451,$C172,'TL19'!$J$238:$J$451),0)
),0)</f>
        <v>110</v>
      </c>
      <c r="P172" s="9">
        <f>IFERROR(SUM(
IF('TL01'!$B$3=P$3,SUMIF('TL01'!$C$10:$C$224,$C172,'TL01'!$J$10:$J$224),0),
IF('TL01'!$B$229=P$3,SUMIF('TL01'!$C$238:$C$451,$C172,'TL01'!$J$238:$J$451),0),
IF('TL02'!$B$3=P$3,SUMIF('TL02'!$C$10:$C$224,$C172,'TL02'!$J$10:$J$224),0),
IF('TL02'!$B$229=P$3,SUMIF('TL02'!$C$238:$C$451,$C172,'TL02'!$J$238:$J$451),0),
IF('TL03'!$B$3=P$3,SUMIF('TL03'!$C$10:$C$224,$C172,'TL03'!$J$10:$J$224),0),
IF('TL03'!$B$229=P$3,SUMIF('TL03'!$C$238:$C$451,$C172,'TL03'!$J$238:$J$451),0),
IF('TL04'!$B$3=P$3,SUMIF('TL04'!$C$10:$C$224,$C172,'TL04'!$J$10:$J$224),0),
IF('TL04'!$B$229=P$3,SUMIF('TL04'!$C$238:$C$451,$C172,'TL04'!$J$238:$J$451),0),
IF('TL05'!$B$3=P$3,SUMIF('TL05'!$C$10:$C$224,$C172,'TL05'!$J$10:$J$224),0),
IF('TL05'!$B$229=P$3,SUMIF('TL05'!$C$238:$C$451,$C172,'TL05'!$J$238:$J$451),0),
IF('TL06'!$B$3=P$3,SUMIF('TL06'!$C$10:$C$224,$C172,'TL06'!$J$10:$J$224),0),
IF('TL06'!$B$229=P$3,SUMIF('TL06'!$C$238:$C$451,$C172,'TL06'!$J$238:$J$451),0),
IF('TL07'!$B$3=P$3,SUMIF('TL07'!$C$10:$C$224,$C172,'TL07'!$J$10:$J$224),0),
IF('TL07'!$B$229=P$3,SUMIF('TL07'!$C$238:$C$451,$C172,'TL07'!$J$238:$J$451),0),
IF('TL08'!$B$3=P$3,SUMIF('TL08'!$C$10:$C$224,$C172,'TL08'!$J$10:$J$224),0),
IF('TL08'!$B$229=P$3,SUMIF('TL08'!$C$238:$C$451,$C172,'TL08'!$J$238:$J$451),0),
IF('TL09'!$B$3=P$3,SUMIF('TL09'!$C$10:$C$224,$C172,'TL09'!$J$10:$J$224),0),
IF('TL09'!$B$229=P$3,SUMIF('TL09'!$C$238:$C$451,$C172,'TL09'!$J$238:$J$451),0),
IF('TL10'!$B$3=P$3,SUMIF('TL10'!$C$10:$C$224,$C172,'TL10'!$J$10:$J$224),0),
IF('TL10'!$B$229=P$3,SUMIF('TL10'!$C$238:$C$451,$C172,'TL10'!$J$238:$J$451),0),
IF('TL11'!$B$3=P$3,SUMIF('TL11'!$C$10:$C$224,$C172,'TL11'!$J$10:$J$224),0),
IF('TL11'!$B$229=P$3,SUMIF('TL11'!$C$238:$C$451,$C172,'TL11'!$J$238:$J$451),0),
IF('TL12'!$B$3=P$3,SUMIF('TL12'!$C$10:$C$224,$C172,'TL12'!$J$10:$J$224),0),
IF('TL12'!$B$229=P$3,SUMIF('TL12'!$C$238:$C$451,$C172,'TL12'!$J$238:$J$451),0),
IF('TL13'!$B$3=P$3,SUMIF('TL13'!$C$10:$C$224,$C172,'TL13'!$J$10:$J$224),0),
IF('TL13'!$B$229=P$3,SUMIF('TL13'!$C$238:$C$451,$C172,'TL13'!$J$238:$J$451),0),
IF('TL14'!$B$3=P$3,SUMIF('TL14'!$C$10:$C$224,$C172,'TL14'!$J$10:$J$224),0),
IF('TL14'!$B$229=P$3,SUMIF('TL14'!$C$238:$C$451,$C172,'TL14'!$J$238:$J$451),0),
IF('TL15'!$B$3=P$3,SUMIF('TL15'!$C$10:$C$224,$C172,'TL15'!$J$10:$J$224),0),
IF('TL15'!$B$229=P$3,SUMIF('TL15'!$C$238:$C$451,$C172,'TL15'!$J$238:$J$451),0),
IF('TL16'!$B$3=P$3,SUMIF('TL16'!$C$10:$C$224,$C172,'TL16'!$J$10:$J$224),0),
IF('TL16'!$B$229=P$3,SUMIF('TL16'!$C$238:$C$451,$C172,'TL16'!$J$238:$J$451),0),
IF('TL17'!$B$3=P$3,SUMIF('TL17'!$C$10:$C$224,$C172,'TL17'!$J$10:$J$224),0),
IF('TL17'!$B$229=P$3,SUMIF('TL17'!$C$238:$C$451,$C172,'TL17'!$J$238:$J$451),0),
IF('TL18'!$B$3=P$3,SUMIF('TL18'!$C$10:$C$224,$C172,'TL18'!$J$10:$J$224),0),
IF('TL18'!$B$229=P$3,SUMIF('TL18'!$C$238:$C$451,$C172,'TL18'!$J$238:$J$451),0),
IF('TL19'!$B$3=P$3,SUMIF('TL19'!$C$10:$C$224,$C172,'TL19'!$J$10:$J$224),0),
IF('TL19'!$B$229=P$3,SUMIF('TL19'!$C$238:$C$451,$C172,'TL19'!$J$238:$J$451),0)
),0)</f>
        <v>125.2</v>
      </c>
      <c r="Q172" s="9">
        <f>IFERROR(SUM(
IF('TL01'!$B$3=Q$3,SUMIF('TL01'!$C$10:$C$224,$C172,'TL01'!$J$10:$J$224),0),
IF('TL01'!$B$229=Q$3,SUMIF('TL01'!$C$238:$C$451,$C172,'TL01'!$J$238:$J$451),0),
IF('TL02'!$B$3=Q$3,SUMIF('TL02'!$C$10:$C$224,$C172,'TL02'!$J$10:$J$224),0),
IF('TL02'!$B$229=Q$3,SUMIF('TL02'!$C$238:$C$451,$C172,'TL02'!$J$238:$J$451),0),
IF('TL03'!$B$3=Q$3,SUMIF('TL03'!$C$10:$C$224,$C172,'TL03'!$J$10:$J$224),0),
IF('TL03'!$B$229=Q$3,SUMIF('TL03'!$C$238:$C$451,$C172,'TL03'!$J$238:$J$451),0),
IF('TL04'!$B$3=Q$3,SUMIF('TL04'!$C$10:$C$224,$C172,'TL04'!$J$10:$J$224),0),
IF('TL04'!$B$229=Q$3,SUMIF('TL04'!$C$238:$C$451,$C172,'TL04'!$J$238:$J$451),0),
IF('TL05'!$B$3=Q$3,SUMIF('TL05'!$C$10:$C$224,$C172,'TL05'!$J$10:$J$224),0),
IF('TL05'!$B$229=Q$3,SUMIF('TL05'!$C$238:$C$451,$C172,'TL05'!$J$238:$J$451),0),
IF('TL06'!$B$3=Q$3,SUMIF('TL06'!$C$10:$C$224,$C172,'TL06'!$J$10:$J$224),0),
IF('TL06'!$B$229=Q$3,SUMIF('TL06'!$C$238:$C$451,$C172,'TL06'!$J$238:$J$451),0),
IF('TL07'!$B$3=Q$3,SUMIF('TL07'!$C$10:$C$224,$C172,'TL07'!$J$10:$J$224),0),
IF('TL07'!$B$229=Q$3,SUMIF('TL07'!$C$238:$C$451,$C172,'TL07'!$J$238:$J$451),0),
IF('TL08'!$B$3=Q$3,SUMIF('TL08'!$C$10:$C$224,$C172,'TL08'!$J$10:$J$224),0),
IF('TL08'!$B$229=Q$3,SUMIF('TL08'!$C$238:$C$451,$C172,'TL08'!$J$238:$J$451),0),
IF('TL09'!$B$3=Q$3,SUMIF('TL09'!$C$10:$C$224,$C172,'TL09'!$J$10:$J$224),0),
IF('TL09'!$B$229=Q$3,SUMIF('TL09'!$C$238:$C$451,$C172,'TL09'!$J$238:$J$451),0),
IF('TL10'!$B$3=Q$3,SUMIF('TL10'!$C$10:$C$224,$C172,'TL10'!$J$10:$J$224),0),
IF('TL10'!$B$229=Q$3,SUMIF('TL10'!$C$238:$C$451,$C172,'TL10'!$J$238:$J$451),0),
IF('TL11'!$B$3=Q$3,SUMIF('TL11'!$C$10:$C$224,$C172,'TL11'!$J$10:$J$224),0),
IF('TL11'!$B$229=Q$3,SUMIF('TL11'!$C$238:$C$451,$C172,'TL11'!$J$238:$J$451),0),
IF('TL12'!$B$3=Q$3,SUMIF('TL12'!$C$10:$C$224,$C172,'TL12'!$J$10:$J$224),0),
IF('TL12'!$B$229=Q$3,SUMIF('TL12'!$C$238:$C$451,$C172,'TL12'!$J$238:$J$451),0),
IF('TL13'!$B$3=Q$3,SUMIF('TL13'!$C$10:$C$224,$C172,'TL13'!$J$10:$J$224),0),
IF('TL13'!$B$229=Q$3,SUMIF('TL13'!$C$238:$C$451,$C172,'TL13'!$J$238:$J$451),0),
IF('TL14'!$B$3=Q$3,SUMIF('TL14'!$C$10:$C$224,$C172,'TL14'!$J$10:$J$224),0),
IF('TL14'!$B$229=Q$3,SUMIF('TL14'!$C$238:$C$451,$C172,'TL14'!$J$238:$J$451),0),
IF('TL15'!$B$3=Q$3,SUMIF('TL15'!$C$10:$C$224,$C172,'TL15'!$J$10:$J$224),0),
IF('TL15'!$B$229=Q$3,SUMIF('TL15'!$C$238:$C$451,$C172,'TL15'!$J$238:$J$451),0),
IF('TL16'!$B$3=Q$3,SUMIF('TL16'!$C$10:$C$224,$C172,'TL16'!$J$10:$J$224),0),
IF('TL16'!$B$229=Q$3,SUMIF('TL16'!$C$238:$C$451,$C172,'TL16'!$J$238:$J$451),0),
IF('TL17'!$B$3=Q$3,SUMIF('TL17'!$C$10:$C$224,$C172,'TL17'!$J$10:$J$224),0),
IF('TL17'!$B$229=Q$3,SUMIF('TL17'!$C$238:$C$451,$C172,'TL17'!$J$238:$J$451),0),
IF('TL18'!$B$3=Q$3,SUMIF('TL18'!$C$10:$C$224,$C172,'TL18'!$J$10:$J$224),0),
IF('TL18'!$B$229=Q$3,SUMIF('TL18'!$C$238:$C$451,$C172,'TL18'!$J$238:$J$451),0),
IF('TL19'!$B$3=Q$3,SUMIF('TL19'!$C$10:$C$224,$C172,'TL19'!$J$10:$J$224),0),
IF('TL19'!$B$229=Q$3,SUMIF('TL19'!$C$238:$C$451,$C172,'TL19'!$J$238:$J$451),0)
),0)</f>
        <v>0</v>
      </c>
      <c r="R172" s="9">
        <f>IFERROR(
SUM(
SUMIF('TL01'!C:C,C172,'TL01'!J:J),
SUMIF('TL02'!C:C,C172,'TL02'!J:J),
SUMIF('TL03'!C:C,C172,'TL03'!J:J),
SUMIF('TL04'!C:C,C172,'TL04'!J:J),
SUMIF('TL05'!C:C,C172,'TL05'!J:J),
SUMIF('TL06'!C:C,C172,'TL06'!J:J),
SUMIF('TL07'!C:C,C172,'TL07'!J:J),
SUMIF('TL08'!C:C,C172,'TL08'!J:J),
SUMIF('TL09'!C:C,C172,'TL09'!J:J),
SUMIF('TL10'!C:C,C172,'TL10'!J:J),
SUMIF('TL11'!C:C,C172,'TL11'!J:J),
SUMIF('TL12'!C:C,C172,'TL12'!J:J),
SUMIF('TL13'!C:C,C172,'TL13'!J:J),
SUMIF('TL14'!C:C,C172,'TL14'!J:J),
SUMIF('TL15'!C:C,C172,'TL15'!J:J),
SUMIF('TL16'!C:C,C172,'TL16'!J:J),
SUMIF('TL17'!C:C,C172,'TL17'!J:J),
SUMIF('TL18'!C:C,C172,'TL18'!J:J),SUMIF('TL19'!C:C,C172,'TL19'!J:J))
,0)</f>
        <v>235.2</v>
      </c>
      <c r="S172" s="17">
        <f>IFERROR(__xludf.DUMMYFUNCTION("IFERROR(VLOOKUP(C172,
IMPORTRANGE(""1wULbzX32WdYsx-lj2U3uUNBBe2INVIRDtcK0d-Dvl90"",
""26-27!C:G""),
5,
FALSE),
"""")"),55.77633)</f>
        <v>55.77633</v>
      </c>
      <c r="T172" s="9"/>
      <c r="U172" s="92">
        <f t="shared" si="2"/>
        <v>235.2</v>
      </c>
      <c r="V172" s="93">
        <f t="shared" si="3"/>
        <v>13118.59282</v>
      </c>
    </row>
    <row r="173" ht="15.75" hidden="1" customHeight="1">
      <c r="A173" s="94" t="s">
        <v>340</v>
      </c>
      <c r="B173" s="95" t="s">
        <v>2</v>
      </c>
      <c r="C173" s="96" t="s">
        <v>752</v>
      </c>
      <c r="D173" s="96" t="s">
        <v>753</v>
      </c>
      <c r="E173" s="96">
        <v>970.0</v>
      </c>
      <c r="F173" s="4" t="s">
        <v>343</v>
      </c>
      <c r="G173" s="90" t="str">
        <f t="shared" si="4"/>
        <v>📄 Ver bula</v>
      </c>
      <c r="H173" s="9">
        <f>IFERROR(__xludf.DUMMYFUNCTION("IFERROR(VLOOKUP(C173,
IMPORTRANGE(""1wULbzX32WdYsx-lj2U3uUNBBe2INVIRDtcK0d-Dvl90"",
""26-27!C:K""),
8,
FALSE),
"""")"),0.6)</f>
        <v>0.6</v>
      </c>
      <c r="I173" s="97" t="s">
        <v>382</v>
      </c>
      <c r="J173" s="9">
        <f>IFERROR(SUM(
IF('TL01'!$B$3=J$3,SUMIF('TL01'!$C$10:$C$224,$C173,'TL01'!$J$10:$J$224),0),
IF('TL01'!$B$229=J$3,SUMIF('TL01'!$C$238:$C$451,$C173,'TL01'!$J$238:$J$451),0),
IF('TL02'!$B$3=J$3,SUMIF('TL02'!$C$10:$C$224,$C173,'TL02'!$J$10:$J$224),0),
IF('TL02'!$B$229=J$3,SUMIF('TL02'!$C$238:$C$451,$C173,'TL02'!$J$238:$J$451),0),
IF('TL03'!$B$3=J$3,SUMIF('TL03'!$C$10:$C$224,$C173,'TL03'!$J$10:$J$224),0),
IF('TL03'!$B$229=J$3,SUMIF('TL03'!$C$238:$C$451,$C173,'TL03'!$J$238:$J$451),0),
IF('TL04'!$B$3=J$3,SUMIF('TL04'!$C$10:$C$224,$C173,'TL04'!$J$10:$J$224),0),
IF('TL04'!$B$229=J$3,SUMIF('TL04'!$C$238:$C$451,$C173,'TL04'!$J$238:$J$451),0),
IF('TL05'!$B$3=J$3,SUMIF('TL05'!$C$10:$C$224,$C173,'TL05'!$J$10:$J$224),0),
IF('TL05'!$B$229=J$3,SUMIF('TL05'!$C$238:$C$451,$C173,'TL05'!$J$238:$J$451),0),
IF('TL06'!$B$3=J$3,SUMIF('TL06'!$C$10:$C$224,$C173,'TL06'!$J$10:$J$224),0),
IF('TL06'!$B$229=J$3,SUMIF('TL06'!$C$238:$C$451,$C173,'TL06'!$J$238:$J$451),0),
IF('TL07'!$B$3=J$3,SUMIF('TL07'!$C$10:$C$224,$C173,'TL07'!$J$10:$J$224),0),
IF('TL07'!$B$229=J$3,SUMIF('TL07'!$C$238:$C$451,$C173,'TL07'!$J$238:$J$451),0),
IF('TL08'!$B$3=J$3,SUMIF('TL08'!$C$10:$C$224,$C173,'TL08'!$J$10:$J$224),0),
IF('TL08'!$B$229=J$3,SUMIF('TL08'!$C$238:$C$451,$C173,'TL08'!$J$238:$J$451),0),
IF('TL09'!$B$3=J$3,SUMIF('TL09'!$C$10:$C$224,$C173,'TL09'!$J$10:$J$224),0),
IF('TL09'!$B$229=J$3,SUMIF('TL09'!$C$238:$C$451,$C173,'TL09'!$J$238:$J$451),0),
IF('TL10'!$B$3=J$3,SUMIF('TL10'!$C$10:$C$224,$C173,'TL10'!$J$10:$J$224),0),
IF('TL10'!$B$229=J$3,SUMIF('TL10'!$C$238:$C$451,$C173,'TL10'!$J$238:$J$451),0),
IF('TL11'!$B$3=J$3,SUMIF('TL11'!$C$10:$C$224,$C173,'TL11'!$J$10:$J$224),0),
IF('TL11'!$B$229=J$3,SUMIF('TL11'!$C$238:$C$451,$C173,'TL11'!$J$238:$J$451),0),
IF('TL12'!$B$3=J$3,SUMIF('TL12'!$C$10:$C$224,$C173,'TL12'!$J$10:$J$224),0),
IF('TL12'!$B$229=J$3,SUMIF('TL12'!$C$238:$C$451,$C173,'TL12'!$J$238:$J$451),0),
IF('TL13'!$B$3=J$3,SUMIF('TL13'!$C$10:$C$224,$C173,'TL13'!$J$10:$J$224),0),
IF('TL13'!$B$229=J$3,SUMIF('TL13'!$C$238:$C$451,$C173,'TL13'!$J$238:$J$451),0),
IF('TL14'!$B$3=J$3,SUMIF('TL14'!$C$10:$C$224,$C173,'TL14'!$J$10:$J$224),0),
IF('TL14'!$B$229=J$3,SUMIF('TL14'!$C$238:$C$451,$C173,'TL14'!$J$238:$J$451),0),
IF('TL15'!$B$3=J$3,SUMIF('TL15'!$C$10:$C$224,$C173,'TL15'!$J$10:$J$224),0),
IF('TL15'!$B$229=J$3,SUMIF('TL15'!$C$238:$C$451,$C173,'TL15'!$J$238:$J$451),0),
IF('TL16'!$B$3=J$3,SUMIF('TL16'!$C$10:$C$224,$C173,'TL16'!$J$10:$J$224),0),
IF('TL16'!$B$229=J$3,SUMIF('TL16'!$C$238:$C$451,$C173,'TL16'!$J$238:$J$451),0),
IF('TL17'!$B$3=J$3,SUMIF('TL17'!$C$10:$C$224,$C173,'TL17'!$J$10:$J$224),0),
IF('TL17'!$B$229=J$3,SUMIF('TL17'!$C$238:$C$451,$C173,'TL17'!$J$238:$J$451),0),
IF('TL18'!$B$3=J$3,SUMIF('TL18'!$C$10:$C$224,$C173,'TL18'!$J$10:$J$224),0),
IF('TL18'!$B$229=J$3,SUMIF('TL18'!$C$238:$C$451,$C173,'TL18'!$J$238:$J$451),0),
IF('TL19'!$B$3=J$3,SUMIF('TL19'!$C$10:$C$224,$C173,'TL19'!$J$10:$J$224),0),
IF('TL19'!$B$229=J$3,SUMIF('TL19'!$C$238:$C$451,$C173,'TL19'!$J$238:$J$451),0)
),0)</f>
        <v>980</v>
      </c>
      <c r="K173" s="9">
        <f>IFERROR(SUM(
IF('TL01'!$B$3=K$3,SUMIF('TL01'!$C$10:$C$224,$C173,'TL01'!$J$10:$J$224),0),
IF('TL01'!$B$229=K$3,SUMIF('TL01'!$C$238:$C$451,$C173,'TL01'!$J$238:$J$451),0),
IF('TL02'!$B$3=K$3,SUMIF('TL02'!$C$10:$C$224,$C173,'TL02'!$J$10:$J$224),0),
IF('TL02'!$B$229=K$3,SUMIF('TL02'!$C$238:$C$451,$C173,'TL02'!$J$238:$J$451),0),
IF('TL03'!$B$3=K$3,SUMIF('TL03'!$C$10:$C$224,$C173,'TL03'!$J$10:$J$224),0),
IF('TL03'!$B$229=K$3,SUMIF('TL03'!$C$238:$C$451,$C173,'TL03'!$J$238:$J$451),0),
IF('TL04'!$B$3=K$3,SUMIF('TL04'!$C$10:$C$224,$C173,'TL04'!$J$10:$J$224),0),
IF('TL04'!$B$229=K$3,SUMIF('TL04'!$C$238:$C$451,$C173,'TL04'!$J$238:$J$451),0),
IF('TL05'!$B$3=K$3,SUMIF('TL05'!$C$10:$C$224,$C173,'TL05'!$J$10:$J$224),0),
IF('TL05'!$B$229=K$3,SUMIF('TL05'!$C$238:$C$451,$C173,'TL05'!$J$238:$J$451),0),
IF('TL06'!$B$3=K$3,SUMIF('TL06'!$C$10:$C$224,$C173,'TL06'!$J$10:$J$224),0),
IF('TL06'!$B$229=K$3,SUMIF('TL06'!$C$238:$C$451,$C173,'TL06'!$J$238:$J$451),0),
IF('TL07'!$B$3=K$3,SUMIF('TL07'!$C$10:$C$224,$C173,'TL07'!$J$10:$J$224),0),
IF('TL07'!$B$229=K$3,SUMIF('TL07'!$C$238:$C$451,$C173,'TL07'!$J$238:$J$451),0),
IF('TL08'!$B$3=K$3,SUMIF('TL08'!$C$10:$C$224,$C173,'TL08'!$J$10:$J$224),0),
IF('TL08'!$B$229=K$3,SUMIF('TL08'!$C$238:$C$451,$C173,'TL08'!$J$238:$J$451),0),
IF('TL09'!$B$3=K$3,SUMIF('TL09'!$C$10:$C$224,$C173,'TL09'!$J$10:$J$224),0),
IF('TL09'!$B$229=K$3,SUMIF('TL09'!$C$238:$C$451,$C173,'TL09'!$J$238:$J$451),0),
IF('TL10'!$B$3=K$3,SUMIF('TL10'!$C$10:$C$224,$C173,'TL10'!$J$10:$J$224),0),
IF('TL10'!$B$229=K$3,SUMIF('TL10'!$C$238:$C$451,$C173,'TL10'!$J$238:$J$451),0),
IF('TL11'!$B$3=K$3,SUMIF('TL11'!$C$10:$C$224,$C173,'TL11'!$J$10:$J$224),0),
IF('TL11'!$B$229=K$3,SUMIF('TL11'!$C$238:$C$451,$C173,'TL11'!$J$238:$J$451),0),
IF('TL12'!$B$3=K$3,SUMIF('TL12'!$C$10:$C$224,$C173,'TL12'!$J$10:$J$224),0),
IF('TL12'!$B$229=K$3,SUMIF('TL12'!$C$238:$C$451,$C173,'TL12'!$J$238:$J$451),0),
IF('TL13'!$B$3=K$3,SUMIF('TL13'!$C$10:$C$224,$C173,'TL13'!$J$10:$J$224),0),
IF('TL13'!$B$229=K$3,SUMIF('TL13'!$C$238:$C$451,$C173,'TL13'!$J$238:$J$451),0),
IF('TL14'!$B$3=K$3,SUMIF('TL14'!$C$10:$C$224,$C173,'TL14'!$J$10:$J$224),0),
IF('TL14'!$B$229=K$3,SUMIF('TL14'!$C$238:$C$451,$C173,'TL14'!$J$238:$J$451),0),
IF('TL15'!$B$3=K$3,SUMIF('TL15'!$C$10:$C$224,$C173,'TL15'!$J$10:$J$224),0),
IF('TL15'!$B$229=K$3,SUMIF('TL15'!$C$238:$C$451,$C173,'TL15'!$J$238:$J$451),0),
IF('TL16'!$B$3=K$3,SUMIF('TL16'!$C$10:$C$224,$C173,'TL16'!$J$10:$J$224),0),
IF('TL16'!$B$229=K$3,SUMIF('TL16'!$C$238:$C$451,$C173,'TL16'!$J$238:$J$451),0),
IF('TL17'!$B$3=K$3,SUMIF('TL17'!$C$10:$C$224,$C173,'TL17'!$J$10:$J$224),0),
IF('TL17'!$B$229=K$3,SUMIF('TL17'!$C$238:$C$451,$C173,'TL17'!$J$238:$J$451),0),
IF('TL18'!$B$3=K$3,SUMIF('TL18'!$C$10:$C$224,$C173,'TL18'!$J$10:$J$224),0),
IF('TL18'!$B$229=K$3,SUMIF('TL18'!$C$238:$C$451,$C173,'TL18'!$J$238:$J$451),0),
IF('TL19'!$B$3=K$3,SUMIF('TL19'!$C$10:$C$224,$C173,'TL19'!$J$10:$J$224),0),
IF('TL19'!$B$229=K$3,SUMIF('TL19'!$C$238:$C$451,$C173,'TL19'!$J$238:$J$451),0)
),0)</f>
        <v>180</v>
      </c>
      <c r="L173" s="9">
        <f>IFERROR(SUM(
IF('TL01'!$B$3=L$3,SUMIF('TL01'!$C$10:$C$224,$C173,'TL01'!$J$10:$J$224),0),
IF('TL01'!$B$229=L$3,SUMIF('TL01'!$C$238:$C$451,$C173,'TL01'!$J$238:$J$451),0),
IF('TL02'!$B$3=L$3,SUMIF('TL02'!$C$10:$C$224,$C173,'TL02'!$J$10:$J$224),0),
IF('TL02'!$B$229=L$3,SUMIF('TL02'!$C$238:$C$451,$C173,'TL02'!$J$238:$J$451),0),
IF('TL03'!$B$3=L$3,SUMIF('TL03'!$C$10:$C$224,$C173,'TL03'!$J$10:$J$224),0),
IF('TL03'!$B$229=L$3,SUMIF('TL03'!$C$238:$C$451,$C173,'TL03'!$J$238:$J$451),0),
IF('TL04'!$B$3=L$3,SUMIF('TL04'!$C$10:$C$224,$C173,'TL04'!$J$10:$J$224),0),
IF('TL04'!$B$229=L$3,SUMIF('TL04'!$C$238:$C$451,$C173,'TL04'!$J$238:$J$451),0),
IF('TL05'!$B$3=L$3,SUMIF('TL05'!$C$10:$C$224,$C173,'TL05'!$J$10:$J$224),0),
IF('TL05'!$B$229=L$3,SUMIF('TL05'!$C$238:$C$451,$C173,'TL05'!$J$238:$J$451),0),
IF('TL06'!$B$3=L$3,SUMIF('TL06'!$C$10:$C$224,$C173,'TL06'!$J$10:$J$224),0),
IF('TL06'!$B$229=L$3,SUMIF('TL06'!$C$238:$C$451,$C173,'TL06'!$J$238:$J$451),0),
IF('TL07'!$B$3=L$3,SUMIF('TL07'!$C$10:$C$224,$C173,'TL07'!$J$10:$J$224),0),
IF('TL07'!$B$229=L$3,SUMIF('TL07'!$C$238:$C$451,$C173,'TL07'!$J$238:$J$451),0),
IF('TL08'!$B$3=L$3,SUMIF('TL08'!$C$10:$C$224,$C173,'TL08'!$J$10:$J$224),0),
IF('TL08'!$B$229=L$3,SUMIF('TL08'!$C$238:$C$451,$C173,'TL08'!$J$238:$J$451),0),
IF('TL09'!$B$3=L$3,SUMIF('TL09'!$C$10:$C$224,$C173,'TL09'!$J$10:$J$224),0),
IF('TL09'!$B$229=L$3,SUMIF('TL09'!$C$238:$C$451,$C173,'TL09'!$J$238:$J$451),0),
IF('TL10'!$B$3=L$3,SUMIF('TL10'!$C$10:$C$224,$C173,'TL10'!$J$10:$J$224),0),
IF('TL10'!$B$229=L$3,SUMIF('TL10'!$C$238:$C$451,$C173,'TL10'!$J$238:$J$451),0),
IF('TL11'!$B$3=L$3,SUMIF('TL11'!$C$10:$C$224,$C173,'TL11'!$J$10:$J$224),0),
IF('TL11'!$B$229=L$3,SUMIF('TL11'!$C$238:$C$451,$C173,'TL11'!$J$238:$J$451),0),
IF('TL12'!$B$3=L$3,SUMIF('TL12'!$C$10:$C$224,$C173,'TL12'!$J$10:$J$224),0),
IF('TL12'!$B$229=L$3,SUMIF('TL12'!$C$238:$C$451,$C173,'TL12'!$J$238:$J$451),0),
IF('TL13'!$B$3=L$3,SUMIF('TL13'!$C$10:$C$224,$C173,'TL13'!$J$10:$J$224),0),
IF('TL13'!$B$229=L$3,SUMIF('TL13'!$C$238:$C$451,$C173,'TL13'!$J$238:$J$451),0),
IF('TL14'!$B$3=L$3,SUMIF('TL14'!$C$10:$C$224,$C173,'TL14'!$J$10:$J$224),0),
IF('TL14'!$B$229=L$3,SUMIF('TL14'!$C$238:$C$451,$C173,'TL14'!$J$238:$J$451),0),
IF('TL15'!$B$3=L$3,SUMIF('TL15'!$C$10:$C$224,$C173,'TL15'!$J$10:$J$224),0),
IF('TL15'!$B$229=L$3,SUMIF('TL15'!$C$238:$C$451,$C173,'TL15'!$J$238:$J$451),0),
IF('TL16'!$B$3=L$3,SUMIF('TL16'!$C$10:$C$224,$C173,'TL16'!$J$10:$J$224),0),
IF('TL16'!$B$229=L$3,SUMIF('TL16'!$C$238:$C$451,$C173,'TL16'!$J$238:$J$451),0),
IF('TL17'!$B$3=L$3,SUMIF('TL17'!$C$10:$C$224,$C173,'TL17'!$J$10:$J$224),0),
IF('TL17'!$B$229=L$3,SUMIF('TL17'!$C$238:$C$451,$C173,'TL17'!$J$238:$J$451),0),
IF('TL18'!$B$3=L$3,SUMIF('TL18'!$C$10:$C$224,$C173,'TL18'!$J$10:$J$224),0),
IF('TL18'!$B$229=L$3,SUMIF('TL18'!$C$238:$C$451,$C173,'TL18'!$J$238:$J$451),0),
IF('TL19'!$B$3=L$3,SUMIF('TL19'!$C$10:$C$224,$C173,'TL19'!$J$10:$J$224),0),
IF('TL19'!$B$229=L$3,SUMIF('TL19'!$C$238:$C$451,$C173,'TL19'!$J$238:$J$451),0)
),0)</f>
        <v>132</v>
      </c>
      <c r="M173" s="9">
        <f>IFERROR(SUM(
IF('TL01'!$B$3=M$3,SUMIF('TL01'!$C$10:$C$224,$C173,'TL01'!$J$10:$J$224),0),
IF('TL01'!$B$229=M$3,SUMIF('TL01'!$C$238:$C$451,$C173,'TL01'!$J$238:$J$451),0),
IF('TL02'!$B$3=M$3,SUMIF('TL02'!$C$10:$C$224,$C173,'TL02'!$J$10:$J$224),0),
IF('TL02'!$B$229=M$3,SUMIF('TL02'!$C$238:$C$451,$C173,'TL02'!$J$238:$J$451),0),
IF('TL03'!$B$3=M$3,SUMIF('TL03'!$C$10:$C$224,$C173,'TL03'!$J$10:$J$224),0),
IF('TL03'!$B$229=M$3,SUMIF('TL03'!$C$238:$C$451,$C173,'TL03'!$J$238:$J$451),0),
IF('TL04'!$B$3=M$3,SUMIF('TL04'!$C$10:$C$224,$C173,'TL04'!$J$10:$J$224),0),
IF('TL04'!$B$229=M$3,SUMIF('TL04'!$C$238:$C$451,$C173,'TL04'!$J$238:$J$451),0),
IF('TL05'!$B$3=M$3,SUMIF('TL05'!$C$10:$C$224,$C173,'TL05'!$J$10:$J$224),0),
IF('TL05'!$B$229=M$3,SUMIF('TL05'!$C$238:$C$451,$C173,'TL05'!$J$238:$J$451),0),
IF('TL06'!$B$3=M$3,SUMIF('TL06'!$C$10:$C$224,$C173,'TL06'!$J$10:$J$224),0),
IF('TL06'!$B$229=M$3,SUMIF('TL06'!$C$238:$C$451,$C173,'TL06'!$J$238:$J$451),0),
IF('TL07'!$B$3=M$3,SUMIF('TL07'!$C$10:$C$224,$C173,'TL07'!$J$10:$J$224),0),
IF('TL07'!$B$229=M$3,SUMIF('TL07'!$C$238:$C$451,$C173,'TL07'!$J$238:$J$451),0),
IF('TL08'!$B$3=M$3,SUMIF('TL08'!$C$10:$C$224,$C173,'TL08'!$J$10:$J$224),0),
IF('TL08'!$B$229=M$3,SUMIF('TL08'!$C$238:$C$451,$C173,'TL08'!$J$238:$J$451),0),
IF('TL09'!$B$3=M$3,SUMIF('TL09'!$C$10:$C$224,$C173,'TL09'!$J$10:$J$224),0),
IF('TL09'!$B$229=M$3,SUMIF('TL09'!$C$238:$C$451,$C173,'TL09'!$J$238:$J$451),0),
IF('TL10'!$B$3=M$3,SUMIF('TL10'!$C$10:$C$224,$C173,'TL10'!$J$10:$J$224),0),
IF('TL10'!$B$229=M$3,SUMIF('TL10'!$C$238:$C$451,$C173,'TL10'!$J$238:$J$451),0),
IF('TL11'!$B$3=M$3,SUMIF('TL11'!$C$10:$C$224,$C173,'TL11'!$J$10:$J$224),0),
IF('TL11'!$B$229=M$3,SUMIF('TL11'!$C$238:$C$451,$C173,'TL11'!$J$238:$J$451),0),
IF('TL12'!$B$3=M$3,SUMIF('TL12'!$C$10:$C$224,$C173,'TL12'!$J$10:$J$224),0),
IF('TL12'!$B$229=M$3,SUMIF('TL12'!$C$238:$C$451,$C173,'TL12'!$J$238:$J$451),0),
IF('TL13'!$B$3=M$3,SUMIF('TL13'!$C$10:$C$224,$C173,'TL13'!$J$10:$J$224),0),
IF('TL13'!$B$229=M$3,SUMIF('TL13'!$C$238:$C$451,$C173,'TL13'!$J$238:$J$451),0),
IF('TL14'!$B$3=M$3,SUMIF('TL14'!$C$10:$C$224,$C173,'TL14'!$J$10:$J$224),0),
IF('TL14'!$B$229=M$3,SUMIF('TL14'!$C$238:$C$451,$C173,'TL14'!$J$238:$J$451),0),
IF('TL15'!$B$3=M$3,SUMIF('TL15'!$C$10:$C$224,$C173,'TL15'!$J$10:$J$224),0),
IF('TL15'!$B$229=M$3,SUMIF('TL15'!$C$238:$C$451,$C173,'TL15'!$J$238:$J$451),0),
IF('TL16'!$B$3=M$3,SUMIF('TL16'!$C$10:$C$224,$C173,'TL16'!$J$10:$J$224),0),
IF('TL16'!$B$229=M$3,SUMIF('TL16'!$C$238:$C$451,$C173,'TL16'!$J$238:$J$451),0),
IF('TL17'!$B$3=M$3,SUMIF('TL17'!$C$10:$C$224,$C173,'TL17'!$J$10:$J$224),0),
IF('TL17'!$B$229=M$3,SUMIF('TL17'!$C$238:$C$451,$C173,'TL17'!$J$238:$J$451),0),
IF('TL18'!$B$3=M$3,SUMIF('TL18'!$C$10:$C$224,$C173,'TL18'!$J$10:$J$224),0),
IF('TL18'!$B$229=M$3,SUMIF('TL18'!$C$238:$C$451,$C173,'TL18'!$J$238:$J$451),0),
IF('TL19'!$B$3=M$3,SUMIF('TL19'!$C$10:$C$224,$C173,'TL19'!$J$10:$J$224),0),
IF('TL19'!$B$229=M$3,SUMIF('TL19'!$C$238:$C$451,$C173,'TL19'!$J$238:$J$451),0)
),0)</f>
        <v>200</v>
      </c>
      <c r="N173" s="9">
        <f>IFERROR(SUM(
IF('TL01'!$B$3=N$3,SUMIF('TL01'!$C$10:$C$224,$C173,'TL01'!$J$10:$J$224),0),
IF('TL01'!$B$229=N$3,SUMIF('TL01'!$C$238:$C$451,$C173,'TL01'!$J$238:$J$451),0),
IF('TL02'!$B$3=N$3,SUMIF('TL02'!$C$10:$C$224,$C173,'TL02'!$J$10:$J$224),0),
IF('TL02'!$B$229=N$3,SUMIF('TL02'!$C$238:$C$451,$C173,'TL02'!$J$238:$J$451),0),
IF('TL03'!$B$3=N$3,SUMIF('TL03'!$C$10:$C$224,$C173,'TL03'!$J$10:$J$224),0),
IF('TL03'!$B$229=N$3,SUMIF('TL03'!$C$238:$C$451,$C173,'TL03'!$J$238:$J$451),0),
IF('TL04'!$B$3=N$3,SUMIF('TL04'!$C$10:$C$224,$C173,'TL04'!$J$10:$J$224),0),
IF('TL04'!$B$229=N$3,SUMIF('TL04'!$C$238:$C$451,$C173,'TL04'!$J$238:$J$451),0),
IF('TL05'!$B$3=N$3,SUMIF('TL05'!$C$10:$C$224,$C173,'TL05'!$J$10:$J$224),0),
IF('TL05'!$B$229=N$3,SUMIF('TL05'!$C$238:$C$451,$C173,'TL05'!$J$238:$J$451),0),
IF('TL06'!$B$3=N$3,SUMIF('TL06'!$C$10:$C$224,$C173,'TL06'!$J$10:$J$224),0),
IF('TL06'!$B$229=N$3,SUMIF('TL06'!$C$238:$C$451,$C173,'TL06'!$J$238:$J$451),0),
IF('TL07'!$B$3=N$3,SUMIF('TL07'!$C$10:$C$224,$C173,'TL07'!$J$10:$J$224),0),
IF('TL07'!$B$229=N$3,SUMIF('TL07'!$C$238:$C$451,$C173,'TL07'!$J$238:$J$451),0),
IF('TL08'!$B$3=N$3,SUMIF('TL08'!$C$10:$C$224,$C173,'TL08'!$J$10:$J$224),0),
IF('TL08'!$B$229=N$3,SUMIF('TL08'!$C$238:$C$451,$C173,'TL08'!$J$238:$J$451),0),
IF('TL09'!$B$3=N$3,SUMIF('TL09'!$C$10:$C$224,$C173,'TL09'!$J$10:$J$224),0),
IF('TL09'!$B$229=N$3,SUMIF('TL09'!$C$238:$C$451,$C173,'TL09'!$J$238:$J$451),0),
IF('TL10'!$B$3=N$3,SUMIF('TL10'!$C$10:$C$224,$C173,'TL10'!$J$10:$J$224),0),
IF('TL10'!$B$229=N$3,SUMIF('TL10'!$C$238:$C$451,$C173,'TL10'!$J$238:$J$451),0),
IF('TL11'!$B$3=N$3,SUMIF('TL11'!$C$10:$C$224,$C173,'TL11'!$J$10:$J$224),0),
IF('TL11'!$B$229=N$3,SUMIF('TL11'!$C$238:$C$451,$C173,'TL11'!$J$238:$J$451),0),
IF('TL12'!$B$3=N$3,SUMIF('TL12'!$C$10:$C$224,$C173,'TL12'!$J$10:$J$224),0),
IF('TL12'!$B$229=N$3,SUMIF('TL12'!$C$238:$C$451,$C173,'TL12'!$J$238:$J$451),0),
IF('TL13'!$B$3=N$3,SUMIF('TL13'!$C$10:$C$224,$C173,'TL13'!$J$10:$J$224),0),
IF('TL13'!$B$229=N$3,SUMIF('TL13'!$C$238:$C$451,$C173,'TL13'!$J$238:$J$451),0),
IF('TL14'!$B$3=N$3,SUMIF('TL14'!$C$10:$C$224,$C173,'TL14'!$J$10:$J$224),0),
IF('TL14'!$B$229=N$3,SUMIF('TL14'!$C$238:$C$451,$C173,'TL14'!$J$238:$J$451),0),
IF('TL15'!$B$3=N$3,SUMIF('TL15'!$C$10:$C$224,$C173,'TL15'!$J$10:$J$224),0),
IF('TL15'!$B$229=N$3,SUMIF('TL15'!$C$238:$C$451,$C173,'TL15'!$J$238:$J$451),0),
IF('TL16'!$B$3=N$3,SUMIF('TL16'!$C$10:$C$224,$C173,'TL16'!$J$10:$J$224),0),
IF('TL16'!$B$229=N$3,SUMIF('TL16'!$C$238:$C$451,$C173,'TL16'!$J$238:$J$451),0),
IF('TL17'!$B$3=N$3,SUMIF('TL17'!$C$10:$C$224,$C173,'TL17'!$J$10:$J$224),0),
IF('TL17'!$B$229=N$3,SUMIF('TL17'!$C$238:$C$451,$C173,'TL17'!$J$238:$J$451),0),
IF('TL18'!$B$3=N$3,SUMIF('TL18'!$C$10:$C$224,$C173,'TL18'!$J$10:$J$224),0),
IF('TL18'!$B$229=N$3,SUMIF('TL18'!$C$238:$C$451,$C173,'TL18'!$J$238:$J$451),0),
IF('TL19'!$B$3=N$3,SUMIF('TL19'!$C$10:$C$224,$C173,'TL19'!$J$10:$J$224),0),
IF('TL19'!$B$229=N$3,SUMIF('TL19'!$C$238:$C$451,$C173,'TL19'!$J$238:$J$451),0)
),0)</f>
        <v>0</v>
      </c>
      <c r="O173" s="9">
        <f>IFERROR(SUM(
IF('TL01'!$B$3=O$3,SUMIF('TL01'!$C$10:$C$224,$C173,'TL01'!$J$10:$J$224),0),
IF('TL01'!$B$229=O$3,SUMIF('TL01'!$C$238:$C$451,$C173,'TL01'!$J$238:$J$451),0),
IF('TL02'!$B$3=O$3,SUMIF('TL02'!$C$10:$C$224,$C173,'TL02'!$J$10:$J$224),0),
IF('TL02'!$B$229=O$3,SUMIF('TL02'!$C$238:$C$451,$C173,'TL02'!$J$238:$J$451),0),
IF('TL03'!$B$3=O$3,SUMIF('TL03'!$C$10:$C$224,$C173,'TL03'!$J$10:$J$224),0),
IF('TL03'!$B$229=O$3,SUMIF('TL03'!$C$238:$C$451,$C173,'TL03'!$J$238:$J$451),0),
IF('TL04'!$B$3=O$3,SUMIF('TL04'!$C$10:$C$224,$C173,'TL04'!$J$10:$J$224),0),
IF('TL04'!$B$229=O$3,SUMIF('TL04'!$C$238:$C$451,$C173,'TL04'!$J$238:$J$451),0),
IF('TL05'!$B$3=O$3,SUMIF('TL05'!$C$10:$C$224,$C173,'TL05'!$J$10:$J$224),0),
IF('TL05'!$B$229=O$3,SUMIF('TL05'!$C$238:$C$451,$C173,'TL05'!$J$238:$J$451),0),
IF('TL06'!$B$3=O$3,SUMIF('TL06'!$C$10:$C$224,$C173,'TL06'!$J$10:$J$224),0),
IF('TL06'!$B$229=O$3,SUMIF('TL06'!$C$238:$C$451,$C173,'TL06'!$J$238:$J$451),0),
IF('TL07'!$B$3=O$3,SUMIF('TL07'!$C$10:$C$224,$C173,'TL07'!$J$10:$J$224),0),
IF('TL07'!$B$229=O$3,SUMIF('TL07'!$C$238:$C$451,$C173,'TL07'!$J$238:$J$451),0),
IF('TL08'!$B$3=O$3,SUMIF('TL08'!$C$10:$C$224,$C173,'TL08'!$J$10:$J$224),0),
IF('TL08'!$B$229=O$3,SUMIF('TL08'!$C$238:$C$451,$C173,'TL08'!$J$238:$J$451),0),
IF('TL09'!$B$3=O$3,SUMIF('TL09'!$C$10:$C$224,$C173,'TL09'!$J$10:$J$224),0),
IF('TL09'!$B$229=O$3,SUMIF('TL09'!$C$238:$C$451,$C173,'TL09'!$J$238:$J$451),0),
IF('TL10'!$B$3=O$3,SUMIF('TL10'!$C$10:$C$224,$C173,'TL10'!$J$10:$J$224),0),
IF('TL10'!$B$229=O$3,SUMIF('TL10'!$C$238:$C$451,$C173,'TL10'!$J$238:$J$451),0),
IF('TL11'!$B$3=O$3,SUMIF('TL11'!$C$10:$C$224,$C173,'TL11'!$J$10:$J$224),0),
IF('TL11'!$B$229=O$3,SUMIF('TL11'!$C$238:$C$451,$C173,'TL11'!$J$238:$J$451),0),
IF('TL12'!$B$3=O$3,SUMIF('TL12'!$C$10:$C$224,$C173,'TL12'!$J$10:$J$224),0),
IF('TL12'!$B$229=O$3,SUMIF('TL12'!$C$238:$C$451,$C173,'TL12'!$J$238:$J$451),0),
IF('TL13'!$B$3=O$3,SUMIF('TL13'!$C$10:$C$224,$C173,'TL13'!$J$10:$J$224),0),
IF('TL13'!$B$229=O$3,SUMIF('TL13'!$C$238:$C$451,$C173,'TL13'!$J$238:$J$451),0),
IF('TL14'!$B$3=O$3,SUMIF('TL14'!$C$10:$C$224,$C173,'TL14'!$J$10:$J$224),0),
IF('TL14'!$B$229=O$3,SUMIF('TL14'!$C$238:$C$451,$C173,'TL14'!$J$238:$J$451),0),
IF('TL15'!$B$3=O$3,SUMIF('TL15'!$C$10:$C$224,$C173,'TL15'!$J$10:$J$224),0),
IF('TL15'!$B$229=O$3,SUMIF('TL15'!$C$238:$C$451,$C173,'TL15'!$J$238:$J$451),0),
IF('TL16'!$B$3=O$3,SUMIF('TL16'!$C$10:$C$224,$C173,'TL16'!$J$10:$J$224),0),
IF('TL16'!$B$229=O$3,SUMIF('TL16'!$C$238:$C$451,$C173,'TL16'!$J$238:$J$451),0),
IF('TL17'!$B$3=O$3,SUMIF('TL17'!$C$10:$C$224,$C173,'TL17'!$J$10:$J$224),0),
IF('TL17'!$B$229=O$3,SUMIF('TL17'!$C$238:$C$451,$C173,'TL17'!$J$238:$J$451),0),
IF('TL18'!$B$3=O$3,SUMIF('TL18'!$C$10:$C$224,$C173,'TL18'!$J$10:$J$224),0),
IF('TL18'!$B$229=O$3,SUMIF('TL18'!$C$238:$C$451,$C173,'TL18'!$J$238:$J$451),0),
IF('TL19'!$B$3=O$3,SUMIF('TL19'!$C$10:$C$224,$C173,'TL19'!$J$10:$J$224),0),
IF('TL19'!$B$229=O$3,SUMIF('TL19'!$C$238:$C$451,$C173,'TL19'!$J$238:$J$451),0)
),0)</f>
        <v>0</v>
      </c>
      <c r="P173" s="9">
        <f>IFERROR(SUM(
IF('TL01'!$B$3=P$3,SUMIF('TL01'!$C$10:$C$224,$C173,'TL01'!$J$10:$J$224),0),
IF('TL01'!$B$229=P$3,SUMIF('TL01'!$C$238:$C$451,$C173,'TL01'!$J$238:$J$451),0),
IF('TL02'!$B$3=P$3,SUMIF('TL02'!$C$10:$C$224,$C173,'TL02'!$J$10:$J$224),0),
IF('TL02'!$B$229=P$3,SUMIF('TL02'!$C$238:$C$451,$C173,'TL02'!$J$238:$J$451),0),
IF('TL03'!$B$3=P$3,SUMIF('TL03'!$C$10:$C$224,$C173,'TL03'!$J$10:$J$224),0),
IF('TL03'!$B$229=P$3,SUMIF('TL03'!$C$238:$C$451,$C173,'TL03'!$J$238:$J$451),0),
IF('TL04'!$B$3=P$3,SUMIF('TL04'!$C$10:$C$224,$C173,'TL04'!$J$10:$J$224),0),
IF('TL04'!$B$229=P$3,SUMIF('TL04'!$C$238:$C$451,$C173,'TL04'!$J$238:$J$451),0),
IF('TL05'!$B$3=P$3,SUMIF('TL05'!$C$10:$C$224,$C173,'TL05'!$J$10:$J$224),0),
IF('TL05'!$B$229=P$3,SUMIF('TL05'!$C$238:$C$451,$C173,'TL05'!$J$238:$J$451),0),
IF('TL06'!$B$3=P$3,SUMIF('TL06'!$C$10:$C$224,$C173,'TL06'!$J$10:$J$224),0),
IF('TL06'!$B$229=P$3,SUMIF('TL06'!$C$238:$C$451,$C173,'TL06'!$J$238:$J$451),0),
IF('TL07'!$B$3=P$3,SUMIF('TL07'!$C$10:$C$224,$C173,'TL07'!$J$10:$J$224),0),
IF('TL07'!$B$229=P$3,SUMIF('TL07'!$C$238:$C$451,$C173,'TL07'!$J$238:$J$451),0),
IF('TL08'!$B$3=P$3,SUMIF('TL08'!$C$10:$C$224,$C173,'TL08'!$J$10:$J$224),0),
IF('TL08'!$B$229=P$3,SUMIF('TL08'!$C$238:$C$451,$C173,'TL08'!$J$238:$J$451),0),
IF('TL09'!$B$3=P$3,SUMIF('TL09'!$C$10:$C$224,$C173,'TL09'!$J$10:$J$224),0),
IF('TL09'!$B$229=P$3,SUMIF('TL09'!$C$238:$C$451,$C173,'TL09'!$J$238:$J$451),0),
IF('TL10'!$B$3=P$3,SUMIF('TL10'!$C$10:$C$224,$C173,'TL10'!$J$10:$J$224),0),
IF('TL10'!$B$229=P$3,SUMIF('TL10'!$C$238:$C$451,$C173,'TL10'!$J$238:$J$451),0),
IF('TL11'!$B$3=P$3,SUMIF('TL11'!$C$10:$C$224,$C173,'TL11'!$J$10:$J$224),0),
IF('TL11'!$B$229=P$3,SUMIF('TL11'!$C$238:$C$451,$C173,'TL11'!$J$238:$J$451),0),
IF('TL12'!$B$3=P$3,SUMIF('TL12'!$C$10:$C$224,$C173,'TL12'!$J$10:$J$224),0),
IF('TL12'!$B$229=P$3,SUMIF('TL12'!$C$238:$C$451,$C173,'TL12'!$J$238:$J$451),0),
IF('TL13'!$B$3=P$3,SUMIF('TL13'!$C$10:$C$224,$C173,'TL13'!$J$10:$J$224),0),
IF('TL13'!$B$229=P$3,SUMIF('TL13'!$C$238:$C$451,$C173,'TL13'!$J$238:$J$451),0),
IF('TL14'!$B$3=P$3,SUMIF('TL14'!$C$10:$C$224,$C173,'TL14'!$J$10:$J$224),0),
IF('TL14'!$B$229=P$3,SUMIF('TL14'!$C$238:$C$451,$C173,'TL14'!$J$238:$J$451),0),
IF('TL15'!$B$3=P$3,SUMIF('TL15'!$C$10:$C$224,$C173,'TL15'!$J$10:$J$224),0),
IF('TL15'!$B$229=P$3,SUMIF('TL15'!$C$238:$C$451,$C173,'TL15'!$J$238:$J$451),0),
IF('TL16'!$B$3=P$3,SUMIF('TL16'!$C$10:$C$224,$C173,'TL16'!$J$10:$J$224),0),
IF('TL16'!$B$229=P$3,SUMIF('TL16'!$C$238:$C$451,$C173,'TL16'!$J$238:$J$451),0),
IF('TL17'!$B$3=P$3,SUMIF('TL17'!$C$10:$C$224,$C173,'TL17'!$J$10:$J$224),0),
IF('TL17'!$B$229=P$3,SUMIF('TL17'!$C$238:$C$451,$C173,'TL17'!$J$238:$J$451),0),
IF('TL18'!$B$3=P$3,SUMIF('TL18'!$C$10:$C$224,$C173,'TL18'!$J$10:$J$224),0),
IF('TL18'!$B$229=P$3,SUMIF('TL18'!$C$238:$C$451,$C173,'TL18'!$J$238:$J$451),0),
IF('TL19'!$B$3=P$3,SUMIF('TL19'!$C$10:$C$224,$C173,'TL19'!$J$10:$J$224),0),
IF('TL19'!$B$229=P$3,SUMIF('TL19'!$C$238:$C$451,$C173,'TL19'!$J$238:$J$451),0)
),0)</f>
        <v>730.8</v>
      </c>
      <c r="Q173" s="9">
        <f>IFERROR(SUM(
IF('TL01'!$B$3=Q$3,SUMIF('TL01'!$C$10:$C$224,$C173,'TL01'!$J$10:$J$224),0),
IF('TL01'!$B$229=Q$3,SUMIF('TL01'!$C$238:$C$451,$C173,'TL01'!$J$238:$J$451),0),
IF('TL02'!$B$3=Q$3,SUMIF('TL02'!$C$10:$C$224,$C173,'TL02'!$J$10:$J$224),0),
IF('TL02'!$B$229=Q$3,SUMIF('TL02'!$C$238:$C$451,$C173,'TL02'!$J$238:$J$451),0),
IF('TL03'!$B$3=Q$3,SUMIF('TL03'!$C$10:$C$224,$C173,'TL03'!$J$10:$J$224),0),
IF('TL03'!$B$229=Q$3,SUMIF('TL03'!$C$238:$C$451,$C173,'TL03'!$J$238:$J$451),0),
IF('TL04'!$B$3=Q$3,SUMIF('TL04'!$C$10:$C$224,$C173,'TL04'!$J$10:$J$224),0),
IF('TL04'!$B$229=Q$3,SUMIF('TL04'!$C$238:$C$451,$C173,'TL04'!$J$238:$J$451),0),
IF('TL05'!$B$3=Q$3,SUMIF('TL05'!$C$10:$C$224,$C173,'TL05'!$J$10:$J$224),0),
IF('TL05'!$B$229=Q$3,SUMIF('TL05'!$C$238:$C$451,$C173,'TL05'!$J$238:$J$451),0),
IF('TL06'!$B$3=Q$3,SUMIF('TL06'!$C$10:$C$224,$C173,'TL06'!$J$10:$J$224),0),
IF('TL06'!$B$229=Q$3,SUMIF('TL06'!$C$238:$C$451,$C173,'TL06'!$J$238:$J$451),0),
IF('TL07'!$B$3=Q$3,SUMIF('TL07'!$C$10:$C$224,$C173,'TL07'!$J$10:$J$224),0),
IF('TL07'!$B$229=Q$3,SUMIF('TL07'!$C$238:$C$451,$C173,'TL07'!$J$238:$J$451),0),
IF('TL08'!$B$3=Q$3,SUMIF('TL08'!$C$10:$C$224,$C173,'TL08'!$J$10:$J$224),0),
IF('TL08'!$B$229=Q$3,SUMIF('TL08'!$C$238:$C$451,$C173,'TL08'!$J$238:$J$451),0),
IF('TL09'!$B$3=Q$3,SUMIF('TL09'!$C$10:$C$224,$C173,'TL09'!$J$10:$J$224),0),
IF('TL09'!$B$229=Q$3,SUMIF('TL09'!$C$238:$C$451,$C173,'TL09'!$J$238:$J$451),0),
IF('TL10'!$B$3=Q$3,SUMIF('TL10'!$C$10:$C$224,$C173,'TL10'!$J$10:$J$224),0),
IF('TL10'!$B$229=Q$3,SUMIF('TL10'!$C$238:$C$451,$C173,'TL10'!$J$238:$J$451),0),
IF('TL11'!$B$3=Q$3,SUMIF('TL11'!$C$10:$C$224,$C173,'TL11'!$J$10:$J$224),0),
IF('TL11'!$B$229=Q$3,SUMIF('TL11'!$C$238:$C$451,$C173,'TL11'!$J$238:$J$451),0),
IF('TL12'!$B$3=Q$3,SUMIF('TL12'!$C$10:$C$224,$C173,'TL12'!$J$10:$J$224),0),
IF('TL12'!$B$229=Q$3,SUMIF('TL12'!$C$238:$C$451,$C173,'TL12'!$J$238:$J$451),0),
IF('TL13'!$B$3=Q$3,SUMIF('TL13'!$C$10:$C$224,$C173,'TL13'!$J$10:$J$224),0),
IF('TL13'!$B$229=Q$3,SUMIF('TL13'!$C$238:$C$451,$C173,'TL13'!$J$238:$J$451),0),
IF('TL14'!$B$3=Q$3,SUMIF('TL14'!$C$10:$C$224,$C173,'TL14'!$J$10:$J$224),0),
IF('TL14'!$B$229=Q$3,SUMIF('TL14'!$C$238:$C$451,$C173,'TL14'!$J$238:$J$451),0),
IF('TL15'!$B$3=Q$3,SUMIF('TL15'!$C$10:$C$224,$C173,'TL15'!$J$10:$J$224),0),
IF('TL15'!$B$229=Q$3,SUMIF('TL15'!$C$238:$C$451,$C173,'TL15'!$J$238:$J$451),0),
IF('TL16'!$B$3=Q$3,SUMIF('TL16'!$C$10:$C$224,$C173,'TL16'!$J$10:$J$224),0),
IF('TL16'!$B$229=Q$3,SUMIF('TL16'!$C$238:$C$451,$C173,'TL16'!$J$238:$J$451),0),
IF('TL17'!$B$3=Q$3,SUMIF('TL17'!$C$10:$C$224,$C173,'TL17'!$J$10:$J$224),0),
IF('TL17'!$B$229=Q$3,SUMIF('TL17'!$C$238:$C$451,$C173,'TL17'!$J$238:$J$451),0),
IF('TL18'!$B$3=Q$3,SUMIF('TL18'!$C$10:$C$224,$C173,'TL18'!$J$10:$J$224),0),
IF('TL18'!$B$229=Q$3,SUMIF('TL18'!$C$238:$C$451,$C173,'TL18'!$J$238:$J$451),0),
IF('TL19'!$B$3=Q$3,SUMIF('TL19'!$C$10:$C$224,$C173,'TL19'!$J$10:$J$224),0),
IF('TL19'!$B$229=Q$3,SUMIF('TL19'!$C$238:$C$451,$C173,'TL19'!$J$238:$J$451),0)
),0)</f>
        <v>192</v>
      </c>
      <c r="R173" s="9">
        <f>IFERROR(
SUM(
SUMIF('TL01'!C:C,C173,'TL01'!J:J),
SUMIF('TL02'!C:C,C173,'TL02'!J:J),
SUMIF('TL03'!C:C,C173,'TL03'!J:J),
SUMIF('TL04'!C:C,C173,'TL04'!J:J),
SUMIF('TL05'!C:C,C173,'TL05'!J:J),
SUMIF('TL06'!C:C,C173,'TL06'!J:J),
SUMIF('TL07'!C:C,C173,'TL07'!J:J),
SUMIF('TL08'!C:C,C173,'TL08'!J:J),
SUMIF('TL09'!C:C,C173,'TL09'!J:J),
SUMIF('TL10'!C:C,C173,'TL10'!J:J),
SUMIF('TL11'!C:C,C173,'TL11'!J:J),
SUMIF('TL12'!C:C,C173,'TL12'!J:J),
SUMIF('TL13'!C:C,C173,'TL13'!J:J),
SUMIF('TL14'!C:C,C173,'TL14'!J:J),
SUMIF('TL15'!C:C,C173,'TL15'!J:J),
SUMIF('TL16'!C:C,C173,'TL16'!J:J),
SUMIF('TL17'!C:C,C173,'TL17'!J:J),
SUMIF('TL18'!C:C,C173,'TL18'!J:J),SUMIF('TL19'!C:C,C173,'TL19'!J:J))
,0)</f>
        <v>2414.8</v>
      </c>
      <c r="S173" s="17">
        <f>IFERROR(__xludf.DUMMYFUNCTION("IFERROR(VLOOKUP(C173,
IMPORTRANGE(""1wULbzX32WdYsx-lj2U3uUNBBe2INVIRDtcK0d-Dvl90"",
""26-27!C:G""),
5,
FALSE),
"""")"),37.11)</f>
        <v>37.11</v>
      </c>
      <c r="T173" s="9"/>
      <c r="U173" s="92">
        <f t="shared" si="2"/>
        <v>2414.8</v>
      </c>
      <c r="V173" s="93">
        <f t="shared" si="3"/>
        <v>89613.228</v>
      </c>
    </row>
    <row r="174" ht="15.75" hidden="1" customHeight="1">
      <c r="A174" s="87" t="s">
        <v>340</v>
      </c>
      <c r="B174" s="88" t="s">
        <v>2</v>
      </c>
      <c r="C174" s="89" t="s">
        <v>754</v>
      </c>
      <c r="D174" s="89" t="s">
        <v>755</v>
      </c>
      <c r="E174" s="89" t="s">
        <v>756</v>
      </c>
      <c r="F174" s="4" t="s">
        <v>343</v>
      </c>
      <c r="G174" s="90" t="str">
        <f t="shared" si="4"/>
        <v>📄 Ver bula</v>
      </c>
      <c r="H174" s="9">
        <f>IFERROR(__xludf.DUMMYFUNCTION("IFERROR(VLOOKUP(C174,
IMPORTRANGE(""1wULbzX32WdYsx-lj2U3uUNBBe2INVIRDtcK0d-Dvl90"",
""26-27!C:K""),
8,
FALSE),
"""")"),0.3)</f>
        <v>0.3</v>
      </c>
      <c r="I174" s="91" t="s">
        <v>344</v>
      </c>
      <c r="J174" s="9">
        <f>IFERROR(SUM(
IF('TL01'!$B$3=J$3,SUMIF('TL01'!$C$10:$C$224,$C174,'TL01'!$J$10:$J$224),0),
IF('TL01'!$B$229=J$3,SUMIF('TL01'!$C$238:$C$451,$C174,'TL01'!$J$238:$J$451),0),
IF('TL02'!$B$3=J$3,SUMIF('TL02'!$C$10:$C$224,$C174,'TL02'!$J$10:$J$224),0),
IF('TL02'!$B$229=J$3,SUMIF('TL02'!$C$238:$C$451,$C174,'TL02'!$J$238:$J$451),0),
IF('TL03'!$B$3=J$3,SUMIF('TL03'!$C$10:$C$224,$C174,'TL03'!$J$10:$J$224),0),
IF('TL03'!$B$229=J$3,SUMIF('TL03'!$C$238:$C$451,$C174,'TL03'!$J$238:$J$451),0),
IF('TL04'!$B$3=J$3,SUMIF('TL04'!$C$10:$C$224,$C174,'TL04'!$J$10:$J$224),0),
IF('TL04'!$B$229=J$3,SUMIF('TL04'!$C$238:$C$451,$C174,'TL04'!$J$238:$J$451),0),
IF('TL05'!$B$3=J$3,SUMIF('TL05'!$C$10:$C$224,$C174,'TL05'!$J$10:$J$224),0),
IF('TL05'!$B$229=J$3,SUMIF('TL05'!$C$238:$C$451,$C174,'TL05'!$J$238:$J$451),0),
IF('TL06'!$B$3=J$3,SUMIF('TL06'!$C$10:$C$224,$C174,'TL06'!$J$10:$J$224),0),
IF('TL06'!$B$229=J$3,SUMIF('TL06'!$C$238:$C$451,$C174,'TL06'!$J$238:$J$451),0),
IF('TL07'!$B$3=J$3,SUMIF('TL07'!$C$10:$C$224,$C174,'TL07'!$J$10:$J$224),0),
IF('TL07'!$B$229=J$3,SUMIF('TL07'!$C$238:$C$451,$C174,'TL07'!$J$238:$J$451),0),
IF('TL08'!$B$3=J$3,SUMIF('TL08'!$C$10:$C$224,$C174,'TL08'!$J$10:$J$224),0),
IF('TL08'!$B$229=J$3,SUMIF('TL08'!$C$238:$C$451,$C174,'TL08'!$J$238:$J$451),0),
IF('TL09'!$B$3=J$3,SUMIF('TL09'!$C$10:$C$224,$C174,'TL09'!$J$10:$J$224),0),
IF('TL09'!$B$229=J$3,SUMIF('TL09'!$C$238:$C$451,$C174,'TL09'!$J$238:$J$451),0),
IF('TL10'!$B$3=J$3,SUMIF('TL10'!$C$10:$C$224,$C174,'TL10'!$J$10:$J$224),0),
IF('TL10'!$B$229=J$3,SUMIF('TL10'!$C$238:$C$451,$C174,'TL10'!$J$238:$J$451),0),
IF('TL11'!$B$3=J$3,SUMIF('TL11'!$C$10:$C$224,$C174,'TL11'!$J$10:$J$224),0),
IF('TL11'!$B$229=J$3,SUMIF('TL11'!$C$238:$C$451,$C174,'TL11'!$J$238:$J$451),0),
IF('TL12'!$B$3=J$3,SUMIF('TL12'!$C$10:$C$224,$C174,'TL12'!$J$10:$J$224),0),
IF('TL12'!$B$229=J$3,SUMIF('TL12'!$C$238:$C$451,$C174,'TL12'!$J$238:$J$451),0),
IF('TL13'!$B$3=J$3,SUMIF('TL13'!$C$10:$C$224,$C174,'TL13'!$J$10:$J$224),0),
IF('TL13'!$B$229=J$3,SUMIF('TL13'!$C$238:$C$451,$C174,'TL13'!$J$238:$J$451),0),
IF('TL14'!$B$3=J$3,SUMIF('TL14'!$C$10:$C$224,$C174,'TL14'!$J$10:$J$224),0),
IF('TL14'!$B$229=J$3,SUMIF('TL14'!$C$238:$C$451,$C174,'TL14'!$J$238:$J$451),0),
IF('TL15'!$B$3=J$3,SUMIF('TL15'!$C$10:$C$224,$C174,'TL15'!$J$10:$J$224),0),
IF('TL15'!$B$229=J$3,SUMIF('TL15'!$C$238:$C$451,$C174,'TL15'!$J$238:$J$451),0),
IF('TL16'!$B$3=J$3,SUMIF('TL16'!$C$10:$C$224,$C174,'TL16'!$J$10:$J$224),0),
IF('TL16'!$B$229=J$3,SUMIF('TL16'!$C$238:$C$451,$C174,'TL16'!$J$238:$J$451),0),
IF('TL17'!$B$3=J$3,SUMIF('TL17'!$C$10:$C$224,$C174,'TL17'!$J$10:$J$224),0),
IF('TL17'!$B$229=J$3,SUMIF('TL17'!$C$238:$C$451,$C174,'TL17'!$J$238:$J$451),0),
IF('TL18'!$B$3=J$3,SUMIF('TL18'!$C$10:$C$224,$C174,'TL18'!$J$10:$J$224),0),
IF('TL18'!$B$229=J$3,SUMIF('TL18'!$C$238:$C$451,$C174,'TL18'!$J$238:$J$451),0),
IF('TL19'!$B$3=J$3,SUMIF('TL19'!$C$10:$C$224,$C174,'TL19'!$J$10:$J$224),0),
IF('TL19'!$B$229=J$3,SUMIF('TL19'!$C$238:$C$451,$C174,'TL19'!$J$238:$J$451),0)
),0)</f>
        <v>0</v>
      </c>
      <c r="K174" s="9">
        <f>IFERROR(SUM(
IF('TL01'!$B$3=K$3,SUMIF('TL01'!$C$10:$C$224,$C174,'TL01'!$J$10:$J$224),0),
IF('TL01'!$B$229=K$3,SUMIF('TL01'!$C$238:$C$451,$C174,'TL01'!$J$238:$J$451),0),
IF('TL02'!$B$3=K$3,SUMIF('TL02'!$C$10:$C$224,$C174,'TL02'!$J$10:$J$224),0),
IF('TL02'!$B$229=K$3,SUMIF('TL02'!$C$238:$C$451,$C174,'TL02'!$J$238:$J$451),0),
IF('TL03'!$B$3=K$3,SUMIF('TL03'!$C$10:$C$224,$C174,'TL03'!$J$10:$J$224),0),
IF('TL03'!$B$229=K$3,SUMIF('TL03'!$C$238:$C$451,$C174,'TL03'!$J$238:$J$451),0),
IF('TL04'!$B$3=K$3,SUMIF('TL04'!$C$10:$C$224,$C174,'TL04'!$J$10:$J$224),0),
IF('TL04'!$B$229=K$3,SUMIF('TL04'!$C$238:$C$451,$C174,'TL04'!$J$238:$J$451),0),
IF('TL05'!$B$3=K$3,SUMIF('TL05'!$C$10:$C$224,$C174,'TL05'!$J$10:$J$224),0),
IF('TL05'!$B$229=K$3,SUMIF('TL05'!$C$238:$C$451,$C174,'TL05'!$J$238:$J$451),0),
IF('TL06'!$B$3=K$3,SUMIF('TL06'!$C$10:$C$224,$C174,'TL06'!$J$10:$J$224),0),
IF('TL06'!$B$229=K$3,SUMIF('TL06'!$C$238:$C$451,$C174,'TL06'!$J$238:$J$451),0),
IF('TL07'!$B$3=K$3,SUMIF('TL07'!$C$10:$C$224,$C174,'TL07'!$J$10:$J$224),0),
IF('TL07'!$B$229=K$3,SUMIF('TL07'!$C$238:$C$451,$C174,'TL07'!$J$238:$J$451),0),
IF('TL08'!$B$3=K$3,SUMIF('TL08'!$C$10:$C$224,$C174,'TL08'!$J$10:$J$224),0),
IF('TL08'!$B$229=K$3,SUMIF('TL08'!$C$238:$C$451,$C174,'TL08'!$J$238:$J$451),0),
IF('TL09'!$B$3=K$3,SUMIF('TL09'!$C$10:$C$224,$C174,'TL09'!$J$10:$J$224),0),
IF('TL09'!$B$229=K$3,SUMIF('TL09'!$C$238:$C$451,$C174,'TL09'!$J$238:$J$451),0),
IF('TL10'!$B$3=K$3,SUMIF('TL10'!$C$10:$C$224,$C174,'TL10'!$J$10:$J$224),0),
IF('TL10'!$B$229=K$3,SUMIF('TL10'!$C$238:$C$451,$C174,'TL10'!$J$238:$J$451),0),
IF('TL11'!$B$3=K$3,SUMIF('TL11'!$C$10:$C$224,$C174,'TL11'!$J$10:$J$224),0),
IF('TL11'!$B$229=K$3,SUMIF('TL11'!$C$238:$C$451,$C174,'TL11'!$J$238:$J$451),0),
IF('TL12'!$B$3=K$3,SUMIF('TL12'!$C$10:$C$224,$C174,'TL12'!$J$10:$J$224),0),
IF('TL12'!$B$229=K$3,SUMIF('TL12'!$C$238:$C$451,$C174,'TL12'!$J$238:$J$451),0),
IF('TL13'!$B$3=K$3,SUMIF('TL13'!$C$10:$C$224,$C174,'TL13'!$J$10:$J$224),0),
IF('TL13'!$B$229=K$3,SUMIF('TL13'!$C$238:$C$451,$C174,'TL13'!$J$238:$J$451),0),
IF('TL14'!$B$3=K$3,SUMIF('TL14'!$C$10:$C$224,$C174,'TL14'!$J$10:$J$224),0),
IF('TL14'!$B$229=K$3,SUMIF('TL14'!$C$238:$C$451,$C174,'TL14'!$J$238:$J$451),0),
IF('TL15'!$B$3=K$3,SUMIF('TL15'!$C$10:$C$224,$C174,'TL15'!$J$10:$J$224),0),
IF('TL15'!$B$229=K$3,SUMIF('TL15'!$C$238:$C$451,$C174,'TL15'!$J$238:$J$451),0),
IF('TL16'!$B$3=K$3,SUMIF('TL16'!$C$10:$C$224,$C174,'TL16'!$J$10:$J$224),0),
IF('TL16'!$B$229=K$3,SUMIF('TL16'!$C$238:$C$451,$C174,'TL16'!$J$238:$J$451),0),
IF('TL17'!$B$3=K$3,SUMIF('TL17'!$C$10:$C$224,$C174,'TL17'!$J$10:$J$224),0),
IF('TL17'!$B$229=K$3,SUMIF('TL17'!$C$238:$C$451,$C174,'TL17'!$J$238:$J$451),0),
IF('TL18'!$B$3=K$3,SUMIF('TL18'!$C$10:$C$224,$C174,'TL18'!$J$10:$J$224),0),
IF('TL18'!$B$229=K$3,SUMIF('TL18'!$C$238:$C$451,$C174,'TL18'!$J$238:$J$451),0),
IF('TL19'!$B$3=K$3,SUMIF('TL19'!$C$10:$C$224,$C174,'TL19'!$J$10:$J$224),0),
IF('TL19'!$B$229=K$3,SUMIF('TL19'!$C$238:$C$451,$C174,'TL19'!$J$238:$J$451),0)
),0)</f>
        <v>0</v>
      </c>
      <c r="L174" s="9">
        <f>IFERROR(SUM(
IF('TL01'!$B$3=L$3,SUMIF('TL01'!$C$10:$C$224,$C174,'TL01'!$J$10:$J$224),0),
IF('TL01'!$B$229=L$3,SUMIF('TL01'!$C$238:$C$451,$C174,'TL01'!$J$238:$J$451),0),
IF('TL02'!$B$3=L$3,SUMIF('TL02'!$C$10:$C$224,$C174,'TL02'!$J$10:$J$224),0),
IF('TL02'!$B$229=L$3,SUMIF('TL02'!$C$238:$C$451,$C174,'TL02'!$J$238:$J$451),0),
IF('TL03'!$B$3=L$3,SUMIF('TL03'!$C$10:$C$224,$C174,'TL03'!$J$10:$J$224),0),
IF('TL03'!$B$229=L$3,SUMIF('TL03'!$C$238:$C$451,$C174,'TL03'!$J$238:$J$451),0),
IF('TL04'!$B$3=L$3,SUMIF('TL04'!$C$10:$C$224,$C174,'TL04'!$J$10:$J$224),0),
IF('TL04'!$B$229=L$3,SUMIF('TL04'!$C$238:$C$451,$C174,'TL04'!$J$238:$J$451),0),
IF('TL05'!$B$3=L$3,SUMIF('TL05'!$C$10:$C$224,$C174,'TL05'!$J$10:$J$224),0),
IF('TL05'!$B$229=L$3,SUMIF('TL05'!$C$238:$C$451,$C174,'TL05'!$J$238:$J$451),0),
IF('TL06'!$B$3=L$3,SUMIF('TL06'!$C$10:$C$224,$C174,'TL06'!$J$10:$J$224),0),
IF('TL06'!$B$229=L$3,SUMIF('TL06'!$C$238:$C$451,$C174,'TL06'!$J$238:$J$451),0),
IF('TL07'!$B$3=L$3,SUMIF('TL07'!$C$10:$C$224,$C174,'TL07'!$J$10:$J$224),0),
IF('TL07'!$B$229=L$3,SUMIF('TL07'!$C$238:$C$451,$C174,'TL07'!$J$238:$J$451),0),
IF('TL08'!$B$3=L$3,SUMIF('TL08'!$C$10:$C$224,$C174,'TL08'!$J$10:$J$224),0),
IF('TL08'!$B$229=L$3,SUMIF('TL08'!$C$238:$C$451,$C174,'TL08'!$J$238:$J$451),0),
IF('TL09'!$B$3=L$3,SUMIF('TL09'!$C$10:$C$224,$C174,'TL09'!$J$10:$J$224),0),
IF('TL09'!$B$229=L$3,SUMIF('TL09'!$C$238:$C$451,$C174,'TL09'!$J$238:$J$451),0),
IF('TL10'!$B$3=L$3,SUMIF('TL10'!$C$10:$C$224,$C174,'TL10'!$J$10:$J$224),0),
IF('TL10'!$B$229=L$3,SUMIF('TL10'!$C$238:$C$451,$C174,'TL10'!$J$238:$J$451),0),
IF('TL11'!$B$3=L$3,SUMIF('TL11'!$C$10:$C$224,$C174,'TL11'!$J$10:$J$224),0),
IF('TL11'!$B$229=L$3,SUMIF('TL11'!$C$238:$C$451,$C174,'TL11'!$J$238:$J$451),0),
IF('TL12'!$B$3=L$3,SUMIF('TL12'!$C$10:$C$224,$C174,'TL12'!$J$10:$J$224),0),
IF('TL12'!$B$229=L$3,SUMIF('TL12'!$C$238:$C$451,$C174,'TL12'!$J$238:$J$451),0),
IF('TL13'!$B$3=L$3,SUMIF('TL13'!$C$10:$C$224,$C174,'TL13'!$J$10:$J$224),0),
IF('TL13'!$B$229=L$3,SUMIF('TL13'!$C$238:$C$451,$C174,'TL13'!$J$238:$J$451),0),
IF('TL14'!$B$3=L$3,SUMIF('TL14'!$C$10:$C$224,$C174,'TL14'!$J$10:$J$224),0),
IF('TL14'!$B$229=L$3,SUMIF('TL14'!$C$238:$C$451,$C174,'TL14'!$J$238:$J$451),0),
IF('TL15'!$B$3=L$3,SUMIF('TL15'!$C$10:$C$224,$C174,'TL15'!$J$10:$J$224),0),
IF('TL15'!$B$229=L$3,SUMIF('TL15'!$C$238:$C$451,$C174,'TL15'!$J$238:$J$451),0),
IF('TL16'!$B$3=L$3,SUMIF('TL16'!$C$10:$C$224,$C174,'TL16'!$J$10:$J$224),0),
IF('TL16'!$B$229=L$3,SUMIF('TL16'!$C$238:$C$451,$C174,'TL16'!$J$238:$J$451),0),
IF('TL17'!$B$3=L$3,SUMIF('TL17'!$C$10:$C$224,$C174,'TL17'!$J$10:$J$224),0),
IF('TL17'!$B$229=L$3,SUMIF('TL17'!$C$238:$C$451,$C174,'TL17'!$J$238:$J$451),0),
IF('TL18'!$B$3=L$3,SUMIF('TL18'!$C$10:$C$224,$C174,'TL18'!$J$10:$J$224),0),
IF('TL18'!$B$229=L$3,SUMIF('TL18'!$C$238:$C$451,$C174,'TL18'!$J$238:$J$451),0),
IF('TL19'!$B$3=L$3,SUMIF('TL19'!$C$10:$C$224,$C174,'TL19'!$J$10:$J$224),0),
IF('TL19'!$B$229=L$3,SUMIF('TL19'!$C$238:$C$451,$C174,'TL19'!$J$238:$J$451),0)
),0)</f>
        <v>0</v>
      </c>
      <c r="M174" s="9">
        <f>IFERROR(SUM(
IF('TL01'!$B$3=M$3,SUMIF('TL01'!$C$10:$C$224,$C174,'TL01'!$J$10:$J$224),0),
IF('TL01'!$B$229=M$3,SUMIF('TL01'!$C$238:$C$451,$C174,'TL01'!$J$238:$J$451),0),
IF('TL02'!$B$3=M$3,SUMIF('TL02'!$C$10:$C$224,$C174,'TL02'!$J$10:$J$224),0),
IF('TL02'!$B$229=M$3,SUMIF('TL02'!$C$238:$C$451,$C174,'TL02'!$J$238:$J$451),0),
IF('TL03'!$B$3=M$3,SUMIF('TL03'!$C$10:$C$224,$C174,'TL03'!$J$10:$J$224),0),
IF('TL03'!$B$229=M$3,SUMIF('TL03'!$C$238:$C$451,$C174,'TL03'!$J$238:$J$451),0),
IF('TL04'!$B$3=M$3,SUMIF('TL04'!$C$10:$C$224,$C174,'TL04'!$J$10:$J$224),0),
IF('TL04'!$B$229=M$3,SUMIF('TL04'!$C$238:$C$451,$C174,'TL04'!$J$238:$J$451),0),
IF('TL05'!$B$3=M$3,SUMIF('TL05'!$C$10:$C$224,$C174,'TL05'!$J$10:$J$224),0),
IF('TL05'!$B$229=M$3,SUMIF('TL05'!$C$238:$C$451,$C174,'TL05'!$J$238:$J$451),0),
IF('TL06'!$B$3=M$3,SUMIF('TL06'!$C$10:$C$224,$C174,'TL06'!$J$10:$J$224),0),
IF('TL06'!$B$229=M$3,SUMIF('TL06'!$C$238:$C$451,$C174,'TL06'!$J$238:$J$451),0),
IF('TL07'!$B$3=M$3,SUMIF('TL07'!$C$10:$C$224,$C174,'TL07'!$J$10:$J$224),0),
IF('TL07'!$B$229=M$3,SUMIF('TL07'!$C$238:$C$451,$C174,'TL07'!$J$238:$J$451),0),
IF('TL08'!$B$3=M$3,SUMIF('TL08'!$C$10:$C$224,$C174,'TL08'!$J$10:$J$224),0),
IF('TL08'!$B$229=M$3,SUMIF('TL08'!$C$238:$C$451,$C174,'TL08'!$J$238:$J$451),0),
IF('TL09'!$B$3=M$3,SUMIF('TL09'!$C$10:$C$224,$C174,'TL09'!$J$10:$J$224),0),
IF('TL09'!$B$229=M$3,SUMIF('TL09'!$C$238:$C$451,$C174,'TL09'!$J$238:$J$451),0),
IF('TL10'!$B$3=M$3,SUMIF('TL10'!$C$10:$C$224,$C174,'TL10'!$J$10:$J$224),0),
IF('TL10'!$B$229=M$3,SUMIF('TL10'!$C$238:$C$451,$C174,'TL10'!$J$238:$J$451),0),
IF('TL11'!$B$3=M$3,SUMIF('TL11'!$C$10:$C$224,$C174,'TL11'!$J$10:$J$224),0),
IF('TL11'!$B$229=M$3,SUMIF('TL11'!$C$238:$C$451,$C174,'TL11'!$J$238:$J$451),0),
IF('TL12'!$B$3=M$3,SUMIF('TL12'!$C$10:$C$224,$C174,'TL12'!$J$10:$J$224),0),
IF('TL12'!$B$229=M$3,SUMIF('TL12'!$C$238:$C$451,$C174,'TL12'!$J$238:$J$451),0),
IF('TL13'!$B$3=M$3,SUMIF('TL13'!$C$10:$C$224,$C174,'TL13'!$J$10:$J$224),0),
IF('TL13'!$B$229=M$3,SUMIF('TL13'!$C$238:$C$451,$C174,'TL13'!$J$238:$J$451),0),
IF('TL14'!$B$3=M$3,SUMIF('TL14'!$C$10:$C$224,$C174,'TL14'!$J$10:$J$224),0),
IF('TL14'!$B$229=M$3,SUMIF('TL14'!$C$238:$C$451,$C174,'TL14'!$J$238:$J$451),0),
IF('TL15'!$B$3=M$3,SUMIF('TL15'!$C$10:$C$224,$C174,'TL15'!$J$10:$J$224),0),
IF('TL15'!$B$229=M$3,SUMIF('TL15'!$C$238:$C$451,$C174,'TL15'!$J$238:$J$451),0),
IF('TL16'!$B$3=M$3,SUMIF('TL16'!$C$10:$C$224,$C174,'TL16'!$J$10:$J$224),0),
IF('TL16'!$B$229=M$3,SUMIF('TL16'!$C$238:$C$451,$C174,'TL16'!$J$238:$J$451),0),
IF('TL17'!$B$3=M$3,SUMIF('TL17'!$C$10:$C$224,$C174,'TL17'!$J$10:$J$224),0),
IF('TL17'!$B$229=M$3,SUMIF('TL17'!$C$238:$C$451,$C174,'TL17'!$J$238:$J$451),0),
IF('TL18'!$B$3=M$3,SUMIF('TL18'!$C$10:$C$224,$C174,'TL18'!$J$10:$J$224),0),
IF('TL18'!$B$229=M$3,SUMIF('TL18'!$C$238:$C$451,$C174,'TL18'!$J$238:$J$451),0),
IF('TL19'!$B$3=M$3,SUMIF('TL19'!$C$10:$C$224,$C174,'TL19'!$J$10:$J$224),0),
IF('TL19'!$B$229=M$3,SUMIF('TL19'!$C$238:$C$451,$C174,'TL19'!$J$238:$J$451),0)
),0)</f>
        <v>0</v>
      </c>
      <c r="N174" s="9">
        <f>IFERROR(SUM(
IF('TL01'!$B$3=N$3,SUMIF('TL01'!$C$10:$C$224,$C174,'TL01'!$J$10:$J$224),0),
IF('TL01'!$B$229=N$3,SUMIF('TL01'!$C$238:$C$451,$C174,'TL01'!$J$238:$J$451),0),
IF('TL02'!$B$3=N$3,SUMIF('TL02'!$C$10:$C$224,$C174,'TL02'!$J$10:$J$224),0),
IF('TL02'!$B$229=N$3,SUMIF('TL02'!$C$238:$C$451,$C174,'TL02'!$J$238:$J$451),0),
IF('TL03'!$B$3=N$3,SUMIF('TL03'!$C$10:$C$224,$C174,'TL03'!$J$10:$J$224),0),
IF('TL03'!$B$229=N$3,SUMIF('TL03'!$C$238:$C$451,$C174,'TL03'!$J$238:$J$451),0),
IF('TL04'!$B$3=N$3,SUMIF('TL04'!$C$10:$C$224,$C174,'TL04'!$J$10:$J$224),0),
IF('TL04'!$B$229=N$3,SUMIF('TL04'!$C$238:$C$451,$C174,'TL04'!$J$238:$J$451),0),
IF('TL05'!$B$3=N$3,SUMIF('TL05'!$C$10:$C$224,$C174,'TL05'!$J$10:$J$224),0),
IF('TL05'!$B$229=N$3,SUMIF('TL05'!$C$238:$C$451,$C174,'TL05'!$J$238:$J$451),0),
IF('TL06'!$B$3=N$3,SUMIF('TL06'!$C$10:$C$224,$C174,'TL06'!$J$10:$J$224),0),
IF('TL06'!$B$229=N$3,SUMIF('TL06'!$C$238:$C$451,$C174,'TL06'!$J$238:$J$451),0),
IF('TL07'!$B$3=N$3,SUMIF('TL07'!$C$10:$C$224,$C174,'TL07'!$J$10:$J$224),0),
IF('TL07'!$B$229=N$3,SUMIF('TL07'!$C$238:$C$451,$C174,'TL07'!$J$238:$J$451),0),
IF('TL08'!$B$3=N$3,SUMIF('TL08'!$C$10:$C$224,$C174,'TL08'!$J$10:$J$224),0),
IF('TL08'!$B$229=N$3,SUMIF('TL08'!$C$238:$C$451,$C174,'TL08'!$J$238:$J$451),0),
IF('TL09'!$B$3=N$3,SUMIF('TL09'!$C$10:$C$224,$C174,'TL09'!$J$10:$J$224),0),
IF('TL09'!$B$229=N$3,SUMIF('TL09'!$C$238:$C$451,$C174,'TL09'!$J$238:$J$451),0),
IF('TL10'!$B$3=N$3,SUMIF('TL10'!$C$10:$C$224,$C174,'TL10'!$J$10:$J$224),0),
IF('TL10'!$B$229=N$3,SUMIF('TL10'!$C$238:$C$451,$C174,'TL10'!$J$238:$J$451),0),
IF('TL11'!$B$3=N$3,SUMIF('TL11'!$C$10:$C$224,$C174,'TL11'!$J$10:$J$224),0),
IF('TL11'!$B$229=N$3,SUMIF('TL11'!$C$238:$C$451,$C174,'TL11'!$J$238:$J$451),0),
IF('TL12'!$B$3=N$3,SUMIF('TL12'!$C$10:$C$224,$C174,'TL12'!$J$10:$J$224),0),
IF('TL12'!$B$229=N$3,SUMIF('TL12'!$C$238:$C$451,$C174,'TL12'!$J$238:$J$451),0),
IF('TL13'!$B$3=N$3,SUMIF('TL13'!$C$10:$C$224,$C174,'TL13'!$J$10:$J$224),0),
IF('TL13'!$B$229=N$3,SUMIF('TL13'!$C$238:$C$451,$C174,'TL13'!$J$238:$J$451),0),
IF('TL14'!$B$3=N$3,SUMIF('TL14'!$C$10:$C$224,$C174,'TL14'!$J$10:$J$224),0),
IF('TL14'!$B$229=N$3,SUMIF('TL14'!$C$238:$C$451,$C174,'TL14'!$J$238:$J$451),0),
IF('TL15'!$B$3=N$3,SUMIF('TL15'!$C$10:$C$224,$C174,'TL15'!$J$10:$J$224),0),
IF('TL15'!$B$229=N$3,SUMIF('TL15'!$C$238:$C$451,$C174,'TL15'!$J$238:$J$451),0),
IF('TL16'!$B$3=N$3,SUMIF('TL16'!$C$10:$C$224,$C174,'TL16'!$J$10:$J$224),0),
IF('TL16'!$B$229=N$3,SUMIF('TL16'!$C$238:$C$451,$C174,'TL16'!$J$238:$J$451),0),
IF('TL17'!$B$3=N$3,SUMIF('TL17'!$C$10:$C$224,$C174,'TL17'!$J$10:$J$224),0),
IF('TL17'!$B$229=N$3,SUMIF('TL17'!$C$238:$C$451,$C174,'TL17'!$J$238:$J$451),0),
IF('TL18'!$B$3=N$3,SUMIF('TL18'!$C$10:$C$224,$C174,'TL18'!$J$10:$J$224),0),
IF('TL18'!$B$229=N$3,SUMIF('TL18'!$C$238:$C$451,$C174,'TL18'!$J$238:$J$451),0),
IF('TL19'!$B$3=N$3,SUMIF('TL19'!$C$10:$C$224,$C174,'TL19'!$J$10:$J$224),0),
IF('TL19'!$B$229=N$3,SUMIF('TL19'!$C$238:$C$451,$C174,'TL19'!$J$238:$J$451),0)
),0)</f>
        <v>0</v>
      </c>
      <c r="O174" s="9">
        <f>IFERROR(SUM(
IF('TL01'!$B$3=O$3,SUMIF('TL01'!$C$10:$C$224,$C174,'TL01'!$J$10:$J$224),0),
IF('TL01'!$B$229=O$3,SUMIF('TL01'!$C$238:$C$451,$C174,'TL01'!$J$238:$J$451),0),
IF('TL02'!$B$3=O$3,SUMIF('TL02'!$C$10:$C$224,$C174,'TL02'!$J$10:$J$224),0),
IF('TL02'!$B$229=O$3,SUMIF('TL02'!$C$238:$C$451,$C174,'TL02'!$J$238:$J$451),0),
IF('TL03'!$B$3=O$3,SUMIF('TL03'!$C$10:$C$224,$C174,'TL03'!$J$10:$J$224),0),
IF('TL03'!$B$229=O$3,SUMIF('TL03'!$C$238:$C$451,$C174,'TL03'!$J$238:$J$451),0),
IF('TL04'!$B$3=O$3,SUMIF('TL04'!$C$10:$C$224,$C174,'TL04'!$J$10:$J$224),0),
IF('TL04'!$B$229=O$3,SUMIF('TL04'!$C$238:$C$451,$C174,'TL04'!$J$238:$J$451),0),
IF('TL05'!$B$3=O$3,SUMIF('TL05'!$C$10:$C$224,$C174,'TL05'!$J$10:$J$224),0),
IF('TL05'!$B$229=O$3,SUMIF('TL05'!$C$238:$C$451,$C174,'TL05'!$J$238:$J$451),0),
IF('TL06'!$B$3=O$3,SUMIF('TL06'!$C$10:$C$224,$C174,'TL06'!$J$10:$J$224),0),
IF('TL06'!$B$229=O$3,SUMIF('TL06'!$C$238:$C$451,$C174,'TL06'!$J$238:$J$451),0),
IF('TL07'!$B$3=O$3,SUMIF('TL07'!$C$10:$C$224,$C174,'TL07'!$J$10:$J$224),0),
IF('TL07'!$B$229=O$3,SUMIF('TL07'!$C$238:$C$451,$C174,'TL07'!$J$238:$J$451),0),
IF('TL08'!$B$3=O$3,SUMIF('TL08'!$C$10:$C$224,$C174,'TL08'!$J$10:$J$224),0),
IF('TL08'!$B$229=O$3,SUMIF('TL08'!$C$238:$C$451,$C174,'TL08'!$J$238:$J$451),0),
IF('TL09'!$B$3=O$3,SUMIF('TL09'!$C$10:$C$224,$C174,'TL09'!$J$10:$J$224),0),
IF('TL09'!$B$229=O$3,SUMIF('TL09'!$C$238:$C$451,$C174,'TL09'!$J$238:$J$451),0),
IF('TL10'!$B$3=O$3,SUMIF('TL10'!$C$10:$C$224,$C174,'TL10'!$J$10:$J$224),0),
IF('TL10'!$B$229=O$3,SUMIF('TL10'!$C$238:$C$451,$C174,'TL10'!$J$238:$J$451),0),
IF('TL11'!$B$3=O$3,SUMIF('TL11'!$C$10:$C$224,$C174,'TL11'!$J$10:$J$224),0),
IF('TL11'!$B$229=O$3,SUMIF('TL11'!$C$238:$C$451,$C174,'TL11'!$J$238:$J$451),0),
IF('TL12'!$B$3=O$3,SUMIF('TL12'!$C$10:$C$224,$C174,'TL12'!$J$10:$J$224),0),
IF('TL12'!$B$229=O$3,SUMIF('TL12'!$C$238:$C$451,$C174,'TL12'!$J$238:$J$451),0),
IF('TL13'!$B$3=O$3,SUMIF('TL13'!$C$10:$C$224,$C174,'TL13'!$J$10:$J$224),0),
IF('TL13'!$B$229=O$3,SUMIF('TL13'!$C$238:$C$451,$C174,'TL13'!$J$238:$J$451),0),
IF('TL14'!$B$3=O$3,SUMIF('TL14'!$C$10:$C$224,$C174,'TL14'!$J$10:$J$224),0),
IF('TL14'!$B$229=O$3,SUMIF('TL14'!$C$238:$C$451,$C174,'TL14'!$J$238:$J$451),0),
IF('TL15'!$B$3=O$3,SUMIF('TL15'!$C$10:$C$224,$C174,'TL15'!$J$10:$J$224),0),
IF('TL15'!$B$229=O$3,SUMIF('TL15'!$C$238:$C$451,$C174,'TL15'!$J$238:$J$451),0),
IF('TL16'!$B$3=O$3,SUMIF('TL16'!$C$10:$C$224,$C174,'TL16'!$J$10:$J$224),0),
IF('TL16'!$B$229=O$3,SUMIF('TL16'!$C$238:$C$451,$C174,'TL16'!$J$238:$J$451),0),
IF('TL17'!$B$3=O$3,SUMIF('TL17'!$C$10:$C$224,$C174,'TL17'!$J$10:$J$224),0),
IF('TL17'!$B$229=O$3,SUMIF('TL17'!$C$238:$C$451,$C174,'TL17'!$J$238:$J$451),0),
IF('TL18'!$B$3=O$3,SUMIF('TL18'!$C$10:$C$224,$C174,'TL18'!$J$10:$J$224),0),
IF('TL18'!$B$229=O$3,SUMIF('TL18'!$C$238:$C$451,$C174,'TL18'!$J$238:$J$451),0),
IF('TL19'!$B$3=O$3,SUMIF('TL19'!$C$10:$C$224,$C174,'TL19'!$J$10:$J$224),0),
IF('TL19'!$B$229=O$3,SUMIF('TL19'!$C$238:$C$451,$C174,'TL19'!$J$238:$J$451),0)
),0)</f>
        <v>0</v>
      </c>
      <c r="P174" s="9">
        <f>IFERROR(SUM(
IF('TL01'!$B$3=P$3,SUMIF('TL01'!$C$10:$C$224,$C174,'TL01'!$J$10:$J$224),0),
IF('TL01'!$B$229=P$3,SUMIF('TL01'!$C$238:$C$451,$C174,'TL01'!$J$238:$J$451),0),
IF('TL02'!$B$3=P$3,SUMIF('TL02'!$C$10:$C$224,$C174,'TL02'!$J$10:$J$224),0),
IF('TL02'!$B$229=P$3,SUMIF('TL02'!$C$238:$C$451,$C174,'TL02'!$J$238:$J$451),0),
IF('TL03'!$B$3=P$3,SUMIF('TL03'!$C$10:$C$224,$C174,'TL03'!$J$10:$J$224),0),
IF('TL03'!$B$229=P$3,SUMIF('TL03'!$C$238:$C$451,$C174,'TL03'!$J$238:$J$451),0),
IF('TL04'!$B$3=P$3,SUMIF('TL04'!$C$10:$C$224,$C174,'TL04'!$J$10:$J$224),0),
IF('TL04'!$B$229=P$3,SUMIF('TL04'!$C$238:$C$451,$C174,'TL04'!$J$238:$J$451),0),
IF('TL05'!$B$3=P$3,SUMIF('TL05'!$C$10:$C$224,$C174,'TL05'!$J$10:$J$224),0),
IF('TL05'!$B$229=P$3,SUMIF('TL05'!$C$238:$C$451,$C174,'TL05'!$J$238:$J$451),0),
IF('TL06'!$B$3=P$3,SUMIF('TL06'!$C$10:$C$224,$C174,'TL06'!$J$10:$J$224),0),
IF('TL06'!$B$229=P$3,SUMIF('TL06'!$C$238:$C$451,$C174,'TL06'!$J$238:$J$451),0),
IF('TL07'!$B$3=P$3,SUMIF('TL07'!$C$10:$C$224,$C174,'TL07'!$J$10:$J$224),0),
IF('TL07'!$B$229=P$3,SUMIF('TL07'!$C$238:$C$451,$C174,'TL07'!$J$238:$J$451),0),
IF('TL08'!$B$3=P$3,SUMIF('TL08'!$C$10:$C$224,$C174,'TL08'!$J$10:$J$224),0),
IF('TL08'!$B$229=P$3,SUMIF('TL08'!$C$238:$C$451,$C174,'TL08'!$J$238:$J$451),0),
IF('TL09'!$B$3=P$3,SUMIF('TL09'!$C$10:$C$224,$C174,'TL09'!$J$10:$J$224),0),
IF('TL09'!$B$229=P$3,SUMIF('TL09'!$C$238:$C$451,$C174,'TL09'!$J$238:$J$451),0),
IF('TL10'!$B$3=P$3,SUMIF('TL10'!$C$10:$C$224,$C174,'TL10'!$J$10:$J$224),0),
IF('TL10'!$B$229=P$3,SUMIF('TL10'!$C$238:$C$451,$C174,'TL10'!$J$238:$J$451),0),
IF('TL11'!$B$3=P$3,SUMIF('TL11'!$C$10:$C$224,$C174,'TL11'!$J$10:$J$224),0),
IF('TL11'!$B$229=P$3,SUMIF('TL11'!$C$238:$C$451,$C174,'TL11'!$J$238:$J$451),0),
IF('TL12'!$B$3=P$3,SUMIF('TL12'!$C$10:$C$224,$C174,'TL12'!$J$10:$J$224),0),
IF('TL12'!$B$229=P$3,SUMIF('TL12'!$C$238:$C$451,$C174,'TL12'!$J$238:$J$451),0),
IF('TL13'!$B$3=P$3,SUMIF('TL13'!$C$10:$C$224,$C174,'TL13'!$J$10:$J$224),0),
IF('TL13'!$B$229=P$3,SUMIF('TL13'!$C$238:$C$451,$C174,'TL13'!$J$238:$J$451),0),
IF('TL14'!$B$3=P$3,SUMIF('TL14'!$C$10:$C$224,$C174,'TL14'!$J$10:$J$224),0),
IF('TL14'!$B$229=P$3,SUMIF('TL14'!$C$238:$C$451,$C174,'TL14'!$J$238:$J$451),0),
IF('TL15'!$B$3=P$3,SUMIF('TL15'!$C$10:$C$224,$C174,'TL15'!$J$10:$J$224),0),
IF('TL15'!$B$229=P$3,SUMIF('TL15'!$C$238:$C$451,$C174,'TL15'!$J$238:$J$451),0),
IF('TL16'!$B$3=P$3,SUMIF('TL16'!$C$10:$C$224,$C174,'TL16'!$J$10:$J$224),0),
IF('TL16'!$B$229=P$3,SUMIF('TL16'!$C$238:$C$451,$C174,'TL16'!$J$238:$J$451),0),
IF('TL17'!$B$3=P$3,SUMIF('TL17'!$C$10:$C$224,$C174,'TL17'!$J$10:$J$224),0),
IF('TL17'!$B$229=P$3,SUMIF('TL17'!$C$238:$C$451,$C174,'TL17'!$J$238:$J$451),0),
IF('TL18'!$B$3=P$3,SUMIF('TL18'!$C$10:$C$224,$C174,'TL18'!$J$10:$J$224),0),
IF('TL18'!$B$229=P$3,SUMIF('TL18'!$C$238:$C$451,$C174,'TL18'!$J$238:$J$451),0),
IF('TL19'!$B$3=P$3,SUMIF('TL19'!$C$10:$C$224,$C174,'TL19'!$J$10:$J$224),0),
IF('TL19'!$B$229=P$3,SUMIF('TL19'!$C$238:$C$451,$C174,'TL19'!$J$238:$J$451),0)
),0)</f>
        <v>0</v>
      </c>
      <c r="Q174" s="9">
        <f>IFERROR(SUM(
IF('TL01'!$B$3=Q$3,SUMIF('TL01'!$C$10:$C$224,$C174,'TL01'!$J$10:$J$224),0),
IF('TL01'!$B$229=Q$3,SUMIF('TL01'!$C$238:$C$451,$C174,'TL01'!$J$238:$J$451),0),
IF('TL02'!$B$3=Q$3,SUMIF('TL02'!$C$10:$C$224,$C174,'TL02'!$J$10:$J$224),0),
IF('TL02'!$B$229=Q$3,SUMIF('TL02'!$C$238:$C$451,$C174,'TL02'!$J$238:$J$451),0),
IF('TL03'!$B$3=Q$3,SUMIF('TL03'!$C$10:$C$224,$C174,'TL03'!$J$10:$J$224),0),
IF('TL03'!$B$229=Q$3,SUMIF('TL03'!$C$238:$C$451,$C174,'TL03'!$J$238:$J$451),0),
IF('TL04'!$B$3=Q$3,SUMIF('TL04'!$C$10:$C$224,$C174,'TL04'!$J$10:$J$224),0),
IF('TL04'!$B$229=Q$3,SUMIF('TL04'!$C$238:$C$451,$C174,'TL04'!$J$238:$J$451),0),
IF('TL05'!$B$3=Q$3,SUMIF('TL05'!$C$10:$C$224,$C174,'TL05'!$J$10:$J$224),0),
IF('TL05'!$B$229=Q$3,SUMIF('TL05'!$C$238:$C$451,$C174,'TL05'!$J$238:$J$451),0),
IF('TL06'!$B$3=Q$3,SUMIF('TL06'!$C$10:$C$224,$C174,'TL06'!$J$10:$J$224),0),
IF('TL06'!$B$229=Q$3,SUMIF('TL06'!$C$238:$C$451,$C174,'TL06'!$J$238:$J$451),0),
IF('TL07'!$B$3=Q$3,SUMIF('TL07'!$C$10:$C$224,$C174,'TL07'!$J$10:$J$224),0),
IF('TL07'!$B$229=Q$3,SUMIF('TL07'!$C$238:$C$451,$C174,'TL07'!$J$238:$J$451),0),
IF('TL08'!$B$3=Q$3,SUMIF('TL08'!$C$10:$C$224,$C174,'TL08'!$J$10:$J$224),0),
IF('TL08'!$B$229=Q$3,SUMIF('TL08'!$C$238:$C$451,$C174,'TL08'!$J$238:$J$451),0),
IF('TL09'!$B$3=Q$3,SUMIF('TL09'!$C$10:$C$224,$C174,'TL09'!$J$10:$J$224),0),
IF('TL09'!$B$229=Q$3,SUMIF('TL09'!$C$238:$C$451,$C174,'TL09'!$J$238:$J$451),0),
IF('TL10'!$B$3=Q$3,SUMIF('TL10'!$C$10:$C$224,$C174,'TL10'!$J$10:$J$224),0),
IF('TL10'!$B$229=Q$3,SUMIF('TL10'!$C$238:$C$451,$C174,'TL10'!$J$238:$J$451),0),
IF('TL11'!$B$3=Q$3,SUMIF('TL11'!$C$10:$C$224,$C174,'TL11'!$J$10:$J$224),0),
IF('TL11'!$B$229=Q$3,SUMIF('TL11'!$C$238:$C$451,$C174,'TL11'!$J$238:$J$451),0),
IF('TL12'!$B$3=Q$3,SUMIF('TL12'!$C$10:$C$224,$C174,'TL12'!$J$10:$J$224),0),
IF('TL12'!$B$229=Q$3,SUMIF('TL12'!$C$238:$C$451,$C174,'TL12'!$J$238:$J$451),0),
IF('TL13'!$B$3=Q$3,SUMIF('TL13'!$C$10:$C$224,$C174,'TL13'!$J$10:$J$224),0),
IF('TL13'!$B$229=Q$3,SUMIF('TL13'!$C$238:$C$451,$C174,'TL13'!$J$238:$J$451),0),
IF('TL14'!$B$3=Q$3,SUMIF('TL14'!$C$10:$C$224,$C174,'TL14'!$J$10:$J$224),0),
IF('TL14'!$B$229=Q$3,SUMIF('TL14'!$C$238:$C$451,$C174,'TL14'!$J$238:$J$451),0),
IF('TL15'!$B$3=Q$3,SUMIF('TL15'!$C$10:$C$224,$C174,'TL15'!$J$10:$J$224),0),
IF('TL15'!$B$229=Q$3,SUMIF('TL15'!$C$238:$C$451,$C174,'TL15'!$J$238:$J$451),0),
IF('TL16'!$B$3=Q$3,SUMIF('TL16'!$C$10:$C$224,$C174,'TL16'!$J$10:$J$224),0),
IF('TL16'!$B$229=Q$3,SUMIF('TL16'!$C$238:$C$451,$C174,'TL16'!$J$238:$J$451),0),
IF('TL17'!$B$3=Q$3,SUMIF('TL17'!$C$10:$C$224,$C174,'TL17'!$J$10:$J$224),0),
IF('TL17'!$B$229=Q$3,SUMIF('TL17'!$C$238:$C$451,$C174,'TL17'!$J$238:$J$451),0),
IF('TL18'!$B$3=Q$3,SUMIF('TL18'!$C$10:$C$224,$C174,'TL18'!$J$10:$J$224),0),
IF('TL18'!$B$229=Q$3,SUMIF('TL18'!$C$238:$C$451,$C174,'TL18'!$J$238:$J$451),0),
IF('TL19'!$B$3=Q$3,SUMIF('TL19'!$C$10:$C$224,$C174,'TL19'!$J$10:$J$224),0),
IF('TL19'!$B$229=Q$3,SUMIF('TL19'!$C$238:$C$451,$C174,'TL19'!$J$238:$J$451),0)
),0)</f>
        <v>0</v>
      </c>
      <c r="R174" s="9">
        <f>IFERROR(
SUM(
SUMIF('TL01'!C:C,C174,'TL01'!J:J),
SUMIF('TL02'!C:C,C174,'TL02'!J:J),
SUMIF('TL03'!C:C,C174,'TL03'!J:J),
SUMIF('TL04'!C:C,C174,'TL04'!J:J),
SUMIF('TL05'!C:C,C174,'TL05'!J:J),
SUMIF('TL06'!C:C,C174,'TL06'!J:J),
SUMIF('TL07'!C:C,C174,'TL07'!J:J),
SUMIF('TL08'!C:C,C174,'TL08'!J:J),
SUMIF('TL09'!C:C,C174,'TL09'!J:J),
SUMIF('TL10'!C:C,C174,'TL10'!J:J),
SUMIF('TL11'!C:C,C174,'TL11'!J:J),
SUMIF('TL12'!C:C,C174,'TL12'!J:J),
SUMIF('TL13'!C:C,C174,'TL13'!J:J),
SUMIF('TL14'!C:C,C174,'TL14'!J:J),
SUMIF('TL15'!C:C,C174,'TL15'!J:J),
SUMIF('TL16'!C:C,C174,'TL16'!J:J),
SUMIF('TL17'!C:C,C174,'TL17'!J:J),
SUMIF('TL18'!C:C,C174,'TL18'!J:J),SUMIF('TL19'!C:C,C174,'TL19'!J:J))
,0)</f>
        <v>0</v>
      </c>
      <c r="S174" s="17">
        <f>IFERROR(__xludf.DUMMYFUNCTION("IFERROR(VLOOKUP(C174,
IMPORTRANGE(""1wULbzX32WdYsx-lj2U3uUNBBe2INVIRDtcK0d-Dvl90"",
""26-27!C:G""),
5,
FALSE),
"""")"),212.64030000000002)</f>
        <v>212.6403</v>
      </c>
      <c r="T174" s="9"/>
      <c r="U174" s="92">
        <f t="shared" si="2"/>
        <v>0</v>
      </c>
      <c r="V174" s="93">
        <f t="shared" si="3"/>
        <v>0</v>
      </c>
    </row>
    <row r="175" ht="15.75" hidden="1" customHeight="1">
      <c r="A175" s="94" t="s">
        <v>340</v>
      </c>
      <c r="B175" s="95" t="s">
        <v>2</v>
      </c>
      <c r="C175" s="96" t="s">
        <v>757</v>
      </c>
      <c r="D175" s="96" t="s">
        <v>758</v>
      </c>
      <c r="E175" s="96">
        <v>100.0</v>
      </c>
      <c r="F175" s="4" t="s">
        <v>392</v>
      </c>
      <c r="G175" s="90" t="str">
        <f t="shared" si="4"/>
        <v>📄 Ver bula</v>
      </c>
      <c r="H175" s="9">
        <f>IFERROR(__xludf.DUMMYFUNCTION("IFERROR(VLOOKUP(C175,
IMPORTRANGE(""1wULbzX32WdYsx-lj2U3uUNBBe2INVIRDtcK0d-Dvl90"",
""26-27!C:K""),
8,
FALSE),
"""")"),0.15)</f>
        <v>0.15</v>
      </c>
      <c r="I175" s="97" t="s">
        <v>344</v>
      </c>
      <c r="J175" s="9">
        <f>IFERROR(SUM(
IF('TL01'!$B$3=J$3,SUMIF('TL01'!$C$10:$C$224,$C175,'TL01'!$J$10:$J$224),0),
IF('TL01'!$B$229=J$3,SUMIF('TL01'!$C$238:$C$451,$C175,'TL01'!$J$238:$J$451),0),
IF('TL02'!$B$3=J$3,SUMIF('TL02'!$C$10:$C$224,$C175,'TL02'!$J$10:$J$224),0),
IF('TL02'!$B$229=J$3,SUMIF('TL02'!$C$238:$C$451,$C175,'TL02'!$J$238:$J$451),0),
IF('TL03'!$B$3=J$3,SUMIF('TL03'!$C$10:$C$224,$C175,'TL03'!$J$10:$J$224),0),
IF('TL03'!$B$229=J$3,SUMIF('TL03'!$C$238:$C$451,$C175,'TL03'!$J$238:$J$451),0),
IF('TL04'!$B$3=J$3,SUMIF('TL04'!$C$10:$C$224,$C175,'TL04'!$J$10:$J$224),0),
IF('TL04'!$B$229=J$3,SUMIF('TL04'!$C$238:$C$451,$C175,'TL04'!$J$238:$J$451),0),
IF('TL05'!$B$3=J$3,SUMIF('TL05'!$C$10:$C$224,$C175,'TL05'!$J$10:$J$224),0),
IF('TL05'!$B$229=J$3,SUMIF('TL05'!$C$238:$C$451,$C175,'TL05'!$J$238:$J$451),0),
IF('TL06'!$B$3=J$3,SUMIF('TL06'!$C$10:$C$224,$C175,'TL06'!$J$10:$J$224),0),
IF('TL06'!$B$229=J$3,SUMIF('TL06'!$C$238:$C$451,$C175,'TL06'!$J$238:$J$451),0),
IF('TL07'!$B$3=J$3,SUMIF('TL07'!$C$10:$C$224,$C175,'TL07'!$J$10:$J$224),0),
IF('TL07'!$B$229=J$3,SUMIF('TL07'!$C$238:$C$451,$C175,'TL07'!$J$238:$J$451),0),
IF('TL08'!$B$3=J$3,SUMIF('TL08'!$C$10:$C$224,$C175,'TL08'!$J$10:$J$224),0),
IF('TL08'!$B$229=J$3,SUMIF('TL08'!$C$238:$C$451,$C175,'TL08'!$J$238:$J$451),0),
IF('TL09'!$B$3=J$3,SUMIF('TL09'!$C$10:$C$224,$C175,'TL09'!$J$10:$J$224),0),
IF('TL09'!$B$229=J$3,SUMIF('TL09'!$C$238:$C$451,$C175,'TL09'!$J$238:$J$451),0),
IF('TL10'!$B$3=J$3,SUMIF('TL10'!$C$10:$C$224,$C175,'TL10'!$J$10:$J$224),0),
IF('TL10'!$B$229=J$3,SUMIF('TL10'!$C$238:$C$451,$C175,'TL10'!$J$238:$J$451),0),
IF('TL11'!$B$3=J$3,SUMIF('TL11'!$C$10:$C$224,$C175,'TL11'!$J$10:$J$224),0),
IF('TL11'!$B$229=J$3,SUMIF('TL11'!$C$238:$C$451,$C175,'TL11'!$J$238:$J$451),0),
IF('TL12'!$B$3=J$3,SUMIF('TL12'!$C$10:$C$224,$C175,'TL12'!$J$10:$J$224),0),
IF('TL12'!$B$229=J$3,SUMIF('TL12'!$C$238:$C$451,$C175,'TL12'!$J$238:$J$451),0),
IF('TL13'!$B$3=J$3,SUMIF('TL13'!$C$10:$C$224,$C175,'TL13'!$J$10:$J$224),0),
IF('TL13'!$B$229=J$3,SUMIF('TL13'!$C$238:$C$451,$C175,'TL13'!$J$238:$J$451),0),
IF('TL14'!$B$3=J$3,SUMIF('TL14'!$C$10:$C$224,$C175,'TL14'!$J$10:$J$224),0),
IF('TL14'!$B$229=J$3,SUMIF('TL14'!$C$238:$C$451,$C175,'TL14'!$J$238:$J$451),0),
IF('TL15'!$B$3=J$3,SUMIF('TL15'!$C$10:$C$224,$C175,'TL15'!$J$10:$J$224),0),
IF('TL15'!$B$229=J$3,SUMIF('TL15'!$C$238:$C$451,$C175,'TL15'!$J$238:$J$451),0),
IF('TL16'!$B$3=J$3,SUMIF('TL16'!$C$10:$C$224,$C175,'TL16'!$J$10:$J$224),0),
IF('TL16'!$B$229=J$3,SUMIF('TL16'!$C$238:$C$451,$C175,'TL16'!$J$238:$J$451),0),
IF('TL17'!$B$3=J$3,SUMIF('TL17'!$C$10:$C$224,$C175,'TL17'!$J$10:$J$224),0),
IF('TL17'!$B$229=J$3,SUMIF('TL17'!$C$238:$C$451,$C175,'TL17'!$J$238:$J$451),0),
IF('TL18'!$B$3=J$3,SUMIF('TL18'!$C$10:$C$224,$C175,'TL18'!$J$10:$J$224),0),
IF('TL18'!$B$229=J$3,SUMIF('TL18'!$C$238:$C$451,$C175,'TL18'!$J$238:$J$451),0),
IF('TL19'!$B$3=J$3,SUMIF('TL19'!$C$10:$C$224,$C175,'TL19'!$J$10:$J$224),0),
IF('TL19'!$B$229=J$3,SUMIF('TL19'!$C$238:$C$451,$C175,'TL19'!$J$238:$J$451),0)
),0)</f>
        <v>0</v>
      </c>
      <c r="K175" s="9">
        <f>IFERROR(SUM(
IF('TL01'!$B$3=K$3,SUMIF('TL01'!$C$10:$C$224,$C175,'TL01'!$J$10:$J$224),0),
IF('TL01'!$B$229=K$3,SUMIF('TL01'!$C$238:$C$451,$C175,'TL01'!$J$238:$J$451),0),
IF('TL02'!$B$3=K$3,SUMIF('TL02'!$C$10:$C$224,$C175,'TL02'!$J$10:$J$224),0),
IF('TL02'!$B$229=K$3,SUMIF('TL02'!$C$238:$C$451,$C175,'TL02'!$J$238:$J$451),0),
IF('TL03'!$B$3=K$3,SUMIF('TL03'!$C$10:$C$224,$C175,'TL03'!$J$10:$J$224),0),
IF('TL03'!$B$229=K$3,SUMIF('TL03'!$C$238:$C$451,$C175,'TL03'!$J$238:$J$451),0),
IF('TL04'!$B$3=K$3,SUMIF('TL04'!$C$10:$C$224,$C175,'TL04'!$J$10:$J$224),0),
IF('TL04'!$B$229=K$3,SUMIF('TL04'!$C$238:$C$451,$C175,'TL04'!$J$238:$J$451),0),
IF('TL05'!$B$3=K$3,SUMIF('TL05'!$C$10:$C$224,$C175,'TL05'!$J$10:$J$224),0),
IF('TL05'!$B$229=K$3,SUMIF('TL05'!$C$238:$C$451,$C175,'TL05'!$J$238:$J$451),0),
IF('TL06'!$B$3=K$3,SUMIF('TL06'!$C$10:$C$224,$C175,'TL06'!$J$10:$J$224),0),
IF('TL06'!$B$229=K$3,SUMIF('TL06'!$C$238:$C$451,$C175,'TL06'!$J$238:$J$451),0),
IF('TL07'!$B$3=K$3,SUMIF('TL07'!$C$10:$C$224,$C175,'TL07'!$J$10:$J$224),0),
IF('TL07'!$B$229=K$3,SUMIF('TL07'!$C$238:$C$451,$C175,'TL07'!$J$238:$J$451),0),
IF('TL08'!$B$3=K$3,SUMIF('TL08'!$C$10:$C$224,$C175,'TL08'!$J$10:$J$224),0),
IF('TL08'!$B$229=K$3,SUMIF('TL08'!$C$238:$C$451,$C175,'TL08'!$J$238:$J$451),0),
IF('TL09'!$B$3=K$3,SUMIF('TL09'!$C$10:$C$224,$C175,'TL09'!$J$10:$J$224),0),
IF('TL09'!$B$229=K$3,SUMIF('TL09'!$C$238:$C$451,$C175,'TL09'!$J$238:$J$451),0),
IF('TL10'!$B$3=K$3,SUMIF('TL10'!$C$10:$C$224,$C175,'TL10'!$J$10:$J$224),0),
IF('TL10'!$B$229=K$3,SUMIF('TL10'!$C$238:$C$451,$C175,'TL10'!$J$238:$J$451),0),
IF('TL11'!$B$3=K$3,SUMIF('TL11'!$C$10:$C$224,$C175,'TL11'!$J$10:$J$224),0),
IF('TL11'!$B$229=K$3,SUMIF('TL11'!$C$238:$C$451,$C175,'TL11'!$J$238:$J$451),0),
IF('TL12'!$B$3=K$3,SUMIF('TL12'!$C$10:$C$224,$C175,'TL12'!$J$10:$J$224),0),
IF('TL12'!$B$229=K$3,SUMIF('TL12'!$C$238:$C$451,$C175,'TL12'!$J$238:$J$451),0),
IF('TL13'!$B$3=K$3,SUMIF('TL13'!$C$10:$C$224,$C175,'TL13'!$J$10:$J$224),0),
IF('TL13'!$B$229=K$3,SUMIF('TL13'!$C$238:$C$451,$C175,'TL13'!$J$238:$J$451),0),
IF('TL14'!$B$3=K$3,SUMIF('TL14'!$C$10:$C$224,$C175,'TL14'!$J$10:$J$224),0),
IF('TL14'!$B$229=K$3,SUMIF('TL14'!$C$238:$C$451,$C175,'TL14'!$J$238:$J$451),0),
IF('TL15'!$B$3=K$3,SUMIF('TL15'!$C$10:$C$224,$C175,'TL15'!$J$10:$J$224),0),
IF('TL15'!$B$229=K$3,SUMIF('TL15'!$C$238:$C$451,$C175,'TL15'!$J$238:$J$451),0),
IF('TL16'!$B$3=K$3,SUMIF('TL16'!$C$10:$C$224,$C175,'TL16'!$J$10:$J$224),0),
IF('TL16'!$B$229=K$3,SUMIF('TL16'!$C$238:$C$451,$C175,'TL16'!$J$238:$J$451),0),
IF('TL17'!$B$3=K$3,SUMIF('TL17'!$C$10:$C$224,$C175,'TL17'!$J$10:$J$224),0),
IF('TL17'!$B$229=K$3,SUMIF('TL17'!$C$238:$C$451,$C175,'TL17'!$J$238:$J$451),0),
IF('TL18'!$B$3=K$3,SUMIF('TL18'!$C$10:$C$224,$C175,'TL18'!$J$10:$J$224),0),
IF('TL18'!$B$229=K$3,SUMIF('TL18'!$C$238:$C$451,$C175,'TL18'!$J$238:$J$451),0),
IF('TL19'!$B$3=K$3,SUMIF('TL19'!$C$10:$C$224,$C175,'TL19'!$J$10:$J$224),0),
IF('TL19'!$B$229=K$3,SUMIF('TL19'!$C$238:$C$451,$C175,'TL19'!$J$238:$J$451),0)
),0)</f>
        <v>0</v>
      </c>
      <c r="L175" s="9">
        <f>IFERROR(SUM(
IF('TL01'!$B$3=L$3,SUMIF('TL01'!$C$10:$C$224,$C175,'TL01'!$J$10:$J$224),0),
IF('TL01'!$B$229=L$3,SUMIF('TL01'!$C$238:$C$451,$C175,'TL01'!$J$238:$J$451),0),
IF('TL02'!$B$3=L$3,SUMIF('TL02'!$C$10:$C$224,$C175,'TL02'!$J$10:$J$224),0),
IF('TL02'!$B$229=L$3,SUMIF('TL02'!$C$238:$C$451,$C175,'TL02'!$J$238:$J$451),0),
IF('TL03'!$B$3=L$3,SUMIF('TL03'!$C$10:$C$224,$C175,'TL03'!$J$10:$J$224),0),
IF('TL03'!$B$229=L$3,SUMIF('TL03'!$C$238:$C$451,$C175,'TL03'!$J$238:$J$451),0),
IF('TL04'!$B$3=L$3,SUMIF('TL04'!$C$10:$C$224,$C175,'TL04'!$J$10:$J$224),0),
IF('TL04'!$B$229=L$3,SUMIF('TL04'!$C$238:$C$451,$C175,'TL04'!$J$238:$J$451),0),
IF('TL05'!$B$3=L$3,SUMIF('TL05'!$C$10:$C$224,$C175,'TL05'!$J$10:$J$224),0),
IF('TL05'!$B$229=L$3,SUMIF('TL05'!$C$238:$C$451,$C175,'TL05'!$J$238:$J$451),0),
IF('TL06'!$B$3=L$3,SUMIF('TL06'!$C$10:$C$224,$C175,'TL06'!$J$10:$J$224),0),
IF('TL06'!$B$229=L$3,SUMIF('TL06'!$C$238:$C$451,$C175,'TL06'!$J$238:$J$451),0),
IF('TL07'!$B$3=L$3,SUMIF('TL07'!$C$10:$C$224,$C175,'TL07'!$J$10:$J$224),0),
IF('TL07'!$B$229=L$3,SUMIF('TL07'!$C$238:$C$451,$C175,'TL07'!$J$238:$J$451),0),
IF('TL08'!$B$3=L$3,SUMIF('TL08'!$C$10:$C$224,$C175,'TL08'!$J$10:$J$224),0),
IF('TL08'!$B$229=L$3,SUMIF('TL08'!$C$238:$C$451,$C175,'TL08'!$J$238:$J$451),0),
IF('TL09'!$B$3=L$3,SUMIF('TL09'!$C$10:$C$224,$C175,'TL09'!$J$10:$J$224),0),
IF('TL09'!$B$229=L$3,SUMIF('TL09'!$C$238:$C$451,$C175,'TL09'!$J$238:$J$451),0),
IF('TL10'!$B$3=L$3,SUMIF('TL10'!$C$10:$C$224,$C175,'TL10'!$J$10:$J$224),0),
IF('TL10'!$B$229=L$3,SUMIF('TL10'!$C$238:$C$451,$C175,'TL10'!$J$238:$J$451),0),
IF('TL11'!$B$3=L$3,SUMIF('TL11'!$C$10:$C$224,$C175,'TL11'!$J$10:$J$224),0),
IF('TL11'!$B$229=L$3,SUMIF('TL11'!$C$238:$C$451,$C175,'TL11'!$J$238:$J$451),0),
IF('TL12'!$B$3=L$3,SUMIF('TL12'!$C$10:$C$224,$C175,'TL12'!$J$10:$J$224),0),
IF('TL12'!$B$229=L$3,SUMIF('TL12'!$C$238:$C$451,$C175,'TL12'!$J$238:$J$451),0),
IF('TL13'!$B$3=L$3,SUMIF('TL13'!$C$10:$C$224,$C175,'TL13'!$J$10:$J$224),0),
IF('TL13'!$B$229=L$3,SUMIF('TL13'!$C$238:$C$451,$C175,'TL13'!$J$238:$J$451),0),
IF('TL14'!$B$3=L$3,SUMIF('TL14'!$C$10:$C$224,$C175,'TL14'!$J$10:$J$224),0),
IF('TL14'!$B$229=L$3,SUMIF('TL14'!$C$238:$C$451,$C175,'TL14'!$J$238:$J$451),0),
IF('TL15'!$B$3=L$3,SUMIF('TL15'!$C$10:$C$224,$C175,'TL15'!$J$10:$J$224),0),
IF('TL15'!$B$229=L$3,SUMIF('TL15'!$C$238:$C$451,$C175,'TL15'!$J$238:$J$451),0),
IF('TL16'!$B$3=L$3,SUMIF('TL16'!$C$10:$C$224,$C175,'TL16'!$J$10:$J$224),0),
IF('TL16'!$B$229=L$3,SUMIF('TL16'!$C$238:$C$451,$C175,'TL16'!$J$238:$J$451),0),
IF('TL17'!$B$3=L$3,SUMIF('TL17'!$C$10:$C$224,$C175,'TL17'!$J$10:$J$224),0),
IF('TL17'!$B$229=L$3,SUMIF('TL17'!$C$238:$C$451,$C175,'TL17'!$J$238:$J$451),0),
IF('TL18'!$B$3=L$3,SUMIF('TL18'!$C$10:$C$224,$C175,'TL18'!$J$10:$J$224),0),
IF('TL18'!$B$229=L$3,SUMIF('TL18'!$C$238:$C$451,$C175,'TL18'!$J$238:$J$451),0),
IF('TL19'!$B$3=L$3,SUMIF('TL19'!$C$10:$C$224,$C175,'TL19'!$J$10:$J$224),0),
IF('TL19'!$B$229=L$3,SUMIF('TL19'!$C$238:$C$451,$C175,'TL19'!$J$238:$J$451),0)
),0)</f>
        <v>0</v>
      </c>
      <c r="M175" s="9">
        <f>IFERROR(SUM(
IF('TL01'!$B$3=M$3,SUMIF('TL01'!$C$10:$C$224,$C175,'TL01'!$J$10:$J$224),0),
IF('TL01'!$B$229=M$3,SUMIF('TL01'!$C$238:$C$451,$C175,'TL01'!$J$238:$J$451),0),
IF('TL02'!$B$3=M$3,SUMIF('TL02'!$C$10:$C$224,$C175,'TL02'!$J$10:$J$224),0),
IF('TL02'!$B$229=M$3,SUMIF('TL02'!$C$238:$C$451,$C175,'TL02'!$J$238:$J$451),0),
IF('TL03'!$B$3=M$3,SUMIF('TL03'!$C$10:$C$224,$C175,'TL03'!$J$10:$J$224),0),
IF('TL03'!$B$229=M$3,SUMIF('TL03'!$C$238:$C$451,$C175,'TL03'!$J$238:$J$451),0),
IF('TL04'!$B$3=M$3,SUMIF('TL04'!$C$10:$C$224,$C175,'TL04'!$J$10:$J$224),0),
IF('TL04'!$B$229=M$3,SUMIF('TL04'!$C$238:$C$451,$C175,'TL04'!$J$238:$J$451),0),
IF('TL05'!$B$3=M$3,SUMIF('TL05'!$C$10:$C$224,$C175,'TL05'!$J$10:$J$224),0),
IF('TL05'!$B$229=M$3,SUMIF('TL05'!$C$238:$C$451,$C175,'TL05'!$J$238:$J$451),0),
IF('TL06'!$B$3=M$3,SUMIF('TL06'!$C$10:$C$224,$C175,'TL06'!$J$10:$J$224),0),
IF('TL06'!$B$229=M$3,SUMIF('TL06'!$C$238:$C$451,$C175,'TL06'!$J$238:$J$451),0),
IF('TL07'!$B$3=M$3,SUMIF('TL07'!$C$10:$C$224,$C175,'TL07'!$J$10:$J$224),0),
IF('TL07'!$B$229=M$3,SUMIF('TL07'!$C$238:$C$451,$C175,'TL07'!$J$238:$J$451),0),
IF('TL08'!$B$3=M$3,SUMIF('TL08'!$C$10:$C$224,$C175,'TL08'!$J$10:$J$224),0),
IF('TL08'!$B$229=M$3,SUMIF('TL08'!$C$238:$C$451,$C175,'TL08'!$J$238:$J$451),0),
IF('TL09'!$B$3=M$3,SUMIF('TL09'!$C$10:$C$224,$C175,'TL09'!$J$10:$J$224),0),
IF('TL09'!$B$229=M$3,SUMIF('TL09'!$C$238:$C$451,$C175,'TL09'!$J$238:$J$451),0),
IF('TL10'!$B$3=M$3,SUMIF('TL10'!$C$10:$C$224,$C175,'TL10'!$J$10:$J$224),0),
IF('TL10'!$B$229=M$3,SUMIF('TL10'!$C$238:$C$451,$C175,'TL10'!$J$238:$J$451),0),
IF('TL11'!$B$3=M$3,SUMIF('TL11'!$C$10:$C$224,$C175,'TL11'!$J$10:$J$224),0),
IF('TL11'!$B$229=M$3,SUMIF('TL11'!$C$238:$C$451,$C175,'TL11'!$J$238:$J$451),0),
IF('TL12'!$B$3=M$3,SUMIF('TL12'!$C$10:$C$224,$C175,'TL12'!$J$10:$J$224),0),
IF('TL12'!$B$229=M$3,SUMIF('TL12'!$C$238:$C$451,$C175,'TL12'!$J$238:$J$451),0),
IF('TL13'!$B$3=M$3,SUMIF('TL13'!$C$10:$C$224,$C175,'TL13'!$J$10:$J$224),0),
IF('TL13'!$B$229=M$3,SUMIF('TL13'!$C$238:$C$451,$C175,'TL13'!$J$238:$J$451),0),
IF('TL14'!$B$3=M$3,SUMIF('TL14'!$C$10:$C$224,$C175,'TL14'!$J$10:$J$224),0),
IF('TL14'!$B$229=M$3,SUMIF('TL14'!$C$238:$C$451,$C175,'TL14'!$J$238:$J$451),0),
IF('TL15'!$B$3=M$3,SUMIF('TL15'!$C$10:$C$224,$C175,'TL15'!$J$10:$J$224),0),
IF('TL15'!$B$229=M$3,SUMIF('TL15'!$C$238:$C$451,$C175,'TL15'!$J$238:$J$451),0),
IF('TL16'!$B$3=M$3,SUMIF('TL16'!$C$10:$C$224,$C175,'TL16'!$J$10:$J$224),0),
IF('TL16'!$B$229=M$3,SUMIF('TL16'!$C$238:$C$451,$C175,'TL16'!$J$238:$J$451),0),
IF('TL17'!$B$3=M$3,SUMIF('TL17'!$C$10:$C$224,$C175,'TL17'!$J$10:$J$224),0),
IF('TL17'!$B$229=M$3,SUMIF('TL17'!$C$238:$C$451,$C175,'TL17'!$J$238:$J$451),0),
IF('TL18'!$B$3=M$3,SUMIF('TL18'!$C$10:$C$224,$C175,'TL18'!$J$10:$J$224),0),
IF('TL18'!$B$229=M$3,SUMIF('TL18'!$C$238:$C$451,$C175,'TL18'!$J$238:$J$451),0),
IF('TL19'!$B$3=M$3,SUMIF('TL19'!$C$10:$C$224,$C175,'TL19'!$J$10:$J$224),0),
IF('TL19'!$B$229=M$3,SUMIF('TL19'!$C$238:$C$451,$C175,'TL19'!$J$238:$J$451),0)
),0)</f>
        <v>0</v>
      </c>
      <c r="N175" s="9">
        <f>IFERROR(SUM(
IF('TL01'!$B$3=N$3,SUMIF('TL01'!$C$10:$C$224,$C175,'TL01'!$J$10:$J$224),0),
IF('TL01'!$B$229=N$3,SUMIF('TL01'!$C$238:$C$451,$C175,'TL01'!$J$238:$J$451),0),
IF('TL02'!$B$3=N$3,SUMIF('TL02'!$C$10:$C$224,$C175,'TL02'!$J$10:$J$224),0),
IF('TL02'!$B$229=N$3,SUMIF('TL02'!$C$238:$C$451,$C175,'TL02'!$J$238:$J$451),0),
IF('TL03'!$B$3=N$3,SUMIF('TL03'!$C$10:$C$224,$C175,'TL03'!$J$10:$J$224),0),
IF('TL03'!$B$229=N$3,SUMIF('TL03'!$C$238:$C$451,$C175,'TL03'!$J$238:$J$451),0),
IF('TL04'!$B$3=N$3,SUMIF('TL04'!$C$10:$C$224,$C175,'TL04'!$J$10:$J$224),0),
IF('TL04'!$B$229=N$3,SUMIF('TL04'!$C$238:$C$451,$C175,'TL04'!$J$238:$J$451),0),
IF('TL05'!$B$3=N$3,SUMIF('TL05'!$C$10:$C$224,$C175,'TL05'!$J$10:$J$224),0),
IF('TL05'!$B$229=N$3,SUMIF('TL05'!$C$238:$C$451,$C175,'TL05'!$J$238:$J$451),0),
IF('TL06'!$B$3=N$3,SUMIF('TL06'!$C$10:$C$224,$C175,'TL06'!$J$10:$J$224),0),
IF('TL06'!$B$229=N$3,SUMIF('TL06'!$C$238:$C$451,$C175,'TL06'!$J$238:$J$451),0),
IF('TL07'!$B$3=N$3,SUMIF('TL07'!$C$10:$C$224,$C175,'TL07'!$J$10:$J$224),0),
IF('TL07'!$B$229=N$3,SUMIF('TL07'!$C$238:$C$451,$C175,'TL07'!$J$238:$J$451),0),
IF('TL08'!$B$3=N$3,SUMIF('TL08'!$C$10:$C$224,$C175,'TL08'!$J$10:$J$224),0),
IF('TL08'!$B$229=N$3,SUMIF('TL08'!$C$238:$C$451,$C175,'TL08'!$J$238:$J$451),0),
IF('TL09'!$B$3=N$3,SUMIF('TL09'!$C$10:$C$224,$C175,'TL09'!$J$10:$J$224),0),
IF('TL09'!$B$229=N$3,SUMIF('TL09'!$C$238:$C$451,$C175,'TL09'!$J$238:$J$451),0),
IF('TL10'!$B$3=N$3,SUMIF('TL10'!$C$10:$C$224,$C175,'TL10'!$J$10:$J$224),0),
IF('TL10'!$B$229=N$3,SUMIF('TL10'!$C$238:$C$451,$C175,'TL10'!$J$238:$J$451),0),
IF('TL11'!$B$3=N$3,SUMIF('TL11'!$C$10:$C$224,$C175,'TL11'!$J$10:$J$224),0),
IF('TL11'!$B$229=N$3,SUMIF('TL11'!$C$238:$C$451,$C175,'TL11'!$J$238:$J$451),0),
IF('TL12'!$B$3=N$3,SUMIF('TL12'!$C$10:$C$224,$C175,'TL12'!$J$10:$J$224),0),
IF('TL12'!$B$229=N$3,SUMIF('TL12'!$C$238:$C$451,$C175,'TL12'!$J$238:$J$451),0),
IF('TL13'!$B$3=N$3,SUMIF('TL13'!$C$10:$C$224,$C175,'TL13'!$J$10:$J$224),0),
IF('TL13'!$B$229=N$3,SUMIF('TL13'!$C$238:$C$451,$C175,'TL13'!$J$238:$J$451),0),
IF('TL14'!$B$3=N$3,SUMIF('TL14'!$C$10:$C$224,$C175,'TL14'!$J$10:$J$224),0),
IF('TL14'!$B$229=N$3,SUMIF('TL14'!$C$238:$C$451,$C175,'TL14'!$J$238:$J$451),0),
IF('TL15'!$B$3=N$3,SUMIF('TL15'!$C$10:$C$224,$C175,'TL15'!$J$10:$J$224),0),
IF('TL15'!$B$229=N$3,SUMIF('TL15'!$C$238:$C$451,$C175,'TL15'!$J$238:$J$451),0),
IF('TL16'!$B$3=N$3,SUMIF('TL16'!$C$10:$C$224,$C175,'TL16'!$J$10:$J$224),0),
IF('TL16'!$B$229=N$3,SUMIF('TL16'!$C$238:$C$451,$C175,'TL16'!$J$238:$J$451),0),
IF('TL17'!$B$3=N$3,SUMIF('TL17'!$C$10:$C$224,$C175,'TL17'!$J$10:$J$224),0),
IF('TL17'!$B$229=N$3,SUMIF('TL17'!$C$238:$C$451,$C175,'TL17'!$J$238:$J$451),0),
IF('TL18'!$B$3=N$3,SUMIF('TL18'!$C$10:$C$224,$C175,'TL18'!$J$10:$J$224),0),
IF('TL18'!$B$229=N$3,SUMIF('TL18'!$C$238:$C$451,$C175,'TL18'!$J$238:$J$451),0),
IF('TL19'!$B$3=N$3,SUMIF('TL19'!$C$10:$C$224,$C175,'TL19'!$J$10:$J$224),0),
IF('TL19'!$B$229=N$3,SUMIF('TL19'!$C$238:$C$451,$C175,'TL19'!$J$238:$J$451),0)
),0)</f>
        <v>0</v>
      </c>
      <c r="O175" s="9">
        <f>IFERROR(SUM(
IF('TL01'!$B$3=O$3,SUMIF('TL01'!$C$10:$C$224,$C175,'TL01'!$J$10:$J$224),0),
IF('TL01'!$B$229=O$3,SUMIF('TL01'!$C$238:$C$451,$C175,'TL01'!$J$238:$J$451),0),
IF('TL02'!$B$3=O$3,SUMIF('TL02'!$C$10:$C$224,$C175,'TL02'!$J$10:$J$224),0),
IF('TL02'!$B$229=O$3,SUMIF('TL02'!$C$238:$C$451,$C175,'TL02'!$J$238:$J$451),0),
IF('TL03'!$B$3=O$3,SUMIF('TL03'!$C$10:$C$224,$C175,'TL03'!$J$10:$J$224),0),
IF('TL03'!$B$229=O$3,SUMIF('TL03'!$C$238:$C$451,$C175,'TL03'!$J$238:$J$451),0),
IF('TL04'!$B$3=O$3,SUMIF('TL04'!$C$10:$C$224,$C175,'TL04'!$J$10:$J$224),0),
IF('TL04'!$B$229=O$3,SUMIF('TL04'!$C$238:$C$451,$C175,'TL04'!$J$238:$J$451),0),
IF('TL05'!$B$3=O$3,SUMIF('TL05'!$C$10:$C$224,$C175,'TL05'!$J$10:$J$224),0),
IF('TL05'!$B$229=O$3,SUMIF('TL05'!$C$238:$C$451,$C175,'TL05'!$J$238:$J$451),0),
IF('TL06'!$B$3=O$3,SUMIF('TL06'!$C$10:$C$224,$C175,'TL06'!$J$10:$J$224),0),
IF('TL06'!$B$229=O$3,SUMIF('TL06'!$C$238:$C$451,$C175,'TL06'!$J$238:$J$451),0),
IF('TL07'!$B$3=O$3,SUMIF('TL07'!$C$10:$C$224,$C175,'TL07'!$J$10:$J$224),0),
IF('TL07'!$B$229=O$3,SUMIF('TL07'!$C$238:$C$451,$C175,'TL07'!$J$238:$J$451),0),
IF('TL08'!$B$3=O$3,SUMIF('TL08'!$C$10:$C$224,$C175,'TL08'!$J$10:$J$224),0),
IF('TL08'!$B$229=O$3,SUMIF('TL08'!$C$238:$C$451,$C175,'TL08'!$J$238:$J$451),0),
IF('TL09'!$B$3=O$3,SUMIF('TL09'!$C$10:$C$224,$C175,'TL09'!$J$10:$J$224),0),
IF('TL09'!$B$229=O$3,SUMIF('TL09'!$C$238:$C$451,$C175,'TL09'!$J$238:$J$451),0),
IF('TL10'!$B$3=O$3,SUMIF('TL10'!$C$10:$C$224,$C175,'TL10'!$J$10:$J$224),0),
IF('TL10'!$B$229=O$3,SUMIF('TL10'!$C$238:$C$451,$C175,'TL10'!$J$238:$J$451),0),
IF('TL11'!$B$3=O$3,SUMIF('TL11'!$C$10:$C$224,$C175,'TL11'!$J$10:$J$224),0),
IF('TL11'!$B$229=O$3,SUMIF('TL11'!$C$238:$C$451,$C175,'TL11'!$J$238:$J$451),0),
IF('TL12'!$B$3=O$3,SUMIF('TL12'!$C$10:$C$224,$C175,'TL12'!$J$10:$J$224),0),
IF('TL12'!$B$229=O$3,SUMIF('TL12'!$C$238:$C$451,$C175,'TL12'!$J$238:$J$451),0),
IF('TL13'!$B$3=O$3,SUMIF('TL13'!$C$10:$C$224,$C175,'TL13'!$J$10:$J$224),0),
IF('TL13'!$B$229=O$3,SUMIF('TL13'!$C$238:$C$451,$C175,'TL13'!$J$238:$J$451),0),
IF('TL14'!$B$3=O$3,SUMIF('TL14'!$C$10:$C$224,$C175,'TL14'!$J$10:$J$224),0),
IF('TL14'!$B$229=O$3,SUMIF('TL14'!$C$238:$C$451,$C175,'TL14'!$J$238:$J$451),0),
IF('TL15'!$B$3=O$3,SUMIF('TL15'!$C$10:$C$224,$C175,'TL15'!$J$10:$J$224),0),
IF('TL15'!$B$229=O$3,SUMIF('TL15'!$C$238:$C$451,$C175,'TL15'!$J$238:$J$451),0),
IF('TL16'!$B$3=O$3,SUMIF('TL16'!$C$10:$C$224,$C175,'TL16'!$J$10:$J$224),0),
IF('TL16'!$B$229=O$3,SUMIF('TL16'!$C$238:$C$451,$C175,'TL16'!$J$238:$J$451),0),
IF('TL17'!$B$3=O$3,SUMIF('TL17'!$C$10:$C$224,$C175,'TL17'!$J$10:$J$224),0),
IF('TL17'!$B$229=O$3,SUMIF('TL17'!$C$238:$C$451,$C175,'TL17'!$J$238:$J$451),0),
IF('TL18'!$B$3=O$3,SUMIF('TL18'!$C$10:$C$224,$C175,'TL18'!$J$10:$J$224),0),
IF('TL18'!$B$229=O$3,SUMIF('TL18'!$C$238:$C$451,$C175,'TL18'!$J$238:$J$451),0),
IF('TL19'!$B$3=O$3,SUMIF('TL19'!$C$10:$C$224,$C175,'TL19'!$J$10:$J$224),0),
IF('TL19'!$B$229=O$3,SUMIF('TL19'!$C$238:$C$451,$C175,'TL19'!$J$238:$J$451),0)
),0)</f>
        <v>0</v>
      </c>
      <c r="P175" s="9">
        <f>IFERROR(SUM(
IF('TL01'!$B$3=P$3,SUMIF('TL01'!$C$10:$C$224,$C175,'TL01'!$J$10:$J$224),0),
IF('TL01'!$B$229=P$3,SUMIF('TL01'!$C$238:$C$451,$C175,'TL01'!$J$238:$J$451),0),
IF('TL02'!$B$3=P$3,SUMIF('TL02'!$C$10:$C$224,$C175,'TL02'!$J$10:$J$224),0),
IF('TL02'!$B$229=P$3,SUMIF('TL02'!$C$238:$C$451,$C175,'TL02'!$J$238:$J$451),0),
IF('TL03'!$B$3=P$3,SUMIF('TL03'!$C$10:$C$224,$C175,'TL03'!$J$10:$J$224),0),
IF('TL03'!$B$229=P$3,SUMIF('TL03'!$C$238:$C$451,$C175,'TL03'!$J$238:$J$451),0),
IF('TL04'!$B$3=P$3,SUMIF('TL04'!$C$10:$C$224,$C175,'TL04'!$J$10:$J$224),0),
IF('TL04'!$B$229=P$3,SUMIF('TL04'!$C$238:$C$451,$C175,'TL04'!$J$238:$J$451),0),
IF('TL05'!$B$3=P$3,SUMIF('TL05'!$C$10:$C$224,$C175,'TL05'!$J$10:$J$224),0),
IF('TL05'!$B$229=P$3,SUMIF('TL05'!$C$238:$C$451,$C175,'TL05'!$J$238:$J$451),0),
IF('TL06'!$B$3=P$3,SUMIF('TL06'!$C$10:$C$224,$C175,'TL06'!$J$10:$J$224),0),
IF('TL06'!$B$229=P$3,SUMIF('TL06'!$C$238:$C$451,$C175,'TL06'!$J$238:$J$451),0),
IF('TL07'!$B$3=P$3,SUMIF('TL07'!$C$10:$C$224,$C175,'TL07'!$J$10:$J$224),0),
IF('TL07'!$B$229=P$3,SUMIF('TL07'!$C$238:$C$451,$C175,'TL07'!$J$238:$J$451),0),
IF('TL08'!$B$3=P$3,SUMIF('TL08'!$C$10:$C$224,$C175,'TL08'!$J$10:$J$224),0),
IF('TL08'!$B$229=P$3,SUMIF('TL08'!$C$238:$C$451,$C175,'TL08'!$J$238:$J$451),0),
IF('TL09'!$B$3=P$3,SUMIF('TL09'!$C$10:$C$224,$C175,'TL09'!$J$10:$J$224),0),
IF('TL09'!$B$229=P$3,SUMIF('TL09'!$C$238:$C$451,$C175,'TL09'!$J$238:$J$451),0),
IF('TL10'!$B$3=P$3,SUMIF('TL10'!$C$10:$C$224,$C175,'TL10'!$J$10:$J$224),0),
IF('TL10'!$B$229=P$3,SUMIF('TL10'!$C$238:$C$451,$C175,'TL10'!$J$238:$J$451),0),
IF('TL11'!$B$3=P$3,SUMIF('TL11'!$C$10:$C$224,$C175,'TL11'!$J$10:$J$224),0),
IF('TL11'!$B$229=P$3,SUMIF('TL11'!$C$238:$C$451,$C175,'TL11'!$J$238:$J$451),0),
IF('TL12'!$B$3=P$3,SUMIF('TL12'!$C$10:$C$224,$C175,'TL12'!$J$10:$J$224),0),
IF('TL12'!$B$229=P$3,SUMIF('TL12'!$C$238:$C$451,$C175,'TL12'!$J$238:$J$451),0),
IF('TL13'!$B$3=P$3,SUMIF('TL13'!$C$10:$C$224,$C175,'TL13'!$J$10:$J$224),0),
IF('TL13'!$B$229=P$3,SUMIF('TL13'!$C$238:$C$451,$C175,'TL13'!$J$238:$J$451),0),
IF('TL14'!$B$3=P$3,SUMIF('TL14'!$C$10:$C$224,$C175,'TL14'!$J$10:$J$224),0),
IF('TL14'!$B$229=P$3,SUMIF('TL14'!$C$238:$C$451,$C175,'TL14'!$J$238:$J$451),0),
IF('TL15'!$B$3=P$3,SUMIF('TL15'!$C$10:$C$224,$C175,'TL15'!$J$10:$J$224),0),
IF('TL15'!$B$229=P$3,SUMIF('TL15'!$C$238:$C$451,$C175,'TL15'!$J$238:$J$451),0),
IF('TL16'!$B$3=P$3,SUMIF('TL16'!$C$10:$C$224,$C175,'TL16'!$J$10:$J$224),0),
IF('TL16'!$B$229=P$3,SUMIF('TL16'!$C$238:$C$451,$C175,'TL16'!$J$238:$J$451),0),
IF('TL17'!$B$3=P$3,SUMIF('TL17'!$C$10:$C$224,$C175,'TL17'!$J$10:$J$224),0),
IF('TL17'!$B$229=P$3,SUMIF('TL17'!$C$238:$C$451,$C175,'TL17'!$J$238:$J$451),0),
IF('TL18'!$B$3=P$3,SUMIF('TL18'!$C$10:$C$224,$C175,'TL18'!$J$10:$J$224),0),
IF('TL18'!$B$229=P$3,SUMIF('TL18'!$C$238:$C$451,$C175,'TL18'!$J$238:$J$451),0),
IF('TL19'!$B$3=P$3,SUMIF('TL19'!$C$10:$C$224,$C175,'TL19'!$J$10:$J$224),0),
IF('TL19'!$B$229=P$3,SUMIF('TL19'!$C$238:$C$451,$C175,'TL19'!$J$238:$J$451),0)
),0)</f>
        <v>0</v>
      </c>
      <c r="Q175" s="9">
        <f>IFERROR(SUM(
IF('TL01'!$B$3=Q$3,SUMIF('TL01'!$C$10:$C$224,$C175,'TL01'!$J$10:$J$224),0),
IF('TL01'!$B$229=Q$3,SUMIF('TL01'!$C$238:$C$451,$C175,'TL01'!$J$238:$J$451),0),
IF('TL02'!$B$3=Q$3,SUMIF('TL02'!$C$10:$C$224,$C175,'TL02'!$J$10:$J$224),0),
IF('TL02'!$B$229=Q$3,SUMIF('TL02'!$C$238:$C$451,$C175,'TL02'!$J$238:$J$451),0),
IF('TL03'!$B$3=Q$3,SUMIF('TL03'!$C$10:$C$224,$C175,'TL03'!$J$10:$J$224),0),
IF('TL03'!$B$229=Q$3,SUMIF('TL03'!$C$238:$C$451,$C175,'TL03'!$J$238:$J$451),0),
IF('TL04'!$B$3=Q$3,SUMIF('TL04'!$C$10:$C$224,$C175,'TL04'!$J$10:$J$224),0),
IF('TL04'!$B$229=Q$3,SUMIF('TL04'!$C$238:$C$451,$C175,'TL04'!$J$238:$J$451),0),
IF('TL05'!$B$3=Q$3,SUMIF('TL05'!$C$10:$C$224,$C175,'TL05'!$J$10:$J$224),0),
IF('TL05'!$B$229=Q$3,SUMIF('TL05'!$C$238:$C$451,$C175,'TL05'!$J$238:$J$451),0),
IF('TL06'!$B$3=Q$3,SUMIF('TL06'!$C$10:$C$224,$C175,'TL06'!$J$10:$J$224),0),
IF('TL06'!$B$229=Q$3,SUMIF('TL06'!$C$238:$C$451,$C175,'TL06'!$J$238:$J$451),0),
IF('TL07'!$B$3=Q$3,SUMIF('TL07'!$C$10:$C$224,$C175,'TL07'!$J$10:$J$224),0),
IF('TL07'!$B$229=Q$3,SUMIF('TL07'!$C$238:$C$451,$C175,'TL07'!$J$238:$J$451),0),
IF('TL08'!$B$3=Q$3,SUMIF('TL08'!$C$10:$C$224,$C175,'TL08'!$J$10:$J$224),0),
IF('TL08'!$B$229=Q$3,SUMIF('TL08'!$C$238:$C$451,$C175,'TL08'!$J$238:$J$451),0),
IF('TL09'!$B$3=Q$3,SUMIF('TL09'!$C$10:$C$224,$C175,'TL09'!$J$10:$J$224),0),
IF('TL09'!$B$229=Q$3,SUMIF('TL09'!$C$238:$C$451,$C175,'TL09'!$J$238:$J$451),0),
IF('TL10'!$B$3=Q$3,SUMIF('TL10'!$C$10:$C$224,$C175,'TL10'!$J$10:$J$224),0),
IF('TL10'!$B$229=Q$3,SUMIF('TL10'!$C$238:$C$451,$C175,'TL10'!$J$238:$J$451),0),
IF('TL11'!$B$3=Q$3,SUMIF('TL11'!$C$10:$C$224,$C175,'TL11'!$J$10:$J$224),0),
IF('TL11'!$B$229=Q$3,SUMIF('TL11'!$C$238:$C$451,$C175,'TL11'!$J$238:$J$451),0),
IF('TL12'!$B$3=Q$3,SUMIF('TL12'!$C$10:$C$224,$C175,'TL12'!$J$10:$J$224),0),
IF('TL12'!$B$229=Q$3,SUMIF('TL12'!$C$238:$C$451,$C175,'TL12'!$J$238:$J$451),0),
IF('TL13'!$B$3=Q$3,SUMIF('TL13'!$C$10:$C$224,$C175,'TL13'!$J$10:$J$224),0),
IF('TL13'!$B$229=Q$3,SUMIF('TL13'!$C$238:$C$451,$C175,'TL13'!$J$238:$J$451),0),
IF('TL14'!$B$3=Q$3,SUMIF('TL14'!$C$10:$C$224,$C175,'TL14'!$J$10:$J$224),0),
IF('TL14'!$B$229=Q$3,SUMIF('TL14'!$C$238:$C$451,$C175,'TL14'!$J$238:$J$451),0),
IF('TL15'!$B$3=Q$3,SUMIF('TL15'!$C$10:$C$224,$C175,'TL15'!$J$10:$J$224),0),
IF('TL15'!$B$229=Q$3,SUMIF('TL15'!$C$238:$C$451,$C175,'TL15'!$J$238:$J$451),0),
IF('TL16'!$B$3=Q$3,SUMIF('TL16'!$C$10:$C$224,$C175,'TL16'!$J$10:$J$224),0),
IF('TL16'!$B$229=Q$3,SUMIF('TL16'!$C$238:$C$451,$C175,'TL16'!$J$238:$J$451),0),
IF('TL17'!$B$3=Q$3,SUMIF('TL17'!$C$10:$C$224,$C175,'TL17'!$J$10:$J$224),0),
IF('TL17'!$B$229=Q$3,SUMIF('TL17'!$C$238:$C$451,$C175,'TL17'!$J$238:$J$451),0),
IF('TL18'!$B$3=Q$3,SUMIF('TL18'!$C$10:$C$224,$C175,'TL18'!$J$10:$J$224),0),
IF('TL18'!$B$229=Q$3,SUMIF('TL18'!$C$238:$C$451,$C175,'TL18'!$J$238:$J$451),0),
IF('TL19'!$B$3=Q$3,SUMIF('TL19'!$C$10:$C$224,$C175,'TL19'!$J$10:$J$224),0),
IF('TL19'!$B$229=Q$3,SUMIF('TL19'!$C$238:$C$451,$C175,'TL19'!$J$238:$J$451),0)
),0)</f>
        <v>0</v>
      </c>
      <c r="R175" s="9">
        <f>IFERROR(
SUM(
SUMIF('TL01'!C:C,C175,'TL01'!J:J),
SUMIF('TL02'!C:C,C175,'TL02'!J:J),
SUMIF('TL03'!C:C,C175,'TL03'!J:J),
SUMIF('TL04'!C:C,C175,'TL04'!J:J),
SUMIF('TL05'!C:C,C175,'TL05'!J:J),
SUMIF('TL06'!C:C,C175,'TL06'!J:J),
SUMIF('TL07'!C:C,C175,'TL07'!J:J),
SUMIF('TL08'!C:C,C175,'TL08'!J:J),
SUMIF('TL09'!C:C,C175,'TL09'!J:J),
SUMIF('TL10'!C:C,C175,'TL10'!J:J),
SUMIF('TL11'!C:C,C175,'TL11'!J:J),
SUMIF('TL12'!C:C,C175,'TL12'!J:J),
SUMIF('TL13'!C:C,C175,'TL13'!J:J),
SUMIF('TL14'!C:C,C175,'TL14'!J:J),
SUMIF('TL15'!C:C,C175,'TL15'!J:J),
SUMIF('TL16'!C:C,C175,'TL16'!J:J),
SUMIF('TL17'!C:C,C175,'TL17'!J:J),
SUMIF('TL18'!C:C,C175,'TL18'!J:J),SUMIF('TL19'!C:C,C175,'TL19'!J:J))
,0)</f>
        <v>0</v>
      </c>
      <c r="S175" s="17">
        <f>IFERROR(__xludf.DUMMYFUNCTION("IFERROR(VLOOKUP(C175,
IMPORTRANGE(""1wULbzX32WdYsx-lj2U3uUNBBe2INVIRDtcK0d-Dvl90"",
""26-27!C:G""),
5,
FALSE),
"""")"),85.7241)</f>
        <v>85.7241</v>
      </c>
      <c r="T175" s="9"/>
      <c r="U175" s="92">
        <f t="shared" si="2"/>
        <v>0</v>
      </c>
      <c r="V175" s="93">
        <f t="shared" si="3"/>
        <v>0</v>
      </c>
    </row>
    <row r="176" ht="15.75" hidden="1" customHeight="1">
      <c r="A176" s="87" t="s">
        <v>340</v>
      </c>
      <c r="B176" s="88" t="s">
        <v>2</v>
      </c>
      <c r="C176" s="89" t="s">
        <v>759</v>
      </c>
      <c r="D176" s="89" t="s">
        <v>760</v>
      </c>
      <c r="E176" s="89" t="s">
        <v>761</v>
      </c>
      <c r="F176" s="4" t="s">
        <v>343</v>
      </c>
      <c r="G176" s="90" t="str">
        <f t="shared" si="4"/>
        <v>📄 Ver bula</v>
      </c>
      <c r="H176" s="9">
        <f>IFERROR(__xludf.DUMMYFUNCTION("IFERROR(VLOOKUP(C176,
IMPORTRANGE(""1wULbzX32WdYsx-lj2U3uUNBBe2INVIRDtcK0d-Dvl90"",
""26-27!C:K""),
8,
FALSE),
"""")"),0.2)</f>
        <v>0.2</v>
      </c>
      <c r="I176" s="91" t="s">
        <v>382</v>
      </c>
      <c r="J176" s="9">
        <f>IFERROR(SUM(
IF('TL01'!$B$3=J$3,SUMIF('TL01'!$C$10:$C$224,$C176,'TL01'!$J$10:$J$224),0),
IF('TL01'!$B$229=J$3,SUMIF('TL01'!$C$238:$C$451,$C176,'TL01'!$J$238:$J$451),0),
IF('TL02'!$B$3=J$3,SUMIF('TL02'!$C$10:$C$224,$C176,'TL02'!$J$10:$J$224),0),
IF('TL02'!$B$229=J$3,SUMIF('TL02'!$C$238:$C$451,$C176,'TL02'!$J$238:$J$451),0),
IF('TL03'!$B$3=J$3,SUMIF('TL03'!$C$10:$C$224,$C176,'TL03'!$J$10:$J$224),0),
IF('TL03'!$B$229=J$3,SUMIF('TL03'!$C$238:$C$451,$C176,'TL03'!$J$238:$J$451),0),
IF('TL04'!$B$3=J$3,SUMIF('TL04'!$C$10:$C$224,$C176,'TL04'!$J$10:$J$224),0),
IF('TL04'!$B$229=J$3,SUMIF('TL04'!$C$238:$C$451,$C176,'TL04'!$J$238:$J$451),0),
IF('TL05'!$B$3=J$3,SUMIF('TL05'!$C$10:$C$224,$C176,'TL05'!$J$10:$J$224),0),
IF('TL05'!$B$229=J$3,SUMIF('TL05'!$C$238:$C$451,$C176,'TL05'!$J$238:$J$451),0),
IF('TL06'!$B$3=J$3,SUMIF('TL06'!$C$10:$C$224,$C176,'TL06'!$J$10:$J$224),0),
IF('TL06'!$B$229=J$3,SUMIF('TL06'!$C$238:$C$451,$C176,'TL06'!$J$238:$J$451),0),
IF('TL07'!$B$3=J$3,SUMIF('TL07'!$C$10:$C$224,$C176,'TL07'!$J$10:$J$224),0),
IF('TL07'!$B$229=J$3,SUMIF('TL07'!$C$238:$C$451,$C176,'TL07'!$J$238:$J$451),0),
IF('TL08'!$B$3=J$3,SUMIF('TL08'!$C$10:$C$224,$C176,'TL08'!$J$10:$J$224),0),
IF('TL08'!$B$229=J$3,SUMIF('TL08'!$C$238:$C$451,$C176,'TL08'!$J$238:$J$451),0),
IF('TL09'!$B$3=J$3,SUMIF('TL09'!$C$10:$C$224,$C176,'TL09'!$J$10:$J$224),0),
IF('TL09'!$B$229=J$3,SUMIF('TL09'!$C$238:$C$451,$C176,'TL09'!$J$238:$J$451),0),
IF('TL10'!$B$3=J$3,SUMIF('TL10'!$C$10:$C$224,$C176,'TL10'!$J$10:$J$224),0),
IF('TL10'!$B$229=J$3,SUMIF('TL10'!$C$238:$C$451,$C176,'TL10'!$J$238:$J$451),0),
IF('TL11'!$B$3=J$3,SUMIF('TL11'!$C$10:$C$224,$C176,'TL11'!$J$10:$J$224),0),
IF('TL11'!$B$229=J$3,SUMIF('TL11'!$C$238:$C$451,$C176,'TL11'!$J$238:$J$451),0),
IF('TL12'!$B$3=J$3,SUMIF('TL12'!$C$10:$C$224,$C176,'TL12'!$J$10:$J$224),0),
IF('TL12'!$B$229=J$3,SUMIF('TL12'!$C$238:$C$451,$C176,'TL12'!$J$238:$J$451),0),
IF('TL13'!$B$3=J$3,SUMIF('TL13'!$C$10:$C$224,$C176,'TL13'!$J$10:$J$224),0),
IF('TL13'!$B$229=J$3,SUMIF('TL13'!$C$238:$C$451,$C176,'TL13'!$J$238:$J$451),0),
IF('TL14'!$B$3=J$3,SUMIF('TL14'!$C$10:$C$224,$C176,'TL14'!$J$10:$J$224),0),
IF('TL14'!$B$229=J$3,SUMIF('TL14'!$C$238:$C$451,$C176,'TL14'!$J$238:$J$451),0),
IF('TL15'!$B$3=J$3,SUMIF('TL15'!$C$10:$C$224,$C176,'TL15'!$J$10:$J$224),0),
IF('TL15'!$B$229=J$3,SUMIF('TL15'!$C$238:$C$451,$C176,'TL15'!$J$238:$J$451),0),
IF('TL16'!$B$3=J$3,SUMIF('TL16'!$C$10:$C$224,$C176,'TL16'!$J$10:$J$224),0),
IF('TL16'!$B$229=J$3,SUMIF('TL16'!$C$238:$C$451,$C176,'TL16'!$J$238:$J$451),0),
IF('TL17'!$B$3=J$3,SUMIF('TL17'!$C$10:$C$224,$C176,'TL17'!$J$10:$J$224),0),
IF('TL17'!$B$229=J$3,SUMIF('TL17'!$C$238:$C$451,$C176,'TL17'!$J$238:$J$451),0),
IF('TL18'!$B$3=J$3,SUMIF('TL18'!$C$10:$C$224,$C176,'TL18'!$J$10:$J$224),0),
IF('TL18'!$B$229=J$3,SUMIF('TL18'!$C$238:$C$451,$C176,'TL18'!$J$238:$J$451),0),
IF('TL19'!$B$3=J$3,SUMIF('TL19'!$C$10:$C$224,$C176,'TL19'!$J$10:$J$224),0),
IF('TL19'!$B$229=J$3,SUMIF('TL19'!$C$238:$C$451,$C176,'TL19'!$J$238:$J$451),0)
),0)</f>
        <v>0</v>
      </c>
      <c r="K176" s="9">
        <f>IFERROR(SUM(
IF('TL01'!$B$3=K$3,SUMIF('TL01'!$C$10:$C$224,$C176,'TL01'!$J$10:$J$224),0),
IF('TL01'!$B$229=K$3,SUMIF('TL01'!$C$238:$C$451,$C176,'TL01'!$J$238:$J$451),0),
IF('TL02'!$B$3=K$3,SUMIF('TL02'!$C$10:$C$224,$C176,'TL02'!$J$10:$J$224),0),
IF('TL02'!$B$229=K$3,SUMIF('TL02'!$C$238:$C$451,$C176,'TL02'!$J$238:$J$451),0),
IF('TL03'!$B$3=K$3,SUMIF('TL03'!$C$10:$C$224,$C176,'TL03'!$J$10:$J$224),0),
IF('TL03'!$B$229=K$3,SUMIF('TL03'!$C$238:$C$451,$C176,'TL03'!$J$238:$J$451),0),
IF('TL04'!$B$3=K$3,SUMIF('TL04'!$C$10:$C$224,$C176,'TL04'!$J$10:$J$224),0),
IF('TL04'!$B$229=K$3,SUMIF('TL04'!$C$238:$C$451,$C176,'TL04'!$J$238:$J$451),0),
IF('TL05'!$B$3=K$3,SUMIF('TL05'!$C$10:$C$224,$C176,'TL05'!$J$10:$J$224),0),
IF('TL05'!$B$229=K$3,SUMIF('TL05'!$C$238:$C$451,$C176,'TL05'!$J$238:$J$451),0),
IF('TL06'!$B$3=K$3,SUMIF('TL06'!$C$10:$C$224,$C176,'TL06'!$J$10:$J$224),0),
IF('TL06'!$B$229=K$3,SUMIF('TL06'!$C$238:$C$451,$C176,'TL06'!$J$238:$J$451),0),
IF('TL07'!$B$3=K$3,SUMIF('TL07'!$C$10:$C$224,$C176,'TL07'!$J$10:$J$224),0),
IF('TL07'!$B$229=K$3,SUMIF('TL07'!$C$238:$C$451,$C176,'TL07'!$J$238:$J$451),0),
IF('TL08'!$B$3=K$3,SUMIF('TL08'!$C$10:$C$224,$C176,'TL08'!$J$10:$J$224),0),
IF('TL08'!$B$229=K$3,SUMIF('TL08'!$C$238:$C$451,$C176,'TL08'!$J$238:$J$451),0),
IF('TL09'!$B$3=K$3,SUMIF('TL09'!$C$10:$C$224,$C176,'TL09'!$J$10:$J$224),0),
IF('TL09'!$B$229=K$3,SUMIF('TL09'!$C$238:$C$451,$C176,'TL09'!$J$238:$J$451),0),
IF('TL10'!$B$3=K$3,SUMIF('TL10'!$C$10:$C$224,$C176,'TL10'!$J$10:$J$224),0),
IF('TL10'!$B$229=K$3,SUMIF('TL10'!$C$238:$C$451,$C176,'TL10'!$J$238:$J$451),0),
IF('TL11'!$B$3=K$3,SUMIF('TL11'!$C$10:$C$224,$C176,'TL11'!$J$10:$J$224),0),
IF('TL11'!$B$229=K$3,SUMIF('TL11'!$C$238:$C$451,$C176,'TL11'!$J$238:$J$451),0),
IF('TL12'!$B$3=K$3,SUMIF('TL12'!$C$10:$C$224,$C176,'TL12'!$J$10:$J$224),0),
IF('TL12'!$B$229=K$3,SUMIF('TL12'!$C$238:$C$451,$C176,'TL12'!$J$238:$J$451),0),
IF('TL13'!$B$3=K$3,SUMIF('TL13'!$C$10:$C$224,$C176,'TL13'!$J$10:$J$224),0),
IF('TL13'!$B$229=K$3,SUMIF('TL13'!$C$238:$C$451,$C176,'TL13'!$J$238:$J$451),0),
IF('TL14'!$B$3=K$3,SUMIF('TL14'!$C$10:$C$224,$C176,'TL14'!$J$10:$J$224),0),
IF('TL14'!$B$229=K$3,SUMIF('TL14'!$C$238:$C$451,$C176,'TL14'!$J$238:$J$451),0),
IF('TL15'!$B$3=K$3,SUMIF('TL15'!$C$10:$C$224,$C176,'TL15'!$J$10:$J$224),0),
IF('TL15'!$B$229=K$3,SUMIF('TL15'!$C$238:$C$451,$C176,'TL15'!$J$238:$J$451),0),
IF('TL16'!$B$3=K$3,SUMIF('TL16'!$C$10:$C$224,$C176,'TL16'!$J$10:$J$224),0),
IF('TL16'!$B$229=K$3,SUMIF('TL16'!$C$238:$C$451,$C176,'TL16'!$J$238:$J$451),0),
IF('TL17'!$B$3=K$3,SUMIF('TL17'!$C$10:$C$224,$C176,'TL17'!$J$10:$J$224),0),
IF('TL17'!$B$229=K$3,SUMIF('TL17'!$C$238:$C$451,$C176,'TL17'!$J$238:$J$451),0),
IF('TL18'!$B$3=K$3,SUMIF('TL18'!$C$10:$C$224,$C176,'TL18'!$J$10:$J$224),0),
IF('TL18'!$B$229=K$3,SUMIF('TL18'!$C$238:$C$451,$C176,'TL18'!$J$238:$J$451),0),
IF('TL19'!$B$3=K$3,SUMIF('TL19'!$C$10:$C$224,$C176,'TL19'!$J$10:$J$224),0),
IF('TL19'!$B$229=K$3,SUMIF('TL19'!$C$238:$C$451,$C176,'TL19'!$J$238:$J$451),0)
),0)</f>
        <v>0</v>
      </c>
      <c r="L176" s="9">
        <f>IFERROR(SUM(
IF('TL01'!$B$3=L$3,SUMIF('TL01'!$C$10:$C$224,$C176,'TL01'!$J$10:$J$224),0),
IF('TL01'!$B$229=L$3,SUMIF('TL01'!$C$238:$C$451,$C176,'TL01'!$J$238:$J$451),0),
IF('TL02'!$B$3=L$3,SUMIF('TL02'!$C$10:$C$224,$C176,'TL02'!$J$10:$J$224),0),
IF('TL02'!$B$229=L$3,SUMIF('TL02'!$C$238:$C$451,$C176,'TL02'!$J$238:$J$451),0),
IF('TL03'!$B$3=L$3,SUMIF('TL03'!$C$10:$C$224,$C176,'TL03'!$J$10:$J$224),0),
IF('TL03'!$B$229=L$3,SUMIF('TL03'!$C$238:$C$451,$C176,'TL03'!$J$238:$J$451),0),
IF('TL04'!$B$3=L$3,SUMIF('TL04'!$C$10:$C$224,$C176,'TL04'!$J$10:$J$224),0),
IF('TL04'!$B$229=L$3,SUMIF('TL04'!$C$238:$C$451,$C176,'TL04'!$J$238:$J$451),0),
IF('TL05'!$B$3=L$3,SUMIF('TL05'!$C$10:$C$224,$C176,'TL05'!$J$10:$J$224),0),
IF('TL05'!$B$229=L$3,SUMIF('TL05'!$C$238:$C$451,$C176,'TL05'!$J$238:$J$451),0),
IF('TL06'!$B$3=L$3,SUMIF('TL06'!$C$10:$C$224,$C176,'TL06'!$J$10:$J$224),0),
IF('TL06'!$B$229=L$3,SUMIF('TL06'!$C$238:$C$451,$C176,'TL06'!$J$238:$J$451),0),
IF('TL07'!$B$3=L$3,SUMIF('TL07'!$C$10:$C$224,$C176,'TL07'!$J$10:$J$224),0),
IF('TL07'!$B$229=L$3,SUMIF('TL07'!$C$238:$C$451,$C176,'TL07'!$J$238:$J$451),0),
IF('TL08'!$B$3=L$3,SUMIF('TL08'!$C$10:$C$224,$C176,'TL08'!$J$10:$J$224),0),
IF('TL08'!$B$229=L$3,SUMIF('TL08'!$C$238:$C$451,$C176,'TL08'!$J$238:$J$451),0),
IF('TL09'!$B$3=L$3,SUMIF('TL09'!$C$10:$C$224,$C176,'TL09'!$J$10:$J$224),0),
IF('TL09'!$B$229=L$3,SUMIF('TL09'!$C$238:$C$451,$C176,'TL09'!$J$238:$J$451),0),
IF('TL10'!$B$3=L$3,SUMIF('TL10'!$C$10:$C$224,$C176,'TL10'!$J$10:$J$224),0),
IF('TL10'!$B$229=L$3,SUMIF('TL10'!$C$238:$C$451,$C176,'TL10'!$J$238:$J$451),0),
IF('TL11'!$B$3=L$3,SUMIF('TL11'!$C$10:$C$224,$C176,'TL11'!$J$10:$J$224),0),
IF('TL11'!$B$229=L$3,SUMIF('TL11'!$C$238:$C$451,$C176,'TL11'!$J$238:$J$451),0),
IF('TL12'!$B$3=L$3,SUMIF('TL12'!$C$10:$C$224,$C176,'TL12'!$J$10:$J$224),0),
IF('TL12'!$B$229=L$3,SUMIF('TL12'!$C$238:$C$451,$C176,'TL12'!$J$238:$J$451),0),
IF('TL13'!$B$3=L$3,SUMIF('TL13'!$C$10:$C$224,$C176,'TL13'!$J$10:$J$224),0),
IF('TL13'!$B$229=L$3,SUMIF('TL13'!$C$238:$C$451,$C176,'TL13'!$J$238:$J$451),0),
IF('TL14'!$B$3=L$3,SUMIF('TL14'!$C$10:$C$224,$C176,'TL14'!$J$10:$J$224),0),
IF('TL14'!$B$229=L$3,SUMIF('TL14'!$C$238:$C$451,$C176,'TL14'!$J$238:$J$451),0),
IF('TL15'!$B$3=L$3,SUMIF('TL15'!$C$10:$C$224,$C176,'TL15'!$J$10:$J$224),0),
IF('TL15'!$B$229=L$3,SUMIF('TL15'!$C$238:$C$451,$C176,'TL15'!$J$238:$J$451),0),
IF('TL16'!$B$3=L$3,SUMIF('TL16'!$C$10:$C$224,$C176,'TL16'!$J$10:$J$224),0),
IF('TL16'!$B$229=L$3,SUMIF('TL16'!$C$238:$C$451,$C176,'TL16'!$J$238:$J$451),0),
IF('TL17'!$B$3=L$3,SUMIF('TL17'!$C$10:$C$224,$C176,'TL17'!$J$10:$J$224),0),
IF('TL17'!$B$229=L$3,SUMIF('TL17'!$C$238:$C$451,$C176,'TL17'!$J$238:$J$451),0),
IF('TL18'!$B$3=L$3,SUMIF('TL18'!$C$10:$C$224,$C176,'TL18'!$J$10:$J$224),0),
IF('TL18'!$B$229=L$3,SUMIF('TL18'!$C$238:$C$451,$C176,'TL18'!$J$238:$J$451),0),
IF('TL19'!$B$3=L$3,SUMIF('TL19'!$C$10:$C$224,$C176,'TL19'!$J$10:$J$224),0),
IF('TL19'!$B$229=L$3,SUMIF('TL19'!$C$238:$C$451,$C176,'TL19'!$J$238:$J$451),0)
),0)</f>
        <v>0</v>
      </c>
      <c r="M176" s="9">
        <f>IFERROR(SUM(
IF('TL01'!$B$3=M$3,SUMIF('TL01'!$C$10:$C$224,$C176,'TL01'!$J$10:$J$224),0),
IF('TL01'!$B$229=M$3,SUMIF('TL01'!$C$238:$C$451,$C176,'TL01'!$J$238:$J$451),0),
IF('TL02'!$B$3=M$3,SUMIF('TL02'!$C$10:$C$224,$C176,'TL02'!$J$10:$J$224),0),
IF('TL02'!$B$229=M$3,SUMIF('TL02'!$C$238:$C$451,$C176,'TL02'!$J$238:$J$451),0),
IF('TL03'!$B$3=M$3,SUMIF('TL03'!$C$10:$C$224,$C176,'TL03'!$J$10:$J$224),0),
IF('TL03'!$B$229=M$3,SUMIF('TL03'!$C$238:$C$451,$C176,'TL03'!$J$238:$J$451),0),
IF('TL04'!$B$3=M$3,SUMIF('TL04'!$C$10:$C$224,$C176,'TL04'!$J$10:$J$224),0),
IF('TL04'!$B$229=M$3,SUMIF('TL04'!$C$238:$C$451,$C176,'TL04'!$J$238:$J$451),0),
IF('TL05'!$B$3=M$3,SUMIF('TL05'!$C$10:$C$224,$C176,'TL05'!$J$10:$J$224),0),
IF('TL05'!$B$229=M$3,SUMIF('TL05'!$C$238:$C$451,$C176,'TL05'!$J$238:$J$451),0),
IF('TL06'!$B$3=M$3,SUMIF('TL06'!$C$10:$C$224,$C176,'TL06'!$J$10:$J$224),0),
IF('TL06'!$B$229=M$3,SUMIF('TL06'!$C$238:$C$451,$C176,'TL06'!$J$238:$J$451),0),
IF('TL07'!$B$3=M$3,SUMIF('TL07'!$C$10:$C$224,$C176,'TL07'!$J$10:$J$224),0),
IF('TL07'!$B$229=M$3,SUMIF('TL07'!$C$238:$C$451,$C176,'TL07'!$J$238:$J$451),0),
IF('TL08'!$B$3=M$3,SUMIF('TL08'!$C$10:$C$224,$C176,'TL08'!$J$10:$J$224),0),
IF('TL08'!$B$229=M$3,SUMIF('TL08'!$C$238:$C$451,$C176,'TL08'!$J$238:$J$451),0),
IF('TL09'!$B$3=M$3,SUMIF('TL09'!$C$10:$C$224,$C176,'TL09'!$J$10:$J$224),0),
IF('TL09'!$B$229=M$3,SUMIF('TL09'!$C$238:$C$451,$C176,'TL09'!$J$238:$J$451),0),
IF('TL10'!$B$3=M$3,SUMIF('TL10'!$C$10:$C$224,$C176,'TL10'!$J$10:$J$224),0),
IF('TL10'!$B$229=M$3,SUMIF('TL10'!$C$238:$C$451,$C176,'TL10'!$J$238:$J$451),0),
IF('TL11'!$B$3=M$3,SUMIF('TL11'!$C$10:$C$224,$C176,'TL11'!$J$10:$J$224),0),
IF('TL11'!$B$229=M$3,SUMIF('TL11'!$C$238:$C$451,$C176,'TL11'!$J$238:$J$451),0),
IF('TL12'!$B$3=M$3,SUMIF('TL12'!$C$10:$C$224,$C176,'TL12'!$J$10:$J$224),0),
IF('TL12'!$B$229=M$3,SUMIF('TL12'!$C$238:$C$451,$C176,'TL12'!$J$238:$J$451),0),
IF('TL13'!$B$3=M$3,SUMIF('TL13'!$C$10:$C$224,$C176,'TL13'!$J$10:$J$224),0),
IF('TL13'!$B$229=M$3,SUMIF('TL13'!$C$238:$C$451,$C176,'TL13'!$J$238:$J$451),0),
IF('TL14'!$B$3=M$3,SUMIF('TL14'!$C$10:$C$224,$C176,'TL14'!$J$10:$J$224),0),
IF('TL14'!$B$229=M$3,SUMIF('TL14'!$C$238:$C$451,$C176,'TL14'!$J$238:$J$451),0),
IF('TL15'!$B$3=M$3,SUMIF('TL15'!$C$10:$C$224,$C176,'TL15'!$J$10:$J$224),0),
IF('TL15'!$B$229=M$3,SUMIF('TL15'!$C$238:$C$451,$C176,'TL15'!$J$238:$J$451),0),
IF('TL16'!$B$3=M$3,SUMIF('TL16'!$C$10:$C$224,$C176,'TL16'!$J$10:$J$224),0),
IF('TL16'!$B$229=M$3,SUMIF('TL16'!$C$238:$C$451,$C176,'TL16'!$J$238:$J$451),0),
IF('TL17'!$B$3=M$3,SUMIF('TL17'!$C$10:$C$224,$C176,'TL17'!$J$10:$J$224),0),
IF('TL17'!$B$229=M$3,SUMIF('TL17'!$C$238:$C$451,$C176,'TL17'!$J$238:$J$451),0),
IF('TL18'!$B$3=M$3,SUMIF('TL18'!$C$10:$C$224,$C176,'TL18'!$J$10:$J$224),0),
IF('TL18'!$B$229=M$3,SUMIF('TL18'!$C$238:$C$451,$C176,'TL18'!$J$238:$J$451),0),
IF('TL19'!$B$3=M$3,SUMIF('TL19'!$C$10:$C$224,$C176,'TL19'!$J$10:$J$224),0),
IF('TL19'!$B$229=M$3,SUMIF('TL19'!$C$238:$C$451,$C176,'TL19'!$J$238:$J$451),0)
),0)</f>
        <v>0</v>
      </c>
      <c r="N176" s="9">
        <f>IFERROR(SUM(
IF('TL01'!$B$3=N$3,SUMIF('TL01'!$C$10:$C$224,$C176,'TL01'!$J$10:$J$224),0),
IF('TL01'!$B$229=N$3,SUMIF('TL01'!$C$238:$C$451,$C176,'TL01'!$J$238:$J$451),0),
IF('TL02'!$B$3=N$3,SUMIF('TL02'!$C$10:$C$224,$C176,'TL02'!$J$10:$J$224),0),
IF('TL02'!$B$229=N$3,SUMIF('TL02'!$C$238:$C$451,$C176,'TL02'!$J$238:$J$451),0),
IF('TL03'!$B$3=N$3,SUMIF('TL03'!$C$10:$C$224,$C176,'TL03'!$J$10:$J$224),0),
IF('TL03'!$B$229=N$3,SUMIF('TL03'!$C$238:$C$451,$C176,'TL03'!$J$238:$J$451),0),
IF('TL04'!$B$3=N$3,SUMIF('TL04'!$C$10:$C$224,$C176,'TL04'!$J$10:$J$224),0),
IF('TL04'!$B$229=N$3,SUMIF('TL04'!$C$238:$C$451,$C176,'TL04'!$J$238:$J$451),0),
IF('TL05'!$B$3=N$3,SUMIF('TL05'!$C$10:$C$224,$C176,'TL05'!$J$10:$J$224),0),
IF('TL05'!$B$229=N$3,SUMIF('TL05'!$C$238:$C$451,$C176,'TL05'!$J$238:$J$451),0),
IF('TL06'!$B$3=N$3,SUMIF('TL06'!$C$10:$C$224,$C176,'TL06'!$J$10:$J$224),0),
IF('TL06'!$B$229=N$3,SUMIF('TL06'!$C$238:$C$451,$C176,'TL06'!$J$238:$J$451),0),
IF('TL07'!$B$3=N$3,SUMIF('TL07'!$C$10:$C$224,$C176,'TL07'!$J$10:$J$224),0),
IF('TL07'!$B$229=N$3,SUMIF('TL07'!$C$238:$C$451,$C176,'TL07'!$J$238:$J$451),0),
IF('TL08'!$B$3=N$3,SUMIF('TL08'!$C$10:$C$224,$C176,'TL08'!$J$10:$J$224),0),
IF('TL08'!$B$229=N$3,SUMIF('TL08'!$C$238:$C$451,$C176,'TL08'!$J$238:$J$451),0),
IF('TL09'!$B$3=N$3,SUMIF('TL09'!$C$10:$C$224,$C176,'TL09'!$J$10:$J$224),0),
IF('TL09'!$B$229=N$3,SUMIF('TL09'!$C$238:$C$451,$C176,'TL09'!$J$238:$J$451),0),
IF('TL10'!$B$3=N$3,SUMIF('TL10'!$C$10:$C$224,$C176,'TL10'!$J$10:$J$224),0),
IF('TL10'!$B$229=N$3,SUMIF('TL10'!$C$238:$C$451,$C176,'TL10'!$J$238:$J$451),0),
IF('TL11'!$B$3=N$3,SUMIF('TL11'!$C$10:$C$224,$C176,'TL11'!$J$10:$J$224),0),
IF('TL11'!$B$229=N$3,SUMIF('TL11'!$C$238:$C$451,$C176,'TL11'!$J$238:$J$451),0),
IF('TL12'!$B$3=N$3,SUMIF('TL12'!$C$10:$C$224,$C176,'TL12'!$J$10:$J$224),0),
IF('TL12'!$B$229=N$3,SUMIF('TL12'!$C$238:$C$451,$C176,'TL12'!$J$238:$J$451),0),
IF('TL13'!$B$3=N$3,SUMIF('TL13'!$C$10:$C$224,$C176,'TL13'!$J$10:$J$224),0),
IF('TL13'!$B$229=N$3,SUMIF('TL13'!$C$238:$C$451,$C176,'TL13'!$J$238:$J$451),0),
IF('TL14'!$B$3=N$3,SUMIF('TL14'!$C$10:$C$224,$C176,'TL14'!$J$10:$J$224),0),
IF('TL14'!$B$229=N$3,SUMIF('TL14'!$C$238:$C$451,$C176,'TL14'!$J$238:$J$451),0),
IF('TL15'!$B$3=N$3,SUMIF('TL15'!$C$10:$C$224,$C176,'TL15'!$J$10:$J$224),0),
IF('TL15'!$B$229=N$3,SUMIF('TL15'!$C$238:$C$451,$C176,'TL15'!$J$238:$J$451),0),
IF('TL16'!$B$3=N$3,SUMIF('TL16'!$C$10:$C$224,$C176,'TL16'!$J$10:$J$224),0),
IF('TL16'!$B$229=N$3,SUMIF('TL16'!$C$238:$C$451,$C176,'TL16'!$J$238:$J$451),0),
IF('TL17'!$B$3=N$3,SUMIF('TL17'!$C$10:$C$224,$C176,'TL17'!$J$10:$J$224),0),
IF('TL17'!$B$229=N$3,SUMIF('TL17'!$C$238:$C$451,$C176,'TL17'!$J$238:$J$451),0),
IF('TL18'!$B$3=N$3,SUMIF('TL18'!$C$10:$C$224,$C176,'TL18'!$J$10:$J$224),0),
IF('TL18'!$B$229=N$3,SUMIF('TL18'!$C$238:$C$451,$C176,'TL18'!$J$238:$J$451),0),
IF('TL19'!$B$3=N$3,SUMIF('TL19'!$C$10:$C$224,$C176,'TL19'!$J$10:$J$224),0),
IF('TL19'!$B$229=N$3,SUMIF('TL19'!$C$238:$C$451,$C176,'TL19'!$J$238:$J$451),0)
),0)</f>
        <v>0</v>
      </c>
      <c r="O176" s="9">
        <f>IFERROR(SUM(
IF('TL01'!$B$3=O$3,SUMIF('TL01'!$C$10:$C$224,$C176,'TL01'!$J$10:$J$224),0),
IF('TL01'!$B$229=O$3,SUMIF('TL01'!$C$238:$C$451,$C176,'TL01'!$J$238:$J$451),0),
IF('TL02'!$B$3=O$3,SUMIF('TL02'!$C$10:$C$224,$C176,'TL02'!$J$10:$J$224),0),
IF('TL02'!$B$229=O$3,SUMIF('TL02'!$C$238:$C$451,$C176,'TL02'!$J$238:$J$451),0),
IF('TL03'!$B$3=O$3,SUMIF('TL03'!$C$10:$C$224,$C176,'TL03'!$J$10:$J$224),0),
IF('TL03'!$B$229=O$3,SUMIF('TL03'!$C$238:$C$451,$C176,'TL03'!$J$238:$J$451),0),
IF('TL04'!$B$3=O$3,SUMIF('TL04'!$C$10:$C$224,$C176,'TL04'!$J$10:$J$224),0),
IF('TL04'!$B$229=O$3,SUMIF('TL04'!$C$238:$C$451,$C176,'TL04'!$J$238:$J$451),0),
IF('TL05'!$B$3=O$3,SUMIF('TL05'!$C$10:$C$224,$C176,'TL05'!$J$10:$J$224),0),
IF('TL05'!$B$229=O$3,SUMIF('TL05'!$C$238:$C$451,$C176,'TL05'!$J$238:$J$451),0),
IF('TL06'!$B$3=O$3,SUMIF('TL06'!$C$10:$C$224,$C176,'TL06'!$J$10:$J$224),0),
IF('TL06'!$B$229=O$3,SUMIF('TL06'!$C$238:$C$451,$C176,'TL06'!$J$238:$J$451),0),
IF('TL07'!$B$3=O$3,SUMIF('TL07'!$C$10:$C$224,$C176,'TL07'!$J$10:$J$224),0),
IF('TL07'!$B$229=O$3,SUMIF('TL07'!$C$238:$C$451,$C176,'TL07'!$J$238:$J$451),0),
IF('TL08'!$B$3=O$3,SUMIF('TL08'!$C$10:$C$224,$C176,'TL08'!$J$10:$J$224),0),
IF('TL08'!$B$229=O$3,SUMIF('TL08'!$C$238:$C$451,$C176,'TL08'!$J$238:$J$451),0),
IF('TL09'!$B$3=O$3,SUMIF('TL09'!$C$10:$C$224,$C176,'TL09'!$J$10:$J$224),0),
IF('TL09'!$B$229=O$3,SUMIF('TL09'!$C$238:$C$451,$C176,'TL09'!$J$238:$J$451),0),
IF('TL10'!$B$3=O$3,SUMIF('TL10'!$C$10:$C$224,$C176,'TL10'!$J$10:$J$224),0),
IF('TL10'!$B$229=O$3,SUMIF('TL10'!$C$238:$C$451,$C176,'TL10'!$J$238:$J$451),0),
IF('TL11'!$B$3=O$3,SUMIF('TL11'!$C$10:$C$224,$C176,'TL11'!$J$10:$J$224),0),
IF('TL11'!$B$229=O$3,SUMIF('TL11'!$C$238:$C$451,$C176,'TL11'!$J$238:$J$451),0),
IF('TL12'!$B$3=O$3,SUMIF('TL12'!$C$10:$C$224,$C176,'TL12'!$J$10:$J$224),0),
IF('TL12'!$B$229=O$3,SUMIF('TL12'!$C$238:$C$451,$C176,'TL12'!$J$238:$J$451),0),
IF('TL13'!$B$3=O$3,SUMIF('TL13'!$C$10:$C$224,$C176,'TL13'!$J$10:$J$224),0),
IF('TL13'!$B$229=O$3,SUMIF('TL13'!$C$238:$C$451,$C176,'TL13'!$J$238:$J$451),0),
IF('TL14'!$B$3=O$3,SUMIF('TL14'!$C$10:$C$224,$C176,'TL14'!$J$10:$J$224),0),
IF('TL14'!$B$229=O$3,SUMIF('TL14'!$C$238:$C$451,$C176,'TL14'!$J$238:$J$451),0),
IF('TL15'!$B$3=O$3,SUMIF('TL15'!$C$10:$C$224,$C176,'TL15'!$J$10:$J$224),0),
IF('TL15'!$B$229=O$3,SUMIF('TL15'!$C$238:$C$451,$C176,'TL15'!$J$238:$J$451),0),
IF('TL16'!$B$3=O$3,SUMIF('TL16'!$C$10:$C$224,$C176,'TL16'!$J$10:$J$224),0),
IF('TL16'!$B$229=O$3,SUMIF('TL16'!$C$238:$C$451,$C176,'TL16'!$J$238:$J$451),0),
IF('TL17'!$B$3=O$3,SUMIF('TL17'!$C$10:$C$224,$C176,'TL17'!$J$10:$J$224),0),
IF('TL17'!$B$229=O$3,SUMIF('TL17'!$C$238:$C$451,$C176,'TL17'!$J$238:$J$451),0),
IF('TL18'!$B$3=O$3,SUMIF('TL18'!$C$10:$C$224,$C176,'TL18'!$J$10:$J$224),0),
IF('TL18'!$B$229=O$3,SUMIF('TL18'!$C$238:$C$451,$C176,'TL18'!$J$238:$J$451),0),
IF('TL19'!$B$3=O$3,SUMIF('TL19'!$C$10:$C$224,$C176,'TL19'!$J$10:$J$224),0),
IF('TL19'!$B$229=O$3,SUMIF('TL19'!$C$238:$C$451,$C176,'TL19'!$J$238:$J$451),0)
),0)</f>
        <v>0</v>
      </c>
      <c r="P176" s="9">
        <f>IFERROR(SUM(
IF('TL01'!$B$3=P$3,SUMIF('TL01'!$C$10:$C$224,$C176,'TL01'!$J$10:$J$224),0),
IF('TL01'!$B$229=P$3,SUMIF('TL01'!$C$238:$C$451,$C176,'TL01'!$J$238:$J$451),0),
IF('TL02'!$B$3=P$3,SUMIF('TL02'!$C$10:$C$224,$C176,'TL02'!$J$10:$J$224),0),
IF('TL02'!$B$229=P$3,SUMIF('TL02'!$C$238:$C$451,$C176,'TL02'!$J$238:$J$451),0),
IF('TL03'!$B$3=P$3,SUMIF('TL03'!$C$10:$C$224,$C176,'TL03'!$J$10:$J$224),0),
IF('TL03'!$B$229=P$3,SUMIF('TL03'!$C$238:$C$451,$C176,'TL03'!$J$238:$J$451),0),
IF('TL04'!$B$3=P$3,SUMIF('TL04'!$C$10:$C$224,$C176,'TL04'!$J$10:$J$224),0),
IF('TL04'!$B$229=P$3,SUMIF('TL04'!$C$238:$C$451,$C176,'TL04'!$J$238:$J$451),0),
IF('TL05'!$B$3=P$3,SUMIF('TL05'!$C$10:$C$224,$C176,'TL05'!$J$10:$J$224),0),
IF('TL05'!$B$229=P$3,SUMIF('TL05'!$C$238:$C$451,$C176,'TL05'!$J$238:$J$451),0),
IF('TL06'!$B$3=P$3,SUMIF('TL06'!$C$10:$C$224,$C176,'TL06'!$J$10:$J$224),0),
IF('TL06'!$B$229=P$3,SUMIF('TL06'!$C$238:$C$451,$C176,'TL06'!$J$238:$J$451),0),
IF('TL07'!$B$3=P$3,SUMIF('TL07'!$C$10:$C$224,$C176,'TL07'!$J$10:$J$224),0),
IF('TL07'!$B$229=P$3,SUMIF('TL07'!$C$238:$C$451,$C176,'TL07'!$J$238:$J$451),0),
IF('TL08'!$B$3=P$3,SUMIF('TL08'!$C$10:$C$224,$C176,'TL08'!$J$10:$J$224),0),
IF('TL08'!$B$229=P$3,SUMIF('TL08'!$C$238:$C$451,$C176,'TL08'!$J$238:$J$451),0),
IF('TL09'!$B$3=P$3,SUMIF('TL09'!$C$10:$C$224,$C176,'TL09'!$J$10:$J$224),0),
IF('TL09'!$B$229=P$3,SUMIF('TL09'!$C$238:$C$451,$C176,'TL09'!$J$238:$J$451),0),
IF('TL10'!$B$3=P$3,SUMIF('TL10'!$C$10:$C$224,$C176,'TL10'!$J$10:$J$224),0),
IF('TL10'!$B$229=P$3,SUMIF('TL10'!$C$238:$C$451,$C176,'TL10'!$J$238:$J$451),0),
IF('TL11'!$B$3=P$3,SUMIF('TL11'!$C$10:$C$224,$C176,'TL11'!$J$10:$J$224),0),
IF('TL11'!$B$229=P$3,SUMIF('TL11'!$C$238:$C$451,$C176,'TL11'!$J$238:$J$451),0),
IF('TL12'!$B$3=P$3,SUMIF('TL12'!$C$10:$C$224,$C176,'TL12'!$J$10:$J$224),0),
IF('TL12'!$B$229=P$3,SUMIF('TL12'!$C$238:$C$451,$C176,'TL12'!$J$238:$J$451),0),
IF('TL13'!$B$3=P$3,SUMIF('TL13'!$C$10:$C$224,$C176,'TL13'!$J$10:$J$224),0),
IF('TL13'!$B$229=P$3,SUMIF('TL13'!$C$238:$C$451,$C176,'TL13'!$J$238:$J$451),0),
IF('TL14'!$B$3=P$3,SUMIF('TL14'!$C$10:$C$224,$C176,'TL14'!$J$10:$J$224),0),
IF('TL14'!$B$229=P$3,SUMIF('TL14'!$C$238:$C$451,$C176,'TL14'!$J$238:$J$451),0),
IF('TL15'!$B$3=P$3,SUMIF('TL15'!$C$10:$C$224,$C176,'TL15'!$J$10:$J$224),0),
IF('TL15'!$B$229=P$3,SUMIF('TL15'!$C$238:$C$451,$C176,'TL15'!$J$238:$J$451),0),
IF('TL16'!$B$3=P$3,SUMIF('TL16'!$C$10:$C$224,$C176,'TL16'!$J$10:$J$224),0),
IF('TL16'!$B$229=P$3,SUMIF('TL16'!$C$238:$C$451,$C176,'TL16'!$J$238:$J$451),0),
IF('TL17'!$B$3=P$3,SUMIF('TL17'!$C$10:$C$224,$C176,'TL17'!$J$10:$J$224),0),
IF('TL17'!$B$229=P$3,SUMIF('TL17'!$C$238:$C$451,$C176,'TL17'!$J$238:$J$451),0),
IF('TL18'!$B$3=P$3,SUMIF('TL18'!$C$10:$C$224,$C176,'TL18'!$J$10:$J$224),0),
IF('TL18'!$B$229=P$3,SUMIF('TL18'!$C$238:$C$451,$C176,'TL18'!$J$238:$J$451),0),
IF('TL19'!$B$3=P$3,SUMIF('TL19'!$C$10:$C$224,$C176,'TL19'!$J$10:$J$224),0),
IF('TL19'!$B$229=P$3,SUMIF('TL19'!$C$238:$C$451,$C176,'TL19'!$J$238:$J$451),0)
),0)</f>
        <v>0</v>
      </c>
      <c r="Q176" s="9">
        <f>IFERROR(SUM(
IF('TL01'!$B$3=Q$3,SUMIF('TL01'!$C$10:$C$224,$C176,'TL01'!$J$10:$J$224),0),
IF('TL01'!$B$229=Q$3,SUMIF('TL01'!$C$238:$C$451,$C176,'TL01'!$J$238:$J$451),0),
IF('TL02'!$B$3=Q$3,SUMIF('TL02'!$C$10:$C$224,$C176,'TL02'!$J$10:$J$224),0),
IF('TL02'!$B$229=Q$3,SUMIF('TL02'!$C$238:$C$451,$C176,'TL02'!$J$238:$J$451),0),
IF('TL03'!$B$3=Q$3,SUMIF('TL03'!$C$10:$C$224,$C176,'TL03'!$J$10:$J$224),0),
IF('TL03'!$B$229=Q$3,SUMIF('TL03'!$C$238:$C$451,$C176,'TL03'!$J$238:$J$451),0),
IF('TL04'!$B$3=Q$3,SUMIF('TL04'!$C$10:$C$224,$C176,'TL04'!$J$10:$J$224),0),
IF('TL04'!$B$229=Q$3,SUMIF('TL04'!$C$238:$C$451,$C176,'TL04'!$J$238:$J$451),0),
IF('TL05'!$B$3=Q$3,SUMIF('TL05'!$C$10:$C$224,$C176,'TL05'!$J$10:$J$224),0),
IF('TL05'!$B$229=Q$3,SUMIF('TL05'!$C$238:$C$451,$C176,'TL05'!$J$238:$J$451),0),
IF('TL06'!$B$3=Q$3,SUMIF('TL06'!$C$10:$C$224,$C176,'TL06'!$J$10:$J$224),0),
IF('TL06'!$B$229=Q$3,SUMIF('TL06'!$C$238:$C$451,$C176,'TL06'!$J$238:$J$451),0),
IF('TL07'!$B$3=Q$3,SUMIF('TL07'!$C$10:$C$224,$C176,'TL07'!$J$10:$J$224),0),
IF('TL07'!$B$229=Q$3,SUMIF('TL07'!$C$238:$C$451,$C176,'TL07'!$J$238:$J$451),0),
IF('TL08'!$B$3=Q$3,SUMIF('TL08'!$C$10:$C$224,$C176,'TL08'!$J$10:$J$224),0),
IF('TL08'!$B$229=Q$3,SUMIF('TL08'!$C$238:$C$451,$C176,'TL08'!$J$238:$J$451),0),
IF('TL09'!$B$3=Q$3,SUMIF('TL09'!$C$10:$C$224,$C176,'TL09'!$J$10:$J$224),0),
IF('TL09'!$B$229=Q$3,SUMIF('TL09'!$C$238:$C$451,$C176,'TL09'!$J$238:$J$451),0),
IF('TL10'!$B$3=Q$3,SUMIF('TL10'!$C$10:$C$224,$C176,'TL10'!$J$10:$J$224),0),
IF('TL10'!$B$229=Q$3,SUMIF('TL10'!$C$238:$C$451,$C176,'TL10'!$J$238:$J$451),0),
IF('TL11'!$B$3=Q$3,SUMIF('TL11'!$C$10:$C$224,$C176,'TL11'!$J$10:$J$224),0),
IF('TL11'!$B$229=Q$3,SUMIF('TL11'!$C$238:$C$451,$C176,'TL11'!$J$238:$J$451),0),
IF('TL12'!$B$3=Q$3,SUMIF('TL12'!$C$10:$C$224,$C176,'TL12'!$J$10:$J$224),0),
IF('TL12'!$B$229=Q$3,SUMIF('TL12'!$C$238:$C$451,$C176,'TL12'!$J$238:$J$451),0),
IF('TL13'!$B$3=Q$3,SUMIF('TL13'!$C$10:$C$224,$C176,'TL13'!$J$10:$J$224),0),
IF('TL13'!$B$229=Q$3,SUMIF('TL13'!$C$238:$C$451,$C176,'TL13'!$J$238:$J$451),0),
IF('TL14'!$B$3=Q$3,SUMIF('TL14'!$C$10:$C$224,$C176,'TL14'!$J$10:$J$224),0),
IF('TL14'!$B$229=Q$3,SUMIF('TL14'!$C$238:$C$451,$C176,'TL14'!$J$238:$J$451),0),
IF('TL15'!$B$3=Q$3,SUMIF('TL15'!$C$10:$C$224,$C176,'TL15'!$J$10:$J$224),0),
IF('TL15'!$B$229=Q$3,SUMIF('TL15'!$C$238:$C$451,$C176,'TL15'!$J$238:$J$451),0),
IF('TL16'!$B$3=Q$3,SUMIF('TL16'!$C$10:$C$224,$C176,'TL16'!$J$10:$J$224),0),
IF('TL16'!$B$229=Q$3,SUMIF('TL16'!$C$238:$C$451,$C176,'TL16'!$J$238:$J$451),0),
IF('TL17'!$B$3=Q$3,SUMIF('TL17'!$C$10:$C$224,$C176,'TL17'!$J$10:$J$224),0),
IF('TL17'!$B$229=Q$3,SUMIF('TL17'!$C$238:$C$451,$C176,'TL17'!$J$238:$J$451),0),
IF('TL18'!$B$3=Q$3,SUMIF('TL18'!$C$10:$C$224,$C176,'TL18'!$J$10:$J$224),0),
IF('TL18'!$B$229=Q$3,SUMIF('TL18'!$C$238:$C$451,$C176,'TL18'!$J$238:$J$451),0),
IF('TL19'!$B$3=Q$3,SUMIF('TL19'!$C$10:$C$224,$C176,'TL19'!$J$10:$J$224),0),
IF('TL19'!$B$229=Q$3,SUMIF('TL19'!$C$238:$C$451,$C176,'TL19'!$J$238:$J$451),0)
),0)</f>
        <v>0</v>
      </c>
      <c r="R176" s="9">
        <f>IFERROR(
SUM(
SUMIF('TL01'!C:C,C176,'TL01'!J:J),
SUMIF('TL02'!C:C,C176,'TL02'!J:J),
SUMIF('TL03'!C:C,C176,'TL03'!J:J),
SUMIF('TL04'!C:C,C176,'TL04'!J:J),
SUMIF('TL05'!C:C,C176,'TL05'!J:J),
SUMIF('TL06'!C:C,C176,'TL06'!J:J),
SUMIF('TL07'!C:C,C176,'TL07'!J:J),
SUMIF('TL08'!C:C,C176,'TL08'!J:J),
SUMIF('TL09'!C:C,C176,'TL09'!J:J),
SUMIF('TL10'!C:C,C176,'TL10'!J:J),
SUMIF('TL11'!C:C,C176,'TL11'!J:J),
SUMIF('TL12'!C:C,C176,'TL12'!J:J),
SUMIF('TL13'!C:C,C176,'TL13'!J:J),
SUMIF('TL14'!C:C,C176,'TL14'!J:J),
SUMIF('TL15'!C:C,C176,'TL15'!J:J),
SUMIF('TL16'!C:C,C176,'TL16'!J:J),
SUMIF('TL17'!C:C,C176,'TL17'!J:J),
SUMIF('TL18'!C:C,C176,'TL18'!J:J),SUMIF('TL19'!C:C,C176,'TL19'!J:J))
,0)</f>
        <v>0</v>
      </c>
      <c r="S176" s="17">
        <f>IFERROR(__xludf.DUMMYFUNCTION("IFERROR(VLOOKUP(C176,
IMPORTRANGE(""1wULbzX32WdYsx-lj2U3uUNBBe2INVIRDtcK0d-Dvl90"",
""26-27!C:G""),
5,
FALSE),
"""")"),72.69849)</f>
        <v>72.69849</v>
      </c>
      <c r="T176" s="9"/>
      <c r="U176" s="92">
        <f t="shared" si="2"/>
        <v>0</v>
      </c>
      <c r="V176" s="93">
        <f t="shared" si="3"/>
        <v>0</v>
      </c>
    </row>
    <row r="177" ht="15.75" hidden="1" customHeight="1">
      <c r="A177" s="94" t="s">
        <v>340</v>
      </c>
      <c r="B177" s="95" t="s">
        <v>2</v>
      </c>
      <c r="C177" s="96" t="s">
        <v>762</v>
      </c>
      <c r="D177" s="96" t="s">
        <v>763</v>
      </c>
      <c r="E177" s="96" t="s">
        <v>764</v>
      </c>
      <c r="F177" s="4" t="s">
        <v>343</v>
      </c>
      <c r="G177" s="90" t="str">
        <f t="shared" si="4"/>
        <v>📄 Ver bula</v>
      </c>
      <c r="H177" s="9">
        <f>IFERROR(__xludf.DUMMYFUNCTION("IFERROR(VLOOKUP(C177,
IMPORTRANGE(""1wULbzX32WdYsx-lj2U3uUNBBe2INVIRDtcK0d-Dvl90"",
""26-27!C:K""),
8,
FALSE),
"""")"),0.2)</f>
        <v>0.2</v>
      </c>
      <c r="I177" s="97" t="s">
        <v>382</v>
      </c>
      <c r="J177" s="9">
        <f>IFERROR(SUM(
IF('TL01'!$B$3=J$3,SUMIF('TL01'!$C$10:$C$224,$C177,'TL01'!$J$10:$J$224),0),
IF('TL01'!$B$229=J$3,SUMIF('TL01'!$C$238:$C$451,$C177,'TL01'!$J$238:$J$451),0),
IF('TL02'!$B$3=J$3,SUMIF('TL02'!$C$10:$C$224,$C177,'TL02'!$J$10:$J$224),0),
IF('TL02'!$B$229=J$3,SUMIF('TL02'!$C$238:$C$451,$C177,'TL02'!$J$238:$J$451),0),
IF('TL03'!$B$3=J$3,SUMIF('TL03'!$C$10:$C$224,$C177,'TL03'!$J$10:$J$224),0),
IF('TL03'!$B$229=J$3,SUMIF('TL03'!$C$238:$C$451,$C177,'TL03'!$J$238:$J$451),0),
IF('TL04'!$B$3=J$3,SUMIF('TL04'!$C$10:$C$224,$C177,'TL04'!$J$10:$J$224),0),
IF('TL04'!$B$229=J$3,SUMIF('TL04'!$C$238:$C$451,$C177,'TL04'!$J$238:$J$451),0),
IF('TL05'!$B$3=J$3,SUMIF('TL05'!$C$10:$C$224,$C177,'TL05'!$J$10:$J$224),0),
IF('TL05'!$B$229=J$3,SUMIF('TL05'!$C$238:$C$451,$C177,'TL05'!$J$238:$J$451),0),
IF('TL06'!$B$3=J$3,SUMIF('TL06'!$C$10:$C$224,$C177,'TL06'!$J$10:$J$224),0),
IF('TL06'!$B$229=J$3,SUMIF('TL06'!$C$238:$C$451,$C177,'TL06'!$J$238:$J$451),0),
IF('TL07'!$B$3=J$3,SUMIF('TL07'!$C$10:$C$224,$C177,'TL07'!$J$10:$J$224),0),
IF('TL07'!$B$229=J$3,SUMIF('TL07'!$C$238:$C$451,$C177,'TL07'!$J$238:$J$451),0),
IF('TL08'!$B$3=J$3,SUMIF('TL08'!$C$10:$C$224,$C177,'TL08'!$J$10:$J$224),0),
IF('TL08'!$B$229=J$3,SUMIF('TL08'!$C$238:$C$451,$C177,'TL08'!$J$238:$J$451),0),
IF('TL09'!$B$3=J$3,SUMIF('TL09'!$C$10:$C$224,$C177,'TL09'!$J$10:$J$224),0),
IF('TL09'!$B$229=J$3,SUMIF('TL09'!$C$238:$C$451,$C177,'TL09'!$J$238:$J$451),0),
IF('TL10'!$B$3=J$3,SUMIF('TL10'!$C$10:$C$224,$C177,'TL10'!$J$10:$J$224),0),
IF('TL10'!$B$229=J$3,SUMIF('TL10'!$C$238:$C$451,$C177,'TL10'!$J$238:$J$451),0),
IF('TL11'!$B$3=J$3,SUMIF('TL11'!$C$10:$C$224,$C177,'TL11'!$J$10:$J$224),0),
IF('TL11'!$B$229=J$3,SUMIF('TL11'!$C$238:$C$451,$C177,'TL11'!$J$238:$J$451),0),
IF('TL12'!$B$3=J$3,SUMIF('TL12'!$C$10:$C$224,$C177,'TL12'!$J$10:$J$224),0),
IF('TL12'!$B$229=J$3,SUMIF('TL12'!$C$238:$C$451,$C177,'TL12'!$J$238:$J$451),0),
IF('TL13'!$B$3=J$3,SUMIF('TL13'!$C$10:$C$224,$C177,'TL13'!$J$10:$J$224),0),
IF('TL13'!$B$229=J$3,SUMIF('TL13'!$C$238:$C$451,$C177,'TL13'!$J$238:$J$451),0),
IF('TL14'!$B$3=J$3,SUMIF('TL14'!$C$10:$C$224,$C177,'TL14'!$J$10:$J$224),0),
IF('TL14'!$B$229=J$3,SUMIF('TL14'!$C$238:$C$451,$C177,'TL14'!$J$238:$J$451),0),
IF('TL15'!$B$3=J$3,SUMIF('TL15'!$C$10:$C$224,$C177,'TL15'!$J$10:$J$224),0),
IF('TL15'!$B$229=J$3,SUMIF('TL15'!$C$238:$C$451,$C177,'TL15'!$J$238:$J$451),0),
IF('TL16'!$B$3=J$3,SUMIF('TL16'!$C$10:$C$224,$C177,'TL16'!$J$10:$J$224),0),
IF('TL16'!$B$229=J$3,SUMIF('TL16'!$C$238:$C$451,$C177,'TL16'!$J$238:$J$451),0),
IF('TL17'!$B$3=J$3,SUMIF('TL17'!$C$10:$C$224,$C177,'TL17'!$J$10:$J$224),0),
IF('TL17'!$B$229=J$3,SUMIF('TL17'!$C$238:$C$451,$C177,'TL17'!$J$238:$J$451),0),
IF('TL18'!$B$3=J$3,SUMIF('TL18'!$C$10:$C$224,$C177,'TL18'!$J$10:$J$224),0),
IF('TL18'!$B$229=J$3,SUMIF('TL18'!$C$238:$C$451,$C177,'TL18'!$J$238:$J$451),0),
IF('TL19'!$B$3=J$3,SUMIF('TL19'!$C$10:$C$224,$C177,'TL19'!$J$10:$J$224),0),
IF('TL19'!$B$229=J$3,SUMIF('TL19'!$C$238:$C$451,$C177,'TL19'!$J$238:$J$451),0)
),0)</f>
        <v>0</v>
      </c>
      <c r="K177" s="9">
        <f>IFERROR(SUM(
IF('TL01'!$B$3=K$3,SUMIF('TL01'!$C$10:$C$224,$C177,'TL01'!$J$10:$J$224),0),
IF('TL01'!$B$229=K$3,SUMIF('TL01'!$C$238:$C$451,$C177,'TL01'!$J$238:$J$451),0),
IF('TL02'!$B$3=K$3,SUMIF('TL02'!$C$10:$C$224,$C177,'TL02'!$J$10:$J$224),0),
IF('TL02'!$B$229=K$3,SUMIF('TL02'!$C$238:$C$451,$C177,'TL02'!$J$238:$J$451),0),
IF('TL03'!$B$3=K$3,SUMIF('TL03'!$C$10:$C$224,$C177,'TL03'!$J$10:$J$224),0),
IF('TL03'!$B$229=K$3,SUMIF('TL03'!$C$238:$C$451,$C177,'TL03'!$J$238:$J$451),0),
IF('TL04'!$B$3=K$3,SUMIF('TL04'!$C$10:$C$224,$C177,'TL04'!$J$10:$J$224),0),
IF('TL04'!$B$229=K$3,SUMIF('TL04'!$C$238:$C$451,$C177,'TL04'!$J$238:$J$451),0),
IF('TL05'!$B$3=K$3,SUMIF('TL05'!$C$10:$C$224,$C177,'TL05'!$J$10:$J$224),0),
IF('TL05'!$B$229=K$3,SUMIF('TL05'!$C$238:$C$451,$C177,'TL05'!$J$238:$J$451),0),
IF('TL06'!$B$3=K$3,SUMIF('TL06'!$C$10:$C$224,$C177,'TL06'!$J$10:$J$224),0),
IF('TL06'!$B$229=K$3,SUMIF('TL06'!$C$238:$C$451,$C177,'TL06'!$J$238:$J$451),0),
IF('TL07'!$B$3=K$3,SUMIF('TL07'!$C$10:$C$224,$C177,'TL07'!$J$10:$J$224),0),
IF('TL07'!$B$229=K$3,SUMIF('TL07'!$C$238:$C$451,$C177,'TL07'!$J$238:$J$451),0),
IF('TL08'!$B$3=K$3,SUMIF('TL08'!$C$10:$C$224,$C177,'TL08'!$J$10:$J$224),0),
IF('TL08'!$B$229=K$3,SUMIF('TL08'!$C$238:$C$451,$C177,'TL08'!$J$238:$J$451),0),
IF('TL09'!$B$3=K$3,SUMIF('TL09'!$C$10:$C$224,$C177,'TL09'!$J$10:$J$224),0),
IF('TL09'!$B$229=K$3,SUMIF('TL09'!$C$238:$C$451,$C177,'TL09'!$J$238:$J$451),0),
IF('TL10'!$B$3=K$3,SUMIF('TL10'!$C$10:$C$224,$C177,'TL10'!$J$10:$J$224),0),
IF('TL10'!$B$229=K$3,SUMIF('TL10'!$C$238:$C$451,$C177,'TL10'!$J$238:$J$451),0),
IF('TL11'!$B$3=K$3,SUMIF('TL11'!$C$10:$C$224,$C177,'TL11'!$J$10:$J$224),0),
IF('TL11'!$B$229=K$3,SUMIF('TL11'!$C$238:$C$451,$C177,'TL11'!$J$238:$J$451),0),
IF('TL12'!$B$3=K$3,SUMIF('TL12'!$C$10:$C$224,$C177,'TL12'!$J$10:$J$224),0),
IF('TL12'!$B$229=K$3,SUMIF('TL12'!$C$238:$C$451,$C177,'TL12'!$J$238:$J$451),0),
IF('TL13'!$B$3=K$3,SUMIF('TL13'!$C$10:$C$224,$C177,'TL13'!$J$10:$J$224),0),
IF('TL13'!$B$229=K$3,SUMIF('TL13'!$C$238:$C$451,$C177,'TL13'!$J$238:$J$451),0),
IF('TL14'!$B$3=K$3,SUMIF('TL14'!$C$10:$C$224,$C177,'TL14'!$J$10:$J$224),0),
IF('TL14'!$B$229=K$3,SUMIF('TL14'!$C$238:$C$451,$C177,'TL14'!$J$238:$J$451),0),
IF('TL15'!$B$3=K$3,SUMIF('TL15'!$C$10:$C$224,$C177,'TL15'!$J$10:$J$224),0),
IF('TL15'!$B$229=K$3,SUMIF('TL15'!$C$238:$C$451,$C177,'TL15'!$J$238:$J$451),0),
IF('TL16'!$B$3=K$3,SUMIF('TL16'!$C$10:$C$224,$C177,'TL16'!$J$10:$J$224),0),
IF('TL16'!$B$229=K$3,SUMIF('TL16'!$C$238:$C$451,$C177,'TL16'!$J$238:$J$451),0),
IF('TL17'!$B$3=K$3,SUMIF('TL17'!$C$10:$C$224,$C177,'TL17'!$J$10:$J$224),0),
IF('TL17'!$B$229=K$3,SUMIF('TL17'!$C$238:$C$451,$C177,'TL17'!$J$238:$J$451),0),
IF('TL18'!$B$3=K$3,SUMIF('TL18'!$C$10:$C$224,$C177,'TL18'!$J$10:$J$224),0),
IF('TL18'!$B$229=K$3,SUMIF('TL18'!$C$238:$C$451,$C177,'TL18'!$J$238:$J$451),0),
IF('TL19'!$B$3=K$3,SUMIF('TL19'!$C$10:$C$224,$C177,'TL19'!$J$10:$J$224),0),
IF('TL19'!$B$229=K$3,SUMIF('TL19'!$C$238:$C$451,$C177,'TL19'!$J$238:$J$451),0)
),0)</f>
        <v>0</v>
      </c>
      <c r="L177" s="9">
        <f>IFERROR(SUM(
IF('TL01'!$B$3=L$3,SUMIF('TL01'!$C$10:$C$224,$C177,'TL01'!$J$10:$J$224),0),
IF('TL01'!$B$229=L$3,SUMIF('TL01'!$C$238:$C$451,$C177,'TL01'!$J$238:$J$451),0),
IF('TL02'!$B$3=L$3,SUMIF('TL02'!$C$10:$C$224,$C177,'TL02'!$J$10:$J$224),0),
IF('TL02'!$B$229=L$3,SUMIF('TL02'!$C$238:$C$451,$C177,'TL02'!$J$238:$J$451),0),
IF('TL03'!$B$3=L$3,SUMIF('TL03'!$C$10:$C$224,$C177,'TL03'!$J$10:$J$224),0),
IF('TL03'!$B$229=L$3,SUMIF('TL03'!$C$238:$C$451,$C177,'TL03'!$J$238:$J$451),0),
IF('TL04'!$B$3=L$3,SUMIF('TL04'!$C$10:$C$224,$C177,'TL04'!$J$10:$J$224),0),
IF('TL04'!$B$229=L$3,SUMIF('TL04'!$C$238:$C$451,$C177,'TL04'!$J$238:$J$451),0),
IF('TL05'!$B$3=L$3,SUMIF('TL05'!$C$10:$C$224,$C177,'TL05'!$J$10:$J$224),0),
IF('TL05'!$B$229=L$3,SUMIF('TL05'!$C$238:$C$451,$C177,'TL05'!$J$238:$J$451),0),
IF('TL06'!$B$3=L$3,SUMIF('TL06'!$C$10:$C$224,$C177,'TL06'!$J$10:$J$224),0),
IF('TL06'!$B$229=L$3,SUMIF('TL06'!$C$238:$C$451,$C177,'TL06'!$J$238:$J$451),0),
IF('TL07'!$B$3=L$3,SUMIF('TL07'!$C$10:$C$224,$C177,'TL07'!$J$10:$J$224),0),
IF('TL07'!$B$229=L$3,SUMIF('TL07'!$C$238:$C$451,$C177,'TL07'!$J$238:$J$451),0),
IF('TL08'!$B$3=L$3,SUMIF('TL08'!$C$10:$C$224,$C177,'TL08'!$J$10:$J$224),0),
IF('TL08'!$B$229=L$3,SUMIF('TL08'!$C$238:$C$451,$C177,'TL08'!$J$238:$J$451),0),
IF('TL09'!$B$3=L$3,SUMIF('TL09'!$C$10:$C$224,$C177,'TL09'!$J$10:$J$224),0),
IF('TL09'!$B$229=L$3,SUMIF('TL09'!$C$238:$C$451,$C177,'TL09'!$J$238:$J$451),0),
IF('TL10'!$B$3=L$3,SUMIF('TL10'!$C$10:$C$224,$C177,'TL10'!$J$10:$J$224),0),
IF('TL10'!$B$229=L$3,SUMIF('TL10'!$C$238:$C$451,$C177,'TL10'!$J$238:$J$451),0),
IF('TL11'!$B$3=L$3,SUMIF('TL11'!$C$10:$C$224,$C177,'TL11'!$J$10:$J$224),0),
IF('TL11'!$B$229=L$3,SUMIF('TL11'!$C$238:$C$451,$C177,'TL11'!$J$238:$J$451),0),
IF('TL12'!$B$3=L$3,SUMIF('TL12'!$C$10:$C$224,$C177,'TL12'!$J$10:$J$224),0),
IF('TL12'!$B$229=L$3,SUMIF('TL12'!$C$238:$C$451,$C177,'TL12'!$J$238:$J$451),0),
IF('TL13'!$B$3=L$3,SUMIF('TL13'!$C$10:$C$224,$C177,'TL13'!$J$10:$J$224),0),
IF('TL13'!$B$229=L$3,SUMIF('TL13'!$C$238:$C$451,$C177,'TL13'!$J$238:$J$451),0),
IF('TL14'!$B$3=L$3,SUMIF('TL14'!$C$10:$C$224,$C177,'TL14'!$J$10:$J$224),0),
IF('TL14'!$B$229=L$3,SUMIF('TL14'!$C$238:$C$451,$C177,'TL14'!$J$238:$J$451),0),
IF('TL15'!$B$3=L$3,SUMIF('TL15'!$C$10:$C$224,$C177,'TL15'!$J$10:$J$224),0),
IF('TL15'!$B$229=L$3,SUMIF('TL15'!$C$238:$C$451,$C177,'TL15'!$J$238:$J$451),0),
IF('TL16'!$B$3=L$3,SUMIF('TL16'!$C$10:$C$224,$C177,'TL16'!$J$10:$J$224),0),
IF('TL16'!$B$229=L$3,SUMIF('TL16'!$C$238:$C$451,$C177,'TL16'!$J$238:$J$451),0),
IF('TL17'!$B$3=L$3,SUMIF('TL17'!$C$10:$C$224,$C177,'TL17'!$J$10:$J$224),0),
IF('TL17'!$B$229=L$3,SUMIF('TL17'!$C$238:$C$451,$C177,'TL17'!$J$238:$J$451),0),
IF('TL18'!$B$3=L$3,SUMIF('TL18'!$C$10:$C$224,$C177,'TL18'!$J$10:$J$224),0),
IF('TL18'!$B$229=L$3,SUMIF('TL18'!$C$238:$C$451,$C177,'TL18'!$J$238:$J$451),0),
IF('TL19'!$B$3=L$3,SUMIF('TL19'!$C$10:$C$224,$C177,'TL19'!$J$10:$J$224),0),
IF('TL19'!$B$229=L$3,SUMIF('TL19'!$C$238:$C$451,$C177,'TL19'!$J$238:$J$451),0)
),0)</f>
        <v>0</v>
      </c>
      <c r="M177" s="9">
        <f>IFERROR(SUM(
IF('TL01'!$B$3=M$3,SUMIF('TL01'!$C$10:$C$224,$C177,'TL01'!$J$10:$J$224),0),
IF('TL01'!$B$229=M$3,SUMIF('TL01'!$C$238:$C$451,$C177,'TL01'!$J$238:$J$451),0),
IF('TL02'!$B$3=M$3,SUMIF('TL02'!$C$10:$C$224,$C177,'TL02'!$J$10:$J$224),0),
IF('TL02'!$B$229=M$3,SUMIF('TL02'!$C$238:$C$451,$C177,'TL02'!$J$238:$J$451),0),
IF('TL03'!$B$3=M$3,SUMIF('TL03'!$C$10:$C$224,$C177,'TL03'!$J$10:$J$224),0),
IF('TL03'!$B$229=M$3,SUMIF('TL03'!$C$238:$C$451,$C177,'TL03'!$J$238:$J$451),0),
IF('TL04'!$B$3=M$3,SUMIF('TL04'!$C$10:$C$224,$C177,'TL04'!$J$10:$J$224),0),
IF('TL04'!$B$229=M$3,SUMIF('TL04'!$C$238:$C$451,$C177,'TL04'!$J$238:$J$451),0),
IF('TL05'!$B$3=M$3,SUMIF('TL05'!$C$10:$C$224,$C177,'TL05'!$J$10:$J$224),0),
IF('TL05'!$B$229=M$3,SUMIF('TL05'!$C$238:$C$451,$C177,'TL05'!$J$238:$J$451),0),
IF('TL06'!$B$3=M$3,SUMIF('TL06'!$C$10:$C$224,$C177,'TL06'!$J$10:$J$224),0),
IF('TL06'!$B$229=M$3,SUMIF('TL06'!$C$238:$C$451,$C177,'TL06'!$J$238:$J$451),0),
IF('TL07'!$B$3=M$3,SUMIF('TL07'!$C$10:$C$224,$C177,'TL07'!$J$10:$J$224),0),
IF('TL07'!$B$229=M$3,SUMIF('TL07'!$C$238:$C$451,$C177,'TL07'!$J$238:$J$451),0),
IF('TL08'!$B$3=M$3,SUMIF('TL08'!$C$10:$C$224,$C177,'TL08'!$J$10:$J$224),0),
IF('TL08'!$B$229=M$3,SUMIF('TL08'!$C$238:$C$451,$C177,'TL08'!$J$238:$J$451),0),
IF('TL09'!$B$3=M$3,SUMIF('TL09'!$C$10:$C$224,$C177,'TL09'!$J$10:$J$224),0),
IF('TL09'!$B$229=M$3,SUMIF('TL09'!$C$238:$C$451,$C177,'TL09'!$J$238:$J$451),0),
IF('TL10'!$B$3=M$3,SUMIF('TL10'!$C$10:$C$224,$C177,'TL10'!$J$10:$J$224),0),
IF('TL10'!$B$229=M$3,SUMIF('TL10'!$C$238:$C$451,$C177,'TL10'!$J$238:$J$451),0),
IF('TL11'!$B$3=M$3,SUMIF('TL11'!$C$10:$C$224,$C177,'TL11'!$J$10:$J$224),0),
IF('TL11'!$B$229=M$3,SUMIF('TL11'!$C$238:$C$451,$C177,'TL11'!$J$238:$J$451),0),
IF('TL12'!$B$3=M$3,SUMIF('TL12'!$C$10:$C$224,$C177,'TL12'!$J$10:$J$224),0),
IF('TL12'!$B$229=M$3,SUMIF('TL12'!$C$238:$C$451,$C177,'TL12'!$J$238:$J$451),0),
IF('TL13'!$B$3=M$3,SUMIF('TL13'!$C$10:$C$224,$C177,'TL13'!$J$10:$J$224),0),
IF('TL13'!$B$229=M$3,SUMIF('TL13'!$C$238:$C$451,$C177,'TL13'!$J$238:$J$451),0),
IF('TL14'!$B$3=M$3,SUMIF('TL14'!$C$10:$C$224,$C177,'TL14'!$J$10:$J$224),0),
IF('TL14'!$B$229=M$3,SUMIF('TL14'!$C$238:$C$451,$C177,'TL14'!$J$238:$J$451),0),
IF('TL15'!$B$3=M$3,SUMIF('TL15'!$C$10:$C$224,$C177,'TL15'!$J$10:$J$224),0),
IF('TL15'!$B$229=M$3,SUMIF('TL15'!$C$238:$C$451,$C177,'TL15'!$J$238:$J$451),0),
IF('TL16'!$B$3=M$3,SUMIF('TL16'!$C$10:$C$224,$C177,'TL16'!$J$10:$J$224),0),
IF('TL16'!$B$229=M$3,SUMIF('TL16'!$C$238:$C$451,$C177,'TL16'!$J$238:$J$451),0),
IF('TL17'!$B$3=M$3,SUMIF('TL17'!$C$10:$C$224,$C177,'TL17'!$J$10:$J$224),0),
IF('TL17'!$B$229=M$3,SUMIF('TL17'!$C$238:$C$451,$C177,'TL17'!$J$238:$J$451),0),
IF('TL18'!$B$3=M$3,SUMIF('TL18'!$C$10:$C$224,$C177,'TL18'!$J$10:$J$224),0),
IF('TL18'!$B$229=M$3,SUMIF('TL18'!$C$238:$C$451,$C177,'TL18'!$J$238:$J$451),0),
IF('TL19'!$B$3=M$3,SUMIF('TL19'!$C$10:$C$224,$C177,'TL19'!$J$10:$J$224),0),
IF('TL19'!$B$229=M$3,SUMIF('TL19'!$C$238:$C$451,$C177,'TL19'!$J$238:$J$451),0)
),0)</f>
        <v>0</v>
      </c>
      <c r="N177" s="9">
        <f>IFERROR(SUM(
IF('TL01'!$B$3=N$3,SUMIF('TL01'!$C$10:$C$224,$C177,'TL01'!$J$10:$J$224),0),
IF('TL01'!$B$229=N$3,SUMIF('TL01'!$C$238:$C$451,$C177,'TL01'!$J$238:$J$451),0),
IF('TL02'!$B$3=N$3,SUMIF('TL02'!$C$10:$C$224,$C177,'TL02'!$J$10:$J$224),0),
IF('TL02'!$B$229=N$3,SUMIF('TL02'!$C$238:$C$451,$C177,'TL02'!$J$238:$J$451),0),
IF('TL03'!$B$3=N$3,SUMIF('TL03'!$C$10:$C$224,$C177,'TL03'!$J$10:$J$224),0),
IF('TL03'!$B$229=N$3,SUMIF('TL03'!$C$238:$C$451,$C177,'TL03'!$J$238:$J$451),0),
IF('TL04'!$B$3=N$3,SUMIF('TL04'!$C$10:$C$224,$C177,'TL04'!$J$10:$J$224),0),
IF('TL04'!$B$229=N$3,SUMIF('TL04'!$C$238:$C$451,$C177,'TL04'!$J$238:$J$451),0),
IF('TL05'!$B$3=N$3,SUMIF('TL05'!$C$10:$C$224,$C177,'TL05'!$J$10:$J$224),0),
IF('TL05'!$B$229=N$3,SUMIF('TL05'!$C$238:$C$451,$C177,'TL05'!$J$238:$J$451),0),
IF('TL06'!$B$3=N$3,SUMIF('TL06'!$C$10:$C$224,$C177,'TL06'!$J$10:$J$224),0),
IF('TL06'!$B$229=N$3,SUMIF('TL06'!$C$238:$C$451,$C177,'TL06'!$J$238:$J$451),0),
IF('TL07'!$B$3=N$3,SUMIF('TL07'!$C$10:$C$224,$C177,'TL07'!$J$10:$J$224),0),
IF('TL07'!$B$229=N$3,SUMIF('TL07'!$C$238:$C$451,$C177,'TL07'!$J$238:$J$451),0),
IF('TL08'!$B$3=N$3,SUMIF('TL08'!$C$10:$C$224,$C177,'TL08'!$J$10:$J$224),0),
IF('TL08'!$B$229=N$3,SUMIF('TL08'!$C$238:$C$451,$C177,'TL08'!$J$238:$J$451),0),
IF('TL09'!$B$3=N$3,SUMIF('TL09'!$C$10:$C$224,$C177,'TL09'!$J$10:$J$224),0),
IF('TL09'!$B$229=N$3,SUMIF('TL09'!$C$238:$C$451,$C177,'TL09'!$J$238:$J$451),0),
IF('TL10'!$B$3=N$3,SUMIF('TL10'!$C$10:$C$224,$C177,'TL10'!$J$10:$J$224),0),
IF('TL10'!$B$229=N$3,SUMIF('TL10'!$C$238:$C$451,$C177,'TL10'!$J$238:$J$451),0),
IF('TL11'!$B$3=N$3,SUMIF('TL11'!$C$10:$C$224,$C177,'TL11'!$J$10:$J$224),0),
IF('TL11'!$B$229=N$3,SUMIF('TL11'!$C$238:$C$451,$C177,'TL11'!$J$238:$J$451),0),
IF('TL12'!$B$3=N$3,SUMIF('TL12'!$C$10:$C$224,$C177,'TL12'!$J$10:$J$224),0),
IF('TL12'!$B$229=N$3,SUMIF('TL12'!$C$238:$C$451,$C177,'TL12'!$J$238:$J$451),0),
IF('TL13'!$B$3=N$3,SUMIF('TL13'!$C$10:$C$224,$C177,'TL13'!$J$10:$J$224),0),
IF('TL13'!$B$229=N$3,SUMIF('TL13'!$C$238:$C$451,$C177,'TL13'!$J$238:$J$451),0),
IF('TL14'!$B$3=N$3,SUMIF('TL14'!$C$10:$C$224,$C177,'TL14'!$J$10:$J$224),0),
IF('TL14'!$B$229=N$3,SUMIF('TL14'!$C$238:$C$451,$C177,'TL14'!$J$238:$J$451),0),
IF('TL15'!$B$3=N$3,SUMIF('TL15'!$C$10:$C$224,$C177,'TL15'!$J$10:$J$224),0),
IF('TL15'!$B$229=N$3,SUMIF('TL15'!$C$238:$C$451,$C177,'TL15'!$J$238:$J$451),0),
IF('TL16'!$B$3=N$3,SUMIF('TL16'!$C$10:$C$224,$C177,'TL16'!$J$10:$J$224),0),
IF('TL16'!$B$229=N$3,SUMIF('TL16'!$C$238:$C$451,$C177,'TL16'!$J$238:$J$451),0),
IF('TL17'!$B$3=N$3,SUMIF('TL17'!$C$10:$C$224,$C177,'TL17'!$J$10:$J$224),0),
IF('TL17'!$B$229=N$3,SUMIF('TL17'!$C$238:$C$451,$C177,'TL17'!$J$238:$J$451),0),
IF('TL18'!$B$3=N$3,SUMIF('TL18'!$C$10:$C$224,$C177,'TL18'!$J$10:$J$224),0),
IF('TL18'!$B$229=N$3,SUMIF('TL18'!$C$238:$C$451,$C177,'TL18'!$J$238:$J$451),0),
IF('TL19'!$B$3=N$3,SUMIF('TL19'!$C$10:$C$224,$C177,'TL19'!$J$10:$J$224),0),
IF('TL19'!$B$229=N$3,SUMIF('TL19'!$C$238:$C$451,$C177,'TL19'!$J$238:$J$451),0)
),0)</f>
        <v>0</v>
      </c>
      <c r="O177" s="9">
        <f>IFERROR(SUM(
IF('TL01'!$B$3=O$3,SUMIF('TL01'!$C$10:$C$224,$C177,'TL01'!$J$10:$J$224),0),
IF('TL01'!$B$229=O$3,SUMIF('TL01'!$C$238:$C$451,$C177,'TL01'!$J$238:$J$451),0),
IF('TL02'!$B$3=O$3,SUMIF('TL02'!$C$10:$C$224,$C177,'TL02'!$J$10:$J$224),0),
IF('TL02'!$B$229=O$3,SUMIF('TL02'!$C$238:$C$451,$C177,'TL02'!$J$238:$J$451),0),
IF('TL03'!$B$3=O$3,SUMIF('TL03'!$C$10:$C$224,$C177,'TL03'!$J$10:$J$224),0),
IF('TL03'!$B$229=O$3,SUMIF('TL03'!$C$238:$C$451,$C177,'TL03'!$J$238:$J$451),0),
IF('TL04'!$B$3=O$3,SUMIF('TL04'!$C$10:$C$224,$C177,'TL04'!$J$10:$J$224),0),
IF('TL04'!$B$229=O$3,SUMIF('TL04'!$C$238:$C$451,$C177,'TL04'!$J$238:$J$451),0),
IF('TL05'!$B$3=O$3,SUMIF('TL05'!$C$10:$C$224,$C177,'TL05'!$J$10:$J$224),0),
IF('TL05'!$B$229=O$3,SUMIF('TL05'!$C$238:$C$451,$C177,'TL05'!$J$238:$J$451),0),
IF('TL06'!$B$3=O$3,SUMIF('TL06'!$C$10:$C$224,$C177,'TL06'!$J$10:$J$224),0),
IF('TL06'!$B$229=O$3,SUMIF('TL06'!$C$238:$C$451,$C177,'TL06'!$J$238:$J$451),0),
IF('TL07'!$B$3=O$3,SUMIF('TL07'!$C$10:$C$224,$C177,'TL07'!$J$10:$J$224),0),
IF('TL07'!$B$229=O$3,SUMIF('TL07'!$C$238:$C$451,$C177,'TL07'!$J$238:$J$451),0),
IF('TL08'!$B$3=O$3,SUMIF('TL08'!$C$10:$C$224,$C177,'TL08'!$J$10:$J$224),0),
IF('TL08'!$B$229=O$3,SUMIF('TL08'!$C$238:$C$451,$C177,'TL08'!$J$238:$J$451),0),
IF('TL09'!$B$3=O$3,SUMIF('TL09'!$C$10:$C$224,$C177,'TL09'!$J$10:$J$224),0),
IF('TL09'!$B$229=O$3,SUMIF('TL09'!$C$238:$C$451,$C177,'TL09'!$J$238:$J$451),0),
IF('TL10'!$B$3=O$3,SUMIF('TL10'!$C$10:$C$224,$C177,'TL10'!$J$10:$J$224),0),
IF('TL10'!$B$229=O$3,SUMIF('TL10'!$C$238:$C$451,$C177,'TL10'!$J$238:$J$451),0),
IF('TL11'!$B$3=O$3,SUMIF('TL11'!$C$10:$C$224,$C177,'TL11'!$J$10:$J$224),0),
IF('TL11'!$B$229=O$3,SUMIF('TL11'!$C$238:$C$451,$C177,'TL11'!$J$238:$J$451),0),
IF('TL12'!$B$3=O$3,SUMIF('TL12'!$C$10:$C$224,$C177,'TL12'!$J$10:$J$224),0),
IF('TL12'!$B$229=O$3,SUMIF('TL12'!$C$238:$C$451,$C177,'TL12'!$J$238:$J$451),0),
IF('TL13'!$B$3=O$3,SUMIF('TL13'!$C$10:$C$224,$C177,'TL13'!$J$10:$J$224),0),
IF('TL13'!$B$229=O$3,SUMIF('TL13'!$C$238:$C$451,$C177,'TL13'!$J$238:$J$451),0),
IF('TL14'!$B$3=O$3,SUMIF('TL14'!$C$10:$C$224,$C177,'TL14'!$J$10:$J$224),0),
IF('TL14'!$B$229=O$3,SUMIF('TL14'!$C$238:$C$451,$C177,'TL14'!$J$238:$J$451),0),
IF('TL15'!$B$3=O$3,SUMIF('TL15'!$C$10:$C$224,$C177,'TL15'!$J$10:$J$224),0),
IF('TL15'!$B$229=O$3,SUMIF('TL15'!$C$238:$C$451,$C177,'TL15'!$J$238:$J$451),0),
IF('TL16'!$B$3=O$3,SUMIF('TL16'!$C$10:$C$224,$C177,'TL16'!$J$10:$J$224),0),
IF('TL16'!$B$229=O$3,SUMIF('TL16'!$C$238:$C$451,$C177,'TL16'!$J$238:$J$451),0),
IF('TL17'!$B$3=O$3,SUMIF('TL17'!$C$10:$C$224,$C177,'TL17'!$J$10:$J$224),0),
IF('TL17'!$B$229=O$3,SUMIF('TL17'!$C$238:$C$451,$C177,'TL17'!$J$238:$J$451),0),
IF('TL18'!$B$3=O$3,SUMIF('TL18'!$C$10:$C$224,$C177,'TL18'!$J$10:$J$224),0),
IF('TL18'!$B$229=O$3,SUMIF('TL18'!$C$238:$C$451,$C177,'TL18'!$J$238:$J$451),0),
IF('TL19'!$B$3=O$3,SUMIF('TL19'!$C$10:$C$224,$C177,'TL19'!$J$10:$J$224),0),
IF('TL19'!$B$229=O$3,SUMIF('TL19'!$C$238:$C$451,$C177,'TL19'!$J$238:$J$451),0)
),0)</f>
        <v>0</v>
      </c>
      <c r="P177" s="9">
        <f>IFERROR(SUM(
IF('TL01'!$B$3=P$3,SUMIF('TL01'!$C$10:$C$224,$C177,'TL01'!$J$10:$J$224),0),
IF('TL01'!$B$229=P$3,SUMIF('TL01'!$C$238:$C$451,$C177,'TL01'!$J$238:$J$451),0),
IF('TL02'!$B$3=P$3,SUMIF('TL02'!$C$10:$C$224,$C177,'TL02'!$J$10:$J$224),0),
IF('TL02'!$B$229=P$3,SUMIF('TL02'!$C$238:$C$451,$C177,'TL02'!$J$238:$J$451),0),
IF('TL03'!$B$3=P$3,SUMIF('TL03'!$C$10:$C$224,$C177,'TL03'!$J$10:$J$224),0),
IF('TL03'!$B$229=P$3,SUMIF('TL03'!$C$238:$C$451,$C177,'TL03'!$J$238:$J$451),0),
IF('TL04'!$B$3=P$3,SUMIF('TL04'!$C$10:$C$224,$C177,'TL04'!$J$10:$J$224),0),
IF('TL04'!$B$229=P$3,SUMIF('TL04'!$C$238:$C$451,$C177,'TL04'!$J$238:$J$451),0),
IF('TL05'!$B$3=P$3,SUMIF('TL05'!$C$10:$C$224,$C177,'TL05'!$J$10:$J$224),0),
IF('TL05'!$B$229=P$3,SUMIF('TL05'!$C$238:$C$451,$C177,'TL05'!$J$238:$J$451),0),
IF('TL06'!$B$3=P$3,SUMIF('TL06'!$C$10:$C$224,$C177,'TL06'!$J$10:$J$224),0),
IF('TL06'!$B$229=P$3,SUMIF('TL06'!$C$238:$C$451,$C177,'TL06'!$J$238:$J$451),0),
IF('TL07'!$B$3=P$3,SUMIF('TL07'!$C$10:$C$224,$C177,'TL07'!$J$10:$J$224),0),
IF('TL07'!$B$229=P$3,SUMIF('TL07'!$C$238:$C$451,$C177,'TL07'!$J$238:$J$451),0),
IF('TL08'!$B$3=P$3,SUMIF('TL08'!$C$10:$C$224,$C177,'TL08'!$J$10:$J$224),0),
IF('TL08'!$B$229=P$3,SUMIF('TL08'!$C$238:$C$451,$C177,'TL08'!$J$238:$J$451),0),
IF('TL09'!$B$3=P$3,SUMIF('TL09'!$C$10:$C$224,$C177,'TL09'!$J$10:$J$224),0),
IF('TL09'!$B$229=P$3,SUMIF('TL09'!$C$238:$C$451,$C177,'TL09'!$J$238:$J$451),0),
IF('TL10'!$B$3=P$3,SUMIF('TL10'!$C$10:$C$224,$C177,'TL10'!$J$10:$J$224),0),
IF('TL10'!$B$229=P$3,SUMIF('TL10'!$C$238:$C$451,$C177,'TL10'!$J$238:$J$451),0),
IF('TL11'!$B$3=P$3,SUMIF('TL11'!$C$10:$C$224,$C177,'TL11'!$J$10:$J$224),0),
IF('TL11'!$B$229=P$3,SUMIF('TL11'!$C$238:$C$451,$C177,'TL11'!$J$238:$J$451),0),
IF('TL12'!$B$3=P$3,SUMIF('TL12'!$C$10:$C$224,$C177,'TL12'!$J$10:$J$224),0),
IF('TL12'!$B$229=P$3,SUMIF('TL12'!$C$238:$C$451,$C177,'TL12'!$J$238:$J$451),0),
IF('TL13'!$B$3=P$3,SUMIF('TL13'!$C$10:$C$224,$C177,'TL13'!$J$10:$J$224),0),
IF('TL13'!$B$229=P$3,SUMIF('TL13'!$C$238:$C$451,$C177,'TL13'!$J$238:$J$451),0),
IF('TL14'!$B$3=P$3,SUMIF('TL14'!$C$10:$C$224,$C177,'TL14'!$J$10:$J$224),0),
IF('TL14'!$B$229=P$3,SUMIF('TL14'!$C$238:$C$451,$C177,'TL14'!$J$238:$J$451),0),
IF('TL15'!$B$3=P$3,SUMIF('TL15'!$C$10:$C$224,$C177,'TL15'!$J$10:$J$224),0),
IF('TL15'!$B$229=P$3,SUMIF('TL15'!$C$238:$C$451,$C177,'TL15'!$J$238:$J$451),0),
IF('TL16'!$B$3=P$3,SUMIF('TL16'!$C$10:$C$224,$C177,'TL16'!$J$10:$J$224),0),
IF('TL16'!$B$229=P$3,SUMIF('TL16'!$C$238:$C$451,$C177,'TL16'!$J$238:$J$451),0),
IF('TL17'!$B$3=P$3,SUMIF('TL17'!$C$10:$C$224,$C177,'TL17'!$J$10:$J$224),0),
IF('TL17'!$B$229=P$3,SUMIF('TL17'!$C$238:$C$451,$C177,'TL17'!$J$238:$J$451),0),
IF('TL18'!$B$3=P$3,SUMIF('TL18'!$C$10:$C$224,$C177,'TL18'!$J$10:$J$224),0),
IF('TL18'!$B$229=P$3,SUMIF('TL18'!$C$238:$C$451,$C177,'TL18'!$J$238:$J$451),0),
IF('TL19'!$B$3=P$3,SUMIF('TL19'!$C$10:$C$224,$C177,'TL19'!$J$10:$J$224),0),
IF('TL19'!$B$229=P$3,SUMIF('TL19'!$C$238:$C$451,$C177,'TL19'!$J$238:$J$451),0)
),0)</f>
        <v>0</v>
      </c>
      <c r="Q177" s="9">
        <f>IFERROR(SUM(
IF('TL01'!$B$3=Q$3,SUMIF('TL01'!$C$10:$C$224,$C177,'TL01'!$J$10:$J$224),0),
IF('TL01'!$B$229=Q$3,SUMIF('TL01'!$C$238:$C$451,$C177,'TL01'!$J$238:$J$451),0),
IF('TL02'!$B$3=Q$3,SUMIF('TL02'!$C$10:$C$224,$C177,'TL02'!$J$10:$J$224),0),
IF('TL02'!$B$229=Q$3,SUMIF('TL02'!$C$238:$C$451,$C177,'TL02'!$J$238:$J$451),0),
IF('TL03'!$B$3=Q$3,SUMIF('TL03'!$C$10:$C$224,$C177,'TL03'!$J$10:$J$224),0),
IF('TL03'!$B$229=Q$3,SUMIF('TL03'!$C$238:$C$451,$C177,'TL03'!$J$238:$J$451),0),
IF('TL04'!$B$3=Q$3,SUMIF('TL04'!$C$10:$C$224,$C177,'TL04'!$J$10:$J$224),0),
IF('TL04'!$B$229=Q$3,SUMIF('TL04'!$C$238:$C$451,$C177,'TL04'!$J$238:$J$451),0),
IF('TL05'!$B$3=Q$3,SUMIF('TL05'!$C$10:$C$224,$C177,'TL05'!$J$10:$J$224),0),
IF('TL05'!$B$229=Q$3,SUMIF('TL05'!$C$238:$C$451,$C177,'TL05'!$J$238:$J$451),0),
IF('TL06'!$B$3=Q$3,SUMIF('TL06'!$C$10:$C$224,$C177,'TL06'!$J$10:$J$224),0),
IF('TL06'!$B$229=Q$3,SUMIF('TL06'!$C$238:$C$451,$C177,'TL06'!$J$238:$J$451),0),
IF('TL07'!$B$3=Q$3,SUMIF('TL07'!$C$10:$C$224,$C177,'TL07'!$J$10:$J$224),0),
IF('TL07'!$B$229=Q$3,SUMIF('TL07'!$C$238:$C$451,$C177,'TL07'!$J$238:$J$451),0),
IF('TL08'!$B$3=Q$3,SUMIF('TL08'!$C$10:$C$224,$C177,'TL08'!$J$10:$J$224),0),
IF('TL08'!$B$229=Q$3,SUMIF('TL08'!$C$238:$C$451,$C177,'TL08'!$J$238:$J$451),0),
IF('TL09'!$B$3=Q$3,SUMIF('TL09'!$C$10:$C$224,$C177,'TL09'!$J$10:$J$224),0),
IF('TL09'!$B$229=Q$3,SUMIF('TL09'!$C$238:$C$451,$C177,'TL09'!$J$238:$J$451),0),
IF('TL10'!$B$3=Q$3,SUMIF('TL10'!$C$10:$C$224,$C177,'TL10'!$J$10:$J$224),0),
IF('TL10'!$B$229=Q$3,SUMIF('TL10'!$C$238:$C$451,$C177,'TL10'!$J$238:$J$451),0),
IF('TL11'!$B$3=Q$3,SUMIF('TL11'!$C$10:$C$224,$C177,'TL11'!$J$10:$J$224),0),
IF('TL11'!$B$229=Q$3,SUMIF('TL11'!$C$238:$C$451,$C177,'TL11'!$J$238:$J$451),0),
IF('TL12'!$B$3=Q$3,SUMIF('TL12'!$C$10:$C$224,$C177,'TL12'!$J$10:$J$224),0),
IF('TL12'!$B$229=Q$3,SUMIF('TL12'!$C$238:$C$451,$C177,'TL12'!$J$238:$J$451),0),
IF('TL13'!$B$3=Q$3,SUMIF('TL13'!$C$10:$C$224,$C177,'TL13'!$J$10:$J$224),0),
IF('TL13'!$B$229=Q$3,SUMIF('TL13'!$C$238:$C$451,$C177,'TL13'!$J$238:$J$451),0),
IF('TL14'!$B$3=Q$3,SUMIF('TL14'!$C$10:$C$224,$C177,'TL14'!$J$10:$J$224),0),
IF('TL14'!$B$229=Q$3,SUMIF('TL14'!$C$238:$C$451,$C177,'TL14'!$J$238:$J$451),0),
IF('TL15'!$B$3=Q$3,SUMIF('TL15'!$C$10:$C$224,$C177,'TL15'!$J$10:$J$224),0),
IF('TL15'!$B$229=Q$3,SUMIF('TL15'!$C$238:$C$451,$C177,'TL15'!$J$238:$J$451),0),
IF('TL16'!$B$3=Q$3,SUMIF('TL16'!$C$10:$C$224,$C177,'TL16'!$J$10:$J$224),0),
IF('TL16'!$B$229=Q$3,SUMIF('TL16'!$C$238:$C$451,$C177,'TL16'!$J$238:$J$451),0),
IF('TL17'!$B$3=Q$3,SUMIF('TL17'!$C$10:$C$224,$C177,'TL17'!$J$10:$J$224),0),
IF('TL17'!$B$229=Q$3,SUMIF('TL17'!$C$238:$C$451,$C177,'TL17'!$J$238:$J$451),0),
IF('TL18'!$B$3=Q$3,SUMIF('TL18'!$C$10:$C$224,$C177,'TL18'!$J$10:$J$224),0),
IF('TL18'!$B$229=Q$3,SUMIF('TL18'!$C$238:$C$451,$C177,'TL18'!$J$238:$J$451),0),
IF('TL19'!$B$3=Q$3,SUMIF('TL19'!$C$10:$C$224,$C177,'TL19'!$J$10:$J$224),0),
IF('TL19'!$B$229=Q$3,SUMIF('TL19'!$C$238:$C$451,$C177,'TL19'!$J$238:$J$451),0)
),0)</f>
        <v>0</v>
      </c>
      <c r="R177" s="9">
        <f>IFERROR(
SUM(
SUMIF('TL01'!C:C,C177,'TL01'!J:J),
SUMIF('TL02'!C:C,C177,'TL02'!J:J),
SUMIF('TL03'!C:C,C177,'TL03'!J:J),
SUMIF('TL04'!C:C,C177,'TL04'!J:J),
SUMIF('TL05'!C:C,C177,'TL05'!J:J),
SUMIF('TL06'!C:C,C177,'TL06'!J:J),
SUMIF('TL07'!C:C,C177,'TL07'!J:J),
SUMIF('TL08'!C:C,C177,'TL08'!J:J),
SUMIF('TL09'!C:C,C177,'TL09'!J:J),
SUMIF('TL10'!C:C,C177,'TL10'!J:J),
SUMIF('TL11'!C:C,C177,'TL11'!J:J),
SUMIF('TL12'!C:C,C177,'TL12'!J:J),
SUMIF('TL13'!C:C,C177,'TL13'!J:J),
SUMIF('TL14'!C:C,C177,'TL14'!J:J),
SUMIF('TL15'!C:C,C177,'TL15'!J:J),
SUMIF('TL16'!C:C,C177,'TL16'!J:J),
SUMIF('TL17'!C:C,C177,'TL17'!J:J),
SUMIF('TL18'!C:C,C177,'TL18'!J:J),SUMIF('TL19'!C:C,C177,'TL19'!J:J))
,0)</f>
        <v>0</v>
      </c>
      <c r="S177" s="17">
        <f>IFERROR(__xludf.DUMMYFUNCTION("IFERROR(VLOOKUP(C177,
IMPORTRANGE(""1wULbzX32WdYsx-lj2U3uUNBBe2INVIRDtcK0d-Dvl90"",
""26-27!C:G""),
5,
FALSE),
"""")"),72.10473)</f>
        <v>72.10473</v>
      </c>
      <c r="T177" s="9"/>
      <c r="U177" s="92">
        <f t="shared" si="2"/>
        <v>0</v>
      </c>
      <c r="V177" s="93">
        <f t="shared" si="3"/>
        <v>0</v>
      </c>
    </row>
    <row r="178" ht="15.75" hidden="1" customHeight="1">
      <c r="A178" s="87" t="s">
        <v>345</v>
      </c>
      <c r="B178" s="88" t="s">
        <v>2</v>
      </c>
      <c r="C178" s="89" t="s">
        <v>765</v>
      </c>
      <c r="D178" s="89" t="s">
        <v>766</v>
      </c>
      <c r="E178" s="89">
        <v>120.0</v>
      </c>
      <c r="F178" s="4" t="s">
        <v>343</v>
      </c>
      <c r="G178" s="90" t="str">
        <f t="shared" si="4"/>
        <v>📄 Ver bula</v>
      </c>
      <c r="H178" s="9">
        <f>IFERROR(__xludf.DUMMYFUNCTION("IFERROR(VLOOKUP(C178,
IMPORTRANGE(""1wULbzX32WdYsx-lj2U3uUNBBe2INVIRDtcK0d-Dvl90"",
""26-27!C:K""),
8,
FALSE),
"""")"),1.0)</f>
        <v>1</v>
      </c>
      <c r="I178" s="91" t="s">
        <v>361</v>
      </c>
      <c r="J178" s="9">
        <f>IFERROR(SUM(
IF('TL01'!$B$3=J$3,SUMIF('TL01'!$C$10:$C$224,$C178,'TL01'!$J$10:$J$224),0),
IF('TL01'!$B$229=J$3,SUMIF('TL01'!$C$238:$C$451,$C178,'TL01'!$J$238:$J$451),0),
IF('TL02'!$B$3=J$3,SUMIF('TL02'!$C$10:$C$224,$C178,'TL02'!$J$10:$J$224),0),
IF('TL02'!$B$229=J$3,SUMIF('TL02'!$C$238:$C$451,$C178,'TL02'!$J$238:$J$451),0),
IF('TL03'!$B$3=J$3,SUMIF('TL03'!$C$10:$C$224,$C178,'TL03'!$J$10:$J$224),0),
IF('TL03'!$B$229=J$3,SUMIF('TL03'!$C$238:$C$451,$C178,'TL03'!$J$238:$J$451),0),
IF('TL04'!$B$3=J$3,SUMIF('TL04'!$C$10:$C$224,$C178,'TL04'!$J$10:$J$224),0),
IF('TL04'!$B$229=J$3,SUMIF('TL04'!$C$238:$C$451,$C178,'TL04'!$J$238:$J$451),0),
IF('TL05'!$B$3=J$3,SUMIF('TL05'!$C$10:$C$224,$C178,'TL05'!$J$10:$J$224),0),
IF('TL05'!$B$229=J$3,SUMIF('TL05'!$C$238:$C$451,$C178,'TL05'!$J$238:$J$451),0),
IF('TL06'!$B$3=J$3,SUMIF('TL06'!$C$10:$C$224,$C178,'TL06'!$J$10:$J$224),0),
IF('TL06'!$B$229=J$3,SUMIF('TL06'!$C$238:$C$451,$C178,'TL06'!$J$238:$J$451),0),
IF('TL07'!$B$3=J$3,SUMIF('TL07'!$C$10:$C$224,$C178,'TL07'!$J$10:$J$224),0),
IF('TL07'!$B$229=J$3,SUMIF('TL07'!$C$238:$C$451,$C178,'TL07'!$J$238:$J$451),0),
IF('TL08'!$B$3=J$3,SUMIF('TL08'!$C$10:$C$224,$C178,'TL08'!$J$10:$J$224),0),
IF('TL08'!$B$229=J$3,SUMIF('TL08'!$C$238:$C$451,$C178,'TL08'!$J$238:$J$451),0),
IF('TL09'!$B$3=J$3,SUMIF('TL09'!$C$10:$C$224,$C178,'TL09'!$J$10:$J$224),0),
IF('TL09'!$B$229=J$3,SUMIF('TL09'!$C$238:$C$451,$C178,'TL09'!$J$238:$J$451),0),
IF('TL10'!$B$3=J$3,SUMIF('TL10'!$C$10:$C$224,$C178,'TL10'!$J$10:$J$224),0),
IF('TL10'!$B$229=J$3,SUMIF('TL10'!$C$238:$C$451,$C178,'TL10'!$J$238:$J$451),0),
IF('TL11'!$B$3=J$3,SUMIF('TL11'!$C$10:$C$224,$C178,'TL11'!$J$10:$J$224),0),
IF('TL11'!$B$229=J$3,SUMIF('TL11'!$C$238:$C$451,$C178,'TL11'!$J$238:$J$451),0),
IF('TL12'!$B$3=J$3,SUMIF('TL12'!$C$10:$C$224,$C178,'TL12'!$J$10:$J$224),0),
IF('TL12'!$B$229=J$3,SUMIF('TL12'!$C$238:$C$451,$C178,'TL12'!$J$238:$J$451),0),
IF('TL13'!$B$3=J$3,SUMIF('TL13'!$C$10:$C$224,$C178,'TL13'!$J$10:$J$224),0),
IF('TL13'!$B$229=J$3,SUMIF('TL13'!$C$238:$C$451,$C178,'TL13'!$J$238:$J$451),0),
IF('TL14'!$B$3=J$3,SUMIF('TL14'!$C$10:$C$224,$C178,'TL14'!$J$10:$J$224),0),
IF('TL14'!$B$229=J$3,SUMIF('TL14'!$C$238:$C$451,$C178,'TL14'!$J$238:$J$451),0),
IF('TL15'!$B$3=J$3,SUMIF('TL15'!$C$10:$C$224,$C178,'TL15'!$J$10:$J$224),0),
IF('TL15'!$B$229=J$3,SUMIF('TL15'!$C$238:$C$451,$C178,'TL15'!$J$238:$J$451),0),
IF('TL16'!$B$3=J$3,SUMIF('TL16'!$C$10:$C$224,$C178,'TL16'!$J$10:$J$224),0),
IF('TL16'!$B$229=J$3,SUMIF('TL16'!$C$238:$C$451,$C178,'TL16'!$J$238:$J$451),0),
IF('TL17'!$B$3=J$3,SUMIF('TL17'!$C$10:$C$224,$C178,'TL17'!$J$10:$J$224),0),
IF('TL17'!$B$229=J$3,SUMIF('TL17'!$C$238:$C$451,$C178,'TL17'!$J$238:$J$451),0),
IF('TL18'!$B$3=J$3,SUMIF('TL18'!$C$10:$C$224,$C178,'TL18'!$J$10:$J$224),0),
IF('TL18'!$B$229=J$3,SUMIF('TL18'!$C$238:$C$451,$C178,'TL18'!$J$238:$J$451),0),
IF('TL19'!$B$3=J$3,SUMIF('TL19'!$C$10:$C$224,$C178,'TL19'!$J$10:$J$224),0),
IF('TL19'!$B$229=J$3,SUMIF('TL19'!$C$238:$C$451,$C178,'TL19'!$J$238:$J$451),0)
),0)</f>
        <v>0</v>
      </c>
      <c r="K178" s="9">
        <f>IFERROR(SUM(
IF('TL01'!$B$3=K$3,SUMIF('TL01'!$C$10:$C$224,$C178,'TL01'!$J$10:$J$224),0),
IF('TL01'!$B$229=K$3,SUMIF('TL01'!$C$238:$C$451,$C178,'TL01'!$J$238:$J$451),0),
IF('TL02'!$B$3=K$3,SUMIF('TL02'!$C$10:$C$224,$C178,'TL02'!$J$10:$J$224),0),
IF('TL02'!$B$229=K$3,SUMIF('TL02'!$C$238:$C$451,$C178,'TL02'!$J$238:$J$451),0),
IF('TL03'!$B$3=K$3,SUMIF('TL03'!$C$10:$C$224,$C178,'TL03'!$J$10:$J$224),0),
IF('TL03'!$B$229=K$3,SUMIF('TL03'!$C$238:$C$451,$C178,'TL03'!$J$238:$J$451),0),
IF('TL04'!$B$3=K$3,SUMIF('TL04'!$C$10:$C$224,$C178,'TL04'!$J$10:$J$224),0),
IF('TL04'!$B$229=K$3,SUMIF('TL04'!$C$238:$C$451,$C178,'TL04'!$J$238:$J$451),0),
IF('TL05'!$B$3=K$3,SUMIF('TL05'!$C$10:$C$224,$C178,'TL05'!$J$10:$J$224),0),
IF('TL05'!$B$229=K$3,SUMIF('TL05'!$C$238:$C$451,$C178,'TL05'!$J$238:$J$451),0),
IF('TL06'!$B$3=K$3,SUMIF('TL06'!$C$10:$C$224,$C178,'TL06'!$J$10:$J$224),0),
IF('TL06'!$B$229=K$3,SUMIF('TL06'!$C$238:$C$451,$C178,'TL06'!$J$238:$J$451),0),
IF('TL07'!$B$3=K$3,SUMIF('TL07'!$C$10:$C$224,$C178,'TL07'!$J$10:$J$224),0),
IF('TL07'!$B$229=K$3,SUMIF('TL07'!$C$238:$C$451,$C178,'TL07'!$J$238:$J$451),0),
IF('TL08'!$B$3=K$3,SUMIF('TL08'!$C$10:$C$224,$C178,'TL08'!$J$10:$J$224),0),
IF('TL08'!$B$229=K$3,SUMIF('TL08'!$C$238:$C$451,$C178,'TL08'!$J$238:$J$451),0),
IF('TL09'!$B$3=K$3,SUMIF('TL09'!$C$10:$C$224,$C178,'TL09'!$J$10:$J$224),0),
IF('TL09'!$B$229=K$3,SUMIF('TL09'!$C$238:$C$451,$C178,'TL09'!$J$238:$J$451),0),
IF('TL10'!$B$3=K$3,SUMIF('TL10'!$C$10:$C$224,$C178,'TL10'!$J$10:$J$224),0),
IF('TL10'!$B$229=K$3,SUMIF('TL10'!$C$238:$C$451,$C178,'TL10'!$J$238:$J$451),0),
IF('TL11'!$B$3=K$3,SUMIF('TL11'!$C$10:$C$224,$C178,'TL11'!$J$10:$J$224),0),
IF('TL11'!$B$229=K$3,SUMIF('TL11'!$C$238:$C$451,$C178,'TL11'!$J$238:$J$451),0),
IF('TL12'!$B$3=K$3,SUMIF('TL12'!$C$10:$C$224,$C178,'TL12'!$J$10:$J$224),0),
IF('TL12'!$B$229=K$3,SUMIF('TL12'!$C$238:$C$451,$C178,'TL12'!$J$238:$J$451),0),
IF('TL13'!$B$3=K$3,SUMIF('TL13'!$C$10:$C$224,$C178,'TL13'!$J$10:$J$224),0),
IF('TL13'!$B$229=K$3,SUMIF('TL13'!$C$238:$C$451,$C178,'TL13'!$J$238:$J$451),0),
IF('TL14'!$B$3=K$3,SUMIF('TL14'!$C$10:$C$224,$C178,'TL14'!$J$10:$J$224),0),
IF('TL14'!$B$229=K$3,SUMIF('TL14'!$C$238:$C$451,$C178,'TL14'!$J$238:$J$451),0),
IF('TL15'!$B$3=K$3,SUMIF('TL15'!$C$10:$C$224,$C178,'TL15'!$J$10:$J$224),0),
IF('TL15'!$B$229=K$3,SUMIF('TL15'!$C$238:$C$451,$C178,'TL15'!$J$238:$J$451),0),
IF('TL16'!$B$3=K$3,SUMIF('TL16'!$C$10:$C$224,$C178,'TL16'!$J$10:$J$224),0),
IF('TL16'!$B$229=K$3,SUMIF('TL16'!$C$238:$C$451,$C178,'TL16'!$J$238:$J$451),0),
IF('TL17'!$B$3=K$3,SUMIF('TL17'!$C$10:$C$224,$C178,'TL17'!$J$10:$J$224),0),
IF('TL17'!$B$229=K$3,SUMIF('TL17'!$C$238:$C$451,$C178,'TL17'!$J$238:$J$451),0),
IF('TL18'!$B$3=K$3,SUMIF('TL18'!$C$10:$C$224,$C178,'TL18'!$J$10:$J$224),0),
IF('TL18'!$B$229=K$3,SUMIF('TL18'!$C$238:$C$451,$C178,'TL18'!$J$238:$J$451),0),
IF('TL19'!$B$3=K$3,SUMIF('TL19'!$C$10:$C$224,$C178,'TL19'!$J$10:$J$224),0),
IF('TL19'!$B$229=K$3,SUMIF('TL19'!$C$238:$C$451,$C178,'TL19'!$J$238:$J$451),0)
),0)</f>
        <v>0</v>
      </c>
      <c r="L178" s="9">
        <f>IFERROR(SUM(
IF('TL01'!$B$3=L$3,SUMIF('TL01'!$C$10:$C$224,$C178,'TL01'!$J$10:$J$224),0),
IF('TL01'!$B$229=L$3,SUMIF('TL01'!$C$238:$C$451,$C178,'TL01'!$J$238:$J$451),0),
IF('TL02'!$B$3=L$3,SUMIF('TL02'!$C$10:$C$224,$C178,'TL02'!$J$10:$J$224),0),
IF('TL02'!$B$229=L$3,SUMIF('TL02'!$C$238:$C$451,$C178,'TL02'!$J$238:$J$451),0),
IF('TL03'!$B$3=L$3,SUMIF('TL03'!$C$10:$C$224,$C178,'TL03'!$J$10:$J$224),0),
IF('TL03'!$B$229=L$3,SUMIF('TL03'!$C$238:$C$451,$C178,'TL03'!$J$238:$J$451),0),
IF('TL04'!$B$3=L$3,SUMIF('TL04'!$C$10:$C$224,$C178,'TL04'!$J$10:$J$224),0),
IF('TL04'!$B$229=L$3,SUMIF('TL04'!$C$238:$C$451,$C178,'TL04'!$J$238:$J$451),0),
IF('TL05'!$B$3=L$3,SUMIF('TL05'!$C$10:$C$224,$C178,'TL05'!$J$10:$J$224),0),
IF('TL05'!$B$229=L$3,SUMIF('TL05'!$C$238:$C$451,$C178,'TL05'!$J$238:$J$451),0),
IF('TL06'!$B$3=L$3,SUMIF('TL06'!$C$10:$C$224,$C178,'TL06'!$J$10:$J$224),0),
IF('TL06'!$B$229=L$3,SUMIF('TL06'!$C$238:$C$451,$C178,'TL06'!$J$238:$J$451),0),
IF('TL07'!$B$3=L$3,SUMIF('TL07'!$C$10:$C$224,$C178,'TL07'!$J$10:$J$224),0),
IF('TL07'!$B$229=L$3,SUMIF('TL07'!$C$238:$C$451,$C178,'TL07'!$J$238:$J$451),0),
IF('TL08'!$B$3=L$3,SUMIF('TL08'!$C$10:$C$224,$C178,'TL08'!$J$10:$J$224),0),
IF('TL08'!$B$229=L$3,SUMIF('TL08'!$C$238:$C$451,$C178,'TL08'!$J$238:$J$451),0),
IF('TL09'!$B$3=L$3,SUMIF('TL09'!$C$10:$C$224,$C178,'TL09'!$J$10:$J$224),0),
IF('TL09'!$B$229=L$3,SUMIF('TL09'!$C$238:$C$451,$C178,'TL09'!$J$238:$J$451),0),
IF('TL10'!$B$3=L$3,SUMIF('TL10'!$C$10:$C$224,$C178,'TL10'!$J$10:$J$224),0),
IF('TL10'!$B$229=L$3,SUMIF('TL10'!$C$238:$C$451,$C178,'TL10'!$J$238:$J$451),0),
IF('TL11'!$B$3=L$3,SUMIF('TL11'!$C$10:$C$224,$C178,'TL11'!$J$10:$J$224),0),
IF('TL11'!$B$229=L$3,SUMIF('TL11'!$C$238:$C$451,$C178,'TL11'!$J$238:$J$451),0),
IF('TL12'!$B$3=L$3,SUMIF('TL12'!$C$10:$C$224,$C178,'TL12'!$J$10:$J$224),0),
IF('TL12'!$B$229=L$3,SUMIF('TL12'!$C$238:$C$451,$C178,'TL12'!$J$238:$J$451),0),
IF('TL13'!$B$3=L$3,SUMIF('TL13'!$C$10:$C$224,$C178,'TL13'!$J$10:$J$224),0),
IF('TL13'!$B$229=L$3,SUMIF('TL13'!$C$238:$C$451,$C178,'TL13'!$J$238:$J$451),0),
IF('TL14'!$B$3=L$3,SUMIF('TL14'!$C$10:$C$224,$C178,'TL14'!$J$10:$J$224),0),
IF('TL14'!$B$229=L$3,SUMIF('TL14'!$C$238:$C$451,$C178,'TL14'!$J$238:$J$451),0),
IF('TL15'!$B$3=L$3,SUMIF('TL15'!$C$10:$C$224,$C178,'TL15'!$J$10:$J$224),0),
IF('TL15'!$B$229=L$3,SUMIF('TL15'!$C$238:$C$451,$C178,'TL15'!$J$238:$J$451),0),
IF('TL16'!$B$3=L$3,SUMIF('TL16'!$C$10:$C$224,$C178,'TL16'!$J$10:$J$224),0),
IF('TL16'!$B$229=L$3,SUMIF('TL16'!$C$238:$C$451,$C178,'TL16'!$J$238:$J$451),0),
IF('TL17'!$B$3=L$3,SUMIF('TL17'!$C$10:$C$224,$C178,'TL17'!$J$10:$J$224),0),
IF('TL17'!$B$229=L$3,SUMIF('TL17'!$C$238:$C$451,$C178,'TL17'!$J$238:$J$451),0),
IF('TL18'!$B$3=L$3,SUMIF('TL18'!$C$10:$C$224,$C178,'TL18'!$J$10:$J$224),0),
IF('TL18'!$B$229=L$3,SUMIF('TL18'!$C$238:$C$451,$C178,'TL18'!$J$238:$J$451),0),
IF('TL19'!$B$3=L$3,SUMIF('TL19'!$C$10:$C$224,$C178,'TL19'!$J$10:$J$224),0),
IF('TL19'!$B$229=L$3,SUMIF('TL19'!$C$238:$C$451,$C178,'TL19'!$J$238:$J$451),0)
),0)</f>
        <v>0</v>
      </c>
      <c r="M178" s="9">
        <f>IFERROR(SUM(
IF('TL01'!$B$3=M$3,SUMIF('TL01'!$C$10:$C$224,$C178,'TL01'!$J$10:$J$224),0),
IF('TL01'!$B$229=M$3,SUMIF('TL01'!$C$238:$C$451,$C178,'TL01'!$J$238:$J$451),0),
IF('TL02'!$B$3=M$3,SUMIF('TL02'!$C$10:$C$224,$C178,'TL02'!$J$10:$J$224),0),
IF('TL02'!$B$229=M$3,SUMIF('TL02'!$C$238:$C$451,$C178,'TL02'!$J$238:$J$451),0),
IF('TL03'!$B$3=M$3,SUMIF('TL03'!$C$10:$C$224,$C178,'TL03'!$J$10:$J$224),0),
IF('TL03'!$B$229=M$3,SUMIF('TL03'!$C$238:$C$451,$C178,'TL03'!$J$238:$J$451),0),
IF('TL04'!$B$3=M$3,SUMIF('TL04'!$C$10:$C$224,$C178,'TL04'!$J$10:$J$224),0),
IF('TL04'!$B$229=M$3,SUMIF('TL04'!$C$238:$C$451,$C178,'TL04'!$J$238:$J$451),0),
IF('TL05'!$B$3=M$3,SUMIF('TL05'!$C$10:$C$224,$C178,'TL05'!$J$10:$J$224),0),
IF('TL05'!$B$229=M$3,SUMIF('TL05'!$C$238:$C$451,$C178,'TL05'!$J$238:$J$451),0),
IF('TL06'!$B$3=M$3,SUMIF('TL06'!$C$10:$C$224,$C178,'TL06'!$J$10:$J$224),0),
IF('TL06'!$B$229=M$3,SUMIF('TL06'!$C$238:$C$451,$C178,'TL06'!$J$238:$J$451),0),
IF('TL07'!$B$3=M$3,SUMIF('TL07'!$C$10:$C$224,$C178,'TL07'!$J$10:$J$224),0),
IF('TL07'!$B$229=M$3,SUMIF('TL07'!$C$238:$C$451,$C178,'TL07'!$J$238:$J$451),0),
IF('TL08'!$B$3=M$3,SUMIF('TL08'!$C$10:$C$224,$C178,'TL08'!$J$10:$J$224),0),
IF('TL08'!$B$229=M$3,SUMIF('TL08'!$C$238:$C$451,$C178,'TL08'!$J$238:$J$451),0),
IF('TL09'!$B$3=M$3,SUMIF('TL09'!$C$10:$C$224,$C178,'TL09'!$J$10:$J$224),0),
IF('TL09'!$B$229=M$3,SUMIF('TL09'!$C$238:$C$451,$C178,'TL09'!$J$238:$J$451),0),
IF('TL10'!$B$3=M$3,SUMIF('TL10'!$C$10:$C$224,$C178,'TL10'!$J$10:$J$224),0),
IF('TL10'!$B$229=M$3,SUMIF('TL10'!$C$238:$C$451,$C178,'TL10'!$J$238:$J$451),0),
IF('TL11'!$B$3=M$3,SUMIF('TL11'!$C$10:$C$224,$C178,'TL11'!$J$10:$J$224),0),
IF('TL11'!$B$229=M$3,SUMIF('TL11'!$C$238:$C$451,$C178,'TL11'!$J$238:$J$451),0),
IF('TL12'!$B$3=M$3,SUMIF('TL12'!$C$10:$C$224,$C178,'TL12'!$J$10:$J$224),0),
IF('TL12'!$B$229=M$3,SUMIF('TL12'!$C$238:$C$451,$C178,'TL12'!$J$238:$J$451),0),
IF('TL13'!$B$3=M$3,SUMIF('TL13'!$C$10:$C$224,$C178,'TL13'!$J$10:$J$224),0),
IF('TL13'!$B$229=M$3,SUMIF('TL13'!$C$238:$C$451,$C178,'TL13'!$J$238:$J$451),0),
IF('TL14'!$B$3=M$3,SUMIF('TL14'!$C$10:$C$224,$C178,'TL14'!$J$10:$J$224),0),
IF('TL14'!$B$229=M$3,SUMIF('TL14'!$C$238:$C$451,$C178,'TL14'!$J$238:$J$451),0),
IF('TL15'!$B$3=M$3,SUMIF('TL15'!$C$10:$C$224,$C178,'TL15'!$J$10:$J$224),0),
IF('TL15'!$B$229=M$3,SUMIF('TL15'!$C$238:$C$451,$C178,'TL15'!$J$238:$J$451),0),
IF('TL16'!$B$3=M$3,SUMIF('TL16'!$C$10:$C$224,$C178,'TL16'!$J$10:$J$224),0),
IF('TL16'!$B$229=M$3,SUMIF('TL16'!$C$238:$C$451,$C178,'TL16'!$J$238:$J$451),0),
IF('TL17'!$B$3=M$3,SUMIF('TL17'!$C$10:$C$224,$C178,'TL17'!$J$10:$J$224),0),
IF('TL17'!$B$229=M$3,SUMIF('TL17'!$C$238:$C$451,$C178,'TL17'!$J$238:$J$451),0),
IF('TL18'!$B$3=M$3,SUMIF('TL18'!$C$10:$C$224,$C178,'TL18'!$J$10:$J$224),0),
IF('TL18'!$B$229=M$3,SUMIF('TL18'!$C$238:$C$451,$C178,'TL18'!$J$238:$J$451),0),
IF('TL19'!$B$3=M$3,SUMIF('TL19'!$C$10:$C$224,$C178,'TL19'!$J$10:$J$224),0),
IF('TL19'!$B$229=M$3,SUMIF('TL19'!$C$238:$C$451,$C178,'TL19'!$J$238:$J$451),0)
),0)</f>
        <v>0</v>
      </c>
      <c r="N178" s="9">
        <f>IFERROR(SUM(
IF('TL01'!$B$3=N$3,SUMIF('TL01'!$C$10:$C$224,$C178,'TL01'!$J$10:$J$224),0),
IF('TL01'!$B$229=N$3,SUMIF('TL01'!$C$238:$C$451,$C178,'TL01'!$J$238:$J$451),0),
IF('TL02'!$B$3=N$3,SUMIF('TL02'!$C$10:$C$224,$C178,'TL02'!$J$10:$J$224),0),
IF('TL02'!$B$229=N$3,SUMIF('TL02'!$C$238:$C$451,$C178,'TL02'!$J$238:$J$451),0),
IF('TL03'!$B$3=N$3,SUMIF('TL03'!$C$10:$C$224,$C178,'TL03'!$J$10:$J$224),0),
IF('TL03'!$B$229=N$3,SUMIF('TL03'!$C$238:$C$451,$C178,'TL03'!$J$238:$J$451),0),
IF('TL04'!$B$3=N$3,SUMIF('TL04'!$C$10:$C$224,$C178,'TL04'!$J$10:$J$224),0),
IF('TL04'!$B$229=N$3,SUMIF('TL04'!$C$238:$C$451,$C178,'TL04'!$J$238:$J$451),0),
IF('TL05'!$B$3=N$3,SUMIF('TL05'!$C$10:$C$224,$C178,'TL05'!$J$10:$J$224),0),
IF('TL05'!$B$229=N$3,SUMIF('TL05'!$C$238:$C$451,$C178,'TL05'!$J$238:$J$451),0),
IF('TL06'!$B$3=N$3,SUMIF('TL06'!$C$10:$C$224,$C178,'TL06'!$J$10:$J$224),0),
IF('TL06'!$B$229=N$3,SUMIF('TL06'!$C$238:$C$451,$C178,'TL06'!$J$238:$J$451),0),
IF('TL07'!$B$3=N$3,SUMIF('TL07'!$C$10:$C$224,$C178,'TL07'!$J$10:$J$224),0),
IF('TL07'!$B$229=N$3,SUMIF('TL07'!$C$238:$C$451,$C178,'TL07'!$J$238:$J$451),0),
IF('TL08'!$B$3=N$3,SUMIF('TL08'!$C$10:$C$224,$C178,'TL08'!$J$10:$J$224),0),
IF('TL08'!$B$229=N$3,SUMIF('TL08'!$C$238:$C$451,$C178,'TL08'!$J$238:$J$451),0),
IF('TL09'!$B$3=N$3,SUMIF('TL09'!$C$10:$C$224,$C178,'TL09'!$J$10:$J$224),0),
IF('TL09'!$B$229=N$3,SUMIF('TL09'!$C$238:$C$451,$C178,'TL09'!$J$238:$J$451),0),
IF('TL10'!$B$3=N$3,SUMIF('TL10'!$C$10:$C$224,$C178,'TL10'!$J$10:$J$224),0),
IF('TL10'!$B$229=N$3,SUMIF('TL10'!$C$238:$C$451,$C178,'TL10'!$J$238:$J$451),0),
IF('TL11'!$B$3=N$3,SUMIF('TL11'!$C$10:$C$224,$C178,'TL11'!$J$10:$J$224),0),
IF('TL11'!$B$229=N$3,SUMIF('TL11'!$C$238:$C$451,$C178,'TL11'!$J$238:$J$451),0),
IF('TL12'!$B$3=N$3,SUMIF('TL12'!$C$10:$C$224,$C178,'TL12'!$J$10:$J$224),0),
IF('TL12'!$B$229=N$3,SUMIF('TL12'!$C$238:$C$451,$C178,'TL12'!$J$238:$J$451),0),
IF('TL13'!$B$3=N$3,SUMIF('TL13'!$C$10:$C$224,$C178,'TL13'!$J$10:$J$224),0),
IF('TL13'!$B$229=N$3,SUMIF('TL13'!$C$238:$C$451,$C178,'TL13'!$J$238:$J$451),0),
IF('TL14'!$B$3=N$3,SUMIF('TL14'!$C$10:$C$224,$C178,'TL14'!$J$10:$J$224),0),
IF('TL14'!$B$229=N$3,SUMIF('TL14'!$C$238:$C$451,$C178,'TL14'!$J$238:$J$451),0),
IF('TL15'!$B$3=N$3,SUMIF('TL15'!$C$10:$C$224,$C178,'TL15'!$J$10:$J$224),0),
IF('TL15'!$B$229=N$3,SUMIF('TL15'!$C$238:$C$451,$C178,'TL15'!$J$238:$J$451),0),
IF('TL16'!$B$3=N$3,SUMIF('TL16'!$C$10:$C$224,$C178,'TL16'!$J$10:$J$224),0),
IF('TL16'!$B$229=N$3,SUMIF('TL16'!$C$238:$C$451,$C178,'TL16'!$J$238:$J$451),0),
IF('TL17'!$B$3=N$3,SUMIF('TL17'!$C$10:$C$224,$C178,'TL17'!$J$10:$J$224),0),
IF('TL17'!$B$229=N$3,SUMIF('TL17'!$C$238:$C$451,$C178,'TL17'!$J$238:$J$451),0),
IF('TL18'!$B$3=N$3,SUMIF('TL18'!$C$10:$C$224,$C178,'TL18'!$J$10:$J$224),0),
IF('TL18'!$B$229=N$3,SUMIF('TL18'!$C$238:$C$451,$C178,'TL18'!$J$238:$J$451),0),
IF('TL19'!$B$3=N$3,SUMIF('TL19'!$C$10:$C$224,$C178,'TL19'!$J$10:$J$224),0),
IF('TL19'!$B$229=N$3,SUMIF('TL19'!$C$238:$C$451,$C178,'TL19'!$J$238:$J$451),0)
),0)</f>
        <v>0</v>
      </c>
      <c r="O178" s="9">
        <f>IFERROR(SUM(
IF('TL01'!$B$3=O$3,SUMIF('TL01'!$C$10:$C$224,$C178,'TL01'!$J$10:$J$224),0),
IF('TL01'!$B$229=O$3,SUMIF('TL01'!$C$238:$C$451,$C178,'TL01'!$J$238:$J$451),0),
IF('TL02'!$B$3=O$3,SUMIF('TL02'!$C$10:$C$224,$C178,'TL02'!$J$10:$J$224),0),
IF('TL02'!$B$229=O$3,SUMIF('TL02'!$C$238:$C$451,$C178,'TL02'!$J$238:$J$451),0),
IF('TL03'!$B$3=O$3,SUMIF('TL03'!$C$10:$C$224,$C178,'TL03'!$J$10:$J$224),0),
IF('TL03'!$B$229=O$3,SUMIF('TL03'!$C$238:$C$451,$C178,'TL03'!$J$238:$J$451),0),
IF('TL04'!$B$3=O$3,SUMIF('TL04'!$C$10:$C$224,$C178,'TL04'!$J$10:$J$224),0),
IF('TL04'!$B$229=O$3,SUMIF('TL04'!$C$238:$C$451,$C178,'TL04'!$J$238:$J$451),0),
IF('TL05'!$B$3=O$3,SUMIF('TL05'!$C$10:$C$224,$C178,'TL05'!$J$10:$J$224),0),
IF('TL05'!$B$229=O$3,SUMIF('TL05'!$C$238:$C$451,$C178,'TL05'!$J$238:$J$451),0),
IF('TL06'!$B$3=O$3,SUMIF('TL06'!$C$10:$C$224,$C178,'TL06'!$J$10:$J$224),0),
IF('TL06'!$B$229=O$3,SUMIF('TL06'!$C$238:$C$451,$C178,'TL06'!$J$238:$J$451),0),
IF('TL07'!$B$3=O$3,SUMIF('TL07'!$C$10:$C$224,$C178,'TL07'!$J$10:$J$224),0),
IF('TL07'!$B$229=O$3,SUMIF('TL07'!$C$238:$C$451,$C178,'TL07'!$J$238:$J$451),0),
IF('TL08'!$B$3=O$3,SUMIF('TL08'!$C$10:$C$224,$C178,'TL08'!$J$10:$J$224),0),
IF('TL08'!$B$229=O$3,SUMIF('TL08'!$C$238:$C$451,$C178,'TL08'!$J$238:$J$451),0),
IF('TL09'!$B$3=O$3,SUMIF('TL09'!$C$10:$C$224,$C178,'TL09'!$J$10:$J$224),0),
IF('TL09'!$B$229=O$3,SUMIF('TL09'!$C$238:$C$451,$C178,'TL09'!$J$238:$J$451),0),
IF('TL10'!$B$3=O$3,SUMIF('TL10'!$C$10:$C$224,$C178,'TL10'!$J$10:$J$224),0),
IF('TL10'!$B$229=O$3,SUMIF('TL10'!$C$238:$C$451,$C178,'TL10'!$J$238:$J$451),0),
IF('TL11'!$B$3=O$3,SUMIF('TL11'!$C$10:$C$224,$C178,'TL11'!$J$10:$J$224),0),
IF('TL11'!$B$229=O$3,SUMIF('TL11'!$C$238:$C$451,$C178,'TL11'!$J$238:$J$451),0),
IF('TL12'!$B$3=O$3,SUMIF('TL12'!$C$10:$C$224,$C178,'TL12'!$J$10:$J$224),0),
IF('TL12'!$B$229=O$3,SUMIF('TL12'!$C$238:$C$451,$C178,'TL12'!$J$238:$J$451),0),
IF('TL13'!$B$3=O$3,SUMIF('TL13'!$C$10:$C$224,$C178,'TL13'!$J$10:$J$224),0),
IF('TL13'!$B$229=O$3,SUMIF('TL13'!$C$238:$C$451,$C178,'TL13'!$J$238:$J$451),0),
IF('TL14'!$B$3=O$3,SUMIF('TL14'!$C$10:$C$224,$C178,'TL14'!$J$10:$J$224),0),
IF('TL14'!$B$229=O$3,SUMIF('TL14'!$C$238:$C$451,$C178,'TL14'!$J$238:$J$451),0),
IF('TL15'!$B$3=O$3,SUMIF('TL15'!$C$10:$C$224,$C178,'TL15'!$J$10:$J$224),0),
IF('TL15'!$B$229=O$3,SUMIF('TL15'!$C$238:$C$451,$C178,'TL15'!$J$238:$J$451),0),
IF('TL16'!$B$3=O$3,SUMIF('TL16'!$C$10:$C$224,$C178,'TL16'!$J$10:$J$224),0),
IF('TL16'!$B$229=O$3,SUMIF('TL16'!$C$238:$C$451,$C178,'TL16'!$J$238:$J$451),0),
IF('TL17'!$B$3=O$3,SUMIF('TL17'!$C$10:$C$224,$C178,'TL17'!$J$10:$J$224),0),
IF('TL17'!$B$229=O$3,SUMIF('TL17'!$C$238:$C$451,$C178,'TL17'!$J$238:$J$451),0),
IF('TL18'!$B$3=O$3,SUMIF('TL18'!$C$10:$C$224,$C178,'TL18'!$J$10:$J$224),0),
IF('TL18'!$B$229=O$3,SUMIF('TL18'!$C$238:$C$451,$C178,'TL18'!$J$238:$J$451),0),
IF('TL19'!$B$3=O$3,SUMIF('TL19'!$C$10:$C$224,$C178,'TL19'!$J$10:$J$224),0),
IF('TL19'!$B$229=O$3,SUMIF('TL19'!$C$238:$C$451,$C178,'TL19'!$J$238:$J$451),0)
),0)</f>
        <v>0</v>
      </c>
      <c r="P178" s="9">
        <f>IFERROR(SUM(
IF('TL01'!$B$3=P$3,SUMIF('TL01'!$C$10:$C$224,$C178,'TL01'!$J$10:$J$224),0),
IF('TL01'!$B$229=P$3,SUMIF('TL01'!$C$238:$C$451,$C178,'TL01'!$J$238:$J$451),0),
IF('TL02'!$B$3=P$3,SUMIF('TL02'!$C$10:$C$224,$C178,'TL02'!$J$10:$J$224),0),
IF('TL02'!$B$229=P$3,SUMIF('TL02'!$C$238:$C$451,$C178,'TL02'!$J$238:$J$451),0),
IF('TL03'!$B$3=P$3,SUMIF('TL03'!$C$10:$C$224,$C178,'TL03'!$J$10:$J$224),0),
IF('TL03'!$B$229=P$3,SUMIF('TL03'!$C$238:$C$451,$C178,'TL03'!$J$238:$J$451),0),
IF('TL04'!$B$3=P$3,SUMIF('TL04'!$C$10:$C$224,$C178,'TL04'!$J$10:$J$224),0),
IF('TL04'!$B$229=P$3,SUMIF('TL04'!$C$238:$C$451,$C178,'TL04'!$J$238:$J$451),0),
IF('TL05'!$B$3=P$3,SUMIF('TL05'!$C$10:$C$224,$C178,'TL05'!$J$10:$J$224),0),
IF('TL05'!$B$229=P$3,SUMIF('TL05'!$C$238:$C$451,$C178,'TL05'!$J$238:$J$451),0),
IF('TL06'!$B$3=P$3,SUMIF('TL06'!$C$10:$C$224,$C178,'TL06'!$J$10:$J$224),0),
IF('TL06'!$B$229=P$3,SUMIF('TL06'!$C$238:$C$451,$C178,'TL06'!$J$238:$J$451),0),
IF('TL07'!$B$3=P$3,SUMIF('TL07'!$C$10:$C$224,$C178,'TL07'!$J$10:$J$224),0),
IF('TL07'!$B$229=P$3,SUMIF('TL07'!$C$238:$C$451,$C178,'TL07'!$J$238:$J$451),0),
IF('TL08'!$B$3=P$3,SUMIF('TL08'!$C$10:$C$224,$C178,'TL08'!$J$10:$J$224),0),
IF('TL08'!$B$229=P$3,SUMIF('TL08'!$C$238:$C$451,$C178,'TL08'!$J$238:$J$451),0),
IF('TL09'!$B$3=P$3,SUMIF('TL09'!$C$10:$C$224,$C178,'TL09'!$J$10:$J$224),0),
IF('TL09'!$B$229=P$3,SUMIF('TL09'!$C$238:$C$451,$C178,'TL09'!$J$238:$J$451),0),
IF('TL10'!$B$3=P$3,SUMIF('TL10'!$C$10:$C$224,$C178,'TL10'!$J$10:$J$224),0),
IF('TL10'!$B$229=P$3,SUMIF('TL10'!$C$238:$C$451,$C178,'TL10'!$J$238:$J$451),0),
IF('TL11'!$B$3=P$3,SUMIF('TL11'!$C$10:$C$224,$C178,'TL11'!$J$10:$J$224),0),
IF('TL11'!$B$229=P$3,SUMIF('TL11'!$C$238:$C$451,$C178,'TL11'!$J$238:$J$451),0),
IF('TL12'!$B$3=P$3,SUMIF('TL12'!$C$10:$C$224,$C178,'TL12'!$J$10:$J$224),0),
IF('TL12'!$B$229=P$3,SUMIF('TL12'!$C$238:$C$451,$C178,'TL12'!$J$238:$J$451),0),
IF('TL13'!$B$3=P$3,SUMIF('TL13'!$C$10:$C$224,$C178,'TL13'!$J$10:$J$224),0),
IF('TL13'!$B$229=P$3,SUMIF('TL13'!$C$238:$C$451,$C178,'TL13'!$J$238:$J$451),0),
IF('TL14'!$B$3=P$3,SUMIF('TL14'!$C$10:$C$224,$C178,'TL14'!$J$10:$J$224),0),
IF('TL14'!$B$229=P$3,SUMIF('TL14'!$C$238:$C$451,$C178,'TL14'!$J$238:$J$451),0),
IF('TL15'!$B$3=P$3,SUMIF('TL15'!$C$10:$C$224,$C178,'TL15'!$J$10:$J$224),0),
IF('TL15'!$B$229=P$3,SUMIF('TL15'!$C$238:$C$451,$C178,'TL15'!$J$238:$J$451),0),
IF('TL16'!$B$3=P$3,SUMIF('TL16'!$C$10:$C$224,$C178,'TL16'!$J$10:$J$224),0),
IF('TL16'!$B$229=P$3,SUMIF('TL16'!$C$238:$C$451,$C178,'TL16'!$J$238:$J$451),0),
IF('TL17'!$B$3=P$3,SUMIF('TL17'!$C$10:$C$224,$C178,'TL17'!$J$10:$J$224),0),
IF('TL17'!$B$229=P$3,SUMIF('TL17'!$C$238:$C$451,$C178,'TL17'!$J$238:$J$451),0),
IF('TL18'!$B$3=P$3,SUMIF('TL18'!$C$10:$C$224,$C178,'TL18'!$J$10:$J$224),0),
IF('TL18'!$B$229=P$3,SUMIF('TL18'!$C$238:$C$451,$C178,'TL18'!$J$238:$J$451),0),
IF('TL19'!$B$3=P$3,SUMIF('TL19'!$C$10:$C$224,$C178,'TL19'!$J$10:$J$224),0),
IF('TL19'!$B$229=P$3,SUMIF('TL19'!$C$238:$C$451,$C178,'TL19'!$J$238:$J$451),0)
),0)</f>
        <v>0</v>
      </c>
      <c r="Q178" s="9">
        <f>IFERROR(SUM(
IF('TL01'!$B$3=Q$3,SUMIF('TL01'!$C$10:$C$224,$C178,'TL01'!$J$10:$J$224),0),
IF('TL01'!$B$229=Q$3,SUMIF('TL01'!$C$238:$C$451,$C178,'TL01'!$J$238:$J$451),0),
IF('TL02'!$B$3=Q$3,SUMIF('TL02'!$C$10:$C$224,$C178,'TL02'!$J$10:$J$224),0),
IF('TL02'!$B$229=Q$3,SUMIF('TL02'!$C$238:$C$451,$C178,'TL02'!$J$238:$J$451),0),
IF('TL03'!$B$3=Q$3,SUMIF('TL03'!$C$10:$C$224,$C178,'TL03'!$J$10:$J$224),0),
IF('TL03'!$B$229=Q$3,SUMIF('TL03'!$C$238:$C$451,$C178,'TL03'!$J$238:$J$451),0),
IF('TL04'!$B$3=Q$3,SUMIF('TL04'!$C$10:$C$224,$C178,'TL04'!$J$10:$J$224),0),
IF('TL04'!$B$229=Q$3,SUMIF('TL04'!$C$238:$C$451,$C178,'TL04'!$J$238:$J$451),0),
IF('TL05'!$B$3=Q$3,SUMIF('TL05'!$C$10:$C$224,$C178,'TL05'!$J$10:$J$224),0),
IF('TL05'!$B$229=Q$3,SUMIF('TL05'!$C$238:$C$451,$C178,'TL05'!$J$238:$J$451),0),
IF('TL06'!$B$3=Q$3,SUMIF('TL06'!$C$10:$C$224,$C178,'TL06'!$J$10:$J$224),0),
IF('TL06'!$B$229=Q$3,SUMIF('TL06'!$C$238:$C$451,$C178,'TL06'!$J$238:$J$451),0),
IF('TL07'!$B$3=Q$3,SUMIF('TL07'!$C$10:$C$224,$C178,'TL07'!$J$10:$J$224),0),
IF('TL07'!$B$229=Q$3,SUMIF('TL07'!$C$238:$C$451,$C178,'TL07'!$J$238:$J$451),0),
IF('TL08'!$B$3=Q$3,SUMIF('TL08'!$C$10:$C$224,$C178,'TL08'!$J$10:$J$224),0),
IF('TL08'!$B$229=Q$3,SUMIF('TL08'!$C$238:$C$451,$C178,'TL08'!$J$238:$J$451),0),
IF('TL09'!$B$3=Q$3,SUMIF('TL09'!$C$10:$C$224,$C178,'TL09'!$J$10:$J$224),0),
IF('TL09'!$B$229=Q$3,SUMIF('TL09'!$C$238:$C$451,$C178,'TL09'!$J$238:$J$451),0),
IF('TL10'!$B$3=Q$3,SUMIF('TL10'!$C$10:$C$224,$C178,'TL10'!$J$10:$J$224),0),
IF('TL10'!$B$229=Q$3,SUMIF('TL10'!$C$238:$C$451,$C178,'TL10'!$J$238:$J$451),0),
IF('TL11'!$B$3=Q$3,SUMIF('TL11'!$C$10:$C$224,$C178,'TL11'!$J$10:$J$224),0),
IF('TL11'!$B$229=Q$3,SUMIF('TL11'!$C$238:$C$451,$C178,'TL11'!$J$238:$J$451),0),
IF('TL12'!$B$3=Q$3,SUMIF('TL12'!$C$10:$C$224,$C178,'TL12'!$J$10:$J$224),0),
IF('TL12'!$B$229=Q$3,SUMIF('TL12'!$C$238:$C$451,$C178,'TL12'!$J$238:$J$451),0),
IF('TL13'!$B$3=Q$3,SUMIF('TL13'!$C$10:$C$224,$C178,'TL13'!$J$10:$J$224),0),
IF('TL13'!$B$229=Q$3,SUMIF('TL13'!$C$238:$C$451,$C178,'TL13'!$J$238:$J$451),0),
IF('TL14'!$B$3=Q$3,SUMIF('TL14'!$C$10:$C$224,$C178,'TL14'!$J$10:$J$224),0),
IF('TL14'!$B$229=Q$3,SUMIF('TL14'!$C$238:$C$451,$C178,'TL14'!$J$238:$J$451),0),
IF('TL15'!$B$3=Q$3,SUMIF('TL15'!$C$10:$C$224,$C178,'TL15'!$J$10:$J$224),0),
IF('TL15'!$B$229=Q$3,SUMIF('TL15'!$C$238:$C$451,$C178,'TL15'!$J$238:$J$451),0),
IF('TL16'!$B$3=Q$3,SUMIF('TL16'!$C$10:$C$224,$C178,'TL16'!$J$10:$J$224),0),
IF('TL16'!$B$229=Q$3,SUMIF('TL16'!$C$238:$C$451,$C178,'TL16'!$J$238:$J$451),0),
IF('TL17'!$B$3=Q$3,SUMIF('TL17'!$C$10:$C$224,$C178,'TL17'!$J$10:$J$224),0),
IF('TL17'!$B$229=Q$3,SUMIF('TL17'!$C$238:$C$451,$C178,'TL17'!$J$238:$J$451),0),
IF('TL18'!$B$3=Q$3,SUMIF('TL18'!$C$10:$C$224,$C178,'TL18'!$J$10:$J$224),0),
IF('TL18'!$B$229=Q$3,SUMIF('TL18'!$C$238:$C$451,$C178,'TL18'!$J$238:$J$451),0),
IF('TL19'!$B$3=Q$3,SUMIF('TL19'!$C$10:$C$224,$C178,'TL19'!$J$10:$J$224),0),
IF('TL19'!$B$229=Q$3,SUMIF('TL19'!$C$238:$C$451,$C178,'TL19'!$J$238:$J$451),0)
),0)</f>
        <v>0</v>
      </c>
      <c r="R178" s="9">
        <f>IFERROR(
SUM(
SUMIF('TL01'!C:C,C178,'TL01'!J:J),
SUMIF('TL02'!C:C,C178,'TL02'!J:J),
SUMIF('TL03'!C:C,C178,'TL03'!J:J),
SUMIF('TL04'!C:C,C178,'TL04'!J:J),
SUMIF('TL05'!C:C,C178,'TL05'!J:J),
SUMIF('TL06'!C:C,C178,'TL06'!J:J),
SUMIF('TL07'!C:C,C178,'TL07'!J:J),
SUMIF('TL08'!C:C,C178,'TL08'!J:J),
SUMIF('TL09'!C:C,C178,'TL09'!J:J),
SUMIF('TL10'!C:C,C178,'TL10'!J:J),
SUMIF('TL11'!C:C,C178,'TL11'!J:J),
SUMIF('TL12'!C:C,C178,'TL12'!J:J),
SUMIF('TL13'!C:C,C178,'TL13'!J:J),
SUMIF('TL14'!C:C,C178,'TL14'!J:J),
SUMIF('TL15'!C:C,C178,'TL15'!J:J),
SUMIF('TL16'!C:C,C178,'TL16'!J:J),
SUMIF('TL17'!C:C,C178,'TL17'!J:J),
SUMIF('TL18'!C:C,C178,'TL18'!J:J),SUMIF('TL19'!C:C,C178,'TL19'!J:J))
,0)</f>
        <v>0</v>
      </c>
      <c r="S178" s="17">
        <f>IFERROR(__xludf.DUMMYFUNCTION("IFERROR(VLOOKUP(C178,
IMPORTRANGE(""1wULbzX32WdYsx-lj2U3uUNBBe2INVIRDtcK0d-Dvl90"",
""26-27!C:G""),
5,
FALSE),
"""")"),134.67219)</f>
        <v>134.67219</v>
      </c>
      <c r="T178" s="9"/>
      <c r="U178" s="92">
        <f t="shared" si="2"/>
        <v>0</v>
      </c>
      <c r="V178" s="93">
        <f t="shared" si="3"/>
        <v>0</v>
      </c>
    </row>
    <row r="179" ht="15.75" hidden="1" customHeight="1">
      <c r="A179" s="94" t="s">
        <v>345</v>
      </c>
      <c r="B179" s="95" t="s">
        <v>2</v>
      </c>
      <c r="C179" s="96" t="s">
        <v>767</v>
      </c>
      <c r="D179" s="96" t="s">
        <v>768</v>
      </c>
      <c r="E179" s="96">
        <v>150.0</v>
      </c>
      <c r="F179" s="4" t="s">
        <v>343</v>
      </c>
      <c r="G179" s="90" t="str">
        <f t="shared" si="4"/>
        <v>📄 Ver bula</v>
      </c>
      <c r="H179" s="9">
        <f>IFERROR(__xludf.DUMMYFUNCTION("IFERROR(VLOOKUP(C179,
IMPORTRANGE(""1wULbzX32WdYsx-lj2U3uUNBBe2INVIRDtcK0d-Dvl90"",
""26-27!C:K""),
8,
FALSE),
"""")"),0.15)</f>
        <v>0.15</v>
      </c>
      <c r="I179" s="97" t="s">
        <v>361</v>
      </c>
      <c r="J179" s="9">
        <f>IFERROR(SUM(
IF('TL01'!$B$3=J$3,SUMIF('TL01'!$C$10:$C$224,$C179,'TL01'!$J$10:$J$224),0),
IF('TL01'!$B$229=J$3,SUMIF('TL01'!$C$238:$C$451,$C179,'TL01'!$J$238:$J$451),0),
IF('TL02'!$B$3=J$3,SUMIF('TL02'!$C$10:$C$224,$C179,'TL02'!$J$10:$J$224),0),
IF('TL02'!$B$229=J$3,SUMIF('TL02'!$C$238:$C$451,$C179,'TL02'!$J$238:$J$451),0),
IF('TL03'!$B$3=J$3,SUMIF('TL03'!$C$10:$C$224,$C179,'TL03'!$J$10:$J$224),0),
IF('TL03'!$B$229=J$3,SUMIF('TL03'!$C$238:$C$451,$C179,'TL03'!$J$238:$J$451),0),
IF('TL04'!$B$3=J$3,SUMIF('TL04'!$C$10:$C$224,$C179,'TL04'!$J$10:$J$224),0),
IF('TL04'!$B$229=J$3,SUMIF('TL04'!$C$238:$C$451,$C179,'TL04'!$J$238:$J$451),0),
IF('TL05'!$B$3=J$3,SUMIF('TL05'!$C$10:$C$224,$C179,'TL05'!$J$10:$J$224),0),
IF('TL05'!$B$229=J$3,SUMIF('TL05'!$C$238:$C$451,$C179,'TL05'!$J$238:$J$451),0),
IF('TL06'!$B$3=J$3,SUMIF('TL06'!$C$10:$C$224,$C179,'TL06'!$J$10:$J$224),0),
IF('TL06'!$B$229=J$3,SUMIF('TL06'!$C$238:$C$451,$C179,'TL06'!$J$238:$J$451),0),
IF('TL07'!$B$3=J$3,SUMIF('TL07'!$C$10:$C$224,$C179,'TL07'!$J$10:$J$224),0),
IF('TL07'!$B$229=J$3,SUMIF('TL07'!$C$238:$C$451,$C179,'TL07'!$J$238:$J$451),0),
IF('TL08'!$B$3=J$3,SUMIF('TL08'!$C$10:$C$224,$C179,'TL08'!$J$10:$J$224),0),
IF('TL08'!$B$229=J$3,SUMIF('TL08'!$C$238:$C$451,$C179,'TL08'!$J$238:$J$451),0),
IF('TL09'!$B$3=J$3,SUMIF('TL09'!$C$10:$C$224,$C179,'TL09'!$J$10:$J$224),0),
IF('TL09'!$B$229=J$3,SUMIF('TL09'!$C$238:$C$451,$C179,'TL09'!$J$238:$J$451),0),
IF('TL10'!$B$3=J$3,SUMIF('TL10'!$C$10:$C$224,$C179,'TL10'!$J$10:$J$224),0),
IF('TL10'!$B$229=J$3,SUMIF('TL10'!$C$238:$C$451,$C179,'TL10'!$J$238:$J$451),0),
IF('TL11'!$B$3=J$3,SUMIF('TL11'!$C$10:$C$224,$C179,'TL11'!$J$10:$J$224),0),
IF('TL11'!$B$229=J$3,SUMIF('TL11'!$C$238:$C$451,$C179,'TL11'!$J$238:$J$451),0),
IF('TL12'!$B$3=J$3,SUMIF('TL12'!$C$10:$C$224,$C179,'TL12'!$J$10:$J$224),0),
IF('TL12'!$B$229=J$3,SUMIF('TL12'!$C$238:$C$451,$C179,'TL12'!$J$238:$J$451),0),
IF('TL13'!$B$3=J$3,SUMIF('TL13'!$C$10:$C$224,$C179,'TL13'!$J$10:$J$224),0),
IF('TL13'!$B$229=J$3,SUMIF('TL13'!$C$238:$C$451,$C179,'TL13'!$J$238:$J$451),0),
IF('TL14'!$B$3=J$3,SUMIF('TL14'!$C$10:$C$224,$C179,'TL14'!$J$10:$J$224),0),
IF('TL14'!$B$229=J$3,SUMIF('TL14'!$C$238:$C$451,$C179,'TL14'!$J$238:$J$451),0),
IF('TL15'!$B$3=J$3,SUMIF('TL15'!$C$10:$C$224,$C179,'TL15'!$J$10:$J$224),0),
IF('TL15'!$B$229=J$3,SUMIF('TL15'!$C$238:$C$451,$C179,'TL15'!$J$238:$J$451),0),
IF('TL16'!$B$3=J$3,SUMIF('TL16'!$C$10:$C$224,$C179,'TL16'!$J$10:$J$224),0),
IF('TL16'!$B$229=J$3,SUMIF('TL16'!$C$238:$C$451,$C179,'TL16'!$J$238:$J$451),0),
IF('TL17'!$B$3=J$3,SUMIF('TL17'!$C$10:$C$224,$C179,'TL17'!$J$10:$J$224),0),
IF('TL17'!$B$229=J$3,SUMIF('TL17'!$C$238:$C$451,$C179,'TL17'!$J$238:$J$451),0),
IF('TL18'!$B$3=J$3,SUMIF('TL18'!$C$10:$C$224,$C179,'TL18'!$J$10:$J$224),0),
IF('TL18'!$B$229=J$3,SUMIF('TL18'!$C$238:$C$451,$C179,'TL18'!$J$238:$J$451),0),
IF('TL19'!$B$3=J$3,SUMIF('TL19'!$C$10:$C$224,$C179,'TL19'!$J$10:$J$224),0),
IF('TL19'!$B$229=J$3,SUMIF('TL19'!$C$238:$C$451,$C179,'TL19'!$J$238:$J$451),0)
),0)</f>
        <v>0</v>
      </c>
      <c r="K179" s="9">
        <f>IFERROR(SUM(
IF('TL01'!$B$3=K$3,SUMIF('TL01'!$C$10:$C$224,$C179,'TL01'!$J$10:$J$224),0),
IF('TL01'!$B$229=K$3,SUMIF('TL01'!$C$238:$C$451,$C179,'TL01'!$J$238:$J$451),0),
IF('TL02'!$B$3=K$3,SUMIF('TL02'!$C$10:$C$224,$C179,'TL02'!$J$10:$J$224),0),
IF('TL02'!$B$229=K$3,SUMIF('TL02'!$C$238:$C$451,$C179,'TL02'!$J$238:$J$451),0),
IF('TL03'!$B$3=K$3,SUMIF('TL03'!$C$10:$C$224,$C179,'TL03'!$J$10:$J$224),0),
IF('TL03'!$B$229=K$3,SUMIF('TL03'!$C$238:$C$451,$C179,'TL03'!$J$238:$J$451),0),
IF('TL04'!$B$3=K$3,SUMIF('TL04'!$C$10:$C$224,$C179,'TL04'!$J$10:$J$224),0),
IF('TL04'!$B$229=K$3,SUMIF('TL04'!$C$238:$C$451,$C179,'TL04'!$J$238:$J$451),0),
IF('TL05'!$B$3=K$3,SUMIF('TL05'!$C$10:$C$224,$C179,'TL05'!$J$10:$J$224),0),
IF('TL05'!$B$229=K$3,SUMIF('TL05'!$C$238:$C$451,$C179,'TL05'!$J$238:$J$451),0),
IF('TL06'!$B$3=K$3,SUMIF('TL06'!$C$10:$C$224,$C179,'TL06'!$J$10:$J$224),0),
IF('TL06'!$B$229=K$3,SUMIF('TL06'!$C$238:$C$451,$C179,'TL06'!$J$238:$J$451),0),
IF('TL07'!$B$3=K$3,SUMIF('TL07'!$C$10:$C$224,$C179,'TL07'!$J$10:$J$224),0),
IF('TL07'!$B$229=K$3,SUMIF('TL07'!$C$238:$C$451,$C179,'TL07'!$J$238:$J$451),0),
IF('TL08'!$B$3=K$3,SUMIF('TL08'!$C$10:$C$224,$C179,'TL08'!$J$10:$J$224),0),
IF('TL08'!$B$229=K$3,SUMIF('TL08'!$C$238:$C$451,$C179,'TL08'!$J$238:$J$451),0),
IF('TL09'!$B$3=K$3,SUMIF('TL09'!$C$10:$C$224,$C179,'TL09'!$J$10:$J$224),0),
IF('TL09'!$B$229=K$3,SUMIF('TL09'!$C$238:$C$451,$C179,'TL09'!$J$238:$J$451),0),
IF('TL10'!$B$3=K$3,SUMIF('TL10'!$C$10:$C$224,$C179,'TL10'!$J$10:$J$224),0),
IF('TL10'!$B$229=K$3,SUMIF('TL10'!$C$238:$C$451,$C179,'TL10'!$J$238:$J$451),0),
IF('TL11'!$B$3=K$3,SUMIF('TL11'!$C$10:$C$224,$C179,'TL11'!$J$10:$J$224),0),
IF('TL11'!$B$229=K$3,SUMIF('TL11'!$C$238:$C$451,$C179,'TL11'!$J$238:$J$451),0),
IF('TL12'!$B$3=K$3,SUMIF('TL12'!$C$10:$C$224,$C179,'TL12'!$J$10:$J$224),0),
IF('TL12'!$B$229=K$3,SUMIF('TL12'!$C$238:$C$451,$C179,'TL12'!$J$238:$J$451),0),
IF('TL13'!$B$3=K$3,SUMIF('TL13'!$C$10:$C$224,$C179,'TL13'!$J$10:$J$224),0),
IF('TL13'!$B$229=K$3,SUMIF('TL13'!$C$238:$C$451,$C179,'TL13'!$J$238:$J$451),0),
IF('TL14'!$B$3=K$3,SUMIF('TL14'!$C$10:$C$224,$C179,'TL14'!$J$10:$J$224),0),
IF('TL14'!$B$229=K$3,SUMIF('TL14'!$C$238:$C$451,$C179,'TL14'!$J$238:$J$451),0),
IF('TL15'!$B$3=K$3,SUMIF('TL15'!$C$10:$C$224,$C179,'TL15'!$J$10:$J$224),0),
IF('TL15'!$B$229=K$3,SUMIF('TL15'!$C$238:$C$451,$C179,'TL15'!$J$238:$J$451),0),
IF('TL16'!$B$3=K$3,SUMIF('TL16'!$C$10:$C$224,$C179,'TL16'!$J$10:$J$224),0),
IF('TL16'!$B$229=K$3,SUMIF('TL16'!$C$238:$C$451,$C179,'TL16'!$J$238:$J$451),0),
IF('TL17'!$B$3=K$3,SUMIF('TL17'!$C$10:$C$224,$C179,'TL17'!$J$10:$J$224),0),
IF('TL17'!$B$229=K$3,SUMIF('TL17'!$C$238:$C$451,$C179,'TL17'!$J$238:$J$451),0),
IF('TL18'!$B$3=K$3,SUMIF('TL18'!$C$10:$C$224,$C179,'TL18'!$J$10:$J$224),0),
IF('TL18'!$B$229=K$3,SUMIF('TL18'!$C$238:$C$451,$C179,'TL18'!$J$238:$J$451),0),
IF('TL19'!$B$3=K$3,SUMIF('TL19'!$C$10:$C$224,$C179,'TL19'!$J$10:$J$224),0),
IF('TL19'!$B$229=K$3,SUMIF('TL19'!$C$238:$C$451,$C179,'TL19'!$J$238:$J$451),0)
),0)</f>
        <v>0</v>
      </c>
      <c r="L179" s="9">
        <f>IFERROR(SUM(
IF('TL01'!$B$3=L$3,SUMIF('TL01'!$C$10:$C$224,$C179,'TL01'!$J$10:$J$224),0),
IF('TL01'!$B$229=L$3,SUMIF('TL01'!$C$238:$C$451,$C179,'TL01'!$J$238:$J$451),0),
IF('TL02'!$B$3=L$3,SUMIF('TL02'!$C$10:$C$224,$C179,'TL02'!$J$10:$J$224),0),
IF('TL02'!$B$229=L$3,SUMIF('TL02'!$C$238:$C$451,$C179,'TL02'!$J$238:$J$451),0),
IF('TL03'!$B$3=L$3,SUMIF('TL03'!$C$10:$C$224,$C179,'TL03'!$J$10:$J$224),0),
IF('TL03'!$B$229=L$3,SUMIF('TL03'!$C$238:$C$451,$C179,'TL03'!$J$238:$J$451),0),
IF('TL04'!$B$3=L$3,SUMIF('TL04'!$C$10:$C$224,$C179,'TL04'!$J$10:$J$224),0),
IF('TL04'!$B$229=L$3,SUMIF('TL04'!$C$238:$C$451,$C179,'TL04'!$J$238:$J$451),0),
IF('TL05'!$B$3=L$3,SUMIF('TL05'!$C$10:$C$224,$C179,'TL05'!$J$10:$J$224),0),
IF('TL05'!$B$229=L$3,SUMIF('TL05'!$C$238:$C$451,$C179,'TL05'!$J$238:$J$451),0),
IF('TL06'!$B$3=L$3,SUMIF('TL06'!$C$10:$C$224,$C179,'TL06'!$J$10:$J$224),0),
IF('TL06'!$B$229=L$3,SUMIF('TL06'!$C$238:$C$451,$C179,'TL06'!$J$238:$J$451),0),
IF('TL07'!$B$3=L$3,SUMIF('TL07'!$C$10:$C$224,$C179,'TL07'!$J$10:$J$224),0),
IF('TL07'!$B$229=L$3,SUMIF('TL07'!$C$238:$C$451,$C179,'TL07'!$J$238:$J$451),0),
IF('TL08'!$B$3=L$3,SUMIF('TL08'!$C$10:$C$224,$C179,'TL08'!$J$10:$J$224),0),
IF('TL08'!$B$229=L$3,SUMIF('TL08'!$C$238:$C$451,$C179,'TL08'!$J$238:$J$451),0),
IF('TL09'!$B$3=L$3,SUMIF('TL09'!$C$10:$C$224,$C179,'TL09'!$J$10:$J$224),0),
IF('TL09'!$B$229=L$3,SUMIF('TL09'!$C$238:$C$451,$C179,'TL09'!$J$238:$J$451),0),
IF('TL10'!$B$3=L$3,SUMIF('TL10'!$C$10:$C$224,$C179,'TL10'!$J$10:$J$224),0),
IF('TL10'!$B$229=L$3,SUMIF('TL10'!$C$238:$C$451,$C179,'TL10'!$J$238:$J$451),0),
IF('TL11'!$B$3=L$3,SUMIF('TL11'!$C$10:$C$224,$C179,'TL11'!$J$10:$J$224),0),
IF('TL11'!$B$229=L$3,SUMIF('TL11'!$C$238:$C$451,$C179,'TL11'!$J$238:$J$451),0),
IF('TL12'!$B$3=L$3,SUMIF('TL12'!$C$10:$C$224,$C179,'TL12'!$J$10:$J$224),0),
IF('TL12'!$B$229=L$3,SUMIF('TL12'!$C$238:$C$451,$C179,'TL12'!$J$238:$J$451),0),
IF('TL13'!$B$3=L$3,SUMIF('TL13'!$C$10:$C$224,$C179,'TL13'!$J$10:$J$224),0),
IF('TL13'!$B$229=L$3,SUMIF('TL13'!$C$238:$C$451,$C179,'TL13'!$J$238:$J$451),0),
IF('TL14'!$B$3=L$3,SUMIF('TL14'!$C$10:$C$224,$C179,'TL14'!$J$10:$J$224),0),
IF('TL14'!$B$229=L$3,SUMIF('TL14'!$C$238:$C$451,$C179,'TL14'!$J$238:$J$451),0),
IF('TL15'!$B$3=L$3,SUMIF('TL15'!$C$10:$C$224,$C179,'TL15'!$J$10:$J$224),0),
IF('TL15'!$B$229=L$3,SUMIF('TL15'!$C$238:$C$451,$C179,'TL15'!$J$238:$J$451),0),
IF('TL16'!$B$3=L$3,SUMIF('TL16'!$C$10:$C$224,$C179,'TL16'!$J$10:$J$224),0),
IF('TL16'!$B$229=L$3,SUMIF('TL16'!$C$238:$C$451,$C179,'TL16'!$J$238:$J$451),0),
IF('TL17'!$B$3=L$3,SUMIF('TL17'!$C$10:$C$224,$C179,'TL17'!$J$10:$J$224),0),
IF('TL17'!$B$229=L$3,SUMIF('TL17'!$C$238:$C$451,$C179,'TL17'!$J$238:$J$451),0),
IF('TL18'!$B$3=L$3,SUMIF('TL18'!$C$10:$C$224,$C179,'TL18'!$J$10:$J$224),0),
IF('TL18'!$B$229=L$3,SUMIF('TL18'!$C$238:$C$451,$C179,'TL18'!$J$238:$J$451),0),
IF('TL19'!$B$3=L$3,SUMIF('TL19'!$C$10:$C$224,$C179,'TL19'!$J$10:$J$224),0),
IF('TL19'!$B$229=L$3,SUMIF('TL19'!$C$238:$C$451,$C179,'TL19'!$J$238:$J$451),0)
),0)</f>
        <v>0</v>
      </c>
      <c r="M179" s="9">
        <f>IFERROR(SUM(
IF('TL01'!$B$3=M$3,SUMIF('TL01'!$C$10:$C$224,$C179,'TL01'!$J$10:$J$224),0),
IF('TL01'!$B$229=M$3,SUMIF('TL01'!$C$238:$C$451,$C179,'TL01'!$J$238:$J$451),0),
IF('TL02'!$B$3=M$3,SUMIF('TL02'!$C$10:$C$224,$C179,'TL02'!$J$10:$J$224),0),
IF('TL02'!$B$229=M$3,SUMIF('TL02'!$C$238:$C$451,$C179,'TL02'!$J$238:$J$451),0),
IF('TL03'!$B$3=M$3,SUMIF('TL03'!$C$10:$C$224,$C179,'TL03'!$J$10:$J$224),0),
IF('TL03'!$B$229=M$3,SUMIF('TL03'!$C$238:$C$451,$C179,'TL03'!$J$238:$J$451),0),
IF('TL04'!$B$3=M$3,SUMIF('TL04'!$C$10:$C$224,$C179,'TL04'!$J$10:$J$224),0),
IF('TL04'!$B$229=M$3,SUMIF('TL04'!$C$238:$C$451,$C179,'TL04'!$J$238:$J$451),0),
IF('TL05'!$B$3=M$3,SUMIF('TL05'!$C$10:$C$224,$C179,'TL05'!$J$10:$J$224),0),
IF('TL05'!$B$229=M$3,SUMIF('TL05'!$C$238:$C$451,$C179,'TL05'!$J$238:$J$451),0),
IF('TL06'!$B$3=M$3,SUMIF('TL06'!$C$10:$C$224,$C179,'TL06'!$J$10:$J$224),0),
IF('TL06'!$B$229=M$3,SUMIF('TL06'!$C$238:$C$451,$C179,'TL06'!$J$238:$J$451),0),
IF('TL07'!$B$3=M$3,SUMIF('TL07'!$C$10:$C$224,$C179,'TL07'!$J$10:$J$224),0),
IF('TL07'!$B$229=M$3,SUMIF('TL07'!$C$238:$C$451,$C179,'TL07'!$J$238:$J$451),0),
IF('TL08'!$B$3=M$3,SUMIF('TL08'!$C$10:$C$224,$C179,'TL08'!$J$10:$J$224),0),
IF('TL08'!$B$229=M$3,SUMIF('TL08'!$C$238:$C$451,$C179,'TL08'!$J$238:$J$451),0),
IF('TL09'!$B$3=M$3,SUMIF('TL09'!$C$10:$C$224,$C179,'TL09'!$J$10:$J$224),0),
IF('TL09'!$B$229=M$3,SUMIF('TL09'!$C$238:$C$451,$C179,'TL09'!$J$238:$J$451),0),
IF('TL10'!$B$3=M$3,SUMIF('TL10'!$C$10:$C$224,$C179,'TL10'!$J$10:$J$224),0),
IF('TL10'!$B$229=M$3,SUMIF('TL10'!$C$238:$C$451,$C179,'TL10'!$J$238:$J$451),0),
IF('TL11'!$B$3=M$3,SUMIF('TL11'!$C$10:$C$224,$C179,'TL11'!$J$10:$J$224),0),
IF('TL11'!$B$229=M$3,SUMIF('TL11'!$C$238:$C$451,$C179,'TL11'!$J$238:$J$451),0),
IF('TL12'!$B$3=M$3,SUMIF('TL12'!$C$10:$C$224,$C179,'TL12'!$J$10:$J$224),0),
IF('TL12'!$B$229=M$3,SUMIF('TL12'!$C$238:$C$451,$C179,'TL12'!$J$238:$J$451),0),
IF('TL13'!$B$3=M$3,SUMIF('TL13'!$C$10:$C$224,$C179,'TL13'!$J$10:$J$224),0),
IF('TL13'!$B$229=M$3,SUMIF('TL13'!$C$238:$C$451,$C179,'TL13'!$J$238:$J$451),0),
IF('TL14'!$B$3=M$3,SUMIF('TL14'!$C$10:$C$224,$C179,'TL14'!$J$10:$J$224),0),
IF('TL14'!$B$229=M$3,SUMIF('TL14'!$C$238:$C$451,$C179,'TL14'!$J$238:$J$451),0),
IF('TL15'!$B$3=M$3,SUMIF('TL15'!$C$10:$C$224,$C179,'TL15'!$J$10:$J$224),0),
IF('TL15'!$B$229=M$3,SUMIF('TL15'!$C$238:$C$451,$C179,'TL15'!$J$238:$J$451),0),
IF('TL16'!$B$3=M$3,SUMIF('TL16'!$C$10:$C$224,$C179,'TL16'!$J$10:$J$224),0),
IF('TL16'!$B$229=M$3,SUMIF('TL16'!$C$238:$C$451,$C179,'TL16'!$J$238:$J$451),0),
IF('TL17'!$B$3=M$3,SUMIF('TL17'!$C$10:$C$224,$C179,'TL17'!$J$10:$J$224),0),
IF('TL17'!$B$229=M$3,SUMIF('TL17'!$C$238:$C$451,$C179,'TL17'!$J$238:$J$451),0),
IF('TL18'!$B$3=M$3,SUMIF('TL18'!$C$10:$C$224,$C179,'TL18'!$J$10:$J$224),0),
IF('TL18'!$B$229=M$3,SUMIF('TL18'!$C$238:$C$451,$C179,'TL18'!$J$238:$J$451),0),
IF('TL19'!$B$3=M$3,SUMIF('TL19'!$C$10:$C$224,$C179,'TL19'!$J$10:$J$224),0),
IF('TL19'!$B$229=M$3,SUMIF('TL19'!$C$238:$C$451,$C179,'TL19'!$J$238:$J$451),0)
),0)</f>
        <v>0</v>
      </c>
      <c r="N179" s="9">
        <f>IFERROR(SUM(
IF('TL01'!$B$3=N$3,SUMIF('TL01'!$C$10:$C$224,$C179,'TL01'!$J$10:$J$224),0),
IF('TL01'!$B$229=N$3,SUMIF('TL01'!$C$238:$C$451,$C179,'TL01'!$J$238:$J$451),0),
IF('TL02'!$B$3=N$3,SUMIF('TL02'!$C$10:$C$224,$C179,'TL02'!$J$10:$J$224),0),
IF('TL02'!$B$229=N$3,SUMIF('TL02'!$C$238:$C$451,$C179,'TL02'!$J$238:$J$451),0),
IF('TL03'!$B$3=N$3,SUMIF('TL03'!$C$10:$C$224,$C179,'TL03'!$J$10:$J$224),0),
IF('TL03'!$B$229=N$3,SUMIF('TL03'!$C$238:$C$451,$C179,'TL03'!$J$238:$J$451),0),
IF('TL04'!$B$3=N$3,SUMIF('TL04'!$C$10:$C$224,$C179,'TL04'!$J$10:$J$224),0),
IF('TL04'!$B$229=N$3,SUMIF('TL04'!$C$238:$C$451,$C179,'TL04'!$J$238:$J$451),0),
IF('TL05'!$B$3=N$3,SUMIF('TL05'!$C$10:$C$224,$C179,'TL05'!$J$10:$J$224),0),
IF('TL05'!$B$229=N$3,SUMIF('TL05'!$C$238:$C$451,$C179,'TL05'!$J$238:$J$451),0),
IF('TL06'!$B$3=N$3,SUMIF('TL06'!$C$10:$C$224,$C179,'TL06'!$J$10:$J$224),0),
IF('TL06'!$B$229=N$3,SUMIF('TL06'!$C$238:$C$451,$C179,'TL06'!$J$238:$J$451),0),
IF('TL07'!$B$3=N$3,SUMIF('TL07'!$C$10:$C$224,$C179,'TL07'!$J$10:$J$224),0),
IF('TL07'!$B$229=N$3,SUMIF('TL07'!$C$238:$C$451,$C179,'TL07'!$J$238:$J$451),0),
IF('TL08'!$B$3=N$3,SUMIF('TL08'!$C$10:$C$224,$C179,'TL08'!$J$10:$J$224),0),
IF('TL08'!$B$229=N$3,SUMIF('TL08'!$C$238:$C$451,$C179,'TL08'!$J$238:$J$451),0),
IF('TL09'!$B$3=N$3,SUMIF('TL09'!$C$10:$C$224,$C179,'TL09'!$J$10:$J$224),0),
IF('TL09'!$B$229=N$3,SUMIF('TL09'!$C$238:$C$451,$C179,'TL09'!$J$238:$J$451),0),
IF('TL10'!$B$3=N$3,SUMIF('TL10'!$C$10:$C$224,$C179,'TL10'!$J$10:$J$224),0),
IF('TL10'!$B$229=N$3,SUMIF('TL10'!$C$238:$C$451,$C179,'TL10'!$J$238:$J$451),0),
IF('TL11'!$B$3=N$3,SUMIF('TL11'!$C$10:$C$224,$C179,'TL11'!$J$10:$J$224),0),
IF('TL11'!$B$229=N$3,SUMIF('TL11'!$C$238:$C$451,$C179,'TL11'!$J$238:$J$451),0),
IF('TL12'!$B$3=N$3,SUMIF('TL12'!$C$10:$C$224,$C179,'TL12'!$J$10:$J$224),0),
IF('TL12'!$B$229=N$3,SUMIF('TL12'!$C$238:$C$451,$C179,'TL12'!$J$238:$J$451),0),
IF('TL13'!$B$3=N$3,SUMIF('TL13'!$C$10:$C$224,$C179,'TL13'!$J$10:$J$224),0),
IF('TL13'!$B$229=N$3,SUMIF('TL13'!$C$238:$C$451,$C179,'TL13'!$J$238:$J$451),0),
IF('TL14'!$B$3=N$3,SUMIF('TL14'!$C$10:$C$224,$C179,'TL14'!$J$10:$J$224),0),
IF('TL14'!$B$229=N$3,SUMIF('TL14'!$C$238:$C$451,$C179,'TL14'!$J$238:$J$451),0),
IF('TL15'!$B$3=N$3,SUMIF('TL15'!$C$10:$C$224,$C179,'TL15'!$J$10:$J$224),0),
IF('TL15'!$B$229=N$3,SUMIF('TL15'!$C$238:$C$451,$C179,'TL15'!$J$238:$J$451),0),
IF('TL16'!$B$3=N$3,SUMIF('TL16'!$C$10:$C$224,$C179,'TL16'!$J$10:$J$224),0),
IF('TL16'!$B$229=N$3,SUMIF('TL16'!$C$238:$C$451,$C179,'TL16'!$J$238:$J$451),0),
IF('TL17'!$B$3=N$3,SUMIF('TL17'!$C$10:$C$224,$C179,'TL17'!$J$10:$J$224),0),
IF('TL17'!$B$229=N$3,SUMIF('TL17'!$C$238:$C$451,$C179,'TL17'!$J$238:$J$451),0),
IF('TL18'!$B$3=N$3,SUMIF('TL18'!$C$10:$C$224,$C179,'TL18'!$J$10:$J$224),0),
IF('TL18'!$B$229=N$3,SUMIF('TL18'!$C$238:$C$451,$C179,'TL18'!$J$238:$J$451),0),
IF('TL19'!$B$3=N$3,SUMIF('TL19'!$C$10:$C$224,$C179,'TL19'!$J$10:$J$224),0),
IF('TL19'!$B$229=N$3,SUMIF('TL19'!$C$238:$C$451,$C179,'TL19'!$J$238:$J$451),0)
),0)</f>
        <v>0</v>
      </c>
      <c r="O179" s="9">
        <f>IFERROR(SUM(
IF('TL01'!$B$3=O$3,SUMIF('TL01'!$C$10:$C$224,$C179,'TL01'!$J$10:$J$224),0),
IF('TL01'!$B$229=O$3,SUMIF('TL01'!$C$238:$C$451,$C179,'TL01'!$J$238:$J$451),0),
IF('TL02'!$B$3=O$3,SUMIF('TL02'!$C$10:$C$224,$C179,'TL02'!$J$10:$J$224),0),
IF('TL02'!$B$229=O$3,SUMIF('TL02'!$C$238:$C$451,$C179,'TL02'!$J$238:$J$451),0),
IF('TL03'!$B$3=O$3,SUMIF('TL03'!$C$10:$C$224,$C179,'TL03'!$J$10:$J$224),0),
IF('TL03'!$B$229=O$3,SUMIF('TL03'!$C$238:$C$451,$C179,'TL03'!$J$238:$J$451),0),
IF('TL04'!$B$3=O$3,SUMIF('TL04'!$C$10:$C$224,$C179,'TL04'!$J$10:$J$224),0),
IF('TL04'!$B$229=O$3,SUMIF('TL04'!$C$238:$C$451,$C179,'TL04'!$J$238:$J$451),0),
IF('TL05'!$B$3=O$3,SUMIF('TL05'!$C$10:$C$224,$C179,'TL05'!$J$10:$J$224),0),
IF('TL05'!$B$229=O$3,SUMIF('TL05'!$C$238:$C$451,$C179,'TL05'!$J$238:$J$451),0),
IF('TL06'!$B$3=O$3,SUMIF('TL06'!$C$10:$C$224,$C179,'TL06'!$J$10:$J$224),0),
IF('TL06'!$B$229=O$3,SUMIF('TL06'!$C$238:$C$451,$C179,'TL06'!$J$238:$J$451),0),
IF('TL07'!$B$3=O$3,SUMIF('TL07'!$C$10:$C$224,$C179,'TL07'!$J$10:$J$224),0),
IF('TL07'!$B$229=O$3,SUMIF('TL07'!$C$238:$C$451,$C179,'TL07'!$J$238:$J$451),0),
IF('TL08'!$B$3=O$3,SUMIF('TL08'!$C$10:$C$224,$C179,'TL08'!$J$10:$J$224),0),
IF('TL08'!$B$229=O$3,SUMIF('TL08'!$C$238:$C$451,$C179,'TL08'!$J$238:$J$451),0),
IF('TL09'!$B$3=O$3,SUMIF('TL09'!$C$10:$C$224,$C179,'TL09'!$J$10:$J$224),0),
IF('TL09'!$B$229=O$3,SUMIF('TL09'!$C$238:$C$451,$C179,'TL09'!$J$238:$J$451),0),
IF('TL10'!$B$3=O$3,SUMIF('TL10'!$C$10:$C$224,$C179,'TL10'!$J$10:$J$224),0),
IF('TL10'!$B$229=O$3,SUMIF('TL10'!$C$238:$C$451,$C179,'TL10'!$J$238:$J$451),0),
IF('TL11'!$B$3=O$3,SUMIF('TL11'!$C$10:$C$224,$C179,'TL11'!$J$10:$J$224),0),
IF('TL11'!$B$229=O$3,SUMIF('TL11'!$C$238:$C$451,$C179,'TL11'!$J$238:$J$451),0),
IF('TL12'!$B$3=O$3,SUMIF('TL12'!$C$10:$C$224,$C179,'TL12'!$J$10:$J$224),0),
IF('TL12'!$B$229=O$3,SUMIF('TL12'!$C$238:$C$451,$C179,'TL12'!$J$238:$J$451),0),
IF('TL13'!$B$3=O$3,SUMIF('TL13'!$C$10:$C$224,$C179,'TL13'!$J$10:$J$224),0),
IF('TL13'!$B$229=O$3,SUMIF('TL13'!$C$238:$C$451,$C179,'TL13'!$J$238:$J$451),0),
IF('TL14'!$B$3=O$3,SUMIF('TL14'!$C$10:$C$224,$C179,'TL14'!$J$10:$J$224),0),
IF('TL14'!$B$229=O$3,SUMIF('TL14'!$C$238:$C$451,$C179,'TL14'!$J$238:$J$451),0),
IF('TL15'!$B$3=O$3,SUMIF('TL15'!$C$10:$C$224,$C179,'TL15'!$J$10:$J$224),0),
IF('TL15'!$B$229=O$3,SUMIF('TL15'!$C$238:$C$451,$C179,'TL15'!$J$238:$J$451),0),
IF('TL16'!$B$3=O$3,SUMIF('TL16'!$C$10:$C$224,$C179,'TL16'!$J$10:$J$224),0),
IF('TL16'!$B$229=O$3,SUMIF('TL16'!$C$238:$C$451,$C179,'TL16'!$J$238:$J$451),0),
IF('TL17'!$B$3=O$3,SUMIF('TL17'!$C$10:$C$224,$C179,'TL17'!$J$10:$J$224),0),
IF('TL17'!$B$229=O$3,SUMIF('TL17'!$C$238:$C$451,$C179,'TL17'!$J$238:$J$451),0),
IF('TL18'!$B$3=O$3,SUMIF('TL18'!$C$10:$C$224,$C179,'TL18'!$J$10:$J$224),0),
IF('TL18'!$B$229=O$3,SUMIF('TL18'!$C$238:$C$451,$C179,'TL18'!$J$238:$J$451),0),
IF('TL19'!$B$3=O$3,SUMIF('TL19'!$C$10:$C$224,$C179,'TL19'!$J$10:$J$224),0),
IF('TL19'!$B$229=O$3,SUMIF('TL19'!$C$238:$C$451,$C179,'TL19'!$J$238:$J$451),0)
),0)</f>
        <v>0</v>
      </c>
      <c r="P179" s="9">
        <f>IFERROR(SUM(
IF('TL01'!$B$3=P$3,SUMIF('TL01'!$C$10:$C$224,$C179,'TL01'!$J$10:$J$224),0),
IF('TL01'!$B$229=P$3,SUMIF('TL01'!$C$238:$C$451,$C179,'TL01'!$J$238:$J$451),0),
IF('TL02'!$B$3=P$3,SUMIF('TL02'!$C$10:$C$224,$C179,'TL02'!$J$10:$J$224),0),
IF('TL02'!$B$229=P$3,SUMIF('TL02'!$C$238:$C$451,$C179,'TL02'!$J$238:$J$451),0),
IF('TL03'!$B$3=P$3,SUMIF('TL03'!$C$10:$C$224,$C179,'TL03'!$J$10:$J$224),0),
IF('TL03'!$B$229=P$3,SUMIF('TL03'!$C$238:$C$451,$C179,'TL03'!$J$238:$J$451),0),
IF('TL04'!$B$3=P$3,SUMIF('TL04'!$C$10:$C$224,$C179,'TL04'!$J$10:$J$224),0),
IF('TL04'!$B$229=P$3,SUMIF('TL04'!$C$238:$C$451,$C179,'TL04'!$J$238:$J$451),0),
IF('TL05'!$B$3=P$3,SUMIF('TL05'!$C$10:$C$224,$C179,'TL05'!$J$10:$J$224),0),
IF('TL05'!$B$229=P$3,SUMIF('TL05'!$C$238:$C$451,$C179,'TL05'!$J$238:$J$451),0),
IF('TL06'!$B$3=P$3,SUMIF('TL06'!$C$10:$C$224,$C179,'TL06'!$J$10:$J$224),0),
IF('TL06'!$B$229=P$3,SUMIF('TL06'!$C$238:$C$451,$C179,'TL06'!$J$238:$J$451),0),
IF('TL07'!$B$3=P$3,SUMIF('TL07'!$C$10:$C$224,$C179,'TL07'!$J$10:$J$224),0),
IF('TL07'!$B$229=P$3,SUMIF('TL07'!$C$238:$C$451,$C179,'TL07'!$J$238:$J$451),0),
IF('TL08'!$B$3=P$3,SUMIF('TL08'!$C$10:$C$224,$C179,'TL08'!$J$10:$J$224),0),
IF('TL08'!$B$229=P$3,SUMIF('TL08'!$C$238:$C$451,$C179,'TL08'!$J$238:$J$451),0),
IF('TL09'!$B$3=P$3,SUMIF('TL09'!$C$10:$C$224,$C179,'TL09'!$J$10:$J$224),0),
IF('TL09'!$B$229=P$3,SUMIF('TL09'!$C$238:$C$451,$C179,'TL09'!$J$238:$J$451),0),
IF('TL10'!$B$3=P$3,SUMIF('TL10'!$C$10:$C$224,$C179,'TL10'!$J$10:$J$224),0),
IF('TL10'!$B$229=P$3,SUMIF('TL10'!$C$238:$C$451,$C179,'TL10'!$J$238:$J$451),0),
IF('TL11'!$B$3=P$3,SUMIF('TL11'!$C$10:$C$224,$C179,'TL11'!$J$10:$J$224),0),
IF('TL11'!$B$229=P$3,SUMIF('TL11'!$C$238:$C$451,$C179,'TL11'!$J$238:$J$451),0),
IF('TL12'!$B$3=P$3,SUMIF('TL12'!$C$10:$C$224,$C179,'TL12'!$J$10:$J$224),0),
IF('TL12'!$B$229=P$3,SUMIF('TL12'!$C$238:$C$451,$C179,'TL12'!$J$238:$J$451),0),
IF('TL13'!$B$3=P$3,SUMIF('TL13'!$C$10:$C$224,$C179,'TL13'!$J$10:$J$224),0),
IF('TL13'!$B$229=P$3,SUMIF('TL13'!$C$238:$C$451,$C179,'TL13'!$J$238:$J$451),0),
IF('TL14'!$B$3=P$3,SUMIF('TL14'!$C$10:$C$224,$C179,'TL14'!$J$10:$J$224),0),
IF('TL14'!$B$229=P$3,SUMIF('TL14'!$C$238:$C$451,$C179,'TL14'!$J$238:$J$451),0),
IF('TL15'!$B$3=P$3,SUMIF('TL15'!$C$10:$C$224,$C179,'TL15'!$J$10:$J$224),0),
IF('TL15'!$B$229=P$3,SUMIF('TL15'!$C$238:$C$451,$C179,'TL15'!$J$238:$J$451),0),
IF('TL16'!$B$3=P$3,SUMIF('TL16'!$C$10:$C$224,$C179,'TL16'!$J$10:$J$224),0),
IF('TL16'!$B$229=P$3,SUMIF('TL16'!$C$238:$C$451,$C179,'TL16'!$J$238:$J$451),0),
IF('TL17'!$B$3=P$3,SUMIF('TL17'!$C$10:$C$224,$C179,'TL17'!$J$10:$J$224),0),
IF('TL17'!$B$229=P$3,SUMIF('TL17'!$C$238:$C$451,$C179,'TL17'!$J$238:$J$451),0),
IF('TL18'!$B$3=P$3,SUMIF('TL18'!$C$10:$C$224,$C179,'TL18'!$J$10:$J$224),0),
IF('TL18'!$B$229=P$3,SUMIF('TL18'!$C$238:$C$451,$C179,'TL18'!$J$238:$J$451),0),
IF('TL19'!$B$3=P$3,SUMIF('TL19'!$C$10:$C$224,$C179,'TL19'!$J$10:$J$224),0),
IF('TL19'!$B$229=P$3,SUMIF('TL19'!$C$238:$C$451,$C179,'TL19'!$J$238:$J$451),0)
),0)</f>
        <v>0</v>
      </c>
      <c r="Q179" s="9">
        <f>IFERROR(SUM(
IF('TL01'!$B$3=Q$3,SUMIF('TL01'!$C$10:$C$224,$C179,'TL01'!$J$10:$J$224),0),
IF('TL01'!$B$229=Q$3,SUMIF('TL01'!$C$238:$C$451,$C179,'TL01'!$J$238:$J$451),0),
IF('TL02'!$B$3=Q$3,SUMIF('TL02'!$C$10:$C$224,$C179,'TL02'!$J$10:$J$224),0),
IF('TL02'!$B$229=Q$3,SUMIF('TL02'!$C$238:$C$451,$C179,'TL02'!$J$238:$J$451),0),
IF('TL03'!$B$3=Q$3,SUMIF('TL03'!$C$10:$C$224,$C179,'TL03'!$J$10:$J$224),0),
IF('TL03'!$B$229=Q$3,SUMIF('TL03'!$C$238:$C$451,$C179,'TL03'!$J$238:$J$451),0),
IF('TL04'!$B$3=Q$3,SUMIF('TL04'!$C$10:$C$224,$C179,'TL04'!$J$10:$J$224),0),
IF('TL04'!$B$229=Q$3,SUMIF('TL04'!$C$238:$C$451,$C179,'TL04'!$J$238:$J$451),0),
IF('TL05'!$B$3=Q$3,SUMIF('TL05'!$C$10:$C$224,$C179,'TL05'!$J$10:$J$224),0),
IF('TL05'!$B$229=Q$3,SUMIF('TL05'!$C$238:$C$451,$C179,'TL05'!$J$238:$J$451),0),
IF('TL06'!$B$3=Q$3,SUMIF('TL06'!$C$10:$C$224,$C179,'TL06'!$J$10:$J$224),0),
IF('TL06'!$B$229=Q$3,SUMIF('TL06'!$C$238:$C$451,$C179,'TL06'!$J$238:$J$451),0),
IF('TL07'!$B$3=Q$3,SUMIF('TL07'!$C$10:$C$224,$C179,'TL07'!$J$10:$J$224),0),
IF('TL07'!$B$229=Q$3,SUMIF('TL07'!$C$238:$C$451,$C179,'TL07'!$J$238:$J$451),0),
IF('TL08'!$B$3=Q$3,SUMIF('TL08'!$C$10:$C$224,$C179,'TL08'!$J$10:$J$224),0),
IF('TL08'!$B$229=Q$3,SUMIF('TL08'!$C$238:$C$451,$C179,'TL08'!$J$238:$J$451),0),
IF('TL09'!$B$3=Q$3,SUMIF('TL09'!$C$10:$C$224,$C179,'TL09'!$J$10:$J$224),0),
IF('TL09'!$B$229=Q$3,SUMIF('TL09'!$C$238:$C$451,$C179,'TL09'!$J$238:$J$451),0),
IF('TL10'!$B$3=Q$3,SUMIF('TL10'!$C$10:$C$224,$C179,'TL10'!$J$10:$J$224),0),
IF('TL10'!$B$229=Q$3,SUMIF('TL10'!$C$238:$C$451,$C179,'TL10'!$J$238:$J$451),0),
IF('TL11'!$B$3=Q$3,SUMIF('TL11'!$C$10:$C$224,$C179,'TL11'!$J$10:$J$224),0),
IF('TL11'!$B$229=Q$3,SUMIF('TL11'!$C$238:$C$451,$C179,'TL11'!$J$238:$J$451),0),
IF('TL12'!$B$3=Q$3,SUMIF('TL12'!$C$10:$C$224,$C179,'TL12'!$J$10:$J$224),0),
IF('TL12'!$B$229=Q$3,SUMIF('TL12'!$C$238:$C$451,$C179,'TL12'!$J$238:$J$451),0),
IF('TL13'!$B$3=Q$3,SUMIF('TL13'!$C$10:$C$224,$C179,'TL13'!$J$10:$J$224),0),
IF('TL13'!$B$229=Q$3,SUMIF('TL13'!$C$238:$C$451,$C179,'TL13'!$J$238:$J$451),0),
IF('TL14'!$B$3=Q$3,SUMIF('TL14'!$C$10:$C$224,$C179,'TL14'!$J$10:$J$224),0),
IF('TL14'!$B$229=Q$3,SUMIF('TL14'!$C$238:$C$451,$C179,'TL14'!$J$238:$J$451),0),
IF('TL15'!$B$3=Q$3,SUMIF('TL15'!$C$10:$C$224,$C179,'TL15'!$J$10:$J$224),0),
IF('TL15'!$B$229=Q$3,SUMIF('TL15'!$C$238:$C$451,$C179,'TL15'!$J$238:$J$451),0),
IF('TL16'!$B$3=Q$3,SUMIF('TL16'!$C$10:$C$224,$C179,'TL16'!$J$10:$J$224),0),
IF('TL16'!$B$229=Q$3,SUMIF('TL16'!$C$238:$C$451,$C179,'TL16'!$J$238:$J$451),0),
IF('TL17'!$B$3=Q$3,SUMIF('TL17'!$C$10:$C$224,$C179,'TL17'!$J$10:$J$224),0),
IF('TL17'!$B$229=Q$3,SUMIF('TL17'!$C$238:$C$451,$C179,'TL17'!$J$238:$J$451),0),
IF('TL18'!$B$3=Q$3,SUMIF('TL18'!$C$10:$C$224,$C179,'TL18'!$J$10:$J$224),0),
IF('TL18'!$B$229=Q$3,SUMIF('TL18'!$C$238:$C$451,$C179,'TL18'!$J$238:$J$451),0),
IF('TL19'!$B$3=Q$3,SUMIF('TL19'!$C$10:$C$224,$C179,'TL19'!$J$10:$J$224),0),
IF('TL19'!$B$229=Q$3,SUMIF('TL19'!$C$238:$C$451,$C179,'TL19'!$J$238:$J$451),0)
),0)</f>
        <v>0</v>
      </c>
      <c r="R179" s="9">
        <f>IFERROR(
SUM(
SUMIF('TL01'!C:C,C179,'TL01'!J:J),
SUMIF('TL02'!C:C,C179,'TL02'!J:J),
SUMIF('TL03'!C:C,C179,'TL03'!J:J),
SUMIF('TL04'!C:C,C179,'TL04'!J:J),
SUMIF('TL05'!C:C,C179,'TL05'!J:J),
SUMIF('TL06'!C:C,C179,'TL06'!J:J),
SUMIF('TL07'!C:C,C179,'TL07'!J:J),
SUMIF('TL08'!C:C,C179,'TL08'!J:J),
SUMIF('TL09'!C:C,C179,'TL09'!J:J),
SUMIF('TL10'!C:C,C179,'TL10'!J:J),
SUMIF('TL11'!C:C,C179,'TL11'!J:J),
SUMIF('TL12'!C:C,C179,'TL12'!J:J),
SUMIF('TL13'!C:C,C179,'TL13'!J:J),
SUMIF('TL14'!C:C,C179,'TL14'!J:J),
SUMIF('TL15'!C:C,C179,'TL15'!J:J),
SUMIF('TL16'!C:C,C179,'TL16'!J:J),
SUMIF('TL17'!C:C,C179,'TL17'!J:J),
SUMIF('TL18'!C:C,C179,'TL18'!J:J),SUMIF('TL19'!C:C,C179,'TL19'!J:J))
,0)</f>
        <v>0</v>
      </c>
      <c r="S179" s="17">
        <f>IFERROR(__xludf.DUMMYFUNCTION("IFERROR(VLOOKUP(C179,
IMPORTRANGE(""1wULbzX32WdYsx-lj2U3uUNBBe2INVIRDtcK0d-Dvl90"",
""26-27!C:G""),
5,
FALSE),
"""")"),91.14216)</f>
        <v>91.14216</v>
      </c>
      <c r="T179" s="9"/>
      <c r="U179" s="92">
        <f t="shared" si="2"/>
        <v>0</v>
      </c>
      <c r="V179" s="93">
        <f t="shared" si="3"/>
        <v>0</v>
      </c>
    </row>
    <row r="180" ht="15.75" hidden="1" customHeight="1">
      <c r="A180" s="87" t="s">
        <v>345</v>
      </c>
      <c r="B180" s="88" t="s">
        <v>2</v>
      </c>
      <c r="C180" s="89" t="s">
        <v>769</v>
      </c>
      <c r="D180" s="89" t="s">
        <v>770</v>
      </c>
      <c r="E180" s="89">
        <v>240.0</v>
      </c>
      <c r="F180" s="4" t="s">
        <v>343</v>
      </c>
      <c r="G180" s="90" t="str">
        <f t="shared" si="4"/>
        <v>📄 Ver bula</v>
      </c>
      <c r="H180" s="9">
        <f>IFERROR(__xludf.DUMMYFUNCTION("IFERROR(VLOOKUP(C180,
IMPORTRANGE(""1wULbzX32WdYsx-lj2U3uUNBBe2INVIRDtcK0d-Dvl90"",
""26-27!C:K""),
8,
FALSE),
"""")"),1.0)</f>
        <v>1</v>
      </c>
      <c r="I180" s="91" t="s">
        <v>361</v>
      </c>
      <c r="J180" s="9">
        <f>IFERROR(SUM(
IF('TL01'!$B$3=J$3,SUMIF('TL01'!$C$10:$C$224,$C180,'TL01'!$J$10:$J$224),0),
IF('TL01'!$B$229=J$3,SUMIF('TL01'!$C$238:$C$451,$C180,'TL01'!$J$238:$J$451),0),
IF('TL02'!$B$3=J$3,SUMIF('TL02'!$C$10:$C$224,$C180,'TL02'!$J$10:$J$224),0),
IF('TL02'!$B$229=J$3,SUMIF('TL02'!$C$238:$C$451,$C180,'TL02'!$J$238:$J$451),0),
IF('TL03'!$B$3=J$3,SUMIF('TL03'!$C$10:$C$224,$C180,'TL03'!$J$10:$J$224),0),
IF('TL03'!$B$229=J$3,SUMIF('TL03'!$C$238:$C$451,$C180,'TL03'!$J$238:$J$451),0),
IF('TL04'!$B$3=J$3,SUMIF('TL04'!$C$10:$C$224,$C180,'TL04'!$J$10:$J$224),0),
IF('TL04'!$B$229=J$3,SUMIF('TL04'!$C$238:$C$451,$C180,'TL04'!$J$238:$J$451),0),
IF('TL05'!$B$3=J$3,SUMIF('TL05'!$C$10:$C$224,$C180,'TL05'!$J$10:$J$224),0),
IF('TL05'!$B$229=J$3,SUMIF('TL05'!$C$238:$C$451,$C180,'TL05'!$J$238:$J$451),0),
IF('TL06'!$B$3=J$3,SUMIF('TL06'!$C$10:$C$224,$C180,'TL06'!$J$10:$J$224),0),
IF('TL06'!$B$229=J$3,SUMIF('TL06'!$C$238:$C$451,$C180,'TL06'!$J$238:$J$451),0),
IF('TL07'!$B$3=J$3,SUMIF('TL07'!$C$10:$C$224,$C180,'TL07'!$J$10:$J$224),0),
IF('TL07'!$B$229=J$3,SUMIF('TL07'!$C$238:$C$451,$C180,'TL07'!$J$238:$J$451),0),
IF('TL08'!$B$3=J$3,SUMIF('TL08'!$C$10:$C$224,$C180,'TL08'!$J$10:$J$224),0),
IF('TL08'!$B$229=J$3,SUMIF('TL08'!$C$238:$C$451,$C180,'TL08'!$J$238:$J$451),0),
IF('TL09'!$B$3=J$3,SUMIF('TL09'!$C$10:$C$224,$C180,'TL09'!$J$10:$J$224),0),
IF('TL09'!$B$229=J$3,SUMIF('TL09'!$C$238:$C$451,$C180,'TL09'!$J$238:$J$451),0),
IF('TL10'!$B$3=J$3,SUMIF('TL10'!$C$10:$C$224,$C180,'TL10'!$J$10:$J$224),0),
IF('TL10'!$B$229=J$3,SUMIF('TL10'!$C$238:$C$451,$C180,'TL10'!$J$238:$J$451),0),
IF('TL11'!$B$3=J$3,SUMIF('TL11'!$C$10:$C$224,$C180,'TL11'!$J$10:$J$224),0),
IF('TL11'!$B$229=J$3,SUMIF('TL11'!$C$238:$C$451,$C180,'TL11'!$J$238:$J$451),0),
IF('TL12'!$B$3=J$3,SUMIF('TL12'!$C$10:$C$224,$C180,'TL12'!$J$10:$J$224),0),
IF('TL12'!$B$229=J$3,SUMIF('TL12'!$C$238:$C$451,$C180,'TL12'!$J$238:$J$451),0),
IF('TL13'!$B$3=J$3,SUMIF('TL13'!$C$10:$C$224,$C180,'TL13'!$J$10:$J$224),0),
IF('TL13'!$B$229=J$3,SUMIF('TL13'!$C$238:$C$451,$C180,'TL13'!$J$238:$J$451),0),
IF('TL14'!$B$3=J$3,SUMIF('TL14'!$C$10:$C$224,$C180,'TL14'!$J$10:$J$224),0),
IF('TL14'!$B$229=J$3,SUMIF('TL14'!$C$238:$C$451,$C180,'TL14'!$J$238:$J$451),0),
IF('TL15'!$B$3=J$3,SUMIF('TL15'!$C$10:$C$224,$C180,'TL15'!$J$10:$J$224),0),
IF('TL15'!$B$229=J$3,SUMIF('TL15'!$C$238:$C$451,$C180,'TL15'!$J$238:$J$451),0),
IF('TL16'!$B$3=J$3,SUMIF('TL16'!$C$10:$C$224,$C180,'TL16'!$J$10:$J$224),0),
IF('TL16'!$B$229=J$3,SUMIF('TL16'!$C$238:$C$451,$C180,'TL16'!$J$238:$J$451),0),
IF('TL17'!$B$3=J$3,SUMIF('TL17'!$C$10:$C$224,$C180,'TL17'!$J$10:$J$224),0),
IF('TL17'!$B$229=J$3,SUMIF('TL17'!$C$238:$C$451,$C180,'TL17'!$J$238:$J$451),0),
IF('TL18'!$B$3=J$3,SUMIF('TL18'!$C$10:$C$224,$C180,'TL18'!$J$10:$J$224),0),
IF('TL18'!$B$229=J$3,SUMIF('TL18'!$C$238:$C$451,$C180,'TL18'!$J$238:$J$451),0),
IF('TL19'!$B$3=J$3,SUMIF('TL19'!$C$10:$C$224,$C180,'TL19'!$J$10:$J$224),0),
IF('TL19'!$B$229=J$3,SUMIF('TL19'!$C$238:$C$451,$C180,'TL19'!$J$238:$J$451),0)
),0)</f>
        <v>0</v>
      </c>
      <c r="K180" s="9">
        <f>IFERROR(SUM(
IF('TL01'!$B$3=K$3,SUMIF('TL01'!$C$10:$C$224,$C180,'TL01'!$J$10:$J$224),0),
IF('TL01'!$B$229=K$3,SUMIF('TL01'!$C$238:$C$451,$C180,'TL01'!$J$238:$J$451),0),
IF('TL02'!$B$3=K$3,SUMIF('TL02'!$C$10:$C$224,$C180,'TL02'!$J$10:$J$224),0),
IF('TL02'!$B$229=K$3,SUMIF('TL02'!$C$238:$C$451,$C180,'TL02'!$J$238:$J$451),0),
IF('TL03'!$B$3=K$3,SUMIF('TL03'!$C$10:$C$224,$C180,'TL03'!$J$10:$J$224),0),
IF('TL03'!$B$229=K$3,SUMIF('TL03'!$C$238:$C$451,$C180,'TL03'!$J$238:$J$451),0),
IF('TL04'!$B$3=K$3,SUMIF('TL04'!$C$10:$C$224,$C180,'TL04'!$J$10:$J$224),0),
IF('TL04'!$B$229=K$3,SUMIF('TL04'!$C$238:$C$451,$C180,'TL04'!$J$238:$J$451),0),
IF('TL05'!$B$3=K$3,SUMIF('TL05'!$C$10:$C$224,$C180,'TL05'!$J$10:$J$224),0),
IF('TL05'!$B$229=K$3,SUMIF('TL05'!$C$238:$C$451,$C180,'TL05'!$J$238:$J$451),0),
IF('TL06'!$B$3=K$3,SUMIF('TL06'!$C$10:$C$224,$C180,'TL06'!$J$10:$J$224),0),
IF('TL06'!$B$229=K$3,SUMIF('TL06'!$C$238:$C$451,$C180,'TL06'!$J$238:$J$451),0),
IF('TL07'!$B$3=K$3,SUMIF('TL07'!$C$10:$C$224,$C180,'TL07'!$J$10:$J$224),0),
IF('TL07'!$B$229=K$3,SUMIF('TL07'!$C$238:$C$451,$C180,'TL07'!$J$238:$J$451),0),
IF('TL08'!$B$3=K$3,SUMIF('TL08'!$C$10:$C$224,$C180,'TL08'!$J$10:$J$224),0),
IF('TL08'!$B$229=K$3,SUMIF('TL08'!$C$238:$C$451,$C180,'TL08'!$J$238:$J$451),0),
IF('TL09'!$B$3=K$3,SUMIF('TL09'!$C$10:$C$224,$C180,'TL09'!$J$10:$J$224),0),
IF('TL09'!$B$229=K$3,SUMIF('TL09'!$C$238:$C$451,$C180,'TL09'!$J$238:$J$451),0),
IF('TL10'!$B$3=K$3,SUMIF('TL10'!$C$10:$C$224,$C180,'TL10'!$J$10:$J$224),0),
IF('TL10'!$B$229=K$3,SUMIF('TL10'!$C$238:$C$451,$C180,'TL10'!$J$238:$J$451),0),
IF('TL11'!$B$3=K$3,SUMIF('TL11'!$C$10:$C$224,$C180,'TL11'!$J$10:$J$224),0),
IF('TL11'!$B$229=K$3,SUMIF('TL11'!$C$238:$C$451,$C180,'TL11'!$J$238:$J$451),0),
IF('TL12'!$B$3=K$3,SUMIF('TL12'!$C$10:$C$224,$C180,'TL12'!$J$10:$J$224),0),
IF('TL12'!$B$229=K$3,SUMIF('TL12'!$C$238:$C$451,$C180,'TL12'!$J$238:$J$451),0),
IF('TL13'!$B$3=K$3,SUMIF('TL13'!$C$10:$C$224,$C180,'TL13'!$J$10:$J$224),0),
IF('TL13'!$B$229=K$3,SUMIF('TL13'!$C$238:$C$451,$C180,'TL13'!$J$238:$J$451),0),
IF('TL14'!$B$3=K$3,SUMIF('TL14'!$C$10:$C$224,$C180,'TL14'!$J$10:$J$224),0),
IF('TL14'!$B$229=K$3,SUMIF('TL14'!$C$238:$C$451,$C180,'TL14'!$J$238:$J$451),0),
IF('TL15'!$B$3=K$3,SUMIF('TL15'!$C$10:$C$224,$C180,'TL15'!$J$10:$J$224),0),
IF('TL15'!$B$229=K$3,SUMIF('TL15'!$C$238:$C$451,$C180,'TL15'!$J$238:$J$451),0),
IF('TL16'!$B$3=K$3,SUMIF('TL16'!$C$10:$C$224,$C180,'TL16'!$J$10:$J$224),0),
IF('TL16'!$B$229=K$3,SUMIF('TL16'!$C$238:$C$451,$C180,'TL16'!$J$238:$J$451),0),
IF('TL17'!$B$3=K$3,SUMIF('TL17'!$C$10:$C$224,$C180,'TL17'!$J$10:$J$224),0),
IF('TL17'!$B$229=K$3,SUMIF('TL17'!$C$238:$C$451,$C180,'TL17'!$J$238:$J$451),0),
IF('TL18'!$B$3=K$3,SUMIF('TL18'!$C$10:$C$224,$C180,'TL18'!$J$10:$J$224),0),
IF('TL18'!$B$229=K$3,SUMIF('TL18'!$C$238:$C$451,$C180,'TL18'!$J$238:$J$451),0),
IF('TL19'!$B$3=K$3,SUMIF('TL19'!$C$10:$C$224,$C180,'TL19'!$J$10:$J$224),0),
IF('TL19'!$B$229=K$3,SUMIF('TL19'!$C$238:$C$451,$C180,'TL19'!$J$238:$J$451),0)
),0)</f>
        <v>0</v>
      </c>
      <c r="L180" s="9">
        <f>IFERROR(SUM(
IF('TL01'!$B$3=L$3,SUMIF('TL01'!$C$10:$C$224,$C180,'TL01'!$J$10:$J$224),0),
IF('TL01'!$B$229=L$3,SUMIF('TL01'!$C$238:$C$451,$C180,'TL01'!$J$238:$J$451),0),
IF('TL02'!$B$3=L$3,SUMIF('TL02'!$C$10:$C$224,$C180,'TL02'!$J$10:$J$224),0),
IF('TL02'!$B$229=L$3,SUMIF('TL02'!$C$238:$C$451,$C180,'TL02'!$J$238:$J$451),0),
IF('TL03'!$B$3=L$3,SUMIF('TL03'!$C$10:$C$224,$C180,'TL03'!$J$10:$J$224),0),
IF('TL03'!$B$229=L$3,SUMIF('TL03'!$C$238:$C$451,$C180,'TL03'!$J$238:$J$451),0),
IF('TL04'!$B$3=L$3,SUMIF('TL04'!$C$10:$C$224,$C180,'TL04'!$J$10:$J$224),0),
IF('TL04'!$B$229=L$3,SUMIF('TL04'!$C$238:$C$451,$C180,'TL04'!$J$238:$J$451),0),
IF('TL05'!$B$3=L$3,SUMIF('TL05'!$C$10:$C$224,$C180,'TL05'!$J$10:$J$224),0),
IF('TL05'!$B$229=L$3,SUMIF('TL05'!$C$238:$C$451,$C180,'TL05'!$J$238:$J$451),0),
IF('TL06'!$B$3=L$3,SUMIF('TL06'!$C$10:$C$224,$C180,'TL06'!$J$10:$J$224),0),
IF('TL06'!$B$229=L$3,SUMIF('TL06'!$C$238:$C$451,$C180,'TL06'!$J$238:$J$451),0),
IF('TL07'!$B$3=L$3,SUMIF('TL07'!$C$10:$C$224,$C180,'TL07'!$J$10:$J$224),0),
IF('TL07'!$B$229=L$3,SUMIF('TL07'!$C$238:$C$451,$C180,'TL07'!$J$238:$J$451),0),
IF('TL08'!$B$3=L$3,SUMIF('TL08'!$C$10:$C$224,$C180,'TL08'!$J$10:$J$224),0),
IF('TL08'!$B$229=L$3,SUMIF('TL08'!$C$238:$C$451,$C180,'TL08'!$J$238:$J$451),0),
IF('TL09'!$B$3=L$3,SUMIF('TL09'!$C$10:$C$224,$C180,'TL09'!$J$10:$J$224),0),
IF('TL09'!$B$229=L$3,SUMIF('TL09'!$C$238:$C$451,$C180,'TL09'!$J$238:$J$451),0),
IF('TL10'!$B$3=L$3,SUMIF('TL10'!$C$10:$C$224,$C180,'TL10'!$J$10:$J$224),0),
IF('TL10'!$B$229=L$3,SUMIF('TL10'!$C$238:$C$451,$C180,'TL10'!$J$238:$J$451),0),
IF('TL11'!$B$3=L$3,SUMIF('TL11'!$C$10:$C$224,$C180,'TL11'!$J$10:$J$224),0),
IF('TL11'!$B$229=L$3,SUMIF('TL11'!$C$238:$C$451,$C180,'TL11'!$J$238:$J$451),0),
IF('TL12'!$B$3=L$3,SUMIF('TL12'!$C$10:$C$224,$C180,'TL12'!$J$10:$J$224),0),
IF('TL12'!$B$229=L$3,SUMIF('TL12'!$C$238:$C$451,$C180,'TL12'!$J$238:$J$451),0),
IF('TL13'!$B$3=L$3,SUMIF('TL13'!$C$10:$C$224,$C180,'TL13'!$J$10:$J$224),0),
IF('TL13'!$B$229=L$3,SUMIF('TL13'!$C$238:$C$451,$C180,'TL13'!$J$238:$J$451),0),
IF('TL14'!$B$3=L$3,SUMIF('TL14'!$C$10:$C$224,$C180,'TL14'!$J$10:$J$224),0),
IF('TL14'!$B$229=L$3,SUMIF('TL14'!$C$238:$C$451,$C180,'TL14'!$J$238:$J$451),0),
IF('TL15'!$B$3=L$3,SUMIF('TL15'!$C$10:$C$224,$C180,'TL15'!$J$10:$J$224),0),
IF('TL15'!$B$229=L$3,SUMIF('TL15'!$C$238:$C$451,$C180,'TL15'!$J$238:$J$451),0),
IF('TL16'!$B$3=L$3,SUMIF('TL16'!$C$10:$C$224,$C180,'TL16'!$J$10:$J$224),0),
IF('TL16'!$B$229=L$3,SUMIF('TL16'!$C$238:$C$451,$C180,'TL16'!$J$238:$J$451),0),
IF('TL17'!$B$3=L$3,SUMIF('TL17'!$C$10:$C$224,$C180,'TL17'!$J$10:$J$224),0),
IF('TL17'!$B$229=L$3,SUMIF('TL17'!$C$238:$C$451,$C180,'TL17'!$J$238:$J$451),0),
IF('TL18'!$B$3=L$3,SUMIF('TL18'!$C$10:$C$224,$C180,'TL18'!$J$10:$J$224),0),
IF('TL18'!$B$229=L$3,SUMIF('TL18'!$C$238:$C$451,$C180,'TL18'!$J$238:$J$451),0),
IF('TL19'!$B$3=L$3,SUMIF('TL19'!$C$10:$C$224,$C180,'TL19'!$J$10:$J$224),0),
IF('TL19'!$B$229=L$3,SUMIF('TL19'!$C$238:$C$451,$C180,'TL19'!$J$238:$J$451),0)
),0)</f>
        <v>0</v>
      </c>
      <c r="M180" s="9">
        <f>IFERROR(SUM(
IF('TL01'!$B$3=M$3,SUMIF('TL01'!$C$10:$C$224,$C180,'TL01'!$J$10:$J$224),0),
IF('TL01'!$B$229=M$3,SUMIF('TL01'!$C$238:$C$451,$C180,'TL01'!$J$238:$J$451),0),
IF('TL02'!$B$3=M$3,SUMIF('TL02'!$C$10:$C$224,$C180,'TL02'!$J$10:$J$224),0),
IF('TL02'!$B$229=M$3,SUMIF('TL02'!$C$238:$C$451,$C180,'TL02'!$J$238:$J$451),0),
IF('TL03'!$B$3=M$3,SUMIF('TL03'!$C$10:$C$224,$C180,'TL03'!$J$10:$J$224),0),
IF('TL03'!$B$229=M$3,SUMIF('TL03'!$C$238:$C$451,$C180,'TL03'!$J$238:$J$451),0),
IF('TL04'!$B$3=M$3,SUMIF('TL04'!$C$10:$C$224,$C180,'TL04'!$J$10:$J$224),0),
IF('TL04'!$B$229=M$3,SUMIF('TL04'!$C$238:$C$451,$C180,'TL04'!$J$238:$J$451),0),
IF('TL05'!$B$3=M$3,SUMIF('TL05'!$C$10:$C$224,$C180,'TL05'!$J$10:$J$224),0),
IF('TL05'!$B$229=M$3,SUMIF('TL05'!$C$238:$C$451,$C180,'TL05'!$J$238:$J$451),0),
IF('TL06'!$B$3=M$3,SUMIF('TL06'!$C$10:$C$224,$C180,'TL06'!$J$10:$J$224),0),
IF('TL06'!$B$229=M$3,SUMIF('TL06'!$C$238:$C$451,$C180,'TL06'!$J$238:$J$451),0),
IF('TL07'!$B$3=M$3,SUMIF('TL07'!$C$10:$C$224,$C180,'TL07'!$J$10:$J$224),0),
IF('TL07'!$B$229=M$3,SUMIF('TL07'!$C$238:$C$451,$C180,'TL07'!$J$238:$J$451),0),
IF('TL08'!$B$3=M$3,SUMIF('TL08'!$C$10:$C$224,$C180,'TL08'!$J$10:$J$224),0),
IF('TL08'!$B$229=M$3,SUMIF('TL08'!$C$238:$C$451,$C180,'TL08'!$J$238:$J$451),0),
IF('TL09'!$B$3=M$3,SUMIF('TL09'!$C$10:$C$224,$C180,'TL09'!$J$10:$J$224),0),
IF('TL09'!$B$229=M$3,SUMIF('TL09'!$C$238:$C$451,$C180,'TL09'!$J$238:$J$451),0),
IF('TL10'!$B$3=M$3,SUMIF('TL10'!$C$10:$C$224,$C180,'TL10'!$J$10:$J$224),0),
IF('TL10'!$B$229=M$3,SUMIF('TL10'!$C$238:$C$451,$C180,'TL10'!$J$238:$J$451),0),
IF('TL11'!$B$3=M$3,SUMIF('TL11'!$C$10:$C$224,$C180,'TL11'!$J$10:$J$224),0),
IF('TL11'!$B$229=M$3,SUMIF('TL11'!$C$238:$C$451,$C180,'TL11'!$J$238:$J$451),0),
IF('TL12'!$B$3=M$3,SUMIF('TL12'!$C$10:$C$224,$C180,'TL12'!$J$10:$J$224),0),
IF('TL12'!$B$229=M$3,SUMIF('TL12'!$C$238:$C$451,$C180,'TL12'!$J$238:$J$451),0),
IF('TL13'!$B$3=M$3,SUMIF('TL13'!$C$10:$C$224,$C180,'TL13'!$J$10:$J$224),0),
IF('TL13'!$B$229=M$3,SUMIF('TL13'!$C$238:$C$451,$C180,'TL13'!$J$238:$J$451),0),
IF('TL14'!$B$3=M$3,SUMIF('TL14'!$C$10:$C$224,$C180,'TL14'!$J$10:$J$224),0),
IF('TL14'!$B$229=M$3,SUMIF('TL14'!$C$238:$C$451,$C180,'TL14'!$J$238:$J$451),0),
IF('TL15'!$B$3=M$3,SUMIF('TL15'!$C$10:$C$224,$C180,'TL15'!$J$10:$J$224),0),
IF('TL15'!$B$229=M$3,SUMIF('TL15'!$C$238:$C$451,$C180,'TL15'!$J$238:$J$451),0),
IF('TL16'!$B$3=M$3,SUMIF('TL16'!$C$10:$C$224,$C180,'TL16'!$J$10:$J$224),0),
IF('TL16'!$B$229=M$3,SUMIF('TL16'!$C$238:$C$451,$C180,'TL16'!$J$238:$J$451),0),
IF('TL17'!$B$3=M$3,SUMIF('TL17'!$C$10:$C$224,$C180,'TL17'!$J$10:$J$224),0),
IF('TL17'!$B$229=M$3,SUMIF('TL17'!$C$238:$C$451,$C180,'TL17'!$J$238:$J$451),0),
IF('TL18'!$B$3=M$3,SUMIF('TL18'!$C$10:$C$224,$C180,'TL18'!$J$10:$J$224),0),
IF('TL18'!$B$229=M$3,SUMIF('TL18'!$C$238:$C$451,$C180,'TL18'!$J$238:$J$451),0),
IF('TL19'!$B$3=M$3,SUMIF('TL19'!$C$10:$C$224,$C180,'TL19'!$J$10:$J$224),0),
IF('TL19'!$B$229=M$3,SUMIF('TL19'!$C$238:$C$451,$C180,'TL19'!$J$238:$J$451),0)
),0)</f>
        <v>0</v>
      </c>
      <c r="N180" s="9">
        <f>IFERROR(SUM(
IF('TL01'!$B$3=N$3,SUMIF('TL01'!$C$10:$C$224,$C180,'TL01'!$J$10:$J$224),0),
IF('TL01'!$B$229=N$3,SUMIF('TL01'!$C$238:$C$451,$C180,'TL01'!$J$238:$J$451),0),
IF('TL02'!$B$3=N$3,SUMIF('TL02'!$C$10:$C$224,$C180,'TL02'!$J$10:$J$224),0),
IF('TL02'!$B$229=N$3,SUMIF('TL02'!$C$238:$C$451,$C180,'TL02'!$J$238:$J$451),0),
IF('TL03'!$B$3=N$3,SUMIF('TL03'!$C$10:$C$224,$C180,'TL03'!$J$10:$J$224),0),
IF('TL03'!$B$229=N$3,SUMIF('TL03'!$C$238:$C$451,$C180,'TL03'!$J$238:$J$451),0),
IF('TL04'!$B$3=N$3,SUMIF('TL04'!$C$10:$C$224,$C180,'TL04'!$J$10:$J$224),0),
IF('TL04'!$B$229=N$3,SUMIF('TL04'!$C$238:$C$451,$C180,'TL04'!$J$238:$J$451),0),
IF('TL05'!$B$3=N$3,SUMIF('TL05'!$C$10:$C$224,$C180,'TL05'!$J$10:$J$224),0),
IF('TL05'!$B$229=N$3,SUMIF('TL05'!$C$238:$C$451,$C180,'TL05'!$J$238:$J$451),0),
IF('TL06'!$B$3=N$3,SUMIF('TL06'!$C$10:$C$224,$C180,'TL06'!$J$10:$J$224),0),
IF('TL06'!$B$229=N$3,SUMIF('TL06'!$C$238:$C$451,$C180,'TL06'!$J$238:$J$451),0),
IF('TL07'!$B$3=N$3,SUMIF('TL07'!$C$10:$C$224,$C180,'TL07'!$J$10:$J$224),0),
IF('TL07'!$B$229=N$3,SUMIF('TL07'!$C$238:$C$451,$C180,'TL07'!$J$238:$J$451),0),
IF('TL08'!$B$3=N$3,SUMIF('TL08'!$C$10:$C$224,$C180,'TL08'!$J$10:$J$224),0),
IF('TL08'!$B$229=N$3,SUMIF('TL08'!$C$238:$C$451,$C180,'TL08'!$J$238:$J$451),0),
IF('TL09'!$B$3=N$3,SUMIF('TL09'!$C$10:$C$224,$C180,'TL09'!$J$10:$J$224),0),
IF('TL09'!$B$229=N$3,SUMIF('TL09'!$C$238:$C$451,$C180,'TL09'!$J$238:$J$451),0),
IF('TL10'!$B$3=N$3,SUMIF('TL10'!$C$10:$C$224,$C180,'TL10'!$J$10:$J$224),0),
IF('TL10'!$B$229=N$3,SUMIF('TL10'!$C$238:$C$451,$C180,'TL10'!$J$238:$J$451),0),
IF('TL11'!$B$3=N$3,SUMIF('TL11'!$C$10:$C$224,$C180,'TL11'!$J$10:$J$224),0),
IF('TL11'!$B$229=N$3,SUMIF('TL11'!$C$238:$C$451,$C180,'TL11'!$J$238:$J$451),0),
IF('TL12'!$B$3=N$3,SUMIF('TL12'!$C$10:$C$224,$C180,'TL12'!$J$10:$J$224),0),
IF('TL12'!$B$229=N$3,SUMIF('TL12'!$C$238:$C$451,$C180,'TL12'!$J$238:$J$451),0),
IF('TL13'!$B$3=N$3,SUMIF('TL13'!$C$10:$C$224,$C180,'TL13'!$J$10:$J$224),0),
IF('TL13'!$B$229=N$3,SUMIF('TL13'!$C$238:$C$451,$C180,'TL13'!$J$238:$J$451),0),
IF('TL14'!$B$3=N$3,SUMIF('TL14'!$C$10:$C$224,$C180,'TL14'!$J$10:$J$224),0),
IF('TL14'!$B$229=N$3,SUMIF('TL14'!$C$238:$C$451,$C180,'TL14'!$J$238:$J$451),0),
IF('TL15'!$B$3=N$3,SUMIF('TL15'!$C$10:$C$224,$C180,'TL15'!$J$10:$J$224),0),
IF('TL15'!$B$229=N$3,SUMIF('TL15'!$C$238:$C$451,$C180,'TL15'!$J$238:$J$451),0),
IF('TL16'!$B$3=N$3,SUMIF('TL16'!$C$10:$C$224,$C180,'TL16'!$J$10:$J$224),0),
IF('TL16'!$B$229=N$3,SUMIF('TL16'!$C$238:$C$451,$C180,'TL16'!$J$238:$J$451),0),
IF('TL17'!$B$3=N$3,SUMIF('TL17'!$C$10:$C$224,$C180,'TL17'!$J$10:$J$224),0),
IF('TL17'!$B$229=N$3,SUMIF('TL17'!$C$238:$C$451,$C180,'TL17'!$J$238:$J$451),0),
IF('TL18'!$B$3=N$3,SUMIF('TL18'!$C$10:$C$224,$C180,'TL18'!$J$10:$J$224),0),
IF('TL18'!$B$229=N$3,SUMIF('TL18'!$C$238:$C$451,$C180,'TL18'!$J$238:$J$451),0),
IF('TL19'!$B$3=N$3,SUMIF('TL19'!$C$10:$C$224,$C180,'TL19'!$J$10:$J$224),0),
IF('TL19'!$B$229=N$3,SUMIF('TL19'!$C$238:$C$451,$C180,'TL19'!$J$238:$J$451),0)
),0)</f>
        <v>0</v>
      </c>
      <c r="O180" s="9">
        <f>IFERROR(SUM(
IF('TL01'!$B$3=O$3,SUMIF('TL01'!$C$10:$C$224,$C180,'TL01'!$J$10:$J$224),0),
IF('TL01'!$B$229=O$3,SUMIF('TL01'!$C$238:$C$451,$C180,'TL01'!$J$238:$J$451),0),
IF('TL02'!$B$3=O$3,SUMIF('TL02'!$C$10:$C$224,$C180,'TL02'!$J$10:$J$224),0),
IF('TL02'!$B$229=O$3,SUMIF('TL02'!$C$238:$C$451,$C180,'TL02'!$J$238:$J$451),0),
IF('TL03'!$B$3=O$3,SUMIF('TL03'!$C$10:$C$224,$C180,'TL03'!$J$10:$J$224),0),
IF('TL03'!$B$229=O$3,SUMIF('TL03'!$C$238:$C$451,$C180,'TL03'!$J$238:$J$451),0),
IF('TL04'!$B$3=O$3,SUMIF('TL04'!$C$10:$C$224,$C180,'TL04'!$J$10:$J$224),0),
IF('TL04'!$B$229=O$3,SUMIF('TL04'!$C$238:$C$451,$C180,'TL04'!$J$238:$J$451),0),
IF('TL05'!$B$3=O$3,SUMIF('TL05'!$C$10:$C$224,$C180,'TL05'!$J$10:$J$224),0),
IF('TL05'!$B$229=O$3,SUMIF('TL05'!$C$238:$C$451,$C180,'TL05'!$J$238:$J$451),0),
IF('TL06'!$B$3=O$3,SUMIF('TL06'!$C$10:$C$224,$C180,'TL06'!$J$10:$J$224),0),
IF('TL06'!$B$229=O$3,SUMIF('TL06'!$C$238:$C$451,$C180,'TL06'!$J$238:$J$451),0),
IF('TL07'!$B$3=O$3,SUMIF('TL07'!$C$10:$C$224,$C180,'TL07'!$J$10:$J$224),0),
IF('TL07'!$B$229=O$3,SUMIF('TL07'!$C$238:$C$451,$C180,'TL07'!$J$238:$J$451),0),
IF('TL08'!$B$3=O$3,SUMIF('TL08'!$C$10:$C$224,$C180,'TL08'!$J$10:$J$224),0),
IF('TL08'!$B$229=O$3,SUMIF('TL08'!$C$238:$C$451,$C180,'TL08'!$J$238:$J$451),0),
IF('TL09'!$B$3=O$3,SUMIF('TL09'!$C$10:$C$224,$C180,'TL09'!$J$10:$J$224),0),
IF('TL09'!$B$229=O$3,SUMIF('TL09'!$C$238:$C$451,$C180,'TL09'!$J$238:$J$451),0),
IF('TL10'!$B$3=O$3,SUMIF('TL10'!$C$10:$C$224,$C180,'TL10'!$J$10:$J$224),0),
IF('TL10'!$B$229=O$3,SUMIF('TL10'!$C$238:$C$451,$C180,'TL10'!$J$238:$J$451),0),
IF('TL11'!$B$3=O$3,SUMIF('TL11'!$C$10:$C$224,$C180,'TL11'!$J$10:$J$224),0),
IF('TL11'!$B$229=O$3,SUMIF('TL11'!$C$238:$C$451,$C180,'TL11'!$J$238:$J$451),0),
IF('TL12'!$B$3=O$3,SUMIF('TL12'!$C$10:$C$224,$C180,'TL12'!$J$10:$J$224),0),
IF('TL12'!$B$229=O$3,SUMIF('TL12'!$C$238:$C$451,$C180,'TL12'!$J$238:$J$451),0),
IF('TL13'!$B$3=O$3,SUMIF('TL13'!$C$10:$C$224,$C180,'TL13'!$J$10:$J$224),0),
IF('TL13'!$B$229=O$3,SUMIF('TL13'!$C$238:$C$451,$C180,'TL13'!$J$238:$J$451),0),
IF('TL14'!$B$3=O$3,SUMIF('TL14'!$C$10:$C$224,$C180,'TL14'!$J$10:$J$224),0),
IF('TL14'!$B$229=O$3,SUMIF('TL14'!$C$238:$C$451,$C180,'TL14'!$J$238:$J$451),0),
IF('TL15'!$B$3=O$3,SUMIF('TL15'!$C$10:$C$224,$C180,'TL15'!$J$10:$J$224),0),
IF('TL15'!$B$229=O$3,SUMIF('TL15'!$C$238:$C$451,$C180,'TL15'!$J$238:$J$451),0),
IF('TL16'!$B$3=O$3,SUMIF('TL16'!$C$10:$C$224,$C180,'TL16'!$J$10:$J$224),0),
IF('TL16'!$B$229=O$3,SUMIF('TL16'!$C$238:$C$451,$C180,'TL16'!$J$238:$J$451),0),
IF('TL17'!$B$3=O$3,SUMIF('TL17'!$C$10:$C$224,$C180,'TL17'!$J$10:$J$224),0),
IF('TL17'!$B$229=O$3,SUMIF('TL17'!$C$238:$C$451,$C180,'TL17'!$J$238:$J$451),0),
IF('TL18'!$B$3=O$3,SUMIF('TL18'!$C$10:$C$224,$C180,'TL18'!$J$10:$J$224),0),
IF('TL18'!$B$229=O$3,SUMIF('TL18'!$C$238:$C$451,$C180,'TL18'!$J$238:$J$451),0),
IF('TL19'!$B$3=O$3,SUMIF('TL19'!$C$10:$C$224,$C180,'TL19'!$J$10:$J$224),0),
IF('TL19'!$B$229=O$3,SUMIF('TL19'!$C$238:$C$451,$C180,'TL19'!$J$238:$J$451),0)
),0)</f>
        <v>0</v>
      </c>
      <c r="P180" s="9">
        <f>IFERROR(SUM(
IF('TL01'!$B$3=P$3,SUMIF('TL01'!$C$10:$C$224,$C180,'TL01'!$J$10:$J$224),0),
IF('TL01'!$B$229=P$3,SUMIF('TL01'!$C$238:$C$451,$C180,'TL01'!$J$238:$J$451),0),
IF('TL02'!$B$3=P$3,SUMIF('TL02'!$C$10:$C$224,$C180,'TL02'!$J$10:$J$224),0),
IF('TL02'!$B$229=P$3,SUMIF('TL02'!$C$238:$C$451,$C180,'TL02'!$J$238:$J$451),0),
IF('TL03'!$B$3=P$3,SUMIF('TL03'!$C$10:$C$224,$C180,'TL03'!$J$10:$J$224),0),
IF('TL03'!$B$229=P$3,SUMIF('TL03'!$C$238:$C$451,$C180,'TL03'!$J$238:$J$451),0),
IF('TL04'!$B$3=P$3,SUMIF('TL04'!$C$10:$C$224,$C180,'TL04'!$J$10:$J$224),0),
IF('TL04'!$B$229=P$3,SUMIF('TL04'!$C$238:$C$451,$C180,'TL04'!$J$238:$J$451),0),
IF('TL05'!$B$3=P$3,SUMIF('TL05'!$C$10:$C$224,$C180,'TL05'!$J$10:$J$224),0),
IF('TL05'!$B$229=P$3,SUMIF('TL05'!$C$238:$C$451,$C180,'TL05'!$J$238:$J$451),0),
IF('TL06'!$B$3=P$3,SUMIF('TL06'!$C$10:$C$224,$C180,'TL06'!$J$10:$J$224),0),
IF('TL06'!$B$229=P$3,SUMIF('TL06'!$C$238:$C$451,$C180,'TL06'!$J$238:$J$451),0),
IF('TL07'!$B$3=P$3,SUMIF('TL07'!$C$10:$C$224,$C180,'TL07'!$J$10:$J$224),0),
IF('TL07'!$B$229=P$3,SUMIF('TL07'!$C$238:$C$451,$C180,'TL07'!$J$238:$J$451),0),
IF('TL08'!$B$3=P$3,SUMIF('TL08'!$C$10:$C$224,$C180,'TL08'!$J$10:$J$224),0),
IF('TL08'!$B$229=P$3,SUMIF('TL08'!$C$238:$C$451,$C180,'TL08'!$J$238:$J$451),0),
IF('TL09'!$B$3=P$3,SUMIF('TL09'!$C$10:$C$224,$C180,'TL09'!$J$10:$J$224),0),
IF('TL09'!$B$229=P$3,SUMIF('TL09'!$C$238:$C$451,$C180,'TL09'!$J$238:$J$451),0),
IF('TL10'!$B$3=P$3,SUMIF('TL10'!$C$10:$C$224,$C180,'TL10'!$J$10:$J$224),0),
IF('TL10'!$B$229=P$3,SUMIF('TL10'!$C$238:$C$451,$C180,'TL10'!$J$238:$J$451),0),
IF('TL11'!$B$3=P$3,SUMIF('TL11'!$C$10:$C$224,$C180,'TL11'!$J$10:$J$224),0),
IF('TL11'!$B$229=P$3,SUMIF('TL11'!$C$238:$C$451,$C180,'TL11'!$J$238:$J$451),0),
IF('TL12'!$B$3=P$3,SUMIF('TL12'!$C$10:$C$224,$C180,'TL12'!$J$10:$J$224),0),
IF('TL12'!$B$229=P$3,SUMIF('TL12'!$C$238:$C$451,$C180,'TL12'!$J$238:$J$451),0),
IF('TL13'!$B$3=P$3,SUMIF('TL13'!$C$10:$C$224,$C180,'TL13'!$J$10:$J$224),0),
IF('TL13'!$B$229=P$3,SUMIF('TL13'!$C$238:$C$451,$C180,'TL13'!$J$238:$J$451),0),
IF('TL14'!$B$3=P$3,SUMIF('TL14'!$C$10:$C$224,$C180,'TL14'!$J$10:$J$224),0),
IF('TL14'!$B$229=P$3,SUMIF('TL14'!$C$238:$C$451,$C180,'TL14'!$J$238:$J$451),0),
IF('TL15'!$B$3=P$3,SUMIF('TL15'!$C$10:$C$224,$C180,'TL15'!$J$10:$J$224),0),
IF('TL15'!$B$229=P$3,SUMIF('TL15'!$C$238:$C$451,$C180,'TL15'!$J$238:$J$451),0),
IF('TL16'!$B$3=P$3,SUMIF('TL16'!$C$10:$C$224,$C180,'TL16'!$J$10:$J$224),0),
IF('TL16'!$B$229=P$3,SUMIF('TL16'!$C$238:$C$451,$C180,'TL16'!$J$238:$J$451),0),
IF('TL17'!$B$3=P$3,SUMIF('TL17'!$C$10:$C$224,$C180,'TL17'!$J$10:$J$224),0),
IF('TL17'!$B$229=P$3,SUMIF('TL17'!$C$238:$C$451,$C180,'TL17'!$J$238:$J$451),0),
IF('TL18'!$B$3=P$3,SUMIF('TL18'!$C$10:$C$224,$C180,'TL18'!$J$10:$J$224),0),
IF('TL18'!$B$229=P$3,SUMIF('TL18'!$C$238:$C$451,$C180,'TL18'!$J$238:$J$451),0),
IF('TL19'!$B$3=P$3,SUMIF('TL19'!$C$10:$C$224,$C180,'TL19'!$J$10:$J$224),0),
IF('TL19'!$B$229=P$3,SUMIF('TL19'!$C$238:$C$451,$C180,'TL19'!$J$238:$J$451),0)
),0)</f>
        <v>0</v>
      </c>
      <c r="Q180" s="9">
        <f>IFERROR(SUM(
IF('TL01'!$B$3=Q$3,SUMIF('TL01'!$C$10:$C$224,$C180,'TL01'!$J$10:$J$224),0),
IF('TL01'!$B$229=Q$3,SUMIF('TL01'!$C$238:$C$451,$C180,'TL01'!$J$238:$J$451),0),
IF('TL02'!$B$3=Q$3,SUMIF('TL02'!$C$10:$C$224,$C180,'TL02'!$J$10:$J$224),0),
IF('TL02'!$B$229=Q$3,SUMIF('TL02'!$C$238:$C$451,$C180,'TL02'!$J$238:$J$451),0),
IF('TL03'!$B$3=Q$3,SUMIF('TL03'!$C$10:$C$224,$C180,'TL03'!$J$10:$J$224),0),
IF('TL03'!$B$229=Q$3,SUMIF('TL03'!$C$238:$C$451,$C180,'TL03'!$J$238:$J$451),0),
IF('TL04'!$B$3=Q$3,SUMIF('TL04'!$C$10:$C$224,$C180,'TL04'!$J$10:$J$224),0),
IF('TL04'!$B$229=Q$3,SUMIF('TL04'!$C$238:$C$451,$C180,'TL04'!$J$238:$J$451),0),
IF('TL05'!$B$3=Q$3,SUMIF('TL05'!$C$10:$C$224,$C180,'TL05'!$J$10:$J$224),0),
IF('TL05'!$B$229=Q$3,SUMIF('TL05'!$C$238:$C$451,$C180,'TL05'!$J$238:$J$451),0),
IF('TL06'!$B$3=Q$3,SUMIF('TL06'!$C$10:$C$224,$C180,'TL06'!$J$10:$J$224),0),
IF('TL06'!$B$229=Q$3,SUMIF('TL06'!$C$238:$C$451,$C180,'TL06'!$J$238:$J$451),0),
IF('TL07'!$B$3=Q$3,SUMIF('TL07'!$C$10:$C$224,$C180,'TL07'!$J$10:$J$224),0),
IF('TL07'!$B$229=Q$3,SUMIF('TL07'!$C$238:$C$451,$C180,'TL07'!$J$238:$J$451),0),
IF('TL08'!$B$3=Q$3,SUMIF('TL08'!$C$10:$C$224,$C180,'TL08'!$J$10:$J$224),0),
IF('TL08'!$B$229=Q$3,SUMIF('TL08'!$C$238:$C$451,$C180,'TL08'!$J$238:$J$451),0),
IF('TL09'!$B$3=Q$3,SUMIF('TL09'!$C$10:$C$224,$C180,'TL09'!$J$10:$J$224),0),
IF('TL09'!$B$229=Q$3,SUMIF('TL09'!$C$238:$C$451,$C180,'TL09'!$J$238:$J$451),0),
IF('TL10'!$B$3=Q$3,SUMIF('TL10'!$C$10:$C$224,$C180,'TL10'!$J$10:$J$224),0),
IF('TL10'!$B$229=Q$3,SUMIF('TL10'!$C$238:$C$451,$C180,'TL10'!$J$238:$J$451),0),
IF('TL11'!$B$3=Q$3,SUMIF('TL11'!$C$10:$C$224,$C180,'TL11'!$J$10:$J$224),0),
IF('TL11'!$B$229=Q$3,SUMIF('TL11'!$C$238:$C$451,$C180,'TL11'!$J$238:$J$451),0),
IF('TL12'!$B$3=Q$3,SUMIF('TL12'!$C$10:$C$224,$C180,'TL12'!$J$10:$J$224),0),
IF('TL12'!$B$229=Q$3,SUMIF('TL12'!$C$238:$C$451,$C180,'TL12'!$J$238:$J$451),0),
IF('TL13'!$B$3=Q$3,SUMIF('TL13'!$C$10:$C$224,$C180,'TL13'!$J$10:$J$224),0),
IF('TL13'!$B$229=Q$3,SUMIF('TL13'!$C$238:$C$451,$C180,'TL13'!$J$238:$J$451),0),
IF('TL14'!$B$3=Q$3,SUMIF('TL14'!$C$10:$C$224,$C180,'TL14'!$J$10:$J$224),0),
IF('TL14'!$B$229=Q$3,SUMIF('TL14'!$C$238:$C$451,$C180,'TL14'!$J$238:$J$451),0),
IF('TL15'!$B$3=Q$3,SUMIF('TL15'!$C$10:$C$224,$C180,'TL15'!$J$10:$J$224),0),
IF('TL15'!$B$229=Q$3,SUMIF('TL15'!$C$238:$C$451,$C180,'TL15'!$J$238:$J$451),0),
IF('TL16'!$B$3=Q$3,SUMIF('TL16'!$C$10:$C$224,$C180,'TL16'!$J$10:$J$224),0),
IF('TL16'!$B$229=Q$3,SUMIF('TL16'!$C$238:$C$451,$C180,'TL16'!$J$238:$J$451),0),
IF('TL17'!$B$3=Q$3,SUMIF('TL17'!$C$10:$C$224,$C180,'TL17'!$J$10:$J$224),0),
IF('TL17'!$B$229=Q$3,SUMIF('TL17'!$C$238:$C$451,$C180,'TL17'!$J$238:$J$451),0),
IF('TL18'!$B$3=Q$3,SUMIF('TL18'!$C$10:$C$224,$C180,'TL18'!$J$10:$J$224),0),
IF('TL18'!$B$229=Q$3,SUMIF('TL18'!$C$238:$C$451,$C180,'TL18'!$J$238:$J$451),0),
IF('TL19'!$B$3=Q$3,SUMIF('TL19'!$C$10:$C$224,$C180,'TL19'!$J$10:$J$224),0),
IF('TL19'!$B$229=Q$3,SUMIF('TL19'!$C$238:$C$451,$C180,'TL19'!$J$238:$J$451),0)
),0)</f>
        <v>0</v>
      </c>
      <c r="R180" s="9">
        <f>IFERROR(
SUM(
SUMIF('TL01'!C:C,C180,'TL01'!J:J),
SUMIF('TL02'!C:C,C180,'TL02'!J:J),
SUMIF('TL03'!C:C,C180,'TL03'!J:J),
SUMIF('TL04'!C:C,C180,'TL04'!J:J),
SUMIF('TL05'!C:C,C180,'TL05'!J:J),
SUMIF('TL06'!C:C,C180,'TL06'!J:J),
SUMIF('TL07'!C:C,C180,'TL07'!J:J),
SUMIF('TL08'!C:C,C180,'TL08'!J:J),
SUMIF('TL09'!C:C,C180,'TL09'!J:J),
SUMIF('TL10'!C:C,C180,'TL10'!J:J),
SUMIF('TL11'!C:C,C180,'TL11'!J:J),
SUMIF('TL12'!C:C,C180,'TL12'!J:J),
SUMIF('TL13'!C:C,C180,'TL13'!J:J),
SUMIF('TL14'!C:C,C180,'TL14'!J:J),
SUMIF('TL15'!C:C,C180,'TL15'!J:J),
SUMIF('TL16'!C:C,C180,'TL16'!J:J),
SUMIF('TL17'!C:C,C180,'TL17'!J:J),
SUMIF('TL18'!C:C,C180,'TL18'!J:J),SUMIF('TL19'!C:C,C180,'TL19'!J:J))
,0)</f>
        <v>0</v>
      </c>
      <c r="S180" s="17">
        <f>IFERROR(__xludf.DUMMYFUNCTION("IFERROR(VLOOKUP(C180,
IMPORTRANGE(""1wULbzX32WdYsx-lj2U3uUNBBe2INVIRDtcK0d-Dvl90"",
""26-27!C:G""),
5,
FALSE),
"""")"),58.37403)</f>
        <v>58.37403</v>
      </c>
      <c r="T180" s="9"/>
      <c r="U180" s="92">
        <f t="shared" si="2"/>
        <v>0</v>
      </c>
      <c r="V180" s="93">
        <f t="shared" si="3"/>
        <v>0</v>
      </c>
    </row>
    <row r="181" ht="15.75" hidden="1" customHeight="1">
      <c r="A181" s="94" t="s">
        <v>350</v>
      </c>
      <c r="B181" s="95" t="s">
        <v>2</v>
      </c>
      <c r="C181" s="96" t="s">
        <v>771</v>
      </c>
      <c r="D181" s="96" t="s">
        <v>772</v>
      </c>
      <c r="E181" s="96">
        <v>480.0</v>
      </c>
      <c r="F181" s="4" t="s">
        <v>343</v>
      </c>
      <c r="G181" s="90" t="str">
        <f t="shared" si="4"/>
        <v>📄 Ver bula</v>
      </c>
      <c r="H181" s="9">
        <f>IFERROR(__xludf.DUMMYFUNCTION("IFERROR(VLOOKUP(C181,
IMPORTRANGE(""1wULbzX32WdYsx-lj2U3uUNBBe2INVIRDtcK0d-Dvl90"",
""26-27!C:K""),
8,
FALSE),
"""")"),0.1)</f>
        <v>0.1</v>
      </c>
      <c r="I181" s="97" t="s">
        <v>361</v>
      </c>
      <c r="J181" s="9">
        <f>IFERROR(SUM(
IF('TL01'!$B$3=J$3,SUMIF('TL01'!$C$10:$C$224,$C181,'TL01'!$J$10:$J$224),0),
IF('TL01'!$B$229=J$3,SUMIF('TL01'!$C$238:$C$451,$C181,'TL01'!$J$238:$J$451),0),
IF('TL02'!$B$3=J$3,SUMIF('TL02'!$C$10:$C$224,$C181,'TL02'!$J$10:$J$224),0),
IF('TL02'!$B$229=J$3,SUMIF('TL02'!$C$238:$C$451,$C181,'TL02'!$J$238:$J$451),0),
IF('TL03'!$B$3=J$3,SUMIF('TL03'!$C$10:$C$224,$C181,'TL03'!$J$10:$J$224),0),
IF('TL03'!$B$229=J$3,SUMIF('TL03'!$C$238:$C$451,$C181,'TL03'!$J$238:$J$451),0),
IF('TL04'!$B$3=J$3,SUMIF('TL04'!$C$10:$C$224,$C181,'TL04'!$J$10:$J$224),0),
IF('TL04'!$B$229=J$3,SUMIF('TL04'!$C$238:$C$451,$C181,'TL04'!$J$238:$J$451),0),
IF('TL05'!$B$3=J$3,SUMIF('TL05'!$C$10:$C$224,$C181,'TL05'!$J$10:$J$224),0),
IF('TL05'!$B$229=J$3,SUMIF('TL05'!$C$238:$C$451,$C181,'TL05'!$J$238:$J$451),0),
IF('TL06'!$B$3=J$3,SUMIF('TL06'!$C$10:$C$224,$C181,'TL06'!$J$10:$J$224),0),
IF('TL06'!$B$229=J$3,SUMIF('TL06'!$C$238:$C$451,$C181,'TL06'!$J$238:$J$451),0),
IF('TL07'!$B$3=J$3,SUMIF('TL07'!$C$10:$C$224,$C181,'TL07'!$J$10:$J$224),0),
IF('TL07'!$B$229=J$3,SUMIF('TL07'!$C$238:$C$451,$C181,'TL07'!$J$238:$J$451),0),
IF('TL08'!$B$3=J$3,SUMIF('TL08'!$C$10:$C$224,$C181,'TL08'!$J$10:$J$224),0),
IF('TL08'!$B$229=J$3,SUMIF('TL08'!$C$238:$C$451,$C181,'TL08'!$J$238:$J$451),0),
IF('TL09'!$B$3=J$3,SUMIF('TL09'!$C$10:$C$224,$C181,'TL09'!$J$10:$J$224),0),
IF('TL09'!$B$229=J$3,SUMIF('TL09'!$C$238:$C$451,$C181,'TL09'!$J$238:$J$451),0),
IF('TL10'!$B$3=J$3,SUMIF('TL10'!$C$10:$C$224,$C181,'TL10'!$J$10:$J$224),0),
IF('TL10'!$B$229=J$3,SUMIF('TL10'!$C$238:$C$451,$C181,'TL10'!$J$238:$J$451),0),
IF('TL11'!$B$3=J$3,SUMIF('TL11'!$C$10:$C$224,$C181,'TL11'!$J$10:$J$224),0),
IF('TL11'!$B$229=J$3,SUMIF('TL11'!$C$238:$C$451,$C181,'TL11'!$J$238:$J$451),0),
IF('TL12'!$B$3=J$3,SUMIF('TL12'!$C$10:$C$224,$C181,'TL12'!$J$10:$J$224),0),
IF('TL12'!$B$229=J$3,SUMIF('TL12'!$C$238:$C$451,$C181,'TL12'!$J$238:$J$451),0),
IF('TL13'!$B$3=J$3,SUMIF('TL13'!$C$10:$C$224,$C181,'TL13'!$J$10:$J$224),0),
IF('TL13'!$B$229=J$3,SUMIF('TL13'!$C$238:$C$451,$C181,'TL13'!$J$238:$J$451),0),
IF('TL14'!$B$3=J$3,SUMIF('TL14'!$C$10:$C$224,$C181,'TL14'!$J$10:$J$224),0),
IF('TL14'!$B$229=J$3,SUMIF('TL14'!$C$238:$C$451,$C181,'TL14'!$J$238:$J$451),0),
IF('TL15'!$B$3=J$3,SUMIF('TL15'!$C$10:$C$224,$C181,'TL15'!$J$10:$J$224),0),
IF('TL15'!$B$229=J$3,SUMIF('TL15'!$C$238:$C$451,$C181,'TL15'!$J$238:$J$451),0),
IF('TL16'!$B$3=J$3,SUMIF('TL16'!$C$10:$C$224,$C181,'TL16'!$J$10:$J$224),0),
IF('TL16'!$B$229=J$3,SUMIF('TL16'!$C$238:$C$451,$C181,'TL16'!$J$238:$J$451),0),
IF('TL17'!$B$3=J$3,SUMIF('TL17'!$C$10:$C$224,$C181,'TL17'!$J$10:$J$224),0),
IF('TL17'!$B$229=J$3,SUMIF('TL17'!$C$238:$C$451,$C181,'TL17'!$J$238:$J$451),0),
IF('TL18'!$B$3=J$3,SUMIF('TL18'!$C$10:$C$224,$C181,'TL18'!$J$10:$J$224),0),
IF('TL18'!$B$229=J$3,SUMIF('TL18'!$C$238:$C$451,$C181,'TL18'!$J$238:$J$451),0),
IF('TL19'!$B$3=J$3,SUMIF('TL19'!$C$10:$C$224,$C181,'TL19'!$J$10:$J$224),0),
IF('TL19'!$B$229=J$3,SUMIF('TL19'!$C$238:$C$451,$C181,'TL19'!$J$238:$J$451),0)
),0)</f>
        <v>0</v>
      </c>
      <c r="K181" s="9">
        <f>IFERROR(SUM(
IF('TL01'!$B$3=K$3,SUMIF('TL01'!$C$10:$C$224,$C181,'TL01'!$J$10:$J$224),0),
IF('TL01'!$B$229=K$3,SUMIF('TL01'!$C$238:$C$451,$C181,'TL01'!$J$238:$J$451),0),
IF('TL02'!$B$3=K$3,SUMIF('TL02'!$C$10:$C$224,$C181,'TL02'!$J$10:$J$224),0),
IF('TL02'!$B$229=K$3,SUMIF('TL02'!$C$238:$C$451,$C181,'TL02'!$J$238:$J$451),0),
IF('TL03'!$B$3=K$3,SUMIF('TL03'!$C$10:$C$224,$C181,'TL03'!$J$10:$J$224),0),
IF('TL03'!$B$229=K$3,SUMIF('TL03'!$C$238:$C$451,$C181,'TL03'!$J$238:$J$451),0),
IF('TL04'!$B$3=K$3,SUMIF('TL04'!$C$10:$C$224,$C181,'TL04'!$J$10:$J$224),0),
IF('TL04'!$B$229=K$3,SUMIF('TL04'!$C$238:$C$451,$C181,'TL04'!$J$238:$J$451),0),
IF('TL05'!$B$3=K$3,SUMIF('TL05'!$C$10:$C$224,$C181,'TL05'!$J$10:$J$224),0),
IF('TL05'!$B$229=K$3,SUMIF('TL05'!$C$238:$C$451,$C181,'TL05'!$J$238:$J$451),0),
IF('TL06'!$B$3=K$3,SUMIF('TL06'!$C$10:$C$224,$C181,'TL06'!$J$10:$J$224),0),
IF('TL06'!$B$229=K$3,SUMIF('TL06'!$C$238:$C$451,$C181,'TL06'!$J$238:$J$451),0),
IF('TL07'!$B$3=K$3,SUMIF('TL07'!$C$10:$C$224,$C181,'TL07'!$J$10:$J$224),0),
IF('TL07'!$B$229=K$3,SUMIF('TL07'!$C$238:$C$451,$C181,'TL07'!$J$238:$J$451),0),
IF('TL08'!$B$3=K$3,SUMIF('TL08'!$C$10:$C$224,$C181,'TL08'!$J$10:$J$224),0),
IF('TL08'!$B$229=K$3,SUMIF('TL08'!$C$238:$C$451,$C181,'TL08'!$J$238:$J$451),0),
IF('TL09'!$B$3=K$3,SUMIF('TL09'!$C$10:$C$224,$C181,'TL09'!$J$10:$J$224),0),
IF('TL09'!$B$229=K$3,SUMIF('TL09'!$C$238:$C$451,$C181,'TL09'!$J$238:$J$451),0),
IF('TL10'!$B$3=K$3,SUMIF('TL10'!$C$10:$C$224,$C181,'TL10'!$J$10:$J$224),0),
IF('TL10'!$B$229=K$3,SUMIF('TL10'!$C$238:$C$451,$C181,'TL10'!$J$238:$J$451),0),
IF('TL11'!$B$3=K$3,SUMIF('TL11'!$C$10:$C$224,$C181,'TL11'!$J$10:$J$224),0),
IF('TL11'!$B$229=K$3,SUMIF('TL11'!$C$238:$C$451,$C181,'TL11'!$J$238:$J$451),0),
IF('TL12'!$B$3=K$3,SUMIF('TL12'!$C$10:$C$224,$C181,'TL12'!$J$10:$J$224),0),
IF('TL12'!$B$229=K$3,SUMIF('TL12'!$C$238:$C$451,$C181,'TL12'!$J$238:$J$451),0),
IF('TL13'!$B$3=K$3,SUMIF('TL13'!$C$10:$C$224,$C181,'TL13'!$J$10:$J$224),0),
IF('TL13'!$B$229=K$3,SUMIF('TL13'!$C$238:$C$451,$C181,'TL13'!$J$238:$J$451),0),
IF('TL14'!$B$3=K$3,SUMIF('TL14'!$C$10:$C$224,$C181,'TL14'!$J$10:$J$224),0),
IF('TL14'!$B$229=K$3,SUMIF('TL14'!$C$238:$C$451,$C181,'TL14'!$J$238:$J$451),0),
IF('TL15'!$B$3=K$3,SUMIF('TL15'!$C$10:$C$224,$C181,'TL15'!$J$10:$J$224),0),
IF('TL15'!$B$229=K$3,SUMIF('TL15'!$C$238:$C$451,$C181,'TL15'!$J$238:$J$451),0),
IF('TL16'!$B$3=K$3,SUMIF('TL16'!$C$10:$C$224,$C181,'TL16'!$J$10:$J$224),0),
IF('TL16'!$B$229=K$3,SUMIF('TL16'!$C$238:$C$451,$C181,'TL16'!$J$238:$J$451),0),
IF('TL17'!$B$3=K$3,SUMIF('TL17'!$C$10:$C$224,$C181,'TL17'!$J$10:$J$224),0),
IF('TL17'!$B$229=K$3,SUMIF('TL17'!$C$238:$C$451,$C181,'TL17'!$J$238:$J$451),0),
IF('TL18'!$B$3=K$3,SUMIF('TL18'!$C$10:$C$224,$C181,'TL18'!$J$10:$J$224),0),
IF('TL18'!$B$229=K$3,SUMIF('TL18'!$C$238:$C$451,$C181,'TL18'!$J$238:$J$451),0),
IF('TL19'!$B$3=K$3,SUMIF('TL19'!$C$10:$C$224,$C181,'TL19'!$J$10:$J$224),0),
IF('TL19'!$B$229=K$3,SUMIF('TL19'!$C$238:$C$451,$C181,'TL19'!$J$238:$J$451),0)
),0)</f>
        <v>0</v>
      </c>
      <c r="L181" s="9">
        <f>IFERROR(SUM(
IF('TL01'!$B$3=L$3,SUMIF('TL01'!$C$10:$C$224,$C181,'TL01'!$J$10:$J$224),0),
IF('TL01'!$B$229=L$3,SUMIF('TL01'!$C$238:$C$451,$C181,'TL01'!$J$238:$J$451),0),
IF('TL02'!$B$3=L$3,SUMIF('TL02'!$C$10:$C$224,$C181,'TL02'!$J$10:$J$224),0),
IF('TL02'!$B$229=L$3,SUMIF('TL02'!$C$238:$C$451,$C181,'TL02'!$J$238:$J$451),0),
IF('TL03'!$B$3=L$3,SUMIF('TL03'!$C$10:$C$224,$C181,'TL03'!$J$10:$J$224),0),
IF('TL03'!$B$229=L$3,SUMIF('TL03'!$C$238:$C$451,$C181,'TL03'!$J$238:$J$451),0),
IF('TL04'!$B$3=L$3,SUMIF('TL04'!$C$10:$C$224,$C181,'TL04'!$J$10:$J$224),0),
IF('TL04'!$B$229=L$3,SUMIF('TL04'!$C$238:$C$451,$C181,'TL04'!$J$238:$J$451),0),
IF('TL05'!$B$3=L$3,SUMIF('TL05'!$C$10:$C$224,$C181,'TL05'!$J$10:$J$224),0),
IF('TL05'!$B$229=L$3,SUMIF('TL05'!$C$238:$C$451,$C181,'TL05'!$J$238:$J$451),0),
IF('TL06'!$B$3=L$3,SUMIF('TL06'!$C$10:$C$224,$C181,'TL06'!$J$10:$J$224),0),
IF('TL06'!$B$229=L$3,SUMIF('TL06'!$C$238:$C$451,$C181,'TL06'!$J$238:$J$451),0),
IF('TL07'!$B$3=L$3,SUMIF('TL07'!$C$10:$C$224,$C181,'TL07'!$J$10:$J$224),0),
IF('TL07'!$B$229=L$3,SUMIF('TL07'!$C$238:$C$451,$C181,'TL07'!$J$238:$J$451),0),
IF('TL08'!$B$3=L$3,SUMIF('TL08'!$C$10:$C$224,$C181,'TL08'!$J$10:$J$224),0),
IF('TL08'!$B$229=L$3,SUMIF('TL08'!$C$238:$C$451,$C181,'TL08'!$J$238:$J$451),0),
IF('TL09'!$B$3=L$3,SUMIF('TL09'!$C$10:$C$224,$C181,'TL09'!$J$10:$J$224),0),
IF('TL09'!$B$229=L$3,SUMIF('TL09'!$C$238:$C$451,$C181,'TL09'!$J$238:$J$451),0),
IF('TL10'!$B$3=L$3,SUMIF('TL10'!$C$10:$C$224,$C181,'TL10'!$J$10:$J$224),0),
IF('TL10'!$B$229=L$3,SUMIF('TL10'!$C$238:$C$451,$C181,'TL10'!$J$238:$J$451),0),
IF('TL11'!$B$3=L$3,SUMIF('TL11'!$C$10:$C$224,$C181,'TL11'!$J$10:$J$224),0),
IF('TL11'!$B$229=L$3,SUMIF('TL11'!$C$238:$C$451,$C181,'TL11'!$J$238:$J$451),0),
IF('TL12'!$B$3=L$3,SUMIF('TL12'!$C$10:$C$224,$C181,'TL12'!$J$10:$J$224),0),
IF('TL12'!$B$229=L$3,SUMIF('TL12'!$C$238:$C$451,$C181,'TL12'!$J$238:$J$451),0),
IF('TL13'!$B$3=L$3,SUMIF('TL13'!$C$10:$C$224,$C181,'TL13'!$J$10:$J$224),0),
IF('TL13'!$B$229=L$3,SUMIF('TL13'!$C$238:$C$451,$C181,'TL13'!$J$238:$J$451),0),
IF('TL14'!$B$3=L$3,SUMIF('TL14'!$C$10:$C$224,$C181,'TL14'!$J$10:$J$224),0),
IF('TL14'!$B$229=L$3,SUMIF('TL14'!$C$238:$C$451,$C181,'TL14'!$J$238:$J$451),0),
IF('TL15'!$B$3=L$3,SUMIF('TL15'!$C$10:$C$224,$C181,'TL15'!$J$10:$J$224),0),
IF('TL15'!$B$229=L$3,SUMIF('TL15'!$C$238:$C$451,$C181,'TL15'!$J$238:$J$451),0),
IF('TL16'!$B$3=L$3,SUMIF('TL16'!$C$10:$C$224,$C181,'TL16'!$J$10:$J$224),0),
IF('TL16'!$B$229=L$3,SUMIF('TL16'!$C$238:$C$451,$C181,'TL16'!$J$238:$J$451),0),
IF('TL17'!$B$3=L$3,SUMIF('TL17'!$C$10:$C$224,$C181,'TL17'!$J$10:$J$224),0),
IF('TL17'!$B$229=L$3,SUMIF('TL17'!$C$238:$C$451,$C181,'TL17'!$J$238:$J$451),0),
IF('TL18'!$B$3=L$3,SUMIF('TL18'!$C$10:$C$224,$C181,'TL18'!$J$10:$J$224),0),
IF('TL18'!$B$229=L$3,SUMIF('TL18'!$C$238:$C$451,$C181,'TL18'!$J$238:$J$451),0),
IF('TL19'!$B$3=L$3,SUMIF('TL19'!$C$10:$C$224,$C181,'TL19'!$J$10:$J$224),0),
IF('TL19'!$B$229=L$3,SUMIF('TL19'!$C$238:$C$451,$C181,'TL19'!$J$238:$J$451),0)
),0)</f>
        <v>0</v>
      </c>
      <c r="M181" s="9">
        <f>IFERROR(SUM(
IF('TL01'!$B$3=M$3,SUMIF('TL01'!$C$10:$C$224,$C181,'TL01'!$J$10:$J$224),0),
IF('TL01'!$B$229=M$3,SUMIF('TL01'!$C$238:$C$451,$C181,'TL01'!$J$238:$J$451),0),
IF('TL02'!$B$3=M$3,SUMIF('TL02'!$C$10:$C$224,$C181,'TL02'!$J$10:$J$224),0),
IF('TL02'!$B$229=M$3,SUMIF('TL02'!$C$238:$C$451,$C181,'TL02'!$J$238:$J$451),0),
IF('TL03'!$B$3=M$3,SUMIF('TL03'!$C$10:$C$224,$C181,'TL03'!$J$10:$J$224),0),
IF('TL03'!$B$229=M$3,SUMIF('TL03'!$C$238:$C$451,$C181,'TL03'!$J$238:$J$451),0),
IF('TL04'!$B$3=M$3,SUMIF('TL04'!$C$10:$C$224,$C181,'TL04'!$J$10:$J$224),0),
IF('TL04'!$B$229=M$3,SUMIF('TL04'!$C$238:$C$451,$C181,'TL04'!$J$238:$J$451),0),
IF('TL05'!$B$3=M$3,SUMIF('TL05'!$C$10:$C$224,$C181,'TL05'!$J$10:$J$224),0),
IF('TL05'!$B$229=M$3,SUMIF('TL05'!$C$238:$C$451,$C181,'TL05'!$J$238:$J$451),0),
IF('TL06'!$B$3=M$3,SUMIF('TL06'!$C$10:$C$224,$C181,'TL06'!$J$10:$J$224),0),
IF('TL06'!$B$229=M$3,SUMIF('TL06'!$C$238:$C$451,$C181,'TL06'!$J$238:$J$451),0),
IF('TL07'!$B$3=M$3,SUMIF('TL07'!$C$10:$C$224,$C181,'TL07'!$J$10:$J$224),0),
IF('TL07'!$B$229=M$3,SUMIF('TL07'!$C$238:$C$451,$C181,'TL07'!$J$238:$J$451),0),
IF('TL08'!$B$3=M$3,SUMIF('TL08'!$C$10:$C$224,$C181,'TL08'!$J$10:$J$224),0),
IF('TL08'!$B$229=M$3,SUMIF('TL08'!$C$238:$C$451,$C181,'TL08'!$J$238:$J$451),0),
IF('TL09'!$B$3=M$3,SUMIF('TL09'!$C$10:$C$224,$C181,'TL09'!$J$10:$J$224),0),
IF('TL09'!$B$229=M$3,SUMIF('TL09'!$C$238:$C$451,$C181,'TL09'!$J$238:$J$451),0),
IF('TL10'!$B$3=M$3,SUMIF('TL10'!$C$10:$C$224,$C181,'TL10'!$J$10:$J$224),0),
IF('TL10'!$B$229=M$3,SUMIF('TL10'!$C$238:$C$451,$C181,'TL10'!$J$238:$J$451),0),
IF('TL11'!$B$3=M$3,SUMIF('TL11'!$C$10:$C$224,$C181,'TL11'!$J$10:$J$224),0),
IF('TL11'!$B$229=M$3,SUMIF('TL11'!$C$238:$C$451,$C181,'TL11'!$J$238:$J$451),0),
IF('TL12'!$B$3=M$3,SUMIF('TL12'!$C$10:$C$224,$C181,'TL12'!$J$10:$J$224),0),
IF('TL12'!$B$229=M$3,SUMIF('TL12'!$C$238:$C$451,$C181,'TL12'!$J$238:$J$451),0),
IF('TL13'!$B$3=M$3,SUMIF('TL13'!$C$10:$C$224,$C181,'TL13'!$J$10:$J$224),0),
IF('TL13'!$B$229=M$3,SUMIF('TL13'!$C$238:$C$451,$C181,'TL13'!$J$238:$J$451),0),
IF('TL14'!$B$3=M$3,SUMIF('TL14'!$C$10:$C$224,$C181,'TL14'!$J$10:$J$224),0),
IF('TL14'!$B$229=M$3,SUMIF('TL14'!$C$238:$C$451,$C181,'TL14'!$J$238:$J$451),0),
IF('TL15'!$B$3=M$3,SUMIF('TL15'!$C$10:$C$224,$C181,'TL15'!$J$10:$J$224),0),
IF('TL15'!$B$229=M$3,SUMIF('TL15'!$C$238:$C$451,$C181,'TL15'!$J$238:$J$451),0),
IF('TL16'!$B$3=M$3,SUMIF('TL16'!$C$10:$C$224,$C181,'TL16'!$J$10:$J$224),0),
IF('TL16'!$B$229=M$3,SUMIF('TL16'!$C$238:$C$451,$C181,'TL16'!$J$238:$J$451),0),
IF('TL17'!$B$3=M$3,SUMIF('TL17'!$C$10:$C$224,$C181,'TL17'!$J$10:$J$224),0),
IF('TL17'!$B$229=M$3,SUMIF('TL17'!$C$238:$C$451,$C181,'TL17'!$J$238:$J$451),0),
IF('TL18'!$B$3=M$3,SUMIF('TL18'!$C$10:$C$224,$C181,'TL18'!$J$10:$J$224),0),
IF('TL18'!$B$229=M$3,SUMIF('TL18'!$C$238:$C$451,$C181,'TL18'!$J$238:$J$451),0),
IF('TL19'!$B$3=M$3,SUMIF('TL19'!$C$10:$C$224,$C181,'TL19'!$J$10:$J$224),0),
IF('TL19'!$B$229=M$3,SUMIF('TL19'!$C$238:$C$451,$C181,'TL19'!$J$238:$J$451),0)
),0)</f>
        <v>0</v>
      </c>
      <c r="N181" s="9">
        <f>IFERROR(SUM(
IF('TL01'!$B$3=N$3,SUMIF('TL01'!$C$10:$C$224,$C181,'TL01'!$J$10:$J$224),0),
IF('TL01'!$B$229=N$3,SUMIF('TL01'!$C$238:$C$451,$C181,'TL01'!$J$238:$J$451),0),
IF('TL02'!$B$3=N$3,SUMIF('TL02'!$C$10:$C$224,$C181,'TL02'!$J$10:$J$224),0),
IF('TL02'!$B$229=N$3,SUMIF('TL02'!$C$238:$C$451,$C181,'TL02'!$J$238:$J$451),0),
IF('TL03'!$B$3=N$3,SUMIF('TL03'!$C$10:$C$224,$C181,'TL03'!$J$10:$J$224),0),
IF('TL03'!$B$229=N$3,SUMIF('TL03'!$C$238:$C$451,$C181,'TL03'!$J$238:$J$451),0),
IF('TL04'!$B$3=N$3,SUMIF('TL04'!$C$10:$C$224,$C181,'TL04'!$J$10:$J$224),0),
IF('TL04'!$B$229=N$3,SUMIF('TL04'!$C$238:$C$451,$C181,'TL04'!$J$238:$J$451),0),
IF('TL05'!$B$3=N$3,SUMIF('TL05'!$C$10:$C$224,$C181,'TL05'!$J$10:$J$224),0),
IF('TL05'!$B$229=N$3,SUMIF('TL05'!$C$238:$C$451,$C181,'TL05'!$J$238:$J$451),0),
IF('TL06'!$B$3=N$3,SUMIF('TL06'!$C$10:$C$224,$C181,'TL06'!$J$10:$J$224),0),
IF('TL06'!$B$229=N$3,SUMIF('TL06'!$C$238:$C$451,$C181,'TL06'!$J$238:$J$451),0),
IF('TL07'!$B$3=N$3,SUMIF('TL07'!$C$10:$C$224,$C181,'TL07'!$J$10:$J$224),0),
IF('TL07'!$B$229=N$3,SUMIF('TL07'!$C$238:$C$451,$C181,'TL07'!$J$238:$J$451),0),
IF('TL08'!$B$3=N$3,SUMIF('TL08'!$C$10:$C$224,$C181,'TL08'!$J$10:$J$224),0),
IF('TL08'!$B$229=N$3,SUMIF('TL08'!$C$238:$C$451,$C181,'TL08'!$J$238:$J$451),0),
IF('TL09'!$B$3=N$3,SUMIF('TL09'!$C$10:$C$224,$C181,'TL09'!$J$10:$J$224),0),
IF('TL09'!$B$229=N$3,SUMIF('TL09'!$C$238:$C$451,$C181,'TL09'!$J$238:$J$451),0),
IF('TL10'!$B$3=N$3,SUMIF('TL10'!$C$10:$C$224,$C181,'TL10'!$J$10:$J$224),0),
IF('TL10'!$B$229=N$3,SUMIF('TL10'!$C$238:$C$451,$C181,'TL10'!$J$238:$J$451),0),
IF('TL11'!$B$3=N$3,SUMIF('TL11'!$C$10:$C$224,$C181,'TL11'!$J$10:$J$224),0),
IF('TL11'!$B$229=N$3,SUMIF('TL11'!$C$238:$C$451,$C181,'TL11'!$J$238:$J$451),0),
IF('TL12'!$B$3=N$3,SUMIF('TL12'!$C$10:$C$224,$C181,'TL12'!$J$10:$J$224),0),
IF('TL12'!$B$229=N$3,SUMIF('TL12'!$C$238:$C$451,$C181,'TL12'!$J$238:$J$451),0),
IF('TL13'!$B$3=N$3,SUMIF('TL13'!$C$10:$C$224,$C181,'TL13'!$J$10:$J$224),0),
IF('TL13'!$B$229=N$3,SUMIF('TL13'!$C$238:$C$451,$C181,'TL13'!$J$238:$J$451),0),
IF('TL14'!$B$3=N$3,SUMIF('TL14'!$C$10:$C$224,$C181,'TL14'!$J$10:$J$224),0),
IF('TL14'!$B$229=N$3,SUMIF('TL14'!$C$238:$C$451,$C181,'TL14'!$J$238:$J$451),0),
IF('TL15'!$B$3=N$3,SUMIF('TL15'!$C$10:$C$224,$C181,'TL15'!$J$10:$J$224),0),
IF('TL15'!$B$229=N$3,SUMIF('TL15'!$C$238:$C$451,$C181,'TL15'!$J$238:$J$451),0),
IF('TL16'!$B$3=N$3,SUMIF('TL16'!$C$10:$C$224,$C181,'TL16'!$J$10:$J$224),0),
IF('TL16'!$B$229=N$3,SUMIF('TL16'!$C$238:$C$451,$C181,'TL16'!$J$238:$J$451),0),
IF('TL17'!$B$3=N$3,SUMIF('TL17'!$C$10:$C$224,$C181,'TL17'!$J$10:$J$224),0),
IF('TL17'!$B$229=N$3,SUMIF('TL17'!$C$238:$C$451,$C181,'TL17'!$J$238:$J$451),0),
IF('TL18'!$B$3=N$3,SUMIF('TL18'!$C$10:$C$224,$C181,'TL18'!$J$10:$J$224),0),
IF('TL18'!$B$229=N$3,SUMIF('TL18'!$C$238:$C$451,$C181,'TL18'!$J$238:$J$451),0),
IF('TL19'!$B$3=N$3,SUMIF('TL19'!$C$10:$C$224,$C181,'TL19'!$J$10:$J$224),0),
IF('TL19'!$B$229=N$3,SUMIF('TL19'!$C$238:$C$451,$C181,'TL19'!$J$238:$J$451),0)
),0)</f>
        <v>0</v>
      </c>
      <c r="O181" s="9">
        <f>IFERROR(SUM(
IF('TL01'!$B$3=O$3,SUMIF('TL01'!$C$10:$C$224,$C181,'TL01'!$J$10:$J$224),0),
IF('TL01'!$B$229=O$3,SUMIF('TL01'!$C$238:$C$451,$C181,'TL01'!$J$238:$J$451),0),
IF('TL02'!$B$3=O$3,SUMIF('TL02'!$C$10:$C$224,$C181,'TL02'!$J$10:$J$224),0),
IF('TL02'!$B$229=O$3,SUMIF('TL02'!$C$238:$C$451,$C181,'TL02'!$J$238:$J$451),0),
IF('TL03'!$B$3=O$3,SUMIF('TL03'!$C$10:$C$224,$C181,'TL03'!$J$10:$J$224),0),
IF('TL03'!$B$229=O$3,SUMIF('TL03'!$C$238:$C$451,$C181,'TL03'!$J$238:$J$451),0),
IF('TL04'!$B$3=O$3,SUMIF('TL04'!$C$10:$C$224,$C181,'TL04'!$J$10:$J$224),0),
IF('TL04'!$B$229=O$3,SUMIF('TL04'!$C$238:$C$451,$C181,'TL04'!$J$238:$J$451),0),
IF('TL05'!$B$3=O$3,SUMIF('TL05'!$C$10:$C$224,$C181,'TL05'!$J$10:$J$224),0),
IF('TL05'!$B$229=O$3,SUMIF('TL05'!$C$238:$C$451,$C181,'TL05'!$J$238:$J$451),0),
IF('TL06'!$B$3=O$3,SUMIF('TL06'!$C$10:$C$224,$C181,'TL06'!$J$10:$J$224),0),
IF('TL06'!$B$229=O$3,SUMIF('TL06'!$C$238:$C$451,$C181,'TL06'!$J$238:$J$451),0),
IF('TL07'!$B$3=O$3,SUMIF('TL07'!$C$10:$C$224,$C181,'TL07'!$J$10:$J$224),0),
IF('TL07'!$B$229=O$3,SUMIF('TL07'!$C$238:$C$451,$C181,'TL07'!$J$238:$J$451),0),
IF('TL08'!$B$3=O$3,SUMIF('TL08'!$C$10:$C$224,$C181,'TL08'!$J$10:$J$224),0),
IF('TL08'!$B$229=O$3,SUMIF('TL08'!$C$238:$C$451,$C181,'TL08'!$J$238:$J$451),0),
IF('TL09'!$B$3=O$3,SUMIF('TL09'!$C$10:$C$224,$C181,'TL09'!$J$10:$J$224),0),
IF('TL09'!$B$229=O$3,SUMIF('TL09'!$C$238:$C$451,$C181,'TL09'!$J$238:$J$451),0),
IF('TL10'!$B$3=O$3,SUMIF('TL10'!$C$10:$C$224,$C181,'TL10'!$J$10:$J$224),0),
IF('TL10'!$B$229=O$3,SUMIF('TL10'!$C$238:$C$451,$C181,'TL10'!$J$238:$J$451),0),
IF('TL11'!$B$3=O$3,SUMIF('TL11'!$C$10:$C$224,$C181,'TL11'!$J$10:$J$224),0),
IF('TL11'!$B$229=O$3,SUMIF('TL11'!$C$238:$C$451,$C181,'TL11'!$J$238:$J$451),0),
IF('TL12'!$B$3=O$3,SUMIF('TL12'!$C$10:$C$224,$C181,'TL12'!$J$10:$J$224),0),
IF('TL12'!$B$229=O$3,SUMIF('TL12'!$C$238:$C$451,$C181,'TL12'!$J$238:$J$451),0),
IF('TL13'!$B$3=O$3,SUMIF('TL13'!$C$10:$C$224,$C181,'TL13'!$J$10:$J$224),0),
IF('TL13'!$B$229=O$3,SUMIF('TL13'!$C$238:$C$451,$C181,'TL13'!$J$238:$J$451),0),
IF('TL14'!$B$3=O$3,SUMIF('TL14'!$C$10:$C$224,$C181,'TL14'!$J$10:$J$224),0),
IF('TL14'!$B$229=O$3,SUMIF('TL14'!$C$238:$C$451,$C181,'TL14'!$J$238:$J$451),0),
IF('TL15'!$B$3=O$3,SUMIF('TL15'!$C$10:$C$224,$C181,'TL15'!$J$10:$J$224),0),
IF('TL15'!$B$229=O$3,SUMIF('TL15'!$C$238:$C$451,$C181,'TL15'!$J$238:$J$451),0),
IF('TL16'!$B$3=O$3,SUMIF('TL16'!$C$10:$C$224,$C181,'TL16'!$J$10:$J$224),0),
IF('TL16'!$B$229=O$3,SUMIF('TL16'!$C$238:$C$451,$C181,'TL16'!$J$238:$J$451),0),
IF('TL17'!$B$3=O$3,SUMIF('TL17'!$C$10:$C$224,$C181,'TL17'!$J$10:$J$224),0),
IF('TL17'!$B$229=O$3,SUMIF('TL17'!$C$238:$C$451,$C181,'TL17'!$J$238:$J$451),0),
IF('TL18'!$B$3=O$3,SUMIF('TL18'!$C$10:$C$224,$C181,'TL18'!$J$10:$J$224),0),
IF('TL18'!$B$229=O$3,SUMIF('TL18'!$C$238:$C$451,$C181,'TL18'!$J$238:$J$451),0),
IF('TL19'!$B$3=O$3,SUMIF('TL19'!$C$10:$C$224,$C181,'TL19'!$J$10:$J$224),0),
IF('TL19'!$B$229=O$3,SUMIF('TL19'!$C$238:$C$451,$C181,'TL19'!$J$238:$J$451),0)
),0)</f>
        <v>0</v>
      </c>
      <c r="P181" s="9">
        <f>IFERROR(SUM(
IF('TL01'!$B$3=P$3,SUMIF('TL01'!$C$10:$C$224,$C181,'TL01'!$J$10:$J$224),0),
IF('TL01'!$B$229=P$3,SUMIF('TL01'!$C$238:$C$451,$C181,'TL01'!$J$238:$J$451),0),
IF('TL02'!$B$3=P$3,SUMIF('TL02'!$C$10:$C$224,$C181,'TL02'!$J$10:$J$224),0),
IF('TL02'!$B$229=P$3,SUMIF('TL02'!$C$238:$C$451,$C181,'TL02'!$J$238:$J$451),0),
IF('TL03'!$B$3=P$3,SUMIF('TL03'!$C$10:$C$224,$C181,'TL03'!$J$10:$J$224),0),
IF('TL03'!$B$229=P$3,SUMIF('TL03'!$C$238:$C$451,$C181,'TL03'!$J$238:$J$451),0),
IF('TL04'!$B$3=P$3,SUMIF('TL04'!$C$10:$C$224,$C181,'TL04'!$J$10:$J$224),0),
IF('TL04'!$B$229=P$3,SUMIF('TL04'!$C$238:$C$451,$C181,'TL04'!$J$238:$J$451),0),
IF('TL05'!$B$3=P$3,SUMIF('TL05'!$C$10:$C$224,$C181,'TL05'!$J$10:$J$224),0),
IF('TL05'!$B$229=P$3,SUMIF('TL05'!$C$238:$C$451,$C181,'TL05'!$J$238:$J$451),0),
IF('TL06'!$B$3=P$3,SUMIF('TL06'!$C$10:$C$224,$C181,'TL06'!$J$10:$J$224),0),
IF('TL06'!$B$229=P$3,SUMIF('TL06'!$C$238:$C$451,$C181,'TL06'!$J$238:$J$451),0),
IF('TL07'!$B$3=P$3,SUMIF('TL07'!$C$10:$C$224,$C181,'TL07'!$J$10:$J$224),0),
IF('TL07'!$B$229=P$3,SUMIF('TL07'!$C$238:$C$451,$C181,'TL07'!$J$238:$J$451),0),
IF('TL08'!$B$3=P$3,SUMIF('TL08'!$C$10:$C$224,$C181,'TL08'!$J$10:$J$224),0),
IF('TL08'!$B$229=P$3,SUMIF('TL08'!$C$238:$C$451,$C181,'TL08'!$J$238:$J$451),0),
IF('TL09'!$B$3=P$3,SUMIF('TL09'!$C$10:$C$224,$C181,'TL09'!$J$10:$J$224),0),
IF('TL09'!$B$229=P$3,SUMIF('TL09'!$C$238:$C$451,$C181,'TL09'!$J$238:$J$451),0),
IF('TL10'!$B$3=P$3,SUMIF('TL10'!$C$10:$C$224,$C181,'TL10'!$J$10:$J$224),0),
IF('TL10'!$B$229=P$3,SUMIF('TL10'!$C$238:$C$451,$C181,'TL10'!$J$238:$J$451),0),
IF('TL11'!$B$3=P$3,SUMIF('TL11'!$C$10:$C$224,$C181,'TL11'!$J$10:$J$224),0),
IF('TL11'!$B$229=P$3,SUMIF('TL11'!$C$238:$C$451,$C181,'TL11'!$J$238:$J$451),0),
IF('TL12'!$B$3=P$3,SUMIF('TL12'!$C$10:$C$224,$C181,'TL12'!$J$10:$J$224),0),
IF('TL12'!$B$229=P$3,SUMIF('TL12'!$C$238:$C$451,$C181,'TL12'!$J$238:$J$451),0),
IF('TL13'!$B$3=P$3,SUMIF('TL13'!$C$10:$C$224,$C181,'TL13'!$J$10:$J$224),0),
IF('TL13'!$B$229=P$3,SUMIF('TL13'!$C$238:$C$451,$C181,'TL13'!$J$238:$J$451),0),
IF('TL14'!$B$3=P$3,SUMIF('TL14'!$C$10:$C$224,$C181,'TL14'!$J$10:$J$224),0),
IF('TL14'!$B$229=P$3,SUMIF('TL14'!$C$238:$C$451,$C181,'TL14'!$J$238:$J$451),0),
IF('TL15'!$B$3=P$3,SUMIF('TL15'!$C$10:$C$224,$C181,'TL15'!$J$10:$J$224),0),
IF('TL15'!$B$229=P$3,SUMIF('TL15'!$C$238:$C$451,$C181,'TL15'!$J$238:$J$451),0),
IF('TL16'!$B$3=P$3,SUMIF('TL16'!$C$10:$C$224,$C181,'TL16'!$J$10:$J$224),0),
IF('TL16'!$B$229=P$3,SUMIF('TL16'!$C$238:$C$451,$C181,'TL16'!$J$238:$J$451),0),
IF('TL17'!$B$3=P$3,SUMIF('TL17'!$C$10:$C$224,$C181,'TL17'!$J$10:$J$224),0),
IF('TL17'!$B$229=P$3,SUMIF('TL17'!$C$238:$C$451,$C181,'TL17'!$J$238:$J$451),0),
IF('TL18'!$B$3=P$3,SUMIF('TL18'!$C$10:$C$224,$C181,'TL18'!$J$10:$J$224),0),
IF('TL18'!$B$229=P$3,SUMIF('TL18'!$C$238:$C$451,$C181,'TL18'!$J$238:$J$451),0),
IF('TL19'!$B$3=P$3,SUMIF('TL19'!$C$10:$C$224,$C181,'TL19'!$J$10:$J$224),0),
IF('TL19'!$B$229=P$3,SUMIF('TL19'!$C$238:$C$451,$C181,'TL19'!$J$238:$J$451),0)
),0)</f>
        <v>0</v>
      </c>
      <c r="Q181" s="9">
        <f>IFERROR(SUM(
IF('TL01'!$B$3=Q$3,SUMIF('TL01'!$C$10:$C$224,$C181,'TL01'!$J$10:$J$224),0),
IF('TL01'!$B$229=Q$3,SUMIF('TL01'!$C$238:$C$451,$C181,'TL01'!$J$238:$J$451),0),
IF('TL02'!$B$3=Q$3,SUMIF('TL02'!$C$10:$C$224,$C181,'TL02'!$J$10:$J$224),0),
IF('TL02'!$B$229=Q$3,SUMIF('TL02'!$C$238:$C$451,$C181,'TL02'!$J$238:$J$451),0),
IF('TL03'!$B$3=Q$3,SUMIF('TL03'!$C$10:$C$224,$C181,'TL03'!$J$10:$J$224),0),
IF('TL03'!$B$229=Q$3,SUMIF('TL03'!$C$238:$C$451,$C181,'TL03'!$J$238:$J$451),0),
IF('TL04'!$B$3=Q$3,SUMIF('TL04'!$C$10:$C$224,$C181,'TL04'!$J$10:$J$224),0),
IF('TL04'!$B$229=Q$3,SUMIF('TL04'!$C$238:$C$451,$C181,'TL04'!$J$238:$J$451),0),
IF('TL05'!$B$3=Q$3,SUMIF('TL05'!$C$10:$C$224,$C181,'TL05'!$J$10:$J$224),0),
IF('TL05'!$B$229=Q$3,SUMIF('TL05'!$C$238:$C$451,$C181,'TL05'!$J$238:$J$451),0),
IF('TL06'!$B$3=Q$3,SUMIF('TL06'!$C$10:$C$224,$C181,'TL06'!$J$10:$J$224),0),
IF('TL06'!$B$229=Q$3,SUMIF('TL06'!$C$238:$C$451,$C181,'TL06'!$J$238:$J$451),0),
IF('TL07'!$B$3=Q$3,SUMIF('TL07'!$C$10:$C$224,$C181,'TL07'!$J$10:$J$224),0),
IF('TL07'!$B$229=Q$3,SUMIF('TL07'!$C$238:$C$451,$C181,'TL07'!$J$238:$J$451),0),
IF('TL08'!$B$3=Q$3,SUMIF('TL08'!$C$10:$C$224,$C181,'TL08'!$J$10:$J$224),0),
IF('TL08'!$B$229=Q$3,SUMIF('TL08'!$C$238:$C$451,$C181,'TL08'!$J$238:$J$451),0),
IF('TL09'!$B$3=Q$3,SUMIF('TL09'!$C$10:$C$224,$C181,'TL09'!$J$10:$J$224),0),
IF('TL09'!$B$229=Q$3,SUMIF('TL09'!$C$238:$C$451,$C181,'TL09'!$J$238:$J$451),0),
IF('TL10'!$B$3=Q$3,SUMIF('TL10'!$C$10:$C$224,$C181,'TL10'!$J$10:$J$224),0),
IF('TL10'!$B$229=Q$3,SUMIF('TL10'!$C$238:$C$451,$C181,'TL10'!$J$238:$J$451),0),
IF('TL11'!$B$3=Q$3,SUMIF('TL11'!$C$10:$C$224,$C181,'TL11'!$J$10:$J$224),0),
IF('TL11'!$B$229=Q$3,SUMIF('TL11'!$C$238:$C$451,$C181,'TL11'!$J$238:$J$451),0),
IF('TL12'!$B$3=Q$3,SUMIF('TL12'!$C$10:$C$224,$C181,'TL12'!$J$10:$J$224),0),
IF('TL12'!$B$229=Q$3,SUMIF('TL12'!$C$238:$C$451,$C181,'TL12'!$J$238:$J$451),0),
IF('TL13'!$B$3=Q$3,SUMIF('TL13'!$C$10:$C$224,$C181,'TL13'!$J$10:$J$224),0),
IF('TL13'!$B$229=Q$3,SUMIF('TL13'!$C$238:$C$451,$C181,'TL13'!$J$238:$J$451),0),
IF('TL14'!$B$3=Q$3,SUMIF('TL14'!$C$10:$C$224,$C181,'TL14'!$J$10:$J$224),0),
IF('TL14'!$B$229=Q$3,SUMIF('TL14'!$C$238:$C$451,$C181,'TL14'!$J$238:$J$451),0),
IF('TL15'!$B$3=Q$3,SUMIF('TL15'!$C$10:$C$224,$C181,'TL15'!$J$10:$J$224),0),
IF('TL15'!$B$229=Q$3,SUMIF('TL15'!$C$238:$C$451,$C181,'TL15'!$J$238:$J$451),0),
IF('TL16'!$B$3=Q$3,SUMIF('TL16'!$C$10:$C$224,$C181,'TL16'!$J$10:$J$224),0),
IF('TL16'!$B$229=Q$3,SUMIF('TL16'!$C$238:$C$451,$C181,'TL16'!$J$238:$J$451),0),
IF('TL17'!$B$3=Q$3,SUMIF('TL17'!$C$10:$C$224,$C181,'TL17'!$J$10:$J$224),0),
IF('TL17'!$B$229=Q$3,SUMIF('TL17'!$C$238:$C$451,$C181,'TL17'!$J$238:$J$451),0),
IF('TL18'!$B$3=Q$3,SUMIF('TL18'!$C$10:$C$224,$C181,'TL18'!$J$10:$J$224),0),
IF('TL18'!$B$229=Q$3,SUMIF('TL18'!$C$238:$C$451,$C181,'TL18'!$J$238:$J$451),0),
IF('TL19'!$B$3=Q$3,SUMIF('TL19'!$C$10:$C$224,$C181,'TL19'!$J$10:$J$224),0),
IF('TL19'!$B$229=Q$3,SUMIF('TL19'!$C$238:$C$451,$C181,'TL19'!$J$238:$J$451),0)
),0)</f>
        <v>0</v>
      </c>
      <c r="R181" s="9">
        <f>IFERROR(
SUM(
SUMIF('TL01'!C:C,C181,'TL01'!J:J),
SUMIF('TL02'!C:C,C181,'TL02'!J:J),
SUMIF('TL03'!C:C,C181,'TL03'!J:J),
SUMIF('TL04'!C:C,C181,'TL04'!J:J),
SUMIF('TL05'!C:C,C181,'TL05'!J:J),
SUMIF('TL06'!C:C,C181,'TL06'!J:J),
SUMIF('TL07'!C:C,C181,'TL07'!J:J),
SUMIF('TL08'!C:C,C181,'TL08'!J:J),
SUMIF('TL09'!C:C,C181,'TL09'!J:J),
SUMIF('TL10'!C:C,C181,'TL10'!J:J),
SUMIF('TL11'!C:C,C181,'TL11'!J:J),
SUMIF('TL12'!C:C,C181,'TL12'!J:J),
SUMIF('TL13'!C:C,C181,'TL13'!J:J),
SUMIF('TL14'!C:C,C181,'TL14'!J:J),
SUMIF('TL15'!C:C,C181,'TL15'!J:J),
SUMIF('TL16'!C:C,C181,'TL16'!J:J),
SUMIF('TL17'!C:C,C181,'TL17'!J:J),
SUMIF('TL18'!C:C,C181,'TL18'!J:J),SUMIF('TL19'!C:C,C181,'TL19'!J:J))
,0)</f>
        <v>0</v>
      </c>
      <c r="S181" s="17">
        <f>IFERROR(__xludf.DUMMYFUNCTION("IFERROR(VLOOKUP(C181,
IMPORTRANGE(""1wULbzX32WdYsx-lj2U3uUNBBe2INVIRDtcK0d-Dvl90"",
""26-27!C:G""),
5,
FALSE),
"""")"),279.25275)</f>
        <v>279.25275</v>
      </c>
      <c r="T181" s="9"/>
      <c r="U181" s="92">
        <f t="shared" si="2"/>
        <v>0</v>
      </c>
      <c r="V181" s="93">
        <f t="shared" si="3"/>
        <v>0</v>
      </c>
    </row>
    <row r="182" ht="15.75" hidden="1" customHeight="1">
      <c r="A182" s="87" t="s">
        <v>350</v>
      </c>
      <c r="B182" s="88" t="s">
        <v>2</v>
      </c>
      <c r="C182" s="89" t="s">
        <v>773</v>
      </c>
      <c r="D182" s="89" t="s">
        <v>774</v>
      </c>
      <c r="E182" s="89">
        <v>125.0</v>
      </c>
      <c r="F182" s="4" t="s">
        <v>392</v>
      </c>
      <c r="G182" s="90" t="str">
        <f t="shared" si="4"/>
        <v>📄 Ver bula</v>
      </c>
      <c r="H182" s="9">
        <f>IFERROR(__xludf.DUMMYFUNCTION("IFERROR(VLOOKUP(C182,
IMPORTRANGE(""1wULbzX32WdYsx-lj2U3uUNBBe2INVIRDtcK0d-Dvl90"",
""26-27!C:K""),
8,
FALSE),
"""")"),0.1)</f>
        <v>0.1</v>
      </c>
      <c r="I182" s="91" t="s">
        <v>373</v>
      </c>
      <c r="J182" s="9">
        <f>IFERROR(SUM(
IF('TL01'!$B$3=J$3,SUMIF('TL01'!$C$10:$C$224,$C182,'TL01'!$J$10:$J$224),0),
IF('TL01'!$B$229=J$3,SUMIF('TL01'!$C$238:$C$451,$C182,'TL01'!$J$238:$J$451),0),
IF('TL02'!$B$3=J$3,SUMIF('TL02'!$C$10:$C$224,$C182,'TL02'!$J$10:$J$224),0),
IF('TL02'!$B$229=J$3,SUMIF('TL02'!$C$238:$C$451,$C182,'TL02'!$J$238:$J$451),0),
IF('TL03'!$B$3=J$3,SUMIF('TL03'!$C$10:$C$224,$C182,'TL03'!$J$10:$J$224),0),
IF('TL03'!$B$229=J$3,SUMIF('TL03'!$C$238:$C$451,$C182,'TL03'!$J$238:$J$451),0),
IF('TL04'!$B$3=J$3,SUMIF('TL04'!$C$10:$C$224,$C182,'TL04'!$J$10:$J$224),0),
IF('TL04'!$B$229=J$3,SUMIF('TL04'!$C$238:$C$451,$C182,'TL04'!$J$238:$J$451),0),
IF('TL05'!$B$3=J$3,SUMIF('TL05'!$C$10:$C$224,$C182,'TL05'!$J$10:$J$224),0),
IF('TL05'!$B$229=J$3,SUMIF('TL05'!$C$238:$C$451,$C182,'TL05'!$J$238:$J$451),0),
IF('TL06'!$B$3=J$3,SUMIF('TL06'!$C$10:$C$224,$C182,'TL06'!$J$10:$J$224),0),
IF('TL06'!$B$229=J$3,SUMIF('TL06'!$C$238:$C$451,$C182,'TL06'!$J$238:$J$451),0),
IF('TL07'!$B$3=J$3,SUMIF('TL07'!$C$10:$C$224,$C182,'TL07'!$J$10:$J$224),0),
IF('TL07'!$B$229=J$3,SUMIF('TL07'!$C$238:$C$451,$C182,'TL07'!$J$238:$J$451),0),
IF('TL08'!$B$3=J$3,SUMIF('TL08'!$C$10:$C$224,$C182,'TL08'!$J$10:$J$224),0),
IF('TL08'!$B$229=J$3,SUMIF('TL08'!$C$238:$C$451,$C182,'TL08'!$J$238:$J$451),0),
IF('TL09'!$B$3=J$3,SUMIF('TL09'!$C$10:$C$224,$C182,'TL09'!$J$10:$J$224),0),
IF('TL09'!$B$229=J$3,SUMIF('TL09'!$C$238:$C$451,$C182,'TL09'!$J$238:$J$451),0),
IF('TL10'!$B$3=J$3,SUMIF('TL10'!$C$10:$C$224,$C182,'TL10'!$J$10:$J$224),0),
IF('TL10'!$B$229=J$3,SUMIF('TL10'!$C$238:$C$451,$C182,'TL10'!$J$238:$J$451),0),
IF('TL11'!$B$3=J$3,SUMIF('TL11'!$C$10:$C$224,$C182,'TL11'!$J$10:$J$224),0),
IF('TL11'!$B$229=J$3,SUMIF('TL11'!$C$238:$C$451,$C182,'TL11'!$J$238:$J$451),0),
IF('TL12'!$B$3=J$3,SUMIF('TL12'!$C$10:$C$224,$C182,'TL12'!$J$10:$J$224),0),
IF('TL12'!$B$229=J$3,SUMIF('TL12'!$C$238:$C$451,$C182,'TL12'!$J$238:$J$451),0),
IF('TL13'!$B$3=J$3,SUMIF('TL13'!$C$10:$C$224,$C182,'TL13'!$J$10:$J$224),0),
IF('TL13'!$B$229=J$3,SUMIF('TL13'!$C$238:$C$451,$C182,'TL13'!$J$238:$J$451),0),
IF('TL14'!$B$3=J$3,SUMIF('TL14'!$C$10:$C$224,$C182,'TL14'!$J$10:$J$224),0),
IF('TL14'!$B$229=J$3,SUMIF('TL14'!$C$238:$C$451,$C182,'TL14'!$J$238:$J$451),0),
IF('TL15'!$B$3=J$3,SUMIF('TL15'!$C$10:$C$224,$C182,'TL15'!$J$10:$J$224),0),
IF('TL15'!$B$229=J$3,SUMIF('TL15'!$C$238:$C$451,$C182,'TL15'!$J$238:$J$451),0),
IF('TL16'!$B$3=J$3,SUMIF('TL16'!$C$10:$C$224,$C182,'TL16'!$J$10:$J$224),0),
IF('TL16'!$B$229=J$3,SUMIF('TL16'!$C$238:$C$451,$C182,'TL16'!$J$238:$J$451),0),
IF('TL17'!$B$3=J$3,SUMIF('TL17'!$C$10:$C$224,$C182,'TL17'!$J$10:$J$224),0),
IF('TL17'!$B$229=J$3,SUMIF('TL17'!$C$238:$C$451,$C182,'TL17'!$J$238:$J$451),0),
IF('TL18'!$B$3=J$3,SUMIF('TL18'!$C$10:$C$224,$C182,'TL18'!$J$10:$J$224),0),
IF('TL18'!$B$229=J$3,SUMIF('TL18'!$C$238:$C$451,$C182,'TL18'!$J$238:$J$451),0),
IF('TL19'!$B$3=J$3,SUMIF('TL19'!$C$10:$C$224,$C182,'TL19'!$J$10:$J$224),0),
IF('TL19'!$B$229=J$3,SUMIF('TL19'!$C$238:$C$451,$C182,'TL19'!$J$238:$J$451),0)
),0)</f>
        <v>0</v>
      </c>
      <c r="K182" s="9">
        <f>IFERROR(SUM(
IF('TL01'!$B$3=K$3,SUMIF('TL01'!$C$10:$C$224,$C182,'TL01'!$J$10:$J$224),0),
IF('TL01'!$B$229=K$3,SUMIF('TL01'!$C$238:$C$451,$C182,'TL01'!$J$238:$J$451),0),
IF('TL02'!$B$3=K$3,SUMIF('TL02'!$C$10:$C$224,$C182,'TL02'!$J$10:$J$224),0),
IF('TL02'!$B$229=K$3,SUMIF('TL02'!$C$238:$C$451,$C182,'TL02'!$J$238:$J$451),0),
IF('TL03'!$B$3=K$3,SUMIF('TL03'!$C$10:$C$224,$C182,'TL03'!$J$10:$J$224),0),
IF('TL03'!$B$229=K$3,SUMIF('TL03'!$C$238:$C$451,$C182,'TL03'!$J$238:$J$451),0),
IF('TL04'!$B$3=K$3,SUMIF('TL04'!$C$10:$C$224,$C182,'TL04'!$J$10:$J$224),0),
IF('TL04'!$B$229=K$3,SUMIF('TL04'!$C$238:$C$451,$C182,'TL04'!$J$238:$J$451),0),
IF('TL05'!$B$3=K$3,SUMIF('TL05'!$C$10:$C$224,$C182,'TL05'!$J$10:$J$224),0),
IF('TL05'!$B$229=K$3,SUMIF('TL05'!$C$238:$C$451,$C182,'TL05'!$J$238:$J$451),0),
IF('TL06'!$B$3=K$3,SUMIF('TL06'!$C$10:$C$224,$C182,'TL06'!$J$10:$J$224),0),
IF('TL06'!$B$229=K$3,SUMIF('TL06'!$C$238:$C$451,$C182,'TL06'!$J$238:$J$451),0),
IF('TL07'!$B$3=K$3,SUMIF('TL07'!$C$10:$C$224,$C182,'TL07'!$J$10:$J$224),0),
IF('TL07'!$B$229=K$3,SUMIF('TL07'!$C$238:$C$451,$C182,'TL07'!$J$238:$J$451),0),
IF('TL08'!$B$3=K$3,SUMIF('TL08'!$C$10:$C$224,$C182,'TL08'!$J$10:$J$224),0),
IF('TL08'!$B$229=K$3,SUMIF('TL08'!$C$238:$C$451,$C182,'TL08'!$J$238:$J$451),0),
IF('TL09'!$B$3=K$3,SUMIF('TL09'!$C$10:$C$224,$C182,'TL09'!$J$10:$J$224),0),
IF('TL09'!$B$229=K$3,SUMIF('TL09'!$C$238:$C$451,$C182,'TL09'!$J$238:$J$451),0),
IF('TL10'!$B$3=K$3,SUMIF('TL10'!$C$10:$C$224,$C182,'TL10'!$J$10:$J$224),0),
IF('TL10'!$B$229=K$3,SUMIF('TL10'!$C$238:$C$451,$C182,'TL10'!$J$238:$J$451),0),
IF('TL11'!$B$3=K$3,SUMIF('TL11'!$C$10:$C$224,$C182,'TL11'!$J$10:$J$224),0),
IF('TL11'!$B$229=K$3,SUMIF('TL11'!$C$238:$C$451,$C182,'TL11'!$J$238:$J$451),0),
IF('TL12'!$B$3=K$3,SUMIF('TL12'!$C$10:$C$224,$C182,'TL12'!$J$10:$J$224),0),
IF('TL12'!$B$229=K$3,SUMIF('TL12'!$C$238:$C$451,$C182,'TL12'!$J$238:$J$451),0),
IF('TL13'!$B$3=K$3,SUMIF('TL13'!$C$10:$C$224,$C182,'TL13'!$J$10:$J$224),0),
IF('TL13'!$B$229=K$3,SUMIF('TL13'!$C$238:$C$451,$C182,'TL13'!$J$238:$J$451),0),
IF('TL14'!$B$3=K$3,SUMIF('TL14'!$C$10:$C$224,$C182,'TL14'!$J$10:$J$224),0),
IF('TL14'!$B$229=K$3,SUMIF('TL14'!$C$238:$C$451,$C182,'TL14'!$J$238:$J$451),0),
IF('TL15'!$B$3=K$3,SUMIF('TL15'!$C$10:$C$224,$C182,'TL15'!$J$10:$J$224),0),
IF('TL15'!$B$229=K$3,SUMIF('TL15'!$C$238:$C$451,$C182,'TL15'!$J$238:$J$451),0),
IF('TL16'!$B$3=K$3,SUMIF('TL16'!$C$10:$C$224,$C182,'TL16'!$J$10:$J$224),0),
IF('TL16'!$B$229=K$3,SUMIF('TL16'!$C$238:$C$451,$C182,'TL16'!$J$238:$J$451),0),
IF('TL17'!$B$3=K$3,SUMIF('TL17'!$C$10:$C$224,$C182,'TL17'!$J$10:$J$224),0),
IF('TL17'!$B$229=K$3,SUMIF('TL17'!$C$238:$C$451,$C182,'TL17'!$J$238:$J$451),0),
IF('TL18'!$B$3=K$3,SUMIF('TL18'!$C$10:$C$224,$C182,'TL18'!$J$10:$J$224),0),
IF('TL18'!$B$229=K$3,SUMIF('TL18'!$C$238:$C$451,$C182,'TL18'!$J$238:$J$451),0),
IF('TL19'!$B$3=K$3,SUMIF('TL19'!$C$10:$C$224,$C182,'TL19'!$J$10:$J$224),0),
IF('TL19'!$B$229=K$3,SUMIF('TL19'!$C$238:$C$451,$C182,'TL19'!$J$238:$J$451),0)
),0)</f>
        <v>0</v>
      </c>
      <c r="L182" s="9">
        <f>IFERROR(SUM(
IF('TL01'!$B$3=L$3,SUMIF('TL01'!$C$10:$C$224,$C182,'TL01'!$J$10:$J$224),0),
IF('TL01'!$B$229=L$3,SUMIF('TL01'!$C$238:$C$451,$C182,'TL01'!$J$238:$J$451),0),
IF('TL02'!$B$3=L$3,SUMIF('TL02'!$C$10:$C$224,$C182,'TL02'!$J$10:$J$224),0),
IF('TL02'!$B$229=L$3,SUMIF('TL02'!$C$238:$C$451,$C182,'TL02'!$J$238:$J$451),0),
IF('TL03'!$B$3=L$3,SUMIF('TL03'!$C$10:$C$224,$C182,'TL03'!$J$10:$J$224),0),
IF('TL03'!$B$229=L$3,SUMIF('TL03'!$C$238:$C$451,$C182,'TL03'!$J$238:$J$451),0),
IF('TL04'!$B$3=L$3,SUMIF('TL04'!$C$10:$C$224,$C182,'TL04'!$J$10:$J$224),0),
IF('TL04'!$B$229=L$3,SUMIF('TL04'!$C$238:$C$451,$C182,'TL04'!$J$238:$J$451),0),
IF('TL05'!$B$3=L$3,SUMIF('TL05'!$C$10:$C$224,$C182,'TL05'!$J$10:$J$224),0),
IF('TL05'!$B$229=L$3,SUMIF('TL05'!$C$238:$C$451,$C182,'TL05'!$J$238:$J$451),0),
IF('TL06'!$B$3=L$3,SUMIF('TL06'!$C$10:$C$224,$C182,'TL06'!$J$10:$J$224),0),
IF('TL06'!$B$229=L$3,SUMIF('TL06'!$C$238:$C$451,$C182,'TL06'!$J$238:$J$451),0),
IF('TL07'!$B$3=L$3,SUMIF('TL07'!$C$10:$C$224,$C182,'TL07'!$J$10:$J$224),0),
IF('TL07'!$B$229=L$3,SUMIF('TL07'!$C$238:$C$451,$C182,'TL07'!$J$238:$J$451),0),
IF('TL08'!$B$3=L$3,SUMIF('TL08'!$C$10:$C$224,$C182,'TL08'!$J$10:$J$224),0),
IF('TL08'!$B$229=L$3,SUMIF('TL08'!$C$238:$C$451,$C182,'TL08'!$J$238:$J$451),0),
IF('TL09'!$B$3=L$3,SUMIF('TL09'!$C$10:$C$224,$C182,'TL09'!$J$10:$J$224),0),
IF('TL09'!$B$229=L$3,SUMIF('TL09'!$C$238:$C$451,$C182,'TL09'!$J$238:$J$451),0),
IF('TL10'!$B$3=L$3,SUMIF('TL10'!$C$10:$C$224,$C182,'TL10'!$J$10:$J$224),0),
IF('TL10'!$B$229=L$3,SUMIF('TL10'!$C$238:$C$451,$C182,'TL10'!$J$238:$J$451),0),
IF('TL11'!$B$3=L$3,SUMIF('TL11'!$C$10:$C$224,$C182,'TL11'!$J$10:$J$224),0),
IF('TL11'!$B$229=L$3,SUMIF('TL11'!$C$238:$C$451,$C182,'TL11'!$J$238:$J$451),0),
IF('TL12'!$B$3=L$3,SUMIF('TL12'!$C$10:$C$224,$C182,'TL12'!$J$10:$J$224),0),
IF('TL12'!$B$229=L$3,SUMIF('TL12'!$C$238:$C$451,$C182,'TL12'!$J$238:$J$451),0),
IF('TL13'!$B$3=L$3,SUMIF('TL13'!$C$10:$C$224,$C182,'TL13'!$J$10:$J$224),0),
IF('TL13'!$B$229=L$3,SUMIF('TL13'!$C$238:$C$451,$C182,'TL13'!$J$238:$J$451),0),
IF('TL14'!$B$3=L$3,SUMIF('TL14'!$C$10:$C$224,$C182,'TL14'!$J$10:$J$224),0),
IF('TL14'!$B$229=L$3,SUMIF('TL14'!$C$238:$C$451,$C182,'TL14'!$J$238:$J$451),0),
IF('TL15'!$B$3=L$3,SUMIF('TL15'!$C$10:$C$224,$C182,'TL15'!$J$10:$J$224),0),
IF('TL15'!$B$229=L$3,SUMIF('TL15'!$C$238:$C$451,$C182,'TL15'!$J$238:$J$451),0),
IF('TL16'!$B$3=L$3,SUMIF('TL16'!$C$10:$C$224,$C182,'TL16'!$J$10:$J$224),0),
IF('TL16'!$B$229=L$3,SUMIF('TL16'!$C$238:$C$451,$C182,'TL16'!$J$238:$J$451),0),
IF('TL17'!$B$3=L$3,SUMIF('TL17'!$C$10:$C$224,$C182,'TL17'!$J$10:$J$224),0),
IF('TL17'!$B$229=L$3,SUMIF('TL17'!$C$238:$C$451,$C182,'TL17'!$J$238:$J$451),0),
IF('TL18'!$B$3=L$3,SUMIF('TL18'!$C$10:$C$224,$C182,'TL18'!$J$10:$J$224),0),
IF('TL18'!$B$229=L$3,SUMIF('TL18'!$C$238:$C$451,$C182,'TL18'!$J$238:$J$451),0),
IF('TL19'!$B$3=L$3,SUMIF('TL19'!$C$10:$C$224,$C182,'TL19'!$J$10:$J$224),0),
IF('TL19'!$B$229=L$3,SUMIF('TL19'!$C$238:$C$451,$C182,'TL19'!$J$238:$J$451),0)
),0)</f>
        <v>0</v>
      </c>
      <c r="M182" s="9">
        <f>IFERROR(SUM(
IF('TL01'!$B$3=M$3,SUMIF('TL01'!$C$10:$C$224,$C182,'TL01'!$J$10:$J$224),0),
IF('TL01'!$B$229=M$3,SUMIF('TL01'!$C$238:$C$451,$C182,'TL01'!$J$238:$J$451),0),
IF('TL02'!$B$3=M$3,SUMIF('TL02'!$C$10:$C$224,$C182,'TL02'!$J$10:$J$224),0),
IF('TL02'!$B$229=M$3,SUMIF('TL02'!$C$238:$C$451,$C182,'TL02'!$J$238:$J$451),0),
IF('TL03'!$B$3=M$3,SUMIF('TL03'!$C$10:$C$224,$C182,'TL03'!$J$10:$J$224),0),
IF('TL03'!$B$229=M$3,SUMIF('TL03'!$C$238:$C$451,$C182,'TL03'!$J$238:$J$451),0),
IF('TL04'!$B$3=M$3,SUMIF('TL04'!$C$10:$C$224,$C182,'TL04'!$J$10:$J$224),0),
IF('TL04'!$B$229=M$3,SUMIF('TL04'!$C$238:$C$451,$C182,'TL04'!$J$238:$J$451),0),
IF('TL05'!$B$3=M$3,SUMIF('TL05'!$C$10:$C$224,$C182,'TL05'!$J$10:$J$224),0),
IF('TL05'!$B$229=M$3,SUMIF('TL05'!$C$238:$C$451,$C182,'TL05'!$J$238:$J$451),0),
IF('TL06'!$B$3=M$3,SUMIF('TL06'!$C$10:$C$224,$C182,'TL06'!$J$10:$J$224),0),
IF('TL06'!$B$229=M$3,SUMIF('TL06'!$C$238:$C$451,$C182,'TL06'!$J$238:$J$451),0),
IF('TL07'!$B$3=M$3,SUMIF('TL07'!$C$10:$C$224,$C182,'TL07'!$J$10:$J$224),0),
IF('TL07'!$B$229=M$3,SUMIF('TL07'!$C$238:$C$451,$C182,'TL07'!$J$238:$J$451),0),
IF('TL08'!$B$3=M$3,SUMIF('TL08'!$C$10:$C$224,$C182,'TL08'!$J$10:$J$224),0),
IF('TL08'!$B$229=M$3,SUMIF('TL08'!$C$238:$C$451,$C182,'TL08'!$J$238:$J$451),0),
IF('TL09'!$B$3=M$3,SUMIF('TL09'!$C$10:$C$224,$C182,'TL09'!$J$10:$J$224),0),
IF('TL09'!$B$229=M$3,SUMIF('TL09'!$C$238:$C$451,$C182,'TL09'!$J$238:$J$451),0),
IF('TL10'!$B$3=M$3,SUMIF('TL10'!$C$10:$C$224,$C182,'TL10'!$J$10:$J$224),0),
IF('TL10'!$B$229=M$3,SUMIF('TL10'!$C$238:$C$451,$C182,'TL10'!$J$238:$J$451),0),
IF('TL11'!$B$3=M$3,SUMIF('TL11'!$C$10:$C$224,$C182,'TL11'!$J$10:$J$224),0),
IF('TL11'!$B$229=M$3,SUMIF('TL11'!$C$238:$C$451,$C182,'TL11'!$J$238:$J$451),0),
IF('TL12'!$B$3=M$3,SUMIF('TL12'!$C$10:$C$224,$C182,'TL12'!$J$10:$J$224),0),
IF('TL12'!$B$229=M$3,SUMIF('TL12'!$C$238:$C$451,$C182,'TL12'!$J$238:$J$451),0),
IF('TL13'!$B$3=M$3,SUMIF('TL13'!$C$10:$C$224,$C182,'TL13'!$J$10:$J$224),0),
IF('TL13'!$B$229=M$3,SUMIF('TL13'!$C$238:$C$451,$C182,'TL13'!$J$238:$J$451),0),
IF('TL14'!$B$3=M$3,SUMIF('TL14'!$C$10:$C$224,$C182,'TL14'!$J$10:$J$224),0),
IF('TL14'!$B$229=M$3,SUMIF('TL14'!$C$238:$C$451,$C182,'TL14'!$J$238:$J$451),0),
IF('TL15'!$B$3=M$3,SUMIF('TL15'!$C$10:$C$224,$C182,'TL15'!$J$10:$J$224),0),
IF('TL15'!$B$229=M$3,SUMIF('TL15'!$C$238:$C$451,$C182,'TL15'!$J$238:$J$451),0),
IF('TL16'!$B$3=M$3,SUMIF('TL16'!$C$10:$C$224,$C182,'TL16'!$J$10:$J$224),0),
IF('TL16'!$B$229=M$3,SUMIF('TL16'!$C$238:$C$451,$C182,'TL16'!$J$238:$J$451),0),
IF('TL17'!$B$3=M$3,SUMIF('TL17'!$C$10:$C$224,$C182,'TL17'!$J$10:$J$224),0),
IF('TL17'!$B$229=M$3,SUMIF('TL17'!$C$238:$C$451,$C182,'TL17'!$J$238:$J$451),0),
IF('TL18'!$B$3=M$3,SUMIF('TL18'!$C$10:$C$224,$C182,'TL18'!$J$10:$J$224),0),
IF('TL18'!$B$229=M$3,SUMIF('TL18'!$C$238:$C$451,$C182,'TL18'!$J$238:$J$451),0),
IF('TL19'!$B$3=M$3,SUMIF('TL19'!$C$10:$C$224,$C182,'TL19'!$J$10:$J$224),0),
IF('TL19'!$B$229=M$3,SUMIF('TL19'!$C$238:$C$451,$C182,'TL19'!$J$238:$J$451),0)
),0)</f>
        <v>0</v>
      </c>
      <c r="N182" s="9">
        <f>IFERROR(SUM(
IF('TL01'!$B$3=N$3,SUMIF('TL01'!$C$10:$C$224,$C182,'TL01'!$J$10:$J$224),0),
IF('TL01'!$B$229=N$3,SUMIF('TL01'!$C$238:$C$451,$C182,'TL01'!$J$238:$J$451),0),
IF('TL02'!$B$3=N$3,SUMIF('TL02'!$C$10:$C$224,$C182,'TL02'!$J$10:$J$224),0),
IF('TL02'!$B$229=N$3,SUMIF('TL02'!$C$238:$C$451,$C182,'TL02'!$J$238:$J$451),0),
IF('TL03'!$B$3=N$3,SUMIF('TL03'!$C$10:$C$224,$C182,'TL03'!$J$10:$J$224),0),
IF('TL03'!$B$229=N$3,SUMIF('TL03'!$C$238:$C$451,$C182,'TL03'!$J$238:$J$451),0),
IF('TL04'!$B$3=N$3,SUMIF('TL04'!$C$10:$C$224,$C182,'TL04'!$J$10:$J$224),0),
IF('TL04'!$B$229=N$3,SUMIF('TL04'!$C$238:$C$451,$C182,'TL04'!$J$238:$J$451),0),
IF('TL05'!$B$3=N$3,SUMIF('TL05'!$C$10:$C$224,$C182,'TL05'!$J$10:$J$224),0),
IF('TL05'!$B$229=N$3,SUMIF('TL05'!$C$238:$C$451,$C182,'TL05'!$J$238:$J$451),0),
IF('TL06'!$B$3=N$3,SUMIF('TL06'!$C$10:$C$224,$C182,'TL06'!$J$10:$J$224),0),
IF('TL06'!$B$229=N$3,SUMIF('TL06'!$C$238:$C$451,$C182,'TL06'!$J$238:$J$451),0),
IF('TL07'!$B$3=N$3,SUMIF('TL07'!$C$10:$C$224,$C182,'TL07'!$J$10:$J$224),0),
IF('TL07'!$B$229=N$3,SUMIF('TL07'!$C$238:$C$451,$C182,'TL07'!$J$238:$J$451),0),
IF('TL08'!$B$3=N$3,SUMIF('TL08'!$C$10:$C$224,$C182,'TL08'!$J$10:$J$224),0),
IF('TL08'!$B$229=N$3,SUMIF('TL08'!$C$238:$C$451,$C182,'TL08'!$J$238:$J$451),0),
IF('TL09'!$B$3=N$3,SUMIF('TL09'!$C$10:$C$224,$C182,'TL09'!$J$10:$J$224),0),
IF('TL09'!$B$229=N$3,SUMIF('TL09'!$C$238:$C$451,$C182,'TL09'!$J$238:$J$451),0),
IF('TL10'!$B$3=N$3,SUMIF('TL10'!$C$10:$C$224,$C182,'TL10'!$J$10:$J$224),0),
IF('TL10'!$B$229=N$3,SUMIF('TL10'!$C$238:$C$451,$C182,'TL10'!$J$238:$J$451),0),
IF('TL11'!$B$3=N$3,SUMIF('TL11'!$C$10:$C$224,$C182,'TL11'!$J$10:$J$224),0),
IF('TL11'!$B$229=N$3,SUMIF('TL11'!$C$238:$C$451,$C182,'TL11'!$J$238:$J$451),0),
IF('TL12'!$B$3=N$3,SUMIF('TL12'!$C$10:$C$224,$C182,'TL12'!$J$10:$J$224),0),
IF('TL12'!$B$229=N$3,SUMIF('TL12'!$C$238:$C$451,$C182,'TL12'!$J$238:$J$451),0),
IF('TL13'!$B$3=N$3,SUMIF('TL13'!$C$10:$C$224,$C182,'TL13'!$J$10:$J$224),0),
IF('TL13'!$B$229=N$3,SUMIF('TL13'!$C$238:$C$451,$C182,'TL13'!$J$238:$J$451),0),
IF('TL14'!$B$3=N$3,SUMIF('TL14'!$C$10:$C$224,$C182,'TL14'!$J$10:$J$224),0),
IF('TL14'!$B$229=N$3,SUMIF('TL14'!$C$238:$C$451,$C182,'TL14'!$J$238:$J$451),0),
IF('TL15'!$B$3=N$3,SUMIF('TL15'!$C$10:$C$224,$C182,'TL15'!$J$10:$J$224),0),
IF('TL15'!$B$229=N$3,SUMIF('TL15'!$C$238:$C$451,$C182,'TL15'!$J$238:$J$451),0),
IF('TL16'!$B$3=N$3,SUMIF('TL16'!$C$10:$C$224,$C182,'TL16'!$J$10:$J$224),0),
IF('TL16'!$B$229=N$3,SUMIF('TL16'!$C$238:$C$451,$C182,'TL16'!$J$238:$J$451),0),
IF('TL17'!$B$3=N$3,SUMIF('TL17'!$C$10:$C$224,$C182,'TL17'!$J$10:$J$224),0),
IF('TL17'!$B$229=N$3,SUMIF('TL17'!$C$238:$C$451,$C182,'TL17'!$J$238:$J$451),0),
IF('TL18'!$B$3=N$3,SUMIF('TL18'!$C$10:$C$224,$C182,'TL18'!$J$10:$J$224),0),
IF('TL18'!$B$229=N$3,SUMIF('TL18'!$C$238:$C$451,$C182,'TL18'!$J$238:$J$451),0),
IF('TL19'!$B$3=N$3,SUMIF('TL19'!$C$10:$C$224,$C182,'TL19'!$J$10:$J$224),0),
IF('TL19'!$B$229=N$3,SUMIF('TL19'!$C$238:$C$451,$C182,'TL19'!$J$238:$J$451),0)
),0)</f>
        <v>0</v>
      </c>
      <c r="O182" s="9">
        <f>IFERROR(SUM(
IF('TL01'!$B$3=O$3,SUMIF('TL01'!$C$10:$C$224,$C182,'TL01'!$J$10:$J$224),0),
IF('TL01'!$B$229=O$3,SUMIF('TL01'!$C$238:$C$451,$C182,'TL01'!$J$238:$J$451),0),
IF('TL02'!$B$3=O$3,SUMIF('TL02'!$C$10:$C$224,$C182,'TL02'!$J$10:$J$224),0),
IF('TL02'!$B$229=O$3,SUMIF('TL02'!$C$238:$C$451,$C182,'TL02'!$J$238:$J$451),0),
IF('TL03'!$B$3=O$3,SUMIF('TL03'!$C$10:$C$224,$C182,'TL03'!$J$10:$J$224),0),
IF('TL03'!$B$229=O$3,SUMIF('TL03'!$C$238:$C$451,$C182,'TL03'!$J$238:$J$451),0),
IF('TL04'!$B$3=O$3,SUMIF('TL04'!$C$10:$C$224,$C182,'TL04'!$J$10:$J$224),0),
IF('TL04'!$B$229=O$3,SUMIF('TL04'!$C$238:$C$451,$C182,'TL04'!$J$238:$J$451),0),
IF('TL05'!$B$3=O$3,SUMIF('TL05'!$C$10:$C$224,$C182,'TL05'!$J$10:$J$224),0),
IF('TL05'!$B$229=O$3,SUMIF('TL05'!$C$238:$C$451,$C182,'TL05'!$J$238:$J$451),0),
IF('TL06'!$B$3=O$3,SUMIF('TL06'!$C$10:$C$224,$C182,'TL06'!$J$10:$J$224),0),
IF('TL06'!$B$229=O$3,SUMIF('TL06'!$C$238:$C$451,$C182,'TL06'!$J$238:$J$451),0),
IF('TL07'!$B$3=O$3,SUMIF('TL07'!$C$10:$C$224,$C182,'TL07'!$J$10:$J$224),0),
IF('TL07'!$B$229=O$3,SUMIF('TL07'!$C$238:$C$451,$C182,'TL07'!$J$238:$J$451),0),
IF('TL08'!$B$3=O$3,SUMIF('TL08'!$C$10:$C$224,$C182,'TL08'!$J$10:$J$224),0),
IF('TL08'!$B$229=O$3,SUMIF('TL08'!$C$238:$C$451,$C182,'TL08'!$J$238:$J$451),0),
IF('TL09'!$B$3=O$3,SUMIF('TL09'!$C$10:$C$224,$C182,'TL09'!$J$10:$J$224),0),
IF('TL09'!$B$229=O$3,SUMIF('TL09'!$C$238:$C$451,$C182,'TL09'!$J$238:$J$451),0),
IF('TL10'!$B$3=O$3,SUMIF('TL10'!$C$10:$C$224,$C182,'TL10'!$J$10:$J$224),0),
IF('TL10'!$B$229=O$3,SUMIF('TL10'!$C$238:$C$451,$C182,'TL10'!$J$238:$J$451),0),
IF('TL11'!$B$3=O$3,SUMIF('TL11'!$C$10:$C$224,$C182,'TL11'!$J$10:$J$224),0),
IF('TL11'!$B$229=O$3,SUMIF('TL11'!$C$238:$C$451,$C182,'TL11'!$J$238:$J$451),0),
IF('TL12'!$B$3=O$3,SUMIF('TL12'!$C$10:$C$224,$C182,'TL12'!$J$10:$J$224),0),
IF('TL12'!$B$229=O$3,SUMIF('TL12'!$C$238:$C$451,$C182,'TL12'!$J$238:$J$451),0),
IF('TL13'!$B$3=O$3,SUMIF('TL13'!$C$10:$C$224,$C182,'TL13'!$J$10:$J$224),0),
IF('TL13'!$B$229=O$3,SUMIF('TL13'!$C$238:$C$451,$C182,'TL13'!$J$238:$J$451),0),
IF('TL14'!$B$3=O$3,SUMIF('TL14'!$C$10:$C$224,$C182,'TL14'!$J$10:$J$224),0),
IF('TL14'!$B$229=O$3,SUMIF('TL14'!$C$238:$C$451,$C182,'TL14'!$J$238:$J$451),0),
IF('TL15'!$B$3=O$3,SUMIF('TL15'!$C$10:$C$224,$C182,'TL15'!$J$10:$J$224),0),
IF('TL15'!$B$229=O$3,SUMIF('TL15'!$C$238:$C$451,$C182,'TL15'!$J$238:$J$451),0),
IF('TL16'!$B$3=O$3,SUMIF('TL16'!$C$10:$C$224,$C182,'TL16'!$J$10:$J$224),0),
IF('TL16'!$B$229=O$3,SUMIF('TL16'!$C$238:$C$451,$C182,'TL16'!$J$238:$J$451),0),
IF('TL17'!$B$3=O$3,SUMIF('TL17'!$C$10:$C$224,$C182,'TL17'!$J$10:$J$224),0),
IF('TL17'!$B$229=O$3,SUMIF('TL17'!$C$238:$C$451,$C182,'TL17'!$J$238:$J$451),0),
IF('TL18'!$B$3=O$3,SUMIF('TL18'!$C$10:$C$224,$C182,'TL18'!$J$10:$J$224),0),
IF('TL18'!$B$229=O$3,SUMIF('TL18'!$C$238:$C$451,$C182,'TL18'!$J$238:$J$451),0),
IF('TL19'!$B$3=O$3,SUMIF('TL19'!$C$10:$C$224,$C182,'TL19'!$J$10:$J$224),0),
IF('TL19'!$B$229=O$3,SUMIF('TL19'!$C$238:$C$451,$C182,'TL19'!$J$238:$J$451),0)
),0)</f>
        <v>0</v>
      </c>
      <c r="P182" s="9">
        <f>IFERROR(SUM(
IF('TL01'!$B$3=P$3,SUMIF('TL01'!$C$10:$C$224,$C182,'TL01'!$J$10:$J$224),0),
IF('TL01'!$B$229=P$3,SUMIF('TL01'!$C$238:$C$451,$C182,'TL01'!$J$238:$J$451),0),
IF('TL02'!$B$3=P$3,SUMIF('TL02'!$C$10:$C$224,$C182,'TL02'!$J$10:$J$224),0),
IF('TL02'!$B$229=P$3,SUMIF('TL02'!$C$238:$C$451,$C182,'TL02'!$J$238:$J$451),0),
IF('TL03'!$B$3=P$3,SUMIF('TL03'!$C$10:$C$224,$C182,'TL03'!$J$10:$J$224),0),
IF('TL03'!$B$229=P$3,SUMIF('TL03'!$C$238:$C$451,$C182,'TL03'!$J$238:$J$451),0),
IF('TL04'!$B$3=P$3,SUMIF('TL04'!$C$10:$C$224,$C182,'TL04'!$J$10:$J$224),0),
IF('TL04'!$B$229=P$3,SUMIF('TL04'!$C$238:$C$451,$C182,'TL04'!$J$238:$J$451),0),
IF('TL05'!$B$3=P$3,SUMIF('TL05'!$C$10:$C$224,$C182,'TL05'!$J$10:$J$224),0),
IF('TL05'!$B$229=P$3,SUMIF('TL05'!$C$238:$C$451,$C182,'TL05'!$J$238:$J$451),0),
IF('TL06'!$B$3=P$3,SUMIF('TL06'!$C$10:$C$224,$C182,'TL06'!$J$10:$J$224),0),
IF('TL06'!$B$229=P$3,SUMIF('TL06'!$C$238:$C$451,$C182,'TL06'!$J$238:$J$451),0),
IF('TL07'!$B$3=P$3,SUMIF('TL07'!$C$10:$C$224,$C182,'TL07'!$J$10:$J$224),0),
IF('TL07'!$B$229=P$3,SUMIF('TL07'!$C$238:$C$451,$C182,'TL07'!$J$238:$J$451),0),
IF('TL08'!$B$3=P$3,SUMIF('TL08'!$C$10:$C$224,$C182,'TL08'!$J$10:$J$224),0),
IF('TL08'!$B$229=P$3,SUMIF('TL08'!$C$238:$C$451,$C182,'TL08'!$J$238:$J$451),0),
IF('TL09'!$B$3=P$3,SUMIF('TL09'!$C$10:$C$224,$C182,'TL09'!$J$10:$J$224),0),
IF('TL09'!$B$229=P$3,SUMIF('TL09'!$C$238:$C$451,$C182,'TL09'!$J$238:$J$451),0),
IF('TL10'!$B$3=P$3,SUMIF('TL10'!$C$10:$C$224,$C182,'TL10'!$J$10:$J$224),0),
IF('TL10'!$B$229=P$3,SUMIF('TL10'!$C$238:$C$451,$C182,'TL10'!$J$238:$J$451),0),
IF('TL11'!$B$3=P$3,SUMIF('TL11'!$C$10:$C$224,$C182,'TL11'!$J$10:$J$224),0),
IF('TL11'!$B$229=P$3,SUMIF('TL11'!$C$238:$C$451,$C182,'TL11'!$J$238:$J$451),0),
IF('TL12'!$B$3=P$3,SUMIF('TL12'!$C$10:$C$224,$C182,'TL12'!$J$10:$J$224),0),
IF('TL12'!$B$229=P$3,SUMIF('TL12'!$C$238:$C$451,$C182,'TL12'!$J$238:$J$451),0),
IF('TL13'!$B$3=P$3,SUMIF('TL13'!$C$10:$C$224,$C182,'TL13'!$J$10:$J$224),0),
IF('TL13'!$B$229=P$3,SUMIF('TL13'!$C$238:$C$451,$C182,'TL13'!$J$238:$J$451),0),
IF('TL14'!$B$3=P$3,SUMIF('TL14'!$C$10:$C$224,$C182,'TL14'!$J$10:$J$224),0),
IF('TL14'!$B$229=P$3,SUMIF('TL14'!$C$238:$C$451,$C182,'TL14'!$J$238:$J$451),0),
IF('TL15'!$B$3=P$3,SUMIF('TL15'!$C$10:$C$224,$C182,'TL15'!$J$10:$J$224),0),
IF('TL15'!$B$229=P$3,SUMIF('TL15'!$C$238:$C$451,$C182,'TL15'!$J$238:$J$451),0),
IF('TL16'!$B$3=P$3,SUMIF('TL16'!$C$10:$C$224,$C182,'TL16'!$J$10:$J$224),0),
IF('TL16'!$B$229=P$3,SUMIF('TL16'!$C$238:$C$451,$C182,'TL16'!$J$238:$J$451),0),
IF('TL17'!$B$3=P$3,SUMIF('TL17'!$C$10:$C$224,$C182,'TL17'!$J$10:$J$224),0),
IF('TL17'!$B$229=P$3,SUMIF('TL17'!$C$238:$C$451,$C182,'TL17'!$J$238:$J$451),0),
IF('TL18'!$B$3=P$3,SUMIF('TL18'!$C$10:$C$224,$C182,'TL18'!$J$10:$J$224),0),
IF('TL18'!$B$229=P$3,SUMIF('TL18'!$C$238:$C$451,$C182,'TL18'!$J$238:$J$451),0),
IF('TL19'!$B$3=P$3,SUMIF('TL19'!$C$10:$C$224,$C182,'TL19'!$J$10:$J$224),0),
IF('TL19'!$B$229=P$3,SUMIF('TL19'!$C$238:$C$451,$C182,'TL19'!$J$238:$J$451),0)
),0)</f>
        <v>0</v>
      </c>
      <c r="Q182" s="9">
        <f>IFERROR(SUM(
IF('TL01'!$B$3=Q$3,SUMIF('TL01'!$C$10:$C$224,$C182,'TL01'!$J$10:$J$224),0),
IF('TL01'!$B$229=Q$3,SUMIF('TL01'!$C$238:$C$451,$C182,'TL01'!$J$238:$J$451),0),
IF('TL02'!$B$3=Q$3,SUMIF('TL02'!$C$10:$C$224,$C182,'TL02'!$J$10:$J$224),0),
IF('TL02'!$B$229=Q$3,SUMIF('TL02'!$C$238:$C$451,$C182,'TL02'!$J$238:$J$451),0),
IF('TL03'!$B$3=Q$3,SUMIF('TL03'!$C$10:$C$224,$C182,'TL03'!$J$10:$J$224),0),
IF('TL03'!$B$229=Q$3,SUMIF('TL03'!$C$238:$C$451,$C182,'TL03'!$J$238:$J$451),0),
IF('TL04'!$B$3=Q$3,SUMIF('TL04'!$C$10:$C$224,$C182,'TL04'!$J$10:$J$224),0),
IF('TL04'!$B$229=Q$3,SUMIF('TL04'!$C$238:$C$451,$C182,'TL04'!$J$238:$J$451),0),
IF('TL05'!$B$3=Q$3,SUMIF('TL05'!$C$10:$C$224,$C182,'TL05'!$J$10:$J$224),0),
IF('TL05'!$B$229=Q$3,SUMIF('TL05'!$C$238:$C$451,$C182,'TL05'!$J$238:$J$451),0),
IF('TL06'!$B$3=Q$3,SUMIF('TL06'!$C$10:$C$224,$C182,'TL06'!$J$10:$J$224),0),
IF('TL06'!$B$229=Q$3,SUMIF('TL06'!$C$238:$C$451,$C182,'TL06'!$J$238:$J$451),0),
IF('TL07'!$B$3=Q$3,SUMIF('TL07'!$C$10:$C$224,$C182,'TL07'!$J$10:$J$224),0),
IF('TL07'!$B$229=Q$3,SUMIF('TL07'!$C$238:$C$451,$C182,'TL07'!$J$238:$J$451),0),
IF('TL08'!$B$3=Q$3,SUMIF('TL08'!$C$10:$C$224,$C182,'TL08'!$J$10:$J$224),0),
IF('TL08'!$B$229=Q$3,SUMIF('TL08'!$C$238:$C$451,$C182,'TL08'!$J$238:$J$451),0),
IF('TL09'!$B$3=Q$3,SUMIF('TL09'!$C$10:$C$224,$C182,'TL09'!$J$10:$J$224),0),
IF('TL09'!$B$229=Q$3,SUMIF('TL09'!$C$238:$C$451,$C182,'TL09'!$J$238:$J$451),0),
IF('TL10'!$B$3=Q$3,SUMIF('TL10'!$C$10:$C$224,$C182,'TL10'!$J$10:$J$224),0),
IF('TL10'!$B$229=Q$3,SUMIF('TL10'!$C$238:$C$451,$C182,'TL10'!$J$238:$J$451),0),
IF('TL11'!$B$3=Q$3,SUMIF('TL11'!$C$10:$C$224,$C182,'TL11'!$J$10:$J$224),0),
IF('TL11'!$B$229=Q$3,SUMIF('TL11'!$C$238:$C$451,$C182,'TL11'!$J$238:$J$451),0),
IF('TL12'!$B$3=Q$3,SUMIF('TL12'!$C$10:$C$224,$C182,'TL12'!$J$10:$J$224),0),
IF('TL12'!$B$229=Q$3,SUMIF('TL12'!$C$238:$C$451,$C182,'TL12'!$J$238:$J$451),0),
IF('TL13'!$B$3=Q$3,SUMIF('TL13'!$C$10:$C$224,$C182,'TL13'!$J$10:$J$224),0),
IF('TL13'!$B$229=Q$3,SUMIF('TL13'!$C$238:$C$451,$C182,'TL13'!$J$238:$J$451),0),
IF('TL14'!$B$3=Q$3,SUMIF('TL14'!$C$10:$C$224,$C182,'TL14'!$J$10:$J$224),0),
IF('TL14'!$B$229=Q$3,SUMIF('TL14'!$C$238:$C$451,$C182,'TL14'!$J$238:$J$451),0),
IF('TL15'!$B$3=Q$3,SUMIF('TL15'!$C$10:$C$224,$C182,'TL15'!$J$10:$J$224),0),
IF('TL15'!$B$229=Q$3,SUMIF('TL15'!$C$238:$C$451,$C182,'TL15'!$J$238:$J$451),0),
IF('TL16'!$B$3=Q$3,SUMIF('TL16'!$C$10:$C$224,$C182,'TL16'!$J$10:$J$224),0),
IF('TL16'!$B$229=Q$3,SUMIF('TL16'!$C$238:$C$451,$C182,'TL16'!$J$238:$J$451),0),
IF('TL17'!$B$3=Q$3,SUMIF('TL17'!$C$10:$C$224,$C182,'TL17'!$J$10:$J$224),0),
IF('TL17'!$B$229=Q$3,SUMIF('TL17'!$C$238:$C$451,$C182,'TL17'!$J$238:$J$451),0),
IF('TL18'!$B$3=Q$3,SUMIF('TL18'!$C$10:$C$224,$C182,'TL18'!$J$10:$J$224),0),
IF('TL18'!$B$229=Q$3,SUMIF('TL18'!$C$238:$C$451,$C182,'TL18'!$J$238:$J$451),0),
IF('TL19'!$B$3=Q$3,SUMIF('TL19'!$C$10:$C$224,$C182,'TL19'!$J$10:$J$224),0),
IF('TL19'!$B$229=Q$3,SUMIF('TL19'!$C$238:$C$451,$C182,'TL19'!$J$238:$J$451),0)
),0)</f>
        <v>0</v>
      </c>
      <c r="R182" s="9">
        <f>IFERROR(
SUM(
SUMIF('TL01'!C:C,C182,'TL01'!J:J),
SUMIF('TL02'!C:C,C182,'TL02'!J:J),
SUMIF('TL03'!C:C,C182,'TL03'!J:J),
SUMIF('TL04'!C:C,C182,'TL04'!J:J),
SUMIF('TL05'!C:C,C182,'TL05'!J:J),
SUMIF('TL06'!C:C,C182,'TL06'!J:J),
SUMIF('TL07'!C:C,C182,'TL07'!J:J),
SUMIF('TL08'!C:C,C182,'TL08'!J:J),
SUMIF('TL09'!C:C,C182,'TL09'!J:J),
SUMIF('TL10'!C:C,C182,'TL10'!J:J),
SUMIF('TL11'!C:C,C182,'TL11'!J:J),
SUMIF('TL12'!C:C,C182,'TL12'!J:J),
SUMIF('TL13'!C:C,C182,'TL13'!J:J),
SUMIF('TL14'!C:C,C182,'TL14'!J:J),
SUMIF('TL15'!C:C,C182,'TL15'!J:J),
SUMIF('TL16'!C:C,C182,'TL16'!J:J),
SUMIF('TL17'!C:C,C182,'TL17'!J:J),
SUMIF('TL18'!C:C,C182,'TL18'!J:J),SUMIF('TL19'!C:C,C182,'TL19'!J:J))
,0)</f>
        <v>0</v>
      </c>
      <c r="S182" s="17">
        <f>IFERROR(__xludf.DUMMYFUNCTION("IFERROR(VLOOKUP(C182,
IMPORTRANGE(""1wULbzX32WdYsx-lj2U3uUNBBe2INVIRDtcK0d-Dvl90"",
""26-27!C:G""),
5,
FALSE),
"""")"),90.17729999999999)</f>
        <v>90.1773</v>
      </c>
      <c r="T182" s="9"/>
      <c r="U182" s="92">
        <f t="shared" si="2"/>
        <v>0</v>
      </c>
      <c r="V182" s="93">
        <f t="shared" si="3"/>
        <v>0</v>
      </c>
    </row>
    <row r="183" ht="15.75" hidden="1" customHeight="1">
      <c r="A183" s="94" t="s">
        <v>350</v>
      </c>
      <c r="B183" s="95" t="s">
        <v>2</v>
      </c>
      <c r="C183" s="96" t="s">
        <v>775</v>
      </c>
      <c r="D183" s="96" t="s">
        <v>776</v>
      </c>
      <c r="E183" s="96">
        <v>480.0</v>
      </c>
      <c r="F183" s="4" t="s">
        <v>343</v>
      </c>
      <c r="G183" s="90" t="str">
        <f t="shared" si="4"/>
        <v>📄 Ver bula</v>
      </c>
      <c r="H183" s="9">
        <f>IFERROR(__xludf.DUMMYFUNCTION("IFERROR(VLOOKUP(C183,
IMPORTRANGE(""1wULbzX32WdYsx-lj2U3uUNBBe2INVIRDtcK0d-Dvl90"",
""26-27!C:K""),
8,
FALSE),
"""")"),0.2)</f>
        <v>0.2</v>
      </c>
      <c r="I183" s="97" t="s">
        <v>361</v>
      </c>
      <c r="J183" s="9">
        <f>IFERROR(SUM(
IF('TL01'!$B$3=J$3,SUMIF('TL01'!$C$10:$C$224,$C183,'TL01'!$J$10:$J$224),0),
IF('TL01'!$B$229=J$3,SUMIF('TL01'!$C$238:$C$451,$C183,'TL01'!$J$238:$J$451),0),
IF('TL02'!$B$3=J$3,SUMIF('TL02'!$C$10:$C$224,$C183,'TL02'!$J$10:$J$224),0),
IF('TL02'!$B$229=J$3,SUMIF('TL02'!$C$238:$C$451,$C183,'TL02'!$J$238:$J$451),0),
IF('TL03'!$B$3=J$3,SUMIF('TL03'!$C$10:$C$224,$C183,'TL03'!$J$10:$J$224),0),
IF('TL03'!$B$229=J$3,SUMIF('TL03'!$C$238:$C$451,$C183,'TL03'!$J$238:$J$451),0),
IF('TL04'!$B$3=J$3,SUMIF('TL04'!$C$10:$C$224,$C183,'TL04'!$J$10:$J$224),0),
IF('TL04'!$B$229=J$3,SUMIF('TL04'!$C$238:$C$451,$C183,'TL04'!$J$238:$J$451),0),
IF('TL05'!$B$3=J$3,SUMIF('TL05'!$C$10:$C$224,$C183,'TL05'!$J$10:$J$224),0),
IF('TL05'!$B$229=J$3,SUMIF('TL05'!$C$238:$C$451,$C183,'TL05'!$J$238:$J$451),0),
IF('TL06'!$B$3=J$3,SUMIF('TL06'!$C$10:$C$224,$C183,'TL06'!$J$10:$J$224),0),
IF('TL06'!$B$229=J$3,SUMIF('TL06'!$C$238:$C$451,$C183,'TL06'!$J$238:$J$451),0),
IF('TL07'!$B$3=J$3,SUMIF('TL07'!$C$10:$C$224,$C183,'TL07'!$J$10:$J$224),0),
IF('TL07'!$B$229=J$3,SUMIF('TL07'!$C$238:$C$451,$C183,'TL07'!$J$238:$J$451),0),
IF('TL08'!$B$3=J$3,SUMIF('TL08'!$C$10:$C$224,$C183,'TL08'!$J$10:$J$224),0),
IF('TL08'!$B$229=J$3,SUMIF('TL08'!$C$238:$C$451,$C183,'TL08'!$J$238:$J$451),0),
IF('TL09'!$B$3=J$3,SUMIF('TL09'!$C$10:$C$224,$C183,'TL09'!$J$10:$J$224),0),
IF('TL09'!$B$229=J$3,SUMIF('TL09'!$C$238:$C$451,$C183,'TL09'!$J$238:$J$451),0),
IF('TL10'!$B$3=J$3,SUMIF('TL10'!$C$10:$C$224,$C183,'TL10'!$J$10:$J$224),0),
IF('TL10'!$B$229=J$3,SUMIF('TL10'!$C$238:$C$451,$C183,'TL10'!$J$238:$J$451),0),
IF('TL11'!$B$3=J$3,SUMIF('TL11'!$C$10:$C$224,$C183,'TL11'!$J$10:$J$224),0),
IF('TL11'!$B$229=J$3,SUMIF('TL11'!$C$238:$C$451,$C183,'TL11'!$J$238:$J$451),0),
IF('TL12'!$B$3=J$3,SUMIF('TL12'!$C$10:$C$224,$C183,'TL12'!$J$10:$J$224),0),
IF('TL12'!$B$229=J$3,SUMIF('TL12'!$C$238:$C$451,$C183,'TL12'!$J$238:$J$451),0),
IF('TL13'!$B$3=J$3,SUMIF('TL13'!$C$10:$C$224,$C183,'TL13'!$J$10:$J$224),0),
IF('TL13'!$B$229=J$3,SUMIF('TL13'!$C$238:$C$451,$C183,'TL13'!$J$238:$J$451),0),
IF('TL14'!$B$3=J$3,SUMIF('TL14'!$C$10:$C$224,$C183,'TL14'!$J$10:$J$224),0),
IF('TL14'!$B$229=J$3,SUMIF('TL14'!$C$238:$C$451,$C183,'TL14'!$J$238:$J$451),0),
IF('TL15'!$B$3=J$3,SUMIF('TL15'!$C$10:$C$224,$C183,'TL15'!$J$10:$J$224),0),
IF('TL15'!$B$229=J$3,SUMIF('TL15'!$C$238:$C$451,$C183,'TL15'!$J$238:$J$451),0),
IF('TL16'!$B$3=J$3,SUMIF('TL16'!$C$10:$C$224,$C183,'TL16'!$J$10:$J$224),0),
IF('TL16'!$B$229=J$3,SUMIF('TL16'!$C$238:$C$451,$C183,'TL16'!$J$238:$J$451),0),
IF('TL17'!$B$3=J$3,SUMIF('TL17'!$C$10:$C$224,$C183,'TL17'!$J$10:$J$224),0),
IF('TL17'!$B$229=J$3,SUMIF('TL17'!$C$238:$C$451,$C183,'TL17'!$J$238:$J$451),0),
IF('TL18'!$B$3=J$3,SUMIF('TL18'!$C$10:$C$224,$C183,'TL18'!$J$10:$J$224),0),
IF('TL18'!$B$229=J$3,SUMIF('TL18'!$C$238:$C$451,$C183,'TL18'!$J$238:$J$451),0),
IF('TL19'!$B$3=J$3,SUMIF('TL19'!$C$10:$C$224,$C183,'TL19'!$J$10:$J$224),0),
IF('TL19'!$B$229=J$3,SUMIF('TL19'!$C$238:$C$451,$C183,'TL19'!$J$238:$J$451),0)
),0)</f>
        <v>0</v>
      </c>
      <c r="K183" s="9">
        <f>IFERROR(SUM(
IF('TL01'!$B$3=K$3,SUMIF('TL01'!$C$10:$C$224,$C183,'TL01'!$J$10:$J$224),0),
IF('TL01'!$B$229=K$3,SUMIF('TL01'!$C$238:$C$451,$C183,'TL01'!$J$238:$J$451),0),
IF('TL02'!$B$3=K$3,SUMIF('TL02'!$C$10:$C$224,$C183,'TL02'!$J$10:$J$224),0),
IF('TL02'!$B$229=K$3,SUMIF('TL02'!$C$238:$C$451,$C183,'TL02'!$J$238:$J$451),0),
IF('TL03'!$B$3=K$3,SUMIF('TL03'!$C$10:$C$224,$C183,'TL03'!$J$10:$J$224),0),
IF('TL03'!$B$229=K$3,SUMIF('TL03'!$C$238:$C$451,$C183,'TL03'!$J$238:$J$451),0),
IF('TL04'!$B$3=K$3,SUMIF('TL04'!$C$10:$C$224,$C183,'TL04'!$J$10:$J$224),0),
IF('TL04'!$B$229=K$3,SUMIF('TL04'!$C$238:$C$451,$C183,'TL04'!$J$238:$J$451),0),
IF('TL05'!$B$3=K$3,SUMIF('TL05'!$C$10:$C$224,$C183,'TL05'!$J$10:$J$224),0),
IF('TL05'!$B$229=K$3,SUMIF('TL05'!$C$238:$C$451,$C183,'TL05'!$J$238:$J$451),0),
IF('TL06'!$B$3=K$3,SUMIF('TL06'!$C$10:$C$224,$C183,'TL06'!$J$10:$J$224),0),
IF('TL06'!$B$229=K$3,SUMIF('TL06'!$C$238:$C$451,$C183,'TL06'!$J$238:$J$451),0),
IF('TL07'!$B$3=K$3,SUMIF('TL07'!$C$10:$C$224,$C183,'TL07'!$J$10:$J$224),0),
IF('TL07'!$B$229=K$3,SUMIF('TL07'!$C$238:$C$451,$C183,'TL07'!$J$238:$J$451),0),
IF('TL08'!$B$3=K$3,SUMIF('TL08'!$C$10:$C$224,$C183,'TL08'!$J$10:$J$224),0),
IF('TL08'!$B$229=K$3,SUMIF('TL08'!$C$238:$C$451,$C183,'TL08'!$J$238:$J$451),0),
IF('TL09'!$B$3=K$3,SUMIF('TL09'!$C$10:$C$224,$C183,'TL09'!$J$10:$J$224),0),
IF('TL09'!$B$229=K$3,SUMIF('TL09'!$C$238:$C$451,$C183,'TL09'!$J$238:$J$451),0),
IF('TL10'!$B$3=K$3,SUMIF('TL10'!$C$10:$C$224,$C183,'TL10'!$J$10:$J$224),0),
IF('TL10'!$B$229=K$3,SUMIF('TL10'!$C$238:$C$451,$C183,'TL10'!$J$238:$J$451),0),
IF('TL11'!$B$3=K$3,SUMIF('TL11'!$C$10:$C$224,$C183,'TL11'!$J$10:$J$224),0),
IF('TL11'!$B$229=K$3,SUMIF('TL11'!$C$238:$C$451,$C183,'TL11'!$J$238:$J$451),0),
IF('TL12'!$B$3=K$3,SUMIF('TL12'!$C$10:$C$224,$C183,'TL12'!$J$10:$J$224),0),
IF('TL12'!$B$229=K$3,SUMIF('TL12'!$C$238:$C$451,$C183,'TL12'!$J$238:$J$451),0),
IF('TL13'!$B$3=K$3,SUMIF('TL13'!$C$10:$C$224,$C183,'TL13'!$J$10:$J$224),0),
IF('TL13'!$B$229=K$3,SUMIF('TL13'!$C$238:$C$451,$C183,'TL13'!$J$238:$J$451),0),
IF('TL14'!$B$3=K$3,SUMIF('TL14'!$C$10:$C$224,$C183,'TL14'!$J$10:$J$224),0),
IF('TL14'!$B$229=K$3,SUMIF('TL14'!$C$238:$C$451,$C183,'TL14'!$J$238:$J$451),0),
IF('TL15'!$B$3=K$3,SUMIF('TL15'!$C$10:$C$224,$C183,'TL15'!$J$10:$J$224),0),
IF('TL15'!$B$229=K$3,SUMIF('TL15'!$C$238:$C$451,$C183,'TL15'!$J$238:$J$451),0),
IF('TL16'!$B$3=K$3,SUMIF('TL16'!$C$10:$C$224,$C183,'TL16'!$J$10:$J$224),0),
IF('TL16'!$B$229=K$3,SUMIF('TL16'!$C$238:$C$451,$C183,'TL16'!$J$238:$J$451),0),
IF('TL17'!$B$3=K$3,SUMIF('TL17'!$C$10:$C$224,$C183,'TL17'!$J$10:$J$224),0),
IF('TL17'!$B$229=K$3,SUMIF('TL17'!$C$238:$C$451,$C183,'TL17'!$J$238:$J$451),0),
IF('TL18'!$B$3=K$3,SUMIF('TL18'!$C$10:$C$224,$C183,'TL18'!$J$10:$J$224),0),
IF('TL18'!$B$229=K$3,SUMIF('TL18'!$C$238:$C$451,$C183,'TL18'!$J$238:$J$451),0),
IF('TL19'!$B$3=K$3,SUMIF('TL19'!$C$10:$C$224,$C183,'TL19'!$J$10:$J$224),0),
IF('TL19'!$B$229=K$3,SUMIF('TL19'!$C$238:$C$451,$C183,'TL19'!$J$238:$J$451),0)
),0)</f>
        <v>0</v>
      </c>
      <c r="L183" s="9">
        <f>IFERROR(SUM(
IF('TL01'!$B$3=L$3,SUMIF('TL01'!$C$10:$C$224,$C183,'TL01'!$J$10:$J$224),0),
IF('TL01'!$B$229=L$3,SUMIF('TL01'!$C$238:$C$451,$C183,'TL01'!$J$238:$J$451),0),
IF('TL02'!$B$3=L$3,SUMIF('TL02'!$C$10:$C$224,$C183,'TL02'!$J$10:$J$224),0),
IF('TL02'!$B$229=L$3,SUMIF('TL02'!$C$238:$C$451,$C183,'TL02'!$J$238:$J$451),0),
IF('TL03'!$B$3=L$3,SUMIF('TL03'!$C$10:$C$224,$C183,'TL03'!$J$10:$J$224),0),
IF('TL03'!$B$229=L$3,SUMIF('TL03'!$C$238:$C$451,$C183,'TL03'!$J$238:$J$451),0),
IF('TL04'!$B$3=L$3,SUMIF('TL04'!$C$10:$C$224,$C183,'TL04'!$J$10:$J$224),0),
IF('TL04'!$B$229=L$3,SUMIF('TL04'!$C$238:$C$451,$C183,'TL04'!$J$238:$J$451),0),
IF('TL05'!$B$3=L$3,SUMIF('TL05'!$C$10:$C$224,$C183,'TL05'!$J$10:$J$224),0),
IF('TL05'!$B$229=L$3,SUMIF('TL05'!$C$238:$C$451,$C183,'TL05'!$J$238:$J$451),0),
IF('TL06'!$B$3=L$3,SUMIF('TL06'!$C$10:$C$224,$C183,'TL06'!$J$10:$J$224),0),
IF('TL06'!$B$229=L$3,SUMIF('TL06'!$C$238:$C$451,$C183,'TL06'!$J$238:$J$451),0),
IF('TL07'!$B$3=L$3,SUMIF('TL07'!$C$10:$C$224,$C183,'TL07'!$J$10:$J$224),0),
IF('TL07'!$B$229=L$3,SUMIF('TL07'!$C$238:$C$451,$C183,'TL07'!$J$238:$J$451),0),
IF('TL08'!$B$3=L$3,SUMIF('TL08'!$C$10:$C$224,$C183,'TL08'!$J$10:$J$224),0),
IF('TL08'!$B$229=L$3,SUMIF('TL08'!$C$238:$C$451,$C183,'TL08'!$J$238:$J$451),0),
IF('TL09'!$B$3=L$3,SUMIF('TL09'!$C$10:$C$224,$C183,'TL09'!$J$10:$J$224),0),
IF('TL09'!$B$229=L$3,SUMIF('TL09'!$C$238:$C$451,$C183,'TL09'!$J$238:$J$451),0),
IF('TL10'!$B$3=L$3,SUMIF('TL10'!$C$10:$C$224,$C183,'TL10'!$J$10:$J$224),0),
IF('TL10'!$B$229=L$3,SUMIF('TL10'!$C$238:$C$451,$C183,'TL10'!$J$238:$J$451),0),
IF('TL11'!$B$3=L$3,SUMIF('TL11'!$C$10:$C$224,$C183,'TL11'!$J$10:$J$224),0),
IF('TL11'!$B$229=L$3,SUMIF('TL11'!$C$238:$C$451,$C183,'TL11'!$J$238:$J$451),0),
IF('TL12'!$B$3=L$3,SUMIF('TL12'!$C$10:$C$224,$C183,'TL12'!$J$10:$J$224),0),
IF('TL12'!$B$229=L$3,SUMIF('TL12'!$C$238:$C$451,$C183,'TL12'!$J$238:$J$451),0),
IF('TL13'!$B$3=L$3,SUMIF('TL13'!$C$10:$C$224,$C183,'TL13'!$J$10:$J$224),0),
IF('TL13'!$B$229=L$3,SUMIF('TL13'!$C$238:$C$451,$C183,'TL13'!$J$238:$J$451),0),
IF('TL14'!$B$3=L$3,SUMIF('TL14'!$C$10:$C$224,$C183,'TL14'!$J$10:$J$224),0),
IF('TL14'!$B$229=L$3,SUMIF('TL14'!$C$238:$C$451,$C183,'TL14'!$J$238:$J$451),0),
IF('TL15'!$B$3=L$3,SUMIF('TL15'!$C$10:$C$224,$C183,'TL15'!$J$10:$J$224),0),
IF('TL15'!$B$229=L$3,SUMIF('TL15'!$C$238:$C$451,$C183,'TL15'!$J$238:$J$451),0),
IF('TL16'!$B$3=L$3,SUMIF('TL16'!$C$10:$C$224,$C183,'TL16'!$J$10:$J$224),0),
IF('TL16'!$B$229=L$3,SUMIF('TL16'!$C$238:$C$451,$C183,'TL16'!$J$238:$J$451),0),
IF('TL17'!$B$3=L$3,SUMIF('TL17'!$C$10:$C$224,$C183,'TL17'!$J$10:$J$224),0),
IF('TL17'!$B$229=L$3,SUMIF('TL17'!$C$238:$C$451,$C183,'TL17'!$J$238:$J$451),0),
IF('TL18'!$B$3=L$3,SUMIF('TL18'!$C$10:$C$224,$C183,'TL18'!$J$10:$J$224),0),
IF('TL18'!$B$229=L$3,SUMIF('TL18'!$C$238:$C$451,$C183,'TL18'!$J$238:$J$451),0),
IF('TL19'!$B$3=L$3,SUMIF('TL19'!$C$10:$C$224,$C183,'TL19'!$J$10:$J$224),0),
IF('TL19'!$B$229=L$3,SUMIF('TL19'!$C$238:$C$451,$C183,'TL19'!$J$238:$J$451),0)
),0)</f>
        <v>0</v>
      </c>
      <c r="M183" s="9">
        <f>IFERROR(SUM(
IF('TL01'!$B$3=M$3,SUMIF('TL01'!$C$10:$C$224,$C183,'TL01'!$J$10:$J$224),0),
IF('TL01'!$B$229=M$3,SUMIF('TL01'!$C$238:$C$451,$C183,'TL01'!$J$238:$J$451),0),
IF('TL02'!$B$3=M$3,SUMIF('TL02'!$C$10:$C$224,$C183,'TL02'!$J$10:$J$224),0),
IF('TL02'!$B$229=M$3,SUMIF('TL02'!$C$238:$C$451,$C183,'TL02'!$J$238:$J$451),0),
IF('TL03'!$B$3=M$3,SUMIF('TL03'!$C$10:$C$224,$C183,'TL03'!$J$10:$J$224),0),
IF('TL03'!$B$229=M$3,SUMIF('TL03'!$C$238:$C$451,$C183,'TL03'!$J$238:$J$451),0),
IF('TL04'!$B$3=M$3,SUMIF('TL04'!$C$10:$C$224,$C183,'TL04'!$J$10:$J$224),0),
IF('TL04'!$B$229=M$3,SUMIF('TL04'!$C$238:$C$451,$C183,'TL04'!$J$238:$J$451),0),
IF('TL05'!$B$3=M$3,SUMIF('TL05'!$C$10:$C$224,$C183,'TL05'!$J$10:$J$224),0),
IF('TL05'!$B$229=M$3,SUMIF('TL05'!$C$238:$C$451,$C183,'TL05'!$J$238:$J$451),0),
IF('TL06'!$B$3=M$3,SUMIF('TL06'!$C$10:$C$224,$C183,'TL06'!$J$10:$J$224),0),
IF('TL06'!$B$229=M$3,SUMIF('TL06'!$C$238:$C$451,$C183,'TL06'!$J$238:$J$451),0),
IF('TL07'!$B$3=M$3,SUMIF('TL07'!$C$10:$C$224,$C183,'TL07'!$J$10:$J$224),0),
IF('TL07'!$B$229=M$3,SUMIF('TL07'!$C$238:$C$451,$C183,'TL07'!$J$238:$J$451),0),
IF('TL08'!$B$3=M$3,SUMIF('TL08'!$C$10:$C$224,$C183,'TL08'!$J$10:$J$224),0),
IF('TL08'!$B$229=M$3,SUMIF('TL08'!$C$238:$C$451,$C183,'TL08'!$J$238:$J$451),0),
IF('TL09'!$B$3=M$3,SUMIF('TL09'!$C$10:$C$224,$C183,'TL09'!$J$10:$J$224),0),
IF('TL09'!$B$229=M$3,SUMIF('TL09'!$C$238:$C$451,$C183,'TL09'!$J$238:$J$451),0),
IF('TL10'!$B$3=M$3,SUMIF('TL10'!$C$10:$C$224,$C183,'TL10'!$J$10:$J$224),0),
IF('TL10'!$B$229=M$3,SUMIF('TL10'!$C$238:$C$451,$C183,'TL10'!$J$238:$J$451),0),
IF('TL11'!$B$3=M$3,SUMIF('TL11'!$C$10:$C$224,$C183,'TL11'!$J$10:$J$224),0),
IF('TL11'!$B$229=M$3,SUMIF('TL11'!$C$238:$C$451,$C183,'TL11'!$J$238:$J$451),0),
IF('TL12'!$B$3=M$3,SUMIF('TL12'!$C$10:$C$224,$C183,'TL12'!$J$10:$J$224),0),
IF('TL12'!$B$229=M$3,SUMIF('TL12'!$C$238:$C$451,$C183,'TL12'!$J$238:$J$451),0),
IF('TL13'!$B$3=M$3,SUMIF('TL13'!$C$10:$C$224,$C183,'TL13'!$J$10:$J$224),0),
IF('TL13'!$B$229=M$3,SUMIF('TL13'!$C$238:$C$451,$C183,'TL13'!$J$238:$J$451),0),
IF('TL14'!$B$3=M$3,SUMIF('TL14'!$C$10:$C$224,$C183,'TL14'!$J$10:$J$224),0),
IF('TL14'!$B$229=M$3,SUMIF('TL14'!$C$238:$C$451,$C183,'TL14'!$J$238:$J$451),0),
IF('TL15'!$B$3=M$3,SUMIF('TL15'!$C$10:$C$224,$C183,'TL15'!$J$10:$J$224),0),
IF('TL15'!$B$229=M$3,SUMIF('TL15'!$C$238:$C$451,$C183,'TL15'!$J$238:$J$451),0),
IF('TL16'!$B$3=M$3,SUMIF('TL16'!$C$10:$C$224,$C183,'TL16'!$J$10:$J$224),0),
IF('TL16'!$B$229=M$3,SUMIF('TL16'!$C$238:$C$451,$C183,'TL16'!$J$238:$J$451),0),
IF('TL17'!$B$3=M$3,SUMIF('TL17'!$C$10:$C$224,$C183,'TL17'!$J$10:$J$224),0),
IF('TL17'!$B$229=M$3,SUMIF('TL17'!$C$238:$C$451,$C183,'TL17'!$J$238:$J$451),0),
IF('TL18'!$B$3=M$3,SUMIF('TL18'!$C$10:$C$224,$C183,'TL18'!$J$10:$J$224),0),
IF('TL18'!$B$229=M$3,SUMIF('TL18'!$C$238:$C$451,$C183,'TL18'!$J$238:$J$451),0),
IF('TL19'!$B$3=M$3,SUMIF('TL19'!$C$10:$C$224,$C183,'TL19'!$J$10:$J$224),0),
IF('TL19'!$B$229=M$3,SUMIF('TL19'!$C$238:$C$451,$C183,'TL19'!$J$238:$J$451),0)
),0)</f>
        <v>0</v>
      </c>
      <c r="N183" s="9">
        <f>IFERROR(SUM(
IF('TL01'!$B$3=N$3,SUMIF('TL01'!$C$10:$C$224,$C183,'TL01'!$J$10:$J$224),0),
IF('TL01'!$B$229=N$3,SUMIF('TL01'!$C$238:$C$451,$C183,'TL01'!$J$238:$J$451),0),
IF('TL02'!$B$3=N$3,SUMIF('TL02'!$C$10:$C$224,$C183,'TL02'!$J$10:$J$224),0),
IF('TL02'!$B$229=N$3,SUMIF('TL02'!$C$238:$C$451,$C183,'TL02'!$J$238:$J$451),0),
IF('TL03'!$B$3=N$3,SUMIF('TL03'!$C$10:$C$224,$C183,'TL03'!$J$10:$J$224),0),
IF('TL03'!$B$229=N$3,SUMIF('TL03'!$C$238:$C$451,$C183,'TL03'!$J$238:$J$451),0),
IF('TL04'!$B$3=N$3,SUMIF('TL04'!$C$10:$C$224,$C183,'TL04'!$J$10:$J$224),0),
IF('TL04'!$B$229=N$3,SUMIF('TL04'!$C$238:$C$451,$C183,'TL04'!$J$238:$J$451),0),
IF('TL05'!$B$3=N$3,SUMIF('TL05'!$C$10:$C$224,$C183,'TL05'!$J$10:$J$224),0),
IF('TL05'!$B$229=N$3,SUMIF('TL05'!$C$238:$C$451,$C183,'TL05'!$J$238:$J$451),0),
IF('TL06'!$B$3=N$3,SUMIF('TL06'!$C$10:$C$224,$C183,'TL06'!$J$10:$J$224),0),
IF('TL06'!$B$229=N$3,SUMIF('TL06'!$C$238:$C$451,$C183,'TL06'!$J$238:$J$451),0),
IF('TL07'!$B$3=N$3,SUMIF('TL07'!$C$10:$C$224,$C183,'TL07'!$J$10:$J$224),0),
IF('TL07'!$B$229=N$3,SUMIF('TL07'!$C$238:$C$451,$C183,'TL07'!$J$238:$J$451),0),
IF('TL08'!$B$3=N$3,SUMIF('TL08'!$C$10:$C$224,$C183,'TL08'!$J$10:$J$224),0),
IF('TL08'!$B$229=N$3,SUMIF('TL08'!$C$238:$C$451,$C183,'TL08'!$J$238:$J$451),0),
IF('TL09'!$B$3=N$3,SUMIF('TL09'!$C$10:$C$224,$C183,'TL09'!$J$10:$J$224),0),
IF('TL09'!$B$229=N$3,SUMIF('TL09'!$C$238:$C$451,$C183,'TL09'!$J$238:$J$451),0),
IF('TL10'!$B$3=N$3,SUMIF('TL10'!$C$10:$C$224,$C183,'TL10'!$J$10:$J$224),0),
IF('TL10'!$B$229=N$3,SUMIF('TL10'!$C$238:$C$451,$C183,'TL10'!$J$238:$J$451),0),
IF('TL11'!$B$3=N$3,SUMIF('TL11'!$C$10:$C$224,$C183,'TL11'!$J$10:$J$224),0),
IF('TL11'!$B$229=N$3,SUMIF('TL11'!$C$238:$C$451,$C183,'TL11'!$J$238:$J$451),0),
IF('TL12'!$B$3=N$3,SUMIF('TL12'!$C$10:$C$224,$C183,'TL12'!$J$10:$J$224),0),
IF('TL12'!$B$229=N$3,SUMIF('TL12'!$C$238:$C$451,$C183,'TL12'!$J$238:$J$451),0),
IF('TL13'!$B$3=N$3,SUMIF('TL13'!$C$10:$C$224,$C183,'TL13'!$J$10:$J$224),0),
IF('TL13'!$B$229=N$3,SUMIF('TL13'!$C$238:$C$451,$C183,'TL13'!$J$238:$J$451),0),
IF('TL14'!$B$3=N$3,SUMIF('TL14'!$C$10:$C$224,$C183,'TL14'!$J$10:$J$224),0),
IF('TL14'!$B$229=N$3,SUMIF('TL14'!$C$238:$C$451,$C183,'TL14'!$J$238:$J$451),0),
IF('TL15'!$B$3=N$3,SUMIF('TL15'!$C$10:$C$224,$C183,'TL15'!$J$10:$J$224),0),
IF('TL15'!$B$229=N$3,SUMIF('TL15'!$C$238:$C$451,$C183,'TL15'!$J$238:$J$451),0),
IF('TL16'!$B$3=N$3,SUMIF('TL16'!$C$10:$C$224,$C183,'TL16'!$J$10:$J$224),0),
IF('TL16'!$B$229=N$3,SUMIF('TL16'!$C$238:$C$451,$C183,'TL16'!$J$238:$J$451),0),
IF('TL17'!$B$3=N$3,SUMIF('TL17'!$C$10:$C$224,$C183,'TL17'!$J$10:$J$224),0),
IF('TL17'!$B$229=N$3,SUMIF('TL17'!$C$238:$C$451,$C183,'TL17'!$J$238:$J$451),0),
IF('TL18'!$B$3=N$3,SUMIF('TL18'!$C$10:$C$224,$C183,'TL18'!$J$10:$J$224),0),
IF('TL18'!$B$229=N$3,SUMIF('TL18'!$C$238:$C$451,$C183,'TL18'!$J$238:$J$451),0),
IF('TL19'!$B$3=N$3,SUMIF('TL19'!$C$10:$C$224,$C183,'TL19'!$J$10:$J$224),0),
IF('TL19'!$B$229=N$3,SUMIF('TL19'!$C$238:$C$451,$C183,'TL19'!$J$238:$J$451),0)
),0)</f>
        <v>0</v>
      </c>
      <c r="O183" s="9">
        <f>IFERROR(SUM(
IF('TL01'!$B$3=O$3,SUMIF('TL01'!$C$10:$C$224,$C183,'TL01'!$J$10:$J$224),0),
IF('TL01'!$B$229=O$3,SUMIF('TL01'!$C$238:$C$451,$C183,'TL01'!$J$238:$J$451),0),
IF('TL02'!$B$3=O$3,SUMIF('TL02'!$C$10:$C$224,$C183,'TL02'!$J$10:$J$224),0),
IF('TL02'!$B$229=O$3,SUMIF('TL02'!$C$238:$C$451,$C183,'TL02'!$J$238:$J$451),0),
IF('TL03'!$B$3=O$3,SUMIF('TL03'!$C$10:$C$224,$C183,'TL03'!$J$10:$J$224),0),
IF('TL03'!$B$229=O$3,SUMIF('TL03'!$C$238:$C$451,$C183,'TL03'!$J$238:$J$451),0),
IF('TL04'!$B$3=O$3,SUMIF('TL04'!$C$10:$C$224,$C183,'TL04'!$J$10:$J$224),0),
IF('TL04'!$B$229=O$3,SUMIF('TL04'!$C$238:$C$451,$C183,'TL04'!$J$238:$J$451),0),
IF('TL05'!$B$3=O$3,SUMIF('TL05'!$C$10:$C$224,$C183,'TL05'!$J$10:$J$224),0),
IF('TL05'!$B$229=O$3,SUMIF('TL05'!$C$238:$C$451,$C183,'TL05'!$J$238:$J$451),0),
IF('TL06'!$B$3=O$3,SUMIF('TL06'!$C$10:$C$224,$C183,'TL06'!$J$10:$J$224),0),
IF('TL06'!$B$229=O$3,SUMIF('TL06'!$C$238:$C$451,$C183,'TL06'!$J$238:$J$451),0),
IF('TL07'!$B$3=O$3,SUMIF('TL07'!$C$10:$C$224,$C183,'TL07'!$J$10:$J$224),0),
IF('TL07'!$B$229=O$3,SUMIF('TL07'!$C$238:$C$451,$C183,'TL07'!$J$238:$J$451),0),
IF('TL08'!$B$3=O$3,SUMIF('TL08'!$C$10:$C$224,$C183,'TL08'!$J$10:$J$224),0),
IF('TL08'!$B$229=O$3,SUMIF('TL08'!$C$238:$C$451,$C183,'TL08'!$J$238:$J$451),0),
IF('TL09'!$B$3=O$3,SUMIF('TL09'!$C$10:$C$224,$C183,'TL09'!$J$10:$J$224),0),
IF('TL09'!$B$229=O$3,SUMIF('TL09'!$C$238:$C$451,$C183,'TL09'!$J$238:$J$451),0),
IF('TL10'!$B$3=O$3,SUMIF('TL10'!$C$10:$C$224,$C183,'TL10'!$J$10:$J$224),0),
IF('TL10'!$B$229=O$3,SUMIF('TL10'!$C$238:$C$451,$C183,'TL10'!$J$238:$J$451),0),
IF('TL11'!$B$3=O$3,SUMIF('TL11'!$C$10:$C$224,$C183,'TL11'!$J$10:$J$224),0),
IF('TL11'!$B$229=O$3,SUMIF('TL11'!$C$238:$C$451,$C183,'TL11'!$J$238:$J$451),0),
IF('TL12'!$B$3=O$3,SUMIF('TL12'!$C$10:$C$224,$C183,'TL12'!$J$10:$J$224),0),
IF('TL12'!$B$229=O$3,SUMIF('TL12'!$C$238:$C$451,$C183,'TL12'!$J$238:$J$451),0),
IF('TL13'!$B$3=O$3,SUMIF('TL13'!$C$10:$C$224,$C183,'TL13'!$J$10:$J$224),0),
IF('TL13'!$B$229=O$3,SUMIF('TL13'!$C$238:$C$451,$C183,'TL13'!$J$238:$J$451),0),
IF('TL14'!$B$3=O$3,SUMIF('TL14'!$C$10:$C$224,$C183,'TL14'!$J$10:$J$224),0),
IF('TL14'!$B$229=O$3,SUMIF('TL14'!$C$238:$C$451,$C183,'TL14'!$J$238:$J$451),0),
IF('TL15'!$B$3=O$3,SUMIF('TL15'!$C$10:$C$224,$C183,'TL15'!$J$10:$J$224),0),
IF('TL15'!$B$229=O$3,SUMIF('TL15'!$C$238:$C$451,$C183,'TL15'!$J$238:$J$451),0),
IF('TL16'!$B$3=O$3,SUMIF('TL16'!$C$10:$C$224,$C183,'TL16'!$J$10:$J$224),0),
IF('TL16'!$B$229=O$3,SUMIF('TL16'!$C$238:$C$451,$C183,'TL16'!$J$238:$J$451),0),
IF('TL17'!$B$3=O$3,SUMIF('TL17'!$C$10:$C$224,$C183,'TL17'!$J$10:$J$224),0),
IF('TL17'!$B$229=O$3,SUMIF('TL17'!$C$238:$C$451,$C183,'TL17'!$J$238:$J$451),0),
IF('TL18'!$B$3=O$3,SUMIF('TL18'!$C$10:$C$224,$C183,'TL18'!$J$10:$J$224),0),
IF('TL18'!$B$229=O$3,SUMIF('TL18'!$C$238:$C$451,$C183,'TL18'!$J$238:$J$451),0),
IF('TL19'!$B$3=O$3,SUMIF('TL19'!$C$10:$C$224,$C183,'TL19'!$J$10:$J$224),0),
IF('TL19'!$B$229=O$3,SUMIF('TL19'!$C$238:$C$451,$C183,'TL19'!$J$238:$J$451),0)
),0)</f>
        <v>0</v>
      </c>
      <c r="P183" s="9">
        <f>IFERROR(SUM(
IF('TL01'!$B$3=P$3,SUMIF('TL01'!$C$10:$C$224,$C183,'TL01'!$J$10:$J$224),0),
IF('TL01'!$B$229=P$3,SUMIF('TL01'!$C$238:$C$451,$C183,'TL01'!$J$238:$J$451),0),
IF('TL02'!$B$3=P$3,SUMIF('TL02'!$C$10:$C$224,$C183,'TL02'!$J$10:$J$224),0),
IF('TL02'!$B$229=P$3,SUMIF('TL02'!$C$238:$C$451,$C183,'TL02'!$J$238:$J$451),0),
IF('TL03'!$B$3=P$3,SUMIF('TL03'!$C$10:$C$224,$C183,'TL03'!$J$10:$J$224),0),
IF('TL03'!$B$229=P$3,SUMIF('TL03'!$C$238:$C$451,$C183,'TL03'!$J$238:$J$451),0),
IF('TL04'!$B$3=P$3,SUMIF('TL04'!$C$10:$C$224,$C183,'TL04'!$J$10:$J$224),0),
IF('TL04'!$B$229=P$3,SUMIF('TL04'!$C$238:$C$451,$C183,'TL04'!$J$238:$J$451),0),
IF('TL05'!$B$3=P$3,SUMIF('TL05'!$C$10:$C$224,$C183,'TL05'!$J$10:$J$224),0),
IF('TL05'!$B$229=P$3,SUMIF('TL05'!$C$238:$C$451,$C183,'TL05'!$J$238:$J$451),0),
IF('TL06'!$B$3=P$3,SUMIF('TL06'!$C$10:$C$224,$C183,'TL06'!$J$10:$J$224),0),
IF('TL06'!$B$229=P$3,SUMIF('TL06'!$C$238:$C$451,$C183,'TL06'!$J$238:$J$451),0),
IF('TL07'!$B$3=P$3,SUMIF('TL07'!$C$10:$C$224,$C183,'TL07'!$J$10:$J$224),0),
IF('TL07'!$B$229=P$3,SUMIF('TL07'!$C$238:$C$451,$C183,'TL07'!$J$238:$J$451),0),
IF('TL08'!$B$3=P$3,SUMIF('TL08'!$C$10:$C$224,$C183,'TL08'!$J$10:$J$224),0),
IF('TL08'!$B$229=P$3,SUMIF('TL08'!$C$238:$C$451,$C183,'TL08'!$J$238:$J$451),0),
IF('TL09'!$B$3=P$3,SUMIF('TL09'!$C$10:$C$224,$C183,'TL09'!$J$10:$J$224),0),
IF('TL09'!$B$229=P$3,SUMIF('TL09'!$C$238:$C$451,$C183,'TL09'!$J$238:$J$451),0),
IF('TL10'!$B$3=P$3,SUMIF('TL10'!$C$10:$C$224,$C183,'TL10'!$J$10:$J$224),0),
IF('TL10'!$B$229=P$3,SUMIF('TL10'!$C$238:$C$451,$C183,'TL10'!$J$238:$J$451),0),
IF('TL11'!$B$3=P$3,SUMIF('TL11'!$C$10:$C$224,$C183,'TL11'!$J$10:$J$224),0),
IF('TL11'!$B$229=P$3,SUMIF('TL11'!$C$238:$C$451,$C183,'TL11'!$J$238:$J$451),0),
IF('TL12'!$B$3=P$3,SUMIF('TL12'!$C$10:$C$224,$C183,'TL12'!$J$10:$J$224),0),
IF('TL12'!$B$229=P$3,SUMIF('TL12'!$C$238:$C$451,$C183,'TL12'!$J$238:$J$451),0),
IF('TL13'!$B$3=P$3,SUMIF('TL13'!$C$10:$C$224,$C183,'TL13'!$J$10:$J$224),0),
IF('TL13'!$B$229=P$3,SUMIF('TL13'!$C$238:$C$451,$C183,'TL13'!$J$238:$J$451),0),
IF('TL14'!$B$3=P$3,SUMIF('TL14'!$C$10:$C$224,$C183,'TL14'!$J$10:$J$224),0),
IF('TL14'!$B$229=P$3,SUMIF('TL14'!$C$238:$C$451,$C183,'TL14'!$J$238:$J$451),0),
IF('TL15'!$B$3=P$3,SUMIF('TL15'!$C$10:$C$224,$C183,'TL15'!$J$10:$J$224),0),
IF('TL15'!$B$229=P$3,SUMIF('TL15'!$C$238:$C$451,$C183,'TL15'!$J$238:$J$451),0),
IF('TL16'!$B$3=P$3,SUMIF('TL16'!$C$10:$C$224,$C183,'TL16'!$J$10:$J$224),0),
IF('TL16'!$B$229=P$3,SUMIF('TL16'!$C$238:$C$451,$C183,'TL16'!$J$238:$J$451),0),
IF('TL17'!$B$3=P$3,SUMIF('TL17'!$C$10:$C$224,$C183,'TL17'!$J$10:$J$224),0),
IF('TL17'!$B$229=P$3,SUMIF('TL17'!$C$238:$C$451,$C183,'TL17'!$J$238:$J$451),0),
IF('TL18'!$B$3=P$3,SUMIF('TL18'!$C$10:$C$224,$C183,'TL18'!$J$10:$J$224),0),
IF('TL18'!$B$229=P$3,SUMIF('TL18'!$C$238:$C$451,$C183,'TL18'!$J$238:$J$451),0),
IF('TL19'!$B$3=P$3,SUMIF('TL19'!$C$10:$C$224,$C183,'TL19'!$J$10:$J$224),0),
IF('TL19'!$B$229=P$3,SUMIF('TL19'!$C$238:$C$451,$C183,'TL19'!$J$238:$J$451),0)
),0)</f>
        <v>0</v>
      </c>
      <c r="Q183" s="9">
        <f>IFERROR(SUM(
IF('TL01'!$B$3=Q$3,SUMIF('TL01'!$C$10:$C$224,$C183,'TL01'!$J$10:$J$224),0),
IF('TL01'!$B$229=Q$3,SUMIF('TL01'!$C$238:$C$451,$C183,'TL01'!$J$238:$J$451),0),
IF('TL02'!$B$3=Q$3,SUMIF('TL02'!$C$10:$C$224,$C183,'TL02'!$J$10:$J$224),0),
IF('TL02'!$B$229=Q$3,SUMIF('TL02'!$C$238:$C$451,$C183,'TL02'!$J$238:$J$451),0),
IF('TL03'!$B$3=Q$3,SUMIF('TL03'!$C$10:$C$224,$C183,'TL03'!$J$10:$J$224),0),
IF('TL03'!$B$229=Q$3,SUMIF('TL03'!$C$238:$C$451,$C183,'TL03'!$J$238:$J$451),0),
IF('TL04'!$B$3=Q$3,SUMIF('TL04'!$C$10:$C$224,$C183,'TL04'!$J$10:$J$224),0),
IF('TL04'!$B$229=Q$3,SUMIF('TL04'!$C$238:$C$451,$C183,'TL04'!$J$238:$J$451),0),
IF('TL05'!$B$3=Q$3,SUMIF('TL05'!$C$10:$C$224,$C183,'TL05'!$J$10:$J$224),0),
IF('TL05'!$B$229=Q$3,SUMIF('TL05'!$C$238:$C$451,$C183,'TL05'!$J$238:$J$451),0),
IF('TL06'!$B$3=Q$3,SUMIF('TL06'!$C$10:$C$224,$C183,'TL06'!$J$10:$J$224),0),
IF('TL06'!$B$229=Q$3,SUMIF('TL06'!$C$238:$C$451,$C183,'TL06'!$J$238:$J$451),0),
IF('TL07'!$B$3=Q$3,SUMIF('TL07'!$C$10:$C$224,$C183,'TL07'!$J$10:$J$224),0),
IF('TL07'!$B$229=Q$3,SUMIF('TL07'!$C$238:$C$451,$C183,'TL07'!$J$238:$J$451),0),
IF('TL08'!$B$3=Q$3,SUMIF('TL08'!$C$10:$C$224,$C183,'TL08'!$J$10:$J$224),0),
IF('TL08'!$B$229=Q$3,SUMIF('TL08'!$C$238:$C$451,$C183,'TL08'!$J$238:$J$451),0),
IF('TL09'!$B$3=Q$3,SUMIF('TL09'!$C$10:$C$224,$C183,'TL09'!$J$10:$J$224),0),
IF('TL09'!$B$229=Q$3,SUMIF('TL09'!$C$238:$C$451,$C183,'TL09'!$J$238:$J$451),0),
IF('TL10'!$B$3=Q$3,SUMIF('TL10'!$C$10:$C$224,$C183,'TL10'!$J$10:$J$224),0),
IF('TL10'!$B$229=Q$3,SUMIF('TL10'!$C$238:$C$451,$C183,'TL10'!$J$238:$J$451),0),
IF('TL11'!$B$3=Q$3,SUMIF('TL11'!$C$10:$C$224,$C183,'TL11'!$J$10:$J$224),0),
IF('TL11'!$B$229=Q$3,SUMIF('TL11'!$C$238:$C$451,$C183,'TL11'!$J$238:$J$451),0),
IF('TL12'!$B$3=Q$3,SUMIF('TL12'!$C$10:$C$224,$C183,'TL12'!$J$10:$J$224),0),
IF('TL12'!$B$229=Q$3,SUMIF('TL12'!$C$238:$C$451,$C183,'TL12'!$J$238:$J$451),0),
IF('TL13'!$B$3=Q$3,SUMIF('TL13'!$C$10:$C$224,$C183,'TL13'!$J$10:$J$224),0),
IF('TL13'!$B$229=Q$3,SUMIF('TL13'!$C$238:$C$451,$C183,'TL13'!$J$238:$J$451),0),
IF('TL14'!$B$3=Q$3,SUMIF('TL14'!$C$10:$C$224,$C183,'TL14'!$J$10:$J$224),0),
IF('TL14'!$B$229=Q$3,SUMIF('TL14'!$C$238:$C$451,$C183,'TL14'!$J$238:$J$451),0),
IF('TL15'!$B$3=Q$3,SUMIF('TL15'!$C$10:$C$224,$C183,'TL15'!$J$10:$J$224),0),
IF('TL15'!$B$229=Q$3,SUMIF('TL15'!$C$238:$C$451,$C183,'TL15'!$J$238:$J$451),0),
IF('TL16'!$B$3=Q$3,SUMIF('TL16'!$C$10:$C$224,$C183,'TL16'!$J$10:$J$224),0),
IF('TL16'!$B$229=Q$3,SUMIF('TL16'!$C$238:$C$451,$C183,'TL16'!$J$238:$J$451),0),
IF('TL17'!$B$3=Q$3,SUMIF('TL17'!$C$10:$C$224,$C183,'TL17'!$J$10:$J$224),0),
IF('TL17'!$B$229=Q$3,SUMIF('TL17'!$C$238:$C$451,$C183,'TL17'!$J$238:$J$451),0),
IF('TL18'!$B$3=Q$3,SUMIF('TL18'!$C$10:$C$224,$C183,'TL18'!$J$10:$J$224),0),
IF('TL18'!$B$229=Q$3,SUMIF('TL18'!$C$238:$C$451,$C183,'TL18'!$J$238:$J$451),0),
IF('TL19'!$B$3=Q$3,SUMIF('TL19'!$C$10:$C$224,$C183,'TL19'!$J$10:$J$224),0),
IF('TL19'!$B$229=Q$3,SUMIF('TL19'!$C$238:$C$451,$C183,'TL19'!$J$238:$J$451),0)
),0)</f>
        <v>0</v>
      </c>
      <c r="R183" s="9">
        <f>IFERROR(
SUM(
SUMIF('TL01'!C:C,C183,'TL01'!J:J),
SUMIF('TL02'!C:C,C183,'TL02'!J:J),
SUMIF('TL03'!C:C,C183,'TL03'!J:J),
SUMIF('TL04'!C:C,C183,'TL04'!J:J),
SUMIF('TL05'!C:C,C183,'TL05'!J:J),
SUMIF('TL06'!C:C,C183,'TL06'!J:J),
SUMIF('TL07'!C:C,C183,'TL07'!J:J),
SUMIF('TL08'!C:C,C183,'TL08'!J:J),
SUMIF('TL09'!C:C,C183,'TL09'!J:J),
SUMIF('TL10'!C:C,C183,'TL10'!J:J),
SUMIF('TL11'!C:C,C183,'TL11'!J:J),
SUMIF('TL12'!C:C,C183,'TL12'!J:J),
SUMIF('TL13'!C:C,C183,'TL13'!J:J),
SUMIF('TL14'!C:C,C183,'TL14'!J:J),
SUMIF('TL15'!C:C,C183,'TL15'!J:J),
SUMIF('TL16'!C:C,C183,'TL16'!J:J),
SUMIF('TL17'!C:C,C183,'TL17'!J:J),
SUMIF('TL18'!C:C,C183,'TL18'!J:J),SUMIF('TL19'!C:C,C183,'TL19'!J:J))
,0)</f>
        <v>0</v>
      </c>
      <c r="S183" s="17">
        <f>IFERROR(__xludf.DUMMYFUNCTION("IFERROR(VLOOKUP(C183,
IMPORTRANGE(""1wULbzX32WdYsx-lj2U3uUNBBe2INVIRDtcK0d-Dvl90"",
""26-27!C:G""),
5,
FALSE),
"""")"),112.55462999999999)</f>
        <v>112.55463</v>
      </c>
      <c r="T183" s="9"/>
      <c r="U183" s="92">
        <f t="shared" si="2"/>
        <v>0</v>
      </c>
      <c r="V183" s="93">
        <f t="shared" si="3"/>
        <v>0</v>
      </c>
    </row>
    <row r="184" ht="15.75" hidden="1" customHeight="1">
      <c r="A184" s="87" t="s">
        <v>350</v>
      </c>
      <c r="B184" s="88" t="s">
        <v>2</v>
      </c>
      <c r="C184" s="89" t="s">
        <v>777</v>
      </c>
      <c r="D184" s="89" t="s">
        <v>778</v>
      </c>
      <c r="E184" s="89" t="s">
        <v>779</v>
      </c>
      <c r="F184" s="4" t="s">
        <v>343</v>
      </c>
      <c r="G184" s="90" t="str">
        <f t="shared" si="4"/>
        <v>📄 Ver bula</v>
      </c>
      <c r="H184" s="9">
        <f>IFERROR(__xludf.DUMMYFUNCTION("IFERROR(VLOOKUP(C184,
IMPORTRANGE(""1wULbzX32WdYsx-lj2U3uUNBBe2INVIRDtcK0d-Dvl90"",
""26-27!C:K""),
8,
FALSE),
"""")"),1.0)</f>
        <v>1</v>
      </c>
      <c r="I184" s="91" t="s">
        <v>344</v>
      </c>
      <c r="J184" s="9">
        <f>IFERROR(SUM(
IF('TL01'!$B$3=J$3,SUMIF('TL01'!$C$10:$C$224,$C184,'TL01'!$J$10:$J$224),0),
IF('TL01'!$B$229=J$3,SUMIF('TL01'!$C$238:$C$451,$C184,'TL01'!$J$238:$J$451),0),
IF('TL02'!$B$3=J$3,SUMIF('TL02'!$C$10:$C$224,$C184,'TL02'!$J$10:$J$224),0),
IF('TL02'!$B$229=J$3,SUMIF('TL02'!$C$238:$C$451,$C184,'TL02'!$J$238:$J$451),0),
IF('TL03'!$B$3=J$3,SUMIF('TL03'!$C$10:$C$224,$C184,'TL03'!$J$10:$J$224),0),
IF('TL03'!$B$229=J$3,SUMIF('TL03'!$C$238:$C$451,$C184,'TL03'!$J$238:$J$451),0),
IF('TL04'!$B$3=J$3,SUMIF('TL04'!$C$10:$C$224,$C184,'TL04'!$J$10:$J$224),0),
IF('TL04'!$B$229=J$3,SUMIF('TL04'!$C$238:$C$451,$C184,'TL04'!$J$238:$J$451),0),
IF('TL05'!$B$3=J$3,SUMIF('TL05'!$C$10:$C$224,$C184,'TL05'!$J$10:$J$224),0),
IF('TL05'!$B$229=J$3,SUMIF('TL05'!$C$238:$C$451,$C184,'TL05'!$J$238:$J$451),0),
IF('TL06'!$B$3=J$3,SUMIF('TL06'!$C$10:$C$224,$C184,'TL06'!$J$10:$J$224),0),
IF('TL06'!$B$229=J$3,SUMIF('TL06'!$C$238:$C$451,$C184,'TL06'!$J$238:$J$451),0),
IF('TL07'!$B$3=J$3,SUMIF('TL07'!$C$10:$C$224,$C184,'TL07'!$J$10:$J$224),0),
IF('TL07'!$B$229=J$3,SUMIF('TL07'!$C$238:$C$451,$C184,'TL07'!$J$238:$J$451),0),
IF('TL08'!$B$3=J$3,SUMIF('TL08'!$C$10:$C$224,$C184,'TL08'!$J$10:$J$224),0),
IF('TL08'!$B$229=J$3,SUMIF('TL08'!$C$238:$C$451,$C184,'TL08'!$J$238:$J$451),0),
IF('TL09'!$B$3=J$3,SUMIF('TL09'!$C$10:$C$224,$C184,'TL09'!$J$10:$J$224),0),
IF('TL09'!$B$229=J$3,SUMIF('TL09'!$C$238:$C$451,$C184,'TL09'!$J$238:$J$451),0),
IF('TL10'!$B$3=J$3,SUMIF('TL10'!$C$10:$C$224,$C184,'TL10'!$J$10:$J$224),0),
IF('TL10'!$B$229=J$3,SUMIF('TL10'!$C$238:$C$451,$C184,'TL10'!$J$238:$J$451),0),
IF('TL11'!$B$3=J$3,SUMIF('TL11'!$C$10:$C$224,$C184,'TL11'!$J$10:$J$224),0),
IF('TL11'!$B$229=J$3,SUMIF('TL11'!$C$238:$C$451,$C184,'TL11'!$J$238:$J$451),0),
IF('TL12'!$B$3=J$3,SUMIF('TL12'!$C$10:$C$224,$C184,'TL12'!$J$10:$J$224),0),
IF('TL12'!$B$229=J$3,SUMIF('TL12'!$C$238:$C$451,$C184,'TL12'!$J$238:$J$451),0),
IF('TL13'!$B$3=J$3,SUMIF('TL13'!$C$10:$C$224,$C184,'TL13'!$J$10:$J$224),0),
IF('TL13'!$B$229=J$3,SUMIF('TL13'!$C$238:$C$451,$C184,'TL13'!$J$238:$J$451),0),
IF('TL14'!$B$3=J$3,SUMIF('TL14'!$C$10:$C$224,$C184,'TL14'!$J$10:$J$224),0),
IF('TL14'!$B$229=J$3,SUMIF('TL14'!$C$238:$C$451,$C184,'TL14'!$J$238:$J$451),0),
IF('TL15'!$B$3=J$3,SUMIF('TL15'!$C$10:$C$224,$C184,'TL15'!$J$10:$J$224),0),
IF('TL15'!$B$229=J$3,SUMIF('TL15'!$C$238:$C$451,$C184,'TL15'!$J$238:$J$451),0),
IF('TL16'!$B$3=J$3,SUMIF('TL16'!$C$10:$C$224,$C184,'TL16'!$J$10:$J$224),0),
IF('TL16'!$B$229=J$3,SUMIF('TL16'!$C$238:$C$451,$C184,'TL16'!$J$238:$J$451),0),
IF('TL17'!$B$3=J$3,SUMIF('TL17'!$C$10:$C$224,$C184,'TL17'!$J$10:$J$224),0),
IF('TL17'!$B$229=J$3,SUMIF('TL17'!$C$238:$C$451,$C184,'TL17'!$J$238:$J$451),0),
IF('TL18'!$B$3=J$3,SUMIF('TL18'!$C$10:$C$224,$C184,'TL18'!$J$10:$J$224),0),
IF('TL18'!$B$229=J$3,SUMIF('TL18'!$C$238:$C$451,$C184,'TL18'!$J$238:$J$451),0),
IF('TL19'!$B$3=J$3,SUMIF('TL19'!$C$10:$C$224,$C184,'TL19'!$J$10:$J$224),0),
IF('TL19'!$B$229=J$3,SUMIF('TL19'!$C$238:$C$451,$C184,'TL19'!$J$238:$J$451),0)
),0)</f>
        <v>0</v>
      </c>
      <c r="K184" s="9">
        <f>IFERROR(SUM(
IF('TL01'!$B$3=K$3,SUMIF('TL01'!$C$10:$C$224,$C184,'TL01'!$J$10:$J$224),0),
IF('TL01'!$B$229=K$3,SUMIF('TL01'!$C$238:$C$451,$C184,'TL01'!$J$238:$J$451),0),
IF('TL02'!$B$3=K$3,SUMIF('TL02'!$C$10:$C$224,$C184,'TL02'!$J$10:$J$224),0),
IF('TL02'!$B$229=K$3,SUMIF('TL02'!$C$238:$C$451,$C184,'TL02'!$J$238:$J$451),0),
IF('TL03'!$B$3=K$3,SUMIF('TL03'!$C$10:$C$224,$C184,'TL03'!$J$10:$J$224),0),
IF('TL03'!$B$229=K$3,SUMIF('TL03'!$C$238:$C$451,$C184,'TL03'!$J$238:$J$451),0),
IF('TL04'!$B$3=K$3,SUMIF('TL04'!$C$10:$C$224,$C184,'TL04'!$J$10:$J$224),0),
IF('TL04'!$B$229=K$3,SUMIF('TL04'!$C$238:$C$451,$C184,'TL04'!$J$238:$J$451),0),
IF('TL05'!$B$3=K$3,SUMIF('TL05'!$C$10:$C$224,$C184,'TL05'!$J$10:$J$224),0),
IF('TL05'!$B$229=K$3,SUMIF('TL05'!$C$238:$C$451,$C184,'TL05'!$J$238:$J$451),0),
IF('TL06'!$B$3=K$3,SUMIF('TL06'!$C$10:$C$224,$C184,'TL06'!$J$10:$J$224),0),
IF('TL06'!$B$229=K$3,SUMIF('TL06'!$C$238:$C$451,$C184,'TL06'!$J$238:$J$451),0),
IF('TL07'!$B$3=K$3,SUMIF('TL07'!$C$10:$C$224,$C184,'TL07'!$J$10:$J$224),0),
IF('TL07'!$B$229=K$3,SUMIF('TL07'!$C$238:$C$451,$C184,'TL07'!$J$238:$J$451),0),
IF('TL08'!$B$3=K$3,SUMIF('TL08'!$C$10:$C$224,$C184,'TL08'!$J$10:$J$224),0),
IF('TL08'!$B$229=K$3,SUMIF('TL08'!$C$238:$C$451,$C184,'TL08'!$J$238:$J$451),0),
IF('TL09'!$B$3=K$3,SUMIF('TL09'!$C$10:$C$224,$C184,'TL09'!$J$10:$J$224),0),
IF('TL09'!$B$229=K$3,SUMIF('TL09'!$C$238:$C$451,$C184,'TL09'!$J$238:$J$451),0),
IF('TL10'!$B$3=K$3,SUMIF('TL10'!$C$10:$C$224,$C184,'TL10'!$J$10:$J$224),0),
IF('TL10'!$B$229=K$3,SUMIF('TL10'!$C$238:$C$451,$C184,'TL10'!$J$238:$J$451),0),
IF('TL11'!$B$3=K$3,SUMIF('TL11'!$C$10:$C$224,$C184,'TL11'!$J$10:$J$224),0),
IF('TL11'!$B$229=K$3,SUMIF('TL11'!$C$238:$C$451,$C184,'TL11'!$J$238:$J$451),0),
IF('TL12'!$B$3=K$3,SUMIF('TL12'!$C$10:$C$224,$C184,'TL12'!$J$10:$J$224),0),
IF('TL12'!$B$229=K$3,SUMIF('TL12'!$C$238:$C$451,$C184,'TL12'!$J$238:$J$451),0),
IF('TL13'!$B$3=K$3,SUMIF('TL13'!$C$10:$C$224,$C184,'TL13'!$J$10:$J$224),0),
IF('TL13'!$B$229=K$3,SUMIF('TL13'!$C$238:$C$451,$C184,'TL13'!$J$238:$J$451),0),
IF('TL14'!$B$3=K$3,SUMIF('TL14'!$C$10:$C$224,$C184,'TL14'!$J$10:$J$224),0),
IF('TL14'!$B$229=K$3,SUMIF('TL14'!$C$238:$C$451,$C184,'TL14'!$J$238:$J$451),0),
IF('TL15'!$B$3=K$3,SUMIF('TL15'!$C$10:$C$224,$C184,'TL15'!$J$10:$J$224),0),
IF('TL15'!$B$229=K$3,SUMIF('TL15'!$C$238:$C$451,$C184,'TL15'!$J$238:$J$451),0),
IF('TL16'!$B$3=K$3,SUMIF('TL16'!$C$10:$C$224,$C184,'TL16'!$J$10:$J$224),0),
IF('TL16'!$B$229=K$3,SUMIF('TL16'!$C$238:$C$451,$C184,'TL16'!$J$238:$J$451),0),
IF('TL17'!$B$3=K$3,SUMIF('TL17'!$C$10:$C$224,$C184,'TL17'!$J$10:$J$224),0),
IF('TL17'!$B$229=K$3,SUMIF('TL17'!$C$238:$C$451,$C184,'TL17'!$J$238:$J$451),0),
IF('TL18'!$B$3=K$3,SUMIF('TL18'!$C$10:$C$224,$C184,'TL18'!$J$10:$J$224),0),
IF('TL18'!$B$229=K$3,SUMIF('TL18'!$C$238:$C$451,$C184,'TL18'!$J$238:$J$451),0),
IF('TL19'!$B$3=K$3,SUMIF('TL19'!$C$10:$C$224,$C184,'TL19'!$J$10:$J$224),0),
IF('TL19'!$B$229=K$3,SUMIF('TL19'!$C$238:$C$451,$C184,'TL19'!$J$238:$J$451),0)
),0)</f>
        <v>0</v>
      </c>
      <c r="L184" s="9">
        <f>IFERROR(SUM(
IF('TL01'!$B$3=L$3,SUMIF('TL01'!$C$10:$C$224,$C184,'TL01'!$J$10:$J$224),0),
IF('TL01'!$B$229=L$3,SUMIF('TL01'!$C$238:$C$451,$C184,'TL01'!$J$238:$J$451),0),
IF('TL02'!$B$3=L$3,SUMIF('TL02'!$C$10:$C$224,$C184,'TL02'!$J$10:$J$224),0),
IF('TL02'!$B$229=L$3,SUMIF('TL02'!$C$238:$C$451,$C184,'TL02'!$J$238:$J$451),0),
IF('TL03'!$B$3=L$3,SUMIF('TL03'!$C$10:$C$224,$C184,'TL03'!$J$10:$J$224),0),
IF('TL03'!$B$229=L$3,SUMIF('TL03'!$C$238:$C$451,$C184,'TL03'!$J$238:$J$451),0),
IF('TL04'!$B$3=L$3,SUMIF('TL04'!$C$10:$C$224,$C184,'TL04'!$J$10:$J$224),0),
IF('TL04'!$B$229=L$3,SUMIF('TL04'!$C$238:$C$451,$C184,'TL04'!$J$238:$J$451),0),
IF('TL05'!$B$3=L$3,SUMIF('TL05'!$C$10:$C$224,$C184,'TL05'!$J$10:$J$224),0),
IF('TL05'!$B$229=L$3,SUMIF('TL05'!$C$238:$C$451,$C184,'TL05'!$J$238:$J$451),0),
IF('TL06'!$B$3=L$3,SUMIF('TL06'!$C$10:$C$224,$C184,'TL06'!$J$10:$J$224),0),
IF('TL06'!$B$229=L$3,SUMIF('TL06'!$C$238:$C$451,$C184,'TL06'!$J$238:$J$451),0),
IF('TL07'!$B$3=L$3,SUMIF('TL07'!$C$10:$C$224,$C184,'TL07'!$J$10:$J$224),0),
IF('TL07'!$B$229=L$3,SUMIF('TL07'!$C$238:$C$451,$C184,'TL07'!$J$238:$J$451),0),
IF('TL08'!$B$3=L$3,SUMIF('TL08'!$C$10:$C$224,$C184,'TL08'!$J$10:$J$224),0),
IF('TL08'!$B$229=L$3,SUMIF('TL08'!$C$238:$C$451,$C184,'TL08'!$J$238:$J$451),0),
IF('TL09'!$B$3=L$3,SUMIF('TL09'!$C$10:$C$224,$C184,'TL09'!$J$10:$J$224),0),
IF('TL09'!$B$229=L$3,SUMIF('TL09'!$C$238:$C$451,$C184,'TL09'!$J$238:$J$451),0),
IF('TL10'!$B$3=L$3,SUMIF('TL10'!$C$10:$C$224,$C184,'TL10'!$J$10:$J$224),0),
IF('TL10'!$B$229=L$3,SUMIF('TL10'!$C$238:$C$451,$C184,'TL10'!$J$238:$J$451),0),
IF('TL11'!$B$3=L$3,SUMIF('TL11'!$C$10:$C$224,$C184,'TL11'!$J$10:$J$224),0),
IF('TL11'!$B$229=L$3,SUMIF('TL11'!$C$238:$C$451,$C184,'TL11'!$J$238:$J$451),0),
IF('TL12'!$B$3=L$3,SUMIF('TL12'!$C$10:$C$224,$C184,'TL12'!$J$10:$J$224),0),
IF('TL12'!$B$229=L$3,SUMIF('TL12'!$C$238:$C$451,$C184,'TL12'!$J$238:$J$451),0),
IF('TL13'!$B$3=L$3,SUMIF('TL13'!$C$10:$C$224,$C184,'TL13'!$J$10:$J$224),0),
IF('TL13'!$B$229=L$3,SUMIF('TL13'!$C$238:$C$451,$C184,'TL13'!$J$238:$J$451),0),
IF('TL14'!$B$3=L$3,SUMIF('TL14'!$C$10:$C$224,$C184,'TL14'!$J$10:$J$224),0),
IF('TL14'!$B$229=L$3,SUMIF('TL14'!$C$238:$C$451,$C184,'TL14'!$J$238:$J$451),0),
IF('TL15'!$B$3=L$3,SUMIF('TL15'!$C$10:$C$224,$C184,'TL15'!$J$10:$J$224),0),
IF('TL15'!$B$229=L$3,SUMIF('TL15'!$C$238:$C$451,$C184,'TL15'!$J$238:$J$451),0),
IF('TL16'!$B$3=L$3,SUMIF('TL16'!$C$10:$C$224,$C184,'TL16'!$J$10:$J$224),0),
IF('TL16'!$B$229=L$3,SUMIF('TL16'!$C$238:$C$451,$C184,'TL16'!$J$238:$J$451),0),
IF('TL17'!$B$3=L$3,SUMIF('TL17'!$C$10:$C$224,$C184,'TL17'!$J$10:$J$224),0),
IF('TL17'!$B$229=L$3,SUMIF('TL17'!$C$238:$C$451,$C184,'TL17'!$J$238:$J$451),0),
IF('TL18'!$B$3=L$3,SUMIF('TL18'!$C$10:$C$224,$C184,'TL18'!$J$10:$J$224),0),
IF('TL18'!$B$229=L$3,SUMIF('TL18'!$C$238:$C$451,$C184,'TL18'!$J$238:$J$451),0),
IF('TL19'!$B$3=L$3,SUMIF('TL19'!$C$10:$C$224,$C184,'TL19'!$J$10:$J$224),0),
IF('TL19'!$B$229=L$3,SUMIF('TL19'!$C$238:$C$451,$C184,'TL19'!$J$238:$J$451),0)
),0)</f>
        <v>0</v>
      </c>
      <c r="M184" s="9">
        <f>IFERROR(SUM(
IF('TL01'!$B$3=M$3,SUMIF('TL01'!$C$10:$C$224,$C184,'TL01'!$J$10:$J$224),0),
IF('TL01'!$B$229=M$3,SUMIF('TL01'!$C$238:$C$451,$C184,'TL01'!$J$238:$J$451),0),
IF('TL02'!$B$3=M$3,SUMIF('TL02'!$C$10:$C$224,$C184,'TL02'!$J$10:$J$224),0),
IF('TL02'!$B$229=M$3,SUMIF('TL02'!$C$238:$C$451,$C184,'TL02'!$J$238:$J$451),0),
IF('TL03'!$B$3=M$3,SUMIF('TL03'!$C$10:$C$224,$C184,'TL03'!$J$10:$J$224),0),
IF('TL03'!$B$229=M$3,SUMIF('TL03'!$C$238:$C$451,$C184,'TL03'!$J$238:$J$451),0),
IF('TL04'!$B$3=M$3,SUMIF('TL04'!$C$10:$C$224,$C184,'TL04'!$J$10:$J$224),0),
IF('TL04'!$B$229=M$3,SUMIF('TL04'!$C$238:$C$451,$C184,'TL04'!$J$238:$J$451),0),
IF('TL05'!$B$3=M$3,SUMIF('TL05'!$C$10:$C$224,$C184,'TL05'!$J$10:$J$224),0),
IF('TL05'!$B$229=M$3,SUMIF('TL05'!$C$238:$C$451,$C184,'TL05'!$J$238:$J$451),0),
IF('TL06'!$B$3=M$3,SUMIF('TL06'!$C$10:$C$224,$C184,'TL06'!$J$10:$J$224),0),
IF('TL06'!$B$229=M$3,SUMIF('TL06'!$C$238:$C$451,$C184,'TL06'!$J$238:$J$451),0),
IF('TL07'!$B$3=M$3,SUMIF('TL07'!$C$10:$C$224,$C184,'TL07'!$J$10:$J$224),0),
IF('TL07'!$B$229=M$3,SUMIF('TL07'!$C$238:$C$451,$C184,'TL07'!$J$238:$J$451),0),
IF('TL08'!$B$3=M$3,SUMIF('TL08'!$C$10:$C$224,$C184,'TL08'!$J$10:$J$224),0),
IF('TL08'!$B$229=M$3,SUMIF('TL08'!$C$238:$C$451,$C184,'TL08'!$J$238:$J$451),0),
IF('TL09'!$B$3=M$3,SUMIF('TL09'!$C$10:$C$224,$C184,'TL09'!$J$10:$J$224),0),
IF('TL09'!$B$229=M$3,SUMIF('TL09'!$C$238:$C$451,$C184,'TL09'!$J$238:$J$451),0),
IF('TL10'!$B$3=M$3,SUMIF('TL10'!$C$10:$C$224,$C184,'TL10'!$J$10:$J$224),0),
IF('TL10'!$B$229=M$3,SUMIF('TL10'!$C$238:$C$451,$C184,'TL10'!$J$238:$J$451),0),
IF('TL11'!$B$3=M$3,SUMIF('TL11'!$C$10:$C$224,$C184,'TL11'!$J$10:$J$224),0),
IF('TL11'!$B$229=M$3,SUMIF('TL11'!$C$238:$C$451,$C184,'TL11'!$J$238:$J$451),0),
IF('TL12'!$B$3=M$3,SUMIF('TL12'!$C$10:$C$224,$C184,'TL12'!$J$10:$J$224),0),
IF('TL12'!$B$229=M$3,SUMIF('TL12'!$C$238:$C$451,$C184,'TL12'!$J$238:$J$451),0),
IF('TL13'!$B$3=M$3,SUMIF('TL13'!$C$10:$C$224,$C184,'TL13'!$J$10:$J$224),0),
IF('TL13'!$B$229=M$3,SUMIF('TL13'!$C$238:$C$451,$C184,'TL13'!$J$238:$J$451),0),
IF('TL14'!$B$3=M$3,SUMIF('TL14'!$C$10:$C$224,$C184,'TL14'!$J$10:$J$224),0),
IF('TL14'!$B$229=M$3,SUMIF('TL14'!$C$238:$C$451,$C184,'TL14'!$J$238:$J$451),0),
IF('TL15'!$B$3=M$3,SUMIF('TL15'!$C$10:$C$224,$C184,'TL15'!$J$10:$J$224),0),
IF('TL15'!$B$229=M$3,SUMIF('TL15'!$C$238:$C$451,$C184,'TL15'!$J$238:$J$451),0),
IF('TL16'!$B$3=M$3,SUMIF('TL16'!$C$10:$C$224,$C184,'TL16'!$J$10:$J$224),0),
IF('TL16'!$B$229=M$3,SUMIF('TL16'!$C$238:$C$451,$C184,'TL16'!$J$238:$J$451),0),
IF('TL17'!$B$3=M$3,SUMIF('TL17'!$C$10:$C$224,$C184,'TL17'!$J$10:$J$224),0),
IF('TL17'!$B$229=M$3,SUMIF('TL17'!$C$238:$C$451,$C184,'TL17'!$J$238:$J$451),0),
IF('TL18'!$B$3=M$3,SUMIF('TL18'!$C$10:$C$224,$C184,'TL18'!$J$10:$J$224),0),
IF('TL18'!$B$229=M$3,SUMIF('TL18'!$C$238:$C$451,$C184,'TL18'!$J$238:$J$451),0),
IF('TL19'!$B$3=M$3,SUMIF('TL19'!$C$10:$C$224,$C184,'TL19'!$J$10:$J$224),0),
IF('TL19'!$B$229=M$3,SUMIF('TL19'!$C$238:$C$451,$C184,'TL19'!$J$238:$J$451),0)
),0)</f>
        <v>0</v>
      </c>
      <c r="N184" s="9">
        <f>IFERROR(SUM(
IF('TL01'!$B$3=N$3,SUMIF('TL01'!$C$10:$C$224,$C184,'TL01'!$J$10:$J$224),0),
IF('TL01'!$B$229=N$3,SUMIF('TL01'!$C$238:$C$451,$C184,'TL01'!$J$238:$J$451),0),
IF('TL02'!$B$3=N$3,SUMIF('TL02'!$C$10:$C$224,$C184,'TL02'!$J$10:$J$224),0),
IF('TL02'!$B$229=N$3,SUMIF('TL02'!$C$238:$C$451,$C184,'TL02'!$J$238:$J$451),0),
IF('TL03'!$B$3=N$3,SUMIF('TL03'!$C$10:$C$224,$C184,'TL03'!$J$10:$J$224),0),
IF('TL03'!$B$229=N$3,SUMIF('TL03'!$C$238:$C$451,$C184,'TL03'!$J$238:$J$451),0),
IF('TL04'!$B$3=N$3,SUMIF('TL04'!$C$10:$C$224,$C184,'TL04'!$J$10:$J$224),0),
IF('TL04'!$B$229=N$3,SUMIF('TL04'!$C$238:$C$451,$C184,'TL04'!$J$238:$J$451),0),
IF('TL05'!$B$3=N$3,SUMIF('TL05'!$C$10:$C$224,$C184,'TL05'!$J$10:$J$224),0),
IF('TL05'!$B$229=N$3,SUMIF('TL05'!$C$238:$C$451,$C184,'TL05'!$J$238:$J$451),0),
IF('TL06'!$B$3=N$3,SUMIF('TL06'!$C$10:$C$224,$C184,'TL06'!$J$10:$J$224),0),
IF('TL06'!$B$229=N$3,SUMIF('TL06'!$C$238:$C$451,$C184,'TL06'!$J$238:$J$451),0),
IF('TL07'!$B$3=N$3,SUMIF('TL07'!$C$10:$C$224,$C184,'TL07'!$J$10:$J$224),0),
IF('TL07'!$B$229=N$3,SUMIF('TL07'!$C$238:$C$451,$C184,'TL07'!$J$238:$J$451),0),
IF('TL08'!$B$3=N$3,SUMIF('TL08'!$C$10:$C$224,$C184,'TL08'!$J$10:$J$224),0),
IF('TL08'!$B$229=N$3,SUMIF('TL08'!$C$238:$C$451,$C184,'TL08'!$J$238:$J$451),0),
IF('TL09'!$B$3=N$3,SUMIF('TL09'!$C$10:$C$224,$C184,'TL09'!$J$10:$J$224),0),
IF('TL09'!$B$229=N$3,SUMIF('TL09'!$C$238:$C$451,$C184,'TL09'!$J$238:$J$451),0),
IF('TL10'!$B$3=N$3,SUMIF('TL10'!$C$10:$C$224,$C184,'TL10'!$J$10:$J$224),0),
IF('TL10'!$B$229=N$3,SUMIF('TL10'!$C$238:$C$451,$C184,'TL10'!$J$238:$J$451),0),
IF('TL11'!$B$3=N$3,SUMIF('TL11'!$C$10:$C$224,$C184,'TL11'!$J$10:$J$224),0),
IF('TL11'!$B$229=N$3,SUMIF('TL11'!$C$238:$C$451,$C184,'TL11'!$J$238:$J$451),0),
IF('TL12'!$B$3=N$3,SUMIF('TL12'!$C$10:$C$224,$C184,'TL12'!$J$10:$J$224),0),
IF('TL12'!$B$229=N$3,SUMIF('TL12'!$C$238:$C$451,$C184,'TL12'!$J$238:$J$451),0),
IF('TL13'!$B$3=N$3,SUMIF('TL13'!$C$10:$C$224,$C184,'TL13'!$J$10:$J$224),0),
IF('TL13'!$B$229=N$3,SUMIF('TL13'!$C$238:$C$451,$C184,'TL13'!$J$238:$J$451),0),
IF('TL14'!$B$3=N$3,SUMIF('TL14'!$C$10:$C$224,$C184,'TL14'!$J$10:$J$224),0),
IF('TL14'!$B$229=N$3,SUMIF('TL14'!$C$238:$C$451,$C184,'TL14'!$J$238:$J$451),0),
IF('TL15'!$B$3=N$3,SUMIF('TL15'!$C$10:$C$224,$C184,'TL15'!$J$10:$J$224),0),
IF('TL15'!$B$229=N$3,SUMIF('TL15'!$C$238:$C$451,$C184,'TL15'!$J$238:$J$451),0),
IF('TL16'!$B$3=N$3,SUMIF('TL16'!$C$10:$C$224,$C184,'TL16'!$J$10:$J$224),0),
IF('TL16'!$B$229=N$3,SUMIF('TL16'!$C$238:$C$451,$C184,'TL16'!$J$238:$J$451),0),
IF('TL17'!$B$3=N$3,SUMIF('TL17'!$C$10:$C$224,$C184,'TL17'!$J$10:$J$224),0),
IF('TL17'!$B$229=N$3,SUMIF('TL17'!$C$238:$C$451,$C184,'TL17'!$J$238:$J$451),0),
IF('TL18'!$B$3=N$3,SUMIF('TL18'!$C$10:$C$224,$C184,'TL18'!$J$10:$J$224),0),
IF('TL18'!$B$229=N$3,SUMIF('TL18'!$C$238:$C$451,$C184,'TL18'!$J$238:$J$451),0),
IF('TL19'!$B$3=N$3,SUMIF('TL19'!$C$10:$C$224,$C184,'TL19'!$J$10:$J$224),0),
IF('TL19'!$B$229=N$3,SUMIF('TL19'!$C$238:$C$451,$C184,'TL19'!$J$238:$J$451),0)
),0)</f>
        <v>0</v>
      </c>
      <c r="O184" s="9">
        <f>IFERROR(SUM(
IF('TL01'!$B$3=O$3,SUMIF('TL01'!$C$10:$C$224,$C184,'TL01'!$J$10:$J$224),0),
IF('TL01'!$B$229=O$3,SUMIF('TL01'!$C$238:$C$451,$C184,'TL01'!$J$238:$J$451),0),
IF('TL02'!$B$3=O$3,SUMIF('TL02'!$C$10:$C$224,$C184,'TL02'!$J$10:$J$224),0),
IF('TL02'!$B$229=O$3,SUMIF('TL02'!$C$238:$C$451,$C184,'TL02'!$J$238:$J$451),0),
IF('TL03'!$B$3=O$3,SUMIF('TL03'!$C$10:$C$224,$C184,'TL03'!$J$10:$J$224),0),
IF('TL03'!$B$229=O$3,SUMIF('TL03'!$C$238:$C$451,$C184,'TL03'!$J$238:$J$451),0),
IF('TL04'!$B$3=O$3,SUMIF('TL04'!$C$10:$C$224,$C184,'TL04'!$J$10:$J$224),0),
IF('TL04'!$B$229=O$3,SUMIF('TL04'!$C$238:$C$451,$C184,'TL04'!$J$238:$J$451),0),
IF('TL05'!$B$3=O$3,SUMIF('TL05'!$C$10:$C$224,$C184,'TL05'!$J$10:$J$224),0),
IF('TL05'!$B$229=O$3,SUMIF('TL05'!$C$238:$C$451,$C184,'TL05'!$J$238:$J$451),0),
IF('TL06'!$B$3=O$3,SUMIF('TL06'!$C$10:$C$224,$C184,'TL06'!$J$10:$J$224),0),
IF('TL06'!$B$229=O$3,SUMIF('TL06'!$C$238:$C$451,$C184,'TL06'!$J$238:$J$451),0),
IF('TL07'!$B$3=O$3,SUMIF('TL07'!$C$10:$C$224,$C184,'TL07'!$J$10:$J$224),0),
IF('TL07'!$B$229=O$3,SUMIF('TL07'!$C$238:$C$451,$C184,'TL07'!$J$238:$J$451),0),
IF('TL08'!$B$3=O$3,SUMIF('TL08'!$C$10:$C$224,$C184,'TL08'!$J$10:$J$224),0),
IF('TL08'!$B$229=O$3,SUMIF('TL08'!$C$238:$C$451,$C184,'TL08'!$J$238:$J$451),0),
IF('TL09'!$B$3=O$3,SUMIF('TL09'!$C$10:$C$224,$C184,'TL09'!$J$10:$J$224),0),
IF('TL09'!$B$229=O$3,SUMIF('TL09'!$C$238:$C$451,$C184,'TL09'!$J$238:$J$451),0),
IF('TL10'!$B$3=O$3,SUMIF('TL10'!$C$10:$C$224,$C184,'TL10'!$J$10:$J$224),0),
IF('TL10'!$B$229=O$3,SUMIF('TL10'!$C$238:$C$451,$C184,'TL10'!$J$238:$J$451),0),
IF('TL11'!$B$3=O$3,SUMIF('TL11'!$C$10:$C$224,$C184,'TL11'!$J$10:$J$224),0),
IF('TL11'!$B$229=O$3,SUMIF('TL11'!$C$238:$C$451,$C184,'TL11'!$J$238:$J$451),0),
IF('TL12'!$B$3=O$3,SUMIF('TL12'!$C$10:$C$224,$C184,'TL12'!$J$10:$J$224),0),
IF('TL12'!$B$229=O$3,SUMIF('TL12'!$C$238:$C$451,$C184,'TL12'!$J$238:$J$451),0),
IF('TL13'!$B$3=O$3,SUMIF('TL13'!$C$10:$C$224,$C184,'TL13'!$J$10:$J$224),0),
IF('TL13'!$B$229=O$3,SUMIF('TL13'!$C$238:$C$451,$C184,'TL13'!$J$238:$J$451),0),
IF('TL14'!$B$3=O$3,SUMIF('TL14'!$C$10:$C$224,$C184,'TL14'!$J$10:$J$224),0),
IF('TL14'!$B$229=O$3,SUMIF('TL14'!$C$238:$C$451,$C184,'TL14'!$J$238:$J$451),0),
IF('TL15'!$B$3=O$3,SUMIF('TL15'!$C$10:$C$224,$C184,'TL15'!$J$10:$J$224),0),
IF('TL15'!$B$229=O$3,SUMIF('TL15'!$C$238:$C$451,$C184,'TL15'!$J$238:$J$451),0),
IF('TL16'!$B$3=O$3,SUMIF('TL16'!$C$10:$C$224,$C184,'TL16'!$J$10:$J$224),0),
IF('TL16'!$B$229=O$3,SUMIF('TL16'!$C$238:$C$451,$C184,'TL16'!$J$238:$J$451),0),
IF('TL17'!$B$3=O$3,SUMIF('TL17'!$C$10:$C$224,$C184,'TL17'!$J$10:$J$224),0),
IF('TL17'!$B$229=O$3,SUMIF('TL17'!$C$238:$C$451,$C184,'TL17'!$J$238:$J$451),0),
IF('TL18'!$B$3=O$3,SUMIF('TL18'!$C$10:$C$224,$C184,'TL18'!$J$10:$J$224),0),
IF('TL18'!$B$229=O$3,SUMIF('TL18'!$C$238:$C$451,$C184,'TL18'!$J$238:$J$451),0),
IF('TL19'!$B$3=O$3,SUMIF('TL19'!$C$10:$C$224,$C184,'TL19'!$J$10:$J$224),0),
IF('TL19'!$B$229=O$3,SUMIF('TL19'!$C$238:$C$451,$C184,'TL19'!$J$238:$J$451),0)
),0)</f>
        <v>0</v>
      </c>
      <c r="P184" s="9">
        <f>IFERROR(SUM(
IF('TL01'!$B$3=P$3,SUMIF('TL01'!$C$10:$C$224,$C184,'TL01'!$J$10:$J$224),0),
IF('TL01'!$B$229=P$3,SUMIF('TL01'!$C$238:$C$451,$C184,'TL01'!$J$238:$J$451),0),
IF('TL02'!$B$3=P$3,SUMIF('TL02'!$C$10:$C$224,$C184,'TL02'!$J$10:$J$224),0),
IF('TL02'!$B$229=P$3,SUMIF('TL02'!$C$238:$C$451,$C184,'TL02'!$J$238:$J$451),0),
IF('TL03'!$B$3=P$3,SUMIF('TL03'!$C$10:$C$224,$C184,'TL03'!$J$10:$J$224),0),
IF('TL03'!$B$229=P$3,SUMIF('TL03'!$C$238:$C$451,$C184,'TL03'!$J$238:$J$451),0),
IF('TL04'!$B$3=P$3,SUMIF('TL04'!$C$10:$C$224,$C184,'TL04'!$J$10:$J$224),0),
IF('TL04'!$B$229=P$3,SUMIF('TL04'!$C$238:$C$451,$C184,'TL04'!$J$238:$J$451),0),
IF('TL05'!$B$3=P$3,SUMIF('TL05'!$C$10:$C$224,$C184,'TL05'!$J$10:$J$224),0),
IF('TL05'!$B$229=P$3,SUMIF('TL05'!$C$238:$C$451,$C184,'TL05'!$J$238:$J$451),0),
IF('TL06'!$B$3=P$3,SUMIF('TL06'!$C$10:$C$224,$C184,'TL06'!$J$10:$J$224),0),
IF('TL06'!$B$229=P$3,SUMIF('TL06'!$C$238:$C$451,$C184,'TL06'!$J$238:$J$451),0),
IF('TL07'!$B$3=P$3,SUMIF('TL07'!$C$10:$C$224,$C184,'TL07'!$J$10:$J$224),0),
IF('TL07'!$B$229=P$3,SUMIF('TL07'!$C$238:$C$451,$C184,'TL07'!$J$238:$J$451),0),
IF('TL08'!$B$3=P$3,SUMIF('TL08'!$C$10:$C$224,$C184,'TL08'!$J$10:$J$224),0),
IF('TL08'!$B$229=P$3,SUMIF('TL08'!$C$238:$C$451,$C184,'TL08'!$J$238:$J$451),0),
IF('TL09'!$B$3=P$3,SUMIF('TL09'!$C$10:$C$224,$C184,'TL09'!$J$10:$J$224),0),
IF('TL09'!$B$229=P$3,SUMIF('TL09'!$C$238:$C$451,$C184,'TL09'!$J$238:$J$451),0),
IF('TL10'!$B$3=P$3,SUMIF('TL10'!$C$10:$C$224,$C184,'TL10'!$J$10:$J$224),0),
IF('TL10'!$B$229=P$3,SUMIF('TL10'!$C$238:$C$451,$C184,'TL10'!$J$238:$J$451),0),
IF('TL11'!$B$3=P$3,SUMIF('TL11'!$C$10:$C$224,$C184,'TL11'!$J$10:$J$224),0),
IF('TL11'!$B$229=P$3,SUMIF('TL11'!$C$238:$C$451,$C184,'TL11'!$J$238:$J$451),0),
IF('TL12'!$B$3=P$3,SUMIF('TL12'!$C$10:$C$224,$C184,'TL12'!$J$10:$J$224),0),
IF('TL12'!$B$229=P$3,SUMIF('TL12'!$C$238:$C$451,$C184,'TL12'!$J$238:$J$451),0),
IF('TL13'!$B$3=P$3,SUMIF('TL13'!$C$10:$C$224,$C184,'TL13'!$J$10:$J$224),0),
IF('TL13'!$B$229=P$3,SUMIF('TL13'!$C$238:$C$451,$C184,'TL13'!$J$238:$J$451),0),
IF('TL14'!$B$3=P$3,SUMIF('TL14'!$C$10:$C$224,$C184,'TL14'!$J$10:$J$224),0),
IF('TL14'!$B$229=P$3,SUMIF('TL14'!$C$238:$C$451,$C184,'TL14'!$J$238:$J$451),0),
IF('TL15'!$B$3=P$3,SUMIF('TL15'!$C$10:$C$224,$C184,'TL15'!$J$10:$J$224),0),
IF('TL15'!$B$229=P$3,SUMIF('TL15'!$C$238:$C$451,$C184,'TL15'!$J$238:$J$451),0),
IF('TL16'!$B$3=P$3,SUMIF('TL16'!$C$10:$C$224,$C184,'TL16'!$J$10:$J$224),0),
IF('TL16'!$B$229=P$3,SUMIF('TL16'!$C$238:$C$451,$C184,'TL16'!$J$238:$J$451),0),
IF('TL17'!$B$3=P$3,SUMIF('TL17'!$C$10:$C$224,$C184,'TL17'!$J$10:$J$224),0),
IF('TL17'!$B$229=P$3,SUMIF('TL17'!$C$238:$C$451,$C184,'TL17'!$J$238:$J$451),0),
IF('TL18'!$B$3=P$3,SUMIF('TL18'!$C$10:$C$224,$C184,'TL18'!$J$10:$J$224),0),
IF('TL18'!$B$229=P$3,SUMIF('TL18'!$C$238:$C$451,$C184,'TL18'!$J$238:$J$451),0),
IF('TL19'!$B$3=P$3,SUMIF('TL19'!$C$10:$C$224,$C184,'TL19'!$J$10:$J$224),0),
IF('TL19'!$B$229=P$3,SUMIF('TL19'!$C$238:$C$451,$C184,'TL19'!$J$238:$J$451),0)
),0)</f>
        <v>0</v>
      </c>
      <c r="Q184" s="9">
        <f>IFERROR(SUM(
IF('TL01'!$B$3=Q$3,SUMIF('TL01'!$C$10:$C$224,$C184,'TL01'!$J$10:$J$224),0),
IF('TL01'!$B$229=Q$3,SUMIF('TL01'!$C$238:$C$451,$C184,'TL01'!$J$238:$J$451),0),
IF('TL02'!$B$3=Q$3,SUMIF('TL02'!$C$10:$C$224,$C184,'TL02'!$J$10:$J$224),0),
IF('TL02'!$B$229=Q$3,SUMIF('TL02'!$C$238:$C$451,$C184,'TL02'!$J$238:$J$451),0),
IF('TL03'!$B$3=Q$3,SUMIF('TL03'!$C$10:$C$224,$C184,'TL03'!$J$10:$J$224),0),
IF('TL03'!$B$229=Q$3,SUMIF('TL03'!$C$238:$C$451,$C184,'TL03'!$J$238:$J$451),0),
IF('TL04'!$B$3=Q$3,SUMIF('TL04'!$C$10:$C$224,$C184,'TL04'!$J$10:$J$224),0),
IF('TL04'!$B$229=Q$3,SUMIF('TL04'!$C$238:$C$451,$C184,'TL04'!$J$238:$J$451),0),
IF('TL05'!$B$3=Q$3,SUMIF('TL05'!$C$10:$C$224,$C184,'TL05'!$J$10:$J$224),0),
IF('TL05'!$B$229=Q$3,SUMIF('TL05'!$C$238:$C$451,$C184,'TL05'!$J$238:$J$451),0),
IF('TL06'!$B$3=Q$3,SUMIF('TL06'!$C$10:$C$224,$C184,'TL06'!$J$10:$J$224),0),
IF('TL06'!$B$229=Q$3,SUMIF('TL06'!$C$238:$C$451,$C184,'TL06'!$J$238:$J$451),0),
IF('TL07'!$B$3=Q$3,SUMIF('TL07'!$C$10:$C$224,$C184,'TL07'!$J$10:$J$224),0),
IF('TL07'!$B$229=Q$3,SUMIF('TL07'!$C$238:$C$451,$C184,'TL07'!$J$238:$J$451),0),
IF('TL08'!$B$3=Q$3,SUMIF('TL08'!$C$10:$C$224,$C184,'TL08'!$J$10:$J$224),0),
IF('TL08'!$B$229=Q$3,SUMIF('TL08'!$C$238:$C$451,$C184,'TL08'!$J$238:$J$451),0),
IF('TL09'!$B$3=Q$3,SUMIF('TL09'!$C$10:$C$224,$C184,'TL09'!$J$10:$J$224),0),
IF('TL09'!$B$229=Q$3,SUMIF('TL09'!$C$238:$C$451,$C184,'TL09'!$J$238:$J$451),0),
IF('TL10'!$B$3=Q$3,SUMIF('TL10'!$C$10:$C$224,$C184,'TL10'!$J$10:$J$224),0),
IF('TL10'!$B$229=Q$3,SUMIF('TL10'!$C$238:$C$451,$C184,'TL10'!$J$238:$J$451),0),
IF('TL11'!$B$3=Q$3,SUMIF('TL11'!$C$10:$C$224,$C184,'TL11'!$J$10:$J$224),0),
IF('TL11'!$B$229=Q$3,SUMIF('TL11'!$C$238:$C$451,$C184,'TL11'!$J$238:$J$451),0),
IF('TL12'!$B$3=Q$3,SUMIF('TL12'!$C$10:$C$224,$C184,'TL12'!$J$10:$J$224),0),
IF('TL12'!$B$229=Q$3,SUMIF('TL12'!$C$238:$C$451,$C184,'TL12'!$J$238:$J$451),0),
IF('TL13'!$B$3=Q$3,SUMIF('TL13'!$C$10:$C$224,$C184,'TL13'!$J$10:$J$224),0),
IF('TL13'!$B$229=Q$3,SUMIF('TL13'!$C$238:$C$451,$C184,'TL13'!$J$238:$J$451),0),
IF('TL14'!$B$3=Q$3,SUMIF('TL14'!$C$10:$C$224,$C184,'TL14'!$J$10:$J$224),0),
IF('TL14'!$B$229=Q$3,SUMIF('TL14'!$C$238:$C$451,$C184,'TL14'!$J$238:$J$451),0),
IF('TL15'!$B$3=Q$3,SUMIF('TL15'!$C$10:$C$224,$C184,'TL15'!$J$10:$J$224),0),
IF('TL15'!$B$229=Q$3,SUMIF('TL15'!$C$238:$C$451,$C184,'TL15'!$J$238:$J$451),0),
IF('TL16'!$B$3=Q$3,SUMIF('TL16'!$C$10:$C$224,$C184,'TL16'!$J$10:$J$224),0),
IF('TL16'!$B$229=Q$3,SUMIF('TL16'!$C$238:$C$451,$C184,'TL16'!$J$238:$J$451),0),
IF('TL17'!$B$3=Q$3,SUMIF('TL17'!$C$10:$C$224,$C184,'TL17'!$J$10:$J$224),0),
IF('TL17'!$B$229=Q$3,SUMIF('TL17'!$C$238:$C$451,$C184,'TL17'!$J$238:$J$451),0),
IF('TL18'!$B$3=Q$3,SUMIF('TL18'!$C$10:$C$224,$C184,'TL18'!$J$10:$J$224),0),
IF('TL18'!$B$229=Q$3,SUMIF('TL18'!$C$238:$C$451,$C184,'TL18'!$J$238:$J$451),0),
IF('TL19'!$B$3=Q$3,SUMIF('TL19'!$C$10:$C$224,$C184,'TL19'!$J$10:$J$224),0),
IF('TL19'!$B$229=Q$3,SUMIF('TL19'!$C$238:$C$451,$C184,'TL19'!$J$238:$J$451),0)
),0)</f>
        <v>0</v>
      </c>
      <c r="R184" s="9">
        <f>IFERROR(
SUM(
SUMIF('TL01'!C:C,C184,'TL01'!J:J),
SUMIF('TL02'!C:C,C184,'TL02'!J:J),
SUMIF('TL03'!C:C,C184,'TL03'!J:J),
SUMIF('TL04'!C:C,C184,'TL04'!J:J),
SUMIF('TL05'!C:C,C184,'TL05'!J:J),
SUMIF('TL06'!C:C,C184,'TL06'!J:J),
SUMIF('TL07'!C:C,C184,'TL07'!J:J),
SUMIF('TL08'!C:C,C184,'TL08'!J:J),
SUMIF('TL09'!C:C,C184,'TL09'!J:J),
SUMIF('TL10'!C:C,C184,'TL10'!J:J),
SUMIF('TL11'!C:C,C184,'TL11'!J:J),
SUMIF('TL12'!C:C,C184,'TL12'!J:J),
SUMIF('TL13'!C:C,C184,'TL13'!J:J),
SUMIF('TL14'!C:C,C184,'TL14'!J:J),
SUMIF('TL15'!C:C,C184,'TL15'!J:J),
SUMIF('TL16'!C:C,C184,'TL16'!J:J),
SUMIF('TL17'!C:C,C184,'TL17'!J:J),
SUMIF('TL18'!C:C,C184,'TL18'!J:J),SUMIF('TL19'!C:C,C184,'TL19'!J:J))
,0)</f>
        <v>0</v>
      </c>
      <c r="S184" s="17">
        <f>IFERROR(__xludf.DUMMYFUNCTION("IFERROR(VLOOKUP(C184,
IMPORTRANGE(""1wULbzX32WdYsx-lj2U3uUNBBe2INVIRDtcK0d-Dvl90"",
""26-27!C:G""),
5,
FALSE),
"""")"),27.38718)</f>
        <v>27.38718</v>
      </c>
      <c r="T184" s="9"/>
      <c r="U184" s="92">
        <f t="shared" si="2"/>
        <v>0</v>
      </c>
      <c r="V184" s="93">
        <f t="shared" si="3"/>
        <v>0</v>
      </c>
    </row>
    <row r="185" ht="15.75" hidden="1" customHeight="1">
      <c r="A185" s="94" t="s">
        <v>350</v>
      </c>
      <c r="B185" s="95" t="s">
        <v>2</v>
      </c>
      <c r="C185" s="96" t="s">
        <v>780</v>
      </c>
      <c r="D185" s="96" t="s">
        <v>781</v>
      </c>
      <c r="E185" s="96">
        <v>200.0</v>
      </c>
      <c r="F185" s="4" t="s">
        <v>343</v>
      </c>
      <c r="G185" s="90" t="str">
        <f t="shared" si="4"/>
        <v>📄 Ver bula</v>
      </c>
      <c r="H185" s="9">
        <f>IFERROR(__xludf.DUMMYFUNCTION("IFERROR(VLOOKUP(C185,
IMPORTRANGE(""1wULbzX32WdYsx-lj2U3uUNBBe2INVIRDtcK0d-Dvl90"",
""26-27!C:K""),
8,
FALSE),
"""")"),0.75)</f>
        <v>0.75</v>
      </c>
      <c r="I185" s="97" t="s">
        <v>344</v>
      </c>
      <c r="J185" s="9">
        <f>IFERROR(SUM(
IF('TL01'!$B$3=J$3,SUMIF('TL01'!$C$10:$C$224,$C185,'TL01'!$J$10:$J$224),0),
IF('TL01'!$B$229=J$3,SUMIF('TL01'!$C$238:$C$451,$C185,'TL01'!$J$238:$J$451),0),
IF('TL02'!$B$3=J$3,SUMIF('TL02'!$C$10:$C$224,$C185,'TL02'!$J$10:$J$224),0),
IF('TL02'!$B$229=J$3,SUMIF('TL02'!$C$238:$C$451,$C185,'TL02'!$J$238:$J$451),0),
IF('TL03'!$B$3=J$3,SUMIF('TL03'!$C$10:$C$224,$C185,'TL03'!$J$10:$J$224),0),
IF('TL03'!$B$229=J$3,SUMIF('TL03'!$C$238:$C$451,$C185,'TL03'!$J$238:$J$451),0),
IF('TL04'!$B$3=J$3,SUMIF('TL04'!$C$10:$C$224,$C185,'TL04'!$J$10:$J$224),0),
IF('TL04'!$B$229=J$3,SUMIF('TL04'!$C$238:$C$451,$C185,'TL04'!$J$238:$J$451),0),
IF('TL05'!$B$3=J$3,SUMIF('TL05'!$C$10:$C$224,$C185,'TL05'!$J$10:$J$224),0),
IF('TL05'!$B$229=J$3,SUMIF('TL05'!$C$238:$C$451,$C185,'TL05'!$J$238:$J$451),0),
IF('TL06'!$B$3=J$3,SUMIF('TL06'!$C$10:$C$224,$C185,'TL06'!$J$10:$J$224),0),
IF('TL06'!$B$229=J$3,SUMIF('TL06'!$C$238:$C$451,$C185,'TL06'!$J$238:$J$451),0),
IF('TL07'!$B$3=J$3,SUMIF('TL07'!$C$10:$C$224,$C185,'TL07'!$J$10:$J$224),0),
IF('TL07'!$B$229=J$3,SUMIF('TL07'!$C$238:$C$451,$C185,'TL07'!$J$238:$J$451),0),
IF('TL08'!$B$3=J$3,SUMIF('TL08'!$C$10:$C$224,$C185,'TL08'!$J$10:$J$224),0),
IF('TL08'!$B$229=J$3,SUMIF('TL08'!$C$238:$C$451,$C185,'TL08'!$J$238:$J$451),0),
IF('TL09'!$B$3=J$3,SUMIF('TL09'!$C$10:$C$224,$C185,'TL09'!$J$10:$J$224),0),
IF('TL09'!$B$229=J$3,SUMIF('TL09'!$C$238:$C$451,$C185,'TL09'!$J$238:$J$451),0),
IF('TL10'!$B$3=J$3,SUMIF('TL10'!$C$10:$C$224,$C185,'TL10'!$J$10:$J$224),0),
IF('TL10'!$B$229=J$3,SUMIF('TL10'!$C$238:$C$451,$C185,'TL10'!$J$238:$J$451),0),
IF('TL11'!$B$3=J$3,SUMIF('TL11'!$C$10:$C$224,$C185,'TL11'!$J$10:$J$224),0),
IF('TL11'!$B$229=J$3,SUMIF('TL11'!$C$238:$C$451,$C185,'TL11'!$J$238:$J$451),0),
IF('TL12'!$B$3=J$3,SUMIF('TL12'!$C$10:$C$224,$C185,'TL12'!$J$10:$J$224),0),
IF('TL12'!$B$229=J$3,SUMIF('TL12'!$C$238:$C$451,$C185,'TL12'!$J$238:$J$451),0),
IF('TL13'!$B$3=J$3,SUMIF('TL13'!$C$10:$C$224,$C185,'TL13'!$J$10:$J$224),0),
IF('TL13'!$B$229=J$3,SUMIF('TL13'!$C$238:$C$451,$C185,'TL13'!$J$238:$J$451),0),
IF('TL14'!$B$3=J$3,SUMIF('TL14'!$C$10:$C$224,$C185,'TL14'!$J$10:$J$224),0),
IF('TL14'!$B$229=J$3,SUMIF('TL14'!$C$238:$C$451,$C185,'TL14'!$J$238:$J$451),0),
IF('TL15'!$B$3=J$3,SUMIF('TL15'!$C$10:$C$224,$C185,'TL15'!$J$10:$J$224),0),
IF('TL15'!$B$229=J$3,SUMIF('TL15'!$C$238:$C$451,$C185,'TL15'!$J$238:$J$451),0),
IF('TL16'!$B$3=J$3,SUMIF('TL16'!$C$10:$C$224,$C185,'TL16'!$J$10:$J$224),0),
IF('TL16'!$B$229=J$3,SUMIF('TL16'!$C$238:$C$451,$C185,'TL16'!$J$238:$J$451),0),
IF('TL17'!$B$3=J$3,SUMIF('TL17'!$C$10:$C$224,$C185,'TL17'!$J$10:$J$224),0),
IF('TL17'!$B$229=J$3,SUMIF('TL17'!$C$238:$C$451,$C185,'TL17'!$J$238:$J$451),0),
IF('TL18'!$B$3=J$3,SUMIF('TL18'!$C$10:$C$224,$C185,'TL18'!$J$10:$J$224),0),
IF('TL18'!$B$229=J$3,SUMIF('TL18'!$C$238:$C$451,$C185,'TL18'!$J$238:$J$451),0),
IF('TL19'!$B$3=J$3,SUMIF('TL19'!$C$10:$C$224,$C185,'TL19'!$J$10:$J$224),0),
IF('TL19'!$B$229=J$3,SUMIF('TL19'!$C$238:$C$451,$C185,'TL19'!$J$238:$J$451),0)
),0)</f>
        <v>0</v>
      </c>
      <c r="K185" s="9">
        <f>IFERROR(SUM(
IF('TL01'!$B$3=K$3,SUMIF('TL01'!$C$10:$C$224,$C185,'TL01'!$J$10:$J$224),0),
IF('TL01'!$B$229=K$3,SUMIF('TL01'!$C$238:$C$451,$C185,'TL01'!$J$238:$J$451),0),
IF('TL02'!$B$3=K$3,SUMIF('TL02'!$C$10:$C$224,$C185,'TL02'!$J$10:$J$224),0),
IF('TL02'!$B$229=K$3,SUMIF('TL02'!$C$238:$C$451,$C185,'TL02'!$J$238:$J$451),0),
IF('TL03'!$B$3=K$3,SUMIF('TL03'!$C$10:$C$224,$C185,'TL03'!$J$10:$J$224),0),
IF('TL03'!$B$229=K$3,SUMIF('TL03'!$C$238:$C$451,$C185,'TL03'!$J$238:$J$451),0),
IF('TL04'!$B$3=K$3,SUMIF('TL04'!$C$10:$C$224,$C185,'TL04'!$J$10:$J$224),0),
IF('TL04'!$B$229=K$3,SUMIF('TL04'!$C$238:$C$451,$C185,'TL04'!$J$238:$J$451),0),
IF('TL05'!$B$3=K$3,SUMIF('TL05'!$C$10:$C$224,$C185,'TL05'!$J$10:$J$224),0),
IF('TL05'!$B$229=K$3,SUMIF('TL05'!$C$238:$C$451,$C185,'TL05'!$J$238:$J$451),0),
IF('TL06'!$B$3=K$3,SUMIF('TL06'!$C$10:$C$224,$C185,'TL06'!$J$10:$J$224),0),
IF('TL06'!$B$229=K$3,SUMIF('TL06'!$C$238:$C$451,$C185,'TL06'!$J$238:$J$451),0),
IF('TL07'!$B$3=K$3,SUMIF('TL07'!$C$10:$C$224,$C185,'TL07'!$J$10:$J$224),0),
IF('TL07'!$B$229=K$3,SUMIF('TL07'!$C$238:$C$451,$C185,'TL07'!$J$238:$J$451),0),
IF('TL08'!$B$3=K$3,SUMIF('TL08'!$C$10:$C$224,$C185,'TL08'!$J$10:$J$224),0),
IF('TL08'!$B$229=K$3,SUMIF('TL08'!$C$238:$C$451,$C185,'TL08'!$J$238:$J$451),0),
IF('TL09'!$B$3=K$3,SUMIF('TL09'!$C$10:$C$224,$C185,'TL09'!$J$10:$J$224),0),
IF('TL09'!$B$229=K$3,SUMIF('TL09'!$C$238:$C$451,$C185,'TL09'!$J$238:$J$451),0),
IF('TL10'!$B$3=K$3,SUMIF('TL10'!$C$10:$C$224,$C185,'TL10'!$J$10:$J$224),0),
IF('TL10'!$B$229=K$3,SUMIF('TL10'!$C$238:$C$451,$C185,'TL10'!$J$238:$J$451),0),
IF('TL11'!$B$3=K$3,SUMIF('TL11'!$C$10:$C$224,$C185,'TL11'!$J$10:$J$224),0),
IF('TL11'!$B$229=K$3,SUMIF('TL11'!$C$238:$C$451,$C185,'TL11'!$J$238:$J$451),0),
IF('TL12'!$B$3=K$3,SUMIF('TL12'!$C$10:$C$224,$C185,'TL12'!$J$10:$J$224),0),
IF('TL12'!$B$229=K$3,SUMIF('TL12'!$C$238:$C$451,$C185,'TL12'!$J$238:$J$451),0),
IF('TL13'!$B$3=K$3,SUMIF('TL13'!$C$10:$C$224,$C185,'TL13'!$J$10:$J$224),0),
IF('TL13'!$B$229=K$3,SUMIF('TL13'!$C$238:$C$451,$C185,'TL13'!$J$238:$J$451),0),
IF('TL14'!$B$3=K$3,SUMIF('TL14'!$C$10:$C$224,$C185,'TL14'!$J$10:$J$224),0),
IF('TL14'!$B$229=K$3,SUMIF('TL14'!$C$238:$C$451,$C185,'TL14'!$J$238:$J$451),0),
IF('TL15'!$B$3=K$3,SUMIF('TL15'!$C$10:$C$224,$C185,'TL15'!$J$10:$J$224),0),
IF('TL15'!$B$229=K$3,SUMIF('TL15'!$C$238:$C$451,$C185,'TL15'!$J$238:$J$451),0),
IF('TL16'!$B$3=K$3,SUMIF('TL16'!$C$10:$C$224,$C185,'TL16'!$J$10:$J$224),0),
IF('TL16'!$B$229=K$3,SUMIF('TL16'!$C$238:$C$451,$C185,'TL16'!$J$238:$J$451),0),
IF('TL17'!$B$3=K$3,SUMIF('TL17'!$C$10:$C$224,$C185,'TL17'!$J$10:$J$224),0),
IF('TL17'!$B$229=K$3,SUMIF('TL17'!$C$238:$C$451,$C185,'TL17'!$J$238:$J$451),0),
IF('TL18'!$B$3=K$3,SUMIF('TL18'!$C$10:$C$224,$C185,'TL18'!$J$10:$J$224),0),
IF('TL18'!$B$229=K$3,SUMIF('TL18'!$C$238:$C$451,$C185,'TL18'!$J$238:$J$451),0),
IF('TL19'!$B$3=K$3,SUMIF('TL19'!$C$10:$C$224,$C185,'TL19'!$J$10:$J$224),0),
IF('TL19'!$B$229=K$3,SUMIF('TL19'!$C$238:$C$451,$C185,'TL19'!$J$238:$J$451),0)
),0)</f>
        <v>0</v>
      </c>
      <c r="L185" s="9">
        <f>IFERROR(SUM(
IF('TL01'!$B$3=L$3,SUMIF('TL01'!$C$10:$C$224,$C185,'TL01'!$J$10:$J$224),0),
IF('TL01'!$B$229=L$3,SUMIF('TL01'!$C$238:$C$451,$C185,'TL01'!$J$238:$J$451),0),
IF('TL02'!$B$3=L$3,SUMIF('TL02'!$C$10:$C$224,$C185,'TL02'!$J$10:$J$224),0),
IF('TL02'!$B$229=L$3,SUMIF('TL02'!$C$238:$C$451,$C185,'TL02'!$J$238:$J$451),0),
IF('TL03'!$B$3=L$3,SUMIF('TL03'!$C$10:$C$224,$C185,'TL03'!$J$10:$J$224),0),
IF('TL03'!$B$229=L$3,SUMIF('TL03'!$C$238:$C$451,$C185,'TL03'!$J$238:$J$451),0),
IF('TL04'!$B$3=L$3,SUMIF('TL04'!$C$10:$C$224,$C185,'TL04'!$J$10:$J$224),0),
IF('TL04'!$B$229=L$3,SUMIF('TL04'!$C$238:$C$451,$C185,'TL04'!$J$238:$J$451),0),
IF('TL05'!$B$3=L$3,SUMIF('TL05'!$C$10:$C$224,$C185,'TL05'!$J$10:$J$224),0),
IF('TL05'!$B$229=L$3,SUMIF('TL05'!$C$238:$C$451,$C185,'TL05'!$J$238:$J$451),0),
IF('TL06'!$B$3=L$3,SUMIF('TL06'!$C$10:$C$224,$C185,'TL06'!$J$10:$J$224),0),
IF('TL06'!$B$229=L$3,SUMIF('TL06'!$C$238:$C$451,$C185,'TL06'!$J$238:$J$451),0),
IF('TL07'!$B$3=L$3,SUMIF('TL07'!$C$10:$C$224,$C185,'TL07'!$J$10:$J$224),0),
IF('TL07'!$B$229=L$3,SUMIF('TL07'!$C$238:$C$451,$C185,'TL07'!$J$238:$J$451),0),
IF('TL08'!$B$3=L$3,SUMIF('TL08'!$C$10:$C$224,$C185,'TL08'!$J$10:$J$224),0),
IF('TL08'!$B$229=L$3,SUMIF('TL08'!$C$238:$C$451,$C185,'TL08'!$J$238:$J$451),0),
IF('TL09'!$B$3=L$3,SUMIF('TL09'!$C$10:$C$224,$C185,'TL09'!$J$10:$J$224),0),
IF('TL09'!$B$229=L$3,SUMIF('TL09'!$C$238:$C$451,$C185,'TL09'!$J$238:$J$451),0),
IF('TL10'!$B$3=L$3,SUMIF('TL10'!$C$10:$C$224,$C185,'TL10'!$J$10:$J$224),0),
IF('TL10'!$B$229=L$3,SUMIF('TL10'!$C$238:$C$451,$C185,'TL10'!$J$238:$J$451),0),
IF('TL11'!$B$3=L$3,SUMIF('TL11'!$C$10:$C$224,$C185,'TL11'!$J$10:$J$224),0),
IF('TL11'!$B$229=L$3,SUMIF('TL11'!$C$238:$C$451,$C185,'TL11'!$J$238:$J$451),0),
IF('TL12'!$B$3=L$3,SUMIF('TL12'!$C$10:$C$224,$C185,'TL12'!$J$10:$J$224),0),
IF('TL12'!$B$229=L$3,SUMIF('TL12'!$C$238:$C$451,$C185,'TL12'!$J$238:$J$451),0),
IF('TL13'!$B$3=L$3,SUMIF('TL13'!$C$10:$C$224,$C185,'TL13'!$J$10:$J$224),0),
IF('TL13'!$B$229=L$3,SUMIF('TL13'!$C$238:$C$451,$C185,'TL13'!$J$238:$J$451),0),
IF('TL14'!$B$3=L$3,SUMIF('TL14'!$C$10:$C$224,$C185,'TL14'!$J$10:$J$224),0),
IF('TL14'!$B$229=L$3,SUMIF('TL14'!$C$238:$C$451,$C185,'TL14'!$J$238:$J$451),0),
IF('TL15'!$B$3=L$3,SUMIF('TL15'!$C$10:$C$224,$C185,'TL15'!$J$10:$J$224),0),
IF('TL15'!$B$229=L$3,SUMIF('TL15'!$C$238:$C$451,$C185,'TL15'!$J$238:$J$451),0),
IF('TL16'!$B$3=L$3,SUMIF('TL16'!$C$10:$C$224,$C185,'TL16'!$J$10:$J$224),0),
IF('TL16'!$B$229=L$3,SUMIF('TL16'!$C$238:$C$451,$C185,'TL16'!$J$238:$J$451),0),
IF('TL17'!$B$3=L$3,SUMIF('TL17'!$C$10:$C$224,$C185,'TL17'!$J$10:$J$224),0),
IF('TL17'!$B$229=L$3,SUMIF('TL17'!$C$238:$C$451,$C185,'TL17'!$J$238:$J$451),0),
IF('TL18'!$B$3=L$3,SUMIF('TL18'!$C$10:$C$224,$C185,'TL18'!$J$10:$J$224),0),
IF('TL18'!$B$229=L$3,SUMIF('TL18'!$C$238:$C$451,$C185,'TL18'!$J$238:$J$451),0),
IF('TL19'!$B$3=L$3,SUMIF('TL19'!$C$10:$C$224,$C185,'TL19'!$J$10:$J$224),0),
IF('TL19'!$B$229=L$3,SUMIF('TL19'!$C$238:$C$451,$C185,'TL19'!$J$238:$J$451),0)
),0)</f>
        <v>0</v>
      </c>
      <c r="M185" s="9">
        <f>IFERROR(SUM(
IF('TL01'!$B$3=M$3,SUMIF('TL01'!$C$10:$C$224,$C185,'TL01'!$J$10:$J$224),0),
IF('TL01'!$B$229=M$3,SUMIF('TL01'!$C$238:$C$451,$C185,'TL01'!$J$238:$J$451),0),
IF('TL02'!$B$3=M$3,SUMIF('TL02'!$C$10:$C$224,$C185,'TL02'!$J$10:$J$224),0),
IF('TL02'!$B$229=M$3,SUMIF('TL02'!$C$238:$C$451,$C185,'TL02'!$J$238:$J$451),0),
IF('TL03'!$B$3=M$3,SUMIF('TL03'!$C$10:$C$224,$C185,'TL03'!$J$10:$J$224),0),
IF('TL03'!$B$229=M$3,SUMIF('TL03'!$C$238:$C$451,$C185,'TL03'!$J$238:$J$451),0),
IF('TL04'!$B$3=M$3,SUMIF('TL04'!$C$10:$C$224,$C185,'TL04'!$J$10:$J$224),0),
IF('TL04'!$B$229=M$3,SUMIF('TL04'!$C$238:$C$451,$C185,'TL04'!$J$238:$J$451),0),
IF('TL05'!$B$3=M$3,SUMIF('TL05'!$C$10:$C$224,$C185,'TL05'!$J$10:$J$224),0),
IF('TL05'!$B$229=M$3,SUMIF('TL05'!$C$238:$C$451,$C185,'TL05'!$J$238:$J$451),0),
IF('TL06'!$B$3=M$3,SUMIF('TL06'!$C$10:$C$224,$C185,'TL06'!$J$10:$J$224),0),
IF('TL06'!$B$229=M$3,SUMIF('TL06'!$C$238:$C$451,$C185,'TL06'!$J$238:$J$451),0),
IF('TL07'!$B$3=M$3,SUMIF('TL07'!$C$10:$C$224,$C185,'TL07'!$J$10:$J$224),0),
IF('TL07'!$B$229=M$3,SUMIF('TL07'!$C$238:$C$451,$C185,'TL07'!$J$238:$J$451),0),
IF('TL08'!$B$3=M$3,SUMIF('TL08'!$C$10:$C$224,$C185,'TL08'!$J$10:$J$224),0),
IF('TL08'!$B$229=M$3,SUMIF('TL08'!$C$238:$C$451,$C185,'TL08'!$J$238:$J$451),0),
IF('TL09'!$B$3=M$3,SUMIF('TL09'!$C$10:$C$224,$C185,'TL09'!$J$10:$J$224),0),
IF('TL09'!$B$229=M$3,SUMIF('TL09'!$C$238:$C$451,$C185,'TL09'!$J$238:$J$451),0),
IF('TL10'!$B$3=M$3,SUMIF('TL10'!$C$10:$C$224,$C185,'TL10'!$J$10:$J$224),0),
IF('TL10'!$B$229=M$3,SUMIF('TL10'!$C$238:$C$451,$C185,'TL10'!$J$238:$J$451),0),
IF('TL11'!$B$3=M$3,SUMIF('TL11'!$C$10:$C$224,$C185,'TL11'!$J$10:$J$224),0),
IF('TL11'!$B$229=M$3,SUMIF('TL11'!$C$238:$C$451,$C185,'TL11'!$J$238:$J$451),0),
IF('TL12'!$B$3=M$3,SUMIF('TL12'!$C$10:$C$224,$C185,'TL12'!$J$10:$J$224),0),
IF('TL12'!$B$229=M$3,SUMIF('TL12'!$C$238:$C$451,$C185,'TL12'!$J$238:$J$451),0),
IF('TL13'!$B$3=M$3,SUMIF('TL13'!$C$10:$C$224,$C185,'TL13'!$J$10:$J$224),0),
IF('TL13'!$B$229=M$3,SUMIF('TL13'!$C$238:$C$451,$C185,'TL13'!$J$238:$J$451),0),
IF('TL14'!$B$3=M$3,SUMIF('TL14'!$C$10:$C$224,$C185,'TL14'!$J$10:$J$224),0),
IF('TL14'!$B$229=M$3,SUMIF('TL14'!$C$238:$C$451,$C185,'TL14'!$J$238:$J$451),0),
IF('TL15'!$B$3=M$3,SUMIF('TL15'!$C$10:$C$224,$C185,'TL15'!$J$10:$J$224),0),
IF('TL15'!$B$229=M$3,SUMIF('TL15'!$C$238:$C$451,$C185,'TL15'!$J$238:$J$451),0),
IF('TL16'!$B$3=M$3,SUMIF('TL16'!$C$10:$C$224,$C185,'TL16'!$J$10:$J$224),0),
IF('TL16'!$B$229=M$3,SUMIF('TL16'!$C$238:$C$451,$C185,'TL16'!$J$238:$J$451),0),
IF('TL17'!$B$3=M$3,SUMIF('TL17'!$C$10:$C$224,$C185,'TL17'!$J$10:$J$224),0),
IF('TL17'!$B$229=M$3,SUMIF('TL17'!$C$238:$C$451,$C185,'TL17'!$J$238:$J$451),0),
IF('TL18'!$B$3=M$3,SUMIF('TL18'!$C$10:$C$224,$C185,'TL18'!$J$10:$J$224),0),
IF('TL18'!$B$229=M$3,SUMIF('TL18'!$C$238:$C$451,$C185,'TL18'!$J$238:$J$451),0),
IF('TL19'!$B$3=M$3,SUMIF('TL19'!$C$10:$C$224,$C185,'TL19'!$J$10:$J$224),0),
IF('TL19'!$B$229=M$3,SUMIF('TL19'!$C$238:$C$451,$C185,'TL19'!$J$238:$J$451),0)
),0)</f>
        <v>0</v>
      </c>
      <c r="N185" s="9">
        <f>IFERROR(SUM(
IF('TL01'!$B$3=N$3,SUMIF('TL01'!$C$10:$C$224,$C185,'TL01'!$J$10:$J$224),0),
IF('TL01'!$B$229=N$3,SUMIF('TL01'!$C$238:$C$451,$C185,'TL01'!$J$238:$J$451),0),
IF('TL02'!$B$3=N$3,SUMIF('TL02'!$C$10:$C$224,$C185,'TL02'!$J$10:$J$224),0),
IF('TL02'!$B$229=N$3,SUMIF('TL02'!$C$238:$C$451,$C185,'TL02'!$J$238:$J$451),0),
IF('TL03'!$B$3=N$3,SUMIF('TL03'!$C$10:$C$224,$C185,'TL03'!$J$10:$J$224),0),
IF('TL03'!$B$229=N$3,SUMIF('TL03'!$C$238:$C$451,$C185,'TL03'!$J$238:$J$451),0),
IF('TL04'!$B$3=N$3,SUMIF('TL04'!$C$10:$C$224,$C185,'TL04'!$J$10:$J$224),0),
IF('TL04'!$B$229=N$3,SUMIF('TL04'!$C$238:$C$451,$C185,'TL04'!$J$238:$J$451),0),
IF('TL05'!$B$3=N$3,SUMIF('TL05'!$C$10:$C$224,$C185,'TL05'!$J$10:$J$224),0),
IF('TL05'!$B$229=N$3,SUMIF('TL05'!$C$238:$C$451,$C185,'TL05'!$J$238:$J$451),0),
IF('TL06'!$B$3=N$3,SUMIF('TL06'!$C$10:$C$224,$C185,'TL06'!$J$10:$J$224),0),
IF('TL06'!$B$229=N$3,SUMIF('TL06'!$C$238:$C$451,$C185,'TL06'!$J$238:$J$451),0),
IF('TL07'!$B$3=N$3,SUMIF('TL07'!$C$10:$C$224,$C185,'TL07'!$J$10:$J$224),0),
IF('TL07'!$B$229=N$3,SUMIF('TL07'!$C$238:$C$451,$C185,'TL07'!$J$238:$J$451),0),
IF('TL08'!$B$3=N$3,SUMIF('TL08'!$C$10:$C$224,$C185,'TL08'!$J$10:$J$224),0),
IF('TL08'!$B$229=N$3,SUMIF('TL08'!$C$238:$C$451,$C185,'TL08'!$J$238:$J$451),0),
IF('TL09'!$B$3=N$3,SUMIF('TL09'!$C$10:$C$224,$C185,'TL09'!$J$10:$J$224),0),
IF('TL09'!$B$229=N$3,SUMIF('TL09'!$C$238:$C$451,$C185,'TL09'!$J$238:$J$451),0),
IF('TL10'!$B$3=N$3,SUMIF('TL10'!$C$10:$C$224,$C185,'TL10'!$J$10:$J$224),0),
IF('TL10'!$B$229=N$3,SUMIF('TL10'!$C$238:$C$451,$C185,'TL10'!$J$238:$J$451),0),
IF('TL11'!$B$3=N$3,SUMIF('TL11'!$C$10:$C$224,$C185,'TL11'!$J$10:$J$224),0),
IF('TL11'!$B$229=N$3,SUMIF('TL11'!$C$238:$C$451,$C185,'TL11'!$J$238:$J$451),0),
IF('TL12'!$B$3=N$3,SUMIF('TL12'!$C$10:$C$224,$C185,'TL12'!$J$10:$J$224),0),
IF('TL12'!$B$229=N$3,SUMIF('TL12'!$C$238:$C$451,$C185,'TL12'!$J$238:$J$451),0),
IF('TL13'!$B$3=N$3,SUMIF('TL13'!$C$10:$C$224,$C185,'TL13'!$J$10:$J$224),0),
IF('TL13'!$B$229=N$3,SUMIF('TL13'!$C$238:$C$451,$C185,'TL13'!$J$238:$J$451),0),
IF('TL14'!$B$3=N$3,SUMIF('TL14'!$C$10:$C$224,$C185,'TL14'!$J$10:$J$224),0),
IF('TL14'!$B$229=N$3,SUMIF('TL14'!$C$238:$C$451,$C185,'TL14'!$J$238:$J$451),0),
IF('TL15'!$B$3=N$3,SUMIF('TL15'!$C$10:$C$224,$C185,'TL15'!$J$10:$J$224),0),
IF('TL15'!$B$229=N$3,SUMIF('TL15'!$C$238:$C$451,$C185,'TL15'!$J$238:$J$451),0),
IF('TL16'!$B$3=N$3,SUMIF('TL16'!$C$10:$C$224,$C185,'TL16'!$J$10:$J$224),0),
IF('TL16'!$B$229=N$3,SUMIF('TL16'!$C$238:$C$451,$C185,'TL16'!$J$238:$J$451),0),
IF('TL17'!$B$3=N$3,SUMIF('TL17'!$C$10:$C$224,$C185,'TL17'!$J$10:$J$224),0),
IF('TL17'!$B$229=N$3,SUMIF('TL17'!$C$238:$C$451,$C185,'TL17'!$J$238:$J$451),0),
IF('TL18'!$B$3=N$3,SUMIF('TL18'!$C$10:$C$224,$C185,'TL18'!$J$10:$J$224),0),
IF('TL18'!$B$229=N$3,SUMIF('TL18'!$C$238:$C$451,$C185,'TL18'!$J$238:$J$451),0),
IF('TL19'!$B$3=N$3,SUMIF('TL19'!$C$10:$C$224,$C185,'TL19'!$J$10:$J$224),0),
IF('TL19'!$B$229=N$3,SUMIF('TL19'!$C$238:$C$451,$C185,'TL19'!$J$238:$J$451),0)
),0)</f>
        <v>0</v>
      </c>
      <c r="O185" s="9">
        <f>IFERROR(SUM(
IF('TL01'!$B$3=O$3,SUMIF('TL01'!$C$10:$C$224,$C185,'TL01'!$J$10:$J$224),0),
IF('TL01'!$B$229=O$3,SUMIF('TL01'!$C$238:$C$451,$C185,'TL01'!$J$238:$J$451),0),
IF('TL02'!$B$3=O$3,SUMIF('TL02'!$C$10:$C$224,$C185,'TL02'!$J$10:$J$224),0),
IF('TL02'!$B$229=O$3,SUMIF('TL02'!$C$238:$C$451,$C185,'TL02'!$J$238:$J$451),0),
IF('TL03'!$B$3=O$3,SUMIF('TL03'!$C$10:$C$224,$C185,'TL03'!$J$10:$J$224),0),
IF('TL03'!$B$229=O$3,SUMIF('TL03'!$C$238:$C$451,$C185,'TL03'!$J$238:$J$451),0),
IF('TL04'!$B$3=O$3,SUMIF('TL04'!$C$10:$C$224,$C185,'TL04'!$J$10:$J$224),0),
IF('TL04'!$B$229=O$3,SUMIF('TL04'!$C$238:$C$451,$C185,'TL04'!$J$238:$J$451),0),
IF('TL05'!$B$3=O$3,SUMIF('TL05'!$C$10:$C$224,$C185,'TL05'!$J$10:$J$224),0),
IF('TL05'!$B$229=O$3,SUMIF('TL05'!$C$238:$C$451,$C185,'TL05'!$J$238:$J$451),0),
IF('TL06'!$B$3=O$3,SUMIF('TL06'!$C$10:$C$224,$C185,'TL06'!$J$10:$J$224),0),
IF('TL06'!$B$229=O$3,SUMIF('TL06'!$C$238:$C$451,$C185,'TL06'!$J$238:$J$451),0),
IF('TL07'!$B$3=O$3,SUMIF('TL07'!$C$10:$C$224,$C185,'TL07'!$J$10:$J$224),0),
IF('TL07'!$B$229=O$3,SUMIF('TL07'!$C$238:$C$451,$C185,'TL07'!$J$238:$J$451),0),
IF('TL08'!$B$3=O$3,SUMIF('TL08'!$C$10:$C$224,$C185,'TL08'!$J$10:$J$224),0),
IF('TL08'!$B$229=O$3,SUMIF('TL08'!$C$238:$C$451,$C185,'TL08'!$J$238:$J$451),0),
IF('TL09'!$B$3=O$3,SUMIF('TL09'!$C$10:$C$224,$C185,'TL09'!$J$10:$J$224),0),
IF('TL09'!$B$229=O$3,SUMIF('TL09'!$C$238:$C$451,$C185,'TL09'!$J$238:$J$451),0),
IF('TL10'!$B$3=O$3,SUMIF('TL10'!$C$10:$C$224,$C185,'TL10'!$J$10:$J$224),0),
IF('TL10'!$B$229=O$3,SUMIF('TL10'!$C$238:$C$451,$C185,'TL10'!$J$238:$J$451),0),
IF('TL11'!$B$3=O$3,SUMIF('TL11'!$C$10:$C$224,$C185,'TL11'!$J$10:$J$224),0),
IF('TL11'!$B$229=O$3,SUMIF('TL11'!$C$238:$C$451,$C185,'TL11'!$J$238:$J$451),0),
IF('TL12'!$B$3=O$3,SUMIF('TL12'!$C$10:$C$224,$C185,'TL12'!$J$10:$J$224),0),
IF('TL12'!$B$229=O$3,SUMIF('TL12'!$C$238:$C$451,$C185,'TL12'!$J$238:$J$451),0),
IF('TL13'!$B$3=O$3,SUMIF('TL13'!$C$10:$C$224,$C185,'TL13'!$J$10:$J$224),0),
IF('TL13'!$B$229=O$3,SUMIF('TL13'!$C$238:$C$451,$C185,'TL13'!$J$238:$J$451),0),
IF('TL14'!$B$3=O$3,SUMIF('TL14'!$C$10:$C$224,$C185,'TL14'!$J$10:$J$224),0),
IF('TL14'!$B$229=O$3,SUMIF('TL14'!$C$238:$C$451,$C185,'TL14'!$J$238:$J$451),0),
IF('TL15'!$B$3=O$3,SUMIF('TL15'!$C$10:$C$224,$C185,'TL15'!$J$10:$J$224),0),
IF('TL15'!$B$229=O$3,SUMIF('TL15'!$C$238:$C$451,$C185,'TL15'!$J$238:$J$451),0),
IF('TL16'!$B$3=O$3,SUMIF('TL16'!$C$10:$C$224,$C185,'TL16'!$J$10:$J$224),0),
IF('TL16'!$B$229=O$3,SUMIF('TL16'!$C$238:$C$451,$C185,'TL16'!$J$238:$J$451),0),
IF('TL17'!$B$3=O$3,SUMIF('TL17'!$C$10:$C$224,$C185,'TL17'!$J$10:$J$224),0),
IF('TL17'!$B$229=O$3,SUMIF('TL17'!$C$238:$C$451,$C185,'TL17'!$J$238:$J$451),0),
IF('TL18'!$B$3=O$3,SUMIF('TL18'!$C$10:$C$224,$C185,'TL18'!$J$10:$J$224),0),
IF('TL18'!$B$229=O$3,SUMIF('TL18'!$C$238:$C$451,$C185,'TL18'!$J$238:$J$451),0),
IF('TL19'!$B$3=O$3,SUMIF('TL19'!$C$10:$C$224,$C185,'TL19'!$J$10:$J$224),0),
IF('TL19'!$B$229=O$3,SUMIF('TL19'!$C$238:$C$451,$C185,'TL19'!$J$238:$J$451),0)
),0)</f>
        <v>0</v>
      </c>
      <c r="P185" s="9">
        <f>IFERROR(SUM(
IF('TL01'!$B$3=P$3,SUMIF('TL01'!$C$10:$C$224,$C185,'TL01'!$J$10:$J$224),0),
IF('TL01'!$B$229=P$3,SUMIF('TL01'!$C$238:$C$451,$C185,'TL01'!$J$238:$J$451),0),
IF('TL02'!$B$3=P$3,SUMIF('TL02'!$C$10:$C$224,$C185,'TL02'!$J$10:$J$224),0),
IF('TL02'!$B$229=P$3,SUMIF('TL02'!$C$238:$C$451,$C185,'TL02'!$J$238:$J$451),0),
IF('TL03'!$B$3=P$3,SUMIF('TL03'!$C$10:$C$224,$C185,'TL03'!$J$10:$J$224),0),
IF('TL03'!$B$229=P$3,SUMIF('TL03'!$C$238:$C$451,$C185,'TL03'!$J$238:$J$451),0),
IF('TL04'!$B$3=P$3,SUMIF('TL04'!$C$10:$C$224,$C185,'TL04'!$J$10:$J$224),0),
IF('TL04'!$B$229=P$3,SUMIF('TL04'!$C$238:$C$451,$C185,'TL04'!$J$238:$J$451),0),
IF('TL05'!$B$3=P$3,SUMIF('TL05'!$C$10:$C$224,$C185,'TL05'!$J$10:$J$224),0),
IF('TL05'!$B$229=P$3,SUMIF('TL05'!$C$238:$C$451,$C185,'TL05'!$J$238:$J$451),0),
IF('TL06'!$B$3=P$3,SUMIF('TL06'!$C$10:$C$224,$C185,'TL06'!$J$10:$J$224),0),
IF('TL06'!$B$229=P$3,SUMIF('TL06'!$C$238:$C$451,$C185,'TL06'!$J$238:$J$451),0),
IF('TL07'!$B$3=P$3,SUMIF('TL07'!$C$10:$C$224,$C185,'TL07'!$J$10:$J$224),0),
IF('TL07'!$B$229=P$3,SUMIF('TL07'!$C$238:$C$451,$C185,'TL07'!$J$238:$J$451),0),
IF('TL08'!$B$3=P$3,SUMIF('TL08'!$C$10:$C$224,$C185,'TL08'!$J$10:$J$224),0),
IF('TL08'!$B$229=P$3,SUMIF('TL08'!$C$238:$C$451,$C185,'TL08'!$J$238:$J$451),0),
IF('TL09'!$B$3=P$3,SUMIF('TL09'!$C$10:$C$224,$C185,'TL09'!$J$10:$J$224),0),
IF('TL09'!$B$229=P$3,SUMIF('TL09'!$C$238:$C$451,$C185,'TL09'!$J$238:$J$451),0),
IF('TL10'!$B$3=P$3,SUMIF('TL10'!$C$10:$C$224,$C185,'TL10'!$J$10:$J$224),0),
IF('TL10'!$B$229=P$3,SUMIF('TL10'!$C$238:$C$451,$C185,'TL10'!$J$238:$J$451),0),
IF('TL11'!$B$3=P$3,SUMIF('TL11'!$C$10:$C$224,$C185,'TL11'!$J$10:$J$224),0),
IF('TL11'!$B$229=P$3,SUMIF('TL11'!$C$238:$C$451,$C185,'TL11'!$J$238:$J$451),0),
IF('TL12'!$B$3=P$3,SUMIF('TL12'!$C$10:$C$224,$C185,'TL12'!$J$10:$J$224),0),
IF('TL12'!$B$229=P$3,SUMIF('TL12'!$C$238:$C$451,$C185,'TL12'!$J$238:$J$451),0),
IF('TL13'!$B$3=P$3,SUMIF('TL13'!$C$10:$C$224,$C185,'TL13'!$J$10:$J$224),0),
IF('TL13'!$B$229=P$3,SUMIF('TL13'!$C$238:$C$451,$C185,'TL13'!$J$238:$J$451),0),
IF('TL14'!$B$3=P$3,SUMIF('TL14'!$C$10:$C$224,$C185,'TL14'!$J$10:$J$224),0),
IF('TL14'!$B$229=P$3,SUMIF('TL14'!$C$238:$C$451,$C185,'TL14'!$J$238:$J$451),0),
IF('TL15'!$B$3=P$3,SUMIF('TL15'!$C$10:$C$224,$C185,'TL15'!$J$10:$J$224),0),
IF('TL15'!$B$229=P$3,SUMIF('TL15'!$C$238:$C$451,$C185,'TL15'!$J$238:$J$451),0),
IF('TL16'!$B$3=P$3,SUMIF('TL16'!$C$10:$C$224,$C185,'TL16'!$J$10:$J$224),0),
IF('TL16'!$B$229=P$3,SUMIF('TL16'!$C$238:$C$451,$C185,'TL16'!$J$238:$J$451),0),
IF('TL17'!$B$3=P$3,SUMIF('TL17'!$C$10:$C$224,$C185,'TL17'!$J$10:$J$224),0),
IF('TL17'!$B$229=P$3,SUMIF('TL17'!$C$238:$C$451,$C185,'TL17'!$J$238:$J$451),0),
IF('TL18'!$B$3=P$3,SUMIF('TL18'!$C$10:$C$224,$C185,'TL18'!$J$10:$J$224),0),
IF('TL18'!$B$229=P$3,SUMIF('TL18'!$C$238:$C$451,$C185,'TL18'!$J$238:$J$451),0),
IF('TL19'!$B$3=P$3,SUMIF('TL19'!$C$10:$C$224,$C185,'TL19'!$J$10:$J$224),0),
IF('TL19'!$B$229=P$3,SUMIF('TL19'!$C$238:$C$451,$C185,'TL19'!$J$238:$J$451),0)
),0)</f>
        <v>0</v>
      </c>
      <c r="Q185" s="9">
        <f>IFERROR(SUM(
IF('TL01'!$B$3=Q$3,SUMIF('TL01'!$C$10:$C$224,$C185,'TL01'!$J$10:$J$224),0),
IF('TL01'!$B$229=Q$3,SUMIF('TL01'!$C$238:$C$451,$C185,'TL01'!$J$238:$J$451),0),
IF('TL02'!$B$3=Q$3,SUMIF('TL02'!$C$10:$C$224,$C185,'TL02'!$J$10:$J$224),0),
IF('TL02'!$B$229=Q$3,SUMIF('TL02'!$C$238:$C$451,$C185,'TL02'!$J$238:$J$451),0),
IF('TL03'!$B$3=Q$3,SUMIF('TL03'!$C$10:$C$224,$C185,'TL03'!$J$10:$J$224),0),
IF('TL03'!$B$229=Q$3,SUMIF('TL03'!$C$238:$C$451,$C185,'TL03'!$J$238:$J$451),0),
IF('TL04'!$B$3=Q$3,SUMIF('TL04'!$C$10:$C$224,$C185,'TL04'!$J$10:$J$224),0),
IF('TL04'!$B$229=Q$3,SUMIF('TL04'!$C$238:$C$451,$C185,'TL04'!$J$238:$J$451),0),
IF('TL05'!$B$3=Q$3,SUMIF('TL05'!$C$10:$C$224,$C185,'TL05'!$J$10:$J$224),0),
IF('TL05'!$B$229=Q$3,SUMIF('TL05'!$C$238:$C$451,$C185,'TL05'!$J$238:$J$451),0),
IF('TL06'!$B$3=Q$3,SUMIF('TL06'!$C$10:$C$224,$C185,'TL06'!$J$10:$J$224),0),
IF('TL06'!$B$229=Q$3,SUMIF('TL06'!$C$238:$C$451,$C185,'TL06'!$J$238:$J$451),0),
IF('TL07'!$B$3=Q$3,SUMIF('TL07'!$C$10:$C$224,$C185,'TL07'!$J$10:$J$224),0),
IF('TL07'!$B$229=Q$3,SUMIF('TL07'!$C$238:$C$451,$C185,'TL07'!$J$238:$J$451),0),
IF('TL08'!$B$3=Q$3,SUMIF('TL08'!$C$10:$C$224,$C185,'TL08'!$J$10:$J$224),0),
IF('TL08'!$B$229=Q$3,SUMIF('TL08'!$C$238:$C$451,$C185,'TL08'!$J$238:$J$451),0),
IF('TL09'!$B$3=Q$3,SUMIF('TL09'!$C$10:$C$224,$C185,'TL09'!$J$10:$J$224),0),
IF('TL09'!$B$229=Q$3,SUMIF('TL09'!$C$238:$C$451,$C185,'TL09'!$J$238:$J$451),0),
IF('TL10'!$B$3=Q$3,SUMIF('TL10'!$C$10:$C$224,$C185,'TL10'!$J$10:$J$224),0),
IF('TL10'!$B$229=Q$3,SUMIF('TL10'!$C$238:$C$451,$C185,'TL10'!$J$238:$J$451),0),
IF('TL11'!$B$3=Q$3,SUMIF('TL11'!$C$10:$C$224,$C185,'TL11'!$J$10:$J$224),0),
IF('TL11'!$B$229=Q$3,SUMIF('TL11'!$C$238:$C$451,$C185,'TL11'!$J$238:$J$451),0),
IF('TL12'!$B$3=Q$3,SUMIF('TL12'!$C$10:$C$224,$C185,'TL12'!$J$10:$J$224),0),
IF('TL12'!$B$229=Q$3,SUMIF('TL12'!$C$238:$C$451,$C185,'TL12'!$J$238:$J$451),0),
IF('TL13'!$B$3=Q$3,SUMIF('TL13'!$C$10:$C$224,$C185,'TL13'!$J$10:$J$224),0),
IF('TL13'!$B$229=Q$3,SUMIF('TL13'!$C$238:$C$451,$C185,'TL13'!$J$238:$J$451),0),
IF('TL14'!$B$3=Q$3,SUMIF('TL14'!$C$10:$C$224,$C185,'TL14'!$J$10:$J$224),0),
IF('TL14'!$B$229=Q$3,SUMIF('TL14'!$C$238:$C$451,$C185,'TL14'!$J$238:$J$451),0),
IF('TL15'!$B$3=Q$3,SUMIF('TL15'!$C$10:$C$224,$C185,'TL15'!$J$10:$J$224),0),
IF('TL15'!$B$229=Q$3,SUMIF('TL15'!$C$238:$C$451,$C185,'TL15'!$J$238:$J$451),0),
IF('TL16'!$B$3=Q$3,SUMIF('TL16'!$C$10:$C$224,$C185,'TL16'!$J$10:$J$224),0),
IF('TL16'!$B$229=Q$3,SUMIF('TL16'!$C$238:$C$451,$C185,'TL16'!$J$238:$J$451),0),
IF('TL17'!$B$3=Q$3,SUMIF('TL17'!$C$10:$C$224,$C185,'TL17'!$J$10:$J$224),0),
IF('TL17'!$B$229=Q$3,SUMIF('TL17'!$C$238:$C$451,$C185,'TL17'!$J$238:$J$451),0),
IF('TL18'!$B$3=Q$3,SUMIF('TL18'!$C$10:$C$224,$C185,'TL18'!$J$10:$J$224),0),
IF('TL18'!$B$229=Q$3,SUMIF('TL18'!$C$238:$C$451,$C185,'TL18'!$J$238:$J$451),0),
IF('TL19'!$B$3=Q$3,SUMIF('TL19'!$C$10:$C$224,$C185,'TL19'!$J$10:$J$224),0),
IF('TL19'!$B$229=Q$3,SUMIF('TL19'!$C$238:$C$451,$C185,'TL19'!$J$238:$J$451),0)
),0)</f>
        <v>0</v>
      </c>
      <c r="R185" s="9">
        <f>IFERROR(
SUM(
SUMIF('TL01'!C:C,C185,'TL01'!J:J),
SUMIF('TL02'!C:C,C185,'TL02'!J:J),
SUMIF('TL03'!C:C,C185,'TL03'!J:J),
SUMIF('TL04'!C:C,C185,'TL04'!J:J),
SUMIF('TL05'!C:C,C185,'TL05'!J:J),
SUMIF('TL06'!C:C,C185,'TL06'!J:J),
SUMIF('TL07'!C:C,C185,'TL07'!J:J),
SUMIF('TL08'!C:C,C185,'TL08'!J:J),
SUMIF('TL09'!C:C,C185,'TL09'!J:J),
SUMIF('TL10'!C:C,C185,'TL10'!J:J),
SUMIF('TL11'!C:C,C185,'TL11'!J:J),
SUMIF('TL12'!C:C,C185,'TL12'!J:J),
SUMIF('TL13'!C:C,C185,'TL13'!J:J),
SUMIF('TL14'!C:C,C185,'TL14'!J:J),
SUMIF('TL15'!C:C,C185,'TL15'!J:J),
SUMIF('TL16'!C:C,C185,'TL16'!J:J),
SUMIF('TL17'!C:C,C185,'TL17'!J:J),
SUMIF('TL18'!C:C,C185,'TL18'!J:J),SUMIF('TL19'!C:C,C185,'TL19'!J:J))
,0)</f>
        <v>0</v>
      </c>
      <c r="S185" s="17">
        <f>IFERROR(__xludf.DUMMYFUNCTION("IFERROR(VLOOKUP(C185,
IMPORTRANGE(""1wULbzX32WdYsx-lj2U3uUNBBe2INVIRDtcK0d-Dvl90"",
""26-27!C:G""),
5,
FALSE),
"""")"),48.20589)</f>
        <v>48.20589</v>
      </c>
      <c r="T185" s="9"/>
      <c r="U185" s="92">
        <f t="shared" si="2"/>
        <v>0</v>
      </c>
      <c r="V185" s="93">
        <f t="shared" si="3"/>
        <v>0</v>
      </c>
    </row>
    <row r="186" ht="15.75" hidden="1" customHeight="1">
      <c r="A186" s="87" t="s">
        <v>350</v>
      </c>
      <c r="B186" s="88" t="s">
        <v>2</v>
      </c>
      <c r="C186" s="89" t="s">
        <v>782</v>
      </c>
      <c r="D186" s="89" t="s">
        <v>783</v>
      </c>
      <c r="E186" s="89">
        <v>240.0</v>
      </c>
      <c r="F186" s="4" t="s">
        <v>343</v>
      </c>
      <c r="G186" s="90" t="str">
        <f t="shared" si="4"/>
        <v>📄 Ver bula</v>
      </c>
      <c r="H186" s="9">
        <f>IFERROR(__xludf.DUMMYFUNCTION("IFERROR(VLOOKUP(C186,
IMPORTRANGE(""1wULbzX32WdYsx-lj2U3uUNBBe2INVIRDtcK0d-Dvl90"",
""26-27!C:K""),
8,
FALSE),
"""")"),0.4)</f>
        <v>0.4</v>
      </c>
      <c r="I186" s="91" t="s">
        <v>382</v>
      </c>
      <c r="J186" s="9">
        <f>IFERROR(SUM(
IF('TL01'!$B$3=J$3,SUMIF('TL01'!$C$10:$C$224,$C186,'TL01'!$J$10:$J$224),0),
IF('TL01'!$B$229=J$3,SUMIF('TL01'!$C$238:$C$451,$C186,'TL01'!$J$238:$J$451),0),
IF('TL02'!$B$3=J$3,SUMIF('TL02'!$C$10:$C$224,$C186,'TL02'!$J$10:$J$224),0),
IF('TL02'!$B$229=J$3,SUMIF('TL02'!$C$238:$C$451,$C186,'TL02'!$J$238:$J$451),0),
IF('TL03'!$B$3=J$3,SUMIF('TL03'!$C$10:$C$224,$C186,'TL03'!$J$10:$J$224),0),
IF('TL03'!$B$229=J$3,SUMIF('TL03'!$C$238:$C$451,$C186,'TL03'!$J$238:$J$451),0),
IF('TL04'!$B$3=J$3,SUMIF('TL04'!$C$10:$C$224,$C186,'TL04'!$J$10:$J$224),0),
IF('TL04'!$B$229=J$3,SUMIF('TL04'!$C$238:$C$451,$C186,'TL04'!$J$238:$J$451),0),
IF('TL05'!$B$3=J$3,SUMIF('TL05'!$C$10:$C$224,$C186,'TL05'!$J$10:$J$224),0),
IF('TL05'!$B$229=J$3,SUMIF('TL05'!$C$238:$C$451,$C186,'TL05'!$J$238:$J$451),0),
IF('TL06'!$B$3=J$3,SUMIF('TL06'!$C$10:$C$224,$C186,'TL06'!$J$10:$J$224),0),
IF('TL06'!$B$229=J$3,SUMIF('TL06'!$C$238:$C$451,$C186,'TL06'!$J$238:$J$451),0),
IF('TL07'!$B$3=J$3,SUMIF('TL07'!$C$10:$C$224,$C186,'TL07'!$J$10:$J$224),0),
IF('TL07'!$B$229=J$3,SUMIF('TL07'!$C$238:$C$451,$C186,'TL07'!$J$238:$J$451),0),
IF('TL08'!$B$3=J$3,SUMIF('TL08'!$C$10:$C$224,$C186,'TL08'!$J$10:$J$224),0),
IF('TL08'!$B$229=J$3,SUMIF('TL08'!$C$238:$C$451,$C186,'TL08'!$J$238:$J$451),0),
IF('TL09'!$B$3=J$3,SUMIF('TL09'!$C$10:$C$224,$C186,'TL09'!$J$10:$J$224),0),
IF('TL09'!$B$229=J$3,SUMIF('TL09'!$C$238:$C$451,$C186,'TL09'!$J$238:$J$451),0),
IF('TL10'!$B$3=J$3,SUMIF('TL10'!$C$10:$C$224,$C186,'TL10'!$J$10:$J$224),0),
IF('TL10'!$B$229=J$3,SUMIF('TL10'!$C$238:$C$451,$C186,'TL10'!$J$238:$J$451),0),
IF('TL11'!$B$3=J$3,SUMIF('TL11'!$C$10:$C$224,$C186,'TL11'!$J$10:$J$224),0),
IF('TL11'!$B$229=J$3,SUMIF('TL11'!$C$238:$C$451,$C186,'TL11'!$J$238:$J$451),0),
IF('TL12'!$B$3=J$3,SUMIF('TL12'!$C$10:$C$224,$C186,'TL12'!$J$10:$J$224),0),
IF('TL12'!$B$229=J$3,SUMIF('TL12'!$C$238:$C$451,$C186,'TL12'!$J$238:$J$451),0),
IF('TL13'!$B$3=J$3,SUMIF('TL13'!$C$10:$C$224,$C186,'TL13'!$J$10:$J$224),0),
IF('TL13'!$B$229=J$3,SUMIF('TL13'!$C$238:$C$451,$C186,'TL13'!$J$238:$J$451),0),
IF('TL14'!$B$3=J$3,SUMIF('TL14'!$C$10:$C$224,$C186,'TL14'!$J$10:$J$224),0),
IF('TL14'!$B$229=J$3,SUMIF('TL14'!$C$238:$C$451,$C186,'TL14'!$J$238:$J$451),0),
IF('TL15'!$B$3=J$3,SUMIF('TL15'!$C$10:$C$224,$C186,'TL15'!$J$10:$J$224),0),
IF('TL15'!$B$229=J$3,SUMIF('TL15'!$C$238:$C$451,$C186,'TL15'!$J$238:$J$451),0),
IF('TL16'!$B$3=J$3,SUMIF('TL16'!$C$10:$C$224,$C186,'TL16'!$J$10:$J$224),0),
IF('TL16'!$B$229=J$3,SUMIF('TL16'!$C$238:$C$451,$C186,'TL16'!$J$238:$J$451),0),
IF('TL17'!$B$3=J$3,SUMIF('TL17'!$C$10:$C$224,$C186,'TL17'!$J$10:$J$224),0),
IF('TL17'!$B$229=J$3,SUMIF('TL17'!$C$238:$C$451,$C186,'TL17'!$J$238:$J$451),0),
IF('TL18'!$B$3=J$3,SUMIF('TL18'!$C$10:$C$224,$C186,'TL18'!$J$10:$J$224),0),
IF('TL18'!$B$229=J$3,SUMIF('TL18'!$C$238:$C$451,$C186,'TL18'!$J$238:$J$451),0),
IF('TL19'!$B$3=J$3,SUMIF('TL19'!$C$10:$C$224,$C186,'TL19'!$J$10:$J$224),0),
IF('TL19'!$B$229=J$3,SUMIF('TL19'!$C$238:$C$451,$C186,'TL19'!$J$238:$J$451),0)
),0)</f>
        <v>0</v>
      </c>
      <c r="K186" s="9">
        <f>IFERROR(SUM(
IF('TL01'!$B$3=K$3,SUMIF('TL01'!$C$10:$C$224,$C186,'TL01'!$J$10:$J$224),0),
IF('TL01'!$B$229=K$3,SUMIF('TL01'!$C$238:$C$451,$C186,'TL01'!$J$238:$J$451),0),
IF('TL02'!$B$3=K$3,SUMIF('TL02'!$C$10:$C$224,$C186,'TL02'!$J$10:$J$224),0),
IF('TL02'!$B$229=K$3,SUMIF('TL02'!$C$238:$C$451,$C186,'TL02'!$J$238:$J$451),0),
IF('TL03'!$B$3=K$3,SUMIF('TL03'!$C$10:$C$224,$C186,'TL03'!$J$10:$J$224),0),
IF('TL03'!$B$229=K$3,SUMIF('TL03'!$C$238:$C$451,$C186,'TL03'!$J$238:$J$451),0),
IF('TL04'!$B$3=K$3,SUMIF('TL04'!$C$10:$C$224,$C186,'TL04'!$J$10:$J$224),0),
IF('TL04'!$B$229=K$3,SUMIF('TL04'!$C$238:$C$451,$C186,'TL04'!$J$238:$J$451),0),
IF('TL05'!$B$3=K$3,SUMIF('TL05'!$C$10:$C$224,$C186,'TL05'!$J$10:$J$224),0),
IF('TL05'!$B$229=K$3,SUMIF('TL05'!$C$238:$C$451,$C186,'TL05'!$J$238:$J$451),0),
IF('TL06'!$B$3=K$3,SUMIF('TL06'!$C$10:$C$224,$C186,'TL06'!$J$10:$J$224),0),
IF('TL06'!$B$229=K$3,SUMIF('TL06'!$C$238:$C$451,$C186,'TL06'!$J$238:$J$451),0),
IF('TL07'!$B$3=K$3,SUMIF('TL07'!$C$10:$C$224,$C186,'TL07'!$J$10:$J$224),0),
IF('TL07'!$B$229=K$3,SUMIF('TL07'!$C$238:$C$451,$C186,'TL07'!$J$238:$J$451),0),
IF('TL08'!$B$3=K$3,SUMIF('TL08'!$C$10:$C$224,$C186,'TL08'!$J$10:$J$224),0),
IF('TL08'!$B$229=K$3,SUMIF('TL08'!$C$238:$C$451,$C186,'TL08'!$J$238:$J$451),0),
IF('TL09'!$B$3=K$3,SUMIF('TL09'!$C$10:$C$224,$C186,'TL09'!$J$10:$J$224),0),
IF('TL09'!$B$229=K$3,SUMIF('TL09'!$C$238:$C$451,$C186,'TL09'!$J$238:$J$451),0),
IF('TL10'!$B$3=K$3,SUMIF('TL10'!$C$10:$C$224,$C186,'TL10'!$J$10:$J$224),0),
IF('TL10'!$B$229=K$3,SUMIF('TL10'!$C$238:$C$451,$C186,'TL10'!$J$238:$J$451),0),
IF('TL11'!$B$3=K$3,SUMIF('TL11'!$C$10:$C$224,$C186,'TL11'!$J$10:$J$224),0),
IF('TL11'!$B$229=K$3,SUMIF('TL11'!$C$238:$C$451,$C186,'TL11'!$J$238:$J$451),0),
IF('TL12'!$B$3=K$3,SUMIF('TL12'!$C$10:$C$224,$C186,'TL12'!$J$10:$J$224),0),
IF('TL12'!$B$229=K$3,SUMIF('TL12'!$C$238:$C$451,$C186,'TL12'!$J$238:$J$451),0),
IF('TL13'!$B$3=K$3,SUMIF('TL13'!$C$10:$C$224,$C186,'TL13'!$J$10:$J$224),0),
IF('TL13'!$B$229=K$3,SUMIF('TL13'!$C$238:$C$451,$C186,'TL13'!$J$238:$J$451),0),
IF('TL14'!$B$3=K$3,SUMIF('TL14'!$C$10:$C$224,$C186,'TL14'!$J$10:$J$224),0),
IF('TL14'!$B$229=K$3,SUMIF('TL14'!$C$238:$C$451,$C186,'TL14'!$J$238:$J$451),0),
IF('TL15'!$B$3=K$3,SUMIF('TL15'!$C$10:$C$224,$C186,'TL15'!$J$10:$J$224),0),
IF('TL15'!$B$229=K$3,SUMIF('TL15'!$C$238:$C$451,$C186,'TL15'!$J$238:$J$451),0),
IF('TL16'!$B$3=K$3,SUMIF('TL16'!$C$10:$C$224,$C186,'TL16'!$J$10:$J$224),0),
IF('TL16'!$B$229=K$3,SUMIF('TL16'!$C$238:$C$451,$C186,'TL16'!$J$238:$J$451),0),
IF('TL17'!$B$3=K$3,SUMIF('TL17'!$C$10:$C$224,$C186,'TL17'!$J$10:$J$224),0),
IF('TL17'!$B$229=K$3,SUMIF('TL17'!$C$238:$C$451,$C186,'TL17'!$J$238:$J$451),0),
IF('TL18'!$B$3=K$3,SUMIF('TL18'!$C$10:$C$224,$C186,'TL18'!$J$10:$J$224),0),
IF('TL18'!$B$229=K$3,SUMIF('TL18'!$C$238:$C$451,$C186,'TL18'!$J$238:$J$451),0),
IF('TL19'!$B$3=K$3,SUMIF('TL19'!$C$10:$C$224,$C186,'TL19'!$J$10:$J$224),0),
IF('TL19'!$B$229=K$3,SUMIF('TL19'!$C$238:$C$451,$C186,'TL19'!$J$238:$J$451),0)
),0)</f>
        <v>0</v>
      </c>
      <c r="L186" s="9">
        <f>IFERROR(SUM(
IF('TL01'!$B$3=L$3,SUMIF('TL01'!$C$10:$C$224,$C186,'TL01'!$J$10:$J$224),0),
IF('TL01'!$B$229=L$3,SUMIF('TL01'!$C$238:$C$451,$C186,'TL01'!$J$238:$J$451),0),
IF('TL02'!$B$3=L$3,SUMIF('TL02'!$C$10:$C$224,$C186,'TL02'!$J$10:$J$224),0),
IF('TL02'!$B$229=L$3,SUMIF('TL02'!$C$238:$C$451,$C186,'TL02'!$J$238:$J$451),0),
IF('TL03'!$B$3=L$3,SUMIF('TL03'!$C$10:$C$224,$C186,'TL03'!$J$10:$J$224),0),
IF('TL03'!$B$229=L$3,SUMIF('TL03'!$C$238:$C$451,$C186,'TL03'!$J$238:$J$451),0),
IF('TL04'!$B$3=L$3,SUMIF('TL04'!$C$10:$C$224,$C186,'TL04'!$J$10:$J$224),0),
IF('TL04'!$B$229=L$3,SUMIF('TL04'!$C$238:$C$451,$C186,'TL04'!$J$238:$J$451),0),
IF('TL05'!$B$3=L$3,SUMIF('TL05'!$C$10:$C$224,$C186,'TL05'!$J$10:$J$224),0),
IF('TL05'!$B$229=L$3,SUMIF('TL05'!$C$238:$C$451,$C186,'TL05'!$J$238:$J$451),0),
IF('TL06'!$B$3=L$3,SUMIF('TL06'!$C$10:$C$224,$C186,'TL06'!$J$10:$J$224),0),
IF('TL06'!$B$229=L$3,SUMIF('TL06'!$C$238:$C$451,$C186,'TL06'!$J$238:$J$451),0),
IF('TL07'!$B$3=L$3,SUMIF('TL07'!$C$10:$C$224,$C186,'TL07'!$J$10:$J$224),0),
IF('TL07'!$B$229=L$3,SUMIF('TL07'!$C$238:$C$451,$C186,'TL07'!$J$238:$J$451),0),
IF('TL08'!$B$3=L$3,SUMIF('TL08'!$C$10:$C$224,$C186,'TL08'!$J$10:$J$224),0),
IF('TL08'!$B$229=L$3,SUMIF('TL08'!$C$238:$C$451,$C186,'TL08'!$J$238:$J$451),0),
IF('TL09'!$B$3=L$3,SUMIF('TL09'!$C$10:$C$224,$C186,'TL09'!$J$10:$J$224),0),
IF('TL09'!$B$229=L$3,SUMIF('TL09'!$C$238:$C$451,$C186,'TL09'!$J$238:$J$451),0),
IF('TL10'!$B$3=L$3,SUMIF('TL10'!$C$10:$C$224,$C186,'TL10'!$J$10:$J$224),0),
IF('TL10'!$B$229=L$3,SUMIF('TL10'!$C$238:$C$451,$C186,'TL10'!$J$238:$J$451),0),
IF('TL11'!$B$3=L$3,SUMIF('TL11'!$C$10:$C$224,$C186,'TL11'!$J$10:$J$224),0),
IF('TL11'!$B$229=L$3,SUMIF('TL11'!$C$238:$C$451,$C186,'TL11'!$J$238:$J$451),0),
IF('TL12'!$B$3=L$3,SUMIF('TL12'!$C$10:$C$224,$C186,'TL12'!$J$10:$J$224),0),
IF('TL12'!$B$229=L$3,SUMIF('TL12'!$C$238:$C$451,$C186,'TL12'!$J$238:$J$451),0),
IF('TL13'!$B$3=L$3,SUMIF('TL13'!$C$10:$C$224,$C186,'TL13'!$J$10:$J$224),0),
IF('TL13'!$B$229=L$3,SUMIF('TL13'!$C$238:$C$451,$C186,'TL13'!$J$238:$J$451),0),
IF('TL14'!$B$3=L$3,SUMIF('TL14'!$C$10:$C$224,$C186,'TL14'!$J$10:$J$224),0),
IF('TL14'!$B$229=L$3,SUMIF('TL14'!$C$238:$C$451,$C186,'TL14'!$J$238:$J$451),0),
IF('TL15'!$B$3=L$3,SUMIF('TL15'!$C$10:$C$224,$C186,'TL15'!$J$10:$J$224),0),
IF('TL15'!$B$229=L$3,SUMIF('TL15'!$C$238:$C$451,$C186,'TL15'!$J$238:$J$451),0),
IF('TL16'!$B$3=L$3,SUMIF('TL16'!$C$10:$C$224,$C186,'TL16'!$J$10:$J$224),0),
IF('TL16'!$B$229=L$3,SUMIF('TL16'!$C$238:$C$451,$C186,'TL16'!$J$238:$J$451),0),
IF('TL17'!$B$3=L$3,SUMIF('TL17'!$C$10:$C$224,$C186,'TL17'!$J$10:$J$224),0),
IF('TL17'!$B$229=L$3,SUMIF('TL17'!$C$238:$C$451,$C186,'TL17'!$J$238:$J$451),0),
IF('TL18'!$B$3=L$3,SUMIF('TL18'!$C$10:$C$224,$C186,'TL18'!$J$10:$J$224),0),
IF('TL18'!$B$229=L$3,SUMIF('TL18'!$C$238:$C$451,$C186,'TL18'!$J$238:$J$451),0),
IF('TL19'!$B$3=L$3,SUMIF('TL19'!$C$10:$C$224,$C186,'TL19'!$J$10:$J$224),0),
IF('TL19'!$B$229=L$3,SUMIF('TL19'!$C$238:$C$451,$C186,'TL19'!$J$238:$J$451),0)
),0)</f>
        <v>0</v>
      </c>
      <c r="M186" s="9">
        <f>IFERROR(SUM(
IF('TL01'!$B$3=M$3,SUMIF('TL01'!$C$10:$C$224,$C186,'TL01'!$J$10:$J$224),0),
IF('TL01'!$B$229=M$3,SUMIF('TL01'!$C$238:$C$451,$C186,'TL01'!$J$238:$J$451),0),
IF('TL02'!$B$3=M$3,SUMIF('TL02'!$C$10:$C$224,$C186,'TL02'!$J$10:$J$224),0),
IF('TL02'!$B$229=M$3,SUMIF('TL02'!$C$238:$C$451,$C186,'TL02'!$J$238:$J$451),0),
IF('TL03'!$B$3=M$3,SUMIF('TL03'!$C$10:$C$224,$C186,'TL03'!$J$10:$J$224),0),
IF('TL03'!$B$229=M$3,SUMIF('TL03'!$C$238:$C$451,$C186,'TL03'!$J$238:$J$451),0),
IF('TL04'!$B$3=M$3,SUMIF('TL04'!$C$10:$C$224,$C186,'TL04'!$J$10:$J$224),0),
IF('TL04'!$B$229=M$3,SUMIF('TL04'!$C$238:$C$451,$C186,'TL04'!$J$238:$J$451),0),
IF('TL05'!$B$3=M$3,SUMIF('TL05'!$C$10:$C$224,$C186,'TL05'!$J$10:$J$224),0),
IF('TL05'!$B$229=M$3,SUMIF('TL05'!$C$238:$C$451,$C186,'TL05'!$J$238:$J$451),0),
IF('TL06'!$B$3=M$3,SUMIF('TL06'!$C$10:$C$224,$C186,'TL06'!$J$10:$J$224),0),
IF('TL06'!$B$229=M$3,SUMIF('TL06'!$C$238:$C$451,$C186,'TL06'!$J$238:$J$451),0),
IF('TL07'!$B$3=M$3,SUMIF('TL07'!$C$10:$C$224,$C186,'TL07'!$J$10:$J$224),0),
IF('TL07'!$B$229=M$3,SUMIF('TL07'!$C$238:$C$451,$C186,'TL07'!$J$238:$J$451),0),
IF('TL08'!$B$3=M$3,SUMIF('TL08'!$C$10:$C$224,$C186,'TL08'!$J$10:$J$224),0),
IF('TL08'!$B$229=M$3,SUMIF('TL08'!$C$238:$C$451,$C186,'TL08'!$J$238:$J$451),0),
IF('TL09'!$B$3=M$3,SUMIF('TL09'!$C$10:$C$224,$C186,'TL09'!$J$10:$J$224),0),
IF('TL09'!$B$229=M$3,SUMIF('TL09'!$C$238:$C$451,$C186,'TL09'!$J$238:$J$451),0),
IF('TL10'!$B$3=M$3,SUMIF('TL10'!$C$10:$C$224,$C186,'TL10'!$J$10:$J$224),0),
IF('TL10'!$B$229=M$3,SUMIF('TL10'!$C$238:$C$451,$C186,'TL10'!$J$238:$J$451),0),
IF('TL11'!$B$3=M$3,SUMIF('TL11'!$C$10:$C$224,$C186,'TL11'!$J$10:$J$224),0),
IF('TL11'!$B$229=M$3,SUMIF('TL11'!$C$238:$C$451,$C186,'TL11'!$J$238:$J$451),0),
IF('TL12'!$B$3=M$3,SUMIF('TL12'!$C$10:$C$224,$C186,'TL12'!$J$10:$J$224),0),
IF('TL12'!$B$229=M$3,SUMIF('TL12'!$C$238:$C$451,$C186,'TL12'!$J$238:$J$451),0),
IF('TL13'!$B$3=M$3,SUMIF('TL13'!$C$10:$C$224,$C186,'TL13'!$J$10:$J$224),0),
IF('TL13'!$B$229=M$3,SUMIF('TL13'!$C$238:$C$451,$C186,'TL13'!$J$238:$J$451),0),
IF('TL14'!$B$3=M$3,SUMIF('TL14'!$C$10:$C$224,$C186,'TL14'!$J$10:$J$224),0),
IF('TL14'!$B$229=M$3,SUMIF('TL14'!$C$238:$C$451,$C186,'TL14'!$J$238:$J$451),0),
IF('TL15'!$B$3=M$3,SUMIF('TL15'!$C$10:$C$224,$C186,'TL15'!$J$10:$J$224),0),
IF('TL15'!$B$229=M$3,SUMIF('TL15'!$C$238:$C$451,$C186,'TL15'!$J$238:$J$451),0),
IF('TL16'!$B$3=M$3,SUMIF('TL16'!$C$10:$C$224,$C186,'TL16'!$J$10:$J$224),0),
IF('TL16'!$B$229=M$3,SUMIF('TL16'!$C$238:$C$451,$C186,'TL16'!$J$238:$J$451),0),
IF('TL17'!$B$3=M$3,SUMIF('TL17'!$C$10:$C$224,$C186,'TL17'!$J$10:$J$224),0),
IF('TL17'!$B$229=M$3,SUMIF('TL17'!$C$238:$C$451,$C186,'TL17'!$J$238:$J$451),0),
IF('TL18'!$B$3=M$3,SUMIF('TL18'!$C$10:$C$224,$C186,'TL18'!$J$10:$J$224),0),
IF('TL18'!$B$229=M$3,SUMIF('TL18'!$C$238:$C$451,$C186,'TL18'!$J$238:$J$451),0),
IF('TL19'!$B$3=M$3,SUMIF('TL19'!$C$10:$C$224,$C186,'TL19'!$J$10:$J$224),0),
IF('TL19'!$B$229=M$3,SUMIF('TL19'!$C$238:$C$451,$C186,'TL19'!$J$238:$J$451),0)
),0)</f>
        <v>0</v>
      </c>
      <c r="N186" s="9">
        <f>IFERROR(SUM(
IF('TL01'!$B$3=N$3,SUMIF('TL01'!$C$10:$C$224,$C186,'TL01'!$J$10:$J$224),0),
IF('TL01'!$B$229=N$3,SUMIF('TL01'!$C$238:$C$451,$C186,'TL01'!$J$238:$J$451),0),
IF('TL02'!$B$3=N$3,SUMIF('TL02'!$C$10:$C$224,$C186,'TL02'!$J$10:$J$224),0),
IF('TL02'!$B$229=N$3,SUMIF('TL02'!$C$238:$C$451,$C186,'TL02'!$J$238:$J$451),0),
IF('TL03'!$B$3=N$3,SUMIF('TL03'!$C$10:$C$224,$C186,'TL03'!$J$10:$J$224),0),
IF('TL03'!$B$229=N$3,SUMIF('TL03'!$C$238:$C$451,$C186,'TL03'!$J$238:$J$451),0),
IF('TL04'!$B$3=N$3,SUMIF('TL04'!$C$10:$C$224,$C186,'TL04'!$J$10:$J$224),0),
IF('TL04'!$B$229=N$3,SUMIF('TL04'!$C$238:$C$451,$C186,'TL04'!$J$238:$J$451),0),
IF('TL05'!$B$3=N$3,SUMIF('TL05'!$C$10:$C$224,$C186,'TL05'!$J$10:$J$224),0),
IF('TL05'!$B$229=N$3,SUMIF('TL05'!$C$238:$C$451,$C186,'TL05'!$J$238:$J$451),0),
IF('TL06'!$B$3=N$3,SUMIF('TL06'!$C$10:$C$224,$C186,'TL06'!$J$10:$J$224),0),
IF('TL06'!$B$229=N$3,SUMIF('TL06'!$C$238:$C$451,$C186,'TL06'!$J$238:$J$451),0),
IF('TL07'!$B$3=N$3,SUMIF('TL07'!$C$10:$C$224,$C186,'TL07'!$J$10:$J$224),0),
IF('TL07'!$B$229=N$3,SUMIF('TL07'!$C$238:$C$451,$C186,'TL07'!$J$238:$J$451),0),
IF('TL08'!$B$3=N$3,SUMIF('TL08'!$C$10:$C$224,$C186,'TL08'!$J$10:$J$224),0),
IF('TL08'!$B$229=N$3,SUMIF('TL08'!$C$238:$C$451,$C186,'TL08'!$J$238:$J$451),0),
IF('TL09'!$B$3=N$3,SUMIF('TL09'!$C$10:$C$224,$C186,'TL09'!$J$10:$J$224),0),
IF('TL09'!$B$229=N$3,SUMIF('TL09'!$C$238:$C$451,$C186,'TL09'!$J$238:$J$451),0),
IF('TL10'!$B$3=N$3,SUMIF('TL10'!$C$10:$C$224,$C186,'TL10'!$J$10:$J$224),0),
IF('TL10'!$B$229=N$3,SUMIF('TL10'!$C$238:$C$451,$C186,'TL10'!$J$238:$J$451),0),
IF('TL11'!$B$3=N$3,SUMIF('TL11'!$C$10:$C$224,$C186,'TL11'!$J$10:$J$224),0),
IF('TL11'!$B$229=N$3,SUMIF('TL11'!$C$238:$C$451,$C186,'TL11'!$J$238:$J$451),0),
IF('TL12'!$B$3=N$3,SUMIF('TL12'!$C$10:$C$224,$C186,'TL12'!$J$10:$J$224),0),
IF('TL12'!$B$229=N$3,SUMIF('TL12'!$C$238:$C$451,$C186,'TL12'!$J$238:$J$451),0),
IF('TL13'!$B$3=N$3,SUMIF('TL13'!$C$10:$C$224,$C186,'TL13'!$J$10:$J$224),0),
IF('TL13'!$B$229=N$3,SUMIF('TL13'!$C$238:$C$451,$C186,'TL13'!$J$238:$J$451),0),
IF('TL14'!$B$3=N$3,SUMIF('TL14'!$C$10:$C$224,$C186,'TL14'!$J$10:$J$224),0),
IF('TL14'!$B$229=N$3,SUMIF('TL14'!$C$238:$C$451,$C186,'TL14'!$J$238:$J$451),0),
IF('TL15'!$B$3=N$3,SUMIF('TL15'!$C$10:$C$224,$C186,'TL15'!$J$10:$J$224),0),
IF('TL15'!$B$229=N$3,SUMIF('TL15'!$C$238:$C$451,$C186,'TL15'!$J$238:$J$451),0),
IF('TL16'!$B$3=N$3,SUMIF('TL16'!$C$10:$C$224,$C186,'TL16'!$J$10:$J$224),0),
IF('TL16'!$B$229=N$3,SUMIF('TL16'!$C$238:$C$451,$C186,'TL16'!$J$238:$J$451),0),
IF('TL17'!$B$3=N$3,SUMIF('TL17'!$C$10:$C$224,$C186,'TL17'!$J$10:$J$224),0),
IF('TL17'!$B$229=N$3,SUMIF('TL17'!$C$238:$C$451,$C186,'TL17'!$J$238:$J$451),0),
IF('TL18'!$B$3=N$3,SUMIF('TL18'!$C$10:$C$224,$C186,'TL18'!$J$10:$J$224),0),
IF('TL18'!$B$229=N$3,SUMIF('TL18'!$C$238:$C$451,$C186,'TL18'!$J$238:$J$451),0),
IF('TL19'!$B$3=N$3,SUMIF('TL19'!$C$10:$C$224,$C186,'TL19'!$J$10:$J$224),0),
IF('TL19'!$B$229=N$3,SUMIF('TL19'!$C$238:$C$451,$C186,'TL19'!$J$238:$J$451),0)
),0)</f>
        <v>0</v>
      </c>
      <c r="O186" s="9">
        <f>IFERROR(SUM(
IF('TL01'!$B$3=O$3,SUMIF('TL01'!$C$10:$C$224,$C186,'TL01'!$J$10:$J$224),0),
IF('TL01'!$B$229=O$3,SUMIF('TL01'!$C$238:$C$451,$C186,'TL01'!$J$238:$J$451),0),
IF('TL02'!$B$3=O$3,SUMIF('TL02'!$C$10:$C$224,$C186,'TL02'!$J$10:$J$224),0),
IF('TL02'!$B$229=O$3,SUMIF('TL02'!$C$238:$C$451,$C186,'TL02'!$J$238:$J$451),0),
IF('TL03'!$B$3=O$3,SUMIF('TL03'!$C$10:$C$224,$C186,'TL03'!$J$10:$J$224),0),
IF('TL03'!$B$229=O$3,SUMIF('TL03'!$C$238:$C$451,$C186,'TL03'!$J$238:$J$451),0),
IF('TL04'!$B$3=O$3,SUMIF('TL04'!$C$10:$C$224,$C186,'TL04'!$J$10:$J$224),0),
IF('TL04'!$B$229=O$3,SUMIF('TL04'!$C$238:$C$451,$C186,'TL04'!$J$238:$J$451),0),
IF('TL05'!$B$3=O$3,SUMIF('TL05'!$C$10:$C$224,$C186,'TL05'!$J$10:$J$224),0),
IF('TL05'!$B$229=O$3,SUMIF('TL05'!$C$238:$C$451,$C186,'TL05'!$J$238:$J$451),0),
IF('TL06'!$B$3=O$3,SUMIF('TL06'!$C$10:$C$224,$C186,'TL06'!$J$10:$J$224),0),
IF('TL06'!$B$229=O$3,SUMIF('TL06'!$C$238:$C$451,$C186,'TL06'!$J$238:$J$451),0),
IF('TL07'!$B$3=O$3,SUMIF('TL07'!$C$10:$C$224,$C186,'TL07'!$J$10:$J$224),0),
IF('TL07'!$B$229=O$3,SUMIF('TL07'!$C$238:$C$451,$C186,'TL07'!$J$238:$J$451),0),
IF('TL08'!$B$3=O$3,SUMIF('TL08'!$C$10:$C$224,$C186,'TL08'!$J$10:$J$224),0),
IF('TL08'!$B$229=O$3,SUMIF('TL08'!$C$238:$C$451,$C186,'TL08'!$J$238:$J$451),0),
IF('TL09'!$B$3=O$3,SUMIF('TL09'!$C$10:$C$224,$C186,'TL09'!$J$10:$J$224),0),
IF('TL09'!$B$229=O$3,SUMIF('TL09'!$C$238:$C$451,$C186,'TL09'!$J$238:$J$451),0),
IF('TL10'!$B$3=O$3,SUMIF('TL10'!$C$10:$C$224,$C186,'TL10'!$J$10:$J$224),0),
IF('TL10'!$B$229=O$3,SUMIF('TL10'!$C$238:$C$451,$C186,'TL10'!$J$238:$J$451),0),
IF('TL11'!$B$3=O$3,SUMIF('TL11'!$C$10:$C$224,$C186,'TL11'!$J$10:$J$224),0),
IF('TL11'!$B$229=O$3,SUMIF('TL11'!$C$238:$C$451,$C186,'TL11'!$J$238:$J$451),0),
IF('TL12'!$B$3=O$3,SUMIF('TL12'!$C$10:$C$224,$C186,'TL12'!$J$10:$J$224),0),
IF('TL12'!$B$229=O$3,SUMIF('TL12'!$C$238:$C$451,$C186,'TL12'!$J$238:$J$451),0),
IF('TL13'!$B$3=O$3,SUMIF('TL13'!$C$10:$C$224,$C186,'TL13'!$J$10:$J$224),0),
IF('TL13'!$B$229=O$3,SUMIF('TL13'!$C$238:$C$451,$C186,'TL13'!$J$238:$J$451),0),
IF('TL14'!$B$3=O$3,SUMIF('TL14'!$C$10:$C$224,$C186,'TL14'!$J$10:$J$224),0),
IF('TL14'!$B$229=O$3,SUMIF('TL14'!$C$238:$C$451,$C186,'TL14'!$J$238:$J$451),0),
IF('TL15'!$B$3=O$3,SUMIF('TL15'!$C$10:$C$224,$C186,'TL15'!$J$10:$J$224),0),
IF('TL15'!$B$229=O$3,SUMIF('TL15'!$C$238:$C$451,$C186,'TL15'!$J$238:$J$451),0),
IF('TL16'!$B$3=O$3,SUMIF('TL16'!$C$10:$C$224,$C186,'TL16'!$J$10:$J$224),0),
IF('TL16'!$B$229=O$3,SUMIF('TL16'!$C$238:$C$451,$C186,'TL16'!$J$238:$J$451),0),
IF('TL17'!$B$3=O$3,SUMIF('TL17'!$C$10:$C$224,$C186,'TL17'!$J$10:$J$224),0),
IF('TL17'!$B$229=O$3,SUMIF('TL17'!$C$238:$C$451,$C186,'TL17'!$J$238:$J$451),0),
IF('TL18'!$B$3=O$3,SUMIF('TL18'!$C$10:$C$224,$C186,'TL18'!$J$10:$J$224),0),
IF('TL18'!$B$229=O$3,SUMIF('TL18'!$C$238:$C$451,$C186,'TL18'!$J$238:$J$451),0),
IF('TL19'!$B$3=O$3,SUMIF('TL19'!$C$10:$C$224,$C186,'TL19'!$J$10:$J$224),0),
IF('TL19'!$B$229=O$3,SUMIF('TL19'!$C$238:$C$451,$C186,'TL19'!$J$238:$J$451),0)
),0)</f>
        <v>0</v>
      </c>
      <c r="P186" s="9">
        <f>IFERROR(SUM(
IF('TL01'!$B$3=P$3,SUMIF('TL01'!$C$10:$C$224,$C186,'TL01'!$J$10:$J$224),0),
IF('TL01'!$B$229=P$3,SUMIF('TL01'!$C$238:$C$451,$C186,'TL01'!$J$238:$J$451),0),
IF('TL02'!$B$3=P$3,SUMIF('TL02'!$C$10:$C$224,$C186,'TL02'!$J$10:$J$224),0),
IF('TL02'!$B$229=P$3,SUMIF('TL02'!$C$238:$C$451,$C186,'TL02'!$J$238:$J$451),0),
IF('TL03'!$B$3=P$3,SUMIF('TL03'!$C$10:$C$224,$C186,'TL03'!$J$10:$J$224),0),
IF('TL03'!$B$229=P$3,SUMIF('TL03'!$C$238:$C$451,$C186,'TL03'!$J$238:$J$451),0),
IF('TL04'!$B$3=P$3,SUMIF('TL04'!$C$10:$C$224,$C186,'TL04'!$J$10:$J$224),0),
IF('TL04'!$B$229=P$3,SUMIF('TL04'!$C$238:$C$451,$C186,'TL04'!$J$238:$J$451),0),
IF('TL05'!$B$3=P$3,SUMIF('TL05'!$C$10:$C$224,$C186,'TL05'!$J$10:$J$224),0),
IF('TL05'!$B$229=P$3,SUMIF('TL05'!$C$238:$C$451,$C186,'TL05'!$J$238:$J$451),0),
IF('TL06'!$B$3=P$3,SUMIF('TL06'!$C$10:$C$224,$C186,'TL06'!$J$10:$J$224),0),
IF('TL06'!$B$229=P$3,SUMIF('TL06'!$C$238:$C$451,$C186,'TL06'!$J$238:$J$451),0),
IF('TL07'!$B$3=P$3,SUMIF('TL07'!$C$10:$C$224,$C186,'TL07'!$J$10:$J$224),0),
IF('TL07'!$B$229=P$3,SUMIF('TL07'!$C$238:$C$451,$C186,'TL07'!$J$238:$J$451),0),
IF('TL08'!$B$3=P$3,SUMIF('TL08'!$C$10:$C$224,$C186,'TL08'!$J$10:$J$224),0),
IF('TL08'!$B$229=P$3,SUMIF('TL08'!$C$238:$C$451,$C186,'TL08'!$J$238:$J$451),0),
IF('TL09'!$B$3=P$3,SUMIF('TL09'!$C$10:$C$224,$C186,'TL09'!$J$10:$J$224),0),
IF('TL09'!$B$229=P$3,SUMIF('TL09'!$C$238:$C$451,$C186,'TL09'!$J$238:$J$451),0),
IF('TL10'!$B$3=P$3,SUMIF('TL10'!$C$10:$C$224,$C186,'TL10'!$J$10:$J$224),0),
IF('TL10'!$B$229=P$3,SUMIF('TL10'!$C$238:$C$451,$C186,'TL10'!$J$238:$J$451),0),
IF('TL11'!$B$3=P$3,SUMIF('TL11'!$C$10:$C$224,$C186,'TL11'!$J$10:$J$224),0),
IF('TL11'!$B$229=P$3,SUMIF('TL11'!$C$238:$C$451,$C186,'TL11'!$J$238:$J$451),0),
IF('TL12'!$B$3=P$3,SUMIF('TL12'!$C$10:$C$224,$C186,'TL12'!$J$10:$J$224),0),
IF('TL12'!$B$229=P$3,SUMIF('TL12'!$C$238:$C$451,$C186,'TL12'!$J$238:$J$451),0),
IF('TL13'!$B$3=P$3,SUMIF('TL13'!$C$10:$C$224,$C186,'TL13'!$J$10:$J$224),0),
IF('TL13'!$B$229=P$3,SUMIF('TL13'!$C$238:$C$451,$C186,'TL13'!$J$238:$J$451),0),
IF('TL14'!$B$3=P$3,SUMIF('TL14'!$C$10:$C$224,$C186,'TL14'!$J$10:$J$224),0),
IF('TL14'!$B$229=P$3,SUMIF('TL14'!$C$238:$C$451,$C186,'TL14'!$J$238:$J$451),0),
IF('TL15'!$B$3=P$3,SUMIF('TL15'!$C$10:$C$224,$C186,'TL15'!$J$10:$J$224),0),
IF('TL15'!$B$229=P$3,SUMIF('TL15'!$C$238:$C$451,$C186,'TL15'!$J$238:$J$451),0),
IF('TL16'!$B$3=P$3,SUMIF('TL16'!$C$10:$C$224,$C186,'TL16'!$J$10:$J$224),0),
IF('TL16'!$B$229=P$3,SUMIF('TL16'!$C$238:$C$451,$C186,'TL16'!$J$238:$J$451),0),
IF('TL17'!$B$3=P$3,SUMIF('TL17'!$C$10:$C$224,$C186,'TL17'!$J$10:$J$224),0),
IF('TL17'!$B$229=P$3,SUMIF('TL17'!$C$238:$C$451,$C186,'TL17'!$J$238:$J$451),0),
IF('TL18'!$B$3=P$3,SUMIF('TL18'!$C$10:$C$224,$C186,'TL18'!$J$10:$J$224),0),
IF('TL18'!$B$229=P$3,SUMIF('TL18'!$C$238:$C$451,$C186,'TL18'!$J$238:$J$451),0),
IF('TL19'!$B$3=P$3,SUMIF('TL19'!$C$10:$C$224,$C186,'TL19'!$J$10:$J$224),0),
IF('TL19'!$B$229=P$3,SUMIF('TL19'!$C$238:$C$451,$C186,'TL19'!$J$238:$J$451),0)
),0)</f>
        <v>0</v>
      </c>
      <c r="Q186" s="9">
        <f>IFERROR(SUM(
IF('TL01'!$B$3=Q$3,SUMIF('TL01'!$C$10:$C$224,$C186,'TL01'!$J$10:$J$224),0),
IF('TL01'!$B$229=Q$3,SUMIF('TL01'!$C$238:$C$451,$C186,'TL01'!$J$238:$J$451),0),
IF('TL02'!$B$3=Q$3,SUMIF('TL02'!$C$10:$C$224,$C186,'TL02'!$J$10:$J$224),0),
IF('TL02'!$B$229=Q$3,SUMIF('TL02'!$C$238:$C$451,$C186,'TL02'!$J$238:$J$451),0),
IF('TL03'!$B$3=Q$3,SUMIF('TL03'!$C$10:$C$224,$C186,'TL03'!$J$10:$J$224),0),
IF('TL03'!$B$229=Q$3,SUMIF('TL03'!$C$238:$C$451,$C186,'TL03'!$J$238:$J$451),0),
IF('TL04'!$B$3=Q$3,SUMIF('TL04'!$C$10:$C$224,$C186,'TL04'!$J$10:$J$224),0),
IF('TL04'!$B$229=Q$3,SUMIF('TL04'!$C$238:$C$451,$C186,'TL04'!$J$238:$J$451),0),
IF('TL05'!$B$3=Q$3,SUMIF('TL05'!$C$10:$C$224,$C186,'TL05'!$J$10:$J$224),0),
IF('TL05'!$B$229=Q$3,SUMIF('TL05'!$C$238:$C$451,$C186,'TL05'!$J$238:$J$451),0),
IF('TL06'!$B$3=Q$3,SUMIF('TL06'!$C$10:$C$224,$C186,'TL06'!$J$10:$J$224),0),
IF('TL06'!$B$229=Q$3,SUMIF('TL06'!$C$238:$C$451,$C186,'TL06'!$J$238:$J$451),0),
IF('TL07'!$B$3=Q$3,SUMIF('TL07'!$C$10:$C$224,$C186,'TL07'!$J$10:$J$224),0),
IF('TL07'!$B$229=Q$3,SUMIF('TL07'!$C$238:$C$451,$C186,'TL07'!$J$238:$J$451),0),
IF('TL08'!$B$3=Q$3,SUMIF('TL08'!$C$10:$C$224,$C186,'TL08'!$J$10:$J$224),0),
IF('TL08'!$B$229=Q$3,SUMIF('TL08'!$C$238:$C$451,$C186,'TL08'!$J$238:$J$451),0),
IF('TL09'!$B$3=Q$3,SUMIF('TL09'!$C$10:$C$224,$C186,'TL09'!$J$10:$J$224),0),
IF('TL09'!$B$229=Q$3,SUMIF('TL09'!$C$238:$C$451,$C186,'TL09'!$J$238:$J$451),0),
IF('TL10'!$B$3=Q$3,SUMIF('TL10'!$C$10:$C$224,$C186,'TL10'!$J$10:$J$224),0),
IF('TL10'!$B$229=Q$3,SUMIF('TL10'!$C$238:$C$451,$C186,'TL10'!$J$238:$J$451),0),
IF('TL11'!$B$3=Q$3,SUMIF('TL11'!$C$10:$C$224,$C186,'TL11'!$J$10:$J$224),0),
IF('TL11'!$B$229=Q$3,SUMIF('TL11'!$C$238:$C$451,$C186,'TL11'!$J$238:$J$451),0),
IF('TL12'!$B$3=Q$3,SUMIF('TL12'!$C$10:$C$224,$C186,'TL12'!$J$10:$J$224),0),
IF('TL12'!$B$229=Q$3,SUMIF('TL12'!$C$238:$C$451,$C186,'TL12'!$J$238:$J$451),0),
IF('TL13'!$B$3=Q$3,SUMIF('TL13'!$C$10:$C$224,$C186,'TL13'!$J$10:$J$224),0),
IF('TL13'!$B$229=Q$3,SUMIF('TL13'!$C$238:$C$451,$C186,'TL13'!$J$238:$J$451),0),
IF('TL14'!$B$3=Q$3,SUMIF('TL14'!$C$10:$C$224,$C186,'TL14'!$J$10:$J$224),0),
IF('TL14'!$B$229=Q$3,SUMIF('TL14'!$C$238:$C$451,$C186,'TL14'!$J$238:$J$451),0),
IF('TL15'!$B$3=Q$3,SUMIF('TL15'!$C$10:$C$224,$C186,'TL15'!$J$10:$J$224),0),
IF('TL15'!$B$229=Q$3,SUMIF('TL15'!$C$238:$C$451,$C186,'TL15'!$J$238:$J$451),0),
IF('TL16'!$B$3=Q$3,SUMIF('TL16'!$C$10:$C$224,$C186,'TL16'!$J$10:$J$224),0),
IF('TL16'!$B$229=Q$3,SUMIF('TL16'!$C$238:$C$451,$C186,'TL16'!$J$238:$J$451),0),
IF('TL17'!$B$3=Q$3,SUMIF('TL17'!$C$10:$C$224,$C186,'TL17'!$J$10:$J$224),0),
IF('TL17'!$B$229=Q$3,SUMIF('TL17'!$C$238:$C$451,$C186,'TL17'!$J$238:$J$451),0),
IF('TL18'!$B$3=Q$3,SUMIF('TL18'!$C$10:$C$224,$C186,'TL18'!$J$10:$J$224),0),
IF('TL18'!$B$229=Q$3,SUMIF('TL18'!$C$238:$C$451,$C186,'TL18'!$J$238:$J$451),0),
IF('TL19'!$B$3=Q$3,SUMIF('TL19'!$C$10:$C$224,$C186,'TL19'!$J$10:$J$224),0),
IF('TL19'!$B$229=Q$3,SUMIF('TL19'!$C$238:$C$451,$C186,'TL19'!$J$238:$J$451),0)
),0)</f>
        <v>0</v>
      </c>
      <c r="R186" s="9">
        <f>IFERROR(
SUM(
SUMIF('TL01'!C:C,C186,'TL01'!J:J),
SUMIF('TL02'!C:C,C186,'TL02'!J:J),
SUMIF('TL03'!C:C,C186,'TL03'!J:J),
SUMIF('TL04'!C:C,C186,'TL04'!J:J),
SUMIF('TL05'!C:C,C186,'TL05'!J:J),
SUMIF('TL06'!C:C,C186,'TL06'!J:J),
SUMIF('TL07'!C:C,C186,'TL07'!J:J),
SUMIF('TL08'!C:C,C186,'TL08'!J:J),
SUMIF('TL09'!C:C,C186,'TL09'!J:J),
SUMIF('TL10'!C:C,C186,'TL10'!J:J),
SUMIF('TL11'!C:C,C186,'TL11'!J:J),
SUMIF('TL12'!C:C,C186,'TL12'!J:J),
SUMIF('TL13'!C:C,C186,'TL13'!J:J),
SUMIF('TL14'!C:C,C186,'TL14'!J:J),
SUMIF('TL15'!C:C,C186,'TL15'!J:J),
SUMIF('TL16'!C:C,C186,'TL16'!J:J),
SUMIF('TL17'!C:C,C186,'TL17'!J:J),
SUMIF('TL18'!C:C,C186,'TL18'!J:J),SUMIF('TL19'!C:C,C186,'TL19'!J:J))
,0)</f>
        <v>0</v>
      </c>
      <c r="S186" s="17">
        <f>IFERROR(__xludf.DUMMYFUNCTION("IFERROR(VLOOKUP(C186,
IMPORTRANGE(""1wULbzX32WdYsx-lj2U3uUNBBe2INVIRDtcK0d-Dvl90"",
""26-27!C:G""),
5,
FALSE),
"""")"),89.064)</f>
        <v>89.064</v>
      </c>
      <c r="T186" s="9"/>
      <c r="U186" s="92">
        <f t="shared" si="2"/>
        <v>0</v>
      </c>
      <c r="V186" s="93">
        <f t="shared" si="3"/>
        <v>0</v>
      </c>
    </row>
    <row r="187" ht="15.75" hidden="1" customHeight="1">
      <c r="A187" s="94" t="s">
        <v>480</v>
      </c>
      <c r="B187" s="95" t="s">
        <v>2</v>
      </c>
      <c r="C187" s="96" t="s">
        <v>784</v>
      </c>
      <c r="D187" s="96" t="s">
        <v>785</v>
      </c>
      <c r="E187" s="96">
        <v>200.0</v>
      </c>
      <c r="F187" s="4" t="s">
        <v>392</v>
      </c>
      <c r="G187" s="90" t="str">
        <f t="shared" si="4"/>
        <v>📄 Ver bula</v>
      </c>
      <c r="H187" s="9">
        <f>IFERROR(__xludf.DUMMYFUNCTION("IFERROR(VLOOKUP(C187,
IMPORTRANGE(""1wULbzX32WdYsx-lj2U3uUNBBe2INVIRDtcK0d-Dvl90"",
""26-27!C:K""),
8,
FALSE),
"""")"),0.3)</f>
        <v>0.3</v>
      </c>
      <c r="I187" s="97" t="s">
        <v>382</v>
      </c>
      <c r="J187" s="9">
        <f>IFERROR(SUM(
IF('TL01'!$B$3=J$3,SUMIF('TL01'!$C$10:$C$224,$C187,'TL01'!$J$10:$J$224),0),
IF('TL01'!$B$229=J$3,SUMIF('TL01'!$C$238:$C$451,$C187,'TL01'!$J$238:$J$451),0),
IF('TL02'!$B$3=J$3,SUMIF('TL02'!$C$10:$C$224,$C187,'TL02'!$J$10:$J$224),0),
IF('TL02'!$B$229=J$3,SUMIF('TL02'!$C$238:$C$451,$C187,'TL02'!$J$238:$J$451),0),
IF('TL03'!$B$3=J$3,SUMIF('TL03'!$C$10:$C$224,$C187,'TL03'!$J$10:$J$224),0),
IF('TL03'!$B$229=J$3,SUMIF('TL03'!$C$238:$C$451,$C187,'TL03'!$J$238:$J$451),0),
IF('TL04'!$B$3=J$3,SUMIF('TL04'!$C$10:$C$224,$C187,'TL04'!$J$10:$J$224),0),
IF('TL04'!$B$229=J$3,SUMIF('TL04'!$C$238:$C$451,$C187,'TL04'!$J$238:$J$451),0),
IF('TL05'!$B$3=J$3,SUMIF('TL05'!$C$10:$C$224,$C187,'TL05'!$J$10:$J$224),0),
IF('TL05'!$B$229=J$3,SUMIF('TL05'!$C$238:$C$451,$C187,'TL05'!$J$238:$J$451),0),
IF('TL06'!$B$3=J$3,SUMIF('TL06'!$C$10:$C$224,$C187,'TL06'!$J$10:$J$224),0),
IF('TL06'!$B$229=J$3,SUMIF('TL06'!$C$238:$C$451,$C187,'TL06'!$J$238:$J$451),0),
IF('TL07'!$B$3=J$3,SUMIF('TL07'!$C$10:$C$224,$C187,'TL07'!$J$10:$J$224),0),
IF('TL07'!$B$229=J$3,SUMIF('TL07'!$C$238:$C$451,$C187,'TL07'!$J$238:$J$451),0),
IF('TL08'!$B$3=J$3,SUMIF('TL08'!$C$10:$C$224,$C187,'TL08'!$J$10:$J$224),0),
IF('TL08'!$B$229=J$3,SUMIF('TL08'!$C$238:$C$451,$C187,'TL08'!$J$238:$J$451),0),
IF('TL09'!$B$3=J$3,SUMIF('TL09'!$C$10:$C$224,$C187,'TL09'!$J$10:$J$224),0),
IF('TL09'!$B$229=J$3,SUMIF('TL09'!$C$238:$C$451,$C187,'TL09'!$J$238:$J$451),0),
IF('TL10'!$B$3=J$3,SUMIF('TL10'!$C$10:$C$224,$C187,'TL10'!$J$10:$J$224),0),
IF('TL10'!$B$229=J$3,SUMIF('TL10'!$C$238:$C$451,$C187,'TL10'!$J$238:$J$451),0),
IF('TL11'!$B$3=J$3,SUMIF('TL11'!$C$10:$C$224,$C187,'TL11'!$J$10:$J$224),0),
IF('TL11'!$B$229=J$3,SUMIF('TL11'!$C$238:$C$451,$C187,'TL11'!$J$238:$J$451),0),
IF('TL12'!$B$3=J$3,SUMIF('TL12'!$C$10:$C$224,$C187,'TL12'!$J$10:$J$224),0),
IF('TL12'!$B$229=J$3,SUMIF('TL12'!$C$238:$C$451,$C187,'TL12'!$J$238:$J$451),0),
IF('TL13'!$B$3=J$3,SUMIF('TL13'!$C$10:$C$224,$C187,'TL13'!$J$10:$J$224),0),
IF('TL13'!$B$229=J$3,SUMIF('TL13'!$C$238:$C$451,$C187,'TL13'!$J$238:$J$451),0),
IF('TL14'!$B$3=J$3,SUMIF('TL14'!$C$10:$C$224,$C187,'TL14'!$J$10:$J$224),0),
IF('TL14'!$B$229=J$3,SUMIF('TL14'!$C$238:$C$451,$C187,'TL14'!$J$238:$J$451),0),
IF('TL15'!$B$3=J$3,SUMIF('TL15'!$C$10:$C$224,$C187,'TL15'!$J$10:$J$224),0),
IF('TL15'!$B$229=J$3,SUMIF('TL15'!$C$238:$C$451,$C187,'TL15'!$J$238:$J$451),0),
IF('TL16'!$B$3=J$3,SUMIF('TL16'!$C$10:$C$224,$C187,'TL16'!$J$10:$J$224),0),
IF('TL16'!$B$229=J$3,SUMIF('TL16'!$C$238:$C$451,$C187,'TL16'!$J$238:$J$451),0),
IF('TL17'!$B$3=J$3,SUMIF('TL17'!$C$10:$C$224,$C187,'TL17'!$J$10:$J$224),0),
IF('TL17'!$B$229=J$3,SUMIF('TL17'!$C$238:$C$451,$C187,'TL17'!$J$238:$J$451),0),
IF('TL18'!$B$3=J$3,SUMIF('TL18'!$C$10:$C$224,$C187,'TL18'!$J$10:$J$224),0),
IF('TL18'!$B$229=J$3,SUMIF('TL18'!$C$238:$C$451,$C187,'TL18'!$J$238:$J$451),0),
IF('TL19'!$B$3=J$3,SUMIF('TL19'!$C$10:$C$224,$C187,'TL19'!$J$10:$J$224),0),
IF('TL19'!$B$229=J$3,SUMIF('TL19'!$C$238:$C$451,$C187,'TL19'!$J$238:$J$451),0)
),0)</f>
        <v>0</v>
      </c>
      <c r="K187" s="9">
        <f>IFERROR(SUM(
IF('TL01'!$B$3=K$3,SUMIF('TL01'!$C$10:$C$224,$C187,'TL01'!$J$10:$J$224),0),
IF('TL01'!$B$229=K$3,SUMIF('TL01'!$C$238:$C$451,$C187,'TL01'!$J$238:$J$451),0),
IF('TL02'!$B$3=K$3,SUMIF('TL02'!$C$10:$C$224,$C187,'TL02'!$J$10:$J$224),0),
IF('TL02'!$B$229=K$3,SUMIF('TL02'!$C$238:$C$451,$C187,'TL02'!$J$238:$J$451),0),
IF('TL03'!$B$3=K$3,SUMIF('TL03'!$C$10:$C$224,$C187,'TL03'!$J$10:$J$224),0),
IF('TL03'!$B$229=K$3,SUMIF('TL03'!$C$238:$C$451,$C187,'TL03'!$J$238:$J$451),0),
IF('TL04'!$B$3=K$3,SUMIF('TL04'!$C$10:$C$224,$C187,'TL04'!$J$10:$J$224),0),
IF('TL04'!$B$229=K$3,SUMIF('TL04'!$C$238:$C$451,$C187,'TL04'!$J$238:$J$451),0),
IF('TL05'!$B$3=K$3,SUMIF('TL05'!$C$10:$C$224,$C187,'TL05'!$J$10:$J$224),0),
IF('TL05'!$B$229=K$3,SUMIF('TL05'!$C$238:$C$451,$C187,'TL05'!$J$238:$J$451),0),
IF('TL06'!$B$3=K$3,SUMIF('TL06'!$C$10:$C$224,$C187,'TL06'!$J$10:$J$224),0),
IF('TL06'!$B$229=K$3,SUMIF('TL06'!$C$238:$C$451,$C187,'TL06'!$J$238:$J$451),0),
IF('TL07'!$B$3=K$3,SUMIF('TL07'!$C$10:$C$224,$C187,'TL07'!$J$10:$J$224),0),
IF('TL07'!$B$229=K$3,SUMIF('TL07'!$C$238:$C$451,$C187,'TL07'!$J$238:$J$451),0),
IF('TL08'!$B$3=K$3,SUMIF('TL08'!$C$10:$C$224,$C187,'TL08'!$J$10:$J$224),0),
IF('TL08'!$B$229=K$3,SUMIF('TL08'!$C$238:$C$451,$C187,'TL08'!$J$238:$J$451),0),
IF('TL09'!$B$3=K$3,SUMIF('TL09'!$C$10:$C$224,$C187,'TL09'!$J$10:$J$224),0),
IF('TL09'!$B$229=K$3,SUMIF('TL09'!$C$238:$C$451,$C187,'TL09'!$J$238:$J$451),0),
IF('TL10'!$B$3=K$3,SUMIF('TL10'!$C$10:$C$224,$C187,'TL10'!$J$10:$J$224),0),
IF('TL10'!$B$229=K$3,SUMIF('TL10'!$C$238:$C$451,$C187,'TL10'!$J$238:$J$451),0),
IF('TL11'!$B$3=K$3,SUMIF('TL11'!$C$10:$C$224,$C187,'TL11'!$J$10:$J$224),0),
IF('TL11'!$B$229=K$3,SUMIF('TL11'!$C$238:$C$451,$C187,'TL11'!$J$238:$J$451),0),
IF('TL12'!$B$3=K$3,SUMIF('TL12'!$C$10:$C$224,$C187,'TL12'!$J$10:$J$224),0),
IF('TL12'!$B$229=K$3,SUMIF('TL12'!$C$238:$C$451,$C187,'TL12'!$J$238:$J$451),0),
IF('TL13'!$B$3=K$3,SUMIF('TL13'!$C$10:$C$224,$C187,'TL13'!$J$10:$J$224),0),
IF('TL13'!$B$229=K$3,SUMIF('TL13'!$C$238:$C$451,$C187,'TL13'!$J$238:$J$451),0),
IF('TL14'!$B$3=K$3,SUMIF('TL14'!$C$10:$C$224,$C187,'TL14'!$J$10:$J$224),0),
IF('TL14'!$B$229=K$3,SUMIF('TL14'!$C$238:$C$451,$C187,'TL14'!$J$238:$J$451),0),
IF('TL15'!$B$3=K$3,SUMIF('TL15'!$C$10:$C$224,$C187,'TL15'!$J$10:$J$224),0),
IF('TL15'!$B$229=K$3,SUMIF('TL15'!$C$238:$C$451,$C187,'TL15'!$J$238:$J$451),0),
IF('TL16'!$B$3=K$3,SUMIF('TL16'!$C$10:$C$224,$C187,'TL16'!$J$10:$J$224),0),
IF('TL16'!$B$229=K$3,SUMIF('TL16'!$C$238:$C$451,$C187,'TL16'!$J$238:$J$451),0),
IF('TL17'!$B$3=K$3,SUMIF('TL17'!$C$10:$C$224,$C187,'TL17'!$J$10:$J$224),0),
IF('TL17'!$B$229=K$3,SUMIF('TL17'!$C$238:$C$451,$C187,'TL17'!$J$238:$J$451),0),
IF('TL18'!$B$3=K$3,SUMIF('TL18'!$C$10:$C$224,$C187,'TL18'!$J$10:$J$224),0),
IF('TL18'!$B$229=K$3,SUMIF('TL18'!$C$238:$C$451,$C187,'TL18'!$J$238:$J$451),0),
IF('TL19'!$B$3=K$3,SUMIF('TL19'!$C$10:$C$224,$C187,'TL19'!$J$10:$J$224),0),
IF('TL19'!$B$229=K$3,SUMIF('TL19'!$C$238:$C$451,$C187,'TL19'!$J$238:$J$451),0)
),0)</f>
        <v>0</v>
      </c>
      <c r="L187" s="9">
        <f>IFERROR(SUM(
IF('TL01'!$B$3=L$3,SUMIF('TL01'!$C$10:$C$224,$C187,'TL01'!$J$10:$J$224),0),
IF('TL01'!$B$229=L$3,SUMIF('TL01'!$C$238:$C$451,$C187,'TL01'!$J$238:$J$451),0),
IF('TL02'!$B$3=L$3,SUMIF('TL02'!$C$10:$C$224,$C187,'TL02'!$J$10:$J$224),0),
IF('TL02'!$B$229=L$3,SUMIF('TL02'!$C$238:$C$451,$C187,'TL02'!$J$238:$J$451),0),
IF('TL03'!$B$3=L$3,SUMIF('TL03'!$C$10:$C$224,$C187,'TL03'!$J$10:$J$224),0),
IF('TL03'!$B$229=L$3,SUMIF('TL03'!$C$238:$C$451,$C187,'TL03'!$J$238:$J$451),0),
IF('TL04'!$B$3=L$3,SUMIF('TL04'!$C$10:$C$224,$C187,'TL04'!$J$10:$J$224),0),
IF('TL04'!$B$229=L$3,SUMIF('TL04'!$C$238:$C$451,$C187,'TL04'!$J$238:$J$451),0),
IF('TL05'!$B$3=L$3,SUMIF('TL05'!$C$10:$C$224,$C187,'TL05'!$J$10:$J$224),0),
IF('TL05'!$B$229=L$3,SUMIF('TL05'!$C$238:$C$451,$C187,'TL05'!$J$238:$J$451),0),
IF('TL06'!$B$3=L$3,SUMIF('TL06'!$C$10:$C$224,$C187,'TL06'!$J$10:$J$224),0),
IF('TL06'!$B$229=L$3,SUMIF('TL06'!$C$238:$C$451,$C187,'TL06'!$J$238:$J$451),0),
IF('TL07'!$B$3=L$3,SUMIF('TL07'!$C$10:$C$224,$C187,'TL07'!$J$10:$J$224),0),
IF('TL07'!$B$229=L$3,SUMIF('TL07'!$C$238:$C$451,$C187,'TL07'!$J$238:$J$451),0),
IF('TL08'!$B$3=L$3,SUMIF('TL08'!$C$10:$C$224,$C187,'TL08'!$J$10:$J$224),0),
IF('TL08'!$B$229=L$3,SUMIF('TL08'!$C$238:$C$451,$C187,'TL08'!$J$238:$J$451),0),
IF('TL09'!$B$3=L$3,SUMIF('TL09'!$C$10:$C$224,$C187,'TL09'!$J$10:$J$224),0),
IF('TL09'!$B$229=L$3,SUMIF('TL09'!$C$238:$C$451,$C187,'TL09'!$J$238:$J$451),0),
IF('TL10'!$B$3=L$3,SUMIF('TL10'!$C$10:$C$224,$C187,'TL10'!$J$10:$J$224),0),
IF('TL10'!$B$229=L$3,SUMIF('TL10'!$C$238:$C$451,$C187,'TL10'!$J$238:$J$451),0),
IF('TL11'!$B$3=L$3,SUMIF('TL11'!$C$10:$C$224,$C187,'TL11'!$J$10:$J$224),0),
IF('TL11'!$B$229=L$3,SUMIF('TL11'!$C$238:$C$451,$C187,'TL11'!$J$238:$J$451),0),
IF('TL12'!$B$3=L$3,SUMIF('TL12'!$C$10:$C$224,$C187,'TL12'!$J$10:$J$224),0),
IF('TL12'!$B$229=L$3,SUMIF('TL12'!$C$238:$C$451,$C187,'TL12'!$J$238:$J$451),0),
IF('TL13'!$B$3=L$3,SUMIF('TL13'!$C$10:$C$224,$C187,'TL13'!$J$10:$J$224),0),
IF('TL13'!$B$229=L$3,SUMIF('TL13'!$C$238:$C$451,$C187,'TL13'!$J$238:$J$451),0),
IF('TL14'!$B$3=L$3,SUMIF('TL14'!$C$10:$C$224,$C187,'TL14'!$J$10:$J$224),0),
IF('TL14'!$B$229=L$3,SUMIF('TL14'!$C$238:$C$451,$C187,'TL14'!$J$238:$J$451),0),
IF('TL15'!$B$3=L$3,SUMIF('TL15'!$C$10:$C$224,$C187,'TL15'!$J$10:$J$224),0),
IF('TL15'!$B$229=L$3,SUMIF('TL15'!$C$238:$C$451,$C187,'TL15'!$J$238:$J$451),0),
IF('TL16'!$B$3=L$3,SUMIF('TL16'!$C$10:$C$224,$C187,'TL16'!$J$10:$J$224),0),
IF('TL16'!$B$229=L$3,SUMIF('TL16'!$C$238:$C$451,$C187,'TL16'!$J$238:$J$451),0),
IF('TL17'!$B$3=L$3,SUMIF('TL17'!$C$10:$C$224,$C187,'TL17'!$J$10:$J$224),0),
IF('TL17'!$B$229=L$3,SUMIF('TL17'!$C$238:$C$451,$C187,'TL17'!$J$238:$J$451),0),
IF('TL18'!$B$3=L$3,SUMIF('TL18'!$C$10:$C$224,$C187,'TL18'!$J$10:$J$224),0),
IF('TL18'!$B$229=L$3,SUMIF('TL18'!$C$238:$C$451,$C187,'TL18'!$J$238:$J$451),0),
IF('TL19'!$B$3=L$3,SUMIF('TL19'!$C$10:$C$224,$C187,'TL19'!$J$10:$J$224),0),
IF('TL19'!$B$229=L$3,SUMIF('TL19'!$C$238:$C$451,$C187,'TL19'!$J$238:$J$451),0)
),0)</f>
        <v>0</v>
      </c>
      <c r="M187" s="9">
        <f>IFERROR(SUM(
IF('TL01'!$B$3=M$3,SUMIF('TL01'!$C$10:$C$224,$C187,'TL01'!$J$10:$J$224),0),
IF('TL01'!$B$229=M$3,SUMIF('TL01'!$C$238:$C$451,$C187,'TL01'!$J$238:$J$451),0),
IF('TL02'!$B$3=M$3,SUMIF('TL02'!$C$10:$C$224,$C187,'TL02'!$J$10:$J$224),0),
IF('TL02'!$B$229=M$3,SUMIF('TL02'!$C$238:$C$451,$C187,'TL02'!$J$238:$J$451),0),
IF('TL03'!$B$3=M$3,SUMIF('TL03'!$C$10:$C$224,$C187,'TL03'!$J$10:$J$224),0),
IF('TL03'!$B$229=M$3,SUMIF('TL03'!$C$238:$C$451,$C187,'TL03'!$J$238:$J$451),0),
IF('TL04'!$B$3=M$3,SUMIF('TL04'!$C$10:$C$224,$C187,'TL04'!$J$10:$J$224),0),
IF('TL04'!$B$229=M$3,SUMIF('TL04'!$C$238:$C$451,$C187,'TL04'!$J$238:$J$451),0),
IF('TL05'!$B$3=M$3,SUMIF('TL05'!$C$10:$C$224,$C187,'TL05'!$J$10:$J$224),0),
IF('TL05'!$B$229=M$3,SUMIF('TL05'!$C$238:$C$451,$C187,'TL05'!$J$238:$J$451),0),
IF('TL06'!$B$3=M$3,SUMIF('TL06'!$C$10:$C$224,$C187,'TL06'!$J$10:$J$224),0),
IF('TL06'!$B$229=M$3,SUMIF('TL06'!$C$238:$C$451,$C187,'TL06'!$J$238:$J$451),0),
IF('TL07'!$B$3=M$3,SUMIF('TL07'!$C$10:$C$224,$C187,'TL07'!$J$10:$J$224),0),
IF('TL07'!$B$229=M$3,SUMIF('TL07'!$C$238:$C$451,$C187,'TL07'!$J$238:$J$451),0),
IF('TL08'!$B$3=M$3,SUMIF('TL08'!$C$10:$C$224,$C187,'TL08'!$J$10:$J$224),0),
IF('TL08'!$B$229=M$3,SUMIF('TL08'!$C$238:$C$451,$C187,'TL08'!$J$238:$J$451),0),
IF('TL09'!$B$3=M$3,SUMIF('TL09'!$C$10:$C$224,$C187,'TL09'!$J$10:$J$224),0),
IF('TL09'!$B$229=M$3,SUMIF('TL09'!$C$238:$C$451,$C187,'TL09'!$J$238:$J$451),0),
IF('TL10'!$B$3=M$3,SUMIF('TL10'!$C$10:$C$224,$C187,'TL10'!$J$10:$J$224),0),
IF('TL10'!$B$229=M$3,SUMIF('TL10'!$C$238:$C$451,$C187,'TL10'!$J$238:$J$451),0),
IF('TL11'!$B$3=M$3,SUMIF('TL11'!$C$10:$C$224,$C187,'TL11'!$J$10:$J$224),0),
IF('TL11'!$B$229=M$3,SUMIF('TL11'!$C$238:$C$451,$C187,'TL11'!$J$238:$J$451),0),
IF('TL12'!$B$3=M$3,SUMIF('TL12'!$C$10:$C$224,$C187,'TL12'!$J$10:$J$224),0),
IF('TL12'!$B$229=M$3,SUMIF('TL12'!$C$238:$C$451,$C187,'TL12'!$J$238:$J$451),0),
IF('TL13'!$B$3=M$3,SUMIF('TL13'!$C$10:$C$224,$C187,'TL13'!$J$10:$J$224),0),
IF('TL13'!$B$229=M$3,SUMIF('TL13'!$C$238:$C$451,$C187,'TL13'!$J$238:$J$451),0),
IF('TL14'!$B$3=M$3,SUMIF('TL14'!$C$10:$C$224,$C187,'TL14'!$J$10:$J$224),0),
IF('TL14'!$B$229=M$3,SUMIF('TL14'!$C$238:$C$451,$C187,'TL14'!$J$238:$J$451),0),
IF('TL15'!$B$3=M$3,SUMIF('TL15'!$C$10:$C$224,$C187,'TL15'!$J$10:$J$224),0),
IF('TL15'!$B$229=M$3,SUMIF('TL15'!$C$238:$C$451,$C187,'TL15'!$J$238:$J$451),0),
IF('TL16'!$B$3=M$3,SUMIF('TL16'!$C$10:$C$224,$C187,'TL16'!$J$10:$J$224),0),
IF('TL16'!$B$229=M$3,SUMIF('TL16'!$C$238:$C$451,$C187,'TL16'!$J$238:$J$451),0),
IF('TL17'!$B$3=M$3,SUMIF('TL17'!$C$10:$C$224,$C187,'TL17'!$J$10:$J$224),0),
IF('TL17'!$B$229=M$3,SUMIF('TL17'!$C$238:$C$451,$C187,'TL17'!$J$238:$J$451),0),
IF('TL18'!$B$3=M$3,SUMIF('TL18'!$C$10:$C$224,$C187,'TL18'!$J$10:$J$224),0),
IF('TL18'!$B$229=M$3,SUMIF('TL18'!$C$238:$C$451,$C187,'TL18'!$J$238:$J$451),0),
IF('TL19'!$B$3=M$3,SUMIF('TL19'!$C$10:$C$224,$C187,'TL19'!$J$10:$J$224),0),
IF('TL19'!$B$229=M$3,SUMIF('TL19'!$C$238:$C$451,$C187,'TL19'!$J$238:$J$451),0)
),0)</f>
        <v>0</v>
      </c>
      <c r="N187" s="9">
        <f>IFERROR(SUM(
IF('TL01'!$B$3=N$3,SUMIF('TL01'!$C$10:$C$224,$C187,'TL01'!$J$10:$J$224),0),
IF('TL01'!$B$229=N$3,SUMIF('TL01'!$C$238:$C$451,$C187,'TL01'!$J$238:$J$451),0),
IF('TL02'!$B$3=N$3,SUMIF('TL02'!$C$10:$C$224,$C187,'TL02'!$J$10:$J$224),0),
IF('TL02'!$B$229=N$3,SUMIF('TL02'!$C$238:$C$451,$C187,'TL02'!$J$238:$J$451),0),
IF('TL03'!$B$3=N$3,SUMIF('TL03'!$C$10:$C$224,$C187,'TL03'!$J$10:$J$224),0),
IF('TL03'!$B$229=N$3,SUMIF('TL03'!$C$238:$C$451,$C187,'TL03'!$J$238:$J$451),0),
IF('TL04'!$B$3=N$3,SUMIF('TL04'!$C$10:$C$224,$C187,'TL04'!$J$10:$J$224),0),
IF('TL04'!$B$229=N$3,SUMIF('TL04'!$C$238:$C$451,$C187,'TL04'!$J$238:$J$451),0),
IF('TL05'!$B$3=N$3,SUMIF('TL05'!$C$10:$C$224,$C187,'TL05'!$J$10:$J$224),0),
IF('TL05'!$B$229=N$3,SUMIF('TL05'!$C$238:$C$451,$C187,'TL05'!$J$238:$J$451),0),
IF('TL06'!$B$3=N$3,SUMIF('TL06'!$C$10:$C$224,$C187,'TL06'!$J$10:$J$224),0),
IF('TL06'!$B$229=N$3,SUMIF('TL06'!$C$238:$C$451,$C187,'TL06'!$J$238:$J$451),0),
IF('TL07'!$B$3=N$3,SUMIF('TL07'!$C$10:$C$224,$C187,'TL07'!$J$10:$J$224),0),
IF('TL07'!$B$229=N$3,SUMIF('TL07'!$C$238:$C$451,$C187,'TL07'!$J$238:$J$451),0),
IF('TL08'!$B$3=N$3,SUMIF('TL08'!$C$10:$C$224,$C187,'TL08'!$J$10:$J$224),0),
IF('TL08'!$B$229=N$3,SUMIF('TL08'!$C$238:$C$451,$C187,'TL08'!$J$238:$J$451),0),
IF('TL09'!$B$3=N$3,SUMIF('TL09'!$C$10:$C$224,$C187,'TL09'!$J$10:$J$224),0),
IF('TL09'!$B$229=N$3,SUMIF('TL09'!$C$238:$C$451,$C187,'TL09'!$J$238:$J$451),0),
IF('TL10'!$B$3=N$3,SUMIF('TL10'!$C$10:$C$224,$C187,'TL10'!$J$10:$J$224),0),
IF('TL10'!$B$229=N$3,SUMIF('TL10'!$C$238:$C$451,$C187,'TL10'!$J$238:$J$451),0),
IF('TL11'!$B$3=N$3,SUMIF('TL11'!$C$10:$C$224,$C187,'TL11'!$J$10:$J$224),0),
IF('TL11'!$B$229=N$3,SUMIF('TL11'!$C$238:$C$451,$C187,'TL11'!$J$238:$J$451),0),
IF('TL12'!$B$3=N$3,SUMIF('TL12'!$C$10:$C$224,$C187,'TL12'!$J$10:$J$224),0),
IF('TL12'!$B$229=N$3,SUMIF('TL12'!$C$238:$C$451,$C187,'TL12'!$J$238:$J$451),0),
IF('TL13'!$B$3=N$3,SUMIF('TL13'!$C$10:$C$224,$C187,'TL13'!$J$10:$J$224),0),
IF('TL13'!$B$229=N$3,SUMIF('TL13'!$C$238:$C$451,$C187,'TL13'!$J$238:$J$451),0),
IF('TL14'!$B$3=N$3,SUMIF('TL14'!$C$10:$C$224,$C187,'TL14'!$J$10:$J$224),0),
IF('TL14'!$B$229=N$3,SUMIF('TL14'!$C$238:$C$451,$C187,'TL14'!$J$238:$J$451),0),
IF('TL15'!$B$3=N$3,SUMIF('TL15'!$C$10:$C$224,$C187,'TL15'!$J$10:$J$224),0),
IF('TL15'!$B$229=N$3,SUMIF('TL15'!$C$238:$C$451,$C187,'TL15'!$J$238:$J$451),0),
IF('TL16'!$B$3=N$3,SUMIF('TL16'!$C$10:$C$224,$C187,'TL16'!$J$10:$J$224),0),
IF('TL16'!$B$229=N$3,SUMIF('TL16'!$C$238:$C$451,$C187,'TL16'!$J$238:$J$451),0),
IF('TL17'!$B$3=N$3,SUMIF('TL17'!$C$10:$C$224,$C187,'TL17'!$J$10:$J$224),0),
IF('TL17'!$B$229=N$3,SUMIF('TL17'!$C$238:$C$451,$C187,'TL17'!$J$238:$J$451),0),
IF('TL18'!$B$3=N$3,SUMIF('TL18'!$C$10:$C$224,$C187,'TL18'!$J$10:$J$224),0),
IF('TL18'!$B$229=N$3,SUMIF('TL18'!$C$238:$C$451,$C187,'TL18'!$J$238:$J$451),0),
IF('TL19'!$B$3=N$3,SUMIF('TL19'!$C$10:$C$224,$C187,'TL19'!$J$10:$J$224),0),
IF('TL19'!$B$229=N$3,SUMIF('TL19'!$C$238:$C$451,$C187,'TL19'!$J$238:$J$451),0)
),0)</f>
        <v>0</v>
      </c>
      <c r="O187" s="9">
        <f>IFERROR(SUM(
IF('TL01'!$B$3=O$3,SUMIF('TL01'!$C$10:$C$224,$C187,'TL01'!$J$10:$J$224),0),
IF('TL01'!$B$229=O$3,SUMIF('TL01'!$C$238:$C$451,$C187,'TL01'!$J$238:$J$451),0),
IF('TL02'!$B$3=O$3,SUMIF('TL02'!$C$10:$C$224,$C187,'TL02'!$J$10:$J$224),0),
IF('TL02'!$B$229=O$3,SUMIF('TL02'!$C$238:$C$451,$C187,'TL02'!$J$238:$J$451),0),
IF('TL03'!$B$3=O$3,SUMIF('TL03'!$C$10:$C$224,$C187,'TL03'!$J$10:$J$224),0),
IF('TL03'!$B$229=O$3,SUMIF('TL03'!$C$238:$C$451,$C187,'TL03'!$J$238:$J$451),0),
IF('TL04'!$B$3=O$3,SUMIF('TL04'!$C$10:$C$224,$C187,'TL04'!$J$10:$J$224),0),
IF('TL04'!$B$229=O$3,SUMIF('TL04'!$C$238:$C$451,$C187,'TL04'!$J$238:$J$451),0),
IF('TL05'!$B$3=O$3,SUMIF('TL05'!$C$10:$C$224,$C187,'TL05'!$J$10:$J$224),0),
IF('TL05'!$B$229=O$3,SUMIF('TL05'!$C$238:$C$451,$C187,'TL05'!$J$238:$J$451),0),
IF('TL06'!$B$3=O$3,SUMIF('TL06'!$C$10:$C$224,$C187,'TL06'!$J$10:$J$224),0),
IF('TL06'!$B$229=O$3,SUMIF('TL06'!$C$238:$C$451,$C187,'TL06'!$J$238:$J$451),0),
IF('TL07'!$B$3=O$3,SUMIF('TL07'!$C$10:$C$224,$C187,'TL07'!$J$10:$J$224),0),
IF('TL07'!$B$229=O$3,SUMIF('TL07'!$C$238:$C$451,$C187,'TL07'!$J$238:$J$451),0),
IF('TL08'!$B$3=O$3,SUMIF('TL08'!$C$10:$C$224,$C187,'TL08'!$J$10:$J$224),0),
IF('TL08'!$B$229=O$3,SUMIF('TL08'!$C$238:$C$451,$C187,'TL08'!$J$238:$J$451),0),
IF('TL09'!$B$3=O$3,SUMIF('TL09'!$C$10:$C$224,$C187,'TL09'!$J$10:$J$224),0),
IF('TL09'!$B$229=O$3,SUMIF('TL09'!$C$238:$C$451,$C187,'TL09'!$J$238:$J$451),0),
IF('TL10'!$B$3=O$3,SUMIF('TL10'!$C$10:$C$224,$C187,'TL10'!$J$10:$J$224),0),
IF('TL10'!$B$229=O$3,SUMIF('TL10'!$C$238:$C$451,$C187,'TL10'!$J$238:$J$451),0),
IF('TL11'!$B$3=O$3,SUMIF('TL11'!$C$10:$C$224,$C187,'TL11'!$J$10:$J$224),0),
IF('TL11'!$B$229=O$3,SUMIF('TL11'!$C$238:$C$451,$C187,'TL11'!$J$238:$J$451),0),
IF('TL12'!$B$3=O$3,SUMIF('TL12'!$C$10:$C$224,$C187,'TL12'!$J$10:$J$224),0),
IF('TL12'!$B$229=O$3,SUMIF('TL12'!$C$238:$C$451,$C187,'TL12'!$J$238:$J$451),0),
IF('TL13'!$B$3=O$3,SUMIF('TL13'!$C$10:$C$224,$C187,'TL13'!$J$10:$J$224),0),
IF('TL13'!$B$229=O$3,SUMIF('TL13'!$C$238:$C$451,$C187,'TL13'!$J$238:$J$451),0),
IF('TL14'!$B$3=O$3,SUMIF('TL14'!$C$10:$C$224,$C187,'TL14'!$J$10:$J$224),0),
IF('TL14'!$B$229=O$3,SUMIF('TL14'!$C$238:$C$451,$C187,'TL14'!$J$238:$J$451),0),
IF('TL15'!$B$3=O$3,SUMIF('TL15'!$C$10:$C$224,$C187,'TL15'!$J$10:$J$224),0),
IF('TL15'!$B$229=O$3,SUMIF('TL15'!$C$238:$C$451,$C187,'TL15'!$J$238:$J$451),0),
IF('TL16'!$B$3=O$3,SUMIF('TL16'!$C$10:$C$224,$C187,'TL16'!$J$10:$J$224),0),
IF('TL16'!$B$229=O$3,SUMIF('TL16'!$C$238:$C$451,$C187,'TL16'!$J$238:$J$451),0),
IF('TL17'!$B$3=O$3,SUMIF('TL17'!$C$10:$C$224,$C187,'TL17'!$J$10:$J$224),0),
IF('TL17'!$B$229=O$3,SUMIF('TL17'!$C$238:$C$451,$C187,'TL17'!$J$238:$J$451),0),
IF('TL18'!$B$3=O$3,SUMIF('TL18'!$C$10:$C$224,$C187,'TL18'!$J$10:$J$224),0),
IF('TL18'!$B$229=O$3,SUMIF('TL18'!$C$238:$C$451,$C187,'TL18'!$J$238:$J$451),0),
IF('TL19'!$B$3=O$3,SUMIF('TL19'!$C$10:$C$224,$C187,'TL19'!$J$10:$J$224),0),
IF('TL19'!$B$229=O$3,SUMIF('TL19'!$C$238:$C$451,$C187,'TL19'!$J$238:$J$451),0)
),0)</f>
        <v>0</v>
      </c>
      <c r="P187" s="9">
        <f>IFERROR(SUM(
IF('TL01'!$B$3=P$3,SUMIF('TL01'!$C$10:$C$224,$C187,'TL01'!$J$10:$J$224),0),
IF('TL01'!$B$229=P$3,SUMIF('TL01'!$C$238:$C$451,$C187,'TL01'!$J$238:$J$451),0),
IF('TL02'!$B$3=P$3,SUMIF('TL02'!$C$10:$C$224,$C187,'TL02'!$J$10:$J$224),0),
IF('TL02'!$B$229=P$3,SUMIF('TL02'!$C$238:$C$451,$C187,'TL02'!$J$238:$J$451),0),
IF('TL03'!$B$3=P$3,SUMIF('TL03'!$C$10:$C$224,$C187,'TL03'!$J$10:$J$224),0),
IF('TL03'!$B$229=P$3,SUMIF('TL03'!$C$238:$C$451,$C187,'TL03'!$J$238:$J$451),0),
IF('TL04'!$B$3=P$3,SUMIF('TL04'!$C$10:$C$224,$C187,'TL04'!$J$10:$J$224),0),
IF('TL04'!$B$229=P$3,SUMIF('TL04'!$C$238:$C$451,$C187,'TL04'!$J$238:$J$451),0),
IF('TL05'!$B$3=P$3,SUMIF('TL05'!$C$10:$C$224,$C187,'TL05'!$J$10:$J$224),0),
IF('TL05'!$B$229=P$3,SUMIF('TL05'!$C$238:$C$451,$C187,'TL05'!$J$238:$J$451),0),
IF('TL06'!$B$3=P$3,SUMIF('TL06'!$C$10:$C$224,$C187,'TL06'!$J$10:$J$224),0),
IF('TL06'!$B$229=P$3,SUMIF('TL06'!$C$238:$C$451,$C187,'TL06'!$J$238:$J$451),0),
IF('TL07'!$B$3=P$3,SUMIF('TL07'!$C$10:$C$224,$C187,'TL07'!$J$10:$J$224),0),
IF('TL07'!$B$229=P$3,SUMIF('TL07'!$C$238:$C$451,$C187,'TL07'!$J$238:$J$451),0),
IF('TL08'!$B$3=P$3,SUMIF('TL08'!$C$10:$C$224,$C187,'TL08'!$J$10:$J$224),0),
IF('TL08'!$B$229=P$3,SUMIF('TL08'!$C$238:$C$451,$C187,'TL08'!$J$238:$J$451),0),
IF('TL09'!$B$3=P$3,SUMIF('TL09'!$C$10:$C$224,$C187,'TL09'!$J$10:$J$224),0),
IF('TL09'!$B$229=P$3,SUMIF('TL09'!$C$238:$C$451,$C187,'TL09'!$J$238:$J$451),0),
IF('TL10'!$B$3=P$3,SUMIF('TL10'!$C$10:$C$224,$C187,'TL10'!$J$10:$J$224),0),
IF('TL10'!$B$229=P$3,SUMIF('TL10'!$C$238:$C$451,$C187,'TL10'!$J$238:$J$451),0),
IF('TL11'!$B$3=P$3,SUMIF('TL11'!$C$10:$C$224,$C187,'TL11'!$J$10:$J$224),0),
IF('TL11'!$B$229=P$3,SUMIF('TL11'!$C$238:$C$451,$C187,'TL11'!$J$238:$J$451),0),
IF('TL12'!$B$3=P$3,SUMIF('TL12'!$C$10:$C$224,$C187,'TL12'!$J$10:$J$224),0),
IF('TL12'!$B$229=P$3,SUMIF('TL12'!$C$238:$C$451,$C187,'TL12'!$J$238:$J$451),0),
IF('TL13'!$B$3=P$3,SUMIF('TL13'!$C$10:$C$224,$C187,'TL13'!$J$10:$J$224),0),
IF('TL13'!$B$229=P$3,SUMIF('TL13'!$C$238:$C$451,$C187,'TL13'!$J$238:$J$451),0),
IF('TL14'!$B$3=P$3,SUMIF('TL14'!$C$10:$C$224,$C187,'TL14'!$J$10:$J$224),0),
IF('TL14'!$B$229=P$3,SUMIF('TL14'!$C$238:$C$451,$C187,'TL14'!$J$238:$J$451),0),
IF('TL15'!$B$3=P$3,SUMIF('TL15'!$C$10:$C$224,$C187,'TL15'!$J$10:$J$224),0),
IF('TL15'!$B$229=P$3,SUMIF('TL15'!$C$238:$C$451,$C187,'TL15'!$J$238:$J$451),0),
IF('TL16'!$B$3=P$3,SUMIF('TL16'!$C$10:$C$224,$C187,'TL16'!$J$10:$J$224),0),
IF('TL16'!$B$229=P$3,SUMIF('TL16'!$C$238:$C$451,$C187,'TL16'!$J$238:$J$451),0),
IF('TL17'!$B$3=P$3,SUMIF('TL17'!$C$10:$C$224,$C187,'TL17'!$J$10:$J$224),0),
IF('TL17'!$B$229=P$3,SUMIF('TL17'!$C$238:$C$451,$C187,'TL17'!$J$238:$J$451),0),
IF('TL18'!$B$3=P$3,SUMIF('TL18'!$C$10:$C$224,$C187,'TL18'!$J$10:$J$224),0),
IF('TL18'!$B$229=P$3,SUMIF('TL18'!$C$238:$C$451,$C187,'TL18'!$J$238:$J$451),0),
IF('TL19'!$B$3=P$3,SUMIF('TL19'!$C$10:$C$224,$C187,'TL19'!$J$10:$J$224),0),
IF('TL19'!$B$229=P$3,SUMIF('TL19'!$C$238:$C$451,$C187,'TL19'!$J$238:$J$451),0)
),0)</f>
        <v>0</v>
      </c>
      <c r="Q187" s="9">
        <f>IFERROR(SUM(
IF('TL01'!$B$3=Q$3,SUMIF('TL01'!$C$10:$C$224,$C187,'TL01'!$J$10:$J$224),0),
IF('TL01'!$B$229=Q$3,SUMIF('TL01'!$C$238:$C$451,$C187,'TL01'!$J$238:$J$451),0),
IF('TL02'!$B$3=Q$3,SUMIF('TL02'!$C$10:$C$224,$C187,'TL02'!$J$10:$J$224),0),
IF('TL02'!$B$229=Q$3,SUMIF('TL02'!$C$238:$C$451,$C187,'TL02'!$J$238:$J$451),0),
IF('TL03'!$B$3=Q$3,SUMIF('TL03'!$C$10:$C$224,$C187,'TL03'!$J$10:$J$224),0),
IF('TL03'!$B$229=Q$3,SUMIF('TL03'!$C$238:$C$451,$C187,'TL03'!$J$238:$J$451),0),
IF('TL04'!$B$3=Q$3,SUMIF('TL04'!$C$10:$C$224,$C187,'TL04'!$J$10:$J$224),0),
IF('TL04'!$B$229=Q$3,SUMIF('TL04'!$C$238:$C$451,$C187,'TL04'!$J$238:$J$451),0),
IF('TL05'!$B$3=Q$3,SUMIF('TL05'!$C$10:$C$224,$C187,'TL05'!$J$10:$J$224),0),
IF('TL05'!$B$229=Q$3,SUMIF('TL05'!$C$238:$C$451,$C187,'TL05'!$J$238:$J$451),0),
IF('TL06'!$B$3=Q$3,SUMIF('TL06'!$C$10:$C$224,$C187,'TL06'!$J$10:$J$224),0),
IF('TL06'!$B$229=Q$3,SUMIF('TL06'!$C$238:$C$451,$C187,'TL06'!$J$238:$J$451),0),
IF('TL07'!$B$3=Q$3,SUMIF('TL07'!$C$10:$C$224,$C187,'TL07'!$J$10:$J$224),0),
IF('TL07'!$B$229=Q$3,SUMIF('TL07'!$C$238:$C$451,$C187,'TL07'!$J$238:$J$451),0),
IF('TL08'!$B$3=Q$3,SUMIF('TL08'!$C$10:$C$224,$C187,'TL08'!$J$10:$J$224),0),
IF('TL08'!$B$229=Q$3,SUMIF('TL08'!$C$238:$C$451,$C187,'TL08'!$J$238:$J$451),0),
IF('TL09'!$B$3=Q$3,SUMIF('TL09'!$C$10:$C$224,$C187,'TL09'!$J$10:$J$224),0),
IF('TL09'!$B$229=Q$3,SUMIF('TL09'!$C$238:$C$451,$C187,'TL09'!$J$238:$J$451),0),
IF('TL10'!$B$3=Q$3,SUMIF('TL10'!$C$10:$C$224,$C187,'TL10'!$J$10:$J$224),0),
IF('TL10'!$B$229=Q$3,SUMIF('TL10'!$C$238:$C$451,$C187,'TL10'!$J$238:$J$451),0),
IF('TL11'!$B$3=Q$3,SUMIF('TL11'!$C$10:$C$224,$C187,'TL11'!$J$10:$J$224),0),
IF('TL11'!$B$229=Q$3,SUMIF('TL11'!$C$238:$C$451,$C187,'TL11'!$J$238:$J$451),0),
IF('TL12'!$B$3=Q$3,SUMIF('TL12'!$C$10:$C$224,$C187,'TL12'!$J$10:$J$224),0),
IF('TL12'!$B$229=Q$3,SUMIF('TL12'!$C$238:$C$451,$C187,'TL12'!$J$238:$J$451),0),
IF('TL13'!$B$3=Q$3,SUMIF('TL13'!$C$10:$C$224,$C187,'TL13'!$J$10:$J$224),0),
IF('TL13'!$B$229=Q$3,SUMIF('TL13'!$C$238:$C$451,$C187,'TL13'!$J$238:$J$451),0),
IF('TL14'!$B$3=Q$3,SUMIF('TL14'!$C$10:$C$224,$C187,'TL14'!$J$10:$J$224),0),
IF('TL14'!$B$229=Q$3,SUMIF('TL14'!$C$238:$C$451,$C187,'TL14'!$J$238:$J$451),0),
IF('TL15'!$B$3=Q$3,SUMIF('TL15'!$C$10:$C$224,$C187,'TL15'!$J$10:$J$224),0),
IF('TL15'!$B$229=Q$3,SUMIF('TL15'!$C$238:$C$451,$C187,'TL15'!$J$238:$J$451),0),
IF('TL16'!$B$3=Q$3,SUMIF('TL16'!$C$10:$C$224,$C187,'TL16'!$J$10:$J$224),0),
IF('TL16'!$B$229=Q$3,SUMIF('TL16'!$C$238:$C$451,$C187,'TL16'!$J$238:$J$451),0),
IF('TL17'!$B$3=Q$3,SUMIF('TL17'!$C$10:$C$224,$C187,'TL17'!$J$10:$J$224),0),
IF('TL17'!$B$229=Q$3,SUMIF('TL17'!$C$238:$C$451,$C187,'TL17'!$J$238:$J$451),0),
IF('TL18'!$B$3=Q$3,SUMIF('TL18'!$C$10:$C$224,$C187,'TL18'!$J$10:$J$224),0),
IF('TL18'!$B$229=Q$3,SUMIF('TL18'!$C$238:$C$451,$C187,'TL18'!$J$238:$J$451),0),
IF('TL19'!$B$3=Q$3,SUMIF('TL19'!$C$10:$C$224,$C187,'TL19'!$J$10:$J$224),0),
IF('TL19'!$B$229=Q$3,SUMIF('TL19'!$C$238:$C$451,$C187,'TL19'!$J$238:$J$451),0)
),0)</f>
        <v>0</v>
      </c>
      <c r="R187" s="9">
        <f>IFERROR(
SUM(
SUMIF('TL01'!C:C,C187,'TL01'!J:J),
SUMIF('TL02'!C:C,C187,'TL02'!J:J),
SUMIF('TL03'!C:C,C187,'TL03'!J:J),
SUMIF('TL04'!C:C,C187,'TL04'!J:J),
SUMIF('TL05'!C:C,C187,'TL05'!J:J),
SUMIF('TL06'!C:C,C187,'TL06'!J:J),
SUMIF('TL07'!C:C,C187,'TL07'!J:J),
SUMIF('TL08'!C:C,C187,'TL08'!J:J),
SUMIF('TL09'!C:C,C187,'TL09'!J:J),
SUMIF('TL10'!C:C,C187,'TL10'!J:J),
SUMIF('TL11'!C:C,C187,'TL11'!J:J),
SUMIF('TL12'!C:C,C187,'TL12'!J:J),
SUMIF('TL13'!C:C,C187,'TL13'!J:J),
SUMIF('TL14'!C:C,C187,'TL14'!J:J),
SUMIF('TL15'!C:C,C187,'TL15'!J:J),
SUMIF('TL16'!C:C,C187,'TL16'!J:J),
SUMIF('TL17'!C:C,C187,'TL17'!J:J),
SUMIF('TL18'!C:C,C187,'TL18'!J:J),SUMIF('TL19'!C:C,C187,'TL19'!J:J))
,0)</f>
        <v>0</v>
      </c>
      <c r="S187" s="17">
        <f>IFERROR(__xludf.DUMMYFUNCTION("IFERROR(VLOOKUP(C187,
IMPORTRANGE(""1wULbzX32WdYsx-lj2U3uUNBBe2INVIRDtcK0d-Dvl90"",
""26-27!C:G""),
5,
FALSE),
"""")"),19.70541)</f>
        <v>19.70541</v>
      </c>
      <c r="T187" s="9"/>
      <c r="U187" s="92">
        <f t="shared" si="2"/>
        <v>0</v>
      </c>
      <c r="V187" s="93">
        <f t="shared" si="3"/>
        <v>0</v>
      </c>
    </row>
    <row r="188" ht="15.75" hidden="1" customHeight="1">
      <c r="A188" s="87" t="s">
        <v>480</v>
      </c>
      <c r="B188" s="88" t="s">
        <v>2</v>
      </c>
      <c r="C188" s="89" t="s">
        <v>786</v>
      </c>
      <c r="D188" s="89" t="s">
        <v>787</v>
      </c>
      <c r="E188" s="89">
        <v>480.0</v>
      </c>
      <c r="F188" s="4" t="s">
        <v>392</v>
      </c>
      <c r="G188" s="90" t="str">
        <f t="shared" si="4"/>
        <v>📄 Ver bula</v>
      </c>
      <c r="H188" s="9">
        <f>IFERROR(__xludf.DUMMYFUNCTION("IFERROR(VLOOKUP(C188,
IMPORTRANGE(""1wULbzX32WdYsx-lj2U3uUNBBe2INVIRDtcK0d-Dvl90"",
""26-27!C:K""),
8,
FALSE),
"""")"),0.04)</f>
        <v>0.04</v>
      </c>
      <c r="I188" s="91" t="s">
        <v>344</v>
      </c>
      <c r="J188" s="9">
        <f>IFERROR(SUM(
IF('TL01'!$B$3=J$3,SUMIF('TL01'!$C$10:$C$224,$C188,'TL01'!$J$10:$J$224),0),
IF('TL01'!$B$229=J$3,SUMIF('TL01'!$C$238:$C$451,$C188,'TL01'!$J$238:$J$451),0),
IF('TL02'!$B$3=J$3,SUMIF('TL02'!$C$10:$C$224,$C188,'TL02'!$J$10:$J$224),0),
IF('TL02'!$B$229=J$3,SUMIF('TL02'!$C$238:$C$451,$C188,'TL02'!$J$238:$J$451),0),
IF('TL03'!$B$3=J$3,SUMIF('TL03'!$C$10:$C$224,$C188,'TL03'!$J$10:$J$224),0),
IF('TL03'!$B$229=J$3,SUMIF('TL03'!$C$238:$C$451,$C188,'TL03'!$J$238:$J$451),0),
IF('TL04'!$B$3=J$3,SUMIF('TL04'!$C$10:$C$224,$C188,'TL04'!$J$10:$J$224),0),
IF('TL04'!$B$229=J$3,SUMIF('TL04'!$C$238:$C$451,$C188,'TL04'!$J$238:$J$451),0),
IF('TL05'!$B$3=J$3,SUMIF('TL05'!$C$10:$C$224,$C188,'TL05'!$J$10:$J$224),0),
IF('TL05'!$B$229=J$3,SUMIF('TL05'!$C$238:$C$451,$C188,'TL05'!$J$238:$J$451),0),
IF('TL06'!$B$3=J$3,SUMIF('TL06'!$C$10:$C$224,$C188,'TL06'!$J$10:$J$224),0),
IF('TL06'!$B$229=J$3,SUMIF('TL06'!$C$238:$C$451,$C188,'TL06'!$J$238:$J$451),0),
IF('TL07'!$B$3=J$3,SUMIF('TL07'!$C$10:$C$224,$C188,'TL07'!$J$10:$J$224),0),
IF('TL07'!$B$229=J$3,SUMIF('TL07'!$C$238:$C$451,$C188,'TL07'!$J$238:$J$451),0),
IF('TL08'!$B$3=J$3,SUMIF('TL08'!$C$10:$C$224,$C188,'TL08'!$J$10:$J$224),0),
IF('TL08'!$B$229=J$3,SUMIF('TL08'!$C$238:$C$451,$C188,'TL08'!$J$238:$J$451),0),
IF('TL09'!$B$3=J$3,SUMIF('TL09'!$C$10:$C$224,$C188,'TL09'!$J$10:$J$224),0),
IF('TL09'!$B$229=J$3,SUMIF('TL09'!$C$238:$C$451,$C188,'TL09'!$J$238:$J$451),0),
IF('TL10'!$B$3=J$3,SUMIF('TL10'!$C$10:$C$224,$C188,'TL10'!$J$10:$J$224),0),
IF('TL10'!$B$229=J$3,SUMIF('TL10'!$C$238:$C$451,$C188,'TL10'!$J$238:$J$451),0),
IF('TL11'!$B$3=J$3,SUMIF('TL11'!$C$10:$C$224,$C188,'TL11'!$J$10:$J$224),0),
IF('TL11'!$B$229=J$3,SUMIF('TL11'!$C$238:$C$451,$C188,'TL11'!$J$238:$J$451),0),
IF('TL12'!$B$3=J$3,SUMIF('TL12'!$C$10:$C$224,$C188,'TL12'!$J$10:$J$224),0),
IF('TL12'!$B$229=J$3,SUMIF('TL12'!$C$238:$C$451,$C188,'TL12'!$J$238:$J$451),0),
IF('TL13'!$B$3=J$3,SUMIF('TL13'!$C$10:$C$224,$C188,'TL13'!$J$10:$J$224),0),
IF('TL13'!$B$229=J$3,SUMIF('TL13'!$C$238:$C$451,$C188,'TL13'!$J$238:$J$451),0),
IF('TL14'!$B$3=J$3,SUMIF('TL14'!$C$10:$C$224,$C188,'TL14'!$J$10:$J$224),0),
IF('TL14'!$B$229=J$3,SUMIF('TL14'!$C$238:$C$451,$C188,'TL14'!$J$238:$J$451),0),
IF('TL15'!$B$3=J$3,SUMIF('TL15'!$C$10:$C$224,$C188,'TL15'!$J$10:$J$224),0),
IF('TL15'!$B$229=J$3,SUMIF('TL15'!$C$238:$C$451,$C188,'TL15'!$J$238:$J$451),0),
IF('TL16'!$B$3=J$3,SUMIF('TL16'!$C$10:$C$224,$C188,'TL16'!$J$10:$J$224),0),
IF('TL16'!$B$229=J$3,SUMIF('TL16'!$C$238:$C$451,$C188,'TL16'!$J$238:$J$451),0),
IF('TL17'!$B$3=J$3,SUMIF('TL17'!$C$10:$C$224,$C188,'TL17'!$J$10:$J$224),0),
IF('TL17'!$B$229=J$3,SUMIF('TL17'!$C$238:$C$451,$C188,'TL17'!$J$238:$J$451),0),
IF('TL18'!$B$3=J$3,SUMIF('TL18'!$C$10:$C$224,$C188,'TL18'!$J$10:$J$224),0),
IF('TL18'!$B$229=J$3,SUMIF('TL18'!$C$238:$C$451,$C188,'TL18'!$J$238:$J$451),0),
IF('TL19'!$B$3=J$3,SUMIF('TL19'!$C$10:$C$224,$C188,'TL19'!$J$10:$J$224),0),
IF('TL19'!$B$229=J$3,SUMIF('TL19'!$C$238:$C$451,$C188,'TL19'!$J$238:$J$451),0)
),0)</f>
        <v>0</v>
      </c>
      <c r="K188" s="9">
        <f>IFERROR(SUM(
IF('TL01'!$B$3=K$3,SUMIF('TL01'!$C$10:$C$224,$C188,'TL01'!$J$10:$J$224),0),
IF('TL01'!$B$229=K$3,SUMIF('TL01'!$C$238:$C$451,$C188,'TL01'!$J$238:$J$451),0),
IF('TL02'!$B$3=K$3,SUMIF('TL02'!$C$10:$C$224,$C188,'TL02'!$J$10:$J$224),0),
IF('TL02'!$B$229=K$3,SUMIF('TL02'!$C$238:$C$451,$C188,'TL02'!$J$238:$J$451),0),
IF('TL03'!$B$3=K$3,SUMIF('TL03'!$C$10:$C$224,$C188,'TL03'!$J$10:$J$224),0),
IF('TL03'!$B$229=K$3,SUMIF('TL03'!$C$238:$C$451,$C188,'TL03'!$J$238:$J$451),0),
IF('TL04'!$B$3=K$3,SUMIF('TL04'!$C$10:$C$224,$C188,'TL04'!$J$10:$J$224),0),
IF('TL04'!$B$229=K$3,SUMIF('TL04'!$C$238:$C$451,$C188,'TL04'!$J$238:$J$451),0),
IF('TL05'!$B$3=K$3,SUMIF('TL05'!$C$10:$C$224,$C188,'TL05'!$J$10:$J$224),0),
IF('TL05'!$B$229=K$3,SUMIF('TL05'!$C$238:$C$451,$C188,'TL05'!$J$238:$J$451),0),
IF('TL06'!$B$3=K$3,SUMIF('TL06'!$C$10:$C$224,$C188,'TL06'!$J$10:$J$224),0),
IF('TL06'!$B$229=K$3,SUMIF('TL06'!$C$238:$C$451,$C188,'TL06'!$J$238:$J$451),0),
IF('TL07'!$B$3=K$3,SUMIF('TL07'!$C$10:$C$224,$C188,'TL07'!$J$10:$J$224),0),
IF('TL07'!$B$229=K$3,SUMIF('TL07'!$C$238:$C$451,$C188,'TL07'!$J$238:$J$451),0),
IF('TL08'!$B$3=K$3,SUMIF('TL08'!$C$10:$C$224,$C188,'TL08'!$J$10:$J$224),0),
IF('TL08'!$B$229=K$3,SUMIF('TL08'!$C$238:$C$451,$C188,'TL08'!$J$238:$J$451),0),
IF('TL09'!$B$3=K$3,SUMIF('TL09'!$C$10:$C$224,$C188,'TL09'!$J$10:$J$224),0),
IF('TL09'!$B$229=K$3,SUMIF('TL09'!$C$238:$C$451,$C188,'TL09'!$J$238:$J$451),0),
IF('TL10'!$B$3=K$3,SUMIF('TL10'!$C$10:$C$224,$C188,'TL10'!$J$10:$J$224),0),
IF('TL10'!$B$229=K$3,SUMIF('TL10'!$C$238:$C$451,$C188,'TL10'!$J$238:$J$451),0),
IF('TL11'!$B$3=K$3,SUMIF('TL11'!$C$10:$C$224,$C188,'TL11'!$J$10:$J$224),0),
IF('TL11'!$B$229=K$3,SUMIF('TL11'!$C$238:$C$451,$C188,'TL11'!$J$238:$J$451),0),
IF('TL12'!$B$3=K$3,SUMIF('TL12'!$C$10:$C$224,$C188,'TL12'!$J$10:$J$224),0),
IF('TL12'!$B$229=K$3,SUMIF('TL12'!$C$238:$C$451,$C188,'TL12'!$J$238:$J$451),0),
IF('TL13'!$B$3=K$3,SUMIF('TL13'!$C$10:$C$224,$C188,'TL13'!$J$10:$J$224),0),
IF('TL13'!$B$229=K$3,SUMIF('TL13'!$C$238:$C$451,$C188,'TL13'!$J$238:$J$451),0),
IF('TL14'!$B$3=K$3,SUMIF('TL14'!$C$10:$C$224,$C188,'TL14'!$J$10:$J$224),0),
IF('TL14'!$B$229=K$3,SUMIF('TL14'!$C$238:$C$451,$C188,'TL14'!$J$238:$J$451),0),
IF('TL15'!$B$3=K$3,SUMIF('TL15'!$C$10:$C$224,$C188,'TL15'!$J$10:$J$224),0),
IF('TL15'!$B$229=K$3,SUMIF('TL15'!$C$238:$C$451,$C188,'TL15'!$J$238:$J$451),0),
IF('TL16'!$B$3=K$3,SUMIF('TL16'!$C$10:$C$224,$C188,'TL16'!$J$10:$J$224),0),
IF('TL16'!$B$229=K$3,SUMIF('TL16'!$C$238:$C$451,$C188,'TL16'!$J$238:$J$451),0),
IF('TL17'!$B$3=K$3,SUMIF('TL17'!$C$10:$C$224,$C188,'TL17'!$J$10:$J$224),0),
IF('TL17'!$B$229=K$3,SUMIF('TL17'!$C$238:$C$451,$C188,'TL17'!$J$238:$J$451),0),
IF('TL18'!$B$3=K$3,SUMIF('TL18'!$C$10:$C$224,$C188,'TL18'!$J$10:$J$224),0),
IF('TL18'!$B$229=K$3,SUMIF('TL18'!$C$238:$C$451,$C188,'TL18'!$J$238:$J$451),0),
IF('TL19'!$B$3=K$3,SUMIF('TL19'!$C$10:$C$224,$C188,'TL19'!$J$10:$J$224),0),
IF('TL19'!$B$229=K$3,SUMIF('TL19'!$C$238:$C$451,$C188,'TL19'!$J$238:$J$451),0)
),0)</f>
        <v>30</v>
      </c>
      <c r="L188" s="9">
        <f>IFERROR(SUM(
IF('TL01'!$B$3=L$3,SUMIF('TL01'!$C$10:$C$224,$C188,'TL01'!$J$10:$J$224),0),
IF('TL01'!$B$229=L$3,SUMIF('TL01'!$C$238:$C$451,$C188,'TL01'!$J$238:$J$451),0),
IF('TL02'!$B$3=L$3,SUMIF('TL02'!$C$10:$C$224,$C188,'TL02'!$J$10:$J$224),0),
IF('TL02'!$B$229=L$3,SUMIF('TL02'!$C$238:$C$451,$C188,'TL02'!$J$238:$J$451),0),
IF('TL03'!$B$3=L$3,SUMIF('TL03'!$C$10:$C$224,$C188,'TL03'!$J$10:$J$224),0),
IF('TL03'!$B$229=L$3,SUMIF('TL03'!$C$238:$C$451,$C188,'TL03'!$J$238:$J$451),0),
IF('TL04'!$B$3=L$3,SUMIF('TL04'!$C$10:$C$224,$C188,'TL04'!$J$10:$J$224),0),
IF('TL04'!$B$229=L$3,SUMIF('TL04'!$C$238:$C$451,$C188,'TL04'!$J$238:$J$451),0),
IF('TL05'!$B$3=L$3,SUMIF('TL05'!$C$10:$C$224,$C188,'TL05'!$J$10:$J$224),0),
IF('TL05'!$B$229=L$3,SUMIF('TL05'!$C$238:$C$451,$C188,'TL05'!$J$238:$J$451),0),
IF('TL06'!$B$3=L$3,SUMIF('TL06'!$C$10:$C$224,$C188,'TL06'!$J$10:$J$224),0),
IF('TL06'!$B$229=L$3,SUMIF('TL06'!$C$238:$C$451,$C188,'TL06'!$J$238:$J$451),0),
IF('TL07'!$B$3=L$3,SUMIF('TL07'!$C$10:$C$224,$C188,'TL07'!$J$10:$J$224),0),
IF('TL07'!$B$229=L$3,SUMIF('TL07'!$C$238:$C$451,$C188,'TL07'!$J$238:$J$451),0),
IF('TL08'!$B$3=L$3,SUMIF('TL08'!$C$10:$C$224,$C188,'TL08'!$J$10:$J$224),0),
IF('TL08'!$B$229=L$3,SUMIF('TL08'!$C$238:$C$451,$C188,'TL08'!$J$238:$J$451),0),
IF('TL09'!$B$3=L$3,SUMIF('TL09'!$C$10:$C$224,$C188,'TL09'!$J$10:$J$224),0),
IF('TL09'!$B$229=L$3,SUMIF('TL09'!$C$238:$C$451,$C188,'TL09'!$J$238:$J$451),0),
IF('TL10'!$B$3=L$3,SUMIF('TL10'!$C$10:$C$224,$C188,'TL10'!$J$10:$J$224),0),
IF('TL10'!$B$229=L$3,SUMIF('TL10'!$C$238:$C$451,$C188,'TL10'!$J$238:$J$451),0),
IF('TL11'!$B$3=L$3,SUMIF('TL11'!$C$10:$C$224,$C188,'TL11'!$J$10:$J$224),0),
IF('TL11'!$B$229=L$3,SUMIF('TL11'!$C$238:$C$451,$C188,'TL11'!$J$238:$J$451),0),
IF('TL12'!$B$3=L$3,SUMIF('TL12'!$C$10:$C$224,$C188,'TL12'!$J$10:$J$224),0),
IF('TL12'!$B$229=L$3,SUMIF('TL12'!$C$238:$C$451,$C188,'TL12'!$J$238:$J$451),0),
IF('TL13'!$B$3=L$3,SUMIF('TL13'!$C$10:$C$224,$C188,'TL13'!$J$10:$J$224),0),
IF('TL13'!$B$229=L$3,SUMIF('TL13'!$C$238:$C$451,$C188,'TL13'!$J$238:$J$451),0),
IF('TL14'!$B$3=L$3,SUMIF('TL14'!$C$10:$C$224,$C188,'TL14'!$J$10:$J$224),0),
IF('TL14'!$B$229=L$3,SUMIF('TL14'!$C$238:$C$451,$C188,'TL14'!$J$238:$J$451),0),
IF('TL15'!$B$3=L$3,SUMIF('TL15'!$C$10:$C$224,$C188,'TL15'!$J$10:$J$224),0),
IF('TL15'!$B$229=L$3,SUMIF('TL15'!$C$238:$C$451,$C188,'TL15'!$J$238:$J$451),0),
IF('TL16'!$B$3=L$3,SUMIF('TL16'!$C$10:$C$224,$C188,'TL16'!$J$10:$J$224),0),
IF('TL16'!$B$229=L$3,SUMIF('TL16'!$C$238:$C$451,$C188,'TL16'!$J$238:$J$451),0),
IF('TL17'!$B$3=L$3,SUMIF('TL17'!$C$10:$C$224,$C188,'TL17'!$J$10:$J$224),0),
IF('TL17'!$B$229=L$3,SUMIF('TL17'!$C$238:$C$451,$C188,'TL17'!$J$238:$J$451),0),
IF('TL18'!$B$3=L$3,SUMIF('TL18'!$C$10:$C$224,$C188,'TL18'!$J$10:$J$224),0),
IF('TL18'!$B$229=L$3,SUMIF('TL18'!$C$238:$C$451,$C188,'TL18'!$J$238:$J$451),0),
IF('TL19'!$B$3=L$3,SUMIF('TL19'!$C$10:$C$224,$C188,'TL19'!$J$10:$J$224),0),
IF('TL19'!$B$229=L$3,SUMIF('TL19'!$C$238:$C$451,$C188,'TL19'!$J$238:$J$451),0)
),0)</f>
        <v>22</v>
      </c>
      <c r="M188" s="9">
        <f>IFERROR(SUM(
IF('TL01'!$B$3=M$3,SUMIF('TL01'!$C$10:$C$224,$C188,'TL01'!$J$10:$J$224),0),
IF('TL01'!$B$229=M$3,SUMIF('TL01'!$C$238:$C$451,$C188,'TL01'!$J$238:$J$451),0),
IF('TL02'!$B$3=M$3,SUMIF('TL02'!$C$10:$C$224,$C188,'TL02'!$J$10:$J$224),0),
IF('TL02'!$B$229=M$3,SUMIF('TL02'!$C$238:$C$451,$C188,'TL02'!$J$238:$J$451),0),
IF('TL03'!$B$3=M$3,SUMIF('TL03'!$C$10:$C$224,$C188,'TL03'!$J$10:$J$224),0),
IF('TL03'!$B$229=M$3,SUMIF('TL03'!$C$238:$C$451,$C188,'TL03'!$J$238:$J$451),0),
IF('TL04'!$B$3=M$3,SUMIF('TL04'!$C$10:$C$224,$C188,'TL04'!$J$10:$J$224),0),
IF('TL04'!$B$229=M$3,SUMIF('TL04'!$C$238:$C$451,$C188,'TL04'!$J$238:$J$451),0),
IF('TL05'!$B$3=M$3,SUMIF('TL05'!$C$10:$C$224,$C188,'TL05'!$J$10:$J$224),0),
IF('TL05'!$B$229=M$3,SUMIF('TL05'!$C$238:$C$451,$C188,'TL05'!$J$238:$J$451),0),
IF('TL06'!$B$3=M$3,SUMIF('TL06'!$C$10:$C$224,$C188,'TL06'!$J$10:$J$224),0),
IF('TL06'!$B$229=M$3,SUMIF('TL06'!$C$238:$C$451,$C188,'TL06'!$J$238:$J$451),0),
IF('TL07'!$B$3=M$3,SUMIF('TL07'!$C$10:$C$224,$C188,'TL07'!$J$10:$J$224),0),
IF('TL07'!$B$229=M$3,SUMIF('TL07'!$C$238:$C$451,$C188,'TL07'!$J$238:$J$451),0),
IF('TL08'!$B$3=M$3,SUMIF('TL08'!$C$10:$C$224,$C188,'TL08'!$J$10:$J$224),0),
IF('TL08'!$B$229=M$3,SUMIF('TL08'!$C$238:$C$451,$C188,'TL08'!$J$238:$J$451),0),
IF('TL09'!$B$3=M$3,SUMIF('TL09'!$C$10:$C$224,$C188,'TL09'!$J$10:$J$224),0),
IF('TL09'!$B$229=M$3,SUMIF('TL09'!$C$238:$C$451,$C188,'TL09'!$J$238:$J$451),0),
IF('TL10'!$B$3=M$3,SUMIF('TL10'!$C$10:$C$224,$C188,'TL10'!$J$10:$J$224),0),
IF('TL10'!$B$229=M$3,SUMIF('TL10'!$C$238:$C$451,$C188,'TL10'!$J$238:$J$451),0),
IF('TL11'!$B$3=M$3,SUMIF('TL11'!$C$10:$C$224,$C188,'TL11'!$J$10:$J$224),0),
IF('TL11'!$B$229=M$3,SUMIF('TL11'!$C$238:$C$451,$C188,'TL11'!$J$238:$J$451),0),
IF('TL12'!$B$3=M$3,SUMIF('TL12'!$C$10:$C$224,$C188,'TL12'!$J$10:$J$224),0),
IF('TL12'!$B$229=M$3,SUMIF('TL12'!$C$238:$C$451,$C188,'TL12'!$J$238:$J$451),0),
IF('TL13'!$B$3=M$3,SUMIF('TL13'!$C$10:$C$224,$C188,'TL13'!$J$10:$J$224),0),
IF('TL13'!$B$229=M$3,SUMIF('TL13'!$C$238:$C$451,$C188,'TL13'!$J$238:$J$451),0),
IF('TL14'!$B$3=M$3,SUMIF('TL14'!$C$10:$C$224,$C188,'TL14'!$J$10:$J$224),0),
IF('TL14'!$B$229=M$3,SUMIF('TL14'!$C$238:$C$451,$C188,'TL14'!$J$238:$J$451),0),
IF('TL15'!$B$3=M$3,SUMIF('TL15'!$C$10:$C$224,$C188,'TL15'!$J$10:$J$224),0),
IF('TL15'!$B$229=M$3,SUMIF('TL15'!$C$238:$C$451,$C188,'TL15'!$J$238:$J$451),0),
IF('TL16'!$B$3=M$3,SUMIF('TL16'!$C$10:$C$224,$C188,'TL16'!$J$10:$J$224),0),
IF('TL16'!$B$229=M$3,SUMIF('TL16'!$C$238:$C$451,$C188,'TL16'!$J$238:$J$451),0),
IF('TL17'!$B$3=M$3,SUMIF('TL17'!$C$10:$C$224,$C188,'TL17'!$J$10:$J$224),0),
IF('TL17'!$B$229=M$3,SUMIF('TL17'!$C$238:$C$451,$C188,'TL17'!$J$238:$J$451),0),
IF('TL18'!$B$3=M$3,SUMIF('TL18'!$C$10:$C$224,$C188,'TL18'!$J$10:$J$224),0),
IF('TL18'!$B$229=M$3,SUMIF('TL18'!$C$238:$C$451,$C188,'TL18'!$J$238:$J$451),0),
IF('TL19'!$B$3=M$3,SUMIF('TL19'!$C$10:$C$224,$C188,'TL19'!$J$10:$J$224),0),
IF('TL19'!$B$229=M$3,SUMIF('TL19'!$C$238:$C$451,$C188,'TL19'!$J$238:$J$451),0)
),0)</f>
        <v>0</v>
      </c>
      <c r="N188" s="9">
        <f>IFERROR(SUM(
IF('TL01'!$B$3=N$3,SUMIF('TL01'!$C$10:$C$224,$C188,'TL01'!$J$10:$J$224),0),
IF('TL01'!$B$229=N$3,SUMIF('TL01'!$C$238:$C$451,$C188,'TL01'!$J$238:$J$451),0),
IF('TL02'!$B$3=N$3,SUMIF('TL02'!$C$10:$C$224,$C188,'TL02'!$J$10:$J$224),0),
IF('TL02'!$B$229=N$3,SUMIF('TL02'!$C$238:$C$451,$C188,'TL02'!$J$238:$J$451),0),
IF('TL03'!$B$3=N$3,SUMIF('TL03'!$C$10:$C$224,$C188,'TL03'!$J$10:$J$224),0),
IF('TL03'!$B$229=N$3,SUMIF('TL03'!$C$238:$C$451,$C188,'TL03'!$J$238:$J$451),0),
IF('TL04'!$B$3=N$3,SUMIF('TL04'!$C$10:$C$224,$C188,'TL04'!$J$10:$J$224),0),
IF('TL04'!$B$229=N$3,SUMIF('TL04'!$C$238:$C$451,$C188,'TL04'!$J$238:$J$451),0),
IF('TL05'!$B$3=N$3,SUMIF('TL05'!$C$10:$C$224,$C188,'TL05'!$J$10:$J$224),0),
IF('TL05'!$B$229=N$3,SUMIF('TL05'!$C$238:$C$451,$C188,'TL05'!$J$238:$J$451),0),
IF('TL06'!$B$3=N$3,SUMIF('TL06'!$C$10:$C$224,$C188,'TL06'!$J$10:$J$224),0),
IF('TL06'!$B$229=N$3,SUMIF('TL06'!$C$238:$C$451,$C188,'TL06'!$J$238:$J$451),0),
IF('TL07'!$B$3=N$3,SUMIF('TL07'!$C$10:$C$224,$C188,'TL07'!$J$10:$J$224),0),
IF('TL07'!$B$229=N$3,SUMIF('TL07'!$C$238:$C$451,$C188,'TL07'!$J$238:$J$451),0),
IF('TL08'!$B$3=N$3,SUMIF('TL08'!$C$10:$C$224,$C188,'TL08'!$J$10:$J$224),0),
IF('TL08'!$B$229=N$3,SUMIF('TL08'!$C$238:$C$451,$C188,'TL08'!$J$238:$J$451),0),
IF('TL09'!$B$3=N$3,SUMIF('TL09'!$C$10:$C$224,$C188,'TL09'!$J$10:$J$224),0),
IF('TL09'!$B$229=N$3,SUMIF('TL09'!$C$238:$C$451,$C188,'TL09'!$J$238:$J$451),0),
IF('TL10'!$B$3=N$3,SUMIF('TL10'!$C$10:$C$224,$C188,'TL10'!$J$10:$J$224),0),
IF('TL10'!$B$229=N$3,SUMIF('TL10'!$C$238:$C$451,$C188,'TL10'!$J$238:$J$451),0),
IF('TL11'!$B$3=N$3,SUMIF('TL11'!$C$10:$C$224,$C188,'TL11'!$J$10:$J$224),0),
IF('TL11'!$B$229=N$3,SUMIF('TL11'!$C$238:$C$451,$C188,'TL11'!$J$238:$J$451),0),
IF('TL12'!$B$3=N$3,SUMIF('TL12'!$C$10:$C$224,$C188,'TL12'!$J$10:$J$224),0),
IF('TL12'!$B$229=N$3,SUMIF('TL12'!$C$238:$C$451,$C188,'TL12'!$J$238:$J$451),0),
IF('TL13'!$B$3=N$3,SUMIF('TL13'!$C$10:$C$224,$C188,'TL13'!$J$10:$J$224),0),
IF('TL13'!$B$229=N$3,SUMIF('TL13'!$C$238:$C$451,$C188,'TL13'!$J$238:$J$451),0),
IF('TL14'!$B$3=N$3,SUMIF('TL14'!$C$10:$C$224,$C188,'TL14'!$J$10:$J$224),0),
IF('TL14'!$B$229=N$3,SUMIF('TL14'!$C$238:$C$451,$C188,'TL14'!$J$238:$J$451),0),
IF('TL15'!$B$3=N$3,SUMIF('TL15'!$C$10:$C$224,$C188,'TL15'!$J$10:$J$224),0),
IF('TL15'!$B$229=N$3,SUMIF('TL15'!$C$238:$C$451,$C188,'TL15'!$J$238:$J$451),0),
IF('TL16'!$B$3=N$3,SUMIF('TL16'!$C$10:$C$224,$C188,'TL16'!$J$10:$J$224),0),
IF('TL16'!$B$229=N$3,SUMIF('TL16'!$C$238:$C$451,$C188,'TL16'!$J$238:$J$451),0),
IF('TL17'!$B$3=N$3,SUMIF('TL17'!$C$10:$C$224,$C188,'TL17'!$J$10:$J$224),0),
IF('TL17'!$B$229=N$3,SUMIF('TL17'!$C$238:$C$451,$C188,'TL17'!$J$238:$J$451),0),
IF('TL18'!$B$3=N$3,SUMIF('TL18'!$C$10:$C$224,$C188,'TL18'!$J$10:$J$224),0),
IF('TL18'!$B$229=N$3,SUMIF('TL18'!$C$238:$C$451,$C188,'TL18'!$J$238:$J$451),0),
IF('TL19'!$B$3=N$3,SUMIF('TL19'!$C$10:$C$224,$C188,'TL19'!$J$10:$J$224),0),
IF('TL19'!$B$229=N$3,SUMIF('TL19'!$C$238:$C$451,$C188,'TL19'!$J$238:$J$451),0)
),0)</f>
        <v>0</v>
      </c>
      <c r="O188" s="9">
        <f>IFERROR(SUM(
IF('TL01'!$B$3=O$3,SUMIF('TL01'!$C$10:$C$224,$C188,'TL01'!$J$10:$J$224),0),
IF('TL01'!$B$229=O$3,SUMIF('TL01'!$C$238:$C$451,$C188,'TL01'!$J$238:$J$451),0),
IF('TL02'!$B$3=O$3,SUMIF('TL02'!$C$10:$C$224,$C188,'TL02'!$J$10:$J$224),0),
IF('TL02'!$B$229=O$3,SUMIF('TL02'!$C$238:$C$451,$C188,'TL02'!$J$238:$J$451),0),
IF('TL03'!$B$3=O$3,SUMIF('TL03'!$C$10:$C$224,$C188,'TL03'!$J$10:$J$224),0),
IF('TL03'!$B$229=O$3,SUMIF('TL03'!$C$238:$C$451,$C188,'TL03'!$J$238:$J$451),0),
IF('TL04'!$B$3=O$3,SUMIF('TL04'!$C$10:$C$224,$C188,'TL04'!$J$10:$J$224),0),
IF('TL04'!$B$229=O$3,SUMIF('TL04'!$C$238:$C$451,$C188,'TL04'!$J$238:$J$451),0),
IF('TL05'!$B$3=O$3,SUMIF('TL05'!$C$10:$C$224,$C188,'TL05'!$J$10:$J$224),0),
IF('TL05'!$B$229=O$3,SUMIF('TL05'!$C$238:$C$451,$C188,'TL05'!$J$238:$J$451),0),
IF('TL06'!$B$3=O$3,SUMIF('TL06'!$C$10:$C$224,$C188,'TL06'!$J$10:$J$224),0),
IF('TL06'!$B$229=O$3,SUMIF('TL06'!$C$238:$C$451,$C188,'TL06'!$J$238:$J$451),0),
IF('TL07'!$B$3=O$3,SUMIF('TL07'!$C$10:$C$224,$C188,'TL07'!$J$10:$J$224),0),
IF('TL07'!$B$229=O$3,SUMIF('TL07'!$C$238:$C$451,$C188,'TL07'!$J$238:$J$451),0),
IF('TL08'!$B$3=O$3,SUMIF('TL08'!$C$10:$C$224,$C188,'TL08'!$J$10:$J$224),0),
IF('TL08'!$B$229=O$3,SUMIF('TL08'!$C$238:$C$451,$C188,'TL08'!$J$238:$J$451),0),
IF('TL09'!$B$3=O$3,SUMIF('TL09'!$C$10:$C$224,$C188,'TL09'!$J$10:$J$224),0),
IF('TL09'!$B$229=O$3,SUMIF('TL09'!$C$238:$C$451,$C188,'TL09'!$J$238:$J$451),0),
IF('TL10'!$B$3=O$3,SUMIF('TL10'!$C$10:$C$224,$C188,'TL10'!$J$10:$J$224),0),
IF('TL10'!$B$229=O$3,SUMIF('TL10'!$C$238:$C$451,$C188,'TL10'!$J$238:$J$451),0),
IF('TL11'!$B$3=O$3,SUMIF('TL11'!$C$10:$C$224,$C188,'TL11'!$J$10:$J$224),0),
IF('TL11'!$B$229=O$3,SUMIF('TL11'!$C$238:$C$451,$C188,'TL11'!$J$238:$J$451),0),
IF('TL12'!$B$3=O$3,SUMIF('TL12'!$C$10:$C$224,$C188,'TL12'!$J$10:$J$224),0),
IF('TL12'!$B$229=O$3,SUMIF('TL12'!$C$238:$C$451,$C188,'TL12'!$J$238:$J$451),0),
IF('TL13'!$B$3=O$3,SUMIF('TL13'!$C$10:$C$224,$C188,'TL13'!$J$10:$J$224),0),
IF('TL13'!$B$229=O$3,SUMIF('TL13'!$C$238:$C$451,$C188,'TL13'!$J$238:$J$451),0),
IF('TL14'!$B$3=O$3,SUMIF('TL14'!$C$10:$C$224,$C188,'TL14'!$J$10:$J$224),0),
IF('TL14'!$B$229=O$3,SUMIF('TL14'!$C$238:$C$451,$C188,'TL14'!$J$238:$J$451),0),
IF('TL15'!$B$3=O$3,SUMIF('TL15'!$C$10:$C$224,$C188,'TL15'!$J$10:$J$224),0),
IF('TL15'!$B$229=O$3,SUMIF('TL15'!$C$238:$C$451,$C188,'TL15'!$J$238:$J$451),0),
IF('TL16'!$B$3=O$3,SUMIF('TL16'!$C$10:$C$224,$C188,'TL16'!$J$10:$J$224),0),
IF('TL16'!$B$229=O$3,SUMIF('TL16'!$C$238:$C$451,$C188,'TL16'!$J$238:$J$451),0),
IF('TL17'!$B$3=O$3,SUMIF('TL17'!$C$10:$C$224,$C188,'TL17'!$J$10:$J$224),0),
IF('TL17'!$B$229=O$3,SUMIF('TL17'!$C$238:$C$451,$C188,'TL17'!$J$238:$J$451),0),
IF('TL18'!$B$3=O$3,SUMIF('TL18'!$C$10:$C$224,$C188,'TL18'!$J$10:$J$224),0),
IF('TL18'!$B$229=O$3,SUMIF('TL18'!$C$238:$C$451,$C188,'TL18'!$J$238:$J$451),0),
IF('TL19'!$B$3=O$3,SUMIF('TL19'!$C$10:$C$224,$C188,'TL19'!$J$10:$J$224),0),
IF('TL19'!$B$229=O$3,SUMIF('TL19'!$C$238:$C$451,$C188,'TL19'!$J$238:$J$451),0)
),0)</f>
        <v>44</v>
      </c>
      <c r="P188" s="9">
        <f>IFERROR(SUM(
IF('TL01'!$B$3=P$3,SUMIF('TL01'!$C$10:$C$224,$C188,'TL01'!$J$10:$J$224),0),
IF('TL01'!$B$229=P$3,SUMIF('TL01'!$C$238:$C$451,$C188,'TL01'!$J$238:$J$451),0),
IF('TL02'!$B$3=P$3,SUMIF('TL02'!$C$10:$C$224,$C188,'TL02'!$J$10:$J$224),0),
IF('TL02'!$B$229=P$3,SUMIF('TL02'!$C$238:$C$451,$C188,'TL02'!$J$238:$J$451),0),
IF('TL03'!$B$3=P$3,SUMIF('TL03'!$C$10:$C$224,$C188,'TL03'!$J$10:$J$224),0),
IF('TL03'!$B$229=P$3,SUMIF('TL03'!$C$238:$C$451,$C188,'TL03'!$J$238:$J$451),0),
IF('TL04'!$B$3=P$3,SUMIF('TL04'!$C$10:$C$224,$C188,'TL04'!$J$10:$J$224),0),
IF('TL04'!$B$229=P$3,SUMIF('TL04'!$C$238:$C$451,$C188,'TL04'!$J$238:$J$451),0),
IF('TL05'!$B$3=P$3,SUMIF('TL05'!$C$10:$C$224,$C188,'TL05'!$J$10:$J$224),0),
IF('TL05'!$B$229=P$3,SUMIF('TL05'!$C$238:$C$451,$C188,'TL05'!$J$238:$J$451),0),
IF('TL06'!$B$3=P$3,SUMIF('TL06'!$C$10:$C$224,$C188,'TL06'!$J$10:$J$224),0),
IF('TL06'!$B$229=P$3,SUMIF('TL06'!$C$238:$C$451,$C188,'TL06'!$J$238:$J$451),0),
IF('TL07'!$B$3=P$3,SUMIF('TL07'!$C$10:$C$224,$C188,'TL07'!$J$10:$J$224),0),
IF('TL07'!$B$229=P$3,SUMIF('TL07'!$C$238:$C$451,$C188,'TL07'!$J$238:$J$451),0),
IF('TL08'!$B$3=P$3,SUMIF('TL08'!$C$10:$C$224,$C188,'TL08'!$J$10:$J$224),0),
IF('TL08'!$B$229=P$3,SUMIF('TL08'!$C$238:$C$451,$C188,'TL08'!$J$238:$J$451),0),
IF('TL09'!$B$3=P$3,SUMIF('TL09'!$C$10:$C$224,$C188,'TL09'!$J$10:$J$224),0),
IF('TL09'!$B$229=P$3,SUMIF('TL09'!$C$238:$C$451,$C188,'TL09'!$J$238:$J$451),0),
IF('TL10'!$B$3=P$3,SUMIF('TL10'!$C$10:$C$224,$C188,'TL10'!$J$10:$J$224),0),
IF('TL10'!$B$229=P$3,SUMIF('TL10'!$C$238:$C$451,$C188,'TL10'!$J$238:$J$451),0),
IF('TL11'!$B$3=P$3,SUMIF('TL11'!$C$10:$C$224,$C188,'TL11'!$J$10:$J$224),0),
IF('TL11'!$B$229=P$3,SUMIF('TL11'!$C$238:$C$451,$C188,'TL11'!$J$238:$J$451),0),
IF('TL12'!$B$3=P$3,SUMIF('TL12'!$C$10:$C$224,$C188,'TL12'!$J$10:$J$224),0),
IF('TL12'!$B$229=P$3,SUMIF('TL12'!$C$238:$C$451,$C188,'TL12'!$J$238:$J$451),0),
IF('TL13'!$B$3=P$3,SUMIF('TL13'!$C$10:$C$224,$C188,'TL13'!$J$10:$J$224),0),
IF('TL13'!$B$229=P$3,SUMIF('TL13'!$C$238:$C$451,$C188,'TL13'!$J$238:$J$451),0),
IF('TL14'!$B$3=P$3,SUMIF('TL14'!$C$10:$C$224,$C188,'TL14'!$J$10:$J$224),0),
IF('TL14'!$B$229=P$3,SUMIF('TL14'!$C$238:$C$451,$C188,'TL14'!$J$238:$J$451),0),
IF('TL15'!$B$3=P$3,SUMIF('TL15'!$C$10:$C$224,$C188,'TL15'!$J$10:$J$224),0),
IF('TL15'!$B$229=P$3,SUMIF('TL15'!$C$238:$C$451,$C188,'TL15'!$J$238:$J$451),0),
IF('TL16'!$B$3=P$3,SUMIF('TL16'!$C$10:$C$224,$C188,'TL16'!$J$10:$J$224),0),
IF('TL16'!$B$229=P$3,SUMIF('TL16'!$C$238:$C$451,$C188,'TL16'!$J$238:$J$451),0),
IF('TL17'!$B$3=P$3,SUMIF('TL17'!$C$10:$C$224,$C188,'TL17'!$J$10:$J$224),0),
IF('TL17'!$B$229=P$3,SUMIF('TL17'!$C$238:$C$451,$C188,'TL17'!$J$238:$J$451),0),
IF('TL18'!$B$3=P$3,SUMIF('TL18'!$C$10:$C$224,$C188,'TL18'!$J$10:$J$224),0),
IF('TL18'!$B$229=P$3,SUMIF('TL18'!$C$238:$C$451,$C188,'TL18'!$J$238:$J$451),0),
IF('TL19'!$B$3=P$3,SUMIF('TL19'!$C$10:$C$224,$C188,'TL19'!$J$10:$J$224),0),
IF('TL19'!$B$229=P$3,SUMIF('TL19'!$C$238:$C$451,$C188,'TL19'!$J$238:$J$451),0)
),0)</f>
        <v>121.8</v>
      </c>
      <c r="Q188" s="9">
        <f>IFERROR(SUM(
IF('TL01'!$B$3=Q$3,SUMIF('TL01'!$C$10:$C$224,$C188,'TL01'!$J$10:$J$224),0),
IF('TL01'!$B$229=Q$3,SUMIF('TL01'!$C$238:$C$451,$C188,'TL01'!$J$238:$J$451),0),
IF('TL02'!$B$3=Q$3,SUMIF('TL02'!$C$10:$C$224,$C188,'TL02'!$J$10:$J$224),0),
IF('TL02'!$B$229=Q$3,SUMIF('TL02'!$C$238:$C$451,$C188,'TL02'!$J$238:$J$451),0),
IF('TL03'!$B$3=Q$3,SUMIF('TL03'!$C$10:$C$224,$C188,'TL03'!$J$10:$J$224),0),
IF('TL03'!$B$229=Q$3,SUMIF('TL03'!$C$238:$C$451,$C188,'TL03'!$J$238:$J$451),0),
IF('TL04'!$B$3=Q$3,SUMIF('TL04'!$C$10:$C$224,$C188,'TL04'!$J$10:$J$224),0),
IF('TL04'!$B$229=Q$3,SUMIF('TL04'!$C$238:$C$451,$C188,'TL04'!$J$238:$J$451),0),
IF('TL05'!$B$3=Q$3,SUMIF('TL05'!$C$10:$C$224,$C188,'TL05'!$J$10:$J$224),0),
IF('TL05'!$B$229=Q$3,SUMIF('TL05'!$C$238:$C$451,$C188,'TL05'!$J$238:$J$451),0),
IF('TL06'!$B$3=Q$3,SUMIF('TL06'!$C$10:$C$224,$C188,'TL06'!$J$10:$J$224),0),
IF('TL06'!$B$229=Q$3,SUMIF('TL06'!$C$238:$C$451,$C188,'TL06'!$J$238:$J$451),0),
IF('TL07'!$B$3=Q$3,SUMIF('TL07'!$C$10:$C$224,$C188,'TL07'!$J$10:$J$224),0),
IF('TL07'!$B$229=Q$3,SUMIF('TL07'!$C$238:$C$451,$C188,'TL07'!$J$238:$J$451),0),
IF('TL08'!$B$3=Q$3,SUMIF('TL08'!$C$10:$C$224,$C188,'TL08'!$J$10:$J$224),0),
IF('TL08'!$B$229=Q$3,SUMIF('TL08'!$C$238:$C$451,$C188,'TL08'!$J$238:$J$451),0),
IF('TL09'!$B$3=Q$3,SUMIF('TL09'!$C$10:$C$224,$C188,'TL09'!$J$10:$J$224),0),
IF('TL09'!$B$229=Q$3,SUMIF('TL09'!$C$238:$C$451,$C188,'TL09'!$J$238:$J$451),0),
IF('TL10'!$B$3=Q$3,SUMIF('TL10'!$C$10:$C$224,$C188,'TL10'!$J$10:$J$224),0),
IF('TL10'!$B$229=Q$3,SUMIF('TL10'!$C$238:$C$451,$C188,'TL10'!$J$238:$J$451),0),
IF('TL11'!$B$3=Q$3,SUMIF('TL11'!$C$10:$C$224,$C188,'TL11'!$J$10:$J$224),0),
IF('TL11'!$B$229=Q$3,SUMIF('TL11'!$C$238:$C$451,$C188,'TL11'!$J$238:$J$451),0),
IF('TL12'!$B$3=Q$3,SUMIF('TL12'!$C$10:$C$224,$C188,'TL12'!$J$10:$J$224),0),
IF('TL12'!$B$229=Q$3,SUMIF('TL12'!$C$238:$C$451,$C188,'TL12'!$J$238:$J$451),0),
IF('TL13'!$B$3=Q$3,SUMIF('TL13'!$C$10:$C$224,$C188,'TL13'!$J$10:$J$224),0),
IF('TL13'!$B$229=Q$3,SUMIF('TL13'!$C$238:$C$451,$C188,'TL13'!$J$238:$J$451),0),
IF('TL14'!$B$3=Q$3,SUMIF('TL14'!$C$10:$C$224,$C188,'TL14'!$J$10:$J$224),0),
IF('TL14'!$B$229=Q$3,SUMIF('TL14'!$C$238:$C$451,$C188,'TL14'!$J$238:$J$451),0),
IF('TL15'!$B$3=Q$3,SUMIF('TL15'!$C$10:$C$224,$C188,'TL15'!$J$10:$J$224),0),
IF('TL15'!$B$229=Q$3,SUMIF('TL15'!$C$238:$C$451,$C188,'TL15'!$J$238:$J$451),0),
IF('TL16'!$B$3=Q$3,SUMIF('TL16'!$C$10:$C$224,$C188,'TL16'!$J$10:$J$224),0),
IF('TL16'!$B$229=Q$3,SUMIF('TL16'!$C$238:$C$451,$C188,'TL16'!$J$238:$J$451),0),
IF('TL17'!$B$3=Q$3,SUMIF('TL17'!$C$10:$C$224,$C188,'TL17'!$J$10:$J$224),0),
IF('TL17'!$B$229=Q$3,SUMIF('TL17'!$C$238:$C$451,$C188,'TL17'!$J$238:$J$451),0),
IF('TL18'!$B$3=Q$3,SUMIF('TL18'!$C$10:$C$224,$C188,'TL18'!$J$10:$J$224),0),
IF('TL18'!$B$229=Q$3,SUMIF('TL18'!$C$238:$C$451,$C188,'TL18'!$J$238:$J$451),0),
IF('TL19'!$B$3=Q$3,SUMIF('TL19'!$C$10:$C$224,$C188,'TL19'!$J$10:$J$224),0),
IF('TL19'!$B$229=Q$3,SUMIF('TL19'!$C$238:$C$451,$C188,'TL19'!$J$238:$J$451),0)
),0)</f>
        <v>32</v>
      </c>
      <c r="R188" s="9">
        <f>IFERROR(
SUM(
SUMIF('TL01'!C:C,C188,'TL01'!J:J),
SUMIF('TL02'!C:C,C188,'TL02'!J:J),
SUMIF('TL03'!C:C,C188,'TL03'!J:J),
SUMIF('TL04'!C:C,C188,'TL04'!J:J),
SUMIF('TL05'!C:C,C188,'TL05'!J:J),
SUMIF('TL06'!C:C,C188,'TL06'!J:J),
SUMIF('TL07'!C:C,C188,'TL07'!J:J),
SUMIF('TL08'!C:C,C188,'TL08'!J:J),
SUMIF('TL09'!C:C,C188,'TL09'!J:J),
SUMIF('TL10'!C:C,C188,'TL10'!J:J),
SUMIF('TL11'!C:C,C188,'TL11'!J:J),
SUMIF('TL12'!C:C,C188,'TL12'!J:J),
SUMIF('TL13'!C:C,C188,'TL13'!J:J),
SUMIF('TL14'!C:C,C188,'TL14'!J:J),
SUMIF('TL15'!C:C,C188,'TL15'!J:J),
SUMIF('TL16'!C:C,C188,'TL16'!J:J),
SUMIF('TL17'!C:C,C188,'TL17'!J:J),
SUMIF('TL18'!C:C,C188,'TL18'!J:J),SUMIF('TL19'!C:C,C188,'TL19'!J:J))
,0)</f>
        <v>249.8</v>
      </c>
      <c r="S188" s="17">
        <f>IFERROR(__xludf.DUMMYFUNCTION("IFERROR(VLOOKUP(C188,
IMPORTRANGE(""1wULbzX32WdYsx-lj2U3uUNBBe2INVIRDtcK0d-Dvl90"",
""26-27!C:G""),
5,
FALSE),
"""")"),58.55958)</f>
        <v>58.55958</v>
      </c>
      <c r="T188" s="9"/>
      <c r="U188" s="92">
        <f t="shared" si="2"/>
        <v>249.8</v>
      </c>
      <c r="V188" s="93">
        <f t="shared" si="3"/>
        <v>14628.18308</v>
      </c>
    </row>
    <row r="189" ht="15.75" hidden="1" customHeight="1">
      <c r="A189" s="94" t="s">
        <v>480</v>
      </c>
      <c r="B189" s="95" t="s">
        <v>2</v>
      </c>
      <c r="C189" s="96" t="s">
        <v>788</v>
      </c>
      <c r="D189" s="96" t="s">
        <v>789</v>
      </c>
      <c r="E189" s="96">
        <v>800.0</v>
      </c>
      <c r="F189" s="4" t="s">
        <v>343</v>
      </c>
      <c r="G189" s="90" t="str">
        <f t="shared" si="4"/>
        <v>📄 Ver bula</v>
      </c>
      <c r="H189" s="9">
        <f>IFERROR(__xludf.DUMMYFUNCTION("IFERROR(VLOOKUP(C189,
IMPORTRANGE(""1wULbzX32WdYsx-lj2U3uUNBBe2INVIRDtcK0d-Dvl90"",
""26-27!C:K""),
8,
FALSE),
"""")"),0.04)</f>
        <v>0.04</v>
      </c>
      <c r="I189" s="97" t="s">
        <v>382</v>
      </c>
      <c r="J189" s="9">
        <f>IFERROR(SUM(
IF('TL01'!$B$3=J$3,SUMIF('TL01'!$C$10:$C$224,$C189,'TL01'!$J$10:$J$224),0),
IF('TL01'!$B$229=J$3,SUMIF('TL01'!$C$238:$C$451,$C189,'TL01'!$J$238:$J$451),0),
IF('TL02'!$B$3=J$3,SUMIF('TL02'!$C$10:$C$224,$C189,'TL02'!$J$10:$J$224),0),
IF('TL02'!$B$229=J$3,SUMIF('TL02'!$C$238:$C$451,$C189,'TL02'!$J$238:$J$451),0),
IF('TL03'!$B$3=J$3,SUMIF('TL03'!$C$10:$C$224,$C189,'TL03'!$J$10:$J$224),0),
IF('TL03'!$B$229=J$3,SUMIF('TL03'!$C$238:$C$451,$C189,'TL03'!$J$238:$J$451),0),
IF('TL04'!$B$3=J$3,SUMIF('TL04'!$C$10:$C$224,$C189,'TL04'!$J$10:$J$224),0),
IF('TL04'!$B$229=J$3,SUMIF('TL04'!$C$238:$C$451,$C189,'TL04'!$J$238:$J$451),0),
IF('TL05'!$B$3=J$3,SUMIF('TL05'!$C$10:$C$224,$C189,'TL05'!$J$10:$J$224),0),
IF('TL05'!$B$229=J$3,SUMIF('TL05'!$C$238:$C$451,$C189,'TL05'!$J$238:$J$451),0),
IF('TL06'!$B$3=J$3,SUMIF('TL06'!$C$10:$C$224,$C189,'TL06'!$J$10:$J$224),0),
IF('TL06'!$B$229=J$3,SUMIF('TL06'!$C$238:$C$451,$C189,'TL06'!$J$238:$J$451),0),
IF('TL07'!$B$3=J$3,SUMIF('TL07'!$C$10:$C$224,$C189,'TL07'!$J$10:$J$224),0),
IF('TL07'!$B$229=J$3,SUMIF('TL07'!$C$238:$C$451,$C189,'TL07'!$J$238:$J$451),0),
IF('TL08'!$B$3=J$3,SUMIF('TL08'!$C$10:$C$224,$C189,'TL08'!$J$10:$J$224),0),
IF('TL08'!$B$229=J$3,SUMIF('TL08'!$C$238:$C$451,$C189,'TL08'!$J$238:$J$451),0),
IF('TL09'!$B$3=J$3,SUMIF('TL09'!$C$10:$C$224,$C189,'TL09'!$J$10:$J$224),0),
IF('TL09'!$B$229=J$3,SUMIF('TL09'!$C$238:$C$451,$C189,'TL09'!$J$238:$J$451),0),
IF('TL10'!$B$3=J$3,SUMIF('TL10'!$C$10:$C$224,$C189,'TL10'!$J$10:$J$224),0),
IF('TL10'!$B$229=J$3,SUMIF('TL10'!$C$238:$C$451,$C189,'TL10'!$J$238:$J$451),0),
IF('TL11'!$B$3=J$3,SUMIF('TL11'!$C$10:$C$224,$C189,'TL11'!$J$10:$J$224),0),
IF('TL11'!$B$229=J$3,SUMIF('TL11'!$C$238:$C$451,$C189,'TL11'!$J$238:$J$451),0),
IF('TL12'!$B$3=J$3,SUMIF('TL12'!$C$10:$C$224,$C189,'TL12'!$J$10:$J$224),0),
IF('TL12'!$B$229=J$3,SUMIF('TL12'!$C$238:$C$451,$C189,'TL12'!$J$238:$J$451),0),
IF('TL13'!$B$3=J$3,SUMIF('TL13'!$C$10:$C$224,$C189,'TL13'!$J$10:$J$224),0),
IF('TL13'!$B$229=J$3,SUMIF('TL13'!$C$238:$C$451,$C189,'TL13'!$J$238:$J$451),0),
IF('TL14'!$B$3=J$3,SUMIF('TL14'!$C$10:$C$224,$C189,'TL14'!$J$10:$J$224),0),
IF('TL14'!$B$229=J$3,SUMIF('TL14'!$C$238:$C$451,$C189,'TL14'!$J$238:$J$451),0),
IF('TL15'!$B$3=J$3,SUMIF('TL15'!$C$10:$C$224,$C189,'TL15'!$J$10:$J$224),0),
IF('TL15'!$B$229=J$3,SUMIF('TL15'!$C$238:$C$451,$C189,'TL15'!$J$238:$J$451),0),
IF('TL16'!$B$3=J$3,SUMIF('TL16'!$C$10:$C$224,$C189,'TL16'!$J$10:$J$224),0),
IF('TL16'!$B$229=J$3,SUMIF('TL16'!$C$238:$C$451,$C189,'TL16'!$J$238:$J$451),0),
IF('TL17'!$B$3=J$3,SUMIF('TL17'!$C$10:$C$224,$C189,'TL17'!$J$10:$J$224),0),
IF('TL17'!$B$229=J$3,SUMIF('TL17'!$C$238:$C$451,$C189,'TL17'!$J$238:$J$451),0),
IF('TL18'!$B$3=J$3,SUMIF('TL18'!$C$10:$C$224,$C189,'TL18'!$J$10:$J$224),0),
IF('TL18'!$B$229=J$3,SUMIF('TL18'!$C$238:$C$451,$C189,'TL18'!$J$238:$J$451),0),
IF('TL19'!$B$3=J$3,SUMIF('TL19'!$C$10:$C$224,$C189,'TL19'!$J$10:$J$224),0),
IF('TL19'!$B$229=J$3,SUMIF('TL19'!$C$238:$C$451,$C189,'TL19'!$J$238:$J$451),0)
),0)</f>
        <v>18.6</v>
      </c>
      <c r="K189" s="9">
        <f>IFERROR(SUM(
IF('TL01'!$B$3=K$3,SUMIF('TL01'!$C$10:$C$224,$C189,'TL01'!$J$10:$J$224),0),
IF('TL01'!$B$229=K$3,SUMIF('TL01'!$C$238:$C$451,$C189,'TL01'!$J$238:$J$451),0),
IF('TL02'!$B$3=K$3,SUMIF('TL02'!$C$10:$C$224,$C189,'TL02'!$J$10:$J$224),0),
IF('TL02'!$B$229=K$3,SUMIF('TL02'!$C$238:$C$451,$C189,'TL02'!$J$238:$J$451),0),
IF('TL03'!$B$3=K$3,SUMIF('TL03'!$C$10:$C$224,$C189,'TL03'!$J$10:$J$224),0),
IF('TL03'!$B$229=K$3,SUMIF('TL03'!$C$238:$C$451,$C189,'TL03'!$J$238:$J$451),0),
IF('TL04'!$B$3=K$3,SUMIF('TL04'!$C$10:$C$224,$C189,'TL04'!$J$10:$J$224),0),
IF('TL04'!$B$229=K$3,SUMIF('TL04'!$C$238:$C$451,$C189,'TL04'!$J$238:$J$451),0),
IF('TL05'!$B$3=K$3,SUMIF('TL05'!$C$10:$C$224,$C189,'TL05'!$J$10:$J$224),0),
IF('TL05'!$B$229=K$3,SUMIF('TL05'!$C$238:$C$451,$C189,'TL05'!$J$238:$J$451),0),
IF('TL06'!$B$3=K$3,SUMIF('TL06'!$C$10:$C$224,$C189,'TL06'!$J$10:$J$224),0),
IF('TL06'!$B$229=K$3,SUMIF('TL06'!$C$238:$C$451,$C189,'TL06'!$J$238:$J$451),0),
IF('TL07'!$B$3=K$3,SUMIF('TL07'!$C$10:$C$224,$C189,'TL07'!$J$10:$J$224),0),
IF('TL07'!$B$229=K$3,SUMIF('TL07'!$C$238:$C$451,$C189,'TL07'!$J$238:$J$451),0),
IF('TL08'!$B$3=K$3,SUMIF('TL08'!$C$10:$C$224,$C189,'TL08'!$J$10:$J$224),0),
IF('TL08'!$B$229=K$3,SUMIF('TL08'!$C$238:$C$451,$C189,'TL08'!$J$238:$J$451),0),
IF('TL09'!$B$3=K$3,SUMIF('TL09'!$C$10:$C$224,$C189,'TL09'!$J$10:$J$224),0),
IF('TL09'!$B$229=K$3,SUMIF('TL09'!$C$238:$C$451,$C189,'TL09'!$J$238:$J$451),0),
IF('TL10'!$B$3=K$3,SUMIF('TL10'!$C$10:$C$224,$C189,'TL10'!$J$10:$J$224),0),
IF('TL10'!$B$229=K$3,SUMIF('TL10'!$C$238:$C$451,$C189,'TL10'!$J$238:$J$451),0),
IF('TL11'!$B$3=K$3,SUMIF('TL11'!$C$10:$C$224,$C189,'TL11'!$J$10:$J$224),0),
IF('TL11'!$B$229=K$3,SUMIF('TL11'!$C$238:$C$451,$C189,'TL11'!$J$238:$J$451),0),
IF('TL12'!$B$3=K$3,SUMIF('TL12'!$C$10:$C$224,$C189,'TL12'!$J$10:$J$224),0),
IF('TL12'!$B$229=K$3,SUMIF('TL12'!$C$238:$C$451,$C189,'TL12'!$J$238:$J$451),0),
IF('TL13'!$B$3=K$3,SUMIF('TL13'!$C$10:$C$224,$C189,'TL13'!$J$10:$J$224),0),
IF('TL13'!$B$229=K$3,SUMIF('TL13'!$C$238:$C$451,$C189,'TL13'!$J$238:$J$451),0),
IF('TL14'!$B$3=K$3,SUMIF('TL14'!$C$10:$C$224,$C189,'TL14'!$J$10:$J$224),0),
IF('TL14'!$B$229=K$3,SUMIF('TL14'!$C$238:$C$451,$C189,'TL14'!$J$238:$J$451),0),
IF('TL15'!$B$3=K$3,SUMIF('TL15'!$C$10:$C$224,$C189,'TL15'!$J$10:$J$224),0),
IF('TL15'!$B$229=K$3,SUMIF('TL15'!$C$238:$C$451,$C189,'TL15'!$J$238:$J$451),0),
IF('TL16'!$B$3=K$3,SUMIF('TL16'!$C$10:$C$224,$C189,'TL16'!$J$10:$J$224),0),
IF('TL16'!$B$229=K$3,SUMIF('TL16'!$C$238:$C$451,$C189,'TL16'!$J$238:$J$451),0),
IF('TL17'!$B$3=K$3,SUMIF('TL17'!$C$10:$C$224,$C189,'TL17'!$J$10:$J$224),0),
IF('TL17'!$B$229=K$3,SUMIF('TL17'!$C$238:$C$451,$C189,'TL17'!$J$238:$J$451),0),
IF('TL18'!$B$3=K$3,SUMIF('TL18'!$C$10:$C$224,$C189,'TL18'!$J$10:$J$224),0),
IF('TL18'!$B$229=K$3,SUMIF('TL18'!$C$238:$C$451,$C189,'TL18'!$J$238:$J$451),0),
IF('TL19'!$B$3=K$3,SUMIF('TL19'!$C$10:$C$224,$C189,'TL19'!$J$10:$J$224),0),
IF('TL19'!$B$229=K$3,SUMIF('TL19'!$C$238:$C$451,$C189,'TL19'!$J$238:$J$451),0)
),0)</f>
        <v>12</v>
      </c>
      <c r="L189" s="9">
        <f>IFERROR(SUM(
IF('TL01'!$B$3=L$3,SUMIF('TL01'!$C$10:$C$224,$C189,'TL01'!$J$10:$J$224),0),
IF('TL01'!$B$229=L$3,SUMIF('TL01'!$C$238:$C$451,$C189,'TL01'!$J$238:$J$451),0),
IF('TL02'!$B$3=L$3,SUMIF('TL02'!$C$10:$C$224,$C189,'TL02'!$J$10:$J$224),0),
IF('TL02'!$B$229=L$3,SUMIF('TL02'!$C$238:$C$451,$C189,'TL02'!$J$238:$J$451),0),
IF('TL03'!$B$3=L$3,SUMIF('TL03'!$C$10:$C$224,$C189,'TL03'!$J$10:$J$224),0),
IF('TL03'!$B$229=L$3,SUMIF('TL03'!$C$238:$C$451,$C189,'TL03'!$J$238:$J$451),0),
IF('TL04'!$B$3=L$3,SUMIF('TL04'!$C$10:$C$224,$C189,'TL04'!$J$10:$J$224),0),
IF('TL04'!$B$229=L$3,SUMIF('TL04'!$C$238:$C$451,$C189,'TL04'!$J$238:$J$451),0),
IF('TL05'!$B$3=L$3,SUMIF('TL05'!$C$10:$C$224,$C189,'TL05'!$J$10:$J$224),0),
IF('TL05'!$B$229=L$3,SUMIF('TL05'!$C$238:$C$451,$C189,'TL05'!$J$238:$J$451),0),
IF('TL06'!$B$3=L$3,SUMIF('TL06'!$C$10:$C$224,$C189,'TL06'!$J$10:$J$224),0),
IF('TL06'!$B$229=L$3,SUMIF('TL06'!$C$238:$C$451,$C189,'TL06'!$J$238:$J$451),0),
IF('TL07'!$B$3=L$3,SUMIF('TL07'!$C$10:$C$224,$C189,'TL07'!$J$10:$J$224),0),
IF('TL07'!$B$229=L$3,SUMIF('TL07'!$C$238:$C$451,$C189,'TL07'!$J$238:$J$451),0),
IF('TL08'!$B$3=L$3,SUMIF('TL08'!$C$10:$C$224,$C189,'TL08'!$J$10:$J$224),0),
IF('TL08'!$B$229=L$3,SUMIF('TL08'!$C$238:$C$451,$C189,'TL08'!$J$238:$J$451),0),
IF('TL09'!$B$3=L$3,SUMIF('TL09'!$C$10:$C$224,$C189,'TL09'!$J$10:$J$224),0),
IF('TL09'!$B$229=L$3,SUMIF('TL09'!$C$238:$C$451,$C189,'TL09'!$J$238:$J$451),0),
IF('TL10'!$B$3=L$3,SUMIF('TL10'!$C$10:$C$224,$C189,'TL10'!$J$10:$J$224),0),
IF('TL10'!$B$229=L$3,SUMIF('TL10'!$C$238:$C$451,$C189,'TL10'!$J$238:$J$451),0),
IF('TL11'!$B$3=L$3,SUMIF('TL11'!$C$10:$C$224,$C189,'TL11'!$J$10:$J$224),0),
IF('TL11'!$B$229=L$3,SUMIF('TL11'!$C$238:$C$451,$C189,'TL11'!$J$238:$J$451),0),
IF('TL12'!$B$3=L$3,SUMIF('TL12'!$C$10:$C$224,$C189,'TL12'!$J$10:$J$224),0),
IF('TL12'!$B$229=L$3,SUMIF('TL12'!$C$238:$C$451,$C189,'TL12'!$J$238:$J$451),0),
IF('TL13'!$B$3=L$3,SUMIF('TL13'!$C$10:$C$224,$C189,'TL13'!$J$10:$J$224),0),
IF('TL13'!$B$229=L$3,SUMIF('TL13'!$C$238:$C$451,$C189,'TL13'!$J$238:$J$451),0),
IF('TL14'!$B$3=L$3,SUMIF('TL14'!$C$10:$C$224,$C189,'TL14'!$J$10:$J$224),0),
IF('TL14'!$B$229=L$3,SUMIF('TL14'!$C$238:$C$451,$C189,'TL14'!$J$238:$J$451),0),
IF('TL15'!$B$3=L$3,SUMIF('TL15'!$C$10:$C$224,$C189,'TL15'!$J$10:$J$224),0),
IF('TL15'!$B$229=L$3,SUMIF('TL15'!$C$238:$C$451,$C189,'TL15'!$J$238:$J$451),0),
IF('TL16'!$B$3=L$3,SUMIF('TL16'!$C$10:$C$224,$C189,'TL16'!$J$10:$J$224),0),
IF('TL16'!$B$229=L$3,SUMIF('TL16'!$C$238:$C$451,$C189,'TL16'!$J$238:$J$451),0),
IF('TL17'!$B$3=L$3,SUMIF('TL17'!$C$10:$C$224,$C189,'TL17'!$J$10:$J$224),0),
IF('TL17'!$B$229=L$3,SUMIF('TL17'!$C$238:$C$451,$C189,'TL17'!$J$238:$J$451),0),
IF('TL18'!$B$3=L$3,SUMIF('TL18'!$C$10:$C$224,$C189,'TL18'!$J$10:$J$224),0),
IF('TL18'!$B$229=L$3,SUMIF('TL18'!$C$238:$C$451,$C189,'TL18'!$J$238:$J$451),0),
IF('TL19'!$B$3=L$3,SUMIF('TL19'!$C$10:$C$224,$C189,'TL19'!$J$10:$J$224),0),
IF('TL19'!$B$229=L$3,SUMIF('TL19'!$C$238:$C$451,$C189,'TL19'!$J$238:$J$451),0)
),0)</f>
        <v>0</v>
      </c>
      <c r="M189" s="9">
        <f>IFERROR(SUM(
IF('TL01'!$B$3=M$3,SUMIF('TL01'!$C$10:$C$224,$C189,'TL01'!$J$10:$J$224),0),
IF('TL01'!$B$229=M$3,SUMIF('TL01'!$C$238:$C$451,$C189,'TL01'!$J$238:$J$451),0),
IF('TL02'!$B$3=M$3,SUMIF('TL02'!$C$10:$C$224,$C189,'TL02'!$J$10:$J$224),0),
IF('TL02'!$B$229=M$3,SUMIF('TL02'!$C$238:$C$451,$C189,'TL02'!$J$238:$J$451),0),
IF('TL03'!$B$3=M$3,SUMIF('TL03'!$C$10:$C$224,$C189,'TL03'!$J$10:$J$224),0),
IF('TL03'!$B$229=M$3,SUMIF('TL03'!$C$238:$C$451,$C189,'TL03'!$J$238:$J$451),0),
IF('TL04'!$B$3=M$3,SUMIF('TL04'!$C$10:$C$224,$C189,'TL04'!$J$10:$J$224),0),
IF('TL04'!$B$229=M$3,SUMIF('TL04'!$C$238:$C$451,$C189,'TL04'!$J$238:$J$451),0),
IF('TL05'!$B$3=M$3,SUMIF('TL05'!$C$10:$C$224,$C189,'TL05'!$J$10:$J$224),0),
IF('TL05'!$B$229=M$3,SUMIF('TL05'!$C$238:$C$451,$C189,'TL05'!$J$238:$J$451),0),
IF('TL06'!$B$3=M$3,SUMIF('TL06'!$C$10:$C$224,$C189,'TL06'!$J$10:$J$224),0),
IF('TL06'!$B$229=M$3,SUMIF('TL06'!$C$238:$C$451,$C189,'TL06'!$J$238:$J$451),0),
IF('TL07'!$B$3=M$3,SUMIF('TL07'!$C$10:$C$224,$C189,'TL07'!$J$10:$J$224),0),
IF('TL07'!$B$229=M$3,SUMIF('TL07'!$C$238:$C$451,$C189,'TL07'!$J$238:$J$451),0),
IF('TL08'!$B$3=M$3,SUMIF('TL08'!$C$10:$C$224,$C189,'TL08'!$J$10:$J$224),0),
IF('TL08'!$B$229=M$3,SUMIF('TL08'!$C$238:$C$451,$C189,'TL08'!$J$238:$J$451),0),
IF('TL09'!$B$3=M$3,SUMIF('TL09'!$C$10:$C$224,$C189,'TL09'!$J$10:$J$224),0),
IF('TL09'!$B$229=M$3,SUMIF('TL09'!$C$238:$C$451,$C189,'TL09'!$J$238:$J$451),0),
IF('TL10'!$B$3=M$3,SUMIF('TL10'!$C$10:$C$224,$C189,'TL10'!$J$10:$J$224),0),
IF('TL10'!$B$229=M$3,SUMIF('TL10'!$C$238:$C$451,$C189,'TL10'!$J$238:$J$451),0),
IF('TL11'!$B$3=M$3,SUMIF('TL11'!$C$10:$C$224,$C189,'TL11'!$J$10:$J$224),0),
IF('TL11'!$B$229=M$3,SUMIF('TL11'!$C$238:$C$451,$C189,'TL11'!$J$238:$J$451),0),
IF('TL12'!$B$3=M$3,SUMIF('TL12'!$C$10:$C$224,$C189,'TL12'!$J$10:$J$224),0),
IF('TL12'!$B$229=M$3,SUMIF('TL12'!$C$238:$C$451,$C189,'TL12'!$J$238:$J$451),0),
IF('TL13'!$B$3=M$3,SUMIF('TL13'!$C$10:$C$224,$C189,'TL13'!$J$10:$J$224),0),
IF('TL13'!$B$229=M$3,SUMIF('TL13'!$C$238:$C$451,$C189,'TL13'!$J$238:$J$451),0),
IF('TL14'!$B$3=M$3,SUMIF('TL14'!$C$10:$C$224,$C189,'TL14'!$J$10:$J$224),0),
IF('TL14'!$B$229=M$3,SUMIF('TL14'!$C$238:$C$451,$C189,'TL14'!$J$238:$J$451),0),
IF('TL15'!$B$3=M$3,SUMIF('TL15'!$C$10:$C$224,$C189,'TL15'!$J$10:$J$224),0),
IF('TL15'!$B$229=M$3,SUMIF('TL15'!$C$238:$C$451,$C189,'TL15'!$J$238:$J$451),0),
IF('TL16'!$B$3=M$3,SUMIF('TL16'!$C$10:$C$224,$C189,'TL16'!$J$10:$J$224),0),
IF('TL16'!$B$229=M$3,SUMIF('TL16'!$C$238:$C$451,$C189,'TL16'!$J$238:$J$451),0),
IF('TL17'!$B$3=M$3,SUMIF('TL17'!$C$10:$C$224,$C189,'TL17'!$J$10:$J$224),0),
IF('TL17'!$B$229=M$3,SUMIF('TL17'!$C$238:$C$451,$C189,'TL17'!$J$238:$J$451),0),
IF('TL18'!$B$3=M$3,SUMIF('TL18'!$C$10:$C$224,$C189,'TL18'!$J$10:$J$224),0),
IF('TL18'!$B$229=M$3,SUMIF('TL18'!$C$238:$C$451,$C189,'TL18'!$J$238:$J$451),0),
IF('TL19'!$B$3=M$3,SUMIF('TL19'!$C$10:$C$224,$C189,'TL19'!$J$10:$J$224),0),
IF('TL19'!$B$229=M$3,SUMIF('TL19'!$C$238:$C$451,$C189,'TL19'!$J$238:$J$451),0)
),0)</f>
        <v>0</v>
      </c>
      <c r="N189" s="9">
        <f>IFERROR(SUM(
IF('TL01'!$B$3=N$3,SUMIF('TL01'!$C$10:$C$224,$C189,'TL01'!$J$10:$J$224),0),
IF('TL01'!$B$229=N$3,SUMIF('TL01'!$C$238:$C$451,$C189,'TL01'!$J$238:$J$451),0),
IF('TL02'!$B$3=N$3,SUMIF('TL02'!$C$10:$C$224,$C189,'TL02'!$J$10:$J$224),0),
IF('TL02'!$B$229=N$3,SUMIF('TL02'!$C$238:$C$451,$C189,'TL02'!$J$238:$J$451),0),
IF('TL03'!$B$3=N$3,SUMIF('TL03'!$C$10:$C$224,$C189,'TL03'!$J$10:$J$224),0),
IF('TL03'!$B$229=N$3,SUMIF('TL03'!$C$238:$C$451,$C189,'TL03'!$J$238:$J$451),0),
IF('TL04'!$B$3=N$3,SUMIF('TL04'!$C$10:$C$224,$C189,'TL04'!$J$10:$J$224),0),
IF('TL04'!$B$229=N$3,SUMIF('TL04'!$C$238:$C$451,$C189,'TL04'!$J$238:$J$451),0),
IF('TL05'!$B$3=N$3,SUMIF('TL05'!$C$10:$C$224,$C189,'TL05'!$J$10:$J$224),0),
IF('TL05'!$B$229=N$3,SUMIF('TL05'!$C$238:$C$451,$C189,'TL05'!$J$238:$J$451),0),
IF('TL06'!$B$3=N$3,SUMIF('TL06'!$C$10:$C$224,$C189,'TL06'!$J$10:$J$224),0),
IF('TL06'!$B$229=N$3,SUMIF('TL06'!$C$238:$C$451,$C189,'TL06'!$J$238:$J$451),0),
IF('TL07'!$B$3=N$3,SUMIF('TL07'!$C$10:$C$224,$C189,'TL07'!$J$10:$J$224),0),
IF('TL07'!$B$229=N$3,SUMIF('TL07'!$C$238:$C$451,$C189,'TL07'!$J$238:$J$451),0),
IF('TL08'!$B$3=N$3,SUMIF('TL08'!$C$10:$C$224,$C189,'TL08'!$J$10:$J$224),0),
IF('TL08'!$B$229=N$3,SUMIF('TL08'!$C$238:$C$451,$C189,'TL08'!$J$238:$J$451),0),
IF('TL09'!$B$3=N$3,SUMIF('TL09'!$C$10:$C$224,$C189,'TL09'!$J$10:$J$224),0),
IF('TL09'!$B$229=N$3,SUMIF('TL09'!$C$238:$C$451,$C189,'TL09'!$J$238:$J$451),0),
IF('TL10'!$B$3=N$3,SUMIF('TL10'!$C$10:$C$224,$C189,'TL10'!$J$10:$J$224),0),
IF('TL10'!$B$229=N$3,SUMIF('TL10'!$C$238:$C$451,$C189,'TL10'!$J$238:$J$451),0),
IF('TL11'!$B$3=N$3,SUMIF('TL11'!$C$10:$C$224,$C189,'TL11'!$J$10:$J$224),0),
IF('TL11'!$B$229=N$3,SUMIF('TL11'!$C$238:$C$451,$C189,'TL11'!$J$238:$J$451),0),
IF('TL12'!$B$3=N$3,SUMIF('TL12'!$C$10:$C$224,$C189,'TL12'!$J$10:$J$224),0),
IF('TL12'!$B$229=N$3,SUMIF('TL12'!$C$238:$C$451,$C189,'TL12'!$J$238:$J$451),0),
IF('TL13'!$B$3=N$3,SUMIF('TL13'!$C$10:$C$224,$C189,'TL13'!$J$10:$J$224),0),
IF('TL13'!$B$229=N$3,SUMIF('TL13'!$C$238:$C$451,$C189,'TL13'!$J$238:$J$451),0),
IF('TL14'!$B$3=N$3,SUMIF('TL14'!$C$10:$C$224,$C189,'TL14'!$J$10:$J$224),0),
IF('TL14'!$B$229=N$3,SUMIF('TL14'!$C$238:$C$451,$C189,'TL14'!$J$238:$J$451),0),
IF('TL15'!$B$3=N$3,SUMIF('TL15'!$C$10:$C$224,$C189,'TL15'!$J$10:$J$224),0),
IF('TL15'!$B$229=N$3,SUMIF('TL15'!$C$238:$C$451,$C189,'TL15'!$J$238:$J$451),0),
IF('TL16'!$B$3=N$3,SUMIF('TL16'!$C$10:$C$224,$C189,'TL16'!$J$10:$J$224),0),
IF('TL16'!$B$229=N$3,SUMIF('TL16'!$C$238:$C$451,$C189,'TL16'!$J$238:$J$451),0),
IF('TL17'!$B$3=N$3,SUMIF('TL17'!$C$10:$C$224,$C189,'TL17'!$J$10:$J$224),0),
IF('TL17'!$B$229=N$3,SUMIF('TL17'!$C$238:$C$451,$C189,'TL17'!$J$238:$J$451),0),
IF('TL18'!$B$3=N$3,SUMIF('TL18'!$C$10:$C$224,$C189,'TL18'!$J$10:$J$224),0),
IF('TL18'!$B$229=N$3,SUMIF('TL18'!$C$238:$C$451,$C189,'TL18'!$J$238:$J$451),0),
IF('TL19'!$B$3=N$3,SUMIF('TL19'!$C$10:$C$224,$C189,'TL19'!$J$10:$J$224),0),
IF('TL19'!$B$229=N$3,SUMIF('TL19'!$C$238:$C$451,$C189,'TL19'!$J$238:$J$451),0)
),0)</f>
        <v>0</v>
      </c>
      <c r="O189" s="9">
        <f>IFERROR(SUM(
IF('TL01'!$B$3=O$3,SUMIF('TL01'!$C$10:$C$224,$C189,'TL01'!$J$10:$J$224),0),
IF('TL01'!$B$229=O$3,SUMIF('TL01'!$C$238:$C$451,$C189,'TL01'!$J$238:$J$451),0),
IF('TL02'!$B$3=O$3,SUMIF('TL02'!$C$10:$C$224,$C189,'TL02'!$J$10:$J$224),0),
IF('TL02'!$B$229=O$3,SUMIF('TL02'!$C$238:$C$451,$C189,'TL02'!$J$238:$J$451),0),
IF('TL03'!$B$3=O$3,SUMIF('TL03'!$C$10:$C$224,$C189,'TL03'!$J$10:$J$224),0),
IF('TL03'!$B$229=O$3,SUMIF('TL03'!$C$238:$C$451,$C189,'TL03'!$J$238:$J$451),0),
IF('TL04'!$B$3=O$3,SUMIF('TL04'!$C$10:$C$224,$C189,'TL04'!$J$10:$J$224),0),
IF('TL04'!$B$229=O$3,SUMIF('TL04'!$C$238:$C$451,$C189,'TL04'!$J$238:$J$451),0),
IF('TL05'!$B$3=O$3,SUMIF('TL05'!$C$10:$C$224,$C189,'TL05'!$J$10:$J$224),0),
IF('TL05'!$B$229=O$3,SUMIF('TL05'!$C$238:$C$451,$C189,'TL05'!$J$238:$J$451),0),
IF('TL06'!$B$3=O$3,SUMIF('TL06'!$C$10:$C$224,$C189,'TL06'!$J$10:$J$224),0),
IF('TL06'!$B$229=O$3,SUMIF('TL06'!$C$238:$C$451,$C189,'TL06'!$J$238:$J$451),0),
IF('TL07'!$B$3=O$3,SUMIF('TL07'!$C$10:$C$224,$C189,'TL07'!$J$10:$J$224),0),
IF('TL07'!$B$229=O$3,SUMIF('TL07'!$C$238:$C$451,$C189,'TL07'!$J$238:$J$451),0),
IF('TL08'!$B$3=O$3,SUMIF('TL08'!$C$10:$C$224,$C189,'TL08'!$J$10:$J$224),0),
IF('TL08'!$B$229=O$3,SUMIF('TL08'!$C$238:$C$451,$C189,'TL08'!$J$238:$J$451),0),
IF('TL09'!$B$3=O$3,SUMIF('TL09'!$C$10:$C$224,$C189,'TL09'!$J$10:$J$224),0),
IF('TL09'!$B$229=O$3,SUMIF('TL09'!$C$238:$C$451,$C189,'TL09'!$J$238:$J$451),0),
IF('TL10'!$B$3=O$3,SUMIF('TL10'!$C$10:$C$224,$C189,'TL10'!$J$10:$J$224),0),
IF('TL10'!$B$229=O$3,SUMIF('TL10'!$C$238:$C$451,$C189,'TL10'!$J$238:$J$451),0),
IF('TL11'!$B$3=O$3,SUMIF('TL11'!$C$10:$C$224,$C189,'TL11'!$J$10:$J$224),0),
IF('TL11'!$B$229=O$3,SUMIF('TL11'!$C$238:$C$451,$C189,'TL11'!$J$238:$J$451),0),
IF('TL12'!$B$3=O$3,SUMIF('TL12'!$C$10:$C$224,$C189,'TL12'!$J$10:$J$224),0),
IF('TL12'!$B$229=O$3,SUMIF('TL12'!$C$238:$C$451,$C189,'TL12'!$J$238:$J$451),0),
IF('TL13'!$B$3=O$3,SUMIF('TL13'!$C$10:$C$224,$C189,'TL13'!$J$10:$J$224),0),
IF('TL13'!$B$229=O$3,SUMIF('TL13'!$C$238:$C$451,$C189,'TL13'!$J$238:$J$451),0),
IF('TL14'!$B$3=O$3,SUMIF('TL14'!$C$10:$C$224,$C189,'TL14'!$J$10:$J$224),0),
IF('TL14'!$B$229=O$3,SUMIF('TL14'!$C$238:$C$451,$C189,'TL14'!$J$238:$J$451),0),
IF('TL15'!$B$3=O$3,SUMIF('TL15'!$C$10:$C$224,$C189,'TL15'!$J$10:$J$224),0),
IF('TL15'!$B$229=O$3,SUMIF('TL15'!$C$238:$C$451,$C189,'TL15'!$J$238:$J$451),0),
IF('TL16'!$B$3=O$3,SUMIF('TL16'!$C$10:$C$224,$C189,'TL16'!$J$10:$J$224),0),
IF('TL16'!$B$229=O$3,SUMIF('TL16'!$C$238:$C$451,$C189,'TL16'!$J$238:$J$451),0),
IF('TL17'!$B$3=O$3,SUMIF('TL17'!$C$10:$C$224,$C189,'TL17'!$J$10:$J$224),0),
IF('TL17'!$B$229=O$3,SUMIF('TL17'!$C$238:$C$451,$C189,'TL17'!$J$238:$J$451),0),
IF('TL18'!$B$3=O$3,SUMIF('TL18'!$C$10:$C$224,$C189,'TL18'!$J$10:$J$224),0),
IF('TL18'!$B$229=O$3,SUMIF('TL18'!$C$238:$C$451,$C189,'TL18'!$J$238:$J$451),0),
IF('TL19'!$B$3=O$3,SUMIF('TL19'!$C$10:$C$224,$C189,'TL19'!$J$10:$J$224),0),
IF('TL19'!$B$229=O$3,SUMIF('TL19'!$C$238:$C$451,$C189,'TL19'!$J$238:$J$451),0)
),0)</f>
        <v>0</v>
      </c>
      <c r="P189" s="9">
        <f>IFERROR(SUM(
IF('TL01'!$B$3=P$3,SUMIF('TL01'!$C$10:$C$224,$C189,'TL01'!$J$10:$J$224),0),
IF('TL01'!$B$229=P$3,SUMIF('TL01'!$C$238:$C$451,$C189,'TL01'!$J$238:$J$451),0),
IF('TL02'!$B$3=P$3,SUMIF('TL02'!$C$10:$C$224,$C189,'TL02'!$J$10:$J$224),0),
IF('TL02'!$B$229=P$3,SUMIF('TL02'!$C$238:$C$451,$C189,'TL02'!$J$238:$J$451),0),
IF('TL03'!$B$3=P$3,SUMIF('TL03'!$C$10:$C$224,$C189,'TL03'!$J$10:$J$224),0),
IF('TL03'!$B$229=P$3,SUMIF('TL03'!$C$238:$C$451,$C189,'TL03'!$J$238:$J$451),0),
IF('TL04'!$B$3=P$3,SUMIF('TL04'!$C$10:$C$224,$C189,'TL04'!$J$10:$J$224),0),
IF('TL04'!$B$229=P$3,SUMIF('TL04'!$C$238:$C$451,$C189,'TL04'!$J$238:$J$451),0),
IF('TL05'!$B$3=P$3,SUMIF('TL05'!$C$10:$C$224,$C189,'TL05'!$J$10:$J$224),0),
IF('TL05'!$B$229=P$3,SUMIF('TL05'!$C$238:$C$451,$C189,'TL05'!$J$238:$J$451),0),
IF('TL06'!$B$3=P$3,SUMIF('TL06'!$C$10:$C$224,$C189,'TL06'!$J$10:$J$224),0),
IF('TL06'!$B$229=P$3,SUMIF('TL06'!$C$238:$C$451,$C189,'TL06'!$J$238:$J$451),0),
IF('TL07'!$B$3=P$3,SUMIF('TL07'!$C$10:$C$224,$C189,'TL07'!$J$10:$J$224),0),
IF('TL07'!$B$229=P$3,SUMIF('TL07'!$C$238:$C$451,$C189,'TL07'!$J$238:$J$451),0),
IF('TL08'!$B$3=P$3,SUMIF('TL08'!$C$10:$C$224,$C189,'TL08'!$J$10:$J$224),0),
IF('TL08'!$B$229=P$3,SUMIF('TL08'!$C$238:$C$451,$C189,'TL08'!$J$238:$J$451),0),
IF('TL09'!$B$3=P$3,SUMIF('TL09'!$C$10:$C$224,$C189,'TL09'!$J$10:$J$224),0),
IF('TL09'!$B$229=P$3,SUMIF('TL09'!$C$238:$C$451,$C189,'TL09'!$J$238:$J$451),0),
IF('TL10'!$B$3=P$3,SUMIF('TL10'!$C$10:$C$224,$C189,'TL10'!$J$10:$J$224),0),
IF('TL10'!$B$229=P$3,SUMIF('TL10'!$C$238:$C$451,$C189,'TL10'!$J$238:$J$451),0),
IF('TL11'!$B$3=P$3,SUMIF('TL11'!$C$10:$C$224,$C189,'TL11'!$J$10:$J$224),0),
IF('TL11'!$B$229=P$3,SUMIF('TL11'!$C$238:$C$451,$C189,'TL11'!$J$238:$J$451),0),
IF('TL12'!$B$3=P$3,SUMIF('TL12'!$C$10:$C$224,$C189,'TL12'!$J$10:$J$224),0),
IF('TL12'!$B$229=P$3,SUMIF('TL12'!$C$238:$C$451,$C189,'TL12'!$J$238:$J$451),0),
IF('TL13'!$B$3=P$3,SUMIF('TL13'!$C$10:$C$224,$C189,'TL13'!$J$10:$J$224),0),
IF('TL13'!$B$229=P$3,SUMIF('TL13'!$C$238:$C$451,$C189,'TL13'!$J$238:$J$451),0),
IF('TL14'!$B$3=P$3,SUMIF('TL14'!$C$10:$C$224,$C189,'TL14'!$J$10:$J$224),0),
IF('TL14'!$B$229=P$3,SUMIF('TL14'!$C$238:$C$451,$C189,'TL14'!$J$238:$J$451),0),
IF('TL15'!$B$3=P$3,SUMIF('TL15'!$C$10:$C$224,$C189,'TL15'!$J$10:$J$224),0),
IF('TL15'!$B$229=P$3,SUMIF('TL15'!$C$238:$C$451,$C189,'TL15'!$J$238:$J$451),0),
IF('TL16'!$B$3=P$3,SUMIF('TL16'!$C$10:$C$224,$C189,'TL16'!$J$10:$J$224),0),
IF('TL16'!$B$229=P$3,SUMIF('TL16'!$C$238:$C$451,$C189,'TL16'!$J$238:$J$451),0),
IF('TL17'!$B$3=P$3,SUMIF('TL17'!$C$10:$C$224,$C189,'TL17'!$J$10:$J$224),0),
IF('TL17'!$B$229=P$3,SUMIF('TL17'!$C$238:$C$451,$C189,'TL17'!$J$238:$J$451),0),
IF('TL18'!$B$3=P$3,SUMIF('TL18'!$C$10:$C$224,$C189,'TL18'!$J$10:$J$224),0),
IF('TL18'!$B$229=P$3,SUMIF('TL18'!$C$238:$C$451,$C189,'TL18'!$J$238:$J$451),0),
IF('TL19'!$B$3=P$3,SUMIF('TL19'!$C$10:$C$224,$C189,'TL19'!$J$10:$J$224),0),
IF('TL19'!$B$229=P$3,SUMIF('TL19'!$C$238:$C$451,$C189,'TL19'!$J$238:$J$451),0)
),0)</f>
        <v>48.72</v>
      </c>
      <c r="Q189" s="9">
        <f>IFERROR(SUM(
IF('TL01'!$B$3=Q$3,SUMIF('TL01'!$C$10:$C$224,$C189,'TL01'!$J$10:$J$224),0),
IF('TL01'!$B$229=Q$3,SUMIF('TL01'!$C$238:$C$451,$C189,'TL01'!$J$238:$J$451),0),
IF('TL02'!$B$3=Q$3,SUMIF('TL02'!$C$10:$C$224,$C189,'TL02'!$J$10:$J$224),0),
IF('TL02'!$B$229=Q$3,SUMIF('TL02'!$C$238:$C$451,$C189,'TL02'!$J$238:$J$451),0),
IF('TL03'!$B$3=Q$3,SUMIF('TL03'!$C$10:$C$224,$C189,'TL03'!$J$10:$J$224),0),
IF('TL03'!$B$229=Q$3,SUMIF('TL03'!$C$238:$C$451,$C189,'TL03'!$J$238:$J$451),0),
IF('TL04'!$B$3=Q$3,SUMIF('TL04'!$C$10:$C$224,$C189,'TL04'!$J$10:$J$224),0),
IF('TL04'!$B$229=Q$3,SUMIF('TL04'!$C$238:$C$451,$C189,'TL04'!$J$238:$J$451),0),
IF('TL05'!$B$3=Q$3,SUMIF('TL05'!$C$10:$C$224,$C189,'TL05'!$J$10:$J$224),0),
IF('TL05'!$B$229=Q$3,SUMIF('TL05'!$C$238:$C$451,$C189,'TL05'!$J$238:$J$451),0),
IF('TL06'!$B$3=Q$3,SUMIF('TL06'!$C$10:$C$224,$C189,'TL06'!$J$10:$J$224),0),
IF('TL06'!$B$229=Q$3,SUMIF('TL06'!$C$238:$C$451,$C189,'TL06'!$J$238:$J$451),0),
IF('TL07'!$B$3=Q$3,SUMIF('TL07'!$C$10:$C$224,$C189,'TL07'!$J$10:$J$224),0),
IF('TL07'!$B$229=Q$3,SUMIF('TL07'!$C$238:$C$451,$C189,'TL07'!$J$238:$J$451),0),
IF('TL08'!$B$3=Q$3,SUMIF('TL08'!$C$10:$C$224,$C189,'TL08'!$J$10:$J$224),0),
IF('TL08'!$B$229=Q$3,SUMIF('TL08'!$C$238:$C$451,$C189,'TL08'!$J$238:$J$451),0),
IF('TL09'!$B$3=Q$3,SUMIF('TL09'!$C$10:$C$224,$C189,'TL09'!$J$10:$J$224),0),
IF('TL09'!$B$229=Q$3,SUMIF('TL09'!$C$238:$C$451,$C189,'TL09'!$J$238:$J$451),0),
IF('TL10'!$B$3=Q$3,SUMIF('TL10'!$C$10:$C$224,$C189,'TL10'!$J$10:$J$224),0),
IF('TL10'!$B$229=Q$3,SUMIF('TL10'!$C$238:$C$451,$C189,'TL10'!$J$238:$J$451),0),
IF('TL11'!$B$3=Q$3,SUMIF('TL11'!$C$10:$C$224,$C189,'TL11'!$J$10:$J$224),0),
IF('TL11'!$B$229=Q$3,SUMIF('TL11'!$C$238:$C$451,$C189,'TL11'!$J$238:$J$451),0),
IF('TL12'!$B$3=Q$3,SUMIF('TL12'!$C$10:$C$224,$C189,'TL12'!$J$10:$J$224),0),
IF('TL12'!$B$229=Q$3,SUMIF('TL12'!$C$238:$C$451,$C189,'TL12'!$J$238:$J$451),0),
IF('TL13'!$B$3=Q$3,SUMIF('TL13'!$C$10:$C$224,$C189,'TL13'!$J$10:$J$224),0),
IF('TL13'!$B$229=Q$3,SUMIF('TL13'!$C$238:$C$451,$C189,'TL13'!$J$238:$J$451),0),
IF('TL14'!$B$3=Q$3,SUMIF('TL14'!$C$10:$C$224,$C189,'TL14'!$J$10:$J$224),0),
IF('TL14'!$B$229=Q$3,SUMIF('TL14'!$C$238:$C$451,$C189,'TL14'!$J$238:$J$451),0),
IF('TL15'!$B$3=Q$3,SUMIF('TL15'!$C$10:$C$224,$C189,'TL15'!$J$10:$J$224),0),
IF('TL15'!$B$229=Q$3,SUMIF('TL15'!$C$238:$C$451,$C189,'TL15'!$J$238:$J$451),0),
IF('TL16'!$B$3=Q$3,SUMIF('TL16'!$C$10:$C$224,$C189,'TL16'!$J$10:$J$224),0),
IF('TL16'!$B$229=Q$3,SUMIF('TL16'!$C$238:$C$451,$C189,'TL16'!$J$238:$J$451),0),
IF('TL17'!$B$3=Q$3,SUMIF('TL17'!$C$10:$C$224,$C189,'TL17'!$J$10:$J$224),0),
IF('TL17'!$B$229=Q$3,SUMIF('TL17'!$C$238:$C$451,$C189,'TL17'!$J$238:$J$451),0),
IF('TL18'!$B$3=Q$3,SUMIF('TL18'!$C$10:$C$224,$C189,'TL18'!$J$10:$J$224),0),
IF('TL18'!$B$229=Q$3,SUMIF('TL18'!$C$238:$C$451,$C189,'TL18'!$J$238:$J$451),0),
IF('TL19'!$B$3=Q$3,SUMIF('TL19'!$C$10:$C$224,$C189,'TL19'!$J$10:$J$224),0),
IF('TL19'!$B$229=Q$3,SUMIF('TL19'!$C$238:$C$451,$C189,'TL19'!$J$238:$J$451),0)
),0)</f>
        <v>4.8</v>
      </c>
      <c r="R189" s="9">
        <f>IFERROR(
SUM(
SUMIF('TL01'!C:C,C189,'TL01'!J:J),
SUMIF('TL02'!C:C,C189,'TL02'!J:J),
SUMIF('TL03'!C:C,C189,'TL03'!J:J),
SUMIF('TL04'!C:C,C189,'TL04'!J:J),
SUMIF('TL05'!C:C,C189,'TL05'!J:J),
SUMIF('TL06'!C:C,C189,'TL06'!J:J),
SUMIF('TL07'!C:C,C189,'TL07'!J:J),
SUMIF('TL08'!C:C,C189,'TL08'!J:J),
SUMIF('TL09'!C:C,C189,'TL09'!J:J),
SUMIF('TL10'!C:C,C189,'TL10'!J:J),
SUMIF('TL11'!C:C,C189,'TL11'!J:J),
SUMIF('TL12'!C:C,C189,'TL12'!J:J),
SUMIF('TL13'!C:C,C189,'TL13'!J:J),
SUMIF('TL14'!C:C,C189,'TL14'!J:J),
SUMIF('TL15'!C:C,C189,'TL15'!J:J),
SUMIF('TL16'!C:C,C189,'TL16'!J:J),
SUMIF('TL17'!C:C,C189,'TL17'!J:J),
SUMIF('TL18'!C:C,C189,'TL18'!J:J),SUMIF('TL19'!C:C,C189,'TL19'!J:J))
,0)</f>
        <v>84.12</v>
      </c>
      <c r="S189" s="17">
        <f>IFERROR(__xludf.DUMMYFUNCTION("IFERROR(VLOOKUP(C189,
IMPORTRANGE(""1wULbzX32WdYsx-lj2U3uUNBBe2INVIRDtcK0d-Dvl90"",
""26-27!C:G""),
5,
FALSE),
"""")"),247.63503)</f>
        <v>247.63503</v>
      </c>
      <c r="T189" s="9"/>
      <c r="U189" s="92">
        <f t="shared" si="2"/>
        <v>84.12</v>
      </c>
      <c r="V189" s="93">
        <f t="shared" si="3"/>
        <v>20831.05872</v>
      </c>
    </row>
    <row r="190" ht="15.75" hidden="1" customHeight="1">
      <c r="A190" s="87" t="s">
        <v>480</v>
      </c>
      <c r="B190" s="88" t="s">
        <v>2</v>
      </c>
      <c r="C190" s="89" t="s">
        <v>790</v>
      </c>
      <c r="D190" s="89" t="s">
        <v>791</v>
      </c>
      <c r="E190" s="89">
        <v>150.0</v>
      </c>
      <c r="F190" s="4" t="s">
        <v>392</v>
      </c>
      <c r="G190" s="90" t="str">
        <f t="shared" si="4"/>
        <v>📄 Ver bula</v>
      </c>
      <c r="H190" s="9">
        <f>IFERROR(__xludf.DUMMYFUNCTION("IFERROR(VLOOKUP(C190,
IMPORTRANGE(""1wULbzX32WdYsx-lj2U3uUNBBe2INVIRDtcK0d-Dvl90"",
""26-27!C:K""),
8,
FALSE),
"""")"),0.4)</f>
        <v>0.4</v>
      </c>
      <c r="I190" s="91" t="s">
        <v>344</v>
      </c>
      <c r="J190" s="9">
        <f>IFERROR(SUM(
IF('TL01'!$B$3=J$3,SUMIF('TL01'!$C$10:$C$224,$C190,'TL01'!$J$10:$J$224),0),
IF('TL01'!$B$229=J$3,SUMIF('TL01'!$C$238:$C$451,$C190,'TL01'!$J$238:$J$451),0),
IF('TL02'!$B$3=J$3,SUMIF('TL02'!$C$10:$C$224,$C190,'TL02'!$J$10:$J$224),0),
IF('TL02'!$B$229=J$3,SUMIF('TL02'!$C$238:$C$451,$C190,'TL02'!$J$238:$J$451),0),
IF('TL03'!$B$3=J$3,SUMIF('TL03'!$C$10:$C$224,$C190,'TL03'!$J$10:$J$224),0),
IF('TL03'!$B$229=J$3,SUMIF('TL03'!$C$238:$C$451,$C190,'TL03'!$J$238:$J$451),0),
IF('TL04'!$B$3=J$3,SUMIF('TL04'!$C$10:$C$224,$C190,'TL04'!$J$10:$J$224),0),
IF('TL04'!$B$229=J$3,SUMIF('TL04'!$C$238:$C$451,$C190,'TL04'!$J$238:$J$451),0),
IF('TL05'!$B$3=J$3,SUMIF('TL05'!$C$10:$C$224,$C190,'TL05'!$J$10:$J$224),0),
IF('TL05'!$B$229=J$3,SUMIF('TL05'!$C$238:$C$451,$C190,'TL05'!$J$238:$J$451),0),
IF('TL06'!$B$3=J$3,SUMIF('TL06'!$C$10:$C$224,$C190,'TL06'!$J$10:$J$224),0),
IF('TL06'!$B$229=J$3,SUMIF('TL06'!$C$238:$C$451,$C190,'TL06'!$J$238:$J$451),0),
IF('TL07'!$B$3=J$3,SUMIF('TL07'!$C$10:$C$224,$C190,'TL07'!$J$10:$J$224),0),
IF('TL07'!$B$229=J$3,SUMIF('TL07'!$C$238:$C$451,$C190,'TL07'!$J$238:$J$451),0),
IF('TL08'!$B$3=J$3,SUMIF('TL08'!$C$10:$C$224,$C190,'TL08'!$J$10:$J$224),0),
IF('TL08'!$B$229=J$3,SUMIF('TL08'!$C$238:$C$451,$C190,'TL08'!$J$238:$J$451),0),
IF('TL09'!$B$3=J$3,SUMIF('TL09'!$C$10:$C$224,$C190,'TL09'!$J$10:$J$224),0),
IF('TL09'!$B$229=J$3,SUMIF('TL09'!$C$238:$C$451,$C190,'TL09'!$J$238:$J$451),0),
IF('TL10'!$B$3=J$3,SUMIF('TL10'!$C$10:$C$224,$C190,'TL10'!$J$10:$J$224),0),
IF('TL10'!$B$229=J$3,SUMIF('TL10'!$C$238:$C$451,$C190,'TL10'!$J$238:$J$451),0),
IF('TL11'!$B$3=J$3,SUMIF('TL11'!$C$10:$C$224,$C190,'TL11'!$J$10:$J$224),0),
IF('TL11'!$B$229=J$3,SUMIF('TL11'!$C$238:$C$451,$C190,'TL11'!$J$238:$J$451),0),
IF('TL12'!$B$3=J$3,SUMIF('TL12'!$C$10:$C$224,$C190,'TL12'!$J$10:$J$224),0),
IF('TL12'!$B$229=J$3,SUMIF('TL12'!$C$238:$C$451,$C190,'TL12'!$J$238:$J$451),0),
IF('TL13'!$B$3=J$3,SUMIF('TL13'!$C$10:$C$224,$C190,'TL13'!$J$10:$J$224),0),
IF('TL13'!$B$229=J$3,SUMIF('TL13'!$C$238:$C$451,$C190,'TL13'!$J$238:$J$451),0),
IF('TL14'!$B$3=J$3,SUMIF('TL14'!$C$10:$C$224,$C190,'TL14'!$J$10:$J$224),0),
IF('TL14'!$B$229=J$3,SUMIF('TL14'!$C$238:$C$451,$C190,'TL14'!$J$238:$J$451),0),
IF('TL15'!$B$3=J$3,SUMIF('TL15'!$C$10:$C$224,$C190,'TL15'!$J$10:$J$224),0),
IF('TL15'!$B$229=J$3,SUMIF('TL15'!$C$238:$C$451,$C190,'TL15'!$J$238:$J$451),0),
IF('TL16'!$B$3=J$3,SUMIF('TL16'!$C$10:$C$224,$C190,'TL16'!$J$10:$J$224),0),
IF('TL16'!$B$229=J$3,SUMIF('TL16'!$C$238:$C$451,$C190,'TL16'!$J$238:$J$451),0),
IF('TL17'!$B$3=J$3,SUMIF('TL17'!$C$10:$C$224,$C190,'TL17'!$J$10:$J$224),0),
IF('TL17'!$B$229=J$3,SUMIF('TL17'!$C$238:$C$451,$C190,'TL17'!$J$238:$J$451),0),
IF('TL18'!$B$3=J$3,SUMIF('TL18'!$C$10:$C$224,$C190,'TL18'!$J$10:$J$224),0),
IF('TL18'!$B$229=J$3,SUMIF('TL18'!$C$238:$C$451,$C190,'TL18'!$J$238:$J$451),0),
IF('TL19'!$B$3=J$3,SUMIF('TL19'!$C$10:$C$224,$C190,'TL19'!$J$10:$J$224),0),
IF('TL19'!$B$229=J$3,SUMIF('TL19'!$C$238:$C$451,$C190,'TL19'!$J$238:$J$451),0)
),0)</f>
        <v>0</v>
      </c>
      <c r="K190" s="9">
        <f>IFERROR(SUM(
IF('TL01'!$B$3=K$3,SUMIF('TL01'!$C$10:$C$224,$C190,'TL01'!$J$10:$J$224),0),
IF('TL01'!$B$229=K$3,SUMIF('TL01'!$C$238:$C$451,$C190,'TL01'!$J$238:$J$451),0),
IF('TL02'!$B$3=K$3,SUMIF('TL02'!$C$10:$C$224,$C190,'TL02'!$J$10:$J$224),0),
IF('TL02'!$B$229=K$3,SUMIF('TL02'!$C$238:$C$451,$C190,'TL02'!$J$238:$J$451),0),
IF('TL03'!$B$3=K$3,SUMIF('TL03'!$C$10:$C$224,$C190,'TL03'!$J$10:$J$224),0),
IF('TL03'!$B$229=K$3,SUMIF('TL03'!$C$238:$C$451,$C190,'TL03'!$J$238:$J$451),0),
IF('TL04'!$B$3=K$3,SUMIF('TL04'!$C$10:$C$224,$C190,'TL04'!$J$10:$J$224),0),
IF('TL04'!$B$229=K$3,SUMIF('TL04'!$C$238:$C$451,$C190,'TL04'!$J$238:$J$451),0),
IF('TL05'!$B$3=K$3,SUMIF('TL05'!$C$10:$C$224,$C190,'TL05'!$J$10:$J$224),0),
IF('TL05'!$B$229=K$3,SUMIF('TL05'!$C$238:$C$451,$C190,'TL05'!$J$238:$J$451),0),
IF('TL06'!$B$3=K$3,SUMIF('TL06'!$C$10:$C$224,$C190,'TL06'!$J$10:$J$224),0),
IF('TL06'!$B$229=K$3,SUMIF('TL06'!$C$238:$C$451,$C190,'TL06'!$J$238:$J$451),0),
IF('TL07'!$B$3=K$3,SUMIF('TL07'!$C$10:$C$224,$C190,'TL07'!$J$10:$J$224),0),
IF('TL07'!$B$229=K$3,SUMIF('TL07'!$C$238:$C$451,$C190,'TL07'!$J$238:$J$451),0),
IF('TL08'!$B$3=K$3,SUMIF('TL08'!$C$10:$C$224,$C190,'TL08'!$J$10:$J$224),0),
IF('TL08'!$B$229=K$3,SUMIF('TL08'!$C$238:$C$451,$C190,'TL08'!$J$238:$J$451),0),
IF('TL09'!$B$3=K$3,SUMIF('TL09'!$C$10:$C$224,$C190,'TL09'!$J$10:$J$224),0),
IF('TL09'!$B$229=K$3,SUMIF('TL09'!$C$238:$C$451,$C190,'TL09'!$J$238:$J$451),0),
IF('TL10'!$B$3=K$3,SUMIF('TL10'!$C$10:$C$224,$C190,'TL10'!$J$10:$J$224),0),
IF('TL10'!$B$229=K$3,SUMIF('TL10'!$C$238:$C$451,$C190,'TL10'!$J$238:$J$451),0),
IF('TL11'!$B$3=K$3,SUMIF('TL11'!$C$10:$C$224,$C190,'TL11'!$J$10:$J$224),0),
IF('TL11'!$B$229=K$3,SUMIF('TL11'!$C$238:$C$451,$C190,'TL11'!$J$238:$J$451),0),
IF('TL12'!$B$3=K$3,SUMIF('TL12'!$C$10:$C$224,$C190,'TL12'!$J$10:$J$224),0),
IF('TL12'!$B$229=K$3,SUMIF('TL12'!$C$238:$C$451,$C190,'TL12'!$J$238:$J$451),0),
IF('TL13'!$B$3=K$3,SUMIF('TL13'!$C$10:$C$224,$C190,'TL13'!$J$10:$J$224),0),
IF('TL13'!$B$229=K$3,SUMIF('TL13'!$C$238:$C$451,$C190,'TL13'!$J$238:$J$451),0),
IF('TL14'!$B$3=K$3,SUMIF('TL14'!$C$10:$C$224,$C190,'TL14'!$J$10:$J$224),0),
IF('TL14'!$B$229=K$3,SUMIF('TL14'!$C$238:$C$451,$C190,'TL14'!$J$238:$J$451),0),
IF('TL15'!$B$3=K$3,SUMIF('TL15'!$C$10:$C$224,$C190,'TL15'!$J$10:$J$224),0),
IF('TL15'!$B$229=K$3,SUMIF('TL15'!$C$238:$C$451,$C190,'TL15'!$J$238:$J$451),0),
IF('TL16'!$B$3=K$3,SUMIF('TL16'!$C$10:$C$224,$C190,'TL16'!$J$10:$J$224),0),
IF('TL16'!$B$229=K$3,SUMIF('TL16'!$C$238:$C$451,$C190,'TL16'!$J$238:$J$451),0),
IF('TL17'!$B$3=K$3,SUMIF('TL17'!$C$10:$C$224,$C190,'TL17'!$J$10:$J$224),0),
IF('TL17'!$B$229=K$3,SUMIF('TL17'!$C$238:$C$451,$C190,'TL17'!$J$238:$J$451),0),
IF('TL18'!$B$3=K$3,SUMIF('TL18'!$C$10:$C$224,$C190,'TL18'!$J$10:$J$224),0),
IF('TL18'!$B$229=K$3,SUMIF('TL18'!$C$238:$C$451,$C190,'TL18'!$J$238:$J$451),0),
IF('TL19'!$B$3=K$3,SUMIF('TL19'!$C$10:$C$224,$C190,'TL19'!$J$10:$J$224),0),
IF('TL19'!$B$229=K$3,SUMIF('TL19'!$C$238:$C$451,$C190,'TL19'!$J$238:$J$451),0)
),0)</f>
        <v>0</v>
      </c>
      <c r="L190" s="9">
        <f>IFERROR(SUM(
IF('TL01'!$B$3=L$3,SUMIF('TL01'!$C$10:$C$224,$C190,'TL01'!$J$10:$J$224),0),
IF('TL01'!$B$229=L$3,SUMIF('TL01'!$C$238:$C$451,$C190,'TL01'!$J$238:$J$451),0),
IF('TL02'!$B$3=L$3,SUMIF('TL02'!$C$10:$C$224,$C190,'TL02'!$J$10:$J$224),0),
IF('TL02'!$B$229=L$3,SUMIF('TL02'!$C$238:$C$451,$C190,'TL02'!$J$238:$J$451),0),
IF('TL03'!$B$3=L$3,SUMIF('TL03'!$C$10:$C$224,$C190,'TL03'!$J$10:$J$224),0),
IF('TL03'!$B$229=L$3,SUMIF('TL03'!$C$238:$C$451,$C190,'TL03'!$J$238:$J$451),0),
IF('TL04'!$B$3=L$3,SUMIF('TL04'!$C$10:$C$224,$C190,'TL04'!$J$10:$J$224),0),
IF('TL04'!$B$229=L$3,SUMIF('TL04'!$C$238:$C$451,$C190,'TL04'!$J$238:$J$451),0),
IF('TL05'!$B$3=L$3,SUMIF('TL05'!$C$10:$C$224,$C190,'TL05'!$J$10:$J$224),0),
IF('TL05'!$B$229=L$3,SUMIF('TL05'!$C$238:$C$451,$C190,'TL05'!$J$238:$J$451),0),
IF('TL06'!$B$3=L$3,SUMIF('TL06'!$C$10:$C$224,$C190,'TL06'!$J$10:$J$224),0),
IF('TL06'!$B$229=L$3,SUMIF('TL06'!$C$238:$C$451,$C190,'TL06'!$J$238:$J$451),0),
IF('TL07'!$B$3=L$3,SUMIF('TL07'!$C$10:$C$224,$C190,'TL07'!$J$10:$J$224),0),
IF('TL07'!$B$229=L$3,SUMIF('TL07'!$C$238:$C$451,$C190,'TL07'!$J$238:$J$451),0),
IF('TL08'!$B$3=L$3,SUMIF('TL08'!$C$10:$C$224,$C190,'TL08'!$J$10:$J$224),0),
IF('TL08'!$B$229=L$3,SUMIF('TL08'!$C$238:$C$451,$C190,'TL08'!$J$238:$J$451),0),
IF('TL09'!$B$3=L$3,SUMIF('TL09'!$C$10:$C$224,$C190,'TL09'!$J$10:$J$224),0),
IF('TL09'!$B$229=L$3,SUMIF('TL09'!$C$238:$C$451,$C190,'TL09'!$J$238:$J$451),0),
IF('TL10'!$B$3=L$3,SUMIF('TL10'!$C$10:$C$224,$C190,'TL10'!$J$10:$J$224),0),
IF('TL10'!$B$229=L$3,SUMIF('TL10'!$C$238:$C$451,$C190,'TL10'!$J$238:$J$451),0),
IF('TL11'!$B$3=L$3,SUMIF('TL11'!$C$10:$C$224,$C190,'TL11'!$J$10:$J$224),0),
IF('TL11'!$B$229=L$3,SUMIF('TL11'!$C$238:$C$451,$C190,'TL11'!$J$238:$J$451),0),
IF('TL12'!$B$3=L$3,SUMIF('TL12'!$C$10:$C$224,$C190,'TL12'!$J$10:$J$224),0),
IF('TL12'!$B$229=L$3,SUMIF('TL12'!$C$238:$C$451,$C190,'TL12'!$J$238:$J$451),0),
IF('TL13'!$B$3=L$3,SUMIF('TL13'!$C$10:$C$224,$C190,'TL13'!$J$10:$J$224),0),
IF('TL13'!$B$229=L$3,SUMIF('TL13'!$C$238:$C$451,$C190,'TL13'!$J$238:$J$451),0),
IF('TL14'!$B$3=L$3,SUMIF('TL14'!$C$10:$C$224,$C190,'TL14'!$J$10:$J$224),0),
IF('TL14'!$B$229=L$3,SUMIF('TL14'!$C$238:$C$451,$C190,'TL14'!$J$238:$J$451),0),
IF('TL15'!$B$3=L$3,SUMIF('TL15'!$C$10:$C$224,$C190,'TL15'!$J$10:$J$224),0),
IF('TL15'!$B$229=L$3,SUMIF('TL15'!$C$238:$C$451,$C190,'TL15'!$J$238:$J$451),0),
IF('TL16'!$B$3=L$3,SUMIF('TL16'!$C$10:$C$224,$C190,'TL16'!$J$10:$J$224),0),
IF('TL16'!$B$229=L$3,SUMIF('TL16'!$C$238:$C$451,$C190,'TL16'!$J$238:$J$451),0),
IF('TL17'!$B$3=L$3,SUMIF('TL17'!$C$10:$C$224,$C190,'TL17'!$J$10:$J$224),0),
IF('TL17'!$B$229=L$3,SUMIF('TL17'!$C$238:$C$451,$C190,'TL17'!$J$238:$J$451),0),
IF('TL18'!$B$3=L$3,SUMIF('TL18'!$C$10:$C$224,$C190,'TL18'!$J$10:$J$224),0),
IF('TL18'!$B$229=L$3,SUMIF('TL18'!$C$238:$C$451,$C190,'TL18'!$J$238:$J$451),0),
IF('TL19'!$B$3=L$3,SUMIF('TL19'!$C$10:$C$224,$C190,'TL19'!$J$10:$J$224),0),
IF('TL19'!$B$229=L$3,SUMIF('TL19'!$C$238:$C$451,$C190,'TL19'!$J$238:$J$451),0)
),0)</f>
        <v>0</v>
      </c>
      <c r="M190" s="9">
        <f>IFERROR(SUM(
IF('TL01'!$B$3=M$3,SUMIF('TL01'!$C$10:$C$224,$C190,'TL01'!$J$10:$J$224),0),
IF('TL01'!$B$229=M$3,SUMIF('TL01'!$C$238:$C$451,$C190,'TL01'!$J$238:$J$451),0),
IF('TL02'!$B$3=M$3,SUMIF('TL02'!$C$10:$C$224,$C190,'TL02'!$J$10:$J$224),0),
IF('TL02'!$B$229=M$3,SUMIF('TL02'!$C$238:$C$451,$C190,'TL02'!$J$238:$J$451),0),
IF('TL03'!$B$3=M$3,SUMIF('TL03'!$C$10:$C$224,$C190,'TL03'!$J$10:$J$224),0),
IF('TL03'!$B$229=M$3,SUMIF('TL03'!$C$238:$C$451,$C190,'TL03'!$J$238:$J$451),0),
IF('TL04'!$B$3=M$3,SUMIF('TL04'!$C$10:$C$224,$C190,'TL04'!$J$10:$J$224),0),
IF('TL04'!$B$229=M$3,SUMIF('TL04'!$C$238:$C$451,$C190,'TL04'!$J$238:$J$451),0),
IF('TL05'!$B$3=M$3,SUMIF('TL05'!$C$10:$C$224,$C190,'TL05'!$J$10:$J$224),0),
IF('TL05'!$B$229=M$3,SUMIF('TL05'!$C$238:$C$451,$C190,'TL05'!$J$238:$J$451),0),
IF('TL06'!$B$3=M$3,SUMIF('TL06'!$C$10:$C$224,$C190,'TL06'!$J$10:$J$224),0),
IF('TL06'!$B$229=M$3,SUMIF('TL06'!$C$238:$C$451,$C190,'TL06'!$J$238:$J$451),0),
IF('TL07'!$B$3=M$3,SUMIF('TL07'!$C$10:$C$224,$C190,'TL07'!$J$10:$J$224),0),
IF('TL07'!$B$229=M$3,SUMIF('TL07'!$C$238:$C$451,$C190,'TL07'!$J$238:$J$451),0),
IF('TL08'!$B$3=M$3,SUMIF('TL08'!$C$10:$C$224,$C190,'TL08'!$J$10:$J$224),0),
IF('TL08'!$B$229=M$3,SUMIF('TL08'!$C$238:$C$451,$C190,'TL08'!$J$238:$J$451),0),
IF('TL09'!$B$3=M$3,SUMIF('TL09'!$C$10:$C$224,$C190,'TL09'!$J$10:$J$224),0),
IF('TL09'!$B$229=M$3,SUMIF('TL09'!$C$238:$C$451,$C190,'TL09'!$J$238:$J$451),0),
IF('TL10'!$B$3=M$3,SUMIF('TL10'!$C$10:$C$224,$C190,'TL10'!$J$10:$J$224),0),
IF('TL10'!$B$229=M$3,SUMIF('TL10'!$C$238:$C$451,$C190,'TL10'!$J$238:$J$451),0),
IF('TL11'!$B$3=M$3,SUMIF('TL11'!$C$10:$C$224,$C190,'TL11'!$J$10:$J$224),0),
IF('TL11'!$B$229=M$3,SUMIF('TL11'!$C$238:$C$451,$C190,'TL11'!$J$238:$J$451),0),
IF('TL12'!$B$3=M$3,SUMIF('TL12'!$C$10:$C$224,$C190,'TL12'!$J$10:$J$224),0),
IF('TL12'!$B$229=M$3,SUMIF('TL12'!$C$238:$C$451,$C190,'TL12'!$J$238:$J$451),0),
IF('TL13'!$B$3=M$3,SUMIF('TL13'!$C$10:$C$224,$C190,'TL13'!$J$10:$J$224),0),
IF('TL13'!$B$229=M$3,SUMIF('TL13'!$C$238:$C$451,$C190,'TL13'!$J$238:$J$451),0),
IF('TL14'!$B$3=M$3,SUMIF('TL14'!$C$10:$C$224,$C190,'TL14'!$J$10:$J$224),0),
IF('TL14'!$B$229=M$3,SUMIF('TL14'!$C$238:$C$451,$C190,'TL14'!$J$238:$J$451),0),
IF('TL15'!$B$3=M$3,SUMIF('TL15'!$C$10:$C$224,$C190,'TL15'!$J$10:$J$224),0),
IF('TL15'!$B$229=M$3,SUMIF('TL15'!$C$238:$C$451,$C190,'TL15'!$J$238:$J$451),0),
IF('TL16'!$B$3=M$3,SUMIF('TL16'!$C$10:$C$224,$C190,'TL16'!$J$10:$J$224),0),
IF('TL16'!$B$229=M$3,SUMIF('TL16'!$C$238:$C$451,$C190,'TL16'!$J$238:$J$451),0),
IF('TL17'!$B$3=M$3,SUMIF('TL17'!$C$10:$C$224,$C190,'TL17'!$J$10:$J$224),0),
IF('TL17'!$B$229=M$3,SUMIF('TL17'!$C$238:$C$451,$C190,'TL17'!$J$238:$J$451),0),
IF('TL18'!$B$3=M$3,SUMIF('TL18'!$C$10:$C$224,$C190,'TL18'!$J$10:$J$224),0),
IF('TL18'!$B$229=M$3,SUMIF('TL18'!$C$238:$C$451,$C190,'TL18'!$J$238:$J$451),0),
IF('TL19'!$B$3=M$3,SUMIF('TL19'!$C$10:$C$224,$C190,'TL19'!$J$10:$J$224),0),
IF('TL19'!$B$229=M$3,SUMIF('TL19'!$C$238:$C$451,$C190,'TL19'!$J$238:$J$451),0)
),0)</f>
        <v>0</v>
      </c>
      <c r="N190" s="9">
        <f>IFERROR(SUM(
IF('TL01'!$B$3=N$3,SUMIF('TL01'!$C$10:$C$224,$C190,'TL01'!$J$10:$J$224),0),
IF('TL01'!$B$229=N$3,SUMIF('TL01'!$C$238:$C$451,$C190,'TL01'!$J$238:$J$451),0),
IF('TL02'!$B$3=N$3,SUMIF('TL02'!$C$10:$C$224,$C190,'TL02'!$J$10:$J$224),0),
IF('TL02'!$B$229=N$3,SUMIF('TL02'!$C$238:$C$451,$C190,'TL02'!$J$238:$J$451),0),
IF('TL03'!$B$3=N$3,SUMIF('TL03'!$C$10:$C$224,$C190,'TL03'!$J$10:$J$224),0),
IF('TL03'!$B$229=N$3,SUMIF('TL03'!$C$238:$C$451,$C190,'TL03'!$J$238:$J$451),0),
IF('TL04'!$B$3=N$3,SUMIF('TL04'!$C$10:$C$224,$C190,'TL04'!$J$10:$J$224),0),
IF('TL04'!$B$229=N$3,SUMIF('TL04'!$C$238:$C$451,$C190,'TL04'!$J$238:$J$451),0),
IF('TL05'!$B$3=N$3,SUMIF('TL05'!$C$10:$C$224,$C190,'TL05'!$J$10:$J$224),0),
IF('TL05'!$B$229=N$3,SUMIF('TL05'!$C$238:$C$451,$C190,'TL05'!$J$238:$J$451),0),
IF('TL06'!$B$3=N$3,SUMIF('TL06'!$C$10:$C$224,$C190,'TL06'!$J$10:$J$224),0),
IF('TL06'!$B$229=N$3,SUMIF('TL06'!$C$238:$C$451,$C190,'TL06'!$J$238:$J$451),0),
IF('TL07'!$B$3=N$3,SUMIF('TL07'!$C$10:$C$224,$C190,'TL07'!$J$10:$J$224),0),
IF('TL07'!$B$229=N$3,SUMIF('TL07'!$C$238:$C$451,$C190,'TL07'!$J$238:$J$451),0),
IF('TL08'!$B$3=N$3,SUMIF('TL08'!$C$10:$C$224,$C190,'TL08'!$J$10:$J$224),0),
IF('TL08'!$B$229=N$3,SUMIF('TL08'!$C$238:$C$451,$C190,'TL08'!$J$238:$J$451),0),
IF('TL09'!$B$3=N$3,SUMIF('TL09'!$C$10:$C$224,$C190,'TL09'!$J$10:$J$224),0),
IF('TL09'!$B$229=N$3,SUMIF('TL09'!$C$238:$C$451,$C190,'TL09'!$J$238:$J$451),0),
IF('TL10'!$B$3=N$3,SUMIF('TL10'!$C$10:$C$224,$C190,'TL10'!$J$10:$J$224),0),
IF('TL10'!$B$229=N$3,SUMIF('TL10'!$C$238:$C$451,$C190,'TL10'!$J$238:$J$451),0),
IF('TL11'!$B$3=N$3,SUMIF('TL11'!$C$10:$C$224,$C190,'TL11'!$J$10:$J$224),0),
IF('TL11'!$B$229=N$3,SUMIF('TL11'!$C$238:$C$451,$C190,'TL11'!$J$238:$J$451),0),
IF('TL12'!$B$3=N$3,SUMIF('TL12'!$C$10:$C$224,$C190,'TL12'!$J$10:$J$224),0),
IF('TL12'!$B$229=N$3,SUMIF('TL12'!$C$238:$C$451,$C190,'TL12'!$J$238:$J$451),0),
IF('TL13'!$B$3=N$3,SUMIF('TL13'!$C$10:$C$224,$C190,'TL13'!$J$10:$J$224),0),
IF('TL13'!$B$229=N$3,SUMIF('TL13'!$C$238:$C$451,$C190,'TL13'!$J$238:$J$451),0),
IF('TL14'!$B$3=N$3,SUMIF('TL14'!$C$10:$C$224,$C190,'TL14'!$J$10:$J$224),0),
IF('TL14'!$B$229=N$3,SUMIF('TL14'!$C$238:$C$451,$C190,'TL14'!$J$238:$J$451),0),
IF('TL15'!$B$3=N$3,SUMIF('TL15'!$C$10:$C$224,$C190,'TL15'!$J$10:$J$224),0),
IF('TL15'!$B$229=N$3,SUMIF('TL15'!$C$238:$C$451,$C190,'TL15'!$J$238:$J$451),0),
IF('TL16'!$B$3=N$3,SUMIF('TL16'!$C$10:$C$224,$C190,'TL16'!$J$10:$J$224),0),
IF('TL16'!$B$229=N$3,SUMIF('TL16'!$C$238:$C$451,$C190,'TL16'!$J$238:$J$451),0),
IF('TL17'!$B$3=N$3,SUMIF('TL17'!$C$10:$C$224,$C190,'TL17'!$J$10:$J$224),0),
IF('TL17'!$B$229=N$3,SUMIF('TL17'!$C$238:$C$451,$C190,'TL17'!$J$238:$J$451),0),
IF('TL18'!$B$3=N$3,SUMIF('TL18'!$C$10:$C$224,$C190,'TL18'!$J$10:$J$224),0),
IF('TL18'!$B$229=N$3,SUMIF('TL18'!$C$238:$C$451,$C190,'TL18'!$J$238:$J$451),0),
IF('TL19'!$B$3=N$3,SUMIF('TL19'!$C$10:$C$224,$C190,'TL19'!$J$10:$J$224),0),
IF('TL19'!$B$229=N$3,SUMIF('TL19'!$C$238:$C$451,$C190,'TL19'!$J$238:$J$451),0)
),0)</f>
        <v>0</v>
      </c>
      <c r="O190" s="9">
        <f>IFERROR(SUM(
IF('TL01'!$B$3=O$3,SUMIF('TL01'!$C$10:$C$224,$C190,'TL01'!$J$10:$J$224),0),
IF('TL01'!$B$229=O$3,SUMIF('TL01'!$C$238:$C$451,$C190,'TL01'!$J$238:$J$451),0),
IF('TL02'!$B$3=O$3,SUMIF('TL02'!$C$10:$C$224,$C190,'TL02'!$J$10:$J$224),0),
IF('TL02'!$B$229=O$3,SUMIF('TL02'!$C$238:$C$451,$C190,'TL02'!$J$238:$J$451),0),
IF('TL03'!$B$3=O$3,SUMIF('TL03'!$C$10:$C$224,$C190,'TL03'!$J$10:$J$224),0),
IF('TL03'!$B$229=O$3,SUMIF('TL03'!$C$238:$C$451,$C190,'TL03'!$J$238:$J$451),0),
IF('TL04'!$B$3=O$3,SUMIF('TL04'!$C$10:$C$224,$C190,'TL04'!$J$10:$J$224),0),
IF('TL04'!$B$229=O$3,SUMIF('TL04'!$C$238:$C$451,$C190,'TL04'!$J$238:$J$451),0),
IF('TL05'!$B$3=O$3,SUMIF('TL05'!$C$10:$C$224,$C190,'TL05'!$J$10:$J$224),0),
IF('TL05'!$B$229=O$3,SUMIF('TL05'!$C$238:$C$451,$C190,'TL05'!$J$238:$J$451),0),
IF('TL06'!$B$3=O$3,SUMIF('TL06'!$C$10:$C$224,$C190,'TL06'!$J$10:$J$224),0),
IF('TL06'!$B$229=O$3,SUMIF('TL06'!$C$238:$C$451,$C190,'TL06'!$J$238:$J$451),0),
IF('TL07'!$B$3=O$3,SUMIF('TL07'!$C$10:$C$224,$C190,'TL07'!$J$10:$J$224),0),
IF('TL07'!$B$229=O$3,SUMIF('TL07'!$C$238:$C$451,$C190,'TL07'!$J$238:$J$451),0),
IF('TL08'!$B$3=O$3,SUMIF('TL08'!$C$10:$C$224,$C190,'TL08'!$J$10:$J$224),0),
IF('TL08'!$B$229=O$3,SUMIF('TL08'!$C$238:$C$451,$C190,'TL08'!$J$238:$J$451),0),
IF('TL09'!$B$3=O$3,SUMIF('TL09'!$C$10:$C$224,$C190,'TL09'!$J$10:$J$224),0),
IF('TL09'!$B$229=O$3,SUMIF('TL09'!$C$238:$C$451,$C190,'TL09'!$J$238:$J$451),0),
IF('TL10'!$B$3=O$3,SUMIF('TL10'!$C$10:$C$224,$C190,'TL10'!$J$10:$J$224),0),
IF('TL10'!$B$229=O$3,SUMIF('TL10'!$C$238:$C$451,$C190,'TL10'!$J$238:$J$451),0),
IF('TL11'!$B$3=O$3,SUMIF('TL11'!$C$10:$C$224,$C190,'TL11'!$J$10:$J$224),0),
IF('TL11'!$B$229=O$3,SUMIF('TL11'!$C$238:$C$451,$C190,'TL11'!$J$238:$J$451),0),
IF('TL12'!$B$3=O$3,SUMIF('TL12'!$C$10:$C$224,$C190,'TL12'!$J$10:$J$224),0),
IF('TL12'!$B$229=O$3,SUMIF('TL12'!$C$238:$C$451,$C190,'TL12'!$J$238:$J$451),0),
IF('TL13'!$B$3=O$3,SUMIF('TL13'!$C$10:$C$224,$C190,'TL13'!$J$10:$J$224),0),
IF('TL13'!$B$229=O$3,SUMIF('TL13'!$C$238:$C$451,$C190,'TL13'!$J$238:$J$451),0),
IF('TL14'!$B$3=O$3,SUMIF('TL14'!$C$10:$C$224,$C190,'TL14'!$J$10:$J$224),0),
IF('TL14'!$B$229=O$3,SUMIF('TL14'!$C$238:$C$451,$C190,'TL14'!$J$238:$J$451),0),
IF('TL15'!$B$3=O$3,SUMIF('TL15'!$C$10:$C$224,$C190,'TL15'!$J$10:$J$224),0),
IF('TL15'!$B$229=O$3,SUMIF('TL15'!$C$238:$C$451,$C190,'TL15'!$J$238:$J$451),0),
IF('TL16'!$B$3=O$3,SUMIF('TL16'!$C$10:$C$224,$C190,'TL16'!$J$10:$J$224),0),
IF('TL16'!$B$229=O$3,SUMIF('TL16'!$C$238:$C$451,$C190,'TL16'!$J$238:$J$451),0),
IF('TL17'!$B$3=O$3,SUMIF('TL17'!$C$10:$C$224,$C190,'TL17'!$J$10:$J$224),0),
IF('TL17'!$B$229=O$3,SUMIF('TL17'!$C$238:$C$451,$C190,'TL17'!$J$238:$J$451),0),
IF('TL18'!$B$3=O$3,SUMIF('TL18'!$C$10:$C$224,$C190,'TL18'!$J$10:$J$224),0),
IF('TL18'!$B$229=O$3,SUMIF('TL18'!$C$238:$C$451,$C190,'TL18'!$J$238:$J$451),0),
IF('TL19'!$B$3=O$3,SUMIF('TL19'!$C$10:$C$224,$C190,'TL19'!$J$10:$J$224),0),
IF('TL19'!$B$229=O$3,SUMIF('TL19'!$C$238:$C$451,$C190,'TL19'!$J$238:$J$451),0)
),0)</f>
        <v>0</v>
      </c>
      <c r="P190" s="9">
        <f>IFERROR(SUM(
IF('TL01'!$B$3=P$3,SUMIF('TL01'!$C$10:$C$224,$C190,'TL01'!$J$10:$J$224),0),
IF('TL01'!$B$229=P$3,SUMIF('TL01'!$C$238:$C$451,$C190,'TL01'!$J$238:$J$451),0),
IF('TL02'!$B$3=P$3,SUMIF('TL02'!$C$10:$C$224,$C190,'TL02'!$J$10:$J$224),0),
IF('TL02'!$B$229=P$3,SUMIF('TL02'!$C$238:$C$451,$C190,'TL02'!$J$238:$J$451),0),
IF('TL03'!$B$3=P$3,SUMIF('TL03'!$C$10:$C$224,$C190,'TL03'!$J$10:$J$224),0),
IF('TL03'!$B$229=P$3,SUMIF('TL03'!$C$238:$C$451,$C190,'TL03'!$J$238:$J$451),0),
IF('TL04'!$B$3=P$3,SUMIF('TL04'!$C$10:$C$224,$C190,'TL04'!$J$10:$J$224),0),
IF('TL04'!$B$229=P$3,SUMIF('TL04'!$C$238:$C$451,$C190,'TL04'!$J$238:$J$451),0),
IF('TL05'!$B$3=P$3,SUMIF('TL05'!$C$10:$C$224,$C190,'TL05'!$J$10:$J$224),0),
IF('TL05'!$B$229=P$3,SUMIF('TL05'!$C$238:$C$451,$C190,'TL05'!$J$238:$J$451),0),
IF('TL06'!$B$3=P$3,SUMIF('TL06'!$C$10:$C$224,$C190,'TL06'!$J$10:$J$224),0),
IF('TL06'!$B$229=P$3,SUMIF('TL06'!$C$238:$C$451,$C190,'TL06'!$J$238:$J$451),0),
IF('TL07'!$B$3=P$3,SUMIF('TL07'!$C$10:$C$224,$C190,'TL07'!$J$10:$J$224),0),
IF('TL07'!$B$229=P$3,SUMIF('TL07'!$C$238:$C$451,$C190,'TL07'!$J$238:$J$451),0),
IF('TL08'!$B$3=P$3,SUMIF('TL08'!$C$10:$C$224,$C190,'TL08'!$J$10:$J$224),0),
IF('TL08'!$B$229=P$3,SUMIF('TL08'!$C$238:$C$451,$C190,'TL08'!$J$238:$J$451),0),
IF('TL09'!$B$3=P$3,SUMIF('TL09'!$C$10:$C$224,$C190,'TL09'!$J$10:$J$224),0),
IF('TL09'!$B$229=P$3,SUMIF('TL09'!$C$238:$C$451,$C190,'TL09'!$J$238:$J$451),0),
IF('TL10'!$B$3=P$3,SUMIF('TL10'!$C$10:$C$224,$C190,'TL10'!$J$10:$J$224),0),
IF('TL10'!$B$229=P$3,SUMIF('TL10'!$C$238:$C$451,$C190,'TL10'!$J$238:$J$451),0),
IF('TL11'!$B$3=P$3,SUMIF('TL11'!$C$10:$C$224,$C190,'TL11'!$J$10:$J$224),0),
IF('TL11'!$B$229=P$3,SUMIF('TL11'!$C$238:$C$451,$C190,'TL11'!$J$238:$J$451),0),
IF('TL12'!$B$3=P$3,SUMIF('TL12'!$C$10:$C$224,$C190,'TL12'!$J$10:$J$224),0),
IF('TL12'!$B$229=P$3,SUMIF('TL12'!$C$238:$C$451,$C190,'TL12'!$J$238:$J$451),0),
IF('TL13'!$B$3=P$3,SUMIF('TL13'!$C$10:$C$224,$C190,'TL13'!$J$10:$J$224),0),
IF('TL13'!$B$229=P$3,SUMIF('TL13'!$C$238:$C$451,$C190,'TL13'!$J$238:$J$451),0),
IF('TL14'!$B$3=P$3,SUMIF('TL14'!$C$10:$C$224,$C190,'TL14'!$J$10:$J$224),0),
IF('TL14'!$B$229=P$3,SUMIF('TL14'!$C$238:$C$451,$C190,'TL14'!$J$238:$J$451),0),
IF('TL15'!$B$3=P$3,SUMIF('TL15'!$C$10:$C$224,$C190,'TL15'!$J$10:$J$224),0),
IF('TL15'!$B$229=P$3,SUMIF('TL15'!$C$238:$C$451,$C190,'TL15'!$J$238:$J$451),0),
IF('TL16'!$B$3=P$3,SUMIF('TL16'!$C$10:$C$224,$C190,'TL16'!$J$10:$J$224),0),
IF('TL16'!$B$229=P$3,SUMIF('TL16'!$C$238:$C$451,$C190,'TL16'!$J$238:$J$451),0),
IF('TL17'!$B$3=P$3,SUMIF('TL17'!$C$10:$C$224,$C190,'TL17'!$J$10:$J$224),0),
IF('TL17'!$B$229=P$3,SUMIF('TL17'!$C$238:$C$451,$C190,'TL17'!$J$238:$J$451),0),
IF('TL18'!$B$3=P$3,SUMIF('TL18'!$C$10:$C$224,$C190,'TL18'!$J$10:$J$224),0),
IF('TL18'!$B$229=P$3,SUMIF('TL18'!$C$238:$C$451,$C190,'TL18'!$J$238:$J$451),0),
IF('TL19'!$B$3=P$3,SUMIF('TL19'!$C$10:$C$224,$C190,'TL19'!$J$10:$J$224),0),
IF('TL19'!$B$229=P$3,SUMIF('TL19'!$C$238:$C$451,$C190,'TL19'!$J$238:$J$451),0)
),0)</f>
        <v>0</v>
      </c>
      <c r="Q190" s="9">
        <f>IFERROR(SUM(
IF('TL01'!$B$3=Q$3,SUMIF('TL01'!$C$10:$C$224,$C190,'TL01'!$J$10:$J$224),0),
IF('TL01'!$B$229=Q$3,SUMIF('TL01'!$C$238:$C$451,$C190,'TL01'!$J$238:$J$451),0),
IF('TL02'!$B$3=Q$3,SUMIF('TL02'!$C$10:$C$224,$C190,'TL02'!$J$10:$J$224),0),
IF('TL02'!$B$229=Q$3,SUMIF('TL02'!$C$238:$C$451,$C190,'TL02'!$J$238:$J$451),0),
IF('TL03'!$B$3=Q$3,SUMIF('TL03'!$C$10:$C$224,$C190,'TL03'!$J$10:$J$224),0),
IF('TL03'!$B$229=Q$3,SUMIF('TL03'!$C$238:$C$451,$C190,'TL03'!$J$238:$J$451),0),
IF('TL04'!$B$3=Q$3,SUMIF('TL04'!$C$10:$C$224,$C190,'TL04'!$J$10:$J$224),0),
IF('TL04'!$B$229=Q$3,SUMIF('TL04'!$C$238:$C$451,$C190,'TL04'!$J$238:$J$451),0),
IF('TL05'!$B$3=Q$3,SUMIF('TL05'!$C$10:$C$224,$C190,'TL05'!$J$10:$J$224),0),
IF('TL05'!$B$229=Q$3,SUMIF('TL05'!$C$238:$C$451,$C190,'TL05'!$J$238:$J$451),0),
IF('TL06'!$B$3=Q$3,SUMIF('TL06'!$C$10:$C$224,$C190,'TL06'!$J$10:$J$224),0),
IF('TL06'!$B$229=Q$3,SUMIF('TL06'!$C$238:$C$451,$C190,'TL06'!$J$238:$J$451),0),
IF('TL07'!$B$3=Q$3,SUMIF('TL07'!$C$10:$C$224,$C190,'TL07'!$J$10:$J$224),0),
IF('TL07'!$B$229=Q$3,SUMIF('TL07'!$C$238:$C$451,$C190,'TL07'!$J$238:$J$451),0),
IF('TL08'!$B$3=Q$3,SUMIF('TL08'!$C$10:$C$224,$C190,'TL08'!$J$10:$J$224),0),
IF('TL08'!$B$229=Q$3,SUMIF('TL08'!$C$238:$C$451,$C190,'TL08'!$J$238:$J$451),0),
IF('TL09'!$B$3=Q$3,SUMIF('TL09'!$C$10:$C$224,$C190,'TL09'!$J$10:$J$224),0),
IF('TL09'!$B$229=Q$3,SUMIF('TL09'!$C$238:$C$451,$C190,'TL09'!$J$238:$J$451),0),
IF('TL10'!$B$3=Q$3,SUMIF('TL10'!$C$10:$C$224,$C190,'TL10'!$J$10:$J$224),0),
IF('TL10'!$B$229=Q$3,SUMIF('TL10'!$C$238:$C$451,$C190,'TL10'!$J$238:$J$451),0),
IF('TL11'!$B$3=Q$3,SUMIF('TL11'!$C$10:$C$224,$C190,'TL11'!$J$10:$J$224),0),
IF('TL11'!$B$229=Q$3,SUMIF('TL11'!$C$238:$C$451,$C190,'TL11'!$J$238:$J$451),0),
IF('TL12'!$B$3=Q$3,SUMIF('TL12'!$C$10:$C$224,$C190,'TL12'!$J$10:$J$224),0),
IF('TL12'!$B$229=Q$3,SUMIF('TL12'!$C$238:$C$451,$C190,'TL12'!$J$238:$J$451),0),
IF('TL13'!$B$3=Q$3,SUMIF('TL13'!$C$10:$C$224,$C190,'TL13'!$J$10:$J$224),0),
IF('TL13'!$B$229=Q$3,SUMIF('TL13'!$C$238:$C$451,$C190,'TL13'!$J$238:$J$451),0),
IF('TL14'!$B$3=Q$3,SUMIF('TL14'!$C$10:$C$224,$C190,'TL14'!$J$10:$J$224),0),
IF('TL14'!$B$229=Q$3,SUMIF('TL14'!$C$238:$C$451,$C190,'TL14'!$J$238:$J$451),0),
IF('TL15'!$B$3=Q$3,SUMIF('TL15'!$C$10:$C$224,$C190,'TL15'!$J$10:$J$224),0),
IF('TL15'!$B$229=Q$3,SUMIF('TL15'!$C$238:$C$451,$C190,'TL15'!$J$238:$J$451),0),
IF('TL16'!$B$3=Q$3,SUMIF('TL16'!$C$10:$C$224,$C190,'TL16'!$J$10:$J$224),0),
IF('TL16'!$B$229=Q$3,SUMIF('TL16'!$C$238:$C$451,$C190,'TL16'!$J$238:$J$451),0),
IF('TL17'!$B$3=Q$3,SUMIF('TL17'!$C$10:$C$224,$C190,'TL17'!$J$10:$J$224),0),
IF('TL17'!$B$229=Q$3,SUMIF('TL17'!$C$238:$C$451,$C190,'TL17'!$J$238:$J$451),0),
IF('TL18'!$B$3=Q$3,SUMIF('TL18'!$C$10:$C$224,$C190,'TL18'!$J$10:$J$224),0),
IF('TL18'!$B$229=Q$3,SUMIF('TL18'!$C$238:$C$451,$C190,'TL18'!$J$238:$J$451),0),
IF('TL19'!$B$3=Q$3,SUMIF('TL19'!$C$10:$C$224,$C190,'TL19'!$J$10:$J$224),0),
IF('TL19'!$B$229=Q$3,SUMIF('TL19'!$C$238:$C$451,$C190,'TL19'!$J$238:$J$451),0)
),0)</f>
        <v>0</v>
      </c>
      <c r="R190" s="9">
        <f>IFERROR(
SUM(
SUMIF('TL01'!C:C,C190,'TL01'!J:J),
SUMIF('TL02'!C:C,C190,'TL02'!J:J),
SUMIF('TL03'!C:C,C190,'TL03'!J:J),
SUMIF('TL04'!C:C,C190,'TL04'!J:J),
SUMIF('TL05'!C:C,C190,'TL05'!J:J),
SUMIF('TL06'!C:C,C190,'TL06'!J:J),
SUMIF('TL07'!C:C,C190,'TL07'!J:J),
SUMIF('TL08'!C:C,C190,'TL08'!J:J),
SUMIF('TL09'!C:C,C190,'TL09'!J:J),
SUMIF('TL10'!C:C,C190,'TL10'!J:J),
SUMIF('TL11'!C:C,C190,'TL11'!J:J),
SUMIF('TL12'!C:C,C190,'TL12'!J:J),
SUMIF('TL13'!C:C,C190,'TL13'!J:J),
SUMIF('TL14'!C:C,C190,'TL14'!J:J),
SUMIF('TL15'!C:C,C190,'TL15'!J:J),
SUMIF('TL16'!C:C,C190,'TL16'!J:J),
SUMIF('TL17'!C:C,C190,'TL17'!J:J),
SUMIF('TL18'!C:C,C190,'TL18'!J:J),SUMIF('TL19'!C:C,C190,'TL19'!J:J))
,0)</f>
        <v>0</v>
      </c>
      <c r="S190" s="17">
        <f>IFERROR(__xludf.DUMMYFUNCTION("IFERROR(VLOOKUP(C190,
IMPORTRANGE(""1wULbzX32WdYsx-lj2U3uUNBBe2INVIRDtcK0d-Dvl90"",
""26-27!C:G""),
5,
FALSE),
"""")"),80.04627)</f>
        <v>80.04627</v>
      </c>
      <c r="T190" s="9"/>
      <c r="U190" s="92">
        <f t="shared" si="2"/>
        <v>0</v>
      </c>
      <c r="V190" s="93">
        <f t="shared" si="3"/>
        <v>0</v>
      </c>
    </row>
    <row r="191" ht="15.75" hidden="1" customHeight="1">
      <c r="A191" s="94" t="s">
        <v>353</v>
      </c>
      <c r="B191" s="95" t="s">
        <v>2</v>
      </c>
      <c r="C191" s="96" t="s">
        <v>792</v>
      </c>
      <c r="D191" s="96" t="s">
        <v>793</v>
      </c>
      <c r="E191" s="96">
        <v>120.0</v>
      </c>
      <c r="F191" s="4" t="s">
        <v>392</v>
      </c>
      <c r="G191" s="90" t="str">
        <f t="shared" si="4"/>
        <v>📄 Ver bula</v>
      </c>
      <c r="H191" s="9">
        <f>IFERROR(__xludf.DUMMYFUNCTION("IFERROR(VLOOKUP(C191,
IMPORTRANGE(""1wULbzX32WdYsx-lj2U3uUNBBe2INVIRDtcK0d-Dvl90"",
""26-27!C:K""),
8,
FALSE),
"""")"),0.15)</f>
        <v>0.15</v>
      </c>
      <c r="I191" s="97" t="s">
        <v>361</v>
      </c>
      <c r="J191" s="9">
        <f>IFERROR(SUM(
IF('TL01'!$B$3=J$3,SUMIF('TL01'!$C$10:$C$224,$C191,'TL01'!$J$10:$J$224),0),
IF('TL01'!$B$229=J$3,SUMIF('TL01'!$C$238:$C$451,$C191,'TL01'!$J$238:$J$451),0),
IF('TL02'!$B$3=J$3,SUMIF('TL02'!$C$10:$C$224,$C191,'TL02'!$J$10:$J$224),0),
IF('TL02'!$B$229=J$3,SUMIF('TL02'!$C$238:$C$451,$C191,'TL02'!$J$238:$J$451),0),
IF('TL03'!$B$3=J$3,SUMIF('TL03'!$C$10:$C$224,$C191,'TL03'!$J$10:$J$224),0),
IF('TL03'!$B$229=J$3,SUMIF('TL03'!$C$238:$C$451,$C191,'TL03'!$J$238:$J$451),0),
IF('TL04'!$B$3=J$3,SUMIF('TL04'!$C$10:$C$224,$C191,'TL04'!$J$10:$J$224),0),
IF('TL04'!$B$229=J$3,SUMIF('TL04'!$C$238:$C$451,$C191,'TL04'!$J$238:$J$451),0),
IF('TL05'!$B$3=J$3,SUMIF('TL05'!$C$10:$C$224,$C191,'TL05'!$J$10:$J$224),0),
IF('TL05'!$B$229=J$3,SUMIF('TL05'!$C$238:$C$451,$C191,'TL05'!$J$238:$J$451),0),
IF('TL06'!$B$3=J$3,SUMIF('TL06'!$C$10:$C$224,$C191,'TL06'!$J$10:$J$224),0),
IF('TL06'!$B$229=J$3,SUMIF('TL06'!$C$238:$C$451,$C191,'TL06'!$J$238:$J$451),0),
IF('TL07'!$B$3=J$3,SUMIF('TL07'!$C$10:$C$224,$C191,'TL07'!$J$10:$J$224),0),
IF('TL07'!$B$229=J$3,SUMIF('TL07'!$C$238:$C$451,$C191,'TL07'!$J$238:$J$451),0),
IF('TL08'!$B$3=J$3,SUMIF('TL08'!$C$10:$C$224,$C191,'TL08'!$J$10:$J$224),0),
IF('TL08'!$B$229=J$3,SUMIF('TL08'!$C$238:$C$451,$C191,'TL08'!$J$238:$J$451),0),
IF('TL09'!$B$3=J$3,SUMIF('TL09'!$C$10:$C$224,$C191,'TL09'!$J$10:$J$224),0),
IF('TL09'!$B$229=J$3,SUMIF('TL09'!$C$238:$C$451,$C191,'TL09'!$J$238:$J$451),0),
IF('TL10'!$B$3=J$3,SUMIF('TL10'!$C$10:$C$224,$C191,'TL10'!$J$10:$J$224),0),
IF('TL10'!$B$229=J$3,SUMIF('TL10'!$C$238:$C$451,$C191,'TL10'!$J$238:$J$451),0),
IF('TL11'!$B$3=J$3,SUMIF('TL11'!$C$10:$C$224,$C191,'TL11'!$J$10:$J$224),0),
IF('TL11'!$B$229=J$3,SUMIF('TL11'!$C$238:$C$451,$C191,'TL11'!$J$238:$J$451),0),
IF('TL12'!$B$3=J$3,SUMIF('TL12'!$C$10:$C$224,$C191,'TL12'!$J$10:$J$224),0),
IF('TL12'!$B$229=J$3,SUMIF('TL12'!$C$238:$C$451,$C191,'TL12'!$J$238:$J$451),0),
IF('TL13'!$B$3=J$3,SUMIF('TL13'!$C$10:$C$224,$C191,'TL13'!$J$10:$J$224),0),
IF('TL13'!$B$229=J$3,SUMIF('TL13'!$C$238:$C$451,$C191,'TL13'!$J$238:$J$451),0),
IF('TL14'!$B$3=J$3,SUMIF('TL14'!$C$10:$C$224,$C191,'TL14'!$J$10:$J$224),0),
IF('TL14'!$B$229=J$3,SUMIF('TL14'!$C$238:$C$451,$C191,'TL14'!$J$238:$J$451),0),
IF('TL15'!$B$3=J$3,SUMIF('TL15'!$C$10:$C$224,$C191,'TL15'!$J$10:$J$224),0),
IF('TL15'!$B$229=J$3,SUMIF('TL15'!$C$238:$C$451,$C191,'TL15'!$J$238:$J$451),0),
IF('TL16'!$B$3=J$3,SUMIF('TL16'!$C$10:$C$224,$C191,'TL16'!$J$10:$J$224),0),
IF('TL16'!$B$229=J$3,SUMIF('TL16'!$C$238:$C$451,$C191,'TL16'!$J$238:$J$451),0),
IF('TL17'!$B$3=J$3,SUMIF('TL17'!$C$10:$C$224,$C191,'TL17'!$J$10:$J$224),0),
IF('TL17'!$B$229=J$3,SUMIF('TL17'!$C$238:$C$451,$C191,'TL17'!$J$238:$J$451),0),
IF('TL18'!$B$3=J$3,SUMIF('TL18'!$C$10:$C$224,$C191,'TL18'!$J$10:$J$224),0),
IF('TL18'!$B$229=J$3,SUMIF('TL18'!$C$238:$C$451,$C191,'TL18'!$J$238:$J$451),0),
IF('TL19'!$B$3=J$3,SUMIF('TL19'!$C$10:$C$224,$C191,'TL19'!$J$10:$J$224),0),
IF('TL19'!$B$229=J$3,SUMIF('TL19'!$C$238:$C$451,$C191,'TL19'!$J$238:$J$451),0)
),0)</f>
        <v>0</v>
      </c>
      <c r="K191" s="9">
        <f>IFERROR(SUM(
IF('TL01'!$B$3=K$3,SUMIF('TL01'!$C$10:$C$224,$C191,'TL01'!$J$10:$J$224),0),
IF('TL01'!$B$229=K$3,SUMIF('TL01'!$C$238:$C$451,$C191,'TL01'!$J$238:$J$451),0),
IF('TL02'!$B$3=K$3,SUMIF('TL02'!$C$10:$C$224,$C191,'TL02'!$J$10:$J$224),0),
IF('TL02'!$B$229=K$3,SUMIF('TL02'!$C$238:$C$451,$C191,'TL02'!$J$238:$J$451),0),
IF('TL03'!$B$3=K$3,SUMIF('TL03'!$C$10:$C$224,$C191,'TL03'!$J$10:$J$224),0),
IF('TL03'!$B$229=K$3,SUMIF('TL03'!$C$238:$C$451,$C191,'TL03'!$J$238:$J$451),0),
IF('TL04'!$B$3=K$3,SUMIF('TL04'!$C$10:$C$224,$C191,'TL04'!$J$10:$J$224),0),
IF('TL04'!$B$229=K$3,SUMIF('TL04'!$C$238:$C$451,$C191,'TL04'!$J$238:$J$451),0),
IF('TL05'!$B$3=K$3,SUMIF('TL05'!$C$10:$C$224,$C191,'TL05'!$J$10:$J$224),0),
IF('TL05'!$B$229=K$3,SUMIF('TL05'!$C$238:$C$451,$C191,'TL05'!$J$238:$J$451),0),
IF('TL06'!$B$3=K$3,SUMIF('TL06'!$C$10:$C$224,$C191,'TL06'!$J$10:$J$224),0),
IF('TL06'!$B$229=K$3,SUMIF('TL06'!$C$238:$C$451,$C191,'TL06'!$J$238:$J$451),0),
IF('TL07'!$B$3=K$3,SUMIF('TL07'!$C$10:$C$224,$C191,'TL07'!$J$10:$J$224),0),
IF('TL07'!$B$229=K$3,SUMIF('TL07'!$C$238:$C$451,$C191,'TL07'!$J$238:$J$451),0),
IF('TL08'!$B$3=K$3,SUMIF('TL08'!$C$10:$C$224,$C191,'TL08'!$J$10:$J$224),0),
IF('TL08'!$B$229=K$3,SUMIF('TL08'!$C$238:$C$451,$C191,'TL08'!$J$238:$J$451),0),
IF('TL09'!$B$3=K$3,SUMIF('TL09'!$C$10:$C$224,$C191,'TL09'!$J$10:$J$224),0),
IF('TL09'!$B$229=K$3,SUMIF('TL09'!$C$238:$C$451,$C191,'TL09'!$J$238:$J$451),0),
IF('TL10'!$B$3=K$3,SUMIF('TL10'!$C$10:$C$224,$C191,'TL10'!$J$10:$J$224),0),
IF('TL10'!$B$229=K$3,SUMIF('TL10'!$C$238:$C$451,$C191,'TL10'!$J$238:$J$451),0),
IF('TL11'!$B$3=K$3,SUMIF('TL11'!$C$10:$C$224,$C191,'TL11'!$J$10:$J$224),0),
IF('TL11'!$B$229=K$3,SUMIF('TL11'!$C$238:$C$451,$C191,'TL11'!$J$238:$J$451),0),
IF('TL12'!$B$3=K$3,SUMIF('TL12'!$C$10:$C$224,$C191,'TL12'!$J$10:$J$224),0),
IF('TL12'!$B$229=K$3,SUMIF('TL12'!$C$238:$C$451,$C191,'TL12'!$J$238:$J$451),0),
IF('TL13'!$B$3=K$3,SUMIF('TL13'!$C$10:$C$224,$C191,'TL13'!$J$10:$J$224),0),
IF('TL13'!$B$229=K$3,SUMIF('TL13'!$C$238:$C$451,$C191,'TL13'!$J$238:$J$451),0),
IF('TL14'!$B$3=K$3,SUMIF('TL14'!$C$10:$C$224,$C191,'TL14'!$J$10:$J$224),0),
IF('TL14'!$B$229=K$3,SUMIF('TL14'!$C$238:$C$451,$C191,'TL14'!$J$238:$J$451),0),
IF('TL15'!$B$3=K$3,SUMIF('TL15'!$C$10:$C$224,$C191,'TL15'!$J$10:$J$224),0),
IF('TL15'!$B$229=K$3,SUMIF('TL15'!$C$238:$C$451,$C191,'TL15'!$J$238:$J$451),0),
IF('TL16'!$B$3=K$3,SUMIF('TL16'!$C$10:$C$224,$C191,'TL16'!$J$10:$J$224),0),
IF('TL16'!$B$229=K$3,SUMIF('TL16'!$C$238:$C$451,$C191,'TL16'!$J$238:$J$451),0),
IF('TL17'!$B$3=K$3,SUMIF('TL17'!$C$10:$C$224,$C191,'TL17'!$J$10:$J$224),0),
IF('TL17'!$B$229=K$3,SUMIF('TL17'!$C$238:$C$451,$C191,'TL17'!$J$238:$J$451),0),
IF('TL18'!$B$3=K$3,SUMIF('TL18'!$C$10:$C$224,$C191,'TL18'!$J$10:$J$224),0),
IF('TL18'!$B$229=K$3,SUMIF('TL18'!$C$238:$C$451,$C191,'TL18'!$J$238:$J$451),0),
IF('TL19'!$B$3=K$3,SUMIF('TL19'!$C$10:$C$224,$C191,'TL19'!$J$10:$J$224),0),
IF('TL19'!$B$229=K$3,SUMIF('TL19'!$C$238:$C$451,$C191,'TL19'!$J$238:$J$451),0)
),0)</f>
        <v>0</v>
      </c>
      <c r="L191" s="9">
        <f>IFERROR(SUM(
IF('TL01'!$B$3=L$3,SUMIF('TL01'!$C$10:$C$224,$C191,'TL01'!$J$10:$J$224),0),
IF('TL01'!$B$229=L$3,SUMIF('TL01'!$C$238:$C$451,$C191,'TL01'!$J$238:$J$451),0),
IF('TL02'!$B$3=L$3,SUMIF('TL02'!$C$10:$C$224,$C191,'TL02'!$J$10:$J$224),0),
IF('TL02'!$B$229=L$3,SUMIF('TL02'!$C$238:$C$451,$C191,'TL02'!$J$238:$J$451),0),
IF('TL03'!$B$3=L$3,SUMIF('TL03'!$C$10:$C$224,$C191,'TL03'!$J$10:$J$224),0),
IF('TL03'!$B$229=L$3,SUMIF('TL03'!$C$238:$C$451,$C191,'TL03'!$J$238:$J$451),0),
IF('TL04'!$B$3=L$3,SUMIF('TL04'!$C$10:$C$224,$C191,'TL04'!$J$10:$J$224),0),
IF('TL04'!$B$229=L$3,SUMIF('TL04'!$C$238:$C$451,$C191,'TL04'!$J$238:$J$451),0),
IF('TL05'!$B$3=L$3,SUMIF('TL05'!$C$10:$C$224,$C191,'TL05'!$J$10:$J$224),0),
IF('TL05'!$B$229=L$3,SUMIF('TL05'!$C$238:$C$451,$C191,'TL05'!$J$238:$J$451),0),
IF('TL06'!$B$3=L$3,SUMIF('TL06'!$C$10:$C$224,$C191,'TL06'!$J$10:$J$224),0),
IF('TL06'!$B$229=L$3,SUMIF('TL06'!$C$238:$C$451,$C191,'TL06'!$J$238:$J$451),0),
IF('TL07'!$B$3=L$3,SUMIF('TL07'!$C$10:$C$224,$C191,'TL07'!$J$10:$J$224),0),
IF('TL07'!$B$229=L$3,SUMIF('TL07'!$C$238:$C$451,$C191,'TL07'!$J$238:$J$451),0),
IF('TL08'!$B$3=L$3,SUMIF('TL08'!$C$10:$C$224,$C191,'TL08'!$J$10:$J$224),0),
IF('TL08'!$B$229=L$3,SUMIF('TL08'!$C$238:$C$451,$C191,'TL08'!$J$238:$J$451),0),
IF('TL09'!$B$3=L$3,SUMIF('TL09'!$C$10:$C$224,$C191,'TL09'!$J$10:$J$224),0),
IF('TL09'!$B$229=L$3,SUMIF('TL09'!$C$238:$C$451,$C191,'TL09'!$J$238:$J$451),0),
IF('TL10'!$B$3=L$3,SUMIF('TL10'!$C$10:$C$224,$C191,'TL10'!$J$10:$J$224),0),
IF('TL10'!$B$229=L$3,SUMIF('TL10'!$C$238:$C$451,$C191,'TL10'!$J$238:$J$451),0),
IF('TL11'!$B$3=L$3,SUMIF('TL11'!$C$10:$C$224,$C191,'TL11'!$J$10:$J$224),0),
IF('TL11'!$B$229=L$3,SUMIF('TL11'!$C$238:$C$451,$C191,'TL11'!$J$238:$J$451),0),
IF('TL12'!$B$3=L$3,SUMIF('TL12'!$C$10:$C$224,$C191,'TL12'!$J$10:$J$224),0),
IF('TL12'!$B$229=L$3,SUMIF('TL12'!$C$238:$C$451,$C191,'TL12'!$J$238:$J$451),0),
IF('TL13'!$B$3=L$3,SUMIF('TL13'!$C$10:$C$224,$C191,'TL13'!$J$10:$J$224),0),
IF('TL13'!$B$229=L$3,SUMIF('TL13'!$C$238:$C$451,$C191,'TL13'!$J$238:$J$451),0),
IF('TL14'!$B$3=L$3,SUMIF('TL14'!$C$10:$C$224,$C191,'TL14'!$J$10:$J$224),0),
IF('TL14'!$B$229=L$3,SUMIF('TL14'!$C$238:$C$451,$C191,'TL14'!$J$238:$J$451),0),
IF('TL15'!$B$3=L$3,SUMIF('TL15'!$C$10:$C$224,$C191,'TL15'!$J$10:$J$224),0),
IF('TL15'!$B$229=L$3,SUMIF('TL15'!$C$238:$C$451,$C191,'TL15'!$J$238:$J$451),0),
IF('TL16'!$B$3=L$3,SUMIF('TL16'!$C$10:$C$224,$C191,'TL16'!$J$10:$J$224),0),
IF('TL16'!$B$229=L$3,SUMIF('TL16'!$C$238:$C$451,$C191,'TL16'!$J$238:$J$451),0),
IF('TL17'!$B$3=L$3,SUMIF('TL17'!$C$10:$C$224,$C191,'TL17'!$J$10:$J$224),0),
IF('TL17'!$B$229=L$3,SUMIF('TL17'!$C$238:$C$451,$C191,'TL17'!$J$238:$J$451),0),
IF('TL18'!$B$3=L$3,SUMIF('TL18'!$C$10:$C$224,$C191,'TL18'!$J$10:$J$224),0),
IF('TL18'!$B$229=L$3,SUMIF('TL18'!$C$238:$C$451,$C191,'TL18'!$J$238:$J$451),0),
IF('TL19'!$B$3=L$3,SUMIF('TL19'!$C$10:$C$224,$C191,'TL19'!$J$10:$J$224),0),
IF('TL19'!$B$229=L$3,SUMIF('TL19'!$C$238:$C$451,$C191,'TL19'!$J$238:$J$451),0)
),0)</f>
        <v>0</v>
      </c>
      <c r="M191" s="9">
        <f>IFERROR(SUM(
IF('TL01'!$B$3=M$3,SUMIF('TL01'!$C$10:$C$224,$C191,'TL01'!$J$10:$J$224),0),
IF('TL01'!$B$229=M$3,SUMIF('TL01'!$C$238:$C$451,$C191,'TL01'!$J$238:$J$451),0),
IF('TL02'!$B$3=M$3,SUMIF('TL02'!$C$10:$C$224,$C191,'TL02'!$J$10:$J$224),0),
IF('TL02'!$B$229=M$3,SUMIF('TL02'!$C$238:$C$451,$C191,'TL02'!$J$238:$J$451),0),
IF('TL03'!$B$3=M$3,SUMIF('TL03'!$C$10:$C$224,$C191,'TL03'!$J$10:$J$224),0),
IF('TL03'!$B$229=M$3,SUMIF('TL03'!$C$238:$C$451,$C191,'TL03'!$J$238:$J$451),0),
IF('TL04'!$B$3=M$3,SUMIF('TL04'!$C$10:$C$224,$C191,'TL04'!$J$10:$J$224),0),
IF('TL04'!$B$229=M$3,SUMIF('TL04'!$C$238:$C$451,$C191,'TL04'!$J$238:$J$451),0),
IF('TL05'!$B$3=M$3,SUMIF('TL05'!$C$10:$C$224,$C191,'TL05'!$J$10:$J$224),0),
IF('TL05'!$B$229=M$3,SUMIF('TL05'!$C$238:$C$451,$C191,'TL05'!$J$238:$J$451),0),
IF('TL06'!$B$3=M$3,SUMIF('TL06'!$C$10:$C$224,$C191,'TL06'!$J$10:$J$224),0),
IF('TL06'!$B$229=M$3,SUMIF('TL06'!$C$238:$C$451,$C191,'TL06'!$J$238:$J$451),0),
IF('TL07'!$B$3=M$3,SUMIF('TL07'!$C$10:$C$224,$C191,'TL07'!$J$10:$J$224),0),
IF('TL07'!$B$229=M$3,SUMIF('TL07'!$C$238:$C$451,$C191,'TL07'!$J$238:$J$451),0),
IF('TL08'!$B$3=M$3,SUMIF('TL08'!$C$10:$C$224,$C191,'TL08'!$J$10:$J$224),0),
IF('TL08'!$B$229=M$3,SUMIF('TL08'!$C$238:$C$451,$C191,'TL08'!$J$238:$J$451),0),
IF('TL09'!$B$3=M$3,SUMIF('TL09'!$C$10:$C$224,$C191,'TL09'!$J$10:$J$224),0),
IF('TL09'!$B$229=M$3,SUMIF('TL09'!$C$238:$C$451,$C191,'TL09'!$J$238:$J$451),0),
IF('TL10'!$B$3=M$3,SUMIF('TL10'!$C$10:$C$224,$C191,'TL10'!$J$10:$J$224),0),
IF('TL10'!$B$229=M$3,SUMIF('TL10'!$C$238:$C$451,$C191,'TL10'!$J$238:$J$451),0),
IF('TL11'!$B$3=M$3,SUMIF('TL11'!$C$10:$C$224,$C191,'TL11'!$J$10:$J$224),0),
IF('TL11'!$B$229=M$3,SUMIF('TL11'!$C$238:$C$451,$C191,'TL11'!$J$238:$J$451),0),
IF('TL12'!$B$3=M$3,SUMIF('TL12'!$C$10:$C$224,$C191,'TL12'!$J$10:$J$224),0),
IF('TL12'!$B$229=M$3,SUMIF('TL12'!$C$238:$C$451,$C191,'TL12'!$J$238:$J$451),0),
IF('TL13'!$B$3=M$3,SUMIF('TL13'!$C$10:$C$224,$C191,'TL13'!$J$10:$J$224),0),
IF('TL13'!$B$229=M$3,SUMIF('TL13'!$C$238:$C$451,$C191,'TL13'!$J$238:$J$451),0),
IF('TL14'!$B$3=M$3,SUMIF('TL14'!$C$10:$C$224,$C191,'TL14'!$J$10:$J$224),0),
IF('TL14'!$B$229=M$3,SUMIF('TL14'!$C$238:$C$451,$C191,'TL14'!$J$238:$J$451),0),
IF('TL15'!$B$3=M$3,SUMIF('TL15'!$C$10:$C$224,$C191,'TL15'!$J$10:$J$224),0),
IF('TL15'!$B$229=M$3,SUMIF('TL15'!$C$238:$C$451,$C191,'TL15'!$J$238:$J$451),0),
IF('TL16'!$B$3=M$3,SUMIF('TL16'!$C$10:$C$224,$C191,'TL16'!$J$10:$J$224),0),
IF('TL16'!$B$229=M$3,SUMIF('TL16'!$C$238:$C$451,$C191,'TL16'!$J$238:$J$451),0),
IF('TL17'!$B$3=M$3,SUMIF('TL17'!$C$10:$C$224,$C191,'TL17'!$J$10:$J$224),0),
IF('TL17'!$B$229=M$3,SUMIF('TL17'!$C$238:$C$451,$C191,'TL17'!$J$238:$J$451),0),
IF('TL18'!$B$3=M$3,SUMIF('TL18'!$C$10:$C$224,$C191,'TL18'!$J$10:$J$224),0),
IF('TL18'!$B$229=M$3,SUMIF('TL18'!$C$238:$C$451,$C191,'TL18'!$J$238:$J$451),0),
IF('TL19'!$B$3=M$3,SUMIF('TL19'!$C$10:$C$224,$C191,'TL19'!$J$10:$J$224),0),
IF('TL19'!$B$229=M$3,SUMIF('TL19'!$C$238:$C$451,$C191,'TL19'!$J$238:$J$451),0)
),0)</f>
        <v>0</v>
      </c>
      <c r="N191" s="9">
        <f>IFERROR(SUM(
IF('TL01'!$B$3=N$3,SUMIF('TL01'!$C$10:$C$224,$C191,'TL01'!$J$10:$J$224),0),
IF('TL01'!$B$229=N$3,SUMIF('TL01'!$C$238:$C$451,$C191,'TL01'!$J$238:$J$451),0),
IF('TL02'!$B$3=N$3,SUMIF('TL02'!$C$10:$C$224,$C191,'TL02'!$J$10:$J$224),0),
IF('TL02'!$B$229=N$3,SUMIF('TL02'!$C$238:$C$451,$C191,'TL02'!$J$238:$J$451),0),
IF('TL03'!$B$3=N$3,SUMIF('TL03'!$C$10:$C$224,$C191,'TL03'!$J$10:$J$224),0),
IF('TL03'!$B$229=N$3,SUMIF('TL03'!$C$238:$C$451,$C191,'TL03'!$J$238:$J$451),0),
IF('TL04'!$B$3=N$3,SUMIF('TL04'!$C$10:$C$224,$C191,'TL04'!$J$10:$J$224),0),
IF('TL04'!$B$229=N$3,SUMIF('TL04'!$C$238:$C$451,$C191,'TL04'!$J$238:$J$451),0),
IF('TL05'!$B$3=N$3,SUMIF('TL05'!$C$10:$C$224,$C191,'TL05'!$J$10:$J$224),0),
IF('TL05'!$B$229=N$3,SUMIF('TL05'!$C$238:$C$451,$C191,'TL05'!$J$238:$J$451),0),
IF('TL06'!$B$3=N$3,SUMIF('TL06'!$C$10:$C$224,$C191,'TL06'!$J$10:$J$224),0),
IF('TL06'!$B$229=N$3,SUMIF('TL06'!$C$238:$C$451,$C191,'TL06'!$J$238:$J$451),0),
IF('TL07'!$B$3=N$3,SUMIF('TL07'!$C$10:$C$224,$C191,'TL07'!$J$10:$J$224),0),
IF('TL07'!$B$229=N$3,SUMIF('TL07'!$C$238:$C$451,$C191,'TL07'!$J$238:$J$451),0),
IF('TL08'!$B$3=N$3,SUMIF('TL08'!$C$10:$C$224,$C191,'TL08'!$J$10:$J$224),0),
IF('TL08'!$B$229=N$3,SUMIF('TL08'!$C$238:$C$451,$C191,'TL08'!$J$238:$J$451),0),
IF('TL09'!$B$3=N$3,SUMIF('TL09'!$C$10:$C$224,$C191,'TL09'!$J$10:$J$224),0),
IF('TL09'!$B$229=N$3,SUMIF('TL09'!$C$238:$C$451,$C191,'TL09'!$J$238:$J$451),0),
IF('TL10'!$B$3=N$3,SUMIF('TL10'!$C$10:$C$224,$C191,'TL10'!$J$10:$J$224),0),
IF('TL10'!$B$229=N$3,SUMIF('TL10'!$C$238:$C$451,$C191,'TL10'!$J$238:$J$451),0),
IF('TL11'!$B$3=N$3,SUMIF('TL11'!$C$10:$C$224,$C191,'TL11'!$J$10:$J$224),0),
IF('TL11'!$B$229=N$3,SUMIF('TL11'!$C$238:$C$451,$C191,'TL11'!$J$238:$J$451),0),
IF('TL12'!$B$3=N$3,SUMIF('TL12'!$C$10:$C$224,$C191,'TL12'!$J$10:$J$224),0),
IF('TL12'!$B$229=N$3,SUMIF('TL12'!$C$238:$C$451,$C191,'TL12'!$J$238:$J$451),0),
IF('TL13'!$B$3=N$3,SUMIF('TL13'!$C$10:$C$224,$C191,'TL13'!$J$10:$J$224),0),
IF('TL13'!$B$229=N$3,SUMIF('TL13'!$C$238:$C$451,$C191,'TL13'!$J$238:$J$451),0),
IF('TL14'!$B$3=N$3,SUMIF('TL14'!$C$10:$C$224,$C191,'TL14'!$J$10:$J$224),0),
IF('TL14'!$B$229=N$3,SUMIF('TL14'!$C$238:$C$451,$C191,'TL14'!$J$238:$J$451),0),
IF('TL15'!$B$3=N$3,SUMIF('TL15'!$C$10:$C$224,$C191,'TL15'!$J$10:$J$224),0),
IF('TL15'!$B$229=N$3,SUMIF('TL15'!$C$238:$C$451,$C191,'TL15'!$J$238:$J$451),0),
IF('TL16'!$B$3=N$3,SUMIF('TL16'!$C$10:$C$224,$C191,'TL16'!$J$10:$J$224),0),
IF('TL16'!$B$229=N$3,SUMIF('TL16'!$C$238:$C$451,$C191,'TL16'!$J$238:$J$451),0),
IF('TL17'!$B$3=N$3,SUMIF('TL17'!$C$10:$C$224,$C191,'TL17'!$J$10:$J$224),0),
IF('TL17'!$B$229=N$3,SUMIF('TL17'!$C$238:$C$451,$C191,'TL17'!$J$238:$J$451),0),
IF('TL18'!$B$3=N$3,SUMIF('TL18'!$C$10:$C$224,$C191,'TL18'!$J$10:$J$224),0),
IF('TL18'!$B$229=N$3,SUMIF('TL18'!$C$238:$C$451,$C191,'TL18'!$J$238:$J$451),0),
IF('TL19'!$B$3=N$3,SUMIF('TL19'!$C$10:$C$224,$C191,'TL19'!$J$10:$J$224),0),
IF('TL19'!$B$229=N$3,SUMIF('TL19'!$C$238:$C$451,$C191,'TL19'!$J$238:$J$451),0)
),0)</f>
        <v>0</v>
      </c>
      <c r="O191" s="9">
        <f>IFERROR(SUM(
IF('TL01'!$B$3=O$3,SUMIF('TL01'!$C$10:$C$224,$C191,'TL01'!$J$10:$J$224),0),
IF('TL01'!$B$229=O$3,SUMIF('TL01'!$C$238:$C$451,$C191,'TL01'!$J$238:$J$451),0),
IF('TL02'!$B$3=O$3,SUMIF('TL02'!$C$10:$C$224,$C191,'TL02'!$J$10:$J$224),0),
IF('TL02'!$B$229=O$3,SUMIF('TL02'!$C$238:$C$451,$C191,'TL02'!$J$238:$J$451),0),
IF('TL03'!$B$3=O$3,SUMIF('TL03'!$C$10:$C$224,$C191,'TL03'!$J$10:$J$224),0),
IF('TL03'!$B$229=O$3,SUMIF('TL03'!$C$238:$C$451,$C191,'TL03'!$J$238:$J$451),0),
IF('TL04'!$B$3=O$3,SUMIF('TL04'!$C$10:$C$224,$C191,'TL04'!$J$10:$J$224),0),
IF('TL04'!$B$229=O$3,SUMIF('TL04'!$C$238:$C$451,$C191,'TL04'!$J$238:$J$451),0),
IF('TL05'!$B$3=O$3,SUMIF('TL05'!$C$10:$C$224,$C191,'TL05'!$J$10:$J$224),0),
IF('TL05'!$B$229=O$3,SUMIF('TL05'!$C$238:$C$451,$C191,'TL05'!$J$238:$J$451),0),
IF('TL06'!$B$3=O$3,SUMIF('TL06'!$C$10:$C$224,$C191,'TL06'!$J$10:$J$224),0),
IF('TL06'!$B$229=O$3,SUMIF('TL06'!$C$238:$C$451,$C191,'TL06'!$J$238:$J$451),0),
IF('TL07'!$B$3=O$3,SUMIF('TL07'!$C$10:$C$224,$C191,'TL07'!$J$10:$J$224),0),
IF('TL07'!$B$229=O$3,SUMIF('TL07'!$C$238:$C$451,$C191,'TL07'!$J$238:$J$451),0),
IF('TL08'!$B$3=O$3,SUMIF('TL08'!$C$10:$C$224,$C191,'TL08'!$J$10:$J$224),0),
IF('TL08'!$B$229=O$3,SUMIF('TL08'!$C$238:$C$451,$C191,'TL08'!$J$238:$J$451),0),
IF('TL09'!$B$3=O$3,SUMIF('TL09'!$C$10:$C$224,$C191,'TL09'!$J$10:$J$224),0),
IF('TL09'!$B$229=O$3,SUMIF('TL09'!$C$238:$C$451,$C191,'TL09'!$J$238:$J$451),0),
IF('TL10'!$B$3=O$3,SUMIF('TL10'!$C$10:$C$224,$C191,'TL10'!$J$10:$J$224),0),
IF('TL10'!$B$229=O$3,SUMIF('TL10'!$C$238:$C$451,$C191,'TL10'!$J$238:$J$451),0),
IF('TL11'!$B$3=O$3,SUMIF('TL11'!$C$10:$C$224,$C191,'TL11'!$J$10:$J$224),0),
IF('TL11'!$B$229=O$3,SUMIF('TL11'!$C$238:$C$451,$C191,'TL11'!$J$238:$J$451),0),
IF('TL12'!$B$3=O$3,SUMIF('TL12'!$C$10:$C$224,$C191,'TL12'!$J$10:$J$224),0),
IF('TL12'!$B$229=O$3,SUMIF('TL12'!$C$238:$C$451,$C191,'TL12'!$J$238:$J$451),0),
IF('TL13'!$B$3=O$3,SUMIF('TL13'!$C$10:$C$224,$C191,'TL13'!$J$10:$J$224),0),
IF('TL13'!$B$229=O$3,SUMIF('TL13'!$C$238:$C$451,$C191,'TL13'!$J$238:$J$451),0),
IF('TL14'!$B$3=O$3,SUMIF('TL14'!$C$10:$C$224,$C191,'TL14'!$J$10:$J$224),0),
IF('TL14'!$B$229=O$3,SUMIF('TL14'!$C$238:$C$451,$C191,'TL14'!$J$238:$J$451),0),
IF('TL15'!$B$3=O$3,SUMIF('TL15'!$C$10:$C$224,$C191,'TL15'!$J$10:$J$224),0),
IF('TL15'!$B$229=O$3,SUMIF('TL15'!$C$238:$C$451,$C191,'TL15'!$J$238:$J$451),0),
IF('TL16'!$B$3=O$3,SUMIF('TL16'!$C$10:$C$224,$C191,'TL16'!$J$10:$J$224),0),
IF('TL16'!$B$229=O$3,SUMIF('TL16'!$C$238:$C$451,$C191,'TL16'!$J$238:$J$451),0),
IF('TL17'!$B$3=O$3,SUMIF('TL17'!$C$10:$C$224,$C191,'TL17'!$J$10:$J$224),0),
IF('TL17'!$B$229=O$3,SUMIF('TL17'!$C$238:$C$451,$C191,'TL17'!$J$238:$J$451),0),
IF('TL18'!$B$3=O$3,SUMIF('TL18'!$C$10:$C$224,$C191,'TL18'!$J$10:$J$224),0),
IF('TL18'!$B$229=O$3,SUMIF('TL18'!$C$238:$C$451,$C191,'TL18'!$J$238:$J$451),0),
IF('TL19'!$B$3=O$3,SUMIF('TL19'!$C$10:$C$224,$C191,'TL19'!$J$10:$J$224),0),
IF('TL19'!$B$229=O$3,SUMIF('TL19'!$C$238:$C$451,$C191,'TL19'!$J$238:$J$451),0)
),0)</f>
        <v>33</v>
      </c>
      <c r="P191" s="9">
        <f>IFERROR(SUM(
IF('TL01'!$B$3=P$3,SUMIF('TL01'!$C$10:$C$224,$C191,'TL01'!$J$10:$J$224),0),
IF('TL01'!$B$229=P$3,SUMIF('TL01'!$C$238:$C$451,$C191,'TL01'!$J$238:$J$451),0),
IF('TL02'!$B$3=P$3,SUMIF('TL02'!$C$10:$C$224,$C191,'TL02'!$J$10:$J$224),0),
IF('TL02'!$B$229=P$3,SUMIF('TL02'!$C$238:$C$451,$C191,'TL02'!$J$238:$J$451),0),
IF('TL03'!$B$3=P$3,SUMIF('TL03'!$C$10:$C$224,$C191,'TL03'!$J$10:$J$224),0),
IF('TL03'!$B$229=P$3,SUMIF('TL03'!$C$238:$C$451,$C191,'TL03'!$J$238:$J$451),0),
IF('TL04'!$B$3=P$3,SUMIF('TL04'!$C$10:$C$224,$C191,'TL04'!$J$10:$J$224),0),
IF('TL04'!$B$229=P$3,SUMIF('TL04'!$C$238:$C$451,$C191,'TL04'!$J$238:$J$451),0),
IF('TL05'!$B$3=P$3,SUMIF('TL05'!$C$10:$C$224,$C191,'TL05'!$J$10:$J$224),0),
IF('TL05'!$B$229=P$3,SUMIF('TL05'!$C$238:$C$451,$C191,'TL05'!$J$238:$J$451),0),
IF('TL06'!$B$3=P$3,SUMIF('TL06'!$C$10:$C$224,$C191,'TL06'!$J$10:$J$224),0),
IF('TL06'!$B$229=P$3,SUMIF('TL06'!$C$238:$C$451,$C191,'TL06'!$J$238:$J$451),0),
IF('TL07'!$B$3=P$3,SUMIF('TL07'!$C$10:$C$224,$C191,'TL07'!$J$10:$J$224),0),
IF('TL07'!$B$229=P$3,SUMIF('TL07'!$C$238:$C$451,$C191,'TL07'!$J$238:$J$451),0),
IF('TL08'!$B$3=P$3,SUMIF('TL08'!$C$10:$C$224,$C191,'TL08'!$J$10:$J$224),0),
IF('TL08'!$B$229=P$3,SUMIF('TL08'!$C$238:$C$451,$C191,'TL08'!$J$238:$J$451),0),
IF('TL09'!$B$3=P$3,SUMIF('TL09'!$C$10:$C$224,$C191,'TL09'!$J$10:$J$224),0),
IF('TL09'!$B$229=P$3,SUMIF('TL09'!$C$238:$C$451,$C191,'TL09'!$J$238:$J$451),0),
IF('TL10'!$B$3=P$3,SUMIF('TL10'!$C$10:$C$224,$C191,'TL10'!$J$10:$J$224),0),
IF('TL10'!$B$229=P$3,SUMIF('TL10'!$C$238:$C$451,$C191,'TL10'!$J$238:$J$451),0),
IF('TL11'!$B$3=P$3,SUMIF('TL11'!$C$10:$C$224,$C191,'TL11'!$J$10:$J$224),0),
IF('TL11'!$B$229=P$3,SUMIF('TL11'!$C$238:$C$451,$C191,'TL11'!$J$238:$J$451),0),
IF('TL12'!$B$3=P$3,SUMIF('TL12'!$C$10:$C$224,$C191,'TL12'!$J$10:$J$224),0),
IF('TL12'!$B$229=P$3,SUMIF('TL12'!$C$238:$C$451,$C191,'TL12'!$J$238:$J$451),0),
IF('TL13'!$B$3=P$3,SUMIF('TL13'!$C$10:$C$224,$C191,'TL13'!$J$10:$J$224),0),
IF('TL13'!$B$229=P$3,SUMIF('TL13'!$C$238:$C$451,$C191,'TL13'!$J$238:$J$451),0),
IF('TL14'!$B$3=P$3,SUMIF('TL14'!$C$10:$C$224,$C191,'TL14'!$J$10:$J$224),0),
IF('TL14'!$B$229=P$3,SUMIF('TL14'!$C$238:$C$451,$C191,'TL14'!$J$238:$J$451),0),
IF('TL15'!$B$3=P$3,SUMIF('TL15'!$C$10:$C$224,$C191,'TL15'!$J$10:$J$224),0),
IF('TL15'!$B$229=P$3,SUMIF('TL15'!$C$238:$C$451,$C191,'TL15'!$J$238:$J$451),0),
IF('TL16'!$B$3=P$3,SUMIF('TL16'!$C$10:$C$224,$C191,'TL16'!$J$10:$J$224),0),
IF('TL16'!$B$229=P$3,SUMIF('TL16'!$C$238:$C$451,$C191,'TL16'!$J$238:$J$451),0),
IF('TL17'!$B$3=P$3,SUMIF('TL17'!$C$10:$C$224,$C191,'TL17'!$J$10:$J$224),0),
IF('TL17'!$B$229=P$3,SUMIF('TL17'!$C$238:$C$451,$C191,'TL17'!$J$238:$J$451),0),
IF('TL18'!$B$3=P$3,SUMIF('TL18'!$C$10:$C$224,$C191,'TL18'!$J$10:$J$224),0),
IF('TL18'!$B$229=P$3,SUMIF('TL18'!$C$238:$C$451,$C191,'TL18'!$J$238:$J$451),0),
IF('TL19'!$B$3=P$3,SUMIF('TL19'!$C$10:$C$224,$C191,'TL19'!$J$10:$J$224),0),
IF('TL19'!$B$229=P$3,SUMIF('TL19'!$C$238:$C$451,$C191,'TL19'!$J$238:$J$451),0)
),0)</f>
        <v>0</v>
      </c>
      <c r="Q191" s="9">
        <f>IFERROR(SUM(
IF('TL01'!$B$3=Q$3,SUMIF('TL01'!$C$10:$C$224,$C191,'TL01'!$J$10:$J$224),0),
IF('TL01'!$B$229=Q$3,SUMIF('TL01'!$C$238:$C$451,$C191,'TL01'!$J$238:$J$451),0),
IF('TL02'!$B$3=Q$3,SUMIF('TL02'!$C$10:$C$224,$C191,'TL02'!$J$10:$J$224),0),
IF('TL02'!$B$229=Q$3,SUMIF('TL02'!$C$238:$C$451,$C191,'TL02'!$J$238:$J$451),0),
IF('TL03'!$B$3=Q$3,SUMIF('TL03'!$C$10:$C$224,$C191,'TL03'!$J$10:$J$224),0),
IF('TL03'!$B$229=Q$3,SUMIF('TL03'!$C$238:$C$451,$C191,'TL03'!$J$238:$J$451),0),
IF('TL04'!$B$3=Q$3,SUMIF('TL04'!$C$10:$C$224,$C191,'TL04'!$J$10:$J$224),0),
IF('TL04'!$B$229=Q$3,SUMIF('TL04'!$C$238:$C$451,$C191,'TL04'!$J$238:$J$451),0),
IF('TL05'!$B$3=Q$3,SUMIF('TL05'!$C$10:$C$224,$C191,'TL05'!$J$10:$J$224),0),
IF('TL05'!$B$229=Q$3,SUMIF('TL05'!$C$238:$C$451,$C191,'TL05'!$J$238:$J$451),0),
IF('TL06'!$B$3=Q$3,SUMIF('TL06'!$C$10:$C$224,$C191,'TL06'!$J$10:$J$224),0),
IF('TL06'!$B$229=Q$3,SUMIF('TL06'!$C$238:$C$451,$C191,'TL06'!$J$238:$J$451),0),
IF('TL07'!$B$3=Q$3,SUMIF('TL07'!$C$10:$C$224,$C191,'TL07'!$J$10:$J$224),0),
IF('TL07'!$B$229=Q$3,SUMIF('TL07'!$C$238:$C$451,$C191,'TL07'!$J$238:$J$451),0),
IF('TL08'!$B$3=Q$3,SUMIF('TL08'!$C$10:$C$224,$C191,'TL08'!$J$10:$J$224),0),
IF('TL08'!$B$229=Q$3,SUMIF('TL08'!$C$238:$C$451,$C191,'TL08'!$J$238:$J$451),0),
IF('TL09'!$B$3=Q$3,SUMIF('TL09'!$C$10:$C$224,$C191,'TL09'!$J$10:$J$224),0),
IF('TL09'!$B$229=Q$3,SUMIF('TL09'!$C$238:$C$451,$C191,'TL09'!$J$238:$J$451),0),
IF('TL10'!$B$3=Q$3,SUMIF('TL10'!$C$10:$C$224,$C191,'TL10'!$J$10:$J$224),0),
IF('TL10'!$B$229=Q$3,SUMIF('TL10'!$C$238:$C$451,$C191,'TL10'!$J$238:$J$451),0),
IF('TL11'!$B$3=Q$3,SUMIF('TL11'!$C$10:$C$224,$C191,'TL11'!$J$10:$J$224),0),
IF('TL11'!$B$229=Q$3,SUMIF('TL11'!$C$238:$C$451,$C191,'TL11'!$J$238:$J$451),0),
IF('TL12'!$B$3=Q$3,SUMIF('TL12'!$C$10:$C$224,$C191,'TL12'!$J$10:$J$224),0),
IF('TL12'!$B$229=Q$3,SUMIF('TL12'!$C$238:$C$451,$C191,'TL12'!$J$238:$J$451),0),
IF('TL13'!$B$3=Q$3,SUMIF('TL13'!$C$10:$C$224,$C191,'TL13'!$J$10:$J$224),0),
IF('TL13'!$B$229=Q$3,SUMIF('TL13'!$C$238:$C$451,$C191,'TL13'!$J$238:$J$451),0),
IF('TL14'!$B$3=Q$3,SUMIF('TL14'!$C$10:$C$224,$C191,'TL14'!$J$10:$J$224),0),
IF('TL14'!$B$229=Q$3,SUMIF('TL14'!$C$238:$C$451,$C191,'TL14'!$J$238:$J$451),0),
IF('TL15'!$B$3=Q$3,SUMIF('TL15'!$C$10:$C$224,$C191,'TL15'!$J$10:$J$224),0),
IF('TL15'!$B$229=Q$3,SUMIF('TL15'!$C$238:$C$451,$C191,'TL15'!$J$238:$J$451),0),
IF('TL16'!$B$3=Q$3,SUMIF('TL16'!$C$10:$C$224,$C191,'TL16'!$J$10:$J$224),0),
IF('TL16'!$B$229=Q$3,SUMIF('TL16'!$C$238:$C$451,$C191,'TL16'!$J$238:$J$451),0),
IF('TL17'!$B$3=Q$3,SUMIF('TL17'!$C$10:$C$224,$C191,'TL17'!$J$10:$J$224),0),
IF('TL17'!$B$229=Q$3,SUMIF('TL17'!$C$238:$C$451,$C191,'TL17'!$J$238:$J$451),0),
IF('TL18'!$B$3=Q$3,SUMIF('TL18'!$C$10:$C$224,$C191,'TL18'!$J$10:$J$224),0),
IF('TL18'!$B$229=Q$3,SUMIF('TL18'!$C$238:$C$451,$C191,'TL18'!$J$238:$J$451),0),
IF('TL19'!$B$3=Q$3,SUMIF('TL19'!$C$10:$C$224,$C191,'TL19'!$J$10:$J$224),0),
IF('TL19'!$B$229=Q$3,SUMIF('TL19'!$C$238:$C$451,$C191,'TL19'!$J$238:$J$451),0)
),0)</f>
        <v>0</v>
      </c>
      <c r="R191" s="9">
        <f>IFERROR(
SUM(
SUMIF('TL01'!C:C,C191,'TL01'!J:J),
SUMIF('TL02'!C:C,C191,'TL02'!J:J),
SUMIF('TL03'!C:C,C191,'TL03'!J:J),
SUMIF('TL04'!C:C,C191,'TL04'!J:J),
SUMIF('TL05'!C:C,C191,'TL05'!J:J),
SUMIF('TL06'!C:C,C191,'TL06'!J:J),
SUMIF('TL07'!C:C,C191,'TL07'!J:J),
SUMIF('TL08'!C:C,C191,'TL08'!J:J),
SUMIF('TL09'!C:C,C191,'TL09'!J:J),
SUMIF('TL10'!C:C,C191,'TL10'!J:J),
SUMIF('TL11'!C:C,C191,'TL11'!J:J),
SUMIF('TL12'!C:C,C191,'TL12'!J:J),
SUMIF('TL13'!C:C,C191,'TL13'!J:J),
SUMIF('TL14'!C:C,C191,'TL14'!J:J),
SUMIF('TL15'!C:C,C191,'TL15'!J:J),
SUMIF('TL16'!C:C,C191,'TL16'!J:J),
SUMIF('TL17'!C:C,C191,'TL17'!J:J),
SUMIF('TL18'!C:C,C191,'TL18'!J:J),SUMIF('TL19'!C:C,C191,'TL19'!J:J))
,0)</f>
        <v>33</v>
      </c>
      <c r="S191" s="17">
        <f>IFERROR(__xludf.DUMMYFUNCTION("IFERROR(VLOOKUP(C191,
IMPORTRANGE(""1wULbzX32WdYsx-lj2U3uUNBBe2INVIRDtcK0d-Dvl90"",
""26-27!C:G""),
5,
FALSE),
"""")"),510.11406)</f>
        <v>510.11406</v>
      </c>
      <c r="T191" s="9"/>
      <c r="U191" s="92">
        <f t="shared" si="2"/>
        <v>33</v>
      </c>
      <c r="V191" s="93">
        <f t="shared" si="3"/>
        <v>16833.76398</v>
      </c>
    </row>
    <row r="192" ht="15.75" hidden="1" customHeight="1">
      <c r="A192" s="87" t="s">
        <v>353</v>
      </c>
      <c r="B192" s="88" t="s">
        <v>2</v>
      </c>
      <c r="C192" s="89" t="s">
        <v>794</v>
      </c>
      <c r="D192" s="89" t="s">
        <v>795</v>
      </c>
      <c r="E192" s="89" t="s">
        <v>796</v>
      </c>
      <c r="F192" s="4" t="s">
        <v>392</v>
      </c>
      <c r="G192" s="90" t="str">
        <f t="shared" si="4"/>
        <v>📄 Ver bula</v>
      </c>
      <c r="H192" s="9">
        <f>IFERROR(__xludf.DUMMYFUNCTION("IFERROR(VLOOKUP(C192,
IMPORTRANGE(""1wULbzX32WdYsx-lj2U3uUNBBe2INVIRDtcK0d-Dvl90"",
""26-27!C:K""),
8,
FALSE),
"""")"),0.3)</f>
        <v>0.3</v>
      </c>
      <c r="I192" s="91" t="s">
        <v>797</v>
      </c>
      <c r="J192" s="9">
        <f>IFERROR(SUM(
IF('TL01'!$B$3=J$3,SUMIF('TL01'!$C$10:$C$224,$C192,'TL01'!$J$10:$J$224),0),
IF('TL01'!$B$229=J$3,SUMIF('TL01'!$C$238:$C$451,$C192,'TL01'!$J$238:$J$451),0),
IF('TL02'!$B$3=J$3,SUMIF('TL02'!$C$10:$C$224,$C192,'TL02'!$J$10:$J$224),0),
IF('TL02'!$B$229=J$3,SUMIF('TL02'!$C$238:$C$451,$C192,'TL02'!$J$238:$J$451),0),
IF('TL03'!$B$3=J$3,SUMIF('TL03'!$C$10:$C$224,$C192,'TL03'!$J$10:$J$224),0),
IF('TL03'!$B$229=J$3,SUMIF('TL03'!$C$238:$C$451,$C192,'TL03'!$J$238:$J$451),0),
IF('TL04'!$B$3=J$3,SUMIF('TL04'!$C$10:$C$224,$C192,'TL04'!$J$10:$J$224),0),
IF('TL04'!$B$229=J$3,SUMIF('TL04'!$C$238:$C$451,$C192,'TL04'!$J$238:$J$451),0),
IF('TL05'!$B$3=J$3,SUMIF('TL05'!$C$10:$C$224,$C192,'TL05'!$J$10:$J$224),0),
IF('TL05'!$B$229=J$3,SUMIF('TL05'!$C$238:$C$451,$C192,'TL05'!$J$238:$J$451),0),
IF('TL06'!$B$3=J$3,SUMIF('TL06'!$C$10:$C$224,$C192,'TL06'!$J$10:$J$224),0),
IF('TL06'!$B$229=J$3,SUMIF('TL06'!$C$238:$C$451,$C192,'TL06'!$J$238:$J$451),0),
IF('TL07'!$B$3=J$3,SUMIF('TL07'!$C$10:$C$224,$C192,'TL07'!$J$10:$J$224),0),
IF('TL07'!$B$229=J$3,SUMIF('TL07'!$C$238:$C$451,$C192,'TL07'!$J$238:$J$451),0),
IF('TL08'!$B$3=J$3,SUMIF('TL08'!$C$10:$C$224,$C192,'TL08'!$J$10:$J$224),0),
IF('TL08'!$B$229=J$3,SUMIF('TL08'!$C$238:$C$451,$C192,'TL08'!$J$238:$J$451),0),
IF('TL09'!$B$3=J$3,SUMIF('TL09'!$C$10:$C$224,$C192,'TL09'!$J$10:$J$224),0),
IF('TL09'!$B$229=J$3,SUMIF('TL09'!$C$238:$C$451,$C192,'TL09'!$J$238:$J$451),0),
IF('TL10'!$B$3=J$3,SUMIF('TL10'!$C$10:$C$224,$C192,'TL10'!$J$10:$J$224),0),
IF('TL10'!$B$229=J$3,SUMIF('TL10'!$C$238:$C$451,$C192,'TL10'!$J$238:$J$451),0),
IF('TL11'!$B$3=J$3,SUMIF('TL11'!$C$10:$C$224,$C192,'TL11'!$J$10:$J$224),0),
IF('TL11'!$B$229=J$3,SUMIF('TL11'!$C$238:$C$451,$C192,'TL11'!$J$238:$J$451),0),
IF('TL12'!$B$3=J$3,SUMIF('TL12'!$C$10:$C$224,$C192,'TL12'!$J$10:$J$224),0),
IF('TL12'!$B$229=J$3,SUMIF('TL12'!$C$238:$C$451,$C192,'TL12'!$J$238:$J$451),0),
IF('TL13'!$B$3=J$3,SUMIF('TL13'!$C$10:$C$224,$C192,'TL13'!$J$10:$J$224),0),
IF('TL13'!$B$229=J$3,SUMIF('TL13'!$C$238:$C$451,$C192,'TL13'!$J$238:$J$451),0),
IF('TL14'!$B$3=J$3,SUMIF('TL14'!$C$10:$C$224,$C192,'TL14'!$J$10:$J$224),0),
IF('TL14'!$B$229=J$3,SUMIF('TL14'!$C$238:$C$451,$C192,'TL14'!$J$238:$J$451),0),
IF('TL15'!$B$3=J$3,SUMIF('TL15'!$C$10:$C$224,$C192,'TL15'!$J$10:$J$224),0),
IF('TL15'!$B$229=J$3,SUMIF('TL15'!$C$238:$C$451,$C192,'TL15'!$J$238:$J$451),0),
IF('TL16'!$B$3=J$3,SUMIF('TL16'!$C$10:$C$224,$C192,'TL16'!$J$10:$J$224),0),
IF('TL16'!$B$229=J$3,SUMIF('TL16'!$C$238:$C$451,$C192,'TL16'!$J$238:$J$451),0),
IF('TL17'!$B$3=J$3,SUMIF('TL17'!$C$10:$C$224,$C192,'TL17'!$J$10:$J$224),0),
IF('TL17'!$B$229=J$3,SUMIF('TL17'!$C$238:$C$451,$C192,'TL17'!$J$238:$J$451),0),
IF('TL18'!$B$3=J$3,SUMIF('TL18'!$C$10:$C$224,$C192,'TL18'!$J$10:$J$224),0),
IF('TL18'!$B$229=J$3,SUMIF('TL18'!$C$238:$C$451,$C192,'TL18'!$J$238:$J$451),0),
IF('TL19'!$B$3=J$3,SUMIF('TL19'!$C$10:$C$224,$C192,'TL19'!$J$10:$J$224),0),
IF('TL19'!$B$229=J$3,SUMIF('TL19'!$C$238:$C$451,$C192,'TL19'!$J$238:$J$451),0)
),0)</f>
        <v>0</v>
      </c>
      <c r="K192" s="9">
        <f>IFERROR(SUM(
IF('TL01'!$B$3=K$3,SUMIF('TL01'!$C$10:$C$224,$C192,'TL01'!$J$10:$J$224),0),
IF('TL01'!$B$229=K$3,SUMIF('TL01'!$C$238:$C$451,$C192,'TL01'!$J$238:$J$451),0),
IF('TL02'!$B$3=K$3,SUMIF('TL02'!$C$10:$C$224,$C192,'TL02'!$J$10:$J$224),0),
IF('TL02'!$B$229=K$3,SUMIF('TL02'!$C$238:$C$451,$C192,'TL02'!$J$238:$J$451),0),
IF('TL03'!$B$3=K$3,SUMIF('TL03'!$C$10:$C$224,$C192,'TL03'!$J$10:$J$224),0),
IF('TL03'!$B$229=K$3,SUMIF('TL03'!$C$238:$C$451,$C192,'TL03'!$J$238:$J$451),0),
IF('TL04'!$B$3=K$3,SUMIF('TL04'!$C$10:$C$224,$C192,'TL04'!$J$10:$J$224),0),
IF('TL04'!$B$229=K$3,SUMIF('TL04'!$C$238:$C$451,$C192,'TL04'!$J$238:$J$451),0),
IF('TL05'!$B$3=K$3,SUMIF('TL05'!$C$10:$C$224,$C192,'TL05'!$J$10:$J$224),0),
IF('TL05'!$B$229=K$3,SUMIF('TL05'!$C$238:$C$451,$C192,'TL05'!$J$238:$J$451),0),
IF('TL06'!$B$3=K$3,SUMIF('TL06'!$C$10:$C$224,$C192,'TL06'!$J$10:$J$224),0),
IF('TL06'!$B$229=K$3,SUMIF('TL06'!$C$238:$C$451,$C192,'TL06'!$J$238:$J$451),0),
IF('TL07'!$B$3=K$3,SUMIF('TL07'!$C$10:$C$224,$C192,'TL07'!$J$10:$J$224),0),
IF('TL07'!$B$229=K$3,SUMIF('TL07'!$C$238:$C$451,$C192,'TL07'!$J$238:$J$451),0),
IF('TL08'!$B$3=K$3,SUMIF('TL08'!$C$10:$C$224,$C192,'TL08'!$J$10:$J$224),0),
IF('TL08'!$B$229=K$3,SUMIF('TL08'!$C$238:$C$451,$C192,'TL08'!$J$238:$J$451),0),
IF('TL09'!$B$3=K$3,SUMIF('TL09'!$C$10:$C$224,$C192,'TL09'!$J$10:$J$224),0),
IF('TL09'!$B$229=K$3,SUMIF('TL09'!$C$238:$C$451,$C192,'TL09'!$J$238:$J$451),0),
IF('TL10'!$B$3=K$3,SUMIF('TL10'!$C$10:$C$224,$C192,'TL10'!$J$10:$J$224),0),
IF('TL10'!$B$229=K$3,SUMIF('TL10'!$C$238:$C$451,$C192,'TL10'!$J$238:$J$451),0),
IF('TL11'!$B$3=K$3,SUMIF('TL11'!$C$10:$C$224,$C192,'TL11'!$J$10:$J$224),0),
IF('TL11'!$B$229=K$3,SUMIF('TL11'!$C$238:$C$451,$C192,'TL11'!$J$238:$J$451),0),
IF('TL12'!$B$3=K$3,SUMIF('TL12'!$C$10:$C$224,$C192,'TL12'!$J$10:$J$224),0),
IF('TL12'!$B$229=K$3,SUMIF('TL12'!$C$238:$C$451,$C192,'TL12'!$J$238:$J$451),0),
IF('TL13'!$B$3=K$3,SUMIF('TL13'!$C$10:$C$224,$C192,'TL13'!$J$10:$J$224),0),
IF('TL13'!$B$229=K$3,SUMIF('TL13'!$C$238:$C$451,$C192,'TL13'!$J$238:$J$451),0),
IF('TL14'!$B$3=K$3,SUMIF('TL14'!$C$10:$C$224,$C192,'TL14'!$J$10:$J$224),0),
IF('TL14'!$B$229=K$3,SUMIF('TL14'!$C$238:$C$451,$C192,'TL14'!$J$238:$J$451),0),
IF('TL15'!$B$3=K$3,SUMIF('TL15'!$C$10:$C$224,$C192,'TL15'!$J$10:$J$224),0),
IF('TL15'!$B$229=K$3,SUMIF('TL15'!$C$238:$C$451,$C192,'TL15'!$J$238:$J$451),0),
IF('TL16'!$B$3=K$3,SUMIF('TL16'!$C$10:$C$224,$C192,'TL16'!$J$10:$J$224),0),
IF('TL16'!$B$229=K$3,SUMIF('TL16'!$C$238:$C$451,$C192,'TL16'!$J$238:$J$451),0),
IF('TL17'!$B$3=K$3,SUMIF('TL17'!$C$10:$C$224,$C192,'TL17'!$J$10:$J$224),0),
IF('TL17'!$B$229=K$3,SUMIF('TL17'!$C$238:$C$451,$C192,'TL17'!$J$238:$J$451),0),
IF('TL18'!$B$3=K$3,SUMIF('TL18'!$C$10:$C$224,$C192,'TL18'!$J$10:$J$224),0),
IF('TL18'!$B$229=K$3,SUMIF('TL18'!$C$238:$C$451,$C192,'TL18'!$J$238:$J$451),0),
IF('TL19'!$B$3=K$3,SUMIF('TL19'!$C$10:$C$224,$C192,'TL19'!$J$10:$J$224),0),
IF('TL19'!$B$229=K$3,SUMIF('TL19'!$C$238:$C$451,$C192,'TL19'!$J$238:$J$451),0)
),0)</f>
        <v>0</v>
      </c>
      <c r="L192" s="9">
        <f>IFERROR(SUM(
IF('TL01'!$B$3=L$3,SUMIF('TL01'!$C$10:$C$224,$C192,'TL01'!$J$10:$J$224),0),
IF('TL01'!$B$229=L$3,SUMIF('TL01'!$C$238:$C$451,$C192,'TL01'!$J$238:$J$451),0),
IF('TL02'!$B$3=L$3,SUMIF('TL02'!$C$10:$C$224,$C192,'TL02'!$J$10:$J$224),0),
IF('TL02'!$B$229=L$3,SUMIF('TL02'!$C$238:$C$451,$C192,'TL02'!$J$238:$J$451),0),
IF('TL03'!$B$3=L$3,SUMIF('TL03'!$C$10:$C$224,$C192,'TL03'!$J$10:$J$224),0),
IF('TL03'!$B$229=L$3,SUMIF('TL03'!$C$238:$C$451,$C192,'TL03'!$J$238:$J$451),0),
IF('TL04'!$B$3=L$3,SUMIF('TL04'!$C$10:$C$224,$C192,'TL04'!$J$10:$J$224),0),
IF('TL04'!$B$229=L$3,SUMIF('TL04'!$C$238:$C$451,$C192,'TL04'!$J$238:$J$451),0),
IF('TL05'!$B$3=L$3,SUMIF('TL05'!$C$10:$C$224,$C192,'TL05'!$J$10:$J$224),0),
IF('TL05'!$B$229=L$3,SUMIF('TL05'!$C$238:$C$451,$C192,'TL05'!$J$238:$J$451),0),
IF('TL06'!$B$3=L$3,SUMIF('TL06'!$C$10:$C$224,$C192,'TL06'!$J$10:$J$224),0),
IF('TL06'!$B$229=L$3,SUMIF('TL06'!$C$238:$C$451,$C192,'TL06'!$J$238:$J$451),0),
IF('TL07'!$B$3=L$3,SUMIF('TL07'!$C$10:$C$224,$C192,'TL07'!$J$10:$J$224),0),
IF('TL07'!$B$229=L$3,SUMIF('TL07'!$C$238:$C$451,$C192,'TL07'!$J$238:$J$451),0),
IF('TL08'!$B$3=L$3,SUMIF('TL08'!$C$10:$C$224,$C192,'TL08'!$J$10:$J$224),0),
IF('TL08'!$B$229=L$3,SUMIF('TL08'!$C$238:$C$451,$C192,'TL08'!$J$238:$J$451),0),
IF('TL09'!$B$3=L$3,SUMIF('TL09'!$C$10:$C$224,$C192,'TL09'!$J$10:$J$224),0),
IF('TL09'!$B$229=L$3,SUMIF('TL09'!$C$238:$C$451,$C192,'TL09'!$J$238:$J$451),0),
IF('TL10'!$B$3=L$3,SUMIF('TL10'!$C$10:$C$224,$C192,'TL10'!$J$10:$J$224),0),
IF('TL10'!$B$229=L$3,SUMIF('TL10'!$C$238:$C$451,$C192,'TL10'!$J$238:$J$451),0),
IF('TL11'!$B$3=L$3,SUMIF('TL11'!$C$10:$C$224,$C192,'TL11'!$J$10:$J$224),0),
IF('TL11'!$B$229=L$3,SUMIF('TL11'!$C$238:$C$451,$C192,'TL11'!$J$238:$J$451),0),
IF('TL12'!$B$3=L$3,SUMIF('TL12'!$C$10:$C$224,$C192,'TL12'!$J$10:$J$224),0),
IF('TL12'!$B$229=L$3,SUMIF('TL12'!$C$238:$C$451,$C192,'TL12'!$J$238:$J$451),0),
IF('TL13'!$B$3=L$3,SUMIF('TL13'!$C$10:$C$224,$C192,'TL13'!$J$10:$J$224),0),
IF('TL13'!$B$229=L$3,SUMIF('TL13'!$C$238:$C$451,$C192,'TL13'!$J$238:$J$451),0),
IF('TL14'!$B$3=L$3,SUMIF('TL14'!$C$10:$C$224,$C192,'TL14'!$J$10:$J$224),0),
IF('TL14'!$B$229=L$3,SUMIF('TL14'!$C$238:$C$451,$C192,'TL14'!$J$238:$J$451),0),
IF('TL15'!$B$3=L$3,SUMIF('TL15'!$C$10:$C$224,$C192,'TL15'!$J$10:$J$224),0),
IF('TL15'!$B$229=L$3,SUMIF('TL15'!$C$238:$C$451,$C192,'TL15'!$J$238:$J$451),0),
IF('TL16'!$B$3=L$3,SUMIF('TL16'!$C$10:$C$224,$C192,'TL16'!$J$10:$J$224),0),
IF('TL16'!$B$229=L$3,SUMIF('TL16'!$C$238:$C$451,$C192,'TL16'!$J$238:$J$451),0),
IF('TL17'!$B$3=L$3,SUMIF('TL17'!$C$10:$C$224,$C192,'TL17'!$J$10:$J$224),0),
IF('TL17'!$B$229=L$3,SUMIF('TL17'!$C$238:$C$451,$C192,'TL17'!$J$238:$J$451),0),
IF('TL18'!$B$3=L$3,SUMIF('TL18'!$C$10:$C$224,$C192,'TL18'!$J$10:$J$224),0),
IF('TL18'!$B$229=L$3,SUMIF('TL18'!$C$238:$C$451,$C192,'TL18'!$J$238:$J$451),0),
IF('TL19'!$B$3=L$3,SUMIF('TL19'!$C$10:$C$224,$C192,'TL19'!$J$10:$J$224),0),
IF('TL19'!$B$229=L$3,SUMIF('TL19'!$C$238:$C$451,$C192,'TL19'!$J$238:$J$451),0)
),0)</f>
        <v>0</v>
      </c>
      <c r="M192" s="9">
        <f>IFERROR(SUM(
IF('TL01'!$B$3=M$3,SUMIF('TL01'!$C$10:$C$224,$C192,'TL01'!$J$10:$J$224),0),
IF('TL01'!$B$229=M$3,SUMIF('TL01'!$C$238:$C$451,$C192,'TL01'!$J$238:$J$451),0),
IF('TL02'!$B$3=M$3,SUMIF('TL02'!$C$10:$C$224,$C192,'TL02'!$J$10:$J$224),0),
IF('TL02'!$B$229=M$3,SUMIF('TL02'!$C$238:$C$451,$C192,'TL02'!$J$238:$J$451),0),
IF('TL03'!$B$3=M$3,SUMIF('TL03'!$C$10:$C$224,$C192,'TL03'!$J$10:$J$224),0),
IF('TL03'!$B$229=M$3,SUMIF('TL03'!$C$238:$C$451,$C192,'TL03'!$J$238:$J$451),0),
IF('TL04'!$B$3=M$3,SUMIF('TL04'!$C$10:$C$224,$C192,'TL04'!$J$10:$J$224),0),
IF('TL04'!$B$229=M$3,SUMIF('TL04'!$C$238:$C$451,$C192,'TL04'!$J$238:$J$451),0),
IF('TL05'!$B$3=M$3,SUMIF('TL05'!$C$10:$C$224,$C192,'TL05'!$J$10:$J$224),0),
IF('TL05'!$B$229=M$3,SUMIF('TL05'!$C$238:$C$451,$C192,'TL05'!$J$238:$J$451),0),
IF('TL06'!$B$3=M$3,SUMIF('TL06'!$C$10:$C$224,$C192,'TL06'!$J$10:$J$224),0),
IF('TL06'!$B$229=M$3,SUMIF('TL06'!$C$238:$C$451,$C192,'TL06'!$J$238:$J$451),0),
IF('TL07'!$B$3=M$3,SUMIF('TL07'!$C$10:$C$224,$C192,'TL07'!$J$10:$J$224),0),
IF('TL07'!$B$229=M$3,SUMIF('TL07'!$C$238:$C$451,$C192,'TL07'!$J$238:$J$451),0),
IF('TL08'!$B$3=M$3,SUMIF('TL08'!$C$10:$C$224,$C192,'TL08'!$J$10:$J$224),0),
IF('TL08'!$B$229=M$3,SUMIF('TL08'!$C$238:$C$451,$C192,'TL08'!$J$238:$J$451),0),
IF('TL09'!$B$3=M$3,SUMIF('TL09'!$C$10:$C$224,$C192,'TL09'!$J$10:$J$224),0),
IF('TL09'!$B$229=M$3,SUMIF('TL09'!$C$238:$C$451,$C192,'TL09'!$J$238:$J$451),0),
IF('TL10'!$B$3=M$3,SUMIF('TL10'!$C$10:$C$224,$C192,'TL10'!$J$10:$J$224),0),
IF('TL10'!$B$229=M$3,SUMIF('TL10'!$C$238:$C$451,$C192,'TL10'!$J$238:$J$451),0),
IF('TL11'!$B$3=M$3,SUMIF('TL11'!$C$10:$C$224,$C192,'TL11'!$J$10:$J$224),0),
IF('TL11'!$B$229=M$3,SUMIF('TL11'!$C$238:$C$451,$C192,'TL11'!$J$238:$J$451),0),
IF('TL12'!$B$3=M$3,SUMIF('TL12'!$C$10:$C$224,$C192,'TL12'!$J$10:$J$224),0),
IF('TL12'!$B$229=M$3,SUMIF('TL12'!$C$238:$C$451,$C192,'TL12'!$J$238:$J$451),0),
IF('TL13'!$B$3=M$3,SUMIF('TL13'!$C$10:$C$224,$C192,'TL13'!$J$10:$J$224),0),
IF('TL13'!$B$229=M$3,SUMIF('TL13'!$C$238:$C$451,$C192,'TL13'!$J$238:$J$451),0),
IF('TL14'!$B$3=M$3,SUMIF('TL14'!$C$10:$C$224,$C192,'TL14'!$J$10:$J$224),0),
IF('TL14'!$B$229=M$3,SUMIF('TL14'!$C$238:$C$451,$C192,'TL14'!$J$238:$J$451),0),
IF('TL15'!$B$3=M$3,SUMIF('TL15'!$C$10:$C$224,$C192,'TL15'!$J$10:$J$224),0),
IF('TL15'!$B$229=M$3,SUMIF('TL15'!$C$238:$C$451,$C192,'TL15'!$J$238:$J$451),0),
IF('TL16'!$B$3=M$3,SUMIF('TL16'!$C$10:$C$224,$C192,'TL16'!$J$10:$J$224),0),
IF('TL16'!$B$229=M$3,SUMIF('TL16'!$C$238:$C$451,$C192,'TL16'!$J$238:$J$451),0),
IF('TL17'!$B$3=M$3,SUMIF('TL17'!$C$10:$C$224,$C192,'TL17'!$J$10:$J$224),0),
IF('TL17'!$B$229=M$3,SUMIF('TL17'!$C$238:$C$451,$C192,'TL17'!$J$238:$J$451),0),
IF('TL18'!$B$3=M$3,SUMIF('TL18'!$C$10:$C$224,$C192,'TL18'!$J$10:$J$224),0),
IF('TL18'!$B$229=M$3,SUMIF('TL18'!$C$238:$C$451,$C192,'TL18'!$J$238:$J$451),0),
IF('TL19'!$B$3=M$3,SUMIF('TL19'!$C$10:$C$224,$C192,'TL19'!$J$10:$J$224),0),
IF('TL19'!$B$229=M$3,SUMIF('TL19'!$C$238:$C$451,$C192,'TL19'!$J$238:$J$451),0)
),0)</f>
        <v>0</v>
      </c>
      <c r="N192" s="9">
        <f>IFERROR(SUM(
IF('TL01'!$B$3=N$3,SUMIF('TL01'!$C$10:$C$224,$C192,'TL01'!$J$10:$J$224),0),
IF('TL01'!$B$229=N$3,SUMIF('TL01'!$C$238:$C$451,$C192,'TL01'!$J$238:$J$451),0),
IF('TL02'!$B$3=N$3,SUMIF('TL02'!$C$10:$C$224,$C192,'TL02'!$J$10:$J$224),0),
IF('TL02'!$B$229=N$3,SUMIF('TL02'!$C$238:$C$451,$C192,'TL02'!$J$238:$J$451),0),
IF('TL03'!$B$3=N$3,SUMIF('TL03'!$C$10:$C$224,$C192,'TL03'!$J$10:$J$224),0),
IF('TL03'!$B$229=N$3,SUMIF('TL03'!$C$238:$C$451,$C192,'TL03'!$J$238:$J$451),0),
IF('TL04'!$B$3=N$3,SUMIF('TL04'!$C$10:$C$224,$C192,'TL04'!$J$10:$J$224),0),
IF('TL04'!$B$229=N$3,SUMIF('TL04'!$C$238:$C$451,$C192,'TL04'!$J$238:$J$451),0),
IF('TL05'!$B$3=N$3,SUMIF('TL05'!$C$10:$C$224,$C192,'TL05'!$J$10:$J$224),0),
IF('TL05'!$B$229=N$3,SUMIF('TL05'!$C$238:$C$451,$C192,'TL05'!$J$238:$J$451),0),
IF('TL06'!$B$3=N$3,SUMIF('TL06'!$C$10:$C$224,$C192,'TL06'!$J$10:$J$224),0),
IF('TL06'!$B$229=N$3,SUMIF('TL06'!$C$238:$C$451,$C192,'TL06'!$J$238:$J$451),0),
IF('TL07'!$B$3=N$3,SUMIF('TL07'!$C$10:$C$224,$C192,'TL07'!$J$10:$J$224),0),
IF('TL07'!$B$229=N$3,SUMIF('TL07'!$C$238:$C$451,$C192,'TL07'!$J$238:$J$451),0),
IF('TL08'!$B$3=N$3,SUMIF('TL08'!$C$10:$C$224,$C192,'TL08'!$J$10:$J$224),0),
IF('TL08'!$B$229=N$3,SUMIF('TL08'!$C$238:$C$451,$C192,'TL08'!$J$238:$J$451),0),
IF('TL09'!$B$3=N$3,SUMIF('TL09'!$C$10:$C$224,$C192,'TL09'!$J$10:$J$224),0),
IF('TL09'!$B$229=N$3,SUMIF('TL09'!$C$238:$C$451,$C192,'TL09'!$J$238:$J$451),0),
IF('TL10'!$B$3=N$3,SUMIF('TL10'!$C$10:$C$224,$C192,'TL10'!$J$10:$J$224),0),
IF('TL10'!$B$229=N$3,SUMIF('TL10'!$C$238:$C$451,$C192,'TL10'!$J$238:$J$451),0),
IF('TL11'!$B$3=N$3,SUMIF('TL11'!$C$10:$C$224,$C192,'TL11'!$J$10:$J$224),0),
IF('TL11'!$B$229=N$3,SUMIF('TL11'!$C$238:$C$451,$C192,'TL11'!$J$238:$J$451),0),
IF('TL12'!$B$3=N$3,SUMIF('TL12'!$C$10:$C$224,$C192,'TL12'!$J$10:$J$224),0),
IF('TL12'!$B$229=N$3,SUMIF('TL12'!$C$238:$C$451,$C192,'TL12'!$J$238:$J$451),0),
IF('TL13'!$B$3=N$3,SUMIF('TL13'!$C$10:$C$224,$C192,'TL13'!$J$10:$J$224),0),
IF('TL13'!$B$229=N$3,SUMIF('TL13'!$C$238:$C$451,$C192,'TL13'!$J$238:$J$451),0),
IF('TL14'!$B$3=N$3,SUMIF('TL14'!$C$10:$C$224,$C192,'TL14'!$J$10:$J$224),0),
IF('TL14'!$B$229=N$3,SUMIF('TL14'!$C$238:$C$451,$C192,'TL14'!$J$238:$J$451),0),
IF('TL15'!$B$3=N$3,SUMIF('TL15'!$C$10:$C$224,$C192,'TL15'!$J$10:$J$224),0),
IF('TL15'!$B$229=N$3,SUMIF('TL15'!$C$238:$C$451,$C192,'TL15'!$J$238:$J$451),0),
IF('TL16'!$B$3=N$3,SUMIF('TL16'!$C$10:$C$224,$C192,'TL16'!$J$10:$J$224),0),
IF('TL16'!$B$229=N$3,SUMIF('TL16'!$C$238:$C$451,$C192,'TL16'!$J$238:$J$451),0),
IF('TL17'!$B$3=N$3,SUMIF('TL17'!$C$10:$C$224,$C192,'TL17'!$J$10:$J$224),0),
IF('TL17'!$B$229=N$3,SUMIF('TL17'!$C$238:$C$451,$C192,'TL17'!$J$238:$J$451),0),
IF('TL18'!$B$3=N$3,SUMIF('TL18'!$C$10:$C$224,$C192,'TL18'!$J$10:$J$224),0),
IF('TL18'!$B$229=N$3,SUMIF('TL18'!$C$238:$C$451,$C192,'TL18'!$J$238:$J$451),0),
IF('TL19'!$B$3=N$3,SUMIF('TL19'!$C$10:$C$224,$C192,'TL19'!$J$10:$J$224),0),
IF('TL19'!$B$229=N$3,SUMIF('TL19'!$C$238:$C$451,$C192,'TL19'!$J$238:$J$451),0)
),0)</f>
        <v>0</v>
      </c>
      <c r="O192" s="9">
        <f>IFERROR(SUM(
IF('TL01'!$B$3=O$3,SUMIF('TL01'!$C$10:$C$224,$C192,'TL01'!$J$10:$J$224),0),
IF('TL01'!$B$229=O$3,SUMIF('TL01'!$C$238:$C$451,$C192,'TL01'!$J$238:$J$451),0),
IF('TL02'!$B$3=O$3,SUMIF('TL02'!$C$10:$C$224,$C192,'TL02'!$J$10:$J$224),0),
IF('TL02'!$B$229=O$3,SUMIF('TL02'!$C$238:$C$451,$C192,'TL02'!$J$238:$J$451),0),
IF('TL03'!$B$3=O$3,SUMIF('TL03'!$C$10:$C$224,$C192,'TL03'!$J$10:$J$224),0),
IF('TL03'!$B$229=O$3,SUMIF('TL03'!$C$238:$C$451,$C192,'TL03'!$J$238:$J$451),0),
IF('TL04'!$B$3=O$3,SUMIF('TL04'!$C$10:$C$224,$C192,'TL04'!$J$10:$J$224),0),
IF('TL04'!$B$229=O$3,SUMIF('TL04'!$C$238:$C$451,$C192,'TL04'!$J$238:$J$451),0),
IF('TL05'!$B$3=O$3,SUMIF('TL05'!$C$10:$C$224,$C192,'TL05'!$J$10:$J$224),0),
IF('TL05'!$B$229=O$3,SUMIF('TL05'!$C$238:$C$451,$C192,'TL05'!$J$238:$J$451),0),
IF('TL06'!$B$3=O$3,SUMIF('TL06'!$C$10:$C$224,$C192,'TL06'!$J$10:$J$224),0),
IF('TL06'!$B$229=O$3,SUMIF('TL06'!$C$238:$C$451,$C192,'TL06'!$J$238:$J$451),0),
IF('TL07'!$B$3=O$3,SUMIF('TL07'!$C$10:$C$224,$C192,'TL07'!$J$10:$J$224),0),
IF('TL07'!$B$229=O$3,SUMIF('TL07'!$C$238:$C$451,$C192,'TL07'!$J$238:$J$451),0),
IF('TL08'!$B$3=O$3,SUMIF('TL08'!$C$10:$C$224,$C192,'TL08'!$J$10:$J$224),0),
IF('TL08'!$B$229=O$3,SUMIF('TL08'!$C$238:$C$451,$C192,'TL08'!$J$238:$J$451),0),
IF('TL09'!$B$3=O$3,SUMIF('TL09'!$C$10:$C$224,$C192,'TL09'!$J$10:$J$224),0),
IF('TL09'!$B$229=O$3,SUMIF('TL09'!$C$238:$C$451,$C192,'TL09'!$J$238:$J$451),0),
IF('TL10'!$B$3=O$3,SUMIF('TL10'!$C$10:$C$224,$C192,'TL10'!$J$10:$J$224),0),
IF('TL10'!$B$229=O$3,SUMIF('TL10'!$C$238:$C$451,$C192,'TL10'!$J$238:$J$451),0),
IF('TL11'!$B$3=O$3,SUMIF('TL11'!$C$10:$C$224,$C192,'TL11'!$J$10:$J$224),0),
IF('TL11'!$B$229=O$3,SUMIF('TL11'!$C$238:$C$451,$C192,'TL11'!$J$238:$J$451),0),
IF('TL12'!$B$3=O$3,SUMIF('TL12'!$C$10:$C$224,$C192,'TL12'!$J$10:$J$224),0),
IF('TL12'!$B$229=O$3,SUMIF('TL12'!$C$238:$C$451,$C192,'TL12'!$J$238:$J$451),0),
IF('TL13'!$B$3=O$3,SUMIF('TL13'!$C$10:$C$224,$C192,'TL13'!$J$10:$J$224),0),
IF('TL13'!$B$229=O$3,SUMIF('TL13'!$C$238:$C$451,$C192,'TL13'!$J$238:$J$451),0),
IF('TL14'!$B$3=O$3,SUMIF('TL14'!$C$10:$C$224,$C192,'TL14'!$J$10:$J$224),0),
IF('TL14'!$B$229=O$3,SUMIF('TL14'!$C$238:$C$451,$C192,'TL14'!$J$238:$J$451),0),
IF('TL15'!$B$3=O$3,SUMIF('TL15'!$C$10:$C$224,$C192,'TL15'!$J$10:$J$224),0),
IF('TL15'!$B$229=O$3,SUMIF('TL15'!$C$238:$C$451,$C192,'TL15'!$J$238:$J$451),0),
IF('TL16'!$B$3=O$3,SUMIF('TL16'!$C$10:$C$224,$C192,'TL16'!$J$10:$J$224),0),
IF('TL16'!$B$229=O$3,SUMIF('TL16'!$C$238:$C$451,$C192,'TL16'!$J$238:$J$451),0),
IF('TL17'!$B$3=O$3,SUMIF('TL17'!$C$10:$C$224,$C192,'TL17'!$J$10:$J$224),0),
IF('TL17'!$B$229=O$3,SUMIF('TL17'!$C$238:$C$451,$C192,'TL17'!$J$238:$J$451),0),
IF('TL18'!$B$3=O$3,SUMIF('TL18'!$C$10:$C$224,$C192,'TL18'!$J$10:$J$224),0),
IF('TL18'!$B$229=O$3,SUMIF('TL18'!$C$238:$C$451,$C192,'TL18'!$J$238:$J$451),0),
IF('TL19'!$B$3=O$3,SUMIF('TL19'!$C$10:$C$224,$C192,'TL19'!$J$10:$J$224),0),
IF('TL19'!$B$229=O$3,SUMIF('TL19'!$C$238:$C$451,$C192,'TL19'!$J$238:$J$451),0)
),0)</f>
        <v>0</v>
      </c>
      <c r="P192" s="9">
        <f>IFERROR(SUM(
IF('TL01'!$B$3=P$3,SUMIF('TL01'!$C$10:$C$224,$C192,'TL01'!$J$10:$J$224),0),
IF('TL01'!$B$229=P$3,SUMIF('TL01'!$C$238:$C$451,$C192,'TL01'!$J$238:$J$451),0),
IF('TL02'!$B$3=P$3,SUMIF('TL02'!$C$10:$C$224,$C192,'TL02'!$J$10:$J$224),0),
IF('TL02'!$B$229=P$3,SUMIF('TL02'!$C$238:$C$451,$C192,'TL02'!$J$238:$J$451),0),
IF('TL03'!$B$3=P$3,SUMIF('TL03'!$C$10:$C$224,$C192,'TL03'!$J$10:$J$224),0),
IF('TL03'!$B$229=P$3,SUMIF('TL03'!$C$238:$C$451,$C192,'TL03'!$J$238:$J$451),0),
IF('TL04'!$B$3=P$3,SUMIF('TL04'!$C$10:$C$224,$C192,'TL04'!$J$10:$J$224),0),
IF('TL04'!$B$229=P$3,SUMIF('TL04'!$C$238:$C$451,$C192,'TL04'!$J$238:$J$451),0),
IF('TL05'!$B$3=P$3,SUMIF('TL05'!$C$10:$C$224,$C192,'TL05'!$J$10:$J$224),0),
IF('TL05'!$B$229=P$3,SUMIF('TL05'!$C$238:$C$451,$C192,'TL05'!$J$238:$J$451),0),
IF('TL06'!$B$3=P$3,SUMIF('TL06'!$C$10:$C$224,$C192,'TL06'!$J$10:$J$224),0),
IF('TL06'!$B$229=P$3,SUMIF('TL06'!$C$238:$C$451,$C192,'TL06'!$J$238:$J$451),0),
IF('TL07'!$B$3=P$3,SUMIF('TL07'!$C$10:$C$224,$C192,'TL07'!$J$10:$J$224),0),
IF('TL07'!$B$229=P$3,SUMIF('TL07'!$C$238:$C$451,$C192,'TL07'!$J$238:$J$451),0),
IF('TL08'!$B$3=P$3,SUMIF('TL08'!$C$10:$C$224,$C192,'TL08'!$J$10:$J$224),0),
IF('TL08'!$B$229=P$3,SUMIF('TL08'!$C$238:$C$451,$C192,'TL08'!$J$238:$J$451),0),
IF('TL09'!$B$3=P$3,SUMIF('TL09'!$C$10:$C$224,$C192,'TL09'!$J$10:$J$224),0),
IF('TL09'!$B$229=P$3,SUMIF('TL09'!$C$238:$C$451,$C192,'TL09'!$J$238:$J$451),0),
IF('TL10'!$B$3=P$3,SUMIF('TL10'!$C$10:$C$224,$C192,'TL10'!$J$10:$J$224),0),
IF('TL10'!$B$229=P$3,SUMIF('TL10'!$C$238:$C$451,$C192,'TL10'!$J$238:$J$451),0),
IF('TL11'!$B$3=P$3,SUMIF('TL11'!$C$10:$C$224,$C192,'TL11'!$J$10:$J$224),0),
IF('TL11'!$B$229=P$3,SUMIF('TL11'!$C$238:$C$451,$C192,'TL11'!$J$238:$J$451),0),
IF('TL12'!$B$3=P$3,SUMIF('TL12'!$C$10:$C$224,$C192,'TL12'!$J$10:$J$224),0),
IF('TL12'!$B$229=P$3,SUMIF('TL12'!$C$238:$C$451,$C192,'TL12'!$J$238:$J$451),0),
IF('TL13'!$B$3=P$3,SUMIF('TL13'!$C$10:$C$224,$C192,'TL13'!$J$10:$J$224),0),
IF('TL13'!$B$229=P$3,SUMIF('TL13'!$C$238:$C$451,$C192,'TL13'!$J$238:$J$451),0),
IF('TL14'!$B$3=P$3,SUMIF('TL14'!$C$10:$C$224,$C192,'TL14'!$J$10:$J$224),0),
IF('TL14'!$B$229=P$3,SUMIF('TL14'!$C$238:$C$451,$C192,'TL14'!$J$238:$J$451),0),
IF('TL15'!$B$3=P$3,SUMIF('TL15'!$C$10:$C$224,$C192,'TL15'!$J$10:$J$224),0),
IF('TL15'!$B$229=P$3,SUMIF('TL15'!$C$238:$C$451,$C192,'TL15'!$J$238:$J$451),0),
IF('TL16'!$B$3=P$3,SUMIF('TL16'!$C$10:$C$224,$C192,'TL16'!$J$10:$J$224),0),
IF('TL16'!$B$229=P$3,SUMIF('TL16'!$C$238:$C$451,$C192,'TL16'!$J$238:$J$451),0),
IF('TL17'!$B$3=P$3,SUMIF('TL17'!$C$10:$C$224,$C192,'TL17'!$J$10:$J$224),0),
IF('TL17'!$B$229=P$3,SUMIF('TL17'!$C$238:$C$451,$C192,'TL17'!$J$238:$J$451),0),
IF('TL18'!$B$3=P$3,SUMIF('TL18'!$C$10:$C$224,$C192,'TL18'!$J$10:$J$224),0),
IF('TL18'!$B$229=P$3,SUMIF('TL18'!$C$238:$C$451,$C192,'TL18'!$J$238:$J$451),0),
IF('TL19'!$B$3=P$3,SUMIF('TL19'!$C$10:$C$224,$C192,'TL19'!$J$10:$J$224),0),
IF('TL19'!$B$229=P$3,SUMIF('TL19'!$C$238:$C$451,$C192,'TL19'!$J$238:$J$451),0)
),0)</f>
        <v>0</v>
      </c>
      <c r="Q192" s="9">
        <f>IFERROR(SUM(
IF('TL01'!$B$3=Q$3,SUMIF('TL01'!$C$10:$C$224,$C192,'TL01'!$J$10:$J$224),0),
IF('TL01'!$B$229=Q$3,SUMIF('TL01'!$C$238:$C$451,$C192,'TL01'!$J$238:$J$451),0),
IF('TL02'!$B$3=Q$3,SUMIF('TL02'!$C$10:$C$224,$C192,'TL02'!$J$10:$J$224),0),
IF('TL02'!$B$229=Q$3,SUMIF('TL02'!$C$238:$C$451,$C192,'TL02'!$J$238:$J$451),0),
IF('TL03'!$B$3=Q$3,SUMIF('TL03'!$C$10:$C$224,$C192,'TL03'!$J$10:$J$224),0),
IF('TL03'!$B$229=Q$3,SUMIF('TL03'!$C$238:$C$451,$C192,'TL03'!$J$238:$J$451),0),
IF('TL04'!$B$3=Q$3,SUMIF('TL04'!$C$10:$C$224,$C192,'TL04'!$J$10:$J$224),0),
IF('TL04'!$B$229=Q$3,SUMIF('TL04'!$C$238:$C$451,$C192,'TL04'!$J$238:$J$451),0),
IF('TL05'!$B$3=Q$3,SUMIF('TL05'!$C$10:$C$224,$C192,'TL05'!$J$10:$J$224),0),
IF('TL05'!$B$229=Q$3,SUMIF('TL05'!$C$238:$C$451,$C192,'TL05'!$J$238:$J$451),0),
IF('TL06'!$B$3=Q$3,SUMIF('TL06'!$C$10:$C$224,$C192,'TL06'!$J$10:$J$224),0),
IF('TL06'!$B$229=Q$3,SUMIF('TL06'!$C$238:$C$451,$C192,'TL06'!$J$238:$J$451),0),
IF('TL07'!$B$3=Q$3,SUMIF('TL07'!$C$10:$C$224,$C192,'TL07'!$J$10:$J$224),0),
IF('TL07'!$B$229=Q$3,SUMIF('TL07'!$C$238:$C$451,$C192,'TL07'!$J$238:$J$451),0),
IF('TL08'!$B$3=Q$3,SUMIF('TL08'!$C$10:$C$224,$C192,'TL08'!$J$10:$J$224),0),
IF('TL08'!$B$229=Q$3,SUMIF('TL08'!$C$238:$C$451,$C192,'TL08'!$J$238:$J$451),0),
IF('TL09'!$B$3=Q$3,SUMIF('TL09'!$C$10:$C$224,$C192,'TL09'!$J$10:$J$224),0),
IF('TL09'!$B$229=Q$3,SUMIF('TL09'!$C$238:$C$451,$C192,'TL09'!$J$238:$J$451),0),
IF('TL10'!$B$3=Q$3,SUMIF('TL10'!$C$10:$C$224,$C192,'TL10'!$J$10:$J$224),0),
IF('TL10'!$B$229=Q$3,SUMIF('TL10'!$C$238:$C$451,$C192,'TL10'!$J$238:$J$451),0),
IF('TL11'!$B$3=Q$3,SUMIF('TL11'!$C$10:$C$224,$C192,'TL11'!$J$10:$J$224),0),
IF('TL11'!$B$229=Q$3,SUMIF('TL11'!$C$238:$C$451,$C192,'TL11'!$J$238:$J$451),0),
IF('TL12'!$B$3=Q$3,SUMIF('TL12'!$C$10:$C$224,$C192,'TL12'!$J$10:$J$224),0),
IF('TL12'!$B$229=Q$3,SUMIF('TL12'!$C$238:$C$451,$C192,'TL12'!$J$238:$J$451),0),
IF('TL13'!$B$3=Q$3,SUMIF('TL13'!$C$10:$C$224,$C192,'TL13'!$J$10:$J$224),0),
IF('TL13'!$B$229=Q$3,SUMIF('TL13'!$C$238:$C$451,$C192,'TL13'!$J$238:$J$451),0),
IF('TL14'!$B$3=Q$3,SUMIF('TL14'!$C$10:$C$224,$C192,'TL14'!$J$10:$J$224),0),
IF('TL14'!$B$229=Q$3,SUMIF('TL14'!$C$238:$C$451,$C192,'TL14'!$J$238:$J$451),0),
IF('TL15'!$B$3=Q$3,SUMIF('TL15'!$C$10:$C$224,$C192,'TL15'!$J$10:$J$224),0),
IF('TL15'!$B$229=Q$3,SUMIF('TL15'!$C$238:$C$451,$C192,'TL15'!$J$238:$J$451),0),
IF('TL16'!$B$3=Q$3,SUMIF('TL16'!$C$10:$C$224,$C192,'TL16'!$J$10:$J$224),0),
IF('TL16'!$B$229=Q$3,SUMIF('TL16'!$C$238:$C$451,$C192,'TL16'!$J$238:$J$451),0),
IF('TL17'!$B$3=Q$3,SUMIF('TL17'!$C$10:$C$224,$C192,'TL17'!$J$10:$J$224),0),
IF('TL17'!$B$229=Q$3,SUMIF('TL17'!$C$238:$C$451,$C192,'TL17'!$J$238:$J$451),0),
IF('TL18'!$B$3=Q$3,SUMIF('TL18'!$C$10:$C$224,$C192,'TL18'!$J$10:$J$224),0),
IF('TL18'!$B$229=Q$3,SUMIF('TL18'!$C$238:$C$451,$C192,'TL18'!$J$238:$J$451),0),
IF('TL19'!$B$3=Q$3,SUMIF('TL19'!$C$10:$C$224,$C192,'TL19'!$J$10:$J$224),0),
IF('TL19'!$B$229=Q$3,SUMIF('TL19'!$C$238:$C$451,$C192,'TL19'!$J$238:$J$451),0)
),0)</f>
        <v>0</v>
      </c>
      <c r="R192" s="9">
        <f>IFERROR(
SUM(
SUMIF('TL01'!C:C,C192,'TL01'!J:J),
SUMIF('TL02'!C:C,C192,'TL02'!J:J),
SUMIF('TL03'!C:C,C192,'TL03'!J:J),
SUMIF('TL04'!C:C,C192,'TL04'!J:J),
SUMIF('TL05'!C:C,C192,'TL05'!J:J),
SUMIF('TL06'!C:C,C192,'TL06'!J:J),
SUMIF('TL07'!C:C,C192,'TL07'!J:J),
SUMIF('TL08'!C:C,C192,'TL08'!J:J),
SUMIF('TL09'!C:C,C192,'TL09'!J:J),
SUMIF('TL10'!C:C,C192,'TL10'!J:J),
SUMIF('TL11'!C:C,C192,'TL11'!J:J),
SUMIF('TL12'!C:C,C192,'TL12'!J:J),
SUMIF('TL13'!C:C,C192,'TL13'!J:J),
SUMIF('TL14'!C:C,C192,'TL14'!J:J),
SUMIF('TL15'!C:C,C192,'TL15'!J:J),
SUMIF('TL16'!C:C,C192,'TL16'!J:J),
SUMIF('TL17'!C:C,C192,'TL17'!J:J),
SUMIF('TL18'!C:C,C192,'TL18'!J:J),SUMIF('TL19'!C:C,C192,'TL19'!J:J))
,0)</f>
        <v>0</v>
      </c>
      <c r="S192" s="17">
        <f>IFERROR(__xludf.DUMMYFUNCTION("IFERROR(VLOOKUP(C192,
IMPORTRANGE(""1wULbzX32WdYsx-lj2U3uUNBBe2INVIRDtcK0d-Dvl90"",
""26-27!C:G""),
5,
FALSE),
"""")"),97.56219)</f>
        <v>97.56219</v>
      </c>
      <c r="T192" s="9"/>
      <c r="U192" s="92">
        <f t="shared" si="2"/>
        <v>0</v>
      </c>
      <c r="V192" s="93">
        <f t="shared" si="3"/>
        <v>0</v>
      </c>
    </row>
    <row r="193" ht="15.75" hidden="1" customHeight="1">
      <c r="A193" s="94" t="s">
        <v>353</v>
      </c>
      <c r="B193" s="95" t="s">
        <v>2</v>
      </c>
      <c r="C193" s="96" t="s">
        <v>798</v>
      </c>
      <c r="D193" s="96" t="s">
        <v>799</v>
      </c>
      <c r="E193" s="96">
        <v>240.0</v>
      </c>
      <c r="F193" s="4" t="s">
        <v>343</v>
      </c>
      <c r="G193" s="90" t="str">
        <f t="shared" si="4"/>
        <v>📄 Ver bula</v>
      </c>
      <c r="H193" s="9">
        <f>IFERROR(__xludf.DUMMYFUNCTION("IFERROR(VLOOKUP(C193,
IMPORTRANGE(""1wULbzX32WdYsx-lj2U3uUNBBe2INVIRDtcK0d-Dvl90"",
""26-27!C:K""),
8,
FALSE),
"""")"),0.5)</f>
        <v>0.5</v>
      </c>
      <c r="I193" s="97" t="s">
        <v>361</v>
      </c>
      <c r="J193" s="9">
        <f>IFERROR(SUM(
IF('TL01'!$B$3=J$3,SUMIF('TL01'!$C$10:$C$224,$C193,'TL01'!$J$10:$J$224),0),
IF('TL01'!$B$229=J$3,SUMIF('TL01'!$C$238:$C$451,$C193,'TL01'!$J$238:$J$451),0),
IF('TL02'!$B$3=J$3,SUMIF('TL02'!$C$10:$C$224,$C193,'TL02'!$J$10:$J$224),0),
IF('TL02'!$B$229=J$3,SUMIF('TL02'!$C$238:$C$451,$C193,'TL02'!$J$238:$J$451),0),
IF('TL03'!$B$3=J$3,SUMIF('TL03'!$C$10:$C$224,$C193,'TL03'!$J$10:$J$224),0),
IF('TL03'!$B$229=J$3,SUMIF('TL03'!$C$238:$C$451,$C193,'TL03'!$J$238:$J$451),0),
IF('TL04'!$B$3=J$3,SUMIF('TL04'!$C$10:$C$224,$C193,'TL04'!$J$10:$J$224),0),
IF('TL04'!$B$229=J$3,SUMIF('TL04'!$C$238:$C$451,$C193,'TL04'!$J$238:$J$451),0),
IF('TL05'!$B$3=J$3,SUMIF('TL05'!$C$10:$C$224,$C193,'TL05'!$J$10:$J$224),0),
IF('TL05'!$B$229=J$3,SUMIF('TL05'!$C$238:$C$451,$C193,'TL05'!$J$238:$J$451),0),
IF('TL06'!$B$3=J$3,SUMIF('TL06'!$C$10:$C$224,$C193,'TL06'!$J$10:$J$224),0),
IF('TL06'!$B$229=J$3,SUMIF('TL06'!$C$238:$C$451,$C193,'TL06'!$J$238:$J$451),0),
IF('TL07'!$B$3=J$3,SUMIF('TL07'!$C$10:$C$224,$C193,'TL07'!$J$10:$J$224),0),
IF('TL07'!$B$229=J$3,SUMIF('TL07'!$C$238:$C$451,$C193,'TL07'!$J$238:$J$451),0),
IF('TL08'!$B$3=J$3,SUMIF('TL08'!$C$10:$C$224,$C193,'TL08'!$J$10:$J$224),0),
IF('TL08'!$B$229=J$3,SUMIF('TL08'!$C$238:$C$451,$C193,'TL08'!$J$238:$J$451),0),
IF('TL09'!$B$3=J$3,SUMIF('TL09'!$C$10:$C$224,$C193,'TL09'!$J$10:$J$224),0),
IF('TL09'!$B$229=J$3,SUMIF('TL09'!$C$238:$C$451,$C193,'TL09'!$J$238:$J$451),0),
IF('TL10'!$B$3=J$3,SUMIF('TL10'!$C$10:$C$224,$C193,'TL10'!$J$10:$J$224),0),
IF('TL10'!$B$229=J$3,SUMIF('TL10'!$C$238:$C$451,$C193,'TL10'!$J$238:$J$451),0),
IF('TL11'!$B$3=J$3,SUMIF('TL11'!$C$10:$C$224,$C193,'TL11'!$J$10:$J$224),0),
IF('TL11'!$B$229=J$3,SUMIF('TL11'!$C$238:$C$451,$C193,'TL11'!$J$238:$J$451),0),
IF('TL12'!$B$3=J$3,SUMIF('TL12'!$C$10:$C$224,$C193,'TL12'!$J$10:$J$224),0),
IF('TL12'!$B$229=J$3,SUMIF('TL12'!$C$238:$C$451,$C193,'TL12'!$J$238:$J$451),0),
IF('TL13'!$B$3=J$3,SUMIF('TL13'!$C$10:$C$224,$C193,'TL13'!$J$10:$J$224),0),
IF('TL13'!$B$229=J$3,SUMIF('TL13'!$C$238:$C$451,$C193,'TL13'!$J$238:$J$451),0),
IF('TL14'!$B$3=J$3,SUMIF('TL14'!$C$10:$C$224,$C193,'TL14'!$J$10:$J$224),0),
IF('TL14'!$B$229=J$3,SUMIF('TL14'!$C$238:$C$451,$C193,'TL14'!$J$238:$J$451),0),
IF('TL15'!$B$3=J$3,SUMIF('TL15'!$C$10:$C$224,$C193,'TL15'!$J$10:$J$224),0),
IF('TL15'!$B$229=J$3,SUMIF('TL15'!$C$238:$C$451,$C193,'TL15'!$J$238:$J$451),0),
IF('TL16'!$B$3=J$3,SUMIF('TL16'!$C$10:$C$224,$C193,'TL16'!$J$10:$J$224),0),
IF('TL16'!$B$229=J$3,SUMIF('TL16'!$C$238:$C$451,$C193,'TL16'!$J$238:$J$451),0),
IF('TL17'!$B$3=J$3,SUMIF('TL17'!$C$10:$C$224,$C193,'TL17'!$J$10:$J$224),0),
IF('TL17'!$B$229=J$3,SUMIF('TL17'!$C$238:$C$451,$C193,'TL17'!$J$238:$J$451),0),
IF('TL18'!$B$3=J$3,SUMIF('TL18'!$C$10:$C$224,$C193,'TL18'!$J$10:$J$224),0),
IF('TL18'!$B$229=J$3,SUMIF('TL18'!$C$238:$C$451,$C193,'TL18'!$J$238:$J$451),0),
IF('TL19'!$B$3=J$3,SUMIF('TL19'!$C$10:$C$224,$C193,'TL19'!$J$10:$J$224),0),
IF('TL19'!$B$229=J$3,SUMIF('TL19'!$C$238:$C$451,$C193,'TL19'!$J$238:$J$451),0)
),0)</f>
        <v>98</v>
      </c>
      <c r="K193" s="9">
        <f>IFERROR(SUM(
IF('TL01'!$B$3=K$3,SUMIF('TL01'!$C$10:$C$224,$C193,'TL01'!$J$10:$J$224),0),
IF('TL01'!$B$229=K$3,SUMIF('TL01'!$C$238:$C$451,$C193,'TL01'!$J$238:$J$451),0),
IF('TL02'!$B$3=K$3,SUMIF('TL02'!$C$10:$C$224,$C193,'TL02'!$J$10:$J$224),0),
IF('TL02'!$B$229=K$3,SUMIF('TL02'!$C$238:$C$451,$C193,'TL02'!$J$238:$J$451),0),
IF('TL03'!$B$3=K$3,SUMIF('TL03'!$C$10:$C$224,$C193,'TL03'!$J$10:$J$224),0),
IF('TL03'!$B$229=K$3,SUMIF('TL03'!$C$238:$C$451,$C193,'TL03'!$J$238:$J$451),0),
IF('TL04'!$B$3=K$3,SUMIF('TL04'!$C$10:$C$224,$C193,'TL04'!$J$10:$J$224),0),
IF('TL04'!$B$229=K$3,SUMIF('TL04'!$C$238:$C$451,$C193,'TL04'!$J$238:$J$451),0),
IF('TL05'!$B$3=K$3,SUMIF('TL05'!$C$10:$C$224,$C193,'TL05'!$J$10:$J$224),0),
IF('TL05'!$B$229=K$3,SUMIF('TL05'!$C$238:$C$451,$C193,'TL05'!$J$238:$J$451),0),
IF('TL06'!$B$3=K$3,SUMIF('TL06'!$C$10:$C$224,$C193,'TL06'!$J$10:$J$224),0),
IF('TL06'!$B$229=K$3,SUMIF('TL06'!$C$238:$C$451,$C193,'TL06'!$J$238:$J$451),0),
IF('TL07'!$B$3=K$3,SUMIF('TL07'!$C$10:$C$224,$C193,'TL07'!$J$10:$J$224),0),
IF('TL07'!$B$229=K$3,SUMIF('TL07'!$C$238:$C$451,$C193,'TL07'!$J$238:$J$451),0),
IF('TL08'!$B$3=K$3,SUMIF('TL08'!$C$10:$C$224,$C193,'TL08'!$J$10:$J$224),0),
IF('TL08'!$B$229=K$3,SUMIF('TL08'!$C$238:$C$451,$C193,'TL08'!$J$238:$J$451),0),
IF('TL09'!$B$3=K$3,SUMIF('TL09'!$C$10:$C$224,$C193,'TL09'!$J$10:$J$224),0),
IF('TL09'!$B$229=K$3,SUMIF('TL09'!$C$238:$C$451,$C193,'TL09'!$J$238:$J$451),0),
IF('TL10'!$B$3=K$3,SUMIF('TL10'!$C$10:$C$224,$C193,'TL10'!$J$10:$J$224),0),
IF('TL10'!$B$229=K$3,SUMIF('TL10'!$C$238:$C$451,$C193,'TL10'!$J$238:$J$451),0),
IF('TL11'!$B$3=K$3,SUMIF('TL11'!$C$10:$C$224,$C193,'TL11'!$J$10:$J$224),0),
IF('TL11'!$B$229=K$3,SUMIF('TL11'!$C$238:$C$451,$C193,'TL11'!$J$238:$J$451),0),
IF('TL12'!$B$3=K$3,SUMIF('TL12'!$C$10:$C$224,$C193,'TL12'!$J$10:$J$224),0),
IF('TL12'!$B$229=K$3,SUMIF('TL12'!$C$238:$C$451,$C193,'TL12'!$J$238:$J$451),0),
IF('TL13'!$B$3=K$3,SUMIF('TL13'!$C$10:$C$224,$C193,'TL13'!$J$10:$J$224),0),
IF('TL13'!$B$229=K$3,SUMIF('TL13'!$C$238:$C$451,$C193,'TL13'!$J$238:$J$451),0),
IF('TL14'!$B$3=K$3,SUMIF('TL14'!$C$10:$C$224,$C193,'TL14'!$J$10:$J$224),0),
IF('TL14'!$B$229=K$3,SUMIF('TL14'!$C$238:$C$451,$C193,'TL14'!$J$238:$J$451),0),
IF('TL15'!$B$3=K$3,SUMIF('TL15'!$C$10:$C$224,$C193,'TL15'!$J$10:$J$224),0),
IF('TL15'!$B$229=K$3,SUMIF('TL15'!$C$238:$C$451,$C193,'TL15'!$J$238:$J$451),0),
IF('TL16'!$B$3=K$3,SUMIF('TL16'!$C$10:$C$224,$C193,'TL16'!$J$10:$J$224),0),
IF('TL16'!$B$229=K$3,SUMIF('TL16'!$C$238:$C$451,$C193,'TL16'!$J$238:$J$451),0),
IF('TL17'!$B$3=K$3,SUMIF('TL17'!$C$10:$C$224,$C193,'TL17'!$J$10:$J$224),0),
IF('TL17'!$B$229=K$3,SUMIF('TL17'!$C$238:$C$451,$C193,'TL17'!$J$238:$J$451),0),
IF('TL18'!$B$3=K$3,SUMIF('TL18'!$C$10:$C$224,$C193,'TL18'!$J$10:$J$224),0),
IF('TL18'!$B$229=K$3,SUMIF('TL18'!$C$238:$C$451,$C193,'TL18'!$J$238:$J$451),0),
IF('TL19'!$B$3=K$3,SUMIF('TL19'!$C$10:$C$224,$C193,'TL19'!$J$10:$J$224),0),
IF('TL19'!$B$229=K$3,SUMIF('TL19'!$C$238:$C$451,$C193,'TL19'!$J$238:$J$451),0)
),0)</f>
        <v>0</v>
      </c>
      <c r="L193" s="9">
        <f>IFERROR(SUM(
IF('TL01'!$B$3=L$3,SUMIF('TL01'!$C$10:$C$224,$C193,'TL01'!$J$10:$J$224),0),
IF('TL01'!$B$229=L$3,SUMIF('TL01'!$C$238:$C$451,$C193,'TL01'!$J$238:$J$451),0),
IF('TL02'!$B$3=L$3,SUMIF('TL02'!$C$10:$C$224,$C193,'TL02'!$J$10:$J$224),0),
IF('TL02'!$B$229=L$3,SUMIF('TL02'!$C$238:$C$451,$C193,'TL02'!$J$238:$J$451),0),
IF('TL03'!$B$3=L$3,SUMIF('TL03'!$C$10:$C$224,$C193,'TL03'!$J$10:$J$224),0),
IF('TL03'!$B$229=L$3,SUMIF('TL03'!$C$238:$C$451,$C193,'TL03'!$J$238:$J$451),0),
IF('TL04'!$B$3=L$3,SUMIF('TL04'!$C$10:$C$224,$C193,'TL04'!$J$10:$J$224),0),
IF('TL04'!$B$229=L$3,SUMIF('TL04'!$C$238:$C$451,$C193,'TL04'!$J$238:$J$451),0),
IF('TL05'!$B$3=L$3,SUMIF('TL05'!$C$10:$C$224,$C193,'TL05'!$J$10:$J$224),0),
IF('TL05'!$B$229=L$3,SUMIF('TL05'!$C$238:$C$451,$C193,'TL05'!$J$238:$J$451),0),
IF('TL06'!$B$3=L$3,SUMIF('TL06'!$C$10:$C$224,$C193,'TL06'!$J$10:$J$224),0),
IF('TL06'!$B$229=L$3,SUMIF('TL06'!$C$238:$C$451,$C193,'TL06'!$J$238:$J$451),0),
IF('TL07'!$B$3=L$3,SUMIF('TL07'!$C$10:$C$224,$C193,'TL07'!$J$10:$J$224),0),
IF('TL07'!$B$229=L$3,SUMIF('TL07'!$C$238:$C$451,$C193,'TL07'!$J$238:$J$451),0),
IF('TL08'!$B$3=L$3,SUMIF('TL08'!$C$10:$C$224,$C193,'TL08'!$J$10:$J$224),0),
IF('TL08'!$B$229=L$3,SUMIF('TL08'!$C$238:$C$451,$C193,'TL08'!$J$238:$J$451),0),
IF('TL09'!$B$3=L$3,SUMIF('TL09'!$C$10:$C$224,$C193,'TL09'!$J$10:$J$224),0),
IF('TL09'!$B$229=L$3,SUMIF('TL09'!$C$238:$C$451,$C193,'TL09'!$J$238:$J$451),0),
IF('TL10'!$B$3=L$3,SUMIF('TL10'!$C$10:$C$224,$C193,'TL10'!$J$10:$J$224),0),
IF('TL10'!$B$229=L$3,SUMIF('TL10'!$C$238:$C$451,$C193,'TL10'!$J$238:$J$451),0),
IF('TL11'!$B$3=L$3,SUMIF('TL11'!$C$10:$C$224,$C193,'TL11'!$J$10:$J$224),0),
IF('TL11'!$B$229=L$3,SUMIF('TL11'!$C$238:$C$451,$C193,'TL11'!$J$238:$J$451),0),
IF('TL12'!$B$3=L$3,SUMIF('TL12'!$C$10:$C$224,$C193,'TL12'!$J$10:$J$224),0),
IF('TL12'!$B$229=L$3,SUMIF('TL12'!$C$238:$C$451,$C193,'TL12'!$J$238:$J$451),0),
IF('TL13'!$B$3=L$3,SUMIF('TL13'!$C$10:$C$224,$C193,'TL13'!$J$10:$J$224),0),
IF('TL13'!$B$229=L$3,SUMIF('TL13'!$C$238:$C$451,$C193,'TL13'!$J$238:$J$451),0),
IF('TL14'!$B$3=L$3,SUMIF('TL14'!$C$10:$C$224,$C193,'TL14'!$J$10:$J$224),0),
IF('TL14'!$B$229=L$3,SUMIF('TL14'!$C$238:$C$451,$C193,'TL14'!$J$238:$J$451),0),
IF('TL15'!$B$3=L$3,SUMIF('TL15'!$C$10:$C$224,$C193,'TL15'!$J$10:$J$224),0),
IF('TL15'!$B$229=L$3,SUMIF('TL15'!$C$238:$C$451,$C193,'TL15'!$J$238:$J$451),0),
IF('TL16'!$B$3=L$3,SUMIF('TL16'!$C$10:$C$224,$C193,'TL16'!$J$10:$J$224),0),
IF('TL16'!$B$229=L$3,SUMIF('TL16'!$C$238:$C$451,$C193,'TL16'!$J$238:$J$451),0),
IF('TL17'!$B$3=L$3,SUMIF('TL17'!$C$10:$C$224,$C193,'TL17'!$J$10:$J$224),0),
IF('TL17'!$B$229=L$3,SUMIF('TL17'!$C$238:$C$451,$C193,'TL17'!$J$238:$J$451),0),
IF('TL18'!$B$3=L$3,SUMIF('TL18'!$C$10:$C$224,$C193,'TL18'!$J$10:$J$224),0),
IF('TL18'!$B$229=L$3,SUMIF('TL18'!$C$238:$C$451,$C193,'TL18'!$J$238:$J$451),0),
IF('TL19'!$B$3=L$3,SUMIF('TL19'!$C$10:$C$224,$C193,'TL19'!$J$10:$J$224),0),
IF('TL19'!$B$229=L$3,SUMIF('TL19'!$C$238:$C$451,$C193,'TL19'!$J$238:$J$451),0)
),0)</f>
        <v>0</v>
      </c>
      <c r="M193" s="9">
        <f>IFERROR(SUM(
IF('TL01'!$B$3=M$3,SUMIF('TL01'!$C$10:$C$224,$C193,'TL01'!$J$10:$J$224),0),
IF('TL01'!$B$229=M$3,SUMIF('TL01'!$C$238:$C$451,$C193,'TL01'!$J$238:$J$451),0),
IF('TL02'!$B$3=M$3,SUMIF('TL02'!$C$10:$C$224,$C193,'TL02'!$J$10:$J$224),0),
IF('TL02'!$B$229=M$3,SUMIF('TL02'!$C$238:$C$451,$C193,'TL02'!$J$238:$J$451),0),
IF('TL03'!$B$3=M$3,SUMIF('TL03'!$C$10:$C$224,$C193,'TL03'!$J$10:$J$224),0),
IF('TL03'!$B$229=M$3,SUMIF('TL03'!$C$238:$C$451,$C193,'TL03'!$J$238:$J$451),0),
IF('TL04'!$B$3=M$3,SUMIF('TL04'!$C$10:$C$224,$C193,'TL04'!$J$10:$J$224),0),
IF('TL04'!$B$229=M$3,SUMIF('TL04'!$C$238:$C$451,$C193,'TL04'!$J$238:$J$451),0),
IF('TL05'!$B$3=M$3,SUMIF('TL05'!$C$10:$C$224,$C193,'TL05'!$J$10:$J$224),0),
IF('TL05'!$B$229=M$3,SUMIF('TL05'!$C$238:$C$451,$C193,'TL05'!$J$238:$J$451),0),
IF('TL06'!$B$3=M$3,SUMIF('TL06'!$C$10:$C$224,$C193,'TL06'!$J$10:$J$224),0),
IF('TL06'!$B$229=M$3,SUMIF('TL06'!$C$238:$C$451,$C193,'TL06'!$J$238:$J$451),0),
IF('TL07'!$B$3=M$3,SUMIF('TL07'!$C$10:$C$224,$C193,'TL07'!$J$10:$J$224),0),
IF('TL07'!$B$229=M$3,SUMIF('TL07'!$C$238:$C$451,$C193,'TL07'!$J$238:$J$451),0),
IF('TL08'!$B$3=M$3,SUMIF('TL08'!$C$10:$C$224,$C193,'TL08'!$J$10:$J$224),0),
IF('TL08'!$B$229=M$3,SUMIF('TL08'!$C$238:$C$451,$C193,'TL08'!$J$238:$J$451),0),
IF('TL09'!$B$3=M$3,SUMIF('TL09'!$C$10:$C$224,$C193,'TL09'!$J$10:$J$224),0),
IF('TL09'!$B$229=M$3,SUMIF('TL09'!$C$238:$C$451,$C193,'TL09'!$J$238:$J$451),0),
IF('TL10'!$B$3=M$3,SUMIF('TL10'!$C$10:$C$224,$C193,'TL10'!$J$10:$J$224),0),
IF('TL10'!$B$229=M$3,SUMIF('TL10'!$C$238:$C$451,$C193,'TL10'!$J$238:$J$451),0),
IF('TL11'!$B$3=M$3,SUMIF('TL11'!$C$10:$C$224,$C193,'TL11'!$J$10:$J$224),0),
IF('TL11'!$B$229=M$3,SUMIF('TL11'!$C$238:$C$451,$C193,'TL11'!$J$238:$J$451),0),
IF('TL12'!$B$3=M$3,SUMIF('TL12'!$C$10:$C$224,$C193,'TL12'!$J$10:$J$224),0),
IF('TL12'!$B$229=M$3,SUMIF('TL12'!$C$238:$C$451,$C193,'TL12'!$J$238:$J$451),0),
IF('TL13'!$B$3=M$3,SUMIF('TL13'!$C$10:$C$224,$C193,'TL13'!$J$10:$J$224),0),
IF('TL13'!$B$229=M$3,SUMIF('TL13'!$C$238:$C$451,$C193,'TL13'!$J$238:$J$451),0),
IF('TL14'!$B$3=M$3,SUMIF('TL14'!$C$10:$C$224,$C193,'TL14'!$J$10:$J$224),0),
IF('TL14'!$B$229=M$3,SUMIF('TL14'!$C$238:$C$451,$C193,'TL14'!$J$238:$J$451),0),
IF('TL15'!$B$3=M$3,SUMIF('TL15'!$C$10:$C$224,$C193,'TL15'!$J$10:$J$224),0),
IF('TL15'!$B$229=M$3,SUMIF('TL15'!$C$238:$C$451,$C193,'TL15'!$J$238:$J$451),0),
IF('TL16'!$B$3=M$3,SUMIF('TL16'!$C$10:$C$224,$C193,'TL16'!$J$10:$J$224),0),
IF('TL16'!$B$229=M$3,SUMIF('TL16'!$C$238:$C$451,$C193,'TL16'!$J$238:$J$451),0),
IF('TL17'!$B$3=M$3,SUMIF('TL17'!$C$10:$C$224,$C193,'TL17'!$J$10:$J$224),0),
IF('TL17'!$B$229=M$3,SUMIF('TL17'!$C$238:$C$451,$C193,'TL17'!$J$238:$J$451),0),
IF('TL18'!$B$3=M$3,SUMIF('TL18'!$C$10:$C$224,$C193,'TL18'!$J$10:$J$224),0),
IF('TL18'!$B$229=M$3,SUMIF('TL18'!$C$238:$C$451,$C193,'TL18'!$J$238:$J$451),0),
IF('TL19'!$B$3=M$3,SUMIF('TL19'!$C$10:$C$224,$C193,'TL19'!$J$10:$J$224),0),
IF('TL19'!$B$229=M$3,SUMIF('TL19'!$C$238:$C$451,$C193,'TL19'!$J$238:$J$451),0)
),0)</f>
        <v>0</v>
      </c>
      <c r="N193" s="9">
        <f>IFERROR(SUM(
IF('TL01'!$B$3=N$3,SUMIF('TL01'!$C$10:$C$224,$C193,'TL01'!$J$10:$J$224),0),
IF('TL01'!$B$229=N$3,SUMIF('TL01'!$C$238:$C$451,$C193,'TL01'!$J$238:$J$451),0),
IF('TL02'!$B$3=N$3,SUMIF('TL02'!$C$10:$C$224,$C193,'TL02'!$J$10:$J$224),0),
IF('TL02'!$B$229=N$3,SUMIF('TL02'!$C$238:$C$451,$C193,'TL02'!$J$238:$J$451),0),
IF('TL03'!$B$3=N$3,SUMIF('TL03'!$C$10:$C$224,$C193,'TL03'!$J$10:$J$224),0),
IF('TL03'!$B$229=N$3,SUMIF('TL03'!$C$238:$C$451,$C193,'TL03'!$J$238:$J$451),0),
IF('TL04'!$B$3=N$3,SUMIF('TL04'!$C$10:$C$224,$C193,'TL04'!$J$10:$J$224),0),
IF('TL04'!$B$229=N$3,SUMIF('TL04'!$C$238:$C$451,$C193,'TL04'!$J$238:$J$451),0),
IF('TL05'!$B$3=N$3,SUMIF('TL05'!$C$10:$C$224,$C193,'TL05'!$J$10:$J$224),0),
IF('TL05'!$B$229=N$3,SUMIF('TL05'!$C$238:$C$451,$C193,'TL05'!$J$238:$J$451),0),
IF('TL06'!$B$3=N$3,SUMIF('TL06'!$C$10:$C$224,$C193,'TL06'!$J$10:$J$224),0),
IF('TL06'!$B$229=N$3,SUMIF('TL06'!$C$238:$C$451,$C193,'TL06'!$J$238:$J$451),0),
IF('TL07'!$B$3=N$3,SUMIF('TL07'!$C$10:$C$224,$C193,'TL07'!$J$10:$J$224),0),
IF('TL07'!$B$229=N$3,SUMIF('TL07'!$C$238:$C$451,$C193,'TL07'!$J$238:$J$451),0),
IF('TL08'!$B$3=N$3,SUMIF('TL08'!$C$10:$C$224,$C193,'TL08'!$J$10:$J$224),0),
IF('TL08'!$B$229=N$3,SUMIF('TL08'!$C$238:$C$451,$C193,'TL08'!$J$238:$J$451),0),
IF('TL09'!$B$3=N$3,SUMIF('TL09'!$C$10:$C$224,$C193,'TL09'!$J$10:$J$224),0),
IF('TL09'!$B$229=N$3,SUMIF('TL09'!$C$238:$C$451,$C193,'TL09'!$J$238:$J$451),0),
IF('TL10'!$B$3=N$3,SUMIF('TL10'!$C$10:$C$224,$C193,'TL10'!$J$10:$J$224),0),
IF('TL10'!$B$229=N$3,SUMIF('TL10'!$C$238:$C$451,$C193,'TL10'!$J$238:$J$451),0),
IF('TL11'!$B$3=N$3,SUMIF('TL11'!$C$10:$C$224,$C193,'TL11'!$J$10:$J$224),0),
IF('TL11'!$B$229=N$3,SUMIF('TL11'!$C$238:$C$451,$C193,'TL11'!$J$238:$J$451),0),
IF('TL12'!$B$3=N$3,SUMIF('TL12'!$C$10:$C$224,$C193,'TL12'!$J$10:$J$224),0),
IF('TL12'!$B$229=N$3,SUMIF('TL12'!$C$238:$C$451,$C193,'TL12'!$J$238:$J$451),0),
IF('TL13'!$B$3=N$3,SUMIF('TL13'!$C$10:$C$224,$C193,'TL13'!$J$10:$J$224),0),
IF('TL13'!$B$229=N$3,SUMIF('TL13'!$C$238:$C$451,$C193,'TL13'!$J$238:$J$451),0),
IF('TL14'!$B$3=N$3,SUMIF('TL14'!$C$10:$C$224,$C193,'TL14'!$J$10:$J$224),0),
IF('TL14'!$B$229=N$3,SUMIF('TL14'!$C$238:$C$451,$C193,'TL14'!$J$238:$J$451),0),
IF('TL15'!$B$3=N$3,SUMIF('TL15'!$C$10:$C$224,$C193,'TL15'!$J$10:$J$224),0),
IF('TL15'!$B$229=N$3,SUMIF('TL15'!$C$238:$C$451,$C193,'TL15'!$J$238:$J$451),0),
IF('TL16'!$B$3=N$3,SUMIF('TL16'!$C$10:$C$224,$C193,'TL16'!$J$10:$J$224),0),
IF('TL16'!$B$229=N$3,SUMIF('TL16'!$C$238:$C$451,$C193,'TL16'!$J$238:$J$451),0),
IF('TL17'!$B$3=N$3,SUMIF('TL17'!$C$10:$C$224,$C193,'TL17'!$J$10:$J$224),0),
IF('TL17'!$B$229=N$3,SUMIF('TL17'!$C$238:$C$451,$C193,'TL17'!$J$238:$J$451),0),
IF('TL18'!$B$3=N$3,SUMIF('TL18'!$C$10:$C$224,$C193,'TL18'!$J$10:$J$224),0),
IF('TL18'!$B$229=N$3,SUMIF('TL18'!$C$238:$C$451,$C193,'TL18'!$J$238:$J$451),0),
IF('TL19'!$B$3=N$3,SUMIF('TL19'!$C$10:$C$224,$C193,'TL19'!$J$10:$J$224),0),
IF('TL19'!$B$229=N$3,SUMIF('TL19'!$C$238:$C$451,$C193,'TL19'!$J$238:$J$451),0)
),0)</f>
        <v>0</v>
      </c>
      <c r="O193" s="9">
        <f>IFERROR(SUM(
IF('TL01'!$B$3=O$3,SUMIF('TL01'!$C$10:$C$224,$C193,'TL01'!$J$10:$J$224),0),
IF('TL01'!$B$229=O$3,SUMIF('TL01'!$C$238:$C$451,$C193,'TL01'!$J$238:$J$451),0),
IF('TL02'!$B$3=O$3,SUMIF('TL02'!$C$10:$C$224,$C193,'TL02'!$J$10:$J$224),0),
IF('TL02'!$B$229=O$3,SUMIF('TL02'!$C$238:$C$451,$C193,'TL02'!$J$238:$J$451),0),
IF('TL03'!$B$3=O$3,SUMIF('TL03'!$C$10:$C$224,$C193,'TL03'!$J$10:$J$224),0),
IF('TL03'!$B$229=O$3,SUMIF('TL03'!$C$238:$C$451,$C193,'TL03'!$J$238:$J$451),0),
IF('TL04'!$B$3=O$3,SUMIF('TL04'!$C$10:$C$224,$C193,'TL04'!$J$10:$J$224),0),
IF('TL04'!$B$229=O$3,SUMIF('TL04'!$C$238:$C$451,$C193,'TL04'!$J$238:$J$451),0),
IF('TL05'!$B$3=O$3,SUMIF('TL05'!$C$10:$C$224,$C193,'TL05'!$J$10:$J$224),0),
IF('TL05'!$B$229=O$3,SUMIF('TL05'!$C$238:$C$451,$C193,'TL05'!$J$238:$J$451),0),
IF('TL06'!$B$3=O$3,SUMIF('TL06'!$C$10:$C$224,$C193,'TL06'!$J$10:$J$224),0),
IF('TL06'!$B$229=O$3,SUMIF('TL06'!$C$238:$C$451,$C193,'TL06'!$J$238:$J$451),0),
IF('TL07'!$B$3=O$3,SUMIF('TL07'!$C$10:$C$224,$C193,'TL07'!$J$10:$J$224),0),
IF('TL07'!$B$229=O$3,SUMIF('TL07'!$C$238:$C$451,$C193,'TL07'!$J$238:$J$451),0),
IF('TL08'!$B$3=O$3,SUMIF('TL08'!$C$10:$C$224,$C193,'TL08'!$J$10:$J$224),0),
IF('TL08'!$B$229=O$3,SUMIF('TL08'!$C$238:$C$451,$C193,'TL08'!$J$238:$J$451),0),
IF('TL09'!$B$3=O$3,SUMIF('TL09'!$C$10:$C$224,$C193,'TL09'!$J$10:$J$224),0),
IF('TL09'!$B$229=O$3,SUMIF('TL09'!$C$238:$C$451,$C193,'TL09'!$J$238:$J$451),0),
IF('TL10'!$B$3=O$3,SUMIF('TL10'!$C$10:$C$224,$C193,'TL10'!$J$10:$J$224),0),
IF('TL10'!$B$229=O$3,SUMIF('TL10'!$C$238:$C$451,$C193,'TL10'!$J$238:$J$451),0),
IF('TL11'!$B$3=O$3,SUMIF('TL11'!$C$10:$C$224,$C193,'TL11'!$J$10:$J$224),0),
IF('TL11'!$B$229=O$3,SUMIF('TL11'!$C$238:$C$451,$C193,'TL11'!$J$238:$J$451),0),
IF('TL12'!$B$3=O$3,SUMIF('TL12'!$C$10:$C$224,$C193,'TL12'!$J$10:$J$224),0),
IF('TL12'!$B$229=O$3,SUMIF('TL12'!$C$238:$C$451,$C193,'TL12'!$J$238:$J$451),0),
IF('TL13'!$B$3=O$3,SUMIF('TL13'!$C$10:$C$224,$C193,'TL13'!$J$10:$J$224),0),
IF('TL13'!$B$229=O$3,SUMIF('TL13'!$C$238:$C$451,$C193,'TL13'!$J$238:$J$451),0),
IF('TL14'!$B$3=O$3,SUMIF('TL14'!$C$10:$C$224,$C193,'TL14'!$J$10:$J$224),0),
IF('TL14'!$B$229=O$3,SUMIF('TL14'!$C$238:$C$451,$C193,'TL14'!$J$238:$J$451),0),
IF('TL15'!$B$3=O$3,SUMIF('TL15'!$C$10:$C$224,$C193,'TL15'!$J$10:$J$224),0),
IF('TL15'!$B$229=O$3,SUMIF('TL15'!$C$238:$C$451,$C193,'TL15'!$J$238:$J$451),0),
IF('TL16'!$B$3=O$3,SUMIF('TL16'!$C$10:$C$224,$C193,'TL16'!$J$10:$J$224),0),
IF('TL16'!$B$229=O$3,SUMIF('TL16'!$C$238:$C$451,$C193,'TL16'!$J$238:$J$451),0),
IF('TL17'!$B$3=O$3,SUMIF('TL17'!$C$10:$C$224,$C193,'TL17'!$J$10:$J$224),0),
IF('TL17'!$B$229=O$3,SUMIF('TL17'!$C$238:$C$451,$C193,'TL17'!$J$238:$J$451),0),
IF('TL18'!$B$3=O$3,SUMIF('TL18'!$C$10:$C$224,$C193,'TL18'!$J$10:$J$224),0),
IF('TL18'!$B$229=O$3,SUMIF('TL18'!$C$238:$C$451,$C193,'TL18'!$J$238:$J$451),0),
IF('TL19'!$B$3=O$3,SUMIF('TL19'!$C$10:$C$224,$C193,'TL19'!$J$10:$J$224),0),
IF('TL19'!$B$229=O$3,SUMIF('TL19'!$C$238:$C$451,$C193,'TL19'!$J$238:$J$451),0)
),0)</f>
        <v>0</v>
      </c>
      <c r="P193" s="9">
        <f>IFERROR(SUM(
IF('TL01'!$B$3=P$3,SUMIF('TL01'!$C$10:$C$224,$C193,'TL01'!$J$10:$J$224),0),
IF('TL01'!$B$229=P$3,SUMIF('TL01'!$C$238:$C$451,$C193,'TL01'!$J$238:$J$451),0),
IF('TL02'!$B$3=P$3,SUMIF('TL02'!$C$10:$C$224,$C193,'TL02'!$J$10:$J$224),0),
IF('TL02'!$B$229=P$3,SUMIF('TL02'!$C$238:$C$451,$C193,'TL02'!$J$238:$J$451),0),
IF('TL03'!$B$3=P$3,SUMIF('TL03'!$C$10:$C$224,$C193,'TL03'!$J$10:$J$224),0),
IF('TL03'!$B$229=P$3,SUMIF('TL03'!$C$238:$C$451,$C193,'TL03'!$J$238:$J$451),0),
IF('TL04'!$B$3=P$3,SUMIF('TL04'!$C$10:$C$224,$C193,'TL04'!$J$10:$J$224),0),
IF('TL04'!$B$229=P$3,SUMIF('TL04'!$C$238:$C$451,$C193,'TL04'!$J$238:$J$451),0),
IF('TL05'!$B$3=P$3,SUMIF('TL05'!$C$10:$C$224,$C193,'TL05'!$J$10:$J$224),0),
IF('TL05'!$B$229=P$3,SUMIF('TL05'!$C$238:$C$451,$C193,'TL05'!$J$238:$J$451),0),
IF('TL06'!$B$3=P$3,SUMIF('TL06'!$C$10:$C$224,$C193,'TL06'!$J$10:$J$224),0),
IF('TL06'!$B$229=P$3,SUMIF('TL06'!$C$238:$C$451,$C193,'TL06'!$J$238:$J$451),0),
IF('TL07'!$B$3=P$3,SUMIF('TL07'!$C$10:$C$224,$C193,'TL07'!$J$10:$J$224),0),
IF('TL07'!$B$229=P$3,SUMIF('TL07'!$C$238:$C$451,$C193,'TL07'!$J$238:$J$451),0),
IF('TL08'!$B$3=P$3,SUMIF('TL08'!$C$10:$C$224,$C193,'TL08'!$J$10:$J$224),0),
IF('TL08'!$B$229=P$3,SUMIF('TL08'!$C$238:$C$451,$C193,'TL08'!$J$238:$J$451),0),
IF('TL09'!$B$3=P$3,SUMIF('TL09'!$C$10:$C$224,$C193,'TL09'!$J$10:$J$224),0),
IF('TL09'!$B$229=P$3,SUMIF('TL09'!$C$238:$C$451,$C193,'TL09'!$J$238:$J$451),0),
IF('TL10'!$B$3=P$3,SUMIF('TL10'!$C$10:$C$224,$C193,'TL10'!$J$10:$J$224),0),
IF('TL10'!$B$229=P$3,SUMIF('TL10'!$C$238:$C$451,$C193,'TL10'!$J$238:$J$451),0),
IF('TL11'!$B$3=P$3,SUMIF('TL11'!$C$10:$C$224,$C193,'TL11'!$J$10:$J$224),0),
IF('TL11'!$B$229=P$3,SUMIF('TL11'!$C$238:$C$451,$C193,'TL11'!$J$238:$J$451),0),
IF('TL12'!$B$3=P$3,SUMIF('TL12'!$C$10:$C$224,$C193,'TL12'!$J$10:$J$224),0),
IF('TL12'!$B$229=P$3,SUMIF('TL12'!$C$238:$C$451,$C193,'TL12'!$J$238:$J$451),0),
IF('TL13'!$B$3=P$3,SUMIF('TL13'!$C$10:$C$224,$C193,'TL13'!$J$10:$J$224),0),
IF('TL13'!$B$229=P$3,SUMIF('TL13'!$C$238:$C$451,$C193,'TL13'!$J$238:$J$451),0),
IF('TL14'!$B$3=P$3,SUMIF('TL14'!$C$10:$C$224,$C193,'TL14'!$J$10:$J$224),0),
IF('TL14'!$B$229=P$3,SUMIF('TL14'!$C$238:$C$451,$C193,'TL14'!$J$238:$J$451),0),
IF('TL15'!$B$3=P$3,SUMIF('TL15'!$C$10:$C$224,$C193,'TL15'!$J$10:$J$224),0),
IF('TL15'!$B$229=P$3,SUMIF('TL15'!$C$238:$C$451,$C193,'TL15'!$J$238:$J$451),0),
IF('TL16'!$B$3=P$3,SUMIF('TL16'!$C$10:$C$224,$C193,'TL16'!$J$10:$J$224),0),
IF('TL16'!$B$229=P$3,SUMIF('TL16'!$C$238:$C$451,$C193,'TL16'!$J$238:$J$451),0),
IF('TL17'!$B$3=P$3,SUMIF('TL17'!$C$10:$C$224,$C193,'TL17'!$J$10:$J$224),0),
IF('TL17'!$B$229=P$3,SUMIF('TL17'!$C$238:$C$451,$C193,'TL17'!$J$238:$J$451),0),
IF('TL18'!$B$3=P$3,SUMIF('TL18'!$C$10:$C$224,$C193,'TL18'!$J$10:$J$224),0),
IF('TL18'!$B$229=P$3,SUMIF('TL18'!$C$238:$C$451,$C193,'TL18'!$J$238:$J$451),0),
IF('TL19'!$B$3=P$3,SUMIF('TL19'!$C$10:$C$224,$C193,'TL19'!$J$10:$J$224),0),
IF('TL19'!$B$229=P$3,SUMIF('TL19'!$C$238:$C$451,$C193,'TL19'!$J$238:$J$451),0)
),0)</f>
        <v>0</v>
      </c>
      <c r="Q193" s="9">
        <f>IFERROR(SUM(
IF('TL01'!$B$3=Q$3,SUMIF('TL01'!$C$10:$C$224,$C193,'TL01'!$J$10:$J$224),0),
IF('TL01'!$B$229=Q$3,SUMIF('TL01'!$C$238:$C$451,$C193,'TL01'!$J$238:$J$451),0),
IF('TL02'!$B$3=Q$3,SUMIF('TL02'!$C$10:$C$224,$C193,'TL02'!$J$10:$J$224),0),
IF('TL02'!$B$229=Q$3,SUMIF('TL02'!$C$238:$C$451,$C193,'TL02'!$J$238:$J$451),0),
IF('TL03'!$B$3=Q$3,SUMIF('TL03'!$C$10:$C$224,$C193,'TL03'!$J$10:$J$224),0),
IF('TL03'!$B$229=Q$3,SUMIF('TL03'!$C$238:$C$451,$C193,'TL03'!$J$238:$J$451),0),
IF('TL04'!$B$3=Q$3,SUMIF('TL04'!$C$10:$C$224,$C193,'TL04'!$J$10:$J$224),0),
IF('TL04'!$B$229=Q$3,SUMIF('TL04'!$C$238:$C$451,$C193,'TL04'!$J$238:$J$451),0),
IF('TL05'!$B$3=Q$3,SUMIF('TL05'!$C$10:$C$224,$C193,'TL05'!$J$10:$J$224),0),
IF('TL05'!$B$229=Q$3,SUMIF('TL05'!$C$238:$C$451,$C193,'TL05'!$J$238:$J$451),0),
IF('TL06'!$B$3=Q$3,SUMIF('TL06'!$C$10:$C$224,$C193,'TL06'!$J$10:$J$224),0),
IF('TL06'!$B$229=Q$3,SUMIF('TL06'!$C$238:$C$451,$C193,'TL06'!$J$238:$J$451),0),
IF('TL07'!$B$3=Q$3,SUMIF('TL07'!$C$10:$C$224,$C193,'TL07'!$J$10:$J$224),0),
IF('TL07'!$B$229=Q$3,SUMIF('TL07'!$C$238:$C$451,$C193,'TL07'!$J$238:$J$451),0),
IF('TL08'!$B$3=Q$3,SUMIF('TL08'!$C$10:$C$224,$C193,'TL08'!$J$10:$J$224),0),
IF('TL08'!$B$229=Q$3,SUMIF('TL08'!$C$238:$C$451,$C193,'TL08'!$J$238:$J$451),0),
IF('TL09'!$B$3=Q$3,SUMIF('TL09'!$C$10:$C$224,$C193,'TL09'!$J$10:$J$224),0),
IF('TL09'!$B$229=Q$3,SUMIF('TL09'!$C$238:$C$451,$C193,'TL09'!$J$238:$J$451),0),
IF('TL10'!$B$3=Q$3,SUMIF('TL10'!$C$10:$C$224,$C193,'TL10'!$J$10:$J$224),0),
IF('TL10'!$B$229=Q$3,SUMIF('TL10'!$C$238:$C$451,$C193,'TL10'!$J$238:$J$451),0),
IF('TL11'!$B$3=Q$3,SUMIF('TL11'!$C$10:$C$224,$C193,'TL11'!$J$10:$J$224),0),
IF('TL11'!$B$229=Q$3,SUMIF('TL11'!$C$238:$C$451,$C193,'TL11'!$J$238:$J$451),0),
IF('TL12'!$B$3=Q$3,SUMIF('TL12'!$C$10:$C$224,$C193,'TL12'!$J$10:$J$224),0),
IF('TL12'!$B$229=Q$3,SUMIF('TL12'!$C$238:$C$451,$C193,'TL12'!$J$238:$J$451),0),
IF('TL13'!$B$3=Q$3,SUMIF('TL13'!$C$10:$C$224,$C193,'TL13'!$J$10:$J$224),0),
IF('TL13'!$B$229=Q$3,SUMIF('TL13'!$C$238:$C$451,$C193,'TL13'!$J$238:$J$451),0),
IF('TL14'!$B$3=Q$3,SUMIF('TL14'!$C$10:$C$224,$C193,'TL14'!$J$10:$J$224),0),
IF('TL14'!$B$229=Q$3,SUMIF('TL14'!$C$238:$C$451,$C193,'TL14'!$J$238:$J$451),0),
IF('TL15'!$B$3=Q$3,SUMIF('TL15'!$C$10:$C$224,$C193,'TL15'!$J$10:$J$224),0),
IF('TL15'!$B$229=Q$3,SUMIF('TL15'!$C$238:$C$451,$C193,'TL15'!$J$238:$J$451),0),
IF('TL16'!$B$3=Q$3,SUMIF('TL16'!$C$10:$C$224,$C193,'TL16'!$J$10:$J$224),0),
IF('TL16'!$B$229=Q$3,SUMIF('TL16'!$C$238:$C$451,$C193,'TL16'!$J$238:$J$451),0),
IF('TL17'!$B$3=Q$3,SUMIF('TL17'!$C$10:$C$224,$C193,'TL17'!$J$10:$J$224),0),
IF('TL17'!$B$229=Q$3,SUMIF('TL17'!$C$238:$C$451,$C193,'TL17'!$J$238:$J$451),0),
IF('TL18'!$B$3=Q$3,SUMIF('TL18'!$C$10:$C$224,$C193,'TL18'!$J$10:$J$224),0),
IF('TL18'!$B$229=Q$3,SUMIF('TL18'!$C$238:$C$451,$C193,'TL18'!$J$238:$J$451),0),
IF('TL19'!$B$3=Q$3,SUMIF('TL19'!$C$10:$C$224,$C193,'TL19'!$J$10:$J$224),0),
IF('TL19'!$B$229=Q$3,SUMIF('TL19'!$C$238:$C$451,$C193,'TL19'!$J$238:$J$451),0)
),0)</f>
        <v>0</v>
      </c>
      <c r="R193" s="9">
        <f>IFERROR(
SUM(
SUMIF('TL01'!C:C,C193,'TL01'!J:J),
SUMIF('TL02'!C:C,C193,'TL02'!J:J),
SUMIF('TL03'!C:C,C193,'TL03'!J:J),
SUMIF('TL04'!C:C,C193,'TL04'!J:J),
SUMIF('TL05'!C:C,C193,'TL05'!J:J),
SUMIF('TL06'!C:C,C193,'TL06'!J:J),
SUMIF('TL07'!C:C,C193,'TL07'!J:J),
SUMIF('TL08'!C:C,C193,'TL08'!J:J),
SUMIF('TL09'!C:C,C193,'TL09'!J:J),
SUMIF('TL10'!C:C,C193,'TL10'!J:J),
SUMIF('TL11'!C:C,C193,'TL11'!J:J),
SUMIF('TL12'!C:C,C193,'TL12'!J:J),
SUMIF('TL13'!C:C,C193,'TL13'!J:J),
SUMIF('TL14'!C:C,C193,'TL14'!J:J),
SUMIF('TL15'!C:C,C193,'TL15'!J:J),
SUMIF('TL16'!C:C,C193,'TL16'!J:J),
SUMIF('TL17'!C:C,C193,'TL17'!J:J),
SUMIF('TL18'!C:C,C193,'TL18'!J:J),SUMIF('TL19'!C:C,C193,'TL19'!J:J))
,0)</f>
        <v>98</v>
      </c>
      <c r="S193" s="17">
        <f>IFERROR(__xludf.DUMMYFUNCTION("IFERROR(VLOOKUP(C193,
IMPORTRANGE(""1wULbzX32WdYsx-lj2U3uUNBBe2INVIRDtcK0d-Dvl90"",
""26-27!C:G""),
5,
FALSE),
"""")"),82.42131)</f>
        <v>82.42131</v>
      </c>
      <c r="T193" s="9"/>
      <c r="U193" s="92">
        <f t="shared" si="2"/>
        <v>98</v>
      </c>
      <c r="V193" s="93">
        <f t="shared" si="3"/>
        <v>8077.28838</v>
      </c>
    </row>
    <row r="194" ht="15.75" hidden="1" customHeight="1">
      <c r="A194" s="87" t="s">
        <v>353</v>
      </c>
      <c r="B194" s="88" t="s">
        <v>2</v>
      </c>
      <c r="C194" s="89" t="s">
        <v>800</v>
      </c>
      <c r="D194" s="89" t="s">
        <v>801</v>
      </c>
      <c r="E194" s="89" t="s">
        <v>802</v>
      </c>
      <c r="F194" s="4" t="s">
        <v>392</v>
      </c>
      <c r="G194" s="90" t="str">
        <f t="shared" si="4"/>
        <v>📄 Ver bula</v>
      </c>
      <c r="H194" s="9">
        <f>IFERROR(__xludf.DUMMYFUNCTION("IFERROR(VLOOKUP(C194,
IMPORTRANGE(""1wULbzX32WdYsx-lj2U3uUNBBe2INVIRDtcK0d-Dvl90"",
""26-27!C:K""),
8,
FALSE),
"""")"),0.25)</f>
        <v>0.25</v>
      </c>
      <c r="I194" s="91" t="s">
        <v>361</v>
      </c>
      <c r="J194" s="9">
        <f>IFERROR(SUM(
IF('TL01'!$B$3=J$3,SUMIF('TL01'!$C$10:$C$224,$C194,'TL01'!$J$10:$J$224),0),
IF('TL01'!$B$229=J$3,SUMIF('TL01'!$C$238:$C$451,$C194,'TL01'!$J$238:$J$451),0),
IF('TL02'!$B$3=J$3,SUMIF('TL02'!$C$10:$C$224,$C194,'TL02'!$J$10:$J$224),0),
IF('TL02'!$B$229=J$3,SUMIF('TL02'!$C$238:$C$451,$C194,'TL02'!$J$238:$J$451),0),
IF('TL03'!$B$3=J$3,SUMIF('TL03'!$C$10:$C$224,$C194,'TL03'!$J$10:$J$224),0),
IF('TL03'!$B$229=J$3,SUMIF('TL03'!$C$238:$C$451,$C194,'TL03'!$J$238:$J$451),0),
IF('TL04'!$B$3=J$3,SUMIF('TL04'!$C$10:$C$224,$C194,'TL04'!$J$10:$J$224),0),
IF('TL04'!$B$229=J$3,SUMIF('TL04'!$C$238:$C$451,$C194,'TL04'!$J$238:$J$451),0),
IF('TL05'!$B$3=J$3,SUMIF('TL05'!$C$10:$C$224,$C194,'TL05'!$J$10:$J$224),0),
IF('TL05'!$B$229=J$3,SUMIF('TL05'!$C$238:$C$451,$C194,'TL05'!$J$238:$J$451),0),
IF('TL06'!$B$3=J$3,SUMIF('TL06'!$C$10:$C$224,$C194,'TL06'!$J$10:$J$224),0),
IF('TL06'!$B$229=J$3,SUMIF('TL06'!$C$238:$C$451,$C194,'TL06'!$J$238:$J$451),0),
IF('TL07'!$B$3=J$3,SUMIF('TL07'!$C$10:$C$224,$C194,'TL07'!$J$10:$J$224),0),
IF('TL07'!$B$229=J$3,SUMIF('TL07'!$C$238:$C$451,$C194,'TL07'!$J$238:$J$451),0),
IF('TL08'!$B$3=J$3,SUMIF('TL08'!$C$10:$C$224,$C194,'TL08'!$J$10:$J$224),0),
IF('TL08'!$B$229=J$3,SUMIF('TL08'!$C$238:$C$451,$C194,'TL08'!$J$238:$J$451),0),
IF('TL09'!$B$3=J$3,SUMIF('TL09'!$C$10:$C$224,$C194,'TL09'!$J$10:$J$224),0),
IF('TL09'!$B$229=J$3,SUMIF('TL09'!$C$238:$C$451,$C194,'TL09'!$J$238:$J$451),0),
IF('TL10'!$B$3=J$3,SUMIF('TL10'!$C$10:$C$224,$C194,'TL10'!$J$10:$J$224),0),
IF('TL10'!$B$229=J$3,SUMIF('TL10'!$C$238:$C$451,$C194,'TL10'!$J$238:$J$451),0),
IF('TL11'!$B$3=J$3,SUMIF('TL11'!$C$10:$C$224,$C194,'TL11'!$J$10:$J$224),0),
IF('TL11'!$B$229=J$3,SUMIF('TL11'!$C$238:$C$451,$C194,'TL11'!$J$238:$J$451),0),
IF('TL12'!$B$3=J$3,SUMIF('TL12'!$C$10:$C$224,$C194,'TL12'!$J$10:$J$224),0),
IF('TL12'!$B$229=J$3,SUMIF('TL12'!$C$238:$C$451,$C194,'TL12'!$J$238:$J$451),0),
IF('TL13'!$B$3=J$3,SUMIF('TL13'!$C$10:$C$224,$C194,'TL13'!$J$10:$J$224),0),
IF('TL13'!$B$229=J$3,SUMIF('TL13'!$C$238:$C$451,$C194,'TL13'!$J$238:$J$451),0),
IF('TL14'!$B$3=J$3,SUMIF('TL14'!$C$10:$C$224,$C194,'TL14'!$J$10:$J$224),0),
IF('TL14'!$B$229=J$3,SUMIF('TL14'!$C$238:$C$451,$C194,'TL14'!$J$238:$J$451),0),
IF('TL15'!$B$3=J$3,SUMIF('TL15'!$C$10:$C$224,$C194,'TL15'!$J$10:$J$224),0),
IF('TL15'!$B$229=J$3,SUMIF('TL15'!$C$238:$C$451,$C194,'TL15'!$J$238:$J$451),0),
IF('TL16'!$B$3=J$3,SUMIF('TL16'!$C$10:$C$224,$C194,'TL16'!$J$10:$J$224),0),
IF('TL16'!$B$229=J$3,SUMIF('TL16'!$C$238:$C$451,$C194,'TL16'!$J$238:$J$451),0),
IF('TL17'!$B$3=J$3,SUMIF('TL17'!$C$10:$C$224,$C194,'TL17'!$J$10:$J$224),0),
IF('TL17'!$B$229=J$3,SUMIF('TL17'!$C$238:$C$451,$C194,'TL17'!$J$238:$J$451),0),
IF('TL18'!$B$3=J$3,SUMIF('TL18'!$C$10:$C$224,$C194,'TL18'!$J$10:$J$224),0),
IF('TL18'!$B$229=J$3,SUMIF('TL18'!$C$238:$C$451,$C194,'TL18'!$J$238:$J$451),0),
IF('TL19'!$B$3=J$3,SUMIF('TL19'!$C$10:$C$224,$C194,'TL19'!$J$10:$J$224),0),
IF('TL19'!$B$229=J$3,SUMIF('TL19'!$C$238:$C$451,$C194,'TL19'!$J$238:$J$451),0)
),0)</f>
        <v>0</v>
      </c>
      <c r="K194" s="9">
        <f>IFERROR(SUM(
IF('TL01'!$B$3=K$3,SUMIF('TL01'!$C$10:$C$224,$C194,'TL01'!$J$10:$J$224),0),
IF('TL01'!$B$229=K$3,SUMIF('TL01'!$C$238:$C$451,$C194,'TL01'!$J$238:$J$451),0),
IF('TL02'!$B$3=K$3,SUMIF('TL02'!$C$10:$C$224,$C194,'TL02'!$J$10:$J$224),0),
IF('TL02'!$B$229=K$3,SUMIF('TL02'!$C$238:$C$451,$C194,'TL02'!$J$238:$J$451),0),
IF('TL03'!$B$3=K$3,SUMIF('TL03'!$C$10:$C$224,$C194,'TL03'!$J$10:$J$224),0),
IF('TL03'!$B$229=K$3,SUMIF('TL03'!$C$238:$C$451,$C194,'TL03'!$J$238:$J$451),0),
IF('TL04'!$B$3=K$3,SUMIF('TL04'!$C$10:$C$224,$C194,'TL04'!$J$10:$J$224),0),
IF('TL04'!$B$229=K$3,SUMIF('TL04'!$C$238:$C$451,$C194,'TL04'!$J$238:$J$451),0),
IF('TL05'!$B$3=K$3,SUMIF('TL05'!$C$10:$C$224,$C194,'TL05'!$J$10:$J$224),0),
IF('TL05'!$B$229=K$3,SUMIF('TL05'!$C$238:$C$451,$C194,'TL05'!$J$238:$J$451),0),
IF('TL06'!$B$3=K$3,SUMIF('TL06'!$C$10:$C$224,$C194,'TL06'!$J$10:$J$224),0),
IF('TL06'!$B$229=K$3,SUMIF('TL06'!$C$238:$C$451,$C194,'TL06'!$J$238:$J$451),0),
IF('TL07'!$B$3=K$3,SUMIF('TL07'!$C$10:$C$224,$C194,'TL07'!$J$10:$J$224),0),
IF('TL07'!$B$229=K$3,SUMIF('TL07'!$C$238:$C$451,$C194,'TL07'!$J$238:$J$451),0),
IF('TL08'!$B$3=K$3,SUMIF('TL08'!$C$10:$C$224,$C194,'TL08'!$J$10:$J$224),0),
IF('TL08'!$B$229=K$3,SUMIF('TL08'!$C$238:$C$451,$C194,'TL08'!$J$238:$J$451),0),
IF('TL09'!$B$3=K$3,SUMIF('TL09'!$C$10:$C$224,$C194,'TL09'!$J$10:$J$224),0),
IF('TL09'!$B$229=K$3,SUMIF('TL09'!$C$238:$C$451,$C194,'TL09'!$J$238:$J$451),0),
IF('TL10'!$B$3=K$3,SUMIF('TL10'!$C$10:$C$224,$C194,'TL10'!$J$10:$J$224),0),
IF('TL10'!$B$229=K$3,SUMIF('TL10'!$C$238:$C$451,$C194,'TL10'!$J$238:$J$451),0),
IF('TL11'!$B$3=K$3,SUMIF('TL11'!$C$10:$C$224,$C194,'TL11'!$J$10:$J$224),0),
IF('TL11'!$B$229=K$3,SUMIF('TL11'!$C$238:$C$451,$C194,'TL11'!$J$238:$J$451),0),
IF('TL12'!$B$3=K$3,SUMIF('TL12'!$C$10:$C$224,$C194,'TL12'!$J$10:$J$224),0),
IF('TL12'!$B$229=K$3,SUMIF('TL12'!$C$238:$C$451,$C194,'TL12'!$J$238:$J$451),0),
IF('TL13'!$B$3=K$3,SUMIF('TL13'!$C$10:$C$224,$C194,'TL13'!$J$10:$J$224),0),
IF('TL13'!$B$229=K$3,SUMIF('TL13'!$C$238:$C$451,$C194,'TL13'!$J$238:$J$451),0),
IF('TL14'!$B$3=K$3,SUMIF('TL14'!$C$10:$C$224,$C194,'TL14'!$J$10:$J$224),0),
IF('TL14'!$B$229=K$3,SUMIF('TL14'!$C$238:$C$451,$C194,'TL14'!$J$238:$J$451),0),
IF('TL15'!$B$3=K$3,SUMIF('TL15'!$C$10:$C$224,$C194,'TL15'!$J$10:$J$224),0),
IF('TL15'!$B$229=K$3,SUMIF('TL15'!$C$238:$C$451,$C194,'TL15'!$J$238:$J$451),0),
IF('TL16'!$B$3=K$3,SUMIF('TL16'!$C$10:$C$224,$C194,'TL16'!$J$10:$J$224),0),
IF('TL16'!$B$229=K$3,SUMIF('TL16'!$C$238:$C$451,$C194,'TL16'!$J$238:$J$451),0),
IF('TL17'!$B$3=K$3,SUMIF('TL17'!$C$10:$C$224,$C194,'TL17'!$J$10:$J$224),0),
IF('TL17'!$B$229=K$3,SUMIF('TL17'!$C$238:$C$451,$C194,'TL17'!$J$238:$J$451),0),
IF('TL18'!$B$3=K$3,SUMIF('TL18'!$C$10:$C$224,$C194,'TL18'!$J$10:$J$224),0),
IF('TL18'!$B$229=K$3,SUMIF('TL18'!$C$238:$C$451,$C194,'TL18'!$J$238:$J$451),0),
IF('TL19'!$B$3=K$3,SUMIF('TL19'!$C$10:$C$224,$C194,'TL19'!$J$10:$J$224),0),
IF('TL19'!$B$229=K$3,SUMIF('TL19'!$C$238:$C$451,$C194,'TL19'!$J$238:$J$451),0)
),0)</f>
        <v>0</v>
      </c>
      <c r="L194" s="9">
        <f>IFERROR(SUM(
IF('TL01'!$B$3=L$3,SUMIF('TL01'!$C$10:$C$224,$C194,'TL01'!$J$10:$J$224),0),
IF('TL01'!$B$229=L$3,SUMIF('TL01'!$C$238:$C$451,$C194,'TL01'!$J$238:$J$451),0),
IF('TL02'!$B$3=L$3,SUMIF('TL02'!$C$10:$C$224,$C194,'TL02'!$J$10:$J$224),0),
IF('TL02'!$B$229=L$3,SUMIF('TL02'!$C$238:$C$451,$C194,'TL02'!$J$238:$J$451),0),
IF('TL03'!$B$3=L$3,SUMIF('TL03'!$C$10:$C$224,$C194,'TL03'!$J$10:$J$224),0),
IF('TL03'!$B$229=L$3,SUMIF('TL03'!$C$238:$C$451,$C194,'TL03'!$J$238:$J$451),0),
IF('TL04'!$B$3=L$3,SUMIF('TL04'!$C$10:$C$224,$C194,'TL04'!$J$10:$J$224),0),
IF('TL04'!$B$229=L$3,SUMIF('TL04'!$C$238:$C$451,$C194,'TL04'!$J$238:$J$451),0),
IF('TL05'!$B$3=L$3,SUMIF('TL05'!$C$10:$C$224,$C194,'TL05'!$J$10:$J$224),0),
IF('TL05'!$B$229=L$3,SUMIF('TL05'!$C$238:$C$451,$C194,'TL05'!$J$238:$J$451),0),
IF('TL06'!$B$3=L$3,SUMIF('TL06'!$C$10:$C$224,$C194,'TL06'!$J$10:$J$224),0),
IF('TL06'!$B$229=L$3,SUMIF('TL06'!$C$238:$C$451,$C194,'TL06'!$J$238:$J$451),0),
IF('TL07'!$B$3=L$3,SUMIF('TL07'!$C$10:$C$224,$C194,'TL07'!$J$10:$J$224),0),
IF('TL07'!$B$229=L$3,SUMIF('TL07'!$C$238:$C$451,$C194,'TL07'!$J$238:$J$451),0),
IF('TL08'!$B$3=L$3,SUMIF('TL08'!$C$10:$C$224,$C194,'TL08'!$J$10:$J$224),0),
IF('TL08'!$B$229=L$3,SUMIF('TL08'!$C$238:$C$451,$C194,'TL08'!$J$238:$J$451),0),
IF('TL09'!$B$3=L$3,SUMIF('TL09'!$C$10:$C$224,$C194,'TL09'!$J$10:$J$224),0),
IF('TL09'!$B$229=L$3,SUMIF('TL09'!$C$238:$C$451,$C194,'TL09'!$J$238:$J$451),0),
IF('TL10'!$B$3=L$3,SUMIF('TL10'!$C$10:$C$224,$C194,'TL10'!$J$10:$J$224),0),
IF('TL10'!$B$229=L$3,SUMIF('TL10'!$C$238:$C$451,$C194,'TL10'!$J$238:$J$451),0),
IF('TL11'!$B$3=L$3,SUMIF('TL11'!$C$10:$C$224,$C194,'TL11'!$J$10:$J$224),0),
IF('TL11'!$B$229=L$3,SUMIF('TL11'!$C$238:$C$451,$C194,'TL11'!$J$238:$J$451),0),
IF('TL12'!$B$3=L$3,SUMIF('TL12'!$C$10:$C$224,$C194,'TL12'!$J$10:$J$224),0),
IF('TL12'!$B$229=L$3,SUMIF('TL12'!$C$238:$C$451,$C194,'TL12'!$J$238:$J$451),0),
IF('TL13'!$B$3=L$3,SUMIF('TL13'!$C$10:$C$224,$C194,'TL13'!$J$10:$J$224),0),
IF('TL13'!$B$229=L$3,SUMIF('TL13'!$C$238:$C$451,$C194,'TL13'!$J$238:$J$451),0),
IF('TL14'!$B$3=L$3,SUMIF('TL14'!$C$10:$C$224,$C194,'TL14'!$J$10:$J$224),0),
IF('TL14'!$B$229=L$3,SUMIF('TL14'!$C$238:$C$451,$C194,'TL14'!$J$238:$J$451),0),
IF('TL15'!$B$3=L$3,SUMIF('TL15'!$C$10:$C$224,$C194,'TL15'!$J$10:$J$224),0),
IF('TL15'!$B$229=L$3,SUMIF('TL15'!$C$238:$C$451,$C194,'TL15'!$J$238:$J$451),0),
IF('TL16'!$B$3=L$3,SUMIF('TL16'!$C$10:$C$224,$C194,'TL16'!$J$10:$J$224),0),
IF('TL16'!$B$229=L$3,SUMIF('TL16'!$C$238:$C$451,$C194,'TL16'!$J$238:$J$451),0),
IF('TL17'!$B$3=L$3,SUMIF('TL17'!$C$10:$C$224,$C194,'TL17'!$J$10:$J$224),0),
IF('TL17'!$B$229=L$3,SUMIF('TL17'!$C$238:$C$451,$C194,'TL17'!$J$238:$J$451),0),
IF('TL18'!$B$3=L$3,SUMIF('TL18'!$C$10:$C$224,$C194,'TL18'!$J$10:$J$224),0),
IF('TL18'!$B$229=L$3,SUMIF('TL18'!$C$238:$C$451,$C194,'TL18'!$J$238:$J$451),0),
IF('TL19'!$B$3=L$3,SUMIF('TL19'!$C$10:$C$224,$C194,'TL19'!$J$10:$J$224),0),
IF('TL19'!$B$229=L$3,SUMIF('TL19'!$C$238:$C$451,$C194,'TL19'!$J$238:$J$451),0)
),0)</f>
        <v>0</v>
      </c>
      <c r="M194" s="9">
        <f>IFERROR(SUM(
IF('TL01'!$B$3=M$3,SUMIF('TL01'!$C$10:$C$224,$C194,'TL01'!$J$10:$J$224),0),
IF('TL01'!$B$229=M$3,SUMIF('TL01'!$C$238:$C$451,$C194,'TL01'!$J$238:$J$451),0),
IF('TL02'!$B$3=M$3,SUMIF('TL02'!$C$10:$C$224,$C194,'TL02'!$J$10:$J$224),0),
IF('TL02'!$B$229=M$3,SUMIF('TL02'!$C$238:$C$451,$C194,'TL02'!$J$238:$J$451),0),
IF('TL03'!$B$3=M$3,SUMIF('TL03'!$C$10:$C$224,$C194,'TL03'!$J$10:$J$224),0),
IF('TL03'!$B$229=M$3,SUMIF('TL03'!$C$238:$C$451,$C194,'TL03'!$J$238:$J$451),0),
IF('TL04'!$B$3=M$3,SUMIF('TL04'!$C$10:$C$224,$C194,'TL04'!$J$10:$J$224),0),
IF('TL04'!$B$229=M$3,SUMIF('TL04'!$C$238:$C$451,$C194,'TL04'!$J$238:$J$451),0),
IF('TL05'!$B$3=M$3,SUMIF('TL05'!$C$10:$C$224,$C194,'TL05'!$J$10:$J$224),0),
IF('TL05'!$B$229=M$3,SUMIF('TL05'!$C$238:$C$451,$C194,'TL05'!$J$238:$J$451),0),
IF('TL06'!$B$3=M$3,SUMIF('TL06'!$C$10:$C$224,$C194,'TL06'!$J$10:$J$224),0),
IF('TL06'!$B$229=M$3,SUMIF('TL06'!$C$238:$C$451,$C194,'TL06'!$J$238:$J$451),0),
IF('TL07'!$B$3=M$3,SUMIF('TL07'!$C$10:$C$224,$C194,'TL07'!$J$10:$J$224),0),
IF('TL07'!$B$229=M$3,SUMIF('TL07'!$C$238:$C$451,$C194,'TL07'!$J$238:$J$451),0),
IF('TL08'!$B$3=M$3,SUMIF('TL08'!$C$10:$C$224,$C194,'TL08'!$J$10:$J$224),0),
IF('TL08'!$B$229=M$3,SUMIF('TL08'!$C$238:$C$451,$C194,'TL08'!$J$238:$J$451),0),
IF('TL09'!$B$3=M$3,SUMIF('TL09'!$C$10:$C$224,$C194,'TL09'!$J$10:$J$224),0),
IF('TL09'!$B$229=M$3,SUMIF('TL09'!$C$238:$C$451,$C194,'TL09'!$J$238:$J$451),0),
IF('TL10'!$B$3=M$3,SUMIF('TL10'!$C$10:$C$224,$C194,'TL10'!$J$10:$J$224),0),
IF('TL10'!$B$229=M$3,SUMIF('TL10'!$C$238:$C$451,$C194,'TL10'!$J$238:$J$451),0),
IF('TL11'!$B$3=M$3,SUMIF('TL11'!$C$10:$C$224,$C194,'TL11'!$J$10:$J$224),0),
IF('TL11'!$B$229=M$3,SUMIF('TL11'!$C$238:$C$451,$C194,'TL11'!$J$238:$J$451),0),
IF('TL12'!$B$3=M$3,SUMIF('TL12'!$C$10:$C$224,$C194,'TL12'!$J$10:$J$224),0),
IF('TL12'!$B$229=M$3,SUMIF('TL12'!$C$238:$C$451,$C194,'TL12'!$J$238:$J$451),0),
IF('TL13'!$B$3=M$3,SUMIF('TL13'!$C$10:$C$224,$C194,'TL13'!$J$10:$J$224),0),
IF('TL13'!$B$229=M$3,SUMIF('TL13'!$C$238:$C$451,$C194,'TL13'!$J$238:$J$451),0),
IF('TL14'!$B$3=M$3,SUMIF('TL14'!$C$10:$C$224,$C194,'TL14'!$J$10:$J$224),0),
IF('TL14'!$B$229=M$3,SUMIF('TL14'!$C$238:$C$451,$C194,'TL14'!$J$238:$J$451),0),
IF('TL15'!$B$3=M$3,SUMIF('TL15'!$C$10:$C$224,$C194,'TL15'!$J$10:$J$224),0),
IF('TL15'!$B$229=M$3,SUMIF('TL15'!$C$238:$C$451,$C194,'TL15'!$J$238:$J$451),0),
IF('TL16'!$B$3=M$3,SUMIF('TL16'!$C$10:$C$224,$C194,'TL16'!$J$10:$J$224),0),
IF('TL16'!$B$229=M$3,SUMIF('TL16'!$C$238:$C$451,$C194,'TL16'!$J$238:$J$451),0),
IF('TL17'!$B$3=M$3,SUMIF('TL17'!$C$10:$C$224,$C194,'TL17'!$J$10:$J$224),0),
IF('TL17'!$B$229=M$3,SUMIF('TL17'!$C$238:$C$451,$C194,'TL17'!$J$238:$J$451),0),
IF('TL18'!$B$3=M$3,SUMIF('TL18'!$C$10:$C$224,$C194,'TL18'!$J$10:$J$224),0),
IF('TL18'!$B$229=M$3,SUMIF('TL18'!$C$238:$C$451,$C194,'TL18'!$J$238:$J$451),0),
IF('TL19'!$B$3=M$3,SUMIF('TL19'!$C$10:$C$224,$C194,'TL19'!$J$10:$J$224),0),
IF('TL19'!$B$229=M$3,SUMIF('TL19'!$C$238:$C$451,$C194,'TL19'!$J$238:$J$451),0)
),0)</f>
        <v>0</v>
      </c>
      <c r="N194" s="9">
        <f>IFERROR(SUM(
IF('TL01'!$B$3=N$3,SUMIF('TL01'!$C$10:$C$224,$C194,'TL01'!$J$10:$J$224),0),
IF('TL01'!$B$229=N$3,SUMIF('TL01'!$C$238:$C$451,$C194,'TL01'!$J$238:$J$451),0),
IF('TL02'!$B$3=N$3,SUMIF('TL02'!$C$10:$C$224,$C194,'TL02'!$J$10:$J$224),0),
IF('TL02'!$B$229=N$3,SUMIF('TL02'!$C$238:$C$451,$C194,'TL02'!$J$238:$J$451),0),
IF('TL03'!$B$3=N$3,SUMIF('TL03'!$C$10:$C$224,$C194,'TL03'!$J$10:$J$224),0),
IF('TL03'!$B$229=N$3,SUMIF('TL03'!$C$238:$C$451,$C194,'TL03'!$J$238:$J$451),0),
IF('TL04'!$B$3=N$3,SUMIF('TL04'!$C$10:$C$224,$C194,'TL04'!$J$10:$J$224),0),
IF('TL04'!$B$229=N$3,SUMIF('TL04'!$C$238:$C$451,$C194,'TL04'!$J$238:$J$451),0),
IF('TL05'!$B$3=N$3,SUMIF('TL05'!$C$10:$C$224,$C194,'TL05'!$J$10:$J$224),0),
IF('TL05'!$B$229=N$3,SUMIF('TL05'!$C$238:$C$451,$C194,'TL05'!$J$238:$J$451),0),
IF('TL06'!$B$3=N$3,SUMIF('TL06'!$C$10:$C$224,$C194,'TL06'!$J$10:$J$224),0),
IF('TL06'!$B$229=N$3,SUMIF('TL06'!$C$238:$C$451,$C194,'TL06'!$J$238:$J$451),0),
IF('TL07'!$B$3=N$3,SUMIF('TL07'!$C$10:$C$224,$C194,'TL07'!$J$10:$J$224),0),
IF('TL07'!$B$229=N$3,SUMIF('TL07'!$C$238:$C$451,$C194,'TL07'!$J$238:$J$451),0),
IF('TL08'!$B$3=N$3,SUMIF('TL08'!$C$10:$C$224,$C194,'TL08'!$J$10:$J$224),0),
IF('TL08'!$B$229=N$3,SUMIF('TL08'!$C$238:$C$451,$C194,'TL08'!$J$238:$J$451),0),
IF('TL09'!$B$3=N$3,SUMIF('TL09'!$C$10:$C$224,$C194,'TL09'!$J$10:$J$224),0),
IF('TL09'!$B$229=N$3,SUMIF('TL09'!$C$238:$C$451,$C194,'TL09'!$J$238:$J$451),0),
IF('TL10'!$B$3=N$3,SUMIF('TL10'!$C$10:$C$224,$C194,'TL10'!$J$10:$J$224),0),
IF('TL10'!$B$229=N$3,SUMIF('TL10'!$C$238:$C$451,$C194,'TL10'!$J$238:$J$451),0),
IF('TL11'!$B$3=N$3,SUMIF('TL11'!$C$10:$C$224,$C194,'TL11'!$J$10:$J$224),0),
IF('TL11'!$B$229=N$3,SUMIF('TL11'!$C$238:$C$451,$C194,'TL11'!$J$238:$J$451),0),
IF('TL12'!$B$3=N$3,SUMIF('TL12'!$C$10:$C$224,$C194,'TL12'!$J$10:$J$224),0),
IF('TL12'!$B$229=N$3,SUMIF('TL12'!$C$238:$C$451,$C194,'TL12'!$J$238:$J$451),0),
IF('TL13'!$B$3=N$3,SUMIF('TL13'!$C$10:$C$224,$C194,'TL13'!$J$10:$J$224),0),
IF('TL13'!$B$229=N$3,SUMIF('TL13'!$C$238:$C$451,$C194,'TL13'!$J$238:$J$451),0),
IF('TL14'!$B$3=N$3,SUMIF('TL14'!$C$10:$C$224,$C194,'TL14'!$J$10:$J$224),0),
IF('TL14'!$B$229=N$3,SUMIF('TL14'!$C$238:$C$451,$C194,'TL14'!$J$238:$J$451),0),
IF('TL15'!$B$3=N$3,SUMIF('TL15'!$C$10:$C$224,$C194,'TL15'!$J$10:$J$224),0),
IF('TL15'!$B$229=N$3,SUMIF('TL15'!$C$238:$C$451,$C194,'TL15'!$J$238:$J$451),0),
IF('TL16'!$B$3=N$3,SUMIF('TL16'!$C$10:$C$224,$C194,'TL16'!$J$10:$J$224),0),
IF('TL16'!$B$229=N$3,SUMIF('TL16'!$C$238:$C$451,$C194,'TL16'!$J$238:$J$451),0),
IF('TL17'!$B$3=N$3,SUMIF('TL17'!$C$10:$C$224,$C194,'TL17'!$J$10:$J$224),0),
IF('TL17'!$B$229=N$3,SUMIF('TL17'!$C$238:$C$451,$C194,'TL17'!$J$238:$J$451),0),
IF('TL18'!$B$3=N$3,SUMIF('TL18'!$C$10:$C$224,$C194,'TL18'!$J$10:$J$224),0),
IF('TL18'!$B$229=N$3,SUMIF('TL18'!$C$238:$C$451,$C194,'TL18'!$J$238:$J$451),0),
IF('TL19'!$B$3=N$3,SUMIF('TL19'!$C$10:$C$224,$C194,'TL19'!$J$10:$J$224),0),
IF('TL19'!$B$229=N$3,SUMIF('TL19'!$C$238:$C$451,$C194,'TL19'!$J$238:$J$451),0)
),0)</f>
        <v>0</v>
      </c>
      <c r="O194" s="9">
        <f>IFERROR(SUM(
IF('TL01'!$B$3=O$3,SUMIF('TL01'!$C$10:$C$224,$C194,'TL01'!$J$10:$J$224),0),
IF('TL01'!$B$229=O$3,SUMIF('TL01'!$C$238:$C$451,$C194,'TL01'!$J$238:$J$451),0),
IF('TL02'!$B$3=O$3,SUMIF('TL02'!$C$10:$C$224,$C194,'TL02'!$J$10:$J$224),0),
IF('TL02'!$B$229=O$3,SUMIF('TL02'!$C$238:$C$451,$C194,'TL02'!$J$238:$J$451),0),
IF('TL03'!$B$3=O$3,SUMIF('TL03'!$C$10:$C$224,$C194,'TL03'!$J$10:$J$224),0),
IF('TL03'!$B$229=O$3,SUMIF('TL03'!$C$238:$C$451,$C194,'TL03'!$J$238:$J$451),0),
IF('TL04'!$B$3=O$3,SUMIF('TL04'!$C$10:$C$224,$C194,'TL04'!$J$10:$J$224),0),
IF('TL04'!$B$229=O$3,SUMIF('TL04'!$C$238:$C$451,$C194,'TL04'!$J$238:$J$451),0),
IF('TL05'!$B$3=O$3,SUMIF('TL05'!$C$10:$C$224,$C194,'TL05'!$J$10:$J$224),0),
IF('TL05'!$B$229=O$3,SUMIF('TL05'!$C$238:$C$451,$C194,'TL05'!$J$238:$J$451),0),
IF('TL06'!$B$3=O$3,SUMIF('TL06'!$C$10:$C$224,$C194,'TL06'!$J$10:$J$224),0),
IF('TL06'!$B$229=O$3,SUMIF('TL06'!$C$238:$C$451,$C194,'TL06'!$J$238:$J$451),0),
IF('TL07'!$B$3=O$3,SUMIF('TL07'!$C$10:$C$224,$C194,'TL07'!$J$10:$J$224),0),
IF('TL07'!$B$229=O$3,SUMIF('TL07'!$C$238:$C$451,$C194,'TL07'!$J$238:$J$451),0),
IF('TL08'!$B$3=O$3,SUMIF('TL08'!$C$10:$C$224,$C194,'TL08'!$J$10:$J$224),0),
IF('TL08'!$B$229=O$3,SUMIF('TL08'!$C$238:$C$451,$C194,'TL08'!$J$238:$J$451),0),
IF('TL09'!$B$3=O$3,SUMIF('TL09'!$C$10:$C$224,$C194,'TL09'!$J$10:$J$224),0),
IF('TL09'!$B$229=O$3,SUMIF('TL09'!$C$238:$C$451,$C194,'TL09'!$J$238:$J$451),0),
IF('TL10'!$B$3=O$3,SUMIF('TL10'!$C$10:$C$224,$C194,'TL10'!$J$10:$J$224),0),
IF('TL10'!$B$229=O$3,SUMIF('TL10'!$C$238:$C$451,$C194,'TL10'!$J$238:$J$451),0),
IF('TL11'!$B$3=O$3,SUMIF('TL11'!$C$10:$C$224,$C194,'TL11'!$J$10:$J$224),0),
IF('TL11'!$B$229=O$3,SUMIF('TL11'!$C$238:$C$451,$C194,'TL11'!$J$238:$J$451),0),
IF('TL12'!$B$3=O$3,SUMIF('TL12'!$C$10:$C$224,$C194,'TL12'!$J$10:$J$224),0),
IF('TL12'!$B$229=O$3,SUMIF('TL12'!$C$238:$C$451,$C194,'TL12'!$J$238:$J$451),0),
IF('TL13'!$B$3=O$3,SUMIF('TL13'!$C$10:$C$224,$C194,'TL13'!$J$10:$J$224),0),
IF('TL13'!$B$229=O$3,SUMIF('TL13'!$C$238:$C$451,$C194,'TL13'!$J$238:$J$451),0),
IF('TL14'!$B$3=O$3,SUMIF('TL14'!$C$10:$C$224,$C194,'TL14'!$J$10:$J$224),0),
IF('TL14'!$B$229=O$3,SUMIF('TL14'!$C$238:$C$451,$C194,'TL14'!$J$238:$J$451),0),
IF('TL15'!$B$3=O$3,SUMIF('TL15'!$C$10:$C$224,$C194,'TL15'!$J$10:$J$224),0),
IF('TL15'!$B$229=O$3,SUMIF('TL15'!$C$238:$C$451,$C194,'TL15'!$J$238:$J$451),0),
IF('TL16'!$B$3=O$3,SUMIF('TL16'!$C$10:$C$224,$C194,'TL16'!$J$10:$J$224),0),
IF('TL16'!$B$229=O$3,SUMIF('TL16'!$C$238:$C$451,$C194,'TL16'!$J$238:$J$451),0),
IF('TL17'!$B$3=O$3,SUMIF('TL17'!$C$10:$C$224,$C194,'TL17'!$J$10:$J$224),0),
IF('TL17'!$B$229=O$3,SUMIF('TL17'!$C$238:$C$451,$C194,'TL17'!$J$238:$J$451),0),
IF('TL18'!$B$3=O$3,SUMIF('TL18'!$C$10:$C$224,$C194,'TL18'!$J$10:$J$224),0),
IF('TL18'!$B$229=O$3,SUMIF('TL18'!$C$238:$C$451,$C194,'TL18'!$J$238:$J$451),0),
IF('TL19'!$B$3=O$3,SUMIF('TL19'!$C$10:$C$224,$C194,'TL19'!$J$10:$J$224),0),
IF('TL19'!$B$229=O$3,SUMIF('TL19'!$C$238:$C$451,$C194,'TL19'!$J$238:$J$451),0)
),0)</f>
        <v>0</v>
      </c>
      <c r="P194" s="9">
        <f>IFERROR(SUM(
IF('TL01'!$B$3=P$3,SUMIF('TL01'!$C$10:$C$224,$C194,'TL01'!$J$10:$J$224),0),
IF('TL01'!$B$229=P$3,SUMIF('TL01'!$C$238:$C$451,$C194,'TL01'!$J$238:$J$451),0),
IF('TL02'!$B$3=P$3,SUMIF('TL02'!$C$10:$C$224,$C194,'TL02'!$J$10:$J$224),0),
IF('TL02'!$B$229=P$3,SUMIF('TL02'!$C$238:$C$451,$C194,'TL02'!$J$238:$J$451),0),
IF('TL03'!$B$3=P$3,SUMIF('TL03'!$C$10:$C$224,$C194,'TL03'!$J$10:$J$224),0),
IF('TL03'!$B$229=P$3,SUMIF('TL03'!$C$238:$C$451,$C194,'TL03'!$J$238:$J$451),0),
IF('TL04'!$B$3=P$3,SUMIF('TL04'!$C$10:$C$224,$C194,'TL04'!$J$10:$J$224),0),
IF('TL04'!$B$229=P$3,SUMIF('TL04'!$C$238:$C$451,$C194,'TL04'!$J$238:$J$451),0),
IF('TL05'!$B$3=P$3,SUMIF('TL05'!$C$10:$C$224,$C194,'TL05'!$J$10:$J$224),0),
IF('TL05'!$B$229=P$3,SUMIF('TL05'!$C$238:$C$451,$C194,'TL05'!$J$238:$J$451),0),
IF('TL06'!$B$3=P$3,SUMIF('TL06'!$C$10:$C$224,$C194,'TL06'!$J$10:$J$224),0),
IF('TL06'!$B$229=P$3,SUMIF('TL06'!$C$238:$C$451,$C194,'TL06'!$J$238:$J$451),0),
IF('TL07'!$B$3=P$3,SUMIF('TL07'!$C$10:$C$224,$C194,'TL07'!$J$10:$J$224),0),
IF('TL07'!$B$229=P$3,SUMIF('TL07'!$C$238:$C$451,$C194,'TL07'!$J$238:$J$451),0),
IF('TL08'!$B$3=P$3,SUMIF('TL08'!$C$10:$C$224,$C194,'TL08'!$J$10:$J$224),0),
IF('TL08'!$B$229=P$3,SUMIF('TL08'!$C$238:$C$451,$C194,'TL08'!$J$238:$J$451),0),
IF('TL09'!$B$3=P$3,SUMIF('TL09'!$C$10:$C$224,$C194,'TL09'!$J$10:$J$224),0),
IF('TL09'!$B$229=P$3,SUMIF('TL09'!$C$238:$C$451,$C194,'TL09'!$J$238:$J$451),0),
IF('TL10'!$B$3=P$3,SUMIF('TL10'!$C$10:$C$224,$C194,'TL10'!$J$10:$J$224),0),
IF('TL10'!$B$229=P$3,SUMIF('TL10'!$C$238:$C$451,$C194,'TL10'!$J$238:$J$451),0),
IF('TL11'!$B$3=P$3,SUMIF('TL11'!$C$10:$C$224,$C194,'TL11'!$J$10:$J$224),0),
IF('TL11'!$B$229=P$3,SUMIF('TL11'!$C$238:$C$451,$C194,'TL11'!$J$238:$J$451),0),
IF('TL12'!$B$3=P$3,SUMIF('TL12'!$C$10:$C$224,$C194,'TL12'!$J$10:$J$224),0),
IF('TL12'!$B$229=P$3,SUMIF('TL12'!$C$238:$C$451,$C194,'TL12'!$J$238:$J$451),0),
IF('TL13'!$B$3=P$3,SUMIF('TL13'!$C$10:$C$224,$C194,'TL13'!$J$10:$J$224),0),
IF('TL13'!$B$229=P$3,SUMIF('TL13'!$C$238:$C$451,$C194,'TL13'!$J$238:$J$451),0),
IF('TL14'!$B$3=P$3,SUMIF('TL14'!$C$10:$C$224,$C194,'TL14'!$J$10:$J$224),0),
IF('TL14'!$B$229=P$3,SUMIF('TL14'!$C$238:$C$451,$C194,'TL14'!$J$238:$J$451),0),
IF('TL15'!$B$3=P$3,SUMIF('TL15'!$C$10:$C$224,$C194,'TL15'!$J$10:$J$224),0),
IF('TL15'!$B$229=P$3,SUMIF('TL15'!$C$238:$C$451,$C194,'TL15'!$J$238:$J$451),0),
IF('TL16'!$B$3=P$3,SUMIF('TL16'!$C$10:$C$224,$C194,'TL16'!$J$10:$J$224),0),
IF('TL16'!$B$229=P$3,SUMIF('TL16'!$C$238:$C$451,$C194,'TL16'!$J$238:$J$451),0),
IF('TL17'!$B$3=P$3,SUMIF('TL17'!$C$10:$C$224,$C194,'TL17'!$J$10:$J$224),0),
IF('TL17'!$B$229=P$3,SUMIF('TL17'!$C$238:$C$451,$C194,'TL17'!$J$238:$J$451),0),
IF('TL18'!$B$3=P$3,SUMIF('TL18'!$C$10:$C$224,$C194,'TL18'!$J$10:$J$224),0),
IF('TL18'!$B$229=P$3,SUMIF('TL18'!$C$238:$C$451,$C194,'TL18'!$J$238:$J$451),0),
IF('TL19'!$B$3=P$3,SUMIF('TL19'!$C$10:$C$224,$C194,'TL19'!$J$10:$J$224),0),
IF('TL19'!$B$229=P$3,SUMIF('TL19'!$C$238:$C$451,$C194,'TL19'!$J$238:$J$451),0)
),0)</f>
        <v>0</v>
      </c>
      <c r="Q194" s="9">
        <f>IFERROR(SUM(
IF('TL01'!$B$3=Q$3,SUMIF('TL01'!$C$10:$C$224,$C194,'TL01'!$J$10:$J$224),0),
IF('TL01'!$B$229=Q$3,SUMIF('TL01'!$C$238:$C$451,$C194,'TL01'!$J$238:$J$451),0),
IF('TL02'!$B$3=Q$3,SUMIF('TL02'!$C$10:$C$224,$C194,'TL02'!$J$10:$J$224),0),
IF('TL02'!$B$229=Q$3,SUMIF('TL02'!$C$238:$C$451,$C194,'TL02'!$J$238:$J$451),0),
IF('TL03'!$B$3=Q$3,SUMIF('TL03'!$C$10:$C$224,$C194,'TL03'!$J$10:$J$224),0),
IF('TL03'!$B$229=Q$3,SUMIF('TL03'!$C$238:$C$451,$C194,'TL03'!$J$238:$J$451),0),
IF('TL04'!$B$3=Q$3,SUMIF('TL04'!$C$10:$C$224,$C194,'TL04'!$J$10:$J$224),0),
IF('TL04'!$B$229=Q$3,SUMIF('TL04'!$C$238:$C$451,$C194,'TL04'!$J$238:$J$451),0),
IF('TL05'!$B$3=Q$3,SUMIF('TL05'!$C$10:$C$224,$C194,'TL05'!$J$10:$J$224),0),
IF('TL05'!$B$229=Q$3,SUMIF('TL05'!$C$238:$C$451,$C194,'TL05'!$J$238:$J$451),0),
IF('TL06'!$B$3=Q$3,SUMIF('TL06'!$C$10:$C$224,$C194,'TL06'!$J$10:$J$224),0),
IF('TL06'!$B$229=Q$3,SUMIF('TL06'!$C$238:$C$451,$C194,'TL06'!$J$238:$J$451),0),
IF('TL07'!$B$3=Q$3,SUMIF('TL07'!$C$10:$C$224,$C194,'TL07'!$J$10:$J$224),0),
IF('TL07'!$B$229=Q$3,SUMIF('TL07'!$C$238:$C$451,$C194,'TL07'!$J$238:$J$451),0),
IF('TL08'!$B$3=Q$3,SUMIF('TL08'!$C$10:$C$224,$C194,'TL08'!$J$10:$J$224),0),
IF('TL08'!$B$229=Q$3,SUMIF('TL08'!$C$238:$C$451,$C194,'TL08'!$J$238:$J$451),0),
IF('TL09'!$B$3=Q$3,SUMIF('TL09'!$C$10:$C$224,$C194,'TL09'!$J$10:$J$224),0),
IF('TL09'!$B$229=Q$3,SUMIF('TL09'!$C$238:$C$451,$C194,'TL09'!$J$238:$J$451),0),
IF('TL10'!$B$3=Q$3,SUMIF('TL10'!$C$10:$C$224,$C194,'TL10'!$J$10:$J$224),0),
IF('TL10'!$B$229=Q$3,SUMIF('TL10'!$C$238:$C$451,$C194,'TL10'!$J$238:$J$451),0),
IF('TL11'!$B$3=Q$3,SUMIF('TL11'!$C$10:$C$224,$C194,'TL11'!$J$10:$J$224),0),
IF('TL11'!$B$229=Q$3,SUMIF('TL11'!$C$238:$C$451,$C194,'TL11'!$J$238:$J$451),0),
IF('TL12'!$B$3=Q$3,SUMIF('TL12'!$C$10:$C$224,$C194,'TL12'!$J$10:$J$224),0),
IF('TL12'!$B$229=Q$3,SUMIF('TL12'!$C$238:$C$451,$C194,'TL12'!$J$238:$J$451),0),
IF('TL13'!$B$3=Q$3,SUMIF('TL13'!$C$10:$C$224,$C194,'TL13'!$J$10:$J$224),0),
IF('TL13'!$B$229=Q$3,SUMIF('TL13'!$C$238:$C$451,$C194,'TL13'!$J$238:$J$451),0),
IF('TL14'!$B$3=Q$3,SUMIF('TL14'!$C$10:$C$224,$C194,'TL14'!$J$10:$J$224),0),
IF('TL14'!$B$229=Q$3,SUMIF('TL14'!$C$238:$C$451,$C194,'TL14'!$J$238:$J$451),0),
IF('TL15'!$B$3=Q$3,SUMIF('TL15'!$C$10:$C$224,$C194,'TL15'!$J$10:$J$224),0),
IF('TL15'!$B$229=Q$3,SUMIF('TL15'!$C$238:$C$451,$C194,'TL15'!$J$238:$J$451),0),
IF('TL16'!$B$3=Q$3,SUMIF('TL16'!$C$10:$C$224,$C194,'TL16'!$J$10:$J$224),0),
IF('TL16'!$B$229=Q$3,SUMIF('TL16'!$C$238:$C$451,$C194,'TL16'!$J$238:$J$451),0),
IF('TL17'!$B$3=Q$3,SUMIF('TL17'!$C$10:$C$224,$C194,'TL17'!$J$10:$J$224),0),
IF('TL17'!$B$229=Q$3,SUMIF('TL17'!$C$238:$C$451,$C194,'TL17'!$J$238:$J$451),0),
IF('TL18'!$B$3=Q$3,SUMIF('TL18'!$C$10:$C$224,$C194,'TL18'!$J$10:$J$224),0),
IF('TL18'!$B$229=Q$3,SUMIF('TL18'!$C$238:$C$451,$C194,'TL18'!$J$238:$J$451),0),
IF('TL19'!$B$3=Q$3,SUMIF('TL19'!$C$10:$C$224,$C194,'TL19'!$J$10:$J$224),0),
IF('TL19'!$B$229=Q$3,SUMIF('TL19'!$C$238:$C$451,$C194,'TL19'!$J$238:$J$451),0)
),0)</f>
        <v>0</v>
      </c>
      <c r="R194" s="9">
        <f>IFERROR(
SUM(
SUMIF('TL01'!C:C,C194,'TL01'!J:J),
SUMIF('TL02'!C:C,C194,'TL02'!J:J),
SUMIF('TL03'!C:C,C194,'TL03'!J:J),
SUMIF('TL04'!C:C,C194,'TL04'!J:J),
SUMIF('TL05'!C:C,C194,'TL05'!J:J),
SUMIF('TL06'!C:C,C194,'TL06'!J:J),
SUMIF('TL07'!C:C,C194,'TL07'!J:J),
SUMIF('TL08'!C:C,C194,'TL08'!J:J),
SUMIF('TL09'!C:C,C194,'TL09'!J:J),
SUMIF('TL10'!C:C,C194,'TL10'!J:J),
SUMIF('TL11'!C:C,C194,'TL11'!J:J),
SUMIF('TL12'!C:C,C194,'TL12'!J:J),
SUMIF('TL13'!C:C,C194,'TL13'!J:J),
SUMIF('TL14'!C:C,C194,'TL14'!J:J),
SUMIF('TL15'!C:C,C194,'TL15'!J:J),
SUMIF('TL16'!C:C,C194,'TL16'!J:J),
SUMIF('TL17'!C:C,C194,'TL17'!J:J),
SUMIF('TL18'!C:C,C194,'TL18'!J:J),SUMIF('TL19'!C:C,C194,'TL19'!J:J))
,0)</f>
        <v>0</v>
      </c>
      <c r="S194" s="17">
        <f>IFERROR(__xludf.DUMMYFUNCTION("IFERROR(VLOOKUP(C194,
IMPORTRANGE(""1wULbzX32WdYsx-lj2U3uUNBBe2INVIRDtcK0d-Dvl90"",
""26-27!C:G""),
5,
FALSE),
"""")"),333.06225)</f>
        <v>333.06225</v>
      </c>
      <c r="T194" s="9"/>
      <c r="U194" s="92">
        <f t="shared" si="2"/>
        <v>0</v>
      </c>
      <c r="V194" s="93">
        <f t="shared" si="3"/>
        <v>0</v>
      </c>
    </row>
    <row r="195" ht="15.75" hidden="1" customHeight="1">
      <c r="A195" s="94" t="s">
        <v>353</v>
      </c>
      <c r="B195" s="95" t="s">
        <v>2</v>
      </c>
      <c r="C195" s="96" t="s">
        <v>803</v>
      </c>
      <c r="D195" s="96" t="s">
        <v>804</v>
      </c>
      <c r="E195" s="96">
        <v>215.0</v>
      </c>
      <c r="F195" s="4" t="s">
        <v>805</v>
      </c>
      <c r="G195" s="90" t="str">
        <f t="shared" si="4"/>
        <v>📄 Ver bula</v>
      </c>
      <c r="H195" s="9">
        <f>IFERROR(__xludf.DUMMYFUNCTION("IFERROR(VLOOKUP(C195,
IMPORTRANGE(""1wULbzX32WdYsx-lj2U3uUNBBe2INVIRDtcK0d-Dvl90"",
""26-27!C:K""),
8,
FALSE),
"""")"),1.0)</f>
        <v>1</v>
      </c>
      <c r="I195" s="97" t="s">
        <v>344</v>
      </c>
      <c r="J195" s="9">
        <f>IFERROR(SUM(
IF('TL01'!$B$3=J$3,SUMIF('TL01'!$C$10:$C$224,$C195,'TL01'!$J$10:$J$224),0),
IF('TL01'!$B$229=J$3,SUMIF('TL01'!$C$238:$C$451,$C195,'TL01'!$J$238:$J$451),0),
IF('TL02'!$B$3=J$3,SUMIF('TL02'!$C$10:$C$224,$C195,'TL02'!$J$10:$J$224),0),
IF('TL02'!$B$229=J$3,SUMIF('TL02'!$C$238:$C$451,$C195,'TL02'!$J$238:$J$451),0),
IF('TL03'!$B$3=J$3,SUMIF('TL03'!$C$10:$C$224,$C195,'TL03'!$J$10:$J$224),0),
IF('TL03'!$B$229=J$3,SUMIF('TL03'!$C$238:$C$451,$C195,'TL03'!$J$238:$J$451),0),
IF('TL04'!$B$3=J$3,SUMIF('TL04'!$C$10:$C$224,$C195,'TL04'!$J$10:$J$224),0),
IF('TL04'!$B$229=J$3,SUMIF('TL04'!$C$238:$C$451,$C195,'TL04'!$J$238:$J$451),0),
IF('TL05'!$B$3=J$3,SUMIF('TL05'!$C$10:$C$224,$C195,'TL05'!$J$10:$J$224),0),
IF('TL05'!$B$229=J$3,SUMIF('TL05'!$C$238:$C$451,$C195,'TL05'!$J$238:$J$451),0),
IF('TL06'!$B$3=J$3,SUMIF('TL06'!$C$10:$C$224,$C195,'TL06'!$J$10:$J$224),0),
IF('TL06'!$B$229=J$3,SUMIF('TL06'!$C$238:$C$451,$C195,'TL06'!$J$238:$J$451),0),
IF('TL07'!$B$3=J$3,SUMIF('TL07'!$C$10:$C$224,$C195,'TL07'!$J$10:$J$224),0),
IF('TL07'!$B$229=J$3,SUMIF('TL07'!$C$238:$C$451,$C195,'TL07'!$J$238:$J$451),0),
IF('TL08'!$B$3=J$3,SUMIF('TL08'!$C$10:$C$224,$C195,'TL08'!$J$10:$J$224),0),
IF('TL08'!$B$229=J$3,SUMIF('TL08'!$C$238:$C$451,$C195,'TL08'!$J$238:$J$451),0),
IF('TL09'!$B$3=J$3,SUMIF('TL09'!$C$10:$C$224,$C195,'TL09'!$J$10:$J$224),0),
IF('TL09'!$B$229=J$3,SUMIF('TL09'!$C$238:$C$451,$C195,'TL09'!$J$238:$J$451),0),
IF('TL10'!$B$3=J$3,SUMIF('TL10'!$C$10:$C$224,$C195,'TL10'!$J$10:$J$224),0),
IF('TL10'!$B$229=J$3,SUMIF('TL10'!$C$238:$C$451,$C195,'TL10'!$J$238:$J$451),0),
IF('TL11'!$B$3=J$3,SUMIF('TL11'!$C$10:$C$224,$C195,'TL11'!$J$10:$J$224),0),
IF('TL11'!$B$229=J$3,SUMIF('TL11'!$C$238:$C$451,$C195,'TL11'!$J$238:$J$451),0),
IF('TL12'!$B$3=J$3,SUMIF('TL12'!$C$10:$C$224,$C195,'TL12'!$J$10:$J$224),0),
IF('TL12'!$B$229=J$3,SUMIF('TL12'!$C$238:$C$451,$C195,'TL12'!$J$238:$J$451),0),
IF('TL13'!$B$3=J$3,SUMIF('TL13'!$C$10:$C$224,$C195,'TL13'!$J$10:$J$224),0),
IF('TL13'!$B$229=J$3,SUMIF('TL13'!$C$238:$C$451,$C195,'TL13'!$J$238:$J$451),0),
IF('TL14'!$B$3=J$3,SUMIF('TL14'!$C$10:$C$224,$C195,'TL14'!$J$10:$J$224),0),
IF('TL14'!$B$229=J$3,SUMIF('TL14'!$C$238:$C$451,$C195,'TL14'!$J$238:$J$451),0),
IF('TL15'!$B$3=J$3,SUMIF('TL15'!$C$10:$C$224,$C195,'TL15'!$J$10:$J$224),0),
IF('TL15'!$B$229=J$3,SUMIF('TL15'!$C$238:$C$451,$C195,'TL15'!$J$238:$J$451),0),
IF('TL16'!$B$3=J$3,SUMIF('TL16'!$C$10:$C$224,$C195,'TL16'!$J$10:$J$224),0),
IF('TL16'!$B$229=J$3,SUMIF('TL16'!$C$238:$C$451,$C195,'TL16'!$J$238:$J$451),0),
IF('TL17'!$B$3=J$3,SUMIF('TL17'!$C$10:$C$224,$C195,'TL17'!$J$10:$J$224),0),
IF('TL17'!$B$229=J$3,SUMIF('TL17'!$C$238:$C$451,$C195,'TL17'!$J$238:$J$451),0),
IF('TL18'!$B$3=J$3,SUMIF('TL18'!$C$10:$C$224,$C195,'TL18'!$J$10:$J$224),0),
IF('TL18'!$B$229=J$3,SUMIF('TL18'!$C$238:$C$451,$C195,'TL18'!$J$238:$J$451),0),
IF('TL19'!$B$3=J$3,SUMIF('TL19'!$C$10:$C$224,$C195,'TL19'!$J$10:$J$224),0),
IF('TL19'!$B$229=J$3,SUMIF('TL19'!$C$238:$C$451,$C195,'TL19'!$J$238:$J$451),0)
),0)</f>
        <v>0</v>
      </c>
      <c r="K195" s="9">
        <f>IFERROR(SUM(
IF('TL01'!$B$3=K$3,SUMIF('TL01'!$C$10:$C$224,$C195,'TL01'!$J$10:$J$224),0),
IF('TL01'!$B$229=K$3,SUMIF('TL01'!$C$238:$C$451,$C195,'TL01'!$J$238:$J$451),0),
IF('TL02'!$B$3=K$3,SUMIF('TL02'!$C$10:$C$224,$C195,'TL02'!$J$10:$J$224),0),
IF('TL02'!$B$229=K$3,SUMIF('TL02'!$C$238:$C$451,$C195,'TL02'!$J$238:$J$451),0),
IF('TL03'!$B$3=K$3,SUMIF('TL03'!$C$10:$C$224,$C195,'TL03'!$J$10:$J$224),0),
IF('TL03'!$B$229=K$3,SUMIF('TL03'!$C$238:$C$451,$C195,'TL03'!$J$238:$J$451),0),
IF('TL04'!$B$3=K$3,SUMIF('TL04'!$C$10:$C$224,$C195,'TL04'!$J$10:$J$224),0),
IF('TL04'!$B$229=K$3,SUMIF('TL04'!$C$238:$C$451,$C195,'TL04'!$J$238:$J$451),0),
IF('TL05'!$B$3=K$3,SUMIF('TL05'!$C$10:$C$224,$C195,'TL05'!$J$10:$J$224),0),
IF('TL05'!$B$229=K$3,SUMIF('TL05'!$C$238:$C$451,$C195,'TL05'!$J$238:$J$451),0),
IF('TL06'!$B$3=K$3,SUMIF('TL06'!$C$10:$C$224,$C195,'TL06'!$J$10:$J$224),0),
IF('TL06'!$B$229=K$3,SUMIF('TL06'!$C$238:$C$451,$C195,'TL06'!$J$238:$J$451),0),
IF('TL07'!$B$3=K$3,SUMIF('TL07'!$C$10:$C$224,$C195,'TL07'!$J$10:$J$224),0),
IF('TL07'!$B$229=K$3,SUMIF('TL07'!$C$238:$C$451,$C195,'TL07'!$J$238:$J$451),0),
IF('TL08'!$B$3=K$3,SUMIF('TL08'!$C$10:$C$224,$C195,'TL08'!$J$10:$J$224),0),
IF('TL08'!$B$229=K$3,SUMIF('TL08'!$C$238:$C$451,$C195,'TL08'!$J$238:$J$451),0),
IF('TL09'!$B$3=K$3,SUMIF('TL09'!$C$10:$C$224,$C195,'TL09'!$J$10:$J$224),0),
IF('TL09'!$B$229=K$3,SUMIF('TL09'!$C$238:$C$451,$C195,'TL09'!$J$238:$J$451),0),
IF('TL10'!$B$3=K$3,SUMIF('TL10'!$C$10:$C$224,$C195,'TL10'!$J$10:$J$224),0),
IF('TL10'!$B$229=K$3,SUMIF('TL10'!$C$238:$C$451,$C195,'TL10'!$J$238:$J$451),0),
IF('TL11'!$B$3=K$3,SUMIF('TL11'!$C$10:$C$224,$C195,'TL11'!$J$10:$J$224),0),
IF('TL11'!$B$229=K$3,SUMIF('TL11'!$C$238:$C$451,$C195,'TL11'!$J$238:$J$451),0),
IF('TL12'!$B$3=K$3,SUMIF('TL12'!$C$10:$C$224,$C195,'TL12'!$J$10:$J$224),0),
IF('TL12'!$B$229=K$3,SUMIF('TL12'!$C$238:$C$451,$C195,'TL12'!$J$238:$J$451),0),
IF('TL13'!$B$3=K$3,SUMIF('TL13'!$C$10:$C$224,$C195,'TL13'!$J$10:$J$224),0),
IF('TL13'!$B$229=K$3,SUMIF('TL13'!$C$238:$C$451,$C195,'TL13'!$J$238:$J$451),0),
IF('TL14'!$B$3=K$3,SUMIF('TL14'!$C$10:$C$224,$C195,'TL14'!$J$10:$J$224),0),
IF('TL14'!$B$229=K$3,SUMIF('TL14'!$C$238:$C$451,$C195,'TL14'!$J$238:$J$451),0),
IF('TL15'!$B$3=K$3,SUMIF('TL15'!$C$10:$C$224,$C195,'TL15'!$J$10:$J$224),0),
IF('TL15'!$B$229=K$3,SUMIF('TL15'!$C$238:$C$451,$C195,'TL15'!$J$238:$J$451),0),
IF('TL16'!$B$3=K$3,SUMIF('TL16'!$C$10:$C$224,$C195,'TL16'!$J$10:$J$224),0),
IF('TL16'!$B$229=K$3,SUMIF('TL16'!$C$238:$C$451,$C195,'TL16'!$J$238:$J$451),0),
IF('TL17'!$B$3=K$3,SUMIF('TL17'!$C$10:$C$224,$C195,'TL17'!$J$10:$J$224),0),
IF('TL17'!$B$229=K$3,SUMIF('TL17'!$C$238:$C$451,$C195,'TL17'!$J$238:$J$451),0),
IF('TL18'!$B$3=K$3,SUMIF('TL18'!$C$10:$C$224,$C195,'TL18'!$J$10:$J$224),0),
IF('TL18'!$B$229=K$3,SUMIF('TL18'!$C$238:$C$451,$C195,'TL18'!$J$238:$J$451),0),
IF('TL19'!$B$3=K$3,SUMIF('TL19'!$C$10:$C$224,$C195,'TL19'!$J$10:$J$224),0),
IF('TL19'!$B$229=K$3,SUMIF('TL19'!$C$238:$C$451,$C195,'TL19'!$J$238:$J$451),0)
),0)</f>
        <v>0</v>
      </c>
      <c r="L195" s="9">
        <f>IFERROR(SUM(
IF('TL01'!$B$3=L$3,SUMIF('TL01'!$C$10:$C$224,$C195,'TL01'!$J$10:$J$224),0),
IF('TL01'!$B$229=L$3,SUMIF('TL01'!$C$238:$C$451,$C195,'TL01'!$J$238:$J$451),0),
IF('TL02'!$B$3=L$3,SUMIF('TL02'!$C$10:$C$224,$C195,'TL02'!$J$10:$J$224),0),
IF('TL02'!$B$229=L$3,SUMIF('TL02'!$C$238:$C$451,$C195,'TL02'!$J$238:$J$451),0),
IF('TL03'!$B$3=L$3,SUMIF('TL03'!$C$10:$C$224,$C195,'TL03'!$J$10:$J$224),0),
IF('TL03'!$B$229=L$3,SUMIF('TL03'!$C$238:$C$451,$C195,'TL03'!$J$238:$J$451),0),
IF('TL04'!$B$3=L$3,SUMIF('TL04'!$C$10:$C$224,$C195,'TL04'!$J$10:$J$224),0),
IF('TL04'!$B$229=L$3,SUMIF('TL04'!$C$238:$C$451,$C195,'TL04'!$J$238:$J$451),0),
IF('TL05'!$B$3=L$3,SUMIF('TL05'!$C$10:$C$224,$C195,'TL05'!$J$10:$J$224),0),
IF('TL05'!$B$229=L$3,SUMIF('TL05'!$C$238:$C$451,$C195,'TL05'!$J$238:$J$451),0),
IF('TL06'!$B$3=L$3,SUMIF('TL06'!$C$10:$C$224,$C195,'TL06'!$J$10:$J$224),0),
IF('TL06'!$B$229=L$3,SUMIF('TL06'!$C$238:$C$451,$C195,'TL06'!$J$238:$J$451),0),
IF('TL07'!$B$3=L$3,SUMIF('TL07'!$C$10:$C$224,$C195,'TL07'!$J$10:$J$224),0),
IF('TL07'!$B$229=L$3,SUMIF('TL07'!$C$238:$C$451,$C195,'TL07'!$J$238:$J$451),0),
IF('TL08'!$B$3=L$3,SUMIF('TL08'!$C$10:$C$224,$C195,'TL08'!$J$10:$J$224),0),
IF('TL08'!$B$229=L$3,SUMIF('TL08'!$C$238:$C$451,$C195,'TL08'!$J$238:$J$451),0),
IF('TL09'!$B$3=L$3,SUMIF('TL09'!$C$10:$C$224,$C195,'TL09'!$J$10:$J$224),0),
IF('TL09'!$B$229=L$3,SUMIF('TL09'!$C$238:$C$451,$C195,'TL09'!$J$238:$J$451),0),
IF('TL10'!$B$3=L$3,SUMIF('TL10'!$C$10:$C$224,$C195,'TL10'!$J$10:$J$224),0),
IF('TL10'!$B$229=L$3,SUMIF('TL10'!$C$238:$C$451,$C195,'TL10'!$J$238:$J$451),0),
IF('TL11'!$B$3=L$3,SUMIF('TL11'!$C$10:$C$224,$C195,'TL11'!$J$10:$J$224),0),
IF('TL11'!$B$229=L$3,SUMIF('TL11'!$C$238:$C$451,$C195,'TL11'!$J$238:$J$451),0),
IF('TL12'!$B$3=L$3,SUMIF('TL12'!$C$10:$C$224,$C195,'TL12'!$J$10:$J$224),0),
IF('TL12'!$B$229=L$3,SUMIF('TL12'!$C$238:$C$451,$C195,'TL12'!$J$238:$J$451),0),
IF('TL13'!$B$3=L$3,SUMIF('TL13'!$C$10:$C$224,$C195,'TL13'!$J$10:$J$224),0),
IF('TL13'!$B$229=L$3,SUMIF('TL13'!$C$238:$C$451,$C195,'TL13'!$J$238:$J$451),0),
IF('TL14'!$B$3=L$3,SUMIF('TL14'!$C$10:$C$224,$C195,'TL14'!$J$10:$J$224),0),
IF('TL14'!$B$229=L$3,SUMIF('TL14'!$C$238:$C$451,$C195,'TL14'!$J$238:$J$451),0),
IF('TL15'!$B$3=L$3,SUMIF('TL15'!$C$10:$C$224,$C195,'TL15'!$J$10:$J$224),0),
IF('TL15'!$B$229=L$3,SUMIF('TL15'!$C$238:$C$451,$C195,'TL15'!$J$238:$J$451),0),
IF('TL16'!$B$3=L$3,SUMIF('TL16'!$C$10:$C$224,$C195,'TL16'!$J$10:$J$224),0),
IF('TL16'!$B$229=L$3,SUMIF('TL16'!$C$238:$C$451,$C195,'TL16'!$J$238:$J$451),0),
IF('TL17'!$B$3=L$3,SUMIF('TL17'!$C$10:$C$224,$C195,'TL17'!$J$10:$J$224),0),
IF('TL17'!$B$229=L$3,SUMIF('TL17'!$C$238:$C$451,$C195,'TL17'!$J$238:$J$451),0),
IF('TL18'!$B$3=L$3,SUMIF('TL18'!$C$10:$C$224,$C195,'TL18'!$J$10:$J$224),0),
IF('TL18'!$B$229=L$3,SUMIF('TL18'!$C$238:$C$451,$C195,'TL18'!$J$238:$J$451),0),
IF('TL19'!$B$3=L$3,SUMIF('TL19'!$C$10:$C$224,$C195,'TL19'!$J$10:$J$224),0),
IF('TL19'!$B$229=L$3,SUMIF('TL19'!$C$238:$C$451,$C195,'TL19'!$J$238:$J$451),0)
),0)</f>
        <v>0</v>
      </c>
      <c r="M195" s="9">
        <f>IFERROR(SUM(
IF('TL01'!$B$3=M$3,SUMIF('TL01'!$C$10:$C$224,$C195,'TL01'!$J$10:$J$224),0),
IF('TL01'!$B$229=M$3,SUMIF('TL01'!$C$238:$C$451,$C195,'TL01'!$J$238:$J$451),0),
IF('TL02'!$B$3=M$3,SUMIF('TL02'!$C$10:$C$224,$C195,'TL02'!$J$10:$J$224),0),
IF('TL02'!$B$229=M$3,SUMIF('TL02'!$C$238:$C$451,$C195,'TL02'!$J$238:$J$451),0),
IF('TL03'!$B$3=M$3,SUMIF('TL03'!$C$10:$C$224,$C195,'TL03'!$J$10:$J$224),0),
IF('TL03'!$B$229=M$3,SUMIF('TL03'!$C$238:$C$451,$C195,'TL03'!$J$238:$J$451),0),
IF('TL04'!$B$3=M$3,SUMIF('TL04'!$C$10:$C$224,$C195,'TL04'!$J$10:$J$224),0),
IF('TL04'!$B$229=M$3,SUMIF('TL04'!$C$238:$C$451,$C195,'TL04'!$J$238:$J$451),0),
IF('TL05'!$B$3=M$3,SUMIF('TL05'!$C$10:$C$224,$C195,'TL05'!$J$10:$J$224),0),
IF('TL05'!$B$229=M$3,SUMIF('TL05'!$C$238:$C$451,$C195,'TL05'!$J$238:$J$451),0),
IF('TL06'!$B$3=M$3,SUMIF('TL06'!$C$10:$C$224,$C195,'TL06'!$J$10:$J$224),0),
IF('TL06'!$B$229=M$3,SUMIF('TL06'!$C$238:$C$451,$C195,'TL06'!$J$238:$J$451),0),
IF('TL07'!$B$3=M$3,SUMIF('TL07'!$C$10:$C$224,$C195,'TL07'!$J$10:$J$224),0),
IF('TL07'!$B$229=M$3,SUMIF('TL07'!$C$238:$C$451,$C195,'TL07'!$J$238:$J$451),0),
IF('TL08'!$B$3=M$3,SUMIF('TL08'!$C$10:$C$224,$C195,'TL08'!$J$10:$J$224),0),
IF('TL08'!$B$229=M$3,SUMIF('TL08'!$C$238:$C$451,$C195,'TL08'!$J$238:$J$451),0),
IF('TL09'!$B$3=M$3,SUMIF('TL09'!$C$10:$C$224,$C195,'TL09'!$J$10:$J$224),0),
IF('TL09'!$B$229=M$3,SUMIF('TL09'!$C$238:$C$451,$C195,'TL09'!$J$238:$J$451),0),
IF('TL10'!$B$3=M$3,SUMIF('TL10'!$C$10:$C$224,$C195,'TL10'!$J$10:$J$224),0),
IF('TL10'!$B$229=M$3,SUMIF('TL10'!$C$238:$C$451,$C195,'TL10'!$J$238:$J$451),0),
IF('TL11'!$B$3=M$3,SUMIF('TL11'!$C$10:$C$224,$C195,'TL11'!$J$10:$J$224),0),
IF('TL11'!$B$229=M$3,SUMIF('TL11'!$C$238:$C$451,$C195,'TL11'!$J$238:$J$451),0),
IF('TL12'!$B$3=M$3,SUMIF('TL12'!$C$10:$C$224,$C195,'TL12'!$J$10:$J$224),0),
IF('TL12'!$B$229=M$3,SUMIF('TL12'!$C$238:$C$451,$C195,'TL12'!$J$238:$J$451),0),
IF('TL13'!$B$3=M$3,SUMIF('TL13'!$C$10:$C$224,$C195,'TL13'!$J$10:$J$224),0),
IF('TL13'!$B$229=M$3,SUMIF('TL13'!$C$238:$C$451,$C195,'TL13'!$J$238:$J$451),0),
IF('TL14'!$B$3=M$3,SUMIF('TL14'!$C$10:$C$224,$C195,'TL14'!$J$10:$J$224),0),
IF('TL14'!$B$229=M$3,SUMIF('TL14'!$C$238:$C$451,$C195,'TL14'!$J$238:$J$451),0),
IF('TL15'!$B$3=M$3,SUMIF('TL15'!$C$10:$C$224,$C195,'TL15'!$J$10:$J$224),0),
IF('TL15'!$B$229=M$3,SUMIF('TL15'!$C$238:$C$451,$C195,'TL15'!$J$238:$J$451),0),
IF('TL16'!$B$3=M$3,SUMIF('TL16'!$C$10:$C$224,$C195,'TL16'!$J$10:$J$224),0),
IF('TL16'!$B$229=M$3,SUMIF('TL16'!$C$238:$C$451,$C195,'TL16'!$J$238:$J$451),0),
IF('TL17'!$B$3=M$3,SUMIF('TL17'!$C$10:$C$224,$C195,'TL17'!$J$10:$J$224),0),
IF('TL17'!$B$229=M$3,SUMIF('TL17'!$C$238:$C$451,$C195,'TL17'!$J$238:$J$451),0),
IF('TL18'!$B$3=M$3,SUMIF('TL18'!$C$10:$C$224,$C195,'TL18'!$J$10:$J$224),0),
IF('TL18'!$B$229=M$3,SUMIF('TL18'!$C$238:$C$451,$C195,'TL18'!$J$238:$J$451),0),
IF('TL19'!$B$3=M$3,SUMIF('TL19'!$C$10:$C$224,$C195,'TL19'!$J$10:$J$224),0),
IF('TL19'!$B$229=M$3,SUMIF('TL19'!$C$238:$C$451,$C195,'TL19'!$J$238:$J$451),0)
),0)</f>
        <v>0</v>
      </c>
      <c r="N195" s="9">
        <f>IFERROR(SUM(
IF('TL01'!$B$3=N$3,SUMIF('TL01'!$C$10:$C$224,$C195,'TL01'!$J$10:$J$224),0),
IF('TL01'!$B$229=N$3,SUMIF('TL01'!$C$238:$C$451,$C195,'TL01'!$J$238:$J$451),0),
IF('TL02'!$B$3=N$3,SUMIF('TL02'!$C$10:$C$224,$C195,'TL02'!$J$10:$J$224),0),
IF('TL02'!$B$229=N$3,SUMIF('TL02'!$C$238:$C$451,$C195,'TL02'!$J$238:$J$451),0),
IF('TL03'!$B$3=N$3,SUMIF('TL03'!$C$10:$C$224,$C195,'TL03'!$J$10:$J$224),0),
IF('TL03'!$B$229=N$3,SUMIF('TL03'!$C$238:$C$451,$C195,'TL03'!$J$238:$J$451),0),
IF('TL04'!$B$3=N$3,SUMIF('TL04'!$C$10:$C$224,$C195,'TL04'!$J$10:$J$224),0),
IF('TL04'!$B$229=N$3,SUMIF('TL04'!$C$238:$C$451,$C195,'TL04'!$J$238:$J$451),0),
IF('TL05'!$B$3=N$3,SUMIF('TL05'!$C$10:$C$224,$C195,'TL05'!$J$10:$J$224),0),
IF('TL05'!$B$229=N$3,SUMIF('TL05'!$C$238:$C$451,$C195,'TL05'!$J$238:$J$451),0),
IF('TL06'!$B$3=N$3,SUMIF('TL06'!$C$10:$C$224,$C195,'TL06'!$J$10:$J$224),0),
IF('TL06'!$B$229=N$3,SUMIF('TL06'!$C$238:$C$451,$C195,'TL06'!$J$238:$J$451),0),
IF('TL07'!$B$3=N$3,SUMIF('TL07'!$C$10:$C$224,$C195,'TL07'!$J$10:$J$224),0),
IF('TL07'!$B$229=N$3,SUMIF('TL07'!$C$238:$C$451,$C195,'TL07'!$J$238:$J$451),0),
IF('TL08'!$B$3=N$3,SUMIF('TL08'!$C$10:$C$224,$C195,'TL08'!$J$10:$J$224),0),
IF('TL08'!$B$229=N$3,SUMIF('TL08'!$C$238:$C$451,$C195,'TL08'!$J$238:$J$451),0),
IF('TL09'!$B$3=N$3,SUMIF('TL09'!$C$10:$C$224,$C195,'TL09'!$J$10:$J$224),0),
IF('TL09'!$B$229=N$3,SUMIF('TL09'!$C$238:$C$451,$C195,'TL09'!$J$238:$J$451),0),
IF('TL10'!$B$3=N$3,SUMIF('TL10'!$C$10:$C$224,$C195,'TL10'!$J$10:$J$224),0),
IF('TL10'!$B$229=N$3,SUMIF('TL10'!$C$238:$C$451,$C195,'TL10'!$J$238:$J$451),0),
IF('TL11'!$B$3=N$3,SUMIF('TL11'!$C$10:$C$224,$C195,'TL11'!$J$10:$J$224),0),
IF('TL11'!$B$229=N$3,SUMIF('TL11'!$C$238:$C$451,$C195,'TL11'!$J$238:$J$451),0),
IF('TL12'!$B$3=N$3,SUMIF('TL12'!$C$10:$C$224,$C195,'TL12'!$J$10:$J$224),0),
IF('TL12'!$B$229=N$3,SUMIF('TL12'!$C$238:$C$451,$C195,'TL12'!$J$238:$J$451),0),
IF('TL13'!$B$3=N$3,SUMIF('TL13'!$C$10:$C$224,$C195,'TL13'!$J$10:$J$224),0),
IF('TL13'!$B$229=N$3,SUMIF('TL13'!$C$238:$C$451,$C195,'TL13'!$J$238:$J$451),0),
IF('TL14'!$B$3=N$3,SUMIF('TL14'!$C$10:$C$224,$C195,'TL14'!$J$10:$J$224),0),
IF('TL14'!$B$229=N$3,SUMIF('TL14'!$C$238:$C$451,$C195,'TL14'!$J$238:$J$451),0),
IF('TL15'!$B$3=N$3,SUMIF('TL15'!$C$10:$C$224,$C195,'TL15'!$J$10:$J$224),0),
IF('TL15'!$B$229=N$3,SUMIF('TL15'!$C$238:$C$451,$C195,'TL15'!$J$238:$J$451),0),
IF('TL16'!$B$3=N$3,SUMIF('TL16'!$C$10:$C$224,$C195,'TL16'!$J$10:$J$224),0),
IF('TL16'!$B$229=N$3,SUMIF('TL16'!$C$238:$C$451,$C195,'TL16'!$J$238:$J$451),0),
IF('TL17'!$B$3=N$3,SUMIF('TL17'!$C$10:$C$224,$C195,'TL17'!$J$10:$J$224),0),
IF('TL17'!$B$229=N$3,SUMIF('TL17'!$C$238:$C$451,$C195,'TL17'!$J$238:$J$451),0),
IF('TL18'!$B$3=N$3,SUMIF('TL18'!$C$10:$C$224,$C195,'TL18'!$J$10:$J$224),0),
IF('TL18'!$B$229=N$3,SUMIF('TL18'!$C$238:$C$451,$C195,'TL18'!$J$238:$J$451),0),
IF('TL19'!$B$3=N$3,SUMIF('TL19'!$C$10:$C$224,$C195,'TL19'!$J$10:$J$224),0),
IF('TL19'!$B$229=N$3,SUMIF('TL19'!$C$238:$C$451,$C195,'TL19'!$J$238:$J$451),0)
),0)</f>
        <v>0</v>
      </c>
      <c r="O195" s="9">
        <f>IFERROR(SUM(
IF('TL01'!$B$3=O$3,SUMIF('TL01'!$C$10:$C$224,$C195,'TL01'!$J$10:$J$224),0),
IF('TL01'!$B$229=O$3,SUMIF('TL01'!$C$238:$C$451,$C195,'TL01'!$J$238:$J$451),0),
IF('TL02'!$B$3=O$3,SUMIF('TL02'!$C$10:$C$224,$C195,'TL02'!$J$10:$J$224),0),
IF('TL02'!$B$229=O$3,SUMIF('TL02'!$C$238:$C$451,$C195,'TL02'!$J$238:$J$451),0),
IF('TL03'!$B$3=O$3,SUMIF('TL03'!$C$10:$C$224,$C195,'TL03'!$J$10:$J$224),0),
IF('TL03'!$B$229=O$3,SUMIF('TL03'!$C$238:$C$451,$C195,'TL03'!$J$238:$J$451),0),
IF('TL04'!$B$3=O$3,SUMIF('TL04'!$C$10:$C$224,$C195,'TL04'!$J$10:$J$224),0),
IF('TL04'!$B$229=O$3,SUMIF('TL04'!$C$238:$C$451,$C195,'TL04'!$J$238:$J$451),0),
IF('TL05'!$B$3=O$3,SUMIF('TL05'!$C$10:$C$224,$C195,'TL05'!$J$10:$J$224),0),
IF('TL05'!$B$229=O$3,SUMIF('TL05'!$C$238:$C$451,$C195,'TL05'!$J$238:$J$451),0),
IF('TL06'!$B$3=O$3,SUMIF('TL06'!$C$10:$C$224,$C195,'TL06'!$J$10:$J$224),0),
IF('TL06'!$B$229=O$3,SUMIF('TL06'!$C$238:$C$451,$C195,'TL06'!$J$238:$J$451),0),
IF('TL07'!$B$3=O$3,SUMIF('TL07'!$C$10:$C$224,$C195,'TL07'!$J$10:$J$224),0),
IF('TL07'!$B$229=O$3,SUMIF('TL07'!$C$238:$C$451,$C195,'TL07'!$J$238:$J$451),0),
IF('TL08'!$B$3=O$3,SUMIF('TL08'!$C$10:$C$224,$C195,'TL08'!$J$10:$J$224),0),
IF('TL08'!$B$229=O$3,SUMIF('TL08'!$C$238:$C$451,$C195,'TL08'!$J$238:$J$451),0),
IF('TL09'!$B$3=O$3,SUMIF('TL09'!$C$10:$C$224,$C195,'TL09'!$J$10:$J$224),0),
IF('TL09'!$B$229=O$3,SUMIF('TL09'!$C$238:$C$451,$C195,'TL09'!$J$238:$J$451),0),
IF('TL10'!$B$3=O$3,SUMIF('TL10'!$C$10:$C$224,$C195,'TL10'!$J$10:$J$224),0),
IF('TL10'!$B$229=O$3,SUMIF('TL10'!$C$238:$C$451,$C195,'TL10'!$J$238:$J$451),0),
IF('TL11'!$B$3=O$3,SUMIF('TL11'!$C$10:$C$224,$C195,'TL11'!$J$10:$J$224),0),
IF('TL11'!$B$229=O$3,SUMIF('TL11'!$C$238:$C$451,$C195,'TL11'!$J$238:$J$451),0),
IF('TL12'!$B$3=O$3,SUMIF('TL12'!$C$10:$C$224,$C195,'TL12'!$J$10:$J$224),0),
IF('TL12'!$B$229=O$3,SUMIF('TL12'!$C$238:$C$451,$C195,'TL12'!$J$238:$J$451),0),
IF('TL13'!$B$3=O$3,SUMIF('TL13'!$C$10:$C$224,$C195,'TL13'!$J$10:$J$224),0),
IF('TL13'!$B$229=O$3,SUMIF('TL13'!$C$238:$C$451,$C195,'TL13'!$J$238:$J$451),0),
IF('TL14'!$B$3=O$3,SUMIF('TL14'!$C$10:$C$224,$C195,'TL14'!$J$10:$J$224),0),
IF('TL14'!$B$229=O$3,SUMIF('TL14'!$C$238:$C$451,$C195,'TL14'!$J$238:$J$451),0),
IF('TL15'!$B$3=O$3,SUMIF('TL15'!$C$10:$C$224,$C195,'TL15'!$J$10:$J$224),0),
IF('TL15'!$B$229=O$3,SUMIF('TL15'!$C$238:$C$451,$C195,'TL15'!$J$238:$J$451),0),
IF('TL16'!$B$3=O$3,SUMIF('TL16'!$C$10:$C$224,$C195,'TL16'!$J$10:$J$224),0),
IF('TL16'!$B$229=O$3,SUMIF('TL16'!$C$238:$C$451,$C195,'TL16'!$J$238:$J$451),0),
IF('TL17'!$B$3=O$3,SUMIF('TL17'!$C$10:$C$224,$C195,'TL17'!$J$10:$J$224),0),
IF('TL17'!$B$229=O$3,SUMIF('TL17'!$C$238:$C$451,$C195,'TL17'!$J$238:$J$451),0),
IF('TL18'!$B$3=O$3,SUMIF('TL18'!$C$10:$C$224,$C195,'TL18'!$J$10:$J$224),0),
IF('TL18'!$B$229=O$3,SUMIF('TL18'!$C$238:$C$451,$C195,'TL18'!$J$238:$J$451),0),
IF('TL19'!$B$3=O$3,SUMIF('TL19'!$C$10:$C$224,$C195,'TL19'!$J$10:$J$224),0),
IF('TL19'!$B$229=O$3,SUMIF('TL19'!$C$238:$C$451,$C195,'TL19'!$J$238:$J$451),0)
),0)</f>
        <v>0</v>
      </c>
      <c r="P195" s="9">
        <f>IFERROR(SUM(
IF('TL01'!$B$3=P$3,SUMIF('TL01'!$C$10:$C$224,$C195,'TL01'!$J$10:$J$224),0),
IF('TL01'!$B$229=P$3,SUMIF('TL01'!$C$238:$C$451,$C195,'TL01'!$J$238:$J$451),0),
IF('TL02'!$B$3=P$3,SUMIF('TL02'!$C$10:$C$224,$C195,'TL02'!$J$10:$J$224),0),
IF('TL02'!$B$229=P$3,SUMIF('TL02'!$C$238:$C$451,$C195,'TL02'!$J$238:$J$451),0),
IF('TL03'!$B$3=P$3,SUMIF('TL03'!$C$10:$C$224,$C195,'TL03'!$J$10:$J$224),0),
IF('TL03'!$B$229=P$3,SUMIF('TL03'!$C$238:$C$451,$C195,'TL03'!$J$238:$J$451),0),
IF('TL04'!$B$3=P$3,SUMIF('TL04'!$C$10:$C$224,$C195,'TL04'!$J$10:$J$224),0),
IF('TL04'!$B$229=P$3,SUMIF('TL04'!$C$238:$C$451,$C195,'TL04'!$J$238:$J$451),0),
IF('TL05'!$B$3=P$3,SUMIF('TL05'!$C$10:$C$224,$C195,'TL05'!$J$10:$J$224),0),
IF('TL05'!$B$229=P$3,SUMIF('TL05'!$C$238:$C$451,$C195,'TL05'!$J$238:$J$451),0),
IF('TL06'!$B$3=P$3,SUMIF('TL06'!$C$10:$C$224,$C195,'TL06'!$J$10:$J$224),0),
IF('TL06'!$B$229=P$3,SUMIF('TL06'!$C$238:$C$451,$C195,'TL06'!$J$238:$J$451),0),
IF('TL07'!$B$3=P$3,SUMIF('TL07'!$C$10:$C$224,$C195,'TL07'!$J$10:$J$224),0),
IF('TL07'!$B$229=P$3,SUMIF('TL07'!$C$238:$C$451,$C195,'TL07'!$J$238:$J$451),0),
IF('TL08'!$B$3=P$3,SUMIF('TL08'!$C$10:$C$224,$C195,'TL08'!$J$10:$J$224),0),
IF('TL08'!$B$229=P$3,SUMIF('TL08'!$C$238:$C$451,$C195,'TL08'!$J$238:$J$451),0),
IF('TL09'!$B$3=P$3,SUMIF('TL09'!$C$10:$C$224,$C195,'TL09'!$J$10:$J$224),0),
IF('TL09'!$B$229=P$3,SUMIF('TL09'!$C$238:$C$451,$C195,'TL09'!$J$238:$J$451),0),
IF('TL10'!$B$3=P$3,SUMIF('TL10'!$C$10:$C$224,$C195,'TL10'!$J$10:$J$224),0),
IF('TL10'!$B$229=P$3,SUMIF('TL10'!$C$238:$C$451,$C195,'TL10'!$J$238:$J$451),0),
IF('TL11'!$B$3=P$3,SUMIF('TL11'!$C$10:$C$224,$C195,'TL11'!$J$10:$J$224),0),
IF('TL11'!$B$229=P$3,SUMIF('TL11'!$C$238:$C$451,$C195,'TL11'!$J$238:$J$451),0),
IF('TL12'!$B$3=P$3,SUMIF('TL12'!$C$10:$C$224,$C195,'TL12'!$J$10:$J$224),0),
IF('TL12'!$B$229=P$3,SUMIF('TL12'!$C$238:$C$451,$C195,'TL12'!$J$238:$J$451),0),
IF('TL13'!$B$3=P$3,SUMIF('TL13'!$C$10:$C$224,$C195,'TL13'!$J$10:$J$224),0),
IF('TL13'!$B$229=P$3,SUMIF('TL13'!$C$238:$C$451,$C195,'TL13'!$J$238:$J$451),0),
IF('TL14'!$B$3=P$3,SUMIF('TL14'!$C$10:$C$224,$C195,'TL14'!$J$10:$J$224),0),
IF('TL14'!$B$229=P$3,SUMIF('TL14'!$C$238:$C$451,$C195,'TL14'!$J$238:$J$451),0),
IF('TL15'!$B$3=P$3,SUMIF('TL15'!$C$10:$C$224,$C195,'TL15'!$J$10:$J$224),0),
IF('TL15'!$B$229=P$3,SUMIF('TL15'!$C$238:$C$451,$C195,'TL15'!$J$238:$J$451),0),
IF('TL16'!$B$3=P$3,SUMIF('TL16'!$C$10:$C$224,$C195,'TL16'!$J$10:$J$224),0),
IF('TL16'!$B$229=P$3,SUMIF('TL16'!$C$238:$C$451,$C195,'TL16'!$J$238:$J$451),0),
IF('TL17'!$B$3=P$3,SUMIF('TL17'!$C$10:$C$224,$C195,'TL17'!$J$10:$J$224),0),
IF('TL17'!$B$229=P$3,SUMIF('TL17'!$C$238:$C$451,$C195,'TL17'!$J$238:$J$451),0),
IF('TL18'!$B$3=P$3,SUMIF('TL18'!$C$10:$C$224,$C195,'TL18'!$J$10:$J$224),0),
IF('TL18'!$B$229=P$3,SUMIF('TL18'!$C$238:$C$451,$C195,'TL18'!$J$238:$J$451),0),
IF('TL19'!$B$3=P$3,SUMIF('TL19'!$C$10:$C$224,$C195,'TL19'!$J$10:$J$224),0),
IF('TL19'!$B$229=P$3,SUMIF('TL19'!$C$238:$C$451,$C195,'TL19'!$J$238:$J$451),0)
),0)</f>
        <v>0</v>
      </c>
      <c r="Q195" s="9">
        <f>IFERROR(SUM(
IF('TL01'!$B$3=Q$3,SUMIF('TL01'!$C$10:$C$224,$C195,'TL01'!$J$10:$J$224),0),
IF('TL01'!$B$229=Q$3,SUMIF('TL01'!$C$238:$C$451,$C195,'TL01'!$J$238:$J$451),0),
IF('TL02'!$B$3=Q$3,SUMIF('TL02'!$C$10:$C$224,$C195,'TL02'!$J$10:$J$224),0),
IF('TL02'!$B$229=Q$3,SUMIF('TL02'!$C$238:$C$451,$C195,'TL02'!$J$238:$J$451),0),
IF('TL03'!$B$3=Q$3,SUMIF('TL03'!$C$10:$C$224,$C195,'TL03'!$J$10:$J$224),0),
IF('TL03'!$B$229=Q$3,SUMIF('TL03'!$C$238:$C$451,$C195,'TL03'!$J$238:$J$451),0),
IF('TL04'!$B$3=Q$3,SUMIF('TL04'!$C$10:$C$224,$C195,'TL04'!$J$10:$J$224),0),
IF('TL04'!$B$229=Q$3,SUMIF('TL04'!$C$238:$C$451,$C195,'TL04'!$J$238:$J$451),0),
IF('TL05'!$B$3=Q$3,SUMIF('TL05'!$C$10:$C$224,$C195,'TL05'!$J$10:$J$224),0),
IF('TL05'!$B$229=Q$3,SUMIF('TL05'!$C$238:$C$451,$C195,'TL05'!$J$238:$J$451),0),
IF('TL06'!$B$3=Q$3,SUMIF('TL06'!$C$10:$C$224,$C195,'TL06'!$J$10:$J$224),0),
IF('TL06'!$B$229=Q$3,SUMIF('TL06'!$C$238:$C$451,$C195,'TL06'!$J$238:$J$451),0),
IF('TL07'!$B$3=Q$3,SUMIF('TL07'!$C$10:$C$224,$C195,'TL07'!$J$10:$J$224),0),
IF('TL07'!$B$229=Q$3,SUMIF('TL07'!$C$238:$C$451,$C195,'TL07'!$J$238:$J$451),0),
IF('TL08'!$B$3=Q$3,SUMIF('TL08'!$C$10:$C$224,$C195,'TL08'!$J$10:$J$224),0),
IF('TL08'!$B$229=Q$3,SUMIF('TL08'!$C$238:$C$451,$C195,'TL08'!$J$238:$J$451),0),
IF('TL09'!$B$3=Q$3,SUMIF('TL09'!$C$10:$C$224,$C195,'TL09'!$J$10:$J$224),0),
IF('TL09'!$B$229=Q$3,SUMIF('TL09'!$C$238:$C$451,$C195,'TL09'!$J$238:$J$451),0),
IF('TL10'!$B$3=Q$3,SUMIF('TL10'!$C$10:$C$224,$C195,'TL10'!$J$10:$J$224),0),
IF('TL10'!$B$229=Q$3,SUMIF('TL10'!$C$238:$C$451,$C195,'TL10'!$J$238:$J$451),0),
IF('TL11'!$B$3=Q$3,SUMIF('TL11'!$C$10:$C$224,$C195,'TL11'!$J$10:$J$224),0),
IF('TL11'!$B$229=Q$3,SUMIF('TL11'!$C$238:$C$451,$C195,'TL11'!$J$238:$J$451),0),
IF('TL12'!$B$3=Q$3,SUMIF('TL12'!$C$10:$C$224,$C195,'TL12'!$J$10:$J$224),0),
IF('TL12'!$B$229=Q$3,SUMIF('TL12'!$C$238:$C$451,$C195,'TL12'!$J$238:$J$451),0),
IF('TL13'!$B$3=Q$3,SUMIF('TL13'!$C$10:$C$224,$C195,'TL13'!$J$10:$J$224),0),
IF('TL13'!$B$229=Q$3,SUMIF('TL13'!$C$238:$C$451,$C195,'TL13'!$J$238:$J$451),0),
IF('TL14'!$B$3=Q$3,SUMIF('TL14'!$C$10:$C$224,$C195,'TL14'!$J$10:$J$224),0),
IF('TL14'!$B$229=Q$3,SUMIF('TL14'!$C$238:$C$451,$C195,'TL14'!$J$238:$J$451),0),
IF('TL15'!$B$3=Q$3,SUMIF('TL15'!$C$10:$C$224,$C195,'TL15'!$J$10:$J$224),0),
IF('TL15'!$B$229=Q$3,SUMIF('TL15'!$C$238:$C$451,$C195,'TL15'!$J$238:$J$451),0),
IF('TL16'!$B$3=Q$3,SUMIF('TL16'!$C$10:$C$224,$C195,'TL16'!$J$10:$J$224),0),
IF('TL16'!$B$229=Q$3,SUMIF('TL16'!$C$238:$C$451,$C195,'TL16'!$J$238:$J$451),0),
IF('TL17'!$B$3=Q$3,SUMIF('TL17'!$C$10:$C$224,$C195,'TL17'!$J$10:$J$224),0),
IF('TL17'!$B$229=Q$3,SUMIF('TL17'!$C$238:$C$451,$C195,'TL17'!$J$238:$J$451),0),
IF('TL18'!$B$3=Q$3,SUMIF('TL18'!$C$10:$C$224,$C195,'TL18'!$J$10:$J$224),0),
IF('TL18'!$B$229=Q$3,SUMIF('TL18'!$C$238:$C$451,$C195,'TL18'!$J$238:$J$451),0),
IF('TL19'!$B$3=Q$3,SUMIF('TL19'!$C$10:$C$224,$C195,'TL19'!$J$10:$J$224),0),
IF('TL19'!$B$229=Q$3,SUMIF('TL19'!$C$238:$C$451,$C195,'TL19'!$J$238:$J$451),0)
),0)</f>
        <v>0</v>
      </c>
      <c r="R195" s="9">
        <f>IFERROR(
SUM(
SUMIF('TL01'!C:C,C195,'TL01'!J:J),
SUMIF('TL02'!C:C,C195,'TL02'!J:J),
SUMIF('TL03'!C:C,C195,'TL03'!J:J),
SUMIF('TL04'!C:C,C195,'TL04'!J:J),
SUMIF('TL05'!C:C,C195,'TL05'!J:J),
SUMIF('TL06'!C:C,C195,'TL06'!J:J),
SUMIF('TL07'!C:C,C195,'TL07'!J:J),
SUMIF('TL08'!C:C,C195,'TL08'!J:J),
SUMIF('TL09'!C:C,C195,'TL09'!J:J),
SUMIF('TL10'!C:C,C195,'TL10'!J:J),
SUMIF('TL11'!C:C,C195,'TL11'!J:J),
SUMIF('TL12'!C:C,C195,'TL12'!J:J),
SUMIF('TL13'!C:C,C195,'TL13'!J:J),
SUMIF('TL14'!C:C,C195,'TL14'!J:J),
SUMIF('TL15'!C:C,C195,'TL15'!J:J),
SUMIF('TL16'!C:C,C195,'TL16'!J:J),
SUMIF('TL17'!C:C,C195,'TL17'!J:J),
SUMIF('TL18'!C:C,C195,'TL18'!J:J),SUMIF('TL19'!C:C,C195,'TL19'!J:J))
,0)</f>
        <v>0</v>
      </c>
      <c r="S195" s="17">
        <f>IFERROR(__xludf.DUMMYFUNCTION("IFERROR(VLOOKUP(C195,
IMPORTRANGE(""1wULbzX32WdYsx-lj2U3uUNBBe2INVIRDtcK0d-Dvl90"",
""26-27!C:G""),
5,
FALSE),
"""")"),14.95533)</f>
        <v>14.95533</v>
      </c>
      <c r="T195" s="9"/>
      <c r="U195" s="92">
        <f t="shared" si="2"/>
        <v>0</v>
      </c>
      <c r="V195" s="93">
        <f t="shared" si="3"/>
        <v>0</v>
      </c>
    </row>
    <row r="196" ht="15.75" hidden="1" customHeight="1">
      <c r="A196" s="87" t="s">
        <v>679</v>
      </c>
      <c r="B196" s="88" t="s">
        <v>2</v>
      </c>
      <c r="C196" s="89" t="s">
        <v>806</v>
      </c>
      <c r="D196" s="89" t="s">
        <v>760</v>
      </c>
      <c r="E196" s="89" t="s">
        <v>602</v>
      </c>
      <c r="F196" s="4" t="s">
        <v>807</v>
      </c>
      <c r="G196" s="90" t="str">
        <f t="shared" si="4"/>
        <v>📄 Ver bula</v>
      </c>
      <c r="H196" s="9">
        <f>IFERROR(__xludf.DUMMYFUNCTION("IFERROR(VLOOKUP(C196,
IMPORTRANGE(""1wULbzX32WdYsx-lj2U3uUNBBe2INVIRDtcK0d-Dvl90"",
""26-27!C:K""),
8,
FALSE),
"""")"),0.25)</f>
        <v>0.25</v>
      </c>
      <c r="I196" s="91" t="s">
        <v>344</v>
      </c>
      <c r="J196" s="9">
        <f>IFERROR(SUM(
IF('TL01'!$B$3=J$3,SUMIF('TL01'!$C$10:$C$224,$C196,'TL01'!$J$10:$J$224),0),
IF('TL01'!$B$229=J$3,SUMIF('TL01'!$C$238:$C$451,$C196,'TL01'!$J$238:$J$451),0),
IF('TL02'!$B$3=J$3,SUMIF('TL02'!$C$10:$C$224,$C196,'TL02'!$J$10:$J$224),0),
IF('TL02'!$B$229=J$3,SUMIF('TL02'!$C$238:$C$451,$C196,'TL02'!$J$238:$J$451),0),
IF('TL03'!$B$3=J$3,SUMIF('TL03'!$C$10:$C$224,$C196,'TL03'!$J$10:$J$224),0),
IF('TL03'!$B$229=J$3,SUMIF('TL03'!$C$238:$C$451,$C196,'TL03'!$J$238:$J$451),0),
IF('TL04'!$B$3=J$3,SUMIF('TL04'!$C$10:$C$224,$C196,'TL04'!$J$10:$J$224),0),
IF('TL04'!$B$229=J$3,SUMIF('TL04'!$C$238:$C$451,$C196,'TL04'!$J$238:$J$451),0),
IF('TL05'!$B$3=J$3,SUMIF('TL05'!$C$10:$C$224,$C196,'TL05'!$J$10:$J$224),0),
IF('TL05'!$B$229=J$3,SUMIF('TL05'!$C$238:$C$451,$C196,'TL05'!$J$238:$J$451),0),
IF('TL06'!$B$3=J$3,SUMIF('TL06'!$C$10:$C$224,$C196,'TL06'!$J$10:$J$224),0),
IF('TL06'!$B$229=J$3,SUMIF('TL06'!$C$238:$C$451,$C196,'TL06'!$J$238:$J$451),0),
IF('TL07'!$B$3=J$3,SUMIF('TL07'!$C$10:$C$224,$C196,'TL07'!$J$10:$J$224),0),
IF('TL07'!$B$229=J$3,SUMIF('TL07'!$C$238:$C$451,$C196,'TL07'!$J$238:$J$451),0),
IF('TL08'!$B$3=J$3,SUMIF('TL08'!$C$10:$C$224,$C196,'TL08'!$J$10:$J$224),0),
IF('TL08'!$B$229=J$3,SUMIF('TL08'!$C$238:$C$451,$C196,'TL08'!$J$238:$J$451),0),
IF('TL09'!$B$3=J$3,SUMIF('TL09'!$C$10:$C$224,$C196,'TL09'!$J$10:$J$224),0),
IF('TL09'!$B$229=J$3,SUMIF('TL09'!$C$238:$C$451,$C196,'TL09'!$J$238:$J$451),0),
IF('TL10'!$B$3=J$3,SUMIF('TL10'!$C$10:$C$224,$C196,'TL10'!$J$10:$J$224),0),
IF('TL10'!$B$229=J$3,SUMIF('TL10'!$C$238:$C$451,$C196,'TL10'!$J$238:$J$451),0),
IF('TL11'!$B$3=J$3,SUMIF('TL11'!$C$10:$C$224,$C196,'TL11'!$J$10:$J$224),0),
IF('TL11'!$B$229=J$3,SUMIF('TL11'!$C$238:$C$451,$C196,'TL11'!$J$238:$J$451),0),
IF('TL12'!$B$3=J$3,SUMIF('TL12'!$C$10:$C$224,$C196,'TL12'!$J$10:$J$224),0),
IF('TL12'!$B$229=J$3,SUMIF('TL12'!$C$238:$C$451,$C196,'TL12'!$J$238:$J$451),0),
IF('TL13'!$B$3=J$3,SUMIF('TL13'!$C$10:$C$224,$C196,'TL13'!$J$10:$J$224),0),
IF('TL13'!$B$229=J$3,SUMIF('TL13'!$C$238:$C$451,$C196,'TL13'!$J$238:$J$451),0),
IF('TL14'!$B$3=J$3,SUMIF('TL14'!$C$10:$C$224,$C196,'TL14'!$J$10:$J$224),0),
IF('TL14'!$B$229=J$3,SUMIF('TL14'!$C$238:$C$451,$C196,'TL14'!$J$238:$J$451),0),
IF('TL15'!$B$3=J$3,SUMIF('TL15'!$C$10:$C$224,$C196,'TL15'!$J$10:$J$224),0),
IF('TL15'!$B$229=J$3,SUMIF('TL15'!$C$238:$C$451,$C196,'TL15'!$J$238:$J$451),0),
IF('TL16'!$B$3=J$3,SUMIF('TL16'!$C$10:$C$224,$C196,'TL16'!$J$10:$J$224),0),
IF('TL16'!$B$229=J$3,SUMIF('TL16'!$C$238:$C$451,$C196,'TL16'!$J$238:$J$451),0),
IF('TL17'!$B$3=J$3,SUMIF('TL17'!$C$10:$C$224,$C196,'TL17'!$J$10:$J$224),0),
IF('TL17'!$B$229=J$3,SUMIF('TL17'!$C$238:$C$451,$C196,'TL17'!$J$238:$J$451),0),
IF('TL18'!$B$3=J$3,SUMIF('TL18'!$C$10:$C$224,$C196,'TL18'!$J$10:$J$224),0),
IF('TL18'!$B$229=J$3,SUMIF('TL18'!$C$238:$C$451,$C196,'TL18'!$J$238:$J$451),0),
IF('TL19'!$B$3=J$3,SUMIF('TL19'!$C$10:$C$224,$C196,'TL19'!$J$10:$J$224),0),
IF('TL19'!$B$229=J$3,SUMIF('TL19'!$C$238:$C$451,$C196,'TL19'!$J$238:$J$451),0)
),0)</f>
        <v>0</v>
      </c>
      <c r="K196" s="9">
        <f>IFERROR(SUM(
IF('TL01'!$B$3=K$3,SUMIF('TL01'!$C$10:$C$224,$C196,'TL01'!$J$10:$J$224),0),
IF('TL01'!$B$229=K$3,SUMIF('TL01'!$C$238:$C$451,$C196,'TL01'!$J$238:$J$451),0),
IF('TL02'!$B$3=K$3,SUMIF('TL02'!$C$10:$C$224,$C196,'TL02'!$J$10:$J$224),0),
IF('TL02'!$B$229=K$3,SUMIF('TL02'!$C$238:$C$451,$C196,'TL02'!$J$238:$J$451),0),
IF('TL03'!$B$3=K$3,SUMIF('TL03'!$C$10:$C$224,$C196,'TL03'!$J$10:$J$224),0),
IF('TL03'!$B$229=K$3,SUMIF('TL03'!$C$238:$C$451,$C196,'TL03'!$J$238:$J$451),0),
IF('TL04'!$B$3=K$3,SUMIF('TL04'!$C$10:$C$224,$C196,'TL04'!$J$10:$J$224),0),
IF('TL04'!$B$229=K$3,SUMIF('TL04'!$C$238:$C$451,$C196,'TL04'!$J$238:$J$451),0),
IF('TL05'!$B$3=K$3,SUMIF('TL05'!$C$10:$C$224,$C196,'TL05'!$J$10:$J$224),0),
IF('TL05'!$B$229=K$3,SUMIF('TL05'!$C$238:$C$451,$C196,'TL05'!$J$238:$J$451),0),
IF('TL06'!$B$3=K$3,SUMIF('TL06'!$C$10:$C$224,$C196,'TL06'!$J$10:$J$224),0),
IF('TL06'!$B$229=K$3,SUMIF('TL06'!$C$238:$C$451,$C196,'TL06'!$J$238:$J$451),0),
IF('TL07'!$B$3=K$3,SUMIF('TL07'!$C$10:$C$224,$C196,'TL07'!$J$10:$J$224),0),
IF('TL07'!$B$229=K$3,SUMIF('TL07'!$C$238:$C$451,$C196,'TL07'!$J$238:$J$451),0),
IF('TL08'!$B$3=K$3,SUMIF('TL08'!$C$10:$C$224,$C196,'TL08'!$J$10:$J$224),0),
IF('TL08'!$B$229=K$3,SUMIF('TL08'!$C$238:$C$451,$C196,'TL08'!$J$238:$J$451),0),
IF('TL09'!$B$3=K$3,SUMIF('TL09'!$C$10:$C$224,$C196,'TL09'!$J$10:$J$224),0),
IF('TL09'!$B$229=K$3,SUMIF('TL09'!$C$238:$C$451,$C196,'TL09'!$J$238:$J$451),0),
IF('TL10'!$B$3=K$3,SUMIF('TL10'!$C$10:$C$224,$C196,'TL10'!$J$10:$J$224),0),
IF('TL10'!$B$229=K$3,SUMIF('TL10'!$C$238:$C$451,$C196,'TL10'!$J$238:$J$451),0),
IF('TL11'!$B$3=K$3,SUMIF('TL11'!$C$10:$C$224,$C196,'TL11'!$J$10:$J$224),0),
IF('TL11'!$B$229=K$3,SUMIF('TL11'!$C$238:$C$451,$C196,'TL11'!$J$238:$J$451),0),
IF('TL12'!$B$3=K$3,SUMIF('TL12'!$C$10:$C$224,$C196,'TL12'!$J$10:$J$224),0),
IF('TL12'!$B$229=K$3,SUMIF('TL12'!$C$238:$C$451,$C196,'TL12'!$J$238:$J$451),0),
IF('TL13'!$B$3=K$3,SUMIF('TL13'!$C$10:$C$224,$C196,'TL13'!$J$10:$J$224),0),
IF('TL13'!$B$229=K$3,SUMIF('TL13'!$C$238:$C$451,$C196,'TL13'!$J$238:$J$451),0),
IF('TL14'!$B$3=K$3,SUMIF('TL14'!$C$10:$C$224,$C196,'TL14'!$J$10:$J$224),0),
IF('TL14'!$B$229=K$3,SUMIF('TL14'!$C$238:$C$451,$C196,'TL14'!$J$238:$J$451),0),
IF('TL15'!$B$3=K$3,SUMIF('TL15'!$C$10:$C$224,$C196,'TL15'!$J$10:$J$224),0),
IF('TL15'!$B$229=K$3,SUMIF('TL15'!$C$238:$C$451,$C196,'TL15'!$J$238:$J$451),0),
IF('TL16'!$B$3=K$3,SUMIF('TL16'!$C$10:$C$224,$C196,'TL16'!$J$10:$J$224),0),
IF('TL16'!$B$229=K$3,SUMIF('TL16'!$C$238:$C$451,$C196,'TL16'!$J$238:$J$451),0),
IF('TL17'!$B$3=K$3,SUMIF('TL17'!$C$10:$C$224,$C196,'TL17'!$J$10:$J$224),0),
IF('TL17'!$B$229=K$3,SUMIF('TL17'!$C$238:$C$451,$C196,'TL17'!$J$238:$J$451),0),
IF('TL18'!$B$3=K$3,SUMIF('TL18'!$C$10:$C$224,$C196,'TL18'!$J$10:$J$224),0),
IF('TL18'!$B$229=K$3,SUMIF('TL18'!$C$238:$C$451,$C196,'TL18'!$J$238:$J$451),0),
IF('TL19'!$B$3=K$3,SUMIF('TL19'!$C$10:$C$224,$C196,'TL19'!$J$10:$J$224),0),
IF('TL19'!$B$229=K$3,SUMIF('TL19'!$C$238:$C$451,$C196,'TL19'!$J$238:$J$451),0)
),0)</f>
        <v>0</v>
      </c>
      <c r="L196" s="9">
        <f>IFERROR(SUM(
IF('TL01'!$B$3=L$3,SUMIF('TL01'!$C$10:$C$224,$C196,'TL01'!$J$10:$J$224),0),
IF('TL01'!$B$229=L$3,SUMIF('TL01'!$C$238:$C$451,$C196,'TL01'!$J$238:$J$451),0),
IF('TL02'!$B$3=L$3,SUMIF('TL02'!$C$10:$C$224,$C196,'TL02'!$J$10:$J$224),0),
IF('TL02'!$B$229=L$3,SUMIF('TL02'!$C$238:$C$451,$C196,'TL02'!$J$238:$J$451),0),
IF('TL03'!$B$3=L$3,SUMIF('TL03'!$C$10:$C$224,$C196,'TL03'!$J$10:$J$224),0),
IF('TL03'!$B$229=L$3,SUMIF('TL03'!$C$238:$C$451,$C196,'TL03'!$J$238:$J$451),0),
IF('TL04'!$B$3=L$3,SUMIF('TL04'!$C$10:$C$224,$C196,'TL04'!$J$10:$J$224),0),
IF('TL04'!$B$229=L$3,SUMIF('TL04'!$C$238:$C$451,$C196,'TL04'!$J$238:$J$451),0),
IF('TL05'!$B$3=L$3,SUMIF('TL05'!$C$10:$C$224,$C196,'TL05'!$J$10:$J$224),0),
IF('TL05'!$B$229=L$3,SUMIF('TL05'!$C$238:$C$451,$C196,'TL05'!$J$238:$J$451),0),
IF('TL06'!$B$3=L$3,SUMIF('TL06'!$C$10:$C$224,$C196,'TL06'!$J$10:$J$224),0),
IF('TL06'!$B$229=L$3,SUMIF('TL06'!$C$238:$C$451,$C196,'TL06'!$J$238:$J$451),0),
IF('TL07'!$B$3=L$3,SUMIF('TL07'!$C$10:$C$224,$C196,'TL07'!$J$10:$J$224),0),
IF('TL07'!$B$229=L$3,SUMIF('TL07'!$C$238:$C$451,$C196,'TL07'!$J$238:$J$451),0),
IF('TL08'!$B$3=L$3,SUMIF('TL08'!$C$10:$C$224,$C196,'TL08'!$J$10:$J$224),0),
IF('TL08'!$B$229=L$3,SUMIF('TL08'!$C$238:$C$451,$C196,'TL08'!$J$238:$J$451),0),
IF('TL09'!$B$3=L$3,SUMIF('TL09'!$C$10:$C$224,$C196,'TL09'!$J$10:$J$224),0),
IF('TL09'!$B$229=L$3,SUMIF('TL09'!$C$238:$C$451,$C196,'TL09'!$J$238:$J$451),0),
IF('TL10'!$B$3=L$3,SUMIF('TL10'!$C$10:$C$224,$C196,'TL10'!$J$10:$J$224),0),
IF('TL10'!$B$229=L$3,SUMIF('TL10'!$C$238:$C$451,$C196,'TL10'!$J$238:$J$451),0),
IF('TL11'!$B$3=L$3,SUMIF('TL11'!$C$10:$C$224,$C196,'TL11'!$J$10:$J$224),0),
IF('TL11'!$B$229=L$3,SUMIF('TL11'!$C$238:$C$451,$C196,'TL11'!$J$238:$J$451),0),
IF('TL12'!$B$3=L$3,SUMIF('TL12'!$C$10:$C$224,$C196,'TL12'!$J$10:$J$224),0),
IF('TL12'!$B$229=L$3,SUMIF('TL12'!$C$238:$C$451,$C196,'TL12'!$J$238:$J$451),0),
IF('TL13'!$B$3=L$3,SUMIF('TL13'!$C$10:$C$224,$C196,'TL13'!$J$10:$J$224),0),
IF('TL13'!$B$229=L$3,SUMIF('TL13'!$C$238:$C$451,$C196,'TL13'!$J$238:$J$451),0),
IF('TL14'!$B$3=L$3,SUMIF('TL14'!$C$10:$C$224,$C196,'TL14'!$J$10:$J$224),0),
IF('TL14'!$B$229=L$3,SUMIF('TL14'!$C$238:$C$451,$C196,'TL14'!$J$238:$J$451),0),
IF('TL15'!$B$3=L$3,SUMIF('TL15'!$C$10:$C$224,$C196,'TL15'!$J$10:$J$224),0),
IF('TL15'!$B$229=L$3,SUMIF('TL15'!$C$238:$C$451,$C196,'TL15'!$J$238:$J$451),0),
IF('TL16'!$B$3=L$3,SUMIF('TL16'!$C$10:$C$224,$C196,'TL16'!$J$10:$J$224),0),
IF('TL16'!$B$229=L$3,SUMIF('TL16'!$C$238:$C$451,$C196,'TL16'!$J$238:$J$451),0),
IF('TL17'!$B$3=L$3,SUMIF('TL17'!$C$10:$C$224,$C196,'TL17'!$J$10:$J$224),0),
IF('TL17'!$B$229=L$3,SUMIF('TL17'!$C$238:$C$451,$C196,'TL17'!$J$238:$J$451),0),
IF('TL18'!$B$3=L$3,SUMIF('TL18'!$C$10:$C$224,$C196,'TL18'!$J$10:$J$224),0),
IF('TL18'!$B$229=L$3,SUMIF('TL18'!$C$238:$C$451,$C196,'TL18'!$J$238:$J$451),0),
IF('TL19'!$B$3=L$3,SUMIF('TL19'!$C$10:$C$224,$C196,'TL19'!$J$10:$J$224),0),
IF('TL19'!$B$229=L$3,SUMIF('TL19'!$C$238:$C$451,$C196,'TL19'!$J$238:$J$451),0)
),0)</f>
        <v>0</v>
      </c>
      <c r="M196" s="9">
        <f>IFERROR(SUM(
IF('TL01'!$B$3=M$3,SUMIF('TL01'!$C$10:$C$224,$C196,'TL01'!$J$10:$J$224),0),
IF('TL01'!$B$229=M$3,SUMIF('TL01'!$C$238:$C$451,$C196,'TL01'!$J$238:$J$451),0),
IF('TL02'!$B$3=M$3,SUMIF('TL02'!$C$10:$C$224,$C196,'TL02'!$J$10:$J$224),0),
IF('TL02'!$B$229=M$3,SUMIF('TL02'!$C$238:$C$451,$C196,'TL02'!$J$238:$J$451),0),
IF('TL03'!$B$3=M$3,SUMIF('TL03'!$C$10:$C$224,$C196,'TL03'!$J$10:$J$224),0),
IF('TL03'!$B$229=M$3,SUMIF('TL03'!$C$238:$C$451,$C196,'TL03'!$J$238:$J$451),0),
IF('TL04'!$B$3=M$3,SUMIF('TL04'!$C$10:$C$224,$C196,'TL04'!$J$10:$J$224),0),
IF('TL04'!$B$229=M$3,SUMIF('TL04'!$C$238:$C$451,$C196,'TL04'!$J$238:$J$451),0),
IF('TL05'!$B$3=M$3,SUMIF('TL05'!$C$10:$C$224,$C196,'TL05'!$J$10:$J$224),0),
IF('TL05'!$B$229=M$3,SUMIF('TL05'!$C$238:$C$451,$C196,'TL05'!$J$238:$J$451),0),
IF('TL06'!$B$3=M$3,SUMIF('TL06'!$C$10:$C$224,$C196,'TL06'!$J$10:$J$224),0),
IF('TL06'!$B$229=M$3,SUMIF('TL06'!$C$238:$C$451,$C196,'TL06'!$J$238:$J$451),0),
IF('TL07'!$B$3=M$3,SUMIF('TL07'!$C$10:$C$224,$C196,'TL07'!$J$10:$J$224),0),
IF('TL07'!$B$229=M$3,SUMIF('TL07'!$C$238:$C$451,$C196,'TL07'!$J$238:$J$451),0),
IF('TL08'!$B$3=M$3,SUMIF('TL08'!$C$10:$C$224,$C196,'TL08'!$J$10:$J$224),0),
IF('TL08'!$B$229=M$3,SUMIF('TL08'!$C$238:$C$451,$C196,'TL08'!$J$238:$J$451),0),
IF('TL09'!$B$3=M$3,SUMIF('TL09'!$C$10:$C$224,$C196,'TL09'!$J$10:$J$224),0),
IF('TL09'!$B$229=M$3,SUMIF('TL09'!$C$238:$C$451,$C196,'TL09'!$J$238:$J$451),0),
IF('TL10'!$B$3=M$3,SUMIF('TL10'!$C$10:$C$224,$C196,'TL10'!$J$10:$J$224),0),
IF('TL10'!$B$229=M$3,SUMIF('TL10'!$C$238:$C$451,$C196,'TL10'!$J$238:$J$451),0),
IF('TL11'!$B$3=M$3,SUMIF('TL11'!$C$10:$C$224,$C196,'TL11'!$J$10:$J$224),0),
IF('TL11'!$B$229=M$3,SUMIF('TL11'!$C$238:$C$451,$C196,'TL11'!$J$238:$J$451),0),
IF('TL12'!$B$3=M$3,SUMIF('TL12'!$C$10:$C$224,$C196,'TL12'!$J$10:$J$224),0),
IF('TL12'!$B$229=M$3,SUMIF('TL12'!$C$238:$C$451,$C196,'TL12'!$J$238:$J$451),0),
IF('TL13'!$B$3=M$3,SUMIF('TL13'!$C$10:$C$224,$C196,'TL13'!$J$10:$J$224),0),
IF('TL13'!$B$229=M$3,SUMIF('TL13'!$C$238:$C$451,$C196,'TL13'!$J$238:$J$451),0),
IF('TL14'!$B$3=M$3,SUMIF('TL14'!$C$10:$C$224,$C196,'TL14'!$J$10:$J$224),0),
IF('TL14'!$B$229=M$3,SUMIF('TL14'!$C$238:$C$451,$C196,'TL14'!$J$238:$J$451),0),
IF('TL15'!$B$3=M$3,SUMIF('TL15'!$C$10:$C$224,$C196,'TL15'!$J$10:$J$224),0),
IF('TL15'!$B$229=M$3,SUMIF('TL15'!$C$238:$C$451,$C196,'TL15'!$J$238:$J$451),0),
IF('TL16'!$B$3=M$3,SUMIF('TL16'!$C$10:$C$224,$C196,'TL16'!$J$10:$J$224),0),
IF('TL16'!$B$229=M$3,SUMIF('TL16'!$C$238:$C$451,$C196,'TL16'!$J$238:$J$451),0),
IF('TL17'!$B$3=M$3,SUMIF('TL17'!$C$10:$C$224,$C196,'TL17'!$J$10:$J$224),0),
IF('TL17'!$B$229=M$3,SUMIF('TL17'!$C$238:$C$451,$C196,'TL17'!$J$238:$J$451),0),
IF('TL18'!$B$3=M$3,SUMIF('TL18'!$C$10:$C$224,$C196,'TL18'!$J$10:$J$224),0),
IF('TL18'!$B$229=M$3,SUMIF('TL18'!$C$238:$C$451,$C196,'TL18'!$J$238:$J$451),0),
IF('TL19'!$B$3=M$3,SUMIF('TL19'!$C$10:$C$224,$C196,'TL19'!$J$10:$J$224),0),
IF('TL19'!$B$229=M$3,SUMIF('TL19'!$C$238:$C$451,$C196,'TL19'!$J$238:$J$451),0)
),0)</f>
        <v>0</v>
      </c>
      <c r="N196" s="9">
        <f>IFERROR(SUM(
IF('TL01'!$B$3=N$3,SUMIF('TL01'!$C$10:$C$224,$C196,'TL01'!$J$10:$J$224),0),
IF('TL01'!$B$229=N$3,SUMIF('TL01'!$C$238:$C$451,$C196,'TL01'!$J$238:$J$451),0),
IF('TL02'!$B$3=N$3,SUMIF('TL02'!$C$10:$C$224,$C196,'TL02'!$J$10:$J$224),0),
IF('TL02'!$B$229=N$3,SUMIF('TL02'!$C$238:$C$451,$C196,'TL02'!$J$238:$J$451),0),
IF('TL03'!$B$3=N$3,SUMIF('TL03'!$C$10:$C$224,$C196,'TL03'!$J$10:$J$224),0),
IF('TL03'!$B$229=N$3,SUMIF('TL03'!$C$238:$C$451,$C196,'TL03'!$J$238:$J$451),0),
IF('TL04'!$B$3=N$3,SUMIF('TL04'!$C$10:$C$224,$C196,'TL04'!$J$10:$J$224),0),
IF('TL04'!$B$229=N$3,SUMIF('TL04'!$C$238:$C$451,$C196,'TL04'!$J$238:$J$451),0),
IF('TL05'!$B$3=N$3,SUMIF('TL05'!$C$10:$C$224,$C196,'TL05'!$J$10:$J$224),0),
IF('TL05'!$B$229=N$3,SUMIF('TL05'!$C$238:$C$451,$C196,'TL05'!$J$238:$J$451),0),
IF('TL06'!$B$3=N$3,SUMIF('TL06'!$C$10:$C$224,$C196,'TL06'!$J$10:$J$224),0),
IF('TL06'!$B$229=N$3,SUMIF('TL06'!$C$238:$C$451,$C196,'TL06'!$J$238:$J$451),0),
IF('TL07'!$B$3=N$3,SUMIF('TL07'!$C$10:$C$224,$C196,'TL07'!$J$10:$J$224),0),
IF('TL07'!$B$229=N$3,SUMIF('TL07'!$C$238:$C$451,$C196,'TL07'!$J$238:$J$451),0),
IF('TL08'!$B$3=N$3,SUMIF('TL08'!$C$10:$C$224,$C196,'TL08'!$J$10:$J$224),0),
IF('TL08'!$B$229=N$3,SUMIF('TL08'!$C$238:$C$451,$C196,'TL08'!$J$238:$J$451),0),
IF('TL09'!$B$3=N$3,SUMIF('TL09'!$C$10:$C$224,$C196,'TL09'!$J$10:$J$224),0),
IF('TL09'!$B$229=N$3,SUMIF('TL09'!$C$238:$C$451,$C196,'TL09'!$J$238:$J$451),0),
IF('TL10'!$B$3=N$3,SUMIF('TL10'!$C$10:$C$224,$C196,'TL10'!$J$10:$J$224),0),
IF('TL10'!$B$229=N$3,SUMIF('TL10'!$C$238:$C$451,$C196,'TL10'!$J$238:$J$451),0),
IF('TL11'!$B$3=N$3,SUMIF('TL11'!$C$10:$C$224,$C196,'TL11'!$J$10:$J$224),0),
IF('TL11'!$B$229=N$3,SUMIF('TL11'!$C$238:$C$451,$C196,'TL11'!$J$238:$J$451),0),
IF('TL12'!$B$3=N$3,SUMIF('TL12'!$C$10:$C$224,$C196,'TL12'!$J$10:$J$224),0),
IF('TL12'!$B$229=N$3,SUMIF('TL12'!$C$238:$C$451,$C196,'TL12'!$J$238:$J$451),0),
IF('TL13'!$B$3=N$3,SUMIF('TL13'!$C$10:$C$224,$C196,'TL13'!$J$10:$J$224),0),
IF('TL13'!$B$229=N$3,SUMIF('TL13'!$C$238:$C$451,$C196,'TL13'!$J$238:$J$451),0),
IF('TL14'!$B$3=N$3,SUMIF('TL14'!$C$10:$C$224,$C196,'TL14'!$J$10:$J$224),0),
IF('TL14'!$B$229=N$3,SUMIF('TL14'!$C$238:$C$451,$C196,'TL14'!$J$238:$J$451),0),
IF('TL15'!$B$3=N$3,SUMIF('TL15'!$C$10:$C$224,$C196,'TL15'!$J$10:$J$224),0),
IF('TL15'!$B$229=N$3,SUMIF('TL15'!$C$238:$C$451,$C196,'TL15'!$J$238:$J$451),0),
IF('TL16'!$B$3=N$3,SUMIF('TL16'!$C$10:$C$224,$C196,'TL16'!$J$10:$J$224),0),
IF('TL16'!$B$229=N$3,SUMIF('TL16'!$C$238:$C$451,$C196,'TL16'!$J$238:$J$451),0),
IF('TL17'!$B$3=N$3,SUMIF('TL17'!$C$10:$C$224,$C196,'TL17'!$J$10:$J$224),0),
IF('TL17'!$B$229=N$3,SUMIF('TL17'!$C$238:$C$451,$C196,'TL17'!$J$238:$J$451),0),
IF('TL18'!$B$3=N$3,SUMIF('TL18'!$C$10:$C$224,$C196,'TL18'!$J$10:$J$224),0),
IF('TL18'!$B$229=N$3,SUMIF('TL18'!$C$238:$C$451,$C196,'TL18'!$J$238:$J$451),0),
IF('TL19'!$B$3=N$3,SUMIF('TL19'!$C$10:$C$224,$C196,'TL19'!$J$10:$J$224),0),
IF('TL19'!$B$229=N$3,SUMIF('TL19'!$C$238:$C$451,$C196,'TL19'!$J$238:$J$451),0)
),0)</f>
        <v>0</v>
      </c>
      <c r="O196" s="9">
        <f>IFERROR(SUM(
IF('TL01'!$B$3=O$3,SUMIF('TL01'!$C$10:$C$224,$C196,'TL01'!$J$10:$J$224),0),
IF('TL01'!$B$229=O$3,SUMIF('TL01'!$C$238:$C$451,$C196,'TL01'!$J$238:$J$451),0),
IF('TL02'!$B$3=O$3,SUMIF('TL02'!$C$10:$C$224,$C196,'TL02'!$J$10:$J$224),0),
IF('TL02'!$B$229=O$3,SUMIF('TL02'!$C$238:$C$451,$C196,'TL02'!$J$238:$J$451),0),
IF('TL03'!$B$3=O$3,SUMIF('TL03'!$C$10:$C$224,$C196,'TL03'!$J$10:$J$224),0),
IF('TL03'!$B$229=O$3,SUMIF('TL03'!$C$238:$C$451,$C196,'TL03'!$J$238:$J$451),0),
IF('TL04'!$B$3=O$3,SUMIF('TL04'!$C$10:$C$224,$C196,'TL04'!$J$10:$J$224),0),
IF('TL04'!$B$229=O$3,SUMIF('TL04'!$C$238:$C$451,$C196,'TL04'!$J$238:$J$451),0),
IF('TL05'!$B$3=O$3,SUMIF('TL05'!$C$10:$C$224,$C196,'TL05'!$J$10:$J$224),0),
IF('TL05'!$B$229=O$3,SUMIF('TL05'!$C$238:$C$451,$C196,'TL05'!$J$238:$J$451),0),
IF('TL06'!$B$3=O$3,SUMIF('TL06'!$C$10:$C$224,$C196,'TL06'!$J$10:$J$224),0),
IF('TL06'!$B$229=O$3,SUMIF('TL06'!$C$238:$C$451,$C196,'TL06'!$J$238:$J$451),0),
IF('TL07'!$B$3=O$3,SUMIF('TL07'!$C$10:$C$224,$C196,'TL07'!$J$10:$J$224),0),
IF('TL07'!$B$229=O$3,SUMIF('TL07'!$C$238:$C$451,$C196,'TL07'!$J$238:$J$451),0),
IF('TL08'!$B$3=O$3,SUMIF('TL08'!$C$10:$C$224,$C196,'TL08'!$J$10:$J$224),0),
IF('TL08'!$B$229=O$3,SUMIF('TL08'!$C$238:$C$451,$C196,'TL08'!$J$238:$J$451),0),
IF('TL09'!$B$3=O$3,SUMIF('TL09'!$C$10:$C$224,$C196,'TL09'!$J$10:$J$224),0),
IF('TL09'!$B$229=O$3,SUMIF('TL09'!$C$238:$C$451,$C196,'TL09'!$J$238:$J$451),0),
IF('TL10'!$B$3=O$3,SUMIF('TL10'!$C$10:$C$224,$C196,'TL10'!$J$10:$J$224),0),
IF('TL10'!$B$229=O$3,SUMIF('TL10'!$C$238:$C$451,$C196,'TL10'!$J$238:$J$451),0),
IF('TL11'!$B$3=O$3,SUMIF('TL11'!$C$10:$C$224,$C196,'TL11'!$J$10:$J$224),0),
IF('TL11'!$B$229=O$3,SUMIF('TL11'!$C$238:$C$451,$C196,'TL11'!$J$238:$J$451),0),
IF('TL12'!$B$3=O$3,SUMIF('TL12'!$C$10:$C$224,$C196,'TL12'!$J$10:$J$224),0),
IF('TL12'!$B$229=O$3,SUMIF('TL12'!$C$238:$C$451,$C196,'TL12'!$J$238:$J$451),0),
IF('TL13'!$B$3=O$3,SUMIF('TL13'!$C$10:$C$224,$C196,'TL13'!$J$10:$J$224),0),
IF('TL13'!$B$229=O$3,SUMIF('TL13'!$C$238:$C$451,$C196,'TL13'!$J$238:$J$451),0),
IF('TL14'!$B$3=O$3,SUMIF('TL14'!$C$10:$C$224,$C196,'TL14'!$J$10:$J$224),0),
IF('TL14'!$B$229=O$3,SUMIF('TL14'!$C$238:$C$451,$C196,'TL14'!$J$238:$J$451),0),
IF('TL15'!$B$3=O$3,SUMIF('TL15'!$C$10:$C$224,$C196,'TL15'!$J$10:$J$224),0),
IF('TL15'!$B$229=O$3,SUMIF('TL15'!$C$238:$C$451,$C196,'TL15'!$J$238:$J$451),0),
IF('TL16'!$B$3=O$3,SUMIF('TL16'!$C$10:$C$224,$C196,'TL16'!$J$10:$J$224),0),
IF('TL16'!$B$229=O$3,SUMIF('TL16'!$C$238:$C$451,$C196,'TL16'!$J$238:$J$451),0),
IF('TL17'!$B$3=O$3,SUMIF('TL17'!$C$10:$C$224,$C196,'TL17'!$J$10:$J$224),0),
IF('TL17'!$B$229=O$3,SUMIF('TL17'!$C$238:$C$451,$C196,'TL17'!$J$238:$J$451),0),
IF('TL18'!$B$3=O$3,SUMIF('TL18'!$C$10:$C$224,$C196,'TL18'!$J$10:$J$224),0),
IF('TL18'!$B$229=O$3,SUMIF('TL18'!$C$238:$C$451,$C196,'TL18'!$J$238:$J$451),0),
IF('TL19'!$B$3=O$3,SUMIF('TL19'!$C$10:$C$224,$C196,'TL19'!$J$10:$J$224),0),
IF('TL19'!$B$229=O$3,SUMIF('TL19'!$C$238:$C$451,$C196,'TL19'!$J$238:$J$451),0)
),0)</f>
        <v>0</v>
      </c>
      <c r="P196" s="9">
        <f>IFERROR(SUM(
IF('TL01'!$B$3=P$3,SUMIF('TL01'!$C$10:$C$224,$C196,'TL01'!$J$10:$J$224),0),
IF('TL01'!$B$229=P$3,SUMIF('TL01'!$C$238:$C$451,$C196,'TL01'!$J$238:$J$451),0),
IF('TL02'!$B$3=P$3,SUMIF('TL02'!$C$10:$C$224,$C196,'TL02'!$J$10:$J$224),0),
IF('TL02'!$B$229=P$3,SUMIF('TL02'!$C$238:$C$451,$C196,'TL02'!$J$238:$J$451),0),
IF('TL03'!$B$3=P$3,SUMIF('TL03'!$C$10:$C$224,$C196,'TL03'!$J$10:$J$224),0),
IF('TL03'!$B$229=P$3,SUMIF('TL03'!$C$238:$C$451,$C196,'TL03'!$J$238:$J$451),0),
IF('TL04'!$B$3=P$3,SUMIF('TL04'!$C$10:$C$224,$C196,'TL04'!$J$10:$J$224),0),
IF('TL04'!$B$229=P$3,SUMIF('TL04'!$C$238:$C$451,$C196,'TL04'!$J$238:$J$451),0),
IF('TL05'!$B$3=P$3,SUMIF('TL05'!$C$10:$C$224,$C196,'TL05'!$J$10:$J$224),0),
IF('TL05'!$B$229=P$3,SUMIF('TL05'!$C$238:$C$451,$C196,'TL05'!$J$238:$J$451),0),
IF('TL06'!$B$3=P$3,SUMIF('TL06'!$C$10:$C$224,$C196,'TL06'!$J$10:$J$224),0),
IF('TL06'!$B$229=P$3,SUMIF('TL06'!$C$238:$C$451,$C196,'TL06'!$J$238:$J$451),0),
IF('TL07'!$B$3=P$3,SUMIF('TL07'!$C$10:$C$224,$C196,'TL07'!$J$10:$J$224),0),
IF('TL07'!$B$229=P$3,SUMIF('TL07'!$C$238:$C$451,$C196,'TL07'!$J$238:$J$451),0),
IF('TL08'!$B$3=P$3,SUMIF('TL08'!$C$10:$C$224,$C196,'TL08'!$J$10:$J$224),0),
IF('TL08'!$B$229=P$3,SUMIF('TL08'!$C$238:$C$451,$C196,'TL08'!$J$238:$J$451),0),
IF('TL09'!$B$3=P$3,SUMIF('TL09'!$C$10:$C$224,$C196,'TL09'!$J$10:$J$224),0),
IF('TL09'!$B$229=P$3,SUMIF('TL09'!$C$238:$C$451,$C196,'TL09'!$J$238:$J$451),0),
IF('TL10'!$B$3=P$3,SUMIF('TL10'!$C$10:$C$224,$C196,'TL10'!$J$10:$J$224),0),
IF('TL10'!$B$229=P$3,SUMIF('TL10'!$C$238:$C$451,$C196,'TL10'!$J$238:$J$451),0),
IF('TL11'!$B$3=P$3,SUMIF('TL11'!$C$10:$C$224,$C196,'TL11'!$J$10:$J$224),0),
IF('TL11'!$B$229=P$3,SUMIF('TL11'!$C$238:$C$451,$C196,'TL11'!$J$238:$J$451),0),
IF('TL12'!$B$3=P$3,SUMIF('TL12'!$C$10:$C$224,$C196,'TL12'!$J$10:$J$224),0),
IF('TL12'!$B$229=P$3,SUMIF('TL12'!$C$238:$C$451,$C196,'TL12'!$J$238:$J$451),0),
IF('TL13'!$B$3=P$3,SUMIF('TL13'!$C$10:$C$224,$C196,'TL13'!$J$10:$J$224),0),
IF('TL13'!$B$229=P$3,SUMIF('TL13'!$C$238:$C$451,$C196,'TL13'!$J$238:$J$451),0),
IF('TL14'!$B$3=P$3,SUMIF('TL14'!$C$10:$C$224,$C196,'TL14'!$J$10:$J$224),0),
IF('TL14'!$B$229=P$3,SUMIF('TL14'!$C$238:$C$451,$C196,'TL14'!$J$238:$J$451),0),
IF('TL15'!$B$3=P$3,SUMIF('TL15'!$C$10:$C$224,$C196,'TL15'!$J$10:$J$224),0),
IF('TL15'!$B$229=P$3,SUMIF('TL15'!$C$238:$C$451,$C196,'TL15'!$J$238:$J$451),0),
IF('TL16'!$B$3=P$3,SUMIF('TL16'!$C$10:$C$224,$C196,'TL16'!$J$10:$J$224),0),
IF('TL16'!$B$229=P$3,SUMIF('TL16'!$C$238:$C$451,$C196,'TL16'!$J$238:$J$451),0),
IF('TL17'!$B$3=P$3,SUMIF('TL17'!$C$10:$C$224,$C196,'TL17'!$J$10:$J$224),0),
IF('TL17'!$B$229=P$3,SUMIF('TL17'!$C$238:$C$451,$C196,'TL17'!$J$238:$J$451),0),
IF('TL18'!$B$3=P$3,SUMIF('TL18'!$C$10:$C$224,$C196,'TL18'!$J$10:$J$224),0),
IF('TL18'!$B$229=P$3,SUMIF('TL18'!$C$238:$C$451,$C196,'TL18'!$J$238:$J$451),0),
IF('TL19'!$B$3=P$3,SUMIF('TL19'!$C$10:$C$224,$C196,'TL19'!$J$10:$J$224),0),
IF('TL19'!$B$229=P$3,SUMIF('TL19'!$C$238:$C$451,$C196,'TL19'!$J$238:$J$451),0)
),0)</f>
        <v>0</v>
      </c>
      <c r="Q196" s="9">
        <f>IFERROR(SUM(
IF('TL01'!$B$3=Q$3,SUMIF('TL01'!$C$10:$C$224,$C196,'TL01'!$J$10:$J$224),0),
IF('TL01'!$B$229=Q$3,SUMIF('TL01'!$C$238:$C$451,$C196,'TL01'!$J$238:$J$451),0),
IF('TL02'!$B$3=Q$3,SUMIF('TL02'!$C$10:$C$224,$C196,'TL02'!$J$10:$J$224),0),
IF('TL02'!$B$229=Q$3,SUMIF('TL02'!$C$238:$C$451,$C196,'TL02'!$J$238:$J$451),0),
IF('TL03'!$B$3=Q$3,SUMIF('TL03'!$C$10:$C$224,$C196,'TL03'!$J$10:$J$224),0),
IF('TL03'!$B$229=Q$3,SUMIF('TL03'!$C$238:$C$451,$C196,'TL03'!$J$238:$J$451),0),
IF('TL04'!$B$3=Q$3,SUMIF('TL04'!$C$10:$C$224,$C196,'TL04'!$J$10:$J$224),0),
IF('TL04'!$B$229=Q$3,SUMIF('TL04'!$C$238:$C$451,$C196,'TL04'!$J$238:$J$451),0),
IF('TL05'!$B$3=Q$3,SUMIF('TL05'!$C$10:$C$224,$C196,'TL05'!$J$10:$J$224),0),
IF('TL05'!$B$229=Q$3,SUMIF('TL05'!$C$238:$C$451,$C196,'TL05'!$J$238:$J$451),0),
IF('TL06'!$B$3=Q$3,SUMIF('TL06'!$C$10:$C$224,$C196,'TL06'!$J$10:$J$224),0),
IF('TL06'!$B$229=Q$3,SUMIF('TL06'!$C$238:$C$451,$C196,'TL06'!$J$238:$J$451),0),
IF('TL07'!$B$3=Q$3,SUMIF('TL07'!$C$10:$C$224,$C196,'TL07'!$J$10:$J$224),0),
IF('TL07'!$B$229=Q$3,SUMIF('TL07'!$C$238:$C$451,$C196,'TL07'!$J$238:$J$451),0),
IF('TL08'!$B$3=Q$3,SUMIF('TL08'!$C$10:$C$224,$C196,'TL08'!$J$10:$J$224),0),
IF('TL08'!$B$229=Q$3,SUMIF('TL08'!$C$238:$C$451,$C196,'TL08'!$J$238:$J$451),0),
IF('TL09'!$B$3=Q$3,SUMIF('TL09'!$C$10:$C$224,$C196,'TL09'!$J$10:$J$224),0),
IF('TL09'!$B$229=Q$3,SUMIF('TL09'!$C$238:$C$451,$C196,'TL09'!$J$238:$J$451),0),
IF('TL10'!$B$3=Q$3,SUMIF('TL10'!$C$10:$C$224,$C196,'TL10'!$J$10:$J$224),0),
IF('TL10'!$B$229=Q$3,SUMIF('TL10'!$C$238:$C$451,$C196,'TL10'!$J$238:$J$451),0),
IF('TL11'!$B$3=Q$3,SUMIF('TL11'!$C$10:$C$224,$C196,'TL11'!$J$10:$J$224),0),
IF('TL11'!$B$229=Q$3,SUMIF('TL11'!$C$238:$C$451,$C196,'TL11'!$J$238:$J$451),0),
IF('TL12'!$B$3=Q$3,SUMIF('TL12'!$C$10:$C$224,$C196,'TL12'!$J$10:$J$224),0),
IF('TL12'!$B$229=Q$3,SUMIF('TL12'!$C$238:$C$451,$C196,'TL12'!$J$238:$J$451),0),
IF('TL13'!$B$3=Q$3,SUMIF('TL13'!$C$10:$C$224,$C196,'TL13'!$J$10:$J$224),0),
IF('TL13'!$B$229=Q$3,SUMIF('TL13'!$C$238:$C$451,$C196,'TL13'!$J$238:$J$451),0),
IF('TL14'!$B$3=Q$3,SUMIF('TL14'!$C$10:$C$224,$C196,'TL14'!$J$10:$J$224),0),
IF('TL14'!$B$229=Q$3,SUMIF('TL14'!$C$238:$C$451,$C196,'TL14'!$J$238:$J$451),0),
IF('TL15'!$B$3=Q$3,SUMIF('TL15'!$C$10:$C$224,$C196,'TL15'!$J$10:$J$224),0),
IF('TL15'!$B$229=Q$3,SUMIF('TL15'!$C$238:$C$451,$C196,'TL15'!$J$238:$J$451),0),
IF('TL16'!$B$3=Q$3,SUMIF('TL16'!$C$10:$C$224,$C196,'TL16'!$J$10:$J$224),0),
IF('TL16'!$B$229=Q$3,SUMIF('TL16'!$C$238:$C$451,$C196,'TL16'!$J$238:$J$451),0),
IF('TL17'!$B$3=Q$3,SUMIF('TL17'!$C$10:$C$224,$C196,'TL17'!$J$10:$J$224),0),
IF('TL17'!$B$229=Q$3,SUMIF('TL17'!$C$238:$C$451,$C196,'TL17'!$J$238:$J$451),0),
IF('TL18'!$B$3=Q$3,SUMIF('TL18'!$C$10:$C$224,$C196,'TL18'!$J$10:$J$224),0),
IF('TL18'!$B$229=Q$3,SUMIF('TL18'!$C$238:$C$451,$C196,'TL18'!$J$238:$J$451),0),
IF('TL19'!$B$3=Q$3,SUMIF('TL19'!$C$10:$C$224,$C196,'TL19'!$J$10:$J$224),0),
IF('TL19'!$B$229=Q$3,SUMIF('TL19'!$C$238:$C$451,$C196,'TL19'!$J$238:$J$451),0)
),0)</f>
        <v>0</v>
      </c>
      <c r="R196" s="9">
        <f>IFERROR(
SUM(
SUMIF('TL01'!C:C,C196,'TL01'!J:J),
SUMIF('TL02'!C:C,C196,'TL02'!J:J),
SUMIF('TL03'!C:C,C196,'TL03'!J:J),
SUMIF('TL04'!C:C,C196,'TL04'!J:J),
SUMIF('TL05'!C:C,C196,'TL05'!J:J),
SUMIF('TL06'!C:C,C196,'TL06'!J:J),
SUMIF('TL07'!C:C,C196,'TL07'!J:J),
SUMIF('TL08'!C:C,C196,'TL08'!J:J),
SUMIF('TL09'!C:C,C196,'TL09'!J:J),
SUMIF('TL10'!C:C,C196,'TL10'!J:J),
SUMIF('TL11'!C:C,C196,'TL11'!J:J),
SUMIF('TL12'!C:C,C196,'TL12'!J:J),
SUMIF('TL13'!C:C,C196,'TL13'!J:J),
SUMIF('TL14'!C:C,C196,'TL14'!J:J),
SUMIF('TL15'!C:C,C196,'TL15'!J:J),
SUMIF('TL16'!C:C,C196,'TL16'!J:J),
SUMIF('TL17'!C:C,C196,'TL17'!J:J),
SUMIF('TL18'!C:C,C196,'TL18'!J:J),SUMIF('TL19'!C:C,C196,'TL19'!J:J))
,0)</f>
        <v>0</v>
      </c>
      <c r="S196" s="17">
        <f>IFERROR(__xludf.DUMMYFUNCTION("IFERROR(VLOOKUP(C196,
IMPORTRANGE(""1wULbzX32WdYsx-lj2U3uUNBBe2INVIRDtcK0d-Dvl90"",
""26-27!C:G""),
5,
FALSE),
"""")"),70.39767)</f>
        <v>70.39767</v>
      </c>
      <c r="T196" s="9"/>
      <c r="U196" s="92">
        <f t="shared" si="2"/>
        <v>0</v>
      </c>
      <c r="V196" s="93">
        <f t="shared" si="3"/>
        <v>0</v>
      </c>
    </row>
    <row r="197" ht="15.75" hidden="1" customHeight="1">
      <c r="A197" s="94" t="s">
        <v>504</v>
      </c>
      <c r="B197" s="95" t="s">
        <v>2</v>
      </c>
      <c r="C197" s="96" t="s">
        <v>808</v>
      </c>
      <c r="D197" s="96" t="s">
        <v>781</v>
      </c>
      <c r="E197" s="96">
        <v>400.0</v>
      </c>
      <c r="F197" s="4"/>
      <c r="G197" s="90" t="str">
        <f t="shared" si="4"/>
        <v>📄 Ver bula</v>
      </c>
      <c r="H197" s="9">
        <f>IFERROR(__xludf.DUMMYFUNCTION("IFERROR(VLOOKUP(C197,
IMPORTRANGE(""1wULbzX32WdYsx-lj2U3uUNBBe2INVIRDtcK0d-Dvl90"",
""26-27!C:K""),
8,
FALSE),
"""")"),0.5)</f>
        <v>0.5</v>
      </c>
      <c r="I197" s="97" t="s">
        <v>361</v>
      </c>
      <c r="J197" s="9">
        <f>IFERROR(SUM(
IF('TL01'!$B$3=J$3,SUMIF('TL01'!$C$10:$C$224,$C197,'TL01'!$J$10:$J$224),0),
IF('TL01'!$B$229=J$3,SUMIF('TL01'!$C$238:$C$451,$C197,'TL01'!$J$238:$J$451),0),
IF('TL02'!$B$3=J$3,SUMIF('TL02'!$C$10:$C$224,$C197,'TL02'!$J$10:$J$224),0),
IF('TL02'!$B$229=J$3,SUMIF('TL02'!$C$238:$C$451,$C197,'TL02'!$J$238:$J$451),0),
IF('TL03'!$B$3=J$3,SUMIF('TL03'!$C$10:$C$224,$C197,'TL03'!$J$10:$J$224),0),
IF('TL03'!$B$229=J$3,SUMIF('TL03'!$C$238:$C$451,$C197,'TL03'!$J$238:$J$451),0),
IF('TL04'!$B$3=J$3,SUMIF('TL04'!$C$10:$C$224,$C197,'TL04'!$J$10:$J$224),0),
IF('TL04'!$B$229=J$3,SUMIF('TL04'!$C$238:$C$451,$C197,'TL04'!$J$238:$J$451),0),
IF('TL05'!$B$3=J$3,SUMIF('TL05'!$C$10:$C$224,$C197,'TL05'!$J$10:$J$224),0),
IF('TL05'!$B$229=J$3,SUMIF('TL05'!$C$238:$C$451,$C197,'TL05'!$J$238:$J$451),0),
IF('TL06'!$B$3=J$3,SUMIF('TL06'!$C$10:$C$224,$C197,'TL06'!$J$10:$J$224),0),
IF('TL06'!$B$229=J$3,SUMIF('TL06'!$C$238:$C$451,$C197,'TL06'!$J$238:$J$451),0),
IF('TL07'!$B$3=J$3,SUMIF('TL07'!$C$10:$C$224,$C197,'TL07'!$J$10:$J$224),0),
IF('TL07'!$B$229=J$3,SUMIF('TL07'!$C$238:$C$451,$C197,'TL07'!$J$238:$J$451),0),
IF('TL08'!$B$3=J$3,SUMIF('TL08'!$C$10:$C$224,$C197,'TL08'!$J$10:$J$224),0),
IF('TL08'!$B$229=J$3,SUMIF('TL08'!$C$238:$C$451,$C197,'TL08'!$J$238:$J$451),0),
IF('TL09'!$B$3=J$3,SUMIF('TL09'!$C$10:$C$224,$C197,'TL09'!$J$10:$J$224),0),
IF('TL09'!$B$229=J$3,SUMIF('TL09'!$C$238:$C$451,$C197,'TL09'!$J$238:$J$451),0),
IF('TL10'!$B$3=J$3,SUMIF('TL10'!$C$10:$C$224,$C197,'TL10'!$J$10:$J$224),0),
IF('TL10'!$B$229=J$3,SUMIF('TL10'!$C$238:$C$451,$C197,'TL10'!$J$238:$J$451),0),
IF('TL11'!$B$3=J$3,SUMIF('TL11'!$C$10:$C$224,$C197,'TL11'!$J$10:$J$224),0),
IF('TL11'!$B$229=J$3,SUMIF('TL11'!$C$238:$C$451,$C197,'TL11'!$J$238:$J$451),0),
IF('TL12'!$B$3=J$3,SUMIF('TL12'!$C$10:$C$224,$C197,'TL12'!$J$10:$J$224),0),
IF('TL12'!$B$229=J$3,SUMIF('TL12'!$C$238:$C$451,$C197,'TL12'!$J$238:$J$451),0),
IF('TL13'!$B$3=J$3,SUMIF('TL13'!$C$10:$C$224,$C197,'TL13'!$J$10:$J$224),0),
IF('TL13'!$B$229=J$3,SUMIF('TL13'!$C$238:$C$451,$C197,'TL13'!$J$238:$J$451),0),
IF('TL14'!$B$3=J$3,SUMIF('TL14'!$C$10:$C$224,$C197,'TL14'!$J$10:$J$224),0),
IF('TL14'!$B$229=J$3,SUMIF('TL14'!$C$238:$C$451,$C197,'TL14'!$J$238:$J$451),0),
IF('TL15'!$B$3=J$3,SUMIF('TL15'!$C$10:$C$224,$C197,'TL15'!$J$10:$J$224),0),
IF('TL15'!$B$229=J$3,SUMIF('TL15'!$C$238:$C$451,$C197,'TL15'!$J$238:$J$451),0),
IF('TL16'!$B$3=J$3,SUMIF('TL16'!$C$10:$C$224,$C197,'TL16'!$J$10:$J$224),0),
IF('TL16'!$B$229=J$3,SUMIF('TL16'!$C$238:$C$451,$C197,'TL16'!$J$238:$J$451),0),
IF('TL17'!$B$3=J$3,SUMIF('TL17'!$C$10:$C$224,$C197,'TL17'!$J$10:$J$224),0),
IF('TL17'!$B$229=J$3,SUMIF('TL17'!$C$238:$C$451,$C197,'TL17'!$J$238:$J$451),0),
IF('TL18'!$B$3=J$3,SUMIF('TL18'!$C$10:$C$224,$C197,'TL18'!$J$10:$J$224),0),
IF('TL18'!$B$229=J$3,SUMIF('TL18'!$C$238:$C$451,$C197,'TL18'!$J$238:$J$451),0),
IF('TL19'!$B$3=J$3,SUMIF('TL19'!$C$10:$C$224,$C197,'TL19'!$J$10:$J$224),0),
IF('TL19'!$B$229=J$3,SUMIF('TL19'!$C$238:$C$451,$C197,'TL19'!$J$238:$J$451),0)
),0)</f>
        <v>0</v>
      </c>
      <c r="K197" s="9">
        <f>IFERROR(SUM(
IF('TL01'!$B$3=K$3,SUMIF('TL01'!$C$10:$C$224,$C197,'TL01'!$J$10:$J$224),0),
IF('TL01'!$B$229=K$3,SUMIF('TL01'!$C$238:$C$451,$C197,'TL01'!$J$238:$J$451),0),
IF('TL02'!$B$3=K$3,SUMIF('TL02'!$C$10:$C$224,$C197,'TL02'!$J$10:$J$224),0),
IF('TL02'!$B$229=K$3,SUMIF('TL02'!$C$238:$C$451,$C197,'TL02'!$J$238:$J$451),0),
IF('TL03'!$B$3=K$3,SUMIF('TL03'!$C$10:$C$224,$C197,'TL03'!$J$10:$J$224),0),
IF('TL03'!$B$229=K$3,SUMIF('TL03'!$C$238:$C$451,$C197,'TL03'!$J$238:$J$451),0),
IF('TL04'!$B$3=K$3,SUMIF('TL04'!$C$10:$C$224,$C197,'TL04'!$J$10:$J$224),0),
IF('TL04'!$B$229=K$3,SUMIF('TL04'!$C$238:$C$451,$C197,'TL04'!$J$238:$J$451),0),
IF('TL05'!$B$3=K$3,SUMIF('TL05'!$C$10:$C$224,$C197,'TL05'!$J$10:$J$224),0),
IF('TL05'!$B$229=K$3,SUMIF('TL05'!$C$238:$C$451,$C197,'TL05'!$J$238:$J$451),0),
IF('TL06'!$B$3=K$3,SUMIF('TL06'!$C$10:$C$224,$C197,'TL06'!$J$10:$J$224),0),
IF('TL06'!$B$229=K$3,SUMIF('TL06'!$C$238:$C$451,$C197,'TL06'!$J$238:$J$451),0),
IF('TL07'!$B$3=K$3,SUMIF('TL07'!$C$10:$C$224,$C197,'TL07'!$J$10:$J$224),0),
IF('TL07'!$B$229=K$3,SUMIF('TL07'!$C$238:$C$451,$C197,'TL07'!$J$238:$J$451),0),
IF('TL08'!$B$3=K$3,SUMIF('TL08'!$C$10:$C$224,$C197,'TL08'!$J$10:$J$224),0),
IF('TL08'!$B$229=K$3,SUMIF('TL08'!$C$238:$C$451,$C197,'TL08'!$J$238:$J$451),0),
IF('TL09'!$B$3=K$3,SUMIF('TL09'!$C$10:$C$224,$C197,'TL09'!$J$10:$J$224),0),
IF('TL09'!$B$229=K$3,SUMIF('TL09'!$C$238:$C$451,$C197,'TL09'!$J$238:$J$451),0),
IF('TL10'!$B$3=K$3,SUMIF('TL10'!$C$10:$C$224,$C197,'TL10'!$J$10:$J$224),0),
IF('TL10'!$B$229=K$3,SUMIF('TL10'!$C$238:$C$451,$C197,'TL10'!$J$238:$J$451),0),
IF('TL11'!$B$3=K$3,SUMIF('TL11'!$C$10:$C$224,$C197,'TL11'!$J$10:$J$224),0),
IF('TL11'!$B$229=K$3,SUMIF('TL11'!$C$238:$C$451,$C197,'TL11'!$J$238:$J$451),0),
IF('TL12'!$B$3=K$3,SUMIF('TL12'!$C$10:$C$224,$C197,'TL12'!$J$10:$J$224),0),
IF('TL12'!$B$229=K$3,SUMIF('TL12'!$C$238:$C$451,$C197,'TL12'!$J$238:$J$451),0),
IF('TL13'!$B$3=K$3,SUMIF('TL13'!$C$10:$C$224,$C197,'TL13'!$J$10:$J$224),0),
IF('TL13'!$B$229=K$3,SUMIF('TL13'!$C$238:$C$451,$C197,'TL13'!$J$238:$J$451),0),
IF('TL14'!$B$3=K$3,SUMIF('TL14'!$C$10:$C$224,$C197,'TL14'!$J$10:$J$224),0),
IF('TL14'!$B$229=K$3,SUMIF('TL14'!$C$238:$C$451,$C197,'TL14'!$J$238:$J$451),0),
IF('TL15'!$B$3=K$3,SUMIF('TL15'!$C$10:$C$224,$C197,'TL15'!$J$10:$J$224),0),
IF('TL15'!$B$229=K$3,SUMIF('TL15'!$C$238:$C$451,$C197,'TL15'!$J$238:$J$451),0),
IF('TL16'!$B$3=K$3,SUMIF('TL16'!$C$10:$C$224,$C197,'TL16'!$J$10:$J$224),0),
IF('TL16'!$B$229=K$3,SUMIF('TL16'!$C$238:$C$451,$C197,'TL16'!$J$238:$J$451),0),
IF('TL17'!$B$3=K$3,SUMIF('TL17'!$C$10:$C$224,$C197,'TL17'!$J$10:$J$224),0),
IF('TL17'!$B$229=K$3,SUMIF('TL17'!$C$238:$C$451,$C197,'TL17'!$J$238:$J$451),0),
IF('TL18'!$B$3=K$3,SUMIF('TL18'!$C$10:$C$224,$C197,'TL18'!$J$10:$J$224),0),
IF('TL18'!$B$229=K$3,SUMIF('TL18'!$C$238:$C$451,$C197,'TL18'!$J$238:$J$451),0),
IF('TL19'!$B$3=K$3,SUMIF('TL19'!$C$10:$C$224,$C197,'TL19'!$J$10:$J$224),0),
IF('TL19'!$B$229=K$3,SUMIF('TL19'!$C$238:$C$451,$C197,'TL19'!$J$238:$J$451),0)
),0)</f>
        <v>0</v>
      </c>
      <c r="L197" s="9">
        <f>IFERROR(SUM(
IF('TL01'!$B$3=L$3,SUMIF('TL01'!$C$10:$C$224,$C197,'TL01'!$J$10:$J$224),0),
IF('TL01'!$B$229=L$3,SUMIF('TL01'!$C$238:$C$451,$C197,'TL01'!$J$238:$J$451),0),
IF('TL02'!$B$3=L$3,SUMIF('TL02'!$C$10:$C$224,$C197,'TL02'!$J$10:$J$224),0),
IF('TL02'!$B$229=L$3,SUMIF('TL02'!$C$238:$C$451,$C197,'TL02'!$J$238:$J$451),0),
IF('TL03'!$B$3=L$3,SUMIF('TL03'!$C$10:$C$224,$C197,'TL03'!$J$10:$J$224),0),
IF('TL03'!$B$229=L$3,SUMIF('TL03'!$C$238:$C$451,$C197,'TL03'!$J$238:$J$451),0),
IF('TL04'!$B$3=L$3,SUMIF('TL04'!$C$10:$C$224,$C197,'TL04'!$J$10:$J$224),0),
IF('TL04'!$B$229=L$3,SUMIF('TL04'!$C$238:$C$451,$C197,'TL04'!$J$238:$J$451),0),
IF('TL05'!$B$3=L$3,SUMIF('TL05'!$C$10:$C$224,$C197,'TL05'!$J$10:$J$224),0),
IF('TL05'!$B$229=L$3,SUMIF('TL05'!$C$238:$C$451,$C197,'TL05'!$J$238:$J$451),0),
IF('TL06'!$B$3=L$3,SUMIF('TL06'!$C$10:$C$224,$C197,'TL06'!$J$10:$J$224),0),
IF('TL06'!$B$229=L$3,SUMIF('TL06'!$C$238:$C$451,$C197,'TL06'!$J$238:$J$451),0),
IF('TL07'!$B$3=L$3,SUMIF('TL07'!$C$10:$C$224,$C197,'TL07'!$J$10:$J$224),0),
IF('TL07'!$B$229=L$3,SUMIF('TL07'!$C$238:$C$451,$C197,'TL07'!$J$238:$J$451),0),
IF('TL08'!$B$3=L$3,SUMIF('TL08'!$C$10:$C$224,$C197,'TL08'!$J$10:$J$224),0),
IF('TL08'!$B$229=L$3,SUMIF('TL08'!$C$238:$C$451,$C197,'TL08'!$J$238:$J$451),0),
IF('TL09'!$B$3=L$3,SUMIF('TL09'!$C$10:$C$224,$C197,'TL09'!$J$10:$J$224),0),
IF('TL09'!$B$229=L$3,SUMIF('TL09'!$C$238:$C$451,$C197,'TL09'!$J$238:$J$451),0),
IF('TL10'!$B$3=L$3,SUMIF('TL10'!$C$10:$C$224,$C197,'TL10'!$J$10:$J$224),0),
IF('TL10'!$B$229=L$3,SUMIF('TL10'!$C$238:$C$451,$C197,'TL10'!$J$238:$J$451),0),
IF('TL11'!$B$3=L$3,SUMIF('TL11'!$C$10:$C$224,$C197,'TL11'!$J$10:$J$224),0),
IF('TL11'!$B$229=L$3,SUMIF('TL11'!$C$238:$C$451,$C197,'TL11'!$J$238:$J$451),0),
IF('TL12'!$B$3=L$3,SUMIF('TL12'!$C$10:$C$224,$C197,'TL12'!$J$10:$J$224),0),
IF('TL12'!$B$229=L$3,SUMIF('TL12'!$C$238:$C$451,$C197,'TL12'!$J$238:$J$451),0),
IF('TL13'!$B$3=L$3,SUMIF('TL13'!$C$10:$C$224,$C197,'TL13'!$J$10:$J$224),0),
IF('TL13'!$B$229=L$3,SUMIF('TL13'!$C$238:$C$451,$C197,'TL13'!$J$238:$J$451),0),
IF('TL14'!$B$3=L$3,SUMIF('TL14'!$C$10:$C$224,$C197,'TL14'!$J$10:$J$224),0),
IF('TL14'!$B$229=L$3,SUMIF('TL14'!$C$238:$C$451,$C197,'TL14'!$J$238:$J$451),0),
IF('TL15'!$B$3=L$3,SUMIF('TL15'!$C$10:$C$224,$C197,'TL15'!$J$10:$J$224),0),
IF('TL15'!$B$229=L$3,SUMIF('TL15'!$C$238:$C$451,$C197,'TL15'!$J$238:$J$451),0),
IF('TL16'!$B$3=L$3,SUMIF('TL16'!$C$10:$C$224,$C197,'TL16'!$J$10:$J$224),0),
IF('TL16'!$B$229=L$3,SUMIF('TL16'!$C$238:$C$451,$C197,'TL16'!$J$238:$J$451),0),
IF('TL17'!$B$3=L$3,SUMIF('TL17'!$C$10:$C$224,$C197,'TL17'!$J$10:$J$224),0),
IF('TL17'!$B$229=L$3,SUMIF('TL17'!$C$238:$C$451,$C197,'TL17'!$J$238:$J$451),0),
IF('TL18'!$B$3=L$3,SUMIF('TL18'!$C$10:$C$224,$C197,'TL18'!$J$10:$J$224),0),
IF('TL18'!$B$229=L$3,SUMIF('TL18'!$C$238:$C$451,$C197,'TL18'!$J$238:$J$451),0),
IF('TL19'!$B$3=L$3,SUMIF('TL19'!$C$10:$C$224,$C197,'TL19'!$J$10:$J$224),0),
IF('TL19'!$B$229=L$3,SUMIF('TL19'!$C$238:$C$451,$C197,'TL19'!$J$238:$J$451),0)
),0)</f>
        <v>0</v>
      </c>
      <c r="M197" s="9">
        <f>IFERROR(SUM(
IF('TL01'!$B$3=M$3,SUMIF('TL01'!$C$10:$C$224,$C197,'TL01'!$J$10:$J$224),0),
IF('TL01'!$B$229=M$3,SUMIF('TL01'!$C$238:$C$451,$C197,'TL01'!$J$238:$J$451),0),
IF('TL02'!$B$3=M$3,SUMIF('TL02'!$C$10:$C$224,$C197,'TL02'!$J$10:$J$224),0),
IF('TL02'!$B$229=M$3,SUMIF('TL02'!$C$238:$C$451,$C197,'TL02'!$J$238:$J$451),0),
IF('TL03'!$B$3=M$3,SUMIF('TL03'!$C$10:$C$224,$C197,'TL03'!$J$10:$J$224),0),
IF('TL03'!$B$229=M$3,SUMIF('TL03'!$C$238:$C$451,$C197,'TL03'!$J$238:$J$451),0),
IF('TL04'!$B$3=M$3,SUMIF('TL04'!$C$10:$C$224,$C197,'TL04'!$J$10:$J$224),0),
IF('TL04'!$B$229=M$3,SUMIF('TL04'!$C$238:$C$451,$C197,'TL04'!$J$238:$J$451),0),
IF('TL05'!$B$3=M$3,SUMIF('TL05'!$C$10:$C$224,$C197,'TL05'!$J$10:$J$224),0),
IF('TL05'!$B$229=M$3,SUMIF('TL05'!$C$238:$C$451,$C197,'TL05'!$J$238:$J$451),0),
IF('TL06'!$B$3=M$3,SUMIF('TL06'!$C$10:$C$224,$C197,'TL06'!$J$10:$J$224),0),
IF('TL06'!$B$229=M$3,SUMIF('TL06'!$C$238:$C$451,$C197,'TL06'!$J$238:$J$451),0),
IF('TL07'!$B$3=M$3,SUMIF('TL07'!$C$10:$C$224,$C197,'TL07'!$J$10:$J$224),0),
IF('TL07'!$B$229=M$3,SUMIF('TL07'!$C$238:$C$451,$C197,'TL07'!$J$238:$J$451),0),
IF('TL08'!$B$3=M$3,SUMIF('TL08'!$C$10:$C$224,$C197,'TL08'!$J$10:$J$224),0),
IF('TL08'!$B$229=M$3,SUMIF('TL08'!$C$238:$C$451,$C197,'TL08'!$J$238:$J$451),0),
IF('TL09'!$B$3=M$3,SUMIF('TL09'!$C$10:$C$224,$C197,'TL09'!$J$10:$J$224),0),
IF('TL09'!$B$229=M$3,SUMIF('TL09'!$C$238:$C$451,$C197,'TL09'!$J$238:$J$451),0),
IF('TL10'!$B$3=M$3,SUMIF('TL10'!$C$10:$C$224,$C197,'TL10'!$J$10:$J$224),0),
IF('TL10'!$B$229=M$3,SUMIF('TL10'!$C$238:$C$451,$C197,'TL10'!$J$238:$J$451),0),
IF('TL11'!$B$3=M$3,SUMIF('TL11'!$C$10:$C$224,$C197,'TL11'!$J$10:$J$224),0),
IF('TL11'!$B$229=M$3,SUMIF('TL11'!$C$238:$C$451,$C197,'TL11'!$J$238:$J$451),0),
IF('TL12'!$B$3=M$3,SUMIF('TL12'!$C$10:$C$224,$C197,'TL12'!$J$10:$J$224),0),
IF('TL12'!$B$229=M$3,SUMIF('TL12'!$C$238:$C$451,$C197,'TL12'!$J$238:$J$451),0),
IF('TL13'!$B$3=M$3,SUMIF('TL13'!$C$10:$C$224,$C197,'TL13'!$J$10:$J$224),0),
IF('TL13'!$B$229=M$3,SUMIF('TL13'!$C$238:$C$451,$C197,'TL13'!$J$238:$J$451),0),
IF('TL14'!$B$3=M$3,SUMIF('TL14'!$C$10:$C$224,$C197,'TL14'!$J$10:$J$224),0),
IF('TL14'!$B$229=M$3,SUMIF('TL14'!$C$238:$C$451,$C197,'TL14'!$J$238:$J$451),0),
IF('TL15'!$B$3=M$3,SUMIF('TL15'!$C$10:$C$224,$C197,'TL15'!$J$10:$J$224),0),
IF('TL15'!$B$229=M$3,SUMIF('TL15'!$C$238:$C$451,$C197,'TL15'!$J$238:$J$451),0),
IF('TL16'!$B$3=M$3,SUMIF('TL16'!$C$10:$C$224,$C197,'TL16'!$J$10:$J$224),0),
IF('TL16'!$B$229=M$3,SUMIF('TL16'!$C$238:$C$451,$C197,'TL16'!$J$238:$J$451),0),
IF('TL17'!$B$3=M$3,SUMIF('TL17'!$C$10:$C$224,$C197,'TL17'!$J$10:$J$224),0),
IF('TL17'!$B$229=M$3,SUMIF('TL17'!$C$238:$C$451,$C197,'TL17'!$J$238:$J$451),0),
IF('TL18'!$B$3=M$3,SUMIF('TL18'!$C$10:$C$224,$C197,'TL18'!$J$10:$J$224),0),
IF('TL18'!$B$229=M$3,SUMIF('TL18'!$C$238:$C$451,$C197,'TL18'!$J$238:$J$451),0),
IF('TL19'!$B$3=M$3,SUMIF('TL19'!$C$10:$C$224,$C197,'TL19'!$J$10:$J$224),0),
IF('TL19'!$B$229=M$3,SUMIF('TL19'!$C$238:$C$451,$C197,'TL19'!$J$238:$J$451),0)
),0)</f>
        <v>0</v>
      </c>
      <c r="N197" s="9">
        <f>IFERROR(SUM(
IF('TL01'!$B$3=N$3,SUMIF('TL01'!$C$10:$C$224,$C197,'TL01'!$J$10:$J$224),0),
IF('TL01'!$B$229=N$3,SUMIF('TL01'!$C$238:$C$451,$C197,'TL01'!$J$238:$J$451),0),
IF('TL02'!$B$3=N$3,SUMIF('TL02'!$C$10:$C$224,$C197,'TL02'!$J$10:$J$224),0),
IF('TL02'!$B$229=N$3,SUMIF('TL02'!$C$238:$C$451,$C197,'TL02'!$J$238:$J$451),0),
IF('TL03'!$B$3=N$3,SUMIF('TL03'!$C$10:$C$224,$C197,'TL03'!$J$10:$J$224),0),
IF('TL03'!$B$229=N$3,SUMIF('TL03'!$C$238:$C$451,$C197,'TL03'!$J$238:$J$451),0),
IF('TL04'!$B$3=N$3,SUMIF('TL04'!$C$10:$C$224,$C197,'TL04'!$J$10:$J$224),0),
IF('TL04'!$B$229=N$3,SUMIF('TL04'!$C$238:$C$451,$C197,'TL04'!$J$238:$J$451),0),
IF('TL05'!$B$3=N$3,SUMIF('TL05'!$C$10:$C$224,$C197,'TL05'!$J$10:$J$224),0),
IF('TL05'!$B$229=N$3,SUMIF('TL05'!$C$238:$C$451,$C197,'TL05'!$J$238:$J$451),0),
IF('TL06'!$B$3=N$3,SUMIF('TL06'!$C$10:$C$224,$C197,'TL06'!$J$10:$J$224),0),
IF('TL06'!$B$229=N$3,SUMIF('TL06'!$C$238:$C$451,$C197,'TL06'!$J$238:$J$451),0),
IF('TL07'!$B$3=N$3,SUMIF('TL07'!$C$10:$C$224,$C197,'TL07'!$J$10:$J$224),0),
IF('TL07'!$B$229=N$3,SUMIF('TL07'!$C$238:$C$451,$C197,'TL07'!$J$238:$J$451),0),
IF('TL08'!$B$3=N$3,SUMIF('TL08'!$C$10:$C$224,$C197,'TL08'!$J$10:$J$224),0),
IF('TL08'!$B$229=N$3,SUMIF('TL08'!$C$238:$C$451,$C197,'TL08'!$J$238:$J$451),0),
IF('TL09'!$B$3=N$3,SUMIF('TL09'!$C$10:$C$224,$C197,'TL09'!$J$10:$J$224),0),
IF('TL09'!$B$229=N$3,SUMIF('TL09'!$C$238:$C$451,$C197,'TL09'!$J$238:$J$451),0),
IF('TL10'!$B$3=N$3,SUMIF('TL10'!$C$10:$C$224,$C197,'TL10'!$J$10:$J$224),0),
IF('TL10'!$B$229=N$3,SUMIF('TL10'!$C$238:$C$451,$C197,'TL10'!$J$238:$J$451),0),
IF('TL11'!$B$3=N$3,SUMIF('TL11'!$C$10:$C$224,$C197,'TL11'!$J$10:$J$224),0),
IF('TL11'!$B$229=N$3,SUMIF('TL11'!$C$238:$C$451,$C197,'TL11'!$J$238:$J$451),0),
IF('TL12'!$B$3=N$3,SUMIF('TL12'!$C$10:$C$224,$C197,'TL12'!$J$10:$J$224),0),
IF('TL12'!$B$229=N$3,SUMIF('TL12'!$C$238:$C$451,$C197,'TL12'!$J$238:$J$451),0),
IF('TL13'!$B$3=N$3,SUMIF('TL13'!$C$10:$C$224,$C197,'TL13'!$J$10:$J$224),0),
IF('TL13'!$B$229=N$3,SUMIF('TL13'!$C$238:$C$451,$C197,'TL13'!$J$238:$J$451),0),
IF('TL14'!$B$3=N$3,SUMIF('TL14'!$C$10:$C$224,$C197,'TL14'!$J$10:$J$224),0),
IF('TL14'!$B$229=N$3,SUMIF('TL14'!$C$238:$C$451,$C197,'TL14'!$J$238:$J$451),0),
IF('TL15'!$B$3=N$3,SUMIF('TL15'!$C$10:$C$224,$C197,'TL15'!$J$10:$J$224),0),
IF('TL15'!$B$229=N$3,SUMIF('TL15'!$C$238:$C$451,$C197,'TL15'!$J$238:$J$451),0),
IF('TL16'!$B$3=N$3,SUMIF('TL16'!$C$10:$C$224,$C197,'TL16'!$J$10:$J$224),0),
IF('TL16'!$B$229=N$3,SUMIF('TL16'!$C$238:$C$451,$C197,'TL16'!$J$238:$J$451),0),
IF('TL17'!$B$3=N$3,SUMIF('TL17'!$C$10:$C$224,$C197,'TL17'!$J$10:$J$224),0),
IF('TL17'!$B$229=N$3,SUMIF('TL17'!$C$238:$C$451,$C197,'TL17'!$J$238:$J$451),0),
IF('TL18'!$B$3=N$3,SUMIF('TL18'!$C$10:$C$224,$C197,'TL18'!$J$10:$J$224),0),
IF('TL18'!$B$229=N$3,SUMIF('TL18'!$C$238:$C$451,$C197,'TL18'!$J$238:$J$451),0),
IF('TL19'!$B$3=N$3,SUMIF('TL19'!$C$10:$C$224,$C197,'TL19'!$J$10:$J$224),0),
IF('TL19'!$B$229=N$3,SUMIF('TL19'!$C$238:$C$451,$C197,'TL19'!$J$238:$J$451),0)
),0)</f>
        <v>0</v>
      </c>
      <c r="O197" s="9">
        <f>IFERROR(SUM(
IF('TL01'!$B$3=O$3,SUMIF('TL01'!$C$10:$C$224,$C197,'TL01'!$J$10:$J$224),0),
IF('TL01'!$B$229=O$3,SUMIF('TL01'!$C$238:$C$451,$C197,'TL01'!$J$238:$J$451),0),
IF('TL02'!$B$3=O$3,SUMIF('TL02'!$C$10:$C$224,$C197,'TL02'!$J$10:$J$224),0),
IF('TL02'!$B$229=O$3,SUMIF('TL02'!$C$238:$C$451,$C197,'TL02'!$J$238:$J$451),0),
IF('TL03'!$B$3=O$3,SUMIF('TL03'!$C$10:$C$224,$C197,'TL03'!$J$10:$J$224),0),
IF('TL03'!$B$229=O$3,SUMIF('TL03'!$C$238:$C$451,$C197,'TL03'!$J$238:$J$451),0),
IF('TL04'!$B$3=O$3,SUMIF('TL04'!$C$10:$C$224,$C197,'TL04'!$J$10:$J$224),0),
IF('TL04'!$B$229=O$3,SUMIF('TL04'!$C$238:$C$451,$C197,'TL04'!$J$238:$J$451),0),
IF('TL05'!$B$3=O$3,SUMIF('TL05'!$C$10:$C$224,$C197,'TL05'!$J$10:$J$224),0),
IF('TL05'!$B$229=O$3,SUMIF('TL05'!$C$238:$C$451,$C197,'TL05'!$J$238:$J$451),0),
IF('TL06'!$B$3=O$3,SUMIF('TL06'!$C$10:$C$224,$C197,'TL06'!$J$10:$J$224),0),
IF('TL06'!$B$229=O$3,SUMIF('TL06'!$C$238:$C$451,$C197,'TL06'!$J$238:$J$451),0),
IF('TL07'!$B$3=O$3,SUMIF('TL07'!$C$10:$C$224,$C197,'TL07'!$J$10:$J$224),0),
IF('TL07'!$B$229=O$3,SUMIF('TL07'!$C$238:$C$451,$C197,'TL07'!$J$238:$J$451),0),
IF('TL08'!$B$3=O$3,SUMIF('TL08'!$C$10:$C$224,$C197,'TL08'!$J$10:$J$224),0),
IF('TL08'!$B$229=O$3,SUMIF('TL08'!$C$238:$C$451,$C197,'TL08'!$J$238:$J$451),0),
IF('TL09'!$B$3=O$3,SUMIF('TL09'!$C$10:$C$224,$C197,'TL09'!$J$10:$J$224),0),
IF('TL09'!$B$229=O$3,SUMIF('TL09'!$C$238:$C$451,$C197,'TL09'!$J$238:$J$451),0),
IF('TL10'!$B$3=O$3,SUMIF('TL10'!$C$10:$C$224,$C197,'TL10'!$J$10:$J$224),0),
IF('TL10'!$B$229=O$3,SUMIF('TL10'!$C$238:$C$451,$C197,'TL10'!$J$238:$J$451),0),
IF('TL11'!$B$3=O$3,SUMIF('TL11'!$C$10:$C$224,$C197,'TL11'!$J$10:$J$224),0),
IF('TL11'!$B$229=O$3,SUMIF('TL11'!$C$238:$C$451,$C197,'TL11'!$J$238:$J$451),0),
IF('TL12'!$B$3=O$3,SUMIF('TL12'!$C$10:$C$224,$C197,'TL12'!$J$10:$J$224),0),
IF('TL12'!$B$229=O$3,SUMIF('TL12'!$C$238:$C$451,$C197,'TL12'!$J$238:$J$451),0),
IF('TL13'!$B$3=O$3,SUMIF('TL13'!$C$10:$C$224,$C197,'TL13'!$J$10:$J$224),0),
IF('TL13'!$B$229=O$3,SUMIF('TL13'!$C$238:$C$451,$C197,'TL13'!$J$238:$J$451),0),
IF('TL14'!$B$3=O$3,SUMIF('TL14'!$C$10:$C$224,$C197,'TL14'!$J$10:$J$224),0),
IF('TL14'!$B$229=O$3,SUMIF('TL14'!$C$238:$C$451,$C197,'TL14'!$J$238:$J$451),0),
IF('TL15'!$B$3=O$3,SUMIF('TL15'!$C$10:$C$224,$C197,'TL15'!$J$10:$J$224),0),
IF('TL15'!$B$229=O$3,SUMIF('TL15'!$C$238:$C$451,$C197,'TL15'!$J$238:$J$451),0),
IF('TL16'!$B$3=O$3,SUMIF('TL16'!$C$10:$C$224,$C197,'TL16'!$J$10:$J$224),0),
IF('TL16'!$B$229=O$3,SUMIF('TL16'!$C$238:$C$451,$C197,'TL16'!$J$238:$J$451),0),
IF('TL17'!$B$3=O$3,SUMIF('TL17'!$C$10:$C$224,$C197,'TL17'!$J$10:$J$224),0),
IF('TL17'!$B$229=O$3,SUMIF('TL17'!$C$238:$C$451,$C197,'TL17'!$J$238:$J$451),0),
IF('TL18'!$B$3=O$3,SUMIF('TL18'!$C$10:$C$224,$C197,'TL18'!$J$10:$J$224),0),
IF('TL18'!$B$229=O$3,SUMIF('TL18'!$C$238:$C$451,$C197,'TL18'!$J$238:$J$451),0),
IF('TL19'!$B$3=O$3,SUMIF('TL19'!$C$10:$C$224,$C197,'TL19'!$J$10:$J$224),0),
IF('TL19'!$B$229=O$3,SUMIF('TL19'!$C$238:$C$451,$C197,'TL19'!$J$238:$J$451),0)
),0)</f>
        <v>0</v>
      </c>
      <c r="P197" s="9">
        <f>IFERROR(SUM(
IF('TL01'!$B$3=P$3,SUMIF('TL01'!$C$10:$C$224,$C197,'TL01'!$J$10:$J$224),0),
IF('TL01'!$B$229=P$3,SUMIF('TL01'!$C$238:$C$451,$C197,'TL01'!$J$238:$J$451),0),
IF('TL02'!$B$3=P$3,SUMIF('TL02'!$C$10:$C$224,$C197,'TL02'!$J$10:$J$224),0),
IF('TL02'!$B$229=P$3,SUMIF('TL02'!$C$238:$C$451,$C197,'TL02'!$J$238:$J$451),0),
IF('TL03'!$B$3=P$3,SUMIF('TL03'!$C$10:$C$224,$C197,'TL03'!$J$10:$J$224),0),
IF('TL03'!$B$229=P$3,SUMIF('TL03'!$C$238:$C$451,$C197,'TL03'!$J$238:$J$451),0),
IF('TL04'!$B$3=P$3,SUMIF('TL04'!$C$10:$C$224,$C197,'TL04'!$J$10:$J$224),0),
IF('TL04'!$B$229=P$3,SUMIF('TL04'!$C$238:$C$451,$C197,'TL04'!$J$238:$J$451),0),
IF('TL05'!$B$3=P$3,SUMIF('TL05'!$C$10:$C$224,$C197,'TL05'!$J$10:$J$224),0),
IF('TL05'!$B$229=P$3,SUMIF('TL05'!$C$238:$C$451,$C197,'TL05'!$J$238:$J$451),0),
IF('TL06'!$B$3=P$3,SUMIF('TL06'!$C$10:$C$224,$C197,'TL06'!$J$10:$J$224),0),
IF('TL06'!$B$229=P$3,SUMIF('TL06'!$C$238:$C$451,$C197,'TL06'!$J$238:$J$451),0),
IF('TL07'!$B$3=P$3,SUMIF('TL07'!$C$10:$C$224,$C197,'TL07'!$J$10:$J$224),0),
IF('TL07'!$B$229=P$3,SUMIF('TL07'!$C$238:$C$451,$C197,'TL07'!$J$238:$J$451),0),
IF('TL08'!$B$3=P$3,SUMIF('TL08'!$C$10:$C$224,$C197,'TL08'!$J$10:$J$224),0),
IF('TL08'!$B$229=P$3,SUMIF('TL08'!$C$238:$C$451,$C197,'TL08'!$J$238:$J$451),0),
IF('TL09'!$B$3=P$3,SUMIF('TL09'!$C$10:$C$224,$C197,'TL09'!$J$10:$J$224),0),
IF('TL09'!$B$229=P$3,SUMIF('TL09'!$C$238:$C$451,$C197,'TL09'!$J$238:$J$451),0),
IF('TL10'!$B$3=P$3,SUMIF('TL10'!$C$10:$C$224,$C197,'TL10'!$J$10:$J$224),0),
IF('TL10'!$B$229=P$3,SUMIF('TL10'!$C$238:$C$451,$C197,'TL10'!$J$238:$J$451),0),
IF('TL11'!$B$3=P$3,SUMIF('TL11'!$C$10:$C$224,$C197,'TL11'!$J$10:$J$224),0),
IF('TL11'!$B$229=P$3,SUMIF('TL11'!$C$238:$C$451,$C197,'TL11'!$J$238:$J$451),0),
IF('TL12'!$B$3=P$3,SUMIF('TL12'!$C$10:$C$224,$C197,'TL12'!$J$10:$J$224),0),
IF('TL12'!$B$229=P$3,SUMIF('TL12'!$C$238:$C$451,$C197,'TL12'!$J$238:$J$451),0),
IF('TL13'!$B$3=P$3,SUMIF('TL13'!$C$10:$C$224,$C197,'TL13'!$J$10:$J$224),0),
IF('TL13'!$B$229=P$3,SUMIF('TL13'!$C$238:$C$451,$C197,'TL13'!$J$238:$J$451),0),
IF('TL14'!$B$3=P$3,SUMIF('TL14'!$C$10:$C$224,$C197,'TL14'!$J$10:$J$224),0),
IF('TL14'!$B$229=P$3,SUMIF('TL14'!$C$238:$C$451,$C197,'TL14'!$J$238:$J$451),0),
IF('TL15'!$B$3=P$3,SUMIF('TL15'!$C$10:$C$224,$C197,'TL15'!$J$10:$J$224),0),
IF('TL15'!$B$229=P$3,SUMIF('TL15'!$C$238:$C$451,$C197,'TL15'!$J$238:$J$451),0),
IF('TL16'!$B$3=P$3,SUMIF('TL16'!$C$10:$C$224,$C197,'TL16'!$J$10:$J$224),0),
IF('TL16'!$B$229=P$3,SUMIF('TL16'!$C$238:$C$451,$C197,'TL16'!$J$238:$J$451),0),
IF('TL17'!$B$3=P$3,SUMIF('TL17'!$C$10:$C$224,$C197,'TL17'!$J$10:$J$224),0),
IF('TL17'!$B$229=P$3,SUMIF('TL17'!$C$238:$C$451,$C197,'TL17'!$J$238:$J$451),0),
IF('TL18'!$B$3=P$3,SUMIF('TL18'!$C$10:$C$224,$C197,'TL18'!$J$10:$J$224),0),
IF('TL18'!$B$229=P$3,SUMIF('TL18'!$C$238:$C$451,$C197,'TL18'!$J$238:$J$451),0),
IF('TL19'!$B$3=P$3,SUMIF('TL19'!$C$10:$C$224,$C197,'TL19'!$J$10:$J$224),0),
IF('TL19'!$B$229=P$3,SUMIF('TL19'!$C$238:$C$451,$C197,'TL19'!$J$238:$J$451),0)
),0)</f>
        <v>0</v>
      </c>
      <c r="Q197" s="9">
        <f>IFERROR(SUM(
IF('TL01'!$B$3=Q$3,SUMIF('TL01'!$C$10:$C$224,$C197,'TL01'!$J$10:$J$224),0),
IF('TL01'!$B$229=Q$3,SUMIF('TL01'!$C$238:$C$451,$C197,'TL01'!$J$238:$J$451),0),
IF('TL02'!$B$3=Q$3,SUMIF('TL02'!$C$10:$C$224,$C197,'TL02'!$J$10:$J$224),0),
IF('TL02'!$B$229=Q$3,SUMIF('TL02'!$C$238:$C$451,$C197,'TL02'!$J$238:$J$451),0),
IF('TL03'!$B$3=Q$3,SUMIF('TL03'!$C$10:$C$224,$C197,'TL03'!$J$10:$J$224),0),
IF('TL03'!$B$229=Q$3,SUMIF('TL03'!$C$238:$C$451,$C197,'TL03'!$J$238:$J$451),0),
IF('TL04'!$B$3=Q$3,SUMIF('TL04'!$C$10:$C$224,$C197,'TL04'!$J$10:$J$224),0),
IF('TL04'!$B$229=Q$3,SUMIF('TL04'!$C$238:$C$451,$C197,'TL04'!$J$238:$J$451),0),
IF('TL05'!$B$3=Q$3,SUMIF('TL05'!$C$10:$C$224,$C197,'TL05'!$J$10:$J$224),0),
IF('TL05'!$B$229=Q$3,SUMIF('TL05'!$C$238:$C$451,$C197,'TL05'!$J$238:$J$451),0),
IF('TL06'!$B$3=Q$3,SUMIF('TL06'!$C$10:$C$224,$C197,'TL06'!$J$10:$J$224),0),
IF('TL06'!$B$229=Q$3,SUMIF('TL06'!$C$238:$C$451,$C197,'TL06'!$J$238:$J$451),0),
IF('TL07'!$B$3=Q$3,SUMIF('TL07'!$C$10:$C$224,$C197,'TL07'!$J$10:$J$224),0),
IF('TL07'!$B$229=Q$3,SUMIF('TL07'!$C$238:$C$451,$C197,'TL07'!$J$238:$J$451),0),
IF('TL08'!$B$3=Q$3,SUMIF('TL08'!$C$10:$C$224,$C197,'TL08'!$J$10:$J$224),0),
IF('TL08'!$B$229=Q$3,SUMIF('TL08'!$C$238:$C$451,$C197,'TL08'!$J$238:$J$451),0),
IF('TL09'!$B$3=Q$3,SUMIF('TL09'!$C$10:$C$224,$C197,'TL09'!$J$10:$J$224),0),
IF('TL09'!$B$229=Q$3,SUMIF('TL09'!$C$238:$C$451,$C197,'TL09'!$J$238:$J$451),0),
IF('TL10'!$B$3=Q$3,SUMIF('TL10'!$C$10:$C$224,$C197,'TL10'!$J$10:$J$224),0),
IF('TL10'!$B$229=Q$3,SUMIF('TL10'!$C$238:$C$451,$C197,'TL10'!$J$238:$J$451),0),
IF('TL11'!$B$3=Q$3,SUMIF('TL11'!$C$10:$C$224,$C197,'TL11'!$J$10:$J$224),0),
IF('TL11'!$B$229=Q$3,SUMIF('TL11'!$C$238:$C$451,$C197,'TL11'!$J$238:$J$451),0),
IF('TL12'!$B$3=Q$3,SUMIF('TL12'!$C$10:$C$224,$C197,'TL12'!$J$10:$J$224),0),
IF('TL12'!$B$229=Q$3,SUMIF('TL12'!$C$238:$C$451,$C197,'TL12'!$J$238:$J$451),0),
IF('TL13'!$B$3=Q$3,SUMIF('TL13'!$C$10:$C$224,$C197,'TL13'!$J$10:$J$224),0),
IF('TL13'!$B$229=Q$3,SUMIF('TL13'!$C$238:$C$451,$C197,'TL13'!$J$238:$J$451),0),
IF('TL14'!$B$3=Q$3,SUMIF('TL14'!$C$10:$C$224,$C197,'TL14'!$J$10:$J$224),0),
IF('TL14'!$B$229=Q$3,SUMIF('TL14'!$C$238:$C$451,$C197,'TL14'!$J$238:$J$451),0),
IF('TL15'!$B$3=Q$3,SUMIF('TL15'!$C$10:$C$224,$C197,'TL15'!$J$10:$J$224),0),
IF('TL15'!$B$229=Q$3,SUMIF('TL15'!$C$238:$C$451,$C197,'TL15'!$J$238:$J$451),0),
IF('TL16'!$B$3=Q$3,SUMIF('TL16'!$C$10:$C$224,$C197,'TL16'!$J$10:$J$224),0),
IF('TL16'!$B$229=Q$3,SUMIF('TL16'!$C$238:$C$451,$C197,'TL16'!$J$238:$J$451),0),
IF('TL17'!$B$3=Q$3,SUMIF('TL17'!$C$10:$C$224,$C197,'TL17'!$J$10:$J$224),0),
IF('TL17'!$B$229=Q$3,SUMIF('TL17'!$C$238:$C$451,$C197,'TL17'!$J$238:$J$451),0),
IF('TL18'!$B$3=Q$3,SUMIF('TL18'!$C$10:$C$224,$C197,'TL18'!$J$10:$J$224),0),
IF('TL18'!$B$229=Q$3,SUMIF('TL18'!$C$238:$C$451,$C197,'TL18'!$J$238:$J$451),0),
IF('TL19'!$B$3=Q$3,SUMIF('TL19'!$C$10:$C$224,$C197,'TL19'!$J$10:$J$224),0),
IF('TL19'!$B$229=Q$3,SUMIF('TL19'!$C$238:$C$451,$C197,'TL19'!$J$238:$J$451),0)
),0)</f>
        <v>0</v>
      </c>
      <c r="R197" s="9">
        <f>IFERROR(
SUM(
SUMIF('TL01'!C:C,C197,'TL01'!J:J),
SUMIF('TL02'!C:C,C197,'TL02'!J:J),
SUMIF('TL03'!C:C,C197,'TL03'!J:J),
SUMIF('TL04'!C:C,C197,'TL04'!J:J),
SUMIF('TL05'!C:C,C197,'TL05'!J:J),
SUMIF('TL06'!C:C,C197,'TL06'!J:J),
SUMIF('TL07'!C:C,C197,'TL07'!J:J),
SUMIF('TL08'!C:C,C197,'TL08'!J:J),
SUMIF('TL09'!C:C,C197,'TL09'!J:J),
SUMIF('TL10'!C:C,C197,'TL10'!J:J),
SUMIF('TL11'!C:C,C197,'TL11'!J:J),
SUMIF('TL12'!C:C,C197,'TL12'!J:J),
SUMIF('TL13'!C:C,C197,'TL13'!J:J),
SUMIF('TL14'!C:C,C197,'TL14'!J:J),
SUMIF('TL15'!C:C,C197,'TL15'!J:J),
SUMIF('TL16'!C:C,C197,'TL16'!J:J),
SUMIF('TL17'!C:C,C197,'TL17'!J:J),
SUMIF('TL18'!C:C,C197,'TL18'!J:J),SUMIF('TL19'!C:C,C197,'TL19'!J:J))
,0)</f>
        <v>0</v>
      </c>
      <c r="S197" s="17">
        <f>IFERROR(__xludf.DUMMYFUNCTION("IFERROR(VLOOKUP(C197,
IMPORTRANGE(""1wULbzX32WdYsx-lj2U3uUNBBe2INVIRDtcK0d-Dvl90"",
""26-27!C:G""),
5,
FALSE),
"""")"),102.7947)</f>
        <v>102.7947</v>
      </c>
      <c r="T197" s="9"/>
      <c r="U197" s="92">
        <f t="shared" si="2"/>
        <v>0</v>
      </c>
      <c r="V197" s="93">
        <f t="shared" si="3"/>
        <v>0</v>
      </c>
    </row>
    <row r="198" ht="15.75" hidden="1" customHeight="1">
      <c r="A198" s="87" t="s">
        <v>504</v>
      </c>
      <c r="B198" s="88" t="s">
        <v>2</v>
      </c>
      <c r="C198" s="89" t="s">
        <v>809</v>
      </c>
      <c r="D198" s="89" t="s">
        <v>810</v>
      </c>
      <c r="E198" s="89">
        <v>100.0</v>
      </c>
      <c r="F198" s="4"/>
      <c r="G198" s="90" t="str">
        <f t="shared" si="4"/>
        <v>📄 Ver bula</v>
      </c>
      <c r="H198" s="9">
        <f>IFERROR(__xludf.DUMMYFUNCTION("IFERROR(VLOOKUP(C198,
IMPORTRANGE(""1wULbzX32WdYsx-lj2U3uUNBBe2INVIRDtcK0d-Dvl90"",
""26-27!C:K""),
8,
FALSE),
"""")"),0.15)</f>
        <v>0.15</v>
      </c>
      <c r="I198" s="91" t="s">
        <v>361</v>
      </c>
      <c r="J198" s="9">
        <f>IFERROR(SUM(
IF('TL01'!$B$3=J$3,SUMIF('TL01'!$C$10:$C$224,$C198,'TL01'!$J$10:$J$224),0),
IF('TL01'!$B$229=J$3,SUMIF('TL01'!$C$238:$C$451,$C198,'TL01'!$J$238:$J$451),0),
IF('TL02'!$B$3=J$3,SUMIF('TL02'!$C$10:$C$224,$C198,'TL02'!$J$10:$J$224),0),
IF('TL02'!$B$229=J$3,SUMIF('TL02'!$C$238:$C$451,$C198,'TL02'!$J$238:$J$451),0),
IF('TL03'!$B$3=J$3,SUMIF('TL03'!$C$10:$C$224,$C198,'TL03'!$J$10:$J$224),0),
IF('TL03'!$B$229=J$3,SUMIF('TL03'!$C$238:$C$451,$C198,'TL03'!$J$238:$J$451),0),
IF('TL04'!$B$3=J$3,SUMIF('TL04'!$C$10:$C$224,$C198,'TL04'!$J$10:$J$224),0),
IF('TL04'!$B$229=J$3,SUMIF('TL04'!$C$238:$C$451,$C198,'TL04'!$J$238:$J$451),0),
IF('TL05'!$B$3=J$3,SUMIF('TL05'!$C$10:$C$224,$C198,'TL05'!$J$10:$J$224),0),
IF('TL05'!$B$229=J$3,SUMIF('TL05'!$C$238:$C$451,$C198,'TL05'!$J$238:$J$451),0),
IF('TL06'!$B$3=J$3,SUMIF('TL06'!$C$10:$C$224,$C198,'TL06'!$J$10:$J$224),0),
IF('TL06'!$B$229=J$3,SUMIF('TL06'!$C$238:$C$451,$C198,'TL06'!$J$238:$J$451),0),
IF('TL07'!$B$3=J$3,SUMIF('TL07'!$C$10:$C$224,$C198,'TL07'!$J$10:$J$224),0),
IF('TL07'!$B$229=J$3,SUMIF('TL07'!$C$238:$C$451,$C198,'TL07'!$J$238:$J$451),0),
IF('TL08'!$B$3=J$3,SUMIF('TL08'!$C$10:$C$224,$C198,'TL08'!$J$10:$J$224),0),
IF('TL08'!$B$229=J$3,SUMIF('TL08'!$C$238:$C$451,$C198,'TL08'!$J$238:$J$451),0),
IF('TL09'!$B$3=J$3,SUMIF('TL09'!$C$10:$C$224,$C198,'TL09'!$J$10:$J$224),0),
IF('TL09'!$B$229=J$3,SUMIF('TL09'!$C$238:$C$451,$C198,'TL09'!$J$238:$J$451),0),
IF('TL10'!$B$3=J$3,SUMIF('TL10'!$C$10:$C$224,$C198,'TL10'!$J$10:$J$224),0),
IF('TL10'!$B$229=J$3,SUMIF('TL10'!$C$238:$C$451,$C198,'TL10'!$J$238:$J$451),0),
IF('TL11'!$B$3=J$3,SUMIF('TL11'!$C$10:$C$224,$C198,'TL11'!$J$10:$J$224),0),
IF('TL11'!$B$229=J$3,SUMIF('TL11'!$C$238:$C$451,$C198,'TL11'!$J$238:$J$451),0),
IF('TL12'!$B$3=J$3,SUMIF('TL12'!$C$10:$C$224,$C198,'TL12'!$J$10:$J$224),0),
IF('TL12'!$B$229=J$3,SUMIF('TL12'!$C$238:$C$451,$C198,'TL12'!$J$238:$J$451),0),
IF('TL13'!$B$3=J$3,SUMIF('TL13'!$C$10:$C$224,$C198,'TL13'!$J$10:$J$224),0),
IF('TL13'!$B$229=J$3,SUMIF('TL13'!$C$238:$C$451,$C198,'TL13'!$J$238:$J$451),0),
IF('TL14'!$B$3=J$3,SUMIF('TL14'!$C$10:$C$224,$C198,'TL14'!$J$10:$J$224),0),
IF('TL14'!$B$229=J$3,SUMIF('TL14'!$C$238:$C$451,$C198,'TL14'!$J$238:$J$451),0),
IF('TL15'!$B$3=J$3,SUMIF('TL15'!$C$10:$C$224,$C198,'TL15'!$J$10:$J$224),0),
IF('TL15'!$B$229=J$3,SUMIF('TL15'!$C$238:$C$451,$C198,'TL15'!$J$238:$J$451),0),
IF('TL16'!$B$3=J$3,SUMIF('TL16'!$C$10:$C$224,$C198,'TL16'!$J$10:$J$224),0),
IF('TL16'!$B$229=J$3,SUMIF('TL16'!$C$238:$C$451,$C198,'TL16'!$J$238:$J$451),0),
IF('TL17'!$B$3=J$3,SUMIF('TL17'!$C$10:$C$224,$C198,'TL17'!$J$10:$J$224),0),
IF('TL17'!$B$229=J$3,SUMIF('TL17'!$C$238:$C$451,$C198,'TL17'!$J$238:$J$451),0),
IF('TL18'!$B$3=J$3,SUMIF('TL18'!$C$10:$C$224,$C198,'TL18'!$J$10:$J$224),0),
IF('TL18'!$B$229=J$3,SUMIF('TL18'!$C$238:$C$451,$C198,'TL18'!$J$238:$J$451),0),
IF('TL19'!$B$3=J$3,SUMIF('TL19'!$C$10:$C$224,$C198,'TL19'!$J$10:$J$224),0),
IF('TL19'!$B$229=J$3,SUMIF('TL19'!$C$238:$C$451,$C198,'TL19'!$J$238:$J$451),0)
),0)</f>
        <v>0</v>
      </c>
      <c r="K198" s="9">
        <f>IFERROR(SUM(
IF('TL01'!$B$3=K$3,SUMIF('TL01'!$C$10:$C$224,$C198,'TL01'!$J$10:$J$224),0),
IF('TL01'!$B$229=K$3,SUMIF('TL01'!$C$238:$C$451,$C198,'TL01'!$J$238:$J$451),0),
IF('TL02'!$B$3=K$3,SUMIF('TL02'!$C$10:$C$224,$C198,'TL02'!$J$10:$J$224),0),
IF('TL02'!$B$229=K$3,SUMIF('TL02'!$C$238:$C$451,$C198,'TL02'!$J$238:$J$451),0),
IF('TL03'!$B$3=K$3,SUMIF('TL03'!$C$10:$C$224,$C198,'TL03'!$J$10:$J$224),0),
IF('TL03'!$B$229=K$3,SUMIF('TL03'!$C$238:$C$451,$C198,'TL03'!$J$238:$J$451),0),
IF('TL04'!$B$3=K$3,SUMIF('TL04'!$C$10:$C$224,$C198,'TL04'!$J$10:$J$224),0),
IF('TL04'!$B$229=K$3,SUMIF('TL04'!$C$238:$C$451,$C198,'TL04'!$J$238:$J$451),0),
IF('TL05'!$B$3=K$3,SUMIF('TL05'!$C$10:$C$224,$C198,'TL05'!$J$10:$J$224),0),
IF('TL05'!$B$229=K$3,SUMIF('TL05'!$C$238:$C$451,$C198,'TL05'!$J$238:$J$451),0),
IF('TL06'!$B$3=K$3,SUMIF('TL06'!$C$10:$C$224,$C198,'TL06'!$J$10:$J$224),0),
IF('TL06'!$B$229=K$3,SUMIF('TL06'!$C$238:$C$451,$C198,'TL06'!$J$238:$J$451),0),
IF('TL07'!$B$3=K$3,SUMIF('TL07'!$C$10:$C$224,$C198,'TL07'!$J$10:$J$224),0),
IF('TL07'!$B$229=K$3,SUMIF('TL07'!$C$238:$C$451,$C198,'TL07'!$J$238:$J$451),0),
IF('TL08'!$B$3=K$3,SUMIF('TL08'!$C$10:$C$224,$C198,'TL08'!$J$10:$J$224),0),
IF('TL08'!$B$229=K$3,SUMIF('TL08'!$C$238:$C$451,$C198,'TL08'!$J$238:$J$451),0),
IF('TL09'!$B$3=K$3,SUMIF('TL09'!$C$10:$C$224,$C198,'TL09'!$J$10:$J$224),0),
IF('TL09'!$B$229=K$3,SUMIF('TL09'!$C$238:$C$451,$C198,'TL09'!$J$238:$J$451),0),
IF('TL10'!$B$3=K$3,SUMIF('TL10'!$C$10:$C$224,$C198,'TL10'!$J$10:$J$224),0),
IF('TL10'!$B$229=K$3,SUMIF('TL10'!$C$238:$C$451,$C198,'TL10'!$J$238:$J$451),0),
IF('TL11'!$B$3=K$3,SUMIF('TL11'!$C$10:$C$224,$C198,'TL11'!$J$10:$J$224),0),
IF('TL11'!$B$229=K$3,SUMIF('TL11'!$C$238:$C$451,$C198,'TL11'!$J$238:$J$451),0),
IF('TL12'!$B$3=K$3,SUMIF('TL12'!$C$10:$C$224,$C198,'TL12'!$J$10:$J$224),0),
IF('TL12'!$B$229=K$3,SUMIF('TL12'!$C$238:$C$451,$C198,'TL12'!$J$238:$J$451),0),
IF('TL13'!$B$3=K$3,SUMIF('TL13'!$C$10:$C$224,$C198,'TL13'!$J$10:$J$224),0),
IF('TL13'!$B$229=K$3,SUMIF('TL13'!$C$238:$C$451,$C198,'TL13'!$J$238:$J$451),0),
IF('TL14'!$B$3=K$3,SUMIF('TL14'!$C$10:$C$224,$C198,'TL14'!$J$10:$J$224),0),
IF('TL14'!$B$229=K$3,SUMIF('TL14'!$C$238:$C$451,$C198,'TL14'!$J$238:$J$451),0),
IF('TL15'!$B$3=K$3,SUMIF('TL15'!$C$10:$C$224,$C198,'TL15'!$J$10:$J$224),0),
IF('TL15'!$B$229=K$3,SUMIF('TL15'!$C$238:$C$451,$C198,'TL15'!$J$238:$J$451),0),
IF('TL16'!$B$3=K$3,SUMIF('TL16'!$C$10:$C$224,$C198,'TL16'!$J$10:$J$224),0),
IF('TL16'!$B$229=K$3,SUMIF('TL16'!$C$238:$C$451,$C198,'TL16'!$J$238:$J$451),0),
IF('TL17'!$B$3=K$3,SUMIF('TL17'!$C$10:$C$224,$C198,'TL17'!$J$10:$J$224),0),
IF('TL17'!$B$229=K$3,SUMIF('TL17'!$C$238:$C$451,$C198,'TL17'!$J$238:$J$451),0),
IF('TL18'!$B$3=K$3,SUMIF('TL18'!$C$10:$C$224,$C198,'TL18'!$J$10:$J$224),0),
IF('TL18'!$B$229=K$3,SUMIF('TL18'!$C$238:$C$451,$C198,'TL18'!$J$238:$J$451),0),
IF('TL19'!$B$3=K$3,SUMIF('TL19'!$C$10:$C$224,$C198,'TL19'!$J$10:$J$224),0),
IF('TL19'!$B$229=K$3,SUMIF('TL19'!$C$238:$C$451,$C198,'TL19'!$J$238:$J$451),0)
),0)</f>
        <v>0</v>
      </c>
      <c r="L198" s="9">
        <f>IFERROR(SUM(
IF('TL01'!$B$3=L$3,SUMIF('TL01'!$C$10:$C$224,$C198,'TL01'!$J$10:$J$224),0),
IF('TL01'!$B$229=L$3,SUMIF('TL01'!$C$238:$C$451,$C198,'TL01'!$J$238:$J$451),0),
IF('TL02'!$B$3=L$3,SUMIF('TL02'!$C$10:$C$224,$C198,'TL02'!$J$10:$J$224),0),
IF('TL02'!$B$229=L$3,SUMIF('TL02'!$C$238:$C$451,$C198,'TL02'!$J$238:$J$451),0),
IF('TL03'!$B$3=L$3,SUMIF('TL03'!$C$10:$C$224,$C198,'TL03'!$J$10:$J$224),0),
IF('TL03'!$B$229=L$3,SUMIF('TL03'!$C$238:$C$451,$C198,'TL03'!$J$238:$J$451),0),
IF('TL04'!$B$3=L$3,SUMIF('TL04'!$C$10:$C$224,$C198,'TL04'!$J$10:$J$224),0),
IF('TL04'!$B$229=L$3,SUMIF('TL04'!$C$238:$C$451,$C198,'TL04'!$J$238:$J$451),0),
IF('TL05'!$B$3=L$3,SUMIF('TL05'!$C$10:$C$224,$C198,'TL05'!$J$10:$J$224),0),
IF('TL05'!$B$229=L$3,SUMIF('TL05'!$C$238:$C$451,$C198,'TL05'!$J$238:$J$451),0),
IF('TL06'!$B$3=L$3,SUMIF('TL06'!$C$10:$C$224,$C198,'TL06'!$J$10:$J$224),0),
IF('TL06'!$B$229=L$3,SUMIF('TL06'!$C$238:$C$451,$C198,'TL06'!$J$238:$J$451),0),
IF('TL07'!$B$3=L$3,SUMIF('TL07'!$C$10:$C$224,$C198,'TL07'!$J$10:$J$224),0),
IF('TL07'!$B$229=L$3,SUMIF('TL07'!$C$238:$C$451,$C198,'TL07'!$J$238:$J$451),0),
IF('TL08'!$B$3=L$3,SUMIF('TL08'!$C$10:$C$224,$C198,'TL08'!$J$10:$J$224),0),
IF('TL08'!$B$229=L$3,SUMIF('TL08'!$C$238:$C$451,$C198,'TL08'!$J$238:$J$451),0),
IF('TL09'!$B$3=L$3,SUMIF('TL09'!$C$10:$C$224,$C198,'TL09'!$J$10:$J$224),0),
IF('TL09'!$B$229=L$3,SUMIF('TL09'!$C$238:$C$451,$C198,'TL09'!$J$238:$J$451),0),
IF('TL10'!$B$3=L$3,SUMIF('TL10'!$C$10:$C$224,$C198,'TL10'!$J$10:$J$224),0),
IF('TL10'!$B$229=L$3,SUMIF('TL10'!$C$238:$C$451,$C198,'TL10'!$J$238:$J$451),0),
IF('TL11'!$B$3=L$3,SUMIF('TL11'!$C$10:$C$224,$C198,'TL11'!$J$10:$J$224),0),
IF('TL11'!$B$229=L$3,SUMIF('TL11'!$C$238:$C$451,$C198,'TL11'!$J$238:$J$451),0),
IF('TL12'!$B$3=L$3,SUMIF('TL12'!$C$10:$C$224,$C198,'TL12'!$J$10:$J$224),0),
IF('TL12'!$B$229=L$3,SUMIF('TL12'!$C$238:$C$451,$C198,'TL12'!$J$238:$J$451),0),
IF('TL13'!$B$3=L$3,SUMIF('TL13'!$C$10:$C$224,$C198,'TL13'!$J$10:$J$224),0),
IF('TL13'!$B$229=L$3,SUMIF('TL13'!$C$238:$C$451,$C198,'TL13'!$J$238:$J$451),0),
IF('TL14'!$B$3=L$3,SUMIF('TL14'!$C$10:$C$224,$C198,'TL14'!$J$10:$J$224),0),
IF('TL14'!$B$229=L$3,SUMIF('TL14'!$C$238:$C$451,$C198,'TL14'!$J$238:$J$451),0),
IF('TL15'!$B$3=L$3,SUMIF('TL15'!$C$10:$C$224,$C198,'TL15'!$J$10:$J$224),0),
IF('TL15'!$B$229=L$3,SUMIF('TL15'!$C$238:$C$451,$C198,'TL15'!$J$238:$J$451),0),
IF('TL16'!$B$3=L$3,SUMIF('TL16'!$C$10:$C$224,$C198,'TL16'!$J$10:$J$224),0),
IF('TL16'!$B$229=L$3,SUMIF('TL16'!$C$238:$C$451,$C198,'TL16'!$J$238:$J$451),0),
IF('TL17'!$B$3=L$3,SUMIF('TL17'!$C$10:$C$224,$C198,'TL17'!$J$10:$J$224),0),
IF('TL17'!$B$229=L$3,SUMIF('TL17'!$C$238:$C$451,$C198,'TL17'!$J$238:$J$451),0),
IF('TL18'!$B$3=L$3,SUMIF('TL18'!$C$10:$C$224,$C198,'TL18'!$J$10:$J$224),0),
IF('TL18'!$B$229=L$3,SUMIF('TL18'!$C$238:$C$451,$C198,'TL18'!$J$238:$J$451),0),
IF('TL19'!$B$3=L$3,SUMIF('TL19'!$C$10:$C$224,$C198,'TL19'!$J$10:$J$224),0),
IF('TL19'!$B$229=L$3,SUMIF('TL19'!$C$238:$C$451,$C198,'TL19'!$J$238:$J$451),0)
),0)</f>
        <v>0</v>
      </c>
      <c r="M198" s="9">
        <f>IFERROR(SUM(
IF('TL01'!$B$3=M$3,SUMIF('TL01'!$C$10:$C$224,$C198,'TL01'!$J$10:$J$224),0),
IF('TL01'!$B$229=M$3,SUMIF('TL01'!$C$238:$C$451,$C198,'TL01'!$J$238:$J$451),0),
IF('TL02'!$B$3=M$3,SUMIF('TL02'!$C$10:$C$224,$C198,'TL02'!$J$10:$J$224),0),
IF('TL02'!$B$229=M$3,SUMIF('TL02'!$C$238:$C$451,$C198,'TL02'!$J$238:$J$451),0),
IF('TL03'!$B$3=M$3,SUMIF('TL03'!$C$10:$C$224,$C198,'TL03'!$J$10:$J$224),0),
IF('TL03'!$B$229=M$3,SUMIF('TL03'!$C$238:$C$451,$C198,'TL03'!$J$238:$J$451),0),
IF('TL04'!$B$3=M$3,SUMIF('TL04'!$C$10:$C$224,$C198,'TL04'!$J$10:$J$224),0),
IF('TL04'!$B$229=M$3,SUMIF('TL04'!$C$238:$C$451,$C198,'TL04'!$J$238:$J$451),0),
IF('TL05'!$B$3=M$3,SUMIF('TL05'!$C$10:$C$224,$C198,'TL05'!$J$10:$J$224),0),
IF('TL05'!$B$229=M$3,SUMIF('TL05'!$C$238:$C$451,$C198,'TL05'!$J$238:$J$451),0),
IF('TL06'!$B$3=M$3,SUMIF('TL06'!$C$10:$C$224,$C198,'TL06'!$J$10:$J$224),0),
IF('TL06'!$B$229=M$3,SUMIF('TL06'!$C$238:$C$451,$C198,'TL06'!$J$238:$J$451),0),
IF('TL07'!$B$3=M$3,SUMIF('TL07'!$C$10:$C$224,$C198,'TL07'!$J$10:$J$224),0),
IF('TL07'!$B$229=M$3,SUMIF('TL07'!$C$238:$C$451,$C198,'TL07'!$J$238:$J$451),0),
IF('TL08'!$B$3=M$3,SUMIF('TL08'!$C$10:$C$224,$C198,'TL08'!$J$10:$J$224),0),
IF('TL08'!$B$229=M$3,SUMIF('TL08'!$C$238:$C$451,$C198,'TL08'!$J$238:$J$451),0),
IF('TL09'!$B$3=M$3,SUMIF('TL09'!$C$10:$C$224,$C198,'TL09'!$J$10:$J$224),0),
IF('TL09'!$B$229=M$3,SUMIF('TL09'!$C$238:$C$451,$C198,'TL09'!$J$238:$J$451),0),
IF('TL10'!$B$3=M$3,SUMIF('TL10'!$C$10:$C$224,$C198,'TL10'!$J$10:$J$224),0),
IF('TL10'!$B$229=M$3,SUMIF('TL10'!$C$238:$C$451,$C198,'TL10'!$J$238:$J$451),0),
IF('TL11'!$B$3=M$3,SUMIF('TL11'!$C$10:$C$224,$C198,'TL11'!$J$10:$J$224),0),
IF('TL11'!$B$229=M$3,SUMIF('TL11'!$C$238:$C$451,$C198,'TL11'!$J$238:$J$451),0),
IF('TL12'!$B$3=M$3,SUMIF('TL12'!$C$10:$C$224,$C198,'TL12'!$J$10:$J$224),0),
IF('TL12'!$B$229=M$3,SUMIF('TL12'!$C$238:$C$451,$C198,'TL12'!$J$238:$J$451),0),
IF('TL13'!$B$3=M$3,SUMIF('TL13'!$C$10:$C$224,$C198,'TL13'!$J$10:$J$224),0),
IF('TL13'!$B$229=M$3,SUMIF('TL13'!$C$238:$C$451,$C198,'TL13'!$J$238:$J$451),0),
IF('TL14'!$B$3=M$3,SUMIF('TL14'!$C$10:$C$224,$C198,'TL14'!$J$10:$J$224),0),
IF('TL14'!$B$229=M$3,SUMIF('TL14'!$C$238:$C$451,$C198,'TL14'!$J$238:$J$451),0),
IF('TL15'!$B$3=M$3,SUMIF('TL15'!$C$10:$C$224,$C198,'TL15'!$J$10:$J$224),0),
IF('TL15'!$B$229=M$3,SUMIF('TL15'!$C$238:$C$451,$C198,'TL15'!$J$238:$J$451),0),
IF('TL16'!$B$3=M$3,SUMIF('TL16'!$C$10:$C$224,$C198,'TL16'!$J$10:$J$224),0),
IF('TL16'!$B$229=M$3,SUMIF('TL16'!$C$238:$C$451,$C198,'TL16'!$J$238:$J$451),0),
IF('TL17'!$B$3=M$3,SUMIF('TL17'!$C$10:$C$224,$C198,'TL17'!$J$10:$J$224),0),
IF('TL17'!$B$229=M$3,SUMIF('TL17'!$C$238:$C$451,$C198,'TL17'!$J$238:$J$451),0),
IF('TL18'!$B$3=M$3,SUMIF('TL18'!$C$10:$C$224,$C198,'TL18'!$J$10:$J$224),0),
IF('TL18'!$B$229=M$3,SUMIF('TL18'!$C$238:$C$451,$C198,'TL18'!$J$238:$J$451),0),
IF('TL19'!$B$3=M$3,SUMIF('TL19'!$C$10:$C$224,$C198,'TL19'!$J$10:$J$224),0),
IF('TL19'!$B$229=M$3,SUMIF('TL19'!$C$238:$C$451,$C198,'TL19'!$J$238:$J$451),0)
),0)</f>
        <v>0</v>
      </c>
      <c r="N198" s="9">
        <f>IFERROR(SUM(
IF('TL01'!$B$3=N$3,SUMIF('TL01'!$C$10:$C$224,$C198,'TL01'!$J$10:$J$224),0),
IF('TL01'!$B$229=N$3,SUMIF('TL01'!$C$238:$C$451,$C198,'TL01'!$J$238:$J$451),0),
IF('TL02'!$B$3=N$3,SUMIF('TL02'!$C$10:$C$224,$C198,'TL02'!$J$10:$J$224),0),
IF('TL02'!$B$229=N$3,SUMIF('TL02'!$C$238:$C$451,$C198,'TL02'!$J$238:$J$451),0),
IF('TL03'!$B$3=N$3,SUMIF('TL03'!$C$10:$C$224,$C198,'TL03'!$J$10:$J$224),0),
IF('TL03'!$B$229=N$3,SUMIF('TL03'!$C$238:$C$451,$C198,'TL03'!$J$238:$J$451),0),
IF('TL04'!$B$3=N$3,SUMIF('TL04'!$C$10:$C$224,$C198,'TL04'!$J$10:$J$224),0),
IF('TL04'!$B$229=N$3,SUMIF('TL04'!$C$238:$C$451,$C198,'TL04'!$J$238:$J$451),0),
IF('TL05'!$B$3=N$3,SUMIF('TL05'!$C$10:$C$224,$C198,'TL05'!$J$10:$J$224),0),
IF('TL05'!$B$229=N$3,SUMIF('TL05'!$C$238:$C$451,$C198,'TL05'!$J$238:$J$451),0),
IF('TL06'!$B$3=N$3,SUMIF('TL06'!$C$10:$C$224,$C198,'TL06'!$J$10:$J$224),0),
IF('TL06'!$B$229=N$3,SUMIF('TL06'!$C$238:$C$451,$C198,'TL06'!$J$238:$J$451),0),
IF('TL07'!$B$3=N$3,SUMIF('TL07'!$C$10:$C$224,$C198,'TL07'!$J$10:$J$224),0),
IF('TL07'!$B$229=N$3,SUMIF('TL07'!$C$238:$C$451,$C198,'TL07'!$J$238:$J$451),0),
IF('TL08'!$B$3=N$3,SUMIF('TL08'!$C$10:$C$224,$C198,'TL08'!$J$10:$J$224),0),
IF('TL08'!$B$229=N$3,SUMIF('TL08'!$C$238:$C$451,$C198,'TL08'!$J$238:$J$451),0),
IF('TL09'!$B$3=N$3,SUMIF('TL09'!$C$10:$C$224,$C198,'TL09'!$J$10:$J$224),0),
IF('TL09'!$B$229=N$3,SUMIF('TL09'!$C$238:$C$451,$C198,'TL09'!$J$238:$J$451),0),
IF('TL10'!$B$3=N$3,SUMIF('TL10'!$C$10:$C$224,$C198,'TL10'!$J$10:$J$224),0),
IF('TL10'!$B$229=N$3,SUMIF('TL10'!$C$238:$C$451,$C198,'TL10'!$J$238:$J$451),0),
IF('TL11'!$B$3=N$3,SUMIF('TL11'!$C$10:$C$224,$C198,'TL11'!$J$10:$J$224),0),
IF('TL11'!$B$229=N$3,SUMIF('TL11'!$C$238:$C$451,$C198,'TL11'!$J$238:$J$451),0),
IF('TL12'!$B$3=N$3,SUMIF('TL12'!$C$10:$C$224,$C198,'TL12'!$J$10:$J$224),0),
IF('TL12'!$B$229=N$3,SUMIF('TL12'!$C$238:$C$451,$C198,'TL12'!$J$238:$J$451),0),
IF('TL13'!$B$3=N$3,SUMIF('TL13'!$C$10:$C$224,$C198,'TL13'!$J$10:$J$224),0),
IF('TL13'!$B$229=N$3,SUMIF('TL13'!$C$238:$C$451,$C198,'TL13'!$J$238:$J$451),0),
IF('TL14'!$B$3=N$3,SUMIF('TL14'!$C$10:$C$224,$C198,'TL14'!$J$10:$J$224),0),
IF('TL14'!$B$229=N$3,SUMIF('TL14'!$C$238:$C$451,$C198,'TL14'!$J$238:$J$451),0),
IF('TL15'!$B$3=N$3,SUMIF('TL15'!$C$10:$C$224,$C198,'TL15'!$J$10:$J$224),0),
IF('TL15'!$B$229=N$3,SUMIF('TL15'!$C$238:$C$451,$C198,'TL15'!$J$238:$J$451),0),
IF('TL16'!$B$3=N$3,SUMIF('TL16'!$C$10:$C$224,$C198,'TL16'!$J$10:$J$224),0),
IF('TL16'!$B$229=N$3,SUMIF('TL16'!$C$238:$C$451,$C198,'TL16'!$J$238:$J$451),0),
IF('TL17'!$B$3=N$3,SUMIF('TL17'!$C$10:$C$224,$C198,'TL17'!$J$10:$J$224),0),
IF('TL17'!$B$229=N$3,SUMIF('TL17'!$C$238:$C$451,$C198,'TL17'!$J$238:$J$451),0),
IF('TL18'!$B$3=N$3,SUMIF('TL18'!$C$10:$C$224,$C198,'TL18'!$J$10:$J$224),0),
IF('TL18'!$B$229=N$3,SUMIF('TL18'!$C$238:$C$451,$C198,'TL18'!$J$238:$J$451),0),
IF('TL19'!$B$3=N$3,SUMIF('TL19'!$C$10:$C$224,$C198,'TL19'!$J$10:$J$224),0),
IF('TL19'!$B$229=N$3,SUMIF('TL19'!$C$238:$C$451,$C198,'TL19'!$J$238:$J$451),0)
),0)</f>
        <v>0</v>
      </c>
      <c r="O198" s="9">
        <f>IFERROR(SUM(
IF('TL01'!$B$3=O$3,SUMIF('TL01'!$C$10:$C$224,$C198,'TL01'!$J$10:$J$224),0),
IF('TL01'!$B$229=O$3,SUMIF('TL01'!$C$238:$C$451,$C198,'TL01'!$J$238:$J$451),0),
IF('TL02'!$B$3=O$3,SUMIF('TL02'!$C$10:$C$224,$C198,'TL02'!$J$10:$J$224),0),
IF('TL02'!$B$229=O$3,SUMIF('TL02'!$C$238:$C$451,$C198,'TL02'!$J$238:$J$451),0),
IF('TL03'!$B$3=O$3,SUMIF('TL03'!$C$10:$C$224,$C198,'TL03'!$J$10:$J$224),0),
IF('TL03'!$B$229=O$3,SUMIF('TL03'!$C$238:$C$451,$C198,'TL03'!$J$238:$J$451),0),
IF('TL04'!$B$3=O$3,SUMIF('TL04'!$C$10:$C$224,$C198,'TL04'!$J$10:$J$224),0),
IF('TL04'!$B$229=O$3,SUMIF('TL04'!$C$238:$C$451,$C198,'TL04'!$J$238:$J$451),0),
IF('TL05'!$B$3=O$3,SUMIF('TL05'!$C$10:$C$224,$C198,'TL05'!$J$10:$J$224),0),
IF('TL05'!$B$229=O$3,SUMIF('TL05'!$C$238:$C$451,$C198,'TL05'!$J$238:$J$451),0),
IF('TL06'!$B$3=O$3,SUMIF('TL06'!$C$10:$C$224,$C198,'TL06'!$J$10:$J$224),0),
IF('TL06'!$B$229=O$3,SUMIF('TL06'!$C$238:$C$451,$C198,'TL06'!$J$238:$J$451),0),
IF('TL07'!$B$3=O$3,SUMIF('TL07'!$C$10:$C$224,$C198,'TL07'!$J$10:$J$224),0),
IF('TL07'!$B$229=O$3,SUMIF('TL07'!$C$238:$C$451,$C198,'TL07'!$J$238:$J$451),0),
IF('TL08'!$B$3=O$3,SUMIF('TL08'!$C$10:$C$224,$C198,'TL08'!$J$10:$J$224),0),
IF('TL08'!$B$229=O$3,SUMIF('TL08'!$C$238:$C$451,$C198,'TL08'!$J$238:$J$451),0),
IF('TL09'!$B$3=O$3,SUMIF('TL09'!$C$10:$C$224,$C198,'TL09'!$J$10:$J$224),0),
IF('TL09'!$B$229=O$3,SUMIF('TL09'!$C$238:$C$451,$C198,'TL09'!$J$238:$J$451),0),
IF('TL10'!$B$3=O$3,SUMIF('TL10'!$C$10:$C$224,$C198,'TL10'!$J$10:$J$224),0),
IF('TL10'!$B$229=O$3,SUMIF('TL10'!$C$238:$C$451,$C198,'TL10'!$J$238:$J$451),0),
IF('TL11'!$B$3=O$3,SUMIF('TL11'!$C$10:$C$224,$C198,'TL11'!$J$10:$J$224),0),
IF('TL11'!$B$229=O$3,SUMIF('TL11'!$C$238:$C$451,$C198,'TL11'!$J$238:$J$451),0),
IF('TL12'!$B$3=O$3,SUMIF('TL12'!$C$10:$C$224,$C198,'TL12'!$J$10:$J$224),0),
IF('TL12'!$B$229=O$3,SUMIF('TL12'!$C$238:$C$451,$C198,'TL12'!$J$238:$J$451),0),
IF('TL13'!$B$3=O$3,SUMIF('TL13'!$C$10:$C$224,$C198,'TL13'!$J$10:$J$224),0),
IF('TL13'!$B$229=O$3,SUMIF('TL13'!$C$238:$C$451,$C198,'TL13'!$J$238:$J$451),0),
IF('TL14'!$B$3=O$3,SUMIF('TL14'!$C$10:$C$224,$C198,'TL14'!$J$10:$J$224),0),
IF('TL14'!$B$229=O$3,SUMIF('TL14'!$C$238:$C$451,$C198,'TL14'!$J$238:$J$451),0),
IF('TL15'!$B$3=O$3,SUMIF('TL15'!$C$10:$C$224,$C198,'TL15'!$J$10:$J$224),0),
IF('TL15'!$B$229=O$3,SUMIF('TL15'!$C$238:$C$451,$C198,'TL15'!$J$238:$J$451),0),
IF('TL16'!$B$3=O$3,SUMIF('TL16'!$C$10:$C$224,$C198,'TL16'!$J$10:$J$224),0),
IF('TL16'!$B$229=O$3,SUMIF('TL16'!$C$238:$C$451,$C198,'TL16'!$J$238:$J$451),0),
IF('TL17'!$B$3=O$3,SUMIF('TL17'!$C$10:$C$224,$C198,'TL17'!$J$10:$J$224),0),
IF('TL17'!$B$229=O$3,SUMIF('TL17'!$C$238:$C$451,$C198,'TL17'!$J$238:$J$451),0),
IF('TL18'!$B$3=O$3,SUMIF('TL18'!$C$10:$C$224,$C198,'TL18'!$J$10:$J$224),0),
IF('TL18'!$B$229=O$3,SUMIF('TL18'!$C$238:$C$451,$C198,'TL18'!$J$238:$J$451),0),
IF('TL19'!$B$3=O$3,SUMIF('TL19'!$C$10:$C$224,$C198,'TL19'!$J$10:$J$224),0),
IF('TL19'!$B$229=O$3,SUMIF('TL19'!$C$238:$C$451,$C198,'TL19'!$J$238:$J$451),0)
),0)</f>
        <v>0</v>
      </c>
      <c r="P198" s="9">
        <f>IFERROR(SUM(
IF('TL01'!$B$3=P$3,SUMIF('TL01'!$C$10:$C$224,$C198,'TL01'!$J$10:$J$224),0),
IF('TL01'!$B$229=P$3,SUMIF('TL01'!$C$238:$C$451,$C198,'TL01'!$J$238:$J$451),0),
IF('TL02'!$B$3=P$3,SUMIF('TL02'!$C$10:$C$224,$C198,'TL02'!$J$10:$J$224),0),
IF('TL02'!$B$229=P$3,SUMIF('TL02'!$C$238:$C$451,$C198,'TL02'!$J$238:$J$451),0),
IF('TL03'!$B$3=P$3,SUMIF('TL03'!$C$10:$C$224,$C198,'TL03'!$J$10:$J$224),0),
IF('TL03'!$B$229=P$3,SUMIF('TL03'!$C$238:$C$451,$C198,'TL03'!$J$238:$J$451),0),
IF('TL04'!$B$3=P$3,SUMIF('TL04'!$C$10:$C$224,$C198,'TL04'!$J$10:$J$224),0),
IF('TL04'!$B$229=P$3,SUMIF('TL04'!$C$238:$C$451,$C198,'TL04'!$J$238:$J$451),0),
IF('TL05'!$B$3=P$3,SUMIF('TL05'!$C$10:$C$224,$C198,'TL05'!$J$10:$J$224),0),
IF('TL05'!$B$229=P$3,SUMIF('TL05'!$C$238:$C$451,$C198,'TL05'!$J$238:$J$451),0),
IF('TL06'!$B$3=P$3,SUMIF('TL06'!$C$10:$C$224,$C198,'TL06'!$J$10:$J$224),0),
IF('TL06'!$B$229=P$3,SUMIF('TL06'!$C$238:$C$451,$C198,'TL06'!$J$238:$J$451),0),
IF('TL07'!$B$3=P$3,SUMIF('TL07'!$C$10:$C$224,$C198,'TL07'!$J$10:$J$224),0),
IF('TL07'!$B$229=P$3,SUMIF('TL07'!$C$238:$C$451,$C198,'TL07'!$J$238:$J$451),0),
IF('TL08'!$B$3=P$3,SUMIF('TL08'!$C$10:$C$224,$C198,'TL08'!$J$10:$J$224),0),
IF('TL08'!$B$229=P$3,SUMIF('TL08'!$C$238:$C$451,$C198,'TL08'!$J$238:$J$451),0),
IF('TL09'!$B$3=P$3,SUMIF('TL09'!$C$10:$C$224,$C198,'TL09'!$J$10:$J$224),0),
IF('TL09'!$B$229=P$3,SUMIF('TL09'!$C$238:$C$451,$C198,'TL09'!$J$238:$J$451),0),
IF('TL10'!$B$3=P$3,SUMIF('TL10'!$C$10:$C$224,$C198,'TL10'!$J$10:$J$224),0),
IF('TL10'!$B$229=P$3,SUMIF('TL10'!$C$238:$C$451,$C198,'TL10'!$J$238:$J$451),0),
IF('TL11'!$B$3=P$3,SUMIF('TL11'!$C$10:$C$224,$C198,'TL11'!$J$10:$J$224),0),
IF('TL11'!$B$229=P$3,SUMIF('TL11'!$C$238:$C$451,$C198,'TL11'!$J$238:$J$451),0),
IF('TL12'!$B$3=P$3,SUMIF('TL12'!$C$10:$C$224,$C198,'TL12'!$J$10:$J$224),0),
IF('TL12'!$B$229=P$3,SUMIF('TL12'!$C$238:$C$451,$C198,'TL12'!$J$238:$J$451),0),
IF('TL13'!$B$3=P$3,SUMIF('TL13'!$C$10:$C$224,$C198,'TL13'!$J$10:$J$224),0),
IF('TL13'!$B$229=P$3,SUMIF('TL13'!$C$238:$C$451,$C198,'TL13'!$J$238:$J$451),0),
IF('TL14'!$B$3=P$3,SUMIF('TL14'!$C$10:$C$224,$C198,'TL14'!$J$10:$J$224),0),
IF('TL14'!$B$229=P$3,SUMIF('TL14'!$C$238:$C$451,$C198,'TL14'!$J$238:$J$451),0),
IF('TL15'!$B$3=P$3,SUMIF('TL15'!$C$10:$C$224,$C198,'TL15'!$J$10:$J$224),0),
IF('TL15'!$B$229=P$3,SUMIF('TL15'!$C$238:$C$451,$C198,'TL15'!$J$238:$J$451),0),
IF('TL16'!$B$3=P$3,SUMIF('TL16'!$C$10:$C$224,$C198,'TL16'!$J$10:$J$224),0),
IF('TL16'!$B$229=P$3,SUMIF('TL16'!$C$238:$C$451,$C198,'TL16'!$J$238:$J$451),0),
IF('TL17'!$B$3=P$3,SUMIF('TL17'!$C$10:$C$224,$C198,'TL17'!$J$10:$J$224),0),
IF('TL17'!$B$229=P$3,SUMIF('TL17'!$C$238:$C$451,$C198,'TL17'!$J$238:$J$451),0),
IF('TL18'!$B$3=P$3,SUMIF('TL18'!$C$10:$C$224,$C198,'TL18'!$J$10:$J$224),0),
IF('TL18'!$B$229=P$3,SUMIF('TL18'!$C$238:$C$451,$C198,'TL18'!$J$238:$J$451),0),
IF('TL19'!$B$3=P$3,SUMIF('TL19'!$C$10:$C$224,$C198,'TL19'!$J$10:$J$224),0),
IF('TL19'!$B$229=P$3,SUMIF('TL19'!$C$238:$C$451,$C198,'TL19'!$J$238:$J$451),0)
),0)</f>
        <v>0</v>
      </c>
      <c r="Q198" s="9">
        <f>IFERROR(SUM(
IF('TL01'!$B$3=Q$3,SUMIF('TL01'!$C$10:$C$224,$C198,'TL01'!$J$10:$J$224),0),
IF('TL01'!$B$229=Q$3,SUMIF('TL01'!$C$238:$C$451,$C198,'TL01'!$J$238:$J$451),0),
IF('TL02'!$B$3=Q$3,SUMIF('TL02'!$C$10:$C$224,$C198,'TL02'!$J$10:$J$224),0),
IF('TL02'!$B$229=Q$3,SUMIF('TL02'!$C$238:$C$451,$C198,'TL02'!$J$238:$J$451),0),
IF('TL03'!$B$3=Q$3,SUMIF('TL03'!$C$10:$C$224,$C198,'TL03'!$J$10:$J$224),0),
IF('TL03'!$B$229=Q$3,SUMIF('TL03'!$C$238:$C$451,$C198,'TL03'!$J$238:$J$451),0),
IF('TL04'!$B$3=Q$3,SUMIF('TL04'!$C$10:$C$224,$C198,'TL04'!$J$10:$J$224),0),
IF('TL04'!$B$229=Q$3,SUMIF('TL04'!$C$238:$C$451,$C198,'TL04'!$J$238:$J$451),0),
IF('TL05'!$B$3=Q$3,SUMIF('TL05'!$C$10:$C$224,$C198,'TL05'!$J$10:$J$224),0),
IF('TL05'!$B$229=Q$3,SUMIF('TL05'!$C$238:$C$451,$C198,'TL05'!$J$238:$J$451),0),
IF('TL06'!$B$3=Q$3,SUMIF('TL06'!$C$10:$C$224,$C198,'TL06'!$J$10:$J$224),0),
IF('TL06'!$B$229=Q$3,SUMIF('TL06'!$C$238:$C$451,$C198,'TL06'!$J$238:$J$451),0),
IF('TL07'!$B$3=Q$3,SUMIF('TL07'!$C$10:$C$224,$C198,'TL07'!$J$10:$J$224),0),
IF('TL07'!$B$229=Q$3,SUMIF('TL07'!$C$238:$C$451,$C198,'TL07'!$J$238:$J$451),0),
IF('TL08'!$B$3=Q$3,SUMIF('TL08'!$C$10:$C$224,$C198,'TL08'!$J$10:$J$224),0),
IF('TL08'!$B$229=Q$3,SUMIF('TL08'!$C$238:$C$451,$C198,'TL08'!$J$238:$J$451),0),
IF('TL09'!$B$3=Q$3,SUMIF('TL09'!$C$10:$C$224,$C198,'TL09'!$J$10:$J$224),0),
IF('TL09'!$B$229=Q$3,SUMIF('TL09'!$C$238:$C$451,$C198,'TL09'!$J$238:$J$451),0),
IF('TL10'!$B$3=Q$3,SUMIF('TL10'!$C$10:$C$224,$C198,'TL10'!$J$10:$J$224),0),
IF('TL10'!$B$229=Q$3,SUMIF('TL10'!$C$238:$C$451,$C198,'TL10'!$J$238:$J$451),0),
IF('TL11'!$B$3=Q$3,SUMIF('TL11'!$C$10:$C$224,$C198,'TL11'!$J$10:$J$224),0),
IF('TL11'!$B$229=Q$3,SUMIF('TL11'!$C$238:$C$451,$C198,'TL11'!$J$238:$J$451),0),
IF('TL12'!$B$3=Q$3,SUMIF('TL12'!$C$10:$C$224,$C198,'TL12'!$J$10:$J$224),0),
IF('TL12'!$B$229=Q$3,SUMIF('TL12'!$C$238:$C$451,$C198,'TL12'!$J$238:$J$451),0),
IF('TL13'!$B$3=Q$3,SUMIF('TL13'!$C$10:$C$224,$C198,'TL13'!$J$10:$J$224),0),
IF('TL13'!$B$229=Q$3,SUMIF('TL13'!$C$238:$C$451,$C198,'TL13'!$J$238:$J$451),0),
IF('TL14'!$B$3=Q$3,SUMIF('TL14'!$C$10:$C$224,$C198,'TL14'!$J$10:$J$224),0),
IF('TL14'!$B$229=Q$3,SUMIF('TL14'!$C$238:$C$451,$C198,'TL14'!$J$238:$J$451),0),
IF('TL15'!$B$3=Q$3,SUMIF('TL15'!$C$10:$C$224,$C198,'TL15'!$J$10:$J$224),0),
IF('TL15'!$B$229=Q$3,SUMIF('TL15'!$C$238:$C$451,$C198,'TL15'!$J$238:$J$451),0),
IF('TL16'!$B$3=Q$3,SUMIF('TL16'!$C$10:$C$224,$C198,'TL16'!$J$10:$J$224),0),
IF('TL16'!$B$229=Q$3,SUMIF('TL16'!$C$238:$C$451,$C198,'TL16'!$J$238:$J$451),0),
IF('TL17'!$B$3=Q$3,SUMIF('TL17'!$C$10:$C$224,$C198,'TL17'!$J$10:$J$224),0),
IF('TL17'!$B$229=Q$3,SUMIF('TL17'!$C$238:$C$451,$C198,'TL17'!$J$238:$J$451),0),
IF('TL18'!$B$3=Q$3,SUMIF('TL18'!$C$10:$C$224,$C198,'TL18'!$J$10:$J$224),0),
IF('TL18'!$B$229=Q$3,SUMIF('TL18'!$C$238:$C$451,$C198,'TL18'!$J$238:$J$451),0),
IF('TL19'!$B$3=Q$3,SUMIF('TL19'!$C$10:$C$224,$C198,'TL19'!$J$10:$J$224),0),
IF('TL19'!$B$229=Q$3,SUMIF('TL19'!$C$238:$C$451,$C198,'TL19'!$J$238:$J$451),0)
),0)</f>
        <v>0</v>
      </c>
      <c r="R198" s="9">
        <f>IFERROR(
SUM(
SUMIF('TL01'!C:C,C198,'TL01'!J:J),
SUMIF('TL02'!C:C,C198,'TL02'!J:J),
SUMIF('TL03'!C:C,C198,'TL03'!J:J),
SUMIF('TL04'!C:C,C198,'TL04'!J:J),
SUMIF('TL05'!C:C,C198,'TL05'!J:J),
SUMIF('TL06'!C:C,C198,'TL06'!J:J),
SUMIF('TL07'!C:C,C198,'TL07'!J:J),
SUMIF('TL08'!C:C,C198,'TL08'!J:J),
SUMIF('TL09'!C:C,C198,'TL09'!J:J),
SUMIF('TL10'!C:C,C198,'TL10'!J:J),
SUMIF('TL11'!C:C,C198,'TL11'!J:J),
SUMIF('TL12'!C:C,C198,'TL12'!J:J),
SUMIF('TL13'!C:C,C198,'TL13'!J:J),
SUMIF('TL14'!C:C,C198,'TL14'!J:J),
SUMIF('TL15'!C:C,C198,'TL15'!J:J),
SUMIF('TL16'!C:C,C198,'TL16'!J:J),
SUMIF('TL17'!C:C,C198,'TL17'!J:J),
SUMIF('TL18'!C:C,C198,'TL18'!J:J),SUMIF('TL19'!C:C,C198,'TL19'!J:J))
,0)</f>
        <v>0</v>
      </c>
      <c r="S198" s="17">
        <f>IFERROR(__xludf.DUMMYFUNCTION("IFERROR(VLOOKUP(C198,
IMPORTRANGE(""1wULbzX32WdYsx-lj2U3uUNBBe2INVIRDtcK0d-Dvl90"",
""26-27!C:G""),
5,
FALSE),
"""")"),43.08471)</f>
        <v>43.08471</v>
      </c>
      <c r="T198" s="9"/>
      <c r="U198" s="92">
        <f t="shared" si="2"/>
        <v>0</v>
      </c>
      <c r="V198" s="93">
        <f t="shared" si="3"/>
        <v>0</v>
      </c>
    </row>
    <row r="199" ht="15.75" hidden="1" customHeight="1">
      <c r="A199" s="94" t="s">
        <v>504</v>
      </c>
      <c r="B199" s="95" t="s">
        <v>2</v>
      </c>
      <c r="C199" s="96" t="s">
        <v>811</v>
      </c>
      <c r="D199" s="96" t="s">
        <v>812</v>
      </c>
      <c r="E199" s="96">
        <v>200.0</v>
      </c>
      <c r="F199" s="4"/>
      <c r="G199" s="90" t="str">
        <f t="shared" si="4"/>
        <v>📄 Ver bula</v>
      </c>
      <c r="H199" s="9">
        <f>IFERROR(__xludf.DUMMYFUNCTION("IFERROR(VLOOKUP(C199,
IMPORTRANGE(""1wULbzX32WdYsx-lj2U3uUNBBe2INVIRDtcK0d-Dvl90"",
""26-27!C:K""),
8,
FALSE),
"""")"),0.125)</f>
        <v>0.125</v>
      </c>
      <c r="I199" s="97" t="s">
        <v>361</v>
      </c>
      <c r="J199" s="9">
        <f>IFERROR(SUM(
IF('TL01'!$B$3=J$3,SUMIF('TL01'!$C$10:$C$224,$C199,'TL01'!$J$10:$J$224),0),
IF('TL01'!$B$229=J$3,SUMIF('TL01'!$C$238:$C$451,$C199,'TL01'!$J$238:$J$451),0),
IF('TL02'!$B$3=J$3,SUMIF('TL02'!$C$10:$C$224,$C199,'TL02'!$J$10:$J$224),0),
IF('TL02'!$B$229=J$3,SUMIF('TL02'!$C$238:$C$451,$C199,'TL02'!$J$238:$J$451),0),
IF('TL03'!$B$3=J$3,SUMIF('TL03'!$C$10:$C$224,$C199,'TL03'!$J$10:$J$224),0),
IF('TL03'!$B$229=J$3,SUMIF('TL03'!$C$238:$C$451,$C199,'TL03'!$J$238:$J$451),0),
IF('TL04'!$B$3=J$3,SUMIF('TL04'!$C$10:$C$224,$C199,'TL04'!$J$10:$J$224),0),
IF('TL04'!$B$229=J$3,SUMIF('TL04'!$C$238:$C$451,$C199,'TL04'!$J$238:$J$451),0),
IF('TL05'!$B$3=J$3,SUMIF('TL05'!$C$10:$C$224,$C199,'TL05'!$J$10:$J$224),0),
IF('TL05'!$B$229=J$3,SUMIF('TL05'!$C$238:$C$451,$C199,'TL05'!$J$238:$J$451),0),
IF('TL06'!$B$3=J$3,SUMIF('TL06'!$C$10:$C$224,$C199,'TL06'!$J$10:$J$224),0),
IF('TL06'!$B$229=J$3,SUMIF('TL06'!$C$238:$C$451,$C199,'TL06'!$J$238:$J$451),0),
IF('TL07'!$B$3=J$3,SUMIF('TL07'!$C$10:$C$224,$C199,'TL07'!$J$10:$J$224),0),
IF('TL07'!$B$229=J$3,SUMIF('TL07'!$C$238:$C$451,$C199,'TL07'!$J$238:$J$451),0),
IF('TL08'!$B$3=J$3,SUMIF('TL08'!$C$10:$C$224,$C199,'TL08'!$J$10:$J$224),0),
IF('TL08'!$B$229=J$3,SUMIF('TL08'!$C$238:$C$451,$C199,'TL08'!$J$238:$J$451),0),
IF('TL09'!$B$3=J$3,SUMIF('TL09'!$C$10:$C$224,$C199,'TL09'!$J$10:$J$224),0),
IF('TL09'!$B$229=J$3,SUMIF('TL09'!$C$238:$C$451,$C199,'TL09'!$J$238:$J$451),0),
IF('TL10'!$B$3=J$3,SUMIF('TL10'!$C$10:$C$224,$C199,'TL10'!$J$10:$J$224),0),
IF('TL10'!$B$229=J$3,SUMIF('TL10'!$C$238:$C$451,$C199,'TL10'!$J$238:$J$451),0),
IF('TL11'!$B$3=J$3,SUMIF('TL11'!$C$10:$C$224,$C199,'TL11'!$J$10:$J$224),0),
IF('TL11'!$B$229=J$3,SUMIF('TL11'!$C$238:$C$451,$C199,'TL11'!$J$238:$J$451),0),
IF('TL12'!$B$3=J$3,SUMIF('TL12'!$C$10:$C$224,$C199,'TL12'!$J$10:$J$224),0),
IF('TL12'!$B$229=J$3,SUMIF('TL12'!$C$238:$C$451,$C199,'TL12'!$J$238:$J$451),0),
IF('TL13'!$B$3=J$3,SUMIF('TL13'!$C$10:$C$224,$C199,'TL13'!$J$10:$J$224),0),
IF('TL13'!$B$229=J$3,SUMIF('TL13'!$C$238:$C$451,$C199,'TL13'!$J$238:$J$451),0),
IF('TL14'!$B$3=J$3,SUMIF('TL14'!$C$10:$C$224,$C199,'TL14'!$J$10:$J$224),0),
IF('TL14'!$B$229=J$3,SUMIF('TL14'!$C$238:$C$451,$C199,'TL14'!$J$238:$J$451),0),
IF('TL15'!$B$3=J$3,SUMIF('TL15'!$C$10:$C$224,$C199,'TL15'!$J$10:$J$224),0),
IF('TL15'!$B$229=J$3,SUMIF('TL15'!$C$238:$C$451,$C199,'TL15'!$J$238:$J$451),0),
IF('TL16'!$B$3=J$3,SUMIF('TL16'!$C$10:$C$224,$C199,'TL16'!$J$10:$J$224),0),
IF('TL16'!$B$229=J$3,SUMIF('TL16'!$C$238:$C$451,$C199,'TL16'!$J$238:$J$451),0),
IF('TL17'!$B$3=J$3,SUMIF('TL17'!$C$10:$C$224,$C199,'TL17'!$J$10:$J$224),0),
IF('TL17'!$B$229=J$3,SUMIF('TL17'!$C$238:$C$451,$C199,'TL17'!$J$238:$J$451),0),
IF('TL18'!$B$3=J$3,SUMIF('TL18'!$C$10:$C$224,$C199,'TL18'!$J$10:$J$224),0),
IF('TL18'!$B$229=J$3,SUMIF('TL18'!$C$238:$C$451,$C199,'TL18'!$J$238:$J$451),0),
IF('TL19'!$B$3=J$3,SUMIF('TL19'!$C$10:$C$224,$C199,'TL19'!$J$10:$J$224),0),
IF('TL19'!$B$229=J$3,SUMIF('TL19'!$C$238:$C$451,$C199,'TL19'!$J$238:$J$451),0)
),0)</f>
        <v>0</v>
      </c>
      <c r="K199" s="9">
        <f>IFERROR(SUM(
IF('TL01'!$B$3=K$3,SUMIF('TL01'!$C$10:$C$224,$C199,'TL01'!$J$10:$J$224),0),
IF('TL01'!$B$229=K$3,SUMIF('TL01'!$C$238:$C$451,$C199,'TL01'!$J$238:$J$451),0),
IF('TL02'!$B$3=K$3,SUMIF('TL02'!$C$10:$C$224,$C199,'TL02'!$J$10:$J$224),0),
IF('TL02'!$B$229=K$3,SUMIF('TL02'!$C$238:$C$451,$C199,'TL02'!$J$238:$J$451),0),
IF('TL03'!$B$3=K$3,SUMIF('TL03'!$C$10:$C$224,$C199,'TL03'!$J$10:$J$224),0),
IF('TL03'!$B$229=K$3,SUMIF('TL03'!$C$238:$C$451,$C199,'TL03'!$J$238:$J$451),0),
IF('TL04'!$B$3=K$3,SUMIF('TL04'!$C$10:$C$224,$C199,'TL04'!$J$10:$J$224),0),
IF('TL04'!$B$229=K$3,SUMIF('TL04'!$C$238:$C$451,$C199,'TL04'!$J$238:$J$451),0),
IF('TL05'!$B$3=K$3,SUMIF('TL05'!$C$10:$C$224,$C199,'TL05'!$J$10:$J$224),0),
IF('TL05'!$B$229=K$3,SUMIF('TL05'!$C$238:$C$451,$C199,'TL05'!$J$238:$J$451),0),
IF('TL06'!$B$3=K$3,SUMIF('TL06'!$C$10:$C$224,$C199,'TL06'!$J$10:$J$224),0),
IF('TL06'!$B$229=K$3,SUMIF('TL06'!$C$238:$C$451,$C199,'TL06'!$J$238:$J$451),0),
IF('TL07'!$B$3=K$3,SUMIF('TL07'!$C$10:$C$224,$C199,'TL07'!$J$10:$J$224),0),
IF('TL07'!$B$229=K$3,SUMIF('TL07'!$C$238:$C$451,$C199,'TL07'!$J$238:$J$451),0),
IF('TL08'!$B$3=K$3,SUMIF('TL08'!$C$10:$C$224,$C199,'TL08'!$J$10:$J$224),0),
IF('TL08'!$B$229=K$3,SUMIF('TL08'!$C$238:$C$451,$C199,'TL08'!$J$238:$J$451),0),
IF('TL09'!$B$3=K$3,SUMIF('TL09'!$C$10:$C$224,$C199,'TL09'!$J$10:$J$224),0),
IF('TL09'!$B$229=K$3,SUMIF('TL09'!$C$238:$C$451,$C199,'TL09'!$J$238:$J$451),0),
IF('TL10'!$B$3=K$3,SUMIF('TL10'!$C$10:$C$224,$C199,'TL10'!$J$10:$J$224),0),
IF('TL10'!$B$229=K$3,SUMIF('TL10'!$C$238:$C$451,$C199,'TL10'!$J$238:$J$451),0),
IF('TL11'!$B$3=K$3,SUMIF('TL11'!$C$10:$C$224,$C199,'TL11'!$J$10:$J$224),0),
IF('TL11'!$B$229=K$3,SUMIF('TL11'!$C$238:$C$451,$C199,'TL11'!$J$238:$J$451),0),
IF('TL12'!$B$3=K$3,SUMIF('TL12'!$C$10:$C$224,$C199,'TL12'!$J$10:$J$224),0),
IF('TL12'!$B$229=K$3,SUMIF('TL12'!$C$238:$C$451,$C199,'TL12'!$J$238:$J$451),0),
IF('TL13'!$B$3=K$3,SUMIF('TL13'!$C$10:$C$224,$C199,'TL13'!$J$10:$J$224),0),
IF('TL13'!$B$229=K$3,SUMIF('TL13'!$C$238:$C$451,$C199,'TL13'!$J$238:$J$451),0),
IF('TL14'!$B$3=K$3,SUMIF('TL14'!$C$10:$C$224,$C199,'TL14'!$J$10:$J$224),0),
IF('TL14'!$B$229=K$3,SUMIF('TL14'!$C$238:$C$451,$C199,'TL14'!$J$238:$J$451),0),
IF('TL15'!$B$3=K$3,SUMIF('TL15'!$C$10:$C$224,$C199,'TL15'!$J$10:$J$224),0),
IF('TL15'!$B$229=K$3,SUMIF('TL15'!$C$238:$C$451,$C199,'TL15'!$J$238:$J$451),0),
IF('TL16'!$B$3=K$3,SUMIF('TL16'!$C$10:$C$224,$C199,'TL16'!$J$10:$J$224),0),
IF('TL16'!$B$229=K$3,SUMIF('TL16'!$C$238:$C$451,$C199,'TL16'!$J$238:$J$451),0),
IF('TL17'!$B$3=K$3,SUMIF('TL17'!$C$10:$C$224,$C199,'TL17'!$J$10:$J$224),0),
IF('TL17'!$B$229=K$3,SUMIF('TL17'!$C$238:$C$451,$C199,'TL17'!$J$238:$J$451),0),
IF('TL18'!$B$3=K$3,SUMIF('TL18'!$C$10:$C$224,$C199,'TL18'!$J$10:$J$224),0),
IF('TL18'!$B$229=K$3,SUMIF('TL18'!$C$238:$C$451,$C199,'TL18'!$J$238:$J$451),0),
IF('TL19'!$B$3=K$3,SUMIF('TL19'!$C$10:$C$224,$C199,'TL19'!$J$10:$J$224),0),
IF('TL19'!$B$229=K$3,SUMIF('TL19'!$C$238:$C$451,$C199,'TL19'!$J$238:$J$451),0)
),0)</f>
        <v>0</v>
      </c>
      <c r="L199" s="9">
        <f>IFERROR(SUM(
IF('TL01'!$B$3=L$3,SUMIF('TL01'!$C$10:$C$224,$C199,'TL01'!$J$10:$J$224),0),
IF('TL01'!$B$229=L$3,SUMIF('TL01'!$C$238:$C$451,$C199,'TL01'!$J$238:$J$451),0),
IF('TL02'!$B$3=L$3,SUMIF('TL02'!$C$10:$C$224,$C199,'TL02'!$J$10:$J$224),0),
IF('TL02'!$B$229=L$3,SUMIF('TL02'!$C$238:$C$451,$C199,'TL02'!$J$238:$J$451),0),
IF('TL03'!$B$3=L$3,SUMIF('TL03'!$C$10:$C$224,$C199,'TL03'!$J$10:$J$224),0),
IF('TL03'!$B$229=L$3,SUMIF('TL03'!$C$238:$C$451,$C199,'TL03'!$J$238:$J$451),0),
IF('TL04'!$B$3=L$3,SUMIF('TL04'!$C$10:$C$224,$C199,'TL04'!$J$10:$J$224),0),
IF('TL04'!$B$229=L$3,SUMIF('TL04'!$C$238:$C$451,$C199,'TL04'!$J$238:$J$451),0),
IF('TL05'!$B$3=L$3,SUMIF('TL05'!$C$10:$C$224,$C199,'TL05'!$J$10:$J$224),0),
IF('TL05'!$B$229=L$3,SUMIF('TL05'!$C$238:$C$451,$C199,'TL05'!$J$238:$J$451),0),
IF('TL06'!$B$3=L$3,SUMIF('TL06'!$C$10:$C$224,$C199,'TL06'!$J$10:$J$224),0),
IF('TL06'!$B$229=L$3,SUMIF('TL06'!$C$238:$C$451,$C199,'TL06'!$J$238:$J$451),0),
IF('TL07'!$B$3=L$3,SUMIF('TL07'!$C$10:$C$224,$C199,'TL07'!$J$10:$J$224),0),
IF('TL07'!$B$229=L$3,SUMIF('TL07'!$C$238:$C$451,$C199,'TL07'!$J$238:$J$451),0),
IF('TL08'!$B$3=L$3,SUMIF('TL08'!$C$10:$C$224,$C199,'TL08'!$J$10:$J$224),0),
IF('TL08'!$B$229=L$3,SUMIF('TL08'!$C$238:$C$451,$C199,'TL08'!$J$238:$J$451),0),
IF('TL09'!$B$3=L$3,SUMIF('TL09'!$C$10:$C$224,$C199,'TL09'!$J$10:$J$224),0),
IF('TL09'!$B$229=L$3,SUMIF('TL09'!$C$238:$C$451,$C199,'TL09'!$J$238:$J$451),0),
IF('TL10'!$B$3=L$3,SUMIF('TL10'!$C$10:$C$224,$C199,'TL10'!$J$10:$J$224),0),
IF('TL10'!$B$229=L$3,SUMIF('TL10'!$C$238:$C$451,$C199,'TL10'!$J$238:$J$451),0),
IF('TL11'!$B$3=L$3,SUMIF('TL11'!$C$10:$C$224,$C199,'TL11'!$J$10:$J$224),0),
IF('TL11'!$B$229=L$3,SUMIF('TL11'!$C$238:$C$451,$C199,'TL11'!$J$238:$J$451),0),
IF('TL12'!$B$3=L$3,SUMIF('TL12'!$C$10:$C$224,$C199,'TL12'!$J$10:$J$224),0),
IF('TL12'!$B$229=L$3,SUMIF('TL12'!$C$238:$C$451,$C199,'TL12'!$J$238:$J$451),0),
IF('TL13'!$B$3=L$3,SUMIF('TL13'!$C$10:$C$224,$C199,'TL13'!$J$10:$J$224),0),
IF('TL13'!$B$229=L$3,SUMIF('TL13'!$C$238:$C$451,$C199,'TL13'!$J$238:$J$451),0),
IF('TL14'!$B$3=L$3,SUMIF('TL14'!$C$10:$C$224,$C199,'TL14'!$J$10:$J$224),0),
IF('TL14'!$B$229=L$3,SUMIF('TL14'!$C$238:$C$451,$C199,'TL14'!$J$238:$J$451),0),
IF('TL15'!$B$3=L$3,SUMIF('TL15'!$C$10:$C$224,$C199,'TL15'!$J$10:$J$224),0),
IF('TL15'!$B$229=L$3,SUMIF('TL15'!$C$238:$C$451,$C199,'TL15'!$J$238:$J$451),0),
IF('TL16'!$B$3=L$3,SUMIF('TL16'!$C$10:$C$224,$C199,'TL16'!$J$10:$J$224),0),
IF('TL16'!$B$229=L$3,SUMIF('TL16'!$C$238:$C$451,$C199,'TL16'!$J$238:$J$451),0),
IF('TL17'!$B$3=L$3,SUMIF('TL17'!$C$10:$C$224,$C199,'TL17'!$J$10:$J$224),0),
IF('TL17'!$B$229=L$3,SUMIF('TL17'!$C$238:$C$451,$C199,'TL17'!$J$238:$J$451),0),
IF('TL18'!$B$3=L$3,SUMIF('TL18'!$C$10:$C$224,$C199,'TL18'!$J$10:$J$224),0),
IF('TL18'!$B$229=L$3,SUMIF('TL18'!$C$238:$C$451,$C199,'TL18'!$J$238:$J$451),0),
IF('TL19'!$B$3=L$3,SUMIF('TL19'!$C$10:$C$224,$C199,'TL19'!$J$10:$J$224),0),
IF('TL19'!$B$229=L$3,SUMIF('TL19'!$C$238:$C$451,$C199,'TL19'!$J$238:$J$451),0)
),0)</f>
        <v>0</v>
      </c>
      <c r="M199" s="9">
        <f>IFERROR(SUM(
IF('TL01'!$B$3=M$3,SUMIF('TL01'!$C$10:$C$224,$C199,'TL01'!$J$10:$J$224),0),
IF('TL01'!$B$229=M$3,SUMIF('TL01'!$C$238:$C$451,$C199,'TL01'!$J$238:$J$451),0),
IF('TL02'!$B$3=M$3,SUMIF('TL02'!$C$10:$C$224,$C199,'TL02'!$J$10:$J$224),0),
IF('TL02'!$B$229=M$3,SUMIF('TL02'!$C$238:$C$451,$C199,'TL02'!$J$238:$J$451),0),
IF('TL03'!$B$3=M$3,SUMIF('TL03'!$C$10:$C$224,$C199,'TL03'!$J$10:$J$224),0),
IF('TL03'!$B$229=M$3,SUMIF('TL03'!$C$238:$C$451,$C199,'TL03'!$J$238:$J$451),0),
IF('TL04'!$B$3=M$3,SUMIF('TL04'!$C$10:$C$224,$C199,'TL04'!$J$10:$J$224),0),
IF('TL04'!$B$229=M$3,SUMIF('TL04'!$C$238:$C$451,$C199,'TL04'!$J$238:$J$451),0),
IF('TL05'!$B$3=M$3,SUMIF('TL05'!$C$10:$C$224,$C199,'TL05'!$J$10:$J$224),0),
IF('TL05'!$B$229=M$3,SUMIF('TL05'!$C$238:$C$451,$C199,'TL05'!$J$238:$J$451),0),
IF('TL06'!$B$3=M$3,SUMIF('TL06'!$C$10:$C$224,$C199,'TL06'!$J$10:$J$224),0),
IF('TL06'!$B$229=M$3,SUMIF('TL06'!$C$238:$C$451,$C199,'TL06'!$J$238:$J$451),0),
IF('TL07'!$B$3=M$3,SUMIF('TL07'!$C$10:$C$224,$C199,'TL07'!$J$10:$J$224),0),
IF('TL07'!$B$229=M$3,SUMIF('TL07'!$C$238:$C$451,$C199,'TL07'!$J$238:$J$451),0),
IF('TL08'!$B$3=M$3,SUMIF('TL08'!$C$10:$C$224,$C199,'TL08'!$J$10:$J$224),0),
IF('TL08'!$B$229=M$3,SUMIF('TL08'!$C$238:$C$451,$C199,'TL08'!$J$238:$J$451),0),
IF('TL09'!$B$3=M$3,SUMIF('TL09'!$C$10:$C$224,$C199,'TL09'!$J$10:$J$224),0),
IF('TL09'!$B$229=M$3,SUMIF('TL09'!$C$238:$C$451,$C199,'TL09'!$J$238:$J$451),0),
IF('TL10'!$B$3=M$3,SUMIF('TL10'!$C$10:$C$224,$C199,'TL10'!$J$10:$J$224),0),
IF('TL10'!$B$229=M$3,SUMIF('TL10'!$C$238:$C$451,$C199,'TL10'!$J$238:$J$451),0),
IF('TL11'!$B$3=M$3,SUMIF('TL11'!$C$10:$C$224,$C199,'TL11'!$J$10:$J$224),0),
IF('TL11'!$B$229=M$3,SUMIF('TL11'!$C$238:$C$451,$C199,'TL11'!$J$238:$J$451),0),
IF('TL12'!$B$3=M$3,SUMIF('TL12'!$C$10:$C$224,$C199,'TL12'!$J$10:$J$224),0),
IF('TL12'!$B$229=M$3,SUMIF('TL12'!$C$238:$C$451,$C199,'TL12'!$J$238:$J$451),0),
IF('TL13'!$B$3=M$3,SUMIF('TL13'!$C$10:$C$224,$C199,'TL13'!$J$10:$J$224),0),
IF('TL13'!$B$229=M$3,SUMIF('TL13'!$C$238:$C$451,$C199,'TL13'!$J$238:$J$451),0),
IF('TL14'!$B$3=M$3,SUMIF('TL14'!$C$10:$C$224,$C199,'TL14'!$J$10:$J$224),0),
IF('TL14'!$B$229=M$3,SUMIF('TL14'!$C$238:$C$451,$C199,'TL14'!$J$238:$J$451),0),
IF('TL15'!$B$3=M$3,SUMIF('TL15'!$C$10:$C$224,$C199,'TL15'!$J$10:$J$224),0),
IF('TL15'!$B$229=M$3,SUMIF('TL15'!$C$238:$C$451,$C199,'TL15'!$J$238:$J$451),0),
IF('TL16'!$B$3=M$3,SUMIF('TL16'!$C$10:$C$224,$C199,'TL16'!$J$10:$J$224),0),
IF('TL16'!$B$229=M$3,SUMIF('TL16'!$C$238:$C$451,$C199,'TL16'!$J$238:$J$451),0),
IF('TL17'!$B$3=M$3,SUMIF('TL17'!$C$10:$C$224,$C199,'TL17'!$J$10:$J$224),0),
IF('TL17'!$B$229=M$3,SUMIF('TL17'!$C$238:$C$451,$C199,'TL17'!$J$238:$J$451),0),
IF('TL18'!$B$3=M$3,SUMIF('TL18'!$C$10:$C$224,$C199,'TL18'!$J$10:$J$224),0),
IF('TL18'!$B$229=M$3,SUMIF('TL18'!$C$238:$C$451,$C199,'TL18'!$J$238:$J$451),0),
IF('TL19'!$B$3=M$3,SUMIF('TL19'!$C$10:$C$224,$C199,'TL19'!$J$10:$J$224),0),
IF('TL19'!$B$229=M$3,SUMIF('TL19'!$C$238:$C$451,$C199,'TL19'!$J$238:$J$451),0)
),0)</f>
        <v>0</v>
      </c>
      <c r="N199" s="9">
        <f>IFERROR(SUM(
IF('TL01'!$B$3=N$3,SUMIF('TL01'!$C$10:$C$224,$C199,'TL01'!$J$10:$J$224),0),
IF('TL01'!$B$229=N$3,SUMIF('TL01'!$C$238:$C$451,$C199,'TL01'!$J$238:$J$451),0),
IF('TL02'!$B$3=N$3,SUMIF('TL02'!$C$10:$C$224,$C199,'TL02'!$J$10:$J$224),0),
IF('TL02'!$B$229=N$3,SUMIF('TL02'!$C$238:$C$451,$C199,'TL02'!$J$238:$J$451),0),
IF('TL03'!$B$3=N$3,SUMIF('TL03'!$C$10:$C$224,$C199,'TL03'!$J$10:$J$224),0),
IF('TL03'!$B$229=N$3,SUMIF('TL03'!$C$238:$C$451,$C199,'TL03'!$J$238:$J$451),0),
IF('TL04'!$B$3=N$3,SUMIF('TL04'!$C$10:$C$224,$C199,'TL04'!$J$10:$J$224),0),
IF('TL04'!$B$229=N$3,SUMIF('TL04'!$C$238:$C$451,$C199,'TL04'!$J$238:$J$451),0),
IF('TL05'!$B$3=N$3,SUMIF('TL05'!$C$10:$C$224,$C199,'TL05'!$J$10:$J$224),0),
IF('TL05'!$B$229=N$3,SUMIF('TL05'!$C$238:$C$451,$C199,'TL05'!$J$238:$J$451),0),
IF('TL06'!$B$3=N$3,SUMIF('TL06'!$C$10:$C$224,$C199,'TL06'!$J$10:$J$224),0),
IF('TL06'!$B$229=N$3,SUMIF('TL06'!$C$238:$C$451,$C199,'TL06'!$J$238:$J$451),0),
IF('TL07'!$B$3=N$3,SUMIF('TL07'!$C$10:$C$224,$C199,'TL07'!$J$10:$J$224),0),
IF('TL07'!$B$229=N$3,SUMIF('TL07'!$C$238:$C$451,$C199,'TL07'!$J$238:$J$451),0),
IF('TL08'!$B$3=N$3,SUMIF('TL08'!$C$10:$C$224,$C199,'TL08'!$J$10:$J$224),0),
IF('TL08'!$B$229=N$3,SUMIF('TL08'!$C$238:$C$451,$C199,'TL08'!$J$238:$J$451),0),
IF('TL09'!$B$3=N$3,SUMIF('TL09'!$C$10:$C$224,$C199,'TL09'!$J$10:$J$224),0),
IF('TL09'!$B$229=N$3,SUMIF('TL09'!$C$238:$C$451,$C199,'TL09'!$J$238:$J$451),0),
IF('TL10'!$B$3=N$3,SUMIF('TL10'!$C$10:$C$224,$C199,'TL10'!$J$10:$J$224),0),
IF('TL10'!$B$229=N$3,SUMIF('TL10'!$C$238:$C$451,$C199,'TL10'!$J$238:$J$451),0),
IF('TL11'!$B$3=N$3,SUMIF('TL11'!$C$10:$C$224,$C199,'TL11'!$J$10:$J$224),0),
IF('TL11'!$B$229=N$3,SUMIF('TL11'!$C$238:$C$451,$C199,'TL11'!$J$238:$J$451),0),
IF('TL12'!$B$3=N$3,SUMIF('TL12'!$C$10:$C$224,$C199,'TL12'!$J$10:$J$224),0),
IF('TL12'!$B$229=N$3,SUMIF('TL12'!$C$238:$C$451,$C199,'TL12'!$J$238:$J$451),0),
IF('TL13'!$B$3=N$3,SUMIF('TL13'!$C$10:$C$224,$C199,'TL13'!$J$10:$J$224),0),
IF('TL13'!$B$229=N$3,SUMIF('TL13'!$C$238:$C$451,$C199,'TL13'!$J$238:$J$451),0),
IF('TL14'!$B$3=N$3,SUMIF('TL14'!$C$10:$C$224,$C199,'TL14'!$J$10:$J$224),0),
IF('TL14'!$B$229=N$3,SUMIF('TL14'!$C$238:$C$451,$C199,'TL14'!$J$238:$J$451),0),
IF('TL15'!$B$3=N$3,SUMIF('TL15'!$C$10:$C$224,$C199,'TL15'!$J$10:$J$224),0),
IF('TL15'!$B$229=N$3,SUMIF('TL15'!$C$238:$C$451,$C199,'TL15'!$J$238:$J$451),0),
IF('TL16'!$B$3=N$3,SUMIF('TL16'!$C$10:$C$224,$C199,'TL16'!$J$10:$J$224),0),
IF('TL16'!$B$229=N$3,SUMIF('TL16'!$C$238:$C$451,$C199,'TL16'!$J$238:$J$451),0),
IF('TL17'!$B$3=N$3,SUMIF('TL17'!$C$10:$C$224,$C199,'TL17'!$J$10:$J$224),0),
IF('TL17'!$B$229=N$3,SUMIF('TL17'!$C$238:$C$451,$C199,'TL17'!$J$238:$J$451),0),
IF('TL18'!$B$3=N$3,SUMIF('TL18'!$C$10:$C$224,$C199,'TL18'!$J$10:$J$224),0),
IF('TL18'!$B$229=N$3,SUMIF('TL18'!$C$238:$C$451,$C199,'TL18'!$J$238:$J$451),0),
IF('TL19'!$B$3=N$3,SUMIF('TL19'!$C$10:$C$224,$C199,'TL19'!$J$10:$J$224),0),
IF('TL19'!$B$229=N$3,SUMIF('TL19'!$C$238:$C$451,$C199,'TL19'!$J$238:$J$451),0)
),0)</f>
        <v>0</v>
      </c>
      <c r="O199" s="9">
        <f>IFERROR(SUM(
IF('TL01'!$B$3=O$3,SUMIF('TL01'!$C$10:$C$224,$C199,'TL01'!$J$10:$J$224),0),
IF('TL01'!$B$229=O$3,SUMIF('TL01'!$C$238:$C$451,$C199,'TL01'!$J$238:$J$451),0),
IF('TL02'!$B$3=O$3,SUMIF('TL02'!$C$10:$C$224,$C199,'TL02'!$J$10:$J$224),0),
IF('TL02'!$B$229=O$3,SUMIF('TL02'!$C$238:$C$451,$C199,'TL02'!$J$238:$J$451),0),
IF('TL03'!$B$3=O$3,SUMIF('TL03'!$C$10:$C$224,$C199,'TL03'!$J$10:$J$224),0),
IF('TL03'!$B$229=O$3,SUMIF('TL03'!$C$238:$C$451,$C199,'TL03'!$J$238:$J$451),0),
IF('TL04'!$B$3=O$3,SUMIF('TL04'!$C$10:$C$224,$C199,'TL04'!$J$10:$J$224),0),
IF('TL04'!$B$229=O$3,SUMIF('TL04'!$C$238:$C$451,$C199,'TL04'!$J$238:$J$451),0),
IF('TL05'!$B$3=O$3,SUMIF('TL05'!$C$10:$C$224,$C199,'TL05'!$J$10:$J$224),0),
IF('TL05'!$B$229=O$3,SUMIF('TL05'!$C$238:$C$451,$C199,'TL05'!$J$238:$J$451),0),
IF('TL06'!$B$3=O$3,SUMIF('TL06'!$C$10:$C$224,$C199,'TL06'!$J$10:$J$224),0),
IF('TL06'!$B$229=O$3,SUMIF('TL06'!$C$238:$C$451,$C199,'TL06'!$J$238:$J$451),0),
IF('TL07'!$B$3=O$3,SUMIF('TL07'!$C$10:$C$224,$C199,'TL07'!$J$10:$J$224),0),
IF('TL07'!$B$229=O$3,SUMIF('TL07'!$C$238:$C$451,$C199,'TL07'!$J$238:$J$451),0),
IF('TL08'!$B$3=O$3,SUMIF('TL08'!$C$10:$C$224,$C199,'TL08'!$J$10:$J$224),0),
IF('TL08'!$B$229=O$3,SUMIF('TL08'!$C$238:$C$451,$C199,'TL08'!$J$238:$J$451),0),
IF('TL09'!$B$3=O$3,SUMIF('TL09'!$C$10:$C$224,$C199,'TL09'!$J$10:$J$224),0),
IF('TL09'!$B$229=O$3,SUMIF('TL09'!$C$238:$C$451,$C199,'TL09'!$J$238:$J$451),0),
IF('TL10'!$B$3=O$3,SUMIF('TL10'!$C$10:$C$224,$C199,'TL10'!$J$10:$J$224),0),
IF('TL10'!$B$229=O$3,SUMIF('TL10'!$C$238:$C$451,$C199,'TL10'!$J$238:$J$451),0),
IF('TL11'!$B$3=O$3,SUMIF('TL11'!$C$10:$C$224,$C199,'TL11'!$J$10:$J$224),0),
IF('TL11'!$B$229=O$3,SUMIF('TL11'!$C$238:$C$451,$C199,'TL11'!$J$238:$J$451),0),
IF('TL12'!$B$3=O$3,SUMIF('TL12'!$C$10:$C$224,$C199,'TL12'!$J$10:$J$224),0),
IF('TL12'!$B$229=O$3,SUMIF('TL12'!$C$238:$C$451,$C199,'TL12'!$J$238:$J$451),0),
IF('TL13'!$B$3=O$3,SUMIF('TL13'!$C$10:$C$224,$C199,'TL13'!$J$10:$J$224),0),
IF('TL13'!$B$229=O$3,SUMIF('TL13'!$C$238:$C$451,$C199,'TL13'!$J$238:$J$451),0),
IF('TL14'!$B$3=O$3,SUMIF('TL14'!$C$10:$C$224,$C199,'TL14'!$J$10:$J$224),0),
IF('TL14'!$B$229=O$3,SUMIF('TL14'!$C$238:$C$451,$C199,'TL14'!$J$238:$J$451),0),
IF('TL15'!$B$3=O$3,SUMIF('TL15'!$C$10:$C$224,$C199,'TL15'!$J$10:$J$224),0),
IF('TL15'!$B$229=O$3,SUMIF('TL15'!$C$238:$C$451,$C199,'TL15'!$J$238:$J$451),0),
IF('TL16'!$B$3=O$3,SUMIF('TL16'!$C$10:$C$224,$C199,'TL16'!$J$10:$J$224),0),
IF('TL16'!$B$229=O$3,SUMIF('TL16'!$C$238:$C$451,$C199,'TL16'!$J$238:$J$451),0),
IF('TL17'!$B$3=O$3,SUMIF('TL17'!$C$10:$C$224,$C199,'TL17'!$J$10:$J$224),0),
IF('TL17'!$B$229=O$3,SUMIF('TL17'!$C$238:$C$451,$C199,'TL17'!$J$238:$J$451),0),
IF('TL18'!$B$3=O$3,SUMIF('TL18'!$C$10:$C$224,$C199,'TL18'!$J$10:$J$224),0),
IF('TL18'!$B$229=O$3,SUMIF('TL18'!$C$238:$C$451,$C199,'TL18'!$J$238:$J$451),0),
IF('TL19'!$B$3=O$3,SUMIF('TL19'!$C$10:$C$224,$C199,'TL19'!$J$10:$J$224),0),
IF('TL19'!$B$229=O$3,SUMIF('TL19'!$C$238:$C$451,$C199,'TL19'!$J$238:$J$451),0)
),0)</f>
        <v>0</v>
      </c>
      <c r="P199" s="9">
        <f>IFERROR(SUM(
IF('TL01'!$B$3=P$3,SUMIF('TL01'!$C$10:$C$224,$C199,'TL01'!$J$10:$J$224),0),
IF('TL01'!$B$229=P$3,SUMIF('TL01'!$C$238:$C$451,$C199,'TL01'!$J$238:$J$451),0),
IF('TL02'!$B$3=P$3,SUMIF('TL02'!$C$10:$C$224,$C199,'TL02'!$J$10:$J$224),0),
IF('TL02'!$B$229=P$3,SUMIF('TL02'!$C$238:$C$451,$C199,'TL02'!$J$238:$J$451),0),
IF('TL03'!$B$3=P$3,SUMIF('TL03'!$C$10:$C$224,$C199,'TL03'!$J$10:$J$224),0),
IF('TL03'!$B$229=P$3,SUMIF('TL03'!$C$238:$C$451,$C199,'TL03'!$J$238:$J$451),0),
IF('TL04'!$B$3=P$3,SUMIF('TL04'!$C$10:$C$224,$C199,'TL04'!$J$10:$J$224),0),
IF('TL04'!$B$229=P$3,SUMIF('TL04'!$C$238:$C$451,$C199,'TL04'!$J$238:$J$451),0),
IF('TL05'!$B$3=P$3,SUMIF('TL05'!$C$10:$C$224,$C199,'TL05'!$J$10:$J$224),0),
IF('TL05'!$B$229=P$3,SUMIF('TL05'!$C$238:$C$451,$C199,'TL05'!$J$238:$J$451),0),
IF('TL06'!$B$3=P$3,SUMIF('TL06'!$C$10:$C$224,$C199,'TL06'!$J$10:$J$224),0),
IF('TL06'!$B$229=P$3,SUMIF('TL06'!$C$238:$C$451,$C199,'TL06'!$J$238:$J$451),0),
IF('TL07'!$B$3=P$3,SUMIF('TL07'!$C$10:$C$224,$C199,'TL07'!$J$10:$J$224),0),
IF('TL07'!$B$229=P$3,SUMIF('TL07'!$C$238:$C$451,$C199,'TL07'!$J$238:$J$451),0),
IF('TL08'!$B$3=P$3,SUMIF('TL08'!$C$10:$C$224,$C199,'TL08'!$J$10:$J$224),0),
IF('TL08'!$B$229=P$3,SUMIF('TL08'!$C$238:$C$451,$C199,'TL08'!$J$238:$J$451),0),
IF('TL09'!$B$3=P$3,SUMIF('TL09'!$C$10:$C$224,$C199,'TL09'!$J$10:$J$224),0),
IF('TL09'!$B$229=P$3,SUMIF('TL09'!$C$238:$C$451,$C199,'TL09'!$J$238:$J$451),0),
IF('TL10'!$B$3=P$3,SUMIF('TL10'!$C$10:$C$224,$C199,'TL10'!$J$10:$J$224),0),
IF('TL10'!$B$229=P$3,SUMIF('TL10'!$C$238:$C$451,$C199,'TL10'!$J$238:$J$451),0),
IF('TL11'!$B$3=P$3,SUMIF('TL11'!$C$10:$C$224,$C199,'TL11'!$J$10:$J$224),0),
IF('TL11'!$B$229=P$3,SUMIF('TL11'!$C$238:$C$451,$C199,'TL11'!$J$238:$J$451),0),
IF('TL12'!$B$3=P$3,SUMIF('TL12'!$C$10:$C$224,$C199,'TL12'!$J$10:$J$224),0),
IF('TL12'!$B$229=P$3,SUMIF('TL12'!$C$238:$C$451,$C199,'TL12'!$J$238:$J$451),0),
IF('TL13'!$B$3=P$3,SUMIF('TL13'!$C$10:$C$224,$C199,'TL13'!$J$10:$J$224),0),
IF('TL13'!$B$229=P$3,SUMIF('TL13'!$C$238:$C$451,$C199,'TL13'!$J$238:$J$451),0),
IF('TL14'!$B$3=P$3,SUMIF('TL14'!$C$10:$C$224,$C199,'TL14'!$J$10:$J$224),0),
IF('TL14'!$B$229=P$3,SUMIF('TL14'!$C$238:$C$451,$C199,'TL14'!$J$238:$J$451),0),
IF('TL15'!$B$3=P$3,SUMIF('TL15'!$C$10:$C$224,$C199,'TL15'!$J$10:$J$224),0),
IF('TL15'!$B$229=P$3,SUMIF('TL15'!$C$238:$C$451,$C199,'TL15'!$J$238:$J$451),0),
IF('TL16'!$B$3=P$3,SUMIF('TL16'!$C$10:$C$224,$C199,'TL16'!$J$10:$J$224),0),
IF('TL16'!$B$229=P$3,SUMIF('TL16'!$C$238:$C$451,$C199,'TL16'!$J$238:$J$451),0),
IF('TL17'!$B$3=P$3,SUMIF('TL17'!$C$10:$C$224,$C199,'TL17'!$J$10:$J$224),0),
IF('TL17'!$B$229=P$3,SUMIF('TL17'!$C$238:$C$451,$C199,'TL17'!$J$238:$J$451),0),
IF('TL18'!$B$3=P$3,SUMIF('TL18'!$C$10:$C$224,$C199,'TL18'!$J$10:$J$224),0),
IF('TL18'!$B$229=P$3,SUMIF('TL18'!$C$238:$C$451,$C199,'TL18'!$J$238:$J$451),0),
IF('TL19'!$B$3=P$3,SUMIF('TL19'!$C$10:$C$224,$C199,'TL19'!$J$10:$J$224),0),
IF('TL19'!$B$229=P$3,SUMIF('TL19'!$C$238:$C$451,$C199,'TL19'!$J$238:$J$451),0)
),0)</f>
        <v>0</v>
      </c>
      <c r="Q199" s="9">
        <f>IFERROR(SUM(
IF('TL01'!$B$3=Q$3,SUMIF('TL01'!$C$10:$C$224,$C199,'TL01'!$J$10:$J$224),0),
IF('TL01'!$B$229=Q$3,SUMIF('TL01'!$C$238:$C$451,$C199,'TL01'!$J$238:$J$451),0),
IF('TL02'!$B$3=Q$3,SUMIF('TL02'!$C$10:$C$224,$C199,'TL02'!$J$10:$J$224),0),
IF('TL02'!$B$229=Q$3,SUMIF('TL02'!$C$238:$C$451,$C199,'TL02'!$J$238:$J$451),0),
IF('TL03'!$B$3=Q$3,SUMIF('TL03'!$C$10:$C$224,$C199,'TL03'!$J$10:$J$224),0),
IF('TL03'!$B$229=Q$3,SUMIF('TL03'!$C$238:$C$451,$C199,'TL03'!$J$238:$J$451),0),
IF('TL04'!$B$3=Q$3,SUMIF('TL04'!$C$10:$C$224,$C199,'TL04'!$J$10:$J$224),0),
IF('TL04'!$B$229=Q$3,SUMIF('TL04'!$C$238:$C$451,$C199,'TL04'!$J$238:$J$451),0),
IF('TL05'!$B$3=Q$3,SUMIF('TL05'!$C$10:$C$224,$C199,'TL05'!$J$10:$J$224),0),
IF('TL05'!$B$229=Q$3,SUMIF('TL05'!$C$238:$C$451,$C199,'TL05'!$J$238:$J$451),0),
IF('TL06'!$B$3=Q$3,SUMIF('TL06'!$C$10:$C$224,$C199,'TL06'!$J$10:$J$224),0),
IF('TL06'!$B$229=Q$3,SUMIF('TL06'!$C$238:$C$451,$C199,'TL06'!$J$238:$J$451),0),
IF('TL07'!$B$3=Q$3,SUMIF('TL07'!$C$10:$C$224,$C199,'TL07'!$J$10:$J$224),0),
IF('TL07'!$B$229=Q$3,SUMIF('TL07'!$C$238:$C$451,$C199,'TL07'!$J$238:$J$451),0),
IF('TL08'!$B$3=Q$3,SUMIF('TL08'!$C$10:$C$224,$C199,'TL08'!$J$10:$J$224),0),
IF('TL08'!$B$229=Q$3,SUMIF('TL08'!$C$238:$C$451,$C199,'TL08'!$J$238:$J$451),0),
IF('TL09'!$B$3=Q$3,SUMIF('TL09'!$C$10:$C$224,$C199,'TL09'!$J$10:$J$224),0),
IF('TL09'!$B$229=Q$3,SUMIF('TL09'!$C$238:$C$451,$C199,'TL09'!$J$238:$J$451),0),
IF('TL10'!$B$3=Q$3,SUMIF('TL10'!$C$10:$C$224,$C199,'TL10'!$J$10:$J$224),0),
IF('TL10'!$B$229=Q$3,SUMIF('TL10'!$C$238:$C$451,$C199,'TL10'!$J$238:$J$451),0),
IF('TL11'!$B$3=Q$3,SUMIF('TL11'!$C$10:$C$224,$C199,'TL11'!$J$10:$J$224),0),
IF('TL11'!$B$229=Q$3,SUMIF('TL11'!$C$238:$C$451,$C199,'TL11'!$J$238:$J$451),0),
IF('TL12'!$B$3=Q$3,SUMIF('TL12'!$C$10:$C$224,$C199,'TL12'!$J$10:$J$224),0),
IF('TL12'!$B$229=Q$3,SUMIF('TL12'!$C$238:$C$451,$C199,'TL12'!$J$238:$J$451),0),
IF('TL13'!$B$3=Q$3,SUMIF('TL13'!$C$10:$C$224,$C199,'TL13'!$J$10:$J$224),0),
IF('TL13'!$B$229=Q$3,SUMIF('TL13'!$C$238:$C$451,$C199,'TL13'!$J$238:$J$451),0),
IF('TL14'!$B$3=Q$3,SUMIF('TL14'!$C$10:$C$224,$C199,'TL14'!$J$10:$J$224),0),
IF('TL14'!$B$229=Q$3,SUMIF('TL14'!$C$238:$C$451,$C199,'TL14'!$J$238:$J$451),0),
IF('TL15'!$B$3=Q$3,SUMIF('TL15'!$C$10:$C$224,$C199,'TL15'!$J$10:$J$224),0),
IF('TL15'!$B$229=Q$3,SUMIF('TL15'!$C$238:$C$451,$C199,'TL15'!$J$238:$J$451),0),
IF('TL16'!$B$3=Q$3,SUMIF('TL16'!$C$10:$C$224,$C199,'TL16'!$J$10:$J$224),0),
IF('TL16'!$B$229=Q$3,SUMIF('TL16'!$C$238:$C$451,$C199,'TL16'!$J$238:$J$451),0),
IF('TL17'!$B$3=Q$3,SUMIF('TL17'!$C$10:$C$224,$C199,'TL17'!$J$10:$J$224),0),
IF('TL17'!$B$229=Q$3,SUMIF('TL17'!$C$238:$C$451,$C199,'TL17'!$J$238:$J$451),0),
IF('TL18'!$B$3=Q$3,SUMIF('TL18'!$C$10:$C$224,$C199,'TL18'!$J$10:$J$224),0),
IF('TL18'!$B$229=Q$3,SUMIF('TL18'!$C$238:$C$451,$C199,'TL18'!$J$238:$J$451),0),
IF('TL19'!$B$3=Q$3,SUMIF('TL19'!$C$10:$C$224,$C199,'TL19'!$J$10:$J$224),0),
IF('TL19'!$B$229=Q$3,SUMIF('TL19'!$C$238:$C$451,$C199,'TL19'!$J$238:$J$451),0)
),0)</f>
        <v>0</v>
      </c>
      <c r="R199" s="9">
        <f>IFERROR(
SUM(
SUMIF('TL01'!C:C,C199,'TL01'!J:J),
SUMIF('TL02'!C:C,C199,'TL02'!J:J),
SUMIF('TL03'!C:C,C199,'TL03'!J:J),
SUMIF('TL04'!C:C,C199,'TL04'!J:J),
SUMIF('TL05'!C:C,C199,'TL05'!J:J),
SUMIF('TL06'!C:C,C199,'TL06'!J:J),
SUMIF('TL07'!C:C,C199,'TL07'!J:J),
SUMIF('TL08'!C:C,C199,'TL08'!J:J),
SUMIF('TL09'!C:C,C199,'TL09'!J:J),
SUMIF('TL10'!C:C,C199,'TL10'!J:J),
SUMIF('TL11'!C:C,C199,'TL11'!J:J),
SUMIF('TL12'!C:C,C199,'TL12'!J:J),
SUMIF('TL13'!C:C,C199,'TL13'!J:J),
SUMIF('TL14'!C:C,C199,'TL14'!J:J),
SUMIF('TL15'!C:C,C199,'TL15'!J:J),
SUMIF('TL16'!C:C,C199,'TL16'!J:J),
SUMIF('TL17'!C:C,C199,'TL17'!J:J),
SUMIF('TL18'!C:C,C199,'TL18'!J:J),SUMIF('TL19'!C:C,C199,'TL19'!J:J))
,0)</f>
        <v>0</v>
      </c>
      <c r="S199" s="17">
        <f>IFERROR(__xludf.DUMMYFUNCTION("IFERROR(VLOOKUP(C199,
IMPORTRANGE(""1wULbzX32WdYsx-lj2U3uUNBBe2INVIRDtcK0d-Dvl90"",
""26-27!C:G""),
5,
FALSE),
"""")"),49.95006)</f>
        <v>49.95006</v>
      </c>
      <c r="T199" s="9"/>
      <c r="U199" s="92">
        <f t="shared" si="2"/>
        <v>0</v>
      </c>
      <c r="V199" s="93">
        <f t="shared" si="3"/>
        <v>0</v>
      </c>
    </row>
    <row r="200" ht="15.75" hidden="1" customHeight="1">
      <c r="A200" s="87" t="s">
        <v>378</v>
      </c>
      <c r="B200" s="88" t="s">
        <v>2</v>
      </c>
      <c r="C200" s="89" t="s">
        <v>813</v>
      </c>
      <c r="D200" s="89" t="s">
        <v>814</v>
      </c>
      <c r="E200" s="89">
        <v>100.0</v>
      </c>
      <c r="F200" s="4" t="s">
        <v>343</v>
      </c>
      <c r="G200" s="90" t="str">
        <f t="shared" si="4"/>
        <v>📄 Ver bula</v>
      </c>
      <c r="H200" s="9">
        <f>IFERROR(__xludf.DUMMYFUNCTION("IFERROR(VLOOKUP(C200,
IMPORTRANGE(""1wULbzX32WdYsx-lj2U3uUNBBe2INVIRDtcK0d-Dvl90"",
""26-27!C:K""),
8,
FALSE),
"""")"),0.25)</f>
        <v>0.25</v>
      </c>
      <c r="I200" s="91" t="s">
        <v>361</v>
      </c>
      <c r="J200" s="9">
        <f>IFERROR(SUM(
IF('TL01'!$B$3=J$3,SUMIF('TL01'!$C$10:$C$224,$C200,'TL01'!$J$10:$J$224),0),
IF('TL01'!$B$229=J$3,SUMIF('TL01'!$C$238:$C$451,$C200,'TL01'!$J$238:$J$451),0),
IF('TL02'!$B$3=J$3,SUMIF('TL02'!$C$10:$C$224,$C200,'TL02'!$J$10:$J$224),0),
IF('TL02'!$B$229=J$3,SUMIF('TL02'!$C$238:$C$451,$C200,'TL02'!$J$238:$J$451),0),
IF('TL03'!$B$3=J$3,SUMIF('TL03'!$C$10:$C$224,$C200,'TL03'!$J$10:$J$224),0),
IF('TL03'!$B$229=J$3,SUMIF('TL03'!$C$238:$C$451,$C200,'TL03'!$J$238:$J$451),0),
IF('TL04'!$B$3=J$3,SUMIF('TL04'!$C$10:$C$224,$C200,'TL04'!$J$10:$J$224),0),
IF('TL04'!$B$229=J$3,SUMIF('TL04'!$C$238:$C$451,$C200,'TL04'!$J$238:$J$451),0),
IF('TL05'!$B$3=J$3,SUMIF('TL05'!$C$10:$C$224,$C200,'TL05'!$J$10:$J$224),0),
IF('TL05'!$B$229=J$3,SUMIF('TL05'!$C$238:$C$451,$C200,'TL05'!$J$238:$J$451),0),
IF('TL06'!$B$3=J$3,SUMIF('TL06'!$C$10:$C$224,$C200,'TL06'!$J$10:$J$224),0),
IF('TL06'!$B$229=J$3,SUMIF('TL06'!$C$238:$C$451,$C200,'TL06'!$J$238:$J$451),0),
IF('TL07'!$B$3=J$3,SUMIF('TL07'!$C$10:$C$224,$C200,'TL07'!$J$10:$J$224),0),
IF('TL07'!$B$229=J$3,SUMIF('TL07'!$C$238:$C$451,$C200,'TL07'!$J$238:$J$451),0),
IF('TL08'!$B$3=J$3,SUMIF('TL08'!$C$10:$C$224,$C200,'TL08'!$J$10:$J$224),0),
IF('TL08'!$B$229=J$3,SUMIF('TL08'!$C$238:$C$451,$C200,'TL08'!$J$238:$J$451),0),
IF('TL09'!$B$3=J$3,SUMIF('TL09'!$C$10:$C$224,$C200,'TL09'!$J$10:$J$224),0),
IF('TL09'!$B$229=J$3,SUMIF('TL09'!$C$238:$C$451,$C200,'TL09'!$J$238:$J$451),0),
IF('TL10'!$B$3=J$3,SUMIF('TL10'!$C$10:$C$224,$C200,'TL10'!$J$10:$J$224),0),
IF('TL10'!$B$229=J$3,SUMIF('TL10'!$C$238:$C$451,$C200,'TL10'!$J$238:$J$451),0),
IF('TL11'!$B$3=J$3,SUMIF('TL11'!$C$10:$C$224,$C200,'TL11'!$J$10:$J$224),0),
IF('TL11'!$B$229=J$3,SUMIF('TL11'!$C$238:$C$451,$C200,'TL11'!$J$238:$J$451),0),
IF('TL12'!$B$3=J$3,SUMIF('TL12'!$C$10:$C$224,$C200,'TL12'!$J$10:$J$224),0),
IF('TL12'!$B$229=J$3,SUMIF('TL12'!$C$238:$C$451,$C200,'TL12'!$J$238:$J$451),0),
IF('TL13'!$B$3=J$3,SUMIF('TL13'!$C$10:$C$224,$C200,'TL13'!$J$10:$J$224),0),
IF('TL13'!$B$229=J$3,SUMIF('TL13'!$C$238:$C$451,$C200,'TL13'!$J$238:$J$451),0),
IF('TL14'!$B$3=J$3,SUMIF('TL14'!$C$10:$C$224,$C200,'TL14'!$J$10:$J$224),0),
IF('TL14'!$B$229=J$3,SUMIF('TL14'!$C$238:$C$451,$C200,'TL14'!$J$238:$J$451),0),
IF('TL15'!$B$3=J$3,SUMIF('TL15'!$C$10:$C$224,$C200,'TL15'!$J$10:$J$224),0),
IF('TL15'!$B$229=J$3,SUMIF('TL15'!$C$238:$C$451,$C200,'TL15'!$J$238:$J$451),0),
IF('TL16'!$B$3=J$3,SUMIF('TL16'!$C$10:$C$224,$C200,'TL16'!$J$10:$J$224),0),
IF('TL16'!$B$229=J$3,SUMIF('TL16'!$C$238:$C$451,$C200,'TL16'!$J$238:$J$451),0),
IF('TL17'!$B$3=J$3,SUMIF('TL17'!$C$10:$C$224,$C200,'TL17'!$J$10:$J$224),0),
IF('TL17'!$B$229=J$3,SUMIF('TL17'!$C$238:$C$451,$C200,'TL17'!$J$238:$J$451),0),
IF('TL18'!$B$3=J$3,SUMIF('TL18'!$C$10:$C$224,$C200,'TL18'!$J$10:$J$224),0),
IF('TL18'!$B$229=J$3,SUMIF('TL18'!$C$238:$C$451,$C200,'TL18'!$J$238:$J$451),0),
IF('TL19'!$B$3=J$3,SUMIF('TL19'!$C$10:$C$224,$C200,'TL19'!$J$10:$J$224),0),
IF('TL19'!$B$229=J$3,SUMIF('TL19'!$C$238:$C$451,$C200,'TL19'!$J$238:$J$451),0)
),0)</f>
        <v>0</v>
      </c>
      <c r="K200" s="9">
        <f>IFERROR(SUM(
IF('TL01'!$B$3=K$3,SUMIF('TL01'!$C$10:$C$224,$C200,'TL01'!$J$10:$J$224),0),
IF('TL01'!$B$229=K$3,SUMIF('TL01'!$C$238:$C$451,$C200,'TL01'!$J$238:$J$451),0),
IF('TL02'!$B$3=K$3,SUMIF('TL02'!$C$10:$C$224,$C200,'TL02'!$J$10:$J$224),0),
IF('TL02'!$B$229=K$3,SUMIF('TL02'!$C$238:$C$451,$C200,'TL02'!$J$238:$J$451),0),
IF('TL03'!$B$3=K$3,SUMIF('TL03'!$C$10:$C$224,$C200,'TL03'!$J$10:$J$224),0),
IF('TL03'!$B$229=K$3,SUMIF('TL03'!$C$238:$C$451,$C200,'TL03'!$J$238:$J$451),0),
IF('TL04'!$B$3=K$3,SUMIF('TL04'!$C$10:$C$224,$C200,'TL04'!$J$10:$J$224),0),
IF('TL04'!$B$229=K$3,SUMIF('TL04'!$C$238:$C$451,$C200,'TL04'!$J$238:$J$451),0),
IF('TL05'!$B$3=K$3,SUMIF('TL05'!$C$10:$C$224,$C200,'TL05'!$J$10:$J$224),0),
IF('TL05'!$B$229=K$3,SUMIF('TL05'!$C$238:$C$451,$C200,'TL05'!$J$238:$J$451),0),
IF('TL06'!$B$3=K$3,SUMIF('TL06'!$C$10:$C$224,$C200,'TL06'!$J$10:$J$224),0),
IF('TL06'!$B$229=K$3,SUMIF('TL06'!$C$238:$C$451,$C200,'TL06'!$J$238:$J$451),0),
IF('TL07'!$B$3=K$3,SUMIF('TL07'!$C$10:$C$224,$C200,'TL07'!$J$10:$J$224),0),
IF('TL07'!$B$229=K$3,SUMIF('TL07'!$C$238:$C$451,$C200,'TL07'!$J$238:$J$451),0),
IF('TL08'!$B$3=K$3,SUMIF('TL08'!$C$10:$C$224,$C200,'TL08'!$J$10:$J$224),0),
IF('TL08'!$B$229=K$3,SUMIF('TL08'!$C$238:$C$451,$C200,'TL08'!$J$238:$J$451),0),
IF('TL09'!$B$3=K$3,SUMIF('TL09'!$C$10:$C$224,$C200,'TL09'!$J$10:$J$224),0),
IF('TL09'!$B$229=K$3,SUMIF('TL09'!$C$238:$C$451,$C200,'TL09'!$J$238:$J$451),0),
IF('TL10'!$B$3=K$3,SUMIF('TL10'!$C$10:$C$224,$C200,'TL10'!$J$10:$J$224),0),
IF('TL10'!$B$229=K$3,SUMIF('TL10'!$C$238:$C$451,$C200,'TL10'!$J$238:$J$451),0),
IF('TL11'!$B$3=K$3,SUMIF('TL11'!$C$10:$C$224,$C200,'TL11'!$J$10:$J$224),0),
IF('TL11'!$B$229=K$3,SUMIF('TL11'!$C$238:$C$451,$C200,'TL11'!$J$238:$J$451),0),
IF('TL12'!$B$3=K$3,SUMIF('TL12'!$C$10:$C$224,$C200,'TL12'!$J$10:$J$224),0),
IF('TL12'!$B$229=K$3,SUMIF('TL12'!$C$238:$C$451,$C200,'TL12'!$J$238:$J$451),0),
IF('TL13'!$B$3=K$3,SUMIF('TL13'!$C$10:$C$224,$C200,'TL13'!$J$10:$J$224),0),
IF('TL13'!$B$229=K$3,SUMIF('TL13'!$C$238:$C$451,$C200,'TL13'!$J$238:$J$451),0),
IF('TL14'!$B$3=K$3,SUMIF('TL14'!$C$10:$C$224,$C200,'TL14'!$J$10:$J$224),0),
IF('TL14'!$B$229=K$3,SUMIF('TL14'!$C$238:$C$451,$C200,'TL14'!$J$238:$J$451),0),
IF('TL15'!$B$3=K$3,SUMIF('TL15'!$C$10:$C$224,$C200,'TL15'!$J$10:$J$224),0),
IF('TL15'!$B$229=K$3,SUMIF('TL15'!$C$238:$C$451,$C200,'TL15'!$J$238:$J$451),0),
IF('TL16'!$B$3=K$3,SUMIF('TL16'!$C$10:$C$224,$C200,'TL16'!$J$10:$J$224),0),
IF('TL16'!$B$229=K$3,SUMIF('TL16'!$C$238:$C$451,$C200,'TL16'!$J$238:$J$451),0),
IF('TL17'!$B$3=K$3,SUMIF('TL17'!$C$10:$C$224,$C200,'TL17'!$J$10:$J$224),0),
IF('TL17'!$B$229=K$3,SUMIF('TL17'!$C$238:$C$451,$C200,'TL17'!$J$238:$J$451),0),
IF('TL18'!$B$3=K$3,SUMIF('TL18'!$C$10:$C$224,$C200,'TL18'!$J$10:$J$224),0),
IF('TL18'!$B$229=K$3,SUMIF('TL18'!$C$238:$C$451,$C200,'TL18'!$J$238:$J$451),0),
IF('TL19'!$B$3=K$3,SUMIF('TL19'!$C$10:$C$224,$C200,'TL19'!$J$10:$J$224),0),
IF('TL19'!$B$229=K$3,SUMIF('TL19'!$C$238:$C$451,$C200,'TL19'!$J$238:$J$451),0)
),0)</f>
        <v>0</v>
      </c>
      <c r="L200" s="9">
        <f>IFERROR(SUM(
IF('TL01'!$B$3=L$3,SUMIF('TL01'!$C$10:$C$224,$C200,'TL01'!$J$10:$J$224),0),
IF('TL01'!$B$229=L$3,SUMIF('TL01'!$C$238:$C$451,$C200,'TL01'!$J$238:$J$451),0),
IF('TL02'!$B$3=L$3,SUMIF('TL02'!$C$10:$C$224,$C200,'TL02'!$J$10:$J$224),0),
IF('TL02'!$B$229=L$3,SUMIF('TL02'!$C$238:$C$451,$C200,'TL02'!$J$238:$J$451),0),
IF('TL03'!$B$3=L$3,SUMIF('TL03'!$C$10:$C$224,$C200,'TL03'!$J$10:$J$224),0),
IF('TL03'!$B$229=L$3,SUMIF('TL03'!$C$238:$C$451,$C200,'TL03'!$J$238:$J$451),0),
IF('TL04'!$B$3=L$3,SUMIF('TL04'!$C$10:$C$224,$C200,'TL04'!$J$10:$J$224),0),
IF('TL04'!$B$229=L$3,SUMIF('TL04'!$C$238:$C$451,$C200,'TL04'!$J$238:$J$451),0),
IF('TL05'!$B$3=L$3,SUMIF('TL05'!$C$10:$C$224,$C200,'TL05'!$J$10:$J$224),0),
IF('TL05'!$B$229=L$3,SUMIF('TL05'!$C$238:$C$451,$C200,'TL05'!$J$238:$J$451),0),
IF('TL06'!$B$3=L$3,SUMIF('TL06'!$C$10:$C$224,$C200,'TL06'!$J$10:$J$224),0),
IF('TL06'!$B$229=L$3,SUMIF('TL06'!$C$238:$C$451,$C200,'TL06'!$J$238:$J$451),0),
IF('TL07'!$B$3=L$3,SUMIF('TL07'!$C$10:$C$224,$C200,'TL07'!$J$10:$J$224),0),
IF('TL07'!$B$229=L$3,SUMIF('TL07'!$C$238:$C$451,$C200,'TL07'!$J$238:$J$451),0),
IF('TL08'!$B$3=L$3,SUMIF('TL08'!$C$10:$C$224,$C200,'TL08'!$J$10:$J$224),0),
IF('TL08'!$B$229=L$3,SUMIF('TL08'!$C$238:$C$451,$C200,'TL08'!$J$238:$J$451),0),
IF('TL09'!$B$3=L$3,SUMIF('TL09'!$C$10:$C$224,$C200,'TL09'!$J$10:$J$224),0),
IF('TL09'!$B$229=L$3,SUMIF('TL09'!$C$238:$C$451,$C200,'TL09'!$J$238:$J$451),0),
IF('TL10'!$B$3=L$3,SUMIF('TL10'!$C$10:$C$224,$C200,'TL10'!$J$10:$J$224),0),
IF('TL10'!$B$229=L$3,SUMIF('TL10'!$C$238:$C$451,$C200,'TL10'!$J$238:$J$451),0),
IF('TL11'!$B$3=L$3,SUMIF('TL11'!$C$10:$C$224,$C200,'TL11'!$J$10:$J$224),0),
IF('TL11'!$B$229=L$3,SUMIF('TL11'!$C$238:$C$451,$C200,'TL11'!$J$238:$J$451),0),
IF('TL12'!$B$3=L$3,SUMIF('TL12'!$C$10:$C$224,$C200,'TL12'!$J$10:$J$224),0),
IF('TL12'!$B$229=L$3,SUMIF('TL12'!$C$238:$C$451,$C200,'TL12'!$J$238:$J$451),0),
IF('TL13'!$B$3=L$3,SUMIF('TL13'!$C$10:$C$224,$C200,'TL13'!$J$10:$J$224),0),
IF('TL13'!$B$229=L$3,SUMIF('TL13'!$C$238:$C$451,$C200,'TL13'!$J$238:$J$451),0),
IF('TL14'!$B$3=L$3,SUMIF('TL14'!$C$10:$C$224,$C200,'TL14'!$J$10:$J$224),0),
IF('TL14'!$B$229=L$3,SUMIF('TL14'!$C$238:$C$451,$C200,'TL14'!$J$238:$J$451),0),
IF('TL15'!$B$3=L$3,SUMIF('TL15'!$C$10:$C$224,$C200,'TL15'!$J$10:$J$224),0),
IF('TL15'!$B$229=L$3,SUMIF('TL15'!$C$238:$C$451,$C200,'TL15'!$J$238:$J$451),0),
IF('TL16'!$B$3=L$3,SUMIF('TL16'!$C$10:$C$224,$C200,'TL16'!$J$10:$J$224),0),
IF('TL16'!$B$229=L$3,SUMIF('TL16'!$C$238:$C$451,$C200,'TL16'!$J$238:$J$451),0),
IF('TL17'!$B$3=L$3,SUMIF('TL17'!$C$10:$C$224,$C200,'TL17'!$J$10:$J$224),0),
IF('TL17'!$B$229=L$3,SUMIF('TL17'!$C$238:$C$451,$C200,'TL17'!$J$238:$J$451),0),
IF('TL18'!$B$3=L$3,SUMIF('TL18'!$C$10:$C$224,$C200,'TL18'!$J$10:$J$224),0),
IF('TL18'!$B$229=L$3,SUMIF('TL18'!$C$238:$C$451,$C200,'TL18'!$J$238:$J$451),0),
IF('TL19'!$B$3=L$3,SUMIF('TL19'!$C$10:$C$224,$C200,'TL19'!$J$10:$J$224),0),
IF('TL19'!$B$229=L$3,SUMIF('TL19'!$C$238:$C$451,$C200,'TL19'!$J$238:$J$451),0)
),0)</f>
        <v>0</v>
      </c>
      <c r="M200" s="9">
        <f>IFERROR(SUM(
IF('TL01'!$B$3=M$3,SUMIF('TL01'!$C$10:$C$224,$C200,'TL01'!$J$10:$J$224),0),
IF('TL01'!$B$229=M$3,SUMIF('TL01'!$C$238:$C$451,$C200,'TL01'!$J$238:$J$451),0),
IF('TL02'!$B$3=M$3,SUMIF('TL02'!$C$10:$C$224,$C200,'TL02'!$J$10:$J$224),0),
IF('TL02'!$B$229=M$3,SUMIF('TL02'!$C$238:$C$451,$C200,'TL02'!$J$238:$J$451),0),
IF('TL03'!$B$3=M$3,SUMIF('TL03'!$C$10:$C$224,$C200,'TL03'!$J$10:$J$224),0),
IF('TL03'!$B$229=M$3,SUMIF('TL03'!$C$238:$C$451,$C200,'TL03'!$J$238:$J$451),0),
IF('TL04'!$B$3=M$3,SUMIF('TL04'!$C$10:$C$224,$C200,'TL04'!$J$10:$J$224),0),
IF('TL04'!$B$229=M$3,SUMIF('TL04'!$C$238:$C$451,$C200,'TL04'!$J$238:$J$451),0),
IF('TL05'!$B$3=M$3,SUMIF('TL05'!$C$10:$C$224,$C200,'TL05'!$J$10:$J$224),0),
IF('TL05'!$B$229=M$3,SUMIF('TL05'!$C$238:$C$451,$C200,'TL05'!$J$238:$J$451),0),
IF('TL06'!$B$3=M$3,SUMIF('TL06'!$C$10:$C$224,$C200,'TL06'!$J$10:$J$224),0),
IF('TL06'!$B$229=M$3,SUMIF('TL06'!$C$238:$C$451,$C200,'TL06'!$J$238:$J$451),0),
IF('TL07'!$B$3=M$3,SUMIF('TL07'!$C$10:$C$224,$C200,'TL07'!$J$10:$J$224),0),
IF('TL07'!$B$229=M$3,SUMIF('TL07'!$C$238:$C$451,$C200,'TL07'!$J$238:$J$451),0),
IF('TL08'!$B$3=M$3,SUMIF('TL08'!$C$10:$C$224,$C200,'TL08'!$J$10:$J$224),0),
IF('TL08'!$B$229=M$3,SUMIF('TL08'!$C$238:$C$451,$C200,'TL08'!$J$238:$J$451),0),
IF('TL09'!$B$3=M$3,SUMIF('TL09'!$C$10:$C$224,$C200,'TL09'!$J$10:$J$224),0),
IF('TL09'!$B$229=M$3,SUMIF('TL09'!$C$238:$C$451,$C200,'TL09'!$J$238:$J$451),0),
IF('TL10'!$B$3=M$3,SUMIF('TL10'!$C$10:$C$224,$C200,'TL10'!$J$10:$J$224),0),
IF('TL10'!$B$229=M$3,SUMIF('TL10'!$C$238:$C$451,$C200,'TL10'!$J$238:$J$451),0),
IF('TL11'!$B$3=M$3,SUMIF('TL11'!$C$10:$C$224,$C200,'TL11'!$J$10:$J$224),0),
IF('TL11'!$B$229=M$3,SUMIF('TL11'!$C$238:$C$451,$C200,'TL11'!$J$238:$J$451),0),
IF('TL12'!$B$3=M$3,SUMIF('TL12'!$C$10:$C$224,$C200,'TL12'!$J$10:$J$224),0),
IF('TL12'!$B$229=M$3,SUMIF('TL12'!$C$238:$C$451,$C200,'TL12'!$J$238:$J$451),0),
IF('TL13'!$B$3=M$3,SUMIF('TL13'!$C$10:$C$224,$C200,'TL13'!$J$10:$J$224),0),
IF('TL13'!$B$229=M$3,SUMIF('TL13'!$C$238:$C$451,$C200,'TL13'!$J$238:$J$451),0),
IF('TL14'!$B$3=M$3,SUMIF('TL14'!$C$10:$C$224,$C200,'TL14'!$J$10:$J$224),0),
IF('TL14'!$B$229=M$3,SUMIF('TL14'!$C$238:$C$451,$C200,'TL14'!$J$238:$J$451),0),
IF('TL15'!$B$3=M$3,SUMIF('TL15'!$C$10:$C$224,$C200,'TL15'!$J$10:$J$224),0),
IF('TL15'!$B$229=M$3,SUMIF('TL15'!$C$238:$C$451,$C200,'TL15'!$J$238:$J$451),0),
IF('TL16'!$B$3=M$3,SUMIF('TL16'!$C$10:$C$224,$C200,'TL16'!$J$10:$J$224),0),
IF('TL16'!$B$229=M$3,SUMIF('TL16'!$C$238:$C$451,$C200,'TL16'!$J$238:$J$451),0),
IF('TL17'!$B$3=M$3,SUMIF('TL17'!$C$10:$C$224,$C200,'TL17'!$J$10:$J$224),0),
IF('TL17'!$B$229=M$3,SUMIF('TL17'!$C$238:$C$451,$C200,'TL17'!$J$238:$J$451),0),
IF('TL18'!$B$3=M$3,SUMIF('TL18'!$C$10:$C$224,$C200,'TL18'!$J$10:$J$224),0),
IF('TL18'!$B$229=M$3,SUMIF('TL18'!$C$238:$C$451,$C200,'TL18'!$J$238:$J$451),0),
IF('TL19'!$B$3=M$3,SUMIF('TL19'!$C$10:$C$224,$C200,'TL19'!$J$10:$J$224),0),
IF('TL19'!$B$229=M$3,SUMIF('TL19'!$C$238:$C$451,$C200,'TL19'!$J$238:$J$451),0)
),0)</f>
        <v>0</v>
      </c>
      <c r="N200" s="9">
        <f>IFERROR(SUM(
IF('TL01'!$B$3=N$3,SUMIF('TL01'!$C$10:$C$224,$C200,'TL01'!$J$10:$J$224),0),
IF('TL01'!$B$229=N$3,SUMIF('TL01'!$C$238:$C$451,$C200,'TL01'!$J$238:$J$451),0),
IF('TL02'!$B$3=N$3,SUMIF('TL02'!$C$10:$C$224,$C200,'TL02'!$J$10:$J$224),0),
IF('TL02'!$B$229=N$3,SUMIF('TL02'!$C$238:$C$451,$C200,'TL02'!$J$238:$J$451),0),
IF('TL03'!$B$3=N$3,SUMIF('TL03'!$C$10:$C$224,$C200,'TL03'!$J$10:$J$224),0),
IF('TL03'!$B$229=N$3,SUMIF('TL03'!$C$238:$C$451,$C200,'TL03'!$J$238:$J$451),0),
IF('TL04'!$B$3=N$3,SUMIF('TL04'!$C$10:$C$224,$C200,'TL04'!$J$10:$J$224),0),
IF('TL04'!$B$229=N$3,SUMIF('TL04'!$C$238:$C$451,$C200,'TL04'!$J$238:$J$451),0),
IF('TL05'!$B$3=N$3,SUMIF('TL05'!$C$10:$C$224,$C200,'TL05'!$J$10:$J$224),0),
IF('TL05'!$B$229=N$3,SUMIF('TL05'!$C$238:$C$451,$C200,'TL05'!$J$238:$J$451),0),
IF('TL06'!$B$3=N$3,SUMIF('TL06'!$C$10:$C$224,$C200,'TL06'!$J$10:$J$224),0),
IF('TL06'!$B$229=N$3,SUMIF('TL06'!$C$238:$C$451,$C200,'TL06'!$J$238:$J$451),0),
IF('TL07'!$B$3=N$3,SUMIF('TL07'!$C$10:$C$224,$C200,'TL07'!$J$10:$J$224),0),
IF('TL07'!$B$229=N$3,SUMIF('TL07'!$C$238:$C$451,$C200,'TL07'!$J$238:$J$451),0),
IF('TL08'!$B$3=N$3,SUMIF('TL08'!$C$10:$C$224,$C200,'TL08'!$J$10:$J$224),0),
IF('TL08'!$B$229=N$3,SUMIF('TL08'!$C$238:$C$451,$C200,'TL08'!$J$238:$J$451),0),
IF('TL09'!$B$3=N$3,SUMIF('TL09'!$C$10:$C$224,$C200,'TL09'!$J$10:$J$224),0),
IF('TL09'!$B$229=N$3,SUMIF('TL09'!$C$238:$C$451,$C200,'TL09'!$J$238:$J$451),0),
IF('TL10'!$B$3=N$3,SUMIF('TL10'!$C$10:$C$224,$C200,'TL10'!$J$10:$J$224),0),
IF('TL10'!$B$229=N$3,SUMIF('TL10'!$C$238:$C$451,$C200,'TL10'!$J$238:$J$451),0),
IF('TL11'!$B$3=N$3,SUMIF('TL11'!$C$10:$C$224,$C200,'TL11'!$J$10:$J$224),0),
IF('TL11'!$B$229=N$3,SUMIF('TL11'!$C$238:$C$451,$C200,'TL11'!$J$238:$J$451),0),
IF('TL12'!$B$3=N$3,SUMIF('TL12'!$C$10:$C$224,$C200,'TL12'!$J$10:$J$224),0),
IF('TL12'!$B$229=N$3,SUMIF('TL12'!$C$238:$C$451,$C200,'TL12'!$J$238:$J$451),0),
IF('TL13'!$B$3=N$3,SUMIF('TL13'!$C$10:$C$224,$C200,'TL13'!$J$10:$J$224),0),
IF('TL13'!$B$229=N$3,SUMIF('TL13'!$C$238:$C$451,$C200,'TL13'!$J$238:$J$451),0),
IF('TL14'!$B$3=N$3,SUMIF('TL14'!$C$10:$C$224,$C200,'TL14'!$J$10:$J$224),0),
IF('TL14'!$B$229=N$3,SUMIF('TL14'!$C$238:$C$451,$C200,'TL14'!$J$238:$J$451),0),
IF('TL15'!$B$3=N$3,SUMIF('TL15'!$C$10:$C$224,$C200,'TL15'!$J$10:$J$224),0),
IF('TL15'!$B$229=N$3,SUMIF('TL15'!$C$238:$C$451,$C200,'TL15'!$J$238:$J$451),0),
IF('TL16'!$B$3=N$3,SUMIF('TL16'!$C$10:$C$224,$C200,'TL16'!$J$10:$J$224),0),
IF('TL16'!$B$229=N$3,SUMIF('TL16'!$C$238:$C$451,$C200,'TL16'!$J$238:$J$451),0),
IF('TL17'!$B$3=N$3,SUMIF('TL17'!$C$10:$C$224,$C200,'TL17'!$J$10:$J$224),0),
IF('TL17'!$B$229=N$3,SUMIF('TL17'!$C$238:$C$451,$C200,'TL17'!$J$238:$J$451),0),
IF('TL18'!$B$3=N$3,SUMIF('TL18'!$C$10:$C$224,$C200,'TL18'!$J$10:$J$224),0),
IF('TL18'!$B$229=N$3,SUMIF('TL18'!$C$238:$C$451,$C200,'TL18'!$J$238:$J$451),0),
IF('TL19'!$B$3=N$3,SUMIF('TL19'!$C$10:$C$224,$C200,'TL19'!$J$10:$J$224),0),
IF('TL19'!$B$229=N$3,SUMIF('TL19'!$C$238:$C$451,$C200,'TL19'!$J$238:$J$451),0)
),0)</f>
        <v>0</v>
      </c>
      <c r="O200" s="9">
        <f>IFERROR(SUM(
IF('TL01'!$B$3=O$3,SUMIF('TL01'!$C$10:$C$224,$C200,'TL01'!$J$10:$J$224),0),
IF('TL01'!$B$229=O$3,SUMIF('TL01'!$C$238:$C$451,$C200,'TL01'!$J$238:$J$451),0),
IF('TL02'!$B$3=O$3,SUMIF('TL02'!$C$10:$C$224,$C200,'TL02'!$J$10:$J$224),0),
IF('TL02'!$B$229=O$3,SUMIF('TL02'!$C$238:$C$451,$C200,'TL02'!$J$238:$J$451),0),
IF('TL03'!$B$3=O$3,SUMIF('TL03'!$C$10:$C$224,$C200,'TL03'!$J$10:$J$224),0),
IF('TL03'!$B$229=O$3,SUMIF('TL03'!$C$238:$C$451,$C200,'TL03'!$J$238:$J$451),0),
IF('TL04'!$B$3=O$3,SUMIF('TL04'!$C$10:$C$224,$C200,'TL04'!$J$10:$J$224),0),
IF('TL04'!$B$229=O$3,SUMIF('TL04'!$C$238:$C$451,$C200,'TL04'!$J$238:$J$451),0),
IF('TL05'!$B$3=O$3,SUMIF('TL05'!$C$10:$C$224,$C200,'TL05'!$J$10:$J$224),0),
IF('TL05'!$B$229=O$3,SUMIF('TL05'!$C$238:$C$451,$C200,'TL05'!$J$238:$J$451),0),
IF('TL06'!$B$3=O$3,SUMIF('TL06'!$C$10:$C$224,$C200,'TL06'!$J$10:$J$224),0),
IF('TL06'!$B$229=O$3,SUMIF('TL06'!$C$238:$C$451,$C200,'TL06'!$J$238:$J$451),0),
IF('TL07'!$B$3=O$3,SUMIF('TL07'!$C$10:$C$224,$C200,'TL07'!$J$10:$J$224),0),
IF('TL07'!$B$229=O$3,SUMIF('TL07'!$C$238:$C$451,$C200,'TL07'!$J$238:$J$451),0),
IF('TL08'!$B$3=O$3,SUMIF('TL08'!$C$10:$C$224,$C200,'TL08'!$J$10:$J$224),0),
IF('TL08'!$B$229=O$3,SUMIF('TL08'!$C$238:$C$451,$C200,'TL08'!$J$238:$J$451),0),
IF('TL09'!$B$3=O$3,SUMIF('TL09'!$C$10:$C$224,$C200,'TL09'!$J$10:$J$224),0),
IF('TL09'!$B$229=O$3,SUMIF('TL09'!$C$238:$C$451,$C200,'TL09'!$J$238:$J$451),0),
IF('TL10'!$B$3=O$3,SUMIF('TL10'!$C$10:$C$224,$C200,'TL10'!$J$10:$J$224),0),
IF('TL10'!$B$229=O$3,SUMIF('TL10'!$C$238:$C$451,$C200,'TL10'!$J$238:$J$451),0),
IF('TL11'!$B$3=O$3,SUMIF('TL11'!$C$10:$C$224,$C200,'TL11'!$J$10:$J$224),0),
IF('TL11'!$B$229=O$3,SUMIF('TL11'!$C$238:$C$451,$C200,'TL11'!$J$238:$J$451),0),
IF('TL12'!$B$3=O$3,SUMIF('TL12'!$C$10:$C$224,$C200,'TL12'!$J$10:$J$224),0),
IF('TL12'!$B$229=O$3,SUMIF('TL12'!$C$238:$C$451,$C200,'TL12'!$J$238:$J$451),0),
IF('TL13'!$B$3=O$3,SUMIF('TL13'!$C$10:$C$224,$C200,'TL13'!$J$10:$J$224),0),
IF('TL13'!$B$229=O$3,SUMIF('TL13'!$C$238:$C$451,$C200,'TL13'!$J$238:$J$451),0),
IF('TL14'!$B$3=O$3,SUMIF('TL14'!$C$10:$C$224,$C200,'TL14'!$J$10:$J$224),0),
IF('TL14'!$B$229=O$3,SUMIF('TL14'!$C$238:$C$451,$C200,'TL14'!$J$238:$J$451),0),
IF('TL15'!$B$3=O$3,SUMIF('TL15'!$C$10:$C$224,$C200,'TL15'!$J$10:$J$224),0),
IF('TL15'!$B$229=O$3,SUMIF('TL15'!$C$238:$C$451,$C200,'TL15'!$J$238:$J$451),0),
IF('TL16'!$B$3=O$3,SUMIF('TL16'!$C$10:$C$224,$C200,'TL16'!$J$10:$J$224),0),
IF('TL16'!$B$229=O$3,SUMIF('TL16'!$C$238:$C$451,$C200,'TL16'!$J$238:$J$451),0),
IF('TL17'!$B$3=O$3,SUMIF('TL17'!$C$10:$C$224,$C200,'TL17'!$J$10:$J$224),0),
IF('TL17'!$B$229=O$3,SUMIF('TL17'!$C$238:$C$451,$C200,'TL17'!$J$238:$J$451),0),
IF('TL18'!$B$3=O$3,SUMIF('TL18'!$C$10:$C$224,$C200,'TL18'!$J$10:$J$224),0),
IF('TL18'!$B$229=O$3,SUMIF('TL18'!$C$238:$C$451,$C200,'TL18'!$J$238:$J$451),0),
IF('TL19'!$B$3=O$3,SUMIF('TL19'!$C$10:$C$224,$C200,'TL19'!$J$10:$J$224),0),
IF('TL19'!$B$229=O$3,SUMIF('TL19'!$C$238:$C$451,$C200,'TL19'!$J$238:$J$451),0)
),0)</f>
        <v>0</v>
      </c>
      <c r="P200" s="9">
        <f>IFERROR(SUM(
IF('TL01'!$B$3=P$3,SUMIF('TL01'!$C$10:$C$224,$C200,'TL01'!$J$10:$J$224),0),
IF('TL01'!$B$229=P$3,SUMIF('TL01'!$C$238:$C$451,$C200,'TL01'!$J$238:$J$451),0),
IF('TL02'!$B$3=P$3,SUMIF('TL02'!$C$10:$C$224,$C200,'TL02'!$J$10:$J$224),0),
IF('TL02'!$B$229=P$3,SUMIF('TL02'!$C$238:$C$451,$C200,'TL02'!$J$238:$J$451),0),
IF('TL03'!$B$3=P$3,SUMIF('TL03'!$C$10:$C$224,$C200,'TL03'!$J$10:$J$224),0),
IF('TL03'!$B$229=P$3,SUMIF('TL03'!$C$238:$C$451,$C200,'TL03'!$J$238:$J$451),0),
IF('TL04'!$B$3=P$3,SUMIF('TL04'!$C$10:$C$224,$C200,'TL04'!$J$10:$J$224),0),
IF('TL04'!$B$229=P$3,SUMIF('TL04'!$C$238:$C$451,$C200,'TL04'!$J$238:$J$451),0),
IF('TL05'!$B$3=P$3,SUMIF('TL05'!$C$10:$C$224,$C200,'TL05'!$J$10:$J$224),0),
IF('TL05'!$B$229=P$3,SUMIF('TL05'!$C$238:$C$451,$C200,'TL05'!$J$238:$J$451),0),
IF('TL06'!$B$3=P$3,SUMIF('TL06'!$C$10:$C$224,$C200,'TL06'!$J$10:$J$224),0),
IF('TL06'!$B$229=P$3,SUMIF('TL06'!$C$238:$C$451,$C200,'TL06'!$J$238:$J$451),0),
IF('TL07'!$B$3=P$3,SUMIF('TL07'!$C$10:$C$224,$C200,'TL07'!$J$10:$J$224),0),
IF('TL07'!$B$229=P$3,SUMIF('TL07'!$C$238:$C$451,$C200,'TL07'!$J$238:$J$451),0),
IF('TL08'!$B$3=P$3,SUMIF('TL08'!$C$10:$C$224,$C200,'TL08'!$J$10:$J$224),0),
IF('TL08'!$B$229=P$3,SUMIF('TL08'!$C$238:$C$451,$C200,'TL08'!$J$238:$J$451),0),
IF('TL09'!$B$3=P$3,SUMIF('TL09'!$C$10:$C$224,$C200,'TL09'!$J$10:$J$224),0),
IF('TL09'!$B$229=P$3,SUMIF('TL09'!$C$238:$C$451,$C200,'TL09'!$J$238:$J$451),0),
IF('TL10'!$B$3=P$3,SUMIF('TL10'!$C$10:$C$224,$C200,'TL10'!$J$10:$J$224),0),
IF('TL10'!$B$229=P$3,SUMIF('TL10'!$C$238:$C$451,$C200,'TL10'!$J$238:$J$451),0),
IF('TL11'!$B$3=P$3,SUMIF('TL11'!$C$10:$C$224,$C200,'TL11'!$J$10:$J$224),0),
IF('TL11'!$B$229=P$3,SUMIF('TL11'!$C$238:$C$451,$C200,'TL11'!$J$238:$J$451),0),
IF('TL12'!$B$3=P$3,SUMIF('TL12'!$C$10:$C$224,$C200,'TL12'!$J$10:$J$224),0),
IF('TL12'!$B$229=P$3,SUMIF('TL12'!$C$238:$C$451,$C200,'TL12'!$J$238:$J$451),0),
IF('TL13'!$B$3=P$3,SUMIF('TL13'!$C$10:$C$224,$C200,'TL13'!$J$10:$J$224),0),
IF('TL13'!$B$229=P$3,SUMIF('TL13'!$C$238:$C$451,$C200,'TL13'!$J$238:$J$451),0),
IF('TL14'!$B$3=P$3,SUMIF('TL14'!$C$10:$C$224,$C200,'TL14'!$J$10:$J$224),0),
IF('TL14'!$B$229=P$3,SUMIF('TL14'!$C$238:$C$451,$C200,'TL14'!$J$238:$J$451),0),
IF('TL15'!$B$3=P$3,SUMIF('TL15'!$C$10:$C$224,$C200,'TL15'!$J$10:$J$224),0),
IF('TL15'!$B$229=P$3,SUMIF('TL15'!$C$238:$C$451,$C200,'TL15'!$J$238:$J$451),0),
IF('TL16'!$B$3=P$3,SUMIF('TL16'!$C$10:$C$224,$C200,'TL16'!$J$10:$J$224),0),
IF('TL16'!$B$229=P$3,SUMIF('TL16'!$C$238:$C$451,$C200,'TL16'!$J$238:$J$451),0),
IF('TL17'!$B$3=P$3,SUMIF('TL17'!$C$10:$C$224,$C200,'TL17'!$J$10:$J$224),0),
IF('TL17'!$B$229=P$3,SUMIF('TL17'!$C$238:$C$451,$C200,'TL17'!$J$238:$J$451),0),
IF('TL18'!$B$3=P$3,SUMIF('TL18'!$C$10:$C$224,$C200,'TL18'!$J$10:$J$224),0),
IF('TL18'!$B$229=P$3,SUMIF('TL18'!$C$238:$C$451,$C200,'TL18'!$J$238:$J$451),0),
IF('TL19'!$B$3=P$3,SUMIF('TL19'!$C$10:$C$224,$C200,'TL19'!$J$10:$J$224),0),
IF('TL19'!$B$229=P$3,SUMIF('TL19'!$C$238:$C$451,$C200,'TL19'!$J$238:$J$451),0)
),0)</f>
        <v>0</v>
      </c>
      <c r="Q200" s="9">
        <f>IFERROR(SUM(
IF('TL01'!$B$3=Q$3,SUMIF('TL01'!$C$10:$C$224,$C200,'TL01'!$J$10:$J$224),0),
IF('TL01'!$B$229=Q$3,SUMIF('TL01'!$C$238:$C$451,$C200,'TL01'!$J$238:$J$451),0),
IF('TL02'!$B$3=Q$3,SUMIF('TL02'!$C$10:$C$224,$C200,'TL02'!$J$10:$J$224),0),
IF('TL02'!$B$229=Q$3,SUMIF('TL02'!$C$238:$C$451,$C200,'TL02'!$J$238:$J$451),0),
IF('TL03'!$B$3=Q$3,SUMIF('TL03'!$C$10:$C$224,$C200,'TL03'!$J$10:$J$224),0),
IF('TL03'!$B$229=Q$3,SUMIF('TL03'!$C$238:$C$451,$C200,'TL03'!$J$238:$J$451),0),
IF('TL04'!$B$3=Q$3,SUMIF('TL04'!$C$10:$C$224,$C200,'TL04'!$J$10:$J$224),0),
IF('TL04'!$B$229=Q$3,SUMIF('TL04'!$C$238:$C$451,$C200,'TL04'!$J$238:$J$451),0),
IF('TL05'!$B$3=Q$3,SUMIF('TL05'!$C$10:$C$224,$C200,'TL05'!$J$10:$J$224),0),
IF('TL05'!$B$229=Q$3,SUMIF('TL05'!$C$238:$C$451,$C200,'TL05'!$J$238:$J$451),0),
IF('TL06'!$B$3=Q$3,SUMIF('TL06'!$C$10:$C$224,$C200,'TL06'!$J$10:$J$224),0),
IF('TL06'!$B$229=Q$3,SUMIF('TL06'!$C$238:$C$451,$C200,'TL06'!$J$238:$J$451),0),
IF('TL07'!$B$3=Q$3,SUMIF('TL07'!$C$10:$C$224,$C200,'TL07'!$J$10:$J$224),0),
IF('TL07'!$B$229=Q$3,SUMIF('TL07'!$C$238:$C$451,$C200,'TL07'!$J$238:$J$451),0),
IF('TL08'!$B$3=Q$3,SUMIF('TL08'!$C$10:$C$224,$C200,'TL08'!$J$10:$J$224),0),
IF('TL08'!$B$229=Q$3,SUMIF('TL08'!$C$238:$C$451,$C200,'TL08'!$J$238:$J$451),0),
IF('TL09'!$B$3=Q$3,SUMIF('TL09'!$C$10:$C$224,$C200,'TL09'!$J$10:$J$224),0),
IF('TL09'!$B$229=Q$3,SUMIF('TL09'!$C$238:$C$451,$C200,'TL09'!$J$238:$J$451),0),
IF('TL10'!$B$3=Q$3,SUMIF('TL10'!$C$10:$C$224,$C200,'TL10'!$J$10:$J$224),0),
IF('TL10'!$B$229=Q$3,SUMIF('TL10'!$C$238:$C$451,$C200,'TL10'!$J$238:$J$451),0),
IF('TL11'!$B$3=Q$3,SUMIF('TL11'!$C$10:$C$224,$C200,'TL11'!$J$10:$J$224),0),
IF('TL11'!$B$229=Q$3,SUMIF('TL11'!$C$238:$C$451,$C200,'TL11'!$J$238:$J$451),0),
IF('TL12'!$B$3=Q$3,SUMIF('TL12'!$C$10:$C$224,$C200,'TL12'!$J$10:$J$224),0),
IF('TL12'!$B$229=Q$3,SUMIF('TL12'!$C$238:$C$451,$C200,'TL12'!$J$238:$J$451),0),
IF('TL13'!$B$3=Q$3,SUMIF('TL13'!$C$10:$C$224,$C200,'TL13'!$J$10:$J$224),0),
IF('TL13'!$B$229=Q$3,SUMIF('TL13'!$C$238:$C$451,$C200,'TL13'!$J$238:$J$451),0),
IF('TL14'!$B$3=Q$3,SUMIF('TL14'!$C$10:$C$224,$C200,'TL14'!$J$10:$J$224),0),
IF('TL14'!$B$229=Q$3,SUMIF('TL14'!$C$238:$C$451,$C200,'TL14'!$J$238:$J$451),0),
IF('TL15'!$B$3=Q$3,SUMIF('TL15'!$C$10:$C$224,$C200,'TL15'!$J$10:$J$224),0),
IF('TL15'!$B$229=Q$3,SUMIF('TL15'!$C$238:$C$451,$C200,'TL15'!$J$238:$J$451),0),
IF('TL16'!$B$3=Q$3,SUMIF('TL16'!$C$10:$C$224,$C200,'TL16'!$J$10:$J$224),0),
IF('TL16'!$B$229=Q$3,SUMIF('TL16'!$C$238:$C$451,$C200,'TL16'!$J$238:$J$451),0),
IF('TL17'!$B$3=Q$3,SUMIF('TL17'!$C$10:$C$224,$C200,'TL17'!$J$10:$J$224),0),
IF('TL17'!$B$229=Q$3,SUMIF('TL17'!$C$238:$C$451,$C200,'TL17'!$J$238:$J$451),0),
IF('TL18'!$B$3=Q$3,SUMIF('TL18'!$C$10:$C$224,$C200,'TL18'!$J$10:$J$224),0),
IF('TL18'!$B$229=Q$3,SUMIF('TL18'!$C$238:$C$451,$C200,'TL18'!$J$238:$J$451),0),
IF('TL19'!$B$3=Q$3,SUMIF('TL19'!$C$10:$C$224,$C200,'TL19'!$J$10:$J$224),0),
IF('TL19'!$B$229=Q$3,SUMIF('TL19'!$C$238:$C$451,$C200,'TL19'!$J$238:$J$451),0)
),0)</f>
        <v>0</v>
      </c>
      <c r="R200" s="9">
        <f>IFERROR(
SUM(
SUMIF('TL01'!C:C,C200,'TL01'!J:J),
SUMIF('TL02'!C:C,C200,'TL02'!J:J),
SUMIF('TL03'!C:C,C200,'TL03'!J:J),
SUMIF('TL04'!C:C,C200,'TL04'!J:J),
SUMIF('TL05'!C:C,C200,'TL05'!J:J),
SUMIF('TL06'!C:C,C200,'TL06'!J:J),
SUMIF('TL07'!C:C,C200,'TL07'!J:J),
SUMIF('TL08'!C:C,C200,'TL08'!J:J),
SUMIF('TL09'!C:C,C200,'TL09'!J:J),
SUMIF('TL10'!C:C,C200,'TL10'!J:J),
SUMIF('TL11'!C:C,C200,'TL11'!J:J),
SUMIF('TL12'!C:C,C200,'TL12'!J:J),
SUMIF('TL13'!C:C,C200,'TL13'!J:J),
SUMIF('TL14'!C:C,C200,'TL14'!J:J),
SUMIF('TL15'!C:C,C200,'TL15'!J:J),
SUMIF('TL16'!C:C,C200,'TL16'!J:J),
SUMIF('TL17'!C:C,C200,'TL17'!J:J),
SUMIF('TL18'!C:C,C200,'TL18'!J:J),SUMIF('TL19'!C:C,C200,'TL19'!J:J))
,0)</f>
        <v>0</v>
      </c>
      <c r="S200" s="17">
        <f>IFERROR(__xludf.DUMMYFUNCTION("IFERROR(VLOOKUP(C200,
IMPORTRANGE(""1wULbzX32WdYsx-lj2U3uUNBBe2INVIRDtcK0d-Dvl90"",
""26-27!C:G""),
5,
FALSE),
"""")"),147.54936)</f>
        <v>147.54936</v>
      </c>
      <c r="T200" s="9"/>
      <c r="U200" s="92">
        <f t="shared" si="2"/>
        <v>0</v>
      </c>
      <c r="V200" s="93">
        <f t="shared" si="3"/>
        <v>0</v>
      </c>
    </row>
    <row r="201" ht="15.75" hidden="1" customHeight="1">
      <c r="A201" s="94" t="s">
        <v>378</v>
      </c>
      <c r="B201" s="95" t="s">
        <v>2</v>
      </c>
      <c r="C201" s="96" t="s">
        <v>815</v>
      </c>
      <c r="D201" s="96" t="s">
        <v>816</v>
      </c>
      <c r="E201" s="96" t="s">
        <v>817</v>
      </c>
      <c r="F201" s="4" t="s">
        <v>343</v>
      </c>
      <c r="G201" s="90" t="str">
        <f t="shared" si="4"/>
        <v>📄 Ver bula</v>
      </c>
      <c r="H201" s="9">
        <f>IFERROR(__xludf.DUMMYFUNCTION("IFERROR(VLOOKUP(C201,
IMPORTRANGE(""1wULbzX32WdYsx-lj2U3uUNBBe2INVIRDtcK0d-Dvl90"",
""26-27!C:K""),
8,
FALSE),
"""")"),0.2)</f>
        <v>0.2</v>
      </c>
      <c r="I201" s="97" t="s">
        <v>818</v>
      </c>
      <c r="J201" s="9">
        <f>IFERROR(SUM(
IF('TL01'!$B$3=J$3,SUMIF('TL01'!$C$10:$C$224,$C201,'TL01'!$J$10:$J$224),0),
IF('TL01'!$B$229=J$3,SUMIF('TL01'!$C$238:$C$451,$C201,'TL01'!$J$238:$J$451),0),
IF('TL02'!$B$3=J$3,SUMIF('TL02'!$C$10:$C$224,$C201,'TL02'!$J$10:$J$224),0),
IF('TL02'!$B$229=J$3,SUMIF('TL02'!$C$238:$C$451,$C201,'TL02'!$J$238:$J$451),0),
IF('TL03'!$B$3=J$3,SUMIF('TL03'!$C$10:$C$224,$C201,'TL03'!$J$10:$J$224),0),
IF('TL03'!$B$229=J$3,SUMIF('TL03'!$C$238:$C$451,$C201,'TL03'!$J$238:$J$451),0),
IF('TL04'!$B$3=J$3,SUMIF('TL04'!$C$10:$C$224,$C201,'TL04'!$J$10:$J$224),0),
IF('TL04'!$B$229=J$3,SUMIF('TL04'!$C$238:$C$451,$C201,'TL04'!$J$238:$J$451),0),
IF('TL05'!$B$3=J$3,SUMIF('TL05'!$C$10:$C$224,$C201,'TL05'!$J$10:$J$224),0),
IF('TL05'!$B$229=J$3,SUMIF('TL05'!$C$238:$C$451,$C201,'TL05'!$J$238:$J$451),0),
IF('TL06'!$B$3=J$3,SUMIF('TL06'!$C$10:$C$224,$C201,'TL06'!$J$10:$J$224),0),
IF('TL06'!$B$229=J$3,SUMIF('TL06'!$C$238:$C$451,$C201,'TL06'!$J$238:$J$451),0),
IF('TL07'!$B$3=J$3,SUMIF('TL07'!$C$10:$C$224,$C201,'TL07'!$J$10:$J$224),0),
IF('TL07'!$B$229=J$3,SUMIF('TL07'!$C$238:$C$451,$C201,'TL07'!$J$238:$J$451),0),
IF('TL08'!$B$3=J$3,SUMIF('TL08'!$C$10:$C$224,$C201,'TL08'!$J$10:$J$224),0),
IF('TL08'!$B$229=J$3,SUMIF('TL08'!$C$238:$C$451,$C201,'TL08'!$J$238:$J$451),0),
IF('TL09'!$B$3=J$3,SUMIF('TL09'!$C$10:$C$224,$C201,'TL09'!$J$10:$J$224),0),
IF('TL09'!$B$229=J$3,SUMIF('TL09'!$C$238:$C$451,$C201,'TL09'!$J$238:$J$451),0),
IF('TL10'!$B$3=J$3,SUMIF('TL10'!$C$10:$C$224,$C201,'TL10'!$J$10:$J$224),0),
IF('TL10'!$B$229=J$3,SUMIF('TL10'!$C$238:$C$451,$C201,'TL10'!$J$238:$J$451),0),
IF('TL11'!$B$3=J$3,SUMIF('TL11'!$C$10:$C$224,$C201,'TL11'!$J$10:$J$224),0),
IF('TL11'!$B$229=J$3,SUMIF('TL11'!$C$238:$C$451,$C201,'TL11'!$J$238:$J$451),0),
IF('TL12'!$B$3=J$3,SUMIF('TL12'!$C$10:$C$224,$C201,'TL12'!$J$10:$J$224),0),
IF('TL12'!$B$229=J$3,SUMIF('TL12'!$C$238:$C$451,$C201,'TL12'!$J$238:$J$451),0),
IF('TL13'!$B$3=J$3,SUMIF('TL13'!$C$10:$C$224,$C201,'TL13'!$J$10:$J$224),0),
IF('TL13'!$B$229=J$3,SUMIF('TL13'!$C$238:$C$451,$C201,'TL13'!$J$238:$J$451),0),
IF('TL14'!$B$3=J$3,SUMIF('TL14'!$C$10:$C$224,$C201,'TL14'!$J$10:$J$224),0),
IF('TL14'!$B$229=J$3,SUMIF('TL14'!$C$238:$C$451,$C201,'TL14'!$J$238:$J$451),0),
IF('TL15'!$B$3=J$3,SUMIF('TL15'!$C$10:$C$224,$C201,'TL15'!$J$10:$J$224),0),
IF('TL15'!$B$229=J$3,SUMIF('TL15'!$C$238:$C$451,$C201,'TL15'!$J$238:$J$451),0),
IF('TL16'!$B$3=J$3,SUMIF('TL16'!$C$10:$C$224,$C201,'TL16'!$J$10:$J$224),0),
IF('TL16'!$B$229=J$3,SUMIF('TL16'!$C$238:$C$451,$C201,'TL16'!$J$238:$J$451),0),
IF('TL17'!$B$3=J$3,SUMIF('TL17'!$C$10:$C$224,$C201,'TL17'!$J$10:$J$224),0),
IF('TL17'!$B$229=J$3,SUMIF('TL17'!$C$238:$C$451,$C201,'TL17'!$J$238:$J$451),0),
IF('TL18'!$B$3=J$3,SUMIF('TL18'!$C$10:$C$224,$C201,'TL18'!$J$10:$J$224),0),
IF('TL18'!$B$229=J$3,SUMIF('TL18'!$C$238:$C$451,$C201,'TL18'!$J$238:$J$451),0),
IF('TL19'!$B$3=J$3,SUMIF('TL19'!$C$10:$C$224,$C201,'TL19'!$J$10:$J$224),0),
IF('TL19'!$B$229=J$3,SUMIF('TL19'!$C$238:$C$451,$C201,'TL19'!$J$238:$J$451),0)
),0)</f>
        <v>0</v>
      </c>
      <c r="K201" s="9">
        <f>IFERROR(SUM(
IF('TL01'!$B$3=K$3,SUMIF('TL01'!$C$10:$C$224,$C201,'TL01'!$J$10:$J$224),0),
IF('TL01'!$B$229=K$3,SUMIF('TL01'!$C$238:$C$451,$C201,'TL01'!$J$238:$J$451),0),
IF('TL02'!$B$3=K$3,SUMIF('TL02'!$C$10:$C$224,$C201,'TL02'!$J$10:$J$224),0),
IF('TL02'!$B$229=K$3,SUMIF('TL02'!$C$238:$C$451,$C201,'TL02'!$J$238:$J$451),0),
IF('TL03'!$B$3=K$3,SUMIF('TL03'!$C$10:$C$224,$C201,'TL03'!$J$10:$J$224),0),
IF('TL03'!$B$229=K$3,SUMIF('TL03'!$C$238:$C$451,$C201,'TL03'!$J$238:$J$451),0),
IF('TL04'!$B$3=K$3,SUMIF('TL04'!$C$10:$C$224,$C201,'TL04'!$J$10:$J$224),0),
IF('TL04'!$B$229=K$3,SUMIF('TL04'!$C$238:$C$451,$C201,'TL04'!$J$238:$J$451),0),
IF('TL05'!$B$3=K$3,SUMIF('TL05'!$C$10:$C$224,$C201,'TL05'!$J$10:$J$224),0),
IF('TL05'!$B$229=K$3,SUMIF('TL05'!$C$238:$C$451,$C201,'TL05'!$J$238:$J$451),0),
IF('TL06'!$B$3=K$3,SUMIF('TL06'!$C$10:$C$224,$C201,'TL06'!$J$10:$J$224),0),
IF('TL06'!$B$229=K$3,SUMIF('TL06'!$C$238:$C$451,$C201,'TL06'!$J$238:$J$451),0),
IF('TL07'!$B$3=K$3,SUMIF('TL07'!$C$10:$C$224,$C201,'TL07'!$J$10:$J$224),0),
IF('TL07'!$B$229=K$3,SUMIF('TL07'!$C$238:$C$451,$C201,'TL07'!$J$238:$J$451),0),
IF('TL08'!$B$3=K$3,SUMIF('TL08'!$C$10:$C$224,$C201,'TL08'!$J$10:$J$224),0),
IF('TL08'!$B$229=K$3,SUMIF('TL08'!$C$238:$C$451,$C201,'TL08'!$J$238:$J$451),0),
IF('TL09'!$B$3=K$3,SUMIF('TL09'!$C$10:$C$224,$C201,'TL09'!$J$10:$J$224),0),
IF('TL09'!$B$229=K$3,SUMIF('TL09'!$C$238:$C$451,$C201,'TL09'!$J$238:$J$451),0),
IF('TL10'!$B$3=K$3,SUMIF('TL10'!$C$10:$C$224,$C201,'TL10'!$J$10:$J$224),0),
IF('TL10'!$B$229=K$3,SUMIF('TL10'!$C$238:$C$451,$C201,'TL10'!$J$238:$J$451),0),
IF('TL11'!$B$3=K$3,SUMIF('TL11'!$C$10:$C$224,$C201,'TL11'!$J$10:$J$224),0),
IF('TL11'!$B$229=K$3,SUMIF('TL11'!$C$238:$C$451,$C201,'TL11'!$J$238:$J$451),0),
IF('TL12'!$B$3=K$3,SUMIF('TL12'!$C$10:$C$224,$C201,'TL12'!$J$10:$J$224),0),
IF('TL12'!$B$229=K$3,SUMIF('TL12'!$C$238:$C$451,$C201,'TL12'!$J$238:$J$451),0),
IF('TL13'!$B$3=K$3,SUMIF('TL13'!$C$10:$C$224,$C201,'TL13'!$J$10:$J$224),0),
IF('TL13'!$B$229=K$3,SUMIF('TL13'!$C$238:$C$451,$C201,'TL13'!$J$238:$J$451),0),
IF('TL14'!$B$3=K$3,SUMIF('TL14'!$C$10:$C$224,$C201,'TL14'!$J$10:$J$224),0),
IF('TL14'!$B$229=K$3,SUMIF('TL14'!$C$238:$C$451,$C201,'TL14'!$J$238:$J$451),0),
IF('TL15'!$B$3=K$3,SUMIF('TL15'!$C$10:$C$224,$C201,'TL15'!$J$10:$J$224),0),
IF('TL15'!$B$229=K$3,SUMIF('TL15'!$C$238:$C$451,$C201,'TL15'!$J$238:$J$451),0),
IF('TL16'!$B$3=K$3,SUMIF('TL16'!$C$10:$C$224,$C201,'TL16'!$J$10:$J$224),0),
IF('TL16'!$B$229=K$3,SUMIF('TL16'!$C$238:$C$451,$C201,'TL16'!$J$238:$J$451),0),
IF('TL17'!$B$3=K$3,SUMIF('TL17'!$C$10:$C$224,$C201,'TL17'!$J$10:$J$224),0),
IF('TL17'!$B$229=K$3,SUMIF('TL17'!$C$238:$C$451,$C201,'TL17'!$J$238:$J$451),0),
IF('TL18'!$B$3=K$3,SUMIF('TL18'!$C$10:$C$224,$C201,'TL18'!$J$10:$J$224),0),
IF('TL18'!$B$229=K$3,SUMIF('TL18'!$C$238:$C$451,$C201,'TL18'!$J$238:$J$451),0),
IF('TL19'!$B$3=K$3,SUMIF('TL19'!$C$10:$C$224,$C201,'TL19'!$J$10:$J$224),0),
IF('TL19'!$B$229=K$3,SUMIF('TL19'!$C$238:$C$451,$C201,'TL19'!$J$238:$J$451),0)
),0)</f>
        <v>0</v>
      </c>
      <c r="L201" s="9">
        <f>IFERROR(SUM(
IF('TL01'!$B$3=L$3,SUMIF('TL01'!$C$10:$C$224,$C201,'TL01'!$J$10:$J$224),0),
IF('TL01'!$B$229=L$3,SUMIF('TL01'!$C$238:$C$451,$C201,'TL01'!$J$238:$J$451),0),
IF('TL02'!$B$3=L$3,SUMIF('TL02'!$C$10:$C$224,$C201,'TL02'!$J$10:$J$224),0),
IF('TL02'!$B$229=L$3,SUMIF('TL02'!$C$238:$C$451,$C201,'TL02'!$J$238:$J$451),0),
IF('TL03'!$B$3=L$3,SUMIF('TL03'!$C$10:$C$224,$C201,'TL03'!$J$10:$J$224),0),
IF('TL03'!$B$229=L$3,SUMIF('TL03'!$C$238:$C$451,$C201,'TL03'!$J$238:$J$451),0),
IF('TL04'!$B$3=L$3,SUMIF('TL04'!$C$10:$C$224,$C201,'TL04'!$J$10:$J$224),0),
IF('TL04'!$B$229=L$3,SUMIF('TL04'!$C$238:$C$451,$C201,'TL04'!$J$238:$J$451),0),
IF('TL05'!$B$3=L$3,SUMIF('TL05'!$C$10:$C$224,$C201,'TL05'!$J$10:$J$224),0),
IF('TL05'!$B$229=L$3,SUMIF('TL05'!$C$238:$C$451,$C201,'TL05'!$J$238:$J$451),0),
IF('TL06'!$B$3=L$3,SUMIF('TL06'!$C$10:$C$224,$C201,'TL06'!$J$10:$J$224),0),
IF('TL06'!$B$229=L$3,SUMIF('TL06'!$C$238:$C$451,$C201,'TL06'!$J$238:$J$451),0),
IF('TL07'!$B$3=L$3,SUMIF('TL07'!$C$10:$C$224,$C201,'TL07'!$J$10:$J$224),0),
IF('TL07'!$B$229=L$3,SUMIF('TL07'!$C$238:$C$451,$C201,'TL07'!$J$238:$J$451),0),
IF('TL08'!$B$3=L$3,SUMIF('TL08'!$C$10:$C$224,$C201,'TL08'!$J$10:$J$224),0),
IF('TL08'!$B$229=L$3,SUMIF('TL08'!$C$238:$C$451,$C201,'TL08'!$J$238:$J$451),0),
IF('TL09'!$B$3=L$3,SUMIF('TL09'!$C$10:$C$224,$C201,'TL09'!$J$10:$J$224),0),
IF('TL09'!$B$229=L$3,SUMIF('TL09'!$C$238:$C$451,$C201,'TL09'!$J$238:$J$451),0),
IF('TL10'!$B$3=L$3,SUMIF('TL10'!$C$10:$C$224,$C201,'TL10'!$J$10:$J$224),0),
IF('TL10'!$B$229=L$3,SUMIF('TL10'!$C$238:$C$451,$C201,'TL10'!$J$238:$J$451),0),
IF('TL11'!$B$3=L$3,SUMIF('TL11'!$C$10:$C$224,$C201,'TL11'!$J$10:$J$224),0),
IF('TL11'!$B$229=L$3,SUMIF('TL11'!$C$238:$C$451,$C201,'TL11'!$J$238:$J$451),0),
IF('TL12'!$B$3=L$3,SUMIF('TL12'!$C$10:$C$224,$C201,'TL12'!$J$10:$J$224),0),
IF('TL12'!$B$229=L$3,SUMIF('TL12'!$C$238:$C$451,$C201,'TL12'!$J$238:$J$451),0),
IF('TL13'!$B$3=L$3,SUMIF('TL13'!$C$10:$C$224,$C201,'TL13'!$J$10:$J$224),0),
IF('TL13'!$B$229=L$3,SUMIF('TL13'!$C$238:$C$451,$C201,'TL13'!$J$238:$J$451),0),
IF('TL14'!$B$3=L$3,SUMIF('TL14'!$C$10:$C$224,$C201,'TL14'!$J$10:$J$224),0),
IF('TL14'!$B$229=L$3,SUMIF('TL14'!$C$238:$C$451,$C201,'TL14'!$J$238:$J$451),0),
IF('TL15'!$B$3=L$3,SUMIF('TL15'!$C$10:$C$224,$C201,'TL15'!$J$10:$J$224),0),
IF('TL15'!$B$229=L$3,SUMIF('TL15'!$C$238:$C$451,$C201,'TL15'!$J$238:$J$451),0),
IF('TL16'!$B$3=L$3,SUMIF('TL16'!$C$10:$C$224,$C201,'TL16'!$J$10:$J$224),0),
IF('TL16'!$B$229=L$3,SUMIF('TL16'!$C$238:$C$451,$C201,'TL16'!$J$238:$J$451),0),
IF('TL17'!$B$3=L$3,SUMIF('TL17'!$C$10:$C$224,$C201,'TL17'!$J$10:$J$224),0),
IF('TL17'!$B$229=L$3,SUMIF('TL17'!$C$238:$C$451,$C201,'TL17'!$J$238:$J$451),0),
IF('TL18'!$B$3=L$3,SUMIF('TL18'!$C$10:$C$224,$C201,'TL18'!$J$10:$J$224),0),
IF('TL18'!$B$229=L$3,SUMIF('TL18'!$C$238:$C$451,$C201,'TL18'!$J$238:$J$451),0),
IF('TL19'!$B$3=L$3,SUMIF('TL19'!$C$10:$C$224,$C201,'TL19'!$J$10:$J$224),0),
IF('TL19'!$B$229=L$3,SUMIF('TL19'!$C$238:$C$451,$C201,'TL19'!$J$238:$J$451),0)
),0)</f>
        <v>0</v>
      </c>
      <c r="M201" s="9">
        <f>IFERROR(SUM(
IF('TL01'!$B$3=M$3,SUMIF('TL01'!$C$10:$C$224,$C201,'TL01'!$J$10:$J$224),0),
IF('TL01'!$B$229=M$3,SUMIF('TL01'!$C$238:$C$451,$C201,'TL01'!$J$238:$J$451),0),
IF('TL02'!$B$3=M$3,SUMIF('TL02'!$C$10:$C$224,$C201,'TL02'!$J$10:$J$224),0),
IF('TL02'!$B$229=M$3,SUMIF('TL02'!$C$238:$C$451,$C201,'TL02'!$J$238:$J$451),0),
IF('TL03'!$B$3=M$3,SUMIF('TL03'!$C$10:$C$224,$C201,'TL03'!$J$10:$J$224),0),
IF('TL03'!$B$229=M$3,SUMIF('TL03'!$C$238:$C$451,$C201,'TL03'!$J$238:$J$451),0),
IF('TL04'!$B$3=M$3,SUMIF('TL04'!$C$10:$C$224,$C201,'TL04'!$J$10:$J$224),0),
IF('TL04'!$B$229=M$3,SUMIF('TL04'!$C$238:$C$451,$C201,'TL04'!$J$238:$J$451),0),
IF('TL05'!$B$3=M$3,SUMIF('TL05'!$C$10:$C$224,$C201,'TL05'!$J$10:$J$224),0),
IF('TL05'!$B$229=M$3,SUMIF('TL05'!$C$238:$C$451,$C201,'TL05'!$J$238:$J$451),0),
IF('TL06'!$B$3=M$3,SUMIF('TL06'!$C$10:$C$224,$C201,'TL06'!$J$10:$J$224),0),
IF('TL06'!$B$229=M$3,SUMIF('TL06'!$C$238:$C$451,$C201,'TL06'!$J$238:$J$451),0),
IF('TL07'!$B$3=M$3,SUMIF('TL07'!$C$10:$C$224,$C201,'TL07'!$J$10:$J$224),0),
IF('TL07'!$B$229=M$3,SUMIF('TL07'!$C$238:$C$451,$C201,'TL07'!$J$238:$J$451),0),
IF('TL08'!$B$3=M$3,SUMIF('TL08'!$C$10:$C$224,$C201,'TL08'!$J$10:$J$224),0),
IF('TL08'!$B$229=M$3,SUMIF('TL08'!$C$238:$C$451,$C201,'TL08'!$J$238:$J$451),0),
IF('TL09'!$B$3=M$3,SUMIF('TL09'!$C$10:$C$224,$C201,'TL09'!$J$10:$J$224),0),
IF('TL09'!$B$229=M$3,SUMIF('TL09'!$C$238:$C$451,$C201,'TL09'!$J$238:$J$451),0),
IF('TL10'!$B$3=M$3,SUMIF('TL10'!$C$10:$C$224,$C201,'TL10'!$J$10:$J$224),0),
IF('TL10'!$B$229=M$3,SUMIF('TL10'!$C$238:$C$451,$C201,'TL10'!$J$238:$J$451),0),
IF('TL11'!$B$3=M$3,SUMIF('TL11'!$C$10:$C$224,$C201,'TL11'!$J$10:$J$224),0),
IF('TL11'!$B$229=M$3,SUMIF('TL11'!$C$238:$C$451,$C201,'TL11'!$J$238:$J$451),0),
IF('TL12'!$B$3=M$3,SUMIF('TL12'!$C$10:$C$224,$C201,'TL12'!$J$10:$J$224),0),
IF('TL12'!$B$229=M$3,SUMIF('TL12'!$C$238:$C$451,$C201,'TL12'!$J$238:$J$451),0),
IF('TL13'!$B$3=M$3,SUMIF('TL13'!$C$10:$C$224,$C201,'TL13'!$J$10:$J$224),0),
IF('TL13'!$B$229=M$3,SUMIF('TL13'!$C$238:$C$451,$C201,'TL13'!$J$238:$J$451),0),
IF('TL14'!$B$3=M$3,SUMIF('TL14'!$C$10:$C$224,$C201,'TL14'!$J$10:$J$224),0),
IF('TL14'!$B$229=M$3,SUMIF('TL14'!$C$238:$C$451,$C201,'TL14'!$J$238:$J$451),0),
IF('TL15'!$B$3=M$3,SUMIF('TL15'!$C$10:$C$224,$C201,'TL15'!$J$10:$J$224),0),
IF('TL15'!$B$229=M$3,SUMIF('TL15'!$C$238:$C$451,$C201,'TL15'!$J$238:$J$451),0),
IF('TL16'!$B$3=M$3,SUMIF('TL16'!$C$10:$C$224,$C201,'TL16'!$J$10:$J$224),0),
IF('TL16'!$B$229=M$3,SUMIF('TL16'!$C$238:$C$451,$C201,'TL16'!$J$238:$J$451),0),
IF('TL17'!$B$3=M$3,SUMIF('TL17'!$C$10:$C$224,$C201,'TL17'!$J$10:$J$224),0),
IF('TL17'!$B$229=M$3,SUMIF('TL17'!$C$238:$C$451,$C201,'TL17'!$J$238:$J$451),0),
IF('TL18'!$B$3=M$3,SUMIF('TL18'!$C$10:$C$224,$C201,'TL18'!$J$10:$J$224),0),
IF('TL18'!$B$229=M$3,SUMIF('TL18'!$C$238:$C$451,$C201,'TL18'!$J$238:$J$451),0),
IF('TL19'!$B$3=M$3,SUMIF('TL19'!$C$10:$C$224,$C201,'TL19'!$J$10:$J$224),0),
IF('TL19'!$B$229=M$3,SUMIF('TL19'!$C$238:$C$451,$C201,'TL19'!$J$238:$J$451),0)
),0)</f>
        <v>0</v>
      </c>
      <c r="N201" s="9">
        <f>IFERROR(SUM(
IF('TL01'!$B$3=N$3,SUMIF('TL01'!$C$10:$C$224,$C201,'TL01'!$J$10:$J$224),0),
IF('TL01'!$B$229=N$3,SUMIF('TL01'!$C$238:$C$451,$C201,'TL01'!$J$238:$J$451),0),
IF('TL02'!$B$3=N$3,SUMIF('TL02'!$C$10:$C$224,$C201,'TL02'!$J$10:$J$224),0),
IF('TL02'!$B$229=N$3,SUMIF('TL02'!$C$238:$C$451,$C201,'TL02'!$J$238:$J$451),0),
IF('TL03'!$B$3=N$3,SUMIF('TL03'!$C$10:$C$224,$C201,'TL03'!$J$10:$J$224),0),
IF('TL03'!$B$229=N$3,SUMIF('TL03'!$C$238:$C$451,$C201,'TL03'!$J$238:$J$451),0),
IF('TL04'!$B$3=N$3,SUMIF('TL04'!$C$10:$C$224,$C201,'TL04'!$J$10:$J$224),0),
IF('TL04'!$B$229=N$3,SUMIF('TL04'!$C$238:$C$451,$C201,'TL04'!$J$238:$J$451),0),
IF('TL05'!$B$3=N$3,SUMIF('TL05'!$C$10:$C$224,$C201,'TL05'!$J$10:$J$224),0),
IF('TL05'!$B$229=N$3,SUMIF('TL05'!$C$238:$C$451,$C201,'TL05'!$J$238:$J$451),0),
IF('TL06'!$B$3=N$3,SUMIF('TL06'!$C$10:$C$224,$C201,'TL06'!$J$10:$J$224),0),
IF('TL06'!$B$229=N$3,SUMIF('TL06'!$C$238:$C$451,$C201,'TL06'!$J$238:$J$451),0),
IF('TL07'!$B$3=N$3,SUMIF('TL07'!$C$10:$C$224,$C201,'TL07'!$J$10:$J$224),0),
IF('TL07'!$B$229=N$3,SUMIF('TL07'!$C$238:$C$451,$C201,'TL07'!$J$238:$J$451),0),
IF('TL08'!$B$3=N$3,SUMIF('TL08'!$C$10:$C$224,$C201,'TL08'!$J$10:$J$224),0),
IF('TL08'!$B$229=N$3,SUMIF('TL08'!$C$238:$C$451,$C201,'TL08'!$J$238:$J$451),0),
IF('TL09'!$B$3=N$3,SUMIF('TL09'!$C$10:$C$224,$C201,'TL09'!$J$10:$J$224),0),
IF('TL09'!$B$229=N$3,SUMIF('TL09'!$C$238:$C$451,$C201,'TL09'!$J$238:$J$451),0),
IF('TL10'!$B$3=N$3,SUMIF('TL10'!$C$10:$C$224,$C201,'TL10'!$J$10:$J$224),0),
IF('TL10'!$B$229=N$3,SUMIF('TL10'!$C$238:$C$451,$C201,'TL10'!$J$238:$J$451),0),
IF('TL11'!$B$3=N$3,SUMIF('TL11'!$C$10:$C$224,$C201,'TL11'!$J$10:$J$224),0),
IF('TL11'!$B$229=N$3,SUMIF('TL11'!$C$238:$C$451,$C201,'TL11'!$J$238:$J$451),0),
IF('TL12'!$B$3=N$3,SUMIF('TL12'!$C$10:$C$224,$C201,'TL12'!$J$10:$J$224),0),
IF('TL12'!$B$229=N$3,SUMIF('TL12'!$C$238:$C$451,$C201,'TL12'!$J$238:$J$451),0),
IF('TL13'!$B$3=N$3,SUMIF('TL13'!$C$10:$C$224,$C201,'TL13'!$J$10:$J$224),0),
IF('TL13'!$B$229=N$3,SUMIF('TL13'!$C$238:$C$451,$C201,'TL13'!$J$238:$J$451),0),
IF('TL14'!$B$3=N$3,SUMIF('TL14'!$C$10:$C$224,$C201,'TL14'!$J$10:$J$224),0),
IF('TL14'!$B$229=N$3,SUMIF('TL14'!$C$238:$C$451,$C201,'TL14'!$J$238:$J$451),0),
IF('TL15'!$B$3=N$3,SUMIF('TL15'!$C$10:$C$224,$C201,'TL15'!$J$10:$J$224),0),
IF('TL15'!$B$229=N$3,SUMIF('TL15'!$C$238:$C$451,$C201,'TL15'!$J$238:$J$451),0),
IF('TL16'!$B$3=N$3,SUMIF('TL16'!$C$10:$C$224,$C201,'TL16'!$J$10:$J$224),0),
IF('TL16'!$B$229=N$3,SUMIF('TL16'!$C$238:$C$451,$C201,'TL16'!$J$238:$J$451),0),
IF('TL17'!$B$3=N$3,SUMIF('TL17'!$C$10:$C$224,$C201,'TL17'!$J$10:$J$224),0),
IF('TL17'!$B$229=N$3,SUMIF('TL17'!$C$238:$C$451,$C201,'TL17'!$J$238:$J$451),0),
IF('TL18'!$B$3=N$3,SUMIF('TL18'!$C$10:$C$224,$C201,'TL18'!$J$10:$J$224),0),
IF('TL18'!$B$229=N$3,SUMIF('TL18'!$C$238:$C$451,$C201,'TL18'!$J$238:$J$451),0),
IF('TL19'!$B$3=N$3,SUMIF('TL19'!$C$10:$C$224,$C201,'TL19'!$J$10:$J$224),0),
IF('TL19'!$B$229=N$3,SUMIF('TL19'!$C$238:$C$451,$C201,'TL19'!$J$238:$J$451),0)
),0)</f>
        <v>0</v>
      </c>
      <c r="O201" s="9">
        <f>IFERROR(SUM(
IF('TL01'!$B$3=O$3,SUMIF('TL01'!$C$10:$C$224,$C201,'TL01'!$J$10:$J$224),0),
IF('TL01'!$B$229=O$3,SUMIF('TL01'!$C$238:$C$451,$C201,'TL01'!$J$238:$J$451),0),
IF('TL02'!$B$3=O$3,SUMIF('TL02'!$C$10:$C$224,$C201,'TL02'!$J$10:$J$224),0),
IF('TL02'!$B$229=O$3,SUMIF('TL02'!$C$238:$C$451,$C201,'TL02'!$J$238:$J$451),0),
IF('TL03'!$B$3=O$3,SUMIF('TL03'!$C$10:$C$224,$C201,'TL03'!$J$10:$J$224),0),
IF('TL03'!$B$229=O$3,SUMIF('TL03'!$C$238:$C$451,$C201,'TL03'!$J$238:$J$451),0),
IF('TL04'!$B$3=O$3,SUMIF('TL04'!$C$10:$C$224,$C201,'TL04'!$J$10:$J$224),0),
IF('TL04'!$B$229=O$3,SUMIF('TL04'!$C$238:$C$451,$C201,'TL04'!$J$238:$J$451),0),
IF('TL05'!$B$3=O$3,SUMIF('TL05'!$C$10:$C$224,$C201,'TL05'!$J$10:$J$224),0),
IF('TL05'!$B$229=O$3,SUMIF('TL05'!$C$238:$C$451,$C201,'TL05'!$J$238:$J$451),0),
IF('TL06'!$B$3=O$3,SUMIF('TL06'!$C$10:$C$224,$C201,'TL06'!$J$10:$J$224),0),
IF('TL06'!$B$229=O$3,SUMIF('TL06'!$C$238:$C$451,$C201,'TL06'!$J$238:$J$451),0),
IF('TL07'!$B$3=O$3,SUMIF('TL07'!$C$10:$C$224,$C201,'TL07'!$J$10:$J$224),0),
IF('TL07'!$B$229=O$3,SUMIF('TL07'!$C$238:$C$451,$C201,'TL07'!$J$238:$J$451),0),
IF('TL08'!$B$3=O$3,SUMIF('TL08'!$C$10:$C$224,$C201,'TL08'!$J$10:$J$224),0),
IF('TL08'!$B$229=O$3,SUMIF('TL08'!$C$238:$C$451,$C201,'TL08'!$J$238:$J$451),0),
IF('TL09'!$B$3=O$3,SUMIF('TL09'!$C$10:$C$224,$C201,'TL09'!$J$10:$J$224),0),
IF('TL09'!$B$229=O$3,SUMIF('TL09'!$C$238:$C$451,$C201,'TL09'!$J$238:$J$451),0),
IF('TL10'!$B$3=O$3,SUMIF('TL10'!$C$10:$C$224,$C201,'TL10'!$J$10:$J$224),0),
IF('TL10'!$B$229=O$3,SUMIF('TL10'!$C$238:$C$451,$C201,'TL10'!$J$238:$J$451),0),
IF('TL11'!$B$3=O$3,SUMIF('TL11'!$C$10:$C$224,$C201,'TL11'!$J$10:$J$224),0),
IF('TL11'!$B$229=O$3,SUMIF('TL11'!$C$238:$C$451,$C201,'TL11'!$J$238:$J$451),0),
IF('TL12'!$B$3=O$3,SUMIF('TL12'!$C$10:$C$224,$C201,'TL12'!$J$10:$J$224),0),
IF('TL12'!$B$229=O$3,SUMIF('TL12'!$C$238:$C$451,$C201,'TL12'!$J$238:$J$451),0),
IF('TL13'!$B$3=O$3,SUMIF('TL13'!$C$10:$C$224,$C201,'TL13'!$J$10:$J$224),0),
IF('TL13'!$B$229=O$3,SUMIF('TL13'!$C$238:$C$451,$C201,'TL13'!$J$238:$J$451),0),
IF('TL14'!$B$3=O$3,SUMIF('TL14'!$C$10:$C$224,$C201,'TL14'!$J$10:$J$224),0),
IF('TL14'!$B$229=O$3,SUMIF('TL14'!$C$238:$C$451,$C201,'TL14'!$J$238:$J$451),0),
IF('TL15'!$B$3=O$3,SUMIF('TL15'!$C$10:$C$224,$C201,'TL15'!$J$10:$J$224),0),
IF('TL15'!$B$229=O$3,SUMIF('TL15'!$C$238:$C$451,$C201,'TL15'!$J$238:$J$451),0),
IF('TL16'!$B$3=O$3,SUMIF('TL16'!$C$10:$C$224,$C201,'TL16'!$J$10:$J$224),0),
IF('TL16'!$B$229=O$3,SUMIF('TL16'!$C$238:$C$451,$C201,'TL16'!$J$238:$J$451),0),
IF('TL17'!$B$3=O$3,SUMIF('TL17'!$C$10:$C$224,$C201,'TL17'!$J$10:$J$224),0),
IF('TL17'!$B$229=O$3,SUMIF('TL17'!$C$238:$C$451,$C201,'TL17'!$J$238:$J$451),0),
IF('TL18'!$B$3=O$3,SUMIF('TL18'!$C$10:$C$224,$C201,'TL18'!$J$10:$J$224),0),
IF('TL18'!$B$229=O$3,SUMIF('TL18'!$C$238:$C$451,$C201,'TL18'!$J$238:$J$451),0),
IF('TL19'!$B$3=O$3,SUMIF('TL19'!$C$10:$C$224,$C201,'TL19'!$J$10:$J$224),0),
IF('TL19'!$B$229=O$3,SUMIF('TL19'!$C$238:$C$451,$C201,'TL19'!$J$238:$J$451),0)
),0)</f>
        <v>0</v>
      </c>
      <c r="P201" s="9">
        <f>IFERROR(SUM(
IF('TL01'!$B$3=P$3,SUMIF('TL01'!$C$10:$C$224,$C201,'TL01'!$J$10:$J$224),0),
IF('TL01'!$B$229=P$3,SUMIF('TL01'!$C$238:$C$451,$C201,'TL01'!$J$238:$J$451),0),
IF('TL02'!$B$3=P$3,SUMIF('TL02'!$C$10:$C$224,$C201,'TL02'!$J$10:$J$224),0),
IF('TL02'!$B$229=P$3,SUMIF('TL02'!$C$238:$C$451,$C201,'TL02'!$J$238:$J$451),0),
IF('TL03'!$B$3=P$3,SUMIF('TL03'!$C$10:$C$224,$C201,'TL03'!$J$10:$J$224),0),
IF('TL03'!$B$229=P$3,SUMIF('TL03'!$C$238:$C$451,$C201,'TL03'!$J$238:$J$451),0),
IF('TL04'!$B$3=P$3,SUMIF('TL04'!$C$10:$C$224,$C201,'TL04'!$J$10:$J$224),0),
IF('TL04'!$B$229=P$3,SUMIF('TL04'!$C$238:$C$451,$C201,'TL04'!$J$238:$J$451),0),
IF('TL05'!$B$3=P$3,SUMIF('TL05'!$C$10:$C$224,$C201,'TL05'!$J$10:$J$224),0),
IF('TL05'!$B$229=P$3,SUMIF('TL05'!$C$238:$C$451,$C201,'TL05'!$J$238:$J$451),0),
IF('TL06'!$B$3=P$3,SUMIF('TL06'!$C$10:$C$224,$C201,'TL06'!$J$10:$J$224),0),
IF('TL06'!$B$229=P$3,SUMIF('TL06'!$C$238:$C$451,$C201,'TL06'!$J$238:$J$451),0),
IF('TL07'!$B$3=P$3,SUMIF('TL07'!$C$10:$C$224,$C201,'TL07'!$J$10:$J$224),0),
IF('TL07'!$B$229=P$3,SUMIF('TL07'!$C$238:$C$451,$C201,'TL07'!$J$238:$J$451),0),
IF('TL08'!$B$3=P$3,SUMIF('TL08'!$C$10:$C$224,$C201,'TL08'!$J$10:$J$224),0),
IF('TL08'!$B$229=P$3,SUMIF('TL08'!$C$238:$C$451,$C201,'TL08'!$J$238:$J$451),0),
IF('TL09'!$B$3=P$3,SUMIF('TL09'!$C$10:$C$224,$C201,'TL09'!$J$10:$J$224),0),
IF('TL09'!$B$229=P$3,SUMIF('TL09'!$C$238:$C$451,$C201,'TL09'!$J$238:$J$451),0),
IF('TL10'!$B$3=P$3,SUMIF('TL10'!$C$10:$C$224,$C201,'TL10'!$J$10:$J$224),0),
IF('TL10'!$B$229=P$3,SUMIF('TL10'!$C$238:$C$451,$C201,'TL10'!$J$238:$J$451),0),
IF('TL11'!$B$3=P$3,SUMIF('TL11'!$C$10:$C$224,$C201,'TL11'!$J$10:$J$224),0),
IF('TL11'!$B$229=P$3,SUMIF('TL11'!$C$238:$C$451,$C201,'TL11'!$J$238:$J$451),0),
IF('TL12'!$B$3=P$3,SUMIF('TL12'!$C$10:$C$224,$C201,'TL12'!$J$10:$J$224),0),
IF('TL12'!$B$229=P$3,SUMIF('TL12'!$C$238:$C$451,$C201,'TL12'!$J$238:$J$451),0),
IF('TL13'!$B$3=P$3,SUMIF('TL13'!$C$10:$C$224,$C201,'TL13'!$J$10:$J$224),0),
IF('TL13'!$B$229=P$3,SUMIF('TL13'!$C$238:$C$451,$C201,'TL13'!$J$238:$J$451),0),
IF('TL14'!$B$3=P$3,SUMIF('TL14'!$C$10:$C$224,$C201,'TL14'!$J$10:$J$224),0),
IF('TL14'!$B$229=P$3,SUMIF('TL14'!$C$238:$C$451,$C201,'TL14'!$J$238:$J$451),0),
IF('TL15'!$B$3=P$3,SUMIF('TL15'!$C$10:$C$224,$C201,'TL15'!$J$10:$J$224),0),
IF('TL15'!$B$229=P$3,SUMIF('TL15'!$C$238:$C$451,$C201,'TL15'!$J$238:$J$451),0),
IF('TL16'!$B$3=P$3,SUMIF('TL16'!$C$10:$C$224,$C201,'TL16'!$J$10:$J$224),0),
IF('TL16'!$B$229=P$3,SUMIF('TL16'!$C$238:$C$451,$C201,'TL16'!$J$238:$J$451),0),
IF('TL17'!$B$3=P$3,SUMIF('TL17'!$C$10:$C$224,$C201,'TL17'!$J$10:$J$224),0),
IF('TL17'!$B$229=P$3,SUMIF('TL17'!$C$238:$C$451,$C201,'TL17'!$J$238:$J$451),0),
IF('TL18'!$B$3=P$3,SUMIF('TL18'!$C$10:$C$224,$C201,'TL18'!$J$10:$J$224),0),
IF('TL18'!$B$229=P$3,SUMIF('TL18'!$C$238:$C$451,$C201,'TL18'!$J$238:$J$451),0),
IF('TL19'!$B$3=P$3,SUMIF('TL19'!$C$10:$C$224,$C201,'TL19'!$J$10:$J$224),0),
IF('TL19'!$B$229=P$3,SUMIF('TL19'!$C$238:$C$451,$C201,'TL19'!$J$238:$J$451),0)
),0)</f>
        <v>0</v>
      </c>
      <c r="Q201" s="9">
        <f>IFERROR(SUM(
IF('TL01'!$B$3=Q$3,SUMIF('TL01'!$C$10:$C$224,$C201,'TL01'!$J$10:$J$224),0),
IF('TL01'!$B$229=Q$3,SUMIF('TL01'!$C$238:$C$451,$C201,'TL01'!$J$238:$J$451),0),
IF('TL02'!$B$3=Q$3,SUMIF('TL02'!$C$10:$C$224,$C201,'TL02'!$J$10:$J$224),0),
IF('TL02'!$B$229=Q$3,SUMIF('TL02'!$C$238:$C$451,$C201,'TL02'!$J$238:$J$451),0),
IF('TL03'!$B$3=Q$3,SUMIF('TL03'!$C$10:$C$224,$C201,'TL03'!$J$10:$J$224),0),
IF('TL03'!$B$229=Q$3,SUMIF('TL03'!$C$238:$C$451,$C201,'TL03'!$J$238:$J$451),0),
IF('TL04'!$B$3=Q$3,SUMIF('TL04'!$C$10:$C$224,$C201,'TL04'!$J$10:$J$224),0),
IF('TL04'!$B$229=Q$3,SUMIF('TL04'!$C$238:$C$451,$C201,'TL04'!$J$238:$J$451),0),
IF('TL05'!$B$3=Q$3,SUMIF('TL05'!$C$10:$C$224,$C201,'TL05'!$J$10:$J$224),0),
IF('TL05'!$B$229=Q$3,SUMIF('TL05'!$C$238:$C$451,$C201,'TL05'!$J$238:$J$451),0),
IF('TL06'!$B$3=Q$3,SUMIF('TL06'!$C$10:$C$224,$C201,'TL06'!$J$10:$J$224),0),
IF('TL06'!$B$229=Q$3,SUMIF('TL06'!$C$238:$C$451,$C201,'TL06'!$J$238:$J$451),0),
IF('TL07'!$B$3=Q$3,SUMIF('TL07'!$C$10:$C$224,$C201,'TL07'!$J$10:$J$224),0),
IF('TL07'!$B$229=Q$3,SUMIF('TL07'!$C$238:$C$451,$C201,'TL07'!$J$238:$J$451),0),
IF('TL08'!$B$3=Q$3,SUMIF('TL08'!$C$10:$C$224,$C201,'TL08'!$J$10:$J$224),0),
IF('TL08'!$B$229=Q$3,SUMIF('TL08'!$C$238:$C$451,$C201,'TL08'!$J$238:$J$451),0),
IF('TL09'!$B$3=Q$3,SUMIF('TL09'!$C$10:$C$224,$C201,'TL09'!$J$10:$J$224),0),
IF('TL09'!$B$229=Q$3,SUMIF('TL09'!$C$238:$C$451,$C201,'TL09'!$J$238:$J$451),0),
IF('TL10'!$B$3=Q$3,SUMIF('TL10'!$C$10:$C$224,$C201,'TL10'!$J$10:$J$224),0),
IF('TL10'!$B$229=Q$3,SUMIF('TL10'!$C$238:$C$451,$C201,'TL10'!$J$238:$J$451),0),
IF('TL11'!$B$3=Q$3,SUMIF('TL11'!$C$10:$C$224,$C201,'TL11'!$J$10:$J$224),0),
IF('TL11'!$B$229=Q$3,SUMIF('TL11'!$C$238:$C$451,$C201,'TL11'!$J$238:$J$451),0),
IF('TL12'!$B$3=Q$3,SUMIF('TL12'!$C$10:$C$224,$C201,'TL12'!$J$10:$J$224),0),
IF('TL12'!$B$229=Q$3,SUMIF('TL12'!$C$238:$C$451,$C201,'TL12'!$J$238:$J$451),0),
IF('TL13'!$B$3=Q$3,SUMIF('TL13'!$C$10:$C$224,$C201,'TL13'!$J$10:$J$224),0),
IF('TL13'!$B$229=Q$3,SUMIF('TL13'!$C$238:$C$451,$C201,'TL13'!$J$238:$J$451),0),
IF('TL14'!$B$3=Q$3,SUMIF('TL14'!$C$10:$C$224,$C201,'TL14'!$J$10:$J$224),0),
IF('TL14'!$B$229=Q$3,SUMIF('TL14'!$C$238:$C$451,$C201,'TL14'!$J$238:$J$451),0),
IF('TL15'!$B$3=Q$3,SUMIF('TL15'!$C$10:$C$224,$C201,'TL15'!$J$10:$J$224),0),
IF('TL15'!$B$229=Q$3,SUMIF('TL15'!$C$238:$C$451,$C201,'TL15'!$J$238:$J$451),0),
IF('TL16'!$B$3=Q$3,SUMIF('TL16'!$C$10:$C$224,$C201,'TL16'!$J$10:$J$224),0),
IF('TL16'!$B$229=Q$3,SUMIF('TL16'!$C$238:$C$451,$C201,'TL16'!$J$238:$J$451),0),
IF('TL17'!$B$3=Q$3,SUMIF('TL17'!$C$10:$C$224,$C201,'TL17'!$J$10:$J$224),0),
IF('TL17'!$B$229=Q$3,SUMIF('TL17'!$C$238:$C$451,$C201,'TL17'!$J$238:$J$451),0),
IF('TL18'!$B$3=Q$3,SUMIF('TL18'!$C$10:$C$224,$C201,'TL18'!$J$10:$J$224),0),
IF('TL18'!$B$229=Q$3,SUMIF('TL18'!$C$238:$C$451,$C201,'TL18'!$J$238:$J$451),0),
IF('TL19'!$B$3=Q$3,SUMIF('TL19'!$C$10:$C$224,$C201,'TL19'!$J$10:$J$224),0),
IF('TL19'!$B$229=Q$3,SUMIF('TL19'!$C$238:$C$451,$C201,'TL19'!$J$238:$J$451),0)
),0)</f>
        <v>0</v>
      </c>
      <c r="R201" s="9">
        <f>IFERROR(
SUM(
SUMIF('TL01'!C:C,C201,'TL01'!J:J),
SUMIF('TL02'!C:C,C201,'TL02'!J:J),
SUMIF('TL03'!C:C,C201,'TL03'!J:J),
SUMIF('TL04'!C:C,C201,'TL04'!J:J),
SUMIF('TL05'!C:C,C201,'TL05'!J:J),
SUMIF('TL06'!C:C,C201,'TL06'!J:J),
SUMIF('TL07'!C:C,C201,'TL07'!J:J),
SUMIF('TL08'!C:C,C201,'TL08'!J:J),
SUMIF('TL09'!C:C,C201,'TL09'!J:J),
SUMIF('TL10'!C:C,C201,'TL10'!J:J),
SUMIF('TL11'!C:C,C201,'TL11'!J:J),
SUMIF('TL12'!C:C,C201,'TL12'!J:J),
SUMIF('TL13'!C:C,C201,'TL13'!J:J),
SUMIF('TL14'!C:C,C201,'TL14'!J:J),
SUMIF('TL15'!C:C,C201,'TL15'!J:J),
SUMIF('TL16'!C:C,C201,'TL16'!J:J),
SUMIF('TL17'!C:C,C201,'TL17'!J:J),
SUMIF('TL18'!C:C,C201,'TL18'!J:J),SUMIF('TL19'!C:C,C201,'TL19'!J:J))
,0)</f>
        <v>0</v>
      </c>
      <c r="S201" s="17">
        <f>IFERROR(__xludf.DUMMYFUNCTION("IFERROR(VLOOKUP(C201,
IMPORTRANGE(""1wULbzX32WdYsx-lj2U3uUNBBe2INVIRDtcK0d-Dvl90"",
""26-27!C:G""),
5,
FALSE),
"""")"),94.29651)</f>
        <v>94.29651</v>
      </c>
      <c r="T201" s="9"/>
      <c r="U201" s="92">
        <f t="shared" si="2"/>
        <v>0</v>
      </c>
      <c r="V201" s="93">
        <f t="shared" si="3"/>
        <v>0</v>
      </c>
    </row>
    <row r="202" ht="15.75" hidden="1" customHeight="1">
      <c r="A202" s="87" t="s">
        <v>378</v>
      </c>
      <c r="B202" s="88" t="s">
        <v>2</v>
      </c>
      <c r="C202" s="89" t="s">
        <v>819</v>
      </c>
      <c r="D202" s="89" t="s">
        <v>820</v>
      </c>
      <c r="E202" s="89">
        <v>1170.0</v>
      </c>
      <c r="F202" s="4" t="s">
        <v>343</v>
      </c>
      <c r="G202" s="90" t="str">
        <f t="shared" si="4"/>
        <v>📄 Ver bula</v>
      </c>
      <c r="H202" s="9" t="str">
        <f>IFERROR(__xludf.DUMMYFUNCTION("IFERROR(VLOOKUP(C202,
IMPORTRANGE(""1wULbzX32WdYsx-lj2U3uUNBBe2INVIRDtcK0d-Dvl90"",
""26-27!C:K""),
8,
FALSE),
"""")"),"")</f>
        <v/>
      </c>
      <c r="I202" s="91" t="s">
        <v>821</v>
      </c>
      <c r="J202" s="9">
        <f>IFERROR(SUM(
IF('TL01'!$B$3=J$3,SUMIF('TL01'!$C$10:$C$224,$C202,'TL01'!$J$10:$J$224),0),
IF('TL01'!$B$229=J$3,SUMIF('TL01'!$C$238:$C$451,$C202,'TL01'!$J$238:$J$451),0),
IF('TL02'!$B$3=J$3,SUMIF('TL02'!$C$10:$C$224,$C202,'TL02'!$J$10:$J$224),0),
IF('TL02'!$B$229=J$3,SUMIF('TL02'!$C$238:$C$451,$C202,'TL02'!$J$238:$J$451),0),
IF('TL03'!$B$3=J$3,SUMIF('TL03'!$C$10:$C$224,$C202,'TL03'!$J$10:$J$224),0),
IF('TL03'!$B$229=J$3,SUMIF('TL03'!$C$238:$C$451,$C202,'TL03'!$J$238:$J$451),0),
IF('TL04'!$B$3=J$3,SUMIF('TL04'!$C$10:$C$224,$C202,'TL04'!$J$10:$J$224),0),
IF('TL04'!$B$229=J$3,SUMIF('TL04'!$C$238:$C$451,$C202,'TL04'!$J$238:$J$451),0),
IF('TL05'!$B$3=J$3,SUMIF('TL05'!$C$10:$C$224,$C202,'TL05'!$J$10:$J$224),0),
IF('TL05'!$B$229=J$3,SUMIF('TL05'!$C$238:$C$451,$C202,'TL05'!$J$238:$J$451),0),
IF('TL06'!$B$3=J$3,SUMIF('TL06'!$C$10:$C$224,$C202,'TL06'!$J$10:$J$224),0),
IF('TL06'!$B$229=J$3,SUMIF('TL06'!$C$238:$C$451,$C202,'TL06'!$J$238:$J$451),0),
IF('TL07'!$B$3=J$3,SUMIF('TL07'!$C$10:$C$224,$C202,'TL07'!$J$10:$J$224),0),
IF('TL07'!$B$229=J$3,SUMIF('TL07'!$C$238:$C$451,$C202,'TL07'!$J$238:$J$451),0),
IF('TL08'!$B$3=J$3,SUMIF('TL08'!$C$10:$C$224,$C202,'TL08'!$J$10:$J$224),0),
IF('TL08'!$B$229=J$3,SUMIF('TL08'!$C$238:$C$451,$C202,'TL08'!$J$238:$J$451),0),
IF('TL09'!$B$3=J$3,SUMIF('TL09'!$C$10:$C$224,$C202,'TL09'!$J$10:$J$224),0),
IF('TL09'!$B$229=J$3,SUMIF('TL09'!$C$238:$C$451,$C202,'TL09'!$J$238:$J$451),0),
IF('TL10'!$B$3=J$3,SUMIF('TL10'!$C$10:$C$224,$C202,'TL10'!$J$10:$J$224),0),
IF('TL10'!$B$229=J$3,SUMIF('TL10'!$C$238:$C$451,$C202,'TL10'!$J$238:$J$451),0),
IF('TL11'!$B$3=J$3,SUMIF('TL11'!$C$10:$C$224,$C202,'TL11'!$J$10:$J$224),0),
IF('TL11'!$B$229=J$3,SUMIF('TL11'!$C$238:$C$451,$C202,'TL11'!$J$238:$J$451),0),
IF('TL12'!$B$3=J$3,SUMIF('TL12'!$C$10:$C$224,$C202,'TL12'!$J$10:$J$224),0),
IF('TL12'!$B$229=J$3,SUMIF('TL12'!$C$238:$C$451,$C202,'TL12'!$J$238:$J$451),0),
IF('TL13'!$B$3=J$3,SUMIF('TL13'!$C$10:$C$224,$C202,'TL13'!$J$10:$J$224),0),
IF('TL13'!$B$229=J$3,SUMIF('TL13'!$C$238:$C$451,$C202,'TL13'!$J$238:$J$451),0),
IF('TL14'!$B$3=J$3,SUMIF('TL14'!$C$10:$C$224,$C202,'TL14'!$J$10:$J$224),0),
IF('TL14'!$B$229=J$3,SUMIF('TL14'!$C$238:$C$451,$C202,'TL14'!$J$238:$J$451),0),
IF('TL15'!$B$3=J$3,SUMIF('TL15'!$C$10:$C$224,$C202,'TL15'!$J$10:$J$224),0),
IF('TL15'!$B$229=J$3,SUMIF('TL15'!$C$238:$C$451,$C202,'TL15'!$J$238:$J$451),0),
IF('TL16'!$B$3=J$3,SUMIF('TL16'!$C$10:$C$224,$C202,'TL16'!$J$10:$J$224),0),
IF('TL16'!$B$229=J$3,SUMIF('TL16'!$C$238:$C$451,$C202,'TL16'!$J$238:$J$451),0),
IF('TL17'!$B$3=J$3,SUMIF('TL17'!$C$10:$C$224,$C202,'TL17'!$J$10:$J$224),0),
IF('TL17'!$B$229=J$3,SUMIF('TL17'!$C$238:$C$451,$C202,'TL17'!$J$238:$J$451),0),
IF('TL18'!$B$3=J$3,SUMIF('TL18'!$C$10:$C$224,$C202,'TL18'!$J$10:$J$224),0),
IF('TL18'!$B$229=J$3,SUMIF('TL18'!$C$238:$C$451,$C202,'TL18'!$J$238:$J$451),0),
IF('TL19'!$B$3=J$3,SUMIF('TL19'!$C$10:$C$224,$C202,'TL19'!$J$10:$J$224),0),
IF('TL19'!$B$229=J$3,SUMIF('TL19'!$C$238:$C$451,$C202,'TL19'!$J$238:$J$451),0)
),0)</f>
        <v>0</v>
      </c>
      <c r="K202" s="9">
        <f>IFERROR(SUM(
IF('TL01'!$B$3=K$3,SUMIF('TL01'!$C$10:$C$224,$C202,'TL01'!$J$10:$J$224),0),
IF('TL01'!$B$229=K$3,SUMIF('TL01'!$C$238:$C$451,$C202,'TL01'!$J$238:$J$451),0),
IF('TL02'!$B$3=K$3,SUMIF('TL02'!$C$10:$C$224,$C202,'TL02'!$J$10:$J$224),0),
IF('TL02'!$B$229=K$3,SUMIF('TL02'!$C$238:$C$451,$C202,'TL02'!$J$238:$J$451),0),
IF('TL03'!$B$3=K$3,SUMIF('TL03'!$C$10:$C$224,$C202,'TL03'!$J$10:$J$224),0),
IF('TL03'!$B$229=K$3,SUMIF('TL03'!$C$238:$C$451,$C202,'TL03'!$J$238:$J$451),0),
IF('TL04'!$B$3=K$3,SUMIF('TL04'!$C$10:$C$224,$C202,'TL04'!$J$10:$J$224),0),
IF('TL04'!$B$229=K$3,SUMIF('TL04'!$C$238:$C$451,$C202,'TL04'!$J$238:$J$451),0),
IF('TL05'!$B$3=K$3,SUMIF('TL05'!$C$10:$C$224,$C202,'TL05'!$J$10:$J$224),0),
IF('TL05'!$B$229=K$3,SUMIF('TL05'!$C$238:$C$451,$C202,'TL05'!$J$238:$J$451),0),
IF('TL06'!$B$3=K$3,SUMIF('TL06'!$C$10:$C$224,$C202,'TL06'!$J$10:$J$224),0),
IF('TL06'!$B$229=K$3,SUMIF('TL06'!$C$238:$C$451,$C202,'TL06'!$J$238:$J$451),0),
IF('TL07'!$B$3=K$3,SUMIF('TL07'!$C$10:$C$224,$C202,'TL07'!$J$10:$J$224),0),
IF('TL07'!$B$229=K$3,SUMIF('TL07'!$C$238:$C$451,$C202,'TL07'!$J$238:$J$451),0),
IF('TL08'!$B$3=K$3,SUMIF('TL08'!$C$10:$C$224,$C202,'TL08'!$J$10:$J$224),0),
IF('TL08'!$B$229=K$3,SUMIF('TL08'!$C$238:$C$451,$C202,'TL08'!$J$238:$J$451),0),
IF('TL09'!$B$3=K$3,SUMIF('TL09'!$C$10:$C$224,$C202,'TL09'!$J$10:$J$224),0),
IF('TL09'!$B$229=K$3,SUMIF('TL09'!$C$238:$C$451,$C202,'TL09'!$J$238:$J$451),0),
IF('TL10'!$B$3=K$3,SUMIF('TL10'!$C$10:$C$224,$C202,'TL10'!$J$10:$J$224),0),
IF('TL10'!$B$229=K$3,SUMIF('TL10'!$C$238:$C$451,$C202,'TL10'!$J$238:$J$451),0),
IF('TL11'!$B$3=K$3,SUMIF('TL11'!$C$10:$C$224,$C202,'TL11'!$J$10:$J$224),0),
IF('TL11'!$B$229=K$3,SUMIF('TL11'!$C$238:$C$451,$C202,'TL11'!$J$238:$J$451),0),
IF('TL12'!$B$3=K$3,SUMIF('TL12'!$C$10:$C$224,$C202,'TL12'!$J$10:$J$224),0),
IF('TL12'!$B$229=K$3,SUMIF('TL12'!$C$238:$C$451,$C202,'TL12'!$J$238:$J$451),0),
IF('TL13'!$B$3=K$3,SUMIF('TL13'!$C$10:$C$224,$C202,'TL13'!$J$10:$J$224),0),
IF('TL13'!$B$229=K$3,SUMIF('TL13'!$C$238:$C$451,$C202,'TL13'!$J$238:$J$451),0),
IF('TL14'!$B$3=K$3,SUMIF('TL14'!$C$10:$C$224,$C202,'TL14'!$J$10:$J$224),0),
IF('TL14'!$B$229=K$3,SUMIF('TL14'!$C$238:$C$451,$C202,'TL14'!$J$238:$J$451),0),
IF('TL15'!$B$3=K$3,SUMIF('TL15'!$C$10:$C$224,$C202,'TL15'!$J$10:$J$224),0),
IF('TL15'!$B$229=K$3,SUMIF('TL15'!$C$238:$C$451,$C202,'TL15'!$J$238:$J$451),0),
IF('TL16'!$B$3=K$3,SUMIF('TL16'!$C$10:$C$224,$C202,'TL16'!$J$10:$J$224),0),
IF('TL16'!$B$229=K$3,SUMIF('TL16'!$C$238:$C$451,$C202,'TL16'!$J$238:$J$451),0),
IF('TL17'!$B$3=K$3,SUMIF('TL17'!$C$10:$C$224,$C202,'TL17'!$J$10:$J$224),0),
IF('TL17'!$B$229=K$3,SUMIF('TL17'!$C$238:$C$451,$C202,'TL17'!$J$238:$J$451),0),
IF('TL18'!$B$3=K$3,SUMIF('TL18'!$C$10:$C$224,$C202,'TL18'!$J$10:$J$224),0),
IF('TL18'!$B$229=K$3,SUMIF('TL18'!$C$238:$C$451,$C202,'TL18'!$J$238:$J$451),0),
IF('TL19'!$B$3=K$3,SUMIF('TL19'!$C$10:$C$224,$C202,'TL19'!$J$10:$J$224),0),
IF('TL19'!$B$229=K$3,SUMIF('TL19'!$C$238:$C$451,$C202,'TL19'!$J$238:$J$451),0)
),0)</f>
        <v>0</v>
      </c>
      <c r="L202" s="9">
        <f>IFERROR(SUM(
IF('TL01'!$B$3=L$3,SUMIF('TL01'!$C$10:$C$224,$C202,'TL01'!$J$10:$J$224),0),
IF('TL01'!$B$229=L$3,SUMIF('TL01'!$C$238:$C$451,$C202,'TL01'!$J$238:$J$451),0),
IF('TL02'!$B$3=L$3,SUMIF('TL02'!$C$10:$C$224,$C202,'TL02'!$J$10:$J$224),0),
IF('TL02'!$B$229=L$3,SUMIF('TL02'!$C$238:$C$451,$C202,'TL02'!$J$238:$J$451),0),
IF('TL03'!$B$3=L$3,SUMIF('TL03'!$C$10:$C$224,$C202,'TL03'!$J$10:$J$224),0),
IF('TL03'!$B$229=L$3,SUMIF('TL03'!$C$238:$C$451,$C202,'TL03'!$J$238:$J$451),0),
IF('TL04'!$B$3=L$3,SUMIF('TL04'!$C$10:$C$224,$C202,'TL04'!$J$10:$J$224),0),
IF('TL04'!$B$229=L$3,SUMIF('TL04'!$C$238:$C$451,$C202,'TL04'!$J$238:$J$451),0),
IF('TL05'!$B$3=L$3,SUMIF('TL05'!$C$10:$C$224,$C202,'TL05'!$J$10:$J$224),0),
IF('TL05'!$B$229=L$3,SUMIF('TL05'!$C$238:$C$451,$C202,'TL05'!$J$238:$J$451),0),
IF('TL06'!$B$3=L$3,SUMIF('TL06'!$C$10:$C$224,$C202,'TL06'!$J$10:$J$224),0),
IF('TL06'!$B$229=L$3,SUMIF('TL06'!$C$238:$C$451,$C202,'TL06'!$J$238:$J$451),0),
IF('TL07'!$B$3=L$3,SUMIF('TL07'!$C$10:$C$224,$C202,'TL07'!$J$10:$J$224),0),
IF('TL07'!$B$229=L$3,SUMIF('TL07'!$C$238:$C$451,$C202,'TL07'!$J$238:$J$451),0),
IF('TL08'!$B$3=L$3,SUMIF('TL08'!$C$10:$C$224,$C202,'TL08'!$J$10:$J$224),0),
IF('TL08'!$B$229=L$3,SUMIF('TL08'!$C$238:$C$451,$C202,'TL08'!$J$238:$J$451),0),
IF('TL09'!$B$3=L$3,SUMIF('TL09'!$C$10:$C$224,$C202,'TL09'!$J$10:$J$224),0),
IF('TL09'!$B$229=L$3,SUMIF('TL09'!$C$238:$C$451,$C202,'TL09'!$J$238:$J$451),0),
IF('TL10'!$B$3=L$3,SUMIF('TL10'!$C$10:$C$224,$C202,'TL10'!$J$10:$J$224),0),
IF('TL10'!$B$229=L$3,SUMIF('TL10'!$C$238:$C$451,$C202,'TL10'!$J$238:$J$451),0),
IF('TL11'!$B$3=L$3,SUMIF('TL11'!$C$10:$C$224,$C202,'TL11'!$J$10:$J$224),0),
IF('TL11'!$B$229=L$3,SUMIF('TL11'!$C$238:$C$451,$C202,'TL11'!$J$238:$J$451),0),
IF('TL12'!$B$3=L$3,SUMIF('TL12'!$C$10:$C$224,$C202,'TL12'!$J$10:$J$224),0),
IF('TL12'!$B$229=L$3,SUMIF('TL12'!$C$238:$C$451,$C202,'TL12'!$J$238:$J$451),0),
IF('TL13'!$B$3=L$3,SUMIF('TL13'!$C$10:$C$224,$C202,'TL13'!$J$10:$J$224),0),
IF('TL13'!$B$229=L$3,SUMIF('TL13'!$C$238:$C$451,$C202,'TL13'!$J$238:$J$451),0),
IF('TL14'!$B$3=L$3,SUMIF('TL14'!$C$10:$C$224,$C202,'TL14'!$J$10:$J$224),0),
IF('TL14'!$B$229=L$3,SUMIF('TL14'!$C$238:$C$451,$C202,'TL14'!$J$238:$J$451),0),
IF('TL15'!$B$3=L$3,SUMIF('TL15'!$C$10:$C$224,$C202,'TL15'!$J$10:$J$224),0),
IF('TL15'!$B$229=L$3,SUMIF('TL15'!$C$238:$C$451,$C202,'TL15'!$J$238:$J$451),0),
IF('TL16'!$B$3=L$3,SUMIF('TL16'!$C$10:$C$224,$C202,'TL16'!$J$10:$J$224),0),
IF('TL16'!$B$229=L$3,SUMIF('TL16'!$C$238:$C$451,$C202,'TL16'!$J$238:$J$451),0),
IF('TL17'!$B$3=L$3,SUMIF('TL17'!$C$10:$C$224,$C202,'TL17'!$J$10:$J$224),0),
IF('TL17'!$B$229=L$3,SUMIF('TL17'!$C$238:$C$451,$C202,'TL17'!$J$238:$J$451),0),
IF('TL18'!$B$3=L$3,SUMIF('TL18'!$C$10:$C$224,$C202,'TL18'!$J$10:$J$224),0),
IF('TL18'!$B$229=L$3,SUMIF('TL18'!$C$238:$C$451,$C202,'TL18'!$J$238:$J$451),0),
IF('TL19'!$B$3=L$3,SUMIF('TL19'!$C$10:$C$224,$C202,'TL19'!$J$10:$J$224),0),
IF('TL19'!$B$229=L$3,SUMIF('TL19'!$C$238:$C$451,$C202,'TL19'!$J$238:$J$451),0)
),0)</f>
        <v>0</v>
      </c>
      <c r="M202" s="9">
        <f>IFERROR(SUM(
IF('TL01'!$B$3=M$3,SUMIF('TL01'!$C$10:$C$224,$C202,'TL01'!$J$10:$J$224),0),
IF('TL01'!$B$229=M$3,SUMIF('TL01'!$C$238:$C$451,$C202,'TL01'!$J$238:$J$451),0),
IF('TL02'!$B$3=M$3,SUMIF('TL02'!$C$10:$C$224,$C202,'TL02'!$J$10:$J$224),0),
IF('TL02'!$B$229=M$3,SUMIF('TL02'!$C$238:$C$451,$C202,'TL02'!$J$238:$J$451),0),
IF('TL03'!$B$3=M$3,SUMIF('TL03'!$C$10:$C$224,$C202,'TL03'!$J$10:$J$224),0),
IF('TL03'!$B$229=M$3,SUMIF('TL03'!$C$238:$C$451,$C202,'TL03'!$J$238:$J$451),0),
IF('TL04'!$B$3=M$3,SUMIF('TL04'!$C$10:$C$224,$C202,'TL04'!$J$10:$J$224),0),
IF('TL04'!$B$229=M$3,SUMIF('TL04'!$C$238:$C$451,$C202,'TL04'!$J$238:$J$451),0),
IF('TL05'!$B$3=M$3,SUMIF('TL05'!$C$10:$C$224,$C202,'TL05'!$J$10:$J$224),0),
IF('TL05'!$B$229=M$3,SUMIF('TL05'!$C$238:$C$451,$C202,'TL05'!$J$238:$J$451),0),
IF('TL06'!$B$3=M$3,SUMIF('TL06'!$C$10:$C$224,$C202,'TL06'!$J$10:$J$224),0),
IF('TL06'!$B$229=M$3,SUMIF('TL06'!$C$238:$C$451,$C202,'TL06'!$J$238:$J$451),0),
IF('TL07'!$B$3=M$3,SUMIF('TL07'!$C$10:$C$224,$C202,'TL07'!$J$10:$J$224),0),
IF('TL07'!$B$229=M$3,SUMIF('TL07'!$C$238:$C$451,$C202,'TL07'!$J$238:$J$451),0),
IF('TL08'!$B$3=M$3,SUMIF('TL08'!$C$10:$C$224,$C202,'TL08'!$J$10:$J$224),0),
IF('TL08'!$B$229=M$3,SUMIF('TL08'!$C$238:$C$451,$C202,'TL08'!$J$238:$J$451),0),
IF('TL09'!$B$3=M$3,SUMIF('TL09'!$C$10:$C$224,$C202,'TL09'!$J$10:$J$224),0),
IF('TL09'!$B$229=M$3,SUMIF('TL09'!$C$238:$C$451,$C202,'TL09'!$J$238:$J$451),0),
IF('TL10'!$B$3=M$3,SUMIF('TL10'!$C$10:$C$224,$C202,'TL10'!$J$10:$J$224),0),
IF('TL10'!$B$229=M$3,SUMIF('TL10'!$C$238:$C$451,$C202,'TL10'!$J$238:$J$451),0),
IF('TL11'!$B$3=M$3,SUMIF('TL11'!$C$10:$C$224,$C202,'TL11'!$J$10:$J$224),0),
IF('TL11'!$B$229=M$3,SUMIF('TL11'!$C$238:$C$451,$C202,'TL11'!$J$238:$J$451),0),
IF('TL12'!$B$3=M$3,SUMIF('TL12'!$C$10:$C$224,$C202,'TL12'!$J$10:$J$224),0),
IF('TL12'!$B$229=M$3,SUMIF('TL12'!$C$238:$C$451,$C202,'TL12'!$J$238:$J$451),0),
IF('TL13'!$B$3=M$3,SUMIF('TL13'!$C$10:$C$224,$C202,'TL13'!$J$10:$J$224),0),
IF('TL13'!$B$229=M$3,SUMIF('TL13'!$C$238:$C$451,$C202,'TL13'!$J$238:$J$451),0),
IF('TL14'!$B$3=M$3,SUMIF('TL14'!$C$10:$C$224,$C202,'TL14'!$J$10:$J$224),0),
IF('TL14'!$B$229=M$3,SUMIF('TL14'!$C$238:$C$451,$C202,'TL14'!$J$238:$J$451),0),
IF('TL15'!$B$3=M$3,SUMIF('TL15'!$C$10:$C$224,$C202,'TL15'!$J$10:$J$224),0),
IF('TL15'!$B$229=M$3,SUMIF('TL15'!$C$238:$C$451,$C202,'TL15'!$J$238:$J$451),0),
IF('TL16'!$B$3=M$3,SUMIF('TL16'!$C$10:$C$224,$C202,'TL16'!$J$10:$J$224),0),
IF('TL16'!$B$229=M$3,SUMIF('TL16'!$C$238:$C$451,$C202,'TL16'!$J$238:$J$451),0),
IF('TL17'!$B$3=M$3,SUMIF('TL17'!$C$10:$C$224,$C202,'TL17'!$J$10:$J$224),0),
IF('TL17'!$B$229=M$3,SUMIF('TL17'!$C$238:$C$451,$C202,'TL17'!$J$238:$J$451),0),
IF('TL18'!$B$3=M$3,SUMIF('TL18'!$C$10:$C$224,$C202,'TL18'!$J$10:$J$224),0),
IF('TL18'!$B$229=M$3,SUMIF('TL18'!$C$238:$C$451,$C202,'TL18'!$J$238:$J$451),0),
IF('TL19'!$B$3=M$3,SUMIF('TL19'!$C$10:$C$224,$C202,'TL19'!$J$10:$J$224),0),
IF('TL19'!$B$229=M$3,SUMIF('TL19'!$C$238:$C$451,$C202,'TL19'!$J$238:$J$451),0)
),0)</f>
        <v>0</v>
      </c>
      <c r="N202" s="9">
        <f>IFERROR(SUM(
IF('TL01'!$B$3=N$3,SUMIF('TL01'!$C$10:$C$224,$C202,'TL01'!$J$10:$J$224),0),
IF('TL01'!$B$229=N$3,SUMIF('TL01'!$C$238:$C$451,$C202,'TL01'!$J$238:$J$451),0),
IF('TL02'!$B$3=N$3,SUMIF('TL02'!$C$10:$C$224,$C202,'TL02'!$J$10:$J$224),0),
IF('TL02'!$B$229=N$3,SUMIF('TL02'!$C$238:$C$451,$C202,'TL02'!$J$238:$J$451),0),
IF('TL03'!$B$3=N$3,SUMIF('TL03'!$C$10:$C$224,$C202,'TL03'!$J$10:$J$224),0),
IF('TL03'!$B$229=N$3,SUMIF('TL03'!$C$238:$C$451,$C202,'TL03'!$J$238:$J$451),0),
IF('TL04'!$B$3=N$3,SUMIF('TL04'!$C$10:$C$224,$C202,'TL04'!$J$10:$J$224),0),
IF('TL04'!$B$229=N$3,SUMIF('TL04'!$C$238:$C$451,$C202,'TL04'!$J$238:$J$451),0),
IF('TL05'!$B$3=N$3,SUMIF('TL05'!$C$10:$C$224,$C202,'TL05'!$J$10:$J$224),0),
IF('TL05'!$B$229=N$3,SUMIF('TL05'!$C$238:$C$451,$C202,'TL05'!$J$238:$J$451),0),
IF('TL06'!$B$3=N$3,SUMIF('TL06'!$C$10:$C$224,$C202,'TL06'!$J$10:$J$224),0),
IF('TL06'!$B$229=N$3,SUMIF('TL06'!$C$238:$C$451,$C202,'TL06'!$J$238:$J$451),0),
IF('TL07'!$B$3=N$3,SUMIF('TL07'!$C$10:$C$224,$C202,'TL07'!$J$10:$J$224),0),
IF('TL07'!$B$229=N$3,SUMIF('TL07'!$C$238:$C$451,$C202,'TL07'!$J$238:$J$451),0),
IF('TL08'!$B$3=N$3,SUMIF('TL08'!$C$10:$C$224,$C202,'TL08'!$J$10:$J$224),0),
IF('TL08'!$B$229=N$3,SUMIF('TL08'!$C$238:$C$451,$C202,'TL08'!$J$238:$J$451),0),
IF('TL09'!$B$3=N$3,SUMIF('TL09'!$C$10:$C$224,$C202,'TL09'!$J$10:$J$224),0),
IF('TL09'!$B$229=N$3,SUMIF('TL09'!$C$238:$C$451,$C202,'TL09'!$J$238:$J$451),0),
IF('TL10'!$B$3=N$3,SUMIF('TL10'!$C$10:$C$224,$C202,'TL10'!$J$10:$J$224),0),
IF('TL10'!$B$229=N$3,SUMIF('TL10'!$C$238:$C$451,$C202,'TL10'!$J$238:$J$451),0),
IF('TL11'!$B$3=N$3,SUMIF('TL11'!$C$10:$C$224,$C202,'TL11'!$J$10:$J$224),0),
IF('TL11'!$B$229=N$3,SUMIF('TL11'!$C$238:$C$451,$C202,'TL11'!$J$238:$J$451),0),
IF('TL12'!$B$3=N$3,SUMIF('TL12'!$C$10:$C$224,$C202,'TL12'!$J$10:$J$224),0),
IF('TL12'!$B$229=N$3,SUMIF('TL12'!$C$238:$C$451,$C202,'TL12'!$J$238:$J$451),0),
IF('TL13'!$B$3=N$3,SUMIF('TL13'!$C$10:$C$224,$C202,'TL13'!$J$10:$J$224),0),
IF('TL13'!$B$229=N$3,SUMIF('TL13'!$C$238:$C$451,$C202,'TL13'!$J$238:$J$451),0),
IF('TL14'!$B$3=N$3,SUMIF('TL14'!$C$10:$C$224,$C202,'TL14'!$J$10:$J$224),0),
IF('TL14'!$B$229=N$3,SUMIF('TL14'!$C$238:$C$451,$C202,'TL14'!$J$238:$J$451),0),
IF('TL15'!$B$3=N$3,SUMIF('TL15'!$C$10:$C$224,$C202,'TL15'!$J$10:$J$224),0),
IF('TL15'!$B$229=N$3,SUMIF('TL15'!$C$238:$C$451,$C202,'TL15'!$J$238:$J$451),0),
IF('TL16'!$B$3=N$3,SUMIF('TL16'!$C$10:$C$224,$C202,'TL16'!$J$10:$J$224),0),
IF('TL16'!$B$229=N$3,SUMIF('TL16'!$C$238:$C$451,$C202,'TL16'!$J$238:$J$451),0),
IF('TL17'!$B$3=N$3,SUMIF('TL17'!$C$10:$C$224,$C202,'TL17'!$J$10:$J$224),0),
IF('TL17'!$B$229=N$3,SUMIF('TL17'!$C$238:$C$451,$C202,'TL17'!$J$238:$J$451),0),
IF('TL18'!$B$3=N$3,SUMIF('TL18'!$C$10:$C$224,$C202,'TL18'!$J$10:$J$224),0),
IF('TL18'!$B$229=N$3,SUMIF('TL18'!$C$238:$C$451,$C202,'TL18'!$J$238:$J$451),0),
IF('TL19'!$B$3=N$3,SUMIF('TL19'!$C$10:$C$224,$C202,'TL19'!$J$10:$J$224),0),
IF('TL19'!$B$229=N$3,SUMIF('TL19'!$C$238:$C$451,$C202,'TL19'!$J$238:$J$451),0)
),0)</f>
        <v>0</v>
      </c>
      <c r="O202" s="9">
        <f>IFERROR(SUM(
IF('TL01'!$B$3=O$3,SUMIF('TL01'!$C$10:$C$224,$C202,'TL01'!$J$10:$J$224),0),
IF('TL01'!$B$229=O$3,SUMIF('TL01'!$C$238:$C$451,$C202,'TL01'!$J$238:$J$451),0),
IF('TL02'!$B$3=O$3,SUMIF('TL02'!$C$10:$C$224,$C202,'TL02'!$J$10:$J$224),0),
IF('TL02'!$B$229=O$3,SUMIF('TL02'!$C$238:$C$451,$C202,'TL02'!$J$238:$J$451),0),
IF('TL03'!$B$3=O$3,SUMIF('TL03'!$C$10:$C$224,$C202,'TL03'!$J$10:$J$224),0),
IF('TL03'!$B$229=O$3,SUMIF('TL03'!$C$238:$C$451,$C202,'TL03'!$J$238:$J$451),0),
IF('TL04'!$B$3=O$3,SUMIF('TL04'!$C$10:$C$224,$C202,'TL04'!$J$10:$J$224),0),
IF('TL04'!$B$229=O$3,SUMIF('TL04'!$C$238:$C$451,$C202,'TL04'!$J$238:$J$451),0),
IF('TL05'!$B$3=O$3,SUMIF('TL05'!$C$10:$C$224,$C202,'TL05'!$J$10:$J$224),0),
IF('TL05'!$B$229=O$3,SUMIF('TL05'!$C$238:$C$451,$C202,'TL05'!$J$238:$J$451),0),
IF('TL06'!$B$3=O$3,SUMIF('TL06'!$C$10:$C$224,$C202,'TL06'!$J$10:$J$224),0),
IF('TL06'!$B$229=O$3,SUMIF('TL06'!$C$238:$C$451,$C202,'TL06'!$J$238:$J$451),0),
IF('TL07'!$B$3=O$3,SUMIF('TL07'!$C$10:$C$224,$C202,'TL07'!$J$10:$J$224),0),
IF('TL07'!$B$229=O$3,SUMIF('TL07'!$C$238:$C$451,$C202,'TL07'!$J$238:$J$451),0),
IF('TL08'!$B$3=O$3,SUMIF('TL08'!$C$10:$C$224,$C202,'TL08'!$J$10:$J$224),0),
IF('TL08'!$B$229=O$3,SUMIF('TL08'!$C$238:$C$451,$C202,'TL08'!$J$238:$J$451),0),
IF('TL09'!$B$3=O$3,SUMIF('TL09'!$C$10:$C$224,$C202,'TL09'!$J$10:$J$224),0),
IF('TL09'!$B$229=O$3,SUMIF('TL09'!$C$238:$C$451,$C202,'TL09'!$J$238:$J$451),0),
IF('TL10'!$B$3=O$3,SUMIF('TL10'!$C$10:$C$224,$C202,'TL10'!$J$10:$J$224),0),
IF('TL10'!$B$229=O$3,SUMIF('TL10'!$C$238:$C$451,$C202,'TL10'!$J$238:$J$451),0),
IF('TL11'!$B$3=O$3,SUMIF('TL11'!$C$10:$C$224,$C202,'TL11'!$J$10:$J$224),0),
IF('TL11'!$B$229=O$3,SUMIF('TL11'!$C$238:$C$451,$C202,'TL11'!$J$238:$J$451),0),
IF('TL12'!$B$3=O$3,SUMIF('TL12'!$C$10:$C$224,$C202,'TL12'!$J$10:$J$224),0),
IF('TL12'!$B$229=O$3,SUMIF('TL12'!$C$238:$C$451,$C202,'TL12'!$J$238:$J$451),0),
IF('TL13'!$B$3=O$3,SUMIF('TL13'!$C$10:$C$224,$C202,'TL13'!$J$10:$J$224),0),
IF('TL13'!$B$229=O$3,SUMIF('TL13'!$C$238:$C$451,$C202,'TL13'!$J$238:$J$451),0),
IF('TL14'!$B$3=O$3,SUMIF('TL14'!$C$10:$C$224,$C202,'TL14'!$J$10:$J$224),0),
IF('TL14'!$B$229=O$3,SUMIF('TL14'!$C$238:$C$451,$C202,'TL14'!$J$238:$J$451),0),
IF('TL15'!$B$3=O$3,SUMIF('TL15'!$C$10:$C$224,$C202,'TL15'!$J$10:$J$224),0),
IF('TL15'!$B$229=O$3,SUMIF('TL15'!$C$238:$C$451,$C202,'TL15'!$J$238:$J$451),0),
IF('TL16'!$B$3=O$3,SUMIF('TL16'!$C$10:$C$224,$C202,'TL16'!$J$10:$J$224),0),
IF('TL16'!$B$229=O$3,SUMIF('TL16'!$C$238:$C$451,$C202,'TL16'!$J$238:$J$451),0),
IF('TL17'!$B$3=O$3,SUMIF('TL17'!$C$10:$C$224,$C202,'TL17'!$J$10:$J$224),0),
IF('TL17'!$B$229=O$3,SUMIF('TL17'!$C$238:$C$451,$C202,'TL17'!$J$238:$J$451),0),
IF('TL18'!$B$3=O$3,SUMIF('TL18'!$C$10:$C$224,$C202,'TL18'!$J$10:$J$224),0),
IF('TL18'!$B$229=O$3,SUMIF('TL18'!$C$238:$C$451,$C202,'TL18'!$J$238:$J$451),0),
IF('TL19'!$B$3=O$3,SUMIF('TL19'!$C$10:$C$224,$C202,'TL19'!$J$10:$J$224),0),
IF('TL19'!$B$229=O$3,SUMIF('TL19'!$C$238:$C$451,$C202,'TL19'!$J$238:$J$451),0)
),0)</f>
        <v>0</v>
      </c>
      <c r="P202" s="9">
        <f>IFERROR(SUM(
IF('TL01'!$B$3=P$3,SUMIF('TL01'!$C$10:$C$224,$C202,'TL01'!$J$10:$J$224),0),
IF('TL01'!$B$229=P$3,SUMIF('TL01'!$C$238:$C$451,$C202,'TL01'!$J$238:$J$451),0),
IF('TL02'!$B$3=P$3,SUMIF('TL02'!$C$10:$C$224,$C202,'TL02'!$J$10:$J$224),0),
IF('TL02'!$B$229=P$3,SUMIF('TL02'!$C$238:$C$451,$C202,'TL02'!$J$238:$J$451),0),
IF('TL03'!$B$3=P$3,SUMIF('TL03'!$C$10:$C$224,$C202,'TL03'!$J$10:$J$224),0),
IF('TL03'!$B$229=P$3,SUMIF('TL03'!$C$238:$C$451,$C202,'TL03'!$J$238:$J$451),0),
IF('TL04'!$B$3=P$3,SUMIF('TL04'!$C$10:$C$224,$C202,'TL04'!$J$10:$J$224),0),
IF('TL04'!$B$229=P$3,SUMIF('TL04'!$C$238:$C$451,$C202,'TL04'!$J$238:$J$451),0),
IF('TL05'!$B$3=P$3,SUMIF('TL05'!$C$10:$C$224,$C202,'TL05'!$J$10:$J$224),0),
IF('TL05'!$B$229=P$3,SUMIF('TL05'!$C$238:$C$451,$C202,'TL05'!$J$238:$J$451),0),
IF('TL06'!$B$3=P$3,SUMIF('TL06'!$C$10:$C$224,$C202,'TL06'!$J$10:$J$224),0),
IF('TL06'!$B$229=P$3,SUMIF('TL06'!$C$238:$C$451,$C202,'TL06'!$J$238:$J$451),0),
IF('TL07'!$B$3=P$3,SUMIF('TL07'!$C$10:$C$224,$C202,'TL07'!$J$10:$J$224),0),
IF('TL07'!$B$229=P$3,SUMIF('TL07'!$C$238:$C$451,$C202,'TL07'!$J$238:$J$451),0),
IF('TL08'!$B$3=P$3,SUMIF('TL08'!$C$10:$C$224,$C202,'TL08'!$J$10:$J$224),0),
IF('TL08'!$B$229=P$3,SUMIF('TL08'!$C$238:$C$451,$C202,'TL08'!$J$238:$J$451),0),
IF('TL09'!$B$3=P$3,SUMIF('TL09'!$C$10:$C$224,$C202,'TL09'!$J$10:$J$224),0),
IF('TL09'!$B$229=P$3,SUMIF('TL09'!$C$238:$C$451,$C202,'TL09'!$J$238:$J$451),0),
IF('TL10'!$B$3=P$3,SUMIF('TL10'!$C$10:$C$224,$C202,'TL10'!$J$10:$J$224),0),
IF('TL10'!$B$229=P$3,SUMIF('TL10'!$C$238:$C$451,$C202,'TL10'!$J$238:$J$451),0),
IF('TL11'!$B$3=P$3,SUMIF('TL11'!$C$10:$C$224,$C202,'TL11'!$J$10:$J$224),0),
IF('TL11'!$B$229=P$3,SUMIF('TL11'!$C$238:$C$451,$C202,'TL11'!$J$238:$J$451),0),
IF('TL12'!$B$3=P$3,SUMIF('TL12'!$C$10:$C$224,$C202,'TL12'!$J$10:$J$224),0),
IF('TL12'!$B$229=P$3,SUMIF('TL12'!$C$238:$C$451,$C202,'TL12'!$J$238:$J$451),0),
IF('TL13'!$B$3=P$3,SUMIF('TL13'!$C$10:$C$224,$C202,'TL13'!$J$10:$J$224),0),
IF('TL13'!$B$229=P$3,SUMIF('TL13'!$C$238:$C$451,$C202,'TL13'!$J$238:$J$451),0),
IF('TL14'!$B$3=P$3,SUMIF('TL14'!$C$10:$C$224,$C202,'TL14'!$J$10:$J$224),0),
IF('TL14'!$B$229=P$3,SUMIF('TL14'!$C$238:$C$451,$C202,'TL14'!$J$238:$J$451),0),
IF('TL15'!$B$3=P$3,SUMIF('TL15'!$C$10:$C$224,$C202,'TL15'!$J$10:$J$224),0),
IF('TL15'!$B$229=P$3,SUMIF('TL15'!$C$238:$C$451,$C202,'TL15'!$J$238:$J$451),0),
IF('TL16'!$B$3=P$3,SUMIF('TL16'!$C$10:$C$224,$C202,'TL16'!$J$10:$J$224),0),
IF('TL16'!$B$229=P$3,SUMIF('TL16'!$C$238:$C$451,$C202,'TL16'!$J$238:$J$451),0),
IF('TL17'!$B$3=P$3,SUMIF('TL17'!$C$10:$C$224,$C202,'TL17'!$J$10:$J$224),0),
IF('TL17'!$B$229=P$3,SUMIF('TL17'!$C$238:$C$451,$C202,'TL17'!$J$238:$J$451),0),
IF('TL18'!$B$3=P$3,SUMIF('TL18'!$C$10:$C$224,$C202,'TL18'!$J$10:$J$224),0),
IF('TL18'!$B$229=P$3,SUMIF('TL18'!$C$238:$C$451,$C202,'TL18'!$J$238:$J$451),0),
IF('TL19'!$B$3=P$3,SUMIF('TL19'!$C$10:$C$224,$C202,'TL19'!$J$10:$J$224),0),
IF('TL19'!$B$229=P$3,SUMIF('TL19'!$C$238:$C$451,$C202,'TL19'!$J$238:$J$451),0)
),0)</f>
        <v>0</v>
      </c>
      <c r="Q202" s="9">
        <f>IFERROR(SUM(
IF('TL01'!$B$3=Q$3,SUMIF('TL01'!$C$10:$C$224,$C202,'TL01'!$J$10:$J$224),0),
IF('TL01'!$B$229=Q$3,SUMIF('TL01'!$C$238:$C$451,$C202,'TL01'!$J$238:$J$451),0),
IF('TL02'!$B$3=Q$3,SUMIF('TL02'!$C$10:$C$224,$C202,'TL02'!$J$10:$J$224),0),
IF('TL02'!$B$229=Q$3,SUMIF('TL02'!$C$238:$C$451,$C202,'TL02'!$J$238:$J$451),0),
IF('TL03'!$B$3=Q$3,SUMIF('TL03'!$C$10:$C$224,$C202,'TL03'!$J$10:$J$224),0),
IF('TL03'!$B$229=Q$3,SUMIF('TL03'!$C$238:$C$451,$C202,'TL03'!$J$238:$J$451),0),
IF('TL04'!$B$3=Q$3,SUMIF('TL04'!$C$10:$C$224,$C202,'TL04'!$J$10:$J$224),0),
IF('TL04'!$B$229=Q$3,SUMIF('TL04'!$C$238:$C$451,$C202,'TL04'!$J$238:$J$451),0),
IF('TL05'!$B$3=Q$3,SUMIF('TL05'!$C$10:$C$224,$C202,'TL05'!$J$10:$J$224),0),
IF('TL05'!$B$229=Q$3,SUMIF('TL05'!$C$238:$C$451,$C202,'TL05'!$J$238:$J$451),0),
IF('TL06'!$B$3=Q$3,SUMIF('TL06'!$C$10:$C$224,$C202,'TL06'!$J$10:$J$224),0),
IF('TL06'!$B$229=Q$3,SUMIF('TL06'!$C$238:$C$451,$C202,'TL06'!$J$238:$J$451),0),
IF('TL07'!$B$3=Q$3,SUMIF('TL07'!$C$10:$C$224,$C202,'TL07'!$J$10:$J$224),0),
IF('TL07'!$B$229=Q$3,SUMIF('TL07'!$C$238:$C$451,$C202,'TL07'!$J$238:$J$451),0),
IF('TL08'!$B$3=Q$3,SUMIF('TL08'!$C$10:$C$224,$C202,'TL08'!$J$10:$J$224),0),
IF('TL08'!$B$229=Q$3,SUMIF('TL08'!$C$238:$C$451,$C202,'TL08'!$J$238:$J$451),0),
IF('TL09'!$B$3=Q$3,SUMIF('TL09'!$C$10:$C$224,$C202,'TL09'!$J$10:$J$224),0),
IF('TL09'!$B$229=Q$3,SUMIF('TL09'!$C$238:$C$451,$C202,'TL09'!$J$238:$J$451),0),
IF('TL10'!$B$3=Q$3,SUMIF('TL10'!$C$10:$C$224,$C202,'TL10'!$J$10:$J$224),0),
IF('TL10'!$B$229=Q$3,SUMIF('TL10'!$C$238:$C$451,$C202,'TL10'!$J$238:$J$451),0),
IF('TL11'!$B$3=Q$3,SUMIF('TL11'!$C$10:$C$224,$C202,'TL11'!$J$10:$J$224),0),
IF('TL11'!$B$229=Q$3,SUMIF('TL11'!$C$238:$C$451,$C202,'TL11'!$J$238:$J$451),0),
IF('TL12'!$B$3=Q$3,SUMIF('TL12'!$C$10:$C$224,$C202,'TL12'!$J$10:$J$224),0),
IF('TL12'!$B$229=Q$3,SUMIF('TL12'!$C$238:$C$451,$C202,'TL12'!$J$238:$J$451),0),
IF('TL13'!$B$3=Q$3,SUMIF('TL13'!$C$10:$C$224,$C202,'TL13'!$J$10:$J$224),0),
IF('TL13'!$B$229=Q$3,SUMIF('TL13'!$C$238:$C$451,$C202,'TL13'!$J$238:$J$451),0),
IF('TL14'!$B$3=Q$3,SUMIF('TL14'!$C$10:$C$224,$C202,'TL14'!$J$10:$J$224),0),
IF('TL14'!$B$229=Q$3,SUMIF('TL14'!$C$238:$C$451,$C202,'TL14'!$J$238:$J$451),0),
IF('TL15'!$B$3=Q$3,SUMIF('TL15'!$C$10:$C$224,$C202,'TL15'!$J$10:$J$224),0),
IF('TL15'!$B$229=Q$3,SUMIF('TL15'!$C$238:$C$451,$C202,'TL15'!$J$238:$J$451),0),
IF('TL16'!$B$3=Q$3,SUMIF('TL16'!$C$10:$C$224,$C202,'TL16'!$J$10:$J$224),0),
IF('TL16'!$B$229=Q$3,SUMIF('TL16'!$C$238:$C$451,$C202,'TL16'!$J$238:$J$451),0),
IF('TL17'!$B$3=Q$3,SUMIF('TL17'!$C$10:$C$224,$C202,'TL17'!$J$10:$J$224),0),
IF('TL17'!$B$229=Q$3,SUMIF('TL17'!$C$238:$C$451,$C202,'TL17'!$J$238:$J$451),0),
IF('TL18'!$B$3=Q$3,SUMIF('TL18'!$C$10:$C$224,$C202,'TL18'!$J$10:$J$224),0),
IF('TL18'!$B$229=Q$3,SUMIF('TL18'!$C$238:$C$451,$C202,'TL18'!$J$238:$J$451),0),
IF('TL19'!$B$3=Q$3,SUMIF('TL19'!$C$10:$C$224,$C202,'TL19'!$J$10:$J$224),0),
IF('TL19'!$B$229=Q$3,SUMIF('TL19'!$C$238:$C$451,$C202,'TL19'!$J$238:$J$451),0)
),0)</f>
        <v>0</v>
      </c>
      <c r="R202" s="9">
        <f>IFERROR(
SUM(
SUMIF('TL01'!C:C,C202,'TL01'!J:J),
SUMIF('TL02'!C:C,C202,'TL02'!J:J),
SUMIF('TL03'!C:C,C202,'TL03'!J:J),
SUMIF('TL04'!C:C,C202,'TL04'!J:J),
SUMIF('TL05'!C:C,C202,'TL05'!J:J),
SUMIF('TL06'!C:C,C202,'TL06'!J:J),
SUMIF('TL07'!C:C,C202,'TL07'!J:J),
SUMIF('TL08'!C:C,C202,'TL08'!J:J),
SUMIF('TL09'!C:C,C202,'TL09'!J:J),
SUMIF('TL10'!C:C,C202,'TL10'!J:J),
SUMIF('TL11'!C:C,C202,'TL11'!J:J),
SUMIF('TL12'!C:C,C202,'TL12'!J:J),
SUMIF('TL13'!C:C,C202,'TL13'!J:J),
SUMIF('TL14'!C:C,C202,'TL14'!J:J),
SUMIF('TL15'!C:C,C202,'TL15'!J:J),
SUMIF('TL16'!C:C,C202,'TL16'!J:J),
SUMIF('TL17'!C:C,C202,'TL17'!J:J),
SUMIF('TL18'!C:C,C202,'TL18'!J:J),SUMIF('TL19'!C:C,C202,'TL19'!J:J))
,0)</f>
        <v>0</v>
      </c>
      <c r="S202" s="17">
        <f>IFERROR(__xludf.DUMMYFUNCTION("IFERROR(VLOOKUP(C202,
IMPORTRANGE(""1wULbzX32WdYsx-lj2U3uUNBBe2INVIRDtcK0d-Dvl90"",
""26-27!C:G""),
5,
FALSE),
"""")"),32.80524)</f>
        <v>32.80524</v>
      </c>
      <c r="T202" s="9"/>
      <c r="U202" s="92">
        <f t="shared" si="2"/>
        <v>0</v>
      </c>
      <c r="V202" s="93">
        <f t="shared" si="3"/>
        <v>0</v>
      </c>
    </row>
    <row r="203" ht="15.75" hidden="1" customHeight="1">
      <c r="A203" s="94" t="s">
        <v>378</v>
      </c>
      <c r="B203" s="95" t="s">
        <v>2</v>
      </c>
      <c r="C203" s="96" t="s">
        <v>822</v>
      </c>
      <c r="D203" s="96" t="s">
        <v>823</v>
      </c>
      <c r="E203" s="96">
        <v>350.0</v>
      </c>
      <c r="F203" s="4" t="s">
        <v>343</v>
      </c>
      <c r="G203" s="90" t="str">
        <f t="shared" si="4"/>
        <v>📄 Ver bula</v>
      </c>
      <c r="H203" s="9">
        <f>IFERROR(__xludf.DUMMYFUNCTION("IFERROR(VLOOKUP(C203,
IMPORTRANGE(""1wULbzX32WdYsx-lj2U3uUNBBe2INVIRDtcK0d-Dvl90"",
""26-27!C:K""),
8,
FALSE),
"""")"),0.2)</f>
        <v>0.2</v>
      </c>
      <c r="I203" s="97" t="s">
        <v>515</v>
      </c>
      <c r="J203" s="9">
        <f>IFERROR(SUM(
IF('TL01'!$B$3=J$3,SUMIF('TL01'!$C$10:$C$224,$C203,'TL01'!$J$10:$J$224),0),
IF('TL01'!$B$229=J$3,SUMIF('TL01'!$C$238:$C$451,$C203,'TL01'!$J$238:$J$451),0),
IF('TL02'!$B$3=J$3,SUMIF('TL02'!$C$10:$C$224,$C203,'TL02'!$J$10:$J$224),0),
IF('TL02'!$B$229=J$3,SUMIF('TL02'!$C$238:$C$451,$C203,'TL02'!$J$238:$J$451),0),
IF('TL03'!$B$3=J$3,SUMIF('TL03'!$C$10:$C$224,$C203,'TL03'!$J$10:$J$224),0),
IF('TL03'!$B$229=J$3,SUMIF('TL03'!$C$238:$C$451,$C203,'TL03'!$J$238:$J$451),0),
IF('TL04'!$B$3=J$3,SUMIF('TL04'!$C$10:$C$224,$C203,'TL04'!$J$10:$J$224),0),
IF('TL04'!$B$229=J$3,SUMIF('TL04'!$C$238:$C$451,$C203,'TL04'!$J$238:$J$451),0),
IF('TL05'!$B$3=J$3,SUMIF('TL05'!$C$10:$C$224,$C203,'TL05'!$J$10:$J$224),0),
IF('TL05'!$B$229=J$3,SUMIF('TL05'!$C$238:$C$451,$C203,'TL05'!$J$238:$J$451),0),
IF('TL06'!$B$3=J$3,SUMIF('TL06'!$C$10:$C$224,$C203,'TL06'!$J$10:$J$224),0),
IF('TL06'!$B$229=J$3,SUMIF('TL06'!$C$238:$C$451,$C203,'TL06'!$J$238:$J$451),0),
IF('TL07'!$B$3=J$3,SUMIF('TL07'!$C$10:$C$224,$C203,'TL07'!$J$10:$J$224),0),
IF('TL07'!$B$229=J$3,SUMIF('TL07'!$C$238:$C$451,$C203,'TL07'!$J$238:$J$451),0),
IF('TL08'!$B$3=J$3,SUMIF('TL08'!$C$10:$C$224,$C203,'TL08'!$J$10:$J$224),0),
IF('TL08'!$B$229=J$3,SUMIF('TL08'!$C$238:$C$451,$C203,'TL08'!$J$238:$J$451),0),
IF('TL09'!$B$3=J$3,SUMIF('TL09'!$C$10:$C$224,$C203,'TL09'!$J$10:$J$224),0),
IF('TL09'!$B$229=J$3,SUMIF('TL09'!$C$238:$C$451,$C203,'TL09'!$J$238:$J$451),0),
IF('TL10'!$B$3=J$3,SUMIF('TL10'!$C$10:$C$224,$C203,'TL10'!$J$10:$J$224),0),
IF('TL10'!$B$229=J$3,SUMIF('TL10'!$C$238:$C$451,$C203,'TL10'!$J$238:$J$451),0),
IF('TL11'!$B$3=J$3,SUMIF('TL11'!$C$10:$C$224,$C203,'TL11'!$J$10:$J$224),0),
IF('TL11'!$B$229=J$3,SUMIF('TL11'!$C$238:$C$451,$C203,'TL11'!$J$238:$J$451),0),
IF('TL12'!$B$3=J$3,SUMIF('TL12'!$C$10:$C$224,$C203,'TL12'!$J$10:$J$224),0),
IF('TL12'!$B$229=J$3,SUMIF('TL12'!$C$238:$C$451,$C203,'TL12'!$J$238:$J$451),0),
IF('TL13'!$B$3=J$3,SUMIF('TL13'!$C$10:$C$224,$C203,'TL13'!$J$10:$J$224),0),
IF('TL13'!$B$229=J$3,SUMIF('TL13'!$C$238:$C$451,$C203,'TL13'!$J$238:$J$451),0),
IF('TL14'!$B$3=J$3,SUMIF('TL14'!$C$10:$C$224,$C203,'TL14'!$J$10:$J$224),0),
IF('TL14'!$B$229=J$3,SUMIF('TL14'!$C$238:$C$451,$C203,'TL14'!$J$238:$J$451),0),
IF('TL15'!$B$3=J$3,SUMIF('TL15'!$C$10:$C$224,$C203,'TL15'!$J$10:$J$224),0),
IF('TL15'!$B$229=J$3,SUMIF('TL15'!$C$238:$C$451,$C203,'TL15'!$J$238:$J$451),0),
IF('TL16'!$B$3=J$3,SUMIF('TL16'!$C$10:$C$224,$C203,'TL16'!$J$10:$J$224),0),
IF('TL16'!$B$229=J$3,SUMIF('TL16'!$C$238:$C$451,$C203,'TL16'!$J$238:$J$451),0),
IF('TL17'!$B$3=J$3,SUMIF('TL17'!$C$10:$C$224,$C203,'TL17'!$J$10:$J$224),0),
IF('TL17'!$B$229=J$3,SUMIF('TL17'!$C$238:$C$451,$C203,'TL17'!$J$238:$J$451),0),
IF('TL18'!$B$3=J$3,SUMIF('TL18'!$C$10:$C$224,$C203,'TL18'!$J$10:$J$224),0),
IF('TL18'!$B$229=J$3,SUMIF('TL18'!$C$238:$C$451,$C203,'TL18'!$J$238:$J$451),0),
IF('TL19'!$B$3=J$3,SUMIF('TL19'!$C$10:$C$224,$C203,'TL19'!$J$10:$J$224),0),
IF('TL19'!$B$229=J$3,SUMIF('TL19'!$C$238:$C$451,$C203,'TL19'!$J$238:$J$451),0)
),0)</f>
        <v>0</v>
      </c>
      <c r="K203" s="9">
        <f>IFERROR(SUM(
IF('TL01'!$B$3=K$3,SUMIF('TL01'!$C$10:$C$224,$C203,'TL01'!$J$10:$J$224),0),
IF('TL01'!$B$229=K$3,SUMIF('TL01'!$C$238:$C$451,$C203,'TL01'!$J$238:$J$451),0),
IF('TL02'!$B$3=K$3,SUMIF('TL02'!$C$10:$C$224,$C203,'TL02'!$J$10:$J$224),0),
IF('TL02'!$B$229=K$3,SUMIF('TL02'!$C$238:$C$451,$C203,'TL02'!$J$238:$J$451),0),
IF('TL03'!$B$3=K$3,SUMIF('TL03'!$C$10:$C$224,$C203,'TL03'!$J$10:$J$224),0),
IF('TL03'!$B$229=K$3,SUMIF('TL03'!$C$238:$C$451,$C203,'TL03'!$J$238:$J$451),0),
IF('TL04'!$B$3=K$3,SUMIF('TL04'!$C$10:$C$224,$C203,'TL04'!$J$10:$J$224),0),
IF('TL04'!$B$229=K$3,SUMIF('TL04'!$C$238:$C$451,$C203,'TL04'!$J$238:$J$451),0),
IF('TL05'!$B$3=K$3,SUMIF('TL05'!$C$10:$C$224,$C203,'TL05'!$J$10:$J$224),0),
IF('TL05'!$B$229=K$3,SUMIF('TL05'!$C$238:$C$451,$C203,'TL05'!$J$238:$J$451),0),
IF('TL06'!$B$3=K$3,SUMIF('TL06'!$C$10:$C$224,$C203,'TL06'!$J$10:$J$224),0),
IF('TL06'!$B$229=K$3,SUMIF('TL06'!$C$238:$C$451,$C203,'TL06'!$J$238:$J$451),0),
IF('TL07'!$B$3=K$3,SUMIF('TL07'!$C$10:$C$224,$C203,'TL07'!$J$10:$J$224),0),
IF('TL07'!$B$229=K$3,SUMIF('TL07'!$C$238:$C$451,$C203,'TL07'!$J$238:$J$451),0),
IF('TL08'!$B$3=K$3,SUMIF('TL08'!$C$10:$C$224,$C203,'TL08'!$J$10:$J$224),0),
IF('TL08'!$B$229=K$3,SUMIF('TL08'!$C$238:$C$451,$C203,'TL08'!$J$238:$J$451),0),
IF('TL09'!$B$3=K$3,SUMIF('TL09'!$C$10:$C$224,$C203,'TL09'!$J$10:$J$224),0),
IF('TL09'!$B$229=K$3,SUMIF('TL09'!$C$238:$C$451,$C203,'TL09'!$J$238:$J$451),0),
IF('TL10'!$B$3=K$3,SUMIF('TL10'!$C$10:$C$224,$C203,'TL10'!$J$10:$J$224),0),
IF('TL10'!$B$229=K$3,SUMIF('TL10'!$C$238:$C$451,$C203,'TL10'!$J$238:$J$451),0),
IF('TL11'!$B$3=K$3,SUMIF('TL11'!$C$10:$C$224,$C203,'TL11'!$J$10:$J$224),0),
IF('TL11'!$B$229=K$3,SUMIF('TL11'!$C$238:$C$451,$C203,'TL11'!$J$238:$J$451),0),
IF('TL12'!$B$3=K$3,SUMIF('TL12'!$C$10:$C$224,$C203,'TL12'!$J$10:$J$224),0),
IF('TL12'!$B$229=K$3,SUMIF('TL12'!$C$238:$C$451,$C203,'TL12'!$J$238:$J$451),0),
IF('TL13'!$B$3=K$3,SUMIF('TL13'!$C$10:$C$224,$C203,'TL13'!$J$10:$J$224),0),
IF('TL13'!$B$229=K$3,SUMIF('TL13'!$C$238:$C$451,$C203,'TL13'!$J$238:$J$451),0),
IF('TL14'!$B$3=K$3,SUMIF('TL14'!$C$10:$C$224,$C203,'TL14'!$J$10:$J$224),0),
IF('TL14'!$B$229=K$3,SUMIF('TL14'!$C$238:$C$451,$C203,'TL14'!$J$238:$J$451),0),
IF('TL15'!$B$3=K$3,SUMIF('TL15'!$C$10:$C$224,$C203,'TL15'!$J$10:$J$224),0),
IF('TL15'!$B$229=K$3,SUMIF('TL15'!$C$238:$C$451,$C203,'TL15'!$J$238:$J$451),0),
IF('TL16'!$B$3=K$3,SUMIF('TL16'!$C$10:$C$224,$C203,'TL16'!$J$10:$J$224),0),
IF('TL16'!$B$229=K$3,SUMIF('TL16'!$C$238:$C$451,$C203,'TL16'!$J$238:$J$451),0),
IF('TL17'!$B$3=K$3,SUMIF('TL17'!$C$10:$C$224,$C203,'TL17'!$J$10:$J$224),0),
IF('TL17'!$B$229=K$3,SUMIF('TL17'!$C$238:$C$451,$C203,'TL17'!$J$238:$J$451),0),
IF('TL18'!$B$3=K$3,SUMIF('TL18'!$C$10:$C$224,$C203,'TL18'!$J$10:$J$224),0),
IF('TL18'!$B$229=K$3,SUMIF('TL18'!$C$238:$C$451,$C203,'TL18'!$J$238:$J$451),0),
IF('TL19'!$B$3=K$3,SUMIF('TL19'!$C$10:$C$224,$C203,'TL19'!$J$10:$J$224),0),
IF('TL19'!$B$229=K$3,SUMIF('TL19'!$C$238:$C$451,$C203,'TL19'!$J$238:$J$451),0)
),0)</f>
        <v>0</v>
      </c>
      <c r="L203" s="9">
        <f>IFERROR(SUM(
IF('TL01'!$B$3=L$3,SUMIF('TL01'!$C$10:$C$224,$C203,'TL01'!$J$10:$J$224),0),
IF('TL01'!$B$229=L$3,SUMIF('TL01'!$C$238:$C$451,$C203,'TL01'!$J$238:$J$451),0),
IF('TL02'!$B$3=L$3,SUMIF('TL02'!$C$10:$C$224,$C203,'TL02'!$J$10:$J$224),0),
IF('TL02'!$B$229=L$3,SUMIF('TL02'!$C$238:$C$451,$C203,'TL02'!$J$238:$J$451),0),
IF('TL03'!$B$3=L$3,SUMIF('TL03'!$C$10:$C$224,$C203,'TL03'!$J$10:$J$224),0),
IF('TL03'!$B$229=L$3,SUMIF('TL03'!$C$238:$C$451,$C203,'TL03'!$J$238:$J$451),0),
IF('TL04'!$B$3=L$3,SUMIF('TL04'!$C$10:$C$224,$C203,'TL04'!$J$10:$J$224),0),
IF('TL04'!$B$229=L$3,SUMIF('TL04'!$C$238:$C$451,$C203,'TL04'!$J$238:$J$451),0),
IF('TL05'!$B$3=L$3,SUMIF('TL05'!$C$10:$C$224,$C203,'TL05'!$J$10:$J$224),0),
IF('TL05'!$B$229=L$3,SUMIF('TL05'!$C$238:$C$451,$C203,'TL05'!$J$238:$J$451),0),
IF('TL06'!$B$3=L$3,SUMIF('TL06'!$C$10:$C$224,$C203,'TL06'!$J$10:$J$224),0),
IF('TL06'!$B$229=L$3,SUMIF('TL06'!$C$238:$C$451,$C203,'TL06'!$J$238:$J$451),0),
IF('TL07'!$B$3=L$3,SUMIF('TL07'!$C$10:$C$224,$C203,'TL07'!$J$10:$J$224),0),
IF('TL07'!$B$229=L$3,SUMIF('TL07'!$C$238:$C$451,$C203,'TL07'!$J$238:$J$451),0),
IF('TL08'!$B$3=L$3,SUMIF('TL08'!$C$10:$C$224,$C203,'TL08'!$J$10:$J$224),0),
IF('TL08'!$B$229=L$3,SUMIF('TL08'!$C$238:$C$451,$C203,'TL08'!$J$238:$J$451),0),
IF('TL09'!$B$3=L$3,SUMIF('TL09'!$C$10:$C$224,$C203,'TL09'!$J$10:$J$224),0),
IF('TL09'!$B$229=L$3,SUMIF('TL09'!$C$238:$C$451,$C203,'TL09'!$J$238:$J$451),0),
IF('TL10'!$B$3=L$3,SUMIF('TL10'!$C$10:$C$224,$C203,'TL10'!$J$10:$J$224),0),
IF('TL10'!$B$229=L$3,SUMIF('TL10'!$C$238:$C$451,$C203,'TL10'!$J$238:$J$451),0),
IF('TL11'!$B$3=L$3,SUMIF('TL11'!$C$10:$C$224,$C203,'TL11'!$J$10:$J$224),0),
IF('TL11'!$B$229=L$3,SUMIF('TL11'!$C$238:$C$451,$C203,'TL11'!$J$238:$J$451),0),
IF('TL12'!$B$3=L$3,SUMIF('TL12'!$C$10:$C$224,$C203,'TL12'!$J$10:$J$224),0),
IF('TL12'!$B$229=L$3,SUMIF('TL12'!$C$238:$C$451,$C203,'TL12'!$J$238:$J$451),0),
IF('TL13'!$B$3=L$3,SUMIF('TL13'!$C$10:$C$224,$C203,'TL13'!$J$10:$J$224),0),
IF('TL13'!$B$229=L$3,SUMIF('TL13'!$C$238:$C$451,$C203,'TL13'!$J$238:$J$451),0),
IF('TL14'!$B$3=L$3,SUMIF('TL14'!$C$10:$C$224,$C203,'TL14'!$J$10:$J$224),0),
IF('TL14'!$B$229=L$3,SUMIF('TL14'!$C$238:$C$451,$C203,'TL14'!$J$238:$J$451),0),
IF('TL15'!$B$3=L$3,SUMIF('TL15'!$C$10:$C$224,$C203,'TL15'!$J$10:$J$224),0),
IF('TL15'!$B$229=L$3,SUMIF('TL15'!$C$238:$C$451,$C203,'TL15'!$J$238:$J$451),0),
IF('TL16'!$B$3=L$3,SUMIF('TL16'!$C$10:$C$224,$C203,'TL16'!$J$10:$J$224),0),
IF('TL16'!$B$229=L$3,SUMIF('TL16'!$C$238:$C$451,$C203,'TL16'!$J$238:$J$451),0),
IF('TL17'!$B$3=L$3,SUMIF('TL17'!$C$10:$C$224,$C203,'TL17'!$J$10:$J$224),0),
IF('TL17'!$B$229=L$3,SUMIF('TL17'!$C$238:$C$451,$C203,'TL17'!$J$238:$J$451),0),
IF('TL18'!$B$3=L$3,SUMIF('TL18'!$C$10:$C$224,$C203,'TL18'!$J$10:$J$224),0),
IF('TL18'!$B$229=L$3,SUMIF('TL18'!$C$238:$C$451,$C203,'TL18'!$J$238:$J$451),0),
IF('TL19'!$B$3=L$3,SUMIF('TL19'!$C$10:$C$224,$C203,'TL19'!$J$10:$J$224),0),
IF('TL19'!$B$229=L$3,SUMIF('TL19'!$C$238:$C$451,$C203,'TL19'!$J$238:$J$451),0)
),0)</f>
        <v>0</v>
      </c>
      <c r="M203" s="9">
        <f>IFERROR(SUM(
IF('TL01'!$B$3=M$3,SUMIF('TL01'!$C$10:$C$224,$C203,'TL01'!$J$10:$J$224),0),
IF('TL01'!$B$229=M$3,SUMIF('TL01'!$C$238:$C$451,$C203,'TL01'!$J$238:$J$451),0),
IF('TL02'!$B$3=M$3,SUMIF('TL02'!$C$10:$C$224,$C203,'TL02'!$J$10:$J$224),0),
IF('TL02'!$B$229=M$3,SUMIF('TL02'!$C$238:$C$451,$C203,'TL02'!$J$238:$J$451),0),
IF('TL03'!$B$3=M$3,SUMIF('TL03'!$C$10:$C$224,$C203,'TL03'!$J$10:$J$224),0),
IF('TL03'!$B$229=M$3,SUMIF('TL03'!$C$238:$C$451,$C203,'TL03'!$J$238:$J$451),0),
IF('TL04'!$B$3=M$3,SUMIF('TL04'!$C$10:$C$224,$C203,'TL04'!$J$10:$J$224),0),
IF('TL04'!$B$229=M$3,SUMIF('TL04'!$C$238:$C$451,$C203,'TL04'!$J$238:$J$451),0),
IF('TL05'!$B$3=M$3,SUMIF('TL05'!$C$10:$C$224,$C203,'TL05'!$J$10:$J$224),0),
IF('TL05'!$B$229=M$3,SUMIF('TL05'!$C$238:$C$451,$C203,'TL05'!$J$238:$J$451),0),
IF('TL06'!$B$3=M$3,SUMIF('TL06'!$C$10:$C$224,$C203,'TL06'!$J$10:$J$224),0),
IF('TL06'!$B$229=M$3,SUMIF('TL06'!$C$238:$C$451,$C203,'TL06'!$J$238:$J$451),0),
IF('TL07'!$B$3=M$3,SUMIF('TL07'!$C$10:$C$224,$C203,'TL07'!$J$10:$J$224),0),
IF('TL07'!$B$229=M$3,SUMIF('TL07'!$C$238:$C$451,$C203,'TL07'!$J$238:$J$451),0),
IF('TL08'!$B$3=M$3,SUMIF('TL08'!$C$10:$C$224,$C203,'TL08'!$J$10:$J$224),0),
IF('TL08'!$B$229=M$3,SUMIF('TL08'!$C$238:$C$451,$C203,'TL08'!$J$238:$J$451),0),
IF('TL09'!$B$3=M$3,SUMIF('TL09'!$C$10:$C$224,$C203,'TL09'!$J$10:$J$224),0),
IF('TL09'!$B$229=M$3,SUMIF('TL09'!$C$238:$C$451,$C203,'TL09'!$J$238:$J$451),0),
IF('TL10'!$B$3=M$3,SUMIF('TL10'!$C$10:$C$224,$C203,'TL10'!$J$10:$J$224),0),
IF('TL10'!$B$229=M$3,SUMIF('TL10'!$C$238:$C$451,$C203,'TL10'!$J$238:$J$451),0),
IF('TL11'!$B$3=M$3,SUMIF('TL11'!$C$10:$C$224,$C203,'TL11'!$J$10:$J$224),0),
IF('TL11'!$B$229=M$3,SUMIF('TL11'!$C$238:$C$451,$C203,'TL11'!$J$238:$J$451),0),
IF('TL12'!$B$3=M$3,SUMIF('TL12'!$C$10:$C$224,$C203,'TL12'!$J$10:$J$224),0),
IF('TL12'!$B$229=M$3,SUMIF('TL12'!$C$238:$C$451,$C203,'TL12'!$J$238:$J$451),0),
IF('TL13'!$B$3=M$3,SUMIF('TL13'!$C$10:$C$224,$C203,'TL13'!$J$10:$J$224),0),
IF('TL13'!$B$229=M$3,SUMIF('TL13'!$C$238:$C$451,$C203,'TL13'!$J$238:$J$451),0),
IF('TL14'!$B$3=M$3,SUMIF('TL14'!$C$10:$C$224,$C203,'TL14'!$J$10:$J$224),0),
IF('TL14'!$B$229=M$3,SUMIF('TL14'!$C$238:$C$451,$C203,'TL14'!$J$238:$J$451),0),
IF('TL15'!$B$3=M$3,SUMIF('TL15'!$C$10:$C$224,$C203,'TL15'!$J$10:$J$224),0),
IF('TL15'!$B$229=M$3,SUMIF('TL15'!$C$238:$C$451,$C203,'TL15'!$J$238:$J$451),0),
IF('TL16'!$B$3=M$3,SUMIF('TL16'!$C$10:$C$224,$C203,'TL16'!$J$10:$J$224),0),
IF('TL16'!$B$229=M$3,SUMIF('TL16'!$C$238:$C$451,$C203,'TL16'!$J$238:$J$451),0),
IF('TL17'!$B$3=M$3,SUMIF('TL17'!$C$10:$C$224,$C203,'TL17'!$J$10:$J$224),0),
IF('TL17'!$B$229=M$3,SUMIF('TL17'!$C$238:$C$451,$C203,'TL17'!$J$238:$J$451),0),
IF('TL18'!$B$3=M$3,SUMIF('TL18'!$C$10:$C$224,$C203,'TL18'!$J$10:$J$224),0),
IF('TL18'!$B$229=M$3,SUMIF('TL18'!$C$238:$C$451,$C203,'TL18'!$J$238:$J$451),0),
IF('TL19'!$B$3=M$3,SUMIF('TL19'!$C$10:$C$224,$C203,'TL19'!$J$10:$J$224),0),
IF('TL19'!$B$229=M$3,SUMIF('TL19'!$C$238:$C$451,$C203,'TL19'!$J$238:$J$451),0)
),0)</f>
        <v>0</v>
      </c>
      <c r="N203" s="9">
        <f>IFERROR(SUM(
IF('TL01'!$B$3=N$3,SUMIF('TL01'!$C$10:$C$224,$C203,'TL01'!$J$10:$J$224),0),
IF('TL01'!$B$229=N$3,SUMIF('TL01'!$C$238:$C$451,$C203,'TL01'!$J$238:$J$451),0),
IF('TL02'!$B$3=N$3,SUMIF('TL02'!$C$10:$C$224,$C203,'TL02'!$J$10:$J$224),0),
IF('TL02'!$B$229=N$3,SUMIF('TL02'!$C$238:$C$451,$C203,'TL02'!$J$238:$J$451),0),
IF('TL03'!$B$3=N$3,SUMIF('TL03'!$C$10:$C$224,$C203,'TL03'!$J$10:$J$224),0),
IF('TL03'!$B$229=N$3,SUMIF('TL03'!$C$238:$C$451,$C203,'TL03'!$J$238:$J$451),0),
IF('TL04'!$B$3=N$3,SUMIF('TL04'!$C$10:$C$224,$C203,'TL04'!$J$10:$J$224),0),
IF('TL04'!$B$229=N$3,SUMIF('TL04'!$C$238:$C$451,$C203,'TL04'!$J$238:$J$451),0),
IF('TL05'!$B$3=N$3,SUMIF('TL05'!$C$10:$C$224,$C203,'TL05'!$J$10:$J$224),0),
IF('TL05'!$B$229=N$3,SUMIF('TL05'!$C$238:$C$451,$C203,'TL05'!$J$238:$J$451),0),
IF('TL06'!$B$3=N$3,SUMIF('TL06'!$C$10:$C$224,$C203,'TL06'!$J$10:$J$224),0),
IF('TL06'!$B$229=N$3,SUMIF('TL06'!$C$238:$C$451,$C203,'TL06'!$J$238:$J$451),0),
IF('TL07'!$B$3=N$3,SUMIF('TL07'!$C$10:$C$224,$C203,'TL07'!$J$10:$J$224),0),
IF('TL07'!$B$229=N$3,SUMIF('TL07'!$C$238:$C$451,$C203,'TL07'!$J$238:$J$451),0),
IF('TL08'!$B$3=N$3,SUMIF('TL08'!$C$10:$C$224,$C203,'TL08'!$J$10:$J$224),0),
IF('TL08'!$B$229=N$3,SUMIF('TL08'!$C$238:$C$451,$C203,'TL08'!$J$238:$J$451),0),
IF('TL09'!$B$3=N$3,SUMIF('TL09'!$C$10:$C$224,$C203,'TL09'!$J$10:$J$224),0),
IF('TL09'!$B$229=N$3,SUMIF('TL09'!$C$238:$C$451,$C203,'TL09'!$J$238:$J$451),0),
IF('TL10'!$B$3=N$3,SUMIF('TL10'!$C$10:$C$224,$C203,'TL10'!$J$10:$J$224),0),
IF('TL10'!$B$229=N$3,SUMIF('TL10'!$C$238:$C$451,$C203,'TL10'!$J$238:$J$451),0),
IF('TL11'!$B$3=N$3,SUMIF('TL11'!$C$10:$C$224,$C203,'TL11'!$J$10:$J$224),0),
IF('TL11'!$B$229=N$3,SUMIF('TL11'!$C$238:$C$451,$C203,'TL11'!$J$238:$J$451),0),
IF('TL12'!$B$3=N$3,SUMIF('TL12'!$C$10:$C$224,$C203,'TL12'!$J$10:$J$224),0),
IF('TL12'!$B$229=N$3,SUMIF('TL12'!$C$238:$C$451,$C203,'TL12'!$J$238:$J$451),0),
IF('TL13'!$B$3=N$3,SUMIF('TL13'!$C$10:$C$224,$C203,'TL13'!$J$10:$J$224),0),
IF('TL13'!$B$229=N$3,SUMIF('TL13'!$C$238:$C$451,$C203,'TL13'!$J$238:$J$451),0),
IF('TL14'!$B$3=N$3,SUMIF('TL14'!$C$10:$C$224,$C203,'TL14'!$J$10:$J$224),0),
IF('TL14'!$B$229=N$3,SUMIF('TL14'!$C$238:$C$451,$C203,'TL14'!$J$238:$J$451),0),
IF('TL15'!$B$3=N$3,SUMIF('TL15'!$C$10:$C$224,$C203,'TL15'!$J$10:$J$224),0),
IF('TL15'!$B$229=N$3,SUMIF('TL15'!$C$238:$C$451,$C203,'TL15'!$J$238:$J$451),0),
IF('TL16'!$B$3=N$3,SUMIF('TL16'!$C$10:$C$224,$C203,'TL16'!$J$10:$J$224),0),
IF('TL16'!$B$229=N$3,SUMIF('TL16'!$C$238:$C$451,$C203,'TL16'!$J$238:$J$451),0),
IF('TL17'!$B$3=N$3,SUMIF('TL17'!$C$10:$C$224,$C203,'TL17'!$J$10:$J$224),0),
IF('TL17'!$B$229=N$3,SUMIF('TL17'!$C$238:$C$451,$C203,'TL17'!$J$238:$J$451),0),
IF('TL18'!$B$3=N$3,SUMIF('TL18'!$C$10:$C$224,$C203,'TL18'!$J$10:$J$224),0),
IF('TL18'!$B$229=N$3,SUMIF('TL18'!$C$238:$C$451,$C203,'TL18'!$J$238:$J$451),0),
IF('TL19'!$B$3=N$3,SUMIF('TL19'!$C$10:$C$224,$C203,'TL19'!$J$10:$J$224),0),
IF('TL19'!$B$229=N$3,SUMIF('TL19'!$C$238:$C$451,$C203,'TL19'!$J$238:$J$451),0)
),0)</f>
        <v>0</v>
      </c>
      <c r="O203" s="9">
        <f>IFERROR(SUM(
IF('TL01'!$B$3=O$3,SUMIF('TL01'!$C$10:$C$224,$C203,'TL01'!$J$10:$J$224),0),
IF('TL01'!$B$229=O$3,SUMIF('TL01'!$C$238:$C$451,$C203,'TL01'!$J$238:$J$451),0),
IF('TL02'!$B$3=O$3,SUMIF('TL02'!$C$10:$C$224,$C203,'TL02'!$J$10:$J$224),0),
IF('TL02'!$B$229=O$3,SUMIF('TL02'!$C$238:$C$451,$C203,'TL02'!$J$238:$J$451),0),
IF('TL03'!$B$3=O$3,SUMIF('TL03'!$C$10:$C$224,$C203,'TL03'!$J$10:$J$224),0),
IF('TL03'!$B$229=O$3,SUMIF('TL03'!$C$238:$C$451,$C203,'TL03'!$J$238:$J$451),0),
IF('TL04'!$B$3=O$3,SUMIF('TL04'!$C$10:$C$224,$C203,'TL04'!$J$10:$J$224),0),
IF('TL04'!$B$229=O$3,SUMIF('TL04'!$C$238:$C$451,$C203,'TL04'!$J$238:$J$451),0),
IF('TL05'!$B$3=O$3,SUMIF('TL05'!$C$10:$C$224,$C203,'TL05'!$J$10:$J$224),0),
IF('TL05'!$B$229=O$3,SUMIF('TL05'!$C$238:$C$451,$C203,'TL05'!$J$238:$J$451),0),
IF('TL06'!$B$3=O$3,SUMIF('TL06'!$C$10:$C$224,$C203,'TL06'!$J$10:$J$224),0),
IF('TL06'!$B$229=O$3,SUMIF('TL06'!$C$238:$C$451,$C203,'TL06'!$J$238:$J$451),0),
IF('TL07'!$B$3=O$3,SUMIF('TL07'!$C$10:$C$224,$C203,'TL07'!$J$10:$J$224),0),
IF('TL07'!$B$229=O$3,SUMIF('TL07'!$C$238:$C$451,$C203,'TL07'!$J$238:$J$451),0),
IF('TL08'!$B$3=O$3,SUMIF('TL08'!$C$10:$C$224,$C203,'TL08'!$J$10:$J$224),0),
IF('TL08'!$B$229=O$3,SUMIF('TL08'!$C$238:$C$451,$C203,'TL08'!$J$238:$J$451),0),
IF('TL09'!$B$3=O$3,SUMIF('TL09'!$C$10:$C$224,$C203,'TL09'!$J$10:$J$224),0),
IF('TL09'!$B$229=O$3,SUMIF('TL09'!$C$238:$C$451,$C203,'TL09'!$J$238:$J$451),0),
IF('TL10'!$B$3=O$3,SUMIF('TL10'!$C$10:$C$224,$C203,'TL10'!$J$10:$J$224),0),
IF('TL10'!$B$229=O$3,SUMIF('TL10'!$C$238:$C$451,$C203,'TL10'!$J$238:$J$451),0),
IF('TL11'!$B$3=O$3,SUMIF('TL11'!$C$10:$C$224,$C203,'TL11'!$J$10:$J$224),0),
IF('TL11'!$B$229=O$3,SUMIF('TL11'!$C$238:$C$451,$C203,'TL11'!$J$238:$J$451),0),
IF('TL12'!$B$3=O$3,SUMIF('TL12'!$C$10:$C$224,$C203,'TL12'!$J$10:$J$224),0),
IF('TL12'!$B$229=O$3,SUMIF('TL12'!$C$238:$C$451,$C203,'TL12'!$J$238:$J$451),0),
IF('TL13'!$B$3=O$3,SUMIF('TL13'!$C$10:$C$224,$C203,'TL13'!$J$10:$J$224),0),
IF('TL13'!$B$229=O$3,SUMIF('TL13'!$C$238:$C$451,$C203,'TL13'!$J$238:$J$451),0),
IF('TL14'!$B$3=O$3,SUMIF('TL14'!$C$10:$C$224,$C203,'TL14'!$J$10:$J$224),0),
IF('TL14'!$B$229=O$3,SUMIF('TL14'!$C$238:$C$451,$C203,'TL14'!$J$238:$J$451),0),
IF('TL15'!$B$3=O$3,SUMIF('TL15'!$C$10:$C$224,$C203,'TL15'!$J$10:$J$224),0),
IF('TL15'!$B$229=O$3,SUMIF('TL15'!$C$238:$C$451,$C203,'TL15'!$J$238:$J$451),0),
IF('TL16'!$B$3=O$3,SUMIF('TL16'!$C$10:$C$224,$C203,'TL16'!$J$10:$J$224),0),
IF('TL16'!$B$229=O$3,SUMIF('TL16'!$C$238:$C$451,$C203,'TL16'!$J$238:$J$451),0),
IF('TL17'!$B$3=O$3,SUMIF('TL17'!$C$10:$C$224,$C203,'TL17'!$J$10:$J$224),0),
IF('TL17'!$B$229=O$3,SUMIF('TL17'!$C$238:$C$451,$C203,'TL17'!$J$238:$J$451),0),
IF('TL18'!$B$3=O$3,SUMIF('TL18'!$C$10:$C$224,$C203,'TL18'!$J$10:$J$224),0),
IF('TL18'!$B$229=O$3,SUMIF('TL18'!$C$238:$C$451,$C203,'TL18'!$J$238:$J$451),0),
IF('TL19'!$B$3=O$3,SUMIF('TL19'!$C$10:$C$224,$C203,'TL19'!$J$10:$J$224),0),
IF('TL19'!$B$229=O$3,SUMIF('TL19'!$C$238:$C$451,$C203,'TL19'!$J$238:$J$451),0)
),0)</f>
        <v>0</v>
      </c>
      <c r="P203" s="9">
        <f>IFERROR(SUM(
IF('TL01'!$B$3=P$3,SUMIF('TL01'!$C$10:$C$224,$C203,'TL01'!$J$10:$J$224),0),
IF('TL01'!$B$229=P$3,SUMIF('TL01'!$C$238:$C$451,$C203,'TL01'!$J$238:$J$451),0),
IF('TL02'!$B$3=P$3,SUMIF('TL02'!$C$10:$C$224,$C203,'TL02'!$J$10:$J$224),0),
IF('TL02'!$B$229=P$3,SUMIF('TL02'!$C$238:$C$451,$C203,'TL02'!$J$238:$J$451),0),
IF('TL03'!$B$3=P$3,SUMIF('TL03'!$C$10:$C$224,$C203,'TL03'!$J$10:$J$224),0),
IF('TL03'!$B$229=P$3,SUMIF('TL03'!$C$238:$C$451,$C203,'TL03'!$J$238:$J$451),0),
IF('TL04'!$B$3=P$3,SUMIF('TL04'!$C$10:$C$224,$C203,'TL04'!$J$10:$J$224),0),
IF('TL04'!$B$229=P$3,SUMIF('TL04'!$C$238:$C$451,$C203,'TL04'!$J$238:$J$451),0),
IF('TL05'!$B$3=P$3,SUMIF('TL05'!$C$10:$C$224,$C203,'TL05'!$J$10:$J$224),0),
IF('TL05'!$B$229=P$3,SUMIF('TL05'!$C$238:$C$451,$C203,'TL05'!$J$238:$J$451),0),
IF('TL06'!$B$3=P$3,SUMIF('TL06'!$C$10:$C$224,$C203,'TL06'!$J$10:$J$224),0),
IF('TL06'!$B$229=P$3,SUMIF('TL06'!$C$238:$C$451,$C203,'TL06'!$J$238:$J$451),0),
IF('TL07'!$B$3=P$3,SUMIF('TL07'!$C$10:$C$224,$C203,'TL07'!$J$10:$J$224),0),
IF('TL07'!$B$229=P$3,SUMIF('TL07'!$C$238:$C$451,$C203,'TL07'!$J$238:$J$451),0),
IF('TL08'!$B$3=P$3,SUMIF('TL08'!$C$10:$C$224,$C203,'TL08'!$J$10:$J$224),0),
IF('TL08'!$B$229=P$3,SUMIF('TL08'!$C$238:$C$451,$C203,'TL08'!$J$238:$J$451),0),
IF('TL09'!$B$3=P$3,SUMIF('TL09'!$C$10:$C$224,$C203,'TL09'!$J$10:$J$224),0),
IF('TL09'!$B$229=P$3,SUMIF('TL09'!$C$238:$C$451,$C203,'TL09'!$J$238:$J$451),0),
IF('TL10'!$B$3=P$3,SUMIF('TL10'!$C$10:$C$224,$C203,'TL10'!$J$10:$J$224),0),
IF('TL10'!$B$229=P$3,SUMIF('TL10'!$C$238:$C$451,$C203,'TL10'!$J$238:$J$451),0),
IF('TL11'!$B$3=P$3,SUMIF('TL11'!$C$10:$C$224,$C203,'TL11'!$J$10:$J$224),0),
IF('TL11'!$B$229=P$3,SUMIF('TL11'!$C$238:$C$451,$C203,'TL11'!$J$238:$J$451),0),
IF('TL12'!$B$3=P$3,SUMIF('TL12'!$C$10:$C$224,$C203,'TL12'!$J$10:$J$224),0),
IF('TL12'!$B$229=P$3,SUMIF('TL12'!$C$238:$C$451,$C203,'TL12'!$J$238:$J$451),0),
IF('TL13'!$B$3=P$3,SUMIF('TL13'!$C$10:$C$224,$C203,'TL13'!$J$10:$J$224),0),
IF('TL13'!$B$229=P$3,SUMIF('TL13'!$C$238:$C$451,$C203,'TL13'!$J$238:$J$451),0),
IF('TL14'!$B$3=P$3,SUMIF('TL14'!$C$10:$C$224,$C203,'TL14'!$J$10:$J$224),0),
IF('TL14'!$B$229=P$3,SUMIF('TL14'!$C$238:$C$451,$C203,'TL14'!$J$238:$J$451),0),
IF('TL15'!$B$3=P$3,SUMIF('TL15'!$C$10:$C$224,$C203,'TL15'!$J$10:$J$224),0),
IF('TL15'!$B$229=P$3,SUMIF('TL15'!$C$238:$C$451,$C203,'TL15'!$J$238:$J$451),0),
IF('TL16'!$B$3=P$3,SUMIF('TL16'!$C$10:$C$224,$C203,'TL16'!$J$10:$J$224),0),
IF('TL16'!$B$229=P$3,SUMIF('TL16'!$C$238:$C$451,$C203,'TL16'!$J$238:$J$451),0),
IF('TL17'!$B$3=P$3,SUMIF('TL17'!$C$10:$C$224,$C203,'TL17'!$J$10:$J$224),0),
IF('TL17'!$B$229=P$3,SUMIF('TL17'!$C$238:$C$451,$C203,'TL17'!$J$238:$J$451),0),
IF('TL18'!$B$3=P$3,SUMIF('TL18'!$C$10:$C$224,$C203,'TL18'!$J$10:$J$224),0),
IF('TL18'!$B$229=P$3,SUMIF('TL18'!$C$238:$C$451,$C203,'TL18'!$J$238:$J$451),0),
IF('TL19'!$B$3=P$3,SUMIF('TL19'!$C$10:$C$224,$C203,'TL19'!$J$10:$J$224),0),
IF('TL19'!$B$229=P$3,SUMIF('TL19'!$C$238:$C$451,$C203,'TL19'!$J$238:$J$451),0)
),0)</f>
        <v>0</v>
      </c>
      <c r="Q203" s="9">
        <f>IFERROR(SUM(
IF('TL01'!$B$3=Q$3,SUMIF('TL01'!$C$10:$C$224,$C203,'TL01'!$J$10:$J$224),0),
IF('TL01'!$B$229=Q$3,SUMIF('TL01'!$C$238:$C$451,$C203,'TL01'!$J$238:$J$451),0),
IF('TL02'!$B$3=Q$3,SUMIF('TL02'!$C$10:$C$224,$C203,'TL02'!$J$10:$J$224),0),
IF('TL02'!$B$229=Q$3,SUMIF('TL02'!$C$238:$C$451,$C203,'TL02'!$J$238:$J$451),0),
IF('TL03'!$B$3=Q$3,SUMIF('TL03'!$C$10:$C$224,$C203,'TL03'!$J$10:$J$224),0),
IF('TL03'!$B$229=Q$3,SUMIF('TL03'!$C$238:$C$451,$C203,'TL03'!$J$238:$J$451),0),
IF('TL04'!$B$3=Q$3,SUMIF('TL04'!$C$10:$C$224,$C203,'TL04'!$J$10:$J$224),0),
IF('TL04'!$B$229=Q$3,SUMIF('TL04'!$C$238:$C$451,$C203,'TL04'!$J$238:$J$451),0),
IF('TL05'!$B$3=Q$3,SUMIF('TL05'!$C$10:$C$224,$C203,'TL05'!$J$10:$J$224),0),
IF('TL05'!$B$229=Q$3,SUMIF('TL05'!$C$238:$C$451,$C203,'TL05'!$J$238:$J$451),0),
IF('TL06'!$B$3=Q$3,SUMIF('TL06'!$C$10:$C$224,$C203,'TL06'!$J$10:$J$224),0),
IF('TL06'!$B$229=Q$3,SUMIF('TL06'!$C$238:$C$451,$C203,'TL06'!$J$238:$J$451),0),
IF('TL07'!$B$3=Q$3,SUMIF('TL07'!$C$10:$C$224,$C203,'TL07'!$J$10:$J$224),0),
IF('TL07'!$B$229=Q$3,SUMIF('TL07'!$C$238:$C$451,$C203,'TL07'!$J$238:$J$451),0),
IF('TL08'!$B$3=Q$3,SUMIF('TL08'!$C$10:$C$224,$C203,'TL08'!$J$10:$J$224),0),
IF('TL08'!$B$229=Q$3,SUMIF('TL08'!$C$238:$C$451,$C203,'TL08'!$J$238:$J$451),0),
IF('TL09'!$B$3=Q$3,SUMIF('TL09'!$C$10:$C$224,$C203,'TL09'!$J$10:$J$224),0),
IF('TL09'!$B$229=Q$3,SUMIF('TL09'!$C$238:$C$451,$C203,'TL09'!$J$238:$J$451),0),
IF('TL10'!$B$3=Q$3,SUMIF('TL10'!$C$10:$C$224,$C203,'TL10'!$J$10:$J$224),0),
IF('TL10'!$B$229=Q$3,SUMIF('TL10'!$C$238:$C$451,$C203,'TL10'!$J$238:$J$451),0),
IF('TL11'!$B$3=Q$3,SUMIF('TL11'!$C$10:$C$224,$C203,'TL11'!$J$10:$J$224),0),
IF('TL11'!$B$229=Q$3,SUMIF('TL11'!$C$238:$C$451,$C203,'TL11'!$J$238:$J$451),0),
IF('TL12'!$B$3=Q$3,SUMIF('TL12'!$C$10:$C$224,$C203,'TL12'!$J$10:$J$224),0),
IF('TL12'!$B$229=Q$3,SUMIF('TL12'!$C$238:$C$451,$C203,'TL12'!$J$238:$J$451),0),
IF('TL13'!$B$3=Q$3,SUMIF('TL13'!$C$10:$C$224,$C203,'TL13'!$J$10:$J$224),0),
IF('TL13'!$B$229=Q$3,SUMIF('TL13'!$C$238:$C$451,$C203,'TL13'!$J$238:$J$451),0),
IF('TL14'!$B$3=Q$3,SUMIF('TL14'!$C$10:$C$224,$C203,'TL14'!$J$10:$J$224),0),
IF('TL14'!$B$229=Q$3,SUMIF('TL14'!$C$238:$C$451,$C203,'TL14'!$J$238:$J$451),0),
IF('TL15'!$B$3=Q$3,SUMIF('TL15'!$C$10:$C$224,$C203,'TL15'!$J$10:$J$224),0),
IF('TL15'!$B$229=Q$3,SUMIF('TL15'!$C$238:$C$451,$C203,'TL15'!$J$238:$J$451),0),
IF('TL16'!$B$3=Q$3,SUMIF('TL16'!$C$10:$C$224,$C203,'TL16'!$J$10:$J$224),0),
IF('TL16'!$B$229=Q$3,SUMIF('TL16'!$C$238:$C$451,$C203,'TL16'!$J$238:$J$451),0),
IF('TL17'!$B$3=Q$3,SUMIF('TL17'!$C$10:$C$224,$C203,'TL17'!$J$10:$J$224),0),
IF('TL17'!$B$229=Q$3,SUMIF('TL17'!$C$238:$C$451,$C203,'TL17'!$J$238:$J$451),0),
IF('TL18'!$B$3=Q$3,SUMIF('TL18'!$C$10:$C$224,$C203,'TL18'!$J$10:$J$224),0),
IF('TL18'!$B$229=Q$3,SUMIF('TL18'!$C$238:$C$451,$C203,'TL18'!$J$238:$J$451),0),
IF('TL19'!$B$3=Q$3,SUMIF('TL19'!$C$10:$C$224,$C203,'TL19'!$J$10:$J$224),0),
IF('TL19'!$B$229=Q$3,SUMIF('TL19'!$C$238:$C$451,$C203,'TL19'!$J$238:$J$451),0)
),0)</f>
        <v>0</v>
      </c>
      <c r="R203" s="9">
        <f>IFERROR(
SUM(
SUMIF('TL01'!C:C,C203,'TL01'!J:J),
SUMIF('TL02'!C:C,C203,'TL02'!J:J),
SUMIF('TL03'!C:C,C203,'TL03'!J:J),
SUMIF('TL04'!C:C,C203,'TL04'!J:J),
SUMIF('TL05'!C:C,C203,'TL05'!J:J),
SUMIF('TL06'!C:C,C203,'TL06'!J:J),
SUMIF('TL07'!C:C,C203,'TL07'!J:J),
SUMIF('TL08'!C:C,C203,'TL08'!J:J),
SUMIF('TL09'!C:C,C203,'TL09'!J:J),
SUMIF('TL10'!C:C,C203,'TL10'!J:J),
SUMIF('TL11'!C:C,C203,'TL11'!J:J),
SUMIF('TL12'!C:C,C203,'TL12'!J:J),
SUMIF('TL13'!C:C,C203,'TL13'!J:J),
SUMIF('TL14'!C:C,C203,'TL14'!J:J),
SUMIF('TL15'!C:C,C203,'TL15'!J:J),
SUMIF('TL16'!C:C,C203,'TL16'!J:J),
SUMIF('TL17'!C:C,C203,'TL17'!J:J),
SUMIF('TL18'!C:C,C203,'TL18'!J:J),SUMIF('TL19'!C:C,C203,'TL19'!J:J))
,0)</f>
        <v>0</v>
      </c>
      <c r="S203" s="17">
        <f>IFERROR(__xludf.DUMMYFUNCTION("IFERROR(VLOOKUP(C203,
IMPORTRANGE(""1wULbzX32WdYsx-lj2U3uUNBBe2INVIRDtcK0d-Dvl90"",
""26-27!C:G""),
5,
FALSE),
"""")"),69.69258)</f>
        <v>69.69258</v>
      </c>
      <c r="T203" s="9"/>
      <c r="U203" s="92">
        <f t="shared" si="2"/>
        <v>0</v>
      </c>
      <c r="V203" s="93">
        <f t="shared" si="3"/>
        <v>0</v>
      </c>
    </row>
    <row r="204" ht="15.75" hidden="1" customHeight="1">
      <c r="A204" s="87" t="s">
        <v>378</v>
      </c>
      <c r="B204" s="88" t="s">
        <v>2</v>
      </c>
      <c r="C204" s="89" t="s">
        <v>824</v>
      </c>
      <c r="D204" s="89" t="s">
        <v>825</v>
      </c>
      <c r="E204" s="89">
        <v>200.0</v>
      </c>
      <c r="F204" s="4" t="s">
        <v>343</v>
      </c>
      <c r="G204" s="90" t="str">
        <f t="shared" si="4"/>
        <v>📄 Ver bula</v>
      </c>
      <c r="H204" s="9">
        <f>IFERROR(__xludf.DUMMYFUNCTION("IFERROR(VLOOKUP(C204,
IMPORTRANGE(""1wULbzX32WdYsx-lj2U3uUNBBe2INVIRDtcK0d-Dvl90"",
""26-27!C:K""),
8,
FALSE),
"""")"),0.1)</f>
        <v>0.1</v>
      </c>
      <c r="I204" s="91" t="s">
        <v>361</v>
      </c>
      <c r="J204" s="9">
        <f>IFERROR(SUM(
IF('TL01'!$B$3=J$3,SUMIF('TL01'!$C$10:$C$224,$C204,'TL01'!$J$10:$J$224),0),
IF('TL01'!$B$229=J$3,SUMIF('TL01'!$C$238:$C$451,$C204,'TL01'!$J$238:$J$451),0),
IF('TL02'!$B$3=J$3,SUMIF('TL02'!$C$10:$C$224,$C204,'TL02'!$J$10:$J$224),0),
IF('TL02'!$B$229=J$3,SUMIF('TL02'!$C$238:$C$451,$C204,'TL02'!$J$238:$J$451),0),
IF('TL03'!$B$3=J$3,SUMIF('TL03'!$C$10:$C$224,$C204,'TL03'!$J$10:$J$224),0),
IF('TL03'!$B$229=J$3,SUMIF('TL03'!$C$238:$C$451,$C204,'TL03'!$J$238:$J$451),0),
IF('TL04'!$B$3=J$3,SUMIF('TL04'!$C$10:$C$224,$C204,'TL04'!$J$10:$J$224),0),
IF('TL04'!$B$229=J$3,SUMIF('TL04'!$C$238:$C$451,$C204,'TL04'!$J$238:$J$451),0),
IF('TL05'!$B$3=J$3,SUMIF('TL05'!$C$10:$C$224,$C204,'TL05'!$J$10:$J$224),0),
IF('TL05'!$B$229=J$3,SUMIF('TL05'!$C$238:$C$451,$C204,'TL05'!$J$238:$J$451),0),
IF('TL06'!$B$3=J$3,SUMIF('TL06'!$C$10:$C$224,$C204,'TL06'!$J$10:$J$224),0),
IF('TL06'!$B$229=J$3,SUMIF('TL06'!$C$238:$C$451,$C204,'TL06'!$J$238:$J$451),0),
IF('TL07'!$B$3=J$3,SUMIF('TL07'!$C$10:$C$224,$C204,'TL07'!$J$10:$J$224),0),
IF('TL07'!$B$229=J$3,SUMIF('TL07'!$C$238:$C$451,$C204,'TL07'!$J$238:$J$451),0),
IF('TL08'!$B$3=J$3,SUMIF('TL08'!$C$10:$C$224,$C204,'TL08'!$J$10:$J$224),0),
IF('TL08'!$B$229=J$3,SUMIF('TL08'!$C$238:$C$451,$C204,'TL08'!$J$238:$J$451),0),
IF('TL09'!$B$3=J$3,SUMIF('TL09'!$C$10:$C$224,$C204,'TL09'!$J$10:$J$224),0),
IF('TL09'!$B$229=J$3,SUMIF('TL09'!$C$238:$C$451,$C204,'TL09'!$J$238:$J$451),0),
IF('TL10'!$B$3=J$3,SUMIF('TL10'!$C$10:$C$224,$C204,'TL10'!$J$10:$J$224),0),
IF('TL10'!$B$229=J$3,SUMIF('TL10'!$C$238:$C$451,$C204,'TL10'!$J$238:$J$451),0),
IF('TL11'!$B$3=J$3,SUMIF('TL11'!$C$10:$C$224,$C204,'TL11'!$J$10:$J$224),0),
IF('TL11'!$B$229=J$3,SUMIF('TL11'!$C$238:$C$451,$C204,'TL11'!$J$238:$J$451),0),
IF('TL12'!$B$3=J$3,SUMIF('TL12'!$C$10:$C$224,$C204,'TL12'!$J$10:$J$224),0),
IF('TL12'!$B$229=J$3,SUMIF('TL12'!$C$238:$C$451,$C204,'TL12'!$J$238:$J$451),0),
IF('TL13'!$B$3=J$3,SUMIF('TL13'!$C$10:$C$224,$C204,'TL13'!$J$10:$J$224),0),
IF('TL13'!$B$229=J$3,SUMIF('TL13'!$C$238:$C$451,$C204,'TL13'!$J$238:$J$451),0),
IF('TL14'!$B$3=J$3,SUMIF('TL14'!$C$10:$C$224,$C204,'TL14'!$J$10:$J$224),0),
IF('TL14'!$B$229=J$3,SUMIF('TL14'!$C$238:$C$451,$C204,'TL14'!$J$238:$J$451),0),
IF('TL15'!$B$3=J$3,SUMIF('TL15'!$C$10:$C$224,$C204,'TL15'!$J$10:$J$224),0),
IF('TL15'!$B$229=J$3,SUMIF('TL15'!$C$238:$C$451,$C204,'TL15'!$J$238:$J$451),0),
IF('TL16'!$B$3=J$3,SUMIF('TL16'!$C$10:$C$224,$C204,'TL16'!$J$10:$J$224),0),
IF('TL16'!$B$229=J$3,SUMIF('TL16'!$C$238:$C$451,$C204,'TL16'!$J$238:$J$451),0),
IF('TL17'!$B$3=J$3,SUMIF('TL17'!$C$10:$C$224,$C204,'TL17'!$J$10:$J$224),0),
IF('TL17'!$B$229=J$3,SUMIF('TL17'!$C$238:$C$451,$C204,'TL17'!$J$238:$J$451),0),
IF('TL18'!$B$3=J$3,SUMIF('TL18'!$C$10:$C$224,$C204,'TL18'!$J$10:$J$224),0),
IF('TL18'!$B$229=J$3,SUMIF('TL18'!$C$238:$C$451,$C204,'TL18'!$J$238:$J$451),0),
IF('TL19'!$B$3=J$3,SUMIF('TL19'!$C$10:$C$224,$C204,'TL19'!$J$10:$J$224),0),
IF('TL19'!$B$229=J$3,SUMIF('TL19'!$C$238:$C$451,$C204,'TL19'!$J$238:$J$451),0)
),0)</f>
        <v>0</v>
      </c>
      <c r="K204" s="9">
        <f>IFERROR(SUM(
IF('TL01'!$B$3=K$3,SUMIF('TL01'!$C$10:$C$224,$C204,'TL01'!$J$10:$J$224),0),
IF('TL01'!$B$229=K$3,SUMIF('TL01'!$C$238:$C$451,$C204,'TL01'!$J$238:$J$451),0),
IF('TL02'!$B$3=K$3,SUMIF('TL02'!$C$10:$C$224,$C204,'TL02'!$J$10:$J$224),0),
IF('TL02'!$B$229=K$3,SUMIF('TL02'!$C$238:$C$451,$C204,'TL02'!$J$238:$J$451),0),
IF('TL03'!$B$3=K$3,SUMIF('TL03'!$C$10:$C$224,$C204,'TL03'!$J$10:$J$224),0),
IF('TL03'!$B$229=K$3,SUMIF('TL03'!$C$238:$C$451,$C204,'TL03'!$J$238:$J$451),0),
IF('TL04'!$B$3=K$3,SUMIF('TL04'!$C$10:$C$224,$C204,'TL04'!$J$10:$J$224),0),
IF('TL04'!$B$229=K$3,SUMIF('TL04'!$C$238:$C$451,$C204,'TL04'!$J$238:$J$451),0),
IF('TL05'!$B$3=K$3,SUMIF('TL05'!$C$10:$C$224,$C204,'TL05'!$J$10:$J$224),0),
IF('TL05'!$B$229=K$3,SUMIF('TL05'!$C$238:$C$451,$C204,'TL05'!$J$238:$J$451),0),
IF('TL06'!$B$3=K$3,SUMIF('TL06'!$C$10:$C$224,$C204,'TL06'!$J$10:$J$224),0),
IF('TL06'!$B$229=K$3,SUMIF('TL06'!$C$238:$C$451,$C204,'TL06'!$J$238:$J$451),0),
IF('TL07'!$B$3=K$3,SUMIF('TL07'!$C$10:$C$224,$C204,'TL07'!$J$10:$J$224),0),
IF('TL07'!$B$229=K$3,SUMIF('TL07'!$C$238:$C$451,$C204,'TL07'!$J$238:$J$451),0),
IF('TL08'!$B$3=K$3,SUMIF('TL08'!$C$10:$C$224,$C204,'TL08'!$J$10:$J$224),0),
IF('TL08'!$B$229=K$3,SUMIF('TL08'!$C$238:$C$451,$C204,'TL08'!$J$238:$J$451),0),
IF('TL09'!$B$3=K$3,SUMIF('TL09'!$C$10:$C$224,$C204,'TL09'!$J$10:$J$224),0),
IF('TL09'!$B$229=K$3,SUMIF('TL09'!$C$238:$C$451,$C204,'TL09'!$J$238:$J$451),0),
IF('TL10'!$B$3=K$3,SUMIF('TL10'!$C$10:$C$224,$C204,'TL10'!$J$10:$J$224),0),
IF('TL10'!$B$229=K$3,SUMIF('TL10'!$C$238:$C$451,$C204,'TL10'!$J$238:$J$451),0),
IF('TL11'!$B$3=K$3,SUMIF('TL11'!$C$10:$C$224,$C204,'TL11'!$J$10:$J$224),0),
IF('TL11'!$B$229=K$3,SUMIF('TL11'!$C$238:$C$451,$C204,'TL11'!$J$238:$J$451),0),
IF('TL12'!$B$3=K$3,SUMIF('TL12'!$C$10:$C$224,$C204,'TL12'!$J$10:$J$224),0),
IF('TL12'!$B$229=K$3,SUMIF('TL12'!$C$238:$C$451,$C204,'TL12'!$J$238:$J$451),0),
IF('TL13'!$B$3=K$3,SUMIF('TL13'!$C$10:$C$224,$C204,'TL13'!$J$10:$J$224),0),
IF('TL13'!$B$229=K$3,SUMIF('TL13'!$C$238:$C$451,$C204,'TL13'!$J$238:$J$451),0),
IF('TL14'!$B$3=K$3,SUMIF('TL14'!$C$10:$C$224,$C204,'TL14'!$J$10:$J$224),0),
IF('TL14'!$B$229=K$3,SUMIF('TL14'!$C$238:$C$451,$C204,'TL14'!$J$238:$J$451),0),
IF('TL15'!$B$3=K$3,SUMIF('TL15'!$C$10:$C$224,$C204,'TL15'!$J$10:$J$224),0),
IF('TL15'!$B$229=K$3,SUMIF('TL15'!$C$238:$C$451,$C204,'TL15'!$J$238:$J$451),0),
IF('TL16'!$B$3=K$3,SUMIF('TL16'!$C$10:$C$224,$C204,'TL16'!$J$10:$J$224),0),
IF('TL16'!$B$229=K$3,SUMIF('TL16'!$C$238:$C$451,$C204,'TL16'!$J$238:$J$451),0),
IF('TL17'!$B$3=K$3,SUMIF('TL17'!$C$10:$C$224,$C204,'TL17'!$J$10:$J$224),0),
IF('TL17'!$B$229=K$3,SUMIF('TL17'!$C$238:$C$451,$C204,'TL17'!$J$238:$J$451),0),
IF('TL18'!$B$3=K$3,SUMIF('TL18'!$C$10:$C$224,$C204,'TL18'!$J$10:$J$224),0),
IF('TL18'!$B$229=K$3,SUMIF('TL18'!$C$238:$C$451,$C204,'TL18'!$J$238:$J$451),0),
IF('TL19'!$B$3=K$3,SUMIF('TL19'!$C$10:$C$224,$C204,'TL19'!$J$10:$J$224),0),
IF('TL19'!$B$229=K$3,SUMIF('TL19'!$C$238:$C$451,$C204,'TL19'!$J$238:$J$451),0)
),0)</f>
        <v>24</v>
      </c>
      <c r="L204" s="9">
        <f>IFERROR(SUM(
IF('TL01'!$B$3=L$3,SUMIF('TL01'!$C$10:$C$224,$C204,'TL01'!$J$10:$J$224),0),
IF('TL01'!$B$229=L$3,SUMIF('TL01'!$C$238:$C$451,$C204,'TL01'!$J$238:$J$451),0),
IF('TL02'!$B$3=L$3,SUMIF('TL02'!$C$10:$C$224,$C204,'TL02'!$J$10:$J$224),0),
IF('TL02'!$B$229=L$3,SUMIF('TL02'!$C$238:$C$451,$C204,'TL02'!$J$238:$J$451),0),
IF('TL03'!$B$3=L$3,SUMIF('TL03'!$C$10:$C$224,$C204,'TL03'!$J$10:$J$224),0),
IF('TL03'!$B$229=L$3,SUMIF('TL03'!$C$238:$C$451,$C204,'TL03'!$J$238:$J$451),0),
IF('TL04'!$B$3=L$3,SUMIF('TL04'!$C$10:$C$224,$C204,'TL04'!$J$10:$J$224),0),
IF('TL04'!$B$229=L$3,SUMIF('TL04'!$C$238:$C$451,$C204,'TL04'!$J$238:$J$451),0),
IF('TL05'!$B$3=L$3,SUMIF('TL05'!$C$10:$C$224,$C204,'TL05'!$J$10:$J$224),0),
IF('TL05'!$B$229=L$3,SUMIF('TL05'!$C$238:$C$451,$C204,'TL05'!$J$238:$J$451),0),
IF('TL06'!$B$3=L$3,SUMIF('TL06'!$C$10:$C$224,$C204,'TL06'!$J$10:$J$224),0),
IF('TL06'!$B$229=L$3,SUMIF('TL06'!$C$238:$C$451,$C204,'TL06'!$J$238:$J$451),0),
IF('TL07'!$B$3=L$3,SUMIF('TL07'!$C$10:$C$224,$C204,'TL07'!$J$10:$J$224),0),
IF('TL07'!$B$229=L$3,SUMIF('TL07'!$C$238:$C$451,$C204,'TL07'!$J$238:$J$451),0),
IF('TL08'!$B$3=L$3,SUMIF('TL08'!$C$10:$C$224,$C204,'TL08'!$J$10:$J$224),0),
IF('TL08'!$B$229=L$3,SUMIF('TL08'!$C$238:$C$451,$C204,'TL08'!$J$238:$J$451),0),
IF('TL09'!$B$3=L$3,SUMIF('TL09'!$C$10:$C$224,$C204,'TL09'!$J$10:$J$224),0),
IF('TL09'!$B$229=L$3,SUMIF('TL09'!$C$238:$C$451,$C204,'TL09'!$J$238:$J$451),0),
IF('TL10'!$B$3=L$3,SUMIF('TL10'!$C$10:$C$224,$C204,'TL10'!$J$10:$J$224),0),
IF('TL10'!$B$229=L$3,SUMIF('TL10'!$C$238:$C$451,$C204,'TL10'!$J$238:$J$451),0),
IF('TL11'!$B$3=L$3,SUMIF('TL11'!$C$10:$C$224,$C204,'TL11'!$J$10:$J$224),0),
IF('TL11'!$B$229=L$3,SUMIF('TL11'!$C$238:$C$451,$C204,'TL11'!$J$238:$J$451),0),
IF('TL12'!$B$3=L$3,SUMIF('TL12'!$C$10:$C$224,$C204,'TL12'!$J$10:$J$224),0),
IF('TL12'!$B$229=L$3,SUMIF('TL12'!$C$238:$C$451,$C204,'TL12'!$J$238:$J$451),0),
IF('TL13'!$B$3=L$3,SUMIF('TL13'!$C$10:$C$224,$C204,'TL13'!$J$10:$J$224),0),
IF('TL13'!$B$229=L$3,SUMIF('TL13'!$C$238:$C$451,$C204,'TL13'!$J$238:$J$451),0),
IF('TL14'!$B$3=L$3,SUMIF('TL14'!$C$10:$C$224,$C204,'TL14'!$J$10:$J$224),0),
IF('TL14'!$B$229=L$3,SUMIF('TL14'!$C$238:$C$451,$C204,'TL14'!$J$238:$J$451),0),
IF('TL15'!$B$3=L$3,SUMIF('TL15'!$C$10:$C$224,$C204,'TL15'!$J$10:$J$224),0),
IF('TL15'!$B$229=L$3,SUMIF('TL15'!$C$238:$C$451,$C204,'TL15'!$J$238:$J$451),0),
IF('TL16'!$B$3=L$3,SUMIF('TL16'!$C$10:$C$224,$C204,'TL16'!$J$10:$J$224),0),
IF('TL16'!$B$229=L$3,SUMIF('TL16'!$C$238:$C$451,$C204,'TL16'!$J$238:$J$451),0),
IF('TL17'!$B$3=L$3,SUMIF('TL17'!$C$10:$C$224,$C204,'TL17'!$J$10:$J$224),0),
IF('TL17'!$B$229=L$3,SUMIF('TL17'!$C$238:$C$451,$C204,'TL17'!$J$238:$J$451),0),
IF('TL18'!$B$3=L$3,SUMIF('TL18'!$C$10:$C$224,$C204,'TL18'!$J$10:$J$224),0),
IF('TL18'!$B$229=L$3,SUMIF('TL18'!$C$238:$C$451,$C204,'TL18'!$J$238:$J$451),0),
IF('TL19'!$B$3=L$3,SUMIF('TL19'!$C$10:$C$224,$C204,'TL19'!$J$10:$J$224),0),
IF('TL19'!$B$229=L$3,SUMIF('TL19'!$C$238:$C$451,$C204,'TL19'!$J$238:$J$451),0)
),0)</f>
        <v>17.6</v>
      </c>
      <c r="M204" s="9">
        <f>IFERROR(SUM(
IF('TL01'!$B$3=M$3,SUMIF('TL01'!$C$10:$C$224,$C204,'TL01'!$J$10:$J$224),0),
IF('TL01'!$B$229=M$3,SUMIF('TL01'!$C$238:$C$451,$C204,'TL01'!$J$238:$J$451),0),
IF('TL02'!$B$3=M$3,SUMIF('TL02'!$C$10:$C$224,$C204,'TL02'!$J$10:$J$224),0),
IF('TL02'!$B$229=M$3,SUMIF('TL02'!$C$238:$C$451,$C204,'TL02'!$J$238:$J$451),0),
IF('TL03'!$B$3=M$3,SUMIF('TL03'!$C$10:$C$224,$C204,'TL03'!$J$10:$J$224),0),
IF('TL03'!$B$229=M$3,SUMIF('TL03'!$C$238:$C$451,$C204,'TL03'!$J$238:$J$451),0),
IF('TL04'!$B$3=M$3,SUMIF('TL04'!$C$10:$C$224,$C204,'TL04'!$J$10:$J$224),0),
IF('TL04'!$B$229=M$3,SUMIF('TL04'!$C$238:$C$451,$C204,'TL04'!$J$238:$J$451),0),
IF('TL05'!$B$3=M$3,SUMIF('TL05'!$C$10:$C$224,$C204,'TL05'!$J$10:$J$224),0),
IF('TL05'!$B$229=M$3,SUMIF('TL05'!$C$238:$C$451,$C204,'TL05'!$J$238:$J$451),0),
IF('TL06'!$B$3=M$3,SUMIF('TL06'!$C$10:$C$224,$C204,'TL06'!$J$10:$J$224),0),
IF('TL06'!$B$229=M$3,SUMIF('TL06'!$C$238:$C$451,$C204,'TL06'!$J$238:$J$451),0),
IF('TL07'!$B$3=M$3,SUMIF('TL07'!$C$10:$C$224,$C204,'TL07'!$J$10:$J$224),0),
IF('TL07'!$B$229=M$3,SUMIF('TL07'!$C$238:$C$451,$C204,'TL07'!$J$238:$J$451),0),
IF('TL08'!$B$3=M$3,SUMIF('TL08'!$C$10:$C$224,$C204,'TL08'!$J$10:$J$224),0),
IF('TL08'!$B$229=M$3,SUMIF('TL08'!$C$238:$C$451,$C204,'TL08'!$J$238:$J$451),0),
IF('TL09'!$B$3=M$3,SUMIF('TL09'!$C$10:$C$224,$C204,'TL09'!$J$10:$J$224),0),
IF('TL09'!$B$229=M$3,SUMIF('TL09'!$C$238:$C$451,$C204,'TL09'!$J$238:$J$451),0),
IF('TL10'!$B$3=M$3,SUMIF('TL10'!$C$10:$C$224,$C204,'TL10'!$J$10:$J$224),0),
IF('TL10'!$B$229=M$3,SUMIF('TL10'!$C$238:$C$451,$C204,'TL10'!$J$238:$J$451),0),
IF('TL11'!$B$3=M$3,SUMIF('TL11'!$C$10:$C$224,$C204,'TL11'!$J$10:$J$224),0),
IF('TL11'!$B$229=M$3,SUMIF('TL11'!$C$238:$C$451,$C204,'TL11'!$J$238:$J$451),0),
IF('TL12'!$B$3=M$3,SUMIF('TL12'!$C$10:$C$224,$C204,'TL12'!$J$10:$J$224),0),
IF('TL12'!$B$229=M$3,SUMIF('TL12'!$C$238:$C$451,$C204,'TL12'!$J$238:$J$451),0),
IF('TL13'!$B$3=M$3,SUMIF('TL13'!$C$10:$C$224,$C204,'TL13'!$J$10:$J$224),0),
IF('TL13'!$B$229=M$3,SUMIF('TL13'!$C$238:$C$451,$C204,'TL13'!$J$238:$J$451),0),
IF('TL14'!$B$3=M$3,SUMIF('TL14'!$C$10:$C$224,$C204,'TL14'!$J$10:$J$224),0),
IF('TL14'!$B$229=M$3,SUMIF('TL14'!$C$238:$C$451,$C204,'TL14'!$J$238:$J$451),0),
IF('TL15'!$B$3=M$3,SUMIF('TL15'!$C$10:$C$224,$C204,'TL15'!$J$10:$J$224),0),
IF('TL15'!$B$229=M$3,SUMIF('TL15'!$C$238:$C$451,$C204,'TL15'!$J$238:$J$451),0),
IF('TL16'!$B$3=M$3,SUMIF('TL16'!$C$10:$C$224,$C204,'TL16'!$J$10:$J$224),0),
IF('TL16'!$B$229=M$3,SUMIF('TL16'!$C$238:$C$451,$C204,'TL16'!$J$238:$J$451),0),
IF('TL17'!$B$3=M$3,SUMIF('TL17'!$C$10:$C$224,$C204,'TL17'!$J$10:$J$224),0),
IF('TL17'!$B$229=M$3,SUMIF('TL17'!$C$238:$C$451,$C204,'TL17'!$J$238:$J$451),0),
IF('TL18'!$B$3=M$3,SUMIF('TL18'!$C$10:$C$224,$C204,'TL18'!$J$10:$J$224),0),
IF('TL18'!$B$229=M$3,SUMIF('TL18'!$C$238:$C$451,$C204,'TL18'!$J$238:$J$451),0),
IF('TL19'!$B$3=M$3,SUMIF('TL19'!$C$10:$C$224,$C204,'TL19'!$J$10:$J$224),0),
IF('TL19'!$B$229=M$3,SUMIF('TL19'!$C$238:$C$451,$C204,'TL19'!$J$238:$J$451),0)
),0)</f>
        <v>0</v>
      </c>
      <c r="N204" s="9">
        <f>IFERROR(SUM(
IF('TL01'!$B$3=N$3,SUMIF('TL01'!$C$10:$C$224,$C204,'TL01'!$J$10:$J$224),0),
IF('TL01'!$B$229=N$3,SUMIF('TL01'!$C$238:$C$451,$C204,'TL01'!$J$238:$J$451),0),
IF('TL02'!$B$3=N$3,SUMIF('TL02'!$C$10:$C$224,$C204,'TL02'!$J$10:$J$224),0),
IF('TL02'!$B$229=N$3,SUMIF('TL02'!$C$238:$C$451,$C204,'TL02'!$J$238:$J$451),0),
IF('TL03'!$B$3=N$3,SUMIF('TL03'!$C$10:$C$224,$C204,'TL03'!$J$10:$J$224),0),
IF('TL03'!$B$229=N$3,SUMIF('TL03'!$C$238:$C$451,$C204,'TL03'!$J$238:$J$451),0),
IF('TL04'!$B$3=N$3,SUMIF('TL04'!$C$10:$C$224,$C204,'TL04'!$J$10:$J$224),0),
IF('TL04'!$B$229=N$3,SUMIF('TL04'!$C$238:$C$451,$C204,'TL04'!$J$238:$J$451),0),
IF('TL05'!$B$3=N$3,SUMIF('TL05'!$C$10:$C$224,$C204,'TL05'!$J$10:$J$224),0),
IF('TL05'!$B$229=N$3,SUMIF('TL05'!$C$238:$C$451,$C204,'TL05'!$J$238:$J$451),0),
IF('TL06'!$B$3=N$3,SUMIF('TL06'!$C$10:$C$224,$C204,'TL06'!$J$10:$J$224),0),
IF('TL06'!$B$229=N$3,SUMIF('TL06'!$C$238:$C$451,$C204,'TL06'!$J$238:$J$451),0),
IF('TL07'!$B$3=N$3,SUMIF('TL07'!$C$10:$C$224,$C204,'TL07'!$J$10:$J$224),0),
IF('TL07'!$B$229=N$3,SUMIF('TL07'!$C$238:$C$451,$C204,'TL07'!$J$238:$J$451),0),
IF('TL08'!$B$3=N$3,SUMIF('TL08'!$C$10:$C$224,$C204,'TL08'!$J$10:$J$224),0),
IF('TL08'!$B$229=N$3,SUMIF('TL08'!$C$238:$C$451,$C204,'TL08'!$J$238:$J$451),0),
IF('TL09'!$B$3=N$3,SUMIF('TL09'!$C$10:$C$224,$C204,'TL09'!$J$10:$J$224),0),
IF('TL09'!$B$229=N$3,SUMIF('TL09'!$C$238:$C$451,$C204,'TL09'!$J$238:$J$451),0),
IF('TL10'!$B$3=N$3,SUMIF('TL10'!$C$10:$C$224,$C204,'TL10'!$J$10:$J$224),0),
IF('TL10'!$B$229=N$3,SUMIF('TL10'!$C$238:$C$451,$C204,'TL10'!$J$238:$J$451),0),
IF('TL11'!$B$3=N$3,SUMIF('TL11'!$C$10:$C$224,$C204,'TL11'!$J$10:$J$224),0),
IF('TL11'!$B$229=N$3,SUMIF('TL11'!$C$238:$C$451,$C204,'TL11'!$J$238:$J$451),0),
IF('TL12'!$B$3=N$3,SUMIF('TL12'!$C$10:$C$224,$C204,'TL12'!$J$10:$J$224),0),
IF('TL12'!$B$229=N$3,SUMIF('TL12'!$C$238:$C$451,$C204,'TL12'!$J$238:$J$451),0),
IF('TL13'!$B$3=N$3,SUMIF('TL13'!$C$10:$C$224,$C204,'TL13'!$J$10:$J$224),0),
IF('TL13'!$B$229=N$3,SUMIF('TL13'!$C$238:$C$451,$C204,'TL13'!$J$238:$J$451),0),
IF('TL14'!$B$3=N$3,SUMIF('TL14'!$C$10:$C$224,$C204,'TL14'!$J$10:$J$224),0),
IF('TL14'!$B$229=N$3,SUMIF('TL14'!$C$238:$C$451,$C204,'TL14'!$J$238:$J$451),0),
IF('TL15'!$B$3=N$3,SUMIF('TL15'!$C$10:$C$224,$C204,'TL15'!$J$10:$J$224),0),
IF('TL15'!$B$229=N$3,SUMIF('TL15'!$C$238:$C$451,$C204,'TL15'!$J$238:$J$451),0),
IF('TL16'!$B$3=N$3,SUMIF('TL16'!$C$10:$C$224,$C204,'TL16'!$J$10:$J$224),0),
IF('TL16'!$B$229=N$3,SUMIF('TL16'!$C$238:$C$451,$C204,'TL16'!$J$238:$J$451),0),
IF('TL17'!$B$3=N$3,SUMIF('TL17'!$C$10:$C$224,$C204,'TL17'!$J$10:$J$224),0),
IF('TL17'!$B$229=N$3,SUMIF('TL17'!$C$238:$C$451,$C204,'TL17'!$J$238:$J$451),0),
IF('TL18'!$B$3=N$3,SUMIF('TL18'!$C$10:$C$224,$C204,'TL18'!$J$10:$J$224),0),
IF('TL18'!$B$229=N$3,SUMIF('TL18'!$C$238:$C$451,$C204,'TL18'!$J$238:$J$451),0),
IF('TL19'!$B$3=N$3,SUMIF('TL19'!$C$10:$C$224,$C204,'TL19'!$J$10:$J$224),0),
IF('TL19'!$B$229=N$3,SUMIF('TL19'!$C$238:$C$451,$C204,'TL19'!$J$238:$J$451),0)
),0)</f>
        <v>0</v>
      </c>
      <c r="O204" s="9">
        <f>IFERROR(SUM(
IF('TL01'!$B$3=O$3,SUMIF('TL01'!$C$10:$C$224,$C204,'TL01'!$J$10:$J$224),0),
IF('TL01'!$B$229=O$3,SUMIF('TL01'!$C$238:$C$451,$C204,'TL01'!$J$238:$J$451),0),
IF('TL02'!$B$3=O$3,SUMIF('TL02'!$C$10:$C$224,$C204,'TL02'!$J$10:$J$224),0),
IF('TL02'!$B$229=O$3,SUMIF('TL02'!$C$238:$C$451,$C204,'TL02'!$J$238:$J$451),0),
IF('TL03'!$B$3=O$3,SUMIF('TL03'!$C$10:$C$224,$C204,'TL03'!$J$10:$J$224),0),
IF('TL03'!$B$229=O$3,SUMIF('TL03'!$C$238:$C$451,$C204,'TL03'!$J$238:$J$451),0),
IF('TL04'!$B$3=O$3,SUMIF('TL04'!$C$10:$C$224,$C204,'TL04'!$J$10:$J$224),0),
IF('TL04'!$B$229=O$3,SUMIF('TL04'!$C$238:$C$451,$C204,'TL04'!$J$238:$J$451),0),
IF('TL05'!$B$3=O$3,SUMIF('TL05'!$C$10:$C$224,$C204,'TL05'!$J$10:$J$224),0),
IF('TL05'!$B$229=O$3,SUMIF('TL05'!$C$238:$C$451,$C204,'TL05'!$J$238:$J$451),0),
IF('TL06'!$B$3=O$3,SUMIF('TL06'!$C$10:$C$224,$C204,'TL06'!$J$10:$J$224),0),
IF('TL06'!$B$229=O$3,SUMIF('TL06'!$C$238:$C$451,$C204,'TL06'!$J$238:$J$451),0),
IF('TL07'!$B$3=O$3,SUMIF('TL07'!$C$10:$C$224,$C204,'TL07'!$J$10:$J$224),0),
IF('TL07'!$B$229=O$3,SUMIF('TL07'!$C$238:$C$451,$C204,'TL07'!$J$238:$J$451),0),
IF('TL08'!$B$3=O$3,SUMIF('TL08'!$C$10:$C$224,$C204,'TL08'!$J$10:$J$224),0),
IF('TL08'!$B$229=O$3,SUMIF('TL08'!$C$238:$C$451,$C204,'TL08'!$J$238:$J$451),0),
IF('TL09'!$B$3=O$3,SUMIF('TL09'!$C$10:$C$224,$C204,'TL09'!$J$10:$J$224),0),
IF('TL09'!$B$229=O$3,SUMIF('TL09'!$C$238:$C$451,$C204,'TL09'!$J$238:$J$451),0),
IF('TL10'!$B$3=O$3,SUMIF('TL10'!$C$10:$C$224,$C204,'TL10'!$J$10:$J$224),0),
IF('TL10'!$B$229=O$3,SUMIF('TL10'!$C$238:$C$451,$C204,'TL10'!$J$238:$J$451),0),
IF('TL11'!$B$3=O$3,SUMIF('TL11'!$C$10:$C$224,$C204,'TL11'!$J$10:$J$224),0),
IF('TL11'!$B$229=O$3,SUMIF('TL11'!$C$238:$C$451,$C204,'TL11'!$J$238:$J$451),0),
IF('TL12'!$B$3=O$3,SUMIF('TL12'!$C$10:$C$224,$C204,'TL12'!$J$10:$J$224),0),
IF('TL12'!$B$229=O$3,SUMIF('TL12'!$C$238:$C$451,$C204,'TL12'!$J$238:$J$451),0),
IF('TL13'!$B$3=O$3,SUMIF('TL13'!$C$10:$C$224,$C204,'TL13'!$J$10:$J$224),0),
IF('TL13'!$B$229=O$3,SUMIF('TL13'!$C$238:$C$451,$C204,'TL13'!$J$238:$J$451),0),
IF('TL14'!$B$3=O$3,SUMIF('TL14'!$C$10:$C$224,$C204,'TL14'!$J$10:$J$224),0),
IF('TL14'!$B$229=O$3,SUMIF('TL14'!$C$238:$C$451,$C204,'TL14'!$J$238:$J$451),0),
IF('TL15'!$B$3=O$3,SUMIF('TL15'!$C$10:$C$224,$C204,'TL15'!$J$10:$J$224),0),
IF('TL15'!$B$229=O$3,SUMIF('TL15'!$C$238:$C$451,$C204,'TL15'!$J$238:$J$451),0),
IF('TL16'!$B$3=O$3,SUMIF('TL16'!$C$10:$C$224,$C204,'TL16'!$J$10:$J$224),0),
IF('TL16'!$B$229=O$3,SUMIF('TL16'!$C$238:$C$451,$C204,'TL16'!$J$238:$J$451),0),
IF('TL17'!$B$3=O$3,SUMIF('TL17'!$C$10:$C$224,$C204,'TL17'!$J$10:$J$224),0),
IF('TL17'!$B$229=O$3,SUMIF('TL17'!$C$238:$C$451,$C204,'TL17'!$J$238:$J$451),0),
IF('TL18'!$B$3=O$3,SUMIF('TL18'!$C$10:$C$224,$C204,'TL18'!$J$10:$J$224),0),
IF('TL18'!$B$229=O$3,SUMIF('TL18'!$C$238:$C$451,$C204,'TL18'!$J$238:$J$451),0),
IF('TL19'!$B$3=O$3,SUMIF('TL19'!$C$10:$C$224,$C204,'TL19'!$J$10:$J$224),0),
IF('TL19'!$B$229=O$3,SUMIF('TL19'!$C$238:$C$451,$C204,'TL19'!$J$238:$J$451),0)
),0)</f>
        <v>4.4</v>
      </c>
      <c r="P204" s="9">
        <f>IFERROR(SUM(
IF('TL01'!$B$3=P$3,SUMIF('TL01'!$C$10:$C$224,$C204,'TL01'!$J$10:$J$224),0),
IF('TL01'!$B$229=P$3,SUMIF('TL01'!$C$238:$C$451,$C204,'TL01'!$J$238:$J$451),0),
IF('TL02'!$B$3=P$3,SUMIF('TL02'!$C$10:$C$224,$C204,'TL02'!$J$10:$J$224),0),
IF('TL02'!$B$229=P$3,SUMIF('TL02'!$C$238:$C$451,$C204,'TL02'!$J$238:$J$451),0),
IF('TL03'!$B$3=P$3,SUMIF('TL03'!$C$10:$C$224,$C204,'TL03'!$J$10:$J$224),0),
IF('TL03'!$B$229=P$3,SUMIF('TL03'!$C$238:$C$451,$C204,'TL03'!$J$238:$J$451),0),
IF('TL04'!$B$3=P$3,SUMIF('TL04'!$C$10:$C$224,$C204,'TL04'!$J$10:$J$224),0),
IF('TL04'!$B$229=P$3,SUMIF('TL04'!$C$238:$C$451,$C204,'TL04'!$J$238:$J$451),0),
IF('TL05'!$B$3=P$3,SUMIF('TL05'!$C$10:$C$224,$C204,'TL05'!$J$10:$J$224),0),
IF('TL05'!$B$229=P$3,SUMIF('TL05'!$C$238:$C$451,$C204,'TL05'!$J$238:$J$451),0),
IF('TL06'!$B$3=P$3,SUMIF('TL06'!$C$10:$C$224,$C204,'TL06'!$J$10:$J$224),0),
IF('TL06'!$B$229=P$3,SUMIF('TL06'!$C$238:$C$451,$C204,'TL06'!$J$238:$J$451),0),
IF('TL07'!$B$3=P$3,SUMIF('TL07'!$C$10:$C$224,$C204,'TL07'!$J$10:$J$224),0),
IF('TL07'!$B$229=P$3,SUMIF('TL07'!$C$238:$C$451,$C204,'TL07'!$J$238:$J$451),0),
IF('TL08'!$B$3=P$3,SUMIF('TL08'!$C$10:$C$224,$C204,'TL08'!$J$10:$J$224),0),
IF('TL08'!$B$229=P$3,SUMIF('TL08'!$C$238:$C$451,$C204,'TL08'!$J$238:$J$451),0),
IF('TL09'!$B$3=P$3,SUMIF('TL09'!$C$10:$C$224,$C204,'TL09'!$J$10:$J$224),0),
IF('TL09'!$B$229=P$3,SUMIF('TL09'!$C$238:$C$451,$C204,'TL09'!$J$238:$J$451),0),
IF('TL10'!$B$3=P$3,SUMIF('TL10'!$C$10:$C$224,$C204,'TL10'!$J$10:$J$224),0),
IF('TL10'!$B$229=P$3,SUMIF('TL10'!$C$238:$C$451,$C204,'TL10'!$J$238:$J$451),0),
IF('TL11'!$B$3=P$3,SUMIF('TL11'!$C$10:$C$224,$C204,'TL11'!$J$10:$J$224),0),
IF('TL11'!$B$229=P$3,SUMIF('TL11'!$C$238:$C$451,$C204,'TL11'!$J$238:$J$451),0),
IF('TL12'!$B$3=P$3,SUMIF('TL12'!$C$10:$C$224,$C204,'TL12'!$J$10:$J$224),0),
IF('TL12'!$B$229=P$3,SUMIF('TL12'!$C$238:$C$451,$C204,'TL12'!$J$238:$J$451),0),
IF('TL13'!$B$3=P$3,SUMIF('TL13'!$C$10:$C$224,$C204,'TL13'!$J$10:$J$224),0),
IF('TL13'!$B$229=P$3,SUMIF('TL13'!$C$238:$C$451,$C204,'TL13'!$J$238:$J$451),0),
IF('TL14'!$B$3=P$3,SUMIF('TL14'!$C$10:$C$224,$C204,'TL14'!$J$10:$J$224),0),
IF('TL14'!$B$229=P$3,SUMIF('TL14'!$C$238:$C$451,$C204,'TL14'!$J$238:$J$451),0),
IF('TL15'!$B$3=P$3,SUMIF('TL15'!$C$10:$C$224,$C204,'TL15'!$J$10:$J$224),0),
IF('TL15'!$B$229=P$3,SUMIF('TL15'!$C$238:$C$451,$C204,'TL15'!$J$238:$J$451),0),
IF('TL16'!$B$3=P$3,SUMIF('TL16'!$C$10:$C$224,$C204,'TL16'!$J$10:$J$224),0),
IF('TL16'!$B$229=P$3,SUMIF('TL16'!$C$238:$C$451,$C204,'TL16'!$J$238:$J$451),0),
IF('TL17'!$B$3=P$3,SUMIF('TL17'!$C$10:$C$224,$C204,'TL17'!$J$10:$J$224),0),
IF('TL17'!$B$229=P$3,SUMIF('TL17'!$C$238:$C$451,$C204,'TL17'!$J$238:$J$451),0),
IF('TL18'!$B$3=P$3,SUMIF('TL18'!$C$10:$C$224,$C204,'TL18'!$J$10:$J$224),0),
IF('TL18'!$B$229=P$3,SUMIF('TL18'!$C$238:$C$451,$C204,'TL18'!$J$238:$J$451),0),
IF('TL19'!$B$3=P$3,SUMIF('TL19'!$C$10:$C$224,$C204,'TL19'!$J$10:$J$224),0),
IF('TL19'!$B$229=P$3,SUMIF('TL19'!$C$238:$C$451,$C204,'TL19'!$J$238:$J$451),0)
),0)</f>
        <v>94.71</v>
      </c>
      <c r="Q204" s="9">
        <f>IFERROR(SUM(
IF('TL01'!$B$3=Q$3,SUMIF('TL01'!$C$10:$C$224,$C204,'TL01'!$J$10:$J$224),0),
IF('TL01'!$B$229=Q$3,SUMIF('TL01'!$C$238:$C$451,$C204,'TL01'!$J$238:$J$451),0),
IF('TL02'!$B$3=Q$3,SUMIF('TL02'!$C$10:$C$224,$C204,'TL02'!$J$10:$J$224),0),
IF('TL02'!$B$229=Q$3,SUMIF('TL02'!$C$238:$C$451,$C204,'TL02'!$J$238:$J$451),0),
IF('TL03'!$B$3=Q$3,SUMIF('TL03'!$C$10:$C$224,$C204,'TL03'!$J$10:$J$224),0),
IF('TL03'!$B$229=Q$3,SUMIF('TL03'!$C$238:$C$451,$C204,'TL03'!$J$238:$J$451),0),
IF('TL04'!$B$3=Q$3,SUMIF('TL04'!$C$10:$C$224,$C204,'TL04'!$J$10:$J$224),0),
IF('TL04'!$B$229=Q$3,SUMIF('TL04'!$C$238:$C$451,$C204,'TL04'!$J$238:$J$451),0),
IF('TL05'!$B$3=Q$3,SUMIF('TL05'!$C$10:$C$224,$C204,'TL05'!$J$10:$J$224),0),
IF('TL05'!$B$229=Q$3,SUMIF('TL05'!$C$238:$C$451,$C204,'TL05'!$J$238:$J$451),0),
IF('TL06'!$B$3=Q$3,SUMIF('TL06'!$C$10:$C$224,$C204,'TL06'!$J$10:$J$224),0),
IF('TL06'!$B$229=Q$3,SUMIF('TL06'!$C$238:$C$451,$C204,'TL06'!$J$238:$J$451),0),
IF('TL07'!$B$3=Q$3,SUMIF('TL07'!$C$10:$C$224,$C204,'TL07'!$J$10:$J$224),0),
IF('TL07'!$B$229=Q$3,SUMIF('TL07'!$C$238:$C$451,$C204,'TL07'!$J$238:$J$451),0),
IF('TL08'!$B$3=Q$3,SUMIF('TL08'!$C$10:$C$224,$C204,'TL08'!$J$10:$J$224),0),
IF('TL08'!$B$229=Q$3,SUMIF('TL08'!$C$238:$C$451,$C204,'TL08'!$J$238:$J$451),0),
IF('TL09'!$B$3=Q$3,SUMIF('TL09'!$C$10:$C$224,$C204,'TL09'!$J$10:$J$224),0),
IF('TL09'!$B$229=Q$3,SUMIF('TL09'!$C$238:$C$451,$C204,'TL09'!$J$238:$J$451),0),
IF('TL10'!$B$3=Q$3,SUMIF('TL10'!$C$10:$C$224,$C204,'TL10'!$J$10:$J$224),0),
IF('TL10'!$B$229=Q$3,SUMIF('TL10'!$C$238:$C$451,$C204,'TL10'!$J$238:$J$451),0),
IF('TL11'!$B$3=Q$3,SUMIF('TL11'!$C$10:$C$224,$C204,'TL11'!$J$10:$J$224),0),
IF('TL11'!$B$229=Q$3,SUMIF('TL11'!$C$238:$C$451,$C204,'TL11'!$J$238:$J$451),0),
IF('TL12'!$B$3=Q$3,SUMIF('TL12'!$C$10:$C$224,$C204,'TL12'!$J$10:$J$224),0),
IF('TL12'!$B$229=Q$3,SUMIF('TL12'!$C$238:$C$451,$C204,'TL12'!$J$238:$J$451),0),
IF('TL13'!$B$3=Q$3,SUMIF('TL13'!$C$10:$C$224,$C204,'TL13'!$J$10:$J$224),0),
IF('TL13'!$B$229=Q$3,SUMIF('TL13'!$C$238:$C$451,$C204,'TL13'!$J$238:$J$451),0),
IF('TL14'!$B$3=Q$3,SUMIF('TL14'!$C$10:$C$224,$C204,'TL14'!$J$10:$J$224),0),
IF('TL14'!$B$229=Q$3,SUMIF('TL14'!$C$238:$C$451,$C204,'TL14'!$J$238:$J$451),0),
IF('TL15'!$B$3=Q$3,SUMIF('TL15'!$C$10:$C$224,$C204,'TL15'!$J$10:$J$224),0),
IF('TL15'!$B$229=Q$3,SUMIF('TL15'!$C$238:$C$451,$C204,'TL15'!$J$238:$J$451),0),
IF('TL16'!$B$3=Q$3,SUMIF('TL16'!$C$10:$C$224,$C204,'TL16'!$J$10:$J$224),0),
IF('TL16'!$B$229=Q$3,SUMIF('TL16'!$C$238:$C$451,$C204,'TL16'!$J$238:$J$451),0),
IF('TL17'!$B$3=Q$3,SUMIF('TL17'!$C$10:$C$224,$C204,'TL17'!$J$10:$J$224),0),
IF('TL17'!$B$229=Q$3,SUMIF('TL17'!$C$238:$C$451,$C204,'TL17'!$J$238:$J$451),0),
IF('TL18'!$B$3=Q$3,SUMIF('TL18'!$C$10:$C$224,$C204,'TL18'!$J$10:$J$224),0),
IF('TL18'!$B$229=Q$3,SUMIF('TL18'!$C$238:$C$451,$C204,'TL18'!$J$238:$J$451),0),
IF('TL19'!$B$3=Q$3,SUMIF('TL19'!$C$10:$C$224,$C204,'TL19'!$J$10:$J$224),0),
IF('TL19'!$B$229=Q$3,SUMIF('TL19'!$C$238:$C$451,$C204,'TL19'!$J$238:$J$451),0)
),0)</f>
        <v>25.6</v>
      </c>
      <c r="R204" s="9">
        <f>IFERROR(
SUM(
SUMIF('TL01'!C:C,C204,'TL01'!J:J),
SUMIF('TL02'!C:C,C204,'TL02'!J:J),
SUMIF('TL03'!C:C,C204,'TL03'!J:J),
SUMIF('TL04'!C:C,C204,'TL04'!J:J),
SUMIF('TL05'!C:C,C204,'TL05'!J:J),
SUMIF('TL06'!C:C,C204,'TL06'!J:J),
SUMIF('TL07'!C:C,C204,'TL07'!J:J),
SUMIF('TL08'!C:C,C204,'TL08'!J:J),
SUMIF('TL09'!C:C,C204,'TL09'!J:J),
SUMIF('TL10'!C:C,C204,'TL10'!J:J),
SUMIF('TL11'!C:C,C204,'TL11'!J:J),
SUMIF('TL12'!C:C,C204,'TL12'!J:J),
SUMIF('TL13'!C:C,C204,'TL13'!J:J),
SUMIF('TL14'!C:C,C204,'TL14'!J:J),
SUMIF('TL15'!C:C,C204,'TL15'!J:J),
SUMIF('TL16'!C:C,C204,'TL16'!J:J),
SUMIF('TL17'!C:C,C204,'TL17'!J:J),
SUMIF('TL18'!C:C,C204,'TL18'!J:J),SUMIF('TL19'!C:C,C204,'TL19'!J:J))
,0)</f>
        <v>166.31</v>
      </c>
      <c r="S204" s="17">
        <f>IFERROR(__xludf.DUMMYFUNCTION("IFERROR(VLOOKUP(C204,
IMPORTRANGE(""1wULbzX32WdYsx-lj2U3uUNBBe2INVIRDtcK0d-Dvl90"",
""26-27!C:G""),
5,
FALSE),
"""")"),282.96375)</f>
        <v>282.96375</v>
      </c>
      <c r="T204" s="9"/>
      <c r="U204" s="92">
        <f t="shared" si="2"/>
        <v>166.31</v>
      </c>
      <c r="V204" s="93">
        <f t="shared" si="3"/>
        <v>47059.70126</v>
      </c>
    </row>
    <row r="205" ht="15.75" hidden="1" customHeight="1">
      <c r="A205" s="94" t="s">
        <v>378</v>
      </c>
      <c r="B205" s="95" t="s">
        <v>2</v>
      </c>
      <c r="C205" s="96" t="s">
        <v>826</v>
      </c>
      <c r="D205" s="96" t="s">
        <v>827</v>
      </c>
      <c r="E205" s="96" t="s">
        <v>828</v>
      </c>
      <c r="F205" s="4" t="s">
        <v>343</v>
      </c>
      <c r="G205" s="90" t="str">
        <f t="shared" si="4"/>
        <v>📄 Ver bula</v>
      </c>
      <c r="H205" s="9">
        <f>IFERROR(__xludf.DUMMYFUNCTION("IFERROR(VLOOKUP(C205,
IMPORTRANGE(""1wULbzX32WdYsx-lj2U3uUNBBe2INVIRDtcK0d-Dvl90"",
""26-27!C:K""),
8,
FALSE),
"""")"),0.5)</f>
        <v>0.5</v>
      </c>
      <c r="I205" s="97" t="s">
        <v>344</v>
      </c>
      <c r="J205" s="9">
        <f>IFERROR(SUM(
IF('TL01'!$B$3=J$3,SUMIF('TL01'!$C$10:$C$224,$C205,'TL01'!$J$10:$J$224),0),
IF('TL01'!$B$229=J$3,SUMIF('TL01'!$C$238:$C$451,$C205,'TL01'!$J$238:$J$451),0),
IF('TL02'!$B$3=J$3,SUMIF('TL02'!$C$10:$C$224,$C205,'TL02'!$J$10:$J$224),0),
IF('TL02'!$B$229=J$3,SUMIF('TL02'!$C$238:$C$451,$C205,'TL02'!$J$238:$J$451),0),
IF('TL03'!$B$3=J$3,SUMIF('TL03'!$C$10:$C$224,$C205,'TL03'!$J$10:$J$224),0),
IF('TL03'!$B$229=J$3,SUMIF('TL03'!$C$238:$C$451,$C205,'TL03'!$J$238:$J$451),0),
IF('TL04'!$B$3=J$3,SUMIF('TL04'!$C$10:$C$224,$C205,'TL04'!$J$10:$J$224),0),
IF('TL04'!$B$229=J$3,SUMIF('TL04'!$C$238:$C$451,$C205,'TL04'!$J$238:$J$451),0),
IF('TL05'!$B$3=J$3,SUMIF('TL05'!$C$10:$C$224,$C205,'TL05'!$J$10:$J$224),0),
IF('TL05'!$B$229=J$3,SUMIF('TL05'!$C$238:$C$451,$C205,'TL05'!$J$238:$J$451),0),
IF('TL06'!$B$3=J$3,SUMIF('TL06'!$C$10:$C$224,$C205,'TL06'!$J$10:$J$224),0),
IF('TL06'!$B$229=J$3,SUMIF('TL06'!$C$238:$C$451,$C205,'TL06'!$J$238:$J$451),0),
IF('TL07'!$B$3=J$3,SUMIF('TL07'!$C$10:$C$224,$C205,'TL07'!$J$10:$J$224),0),
IF('TL07'!$B$229=J$3,SUMIF('TL07'!$C$238:$C$451,$C205,'TL07'!$J$238:$J$451),0),
IF('TL08'!$B$3=J$3,SUMIF('TL08'!$C$10:$C$224,$C205,'TL08'!$J$10:$J$224),0),
IF('TL08'!$B$229=J$3,SUMIF('TL08'!$C$238:$C$451,$C205,'TL08'!$J$238:$J$451),0),
IF('TL09'!$B$3=J$3,SUMIF('TL09'!$C$10:$C$224,$C205,'TL09'!$J$10:$J$224),0),
IF('TL09'!$B$229=J$3,SUMIF('TL09'!$C$238:$C$451,$C205,'TL09'!$J$238:$J$451),0),
IF('TL10'!$B$3=J$3,SUMIF('TL10'!$C$10:$C$224,$C205,'TL10'!$J$10:$J$224),0),
IF('TL10'!$B$229=J$3,SUMIF('TL10'!$C$238:$C$451,$C205,'TL10'!$J$238:$J$451),0),
IF('TL11'!$B$3=J$3,SUMIF('TL11'!$C$10:$C$224,$C205,'TL11'!$J$10:$J$224),0),
IF('TL11'!$B$229=J$3,SUMIF('TL11'!$C$238:$C$451,$C205,'TL11'!$J$238:$J$451),0),
IF('TL12'!$B$3=J$3,SUMIF('TL12'!$C$10:$C$224,$C205,'TL12'!$J$10:$J$224),0),
IF('TL12'!$B$229=J$3,SUMIF('TL12'!$C$238:$C$451,$C205,'TL12'!$J$238:$J$451),0),
IF('TL13'!$B$3=J$3,SUMIF('TL13'!$C$10:$C$224,$C205,'TL13'!$J$10:$J$224),0),
IF('TL13'!$B$229=J$3,SUMIF('TL13'!$C$238:$C$451,$C205,'TL13'!$J$238:$J$451),0),
IF('TL14'!$B$3=J$3,SUMIF('TL14'!$C$10:$C$224,$C205,'TL14'!$J$10:$J$224),0),
IF('TL14'!$B$229=J$3,SUMIF('TL14'!$C$238:$C$451,$C205,'TL14'!$J$238:$J$451),0),
IF('TL15'!$B$3=J$3,SUMIF('TL15'!$C$10:$C$224,$C205,'TL15'!$J$10:$J$224),0),
IF('TL15'!$B$229=J$3,SUMIF('TL15'!$C$238:$C$451,$C205,'TL15'!$J$238:$J$451),0),
IF('TL16'!$B$3=J$3,SUMIF('TL16'!$C$10:$C$224,$C205,'TL16'!$J$10:$J$224),0),
IF('TL16'!$B$229=J$3,SUMIF('TL16'!$C$238:$C$451,$C205,'TL16'!$J$238:$J$451),0),
IF('TL17'!$B$3=J$3,SUMIF('TL17'!$C$10:$C$224,$C205,'TL17'!$J$10:$J$224),0),
IF('TL17'!$B$229=J$3,SUMIF('TL17'!$C$238:$C$451,$C205,'TL17'!$J$238:$J$451),0),
IF('TL18'!$B$3=J$3,SUMIF('TL18'!$C$10:$C$224,$C205,'TL18'!$J$10:$J$224),0),
IF('TL18'!$B$229=J$3,SUMIF('TL18'!$C$238:$C$451,$C205,'TL18'!$J$238:$J$451),0),
IF('TL19'!$B$3=J$3,SUMIF('TL19'!$C$10:$C$224,$C205,'TL19'!$J$10:$J$224),0),
IF('TL19'!$B$229=J$3,SUMIF('TL19'!$C$238:$C$451,$C205,'TL19'!$J$238:$J$451),0)
),0)</f>
        <v>0</v>
      </c>
      <c r="K205" s="9">
        <f>IFERROR(SUM(
IF('TL01'!$B$3=K$3,SUMIF('TL01'!$C$10:$C$224,$C205,'TL01'!$J$10:$J$224),0),
IF('TL01'!$B$229=K$3,SUMIF('TL01'!$C$238:$C$451,$C205,'TL01'!$J$238:$J$451),0),
IF('TL02'!$B$3=K$3,SUMIF('TL02'!$C$10:$C$224,$C205,'TL02'!$J$10:$J$224),0),
IF('TL02'!$B$229=K$3,SUMIF('TL02'!$C$238:$C$451,$C205,'TL02'!$J$238:$J$451),0),
IF('TL03'!$B$3=K$3,SUMIF('TL03'!$C$10:$C$224,$C205,'TL03'!$J$10:$J$224),0),
IF('TL03'!$B$229=K$3,SUMIF('TL03'!$C$238:$C$451,$C205,'TL03'!$J$238:$J$451),0),
IF('TL04'!$B$3=K$3,SUMIF('TL04'!$C$10:$C$224,$C205,'TL04'!$J$10:$J$224),0),
IF('TL04'!$B$229=K$3,SUMIF('TL04'!$C$238:$C$451,$C205,'TL04'!$J$238:$J$451),0),
IF('TL05'!$B$3=K$3,SUMIF('TL05'!$C$10:$C$224,$C205,'TL05'!$J$10:$J$224),0),
IF('TL05'!$B$229=K$3,SUMIF('TL05'!$C$238:$C$451,$C205,'TL05'!$J$238:$J$451),0),
IF('TL06'!$B$3=K$3,SUMIF('TL06'!$C$10:$C$224,$C205,'TL06'!$J$10:$J$224),0),
IF('TL06'!$B$229=K$3,SUMIF('TL06'!$C$238:$C$451,$C205,'TL06'!$J$238:$J$451),0),
IF('TL07'!$B$3=K$3,SUMIF('TL07'!$C$10:$C$224,$C205,'TL07'!$J$10:$J$224),0),
IF('TL07'!$B$229=K$3,SUMIF('TL07'!$C$238:$C$451,$C205,'TL07'!$J$238:$J$451),0),
IF('TL08'!$B$3=K$3,SUMIF('TL08'!$C$10:$C$224,$C205,'TL08'!$J$10:$J$224),0),
IF('TL08'!$B$229=K$3,SUMIF('TL08'!$C$238:$C$451,$C205,'TL08'!$J$238:$J$451),0),
IF('TL09'!$B$3=K$3,SUMIF('TL09'!$C$10:$C$224,$C205,'TL09'!$J$10:$J$224),0),
IF('TL09'!$B$229=K$3,SUMIF('TL09'!$C$238:$C$451,$C205,'TL09'!$J$238:$J$451),0),
IF('TL10'!$B$3=K$3,SUMIF('TL10'!$C$10:$C$224,$C205,'TL10'!$J$10:$J$224),0),
IF('TL10'!$B$229=K$3,SUMIF('TL10'!$C$238:$C$451,$C205,'TL10'!$J$238:$J$451),0),
IF('TL11'!$B$3=K$3,SUMIF('TL11'!$C$10:$C$224,$C205,'TL11'!$J$10:$J$224),0),
IF('TL11'!$B$229=K$3,SUMIF('TL11'!$C$238:$C$451,$C205,'TL11'!$J$238:$J$451),0),
IF('TL12'!$B$3=K$3,SUMIF('TL12'!$C$10:$C$224,$C205,'TL12'!$J$10:$J$224),0),
IF('TL12'!$B$229=K$3,SUMIF('TL12'!$C$238:$C$451,$C205,'TL12'!$J$238:$J$451),0),
IF('TL13'!$B$3=K$3,SUMIF('TL13'!$C$10:$C$224,$C205,'TL13'!$J$10:$J$224),0),
IF('TL13'!$B$229=K$3,SUMIF('TL13'!$C$238:$C$451,$C205,'TL13'!$J$238:$J$451),0),
IF('TL14'!$B$3=K$3,SUMIF('TL14'!$C$10:$C$224,$C205,'TL14'!$J$10:$J$224),0),
IF('TL14'!$B$229=K$3,SUMIF('TL14'!$C$238:$C$451,$C205,'TL14'!$J$238:$J$451),0),
IF('TL15'!$B$3=K$3,SUMIF('TL15'!$C$10:$C$224,$C205,'TL15'!$J$10:$J$224),0),
IF('TL15'!$B$229=K$3,SUMIF('TL15'!$C$238:$C$451,$C205,'TL15'!$J$238:$J$451),0),
IF('TL16'!$B$3=K$3,SUMIF('TL16'!$C$10:$C$224,$C205,'TL16'!$J$10:$J$224),0),
IF('TL16'!$B$229=K$3,SUMIF('TL16'!$C$238:$C$451,$C205,'TL16'!$J$238:$J$451),0),
IF('TL17'!$B$3=K$3,SUMIF('TL17'!$C$10:$C$224,$C205,'TL17'!$J$10:$J$224),0),
IF('TL17'!$B$229=K$3,SUMIF('TL17'!$C$238:$C$451,$C205,'TL17'!$J$238:$J$451),0),
IF('TL18'!$B$3=K$3,SUMIF('TL18'!$C$10:$C$224,$C205,'TL18'!$J$10:$J$224),0),
IF('TL18'!$B$229=K$3,SUMIF('TL18'!$C$238:$C$451,$C205,'TL18'!$J$238:$J$451),0),
IF('TL19'!$B$3=K$3,SUMIF('TL19'!$C$10:$C$224,$C205,'TL19'!$J$10:$J$224),0),
IF('TL19'!$B$229=K$3,SUMIF('TL19'!$C$238:$C$451,$C205,'TL19'!$J$238:$J$451),0)
),0)</f>
        <v>0</v>
      </c>
      <c r="L205" s="9">
        <f>IFERROR(SUM(
IF('TL01'!$B$3=L$3,SUMIF('TL01'!$C$10:$C$224,$C205,'TL01'!$J$10:$J$224),0),
IF('TL01'!$B$229=L$3,SUMIF('TL01'!$C$238:$C$451,$C205,'TL01'!$J$238:$J$451),0),
IF('TL02'!$B$3=L$3,SUMIF('TL02'!$C$10:$C$224,$C205,'TL02'!$J$10:$J$224),0),
IF('TL02'!$B$229=L$3,SUMIF('TL02'!$C$238:$C$451,$C205,'TL02'!$J$238:$J$451),0),
IF('TL03'!$B$3=L$3,SUMIF('TL03'!$C$10:$C$224,$C205,'TL03'!$J$10:$J$224),0),
IF('TL03'!$B$229=L$3,SUMIF('TL03'!$C$238:$C$451,$C205,'TL03'!$J$238:$J$451),0),
IF('TL04'!$B$3=L$3,SUMIF('TL04'!$C$10:$C$224,$C205,'TL04'!$J$10:$J$224),0),
IF('TL04'!$B$229=L$3,SUMIF('TL04'!$C$238:$C$451,$C205,'TL04'!$J$238:$J$451),0),
IF('TL05'!$B$3=L$3,SUMIF('TL05'!$C$10:$C$224,$C205,'TL05'!$J$10:$J$224),0),
IF('TL05'!$B$229=L$3,SUMIF('TL05'!$C$238:$C$451,$C205,'TL05'!$J$238:$J$451),0),
IF('TL06'!$B$3=L$3,SUMIF('TL06'!$C$10:$C$224,$C205,'TL06'!$J$10:$J$224),0),
IF('TL06'!$B$229=L$3,SUMIF('TL06'!$C$238:$C$451,$C205,'TL06'!$J$238:$J$451),0),
IF('TL07'!$B$3=L$3,SUMIF('TL07'!$C$10:$C$224,$C205,'TL07'!$J$10:$J$224),0),
IF('TL07'!$B$229=L$3,SUMIF('TL07'!$C$238:$C$451,$C205,'TL07'!$J$238:$J$451),0),
IF('TL08'!$B$3=L$3,SUMIF('TL08'!$C$10:$C$224,$C205,'TL08'!$J$10:$J$224),0),
IF('TL08'!$B$229=L$3,SUMIF('TL08'!$C$238:$C$451,$C205,'TL08'!$J$238:$J$451),0),
IF('TL09'!$B$3=L$3,SUMIF('TL09'!$C$10:$C$224,$C205,'TL09'!$J$10:$J$224),0),
IF('TL09'!$B$229=L$3,SUMIF('TL09'!$C$238:$C$451,$C205,'TL09'!$J$238:$J$451),0),
IF('TL10'!$B$3=L$3,SUMIF('TL10'!$C$10:$C$224,$C205,'TL10'!$J$10:$J$224),0),
IF('TL10'!$B$229=L$3,SUMIF('TL10'!$C$238:$C$451,$C205,'TL10'!$J$238:$J$451),0),
IF('TL11'!$B$3=L$3,SUMIF('TL11'!$C$10:$C$224,$C205,'TL11'!$J$10:$J$224),0),
IF('TL11'!$B$229=L$3,SUMIF('TL11'!$C$238:$C$451,$C205,'TL11'!$J$238:$J$451),0),
IF('TL12'!$B$3=L$3,SUMIF('TL12'!$C$10:$C$224,$C205,'TL12'!$J$10:$J$224),0),
IF('TL12'!$B$229=L$3,SUMIF('TL12'!$C$238:$C$451,$C205,'TL12'!$J$238:$J$451),0),
IF('TL13'!$B$3=L$3,SUMIF('TL13'!$C$10:$C$224,$C205,'TL13'!$J$10:$J$224),0),
IF('TL13'!$B$229=L$3,SUMIF('TL13'!$C$238:$C$451,$C205,'TL13'!$J$238:$J$451),0),
IF('TL14'!$B$3=L$3,SUMIF('TL14'!$C$10:$C$224,$C205,'TL14'!$J$10:$J$224),0),
IF('TL14'!$B$229=L$3,SUMIF('TL14'!$C$238:$C$451,$C205,'TL14'!$J$238:$J$451),0),
IF('TL15'!$B$3=L$3,SUMIF('TL15'!$C$10:$C$224,$C205,'TL15'!$J$10:$J$224),0),
IF('TL15'!$B$229=L$3,SUMIF('TL15'!$C$238:$C$451,$C205,'TL15'!$J$238:$J$451),0),
IF('TL16'!$B$3=L$3,SUMIF('TL16'!$C$10:$C$224,$C205,'TL16'!$J$10:$J$224),0),
IF('TL16'!$B$229=L$3,SUMIF('TL16'!$C$238:$C$451,$C205,'TL16'!$J$238:$J$451),0),
IF('TL17'!$B$3=L$3,SUMIF('TL17'!$C$10:$C$224,$C205,'TL17'!$J$10:$J$224),0),
IF('TL17'!$B$229=L$3,SUMIF('TL17'!$C$238:$C$451,$C205,'TL17'!$J$238:$J$451),0),
IF('TL18'!$B$3=L$3,SUMIF('TL18'!$C$10:$C$224,$C205,'TL18'!$J$10:$J$224),0),
IF('TL18'!$B$229=L$3,SUMIF('TL18'!$C$238:$C$451,$C205,'TL18'!$J$238:$J$451),0),
IF('TL19'!$B$3=L$3,SUMIF('TL19'!$C$10:$C$224,$C205,'TL19'!$J$10:$J$224),0),
IF('TL19'!$B$229=L$3,SUMIF('TL19'!$C$238:$C$451,$C205,'TL19'!$J$238:$J$451),0)
),0)</f>
        <v>0</v>
      </c>
      <c r="M205" s="9">
        <f>IFERROR(SUM(
IF('TL01'!$B$3=M$3,SUMIF('TL01'!$C$10:$C$224,$C205,'TL01'!$J$10:$J$224),0),
IF('TL01'!$B$229=M$3,SUMIF('TL01'!$C$238:$C$451,$C205,'TL01'!$J$238:$J$451),0),
IF('TL02'!$B$3=M$3,SUMIF('TL02'!$C$10:$C$224,$C205,'TL02'!$J$10:$J$224),0),
IF('TL02'!$B$229=M$3,SUMIF('TL02'!$C$238:$C$451,$C205,'TL02'!$J$238:$J$451),0),
IF('TL03'!$B$3=M$3,SUMIF('TL03'!$C$10:$C$224,$C205,'TL03'!$J$10:$J$224),0),
IF('TL03'!$B$229=M$3,SUMIF('TL03'!$C$238:$C$451,$C205,'TL03'!$J$238:$J$451),0),
IF('TL04'!$B$3=M$3,SUMIF('TL04'!$C$10:$C$224,$C205,'TL04'!$J$10:$J$224),0),
IF('TL04'!$B$229=M$3,SUMIF('TL04'!$C$238:$C$451,$C205,'TL04'!$J$238:$J$451),0),
IF('TL05'!$B$3=M$3,SUMIF('TL05'!$C$10:$C$224,$C205,'TL05'!$J$10:$J$224),0),
IF('TL05'!$B$229=M$3,SUMIF('TL05'!$C$238:$C$451,$C205,'TL05'!$J$238:$J$451),0),
IF('TL06'!$B$3=M$3,SUMIF('TL06'!$C$10:$C$224,$C205,'TL06'!$J$10:$J$224),0),
IF('TL06'!$B$229=M$3,SUMIF('TL06'!$C$238:$C$451,$C205,'TL06'!$J$238:$J$451),0),
IF('TL07'!$B$3=M$3,SUMIF('TL07'!$C$10:$C$224,$C205,'TL07'!$J$10:$J$224),0),
IF('TL07'!$B$229=M$3,SUMIF('TL07'!$C$238:$C$451,$C205,'TL07'!$J$238:$J$451),0),
IF('TL08'!$B$3=M$3,SUMIF('TL08'!$C$10:$C$224,$C205,'TL08'!$J$10:$J$224),0),
IF('TL08'!$B$229=M$3,SUMIF('TL08'!$C$238:$C$451,$C205,'TL08'!$J$238:$J$451),0),
IF('TL09'!$B$3=M$3,SUMIF('TL09'!$C$10:$C$224,$C205,'TL09'!$J$10:$J$224),0),
IF('TL09'!$B$229=M$3,SUMIF('TL09'!$C$238:$C$451,$C205,'TL09'!$J$238:$J$451),0),
IF('TL10'!$B$3=M$3,SUMIF('TL10'!$C$10:$C$224,$C205,'TL10'!$J$10:$J$224),0),
IF('TL10'!$B$229=M$3,SUMIF('TL10'!$C$238:$C$451,$C205,'TL10'!$J$238:$J$451),0),
IF('TL11'!$B$3=M$3,SUMIF('TL11'!$C$10:$C$224,$C205,'TL11'!$J$10:$J$224),0),
IF('TL11'!$B$229=M$3,SUMIF('TL11'!$C$238:$C$451,$C205,'TL11'!$J$238:$J$451),0),
IF('TL12'!$B$3=M$3,SUMIF('TL12'!$C$10:$C$224,$C205,'TL12'!$J$10:$J$224),0),
IF('TL12'!$B$229=M$3,SUMIF('TL12'!$C$238:$C$451,$C205,'TL12'!$J$238:$J$451),0),
IF('TL13'!$B$3=M$3,SUMIF('TL13'!$C$10:$C$224,$C205,'TL13'!$J$10:$J$224),0),
IF('TL13'!$B$229=M$3,SUMIF('TL13'!$C$238:$C$451,$C205,'TL13'!$J$238:$J$451),0),
IF('TL14'!$B$3=M$3,SUMIF('TL14'!$C$10:$C$224,$C205,'TL14'!$J$10:$J$224),0),
IF('TL14'!$B$229=M$3,SUMIF('TL14'!$C$238:$C$451,$C205,'TL14'!$J$238:$J$451),0),
IF('TL15'!$B$3=M$3,SUMIF('TL15'!$C$10:$C$224,$C205,'TL15'!$J$10:$J$224),0),
IF('TL15'!$B$229=M$3,SUMIF('TL15'!$C$238:$C$451,$C205,'TL15'!$J$238:$J$451),0),
IF('TL16'!$B$3=M$3,SUMIF('TL16'!$C$10:$C$224,$C205,'TL16'!$J$10:$J$224),0),
IF('TL16'!$B$229=M$3,SUMIF('TL16'!$C$238:$C$451,$C205,'TL16'!$J$238:$J$451),0),
IF('TL17'!$B$3=M$3,SUMIF('TL17'!$C$10:$C$224,$C205,'TL17'!$J$10:$J$224),0),
IF('TL17'!$B$229=M$3,SUMIF('TL17'!$C$238:$C$451,$C205,'TL17'!$J$238:$J$451),0),
IF('TL18'!$B$3=M$3,SUMIF('TL18'!$C$10:$C$224,$C205,'TL18'!$J$10:$J$224),0),
IF('TL18'!$B$229=M$3,SUMIF('TL18'!$C$238:$C$451,$C205,'TL18'!$J$238:$J$451),0),
IF('TL19'!$B$3=M$3,SUMIF('TL19'!$C$10:$C$224,$C205,'TL19'!$J$10:$J$224),0),
IF('TL19'!$B$229=M$3,SUMIF('TL19'!$C$238:$C$451,$C205,'TL19'!$J$238:$J$451),0)
),0)</f>
        <v>0</v>
      </c>
      <c r="N205" s="9">
        <f>IFERROR(SUM(
IF('TL01'!$B$3=N$3,SUMIF('TL01'!$C$10:$C$224,$C205,'TL01'!$J$10:$J$224),0),
IF('TL01'!$B$229=N$3,SUMIF('TL01'!$C$238:$C$451,$C205,'TL01'!$J$238:$J$451),0),
IF('TL02'!$B$3=N$3,SUMIF('TL02'!$C$10:$C$224,$C205,'TL02'!$J$10:$J$224),0),
IF('TL02'!$B$229=N$3,SUMIF('TL02'!$C$238:$C$451,$C205,'TL02'!$J$238:$J$451),0),
IF('TL03'!$B$3=N$3,SUMIF('TL03'!$C$10:$C$224,$C205,'TL03'!$J$10:$J$224),0),
IF('TL03'!$B$229=N$3,SUMIF('TL03'!$C$238:$C$451,$C205,'TL03'!$J$238:$J$451),0),
IF('TL04'!$B$3=N$3,SUMIF('TL04'!$C$10:$C$224,$C205,'TL04'!$J$10:$J$224),0),
IF('TL04'!$B$229=N$3,SUMIF('TL04'!$C$238:$C$451,$C205,'TL04'!$J$238:$J$451),0),
IF('TL05'!$B$3=N$3,SUMIF('TL05'!$C$10:$C$224,$C205,'TL05'!$J$10:$J$224),0),
IF('TL05'!$B$229=N$3,SUMIF('TL05'!$C$238:$C$451,$C205,'TL05'!$J$238:$J$451),0),
IF('TL06'!$B$3=N$3,SUMIF('TL06'!$C$10:$C$224,$C205,'TL06'!$J$10:$J$224),0),
IF('TL06'!$B$229=N$3,SUMIF('TL06'!$C$238:$C$451,$C205,'TL06'!$J$238:$J$451),0),
IF('TL07'!$B$3=N$3,SUMIF('TL07'!$C$10:$C$224,$C205,'TL07'!$J$10:$J$224),0),
IF('TL07'!$B$229=N$3,SUMIF('TL07'!$C$238:$C$451,$C205,'TL07'!$J$238:$J$451),0),
IF('TL08'!$B$3=N$3,SUMIF('TL08'!$C$10:$C$224,$C205,'TL08'!$J$10:$J$224),0),
IF('TL08'!$B$229=N$3,SUMIF('TL08'!$C$238:$C$451,$C205,'TL08'!$J$238:$J$451),0),
IF('TL09'!$B$3=N$3,SUMIF('TL09'!$C$10:$C$224,$C205,'TL09'!$J$10:$J$224),0),
IF('TL09'!$B$229=N$3,SUMIF('TL09'!$C$238:$C$451,$C205,'TL09'!$J$238:$J$451),0),
IF('TL10'!$B$3=N$3,SUMIF('TL10'!$C$10:$C$224,$C205,'TL10'!$J$10:$J$224),0),
IF('TL10'!$B$229=N$3,SUMIF('TL10'!$C$238:$C$451,$C205,'TL10'!$J$238:$J$451),0),
IF('TL11'!$B$3=N$3,SUMIF('TL11'!$C$10:$C$224,$C205,'TL11'!$J$10:$J$224),0),
IF('TL11'!$B$229=N$3,SUMIF('TL11'!$C$238:$C$451,$C205,'TL11'!$J$238:$J$451),0),
IF('TL12'!$B$3=N$3,SUMIF('TL12'!$C$10:$C$224,$C205,'TL12'!$J$10:$J$224),0),
IF('TL12'!$B$229=N$3,SUMIF('TL12'!$C$238:$C$451,$C205,'TL12'!$J$238:$J$451),0),
IF('TL13'!$B$3=N$3,SUMIF('TL13'!$C$10:$C$224,$C205,'TL13'!$J$10:$J$224),0),
IF('TL13'!$B$229=N$3,SUMIF('TL13'!$C$238:$C$451,$C205,'TL13'!$J$238:$J$451),0),
IF('TL14'!$B$3=N$3,SUMIF('TL14'!$C$10:$C$224,$C205,'TL14'!$J$10:$J$224),0),
IF('TL14'!$B$229=N$3,SUMIF('TL14'!$C$238:$C$451,$C205,'TL14'!$J$238:$J$451),0),
IF('TL15'!$B$3=N$3,SUMIF('TL15'!$C$10:$C$224,$C205,'TL15'!$J$10:$J$224),0),
IF('TL15'!$B$229=N$3,SUMIF('TL15'!$C$238:$C$451,$C205,'TL15'!$J$238:$J$451),0),
IF('TL16'!$B$3=N$3,SUMIF('TL16'!$C$10:$C$224,$C205,'TL16'!$J$10:$J$224),0),
IF('TL16'!$B$229=N$3,SUMIF('TL16'!$C$238:$C$451,$C205,'TL16'!$J$238:$J$451),0),
IF('TL17'!$B$3=N$3,SUMIF('TL17'!$C$10:$C$224,$C205,'TL17'!$J$10:$J$224),0),
IF('TL17'!$B$229=N$3,SUMIF('TL17'!$C$238:$C$451,$C205,'TL17'!$J$238:$J$451),0),
IF('TL18'!$B$3=N$3,SUMIF('TL18'!$C$10:$C$224,$C205,'TL18'!$J$10:$J$224),0),
IF('TL18'!$B$229=N$3,SUMIF('TL18'!$C$238:$C$451,$C205,'TL18'!$J$238:$J$451),0),
IF('TL19'!$B$3=N$3,SUMIF('TL19'!$C$10:$C$224,$C205,'TL19'!$J$10:$J$224),0),
IF('TL19'!$B$229=N$3,SUMIF('TL19'!$C$238:$C$451,$C205,'TL19'!$J$238:$J$451),0)
),0)</f>
        <v>0</v>
      </c>
      <c r="O205" s="9">
        <f>IFERROR(SUM(
IF('TL01'!$B$3=O$3,SUMIF('TL01'!$C$10:$C$224,$C205,'TL01'!$J$10:$J$224),0),
IF('TL01'!$B$229=O$3,SUMIF('TL01'!$C$238:$C$451,$C205,'TL01'!$J$238:$J$451),0),
IF('TL02'!$B$3=O$3,SUMIF('TL02'!$C$10:$C$224,$C205,'TL02'!$J$10:$J$224),0),
IF('TL02'!$B$229=O$3,SUMIF('TL02'!$C$238:$C$451,$C205,'TL02'!$J$238:$J$451),0),
IF('TL03'!$B$3=O$3,SUMIF('TL03'!$C$10:$C$224,$C205,'TL03'!$J$10:$J$224),0),
IF('TL03'!$B$229=O$3,SUMIF('TL03'!$C$238:$C$451,$C205,'TL03'!$J$238:$J$451),0),
IF('TL04'!$B$3=O$3,SUMIF('TL04'!$C$10:$C$224,$C205,'TL04'!$J$10:$J$224),0),
IF('TL04'!$B$229=O$3,SUMIF('TL04'!$C$238:$C$451,$C205,'TL04'!$J$238:$J$451),0),
IF('TL05'!$B$3=O$3,SUMIF('TL05'!$C$10:$C$224,$C205,'TL05'!$J$10:$J$224),0),
IF('TL05'!$B$229=O$3,SUMIF('TL05'!$C$238:$C$451,$C205,'TL05'!$J$238:$J$451),0),
IF('TL06'!$B$3=O$3,SUMIF('TL06'!$C$10:$C$224,$C205,'TL06'!$J$10:$J$224),0),
IF('TL06'!$B$229=O$3,SUMIF('TL06'!$C$238:$C$451,$C205,'TL06'!$J$238:$J$451),0),
IF('TL07'!$B$3=O$3,SUMIF('TL07'!$C$10:$C$224,$C205,'TL07'!$J$10:$J$224),0),
IF('TL07'!$B$229=O$3,SUMIF('TL07'!$C$238:$C$451,$C205,'TL07'!$J$238:$J$451),0),
IF('TL08'!$B$3=O$3,SUMIF('TL08'!$C$10:$C$224,$C205,'TL08'!$J$10:$J$224),0),
IF('TL08'!$B$229=O$3,SUMIF('TL08'!$C$238:$C$451,$C205,'TL08'!$J$238:$J$451),0),
IF('TL09'!$B$3=O$3,SUMIF('TL09'!$C$10:$C$224,$C205,'TL09'!$J$10:$J$224),0),
IF('TL09'!$B$229=O$3,SUMIF('TL09'!$C$238:$C$451,$C205,'TL09'!$J$238:$J$451),0),
IF('TL10'!$B$3=O$3,SUMIF('TL10'!$C$10:$C$224,$C205,'TL10'!$J$10:$J$224),0),
IF('TL10'!$B$229=O$3,SUMIF('TL10'!$C$238:$C$451,$C205,'TL10'!$J$238:$J$451),0),
IF('TL11'!$B$3=O$3,SUMIF('TL11'!$C$10:$C$224,$C205,'TL11'!$J$10:$J$224),0),
IF('TL11'!$B$229=O$3,SUMIF('TL11'!$C$238:$C$451,$C205,'TL11'!$J$238:$J$451),0),
IF('TL12'!$B$3=O$3,SUMIF('TL12'!$C$10:$C$224,$C205,'TL12'!$J$10:$J$224),0),
IF('TL12'!$B$229=O$3,SUMIF('TL12'!$C$238:$C$451,$C205,'TL12'!$J$238:$J$451),0),
IF('TL13'!$B$3=O$3,SUMIF('TL13'!$C$10:$C$224,$C205,'TL13'!$J$10:$J$224),0),
IF('TL13'!$B$229=O$3,SUMIF('TL13'!$C$238:$C$451,$C205,'TL13'!$J$238:$J$451),0),
IF('TL14'!$B$3=O$3,SUMIF('TL14'!$C$10:$C$224,$C205,'TL14'!$J$10:$J$224),0),
IF('TL14'!$B$229=O$3,SUMIF('TL14'!$C$238:$C$451,$C205,'TL14'!$J$238:$J$451),0),
IF('TL15'!$B$3=O$3,SUMIF('TL15'!$C$10:$C$224,$C205,'TL15'!$J$10:$J$224),0),
IF('TL15'!$B$229=O$3,SUMIF('TL15'!$C$238:$C$451,$C205,'TL15'!$J$238:$J$451),0),
IF('TL16'!$B$3=O$3,SUMIF('TL16'!$C$10:$C$224,$C205,'TL16'!$J$10:$J$224),0),
IF('TL16'!$B$229=O$3,SUMIF('TL16'!$C$238:$C$451,$C205,'TL16'!$J$238:$J$451),0),
IF('TL17'!$B$3=O$3,SUMIF('TL17'!$C$10:$C$224,$C205,'TL17'!$J$10:$J$224),0),
IF('TL17'!$B$229=O$3,SUMIF('TL17'!$C$238:$C$451,$C205,'TL17'!$J$238:$J$451),0),
IF('TL18'!$B$3=O$3,SUMIF('TL18'!$C$10:$C$224,$C205,'TL18'!$J$10:$J$224),0),
IF('TL18'!$B$229=O$3,SUMIF('TL18'!$C$238:$C$451,$C205,'TL18'!$J$238:$J$451),0),
IF('TL19'!$B$3=O$3,SUMIF('TL19'!$C$10:$C$224,$C205,'TL19'!$J$10:$J$224),0),
IF('TL19'!$B$229=O$3,SUMIF('TL19'!$C$238:$C$451,$C205,'TL19'!$J$238:$J$451),0)
),0)</f>
        <v>0</v>
      </c>
      <c r="P205" s="9">
        <f>IFERROR(SUM(
IF('TL01'!$B$3=P$3,SUMIF('TL01'!$C$10:$C$224,$C205,'TL01'!$J$10:$J$224),0),
IF('TL01'!$B$229=P$3,SUMIF('TL01'!$C$238:$C$451,$C205,'TL01'!$J$238:$J$451),0),
IF('TL02'!$B$3=P$3,SUMIF('TL02'!$C$10:$C$224,$C205,'TL02'!$J$10:$J$224),0),
IF('TL02'!$B$229=P$3,SUMIF('TL02'!$C$238:$C$451,$C205,'TL02'!$J$238:$J$451),0),
IF('TL03'!$B$3=P$3,SUMIF('TL03'!$C$10:$C$224,$C205,'TL03'!$J$10:$J$224),0),
IF('TL03'!$B$229=P$3,SUMIF('TL03'!$C$238:$C$451,$C205,'TL03'!$J$238:$J$451),0),
IF('TL04'!$B$3=P$3,SUMIF('TL04'!$C$10:$C$224,$C205,'TL04'!$J$10:$J$224),0),
IF('TL04'!$B$229=P$3,SUMIF('TL04'!$C$238:$C$451,$C205,'TL04'!$J$238:$J$451),0),
IF('TL05'!$B$3=P$3,SUMIF('TL05'!$C$10:$C$224,$C205,'TL05'!$J$10:$J$224),0),
IF('TL05'!$B$229=P$3,SUMIF('TL05'!$C$238:$C$451,$C205,'TL05'!$J$238:$J$451),0),
IF('TL06'!$B$3=P$3,SUMIF('TL06'!$C$10:$C$224,$C205,'TL06'!$J$10:$J$224),0),
IF('TL06'!$B$229=P$3,SUMIF('TL06'!$C$238:$C$451,$C205,'TL06'!$J$238:$J$451),0),
IF('TL07'!$B$3=P$3,SUMIF('TL07'!$C$10:$C$224,$C205,'TL07'!$J$10:$J$224),0),
IF('TL07'!$B$229=P$3,SUMIF('TL07'!$C$238:$C$451,$C205,'TL07'!$J$238:$J$451),0),
IF('TL08'!$B$3=P$3,SUMIF('TL08'!$C$10:$C$224,$C205,'TL08'!$J$10:$J$224),0),
IF('TL08'!$B$229=P$3,SUMIF('TL08'!$C$238:$C$451,$C205,'TL08'!$J$238:$J$451),0),
IF('TL09'!$B$3=P$3,SUMIF('TL09'!$C$10:$C$224,$C205,'TL09'!$J$10:$J$224),0),
IF('TL09'!$B$229=P$3,SUMIF('TL09'!$C$238:$C$451,$C205,'TL09'!$J$238:$J$451),0),
IF('TL10'!$B$3=P$3,SUMIF('TL10'!$C$10:$C$224,$C205,'TL10'!$J$10:$J$224),0),
IF('TL10'!$B$229=P$3,SUMIF('TL10'!$C$238:$C$451,$C205,'TL10'!$J$238:$J$451),0),
IF('TL11'!$B$3=P$3,SUMIF('TL11'!$C$10:$C$224,$C205,'TL11'!$J$10:$J$224),0),
IF('TL11'!$B$229=P$3,SUMIF('TL11'!$C$238:$C$451,$C205,'TL11'!$J$238:$J$451),0),
IF('TL12'!$B$3=P$3,SUMIF('TL12'!$C$10:$C$224,$C205,'TL12'!$J$10:$J$224),0),
IF('TL12'!$B$229=P$3,SUMIF('TL12'!$C$238:$C$451,$C205,'TL12'!$J$238:$J$451),0),
IF('TL13'!$B$3=P$3,SUMIF('TL13'!$C$10:$C$224,$C205,'TL13'!$J$10:$J$224),0),
IF('TL13'!$B$229=P$3,SUMIF('TL13'!$C$238:$C$451,$C205,'TL13'!$J$238:$J$451),0),
IF('TL14'!$B$3=P$3,SUMIF('TL14'!$C$10:$C$224,$C205,'TL14'!$J$10:$J$224),0),
IF('TL14'!$B$229=P$3,SUMIF('TL14'!$C$238:$C$451,$C205,'TL14'!$J$238:$J$451),0),
IF('TL15'!$B$3=P$3,SUMIF('TL15'!$C$10:$C$224,$C205,'TL15'!$J$10:$J$224),0),
IF('TL15'!$B$229=P$3,SUMIF('TL15'!$C$238:$C$451,$C205,'TL15'!$J$238:$J$451),0),
IF('TL16'!$B$3=P$3,SUMIF('TL16'!$C$10:$C$224,$C205,'TL16'!$J$10:$J$224),0),
IF('TL16'!$B$229=P$3,SUMIF('TL16'!$C$238:$C$451,$C205,'TL16'!$J$238:$J$451),0),
IF('TL17'!$B$3=P$3,SUMIF('TL17'!$C$10:$C$224,$C205,'TL17'!$J$10:$J$224),0),
IF('TL17'!$B$229=P$3,SUMIF('TL17'!$C$238:$C$451,$C205,'TL17'!$J$238:$J$451),0),
IF('TL18'!$B$3=P$3,SUMIF('TL18'!$C$10:$C$224,$C205,'TL18'!$J$10:$J$224),0),
IF('TL18'!$B$229=P$3,SUMIF('TL18'!$C$238:$C$451,$C205,'TL18'!$J$238:$J$451),0),
IF('TL19'!$B$3=P$3,SUMIF('TL19'!$C$10:$C$224,$C205,'TL19'!$J$10:$J$224),0),
IF('TL19'!$B$229=P$3,SUMIF('TL19'!$C$238:$C$451,$C205,'TL19'!$J$238:$J$451),0)
),0)</f>
        <v>0</v>
      </c>
      <c r="Q205" s="9">
        <f>IFERROR(SUM(
IF('TL01'!$B$3=Q$3,SUMIF('TL01'!$C$10:$C$224,$C205,'TL01'!$J$10:$J$224),0),
IF('TL01'!$B$229=Q$3,SUMIF('TL01'!$C$238:$C$451,$C205,'TL01'!$J$238:$J$451),0),
IF('TL02'!$B$3=Q$3,SUMIF('TL02'!$C$10:$C$224,$C205,'TL02'!$J$10:$J$224),0),
IF('TL02'!$B$229=Q$3,SUMIF('TL02'!$C$238:$C$451,$C205,'TL02'!$J$238:$J$451),0),
IF('TL03'!$B$3=Q$3,SUMIF('TL03'!$C$10:$C$224,$C205,'TL03'!$J$10:$J$224),0),
IF('TL03'!$B$229=Q$3,SUMIF('TL03'!$C$238:$C$451,$C205,'TL03'!$J$238:$J$451),0),
IF('TL04'!$B$3=Q$3,SUMIF('TL04'!$C$10:$C$224,$C205,'TL04'!$J$10:$J$224),0),
IF('TL04'!$B$229=Q$3,SUMIF('TL04'!$C$238:$C$451,$C205,'TL04'!$J$238:$J$451),0),
IF('TL05'!$B$3=Q$3,SUMIF('TL05'!$C$10:$C$224,$C205,'TL05'!$J$10:$J$224),0),
IF('TL05'!$B$229=Q$3,SUMIF('TL05'!$C$238:$C$451,$C205,'TL05'!$J$238:$J$451),0),
IF('TL06'!$B$3=Q$3,SUMIF('TL06'!$C$10:$C$224,$C205,'TL06'!$J$10:$J$224),0),
IF('TL06'!$B$229=Q$3,SUMIF('TL06'!$C$238:$C$451,$C205,'TL06'!$J$238:$J$451),0),
IF('TL07'!$B$3=Q$3,SUMIF('TL07'!$C$10:$C$224,$C205,'TL07'!$J$10:$J$224),0),
IF('TL07'!$B$229=Q$3,SUMIF('TL07'!$C$238:$C$451,$C205,'TL07'!$J$238:$J$451),0),
IF('TL08'!$B$3=Q$3,SUMIF('TL08'!$C$10:$C$224,$C205,'TL08'!$J$10:$J$224),0),
IF('TL08'!$B$229=Q$3,SUMIF('TL08'!$C$238:$C$451,$C205,'TL08'!$J$238:$J$451),0),
IF('TL09'!$B$3=Q$3,SUMIF('TL09'!$C$10:$C$224,$C205,'TL09'!$J$10:$J$224),0),
IF('TL09'!$B$229=Q$3,SUMIF('TL09'!$C$238:$C$451,$C205,'TL09'!$J$238:$J$451),0),
IF('TL10'!$B$3=Q$3,SUMIF('TL10'!$C$10:$C$224,$C205,'TL10'!$J$10:$J$224),0),
IF('TL10'!$B$229=Q$3,SUMIF('TL10'!$C$238:$C$451,$C205,'TL10'!$J$238:$J$451),0),
IF('TL11'!$B$3=Q$3,SUMIF('TL11'!$C$10:$C$224,$C205,'TL11'!$J$10:$J$224),0),
IF('TL11'!$B$229=Q$3,SUMIF('TL11'!$C$238:$C$451,$C205,'TL11'!$J$238:$J$451),0),
IF('TL12'!$B$3=Q$3,SUMIF('TL12'!$C$10:$C$224,$C205,'TL12'!$J$10:$J$224),0),
IF('TL12'!$B$229=Q$3,SUMIF('TL12'!$C$238:$C$451,$C205,'TL12'!$J$238:$J$451),0),
IF('TL13'!$B$3=Q$3,SUMIF('TL13'!$C$10:$C$224,$C205,'TL13'!$J$10:$J$224),0),
IF('TL13'!$B$229=Q$3,SUMIF('TL13'!$C$238:$C$451,$C205,'TL13'!$J$238:$J$451),0),
IF('TL14'!$B$3=Q$3,SUMIF('TL14'!$C$10:$C$224,$C205,'TL14'!$J$10:$J$224),0),
IF('TL14'!$B$229=Q$3,SUMIF('TL14'!$C$238:$C$451,$C205,'TL14'!$J$238:$J$451),0),
IF('TL15'!$B$3=Q$3,SUMIF('TL15'!$C$10:$C$224,$C205,'TL15'!$J$10:$J$224),0),
IF('TL15'!$B$229=Q$3,SUMIF('TL15'!$C$238:$C$451,$C205,'TL15'!$J$238:$J$451),0),
IF('TL16'!$B$3=Q$3,SUMIF('TL16'!$C$10:$C$224,$C205,'TL16'!$J$10:$J$224),0),
IF('TL16'!$B$229=Q$3,SUMIF('TL16'!$C$238:$C$451,$C205,'TL16'!$J$238:$J$451),0),
IF('TL17'!$B$3=Q$3,SUMIF('TL17'!$C$10:$C$224,$C205,'TL17'!$J$10:$J$224),0),
IF('TL17'!$B$229=Q$3,SUMIF('TL17'!$C$238:$C$451,$C205,'TL17'!$J$238:$J$451),0),
IF('TL18'!$B$3=Q$3,SUMIF('TL18'!$C$10:$C$224,$C205,'TL18'!$J$10:$J$224),0),
IF('TL18'!$B$229=Q$3,SUMIF('TL18'!$C$238:$C$451,$C205,'TL18'!$J$238:$J$451),0),
IF('TL19'!$B$3=Q$3,SUMIF('TL19'!$C$10:$C$224,$C205,'TL19'!$J$10:$J$224),0),
IF('TL19'!$B$229=Q$3,SUMIF('TL19'!$C$238:$C$451,$C205,'TL19'!$J$238:$J$451),0)
),0)</f>
        <v>0</v>
      </c>
      <c r="R205" s="9">
        <f>IFERROR(
SUM(
SUMIF('TL01'!C:C,C205,'TL01'!J:J),
SUMIF('TL02'!C:C,C205,'TL02'!J:J),
SUMIF('TL03'!C:C,C205,'TL03'!J:J),
SUMIF('TL04'!C:C,C205,'TL04'!J:J),
SUMIF('TL05'!C:C,C205,'TL05'!J:J),
SUMIF('TL06'!C:C,C205,'TL06'!J:J),
SUMIF('TL07'!C:C,C205,'TL07'!J:J),
SUMIF('TL08'!C:C,C205,'TL08'!J:J),
SUMIF('TL09'!C:C,C205,'TL09'!J:J),
SUMIF('TL10'!C:C,C205,'TL10'!J:J),
SUMIF('TL11'!C:C,C205,'TL11'!J:J),
SUMIF('TL12'!C:C,C205,'TL12'!J:J),
SUMIF('TL13'!C:C,C205,'TL13'!J:J),
SUMIF('TL14'!C:C,C205,'TL14'!J:J),
SUMIF('TL15'!C:C,C205,'TL15'!J:J),
SUMIF('TL16'!C:C,C205,'TL16'!J:J),
SUMIF('TL17'!C:C,C205,'TL17'!J:J),
SUMIF('TL18'!C:C,C205,'TL18'!J:J),SUMIF('TL19'!C:C,C205,'TL19'!J:J))
,0)</f>
        <v>0</v>
      </c>
      <c r="S205" s="17">
        <f>IFERROR(__xludf.DUMMYFUNCTION("IFERROR(VLOOKUP(C205,
IMPORTRANGE(""1wULbzX32WdYsx-lj2U3uUNBBe2INVIRDtcK0d-Dvl90"",
""26-27!C:G""),
5,
FALSE),
"""")"),39.41082)</f>
        <v>39.41082</v>
      </c>
      <c r="T205" s="9"/>
      <c r="U205" s="92">
        <f t="shared" si="2"/>
        <v>0</v>
      </c>
      <c r="V205" s="93">
        <f t="shared" si="3"/>
        <v>0</v>
      </c>
    </row>
    <row r="206" ht="15.75" hidden="1" customHeight="1">
      <c r="A206" s="87" t="s">
        <v>378</v>
      </c>
      <c r="B206" s="88" t="s">
        <v>2</v>
      </c>
      <c r="C206" s="89" t="s">
        <v>829</v>
      </c>
      <c r="D206" s="89" t="s">
        <v>830</v>
      </c>
      <c r="E206" s="89">
        <v>400.0</v>
      </c>
      <c r="F206" s="4" t="s">
        <v>343</v>
      </c>
      <c r="G206" s="90" t="str">
        <f t="shared" si="4"/>
        <v>📄 Ver bula</v>
      </c>
      <c r="H206" s="9">
        <f>IFERROR(__xludf.DUMMYFUNCTION("IFERROR(VLOOKUP(C206,
IMPORTRANGE(""1wULbzX32WdYsx-lj2U3uUNBBe2INVIRDtcK0d-Dvl90"",
""26-27!C:K""),
8,
FALSE),
"""")"),0.05)</f>
        <v>0.05</v>
      </c>
      <c r="I206" s="91" t="s">
        <v>361</v>
      </c>
      <c r="J206" s="9">
        <f>IFERROR(SUM(
IF('TL01'!$B$3=J$3,SUMIF('TL01'!$C$10:$C$224,$C206,'TL01'!$J$10:$J$224),0),
IF('TL01'!$B$229=J$3,SUMIF('TL01'!$C$238:$C$451,$C206,'TL01'!$J$238:$J$451),0),
IF('TL02'!$B$3=J$3,SUMIF('TL02'!$C$10:$C$224,$C206,'TL02'!$J$10:$J$224),0),
IF('TL02'!$B$229=J$3,SUMIF('TL02'!$C$238:$C$451,$C206,'TL02'!$J$238:$J$451),0),
IF('TL03'!$B$3=J$3,SUMIF('TL03'!$C$10:$C$224,$C206,'TL03'!$J$10:$J$224),0),
IF('TL03'!$B$229=J$3,SUMIF('TL03'!$C$238:$C$451,$C206,'TL03'!$J$238:$J$451),0),
IF('TL04'!$B$3=J$3,SUMIF('TL04'!$C$10:$C$224,$C206,'TL04'!$J$10:$J$224),0),
IF('TL04'!$B$229=J$3,SUMIF('TL04'!$C$238:$C$451,$C206,'TL04'!$J$238:$J$451),0),
IF('TL05'!$B$3=J$3,SUMIF('TL05'!$C$10:$C$224,$C206,'TL05'!$J$10:$J$224),0),
IF('TL05'!$B$229=J$3,SUMIF('TL05'!$C$238:$C$451,$C206,'TL05'!$J$238:$J$451),0),
IF('TL06'!$B$3=J$3,SUMIF('TL06'!$C$10:$C$224,$C206,'TL06'!$J$10:$J$224),0),
IF('TL06'!$B$229=J$3,SUMIF('TL06'!$C$238:$C$451,$C206,'TL06'!$J$238:$J$451),0),
IF('TL07'!$B$3=J$3,SUMIF('TL07'!$C$10:$C$224,$C206,'TL07'!$J$10:$J$224),0),
IF('TL07'!$B$229=J$3,SUMIF('TL07'!$C$238:$C$451,$C206,'TL07'!$J$238:$J$451),0),
IF('TL08'!$B$3=J$3,SUMIF('TL08'!$C$10:$C$224,$C206,'TL08'!$J$10:$J$224),0),
IF('TL08'!$B$229=J$3,SUMIF('TL08'!$C$238:$C$451,$C206,'TL08'!$J$238:$J$451),0),
IF('TL09'!$B$3=J$3,SUMIF('TL09'!$C$10:$C$224,$C206,'TL09'!$J$10:$J$224),0),
IF('TL09'!$B$229=J$3,SUMIF('TL09'!$C$238:$C$451,$C206,'TL09'!$J$238:$J$451),0),
IF('TL10'!$B$3=J$3,SUMIF('TL10'!$C$10:$C$224,$C206,'TL10'!$J$10:$J$224),0),
IF('TL10'!$B$229=J$3,SUMIF('TL10'!$C$238:$C$451,$C206,'TL10'!$J$238:$J$451),0),
IF('TL11'!$B$3=J$3,SUMIF('TL11'!$C$10:$C$224,$C206,'TL11'!$J$10:$J$224),0),
IF('TL11'!$B$229=J$3,SUMIF('TL11'!$C$238:$C$451,$C206,'TL11'!$J$238:$J$451),0),
IF('TL12'!$B$3=J$3,SUMIF('TL12'!$C$10:$C$224,$C206,'TL12'!$J$10:$J$224),0),
IF('TL12'!$B$229=J$3,SUMIF('TL12'!$C$238:$C$451,$C206,'TL12'!$J$238:$J$451),0),
IF('TL13'!$B$3=J$3,SUMIF('TL13'!$C$10:$C$224,$C206,'TL13'!$J$10:$J$224),0),
IF('TL13'!$B$229=J$3,SUMIF('TL13'!$C$238:$C$451,$C206,'TL13'!$J$238:$J$451),0),
IF('TL14'!$B$3=J$3,SUMIF('TL14'!$C$10:$C$224,$C206,'TL14'!$J$10:$J$224),0),
IF('TL14'!$B$229=J$3,SUMIF('TL14'!$C$238:$C$451,$C206,'TL14'!$J$238:$J$451),0),
IF('TL15'!$B$3=J$3,SUMIF('TL15'!$C$10:$C$224,$C206,'TL15'!$J$10:$J$224),0),
IF('TL15'!$B$229=J$3,SUMIF('TL15'!$C$238:$C$451,$C206,'TL15'!$J$238:$J$451),0),
IF('TL16'!$B$3=J$3,SUMIF('TL16'!$C$10:$C$224,$C206,'TL16'!$J$10:$J$224),0),
IF('TL16'!$B$229=J$3,SUMIF('TL16'!$C$238:$C$451,$C206,'TL16'!$J$238:$J$451),0),
IF('TL17'!$B$3=J$3,SUMIF('TL17'!$C$10:$C$224,$C206,'TL17'!$J$10:$J$224),0),
IF('TL17'!$B$229=J$3,SUMIF('TL17'!$C$238:$C$451,$C206,'TL17'!$J$238:$J$451),0),
IF('TL18'!$B$3=J$3,SUMIF('TL18'!$C$10:$C$224,$C206,'TL18'!$J$10:$J$224),0),
IF('TL18'!$B$229=J$3,SUMIF('TL18'!$C$238:$C$451,$C206,'TL18'!$J$238:$J$451),0),
IF('TL19'!$B$3=J$3,SUMIF('TL19'!$C$10:$C$224,$C206,'TL19'!$J$10:$J$224),0),
IF('TL19'!$B$229=J$3,SUMIF('TL19'!$C$238:$C$451,$C206,'TL19'!$J$238:$J$451),0)
),0)</f>
        <v>0</v>
      </c>
      <c r="K206" s="9">
        <f>IFERROR(SUM(
IF('TL01'!$B$3=K$3,SUMIF('TL01'!$C$10:$C$224,$C206,'TL01'!$J$10:$J$224),0),
IF('TL01'!$B$229=K$3,SUMIF('TL01'!$C$238:$C$451,$C206,'TL01'!$J$238:$J$451),0),
IF('TL02'!$B$3=K$3,SUMIF('TL02'!$C$10:$C$224,$C206,'TL02'!$J$10:$J$224),0),
IF('TL02'!$B$229=K$3,SUMIF('TL02'!$C$238:$C$451,$C206,'TL02'!$J$238:$J$451),0),
IF('TL03'!$B$3=K$3,SUMIF('TL03'!$C$10:$C$224,$C206,'TL03'!$J$10:$J$224),0),
IF('TL03'!$B$229=K$3,SUMIF('TL03'!$C$238:$C$451,$C206,'TL03'!$J$238:$J$451),0),
IF('TL04'!$B$3=K$3,SUMIF('TL04'!$C$10:$C$224,$C206,'TL04'!$J$10:$J$224),0),
IF('TL04'!$B$229=K$3,SUMIF('TL04'!$C$238:$C$451,$C206,'TL04'!$J$238:$J$451),0),
IF('TL05'!$B$3=K$3,SUMIF('TL05'!$C$10:$C$224,$C206,'TL05'!$J$10:$J$224),0),
IF('TL05'!$B$229=K$3,SUMIF('TL05'!$C$238:$C$451,$C206,'TL05'!$J$238:$J$451),0),
IF('TL06'!$B$3=K$3,SUMIF('TL06'!$C$10:$C$224,$C206,'TL06'!$J$10:$J$224),0),
IF('TL06'!$B$229=K$3,SUMIF('TL06'!$C$238:$C$451,$C206,'TL06'!$J$238:$J$451),0),
IF('TL07'!$B$3=K$3,SUMIF('TL07'!$C$10:$C$224,$C206,'TL07'!$J$10:$J$224),0),
IF('TL07'!$B$229=K$3,SUMIF('TL07'!$C$238:$C$451,$C206,'TL07'!$J$238:$J$451),0),
IF('TL08'!$B$3=K$3,SUMIF('TL08'!$C$10:$C$224,$C206,'TL08'!$J$10:$J$224),0),
IF('TL08'!$B$229=K$3,SUMIF('TL08'!$C$238:$C$451,$C206,'TL08'!$J$238:$J$451),0),
IF('TL09'!$B$3=K$3,SUMIF('TL09'!$C$10:$C$224,$C206,'TL09'!$J$10:$J$224),0),
IF('TL09'!$B$229=K$3,SUMIF('TL09'!$C$238:$C$451,$C206,'TL09'!$J$238:$J$451),0),
IF('TL10'!$B$3=K$3,SUMIF('TL10'!$C$10:$C$224,$C206,'TL10'!$J$10:$J$224),0),
IF('TL10'!$B$229=K$3,SUMIF('TL10'!$C$238:$C$451,$C206,'TL10'!$J$238:$J$451),0),
IF('TL11'!$B$3=K$3,SUMIF('TL11'!$C$10:$C$224,$C206,'TL11'!$J$10:$J$224),0),
IF('TL11'!$B$229=K$3,SUMIF('TL11'!$C$238:$C$451,$C206,'TL11'!$J$238:$J$451),0),
IF('TL12'!$B$3=K$3,SUMIF('TL12'!$C$10:$C$224,$C206,'TL12'!$J$10:$J$224),0),
IF('TL12'!$B$229=K$3,SUMIF('TL12'!$C$238:$C$451,$C206,'TL12'!$J$238:$J$451),0),
IF('TL13'!$B$3=K$3,SUMIF('TL13'!$C$10:$C$224,$C206,'TL13'!$J$10:$J$224),0),
IF('TL13'!$B$229=K$3,SUMIF('TL13'!$C$238:$C$451,$C206,'TL13'!$J$238:$J$451),0),
IF('TL14'!$B$3=K$3,SUMIF('TL14'!$C$10:$C$224,$C206,'TL14'!$J$10:$J$224),0),
IF('TL14'!$B$229=K$3,SUMIF('TL14'!$C$238:$C$451,$C206,'TL14'!$J$238:$J$451),0),
IF('TL15'!$B$3=K$3,SUMIF('TL15'!$C$10:$C$224,$C206,'TL15'!$J$10:$J$224),0),
IF('TL15'!$B$229=K$3,SUMIF('TL15'!$C$238:$C$451,$C206,'TL15'!$J$238:$J$451),0),
IF('TL16'!$B$3=K$3,SUMIF('TL16'!$C$10:$C$224,$C206,'TL16'!$J$10:$J$224),0),
IF('TL16'!$B$229=K$3,SUMIF('TL16'!$C$238:$C$451,$C206,'TL16'!$J$238:$J$451),0),
IF('TL17'!$B$3=K$3,SUMIF('TL17'!$C$10:$C$224,$C206,'TL17'!$J$10:$J$224),0),
IF('TL17'!$B$229=K$3,SUMIF('TL17'!$C$238:$C$451,$C206,'TL17'!$J$238:$J$451),0),
IF('TL18'!$B$3=K$3,SUMIF('TL18'!$C$10:$C$224,$C206,'TL18'!$J$10:$J$224),0),
IF('TL18'!$B$229=K$3,SUMIF('TL18'!$C$238:$C$451,$C206,'TL18'!$J$238:$J$451),0),
IF('TL19'!$B$3=K$3,SUMIF('TL19'!$C$10:$C$224,$C206,'TL19'!$J$10:$J$224),0),
IF('TL19'!$B$229=K$3,SUMIF('TL19'!$C$238:$C$451,$C206,'TL19'!$J$238:$J$451),0)
),0)</f>
        <v>15</v>
      </c>
      <c r="L206" s="9">
        <f>IFERROR(SUM(
IF('TL01'!$B$3=L$3,SUMIF('TL01'!$C$10:$C$224,$C206,'TL01'!$J$10:$J$224),0),
IF('TL01'!$B$229=L$3,SUMIF('TL01'!$C$238:$C$451,$C206,'TL01'!$J$238:$J$451),0),
IF('TL02'!$B$3=L$3,SUMIF('TL02'!$C$10:$C$224,$C206,'TL02'!$J$10:$J$224),0),
IF('TL02'!$B$229=L$3,SUMIF('TL02'!$C$238:$C$451,$C206,'TL02'!$J$238:$J$451),0),
IF('TL03'!$B$3=L$3,SUMIF('TL03'!$C$10:$C$224,$C206,'TL03'!$J$10:$J$224),0),
IF('TL03'!$B$229=L$3,SUMIF('TL03'!$C$238:$C$451,$C206,'TL03'!$J$238:$J$451),0),
IF('TL04'!$B$3=L$3,SUMIF('TL04'!$C$10:$C$224,$C206,'TL04'!$J$10:$J$224),0),
IF('TL04'!$B$229=L$3,SUMIF('TL04'!$C$238:$C$451,$C206,'TL04'!$J$238:$J$451),0),
IF('TL05'!$B$3=L$3,SUMIF('TL05'!$C$10:$C$224,$C206,'TL05'!$J$10:$J$224),0),
IF('TL05'!$B$229=L$3,SUMIF('TL05'!$C$238:$C$451,$C206,'TL05'!$J$238:$J$451),0),
IF('TL06'!$B$3=L$3,SUMIF('TL06'!$C$10:$C$224,$C206,'TL06'!$J$10:$J$224),0),
IF('TL06'!$B$229=L$3,SUMIF('TL06'!$C$238:$C$451,$C206,'TL06'!$J$238:$J$451),0),
IF('TL07'!$B$3=L$3,SUMIF('TL07'!$C$10:$C$224,$C206,'TL07'!$J$10:$J$224),0),
IF('TL07'!$B$229=L$3,SUMIF('TL07'!$C$238:$C$451,$C206,'TL07'!$J$238:$J$451),0),
IF('TL08'!$B$3=L$3,SUMIF('TL08'!$C$10:$C$224,$C206,'TL08'!$J$10:$J$224),0),
IF('TL08'!$B$229=L$3,SUMIF('TL08'!$C$238:$C$451,$C206,'TL08'!$J$238:$J$451),0),
IF('TL09'!$B$3=L$3,SUMIF('TL09'!$C$10:$C$224,$C206,'TL09'!$J$10:$J$224),0),
IF('TL09'!$B$229=L$3,SUMIF('TL09'!$C$238:$C$451,$C206,'TL09'!$J$238:$J$451),0),
IF('TL10'!$B$3=L$3,SUMIF('TL10'!$C$10:$C$224,$C206,'TL10'!$J$10:$J$224),0),
IF('TL10'!$B$229=L$3,SUMIF('TL10'!$C$238:$C$451,$C206,'TL10'!$J$238:$J$451),0),
IF('TL11'!$B$3=L$3,SUMIF('TL11'!$C$10:$C$224,$C206,'TL11'!$J$10:$J$224),0),
IF('TL11'!$B$229=L$3,SUMIF('TL11'!$C$238:$C$451,$C206,'TL11'!$J$238:$J$451),0),
IF('TL12'!$B$3=L$3,SUMIF('TL12'!$C$10:$C$224,$C206,'TL12'!$J$10:$J$224),0),
IF('TL12'!$B$229=L$3,SUMIF('TL12'!$C$238:$C$451,$C206,'TL12'!$J$238:$J$451),0),
IF('TL13'!$B$3=L$3,SUMIF('TL13'!$C$10:$C$224,$C206,'TL13'!$J$10:$J$224),0),
IF('TL13'!$B$229=L$3,SUMIF('TL13'!$C$238:$C$451,$C206,'TL13'!$J$238:$J$451),0),
IF('TL14'!$B$3=L$3,SUMIF('TL14'!$C$10:$C$224,$C206,'TL14'!$J$10:$J$224),0),
IF('TL14'!$B$229=L$3,SUMIF('TL14'!$C$238:$C$451,$C206,'TL14'!$J$238:$J$451),0),
IF('TL15'!$B$3=L$3,SUMIF('TL15'!$C$10:$C$224,$C206,'TL15'!$J$10:$J$224),0),
IF('TL15'!$B$229=L$3,SUMIF('TL15'!$C$238:$C$451,$C206,'TL15'!$J$238:$J$451),0),
IF('TL16'!$B$3=L$3,SUMIF('TL16'!$C$10:$C$224,$C206,'TL16'!$J$10:$J$224),0),
IF('TL16'!$B$229=L$3,SUMIF('TL16'!$C$238:$C$451,$C206,'TL16'!$J$238:$J$451),0),
IF('TL17'!$B$3=L$3,SUMIF('TL17'!$C$10:$C$224,$C206,'TL17'!$J$10:$J$224),0),
IF('TL17'!$B$229=L$3,SUMIF('TL17'!$C$238:$C$451,$C206,'TL17'!$J$238:$J$451),0),
IF('TL18'!$B$3=L$3,SUMIF('TL18'!$C$10:$C$224,$C206,'TL18'!$J$10:$J$224),0),
IF('TL18'!$B$229=L$3,SUMIF('TL18'!$C$238:$C$451,$C206,'TL18'!$J$238:$J$451),0),
IF('TL19'!$B$3=L$3,SUMIF('TL19'!$C$10:$C$224,$C206,'TL19'!$J$10:$J$224),0),
IF('TL19'!$B$229=L$3,SUMIF('TL19'!$C$238:$C$451,$C206,'TL19'!$J$238:$J$451),0)
),0)</f>
        <v>11</v>
      </c>
      <c r="M206" s="9">
        <f>IFERROR(SUM(
IF('TL01'!$B$3=M$3,SUMIF('TL01'!$C$10:$C$224,$C206,'TL01'!$J$10:$J$224),0),
IF('TL01'!$B$229=M$3,SUMIF('TL01'!$C$238:$C$451,$C206,'TL01'!$J$238:$J$451),0),
IF('TL02'!$B$3=M$3,SUMIF('TL02'!$C$10:$C$224,$C206,'TL02'!$J$10:$J$224),0),
IF('TL02'!$B$229=M$3,SUMIF('TL02'!$C$238:$C$451,$C206,'TL02'!$J$238:$J$451),0),
IF('TL03'!$B$3=M$3,SUMIF('TL03'!$C$10:$C$224,$C206,'TL03'!$J$10:$J$224),0),
IF('TL03'!$B$229=M$3,SUMIF('TL03'!$C$238:$C$451,$C206,'TL03'!$J$238:$J$451),0),
IF('TL04'!$B$3=M$3,SUMIF('TL04'!$C$10:$C$224,$C206,'TL04'!$J$10:$J$224),0),
IF('TL04'!$B$229=M$3,SUMIF('TL04'!$C$238:$C$451,$C206,'TL04'!$J$238:$J$451),0),
IF('TL05'!$B$3=M$3,SUMIF('TL05'!$C$10:$C$224,$C206,'TL05'!$J$10:$J$224),0),
IF('TL05'!$B$229=M$3,SUMIF('TL05'!$C$238:$C$451,$C206,'TL05'!$J$238:$J$451),0),
IF('TL06'!$B$3=M$3,SUMIF('TL06'!$C$10:$C$224,$C206,'TL06'!$J$10:$J$224),0),
IF('TL06'!$B$229=M$3,SUMIF('TL06'!$C$238:$C$451,$C206,'TL06'!$J$238:$J$451),0),
IF('TL07'!$B$3=M$3,SUMIF('TL07'!$C$10:$C$224,$C206,'TL07'!$J$10:$J$224),0),
IF('TL07'!$B$229=M$3,SUMIF('TL07'!$C$238:$C$451,$C206,'TL07'!$J$238:$J$451),0),
IF('TL08'!$B$3=M$3,SUMIF('TL08'!$C$10:$C$224,$C206,'TL08'!$J$10:$J$224),0),
IF('TL08'!$B$229=M$3,SUMIF('TL08'!$C$238:$C$451,$C206,'TL08'!$J$238:$J$451),0),
IF('TL09'!$B$3=M$3,SUMIF('TL09'!$C$10:$C$224,$C206,'TL09'!$J$10:$J$224),0),
IF('TL09'!$B$229=M$3,SUMIF('TL09'!$C$238:$C$451,$C206,'TL09'!$J$238:$J$451),0),
IF('TL10'!$B$3=M$3,SUMIF('TL10'!$C$10:$C$224,$C206,'TL10'!$J$10:$J$224),0),
IF('TL10'!$B$229=M$3,SUMIF('TL10'!$C$238:$C$451,$C206,'TL10'!$J$238:$J$451),0),
IF('TL11'!$B$3=M$3,SUMIF('TL11'!$C$10:$C$224,$C206,'TL11'!$J$10:$J$224),0),
IF('TL11'!$B$229=M$3,SUMIF('TL11'!$C$238:$C$451,$C206,'TL11'!$J$238:$J$451),0),
IF('TL12'!$B$3=M$3,SUMIF('TL12'!$C$10:$C$224,$C206,'TL12'!$J$10:$J$224),0),
IF('TL12'!$B$229=M$3,SUMIF('TL12'!$C$238:$C$451,$C206,'TL12'!$J$238:$J$451),0),
IF('TL13'!$B$3=M$3,SUMIF('TL13'!$C$10:$C$224,$C206,'TL13'!$J$10:$J$224),0),
IF('TL13'!$B$229=M$3,SUMIF('TL13'!$C$238:$C$451,$C206,'TL13'!$J$238:$J$451),0),
IF('TL14'!$B$3=M$3,SUMIF('TL14'!$C$10:$C$224,$C206,'TL14'!$J$10:$J$224),0),
IF('TL14'!$B$229=M$3,SUMIF('TL14'!$C$238:$C$451,$C206,'TL14'!$J$238:$J$451),0),
IF('TL15'!$B$3=M$3,SUMIF('TL15'!$C$10:$C$224,$C206,'TL15'!$J$10:$J$224),0),
IF('TL15'!$B$229=M$3,SUMIF('TL15'!$C$238:$C$451,$C206,'TL15'!$J$238:$J$451),0),
IF('TL16'!$B$3=M$3,SUMIF('TL16'!$C$10:$C$224,$C206,'TL16'!$J$10:$J$224),0),
IF('TL16'!$B$229=M$3,SUMIF('TL16'!$C$238:$C$451,$C206,'TL16'!$J$238:$J$451),0),
IF('TL17'!$B$3=M$3,SUMIF('TL17'!$C$10:$C$224,$C206,'TL17'!$J$10:$J$224),0),
IF('TL17'!$B$229=M$3,SUMIF('TL17'!$C$238:$C$451,$C206,'TL17'!$J$238:$J$451),0),
IF('TL18'!$B$3=M$3,SUMIF('TL18'!$C$10:$C$224,$C206,'TL18'!$J$10:$J$224),0),
IF('TL18'!$B$229=M$3,SUMIF('TL18'!$C$238:$C$451,$C206,'TL18'!$J$238:$J$451),0),
IF('TL19'!$B$3=M$3,SUMIF('TL19'!$C$10:$C$224,$C206,'TL19'!$J$10:$J$224),0),
IF('TL19'!$B$229=M$3,SUMIF('TL19'!$C$238:$C$451,$C206,'TL19'!$J$238:$J$451),0)
),0)</f>
        <v>0</v>
      </c>
      <c r="N206" s="9">
        <f>IFERROR(SUM(
IF('TL01'!$B$3=N$3,SUMIF('TL01'!$C$10:$C$224,$C206,'TL01'!$J$10:$J$224),0),
IF('TL01'!$B$229=N$3,SUMIF('TL01'!$C$238:$C$451,$C206,'TL01'!$J$238:$J$451),0),
IF('TL02'!$B$3=N$3,SUMIF('TL02'!$C$10:$C$224,$C206,'TL02'!$J$10:$J$224),0),
IF('TL02'!$B$229=N$3,SUMIF('TL02'!$C$238:$C$451,$C206,'TL02'!$J$238:$J$451),0),
IF('TL03'!$B$3=N$3,SUMIF('TL03'!$C$10:$C$224,$C206,'TL03'!$J$10:$J$224),0),
IF('TL03'!$B$229=N$3,SUMIF('TL03'!$C$238:$C$451,$C206,'TL03'!$J$238:$J$451),0),
IF('TL04'!$B$3=N$3,SUMIF('TL04'!$C$10:$C$224,$C206,'TL04'!$J$10:$J$224),0),
IF('TL04'!$B$229=N$3,SUMIF('TL04'!$C$238:$C$451,$C206,'TL04'!$J$238:$J$451),0),
IF('TL05'!$B$3=N$3,SUMIF('TL05'!$C$10:$C$224,$C206,'TL05'!$J$10:$J$224),0),
IF('TL05'!$B$229=N$3,SUMIF('TL05'!$C$238:$C$451,$C206,'TL05'!$J$238:$J$451),0),
IF('TL06'!$B$3=N$3,SUMIF('TL06'!$C$10:$C$224,$C206,'TL06'!$J$10:$J$224),0),
IF('TL06'!$B$229=N$3,SUMIF('TL06'!$C$238:$C$451,$C206,'TL06'!$J$238:$J$451),0),
IF('TL07'!$B$3=N$3,SUMIF('TL07'!$C$10:$C$224,$C206,'TL07'!$J$10:$J$224),0),
IF('TL07'!$B$229=N$3,SUMIF('TL07'!$C$238:$C$451,$C206,'TL07'!$J$238:$J$451),0),
IF('TL08'!$B$3=N$3,SUMIF('TL08'!$C$10:$C$224,$C206,'TL08'!$J$10:$J$224),0),
IF('TL08'!$B$229=N$3,SUMIF('TL08'!$C$238:$C$451,$C206,'TL08'!$J$238:$J$451),0),
IF('TL09'!$B$3=N$3,SUMIF('TL09'!$C$10:$C$224,$C206,'TL09'!$J$10:$J$224),0),
IF('TL09'!$B$229=N$3,SUMIF('TL09'!$C$238:$C$451,$C206,'TL09'!$J$238:$J$451),0),
IF('TL10'!$B$3=N$3,SUMIF('TL10'!$C$10:$C$224,$C206,'TL10'!$J$10:$J$224),0),
IF('TL10'!$B$229=N$3,SUMIF('TL10'!$C$238:$C$451,$C206,'TL10'!$J$238:$J$451),0),
IF('TL11'!$B$3=N$3,SUMIF('TL11'!$C$10:$C$224,$C206,'TL11'!$J$10:$J$224),0),
IF('TL11'!$B$229=N$3,SUMIF('TL11'!$C$238:$C$451,$C206,'TL11'!$J$238:$J$451),0),
IF('TL12'!$B$3=N$3,SUMIF('TL12'!$C$10:$C$224,$C206,'TL12'!$J$10:$J$224),0),
IF('TL12'!$B$229=N$3,SUMIF('TL12'!$C$238:$C$451,$C206,'TL12'!$J$238:$J$451),0),
IF('TL13'!$B$3=N$3,SUMIF('TL13'!$C$10:$C$224,$C206,'TL13'!$J$10:$J$224),0),
IF('TL13'!$B$229=N$3,SUMIF('TL13'!$C$238:$C$451,$C206,'TL13'!$J$238:$J$451),0),
IF('TL14'!$B$3=N$3,SUMIF('TL14'!$C$10:$C$224,$C206,'TL14'!$J$10:$J$224),0),
IF('TL14'!$B$229=N$3,SUMIF('TL14'!$C$238:$C$451,$C206,'TL14'!$J$238:$J$451),0),
IF('TL15'!$B$3=N$3,SUMIF('TL15'!$C$10:$C$224,$C206,'TL15'!$J$10:$J$224),0),
IF('TL15'!$B$229=N$3,SUMIF('TL15'!$C$238:$C$451,$C206,'TL15'!$J$238:$J$451),0),
IF('TL16'!$B$3=N$3,SUMIF('TL16'!$C$10:$C$224,$C206,'TL16'!$J$10:$J$224),0),
IF('TL16'!$B$229=N$3,SUMIF('TL16'!$C$238:$C$451,$C206,'TL16'!$J$238:$J$451),0),
IF('TL17'!$B$3=N$3,SUMIF('TL17'!$C$10:$C$224,$C206,'TL17'!$J$10:$J$224),0),
IF('TL17'!$B$229=N$3,SUMIF('TL17'!$C$238:$C$451,$C206,'TL17'!$J$238:$J$451),0),
IF('TL18'!$B$3=N$3,SUMIF('TL18'!$C$10:$C$224,$C206,'TL18'!$J$10:$J$224),0),
IF('TL18'!$B$229=N$3,SUMIF('TL18'!$C$238:$C$451,$C206,'TL18'!$J$238:$J$451),0),
IF('TL19'!$B$3=N$3,SUMIF('TL19'!$C$10:$C$224,$C206,'TL19'!$J$10:$J$224),0),
IF('TL19'!$B$229=N$3,SUMIF('TL19'!$C$238:$C$451,$C206,'TL19'!$J$238:$J$451),0)
),0)</f>
        <v>0</v>
      </c>
      <c r="O206" s="9">
        <f>IFERROR(SUM(
IF('TL01'!$B$3=O$3,SUMIF('TL01'!$C$10:$C$224,$C206,'TL01'!$J$10:$J$224),0),
IF('TL01'!$B$229=O$3,SUMIF('TL01'!$C$238:$C$451,$C206,'TL01'!$J$238:$J$451),0),
IF('TL02'!$B$3=O$3,SUMIF('TL02'!$C$10:$C$224,$C206,'TL02'!$J$10:$J$224),0),
IF('TL02'!$B$229=O$3,SUMIF('TL02'!$C$238:$C$451,$C206,'TL02'!$J$238:$J$451),0),
IF('TL03'!$B$3=O$3,SUMIF('TL03'!$C$10:$C$224,$C206,'TL03'!$J$10:$J$224),0),
IF('TL03'!$B$229=O$3,SUMIF('TL03'!$C$238:$C$451,$C206,'TL03'!$J$238:$J$451),0),
IF('TL04'!$B$3=O$3,SUMIF('TL04'!$C$10:$C$224,$C206,'TL04'!$J$10:$J$224),0),
IF('TL04'!$B$229=O$3,SUMIF('TL04'!$C$238:$C$451,$C206,'TL04'!$J$238:$J$451),0),
IF('TL05'!$B$3=O$3,SUMIF('TL05'!$C$10:$C$224,$C206,'TL05'!$J$10:$J$224),0),
IF('TL05'!$B$229=O$3,SUMIF('TL05'!$C$238:$C$451,$C206,'TL05'!$J$238:$J$451),0),
IF('TL06'!$B$3=O$3,SUMIF('TL06'!$C$10:$C$224,$C206,'TL06'!$J$10:$J$224),0),
IF('TL06'!$B$229=O$3,SUMIF('TL06'!$C$238:$C$451,$C206,'TL06'!$J$238:$J$451),0),
IF('TL07'!$B$3=O$3,SUMIF('TL07'!$C$10:$C$224,$C206,'TL07'!$J$10:$J$224),0),
IF('TL07'!$B$229=O$3,SUMIF('TL07'!$C$238:$C$451,$C206,'TL07'!$J$238:$J$451),0),
IF('TL08'!$B$3=O$3,SUMIF('TL08'!$C$10:$C$224,$C206,'TL08'!$J$10:$J$224),0),
IF('TL08'!$B$229=O$3,SUMIF('TL08'!$C$238:$C$451,$C206,'TL08'!$J$238:$J$451),0),
IF('TL09'!$B$3=O$3,SUMIF('TL09'!$C$10:$C$224,$C206,'TL09'!$J$10:$J$224),0),
IF('TL09'!$B$229=O$3,SUMIF('TL09'!$C$238:$C$451,$C206,'TL09'!$J$238:$J$451),0),
IF('TL10'!$B$3=O$3,SUMIF('TL10'!$C$10:$C$224,$C206,'TL10'!$J$10:$J$224),0),
IF('TL10'!$B$229=O$3,SUMIF('TL10'!$C$238:$C$451,$C206,'TL10'!$J$238:$J$451),0),
IF('TL11'!$B$3=O$3,SUMIF('TL11'!$C$10:$C$224,$C206,'TL11'!$J$10:$J$224),0),
IF('TL11'!$B$229=O$3,SUMIF('TL11'!$C$238:$C$451,$C206,'TL11'!$J$238:$J$451),0),
IF('TL12'!$B$3=O$3,SUMIF('TL12'!$C$10:$C$224,$C206,'TL12'!$J$10:$J$224),0),
IF('TL12'!$B$229=O$3,SUMIF('TL12'!$C$238:$C$451,$C206,'TL12'!$J$238:$J$451),0),
IF('TL13'!$B$3=O$3,SUMIF('TL13'!$C$10:$C$224,$C206,'TL13'!$J$10:$J$224),0),
IF('TL13'!$B$229=O$3,SUMIF('TL13'!$C$238:$C$451,$C206,'TL13'!$J$238:$J$451),0),
IF('TL14'!$B$3=O$3,SUMIF('TL14'!$C$10:$C$224,$C206,'TL14'!$J$10:$J$224),0),
IF('TL14'!$B$229=O$3,SUMIF('TL14'!$C$238:$C$451,$C206,'TL14'!$J$238:$J$451),0),
IF('TL15'!$B$3=O$3,SUMIF('TL15'!$C$10:$C$224,$C206,'TL15'!$J$10:$J$224),0),
IF('TL15'!$B$229=O$3,SUMIF('TL15'!$C$238:$C$451,$C206,'TL15'!$J$238:$J$451),0),
IF('TL16'!$B$3=O$3,SUMIF('TL16'!$C$10:$C$224,$C206,'TL16'!$J$10:$J$224),0),
IF('TL16'!$B$229=O$3,SUMIF('TL16'!$C$238:$C$451,$C206,'TL16'!$J$238:$J$451),0),
IF('TL17'!$B$3=O$3,SUMIF('TL17'!$C$10:$C$224,$C206,'TL17'!$J$10:$J$224),0),
IF('TL17'!$B$229=O$3,SUMIF('TL17'!$C$238:$C$451,$C206,'TL17'!$J$238:$J$451),0),
IF('TL18'!$B$3=O$3,SUMIF('TL18'!$C$10:$C$224,$C206,'TL18'!$J$10:$J$224),0),
IF('TL18'!$B$229=O$3,SUMIF('TL18'!$C$238:$C$451,$C206,'TL18'!$J$238:$J$451),0),
IF('TL19'!$B$3=O$3,SUMIF('TL19'!$C$10:$C$224,$C206,'TL19'!$J$10:$J$224),0),
IF('TL19'!$B$229=O$3,SUMIF('TL19'!$C$238:$C$451,$C206,'TL19'!$J$238:$J$451),0)
),0)</f>
        <v>0</v>
      </c>
      <c r="P206" s="9">
        <f>IFERROR(SUM(
IF('TL01'!$B$3=P$3,SUMIF('TL01'!$C$10:$C$224,$C206,'TL01'!$J$10:$J$224),0),
IF('TL01'!$B$229=P$3,SUMIF('TL01'!$C$238:$C$451,$C206,'TL01'!$J$238:$J$451),0),
IF('TL02'!$B$3=P$3,SUMIF('TL02'!$C$10:$C$224,$C206,'TL02'!$J$10:$J$224),0),
IF('TL02'!$B$229=P$3,SUMIF('TL02'!$C$238:$C$451,$C206,'TL02'!$J$238:$J$451),0),
IF('TL03'!$B$3=P$3,SUMIF('TL03'!$C$10:$C$224,$C206,'TL03'!$J$10:$J$224),0),
IF('TL03'!$B$229=P$3,SUMIF('TL03'!$C$238:$C$451,$C206,'TL03'!$J$238:$J$451),0),
IF('TL04'!$B$3=P$3,SUMIF('TL04'!$C$10:$C$224,$C206,'TL04'!$J$10:$J$224),0),
IF('TL04'!$B$229=P$3,SUMIF('TL04'!$C$238:$C$451,$C206,'TL04'!$J$238:$J$451),0),
IF('TL05'!$B$3=P$3,SUMIF('TL05'!$C$10:$C$224,$C206,'TL05'!$J$10:$J$224),0),
IF('TL05'!$B$229=P$3,SUMIF('TL05'!$C$238:$C$451,$C206,'TL05'!$J$238:$J$451),0),
IF('TL06'!$B$3=P$3,SUMIF('TL06'!$C$10:$C$224,$C206,'TL06'!$J$10:$J$224),0),
IF('TL06'!$B$229=P$3,SUMIF('TL06'!$C$238:$C$451,$C206,'TL06'!$J$238:$J$451),0),
IF('TL07'!$B$3=P$3,SUMIF('TL07'!$C$10:$C$224,$C206,'TL07'!$J$10:$J$224),0),
IF('TL07'!$B$229=P$3,SUMIF('TL07'!$C$238:$C$451,$C206,'TL07'!$J$238:$J$451),0),
IF('TL08'!$B$3=P$3,SUMIF('TL08'!$C$10:$C$224,$C206,'TL08'!$J$10:$J$224),0),
IF('TL08'!$B$229=P$3,SUMIF('TL08'!$C$238:$C$451,$C206,'TL08'!$J$238:$J$451),0),
IF('TL09'!$B$3=P$3,SUMIF('TL09'!$C$10:$C$224,$C206,'TL09'!$J$10:$J$224),0),
IF('TL09'!$B$229=P$3,SUMIF('TL09'!$C$238:$C$451,$C206,'TL09'!$J$238:$J$451),0),
IF('TL10'!$B$3=P$3,SUMIF('TL10'!$C$10:$C$224,$C206,'TL10'!$J$10:$J$224),0),
IF('TL10'!$B$229=P$3,SUMIF('TL10'!$C$238:$C$451,$C206,'TL10'!$J$238:$J$451),0),
IF('TL11'!$B$3=P$3,SUMIF('TL11'!$C$10:$C$224,$C206,'TL11'!$J$10:$J$224),0),
IF('TL11'!$B$229=P$3,SUMIF('TL11'!$C$238:$C$451,$C206,'TL11'!$J$238:$J$451),0),
IF('TL12'!$B$3=P$3,SUMIF('TL12'!$C$10:$C$224,$C206,'TL12'!$J$10:$J$224),0),
IF('TL12'!$B$229=P$3,SUMIF('TL12'!$C$238:$C$451,$C206,'TL12'!$J$238:$J$451),0),
IF('TL13'!$B$3=P$3,SUMIF('TL13'!$C$10:$C$224,$C206,'TL13'!$J$10:$J$224),0),
IF('TL13'!$B$229=P$3,SUMIF('TL13'!$C$238:$C$451,$C206,'TL13'!$J$238:$J$451),0),
IF('TL14'!$B$3=P$3,SUMIF('TL14'!$C$10:$C$224,$C206,'TL14'!$J$10:$J$224),0),
IF('TL14'!$B$229=P$3,SUMIF('TL14'!$C$238:$C$451,$C206,'TL14'!$J$238:$J$451),0),
IF('TL15'!$B$3=P$3,SUMIF('TL15'!$C$10:$C$224,$C206,'TL15'!$J$10:$J$224),0),
IF('TL15'!$B$229=P$3,SUMIF('TL15'!$C$238:$C$451,$C206,'TL15'!$J$238:$J$451),0),
IF('TL16'!$B$3=P$3,SUMIF('TL16'!$C$10:$C$224,$C206,'TL16'!$J$10:$J$224),0),
IF('TL16'!$B$229=P$3,SUMIF('TL16'!$C$238:$C$451,$C206,'TL16'!$J$238:$J$451),0),
IF('TL17'!$B$3=P$3,SUMIF('TL17'!$C$10:$C$224,$C206,'TL17'!$J$10:$J$224),0),
IF('TL17'!$B$229=P$3,SUMIF('TL17'!$C$238:$C$451,$C206,'TL17'!$J$238:$J$451),0),
IF('TL18'!$B$3=P$3,SUMIF('TL18'!$C$10:$C$224,$C206,'TL18'!$J$10:$J$224),0),
IF('TL18'!$B$229=P$3,SUMIF('TL18'!$C$238:$C$451,$C206,'TL18'!$J$238:$J$451),0),
IF('TL19'!$B$3=P$3,SUMIF('TL19'!$C$10:$C$224,$C206,'TL19'!$J$10:$J$224),0),
IF('TL19'!$B$229=P$3,SUMIF('TL19'!$C$238:$C$451,$C206,'TL19'!$J$238:$J$451),0)
),0)</f>
        <v>60.9</v>
      </c>
      <c r="Q206" s="9">
        <f>IFERROR(SUM(
IF('TL01'!$B$3=Q$3,SUMIF('TL01'!$C$10:$C$224,$C206,'TL01'!$J$10:$J$224),0),
IF('TL01'!$B$229=Q$3,SUMIF('TL01'!$C$238:$C$451,$C206,'TL01'!$J$238:$J$451),0),
IF('TL02'!$B$3=Q$3,SUMIF('TL02'!$C$10:$C$224,$C206,'TL02'!$J$10:$J$224),0),
IF('TL02'!$B$229=Q$3,SUMIF('TL02'!$C$238:$C$451,$C206,'TL02'!$J$238:$J$451),0),
IF('TL03'!$B$3=Q$3,SUMIF('TL03'!$C$10:$C$224,$C206,'TL03'!$J$10:$J$224),0),
IF('TL03'!$B$229=Q$3,SUMIF('TL03'!$C$238:$C$451,$C206,'TL03'!$J$238:$J$451),0),
IF('TL04'!$B$3=Q$3,SUMIF('TL04'!$C$10:$C$224,$C206,'TL04'!$J$10:$J$224),0),
IF('TL04'!$B$229=Q$3,SUMIF('TL04'!$C$238:$C$451,$C206,'TL04'!$J$238:$J$451),0),
IF('TL05'!$B$3=Q$3,SUMIF('TL05'!$C$10:$C$224,$C206,'TL05'!$J$10:$J$224),0),
IF('TL05'!$B$229=Q$3,SUMIF('TL05'!$C$238:$C$451,$C206,'TL05'!$J$238:$J$451),0),
IF('TL06'!$B$3=Q$3,SUMIF('TL06'!$C$10:$C$224,$C206,'TL06'!$J$10:$J$224),0),
IF('TL06'!$B$229=Q$3,SUMIF('TL06'!$C$238:$C$451,$C206,'TL06'!$J$238:$J$451),0),
IF('TL07'!$B$3=Q$3,SUMIF('TL07'!$C$10:$C$224,$C206,'TL07'!$J$10:$J$224),0),
IF('TL07'!$B$229=Q$3,SUMIF('TL07'!$C$238:$C$451,$C206,'TL07'!$J$238:$J$451),0),
IF('TL08'!$B$3=Q$3,SUMIF('TL08'!$C$10:$C$224,$C206,'TL08'!$J$10:$J$224),0),
IF('TL08'!$B$229=Q$3,SUMIF('TL08'!$C$238:$C$451,$C206,'TL08'!$J$238:$J$451),0),
IF('TL09'!$B$3=Q$3,SUMIF('TL09'!$C$10:$C$224,$C206,'TL09'!$J$10:$J$224),0),
IF('TL09'!$B$229=Q$3,SUMIF('TL09'!$C$238:$C$451,$C206,'TL09'!$J$238:$J$451),0),
IF('TL10'!$B$3=Q$3,SUMIF('TL10'!$C$10:$C$224,$C206,'TL10'!$J$10:$J$224),0),
IF('TL10'!$B$229=Q$3,SUMIF('TL10'!$C$238:$C$451,$C206,'TL10'!$J$238:$J$451),0),
IF('TL11'!$B$3=Q$3,SUMIF('TL11'!$C$10:$C$224,$C206,'TL11'!$J$10:$J$224),0),
IF('TL11'!$B$229=Q$3,SUMIF('TL11'!$C$238:$C$451,$C206,'TL11'!$J$238:$J$451),0),
IF('TL12'!$B$3=Q$3,SUMIF('TL12'!$C$10:$C$224,$C206,'TL12'!$J$10:$J$224),0),
IF('TL12'!$B$229=Q$3,SUMIF('TL12'!$C$238:$C$451,$C206,'TL12'!$J$238:$J$451),0),
IF('TL13'!$B$3=Q$3,SUMIF('TL13'!$C$10:$C$224,$C206,'TL13'!$J$10:$J$224),0),
IF('TL13'!$B$229=Q$3,SUMIF('TL13'!$C$238:$C$451,$C206,'TL13'!$J$238:$J$451),0),
IF('TL14'!$B$3=Q$3,SUMIF('TL14'!$C$10:$C$224,$C206,'TL14'!$J$10:$J$224),0),
IF('TL14'!$B$229=Q$3,SUMIF('TL14'!$C$238:$C$451,$C206,'TL14'!$J$238:$J$451),0),
IF('TL15'!$B$3=Q$3,SUMIF('TL15'!$C$10:$C$224,$C206,'TL15'!$J$10:$J$224),0),
IF('TL15'!$B$229=Q$3,SUMIF('TL15'!$C$238:$C$451,$C206,'TL15'!$J$238:$J$451),0),
IF('TL16'!$B$3=Q$3,SUMIF('TL16'!$C$10:$C$224,$C206,'TL16'!$J$10:$J$224),0),
IF('TL16'!$B$229=Q$3,SUMIF('TL16'!$C$238:$C$451,$C206,'TL16'!$J$238:$J$451),0),
IF('TL17'!$B$3=Q$3,SUMIF('TL17'!$C$10:$C$224,$C206,'TL17'!$J$10:$J$224),0),
IF('TL17'!$B$229=Q$3,SUMIF('TL17'!$C$238:$C$451,$C206,'TL17'!$J$238:$J$451),0),
IF('TL18'!$B$3=Q$3,SUMIF('TL18'!$C$10:$C$224,$C206,'TL18'!$J$10:$J$224),0),
IF('TL18'!$B$229=Q$3,SUMIF('TL18'!$C$238:$C$451,$C206,'TL18'!$J$238:$J$451),0),
IF('TL19'!$B$3=Q$3,SUMIF('TL19'!$C$10:$C$224,$C206,'TL19'!$J$10:$J$224),0),
IF('TL19'!$B$229=Q$3,SUMIF('TL19'!$C$238:$C$451,$C206,'TL19'!$J$238:$J$451),0)
),0)</f>
        <v>16</v>
      </c>
      <c r="R206" s="9">
        <f>IFERROR(
SUM(
SUMIF('TL01'!C:C,C206,'TL01'!J:J),
SUMIF('TL02'!C:C,C206,'TL02'!J:J),
SUMIF('TL03'!C:C,C206,'TL03'!J:J),
SUMIF('TL04'!C:C,C206,'TL04'!J:J),
SUMIF('TL05'!C:C,C206,'TL05'!J:J),
SUMIF('TL06'!C:C,C206,'TL06'!J:J),
SUMIF('TL07'!C:C,C206,'TL07'!J:J),
SUMIF('TL08'!C:C,C206,'TL08'!J:J),
SUMIF('TL09'!C:C,C206,'TL09'!J:J),
SUMIF('TL10'!C:C,C206,'TL10'!J:J),
SUMIF('TL11'!C:C,C206,'TL11'!J:J),
SUMIF('TL12'!C:C,C206,'TL12'!J:J),
SUMIF('TL13'!C:C,C206,'TL13'!J:J),
SUMIF('TL14'!C:C,C206,'TL14'!J:J),
SUMIF('TL15'!C:C,C206,'TL15'!J:J),
SUMIF('TL16'!C:C,C206,'TL16'!J:J),
SUMIF('TL17'!C:C,C206,'TL17'!J:J),
SUMIF('TL18'!C:C,C206,'TL18'!J:J),SUMIF('TL19'!C:C,C206,'TL19'!J:J))
,0)</f>
        <v>102.9</v>
      </c>
      <c r="S206" s="17">
        <f>IFERROR(__xludf.DUMMYFUNCTION("IFERROR(VLOOKUP(C206,
IMPORTRANGE(""1wULbzX32WdYsx-lj2U3uUNBBe2INVIRDtcK0d-Dvl90"",
""26-27!C:G""),
5,
FALSE),
"""")"),61.52838)</f>
        <v>61.52838</v>
      </c>
      <c r="T206" s="9">
        <v>230.0</v>
      </c>
      <c r="U206" s="92">
        <f t="shared" si="2"/>
        <v>-127.1</v>
      </c>
      <c r="V206" s="93">
        <f t="shared" si="3"/>
        <v>-7820.257098</v>
      </c>
    </row>
    <row r="207" ht="15.75" hidden="1" customHeight="1">
      <c r="A207" s="94" t="s">
        <v>378</v>
      </c>
      <c r="B207" s="95" t="s">
        <v>2</v>
      </c>
      <c r="C207" s="96" t="s">
        <v>831</v>
      </c>
      <c r="D207" s="96" t="s">
        <v>814</v>
      </c>
      <c r="E207" s="96">
        <v>200.0</v>
      </c>
      <c r="F207" s="4" t="s">
        <v>343</v>
      </c>
      <c r="G207" s="90" t="str">
        <f t="shared" si="4"/>
        <v>📄 Ver bula</v>
      </c>
      <c r="H207" s="9">
        <f>IFERROR(__xludf.DUMMYFUNCTION("IFERROR(VLOOKUP(C207,
IMPORTRANGE(""1wULbzX32WdYsx-lj2U3uUNBBe2INVIRDtcK0d-Dvl90"",
""26-27!C:K""),
8,
FALSE),
"""")"),0.2)</f>
        <v>0.2</v>
      </c>
      <c r="I207" s="97" t="s">
        <v>382</v>
      </c>
      <c r="J207" s="9">
        <f>IFERROR(SUM(
IF('TL01'!$B$3=J$3,SUMIF('TL01'!$C$10:$C$224,$C207,'TL01'!$J$10:$J$224),0),
IF('TL01'!$B$229=J$3,SUMIF('TL01'!$C$238:$C$451,$C207,'TL01'!$J$238:$J$451),0),
IF('TL02'!$B$3=J$3,SUMIF('TL02'!$C$10:$C$224,$C207,'TL02'!$J$10:$J$224),0),
IF('TL02'!$B$229=J$3,SUMIF('TL02'!$C$238:$C$451,$C207,'TL02'!$J$238:$J$451),0),
IF('TL03'!$B$3=J$3,SUMIF('TL03'!$C$10:$C$224,$C207,'TL03'!$J$10:$J$224),0),
IF('TL03'!$B$229=J$3,SUMIF('TL03'!$C$238:$C$451,$C207,'TL03'!$J$238:$J$451),0),
IF('TL04'!$B$3=J$3,SUMIF('TL04'!$C$10:$C$224,$C207,'TL04'!$J$10:$J$224),0),
IF('TL04'!$B$229=J$3,SUMIF('TL04'!$C$238:$C$451,$C207,'TL04'!$J$238:$J$451),0),
IF('TL05'!$B$3=J$3,SUMIF('TL05'!$C$10:$C$224,$C207,'TL05'!$J$10:$J$224),0),
IF('TL05'!$B$229=J$3,SUMIF('TL05'!$C$238:$C$451,$C207,'TL05'!$J$238:$J$451),0),
IF('TL06'!$B$3=J$3,SUMIF('TL06'!$C$10:$C$224,$C207,'TL06'!$J$10:$J$224),0),
IF('TL06'!$B$229=J$3,SUMIF('TL06'!$C$238:$C$451,$C207,'TL06'!$J$238:$J$451),0),
IF('TL07'!$B$3=J$3,SUMIF('TL07'!$C$10:$C$224,$C207,'TL07'!$J$10:$J$224),0),
IF('TL07'!$B$229=J$3,SUMIF('TL07'!$C$238:$C$451,$C207,'TL07'!$J$238:$J$451),0),
IF('TL08'!$B$3=J$3,SUMIF('TL08'!$C$10:$C$224,$C207,'TL08'!$J$10:$J$224),0),
IF('TL08'!$B$229=J$3,SUMIF('TL08'!$C$238:$C$451,$C207,'TL08'!$J$238:$J$451),0),
IF('TL09'!$B$3=J$3,SUMIF('TL09'!$C$10:$C$224,$C207,'TL09'!$J$10:$J$224),0),
IF('TL09'!$B$229=J$3,SUMIF('TL09'!$C$238:$C$451,$C207,'TL09'!$J$238:$J$451),0),
IF('TL10'!$B$3=J$3,SUMIF('TL10'!$C$10:$C$224,$C207,'TL10'!$J$10:$J$224),0),
IF('TL10'!$B$229=J$3,SUMIF('TL10'!$C$238:$C$451,$C207,'TL10'!$J$238:$J$451),0),
IF('TL11'!$B$3=J$3,SUMIF('TL11'!$C$10:$C$224,$C207,'TL11'!$J$10:$J$224),0),
IF('TL11'!$B$229=J$3,SUMIF('TL11'!$C$238:$C$451,$C207,'TL11'!$J$238:$J$451),0),
IF('TL12'!$B$3=J$3,SUMIF('TL12'!$C$10:$C$224,$C207,'TL12'!$J$10:$J$224),0),
IF('TL12'!$B$229=J$3,SUMIF('TL12'!$C$238:$C$451,$C207,'TL12'!$J$238:$J$451),0),
IF('TL13'!$B$3=J$3,SUMIF('TL13'!$C$10:$C$224,$C207,'TL13'!$J$10:$J$224),0),
IF('TL13'!$B$229=J$3,SUMIF('TL13'!$C$238:$C$451,$C207,'TL13'!$J$238:$J$451),0),
IF('TL14'!$B$3=J$3,SUMIF('TL14'!$C$10:$C$224,$C207,'TL14'!$J$10:$J$224),0),
IF('TL14'!$B$229=J$3,SUMIF('TL14'!$C$238:$C$451,$C207,'TL14'!$J$238:$J$451),0),
IF('TL15'!$B$3=J$3,SUMIF('TL15'!$C$10:$C$224,$C207,'TL15'!$J$10:$J$224),0),
IF('TL15'!$B$229=J$3,SUMIF('TL15'!$C$238:$C$451,$C207,'TL15'!$J$238:$J$451),0),
IF('TL16'!$B$3=J$3,SUMIF('TL16'!$C$10:$C$224,$C207,'TL16'!$J$10:$J$224),0),
IF('TL16'!$B$229=J$3,SUMIF('TL16'!$C$238:$C$451,$C207,'TL16'!$J$238:$J$451),0),
IF('TL17'!$B$3=J$3,SUMIF('TL17'!$C$10:$C$224,$C207,'TL17'!$J$10:$J$224),0),
IF('TL17'!$B$229=J$3,SUMIF('TL17'!$C$238:$C$451,$C207,'TL17'!$J$238:$J$451),0),
IF('TL18'!$B$3=J$3,SUMIF('TL18'!$C$10:$C$224,$C207,'TL18'!$J$10:$J$224),0),
IF('TL18'!$B$229=J$3,SUMIF('TL18'!$C$238:$C$451,$C207,'TL18'!$J$238:$J$451),0),
IF('TL19'!$B$3=J$3,SUMIF('TL19'!$C$10:$C$224,$C207,'TL19'!$J$10:$J$224),0),
IF('TL19'!$B$229=J$3,SUMIF('TL19'!$C$238:$C$451,$C207,'TL19'!$J$238:$J$451),0)
),0)</f>
        <v>0</v>
      </c>
      <c r="K207" s="9">
        <f>IFERROR(SUM(
IF('TL01'!$B$3=K$3,SUMIF('TL01'!$C$10:$C$224,$C207,'TL01'!$J$10:$J$224),0),
IF('TL01'!$B$229=K$3,SUMIF('TL01'!$C$238:$C$451,$C207,'TL01'!$J$238:$J$451),0),
IF('TL02'!$B$3=K$3,SUMIF('TL02'!$C$10:$C$224,$C207,'TL02'!$J$10:$J$224),0),
IF('TL02'!$B$229=K$3,SUMIF('TL02'!$C$238:$C$451,$C207,'TL02'!$J$238:$J$451),0),
IF('TL03'!$B$3=K$3,SUMIF('TL03'!$C$10:$C$224,$C207,'TL03'!$J$10:$J$224),0),
IF('TL03'!$B$229=K$3,SUMIF('TL03'!$C$238:$C$451,$C207,'TL03'!$J$238:$J$451),0),
IF('TL04'!$B$3=K$3,SUMIF('TL04'!$C$10:$C$224,$C207,'TL04'!$J$10:$J$224),0),
IF('TL04'!$B$229=K$3,SUMIF('TL04'!$C$238:$C$451,$C207,'TL04'!$J$238:$J$451),0),
IF('TL05'!$B$3=K$3,SUMIF('TL05'!$C$10:$C$224,$C207,'TL05'!$J$10:$J$224),0),
IF('TL05'!$B$229=K$3,SUMIF('TL05'!$C$238:$C$451,$C207,'TL05'!$J$238:$J$451),0),
IF('TL06'!$B$3=K$3,SUMIF('TL06'!$C$10:$C$224,$C207,'TL06'!$J$10:$J$224),0),
IF('TL06'!$B$229=K$3,SUMIF('TL06'!$C$238:$C$451,$C207,'TL06'!$J$238:$J$451),0),
IF('TL07'!$B$3=K$3,SUMIF('TL07'!$C$10:$C$224,$C207,'TL07'!$J$10:$J$224),0),
IF('TL07'!$B$229=K$3,SUMIF('TL07'!$C$238:$C$451,$C207,'TL07'!$J$238:$J$451),0),
IF('TL08'!$B$3=K$3,SUMIF('TL08'!$C$10:$C$224,$C207,'TL08'!$J$10:$J$224),0),
IF('TL08'!$B$229=K$3,SUMIF('TL08'!$C$238:$C$451,$C207,'TL08'!$J$238:$J$451),0),
IF('TL09'!$B$3=K$3,SUMIF('TL09'!$C$10:$C$224,$C207,'TL09'!$J$10:$J$224),0),
IF('TL09'!$B$229=K$3,SUMIF('TL09'!$C$238:$C$451,$C207,'TL09'!$J$238:$J$451),0),
IF('TL10'!$B$3=K$3,SUMIF('TL10'!$C$10:$C$224,$C207,'TL10'!$J$10:$J$224),0),
IF('TL10'!$B$229=K$3,SUMIF('TL10'!$C$238:$C$451,$C207,'TL10'!$J$238:$J$451),0),
IF('TL11'!$B$3=K$3,SUMIF('TL11'!$C$10:$C$224,$C207,'TL11'!$J$10:$J$224),0),
IF('TL11'!$B$229=K$3,SUMIF('TL11'!$C$238:$C$451,$C207,'TL11'!$J$238:$J$451),0),
IF('TL12'!$B$3=K$3,SUMIF('TL12'!$C$10:$C$224,$C207,'TL12'!$J$10:$J$224),0),
IF('TL12'!$B$229=K$3,SUMIF('TL12'!$C$238:$C$451,$C207,'TL12'!$J$238:$J$451),0),
IF('TL13'!$B$3=K$3,SUMIF('TL13'!$C$10:$C$224,$C207,'TL13'!$J$10:$J$224),0),
IF('TL13'!$B$229=K$3,SUMIF('TL13'!$C$238:$C$451,$C207,'TL13'!$J$238:$J$451),0),
IF('TL14'!$B$3=K$3,SUMIF('TL14'!$C$10:$C$224,$C207,'TL14'!$J$10:$J$224),0),
IF('TL14'!$B$229=K$3,SUMIF('TL14'!$C$238:$C$451,$C207,'TL14'!$J$238:$J$451),0),
IF('TL15'!$B$3=K$3,SUMIF('TL15'!$C$10:$C$224,$C207,'TL15'!$J$10:$J$224),0),
IF('TL15'!$B$229=K$3,SUMIF('TL15'!$C$238:$C$451,$C207,'TL15'!$J$238:$J$451),0),
IF('TL16'!$B$3=K$3,SUMIF('TL16'!$C$10:$C$224,$C207,'TL16'!$J$10:$J$224),0),
IF('TL16'!$B$229=K$3,SUMIF('TL16'!$C$238:$C$451,$C207,'TL16'!$J$238:$J$451),0),
IF('TL17'!$B$3=K$3,SUMIF('TL17'!$C$10:$C$224,$C207,'TL17'!$J$10:$J$224),0),
IF('TL17'!$B$229=K$3,SUMIF('TL17'!$C$238:$C$451,$C207,'TL17'!$J$238:$J$451),0),
IF('TL18'!$B$3=K$3,SUMIF('TL18'!$C$10:$C$224,$C207,'TL18'!$J$10:$J$224),0),
IF('TL18'!$B$229=K$3,SUMIF('TL18'!$C$238:$C$451,$C207,'TL18'!$J$238:$J$451),0),
IF('TL19'!$B$3=K$3,SUMIF('TL19'!$C$10:$C$224,$C207,'TL19'!$J$10:$J$224),0),
IF('TL19'!$B$229=K$3,SUMIF('TL19'!$C$238:$C$451,$C207,'TL19'!$J$238:$J$451),0)
),0)</f>
        <v>0</v>
      </c>
      <c r="L207" s="9">
        <f>IFERROR(SUM(
IF('TL01'!$B$3=L$3,SUMIF('TL01'!$C$10:$C$224,$C207,'TL01'!$J$10:$J$224),0),
IF('TL01'!$B$229=L$3,SUMIF('TL01'!$C$238:$C$451,$C207,'TL01'!$J$238:$J$451),0),
IF('TL02'!$B$3=L$3,SUMIF('TL02'!$C$10:$C$224,$C207,'TL02'!$J$10:$J$224),0),
IF('TL02'!$B$229=L$3,SUMIF('TL02'!$C$238:$C$451,$C207,'TL02'!$J$238:$J$451),0),
IF('TL03'!$B$3=L$3,SUMIF('TL03'!$C$10:$C$224,$C207,'TL03'!$J$10:$J$224),0),
IF('TL03'!$B$229=L$3,SUMIF('TL03'!$C$238:$C$451,$C207,'TL03'!$J$238:$J$451),0),
IF('TL04'!$B$3=L$3,SUMIF('TL04'!$C$10:$C$224,$C207,'TL04'!$J$10:$J$224),0),
IF('TL04'!$B$229=L$3,SUMIF('TL04'!$C$238:$C$451,$C207,'TL04'!$J$238:$J$451),0),
IF('TL05'!$B$3=L$3,SUMIF('TL05'!$C$10:$C$224,$C207,'TL05'!$J$10:$J$224),0),
IF('TL05'!$B$229=L$3,SUMIF('TL05'!$C$238:$C$451,$C207,'TL05'!$J$238:$J$451),0),
IF('TL06'!$B$3=L$3,SUMIF('TL06'!$C$10:$C$224,$C207,'TL06'!$J$10:$J$224),0),
IF('TL06'!$B$229=L$3,SUMIF('TL06'!$C$238:$C$451,$C207,'TL06'!$J$238:$J$451),0),
IF('TL07'!$B$3=L$3,SUMIF('TL07'!$C$10:$C$224,$C207,'TL07'!$J$10:$J$224),0),
IF('TL07'!$B$229=L$3,SUMIF('TL07'!$C$238:$C$451,$C207,'TL07'!$J$238:$J$451),0),
IF('TL08'!$B$3=L$3,SUMIF('TL08'!$C$10:$C$224,$C207,'TL08'!$J$10:$J$224),0),
IF('TL08'!$B$229=L$3,SUMIF('TL08'!$C$238:$C$451,$C207,'TL08'!$J$238:$J$451),0),
IF('TL09'!$B$3=L$3,SUMIF('TL09'!$C$10:$C$224,$C207,'TL09'!$J$10:$J$224),0),
IF('TL09'!$B$229=L$3,SUMIF('TL09'!$C$238:$C$451,$C207,'TL09'!$J$238:$J$451),0),
IF('TL10'!$B$3=L$3,SUMIF('TL10'!$C$10:$C$224,$C207,'TL10'!$J$10:$J$224),0),
IF('TL10'!$B$229=L$3,SUMIF('TL10'!$C$238:$C$451,$C207,'TL10'!$J$238:$J$451),0),
IF('TL11'!$B$3=L$3,SUMIF('TL11'!$C$10:$C$224,$C207,'TL11'!$J$10:$J$224),0),
IF('TL11'!$B$229=L$3,SUMIF('TL11'!$C$238:$C$451,$C207,'TL11'!$J$238:$J$451),0),
IF('TL12'!$B$3=L$3,SUMIF('TL12'!$C$10:$C$224,$C207,'TL12'!$J$10:$J$224),0),
IF('TL12'!$B$229=L$3,SUMIF('TL12'!$C$238:$C$451,$C207,'TL12'!$J$238:$J$451),0),
IF('TL13'!$B$3=L$3,SUMIF('TL13'!$C$10:$C$224,$C207,'TL13'!$J$10:$J$224),0),
IF('TL13'!$B$229=L$3,SUMIF('TL13'!$C$238:$C$451,$C207,'TL13'!$J$238:$J$451),0),
IF('TL14'!$B$3=L$3,SUMIF('TL14'!$C$10:$C$224,$C207,'TL14'!$J$10:$J$224),0),
IF('TL14'!$B$229=L$3,SUMIF('TL14'!$C$238:$C$451,$C207,'TL14'!$J$238:$J$451),0),
IF('TL15'!$B$3=L$3,SUMIF('TL15'!$C$10:$C$224,$C207,'TL15'!$J$10:$J$224),0),
IF('TL15'!$B$229=L$3,SUMIF('TL15'!$C$238:$C$451,$C207,'TL15'!$J$238:$J$451),0),
IF('TL16'!$B$3=L$3,SUMIF('TL16'!$C$10:$C$224,$C207,'TL16'!$J$10:$J$224),0),
IF('TL16'!$B$229=L$3,SUMIF('TL16'!$C$238:$C$451,$C207,'TL16'!$J$238:$J$451),0),
IF('TL17'!$B$3=L$3,SUMIF('TL17'!$C$10:$C$224,$C207,'TL17'!$J$10:$J$224),0),
IF('TL17'!$B$229=L$3,SUMIF('TL17'!$C$238:$C$451,$C207,'TL17'!$J$238:$J$451),0),
IF('TL18'!$B$3=L$3,SUMIF('TL18'!$C$10:$C$224,$C207,'TL18'!$J$10:$J$224),0),
IF('TL18'!$B$229=L$3,SUMIF('TL18'!$C$238:$C$451,$C207,'TL18'!$J$238:$J$451),0),
IF('TL19'!$B$3=L$3,SUMIF('TL19'!$C$10:$C$224,$C207,'TL19'!$J$10:$J$224),0),
IF('TL19'!$B$229=L$3,SUMIF('TL19'!$C$238:$C$451,$C207,'TL19'!$J$238:$J$451),0)
),0)</f>
        <v>0</v>
      </c>
      <c r="M207" s="9">
        <f>IFERROR(SUM(
IF('TL01'!$B$3=M$3,SUMIF('TL01'!$C$10:$C$224,$C207,'TL01'!$J$10:$J$224),0),
IF('TL01'!$B$229=M$3,SUMIF('TL01'!$C$238:$C$451,$C207,'TL01'!$J$238:$J$451),0),
IF('TL02'!$B$3=M$3,SUMIF('TL02'!$C$10:$C$224,$C207,'TL02'!$J$10:$J$224),0),
IF('TL02'!$B$229=M$3,SUMIF('TL02'!$C$238:$C$451,$C207,'TL02'!$J$238:$J$451),0),
IF('TL03'!$B$3=M$3,SUMIF('TL03'!$C$10:$C$224,$C207,'TL03'!$J$10:$J$224),0),
IF('TL03'!$B$229=M$3,SUMIF('TL03'!$C$238:$C$451,$C207,'TL03'!$J$238:$J$451),0),
IF('TL04'!$B$3=M$3,SUMIF('TL04'!$C$10:$C$224,$C207,'TL04'!$J$10:$J$224),0),
IF('TL04'!$B$229=M$3,SUMIF('TL04'!$C$238:$C$451,$C207,'TL04'!$J$238:$J$451),0),
IF('TL05'!$B$3=M$3,SUMIF('TL05'!$C$10:$C$224,$C207,'TL05'!$J$10:$J$224),0),
IF('TL05'!$B$229=M$3,SUMIF('TL05'!$C$238:$C$451,$C207,'TL05'!$J$238:$J$451),0),
IF('TL06'!$B$3=M$3,SUMIF('TL06'!$C$10:$C$224,$C207,'TL06'!$J$10:$J$224),0),
IF('TL06'!$B$229=M$3,SUMIF('TL06'!$C$238:$C$451,$C207,'TL06'!$J$238:$J$451),0),
IF('TL07'!$B$3=M$3,SUMIF('TL07'!$C$10:$C$224,$C207,'TL07'!$J$10:$J$224),0),
IF('TL07'!$B$229=M$3,SUMIF('TL07'!$C$238:$C$451,$C207,'TL07'!$J$238:$J$451),0),
IF('TL08'!$B$3=M$3,SUMIF('TL08'!$C$10:$C$224,$C207,'TL08'!$J$10:$J$224),0),
IF('TL08'!$B$229=M$3,SUMIF('TL08'!$C$238:$C$451,$C207,'TL08'!$J$238:$J$451),0),
IF('TL09'!$B$3=M$3,SUMIF('TL09'!$C$10:$C$224,$C207,'TL09'!$J$10:$J$224),0),
IF('TL09'!$B$229=M$3,SUMIF('TL09'!$C$238:$C$451,$C207,'TL09'!$J$238:$J$451),0),
IF('TL10'!$B$3=M$3,SUMIF('TL10'!$C$10:$C$224,$C207,'TL10'!$J$10:$J$224),0),
IF('TL10'!$B$229=M$3,SUMIF('TL10'!$C$238:$C$451,$C207,'TL10'!$J$238:$J$451),0),
IF('TL11'!$B$3=M$3,SUMIF('TL11'!$C$10:$C$224,$C207,'TL11'!$J$10:$J$224),0),
IF('TL11'!$B$229=M$3,SUMIF('TL11'!$C$238:$C$451,$C207,'TL11'!$J$238:$J$451),0),
IF('TL12'!$B$3=M$3,SUMIF('TL12'!$C$10:$C$224,$C207,'TL12'!$J$10:$J$224),0),
IF('TL12'!$B$229=M$3,SUMIF('TL12'!$C$238:$C$451,$C207,'TL12'!$J$238:$J$451),0),
IF('TL13'!$B$3=M$3,SUMIF('TL13'!$C$10:$C$224,$C207,'TL13'!$J$10:$J$224),0),
IF('TL13'!$B$229=M$3,SUMIF('TL13'!$C$238:$C$451,$C207,'TL13'!$J$238:$J$451),0),
IF('TL14'!$B$3=M$3,SUMIF('TL14'!$C$10:$C$224,$C207,'TL14'!$J$10:$J$224),0),
IF('TL14'!$B$229=M$3,SUMIF('TL14'!$C$238:$C$451,$C207,'TL14'!$J$238:$J$451),0),
IF('TL15'!$B$3=M$3,SUMIF('TL15'!$C$10:$C$224,$C207,'TL15'!$J$10:$J$224),0),
IF('TL15'!$B$229=M$3,SUMIF('TL15'!$C$238:$C$451,$C207,'TL15'!$J$238:$J$451),0),
IF('TL16'!$B$3=M$3,SUMIF('TL16'!$C$10:$C$224,$C207,'TL16'!$J$10:$J$224),0),
IF('TL16'!$B$229=M$3,SUMIF('TL16'!$C$238:$C$451,$C207,'TL16'!$J$238:$J$451),0),
IF('TL17'!$B$3=M$3,SUMIF('TL17'!$C$10:$C$224,$C207,'TL17'!$J$10:$J$224),0),
IF('TL17'!$B$229=M$3,SUMIF('TL17'!$C$238:$C$451,$C207,'TL17'!$J$238:$J$451),0),
IF('TL18'!$B$3=M$3,SUMIF('TL18'!$C$10:$C$224,$C207,'TL18'!$J$10:$J$224),0),
IF('TL18'!$B$229=M$3,SUMIF('TL18'!$C$238:$C$451,$C207,'TL18'!$J$238:$J$451),0),
IF('TL19'!$B$3=M$3,SUMIF('TL19'!$C$10:$C$224,$C207,'TL19'!$J$10:$J$224),0),
IF('TL19'!$B$229=M$3,SUMIF('TL19'!$C$238:$C$451,$C207,'TL19'!$J$238:$J$451),0)
),0)</f>
        <v>0</v>
      </c>
      <c r="N207" s="9">
        <f>IFERROR(SUM(
IF('TL01'!$B$3=N$3,SUMIF('TL01'!$C$10:$C$224,$C207,'TL01'!$J$10:$J$224),0),
IF('TL01'!$B$229=N$3,SUMIF('TL01'!$C$238:$C$451,$C207,'TL01'!$J$238:$J$451),0),
IF('TL02'!$B$3=N$3,SUMIF('TL02'!$C$10:$C$224,$C207,'TL02'!$J$10:$J$224),0),
IF('TL02'!$B$229=N$3,SUMIF('TL02'!$C$238:$C$451,$C207,'TL02'!$J$238:$J$451),0),
IF('TL03'!$B$3=N$3,SUMIF('TL03'!$C$10:$C$224,$C207,'TL03'!$J$10:$J$224),0),
IF('TL03'!$B$229=N$3,SUMIF('TL03'!$C$238:$C$451,$C207,'TL03'!$J$238:$J$451),0),
IF('TL04'!$B$3=N$3,SUMIF('TL04'!$C$10:$C$224,$C207,'TL04'!$J$10:$J$224),0),
IF('TL04'!$B$229=N$3,SUMIF('TL04'!$C$238:$C$451,$C207,'TL04'!$J$238:$J$451),0),
IF('TL05'!$B$3=N$3,SUMIF('TL05'!$C$10:$C$224,$C207,'TL05'!$J$10:$J$224),0),
IF('TL05'!$B$229=N$3,SUMIF('TL05'!$C$238:$C$451,$C207,'TL05'!$J$238:$J$451),0),
IF('TL06'!$B$3=N$3,SUMIF('TL06'!$C$10:$C$224,$C207,'TL06'!$J$10:$J$224),0),
IF('TL06'!$B$229=N$3,SUMIF('TL06'!$C$238:$C$451,$C207,'TL06'!$J$238:$J$451),0),
IF('TL07'!$B$3=N$3,SUMIF('TL07'!$C$10:$C$224,$C207,'TL07'!$J$10:$J$224),0),
IF('TL07'!$B$229=N$3,SUMIF('TL07'!$C$238:$C$451,$C207,'TL07'!$J$238:$J$451),0),
IF('TL08'!$B$3=N$3,SUMIF('TL08'!$C$10:$C$224,$C207,'TL08'!$J$10:$J$224),0),
IF('TL08'!$B$229=N$3,SUMIF('TL08'!$C$238:$C$451,$C207,'TL08'!$J$238:$J$451),0),
IF('TL09'!$B$3=N$3,SUMIF('TL09'!$C$10:$C$224,$C207,'TL09'!$J$10:$J$224),0),
IF('TL09'!$B$229=N$3,SUMIF('TL09'!$C$238:$C$451,$C207,'TL09'!$J$238:$J$451),0),
IF('TL10'!$B$3=N$3,SUMIF('TL10'!$C$10:$C$224,$C207,'TL10'!$J$10:$J$224),0),
IF('TL10'!$B$229=N$3,SUMIF('TL10'!$C$238:$C$451,$C207,'TL10'!$J$238:$J$451),0),
IF('TL11'!$B$3=N$3,SUMIF('TL11'!$C$10:$C$224,$C207,'TL11'!$J$10:$J$224),0),
IF('TL11'!$B$229=N$3,SUMIF('TL11'!$C$238:$C$451,$C207,'TL11'!$J$238:$J$451),0),
IF('TL12'!$B$3=N$3,SUMIF('TL12'!$C$10:$C$224,$C207,'TL12'!$J$10:$J$224),0),
IF('TL12'!$B$229=N$3,SUMIF('TL12'!$C$238:$C$451,$C207,'TL12'!$J$238:$J$451),0),
IF('TL13'!$B$3=N$3,SUMIF('TL13'!$C$10:$C$224,$C207,'TL13'!$J$10:$J$224),0),
IF('TL13'!$B$229=N$3,SUMIF('TL13'!$C$238:$C$451,$C207,'TL13'!$J$238:$J$451),0),
IF('TL14'!$B$3=N$3,SUMIF('TL14'!$C$10:$C$224,$C207,'TL14'!$J$10:$J$224),0),
IF('TL14'!$B$229=N$3,SUMIF('TL14'!$C$238:$C$451,$C207,'TL14'!$J$238:$J$451),0),
IF('TL15'!$B$3=N$3,SUMIF('TL15'!$C$10:$C$224,$C207,'TL15'!$J$10:$J$224),0),
IF('TL15'!$B$229=N$3,SUMIF('TL15'!$C$238:$C$451,$C207,'TL15'!$J$238:$J$451),0),
IF('TL16'!$B$3=N$3,SUMIF('TL16'!$C$10:$C$224,$C207,'TL16'!$J$10:$J$224),0),
IF('TL16'!$B$229=N$3,SUMIF('TL16'!$C$238:$C$451,$C207,'TL16'!$J$238:$J$451),0),
IF('TL17'!$B$3=N$3,SUMIF('TL17'!$C$10:$C$224,$C207,'TL17'!$J$10:$J$224),0),
IF('TL17'!$B$229=N$3,SUMIF('TL17'!$C$238:$C$451,$C207,'TL17'!$J$238:$J$451),0),
IF('TL18'!$B$3=N$3,SUMIF('TL18'!$C$10:$C$224,$C207,'TL18'!$J$10:$J$224),0),
IF('TL18'!$B$229=N$3,SUMIF('TL18'!$C$238:$C$451,$C207,'TL18'!$J$238:$J$451),0),
IF('TL19'!$B$3=N$3,SUMIF('TL19'!$C$10:$C$224,$C207,'TL19'!$J$10:$J$224),0),
IF('TL19'!$B$229=N$3,SUMIF('TL19'!$C$238:$C$451,$C207,'TL19'!$J$238:$J$451),0)
),0)</f>
        <v>0</v>
      </c>
      <c r="O207" s="9">
        <f>IFERROR(SUM(
IF('TL01'!$B$3=O$3,SUMIF('TL01'!$C$10:$C$224,$C207,'TL01'!$J$10:$J$224),0),
IF('TL01'!$B$229=O$3,SUMIF('TL01'!$C$238:$C$451,$C207,'TL01'!$J$238:$J$451),0),
IF('TL02'!$B$3=O$3,SUMIF('TL02'!$C$10:$C$224,$C207,'TL02'!$J$10:$J$224),0),
IF('TL02'!$B$229=O$3,SUMIF('TL02'!$C$238:$C$451,$C207,'TL02'!$J$238:$J$451),0),
IF('TL03'!$B$3=O$3,SUMIF('TL03'!$C$10:$C$224,$C207,'TL03'!$J$10:$J$224),0),
IF('TL03'!$B$229=O$3,SUMIF('TL03'!$C$238:$C$451,$C207,'TL03'!$J$238:$J$451),0),
IF('TL04'!$B$3=O$3,SUMIF('TL04'!$C$10:$C$224,$C207,'TL04'!$J$10:$J$224),0),
IF('TL04'!$B$229=O$3,SUMIF('TL04'!$C$238:$C$451,$C207,'TL04'!$J$238:$J$451),0),
IF('TL05'!$B$3=O$3,SUMIF('TL05'!$C$10:$C$224,$C207,'TL05'!$J$10:$J$224),0),
IF('TL05'!$B$229=O$3,SUMIF('TL05'!$C$238:$C$451,$C207,'TL05'!$J$238:$J$451),0),
IF('TL06'!$B$3=O$3,SUMIF('TL06'!$C$10:$C$224,$C207,'TL06'!$J$10:$J$224),0),
IF('TL06'!$B$229=O$3,SUMIF('TL06'!$C$238:$C$451,$C207,'TL06'!$J$238:$J$451),0),
IF('TL07'!$B$3=O$3,SUMIF('TL07'!$C$10:$C$224,$C207,'TL07'!$J$10:$J$224),0),
IF('TL07'!$B$229=O$3,SUMIF('TL07'!$C$238:$C$451,$C207,'TL07'!$J$238:$J$451),0),
IF('TL08'!$B$3=O$3,SUMIF('TL08'!$C$10:$C$224,$C207,'TL08'!$J$10:$J$224),0),
IF('TL08'!$B$229=O$3,SUMIF('TL08'!$C$238:$C$451,$C207,'TL08'!$J$238:$J$451),0),
IF('TL09'!$B$3=O$3,SUMIF('TL09'!$C$10:$C$224,$C207,'TL09'!$J$10:$J$224),0),
IF('TL09'!$B$229=O$3,SUMIF('TL09'!$C$238:$C$451,$C207,'TL09'!$J$238:$J$451),0),
IF('TL10'!$B$3=O$3,SUMIF('TL10'!$C$10:$C$224,$C207,'TL10'!$J$10:$J$224),0),
IF('TL10'!$B$229=O$3,SUMIF('TL10'!$C$238:$C$451,$C207,'TL10'!$J$238:$J$451),0),
IF('TL11'!$B$3=O$3,SUMIF('TL11'!$C$10:$C$224,$C207,'TL11'!$J$10:$J$224),0),
IF('TL11'!$B$229=O$3,SUMIF('TL11'!$C$238:$C$451,$C207,'TL11'!$J$238:$J$451),0),
IF('TL12'!$B$3=O$3,SUMIF('TL12'!$C$10:$C$224,$C207,'TL12'!$J$10:$J$224),0),
IF('TL12'!$B$229=O$3,SUMIF('TL12'!$C$238:$C$451,$C207,'TL12'!$J$238:$J$451),0),
IF('TL13'!$B$3=O$3,SUMIF('TL13'!$C$10:$C$224,$C207,'TL13'!$J$10:$J$224),0),
IF('TL13'!$B$229=O$3,SUMIF('TL13'!$C$238:$C$451,$C207,'TL13'!$J$238:$J$451),0),
IF('TL14'!$B$3=O$3,SUMIF('TL14'!$C$10:$C$224,$C207,'TL14'!$J$10:$J$224),0),
IF('TL14'!$B$229=O$3,SUMIF('TL14'!$C$238:$C$451,$C207,'TL14'!$J$238:$J$451),0),
IF('TL15'!$B$3=O$3,SUMIF('TL15'!$C$10:$C$224,$C207,'TL15'!$J$10:$J$224),0),
IF('TL15'!$B$229=O$3,SUMIF('TL15'!$C$238:$C$451,$C207,'TL15'!$J$238:$J$451),0),
IF('TL16'!$B$3=O$3,SUMIF('TL16'!$C$10:$C$224,$C207,'TL16'!$J$10:$J$224),0),
IF('TL16'!$B$229=O$3,SUMIF('TL16'!$C$238:$C$451,$C207,'TL16'!$J$238:$J$451),0),
IF('TL17'!$B$3=O$3,SUMIF('TL17'!$C$10:$C$224,$C207,'TL17'!$J$10:$J$224),0),
IF('TL17'!$B$229=O$3,SUMIF('TL17'!$C$238:$C$451,$C207,'TL17'!$J$238:$J$451),0),
IF('TL18'!$B$3=O$3,SUMIF('TL18'!$C$10:$C$224,$C207,'TL18'!$J$10:$J$224),0),
IF('TL18'!$B$229=O$3,SUMIF('TL18'!$C$238:$C$451,$C207,'TL18'!$J$238:$J$451),0),
IF('TL19'!$B$3=O$3,SUMIF('TL19'!$C$10:$C$224,$C207,'TL19'!$J$10:$J$224),0),
IF('TL19'!$B$229=O$3,SUMIF('TL19'!$C$238:$C$451,$C207,'TL19'!$J$238:$J$451),0)
),0)</f>
        <v>0</v>
      </c>
      <c r="P207" s="9">
        <f>IFERROR(SUM(
IF('TL01'!$B$3=P$3,SUMIF('TL01'!$C$10:$C$224,$C207,'TL01'!$J$10:$J$224),0),
IF('TL01'!$B$229=P$3,SUMIF('TL01'!$C$238:$C$451,$C207,'TL01'!$J$238:$J$451),0),
IF('TL02'!$B$3=P$3,SUMIF('TL02'!$C$10:$C$224,$C207,'TL02'!$J$10:$J$224),0),
IF('TL02'!$B$229=P$3,SUMIF('TL02'!$C$238:$C$451,$C207,'TL02'!$J$238:$J$451),0),
IF('TL03'!$B$3=P$3,SUMIF('TL03'!$C$10:$C$224,$C207,'TL03'!$J$10:$J$224),0),
IF('TL03'!$B$229=P$3,SUMIF('TL03'!$C$238:$C$451,$C207,'TL03'!$J$238:$J$451),0),
IF('TL04'!$B$3=P$3,SUMIF('TL04'!$C$10:$C$224,$C207,'TL04'!$J$10:$J$224),0),
IF('TL04'!$B$229=P$3,SUMIF('TL04'!$C$238:$C$451,$C207,'TL04'!$J$238:$J$451),0),
IF('TL05'!$B$3=P$3,SUMIF('TL05'!$C$10:$C$224,$C207,'TL05'!$J$10:$J$224),0),
IF('TL05'!$B$229=P$3,SUMIF('TL05'!$C$238:$C$451,$C207,'TL05'!$J$238:$J$451),0),
IF('TL06'!$B$3=P$3,SUMIF('TL06'!$C$10:$C$224,$C207,'TL06'!$J$10:$J$224),0),
IF('TL06'!$B$229=P$3,SUMIF('TL06'!$C$238:$C$451,$C207,'TL06'!$J$238:$J$451),0),
IF('TL07'!$B$3=P$3,SUMIF('TL07'!$C$10:$C$224,$C207,'TL07'!$J$10:$J$224),0),
IF('TL07'!$B$229=P$3,SUMIF('TL07'!$C$238:$C$451,$C207,'TL07'!$J$238:$J$451),0),
IF('TL08'!$B$3=P$3,SUMIF('TL08'!$C$10:$C$224,$C207,'TL08'!$J$10:$J$224),0),
IF('TL08'!$B$229=P$3,SUMIF('TL08'!$C$238:$C$451,$C207,'TL08'!$J$238:$J$451),0),
IF('TL09'!$B$3=P$3,SUMIF('TL09'!$C$10:$C$224,$C207,'TL09'!$J$10:$J$224),0),
IF('TL09'!$B$229=P$3,SUMIF('TL09'!$C$238:$C$451,$C207,'TL09'!$J$238:$J$451),0),
IF('TL10'!$B$3=P$3,SUMIF('TL10'!$C$10:$C$224,$C207,'TL10'!$J$10:$J$224),0),
IF('TL10'!$B$229=P$3,SUMIF('TL10'!$C$238:$C$451,$C207,'TL10'!$J$238:$J$451),0),
IF('TL11'!$B$3=P$3,SUMIF('TL11'!$C$10:$C$224,$C207,'TL11'!$J$10:$J$224),0),
IF('TL11'!$B$229=P$3,SUMIF('TL11'!$C$238:$C$451,$C207,'TL11'!$J$238:$J$451),0),
IF('TL12'!$B$3=P$3,SUMIF('TL12'!$C$10:$C$224,$C207,'TL12'!$J$10:$J$224),0),
IF('TL12'!$B$229=P$3,SUMIF('TL12'!$C$238:$C$451,$C207,'TL12'!$J$238:$J$451),0),
IF('TL13'!$B$3=P$3,SUMIF('TL13'!$C$10:$C$224,$C207,'TL13'!$J$10:$J$224),0),
IF('TL13'!$B$229=P$3,SUMIF('TL13'!$C$238:$C$451,$C207,'TL13'!$J$238:$J$451),0),
IF('TL14'!$B$3=P$3,SUMIF('TL14'!$C$10:$C$224,$C207,'TL14'!$J$10:$J$224),0),
IF('TL14'!$B$229=P$3,SUMIF('TL14'!$C$238:$C$451,$C207,'TL14'!$J$238:$J$451),0),
IF('TL15'!$B$3=P$3,SUMIF('TL15'!$C$10:$C$224,$C207,'TL15'!$J$10:$J$224),0),
IF('TL15'!$B$229=P$3,SUMIF('TL15'!$C$238:$C$451,$C207,'TL15'!$J$238:$J$451),0),
IF('TL16'!$B$3=P$3,SUMIF('TL16'!$C$10:$C$224,$C207,'TL16'!$J$10:$J$224),0),
IF('TL16'!$B$229=P$3,SUMIF('TL16'!$C$238:$C$451,$C207,'TL16'!$J$238:$J$451),0),
IF('TL17'!$B$3=P$3,SUMIF('TL17'!$C$10:$C$224,$C207,'TL17'!$J$10:$J$224),0),
IF('TL17'!$B$229=P$3,SUMIF('TL17'!$C$238:$C$451,$C207,'TL17'!$J$238:$J$451),0),
IF('TL18'!$B$3=P$3,SUMIF('TL18'!$C$10:$C$224,$C207,'TL18'!$J$10:$J$224),0),
IF('TL18'!$B$229=P$3,SUMIF('TL18'!$C$238:$C$451,$C207,'TL18'!$J$238:$J$451),0),
IF('TL19'!$B$3=P$3,SUMIF('TL19'!$C$10:$C$224,$C207,'TL19'!$J$10:$J$224),0),
IF('TL19'!$B$229=P$3,SUMIF('TL19'!$C$238:$C$451,$C207,'TL19'!$J$238:$J$451),0)
),0)</f>
        <v>0</v>
      </c>
      <c r="Q207" s="9">
        <f>IFERROR(SUM(
IF('TL01'!$B$3=Q$3,SUMIF('TL01'!$C$10:$C$224,$C207,'TL01'!$J$10:$J$224),0),
IF('TL01'!$B$229=Q$3,SUMIF('TL01'!$C$238:$C$451,$C207,'TL01'!$J$238:$J$451),0),
IF('TL02'!$B$3=Q$3,SUMIF('TL02'!$C$10:$C$224,$C207,'TL02'!$J$10:$J$224),0),
IF('TL02'!$B$229=Q$3,SUMIF('TL02'!$C$238:$C$451,$C207,'TL02'!$J$238:$J$451),0),
IF('TL03'!$B$3=Q$3,SUMIF('TL03'!$C$10:$C$224,$C207,'TL03'!$J$10:$J$224),0),
IF('TL03'!$B$229=Q$3,SUMIF('TL03'!$C$238:$C$451,$C207,'TL03'!$J$238:$J$451),0),
IF('TL04'!$B$3=Q$3,SUMIF('TL04'!$C$10:$C$224,$C207,'TL04'!$J$10:$J$224),0),
IF('TL04'!$B$229=Q$3,SUMIF('TL04'!$C$238:$C$451,$C207,'TL04'!$J$238:$J$451),0),
IF('TL05'!$B$3=Q$3,SUMIF('TL05'!$C$10:$C$224,$C207,'TL05'!$J$10:$J$224),0),
IF('TL05'!$B$229=Q$3,SUMIF('TL05'!$C$238:$C$451,$C207,'TL05'!$J$238:$J$451),0),
IF('TL06'!$B$3=Q$3,SUMIF('TL06'!$C$10:$C$224,$C207,'TL06'!$J$10:$J$224),0),
IF('TL06'!$B$229=Q$3,SUMIF('TL06'!$C$238:$C$451,$C207,'TL06'!$J$238:$J$451),0),
IF('TL07'!$B$3=Q$3,SUMIF('TL07'!$C$10:$C$224,$C207,'TL07'!$J$10:$J$224),0),
IF('TL07'!$B$229=Q$3,SUMIF('TL07'!$C$238:$C$451,$C207,'TL07'!$J$238:$J$451),0),
IF('TL08'!$B$3=Q$3,SUMIF('TL08'!$C$10:$C$224,$C207,'TL08'!$J$10:$J$224),0),
IF('TL08'!$B$229=Q$3,SUMIF('TL08'!$C$238:$C$451,$C207,'TL08'!$J$238:$J$451),0),
IF('TL09'!$B$3=Q$3,SUMIF('TL09'!$C$10:$C$224,$C207,'TL09'!$J$10:$J$224),0),
IF('TL09'!$B$229=Q$3,SUMIF('TL09'!$C$238:$C$451,$C207,'TL09'!$J$238:$J$451),0),
IF('TL10'!$B$3=Q$3,SUMIF('TL10'!$C$10:$C$224,$C207,'TL10'!$J$10:$J$224),0),
IF('TL10'!$B$229=Q$3,SUMIF('TL10'!$C$238:$C$451,$C207,'TL10'!$J$238:$J$451),0),
IF('TL11'!$B$3=Q$3,SUMIF('TL11'!$C$10:$C$224,$C207,'TL11'!$J$10:$J$224),0),
IF('TL11'!$B$229=Q$3,SUMIF('TL11'!$C$238:$C$451,$C207,'TL11'!$J$238:$J$451),0),
IF('TL12'!$B$3=Q$3,SUMIF('TL12'!$C$10:$C$224,$C207,'TL12'!$J$10:$J$224),0),
IF('TL12'!$B$229=Q$3,SUMIF('TL12'!$C$238:$C$451,$C207,'TL12'!$J$238:$J$451),0),
IF('TL13'!$B$3=Q$3,SUMIF('TL13'!$C$10:$C$224,$C207,'TL13'!$J$10:$J$224),0),
IF('TL13'!$B$229=Q$3,SUMIF('TL13'!$C$238:$C$451,$C207,'TL13'!$J$238:$J$451),0),
IF('TL14'!$B$3=Q$3,SUMIF('TL14'!$C$10:$C$224,$C207,'TL14'!$J$10:$J$224),0),
IF('TL14'!$B$229=Q$3,SUMIF('TL14'!$C$238:$C$451,$C207,'TL14'!$J$238:$J$451),0),
IF('TL15'!$B$3=Q$3,SUMIF('TL15'!$C$10:$C$224,$C207,'TL15'!$J$10:$J$224),0),
IF('TL15'!$B$229=Q$3,SUMIF('TL15'!$C$238:$C$451,$C207,'TL15'!$J$238:$J$451),0),
IF('TL16'!$B$3=Q$3,SUMIF('TL16'!$C$10:$C$224,$C207,'TL16'!$J$10:$J$224),0),
IF('TL16'!$B$229=Q$3,SUMIF('TL16'!$C$238:$C$451,$C207,'TL16'!$J$238:$J$451),0),
IF('TL17'!$B$3=Q$3,SUMIF('TL17'!$C$10:$C$224,$C207,'TL17'!$J$10:$J$224),0),
IF('TL17'!$B$229=Q$3,SUMIF('TL17'!$C$238:$C$451,$C207,'TL17'!$J$238:$J$451),0),
IF('TL18'!$B$3=Q$3,SUMIF('TL18'!$C$10:$C$224,$C207,'TL18'!$J$10:$J$224),0),
IF('TL18'!$B$229=Q$3,SUMIF('TL18'!$C$238:$C$451,$C207,'TL18'!$J$238:$J$451),0),
IF('TL19'!$B$3=Q$3,SUMIF('TL19'!$C$10:$C$224,$C207,'TL19'!$J$10:$J$224),0),
IF('TL19'!$B$229=Q$3,SUMIF('TL19'!$C$238:$C$451,$C207,'TL19'!$J$238:$J$451),0)
),0)</f>
        <v>0</v>
      </c>
      <c r="R207" s="9">
        <f>IFERROR(
SUM(
SUMIF('TL01'!C:C,C207,'TL01'!J:J),
SUMIF('TL02'!C:C,C207,'TL02'!J:J),
SUMIF('TL03'!C:C,C207,'TL03'!J:J),
SUMIF('TL04'!C:C,C207,'TL04'!J:J),
SUMIF('TL05'!C:C,C207,'TL05'!J:J),
SUMIF('TL06'!C:C,C207,'TL06'!J:J),
SUMIF('TL07'!C:C,C207,'TL07'!J:J),
SUMIF('TL08'!C:C,C207,'TL08'!J:J),
SUMIF('TL09'!C:C,C207,'TL09'!J:J),
SUMIF('TL10'!C:C,C207,'TL10'!J:J),
SUMIF('TL11'!C:C,C207,'TL11'!J:J),
SUMIF('TL12'!C:C,C207,'TL12'!J:J),
SUMIF('TL13'!C:C,C207,'TL13'!J:J),
SUMIF('TL14'!C:C,C207,'TL14'!J:J),
SUMIF('TL15'!C:C,C207,'TL15'!J:J),
SUMIF('TL16'!C:C,C207,'TL16'!J:J),
SUMIF('TL17'!C:C,C207,'TL17'!J:J),
SUMIF('TL18'!C:C,C207,'TL18'!J:J),SUMIF('TL19'!C:C,C207,'TL19'!J:J))
,0)</f>
        <v>0</v>
      </c>
      <c r="S207" s="17">
        <f>IFERROR(__xludf.DUMMYFUNCTION("IFERROR(VLOOKUP(C207,
IMPORTRANGE(""1wULbzX32WdYsx-lj2U3uUNBBe2INVIRDtcK0d-Dvl90"",
""26-27!C:G""),
5,
FALSE),
"""")"),241.10367)</f>
        <v>241.10367</v>
      </c>
      <c r="T207" s="9"/>
      <c r="U207" s="92">
        <f t="shared" si="2"/>
        <v>0</v>
      </c>
      <c r="V207" s="93">
        <f t="shared" si="3"/>
        <v>0</v>
      </c>
    </row>
    <row r="208" ht="15.75" hidden="1" customHeight="1">
      <c r="A208" s="87" t="s">
        <v>516</v>
      </c>
      <c r="B208" s="88" t="s">
        <v>2</v>
      </c>
      <c r="C208" s="89" t="s">
        <v>832</v>
      </c>
      <c r="D208" s="89" t="s">
        <v>833</v>
      </c>
      <c r="E208" s="89">
        <v>72.0</v>
      </c>
      <c r="F208" s="4" t="s">
        <v>343</v>
      </c>
      <c r="G208" s="90" t="str">
        <f t="shared" si="4"/>
        <v>📄 Ver bula</v>
      </c>
      <c r="H208" s="9" t="str">
        <f>IFERROR(__xludf.DUMMYFUNCTION("IFERROR(VLOOKUP(C208,
IMPORTRANGE(""1wULbzX32WdYsx-lj2U3uUNBBe2INVIRDtcK0d-Dvl90"",
""26-27!C:K""),
8,
FALSE),
"""")"),"")</f>
        <v/>
      </c>
      <c r="I208" s="91" t="s">
        <v>361</v>
      </c>
      <c r="J208" s="9">
        <f>IFERROR(SUM(
IF('TL01'!$B$3=J$3,SUMIF('TL01'!$C$10:$C$224,$C208,'TL01'!$J$10:$J$224),0),
IF('TL01'!$B$229=J$3,SUMIF('TL01'!$C$238:$C$451,$C208,'TL01'!$J$238:$J$451),0),
IF('TL02'!$B$3=J$3,SUMIF('TL02'!$C$10:$C$224,$C208,'TL02'!$J$10:$J$224),0),
IF('TL02'!$B$229=J$3,SUMIF('TL02'!$C$238:$C$451,$C208,'TL02'!$J$238:$J$451),0),
IF('TL03'!$B$3=J$3,SUMIF('TL03'!$C$10:$C$224,$C208,'TL03'!$J$10:$J$224),0),
IF('TL03'!$B$229=J$3,SUMIF('TL03'!$C$238:$C$451,$C208,'TL03'!$J$238:$J$451),0),
IF('TL04'!$B$3=J$3,SUMIF('TL04'!$C$10:$C$224,$C208,'TL04'!$J$10:$J$224),0),
IF('TL04'!$B$229=J$3,SUMIF('TL04'!$C$238:$C$451,$C208,'TL04'!$J$238:$J$451),0),
IF('TL05'!$B$3=J$3,SUMIF('TL05'!$C$10:$C$224,$C208,'TL05'!$J$10:$J$224),0),
IF('TL05'!$B$229=J$3,SUMIF('TL05'!$C$238:$C$451,$C208,'TL05'!$J$238:$J$451),0),
IF('TL06'!$B$3=J$3,SUMIF('TL06'!$C$10:$C$224,$C208,'TL06'!$J$10:$J$224),0),
IF('TL06'!$B$229=J$3,SUMIF('TL06'!$C$238:$C$451,$C208,'TL06'!$J$238:$J$451),0),
IF('TL07'!$B$3=J$3,SUMIF('TL07'!$C$10:$C$224,$C208,'TL07'!$J$10:$J$224),0),
IF('TL07'!$B$229=J$3,SUMIF('TL07'!$C$238:$C$451,$C208,'TL07'!$J$238:$J$451),0),
IF('TL08'!$B$3=J$3,SUMIF('TL08'!$C$10:$C$224,$C208,'TL08'!$J$10:$J$224),0),
IF('TL08'!$B$229=J$3,SUMIF('TL08'!$C$238:$C$451,$C208,'TL08'!$J$238:$J$451),0),
IF('TL09'!$B$3=J$3,SUMIF('TL09'!$C$10:$C$224,$C208,'TL09'!$J$10:$J$224),0),
IF('TL09'!$B$229=J$3,SUMIF('TL09'!$C$238:$C$451,$C208,'TL09'!$J$238:$J$451),0),
IF('TL10'!$B$3=J$3,SUMIF('TL10'!$C$10:$C$224,$C208,'TL10'!$J$10:$J$224),0),
IF('TL10'!$B$229=J$3,SUMIF('TL10'!$C$238:$C$451,$C208,'TL10'!$J$238:$J$451),0),
IF('TL11'!$B$3=J$3,SUMIF('TL11'!$C$10:$C$224,$C208,'TL11'!$J$10:$J$224),0),
IF('TL11'!$B$229=J$3,SUMIF('TL11'!$C$238:$C$451,$C208,'TL11'!$J$238:$J$451),0),
IF('TL12'!$B$3=J$3,SUMIF('TL12'!$C$10:$C$224,$C208,'TL12'!$J$10:$J$224),0),
IF('TL12'!$B$229=J$3,SUMIF('TL12'!$C$238:$C$451,$C208,'TL12'!$J$238:$J$451),0),
IF('TL13'!$B$3=J$3,SUMIF('TL13'!$C$10:$C$224,$C208,'TL13'!$J$10:$J$224),0),
IF('TL13'!$B$229=J$3,SUMIF('TL13'!$C$238:$C$451,$C208,'TL13'!$J$238:$J$451),0),
IF('TL14'!$B$3=J$3,SUMIF('TL14'!$C$10:$C$224,$C208,'TL14'!$J$10:$J$224),0),
IF('TL14'!$B$229=J$3,SUMIF('TL14'!$C$238:$C$451,$C208,'TL14'!$J$238:$J$451),0),
IF('TL15'!$B$3=J$3,SUMIF('TL15'!$C$10:$C$224,$C208,'TL15'!$J$10:$J$224),0),
IF('TL15'!$B$229=J$3,SUMIF('TL15'!$C$238:$C$451,$C208,'TL15'!$J$238:$J$451),0),
IF('TL16'!$B$3=J$3,SUMIF('TL16'!$C$10:$C$224,$C208,'TL16'!$J$10:$J$224),0),
IF('TL16'!$B$229=J$3,SUMIF('TL16'!$C$238:$C$451,$C208,'TL16'!$J$238:$J$451),0),
IF('TL17'!$B$3=J$3,SUMIF('TL17'!$C$10:$C$224,$C208,'TL17'!$J$10:$J$224),0),
IF('TL17'!$B$229=J$3,SUMIF('TL17'!$C$238:$C$451,$C208,'TL17'!$J$238:$J$451),0),
IF('TL18'!$B$3=J$3,SUMIF('TL18'!$C$10:$C$224,$C208,'TL18'!$J$10:$J$224),0),
IF('TL18'!$B$229=J$3,SUMIF('TL18'!$C$238:$C$451,$C208,'TL18'!$J$238:$J$451),0),
IF('TL19'!$B$3=J$3,SUMIF('TL19'!$C$10:$C$224,$C208,'TL19'!$J$10:$J$224),0),
IF('TL19'!$B$229=J$3,SUMIF('TL19'!$C$238:$C$451,$C208,'TL19'!$J$238:$J$451),0)
),0)</f>
        <v>0</v>
      </c>
      <c r="K208" s="9">
        <f>IFERROR(SUM(
IF('TL01'!$B$3=K$3,SUMIF('TL01'!$C$10:$C$224,$C208,'TL01'!$J$10:$J$224),0),
IF('TL01'!$B$229=K$3,SUMIF('TL01'!$C$238:$C$451,$C208,'TL01'!$J$238:$J$451),0),
IF('TL02'!$B$3=K$3,SUMIF('TL02'!$C$10:$C$224,$C208,'TL02'!$J$10:$J$224),0),
IF('TL02'!$B$229=K$3,SUMIF('TL02'!$C$238:$C$451,$C208,'TL02'!$J$238:$J$451),0),
IF('TL03'!$B$3=K$3,SUMIF('TL03'!$C$10:$C$224,$C208,'TL03'!$J$10:$J$224),0),
IF('TL03'!$B$229=K$3,SUMIF('TL03'!$C$238:$C$451,$C208,'TL03'!$J$238:$J$451),0),
IF('TL04'!$B$3=K$3,SUMIF('TL04'!$C$10:$C$224,$C208,'TL04'!$J$10:$J$224),0),
IF('TL04'!$B$229=K$3,SUMIF('TL04'!$C$238:$C$451,$C208,'TL04'!$J$238:$J$451),0),
IF('TL05'!$B$3=K$3,SUMIF('TL05'!$C$10:$C$224,$C208,'TL05'!$J$10:$J$224),0),
IF('TL05'!$B$229=K$3,SUMIF('TL05'!$C$238:$C$451,$C208,'TL05'!$J$238:$J$451),0),
IF('TL06'!$B$3=K$3,SUMIF('TL06'!$C$10:$C$224,$C208,'TL06'!$J$10:$J$224),0),
IF('TL06'!$B$229=K$3,SUMIF('TL06'!$C$238:$C$451,$C208,'TL06'!$J$238:$J$451),0),
IF('TL07'!$B$3=K$3,SUMIF('TL07'!$C$10:$C$224,$C208,'TL07'!$J$10:$J$224),0),
IF('TL07'!$B$229=K$3,SUMIF('TL07'!$C$238:$C$451,$C208,'TL07'!$J$238:$J$451),0),
IF('TL08'!$B$3=K$3,SUMIF('TL08'!$C$10:$C$224,$C208,'TL08'!$J$10:$J$224),0),
IF('TL08'!$B$229=K$3,SUMIF('TL08'!$C$238:$C$451,$C208,'TL08'!$J$238:$J$451),0),
IF('TL09'!$B$3=K$3,SUMIF('TL09'!$C$10:$C$224,$C208,'TL09'!$J$10:$J$224),0),
IF('TL09'!$B$229=K$3,SUMIF('TL09'!$C$238:$C$451,$C208,'TL09'!$J$238:$J$451),0),
IF('TL10'!$B$3=K$3,SUMIF('TL10'!$C$10:$C$224,$C208,'TL10'!$J$10:$J$224),0),
IF('TL10'!$B$229=K$3,SUMIF('TL10'!$C$238:$C$451,$C208,'TL10'!$J$238:$J$451),0),
IF('TL11'!$B$3=K$3,SUMIF('TL11'!$C$10:$C$224,$C208,'TL11'!$J$10:$J$224),0),
IF('TL11'!$B$229=K$3,SUMIF('TL11'!$C$238:$C$451,$C208,'TL11'!$J$238:$J$451),0),
IF('TL12'!$B$3=K$3,SUMIF('TL12'!$C$10:$C$224,$C208,'TL12'!$J$10:$J$224),0),
IF('TL12'!$B$229=K$3,SUMIF('TL12'!$C$238:$C$451,$C208,'TL12'!$J$238:$J$451),0),
IF('TL13'!$B$3=K$3,SUMIF('TL13'!$C$10:$C$224,$C208,'TL13'!$J$10:$J$224),0),
IF('TL13'!$B$229=K$3,SUMIF('TL13'!$C$238:$C$451,$C208,'TL13'!$J$238:$J$451),0),
IF('TL14'!$B$3=K$3,SUMIF('TL14'!$C$10:$C$224,$C208,'TL14'!$J$10:$J$224),0),
IF('TL14'!$B$229=K$3,SUMIF('TL14'!$C$238:$C$451,$C208,'TL14'!$J$238:$J$451),0),
IF('TL15'!$B$3=K$3,SUMIF('TL15'!$C$10:$C$224,$C208,'TL15'!$J$10:$J$224),0),
IF('TL15'!$B$229=K$3,SUMIF('TL15'!$C$238:$C$451,$C208,'TL15'!$J$238:$J$451),0),
IF('TL16'!$B$3=K$3,SUMIF('TL16'!$C$10:$C$224,$C208,'TL16'!$J$10:$J$224),0),
IF('TL16'!$B$229=K$3,SUMIF('TL16'!$C$238:$C$451,$C208,'TL16'!$J$238:$J$451),0),
IF('TL17'!$B$3=K$3,SUMIF('TL17'!$C$10:$C$224,$C208,'TL17'!$J$10:$J$224),0),
IF('TL17'!$B$229=K$3,SUMIF('TL17'!$C$238:$C$451,$C208,'TL17'!$J$238:$J$451),0),
IF('TL18'!$B$3=K$3,SUMIF('TL18'!$C$10:$C$224,$C208,'TL18'!$J$10:$J$224),0),
IF('TL18'!$B$229=K$3,SUMIF('TL18'!$C$238:$C$451,$C208,'TL18'!$J$238:$J$451),0),
IF('TL19'!$B$3=K$3,SUMIF('TL19'!$C$10:$C$224,$C208,'TL19'!$J$10:$J$224),0),
IF('TL19'!$B$229=K$3,SUMIF('TL19'!$C$238:$C$451,$C208,'TL19'!$J$238:$J$451),0)
),0)</f>
        <v>0</v>
      </c>
      <c r="L208" s="9">
        <f>IFERROR(SUM(
IF('TL01'!$B$3=L$3,SUMIF('TL01'!$C$10:$C$224,$C208,'TL01'!$J$10:$J$224),0),
IF('TL01'!$B$229=L$3,SUMIF('TL01'!$C$238:$C$451,$C208,'TL01'!$J$238:$J$451),0),
IF('TL02'!$B$3=L$3,SUMIF('TL02'!$C$10:$C$224,$C208,'TL02'!$J$10:$J$224),0),
IF('TL02'!$B$229=L$3,SUMIF('TL02'!$C$238:$C$451,$C208,'TL02'!$J$238:$J$451),0),
IF('TL03'!$B$3=L$3,SUMIF('TL03'!$C$10:$C$224,$C208,'TL03'!$J$10:$J$224),0),
IF('TL03'!$B$229=L$3,SUMIF('TL03'!$C$238:$C$451,$C208,'TL03'!$J$238:$J$451),0),
IF('TL04'!$B$3=L$3,SUMIF('TL04'!$C$10:$C$224,$C208,'TL04'!$J$10:$J$224),0),
IF('TL04'!$B$229=L$3,SUMIF('TL04'!$C$238:$C$451,$C208,'TL04'!$J$238:$J$451),0),
IF('TL05'!$B$3=L$3,SUMIF('TL05'!$C$10:$C$224,$C208,'TL05'!$J$10:$J$224),0),
IF('TL05'!$B$229=L$3,SUMIF('TL05'!$C$238:$C$451,$C208,'TL05'!$J$238:$J$451),0),
IF('TL06'!$B$3=L$3,SUMIF('TL06'!$C$10:$C$224,$C208,'TL06'!$J$10:$J$224),0),
IF('TL06'!$B$229=L$3,SUMIF('TL06'!$C$238:$C$451,$C208,'TL06'!$J$238:$J$451),0),
IF('TL07'!$B$3=L$3,SUMIF('TL07'!$C$10:$C$224,$C208,'TL07'!$J$10:$J$224),0),
IF('TL07'!$B$229=L$3,SUMIF('TL07'!$C$238:$C$451,$C208,'TL07'!$J$238:$J$451),0),
IF('TL08'!$B$3=L$3,SUMIF('TL08'!$C$10:$C$224,$C208,'TL08'!$J$10:$J$224),0),
IF('TL08'!$B$229=L$3,SUMIF('TL08'!$C$238:$C$451,$C208,'TL08'!$J$238:$J$451),0),
IF('TL09'!$B$3=L$3,SUMIF('TL09'!$C$10:$C$224,$C208,'TL09'!$J$10:$J$224),0),
IF('TL09'!$B$229=L$3,SUMIF('TL09'!$C$238:$C$451,$C208,'TL09'!$J$238:$J$451),0),
IF('TL10'!$B$3=L$3,SUMIF('TL10'!$C$10:$C$224,$C208,'TL10'!$J$10:$J$224),0),
IF('TL10'!$B$229=L$3,SUMIF('TL10'!$C$238:$C$451,$C208,'TL10'!$J$238:$J$451),0),
IF('TL11'!$B$3=L$3,SUMIF('TL11'!$C$10:$C$224,$C208,'TL11'!$J$10:$J$224),0),
IF('TL11'!$B$229=L$3,SUMIF('TL11'!$C$238:$C$451,$C208,'TL11'!$J$238:$J$451),0),
IF('TL12'!$B$3=L$3,SUMIF('TL12'!$C$10:$C$224,$C208,'TL12'!$J$10:$J$224),0),
IF('TL12'!$B$229=L$3,SUMIF('TL12'!$C$238:$C$451,$C208,'TL12'!$J$238:$J$451),0),
IF('TL13'!$B$3=L$3,SUMIF('TL13'!$C$10:$C$224,$C208,'TL13'!$J$10:$J$224),0),
IF('TL13'!$B$229=L$3,SUMIF('TL13'!$C$238:$C$451,$C208,'TL13'!$J$238:$J$451),0),
IF('TL14'!$B$3=L$3,SUMIF('TL14'!$C$10:$C$224,$C208,'TL14'!$J$10:$J$224),0),
IF('TL14'!$B$229=L$3,SUMIF('TL14'!$C$238:$C$451,$C208,'TL14'!$J$238:$J$451),0),
IF('TL15'!$B$3=L$3,SUMIF('TL15'!$C$10:$C$224,$C208,'TL15'!$J$10:$J$224),0),
IF('TL15'!$B$229=L$3,SUMIF('TL15'!$C$238:$C$451,$C208,'TL15'!$J$238:$J$451),0),
IF('TL16'!$B$3=L$3,SUMIF('TL16'!$C$10:$C$224,$C208,'TL16'!$J$10:$J$224),0),
IF('TL16'!$B$229=L$3,SUMIF('TL16'!$C$238:$C$451,$C208,'TL16'!$J$238:$J$451),0),
IF('TL17'!$B$3=L$3,SUMIF('TL17'!$C$10:$C$224,$C208,'TL17'!$J$10:$J$224),0),
IF('TL17'!$B$229=L$3,SUMIF('TL17'!$C$238:$C$451,$C208,'TL17'!$J$238:$J$451),0),
IF('TL18'!$B$3=L$3,SUMIF('TL18'!$C$10:$C$224,$C208,'TL18'!$J$10:$J$224),0),
IF('TL18'!$B$229=L$3,SUMIF('TL18'!$C$238:$C$451,$C208,'TL18'!$J$238:$J$451),0),
IF('TL19'!$B$3=L$3,SUMIF('TL19'!$C$10:$C$224,$C208,'TL19'!$J$10:$J$224),0),
IF('TL19'!$B$229=L$3,SUMIF('TL19'!$C$238:$C$451,$C208,'TL19'!$J$238:$J$451),0)
),0)</f>
        <v>0</v>
      </c>
      <c r="M208" s="9">
        <f>IFERROR(SUM(
IF('TL01'!$B$3=M$3,SUMIF('TL01'!$C$10:$C$224,$C208,'TL01'!$J$10:$J$224),0),
IF('TL01'!$B$229=M$3,SUMIF('TL01'!$C$238:$C$451,$C208,'TL01'!$J$238:$J$451),0),
IF('TL02'!$B$3=M$3,SUMIF('TL02'!$C$10:$C$224,$C208,'TL02'!$J$10:$J$224),0),
IF('TL02'!$B$229=M$3,SUMIF('TL02'!$C$238:$C$451,$C208,'TL02'!$J$238:$J$451),0),
IF('TL03'!$B$3=M$3,SUMIF('TL03'!$C$10:$C$224,$C208,'TL03'!$J$10:$J$224),0),
IF('TL03'!$B$229=M$3,SUMIF('TL03'!$C$238:$C$451,$C208,'TL03'!$J$238:$J$451),0),
IF('TL04'!$B$3=M$3,SUMIF('TL04'!$C$10:$C$224,$C208,'TL04'!$J$10:$J$224),0),
IF('TL04'!$B$229=M$3,SUMIF('TL04'!$C$238:$C$451,$C208,'TL04'!$J$238:$J$451),0),
IF('TL05'!$B$3=M$3,SUMIF('TL05'!$C$10:$C$224,$C208,'TL05'!$J$10:$J$224),0),
IF('TL05'!$B$229=M$3,SUMIF('TL05'!$C$238:$C$451,$C208,'TL05'!$J$238:$J$451),0),
IF('TL06'!$B$3=M$3,SUMIF('TL06'!$C$10:$C$224,$C208,'TL06'!$J$10:$J$224),0),
IF('TL06'!$B$229=M$3,SUMIF('TL06'!$C$238:$C$451,$C208,'TL06'!$J$238:$J$451),0),
IF('TL07'!$B$3=M$3,SUMIF('TL07'!$C$10:$C$224,$C208,'TL07'!$J$10:$J$224),0),
IF('TL07'!$B$229=M$3,SUMIF('TL07'!$C$238:$C$451,$C208,'TL07'!$J$238:$J$451),0),
IF('TL08'!$B$3=M$3,SUMIF('TL08'!$C$10:$C$224,$C208,'TL08'!$J$10:$J$224),0),
IF('TL08'!$B$229=M$3,SUMIF('TL08'!$C$238:$C$451,$C208,'TL08'!$J$238:$J$451),0),
IF('TL09'!$B$3=M$3,SUMIF('TL09'!$C$10:$C$224,$C208,'TL09'!$J$10:$J$224),0),
IF('TL09'!$B$229=M$3,SUMIF('TL09'!$C$238:$C$451,$C208,'TL09'!$J$238:$J$451),0),
IF('TL10'!$B$3=M$3,SUMIF('TL10'!$C$10:$C$224,$C208,'TL10'!$J$10:$J$224),0),
IF('TL10'!$B$229=M$3,SUMIF('TL10'!$C$238:$C$451,$C208,'TL10'!$J$238:$J$451),0),
IF('TL11'!$B$3=M$3,SUMIF('TL11'!$C$10:$C$224,$C208,'TL11'!$J$10:$J$224),0),
IF('TL11'!$B$229=M$3,SUMIF('TL11'!$C$238:$C$451,$C208,'TL11'!$J$238:$J$451),0),
IF('TL12'!$B$3=M$3,SUMIF('TL12'!$C$10:$C$224,$C208,'TL12'!$J$10:$J$224),0),
IF('TL12'!$B$229=M$3,SUMIF('TL12'!$C$238:$C$451,$C208,'TL12'!$J$238:$J$451),0),
IF('TL13'!$B$3=M$3,SUMIF('TL13'!$C$10:$C$224,$C208,'TL13'!$J$10:$J$224),0),
IF('TL13'!$B$229=M$3,SUMIF('TL13'!$C$238:$C$451,$C208,'TL13'!$J$238:$J$451),0),
IF('TL14'!$B$3=M$3,SUMIF('TL14'!$C$10:$C$224,$C208,'TL14'!$J$10:$J$224),0),
IF('TL14'!$B$229=M$3,SUMIF('TL14'!$C$238:$C$451,$C208,'TL14'!$J$238:$J$451),0),
IF('TL15'!$B$3=M$3,SUMIF('TL15'!$C$10:$C$224,$C208,'TL15'!$J$10:$J$224),0),
IF('TL15'!$B$229=M$3,SUMIF('TL15'!$C$238:$C$451,$C208,'TL15'!$J$238:$J$451),0),
IF('TL16'!$B$3=M$3,SUMIF('TL16'!$C$10:$C$224,$C208,'TL16'!$J$10:$J$224),0),
IF('TL16'!$B$229=M$3,SUMIF('TL16'!$C$238:$C$451,$C208,'TL16'!$J$238:$J$451),0),
IF('TL17'!$B$3=M$3,SUMIF('TL17'!$C$10:$C$224,$C208,'TL17'!$J$10:$J$224),0),
IF('TL17'!$B$229=M$3,SUMIF('TL17'!$C$238:$C$451,$C208,'TL17'!$J$238:$J$451),0),
IF('TL18'!$B$3=M$3,SUMIF('TL18'!$C$10:$C$224,$C208,'TL18'!$J$10:$J$224),0),
IF('TL18'!$B$229=M$3,SUMIF('TL18'!$C$238:$C$451,$C208,'TL18'!$J$238:$J$451),0),
IF('TL19'!$B$3=M$3,SUMIF('TL19'!$C$10:$C$224,$C208,'TL19'!$J$10:$J$224),0),
IF('TL19'!$B$229=M$3,SUMIF('TL19'!$C$238:$C$451,$C208,'TL19'!$J$238:$J$451),0)
),0)</f>
        <v>0</v>
      </c>
      <c r="N208" s="9">
        <f>IFERROR(SUM(
IF('TL01'!$B$3=N$3,SUMIF('TL01'!$C$10:$C$224,$C208,'TL01'!$J$10:$J$224),0),
IF('TL01'!$B$229=N$3,SUMIF('TL01'!$C$238:$C$451,$C208,'TL01'!$J$238:$J$451),0),
IF('TL02'!$B$3=N$3,SUMIF('TL02'!$C$10:$C$224,$C208,'TL02'!$J$10:$J$224),0),
IF('TL02'!$B$229=N$3,SUMIF('TL02'!$C$238:$C$451,$C208,'TL02'!$J$238:$J$451),0),
IF('TL03'!$B$3=N$3,SUMIF('TL03'!$C$10:$C$224,$C208,'TL03'!$J$10:$J$224),0),
IF('TL03'!$B$229=N$3,SUMIF('TL03'!$C$238:$C$451,$C208,'TL03'!$J$238:$J$451),0),
IF('TL04'!$B$3=N$3,SUMIF('TL04'!$C$10:$C$224,$C208,'TL04'!$J$10:$J$224),0),
IF('TL04'!$B$229=N$3,SUMIF('TL04'!$C$238:$C$451,$C208,'TL04'!$J$238:$J$451),0),
IF('TL05'!$B$3=N$3,SUMIF('TL05'!$C$10:$C$224,$C208,'TL05'!$J$10:$J$224),0),
IF('TL05'!$B$229=N$3,SUMIF('TL05'!$C$238:$C$451,$C208,'TL05'!$J$238:$J$451),0),
IF('TL06'!$B$3=N$3,SUMIF('TL06'!$C$10:$C$224,$C208,'TL06'!$J$10:$J$224),0),
IF('TL06'!$B$229=N$3,SUMIF('TL06'!$C$238:$C$451,$C208,'TL06'!$J$238:$J$451),0),
IF('TL07'!$B$3=N$3,SUMIF('TL07'!$C$10:$C$224,$C208,'TL07'!$J$10:$J$224),0),
IF('TL07'!$B$229=N$3,SUMIF('TL07'!$C$238:$C$451,$C208,'TL07'!$J$238:$J$451),0),
IF('TL08'!$B$3=N$3,SUMIF('TL08'!$C$10:$C$224,$C208,'TL08'!$J$10:$J$224),0),
IF('TL08'!$B$229=N$3,SUMIF('TL08'!$C$238:$C$451,$C208,'TL08'!$J$238:$J$451),0),
IF('TL09'!$B$3=N$3,SUMIF('TL09'!$C$10:$C$224,$C208,'TL09'!$J$10:$J$224),0),
IF('TL09'!$B$229=N$3,SUMIF('TL09'!$C$238:$C$451,$C208,'TL09'!$J$238:$J$451),0),
IF('TL10'!$B$3=N$3,SUMIF('TL10'!$C$10:$C$224,$C208,'TL10'!$J$10:$J$224),0),
IF('TL10'!$B$229=N$3,SUMIF('TL10'!$C$238:$C$451,$C208,'TL10'!$J$238:$J$451),0),
IF('TL11'!$B$3=N$3,SUMIF('TL11'!$C$10:$C$224,$C208,'TL11'!$J$10:$J$224),0),
IF('TL11'!$B$229=N$3,SUMIF('TL11'!$C$238:$C$451,$C208,'TL11'!$J$238:$J$451),0),
IF('TL12'!$B$3=N$3,SUMIF('TL12'!$C$10:$C$224,$C208,'TL12'!$J$10:$J$224),0),
IF('TL12'!$B$229=N$3,SUMIF('TL12'!$C$238:$C$451,$C208,'TL12'!$J$238:$J$451),0),
IF('TL13'!$B$3=N$3,SUMIF('TL13'!$C$10:$C$224,$C208,'TL13'!$J$10:$J$224),0),
IF('TL13'!$B$229=N$3,SUMIF('TL13'!$C$238:$C$451,$C208,'TL13'!$J$238:$J$451),0),
IF('TL14'!$B$3=N$3,SUMIF('TL14'!$C$10:$C$224,$C208,'TL14'!$J$10:$J$224),0),
IF('TL14'!$B$229=N$3,SUMIF('TL14'!$C$238:$C$451,$C208,'TL14'!$J$238:$J$451),0),
IF('TL15'!$B$3=N$3,SUMIF('TL15'!$C$10:$C$224,$C208,'TL15'!$J$10:$J$224),0),
IF('TL15'!$B$229=N$3,SUMIF('TL15'!$C$238:$C$451,$C208,'TL15'!$J$238:$J$451),0),
IF('TL16'!$B$3=N$3,SUMIF('TL16'!$C$10:$C$224,$C208,'TL16'!$J$10:$J$224),0),
IF('TL16'!$B$229=N$3,SUMIF('TL16'!$C$238:$C$451,$C208,'TL16'!$J$238:$J$451),0),
IF('TL17'!$B$3=N$3,SUMIF('TL17'!$C$10:$C$224,$C208,'TL17'!$J$10:$J$224),0),
IF('TL17'!$B$229=N$3,SUMIF('TL17'!$C$238:$C$451,$C208,'TL17'!$J$238:$J$451),0),
IF('TL18'!$B$3=N$3,SUMIF('TL18'!$C$10:$C$224,$C208,'TL18'!$J$10:$J$224),0),
IF('TL18'!$B$229=N$3,SUMIF('TL18'!$C$238:$C$451,$C208,'TL18'!$J$238:$J$451),0),
IF('TL19'!$B$3=N$3,SUMIF('TL19'!$C$10:$C$224,$C208,'TL19'!$J$10:$J$224),0),
IF('TL19'!$B$229=N$3,SUMIF('TL19'!$C$238:$C$451,$C208,'TL19'!$J$238:$J$451),0)
),0)</f>
        <v>0</v>
      </c>
      <c r="O208" s="9">
        <f>IFERROR(SUM(
IF('TL01'!$B$3=O$3,SUMIF('TL01'!$C$10:$C$224,$C208,'TL01'!$J$10:$J$224),0),
IF('TL01'!$B$229=O$3,SUMIF('TL01'!$C$238:$C$451,$C208,'TL01'!$J$238:$J$451),0),
IF('TL02'!$B$3=O$3,SUMIF('TL02'!$C$10:$C$224,$C208,'TL02'!$J$10:$J$224),0),
IF('TL02'!$B$229=O$3,SUMIF('TL02'!$C$238:$C$451,$C208,'TL02'!$J$238:$J$451),0),
IF('TL03'!$B$3=O$3,SUMIF('TL03'!$C$10:$C$224,$C208,'TL03'!$J$10:$J$224),0),
IF('TL03'!$B$229=O$3,SUMIF('TL03'!$C$238:$C$451,$C208,'TL03'!$J$238:$J$451),0),
IF('TL04'!$B$3=O$3,SUMIF('TL04'!$C$10:$C$224,$C208,'TL04'!$J$10:$J$224),0),
IF('TL04'!$B$229=O$3,SUMIF('TL04'!$C$238:$C$451,$C208,'TL04'!$J$238:$J$451),0),
IF('TL05'!$B$3=O$3,SUMIF('TL05'!$C$10:$C$224,$C208,'TL05'!$J$10:$J$224),0),
IF('TL05'!$B$229=O$3,SUMIF('TL05'!$C$238:$C$451,$C208,'TL05'!$J$238:$J$451),0),
IF('TL06'!$B$3=O$3,SUMIF('TL06'!$C$10:$C$224,$C208,'TL06'!$J$10:$J$224),0),
IF('TL06'!$B$229=O$3,SUMIF('TL06'!$C$238:$C$451,$C208,'TL06'!$J$238:$J$451),0),
IF('TL07'!$B$3=O$3,SUMIF('TL07'!$C$10:$C$224,$C208,'TL07'!$J$10:$J$224),0),
IF('TL07'!$B$229=O$3,SUMIF('TL07'!$C$238:$C$451,$C208,'TL07'!$J$238:$J$451),0),
IF('TL08'!$B$3=O$3,SUMIF('TL08'!$C$10:$C$224,$C208,'TL08'!$J$10:$J$224),0),
IF('TL08'!$B$229=O$3,SUMIF('TL08'!$C$238:$C$451,$C208,'TL08'!$J$238:$J$451),0),
IF('TL09'!$B$3=O$3,SUMIF('TL09'!$C$10:$C$224,$C208,'TL09'!$J$10:$J$224),0),
IF('TL09'!$B$229=O$3,SUMIF('TL09'!$C$238:$C$451,$C208,'TL09'!$J$238:$J$451),0),
IF('TL10'!$B$3=O$3,SUMIF('TL10'!$C$10:$C$224,$C208,'TL10'!$J$10:$J$224),0),
IF('TL10'!$B$229=O$3,SUMIF('TL10'!$C$238:$C$451,$C208,'TL10'!$J$238:$J$451),0),
IF('TL11'!$B$3=O$3,SUMIF('TL11'!$C$10:$C$224,$C208,'TL11'!$J$10:$J$224),0),
IF('TL11'!$B$229=O$3,SUMIF('TL11'!$C$238:$C$451,$C208,'TL11'!$J$238:$J$451),0),
IF('TL12'!$B$3=O$3,SUMIF('TL12'!$C$10:$C$224,$C208,'TL12'!$J$10:$J$224),0),
IF('TL12'!$B$229=O$3,SUMIF('TL12'!$C$238:$C$451,$C208,'TL12'!$J$238:$J$451),0),
IF('TL13'!$B$3=O$3,SUMIF('TL13'!$C$10:$C$224,$C208,'TL13'!$J$10:$J$224),0),
IF('TL13'!$B$229=O$3,SUMIF('TL13'!$C$238:$C$451,$C208,'TL13'!$J$238:$J$451),0),
IF('TL14'!$B$3=O$3,SUMIF('TL14'!$C$10:$C$224,$C208,'TL14'!$J$10:$J$224),0),
IF('TL14'!$B$229=O$3,SUMIF('TL14'!$C$238:$C$451,$C208,'TL14'!$J$238:$J$451),0),
IF('TL15'!$B$3=O$3,SUMIF('TL15'!$C$10:$C$224,$C208,'TL15'!$J$10:$J$224),0),
IF('TL15'!$B$229=O$3,SUMIF('TL15'!$C$238:$C$451,$C208,'TL15'!$J$238:$J$451),0),
IF('TL16'!$B$3=O$3,SUMIF('TL16'!$C$10:$C$224,$C208,'TL16'!$J$10:$J$224),0),
IF('TL16'!$B$229=O$3,SUMIF('TL16'!$C$238:$C$451,$C208,'TL16'!$J$238:$J$451),0),
IF('TL17'!$B$3=O$3,SUMIF('TL17'!$C$10:$C$224,$C208,'TL17'!$J$10:$J$224),0),
IF('TL17'!$B$229=O$3,SUMIF('TL17'!$C$238:$C$451,$C208,'TL17'!$J$238:$J$451),0),
IF('TL18'!$B$3=O$3,SUMIF('TL18'!$C$10:$C$224,$C208,'TL18'!$J$10:$J$224),0),
IF('TL18'!$B$229=O$3,SUMIF('TL18'!$C$238:$C$451,$C208,'TL18'!$J$238:$J$451),0),
IF('TL19'!$B$3=O$3,SUMIF('TL19'!$C$10:$C$224,$C208,'TL19'!$J$10:$J$224),0),
IF('TL19'!$B$229=O$3,SUMIF('TL19'!$C$238:$C$451,$C208,'TL19'!$J$238:$J$451),0)
),0)</f>
        <v>0</v>
      </c>
      <c r="P208" s="9">
        <f>IFERROR(SUM(
IF('TL01'!$B$3=P$3,SUMIF('TL01'!$C$10:$C$224,$C208,'TL01'!$J$10:$J$224),0),
IF('TL01'!$B$229=P$3,SUMIF('TL01'!$C$238:$C$451,$C208,'TL01'!$J$238:$J$451),0),
IF('TL02'!$B$3=P$3,SUMIF('TL02'!$C$10:$C$224,$C208,'TL02'!$J$10:$J$224),0),
IF('TL02'!$B$229=P$3,SUMIF('TL02'!$C$238:$C$451,$C208,'TL02'!$J$238:$J$451),0),
IF('TL03'!$B$3=P$3,SUMIF('TL03'!$C$10:$C$224,$C208,'TL03'!$J$10:$J$224),0),
IF('TL03'!$B$229=P$3,SUMIF('TL03'!$C$238:$C$451,$C208,'TL03'!$J$238:$J$451),0),
IF('TL04'!$B$3=P$3,SUMIF('TL04'!$C$10:$C$224,$C208,'TL04'!$J$10:$J$224),0),
IF('TL04'!$B$229=P$3,SUMIF('TL04'!$C$238:$C$451,$C208,'TL04'!$J$238:$J$451),0),
IF('TL05'!$B$3=P$3,SUMIF('TL05'!$C$10:$C$224,$C208,'TL05'!$J$10:$J$224),0),
IF('TL05'!$B$229=P$3,SUMIF('TL05'!$C$238:$C$451,$C208,'TL05'!$J$238:$J$451),0),
IF('TL06'!$B$3=P$3,SUMIF('TL06'!$C$10:$C$224,$C208,'TL06'!$J$10:$J$224),0),
IF('TL06'!$B$229=P$3,SUMIF('TL06'!$C$238:$C$451,$C208,'TL06'!$J$238:$J$451),0),
IF('TL07'!$B$3=P$3,SUMIF('TL07'!$C$10:$C$224,$C208,'TL07'!$J$10:$J$224),0),
IF('TL07'!$B$229=P$3,SUMIF('TL07'!$C$238:$C$451,$C208,'TL07'!$J$238:$J$451),0),
IF('TL08'!$B$3=P$3,SUMIF('TL08'!$C$10:$C$224,$C208,'TL08'!$J$10:$J$224),0),
IF('TL08'!$B$229=P$3,SUMIF('TL08'!$C$238:$C$451,$C208,'TL08'!$J$238:$J$451),0),
IF('TL09'!$B$3=P$3,SUMIF('TL09'!$C$10:$C$224,$C208,'TL09'!$J$10:$J$224),0),
IF('TL09'!$B$229=P$3,SUMIF('TL09'!$C$238:$C$451,$C208,'TL09'!$J$238:$J$451),0),
IF('TL10'!$B$3=P$3,SUMIF('TL10'!$C$10:$C$224,$C208,'TL10'!$J$10:$J$224),0),
IF('TL10'!$B$229=P$3,SUMIF('TL10'!$C$238:$C$451,$C208,'TL10'!$J$238:$J$451),0),
IF('TL11'!$B$3=P$3,SUMIF('TL11'!$C$10:$C$224,$C208,'TL11'!$J$10:$J$224),0),
IF('TL11'!$B$229=P$3,SUMIF('TL11'!$C$238:$C$451,$C208,'TL11'!$J$238:$J$451),0),
IF('TL12'!$B$3=P$3,SUMIF('TL12'!$C$10:$C$224,$C208,'TL12'!$J$10:$J$224),0),
IF('TL12'!$B$229=P$3,SUMIF('TL12'!$C$238:$C$451,$C208,'TL12'!$J$238:$J$451),0),
IF('TL13'!$B$3=P$3,SUMIF('TL13'!$C$10:$C$224,$C208,'TL13'!$J$10:$J$224),0),
IF('TL13'!$B$229=P$3,SUMIF('TL13'!$C$238:$C$451,$C208,'TL13'!$J$238:$J$451),0),
IF('TL14'!$B$3=P$3,SUMIF('TL14'!$C$10:$C$224,$C208,'TL14'!$J$10:$J$224),0),
IF('TL14'!$B$229=P$3,SUMIF('TL14'!$C$238:$C$451,$C208,'TL14'!$J$238:$J$451),0),
IF('TL15'!$B$3=P$3,SUMIF('TL15'!$C$10:$C$224,$C208,'TL15'!$J$10:$J$224),0),
IF('TL15'!$B$229=P$3,SUMIF('TL15'!$C$238:$C$451,$C208,'TL15'!$J$238:$J$451),0),
IF('TL16'!$B$3=P$3,SUMIF('TL16'!$C$10:$C$224,$C208,'TL16'!$J$10:$J$224),0),
IF('TL16'!$B$229=P$3,SUMIF('TL16'!$C$238:$C$451,$C208,'TL16'!$J$238:$J$451),0),
IF('TL17'!$B$3=P$3,SUMIF('TL17'!$C$10:$C$224,$C208,'TL17'!$J$10:$J$224),0),
IF('TL17'!$B$229=P$3,SUMIF('TL17'!$C$238:$C$451,$C208,'TL17'!$J$238:$J$451),0),
IF('TL18'!$B$3=P$3,SUMIF('TL18'!$C$10:$C$224,$C208,'TL18'!$J$10:$J$224),0),
IF('TL18'!$B$229=P$3,SUMIF('TL18'!$C$238:$C$451,$C208,'TL18'!$J$238:$J$451),0),
IF('TL19'!$B$3=P$3,SUMIF('TL19'!$C$10:$C$224,$C208,'TL19'!$J$10:$J$224),0),
IF('TL19'!$B$229=P$3,SUMIF('TL19'!$C$238:$C$451,$C208,'TL19'!$J$238:$J$451),0)
),0)</f>
        <v>0</v>
      </c>
      <c r="Q208" s="9">
        <f>IFERROR(SUM(
IF('TL01'!$B$3=Q$3,SUMIF('TL01'!$C$10:$C$224,$C208,'TL01'!$J$10:$J$224),0),
IF('TL01'!$B$229=Q$3,SUMIF('TL01'!$C$238:$C$451,$C208,'TL01'!$J$238:$J$451),0),
IF('TL02'!$B$3=Q$3,SUMIF('TL02'!$C$10:$C$224,$C208,'TL02'!$J$10:$J$224),0),
IF('TL02'!$B$229=Q$3,SUMIF('TL02'!$C$238:$C$451,$C208,'TL02'!$J$238:$J$451),0),
IF('TL03'!$B$3=Q$3,SUMIF('TL03'!$C$10:$C$224,$C208,'TL03'!$J$10:$J$224),0),
IF('TL03'!$B$229=Q$3,SUMIF('TL03'!$C$238:$C$451,$C208,'TL03'!$J$238:$J$451),0),
IF('TL04'!$B$3=Q$3,SUMIF('TL04'!$C$10:$C$224,$C208,'TL04'!$J$10:$J$224),0),
IF('TL04'!$B$229=Q$3,SUMIF('TL04'!$C$238:$C$451,$C208,'TL04'!$J$238:$J$451),0),
IF('TL05'!$B$3=Q$3,SUMIF('TL05'!$C$10:$C$224,$C208,'TL05'!$J$10:$J$224),0),
IF('TL05'!$B$229=Q$3,SUMIF('TL05'!$C$238:$C$451,$C208,'TL05'!$J$238:$J$451),0),
IF('TL06'!$B$3=Q$3,SUMIF('TL06'!$C$10:$C$224,$C208,'TL06'!$J$10:$J$224),0),
IF('TL06'!$B$229=Q$3,SUMIF('TL06'!$C$238:$C$451,$C208,'TL06'!$J$238:$J$451),0),
IF('TL07'!$B$3=Q$3,SUMIF('TL07'!$C$10:$C$224,$C208,'TL07'!$J$10:$J$224),0),
IF('TL07'!$B$229=Q$3,SUMIF('TL07'!$C$238:$C$451,$C208,'TL07'!$J$238:$J$451),0),
IF('TL08'!$B$3=Q$3,SUMIF('TL08'!$C$10:$C$224,$C208,'TL08'!$J$10:$J$224),0),
IF('TL08'!$B$229=Q$3,SUMIF('TL08'!$C$238:$C$451,$C208,'TL08'!$J$238:$J$451),0),
IF('TL09'!$B$3=Q$3,SUMIF('TL09'!$C$10:$C$224,$C208,'TL09'!$J$10:$J$224),0),
IF('TL09'!$B$229=Q$3,SUMIF('TL09'!$C$238:$C$451,$C208,'TL09'!$J$238:$J$451),0),
IF('TL10'!$B$3=Q$3,SUMIF('TL10'!$C$10:$C$224,$C208,'TL10'!$J$10:$J$224),0),
IF('TL10'!$B$229=Q$3,SUMIF('TL10'!$C$238:$C$451,$C208,'TL10'!$J$238:$J$451),0),
IF('TL11'!$B$3=Q$3,SUMIF('TL11'!$C$10:$C$224,$C208,'TL11'!$J$10:$J$224),0),
IF('TL11'!$B$229=Q$3,SUMIF('TL11'!$C$238:$C$451,$C208,'TL11'!$J$238:$J$451),0),
IF('TL12'!$B$3=Q$3,SUMIF('TL12'!$C$10:$C$224,$C208,'TL12'!$J$10:$J$224),0),
IF('TL12'!$B$229=Q$3,SUMIF('TL12'!$C$238:$C$451,$C208,'TL12'!$J$238:$J$451),0),
IF('TL13'!$B$3=Q$3,SUMIF('TL13'!$C$10:$C$224,$C208,'TL13'!$J$10:$J$224),0),
IF('TL13'!$B$229=Q$3,SUMIF('TL13'!$C$238:$C$451,$C208,'TL13'!$J$238:$J$451),0),
IF('TL14'!$B$3=Q$3,SUMIF('TL14'!$C$10:$C$224,$C208,'TL14'!$J$10:$J$224),0),
IF('TL14'!$B$229=Q$3,SUMIF('TL14'!$C$238:$C$451,$C208,'TL14'!$J$238:$J$451),0),
IF('TL15'!$B$3=Q$3,SUMIF('TL15'!$C$10:$C$224,$C208,'TL15'!$J$10:$J$224),0),
IF('TL15'!$B$229=Q$3,SUMIF('TL15'!$C$238:$C$451,$C208,'TL15'!$J$238:$J$451),0),
IF('TL16'!$B$3=Q$3,SUMIF('TL16'!$C$10:$C$224,$C208,'TL16'!$J$10:$J$224),0),
IF('TL16'!$B$229=Q$3,SUMIF('TL16'!$C$238:$C$451,$C208,'TL16'!$J$238:$J$451),0),
IF('TL17'!$B$3=Q$3,SUMIF('TL17'!$C$10:$C$224,$C208,'TL17'!$J$10:$J$224),0),
IF('TL17'!$B$229=Q$3,SUMIF('TL17'!$C$238:$C$451,$C208,'TL17'!$J$238:$J$451),0),
IF('TL18'!$B$3=Q$3,SUMIF('TL18'!$C$10:$C$224,$C208,'TL18'!$J$10:$J$224),0),
IF('TL18'!$B$229=Q$3,SUMIF('TL18'!$C$238:$C$451,$C208,'TL18'!$J$238:$J$451),0),
IF('TL19'!$B$3=Q$3,SUMIF('TL19'!$C$10:$C$224,$C208,'TL19'!$J$10:$J$224),0),
IF('TL19'!$B$229=Q$3,SUMIF('TL19'!$C$238:$C$451,$C208,'TL19'!$J$238:$J$451),0)
),0)</f>
        <v>0</v>
      </c>
      <c r="R208" s="9">
        <f>IFERROR(
SUM(
SUMIF('TL01'!C:C,C208,'TL01'!J:J),
SUMIF('TL02'!C:C,C208,'TL02'!J:J),
SUMIF('TL03'!C:C,C208,'TL03'!J:J),
SUMIF('TL04'!C:C,C208,'TL04'!J:J),
SUMIF('TL05'!C:C,C208,'TL05'!J:J),
SUMIF('TL06'!C:C,C208,'TL06'!J:J),
SUMIF('TL07'!C:C,C208,'TL07'!J:J),
SUMIF('TL08'!C:C,C208,'TL08'!J:J),
SUMIF('TL09'!C:C,C208,'TL09'!J:J),
SUMIF('TL10'!C:C,C208,'TL10'!J:J),
SUMIF('TL11'!C:C,C208,'TL11'!J:J),
SUMIF('TL12'!C:C,C208,'TL12'!J:J),
SUMIF('TL13'!C:C,C208,'TL13'!J:J),
SUMIF('TL14'!C:C,C208,'TL14'!J:J),
SUMIF('TL15'!C:C,C208,'TL15'!J:J),
SUMIF('TL16'!C:C,C208,'TL16'!J:J),
SUMIF('TL17'!C:C,C208,'TL17'!J:J),
SUMIF('TL18'!C:C,C208,'TL18'!J:J),SUMIF('TL19'!C:C,C208,'TL19'!J:J))
,0)</f>
        <v>0</v>
      </c>
      <c r="S208" s="17">
        <f>IFERROR(__xludf.DUMMYFUNCTION("IFERROR(VLOOKUP(C208,
IMPORTRANGE(""1wULbzX32WdYsx-lj2U3uUNBBe2INVIRDtcK0d-Dvl90"",
""26-27!C:G""),
5,
FALSE),
"""")"),58.00293)</f>
        <v>58.00293</v>
      </c>
      <c r="T208" s="9"/>
      <c r="U208" s="92">
        <f t="shared" si="2"/>
        <v>0</v>
      </c>
      <c r="V208" s="93">
        <f t="shared" si="3"/>
        <v>0</v>
      </c>
    </row>
    <row r="209" ht="15.75" hidden="1" customHeight="1">
      <c r="A209" s="94" t="s">
        <v>516</v>
      </c>
      <c r="B209" s="95" t="s">
        <v>2</v>
      </c>
      <c r="C209" s="96" t="s">
        <v>834</v>
      </c>
      <c r="D209" s="96" t="s">
        <v>835</v>
      </c>
      <c r="E209" s="96">
        <v>250.0</v>
      </c>
      <c r="F209" s="4" t="s">
        <v>343</v>
      </c>
      <c r="G209" s="90" t="str">
        <f t="shared" si="4"/>
        <v>📄 Ver bula</v>
      </c>
      <c r="H209" s="9" t="str">
        <f>IFERROR(__xludf.DUMMYFUNCTION("IFERROR(VLOOKUP(C209,
IMPORTRANGE(""1wULbzX32WdYsx-lj2U3uUNBBe2INVIRDtcK0d-Dvl90"",
""26-27!C:K""),
8,
FALSE),
"""")"),"")</f>
        <v/>
      </c>
      <c r="I209" s="97" t="s">
        <v>361</v>
      </c>
      <c r="J209" s="9">
        <f>IFERROR(SUM(
IF('TL01'!$B$3=J$3,SUMIF('TL01'!$C$10:$C$224,$C209,'TL01'!$J$10:$J$224),0),
IF('TL01'!$B$229=J$3,SUMIF('TL01'!$C$238:$C$451,$C209,'TL01'!$J$238:$J$451),0),
IF('TL02'!$B$3=J$3,SUMIF('TL02'!$C$10:$C$224,$C209,'TL02'!$J$10:$J$224),0),
IF('TL02'!$B$229=J$3,SUMIF('TL02'!$C$238:$C$451,$C209,'TL02'!$J$238:$J$451),0),
IF('TL03'!$B$3=J$3,SUMIF('TL03'!$C$10:$C$224,$C209,'TL03'!$J$10:$J$224),0),
IF('TL03'!$B$229=J$3,SUMIF('TL03'!$C$238:$C$451,$C209,'TL03'!$J$238:$J$451),0),
IF('TL04'!$B$3=J$3,SUMIF('TL04'!$C$10:$C$224,$C209,'TL04'!$J$10:$J$224),0),
IF('TL04'!$B$229=J$3,SUMIF('TL04'!$C$238:$C$451,$C209,'TL04'!$J$238:$J$451),0),
IF('TL05'!$B$3=J$3,SUMIF('TL05'!$C$10:$C$224,$C209,'TL05'!$J$10:$J$224),0),
IF('TL05'!$B$229=J$3,SUMIF('TL05'!$C$238:$C$451,$C209,'TL05'!$J$238:$J$451),0),
IF('TL06'!$B$3=J$3,SUMIF('TL06'!$C$10:$C$224,$C209,'TL06'!$J$10:$J$224),0),
IF('TL06'!$B$229=J$3,SUMIF('TL06'!$C$238:$C$451,$C209,'TL06'!$J$238:$J$451),0),
IF('TL07'!$B$3=J$3,SUMIF('TL07'!$C$10:$C$224,$C209,'TL07'!$J$10:$J$224),0),
IF('TL07'!$B$229=J$3,SUMIF('TL07'!$C$238:$C$451,$C209,'TL07'!$J$238:$J$451),0),
IF('TL08'!$B$3=J$3,SUMIF('TL08'!$C$10:$C$224,$C209,'TL08'!$J$10:$J$224),0),
IF('TL08'!$B$229=J$3,SUMIF('TL08'!$C$238:$C$451,$C209,'TL08'!$J$238:$J$451),0),
IF('TL09'!$B$3=J$3,SUMIF('TL09'!$C$10:$C$224,$C209,'TL09'!$J$10:$J$224),0),
IF('TL09'!$B$229=J$3,SUMIF('TL09'!$C$238:$C$451,$C209,'TL09'!$J$238:$J$451),0),
IF('TL10'!$B$3=J$3,SUMIF('TL10'!$C$10:$C$224,$C209,'TL10'!$J$10:$J$224),0),
IF('TL10'!$B$229=J$3,SUMIF('TL10'!$C$238:$C$451,$C209,'TL10'!$J$238:$J$451),0),
IF('TL11'!$B$3=J$3,SUMIF('TL11'!$C$10:$C$224,$C209,'TL11'!$J$10:$J$224),0),
IF('TL11'!$B$229=J$3,SUMIF('TL11'!$C$238:$C$451,$C209,'TL11'!$J$238:$J$451),0),
IF('TL12'!$B$3=J$3,SUMIF('TL12'!$C$10:$C$224,$C209,'TL12'!$J$10:$J$224),0),
IF('TL12'!$B$229=J$3,SUMIF('TL12'!$C$238:$C$451,$C209,'TL12'!$J$238:$J$451),0),
IF('TL13'!$B$3=J$3,SUMIF('TL13'!$C$10:$C$224,$C209,'TL13'!$J$10:$J$224),0),
IF('TL13'!$B$229=J$3,SUMIF('TL13'!$C$238:$C$451,$C209,'TL13'!$J$238:$J$451),0),
IF('TL14'!$B$3=J$3,SUMIF('TL14'!$C$10:$C$224,$C209,'TL14'!$J$10:$J$224),0),
IF('TL14'!$B$229=J$3,SUMIF('TL14'!$C$238:$C$451,$C209,'TL14'!$J$238:$J$451),0),
IF('TL15'!$B$3=J$3,SUMIF('TL15'!$C$10:$C$224,$C209,'TL15'!$J$10:$J$224),0),
IF('TL15'!$B$229=J$3,SUMIF('TL15'!$C$238:$C$451,$C209,'TL15'!$J$238:$J$451),0),
IF('TL16'!$B$3=J$3,SUMIF('TL16'!$C$10:$C$224,$C209,'TL16'!$J$10:$J$224),0),
IF('TL16'!$B$229=J$3,SUMIF('TL16'!$C$238:$C$451,$C209,'TL16'!$J$238:$J$451),0),
IF('TL17'!$B$3=J$3,SUMIF('TL17'!$C$10:$C$224,$C209,'TL17'!$J$10:$J$224),0),
IF('TL17'!$B$229=J$3,SUMIF('TL17'!$C$238:$C$451,$C209,'TL17'!$J$238:$J$451),0),
IF('TL18'!$B$3=J$3,SUMIF('TL18'!$C$10:$C$224,$C209,'TL18'!$J$10:$J$224),0),
IF('TL18'!$B$229=J$3,SUMIF('TL18'!$C$238:$C$451,$C209,'TL18'!$J$238:$J$451),0),
IF('TL19'!$B$3=J$3,SUMIF('TL19'!$C$10:$C$224,$C209,'TL19'!$J$10:$J$224),0),
IF('TL19'!$B$229=J$3,SUMIF('TL19'!$C$238:$C$451,$C209,'TL19'!$J$238:$J$451),0)
),0)</f>
        <v>0</v>
      </c>
      <c r="K209" s="9">
        <f>IFERROR(SUM(
IF('TL01'!$B$3=K$3,SUMIF('TL01'!$C$10:$C$224,$C209,'TL01'!$J$10:$J$224),0),
IF('TL01'!$B$229=K$3,SUMIF('TL01'!$C$238:$C$451,$C209,'TL01'!$J$238:$J$451),0),
IF('TL02'!$B$3=K$3,SUMIF('TL02'!$C$10:$C$224,$C209,'TL02'!$J$10:$J$224),0),
IF('TL02'!$B$229=K$3,SUMIF('TL02'!$C$238:$C$451,$C209,'TL02'!$J$238:$J$451),0),
IF('TL03'!$B$3=K$3,SUMIF('TL03'!$C$10:$C$224,$C209,'TL03'!$J$10:$J$224),0),
IF('TL03'!$B$229=K$3,SUMIF('TL03'!$C$238:$C$451,$C209,'TL03'!$J$238:$J$451),0),
IF('TL04'!$B$3=K$3,SUMIF('TL04'!$C$10:$C$224,$C209,'TL04'!$J$10:$J$224),0),
IF('TL04'!$B$229=K$3,SUMIF('TL04'!$C$238:$C$451,$C209,'TL04'!$J$238:$J$451),0),
IF('TL05'!$B$3=K$3,SUMIF('TL05'!$C$10:$C$224,$C209,'TL05'!$J$10:$J$224),0),
IF('TL05'!$B$229=K$3,SUMIF('TL05'!$C$238:$C$451,$C209,'TL05'!$J$238:$J$451),0),
IF('TL06'!$B$3=K$3,SUMIF('TL06'!$C$10:$C$224,$C209,'TL06'!$J$10:$J$224),0),
IF('TL06'!$B$229=K$3,SUMIF('TL06'!$C$238:$C$451,$C209,'TL06'!$J$238:$J$451),0),
IF('TL07'!$B$3=K$3,SUMIF('TL07'!$C$10:$C$224,$C209,'TL07'!$J$10:$J$224),0),
IF('TL07'!$B$229=K$3,SUMIF('TL07'!$C$238:$C$451,$C209,'TL07'!$J$238:$J$451),0),
IF('TL08'!$B$3=K$3,SUMIF('TL08'!$C$10:$C$224,$C209,'TL08'!$J$10:$J$224),0),
IF('TL08'!$B$229=K$3,SUMIF('TL08'!$C$238:$C$451,$C209,'TL08'!$J$238:$J$451),0),
IF('TL09'!$B$3=K$3,SUMIF('TL09'!$C$10:$C$224,$C209,'TL09'!$J$10:$J$224),0),
IF('TL09'!$B$229=K$3,SUMIF('TL09'!$C$238:$C$451,$C209,'TL09'!$J$238:$J$451),0),
IF('TL10'!$B$3=K$3,SUMIF('TL10'!$C$10:$C$224,$C209,'TL10'!$J$10:$J$224),0),
IF('TL10'!$B$229=K$3,SUMIF('TL10'!$C$238:$C$451,$C209,'TL10'!$J$238:$J$451),0),
IF('TL11'!$B$3=K$3,SUMIF('TL11'!$C$10:$C$224,$C209,'TL11'!$J$10:$J$224),0),
IF('TL11'!$B$229=K$3,SUMIF('TL11'!$C$238:$C$451,$C209,'TL11'!$J$238:$J$451),0),
IF('TL12'!$B$3=K$3,SUMIF('TL12'!$C$10:$C$224,$C209,'TL12'!$J$10:$J$224),0),
IF('TL12'!$B$229=K$3,SUMIF('TL12'!$C$238:$C$451,$C209,'TL12'!$J$238:$J$451),0),
IF('TL13'!$B$3=K$3,SUMIF('TL13'!$C$10:$C$224,$C209,'TL13'!$J$10:$J$224),0),
IF('TL13'!$B$229=K$3,SUMIF('TL13'!$C$238:$C$451,$C209,'TL13'!$J$238:$J$451),0),
IF('TL14'!$B$3=K$3,SUMIF('TL14'!$C$10:$C$224,$C209,'TL14'!$J$10:$J$224),0),
IF('TL14'!$B$229=K$3,SUMIF('TL14'!$C$238:$C$451,$C209,'TL14'!$J$238:$J$451),0),
IF('TL15'!$B$3=K$3,SUMIF('TL15'!$C$10:$C$224,$C209,'TL15'!$J$10:$J$224),0),
IF('TL15'!$B$229=K$3,SUMIF('TL15'!$C$238:$C$451,$C209,'TL15'!$J$238:$J$451),0),
IF('TL16'!$B$3=K$3,SUMIF('TL16'!$C$10:$C$224,$C209,'TL16'!$J$10:$J$224),0),
IF('TL16'!$B$229=K$3,SUMIF('TL16'!$C$238:$C$451,$C209,'TL16'!$J$238:$J$451),0),
IF('TL17'!$B$3=K$3,SUMIF('TL17'!$C$10:$C$224,$C209,'TL17'!$J$10:$J$224),0),
IF('TL17'!$B$229=K$3,SUMIF('TL17'!$C$238:$C$451,$C209,'TL17'!$J$238:$J$451),0),
IF('TL18'!$B$3=K$3,SUMIF('TL18'!$C$10:$C$224,$C209,'TL18'!$J$10:$J$224),0),
IF('TL18'!$B$229=K$3,SUMIF('TL18'!$C$238:$C$451,$C209,'TL18'!$J$238:$J$451),0),
IF('TL19'!$B$3=K$3,SUMIF('TL19'!$C$10:$C$224,$C209,'TL19'!$J$10:$J$224),0),
IF('TL19'!$B$229=K$3,SUMIF('TL19'!$C$238:$C$451,$C209,'TL19'!$J$238:$J$451),0)
),0)</f>
        <v>0</v>
      </c>
      <c r="L209" s="9">
        <f>IFERROR(SUM(
IF('TL01'!$B$3=L$3,SUMIF('TL01'!$C$10:$C$224,$C209,'TL01'!$J$10:$J$224),0),
IF('TL01'!$B$229=L$3,SUMIF('TL01'!$C$238:$C$451,$C209,'TL01'!$J$238:$J$451),0),
IF('TL02'!$B$3=L$3,SUMIF('TL02'!$C$10:$C$224,$C209,'TL02'!$J$10:$J$224),0),
IF('TL02'!$B$229=L$3,SUMIF('TL02'!$C$238:$C$451,$C209,'TL02'!$J$238:$J$451),0),
IF('TL03'!$B$3=L$3,SUMIF('TL03'!$C$10:$C$224,$C209,'TL03'!$J$10:$J$224),0),
IF('TL03'!$B$229=L$3,SUMIF('TL03'!$C$238:$C$451,$C209,'TL03'!$J$238:$J$451),0),
IF('TL04'!$B$3=L$3,SUMIF('TL04'!$C$10:$C$224,$C209,'TL04'!$J$10:$J$224),0),
IF('TL04'!$B$229=L$3,SUMIF('TL04'!$C$238:$C$451,$C209,'TL04'!$J$238:$J$451),0),
IF('TL05'!$B$3=L$3,SUMIF('TL05'!$C$10:$C$224,$C209,'TL05'!$J$10:$J$224),0),
IF('TL05'!$B$229=L$3,SUMIF('TL05'!$C$238:$C$451,$C209,'TL05'!$J$238:$J$451),0),
IF('TL06'!$B$3=L$3,SUMIF('TL06'!$C$10:$C$224,$C209,'TL06'!$J$10:$J$224),0),
IF('TL06'!$B$229=L$3,SUMIF('TL06'!$C$238:$C$451,$C209,'TL06'!$J$238:$J$451),0),
IF('TL07'!$B$3=L$3,SUMIF('TL07'!$C$10:$C$224,$C209,'TL07'!$J$10:$J$224),0),
IF('TL07'!$B$229=L$3,SUMIF('TL07'!$C$238:$C$451,$C209,'TL07'!$J$238:$J$451),0),
IF('TL08'!$B$3=L$3,SUMIF('TL08'!$C$10:$C$224,$C209,'TL08'!$J$10:$J$224),0),
IF('TL08'!$B$229=L$3,SUMIF('TL08'!$C$238:$C$451,$C209,'TL08'!$J$238:$J$451),0),
IF('TL09'!$B$3=L$3,SUMIF('TL09'!$C$10:$C$224,$C209,'TL09'!$J$10:$J$224),0),
IF('TL09'!$B$229=L$3,SUMIF('TL09'!$C$238:$C$451,$C209,'TL09'!$J$238:$J$451),0),
IF('TL10'!$B$3=L$3,SUMIF('TL10'!$C$10:$C$224,$C209,'TL10'!$J$10:$J$224),0),
IF('TL10'!$B$229=L$3,SUMIF('TL10'!$C$238:$C$451,$C209,'TL10'!$J$238:$J$451),0),
IF('TL11'!$B$3=L$3,SUMIF('TL11'!$C$10:$C$224,$C209,'TL11'!$J$10:$J$224),0),
IF('TL11'!$B$229=L$3,SUMIF('TL11'!$C$238:$C$451,$C209,'TL11'!$J$238:$J$451),0),
IF('TL12'!$B$3=L$3,SUMIF('TL12'!$C$10:$C$224,$C209,'TL12'!$J$10:$J$224),0),
IF('TL12'!$B$229=L$3,SUMIF('TL12'!$C$238:$C$451,$C209,'TL12'!$J$238:$J$451),0),
IF('TL13'!$B$3=L$3,SUMIF('TL13'!$C$10:$C$224,$C209,'TL13'!$J$10:$J$224),0),
IF('TL13'!$B$229=L$3,SUMIF('TL13'!$C$238:$C$451,$C209,'TL13'!$J$238:$J$451),0),
IF('TL14'!$B$3=L$3,SUMIF('TL14'!$C$10:$C$224,$C209,'TL14'!$J$10:$J$224),0),
IF('TL14'!$B$229=L$3,SUMIF('TL14'!$C$238:$C$451,$C209,'TL14'!$J$238:$J$451),0),
IF('TL15'!$B$3=L$3,SUMIF('TL15'!$C$10:$C$224,$C209,'TL15'!$J$10:$J$224),0),
IF('TL15'!$B$229=L$3,SUMIF('TL15'!$C$238:$C$451,$C209,'TL15'!$J$238:$J$451),0),
IF('TL16'!$B$3=L$3,SUMIF('TL16'!$C$10:$C$224,$C209,'TL16'!$J$10:$J$224),0),
IF('TL16'!$B$229=L$3,SUMIF('TL16'!$C$238:$C$451,$C209,'TL16'!$J$238:$J$451),0),
IF('TL17'!$B$3=L$3,SUMIF('TL17'!$C$10:$C$224,$C209,'TL17'!$J$10:$J$224),0),
IF('TL17'!$B$229=L$3,SUMIF('TL17'!$C$238:$C$451,$C209,'TL17'!$J$238:$J$451),0),
IF('TL18'!$B$3=L$3,SUMIF('TL18'!$C$10:$C$224,$C209,'TL18'!$J$10:$J$224),0),
IF('TL18'!$B$229=L$3,SUMIF('TL18'!$C$238:$C$451,$C209,'TL18'!$J$238:$J$451),0),
IF('TL19'!$B$3=L$3,SUMIF('TL19'!$C$10:$C$224,$C209,'TL19'!$J$10:$J$224),0),
IF('TL19'!$B$229=L$3,SUMIF('TL19'!$C$238:$C$451,$C209,'TL19'!$J$238:$J$451),0)
),0)</f>
        <v>0</v>
      </c>
      <c r="M209" s="9">
        <f>IFERROR(SUM(
IF('TL01'!$B$3=M$3,SUMIF('TL01'!$C$10:$C$224,$C209,'TL01'!$J$10:$J$224),0),
IF('TL01'!$B$229=M$3,SUMIF('TL01'!$C$238:$C$451,$C209,'TL01'!$J$238:$J$451),0),
IF('TL02'!$B$3=M$3,SUMIF('TL02'!$C$10:$C$224,$C209,'TL02'!$J$10:$J$224),0),
IF('TL02'!$B$229=M$3,SUMIF('TL02'!$C$238:$C$451,$C209,'TL02'!$J$238:$J$451),0),
IF('TL03'!$B$3=M$3,SUMIF('TL03'!$C$10:$C$224,$C209,'TL03'!$J$10:$J$224),0),
IF('TL03'!$B$229=M$3,SUMIF('TL03'!$C$238:$C$451,$C209,'TL03'!$J$238:$J$451),0),
IF('TL04'!$B$3=M$3,SUMIF('TL04'!$C$10:$C$224,$C209,'TL04'!$J$10:$J$224),0),
IF('TL04'!$B$229=M$3,SUMIF('TL04'!$C$238:$C$451,$C209,'TL04'!$J$238:$J$451),0),
IF('TL05'!$B$3=M$3,SUMIF('TL05'!$C$10:$C$224,$C209,'TL05'!$J$10:$J$224),0),
IF('TL05'!$B$229=M$3,SUMIF('TL05'!$C$238:$C$451,$C209,'TL05'!$J$238:$J$451),0),
IF('TL06'!$B$3=M$3,SUMIF('TL06'!$C$10:$C$224,$C209,'TL06'!$J$10:$J$224),0),
IF('TL06'!$B$229=M$3,SUMIF('TL06'!$C$238:$C$451,$C209,'TL06'!$J$238:$J$451),0),
IF('TL07'!$B$3=M$3,SUMIF('TL07'!$C$10:$C$224,$C209,'TL07'!$J$10:$J$224),0),
IF('TL07'!$B$229=M$3,SUMIF('TL07'!$C$238:$C$451,$C209,'TL07'!$J$238:$J$451),0),
IF('TL08'!$B$3=M$3,SUMIF('TL08'!$C$10:$C$224,$C209,'TL08'!$J$10:$J$224),0),
IF('TL08'!$B$229=M$3,SUMIF('TL08'!$C$238:$C$451,$C209,'TL08'!$J$238:$J$451),0),
IF('TL09'!$B$3=M$3,SUMIF('TL09'!$C$10:$C$224,$C209,'TL09'!$J$10:$J$224),0),
IF('TL09'!$B$229=M$3,SUMIF('TL09'!$C$238:$C$451,$C209,'TL09'!$J$238:$J$451),0),
IF('TL10'!$B$3=M$3,SUMIF('TL10'!$C$10:$C$224,$C209,'TL10'!$J$10:$J$224),0),
IF('TL10'!$B$229=M$3,SUMIF('TL10'!$C$238:$C$451,$C209,'TL10'!$J$238:$J$451),0),
IF('TL11'!$B$3=M$3,SUMIF('TL11'!$C$10:$C$224,$C209,'TL11'!$J$10:$J$224),0),
IF('TL11'!$B$229=M$3,SUMIF('TL11'!$C$238:$C$451,$C209,'TL11'!$J$238:$J$451),0),
IF('TL12'!$B$3=M$3,SUMIF('TL12'!$C$10:$C$224,$C209,'TL12'!$J$10:$J$224),0),
IF('TL12'!$B$229=M$3,SUMIF('TL12'!$C$238:$C$451,$C209,'TL12'!$J$238:$J$451),0),
IF('TL13'!$B$3=M$3,SUMIF('TL13'!$C$10:$C$224,$C209,'TL13'!$J$10:$J$224),0),
IF('TL13'!$B$229=M$3,SUMIF('TL13'!$C$238:$C$451,$C209,'TL13'!$J$238:$J$451),0),
IF('TL14'!$B$3=M$3,SUMIF('TL14'!$C$10:$C$224,$C209,'TL14'!$J$10:$J$224),0),
IF('TL14'!$B$229=M$3,SUMIF('TL14'!$C$238:$C$451,$C209,'TL14'!$J$238:$J$451),0),
IF('TL15'!$B$3=M$3,SUMIF('TL15'!$C$10:$C$224,$C209,'TL15'!$J$10:$J$224),0),
IF('TL15'!$B$229=M$3,SUMIF('TL15'!$C$238:$C$451,$C209,'TL15'!$J$238:$J$451),0),
IF('TL16'!$B$3=M$3,SUMIF('TL16'!$C$10:$C$224,$C209,'TL16'!$J$10:$J$224),0),
IF('TL16'!$B$229=M$3,SUMIF('TL16'!$C$238:$C$451,$C209,'TL16'!$J$238:$J$451),0),
IF('TL17'!$B$3=M$3,SUMIF('TL17'!$C$10:$C$224,$C209,'TL17'!$J$10:$J$224),0),
IF('TL17'!$B$229=M$3,SUMIF('TL17'!$C$238:$C$451,$C209,'TL17'!$J$238:$J$451),0),
IF('TL18'!$B$3=M$3,SUMIF('TL18'!$C$10:$C$224,$C209,'TL18'!$J$10:$J$224),0),
IF('TL18'!$B$229=M$3,SUMIF('TL18'!$C$238:$C$451,$C209,'TL18'!$J$238:$J$451),0),
IF('TL19'!$B$3=M$3,SUMIF('TL19'!$C$10:$C$224,$C209,'TL19'!$J$10:$J$224),0),
IF('TL19'!$B$229=M$3,SUMIF('TL19'!$C$238:$C$451,$C209,'TL19'!$J$238:$J$451),0)
),0)</f>
        <v>0</v>
      </c>
      <c r="N209" s="9">
        <f>IFERROR(SUM(
IF('TL01'!$B$3=N$3,SUMIF('TL01'!$C$10:$C$224,$C209,'TL01'!$J$10:$J$224),0),
IF('TL01'!$B$229=N$3,SUMIF('TL01'!$C$238:$C$451,$C209,'TL01'!$J$238:$J$451),0),
IF('TL02'!$B$3=N$3,SUMIF('TL02'!$C$10:$C$224,$C209,'TL02'!$J$10:$J$224),0),
IF('TL02'!$B$229=N$3,SUMIF('TL02'!$C$238:$C$451,$C209,'TL02'!$J$238:$J$451),0),
IF('TL03'!$B$3=N$3,SUMIF('TL03'!$C$10:$C$224,$C209,'TL03'!$J$10:$J$224),0),
IF('TL03'!$B$229=N$3,SUMIF('TL03'!$C$238:$C$451,$C209,'TL03'!$J$238:$J$451),0),
IF('TL04'!$B$3=N$3,SUMIF('TL04'!$C$10:$C$224,$C209,'TL04'!$J$10:$J$224),0),
IF('TL04'!$B$229=N$3,SUMIF('TL04'!$C$238:$C$451,$C209,'TL04'!$J$238:$J$451),0),
IF('TL05'!$B$3=N$3,SUMIF('TL05'!$C$10:$C$224,$C209,'TL05'!$J$10:$J$224),0),
IF('TL05'!$B$229=N$3,SUMIF('TL05'!$C$238:$C$451,$C209,'TL05'!$J$238:$J$451),0),
IF('TL06'!$B$3=N$3,SUMIF('TL06'!$C$10:$C$224,$C209,'TL06'!$J$10:$J$224),0),
IF('TL06'!$B$229=N$3,SUMIF('TL06'!$C$238:$C$451,$C209,'TL06'!$J$238:$J$451),0),
IF('TL07'!$B$3=N$3,SUMIF('TL07'!$C$10:$C$224,$C209,'TL07'!$J$10:$J$224),0),
IF('TL07'!$B$229=N$3,SUMIF('TL07'!$C$238:$C$451,$C209,'TL07'!$J$238:$J$451),0),
IF('TL08'!$B$3=N$3,SUMIF('TL08'!$C$10:$C$224,$C209,'TL08'!$J$10:$J$224),0),
IF('TL08'!$B$229=N$3,SUMIF('TL08'!$C$238:$C$451,$C209,'TL08'!$J$238:$J$451),0),
IF('TL09'!$B$3=N$3,SUMIF('TL09'!$C$10:$C$224,$C209,'TL09'!$J$10:$J$224),0),
IF('TL09'!$B$229=N$3,SUMIF('TL09'!$C$238:$C$451,$C209,'TL09'!$J$238:$J$451),0),
IF('TL10'!$B$3=N$3,SUMIF('TL10'!$C$10:$C$224,$C209,'TL10'!$J$10:$J$224),0),
IF('TL10'!$B$229=N$3,SUMIF('TL10'!$C$238:$C$451,$C209,'TL10'!$J$238:$J$451),0),
IF('TL11'!$B$3=N$3,SUMIF('TL11'!$C$10:$C$224,$C209,'TL11'!$J$10:$J$224),0),
IF('TL11'!$B$229=N$3,SUMIF('TL11'!$C$238:$C$451,$C209,'TL11'!$J$238:$J$451),0),
IF('TL12'!$B$3=N$3,SUMIF('TL12'!$C$10:$C$224,$C209,'TL12'!$J$10:$J$224),0),
IF('TL12'!$B$229=N$3,SUMIF('TL12'!$C$238:$C$451,$C209,'TL12'!$J$238:$J$451),0),
IF('TL13'!$B$3=N$3,SUMIF('TL13'!$C$10:$C$224,$C209,'TL13'!$J$10:$J$224),0),
IF('TL13'!$B$229=N$3,SUMIF('TL13'!$C$238:$C$451,$C209,'TL13'!$J$238:$J$451),0),
IF('TL14'!$B$3=N$3,SUMIF('TL14'!$C$10:$C$224,$C209,'TL14'!$J$10:$J$224),0),
IF('TL14'!$B$229=N$3,SUMIF('TL14'!$C$238:$C$451,$C209,'TL14'!$J$238:$J$451),0),
IF('TL15'!$B$3=N$3,SUMIF('TL15'!$C$10:$C$224,$C209,'TL15'!$J$10:$J$224),0),
IF('TL15'!$B$229=N$3,SUMIF('TL15'!$C$238:$C$451,$C209,'TL15'!$J$238:$J$451),0),
IF('TL16'!$B$3=N$3,SUMIF('TL16'!$C$10:$C$224,$C209,'TL16'!$J$10:$J$224),0),
IF('TL16'!$B$229=N$3,SUMIF('TL16'!$C$238:$C$451,$C209,'TL16'!$J$238:$J$451),0),
IF('TL17'!$B$3=N$3,SUMIF('TL17'!$C$10:$C$224,$C209,'TL17'!$J$10:$J$224),0),
IF('TL17'!$B$229=N$3,SUMIF('TL17'!$C$238:$C$451,$C209,'TL17'!$J$238:$J$451),0),
IF('TL18'!$B$3=N$3,SUMIF('TL18'!$C$10:$C$224,$C209,'TL18'!$J$10:$J$224),0),
IF('TL18'!$B$229=N$3,SUMIF('TL18'!$C$238:$C$451,$C209,'TL18'!$J$238:$J$451),0),
IF('TL19'!$B$3=N$3,SUMIF('TL19'!$C$10:$C$224,$C209,'TL19'!$J$10:$J$224),0),
IF('TL19'!$B$229=N$3,SUMIF('TL19'!$C$238:$C$451,$C209,'TL19'!$J$238:$J$451),0)
),0)</f>
        <v>0</v>
      </c>
      <c r="O209" s="9">
        <f>IFERROR(SUM(
IF('TL01'!$B$3=O$3,SUMIF('TL01'!$C$10:$C$224,$C209,'TL01'!$J$10:$J$224),0),
IF('TL01'!$B$229=O$3,SUMIF('TL01'!$C$238:$C$451,$C209,'TL01'!$J$238:$J$451),0),
IF('TL02'!$B$3=O$3,SUMIF('TL02'!$C$10:$C$224,$C209,'TL02'!$J$10:$J$224),0),
IF('TL02'!$B$229=O$3,SUMIF('TL02'!$C$238:$C$451,$C209,'TL02'!$J$238:$J$451),0),
IF('TL03'!$B$3=O$3,SUMIF('TL03'!$C$10:$C$224,$C209,'TL03'!$J$10:$J$224),0),
IF('TL03'!$B$229=O$3,SUMIF('TL03'!$C$238:$C$451,$C209,'TL03'!$J$238:$J$451),0),
IF('TL04'!$B$3=O$3,SUMIF('TL04'!$C$10:$C$224,$C209,'TL04'!$J$10:$J$224),0),
IF('TL04'!$B$229=O$3,SUMIF('TL04'!$C$238:$C$451,$C209,'TL04'!$J$238:$J$451),0),
IF('TL05'!$B$3=O$3,SUMIF('TL05'!$C$10:$C$224,$C209,'TL05'!$J$10:$J$224),0),
IF('TL05'!$B$229=O$3,SUMIF('TL05'!$C$238:$C$451,$C209,'TL05'!$J$238:$J$451),0),
IF('TL06'!$B$3=O$3,SUMIF('TL06'!$C$10:$C$224,$C209,'TL06'!$J$10:$J$224),0),
IF('TL06'!$B$229=O$3,SUMIF('TL06'!$C$238:$C$451,$C209,'TL06'!$J$238:$J$451),0),
IF('TL07'!$B$3=O$3,SUMIF('TL07'!$C$10:$C$224,$C209,'TL07'!$J$10:$J$224),0),
IF('TL07'!$B$229=O$3,SUMIF('TL07'!$C$238:$C$451,$C209,'TL07'!$J$238:$J$451),0),
IF('TL08'!$B$3=O$3,SUMIF('TL08'!$C$10:$C$224,$C209,'TL08'!$J$10:$J$224),0),
IF('TL08'!$B$229=O$3,SUMIF('TL08'!$C$238:$C$451,$C209,'TL08'!$J$238:$J$451),0),
IF('TL09'!$B$3=O$3,SUMIF('TL09'!$C$10:$C$224,$C209,'TL09'!$J$10:$J$224),0),
IF('TL09'!$B$229=O$3,SUMIF('TL09'!$C$238:$C$451,$C209,'TL09'!$J$238:$J$451),0),
IF('TL10'!$B$3=O$3,SUMIF('TL10'!$C$10:$C$224,$C209,'TL10'!$J$10:$J$224),0),
IF('TL10'!$B$229=O$3,SUMIF('TL10'!$C$238:$C$451,$C209,'TL10'!$J$238:$J$451),0),
IF('TL11'!$B$3=O$3,SUMIF('TL11'!$C$10:$C$224,$C209,'TL11'!$J$10:$J$224),0),
IF('TL11'!$B$229=O$3,SUMIF('TL11'!$C$238:$C$451,$C209,'TL11'!$J$238:$J$451),0),
IF('TL12'!$B$3=O$3,SUMIF('TL12'!$C$10:$C$224,$C209,'TL12'!$J$10:$J$224),0),
IF('TL12'!$B$229=O$3,SUMIF('TL12'!$C$238:$C$451,$C209,'TL12'!$J$238:$J$451),0),
IF('TL13'!$B$3=O$3,SUMIF('TL13'!$C$10:$C$224,$C209,'TL13'!$J$10:$J$224),0),
IF('TL13'!$B$229=O$3,SUMIF('TL13'!$C$238:$C$451,$C209,'TL13'!$J$238:$J$451),0),
IF('TL14'!$B$3=O$3,SUMIF('TL14'!$C$10:$C$224,$C209,'TL14'!$J$10:$J$224),0),
IF('TL14'!$B$229=O$3,SUMIF('TL14'!$C$238:$C$451,$C209,'TL14'!$J$238:$J$451),0),
IF('TL15'!$B$3=O$3,SUMIF('TL15'!$C$10:$C$224,$C209,'TL15'!$J$10:$J$224),0),
IF('TL15'!$B$229=O$3,SUMIF('TL15'!$C$238:$C$451,$C209,'TL15'!$J$238:$J$451),0),
IF('TL16'!$B$3=O$3,SUMIF('TL16'!$C$10:$C$224,$C209,'TL16'!$J$10:$J$224),0),
IF('TL16'!$B$229=O$3,SUMIF('TL16'!$C$238:$C$451,$C209,'TL16'!$J$238:$J$451),0),
IF('TL17'!$B$3=O$3,SUMIF('TL17'!$C$10:$C$224,$C209,'TL17'!$J$10:$J$224),0),
IF('TL17'!$B$229=O$3,SUMIF('TL17'!$C$238:$C$451,$C209,'TL17'!$J$238:$J$451),0),
IF('TL18'!$B$3=O$3,SUMIF('TL18'!$C$10:$C$224,$C209,'TL18'!$J$10:$J$224),0),
IF('TL18'!$B$229=O$3,SUMIF('TL18'!$C$238:$C$451,$C209,'TL18'!$J$238:$J$451),0),
IF('TL19'!$B$3=O$3,SUMIF('TL19'!$C$10:$C$224,$C209,'TL19'!$J$10:$J$224),0),
IF('TL19'!$B$229=O$3,SUMIF('TL19'!$C$238:$C$451,$C209,'TL19'!$J$238:$J$451),0)
),0)</f>
        <v>0</v>
      </c>
      <c r="P209" s="9">
        <f>IFERROR(SUM(
IF('TL01'!$B$3=P$3,SUMIF('TL01'!$C$10:$C$224,$C209,'TL01'!$J$10:$J$224),0),
IF('TL01'!$B$229=P$3,SUMIF('TL01'!$C$238:$C$451,$C209,'TL01'!$J$238:$J$451),0),
IF('TL02'!$B$3=P$3,SUMIF('TL02'!$C$10:$C$224,$C209,'TL02'!$J$10:$J$224),0),
IF('TL02'!$B$229=P$3,SUMIF('TL02'!$C$238:$C$451,$C209,'TL02'!$J$238:$J$451),0),
IF('TL03'!$B$3=P$3,SUMIF('TL03'!$C$10:$C$224,$C209,'TL03'!$J$10:$J$224),0),
IF('TL03'!$B$229=P$3,SUMIF('TL03'!$C$238:$C$451,$C209,'TL03'!$J$238:$J$451),0),
IF('TL04'!$B$3=P$3,SUMIF('TL04'!$C$10:$C$224,$C209,'TL04'!$J$10:$J$224),0),
IF('TL04'!$B$229=P$3,SUMIF('TL04'!$C$238:$C$451,$C209,'TL04'!$J$238:$J$451),0),
IF('TL05'!$B$3=P$3,SUMIF('TL05'!$C$10:$C$224,$C209,'TL05'!$J$10:$J$224),0),
IF('TL05'!$B$229=P$3,SUMIF('TL05'!$C$238:$C$451,$C209,'TL05'!$J$238:$J$451),0),
IF('TL06'!$B$3=P$3,SUMIF('TL06'!$C$10:$C$224,$C209,'TL06'!$J$10:$J$224),0),
IF('TL06'!$B$229=P$3,SUMIF('TL06'!$C$238:$C$451,$C209,'TL06'!$J$238:$J$451),0),
IF('TL07'!$B$3=P$3,SUMIF('TL07'!$C$10:$C$224,$C209,'TL07'!$J$10:$J$224),0),
IF('TL07'!$B$229=P$3,SUMIF('TL07'!$C$238:$C$451,$C209,'TL07'!$J$238:$J$451),0),
IF('TL08'!$B$3=P$3,SUMIF('TL08'!$C$10:$C$224,$C209,'TL08'!$J$10:$J$224),0),
IF('TL08'!$B$229=P$3,SUMIF('TL08'!$C$238:$C$451,$C209,'TL08'!$J$238:$J$451),0),
IF('TL09'!$B$3=P$3,SUMIF('TL09'!$C$10:$C$224,$C209,'TL09'!$J$10:$J$224),0),
IF('TL09'!$B$229=P$3,SUMIF('TL09'!$C$238:$C$451,$C209,'TL09'!$J$238:$J$451),0),
IF('TL10'!$B$3=P$3,SUMIF('TL10'!$C$10:$C$224,$C209,'TL10'!$J$10:$J$224),0),
IF('TL10'!$B$229=P$3,SUMIF('TL10'!$C$238:$C$451,$C209,'TL10'!$J$238:$J$451),0),
IF('TL11'!$B$3=P$3,SUMIF('TL11'!$C$10:$C$224,$C209,'TL11'!$J$10:$J$224),0),
IF('TL11'!$B$229=P$3,SUMIF('TL11'!$C$238:$C$451,$C209,'TL11'!$J$238:$J$451),0),
IF('TL12'!$B$3=P$3,SUMIF('TL12'!$C$10:$C$224,$C209,'TL12'!$J$10:$J$224),0),
IF('TL12'!$B$229=P$3,SUMIF('TL12'!$C$238:$C$451,$C209,'TL12'!$J$238:$J$451),0),
IF('TL13'!$B$3=P$3,SUMIF('TL13'!$C$10:$C$224,$C209,'TL13'!$J$10:$J$224),0),
IF('TL13'!$B$229=P$3,SUMIF('TL13'!$C$238:$C$451,$C209,'TL13'!$J$238:$J$451),0),
IF('TL14'!$B$3=P$3,SUMIF('TL14'!$C$10:$C$224,$C209,'TL14'!$J$10:$J$224),0),
IF('TL14'!$B$229=P$3,SUMIF('TL14'!$C$238:$C$451,$C209,'TL14'!$J$238:$J$451),0),
IF('TL15'!$B$3=P$3,SUMIF('TL15'!$C$10:$C$224,$C209,'TL15'!$J$10:$J$224),0),
IF('TL15'!$B$229=P$3,SUMIF('TL15'!$C$238:$C$451,$C209,'TL15'!$J$238:$J$451),0),
IF('TL16'!$B$3=P$3,SUMIF('TL16'!$C$10:$C$224,$C209,'TL16'!$J$10:$J$224),0),
IF('TL16'!$B$229=P$3,SUMIF('TL16'!$C$238:$C$451,$C209,'TL16'!$J$238:$J$451),0),
IF('TL17'!$B$3=P$3,SUMIF('TL17'!$C$10:$C$224,$C209,'TL17'!$J$10:$J$224),0),
IF('TL17'!$B$229=P$3,SUMIF('TL17'!$C$238:$C$451,$C209,'TL17'!$J$238:$J$451),0),
IF('TL18'!$B$3=P$3,SUMIF('TL18'!$C$10:$C$224,$C209,'TL18'!$J$10:$J$224),0),
IF('TL18'!$B$229=P$3,SUMIF('TL18'!$C$238:$C$451,$C209,'TL18'!$J$238:$J$451),0),
IF('TL19'!$B$3=P$3,SUMIF('TL19'!$C$10:$C$224,$C209,'TL19'!$J$10:$J$224),0),
IF('TL19'!$B$229=P$3,SUMIF('TL19'!$C$238:$C$451,$C209,'TL19'!$J$238:$J$451),0)
),0)</f>
        <v>0</v>
      </c>
      <c r="Q209" s="9">
        <f>IFERROR(SUM(
IF('TL01'!$B$3=Q$3,SUMIF('TL01'!$C$10:$C$224,$C209,'TL01'!$J$10:$J$224),0),
IF('TL01'!$B$229=Q$3,SUMIF('TL01'!$C$238:$C$451,$C209,'TL01'!$J$238:$J$451),0),
IF('TL02'!$B$3=Q$3,SUMIF('TL02'!$C$10:$C$224,$C209,'TL02'!$J$10:$J$224),0),
IF('TL02'!$B$229=Q$3,SUMIF('TL02'!$C$238:$C$451,$C209,'TL02'!$J$238:$J$451),0),
IF('TL03'!$B$3=Q$3,SUMIF('TL03'!$C$10:$C$224,$C209,'TL03'!$J$10:$J$224),0),
IF('TL03'!$B$229=Q$3,SUMIF('TL03'!$C$238:$C$451,$C209,'TL03'!$J$238:$J$451),0),
IF('TL04'!$B$3=Q$3,SUMIF('TL04'!$C$10:$C$224,$C209,'TL04'!$J$10:$J$224),0),
IF('TL04'!$B$229=Q$3,SUMIF('TL04'!$C$238:$C$451,$C209,'TL04'!$J$238:$J$451),0),
IF('TL05'!$B$3=Q$3,SUMIF('TL05'!$C$10:$C$224,$C209,'TL05'!$J$10:$J$224),0),
IF('TL05'!$B$229=Q$3,SUMIF('TL05'!$C$238:$C$451,$C209,'TL05'!$J$238:$J$451),0),
IF('TL06'!$B$3=Q$3,SUMIF('TL06'!$C$10:$C$224,$C209,'TL06'!$J$10:$J$224),0),
IF('TL06'!$B$229=Q$3,SUMIF('TL06'!$C$238:$C$451,$C209,'TL06'!$J$238:$J$451),0),
IF('TL07'!$B$3=Q$3,SUMIF('TL07'!$C$10:$C$224,$C209,'TL07'!$J$10:$J$224),0),
IF('TL07'!$B$229=Q$3,SUMIF('TL07'!$C$238:$C$451,$C209,'TL07'!$J$238:$J$451),0),
IF('TL08'!$B$3=Q$3,SUMIF('TL08'!$C$10:$C$224,$C209,'TL08'!$J$10:$J$224),0),
IF('TL08'!$B$229=Q$3,SUMIF('TL08'!$C$238:$C$451,$C209,'TL08'!$J$238:$J$451),0),
IF('TL09'!$B$3=Q$3,SUMIF('TL09'!$C$10:$C$224,$C209,'TL09'!$J$10:$J$224),0),
IF('TL09'!$B$229=Q$3,SUMIF('TL09'!$C$238:$C$451,$C209,'TL09'!$J$238:$J$451),0),
IF('TL10'!$B$3=Q$3,SUMIF('TL10'!$C$10:$C$224,$C209,'TL10'!$J$10:$J$224),0),
IF('TL10'!$B$229=Q$3,SUMIF('TL10'!$C$238:$C$451,$C209,'TL10'!$J$238:$J$451),0),
IF('TL11'!$B$3=Q$3,SUMIF('TL11'!$C$10:$C$224,$C209,'TL11'!$J$10:$J$224),0),
IF('TL11'!$B$229=Q$3,SUMIF('TL11'!$C$238:$C$451,$C209,'TL11'!$J$238:$J$451),0),
IF('TL12'!$B$3=Q$3,SUMIF('TL12'!$C$10:$C$224,$C209,'TL12'!$J$10:$J$224),0),
IF('TL12'!$B$229=Q$3,SUMIF('TL12'!$C$238:$C$451,$C209,'TL12'!$J$238:$J$451),0),
IF('TL13'!$B$3=Q$3,SUMIF('TL13'!$C$10:$C$224,$C209,'TL13'!$J$10:$J$224),0),
IF('TL13'!$B$229=Q$3,SUMIF('TL13'!$C$238:$C$451,$C209,'TL13'!$J$238:$J$451),0),
IF('TL14'!$B$3=Q$3,SUMIF('TL14'!$C$10:$C$224,$C209,'TL14'!$J$10:$J$224),0),
IF('TL14'!$B$229=Q$3,SUMIF('TL14'!$C$238:$C$451,$C209,'TL14'!$J$238:$J$451),0),
IF('TL15'!$B$3=Q$3,SUMIF('TL15'!$C$10:$C$224,$C209,'TL15'!$J$10:$J$224),0),
IF('TL15'!$B$229=Q$3,SUMIF('TL15'!$C$238:$C$451,$C209,'TL15'!$J$238:$J$451),0),
IF('TL16'!$B$3=Q$3,SUMIF('TL16'!$C$10:$C$224,$C209,'TL16'!$J$10:$J$224),0),
IF('TL16'!$B$229=Q$3,SUMIF('TL16'!$C$238:$C$451,$C209,'TL16'!$J$238:$J$451),0),
IF('TL17'!$B$3=Q$3,SUMIF('TL17'!$C$10:$C$224,$C209,'TL17'!$J$10:$J$224),0),
IF('TL17'!$B$229=Q$3,SUMIF('TL17'!$C$238:$C$451,$C209,'TL17'!$J$238:$J$451),0),
IF('TL18'!$B$3=Q$3,SUMIF('TL18'!$C$10:$C$224,$C209,'TL18'!$J$10:$J$224),0),
IF('TL18'!$B$229=Q$3,SUMIF('TL18'!$C$238:$C$451,$C209,'TL18'!$J$238:$J$451),0),
IF('TL19'!$B$3=Q$3,SUMIF('TL19'!$C$10:$C$224,$C209,'TL19'!$J$10:$J$224),0),
IF('TL19'!$B$229=Q$3,SUMIF('TL19'!$C$238:$C$451,$C209,'TL19'!$J$238:$J$451),0)
),0)</f>
        <v>0</v>
      </c>
      <c r="R209" s="9">
        <f>IFERROR(
SUM(
SUMIF('TL01'!C:C,C209,'TL01'!J:J),
SUMIF('TL02'!C:C,C209,'TL02'!J:J),
SUMIF('TL03'!C:C,C209,'TL03'!J:J),
SUMIF('TL04'!C:C,C209,'TL04'!J:J),
SUMIF('TL05'!C:C,C209,'TL05'!J:J),
SUMIF('TL06'!C:C,C209,'TL06'!J:J),
SUMIF('TL07'!C:C,C209,'TL07'!J:J),
SUMIF('TL08'!C:C,C209,'TL08'!J:J),
SUMIF('TL09'!C:C,C209,'TL09'!J:J),
SUMIF('TL10'!C:C,C209,'TL10'!J:J),
SUMIF('TL11'!C:C,C209,'TL11'!J:J),
SUMIF('TL12'!C:C,C209,'TL12'!J:J),
SUMIF('TL13'!C:C,C209,'TL13'!J:J),
SUMIF('TL14'!C:C,C209,'TL14'!J:J),
SUMIF('TL15'!C:C,C209,'TL15'!J:J),
SUMIF('TL16'!C:C,C209,'TL16'!J:J),
SUMIF('TL17'!C:C,C209,'TL17'!J:J),
SUMIF('TL18'!C:C,C209,'TL18'!J:J),SUMIF('TL19'!C:C,C209,'TL19'!J:J))
,0)</f>
        <v>0</v>
      </c>
      <c r="S209" s="17">
        <f>IFERROR(__xludf.DUMMYFUNCTION("IFERROR(VLOOKUP(C209,
IMPORTRANGE(""1wULbzX32WdYsx-lj2U3uUNBBe2INVIRDtcK0d-Dvl90"",
""26-27!C:G""),
5,
FALSE),
"""")"),25.383239999999997)</f>
        <v>25.38324</v>
      </c>
      <c r="T209" s="9"/>
      <c r="U209" s="92">
        <f t="shared" si="2"/>
        <v>0</v>
      </c>
      <c r="V209" s="93">
        <f t="shared" si="3"/>
        <v>0</v>
      </c>
    </row>
    <row r="210" ht="15.75" hidden="1" customHeight="1">
      <c r="A210" s="87" t="s">
        <v>516</v>
      </c>
      <c r="B210" s="88" t="s">
        <v>2</v>
      </c>
      <c r="C210" s="89" t="s">
        <v>836</v>
      </c>
      <c r="D210" s="89" t="s">
        <v>825</v>
      </c>
      <c r="E210" s="89">
        <v>400.0</v>
      </c>
      <c r="F210" s="4" t="s">
        <v>343</v>
      </c>
      <c r="G210" s="90" t="str">
        <f t="shared" si="4"/>
        <v>📄 Ver bula</v>
      </c>
      <c r="H210" s="9">
        <f>IFERROR(__xludf.DUMMYFUNCTION("IFERROR(VLOOKUP(C210,
IMPORTRANGE(""1wULbzX32WdYsx-lj2U3uUNBBe2INVIRDtcK0d-Dvl90"",
""26-27!C:K""),
8,
FALSE),
"""")"),0.025)</f>
        <v>0.025</v>
      </c>
      <c r="I210" s="91" t="s">
        <v>361</v>
      </c>
      <c r="J210" s="9">
        <f>IFERROR(SUM(
IF('TL01'!$B$3=J$3,SUMIF('TL01'!$C$10:$C$224,$C210,'TL01'!$J$10:$J$224),0),
IF('TL01'!$B$229=J$3,SUMIF('TL01'!$C$238:$C$451,$C210,'TL01'!$J$238:$J$451),0),
IF('TL02'!$B$3=J$3,SUMIF('TL02'!$C$10:$C$224,$C210,'TL02'!$J$10:$J$224),0),
IF('TL02'!$B$229=J$3,SUMIF('TL02'!$C$238:$C$451,$C210,'TL02'!$J$238:$J$451),0),
IF('TL03'!$B$3=J$3,SUMIF('TL03'!$C$10:$C$224,$C210,'TL03'!$J$10:$J$224),0),
IF('TL03'!$B$229=J$3,SUMIF('TL03'!$C$238:$C$451,$C210,'TL03'!$J$238:$J$451),0),
IF('TL04'!$B$3=J$3,SUMIF('TL04'!$C$10:$C$224,$C210,'TL04'!$J$10:$J$224),0),
IF('TL04'!$B$229=J$3,SUMIF('TL04'!$C$238:$C$451,$C210,'TL04'!$J$238:$J$451),0),
IF('TL05'!$B$3=J$3,SUMIF('TL05'!$C$10:$C$224,$C210,'TL05'!$J$10:$J$224),0),
IF('TL05'!$B$229=J$3,SUMIF('TL05'!$C$238:$C$451,$C210,'TL05'!$J$238:$J$451),0),
IF('TL06'!$B$3=J$3,SUMIF('TL06'!$C$10:$C$224,$C210,'TL06'!$J$10:$J$224),0),
IF('TL06'!$B$229=J$3,SUMIF('TL06'!$C$238:$C$451,$C210,'TL06'!$J$238:$J$451),0),
IF('TL07'!$B$3=J$3,SUMIF('TL07'!$C$10:$C$224,$C210,'TL07'!$J$10:$J$224),0),
IF('TL07'!$B$229=J$3,SUMIF('TL07'!$C$238:$C$451,$C210,'TL07'!$J$238:$J$451),0),
IF('TL08'!$B$3=J$3,SUMIF('TL08'!$C$10:$C$224,$C210,'TL08'!$J$10:$J$224),0),
IF('TL08'!$B$229=J$3,SUMIF('TL08'!$C$238:$C$451,$C210,'TL08'!$J$238:$J$451),0),
IF('TL09'!$B$3=J$3,SUMIF('TL09'!$C$10:$C$224,$C210,'TL09'!$J$10:$J$224),0),
IF('TL09'!$B$229=J$3,SUMIF('TL09'!$C$238:$C$451,$C210,'TL09'!$J$238:$J$451),0),
IF('TL10'!$B$3=J$3,SUMIF('TL10'!$C$10:$C$224,$C210,'TL10'!$J$10:$J$224),0),
IF('TL10'!$B$229=J$3,SUMIF('TL10'!$C$238:$C$451,$C210,'TL10'!$J$238:$J$451),0),
IF('TL11'!$B$3=J$3,SUMIF('TL11'!$C$10:$C$224,$C210,'TL11'!$J$10:$J$224),0),
IF('TL11'!$B$229=J$3,SUMIF('TL11'!$C$238:$C$451,$C210,'TL11'!$J$238:$J$451),0),
IF('TL12'!$B$3=J$3,SUMIF('TL12'!$C$10:$C$224,$C210,'TL12'!$J$10:$J$224),0),
IF('TL12'!$B$229=J$3,SUMIF('TL12'!$C$238:$C$451,$C210,'TL12'!$J$238:$J$451),0),
IF('TL13'!$B$3=J$3,SUMIF('TL13'!$C$10:$C$224,$C210,'TL13'!$J$10:$J$224),0),
IF('TL13'!$B$229=J$3,SUMIF('TL13'!$C$238:$C$451,$C210,'TL13'!$J$238:$J$451),0),
IF('TL14'!$B$3=J$3,SUMIF('TL14'!$C$10:$C$224,$C210,'TL14'!$J$10:$J$224),0),
IF('TL14'!$B$229=J$3,SUMIF('TL14'!$C$238:$C$451,$C210,'TL14'!$J$238:$J$451),0),
IF('TL15'!$B$3=J$3,SUMIF('TL15'!$C$10:$C$224,$C210,'TL15'!$J$10:$J$224),0),
IF('TL15'!$B$229=J$3,SUMIF('TL15'!$C$238:$C$451,$C210,'TL15'!$J$238:$J$451),0),
IF('TL16'!$B$3=J$3,SUMIF('TL16'!$C$10:$C$224,$C210,'TL16'!$J$10:$J$224),0),
IF('TL16'!$B$229=J$3,SUMIF('TL16'!$C$238:$C$451,$C210,'TL16'!$J$238:$J$451),0),
IF('TL17'!$B$3=J$3,SUMIF('TL17'!$C$10:$C$224,$C210,'TL17'!$J$10:$J$224),0),
IF('TL17'!$B$229=J$3,SUMIF('TL17'!$C$238:$C$451,$C210,'TL17'!$J$238:$J$451),0),
IF('TL18'!$B$3=J$3,SUMIF('TL18'!$C$10:$C$224,$C210,'TL18'!$J$10:$J$224),0),
IF('TL18'!$B$229=J$3,SUMIF('TL18'!$C$238:$C$451,$C210,'TL18'!$J$238:$J$451),0),
IF('TL19'!$B$3=J$3,SUMIF('TL19'!$C$10:$C$224,$C210,'TL19'!$J$10:$J$224),0),
IF('TL19'!$B$229=J$3,SUMIF('TL19'!$C$238:$C$451,$C210,'TL19'!$J$238:$J$451),0)
),0)</f>
        <v>0</v>
      </c>
      <c r="K210" s="9">
        <f>IFERROR(SUM(
IF('TL01'!$B$3=K$3,SUMIF('TL01'!$C$10:$C$224,$C210,'TL01'!$J$10:$J$224),0),
IF('TL01'!$B$229=K$3,SUMIF('TL01'!$C$238:$C$451,$C210,'TL01'!$J$238:$J$451),0),
IF('TL02'!$B$3=K$3,SUMIF('TL02'!$C$10:$C$224,$C210,'TL02'!$J$10:$J$224),0),
IF('TL02'!$B$229=K$3,SUMIF('TL02'!$C$238:$C$451,$C210,'TL02'!$J$238:$J$451),0),
IF('TL03'!$B$3=K$3,SUMIF('TL03'!$C$10:$C$224,$C210,'TL03'!$J$10:$J$224),0),
IF('TL03'!$B$229=K$3,SUMIF('TL03'!$C$238:$C$451,$C210,'TL03'!$J$238:$J$451),0),
IF('TL04'!$B$3=K$3,SUMIF('TL04'!$C$10:$C$224,$C210,'TL04'!$J$10:$J$224),0),
IF('TL04'!$B$229=K$3,SUMIF('TL04'!$C$238:$C$451,$C210,'TL04'!$J$238:$J$451),0),
IF('TL05'!$B$3=K$3,SUMIF('TL05'!$C$10:$C$224,$C210,'TL05'!$J$10:$J$224),0),
IF('TL05'!$B$229=K$3,SUMIF('TL05'!$C$238:$C$451,$C210,'TL05'!$J$238:$J$451),0),
IF('TL06'!$B$3=K$3,SUMIF('TL06'!$C$10:$C$224,$C210,'TL06'!$J$10:$J$224),0),
IF('TL06'!$B$229=K$3,SUMIF('TL06'!$C$238:$C$451,$C210,'TL06'!$J$238:$J$451),0),
IF('TL07'!$B$3=K$3,SUMIF('TL07'!$C$10:$C$224,$C210,'TL07'!$J$10:$J$224),0),
IF('TL07'!$B$229=K$3,SUMIF('TL07'!$C$238:$C$451,$C210,'TL07'!$J$238:$J$451),0),
IF('TL08'!$B$3=K$3,SUMIF('TL08'!$C$10:$C$224,$C210,'TL08'!$J$10:$J$224),0),
IF('TL08'!$B$229=K$3,SUMIF('TL08'!$C$238:$C$451,$C210,'TL08'!$J$238:$J$451),0),
IF('TL09'!$B$3=K$3,SUMIF('TL09'!$C$10:$C$224,$C210,'TL09'!$J$10:$J$224),0),
IF('TL09'!$B$229=K$3,SUMIF('TL09'!$C$238:$C$451,$C210,'TL09'!$J$238:$J$451),0),
IF('TL10'!$B$3=K$3,SUMIF('TL10'!$C$10:$C$224,$C210,'TL10'!$J$10:$J$224),0),
IF('TL10'!$B$229=K$3,SUMIF('TL10'!$C$238:$C$451,$C210,'TL10'!$J$238:$J$451),0),
IF('TL11'!$B$3=K$3,SUMIF('TL11'!$C$10:$C$224,$C210,'TL11'!$J$10:$J$224),0),
IF('TL11'!$B$229=K$3,SUMIF('TL11'!$C$238:$C$451,$C210,'TL11'!$J$238:$J$451),0),
IF('TL12'!$B$3=K$3,SUMIF('TL12'!$C$10:$C$224,$C210,'TL12'!$J$10:$J$224),0),
IF('TL12'!$B$229=K$3,SUMIF('TL12'!$C$238:$C$451,$C210,'TL12'!$J$238:$J$451),0),
IF('TL13'!$B$3=K$3,SUMIF('TL13'!$C$10:$C$224,$C210,'TL13'!$J$10:$J$224),0),
IF('TL13'!$B$229=K$3,SUMIF('TL13'!$C$238:$C$451,$C210,'TL13'!$J$238:$J$451),0),
IF('TL14'!$B$3=K$3,SUMIF('TL14'!$C$10:$C$224,$C210,'TL14'!$J$10:$J$224),0),
IF('TL14'!$B$229=K$3,SUMIF('TL14'!$C$238:$C$451,$C210,'TL14'!$J$238:$J$451),0),
IF('TL15'!$B$3=K$3,SUMIF('TL15'!$C$10:$C$224,$C210,'TL15'!$J$10:$J$224),0),
IF('TL15'!$B$229=K$3,SUMIF('TL15'!$C$238:$C$451,$C210,'TL15'!$J$238:$J$451),0),
IF('TL16'!$B$3=K$3,SUMIF('TL16'!$C$10:$C$224,$C210,'TL16'!$J$10:$J$224),0),
IF('TL16'!$B$229=K$3,SUMIF('TL16'!$C$238:$C$451,$C210,'TL16'!$J$238:$J$451),0),
IF('TL17'!$B$3=K$3,SUMIF('TL17'!$C$10:$C$224,$C210,'TL17'!$J$10:$J$224),0),
IF('TL17'!$B$229=K$3,SUMIF('TL17'!$C$238:$C$451,$C210,'TL17'!$J$238:$J$451),0),
IF('TL18'!$B$3=K$3,SUMIF('TL18'!$C$10:$C$224,$C210,'TL18'!$J$10:$J$224),0),
IF('TL18'!$B$229=K$3,SUMIF('TL18'!$C$238:$C$451,$C210,'TL18'!$J$238:$J$451),0),
IF('TL19'!$B$3=K$3,SUMIF('TL19'!$C$10:$C$224,$C210,'TL19'!$J$10:$J$224),0),
IF('TL19'!$B$229=K$3,SUMIF('TL19'!$C$238:$C$451,$C210,'TL19'!$J$238:$J$451),0)
),0)</f>
        <v>0</v>
      </c>
      <c r="L210" s="9">
        <f>IFERROR(SUM(
IF('TL01'!$B$3=L$3,SUMIF('TL01'!$C$10:$C$224,$C210,'TL01'!$J$10:$J$224),0),
IF('TL01'!$B$229=L$3,SUMIF('TL01'!$C$238:$C$451,$C210,'TL01'!$J$238:$J$451),0),
IF('TL02'!$B$3=L$3,SUMIF('TL02'!$C$10:$C$224,$C210,'TL02'!$J$10:$J$224),0),
IF('TL02'!$B$229=L$3,SUMIF('TL02'!$C$238:$C$451,$C210,'TL02'!$J$238:$J$451),0),
IF('TL03'!$B$3=L$3,SUMIF('TL03'!$C$10:$C$224,$C210,'TL03'!$J$10:$J$224),0),
IF('TL03'!$B$229=L$3,SUMIF('TL03'!$C$238:$C$451,$C210,'TL03'!$J$238:$J$451),0),
IF('TL04'!$B$3=L$3,SUMIF('TL04'!$C$10:$C$224,$C210,'TL04'!$J$10:$J$224),0),
IF('TL04'!$B$229=L$3,SUMIF('TL04'!$C$238:$C$451,$C210,'TL04'!$J$238:$J$451),0),
IF('TL05'!$B$3=L$3,SUMIF('TL05'!$C$10:$C$224,$C210,'TL05'!$J$10:$J$224),0),
IF('TL05'!$B$229=L$3,SUMIF('TL05'!$C$238:$C$451,$C210,'TL05'!$J$238:$J$451),0),
IF('TL06'!$B$3=L$3,SUMIF('TL06'!$C$10:$C$224,$C210,'TL06'!$J$10:$J$224),0),
IF('TL06'!$B$229=L$3,SUMIF('TL06'!$C$238:$C$451,$C210,'TL06'!$J$238:$J$451),0),
IF('TL07'!$B$3=L$3,SUMIF('TL07'!$C$10:$C$224,$C210,'TL07'!$J$10:$J$224),0),
IF('TL07'!$B$229=L$3,SUMIF('TL07'!$C$238:$C$451,$C210,'TL07'!$J$238:$J$451),0),
IF('TL08'!$B$3=L$3,SUMIF('TL08'!$C$10:$C$224,$C210,'TL08'!$J$10:$J$224),0),
IF('TL08'!$B$229=L$3,SUMIF('TL08'!$C$238:$C$451,$C210,'TL08'!$J$238:$J$451),0),
IF('TL09'!$B$3=L$3,SUMIF('TL09'!$C$10:$C$224,$C210,'TL09'!$J$10:$J$224),0),
IF('TL09'!$B$229=L$3,SUMIF('TL09'!$C$238:$C$451,$C210,'TL09'!$J$238:$J$451),0),
IF('TL10'!$B$3=L$3,SUMIF('TL10'!$C$10:$C$224,$C210,'TL10'!$J$10:$J$224),0),
IF('TL10'!$B$229=L$3,SUMIF('TL10'!$C$238:$C$451,$C210,'TL10'!$J$238:$J$451),0),
IF('TL11'!$B$3=L$3,SUMIF('TL11'!$C$10:$C$224,$C210,'TL11'!$J$10:$J$224),0),
IF('TL11'!$B$229=L$3,SUMIF('TL11'!$C$238:$C$451,$C210,'TL11'!$J$238:$J$451),0),
IF('TL12'!$B$3=L$3,SUMIF('TL12'!$C$10:$C$224,$C210,'TL12'!$J$10:$J$224),0),
IF('TL12'!$B$229=L$3,SUMIF('TL12'!$C$238:$C$451,$C210,'TL12'!$J$238:$J$451),0),
IF('TL13'!$B$3=L$3,SUMIF('TL13'!$C$10:$C$224,$C210,'TL13'!$J$10:$J$224),0),
IF('TL13'!$B$229=L$3,SUMIF('TL13'!$C$238:$C$451,$C210,'TL13'!$J$238:$J$451),0),
IF('TL14'!$B$3=L$3,SUMIF('TL14'!$C$10:$C$224,$C210,'TL14'!$J$10:$J$224),0),
IF('TL14'!$B$229=L$3,SUMIF('TL14'!$C$238:$C$451,$C210,'TL14'!$J$238:$J$451),0),
IF('TL15'!$B$3=L$3,SUMIF('TL15'!$C$10:$C$224,$C210,'TL15'!$J$10:$J$224),0),
IF('TL15'!$B$229=L$3,SUMIF('TL15'!$C$238:$C$451,$C210,'TL15'!$J$238:$J$451),0),
IF('TL16'!$B$3=L$3,SUMIF('TL16'!$C$10:$C$224,$C210,'TL16'!$J$10:$J$224),0),
IF('TL16'!$B$229=L$3,SUMIF('TL16'!$C$238:$C$451,$C210,'TL16'!$J$238:$J$451),0),
IF('TL17'!$B$3=L$3,SUMIF('TL17'!$C$10:$C$224,$C210,'TL17'!$J$10:$J$224),0),
IF('TL17'!$B$229=L$3,SUMIF('TL17'!$C$238:$C$451,$C210,'TL17'!$J$238:$J$451),0),
IF('TL18'!$B$3=L$3,SUMIF('TL18'!$C$10:$C$224,$C210,'TL18'!$J$10:$J$224),0),
IF('TL18'!$B$229=L$3,SUMIF('TL18'!$C$238:$C$451,$C210,'TL18'!$J$238:$J$451),0),
IF('TL19'!$B$3=L$3,SUMIF('TL19'!$C$10:$C$224,$C210,'TL19'!$J$10:$J$224),0),
IF('TL19'!$B$229=L$3,SUMIF('TL19'!$C$238:$C$451,$C210,'TL19'!$J$238:$J$451),0)
),0)</f>
        <v>0</v>
      </c>
      <c r="M210" s="9">
        <f>IFERROR(SUM(
IF('TL01'!$B$3=M$3,SUMIF('TL01'!$C$10:$C$224,$C210,'TL01'!$J$10:$J$224),0),
IF('TL01'!$B$229=M$3,SUMIF('TL01'!$C$238:$C$451,$C210,'TL01'!$J$238:$J$451),0),
IF('TL02'!$B$3=M$3,SUMIF('TL02'!$C$10:$C$224,$C210,'TL02'!$J$10:$J$224),0),
IF('TL02'!$B$229=M$3,SUMIF('TL02'!$C$238:$C$451,$C210,'TL02'!$J$238:$J$451),0),
IF('TL03'!$B$3=M$3,SUMIF('TL03'!$C$10:$C$224,$C210,'TL03'!$J$10:$J$224),0),
IF('TL03'!$B$229=M$3,SUMIF('TL03'!$C$238:$C$451,$C210,'TL03'!$J$238:$J$451),0),
IF('TL04'!$B$3=M$3,SUMIF('TL04'!$C$10:$C$224,$C210,'TL04'!$J$10:$J$224),0),
IF('TL04'!$B$229=M$3,SUMIF('TL04'!$C$238:$C$451,$C210,'TL04'!$J$238:$J$451),0),
IF('TL05'!$B$3=M$3,SUMIF('TL05'!$C$10:$C$224,$C210,'TL05'!$J$10:$J$224),0),
IF('TL05'!$B$229=M$3,SUMIF('TL05'!$C$238:$C$451,$C210,'TL05'!$J$238:$J$451),0),
IF('TL06'!$B$3=M$3,SUMIF('TL06'!$C$10:$C$224,$C210,'TL06'!$J$10:$J$224),0),
IF('TL06'!$B$229=M$3,SUMIF('TL06'!$C$238:$C$451,$C210,'TL06'!$J$238:$J$451),0),
IF('TL07'!$B$3=M$3,SUMIF('TL07'!$C$10:$C$224,$C210,'TL07'!$J$10:$J$224),0),
IF('TL07'!$B$229=M$3,SUMIF('TL07'!$C$238:$C$451,$C210,'TL07'!$J$238:$J$451),0),
IF('TL08'!$B$3=M$3,SUMIF('TL08'!$C$10:$C$224,$C210,'TL08'!$J$10:$J$224),0),
IF('TL08'!$B$229=M$3,SUMIF('TL08'!$C$238:$C$451,$C210,'TL08'!$J$238:$J$451),0),
IF('TL09'!$B$3=M$3,SUMIF('TL09'!$C$10:$C$224,$C210,'TL09'!$J$10:$J$224),0),
IF('TL09'!$B$229=M$3,SUMIF('TL09'!$C$238:$C$451,$C210,'TL09'!$J$238:$J$451),0),
IF('TL10'!$B$3=M$3,SUMIF('TL10'!$C$10:$C$224,$C210,'TL10'!$J$10:$J$224),0),
IF('TL10'!$B$229=M$3,SUMIF('TL10'!$C$238:$C$451,$C210,'TL10'!$J$238:$J$451),0),
IF('TL11'!$B$3=M$3,SUMIF('TL11'!$C$10:$C$224,$C210,'TL11'!$J$10:$J$224),0),
IF('TL11'!$B$229=M$3,SUMIF('TL11'!$C$238:$C$451,$C210,'TL11'!$J$238:$J$451),0),
IF('TL12'!$B$3=M$3,SUMIF('TL12'!$C$10:$C$224,$C210,'TL12'!$J$10:$J$224),0),
IF('TL12'!$B$229=M$3,SUMIF('TL12'!$C$238:$C$451,$C210,'TL12'!$J$238:$J$451),0),
IF('TL13'!$B$3=M$3,SUMIF('TL13'!$C$10:$C$224,$C210,'TL13'!$J$10:$J$224),0),
IF('TL13'!$B$229=M$3,SUMIF('TL13'!$C$238:$C$451,$C210,'TL13'!$J$238:$J$451),0),
IF('TL14'!$B$3=M$3,SUMIF('TL14'!$C$10:$C$224,$C210,'TL14'!$J$10:$J$224),0),
IF('TL14'!$B$229=M$3,SUMIF('TL14'!$C$238:$C$451,$C210,'TL14'!$J$238:$J$451),0),
IF('TL15'!$B$3=M$3,SUMIF('TL15'!$C$10:$C$224,$C210,'TL15'!$J$10:$J$224),0),
IF('TL15'!$B$229=M$3,SUMIF('TL15'!$C$238:$C$451,$C210,'TL15'!$J$238:$J$451),0),
IF('TL16'!$B$3=M$3,SUMIF('TL16'!$C$10:$C$224,$C210,'TL16'!$J$10:$J$224),0),
IF('TL16'!$B$229=M$3,SUMIF('TL16'!$C$238:$C$451,$C210,'TL16'!$J$238:$J$451),0),
IF('TL17'!$B$3=M$3,SUMIF('TL17'!$C$10:$C$224,$C210,'TL17'!$J$10:$J$224),0),
IF('TL17'!$B$229=M$3,SUMIF('TL17'!$C$238:$C$451,$C210,'TL17'!$J$238:$J$451),0),
IF('TL18'!$B$3=M$3,SUMIF('TL18'!$C$10:$C$224,$C210,'TL18'!$J$10:$J$224),0),
IF('TL18'!$B$229=M$3,SUMIF('TL18'!$C$238:$C$451,$C210,'TL18'!$J$238:$J$451),0),
IF('TL19'!$B$3=M$3,SUMIF('TL19'!$C$10:$C$224,$C210,'TL19'!$J$10:$J$224),0),
IF('TL19'!$B$229=M$3,SUMIF('TL19'!$C$238:$C$451,$C210,'TL19'!$J$238:$J$451),0)
),0)</f>
        <v>0</v>
      </c>
      <c r="N210" s="9">
        <f>IFERROR(SUM(
IF('TL01'!$B$3=N$3,SUMIF('TL01'!$C$10:$C$224,$C210,'TL01'!$J$10:$J$224),0),
IF('TL01'!$B$229=N$3,SUMIF('TL01'!$C$238:$C$451,$C210,'TL01'!$J$238:$J$451),0),
IF('TL02'!$B$3=N$3,SUMIF('TL02'!$C$10:$C$224,$C210,'TL02'!$J$10:$J$224),0),
IF('TL02'!$B$229=N$3,SUMIF('TL02'!$C$238:$C$451,$C210,'TL02'!$J$238:$J$451),0),
IF('TL03'!$B$3=N$3,SUMIF('TL03'!$C$10:$C$224,$C210,'TL03'!$J$10:$J$224),0),
IF('TL03'!$B$229=N$3,SUMIF('TL03'!$C$238:$C$451,$C210,'TL03'!$J$238:$J$451),0),
IF('TL04'!$B$3=N$3,SUMIF('TL04'!$C$10:$C$224,$C210,'TL04'!$J$10:$J$224),0),
IF('TL04'!$B$229=N$3,SUMIF('TL04'!$C$238:$C$451,$C210,'TL04'!$J$238:$J$451),0),
IF('TL05'!$B$3=N$3,SUMIF('TL05'!$C$10:$C$224,$C210,'TL05'!$J$10:$J$224),0),
IF('TL05'!$B$229=N$3,SUMIF('TL05'!$C$238:$C$451,$C210,'TL05'!$J$238:$J$451),0),
IF('TL06'!$B$3=N$3,SUMIF('TL06'!$C$10:$C$224,$C210,'TL06'!$J$10:$J$224),0),
IF('TL06'!$B$229=N$3,SUMIF('TL06'!$C$238:$C$451,$C210,'TL06'!$J$238:$J$451),0),
IF('TL07'!$B$3=N$3,SUMIF('TL07'!$C$10:$C$224,$C210,'TL07'!$J$10:$J$224),0),
IF('TL07'!$B$229=N$3,SUMIF('TL07'!$C$238:$C$451,$C210,'TL07'!$J$238:$J$451),0),
IF('TL08'!$B$3=N$3,SUMIF('TL08'!$C$10:$C$224,$C210,'TL08'!$J$10:$J$224),0),
IF('TL08'!$B$229=N$3,SUMIF('TL08'!$C$238:$C$451,$C210,'TL08'!$J$238:$J$451),0),
IF('TL09'!$B$3=N$3,SUMIF('TL09'!$C$10:$C$224,$C210,'TL09'!$J$10:$J$224),0),
IF('TL09'!$B$229=N$3,SUMIF('TL09'!$C$238:$C$451,$C210,'TL09'!$J$238:$J$451),0),
IF('TL10'!$B$3=N$3,SUMIF('TL10'!$C$10:$C$224,$C210,'TL10'!$J$10:$J$224),0),
IF('TL10'!$B$229=N$3,SUMIF('TL10'!$C$238:$C$451,$C210,'TL10'!$J$238:$J$451),0),
IF('TL11'!$B$3=N$3,SUMIF('TL11'!$C$10:$C$224,$C210,'TL11'!$J$10:$J$224),0),
IF('TL11'!$B$229=N$3,SUMIF('TL11'!$C$238:$C$451,$C210,'TL11'!$J$238:$J$451),0),
IF('TL12'!$B$3=N$3,SUMIF('TL12'!$C$10:$C$224,$C210,'TL12'!$J$10:$J$224),0),
IF('TL12'!$B$229=N$3,SUMIF('TL12'!$C$238:$C$451,$C210,'TL12'!$J$238:$J$451),0),
IF('TL13'!$B$3=N$3,SUMIF('TL13'!$C$10:$C$224,$C210,'TL13'!$J$10:$J$224),0),
IF('TL13'!$B$229=N$3,SUMIF('TL13'!$C$238:$C$451,$C210,'TL13'!$J$238:$J$451),0),
IF('TL14'!$B$3=N$3,SUMIF('TL14'!$C$10:$C$224,$C210,'TL14'!$J$10:$J$224),0),
IF('TL14'!$B$229=N$3,SUMIF('TL14'!$C$238:$C$451,$C210,'TL14'!$J$238:$J$451),0),
IF('TL15'!$B$3=N$3,SUMIF('TL15'!$C$10:$C$224,$C210,'TL15'!$J$10:$J$224),0),
IF('TL15'!$B$229=N$3,SUMIF('TL15'!$C$238:$C$451,$C210,'TL15'!$J$238:$J$451),0),
IF('TL16'!$B$3=N$3,SUMIF('TL16'!$C$10:$C$224,$C210,'TL16'!$J$10:$J$224),0),
IF('TL16'!$B$229=N$3,SUMIF('TL16'!$C$238:$C$451,$C210,'TL16'!$J$238:$J$451),0),
IF('TL17'!$B$3=N$3,SUMIF('TL17'!$C$10:$C$224,$C210,'TL17'!$J$10:$J$224),0),
IF('TL17'!$B$229=N$3,SUMIF('TL17'!$C$238:$C$451,$C210,'TL17'!$J$238:$J$451),0),
IF('TL18'!$B$3=N$3,SUMIF('TL18'!$C$10:$C$224,$C210,'TL18'!$J$10:$J$224),0),
IF('TL18'!$B$229=N$3,SUMIF('TL18'!$C$238:$C$451,$C210,'TL18'!$J$238:$J$451),0),
IF('TL19'!$B$3=N$3,SUMIF('TL19'!$C$10:$C$224,$C210,'TL19'!$J$10:$J$224),0),
IF('TL19'!$B$229=N$3,SUMIF('TL19'!$C$238:$C$451,$C210,'TL19'!$J$238:$J$451),0)
),0)</f>
        <v>0</v>
      </c>
      <c r="O210" s="9">
        <f>IFERROR(SUM(
IF('TL01'!$B$3=O$3,SUMIF('TL01'!$C$10:$C$224,$C210,'TL01'!$J$10:$J$224),0),
IF('TL01'!$B$229=O$3,SUMIF('TL01'!$C$238:$C$451,$C210,'TL01'!$J$238:$J$451),0),
IF('TL02'!$B$3=O$3,SUMIF('TL02'!$C$10:$C$224,$C210,'TL02'!$J$10:$J$224),0),
IF('TL02'!$B$229=O$3,SUMIF('TL02'!$C$238:$C$451,$C210,'TL02'!$J$238:$J$451),0),
IF('TL03'!$B$3=O$3,SUMIF('TL03'!$C$10:$C$224,$C210,'TL03'!$J$10:$J$224),0),
IF('TL03'!$B$229=O$3,SUMIF('TL03'!$C$238:$C$451,$C210,'TL03'!$J$238:$J$451),0),
IF('TL04'!$B$3=O$3,SUMIF('TL04'!$C$10:$C$224,$C210,'TL04'!$J$10:$J$224),0),
IF('TL04'!$B$229=O$3,SUMIF('TL04'!$C$238:$C$451,$C210,'TL04'!$J$238:$J$451),0),
IF('TL05'!$B$3=O$3,SUMIF('TL05'!$C$10:$C$224,$C210,'TL05'!$J$10:$J$224),0),
IF('TL05'!$B$229=O$3,SUMIF('TL05'!$C$238:$C$451,$C210,'TL05'!$J$238:$J$451),0),
IF('TL06'!$B$3=O$3,SUMIF('TL06'!$C$10:$C$224,$C210,'TL06'!$J$10:$J$224),0),
IF('TL06'!$B$229=O$3,SUMIF('TL06'!$C$238:$C$451,$C210,'TL06'!$J$238:$J$451),0),
IF('TL07'!$B$3=O$3,SUMIF('TL07'!$C$10:$C$224,$C210,'TL07'!$J$10:$J$224),0),
IF('TL07'!$B$229=O$3,SUMIF('TL07'!$C$238:$C$451,$C210,'TL07'!$J$238:$J$451),0),
IF('TL08'!$B$3=O$3,SUMIF('TL08'!$C$10:$C$224,$C210,'TL08'!$J$10:$J$224),0),
IF('TL08'!$B$229=O$3,SUMIF('TL08'!$C$238:$C$451,$C210,'TL08'!$J$238:$J$451),0),
IF('TL09'!$B$3=O$3,SUMIF('TL09'!$C$10:$C$224,$C210,'TL09'!$J$10:$J$224),0),
IF('TL09'!$B$229=O$3,SUMIF('TL09'!$C$238:$C$451,$C210,'TL09'!$J$238:$J$451),0),
IF('TL10'!$B$3=O$3,SUMIF('TL10'!$C$10:$C$224,$C210,'TL10'!$J$10:$J$224),0),
IF('TL10'!$B$229=O$3,SUMIF('TL10'!$C$238:$C$451,$C210,'TL10'!$J$238:$J$451),0),
IF('TL11'!$B$3=O$3,SUMIF('TL11'!$C$10:$C$224,$C210,'TL11'!$J$10:$J$224),0),
IF('TL11'!$B$229=O$3,SUMIF('TL11'!$C$238:$C$451,$C210,'TL11'!$J$238:$J$451),0),
IF('TL12'!$B$3=O$3,SUMIF('TL12'!$C$10:$C$224,$C210,'TL12'!$J$10:$J$224),0),
IF('TL12'!$B$229=O$3,SUMIF('TL12'!$C$238:$C$451,$C210,'TL12'!$J$238:$J$451),0),
IF('TL13'!$B$3=O$3,SUMIF('TL13'!$C$10:$C$224,$C210,'TL13'!$J$10:$J$224),0),
IF('TL13'!$B$229=O$3,SUMIF('TL13'!$C$238:$C$451,$C210,'TL13'!$J$238:$J$451),0),
IF('TL14'!$B$3=O$3,SUMIF('TL14'!$C$10:$C$224,$C210,'TL14'!$J$10:$J$224),0),
IF('TL14'!$B$229=O$3,SUMIF('TL14'!$C$238:$C$451,$C210,'TL14'!$J$238:$J$451),0),
IF('TL15'!$B$3=O$3,SUMIF('TL15'!$C$10:$C$224,$C210,'TL15'!$J$10:$J$224),0),
IF('TL15'!$B$229=O$3,SUMIF('TL15'!$C$238:$C$451,$C210,'TL15'!$J$238:$J$451),0),
IF('TL16'!$B$3=O$3,SUMIF('TL16'!$C$10:$C$224,$C210,'TL16'!$J$10:$J$224),0),
IF('TL16'!$B$229=O$3,SUMIF('TL16'!$C$238:$C$451,$C210,'TL16'!$J$238:$J$451),0),
IF('TL17'!$B$3=O$3,SUMIF('TL17'!$C$10:$C$224,$C210,'TL17'!$J$10:$J$224),0),
IF('TL17'!$B$229=O$3,SUMIF('TL17'!$C$238:$C$451,$C210,'TL17'!$J$238:$J$451),0),
IF('TL18'!$B$3=O$3,SUMIF('TL18'!$C$10:$C$224,$C210,'TL18'!$J$10:$J$224),0),
IF('TL18'!$B$229=O$3,SUMIF('TL18'!$C$238:$C$451,$C210,'TL18'!$J$238:$J$451),0),
IF('TL19'!$B$3=O$3,SUMIF('TL19'!$C$10:$C$224,$C210,'TL19'!$J$10:$J$224),0),
IF('TL19'!$B$229=O$3,SUMIF('TL19'!$C$238:$C$451,$C210,'TL19'!$J$238:$J$451),0)
),0)</f>
        <v>0</v>
      </c>
      <c r="P210" s="9">
        <f>IFERROR(SUM(
IF('TL01'!$B$3=P$3,SUMIF('TL01'!$C$10:$C$224,$C210,'TL01'!$J$10:$J$224),0),
IF('TL01'!$B$229=P$3,SUMIF('TL01'!$C$238:$C$451,$C210,'TL01'!$J$238:$J$451),0),
IF('TL02'!$B$3=P$3,SUMIF('TL02'!$C$10:$C$224,$C210,'TL02'!$J$10:$J$224),0),
IF('TL02'!$B$229=P$3,SUMIF('TL02'!$C$238:$C$451,$C210,'TL02'!$J$238:$J$451),0),
IF('TL03'!$B$3=P$3,SUMIF('TL03'!$C$10:$C$224,$C210,'TL03'!$J$10:$J$224),0),
IF('TL03'!$B$229=P$3,SUMIF('TL03'!$C$238:$C$451,$C210,'TL03'!$J$238:$J$451),0),
IF('TL04'!$B$3=P$3,SUMIF('TL04'!$C$10:$C$224,$C210,'TL04'!$J$10:$J$224),0),
IF('TL04'!$B$229=P$3,SUMIF('TL04'!$C$238:$C$451,$C210,'TL04'!$J$238:$J$451),0),
IF('TL05'!$B$3=P$3,SUMIF('TL05'!$C$10:$C$224,$C210,'TL05'!$J$10:$J$224),0),
IF('TL05'!$B$229=P$3,SUMIF('TL05'!$C$238:$C$451,$C210,'TL05'!$J$238:$J$451),0),
IF('TL06'!$B$3=P$3,SUMIF('TL06'!$C$10:$C$224,$C210,'TL06'!$J$10:$J$224),0),
IF('TL06'!$B$229=P$3,SUMIF('TL06'!$C$238:$C$451,$C210,'TL06'!$J$238:$J$451),0),
IF('TL07'!$B$3=P$3,SUMIF('TL07'!$C$10:$C$224,$C210,'TL07'!$J$10:$J$224),0),
IF('TL07'!$B$229=P$3,SUMIF('TL07'!$C$238:$C$451,$C210,'TL07'!$J$238:$J$451),0),
IF('TL08'!$B$3=P$3,SUMIF('TL08'!$C$10:$C$224,$C210,'TL08'!$J$10:$J$224),0),
IF('TL08'!$B$229=P$3,SUMIF('TL08'!$C$238:$C$451,$C210,'TL08'!$J$238:$J$451),0),
IF('TL09'!$B$3=P$3,SUMIF('TL09'!$C$10:$C$224,$C210,'TL09'!$J$10:$J$224),0),
IF('TL09'!$B$229=P$3,SUMIF('TL09'!$C$238:$C$451,$C210,'TL09'!$J$238:$J$451),0),
IF('TL10'!$B$3=P$3,SUMIF('TL10'!$C$10:$C$224,$C210,'TL10'!$J$10:$J$224),0),
IF('TL10'!$B$229=P$3,SUMIF('TL10'!$C$238:$C$451,$C210,'TL10'!$J$238:$J$451),0),
IF('TL11'!$B$3=P$3,SUMIF('TL11'!$C$10:$C$224,$C210,'TL11'!$J$10:$J$224),0),
IF('TL11'!$B$229=P$3,SUMIF('TL11'!$C$238:$C$451,$C210,'TL11'!$J$238:$J$451),0),
IF('TL12'!$B$3=P$3,SUMIF('TL12'!$C$10:$C$224,$C210,'TL12'!$J$10:$J$224),0),
IF('TL12'!$B$229=P$3,SUMIF('TL12'!$C$238:$C$451,$C210,'TL12'!$J$238:$J$451),0),
IF('TL13'!$B$3=P$3,SUMIF('TL13'!$C$10:$C$224,$C210,'TL13'!$J$10:$J$224),0),
IF('TL13'!$B$229=P$3,SUMIF('TL13'!$C$238:$C$451,$C210,'TL13'!$J$238:$J$451),0),
IF('TL14'!$B$3=P$3,SUMIF('TL14'!$C$10:$C$224,$C210,'TL14'!$J$10:$J$224),0),
IF('TL14'!$B$229=P$3,SUMIF('TL14'!$C$238:$C$451,$C210,'TL14'!$J$238:$J$451),0),
IF('TL15'!$B$3=P$3,SUMIF('TL15'!$C$10:$C$224,$C210,'TL15'!$J$10:$J$224),0),
IF('TL15'!$B$229=P$3,SUMIF('TL15'!$C$238:$C$451,$C210,'TL15'!$J$238:$J$451),0),
IF('TL16'!$B$3=P$3,SUMIF('TL16'!$C$10:$C$224,$C210,'TL16'!$J$10:$J$224),0),
IF('TL16'!$B$229=P$3,SUMIF('TL16'!$C$238:$C$451,$C210,'TL16'!$J$238:$J$451),0),
IF('TL17'!$B$3=P$3,SUMIF('TL17'!$C$10:$C$224,$C210,'TL17'!$J$10:$J$224),0),
IF('TL17'!$B$229=P$3,SUMIF('TL17'!$C$238:$C$451,$C210,'TL17'!$J$238:$J$451),0),
IF('TL18'!$B$3=P$3,SUMIF('TL18'!$C$10:$C$224,$C210,'TL18'!$J$10:$J$224),0),
IF('TL18'!$B$229=P$3,SUMIF('TL18'!$C$238:$C$451,$C210,'TL18'!$J$238:$J$451),0),
IF('TL19'!$B$3=P$3,SUMIF('TL19'!$C$10:$C$224,$C210,'TL19'!$J$10:$J$224),0),
IF('TL19'!$B$229=P$3,SUMIF('TL19'!$C$238:$C$451,$C210,'TL19'!$J$238:$J$451),0)
),0)</f>
        <v>0</v>
      </c>
      <c r="Q210" s="9">
        <f>IFERROR(SUM(
IF('TL01'!$B$3=Q$3,SUMIF('TL01'!$C$10:$C$224,$C210,'TL01'!$J$10:$J$224),0),
IF('TL01'!$B$229=Q$3,SUMIF('TL01'!$C$238:$C$451,$C210,'TL01'!$J$238:$J$451),0),
IF('TL02'!$B$3=Q$3,SUMIF('TL02'!$C$10:$C$224,$C210,'TL02'!$J$10:$J$224),0),
IF('TL02'!$B$229=Q$3,SUMIF('TL02'!$C$238:$C$451,$C210,'TL02'!$J$238:$J$451),0),
IF('TL03'!$B$3=Q$3,SUMIF('TL03'!$C$10:$C$224,$C210,'TL03'!$J$10:$J$224),0),
IF('TL03'!$B$229=Q$3,SUMIF('TL03'!$C$238:$C$451,$C210,'TL03'!$J$238:$J$451),0),
IF('TL04'!$B$3=Q$3,SUMIF('TL04'!$C$10:$C$224,$C210,'TL04'!$J$10:$J$224),0),
IF('TL04'!$B$229=Q$3,SUMIF('TL04'!$C$238:$C$451,$C210,'TL04'!$J$238:$J$451),0),
IF('TL05'!$B$3=Q$3,SUMIF('TL05'!$C$10:$C$224,$C210,'TL05'!$J$10:$J$224),0),
IF('TL05'!$B$229=Q$3,SUMIF('TL05'!$C$238:$C$451,$C210,'TL05'!$J$238:$J$451),0),
IF('TL06'!$B$3=Q$3,SUMIF('TL06'!$C$10:$C$224,$C210,'TL06'!$J$10:$J$224),0),
IF('TL06'!$B$229=Q$3,SUMIF('TL06'!$C$238:$C$451,$C210,'TL06'!$J$238:$J$451),0),
IF('TL07'!$B$3=Q$3,SUMIF('TL07'!$C$10:$C$224,$C210,'TL07'!$J$10:$J$224),0),
IF('TL07'!$B$229=Q$3,SUMIF('TL07'!$C$238:$C$451,$C210,'TL07'!$J$238:$J$451),0),
IF('TL08'!$B$3=Q$3,SUMIF('TL08'!$C$10:$C$224,$C210,'TL08'!$J$10:$J$224),0),
IF('TL08'!$B$229=Q$3,SUMIF('TL08'!$C$238:$C$451,$C210,'TL08'!$J$238:$J$451),0),
IF('TL09'!$B$3=Q$3,SUMIF('TL09'!$C$10:$C$224,$C210,'TL09'!$J$10:$J$224),0),
IF('TL09'!$B$229=Q$3,SUMIF('TL09'!$C$238:$C$451,$C210,'TL09'!$J$238:$J$451),0),
IF('TL10'!$B$3=Q$3,SUMIF('TL10'!$C$10:$C$224,$C210,'TL10'!$J$10:$J$224),0),
IF('TL10'!$B$229=Q$3,SUMIF('TL10'!$C$238:$C$451,$C210,'TL10'!$J$238:$J$451),0),
IF('TL11'!$B$3=Q$3,SUMIF('TL11'!$C$10:$C$224,$C210,'TL11'!$J$10:$J$224),0),
IF('TL11'!$B$229=Q$3,SUMIF('TL11'!$C$238:$C$451,$C210,'TL11'!$J$238:$J$451),0),
IF('TL12'!$B$3=Q$3,SUMIF('TL12'!$C$10:$C$224,$C210,'TL12'!$J$10:$J$224),0),
IF('TL12'!$B$229=Q$3,SUMIF('TL12'!$C$238:$C$451,$C210,'TL12'!$J$238:$J$451),0),
IF('TL13'!$B$3=Q$3,SUMIF('TL13'!$C$10:$C$224,$C210,'TL13'!$J$10:$J$224),0),
IF('TL13'!$B$229=Q$3,SUMIF('TL13'!$C$238:$C$451,$C210,'TL13'!$J$238:$J$451),0),
IF('TL14'!$B$3=Q$3,SUMIF('TL14'!$C$10:$C$224,$C210,'TL14'!$J$10:$J$224),0),
IF('TL14'!$B$229=Q$3,SUMIF('TL14'!$C$238:$C$451,$C210,'TL14'!$J$238:$J$451),0),
IF('TL15'!$B$3=Q$3,SUMIF('TL15'!$C$10:$C$224,$C210,'TL15'!$J$10:$J$224),0),
IF('TL15'!$B$229=Q$3,SUMIF('TL15'!$C$238:$C$451,$C210,'TL15'!$J$238:$J$451),0),
IF('TL16'!$B$3=Q$3,SUMIF('TL16'!$C$10:$C$224,$C210,'TL16'!$J$10:$J$224),0),
IF('TL16'!$B$229=Q$3,SUMIF('TL16'!$C$238:$C$451,$C210,'TL16'!$J$238:$J$451),0),
IF('TL17'!$B$3=Q$3,SUMIF('TL17'!$C$10:$C$224,$C210,'TL17'!$J$10:$J$224),0),
IF('TL17'!$B$229=Q$3,SUMIF('TL17'!$C$238:$C$451,$C210,'TL17'!$J$238:$J$451),0),
IF('TL18'!$B$3=Q$3,SUMIF('TL18'!$C$10:$C$224,$C210,'TL18'!$J$10:$J$224),0),
IF('TL18'!$B$229=Q$3,SUMIF('TL18'!$C$238:$C$451,$C210,'TL18'!$J$238:$J$451),0),
IF('TL19'!$B$3=Q$3,SUMIF('TL19'!$C$10:$C$224,$C210,'TL19'!$J$10:$J$224),0),
IF('TL19'!$B$229=Q$3,SUMIF('TL19'!$C$238:$C$451,$C210,'TL19'!$J$238:$J$451),0)
),0)</f>
        <v>0</v>
      </c>
      <c r="R210" s="9">
        <f>IFERROR(
SUM(
SUMIF('TL01'!C:C,C210,'TL01'!J:J),
SUMIF('TL02'!C:C,C210,'TL02'!J:J),
SUMIF('TL03'!C:C,C210,'TL03'!J:J),
SUMIF('TL04'!C:C,C210,'TL04'!J:J),
SUMIF('TL05'!C:C,C210,'TL05'!J:J),
SUMIF('TL06'!C:C,C210,'TL06'!J:J),
SUMIF('TL07'!C:C,C210,'TL07'!J:J),
SUMIF('TL08'!C:C,C210,'TL08'!J:J),
SUMIF('TL09'!C:C,C210,'TL09'!J:J),
SUMIF('TL10'!C:C,C210,'TL10'!J:J),
SUMIF('TL11'!C:C,C210,'TL11'!J:J),
SUMIF('TL12'!C:C,C210,'TL12'!J:J),
SUMIF('TL13'!C:C,C210,'TL13'!J:J),
SUMIF('TL14'!C:C,C210,'TL14'!J:J),
SUMIF('TL15'!C:C,C210,'TL15'!J:J),
SUMIF('TL16'!C:C,C210,'TL16'!J:J),
SUMIF('TL17'!C:C,C210,'TL17'!J:J),
SUMIF('TL18'!C:C,C210,'TL18'!J:J),SUMIF('TL19'!C:C,C210,'TL19'!J:J))
,0)</f>
        <v>0</v>
      </c>
      <c r="S210" s="17">
        <f>IFERROR(__xludf.DUMMYFUNCTION("IFERROR(VLOOKUP(C210,
IMPORTRANGE(""1wULbzX32WdYsx-lj2U3uUNBBe2INVIRDtcK0d-Dvl90"",
""26-27!C:G""),
5,
FALSE),
"""")"),498.60996)</f>
        <v>498.60996</v>
      </c>
      <c r="T210" s="9"/>
      <c r="U210" s="92">
        <f t="shared" si="2"/>
        <v>0</v>
      </c>
      <c r="V210" s="93">
        <f t="shared" si="3"/>
        <v>0</v>
      </c>
    </row>
    <row r="211" ht="15.75" hidden="1" customHeight="1">
      <c r="A211" s="94" t="s">
        <v>516</v>
      </c>
      <c r="B211" s="95" t="s">
        <v>2</v>
      </c>
      <c r="C211" s="96" t="s">
        <v>837</v>
      </c>
      <c r="D211" s="96" t="s">
        <v>770</v>
      </c>
      <c r="E211" s="96">
        <v>240.0</v>
      </c>
      <c r="F211" s="4" t="s">
        <v>392</v>
      </c>
      <c r="G211" s="90" t="str">
        <f t="shared" si="4"/>
        <v>📄 Ver bula</v>
      </c>
      <c r="H211" s="9">
        <f>IFERROR(__xludf.DUMMYFUNCTION("IFERROR(VLOOKUP(C211,
IMPORTRANGE(""1wULbzX32WdYsx-lj2U3uUNBBe2INVIRDtcK0d-Dvl90"",
""26-27!C:K""),
8,
FALSE),
"""")"),1.0)</f>
        <v>1</v>
      </c>
      <c r="I211" s="97" t="s">
        <v>446</v>
      </c>
      <c r="J211" s="9">
        <f>IFERROR(SUM(
IF('TL01'!$B$3=J$3,SUMIF('TL01'!$C$10:$C$224,$C211,'TL01'!$J$10:$J$224),0),
IF('TL01'!$B$229=J$3,SUMIF('TL01'!$C$238:$C$451,$C211,'TL01'!$J$238:$J$451),0),
IF('TL02'!$B$3=J$3,SUMIF('TL02'!$C$10:$C$224,$C211,'TL02'!$J$10:$J$224),0),
IF('TL02'!$B$229=J$3,SUMIF('TL02'!$C$238:$C$451,$C211,'TL02'!$J$238:$J$451),0),
IF('TL03'!$B$3=J$3,SUMIF('TL03'!$C$10:$C$224,$C211,'TL03'!$J$10:$J$224),0),
IF('TL03'!$B$229=J$3,SUMIF('TL03'!$C$238:$C$451,$C211,'TL03'!$J$238:$J$451),0),
IF('TL04'!$B$3=J$3,SUMIF('TL04'!$C$10:$C$224,$C211,'TL04'!$J$10:$J$224),0),
IF('TL04'!$B$229=J$3,SUMIF('TL04'!$C$238:$C$451,$C211,'TL04'!$J$238:$J$451),0),
IF('TL05'!$B$3=J$3,SUMIF('TL05'!$C$10:$C$224,$C211,'TL05'!$J$10:$J$224),0),
IF('TL05'!$B$229=J$3,SUMIF('TL05'!$C$238:$C$451,$C211,'TL05'!$J$238:$J$451),0),
IF('TL06'!$B$3=J$3,SUMIF('TL06'!$C$10:$C$224,$C211,'TL06'!$J$10:$J$224),0),
IF('TL06'!$B$229=J$3,SUMIF('TL06'!$C$238:$C$451,$C211,'TL06'!$J$238:$J$451),0),
IF('TL07'!$B$3=J$3,SUMIF('TL07'!$C$10:$C$224,$C211,'TL07'!$J$10:$J$224),0),
IF('TL07'!$B$229=J$3,SUMIF('TL07'!$C$238:$C$451,$C211,'TL07'!$J$238:$J$451),0),
IF('TL08'!$B$3=J$3,SUMIF('TL08'!$C$10:$C$224,$C211,'TL08'!$J$10:$J$224),0),
IF('TL08'!$B$229=J$3,SUMIF('TL08'!$C$238:$C$451,$C211,'TL08'!$J$238:$J$451),0),
IF('TL09'!$B$3=J$3,SUMIF('TL09'!$C$10:$C$224,$C211,'TL09'!$J$10:$J$224),0),
IF('TL09'!$B$229=J$3,SUMIF('TL09'!$C$238:$C$451,$C211,'TL09'!$J$238:$J$451),0),
IF('TL10'!$B$3=J$3,SUMIF('TL10'!$C$10:$C$224,$C211,'TL10'!$J$10:$J$224),0),
IF('TL10'!$B$229=J$3,SUMIF('TL10'!$C$238:$C$451,$C211,'TL10'!$J$238:$J$451),0),
IF('TL11'!$B$3=J$3,SUMIF('TL11'!$C$10:$C$224,$C211,'TL11'!$J$10:$J$224),0),
IF('TL11'!$B$229=J$3,SUMIF('TL11'!$C$238:$C$451,$C211,'TL11'!$J$238:$J$451),0),
IF('TL12'!$B$3=J$3,SUMIF('TL12'!$C$10:$C$224,$C211,'TL12'!$J$10:$J$224),0),
IF('TL12'!$B$229=J$3,SUMIF('TL12'!$C$238:$C$451,$C211,'TL12'!$J$238:$J$451),0),
IF('TL13'!$B$3=J$3,SUMIF('TL13'!$C$10:$C$224,$C211,'TL13'!$J$10:$J$224),0),
IF('TL13'!$B$229=J$3,SUMIF('TL13'!$C$238:$C$451,$C211,'TL13'!$J$238:$J$451),0),
IF('TL14'!$B$3=J$3,SUMIF('TL14'!$C$10:$C$224,$C211,'TL14'!$J$10:$J$224),0),
IF('TL14'!$B$229=J$3,SUMIF('TL14'!$C$238:$C$451,$C211,'TL14'!$J$238:$J$451),0),
IF('TL15'!$B$3=J$3,SUMIF('TL15'!$C$10:$C$224,$C211,'TL15'!$J$10:$J$224),0),
IF('TL15'!$B$229=J$3,SUMIF('TL15'!$C$238:$C$451,$C211,'TL15'!$J$238:$J$451),0),
IF('TL16'!$B$3=J$3,SUMIF('TL16'!$C$10:$C$224,$C211,'TL16'!$J$10:$J$224),0),
IF('TL16'!$B$229=J$3,SUMIF('TL16'!$C$238:$C$451,$C211,'TL16'!$J$238:$J$451),0),
IF('TL17'!$B$3=J$3,SUMIF('TL17'!$C$10:$C$224,$C211,'TL17'!$J$10:$J$224),0),
IF('TL17'!$B$229=J$3,SUMIF('TL17'!$C$238:$C$451,$C211,'TL17'!$J$238:$J$451),0),
IF('TL18'!$B$3=J$3,SUMIF('TL18'!$C$10:$C$224,$C211,'TL18'!$J$10:$J$224),0),
IF('TL18'!$B$229=J$3,SUMIF('TL18'!$C$238:$C$451,$C211,'TL18'!$J$238:$J$451),0),
IF('TL19'!$B$3=J$3,SUMIF('TL19'!$C$10:$C$224,$C211,'TL19'!$J$10:$J$224),0),
IF('TL19'!$B$229=J$3,SUMIF('TL19'!$C$238:$C$451,$C211,'TL19'!$J$238:$J$451),0)
),0)</f>
        <v>980</v>
      </c>
      <c r="K211" s="9">
        <f>IFERROR(SUM(
IF('TL01'!$B$3=K$3,SUMIF('TL01'!$C$10:$C$224,$C211,'TL01'!$J$10:$J$224),0),
IF('TL01'!$B$229=K$3,SUMIF('TL01'!$C$238:$C$451,$C211,'TL01'!$J$238:$J$451),0),
IF('TL02'!$B$3=K$3,SUMIF('TL02'!$C$10:$C$224,$C211,'TL02'!$J$10:$J$224),0),
IF('TL02'!$B$229=K$3,SUMIF('TL02'!$C$238:$C$451,$C211,'TL02'!$J$238:$J$451),0),
IF('TL03'!$B$3=K$3,SUMIF('TL03'!$C$10:$C$224,$C211,'TL03'!$J$10:$J$224),0),
IF('TL03'!$B$229=K$3,SUMIF('TL03'!$C$238:$C$451,$C211,'TL03'!$J$238:$J$451),0),
IF('TL04'!$B$3=K$3,SUMIF('TL04'!$C$10:$C$224,$C211,'TL04'!$J$10:$J$224),0),
IF('TL04'!$B$229=K$3,SUMIF('TL04'!$C$238:$C$451,$C211,'TL04'!$J$238:$J$451),0),
IF('TL05'!$B$3=K$3,SUMIF('TL05'!$C$10:$C$224,$C211,'TL05'!$J$10:$J$224),0),
IF('TL05'!$B$229=K$3,SUMIF('TL05'!$C$238:$C$451,$C211,'TL05'!$J$238:$J$451),0),
IF('TL06'!$B$3=K$3,SUMIF('TL06'!$C$10:$C$224,$C211,'TL06'!$J$10:$J$224),0),
IF('TL06'!$B$229=K$3,SUMIF('TL06'!$C$238:$C$451,$C211,'TL06'!$J$238:$J$451),0),
IF('TL07'!$B$3=K$3,SUMIF('TL07'!$C$10:$C$224,$C211,'TL07'!$J$10:$J$224),0),
IF('TL07'!$B$229=K$3,SUMIF('TL07'!$C$238:$C$451,$C211,'TL07'!$J$238:$J$451),0),
IF('TL08'!$B$3=K$3,SUMIF('TL08'!$C$10:$C$224,$C211,'TL08'!$J$10:$J$224),0),
IF('TL08'!$B$229=K$3,SUMIF('TL08'!$C$238:$C$451,$C211,'TL08'!$J$238:$J$451),0),
IF('TL09'!$B$3=K$3,SUMIF('TL09'!$C$10:$C$224,$C211,'TL09'!$J$10:$J$224),0),
IF('TL09'!$B$229=K$3,SUMIF('TL09'!$C$238:$C$451,$C211,'TL09'!$J$238:$J$451),0),
IF('TL10'!$B$3=K$3,SUMIF('TL10'!$C$10:$C$224,$C211,'TL10'!$J$10:$J$224),0),
IF('TL10'!$B$229=K$3,SUMIF('TL10'!$C$238:$C$451,$C211,'TL10'!$J$238:$J$451),0),
IF('TL11'!$B$3=K$3,SUMIF('TL11'!$C$10:$C$224,$C211,'TL11'!$J$10:$J$224),0),
IF('TL11'!$B$229=K$3,SUMIF('TL11'!$C$238:$C$451,$C211,'TL11'!$J$238:$J$451),0),
IF('TL12'!$B$3=K$3,SUMIF('TL12'!$C$10:$C$224,$C211,'TL12'!$J$10:$J$224),0),
IF('TL12'!$B$229=K$3,SUMIF('TL12'!$C$238:$C$451,$C211,'TL12'!$J$238:$J$451),0),
IF('TL13'!$B$3=K$3,SUMIF('TL13'!$C$10:$C$224,$C211,'TL13'!$J$10:$J$224),0),
IF('TL13'!$B$229=K$3,SUMIF('TL13'!$C$238:$C$451,$C211,'TL13'!$J$238:$J$451),0),
IF('TL14'!$B$3=K$3,SUMIF('TL14'!$C$10:$C$224,$C211,'TL14'!$J$10:$J$224),0),
IF('TL14'!$B$229=K$3,SUMIF('TL14'!$C$238:$C$451,$C211,'TL14'!$J$238:$J$451),0),
IF('TL15'!$B$3=K$3,SUMIF('TL15'!$C$10:$C$224,$C211,'TL15'!$J$10:$J$224),0),
IF('TL15'!$B$229=K$3,SUMIF('TL15'!$C$238:$C$451,$C211,'TL15'!$J$238:$J$451),0),
IF('TL16'!$B$3=K$3,SUMIF('TL16'!$C$10:$C$224,$C211,'TL16'!$J$10:$J$224),0),
IF('TL16'!$B$229=K$3,SUMIF('TL16'!$C$238:$C$451,$C211,'TL16'!$J$238:$J$451),0),
IF('TL17'!$B$3=K$3,SUMIF('TL17'!$C$10:$C$224,$C211,'TL17'!$J$10:$J$224),0),
IF('TL17'!$B$229=K$3,SUMIF('TL17'!$C$238:$C$451,$C211,'TL17'!$J$238:$J$451),0),
IF('TL18'!$B$3=K$3,SUMIF('TL18'!$C$10:$C$224,$C211,'TL18'!$J$10:$J$224),0),
IF('TL18'!$B$229=K$3,SUMIF('TL18'!$C$238:$C$451,$C211,'TL18'!$J$238:$J$451),0),
IF('TL19'!$B$3=K$3,SUMIF('TL19'!$C$10:$C$224,$C211,'TL19'!$J$10:$J$224),0),
IF('TL19'!$B$229=K$3,SUMIF('TL19'!$C$238:$C$451,$C211,'TL19'!$J$238:$J$451),0)
),0)</f>
        <v>0</v>
      </c>
      <c r="L211" s="9">
        <f>IFERROR(SUM(
IF('TL01'!$B$3=L$3,SUMIF('TL01'!$C$10:$C$224,$C211,'TL01'!$J$10:$J$224),0),
IF('TL01'!$B$229=L$3,SUMIF('TL01'!$C$238:$C$451,$C211,'TL01'!$J$238:$J$451),0),
IF('TL02'!$B$3=L$3,SUMIF('TL02'!$C$10:$C$224,$C211,'TL02'!$J$10:$J$224),0),
IF('TL02'!$B$229=L$3,SUMIF('TL02'!$C$238:$C$451,$C211,'TL02'!$J$238:$J$451),0),
IF('TL03'!$B$3=L$3,SUMIF('TL03'!$C$10:$C$224,$C211,'TL03'!$J$10:$J$224),0),
IF('TL03'!$B$229=L$3,SUMIF('TL03'!$C$238:$C$451,$C211,'TL03'!$J$238:$J$451),0),
IF('TL04'!$B$3=L$3,SUMIF('TL04'!$C$10:$C$224,$C211,'TL04'!$J$10:$J$224),0),
IF('TL04'!$B$229=L$3,SUMIF('TL04'!$C$238:$C$451,$C211,'TL04'!$J$238:$J$451),0),
IF('TL05'!$B$3=L$3,SUMIF('TL05'!$C$10:$C$224,$C211,'TL05'!$J$10:$J$224),0),
IF('TL05'!$B$229=L$3,SUMIF('TL05'!$C$238:$C$451,$C211,'TL05'!$J$238:$J$451),0),
IF('TL06'!$B$3=L$3,SUMIF('TL06'!$C$10:$C$224,$C211,'TL06'!$J$10:$J$224),0),
IF('TL06'!$B$229=L$3,SUMIF('TL06'!$C$238:$C$451,$C211,'TL06'!$J$238:$J$451),0),
IF('TL07'!$B$3=L$3,SUMIF('TL07'!$C$10:$C$224,$C211,'TL07'!$J$10:$J$224),0),
IF('TL07'!$B$229=L$3,SUMIF('TL07'!$C$238:$C$451,$C211,'TL07'!$J$238:$J$451),0),
IF('TL08'!$B$3=L$3,SUMIF('TL08'!$C$10:$C$224,$C211,'TL08'!$J$10:$J$224),0),
IF('TL08'!$B$229=L$3,SUMIF('TL08'!$C$238:$C$451,$C211,'TL08'!$J$238:$J$451),0),
IF('TL09'!$B$3=L$3,SUMIF('TL09'!$C$10:$C$224,$C211,'TL09'!$J$10:$J$224),0),
IF('TL09'!$B$229=L$3,SUMIF('TL09'!$C$238:$C$451,$C211,'TL09'!$J$238:$J$451),0),
IF('TL10'!$B$3=L$3,SUMIF('TL10'!$C$10:$C$224,$C211,'TL10'!$J$10:$J$224),0),
IF('TL10'!$B$229=L$3,SUMIF('TL10'!$C$238:$C$451,$C211,'TL10'!$J$238:$J$451),0),
IF('TL11'!$B$3=L$3,SUMIF('TL11'!$C$10:$C$224,$C211,'TL11'!$J$10:$J$224),0),
IF('TL11'!$B$229=L$3,SUMIF('TL11'!$C$238:$C$451,$C211,'TL11'!$J$238:$J$451),0),
IF('TL12'!$B$3=L$3,SUMIF('TL12'!$C$10:$C$224,$C211,'TL12'!$J$10:$J$224),0),
IF('TL12'!$B$229=L$3,SUMIF('TL12'!$C$238:$C$451,$C211,'TL12'!$J$238:$J$451),0),
IF('TL13'!$B$3=L$3,SUMIF('TL13'!$C$10:$C$224,$C211,'TL13'!$J$10:$J$224),0),
IF('TL13'!$B$229=L$3,SUMIF('TL13'!$C$238:$C$451,$C211,'TL13'!$J$238:$J$451),0),
IF('TL14'!$B$3=L$3,SUMIF('TL14'!$C$10:$C$224,$C211,'TL14'!$J$10:$J$224),0),
IF('TL14'!$B$229=L$3,SUMIF('TL14'!$C$238:$C$451,$C211,'TL14'!$J$238:$J$451),0),
IF('TL15'!$B$3=L$3,SUMIF('TL15'!$C$10:$C$224,$C211,'TL15'!$J$10:$J$224),0),
IF('TL15'!$B$229=L$3,SUMIF('TL15'!$C$238:$C$451,$C211,'TL15'!$J$238:$J$451),0),
IF('TL16'!$B$3=L$3,SUMIF('TL16'!$C$10:$C$224,$C211,'TL16'!$J$10:$J$224),0),
IF('TL16'!$B$229=L$3,SUMIF('TL16'!$C$238:$C$451,$C211,'TL16'!$J$238:$J$451),0),
IF('TL17'!$B$3=L$3,SUMIF('TL17'!$C$10:$C$224,$C211,'TL17'!$J$10:$J$224),0),
IF('TL17'!$B$229=L$3,SUMIF('TL17'!$C$238:$C$451,$C211,'TL17'!$J$238:$J$451),0),
IF('TL18'!$B$3=L$3,SUMIF('TL18'!$C$10:$C$224,$C211,'TL18'!$J$10:$J$224),0),
IF('TL18'!$B$229=L$3,SUMIF('TL18'!$C$238:$C$451,$C211,'TL18'!$J$238:$J$451),0),
IF('TL19'!$B$3=L$3,SUMIF('TL19'!$C$10:$C$224,$C211,'TL19'!$J$10:$J$224),0),
IF('TL19'!$B$229=L$3,SUMIF('TL19'!$C$238:$C$451,$C211,'TL19'!$J$238:$J$451),0)
),0)</f>
        <v>0</v>
      </c>
      <c r="M211" s="9">
        <f>IFERROR(SUM(
IF('TL01'!$B$3=M$3,SUMIF('TL01'!$C$10:$C$224,$C211,'TL01'!$J$10:$J$224),0),
IF('TL01'!$B$229=M$3,SUMIF('TL01'!$C$238:$C$451,$C211,'TL01'!$J$238:$J$451),0),
IF('TL02'!$B$3=M$3,SUMIF('TL02'!$C$10:$C$224,$C211,'TL02'!$J$10:$J$224),0),
IF('TL02'!$B$229=M$3,SUMIF('TL02'!$C$238:$C$451,$C211,'TL02'!$J$238:$J$451),0),
IF('TL03'!$B$3=M$3,SUMIF('TL03'!$C$10:$C$224,$C211,'TL03'!$J$10:$J$224),0),
IF('TL03'!$B$229=M$3,SUMIF('TL03'!$C$238:$C$451,$C211,'TL03'!$J$238:$J$451),0),
IF('TL04'!$B$3=M$3,SUMIF('TL04'!$C$10:$C$224,$C211,'TL04'!$J$10:$J$224),0),
IF('TL04'!$B$229=M$3,SUMIF('TL04'!$C$238:$C$451,$C211,'TL04'!$J$238:$J$451),0),
IF('TL05'!$B$3=M$3,SUMIF('TL05'!$C$10:$C$224,$C211,'TL05'!$J$10:$J$224),0),
IF('TL05'!$B$229=M$3,SUMIF('TL05'!$C$238:$C$451,$C211,'TL05'!$J$238:$J$451),0),
IF('TL06'!$B$3=M$3,SUMIF('TL06'!$C$10:$C$224,$C211,'TL06'!$J$10:$J$224),0),
IF('TL06'!$B$229=M$3,SUMIF('TL06'!$C$238:$C$451,$C211,'TL06'!$J$238:$J$451),0),
IF('TL07'!$B$3=M$3,SUMIF('TL07'!$C$10:$C$224,$C211,'TL07'!$J$10:$J$224),0),
IF('TL07'!$B$229=M$3,SUMIF('TL07'!$C$238:$C$451,$C211,'TL07'!$J$238:$J$451),0),
IF('TL08'!$B$3=M$3,SUMIF('TL08'!$C$10:$C$224,$C211,'TL08'!$J$10:$J$224),0),
IF('TL08'!$B$229=M$3,SUMIF('TL08'!$C$238:$C$451,$C211,'TL08'!$J$238:$J$451),0),
IF('TL09'!$B$3=M$3,SUMIF('TL09'!$C$10:$C$224,$C211,'TL09'!$J$10:$J$224),0),
IF('TL09'!$B$229=M$3,SUMIF('TL09'!$C$238:$C$451,$C211,'TL09'!$J$238:$J$451),0),
IF('TL10'!$B$3=M$3,SUMIF('TL10'!$C$10:$C$224,$C211,'TL10'!$J$10:$J$224),0),
IF('TL10'!$B$229=M$3,SUMIF('TL10'!$C$238:$C$451,$C211,'TL10'!$J$238:$J$451),0),
IF('TL11'!$B$3=M$3,SUMIF('TL11'!$C$10:$C$224,$C211,'TL11'!$J$10:$J$224),0),
IF('TL11'!$B$229=M$3,SUMIF('TL11'!$C$238:$C$451,$C211,'TL11'!$J$238:$J$451),0),
IF('TL12'!$B$3=M$3,SUMIF('TL12'!$C$10:$C$224,$C211,'TL12'!$J$10:$J$224),0),
IF('TL12'!$B$229=M$3,SUMIF('TL12'!$C$238:$C$451,$C211,'TL12'!$J$238:$J$451),0),
IF('TL13'!$B$3=M$3,SUMIF('TL13'!$C$10:$C$224,$C211,'TL13'!$J$10:$J$224),0),
IF('TL13'!$B$229=M$3,SUMIF('TL13'!$C$238:$C$451,$C211,'TL13'!$J$238:$J$451),0),
IF('TL14'!$B$3=M$3,SUMIF('TL14'!$C$10:$C$224,$C211,'TL14'!$J$10:$J$224),0),
IF('TL14'!$B$229=M$3,SUMIF('TL14'!$C$238:$C$451,$C211,'TL14'!$J$238:$J$451),0),
IF('TL15'!$B$3=M$3,SUMIF('TL15'!$C$10:$C$224,$C211,'TL15'!$J$10:$J$224),0),
IF('TL15'!$B$229=M$3,SUMIF('TL15'!$C$238:$C$451,$C211,'TL15'!$J$238:$J$451),0),
IF('TL16'!$B$3=M$3,SUMIF('TL16'!$C$10:$C$224,$C211,'TL16'!$J$10:$J$224),0),
IF('TL16'!$B$229=M$3,SUMIF('TL16'!$C$238:$C$451,$C211,'TL16'!$J$238:$J$451),0),
IF('TL17'!$B$3=M$3,SUMIF('TL17'!$C$10:$C$224,$C211,'TL17'!$J$10:$J$224),0),
IF('TL17'!$B$229=M$3,SUMIF('TL17'!$C$238:$C$451,$C211,'TL17'!$J$238:$J$451),0),
IF('TL18'!$B$3=M$3,SUMIF('TL18'!$C$10:$C$224,$C211,'TL18'!$J$10:$J$224),0),
IF('TL18'!$B$229=M$3,SUMIF('TL18'!$C$238:$C$451,$C211,'TL18'!$J$238:$J$451),0),
IF('TL19'!$B$3=M$3,SUMIF('TL19'!$C$10:$C$224,$C211,'TL19'!$J$10:$J$224),0),
IF('TL19'!$B$229=M$3,SUMIF('TL19'!$C$238:$C$451,$C211,'TL19'!$J$238:$J$451),0)
),0)</f>
        <v>0</v>
      </c>
      <c r="N211" s="9">
        <f>IFERROR(SUM(
IF('TL01'!$B$3=N$3,SUMIF('TL01'!$C$10:$C$224,$C211,'TL01'!$J$10:$J$224),0),
IF('TL01'!$B$229=N$3,SUMIF('TL01'!$C$238:$C$451,$C211,'TL01'!$J$238:$J$451),0),
IF('TL02'!$B$3=N$3,SUMIF('TL02'!$C$10:$C$224,$C211,'TL02'!$J$10:$J$224),0),
IF('TL02'!$B$229=N$3,SUMIF('TL02'!$C$238:$C$451,$C211,'TL02'!$J$238:$J$451),0),
IF('TL03'!$B$3=N$3,SUMIF('TL03'!$C$10:$C$224,$C211,'TL03'!$J$10:$J$224),0),
IF('TL03'!$B$229=N$3,SUMIF('TL03'!$C$238:$C$451,$C211,'TL03'!$J$238:$J$451),0),
IF('TL04'!$B$3=N$3,SUMIF('TL04'!$C$10:$C$224,$C211,'TL04'!$J$10:$J$224),0),
IF('TL04'!$B$229=N$3,SUMIF('TL04'!$C$238:$C$451,$C211,'TL04'!$J$238:$J$451),0),
IF('TL05'!$B$3=N$3,SUMIF('TL05'!$C$10:$C$224,$C211,'TL05'!$J$10:$J$224),0),
IF('TL05'!$B$229=N$3,SUMIF('TL05'!$C$238:$C$451,$C211,'TL05'!$J$238:$J$451),0),
IF('TL06'!$B$3=N$3,SUMIF('TL06'!$C$10:$C$224,$C211,'TL06'!$J$10:$J$224),0),
IF('TL06'!$B$229=N$3,SUMIF('TL06'!$C$238:$C$451,$C211,'TL06'!$J$238:$J$451),0),
IF('TL07'!$B$3=N$3,SUMIF('TL07'!$C$10:$C$224,$C211,'TL07'!$J$10:$J$224),0),
IF('TL07'!$B$229=N$3,SUMIF('TL07'!$C$238:$C$451,$C211,'TL07'!$J$238:$J$451),0),
IF('TL08'!$B$3=N$3,SUMIF('TL08'!$C$10:$C$224,$C211,'TL08'!$J$10:$J$224),0),
IF('TL08'!$B$229=N$3,SUMIF('TL08'!$C$238:$C$451,$C211,'TL08'!$J$238:$J$451),0),
IF('TL09'!$B$3=N$3,SUMIF('TL09'!$C$10:$C$224,$C211,'TL09'!$J$10:$J$224),0),
IF('TL09'!$B$229=N$3,SUMIF('TL09'!$C$238:$C$451,$C211,'TL09'!$J$238:$J$451),0),
IF('TL10'!$B$3=N$3,SUMIF('TL10'!$C$10:$C$224,$C211,'TL10'!$J$10:$J$224),0),
IF('TL10'!$B$229=N$3,SUMIF('TL10'!$C$238:$C$451,$C211,'TL10'!$J$238:$J$451),0),
IF('TL11'!$B$3=N$3,SUMIF('TL11'!$C$10:$C$224,$C211,'TL11'!$J$10:$J$224),0),
IF('TL11'!$B$229=N$3,SUMIF('TL11'!$C$238:$C$451,$C211,'TL11'!$J$238:$J$451),0),
IF('TL12'!$B$3=N$3,SUMIF('TL12'!$C$10:$C$224,$C211,'TL12'!$J$10:$J$224),0),
IF('TL12'!$B$229=N$3,SUMIF('TL12'!$C$238:$C$451,$C211,'TL12'!$J$238:$J$451),0),
IF('TL13'!$B$3=N$3,SUMIF('TL13'!$C$10:$C$224,$C211,'TL13'!$J$10:$J$224),0),
IF('TL13'!$B$229=N$3,SUMIF('TL13'!$C$238:$C$451,$C211,'TL13'!$J$238:$J$451),0),
IF('TL14'!$B$3=N$3,SUMIF('TL14'!$C$10:$C$224,$C211,'TL14'!$J$10:$J$224),0),
IF('TL14'!$B$229=N$3,SUMIF('TL14'!$C$238:$C$451,$C211,'TL14'!$J$238:$J$451),0),
IF('TL15'!$B$3=N$3,SUMIF('TL15'!$C$10:$C$224,$C211,'TL15'!$J$10:$J$224),0),
IF('TL15'!$B$229=N$3,SUMIF('TL15'!$C$238:$C$451,$C211,'TL15'!$J$238:$J$451),0),
IF('TL16'!$B$3=N$3,SUMIF('TL16'!$C$10:$C$224,$C211,'TL16'!$J$10:$J$224),0),
IF('TL16'!$B$229=N$3,SUMIF('TL16'!$C$238:$C$451,$C211,'TL16'!$J$238:$J$451),0),
IF('TL17'!$B$3=N$3,SUMIF('TL17'!$C$10:$C$224,$C211,'TL17'!$J$10:$J$224),0),
IF('TL17'!$B$229=N$3,SUMIF('TL17'!$C$238:$C$451,$C211,'TL17'!$J$238:$J$451),0),
IF('TL18'!$B$3=N$3,SUMIF('TL18'!$C$10:$C$224,$C211,'TL18'!$J$10:$J$224),0),
IF('TL18'!$B$229=N$3,SUMIF('TL18'!$C$238:$C$451,$C211,'TL18'!$J$238:$J$451),0),
IF('TL19'!$B$3=N$3,SUMIF('TL19'!$C$10:$C$224,$C211,'TL19'!$J$10:$J$224),0),
IF('TL19'!$B$229=N$3,SUMIF('TL19'!$C$238:$C$451,$C211,'TL19'!$J$238:$J$451),0)
),0)</f>
        <v>376</v>
      </c>
      <c r="O211" s="9">
        <f>IFERROR(SUM(
IF('TL01'!$B$3=O$3,SUMIF('TL01'!$C$10:$C$224,$C211,'TL01'!$J$10:$J$224),0),
IF('TL01'!$B$229=O$3,SUMIF('TL01'!$C$238:$C$451,$C211,'TL01'!$J$238:$J$451),0),
IF('TL02'!$B$3=O$3,SUMIF('TL02'!$C$10:$C$224,$C211,'TL02'!$J$10:$J$224),0),
IF('TL02'!$B$229=O$3,SUMIF('TL02'!$C$238:$C$451,$C211,'TL02'!$J$238:$J$451),0),
IF('TL03'!$B$3=O$3,SUMIF('TL03'!$C$10:$C$224,$C211,'TL03'!$J$10:$J$224),0),
IF('TL03'!$B$229=O$3,SUMIF('TL03'!$C$238:$C$451,$C211,'TL03'!$J$238:$J$451),0),
IF('TL04'!$B$3=O$3,SUMIF('TL04'!$C$10:$C$224,$C211,'TL04'!$J$10:$J$224),0),
IF('TL04'!$B$229=O$3,SUMIF('TL04'!$C$238:$C$451,$C211,'TL04'!$J$238:$J$451),0),
IF('TL05'!$B$3=O$3,SUMIF('TL05'!$C$10:$C$224,$C211,'TL05'!$J$10:$J$224),0),
IF('TL05'!$B$229=O$3,SUMIF('TL05'!$C$238:$C$451,$C211,'TL05'!$J$238:$J$451),0),
IF('TL06'!$B$3=O$3,SUMIF('TL06'!$C$10:$C$224,$C211,'TL06'!$J$10:$J$224),0),
IF('TL06'!$B$229=O$3,SUMIF('TL06'!$C$238:$C$451,$C211,'TL06'!$J$238:$J$451),0),
IF('TL07'!$B$3=O$3,SUMIF('TL07'!$C$10:$C$224,$C211,'TL07'!$J$10:$J$224),0),
IF('TL07'!$B$229=O$3,SUMIF('TL07'!$C$238:$C$451,$C211,'TL07'!$J$238:$J$451),0),
IF('TL08'!$B$3=O$3,SUMIF('TL08'!$C$10:$C$224,$C211,'TL08'!$J$10:$J$224),0),
IF('TL08'!$B$229=O$3,SUMIF('TL08'!$C$238:$C$451,$C211,'TL08'!$J$238:$J$451),0),
IF('TL09'!$B$3=O$3,SUMIF('TL09'!$C$10:$C$224,$C211,'TL09'!$J$10:$J$224),0),
IF('TL09'!$B$229=O$3,SUMIF('TL09'!$C$238:$C$451,$C211,'TL09'!$J$238:$J$451),0),
IF('TL10'!$B$3=O$3,SUMIF('TL10'!$C$10:$C$224,$C211,'TL10'!$J$10:$J$224),0),
IF('TL10'!$B$229=O$3,SUMIF('TL10'!$C$238:$C$451,$C211,'TL10'!$J$238:$J$451),0),
IF('TL11'!$B$3=O$3,SUMIF('TL11'!$C$10:$C$224,$C211,'TL11'!$J$10:$J$224),0),
IF('TL11'!$B$229=O$3,SUMIF('TL11'!$C$238:$C$451,$C211,'TL11'!$J$238:$J$451),0),
IF('TL12'!$B$3=O$3,SUMIF('TL12'!$C$10:$C$224,$C211,'TL12'!$J$10:$J$224),0),
IF('TL12'!$B$229=O$3,SUMIF('TL12'!$C$238:$C$451,$C211,'TL12'!$J$238:$J$451),0),
IF('TL13'!$B$3=O$3,SUMIF('TL13'!$C$10:$C$224,$C211,'TL13'!$J$10:$J$224),0),
IF('TL13'!$B$229=O$3,SUMIF('TL13'!$C$238:$C$451,$C211,'TL13'!$J$238:$J$451),0),
IF('TL14'!$B$3=O$3,SUMIF('TL14'!$C$10:$C$224,$C211,'TL14'!$J$10:$J$224),0),
IF('TL14'!$B$229=O$3,SUMIF('TL14'!$C$238:$C$451,$C211,'TL14'!$J$238:$J$451),0),
IF('TL15'!$B$3=O$3,SUMIF('TL15'!$C$10:$C$224,$C211,'TL15'!$J$10:$J$224),0),
IF('TL15'!$B$229=O$3,SUMIF('TL15'!$C$238:$C$451,$C211,'TL15'!$J$238:$J$451),0),
IF('TL16'!$B$3=O$3,SUMIF('TL16'!$C$10:$C$224,$C211,'TL16'!$J$10:$J$224),0),
IF('TL16'!$B$229=O$3,SUMIF('TL16'!$C$238:$C$451,$C211,'TL16'!$J$238:$J$451),0),
IF('TL17'!$B$3=O$3,SUMIF('TL17'!$C$10:$C$224,$C211,'TL17'!$J$10:$J$224),0),
IF('TL17'!$B$229=O$3,SUMIF('TL17'!$C$238:$C$451,$C211,'TL17'!$J$238:$J$451),0),
IF('TL18'!$B$3=O$3,SUMIF('TL18'!$C$10:$C$224,$C211,'TL18'!$J$10:$J$224),0),
IF('TL18'!$B$229=O$3,SUMIF('TL18'!$C$238:$C$451,$C211,'TL18'!$J$238:$J$451),0),
IF('TL19'!$B$3=O$3,SUMIF('TL19'!$C$10:$C$224,$C211,'TL19'!$J$10:$J$224),0),
IF('TL19'!$B$229=O$3,SUMIF('TL19'!$C$238:$C$451,$C211,'TL19'!$J$238:$J$451),0)
),0)</f>
        <v>660</v>
      </c>
      <c r="P211" s="9">
        <f>IFERROR(SUM(
IF('TL01'!$B$3=P$3,SUMIF('TL01'!$C$10:$C$224,$C211,'TL01'!$J$10:$J$224),0),
IF('TL01'!$B$229=P$3,SUMIF('TL01'!$C$238:$C$451,$C211,'TL01'!$J$238:$J$451),0),
IF('TL02'!$B$3=P$3,SUMIF('TL02'!$C$10:$C$224,$C211,'TL02'!$J$10:$J$224),0),
IF('TL02'!$B$229=P$3,SUMIF('TL02'!$C$238:$C$451,$C211,'TL02'!$J$238:$J$451),0),
IF('TL03'!$B$3=P$3,SUMIF('TL03'!$C$10:$C$224,$C211,'TL03'!$J$10:$J$224),0),
IF('TL03'!$B$229=P$3,SUMIF('TL03'!$C$238:$C$451,$C211,'TL03'!$J$238:$J$451),0),
IF('TL04'!$B$3=P$3,SUMIF('TL04'!$C$10:$C$224,$C211,'TL04'!$J$10:$J$224),0),
IF('TL04'!$B$229=P$3,SUMIF('TL04'!$C$238:$C$451,$C211,'TL04'!$J$238:$J$451),0),
IF('TL05'!$B$3=P$3,SUMIF('TL05'!$C$10:$C$224,$C211,'TL05'!$J$10:$J$224),0),
IF('TL05'!$B$229=P$3,SUMIF('TL05'!$C$238:$C$451,$C211,'TL05'!$J$238:$J$451),0),
IF('TL06'!$B$3=P$3,SUMIF('TL06'!$C$10:$C$224,$C211,'TL06'!$J$10:$J$224),0),
IF('TL06'!$B$229=P$3,SUMIF('TL06'!$C$238:$C$451,$C211,'TL06'!$J$238:$J$451),0),
IF('TL07'!$B$3=P$3,SUMIF('TL07'!$C$10:$C$224,$C211,'TL07'!$J$10:$J$224),0),
IF('TL07'!$B$229=P$3,SUMIF('TL07'!$C$238:$C$451,$C211,'TL07'!$J$238:$J$451),0),
IF('TL08'!$B$3=P$3,SUMIF('TL08'!$C$10:$C$224,$C211,'TL08'!$J$10:$J$224),0),
IF('TL08'!$B$229=P$3,SUMIF('TL08'!$C$238:$C$451,$C211,'TL08'!$J$238:$J$451),0),
IF('TL09'!$B$3=P$3,SUMIF('TL09'!$C$10:$C$224,$C211,'TL09'!$J$10:$J$224),0),
IF('TL09'!$B$229=P$3,SUMIF('TL09'!$C$238:$C$451,$C211,'TL09'!$J$238:$J$451),0),
IF('TL10'!$B$3=P$3,SUMIF('TL10'!$C$10:$C$224,$C211,'TL10'!$J$10:$J$224),0),
IF('TL10'!$B$229=P$3,SUMIF('TL10'!$C$238:$C$451,$C211,'TL10'!$J$238:$J$451),0),
IF('TL11'!$B$3=P$3,SUMIF('TL11'!$C$10:$C$224,$C211,'TL11'!$J$10:$J$224),0),
IF('TL11'!$B$229=P$3,SUMIF('TL11'!$C$238:$C$451,$C211,'TL11'!$J$238:$J$451),0),
IF('TL12'!$B$3=P$3,SUMIF('TL12'!$C$10:$C$224,$C211,'TL12'!$J$10:$J$224),0),
IF('TL12'!$B$229=P$3,SUMIF('TL12'!$C$238:$C$451,$C211,'TL12'!$J$238:$J$451),0),
IF('TL13'!$B$3=P$3,SUMIF('TL13'!$C$10:$C$224,$C211,'TL13'!$J$10:$J$224),0),
IF('TL13'!$B$229=P$3,SUMIF('TL13'!$C$238:$C$451,$C211,'TL13'!$J$238:$J$451),0),
IF('TL14'!$B$3=P$3,SUMIF('TL14'!$C$10:$C$224,$C211,'TL14'!$J$10:$J$224),0),
IF('TL14'!$B$229=P$3,SUMIF('TL14'!$C$238:$C$451,$C211,'TL14'!$J$238:$J$451),0),
IF('TL15'!$B$3=P$3,SUMIF('TL15'!$C$10:$C$224,$C211,'TL15'!$J$10:$J$224),0),
IF('TL15'!$B$229=P$3,SUMIF('TL15'!$C$238:$C$451,$C211,'TL15'!$J$238:$J$451),0),
IF('TL16'!$B$3=P$3,SUMIF('TL16'!$C$10:$C$224,$C211,'TL16'!$J$10:$J$224),0),
IF('TL16'!$B$229=P$3,SUMIF('TL16'!$C$238:$C$451,$C211,'TL16'!$J$238:$J$451),0),
IF('TL17'!$B$3=P$3,SUMIF('TL17'!$C$10:$C$224,$C211,'TL17'!$J$10:$J$224),0),
IF('TL17'!$B$229=P$3,SUMIF('TL17'!$C$238:$C$451,$C211,'TL17'!$J$238:$J$451),0),
IF('TL18'!$B$3=P$3,SUMIF('TL18'!$C$10:$C$224,$C211,'TL18'!$J$10:$J$224),0),
IF('TL18'!$B$229=P$3,SUMIF('TL18'!$C$238:$C$451,$C211,'TL18'!$J$238:$J$451),0),
IF('TL19'!$B$3=P$3,SUMIF('TL19'!$C$10:$C$224,$C211,'TL19'!$J$10:$J$224),0),
IF('TL19'!$B$229=P$3,SUMIF('TL19'!$C$238:$C$451,$C211,'TL19'!$J$238:$J$451),0)
),0)</f>
        <v>0</v>
      </c>
      <c r="Q211" s="9">
        <f>IFERROR(SUM(
IF('TL01'!$B$3=Q$3,SUMIF('TL01'!$C$10:$C$224,$C211,'TL01'!$J$10:$J$224),0),
IF('TL01'!$B$229=Q$3,SUMIF('TL01'!$C$238:$C$451,$C211,'TL01'!$J$238:$J$451),0),
IF('TL02'!$B$3=Q$3,SUMIF('TL02'!$C$10:$C$224,$C211,'TL02'!$J$10:$J$224),0),
IF('TL02'!$B$229=Q$3,SUMIF('TL02'!$C$238:$C$451,$C211,'TL02'!$J$238:$J$451),0),
IF('TL03'!$B$3=Q$3,SUMIF('TL03'!$C$10:$C$224,$C211,'TL03'!$J$10:$J$224),0),
IF('TL03'!$B$229=Q$3,SUMIF('TL03'!$C$238:$C$451,$C211,'TL03'!$J$238:$J$451),0),
IF('TL04'!$B$3=Q$3,SUMIF('TL04'!$C$10:$C$224,$C211,'TL04'!$J$10:$J$224),0),
IF('TL04'!$B$229=Q$3,SUMIF('TL04'!$C$238:$C$451,$C211,'TL04'!$J$238:$J$451),0),
IF('TL05'!$B$3=Q$3,SUMIF('TL05'!$C$10:$C$224,$C211,'TL05'!$J$10:$J$224),0),
IF('TL05'!$B$229=Q$3,SUMIF('TL05'!$C$238:$C$451,$C211,'TL05'!$J$238:$J$451),0),
IF('TL06'!$B$3=Q$3,SUMIF('TL06'!$C$10:$C$224,$C211,'TL06'!$J$10:$J$224),0),
IF('TL06'!$B$229=Q$3,SUMIF('TL06'!$C$238:$C$451,$C211,'TL06'!$J$238:$J$451),0),
IF('TL07'!$B$3=Q$3,SUMIF('TL07'!$C$10:$C$224,$C211,'TL07'!$J$10:$J$224),0),
IF('TL07'!$B$229=Q$3,SUMIF('TL07'!$C$238:$C$451,$C211,'TL07'!$J$238:$J$451),0),
IF('TL08'!$B$3=Q$3,SUMIF('TL08'!$C$10:$C$224,$C211,'TL08'!$J$10:$J$224),0),
IF('TL08'!$B$229=Q$3,SUMIF('TL08'!$C$238:$C$451,$C211,'TL08'!$J$238:$J$451),0),
IF('TL09'!$B$3=Q$3,SUMIF('TL09'!$C$10:$C$224,$C211,'TL09'!$J$10:$J$224),0),
IF('TL09'!$B$229=Q$3,SUMIF('TL09'!$C$238:$C$451,$C211,'TL09'!$J$238:$J$451),0),
IF('TL10'!$B$3=Q$3,SUMIF('TL10'!$C$10:$C$224,$C211,'TL10'!$J$10:$J$224),0),
IF('TL10'!$B$229=Q$3,SUMIF('TL10'!$C$238:$C$451,$C211,'TL10'!$J$238:$J$451),0),
IF('TL11'!$B$3=Q$3,SUMIF('TL11'!$C$10:$C$224,$C211,'TL11'!$J$10:$J$224),0),
IF('TL11'!$B$229=Q$3,SUMIF('TL11'!$C$238:$C$451,$C211,'TL11'!$J$238:$J$451),0),
IF('TL12'!$B$3=Q$3,SUMIF('TL12'!$C$10:$C$224,$C211,'TL12'!$J$10:$J$224),0),
IF('TL12'!$B$229=Q$3,SUMIF('TL12'!$C$238:$C$451,$C211,'TL12'!$J$238:$J$451),0),
IF('TL13'!$B$3=Q$3,SUMIF('TL13'!$C$10:$C$224,$C211,'TL13'!$J$10:$J$224),0),
IF('TL13'!$B$229=Q$3,SUMIF('TL13'!$C$238:$C$451,$C211,'TL13'!$J$238:$J$451),0),
IF('TL14'!$B$3=Q$3,SUMIF('TL14'!$C$10:$C$224,$C211,'TL14'!$J$10:$J$224),0),
IF('TL14'!$B$229=Q$3,SUMIF('TL14'!$C$238:$C$451,$C211,'TL14'!$J$238:$J$451),0),
IF('TL15'!$B$3=Q$3,SUMIF('TL15'!$C$10:$C$224,$C211,'TL15'!$J$10:$J$224),0),
IF('TL15'!$B$229=Q$3,SUMIF('TL15'!$C$238:$C$451,$C211,'TL15'!$J$238:$J$451),0),
IF('TL16'!$B$3=Q$3,SUMIF('TL16'!$C$10:$C$224,$C211,'TL16'!$J$10:$J$224),0),
IF('TL16'!$B$229=Q$3,SUMIF('TL16'!$C$238:$C$451,$C211,'TL16'!$J$238:$J$451),0),
IF('TL17'!$B$3=Q$3,SUMIF('TL17'!$C$10:$C$224,$C211,'TL17'!$J$10:$J$224),0),
IF('TL17'!$B$229=Q$3,SUMIF('TL17'!$C$238:$C$451,$C211,'TL17'!$J$238:$J$451),0),
IF('TL18'!$B$3=Q$3,SUMIF('TL18'!$C$10:$C$224,$C211,'TL18'!$J$10:$J$224),0),
IF('TL18'!$B$229=Q$3,SUMIF('TL18'!$C$238:$C$451,$C211,'TL18'!$J$238:$J$451),0),
IF('TL19'!$B$3=Q$3,SUMIF('TL19'!$C$10:$C$224,$C211,'TL19'!$J$10:$J$224),0),
IF('TL19'!$B$229=Q$3,SUMIF('TL19'!$C$238:$C$451,$C211,'TL19'!$J$238:$J$451),0)
),0)</f>
        <v>0</v>
      </c>
      <c r="R211" s="9">
        <f>IFERROR(
SUM(
SUMIF('TL01'!C:C,C211,'TL01'!J:J),
SUMIF('TL02'!C:C,C211,'TL02'!J:J),
SUMIF('TL03'!C:C,C211,'TL03'!J:J),
SUMIF('TL04'!C:C,C211,'TL04'!J:J),
SUMIF('TL05'!C:C,C211,'TL05'!J:J),
SUMIF('TL06'!C:C,C211,'TL06'!J:J),
SUMIF('TL07'!C:C,C211,'TL07'!J:J),
SUMIF('TL08'!C:C,C211,'TL08'!J:J),
SUMIF('TL09'!C:C,C211,'TL09'!J:J),
SUMIF('TL10'!C:C,C211,'TL10'!J:J),
SUMIF('TL11'!C:C,C211,'TL11'!J:J),
SUMIF('TL12'!C:C,C211,'TL12'!J:J),
SUMIF('TL13'!C:C,C211,'TL13'!J:J),
SUMIF('TL14'!C:C,C211,'TL14'!J:J),
SUMIF('TL15'!C:C,C211,'TL15'!J:J),
SUMIF('TL16'!C:C,C211,'TL16'!J:J),
SUMIF('TL17'!C:C,C211,'TL17'!J:J),
SUMIF('TL18'!C:C,C211,'TL18'!J:J),SUMIF('TL19'!C:C,C211,'TL19'!J:J))
,0)</f>
        <v>2016</v>
      </c>
      <c r="S211" s="17">
        <f>IFERROR(__xludf.DUMMYFUNCTION("IFERROR(VLOOKUP(C211,
IMPORTRANGE(""1wULbzX32WdYsx-lj2U3uUNBBe2INVIRDtcK0d-Dvl90"",
""26-27!C:G""),
5,
FALSE),
"""")"),38.557289999999995)</f>
        <v>38.55729</v>
      </c>
      <c r="T211" s="9"/>
      <c r="U211" s="92">
        <f t="shared" si="2"/>
        <v>2016</v>
      </c>
      <c r="V211" s="93">
        <f t="shared" si="3"/>
        <v>77731.49664</v>
      </c>
    </row>
    <row r="212" ht="15.75" hidden="1" customHeight="1">
      <c r="A212" s="87" t="s">
        <v>516</v>
      </c>
      <c r="B212" s="88" t="s">
        <v>2</v>
      </c>
      <c r="C212" s="89" t="s">
        <v>838</v>
      </c>
      <c r="D212" s="89" t="s">
        <v>839</v>
      </c>
      <c r="E212" s="89">
        <v>480.0</v>
      </c>
      <c r="F212" s="4" t="s">
        <v>343</v>
      </c>
      <c r="G212" s="90" t="str">
        <f t="shared" si="4"/>
        <v>📄 Ver bula</v>
      </c>
      <c r="H212" s="9">
        <f>IFERROR(__xludf.DUMMYFUNCTION("IFERROR(VLOOKUP(C212,
IMPORTRANGE(""1wULbzX32WdYsx-lj2U3uUNBBe2INVIRDtcK0d-Dvl90"",
""26-27!C:K""),
8,
FALSE),
"""")"),1.0)</f>
        <v>1</v>
      </c>
      <c r="I212" s="91" t="s">
        <v>344</v>
      </c>
      <c r="J212" s="9">
        <f>IFERROR(SUM(
IF('TL01'!$B$3=J$3,SUMIF('TL01'!$C$10:$C$224,$C212,'TL01'!$J$10:$J$224),0),
IF('TL01'!$B$229=J$3,SUMIF('TL01'!$C$238:$C$451,$C212,'TL01'!$J$238:$J$451),0),
IF('TL02'!$B$3=J$3,SUMIF('TL02'!$C$10:$C$224,$C212,'TL02'!$J$10:$J$224),0),
IF('TL02'!$B$229=J$3,SUMIF('TL02'!$C$238:$C$451,$C212,'TL02'!$J$238:$J$451),0),
IF('TL03'!$B$3=J$3,SUMIF('TL03'!$C$10:$C$224,$C212,'TL03'!$J$10:$J$224),0),
IF('TL03'!$B$229=J$3,SUMIF('TL03'!$C$238:$C$451,$C212,'TL03'!$J$238:$J$451),0),
IF('TL04'!$B$3=J$3,SUMIF('TL04'!$C$10:$C$224,$C212,'TL04'!$J$10:$J$224),0),
IF('TL04'!$B$229=J$3,SUMIF('TL04'!$C$238:$C$451,$C212,'TL04'!$J$238:$J$451),0),
IF('TL05'!$B$3=J$3,SUMIF('TL05'!$C$10:$C$224,$C212,'TL05'!$J$10:$J$224),0),
IF('TL05'!$B$229=J$3,SUMIF('TL05'!$C$238:$C$451,$C212,'TL05'!$J$238:$J$451),0),
IF('TL06'!$B$3=J$3,SUMIF('TL06'!$C$10:$C$224,$C212,'TL06'!$J$10:$J$224),0),
IF('TL06'!$B$229=J$3,SUMIF('TL06'!$C$238:$C$451,$C212,'TL06'!$J$238:$J$451),0),
IF('TL07'!$B$3=J$3,SUMIF('TL07'!$C$10:$C$224,$C212,'TL07'!$J$10:$J$224),0),
IF('TL07'!$B$229=J$3,SUMIF('TL07'!$C$238:$C$451,$C212,'TL07'!$J$238:$J$451),0),
IF('TL08'!$B$3=J$3,SUMIF('TL08'!$C$10:$C$224,$C212,'TL08'!$J$10:$J$224),0),
IF('TL08'!$B$229=J$3,SUMIF('TL08'!$C$238:$C$451,$C212,'TL08'!$J$238:$J$451),0),
IF('TL09'!$B$3=J$3,SUMIF('TL09'!$C$10:$C$224,$C212,'TL09'!$J$10:$J$224),0),
IF('TL09'!$B$229=J$3,SUMIF('TL09'!$C$238:$C$451,$C212,'TL09'!$J$238:$J$451),0),
IF('TL10'!$B$3=J$3,SUMIF('TL10'!$C$10:$C$224,$C212,'TL10'!$J$10:$J$224),0),
IF('TL10'!$B$229=J$3,SUMIF('TL10'!$C$238:$C$451,$C212,'TL10'!$J$238:$J$451),0),
IF('TL11'!$B$3=J$3,SUMIF('TL11'!$C$10:$C$224,$C212,'TL11'!$J$10:$J$224),0),
IF('TL11'!$B$229=J$3,SUMIF('TL11'!$C$238:$C$451,$C212,'TL11'!$J$238:$J$451),0),
IF('TL12'!$B$3=J$3,SUMIF('TL12'!$C$10:$C$224,$C212,'TL12'!$J$10:$J$224),0),
IF('TL12'!$B$229=J$3,SUMIF('TL12'!$C$238:$C$451,$C212,'TL12'!$J$238:$J$451),0),
IF('TL13'!$B$3=J$3,SUMIF('TL13'!$C$10:$C$224,$C212,'TL13'!$J$10:$J$224),0),
IF('TL13'!$B$229=J$3,SUMIF('TL13'!$C$238:$C$451,$C212,'TL13'!$J$238:$J$451),0),
IF('TL14'!$B$3=J$3,SUMIF('TL14'!$C$10:$C$224,$C212,'TL14'!$J$10:$J$224),0),
IF('TL14'!$B$229=J$3,SUMIF('TL14'!$C$238:$C$451,$C212,'TL14'!$J$238:$J$451),0),
IF('TL15'!$B$3=J$3,SUMIF('TL15'!$C$10:$C$224,$C212,'TL15'!$J$10:$J$224),0),
IF('TL15'!$B$229=J$3,SUMIF('TL15'!$C$238:$C$451,$C212,'TL15'!$J$238:$J$451),0),
IF('TL16'!$B$3=J$3,SUMIF('TL16'!$C$10:$C$224,$C212,'TL16'!$J$10:$J$224),0),
IF('TL16'!$B$229=J$3,SUMIF('TL16'!$C$238:$C$451,$C212,'TL16'!$J$238:$J$451),0),
IF('TL17'!$B$3=J$3,SUMIF('TL17'!$C$10:$C$224,$C212,'TL17'!$J$10:$J$224),0),
IF('TL17'!$B$229=J$3,SUMIF('TL17'!$C$238:$C$451,$C212,'TL17'!$J$238:$J$451),0),
IF('TL18'!$B$3=J$3,SUMIF('TL18'!$C$10:$C$224,$C212,'TL18'!$J$10:$J$224),0),
IF('TL18'!$B$229=J$3,SUMIF('TL18'!$C$238:$C$451,$C212,'TL18'!$J$238:$J$451),0),
IF('TL19'!$B$3=J$3,SUMIF('TL19'!$C$10:$C$224,$C212,'TL19'!$J$10:$J$224),0),
IF('TL19'!$B$229=J$3,SUMIF('TL19'!$C$238:$C$451,$C212,'TL19'!$J$238:$J$451),0)
),0)</f>
        <v>0</v>
      </c>
      <c r="K212" s="9">
        <f>IFERROR(SUM(
IF('TL01'!$B$3=K$3,SUMIF('TL01'!$C$10:$C$224,$C212,'TL01'!$J$10:$J$224),0),
IF('TL01'!$B$229=K$3,SUMIF('TL01'!$C$238:$C$451,$C212,'TL01'!$J$238:$J$451),0),
IF('TL02'!$B$3=K$3,SUMIF('TL02'!$C$10:$C$224,$C212,'TL02'!$J$10:$J$224),0),
IF('TL02'!$B$229=K$3,SUMIF('TL02'!$C$238:$C$451,$C212,'TL02'!$J$238:$J$451),0),
IF('TL03'!$B$3=K$3,SUMIF('TL03'!$C$10:$C$224,$C212,'TL03'!$J$10:$J$224),0),
IF('TL03'!$B$229=K$3,SUMIF('TL03'!$C$238:$C$451,$C212,'TL03'!$J$238:$J$451),0),
IF('TL04'!$B$3=K$3,SUMIF('TL04'!$C$10:$C$224,$C212,'TL04'!$J$10:$J$224),0),
IF('TL04'!$B$229=K$3,SUMIF('TL04'!$C$238:$C$451,$C212,'TL04'!$J$238:$J$451),0),
IF('TL05'!$B$3=K$3,SUMIF('TL05'!$C$10:$C$224,$C212,'TL05'!$J$10:$J$224),0),
IF('TL05'!$B$229=K$3,SUMIF('TL05'!$C$238:$C$451,$C212,'TL05'!$J$238:$J$451),0),
IF('TL06'!$B$3=K$3,SUMIF('TL06'!$C$10:$C$224,$C212,'TL06'!$J$10:$J$224),0),
IF('TL06'!$B$229=K$3,SUMIF('TL06'!$C$238:$C$451,$C212,'TL06'!$J$238:$J$451),0),
IF('TL07'!$B$3=K$3,SUMIF('TL07'!$C$10:$C$224,$C212,'TL07'!$J$10:$J$224),0),
IF('TL07'!$B$229=K$3,SUMIF('TL07'!$C$238:$C$451,$C212,'TL07'!$J$238:$J$451),0),
IF('TL08'!$B$3=K$3,SUMIF('TL08'!$C$10:$C$224,$C212,'TL08'!$J$10:$J$224),0),
IF('TL08'!$B$229=K$3,SUMIF('TL08'!$C$238:$C$451,$C212,'TL08'!$J$238:$J$451),0),
IF('TL09'!$B$3=K$3,SUMIF('TL09'!$C$10:$C$224,$C212,'TL09'!$J$10:$J$224),0),
IF('TL09'!$B$229=K$3,SUMIF('TL09'!$C$238:$C$451,$C212,'TL09'!$J$238:$J$451),0),
IF('TL10'!$B$3=K$3,SUMIF('TL10'!$C$10:$C$224,$C212,'TL10'!$J$10:$J$224),0),
IF('TL10'!$B$229=K$3,SUMIF('TL10'!$C$238:$C$451,$C212,'TL10'!$J$238:$J$451),0),
IF('TL11'!$B$3=K$3,SUMIF('TL11'!$C$10:$C$224,$C212,'TL11'!$J$10:$J$224),0),
IF('TL11'!$B$229=K$3,SUMIF('TL11'!$C$238:$C$451,$C212,'TL11'!$J$238:$J$451),0),
IF('TL12'!$B$3=K$3,SUMIF('TL12'!$C$10:$C$224,$C212,'TL12'!$J$10:$J$224),0),
IF('TL12'!$B$229=K$3,SUMIF('TL12'!$C$238:$C$451,$C212,'TL12'!$J$238:$J$451),0),
IF('TL13'!$B$3=K$3,SUMIF('TL13'!$C$10:$C$224,$C212,'TL13'!$J$10:$J$224),0),
IF('TL13'!$B$229=K$3,SUMIF('TL13'!$C$238:$C$451,$C212,'TL13'!$J$238:$J$451),0),
IF('TL14'!$B$3=K$3,SUMIF('TL14'!$C$10:$C$224,$C212,'TL14'!$J$10:$J$224),0),
IF('TL14'!$B$229=K$3,SUMIF('TL14'!$C$238:$C$451,$C212,'TL14'!$J$238:$J$451),0),
IF('TL15'!$B$3=K$3,SUMIF('TL15'!$C$10:$C$224,$C212,'TL15'!$J$10:$J$224),0),
IF('TL15'!$B$229=K$3,SUMIF('TL15'!$C$238:$C$451,$C212,'TL15'!$J$238:$J$451),0),
IF('TL16'!$B$3=K$3,SUMIF('TL16'!$C$10:$C$224,$C212,'TL16'!$J$10:$J$224),0),
IF('TL16'!$B$229=K$3,SUMIF('TL16'!$C$238:$C$451,$C212,'TL16'!$J$238:$J$451),0),
IF('TL17'!$B$3=K$3,SUMIF('TL17'!$C$10:$C$224,$C212,'TL17'!$J$10:$J$224),0),
IF('TL17'!$B$229=K$3,SUMIF('TL17'!$C$238:$C$451,$C212,'TL17'!$J$238:$J$451),0),
IF('TL18'!$B$3=K$3,SUMIF('TL18'!$C$10:$C$224,$C212,'TL18'!$J$10:$J$224),0),
IF('TL18'!$B$229=K$3,SUMIF('TL18'!$C$238:$C$451,$C212,'TL18'!$J$238:$J$451),0),
IF('TL19'!$B$3=K$3,SUMIF('TL19'!$C$10:$C$224,$C212,'TL19'!$J$10:$J$224),0),
IF('TL19'!$B$229=K$3,SUMIF('TL19'!$C$238:$C$451,$C212,'TL19'!$J$238:$J$451),0)
),0)</f>
        <v>0</v>
      </c>
      <c r="L212" s="9">
        <f>IFERROR(SUM(
IF('TL01'!$B$3=L$3,SUMIF('TL01'!$C$10:$C$224,$C212,'TL01'!$J$10:$J$224),0),
IF('TL01'!$B$229=L$3,SUMIF('TL01'!$C$238:$C$451,$C212,'TL01'!$J$238:$J$451),0),
IF('TL02'!$B$3=L$3,SUMIF('TL02'!$C$10:$C$224,$C212,'TL02'!$J$10:$J$224),0),
IF('TL02'!$B$229=L$3,SUMIF('TL02'!$C$238:$C$451,$C212,'TL02'!$J$238:$J$451),0),
IF('TL03'!$B$3=L$3,SUMIF('TL03'!$C$10:$C$224,$C212,'TL03'!$J$10:$J$224),0),
IF('TL03'!$B$229=L$3,SUMIF('TL03'!$C$238:$C$451,$C212,'TL03'!$J$238:$J$451),0),
IF('TL04'!$B$3=L$3,SUMIF('TL04'!$C$10:$C$224,$C212,'TL04'!$J$10:$J$224),0),
IF('TL04'!$B$229=L$3,SUMIF('TL04'!$C$238:$C$451,$C212,'TL04'!$J$238:$J$451),0),
IF('TL05'!$B$3=L$3,SUMIF('TL05'!$C$10:$C$224,$C212,'TL05'!$J$10:$J$224),0),
IF('TL05'!$B$229=L$3,SUMIF('TL05'!$C$238:$C$451,$C212,'TL05'!$J$238:$J$451),0),
IF('TL06'!$B$3=L$3,SUMIF('TL06'!$C$10:$C$224,$C212,'TL06'!$J$10:$J$224),0),
IF('TL06'!$B$229=L$3,SUMIF('TL06'!$C$238:$C$451,$C212,'TL06'!$J$238:$J$451),0),
IF('TL07'!$B$3=L$3,SUMIF('TL07'!$C$10:$C$224,$C212,'TL07'!$J$10:$J$224),0),
IF('TL07'!$B$229=L$3,SUMIF('TL07'!$C$238:$C$451,$C212,'TL07'!$J$238:$J$451),0),
IF('TL08'!$B$3=L$3,SUMIF('TL08'!$C$10:$C$224,$C212,'TL08'!$J$10:$J$224),0),
IF('TL08'!$B$229=L$3,SUMIF('TL08'!$C$238:$C$451,$C212,'TL08'!$J$238:$J$451),0),
IF('TL09'!$B$3=L$3,SUMIF('TL09'!$C$10:$C$224,$C212,'TL09'!$J$10:$J$224),0),
IF('TL09'!$B$229=L$3,SUMIF('TL09'!$C$238:$C$451,$C212,'TL09'!$J$238:$J$451),0),
IF('TL10'!$B$3=L$3,SUMIF('TL10'!$C$10:$C$224,$C212,'TL10'!$J$10:$J$224),0),
IF('TL10'!$B$229=L$3,SUMIF('TL10'!$C$238:$C$451,$C212,'TL10'!$J$238:$J$451),0),
IF('TL11'!$B$3=L$3,SUMIF('TL11'!$C$10:$C$224,$C212,'TL11'!$J$10:$J$224),0),
IF('TL11'!$B$229=L$3,SUMIF('TL11'!$C$238:$C$451,$C212,'TL11'!$J$238:$J$451),0),
IF('TL12'!$B$3=L$3,SUMIF('TL12'!$C$10:$C$224,$C212,'TL12'!$J$10:$J$224),0),
IF('TL12'!$B$229=L$3,SUMIF('TL12'!$C$238:$C$451,$C212,'TL12'!$J$238:$J$451),0),
IF('TL13'!$B$3=L$3,SUMIF('TL13'!$C$10:$C$224,$C212,'TL13'!$J$10:$J$224),0),
IF('TL13'!$B$229=L$3,SUMIF('TL13'!$C$238:$C$451,$C212,'TL13'!$J$238:$J$451),0),
IF('TL14'!$B$3=L$3,SUMIF('TL14'!$C$10:$C$224,$C212,'TL14'!$J$10:$J$224),0),
IF('TL14'!$B$229=L$3,SUMIF('TL14'!$C$238:$C$451,$C212,'TL14'!$J$238:$J$451),0),
IF('TL15'!$B$3=L$3,SUMIF('TL15'!$C$10:$C$224,$C212,'TL15'!$J$10:$J$224),0),
IF('TL15'!$B$229=L$3,SUMIF('TL15'!$C$238:$C$451,$C212,'TL15'!$J$238:$J$451),0),
IF('TL16'!$B$3=L$3,SUMIF('TL16'!$C$10:$C$224,$C212,'TL16'!$J$10:$J$224),0),
IF('TL16'!$B$229=L$3,SUMIF('TL16'!$C$238:$C$451,$C212,'TL16'!$J$238:$J$451),0),
IF('TL17'!$B$3=L$3,SUMIF('TL17'!$C$10:$C$224,$C212,'TL17'!$J$10:$J$224),0),
IF('TL17'!$B$229=L$3,SUMIF('TL17'!$C$238:$C$451,$C212,'TL17'!$J$238:$J$451),0),
IF('TL18'!$B$3=L$3,SUMIF('TL18'!$C$10:$C$224,$C212,'TL18'!$J$10:$J$224),0),
IF('TL18'!$B$229=L$3,SUMIF('TL18'!$C$238:$C$451,$C212,'TL18'!$J$238:$J$451),0),
IF('TL19'!$B$3=L$3,SUMIF('TL19'!$C$10:$C$224,$C212,'TL19'!$J$10:$J$224),0),
IF('TL19'!$B$229=L$3,SUMIF('TL19'!$C$238:$C$451,$C212,'TL19'!$J$238:$J$451),0)
),0)</f>
        <v>0</v>
      </c>
      <c r="M212" s="9">
        <f>IFERROR(SUM(
IF('TL01'!$B$3=M$3,SUMIF('TL01'!$C$10:$C$224,$C212,'TL01'!$J$10:$J$224),0),
IF('TL01'!$B$229=M$3,SUMIF('TL01'!$C$238:$C$451,$C212,'TL01'!$J$238:$J$451),0),
IF('TL02'!$B$3=M$3,SUMIF('TL02'!$C$10:$C$224,$C212,'TL02'!$J$10:$J$224),0),
IF('TL02'!$B$229=M$3,SUMIF('TL02'!$C$238:$C$451,$C212,'TL02'!$J$238:$J$451),0),
IF('TL03'!$B$3=M$3,SUMIF('TL03'!$C$10:$C$224,$C212,'TL03'!$J$10:$J$224),0),
IF('TL03'!$B$229=M$3,SUMIF('TL03'!$C$238:$C$451,$C212,'TL03'!$J$238:$J$451),0),
IF('TL04'!$B$3=M$3,SUMIF('TL04'!$C$10:$C$224,$C212,'TL04'!$J$10:$J$224),0),
IF('TL04'!$B$229=M$3,SUMIF('TL04'!$C$238:$C$451,$C212,'TL04'!$J$238:$J$451),0),
IF('TL05'!$B$3=M$3,SUMIF('TL05'!$C$10:$C$224,$C212,'TL05'!$J$10:$J$224),0),
IF('TL05'!$B$229=M$3,SUMIF('TL05'!$C$238:$C$451,$C212,'TL05'!$J$238:$J$451),0),
IF('TL06'!$B$3=M$3,SUMIF('TL06'!$C$10:$C$224,$C212,'TL06'!$J$10:$J$224),0),
IF('TL06'!$B$229=M$3,SUMIF('TL06'!$C$238:$C$451,$C212,'TL06'!$J$238:$J$451),0),
IF('TL07'!$B$3=M$3,SUMIF('TL07'!$C$10:$C$224,$C212,'TL07'!$J$10:$J$224),0),
IF('TL07'!$B$229=M$3,SUMIF('TL07'!$C$238:$C$451,$C212,'TL07'!$J$238:$J$451),0),
IF('TL08'!$B$3=M$3,SUMIF('TL08'!$C$10:$C$224,$C212,'TL08'!$J$10:$J$224),0),
IF('TL08'!$B$229=M$3,SUMIF('TL08'!$C$238:$C$451,$C212,'TL08'!$J$238:$J$451),0),
IF('TL09'!$B$3=M$3,SUMIF('TL09'!$C$10:$C$224,$C212,'TL09'!$J$10:$J$224),0),
IF('TL09'!$B$229=M$3,SUMIF('TL09'!$C$238:$C$451,$C212,'TL09'!$J$238:$J$451),0),
IF('TL10'!$B$3=M$3,SUMIF('TL10'!$C$10:$C$224,$C212,'TL10'!$J$10:$J$224),0),
IF('TL10'!$B$229=M$3,SUMIF('TL10'!$C$238:$C$451,$C212,'TL10'!$J$238:$J$451),0),
IF('TL11'!$B$3=M$3,SUMIF('TL11'!$C$10:$C$224,$C212,'TL11'!$J$10:$J$224),0),
IF('TL11'!$B$229=M$3,SUMIF('TL11'!$C$238:$C$451,$C212,'TL11'!$J$238:$J$451),0),
IF('TL12'!$B$3=M$3,SUMIF('TL12'!$C$10:$C$224,$C212,'TL12'!$J$10:$J$224),0),
IF('TL12'!$B$229=M$3,SUMIF('TL12'!$C$238:$C$451,$C212,'TL12'!$J$238:$J$451),0),
IF('TL13'!$B$3=M$3,SUMIF('TL13'!$C$10:$C$224,$C212,'TL13'!$J$10:$J$224),0),
IF('TL13'!$B$229=M$3,SUMIF('TL13'!$C$238:$C$451,$C212,'TL13'!$J$238:$J$451),0),
IF('TL14'!$B$3=M$3,SUMIF('TL14'!$C$10:$C$224,$C212,'TL14'!$J$10:$J$224),0),
IF('TL14'!$B$229=M$3,SUMIF('TL14'!$C$238:$C$451,$C212,'TL14'!$J$238:$J$451),0),
IF('TL15'!$B$3=M$3,SUMIF('TL15'!$C$10:$C$224,$C212,'TL15'!$J$10:$J$224),0),
IF('TL15'!$B$229=M$3,SUMIF('TL15'!$C$238:$C$451,$C212,'TL15'!$J$238:$J$451),0),
IF('TL16'!$B$3=M$3,SUMIF('TL16'!$C$10:$C$224,$C212,'TL16'!$J$10:$J$224),0),
IF('TL16'!$B$229=M$3,SUMIF('TL16'!$C$238:$C$451,$C212,'TL16'!$J$238:$J$451),0),
IF('TL17'!$B$3=M$3,SUMIF('TL17'!$C$10:$C$224,$C212,'TL17'!$J$10:$J$224),0),
IF('TL17'!$B$229=M$3,SUMIF('TL17'!$C$238:$C$451,$C212,'TL17'!$J$238:$J$451),0),
IF('TL18'!$B$3=M$3,SUMIF('TL18'!$C$10:$C$224,$C212,'TL18'!$J$10:$J$224),0),
IF('TL18'!$B$229=M$3,SUMIF('TL18'!$C$238:$C$451,$C212,'TL18'!$J$238:$J$451),0),
IF('TL19'!$B$3=M$3,SUMIF('TL19'!$C$10:$C$224,$C212,'TL19'!$J$10:$J$224),0),
IF('TL19'!$B$229=M$3,SUMIF('TL19'!$C$238:$C$451,$C212,'TL19'!$J$238:$J$451),0)
),0)</f>
        <v>0</v>
      </c>
      <c r="N212" s="9">
        <f>IFERROR(SUM(
IF('TL01'!$B$3=N$3,SUMIF('TL01'!$C$10:$C$224,$C212,'TL01'!$J$10:$J$224),0),
IF('TL01'!$B$229=N$3,SUMIF('TL01'!$C$238:$C$451,$C212,'TL01'!$J$238:$J$451),0),
IF('TL02'!$B$3=N$3,SUMIF('TL02'!$C$10:$C$224,$C212,'TL02'!$J$10:$J$224),0),
IF('TL02'!$B$229=N$3,SUMIF('TL02'!$C$238:$C$451,$C212,'TL02'!$J$238:$J$451),0),
IF('TL03'!$B$3=N$3,SUMIF('TL03'!$C$10:$C$224,$C212,'TL03'!$J$10:$J$224),0),
IF('TL03'!$B$229=N$3,SUMIF('TL03'!$C$238:$C$451,$C212,'TL03'!$J$238:$J$451),0),
IF('TL04'!$B$3=N$3,SUMIF('TL04'!$C$10:$C$224,$C212,'TL04'!$J$10:$J$224),0),
IF('TL04'!$B$229=N$3,SUMIF('TL04'!$C$238:$C$451,$C212,'TL04'!$J$238:$J$451),0),
IF('TL05'!$B$3=N$3,SUMIF('TL05'!$C$10:$C$224,$C212,'TL05'!$J$10:$J$224),0),
IF('TL05'!$B$229=N$3,SUMIF('TL05'!$C$238:$C$451,$C212,'TL05'!$J$238:$J$451),0),
IF('TL06'!$B$3=N$3,SUMIF('TL06'!$C$10:$C$224,$C212,'TL06'!$J$10:$J$224),0),
IF('TL06'!$B$229=N$3,SUMIF('TL06'!$C$238:$C$451,$C212,'TL06'!$J$238:$J$451),0),
IF('TL07'!$B$3=N$3,SUMIF('TL07'!$C$10:$C$224,$C212,'TL07'!$J$10:$J$224),0),
IF('TL07'!$B$229=N$3,SUMIF('TL07'!$C$238:$C$451,$C212,'TL07'!$J$238:$J$451),0),
IF('TL08'!$B$3=N$3,SUMIF('TL08'!$C$10:$C$224,$C212,'TL08'!$J$10:$J$224),0),
IF('TL08'!$B$229=N$3,SUMIF('TL08'!$C$238:$C$451,$C212,'TL08'!$J$238:$J$451),0),
IF('TL09'!$B$3=N$3,SUMIF('TL09'!$C$10:$C$224,$C212,'TL09'!$J$10:$J$224),0),
IF('TL09'!$B$229=N$3,SUMIF('TL09'!$C$238:$C$451,$C212,'TL09'!$J$238:$J$451),0),
IF('TL10'!$B$3=N$3,SUMIF('TL10'!$C$10:$C$224,$C212,'TL10'!$J$10:$J$224),0),
IF('TL10'!$B$229=N$3,SUMIF('TL10'!$C$238:$C$451,$C212,'TL10'!$J$238:$J$451),0),
IF('TL11'!$B$3=N$3,SUMIF('TL11'!$C$10:$C$224,$C212,'TL11'!$J$10:$J$224),0),
IF('TL11'!$B$229=N$3,SUMIF('TL11'!$C$238:$C$451,$C212,'TL11'!$J$238:$J$451),0),
IF('TL12'!$B$3=N$3,SUMIF('TL12'!$C$10:$C$224,$C212,'TL12'!$J$10:$J$224),0),
IF('TL12'!$B$229=N$3,SUMIF('TL12'!$C$238:$C$451,$C212,'TL12'!$J$238:$J$451),0),
IF('TL13'!$B$3=N$3,SUMIF('TL13'!$C$10:$C$224,$C212,'TL13'!$J$10:$J$224),0),
IF('TL13'!$B$229=N$3,SUMIF('TL13'!$C$238:$C$451,$C212,'TL13'!$J$238:$J$451),0),
IF('TL14'!$B$3=N$3,SUMIF('TL14'!$C$10:$C$224,$C212,'TL14'!$J$10:$J$224),0),
IF('TL14'!$B$229=N$3,SUMIF('TL14'!$C$238:$C$451,$C212,'TL14'!$J$238:$J$451),0),
IF('TL15'!$B$3=N$3,SUMIF('TL15'!$C$10:$C$224,$C212,'TL15'!$J$10:$J$224),0),
IF('TL15'!$B$229=N$3,SUMIF('TL15'!$C$238:$C$451,$C212,'TL15'!$J$238:$J$451),0),
IF('TL16'!$B$3=N$3,SUMIF('TL16'!$C$10:$C$224,$C212,'TL16'!$J$10:$J$224),0),
IF('TL16'!$B$229=N$3,SUMIF('TL16'!$C$238:$C$451,$C212,'TL16'!$J$238:$J$451),0),
IF('TL17'!$B$3=N$3,SUMIF('TL17'!$C$10:$C$224,$C212,'TL17'!$J$10:$J$224),0),
IF('TL17'!$B$229=N$3,SUMIF('TL17'!$C$238:$C$451,$C212,'TL17'!$J$238:$J$451),0),
IF('TL18'!$B$3=N$3,SUMIF('TL18'!$C$10:$C$224,$C212,'TL18'!$J$10:$J$224),0),
IF('TL18'!$B$229=N$3,SUMIF('TL18'!$C$238:$C$451,$C212,'TL18'!$J$238:$J$451),0),
IF('TL19'!$B$3=N$3,SUMIF('TL19'!$C$10:$C$224,$C212,'TL19'!$J$10:$J$224),0),
IF('TL19'!$B$229=N$3,SUMIF('TL19'!$C$238:$C$451,$C212,'TL19'!$J$238:$J$451),0)
),0)</f>
        <v>0</v>
      </c>
      <c r="O212" s="9">
        <f>IFERROR(SUM(
IF('TL01'!$B$3=O$3,SUMIF('TL01'!$C$10:$C$224,$C212,'TL01'!$J$10:$J$224),0),
IF('TL01'!$B$229=O$3,SUMIF('TL01'!$C$238:$C$451,$C212,'TL01'!$J$238:$J$451),0),
IF('TL02'!$B$3=O$3,SUMIF('TL02'!$C$10:$C$224,$C212,'TL02'!$J$10:$J$224),0),
IF('TL02'!$B$229=O$3,SUMIF('TL02'!$C$238:$C$451,$C212,'TL02'!$J$238:$J$451),0),
IF('TL03'!$B$3=O$3,SUMIF('TL03'!$C$10:$C$224,$C212,'TL03'!$J$10:$J$224),0),
IF('TL03'!$B$229=O$3,SUMIF('TL03'!$C$238:$C$451,$C212,'TL03'!$J$238:$J$451),0),
IF('TL04'!$B$3=O$3,SUMIF('TL04'!$C$10:$C$224,$C212,'TL04'!$J$10:$J$224),0),
IF('TL04'!$B$229=O$3,SUMIF('TL04'!$C$238:$C$451,$C212,'TL04'!$J$238:$J$451),0),
IF('TL05'!$B$3=O$3,SUMIF('TL05'!$C$10:$C$224,$C212,'TL05'!$J$10:$J$224),0),
IF('TL05'!$B$229=O$3,SUMIF('TL05'!$C$238:$C$451,$C212,'TL05'!$J$238:$J$451),0),
IF('TL06'!$B$3=O$3,SUMIF('TL06'!$C$10:$C$224,$C212,'TL06'!$J$10:$J$224),0),
IF('TL06'!$B$229=O$3,SUMIF('TL06'!$C$238:$C$451,$C212,'TL06'!$J$238:$J$451),0),
IF('TL07'!$B$3=O$3,SUMIF('TL07'!$C$10:$C$224,$C212,'TL07'!$J$10:$J$224),0),
IF('TL07'!$B$229=O$3,SUMIF('TL07'!$C$238:$C$451,$C212,'TL07'!$J$238:$J$451),0),
IF('TL08'!$B$3=O$3,SUMIF('TL08'!$C$10:$C$224,$C212,'TL08'!$J$10:$J$224),0),
IF('TL08'!$B$229=O$3,SUMIF('TL08'!$C$238:$C$451,$C212,'TL08'!$J$238:$J$451),0),
IF('TL09'!$B$3=O$3,SUMIF('TL09'!$C$10:$C$224,$C212,'TL09'!$J$10:$J$224),0),
IF('TL09'!$B$229=O$3,SUMIF('TL09'!$C$238:$C$451,$C212,'TL09'!$J$238:$J$451),0),
IF('TL10'!$B$3=O$3,SUMIF('TL10'!$C$10:$C$224,$C212,'TL10'!$J$10:$J$224),0),
IF('TL10'!$B$229=O$3,SUMIF('TL10'!$C$238:$C$451,$C212,'TL10'!$J$238:$J$451),0),
IF('TL11'!$B$3=O$3,SUMIF('TL11'!$C$10:$C$224,$C212,'TL11'!$J$10:$J$224),0),
IF('TL11'!$B$229=O$3,SUMIF('TL11'!$C$238:$C$451,$C212,'TL11'!$J$238:$J$451),0),
IF('TL12'!$B$3=O$3,SUMIF('TL12'!$C$10:$C$224,$C212,'TL12'!$J$10:$J$224),0),
IF('TL12'!$B$229=O$3,SUMIF('TL12'!$C$238:$C$451,$C212,'TL12'!$J$238:$J$451),0),
IF('TL13'!$B$3=O$3,SUMIF('TL13'!$C$10:$C$224,$C212,'TL13'!$J$10:$J$224),0),
IF('TL13'!$B$229=O$3,SUMIF('TL13'!$C$238:$C$451,$C212,'TL13'!$J$238:$J$451),0),
IF('TL14'!$B$3=O$3,SUMIF('TL14'!$C$10:$C$224,$C212,'TL14'!$J$10:$J$224),0),
IF('TL14'!$B$229=O$3,SUMIF('TL14'!$C$238:$C$451,$C212,'TL14'!$J$238:$J$451),0),
IF('TL15'!$B$3=O$3,SUMIF('TL15'!$C$10:$C$224,$C212,'TL15'!$J$10:$J$224),0),
IF('TL15'!$B$229=O$3,SUMIF('TL15'!$C$238:$C$451,$C212,'TL15'!$J$238:$J$451),0),
IF('TL16'!$B$3=O$3,SUMIF('TL16'!$C$10:$C$224,$C212,'TL16'!$J$10:$J$224),0),
IF('TL16'!$B$229=O$3,SUMIF('TL16'!$C$238:$C$451,$C212,'TL16'!$J$238:$J$451),0),
IF('TL17'!$B$3=O$3,SUMIF('TL17'!$C$10:$C$224,$C212,'TL17'!$J$10:$J$224),0),
IF('TL17'!$B$229=O$3,SUMIF('TL17'!$C$238:$C$451,$C212,'TL17'!$J$238:$J$451),0),
IF('TL18'!$B$3=O$3,SUMIF('TL18'!$C$10:$C$224,$C212,'TL18'!$J$10:$J$224),0),
IF('TL18'!$B$229=O$3,SUMIF('TL18'!$C$238:$C$451,$C212,'TL18'!$J$238:$J$451),0),
IF('TL19'!$B$3=O$3,SUMIF('TL19'!$C$10:$C$224,$C212,'TL19'!$J$10:$J$224),0),
IF('TL19'!$B$229=O$3,SUMIF('TL19'!$C$238:$C$451,$C212,'TL19'!$J$238:$J$451),0)
),0)</f>
        <v>0</v>
      </c>
      <c r="P212" s="9">
        <f>IFERROR(SUM(
IF('TL01'!$B$3=P$3,SUMIF('TL01'!$C$10:$C$224,$C212,'TL01'!$J$10:$J$224),0),
IF('TL01'!$B$229=P$3,SUMIF('TL01'!$C$238:$C$451,$C212,'TL01'!$J$238:$J$451),0),
IF('TL02'!$B$3=P$3,SUMIF('TL02'!$C$10:$C$224,$C212,'TL02'!$J$10:$J$224),0),
IF('TL02'!$B$229=P$3,SUMIF('TL02'!$C$238:$C$451,$C212,'TL02'!$J$238:$J$451),0),
IF('TL03'!$B$3=P$3,SUMIF('TL03'!$C$10:$C$224,$C212,'TL03'!$J$10:$J$224),0),
IF('TL03'!$B$229=P$3,SUMIF('TL03'!$C$238:$C$451,$C212,'TL03'!$J$238:$J$451),0),
IF('TL04'!$B$3=P$3,SUMIF('TL04'!$C$10:$C$224,$C212,'TL04'!$J$10:$J$224),0),
IF('TL04'!$B$229=P$3,SUMIF('TL04'!$C$238:$C$451,$C212,'TL04'!$J$238:$J$451),0),
IF('TL05'!$B$3=P$3,SUMIF('TL05'!$C$10:$C$224,$C212,'TL05'!$J$10:$J$224),0),
IF('TL05'!$B$229=P$3,SUMIF('TL05'!$C$238:$C$451,$C212,'TL05'!$J$238:$J$451),0),
IF('TL06'!$B$3=P$3,SUMIF('TL06'!$C$10:$C$224,$C212,'TL06'!$J$10:$J$224),0),
IF('TL06'!$B$229=P$3,SUMIF('TL06'!$C$238:$C$451,$C212,'TL06'!$J$238:$J$451),0),
IF('TL07'!$B$3=P$3,SUMIF('TL07'!$C$10:$C$224,$C212,'TL07'!$J$10:$J$224),0),
IF('TL07'!$B$229=P$3,SUMIF('TL07'!$C$238:$C$451,$C212,'TL07'!$J$238:$J$451),0),
IF('TL08'!$B$3=P$3,SUMIF('TL08'!$C$10:$C$224,$C212,'TL08'!$J$10:$J$224),0),
IF('TL08'!$B$229=P$3,SUMIF('TL08'!$C$238:$C$451,$C212,'TL08'!$J$238:$J$451),0),
IF('TL09'!$B$3=P$3,SUMIF('TL09'!$C$10:$C$224,$C212,'TL09'!$J$10:$J$224),0),
IF('TL09'!$B$229=P$3,SUMIF('TL09'!$C$238:$C$451,$C212,'TL09'!$J$238:$J$451),0),
IF('TL10'!$B$3=P$3,SUMIF('TL10'!$C$10:$C$224,$C212,'TL10'!$J$10:$J$224),0),
IF('TL10'!$B$229=P$3,SUMIF('TL10'!$C$238:$C$451,$C212,'TL10'!$J$238:$J$451),0),
IF('TL11'!$B$3=P$3,SUMIF('TL11'!$C$10:$C$224,$C212,'TL11'!$J$10:$J$224),0),
IF('TL11'!$B$229=P$3,SUMIF('TL11'!$C$238:$C$451,$C212,'TL11'!$J$238:$J$451),0),
IF('TL12'!$B$3=P$3,SUMIF('TL12'!$C$10:$C$224,$C212,'TL12'!$J$10:$J$224),0),
IF('TL12'!$B$229=P$3,SUMIF('TL12'!$C$238:$C$451,$C212,'TL12'!$J$238:$J$451),0),
IF('TL13'!$B$3=P$3,SUMIF('TL13'!$C$10:$C$224,$C212,'TL13'!$J$10:$J$224),0),
IF('TL13'!$B$229=P$3,SUMIF('TL13'!$C$238:$C$451,$C212,'TL13'!$J$238:$J$451),0),
IF('TL14'!$B$3=P$3,SUMIF('TL14'!$C$10:$C$224,$C212,'TL14'!$J$10:$J$224),0),
IF('TL14'!$B$229=P$3,SUMIF('TL14'!$C$238:$C$451,$C212,'TL14'!$J$238:$J$451),0),
IF('TL15'!$B$3=P$3,SUMIF('TL15'!$C$10:$C$224,$C212,'TL15'!$J$10:$J$224),0),
IF('TL15'!$B$229=P$3,SUMIF('TL15'!$C$238:$C$451,$C212,'TL15'!$J$238:$J$451),0),
IF('TL16'!$B$3=P$3,SUMIF('TL16'!$C$10:$C$224,$C212,'TL16'!$J$10:$J$224),0),
IF('TL16'!$B$229=P$3,SUMIF('TL16'!$C$238:$C$451,$C212,'TL16'!$J$238:$J$451),0),
IF('TL17'!$B$3=P$3,SUMIF('TL17'!$C$10:$C$224,$C212,'TL17'!$J$10:$J$224),0),
IF('TL17'!$B$229=P$3,SUMIF('TL17'!$C$238:$C$451,$C212,'TL17'!$J$238:$J$451),0),
IF('TL18'!$B$3=P$3,SUMIF('TL18'!$C$10:$C$224,$C212,'TL18'!$J$10:$J$224),0),
IF('TL18'!$B$229=P$3,SUMIF('TL18'!$C$238:$C$451,$C212,'TL18'!$J$238:$J$451),0),
IF('TL19'!$B$3=P$3,SUMIF('TL19'!$C$10:$C$224,$C212,'TL19'!$J$10:$J$224),0),
IF('TL19'!$B$229=P$3,SUMIF('TL19'!$C$238:$C$451,$C212,'TL19'!$J$238:$J$451),0)
),0)</f>
        <v>0</v>
      </c>
      <c r="Q212" s="9">
        <f>IFERROR(SUM(
IF('TL01'!$B$3=Q$3,SUMIF('TL01'!$C$10:$C$224,$C212,'TL01'!$J$10:$J$224),0),
IF('TL01'!$B$229=Q$3,SUMIF('TL01'!$C$238:$C$451,$C212,'TL01'!$J$238:$J$451),0),
IF('TL02'!$B$3=Q$3,SUMIF('TL02'!$C$10:$C$224,$C212,'TL02'!$J$10:$J$224),0),
IF('TL02'!$B$229=Q$3,SUMIF('TL02'!$C$238:$C$451,$C212,'TL02'!$J$238:$J$451),0),
IF('TL03'!$B$3=Q$3,SUMIF('TL03'!$C$10:$C$224,$C212,'TL03'!$J$10:$J$224),0),
IF('TL03'!$B$229=Q$3,SUMIF('TL03'!$C$238:$C$451,$C212,'TL03'!$J$238:$J$451),0),
IF('TL04'!$B$3=Q$3,SUMIF('TL04'!$C$10:$C$224,$C212,'TL04'!$J$10:$J$224),0),
IF('TL04'!$B$229=Q$3,SUMIF('TL04'!$C$238:$C$451,$C212,'TL04'!$J$238:$J$451),0),
IF('TL05'!$B$3=Q$3,SUMIF('TL05'!$C$10:$C$224,$C212,'TL05'!$J$10:$J$224),0),
IF('TL05'!$B$229=Q$3,SUMIF('TL05'!$C$238:$C$451,$C212,'TL05'!$J$238:$J$451),0),
IF('TL06'!$B$3=Q$3,SUMIF('TL06'!$C$10:$C$224,$C212,'TL06'!$J$10:$J$224),0),
IF('TL06'!$B$229=Q$3,SUMIF('TL06'!$C$238:$C$451,$C212,'TL06'!$J$238:$J$451),0),
IF('TL07'!$B$3=Q$3,SUMIF('TL07'!$C$10:$C$224,$C212,'TL07'!$J$10:$J$224),0),
IF('TL07'!$B$229=Q$3,SUMIF('TL07'!$C$238:$C$451,$C212,'TL07'!$J$238:$J$451),0),
IF('TL08'!$B$3=Q$3,SUMIF('TL08'!$C$10:$C$224,$C212,'TL08'!$J$10:$J$224),0),
IF('TL08'!$B$229=Q$3,SUMIF('TL08'!$C$238:$C$451,$C212,'TL08'!$J$238:$J$451),0),
IF('TL09'!$B$3=Q$3,SUMIF('TL09'!$C$10:$C$224,$C212,'TL09'!$J$10:$J$224),0),
IF('TL09'!$B$229=Q$3,SUMIF('TL09'!$C$238:$C$451,$C212,'TL09'!$J$238:$J$451),0),
IF('TL10'!$B$3=Q$3,SUMIF('TL10'!$C$10:$C$224,$C212,'TL10'!$J$10:$J$224),0),
IF('TL10'!$B$229=Q$3,SUMIF('TL10'!$C$238:$C$451,$C212,'TL10'!$J$238:$J$451),0),
IF('TL11'!$B$3=Q$3,SUMIF('TL11'!$C$10:$C$224,$C212,'TL11'!$J$10:$J$224),0),
IF('TL11'!$B$229=Q$3,SUMIF('TL11'!$C$238:$C$451,$C212,'TL11'!$J$238:$J$451),0),
IF('TL12'!$B$3=Q$3,SUMIF('TL12'!$C$10:$C$224,$C212,'TL12'!$J$10:$J$224),0),
IF('TL12'!$B$229=Q$3,SUMIF('TL12'!$C$238:$C$451,$C212,'TL12'!$J$238:$J$451),0),
IF('TL13'!$B$3=Q$3,SUMIF('TL13'!$C$10:$C$224,$C212,'TL13'!$J$10:$J$224),0),
IF('TL13'!$B$229=Q$3,SUMIF('TL13'!$C$238:$C$451,$C212,'TL13'!$J$238:$J$451),0),
IF('TL14'!$B$3=Q$3,SUMIF('TL14'!$C$10:$C$224,$C212,'TL14'!$J$10:$J$224),0),
IF('TL14'!$B$229=Q$3,SUMIF('TL14'!$C$238:$C$451,$C212,'TL14'!$J$238:$J$451),0),
IF('TL15'!$B$3=Q$3,SUMIF('TL15'!$C$10:$C$224,$C212,'TL15'!$J$10:$J$224),0),
IF('TL15'!$B$229=Q$3,SUMIF('TL15'!$C$238:$C$451,$C212,'TL15'!$J$238:$J$451),0),
IF('TL16'!$B$3=Q$3,SUMIF('TL16'!$C$10:$C$224,$C212,'TL16'!$J$10:$J$224),0),
IF('TL16'!$B$229=Q$3,SUMIF('TL16'!$C$238:$C$451,$C212,'TL16'!$J$238:$J$451),0),
IF('TL17'!$B$3=Q$3,SUMIF('TL17'!$C$10:$C$224,$C212,'TL17'!$J$10:$J$224),0),
IF('TL17'!$B$229=Q$3,SUMIF('TL17'!$C$238:$C$451,$C212,'TL17'!$J$238:$J$451),0),
IF('TL18'!$B$3=Q$3,SUMIF('TL18'!$C$10:$C$224,$C212,'TL18'!$J$10:$J$224),0),
IF('TL18'!$B$229=Q$3,SUMIF('TL18'!$C$238:$C$451,$C212,'TL18'!$J$238:$J$451),0),
IF('TL19'!$B$3=Q$3,SUMIF('TL19'!$C$10:$C$224,$C212,'TL19'!$J$10:$J$224),0),
IF('TL19'!$B$229=Q$3,SUMIF('TL19'!$C$238:$C$451,$C212,'TL19'!$J$238:$J$451),0)
),0)</f>
        <v>0</v>
      </c>
      <c r="R212" s="9">
        <f>IFERROR(
SUM(
SUMIF('TL01'!C:C,C212,'TL01'!J:J),
SUMIF('TL02'!C:C,C212,'TL02'!J:J),
SUMIF('TL03'!C:C,C212,'TL03'!J:J),
SUMIF('TL04'!C:C,C212,'TL04'!J:J),
SUMIF('TL05'!C:C,C212,'TL05'!J:J),
SUMIF('TL06'!C:C,C212,'TL06'!J:J),
SUMIF('TL07'!C:C,C212,'TL07'!J:J),
SUMIF('TL08'!C:C,C212,'TL08'!J:J),
SUMIF('TL09'!C:C,C212,'TL09'!J:J),
SUMIF('TL10'!C:C,C212,'TL10'!J:J),
SUMIF('TL11'!C:C,C212,'TL11'!J:J),
SUMIF('TL12'!C:C,C212,'TL12'!J:J),
SUMIF('TL13'!C:C,C212,'TL13'!J:J),
SUMIF('TL14'!C:C,C212,'TL14'!J:J),
SUMIF('TL15'!C:C,C212,'TL15'!J:J),
SUMIF('TL16'!C:C,C212,'TL16'!J:J),
SUMIF('TL17'!C:C,C212,'TL17'!J:J),
SUMIF('TL18'!C:C,C212,'TL18'!J:J),SUMIF('TL19'!C:C,C212,'TL19'!J:J))
,0)</f>
        <v>0</v>
      </c>
      <c r="S212" s="17">
        <f>IFERROR(__xludf.DUMMYFUNCTION("IFERROR(VLOOKUP(C212,
IMPORTRANGE(""1wULbzX32WdYsx-lj2U3uUNBBe2INVIRDtcK0d-Dvl90"",
""26-27!C:G""),
5,
FALSE),
"""")"),26.27388)</f>
        <v>26.27388</v>
      </c>
      <c r="T212" s="9"/>
      <c r="U212" s="92">
        <f t="shared" si="2"/>
        <v>0</v>
      </c>
      <c r="V212" s="93">
        <f t="shared" si="3"/>
        <v>0</v>
      </c>
    </row>
    <row r="213" ht="15.75" hidden="1" customHeight="1">
      <c r="A213" s="94" t="s">
        <v>516</v>
      </c>
      <c r="B213" s="95" t="s">
        <v>2</v>
      </c>
      <c r="C213" s="96" t="s">
        <v>840</v>
      </c>
      <c r="D213" s="96" t="s">
        <v>841</v>
      </c>
      <c r="E213" s="96">
        <v>500.0</v>
      </c>
      <c r="F213" s="4" t="s">
        <v>343</v>
      </c>
      <c r="G213" s="90" t="str">
        <f t="shared" si="4"/>
        <v>📄 Ver bula</v>
      </c>
      <c r="H213" s="9">
        <f>IFERROR(__xludf.DUMMYFUNCTION("IFERROR(VLOOKUP(C213,
IMPORTRANGE(""1wULbzX32WdYsx-lj2U3uUNBBe2INVIRDtcK0d-Dvl90"",
""26-27!C:K""),
8,
FALSE),
"""")"),0.6)</f>
        <v>0.6</v>
      </c>
      <c r="I213" s="97" t="s">
        <v>361</v>
      </c>
      <c r="J213" s="9">
        <f>IFERROR(SUM(
IF('TL01'!$B$3=J$3,SUMIF('TL01'!$C$10:$C$224,$C213,'TL01'!$J$10:$J$224),0),
IF('TL01'!$B$229=J$3,SUMIF('TL01'!$C$238:$C$451,$C213,'TL01'!$J$238:$J$451),0),
IF('TL02'!$B$3=J$3,SUMIF('TL02'!$C$10:$C$224,$C213,'TL02'!$J$10:$J$224),0),
IF('TL02'!$B$229=J$3,SUMIF('TL02'!$C$238:$C$451,$C213,'TL02'!$J$238:$J$451),0),
IF('TL03'!$B$3=J$3,SUMIF('TL03'!$C$10:$C$224,$C213,'TL03'!$J$10:$J$224),0),
IF('TL03'!$B$229=J$3,SUMIF('TL03'!$C$238:$C$451,$C213,'TL03'!$J$238:$J$451),0),
IF('TL04'!$B$3=J$3,SUMIF('TL04'!$C$10:$C$224,$C213,'TL04'!$J$10:$J$224),0),
IF('TL04'!$B$229=J$3,SUMIF('TL04'!$C$238:$C$451,$C213,'TL04'!$J$238:$J$451),0),
IF('TL05'!$B$3=J$3,SUMIF('TL05'!$C$10:$C$224,$C213,'TL05'!$J$10:$J$224),0),
IF('TL05'!$B$229=J$3,SUMIF('TL05'!$C$238:$C$451,$C213,'TL05'!$J$238:$J$451),0),
IF('TL06'!$B$3=J$3,SUMIF('TL06'!$C$10:$C$224,$C213,'TL06'!$J$10:$J$224),0),
IF('TL06'!$B$229=J$3,SUMIF('TL06'!$C$238:$C$451,$C213,'TL06'!$J$238:$J$451),0),
IF('TL07'!$B$3=J$3,SUMIF('TL07'!$C$10:$C$224,$C213,'TL07'!$J$10:$J$224),0),
IF('TL07'!$B$229=J$3,SUMIF('TL07'!$C$238:$C$451,$C213,'TL07'!$J$238:$J$451),0),
IF('TL08'!$B$3=J$3,SUMIF('TL08'!$C$10:$C$224,$C213,'TL08'!$J$10:$J$224),0),
IF('TL08'!$B$229=J$3,SUMIF('TL08'!$C$238:$C$451,$C213,'TL08'!$J$238:$J$451),0),
IF('TL09'!$B$3=J$3,SUMIF('TL09'!$C$10:$C$224,$C213,'TL09'!$J$10:$J$224),0),
IF('TL09'!$B$229=J$3,SUMIF('TL09'!$C$238:$C$451,$C213,'TL09'!$J$238:$J$451),0),
IF('TL10'!$B$3=J$3,SUMIF('TL10'!$C$10:$C$224,$C213,'TL10'!$J$10:$J$224),0),
IF('TL10'!$B$229=J$3,SUMIF('TL10'!$C$238:$C$451,$C213,'TL10'!$J$238:$J$451),0),
IF('TL11'!$B$3=J$3,SUMIF('TL11'!$C$10:$C$224,$C213,'TL11'!$J$10:$J$224),0),
IF('TL11'!$B$229=J$3,SUMIF('TL11'!$C$238:$C$451,$C213,'TL11'!$J$238:$J$451),0),
IF('TL12'!$B$3=J$3,SUMIF('TL12'!$C$10:$C$224,$C213,'TL12'!$J$10:$J$224),0),
IF('TL12'!$B$229=J$3,SUMIF('TL12'!$C$238:$C$451,$C213,'TL12'!$J$238:$J$451),0),
IF('TL13'!$B$3=J$3,SUMIF('TL13'!$C$10:$C$224,$C213,'TL13'!$J$10:$J$224),0),
IF('TL13'!$B$229=J$3,SUMIF('TL13'!$C$238:$C$451,$C213,'TL13'!$J$238:$J$451),0),
IF('TL14'!$B$3=J$3,SUMIF('TL14'!$C$10:$C$224,$C213,'TL14'!$J$10:$J$224),0),
IF('TL14'!$B$229=J$3,SUMIF('TL14'!$C$238:$C$451,$C213,'TL14'!$J$238:$J$451),0),
IF('TL15'!$B$3=J$3,SUMIF('TL15'!$C$10:$C$224,$C213,'TL15'!$J$10:$J$224),0),
IF('TL15'!$B$229=J$3,SUMIF('TL15'!$C$238:$C$451,$C213,'TL15'!$J$238:$J$451),0),
IF('TL16'!$B$3=J$3,SUMIF('TL16'!$C$10:$C$224,$C213,'TL16'!$J$10:$J$224),0),
IF('TL16'!$B$229=J$3,SUMIF('TL16'!$C$238:$C$451,$C213,'TL16'!$J$238:$J$451),0),
IF('TL17'!$B$3=J$3,SUMIF('TL17'!$C$10:$C$224,$C213,'TL17'!$J$10:$J$224),0),
IF('TL17'!$B$229=J$3,SUMIF('TL17'!$C$238:$C$451,$C213,'TL17'!$J$238:$J$451),0),
IF('TL18'!$B$3=J$3,SUMIF('TL18'!$C$10:$C$224,$C213,'TL18'!$J$10:$J$224),0),
IF('TL18'!$B$229=J$3,SUMIF('TL18'!$C$238:$C$451,$C213,'TL18'!$J$238:$J$451),0),
IF('TL19'!$B$3=J$3,SUMIF('TL19'!$C$10:$C$224,$C213,'TL19'!$J$10:$J$224),0),
IF('TL19'!$B$229=J$3,SUMIF('TL19'!$C$238:$C$451,$C213,'TL19'!$J$238:$J$451),0)
),0)</f>
        <v>0</v>
      </c>
      <c r="K213" s="9">
        <f>IFERROR(SUM(
IF('TL01'!$B$3=K$3,SUMIF('TL01'!$C$10:$C$224,$C213,'TL01'!$J$10:$J$224),0),
IF('TL01'!$B$229=K$3,SUMIF('TL01'!$C$238:$C$451,$C213,'TL01'!$J$238:$J$451),0),
IF('TL02'!$B$3=K$3,SUMIF('TL02'!$C$10:$C$224,$C213,'TL02'!$J$10:$J$224),0),
IF('TL02'!$B$229=K$3,SUMIF('TL02'!$C$238:$C$451,$C213,'TL02'!$J$238:$J$451),0),
IF('TL03'!$B$3=K$3,SUMIF('TL03'!$C$10:$C$224,$C213,'TL03'!$J$10:$J$224),0),
IF('TL03'!$B$229=K$3,SUMIF('TL03'!$C$238:$C$451,$C213,'TL03'!$J$238:$J$451),0),
IF('TL04'!$B$3=K$3,SUMIF('TL04'!$C$10:$C$224,$C213,'TL04'!$J$10:$J$224),0),
IF('TL04'!$B$229=K$3,SUMIF('TL04'!$C$238:$C$451,$C213,'TL04'!$J$238:$J$451),0),
IF('TL05'!$B$3=K$3,SUMIF('TL05'!$C$10:$C$224,$C213,'TL05'!$J$10:$J$224),0),
IF('TL05'!$B$229=K$3,SUMIF('TL05'!$C$238:$C$451,$C213,'TL05'!$J$238:$J$451),0),
IF('TL06'!$B$3=K$3,SUMIF('TL06'!$C$10:$C$224,$C213,'TL06'!$J$10:$J$224),0),
IF('TL06'!$B$229=K$3,SUMIF('TL06'!$C$238:$C$451,$C213,'TL06'!$J$238:$J$451),0),
IF('TL07'!$B$3=K$3,SUMIF('TL07'!$C$10:$C$224,$C213,'TL07'!$J$10:$J$224),0),
IF('TL07'!$B$229=K$3,SUMIF('TL07'!$C$238:$C$451,$C213,'TL07'!$J$238:$J$451),0),
IF('TL08'!$B$3=K$3,SUMIF('TL08'!$C$10:$C$224,$C213,'TL08'!$J$10:$J$224),0),
IF('TL08'!$B$229=K$3,SUMIF('TL08'!$C$238:$C$451,$C213,'TL08'!$J$238:$J$451),0),
IF('TL09'!$B$3=K$3,SUMIF('TL09'!$C$10:$C$224,$C213,'TL09'!$J$10:$J$224),0),
IF('TL09'!$B$229=K$3,SUMIF('TL09'!$C$238:$C$451,$C213,'TL09'!$J$238:$J$451),0),
IF('TL10'!$B$3=K$3,SUMIF('TL10'!$C$10:$C$224,$C213,'TL10'!$J$10:$J$224),0),
IF('TL10'!$B$229=K$3,SUMIF('TL10'!$C$238:$C$451,$C213,'TL10'!$J$238:$J$451),0),
IF('TL11'!$B$3=K$3,SUMIF('TL11'!$C$10:$C$224,$C213,'TL11'!$J$10:$J$224),0),
IF('TL11'!$B$229=K$3,SUMIF('TL11'!$C$238:$C$451,$C213,'TL11'!$J$238:$J$451),0),
IF('TL12'!$B$3=K$3,SUMIF('TL12'!$C$10:$C$224,$C213,'TL12'!$J$10:$J$224),0),
IF('TL12'!$B$229=K$3,SUMIF('TL12'!$C$238:$C$451,$C213,'TL12'!$J$238:$J$451),0),
IF('TL13'!$B$3=K$3,SUMIF('TL13'!$C$10:$C$224,$C213,'TL13'!$J$10:$J$224),0),
IF('TL13'!$B$229=K$3,SUMIF('TL13'!$C$238:$C$451,$C213,'TL13'!$J$238:$J$451),0),
IF('TL14'!$B$3=K$3,SUMIF('TL14'!$C$10:$C$224,$C213,'TL14'!$J$10:$J$224),0),
IF('TL14'!$B$229=K$3,SUMIF('TL14'!$C$238:$C$451,$C213,'TL14'!$J$238:$J$451),0),
IF('TL15'!$B$3=K$3,SUMIF('TL15'!$C$10:$C$224,$C213,'TL15'!$J$10:$J$224),0),
IF('TL15'!$B$229=K$3,SUMIF('TL15'!$C$238:$C$451,$C213,'TL15'!$J$238:$J$451),0),
IF('TL16'!$B$3=K$3,SUMIF('TL16'!$C$10:$C$224,$C213,'TL16'!$J$10:$J$224),0),
IF('TL16'!$B$229=K$3,SUMIF('TL16'!$C$238:$C$451,$C213,'TL16'!$J$238:$J$451),0),
IF('TL17'!$B$3=K$3,SUMIF('TL17'!$C$10:$C$224,$C213,'TL17'!$J$10:$J$224),0),
IF('TL17'!$B$229=K$3,SUMIF('TL17'!$C$238:$C$451,$C213,'TL17'!$J$238:$J$451),0),
IF('TL18'!$B$3=K$3,SUMIF('TL18'!$C$10:$C$224,$C213,'TL18'!$J$10:$J$224),0),
IF('TL18'!$B$229=K$3,SUMIF('TL18'!$C$238:$C$451,$C213,'TL18'!$J$238:$J$451),0),
IF('TL19'!$B$3=K$3,SUMIF('TL19'!$C$10:$C$224,$C213,'TL19'!$J$10:$J$224),0),
IF('TL19'!$B$229=K$3,SUMIF('TL19'!$C$238:$C$451,$C213,'TL19'!$J$238:$J$451),0)
),0)</f>
        <v>0</v>
      </c>
      <c r="L213" s="9">
        <f>IFERROR(SUM(
IF('TL01'!$B$3=L$3,SUMIF('TL01'!$C$10:$C$224,$C213,'TL01'!$J$10:$J$224),0),
IF('TL01'!$B$229=L$3,SUMIF('TL01'!$C$238:$C$451,$C213,'TL01'!$J$238:$J$451),0),
IF('TL02'!$B$3=L$3,SUMIF('TL02'!$C$10:$C$224,$C213,'TL02'!$J$10:$J$224),0),
IF('TL02'!$B$229=L$3,SUMIF('TL02'!$C$238:$C$451,$C213,'TL02'!$J$238:$J$451),0),
IF('TL03'!$B$3=L$3,SUMIF('TL03'!$C$10:$C$224,$C213,'TL03'!$J$10:$J$224),0),
IF('TL03'!$B$229=L$3,SUMIF('TL03'!$C$238:$C$451,$C213,'TL03'!$J$238:$J$451),0),
IF('TL04'!$B$3=L$3,SUMIF('TL04'!$C$10:$C$224,$C213,'TL04'!$J$10:$J$224),0),
IF('TL04'!$B$229=L$3,SUMIF('TL04'!$C$238:$C$451,$C213,'TL04'!$J$238:$J$451),0),
IF('TL05'!$B$3=L$3,SUMIF('TL05'!$C$10:$C$224,$C213,'TL05'!$J$10:$J$224),0),
IF('TL05'!$B$229=L$3,SUMIF('TL05'!$C$238:$C$451,$C213,'TL05'!$J$238:$J$451),0),
IF('TL06'!$B$3=L$3,SUMIF('TL06'!$C$10:$C$224,$C213,'TL06'!$J$10:$J$224),0),
IF('TL06'!$B$229=L$3,SUMIF('TL06'!$C$238:$C$451,$C213,'TL06'!$J$238:$J$451),0),
IF('TL07'!$B$3=L$3,SUMIF('TL07'!$C$10:$C$224,$C213,'TL07'!$J$10:$J$224),0),
IF('TL07'!$B$229=L$3,SUMIF('TL07'!$C$238:$C$451,$C213,'TL07'!$J$238:$J$451),0),
IF('TL08'!$B$3=L$3,SUMIF('TL08'!$C$10:$C$224,$C213,'TL08'!$J$10:$J$224),0),
IF('TL08'!$B$229=L$3,SUMIF('TL08'!$C$238:$C$451,$C213,'TL08'!$J$238:$J$451),0),
IF('TL09'!$B$3=L$3,SUMIF('TL09'!$C$10:$C$224,$C213,'TL09'!$J$10:$J$224),0),
IF('TL09'!$B$229=L$3,SUMIF('TL09'!$C$238:$C$451,$C213,'TL09'!$J$238:$J$451),0),
IF('TL10'!$B$3=L$3,SUMIF('TL10'!$C$10:$C$224,$C213,'TL10'!$J$10:$J$224),0),
IF('TL10'!$B$229=L$3,SUMIF('TL10'!$C$238:$C$451,$C213,'TL10'!$J$238:$J$451),0),
IF('TL11'!$B$3=L$3,SUMIF('TL11'!$C$10:$C$224,$C213,'TL11'!$J$10:$J$224),0),
IF('TL11'!$B$229=L$3,SUMIF('TL11'!$C$238:$C$451,$C213,'TL11'!$J$238:$J$451),0),
IF('TL12'!$B$3=L$3,SUMIF('TL12'!$C$10:$C$224,$C213,'TL12'!$J$10:$J$224),0),
IF('TL12'!$B$229=L$3,SUMIF('TL12'!$C$238:$C$451,$C213,'TL12'!$J$238:$J$451),0),
IF('TL13'!$B$3=L$3,SUMIF('TL13'!$C$10:$C$224,$C213,'TL13'!$J$10:$J$224),0),
IF('TL13'!$B$229=L$3,SUMIF('TL13'!$C$238:$C$451,$C213,'TL13'!$J$238:$J$451),0),
IF('TL14'!$B$3=L$3,SUMIF('TL14'!$C$10:$C$224,$C213,'TL14'!$J$10:$J$224),0),
IF('TL14'!$B$229=L$3,SUMIF('TL14'!$C$238:$C$451,$C213,'TL14'!$J$238:$J$451),0),
IF('TL15'!$B$3=L$3,SUMIF('TL15'!$C$10:$C$224,$C213,'TL15'!$J$10:$J$224),0),
IF('TL15'!$B$229=L$3,SUMIF('TL15'!$C$238:$C$451,$C213,'TL15'!$J$238:$J$451),0),
IF('TL16'!$B$3=L$3,SUMIF('TL16'!$C$10:$C$224,$C213,'TL16'!$J$10:$J$224),0),
IF('TL16'!$B$229=L$3,SUMIF('TL16'!$C$238:$C$451,$C213,'TL16'!$J$238:$J$451),0),
IF('TL17'!$B$3=L$3,SUMIF('TL17'!$C$10:$C$224,$C213,'TL17'!$J$10:$J$224),0),
IF('TL17'!$B$229=L$3,SUMIF('TL17'!$C$238:$C$451,$C213,'TL17'!$J$238:$J$451),0),
IF('TL18'!$B$3=L$3,SUMIF('TL18'!$C$10:$C$224,$C213,'TL18'!$J$10:$J$224),0),
IF('TL18'!$B$229=L$3,SUMIF('TL18'!$C$238:$C$451,$C213,'TL18'!$J$238:$J$451),0),
IF('TL19'!$B$3=L$3,SUMIF('TL19'!$C$10:$C$224,$C213,'TL19'!$J$10:$J$224),0),
IF('TL19'!$B$229=L$3,SUMIF('TL19'!$C$238:$C$451,$C213,'TL19'!$J$238:$J$451),0)
),0)</f>
        <v>0</v>
      </c>
      <c r="M213" s="9">
        <f>IFERROR(SUM(
IF('TL01'!$B$3=M$3,SUMIF('TL01'!$C$10:$C$224,$C213,'TL01'!$J$10:$J$224),0),
IF('TL01'!$B$229=M$3,SUMIF('TL01'!$C$238:$C$451,$C213,'TL01'!$J$238:$J$451),0),
IF('TL02'!$B$3=M$3,SUMIF('TL02'!$C$10:$C$224,$C213,'TL02'!$J$10:$J$224),0),
IF('TL02'!$B$229=M$3,SUMIF('TL02'!$C$238:$C$451,$C213,'TL02'!$J$238:$J$451),0),
IF('TL03'!$B$3=M$3,SUMIF('TL03'!$C$10:$C$224,$C213,'TL03'!$J$10:$J$224),0),
IF('TL03'!$B$229=M$3,SUMIF('TL03'!$C$238:$C$451,$C213,'TL03'!$J$238:$J$451),0),
IF('TL04'!$B$3=M$3,SUMIF('TL04'!$C$10:$C$224,$C213,'TL04'!$J$10:$J$224),0),
IF('TL04'!$B$229=M$3,SUMIF('TL04'!$C$238:$C$451,$C213,'TL04'!$J$238:$J$451),0),
IF('TL05'!$B$3=M$3,SUMIF('TL05'!$C$10:$C$224,$C213,'TL05'!$J$10:$J$224),0),
IF('TL05'!$B$229=M$3,SUMIF('TL05'!$C$238:$C$451,$C213,'TL05'!$J$238:$J$451),0),
IF('TL06'!$B$3=M$3,SUMIF('TL06'!$C$10:$C$224,$C213,'TL06'!$J$10:$J$224),0),
IF('TL06'!$B$229=M$3,SUMIF('TL06'!$C$238:$C$451,$C213,'TL06'!$J$238:$J$451),0),
IF('TL07'!$B$3=M$3,SUMIF('TL07'!$C$10:$C$224,$C213,'TL07'!$J$10:$J$224),0),
IF('TL07'!$B$229=M$3,SUMIF('TL07'!$C$238:$C$451,$C213,'TL07'!$J$238:$J$451),0),
IF('TL08'!$B$3=M$3,SUMIF('TL08'!$C$10:$C$224,$C213,'TL08'!$J$10:$J$224),0),
IF('TL08'!$B$229=M$3,SUMIF('TL08'!$C$238:$C$451,$C213,'TL08'!$J$238:$J$451),0),
IF('TL09'!$B$3=M$3,SUMIF('TL09'!$C$10:$C$224,$C213,'TL09'!$J$10:$J$224),0),
IF('TL09'!$B$229=M$3,SUMIF('TL09'!$C$238:$C$451,$C213,'TL09'!$J$238:$J$451),0),
IF('TL10'!$B$3=M$3,SUMIF('TL10'!$C$10:$C$224,$C213,'TL10'!$J$10:$J$224),0),
IF('TL10'!$B$229=M$3,SUMIF('TL10'!$C$238:$C$451,$C213,'TL10'!$J$238:$J$451),0),
IF('TL11'!$B$3=M$3,SUMIF('TL11'!$C$10:$C$224,$C213,'TL11'!$J$10:$J$224),0),
IF('TL11'!$B$229=M$3,SUMIF('TL11'!$C$238:$C$451,$C213,'TL11'!$J$238:$J$451),0),
IF('TL12'!$B$3=M$3,SUMIF('TL12'!$C$10:$C$224,$C213,'TL12'!$J$10:$J$224),0),
IF('TL12'!$B$229=M$3,SUMIF('TL12'!$C$238:$C$451,$C213,'TL12'!$J$238:$J$451),0),
IF('TL13'!$B$3=M$3,SUMIF('TL13'!$C$10:$C$224,$C213,'TL13'!$J$10:$J$224),0),
IF('TL13'!$B$229=M$3,SUMIF('TL13'!$C$238:$C$451,$C213,'TL13'!$J$238:$J$451),0),
IF('TL14'!$B$3=M$3,SUMIF('TL14'!$C$10:$C$224,$C213,'TL14'!$J$10:$J$224),0),
IF('TL14'!$B$229=M$3,SUMIF('TL14'!$C$238:$C$451,$C213,'TL14'!$J$238:$J$451),0),
IF('TL15'!$B$3=M$3,SUMIF('TL15'!$C$10:$C$224,$C213,'TL15'!$J$10:$J$224),0),
IF('TL15'!$B$229=M$3,SUMIF('TL15'!$C$238:$C$451,$C213,'TL15'!$J$238:$J$451),0),
IF('TL16'!$B$3=M$3,SUMIF('TL16'!$C$10:$C$224,$C213,'TL16'!$J$10:$J$224),0),
IF('TL16'!$B$229=M$3,SUMIF('TL16'!$C$238:$C$451,$C213,'TL16'!$J$238:$J$451),0),
IF('TL17'!$B$3=M$3,SUMIF('TL17'!$C$10:$C$224,$C213,'TL17'!$J$10:$J$224),0),
IF('TL17'!$B$229=M$3,SUMIF('TL17'!$C$238:$C$451,$C213,'TL17'!$J$238:$J$451),0),
IF('TL18'!$B$3=M$3,SUMIF('TL18'!$C$10:$C$224,$C213,'TL18'!$J$10:$J$224),0),
IF('TL18'!$B$229=M$3,SUMIF('TL18'!$C$238:$C$451,$C213,'TL18'!$J$238:$J$451),0),
IF('TL19'!$B$3=M$3,SUMIF('TL19'!$C$10:$C$224,$C213,'TL19'!$J$10:$J$224),0),
IF('TL19'!$B$229=M$3,SUMIF('TL19'!$C$238:$C$451,$C213,'TL19'!$J$238:$J$451),0)
),0)</f>
        <v>0</v>
      </c>
      <c r="N213" s="9">
        <f>IFERROR(SUM(
IF('TL01'!$B$3=N$3,SUMIF('TL01'!$C$10:$C$224,$C213,'TL01'!$J$10:$J$224),0),
IF('TL01'!$B$229=N$3,SUMIF('TL01'!$C$238:$C$451,$C213,'TL01'!$J$238:$J$451),0),
IF('TL02'!$B$3=N$3,SUMIF('TL02'!$C$10:$C$224,$C213,'TL02'!$J$10:$J$224),0),
IF('TL02'!$B$229=N$3,SUMIF('TL02'!$C$238:$C$451,$C213,'TL02'!$J$238:$J$451),0),
IF('TL03'!$B$3=N$3,SUMIF('TL03'!$C$10:$C$224,$C213,'TL03'!$J$10:$J$224),0),
IF('TL03'!$B$229=N$3,SUMIF('TL03'!$C$238:$C$451,$C213,'TL03'!$J$238:$J$451),0),
IF('TL04'!$B$3=N$3,SUMIF('TL04'!$C$10:$C$224,$C213,'TL04'!$J$10:$J$224),0),
IF('TL04'!$B$229=N$3,SUMIF('TL04'!$C$238:$C$451,$C213,'TL04'!$J$238:$J$451),0),
IF('TL05'!$B$3=N$3,SUMIF('TL05'!$C$10:$C$224,$C213,'TL05'!$J$10:$J$224),0),
IF('TL05'!$B$229=N$3,SUMIF('TL05'!$C$238:$C$451,$C213,'TL05'!$J$238:$J$451),0),
IF('TL06'!$B$3=N$3,SUMIF('TL06'!$C$10:$C$224,$C213,'TL06'!$J$10:$J$224),0),
IF('TL06'!$B$229=N$3,SUMIF('TL06'!$C$238:$C$451,$C213,'TL06'!$J$238:$J$451),0),
IF('TL07'!$B$3=N$3,SUMIF('TL07'!$C$10:$C$224,$C213,'TL07'!$J$10:$J$224),0),
IF('TL07'!$B$229=N$3,SUMIF('TL07'!$C$238:$C$451,$C213,'TL07'!$J$238:$J$451),0),
IF('TL08'!$B$3=N$3,SUMIF('TL08'!$C$10:$C$224,$C213,'TL08'!$J$10:$J$224),0),
IF('TL08'!$B$229=N$3,SUMIF('TL08'!$C$238:$C$451,$C213,'TL08'!$J$238:$J$451),0),
IF('TL09'!$B$3=N$3,SUMIF('TL09'!$C$10:$C$224,$C213,'TL09'!$J$10:$J$224),0),
IF('TL09'!$B$229=N$3,SUMIF('TL09'!$C$238:$C$451,$C213,'TL09'!$J$238:$J$451),0),
IF('TL10'!$B$3=N$3,SUMIF('TL10'!$C$10:$C$224,$C213,'TL10'!$J$10:$J$224),0),
IF('TL10'!$B$229=N$3,SUMIF('TL10'!$C$238:$C$451,$C213,'TL10'!$J$238:$J$451),0),
IF('TL11'!$B$3=N$3,SUMIF('TL11'!$C$10:$C$224,$C213,'TL11'!$J$10:$J$224),0),
IF('TL11'!$B$229=N$3,SUMIF('TL11'!$C$238:$C$451,$C213,'TL11'!$J$238:$J$451),0),
IF('TL12'!$B$3=N$3,SUMIF('TL12'!$C$10:$C$224,$C213,'TL12'!$J$10:$J$224),0),
IF('TL12'!$B$229=N$3,SUMIF('TL12'!$C$238:$C$451,$C213,'TL12'!$J$238:$J$451),0),
IF('TL13'!$B$3=N$3,SUMIF('TL13'!$C$10:$C$224,$C213,'TL13'!$J$10:$J$224),0),
IF('TL13'!$B$229=N$3,SUMIF('TL13'!$C$238:$C$451,$C213,'TL13'!$J$238:$J$451),0),
IF('TL14'!$B$3=N$3,SUMIF('TL14'!$C$10:$C$224,$C213,'TL14'!$J$10:$J$224),0),
IF('TL14'!$B$229=N$3,SUMIF('TL14'!$C$238:$C$451,$C213,'TL14'!$J$238:$J$451),0),
IF('TL15'!$B$3=N$3,SUMIF('TL15'!$C$10:$C$224,$C213,'TL15'!$J$10:$J$224),0),
IF('TL15'!$B$229=N$3,SUMIF('TL15'!$C$238:$C$451,$C213,'TL15'!$J$238:$J$451),0),
IF('TL16'!$B$3=N$3,SUMIF('TL16'!$C$10:$C$224,$C213,'TL16'!$J$10:$J$224),0),
IF('TL16'!$B$229=N$3,SUMIF('TL16'!$C$238:$C$451,$C213,'TL16'!$J$238:$J$451),0),
IF('TL17'!$B$3=N$3,SUMIF('TL17'!$C$10:$C$224,$C213,'TL17'!$J$10:$J$224),0),
IF('TL17'!$B$229=N$3,SUMIF('TL17'!$C$238:$C$451,$C213,'TL17'!$J$238:$J$451),0),
IF('TL18'!$B$3=N$3,SUMIF('TL18'!$C$10:$C$224,$C213,'TL18'!$J$10:$J$224),0),
IF('TL18'!$B$229=N$3,SUMIF('TL18'!$C$238:$C$451,$C213,'TL18'!$J$238:$J$451),0),
IF('TL19'!$B$3=N$3,SUMIF('TL19'!$C$10:$C$224,$C213,'TL19'!$J$10:$J$224),0),
IF('TL19'!$B$229=N$3,SUMIF('TL19'!$C$238:$C$451,$C213,'TL19'!$J$238:$J$451),0)
),0)</f>
        <v>0</v>
      </c>
      <c r="O213" s="9">
        <f>IFERROR(SUM(
IF('TL01'!$B$3=O$3,SUMIF('TL01'!$C$10:$C$224,$C213,'TL01'!$J$10:$J$224),0),
IF('TL01'!$B$229=O$3,SUMIF('TL01'!$C$238:$C$451,$C213,'TL01'!$J$238:$J$451),0),
IF('TL02'!$B$3=O$3,SUMIF('TL02'!$C$10:$C$224,$C213,'TL02'!$J$10:$J$224),0),
IF('TL02'!$B$229=O$3,SUMIF('TL02'!$C$238:$C$451,$C213,'TL02'!$J$238:$J$451),0),
IF('TL03'!$B$3=O$3,SUMIF('TL03'!$C$10:$C$224,$C213,'TL03'!$J$10:$J$224),0),
IF('TL03'!$B$229=O$3,SUMIF('TL03'!$C$238:$C$451,$C213,'TL03'!$J$238:$J$451),0),
IF('TL04'!$B$3=O$3,SUMIF('TL04'!$C$10:$C$224,$C213,'TL04'!$J$10:$J$224),0),
IF('TL04'!$B$229=O$3,SUMIF('TL04'!$C$238:$C$451,$C213,'TL04'!$J$238:$J$451),0),
IF('TL05'!$B$3=O$3,SUMIF('TL05'!$C$10:$C$224,$C213,'TL05'!$J$10:$J$224),0),
IF('TL05'!$B$229=O$3,SUMIF('TL05'!$C$238:$C$451,$C213,'TL05'!$J$238:$J$451),0),
IF('TL06'!$B$3=O$3,SUMIF('TL06'!$C$10:$C$224,$C213,'TL06'!$J$10:$J$224),0),
IF('TL06'!$B$229=O$3,SUMIF('TL06'!$C$238:$C$451,$C213,'TL06'!$J$238:$J$451),0),
IF('TL07'!$B$3=O$3,SUMIF('TL07'!$C$10:$C$224,$C213,'TL07'!$J$10:$J$224),0),
IF('TL07'!$B$229=O$3,SUMIF('TL07'!$C$238:$C$451,$C213,'TL07'!$J$238:$J$451),0),
IF('TL08'!$B$3=O$3,SUMIF('TL08'!$C$10:$C$224,$C213,'TL08'!$J$10:$J$224),0),
IF('TL08'!$B$229=O$3,SUMIF('TL08'!$C$238:$C$451,$C213,'TL08'!$J$238:$J$451),0),
IF('TL09'!$B$3=O$3,SUMIF('TL09'!$C$10:$C$224,$C213,'TL09'!$J$10:$J$224),0),
IF('TL09'!$B$229=O$3,SUMIF('TL09'!$C$238:$C$451,$C213,'TL09'!$J$238:$J$451),0),
IF('TL10'!$B$3=O$3,SUMIF('TL10'!$C$10:$C$224,$C213,'TL10'!$J$10:$J$224),0),
IF('TL10'!$B$229=O$3,SUMIF('TL10'!$C$238:$C$451,$C213,'TL10'!$J$238:$J$451),0),
IF('TL11'!$B$3=O$3,SUMIF('TL11'!$C$10:$C$224,$C213,'TL11'!$J$10:$J$224),0),
IF('TL11'!$B$229=O$3,SUMIF('TL11'!$C$238:$C$451,$C213,'TL11'!$J$238:$J$451),0),
IF('TL12'!$B$3=O$3,SUMIF('TL12'!$C$10:$C$224,$C213,'TL12'!$J$10:$J$224),0),
IF('TL12'!$B$229=O$3,SUMIF('TL12'!$C$238:$C$451,$C213,'TL12'!$J$238:$J$451),0),
IF('TL13'!$B$3=O$3,SUMIF('TL13'!$C$10:$C$224,$C213,'TL13'!$J$10:$J$224),0),
IF('TL13'!$B$229=O$3,SUMIF('TL13'!$C$238:$C$451,$C213,'TL13'!$J$238:$J$451),0),
IF('TL14'!$B$3=O$3,SUMIF('TL14'!$C$10:$C$224,$C213,'TL14'!$J$10:$J$224),0),
IF('TL14'!$B$229=O$3,SUMIF('TL14'!$C$238:$C$451,$C213,'TL14'!$J$238:$J$451),0),
IF('TL15'!$B$3=O$3,SUMIF('TL15'!$C$10:$C$224,$C213,'TL15'!$J$10:$J$224),0),
IF('TL15'!$B$229=O$3,SUMIF('TL15'!$C$238:$C$451,$C213,'TL15'!$J$238:$J$451),0),
IF('TL16'!$B$3=O$3,SUMIF('TL16'!$C$10:$C$224,$C213,'TL16'!$J$10:$J$224),0),
IF('TL16'!$B$229=O$3,SUMIF('TL16'!$C$238:$C$451,$C213,'TL16'!$J$238:$J$451),0),
IF('TL17'!$B$3=O$3,SUMIF('TL17'!$C$10:$C$224,$C213,'TL17'!$J$10:$J$224),0),
IF('TL17'!$B$229=O$3,SUMIF('TL17'!$C$238:$C$451,$C213,'TL17'!$J$238:$J$451),0),
IF('TL18'!$B$3=O$3,SUMIF('TL18'!$C$10:$C$224,$C213,'TL18'!$J$10:$J$224),0),
IF('TL18'!$B$229=O$3,SUMIF('TL18'!$C$238:$C$451,$C213,'TL18'!$J$238:$J$451),0),
IF('TL19'!$B$3=O$3,SUMIF('TL19'!$C$10:$C$224,$C213,'TL19'!$J$10:$J$224),0),
IF('TL19'!$B$229=O$3,SUMIF('TL19'!$C$238:$C$451,$C213,'TL19'!$J$238:$J$451),0)
),0)</f>
        <v>0</v>
      </c>
      <c r="P213" s="9">
        <f>IFERROR(SUM(
IF('TL01'!$B$3=P$3,SUMIF('TL01'!$C$10:$C$224,$C213,'TL01'!$J$10:$J$224),0),
IF('TL01'!$B$229=P$3,SUMIF('TL01'!$C$238:$C$451,$C213,'TL01'!$J$238:$J$451),0),
IF('TL02'!$B$3=P$3,SUMIF('TL02'!$C$10:$C$224,$C213,'TL02'!$J$10:$J$224),0),
IF('TL02'!$B$229=P$3,SUMIF('TL02'!$C$238:$C$451,$C213,'TL02'!$J$238:$J$451),0),
IF('TL03'!$B$3=P$3,SUMIF('TL03'!$C$10:$C$224,$C213,'TL03'!$J$10:$J$224),0),
IF('TL03'!$B$229=P$3,SUMIF('TL03'!$C$238:$C$451,$C213,'TL03'!$J$238:$J$451),0),
IF('TL04'!$B$3=P$3,SUMIF('TL04'!$C$10:$C$224,$C213,'TL04'!$J$10:$J$224),0),
IF('TL04'!$B$229=P$3,SUMIF('TL04'!$C$238:$C$451,$C213,'TL04'!$J$238:$J$451),0),
IF('TL05'!$B$3=P$3,SUMIF('TL05'!$C$10:$C$224,$C213,'TL05'!$J$10:$J$224),0),
IF('TL05'!$B$229=P$3,SUMIF('TL05'!$C$238:$C$451,$C213,'TL05'!$J$238:$J$451),0),
IF('TL06'!$B$3=P$3,SUMIF('TL06'!$C$10:$C$224,$C213,'TL06'!$J$10:$J$224),0),
IF('TL06'!$B$229=P$3,SUMIF('TL06'!$C$238:$C$451,$C213,'TL06'!$J$238:$J$451),0),
IF('TL07'!$B$3=P$3,SUMIF('TL07'!$C$10:$C$224,$C213,'TL07'!$J$10:$J$224),0),
IF('TL07'!$B$229=P$3,SUMIF('TL07'!$C$238:$C$451,$C213,'TL07'!$J$238:$J$451),0),
IF('TL08'!$B$3=P$3,SUMIF('TL08'!$C$10:$C$224,$C213,'TL08'!$J$10:$J$224),0),
IF('TL08'!$B$229=P$3,SUMIF('TL08'!$C$238:$C$451,$C213,'TL08'!$J$238:$J$451),0),
IF('TL09'!$B$3=P$3,SUMIF('TL09'!$C$10:$C$224,$C213,'TL09'!$J$10:$J$224),0),
IF('TL09'!$B$229=P$3,SUMIF('TL09'!$C$238:$C$451,$C213,'TL09'!$J$238:$J$451),0),
IF('TL10'!$B$3=P$3,SUMIF('TL10'!$C$10:$C$224,$C213,'TL10'!$J$10:$J$224),0),
IF('TL10'!$B$229=P$3,SUMIF('TL10'!$C$238:$C$451,$C213,'TL10'!$J$238:$J$451),0),
IF('TL11'!$B$3=P$3,SUMIF('TL11'!$C$10:$C$224,$C213,'TL11'!$J$10:$J$224),0),
IF('TL11'!$B$229=P$3,SUMIF('TL11'!$C$238:$C$451,$C213,'TL11'!$J$238:$J$451),0),
IF('TL12'!$B$3=P$3,SUMIF('TL12'!$C$10:$C$224,$C213,'TL12'!$J$10:$J$224),0),
IF('TL12'!$B$229=P$3,SUMIF('TL12'!$C$238:$C$451,$C213,'TL12'!$J$238:$J$451),0),
IF('TL13'!$B$3=P$3,SUMIF('TL13'!$C$10:$C$224,$C213,'TL13'!$J$10:$J$224),0),
IF('TL13'!$B$229=P$3,SUMIF('TL13'!$C$238:$C$451,$C213,'TL13'!$J$238:$J$451),0),
IF('TL14'!$B$3=P$3,SUMIF('TL14'!$C$10:$C$224,$C213,'TL14'!$J$10:$J$224),0),
IF('TL14'!$B$229=P$3,SUMIF('TL14'!$C$238:$C$451,$C213,'TL14'!$J$238:$J$451),0),
IF('TL15'!$B$3=P$3,SUMIF('TL15'!$C$10:$C$224,$C213,'TL15'!$J$10:$J$224),0),
IF('TL15'!$B$229=P$3,SUMIF('TL15'!$C$238:$C$451,$C213,'TL15'!$J$238:$J$451),0),
IF('TL16'!$B$3=P$3,SUMIF('TL16'!$C$10:$C$224,$C213,'TL16'!$J$10:$J$224),0),
IF('TL16'!$B$229=P$3,SUMIF('TL16'!$C$238:$C$451,$C213,'TL16'!$J$238:$J$451),0),
IF('TL17'!$B$3=P$3,SUMIF('TL17'!$C$10:$C$224,$C213,'TL17'!$J$10:$J$224),0),
IF('TL17'!$B$229=P$3,SUMIF('TL17'!$C$238:$C$451,$C213,'TL17'!$J$238:$J$451),0),
IF('TL18'!$B$3=P$3,SUMIF('TL18'!$C$10:$C$224,$C213,'TL18'!$J$10:$J$224),0),
IF('TL18'!$B$229=P$3,SUMIF('TL18'!$C$238:$C$451,$C213,'TL18'!$J$238:$J$451),0),
IF('TL19'!$B$3=P$3,SUMIF('TL19'!$C$10:$C$224,$C213,'TL19'!$J$10:$J$224),0),
IF('TL19'!$B$229=P$3,SUMIF('TL19'!$C$238:$C$451,$C213,'TL19'!$J$238:$J$451),0)
),0)</f>
        <v>0</v>
      </c>
      <c r="Q213" s="9">
        <f>IFERROR(SUM(
IF('TL01'!$B$3=Q$3,SUMIF('TL01'!$C$10:$C$224,$C213,'TL01'!$J$10:$J$224),0),
IF('TL01'!$B$229=Q$3,SUMIF('TL01'!$C$238:$C$451,$C213,'TL01'!$J$238:$J$451),0),
IF('TL02'!$B$3=Q$3,SUMIF('TL02'!$C$10:$C$224,$C213,'TL02'!$J$10:$J$224),0),
IF('TL02'!$B$229=Q$3,SUMIF('TL02'!$C$238:$C$451,$C213,'TL02'!$J$238:$J$451),0),
IF('TL03'!$B$3=Q$3,SUMIF('TL03'!$C$10:$C$224,$C213,'TL03'!$J$10:$J$224),0),
IF('TL03'!$B$229=Q$3,SUMIF('TL03'!$C$238:$C$451,$C213,'TL03'!$J$238:$J$451),0),
IF('TL04'!$B$3=Q$3,SUMIF('TL04'!$C$10:$C$224,$C213,'TL04'!$J$10:$J$224),0),
IF('TL04'!$B$229=Q$3,SUMIF('TL04'!$C$238:$C$451,$C213,'TL04'!$J$238:$J$451),0),
IF('TL05'!$B$3=Q$3,SUMIF('TL05'!$C$10:$C$224,$C213,'TL05'!$J$10:$J$224),0),
IF('TL05'!$B$229=Q$3,SUMIF('TL05'!$C$238:$C$451,$C213,'TL05'!$J$238:$J$451),0),
IF('TL06'!$B$3=Q$3,SUMIF('TL06'!$C$10:$C$224,$C213,'TL06'!$J$10:$J$224),0),
IF('TL06'!$B$229=Q$3,SUMIF('TL06'!$C$238:$C$451,$C213,'TL06'!$J$238:$J$451),0),
IF('TL07'!$B$3=Q$3,SUMIF('TL07'!$C$10:$C$224,$C213,'TL07'!$J$10:$J$224),0),
IF('TL07'!$B$229=Q$3,SUMIF('TL07'!$C$238:$C$451,$C213,'TL07'!$J$238:$J$451),0),
IF('TL08'!$B$3=Q$3,SUMIF('TL08'!$C$10:$C$224,$C213,'TL08'!$J$10:$J$224),0),
IF('TL08'!$B$229=Q$3,SUMIF('TL08'!$C$238:$C$451,$C213,'TL08'!$J$238:$J$451),0),
IF('TL09'!$B$3=Q$3,SUMIF('TL09'!$C$10:$C$224,$C213,'TL09'!$J$10:$J$224),0),
IF('TL09'!$B$229=Q$3,SUMIF('TL09'!$C$238:$C$451,$C213,'TL09'!$J$238:$J$451),0),
IF('TL10'!$B$3=Q$3,SUMIF('TL10'!$C$10:$C$224,$C213,'TL10'!$J$10:$J$224),0),
IF('TL10'!$B$229=Q$3,SUMIF('TL10'!$C$238:$C$451,$C213,'TL10'!$J$238:$J$451),0),
IF('TL11'!$B$3=Q$3,SUMIF('TL11'!$C$10:$C$224,$C213,'TL11'!$J$10:$J$224),0),
IF('TL11'!$B$229=Q$3,SUMIF('TL11'!$C$238:$C$451,$C213,'TL11'!$J$238:$J$451),0),
IF('TL12'!$B$3=Q$3,SUMIF('TL12'!$C$10:$C$224,$C213,'TL12'!$J$10:$J$224),0),
IF('TL12'!$B$229=Q$3,SUMIF('TL12'!$C$238:$C$451,$C213,'TL12'!$J$238:$J$451),0),
IF('TL13'!$B$3=Q$3,SUMIF('TL13'!$C$10:$C$224,$C213,'TL13'!$J$10:$J$224),0),
IF('TL13'!$B$229=Q$3,SUMIF('TL13'!$C$238:$C$451,$C213,'TL13'!$J$238:$J$451),0),
IF('TL14'!$B$3=Q$3,SUMIF('TL14'!$C$10:$C$224,$C213,'TL14'!$J$10:$J$224),0),
IF('TL14'!$B$229=Q$3,SUMIF('TL14'!$C$238:$C$451,$C213,'TL14'!$J$238:$J$451),0),
IF('TL15'!$B$3=Q$3,SUMIF('TL15'!$C$10:$C$224,$C213,'TL15'!$J$10:$J$224),0),
IF('TL15'!$B$229=Q$3,SUMIF('TL15'!$C$238:$C$451,$C213,'TL15'!$J$238:$J$451),0),
IF('TL16'!$B$3=Q$3,SUMIF('TL16'!$C$10:$C$224,$C213,'TL16'!$J$10:$J$224),0),
IF('TL16'!$B$229=Q$3,SUMIF('TL16'!$C$238:$C$451,$C213,'TL16'!$J$238:$J$451),0),
IF('TL17'!$B$3=Q$3,SUMIF('TL17'!$C$10:$C$224,$C213,'TL17'!$J$10:$J$224),0),
IF('TL17'!$B$229=Q$3,SUMIF('TL17'!$C$238:$C$451,$C213,'TL17'!$J$238:$J$451),0),
IF('TL18'!$B$3=Q$3,SUMIF('TL18'!$C$10:$C$224,$C213,'TL18'!$J$10:$J$224),0),
IF('TL18'!$B$229=Q$3,SUMIF('TL18'!$C$238:$C$451,$C213,'TL18'!$J$238:$J$451),0),
IF('TL19'!$B$3=Q$3,SUMIF('TL19'!$C$10:$C$224,$C213,'TL19'!$J$10:$J$224),0),
IF('TL19'!$B$229=Q$3,SUMIF('TL19'!$C$238:$C$451,$C213,'TL19'!$J$238:$J$451),0)
),0)</f>
        <v>0</v>
      </c>
      <c r="R213" s="9">
        <f>IFERROR(
SUM(
SUMIF('TL01'!C:C,C213,'TL01'!J:J),
SUMIF('TL02'!C:C,C213,'TL02'!J:J),
SUMIF('TL03'!C:C,C213,'TL03'!J:J),
SUMIF('TL04'!C:C,C213,'TL04'!J:J),
SUMIF('TL05'!C:C,C213,'TL05'!J:J),
SUMIF('TL06'!C:C,C213,'TL06'!J:J),
SUMIF('TL07'!C:C,C213,'TL07'!J:J),
SUMIF('TL08'!C:C,C213,'TL08'!J:J),
SUMIF('TL09'!C:C,C213,'TL09'!J:J),
SUMIF('TL10'!C:C,C213,'TL10'!J:J),
SUMIF('TL11'!C:C,C213,'TL11'!J:J),
SUMIF('TL12'!C:C,C213,'TL12'!J:J),
SUMIF('TL13'!C:C,C213,'TL13'!J:J),
SUMIF('TL14'!C:C,C213,'TL14'!J:J),
SUMIF('TL15'!C:C,C213,'TL15'!J:J),
SUMIF('TL16'!C:C,C213,'TL16'!J:J),
SUMIF('TL17'!C:C,C213,'TL17'!J:J),
SUMIF('TL18'!C:C,C213,'TL18'!J:J),SUMIF('TL19'!C:C,C213,'TL19'!J:J))
,0)</f>
        <v>0</v>
      </c>
      <c r="S213" s="17">
        <f>IFERROR(__xludf.DUMMYFUNCTION("IFERROR(VLOOKUP(C213,
IMPORTRANGE(""1wULbzX32WdYsx-lj2U3uUNBBe2INVIRDtcK0d-Dvl90"",
""26-27!C:G""),
5,
FALSE),
"""")"),53.99505)</f>
        <v>53.99505</v>
      </c>
      <c r="T213" s="9"/>
      <c r="U213" s="92">
        <f t="shared" si="2"/>
        <v>0</v>
      </c>
      <c r="V213" s="93">
        <f t="shared" si="3"/>
        <v>0</v>
      </c>
    </row>
    <row r="214" ht="15.75" hidden="1" customHeight="1">
      <c r="A214" s="87" t="s">
        <v>516</v>
      </c>
      <c r="B214" s="88" t="s">
        <v>2</v>
      </c>
      <c r="C214" s="89" t="s">
        <v>842</v>
      </c>
      <c r="D214" s="89" t="s">
        <v>843</v>
      </c>
      <c r="E214" s="89">
        <v>480.0</v>
      </c>
      <c r="F214" s="4" t="s">
        <v>343</v>
      </c>
      <c r="G214" s="90" t="str">
        <f t="shared" si="4"/>
        <v>📄 Ver bula</v>
      </c>
      <c r="H214" s="9">
        <f>IFERROR(__xludf.DUMMYFUNCTION("IFERROR(VLOOKUP(C214,
IMPORTRANGE(""1wULbzX32WdYsx-lj2U3uUNBBe2INVIRDtcK0d-Dvl90"",
""26-27!C:K""),
8,
FALSE),
"""")"),0.25)</f>
        <v>0.25</v>
      </c>
      <c r="I214" s="91" t="s">
        <v>361</v>
      </c>
      <c r="J214" s="9">
        <f>IFERROR(SUM(
IF('TL01'!$B$3=J$3,SUMIF('TL01'!$C$10:$C$224,$C214,'TL01'!$J$10:$J$224),0),
IF('TL01'!$B$229=J$3,SUMIF('TL01'!$C$238:$C$451,$C214,'TL01'!$J$238:$J$451),0),
IF('TL02'!$B$3=J$3,SUMIF('TL02'!$C$10:$C$224,$C214,'TL02'!$J$10:$J$224),0),
IF('TL02'!$B$229=J$3,SUMIF('TL02'!$C$238:$C$451,$C214,'TL02'!$J$238:$J$451),0),
IF('TL03'!$B$3=J$3,SUMIF('TL03'!$C$10:$C$224,$C214,'TL03'!$J$10:$J$224),0),
IF('TL03'!$B$229=J$3,SUMIF('TL03'!$C$238:$C$451,$C214,'TL03'!$J$238:$J$451),0),
IF('TL04'!$B$3=J$3,SUMIF('TL04'!$C$10:$C$224,$C214,'TL04'!$J$10:$J$224),0),
IF('TL04'!$B$229=J$3,SUMIF('TL04'!$C$238:$C$451,$C214,'TL04'!$J$238:$J$451),0),
IF('TL05'!$B$3=J$3,SUMIF('TL05'!$C$10:$C$224,$C214,'TL05'!$J$10:$J$224),0),
IF('TL05'!$B$229=J$3,SUMIF('TL05'!$C$238:$C$451,$C214,'TL05'!$J$238:$J$451),0),
IF('TL06'!$B$3=J$3,SUMIF('TL06'!$C$10:$C$224,$C214,'TL06'!$J$10:$J$224),0),
IF('TL06'!$B$229=J$3,SUMIF('TL06'!$C$238:$C$451,$C214,'TL06'!$J$238:$J$451),0),
IF('TL07'!$B$3=J$3,SUMIF('TL07'!$C$10:$C$224,$C214,'TL07'!$J$10:$J$224),0),
IF('TL07'!$B$229=J$3,SUMIF('TL07'!$C$238:$C$451,$C214,'TL07'!$J$238:$J$451),0),
IF('TL08'!$B$3=J$3,SUMIF('TL08'!$C$10:$C$224,$C214,'TL08'!$J$10:$J$224),0),
IF('TL08'!$B$229=J$3,SUMIF('TL08'!$C$238:$C$451,$C214,'TL08'!$J$238:$J$451),0),
IF('TL09'!$B$3=J$3,SUMIF('TL09'!$C$10:$C$224,$C214,'TL09'!$J$10:$J$224),0),
IF('TL09'!$B$229=J$3,SUMIF('TL09'!$C$238:$C$451,$C214,'TL09'!$J$238:$J$451),0),
IF('TL10'!$B$3=J$3,SUMIF('TL10'!$C$10:$C$224,$C214,'TL10'!$J$10:$J$224),0),
IF('TL10'!$B$229=J$3,SUMIF('TL10'!$C$238:$C$451,$C214,'TL10'!$J$238:$J$451),0),
IF('TL11'!$B$3=J$3,SUMIF('TL11'!$C$10:$C$224,$C214,'TL11'!$J$10:$J$224),0),
IF('TL11'!$B$229=J$3,SUMIF('TL11'!$C$238:$C$451,$C214,'TL11'!$J$238:$J$451),0),
IF('TL12'!$B$3=J$3,SUMIF('TL12'!$C$10:$C$224,$C214,'TL12'!$J$10:$J$224),0),
IF('TL12'!$B$229=J$3,SUMIF('TL12'!$C$238:$C$451,$C214,'TL12'!$J$238:$J$451),0),
IF('TL13'!$B$3=J$3,SUMIF('TL13'!$C$10:$C$224,$C214,'TL13'!$J$10:$J$224),0),
IF('TL13'!$B$229=J$3,SUMIF('TL13'!$C$238:$C$451,$C214,'TL13'!$J$238:$J$451),0),
IF('TL14'!$B$3=J$3,SUMIF('TL14'!$C$10:$C$224,$C214,'TL14'!$J$10:$J$224),0),
IF('TL14'!$B$229=J$3,SUMIF('TL14'!$C$238:$C$451,$C214,'TL14'!$J$238:$J$451),0),
IF('TL15'!$B$3=J$3,SUMIF('TL15'!$C$10:$C$224,$C214,'TL15'!$J$10:$J$224),0),
IF('TL15'!$B$229=J$3,SUMIF('TL15'!$C$238:$C$451,$C214,'TL15'!$J$238:$J$451),0),
IF('TL16'!$B$3=J$3,SUMIF('TL16'!$C$10:$C$224,$C214,'TL16'!$J$10:$J$224),0),
IF('TL16'!$B$229=J$3,SUMIF('TL16'!$C$238:$C$451,$C214,'TL16'!$J$238:$J$451),0),
IF('TL17'!$B$3=J$3,SUMIF('TL17'!$C$10:$C$224,$C214,'TL17'!$J$10:$J$224),0),
IF('TL17'!$B$229=J$3,SUMIF('TL17'!$C$238:$C$451,$C214,'TL17'!$J$238:$J$451),0),
IF('TL18'!$B$3=J$3,SUMIF('TL18'!$C$10:$C$224,$C214,'TL18'!$J$10:$J$224),0),
IF('TL18'!$B$229=J$3,SUMIF('TL18'!$C$238:$C$451,$C214,'TL18'!$J$238:$J$451),0),
IF('TL19'!$B$3=J$3,SUMIF('TL19'!$C$10:$C$224,$C214,'TL19'!$J$10:$J$224),0),
IF('TL19'!$B$229=J$3,SUMIF('TL19'!$C$238:$C$451,$C214,'TL19'!$J$238:$J$451),0)
),0)</f>
        <v>0</v>
      </c>
      <c r="K214" s="9">
        <f>IFERROR(SUM(
IF('TL01'!$B$3=K$3,SUMIF('TL01'!$C$10:$C$224,$C214,'TL01'!$J$10:$J$224),0),
IF('TL01'!$B$229=K$3,SUMIF('TL01'!$C$238:$C$451,$C214,'TL01'!$J$238:$J$451),0),
IF('TL02'!$B$3=K$3,SUMIF('TL02'!$C$10:$C$224,$C214,'TL02'!$J$10:$J$224),0),
IF('TL02'!$B$229=K$3,SUMIF('TL02'!$C$238:$C$451,$C214,'TL02'!$J$238:$J$451),0),
IF('TL03'!$B$3=K$3,SUMIF('TL03'!$C$10:$C$224,$C214,'TL03'!$J$10:$J$224),0),
IF('TL03'!$B$229=K$3,SUMIF('TL03'!$C$238:$C$451,$C214,'TL03'!$J$238:$J$451),0),
IF('TL04'!$B$3=K$3,SUMIF('TL04'!$C$10:$C$224,$C214,'TL04'!$J$10:$J$224),0),
IF('TL04'!$B$229=K$3,SUMIF('TL04'!$C$238:$C$451,$C214,'TL04'!$J$238:$J$451),0),
IF('TL05'!$B$3=K$3,SUMIF('TL05'!$C$10:$C$224,$C214,'TL05'!$J$10:$J$224),0),
IF('TL05'!$B$229=K$3,SUMIF('TL05'!$C$238:$C$451,$C214,'TL05'!$J$238:$J$451),0),
IF('TL06'!$B$3=K$3,SUMIF('TL06'!$C$10:$C$224,$C214,'TL06'!$J$10:$J$224),0),
IF('TL06'!$B$229=K$3,SUMIF('TL06'!$C$238:$C$451,$C214,'TL06'!$J$238:$J$451),0),
IF('TL07'!$B$3=K$3,SUMIF('TL07'!$C$10:$C$224,$C214,'TL07'!$J$10:$J$224),0),
IF('TL07'!$B$229=K$3,SUMIF('TL07'!$C$238:$C$451,$C214,'TL07'!$J$238:$J$451),0),
IF('TL08'!$B$3=K$3,SUMIF('TL08'!$C$10:$C$224,$C214,'TL08'!$J$10:$J$224),0),
IF('TL08'!$B$229=K$3,SUMIF('TL08'!$C$238:$C$451,$C214,'TL08'!$J$238:$J$451),0),
IF('TL09'!$B$3=K$3,SUMIF('TL09'!$C$10:$C$224,$C214,'TL09'!$J$10:$J$224),0),
IF('TL09'!$B$229=K$3,SUMIF('TL09'!$C$238:$C$451,$C214,'TL09'!$J$238:$J$451),0),
IF('TL10'!$B$3=K$3,SUMIF('TL10'!$C$10:$C$224,$C214,'TL10'!$J$10:$J$224),0),
IF('TL10'!$B$229=K$3,SUMIF('TL10'!$C$238:$C$451,$C214,'TL10'!$J$238:$J$451),0),
IF('TL11'!$B$3=K$3,SUMIF('TL11'!$C$10:$C$224,$C214,'TL11'!$J$10:$J$224),0),
IF('TL11'!$B$229=K$3,SUMIF('TL11'!$C$238:$C$451,$C214,'TL11'!$J$238:$J$451),0),
IF('TL12'!$B$3=K$3,SUMIF('TL12'!$C$10:$C$224,$C214,'TL12'!$J$10:$J$224),0),
IF('TL12'!$B$229=K$3,SUMIF('TL12'!$C$238:$C$451,$C214,'TL12'!$J$238:$J$451),0),
IF('TL13'!$B$3=K$3,SUMIF('TL13'!$C$10:$C$224,$C214,'TL13'!$J$10:$J$224),0),
IF('TL13'!$B$229=K$3,SUMIF('TL13'!$C$238:$C$451,$C214,'TL13'!$J$238:$J$451),0),
IF('TL14'!$B$3=K$3,SUMIF('TL14'!$C$10:$C$224,$C214,'TL14'!$J$10:$J$224),0),
IF('TL14'!$B$229=K$3,SUMIF('TL14'!$C$238:$C$451,$C214,'TL14'!$J$238:$J$451),0),
IF('TL15'!$B$3=K$3,SUMIF('TL15'!$C$10:$C$224,$C214,'TL15'!$J$10:$J$224),0),
IF('TL15'!$B$229=K$3,SUMIF('TL15'!$C$238:$C$451,$C214,'TL15'!$J$238:$J$451),0),
IF('TL16'!$B$3=K$3,SUMIF('TL16'!$C$10:$C$224,$C214,'TL16'!$J$10:$J$224),0),
IF('TL16'!$B$229=K$3,SUMIF('TL16'!$C$238:$C$451,$C214,'TL16'!$J$238:$J$451),0),
IF('TL17'!$B$3=K$3,SUMIF('TL17'!$C$10:$C$224,$C214,'TL17'!$J$10:$J$224),0),
IF('TL17'!$B$229=K$3,SUMIF('TL17'!$C$238:$C$451,$C214,'TL17'!$J$238:$J$451),0),
IF('TL18'!$B$3=K$3,SUMIF('TL18'!$C$10:$C$224,$C214,'TL18'!$J$10:$J$224),0),
IF('TL18'!$B$229=K$3,SUMIF('TL18'!$C$238:$C$451,$C214,'TL18'!$J$238:$J$451),0),
IF('TL19'!$B$3=K$3,SUMIF('TL19'!$C$10:$C$224,$C214,'TL19'!$J$10:$J$224),0),
IF('TL19'!$B$229=K$3,SUMIF('TL19'!$C$238:$C$451,$C214,'TL19'!$J$238:$J$451),0)
),0)</f>
        <v>75</v>
      </c>
      <c r="L214" s="9">
        <f>IFERROR(SUM(
IF('TL01'!$B$3=L$3,SUMIF('TL01'!$C$10:$C$224,$C214,'TL01'!$J$10:$J$224),0),
IF('TL01'!$B$229=L$3,SUMIF('TL01'!$C$238:$C$451,$C214,'TL01'!$J$238:$J$451),0),
IF('TL02'!$B$3=L$3,SUMIF('TL02'!$C$10:$C$224,$C214,'TL02'!$J$10:$J$224),0),
IF('TL02'!$B$229=L$3,SUMIF('TL02'!$C$238:$C$451,$C214,'TL02'!$J$238:$J$451),0),
IF('TL03'!$B$3=L$3,SUMIF('TL03'!$C$10:$C$224,$C214,'TL03'!$J$10:$J$224),0),
IF('TL03'!$B$229=L$3,SUMIF('TL03'!$C$238:$C$451,$C214,'TL03'!$J$238:$J$451),0),
IF('TL04'!$B$3=L$3,SUMIF('TL04'!$C$10:$C$224,$C214,'TL04'!$J$10:$J$224),0),
IF('TL04'!$B$229=L$3,SUMIF('TL04'!$C$238:$C$451,$C214,'TL04'!$J$238:$J$451),0),
IF('TL05'!$B$3=L$3,SUMIF('TL05'!$C$10:$C$224,$C214,'TL05'!$J$10:$J$224),0),
IF('TL05'!$B$229=L$3,SUMIF('TL05'!$C$238:$C$451,$C214,'TL05'!$J$238:$J$451),0),
IF('TL06'!$B$3=L$3,SUMIF('TL06'!$C$10:$C$224,$C214,'TL06'!$J$10:$J$224),0),
IF('TL06'!$B$229=L$3,SUMIF('TL06'!$C$238:$C$451,$C214,'TL06'!$J$238:$J$451),0),
IF('TL07'!$B$3=L$3,SUMIF('TL07'!$C$10:$C$224,$C214,'TL07'!$J$10:$J$224),0),
IF('TL07'!$B$229=L$3,SUMIF('TL07'!$C$238:$C$451,$C214,'TL07'!$J$238:$J$451),0),
IF('TL08'!$B$3=L$3,SUMIF('TL08'!$C$10:$C$224,$C214,'TL08'!$J$10:$J$224),0),
IF('TL08'!$B$229=L$3,SUMIF('TL08'!$C$238:$C$451,$C214,'TL08'!$J$238:$J$451),0),
IF('TL09'!$B$3=L$3,SUMIF('TL09'!$C$10:$C$224,$C214,'TL09'!$J$10:$J$224),0),
IF('TL09'!$B$229=L$3,SUMIF('TL09'!$C$238:$C$451,$C214,'TL09'!$J$238:$J$451),0),
IF('TL10'!$B$3=L$3,SUMIF('TL10'!$C$10:$C$224,$C214,'TL10'!$J$10:$J$224),0),
IF('TL10'!$B$229=L$3,SUMIF('TL10'!$C$238:$C$451,$C214,'TL10'!$J$238:$J$451),0),
IF('TL11'!$B$3=L$3,SUMIF('TL11'!$C$10:$C$224,$C214,'TL11'!$J$10:$J$224),0),
IF('TL11'!$B$229=L$3,SUMIF('TL11'!$C$238:$C$451,$C214,'TL11'!$J$238:$J$451),0),
IF('TL12'!$B$3=L$3,SUMIF('TL12'!$C$10:$C$224,$C214,'TL12'!$J$10:$J$224),0),
IF('TL12'!$B$229=L$3,SUMIF('TL12'!$C$238:$C$451,$C214,'TL12'!$J$238:$J$451),0),
IF('TL13'!$B$3=L$3,SUMIF('TL13'!$C$10:$C$224,$C214,'TL13'!$J$10:$J$224),0),
IF('TL13'!$B$229=L$3,SUMIF('TL13'!$C$238:$C$451,$C214,'TL13'!$J$238:$J$451),0),
IF('TL14'!$B$3=L$3,SUMIF('TL14'!$C$10:$C$224,$C214,'TL14'!$J$10:$J$224),0),
IF('TL14'!$B$229=L$3,SUMIF('TL14'!$C$238:$C$451,$C214,'TL14'!$J$238:$J$451),0),
IF('TL15'!$B$3=L$3,SUMIF('TL15'!$C$10:$C$224,$C214,'TL15'!$J$10:$J$224),0),
IF('TL15'!$B$229=L$3,SUMIF('TL15'!$C$238:$C$451,$C214,'TL15'!$J$238:$J$451),0),
IF('TL16'!$B$3=L$3,SUMIF('TL16'!$C$10:$C$224,$C214,'TL16'!$J$10:$J$224),0),
IF('TL16'!$B$229=L$3,SUMIF('TL16'!$C$238:$C$451,$C214,'TL16'!$J$238:$J$451),0),
IF('TL17'!$B$3=L$3,SUMIF('TL17'!$C$10:$C$224,$C214,'TL17'!$J$10:$J$224),0),
IF('TL17'!$B$229=L$3,SUMIF('TL17'!$C$238:$C$451,$C214,'TL17'!$J$238:$J$451),0),
IF('TL18'!$B$3=L$3,SUMIF('TL18'!$C$10:$C$224,$C214,'TL18'!$J$10:$J$224),0),
IF('TL18'!$B$229=L$3,SUMIF('TL18'!$C$238:$C$451,$C214,'TL18'!$J$238:$J$451),0),
IF('TL19'!$B$3=L$3,SUMIF('TL19'!$C$10:$C$224,$C214,'TL19'!$J$10:$J$224),0),
IF('TL19'!$B$229=L$3,SUMIF('TL19'!$C$238:$C$451,$C214,'TL19'!$J$238:$J$451),0)
),0)</f>
        <v>55</v>
      </c>
      <c r="M214" s="9">
        <f>IFERROR(SUM(
IF('TL01'!$B$3=M$3,SUMIF('TL01'!$C$10:$C$224,$C214,'TL01'!$J$10:$J$224),0),
IF('TL01'!$B$229=M$3,SUMIF('TL01'!$C$238:$C$451,$C214,'TL01'!$J$238:$J$451),0),
IF('TL02'!$B$3=M$3,SUMIF('TL02'!$C$10:$C$224,$C214,'TL02'!$J$10:$J$224),0),
IF('TL02'!$B$229=M$3,SUMIF('TL02'!$C$238:$C$451,$C214,'TL02'!$J$238:$J$451),0),
IF('TL03'!$B$3=M$3,SUMIF('TL03'!$C$10:$C$224,$C214,'TL03'!$J$10:$J$224),0),
IF('TL03'!$B$229=M$3,SUMIF('TL03'!$C$238:$C$451,$C214,'TL03'!$J$238:$J$451),0),
IF('TL04'!$B$3=M$3,SUMIF('TL04'!$C$10:$C$224,$C214,'TL04'!$J$10:$J$224),0),
IF('TL04'!$B$229=M$3,SUMIF('TL04'!$C$238:$C$451,$C214,'TL04'!$J$238:$J$451),0),
IF('TL05'!$B$3=M$3,SUMIF('TL05'!$C$10:$C$224,$C214,'TL05'!$J$10:$J$224),0),
IF('TL05'!$B$229=M$3,SUMIF('TL05'!$C$238:$C$451,$C214,'TL05'!$J$238:$J$451),0),
IF('TL06'!$B$3=M$3,SUMIF('TL06'!$C$10:$C$224,$C214,'TL06'!$J$10:$J$224),0),
IF('TL06'!$B$229=M$3,SUMIF('TL06'!$C$238:$C$451,$C214,'TL06'!$J$238:$J$451),0),
IF('TL07'!$B$3=M$3,SUMIF('TL07'!$C$10:$C$224,$C214,'TL07'!$J$10:$J$224),0),
IF('TL07'!$B$229=M$3,SUMIF('TL07'!$C$238:$C$451,$C214,'TL07'!$J$238:$J$451),0),
IF('TL08'!$B$3=M$3,SUMIF('TL08'!$C$10:$C$224,$C214,'TL08'!$J$10:$J$224),0),
IF('TL08'!$B$229=M$3,SUMIF('TL08'!$C$238:$C$451,$C214,'TL08'!$J$238:$J$451),0),
IF('TL09'!$B$3=M$3,SUMIF('TL09'!$C$10:$C$224,$C214,'TL09'!$J$10:$J$224),0),
IF('TL09'!$B$229=M$3,SUMIF('TL09'!$C$238:$C$451,$C214,'TL09'!$J$238:$J$451),0),
IF('TL10'!$B$3=M$3,SUMIF('TL10'!$C$10:$C$224,$C214,'TL10'!$J$10:$J$224),0),
IF('TL10'!$B$229=M$3,SUMIF('TL10'!$C$238:$C$451,$C214,'TL10'!$J$238:$J$451),0),
IF('TL11'!$B$3=M$3,SUMIF('TL11'!$C$10:$C$224,$C214,'TL11'!$J$10:$J$224),0),
IF('TL11'!$B$229=M$3,SUMIF('TL11'!$C$238:$C$451,$C214,'TL11'!$J$238:$J$451),0),
IF('TL12'!$B$3=M$3,SUMIF('TL12'!$C$10:$C$224,$C214,'TL12'!$J$10:$J$224),0),
IF('TL12'!$B$229=M$3,SUMIF('TL12'!$C$238:$C$451,$C214,'TL12'!$J$238:$J$451),0),
IF('TL13'!$B$3=M$3,SUMIF('TL13'!$C$10:$C$224,$C214,'TL13'!$J$10:$J$224),0),
IF('TL13'!$B$229=M$3,SUMIF('TL13'!$C$238:$C$451,$C214,'TL13'!$J$238:$J$451),0),
IF('TL14'!$B$3=M$3,SUMIF('TL14'!$C$10:$C$224,$C214,'TL14'!$J$10:$J$224),0),
IF('TL14'!$B$229=M$3,SUMIF('TL14'!$C$238:$C$451,$C214,'TL14'!$J$238:$J$451),0),
IF('TL15'!$B$3=M$3,SUMIF('TL15'!$C$10:$C$224,$C214,'TL15'!$J$10:$J$224),0),
IF('TL15'!$B$229=M$3,SUMIF('TL15'!$C$238:$C$451,$C214,'TL15'!$J$238:$J$451),0),
IF('TL16'!$B$3=M$3,SUMIF('TL16'!$C$10:$C$224,$C214,'TL16'!$J$10:$J$224),0),
IF('TL16'!$B$229=M$3,SUMIF('TL16'!$C$238:$C$451,$C214,'TL16'!$J$238:$J$451),0),
IF('TL17'!$B$3=M$3,SUMIF('TL17'!$C$10:$C$224,$C214,'TL17'!$J$10:$J$224),0),
IF('TL17'!$B$229=M$3,SUMIF('TL17'!$C$238:$C$451,$C214,'TL17'!$J$238:$J$451),0),
IF('TL18'!$B$3=M$3,SUMIF('TL18'!$C$10:$C$224,$C214,'TL18'!$J$10:$J$224),0),
IF('TL18'!$B$229=M$3,SUMIF('TL18'!$C$238:$C$451,$C214,'TL18'!$J$238:$J$451),0),
IF('TL19'!$B$3=M$3,SUMIF('TL19'!$C$10:$C$224,$C214,'TL19'!$J$10:$J$224),0),
IF('TL19'!$B$229=M$3,SUMIF('TL19'!$C$238:$C$451,$C214,'TL19'!$J$238:$J$451),0)
),0)</f>
        <v>0</v>
      </c>
      <c r="N214" s="9">
        <f>IFERROR(SUM(
IF('TL01'!$B$3=N$3,SUMIF('TL01'!$C$10:$C$224,$C214,'TL01'!$J$10:$J$224),0),
IF('TL01'!$B$229=N$3,SUMIF('TL01'!$C$238:$C$451,$C214,'TL01'!$J$238:$J$451),0),
IF('TL02'!$B$3=N$3,SUMIF('TL02'!$C$10:$C$224,$C214,'TL02'!$J$10:$J$224),0),
IF('TL02'!$B$229=N$3,SUMIF('TL02'!$C$238:$C$451,$C214,'TL02'!$J$238:$J$451),0),
IF('TL03'!$B$3=N$3,SUMIF('TL03'!$C$10:$C$224,$C214,'TL03'!$J$10:$J$224),0),
IF('TL03'!$B$229=N$3,SUMIF('TL03'!$C$238:$C$451,$C214,'TL03'!$J$238:$J$451),0),
IF('TL04'!$B$3=N$3,SUMIF('TL04'!$C$10:$C$224,$C214,'TL04'!$J$10:$J$224),0),
IF('TL04'!$B$229=N$3,SUMIF('TL04'!$C$238:$C$451,$C214,'TL04'!$J$238:$J$451),0),
IF('TL05'!$B$3=N$3,SUMIF('TL05'!$C$10:$C$224,$C214,'TL05'!$J$10:$J$224),0),
IF('TL05'!$B$229=N$3,SUMIF('TL05'!$C$238:$C$451,$C214,'TL05'!$J$238:$J$451),0),
IF('TL06'!$B$3=N$3,SUMIF('TL06'!$C$10:$C$224,$C214,'TL06'!$J$10:$J$224),0),
IF('TL06'!$B$229=N$3,SUMIF('TL06'!$C$238:$C$451,$C214,'TL06'!$J$238:$J$451),0),
IF('TL07'!$B$3=N$3,SUMIF('TL07'!$C$10:$C$224,$C214,'TL07'!$J$10:$J$224),0),
IF('TL07'!$B$229=N$3,SUMIF('TL07'!$C$238:$C$451,$C214,'TL07'!$J$238:$J$451),0),
IF('TL08'!$B$3=N$3,SUMIF('TL08'!$C$10:$C$224,$C214,'TL08'!$J$10:$J$224),0),
IF('TL08'!$B$229=N$3,SUMIF('TL08'!$C$238:$C$451,$C214,'TL08'!$J$238:$J$451),0),
IF('TL09'!$B$3=N$3,SUMIF('TL09'!$C$10:$C$224,$C214,'TL09'!$J$10:$J$224),0),
IF('TL09'!$B$229=N$3,SUMIF('TL09'!$C$238:$C$451,$C214,'TL09'!$J$238:$J$451),0),
IF('TL10'!$B$3=N$3,SUMIF('TL10'!$C$10:$C$224,$C214,'TL10'!$J$10:$J$224),0),
IF('TL10'!$B$229=N$3,SUMIF('TL10'!$C$238:$C$451,$C214,'TL10'!$J$238:$J$451),0),
IF('TL11'!$B$3=N$3,SUMIF('TL11'!$C$10:$C$224,$C214,'TL11'!$J$10:$J$224),0),
IF('TL11'!$B$229=N$3,SUMIF('TL11'!$C$238:$C$451,$C214,'TL11'!$J$238:$J$451),0),
IF('TL12'!$B$3=N$3,SUMIF('TL12'!$C$10:$C$224,$C214,'TL12'!$J$10:$J$224),0),
IF('TL12'!$B$229=N$3,SUMIF('TL12'!$C$238:$C$451,$C214,'TL12'!$J$238:$J$451),0),
IF('TL13'!$B$3=N$3,SUMIF('TL13'!$C$10:$C$224,$C214,'TL13'!$J$10:$J$224),0),
IF('TL13'!$B$229=N$3,SUMIF('TL13'!$C$238:$C$451,$C214,'TL13'!$J$238:$J$451),0),
IF('TL14'!$B$3=N$3,SUMIF('TL14'!$C$10:$C$224,$C214,'TL14'!$J$10:$J$224),0),
IF('TL14'!$B$229=N$3,SUMIF('TL14'!$C$238:$C$451,$C214,'TL14'!$J$238:$J$451),0),
IF('TL15'!$B$3=N$3,SUMIF('TL15'!$C$10:$C$224,$C214,'TL15'!$J$10:$J$224),0),
IF('TL15'!$B$229=N$3,SUMIF('TL15'!$C$238:$C$451,$C214,'TL15'!$J$238:$J$451),0),
IF('TL16'!$B$3=N$3,SUMIF('TL16'!$C$10:$C$224,$C214,'TL16'!$J$10:$J$224),0),
IF('TL16'!$B$229=N$3,SUMIF('TL16'!$C$238:$C$451,$C214,'TL16'!$J$238:$J$451),0),
IF('TL17'!$B$3=N$3,SUMIF('TL17'!$C$10:$C$224,$C214,'TL17'!$J$10:$J$224),0),
IF('TL17'!$B$229=N$3,SUMIF('TL17'!$C$238:$C$451,$C214,'TL17'!$J$238:$J$451),0),
IF('TL18'!$B$3=N$3,SUMIF('TL18'!$C$10:$C$224,$C214,'TL18'!$J$10:$J$224),0),
IF('TL18'!$B$229=N$3,SUMIF('TL18'!$C$238:$C$451,$C214,'TL18'!$J$238:$J$451),0),
IF('TL19'!$B$3=N$3,SUMIF('TL19'!$C$10:$C$224,$C214,'TL19'!$J$10:$J$224),0),
IF('TL19'!$B$229=N$3,SUMIF('TL19'!$C$238:$C$451,$C214,'TL19'!$J$238:$J$451),0)
),0)</f>
        <v>0</v>
      </c>
      <c r="O214" s="9">
        <f>IFERROR(SUM(
IF('TL01'!$B$3=O$3,SUMIF('TL01'!$C$10:$C$224,$C214,'TL01'!$J$10:$J$224),0),
IF('TL01'!$B$229=O$3,SUMIF('TL01'!$C$238:$C$451,$C214,'TL01'!$J$238:$J$451),0),
IF('TL02'!$B$3=O$3,SUMIF('TL02'!$C$10:$C$224,$C214,'TL02'!$J$10:$J$224),0),
IF('TL02'!$B$229=O$3,SUMIF('TL02'!$C$238:$C$451,$C214,'TL02'!$J$238:$J$451),0),
IF('TL03'!$B$3=O$3,SUMIF('TL03'!$C$10:$C$224,$C214,'TL03'!$J$10:$J$224),0),
IF('TL03'!$B$229=O$3,SUMIF('TL03'!$C$238:$C$451,$C214,'TL03'!$J$238:$J$451),0),
IF('TL04'!$B$3=O$3,SUMIF('TL04'!$C$10:$C$224,$C214,'TL04'!$J$10:$J$224),0),
IF('TL04'!$B$229=O$3,SUMIF('TL04'!$C$238:$C$451,$C214,'TL04'!$J$238:$J$451),0),
IF('TL05'!$B$3=O$3,SUMIF('TL05'!$C$10:$C$224,$C214,'TL05'!$J$10:$J$224),0),
IF('TL05'!$B$229=O$3,SUMIF('TL05'!$C$238:$C$451,$C214,'TL05'!$J$238:$J$451),0),
IF('TL06'!$B$3=O$3,SUMIF('TL06'!$C$10:$C$224,$C214,'TL06'!$J$10:$J$224),0),
IF('TL06'!$B$229=O$3,SUMIF('TL06'!$C$238:$C$451,$C214,'TL06'!$J$238:$J$451),0),
IF('TL07'!$B$3=O$3,SUMIF('TL07'!$C$10:$C$224,$C214,'TL07'!$J$10:$J$224),0),
IF('TL07'!$B$229=O$3,SUMIF('TL07'!$C$238:$C$451,$C214,'TL07'!$J$238:$J$451),0),
IF('TL08'!$B$3=O$3,SUMIF('TL08'!$C$10:$C$224,$C214,'TL08'!$J$10:$J$224),0),
IF('TL08'!$B$229=O$3,SUMIF('TL08'!$C$238:$C$451,$C214,'TL08'!$J$238:$J$451),0),
IF('TL09'!$B$3=O$3,SUMIF('TL09'!$C$10:$C$224,$C214,'TL09'!$J$10:$J$224),0),
IF('TL09'!$B$229=O$3,SUMIF('TL09'!$C$238:$C$451,$C214,'TL09'!$J$238:$J$451),0),
IF('TL10'!$B$3=O$3,SUMIF('TL10'!$C$10:$C$224,$C214,'TL10'!$J$10:$J$224),0),
IF('TL10'!$B$229=O$3,SUMIF('TL10'!$C$238:$C$451,$C214,'TL10'!$J$238:$J$451),0),
IF('TL11'!$B$3=O$3,SUMIF('TL11'!$C$10:$C$224,$C214,'TL11'!$J$10:$J$224),0),
IF('TL11'!$B$229=O$3,SUMIF('TL11'!$C$238:$C$451,$C214,'TL11'!$J$238:$J$451),0),
IF('TL12'!$B$3=O$3,SUMIF('TL12'!$C$10:$C$224,$C214,'TL12'!$J$10:$J$224),0),
IF('TL12'!$B$229=O$3,SUMIF('TL12'!$C$238:$C$451,$C214,'TL12'!$J$238:$J$451),0),
IF('TL13'!$B$3=O$3,SUMIF('TL13'!$C$10:$C$224,$C214,'TL13'!$J$10:$J$224),0),
IF('TL13'!$B$229=O$3,SUMIF('TL13'!$C$238:$C$451,$C214,'TL13'!$J$238:$J$451),0),
IF('TL14'!$B$3=O$3,SUMIF('TL14'!$C$10:$C$224,$C214,'TL14'!$J$10:$J$224),0),
IF('TL14'!$B$229=O$3,SUMIF('TL14'!$C$238:$C$451,$C214,'TL14'!$J$238:$J$451),0),
IF('TL15'!$B$3=O$3,SUMIF('TL15'!$C$10:$C$224,$C214,'TL15'!$J$10:$J$224),0),
IF('TL15'!$B$229=O$3,SUMIF('TL15'!$C$238:$C$451,$C214,'TL15'!$J$238:$J$451),0),
IF('TL16'!$B$3=O$3,SUMIF('TL16'!$C$10:$C$224,$C214,'TL16'!$J$10:$J$224),0),
IF('TL16'!$B$229=O$3,SUMIF('TL16'!$C$238:$C$451,$C214,'TL16'!$J$238:$J$451),0),
IF('TL17'!$B$3=O$3,SUMIF('TL17'!$C$10:$C$224,$C214,'TL17'!$J$10:$J$224),0),
IF('TL17'!$B$229=O$3,SUMIF('TL17'!$C$238:$C$451,$C214,'TL17'!$J$238:$J$451),0),
IF('TL18'!$B$3=O$3,SUMIF('TL18'!$C$10:$C$224,$C214,'TL18'!$J$10:$J$224),0),
IF('TL18'!$B$229=O$3,SUMIF('TL18'!$C$238:$C$451,$C214,'TL18'!$J$238:$J$451),0),
IF('TL19'!$B$3=O$3,SUMIF('TL19'!$C$10:$C$224,$C214,'TL19'!$J$10:$J$224),0),
IF('TL19'!$B$229=O$3,SUMIF('TL19'!$C$238:$C$451,$C214,'TL19'!$J$238:$J$451),0)
),0)</f>
        <v>55</v>
      </c>
      <c r="P214" s="9">
        <f>IFERROR(SUM(
IF('TL01'!$B$3=P$3,SUMIF('TL01'!$C$10:$C$224,$C214,'TL01'!$J$10:$J$224),0),
IF('TL01'!$B$229=P$3,SUMIF('TL01'!$C$238:$C$451,$C214,'TL01'!$J$238:$J$451),0),
IF('TL02'!$B$3=P$3,SUMIF('TL02'!$C$10:$C$224,$C214,'TL02'!$J$10:$J$224),0),
IF('TL02'!$B$229=P$3,SUMIF('TL02'!$C$238:$C$451,$C214,'TL02'!$J$238:$J$451),0),
IF('TL03'!$B$3=P$3,SUMIF('TL03'!$C$10:$C$224,$C214,'TL03'!$J$10:$J$224),0),
IF('TL03'!$B$229=P$3,SUMIF('TL03'!$C$238:$C$451,$C214,'TL03'!$J$238:$J$451),0),
IF('TL04'!$B$3=P$3,SUMIF('TL04'!$C$10:$C$224,$C214,'TL04'!$J$10:$J$224),0),
IF('TL04'!$B$229=P$3,SUMIF('TL04'!$C$238:$C$451,$C214,'TL04'!$J$238:$J$451),0),
IF('TL05'!$B$3=P$3,SUMIF('TL05'!$C$10:$C$224,$C214,'TL05'!$J$10:$J$224),0),
IF('TL05'!$B$229=P$3,SUMIF('TL05'!$C$238:$C$451,$C214,'TL05'!$J$238:$J$451),0),
IF('TL06'!$B$3=P$3,SUMIF('TL06'!$C$10:$C$224,$C214,'TL06'!$J$10:$J$224),0),
IF('TL06'!$B$229=P$3,SUMIF('TL06'!$C$238:$C$451,$C214,'TL06'!$J$238:$J$451),0),
IF('TL07'!$B$3=P$3,SUMIF('TL07'!$C$10:$C$224,$C214,'TL07'!$J$10:$J$224),0),
IF('TL07'!$B$229=P$3,SUMIF('TL07'!$C$238:$C$451,$C214,'TL07'!$J$238:$J$451),0),
IF('TL08'!$B$3=P$3,SUMIF('TL08'!$C$10:$C$224,$C214,'TL08'!$J$10:$J$224),0),
IF('TL08'!$B$229=P$3,SUMIF('TL08'!$C$238:$C$451,$C214,'TL08'!$J$238:$J$451),0),
IF('TL09'!$B$3=P$3,SUMIF('TL09'!$C$10:$C$224,$C214,'TL09'!$J$10:$J$224),0),
IF('TL09'!$B$229=P$3,SUMIF('TL09'!$C$238:$C$451,$C214,'TL09'!$J$238:$J$451),0),
IF('TL10'!$B$3=P$3,SUMIF('TL10'!$C$10:$C$224,$C214,'TL10'!$J$10:$J$224),0),
IF('TL10'!$B$229=P$3,SUMIF('TL10'!$C$238:$C$451,$C214,'TL10'!$J$238:$J$451),0),
IF('TL11'!$B$3=P$3,SUMIF('TL11'!$C$10:$C$224,$C214,'TL11'!$J$10:$J$224),0),
IF('TL11'!$B$229=P$3,SUMIF('TL11'!$C$238:$C$451,$C214,'TL11'!$J$238:$J$451),0),
IF('TL12'!$B$3=P$3,SUMIF('TL12'!$C$10:$C$224,$C214,'TL12'!$J$10:$J$224),0),
IF('TL12'!$B$229=P$3,SUMIF('TL12'!$C$238:$C$451,$C214,'TL12'!$J$238:$J$451),0),
IF('TL13'!$B$3=P$3,SUMIF('TL13'!$C$10:$C$224,$C214,'TL13'!$J$10:$J$224),0),
IF('TL13'!$B$229=P$3,SUMIF('TL13'!$C$238:$C$451,$C214,'TL13'!$J$238:$J$451),0),
IF('TL14'!$B$3=P$3,SUMIF('TL14'!$C$10:$C$224,$C214,'TL14'!$J$10:$J$224),0),
IF('TL14'!$B$229=P$3,SUMIF('TL14'!$C$238:$C$451,$C214,'TL14'!$J$238:$J$451),0),
IF('TL15'!$B$3=P$3,SUMIF('TL15'!$C$10:$C$224,$C214,'TL15'!$J$10:$J$224),0),
IF('TL15'!$B$229=P$3,SUMIF('TL15'!$C$238:$C$451,$C214,'TL15'!$J$238:$J$451),0),
IF('TL16'!$B$3=P$3,SUMIF('TL16'!$C$10:$C$224,$C214,'TL16'!$J$10:$J$224),0),
IF('TL16'!$B$229=P$3,SUMIF('TL16'!$C$238:$C$451,$C214,'TL16'!$J$238:$J$451),0),
IF('TL17'!$B$3=P$3,SUMIF('TL17'!$C$10:$C$224,$C214,'TL17'!$J$10:$J$224),0),
IF('TL17'!$B$229=P$3,SUMIF('TL17'!$C$238:$C$451,$C214,'TL17'!$J$238:$J$451),0),
IF('TL18'!$B$3=P$3,SUMIF('TL18'!$C$10:$C$224,$C214,'TL18'!$J$10:$J$224),0),
IF('TL18'!$B$229=P$3,SUMIF('TL18'!$C$238:$C$451,$C214,'TL18'!$J$238:$J$451),0),
IF('TL19'!$B$3=P$3,SUMIF('TL19'!$C$10:$C$224,$C214,'TL19'!$J$10:$J$224),0),
IF('TL19'!$B$229=P$3,SUMIF('TL19'!$C$238:$C$451,$C214,'TL19'!$J$238:$J$451),0)
),0)</f>
        <v>304.5</v>
      </c>
      <c r="Q214" s="9">
        <f>IFERROR(SUM(
IF('TL01'!$B$3=Q$3,SUMIF('TL01'!$C$10:$C$224,$C214,'TL01'!$J$10:$J$224),0),
IF('TL01'!$B$229=Q$3,SUMIF('TL01'!$C$238:$C$451,$C214,'TL01'!$J$238:$J$451),0),
IF('TL02'!$B$3=Q$3,SUMIF('TL02'!$C$10:$C$224,$C214,'TL02'!$J$10:$J$224),0),
IF('TL02'!$B$229=Q$3,SUMIF('TL02'!$C$238:$C$451,$C214,'TL02'!$J$238:$J$451),0),
IF('TL03'!$B$3=Q$3,SUMIF('TL03'!$C$10:$C$224,$C214,'TL03'!$J$10:$J$224),0),
IF('TL03'!$B$229=Q$3,SUMIF('TL03'!$C$238:$C$451,$C214,'TL03'!$J$238:$J$451),0),
IF('TL04'!$B$3=Q$3,SUMIF('TL04'!$C$10:$C$224,$C214,'TL04'!$J$10:$J$224),0),
IF('TL04'!$B$229=Q$3,SUMIF('TL04'!$C$238:$C$451,$C214,'TL04'!$J$238:$J$451),0),
IF('TL05'!$B$3=Q$3,SUMIF('TL05'!$C$10:$C$224,$C214,'TL05'!$J$10:$J$224),0),
IF('TL05'!$B$229=Q$3,SUMIF('TL05'!$C$238:$C$451,$C214,'TL05'!$J$238:$J$451),0),
IF('TL06'!$B$3=Q$3,SUMIF('TL06'!$C$10:$C$224,$C214,'TL06'!$J$10:$J$224),0),
IF('TL06'!$B$229=Q$3,SUMIF('TL06'!$C$238:$C$451,$C214,'TL06'!$J$238:$J$451),0),
IF('TL07'!$B$3=Q$3,SUMIF('TL07'!$C$10:$C$224,$C214,'TL07'!$J$10:$J$224),0),
IF('TL07'!$B$229=Q$3,SUMIF('TL07'!$C$238:$C$451,$C214,'TL07'!$J$238:$J$451),0),
IF('TL08'!$B$3=Q$3,SUMIF('TL08'!$C$10:$C$224,$C214,'TL08'!$J$10:$J$224),0),
IF('TL08'!$B$229=Q$3,SUMIF('TL08'!$C$238:$C$451,$C214,'TL08'!$J$238:$J$451),0),
IF('TL09'!$B$3=Q$3,SUMIF('TL09'!$C$10:$C$224,$C214,'TL09'!$J$10:$J$224),0),
IF('TL09'!$B$229=Q$3,SUMIF('TL09'!$C$238:$C$451,$C214,'TL09'!$J$238:$J$451),0),
IF('TL10'!$B$3=Q$3,SUMIF('TL10'!$C$10:$C$224,$C214,'TL10'!$J$10:$J$224),0),
IF('TL10'!$B$229=Q$3,SUMIF('TL10'!$C$238:$C$451,$C214,'TL10'!$J$238:$J$451),0),
IF('TL11'!$B$3=Q$3,SUMIF('TL11'!$C$10:$C$224,$C214,'TL11'!$J$10:$J$224),0),
IF('TL11'!$B$229=Q$3,SUMIF('TL11'!$C$238:$C$451,$C214,'TL11'!$J$238:$J$451),0),
IF('TL12'!$B$3=Q$3,SUMIF('TL12'!$C$10:$C$224,$C214,'TL12'!$J$10:$J$224),0),
IF('TL12'!$B$229=Q$3,SUMIF('TL12'!$C$238:$C$451,$C214,'TL12'!$J$238:$J$451),0),
IF('TL13'!$B$3=Q$3,SUMIF('TL13'!$C$10:$C$224,$C214,'TL13'!$J$10:$J$224),0),
IF('TL13'!$B$229=Q$3,SUMIF('TL13'!$C$238:$C$451,$C214,'TL13'!$J$238:$J$451),0),
IF('TL14'!$B$3=Q$3,SUMIF('TL14'!$C$10:$C$224,$C214,'TL14'!$J$10:$J$224),0),
IF('TL14'!$B$229=Q$3,SUMIF('TL14'!$C$238:$C$451,$C214,'TL14'!$J$238:$J$451),0),
IF('TL15'!$B$3=Q$3,SUMIF('TL15'!$C$10:$C$224,$C214,'TL15'!$J$10:$J$224),0),
IF('TL15'!$B$229=Q$3,SUMIF('TL15'!$C$238:$C$451,$C214,'TL15'!$J$238:$J$451),0),
IF('TL16'!$B$3=Q$3,SUMIF('TL16'!$C$10:$C$224,$C214,'TL16'!$J$10:$J$224),0),
IF('TL16'!$B$229=Q$3,SUMIF('TL16'!$C$238:$C$451,$C214,'TL16'!$J$238:$J$451),0),
IF('TL17'!$B$3=Q$3,SUMIF('TL17'!$C$10:$C$224,$C214,'TL17'!$J$10:$J$224),0),
IF('TL17'!$B$229=Q$3,SUMIF('TL17'!$C$238:$C$451,$C214,'TL17'!$J$238:$J$451),0),
IF('TL18'!$B$3=Q$3,SUMIF('TL18'!$C$10:$C$224,$C214,'TL18'!$J$10:$J$224),0),
IF('TL18'!$B$229=Q$3,SUMIF('TL18'!$C$238:$C$451,$C214,'TL18'!$J$238:$J$451),0),
IF('TL19'!$B$3=Q$3,SUMIF('TL19'!$C$10:$C$224,$C214,'TL19'!$J$10:$J$224),0),
IF('TL19'!$B$229=Q$3,SUMIF('TL19'!$C$238:$C$451,$C214,'TL19'!$J$238:$J$451),0)
),0)</f>
        <v>80</v>
      </c>
      <c r="R214" s="9">
        <f>IFERROR(
SUM(
SUMIF('TL01'!C:C,C214,'TL01'!J:J),
SUMIF('TL02'!C:C,C214,'TL02'!J:J),
SUMIF('TL03'!C:C,C214,'TL03'!J:J),
SUMIF('TL04'!C:C,C214,'TL04'!J:J),
SUMIF('TL05'!C:C,C214,'TL05'!J:J),
SUMIF('TL06'!C:C,C214,'TL06'!J:J),
SUMIF('TL07'!C:C,C214,'TL07'!J:J),
SUMIF('TL08'!C:C,C214,'TL08'!J:J),
SUMIF('TL09'!C:C,C214,'TL09'!J:J),
SUMIF('TL10'!C:C,C214,'TL10'!J:J),
SUMIF('TL11'!C:C,C214,'TL11'!J:J),
SUMIF('TL12'!C:C,C214,'TL12'!J:J),
SUMIF('TL13'!C:C,C214,'TL13'!J:J),
SUMIF('TL14'!C:C,C214,'TL14'!J:J),
SUMIF('TL15'!C:C,C214,'TL15'!J:J),
SUMIF('TL16'!C:C,C214,'TL16'!J:J),
SUMIF('TL17'!C:C,C214,'TL17'!J:J),
SUMIF('TL18'!C:C,C214,'TL18'!J:J),SUMIF('TL19'!C:C,C214,'TL19'!J:J))
,0)</f>
        <v>569.5</v>
      </c>
      <c r="S214" s="17">
        <f>IFERROR(__xludf.DUMMYFUNCTION("IFERROR(VLOOKUP(C214,
IMPORTRANGE(""1wULbzX32WdYsx-lj2U3uUNBBe2INVIRDtcK0d-Dvl90"",
""26-27!C:G""),
5,
FALSE),
"""")"),56.221650000000004)</f>
        <v>56.22165</v>
      </c>
      <c r="T214" s="9"/>
      <c r="U214" s="92">
        <f t="shared" si="2"/>
        <v>569.5</v>
      </c>
      <c r="V214" s="93">
        <f t="shared" si="3"/>
        <v>32018.22968</v>
      </c>
    </row>
    <row r="215" ht="15.75" hidden="1" customHeight="1">
      <c r="A215" s="94" t="s">
        <v>516</v>
      </c>
      <c r="B215" s="95" t="s">
        <v>2</v>
      </c>
      <c r="C215" s="96" t="s">
        <v>844</v>
      </c>
      <c r="D215" s="96" t="s">
        <v>804</v>
      </c>
      <c r="E215" s="96">
        <v>215.0</v>
      </c>
      <c r="F215" s="4" t="s">
        <v>343</v>
      </c>
      <c r="G215" s="90" t="str">
        <f t="shared" si="4"/>
        <v>📄 Ver bula</v>
      </c>
      <c r="H215" s="9">
        <f>IFERROR(__xludf.DUMMYFUNCTION("IFERROR(VLOOKUP(C215,
IMPORTRANGE(""1wULbzX32WdYsx-lj2U3uUNBBe2INVIRDtcK0d-Dvl90"",
""26-27!C:K""),
8,
FALSE),
"""")"),1.0)</f>
        <v>1</v>
      </c>
      <c r="I215" s="97" t="s">
        <v>344</v>
      </c>
      <c r="J215" s="9">
        <f>IFERROR(SUM(
IF('TL01'!$B$3=J$3,SUMIF('TL01'!$C$10:$C$224,$C215,'TL01'!$J$10:$J$224),0),
IF('TL01'!$B$229=J$3,SUMIF('TL01'!$C$238:$C$451,$C215,'TL01'!$J$238:$J$451),0),
IF('TL02'!$B$3=J$3,SUMIF('TL02'!$C$10:$C$224,$C215,'TL02'!$J$10:$J$224),0),
IF('TL02'!$B$229=J$3,SUMIF('TL02'!$C$238:$C$451,$C215,'TL02'!$J$238:$J$451),0),
IF('TL03'!$B$3=J$3,SUMIF('TL03'!$C$10:$C$224,$C215,'TL03'!$J$10:$J$224),0),
IF('TL03'!$B$229=J$3,SUMIF('TL03'!$C$238:$C$451,$C215,'TL03'!$J$238:$J$451),0),
IF('TL04'!$B$3=J$3,SUMIF('TL04'!$C$10:$C$224,$C215,'TL04'!$J$10:$J$224),0),
IF('TL04'!$B$229=J$3,SUMIF('TL04'!$C$238:$C$451,$C215,'TL04'!$J$238:$J$451),0),
IF('TL05'!$B$3=J$3,SUMIF('TL05'!$C$10:$C$224,$C215,'TL05'!$J$10:$J$224),0),
IF('TL05'!$B$229=J$3,SUMIF('TL05'!$C$238:$C$451,$C215,'TL05'!$J$238:$J$451),0),
IF('TL06'!$B$3=J$3,SUMIF('TL06'!$C$10:$C$224,$C215,'TL06'!$J$10:$J$224),0),
IF('TL06'!$B$229=J$3,SUMIF('TL06'!$C$238:$C$451,$C215,'TL06'!$J$238:$J$451),0),
IF('TL07'!$B$3=J$3,SUMIF('TL07'!$C$10:$C$224,$C215,'TL07'!$J$10:$J$224),0),
IF('TL07'!$B$229=J$3,SUMIF('TL07'!$C$238:$C$451,$C215,'TL07'!$J$238:$J$451),0),
IF('TL08'!$B$3=J$3,SUMIF('TL08'!$C$10:$C$224,$C215,'TL08'!$J$10:$J$224),0),
IF('TL08'!$B$229=J$3,SUMIF('TL08'!$C$238:$C$451,$C215,'TL08'!$J$238:$J$451),0),
IF('TL09'!$B$3=J$3,SUMIF('TL09'!$C$10:$C$224,$C215,'TL09'!$J$10:$J$224),0),
IF('TL09'!$B$229=J$3,SUMIF('TL09'!$C$238:$C$451,$C215,'TL09'!$J$238:$J$451),0),
IF('TL10'!$B$3=J$3,SUMIF('TL10'!$C$10:$C$224,$C215,'TL10'!$J$10:$J$224),0),
IF('TL10'!$B$229=J$3,SUMIF('TL10'!$C$238:$C$451,$C215,'TL10'!$J$238:$J$451),0),
IF('TL11'!$B$3=J$3,SUMIF('TL11'!$C$10:$C$224,$C215,'TL11'!$J$10:$J$224),0),
IF('TL11'!$B$229=J$3,SUMIF('TL11'!$C$238:$C$451,$C215,'TL11'!$J$238:$J$451),0),
IF('TL12'!$B$3=J$3,SUMIF('TL12'!$C$10:$C$224,$C215,'TL12'!$J$10:$J$224),0),
IF('TL12'!$B$229=J$3,SUMIF('TL12'!$C$238:$C$451,$C215,'TL12'!$J$238:$J$451),0),
IF('TL13'!$B$3=J$3,SUMIF('TL13'!$C$10:$C$224,$C215,'TL13'!$J$10:$J$224),0),
IF('TL13'!$B$229=J$3,SUMIF('TL13'!$C$238:$C$451,$C215,'TL13'!$J$238:$J$451),0),
IF('TL14'!$B$3=J$3,SUMIF('TL14'!$C$10:$C$224,$C215,'TL14'!$J$10:$J$224),0),
IF('TL14'!$B$229=J$3,SUMIF('TL14'!$C$238:$C$451,$C215,'TL14'!$J$238:$J$451),0),
IF('TL15'!$B$3=J$3,SUMIF('TL15'!$C$10:$C$224,$C215,'TL15'!$J$10:$J$224),0),
IF('TL15'!$B$229=J$3,SUMIF('TL15'!$C$238:$C$451,$C215,'TL15'!$J$238:$J$451),0),
IF('TL16'!$B$3=J$3,SUMIF('TL16'!$C$10:$C$224,$C215,'TL16'!$J$10:$J$224),0),
IF('TL16'!$B$229=J$3,SUMIF('TL16'!$C$238:$C$451,$C215,'TL16'!$J$238:$J$451),0),
IF('TL17'!$B$3=J$3,SUMIF('TL17'!$C$10:$C$224,$C215,'TL17'!$J$10:$J$224),0),
IF('TL17'!$B$229=J$3,SUMIF('TL17'!$C$238:$C$451,$C215,'TL17'!$J$238:$J$451),0),
IF('TL18'!$B$3=J$3,SUMIF('TL18'!$C$10:$C$224,$C215,'TL18'!$J$10:$J$224),0),
IF('TL18'!$B$229=J$3,SUMIF('TL18'!$C$238:$C$451,$C215,'TL18'!$J$238:$J$451),0),
IF('TL19'!$B$3=J$3,SUMIF('TL19'!$C$10:$C$224,$C215,'TL19'!$J$10:$J$224),0),
IF('TL19'!$B$229=J$3,SUMIF('TL19'!$C$238:$C$451,$C215,'TL19'!$J$238:$J$451),0)
),0)</f>
        <v>735</v>
      </c>
      <c r="K215" s="9">
        <f>IFERROR(SUM(
IF('TL01'!$B$3=K$3,SUMIF('TL01'!$C$10:$C$224,$C215,'TL01'!$J$10:$J$224),0),
IF('TL01'!$B$229=K$3,SUMIF('TL01'!$C$238:$C$451,$C215,'TL01'!$J$238:$J$451),0),
IF('TL02'!$B$3=K$3,SUMIF('TL02'!$C$10:$C$224,$C215,'TL02'!$J$10:$J$224),0),
IF('TL02'!$B$229=K$3,SUMIF('TL02'!$C$238:$C$451,$C215,'TL02'!$J$238:$J$451),0),
IF('TL03'!$B$3=K$3,SUMIF('TL03'!$C$10:$C$224,$C215,'TL03'!$J$10:$J$224),0),
IF('TL03'!$B$229=K$3,SUMIF('TL03'!$C$238:$C$451,$C215,'TL03'!$J$238:$J$451),0),
IF('TL04'!$B$3=K$3,SUMIF('TL04'!$C$10:$C$224,$C215,'TL04'!$J$10:$J$224),0),
IF('TL04'!$B$229=K$3,SUMIF('TL04'!$C$238:$C$451,$C215,'TL04'!$J$238:$J$451),0),
IF('TL05'!$B$3=K$3,SUMIF('TL05'!$C$10:$C$224,$C215,'TL05'!$J$10:$J$224),0),
IF('TL05'!$B$229=K$3,SUMIF('TL05'!$C$238:$C$451,$C215,'TL05'!$J$238:$J$451),0),
IF('TL06'!$B$3=K$3,SUMIF('TL06'!$C$10:$C$224,$C215,'TL06'!$J$10:$J$224),0),
IF('TL06'!$B$229=K$3,SUMIF('TL06'!$C$238:$C$451,$C215,'TL06'!$J$238:$J$451),0),
IF('TL07'!$B$3=K$3,SUMIF('TL07'!$C$10:$C$224,$C215,'TL07'!$J$10:$J$224),0),
IF('TL07'!$B$229=K$3,SUMIF('TL07'!$C$238:$C$451,$C215,'TL07'!$J$238:$J$451),0),
IF('TL08'!$B$3=K$3,SUMIF('TL08'!$C$10:$C$224,$C215,'TL08'!$J$10:$J$224),0),
IF('TL08'!$B$229=K$3,SUMIF('TL08'!$C$238:$C$451,$C215,'TL08'!$J$238:$J$451),0),
IF('TL09'!$B$3=K$3,SUMIF('TL09'!$C$10:$C$224,$C215,'TL09'!$J$10:$J$224),0),
IF('TL09'!$B$229=K$3,SUMIF('TL09'!$C$238:$C$451,$C215,'TL09'!$J$238:$J$451),0),
IF('TL10'!$B$3=K$3,SUMIF('TL10'!$C$10:$C$224,$C215,'TL10'!$J$10:$J$224),0),
IF('TL10'!$B$229=K$3,SUMIF('TL10'!$C$238:$C$451,$C215,'TL10'!$J$238:$J$451),0),
IF('TL11'!$B$3=K$3,SUMIF('TL11'!$C$10:$C$224,$C215,'TL11'!$J$10:$J$224),0),
IF('TL11'!$B$229=K$3,SUMIF('TL11'!$C$238:$C$451,$C215,'TL11'!$J$238:$J$451),0),
IF('TL12'!$B$3=K$3,SUMIF('TL12'!$C$10:$C$224,$C215,'TL12'!$J$10:$J$224),0),
IF('TL12'!$B$229=K$3,SUMIF('TL12'!$C$238:$C$451,$C215,'TL12'!$J$238:$J$451),0),
IF('TL13'!$B$3=K$3,SUMIF('TL13'!$C$10:$C$224,$C215,'TL13'!$J$10:$J$224),0),
IF('TL13'!$B$229=K$3,SUMIF('TL13'!$C$238:$C$451,$C215,'TL13'!$J$238:$J$451),0),
IF('TL14'!$B$3=K$3,SUMIF('TL14'!$C$10:$C$224,$C215,'TL14'!$J$10:$J$224),0),
IF('TL14'!$B$229=K$3,SUMIF('TL14'!$C$238:$C$451,$C215,'TL14'!$J$238:$J$451),0),
IF('TL15'!$B$3=K$3,SUMIF('TL15'!$C$10:$C$224,$C215,'TL15'!$J$10:$J$224),0),
IF('TL15'!$B$229=K$3,SUMIF('TL15'!$C$238:$C$451,$C215,'TL15'!$J$238:$J$451),0),
IF('TL16'!$B$3=K$3,SUMIF('TL16'!$C$10:$C$224,$C215,'TL16'!$J$10:$J$224),0),
IF('TL16'!$B$229=K$3,SUMIF('TL16'!$C$238:$C$451,$C215,'TL16'!$J$238:$J$451),0),
IF('TL17'!$B$3=K$3,SUMIF('TL17'!$C$10:$C$224,$C215,'TL17'!$J$10:$J$224),0),
IF('TL17'!$B$229=K$3,SUMIF('TL17'!$C$238:$C$451,$C215,'TL17'!$J$238:$J$451),0),
IF('TL18'!$B$3=K$3,SUMIF('TL18'!$C$10:$C$224,$C215,'TL18'!$J$10:$J$224),0),
IF('TL18'!$B$229=K$3,SUMIF('TL18'!$C$238:$C$451,$C215,'TL18'!$J$238:$J$451),0),
IF('TL19'!$B$3=K$3,SUMIF('TL19'!$C$10:$C$224,$C215,'TL19'!$J$10:$J$224),0),
IF('TL19'!$B$229=K$3,SUMIF('TL19'!$C$238:$C$451,$C215,'TL19'!$J$238:$J$451),0)
),0)</f>
        <v>0</v>
      </c>
      <c r="L215" s="9">
        <f>IFERROR(SUM(
IF('TL01'!$B$3=L$3,SUMIF('TL01'!$C$10:$C$224,$C215,'TL01'!$J$10:$J$224),0),
IF('TL01'!$B$229=L$3,SUMIF('TL01'!$C$238:$C$451,$C215,'TL01'!$J$238:$J$451),0),
IF('TL02'!$B$3=L$3,SUMIF('TL02'!$C$10:$C$224,$C215,'TL02'!$J$10:$J$224),0),
IF('TL02'!$B$229=L$3,SUMIF('TL02'!$C$238:$C$451,$C215,'TL02'!$J$238:$J$451),0),
IF('TL03'!$B$3=L$3,SUMIF('TL03'!$C$10:$C$224,$C215,'TL03'!$J$10:$J$224),0),
IF('TL03'!$B$229=L$3,SUMIF('TL03'!$C$238:$C$451,$C215,'TL03'!$J$238:$J$451),0),
IF('TL04'!$B$3=L$3,SUMIF('TL04'!$C$10:$C$224,$C215,'TL04'!$J$10:$J$224),0),
IF('TL04'!$B$229=L$3,SUMIF('TL04'!$C$238:$C$451,$C215,'TL04'!$J$238:$J$451),0),
IF('TL05'!$B$3=L$3,SUMIF('TL05'!$C$10:$C$224,$C215,'TL05'!$J$10:$J$224),0),
IF('TL05'!$B$229=L$3,SUMIF('TL05'!$C$238:$C$451,$C215,'TL05'!$J$238:$J$451),0),
IF('TL06'!$B$3=L$3,SUMIF('TL06'!$C$10:$C$224,$C215,'TL06'!$J$10:$J$224),0),
IF('TL06'!$B$229=L$3,SUMIF('TL06'!$C$238:$C$451,$C215,'TL06'!$J$238:$J$451),0),
IF('TL07'!$B$3=L$3,SUMIF('TL07'!$C$10:$C$224,$C215,'TL07'!$J$10:$J$224),0),
IF('TL07'!$B$229=L$3,SUMIF('TL07'!$C$238:$C$451,$C215,'TL07'!$J$238:$J$451),0),
IF('TL08'!$B$3=L$3,SUMIF('TL08'!$C$10:$C$224,$C215,'TL08'!$J$10:$J$224),0),
IF('TL08'!$B$229=L$3,SUMIF('TL08'!$C$238:$C$451,$C215,'TL08'!$J$238:$J$451),0),
IF('TL09'!$B$3=L$3,SUMIF('TL09'!$C$10:$C$224,$C215,'TL09'!$J$10:$J$224),0),
IF('TL09'!$B$229=L$3,SUMIF('TL09'!$C$238:$C$451,$C215,'TL09'!$J$238:$J$451),0),
IF('TL10'!$B$3=L$3,SUMIF('TL10'!$C$10:$C$224,$C215,'TL10'!$J$10:$J$224),0),
IF('TL10'!$B$229=L$3,SUMIF('TL10'!$C$238:$C$451,$C215,'TL10'!$J$238:$J$451),0),
IF('TL11'!$B$3=L$3,SUMIF('TL11'!$C$10:$C$224,$C215,'TL11'!$J$10:$J$224),0),
IF('TL11'!$B$229=L$3,SUMIF('TL11'!$C$238:$C$451,$C215,'TL11'!$J$238:$J$451),0),
IF('TL12'!$B$3=L$3,SUMIF('TL12'!$C$10:$C$224,$C215,'TL12'!$J$10:$J$224),0),
IF('TL12'!$B$229=L$3,SUMIF('TL12'!$C$238:$C$451,$C215,'TL12'!$J$238:$J$451),0),
IF('TL13'!$B$3=L$3,SUMIF('TL13'!$C$10:$C$224,$C215,'TL13'!$J$10:$J$224),0),
IF('TL13'!$B$229=L$3,SUMIF('TL13'!$C$238:$C$451,$C215,'TL13'!$J$238:$J$451),0),
IF('TL14'!$B$3=L$3,SUMIF('TL14'!$C$10:$C$224,$C215,'TL14'!$J$10:$J$224),0),
IF('TL14'!$B$229=L$3,SUMIF('TL14'!$C$238:$C$451,$C215,'TL14'!$J$238:$J$451),0),
IF('TL15'!$B$3=L$3,SUMIF('TL15'!$C$10:$C$224,$C215,'TL15'!$J$10:$J$224),0),
IF('TL15'!$B$229=L$3,SUMIF('TL15'!$C$238:$C$451,$C215,'TL15'!$J$238:$J$451),0),
IF('TL16'!$B$3=L$3,SUMIF('TL16'!$C$10:$C$224,$C215,'TL16'!$J$10:$J$224),0),
IF('TL16'!$B$229=L$3,SUMIF('TL16'!$C$238:$C$451,$C215,'TL16'!$J$238:$J$451),0),
IF('TL17'!$B$3=L$3,SUMIF('TL17'!$C$10:$C$224,$C215,'TL17'!$J$10:$J$224),0),
IF('TL17'!$B$229=L$3,SUMIF('TL17'!$C$238:$C$451,$C215,'TL17'!$J$238:$J$451),0),
IF('TL18'!$B$3=L$3,SUMIF('TL18'!$C$10:$C$224,$C215,'TL18'!$J$10:$J$224),0),
IF('TL18'!$B$229=L$3,SUMIF('TL18'!$C$238:$C$451,$C215,'TL18'!$J$238:$J$451),0),
IF('TL19'!$B$3=L$3,SUMIF('TL19'!$C$10:$C$224,$C215,'TL19'!$J$10:$J$224),0),
IF('TL19'!$B$229=L$3,SUMIF('TL19'!$C$238:$C$451,$C215,'TL19'!$J$238:$J$451),0)
),0)</f>
        <v>0</v>
      </c>
      <c r="M215" s="9">
        <f>IFERROR(SUM(
IF('TL01'!$B$3=M$3,SUMIF('TL01'!$C$10:$C$224,$C215,'TL01'!$J$10:$J$224),0),
IF('TL01'!$B$229=M$3,SUMIF('TL01'!$C$238:$C$451,$C215,'TL01'!$J$238:$J$451),0),
IF('TL02'!$B$3=M$3,SUMIF('TL02'!$C$10:$C$224,$C215,'TL02'!$J$10:$J$224),0),
IF('TL02'!$B$229=M$3,SUMIF('TL02'!$C$238:$C$451,$C215,'TL02'!$J$238:$J$451),0),
IF('TL03'!$B$3=M$3,SUMIF('TL03'!$C$10:$C$224,$C215,'TL03'!$J$10:$J$224),0),
IF('TL03'!$B$229=M$3,SUMIF('TL03'!$C$238:$C$451,$C215,'TL03'!$J$238:$J$451),0),
IF('TL04'!$B$3=M$3,SUMIF('TL04'!$C$10:$C$224,$C215,'TL04'!$J$10:$J$224),0),
IF('TL04'!$B$229=M$3,SUMIF('TL04'!$C$238:$C$451,$C215,'TL04'!$J$238:$J$451),0),
IF('TL05'!$B$3=M$3,SUMIF('TL05'!$C$10:$C$224,$C215,'TL05'!$J$10:$J$224),0),
IF('TL05'!$B$229=M$3,SUMIF('TL05'!$C$238:$C$451,$C215,'TL05'!$J$238:$J$451),0),
IF('TL06'!$B$3=M$3,SUMIF('TL06'!$C$10:$C$224,$C215,'TL06'!$J$10:$J$224),0),
IF('TL06'!$B$229=M$3,SUMIF('TL06'!$C$238:$C$451,$C215,'TL06'!$J$238:$J$451),0),
IF('TL07'!$B$3=M$3,SUMIF('TL07'!$C$10:$C$224,$C215,'TL07'!$J$10:$J$224),0),
IF('TL07'!$B$229=M$3,SUMIF('TL07'!$C$238:$C$451,$C215,'TL07'!$J$238:$J$451),0),
IF('TL08'!$B$3=M$3,SUMIF('TL08'!$C$10:$C$224,$C215,'TL08'!$J$10:$J$224),0),
IF('TL08'!$B$229=M$3,SUMIF('TL08'!$C$238:$C$451,$C215,'TL08'!$J$238:$J$451),0),
IF('TL09'!$B$3=M$3,SUMIF('TL09'!$C$10:$C$224,$C215,'TL09'!$J$10:$J$224),0),
IF('TL09'!$B$229=M$3,SUMIF('TL09'!$C$238:$C$451,$C215,'TL09'!$J$238:$J$451),0),
IF('TL10'!$B$3=M$3,SUMIF('TL10'!$C$10:$C$224,$C215,'TL10'!$J$10:$J$224),0),
IF('TL10'!$B$229=M$3,SUMIF('TL10'!$C$238:$C$451,$C215,'TL10'!$J$238:$J$451),0),
IF('TL11'!$B$3=M$3,SUMIF('TL11'!$C$10:$C$224,$C215,'TL11'!$J$10:$J$224),0),
IF('TL11'!$B$229=M$3,SUMIF('TL11'!$C$238:$C$451,$C215,'TL11'!$J$238:$J$451),0),
IF('TL12'!$B$3=M$3,SUMIF('TL12'!$C$10:$C$224,$C215,'TL12'!$J$10:$J$224),0),
IF('TL12'!$B$229=M$3,SUMIF('TL12'!$C$238:$C$451,$C215,'TL12'!$J$238:$J$451),0),
IF('TL13'!$B$3=M$3,SUMIF('TL13'!$C$10:$C$224,$C215,'TL13'!$J$10:$J$224),0),
IF('TL13'!$B$229=M$3,SUMIF('TL13'!$C$238:$C$451,$C215,'TL13'!$J$238:$J$451),0),
IF('TL14'!$B$3=M$3,SUMIF('TL14'!$C$10:$C$224,$C215,'TL14'!$J$10:$J$224),0),
IF('TL14'!$B$229=M$3,SUMIF('TL14'!$C$238:$C$451,$C215,'TL14'!$J$238:$J$451),0),
IF('TL15'!$B$3=M$3,SUMIF('TL15'!$C$10:$C$224,$C215,'TL15'!$J$10:$J$224),0),
IF('TL15'!$B$229=M$3,SUMIF('TL15'!$C$238:$C$451,$C215,'TL15'!$J$238:$J$451),0),
IF('TL16'!$B$3=M$3,SUMIF('TL16'!$C$10:$C$224,$C215,'TL16'!$J$10:$J$224),0),
IF('TL16'!$B$229=M$3,SUMIF('TL16'!$C$238:$C$451,$C215,'TL16'!$J$238:$J$451),0),
IF('TL17'!$B$3=M$3,SUMIF('TL17'!$C$10:$C$224,$C215,'TL17'!$J$10:$J$224),0),
IF('TL17'!$B$229=M$3,SUMIF('TL17'!$C$238:$C$451,$C215,'TL17'!$J$238:$J$451),0),
IF('TL18'!$B$3=M$3,SUMIF('TL18'!$C$10:$C$224,$C215,'TL18'!$J$10:$J$224),0),
IF('TL18'!$B$229=M$3,SUMIF('TL18'!$C$238:$C$451,$C215,'TL18'!$J$238:$J$451),0),
IF('TL19'!$B$3=M$3,SUMIF('TL19'!$C$10:$C$224,$C215,'TL19'!$J$10:$J$224),0),
IF('TL19'!$B$229=M$3,SUMIF('TL19'!$C$238:$C$451,$C215,'TL19'!$J$238:$J$451),0)
),0)</f>
        <v>0</v>
      </c>
      <c r="N215" s="9">
        <f>IFERROR(SUM(
IF('TL01'!$B$3=N$3,SUMIF('TL01'!$C$10:$C$224,$C215,'TL01'!$J$10:$J$224),0),
IF('TL01'!$B$229=N$3,SUMIF('TL01'!$C$238:$C$451,$C215,'TL01'!$J$238:$J$451),0),
IF('TL02'!$B$3=N$3,SUMIF('TL02'!$C$10:$C$224,$C215,'TL02'!$J$10:$J$224),0),
IF('TL02'!$B$229=N$3,SUMIF('TL02'!$C$238:$C$451,$C215,'TL02'!$J$238:$J$451),0),
IF('TL03'!$B$3=N$3,SUMIF('TL03'!$C$10:$C$224,$C215,'TL03'!$J$10:$J$224),0),
IF('TL03'!$B$229=N$3,SUMIF('TL03'!$C$238:$C$451,$C215,'TL03'!$J$238:$J$451),0),
IF('TL04'!$B$3=N$3,SUMIF('TL04'!$C$10:$C$224,$C215,'TL04'!$J$10:$J$224),0),
IF('TL04'!$B$229=N$3,SUMIF('TL04'!$C$238:$C$451,$C215,'TL04'!$J$238:$J$451),0),
IF('TL05'!$B$3=N$3,SUMIF('TL05'!$C$10:$C$224,$C215,'TL05'!$J$10:$J$224),0),
IF('TL05'!$B$229=N$3,SUMIF('TL05'!$C$238:$C$451,$C215,'TL05'!$J$238:$J$451),0),
IF('TL06'!$B$3=N$3,SUMIF('TL06'!$C$10:$C$224,$C215,'TL06'!$J$10:$J$224),0),
IF('TL06'!$B$229=N$3,SUMIF('TL06'!$C$238:$C$451,$C215,'TL06'!$J$238:$J$451),0),
IF('TL07'!$B$3=N$3,SUMIF('TL07'!$C$10:$C$224,$C215,'TL07'!$J$10:$J$224),0),
IF('TL07'!$B$229=N$3,SUMIF('TL07'!$C$238:$C$451,$C215,'TL07'!$J$238:$J$451),0),
IF('TL08'!$B$3=N$3,SUMIF('TL08'!$C$10:$C$224,$C215,'TL08'!$J$10:$J$224),0),
IF('TL08'!$B$229=N$3,SUMIF('TL08'!$C$238:$C$451,$C215,'TL08'!$J$238:$J$451),0),
IF('TL09'!$B$3=N$3,SUMIF('TL09'!$C$10:$C$224,$C215,'TL09'!$J$10:$J$224),0),
IF('TL09'!$B$229=N$3,SUMIF('TL09'!$C$238:$C$451,$C215,'TL09'!$J$238:$J$451),0),
IF('TL10'!$B$3=N$3,SUMIF('TL10'!$C$10:$C$224,$C215,'TL10'!$J$10:$J$224),0),
IF('TL10'!$B$229=N$3,SUMIF('TL10'!$C$238:$C$451,$C215,'TL10'!$J$238:$J$451),0),
IF('TL11'!$B$3=N$3,SUMIF('TL11'!$C$10:$C$224,$C215,'TL11'!$J$10:$J$224),0),
IF('TL11'!$B$229=N$3,SUMIF('TL11'!$C$238:$C$451,$C215,'TL11'!$J$238:$J$451),0),
IF('TL12'!$B$3=N$3,SUMIF('TL12'!$C$10:$C$224,$C215,'TL12'!$J$10:$J$224),0),
IF('TL12'!$B$229=N$3,SUMIF('TL12'!$C$238:$C$451,$C215,'TL12'!$J$238:$J$451),0),
IF('TL13'!$B$3=N$3,SUMIF('TL13'!$C$10:$C$224,$C215,'TL13'!$J$10:$J$224),0),
IF('TL13'!$B$229=N$3,SUMIF('TL13'!$C$238:$C$451,$C215,'TL13'!$J$238:$J$451),0),
IF('TL14'!$B$3=N$3,SUMIF('TL14'!$C$10:$C$224,$C215,'TL14'!$J$10:$J$224),0),
IF('TL14'!$B$229=N$3,SUMIF('TL14'!$C$238:$C$451,$C215,'TL14'!$J$238:$J$451),0),
IF('TL15'!$B$3=N$3,SUMIF('TL15'!$C$10:$C$224,$C215,'TL15'!$J$10:$J$224),0),
IF('TL15'!$B$229=N$3,SUMIF('TL15'!$C$238:$C$451,$C215,'TL15'!$J$238:$J$451),0),
IF('TL16'!$B$3=N$3,SUMIF('TL16'!$C$10:$C$224,$C215,'TL16'!$J$10:$J$224),0),
IF('TL16'!$B$229=N$3,SUMIF('TL16'!$C$238:$C$451,$C215,'TL16'!$J$238:$J$451),0),
IF('TL17'!$B$3=N$3,SUMIF('TL17'!$C$10:$C$224,$C215,'TL17'!$J$10:$J$224),0),
IF('TL17'!$B$229=N$3,SUMIF('TL17'!$C$238:$C$451,$C215,'TL17'!$J$238:$J$451),0),
IF('TL18'!$B$3=N$3,SUMIF('TL18'!$C$10:$C$224,$C215,'TL18'!$J$10:$J$224),0),
IF('TL18'!$B$229=N$3,SUMIF('TL18'!$C$238:$C$451,$C215,'TL18'!$J$238:$J$451),0),
IF('TL19'!$B$3=N$3,SUMIF('TL19'!$C$10:$C$224,$C215,'TL19'!$J$10:$J$224),0),
IF('TL19'!$B$229=N$3,SUMIF('TL19'!$C$238:$C$451,$C215,'TL19'!$J$238:$J$451),0)
),0)</f>
        <v>0</v>
      </c>
      <c r="O215" s="9">
        <f>IFERROR(SUM(
IF('TL01'!$B$3=O$3,SUMIF('TL01'!$C$10:$C$224,$C215,'TL01'!$J$10:$J$224),0),
IF('TL01'!$B$229=O$3,SUMIF('TL01'!$C$238:$C$451,$C215,'TL01'!$J$238:$J$451),0),
IF('TL02'!$B$3=O$3,SUMIF('TL02'!$C$10:$C$224,$C215,'TL02'!$J$10:$J$224),0),
IF('TL02'!$B$229=O$3,SUMIF('TL02'!$C$238:$C$451,$C215,'TL02'!$J$238:$J$451),0),
IF('TL03'!$B$3=O$3,SUMIF('TL03'!$C$10:$C$224,$C215,'TL03'!$J$10:$J$224),0),
IF('TL03'!$B$229=O$3,SUMIF('TL03'!$C$238:$C$451,$C215,'TL03'!$J$238:$J$451),0),
IF('TL04'!$B$3=O$3,SUMIF('TL04'!$C$10:$C$224,$C215,'TL04'!$J$10:$J$224),0),
IF('TL04'!$B$229=O$3,SUMIF('TL04'!$C$238:$C$451,$C215,'TL04'!$J$238:$J$451),0),
IF('TL05'!$B$3=O$3,SUMIF('TL05'!$C$10:$C$224,$C215,'TL05'!$J$10:$J$224),0),
IF('TL05'!$B$229=O$3,SUMIF('TL05'!$C$238:$C$451,$C215,'TL05'!$J$238:$J$451),0),
IF('TL06'!$B$3=O$3,SUMIF('TL06'!$C$10:$C$224,$C215,'TL06'!$J$10:$J$224),0),
IF('TL06'!$B$229=O$3,SUMIF('TL06'!$C$238:$C$451,$C215,'TL06'!$J$238:$J$451),0),
IF('TL07'!$B$3=O$3,SUMIF('TL07'!$C$10:$C$224,$C215,'TL07'!$J$10:$J$224),0),
IF('TL07'!$B$229=O$3,SUMIF('TL07'!$C$238:$C$451,$C215,'TL07'!$J$238:$J$451),0),
IF('TL08'!$B$3=O$3,SUMIF('TL08'!$C$10:$C$224,$C215,'TL08'!$J$10:$J$224),0),
IF('TL08'!$B$229=O$3,SUMIF('TL08'!$C$238:$C$451,$C215,'TL08'!$J$238:$J$451),0),
IF('TL09'!$B$3=O$3,SUMIF('TL09'!$C$10:$C$224,$C215,'TL09'!$J$10:$J$224),0),
IF('TL09'!$B$229=O$3,SUMIF('TL09'!$C$238:$C$451,$C215,'TL09'!$J$238:$J$451),0),
IF('TL10'!$B$3=O$3,SUMIF('TL10'!$C$10:$C$224,$C215,'TL10'!$J$10:$J$224),0),
IF('TL10'!$B$229=O$3,SUMIF('TL10'!$C$238:$C$451,$C215,'TL10'!$J$238:$J$451),0),
IF('TL11'!$B$3=O$3,SUMIF('TL11'!$C$10:$C$224,$C215,'TL11'!$J$10:$J$224),0),
IF('TL11'!$B$229=O$3,SUMIF('TL11'!$C$238:$C$451,$C215,'TL11'!$J$238:$J$451),0),
IF('TL12'!$B$3=O$3,SUMIF('TL12'!$C$10:$C$224,$C215,'TL12'!$J$10:$J$224),0),
IF('TL12'!$B$229=O$3,SUMIF('TL12'!$C$238:$C$451,$C215,'TL12'!$J$238:$J$451),0),
IF('TL13'!$B$3=O$3,SUMIF('TL13'!$C$10:$C$224,$C215,'TL13'!$J$10:$J$224),0),
IF('TL13'!$B$229=O$3,SUMIF('TL13'!$C$238:$C$451,$C215,'TL13'!$J$238:$J$451),0),
IF('TL14'!$B$3=O$3,SUMIF('TL14'!$C$10:$C$224,$C215,'TL14'!$J$10:$J$224),0),
IF('TL14'!$B$229=O$3,SUMIF('TL14'!$C$238:$C$451,$C215,'TL14'!$J$238:$J$451),0),
IF('TL15'!$B$3=O$3,SUMIF('TL15'!$C$10:$C$224,$C215,'TL15'!$J$10:$J$224),0),
IF('TL15'!$B$229=O$3,SUMIF('TL15'!$C$238:$C$451,$C215,'TL15'!$J$238:$J$451),0),
IF('TL16'!$B$3=O$3,SUMIF('TL16'!$C$10:$C$224,$C215,'TL16'!$J$10:$J$224),0),
IF('TL16'!$B$229=O$3,SUMIF('TL16'!$C$238:$C$451,$C215,'TL16'!$J$238:$J$451),0),
IF('TL17'!$B$3=O$3,SUMIF('TL17'!$C$10:$C$224,$C215,'TL17'!$J$10:$J$224),0),
IF('TL17'!$B$229=O$3,SUMIF('TL17'!$C$238:$C$451,$C215,'TL17'!$J$238:$J$451),0),
IF('TL18'!$B$3=O$3,SUMIF('TL18'!$C$10:$C$224,$C215,'TL18'!$J$10:$J$224),0),
IF('TL18'!$B$229=O$3,SUMIF('TL18'!$C$238:$C$451,$C215,'TL18'!$J$238:$J$451),0),
IF('TL19'!$B$3=O$3,SUMIF('TL19'!$C$10:$C$224,$C215,'TL19'!$J$10:$J$224),0),
IF('TL19'!$B$229=O$3,SUMIF('TL19'!$C$238:$C$451,$C215,'TL19'!$J$238:$J$451),0)
),0)</f>
        <v>0</v>
      </c>
      <c r="P215" s="9">
        <f>IFERROR(SUM(
IF('TL01'!$B$3=P$3,SUMIF('TL01'!$C$10:$C$224,$C215,'TL01'!$J$10:$J$224),0),
IF('TL01'!$B$229=P$3,SUMIF('TL01'!$C$238:$C$451,$C215,'TL01'!$J$238:$J$451),0),
IF('TL02'!$B$3=P$3,SUMIF('TL02'!$C$10:$C$224,$C215,'TL02'!$J$10:$J$224),0),
IF('TL02'!$B$229=P$3,SUMIF('TL02'!$C$238:$C$451,$C215,'TL02'!$J$238:$J$451),0),
IF('TL03'!$B$3=P$3,SUMIF('TL03'!$C$10:$C$224,$C215,'TL03'!$J$10:$J$224),0),
IF('TL03'!$B$229=P$3,SUMIF('TL03'!$C$238:$C$451,$C215,'TL03'!$J$238:$J$451),0),
IF('TL04'!$B$3=P$3,SUMIF('TL04'!$C$10:$C$224,$C215,'TL04'!$J$10:$J$224),0),
IF('TL04'!$B$229=P$3,SUMIF('TL04'!$C$238:$C$451,$C215,'TL04'!$J$238:$J$451),0),
IF('TL05'!$B$3=P$3,SUMIF('TL05'!$C$10:$C$224,$C215,'TL05'!$J$10:$J$224),0),
IF('TL05'!$B$229=P$3,SUMIF('TL05'!$C$238:$C$451,$C215,'TL05'!$J$238:$J$451),0),
IF('TL06'!$B$3=P$3,SUMIF('TL06'!$C$10:$C$224,$C215,'TL06'!$J$10:$J$224),0),
IF('TL06'!$B$229=P$3,SUMIF('TL06'!$C$238:$C$451,$C215,'TL06'!$J$238:$J$451),0),
IF('TL07'!$B$3=P$3,SUMIF('TL07'!$C$10:$C$224,$C215,'TL07'!$J$10:$J$224),0),
IF('TL07'!$B$229=P$3,SUMIF('TL07'!$C$238:$C$451,$C215,'TL07'!$J$238:$J$451),0),
IF('TL08'!$B$3=P$3,SUMIF('TL08'!$C$10:$C$224,$C215,'TL08'!$J$10:$J$224),0),
IF('TL08'!$B$229=P$3,SUMIF('TL08'!$C$238:$C$451,$C215,'TL08'!$J$238:$J$451),0),
IF('TL09'!$B$3=P$3,SUMIF('TL09'!$C$10:$C$224,$C215,'TL09'!$J$10:$J$224),0),
IF('TL09'!$B$229=P$3,SUMIF('TL09'!$C$238:$C$451,$C215,'TL09'!$J$238:$J$451),0),
IF('TL10'!$B$3=P$3,SUMIF('TL10'!$C$10:$C$224,$C215,'TL10'!$J$10:$J$224),0),
IF('TL10'!$B$229=P$3,SUMIF('TL10'!$C$238:$C$451,$C215,'TL10'!$J$238:$J$451),0),
IF('TL11'!$B$3=P$3,SUMIF('TL11'!$C$10:$C$224,$C215,'TL11'!$J$10:$J$224),0),
IF('TL11'!$B$229=P$3,SUMIF('TL11'!$C$238:$C$451,$C215,'TL11'!$J$238:$J$451),0),
IF('TL12'!$B$3=P$3,SUMIF('TL12'!$C$10:$C$224,$C215,'TL12'!$J$10:$J$224),0),
IF('TL12'!$B$229=P$3,SUMIF('TL12'!$C$238:$C$451,$C215,'TL12'!$J$238:$J$451),0),
IF('TL13'!$B$3=P$3,SUMIF('TL13'!$C$10:$C$224,$C215,'TL13'!$J$10:$J$224),0),
IF('TL13'!$B$229=P$3,SUMIF('TL13'!$C$238:$C$451,$C215,'TL13'!$J$238:$J$451),0),
IF('TL14'!$B$3=P$3,SUMIF('TL14'!$C$10:$C$224,$C215,'TL14'!$J$10:$J$224),0),
IF('TL14'!$B$229=P$3,SUMIF('TL14'!$C$238:$C$451,$C215,'TL14'!$J$238:$J$451),0),
IF('TL15'!$B$3=P$3,SUMIF('TL15'!$C$10:$C$224,$C215,'TL15'!$J$10:$J$224),0),
IF('TL15'!$B$229=P$3,SUMIF('TL15'!$C$238:$C$451,$C215,'TL15'!$J$238:$J$451),0),
IF('TL16'!$B$3=P$3,SUMIF('TL16'!$C$10:$C$224,$C215,'TL16'!$J$10:$J$224),0),
IF('TL16'!$B$229=P$3,SUMIF('TL16'!$C$238:$C$451,$C215,'TL16'!$J$238:$J$451),0),
IF('TL17'!$B$3=P$3,SUMIF('TL17'!$C$10:$C$224,$C215,'TL17'!$J$10:$J$224),0),
IF('TL17'!$B$229=P$3,SUMIF('TL17'!$C$238:$C$451,$C215,'TL17'!$J$238:$J$451),0),
IF('TL18'!$B$3=P$3,SUMIF('TL18'!$C$10:$C$224,$C215,'TL18'!$J$10:$J$224),0),
IF('TL18'!$B$229=P$3,SUMIF('TL18'!$C$238:$C$451,$C215,'TL18'!$J$238:$J$451),0),
IF('TL19'!$B$3=P$3,SUMIF('TL19'!$C$10:$C$224,$C215,'TL19'!$J$10:$J$224),0),
IF('TL19'!$B$229=P$3,SUMIF('TL19'!$C$238:$C$451,$C215,'TL19'!$J$238:$J$451),0)
),0)</f>
        <v>0</v>
      </c>
      <c r="Q215" s="9">
        <f>IFERROR(SUM(
IF('TL01'!$B$3=Q$3,SUMIF('TL01'!$C$10:$C$224,$C215,'TL01'!$J$10:$J$224),0),
IF('TL01'!$B$229=Q$3,SUMIF('TL01'!$C$238:$C$451,$C215,'TL01'!$J$238:$J$451),0),
IF('TL02'!$B$3=Q$3,SUMIF('TL02'!$C$10:$C$224,$C215,'TL02'!$J$10:$J$224),0),
IF('TL02'!$B$229=Q$3,SUMIF('TL02'!$C$238:$C$451,$C215,'TL02'!$J$238:$J$451),0),
IF('TL03'!$B$3=Q$3,SUMIF('TL03'!$C$10:$C$224,$C215,'TL03'!$J$10:$J$224),0),
IF('TL03'!$B$229=Q$3,SUMIF('TL03'!$C$238:$C$451,$C215,'TL03'!$J$238:$J$451),0),
IF('TL04'!$B$3=Q$3,SUMIF('TL04'!$C$10:$C$224,$C215,'TL04'!$J$10:$J$224),0),
IF('TL04'!$B$229=Q$3,SUMIF('TL04'!$C$238:$C$451,$C215,'TL04'!$J$238:$J$451),0),
IF('TL05'!$B$3=Q$3,SUMIF('TL05'!$C$10:$C$224,$C215,'TL05'!$J$10:$J$224),0),
IF('TL05'!$B$229=Q$3,SUMIF('TL05'!$C$238:$C$451,$C215,'TL05'!$J$238:$J$451),0),
IF('TL06'!$B$3=Q$3,SUMIF('TL06'!$C$10:$C$224,$C215,'TL06'!$J$10:$J$224),0),
IF('TL06'!$B$229=Q$3,SUMIF('TL06'!$C$238:$C$451,$C215,'TL06'!$J$238:$J$451),0),
IF('TL07'!$B$3=Q$3,SUMIF('TL07'!$C$10:$C$224,$C215,'TL07'!$J$10:$J$224),0),
IF('TL07'!$B$229=Q$3,SUMIF('TL07'!$C$238:$C$451,$C215,'TL07'!$J$238:$J$451),0),
IF('TL08'!$B$3=Q$3,SUMIF('TL08'!$C$10:$C$224,$C215,'TL08'!$J$10:$J$224),0),
IF('TL08'!$B$229=Q$3,SUMIF('TL08'!$C$238:$C$451,$C215,'TL08'!$J$238:$J$451),0),
IF('TL09'!$B$3=Q$3,SUMIF('TL09'!$C$10:$C$224,$C215,'TL09'!$J$10:$J$224),0),
IF('TL09'!$B$229=Q$3,SUMIF('TL09'!$C$238:$C$451,$C215,'TL09'!$J$238:$J$451),0),
IF('TL10'!$B$3=Q$3,SUMIF('TL10'!$C$10:$C$224,$C215,'TL10'!$J$10:$J$224),0),
IF('TL10'!$B$229=Q$3,SUMIF('TL10'!$C$238:$C$451,$C215,'TL10'!$J$238:$J$451),0),
IF('TL11'!$B$3=Q$3,SUMIF('TL11'!$C$10:$C$224,$C215,'TL11'!$J$10:$J$224),0),
IF('TL11'!$B$229=Q$3,SUMIF('TL11'!$C$238:$C$451,$C215,'TL11'!$J$238:$J$451),0),
IF('TL12'!$B$3=Q$3,SUMIF('TL12'!$C$10:$C$224,$C215,'TL12'!$J$10:$J$224),0),
IF('TL12'!$B$229=Q$3,SUMIF('TL12'!$C$238:$C$451,$C215,'TL12'!$J$238:$J$451),0),
IF('TL13'!$B$3=Q$3,SUMIF('TL13'!$C$10:$C$224,$C215,'TL13'!$J$10:$J$224),0),
IF('TL13'!$B$229=Q$3,SUMIF('TL13'!$C$238:$C$451,$C215,'TL13'!$J$238:$J$451),0),
IF('TL14'!$B$3=Q$3,SUMIF('TL14'!$C$10:$C$224,$C215,'TL14'!$J$10:$J$224),0),
IF('TL14'!$B$229=Q$3,SUMIF('TL14'!$C$238:$C$451,$C215,'TL14'!$J$238:$J$451),0),
IF('TL15'!$B$3=Q$3,SUMIF('TL15'!$C$10:$C$224,$C215,'TL15'!$J$10:$J$224),0),
IF('TL15'!$B$229=Q$3,SUMIF('TL15'!$C$238:$C$451,$C215,'TL15'!$J$238:$J$451),0),
IF('TL16'!$B$3=Q$3,SUMIF('TL16'!$C$10:$C$224,$C215,'TL16'!$J$10:$J$224),0),
IF('TL16'!$B$229=Q$3,SUMIF('TL16'!$C$238:$C$451,$C215,'TL16'!$J$238:$J$451),0),
IF('TL17'!$B$3=Q$3,SUMIF('TL17'!$C$10:$C$224,$C215,'TL17'!$J$10:$J$224),0),
IF('TL17'!$B$229=Q$3,SUMIF('TL17'!$C$238:$C$451,$C215,'TL17'!$J$238:$J$451),0),
IF('TL18'!$B$3=Q$3,SUMIF('TL18'!$C$10:$C$224,$C215,'TL18'!$J$10:$J$224),0),
IF('TL18'!$B$229=Q$3,SUMIF('TL18'!$C$238:$C$451,$C215,'TL18'!$J$238:$J$451),0),
IF('TL19'!$B$3=Q$3,SUMIF('TL19'!$C$10:$C$224,$C215,'TL19'!$J$10:$J$224),0),
IF('TL19'!$B$229=Q$3,SUMIF('TL19'!$C$238:$C$451,$C215,'TL19'!$J$238:$J$451),0)
),0)</f>
        <v>0</v>
      </c>
      <c r="R215" s="9">
        <f>IFERROR(
SUM(
SUMIF('TL01'!C:C,C215,'TL01'!J:J),
SUMIF('TL02'!C:C,C215,'TL02'!J:J),
SUMIF('TL03'!C:C,C215,'TL03'!J:J),
SUMIF('TL04'!C:C,C215,'TL04'!J:J),
SUMIF('TL05'!C:C,C215,'TL05'!J:J),
SUMIF('TL06'!C:C,C215,'TL06'!J:J),
SUMIF('TL07'!C:C,C215,'TL07'!J:J),
SUMIF('TL08'!C:C,C215,'TL08'!J:J),
SUMIF('TL09'!C:C,C215,'TL09'!J:J),
SUMIF('TL10'!C:C,C215,'TL10'!J:J),
SUMIF('TL11'!C:C,C215,'TL11'!J:J),
SUMIF('TL12'!C:C,C215,'TL12'!J:J),
SUMIF('TL13'!C:C,C215,'TL13'!J:J),
SUMIF('TL14'!C:C,C215,'TL14'!J:J),
SUMIF('TL15'!C:C,C215,'TL15'!J:J),
SUMIF('TL16'!C:C,C215,'TL16'!J:J),
SUMIF('TL17'!C:C,C215,'TL17'!J:J),
SUMIF('TL18'!C:C,C215,'TL18'!J:J),SUMIF('TL19'!C:C,C215,'TL19'!J:J))
,0)</f>
        <v>735</v>
      </c>
      <c r="S215" s="17">
        <f>IFERROR(__xludf.DUMMYFUNCTION("IFERROR(VLOOKUP(C215,
IMPORTRANGE(""1wULbzX32WdYsx-lj2U3uUNBBe2INVIRDtcK0d-Dvl90"",
""26-27!C:G""),
5,
FALSE),
"""")"),14.95533)</f>
        <v>14.95533</v>
      </c>
      <c r="T215" s="9"/>
      <c r="U215" s="92">
        <f t="shared" si="2"/>
        <v>735</v>
      </c>
      <c r="V215" s="93">
        <f t="shared" si="3"/>
        <v>10992.16755</v>
      </c>
    </row>
    <row r="216" ht="15.75" hidden="1" customHeight="1">
      <c r="A216" s="87" t="s">
        <v>516</v>
      </c>
      <c r="B216" s="88" t="s">
        <v>2</v>
      </c>
      <c r="C216" s="89" t="s">
        <v>845</v>
      </c>
      <c r="D216" s="89" t="s">
        <v>812</v>
      </c>
      <c r="E216" s="89">
        <v>200.0</v>
      </c>
      <c r="F216" s="4" t="s">
        <v>343</v>
      </c>
      <c r="G216" s="90" t="str">
        <f t="shared" si="4"/>
        <v>📄 Ver bula</v>
      </c>
      <c r="H216" s="9">
        <f>IFERROR(__xludf.DUMMYFUNCTION("IFERROR(VLOOKUP(C216,
IMPORTRANGE(""1wULbzX32WdYsx-lj2U3uUNBBe2INVIRDtcK0d-Dvl90"",
""26-27!C:K""),
8,
FALSE),
"""")"),0.125)</f>
        <v>0.125</v>
      </c>
      <c r="I216" s="91" t="s">
        <v>361</v>
      </c>
      <c r="J216" s="9">
        <f>IFERROR(SUM(
IF('TL01'!$B$3=J$3,SUMIF('TL01'!$C$10:$C$224,$C216,'TL01'!$J$10:$J$224),0),
IF('TL01'!$B$229=J$3,SUMIF('TL01'!$C$238:$C$451,$C216,'TL01'!$J$238:$J$451),0),
IF('TL02'!$B$3=J$3,SUMIF('TL02'!$C$10:$C$224,$C216,'TL02'!$J$10:$J$224),0),
IF('TL02'!$B$229=J$3,SUMIF('TL02'!$C$238:$C$451,$C216,'TL02'!$J$238:$J$451),0),
IF('TL03'!$B$3=J$3,SUMIF('TL03'!$C$10:$C$224,$C216,'TL03'!$J$10:$J$224),0),
IF('TL03'!$B$229=J$3,SUMIF('TL03'!$C$238:$C$451,$C216,'TL03'!$J$238:$J$451),0),
IF('TL04'!$B$3=J$3,SUMIF('TL04'!$C$10:$C$224,$C216,'TL04'!$J$10:$J$224),0),
IF('TL04'!$B$229=J$3,SUMIF('TL04'!$C$238:$C$451,$C216,'TL04'!$J$238:$J$451),0),
IF('TL05'!$B$3=J$3,SUMIF('TL05'!$C$10:$C$224,$C216,'TL05'!$J$10:$J$224),0),
IF('TL05'!$B$229=J$3,SUMIF('TL05'!$C$238:$C$451,$C216,'TL05'!$J$238:$J$451),0),
IF('TL06'!$B$3=J$3,SUMIF('TL06'!$C$10:$C$224,$C216,'TL06'!$J$10:$J$224),0),
IF('TL06'!$B$229=J$3,SUMIF('TL06'!$C$238:$C$451,$C216,'TL06'!$J$238:$J$451),0),
IF('TL07'!$B$3=J$3,SUMIF('TL07'!$C$10:$C$224,$C216,'TL07'!$J$10:$J$224),0),
IF('TL07'!$B$229=J$3,SUMIF('TL07'!$C$238:$C$451,$C216,'TL07'!$J$238:$J$451),0),
IF('TL08'!$B$3=J$3,SUMIF('TL08'!$C$10:$C$224,$C216,'TL08'!$J$10:$J$224),0),
IF('TL08'!$B$229=J$3,SUMIF('TL08'!$C$238:$C$451,$C216,'TL08'!$J$238:$J$451),0),
IF('TL09'!$B$3=J$3,SUMIF('TL09'!$C$10:$C$224,$C216,'TL09'!$J$10:$J$224),0),
IF('TL09'!$B$229=J$3,SUMIF('TL09'!$C$238:$C$451,$C216,'TL09'!$J$238:$J$451),0),
IF('TL10'!$B$3=J$3,SUMIF('TL10'!$C$10:$C$224,$C216,'TL10'!$J$10:$J$224),0),
IF('TL10'!$B$229=J$3,SUMIF('TL10'!$C$238:$C$451,$C216,'TL10'!$J$238:$J$451),0),
IF('TL11'!$B$3=J$3,SUMIF('TL11'!$C$10:$C$224,$C216,'TL11'!$J$10:$J$224),0),
IF('TL11'!$B$229=J$3,SUMIF('TL11'!$C$238:$C$451,$C216,'TL11'!$J$238:$J$451),0),
IF('TL12'!$B$3=J$3,SUMIF('TL12'!$C$10:$C$224,$C216,'TL12'!$J$10:$J$224),0),
IF('TL12'!$B$229=J$3,SUMIF('TL12'!$C$238:$C$451,$C216,'TL12'!$J$238:$J$451),0),
IF('TL13'!$B$3=J$3,SUMIF('TL13'!$C$10:$C$224,$C216,'TL13'!$J$10:$J$224),0),
IF('TL13'!$B$229=J$3,SUMIF('TL13'!$C$238:$C$451,$C216,'TL13'!$J$238:$J$451),0),
IF('TL14'!$B$3=J$3,SUMIF('TL14'!$C$10:$C$224,$C216,'TL14'!$J$10:$J$224),0),
IF('TL14'!$B$229=J$3,SUMIF('TL14'!$C$238:$C$451,$C216,'TL14'!$J$238:$J$451),0),
IF('TL15'!$B$3=J$3,SUMIF('TL15'!$C$10:$C$224,$C216,'TL15'!$J$10:$J$224),0),
IF('TL15'!$B$229=J$3,SUMIF('TL15'!$C$238:$C$451,$C216,'TL15'!$J$238:$J$451),0),
IF('TL16'!$B$3=J$3,SUMIF('TL16'!$C$10:$C$224,$C216,'TL16'!$J$10:$J$224),0),
IF('TL16'!$B$229=J$3,SUMIF('TL16'!$C$238:$C$451,$C216,'TL16'!$J$238:$J$451),0),
IF('TL17'!$B$3=J$3,SUMIF('TL17'!$C$10:$C$224,$C216,'TL17'!$J$10:$J$224),0),
IF('TL17'!$B$229=J$3,SUMIF('TL17'!$C$238:$C$451,$C216,'TL17'!$J$238:$J$451),0),
IF('TL18'!$B$3=J$3,SUMIF('TL18'!$C$10:$C$224,$C216,'TL18'!$J$10:$J$224),0),
IF('TL18'!$B$229=J$3,SUMIF('TL18'!$C$238:$C$451,$C216,'TL18'!$J$238:$J$451),0),
IF('TL19'!$B$3=J$3,SUMIF('TL19'!$C$10:$C$224,$C216,'TL19'!$J$10:$J$224),0),
IF('TL19'!$B$229=J$3,SUMIF('TL19'!$C$238:$C$451,$C216,'TL19'!$J$238:$J$451),0)
),0)</f>
        <v>0</v>
      </c>
      <c r="K216" s="9">
        <f>IFERROR(SUM(
IF('TL01'!$B$3=K$3,SUMIF('TL01'!$C$10:$C$224,$C216,'TL01'!$J$10:$J$224),0),
IF('TL01'!$B$229=K$3,SUMIF('TL01'!$C$238:$C$451,$C216,'TL01'!$J$238:$J$451),0),
IF('TL02'!$B$3=K$3,SUMIF('TL02'!$C$10:$C$224,$C216,'TL02'!$J$10:$J$224),0),
IF('TL02'!$B$229=K$3,SUMIF('TL02'!$C$238:$C$451,$C216,'TL02'!$J$238:$J$451),0),
IF('TL03'!$B$3=K$3,SUMIF('TL03'!$C$10:$C$224,$C216,'TL03'!$J$10:$J$224),0),
IF('TL03'!$B$229=K$3,SUMIF('TL03'!$C$238:$C$451,$C216,'TL03'!$J$238:$J$451),0),
IF('TL04'!$B$3=K$3,SUMIF('TL04'!$C$10:$C$224,$C216,'TL04'!$J$10:$J$224),0),
IF('TL04'!$B$229=K$3,SUMIF('TL04'!$C$238:$C$451,$C216,'TL04'!$J$238:$J$451),0),
IF('TL05'!$B$3=K$3,SUMIF('TL05'!$C$10:$C$224,$C216,'TL05'!$J$10:$J$224),0),
IF('TL05'!$B$229=K$3,SUMIF('TL05'!$C$238:$C$451,$C216,'TL05'!$J$238:$J$451),0),
IF('TL06'!$B$3=K$3,SUMIF('TL06'!$C$10:$C$224,$C216,'TL06'!$J$10:$J$224),0),
IF('TL06'!$B$229=K$3,SUMIF('TL06'!$C$238:$C$451,$C216,'TL06'!$J$238:$J$451),0),
IF('TL07'!$B$3=K$3,SUMIF('TL07'!$C$10:$C$224,$C216,'TL07'!$J$10:$J$224),0),
IF('TL07'!$B$229=K$3,SUMIF('TL07'!$C$238:$C$451,$C216,'TL07'!$J$238:$J$451),0),
IF('TL08'!$B$3=K$3,SUMIF('TL08'!$C$10:$C$224,$C216,'TL08'!$J$10:$J$224),0),
IF('TL08'!$B$229=K$3,SUMIF('TL08'!$C$238:$C$451,$C216,'TL08'!$J$238:$J$451),0),
IF('TL09'!$B$3=K$3,SUMIF('TL09'!$C$10:$C$224,$C216,'TL09'!$J$10:$J$224),0),
IF('TL09'!$B$229=K$3,SUMIF('TL09'!$C$238:$C$451,$C216,'TL09'!$J$238:$J$451),0),
IF('TL10'!$B$3=K$3,SUMIF('TL10'!$C$10:$C$224,$C216,'TL10'!$J$10:$J$224),0),
IF('TL10'!$B$229=K$3,SUMIF('TL10'!$C$238:$C$451,$C216,'TL10'!$J$238:$J$451),0),
IF('TL11'!$B$3=K$3,SUMIF('TL11'!$C$10:$C$224,$C216,'TL11'!$J$10:$J$224),0),
IF('TL11'!$B$229=K$3,SUMIF('TL11'!$C$238:$C$451,$C216,'TL11'!$J$238:$J$451),0),
IF('TL12'!$B$3=K$3,SUMIF('TL12'!$C$10:$C$224,$C216,'TL12'!$J$10:$J$224),0),
IF('TL12'!$B$229=K$3,SUMIF('TL12'!$C$238:$C$451,$C216,'TL12'!$J$238:$J$451),0),
IF('TL13'!$B$3=K$3,SUMIF('TL13'!$C$10:$C$224,$C216,'TL13'!$J$10:$J$224),0),
IF('TL13'!$B$229=K$3,SUMIF('TL13'!$C$238:$C$451,$C216,'TL13'!$J$238:$J$451),0),
IF('TL14'!$B$3=K$3,SUMIF('TL14'!$C$10:$C$224,$C216,'TL14'!$J$10:$J$224),0),
IF('TL14'!$B$229=K$3,SUMIF('TL14'!$C$238:$C$451,$C216,'TL14'!$J$238:$J$451),0),
IF('TL15'!$B$3=K$3,SUMIF('TL15'!$C$10:$C$224,$C216,'TL15'!$J$10:$J$224),0),
IF('TL15'!$B$229=K$3,SUMIF('TL15'!$C$238:$C$451,$C216,'TL15'!$J$238:$J$451),0),
IF('TL16'!$B$3=K$3,SUMIF('TL16'!$C$10:$C$224,$C216,'TL16'!$J$10:$J$224),0),
IF('TL16'!$B$229=K$3,SUMIF('TL16'!$C$238:$C$451,$C216,'TL16'!$J$238:$J$451),0),
IF('TL17'!$B$3=K$3,SUMIF('TL17'!$C$10:$C$224,$C216,'TL17'!$J$10:$J$224),0),
IF('TL17'!$B$229=K$3,SUMIF('TL17'!$C$238:$C$451,$C216,'TL17'!$J$238:$J$451),0),
IF('TL18'!$B$3=K$3,SUMIF('TL18'!$C$10:$C$224,$C216,'TL18'!$J$10:$J$224),0),
IF('TL18'!$B$229=K$3,SUMIF('TL18'!$C$238:$C$451,$C216,'TL18'!$J$238:$J$451),0),
IF('TL19'!$B$3=K$3,SUMIF('TL19'!$C$10:$C$224,$C216,'TL19'!$J$10:$J$224),0),
IF('TL19'!$B$229=K$3,SUMIF('TL19'!$C$238:$C$451,$C216,'TL19'!$J$238:$J$451),0)
),0)</f>
        <v>0</v>
      </c>
      <c r="L216" s="9">
        <f>IFERROR(SUM(
IF('TL01'!$B$3=L$3,SUMIF('TL01'!$C$10:$C$224,$C216,'TL01'!$J$10:$J$224),0),
IF('TL01'!$B$229=L$3,SUMIF('TL01'!$C$238:$C$451,$C216,'TL01'!$J$238:$J$451),0),
IF('TL02'!$B$3=L$3,SUMIF('TL02'!$C$10:$C$224,$C216,'TL02'!$J$10:$J$224),0),
IF('TL02'!$B$229=L$3,SUMIF('TL02'!$C$238:$C$451,$C216,'TL02'!$J$238:$J$451),0),
IF('TL03'!$B$3=L$3,SUMIF('TL03'!$C$10:$C$224,$C216,'TL03'!$J$10:$J$224),0),
IF('TL03'!$B$229=L$3,SUMIF('TL03'!$C$238:$C$451,$C216,'TL03'!$J$238:$J$451),0),
IF('TL04'!$B$3=L$3,SUMIF('TL04'!$C$10:$C$224,$C216,'TL04'!$J$10:$J$224),0),
IF('TL04'!$B$229=L$3,SUMIF('TL04'!$C$238:$C$451,$C216,'TL04'!$J$238:$J$451),0),
IF('TL05'!$B$3=L$3,SUMIF('TL05'!$C$10:$C$224,$C216,'TL05'!$J$10:$J$224),0),
IF('TL05'!$B$229=L$3,SUMIF('TL05'!$C$238:$C$451,$C216,'TL05'!$J$238:$J$451),0),
IF('TL06'!$B$3=L$3,SUMIF('TL06'!$C$10:$C$224,$C216,'TL06'!$J$10:$J$224),0),
IF('TL06'!$B$229=L$3,SUMIF('TL06'!$C$238:$C$451,$C216,'TL06'!$J$238:$J$451),0),
IF('TL07'!$B$3=L$3,SUMIF('TL07'!$C$10:$C$224,$C216,'TL07'!$J$10:$J$224),0),
IF('TL07'!$B$229=L$3,SUMIF('TL07'!$C$238:$C$451,$C216,'TL07'!$J$238:$J$451),0),
IF('TL08'!$B$3=L$3,SUMIF('TL08'!$C$10:$C$224,$C216,'TL08'!$J$10:$J$224),0),
IF('TL08'!$B$229=L$3,SUMIF('TL08'!$C$238:$C$451,$C216,'TL08'!$J$238:$J$451),0),
IF('TL09'!$B$3=L$3,SUMIF('TL09'!$C$10:$C$224,$C216,'TL09'!$J$10:$J$224),0),
IF('TL09'!$B$229=L$3,SUMIF('TL09'!$C$238:$C$451,$C216,'TL09'!$J$238:$J$451),0),
IF('TL10'!$B$3=L$3,SUMIF('TL10'!$C$10:$C$224,$C216,'TL10'!$J$10:$J$224),0),
IF('TL10'!$B$229=L$3,SUMIF('TL10'!$C$238:$C$451,$C216,'TL10'!$J$238:$J$451),0),
IF('TL11'!$B$3=L$3,SUMIF('TL11'!$C$10:$C$224,$C216,'TL11'!$J$10:$J$224),0),
IF('TL11'!$B$229=L$3,SUMIF('TL11'!$C$238:$C$451,$C216,'TL11'!$J$238:$J$451),0),
IF('TL12'!$B$3=L$3,SUMIF('TL12'!$C$10:$C$224,$C216,'TL12'!$J$10:$J$224),0),
IF('TL12'!$B$229=L$3,SUMIF('TL12'!$C$238:$C$451,$C216,'TL12'!$J$238:$J$451),0),
IF('TL13'!$B$3=L$3,SUMIF('TL13'!$C$10:$C$224,$C216,'TL13'!$J$10:$J$224),0),
IF('TL13'!$B$229=L$3,SUMIF('TL13'!$C$238:$C$451,$C216,'TL13'!$J$238:$J$451),0),
IF('TL14'!$B$3=L$3,SUMIF('TL14'!$C$10:$C$224,$C216,'TL14'!$J$10:$J$224),0),
IF('TL14'!$B$229=L$3,SUMIF('TL14'!$C$238:$C$451,$C216,'TL14'!$J$238:$J$451),0),
IF('TL15'!$B$3=L$3,SUMIF('TL15'!$C$10:$C$224,$C216,'TL15'!$J$10:$J$224),0),
IF('TL15'!$B$229=L$3,SUMIF('TL15'!$C$238:$C$451,$C216,'TL15'!$J$238:$J$451),0),
IF('TL16'!$B$3=L$3,SUMIF('TL16'!$C$10:$C$224,$C216,'TL16'!$J$10:$J$224),0),
IF('TL16'!$B$229=L$3,SUMIF('TL16'!$C$238:$C$451,$C216,'TL16'!$J$238:$J$451),0),
IF('TL17'!$B$3=L$3,SUMIF('TL17'!$C$10:$C$224,$C216,'TL17'!$J$10:$J$224),0),
IF('TL17'!$B$229=L$3,SUMIF('TL17'!$C$238:$C$451,$C216,'TL17'!$J$238:$J$451),0),
IF('TL18'!$B$3=L$3,SUMIF('TL18'!$C$10:$C$224,$C216,'TL18'!$J$10:$J$224),0),
IF('TL18'!$B$229=L$3,SUMIF('TL18'!$C$238:$C$451,$C216,'TL18'!$J$238:$J$451),0),
IF('TL19'!$B$3=L$3,SUMIF('TL19'!$C$10:$C$224,$C216,'TL19'!$J$10:$J$224),0),
IF('TL19'!$B$229=L$3,SUMIF('TL19'!$C$238:$C$451,$C216,'TL19'!$J$238:$J$451),0)
),0)</f>
        <v>0</v>
      </c>
      <c r="M216" s="9">
        <f>IFERROR(SUM(
IF('TL01'!$B$3=M$3,SUMIF('TL01'!$C$10:$C$224,$C216,'TL01'!$J$10:$J$224),0),
IF('TL01'!$B$229=M$3,SUMIF('TL01'!$C$238:$C$451,$C216,'TL01'!$J$238:$J$451),0),
IF('TL02'!$B$3=M$3,SUMIF('TL02'!$C$10:$C$224,$C216,'TL02'!$J$10:$J$224),0),
IF('TL02'!$B$229=M$3,SUMIF('TL02'!$C$238:$C$451,$C216,'TL02'!$J$238:$J$451),0),
IF('TL03'!$B$3=M$3,SUMIF('TL03'!$C$10:$C$224,$C216,'TL03'!$J$10:$J$224),0),
IF('TL03'!$B$229=M$3,SUMIF('TL03'!$C$238:$C$451,$C216,'TL03'!$J$238:$J$451),0),
IF('TL04'!$B$3=M$3,SUMIF('TL04'!$C$10:$C$224,$C216,'TL04'!$J$10:$J$224),0),
IF('TL04'!$B$229=M$3,SUMIF('TL04'!$C$238:$C$451,$C216,'TL04'!$J$238:$J$451),0),
IF('TL05'!$B$3=M$3,SUMIF('TL05'!$C$10:$C$224,$C216,'TL05'!$J$10:$J$224),0),
IF('TL05'!$B$229=M$3,SUMIF('TL05'!$C$238:$C$451,$C216,'TL05'!$J$238:$J$451),0),
IF('TL06'!$B$3=M$3,SUMIF('TL06'!$C$10:$C$224,$C216,'TL06'!$J$10:$J$224),0),
IF('TL06'!$B$229=M$3,SUMIF('TL06'!$C$238:$C$451,$C216,'TL06'!$J$238:$J$451),0),
IF('TL07'!$B$3=M$3,SUMIF('TL07'!$C$10:$C$224,$C216,'TL07'!$J$10:$J$224),0),
IF('TL07'!$B$229=M$3,SUMIF('TL07'!$C$238:$C$451,$C216,'TL07'!$J$238:$J$451),0),
IF('TL08'!$B$3=M$3,SUMIF('TL08'!$C$10:$C$224,$C216,'TL08'!$J$10:$J$224),0),
IF('TL08'!$B$229=M$3,SUMIF('TL08'!$C$238:$C$451,$C216,'TL08'!$J$238:$J$451),0),
IF('TL09'!$B$3=M$3,SUMIF('TL09'!$C$10:$C$224,$C216,'TL09'!$J$10:$J$224),0),
IF('TL09'!$B$229=M$3,SUMIF('TL09'!$C$238:$C$451,$C216,'TL09'!$J$238:$J$451),0),
IF('TL10'!$B$3=M$3,SUMIF('TL10'!$C$10:$C$224,$C216,'TL10'!$J$10:$J$224),0),
IF('TL10'!$B$229=M$3,SUMIF('TL10'!$C$238:$C$451,$C216,'TL10'!$J$238:$J$451),0),
IF('TL11'!$B$3=M$3,SUMIF('TL11'!$C$10:$C$224,$C216,'TL11'!$J$10:$J$224),0),
IF('TL11'!$B$229=M$3,SUMIF('TL11'!$C$238:$C$451,$C216,'TL11'!$J$238:$J$451),0),
IF('TL12'!$B$3=M$3,SUMIF('TL12'!$C$10:$C$224,$C216,'TL12'!$J$10:$J$224),0),
IF('TL12'!$B$229=M$3,SUMIF('TL12'!$C$238:$C$451,$C216,'TL12'!$J$238:$J$451),0),
IF('TL13'!$B$3=M$3,SUMIF('TL13'!$C$10:$C$224,$C216,'TL13'!$J$10:$J$224),0),
IF('TL13'!$B$229=M$3,SUMIF('TL13'!$C$238:$C$451,$C216,'TL13'!$J$238:$J$451),0),
IF('TL14'!$B$3=M$3,SUMIF('TL14'!$C$10:$C$224,$C216,'TL14'!$J$10:$J$224),0),
IF('TL14'!$B$229=M$3,SUMIF('TL14'!$C$238:$C$451,$C216,'TL14'!$J$238:$J$451),0),
IF('TL15'!$B$3=M$3,SUMIF('TL15'!$C$10:$C$224,$C216,'TL15'!$J$10:$J$224),0),
IF('TL15'!$B$229=M$3,SUMIF('TL15'!$C$238:$C$451,$C216,'TL15'!$J$238:$J$451),0),
IF('TL16'!$B$3=M$3,SUMIF('TL16'!$C$10:$C$224,$C216,'TL16'!$J$10:$J$224),0),
IF('TL16'!$B$229=M$3,SUMIF('TL16'!$C$238:$C$451,$C216,'TL16'!$J$238:$J$451),0),
IF('TL17'!$B$3=M$3,SUMIF('TL17'!$C$10:$C$224,$C216,'TL17'!$J$10:$J$224),0),
IF('TL17'!$B$229=M$3,SUMIF('TL17'!$C$238:$C$451,$C216,'TL17'!$J$238:$J$451),0),
IF('TL18'!$B$3=M$3,SUMIF('TL18'!$C$10:$C$224,$C216,'TL18'!$J$10:$J$224),0),
IF('TL18'!$B$229=M$3,SUMIF('TL18'!$C$238:$C$451,$C216,'TL18'!$J$238:$J$451),0),
IF('TL19'!$B$3=M$3,SUMIF('TL19'!$C$10:$C$224,$C216,'TL19'!$J$10:$J$224),0),
IF('TL19'!$B$229=M$3,SUMIF('TL19'!$C$238:$C$451,$C216,'TL19'!$J$238:$J$451),0)
),0)</f>
        <v>0</v>
      </c>
      <c r="N216" s="9">
        <f>IFERROR(SUM(
IF('TL01'!$B$3=N$3,SUMIF('TL01'!$C$10:$C$224,$C216,'TL01'!$J$10:$J$224),0),
IF('TL01'!$B$229=N$3,SUMIF('TL01'!$C$238:$C$451,$C216,'TL01'!$J$238:$J$451),0),
IF('TL02'!$B$3=N$3,SUMIF('TL02'!$C$10:$C$224,$C216,'TL02'!$J$10:$J$224),0),
IF('TL02'!$B$229=N$3,SUMIF('TL02'!$C$238:$C$451,$C216,'TL02'!$J$238:$J$451),0),
IF('TL03'!$B$3=N$3,SUMIF('TL03'!$C$10:$C$224,$C216,'TL03'!$J$10:$J$224),0),
IF('TL03'!$B$229=N$3,SUMIF('TL03'!$C$238:$C$451,$C216,'TL03'!$J$238:$J$451),0),
IF('TL04'!$B$3=N$3,SUMIF('TL04'!$C$10:$C$224,$C216,'TL04'!$J$10:$J$224),0),
IF('TL04'!$B$229=N$3,SUMIF('TL04'!$C$238:$C$451,$C216,'TL04'!$J$238:$J$451),0),
IF('TL05'!$B$3=N$3,SUMIF('TL05'!$C$10:$C$224,$C216,'TL05'!$J$10:$J$224),0),
IF('TL05'!$B$229=N$3,SUMIF('TL05'!$C$238:$C$451,$C216,'TL05'!$J$238:$J$451),0),
IF('TL06'!$B$3=N$3,SUMIF('TL06'!$C$10:$C$224,$C216,'TL06'!$J$10:$J$224),0),
IF('TL06'!$B$229=N$3,SUMIF('TL06'!$C$238:$C$451,$C216,'TL06'!$J$238:$J$451),0),
IF('TL07'!$B$3=N$3,SUMIF('TL07'!$C$10:$C$224,$C216,'TL07'!$J$10:$J$224),0),
IF('TL07'!$B$229=N$3,SUMIF('TL07'!$C$238:$C$451,$C216,'TL07'!$J$238:$J$451),0),
IF('TL08'!$B$3=N$3,SUMIF('TL08'!$C$10:$C$224,$C216,'TL08'!$J$10:$J$224),0),
IF('TL08'!$B$229=N$3,SUMIF('TL08'!$C$238:$C$451,$C216,'TL08'!$J$238:$J$451),0),
IF('TL09'!$B$3=N$3,SUMIF('TL09'!$C$10:$C$224,$C216,'TL09'!$J$10:$J$224),0),
IF('TL09'!$B$229=N$3,SUMIF('TL09'!$C$238:$C$451,$C216,'TL09'!$J$238:$J$451),0),
IF('TL10'!$B$3=N$3,SUMIF('TL10'!$C$10:$C$224,$C216,'TL10'!$J$10:$J$224),0),
IF('TL10'!$B$229=N$3,SUMIF('TL10'!$C$238:$C$451,$C216,'TL10'!$J$238:$J$451),0),
IF('TL11'!$B$3=N$3,SUMIF('TL11'!$C$10:$C$224,$C216,'TL11'!$J$10:$J$224),0),
IF('TL11'!$B$229=N$3,SUMIF('TL11'!$C$238:$C$451,$C216,'TL11'!$J$238:$J$451),0),
IF('TL12'!$B$3=N$3,SUMIF('TL12'!$C$10:$C$224,$C216,'TL12'!$J$10:$J$224),0),
IF('TL12'!$B$229=N$3,SUMIF('TL12'!$C$238:$C$451,$C216,'TL12'!$J$238:$J$451),0),
IF('TL13'!$B$3=N$3,SUMIF('TL13'!$C$10:$C$224,$C216,'TL13'!$J$10:$J$224),0),
IF('TL13'!$B$229=N$3,SUMIF('TL13'!$C$238:$C$451,$C216,'TL13'!$J$238:$J$451),0),
IF('TL14'!$B$3=N$3,SUMIF('TL14'!$C$10:$C$224,$C216,'TL14'!$J$10:$J$224),0),
IF('TL14'!$B$229=N$3,SUMIF('TL14'!$C$238:$C$451,$C216,'TL14'!$J$238:$J$451),0),
IF('TL15'!$B$3=N$3,SUMIF('TL15'!$C$10:$C$224,$C216,'TL15'!$J$10:$J$224),0),
IF('TL15'!$B$229=N$3,SUMIF('TL15'!$C$238:$C$451,$C216,'TL15'!$J$238:$J$451),0),
IF('TL16'!$B$3=N$3,SUMIF('TL16'!$C$10:$C$224,$C216,'TL16'!$J$10:$J$224),0),
IF('TL16'!$B$229=N$3,SUMIF('TL16'!$C$238:$C$451,$C216,'TL16'!$J$238:$J$451),0),
IF('TL17'!$B$3=N$3,SUMIF('TL17'!$C$10:$C$224,$C216,'TL17'!$J$10:$J$224),0),
IF('TL17'!$B$229=N$3,SUMIF('TL17'!$C$238:$C$451,$C216,'TL17'!$J$238:$J$451),0),
IF('TL18'!$B$3=N$3,SUMIF('TL18'!$C$10:$C$224,$C216,'TL18'!$J$10:$J$224),0),
IF('TL18'!$B$229=N$3,SUMIF('TL18'!$C$238:$C$451,$C216,'TL18'!$J$238:$J$451),0),
IF('TL19'!$B$3=N$3,SUMIF('TL19'!$C$10:$C$224,$C216,'TL19'!$J$10:$J$224),0),
IF('TL19'!$B$229=N$3,SUMIF('TL19'!$C$238:$C$451,$C216,'TL19'!$J$238:$J$451),0)
),0)</f>
        <v>0</v>
      </c>
      <c r="O216" s="9">
        <f>IFERROR(SUM(
IF('TL01'!$B$3=O$3,SUMIF('TL01'!$C$10:$C$224,$C216,'TL01'!$J$10:$J$224),0),
IF('TL01'!$B$229=O$3,SUMIF('TL01'!$C$238:$C$451,$C216,'TL01'!$J$238:$J$451),0),
IF('TL02'!$B$3=O$3,SUMIF('TL02'!$C$10:$C$224,$C216,'TL02'!$J$10:$J$224),0),
IF('TL02'!$B$229=O$3,SUMIF('TL02'!$C$238:$C$451,$C216,'TL02'!$J$238:$J$451),0),
IF('TL03'!$B$3=O$3,SUMIF('TL03'!$C$10:$C$224,$C216,'TL03'!$J$10:$J$224),0),
IF('TL03'!$B$229=O$3,SUMIF('TL03'!$C$238:$C$451,$C216,'TL03'!$J$238:$J$451),0),
IF('TL04'!$B$3=O$3,SUMIF('TL04'!$C$10:$C$224,$C216,'TL04'!$J$10:$J$224),0),
IF('TL04'!$B$229=O$3,SUMIF('TL04'!$C$238:$C$451,$C216,'TL04'!$J$238:$J$451),0),
IF('TL05'!$B$3=O$3,SUMIF('TL05'!$C$10:$C$224,$C216,'TL05'!$J$10:$J$224),0),
IF('TL05'!$B$229=O$3,SUMIF('TL05'!$C$238:$C$451,$C216,'TL05'!$J$238:$J$451),0),
IF('TL06'!$B$3=O$3,SUMIF('TL06'!$C$10:$C$224,$C216,'TL06'!$J$10:$J$224),0),
IF('TL06'!$B$229=O$3,SUMIF('TL06'!$C$238:$C$451,$C216,'TL06'!$J$238:$J$451),0),
IF('TL07'!$B$3=O$3,SUMIF('TL07'!$C$10:$C$224,$C216,'TL07'!$J$10:$J$224),0),
IF('TL07'!$B$229=O$3,SUMIF('TL07'!$C$238:$C$451,$C216,'TL07'!$J$238:$J$451),0),
IF('TL08'!$B$3=O$3,SUMIF('TL08'!$C$10:$C$224,$C216,'TL08'!$J$10:$J$224),0),
IF('TL08'!$B$229=O$3,SUMIF('TL08'!$C$238:$C$451,$C216,'TL08'!$J$238:$J$451),0),
IF('TL09'!$B$3=O$3,SUMIF('TL09'!$C$10:$C$224,$C216,'TL09'!$J$10:$J$224),0),
IF('TL09'!$B$229=O$3,SUMIF('TL09'!$C$238:$C$451,$C216,'TL09'!$J$238:$J$451),0),
IF('TL10'!$B$3=O$3,SUMIF('TL10'!$C$10:$C$224,$C216,'TL10'!$J$10:$J$224),0),
IF('TL10'!$B$229=O$3,SUMIF('TL10'!$C$238:$C$451,$C216,'TL10'!$J$238:$J$451),0),
IF('TL11'!$B$3=O$3,SUMIF('TL11'!$C$10:$C$224,$C216,'TL11'!$J$10:$J$224),0),
IF('TL11'!$B$229=O$3,SUMIF('TL11'!$C$238:$C$451,$C216,'TL11'!$J$238:$J$451),0),
IF('TL12'!$B$3=O$3,SUMIF('TL12'!$C$10:$C$224,$C216,'TL12'!$J$10:$J$224),0),
IF('TL12'!$B$229=O$3,SUMIF('TL12'!$C$238:$C$451,$C216,'TL12'!$J$238:$J$451),0),
IF('TL13'!$B$3=O$3,SUMIF('TL13'!$C$10:$C$224,$C216,'TL13'!$J$10:$J$224),0),
IF('TL13'!$B$229=O$3,SUMIF('TL13'!$C$238:$C$451,$C216,'TL13'!$J$238:$J$451),0),
IF('TL14'!$B$3=O$3,SUMIF('TL14'!$C$10:$C$224,$C216,'TL14'!$J$10:$J$224),0),
IF('TL14'!$B$229=O$3,SUMIF('TL14'!$C$238:$C$451,$C216,'TL14'!$J$238:$J$451),0),
IF('TL15'!$B$3=O$3,SUMIF('TL15'!$C$10:$C$224,$C216,'TL15'!$J$10:$J$224),0),
IF('TL15'!$B$229=O$3,SUMIF('TL15'!$C$238:$C$451,$C216,'TL15'!$J$238:$J$451),0),
IF('TL16'!$B$3=O$3,SUMIF('TL16'!$C$10:$C$224,$C216,'TL16'!$J$10:$J$224),0),
IF('TL16'!$B$229=O$3,SUMIF('TL16'!$C$238:$C$451,$C216,'TL16'!$J$238:$J$451),0),
IF('TL17'!$B$3=O$3,SUMIF('TL17'!$C$10:$C$224,$C216,'TL17'!$J$10:$J$224),0),
IF('TL17'!$B$229=O$3,SUMIF('TL17'!$C$238:$C$451,$C216,'TL17'!$J$238:$J$451),0),
IF('TL18'!$B$3=O$3,SUMIF('TL18'!$C$10:$C$224,$C216,'TL18'!$J$10:$J$224),0),
IF('TL18'!$B$229=O$3,SUMIF('TL18'!$C$238:$C$451,$C216,'TL18'!$J$238:$J$451),0),
IF('TL19'!$B$3=O$3,SUMIF('TL19'!$C$10:$C$224,$C216,'TL19'!$J$10:$J$224),0),
IF('TL19'!$B$229=O$3,SUMIF('TL19'!$C$238:$C$451,$C216,'TL19'!$J$238:$J$451),0)
),0)</f>
        <v>0</v>
      </c>
      <c r="P216" s="9">
        <f>IFERROR(SUM(
IF('TL01'!$B$3=P$3,SUMIF('TL01'!$C$10:$C$224,$C216,'TL01'!$J$10:$J$224),0),
IF('TL01'!$B$229=P$3,SUMIF('TL01'!$C$238:$C$451,$C216,'TL01'!$J$238:$J$451),0),
IF('TL02'!$B$3=P$3,SUMIF('TL02'!$C$10:$C$224,$C216,'TL02'!$J$10:$J$224),0),
IF('TL02'!$B$229=P$3,SUMIF('TL02'!$C$238:$C$451,$C216,'TL02'!$J$238:$J$451),0),
IF('TL03'!$B$3=P$3,SUMIF('TL03'!$C$10:$C$224,$C216,'TL03'!$J$10:$J$224),0),
IF('TL03'!$B$229=P$3,SUMIF('TL03'!$C$238:$C$451,$C216,'TL03'!$J$238:$J$451),0),
IF('TL04'!$B$3=P$3,SUMIF('TL04'!$C$10:$C$224,$C216,'TL04'!$J$10:$J$224),0),
IF('TL04'!$B$229=P$3,SUMIF('TL04'!$C$238:$C$451,$C216,'TL04'!$J$238:$J$451),0),
IF('TL05'!$B$3=P$3,SUMIF('TL05'!$C$10:$C$224,$C216,'TL05'!$J$10:$J$224),0),
IF('TL05'!$B$229=P$3,SUMIF('TL05'!$C$238:$C$451,$C216,'TL05'!$J$238:$J$451),0),
IF('TL06'!$B$3=P$3,SUMIF('TL06'!$C$10:$C$224,$C216,'TL06'!$J$10:$J$224),0),
IF('TL06'!$B$229=P$3,SUMIF('TL06'!$C$238:$C$451,$C216,'TL06'!$J$238:$J$451),0),
IF('TL07'!$B$3=P$3,SUMIF('TL07'!$C$10:$C$224,$C216,'TL07'!$J$10:$J$224),0),
IF('TL07'!$B$229=P$3,SUMIF('TL07'!$C$238:$C$451,$C216,'TL07'!$J$238:$J$451),0),
IF('TL08'!$B$3=P$3,SUMIF('TL08'!$C$10:$C$224,$C216,'TL08'!$J$10:$J$224),0),
IF('TL08'!$B$229=P$3,SUMIF('TL08'!$C$238:$C$451,$C216,'TL08'!$J$238:$J$451),0),
IF('TL09'!$B$3=P$3,SUMIF('TL09'!$C$10:$C$224,$C216,'TL09'!$J$10:$J$224),0),
IF('TL09'!$B$229=P$3,SUMIF('TL09'!$C$238:$C$451,$C216,'TL09'!$J$238:$J$451),0),
IF('TL10'!$B$3=P$3,SUMIF('TL10'!$C$10:$C$224,$C216,'TL10'!$J$10:$J$224),0),
IF('TL10'!$B$229=P$3,SUMIF('TL10'!$C$238:$C$451,$C216,'TL10'!$J$238:$J$451),0),
IF('TL11'!$B$3=P$3,SUMIF('TL11'!$C$10:$C$224,$C216,'TL11'!$J$10:$J$224),0),
IF('TL11'!$B$229=P$3,SUMIF('TL11'!$C$238:$C$451,$C216,'TL11'!$J$238:$J$451),0),
IF('TL12'!$B$3=P$3,SUMIF('TL12'!$C$10:$C$224,$C216,'TL12'!$J$10:$J$224),0),
IF('TL12'!$B$229=P$3,SUMIF('TL12'!$C$238:$C$451,$C216,'TL12'!$J$238:$J$451),0),
IF('TL13'!$B$3=P$3,SUMIF('TL13'!$C$10:$C$224,$C216,'TL13'!$J$10:$J$224),0),
IF('TL13'!$B$229=P$3,SUMIF('TL13'!$C$238:$C$451,$C216,'TL13'!$J$238:$J$451),0),
IF('TL14'!$B$3=P$3,SUMIF('TL14'!$C$10:$C$224,$C216,'TL14'!$J$10:$J$224),0),
IF('TL14'!$B$229=P$3,SUMIF('TL14'!$C$238:$C$451,$C216,'TL14'!$J$238:$J$451),0),
IF('TL15'!$B$3=P$3,SUMIF('TL15'!$C$10:$C$224,$C216,'TL15'!$J$10:$J$224),0),
IF('TL15'!$B$229=P$3,SUMIF('TL15'!$C$238:$C$451,$C216,'TL15'!$J$238:$J$451),0),
IF('TL16'!$B$3=P$3,SUMIF('TL16'!$C$10:$C$224,$C216,'TL16'!$J$10:$J$224),0),
IF('TL16'!$B$229=P$3,SUMIF('TL16'!$C$238:$C$451,$C216,'TL16'!$J$238:$J$451),0),
IF('TL17'!$B$3=P$3,SUMIF('TL17'!$C$10:$C$224,$C216,'TL17'!$J$10:$J$224),0),
IF('TL17'!$B$229=P$3,SUMIF('TL17'!$C$238:$C$451,$C216,'TL17'!$J$238:$J$451),0),
IF('TL18'!$B$3=P$3,SUMIF('TL18'!$C$10:$C$224,$C216,'TL18'!$J$10:$J$224),0),
IF('TL18'!$B$229=P$3,SUMIF('TL18'!$C$238:$C$451,$C216,'TL18'!$J$238:$J$451),0),
IF('TL19'!$B$3=P$3,SUMIF('TL19'!$C$10:$C$224,$C216,'TL19'!$J$10:$J$224),0),
IF('TL19'!$B$229=P$3,SUMIF('TL19'!$C$238:$C$451,$C216,'TL19'!$J$238:$J$451),0)
),0)</f>
        <v>0</v>
      </c>
      <c r="Q216" s="9">
        <f>IFERROR(SUM(
IF('TL01'!$B$3=Q$3,SUMIF('TL01'!$C$10:$C$224,$C216,'TL01'!$J$10:$J$224),0),
IF('TL01'!$B$229=Q$3,SUMIF('TL01'!$C$238:$C$451,$C216,'TL01'!$J$238:$J$451),0),
IF('TL02'!$B$3=Q$3,SUMIF('TL02'!$C$10:$C$224,$C216,'TL02'!$J$10:$J$224),0),
IF('TL02'!$B$229=Q$3,SUMIF('TL02'!$C$238:$C$451,$C216,'TL02'!$J$238:$J$451),0),
IF('TL03'!$B$3=Q$3,SUMIF('TL03'!$C$10:$C$224,$C216,'TL03'!$J$10:$J$224),0),
IF('TL03'!$B$229=Q$3,SUMIF('TL03'!$C$238:$C$451,$C216,'TL03'!$J$238:$J$451),0),
IF('TL04'!$B$3=Q$3,SUMIF('TL04'!$C$10:$C$224,$C216,'TL04'!$J$10:$J$224),0),
IF('TL04'!$B$229=Q$3,SUMIF('TL04'!$C$238:$C$451,$C216,'TL04'!$J$238:$J$451),0),
IF('TL05'!$B$3=Q$3,SUMIF('TL05'!$C$10:$C$224,$C216,'TL05'!$J$10:$J$224),0),
IF('TL05'!$B$229=Q$3,SUMIF('TL05'!$C$238:$C$451,$C216,'TL05'!$J$238:$J$451),0),
IF('TL06'!$B$3=Q$3,SUMIF('TL06'!$C$10:$C$224,$C216,'TL06'!$J$10:$J$224),0),
IF('TL06'!$B$229=Q$3,SUMIF('TL06'!$C$238:$C$451,$C216,'TL06'!$J$238:$J$451),0),
IF('TL07'!$B$3=Q$3,SUMIF('TL07'!$C$10:$C$224,$C216,'TL07'!$J$10:$J$224),0),
IF('TL07'!$B$229=Q$3,SUMIF('TL07'!$C$238:$C$451,$C216,'TL07'!$J$238:$J$451),0),
IF('TL08'!$B$3=Q$3,SUMIF('TL08'!$C$10:$C$224,$C216,'TL08'!$J$10:$J$224),0),
IF('TL08'!$B$229=Q$3,SUMIF('TL08'!$C$238:$C$451,$C216,'TL08'!$J$238:$J$451),0),
IF('TL09'!$B$3=Q$3,SUMIF('TL09'!$C$10:$C$224,$C216,'TL09'!$J$10:$J$224),0),
IF('TL09'!$B$229=Q$3,SUMIF('TL09'!$C$238:$C$451,$C216,'TL09'!$J$238:$J$451),0),
IF('TL10'!$B$3=Q$3,SUMIF('TL10'!$C$10:$C$224,$C216,'TL10'!$J$10:$J$224),0),
IF('TL10'!$B$229=Q$3,SUMIF('TL10'!$C$238:$C$451,$C216,'TL10'!$J$238:$J$451),0),
IF('TL11'!$B$3=Q$3,SUMIF('TL11'!$C$10:$C$224,$C216,'TL11'!$J$10:$J$224),0),
IF('TL11'!$B$229=Q$3,SUMIF('TL11'!$C$238:$C$451,$C216,'TL11'!$J$238:$J$451),0),
IF('TL12'!$B$3=Q$3,SUMIF('TL12'!$C$10:$C$224,$C216,'TL12'!$J$10:$J$224),0),
IF('TL12'!$B$229=Q$3,SUMIF('TL12'!$C$238:$C$451,$C216,'TL12'!$J$238:$J$451),0),
IF('TL13'!$B$3=Q$3,SUMIF('TL13'!$C$10:$C$224,$C216,'TL13'!$J$10:$J$224),0),
IF('TL13'!$B$229=Q$3,SUMIF('TL13'!$C$238:$C$451,$C216,'TL13'!$J$238:$J$451),0),
IF('TL14'!$B$3=Q$3,SUMIF('TL14'!$C$10:$C$224,$C216,'TL14'!$J$10:$J$224),0),
IF('TL14'!$B$229=Q$3,SUMIF('TL14'!$C$238:$C$451,$C216,'TL14'!$J$238:$J$451),0),
IF('TL15'!$B$3=Q$3,SUMIF('TL15'!$C$10:$C$224,$C216,'TL15'!$J$10:$J$224),0),
IF('TL15'!$B$229=Q$3,SUMIF('TL15'!$C$238:$C$451,$C216,'TL15'!$J$238:$J$451),0),
IF('TL16'!$B$3=Q$3,SUMIF('TL16'!$C$10:$C$224,$C216,'TL16'!$J$10:$J$224),0),
IF('TL16'!$B$229=Q$3,SUMIF('TL16'!$C$238:$C$451,$C216,'TL16'!$J$238:$J$451),0),
IF('TL17'!$B$3=Q$3,SUMIF('TL17'!$C$10:$C$224,$C216,'TL17'!$J$10:$J$224),0),
IF('TL17'!$B$229=Q$3,SUMIF('TL17'!$C$238:$C$451,$C216,'TL17'!$J$238:$J$451),0),
IF('TL18'!$B$3=Q$3,SUMIF('TL18'!$C$10:$C$224,$C216,'TL18'!$J$10:$J$224),0),
IF('TL18'!$B$229=Q$3,SUMIF('TL18'!$C$238:$C$451,$C216,'TL18'!$J$238:$J$451),0),
IF('TL19'!$B$3=Q$3,SUMIF('TL19'!$C$10:$C$224,$C216,'TL19'!$J$10:$J$224),0),
IF('TL19'!$B$229=Q$3,SUMIF('TL19'!$C$238:$C$451,$C216,'TL19'!$J$238:$J$451),0)
),0)</f>
        <v>0</v>
      </c>
      <c r="R216" s="9">
        <f>IFERROR(
SUM(
SUMIF('TL01'!C:C,C216,'TL01'!J:J),
SUMIF('TL02'!C:C,C216,'TL02'!J:J),
SUMIF('TL03'!C:C,C216,'TL03'!J:J),
SUMIF('TL04'!C:C,C216,'TL04'!J:J),
SUMIF('TL05'!C:C,C216,'TL05'!J:J),
SUMIF('TL06'!C:C,C216,'TL06'!J:J),
SUMIF('TL07'!C:C,C216,'TL07'!J:J),
SUMIF('TL08'!C:C,C216,'TL08'!J:J),
SUMIF('TL09'!C:C,C216,'TL09'!J:J),
SUMIF('TL10'!C:C,C216,'TL10'!J:J),
SUMIF('TL11'!C:C,C216,'TL11'!J:J),
SUMIF('TL12'!C:C,C216,'TL12'!J:J),
SUMIF('TL13'!C:C,C216,'TL13'!J:J),
SUMIF('TL14'!C:C,C216,'TL14'!J:J),
SUMIF('TL15'!C:C,C216,'TL15'!J:J),
SUMIF('TL16'!C:C,C216,'TL16'!J:J),
SUMIF('TL17'!C:C,C216,'TL17'!J:J),
SUMIF('TL18'!C:C,C216,'TL18'!J:J),SUMIF('TL19'!C:C,C216,'TL19'!J:J))
,0)</f>
        <v>0</v>
      </c>
      <c r="S216" s="17">
        <f>IFERROR(__xludf.DUMMYFUNCTION("IFERROR(VLOOKUP(C216,
IMPORTRANGE(""1wULbzX32WdYsx-lj2U3uUNBBe2INVIRDtcK0d-Dvl90"",
""26-27!C:G""),
5,
FALSE),
"""")"),52.58487)</f>
        <v>52.58487</v>
      </c>
      <c r="T216" s="9"/>
      <c r="U216" s="92">
        <f t="shared" si="2"/>
        <v>0</v>
      </c>
      <c r="V216" s="93">
        <f t="shared" si="3"/>
        <v>0</v>
      </c>
    </row>
    <row r="217" ht="15.75" hidden="1" customHeight="1">
      <c r="A217" s="94" t="s">
        <v>516</v>
      </c>
      <c r="B217" s="95" t="s">
        <v>2</v>
      </c>
      <c r="C217" s="96" t="s">
        <v>846</v>
      </c>
      <c r="D217" s="96" t="s">
        <v>847</v>
      </c>
      <c r="E217" s="96" t="s">
        <v>848</v>
      </c>
      <c r="F217" s="4" t="s">
        <v>343</v>
      </c>
      <c r="G217" s="90" t="str">
        <f t="shared" si="4"/>
        <v>📄 Ver bula</v>
      </c>
      <c r="H217" s="9">
        <f>IFERROR(__xludf.DUMMYFUNCTION("IFERROR(VLOOKUP(C217,
IMPORTRANGE(""1wULbzX32WdYsx-lj2U3uUNBBe2INVIRDtcK0d-Dvl90"",
""26-27!C:K""),
8,
FALSE),
"""")"),1.0)</f>
        <v>1</v>
      </c>
      <c r="I217" s="97" t="s">
        <v>361</v>
      </c>
      <c r="J217" s="9">
        <f>IFERROR(SUM(
IF('TL01'!$B$3=J$3,SUMIF('TL01'!$C$10:$C$224,$C217,'TL01'!$J$10:$J$224),0),
IF('TL01'!$B$229=J$3,SUMIF('TL01'!$C$238:$C$451,$C217,'TL01'!$J$238:$J$451),0),
IF('TL02'!$B$3=J$3,SUMIF('TL02'!$C$10:$C$224,$C217,'TL02'!$J$10:$J$224),0),
IF('TL02'!$B$229=J$3,SUMIF('TL02'!$C$238:$C$451,$C217,'TL02'!$J$238:$J$451),0),
IF('TL03'!$B$3=J$3,SUMIF('TL03'!$C$10:$C$224,$C217,'TL03'!$J$10:$J$224),0),
IF('TL03'!$B$229=J$3,SUMIF('TL03'!$C$238:$C$451,$C217,'TL03'!$J$238:$J$451),0),
IF('TL04'!$B$3=J$3,SUMIF('TL04'!$C$10:$C$224,$C217,'TL04'!$J$10:$J$224),0),
IF('TL04'!$B$229=J$3,SUMIF('TL04'!$C$238:$C$451,$C217,'TL04'!$J$238:$J$451),0),
IF('TL05'!$B$3=J$3,SUMIF('TL05'!$C$10:$C$224,$C217,'TL05'!$J$10:$J$224),0),
IF('TL05'!$B$229=J$3,SUMIF('TL05'!$C$238:$C$451,$C217,'TL05'!$J$238:$J$451),0),
IF('TL06'!$B$3=J$3,SUMIF('TL06'!$C$10:$C$224,$C217,'TL06'!$J$10:$J$224),0),
IF('TL06'!$B$229=J$3,SUMIF('TL06'!$C$238:$C$451,$C217,'TL06'!$J$238:$J$451),0),
IF('TL07'!$B$3=J$3,SUMIF('TL07'!$C$10:$C$224,$C217,'TL07'!$J$10:$J$224),0),
IF('TL07'!$B$229=J$3,SUMIF('TL07'!$C$238:$C$451,$C217,'TL07'!$J$238:$J$451),0),
IF('TL08'!$B$3=J$3,SUMIF('TL08'!$C$10:$C$224,$C217,'TL08'!$J$10:$J$224),0),
IF('TL08'!$B$229=J$3,SUMIF('TL08'!$C$238:$C$451,$C217,'TL08'!$J$238:$J$451),0),
IF('TL09'!$B$3=J$3,SUMIF('TL09'!$C$10:$C$224,$C217,'TL09'!$J$10:$J$224),0),
IF('TL09'!$B$229=J$3,SUMIF('TL09'!$C$238:$C$451,$C217,'TL09'!$J$238:$J$451),0),
IF('TL10'!$B$3=J$3,SUMIF('TL10'!$C$10:$C$224,$C217,'TL10'!$J$10:$J$224),0),
IF('TL10'!$B$229=J$3,SUMIF('TL10'!$C$238:$C$451,$C217,'TL10'!$J$238:$J$451),0),
IF('TL11'!$B$3=J$3,SUMIF('TL11'!$C$10:$C$224,$C217,'TL11'!$J$10:$J$224),0),
IF('TL11'!$B$229=J$3,SUMIF('TL11'!$C$238:$C$451,$C217,'TL11'!$J$238:$J$451),0),
IF('TL12'!$B$3=J$3,SUMIF('TL12'!$C$10:$C$224,$C217,'TL12'!$J$10:$J$224),0),
IF('TL12'!$B$229=J$3,SUMIF('TL12'!$C$238:$C$451,$C217,'TL12'!$J$238:$J$451),0),
IF('TL13'!$B$3=J$3,SUMIF('TL13'!$C$10:$C$224,$C217,'TL13'!$J$10:$J$224),0),
IF('TL13'!$B$229=J$3,SUMIF('TL13'!$C$238:$C$451,$C217,'TL13'!$J$238:$J$451),0),
IF('TL14'!$B$3=J$3,SUMIF('TL14'!$C$10:$C$224,$C217,'TL14'!$J$10:$J$224),0),
IF('TL14'!$B$229=J$3,SUMIF('TL14'!$C$238:$C$451,$C217,'TL14'!$J$238:$J$451),0),
IF('TL15'!$B$3=J$3,SUMIF('TL15'!$C$10:$C$224,$C217,'TL15'!$J$10:$J$224),0),
IF('TL15'!$B$229=J$3,SUMIF('TL15'!$C$238:$C$451,$C217,'TL15'!$J$238:$J$451),0),
IF('TL16'!$B$3=J$3,SUMIF('TL16'!$C$10:$C$224,$C217,'TL16'!$J$10:$J$224),0),
IF('TL16'!$B$229=J$3,SUMIF('TL16'!$C$238:$C$451,$C217,'TL16'!$J$238:$J$451),0),
IF('TL17'!$B$3=J$3,SUMIF('TL17'!$C$10:$C$224,$C217,'TL17'!$J$10:$J$224),0),
IF('TL17'!$B$229=J$3,SUMIF('TL17'!$C$238:$C$451,$C217,'TL17'!$J$238:$J$451),0),
IF('TL18'!$B$3=J$3,SUMIF('TL18'!$C$10:$C$224,$C217,'TL18'!$J$10:$J$224),0),
IF('TL18'!$B$229=J$3,SUMIF('TL18'!$C$238:$C$451,$C217,'TL18'!$J$238:$J$451),0),
IF('TL19'!$B$3=J$3,SUMIF('TL19'!$C$10:$C$224,$C217,'TL19'!$J$10:$J$224),0),
IF('TL19'!$B$229=J$3,SUMIF('TL19'!$C$238:$C$451,$C217,'TL19'!$J$238:$J$451),0)
),0)</f>
        <v>0</v>
      </c>
      <c r="K217" s="9">
        <f>IFERROR(SUM(
IF('TL01'!$B$3=K$3,SUMIF('TL01'!$C$10:$C$224,$C217,'TL01'!$J$10:$J$224),0),
IF('TL01'!$B$229=K$3,SUMIF('TL01'!$C$238:$C$451,$C217,'TL01'!$J$238:$J$451),0),
IF('TL02'!$B$3=K$3,SUMIF('TL02'!$C$10:$C$224,$C217,'TL02'!$J$10:$J$224),0),
IF('TL02'!$B$229=K$3,SUMIF('TL02'!$C$238:$C$451,$C217,'TL02'!$J$238:$J$451),0),
IF('TL03'!$B$3=K$3,SUMIF('TL03'!$C$10:$C$224,$C217,'TL03'!$J$10:$J$224),0),
IF('TL03'!$B$229=K$3,SUMIF('TL03'!$C$238:$C$451,$C217,'TL03'!$J$238:$J$451),0),
IF('TL04'!$B$3=K$3,SUMIF('TL04'!$C$10:$C$224,$C217,'TL04'!$J$10:$J$224),0),
IF('TL04'!$B$229=K$3,SUMIF('TL04'!$C$238:$C$451,$C217,'TL04'!$J$238:$J$451),0),
IF('TL05'!$B$3=K$3,SUMIF('TL05'!$C$10:$C$224,$C217,'TL05'!$J$10:$J$224),0),
IF('TL05'!$B$229=K$3,SUMIF('TL05'!$C$238:$C$451,$C217,'TL05'!$J$238:$J$451),0),
IF('TL06'!$B$3=K$3,SUMIF('TL06'!$C$10:$C$224,$C217,'TL06'!$J$10:$J$224),0),
IF('TL06'!$B$229=K$3,SUMIF('TL06'!$C$238:$C$451,$C217,'TL06'!$J$238:$J$451),0),
IF('TL07'!$B$3=K$3,SUMIF('TL07'!$C$10:$C$224,$C217,'TL07'!$J$10:$J$224),0),
IF('TL07'!$B$229=K$3,SUMIF('TL07'!$C$238:$C$451,$C217,'TL07'!$J$238:$J$451),0),
IF('TL08'!$B$3=K$3,SUMIF('TL08'!$C$10:$C$224,$C217,'TL08'!$J$10:$J$224),0),
IF('TL08'!$B$229=K$3,SUMIF('TL08'!$C$238:$C$451,$C217,'TL08'!$J$238:$J$451),0),
IF('TL09'!$B$3=K$3,SUMIF('TL09'!$C$10:$C$224,$C217,'TL09'!$J$10:$J$224),0),
IF('TL09'!$B$229=K$3,SUMIF('TL09'!$C$238:$C$451,$C217,'TL09'!$J$238:$J$451),0),
IF('TL10'!$B$3=K$3,SUMIF('TL10'!$C$10:$C$224,$C217,'TL10'!$J$10:$J$224),0),
IF('TL10'!$B$229=K$3,SUMIF('TL10'!$C$238:$C$451,$C217,'TL10'!$J$238:$J$451),0),
IF('TL11'!$B$3=K$3,SUMIF('TL11'!$C$10:$C$224,$C217,'TL11'!$J$10:$J$224),0),
IF('TL11'!$B$229=K$3,SUMIF('TL11'!$C$238:$C$451,$C217,'TL11'!$J$238:$J$451),0),
IF('TL12'!$B$3=K$3,SUMIF('TL12'!$C$10:$C$224,$C217,'TL12'!$J$10:$J$224),0),
IF('TL12'!$B$229=K$3,SUMIF('TL12'!$C$238:$C$451,$C217,'TL12'!$J$238:$J$451),0),
IF('TL13'!$B$3=K$3,SUMIF('TL13'!$C$10:$C$224,$C217,'TL13'!$J$10:$J$224),0),
IF('TL13'!$B$229=K$3,SUMIF('TL13'!$C$238:$C$451,$C217,'TL13'!$J$238:$J$451),0),
IF('TL14'!$B$3=K$3,SUMIF('TL14'!$C$10:$C$224,$C217,'TL14'!$J$10:$J$224),0),
IF('TL14'!$B$229=K$3,SUMIF('TL14'!$C$238:$C$451,$C217,'TL14'!$J$238:$J$451),0),
IF('TL15'!$B$3=K$3,SUMIF('TL15'!$C$10:$C$224,$C217,'TL15'!$J$10:$J$224),0),
IF('TL15'!$B$229=K$3,SUMIF('TL15'!$C$238:$C$451,$C217,'TL15'!$J$238:$J$451),0),
IF('TL16'!$B$3=K$3,SUMIF('TL16'!$C$10:$C$224,$C217,'TL16'!$J$10:$J$224),0),
IF('TL16'!$B$229=K$3,SUMIF('TL16'!$C$238:$C$451,$C217,'TL16'!$J$238:$J$451),0),
IF('TL17'!$B$3=K$3,SUMIF('TL17'!$C$10:$C$224,$C217,'TL17'!$J$10:$J$224),0),
IF('TL17'!$B$229=K$3,SUMIF('TL17'!$C$238:$C$451,$C217,'TL17'!$J$238:$J$451),0),
IF('TL18'!$B$3=K$3,SUMIF('TL18'!$C$10:$C$224,$C217,'TL18'!$J$10:$J$224),0),
IF('TL18'!$B$229=K$3,SUMIF('TL18'!$C$238:$C$451,$C217,'TL18'!$J$238:$J$451),0),
IF('TL19'!$B$3=K$3,SUMIF('TL19'!$C$10:$C$224,$C217,'TL19'!$J$10:$J$224),0),
IF('TL19'!$B$229=K$3,SUMIF('TL19'!$C$238:$C$451,$C217,'TL19'!$J$238:$J$451),0)
),0)</f>
        <v>0</v>
      </c>
      <c r="L217" s="9">
        <f>IFERROR(SUM(
IF('TL01'!$B$3=L$3,SUMIF('TL01'!$C$10:$C$224,$C217,'TL01'!$J$10:$J$224),0),
IF('TL01'!$B$229=L$3,SUMIF('TL01'!$C$238:$C$451,$C217,'TL01'!$J$238:$J$451),0),
IF('TL02'!$B$3=L$3,SUMIF('TL02'!$C$10:$C$224,$C217,'TL02'!$J$10:$J$224),0),
IF('TL02'!$B$229=L$3,SUMIF('TL02'!$C$238:$C$451,$C217,'TL02'!$J$238:$J$451),0),
IF('TL03'!$B$3=L$3,SUMIF('TL03'!$C$10:$C$224,$C217,'TL03'!$J$10:$J$224),0),
IF('TL03'!$B$229=L$3,SUMIF('TL03'!$C$238:$C$451,$C217,'TL03'!$J$238:$J$451),0),
IF('TL04'!$B$3=L$3,SUMIF('TL04'!$C$10:$C$224,$C217,'TL04'!$J$10:$J$224),0),
IF('TL04'!$B$229=L$3,SUMIF('TL04'!$C$238:$C$451,$C217,'TL04'!$J$238:$J$451),0),
IF('TL05'!$B$3=L$3,SUMIF('TL05'!$C$10:$C$224,$C217,'TL05'!$J$10:$J$224),0),
IF('TL05'!$B$229=L$3,SUMIF('TL05'!$C$238:$C$451,$C217,'TL05'!$J$238:$J$451),0),
IF('TL06'!$B$3=L$3,SUMIF('TL06'!$C$10:$C$224,$C217,'TL06'!$J$10:$J$224),0),
IF('TL06'!$B$229=L$3,SUMIF('TL06'!$C$238:$C$451,$C217,'TL06'!$J$238:$J$451),0),
IF('TL07'!$B$3=L$3,SUMIF('TL07'!$C$10:$C$224,$C217,'TL07'!$J$10:$J$224),0),
IF('TL07'!$B$229=L$3,SUMIF('TL07'!$C$238:$C$451,$C217,'TL07'!$J$238:$J$451),0),
IF('TL08'!$B$3=L$3,SUMIF('TL08'!$C$10:$C$224,$C217,'TL08'!$J$10:$J$224),0),
IF('TL08'!$B$229=L$3,SUMIF('TL08'!$C$238:$C$451,$C217,'TL08'!$J$238:$J$451),0),
IF('TL09'!$B$3=L$3,SUMIF('TL09'!$C$10:$C$224,$C217,'TL09'!$J$10:$J$224),0),
IF('TL09'!$B$229=L$3,SUMIF('TL09'!$C$238:$C$451,$C217,'TL09'!$J$238:$J$451),0),
IF('TL10'!$B$3=L$3,SUMIF('TL10'!$C$10:$C$224,$C217,'TL10'!$J$10:$J$224),0),
IF('TL10'!$B$229=L$3,SUMIF('TL10'!$C$238:$C$451,$C217,'TL10'!$J$238:$J$451),0),
IF('TL11'!$B$3=L$3,SUMIF('TL11'!$C$10:$C$224,$C217,'TL11'!$J$10:$J$224),0),
IF('TL11'!$B$229=L$3,SUMIF('TL11'!$C$238:$C$451,$C217,'TL11'!$J$238:$J$451),0),
IF('TL12'!$B$3=L$3,SUMIF('TL12'!$C$10:$C$224,$C217,'TL12'!$J$10:$J$224),0),
IF('TL12'!$B$229=L$3,SUMIF('TL12'!$C$238:$C$451,$C217,'TL12'!$J$238:$J$451),0),
IF('TL13'!$B$3=L$3,SUMIF('TL13'!$C$10:$C$224,$C217,'TL13'!$J$10:$J$224),0),
IF('TL13'!$B$229=L$3,SUMIF('TL13'!$C$238:$C$451,$C217,'TL13'!$J$238:$J$451),0),
IF('TL14'!$B$3=L$3,SUMIF('TL14'!$C$10:$C$224,$C217,'TL14'!$J$10:$J$224),0),
IF('TL14'!$B$229=L$3,SUMIF('TL14'!$C$238:$C$451,$C217,'TL14'!$J$238:$J$451),0),
IF('TL15'!$B$3=L$3,SUMIF('TL15'!$C$10:$C$224,$C217,'TL15'!$J$10:$J$224),0),
IF('TL15'!$B$229=L$3,SUMIF('TL15'!$C$238:$C$451,$C217,'TL15'!$J$238:$J$451),0),
IF('TL16'!$B$3=L$3,SUMIF('TL16'!$C$10:$C$224,$C217,'TL16'!$J$10:$J$224),0),
IF('TL16'!$B$229=L$3,SUMIF('TL16'!$C$238:$C$451,$C217,'TL16'!$J$238:$J$451),0),
IF('TL17'!$B$3=L$3,SUMIF('TL17'!$C$10:$C$224,$C217,'TL17'!$J$10:$J$224),0),
IF('TL17'!$B$229=L$3,SUMIF('TL17'!$C$238:$C$451,$C217,'TL17'!$J$238:$J$451),0),
IF('TL18'!$B$3=L$3,SUMIF('TL18'!$C$10:$C$224,$C217,'TL18'!$J$10:$J$224),0),
IF('TL18'!$B$229=L$3,SUMIF('TL18'!$C$238:$C$451,$C217,'TL18'!$J$238:$J$451),0),
IF('TL19'!$B$3=L$3,SUMIF('TL19'!$C$10:$C$224,$C217,'TL19'!$J$10:$J$224),0),
IF('TL19'!$B$229=L$3,SUMIF('TL19'!$C$238:$C$451,$C217,'TL19'!$J$238:$J$451),0)
),0)</f>
        <v>0</v>
      </c>
      <c r="M217" s="9">
        <f>IFERROR(SUM(
IF('TL01'!$B$3=M$3,SUMIF('TL01'!$C$10:$C$224,$C217,'TL01'!$J$10:$J$224),0),
IF('TL01'!$B$229=M$3,SUMIF('TL01'!$C$238:$C$451,$C217,'TL01'!$J$238:$J$451),0),
IF('TL02'!$B$3=M$3,SUMIF('TL02'!$C$10:$C$224,$C217,'TL02'!$J$10:$J$224),0),
IF('TL02'!$B$229=M$3,SUMIF('TL02'!$C$238:$C$451,$C217,'TL02'!$J$238:$J$451),0),
IF('TL03'!$B$3=M$3,SUMIF('TL03'!$C$10:$C$224,$C217,'TL03'!$J$10:$J$224),0),
IF('TL03'!$B$229=M$3,SUMIF('TL03'!$C$238:$C$451,$C217,'TL03'!$J$238:$J$451),0),
IF('TL04'!$B$3=M$3,SUMIF('TL04'!$C$10:$C$224,$C217,'TL04'!$J$10:$J$224),0),
IF('TL04'!$B$229=M$3,SUMIF('TL04'!$C$238:$C$451,$C217,'TL04'!$J$238:$J$451),0),
IF('TL05'!$B$3=M$3,SUMIF('TL05'!$C$10:$C$224,$C217,'TL05'!$J$10:$J$224),0),
IF('TL05'!$B$229=M$3,SUMIF('TL05'!$C$238:$C$451,$C217,'TL05'!$J$238:$J$451),0),
IF('TL06'!$B$3=M$3,SUMIF('TL06'!$C$10:$C$224,$C217,'TL06'!$J$10:$J$224),0),
IF('TL06'!$B$229=M$3,SUMIF('TL06'!$C$238:$C$451,$C217,'TL06'!$J$238:$J$451),0),
IF('TL07'!$B$3=M$3,SUMIF('TL07'!$C$10:$C$224,$C217,'TL07'!$J$10:$J$224),0),
IF('TL07'!$B$229=M$3,SUMIF('TL07'!$C$238:$C$451,$C217,'TL07'!$J$238:$J$451),0),
IF('TL08'!$B$3=M$3,SUMIF('TL08'!$C$10:$C$224,$C217,'TL08'!$J$10:$J$224),0),
IF('TL08'!$B$229=M$3,SUMIF('TL08'!$C$238:$C$451,$C217,'TL08'!$J$238:$J$451),0),
IF('TL09'!$B$3=M$3,SUMIF('TL09'!$C$10:$C$224,$C217,'TL09'!$J$10:$J$224),0),
IF('TL09'!$B$229=M$3,SUMIF('TL09'!$C$238:$C$451,$C217,'TL09'!$J$238:$J$451),0),
IF('TL10'!$B$3=M$3,SUMIF('TL10'!$C$10:$C$224,$C217,'TL10'!$J$10:$J$224),0),
IF('TL10'!$B$229=M$3,SUMIF('TL10'!$C$238:$C$451,$C217,'TL10'!$J$238:$J$451),0),
IF('TL11'!$B$3=M$3,SUMIF('TL11'!$C$10:$C$224,$C217,'TL11'!$J$10:$J$224),0),
IF('TL11'!$B$229=M$3,SUMIF('TL11'!$C$238:$C$451,$C217,'TL11'!$J$238:$J$451),0),
IF('TL12'!$B$3=M$3,SUMIF('TL12'!$C$10:$C$224,$C217,'TL12'!$J$10:$J$224),0),
IF('TL12'!$B$229=M$3,SUMIF('TL12'!$C$238:$C$451,$C217,'TL12'!$J$238:$J$451),0),
IF('TL13'!$B$3=M$3,SUMIF('TL13'!$C$10:$C$224,$C217,'TL13'!$J$10:$J$224),0),
IF('TL13'!$B$229=M$3,SUMIF('TL13'!$C$238:$C$451,$C217,'TL13'!$J$238:$J$451),0),
IF('TL14'!$B$3=M$3,SUMIF('TL14'!$C$10:$C$224,$C217,'TL14'!$J$10:$J$224),0),
IF('TL14'!$B$229=M$3,SUMIF('TL14'!$C$238:$C$451,$C217,'TL14'!$J$238:$J$451),0),
IF('TL15'!$B$3=M$3,SUMIF('TL15'!$C$10:$C$224,$C217,'TL15'!$J$10:$J$224),0),
IF('TL15'!$B$229=M$3,SUMIF('TL15'!$C$238:$C$451,$C217,'TL15'!$J$238:$J$451),0),
IF('TL16'!$B$3=M$3,SUMIF('TL16'!$C$10:$C$224,$C217,'TL16'!$J$10:$J$224),0),
IF('TL16'!$B$229=M$3,SUMIF('TL16'!$C$238:$C$451,$C217,'TL16'!$J$238:$J$451),0),
IF('TL17'!$B$3=M$3,SUMIF('TL17'!$C$10:$C$224,$C217,'TL17'!$J$10:$J$224),0),
IF('TL17'!$B$229=M$3,SUMIF('TL17'!$C$238:$C$451,$C217,'TL17'!$J$238:$J$451),0),
IF('TL18'!$B$3=M$3,SUMIF('TL18'!$C$10:$C$224,$C217,'TL18'!$J$10:$J$224),0),
IF('TL18'!$B$229=M$3,SUMIF('TL18'!$C$238:$C$451,$C217,'TL18'!$J$238:$J$451),0),
IF('TL19'!$B$3=M$3,SUMIF('TL19'!$C$10:$C$224,$C217,'TL19'!$J$10:$J$224),0),
IF('TL19'!$B$229=M$3,SUMIF('TL19'!$C$238:$C$451,$C217,'TL19'!$J$238:$J$451),0)
),0)</f>
        <v>0</v>
      </c>
      <c r="N217" s="9">
        <f>IFERROR(SUM(
IF('TL01'!$B$3=N$3,SUMIF('TL01'!$C$10:$C$224,$C217,'TL01'!$J$10:$J$224),0),
IF('TL01'!$B$229=N$3,SUMIF('TL01'!$C$238:$C$451,$C217,'TL01'!$J$238:$J$451),0),
IF('TL02'!$B$3=N$3,SUMIF('TL02'!$C$10:$C$224,$C217,'TL02'!$J$10:$J$224),0),
IF('TL02'!$B$229=N$3,SUMIF('TL02'!$C$238:$C$451,$C217,'TL02'!$J$238:$J$451),0),
IF('TL03'!$B$3=N$3,SUMIF('TL03'!$C$10:$C$224,$C217,'TL03'!$J$10:$J$224),0),
IF('TL03'!$B$229=N$3,SUMIF('TL03'!$C$238:$C$451,$C217,'TL03'!$J$238:$J$451),0),
IF('TL04'!$B$3=N$3,SUMIF('TL04'!$C$10:$C$224,$C217,'TL04'!$J$10:$J$224),0),
IF('TL04'!$B$229=N$3,SUMIF('TL04'!$C$238:$C$451,$C217,'TL04'!$J$238:$J$451),0),
IF('TL05'!$B$3=N$3,SUMIF('TL05'!$C$10:$C$224,$C217,'TL05'!$J$10:$J$224),0),
IF('TL05'!$B$229=N$3,SUMIF('TL05'!$C$238:$C$451,$C217,'TL05'!$J$238:$J$451),0),
IF('TL06'!$B$3=N$3,SUMIF('TL06'!$C$10:$C$224,$C217,'TL06'!$J$10:$J$224),0),
IF('TL06'!$B$229=N$3,SUMIF('TL06'!$C$238:$C$451,$C217,'TL06'!$J$238:$J$451),0),
IF('TL07'!$B$3=N$3,SUMIF('TL07'!$C$10:$C$224,$C217,'TL07'!$J$10:$J$224),0),
IF('TL07'!$B$229=N$3,SUMIF('TL07'!$C$238:$C$451,$C217,'TL07'!$J$238:$J$451),0),
IF('TL08'!$B$3=N$3,SUMIF('TL08'!$C$10:$C$224,$C217,'TL08'!$J$10:$J$224),0),
IF('TL08'!$B$229=N$3,SUMIF('TL08'!$C$238:$C$451,$C217,'TL08'!$J$238:$J$451),0),
IF('TL09'!$B$3=N$3,SUMIF('TL09'!$C$10:$C$224,$C217,'TL09'!$J$10:$J$224),0),
IF('TL09'!$B$229=N$3,SUMIF('TL09'!$C$238:$C$451,$C217,'TL09'!$J$238:$J$451),0),
IF('TL10'!$B$3=N$3,SUMIF('TL10'!$C$10:$C$224,$C217,'TL10'!$J$10:$J$224),0),
IF('TL10'!$B$229=N$3,SUMIF('TL10'!$C$238:$C$451,$C217,'TL10'!$J$238:$J$451),0),
IF('TL11'!$B$3=N$3,SUMIF('TL11'!$C$10:$C$224,$C217,'TL11'!$J$10:$J$224),0),
IF('TL11'!$B$229=N$3,SUMIF('TL11'!$C$238:$C$451,$C217,'TL11'!$J$238:$J$451),0),
IF('TL12'!$B$3=N$3,SUMIF('TL12'!$C$10:$C$224,$C217,'TL12'!$J$10:$J$224),0),
IF('TL12'!$B$229=N$3,SUMIF('TL12'!$C$238:$C$451,$C217,'TL12'!$J$238:$J$451),0),
IF('TL13'!$B$3=N$3,SUMIF('TL13'!$C$10:$C$224,$C217,'TL13'!$J$10:$J$224),0),
IF('TL13'!$B$229=N$3,SUMIF('TL13'!$C$238:$C$451,$C217,'TL13'!$J$238:$J$451),0),
IF('TL14'!$B$3=N$3,SUMIF('TL14'!$C$10:$C$224,$C217,'TL14'!$J$10:$J$224),0),
IF('TL14'!$B$229=N$3,SUMIF('TL14'!$C$238:$C$451,$C217,'TL14'!$J$238:$J$451),0),
IF('TL15'!$B$3=N$3,SUMIF('TL15'!$C$10:$C$224,$C217,'TL15'!$J$10:$J$224),0),
IF('TL15'!$B$229=N$3,SUMIF('TL15'!$C$238:$C$451,$C217,'TL15'!$J$238:$J$451),0),
IF('TL16'!$B$3=N$3,SUMIF('TL16'!$C$10:$C$224,$C217,'TL16'!$J$10:$J$224),0),
IF('TL16'!$B$229=N$3,SUMIF('TL16'!$C$238:$C$451,$C217,'TL16'!$J$238:$J$451),0),
IF('TL17'!$B$3=N$3,SUMIF('TL17'!$C$10:$C$224,$C217,'TL17'!$J$10:$J$224),0),
IF('TL17'!$B$229=N$3,SUMIF('TL17'!$C$238:$C$451,$C217,'TL17'!$J$238:$J$451),0),
IF('TL18'!$B$3=N$3,SUMIF('TL18'!$C$10:$C$224,$C217,'TL18'!$J$10:$J$224),0),
IF('TL18'!$B$229=N$3,SUMIF('TL18'!$C$238:$C$451,$C217,'TL18'!$J$238:$J$451),0),
IF('TL19'!$B$3=N$3,SUMIF('TL19'!$C$10:$C$224,$C217,'TL19'!$J$10:$J$224),0),
IF('TL19'!$B$229=N$3,SUMIF('TL19'!$C$238:$C$451,$C217,'TL19'!$J$238:$J$451),0)
),0)</f>
        <v>0</v>
      </c>
      <c r="O217" s="9">
        <f>IFERROR(SUM(
IF('TL01'!$B$3=O$3,SUMIF('TL01'!$C$10:$C$224,$C217,'TL01'!$J$10:$J$224),0),
IF('TL01'!$B$229=O$3,SUMIF('TL01'!$C$238:$C$451,$C217,'TL01'!$J$238:$J$451),0),
IF('TL02'!$B$3=O$3,SUMIF('TL02'!$C$10:$C$224,$C217,'TL02'!$J$10:$J$224),0),
IF('TL02'!$B$229=O$3,SUMIF('TL02'!$C$238:$C$451,$C217,'TL02'!$J$238:$J$451),0),
IF('TL03'!$B$3=O$3,SUMIF('TL03'!$C$10:$C$224,$C217,'TL03'!$J$10:$J$224),0),
IF('TL03'!$B$229=O$3,SUMIF('TL03'!$C$238:$C$451,$C217,'TL03'!$J$238:$J$451),0),
IF('TL04'!$B$3=O$3,SUMIF('TL04'!$C$10:$C$224,$C217,'TL04'!$J$10:$J$224),0),
IF('TL04'!$B$229=O$3,SUMIF('TL04'!$C$238:$C$451,$C217,'TL04'!$J$238:$J$451),0),
IF('TL05'!$B$3=O$3,SUMIF('TL05'!$C$10:$C$224,$C217,'TL05'!$J$10:$J$224),0),
IF('TL05'!$B$229=O$3,SUMIF('TL05'!$C$238:$C$451,$C217,'TL05'!$J$238:$J$451),0),
IF('TL06'!$B$3=O$3,SUMIF('TL06'!$C$10:$C$224,$C217,'TL06'!$J$10:$J$224),0),
IF('TL06'!$B$229=O$3,SUMIF('TL06'!$C$238:$C$451,$C217,'TL06'!$J$238:$J$451),0),
IF('TL07'!$B$3=O$3,SUMIF('TL07'!$C$10:$C$224,$C217,'TL07'!$J$10:$J$224),0),
IF('TL07'!$B$229=O$3,SUMIF('TL07'!$C$238:$C$451,$C217,'TL07'!$J$238:$J$451),0),
IF('TL08'!$B$3=O$3,SUMIF('TL08'!$C$10:$C$224,$C217,'TL08'!$J$10:$J$224),0),
IF('TL08'!$B$229=O$3,SUMIF('TL08'!$C$238:$C$451,$C217,'TL08'!$J$238:$J$451),0),
IF('TL09'!$B$3=O$3,SUMIF('TL09'!$C$10:$C$224,$C217,'TL09'!$J$10:$J$224),0),
IF('TL09'!$B$229=O$3,SUMIF('TL09'!$C$238:$C$451,$C217,'TL09'!$J$238:$J$451),0),
IF('TL10'!$B$3=O$3,SUMIF('TL10'!$C$10:$C$224,$C217,'TL10'!$J$10:$J$224),0),
IF('TL10'!$B$229=O$3,SUMIF('TL10'!$C$238:$C$451,$C217,'TL10'!$J$238:$J$451),0),
IF('TL11'!$B$3=O$3,SUMIF('TL11'!$C$10:$C$224,$C217,'TL11'!$J$10:$J$224),0),
IF('TL11'!$B$229=O$3,SUMIF('TL11'!$C$238:$C$451,$C217,'TL11'!$J$238:$J$451),0),
IF('TL12'!$B$3=O$3,SUMIF('TL12'!$C$10:$C$224,$C217,'TL12'!$J$10:$J$224),0),
IF('TL12'!$B$229=O$3,SUMIF('TL12'!$C$238:$C$451,$C217,'TL12'!$J$238:$J$451),0),
IF('TL13'!$B$3=O$3,SUMIF('TL13'!$C$10:$C$224,$C217,'TL13'!$J$10:$J$224),0),
IF('TL13'!$B$229=O$3,SUMIF('TL13'!$C$238:$C$451,$C217,'TL13'!$J$238:$J$451),0),
IF('TL14'!$B$3=O$3,SUMIF('TL14'!$C$10:$C$224,$C217,'TL14'!$J$10:$J$224),0),
IF('TL14'!$B$229=O$3,SUMIF('TL14'!$C$238:$C$451,$C217,'TL14'!$J$238:$J$451),0),
IF('TL15'!$B$3=O$3,SUMIF('TL15'!$C$10:$C$224,$C217,'TL15'!$J$10:$J$224),0),
IF('TL15'!$B$229=O$3,SUMIF('TL15'!$C$238:$C$451,$C217,'TL15'!$J$238:$J$451),0),
IF('TL16'!$B$3=O$3,SUMIF('TL16'!$C$10:$C$224,$C217,'TL16'!$J$10:$J$224),0),
IF('TL16'!$B$229=O$3,SUMIF('TL16'!$C$238:$C$451,$C217,'TL16'!$J$238:$J$451),0),
IF('TL17'!$B$3=O$3,SUMIF('TL17'!$C$10:$C$224,$C217,'TL17'!$J$10:$J$224),0),
IF('TL17'!$B$229=O$3,SUMIF('TL17'!$C$238:$C$451,$C217,'TL17'!$J$238:$J$451),0),
IF('TL18'!$B$3=O$3,SUMIF('TL18'!$C$10:$C$224,$C217,'TL18'!$J$10:$J$224),0),
IF('TL18'!$B$229=O$3,SUMIF('TL18'!$C$238:$C$451,$C217,'TL18'!$J$238:$J$451),0),
IF('TL19'!$B$3=O$3,SUMIF('TL19'!$C$10:$C$224,$C217,'TL19'!$J$10:$J$224),0),
IF('TL19'!$B$229=O$3,SUMIF('TL19'!$C$238:$C$451,$C217,'TL19'!$J$238:$J$451),0)
),0)</f>
        <v>0</v>
      </c>
      <c r="P217" s="9">
        <f>IFERROR(SUM(
IF('TL01'!$B$3=P$3,SUMIF('TL01'!$C$10:$C$224,$C217,'TL01'!$J$10:$J$224),0),
IF('TL01'!$B$229=P$3,SUMIF('TL01'!$C$238:$C$451,$C217,'TL01'!$J$238:$J$451),0),
IF('TL02'!$B$3=P$3,SUMIF('TL02'!$C$10:$C$224,$C217,'TL02'!$J$10:$J$224),0),
IF('TL02'!$B$229=P$3,SUMIF('TL02'!$C$238:$C$451,$C217,'TL02'!$J$238:$J$451),0),
IF('TL03'!$B$3=P$3,SUMIF('TL03'!$C$10:$C$224,$C217,'TL03'!$J$10:$J$224),0),
IF('TL03'!$B$229=P$3,SUMIF('TL03'!$C$238:$C$451,$C217,'TL03'!$J$238:$J$451),0),
IF('TL04'!$B$3=P$3,SUMIF('TL04'!$C$10:$C$224,$C217,'TL04'!$J$10:$J$224),0),
IF('TL04'!$B$229=P$3,SUMIF('TL04'!$C$238:$C$451,$C217,'TL04'!$J$238:$J$451),0),
IF('TL05'!$B$3=P$3,SUMIF('TL05'!$C$10:$C$224,$C217,'TL05'!$J$10:$J$224),0),
IF('TL05'!$B$229=P$3,SUMIF('TL05'!$C$238:$C$451,$C217,'TL05'!$J$238:$J$451),0),
IF('TL06'!$B$3=P$3,SUMIF('TL06'!$C$10:$C$224,$C217,'TL06'!$J$10:$J$224),0),
IF('TL06'!$B$229=P$3,SUMIF('TL06'!$C$238:$C$451,$C217,'TL06'!$J$238:$J$451),0),
IF('TL07'!$B$3=P$3,SUMIF('TL07'!$C$10:$C$224,$C217,'TL07'!$J$10:$J$224),0),
IF('TL07'!$B$229=P$3,SUMIF('TL07'!$C$238:$C$451,$C217,'TL07'!$J$238:$J$451),0),
IF('TL08'!$B$3=P$3,SUMIF('TL08'!$C$10:$C$224,$C217,'TL08'!$J$10:$J$224),0),
IF('TL08'!$B$229=P$3,SUMIF('TL08'!$C$238:$C$451,$C217,'TL08'!$J$238:$J$451),0),
IF('TL09'!$B$3=P$3,SUMIF('TL09'!$C$10:$C$224,$C217,'TL09'!$J$10:$J$224),0),
IF('TL09'!$B$229=P$3,SUMIF('TL09'!$C$238:$C$451,$C217,'TL09'!$J$238:$J$451),0),
IF('TL10'!$B$3=P$3,SUMIF('TL10'!$C$10:$C$224,$C217,'TL10'!$J$10:$J$224),0),
IF('TL10'!$B$229=P$3,SUMIF('TL10'!$C$238:$C$451,$C217,'TL10'!$J$238:$J$451),0),
IF('TL11'!$B$3=P$3,SUMIF('TL11'!$C$10:$C$224,$C217,'TL11'!$J$10:$J$224),0),
IF('TL11'!$B$229=P$3,SUMIF('TL11'!$C$238:$C$451,$C217,'TL11'!$J$238:$J$451),0),
IF('TL12'!$B$3=P$3,SUMIF('TL12'!$C$10:$C$224,$C217,'TL12'!$J$10:$J$224),0),
IF('TL12'!$B$229=P$3,SUMIF('TL12'!$C$238:$C$451,$C217,'TL12'!$J$238:$J$451),0),
IF('TL13'!$B$3=P$3,SUMIF('TL13'!$C$10:$C$224,$C217,'TL13'!$J$10:$J$224),0),
IF('TL13'!$B$229=P$3,SUMIF('TL13'!$C$238:$C$451,$C217,'TL13'!$J$238:$J$451),0),
IF('TL14'!$B$3=P$3,SUMIF('TL14'!$C$10:$C$224,$C217,'TL14'!$J$10:$J$224),0),
IF('TL14'!$B$229=P$3,SUMIF('TL14'!$C$238:$C$451,$C217,'TL14'!$J$238:$J$451),0),
IF('TL15'!$B$3=P$3,SUMIF('TL15'!$C$10:$C$224,$C217,'TL15'!$J$10:$J$224),0),
IF('TL15'!$B$229=P$3,SUMIF('TL15'!$C$238:$C$451,$C217,'TL15'!$J$238:$J$451),0),
IF('TL16'!$B$3=P$3,SUMIF('TL16'!$C$10:$C$224,$C217,'TL16'!$J$10:$J$224),0),
IF('TL16'!$B$229=P$3,SUMIF('TL16'!$C$238:$C$451,$C217,'TL16'!$J$238:$J$451),0),
IF('TL17'!$B$3=P$3,SUMIF('TL17'!$C$10:$C$224,$C217,'TL17'!$J$10:$J$224),0),
IF('TL17'!$B$229=P$3,SUMIF('TL17'!$C$238:$C$451,$C217,'TL17'!$J$238:$J$451),0),
IF('TL18'!$B$3=P$3,SUMIF('TL18'!$C$10:$C$224,$C217,'TL18'!$J$10:$J$224),0),
IF('TL18'!$B$229=P$3,SUMIF('TL18'!$C$238:$C$451,$C217,'TL18'!$J$238:$J$451),0),
IF('TL19'!$B$3=P$3,SUMIF('TL19'!$C$10:$C$224,$C217,'TL19'!$J$10:$J$224),0),
IF('TL19'!$B$229=P$3,SUMIF('TL19'!$C$238:$C$451,$C217,'TL19'!$J$238:$J$451),0)
),0)</f>
        <v>0</v>
      </c>
      <c r="Q217" s="9">
        <f>IFERROR(SUM(
IF('TL01'!$B$3=Q$3,SUMIF('TL01'!$C$10:$C$224,$C217,'TL01'!$J$10:$J$224),0),
IF('TL01'!$B$229=Q$3,SUMIF('TL01'!$C$238:$C$451,$C217,'TL01'!$J$238:$J$451),0),
IF('TL02'!$B$3=Q$3,SUMIF('TL02'!$C$10:$C$224,$C217,'TL02'!$J$10:$J$224),0),
IF('TL02'!$B$229=Q$3,SUMIF('TL02'!$C$238:$C$451,$C217,'TL02'!$J$238:$J$451),0),
IF('TL03'!$B$3=Q$3,SUMIF('TL03'!$C$10:$C$224,$C217,'TL03'!$J$10:$J$224),0),
IF('TL03'!$B$229=Q$3,SUMIF('TL03'!$C$238:$C$451,$C217,'TL03'!$J$238:$J$451),0),
IF('TL04'!$B$3=Q$3,SUMIF('TL04'!$C$10:$C$224,$C217,'TL04'!$J$10:$J$224),0),
IF('TL04'!$B$229=Q$3,SUMIF('TL04'!$C$238:$C$451,$C217,'TL04'!$J$238:$J$451),0),
IF('TL05'!$B$3=Q$3,SUMIF('TL05'!$C$10:$C$224,$C217,'TL05'!$J$10:$J$224),0),
IF('TL05'!$B$229=Q$3,SUMIF('TL05'!$C$238:$C$451,$C217,'TL05'!$J$238:$J$451),0),
IF('TL06'!$B$3=Q$3,SUMIF('TL06'!$C$10:$C$224,$C217,'TL06'!$J$10:$J$224),0),
IF('TL06'!$B$229=Q$3,SUMIF('TL06'!$C$238:$C$451,$C217,'TL06'!$J$238:$J$451),0),
IF('TL07'!$B$3=Q$3,SUMIF('TL07'!$C$10:$C$224,$C217,'TL07'!$J$10:$J$224),0),
IF('TL07'!$B$229=Q$3,SUMIF('TL07'!$C$238:$C$451,$C217,'TL07'!$J$238:$J$451),0),
IF('TL08'!$B$3=Q$3,SUMIF('TL08'!$C$10:$C$224,$C217,'TL08'!$J$10:$J$224),0),
IF('TL08'!$B$229=Q$3,SUMIF('TL08'!$C$238:$C$451,$C217,'TL08'!$J$238:$J$451),0),
IF('TL09'!$B$3=Q$3,SUMIF('TL09'!$C$10:$C$224,$C217,'TL09'!$J$10:$J$224),0),
IF('TL09'!$B$229=Q$3,SUMIF('TL09'!$C$238:$C$451,$C217,'TL09'!$J$238:$J$451),0),
IF('TL10'!$B$3=Q$3,SUMIF('TL10'!$C$10:$C$224,$C217,'TL10'!$J$10:$J$224),0),
IF('TL10'!$B$229=Q$3,SUMIF('TL10'!$C$238:$C$451,$C217,'TL10'!$J$238:$J$451),0),
IF('TL11'!$B$3=Q$3,SUMIF('TL11'!$C$10:$C$224,$C217,'TL11'!$J$10:$J$224),0),
IF('TL11'!$B$229=Q$3,SUMIF('TL11'!$C$238:$C$451,$C217,'TL11'!$J$238:$J$451),0),
IF('TL12'!$B$3=Q$3,SUMIF('TL12'!$C$10:$C$224,$C217,'TL12'!$J$10:$J$224),0),
IF('TL12'!$B$229=Q$3,SUMIF('TL12'!$C$238:$C$451,$C217,'TL12'!$J$238:$J$451),0),
IF('TL13'!$B$3=Q$3,SUMIF('TL13'!$C$10:$C$224,$C217,'TL13'!$J$10:$J$224),0),
IF('TL13'!$B$229=Q$3,SUMIF('TL13'!$C$238:$C$451,$C217,'TL13'!$J$238:$J$451),0),
IF('TL14'!$B$3=Q$3,SUMIF('TL14'!$C$10:$C$224,$C217,'TL14'!$J$10:$J$224),0),
IF('TL14'!$B$229=Q$3,SUMIF('TL14'!$C$238:$C$451,$C217,'TL14'!$J$238:$J$451),0),
IF('TL15'!$B$3=Q$3,SUMIF('TL15'!$C$10:$C$224,$C217,'TL15'!$J$10:$J$224),0),
IF('TL15'!$B$229=Q$3,SUMIF('TL15'!$C$238:$C$451,$C217,'TL15'!$J$238:$J$451),0),
IF('TL16'!$B$3=Q$3,SUMIF('TL16'!$C$10:$C$224,$C217,'TL16'!$J$10:$J$224),0),
IF('TL16'!$B$229=Q$3,SUMIF('TL16'!$C$238:$C$451,$C217,'TL16'!$J$238:$J$451),0),
IF('TL17'!$B$3=Q$3,SUMIF('TL17'!$C$10:$C$224,$C217,'TL17'!$J$10:$J$224),0),
IF('TL17'!$B$229=Q$3,SUMIF('TL17'!$C$238:$C$451,$C217,'TL17'!$J$238:$J$451),0),
IF('TL18'!$B$3=Q$3,SUMIF('TL18'!$C$10:$C$224,$C217,'TL18'!$J$10:$J$224),0),
IF('TL18'!$B$229=Q$3,SUMIF('TL18'!$C$238:$C$451,$C217,'TL18'!$J$238:$J$451),0),
IF('TL19'!$B$3=Q$3,SUMIF('TL19'!$C$10:$C$224,$C217,'TL19'!$J$10:$J$224),0),
IF('TL19'!$B$229=Q$3,SUMIF('TL19'!$C$238:$C$451,$C217,'TL19'!$J$238:$J$451),0)
),0)</f>
        <v>0</v>
      </c>
      <c r="R217" s="9">
        <f>IFERROR(
SUM(
SUMIF('TL01'!C:C,C217,'TL01'!J:J),
SUMIF('TL02'!C:C,C217,'TL02'!J:J),
SUMIF('TL03'!C:C,C217,'TL03'!J:J),
SUMIF('TL04'!C:C,C217,'TL04'!J:J),
SUMIF('TL05'!C:C,C217,'TL05'!J:J),
SUMIF('TL06'!C:C,C217,'TL06'!J:J),
SUMIF('TL07'!C:C,C217,'TL07'!J:J),
SUMIF('TL08'!C:C,C217,'TL08'!J:J),
SUMIF('TL09'!C:C,C217,'TL09'!J:J),
SUMIF('TL10'!C:C,C217,'TL10'!J:J),
SUMIF('TL11'!C:C,C217,'TL11'!J:J),
SUMIF('TL12'!C:C,C217,'TL12'!J:J),
SUMIF('TL13'!C:C,C217,'TL13'!J:J),
SUMIF('TL14'!C:C,C217,'TL14'!J:J),
SUMIF('TL15'!C:C,C217,'TL15'!J:J),
SUMIF('TL16'!C:C,C217,'TL16'!J:J),
SUMIF('TL17'!C:C,C217,'TL17'!J:J),
SUMIF('TL18'!C:C,C217,'TL18'!J:J),SUMIF('TL19'!C:C,C217,'TL19'!J:J))
,0)</f>
        <v>0</v>
      </c>
      <c r="S217" s="17">
        <f>IFERROR(__xludf.DUMMYFUNCTION("IFERROR(VLOOKUP(C217,
IMPORTRANGE(""1wULbzX32WdYsx-lj2U3uUNBBe2INVIRDtcK0d-Dvl90"",
""26-27!C:G""),
5,
FALSE),
"""")"),65.27649)</f>
        <v>65.27649</v>
      </c>
      <c r="T217" s="9"/>
      <c r="U217" s="92">
        <f t="shared" si="2"/>
        <v>0</v>
      </c>
      <c r="V217" s="93">
        <f t="shared" si="3"/>
        <v>0</v>
      </c>
    </row>
    <row r="218" ht="15.75" hidden="1" customHeight="1">
      <c r="A218" s="87" t="s">
        <v>516</v>
      </c>
      <c r="B218" s="88" t="s">
        <v>2</v>
      </c>
      <c r="C218" s="89" t="s">
        <v>849</v>
      </c>
      <c r="D218" s="89" t="s">
        <v>850</v>
      </c>
      <c r="E218" s="89" t="s">
        <v>851</v>
      </c>
      <c r="F218" s="4" t="s">
        <v>343</v>
      </c>
      <c r="G218" s="90" t="str">
        <f t="shared" si="4"/>
        <v>📄 Ver bula</v>
      </c>
      <c r="H218" s="9">
        <f>IFERROR(__xludf.DUMMYFUNCTION("IFERROR(VLOOKUP(C218,
IMPORTRANGE(""1wULbzX32WdYsx-lj2U3uUNBBe2INVIRDtcK0d-Dvl90"",
""26-27!C:K""),
8,
FALSE),
"""")"),1.0)</f>
        <v>1</v>
      </c>
      <c r="I218" s="91" t="s">
        <v>382</v>
      </c>
      <c r="J218" s="9">
        <f>IFERROR(SUM(
IF('TL01'!$B$3=J$3,SUMIF('TL01'!$C$10:$C$224,$C218,'TL01'!$J$10:$J$224),0),
IF('TL01'!$B$229=J$3,SUMIF('TL01'!$C$238:$C$451,$C218,'TL01'!$J$238:$J$451),0),
IF('TL02'!$B$3=J$3,SUMIF('TL02'!$C$10:$C$224,$C218,'TL02'!$J$10:$J$224),0),
IF('TL02'!$B$229=J$3,SUMIF('TL02'!$C$238:$C$451,$C218,'TL02'!$J$238:$J$451),0),
IF('TL03'!$B$3=J$3,SUMIF('TL03'!$C$10:$C$224,$C218,'TL03'!$J$10:$J$224),0),
IF('TL03'!$B$229=J$3,SUMIF('TL03'!$C$238:$C$451,$C218,'TL03'!$J$238:$J$451),0),
IF('TL04'!$B$3=J$3,SUMIF('TL04'!$C$10:$C$224,$C218,'TL04'!$J$10:$J$224),0),
IF('TL04'!$B$229=J$3,SUMIF('TL04'!$C$238:$C$451,$C218,'TL04'!$J$238:$J$451),0),
IF('TL05'!$B$3=J$3,SUMIF('TL05'!$C$10:$C$224,$C218,'TL05'!$J$10:$J$224),0),
IF('TL05'!$B$229=J$3,SUMIF('TL05'!$C$238:$C$451,$C218,'TL05'!$J$238:$J$451),0),
IF('TL06'!$B$3=J$3,SUMIF('TL06'!$C$10:$C$224,$C218,'TL06'!$J$10:$J$224),0),
IF('TL06'!$B$229=J$3,SUMIF('TL06'!$C$238:$C$451,$C218,'TL06'!$J$238:$J$451),0),
IF('TL07'!$B$3=J$3,SUMIF('TL07'!$C$10:$C$224,$C218,'TL07'!$J$10:$J$224),0),
IF('TL07'!$B$229=J$3,SUMIF('TL07'!$C$238:$C$451,$C218,'TL07'!$J$238:$J$451),0),
IF('TL08'!$B$3=J$3,SUMIF('TL08'!$C$10:$C$224,$C218,'TL08'!$J$10:$J$224),0),
IF('TL08'!$B$229=J$3,SUMIF('TL08'!$C$238:$C$451,$C218,'TL08'!$J$238:$J$451),0),
IF('TL09'!$B$3=J$3,SUMIF('TL09'!$C$10:$C$224,$C218,'TL09'!$J$10:$J$224),0),
IF('TL09'!$B$229=J$3,SUMIF('TL09'!$C$238:$C$451,$C218,'TL09'!$J$238:$J$451),0),
IF('TL10'!$B$3=J$3,SUMIF('TL10'!$C$10:$C$224,$C218,'TL10'!$J$10:$J$224),0),
IF('TL10'!$B$229=J$3,SUMIF('TL10'!$C$238:$C$451,$C218,'TL10'!$J$238:$J$451),0),
IF('TL11'!$B$3=J$3,SUMIF('TL11'!$C$10:$C$224,$C218,'TL11'!$J$10:$J$224),0),
IF('TL11'!$B$229=J$3,SUMIF('TL11'!$C$238:$C$451,$C218,'TL11'!$J$238:$J$451),0),
IF('TL12'!$B$3=J$3,SUMIF('TL12'!$C$10:$C$224,$C218,'TL12'!$J$10:$J$224),0),
IF('TL12'!$B$229=J$3,SUMIF('TL12'!$C$238:$C$451,$C218,'TL12'!$J$238:$J$451),0),
IF('TL13'!$B$3=J$3,SUMIF('TL13'!$C$10:$C$224,$C218,'TL13'!$J$10:$J$224),0),
IF('TL13'!$B$229=J$3,SUMIF('TL13'!$C$238:$C$451,$C218,'TL13'!$J$238:$J$451),0),
IF('TL14'!$B$3=J$3,SUMIF('TL14'!$C$10:$C$224,$C218,'TL14'!$J$10:$J$224),0),
IF('TL14'!$B$229=J$3,SUMIF('TL14'!$C$238:$C$451,$C218,'TL14'!$J$238:$J$451),0),
IF('TL15'!$B$3=J$3,SUMIF('TL15'!$C$10:$C$224,$C218,'TL15'!$J$10:$J$224),0),
IF('TL15'!$B$229=J$3,SUMIF('TL15'!$C$238:$C$451,$C218,'TL15'!$J$238:$J$451),0),
IF('TL16'!$B$3=J$3,SUMIF('TL16'!$C$10:$C$224,$C218,'TL16'!$J$10:$J$224),0),
IF('TL16'!$B$229=J$3,SUMIF('TL16'!$C$238:$C$451,$C218,'TL16'!$J$238:$J$451),0),
IF('TL17'!$B$3=J$3,SUMIF('TL17'!$C$10:$C$224,$C218,'TL17'!$J$10:$J$224),0),
IF('TL17'!$B$229=J$3,SUMIF('TL17'!$C$238:$C$451,$C218,'TL17'!$J$238:$J$451),0),
IF('TL18'!$B$3=J$3,SUMIF('TL18'!$C$10:$C$224,$C218,'TL18'!$J$10:$J$224),0),
IF('TL18'!$B$229=J$3,SUMIF('TL18'!$C$238:$C$451,$C218,'TL18'!$J$238:$J$451),0),
IF('TL19'!$B$3=J$3,SUMIF('TL19'!$C$10:$C$224,$C218,'TL19'!$J$10:$J$224),0),
IF('TL19'!$B$229=J$3,SUMIF('TL19'!$C$238:$C$451,$C218,'TL19'!$J$238:$J$451),0)
),0)</f>
        <v>0</v>
      </c>
      <c r="K218" s="9">
        <f>IFERROR(SUM(
IF('TL01'!$B$3=K$3,SUMIF('TL01'!$C$10:$C$224,$C218,'TL01'!$J$10:$J$224),0),
IF('TL01'!$B$229=K$3,SUMIF('TL01'!$C$238:$C$451,$C218,'TL01'!$J$238:$J$451),0),
IF('TL02'!$B$3=K$3,SUMIF('TL02'!$C$10:$C$224,$C218,'TL02'!$J$10:$J$224),0),
IF('TL02'!$B$229=K$3,SUMIF('TL02'!$C$238:$C$451,$C218,'TL02'!$J$238:$J$451),0),
IF('TL03'!$B$3=K$3,SUMIF('TL03'!$C$10:$C$224,$C218,'TL03'!$J$10:$J$224),0),
IF('TL03'!$B$229=K$3,SUMIF('TL03'!$C$238:$C$451,$C218,'TL03'!$J$238:$J$451),0),
IF('TL04'!$B$3=K$3,SUMIF('TL04'!$C$10:$C$224,$C218,'TL04'!$J$10:$J$224),0),
IF('TL04'!$B$229=K$3,SUMIF('TL04'!$C$238:$C$451,$C218,'TL04'!$J$238:$J$451),0),
IF('TL05'!$B$3=K$3,SUMIF('TL05'!$C$10:$C$224,$C218,'TL05'!$J$10:$J$224),0),
IF('TL05'!$B$229=K$3,SUMIF('TL05'!$C$238:$C$451,$C218,'TL05'!$J$238:$J$451),0),
IF('TL06'!$B$3=K$3,SUMIF('TL06'!$C$10:$C$224,$C218,'TL06'!$J$10:$J$224),0),
IF('TL06'!$B$229=K$3,SUMIF('TL06'!$C$238:$C$451,$C218,'TL06'!$J$238:$J$451),0),
IF('TL07'!$B$3=K$3,SUMIF('TL07'!$C$10:$C$224,$C218,'TL07'!$J$10:$J$224),0),
IF('TL07'!$B$229=K$3,SUMIF('TL07'!$C$238:$C$451,$C218,'TL07'!$J$238:$J$451),0),
IF('TL08'!$B$3=K$3,SUMIF('TL08'!$C$10:$C$224,$C218,'TL08'!$J$10:$J$224),0),
IF('TL08'!$B$229=K$3,SUMIF('TL08'!$C$238:$C$451,$C218,'TL08'!$J$238:$J$451),0),
IF('TL09'!$B$3=K$3,SUMIF('TL09'!$C$10:$C$224,$C218,'TL09'!$J$10:$J$224),0),
IF('TL09'!$B$229=K$3,SUMIF('TL09'!$C$238:$C$451,$C218,'TL09'!$J$238:$J$451),0),
IF('TL10'!$B$3=K$3,SUMIF('TL10'!$C$10:$C$224,$C218,'TL10'!$J$10:$J$224),0),
IF('TL10'!$B$229=K$3,SUMIF('TL10'!$C$238:$C$451,$C218,'TL10'!$J$238:$J$451),0),
IF('TL11'!$B$3=K$3,SUMIF('TL11'!$C$10:$C$224,$C218,'TL11'!$J$10:$J$224),0),
IF('TL11'!$B$229=K$3,SUMIF('TL11'!$C$238:$C$451,$C218,'TL11'!$J$238:$J$451),0),
IF('TL12'!$B$3=K$3,SUMIF('TL12'!$C$10:$C$224,$C218,'TL12'!$J$10:$J$224),0),
IF('TL12'!$B$229=K$3,SUMIF('TL12'!$C$238:$C$451,$C218,'TL12'!$J$238:$J$451),0),
IF('TL13'!$B$3=K$3,SUMIF('TL13'!$C$10:$C$224,$C218,'TL13'!$J$10:$J$224),0),
IF('TL13'!$B$229=K$3,SUMIF('TL13'!$C$238:$C$451,$C218,'TL13'!$J$238:$J$451),0),
IF('TL14'!$B$3=K$3,SUMIF('TL14'!$C$10:$C$224,$C218,'TL14'!$J$10:$J$224),0),
IF('TL14'!$B$229=K$3,SUMIF('TL14'!$C$238:$C$451,$C218,'TL14'!$J$238:$J$451),0),
IF('TL15'!$B$3=K$3,SUMIF('TL15'!$C$10:$C$224,$C218,'TL15'!$J$10:$J$224),0),
IF('TL15'!$B$229=K$3,SUMIF('TL15'!$C$238:$C$451,$C218,'TL15'!$J$238:$J$451),0),
IF('TL16'!$B$3=K$3,SUMIF('TL16'!$C$10:$C$224,$C218,'TL16'!$J$10:$J$224),0),
IF('TL16'!$B$229=K$3,SUMIF('TL16'!$C$238:$C$451,$C218,'TL16'!$J$238:$J$451),0),
IF('TL17'!$B$3=K$3,SUMIF('TL17'!$C$10:$C$224,$C218,'TL17'!$J$10:$J$224),0),
IF('TL17'!$B$229=K$3,SUMIF('TL17'!$C$238:$C$451,$C218,'TL17'!$J$238:$J$451),0),
IF('TL18'!$B$3=K$3,SUMIF('TL18'!$C$10:$C$224,$C218,'TL18'!$J$10:$J$224),0),
IF('TL18'!$B$229=K$3,SUMIF('TL18'!$C$238:$C$451,$C218,'TL18'!$J$238:$J$451),0),
IF('TL19'!$B$3=K$3,SUMIF('TL19'!$C$10:$C$224,$C218,'TL19'!$J$10:$J$224),0),
IF('TL19'!$B$229=K$3,SUMIF('TL19'!$C$238:$C$451,$C218,'TL19'!$J$238:$J$451),0)
),0)</f>
        <v>0</v>
      </c>
      <c r="L218" s="9">
        <f>IFERROR(SUM(
IF('TL01'!$B$3=L$3,SUMIF('TL01'!$C$10:$C$224,$C218,'TL01'!$J$10:$J$224),0),
IF('TL01'!$B$229=L$3,SUMIF('TL01'!$C$238:$C$451,$C218,'TL01'!$J$238:$J$451),0),
IF('TL02'!$B$3=L$3,SUMIF('TL02'!$C$10:$C$224,$C218,'TL02'!$J$10:$J$224),0),
IF('TL02'!$B$229=L$3,SUMIF('TL02'!$C$238:$C$451,$C218,'TL02'!$J$238:$J$451),0),
IF('TL03'!$B$3=L$3,SUMIF('TL03'!$C$10:$C$224,$C218,'TL03'!$J$10:$J$224),0),
IF('TL03'!$B$229=L$3,SUMIF('TL03'!$C$238:$C$451,$C218,'TL03'!$J$238:$J$451),0),
IF('TL04'!$B$3=L$3,SUMIF('TL04'!$C$10:$C$224,$C218,'TL04'!$J$10:$J$224),0),
IF('TL04'!$B$229=L$3,SUMIF('TL04'!$C$238:$C$451,$C218,'TL04'!$J$238:$J$451),0),
IF('TL05'!$B$3=L$3,SUMIF('TL05'!$C$10:$C$224,$C218,'TL05'!$J$10:$J$224),0),
IF('TL05'!$B$229=L$3,SUMIF('TL05'!$C$238:$C$451,$C218,'TL05'!$J$238:$J$451),0),
IF('TL06'!$B$3=L$3,SUMIF('TL06'!$C$10:$C$224,$C218,'TL06'!$J$10:$J$224),0),
IF('TL06'!$B$229=L$3,SUMIF('TL06'!$C$238:$C$451,$C218,'TL06'!$J$238:$J$451),0),
IF('TL07'!$B$3=L$3,SUMIF('TL07'!$C$10:$C$224,$C218,'TL07'!$J$10:$J$224),0),
IF('TL07'!$B$229=L$3,SUMIF('TL07'!$C$238:$C$451,$C218,'TL07'!$J$238:$J$451),0),
IF('TL08'!$B$3=L$3,SUMIF('TL08'!$C$10:$C$224,$C218,'TL08'!$J$10:$J$224),0),
IF('TL08'!$B$229=L$3,SUMIF('TL08'!$C$238:$C$451,$C218,'TL08'!$J$238:$J$451),0),
IF('TL09'!$B$3=L$3,SUMIF('TL09'!$C$10:$C$224,$C218,'TL09'!$J$10:$J$224),0),
IF('TL09'!$B$229=L$3,SUMIF('TL09'!$C$238:$C$451,$C218,'TL09'!$J$238:$J$451),0),
IF('TL10'!$B$3=L$3,SUMIF('TL10'!$C$10:$C$224,$C218,'TL10'!$J$10:$J$224),0),
IF('TL10'!$B$229=L$3,SUMIF('TL10'!$C$238:$C$451,$C218,'TL10'!$J$238:$J$451),0),
IF('TL11'!$B$3=L$3,SUMIF('TL11'!$C$10:$C$224,$C218,'TL11'!$J$10:$J$224),0),
IF('TL11'!$B$229=L$3,SUMIF('TL11'!$C$238:$C$451,$C218,'TL11'!$J$238:$J$451),0),
IF('TL12'!$B$3=L$3,SUMIF('TL12'!$C$10:$C$224,$C218,'TL12'!$J$10:$J$224),0),
IF('TL12'!$B$229=L$3,SUMIF('TL12'!$C$238:$C$451,$C218,'TL12'!$J$238:$J$451),0),
IF('TL13'!$B$3=L$3,SUMIF('TL13'!$C$10:$C$224,$C218,'TL13'!$J$10:$J$224),0),
IF('TL13'!$B$229=L$3,SUMIF('TL13'!$C$238:$C$451,$C218,'TL13'!$J$238:$J$451),0),
IF('TL14'!$B$3=L$3,SUMIF('TL14'!$C$10:$C$224,$C218,'TL14'!$J$10:$J$224),0),
IF('TL14'!$B$229=L$3,SUMIF('TL14'!$C$238:$C$451,$C218,'TL14'!$J$238:$J$451),0),
IF('TL15'!$B$3=L$3,SUMIF('TL15'!$C$10:$C$224,$C218,'TL15'!$J$10:$J$224),0),
IF('TL15'!$B$229=L$3,SUMIF('TL15'!$C$238:$C$451,$C218,'TL15'!$J$238:$J$451),0),
IF('TL16'!$B$3=L$3,SUMIF('TL16'!$C$10:$C$224,$C218,'TL16'!$J$10:$J$224),0),
IF('TL16'!$B$229=L$3,SUMIF('TL16'!$C$238:$C$451,$C218,'TL16'!$J$238:$J$451),0),
IF('TL17'!$B$3=L$3,SUMIF('TL17'!$C$10:$C$224,$C218,'TL17'!$J$10:$J$224),0),
IF('TL17'!$B$229=L$3,SUMIF('TL17'!$C$238:$C$451,$C218,'TL17'!$J$238:$J$451),0),
IF('TL18'!$B$3=L$3,SUMIF('TL18'!$C$10:$C$224,$C218,'TL18'!$J$10:$J$224),0),
IF('TL18'!$B$229=L$3,SUMIF('TL18'!$C$238:$C$451,$C218,'TL18'!$J$238:$J$451),0),
IF('TL19'!$B$3=L$3,SUMIF('TL19'!$C$10:$C$224,$C218,'TL19'!$J$10:$J$224),0),
IF('TL19'!$B$229=L$3,SUMIF('TL19'!$C$238:$C$451,$C218,'TL19'!$J$238:$J$451),0)
),0)</f>
        <v>0</v>
      </c>
      <c r="M218" s="9">
        <f>IFERROR(SUM(
IF('TL01'!$B$3=M$3,SUMIF('TL01'!$C$10:$C$224,$C218,'TL01'!$J$10:$J$224),0),
IF('TL01'!$B$229=M$3,SUMIF('TL01'!$C$238:$C$451,$C218,'TL01'!$J$238:$J$451),0),
IF('TL02'!$B$3=M$3,SUMIF('TL02'!$C$10:$C$224,$C218,'TL02'!$J$10:$J$224),0),
IF('TL02'!$B$229=M$3,SUMIF('TL02'!$C$238:$C$451,$C218,'TL02'!$J$238:$J$451),0),
IF('TL03'!$B$3=M$3,SUMIF('TL03'!$C$10:$C$224,$C218,'TL03'!$J$10:$J$224),0),
IF('TL03'!$B$229=M$3,SUMIF('TL03'!$C$238:$C$451,$C218,'TL03'!$J$238:$J$451),0),
IF('TL04'!$B$3=M$3,SUMIF('TL04'!$C$10:$C$224,$C218,'TL04'!$J$10:$J$224),0),
IF('TL04'!$B$229=M$3,SUMIF('TL04'!$C$238:$C$451,$C218,'TL04'!$J$238:$J$451),0),
IF('TL05'!$B$3=M$3,SUMIF('TL05'!$C$10:$C$224,$C218,'TL05'!$J$10:$J$224),0),
IF('TL05'!$B$229=M$3,SUMIF('TL05'!$C$238:$C$451,$C218,'TL05'!$J$238:$J$451),0),
IF('TL06'!$B$3=M$3,SUMIF('TL06'!$C$10:$C$224,$C218,'TL06'!$J$10:$J$224),0),
IF('TL06'!$B$229=M$3,SUMIF('TL06'!$C$238:$C$451,$C218,'TL06'!$J$238:$J$451),0),
IF('TL07'!$B$3=M$3,SUMIF('TL07'!$C$10:$C$224,$C218,'TL07'!$J$10:$J$224),0),
IF('TL07'!$B$229=M$3,SUMIF('TL07'!$C$238:$C$451,$C218,'TL07'!$J$238:$J$451),0),
IF('TL08'!$B$3=M$3,SUMIF('TL08'!$C$10:$C$224,$C218,'TL08'!$J$10:$J$224),0),
IF('TL08'!$B$229=M$3,SUMIF('TL08'!$C$238:$C$451,$C218,'TL08'!$J$238:$J$451),0),
IF('TL09'!$B$3=M$3,SUMIF('TL09'!$C$10:$C$224,$C218,'TL09'!$J$10:$J$224),0),
IF('TL09'!$B$229=M$3,SUMIF('TL09'!$C$238:$C$451,$C218,'TL09'!$J$238:$J$451),0),
IF('TL10'!$B$3=M$3,SUMIF('TL10'!$C$10:$C$224,$C218,'TL10'!$J$10:$J$224),0),
IF('TL10'!$B$229=M$3,SUMIF('TL10'!$C$238:$C$451,$C218,'TL10'!$J$238:$J$451),0),
IF('TL11'!$B$3=M$3,SUMIF('TL11'!$C$10:$C$224,$C218,'TL11'!$J$10:$J$224),0),
IF('TL11'!$B$229=M$3,SUMIF('TL11'!$C$238:$C$451,$C218,'TL11'!$J$238:$J$451),0),
IF('TL12'!$B$3=M$3,SUMIF('TL12'!$C$10:$C$224,$C218,'TL12'!$J$10:$J$224),0),
IF('TL12'!$B$229=M$3,SUMIF('TL12'!$C$238:$C$451,$C218,'TL12'!$J$238:$J$451),0),
IF('TL13'!$B$3=M$3,SUMIF('TL13'!$C$10:$C$224,$C218,'TL13'!$J$10:$J$224),0),
IF('TL13'!$B$229=M$3,SUMIF('TL13'!$C$238:$C$451,$C218,'TL13'!$J$238:$J$451),0),
IF('TL14'!$B$3=M$3,SUMIF('TL14'!$C$10:$C$224,$C218,'TL14'!$J$10:$J$224),0),
IF('TL14'!$B$229=M$3,SUMIF('TL14'!$C$238:$C$451,$C218,'TL14'!$J$238:$J$451),0),
IF('TL15'!$B$3=M$3,SUMIF('TL15'!$C$10:$C$224,$C218,'TL15'!$J$10:$J$224),0),
IF('TL15'!$B$229=M$3,SUMIF('TL15'!$C$238:$C$451,$C218,'TL15'!$J$238:$J$451),0),
IF('TL16'!$B$3=M$3,SUMIF('TL16'!$C$10:$C$224,$C218,'TL16'!$J$10:$J$224),0),
IF('TL16'!$B$229=M$3,SUMIF('TL16'!$C$238:$C$451,$C218,'TL16'!$J$238:$J$451),0),
IF('TL17'!$B$3=M$3,SUMIF('TL17'!$C$10:$C$224,$C218,'TL17'!$J$10:$J$224),0),
IF('TL17'!$B$229=M$3,SUMIF('TL17'!$C$238:$C$451,$C218,'TL17'!$J$238:$J$451),0),
IF('TL18'!$B$3=M$3,SUMIF('TL18'!$C$10:$C$224,$C218,'TL18'!$J$10:$J$224),0),
IF('TL18'!$B$229=M$3,SUMIF('TL18'!$C$238:$C$451,$C218,'TL18'!$J$238:$J$451),0),
IF('TL19'!$B$3=M$3,SUMIF('TL19'!$C$10:$C$224,$C218,'TL19'!$J$10:$J$224),0),
IF('TL19'!$B$229=M$3,SUMIF('TL19'!$C$238:$C$451,$C218,'TL19'!$J$238:$J$451),0)
),0)</f>
        <v>0</v>
      </c>
      <c r="N218" s="9">
        <f>IFERROR(SUM(
IF('TL01'!$B$3=N$3,SUMIF('TL01'!$C$10:$C$224,$C218,'TL01'!$J$10:$J$224),0),
IF('TL01'!$B$229=N$3,SUMIF('TL01'!$C$238:$C$451,$C218,'TL01'!$J$238:$J$451),0),
IF('TL02'!$B$3=N$3,SUMIF('TL02'!$C$10:$C$224,$C218,'TL02'!$J$10:$J$224),0),
IF('TL02'!$B$229=N$3,SUMIF('TL02'!$C$238:$C$451,$C218,'TL02'!$J$238:$J$451),0),
IF('TL03'!$B$3=N$3,SUMIF('TL03'!$C$10:$C$224,$C218,'TL03'!$J$10:$J$224),0),
IF('TL03'!$B$229=N$3,SUMIF('TL03'!$C$238:$C$451,$C218,'TL03'!$J$238:$J$451),0),
IF('TL04'!$B$3=N$3,SUMIF('TL04'!$C$10:$C$224,$C218,'TL04'!$J$10:$J$224),0),
IF('TL04'!$B$229=N$3,SUMIF('TL04'!$C$238:$C$451,$C218,'TL04'!$J$238:$J$451),0),
IF('TL05'!$B$3=N$3,SUMIF('TL05'!$C$10:$C$224,$C218,'TL05'!$J$10:$J$224),0),
IF('TL05'!$B$229=N$3,SUMIF('TL05'!$C$238:$C$451,$C218,'TL05'!$J$238:$J$451),0),
IF('TL06'!$B$3=N$3,SUMIF('TL06'!$C$10:$C$224,$C218,'TL06'!$J$10:$J$224),0),
IF('TL06'!$B$229=N$3,SUMIF('TL06'!$C$238:$C$451,$C218,'TL06'!$J$238:$J$451),0),
IF('TL07'!$B$3=N$3,SUMIF('TL07'!$C$10:$C$224,$C218,'TL07'!$J$10:$J$224),0),
IF('TL07'!$B$229=N$3,SUMIF('TL07'!$C$238:$C$451,$C218,'TL07'!$J$238:$J$451),0),
IF('TL08'!$B$3=N$3,SUMIF('TL08'!$C$10:$C$224,$C218,'TL08'!$J$10:$J$224),0),
IF('TL08'!$B$229=N$3,SUMIF('TL08'!$C$238:$C$451,$C218,'TL08'!$J$238:$J$451),0),
IF('TL09'!$B$3=N$3,SUMIF('TL09'!$C$10:$C$224,$C218,'TL09'!$J$10:$J$224),0),
IF('TL09'!$B$229=N$3,SUMIF('TL09'!$C$238:$C$451,$C218,'TL09'!$J$238:$J$451),0),
IF('TL10'!$B$3=N$3,SUMIF('TL10'!$C$10:$C$224,$C218,'TL10'!$J$10:$J$224),0),
IF('TL10'!$B$229=N$3,SUMIF('TL10'!$C$238:$C$451,$C218,'TL10'!$J$238:$J$451),0),
IF('TL11'!$B$3=N$3,SUMIF('TL11'!$C$10:$C$224,$C218,'TL11'!$J$10:$J$224),0),
IF('TL11'!$B$229=N$3,SUMIF('TL11'!$C$238:$C$451,$C218,'TL11'!$J$238:$J$451),0),
IF('TL12'!$B$3=N$3,SUMIF('TL12'!$C$10:$C$224,$C218,'TL12'!$J$10:$J$224),0),
IF('TL12'!$B$229=N$3,SUMIF('TL12'!$C$238:$C$451,$C218,'TL12'!$J$238:$J$451),0),
IF('TL13'!$B$3=N$3,SUMIF('TL13'!$C$10:$C$224,$C218,'TL13'!$J$10:$J$224),0),
IF('TL13'!$B$229=N$3,SUMIF('TL13'!$C$238:$C$451,$C218,'TL13'!$J$238:$J$451),0),
IF('TL14'!$B$3=N$3,SUMIF('TL14'!$C$10:$C$224,$C218,'TL14'!$J$10:$J$224),0),
IF('TL14'!$B$229=N$3,SUMIF('TL14'!$C$238:$C$451,$C218,'TL14'!$J$238:$J$451),0),
IF('TL15'!$B$3=N$3,SUMIF('TL15'!$C$10:$C$224,$C218,'TL15'!$J$10:$J$224),0),
IF('TL15'!$B$229=N$3,SUMIF('TL15'!$C$238:$C$451,$C218,'TL15'!$J$238:$J$451),0),
IF('TL16'!$B$3=N$3,SUMIF('TL16'!$C$10:$C$224,$C218,'TL16'!$J$10:$J$224),0),
IF('TL16'!$B$229=N$3,SUMIF('TL16'!$C$238:$C$451,$C218,'TL16'!$J$238:$J$451),0),
IF('TL17'!$B$3=N$3,SUMIF('TL17'!$C$10:$C$224,$C218,'TL17'!$J$10:$J$224),0),
IF('TL17'!$B$229=N$3,SUMIF('TL17'!$C$238:$C$451,$C218,'TL17'!$J$238:$J$451),0),
IF('TL18'!$B$3=N$3,SUMIF('TL18'!$C$10:$C$224,$C218,'TL18'!$J$10:$J$224),0),
IF('TL18'!$B$229=N$3,SUMIF('TL18'!$C$238:$C$451,$C218,'TL18'!$J$238:$J$451),0),
IF('TL19'!$B$3=N$3,SUMIF('TL19'!$C$10:$C$224,$C218,'TL19'!$J$10:$J$224),0),
IF('TL19'!$B$229=N$3,SUMIF('TL19'!$C$238:$C$451,$C218,'TL19'!$J$238:$J$451),0)
),0)</f>
        <v>0</v>
      </c>
      <c r="O218" s="9">
        <f>IFERROR(SUM(
IF('TL01'!$B$3=O$3,SUMIF('TL01'!$C$10:$C$224,$C218,'TL01'!$J$10:$J$224),0),
IF('TL01'!$B$229=O$3,SUMIF('TL01'!$C$238:$C$451,$C218,'TL01'!$J$238:$J$451),0),
IF('TL02'!$B$3=O$3,SUMIF('TL02'!$C$10:$C$224,$C218,'TL02'!$J$10:$J$224),0),
IF('TL02'!$B$229=O$3,SUMIF('TL02'!$C$238:$C$451,$C218,'TL02'!$J$238:$J$451),0),
IF('TL03'!$B$3=O$3,SUMIF('TL03'!$C$10:$C$224,$C218,'TL03'!$J$10:$J$224),0),
IF('TL03'!$B$229=O$3,SUMIF('TL03'!$C$238:$C$451,$C218,'TL03'!$J$238:$J$451),0),
IF('TL04'!$B$3=O$3,SUMIF('TL04'!$C$10:$C$224,$C218,'TL04'!$J$10:$J$224),0),
IF('TL04'!$B$229=O$3,SUMIF('TL04'!$C$238:$C$451,$C218,'TL04'!$J$238:$J$451),0),
IF('TL05'!$B$3=O$3,SUMIF('TL05'!$C$10:$C$224,$C218,'TL05'!$J$10:$J$224),0),
IF('TL05'!$B$229=O$3,SUMIF('TL05'!$C$238:$C$451,$C218,'TL05'!$J$238:$J$451),0),
IF('TL06'!$B$3=O$3,SUMIF('TL06'!$C$10:$C$224,$C218,'TL06'!$J$10:$J$224),0),
IF('TL06'!$B$229=O$3,SUMIF('TL06'!$C$238:$C$451,$C218,'TL06'!$J$238:$J$451),0),
IF('TL07'!$B$3=O$3,SUMIF('TL07'!$C$10:$C$224,$C218,'TL07'!$J$10:$J$224),0),
IF('TL07'!$B$229=O$3,SUMIF('TL07'!$C$238:$C$451,$C218,'TL07'!$J$238:$J$451),0),
IF('TL08'!$B$3=O$3,SUMIF('TL08'!$C$10:$C$224,$C218,'TL08'!$J$10:$J$224),0),
IF('TL08'!$B$229=O$3,SUMIF('TL08'!$C$238:$C$451,$C218,'TL08'!$J$238:$J$451),0),
IF('TL09'!$B$3=O$3,SUMIF('TL09'!$C$10:$C$224,$C218,'TL09'!$J$10:$J$224),0),
IF('TL09'!$B$229=O$3,SUMIF('TL09'!$C$238:$C$451,$C218,'TL09'!$J$238:$J$451),0),
IF('TL10'!$B$3=O$3,SUMIF('TL10'!$C$10:$C$224,$C218,'TL10'!$J$10:$J$224),0),
IF('TL10'!$B$229=O$3,SUMIF('TL10'!$C$238:$C$451,$C218,'TL10'!$J$238:$J$451),0),
IF('TL11'!$B$3=O$3,SUMIF('TL11'!$C$10:$C$224,$C218,'TL11'!$J$10:$J$224),0),
IF('TL11'!$B$229=O$3,SUMIF('TL11'!$C$238:$C$451,$C218,'TL11'!$J$238:$J$451),0),
IF('TL12'!$B$3=O$3,SUMIF('TL12'!$C$10:$C$224,$C218,'TL12'!$J$10:$J$224),0),
IF('TL12'!$B$229=O$3,SUMIF('TL12'!$C$238:$C$451,$C218,'TL12'!$J$238:$J$451),0),
IF('TL13'!$B$3=O$3,SUMIF('TL13'!$C$10:$C$224,$C218,'TL13'!$J$10:$J$224),0),
IF('TL13'!$B$229=O$3,SUMIF('TL13'!$C$238:$C$451,$C218,'TL13'!$J$238:$J$451),0),
IF('TL14'!$B$3=O$3,SUMIF('TL14'!$C$10:$C$224,$C218,'TL14'!$J$10:$J$224),0),
IF('TL14'!$B$229=O$3,SUMIF('TL14'!$C$238:$C$451,$C218,'TL14'!$J$238:$J$451),0),
IF('TL15'!$B$3=O$3,SUMIF('TL15'!$C$10:$C$224,$C218,'TL15'!$J$10:$J$224),0),
IF('TL15'!$B$229=O$3,SUMIF('TL15'!$C$238:$C$451,$C218,'TL15'!$J$238:$J$451),0),
IF('TL16'!$B$3=O$3,SUMIF('TL16'!$C$10:$C$224,$C218,'TL16'!$J$10:$J$224),0),
IF('TL16'!$B$229=O$3,SUMIF('TL16'!$C$238:$C$451,$C218,'TL16'!$J$238:$J$451),0),
IF('TL17'!$B$3=O$3,SUMIF('TL17'!$C$10:$C$224,$C218,'TL17'!$J$10:$J$224),0),
IF('TL17'!$B$229=O$3,SUMIF('TL17'!$C$238:$C$451,$C218,'TL17'!$J$238:$J$451),0),
IF('TL18'!$B$3=O$3,SUMIF('TL18'!$C$10:$C$224,$C218,'TL18'!$J$10:$J$224),0),
IF('TL18'!$B$229=O$3,SUMIF('TL18'!$C$238:$C$451,$C218,'TL18'!$J$238:$J$451),0),
IF('TL19'!$B$3=O$3,SUMIF('TL19'!$C$10:$C$224,$C218,'TL19'!$J$10:$J$224),0),
IF('TL19'!$B$229=O$3,SUMIF('TL19'!$C$238:$C$451,$C218,'TL19'!$J$238:$J$451),0)
),0)</f>
        <v>0</v>
      </c>
      <c r="P218" s="9">
        <f>IFERROR(SUM(
IF('TL01'!$B$3=P$3,SUMIF('TL01'!$C$10:$C$224,$C218,'TL01'!$J$10:$J$224),0),
IF('TL01'!$B$229=P$3,SUMIF('TL01'!$C$238:$C$451,$C218,'TL01'!$J$238:$J$451),0),
IF('TL02'!$B$3=P$3,SUMIF('TL02'!$C$10:$C$224,$C218,'TL02'!$J$10:$J$224),0),
IF('TL02'!$B$229=P$3,SUMIF('TL02'!$C$238:$C$451,$C218,'TL02'!$J$238:$J$451),0),
IF('TL03'!$B$3=P$3,SUMIF('TL03'!$C$10:$C$224,$C218,'TL03'!$J$10:$J$224),0),
IF('TL03'!$B$229=P$3,SUMIF('TL03'!$C$238:$C$451,$C218,'TL03'!$J$238:$J$451),0),
IF('TL04'!$B$3=P$3,SUMIF('TL04'!$C$10:$C$224,$C218,'TL04'!$J$10:$J$224),0),
IF('TL04'!$B$229=P$3,SUMIF('TL04'!$C$238:$C$451,$C218,'TL04'!$J$238:$J$451),0),
IF('TL05'!$B$3=P$3,SUMIF('TL05'!$C$10:$C$224,$C218,'TL05'!$J$10:$J$224),0),
IF('TL05'!$B$229=P$3,SUMIF('TL05'!$C$238:$C$451,$C218,'TL05'!$J$238:$J$451),0),
IF('TL06'!$B$3=P$3,SUMIF('TL06'!$C$10:$C$224,$C218,'TL06'!$J$10:$J$224),0),
IF('TL06'!$B$229=P$3,SUMIF('TL06'!$C$238:$C$451,$C218,'TL06'!$J$238:$J$451),0),
IF('TL07'!$B$3=P$3,SUMIF('TL07'!$C$10:$C$224,$C218,'TL07'!$J$10:$J$224),0),
IF('TL07'!$B$229=P$3,SUMIF('TL07'!$C$238:$C$451,$C218,'TL07'!$J$238:$J$451),0),
IF('TL08'!$B$3=P$3,SUMIF('TL08'!$C$10:$C$224,$C218,'TL08'!$J$10:$J$224),0),
IF('TL08'!$B$229=P$3,SUMIF('TL08'!$C$238:$C$451,$C218,'TL08'!$J$238:$J$451),0),
IF('TL09'!$B$3=P$3,SUMIF('TL09'!$C$10:$C$224,$C218,'TL09'!$J$10:$J$224),0),
IF('TL09'!$B$229=P$3,SUMIF('TL09'!$C$238:$C$451,$C218,'TL09'!$J$238:$J$451),0),
IF('TL10'!$B$3=P$3,SUMIF('TL10'!$C$10:$C$224,$C218,'TL10'!$J$10:$J$224),0),
IF('TL10'!$B$229=P$3,SUMIF('TL10'!$C$238:$C$451,$C218,'TL10'!$J$238:$J$451),0),
IF('TL11'!$B$3=P$3,SUMIF('TL11'!$C$10:$C$224,$C218,'TL11'!$J$10:$J$224),0),
IF('TL11'!$B$229=P$3,SUMIF('TL11'!$C$238:$C$451,$C218,'TL11'!$J$238:$J$451),0),
IF('TL12'!$B$3=P$3,SUMIF('TL12'!$C$10:$C$224,$C218,'TL12'!$J$10:$J$224),0),
IF('TL12'!$B$229=P$3,SUMIF('TL12'!$C$238:$C$451,$C218,'TL12'!$J$238:$J$451),0),
IF('TL13'!$B$3=P$3,SUMIF('TL13'!$C$10:$C$224,$C218,'TL13'!$J$10:$J$224),0),
IF('TL13'!$B$229=P$3,SUMIF('TL13'!$C$238:$C$451,$C218,'TL13'!$J$238:$J$451),0),
IF('TL14'!$B$3=P$3,SUMIF('TL14'!$C$10:$C$224,$C218,'TL14'!$J$10:$J$224),0),
IF('TL14'!$B$229=P$3,SUMIF('TL14'!$C$238:$C$451,$C218,'TL14'!$J$238:$J$451),0),
IF('TL15'!$B$3=P$3,SUMIF('TL15'!$C$10:$C$224,$C218,'TL15'!$J$10:$J$224),0),
IF('TL15'!$B$229=P$3,SUMIF('TL15'!$C$238:$C$451,$C218,'TL15'!$J$238:$J$451),0),
IF('TL16'!$B$3=P$3,SUMIF('TL16'!$C$10:$C$224,$C218,'TL16'!$J$10:$J$224),0),
IF('TL16'!$B$229=P$3,SUMIF('TL16'!$C$238:$C$451,$C218,'TL16'!$J$238:$J$451),0),
IF('TL17'!$B$3=P$3,SUMIF('TL17'!$C$10:$C$224,$C218,'TL17'!$J$10:$J$224),0),
IF('TL17'!$B$229=P$3,SUMIF('TL17'!$C$238:$C$451,$C218,'TL17'!$J$238:$J$451),0),
IF('TL18'!$B$3=P$3,SUMIF('TL18'!$C$10:$C$224,$C218,'TL18'!$J$10:$J$224),0),
IF('TL18'!$B$229=P$3,SUMIF('TL18'!$C$238:$C$451,$C218,'TL18'!$J$238:$J$451),0),
IF('TL19'!$B$3=P$3,SUMIF('TL19'!$C$10:$C$224,$C218,'TL19'!$J$10:$J$224),0),
IF('TL19'!$B$229=P$3,SUMIF('TL19'!$C$238:$C$451,$C218,'TL19'!$J$238:$J$451),0)
),0)</f>
        <v>0</v>
      </c>
      <c r="Q218" s="9">
        <f>IFERROR(SUM(
IF('TL01'!$B$3=Q$3,SUMIF('TL01'!$C$10:$C$224,$C218,'TL01'!$J$10:$J$224),0),
IF('TL01'!$B$229=Q$3,SUMIF('TL01'!$C$238:$C$451,$C218,'TL01'!$J$238:$J$451),0),
IF('TL02'!$B$3=Q$3,SUMIF('TL02'!$C$10:$C$224,$C218,'TL02'!$J$10:$J$224),0),
IF('TL02'!$B$229=Q$3,SUMIF('TL02'!$C$238:$C$451,$C218,'TL02'!$J$238:$J$451),0),
IF('TL03'!$B$3=Q$3,SUMIF('TL03'!$C$10:$C$224,$C218,'TL03'!$J$10:$J$224),0),
IF('TL03'!$B$229=Q$3,SUMIF('TL03'!$C$238:$C$451,$C218,'TL03'!$J$238:$J$451),0),
IF('TL04'!$B$3=Q$3,SUMIF('TL04'!$C$10:$C$224,$C218,'TL04'!$J$10:$J$224),0),
IF('TL04'!$B$229=Q$3,SUMIF('TL04'!$C$238:$C$451,$C218,'TL04'!$J$238:$J$451),0),
IF('TL05'!$B$3=Q$3,SUMIF('TL05'!$C$10:$C$224,$C218,'TL05'!$J$10:$J$224),0),
IF('TL05'!$B$229=Q$3,SUMIF('TL05'!$C$238:$C$451,$C218,'TL05'!$J$238:$J$451),0),
IF('TL06'!$B$3=Q$3,SUMIF('TL06'!$C$10:$C$224,$C218,'TL06'!$J$10:$J$224),0),
IF('TL06'!$B$229=Q$3,SUMIF('TL06'!$C$238:$C$451,$C218,'TL06'!$J$238:$J$451),0),
IF('TL07'!$B$3=Q$3,SUMIF('TL07'!$C$10:$C$224,$C218,'TL07'!$J$10:$J$224),0),
IF('TL07'!$B$229=Q$3,SUMIF('TL07'!$C$238:$C$451,$C218,'TL07'!$J$238:$J$451),0),
IF('TL08'!$B$3=Q$3,SUMIF('TL08'!$C$10:$C$224,$C218,'TL08'!$J$10:$J$224),0),
IF('TL08'!$B$229=Q$3,SUMIF('TL08'!$C$238:$C$451,$C218,'TL08'!$J$238:$J$451),0),
IF('TL09'!$B$3=Q$3,SUMIF('TL09'!$C$10:$C$224,$C218,'TL09'!$J$10:$J$224),0),
IF('TL09'!$B$229=Q$3,SUMIF('TL09'!$C$238:$C$451,$C218,'TL09'!$J$238:$J$451),0),
IF('TL10'!$B$3=Q$3,SUMIF('TL10'!$C$10:$C$224,$C218,'TL10'!$J$10:$J$224),0),
IF('TL10'!$B$229=Q$3,SUMIF('TL10'!$C$238:$C$451,$C218,'TL10'!$J$238:$J$451),0),
IF('TL11'!$B$3=Q$3,SUMIF('TL11'!$C$10:$C$224,$C218,'TL11'!$J$10:$J$224),0),
IF('TL11'!$B$229=Q$3,SUMIF('TL11'!$C$238:$C$451,$C218,'TL11'!$J$238:$J$451),0),
IF('TL12'!$B$3=Q$3,SUMIF('TL12'!$C$10:$C$224,$C218,'TL12'!$J$10:$J$224),0),
IF('TL12'!$B$229=Q$3,SUMIF('TL12'!$C$238:$C$451,$C218,'TL12'!$J$238:$J$451),0),
IF('TL13'!$B$3=Q$3,SUMIF('TL13'!$C$10:$C$224,$C218,'TL13'!$J$10:$J$224),0),
IF('TL13'!$B$229=Q$3,SUMIF('TL13'!$C$238:$C$451,$C218,'TL13'!$J$238:$J$451),0),
IF('TL14'!$B$3=Q$3,SUMIF('TL14'!$C$10:$C$224,$C218,'TL14'!$J$10:$J$224),0),
IF('TL14'!$B$229=Q$3,SUMIF('TL14'!$C$238:$C$451,$C218,'TL14'!$J$238:$J$451),0),
IF('TL15'!$B$3=Q$3,SUMIF('TL15'!$C$10:$C$224,$C218,'TL15'!$J$10:$J$224),0),
IF('TL15'!$B$229=Q$3,SUMIF('TL15'!$C$238:$C$451,$C218,'TL15'!$J$238:$J$451),0),
IF('TL16'!$B$3=Q$3,SUMIF('TL16'!$C$10:$C$224,$C218,'TL16'!$J$10:$J$224),0),
IF('TL16'!$B$229=Q$3,SUMIF('TL16'!$C$238:$C$451,$C218,'TL16'!$J$238:$J$451),0),
IF('TL17'!$B$3=Q$3,SUMIF('TL17'!$C$10:$C$224,$C218,'TL17'!$J$10:$J$224),0),
IF('TL17'!$B$229=Q$3,SUMIF('TL17'!$C$238:$C$451,$C218,'TL17'!$J$238:$J$451),0),
IF('TL18'!$B$3=Q$3,SUMIF('TL18'!$C$10:$C$224,$C218,'TL18'!$J$10:$J$224),0),
IF('TL18'!$B$229=Q$3,SUMIF('TL18'!$C$238:$C$451,$C218,'TL18'!$J$238:$J$451),0),
IF('TL19'!$B$3=Q$3,SUMIF('TL19'!$C$10:$C$224,$C218,'TL19'!$J$10:$J$224),0),
IF('TL19'!$B$229=Q$3,SUMIF('TL19'!$C$238:$C$451,$C218,'TL19'!$J$238:$J$451),0)
),0)</f>
        <v>0</v>
      </c>
      <c r="R218" s="9">
        <f>IFERROR(
SUM(
SUMIF('TL01'!C:C,C218,'TL01'!J:J),
SUMIF('TL02'!C:C,C218,'TL02'!J:J),
SUMIF('TL03'!C:C,C218,'TL03'!J:J),
SUMIF('TL04'!C:C,C218,'TL04'!J:J),
SUMIF('TL05'!C:C,C218,'TL05'!J:J),
SUMIF('TL06'!C:C,C218,'TL06'!J:J),
SUMIF('TL07'!C:C,C218,'TL07'!J:J),
SUMIF('TL08'!C:C,C218,'TL08'!J:J),
SUMIF('TL09'!C:C,C218,'TL09'!J:J),
SUMIF('TL10'!C:C,C218,'TL10'!J:J),
SUMIF('TL11'!C:C,C218,'TL11'!J:J),
SUMIF('TL12'!C:C,C218,'TL12'!J:J),
SUMIF('TL13'!C:C,C218,'TL13'!J:J),
SUMIF('TL14'!C:C,C218,'TL14'!J:J),
SUMIF('TL15'!C:C,C218,'TL15'!J:J),
SUMIF('TL16'!C:C,C218,'TL16'!J:J),
SUMIF('TL17'!C:C,C218,'TL17'!J:J),
SUMIF('TL18'!C:C,C218,'TL18'!J:J),SUMIF('TL19'!C:C,C218,'TL19'!J:J))
,0)</f>
        <v>0</v>
      </c>
      <c r="S218" s="17">
        <f>IFERROR(__xludf.DUMMYFUNCTION("IFERROR(VLOOKUP(C218,
IMPORTRANGE(""1wULbzX32WdYsx-lj2U3uUNBBe2INVIRDtcK0d-Dvl90"",
""26-27!C:G""),
5,
FALSE),
"""")"),40.78389)</f>
        <v>40.78389</v>
      </c>
      <c r="T218" s="9"/>
      <c r="U218" s="92">
        <f t="shared" si="2"/>
        <v>0</v>
      </c>
      <c r="V218" s="93">
        <f t="shared" si="3"/>
        <v>0</v>
      </c>
    </row>
    <row r="219" ht="15.75" hidden="1" customHeight="1">
      <c r="A219" s="94" t="s">
        <v>356</v>
      </c>
      <c r="B219" s="95" t="s">
        <v>2</v>
      </c>
      <c r="C219" s="96" t="s">
        <v>852</v>
      </c>
      <c r="D219" s="96" t="s">
        <v>853</v>
      </c>
      <c r="E219" s="96" t="s">
        <v>854</v>
      </c>
      <c r="F219" s="4" t="s">
        <v>343</v>
      </c>
      <c r="G219" s="90" t="str">
        <f t="shared" si="4"/>
        <v>📄 Ver bula</v>
      </c>
      <c r="H219" s="9">
        <f>IFERROR(__xludf.DUMMYFUNCTION("IFERROR(VLOOKUP(C219,
IMPORTRANGE(""1wULbzX32WdYsx-lj2U3uUNBBe2INVIRDtcK0d-Dvl90"",
""26-27!C:K""),
8,
FALSE),
"""")"),1.0)</f>
        <v>1</v>
      </c>
      <c r="I219" s="97" t="s">
        <v>344</v>
      </c>
      <c r="J219" s="9">
        <f>IFERROR(SUM(
IF('TL01'!$B$3=J$3,SUMIF('TL01'!$C$10:$C$224,$C219,'TL01'!$J$10:$J$224),0),
IF('TL01'!$B$229=J$3,SUMIF('TL01'!$C$238:$C$451,$C219,'TL01'!$J$238:$J$451),0),
IF('TL02'!$B$3=J$3,SUMIF('TL02'!$C$10:$C$224,$C219,'TL02'!$J$10:$J$224),0),
IF('TL02'!$B$229=J$3,SUMIF('TL02'!$C$238:$C$451,$C219,'TL02'!$J$238:$J$451),0),
IF('TL03'!$B$3=J$3,SUMIF('TL03'!$C$10:$C$224,$C219,'TL03'!$J$10:$J$224),0),
IF('TL03'!$B$229=J$3,SUMIF('TL03'!$C$238:$C$451,$C219,'TL03'!$J$238:$J$451),0),
IF('TL04'!$B$3=J$3,SUMIF('TL04'!$C$10:$C$224,$C219,'TL04'!$J$10:$J$224),0),
IF('TL04'!$B$229=J$3,SUMIF('TL04'!$C$238:$C$451,$C219,'TL04'!$J$238:$J$451),0),
IF('TL05'!$B$3=J$3,SUMIF('TL05'!$C$10:$C$224,$C219,'TL05'!$J$10:$J$224),0),
IF('TL05'!$B$229=J$3,SUMIF('TL05'!$C$238:$C$451,$C219,'TL05'!$J$238:$J$451),0),
IF('TL06'!$B$3=J$3,SUMIF('TL06'!$C$10:$C$224,$C219,'TL06'!$J$10:$J$224),0),
IF('TL06'!$B$229=J$3,SUMIF('TL06'!$C$238:$C$451,$C219,'TL06'!$J$238:$J$451),0),
IF('TL07'!$B$3=J$3,SUMIF('TL07'!$C$10:$C$224,$C219,'TL07'!$J$10:$J$224),0),
IF('TL07'!$B$229=J$3,SUMIF('TL07'!$C$238:$C$451,$C219,'TL07'!$J$238:$J$451),0),
IF('TL08'!$B$3=J$3,SUMIF('TL08'!$C$10:$C$224,$C219,'TL08'!$J$10:$J$224),0),
IF('TL08'!$B$229=J$3,SUMIF('TL08'!$C$238:$C$451,$C219,'TL08'!$J$238:$J$451),0),
IF('TL09'!$B$3=J$3,SUMIF('TL09'!$C$10:$C$224,$C219,'TL09'!$J$10:$J$224),0),
IF('TL09'!$B$229=J$3,SUMIF('TL09'!$C$238:$C$451,$C219,'TL09'!$J$238:$J$451),0),
IF('TL10'!$B$3=J$3,SUMIF('TL10'!$C$10:$C$224,$C219,'TL10'!$J$10:$J$224),0),
IF('TL10'!$B$229=J$3,SUMIF('TL10'!$C$238:$C$451,$C219,'TL10'!$J$238:$J$451),0),
IF('TL11'!$B$3=J$3,SUMIF('TL11'!$C$10:$C$224,$C219,'TL11'!$J$10:$J$224),0),
IF('TL11'!$B$229=J$3,SUMIF('TL11'!$C$238:$C$451,$C219,'TL11'!$J$238:$J$451),0),
IF('TL12'!$B$3=J$3,SUMIF('TL12'!$C$10:$C$224,$C219,'TL12'!$J$10:$J$224),0),
IF('TL12'!$B$229=J$3,SUMIF('TL12'!$C$238:$C$451,$C219,'TL12'!$J$238:$J$451),0),
IF('TL13'!$B$3=J$3,SUMIF('TL13'!$C$10:$C$224,$C219,'TL13'!$J$10:$J$224),0),
IF('TL13'!$B$229=J$3,SUMIF('TL13'!$C$238:$C$451,$C219,'TL13'!$J$238:$J$451),0),
IF('TL14'!$B$3=J$3,SUMIF('TL14'!$C$10:$C$224,$C219,'TL14'!$J$10:$J$224),0),
IF('TL14'!$B$229=J$3,SUMIF('TL14'!$C$238:$C$451,$C219,'TL14'!$J$238:$J$451),0),
IF('TL15'!$B$3=J$3,SUMIF('TL15'!$C$10:$C$224,$C219,'TL15'!$J$10:$J$224),0),
IF('TL15'!$B$229=J$3,SUMIF('TL15'!$C$238:$C$451,$C219,'TL15'!$J$238:$J$451),0),
IF('TL16'!$B$3=J$3,SUMIF('TL16'!$C$10:$C$224,$C219,'TL16'!$J$10:$J$224),0),
IF('TL16'!$B$229=J$3,SUMIF('TL16'!$C$238:$C$451,$C219,'TL16'!$J$238:$J$451),0),
IF('TL17'!$B$3=J$3,SUMIF('TL17'!$C$10:$C$224,$C219,'TL17'!$J$10:$J$224),0),
IF('TL17'!$B$229=J$3,SUMIF('TL17'!$C$238:$C$451,$C219,'TL17'!$J$238:$J$451),0),
IF('TL18'!$B$3=J$3,SUMIF('TL18'!$C$10:$C$224,$C219,'TL18'!$J$10:$J$224),0),
IF('TL18'!$B$229=J$3,SUMIF('TL18'!$C$238:$C$451,$C219,'TL18'!$J$238:$J$451),0),
IF('TL19'!$B$3=J$3,SUMIF('TL19'!$C$10:$C$224,$C219,'TL19'!$J$10:$J$224),0),
IF('TL19'!$B$229=J$3,SUMIF('TL19'!$C$238:$C$451,$C219,'TL19'!$J$238:$J$451),0)
),0)</f>
        <v>0</v>
      </c>
      <c r="K219" s="9">
        <f>IFERROR(SUM(
IF('TL01'!$B$3=K$3,SUMIF('TL01'!$C$10:$C$224,$C219,'TL01'!$J$10:$J$224),0),
IF('TL01'!$B$229=K$3,SUMIF('TL01'!$C$238:$C$451,$C219,'TL01'!$J$238:$J$451),0),
IF('TL02'!$B$3=K$3,SUMIF('TL02'!$C$10:$C$224,$C219,'TL02'!$J$10:$J$224),0),
IF('TL02'!$B$229=K$3,SUMIF('TL02'!$C$238:$C$451,$C219,'TL02'!$J$238:$J$451),0),
IF('TL03'!$B$3=K$3,SUMIF('TL03'!$C$10:$C$224,$C219,'TL03'!$J$10:$J$224),0),
IF('TL03'!$B$229=K$3,SUMIF('TL03'!$C$238:$C$451,$C219,'TL03'!$J$238:$J$451),0),
IF('TL04'!$B$3=K$3,SUMIF('TL04'!$C$10:$C$224,$C219,'TL04'!$J$10:$J$224),0),
IF('TL04'!$B$229=K$3,SUMIF('TL04'!$C$238:$C$451,$C219,'TL04'!$J$238:$J$451),0),
IF('TL05'!$B$3=K$3,SUMIF('TL05'!$C$10:$C$224,$C219,'TL05'!$J$10:$J$224),0),
IF('TL05'!$B$229=K$3,SUMIF('TL05'!$C$238:$C$451,$C219,'TL05'!$J$238:$J$451),0),
IF('TL06'!$B$3=K$3,SUMIF('TL06'!$C$10:$C$224,$C219,'TL06'!$J$10:$J$224),0),
IF('TL06'!$B$229=K$3,SUMIF('TL06'!$C$238:$C$451,$C219,'TL06'!$J$238:$J$451),0),
IF('TL07'!$B$3=K$3,SUMIF('TL07'!$C$10:$C$224,$C219,'TL07'!$J$10:$J$224),0),
IF('TL07'!$B$229=K$3,SUMIF('TL07'!$C$238:$C$451,$C219,'TL07'!$J$238:$J$451),0),
IF('TL08'!$B$3=K$3,SUMIF('TL08'!$C$10:$C$224,$C219,'TL08'!$J$10:$J$224),0),
IF('TL08'!$B$229=K$3,SUMIF('TL08'!$C$238:$C$451,$C219,'TL08'!$J$238:$J$451),0),
IF('TL09'!$B$3=K$3,SUMIF('TL09'!$C$10:$C$224,$C219,'TL09'!$J$10:$J$224),0),
IF('TL09'!$B$229=K$3,SUMIF('TL09'!$C$238:$C$451,$C219,'TL09'!$J$238:$J$451),0),
IF('TL10'!$B$3=K$3,SUMIF('TL10'!$C$10:$C$224,$C219,'TL10'!$J$10:$J$224),0),
IF('TL10'!$B$229=K$3,SUMIF('TL10'!$C$238:$C$451,$C219,'TL10'!$J$238:$J$451),0),
IF('TL11'!$B$3=K$3,SUMIF('TL11'!$C$10:$C$224,$C219,'TL11'!$J$10:$J$224),0),
IF('TL11'!$B$229=K$3,SUMIF('TL11'!$C$238:$C$451,$C219,'TL11'!$J$238:$J$451),0),
IF('TL12'!$B$3=K$3,SUMIF('TL12'!$C$10:$C$224,$C219,'TL12'!$J$10:$J$224),0),
IF('TL12'!$B$229=K$3,SUMIF('TL12'!$C$238:$C$451,$C219,'TL12'!$J$238:$J$451),0),
IF('TL13'!$B$3=K$3,SUMIF('TL13'!$C$10:$C$224,$C219,'TL13'!$J$10:$J$224),0),
IF('TL13'!$B$229=K$3,SUMIF('TL13'!$C$238:$C$451,$C219,'TL13'!$J$238:$J$451),0),
IF('TL14'!$B$3=K$3,SUMIF('TL14'!$C$10:$C$224,$C219,'TL14'!$J$10:$J$224),0),
IF('TL14'!$B$229=K$3,SUMIF('TL14'!$C$238:$C$451,$C219,'TL14'!$J$238:$J$451),0),
IF('TL15'!$B$3=K$3,SUMIF('TL15'!$C$10:$C$224,$C219,'TL15'!$J$10:$J$224),0),
IF('TL15'!$B$229=K$3,SUMIF('TL15'!$C$238:$C$451,$C219,'TL15'!$J$238:$J$451),0),
IF('TL16'!$B$3=K$3,SUMIF('TL16'!$C$10:$C$224,$C219,'TL16'!$J$10:$J$224),0),
IF('TL16'!$B$229=K$3,SUMIF('TL16'!$C$238:$C$451,$C219,'TL16'!$J$238:$J$451),0),
IF('TL17'!$B$3=K$3,SUMIF('TL17'!$C$10:$C$224,$C219,'TL17'!$J$10:$J$224),0),
IF('TL17'!$B$229=K$3,SUMIF('TL17'!$C$238:$C$451,$C219,'TL17'!$J$238:$J$451),0),
IF('TL18'!$B$3=K$3,SUMIF('TL18'!$C$10:$C$224,$C219,'TL18'!$J$10:$J$224),0),
IF('TL18'!$B$229=K$3,SUMIF('TL18'!$C$238:$C$451,$C219,'TL18'!$J$238:$J$451),0),
IF('TL19'!$B$3=K$3,SUMIF('TL19'!$C$10:$C$224,$C219,'TL19'!$J$10:$J$224),0),
IF('TL19'!$B$229=K$3,SUMIF('TL19'!$C$238:$C$451,$C219,'TL19'!$J$238:$J$451),0)
),0)</f>
        <v>0</v>
      </c>
      <c r="L219" s="9">
        <f>IFERROR(SUM(
IF('TL01'!$B$3=L$3,SUMIF('TL01'!$C$10:$C$224,$C219,'TL01'!$J$10:$J$224),0),
IF('TL01'!$B$229=L$3,SUMIF('TL01'!$C$238:$C$451,$C219,'TL01'!$J$238:$J$451),0),
IF('TL02'!$B$3=L$3,SUMIF('TL02'!$C$10:$C$224,$C219,'TL02'!$J$10:$J$224),0),
IF('TL02'!$B$229=L$3,SUMIF('TL02'!$C$238:$C$451,$C219,'TL02'!$J$238:$J$451),0),
IF('TL03'!$B$3=L$3,SUMIF('TL03'!$C$10:$C$224,$C219,'TL03'!$J$10:$J$224),0),
IF('TL03'!$B$229=L$3,SUMIF('TL03'!$C$238:$C$451,$C219,'TL03'!$J$238:$J$451),0),
IF('TL04'!$B$3=L$3,SUMIF('TL04'!$C$10:$C$224,$C219,'TL04'!$J$10:$J$224),0),
IF('TL04'!$B$229=L$3,SUMIF('TL04'!$C$238:$C$451,$C219,'TL04'!$J$238:$J$451),0),
IF('TL05'!$B$3=L$3,SUMIF('TL05'!$C$10:$C$224,$C219,'TL05'!$J$10:$J$224),0),
IF('TL05'!$B$229=L$3,SUMIF('TL05'!$C$238:$C$451,$C219,'TL05'!$J$238:$J$451),0),
IF('TL06'!$B$3=L$3,SUMIF('TL06'!$C$10:$C$224,$C219,'TL06'!$J$10:$J$224),0),
IF('TL06'!$B$229=L$3,SUMIF('TL06'!$C$238:$C$451,$C219,'TL06'!$J$238:$J$451),0),
IF('TL07'!$B$3=L$3,SUMIF('TL07'!$C$10:$C$224,$C219,'TL07'!$J$10:$J$224),0),
IF('TL07'!$B$229=L$3,SUMIF('TL07'!$C$238:$C$451,$C219,'TL07'!$J$238:$J$451),0),
IF('TL08'!$B$3=L$3,SUMIF('TL08'!$C$10:$C$224,$C219,'TL08'!$J$10:$J$224),0),
IF('TL08'!$B$229=L$3,SUMIF('TL08'!$C$238:$C$451,$C219,'TL08'!$J$238:$J$451),0),
IF('TL09'!$B$3=L$3,SUMIF('TL09'!$C$10:$C$224,$C219,'TL09'!$J$10:$J$224),0),
IF('TL09'!$B$229=L$3,SUMIF('TL09'!$C$238:$C$451,$C219,'TL09'!$J$238:$J$451),0),
IF('TL10'!$B$3=L$3,SUMIF('TL10'!$C$10:$C$224,$C219,'TL10'!$J$10:$J$224),0),
IF('TL10'!$B$229=L$3,SUMIF('TL10'!$C$238:$C$451,$C219,'TL10'!$J$238:$J$451),0),
IF('TL11'!$B$3=L$3,SUMIF('TL11'!$C$10:$C$224,$C219,'TL11'!$J$10:$J$224),0),
IF('TL11'!$B$229=L$3,SUMIF('TL11'!$C$238:$C$451,$C219,'TL11'!$J$238:$J$451),0),
IF('TL12'!$B$3=L$3,SUMIF('TL12'!$C$10:$C$224,$C219,'TL12'!$J$10:$J$224),0),
IF('TL12'!$B$229=L$3,SUMIF('TL12'!$C$238:$C$451,$C219,'TL12'!$J$238:$J$451),0),
IF('TL13'!$B$3=L$3,SUMIF('TL13'!$C$10:$C$224,$C219,'TL13'!$J$10:$J$224),0),
IF('TL13'!$B$229=L$3,SUMIF('TL13'!$C$238:$C$451,$C219,'TL13'!$J$238:$J$451),0),
IF('TL14'!$B$3=L$3,SUMIF('TL14'!$C$10:$C$224,$C219,'TL14'!$J$10:$J$224),0),
IF('TL14'!$B$229=L$3,SUMIF('TL14'!$C$238:$C$451,$C219,'TL14'!$J$238:$J$451),0),
IF('TL15'!$B$3=L$3,SUMIF('TL15'!$C$10:$C$224,$C219,'TL15'!$J$10:$J$224),0),
IF('TL15'!$B$229=L$3,SUMIF('TL15'!$C$238:$C$451,$C219,'TL15'!$J$238:$J$451),0),
IF('TL16'!$B$3=L$3,SUMIF('TL16'!$C$10:$C$224,$C219,'TL16'!$J$10:$J$224),0),
IF('TL16'!$B$229=L$3,SUMIF('TL16'!$C$238:$C$451,$C219,'TL16'!$J$238:$J$451),0),
IF('TL17'!$B$3=L$3,SUMIF('TL17'!$C$10:$C$224,$C219,'TL17'!$J$10:$J$224),0),
IF('TL17'!$B$229=L$3,SUMIF('TL17'!$C$238:$C$451,$C219,'TL17'!$J$238:$J$451),0),
IF('TL18'!$B$3=L$3,SUMIF('TL18'!$C$10:$C$224,$C219,'TL18'!$J$10:$J$224),0),
IF('TL18'!$B$229=L$3,SUMIF('TL18'!$C$238:$C$451,$C219,'TL18'!$J$238:$J$451),0),
IF('TL19'!$B$3=L$3,SUMIF('TL19'!$C$10:$C$224,$C219,'TL19'!$J$10:$J$224),0),
IF('TL19'!$B$229=L$3,SUMIF('TL19'!$C$238:$C$451,$C219,'TL19'!$J$238:$J$451),0)
),0)</f>
        <v>0</v>
      </c>
      <c r="M219" s="9">
        <f>IFERROR(SUM(
IF('TL01'!$B$3=M$3,SUMIF('TL01'!$C$10:$C$224,$C219,'TL01'!$J$10:$J$224),0),
IF('TL01'!$B$229=M$3,SUMIF('TL01'!$C$238:$C$451,$C219,'TL01'!$J$238:$J$451),0),
IF('TL02'!$B$3=M$3,SUMIF('TL02'!$C$10:$C$224,$C219,'TL02'!$J$10:$J$224),0),
IF('TL02'!$B$229=M$3,SUMIF('TL02'!$C$238:$C$451,$C219,'TL02'!$J$238:$J$451),0),
IF('TL03'!$B$3=M$3,SUMIF('TL03'!$C$10:$C$224,$C219,'TL03'!$J$10:$J$224),0),
IF('TL03'!$B$229=M$3,SUMIF('TL03'!$C$238:$C$451,$C219,'TL03'!$J$238:$J$451),0),
IF('TL04'!$B$3=M$3,SUMIF('TL04'!$C$10:$C$224,$C219,'TL04'!$J$10:$J$224),0),
IF('TL04'!$B$229=M$3,SUMIF('TL04'!$C$238:$C$451,$C219,'TL04'!$J$238:$J$451),0),
IF('TL05'!$B$3=M$3,SUMIF('TL05'!$C$10:$C$224,$C219,'TL05'!$J$10:$J$224),0),
IF('TL05'!$B$229=M$3,SUMIF('TL05'!$C$238:$C$451,$C219,'TL05'!$J$238:$J$451),0),
IF('TL06'!$B$3=M$3,SUMIF('TL06'!$C$10:$C$224,$C219,'TL06'!$J$10:$J$224),0),
IF('TL06'!$B$229=M$3,SUMIF('TL06'!$C$238:$C$451,$C219,'TL06'!$J$238:$J$451),0),
IF('TL07'!$B$3=M$3,SUMIF('TL07'!$C$10:$C$224,$C219,'TL07'!$J$10:$J$224),0),
IF('TL07'!$B$229=M$3,SUMIF('TL07'!$C$238:$C$451,$C219,'TL07'!$J$238:$J$451),0),
IF('TL08'!$B$3=M$3,SUMIF('TL08'!$C$10:$C$224,$C219,'TL08'!$J$10:$J$224),0),
IF('TL08'!$B$229=M$3,SUMIF('TL08'!$C$238:$C$451,$C219,'TL08'!$J$238:$J$451),0),
IF('TL09'!$B$3=M$3,SUMIF('TL09'!$C$10:$C$224,$C219,'TL09'!$J$10:$J$224),0),
IF('TL09'!$B$229=M$3,SUMIF('TL09'!$C$238:$C$451,$C219,'TL09'!$J$238:$J$451),0),
IF('TL10'!$B$3=M$3,SUMIF('TL10'!$C$10:$C$224,$C219,'TL10'!$J$10:$J$224),0),
IF('TL10'!$B$229=M$3,SUMIF('TL10'!$C$238:$C$451,$C219,'TL10'!$J$238:$J$451),0),
IF('TL11'!$B$3=M$3,SUMIF('TL11'!$C$10:$C$224,$C219,'TL11'!$J$10:$J$224),0),
IF('TL11'!$B$229=M$3,SUMIF('TL11'!$C$238:$C$451,$C219,'TL11'!$J$238:$J$451),0),
IF('TL12'!$B$3=M$3,SUMIF('TL12'!$C$10:$C$224,$C219,'TL12'!$J$10:$J$224),0),
IF('TL12'!$B$229=M$3,SUMIF('TL12'!$C$238:$C$451,$C219,'TL12'!$J$238:$J$451),0),
IF('TL13'!$B$3=M$3,SUMIF('TL13'!$C$10:$C$224,$C219,'TL13'!$J$10:$J$224),0),
IF('TL13'!$B$229=M$3,SUMIF('TL13'!$C$238:$C$451,$C219,'TL13'!$J$238:$J$451),0),
IF('TL14'!$B$3=M$3,SUMIF('TL14'!$C$10:$C$224,$C219,'TL14'!$J$10:$J$224),0),
IF('TL14'!$B$229=M$3,SUMIF('TL14'!$C$238:$C$451,$C219,'TL14'!$J$238:$J$451),0),
IF('TL15'!$B$3=M$3,SUMIF('TL15'!$C$10:$C$224,$C219,'TL15'!$J$10:$J$224),0),
IF('TL15'!$B$229=M$3,SUMIF('TL15'!$C$238:$C$451,$C219,'TL15'!$J$238:$J$451),0),
IF('TL16'!$B$3=M$3,SUMIF('TL16'!$C$10:$C$224,$C219,'TL16'!$J$10:$J$224),0),
IF('TL16'!$B$229=M$3,SUMIF('TL16'!$C$238:$C$451,$C219,'TL16'!$J$238:$J$451),0),
IF('TL17'!$B$3=M$3,SUMIF('TL17'!$C$10:$C$224,$C219,'TL17'!$J$10:$J$224),0),
IF('TL17'!$B$229=M$3,SUMIF('TL17'!$C$238:$C$451,$C219,'TL17'!$J$238:$J$451),0),
IF('TL18'!$B$3=M$3,SUMIF('TL18'!$C$10:$C$224,$C219,'TL18'!$J$10:$J$224),0),
IF('TL18'!$B$229=M$3,SUMIF('TL18'!$C$238:$C$451,$C219,'TL18'!$J$238:$J$451),0),
IF('TL19'!$B$3=M$3,SUMIF('TL19'!$C$10:$C$224,$C219,'TL19'!$J$10:$J$224),0),
IF('TL19'!$B$229=M$3,SUMIF('TL19'!$C$238:$C$451,$C219,'TL19'!$J$238:$J$451),0)
),0)</f>
        <v>0</v>
      </c>
      <c r="N219" s="9">
        <f>IFERROR(SUM(
IF('TL01'!$B$3=N$3,SUMIF('TL01'!$C$10:$C$224,$C219,'TL01'!$J$10:$J$224),0),
IF('TL01'!$B$229=N$3,SUMIF('TL01'!$C$238:$C$451,$C219,'TL01'!$J$238:$J$451),0),
IF('TL02'!$B$3=N$3,SUMIF('TL02'!$C$10:$C$224,$C219,'TL02'!$J$10:$J$224),0),
IF('TL02'!$B$229=N$3,SUMIF('TL02'!$C$238:$C$451,$C219,'TL02'!$J$238:$J$451),0),
IF('TL03'!$B$3=N$3,SUMIF('TL03'!$C$10:$C$224,$C219,'TL03'!$J$10:$J$224),0),
IF('TL03'!$B$229=N$3,SUMIF('TL03'!$C$238:$C$451,$C219,'TL03'!$J$238:$J$451),0),
IF('TL04'!$B$3=N$3,SUMIF('TL04'!$C$10:$C$224,$C219,'TL04'!$J$10:$J$224),0),
IF('TL04'!$B$229=N$3,SUMIF('TL04'!$C$238:$C$451,$C219,'TL04'!$J$238:$J$451),0),
IF('TL05'!$B$3=N$3,SUMIF('TL05'!$C$10:$C$224,$C219,'TL05'!$J$10:$J$224),0),
IF('TL05'!$B$229=N$3,SUMIF('TL05'!$C$238:$C$451,$C219,'TL05'!$J$238:$J$451),0),
IF('TL06'!$B$3=N$3,SUMIF('TL06'!$C$10:$C$224,$C219,'TL06'!$J$10:$J$224),0),
IF('TL06'!$B$229=N$3,SUMIF('TL06'!$C$238:$C$451,$C219,'TL06'!$J$238:$J$451),0),
IF('TL07'!$B$3=N$3,SUMIF('TL07'!$C$10:$C$224,$C219,'TL07'!$J$10:$J$224),0),
IF('TL07'!$B$229=N$3,SUMIF('TL07'!$C$238:$C$451,$C219,'TL07'!$J$238:$J$451),0),
IF('TL08'!$B$3=N$3,SUMIF('TL08'!$C$10:$C$224,$C219,'TL08'!$J$10:$J$224),0),
IF('TL08'!$B$229=N$3,SUMIF('TL08'!$C$238:$C$451,$C219,'TL08'!$J$238:$J$451),0),
IF('TL09'!$B$3=N$3,SUMIF('TL09'!$C$10:$C$224,$C219,'TL09'!$J$10:$J$224),0),
IF('TL09'!$B$229=N$3,SUMIF('TL09'!$C$238:$C$451,$C219,'TL09'!$J$238:$J$451),0),
IF('TL10'!$B$3=N$3,SUMIF('TL10'!$C$10:$C$224,$C219,'TL10'!$J$10:$J$224),0),
IF('TL10'!$B$229=N$3,SUMIF('TL10'!$C$238:$C$451,$C219,'TL10'!$J$238:$J$451),0),
IF('TL11'!$B$3=N$3,SUMIF('TL11'!$C$10:$C$224,$C219,'TL11'!$J$10:$J$224),0),
IF('TL11'!$B$229=N$3,SUMIF('TL11'!$C$238:$C$451,$C219,'TL11'!$J$238:$J$451),0),
IF('TL12'!$B$3=N$3,SUMIF('TL12'!$C$10:$C$224,$C219,'TL12'!$J$10:$J$224),0),
IF('TL12'!$B$229=N$3,SUMIF('TL12'!$C$238:$C$451,$C219,'TL12'!$J$238:$J$451),0),
IF('TL13'!$B$3=N$3,SUMIF('TL13'!$C$10:$C$224,$C219,'TL13'!$J$10:$J$224),0),
IF('TL13'!$B$229=N$3,SUMIF('TL13'!$C$238:$C$451,$C219,'TL13'!$J$238:$J$451),0),
IF('TL14'!$B$3=N$3,SUMIF('TL14'!$C$10:$C$224,$C219,'TL14'!$J$10:$J$224),0),
IF('TL14'!$B$229=N$3,SUMIF('TL14'!$C$238:$C$451,$C219,'TL14'!$J$238:$J$451),0),
IF('TL15'!$B$3=N$3,SUMIF('TL15'!$C$10:$C$224,$C219,'TL15'!$J$10:$J$224),0),
IF('TL15'!$B$229=N$3,SUMIF('TL15'!$C$238:$C$451,$C219,'TL15'!$J$238:$J$451),0),
IF('TL16'!$B$3=N$3,SUMIF('TL16'!$C$10:$C$224,$C219,'TL16'!$J$10:$J$224),0),
IF('TL16'!$B$229=N$3,SUMIF('TL16'!$C$238:$C$451,$C219,'TL16'!$J$238:$J$451),0),
IF('TL17'!$B$3=N$3,SUMIF('TL17'!$C$10:$C$224,$C219,'TL17'!$J$10:$J$224),0),
IF('TL17'!$B$229=N$3,SUMIF('TL17'!$C$238:$C$451,$C219,'TL17'!$J$238:$J$451),0),
IF('TL18'!$B$3=N$3,SUMIF('TL18'!$C$10:$C$224,$C219,'TL18'!$J$10:$J$224),0),
IF('TL18'!$B$229=N$3,SUMIF('TL18'!$C$238:$C$451,$C219,'TL18'!$J$238:$J$451),0),
IF('TL19'!$B$3=N$3,SUMIF('TL19'!$C$10:$C$224,$C219,'TL19'!$J$10:$J$224),0),
IF('TL19'!$B$229=N$3,SUMIF('TL19'!$C$238:$C$451,$C219,'TL19'!$J$238:$J$451),0)
),0)</f>
        <v>0</v>
      </c>
      <c r="O219" s="9">
        <f>IFERROR(SUM(
IF('TL01'!$B$3=O$3,SUMIF('TL01'!$C$10:$C$224,$C219,'TL01'!$J$10:$J$224),0),
IF('TL01'!$B$229=O$3,SUMIF('TL01'!$C$238:$C$451,$C219,'TL01'!$J$238:$J$451),0),
IF('TL02'!$B$3=O$3,SUMIF('TL02'!$C$10:$C$224,$C219,'TL02'!$J$10:$J$224),0),
IF('TL02'!$B$229=O$3,SUMIF('TL02'!$C$238:$C$451,$C219,'TL02'!$J$238:$J$451),0),
IF('TL03'!$B$3=O$3,SUMIF('TL03'!$C$10:$C$224,$C219,'TL03'!$J$10:$J$224),0),
IF('TL03'!$B$229=O$3,SUMIF('TL03'!$C$238:$C$451,$C219,'TL03'!$J$238:$J$451),0),
IF('TL04'!$B$3=O$3,SUMIF('TL04'!$C$10:$C$224,$C219,'TL04'!$J$10:$J$224),0),
IF('TL04'!$B$229=O$3,SUMIF('TL04'!$C$238:$C$451,$C219,'TL04'!$J$238:$J$451),0),
IF('TL05'!$B$3=O$3,SUMIF('TL05'!$C$10:$C$224,$C219,'TL05'!$J$10:$J$224),0),
IF('TL05'!$B$229=O$3,SUMIF('TL05'!$C$238:$C$451,$C219,'TL05'!$J$238:$J$451),0),
IF('TL06'!$B$3=O$3,SUMIF('TL06'!$C$10:$C$224,$C219,'TL06'!$J$10:$J$224),0),
IF('TL06'!$B$229=O$3,SUMIF('TL06'!$C$238:$C$451,$C219,'TL06'!$J$238:$J$451),0),
IF('TL07'!$B$3=O$3,SUMIF('TL07'!$C$10:$C$224,$C219,'TL07'!$J$10:$J$224),0),
IF('TL07'!$B$229=O$3,SUMIF('TL07'!$C$238:$C$451,$C219,'TL07'!$J$238:$J$451),0),
IF('TL08'!$B$3=O$3,SUMIF('TL08'!$C$10:$C$224,$C219,'TL08'!$J$10:$J$224),0),
IF('TL08'!$B$229=O$3,SUMIF('TL08'!$C$238:$C$451,$C219,'TL08'!$J$238:$J$451),0),
IF('TL09'!$B$3=O$3,SUMIF('TL09'!$C$10:$C$224,$C219,'TL09'!$J$10:$J$224),0),
IF('TL09'!$B$229=O$3,SUMIF('TL09'!$C$238:$C$451,$C219,'TL09'!$J$238:$J$451),0),
IF('TL10'!$B$3=O$3,SUMIF('TL10'!$C$10:$C$224,$C219,'TL10'!$J$10:$J$224),0),
IF('TL10'!$B$229=O$3,SUMIF('TL10'!$C$238:$C$451,$C219,'TL10'!$J$238:$J$451),0),
IF('TL11'!$B$3=O$3,SUMIF('TL11'!$C$10:$C$224,$C219,'TL11'!$J$10:$J$224),0),
IF('TL11'!$B$229=O$3,SUMIF('TL11'!$C$238:$C$451,$C219,'TL11'!$J$238:$J$451),0),
IF('TL12'!$B$3=O$3,SUMIF('TL12'!$C$10:$C$224,$C219,'TL12'!$J$10:$J$224),0),
IF('TL12'!$B$229=O$3,SUMIF('TL12'!$C$238:$C$451,$C219,'TL12'!$J$238:$J$451),0),
IF('TL13'!$B$3=O$3,SUMIF('TL13'!$C$10:$C$224,$C219,'TL13'!$J$10:$J$224),0),
IF('TL13'!$B$229=O$3,SUMIF('TL13'!$C$238:$C$451,$C219,'TL13'!$J$238:$J$451),0),
IF('TL14'!$B$3=O$3,SUMIF('TL14'!$C$10:$C$224,$C219,'TL14'!$J$10:$J$224),0),
IF('TL14'!$B$229=O$3,SUMIF('TL14'!$C$238:$C$451,$C219,'TL14'!$J$238:$J$451),0),
IF('TL15'!$B$3=O$3,SUMIF('TL15'!$C$10:$C$224,$C219,'TL15'!$J$10:$J$224),0),
IF('TL15'!$B$229=O$3,SUMIF('TL15'!$C$238:$C$451,$C219,'TL15'!$J$238:$J$451),0),
IF('TL16'!$B$3=O$3,SUMIF('TL16'!$C$10:$C$224,$C219,'TL16'!$J$10:$J$224),0),
IF('TL16'!$B$229=O$3,SUMIF('TL16'!$C$238:$C$451,$C219,'TL16'!$J$238:$J$451),0),
IF('TL17'!$B$3=O$3,SUMIF('TL17'!$C$10:$C$224,$C219,'TL17'!$J$10:$J$224),0),
IF('TL17'!$B$229=O$3,SUMIF('TL17'!$C$238:$C$451,$C219,'TL17'!$J$238:$J$451),0),
IF('TL18'!$B$3=O$3,SUMIF('TL18'!$C$10:$C$224,$C219,'TL18'!$J$10:$J$224),0),
IF('TL18'!$B$229=O$3,SUMIF('TL18'!$C$238:$C$451,$C219,'TL18'!$J$238:$J$451),0),
IF('TL19'!$B$3=O$3,SUMIF('TL19'!$C$10:$C$224,$C219,'TL19'!$J$10:$J$224),0),
IF('TL19'!$B$229=O$3,SUMIF('TL19'!$C$238:$C$451,$C219,'TL19'!$J$238:$J$451),0)
),0)</f>
        <v>0</v>
      </c>
      <c r="P219" s="9">
        <f>IFERROR(SUM(
IF('TL01'!$B$3=P$3,SUMIF('TL01'!$C$10:$C$224,$C219,'TL01'!$J$10:$J$224),0),
IF('TL01'!$B$229=P$3,SUMIF('TL01'!$C$238:$C$451,$C219,'TL01'!$J$238:$J$451),0),
IF('TL02'!$B$3=P$3,SUMIF('TL02'!$C$10:$C$224,$C219,'TL02'!$J$10:$J$224),0),
IF('TL02'!$B$229=P$3,SUMIF('TL02'!$C$238:$C$451,$C219,'TL02'!$J$238:$J$451),0),
IF('TL03'!$B$3=P$3,SUMIF('TL03'!$C$10:$C$224,$C219,'TL03'!$J$10:$J$224),0),
IF('TL03'!$B$229=P$3,SUMIF('TL03'!$C$238:$C$451,$C219,'TL03'!$J$238:$J$451),0),
IF('TL04'!$B$3=P$3,SUMIF('TL04'!$C$10:$C$224,$C219,'TL04'!$J$10:$J$224),0),
IF('TL04'!$B$229=P$3,SUMIF('TL04'!$C$238:$C$451,$C219,'TL04'!$J$238:$J$451),0),
IF('TL05'!$B$3=P$3,SUMIF('TL05'!$C$10:$C$224,$C219,'TL05'!$J$10:$J$224),0),
IF('TL05'!$B$229=P$3,SUMIF('TL05'!$C$238:$C$451,$C219,'TL05'!$J$238:$J$451),0),
IF('TL06'!$B$3=P$3,SUMIF('TL06'!$C$10:$C$224,$C219,'TL06'!$J$10:$J$224),0),
IF('TL06'!$B$229=P$3,SUMIF('TL06'!$C$238:$C$451,$C219,'TL06'!$J$238:$J$451),0),
IF('TL07'!$B$3=P$3,SUMIF('TL07'!$C$10:$C$224,$C219,'TL07'!$J$10:$J$224),0),
IF('TL07'!$B$229=P$3,SUMIF('TL07'!$C$238:$C$451,$C219,'TL07'!$J$238:$J$451),0),
IF('TL08'!$B$3=P$3,SUMIF('TL08'!$C$10:$C$224,$C219,'TL08'!$J$10:$J$224),0),
IF('TL08'!$B$229=P$3,SUMIF('TL08'!$C$238:$C$451,$C219,'TL08'!$J$238:$J$451),0),
IF('TL09'!$B$3=P$3,SUMIF('TL09'!$C$10:$C$224,$C219,'TL09'!$J$10:$J$224),0),
IF('TL09'!$B$229=P$3,SUMIF('TL09'!$C$238:$C$451,$C219,'TL09'!$J$238:$J$451),0),
IF('TL10'!$B$3=P$3,SUMIF('TL10'!$C$10:$C$224,$C219,'TL10'!$J$10:$J$224),0),
IF('TL10'!$B$229=P$3,SUMIF('TL10'!$C$238:$C$451,$C219,'TL10'!$J$238:$J$451),0),
IF('TL11'!$B$3=P$3,SUMIF('TL11'!$C$10:$C$224,$C219,'TL11'!$J$10:$J$224),0),
IF('TL11'!$B$229=P$3,SUMIF('TL11'!$C$238:$C$451,$C219,'TL11'!$J$238:$J$451),0),
IF('TL12'!$B$3=P$3,SUMIF('TL12'!$C$10:$C$224,$C219,'TL12'!$J$10:$J$224),0),
IF('TL12'!$B$229=P$3,SUMIF('TL12'!$C$238:$C$451,$C219,'TL12'!$J$238:$J$451),0),
IF('TL13'!$B$3=P$3,SUMIF('TL13'!$C$10:$C$224,$C219,'TL13'!$J$10:$J$224),0),
IF('TL13'!$B$229=P$3,SUMIF('TL13'!$C$238:$C$451,$C219,'TL13'!$J$238:$J$451),0),
IF('TL14'!$B$3=P$3,SUMIF('TL14'!$C$10:$C$224,$C219,'TL14'!$J$10:$J$224),0),
IF('TL14'!$B$229=P$3,SUMIF('TL14'!$C$238:$C$451,$C219,'TL14'!$J$238:$J$451),0),
IF('TL15'!$B$3=P$3,SUMIF('TL15'!$C$10:$C$224,$C219,'TL15'!$J$10:$J$224),0),
IF('TL15'!$B$229=P$3,SUMIF('TL15'!$C$238:$C$451,$C219,'TL15'!$J$238:$J$451),0),
IF('TL16'!$B$3=P$3,SUMIF('TL16'!$C$10:$C$224,$C219,'TL16'!$J$10:$J$224),0),
IF('TL16'!$B$229=P$3,SUMIF('TL16'!$C$238:$C$451,$C219,'TL16'!$J$238:$J$451),0),
IF('TL17'!$B$3=P$3,SUMIF('TL17'!$C$10:$C$224,$C219,'TL17'!$J$10:$J$224),0),
IF('TL17'!$B$229=P$3,SUMIF('TL17'!$C$238:$C$451,$C219,'TL17'!$J$238:$J$451),0),
IF('TL18'!$B$3=P$3,SUMIF('TL18'!$C$10:$C$224,$C219,'TL18'!$J$10:$J$224),0),
IF('TL18'!$B$229=P$3,SUMIF('TL18'!$C$238:$C$451,$C219,'TL18'!$J$238:$J$451),0),
IF('TL19'!$B$3=P$3,SUMIF('TL19'!$C$10:$C$224,$C219,'TL19'!$J$10:$J$224),0),
IF('TL19'!$B$229=P$3,SUMIF('TL19'!$C$238:$C$451,$C219,'TL19'!$J$238:$J$451),0)
),0)</f>
        <v>0</v>
      </c>
      <c r="Q219" s="9">
        <f>IFERROR(SUM(
IF('TL01'!$B$3=Q$3,SUMIF('TL01'!$C$10:$C$224,$C219,'TL01'!$J$10:$J$224),0),
IF('TL01'!$B$229=Q$3,SUMIF('TL01'!$C$238:$C$451,$C219,'TL01'!$J$238:$J$451),0),
IF('TL02'!$B$3=Q$3,SUMIF('TL02'!$C$10:$C$224,$C219,'TL02'!$J$10:$J$224),0),
IF('TL02'!$B$229=Q$3,SUMIF('TL02'!$C$238:$C$451,$C219,'TL02'!$J$238:$J$451),0),
IF('TL03'!$B$3=Q$3,SUMIF('TL03'!$C$10:$C$224,$C219,'TL03'!$J$10:$J$224),0),
IF('TL03'!$B$229=Q$3,SUMIF('TL03'!$C$238:$C$451,$C219,'TL03'!$J$238:$J$451),0),
IF('TL04'!$B$3=Q$3,SUMIF('TL04'!$C$10:$C$224,$C219,'TL04'!$J$10:$J$224),0),
IF('TL04'!$B$229=Q$3,SUMIF('TL04'!$C$238:$C$451,$C219,'TL04'!$J$238:$J$451),0),
IF('TL05'!$B$3=Q$3,SUMIF('TL05'!$C$10:$C$224,$C219,'TL05'!$J$10:$J$224),0),
IF('TL05'!$B$229=Q$3,SUMIF('TL05'!$C$238:$C$451,$C219,'TL05'!$J$238:$J$451),0),
IF('TL06'!$B$3=Q$3,SUMIF('TL06'!$C$10:$C$224,$C219,'TL06'!$J$10:$J$224),0),
IF('TL06'!$B$229=Q$3,SUMIF('TL06'!$C$238:$C$451,$C219,'TL06'!$J$238:$J$451),0),
IF('TL07'!$B$3=Q$3,SUMIF('TL07'!$C$10:$C$224,$C219,'TL07'!$J$10:$J$224),0),
IF('TL07'!$B$229=Q$3,SUMIF('TL07'!$C$238:$C$451,$C219,'TL07'!$J$238:$J$451),0),
IF('TL08'!$B$3=Q$3,SUMIF('TL08'!$C$10:$C$224,$C219,'TL08'!$J$10:$J$224),0),
IF('TL08'!$B$229=Q$3,SUMIF('TL08'!$C$238:$C$451,$C219,'TL08'!$J$238:$J$451),0),
IF('TL09'!$B$3=Q$3,SUMIF('TL09'!$C$10:$C$224,$C219,'TL09'!$J$10:$J$224),0),
IF('TL09'!$B$229=Q$3,SUMIF('TL09'!$C$238:$C$451,$C219,'TL09'!$J$238:$J$451),0),
IF('TL10'!$B$3=Q$3,SUMIF('TL10'!$C$10:$C$224,$C219,'TL10'!$J$10:$J$224),0),
IF('TL10'!$B$229=Q$3,SUMIF('TL10'!$C$238:$C$451,$C219,'TL10'!$J$238:$J$451),0),
IF('TL11'!$B$3=Q$3,SUMIF('TL11'!$C$10:$C$224,$C219,'TL11'!$J$10:$J$224),0),
IF('TL11'!$B$229=Q$3,SUMIF('TL11'!$C$238:$C$451,$C219,'TL11'!$J$238:$J$451),0),
IF('TL12'!$B$3=Q$3,SUMIF('TL12'!$C$10:$C$224,$C219,'TL12'!$J$10:$J$224),0),
IF('TL12'!$B$229=Q$3,SUMIF('TL12'!$C$238:$C$451,$C219,'TL12'!$J$238:$J$451),0),
IF('TL13'!$B$3=Q$3,SUMIF('TL13'!$C$10:$C$224,$C219,'TL13'!$J$10:$J$224),0),
IF('TL13'!$B$229=Q$3,SUMIF('TL13'!$C$238:$C$451,$C219,'TL13'!$J$238:$J$451),0),
IF('TL14'!$B$3=Q$3,SUMIF('TL14'!$C$10:$C$224,$C219,'TL14'!$J$10:$J$224),0),
IF('TL14'!$B$229=Q$3,SUMIF('TL14'!$C$238:$C$451,$C219,'TL14'!$J$238:$J$451),0),
IF('TL15'!$B$3=Q$3,SUMIF('TL15'!$C$10:$C$224,$C219,'TL15'!$J$10:$J$224),0),
IF('TL15'!$B$229=Q$3,SUMIF('TL15'!$C$238:$C$451,$C219,'TL15'!$J$238:$J$451),0),
IF('TL16'!$B$3=Q$3,SUMIF('TL16'!$C$10:$C$224,$C219,'TL16'!$J$10:$J$224),0),
IF('TL16'!$B$229=Q$3,SUMIF('TL16'!$C$238:$C$451,$C219,'TL16'!$J$238:$J$451),0),
IF('TL17'!$B$3=Q$3,SUMIF('TL17'!$C$10:$C$224,$C219,'TL17'!$J$10:$J$224),0),
IF('TL17'!$B$229=Q$3,SUMIF('TL17'!$C$238:$C$451,$C219,'TL17'!$J$238:$J$451),0),
IF('TL18'!$B$3=Q$3,SUMIF('TL18'!$C$10:$C$224,$C219,'TL18'!$J$10:$J$224),0),
IF('TL18'!$B$229=Q$3,SUMIF('TL18'!$C$238:$C$451,$C219,'TL18'!$J$238:$J$451),0),
IF('TL19'!$B$3=Q$3,SUMIF('TL19'!$C$10:$C$224,$C219,'TL19'!$J$10:$J$224),0),
IF('TL19'!$B$229=Q$3,SUMIF('TL19'!$C$238:$C$451,$C219,'TL19'!$J$238:$J$451),0)
),0)</f>
        <v>0</v>
      </c>
      <c r="R219" s="9">
        <f>IFERROR(
SUM(
SUMIF('TL01'!C:C,C219,'TL01'!J:J),
SUMIF('TL02'!C:C,C219,'TL02'!J:J),
SUMIF('TL03'!C:C,C219,'TL03'!J:J),
SUMIF('TL04'!C:C,C219,'TL04'!J:J),
SUMIF('TL05'!C:C,C219,'TL05'!J:J),
SUMIF('TL06'!C:C,C219,'TL06'!J:J),
SUMIF('TL07'!C:C,C219,'TL07'!J:J),
SUMIF('TL08'!C:C,C219,'TL08'!J:J),
SUMIF('TL09'!C:C,C219,'TL09'!J:J),
SUMIF('TL10'!C:C,C219,'TL10'!J:J),
SUMIF('TL11'!C:C,C219,'TL11'!J:J),
SUMIF('TL12'!C:C,C219,'TL12'!J:J),
SUMIF('TL13'!C:C,C219,'TL13'!J:J),
SUMIF('TL14'!C:C,C219,'TL14'!J:J),
SUMIF('TL15'!C:C,C219,'TL15'!J:J),
SUMIF('TL16'!C:C,C219,'TL16'!J:J),
SUMIF('TL17'!C:C,C219,'TL17'!J:J),
SUMIF('TL18'!C:C,C219,'TL18'!J:J),SUMIF('TL19'!C:C,C219,'TL19'!J:J))
,0)</f>
        <v>0</v>
      </c>
      <c r="S219" s="17">
        <f>IFERROR(__xludf.DUMMYFUNCTION("IFERROR(VLOOKUP(C219,
IMPORTRANGE(""1wULbzX32WdYsx-lj2U3uUNBBe2INVIRDtcK0d-Dvl90"",
""26-27!C:G""),
5,
FALSE),
"""")"),61.37994)</f>
        <v>61.37994</v>
      </c>
      <c r="T219" s="9"/>
      <c r="U219" s="92">
        <f t="shared" si="2"/>
        <v>0</v>
      </c>
      <c r="V219" s="93">
        <f t="shared" si="3"/>
        <v>0</v>
      </c>
    </row>
    <row r="220" ht="15.75" hidden="1" customHeight="1">
      <c r="A220" s="87" t="s">
        <v>356</v>
      </c>
      <c r="B220" s="88" t="s">
        <v>2</v>
      </c>
      <c r="C220" s="89" t="s">
        <v>855</v>
      </c>
      <c r="D220" s="89" t="s">
        <v>785</v>
      </c>
      <c r="E220" s="89">
        <v>200.0</v>
      </c>
      <c r="F220" s="4" t="s">
        <v>343</v>
      </c>
      <c r="G220" s="90" t="str">
        <f t="shared" si="4"/>
        <v>📄 Ver bula</v>
      </c>
      <c r="H220" s="9">
        <f>IFERROR(__xludf.DUMMYFUNCTION("IFERROR(VLOOKUP(C220,
IMPORTRANGE(""1wULbzX32WdYsx-lj2U3uUNBBe2INVIRDtcK0d-Dvl90"",
""26-27!C:K""),
8,
FALSE),
"""")"),0.3)</f>
        <v>0.3</v>
      </c>
      <c r="I220" s="91" t="s">
        <v>361</v>
      </c>
      <c r="J220" s="9">
        <f>IFERROR(SUM(
IF('TL01'!$B$3=J$3,SUMIF('TL01'!$C$10:$C$224,$C220,'TL01'!$J$10:$J$224),0),
IF('TL01'!$B$229=J$3,SUMIF('TL01'!$C$238:$C$451,$C220,'TL01'!$J$238:$J$451),0),
IF('TL02'!$B$3=J$3,SUMIF('TL02'!$C$10:$C$224,$C220,'TL02'!$J$10:$J$224),0),
IF('TL02'!$B$229=J$3,SUMIF('TL02'!$C$238:$C$451,$C220,'TL02'!$J$238:$J$451),0),
IF('TL03'!$B$3=J$3,SUMIF('TL03'!$C$10:$C$224,$C220,'TL03'!$J$10:$J$224),0),
IF('TL03'!$B$229=J$3,SUMIF('TL03'!$C$238:$C$451,$C220,'TL03'!$J$238:$J$451),0),
IF('TL04'!$B$3=J$3,SUMIF('TL04'!$C$10:$C$224,$C220,'TL04'!$J$10:$J$224),0),
IF('TL04'!$B$229=J$3,SUMIF('TL04'!$C$238:$C$451,$C220,'TL04'!$J$238:$J$451),0),
IF('TL05'!$B$3=J$3,SUMIF('TL05'!$C$10:$C$224,$C220,'TL05'!$J$10:$J$224),0),
IF('TL05'!$B$229=J$3,SUMIF('TL05'!$C$238:$C$451,$C220,'TL05'!$J$238:$J$451),0),
IF('TL06'!$B$3=J$3,SUMIF('TL06'!$C$10:$C$224,$C220,'TL06'!$J$10:$J$224),0),
IF('TL06'!$B$229=J$3,SUMIF('TL06'!$C$238:$C$451,$C220,'TL06'!$J$238:$J$451),0),
IF('TL07'!$B$3=J$3,SUMIF('TL07'!$C$10:$C$224,$C220,'TL07'!$J$10:$J$224),0),
IF('TL07'!$B$229=J$3,SUMIF('TL07'!$C$238:$C$451,$C220,'TL07'!$J$238:$J$451),0),
IF('TL08'!$B$3=J$3,SUMIF('TL08'!$C$10:$C$224,$C220,'TL08'!$J$10:$J$224),0),
IF('TL08'!$B$229=J$3,SUMIF('TL08'!$C$238:$C$451,$C220,'TL08'!$J$238:$J$451),0),
IF('TL09'!$B$3=J$3,SUMIF('TL09'!$C$10:$C$224,$C220,'TL09'!$J$10:$J$224),0),
IF('TL09'!$B$229=J$3,SUMIF('TL09'!$C$238:$C$451,$C220,'TL09'!$J$238:$J$451),0),
IF('TL10'!$B$3=J$3,SUMIF('TL10'!$C$10:$C$224,$C220,'TL10'!$J$10:$J$224),0),
IF('TL10'!$B$229=J$3,SUMIF('TL10'!$C$238:$C$451,$C220,'TL10'!$J$238:$J$451),0),
IF('TL11'!$B$3=J$3,SUMIF('TL11'!$C$10:$C$224,$C220,'TL11'!$J$10:$J$224),0),
IF('TL11'!$B$229=J$3,SUMIF('TL11'!$C$238:$C$451,$C220,'TL11'!$J$238:$J$451),0),
IF('TL12'!$B$3=J$3,SUMIF('TL12'!$C$10:$C$224,$C220,'TL12'!$J$10:$J$224),0),
IF('TL12'!$B$229=J$3,SUMIF('TL12'!$C$238:$C$451,$C220,'TL12'!$J$238:$J$451),0),
IF('TL13'!$B$3=J$3,SUMIF('TL13'!$C$10:$C$224,$C220,'TL13'!$J$10:$J$224),0),
IF('TL13'!$B$229=J$3,SUMIF('TL13'!$C$238:$C$451,$C220,'TL13'!$J$238:$J$451),0),
IF('TL14'!$B$3=J$3,SUMIF('TL14'!$C$10:$C$224,$C220,'TL14'!$J$10:$J$224),0),
IF('TL14'!$B$229=J$3,SUMIF('TL14'!$C$238:$C$451,$C220,'TL14'!$J$238:$J$451),0),
IF('TL15'!$B$3=J$3,SUMIF('TL15'!$C$10:$C$224,$C220,'TL15'!$J$10:$J$224),0),
IF('TL15'!$B$229=J$3,SUMIF('TL15'!$C$238:$C$451,$C220,'TL15'!$J$238:$J$451),0),
IF('TL16'!$B$3=J$3,SUMIF('TL16'!$C$10:$C$224,$C220,'TL16'!$J$10:$J$224),0),
IF('TL16'!$B$229=J$3,SUMIF('TL16'!$C$238:$C$451,$C220,'TL16'!$J$238:$J$451),0),
IF('TL17'!$B$3=J$3,SUMIF('TL17'!$C$10:$C$224,$C220,'TL17'!$J$10:$J$224),0),
IF('TL17'!$B$229=J$3,SUMIF('TL17'!$C$238:$C$451,$C220,'TL17'!$J$238:$J$451),0),
IF('TL18'!$B$3=J$3,SUMIF('TL18'!$C$10:$C$224,$C220,'TL18'!$J$10:$J$224),0),
IF('TL18'!$B$229=J$3,SUMIF('TL18'!$C$238:$C$451,$C220,'TL18'!$J$238:$J$451),0),
IF('TL19'!$B$3=J$3,SUMIF('TL19'!$C$10:$C$224,$C220,'TL19'!$J$10:$J$224),0),
IF('TL19'!$B$229=J$3,SUMIF('TL19'!$C$238:$C$451,$C220,'TL19'!$J$238:$J$451),0)
),0)</f>
        <v>0</v>
      </c>
      <c r="K220" s="9">
        <f>IFERROR(SUM(
IF('TL01'!$B$3=K$3,SUMIF('TL01'!$C$10:$C$224,$C220,'TL01'!$J$10:$J$224),0),
IF('TL01'!$B$229=K$3,SUMIF('TL01'!$C$238:$C$451,$C220,'TL01'!$J$238:$J$451),0),
IF('TL02'!$B$3=K$3,SUMIF('TL02'!$C$10:$C$224,$C220,'TL02'!$J$10:$J$224),0),
IF('TL02'!$B$229=K$3,SUMIF('TL02'!$C$238:$C$451,$C220,'TL02'!$J$238:$J$451),0),
IF('TL03'!$B$3=K$3,SUMIF('TL03'!$C$10:$C$224,$C220,'TL03'!$J$10:$J$224),0),
IF('TL03'!$B$229=K$3,SUMIF('TL03'!$C$238:$C$451,$C220,'TL03'!$J$238:$J$451),0),
IF('TL04'!$B$3=K$3,SUMIF('TL04'!$C$10:$C$224,$C220,'TL04'!$J$10:$J$224),0),
IF('TL04'!$B$229=K$3,SUMIF('TL04'!$C$238:$C$451,$C220,'TL04'!$J$238:$J$451),0),
IF('TL05'!$B$3=K$3,SUMIF('TL05'!$C$10:$C$224,$C220,'TL05'!$J$10:$J$224),0),
IF('TL05'!$B$229=K$3,SUMIF('TL05'!$C$238:$C$451,$C220,'TL05'!$J$238:$J$451),0),
IF('TL06'!$B$3=K$3,SUMIF('TL06'!$C$10:$C$224,$C220,'TL06'!$J$10:$J$224),0),
IF('TL06'!$B$229=K$3,SUMIF('TL06'!$C$238:$C$451,$C220,'TL06'!$J$238:$J$451),0),
IF('TL07'!$B$3=K$3,SUMIF('TL07'!$C$10:$C$224,$C220,'TL07'!$J$10:$J$224),0),
IF('TL07'!$B$229=K$3,SUMIF('TL07'!$C$238:$C$451,$C220,'TL07'!$J$238:$J$451),0),
IF('TL08'!$B$3=K$3,SUMIF('TL08'!$C$10:$C$224,$C220,'TL08'!$J$10:$J$224),0),
IF('TL08'!$B$229=K$3,SUMIF('TL08'!$C$238:$C$451,$C220,'TL08'!$J$238:$J$451),0),
IF('TL09'!$B$3=K$3,SUMIF('TL09'!$C$10:$C$224,$C220,'TL09'!$J$10:$J$224),0),
IF('TL09'!$B$229=K$3,SUMIF('TL09'!$C$238:$C$451,$C220,'TL09'!$J$238:$J$451),0),
IF('TL10'!$B$3=K$3,SUMIF('TL10'!$C$10:$C$224,$C220,'TL10'!$J$10:$J$224),0),
IF('TL10'!$B$229=K$3,SUMIF('TL10'!$C$238:$C$451,$C220,'TL10'!$J$238:$J$451),0),
IF('TL11'!$B$3=K$3,SUMIF('TL11'!$C$10:$C$224,$C220,'TL11'!$J$10:$J$224),0),
IF('TL11'!$B$229=K$3,SUMIF('TL11'!$C$238:$C$451,$C220,'TL11'!$J$238:$J$451),0),
IF('TL12'!$B$3=K$3,SUMIF('TL12'!$C$10:$C$224,$C220,'TL12'!$J$10:$J$224),0),
IF('TL12'!$B$229=K$3,SUMIF('TL12'!$C$238:$C$451,$C220,'TL12'!$J$238:$J$451),0),
IF('TL13'!$B$3=K$3,SUMIF('TL13'!$C$10:$C$224,$C220,'TL13'!$J$10:$J$224),0),
IF('TL13'!$B$229=K$3,SUMIF('TL13'!$C$238:$C$451,$C220,'TL13'!$J$238:$J$451),0),
IF('TL14'!$B$3=K$3,SUMIF('TL14'!$C$10:$C$224,$C220,'TL14'!$J$10:$J$224),0),
IF('TL14'!$B$229=K$3,SUMIF('TL14'!$C$238:$C$451,$C220,'TL14'!$J$238:$J$451),0),
IF('TL15'!$B$3=K$3,SUMIF('TL15'!$C$10:$C$224,$C220,'TL15'!$J$10:$J$224),0),
IF('TL15'!$B$229=K$3,SUMIF('TL15'!$C$238:$C$451,$C220,'TL15'!$J$238:$J$451),0),
IF('TL16'!$B$3=K$3,SUMIF('TL16'!$C$10:$C$224,$C220,'TL16'!$J$10:$J$224),0),
IF('TL16'!$B$229=K$3,SUMIF('TL16'!$C$238:$C$451,$C220,'TL16'!$J$238:$J$451),0),
IF('TL17'!$B$3=K$3,SUMIF('TL17'!$C$10:$C$224,$C220,'TL17'!$J$10:$J$224),0),
IF('TL17'!$B$229=K$3,SUMIF('TL17'!$C$238:$C$451,$C220,'TL17'!$J$238:$J$451),0),
IF('TL18'!$B$3=K$3,SUMIF('TL18'!$C$10:$C$224,$C220,'TL18'!$J$10:$J$224),0),
IF('TL18'!$B$229=K$3,SUMIF('TL18'!$C$238:$C$451,$C220,'TL18'!$J$238:$J$451),0),
IF('TL19'!$B$3=K$3,SUMIF('TL19'!$C$10:$C$224,$C220,'TL19'!$J$10:$J$224),0),
IF('TL19'!$B$229=K$3,SUMIF('TL19'!$C$238:$C$451,$C220,'TL19'!$J$238:$J$451),0)
),0)</f>
        <v>0</v>
      </c>
      <c r="L220" s="9">
        <f>IFERROR(SUM(
IF('TL01'!$B$3=L$3,SUMIF('TL01'!$C$10:$C$224,$C220,'TL01'!$J$10:$J$224),0),
IF('TL01'!$B$229=L$3,SUMIF('TL01'!$C$238:$C$451,$C220,'TL01'!$J$238:$J$451),0),
IF('TL02'!$B$3=L$3,SUMIF('TL02'!$C$10:$C$224,$C220,'TL02'!$J$10:$J$224),0),
IF('TL02'!$B$229=L$3,SUMIF('TL02'!$C$238:$C$451,$C220,'TL02'!$J$238:$J$451),0),
IF('TL03'!$B$3=L$3,SUMIF('TL03'!$C$10:$C$224,$C220,'TL03'!$J$10:$J$224),0),
IF('TL03'!$B$229=L$3,SUMIF('TL03'!$C$238:$C$451,$C220,'TL03'!$J$238:$J$451),0),
IF('TL04'!$B$3=L$3,SUMIF('TL04'!$C$10:$C$224,$C220,'TL04'!$J$10:$J$224),0),
IF('TL04'!$B$229=L$3,SUMIF('TL04'!$C$238:$C$451,$C220,'TL04'!$J$238:$J$451),0),
IF('TL05'!$B$3=L$3,SUMIF('TL05'!$C$10:$C$224,$C220,'TL05'!$J$10:$J$224),0),
IF('TL05'!$B$229=L$3,SUMIF('TL05'!$C$238:$C$451,$C220,'TL05'!$J$238:$J$451),0),
IF('TL06'!$B$3=L$3,SUMIF('TL06'!$C$10:$C$224,$C220,'TL06'!$J$10:$J$224),0),
IF('TL06'!$B$229=L$3,SUMIF('TL06'!$C$238:$C$451,$C220,'TL06'!$J$238:$J$451),0),
IF('TL07'!$B$3=L$3,SUMIF('TL07'!$C$10:$C$224,$C220,'TL07'!$J$10:$J$224),0),
IF('TL07'!$B$229=L$3,SUMIF('TL07'!$C$238:$C$451,$C220,'TL07'!$J$238:$J$451),0),
IF('TL08'!$B$3=L$3,SUMIF('TL08'!$C$10:$C$224,$C220,'TL08'!$J$10:$J$224),0),
IF('TL08'!$B$229=L$3,SUMIF('TL08'!$C$238:$C$451,$C220,'TL08'!$J$238:$J$451),0),
IF('TL09'!$B$3=L$3,SUMIF('TL09'!$C$10:$C$224,$C220,'TL09'!$J$10:$J$224),0),
IF('TL09'!$B$229=L$3,SUMIF('TL09'!$C$238:$C$451,$C220,'TL09'!$J$238:$J$451),0),
IF('TL10'!$B$3=L$3,SUMIF('TL10'!$C$10:$C$224,$C220,'TL10'!$J$10:$J$224),0),
IF('TL10'!$B$229=L$3,SUMIF('TL10'!$C$238:$C$451,$C220,'TL10'!$J$238:$J$451),0),
IF('TL11'!$B$3=L$3,SUMIF('TL11'!$C$10:$C$224,$C220,'TL11'!$J$10:$J$224),0),
IF('TL11'!$B$229=L$3,SUMIF('TL11'!$C$238:$C$451,$C220,'TL11'!$J$238:$J$451),0),
IF('TL12'!$B$3=L$3,SUMIF('TL12'!$C$10:$C$224,$C220,'TL12'!$J$10:$J$224),0),
IF('TL12'!$B$229=L$3,SUMIF('TL12'!$C$238:$C$451,$C220,'TL12'!$J$238:$J$451),0),
IF('TL13'!$B$3=L$3,SUMIF('TL13'!$C$10:$C$224,$C220,'TL13'!$J$10:$J$224),0),
IF('TL13'!$B$229=L$3,SUMIF('TL13'!$C$238:$C$451,$C220,'TL13'!$J$238:$J$451),0),
IF('TL14'!$B$3=L$3,SUMIF('TL14'!$C$10:$C$224,$C220,'TL14'!$J$10:$J$224),0),
IF('TL14'!$B$229=L$3,SUMIF('TL14'!$C$238:$C$451,$C220,'TL14'!$J$238:$J$451),0),
IF('TL15'!$B$3=L$3,SUMIF('TL15'!$C$10:$C$224,$C220,'TL15'!$J$10:$J$224),0),
IF('TL15'!$B$229=L$3,SUMIF('TL15'!$C$238:$C$451,$C220,'TL15'!$J$238:$J$451),0),
IF('TL16'!$B$3=L$3,SUMIF('TL16'!$C$10:$C$224,$C220,'TL16'!$J$10:$J$224),0),
IF('TL16'!$B$229=L$3,SUMIF('TL16'!$C$238:$C$451,$C220,'TL16'!$J$238:$J$451),0),
IF('TL17'!$B$3=L$3,SUMIF('TL17'!$C$10:$C$224,$C220,'TL17'!$J$10:$J$224),0),
IF('TL17'!$B$229=L$3,SUMIF('TL17'!$C$238:$C$451,$C220,'TL17'!$J$238:$J$451),0),
IF('TL18'!$B$3=L$3,SUMIF('TL18'!$C$10:$C$224,$C220,'TL18'!$J$10:$J$224),0),
IF('TL18'!$B$229=L$3,SUMIF('TL18'!$C$238:$C$451,$C220,'TL18'!$J$238:$J$451),0),
IF('TL19'!$B$3=L$3,SUMIF('TL19'!$C$10:$C$224,$C220,'TL19'!$J$10:$J$224),0),
IF('TL19'!$B$229=L$3,SUMIF('TL19'!$C$238:$C$451,$C220,'TL19'!$J$238:$J$451),0)
),0)</f>
        <v>0</v>
      </c>
      <c r="M220" s="9">
        <f>IFERROR(SUM(
IF('TL01'!$B$3=M$3,SUMIF('TL01'!$C$10:$C$224,$C220,'TL01'!$J$10:$J$224),0),
IF('TL01'!$B$229=M$3,SUMIF('TL01'!$C$238:$C$451,$C220,'TL01'!$J$238:$J$451),0),
IF('TL02'!$B$3=M$3,SUMIF('TL02'!$C$10:$C$224,$C220,'TL02'!$J$10:$J$224),0),
IF('TL02'!$B$229=M$3,SUMIF('TL02'!$C$238:$C$451,$C220,'TL02'!$J$238:$J$451),0),
IF('TL03'!$B$3=M$3,SUMIF('TL03'!$C$10:$C$224,$C220,'TL03'!$J$10:$J$224),0),
IF('TL03'!$B$229=M$3,SUMIF('TL03'!$C$238:$C$451,$C220,'TL03'!$J$238:$J$451),0),
IF('TL04'!$B$3=M$3,SUMIF('TL04'!$C$10:$C$224,$C220,'TL04'!$J$10:$J$224),0),
IF('TL04'!$B$229=M$3,SUMIF('TL04'!$C$238:$C$451,$C220,'TL04'!$J$238:$J$451),0),
IF('TL05'!$B$3=M$3,SUMIF('TL05'!$C$10:$C$224,$C220,'TL05'!$J$10:$J$224),0),
IF('TL05'!$B$229=M$3,SUMIF('TL05'!$C$238:$C$451,$C220,'TL05'!$J$238:$J$451),0),
IF('TL06'!$B$3=M$3,SUMIF('TL06'!$C$10:$C$224,$C220,'TL06'!$J$10:$J$224),0),
IF('TL06'!$B$229=M$3,SUMIF('TL06'!$C$238:$C$451,$C220,'TL06'!$J$238:$J$451),0),
IF('TL07'!$B$3=M$3,SUMIF('TL07'!$C$10:$C$224,$C220,'TL07'!$J$10:$J$224),0),
IF('TL07'!$B$229=M$3,SUMIF('TL07'!$C$238:$C$451,$C220,'TL07'!$J$238:$J$451),0),
IF('TL08'!$B$3=M$3,SUMIF('TL08'!$C$10:$C$224,$C220,'TL08'!$J$10:$J$224),0),
IF('TL08'!$B$229=M$3,SUMIF('TL08'!$C$238:$C$451,$C220,'TL08'!$J$238:$J$451),0),
IF('TL09'!$B$3=M$3,SUMIF('TL09'!$C$10:$C$224,$C220,'TL09'!$J$10:$J$224),0),
IF('TL09'!$B$229=M$3,SUMIF('TL09'!$C$238:$C$451,$C220,'TL09'!$J$238:$J$451),0),
IF('TL10'!$B$3=M$3,SUMIF('TL10'!$C$10:$C$224,$C220,'TL10'!$J$10:$J$224),0),
IF('TL10'!$B$229=M$3,SUMIF('TL10'!$C$238:$C$451,$C220,'TL10'!$J$238:$J$451),0),
IF('TL11'!$B$3=M$3,SUMIF('TL11'!$C$10:$C$224,$C220,'TL11'!$J$10:$J$224),0),
IF('TL11'!$B$229=M$3,SUMIF('TL11'!$C$238:$C$451,$C220,'TL11'!$J$238:$J$451),0),
IF('TL12'!$B$3=M$3,SUMIF('TL12'!$C$10:$C$224,$C220,'TL12'!$J$10:$J$224),0),
IF('TL12'!$B$229=M$3,SUMIF('TL12'!$C$238:$C$451,$C220,'TL12'!$J$238:$J$451),0),
IF('TL13'!$B$3=M$3,SUMIF('TL13'!$C$10:$C$224,$C220,'TL13'!$J$10:$J$224),0),
IF('TL13'!$B$229=M$3,SUMIF('TL13'!$C$238:$C$451,$C220,'TL13'!$J$238:$J$451),0),
IF('TL14'!$B$3=M$3,SUMIF('TL14'!$C$10:$C$224,$C220,'TL14'!$J$10:$J$224),0),
IF('TL14'!$B$229=M$3,SUMIF('TL14'!$C$238:$C$451,$C220,'TL14'!$J$238:$J$451),0),
IF('TL15'!$B$3=M$3,SUMIF('TL15'!$C$10:$C$224,$C220,'TL15'!$J$10:$J$224),0),
IF('TL15'!$B$229=M$3,SUMIF('TL15'!$C$238:$C$451,$C220,'TL15'!$J$238:$J$451),0),
IF('TL16'!$B$3=M$3,SUMIF('TL16'!$C$10:$C$224,$C220,'TL16'!$J$10:$J$224),0),
IF('TL16'!$B$229=M$3,SUMIF('TL16'!$C$238:$C$451,$C220,'TL16'!$J$238:$J$451),0),
IF('TL17'!$B$3=M$3,SUMIF('TL17'!$C$10:$C$224,$C220,'TL17'!$J$10:$J$224),0),
IF('TL17'!$B$229=M$3,SUMIF('TL17'!$C$238:$C$451,$C220,'TL17'!$J$238:$J$451),0),
IF('TL18'!$B$3=M$3,SUMIF('TL18'!$C$10:$C$224,$C220,'TL18'!$J$10:$J$224),0),
IF('TL18'!$B$229=M$3,SUMIF('TL18'!$C$238:$C$451,$C220,'TL18'!$J$238:$J$451),0),
IF('TL19'!$B$3=M$3,SUMIF('TL19'!$C$10:$C$224,$C220,'TL19'!$J$10:$J$224),0),
IF('TL19'!$B$229=M$3,SUMIF('TL19'!$C$238:$C$451,$C220,'TL19'!$J$238:$J$451),0)
),0)</f>
        <v>0</v>
      </c>
      <c r="N220" s="9">
        <f>IFERROR(SUM(
IF('TL01'!$B$3=N$3,SUMIF('TL01'!$C$10:$C$224,$C220,'TL01'!$J$10:$J$224),0),
IF('TL01'!$B$229=N$3,SUMIF('TL01'!$C$238:$C$451,$C220,'TL01'!$J$238:$J$451),0),
IF('TL02'!$B$3=N$3,SUMIF('TL02'!$C$10:$C$224,$C220,'TL02'!$J$10:$J$224),0),
IF('TL02'!$B$229=N$3,SUMIF('TL02'!$C$238:$C$451,$C220,'TL02'!$J$238:$J$451),0),
IF('TL03'!$B$3=N$3,SUMIF('TL03'!$C$10:$C$224,$C220,'TL03'!$J$10:$J$224),0),
IF('TL03'!$B$229=N$3,SUMIF('TL03'!$C$238:$C$451,$C220,'TL03'!$J$238:$J$451),0),
IF('TL04'!$B$3=N$3,SUMIF('TL04'!$C$10:$C$224,$C220,'TL04'!$J$10:$J$224),0),
IF('TL04'!$B$229=N$3,SUMIF('TL04'!$C$238:$C$451,$C220,'TL04'!$J$238:$J$451),0),
IF('TL05'!$B$3=N$3,SUMIF('TL05'!$C$10:$C$224,$C220,'TL05'!$J$10:$J$224),0),
IF('TL05'!$B$229=N$3,SUMIF('TL05'!$C$238:$C$451,$C220,'TL05'!$J$238:$J$451),0),
IF('TL06'!$B$3=N$3,SUMIF('TL06'!$C$10:$C$224,$C220,'TL06'!$J$10:$J$224),0),
IF('TL06'!$B$229=N$3,SUMIF('TL06'!$C$238:$C$451,$C220,'TL06'!$J$238:$J$451),0),
IF('TL07'!$B$3=N$3,SUMIF('TL07'!$C$10:$C$224,$C220,'TL07'!$J$10:$J$224),0),
IF('TL07'!$B$229=N$3,SUMIF('TL07'!$C$238:$C$451,$C220,'TL07'!$J$238:$J$451),0),
IF('TL08'!$B$3=N$3,SUMIF('TL08'!$C$10:$C$224,$C220,'TL08'!$J$10:$J$224),0),
IF('TL08'!$B$229=N$3,SUMIF('TL08'!$C$238:$C$451,$C220,'TL08'!$J$238:$J$451),0),
IF('TL09'!$B$3=N$3,SUMIF('TL09'!$C$10:$C$224,$C220,'TL09'!$J$10:$J$224),0),
IF('TL09'!$B$229=N$3,SUMIF('TL09'!$C$238:$C$451,$C220,'TL09'!$J$238:$J$451),0),
IF('TL10'!$B$3=N$3,SUMIF('TL10'!$C$10:$C$224,$C220,'TL10'!$J$10:$J$224),0),
IF('TL10'!$B$229=N$3,SUMIF('TL10'!$C$238:$C$451,$C220,'TL10'!$J$238:$J$451),0),
IF('TL11'!$B$3=N$3,SUMIF('TL11'!$C$10:$C$224,$C220,'TL11'!$J$10:$J$224),0),
IF('TL11'!$B$229=N$3,SUMIF('TL11'!$C$238:$C$451,$C220,'TL11'!$J$238:$J$451),0),
IF('TL12'!$B$3=N$3,SUMIF('TL12'!$C$10:$C$224,$C220,'TL12'!$J$10:$J$224),0),
IF('TL12'!$B$229=N$3,SUMIF('TL12'!$C$238:$C$451,$C220,'TL12'!$J$238:$J$451),0),
IF('TL13'!$B$3=N$3,SUMIF('TL13'!$C$10:$C$224,$C220,'TL13'!$J$10:$J$224),0),
IF('TL13'!$B$229=N$3,SUMIF('TL13'!$C$238:$C$451,$C220,'TL13'!$J$238:$J$451),0),
IF('TL14'!$B$3=N$3,SUMIF('TL14'!$C$10:$C$224,$C220,'TL14'!$J$10:$J$224),0),
IF('TL14'!$B$229=N$3,SUMIF('TL14'!$C$238:$C$451,$C220,'TL14'!$J$238:$J$451),0),
IF('TL15'!$B$3=N$3,SUMIF('TL15'!$C$10:$C$224,$C220,'TL15'!$J$10:$J$224),0),
IF('TL15'!$B$229=N$3,SUMIF('TL15'!$C$238:$C$451,$C220,'TL15'!$J$238:$J$451),0),
IF('TL16'!$B$3=N$3,SUMIF('TL16'!$C$10:$C$224,$C220,'TL16'!$J$10:$J$224),0),
IF('TL16'!$B$229=N$3,SUMIF('TL16'!$C$238:$C$451,$C220,'TL16'!$J$238:$J$451),0),
IF('TL17'!$B$3=N$3,SUMIF('TL17'!$C$10:$C$224,$C220,'TL17'!$J$10:$J$224),0),
IF('TL17'!$B$229=N$3,SUMIF('TL17'!$C$238:$C$451,$C220,'TL17'!$J$238:$J$451),0),
IF('TL18'!$B$3=N$3,SUMIF('TL18'!$C$10:$C$224,$C220,'TL18'!$J$10:$J$224),0),
IF('TL18'!$B$229=N$3,SUMIF('TL18'!$C$238:$C$451,$C220,'TL18'!$J$238:$J$451),0),
IF('TL19'!$B$3=N$3,SUMIF('TL19'!$C$10:$C$224,$C220,'TL19'!$J$10:$J$224),0),
IF('TL19'!$B$229=N$3,SUMIF('TL19'!$C$238:$C$451,$C220,'TL19'!$J$238:$J$451),0)
),0)</f>
        <v>0</v>
      </c>
      <c r="O220" s="9">
        <f>IFERROR(SUM(
IF('TL01'!$B$3=O$3,SUMIF('TL01'!$C$10:$C$224,$C220,'TL01'!$J$10:$J$224),0),
IF('TL01'!$B$229=O$3,SUMIF('TL01'!$C$238:$C$451,$C220,'TL01'!$J$238:$J$451),0),
IF('TL02'!$B$3=O$3,SUMIF('TL02'!$C$10:$C$224,$C220,'TL02'!$J$10:$J$224),0),
IF('TL02'!$B$229=O$3,SUMIF('TL02'!$C$238:$C$451,$C220,'TL02'!$J$238:$J$451),0),
IF('TL03'!$B$3=O$3,SUMIF('TL03'!$C$10:$C$224,$C220,'TL03'!$J$10:$J$224),0),
IF('TL03'!$B$229=O$3,SUMIF('TL03'!$C$238:$C$451,$C220,'TL03'!$J$238:$J$451),0),
IF('TL04'!$B$3=O$3,SUMIF('TL04'!$C$10:$C$224,$C220,'TL04'!$J$10:$J$224),0),
IF('TL04'!$B$229=O$3,SUMIF('TL04'!$C$238:$C$451,$C220,'TL04'!$J$238:$J$451),0),
IF('TL05'!$B$3=O$3,SUMIF('TL05'!$C$10:$C$224,$C220,'TL05'!$J$10:$J$224),0),
IF('TL05'!$B$229=O$3,SUMIF('TL05'!$C$238:$C$451,$C220,'TL05'!$J$238:$J$451),0),
IF('TL06'!$B$3=O$3,SUMIF('TL06'!$C$10:$C$224,$C220,'TL06'!$J$10:$J$224),0),
IF('TL06'!$B$229=O$3,SUMIF('TL06'!$C$238:$C$451,$C220,'TL06'!$J$238:$J$451),0),
IF('TL07'!$B$3=O$3,SUMIF('TL07'!$C$10:$C$224,$C220,'TL07'!$J$10:$J$224),0),
IF('TL07'!$B$229=O$3,SUMIF('TL07'!$C$238:$C$451,$C220,'TL07'!$J$238:$J$451),0),
IF('TL08'!$B$3=O$3,SUMIF('TL08'!$C$10:$C$224,$C220,'TL08'!$J$10:$J$224),0),
IF('TL08'!$B$229=O$3,SUMIF('TL08'!$C$238:$C$451,$C220,'TL08'!$J$238:$J$451),0),
IF('TL09'!$B$3=O$3,SUMIF('TL09'!$C$10:$C$224,$C220,'TL09'!$J$10:$J$224),0),
IF('TL09'!$B$229=O$3,SUMIF('TL09'!$C$238:$C$451,$C220,'TL09'!$J$238:$J$451),0),
IF('TL10'!$B$3=O$3,SUMIF('TL10'!$C$10:$C$224,$C220,'TL10'!$J$10:$J$224),0),
IF('TL10'!$B$229=O$3,SUMIF('TL10'!$C$238:$C$451,$C220,'TL10'!$J$238:$J$451),0),
IF('TL11'!$B$3=O$3,SUMIF('TL11'!$C$10:$C$224,$C220,'TL11'!$J$10:$J$224),0),
IF('TL11'!$B$229=O$3,SUMIF('TL11'!$C$238:$C$451,$C220,'TL11'!$J$238:$J$451),0),
IF('TL12'!$B$3=O$3,SUMIF('TL12'!$C$10:$C$224,$C220,'TL12'!$J$10:$J$224),0),
IF('TL12'!$B$229=O$3,SUMIF('TL12'!$C$238:$C$451,$C220,'TL12'!$J$238:$J$451),0),
IF('TL13'!$B$3=O$3,SUMIF('TL13'!$C$10:$C$224,$C220,'TL13'!$J$10:$J$224),0),
IF('TL13'!$B$229=O$3,SUMIF('TL13'!$C$238:$C$451,$C220,'TL13'!$J$238:$J$451),0),
IF('TL14'!$B$3=O$3,SUMIF('TL14'!$C$10:$C$224,$C220,'TL14'!$J$10:$J$224),0),
IF('TL14'!$B$229=O$3,SUMIF('TL14'!$C$238:$C$451,$C220,'TL14'!$J$238:$J$451),0),
IF('TL15'!$B$3=O$3,SUMIF('TL15'!$C$10:$C$224,$C220,'TL15'!$J$10:$J$224),0),
IF('TL15'!$B$229=O$3,SUMIF('TL15'!$C$238:$C$451,$C220,'TL15'!$J$238:$J$451),0),
IF('TL16'!$B$3=O$3,SUMIF('TL16'!$C$10:$C$224,$C220,'TL16'!$J$10:$J$224),0),
IF('TL16'!$B$229=O$3,SUMIF('TL16'!$C$238:$C$451,$C220,'TL16'!$J$238:$J$451),0),
IF('TL17'!$B$3=O$3,SUMIF('TL17'!$C$10:$C$224,$C220,'TL17'!$J$10:$J$224),0),
IF('TL17'!$B$229=O$3,SUMIF('TL17'!$C$238:$C$451,$C220,'TL17'!$J$238:$J$451),0),
IF('TL18'!$B$3=O$3,SUMIF('TL18'!$C$10:$C$224,$C220,'TL18'!$J$10:$J$224),0),
IF('TL18'!$B$229=O$3,SUMIF('TL18'!$C$238:$C$451,$C220,'TL18'!$J$238:$J$451),0),
IF('TL19'!$B$3=O$3,SUMIF('TL19'!$C$10:$C$224,$C220,'TL19'!$J$10:$J$224),0),
IF('TL19'!$B$229=O$3,SUMIF('TL19'!$C$238:$C$451,$C220,'TL19'!$J$238:$J$451),0)
),0)</f>
        <v>0</v>
      </c>
      <c r="P220" s="9">
        <f>IFERROR(SUM(
IF('TL01'!$B$3=P$3,SUMIF('TL01'!$C$10:$C$224,$C220,'TL01'!$J$10:$J$224),0),
IF('TL01'!$B$229=P$3,SUMIF('TL01'!$C$238:$C$451,$C220,'TL01'!$J$238:$J$451),0),
IF('TL02'!$B$3=P$3,SUMIF('TL02'!$C$10:$C$224,$C220,'TL02'!$J$10:$J$224),0),
IF('TL02'!$B$229=P$3,SUMIF('TL02'!$C$238:$C$451,$C220,'TL02'!$J$238:$J$451),0),
IF('TL03'!$B$3=P$3,SUMIF('TL03'!$C$10:$C$224,$C220,'TL03'!$J$10:$J$224),0),
IF('TL03'!$B$229=P$3,SUMIF('TL03'!$C$238:$C$451,$C220,'TL03'!$J$238:$J$451),0),
IF('TL04'!$B$3=P$3,SUMIF('TL04'!$C$10:$C$224,$C220,'TL04'!$J$10:$J$224),0),
IF('TL04'!$B$229=P$3,SUMIF('TL04'!$C$238:$C$451,$C220,'TL04'!$J$238:$J$451),0),
IF('TL05'!$B$3=P$3,SUMIF('TL05'!$C$10:$C$224,$C220,'TL05'!$J$10:$J$224),0),
IF('TL05'!$B$229=P$3,SUMIF('TL05'!$C$238:$C$451,$C220,'TL05'!$J$238:$J$451),0),
IF('TL06'!$B$3=P$3,SUMIF('TL06'!$C$10:$C$224,$C220,'TL06'!$J$10:$J$224),0),
IF('TL06'!$B$229=P$3,SUMIF('TL06'!$C$238:$C$451,$C220,'TL06'!$J$238:$J$451),0),
IF('TL07'!$B$3=P$3,SUMIF('TL07'!$C$10:$C$224,$C220,'TL07'!$J$10:$J$224),0),
IF('TL07'!$B$229=P$3,SUMIF('TL07'!$C$238:$C$451,$C220,'TL07'!$J$238:$J$451),0),
IF('TL08'!$B$3=P$3,SUMIF('TL08'!$C$10:$C$224,$C220,'TL08'!$J$10:$J$224),0),
IF('TL08'!$B$229=P$3,SUMIF('TL08'!$C$238:$C$451,$C220,'TL08'!$J$238:$J$451),0),
IF('TL09'!$B$3=P$3,SUMIF('TL09'!$C$10:$C$224,$C220,'TL09'!$J$10:$J$224),0),
IF('TL09'!$B$229=P$3,SUMIF('TL09'!$C$238:$C$451,$C220,'TL09'!$J$238:$J$451),0),
IF('TL10'!$B$3=P$3,SUMIF('TL10'!$C$10:$C$224,$C220,'TL10'!$J$10:$J$224),0),
IF('TL10'!$B$229=P$3,SUMIF('TL10'!$C$238:$C$451,$C220,'TL10'!$J$238:$J$451),0),
IF('TL11'!$B$3=P$3,SUMIF('TL11'!$C$10:$C$224,$C220,'TL11'!$J$10:$J$224),0),
IF('TL11'!$B$229=P$3,SUMIF('TL11'!$C$238:$C$451,$C220,'TL11'!$J$238:$J$451),0),
IF('TL12'!$B$3=P$3,SUMIF('TL12'!$C$10:$C$224,$C220,'TL12'!$J$10:$J$224),0),
IF('TL12'!$B$229=P$3,SUMIF('TL12'!$C$238:$C$451,$C220,'TL12'!$J$238:$J$451),0),
IF('TL13'!$B$3=P$3,SUMIF('TL13'!$C$10:$C$224,$C220,'TL13'!$J$10:$J$224),0),
IF('TL13'!$B$229=P$3,SUMIF('TL13'!$C$238:$C$451,$C220,'TL13'!$J$238:$J$451),0),
IF('TL14'!$B$3=P$3,SUMIF('TL14'!$C$10:$C$224,$C220,'TL14'!$J$10:$J$224),0),
IF('TL14'!$B$229=P$3,SUMIF('TL14'!$C$238:$C$451,$C220,'TL14'!$J$238:$J$451),0),
IF('TL15'!$B$3=P$3,SUMIF('TL15'!$C$10:$C$224,$C220,'TL15'!$J$10:$J$224),0),
IF('TL15'!$B$229=P$3,SUMIF('TL15'!$C$238:$C$451,$C220,'TL15'!$J$238:$J$451),0),
IF('TL16'!$B$3=P$3,SUMIF('TL16'!$C$10:$C$224,$C220,'TL16'!$J$10:$J$224),0),
IF('TL16'!$B$229=P$3,SUMIF('TL16'!$C$238:$C$451,$C220,'TL16'!$J$238:$J$451),0),
IF('TL17'!$B$3=P$3,SUMIF('TL17'!$C$10:$C$224,$C220,'TL17'!$J$10:$J$224),0),
IF('TL17'!$B$229=P$3,SUMIF('TL17'!$C$238:$C$451,$C220,'TL17'!$J$238:$J$451),0),
IF('TL18'!$B$3=P$3,SUMIF('TL18'!$C$10:$C$224,$C220,'TL18'!$J$10:$J$224),0),
IF('TL18'!$B$229=P$3,SUMIF('TL18'!$C$238:$C$451,$C220,'TL18'!$J$238:$J$451),0),
IF('TL19'!$B$3=P$3,SUMIF('TL19'!$C$10:$C$224,$C220,'TL19'!$J$10:$J$224),0),
IF('TL19'!$B$229=P$3,SUMIF('TL19'!$C$238:$C$451,$C220,'TL19'!$J$238:$J$451),0)
),0)</f>
        <v>0</v>
      </c>
      <c r="Q220" s="9">
        <f>IFERROR(SUM(
IF('TL01'!$B$3=Q$3,SUMIF('TL01'!$C$10:$C$224,$C220,'TL01'!$J$10:$J$224),0),
IF('TL01'!$B$229=Q$3,SUMIF('TL01'!$C$238:$C$451,$C220,'TL01'!$J$238:$J$451),0),
IF('TL02'!$B$3=Q$3,SUMIF('TL02'!$C$10:$C$224,$C220,'TL02'!$J$10:$J$224),0),
IF('TL02'!$B$229=Q$3,SUMIF('TL02'!$C$238:$C$451,$C220,'TL02'!$J$238:$J$451),0),
IF('TL03'!$B$3=Q$3,SUMIF('TL03'!$C$10:$C$224,$C220,'TL03'!$J$10:$J$224),0),
IF('TL03'!$B$229=Q$3,SUMIF('TL03'!$C$238:$C$451,$C220,'TL03'!$J$238:$J$451),0),
IF('TL04'!$B$3=Q$3,SUMIF('TL04'!$C$10:$C$224,$C220,'TL04'!$J$10:$J$224),0),
IF('TL04'!$B$229=Q$3,SUMIF('TL04'!$C$238:$C$451,$C220,'TL04'!$J$238:$J$451),0),
IF('TL05'!$B$3=Q$3,SUMIF('TL05'!$C$10:$C$224,$C220,'TL05'!$J$10:$J$224),0),
IF('TL05'!$B$229=Q$3,SUMIF('TL05'!$C$238:$C$451,$C220,'TL05'!$J$238:$J$451),0),
IF('TL06'!$B$3=Q$3,SUMIF('TL06'!$C$10:$C$224,$C220,'TL06'!$J$10:$J$224),0),
IF('TL06'!$B$229=Q$3,SUMIF('TL06'!$C$238:$C$451,$C220,'TL06'!$J$238:$J$451),0),
IF('TL07'!$B$3=Q$3,SUMIF('TL07'!$C$10:$C$224,$C220,'TL07'!$J$10:$J$224),0),
IF('TL07'!$B$229=Q$3,SUMIF('TL07'!$C$238:$C$451,$C220,'TL07'!$J$238:$J$451),0),
IF('TL08'!$B$3=Q$3,SUMIF('TL08'!$C$10:$C$224,$C220,'TL08'!$J$10:$J$224),0),
IF('TL08'!$B$229=Q$3,SUMIF('TL08'!$C$238:$C$451,$C220,'TL08'!$J$238:$J$451),0),
IF('TL09'!$B$3=Q$3,SUMIF('TL09'!$C$10:$C$224,$C220,'TL09'!$J$10:$J$224),0),
IF('TL09'!$B$229=Q$3,SUMIF('TL09'!$C$238:$C$451,$C220,'TL09'!$J$238:$J$451),0),
IF('TL10'!$B$3=Q$3,SUMIF('TL10'!$C$10:$C$224,$C220,'TL10'!$J$10:$J$224),0),
IF('TL10'!$B$229=Q$3,SUMIF('TL10'!$C$238:$C$451,$C220,'TL10'!$J$238:$J$451),0),
IF('TL11'!$B$3=Q$3,SUMIF('TL11'!$C$10:$C$224,$C220,'TL11'!$J$10:$J$224),0),
IF('TL11'!$B$229=Q$3,SUMIF('TL11'!$C$238:$C$451,$C220,'TL11'!$J$238:$J$451),0),
IF('TL12'!$B$3=Q$3,SUMIF('TL12'!$C$10:$C$224,$C220,'TL12'!$J$10:$J$224),0),
IF('TL12'!$B$229=Q$3,SUMIF('TL12'!$C$238:$C$451,$C220,'TL12'!$J$238:$J$451),0),
IF('TL13'!$B$3=Q$3,SUMIF('TL13'!$C$10:$C$224,$C220,'TL13'!$J$10:$J$224),0),
IF('TL13'!$B$229=Q$3,SUMIF('TL13'!$C$238:$C$451,$C220,'TL13'!$J$238:$J$451),0),
IF('TL14'!$B$3=Q$3,SUMIF('TL14'!$C$10:$C$224,$C220,'TL14'!$J$10:$J$224),0),
IF('TL14'!$B$229=Q$3,SUMIF('TL14'!$C$238:$C$451,$C220,'TL14'!$J$238:$J$451),0),
IF('TL15'!$B$3=Q$3,SUMIF('TL15'!$C$10:$C$224,$C220,'TL15'!$J$10:$J$224),0),
IF('TL15'!$B$229=Q$3,SUMIF('TL15'!$C$238:$C$451,$C220,'TL15'!$J$238:$J$451),0),
IF('TL16'!$B$3=Q$3,SUMIF('TL16'!$C$10:$C$224,$C220,'TL16'!$J$10:$J$224),0),
IF('TL16'!$B$229=Q$3,SUMIF('TL16'!$C$238:$C$451,$C220,'TL16'!$J$238:$J$451),0),
IF('TL17'!$B$3=Q$3,SUMIF('TL17'!$C$10:$C$224,$C220,'TL17'!$J$10:$J$224),0),
IF('TL17'!$B$229=Q$3,SUMIF('TL17'!$C$238:$C$451,$C220,'TL17'!$J$238:$J$451),0),
IF('TL18'!$B$3=Q$3,SUMIF('TL18'!$C$10:$C$224,$C220,'TL18'!$J$10:$J$224),0),
IF('TL18'!$B$229=Q$3,SUMIF('TL18'!$C$238:$C$451,$C220,'TL18'!$J$238:$J$451),0),
IF('TL19'!$B$3=Q$3,SUMIF('TL19'!$C$10:$C$224,$C220,'TL19'!$J$10:$J$224),0),
IF('TL19'!$B$229=Q$3,SUMIF('TL19'!$C$238:$C$451,$C220,'TL19'!$J$238:$J$451),0)
),0)</f>
        <v>0</v>
      </c>
      <c r="R220" s="9">
        <f>IFERROR(
SUM(
SUMIF('TL01'!C:C,C220,'TL01'!J:J),
SUMIF('TL02'!C:C,C220,'TL02'!J:J),
SUMIF('TL03'!C:C,C220,'TL03'!J:J),
SUMIF('TL04'!C:C,C220,'TL04'!J:J),
SUMIF('TL05'!C:C,C220,'TL05'!J:J),
SUMIF('TL06'!C:C,C220,'TL06'!J:J),
SUMIF('TL07'!C:C,C220,'TL07'!J:J),
SUMIF('TL08'!C:C,C220,'TL08'!J:J),
SUMIF('TL09'!C:C,C220,'TL09'!J:J),
SUMIF('TL10'!C:C,C220,'TL10'!J:J),
SUMIF('TL11'!C:C,C220,'TL11'!J:J),
SUMIF('TL12'!C:C,C220,'TL12'!J:J),
SUMIF('TL13'!C:C,C220,'TL13'!J:J),
SUMIF('TL14'!C:C,C220,'TL14'!J:J),
SUMIF('TL15'!C:C,C220,'TL15'!J:J),
SUMIF('TL16'!C:C,C220,'TL16'!J:J),
SUMIF('TL17'!C:C,C220,'TL17'!J:J),
SUMIF('TL18'!C:C,C220,'TL18'!J:J),SUMIF('TL19'!C:C,C220,'TL19'!J:J))
,0)</f>
        <v>0</v>
      </c>
      <c r="S220" s="17">
        <f>IFERROR(__xludf.DUMMYFUNCTION("IFERROR(VLOOKUP(C220,
IMPORTRANGE(""1wULbzX32WdYsx-lj2U3uUNBBe2INVIRDtcK0d-Dvl90"",
""26-27!C:G""),
5,
FALSE),
"""")"),43.567139999999995)</f>
        <v>43.56714</v>
      </c>
      <c r="T220" s="9"/>
      <c r="U220" s="92">
        <f t="shared" si="2"/>
        <v>0</v>
      </c>
      <c r="V220" s="93">
        <f t="shared" si="3"/>
        <v>0</v>
      </c>
    </row>
    <row r="221" ht="15.75" hidden="1" customHeight="1">
      <c r="A221" s="94" t="s">
        <v>356</v>
      </c>
      <c r="B221" s="95" t="s">
        <v>2</v>
      </c>
      <c r="C221" s="96" t="s">
        <v>550</v>
      </c>
      <c r="D221" s="96" t="s">
        <v>551</v>
      </c>
      <c r="E221" s="96">
        <v>500.0</v>
      </c>
      <c r="F221" s="4" t="s">
        <v>343</v>
      </c>
      <c r="G221" s="90" t="str">
        <f t="shared" si="4"/>
        <v>📄 Ver bula</v>
      </c>
      <c r="H221" s="9" t="str">
        <f>IFERROR(__xludf.DUMMYFUNCTION("IFERROR(VLOOKUP(C221,
IMPORTRANGE(""1wULbzX32WdYsx-lj2U3uUNBBe2INVIRDtcK0d-Dvl90"",
""26-27!C:K""),
8,
FALSE),
"""")"),"")</f>
        <v/>
      </c>
      <c r="I221" s="97" t="s">
        <v>552</v>
      </c>
      <c r="J221" s="9">
        <f>IFERROR(SUM(
IF('TL01'!$B$3=J$3,SUMIF('TL01'!$C$10:$C$224,$C221,'TL01'!$J$10:$J$224),0),
IF('TL01'!$B$229=J$3,SUMIF('TL01'!$C$238:$C$451,$C221,'TL01'!$J$238:$J$451),0),
IF('TL02'!$B$3=J$3,SUMIF('TL02'!$C$10:$C$224,$C221,'TL02'!$J$10:$J$224),0),
IF('TL02'!$B$229=J$3,SUMIF('TL02'!$C$238:$C$451,$C221,'TL02'!$J$238:$J$451),0),
IF('TL03'!$B$3=J$3,SUMIF('TL03'!$C$10:$C$224,$C221,'TL03'!$J$10:$J$224),0),
IF('TL03'!$B$229=J$3,SUMIF('TL03'!$C$238:$C$451,$C221,'TL03'!$J$238:$J$451),0),
IF('TL04'!$B$3=J$3,SUMIF('TL04'!$C$10:$C$224,$C221,'TL04'!$J$10:$J$224),0),
IF('TL04'!$B$229=J$3,SUMIF('TL04'!$C$238:$C$451,$C221,'TL04'!$J$238:$J$451),0),
IF('TL05'!$B$3=J$3,SUMIF('TL05'!$C$10:$C$224,$C221,'TL05'!$J$10:$J$224),0),
IF('TL05'!$B$229=J$3,SUMIF('TL05'!$C$238:$C$451,$C221,'TL05'!$J$238:$J$451),0),
IF('TL06'!$B$3=J$3,SUMIF('TL06'!$C$10:$C$224,$C221,'TL06'!$J$10:$J$224),0),
IF('TL06'!$B$229=J$3,SUMIF('TL06'!$C$238:$C$451,$C221,'TL06'!$J$238:$J$451),0),
IF('TL07'!$B$3=J$3,SUMIF('TL07'!$C$10:$C$224,$C221,'TL07'!$J$10:$J$224),0),
IF('TL07'!$B$229=J$3,SUMIF('TL07'!$C$238:$C$451,$C221,'TL07'!$J$238:$J$451),0),
IF('TL08'!$B$3=J$3,SUMIF('TL08'!$C$10:$C$224,$C221,'TL08'!$J$10:$J$224),0),
IF('TL08'!$B$229=J$3,SUMIF('TL08'!$C$238:$C$451,$C221,'TL08'!$J$238:$J$451),0),
IF('TL09'!$B$3=J$3,SUMIF('TL09'!$C$10:$C$224,$C221,'TL09'!$J$10:$J$224),0),
IF('TL09'!$B$229=J$3,SUMIF('TL09'!$C$238:$C$451,$C221,'TL09'!$J$238:$J$451),0),
IF('TL10'!$B$3=J$3,SUMIF('TL10'!$C$10:$C$224,$C221,'TL10'!$J$10:$J$224),0),
IF('TL10'!$B$229=J$3,SUMIF('TL10'!$C$238:$C$451,$C221,'TL10'!$J$238:$J$451),0),
IF('TL11'!$B$3=J$3,SUMIF('TL11'!$C$10:$C$224,$C221,'TL11'!$J$10:$J$224),0),
IF('TL11'!$B$229=J$3,SUMIF('TL11'!$C$238:$C$451,$C221,'TL11'!$J$238:$J$451),0),
IF('TL12'!$B$3=J$3,SUMIF('TL12'!$C$10:$C$224,$C221,'TL12'!$J$10:$J$224),0),
IF('TL12'!$B$229=J$3,SUMIF('TL12'!$C$238:$C$451,$C221,'TL12'!$J$238:$J$451),0),
IF('TL13'!$B$3=J$3,SUMIF('TL13'!$C$10:$C$224,$C221,'TL13'!$J$10:$J$224),0),
IF('TL13'!$B$229=J$3,SUMIF('TL13'!$C$238:$C$451,$C221,'TL13'!$J$238:$J$451),0),
IF('TL14'!$B$3=J$3,SUMIF('TL14'!$C$10:$C$224,$C221,'TL14'!$J$10:$J$224),0),
IF('TL14'!$B$229=J$3,SUMIF('TL14'!$C$238:$C$451,$C221,'TL14'!$J$238:$J$451),0),
IF('TL15'!$B$3=J$3,SUMIF('TL15'!$C$10:$C$224,$C221,'TL15'!$J$10:$J$224),0),
IF('TL15'!$B$229=J$3,SUMIF('TL15'!$C$238:$C$451,$C221,'TL15'!$J$238:$J$451),0),
IF('TL16'!$B$3=J$3,SUMIF('TL16'!$C$10:$C$224,$C221,'TL16'!$J$10:$J$224),0),
IF('TL16'!$B$229=J$3,SUMIF('TL16'!$C$238:$C$451,$C221,'TL16'!$J$238:$J$451),0),
IF('TL17'!$B$3=J$3,SUMIF('TL17'!$C$10:$C$224,$C221,'TL17'!$J$10:$J$224),0),
IF('TL17'!$B$229=J$3,SUMIF('TL17'!$C$238:$C$451,$C221,'TL17'!$J$238:$J$451),0),
IF('TL18'!$B$3=J$3,SUMIF('TL18'!$C$10:$C$224,$C221,'TL18'!$J$10:$J$224),0),
IF('TL18'!$B$229=J$3,SUMIF('TL18'!$C$238:$C$451,$C221,'TL18'!$J$238:$J$451),0),
IF('TL19'!$B$3=J$3,SUMIF('TL19'!$C$10:$C$224,$C221,'TL19'!$J$10:$J$224),0),
IF('TL19'!$B$229=J$3,SUMIF('TL19'!$C$238:$C$451,$C221,'TL19'!$J$238:$J$451),0)
),0)</f>
        <v>0</v>
      </c>
      <c r="K221" s="9">
        <f>IFERROR(SUM(
IF('TL01'!$B$3=K$3,SUMIF('TL01'!$C$10:$C$224,$C221,'TL01'!$J$10:$J$224),0),
IF('TL01'!$B$229=K$3,SUMIF('TL01'!$C$238:$C$451,$C221,'TL01'!$J$238:$J$451),0),
IF('TL02'!$B$3=K$3,SUMIF('TL02'!$C$10:$C$224,$C221,'TL02'!$J$10:$J$224),0),
IF('TL02'!$B$229=K$3,SUMIF('TL02'!$C$238:$C$451,$C221,'TL02'!$J$238:$J$451),0),
IF('TL03'!$B$3=K$3,SUMIF('TL03'!$C$10:$C$224,$C221,'TL03'!$J$10:$J$224),0),
IF('TL03'!$B$229=K$3,SUMIF('TL03'!$C$238:$C$451,$C221,'TL03'!$J$238:$J$451),0),
IF('TL04'!$B$3=K$3,SUMIF('TL04'!$C$10:$C$224,$C221,'TL04'!$J$10:$J$224),0),
IF('TL04'!$B$229=K$3,SUMIF('TL04'!$C$238:$C$451,$C221,'TL04'!$J$238:$J$451),0),
IF('TL05'!$B$3=K$3,SUMIF('TL05'!$C$10:$C$224,$C221,'TL05'!$J$10:$J$224),0),
IF('TL05'!$B$229=K$3,SUMIF('TL05'!$C$238:$C$451,$C221,'TL05'!$J$238:$J$451),0),
IF('TL06'!$B$3=K$3,SUMIF('TL06'!$C$10:$C$224,$C221,'TL06'!$J$10:$J$224),0),
IF('TL06'!$B$229=K$3,SUMIF('TL06'!$C$238:$C$451,$C221,'TL06'!$J$238:$J$451),0),
IF('TL07'!$B$3=K$3,SUMIF('TL07'!$C$10:$C$224,$C221,'TL07'!$J$10:$J$224),0),
IF('TL07'!$B$229=K$3,SUMIF('TL07'!$C$238:$C$451,$C221,'TL07'!$J$238:$J$451),0),
IF('TL08'!$B$3=K$3,SUMIF('TL08'!$C$10:$C$224,$C221,'TL08'!$J$10:$J$224),0),
IF('TL08'!$B$229=K$3,SUMIF('TL08'!$C$238:$C$451,$C221,'TL08'!$J$238:$J$451),0),
IF('TL09'!$B$3=K$3,SUMIF('TL09'!$C$10:$C$224,$C221,'TL09'!$J$10:$J$224),0),
IF('TL09'!$B$229=K$3,SUMIF('TL09'!$C$238:$C$451,$C221,'TL09'!$J$238:$J$451),0),
IF('TL10'!$B$3=K$3,SUMIF('TL10'!$C$10:$C$224,$C221,'TL10'!$J$10:$J$224),0),
IF('TL10'!$B$229=K$3,SUMIF('TL10'!$C$238:$C$451,$C221,'TL10'!$J$238:$J$451),0),
IF('TL11'!$B$3=K$3,SUMIF('TL11'!$C$10:$C$224,$C221,'TL11'!$J$10:$J$224),0),
IF('TL11'!$B$229=K$3,SUMIF('TL11'!$C$238:$C$451,$C221,'TL11'!$J$238:$J$451),0),
IF('TL12'!$B$3=K$3,SUMIF('TL12'!$C$10:$C$224,$C221,'TL12'!$J$10:$J$224),0),
IF('TL12'!$B$229=K$3,SUMIF('TL12'!$C$238:$C$451,$C221,'TL12'!$J$238:$J$451),0),
IF('TL13'!$B$3=K$3,SUMIF('TL13'!$C$10:$C$224,$C221,'TL13'!$J$10:$J$224),0),
IF('TL13'!$B$229=K$3,SUMIF('TL13'!$C$238:$C$451,$C221,'TL13'!$J$238:$J$451),0),
IF('TL14'!$B$3=K$3,SUMIF('TL14'!$C$10:$C$224,$C221,'TL14'!$J$10:$J$224),0),
IF('TL14'!$B$229=K$3,SUMIF('TL14'!$C$238:$C$451,$C221,'TL14'!$J$238:$J$451),0),
IF('TL15'!$B$3=K$3,SUMIF('TL15'!$C$10:$C$224,$C221,'TL15'!$J$10:$J$224),0),
IF('TL15'!$B$229=K$3,SUMIF('TL15'!$C$238:$C$451,$C221,'TL15'!$J$238:$J$451),0),
IF('TL16'!$B$3=K$3,SUMIF('TL16'!$C$10:$C$224,$C221,'TL16'!$J$10:$J$224),0),
IF('TL16'!$B$229=K$3,SUMIF('TL16'!$C$238:$C$451,$C221,'TL16'!$J$238:$J$451),0),
IF('TL17'!$B$3=K$3,SUMIF('TL17'!$C$10:$C$224,$C221,'TL17'!$J$10:$J$224),0),
IF('TL17'!$B$229=K$3,SUMIF('TL17'!$C$238:$C$451,$C221,'TL17'!$J$238:$J$451),0),
IF('TL18'!$B$3=K$3,SUMIF('TL18'!$C$10:$C$224,$C221,'TL18'!$J$10:$J$224),0),
IF('TL18'!$B$229=K$3,SUMIF('TL18'!$C$238:$C$451,$C221,'TL18'!$J$238:$J$451),0),
IF('TL19'!$B$3=K$3,SUMIF('TL19'!$C$10:$C$224,$C221,'TL19'!$J$10:$J$224),0),
IF('TL19'!$B$229=K$3,SUMIF('TL19'!$C$238:$C$451,$C221,'TL19'!$J$238:$J$451),0)
),0)</f>
        <v>0</v>
      </c>
      <c r="L221" s="9">
        <f>IFERROR(SUM(
IF('TL01'!$B$3=L$3,SUMIF('TL01'!$C$10:$C$224,$C221,'TL01'!$J$10:$J$224),0),
IF('TL01'!$B$229=L$3,SUMIF('TL01'!$C$238:$C$451,$C221,'TL01'!$J$238:$J$451),0),
IF('TL02'!$B$3=L$3,SUMIF('TL02'!$C$10:$C$224,$C221,'TL02'!$J$10:$J$224),0),
IF('TL02'!$B$229=L$3,SUMIF('TL02'!$C$238:$C$451,$C221,'TL02'!$J$238:$J$451),0),
IF('TL03'!$B$3=L$3,SUMIF('TL03'!$C$10:$C$224,$C221,'TL03'!$J$10:$J$224),0),
IF('TL03'!$B$229=L$3,SUMIF('TL03'!$C$238:$C$451,$C221,'TL03'!$J$238:$J$451),0),
IF('TL04'!$B$3=L$3,SUMIF('TL04'!$C$10:$C$224,$C221,'TL04'!$J$10:$J$224),0),
IF('TL04'!$B$229=L$3,SUMIF('TL04'!$C$238:$C$451,$C221,'TL04'!$J$238:$J$451),0),
IF('TL05'!$B$3=L$3,SUMIF('TL05'!$C$10:$C$224,$C221,'TL05'!$J$10:$J$224),0),
IF('TL05'!$B$229=L$3,SUMIF('TL05'!$C$238:$C$451,$C221,'TL05'!$J$238:$J$451),0),
IF('TL06'!$B$3=L$3,SUMIF('TL06'!$C$10:$C$224,$C221,'TL06'!$J$10:$J$224),0),
IF('TL06'!$B$229=L$3,SUMIF('TL06'!$C$238:$C$451,$C221,'TL06'!$J$238:$J$451),0),
IF('TL07'!$B$3=L$3,SUMIF('TL07'!$C$10:$C$224,$C221,'TL07'!$J$10:$J$224),0),
IF('TL07'!$B$229=L$3,SUMIF('TL07'!$C$238:$C$451,$C221,'TL07'!$J$238:$J$451),0),
IF('TL08'!$B$3=L$3,SUMIF('TL08'!$C$10:$C$224,$C221,'TL08'!$J$10:$J$224),0),
IF('TL08'!$B$229=L$3,SUMIF('TL08'!$C$238:$C$451,$C221,'TL08'!$J$238:$J$451),0),
IF('TL09'!$B$3=L$3,SUMIF('TL09'!$C$10:$C$224,$C221,'TL09'!$J$10:$J$224),0),
IF('TL09'!$B$229=L$3,SUMIF('TL09'!$C$238:$C$451,$C221,'TL09'!$J$238:$J$451),0),
IF('TL10'!$B$3=L$3,SUMIF('TL10'!$C$10:$C$224,$C221,'TL10'!$J$10:$J$224),0),
IF('TL10'!$B$229=L$3,SUMIF('TL10'!$C$238:$C$451,$C221,'TL10'!$J$238:$J$451),0),
IF('TL11'!$B$3=L$3,SUMIF('TL11'!$C$10:$C$224,$C221,'TL11'!$J$10:$J$224),0),
IF('TL11'!$B$229=L$3,SUMIF('TL11'!$C$238:$C$451,$C221,'TL11'!$J$238:$J$451),0),
IF('TL12'!$B$3=L$3,SUMIF('TL12'!$C$10:$C$224,$C221,'TL12'!$J$10:$J$224),0),
IF('TL12'!$B$229=L$3,SUMIF('TL12'!$C$238:$C$451,$C221,'TL12'!$J$238:$J$451),0),
IF('TL13'!$B$3=L$3,SUMIF('TL13'!$C$10:$C$224,$C221,'TL13'!$J$10:$J$224),0),
IF('TL13'!$B$229=L$3,SUMIF('TL13'!$C$238:$C$451,$C221,'TL13'!$J$238:$J$451),0),
IF('TL14'!$B$3=L$3,SUMIF('TL14'!$C$10:$C$224,$C221,'TL14'!$J$10:$J$224),0),
IF('TL14'!$B$229=L$3,SUMIF('TL14'!$C$238:$C$451,$C221,'TL14'!$J$238:$J$451),0),
IF('TL15'!$B$3=L$3,SUMIF('TL15'!$C$10:$C$224,$C221,'TL15'!$J$10:$J$224),0),
IF('TL15'!$B$229=L$3,SUMIF('TL15'!$C$238:$C$451,$C221,'TL15'!$J$238:$J$451),0),
IF('TL16'!$B$3=L$3,SUMIF('TL16'!$C$10:$C$224,$C221,'TL16'!$J$10:$J$224),0),
IF('TL16'!$B$229=L$3,SUMIF('TL16'!$C$238:$C$451,$C221,'TL16'!$J$238:$J$451),0),
IF('TL17'!$B$3=L$3,SUMIF('TL17'!$C$10:$C$224,$C221,'TL17'!$J$10:$J$224),0),
IF('TL17'!$B$229=L$3,SUMIF('TL17'!$C$238:$C$451,$C221,'TL17'!$J$238:$J$451),0),
IF('TL18'!$B$3=L$3,SUMIF('TL18'!$C$10:$C$224,$C221,'TL18'!$J$10:$J$224),0),
IF('TL18'!$B$229=L$3,SUMIF('TL18'!$C$238:$C$451,$C221,'TL18'!$J$238:$J$451),0),
IF('TL19'!$B$3=L$3,SUMIF('TL19'!$C$10:$C$224,$C221,'TL19'!$J$10:$J$224),0),
IF('TL19'!$B$229=L$3,SUMIF('TL19'!$C$238:$C$451,$C221,'TL19'!$J$238:$J$451),0)
),0)</f>
        <v>0</v>
      </c>
      <c r="M221" s="9">
        <f>IFERROR(SUM(
IF('TL01'!$B$3=M$3,SUMIF('TL01'!$C$10:$C$224,$C221,'TL01'!$J$10:$J$224),0),
IF('TL01'!$B$229=M$3,SUMIF('TL01'!$C$238:$C$451,$C221,'TL01'!$J$238:$J$451),0),
IF('TL02'!$B$3=M$3,SUMIF('TL02'!$C$10:$C$224,$C221,'TL02'!$J$10:$J$224),0),
IF('TL02'!$B$229=M$3,SUMIF('TL02'!$C$238:$C$451,$C221,'TL02'!$J$238:$J$451),0),
IF('TL03'!$B$3=M$3,SUMIF('TL03'!$C$10:$C$224,$C221,'TL03'!$J$10:$J$224),0),
IF('TL03'!$B$229=M$3,SUMIF('TL03'!$C$238:$C$451,$C221,'TL03'!$J$238:$J$451),0),
IF('TL04'!$B$3=M$3,SUMIF('TL04'!$C$10:$C$224,$C221,'TL04'!$J$10:$J$224),0),
IF('TL04'!$B$229=M$3,SUMIF('TL04'!$C$238:$C$451,$C221,'TL04'!$J$238:$J$451),0),
IF('TL05'!$B$3=M$3,SUMIF('TL05'!$C$10:$C$224,$C221,'TL05'!$J$10:$J$224),0),
IF('TL05'!$B$229=M$3,SUMIF('TL05'!$C$238:$C$451,$C221,'TL05'!$J$238:$J$451),0),
IF('TL06'!$B$3=M$3,SUMIF('TL06'!$C$10:$C$224,$C221,'TL06'!$J$10:$J$224),0),
IF('TL06'!$B$229=M$3,SUMIF('TL06'!$C$238:$C$451,$C221,'TL06'!$J$238:$J$451),0),
IF('TL07'!$B$3=M$3,SUMIF('TL07'!$C$10:$C$224,$C221,'TL07'!$J$10:$J$224),0),
IF('TL07'!$B$229=M$3,SUMIF('TL07'!$C$238:$C$451,$C221,'TL07'!$J$238:$J$451),0),
IF('TL08'!$B$3=M$3,SUMIF('TL08'!$C$10:$C$224,$C221,'TL08'!$J$10:$J$224),0),
IF('TL08'!$B$229=M$3,SUMIF('TL08'!$C$238:$C$451,$C221,'TL08'!$J$238:$J$451),0),
IF('TL09'!$B$3=M$3,SUMIF('TL09'!$C$10:$C$224,$C221,'TL09'!$J$10:$J$224),0),
IF('TL09'!$B$229=M$3,SUMIF('TL09'!$C$238:$C$451,$C221,'TL09'!$J$238:$J$451),0),
IF('TL10'!$B$3=M$3,SUMIF('TL10'!$C$10:$C$224,$C221,'TL10'!$J$10:$J$224),0),
IF('TL10'!$B$229=M$3,SUMIF('TL10'!$C$238:$C$451,$C221,'TL10'!$J$238:$J$451),0),
IF('TL11'!$B$3=M$3,SUMIF('TL11'!$C$10:$C$224,$C221,'TL11'!$J$10:$J$224),0),
IF('TL11'!$B$229=M$3,SUMIF('TL11'!$C$238:$C$451,$C221,'TL11'!$J$238:$J$451),0),
IF('TL12'!$B$3=M$3,SUMIF('TL12'!$C$10:$C$224,$C221,'TL12'!$J$10:$J$224),0),
IF('TL12'!$B$229=M$3,SUMIF('TL12'!$C$238:$C$451,$C221,'TL12'!$J$238:$J$451),0),
IF('TL13'!$B$3=M$3,SUMIF('TL13'!$C$10:$C$224,$C221,'TL13'!$J$10:$J$224),0),
IF('TL13'!$B$229=M$3,SUMIF('TL13'!$C$238:$C$451,$C221,'TL13'!$J$238:$J$451),0),
IF('TL14'!$B$3=M$3,SUMIF('TL14'!$C$10:$C$224,$C221,'TL14'!$J$10:$J$224),0),
IF('TL14'!$B$229=M$3,SUMIF('TL14'!$C$238:$C$451,$C221,'TL14'!$J$238:$J$451),0),
IF('TL15'!$B$3=M$3,SUMIF('TL15'!$C$10:$C$224,$C221,'TL15'!$J$10:$J$224),0),
IF('TL15'!$B$229=M$3,SUMIF('TL15'!$C$238:$C$451,$C221,'TL15'!$J$238:$J$451),0),
IF('TL16'!$B$3=M$3,SUMIF('TL16'!$C$10:$C$224,$C221,'TL16'!$J$10:$J$224),0),
IF('TL16'!$B$229=M$3,SUMIF('TL16'!$C$238:$C$451,$C221,'TL16'!$J$238:$J$451),0),
IF('TL17'!$B$3=M$3,SUMIF('TL17'!$C$10:$C$224,$C221,'TL17'!$J$10:$J$224),0),
IF('TL17'!$B$229=M$3,SUMIF('TL17'!$C$238:$C$451,$C221,'TL17'!$J$238:$J$451),0),
IF('TL18'!$B$3=M$3,SUMIF('TL18'!$C$10:$C$224,$C221,'TL18'!$J$10:$J$224),0),
IF('TL18'!$B$229=M$3,SUMIF('TL18'!$C$238:$C$451,$C221,'TL18'!$J$238:$J$451),0),
IF('TL19'!$B$3=M$3,SUMIF('TL19'!$C$10:$C$224,$C221,'TL19'!$J$10:$J$224),0),
IF('TL19'!$B$229=M$3,SUMIF('TL19'!$C$238:$C$451,$C221,'TL19'!$J$238:$J$451),0)
),0)</f>
        <v>0</v>
      </c>
      <c r="N221" s="9">
        <f>IFERROR(SUM(
IF('TL01'!$B$3=N$3,SUMIF('TL01'!$C$10:$C$224,$C221,'TL01'!$J$10:$J$224),0),
IF('TL01'!$B$229=N$3,SUMIF('TL01'!$C$238:$C$451,$C221,'TL01'!$J$238:$J$451),0),
IF('TL02'!$B$3=N$3,SUMIF('TL02'!$C$10:$C$224,$C221,'TL02'!$J$10:$J$224),0),
IF('TL02'!$B$229=N$3,SUMIF('TL02'!$C$238:$C$451,$C221,'TL02'!$J$238:$J$451),0),
IF('TL03'!$B$3=N$3,SUMIF('TL03'!$C$10:$C$224,$C221,'TL03'!$J$10:$J$224),0),
IF('TL03'!$B$229=N$3,SUMIF('TL03'!$C$238:$C$451,$C221,'TL03'!$J$238:$J$451),0),
IF('TL04'!$B$3=N$3,SUMIF('TL04'!$C$10:$C$224,$C221,'TL04'!$J$10:$J$224),0),
IF('TL04'!$B$229=N$3,SUMIF('TL04'!$C$238:$C$451,$C221,'TL04'!$J$238:$J$451),0),
IF('TL05'!$B$3=N$3,SUMIF('TL05'!$C$10:$C$224,$C221,'TL05'!$J$10:$J$224),0),
IF('TL05'!$B$229=N$3,SUMIF('TL05'!$C$238:$C$451,$C221,'TL05'!$J$238:$J$451),0),
IF('TL06'!$B$3=N$3,SUMIF('TL06'!$C$10:$C$224,$C221,'TL06'!$J$10:$J$224),0),
IF('TL06'!$B$229=N$3,SUMIF('TL06'!$C$238:$C$451,$C221,'TL06'!$J$238:$J$451),0),
IF('TL07'!$B$3=N$3,SUMIF('TL07'!$C$10:$C$224,$C221,'TL07'!$J$10:$J$224),0),
IF('TL07'!$B$229=N$3,SUMIF('TL07'!$C$238:$C$451,$C221,'TL07'!$J$238:$J$451),0),
IF('TL08'!$B$3=N$3,SUMIF('TL08'!$C$10:$C$224,$C221,'TL08'!$J$10:$J$224),0),
IF('TL08'!$B$229=N$3,SUMIF('TL08'!$C$238:$C$451,$C221,'TL08'!$J$238:$J$451),0),
IF('TL09'!$B$3=N$3,SUMIF('TL09'!$C$10:$C$224,$C221,'TL09'!$J$10:$J$224),0),
IF('TL09'!$B$229=N$3,SUMIF('TL09'!$C$238:$C$451,$C221,'TL09'!$J$238:$J$451),0),
IF('TL10'!$B$3=N$3,SUMIF('TL10'!$C$10:$C$224,$C221,'TL10'!$J$10:$J$224),0),
IF('TL10'!$B$229=N$3,SUMIF('TL10'!$C$238:$C$451,$C221,'TL10'!$J$238:$J$451),0),
IF('TL11'!$B$3=N$3,SUMIF('TL11'!$C$10:$C$224,$C221,'TL11'!$J$10:$J$224),0),
IF('TL11'!$B$229=N$3,SUMIF('TL11'!$C$238:$C$451,$C221,'TL11'!$J$238:$J$451),0),
IF('TL12'!$B$3=N$3,SUMIF('TL12'!$C$10:$C$224,$C221,'TL12'!$J$10:$J$224),0),
IF('TL12'!$B$229=N$3,SUMIF('TL12'!$C$238:$C$451,$C221,'TL12'!$J$238:$J$451),0),
IF('TL13'!$B$3=N$3,SUMIF('TL13'!$C$10:$C$224,$C221,'TL13'!$J$10:$J$224),0),
IF('TL13'!$B$229=N$3,SUMIF('TL13'!$C$238:$C$451,$C221,'TL13'!$J$238:$J$451),0),
IF('TL14'!$B$3=N$3,SUMIF('TL14'!$C$10:$C$224,$C221,'TL14'!$J$10:$J$224),0),
IF('TL14'!$B$229=N$3,SUMIF('TL14'!$C$238:$C$451,$C221,'TL14'!$J$238:$J$451),0),
IF('TL15'!$B$3=N$3,SUMIF('TL15'!$C$10:$C$224,$C221,'TL15'!$J$10:$J$224),0),
IF('TL15'!$B$229=N$3,SUMIF('TL15'!$C$238:$C$451,$C221,'TL15'!$J$238:$J$451),0),
IF('TL16'!$B$3=N$3,SUMIF('TL16'!$C$10:$C$224,$C221,'TL16'!$J$10:$J$224),0),
IF('TL16'!$B$229=N$3,SUMIF('TL16'!$C$238:$C$451,$C221,'TL16'!$J$238:$J$451),0),
IF('TL17'!$B$3=N$3,SUMIF('TL17'!$C$10:$C$224,$C221,'TL17'!$J$10:$J$224),0),
IF('TL17'!$B$229=N$3,SUMIF('TL17'!$C$238:$C$451,$C221,'TL17'!$J$238:$J$451),0),
IF('TL18'!$B$3=N$3,SUMIF('TL18'!$C$10:$C$224,$C221,'TL18'!$J$10:$J$224),0),
IF('TL18'!$B$229=N$3,SUMIF('TL18'!$C$238:$C$451,$C221,'TL18'!$J$238:$J$451),0),
IF('TL19'!$B$3=N$3,SUMIF('TL19'!$C$10:$C$224,$C221,'TL19'!$J$10:$J$224),0),
IF('TL19'!$B$229=N$3,SUMIF('TL19'!$C$238:$C$451,$C221,'TL19'!$J$238:$J$451),0)
),0)</f>
        <v>0</v>
      </c>
      <c r="O221" s="9">
        <f>IFERROR(SUM(
IF('TL01'!$B$3=O$3,SUMIF('TL01'!$C$10:$C$224,$C221,'TL01'!$J$10:$J$224),0),
IF('TL01'!$B$229=O$3,SUMIF('TL01'!$C$238:$C$451,$C221,'TL01'!$J$238:$J$451),0),
IF('TL02'!$B$3=O$3,SUMIF('TL02'!$C$10:$C$224,$C221,'TL02'!$J$10:$J$224),0),
IF('TL02'!$B$229=O$3,SUMIF('TL02'!$C$238:$C$451,$C221,'TL02'!$J$238:$J$451),0),
IF('TL03'!$B$3=O$3,SUMIF('TL03'!$C$10:$C$224,$C221,'TL03'!$J$10:$J$224),0),
IF('TL03'!$B$229=O$3,SUMIF('TL03'!$C$238:$C$451,$C221,'TL03'!$J$238:$J$451),0),
IF('TL04'!$B$3=O$3,SUMIF('TL04'!$C$10:$C$224,$C221,'TL04'!$J$10:$J$224),0),
IF('TL04'!$B$229=O$3,SUMIF('TL04'!$C$238:$C$451,$C221,'TL04'!$J$238:$J$451),0),
IF('TL05'!$B$3=O$3,SUMIF('TL05'!$C$10:$C$224,$C221,'TL05'!$J$10:$J$224),0),
IF('TL05'!$B$229=O$3,SUMIF('TL05'!$C$238:$C$451,$C221,'TL05'!$J$238:$J$451),0),
IF('TL06'!$B$3=O$3,SUMIF('TL06'!$C$10:$C$224,$C221,'TL06'!$J$10:$J$224),0),
IF('TL06'!$B$229=O$3,SUMIF('TL06'!$C$238:$C$451,$C221,'TL06'!$J$238:$J$451),0),
IF('TL07'!$B$3=O$3,SUMIF('TL07'!$C$10:$C$224,$C221,'TL07'!$J$10:$J$224),0),
IF('TL07'!$B$229=O$3,SUMIF('TL07'!$C$238:$C$451,$C221,'TL07'!$J$238:$J$451),0),
IF('TL08'!$B$3=O$3,SUMIF('TL08'!$C$10:$C$224,$C221,'TL08'!$J$10:$J$224),0),
IF('TL08'!$B$229=O$3,SUMIF('TL08'!$C$238:$C$451,$C221,'TL08'!$J$238:$J$451),0),
IF('TL09'!$B$3=O$3,SUMIF('TL09'!$C$10:$C$224,$C221,'TL09'!$J$10:$J$224),0),
IF('TL09'!$B$229=O$3,SUMIF('TL09'!$C$238:$C$451,$C221,'TL09'!$J$238:$J$451),0),
IF('TL10'!$B$3=O$3,SUMIF('TL10'!$C$10:$C$224,$C221,'TL10'!$J$10:$J$224),0),
IF('TL10'!$B$229=O$3,SUMIF('TL10'!$C$238:$C$451,$C221,'TL10'!$J$238:$J$451),0),
IF('TL11'!$B$3=O$3,SUMIF('TL11'!$C$10:$C$224,$C221,'TL11'!$J$10:$J$224),0),
IF('TL11'!$B$229=O$3,SUMIF('TL11'!$C$238:$C$451,$C221,'TL11'!$J$238:$J$451),0),
IF('TL12'!$B$3=O$3,SUMIF('TL12'!$C$10:$C$224,$C221,'TL12'!$J$10:$J$224),0),
IF('TL12'!$B$229=O$3,SUMIF('TL12'!$C$238:$C$451,$C221,'TL12'!$J$238:$J$451),0),
IF('TL13'!$B$3=O$3,SUMIF('TL13'!$C$10:$C$224,$C221,'TL13'!$J$10:$J$224),0),
IF('TL13'!$B$229=O$3,SUMIF('TL13'!$C$238:$C$451,$C221,'TL13'!$J$238:$J$451),0),
IF('TL14'!$B$3=O$3,SUMIF('TL14'!$C$10:$C$224,$C221,'TL14'!$J$10:$J$224),0),
IF('TL14'!$B$229=O$3,SUMIF('TL14'!$C$238:$C$451,$C221,'TL14'!$J$238:$J$451),0),
IF('TL15'!$B$3=O$3,SUMIF('TL15'!$C$10:$C$224,$C221,'TL15'!$J$10:$J$224),0),
IF('TL15'!$B$229=O$3,SUMIF('TL15'!$C$238:$C$451,$C221,'TL15'!$J$238:$J$451),0),
IF('TL16'!$B$3=O$3,SUMIF('TL16'!$C$10:$C$224,$C221,'TL16'!$J$10:$J$224),0),
IF('TL16'!$B$229=O$3,SUMIF('TL16'!$C$238:$C$451,$C221,'TL16'!$J$238:$J$451),0),
IF('TL17'!$B$3=O$3,SUMIF('TL17'!$C$10:$C$224,$C221,'TL17'!$J$10:$J$224),0),
IF('TL17'!$B$229=O$3,SUMIF('TL17'!$C$238:$C$451,$C221,'TL17'!$J$238:$J$451),0),
IF('TL18'!$B$3=O$3,SUMIF('TL18'!$C$10:$C$224,$C221,'TL18'!$J$10:$J$224),0),
IF('TL18'!$B$229=O$3,SUMIF('TL18'!$C$238:$C$451,$C221,'TL18'!$J$238:$J$451),0),
IF('TL19'!$B$3=O$3,SUMIF('TL19'!$C$10:$C$224,$C221,'TL19'!$J$10:$J$224),0),
IF('TL19'!$B$229=O$3,SUMIF('TL19'!$C$238:$C$451,$C221,'TL19'!$J$238:$J$451),0)
),0)</f>
        <v>0</v>
      </c>
      <c r="P221" s="9">
        <f>IFERROR(SUM(
IF('TL01'!$B$3=P$3,SUMIF('TL01'!$C$10:$C$224,$C221,'TL01'!$J$10:$J$224),0),
IF('TL01'!$B$229=P$3,SUMIF('TL01'!$C$238:$C$451,$C221,'TL01'!$J$238:$J$451),0),
IF('TL02'!$B$3=P$3,SUMIF('TL02'!$C$10:$C$224,$C221,'TL02'!$J$10:$J$224),0),
IF('TL02'!$B$229=P$3,SUMIF('TL02'!$C$238:$C$451,$C221,'TL02'!$J$238:$J$451),0),
IF('TL03'!$B$3=P$3,SUMIF('TL03'!$C$10:$C$224,$C221,'TL03'!$J$10:$J$224),0),
IF('TL03'!$B$229=P$3,SUMIF('TL03'!$C$238:$C$451,$C221,'TL03'!$J$238:$J$451),0),
IF('TL04'!$B$3=P$3,SUMIF('TL04'!$C$10:$C$224,$C221,'TL04'!$J$10:$J$224),0),
IF('TL04'!$B$229=P$3,SUMIF('TL04'!$C$238:$C$451,$C221,'TL04'!$J$238:$J$451),0),
IF('TL05'!$B$3=P$3,SUMIF('TL05'!$C$10:$C$224,$C221,'TL05'!$J$10:$J$224),0),
IF('TL05'!$B$229=P$3,SUMIF('TL05'!$C$238:$C$451,$C221,'TL05'!$J$238:$J$451),0),
IF('TL06'!$B$3=P$3,SUMIF('TL06'!$C$10:$C$224,$C221,'TL06'!$J$10:$J$224),0),
IF('TL06'!$B$229=P$3,SUMIF('TL06'!$C$238:$C$451,$C221,'TL06'!$J$238:$J$451),0),
IF('TL07'!$B$3=P$3,SUMIF('TL07'!$C$10:$C$224,$C221,'TL07'!$J$10:$J$224),0),
IF('TL07'!$B$229=P$3,SUMIF('TL07'!$C$238:$C$451,$C221,'TL07'!$J$238:$J$451),0),
IF('TL08'!$B$3=P$3,SUMIF('TL08'!$C$10:$C$224,$C221,'TL08'!$J$10:$J$224),0),
IF('TL08'!$B$229=P$3,SUMIF('TL08'!$C$238:$C$451,$C221,'TL08'!$J$238:$J$451),0),
IF('TL09'!$B$3=P$3,SUMIF('TL09'!$C$10:$C$224,$C221,'TL09'!$J$10:$J$224),0),
IF('TL09'!$B$229=P$3,SUMIF('TL09'!$C$238:$C$451,$C221,'TL09'!$J$238:$J$451),0),
IF('TL10'!$B$3=P$3,SUMIF('TL10'!$C$10:$C$224,$C221,'TL10'!$J$10:$J$224),0),
IF('TL10'!$B$229=P$3,SUMIF('TL10'!$C$238:$C$451,$C221,'TL10'!$J$238:$J$451),0),
IF('TL11'!$B$3=P$3,SUMIF('TL11'!$C$10:$C$224,$C221,'TL11'!$J$10:$J$224),0),
IF('TL11'!$B$229=P$3,SUMIF('TL11'!$C$238:$C$451,$C221,'TL11'!$J$238:$J$451),0),
IF('TL12'!$B$3=P$3,SUMIF('TL12'!$C$10:$C$224,$C221,'TL12'!$J$10:$J$224),0),
IF('TL12'!$B$229=P$3,SUMIF('TL12'!$C$238:$C$451,$C221,'TL12'!$J$238:$J$451),0),
IF('TL13'!$B$3=P$3,SUMIF('TL13'!$C$10:$C$224,$C221,'TL13'!$J$10:$J$224),0),
IF('TL13'!$B$229=P$3,SUMIF('TL13'!$C$238:$C$451,$C221,'TL13'!$J$238:$J$451),0),
IF('TL14'!$B$3=P$3,SUMIF('TL14'!$C$10:$C$224,$C221,'TL14'!$J$10:$J$224),0),
IF('TL14'!$B$229=P$3,SUMIF('TL14'!$C$238:$C$451,$C221,'TL14'!$J$238:$J$451),0),
IF('TL15'!$B$3=P$3,SUMIF('TL15'!$C$10:$C$224,$C221,'TL15'!$J$10:$J$224),0),
IF('TL15'!$B$229=P$3,SUMIF('TL15'!$C$238:$C$451,$C221,'TL15'!$J$238:$J$451),0),
IF('TL16'!$B$3=P$3,SUMIF('TL16'!$C$10:$C$224,$C221,'TL16'!$J$10:$J$224),0),
IF('TL16'!$B$229=P$3,SUMIF('TL16'!$C$238:$C$451,$C221,'TL16'!$J$238:$J$451),0),
IF('TL17'!$B$3=P$3,SUMIF('TL17'!$C$10:$C$224,$C221,'TL17'!$J$10:$J$224),0),
IF('TL17'!$B$229=P$3,SUMIF('TL17'!$C$238:$C$451,$C221,'TL17'!$J$238:$J$451),0),
IF('TL18'!$B$3=P$3,SUMIF('TL18'!$C$10:$C$224,$C221,'TL18'!$J$10:$J$224),0),
IF('TL18'!$B$229=P$3,SUMIF('TL18'!$C$238:$C$451,$C221,'TL18'!$J$238:$J$451),0),
IF('TL19'!$B$3=P$3,SUMIF('TL19'!$C$10:$C$224,$C221,'TL19'!$J$10:$J$224),0),
IF('TL19'!$B$229=P$3,SUMIF('TL19'!$C$238:$C$451,$C221,'TL19'!$J$238:$J$451),0)
),0)</f>
        <v>0</v>
      </c>
      <c r="Q221" s="9">
        <f>IFERROR(SUM(
IF('TL01'!$B$3=Q$3,SUMIF('TL01'!$C$10:$C$224,$C221,'TL01'!$J$10:$J$224),0),
IF('TL01'!$B$229=Q$3,SUMIF('TL01'!$C$238:$C$451,$C221,'TL01'!$J$238:$J$451),0),
IF('TL02'!$B$3=Q$3,SUMIF('TL02'!$C$10:$C$224,$C221,'TL02'!$J$10:$J$224),0),
IF('TL02'!$B$229=Q$3,SUMIF('TL02'!$C$238:$C$451,$C221,'TL02'!$J$238:$J$451),0),
IF('TL03'!$B$3=Q$3,SUMIF('TL03'!$C$10:$C$224,$C221,'TL03'!$J$10:$J$224),0),
IF('TL03'!$B$229=Q$3,SUMIF('TL03'!$C$238:$C$451,$C221,'TL03'!$J$238:$J$451),0),
IF('TL04'!$B$3=Q$3,SUMIF('TL04'!$C$10:$C$224,$C221,'TL04'!$J$10:$J$224),0),
IF('TL04'!$B$229=Q$3,SUMIF('TL04'!$C$238:$C$451,$C221,'TL04'!$J$238:$J$451),0),
IF('TL05'!$B$3=Q$3,SUMIF('TL05'!$C$10:$C$224,$C221,'TL05'!$J$10:$J$224),0),
IF('TL05'!$B$229=Q$3,SUMIF('TL05'!$C$238:$C$451,$C221,'TL05'!$J$238:$J$451),0),
IF('TL06'!$B$3=Q$3,SUMIF('TL06'!$C$10:$C$224,$C221,'TL06'!$J$10:$J$224),0),
IF('TL06'!$B$229=Q$3,SUMIF('TL06'!$C$238:$C$451,$C221,'TL06'!$J$238:$J$451),0),
IF('TL07'!$B$3=Q$3,SUMIF('TL07'!$C$10:$C$224,$C221,'TL07'!$J$10:$J$224),0),
IF('TL07'!$B$229=Q$3,SUMIF('TL07'!$C$238:$C$451,$C221,'TL07'!$J$238:$J$451),0),
IF('TL08'!$B$3=Q$3,SUMIF('TL08'!$C$10:$C$224,$C221,'TL08'!$J$10:$J$224),0),
IF('TL08'!$B$229=Q$3,SUMIF('TL08'!$C$238:$C$451,$C221,'TL08'!$J$238:$J$451),0),
IF('TL09'!$B$3=Q$3,SUMIF('TL09'!$C$10:$C$224,$C221,'TL09'!$J$10:$J$224),0),
IF('TL09'!$B$229=Q$3,SUMIF('TL09'!$C$238:$C$451,$C221,'TL09'!$J$238:$J$451),0),
IF('TL10'!$B$3=Q$3,SUMIF('TL10'!$C$10:$C$224,$C221,'TL10'!$J$10:$J$224),0),
IF('TL10'!$B$229=Q$3,SUMIF('TL10'!$C$238:$C$451,$C221,'TL10'!$J$238:$J$451),0),
IF('TL11'!$B$3=Q$3,SUMIF('TL11'!$C$10:$C$224,$C221,'TL11'!$J$10:$J$224),0),
IF('TL11'!$B$229=Q$3,SUMIF('TL11'!$C$238:$C$451,$C221,'TL11'!$J$238:$J$451),0),
IF('TL12'!$B$3=Q$3,SUMIF('TL12'!$C$10:$C$224,$C221,'TL12'!$J$10:$J$224),0),
IF('TL12'!$B$229=Q$3,SUMIF('TL12'!$C$238:$C$451,$C221,'TL12'!$J$238:$J$451),0),
IF('TL13'!$B$3=Q$3,SUMIF('TL13'!$C$10:$C$224,$C221,'TL13'!$J$10:$J$224),0),
IF('TL13'!$B$229=Q$3,SUMIF('TL13'!$C$238:$C$451,$C221,'TL13'!$J$238:$J$451),0),
IF('TL14'!$B$3=Q$3,SUMIF('TL14'!$C$10:$C$224,$C221,'TL14'!$J$10:$J$224),0),
IF('TL14'!$B$229=Q$3,SUMIF('TL14'!$C$238:$C$451,$C221,'TL14'!$J$238:$J$451),0),
IF('TL15'!$B$3=Q$3,SUMIF('TL15'!$C$10:$C$224,$C221,'TL15'!$J$10:$J$224),0),
IF('TL15'!$B$229=Q$3,SUMIF('TL15'!$C$238:$C$451,$C221,'TL15'!$J$238:$J$451),0),
IF('TL16'!$B$3=Q$3,SUMIF('TL16'!$C$10:$C$224,$C221,'TL16'!$J$10:$J$224),0),
IF('TL16'!$B$229=Q$3,SUMIF('TL16'!$C$238:$C$451,$C221,'TL16'!$J$238:$J$451),0),
IF('TL17'!$B$3=Q$3,SUMIF('TL17'!$C$10:$C$224,$C221,'TL17'!$J$10:$J$224),0),
IF('TL17'!$B$229=Q$3,SUMIF('TL17'!$C$238:$C$451,$C221,'TL17'!$J$238:$J$451),0),
IF('TL18'!$B$3=Q$3,SUMIF('TL18'!$C$10:$C$224,$C221,'TL18'!$J$10:$J$224),0),
IF('TL18'!$B$229=Q$3,SUMIF('TL18'!$C$238:$C$451,$C221,'TL18'!$J$238:$J$451),0),
IF('TL19'!$B$3=Q$3,SUMIF('TL19'!$C$10:$C$224,$C221,'TL19'!$J$10:$J$224),0),
IF('TL19'!$B$229=Q$3,SUMIF('TL19'!$C$238:$C$451,$C221,'TL19'!$J$238:$J$451),0)
),0)</f>
        <v>0</v>
      </c>
      <c r="R221" s="9">
        <f>IFERROR(
SUM(
SUMIF('TL01'!C:C,C221,'TL01'!J:J),
SUMIF('TL02'!C:C,C221,'TL02'!J:J),
SUMIF('TL03'!C:C,C221,'TL03'!J:J),
SUMIF('TL04'!C:C,C221,'TL04'!J:J),
SUMIF('TL05'!C:C,C221,'TL05'!J:J),
SUMIF('TL06'!C:C,C221,'TL06'!J:J),
SUMIF('TL07'!C:C,C221,'TL07'!J:J),
SUMIF('TL08'!C:C,C221,'TL08'!J:J),
SUMIF('TL09'!C:C,C221,'TL09'!J:J),
SUMIF('TL10'!C:C,C221,'TL10'!J:J),
SUMIF('TL11'!C:C,C221,'TL11'!J:J),
SUMIF('TL12'!C:C,C221,'TL12'!J:J),
SUMIF('TL13'!C:C,C221,'TL13'!J:J),
SUMIF('TL14'!C:C,C221,'TL14'!J:J),
SUMIF('TL15'!C:C,C221,'TL15'!J:J),
SUMIF('TL16'!C:C,C221,'TL16'!J:J),
SUMIF('TL17'!C:C,C221,'TL17'!J:J),
SUMIF('TL18'!C:C,C221,'TL18'!J:J),SUMIF('TL19'!C:C,C221,'TL19'!J:J))
,0)</f>
        <v>0</v>
      </c>
      <c r="S221" s="17">
        <f>IFERROR(__xludf.DUMMYFUNCTION("IFERROR(VLOOKUP(C221,
IMPORTRANGE(""1wULbzX32WdYsx-lj2U3uUNBBe2INVIRDtcK0d-Dvl90"",
""26-27!C:G""),
5,
FALSE),
"""")"),67.68)</f>
        <v>67.68</v>
      </c>
      <c r="T221" s="9"/>
      <c r="U221" s="92">
        <f t="shared" si="2"/>
        <v>0</v>
      </c>
      <c r="V221" s="93">
        <f t="shared" si="3"/>
        <v>0</v>
      </c>
    </row>
    <row r="222" ht="15.75" hidden="1" customHeight="1">
      <c r="A222" s="87" t="s">
        <v>356</v>
      </c>
      <c r="B222" s="88" t="s">
        <v>2</v>
      </c>
      <c r="C222" s="89" t="s">
        <v>856</v>
      </c>
      <c r="D222" s="89" t="s">
        <v>857</v>
      </c>
      <c r="E222" s="89">
        <v>600.0</v>
      </c>
      <c r="F222" s="4" t="s">
        <v>392</v>
      </c>
      <c r="G222" s="90" t="str">
        <f t="shared" si="4"/>
        <v>📄 Ver bula</v>
      </c>
      <c r="H222" s="9">
        <f>IFERROR(__xludf.DUMMYFUNCTION("IFERROR(VLOOKUP(C222,
IMPORTRANGE(""1wULbzX32WdYsx-lj2U3uUNBBe2INVIRDtcK0d-Dvl90"",
""26-27!C:K""),
8,
FALSE),
"""")"),0.05)</f>
        <v>0.05</v>
      </c>
      <c r="I222" s="91" t="s">
        <v>361</v>
      </c>
      <c r="J222" s="9">
        <f>IFERROR(SUM(
IF('TL01'!$B$3=J$3,SUMIF('TL01'!$C$10:$C$224,$C222,'TL01'!$J$10:$J$224),0),
IF('TL01'!$B$229=J$3,SUMIF('TL01'!$C$238:$C$451,$C222,'TL01'!$J$238:$J$451),0),
IF('TL02'!$B$3=J$3,SUMIF('TL02'!$C$10:$C$224,$C222,'TL02'!$J$10:$J$224),0),
IF('TL02'!$B$229=J$3,SUMIF('TL02'!$C$238:$C$451,$C222,'TL02'!$J$238:$J$451),0),
IF('TL03'!$B$3=J$3,SUMIF('TL03'!$C$10:$C$224,$C222,'TL03'!$J$10:$J$224),0),
IF('TL03'!$B$229=J$3,SUMIF('TL03'!$C$238:$C$451,$C222,'TL03'!$J$238:$J$451),0),
IF('TL04'!$B$3=J$3,SUMIF('TL04'!$C$10:$C$224,$C222,'TL04'!$J$10:$J$224),0),
IF('TL04'!$B$229=J$3,SUMIF('TL04'!$C$238:$C$451,$C222,'TL04'!$J$238:$J$451),0),
IF('TL05'!$B$3=J$3,SUMIF('TL05'!$C$10:$C$224,$C222,'TL05'!$J$10:$J$224),0),
IF('TL05'!$B$229=J$3,SUMIF('TL05'!$C$238:$C$451,$C222,'TL05'!$J$238:$J$451),0),
IF('TL06'!$B$3=J$3,SUMIF('TL06'!$C$10:$C$224,$C222,'TL06'!$J$10:$J$224),0),
IF('TL06'!$B$229=J$3,SUMIF('TL06'!$C$238:$C$451,$C222,'TL06'!$J$238:$J$451),0),
IF('TL07'!$B$3=J$3,SUMIF('TL07'!$C$10:$C$224,$C222,'TL07'!$J$10:$J$224),0),
IF('TL07'!$B$229=J$3,SUMIF('TL07'!$C$238:$C$451,$C222,'TL07'!$J$238:$J$451),0),
IF('TL08'!$B$3=J$3,SUMIF('TL08'!$C$10:$C$224,$C222,'TL08'!$J$10:$J$224),0),
IF('TL08'!$B$229=J$3,SUMIF('TL08'!$C$238:$C$451,$C222,'TL08'!$J$238:$J$451),0),
IF('TL09'!$B$3=J$3,SUMIF('TL09'!$C$10:$C$224,$C222,'TL09'!$J$10:$J$224),0),
IF('TL09'!$B$229=J$3,SUMIF('TL09'!$C$238:$C$451,$C222,'TL09'!$J$238:$J$451),0),
IF('TL10'!$B$3=J$3,SUMIF('TL10'!$C$10:$C$224,$C222,'TL10'!$J$10:$J$224),0),
IF('TL10'!$B$229=J$3,SUMIF('TL10'!$C$238:$C$451,$C222,'TL10'!$J$238:$J$451),0),
IF('TL11'!$B$3=J$3,SUMIF('TL11'!$C$10:$C$224,$C222,'TL11'!$J$10:$J$224),0),
IF('TL11'!$B$229=J$3,SUMIF('TL11'!$C$238:$C$451,$C222,'TL11'!$J$238:$J$451),0),
IF('TL12'!$B$3=J$3,SUMIF('TL12'!$C$10:$C$224,$C222,'TL12'!$J$10:$J$224),0),
IF('TL12'!$B$229=J$3,SUMIF('TL12'!$C$238:$C$451,$C222,'TL12'!$J$238:$J$451),0),
IF('TL13'!$B$3=J$3,SUMIF('TL13'!$C$10:$C$224,$C222,'TL13'!$J$10:$J$224),0),
IF('TL13'!$B$229=J$3,SUMIF('TL13'!$C$238:$C$451,$C222,'TL13'!$J$238:$J$451),0),
IF('TL14'!$B$3=J$3,SUMIF('TL14'!$C$10:$C$224,$C222,'TL14'!$J$10:$J$224),0),
IF('TL14'!$B$229=J$3,SUMIF('TL14'!$C$238:$C$451,$C222,'TL14'!$J$238:$J$451),0),
IF('TL15'!$B$3=J$3,SUMIF('TL15'!$C$10:$C$224,$C222,'TL15'!$J$10:$J$224),0),
IF('TL15'!$B$229=J$3,SUMIF('TL15'!$C$238:$C$451,$C222,'TL15'!$J$238:$J$451),0),
IF('TL16'!$B$3=J$3,SUMIF('TL16'!$C$10:$C$224,$C222,'TL16'!$J$10:$J$224),0),
IF('TL16'!$B$229=J$3,SUMIF('TL16'!$C$238:$C$451,$C222,'TL16'!$J$238:$J$451),0),
IF('TL17'!$B$3=J$3,SUMIF('TL17'!$C$10:$C$224,$C222,'TL17'!$J$10:$J$224),0),
IF('TL17'!$B$229=J$3,SUMIF('TL17'!$C$238:$C$451,$C222,'TL17'!$J$238:$J$451),0),
IF('TL18'!$B$3=J$3,SUMIF('TL18'!$C$10:$C$224,$C222,'TL18'!$J$10:$J$224),0),
IF('TL18'!$B$229=J$3,SUMIF('TL18'!$C$238:$C$451,$C222,'TL18'!$J$238:$J$451),0),
IF('TL19'!$B$3=J$3,SUMIF('TL19'!$C$10:$C$224,$C222,'TL19'!$J$10:$J$224),0),
IF('TL19'!$B$229=J$3,SUMIF('TL19'!$C$238:$C$451,$C222,'TL19'!$J$238:$J$451),0)
),0)</f>
        <v>0</v>
      </c>
      <c r="K222" s="9">
        <f>IFERROR(SUM(
IF('TL01'!$B$3=K$3,SUMIF('TL01'!$C$10:$C$224,$C222,'TL01'!$J$10:$J$224),0),
IF('TL01'!$B$229=K$3,SUMIF('TL01'!$C$238:$C$451,$C222,'TL01'!$J$238:$J$451),0),
IF('TL02'!$B$3=K$3,SUMIF('TL02'!$C$10:$C$224,$C222,'TL02'!$J$10:$J$224),0),
IF('TL02'!$B$229=K$3,SUMIF('TL02'!$C$238:$C$451,$C222,'TL02'!$J$238:$J$451),0),
IF('TL03'!$B$3=K$3,SUMIF('TL03'!$C$10:$C$224,$C222,'TL03'!$J$10:$J$224),0),
IF('TL03'!$B$229=K$3,SUMIF('TL03'!$C$238:$C$451,$C222,'TL03'!$J$238:$J$451),0),
IF('TL04'!$B$3=K$3,SUMIF('TL04'!$C$10:$C$224,$C222,'TL04'!$J$10:$J$224),0),
IF('TL04'!$B$229=K$3,SUMIF('TL04'!$C$238:$C$451,$C222,'TL04'!$J$238:$J$451),0),
IF('TL05'!$B$3=K$3,SUMIF('TL05'!$C$10:$C$224,$C222,'TL05'!$J$10:$J$224),0),
IF('TL05'!$B$229=K$3,SUMIF('TL05'!$C$238:$C$451,$C222,'TL05'!$J$238:$J$451),0),
IF('TL06'!$B$3=K$3,SUMIF('TL06'!$C$10:$C$224,$C222,'TL06'!$J$10:$J$224),0),
IF('TL06'!$B$229=K$3,SUMIF('TL06'!$C$238:$C$451,$C222,'TL06'!$J$238:$J$451),0),
IF('TL07'!$B$3=K$3,SUMIF('TL07'!$C$10:$C$224,$C222,'TL07'!$J$10:$J$224),0),
IF('TL07'!$B$229=K$3,SUMIF('TL07'!$C$238:$C$451,$C222,'TL07'!$J$238:$J$451),0),
IF('TL08'!$B$3=K$3,SUMIF('TL08'!$C$10:$C$224,$C222,'TL08'!$J$10:$J$224),0),
IF('TL08'!$B$229=K$3,SUMIF('TL08'!$C$238:$C$451,$C222,'TL08'!$J$238:$J$451),0),
IF('TL09'!$B$3=K$3,SUMIF('TL09'!$C$10:$C$224,$C222,'TL09'!$J$10:$J$224),0),
IF('TL09'!$B$229=K$3,SUMIF('TL09'!$C$238:$C$451,$C222,'TL09'!$J$238:$J$451),0),
IF('TL10'!$B$3=K$3,SUMIF('TL10'!$C$10:$C$224,$C222,'TL10'!$J$10:$J$224),0),
IF('TL10'!$B$229=K$3,SUMIF('TL10'!$C$238:$C$451,$C222,'TL10'!$J$238:$J$451),0),
IF('TL11'!$B$3=K$3,SUMIF('TL11'!$C$10:$C$224,$C222,'TL11'!$J$10:$J$224),0),
IF('TL11'!$B$229=K$3,SUMIF('TL11'!$C$238:$C$451,$C222,'TL11'!$J$238:$J$451),0),
IF('TL12'!$B$3=K$3,SUMIF('TL12'!$C$10:$C$224,$C222,'TL12'!$J$10:$J$224),0),
IF('TL12'!$B$229=K$3,SUMIF('TL12'!$C$238:$C$451,$C222,'TL12'!$J$238:$J$451),0),
IF('TL13'!$B$3=K$3,SUMIF('TL13'!$C$10:$C$224,$C222,'TL13'!$J$10:$J$224),0),
IF('TL13'!$B$229=K$3,SUMIF('TL13'!$C$238:$C$451,$C222,'TL13'!$J$238:$J$451),0),
IF('TL14'!$B$3=K$3,SUMIF('TL14'!$C$10:$C$224,$C222,'TL14'!$J$10:$J$224),0),
IF('TL14'!$B$229=K$3,SUMIF('TL14'!$C$238:$C$451,$C222,'TL14'!$J$238:$J$451),0),
IF('TL15'!$B$3=K$3,SUMIF('TL15'!$C$10:$C$224,$C222,'TL15'!$J$10:$J$224),0),
IF('TL15'!$B$229=K$3,SUMIF('TL15'!$C$238:$C$451,$C222,'TL15'!$J$238:$J$451),0),
IF('TL16'!$B$3=K$3,SUMIF('TL16'!$C$10:$C$224,$C222,'TL16'!$J$10:$J$224),0),
IF('TL16'!$B$229=K$3,SUMIF('TL16'!$C$238:$C$451,$C222,'TL16'!$J$238:$J$451),0),
IF('TL17'!$B$3=K$3,SUMIF('TL17'!$C$10:$C$224,$C222,'TL17'!$J$10:$J$224),0),
IF('TL17'!$B$229=K$3,SUMIF('TL17'!$C$238:$C$451,$C222,'TL17'!$J$238:$J$451),0),
IF('TL18'!$B$3=K$3,SUMIF('TL18'!$C$10:$C$224,$C222,'TL18'!$J$10:$J$224),0),
IF('TL18'!$B$229=K$3,SUMIF('TL18'!$C$238:$C$451,$C222,'TL18'!$J$238:$J$451),0),
IF('TL19'!$B$3=K$3,SUMIF('TL19'!$C$10:$C$224,$C222,'TL19'!$J$10:$J$224),0),
IF('TL19'!$B$229=K$3,SUMIF('TL19'!$C$238:$C$451,$C222,'TL19'!$J$238:$J$451),0)
),0)</f>
        <v>0</v>
      </c>
      <c r="L222" s="9">
        <f>IFERROR(SUM(
IF('TL01'!$B$3=L$3,SUMIF('TL01'!$C$10:$C$224,$C222,'TL01'!$J$10:$J$224),0),
IF('TL01'!$B$229=L$3,SUMIF('TL01'!$C$238:$C$451,$C222,'TL01'!$J$238:$J$451),0),
IF('TL02'!$B$3=L$3,SUMIF('TL02'!$C$10:$C$224,$C222,'TL02'!$J$10:$J$224),0),
IF('TL02'!$B$229=L$3,SUMIF('TL02'!$C$238:$C$451,$C222,'TL02'!$J$238:$J$451),0),
IF('TL03'!$B$3=L$3,SUMIF('TL03'!$C$10:$C$224,$C222,'TL03'!$J$10:$J$224),0),
IF('TL03'!$B$229=L$3,SUMIF('TL03'!$C$238:$C$451,$C222,'TL03'!$J$238:$J$451),0),
IF('TL04'!$B$3=L$3,SUMIF('TL04'!$C$10:$C$224,$C222,'TL04'!$J$10:$J$224),0),
IF('TL04'!$B$229=L$3,SUMIF('TL04'!$C$238:$C$451,$C222,'TL04'!$J$238:$J$451),0),
IF('TL05'!$B$3=L$3,SUMIF('TL05'!$C$10:$C$224,$C222,'TL05'!$J$10:$J$224),0),
IF('TL05'!$B$229=L$3,SUMIF('TL05'!$C$238:$C$451,$C222,'TL05'!$J$238:$J$451),0),
IF('TL06'!$B$3=L$3,SUMIF('TL06'!$C$10:$C$224,$C222,'TL06'!$J$10:$J$224),0),
IF('TL06'!$B$229=L$3,SUMIF('TL06'!$C$238:$C$451,$C222,'TL06'!$J$238:$J$451),0),
IF('TL07'!$B$3=L$3,SUMIF('TL07'!$C$10:$C$224,$C222,'TL07'!$J$10:$J$224),0),
IF('TL07'!$B$229=L$3,SUMIF('TL07'!$C$238:$C$451,$C222,'TL07'!$J$238:$J$451),0),
IF('TL08'!$B$3=L$3,SUMIF('TL08'!$C$10:$C$224,$C222,'TL08'!$J$10:$J$224),0),
IF('TL08'!$B$229=L$3,SUMIF('TL08'!$C$238:$C$451,$C222,'TL08'!$J$238:$J$451),0),
IF('TL09'!$B$3=L$3,SUMIF('TL09'!$C$10:$C$224,$C222,'TL09'!$J$10:$J$224),0),
IF('TL09'!$B$229=L$3,SUMIF('TL09'!$C$238:$C$451,$C222,'TL09'!$J$238:$J$451),0),
IF('TL10'!$B$3=L$3,SUMIF('TL10'!$C$10:$C$224,$C222,'TL10'!$J$10:$J$224),0),
IF('TL10'!$B$229=L$3,SUMIF('TL10'!$C$238:$C$451,$C222,'TL10'!$J$238:$J$451),0),
IF('TL11'!$B$3=L$3,SUMIF('TL11'!$C$10:$C$224,$C222,'TL11'!$J$10:$J$224),0),
IF('TL11'!$B$229=L$3,SUMIF('TL11'!$C$238:$C$451,$C222,'TL11'!$J$238:$J$451),0),
IF('TL12'!$B$3=L$3,SUMIF('TL12'!$C$10:$C$224,$C222,'TL12'!$J$10:$J$224),0),
IF('TL12'!$B$229=L$3,SUMIF('TL12'!$C$238:$C$451,$C222,'TL12'!$J$238:$J$451),0),
IF('TL13'!$B$3=L$3,SUMIF('TL13'!$C$10:$C$224,$C222,'TL13'!$J$10:$J$224),0),
IF('TL13'!$B$229=L$3,SUMIF('TL13'!$C$238:$C$451,$C222,'TL13'!$J$238:$J$451),0),
IF('TL14'!$B$3=L$3,SUMIF('TL14'!$C$10:$C$224,$C222,'TL14'!$J$10:$J$224),0),
IF('TL14'!$B$229=L$3,SUMIF('TL14'!$C$238:$C$451,$C222,'TL14'!$J$238:$J$451),0),
IF('TL15'!$B$3=L$3,SUMIF('TL15'!$C$10:$C$224,$C222,'TL15'!$J$10:$J$224),0),
IF('TL15'!$B$229=L$3,SUMIF('TL15'!$C$238:$C$451,$C222,'TL15'!$J$238:$J$451),0),
IF('TL16'!$B$3=L$3,SUMIF('TL16'!$C$10:$C$224,$C222,'TL16'!$J$10:$J$224),0),
IF('TL16'!$B$229=L$3,SUMIF('TL16'!$C$238:$C$451,$C222,'TL16'!$J$238:$J$451),0),
IF('TL17'!$B$3=L$3,SUMIF('TL17'!$C$10:$C$224,$C222,'TL17'!$J$10:$J$224),0),
IF('TL17'!$B$229=L$3,SUMIF('TL17'!$C$238:$C$451,$C222,'TL17'!$J$238:$J$451),0),
IF('TL18'!$B$3=L$3,SUMIF('TL18'!$C$10:$C$224,$C222,'TL18'!$J$10:$J$224),0),
IF('TL18'!$B$229=L$3,SUMIF('TL18'!$C$238:$C$451,$C222,'TL18'!$J$238:$J$451),0),
IF('TL19'!$B$3=L$3,SUMIF('TL19'!$C$10:$C$224,$C222,'TL19'!$J$10:$J$224),0),
IF('TL19'!$B$229=L$3,SUMIF('TL19'!$C$238:$C$451,$C222,'TL19'!$J$238:$J$451),0)
),0)</f>
        <v>0</v>
      </c>
      <c r="M222" s="9">
        <f>IFERROR(SUM(
IF('TL01'!$B$3=M$3,SUMIF('TL01'!$C$10:$C$224,$C222,'TL01'!$J$10:$J$224),0),
IF('TL01'!$B$229=M$3,SUMIF('TL01'!$C$238:$C$451,$C222,'TL01'!$J$238:$J$451),0),
IF('TL02'!$B$3=M$3,SUMIF('TL02'!$C$10:$C$224,$C222,'TL02'!$J$10:$J$224),0),
IF('TL02'!$B$229=M$3,SUMIF('TL02'!$C$238:$C$451,$C222,'TL02'!$J$238:$J$451),0),
IF('TL03'!$B$3=M$3,SUMIF('TL03'!$C$10:$C$224,$C222,'TL03'!$J$10:$J$224),0),
IF('TL03'!$B$229=M$3,SUMIF('TL03'!$C$238:$C$451,$C222,'TL03'!$J$238:$J$451),0),
IF('TL04'!$B$3=M$3,SUMIF('TL04'!$C$10:$C$224,$C222,'TL04'!$J$10:$J$224),0),
IF('TL04'!$B$229=M$3,SUMIF('TL04'!$C$238:$C$451,$C222,'TL04'!$J$238:$J$451),0),
IF('TL05'!$B$3=M$3,SUMIF('TL05'!$C$10:$C$224,$C222,'TL05'!$J$10:$J$224),0),
IF('TL05'!$B$229=M$3,SUMIF('TL05'!$C$238:$C$451,$C222,'TL05'!$J$238:$J$451),0),
IF('TL06'!$B$3=M$3,SUMIF('TL06'!$C$10:$C$224,$C222,'TL06'!$J$10:$J$224),0),
IF('TL06'!$B$229=M$3,SUMIF('TL06'!$C$238:$C$451,$C222,'TL06'!$J$238:$J$451),0),
IF('TL07'!$B$3=M$3,SUMIF('TL07'!$C$10:$C$224,$C222,'TL07'!$J$10:$J$224),0),
IF('TL07'!$B$229=M$3,SUMIF('TL07'!$C$238:$C$451,$C222,'TL07'!$J$238:$J$451),0),
IF('TL08'!$B$3=M$3,SUMIF('TL08'!$C$10:$C$224,$C222,'TL08'!$J$10:$J$224),0),
IF('TL08'!$B$229=M$3,SUMIF('TL08'!$C$238:$C$451,$C222,'TL08'!$J$238:$J$451),0),
IF('TL09'!$B$3=M$3,SUMIF('TL09'!$C$10:$C$224,$C222,'TL09'!$J$10:$J$224),0),
IF('TL09'!$B$229=M$3,SUMIF('TL09'!$C$238:$C$451,$C222,'TL09'!$J$238:$J$451),0),
IF('TL10'!$B$3=M$3,SUMIF('TL10'!$C$10:$C$224,$C222,'TL10'!$J$10:$J$224),0),
IF('TL10'!$B$229=M$3,SUMIF('TL10'!$C$238:$C$451,$C222,'TL10'!$J$238:$J$451),0),
IF('TL11'!$B$3=M$3,SUMIF('TL11'!$C$10:$C$224,$C222,'TL11'!$J$10:$J$224),0),
IF('TL11'!$B$229=M$3,SUMIF('TL11'!$C$238:$C$451,$C222,'TL11'!$J$238:$J$451),0),
IF('TL12'!$B$3=M$3,SUMIF('TL12'!$C$10:$C$224,$C222,'TL12'!$J$10:$J$224),0),
IF('TL12'!$B$229=M$3,SUMIF('TL12'!$C$238:$C$451,$C222,'TL12'!$J$238:$J$451),0),
IF('TL13'!$B$3=M$3,SUMIF('TL13'!$C$10:$C$224,$C222,'TL13'!$J$10:$J$224),0),
IF('TL13'!$B$229=M$3,SUMIF('TL13'!$C$238:$C$451,$C222,'TL13'!$J$238:$J$451),0),
IF('TL14'!$B$3=M$3,SUMIF('TL14'!$C$10:$C$224,$C222,'TL14'!$J$10:$J$224),0),
IF('TL14'!$B$229=M$3,SUMIF('TL14'!$C$238:$C$451,$C222,'TL14'!$J$238:$J$451),0),
IF('TL15'!$B$3=M$3,SUMIF('TL15'!$C$10:$C$224,$C222,'TL15'!$J$10:$J$224),0),
IF('TL15'!$B$229=M$3,SUMIF('TL15'!$C$238:$C$451,$C222,'TL15'!$J$238:$J$451),0),
IF('TL16'!$B$3=M$3,SUMIF('TL16'!$C$10:$C$224,$C222,'TL16'!$J$10:$J$224),0),
IF('TL16'!$B$229=M$3,SUMIF('TL16'!$C$238:$C$451,$C222,'TL16'!$J$238:$J$451),0),
IF('TL17'!$B$3=M$3,SUMIF('TL17'!$C$10:$C$224,$C222,'TL17'!$J$10:$J$224),0),
IF('TL17'!$B$229=M$3,SUMIF('TL17'!$C$238:$C$451,$C222,'TL17'!$J$238:$J$451),0),
IF('TL18'!$B$3=M$3,SUMIF('TL18'!$C$10:$C$224,$C222,'TL18'!$J$10:$J$224),0),
IF('TL18'!$B$229=M$3,SUMIF('TL18'!$C$238:$C$451,$C222,'TL18'!$J$238:$J$451),0),
IF('TL19'!$B$3=M$3,SUMIF('TL19'!$C$10:$C$224,$C222,'TL19'!$J$10:$J$224),0),
IF('TL19'!$B$229=M$3,SUMIF('TL19'!$C$238:$C$451,$C222,'TL19'!$J$238:$J$451),0)
),0)</f>
        <v>0</v>
      </c>
      <c r="N222" s="9">
        <f>IFERROR(SUM(
IF('TL01'!$B$3=N$3,SUMIF('TL01'!$C$10:$C$224,$C222,'TL01'!$J$10:$J$224),0),
IF('TL01'!$B$229=N$3,SUMIF('TL01'!$C$238:$C$451,$C222,'TL01'!$J$238:$J$451),0),
IF('TL02'!$B$3=N$3,SUMIF('TL02'!$C$10:$C$224,$C222,'TL02'!$J$10:$J$224),0),
IF('TL02'!$B$229=N$3,SUMIF('TL02'!$C$238:$C$451,$C222,'TL02'!$J$238:$J$451),0),
IF('TL03'!$B$3=N$3,SUMIF('TL03'!$C$10:$C$224,$C222,'TL03'!$J$10:$J$224),0),
IF('TL03'!$B$229=N$3,SUMIF('TL03'!$C$238:$C$451,$C222,'TL03'!$J$238:$J$451),0),
IF('TL04'!$B$3=N$3,SUMIF('TL04'!$C$10:$C$224,$C222,'TL04'!$J$10:$J$224),0),
IF('TL04'!$B$229=N$3,SUMIF('TL04'!$C$238:$C$451,$C222,'TL04'!$J$238:$J$451),0),
IF('TL05'!$B$3=N$3,SUMIF('TL05'!$C$10:$C$224,$C222,'TL05'!$J$10:$J$224),0),
IF('TL05'!$B$229=N$3,SUMIF('TL05'!$C$238:$C$451,$C222,'TL05'!$J$238:$J$451),0),
IF('TL06'!$B$3=N$3,SUMIF('TL06'!$C$10:$C$224,$C222,'TL06'!$J$10:$J$224),0),
IF('TL06'!$B$229=N$3,SUMIF('TL06'!$C$238:$C$451,$C222,'TL06'!$J$238:$J$451),0),
IF('TL07'!$B$3=N$3,SUMIF('TL07'!$C$10:$C$224,$C222,'TL07'!$J$10:$J$224),0),
IF('TL07'!$B$229=N$3,SUMIF('TL07'!$C$238:$C$451,$C222,'TL07'!$J$238:$J$451),0),
IF('TL08'!$B$3=N$3,SUMIF('TL08'!$C$10:$C$224,$C222,'TL08'!$J$10:$J$224),0),
IF('TL08'!$B$229=N$3,SUMIF('TL08'!$C$238:$C$451,$C222,'TL08'!$J$238:$J$451),0),
IF('TL09'!$B$3=N$3,SUMIF('TL09'!$C$10:$C$224,$C222,'TL09'!$J$10:$J$224),0),
IF('TL09'!$B$229=N$3,SUMIF('TL09'!$C$238:$C$451,$C222,'TL09'!$J$238:$J$451),0),
IF('TL10'!$B$3=N$3,SUMIF('TL10'!$C$10:$C$224,$C222,'TL10'!$J$10:$J$224),0),
IF('TL10'!$B$229=N$3,SUMIF('TL10'!$C$238:$C$451,$C222,'TL10'!$J$238:$J$451),0),
IF('TL11'!$B$3=N$3,SUMIF('TL11'!$C$10:$C$224,$C222,'TL11'!$J$10:$J$224),0),
IF('TL11'!$B$229=N$3,SUMIF('TL11'!$C$238:$C$451,$C222,'TL11'!$J$238:$J$451),0),
IF('TL12'!$B$3=N$3,SUMIF('TL12'!$C$10:$C$224,$C222,'TL12'!$J$10:$J$224),0),
IF('TL12'!$B$229=N$3,SUMIF('TL12'!$C$238:$C$451,$C222,'TL12'!$J$238:$J$451),0),
IF('TL13'!$B$3=N$3,SUMIF('TL13'!$C$10:$C$224,$C222,'TL13'!$J$10:$J$224),0),
IF('TL13'!$B$229=N$3,SUMIF('TL13'!$C$238:$C$451,$C222,'TL13'!$J$238:$J$451),0),
IF('TL14'!$B$3=N$3,SUMIF('TL14'!$C$10:$C$224,$C222,'TL14'!$J$10:$J$224),0),
IF('TL14'!$B$229=N$3,SUMIF('TL14'!$C$238:$C$451,$C222,'TL14'!$J$238:$J$451),0),
IF('TL15'!$B$3=N$3,SUMIF('TL15'!$C$10:$C$224,$C222,'TL15'!$J$10:$J$224),0),
IF('TL15'!$B$229=N$3,SUMIF('TL15'!$C$238:$C$451,$C222,'TL15'!$J$238:$J$451),0),
IF('TL16'!$B$3=N$3,SUMIF('TL16'!$C$10:$C$224,$C222,'TL16'!$J$10:$J$224),0),
IF('TL16'!$B$229=N$3,SUMIF('TL16'!$C$238:$C$451,$C222,'TL16'!$J$238:$J$451),0),
IF('TL17'!$B$3=N$3,SUMIF('TL17'!$C$10:$C$224,$C222,'TL17'!$J$10:$J$224),0),
IF('TL17'!$B$229=N$3,SUMIF('TL17'!$C$238:$C$451,$C222,'TL17'!$J$238:$J$451),0),
IF('TL18'!$B$3=N$3,SUMIF('TL18'!$C$10:$C$224,$C222,'TL18'!$J$10:$J$224),0),
IF('TL18'!$B$229=N$3,SUMIF('TL18'!$C$238:$C$451,$C222,'TL18'!$J$238:$J$451),0),
IF('TL19'!$B$3=N$3,SUMIF('TL19'!$C$10:$C$224,$C222,'TL19'!$J$10:$J$224),0),
IF('TL19'!$B$229=N$3,SUMIF('TL19'!$C$238:$C$451,$C222,'TL19'!$J$238:$J$451),0)
),0)</f>
        <v>0</v>
      </c>
      <c r="O222" s="9">
        <f>IFERROR(SUM(
IF('TL01'!$B$3=O$3,SUMIF('TL01'!$C$10:$C$224,$C222,'TL01'!$J$10:$J$224),0),
IF('TL01'!$B$229=O$3,SUMIF('TL01'!$C$238:$C$451,$C222,'TL01'!$J$238:$J$451),0),
IF('TL02'!$B$3=O$3,SUMIF('TL02'!$C$10:$C$224,$C222,'TL02'!$J$10:$J$224),0),
IF('TL02'!$B$229=O$3,SUMIF('TL02'!$C$238:$C$451,$C222,'TL02'!$J$238:$J$451),0),
IF('TL03'!$B$3=O$3,SUMIF('TL03'!$C$10:$C$224,$C222,'TL03'!$J$10:$J$224),0),
IF('TL03'!$B$229=O$3,SUMIF('TL03'!$C$238:$C$451,$C222,'TL03'!$J$238:$J$451),0),
IF('TL04'!$B$3=O$3,SUMIF('TL04'!$C$10:$C$224,$C222,'TL04'!$J$10:$J$224),0),
IF('TL04'!$B$229=O$3,SUMIF('TL04'!$C$238:$C$451,$C222,'TL04'!$J$238:$J$451),0),
IF('TL05'!$B$3=O$3,SUMIF('TL05'!$C$10:$C$224,$C222,'TL05'!$J$10:$J$224),0),
IF('TL05'!$B$229=O$3,SUMIF('TL05'!$C$238:$C$451,$C222,'TL05'!$J$238:$J$451),0),
IF('TL06'!$B$3=O$3,SUMIF('TL06'!$C$10:$C$224,$C222,'TL06'!$J$10:$J$224),0),
IF('TL06'!$B$229=O$3,SUMIF('TL06'!$C$238:$C$451,$C222,'TL06'!$J$238:$J$451),0),
IF('TL07'!$B$3=O$3,SUMIF('TL07'!$C$10:$C$224,$C222,'TL07'!$J$10:$J$224),0),
IF('TL07'!$B$229=O$3,SUMIF('TL07'!$C$238:$C$451,$C222,'TL07'!$J$238:$J$451),0),
IF('TL08'!$B$3=O$3,SUMIF('TL08'!$C$10:$C$224,$C222,'TL08'!$J$10:$J$224),0),
IF('TL08'!$B$229=O$3,SUMIF('TL08'!$C$238:$C$451,$C222,'TL08'!$J$238:$J$451),0),
IF('TL09'!$B$3=O$3,SUMIF('TL09'!$C$10:$C$224,$C222,'TL09'!$J$10:$J$224),0),
IF('TL09'!$B$229=O$3,SUMIF('TL09'!$C$238:$C$451,$C222,'TL09'!$J$238:$J$451),0),
IF('TL10'!$B$3=O$3,SUMIF('TL10'!$C$10:$C$224,$C222,'TL10'!$J$10:$J$224),0),
IF('TL10'!$B$229=O$3,SUMIF('TL10'!$C$238:$C$451,$C222,'TL10'!$J$238:$J$451),0),
IF('TL11'!$B$3=O$3,SUMIF('TL11'!$C$10:$C$224,$C222,'TL11'!$J$10:$J$224),0),
IF('TL11'!$B$229=O$3,SUMIF('TL11'!$C$238:$C$451,$C222,'TL11'!$J$238:$J$451),0),
IF('TL12'!$B$3=O$3,SUMIF('TL12'!$C$10:$C$224,$C222,'TL12'!$J$10:$J$224),0),
IF('TL12'!$B$229=O$3,SUMIF('TL12'!$C$238:$C$451,$C222,'TL12'!$J$238:$J$451),0),
IF('TL13'!$B$3=O$3,SUMIF('TL13'!$C$10:$C$224,$C222,'TL13'!$J$10:$J$224),0),
IF('TL13'!$B$229=O$3,SUMIF('TL13'!$C$238:$C$451,$C222,'TL13'!$J$238:$J$451),0),
IF('TL14'!$B$3=O$3,SUMIF('TL14'!$C$10:$C$224,$C222,'TL14'!$J$10:$J$224),0),
IF('TL14'!$B$229=O$3,SUMIF('TL14'!$C$238:$C$451,$C222,'TL14'!$J$238:$J$451),0),
IF('TL15'!$B$3=O$3,SUMIF('TL15'!$C$10:$C$224,$C222,'TL15'!$J$10:$J$224),0),
IF('TL15'!$B$229=O$3,SUMIF('TL15'!$C$238:$C$451,$C222,'TL15'!$J$238:$J$451),0),
IF('TL16'!$B$3=O$3,SUMIF('TL16'!$C$10:$C$224,$C222,'TL16'!$J$10:$J$224),0),
IF('TL16'!$B$229=O$3,SUMIF('TL16'!$C$238:$C$451,$C222,'TL16'!$J$238:$J$451),0),
IF('TL17'!$B$3=O$3,SUMIF('TL17'!$C$10:$C$224,$C222,'TL17'!$J$10:$J$224),0),
IF('TL17'!$B$229=O$3,SUMIF('TL17'!$C$238:$C$451,$C222,'TL17'!$J$238:$J$451),0),
IF('TL18'!$B$3=O$3,SUMIF('TL18'!$C$10:$C$224,$C222,'TL18'!$J$10:$J$224),0),
IF('TL18'!$B$229=O$3,SUMIF('TL18'!$C$238:$C$451,$C222,'TL18'!$J$238:$J$451),0),
IF('TL19'!$B$3=O$3,SUMIF('TL19'!$C$10:$C$224,$C222,'TL19'!$J$10:$J$224),0),
IF('TL19'!$B$229=O$3,SUMIF('TL19'!$C$238:$C$451,$C222,'TL19'!$J$238:$J$451),0)
),0)</f>
        <v>0</v>
      </c>
      <c r="P222" s="9">
        <f>IFERROR(SUM(
IF('TL01'!$B$3=P$3,SUMIF('TL01'!$C$10:$C$224,$C222,'TL01'!$J$10:$J$224),0),
IF('TL01'!$B$229=P$3,SUMIF('TL01'!$C$238:$C$451,$C222,'TL01'!$J$238:$J$451),0),
IF('TL02'!$B$3=P$3,SUMIF('TL02'!$C$10:$C$224,$C222,'TL02'!$J$10:$J$224),0),
IF('TL02'!$B$229=P$3,SUMIF('TL02'!$C$238:$C$451,$C222,'TL02'!$J$238:$J$451),0),
IF('TL03'!$B$3=P$3,SUMIF('TL03'!$C$10:$C$224,$C222,'TL03'!$J$10:$J$224),0),
IF('TL03'!$B$229=P$3,SUMIF('TL03'!$C$238:$C$451,$C222,'TL03'!$J$238:$J$451),0),
IF('TL04'!$B$3=P$3,SUMIF('TL04'!$C$10:$C$224,$C222,'TL04'!$J$10:$J$224),0),
IF('TL04'!$B$229=P$3,SUMIF('TL04'!$C$238:$C$451,$C222,'TL04'!$J$238:$J$451),0),
IF('TL05'!$B$3=P$3,SUMIF('TL05'!$C$10:$C$224,$C222,'TL05'!$J$10:$J$224),0),
IF('TL05'!$B$229=P$3,SUMIF('TL05'!$C$238:$C$451,$C222,'TL05'!$J$238:$J$451),0),
IF('TL06'!$B$3=P$3,SUMIF('TL06'!$C$10:$C$224,$C222,'TL06'!$J$10:$J$224),0),
IF('TL06'!$B$229=P$3,SUMIF('TL06'!$C$238:$C$451,$C222,'TL06'!$J$238:$J$451),0),
IF('TL07'!$B$3=P$3,SUMIF('TL07'!$C$10:$C$224,$C222,'TL07'!$J$10:$J$224),0),
IF('TL07'!$B$229=P$3,SUMIF('TL07'!$C$238:$C$451,$C222,'TL07'!$J$238:$J$451),0),
IF('TL08'!$B$3=P$3,SUMIF('TL08'!$C$10:$C$224,$C222,'TL08'!$J$10:$J$224),0),
IF('TL08'!$B$229=P$3,SUMIF('TL08'!$C$238:$C$451,$C222,'TL08'!$J$238:$J$451),0),
IF('TL09'!$B$3=P$3,SUMIF('TL09'!$C$10:$C$224,$C222,'TL09'!$J$10:$J$224),0),
IF('TL09'!$B$229=P$3,SUMIF('TL09'!$C$238:$C$451,$C222,'TL09'!$J$238:$J$451),0),
IF('TL10'!$B$3=P$3,SUMIF('TL10'!$C$10:$C$224,$C222,'TL10'!$J$10:$J$224),0),
IF('TL10'!$B$229=P$3,SUMIF('TL10'!$C$238:$C$451,$C222,'TL10'!$J$238:$J$451),0),
IF('TL11'!$B$3=P$3,SUMIF('TL11'!$C$10:$C$224,$C222,'TL11'!$J$10:$J$224),0),
IF('TL11'!$B$229=P$3,SUMIF('TL11'!$C$238:$C$451,$C222,'TL11'!$J$238:$J$451),0),
IF('TL12'!$B$3=P$3,SUMIF('TL12'!$C$10:$C$224,$C222,'TL12'!$J$10:$J$224),0),
IF('TL12'!$B$229=P$3,SUMIF('TL12'!$C$238:$C$451,$C222,'TL12'!$J$238:$J$451),0),
IF('TL13'!$B$3=P$3,SUMIF('TL13'!$C$10:$C$224,$C222,'TL13'!$J$10:$J$224),0),
IF('TL13'!$B$229=P$3,SUMIF('TL13'!$C$238:$C$451,$C222,'TL13'!$J$238:$J$451),0),
IF('TL14'!$B$3=P$3,SUMIF('TL14'!$C$10:$C$224,$C222,'TL14'!$J$10:$J$224),0),
IF('TL14'!$B$229=P$3,SUMIF('TL14'!$C$238:$C$451,$C222,'TL14'!$J$238:$J$451),0),
IF('TL15'!$B$3=P$3,SUMIF('TL15'!$C$10:$C$224,$C222,'TL15'!$J$10:$J$224),0),
IF('TL15'!$B$229=P$3,SUMIF('TL15'!$C$238:$C$451,$C222,'TL15'!$J$238:$J$451),0),
IF('TL16'!$B$3=P$3,SUMIF('TL16'!$C$10:$C$224,$C222,'TL16'!$J$10:$J$224),0),
IF('TL16'!$B$229=P$3,SUMIF('TL16'!$C$238:$C$451,$C222,'TL16'!$J$238:$J$451),0),
IF('TL17'!$B$3=P$3,SUMIF('TL17'!$C$10:$C$224,$C222,'TL17'!$J$10:$J$224),0),
IF('TL17'!$B$229=P$3,SUMIF('TL17'!$C$238:$C$451,$C222,'TL17'!$J$238:$J$451),0),
IF('TL18'!$B$3=P$3,SUMIF('TL18'!$C$10:$C$224,$C222,'TL18'!$J$10:$J$224),0),
IF('TL18'!$B$229=P$3,SUMIF('TL18'!$C$238:$C$451,$C222,'TL18'!$J$238:$J$451),0),
IF('TL19'!$B$3=P$3,SUMIF('TL19'!$C$10:$C$224,$C222,'TL19'!$J$10:$J$224),0),
IF('TL19'!$B$229=P$3,SUMIF('TL19'!$C$238:$C$451,$C222,'TL19'!$J$238:$J$451),0)
),0)</f>
        <v>0</v>
      </c>
      <c r="Q222" s="9">
        <f>IFERROR(SUM(
IF('TL01'!$B$3=Q$3,SUMIF('TL01'!$C$10:$C$224,$C222,'TL01'!$J$10:$J$224),0),
IF('TL01'!$B$229=Q$3,SUMIF('TL01'!$C$238:$C$451,$C222,'TL01'!$J$238:$J$451),0),
IF('TL02'!$B$3=Q$3,SUMIF('TL02'!$C$10:$C$224,$C222,'TL02'!$J$10:$J$224),0),
IF('TL02'!$B$229=Q$3,SUMIF('TL02'!$C$238:$C$451,$C222,'TL02'!$J$238:$J$451),0),
IF('TL03'!$B$3=Q$3,SUMIF('TL03'!$C$10:$C$224,$C222,'TL03'!$J$10:$J$224),0),
IF('TL03'!$B$229=Q$3,SUMIF('TL03'!$C$238:$C$451,$C222,'TL03'!$J$238:$J$451),0),
IF('TL04'!$B$3=Q$3,SUMIF('TL04'!$C$10:$C$224,$C222,'TL04'!$J$10:$J$224),0),
IF('TL04'!$B$229=Q$3,SUMIF('TL04'!$C$238:$C$451,$C222,'TL04'!$J$238:$J$451),0),
IF('TL05'!$B$3=Q$3,SUMIF('TL05'!$C$10:$C$224,$C222,'TL05'!$J$10:$J$224),0),
IF('TL05'!$B$229=Q$3,SUMIF('TL05'!$C$238:$C$451,$C222,'TL05'!$J$238:$J$451),0),
IF('TL06'!$B$3=Q$3,SUMIF('TL06'!$C$10:$C$224,$C222,'TL06'!$J$10:$J$224),0),
IF('TL06'!$B$229=Q$3,SUMIF('TL06'!$C$238:$C$451,$C222,'TL06'!$J$238:$J$451),0),
IF('TL07'!$B$3=Q$3,SUMIF('TL07'!$C$10:$C$224,$C222,'TL07'!$J$10:$J$224),0),
IF('TL07'!$B$229=Q$3,SUMIF('TL07'!$C$238:$C$451,$C222,'TL07'!$J$238:$J$451),0),
IF('TL08'!$B$3=Q$3,SUMIF('TL08'!$C$10:$C$224,$C222,'TL08'!$J$10:$J$224),0),
IF('TL08'!$B$229=Q$3,SUMIF('TL08'!$C$238:$C$451,$C222,'TL08'!$J$238:$J$451),0),
IF('TL09'!$B$3=Q$3,SUMIF('TL09'!$C$10:$C$224,$C222,'TL09'!$J$10:$J$224),0),
IF('TL09'!$B$229=Q$3,SUMIF('TL09'!$C$238:$C$451,$C222,'TL09'!$J$238:$J$451),0),
IF('TL10'!$B$3=Q$3,SUMIF('TL10'!$C$10:$C$224,$C222,'TL10'!$J$10:$J$224),0),
IF('TL10'!$B$229=Q$3,SUMIF('TL10'!$C$238:$C$451,$C222,'TL10'!$J$238:$J$451),0),
IF('TL11'!$B$3=Q$3,SUMIF('TL11'!$C$10:$C$224,$C222,'TL11'!$J$10:$J$224),0),
IF('TL11'!$B$229=Q$3,SUMIF('TL11'!$C$238:$C$451,$C222,'TL11'!$J$238:$J$451),0),
IF('TL12'!$B$3=Q$3,SUMIF('TL12'!$C$10:$C$224,$C222,'TL12'!$J$10:$J$224),0),
IF('TL12'!$B$229=Q$3,SUMIF('TL12'!$C$238:$C$451,$C222,'TL12'!$J$238:$J$451),0),
IF('TL13'!$B$3=Q$3,SUMIF('TL13'!$C$10:$C$224,$C222,'TL13'!$J$10:$J$224),0),
IF('TL13'!$B$229=Q$3,SUMIF('TL13'!$C$238:$C$451,$C222,'TL13'!$J$238:$J$451),0),
IF('TL14'!$B$3=Q$3,SUMIF('TL14'!$C$10:$C$224,$C222,'TL14'!$J$10:$J$224),0),
IF('TL14'!$B$229=Q$3,SUMIF('TL14'!$C$238:$C$451,$C222,'TL14'!$J$238:$J$451),0),
IF('TL15'!$B$3=Q$3,SUMIF('TL15'!$C$10:$C$224,$C222,'TL15'!$J$10:$J$224),0),
IF('TL15'!$B$229=Q$3,SUMIF('TL15'!$C$238:$C$451,$C222,'TL15'!$J$238:$J$451),0),
IF('TL16'!$B$3=Q$3,SUMIF('TL16'!$C$10:$C$224,$C222,'TL16'!$J$10:$J$224),0),
IF('TL16'!$B$229=Q$3,SUMIF('TL16'!$C$238:$C$451,$C222,'TL16'!$J$238:$J$451),0),
IF('TL17'!$B$3=Q$3,SUMIF('TL17'!$C$10:$C$224,$C222,'TL17'!$J$10:$J$224),0),
IF('TL17'!$B$229=Q$3,SUMIF('TL17'!$C$238:$C$451,$C222,'TL17'!$J$238:$J$451),0),
IF('TL18'!$B$3=Q$3,SUMIF('TL18'!$C$10:$C$224,$C222,'TL18'!$J$10:$J$224),0),
IF('TL18'!$B$229=Q$3,SUMIF('TL18'!$C$238:$C$451,$C222,'TL18'!$J$238:$J$451),0),
IF('TL19'!$B$3=Q$3,SUMIF('TL19'!$C$10:$C$224,$C222,'TL19'!$J$10:$J$224),0),
IF('TL19'!$B$229=Q$3,SUMIF('TL19'!$C$238:$C$451,$C222,'TL19'!$J$238:$J$451),0)
),0)</f>
        <v>0</v>
      </c>
      <c r="R222" s="9">
        <f>IFERROR(
SUM(
SUMIF('TL01'!C:C,C222,'TL01'!J:J),
SUMIF('TL02'!C:C,C222,'TL02'!J:J),
SUMIF('TL03'!C:C,C222,'TL03'!J:J),
SUMIF('TL04'!C:C,C222,'TL04'!J:J),
SUMIF('TL05'!C:C,C222,'TL05'!J:J),
SUMIF('TL06'!C:C,C222,'TL06'!J:J),
SUMIF('TL07'!C:C,C222,'TL07'!J:J),
SUMIF('TL08'!C:C,C222,'TL08'!J:J),
SUMIF('TL09'!C:C,C222,'TL09'!J:J),
SUMIF('TL10'!C:C,C222,'TL10'!J:J),
SUMIF('TL11'!C:C,C222,'TL11'!J:J),
SUMIF('TL12'!C:C,C222,'TL12'!J:J),
SUMIF('TL13'!C:C,C222,'TL13'!J:J),
SUMIF('TL14'!C:C,C222,'TL14'!J:J),
SUMIF('TL15'!C:C,C222,'TL15'!J:J),
SUMIF('TL16'!C:C,C222,'TL16'!J:J),
SUMIF('TL17'!C:C,C222,'TL17'!J:J),
SUMIF('TL18'!C:C,C222,'TL18'!J:J),SUMIF('TL19'!C:C,C222,'TL19'!J:J))
,0)</f>
        <v>0</v>
      </c>
      <c r="S222" s="17">
        <f>IFERROR(__xludf.DUMMYFUNCTION("IFERROR(VLOOKUP(C222,
IMPORTRANGE(""1wULbzX32WdYsx-lj2U3uUNBBe2INVIRDtcK0d-Dvl90"",
""26-27!C:G""),
5,
FALSE),
"""")"),1686.7060000000001)</f>
        <v>1686.706</v>
      </c>
      <c r="T222" s="9"/>
      <c r="U222" s="92">
        <f t="shared" si="2"/>
        <v>0</v>
      </c>
      <c r="V222" s="93">
        <f t="shared" si="3"/>
        <v>0</v>
      </c>
    </row>
    <row r="223" ht="15.75" hidden="1" customHeight="1">
      <c r="A223" s="94" t="s">
        <v>356</v>
      </c>
      <c r="B223" s="95" t="s">
        <v>2</v>
      </c>
      <c r="C223" s="96" t="s">
        <v>858</v>
      </c>
      <c r="D223" s="96" t="s">
        <v>859</v>
      </c>
      <c r="E223" s="96" t="s">
        <v>860</v>
      </c>
      <c r="F223" s="4" t="s">
        <v>343</v>
      </c>
      <c r="G223" s="90" t="str">
        <f t="shared" si="4"/>
        <v>📄 Ver bula</v>
      </c>
      <c r="H223" s="9">
        <f>IFERROR(__xludf.DUMMYFUNCTION("IFERROR(VLOOKUP(C223,
IMPORTRANGE(""1wULbzX32WdYsx-lj2U3uUNBBe2INVIRDtcK0d-Dvl90"",
""26-27!C:K""),
8,
FALSE),
"""")"),0.25)</f>
        <v>0.25</v>
      </c>
      <c r="I223" s="97" t="s">
        <v>344</v>
      </c>
      <c r="J223" s="9">
        <f>IFERROR(SUM(
IF('TL01'!$B$3=J$3,SUMIF('TL01'!$C$10:$C$224,$C223,'TL01'!$J$10:$J$224),0),
IF('TL01'!$B$229=J$3,SUMIF('TL01'!$C$238:$C$451,$C223,'TL01'!$J$238:$J$451),0),
IF('TL02'!$B$3=J$3,SUMIF('TL02'!$C$10:$C$224,$C223,'TL02'!$J$10:$J$224),0),
IF('TL02'!$B$229=J$3,SUMIF('TL02'!$C$238:$C$451,$C223,'TL02'!$J$238:$J$451),0),
IF('TL03'!$B$3=J$3,SUMIF('TL03'!$C$10:$C$224,$C223,'TL03'!$J$10:$J$224),0),
IF('TL03'!$B$229=J$3,SUMIF('TL03'!$C$238:$C$451,$C223,'TL03'!$J$238:$J$451),0),
IF('TL04'!$B$3=J$3,SUMIF('TL04'!$C$10:$C$224,$C223,'TL04'!$J$10:$J$224),0),
IF('TL04'!$B$229=J$3,SUMIF('TL04'!$C$238:$C$451,$C223,'TL04'!$J$238:$J$451),0),
IF('TL05'!$B$3=J$3,SUMIF('TL05'!$C$10:$C$224,$C223,'TL05'!$J$10:$J$224),0),
IF('TL05'!$B$229=J$3,SUMIF('TL05'!$C$238:$C$451,$C223,'TL05'!$J$238:$J$451),0),
IF('TL06'!$B$3=J$3,SUMIF('TL06'!$C$10:$C$224,$C223,'TL06'!$J$10:$J$224),0),
IF('TL06'!$B$229=J$3,SUMIF('TL06'!$C$238:$C$451,$C223,'TL06'!$J$238:$J$451),0),
IF('TL07'!$B$3=J$3,SUMIF('TL07'!$C$10:$C$224,$C223,'TL07'!$J$10:$J$224),0),
IF('TL07'!$B$229=J$3,SUMIF('TL07'!$C$238:$C$451,$C223,'TL07'!$J$238:$J$451),0),
IF('TL08'!$B$3=J$3,SUMIF('TL08'!$C$10:$C$224,$C223,'TL08'!$J$10:$J$224),0),
IF('TL08'!$B$229=J$3,SUMIF('TL08'!$C$238:$C$451,$C223,'TL08'!$J$238:$J$451),0),
IF('TL09'!$B$3=J$3,SUMIF('TL09'!$C$10:$C$224,$C223,'TL09'!$J$10:$J$224),0),
IF('TL09'!$B$229=J$3,SUMIF('TL09'!$C$238:$C$451,$C223,'TL09'!$J$238:$J$451),0),
IF('TL10'!$B$3=J$3,SUMIF('TL10'!$C$10:$C$224,$C223,'TL10'!$J$10:$J$224),0),
IF('TL10'!$B$229=J$3,SUMIF('TL10'!$C$238:$C$451,$C223,'TL10'!$J$238:$J$451),0),
IF('TL11'!$B$3=J$3,SUMIF('TL11'!$C$10:$C$224,$C223,'TL11'!$J$10:$J$224),0),
IF('TL11'!$B$229=J$3,SUMIF('TL11'!$C$238:$C$451,$C223,'TL11'!$J$238:$J$451),0),
IF('TL12'!$B$3=J$3,SUMIF('TL12'!$C$10:$C$224,$C223,'TL12'!$J$10:$J$224),0),
IF('TL12'!$B$229=J$3,SUMIF('TL12'!$C$238:$C$451,$C223,'TL12'!$J$238:$J$451),0),
IF('TL13'!$B$3=J$3,SUMIF('TL13'!$C$10:$C$224,$C223,'TL13'!$J$10:$J$224),0),
IF('TL13'!$B$229=J$3,SUMIF('TL13'!$C$238:$C$451,$C223,'TL13'!$J$238:$J$451),0),
IF('TL14'!$B$3=J$3,SUMIF('TL14'!$C$10:$C$224,$C223,'TL14'!$J$10:$J$224),0),
IF('TL14'!$B$229=J$3,SUMIF('TL14'!$C$238:$C$451,$C223,'TL14'!$J$238:$J$451),0),
IF('TL15'!$B$3=J$3,SUMIF('TL15'!$C$10:$C$224,$C223,'TL15'!$J$10:$J$224),0),
IF('TL15'!$B$229=J$3,SUMIF('TL15'!$C$238:$C$451,$C223,'TL15'!$J$238:$J$451),0),
IF('TL16'!$B$3=J$3,SUMIF('TL16'!$C$10:$C$224,$C223,'TL16'!$J$10:$J$224),0),
IF('TL16'!$B$229=J$3,SUMIF('TL16'!$C$238:$C$451,$C223,'TL16'!$J$238:$J$451),0),
IF('TL17'!$B$3=J$3,SUMIF('TL17'!$C$10:$C$224,$C223,'TL17'!$J$10:$J$224),0),
IF('TL17'!$B$229=J$3,SUMIF('TL17'!$C$238:$C$451,$C223,'TL17'!$J$238:$J$451),0),
IF('TL18'!$B$3=J$3,SUMIF('TL18'!$C$10:$C$224,$C223,'TL18'!$J$10:$J$224),0),
IF('TL18'!$B$229=J$3,SUMIF('TL18'!$C$238:$C$451,$C223,'TL18'!$J$238:$J$451),0),
IF('TL19'!$B$3=J$3,SUMIF('TL19'!$C$10:$C$224,$C223,'TL19'!$J$10:$J$224),0),
IF('TL19'!$B$229=J$3,SUMIF('TL19'!$C$238:$C$451,$C223,'TL19'!$J$238:$J$451),0)
),0)</f>
        <v>0</v>
      </c>
      <c r="K223" s="9">
        <f>IFERROR(SUM(
IF('TL01'!$B$3=K$3,SUMIF('TL01'!$C$10:$C$224,$C223,'TL01'!$J$10:$J$224),0),
IF('TL01'!$B$229=K$3,SUMIF('TL01'!$C$238:$C$451,$C223,'TL01'!$J$238:$J$451),0),
IF('TL02'!$B$3=K$3,SUMIF('TL02'!$C$10:$C$224,$C223,'TL02'!$J$10:$J$224),0),
IF('TL02'!$B$229=K$3,SUMIF('TL02'!$C$238:$C$451,$C223,'TL02'!$J$238:$J$451),0),
IF('TL03'!$B$3=K$3,SUMIF('TL03'!$C$10:$C$224,$C223,'TL03'!$J$10:$J$224),0),
IF('TL03'!$B$229=K$3,SUMIF('TL03'!$C$238:$C$451,$C223,'TL03'!$J$238:$J$451),0),
IF('TL04'!$B$3=K$3,SUMIF('TL04'!$C$10:$C$224,$C223,'TL04'!$J$10:$J$224),0),
IF('TL04'!$B$229=K$3,SUMIF('TL04'!$C$238:$C$451,$C223,'TL04'!$J$238:$J$451),0),
IF('TL05'!$B$3=K$3,SUMIF('TL05'!$C$10:$C$224,$C223,'TL05'!$J$10:$J$224),0),
IF('TL05'!$B$229=K$3,SUMIF('TL05'!$C$238:$C$451,$C223,'TL05'!$J$238:$J$451),0),
IF('TL06'!$B$3=K$3,SUMIF('TL06'!$C$10:$C$224,$C223,'TL06'!$J$10:$J$224),0),
IF('TL06'!$B$229=K$3,SUMIF('TL06'!$C$238:$C$451,$C223,'TL06'!$J$238:$J$451),0),
IF('TL07'!$B$3=K$3,SUMIF('TL07'!$C$10:$C$224,$C223,'TL07'!$J$10:$J$224),0),
IF('TL07'!$B$229=K$3,SUMIF('TL07'!$C$238:$C$451,$C223,'TL07'!$J$238:$J$451),0),
IF('TL08'!$B$3=K$3,SUMIF('TL08'!$C$10:$C$224,$C223,'TL08'!$J$10:$J$224),0),
IF('TL08'!$B$229=K$3,SUMIF('TL08'!$C$238:$C$451,$C223,'TL08'!$J$238:$J$451),0),
IF('TL09'!$B$3=K$3,SUMIF('TL09'!$C$10:$C$224,$C223,'TL09'!$J$10:$J$224),0),
IF('TL09'!$B$229=K$3,SUMIF('TL09'!$C$238:$C$451,$C223,'TL09'!$J$238:$J$451),0),
IF('TL10'!$B$3=K$3,SUMIF('TL10'!$C$10:$C$224,$C223,'TL10'!$J$10:$J$224),0),
IF('TL10'!$B$229=K$3,SUMIF('TL10'!$C$238:$C$451,$C223,'TL10'!$J$238:$J$451),0),
IF('TL11'!$B$3=K$3,SUMIF('TL11'!$C$10:$C$224,$C223,'TL11'!$J$10:$J$224),0),
IF('TL11'!$B$229=K$3,SUMIF('TL11'!$C$238:$C$451,$C223,'TL11'!$J$238:$J$451),0),
IF('TL12'!$B$3=K$3,SUMIF('TL12'!$C$10:$C$224,$C223,'TL12'!$J$10:$J$224),0),
IF('TL12'!$B$229=K$3,SUMIF('TL12'!$C$238:$C$451,$C223,'TL12'!$J$238:$J$451),0),
IF('TL13'!$B$3=K$3,SUMIF('TL13'!$C$10:$C$224,$C223,'TL13'!$J$10:$J$224),0),
IF('TL13'!$B$229=K$3,SUMIF('TL13'!$C$238:$C$451,$C223,'TL13'!$J$238:$J$451),0),
IF('TL14'!$B$3=K$3,SUMIF('TL14'!$C$10:$C$224,$C223,'TL14'!$J$10:$J$224),0),
IF('TL14'!$B$229=K$3,SUMIF('TL14'!$C$238:$C$451,$C223,'TL14'!$J$238:$J$451),0),
IF('TL15'!$B$3=K$3,SUMIF('TL15'!$C$10:$C$224,$C223,'TL15'!$J$10:$J$224),0),
IF('TL15'!$B$229=K$3,SUMIF('TL15'!$C$238:$C$451,$C223,'TL15'!$J$238:$J$451),0),
IF('TL16'!$B$3=K$3,SUMIF('TL16'!$C$10:$C$224,$C223,'TL16'!$J$10:$J$224),0),
IF('TL16'!$B$229=K$3,SUMIF('TL16'!$C$238:$C$451,$C223,'TL16'!$J$238:$J$451),0),
IF('TL17'!$B$3=K$3,SUMIF('TL17'!$C$10:$C$224,$C223,'TL17'!$J$10:$J$224),0),
IF('TL17'!$B$229=K$3,SUMIF('TL17'!$C$238:$C$451,$C223,'TL17'!$J$238:$J$451),0),
IF('TL18'!$B$3=K$3,SUMIF('TL18'!$C$10:$C$224,$C223,'TL18'!$J$10:$J$224),0),
IF('TL18'!$B$229=K$3,SUMIF('TL18'!$C$238:$C$451,$C223,'TL18'!$J$238:$J$451),0),
IF('TL19'!$B$3=K$3,SUMIF('TL19'!$C$10:$C$224,$C223,'TL19'!$J$10:$J$224),0),
IF('TL19'!$B$229=K$3,SUMIF('TL19'!$C$238:$C$451,$C223,'TL19'!$J$238:$J$451),0)
),0)</f>
        <v>0</v>
      </c>
      <c r="L223" s="9">
        <f>IFERROR(SUM(
IF('TL01'!$B$3=L$3,SUMIF('TL01'!$C$10:$C$224,$C223,'TL01'!$J$10:$J$224),0),
IF('TL01'!$B$229=L$3,SUMIF('TL01'!$C$238:$C$451,$C223,'TL01'!$J$238:$J$451),0),
IF('TL02'!$B$3=L$3,SUMIF('TL02'!$C$10:$C$224,$C223,'TL02'!$J$10:$J$224),0),
IF('TL02'!$B$229=L$3,SUMIF('TL02'!$C$238:$C$451,$C223,'TL02'!$J$238:$J$451),0),
IF('TL03'!$B$3=L$3,SUMIF('TL03'!$C$10:$C$224,$C223,'TL03'!$J$10:$J$224),0),
IF('TL03'!$B$229=L$3,SUMIF('TL03'!$C$238:$C$451,$C223,'TL03'!$J$238:$J$451),0),
IF('TL04'!$B$3=L$3,SUMIF('TL04'!$C$10:$C$224,$C223,'TL04'!$J$10:$J$224),0),
IF('TL04'!$B$229=L$3,SUMIF('TL04'!$C$238:$C$451,$C223,'TL04'!$J$238:$J$451),0),
IF('TL05'!$B$3=L$3,SUMIF('TL05'!$C$10:$C$224,$C223,'TL05'!$J$10:$J$224),0),
IF('TL05'!$B$229=L$3,SUMIF('TL05'!$C$238:$C$451,$C223,'TL05'!$J$238:$J$451),0),
IF('TL06'!$B$3=L$3,SUMIF('TL06'!$C$10:$C$224,$C223,'TL06'!$J$10:$J$224),0),
IF('TL06'!$B$229=L$3,SUMIF('TL06'!$C$238:$C$451,$C223,'TL06'!$J$238:$J$451),0),
IF('TL07'!$B$3=L$3,SUMIF('TL07'!$C$10:$C$224,$C223,'TL07'!$J$10:$J$224),0),
IF('TL07'!$B$229=L$3,SUMIF('TL07'!$C$238:$C$451,$C223,'TL07'!$J$238:$J$451),0),
IF('TL08'!$B$3=L$3,SUMIF('TL08'!$C$10:$C$224,$C223,'TL08'!$J$10:$J$224),0),
IF('TL08'!$B$229=L$3,SUMIF('TL08'!$C$238:$C$451,$C223,'TL08'!$J$238:$J$451),0),
IF('TL09'!$B$3=L$3,SUMIF('TL09'!$C$10:$C$224,$C223,'TL09'!$J$10:$J$224),0),
IF('TL09'!$B$229=L$3,SUMIF('TL09'!$C$238:$C$451,$C223,'TL09'!$J$238:$J$451),0),
IF('TL10'!$B$3=L$3,SUMIF('TL10'!$C$10:$C$224,$C223,'TL10'!$J$10:$J$224),0),
IF('TL10'!$B$229=L$3,SUMIF('TL10'!$C$238:$C$451,$C223,'TL10'!$J$238:$J$451),0),
IF('TL11'!$B$3=L$3,SUMIF('TL11'!$C$10:$C$224,$C223,'TL11'!$J$10:$J$224),0),
IF('TL11'!$B$229=L$3,SUMIF('TL11'!$C$238:$C$451,$C223,'TL11'!$J$238:$J$451),0),
IF('TL12'!$B$3=L$3,SUMIF('TL12'!$C$10:$C$224,$C223,'TL12'!$J$10:$J$224),0),
IF('TL12'!$B$229=L$3,SUMIF('TL12'!$C$238:$C$451,$C223,'TL12'!$J$238:$J$451),0),
IF('TL13'!$B$3=L$3,SUMIF('TL13'!$C$10:$C$224,$C223,'TL13'!$J$10:$J$224),0),
IF('TL13'!$B$229=L$3,SUMIF('TL13'!$C$238:$C$451,$C223,'TL13'!$J$238:$J$451),0),
IF('TL14'!$B$3=L$3,SUMIF('TL14'!$C$10:$C$224,$C223,'TL14'!$J$10:$J$224),0),
IF('TL14'!$B$229=L$3,SUMIF('TL14'!$C$238:$C$451,$C223,'TL14'!$J$238:$J$451),0),
IF('TL15'!$B$3=L$3,SUMIF('TL15'!$C$10:$C$224,$C223,'TL15'!$J$10:$J$224),0),
IF('TL15'!$B$229=L$3,SUMIF('TL15'!$C$238:$C$451,$C223,'TL15'!$J$238:$J$451),0),
IF('TL16'!$B$3=L$3,SUMIF('TL16'!$C$10:$C$224,$C223,'TL16'!$J$10:$J$224),0),
IF('TL16'!$B$229=L$3,SUMIF('TL16'!$C$238:$C$451,$C223,'TL16'!$J$238:$J$451),0),
IF('TL17'!$B$3=L$3,SUMIF('TL17'!$C$10:$C$224,$C223,'TL17'!$J$10:$J$224),0),
IF('TL17'!$B$229=L$3,SUMIF('TL17'!$C$238:$C$451,$C223,'TL17'!$J$238:$J$451),0),
IF('TL18'!$B$3=L$3,SUMIF('TL18'!$C$10:$C$224,$C223,'TL18'!$J$10:$J$224),0),
IF('TL18'!$B$229=L$3,SUMIF('TL18'!$C$238:$C$451,$C223,'TL18'!$J$238:$J$451),0),
IF('TL19'!$B$3=L$3,SUMIF('TL19'!$C$10:$C$224,$C223,'TL19'!$J$10:$J$224),0),
IF('TL19'!$B$229=L$3,SUMIF('TL19'!$C$238:$C$451,$C223,'TL19'!$J$238:$J$451),0)
),0)</f>
        <v>0</v>
      </c>
      <c r="M223" s="9">
        <f>IFERROR(SUM(
IF('TL01'!$B$3=M$3,SUMIF('TL01'!$C$10:$C$224,$C223,'TL01'!$J$10:$J$224),0),
IF('TL01'!$B$229=M$3,SUMIF('TL01'!$C$238:$C$451,$C223,'TL01'!$J$238:$J$451),0),
IF('TL02'!$B$3=M$3,SUMIF('TL02'!$C$10:$C$224,$C223,'TL02'!$J$10:$J$224),0),
IF('TL02'!$B$229=M$3,SUMIF('TL02'!$C$238:$C$451,$C223,'TL02'!$J$238:$J$451),0),
IF('TL03'!$B$3=M$3,SUMIF('TL03'!$C$10:$C$224,$C223,'TL03'!$J$10:$J$224),0),
IF('TL03'!$B$229=M$3,SUMIF('TL03'!$C$238:$C$451,$C223,'TL03'!$J$238:$J$451),0),
IF('TL04'!$B$3=M$3,SUMIF('TL04'!$C$10:$C$224,$C223,'TL04'!$J$10:$J$224),0),
IF('TL04'!$B$229=M$3,SUMIF('TL04'!$C$238:$C$451,$C223,'TL04'!$J$238:$J$451),0),
IF('TL05'!$B$3=M$3,SUMIF('TL05'!$C$10:$C$224,$C223,'TL05'!$J$10:$J$224),0),
IF('TL05'!$B$229=M$3,SUMIF('TL05'!$C$238:$C$451,$C223,'TL05'!$J$238:$J$451),0),
IF('TL06'!$B$3=M$3,SUMIF('TL06'!$C$10:$C$224,$C223,'TL06'!$J$10:$J$224),0),
IF('TL06'!$B$229=M$3,SUMIF('TL06'!$C$238:$C$451,$C223,'TL06'!$J$238:$J$451),0),
IF('TL07'!$B$3=M$3,SUMIF('TL07'!$C$10:$C$224,$C223,'TL07'!$J$10:$J$224),0),
IF('TL07'!$B$229=M$3,SUMIF('TL07'!$C$238:$C$451,$C223,'TL07'!$J$238:$J$451),0),
IF('TL08'!$B$3=M$3,SUMIF('TL08'!$C$10:$C$224,$C223,'TL08'!$J$10:$J$224),0),
IF('TL08'!$B$229=M$3,SUMIF('TL08'!$C$238:$C$451,$C223,'TL08'!$J$238:$J$451),0),
IF('TL09'!$B$3=M$3,SUMIF('TL09'!$C$10:$C$224,$C223,'TL09'!$J$10:$J$224),0),
IF('TL09'!$B$229=M$3,SUMIF('TL09'!$C$238:$C$451,$C223,'TL09'!$J$238:$J$451),0),
IF('TL10'!$B$3=M$3,SUMIF('TL10'!$C$10:$C$224,$C223,'TL10'!$J$10:$J$224),0),
IF('TL10'!$B$229=M$3,SUMIF('TL10'!$C$238:$C$451,$C223,'TL10'!$J$238:$J$451),0),
IF('TL11'!$B$3=M$3,SUMIF('TL11'!$C$10:$C$224,$C223,'TL11'!$J$10:$J$224),0),
IF('TL11'!$B$229=M$3,SUMIF('TL11'!$C$238:$C$451,$C223,'TL11'!$J$238:$J$451),0),
IF('TL12'!$B$3=M$3,SUMIF('TL12'!$C$10:$C$224,$C223,'TL12'!$J$10:$J$224),0),
IF('TL12'!$B$229=M$3,SUMIF('TL12'!$C$238:$C$451,$C223,'TL12'!$J$238:$J$451),0),
IF('TL13'!$B$3=M$3,SUMIF('TL13'!$C$10:$C$224,$C223,'TL13'!$J$10:$J$224),0),
IF('TL13'!$B$229=M$3,SUMIF('TL13'!$C$238:$C$451,$C223,'TL13'!$J$238:$J$451),0),
IF('TL14'!$B$3=M$3,SUMIF('TL14'!$C$10:$C$224,$C223,'TL14'!$J$10:$J$224),0),
IF('TL14'!$B$229=M$3,SUMIF('TL14'!$C$238:$C$451,$C223,'TL14'!$J$238:$J$451),0),
IF('TL15'!$B$3=M$3,SUMIF('TL15'!$C$10:$C$224,$C223,'TL15'!$J$10:$J$224),0),
IF('TL15'!$B$229=M$3,SUMIF('TL15'!$C$238:$C$451,$C223,'TL15'!$J$238:$J$451),0),
IF('TL16'!$B$3=M$3,SUMIF('TL16'!$C$10:$C$224,$C223,'TL16'!$J$10:$J$224),0),
IF('TL16'!$B$229=M$3,SUMIF('TL16'!$C$238:$C$451,$C223,'TL16'!$J$238:$J$451),0),
IF('TL17'!$B$3=M$3,SUMIF('TL17'!$C$10:$C$224,$C223,'TL17'!$J$10:$J$224),0),
IF('TL17'!$B$229=M$3,SUMIF('TL17'!$C$238:$C$451,$C223,'TL17'!$J$238:$J$451),0),
IF('TL18'!$B$3=M$3,SUMIF('TL18'!$C$10:$C$224,$C223,'TL18'!$J$10:$J$224),0),
IF('TL18'!$B$229=M$3,SUMIF('TL18'!$C$238:$C$451,$C223,'TL18'!$J$238:$J$451),0),
IF('TL19'!$B$3=M$3,SUMIF('TL19'!$C$10:$C$224,$C223,'TL19'!$J$10:$J$224),0),
IF('TL19'!$B$229=M$3,SUMIF('TL19'!$C$238:$C$451,$C223,'TL19'!$J$238:$J$451),0)
),0)</f>
        <v>0</v>
      </c>
      <c r="N223" s="9">
        <f>IFERROR(SUM(
IF('TL01'!$B$3=N$3,SUMIF('TL01'!$C$10:$C$224,$C223,'TL01'!$J$10:$J$224),0),
IF('TL01'!$B$229=N$3,SUMIF('TL01'!$C$238:$C$451,$C223,'TL01'!$J$238:$J$451),0),
IF('TL02'!$B$3=N$3,SUMIF('TL02'!$C$10:$C$224,$C223,'TL02'!$J$10:$J$224),0),
IF('TL02'!$B$229=N$3,SUMIF('TL02'!$C$238:$C$451,$C223,'TL02'!$J$238:$J$451),0),
IF('TL03'!$B$3=N$3,SUMIF('TL03'!$C$10:$C$224,$C223,'TL03'!$J$10:$J$224),0),
IF('TL03'!$B$229=N$3,SUMIF('TL03'!$C$238:$C$451,$C223,'TL03'!$J$238:$J$451),0),
IF('TL04'!$B$3=N$3,SUMIF('TL04'!$C$10:$C$224,$C223,'TL04'!$J$10:$J$224),0),
IF('TL04'!$B$229=N$3,SUMIF('TL04'!$C$238:$C$451,$C223,'TL04'!$J$238:$J$451),0),
IF('TL05'!$B$3=N$3,SUMIF('TL05'!$C$10:$C$224,$C223,'TL05'!$J$10:$J$224),0),
IF('TL05'!$B$229=N$3,SUMIF('TL05'!$C$238:$C$451,$C223,'TL05'!$J$238:$J$451),0),
IF('TL06'!$B$3=N$3,SUMIF('TL06'!$C$10:$C$224,$C223,'TL06'!$J$10:$J$224),0),
IF('TL06'!$B$229=N$3,SUMIF('TL06'!$C$238:$C$451,$C223,'TL06'!$J$238:$J$451),0),
IF('TL07'!$B$3=N$3,SUMIF('TL07'!$C$10:$C$224,$C223,'TL07'!$J$10:$J$224),0),
IF('TL07'!$B$229=N$3,SUMIF('TL07'!$C$238:$C$451,$C223,'TL07'!$J$238:$J$451),0),
IF('TL08'!$B$3=N$3,SUMIF('TL08'!$C$10:$C$224,$C223,'TL08'!$J$10:$J$224),0),
IF('TL08'!$B$229=N$3,SUMIF('TL08'!$C$238:$C$451,$C223,'TL08'!$J$238:$J$451),0),
IF('TL09'!$B$3=N$3,SUMIF('TL09'!$C$10:$C$224,$C223,'TL09'!$J$10:$J$224),0),
IF('TL09'!$B$229=N$3,SUMIF('TL09'!$C$238:$C$451,$C223,'TL09'!$J$238:$J$451),0),
IF('TL10'!$B$3=N$3,SUMIF('TL10'!$C$10:$C$224,$C223,'TL10'!$J$10:$J$224),0),
IF('TL10'!$B$229=N$3,SUMIF('TL10'!$C$238:$C$451,$C223,'TL10'!$J$238:$J$451),0),
IF('TL11'!$B$3=N$3,SUMIF('TL11'!$C$10:$C$224,$C223,'TL11'!$J$10:$J$224),0),
IF('TL11'!$B$229=N$3,SUMIF('TL11'!$C$238:$C$451,$C223,'TL11'!$J$238:$J$451),0),
IF('TL12'!$B$3=N$3,SUMIF('TL12'!$C$10:$C$224,$C223,'TL12'!$J$10:$J$224),0),
IF('TL12'!$B$229=N$3,SUMIF('TL12'!$C$238:$C$451,$C223,'TL12'!$J$238:$J$451),0),
IF('TL13'!$B$3=N$3,SUMIF('TL13'!$C$10:$C$224,$C223,'TL13'!$J$10:$J$224),0),
IF('TL13'!$B$229=N$3,SUMIF('TL13'!$C$238:$C$451,$C223,'TL13'!$J$238:$J$451),0),
IF('TL14'!$B$3=N$3,SUMIF('TL14'!$C$10:$C$224,$C223,'TL14'!$J$10:$J$224),0),
IF('TL14'!$B$229=N$3,SUMIF('TL14'!$C$238:$C$451,$C223,'TL14'!$J$238:$J$451),0),
IF('TL15'!$B$3=N$3,SUMIF('TL15'!$C$10:$C$224,$C223,'TL15'!$J$10:$J$224),0),
IF('TL15'!$B$229=N$3,SUMIF('TL15'!$C$238:$C$451,$C223,'TL15'!$J$238:$J$451),0),
IF('TL16'!$B$3=N$3,SUMIF('TL16'!$C$10:$C$224,$C223,'TL16'!$J$10:$J$224),0),
IF('TL16'!$B$229=N$3,SUMIF('TL16'!$C$238:$C$451,$C223,'TL16'!$J$238:$J$451),0),
IF('TL17'!$B$3=N$3,SUMIF('TL17'!$C$10:$C$224,$C223,'TL17'!$J$10:$J$224),0),
IF('TL17'!$B$229=N$3,SUMIF('TL17'!$C$238:$C$451,$C223,'TL17'!$J$238:$J$451),0),
IF('TL18'!$B$3=N$3,SUMIF('TL18'!$C$10:$C$224,$C223,'TL18'!$J$10:$J$224),0),
IF('TL18'!$B$229=N$3,SUMIF('TL18'!$C$238:$C$451,$C223,'TL18'!$J$238:$J$451),0),
IF('TL19'!$B$3=N$3,SUMIF('TL19'!$C$10:$C$224,$C223,'TL19'!$J$10:$J$224),0),
IF('TL19'!$B$229=N$3,SUMIF('TL19'!$C$238:$C$451,$C223,'TL19'!$J$238:$J$451),0)
),0)</f>
        <v>0</v>
      </c>
      <c r="O223" s="9">
        <f>IFERROR(SUM(
IF('TL01'!$B$3=O$3,SUMIF('TL01'!$C$10:$C$224,$C223,'TL01'!$J$10:$J$224),0),
IF('TL01'!$B$229=O$3,SUMIF('TL01'!$C$238:$C$451,$C223,'TL01'!$J$238:$J$451),0),
IF('TL02'!$B$3=O$3,SUMIF('TL02'!$C$10:$C$224,$C223,'TL02'!$J$10:$J$224),0),
IF('TL02'!$B$229=O$3,SUMIF('TL02'!$C$238:$C$451,$C223,'TL02'!$J$238:$J$451),0),
IF('TL03'!$B$3=O$3,SUMIF('TL03'!$C$10:$C$224,$C223,'TL03'!$J$10:$J$224),0),
IF('TL03'!$B$229=O$3,SUMIF('TL03'!$C$238:$C$451,$C223,'TL03'!$J$238:$J$451),0),
IF('TL04'!$B$3=O$3,SUMIF('TL04'!$C$10:$C$224,$C223,'TL04'!$J$10:$J$224),0),
IF('TL04'!$B$229=O$3,SUMIF('TL04'!$C$238:$C$451,$C223,'TL04'!$J$238:$J$451),0),
IF('TL05'!$B$3=O$3,SUMIF('TL05'!$C$10:$C$224,$C223,'TL05'!$J$10:$J$224),0),
IF('TL05'!$B$229=O$3,SUMIF('TL05'!$C$238:$C$451,$C223,'TL05'!$J$238:$J$451),0),
IF('TL06'!$B$3=O$3,SUMIF('TL06'!$C$10:$C$224,$C223,'TL06'!$J$10:$J$224),0),
IF('TL06'!$B$229=O$3,SUMIF('TL06'!$C$238:$C$451,$C223,'TL06'!$J$238:$J$451),0),
IF('TL07'!$B$3=O$3,SUMIF('TL07'!$C$10:$C$224,$C223,'TL07'!$J$10:$J$224),0),
IF('TL07'!$B$229=O$3,SUMIF('TL07'!$C$238:$C$451,$C223,'TL07'!$J$238:$J$451),0),
IF('TL08'!$B$3=O$3,SUMIF('TL08'!$C$10:$C$224,$C223,'TL08'!$J$10:$J$224),0),
IF('TL08'!$B$229=O$3,SUMIF('TL08'!$C$238:$C$451,$C223,'TL08'!$J$238:$J$451),0),
IF('TL09'!$B$3=O$3,SUMIF('TL09'!$C$10:$C$224,$C223,'TL09'!$J$10:$J$224),0),
IF('TL09'!$B$229=O$3,SUMIF('TL09'!$C$238:$C$451,$C223,'TL09'!$J$238:$J$451),0),
IF('TL10'!$B$3=O$3,SUMIF('TL10'!$C$10:$C$224,$C223,'TL10'!$J$10:$J$224),0),
IF('TL10'!$B$229=O$3,SUMIF('TL10'!$C$238:$C$451,$C223,'TL10'!$J$238:$J$451),0),
IF('TL11'!$B$3=O$3,SUMIF('TL11'!$C$10:$C$224,$C223,'TL11'!$J$10:$J$224),0),
IF('TL11'!$B$229=O$3,SUMIF('TL11'!$C$238:$C$451,$C223,'TL11'!$J$238:$J$451),0),
IF('TL12'!$B$3=O$3,SUMIF('TL12'!$C$10:$C$224,$C223,'TL12'!$J$10:$J$224),0),
IF('TL12'!$B$229=O$3,SUMIF('TL12'!$C$238:$C$451,$C223,'TL12'!$J$238:$J$451),0),
IF('TL13'!$B$3=O$3,SUMIF('TL13'!$C$10:$C$224,$C223,'TL13'!$J$10:$J$224),0),
IF('TL13'!$B$229=O$3,SUMIF('TL13'!$C$238:$C$451,$C223,'TL13'!$J$238:$J$451),0),
IF('TL14'!$B$3=O$3,SUMIF('TL14'!$C$10:$C$224,$C223,'TL14'!$J$10:$J$224),0),
IF('TL14'!$B$229=O$3,SUMIF('TL14'!$C$238:$C$451,$C223,'TL14'!$J$238:$J$451),0),
IF('TL15'!$B$3=O$3,SUMIF('TL15'!$C$10:$C$224,$C223,'TL15'!$J$10:$J$224),0),
IF('TL15'!$B$229=O$3,SUMIF('TL15'!$C$238:$C$451,$C223,'TL15'!$J$238:$J$451),0),
IF('TL16'!$B$3=O$3,SUMIF('TL16'!$C$10:$C$224,$C223,'TL16'!$J$10:$J$224),0),
IF('TL16'!$B$229=O$3,SUMIF('TL16'!$C$238:$C$451,$C223,'TL16'!$J$238:$J$451),0),
IF('TL17'!$B$3=O$3,SUMIF('TL17'!$C$10:$C$224,$C223,'TL17'!$J$10:$J$224),0),
IF('TL17'!$B$229=O$3,SUMIF('TL17'!$C$238:$C$451,$C223,'TL17'!$J$238:$J$451),0),
IF('TL18'!$B$3=O$3,SUMIF('TL18'!$C$10:$C$224,$C223,'TL18'!$J$10:$J$224),0),
IF('TL18'!$B$229=O$3,SUMIF('TL18'!$C$238:$C$451,$C223,'TL18'!$J$238:$J$451),0),
IF('TL19'!$B$3=O$3,SUMIF('TL19'!$C$10:$C$224,$C223,'TL19'!$J$10:$J$224),0),
IF('TL19'!$B$229=O$3,SUMIF('TL19'!$C$238:$C$451,$C223,'TL19'!$J$238:$J$451),0)
),0)</f>
        <v>0</v>
      </c>
      <c r="P223" s="9">
        <f>IFERROR(SUM(
IF('TL01'!$B$3=P$3,SUMIF('TL01'!$C$10:$C$224,$C223,'TL01'!$J$10:$J$224),0),
IF('TL01'!$B$229=P$3,SUMIF('TL01'!$C$238:$C$451,$C223,'TL01'!$J$238:$J$451),0),
IF('TL02'!$B$3=P$3,SUMIF('TL02'!$C$10:$C$224,$C223,'TL02'!$J$10:$J$224),0),
IF('TL02'!$B$229=P$3,SUMIF('TL02'!$C$238:$C$451,$C223,'TL02'!$J$238:$J$451),0),
IF('TL03'!$B$3=P$3,SUMIF('TL03'!$C$10:$C$224,$C223,'TL03'!$J$10:$J$224),0),
IF('TL03'!$B$229=P$3,SUMIF('TL03'!$C$238:$C$451,$C223,'TL03'!$J$238:$J$451),0),
IF('TL04'!$B$3=P$3,SUMIF('TL04'!$C$10:$C$224,$C223,'TL04'!$J$10:$J$224),0),
IF('TL04'!$B$229=P$3,SUMIF('TL04'!$C$238:$C$451,$C223,'TL04'!$J$238:$J$451),0),
IF('TL05'!$B$3=P$3,SUMIF('TL05'!$C$10:$C$224,$C223,'TL05'!$J$10:$J$224),0),
IF('TL05'!$B$229=P$3,SUMIF('TL05'!$C$238:$C$451,$C223,'TL05'!$J$238:$J$451),0),
IF('TL06'!$B$3=P$3,SUMIF('TL06'!$C$10:$C$224,$C223,'TL06'!$J$10:$J$224),0),
IF('TL06'!$B$229=P$3,SUMIF('TL06'!$C$238:$C$451,$C223,'TL06'!$J$238:$J$451),0),
IF('TL07'!$B$3=P$3,SUMIF('TL07'!$C$10:$C$224,$C223,'TL07'!$J$10:$J$224),0),
IF('TL07'!$B$229=P$3,SUMIF('TL07'!$C$238:$C$451,$C223,'TL07'!$J$238:$J$451),0),
IF('TL08'!$B$3=P$3,SUMIF('TL08'!$C$10:$C$224,$C223,'TL08'!$J$10:$J$224),0),
IF('TL08'!$B$229=P$3,SUMIF('TL08'!$C$238:$C$451,$C223,'TL08'!$J$238:$J$451),0),
IF('TL09'!$B$3=P$3,SUMIF('TL09'!$C$10:$C$224,$C223,'TL09'!$J$10:$J$224),0),
IF('TL09'!$B$229=P$3,SUMIF('TL09'!$C$238:$C$451,$C223,'TL09'!$J$238:$J$451),0),
IF('TL10'!$B$3=P$3,SUMIF('TL10'!$C$10:$C$224,$C223,'TL10'!$J$10:$J$224),0),
IF('TL10'!$B$229=P$3,SUMIF('TL10'!$C$238:$C$451,$C223,'TL10'!$J$238:$J$451),0),
IF('TL11'!$B$3=P$3,SUMIF('TL11'!$C$10:$C$224,$C223,'TL11'!$J$10:$J$224),0),
IF('TL11'!$B$229=P$3,SUMIF('TL11'!$C$238:$C$451,$C223,'TL11'!$J$238:$J$451),0),
IF('TL12'!$B$3=P$3,SUMIF('TL12'!$C$10:$C$224,$C223,'TL12'!$J$10:$J$224),0),
IF('TL12'!$B$229=P$3,SUMIF('TL12'!$C$238:$C$451,$C223,'TL12'!$J$238:$J$451),0),
IF('TL13'!$B$3=P$3,SUMIF('TL13'!$C$10:$C$224,$C223,'TL13'!$J$10:$J$224),0),
IF('TL13'!$B$229=P$3,SUMIF('TL13'!$C$238:$C$451,$C223,'TL13'!$J$238:$J$451),0),
IF('TL14'!$B$3=P$3,SUMIF('TL14'!$C$10:$C$224,$C223,'TL14'!$J$10:$J$224),0),
IF('TL14'!$B$229=P$3,SUMIF('TL14'!$C$238:$C$451,$C223,'TL14'!$J$238:$J$451),0),
IF('TL15'!$B$3=P$3,SUMIF('TL15'!$C$10:$C$224,$C223,'TL15'!$J$10:$J$224),0),
IF('TL15'!$B$229=P$3,SUMIF('TL15'!$C$238:$C$451,$C223,'TL15'!$J$238:$J$451),0),
IF('TL16'!$B$3=P$3,SUMIF('TL16'!$C$10:$C$224,$C223,'TL16'!$J$10:$J$224),0),
IF('TL16'!$B$229=P$3,SUMIF('TL16'!$C$238:$C$451,$C223,'TL16'!$J$238:$J$451),0),
IF('TL17'!$B$3=P$3,SUMIF('TL17'!$C$10:$C$224,$C223,'TL17'!$J$10:$J$224),0),
IF('TL17'!$B$229=P$3,SUMIF('TL17'!$C$238:$C$451,$C223,'TL17'!$J$238:$J$451),0),
IF('TL18'!$B$3=P$3,SUMIF('TL18'!$C$10:$C$224,$C223,'TL18'!$J$10:$J$224),0),
IF('TL18'!$B$229=P$3,SUMIF('TL18'!$C$238:$C$451,$C223,'TL18'!$J$238:$J$451),0),
IF('TL19'!$B$3=P$3,SUMIF('TL19'!$C$10:$C$224,$C223,'TL19'!$J$10:$J$224),0),
IF('TL19'!$B$229=P$3,SUMIF('TL19'!$C$238:$C$451,$C223,'TL19'!$J$238:$J$451),0)
),0)</f>
        <v>0</v>
      </c>
      <c r="Q223" s="9">
        <f>IFERROR(SUM(
IF('TL01'!$B$3=Q$3,SUMIF('TL01'!$C$10:$C$224,$C223,'TL01'!$J$10:$J$224),0),
IF('TL01'!$B$229=Q$3,SUMIF('TL01'!$C$238:$C$451,$C223,'TL01'!$J$238:$J$451),0),
IF('TL02'!$B$3=Q$3,SUMIF('TL02'!$C$10:$C$224,$C223,'TL02'!$J$10:$J$224),0),
IF('TL02'!$B$229=Q$3,SUMIF('TL02'!$C$238:$C$451,$C223,'TL02'!$J$238:$J$451),0),
IF('TL03'!$B$3=Q$3,SUMIF('TL03'!$C$10:$C$224,$C223,'TL03'!$J$10:$J$224),0),
IF('TL03'!$B$229=Q$3,SUMIF('TL03'!$C$238:$C$451,$C223,'TL03'!$J$238:$J$451),0),
IF('TL04'!$B$3=Q$3,SUMIF('TL04'!$C$10:$C$224,$C223,'TL04'!$J$10:$J$224),0),
IF('TL04'!$B$229=Q$3,SUMIF('TL04'!$C$238:$C$451,$C223,'TL04'!$J$238:$J$451),0),
IF('TL05'!$B$3=Q$3,SUMIF('TL05'!$C$10:$C$224,$C223,'TL05'!$J$10:$J$224),0),
IF('TL05'!$B$229=Q$3,SUMIF('TL05'!$C$238:$C$451,$C223,'TL05'!$J$238:$J$451),0),
IF('TL06'!$B$3=Q$3,SUMIF('TL06'!$C$10:$C$224,$C223,'TL06'!$J$10:$J$224),0),
IF('TL06'!$B$229=Q$3,SUMIF('TL06'!$C$238:$C$451,$C223,'TL06'!$J$238:$J$451),0),
IF('TL07'!$B$3=Q$3,SUMIF('TL07'!$C$10:$C$224,$C223,'TL07'!$J$10:$J$224),0),
IF('TL07'!$B$229=Q$3,SUMIF('TL07'!$C$238:$C$451,$C223,'TL07'!$J$238:$J$451),0),
IF('TL08'!$B$3=Q$3,SUMIF('TL08'!$C$10:$C$224,$C223,'TL08'!$J$10:$J$224),0),
IF('TL08'!$B$229=Q$3,SUMIF('TL08'!$C$238:$C$451,$C223,'TL08'!$J$238:$J$451),0),
IF('TL09'!$B$3=Q$3,SUMIF('TL09'!$C$10:$C$224,$C223,'TL09'!$J$10:$J$224),0),
IF('TL09'!$B$229=Q$3,SUMIF('TL09'!$C$238:$C$451,$C223,'TL09'!$J$238:$J$451),0),
IF('TL10'!$B$3=Q$3,SUMIF('TL10'!$C$10:$C$224,$C223,'TL10'!$J$10:$J$224),0),
IF('TL10'!$B$229=Q$3,SUMIF('TL10'!$C$238:$C$451,$C223,'TL10'!$J$238:$J$451),0),
IF('TL11'!$B$3=Q$3,SUMIF('TL11'!$C$10:$C$224,$C223,'TL11'!$J$10:$J$224),0),
IF('TL11'!$B$229=Q$3,SUMIF('TL11'!$C$238:$C$451,$C223,'TL11'!$J$238:$J$451),0),
IF('TL12'!$B$3=Q$3,SUMIF('TL12'!$C$10:$C$224,$C223,'TL12'!$J$10:$J$224),0),
IF('TL12'!$B$229=Q$3,SUMIF('TL12'!$C$238:$C$451,$C223,'TL12'!$J$238:$J$451),0),
IF('TL13'!$B$3=Q$3,SUMIF('TL13'!$C$10:$C$224,$C223,'TL13'!$J$10:$J$224),0),
IF('TL13'!$B$229=Q$3,SUMIF('TL13'!$C$238:$C$451,$C223,'TL13'!$J$238:$J$451),0),
IF('TL14'!$B$3=Q$3,SUMIF('TL14'!$C$10:$C$224,$C223,'TL14'!$J$10:$J$224),0),
IF('TL14'!$B$229=Q$3,SUMIF('TL14'!$C$238:$C$451,$C223,'TL14'!$J$238:$J$451),0),
IF('TL15'!$B$3=Q$3,SUMIF('TL15'!$C$10:$C$224,$C223,'TL15'!$J$10:$J$224),0),
IF('TL15'!$B$229=Q$3,SUMIF('TL15'!$C$238:$C$451,$C223,'TL15'!$J$238:$J$451),0),
IF('TL16'!$B$3=Q$3,SUMIF('TL16'!$C$10:$C$224,$C223,'TL16'!$J$10:$J$224),0),
IF('TL16'!$B$229=Q$3,SUMIF('TL16'!$C$238:$C$451,$C223,'TL16'!$J$238:$J$451),0),
IF('TL17'!$B$3=Q$3,SUMIF('TL17'!$C$10:$C$224,$C223,'TL17'!$J$10:$J$224),0),
IF('TL17'!$B$229=Q$3,SUMIF('TL17'!$C$238:$C$451,$C223,'TL17'!$J$238:$J$451),0),
IF('TL18'!$B$3=Q$3,SUMIF('TL18'!$C$10:$C$224,$C223,'TL18'!$J$10:$J$224),0),
IF('TL18'!$B$229=Q$3,SUMIF('TL18'!$C$238:$C$451,$C223,'TL18'!$J$238:$J$451),0),
IF('TL19'!$B$3=Q$3,SUMIF('TL19'!$C$10:$C$224,$C223,'TL19'!$J$10:$J$224),0),
IF('TL19'!$B$229=Q$3,SUMIF('TL19'!$C$238:$C$451,$C223,'TL19'!$J$238:$J$451),0)
),0)</f>
        <v>0</v>
      </c>
      <c r="R223" s="9">
        <f>IFERROR(
SUM(
SUMIF('TL01'!C:C,C223,'TL01'!J:J),
SUMIF('TL02'!C:C,C223,'TL02'!J:J),
SUMIF('TL03'!C:C,C223,'TL03'!J:J),
SUMIF('TL04'!C:C,C223,'TL04'!J:J),
SUMIF('TL05'!C:C,C223,'TL05'!J:J),
SUMIF('TL06'!C:C,C223,'TL06'!J:J),
SUMIF('TL07'!C:C,C223,'TL07'!J:J),
SUMIF('TL08'!C:C,C223,'TL08'!J:J),
SUMIF('TL09'!C:C,C223,'TL09'!J:J),
SUMIF('TL10'!C:C,C223,'TL10'!J:J),
SUMIF('TL11'!C:C,C223,'TL11'!J:J),
SUMIF('TL12'!C:C,C223,'TL12'!J:J),
SUMIF('TL13'!C:C,C223,'TL13'!J:J),
SUMIF('TL14'!C:C,C223,'TL14'!J:J),
SUMIF('TL15'!C:C,C223,'TL15'!J:J),
SUMIF('TL16'!C:C,C223,'TL16'!J:J),
SUMIF('TL17'!C:C,C223,'TL17'!J:J),
SUMIF('TL18'!C:C,C223,'TL18'!J:J),SUMIF('TL19'!C:C,C223,'TL19'!J:J))
,0)</f>
        <v>0</v>
      </c>
      <c r="S223" s="17">
        <f>IFERROR(__xludf.DUMMYFUNCTION("IFERROR(VLOOKUP(C223,
IMPORTRANGE(""1wULbzX32WdYsx-lj2U3uUNBBe2INVIRDtcK0d-Dvl90"",
""26-27!C:G""),
5,
FALSE),
"""")"),73.44069)</f>
        <v>73.44069</v>
      </c>
      <c r="T223" s="9"/>
      <c r="U223" s="92">
        <f t="shared" si="2"/>
        <v>0</v>
      </c>
      <c r="V223" s="93">
        <f t="shared" si="3"/>
        <v>0</v>
      </c>
    </row>
    <row r="224" ht="15.75" hidden="1" customHeight="1">
      <c r="A224" s="87" t="s">
        <v>356</v>
      </c>
      <c r="B224" s="88" t="s">
        <v>2</v>
      </c>
      <c r="C224" s="89" t="s">
        <v>861</v>
      </c>
      <c r="D224" s="89" t="s">
        <v>839</v>
      </c>
      <c r="E224" s="89">
        <v>480.0</v>
      </c>
      <c r="F224" s="4" t="s">
        <v>343</v>
      </c>
      <c r="G224" s="90" t="str">
        <f t="shared" si="4"/>
        <v>📄 Ver bula</v>
      </c>
      <c r="H224" s="9">
        <f>IFERROR(__xludf.DUMMYFUNCTION("IFERROR(VLOOKUP(C224,
IMPORTRANGE(""1wULbzX32WdYsx-lj2U3uUNBBe2INVIRDtcK0d-Dvl90"",
""26-27!C:K""),
8,
FALSE),
"""")"),1.0)</f>
        <v>1</v>
      </c>
      <c r="I224" s="91" t="s">
        <v>344</v>
      </c>
      <c r="J224" s="9">
        <f>IFERROR(SUM(
IF('TL01'!$B$3=J$3,SUMIF('TL01'!$C$10:$C$224,$C224,'TL01'!$J$10:$J$224),0),
IF('TL01'!$B$229=J$3,SUMIF('TL01'!$C$238:$C$451,$C224,'TL01'!$J$238:$J$451),0),
IF('TL02'!$B$3=J$3,SUMIF('TL02'!$C$10:$C$224,$C224,'TL02'!$J$10:$J$224),0),
IF('TL02'!$B$229=J$3,SUMIF('TL02'!$C$238:$C$451,$C224,'TL02'!$J$238:$J$451),0),
IF('TL03'!$B$3=J$3,SUMIF('TL03'!$C$10:$C$224,$C224,'TL03'!$J$10:$J$224),0),
IF('TL03'!$B$229=J$3,SUMIF('TL03'!$C$238:$C$451,$C224,'TL03'!$J$238:$J$451),0),
IF('TL04'!$B$3=J$3,SUMIF('TL04'!$C$10:$C$224,$C224,'TL04'!$J$10:$J$224),0),
IF('TL04'!$B$229=J$3,SUMIF('TL04'!$C$238:$C$451,$C224,'TL04'!$J$238:$J$451),0),
IF('TL05'!$B$3=J$3,SUMIF('TL05'!$C$10:$C$224,$C224,'TL05'!$J$10:$J$224),0),
IF('TL05'!$B$229=J$3,SUMIF('TL05'!$C$238:$C$451,$C224,'TL05'!$J$238:$J$451),0),
IF('TL06'!$B$3=J$3,SUMIF('TL06'!$C$10:$C$224,$C224,'TL06'!$J$10:$J$224),0),
IF('TL06'!$B$229=J$3,SUMIF('TL06'!$C$238:$C$451,$C224,'TL06'!$J$238:$J$451),0),
IF('TL07'!$B$3=J$3,SUMIF('TL07'!$C$10:$C$224,$C224,'TL07'!$J$10:$J$224),0),
IF('TL07'!$B$229=J$3,SUMIF('TL07'!$C$238:$C$451,$C224,'TL07'!$J$238:$J$451),0),
IF('TL08'!$B$3=J$3,SUMIF('TL08'!$C$10:$C$224,$C224,'TL08'!$J$10:$J$224),0),
IF('TL08'!$B$229=J$3,SUMIF('TL08'!$C$238:$C$451,$C224,'TL08'!$J$238:$J$451),0),
IF('TL09'!$B$3=J$3,SUMIF('TL09'!$C$10:$C$224,$C224,'TL09'!$J$10:$J$224),0),
IF('TL09'!$B$229=J$3,SUMIF('TL09'!$C$238:$C$451,$C224,'TL09'!$J$238:$J$451),0),
IF('TL10'!$B$3=J$3,SUMIF('TL10'!$C$10:$C$224,$C224,'TL10'!$J$10:$J$224),0),
IF('TL10'!$B$229=J$3,SUMIF('TL10'!$C$238:$C$451,$C224,'TL10'!$J$238:$J$451),0),
IF('TL11'!$B$3=J$3,SUMIF('TL11'!$C$10:$C$224,$C224,'TL11'!$J$10:$J$224),0),
IF('TL11'!$B$229=J$3,SUMIF('TL11'!$C$238:$C$451,$C224,'TL11'!$J$238:$J$451),0),
IF('TL12'!$B$3=J$3,SUMIF('TL12'!$C$10:$C$224,$C224,'TL12'!$J$10:$J$224),0),
IF('TL12'!$B$229=J$3,SUMIF('TL12'!$C$238:$C$451,$C224,'TL12'!$J$238:$J$451),0),
IF('TL13'!$B$3=J$3,SUMIF('TL13'!$C$10:$C$224,$C224,'TL13'!$J$10:$J$224),0),
IF('TL13'!$B$229=J$3,SUMIF('TL13'!$C$238:$C$451,$C224,'TL13'!$J$238:$J$451),0),
IF('TL14'!$B$3=J$3,SUMIF('TL14'!$C$10:$C$224,$C224,'TL14'!$J$10:$J$224),0),
IF('TL14'!$B$229=J$3,SUMIF('TL14'!$C$238:$C$451,$C224,'TL14'!$J$238:$J$451),0),
IF('TL15'!$B$3=J$3,SUMIF('TL15'!$C$10:$C$224,$C224,'TL15'!$J$10:$J$224),0),
IF('TL15'!$B$229=J$3,SUMIF('TL15'!$C$238:$C$451,$C224,'TL15'!$J$238:$J$451),0),
IF('TL16'!$B$3=J$3,SUMIF('TL16'!$C$10:$C$224,$C224,'TL16'!$J$10:$J$224),0),
IF('TL16'!$B$229=J$3,SUMIF('TL16'!$C$238:$C$451,$C224,'TL16'!$J$238:$J$451),0),
IF('TL17'!$B$3=J$3,SUMIF('TL17'!$C$10:$C$224,$C224,'TL17'!$J$10:$J$224),0),
IF('TL17'!$B$229=J$3,SUMIF('TL17'!$C$238:$C$451,$C224,'TL17'!$J$238:$J$451),0),
IF('TL18'!$B$3=J$3,SUMIF('TL18'!$C$10:$C$224,$C224,'TL18'!$J$10:$J$224),0),
IF('TL18'!$B$229=J$3,SUMIF('TL18'!$C$238:$C$451,$C224,'TL18'!$J$238:$J$451),0),
IF('TL19'!$B$3=J$3,SUMIF('TL19'!$C$10:$C$224,$C224,'TL19'!$J$10:$J$224),0),
IF('TL19'!$B$229=J$3,SUMIF('TL19'!$C$238:$C$451,$C224,'TL19'!$J$238:$J$451),0)
),0)</f>
        <v>0</v>
      </c>
      <c r="K224" s="9">
        <f>IFERROR(SUM(
IF('TL01'!$B$3=K$3,SUMIF('TL01'!$C$10:$C$224,$C224,'TL01'!$J$10:$J$224),0),
IF('TL01'!$B$229=K$3,SUMIF('TL01'!$C$238:$C$451,$C224,'TL01'!$J$238:$J$451),0),
IF('TL02'!$B$3=K$3,SUMIF('TL02'!$C$10:$C$224,$C224,'TL02'!$J$10:$J$224),0),
IF('TL02'!$B$229=K$3,SUMIF('TL02'!$C$238:$C$451,$C224,'TL02'!$J$238:$J$451),0),
IF('TL03'!$B$3=K$3,SUMIF('TL03'!$C$10:$C$224,$C224,'TL03'!$J$10:$J$224),0),
IF('TL03'!$B$229=K$3,SUMIF('TL03'!$C$238:$C$451,$C224,'TL03'!$J$238:$J$451),0),
IF('TL04'!$B$3=K$3,SUMIF('TL04'!$C$10:$C$224,$C224,'TL04'!$J$10:$J$224),0),
IF('TL04'!$B$229=K$3,SUMIF('TL04'!$C$238:$C$451,$C224,'TL04'!$J$238:$J$451),0),
IF('TL05'!$B$3=K$3,SUMIF('TL05'!$C$10:$C$224,$C224,'TL05'!$J$10:$J$224),0),
IF('TL05'!$B$229=K$3,SUMIF('TL05'!$C$238:$C$451,$C224,'TL05'!$J$238:$J$451),0),
IF('TL06'!$B$3=K$3,SUMIF('TL06'!$C$10:$C$224,$C224,'TL06'!$J$10:$J$224),0),
IF('TL06'!$B$229=K$3,SUMIF('TL06'!$C$238:$C$451,$C224,'TL06'!$J$238:$J$451),0),
IF('TL07'!$B$3=K$3,SUMIF('TL07'!$C$10:$C$224,$C224,'TL07'!$J$10:$J$224),0),
IF('TL07'!$B$229=K$3,SUMIF('TL07'!$C$238:$C$451,$C224,'TL07'!$J$238:$J$451),0),
IF('TL08'!$B$3=K$3,SUMIF('TL08'!$C$10:$C$224,$C224,'TL08'!$J$10:$J$224),0),
IF('TL08'!$B$229=K$3,SUMIF('TL08'!$C$238:$C$451,$C224,'TL08'!$J$238:$J$451),0),
IF('TL09'!$B$3=K$3,SUMIF('TL09'!$C$10:$C$224,$C224,'TL09'!$J$10:$J$224),0),
IF('TL09'!$B$229=K$3,SUMIF('TL09'!$C$238:$C$451,$C224,'TL09'!$J$238:$J$451),0),
IF('TL10'!$B$3=K$3,SUMIF('TL10'!$C$10:$C$224,$C224,'TL10'!$J$10:$J$224),0),
IF('TL10'!$B$229=K$3,SUMIF('TL10'!$C$238:$C$451,$C224,'TL10'!$J$238:$J$451),0),
IF('TL11'!$B$3=K$3,SUMIF('TL11'!$C$10:$C$224,$C224,'TL11'!$J$10:$J$224),0),
IF('TL11'!$B$229=K$3,SUMIF('TL11'!$C$238:$C$451,$C224,'TL11'!$J$238:$J$451),0),
IF('TL12'!$B$3=K$3,SUMIF('TL12'!$C$10:$C$224,$C224,'TL12'!$J$10:$J$224),0),
IF('TL12'!$B$229=K$3,SUMIF('TL12'!$C$238:$C$451,$C224,'TL12'!$J$238:$J$451),0),
IF('TL13'!$B$3=K$3,SUMIF('TL13'!$C$10:$C$224,$C224,'TL13'!$J$10:$J$224),0),
IF('TL13'!$B$229=K$3,SUMIF('TL13'!$C$238:$C$451,$C224,'TL13'!$J$238:$J$451),0),
IF('TL14'!$B$3=K$3,SUMIF('TL14'!$C$10:$C$224,$C224,'TL14'!$J$10:$J$224),0),
IF('TL14'!$B$229=K$3,SUMIF('TL14'!$C$238:$C$451,$C224,'TL14'!$J$238:$J$451),0),
IF('TL15'!$B$3=K$3,SUMIF('TL15'!$C$10:$C$224,$C224,'TL15'!$J$10:$J$224),0),
IF('TL15'!$B$229=K$3,SUMIF('TL15'!$C$238:$C$451,$C224,'TL15'!$J$238:$J$451),0),
IF('TL16'!$B$3=K$3,SUMIF('TL16'!$C$10:$C$224,$C224,'TL16'!$J$10:$J$224),0),
IF('TL16'!$B$229=K$3,SUMIF('TL16'!$C$238:$C$451,$C224,'TL16'!$J$238:$J$451),0),
IF('TL17'!$B$3=K$3,SUMIF('TL17'!$C$10:$C$224,$C224,'TL17'!$J$10:$J$224),0),
IF('TL17'!$B$229=K$3,SUMIF('TL17'!$C$238:$C$451,$C224,'TL17'!$J$238:$J$451),0),
IF('TL18'!$B$3=K$3,SUMIF('TL18'!$C$10:$C$224,$C224,'TL18'!$J$10:$J$224),0),
IF('TL18'!$B$229=K$3,SUMIF('TL18'!$C$238:$C$451,$C224,'TL18'!$J$238:$J$451),0),
IF('TL19'!$B$3=K$3,SUMIF('TL19'!$C$10:$C$224,$C224,'TL19'!$J$10:$J$224),0),
IF('TL19'!$B$229=K$3,SUMIF('TL19'!$C$238:$C$451,$C224,'TL19'!$J$238:$J$451),0)
),0)</f>
        <v>0</v>
      </c>
      <c r="L224" s="9">
        <f>IFERROR(SUM(
IF('TL01'!$B$3=L$3,SUMIF('TL01'!$C$10:$C$224,$C224,'TL01'!$J$10:$J$224),0),
IF('TL01'!$B$229=L$3,SUMIF('TL01'!$C$238:$C$451,$C224,'TL01'!$J$238:$J$451),0),
IF('TL02'!$B$3=L$3,SUMIF('TL02'!$C$10:$C$224,$C224,'TL02'!$J$10:$J$224),0),
IF('TL02'!$B$229=L$3,SUMIF('TL02'!$C$238:$C$451,$C224,'TL02'!$J$238:$J$451),0),
IF('TL03'!$B$3=L$3,SUMIF('TL03'!$C$10:$C$224,$C224,'TL03'!$J$10:$J$224),0),
IF('TL03'!$B$229=L$3,SUMIF('TL03'!$C$238:$C$451,$C224,'TL03'!$J$238:$J$451),0),
IF('TL04'!$B$3=L$3,SUMIF('TL04'!$C$10:$C$224,$C224,'TL04'!$J$10:$J$224),0),
IF('TL04'!$B$229=L$3,SUMIF('TL04'!$C$238:$C$451,$C224,'TL04'!$J$238:$J$451),0),
IF('TL05'!$B$3=L$3,SUMIF('TL05'!$C$10:$C$224,$C224,'TL05'!$J$10:$J$224),0),
IF('TL05'!$B$229=L$3,SUMIF('TL05'!$C$238:$C$451,$C224,'TL05'!$J$238:$J$451),0),
IF('TL06'!$B$3=L$3,SUMIF('TL06'!$C$10:$C$224,$C224,'TL06'!$J$10:$J$224),0),
IF('TL06'!$B$229=L$3,SUMIF('TL06'!$C$238:$C$451,$C224,'TL06'!$J$238:$J$451),0),
IF('TL07'!$B$3=L$3,SUMIF('TL07'!$C$10:$C$224,$C224,'TL07'!$J$10:$J$224),0),
IF('TL07'!$B$229=L$3,SUMIF('TL07'!$C$238:$C$451,$C224,'TL07'!$J$238:$J$451),0),
IF('TL08'!$B$3=L$3,SUMIF('TL08'!$C$10:$C$224,$C224,'TL08'!$J$10:$J$224),0),
IF('TL08'!$B$229=L$3,SUMIF('TL08'!$C$238:$C$451,$C224,'TL08'!$J$238:$J$451),0),
IF('TL09'!$B$3=L$3,SUMIF('TL09'!$C$10:$C$224,$C224,'TL09'!$J$10:$J$224),0),
IF('TL09'!$B$229=L$3,SUMIF('TL09'!$C$238:$C$451,$C224,'TL09'!$J$238:$J$451),0),
IF('TL10'!$B$3=L$3,SUMIF('TL10'!$C$10:$C$224,$C224,'TL10'!$J$10:$J$224),0),
IF('TL10'!$B$229=L$3,SUMIF('TL10'!$C$238:$C$451,$C224,'TL10'!$J$238:$J$451),0),
IF('TL11'!$B$3=L$3,SUMIF('TL11'!$C$10:$C$224,$C224,'TL11'!$J$10:$J$224),0),
IF('TL11'!$B$229=L$3,SUMIF('TL11'!$C$238:$C$451,$C224,'TL11'!$J$238:$J$451),0),
IF('TL12'!$B$3=L$3,SUMIF('TL12'!$C$10:$C$224,$C224,'TL12'!$J$10:$J$224),0),
IF('TL12'!$B$229=L$3,SUMIF('TL12'!$C$238:$C$451,$C224,'TL12'!$J$238:$J$451),0),
IF('TL13'!$B$3=L$3,SUMIF('TL13'!$C$10:$C$224,$C224,'TL13'!$J$10:$J$224),0),
IF('TL13'!$B$229=L$3,SUMIF('TL13'!$C$238:$C$451,$C224,'TL13'!$J$238:$J$451),0),
IF('TL14'!$B$3=L$3,SUMIF('TL14'!$C$10:$C$224,$C224,'TL14'!$J$10:$J$224),0),
IF('TL14'!$B$229=L$3,SUMIF('TL14'!$C$238:$C$451,$C224,'TL14'!$J$238:$J$451),0),
IF('TL15'!$B$3=L$3,SUMIF('TL15'!$C$10:$C$224,$C224,'TL15'!$J$10:$J$224),0),
IF('TL15'!$B$229=L$3,SUMIF('TL15'!$C$238:$C$451,$C224,'TL15'!$J$238:$J$451),0),
IF('TL16'!$B$3=L$3,SUMIF('TL16'!$C$10:$C$224,$C224,'TL16'!$J$10:$J$224),0),
IF('TL16'!$B$229=L$3,SUMIF('TL16'!$C$238:$C$451,$C224,'TL16'!$J$238:$J$451),0),
IF('TL17'!$B$3=L$3,SUMIF('TL17'!$C$10:$C$224,$C224,'TL17'!$J$10:$J$224),0),
IF('TL17'!$B$229=L$3,SUMIF('TL17'!$C$238:$C$451,$C224,'TL17'!$J$238:$J$451),0),
IF('TL18'!$B$3=L$3,SUMIF('TL18'!$C$10:$C$224,$C224,'TL18'!$J$10:$J$224),0),
IF('TL18'!$B$229=L$3,SUMIF('TL18'!$C$238:$C$451,$C224,'TL18'!$J$238:$J$451),0),
IF('TL19'!$B$3=L$3,SUMIF('TL19'!$C$10:$C$224,$C224,'TL19'!$J$10:$J$224),0),
IF('TL19'!$B$229=L$3,SUMIF('TL19'!$C$238:$C$451,$C224,'TL19'!$J$238:$J$451),0)
),0)</f>
        <v>0</v>
      </c>
      <c r="M224" s="9">
        <f>IFERROR(SUM(
IF('TL01'!$B$3=M$3,SUMIF('TL01'!$C$10:$C$224,$C224,'TL01'!$J$10:$J$224),0),
IF('TL01'!$B$229=M$3,SUMIF('TL01'!$C$238:$C$451,$C224,'TL01'!$J$238:$J$451),0),
IF('TL02'!$B$3=M$3,SUMIF('TL02'!$C$10:$C$224,$C224,'TL02'!$J$10:$J$224),0),
IF('TL02'!$B$229=M$3,SUMIF('TL02'!$C$238:$C$451,$C224,'TL02'!$J$238:$J$451),0),
IF('TL03'!$B$3=M$3,SUMIF('TL03'!$C$10:$C$224,$C224,'TL03'!$J$10:$J$224),0),
IF('TL03'!$B$229=M$3,SUMIF('TL03'!$C$238:$C$451,$C224,'TL03'!$J$238:$J$451),0),
IF('TL04'!$B$3=M$3,SUMIF('TL04'!$C$10:$C$224,$C224,'TL04'!$J$10:$J$224),0),
IF('TL04'!$B$229=M$3,SUMIF('TL04'!$C$238:$C$451,$C224,'TL04'!$J$238:$J$451),0),
IF('TL05'!$B$3=M$3,SUMIF('TL05'!$C$10:$C$224,$C224,'TL05'!$J$10:$J$224),0),
IF('TL05'!$B$229=M$3,SUMIF('TL05'!$C$238:$C$451,$C224,'TL05'!$J$238:$J$451),0),
IF('TL06'!$B$3=M$3,SUMIF('TL06'!$C$10:$C$224,$C224,'TL06'!$J$10:$J$224),0),
IF('TL06'!$B$229=M$3,SUMIF('TL06'!$C$238:$C$451,$C224,'TL06'!$J$238:$J$451),0),
IF('TL07'!$B$3=M$3,SUMIF('TL07'!$C$10:$C$224,$C224,'TL07'!$J$10:$J$224),0),
IF('TL07'!$B$229=M$3,SUMIF('TL07'!$C$238:$C$451,$C224,'TL07'!$J$238:$J$451),0),
IF('TL08'!$B$3=M$3,SUMIF('TL08'!$C$10:$C$224,$C224,'TL08'!$J$10:$J$224),0),
IF('TL08'!$B$229=M$3,SUMIF('TL08'!$C$238:$C$451,$C224,'TL08'!$J$238:$J$451),0),
IF('TL09'!$B$3=M$3,SUMIF('TL09'!$C$10:$C$224,$C224,'TL09'!$J$10:$J$224),0),
IF('TL09'!$B$229=M$3,SUMIF('TL09'!$C$238:$C$451,$C224,'TL09'!$J$238:$J$451),0),
IF('TL10'!$B$3=M$3,SUMIF('TL10'!$C$10:$C$224,$C224,'TL10'!$J$10:$J$224),0),
IF('TL10'!$B$229=M$3,SUMIF('TL10'!$C$238:$C$451,$C224,'TL10'!$J$238:$J$451),0),
IF('TL11'!$B$3=M$3,SUMIF('TL11'!$C$10:$C$224,$C224,'TL11'!$J$10:$J$224),0),
IF('TL11'!$B$229=M$3,SUMIF('TL11'!$C$238:$C$451,$C224,'TL11'!$J$238:$J$451),0),
IF('TL12'!$B$3=M$3,SUMIF('TL12'!$C$10:$C$224,$C224,'TL12'!$J$10:$J$224),0),
IF('TL12'!$B$229=M$3,SUMIF('TL12'!$C$238:$C$451,$C224,'TL12'!$J$238:$J$451),0),
IF('TL13'!$B$3=M$3,SUMIF('TL13'!$C$10:$C$224,$C224,'TL13'!$J$10:$J$224),0),
IF('TL13'!$B$229=M$3,SUMIF('TL13'!$C$238:$C$451,$C224,'TL13'!$J$238:$J$451),0),
IF('TL14'!$B$3=M$3,SUMIF('TL14'!$C$10:$C$224,$C224,'TL14'!$J$10:$J$224),0),
IF('TL14'!$B$229=M$3,SUMIF('TL14'!$C$238:$C$451,$C224,'TL14'!$J$238:$J$451),0),
IF('TL15'!$B$3=M$3,SUMIF('TL15'!$C$10:$C$224,$C224,'TL15'!$J$10:$J$224),0),
IF('TL15'!$B$229=M$3,SUMIF('TL15'!$C$238:$C$451,$C224,'TL15'!$J$238:$J$451),0),
IF('TL16'!$B$3=M$3,SUMIF('TL16'!$C$10:$C$224,$C224,'TL16'!$J$10:$J$224),0),
IF('TL16'!$B$229=M$3,SUMIF('TL16'!$C$238:$C$451,$C224,'TL16'!$J$238:$J$451),0),
IF('TL17'!$B$3=M$3,SUMIF('TL17'!$C$10:$C$224,$C224,'TL17'!$J$10:$J$224),0),
IF('TL17'!$B$229=M$3,SUMIF('TL17'!$C$238:$C$451,$C224,'TL17'!$J$238:$J$451),0),
IF('TL18'!$B$3=M$3,SUMIF('TL18'!$C$10:$C$224,$C224,'TL18'!$J$10:$J$224),0),
IF('TL18'!$B$229=M$3,SUMIF('TL18'!$C$238:$C$451,$C224,'TL18'!$J$238:$J$451),0),
IF('TL19'!$B$3=M$3,SUMIF('TL19'!$C$10:$C$224,$C224,'TL19'!$J$10:$J$224),0),
IF('TL19'!$B$229=M$3,SUMIF('TL19'!$C$238:$C$451,$C224,'TL19'!$J$238:$J$451),0)
),0)</f>
        <v>0</v>
      </c>
      <c r="N224" s="9">
        <f>IFERROR(SUM(
IF('TL01'!$B$3=N$3,SUMIF('TL01'!$C$10:$C$224,$C224,'TL01'!$J$10:$J$224),0),
IF('TL01'!$B$229=N$3,SUMIF('TL01'!$C$238:$C$451,$C224,'TL01'!$J$238:$J$451),0),
IF('TL02'!$B$3=N$3,SUMIF('TL02'!$C$10:$C$224,$C224,'TL02'!$J$10:$J$224),0),
IF('TL02'!$B$229=N$3,SUMIF('TL02'!$C$238:$C$451,$C224,'TL02'!$J$238:$J$451),0),
IF('TL03'!$B$3=N$3,SUMIF('TL03'!$C$10:$C$224,$C224,'TL03'!$J$10:$J$224),0),
IF('TL03'!$B$229=N$3,SUMIF('TL03'!$C$238:$C$451,$C224,'TL03'!$J$238:$J$451),0),
IF('TL04'!$B$3=N$3,SUMIF('TL04'!$C$10:$C$224,$C224,'TL04'!$J$10:$J$224),0),
IF('TL04'!$B$229=N$3,SUMIF('TL04'!$C$238:$C$451,$C224,'TL04'!$J$238:$J$451),0),
IF('TL05'!$B$3=N$3,SUMIF('TL05'!$C$10:$C$224,$C224,'TL05'!$J$10:$J$224),0),
IF('TL05'!$B$229=N$3,SUMIF('TL05'!$C$238:$C$451,$C224,'TL05'!$J$238:$J$451),0),
IF('TL06'!$B$3=N$3,SUMIF('TL06'!$C$10:$C$224,$C224,'TL06'!$J$10:$J$224),0),
IF('TL06'!$B$229=N$3,SUMIF('TL06'!$C$238:$C$451,$C224,'TL06'!$J$238:$J$451),0),
IF('TL07'!$B$3=N$3,SUMIF('TL07'!$C$10:$C$224,$C224,'TL07'!$J$10:$J$224),0),
IF('TL07'!$B$229=N$3,SUMIF('TL07'!$C$238:$C$451,$C224,'TL07'!$J$238:$J$451),0),
IF('TL08'!$B$3=N$3,SUMIF('TL08'!$C$10:$C$224,$C224,'TL08'!$J$10:$J$224),0),
IF('TL08'!$B$229=N$3,SUMIF('TL08'!$C$238:$C$451,$C224,'TL08'!$J$238:$J$451),0),
IF('TL09'!$B$3=N$3,SUMIF('TL09'!$C$10:$C$224,$C224,'TL09'!$J$10:$J$224),0),
IF('TL09'!$B$229=N$3,SUMIF('TL09'!$C$238:$C$451,$C224,'TL09'!$J$238:$J$451),0),
IF('TL10'!$B$3=N$3,SUMIF('TL10'!$C$10:$C$224,$C224,'TL10'!$J$10:$J$224),0),
IF('TL10'!$B$229=N$3,SUMIF('TL10'!$C$238:$C$451,$C224,'TL10'!$J$238:$J$451),0),
IF('TL11'!$B$3=N$3,SUMIF('TL11'!$C$10:$C$224,$C224,'TL11'!$J$10:$J$224),0),
IF('TL11'!$B$229=N$3,SUMIF('TL11'!$C$238:$C$451,$C224,'TL11'!$J$238:$J$451),0),
IF('TL12'!$B$3=N$3,SUMIF('TL12'!$C$10:$C$224,$C224,'TL12'!$J$10:$J$224),0),
IF('TL12'!$B$229=N$3,SUMIF('TL12'!$C$238:$C$451,$C224,'TL12'!$J$238:$J$451),0),
IF('TL13'!$B$3=N$3,SUMIF('TL13'!$C$10:$C$224,$C224,'TL13'!$J$10:$J$224),0),
IF('TL13'!$B$229=N$3,SUMIF('TL13'!$C$238:$C$451,$C224,'TL13'!$J$238:$J$451),0),
IF('TL14'!$B$3=N$3,SUMIF('TL14'!$C$10:$C$224,$C224,'TL14'!$J$10:$J$224),0),
IF('TL14'!$B$229=N$3,SUMIF('TL14'!$C$238:$C$451,$C224,'TL14'!$J$238:$J$451),0),
IF('TL15'!$B$3=N$3,SUMIF('TL15'!$C$10:$C$224,$C224,'TL15'!$J$10:$J$224),0),
IF('TL15'!$B$229=N$3,SUMIF('TL15'!$C$238:$C$451,$C224,'TL15'!$J$238:$J$451),0),
IF('TL16'!$B$3=N$3,SUMIF('TL16'!$C$10:$C$224,$C224,'TL16'!$J$10:$J$224),0),
IF('TL16'!$B$229=N$3,SUMIF('TL16'!$C$238:$C$451,$C224,'TL16'!$J$238:$J$451),0),
IF('TL17'!$B$3=N$3,SUMIF('TL17'!$C$10:$C$224,$C224,'TL17'!$J$10:$J$224),0),
IF('TL17'!$B$229=N$3,SUMIF('TL17'!$C$238:$C$451,$C224,'TL17'!$J$238:$J$451),0),
IF('TL18'!$B$3=N$3,SUMIF('TL18'!$C$10:$C$224,$C224,'TL18'!$J$10:$J$224),0),
IF('TL18'!$B$229=N$3,SUMIF('TL18'!$C$238:$C$451,$C224,'TL18'!$J$238:$J$451),0),
IF('TL19'!$B$3=N$3,SUMIF('TL19'!$C$10:$C$224,$C224,'TL19'!$J$10:$J$224),0),
IF('TL19'!$B$229=N$3,SUMIF('TL19'!$C$238:$C$451,$C224,'TL19'!$J$238:$J$451),0)
),0)</f>
        <v>0</v>
      </c>
      <c r="O224" s="9">
        <f>IFERROR(SUM(
IF('TL01'!$B$3=O$3,SUMIF('TL01'!$C$10:$C$224,$C224,'TL01'!$J$10:$J$224),0),
IF('TL01'!$B$229=O$3,SUMIF('TL01'!$C$238:$C$451,$C224,'TL01'!$J$238:$J$451),0),
IF('TL02'!$B$3=O$3,SUMIF('TL02'!$C$10:$C$224,$C224,'TL02'!$J$10:$J$224),0),
IF('TL02'!$B$229=O$3,SUMIF('TL02'!$C$238:$C$451,$C224,'TL02'!$J$238:$J$451),0),
IF('TL03'!$B$3=O$3,SUMIF('TL03'!$C$10:$C$224,$C224,'TL03'!$J$10:$J$224),0),
IF('TL03'!$B$229=O$3,SUMIF('TL03'!$C$238:$C$451,$C224,'TL03'!$J$238:$J$451),0),
IF('TL04'!$B$3=O$3,SUMIF('TL04'!$C$10:$C$224,$C224,'TL04'!$J$10:$J$224),0),
IF('TL04'!$B$229=O$3,SUMIF('TL04'!$C$238:$C$451,$C224,'TL04'!$J$238:$J$451),0),
IF('TL05'!$B$3=O$3,SUMIF('TL05'!$C$10:$C$224,$C224,'TL05'!$J$10:$J$224),0),
IF('TL05'!$B$229=O$3,SUMIF('TL05'!$C$238:$C$451,$C224,'TL05'!$J$238:$J$451),0),
IF('TL06'!$B$3=O$3,SUMIF('TL06'!$C$10:$C$224,$C224,'TL06'!$J$10:$J$224),0),
IF('TL06'!$B$229=O$3,SUMIF('TL06'!$C$238:$C$451,$C224,'TL06'!$J$238:$J$451),0),
IF('TL07'!$B$3=O$3,SUMIF('TL07'!$C$10:$C$224,$C224,'TL07'!$J$10:$J$224),0),
IF('TL07'!$B$229=O$3,SUMIF('TL07'!$C$238:$C$451,$C224,'TL07'!$J$238:$J$451),0),
IF('TL08'!$B$3=O$3,SUMIF('TL08'!$C$10:$C$224,$C224,'TL08'!$J$10:$J$224),0),
IF('TL08'!$B$229=O$3,SUMIF('TL08'!$C$238:$C$451,$C224,'TL08'!$J$238:$J$451),0),
IF('TL09'!$B$3=O$3,SUMIF('TL09'!$C$10:$C$224,$C224,'TL09'!$J$10:$J$224),0),
IF('TL09'!$B$229=O$3,SUMIF('TL09'!$C$238:$C$451,$C224,'TL09'!$J$238:$J$451),0),
IF('TL10'!$B$3=O$3,SUMIF('TL10'!$C$10:$C$224,$C224,'TL10'!$J$10:$J$224),0),
IF('TL10'!$B$229=O$3,SUMIF('TL10'!$C$238:$C$451,$C224,'TL10'!$J$238:$J$451),0),
IF('TL11'!$B$3=O$3,SUMIF('TL11'!$C$10:$C$224,$C224,'TL11'!$J$10:$J$224),0),
IF('TL11'!$B$229=O$3,SUMIF('TL11'!$C$238:$C$451,$C224,'TL11'!$J$238:$J$451),0),
IF('TL12'!$B$3=O$3,SUMIF('TL12'!$C$10:$C$224,$C224,'TL12'!$J$10:$J$224),0),
IF('TL12'!$B$229=O$3,SUMIF('TL12'!$C$238:$C$451,$C224,'TL12'!$J$238:$J$451),0),
IF('TL13'!$B$3=O$3,SUMIF('TL13'!$C$10:$C$224,$C224,'TL13'!$J$10:$J$224),0),
IF('TL13'!$B$229=O$3,SUMIF('TL13'!$C$238:$C$451,$C224,'TL13'!$J$238:$J$451),0),
IF('TL14'!$B$3=O$3,SUMIF('TL14'!$C$10:$C$224,$C224,'TL14'!$J$10:$J$224),0),
IF('TL14'!$B$229=O$3,SUMIF('TL14'!$C$238:$C$451,$C224,'TL14'!$J$238:$J$451),0),
IF('TL15'!$B$3=O$3,SUMIF('TL15'!$C$10:$C$224,$C224,'TL15'!$J$10:$J$224),0),
IF('TL15'!$B$229=O$3,SUMIF('TL15'!$C$238:$C$451,$C224,'TL15'!$J$238:$J$451),0),
IF('TL16'!$B$3=O$3,SUMIF('TL16'!$C$10:$C$224,$C224,'TL16'!$J$10:$J$224),0),
IF('TL16'!$B$229=O$3,SUMIF('TL16'!$C$238:$C$451,$C224,'TL16'!$J$238:$J$451),0),
IF('TL17'!$B$3=O$3,SUMIF('TL17'!$C$10:$C$224,$C224,'TL17'!$J$10:$J$224),0),
IF('TL17'!$B$229=O$3,SUMIF('TL17'!$C$238:$C$451,$C224,'TL17'!$J$238:$J$451),0),
IF('TL18'!$B$3=O$3,SUMIF('TL18'!$C$10:$C$224,$C224,'TL18'!$J$10:$J$224),0),
IF('TL18'!$B$229=O$3,SUMIF('TL18'!$C$238:$C$451,$C224,'TL18'!$J$238:$J$451),0),
IF('TL19'!$B$3=O$3,SUMIF('TL19'!$C$10:$C$224,$C224,'TL19'!$J$10:$J$224),0),
IF('TL19'!$B$229=O$3,SUMIF('TL19'!$C$238:$C$451,$C224,'TL19'!$J$238:$J$451),0)
),0)</f>
        <v>0</v>
      </c>
      <c r="P224" s="9">
        <f>IFERROR(SUM(
IF('TL01'!$B$3=P$3,SUMIF('TL01'!$C$10:$C$224,$C224,'TL01'!$J$10:$J$224),0),
IF('TL01'!$B$229=P$3,SUMIF('TL01'!$C$238:$C$451,$C224,'TL01'!$J$238:$J$451),0),
IF('TL02'!$B$3=P$3,SUMIF('TL02'!$C$10:$C$224,$C224,'TL02'!$J$10:$J$224),0),
IF('TL02'!$B$229=P$3,SUMIF('TL02'!$C$238:$C$451,$C224,'TL02'!$J$238:$J$451),0),
IF('TL03'!$B$3=P$3,SUMIF('TL03'!$C$10:$C$224,$C224,'TL03'!$J$10:$J$224),0),
IF('TL03'!$B$229=P$3,SUMIF('TL03'!$C$238:$C$451,$C224,'TL03'!$J$238:$J$451),0),
IF('TL04'!$B$3=P$3,SUMIF('TL04'!$C$10:$C$224,$C224,'TL04'!$J$10:$J$224),0),
IF('TL04'!$B$229=P$3,SUMIF('TL04'!$C$238:$C$451,$C224,'TL04'!$J$238:$J$451),0),
IF('TL05'!$B$3=P$3,SUMIF('TL05'!$C$10:$C$224,$C224,'TL05'!$J$10:$J$224),0),
IF('TL05'!$B$229=P$3,SUMIF('TL05'!$C$238:$C$451,$C224,'TL05'!$J$238:$J$451),0),
IF('TL06'!$B$3=P$3,SUMIF('TL06'!$C$10:$C$224,$C224,'TL06'!$J$10:$J$224),0),
IF('TL06'!$B$229=P$3,SUMIF('TL06'!$C$238:$C$451,$C224,'TL06'!$J$238:$J$451),0),
IF('TL07'!$B$3=P$3,SUMIF('TL07'!$C$10:$C$224,$C224,'TL07'!$J$10:$J$224),0),
IF('TL07'!$B$229=P$3,SUMIF('TL07'!$C$238:$C$451,$C224,'TL07'!$J$238:$J$451),0),
IF('TL08'!$B$3=P$3,SUMIF('TL08'!$C$10:$C$224,$C224,'TL08'!$J$10:$J$224),0),
IF('TL08'!$B$229=P$3,SUMIF('TL08'!$C$238:$C$451,$C224,'TL08'!$J$238:$J$451),0),
IF('TL09'!$B$3=P$3,SUMIF('TL09'!$C$10:$C$224,$C224,'TL09'!$J$10:$J$224),0),
IF('TL09'!$B$229=P$3,SUMIF('TL09'!$C$238:$C$451,$C224,'TL09'!$J$238:$J$451),0),
IF('TL10'!$B$3=P$3,SUMIF('TL10'!$C$10:$C$224,$C224,'TL10'!$J$10:$J$224),0),
IF('TL10'!$B$229=P$3,SUMIF('TL10'!$C$238:$C$451,$C224,'TL10'!$J$238:$J$451),0),
IF('TL11'!$B$3=P$3,SUMIF('TL11'!$C$10:$C$224,$C224,'TL11'!$J$10:$J$224),0),
IF('TL11'!$B$229=P$3,SUMIF('TL11'!$C$238:$C$451,$C224,'TL11'!$J$238:$J$451),0),
IF('TL12'!$B$3=P$3,SUMIF('TL12'!$C$10:$C$224,$C224,'TL12'!$J$10:$J$224),0),
IF('TL12'!$B$229=P$3,SUMIF('TL12'!$C$238:$C$451,$C224,'TL12'!$J$238:$J$451),0),
IF('TL13'!$B$3=P$3,SUMIF('TL13'!$C$10:$C$224,$C224,'TL13'!$J$10:$J$224),0),
IF('TL13'!$B$229=P$3,SUMIF('TL13'!$C$238:$C$451,$C224,'TL13'!$J$238:$J$451),0),
IF('TL14'!$B$3=P$3,SUMIF('TL14'!$C$10:$C$224,$C224,'TL14'!$J$10:$J$224),0),
IF('TL14'!$B$229=P$3,SUMIF('TL14'!$C$238:$C$451,$C224,'TL14'!$J$238:$J$451),0),
IF('TL15'!$B$3=P$3,SUMIF('TL15'!$C$10:$C$224,$C224,'TL15'!$J$10:$J$224),0),
IF('TL15'!$B$229=P$3,SUMIF('TL15'!$C$238:$C$451,$C224,'TL15'!$J$238:$J$451),0),
IF('TL16'!$B$3=P$3,SUMIF('TL16'!$C$10:$C$224,$C224,'TL16'!$J$10:$J$224),0),
IF('TL16'!$B$229=P$3,SUMIF('TL16'!$C$238:$C$451,$C224,'TL16'!$J$238:$J$451),0),
IF('TL17'!$B$3=P$3,SUMIF('TL17'!$C$10:$C$224,$C224,'TL17'!$J$10:$J$224),0),
IF('TL17'!$B$229=P$3,SUMIF('TL17'!$C$238:$C$451,$C224,'TL17'!$J$238:$J$451),0),
IF('TL18'!$B$3=P$3,SUMIF('TL18'!$C$10:$C$224,$C224,'TL18'!$J$10:$J$224),0),
IF('TL18'!$B$229=P$3,SUMIF('TL18'!$C$238:$C$451,$C224,'TL18'!$J$238:$J$451),0),
IF('TL19'!$B$3=P$3,SUMIF('TL19'!$C$10:$C$224,$C224,'TL19'!$J$10:$J$224),0),
IF('TL19'!$B$229=P$3,SUMIF('TL19'!$C$238:$C$451,$C224,'TL19'!$J$238:$J$451),0)
),0)</f>
        <v>0</v>
      </c>
      <c r="Q224" s="9">
        <f>IFERROR(SUM(
IF('TL01'!$B$3=Q$3,SUMIF('TL01'!$C$10:$C$224,$C224,'TL01'!$J$10:$J$224),0),
IF('TL01'!$B$229=Q$3,SUMIF('TL01'!$C$238:$C$451,$C224,'TL01'!$J$238:$J$451),0),
IF('TL02'!$B$3=Q$3,SUMIF('TL02'!$C$10:$C$224,$C224,'TL02'!$J$10:$J$224),0),
IF('TL02'!$B$229=Q$3,SUMIF('TL02'!$C$238:$C$451,$C224,'TL02'!$J$238:$J$451),0),
IF('TL03'!$B$3=Q$3,SUMIF('TL03'!$C$10:$C$224,$C224,'TL03'!$J$10:$J$224),0),
IF('TL03'!$B$229=Q$3,SUMIF('TL03'!$C$238:$C$451,$C224,'TL03'!$J$238:$J$451),0),
IF('TL04'!$B$3=Q$3,SUMIF('TL04'!$C$10:$C$224,$C224,'TL04'!$J$10:$J$224),0),
IF('TL04'!$B$229=Q$3,SUMIF('TL04'!$C$238:$C$451,$C224,'TL04'!$J$238:$J$451),0),
IF('TL05'!$B$3=Q$3,SUMIF('TL05'!$C$10:$C$224,$C224,'TL05'!$J$10:$J$224),0),
IF('TL05'!$B$229=Q$3,SUMIF('TL05'!$C$238:$C$451,$C224,'TL05'!$J$238:$J$451),0),
IF('TL06'!$B$3=Q$3,SUMIF('TL06'!$C$10:$C$224,$C224,'TL06'!$J$10:$J$224),0),
IF('TL06'!$B$229=Q$3,SUMIF('TL06'!$C$238:$C$451,$C224,'TL06'!$J$238:$J$451),0),
IF('TL07'!$B$3=Q$3,SUMIF('TL07'!$C$10:$C$224,$C224,'TL07'!$J$10:$J$224),0),
IF('TL07'!$B$229=Q$3,SUMIF('TL07'!$C$238:$C$451,$C224,'TL07'!$J$238:$J$451),0),
IF('TL08'!$B$3=Q$3,SUMIF('TL08'!$C$10:$C$224,$C224,'TL08'!$J$10:$J$224),0),
IF('TL08'!$B$229=Q$3,SUMIF('TL08'!$C$238:$C$451,$C224,'TL08'!$J$238:$J$451),0),
IF('TL09'!$B$3=Q$3,SUMIF('TL09'!$C$10:$C$224,$C224,'TL09'!$J$10:$J$224),0),
IF('TL09'!$B$229=Q$3,SUMIF('TL09'!$C$238:$C$451,$C224,'TL09'!$J$238:$J$451),0),
IF('TL10'!$B$3=Q$3,SUMIF('TL10'!$C$10:$C$224,$C224,'TL10'!$J$10:$J$224),0),
IF('TL10'!$B$229=Q$3,SUMIF('TL10'!$C$238:$C$451,$C224,'TL10'!$J$238:$J$451),0),
IF('TL11'!$B$3=Q$3,SUMIF('TL11'!$C$10:$C$224,$C224,'TL11'!$J$10:$J$224),0),
IF('TL11'!$B$229=Q$3,SUMIF('TL11'!$C$238:$C$451,$C224,'TL11'!$J$238:$J$451),0),
IF('TL12'!$B$3=Q$3,SUMIF('TL12'!$C$10:$C$224,$C224,'TL12'!$J$10:$J$224),0),
IF('TL12'!$B$229=Q$3,SUMIF('TL12'!$C$238:$C$451,$C224,'TL12'!$J$238:$J$451),0),
IF('TL13'!$B$3=Q$3,SUMIF('TL13'!$C$10:$C$224,$C224,'TL13'!$J$10:$J$224),0),
IF('TL13'!$B$229=Q$3,SUMIF('TL13'!$C$238:$C$451,$C224,'TL13'!$J$238:$J$451),0),
IF('TL14'!$B$3=Q$3,SUMIF('TL14'!$C$10:$C$224,$C224,'TL14'!$J$10:$J$224),0),
IF('TL14'!$B$229=Q$3,SUMIF('TL14'!$C$238:$C$451,$C224,'TL14'!$J$238:$J$451),0),
IF('TL15'!$B$3=Q$3,SUMIF('TL15'!$C$10:$C$224,$C224,'TL15'!$J$10:$J$224),0),
IF('TL15'!$B$229=Q$3,SUMIF('TL15'!$C$238:$C$451,$C224,'TL15'!$J$238:$J$451),0),
IF('TL16'!$B$3=Q$3,SUMIF('TL16'!$C$10:$C$224,$C224,'TL16'!$J$10:$J$224),0),
IF('TL16'!$B$229=Q$3,SUMIF('TL16'!$C$238:$C$451,$C224,'TL16'!$J$238:$J$451),0),
IF('TL17'!$B$3=Q$3,SUMIF('TL17'!$C$10:$C$224,$C224,'TL17'!$J$10:$J$224),0),
IF('TL17'!$B$229=Q$3,SUMIF('TL17'!$C$238:$C$451,$C224,'TL17'!$J$238:$J$451),0),
IF('TL18'!$B$3=Q$3,SUMIF('TL18'!$C$10:$C$224,$C224,'TL18'!$J$10:$J$224),0),
IF('TL18'!$B$229=Q$3,SUMIF('TL18'!$C$238:$C$451,$C224,'TL18'!$J$238:$J$451),0),
IF('TL19'!$B$3=Q$3,SUMIF('TL19'!$C$10:$C$224,$C224,'TL19'!$J$10:$J$224),0),
IF('TL19'!$B$229=Q$3,SUMIF('TL19'!$C$238:$C$451,$C224,'TL19'!$J$238:$J$451),0)
),0)</f>
        <v>0</v>
      </c>
      <c r="R224" s="9">
        <f>IFERROR(
SUM(
SUMIF('TL01'!C:C,C224,'TL01'!J:J),
SUMIF('TL02'!C:C,C224,'TL02'!J:J),
SUMIF('TL03'!C:C,C224,'TL03'!J:J),
SUMIF('TL04'!C:C,C224,'TL04'!J:J),
SUMIF('TL05'!C:C,C224,'TL05'!J:J),
SUMIF('TL06'!C:C,C224,'TL06'!J:J),
SUMIF('TL07'!C:C,C224,'TL07'!J:J),
SUMIF('TL08'!C:C,C224,'TL08'!J:J),
SUMIF('TL09'!C:C,C224,'TL09'!J:J),
SUMIF('TL10'!C:C,C224,'TL10'!J:J),
SUMIF('TL11'!C:C,C224,'TL11'!J:J),
SUMIF('TL12'!C:C,C224,'TL12'!J:J),
SUMIF('TL13'!C:C,C224,'TL13'!J:J),
SUMIF('TL14'!C:C,C224,'TL14'!J:J),
SUMIF('TL15'!C:C,C224,'TL15'!J:J),
SUMIF('TL16'!C:C,C224,'TL16'!J:J),
SUMIF('TL17'!C:C,C224,'TL17'!J:J),
SUMIF('TL18'!C:C,C224,'TL18'!J:J),SUMIF('TL19'!C:C,C224,'TL19'!J:J))
,0)</f>
        <v>0</v>
      </c>
      <c r="S224" s="17">
        <f>IFERROR(__xludf.DUMMYFUNCTION("IFERROR(VLOOKUP(C224,
IMPORTRANGE(""1wULbzX32WdYsx-lj2U3uUNBBe2INVIRDtcK0d-Dvl90"",
""26-27!C:G""),
5,
FALSE),
"""")"),25.457459999999998)</f>
        <v>25.45746</v>
      </c>
      <c r="T224" s="9"/>
      <c r="U224" s="92">
        <f t="shared" si="2"/>
        <v>0</v>
      </c>
      <c r="V224" s="93">
        <f t="shared" si="3"/>
        <v>0</v>
      </c>
    </row>
    <row r="225" ht="15.75" hidden="1" customHeight="1">
      <c r="A225" s="94" t="s">
        <v>356</v>
      </c>
      <c r="B225" s="95" t="s">
        <v>2</v>
      </c>
      <c r="C225" s="96" t="s">
        <v>862</v>
      </c>
      <c r="D225" s="96" t="s">
        <v>863</v>
      </c>
      <c r="E225" s="96" t="s">
        <v>864</v>
      </c>
      <c r="F225" s="4" t="s">
        <v>392</v>
      </c>
      <c r="G225" s="90" t="str">
        <f t="shared" si="4"/>
        <v>📄 Ver bula</v>
      </c>
      <c r="H225" s="9">
        <f>IFERROR(__xludf.DUMMYFUNCTION("IFERROR(VLOOKUP(C225,
IMPORTRANGE(""1wULbzX32WdYsx-lj2U3uUNBBe2INVIRDtcK0d-Dvl90"",
""26-27!C:K""),
8,
FALSE),
"""")"),0.4)</f>
        <v>0.4</v>
      </c>
      <c r="I225" s="97" t="s">
        <v>344</v>
      </c>
      <c r="J225" s="9">
        <f>IFERROR(SUM(
IF('TL01'!$B$3=J$3,SUMIF('TL01'!$C$10:$C$224,$C225,'TL01'!$J$10:$J$224),0),
IF('TL01'!$B$229=J$3,SUMIF('TL01'!$C$238:$C$451,$C225,'TL01'!$J$238:$J$451),0),
IF('TL02'!$B$3=J$3,SUMIF('TL02'!$C$10:$C$224,$C225,'TL02'!$J$10:$J$224),0),
IF('TL02'!$B$229=J$3,SUMIF('TL02'!$C$238:$C$451,$C225,'TL02'!$J$238:$J$451),0),
IF('TL03'!$B$3=J$3,SUMIF('TL03'!$C$10:$C$224,$C225,'TL03'!$J$10:$J$224),0),
IF('TL03'!$B$229=J$3,SUMIF('TL03'!$C$238:$C$451,$C225,'TL03'!$J$238:$J$451),0),
IF('TL04'!$B$3=J$3,SUMIF('TL04'!$C$10:$C$224,$C225,'TL04'!$J$10:$J$224),0),
IF('TL04'!$B$229=J$3,SUMIF('TL04'!$C$238:$C$451,$C225,'TL04'!$J$238:$J$451),0),
IF('TL05'!$B$3=J$3,SUMIF('TL05'!$C$10:$C$224,$C225,'TL05'!$J$10:$J$224),0),
IF('TL05'!$B$229=J$3,SUMIF('TL05'!$C$238:$C$451,$C225,'TL05'!$J$238:$J$451),0),
IF('TL06'!$B$3=J$3,SUMIF('TL06'!$C$10:$C$224,$C225,'TL06'!$J$10:$J$224),0),
IF('TL06'!$B$229=J$3,SUMIF('TL06'!$C$238:$C$451,$C225,'TL06'!$J$238:$J$451),0),
IF('TL07'!$B$3=J$3,SUMIF('TL07'!$C$10:$C$224,$C225,'TL07'!$J$10:$J$224),0),
IF('TL07'!$B$229=J$3,SUMIF('TL07'!$C$238:$C$451,$C225,'TL07'!$J$238:$J$451),0),
IF('TL08'!$B$3=J$3,SUMIF('TL08'!$C$10:$C$224,$C225,'TL08'!$J$10:$J$224),0),
IF('TL08'!$B$229=J$3,SUMIF('TL08'!$C$238:$C$451,$C225,'TL08'!$J$238:$J$451),0),
IF('TL09'!$B$3=J$3,SUMIF('TL09'!$C$10:$C$224,$C225,'TL09'!$J$10:$J$224),0),
IF('TL09'!$B$229=J$3,SUMIF('TL09'!$C$238:$C$451,$C225,'TL09'!$J$238:$J$451),0),
IF('TL10'!$B$3=J$3,SUMIF('TL10'!$C$10:$C$224,$C225,'TL10'!$J$10:$J$224),0),
IF('TL10'!$B$229=J$3,SUMIF('TL10'!$C$238:$C$451,$C225,'TL10'!$J$238:$J$451),0),
IF('TL11'!$B$3=J$3,SUMIF('TL11'!$C$10:$C$224,$C225,'TL11'!$J$10:$J$224),0),
IF('TL11'!$B$229=J$3,SUMIF('TL11'!$C$238:$C$451,$C225,'TL11'!$J$238:$J$451),0),
IF('TL12'!$B$3=J$3,SUMIF('TL12'!$C$10:$C$224,$C225,'TL12'!$J$10:$J$224),0),
IF('TL12'!$B$229=J$3,SUMIF('TL12'!$C$238:$C$451,$C225,'TL12'!$J$238:$J$451),0),
IF('TL13'!$B$3=J$3,SUMIF('TL13'!$C$10:$C$224,$C225,'TL13'!$J$10:$J$224),0),
IF('TL13'!$B$229=J$3,SUMIF('TL13'!$C$238:$C$451,$C225,'TL13'!$J$238:$J$451),0),
IF('TL14'!$B$3=J$3,SUMIF('TL14'!$C$10:$C$224,$C225,'TL14'!$J$10:$J$224),0),
IF('TL14'!$B$229=J$3,SUMIF('TL14'!$C$238:$C$451,$C225,'TL14'!$J$238:$J$451),0),
IF('TL15'!$B$3=J$3,SUMIF('TL15'!$C$10:$C$224,$C225,'TL15'!$J$10:$J$224),0),
IF('TL15'!$B$229=J$3,SUMIF('TL15'!$C$238:$C$451,$C225,'TL15'!$J$238:$J$451),0),
IF('TL16'!$B$3=J$3,SUMIF('TL16'!$C$10:$C$224,$C225,'TL16'!$J$10:$J$224),0),
IF('TL16'!$B$229=J$3,SUMIF('TL16'!$C$238:$C$451,$C225,'TL16'!$J$238:$J$451),0),
IF('TL17'!$B$3=J$3,SUMIF('TL17'!$C$10:$C$224,$C225,'TL17'!$J$10:$J$224),0),
IF('TL17'!$B$229=J$3,SUMIF('TL17'!$C$238:$C$451,$C225,'TL17'!$J$238:$J$451),0),
IF('TL18'!$B$3=J$3,SUMIF('TL18'!$C$10:$C$224,$C225,'TL18'!$J$10:$J$224),0),
IF('TL18'!$B$229=J$3,SUMIF('TL18'!$C$238:$C$451,$C225,'TL18'!$J$238:$J$451),0),
IF('TL19'!$B$3=J$3,SUMIF('TL19'!$C$10:$C$224,$C225,'TL19'!$J$10:$J$224),0),
IF('TL19'!$B$229=J$3,SUMIF('TL19'!$C$238:$C$451,$C225,'TL19'!$J$238:$J$451),0)
),0)</f>
        <v>0</v>
      </c>
      <c r="K225" s="9">
        <f>IFERROR(SUM(
IF('TL01'!$B$3=K$3,SUMIF('TL01'!$C$10:$C$224,$C225,'TL01'!$J$10:$J$224),0),
IF('TL01'!$B$229=K$3,SUMIF('TL01'!$C$238:$C$451,$C225,'TL01'!$J$238:$J$451),0),
IF('TL02'!$B$3=K$3,SUMIF('TL02'!$C$10:$C$224,$C225,'TL02'!$J$10:$J$224),0),
IF('TL02'!$B$229=K$3,SUMIF('TL02'!$C$238:$C$451,$C225,'TL02'!$J$238:$J$451),0),
IF('TL03'!$B$3=K$3,SUMIF('TL03'!$C$10:$C$224,$C225,'TL03'!$J$10:$J$224),0),
IF('TL03'!$B$229=K$3,SUMIF('TL03'!$C$238:$C$451,$C225,'TL03'!$J$238:$J$451),0),
IF('TL04'!$B$3=K$3,SUMIF('TL04'!$C$10:$C$224,$C225,'TL04'!$J$10:$J$224),0),
IF('TL04'!$B$229=K$3,SUMIF('TL04'!$C$238:$C$451,$C225,'TL04'!$J$238:$J$451),0),
IF('TL05'!$B$3=K$3,SUMIF('TL05'!$C$10:$C$224,$C225,'TL05'!$J$10:$J$224),0),
IF('TL05'!$B$229=K$3,SUMIF('TL05'!$C$238:$C$451,$C225,'TL05'!$J$238:$J$451),0),
IF('TL06'!$B$3=K$3,SUMIF('TL06'!$C$10:$C$224,$C225,'TL06'!$J$10:$J$224),0),
IF('TL06'!$B$229=K$3,SUMIF('TL06'!$C$238:$C$451,$C225,'TL06'!$J$238:$J$451),0),
IF('TL07'!$B$3=K$3,SUMIF('TL07'!$C$10:$C$224,$C225,'TL07'!$J$10:$J$224),0),
IF('TL07'!$B$229=K$3,SUMIF('TL07'!$C$238:$C$451,$C225,'TL07'!$J$238:$J$451),0),
IF('TL08'!$B$3=K$3,SUMIF('TL08'!$C$10:$C$224,$C225,'TL08'!$J$10:$J$224),0),
IF('TL08'!$B$229=K$3,SUMIF('TL08'!$C$238:$C$451,$C225,'TL08'!$J$238:$J$451),0),
IF('TL09'!$B$3=K$3,SUMIF('TL09'!$C$10:$C$224,$C225,'TL09'!$J$10:$J$224),0),
IF('TL09'!$B$229=K$3,SUMIF('TL09'!$C$238:$C$451,$C225,'TL09'!$J$238:$J$451),0),
IF('TL10'!$B$3=K$3,SUMIF('TL10'!$C$10:$C$224,$C225,'TL10'!$J$10:$J$224),0),
IF('TL10'!$B$229=K$3,SUMIF('TL10'!$C$238:$C$451,$C225,'TL10'!$J$238:$J$451),0),
IF('TL11'!$B$3=K$3,SUMIF('TL11'!$C$10:$C$224,$C225,'TL11'!$J$10:$J$224),0),
IF('TL11'!$B$229=K$3,SUMIF('TL11'!$C$238:$C$451,$C225,'TL11'!$J$238:$J$451),0),
IF('TL12'!$B$3=K$3,SUMIF('TL12'!$C$10:$C$224,$C225,'TL12'!$J$10:$J$224),0),
IF('TL12'!$B$229=K$3,SUMIF('TL12'!$C$238:$C$451,$C225,'TL12'!$J$238:$J$451),0),
IF('TL13'!$B$3=K$3,SUMIF('TL13'!$C$10:$C$224,$C225,'TL13'!$J$10:$J$224),0),
IF('TL13'!$B$229=K$3,SUMIF('TL13'!$C$238:$C$451,$C225,'TL13'!$J$238:$J$451),0),
IF('TL14'!$B$3=K$3,SUMIF('TL14'!$C$10:$C$224,$C225,'TL14'!$J$10:$J$224),0),
IF('TL14'!$B$229=K$3,SUMIF('TL14'!$C$238:$C$451,$C225,'TL14'!$J$238:$J$451),0),
IF('TL15'!$B$3=K$3,SUMIF('TL15'!$C$10:$C$224,$C225,'TL15'!$J$10:$J$224),0),
IF('TL15'!$B$229=K$3,SUMIF('TL15'!$C$238:$C$451,$C225,'TL15'!$J$238:$J$451),0),
IF('TL16'!$B$3=K$3,SUMIF('TL16'!$C$10:$C$224,$C225,'TL16'!$J$10:$J$224),0),
IF('TL16'!$B$229=K$3,SUMIF('TL16'!$C$238:$C$451,$C225,'TL16'!$J$238:$J$451),0),
IF('TL17'!$B$3=K$3,SUMIF('TL17'!$C$10:$C$224,$C225,'TL17'!$J$10:$J$224),0),
IF('TL17'!$B$229=K$3,SUMIF('TL17'!$C$238:$C$451,$C225,'TL17'!$J$238:$J$451),0),
IF('TL18'!$B$3=K$3,SUMIF('TL18'!$C$10:$C$224,$C225,'TL18'!$J$10:$J$224),0),
IF('TL18'!$B$229=K$3,SUMIF('TL18'!$C$238:$C$451,$C225,'TL18'!$J$238:$J$451),0),
IF('TL19'!$B$3=K$3,SUMIF('TL19'!$C$10:$C$224,$C225,'TL19'!$J$10:$J$224),0),
IF('TL19'!$B$229=K$3,SUMIF('TL19'!$C$238:$C$451,$C225,'TL19'!$J$238:$J$451),0)
),0)</f>
        <v>0</v>
      </c>
      <c r="L225" s="9">
        <f>IFERROR(SUM(
IF('TL01'!$B$3=L$3,SUMIF('TL01'!$C$10:$C$224,$C225,'TL01'!$J$10:$J$224),0),
IF('TL01'!$B$229=L$3,SUMIF('TL01'!$C$238:$C$451,$C225,'TL01'!$J$238:$J$451),0),
IF('TL02'!$B$3=L$3,SUMIF('TL02'!$C$10:$C$224,$C225,'TL02'!$J$10:$J$224),0),
IF('TL02'!$B$229=L$3,SUMIF('TL02'!$C$238:$C$451,$C225,'TL02'!$J$238:$J$451),0),
IF('TL03'!$B$3=L$3,SUMIF('TL03'!$C$10:$C$224,$C225,'TL03'!$J$10:$J$224),0),
IF('TL03'!$B$229=L$3,SUMIF('TL03'!$C$238:$C$451,$C225,'TL03'!$J$238:$J$451),0),
IF('TL04'!$B$3=L$3,SUMIF('TL04'!$C$10:$C$224,$C225,'TL04'!$J$10:$J$224),0),
IF('TL04'!$B$229=L$3,SUMIF('TL04'!$C$238:$C$451,$C225,'TL04'!$J$238:$J$451),0),
IF('TL05'!$B$3=L$3,SUMIF('TL05'!$C$10:$C$224,$C225,'TL05'!$J$10:$J$224),0),
IF('TL05'!$B$229=L$3,SUMIF('TL05'!$C$238:$C$451,$C225,'TL05'!$J$238:$J$451),0),
IF('TL06'!$B$3=L$3,SUMIF('TL06'!$C$10:$C$224,$C225,'TL06'!$J$10:$J$224),0),
IF('TL06'!$B$229=L$3,SUMIF('TL06'!$C$238:$C$451,$C225,'TL06'!$J$238:$J$451),0),
IF('TL07'!$B$3=L$3,SUMIF('TL07'!$C$10:$C$224,$C225,'TL07'!$J$10:$J$224),0),
IF('TL07'!$B$229=L$3,SUMIF('TL07'!$C$238:$C$451,$C225,'TL07'!$J$238:$J$451),0),
IF('TL08'!$B$3=L$3,SUMIF('TL08'!$C$10:$C$224,$C225,'TL08'!$J$10:$J$224),0),
IF('TL08'!$B$229=L$3,SUMIF('TL08'!$C$238:$C$451,$C225,'TL08'!$J$238:$J$451),0),
IF('TL09'!$B$3=L$3,SUMIF('TL09'!$C$10:$C$224,$C225,'TL09'!$J$10:$J$224),0),
IF('TL09'!$B$229=L$3,SUMIF('TL09'!$C$238:$C$451,$C225,'TL09'!$J$238:$J$451),0),
IF('TL10'!$B$3=L$3,SUMIF('TL10'!$C$10:$C$224,$C225,'TL10'!$J$10:$J$224),0),
IF('TL10'!$B$229=L$3,SUMIF('TL10'!$C$238:$C$451,$C225,'TL10'!$J$238:$J$451),0),
IF('TL11'!$B$3=L$3,SUMIF('TL11'!$C$10:$C$224,$C225,'TL11'!$J$10:$J$224),0),
IF('TL11'!$B$229=L$3,SUMIF('TL11'!$C$238:$C$451,$C225,'TL11'!$J$238:$J$451),0),
IF('TL12'!$B$3=L$3,SUMIF('TL12'!$C$10:$C$224,$C225,'TL12'!$J$10:$J$224),0),
IF('TL12'!$B$229=L$3,SUMIF('TL12'!$C$238:$C$451,$C225,'TL12'!$J$238:$J$451),0),
IF('TL13'!$B$3=L$3,SUMIF('TL13'!$C$10:$C$224,$C225,'TL13'!$J$10:$J$224),0),
IF('TL13'!$B$229=L$3,SUMIF('TL13'!$C$238:$C$451,$C225,'TL13'!$J$238:$J$451),0),
IF('TL14'!$B$3=L$3,SUMIF('TL14'!$C$10:$C$224,$C225,'TL14'!$J$10:$J$224),0),
IF('TL14'!$B$229=L$3,SUMIF('TL14'!$C$238:$C$451,$C225,'TL14'!$J$238:$J$451),0),
IF('TL15'!$B$3=L$3,SUMIF('TL15'!$C$10:$C$224,$C225,'TL15'!$J$10:$J$224),0),
IF('TL15'!$B$229=L$3,SUMIF('TL15'!$C$238:$C$451,$C225,'TL15'!$J$238:$J$451),0),
IF('TL16'!$B$3=L$3,SUMIF('TL16'!$C$10:$C$224,$C225,'TL16'!$J$10:$J$224),0),
IF('TL16'!$B$229=L$3,SUMIF('TL16'!$C$238:$C$451,$C225,'TL16'!$J$238:$J$451),0),
IF('TL17'!$B$3=L$3,SUMIF('TL17'!$C$10:$C$224,$C225,'TL17'!$J$10:$J$224),0),
IF('TL17'!$B$229=L$3,SUMIF('TL17'!$C$238:$C$451,$C225,'TL17'!$J$238:$J$451),0),
IF('TL18'!$B$3=L$3,SUMIF('TL18'!$C$10:$C$224,$C225,'TL18'!$J$10:$J$224),0),
IF('TL18'!$B$229=L$3,SUMIF('TL18'!$C$238:$C$451,$C225,'TL18'!$J$238:$J$451),0),
IF('TL19'!$B$3=L$3,SUMIF('TL19'!$C$10:$C$224,$C225,'TL19'!$J$10:$J$224),0),
IF('TL19'!$B$229=L$3,SUMIF('TL19'!$C$238:$C$451,$C225,'TL19'!$J$238:$J$451),0)
),0)</f>
        <v>0</v>
      </c>
      <c r="M225" s="9">
        <f>IFERROR(SUM(
IF('TL01'!$B$3=M$3,SUMIF('TL01'!$C$10:$C$224,$C225,'TL01'!$J$10:$J$224),0),
IF('TL01'!$B$229=M$3,SUMIF('TL01'!$C$238:$C$451,$C225,'TL01'!$J$238:$J$451),0),
IF('TL02'!$B$3=M$3,SUMIF('TL02'!$C$10:$C$224,$C225,'TL02'!$J$10:$J$224),0),
IF('TL02'!$B$229=M$3,SUMIF('TL02'!$C$238:$C$451,$C225,'TL02'!$J$238:$J$451),0),
IF('TL03'!$B$3=M$3,SUMIF('TL03'!$C$10:$C$224,$C225,'TL03'!$J$10:$J$224),0),
IF('TL03'!$B$229=M$3,SUMIF('TL03'!$C$238:$C$451,$C225,'TL03'!$J$238:$J$451),0),
IF('TL04'!$B$3=M$3,SUMIF('TL04'!$C$10:$C$224,$C225,'TL04'!$J$10:$J$224),0),
IF('TL04'!$B$229=M$3,SUMIF('TL04'!$C$238:$C$451,$C225,'TL04'!$J$238:$J$451),0),
IF('TL05'!$B$3=M$3,SUMIF('TL05'!$C$10:$C$224,$C225,'TL05'!$J$10:$J$224),0),
IF('TL05'!$B$229=M$3,SUMIF('TL05'!$C$238:$C$451,$C225,'TL05'!$J$238:$J$451),0),
IF('TL06'!$B$3=M$3,SUMIF('TL06'!$C$10:$C$224,$C225,'TL06'!$J$10:$J$224),0),
IF('TL06'!$B$229=M$3,SUMIF('TL06'!$C$238:$C$451,$C225,'TL06'!$J$238:$J$451),0),
IF('TL07'!$B$3=M$3,SUMIF('TL07'!$C$10:$C$224,$C225,'TL07'!$J$10:$J$224),0),
IF('TL07'!$B$229=M$3,SUMIF('TL07'!$C$238:$C$451,$C225,'TL07'!$J$238:$J$451),0),
IF('TL08'!$B$3=M$3,SUMIF('TL08'!$C$10:$C$224,$C225,'TL08'!$J$10:$J$224),0),
IF('TL08'!$B$229=M$3,SUMIF('TL08'!$C$238:$C$451,$C225,'TL08'!$J$238:$J$451),0),
IF('TL09'!$B$3=M$3,SUMIF('TL09'!$C$10:$C$224,$C225,'TL09'!$J$10:$J$224),0),
IF('TL09'!$B$229=M$3,SUMIF('TL09'!$C$238:$C$451,$C225,'TL09'!$J$238:$J$451),0),
IF('TL10'!$B$3=M$3,SUMIF('TL10'!$C$10:$C$224,$C225,'TL10'!$J$10:$J$224),0),
IF('TL10'!$B$229=M$3,SUMIF('TL10'!$C$238:$C$451,$C225,'TL10'!$J$238:$J$451),0),
IF('TL11'!$B$3=M$3,SUMIF('TL11'!$C$10:$C$224,$C225,'TL11'!$J$10:$J$224),0),
IF('TL11'!$B$229=M$3,SUMIF('TL11'!$C$238:$C$451,$C225,'TL11'!$J$238:$J$451),0),
IF('TL12'!$B$3=M$3,SUMIF('TL12'!$C$10:$C$224,$C225,'TL12'!$J$10:$J$224),0),
IF('TL12'!$B$229=M$3,SUMIF('TL12'!$C$238:$C$451,$C225,'TL12'!$J$238:$J$451),0),
IF('TL13'!$B$3=M$3,SUMIF('TL13'!$C$10:$C$224,$C225,'TL13'!$J$10:$J$224),0),
IF('TL13'!$B$229=M$3,SUMIF('TL13'!$C$238:$C$451,$C225,'TL13'!$J$238:$J$451),0),
IF('TL14'!$B$3=M$3,SUMIF('TL14'!$C$10:$C$224,$C225,'TL14'!$J$10:$J$224),0),
IF('TL14'!$B$229=M$3,SUMIF('TL14'!$C$238:$C$451,$C225,'TL14'!$J$238:$J$451),0),
IF('TL15'!$B$3=M$3,SUMIF('TL15'!$C$10:$C$224,$C225,'TL15'!$J$10:$J$224),0),
IF('TL15'!$B$229=M$3,SUMIF('TL15'!$C$238:$C$451,$C225,'TL15'!$J$238:$J$451),0),
IF('TL16'!$B$3=M$3,SUMIF('TL16'!$C$10:$C$224,$C225,'TL16'!$J$10:$J$224),0),
IF('TL16'!$B$229=M$3,SUMIF('TL16'!$C$238:$C$451,$C225,'TL16'!$J$238:$J$451),0),
IF('TL17'!$B$3=M$3,SUMIF('TL17'!$C$10:$C$224,$C225,'TL17'!$J$10:$J$224),0),
IF('TL17'!$B$229=M$3,SUMIF('TL17'!$C$238:$C$451,$C225,'TL17'!$J$238:$J$451),0),
IF('TL18'!$B$3=M$3,SUMIF('TL18'!$C$10:$C$224,$C225,'TL18'!$J$10:$J$224),0),
IF('TL18'!$B$229=M$3,SUMIF('TL18'!$C$238:$C$451,$C225,'TL18'!$J$238:$J$451),0),
IF('TL19'!$B$3=M$3,SUMIF('TL19'!$C$10:$C$224,$C225,'TL19'!$J$10:$J$224),0),
IF('TL19'!$B$229=M$3,SUMIF('TL19'!$C$238:$C$451,$C225,'TL19'!$J$238:$J$451),0)
),0)</f>
        <v>0</v>
      </c>
      <c r="N225" s="9">
        <f>IFERROR(SUM(
IF('TL01'!$B$3=N$3,SUMIF('TL01'!$C$10:$C$224,$C225,'TL01'!$J$10:$J$224),0),
IF('TL01'!$B$229=N$3,SUMIF('TL01'!$C$238:$C$451,$C225,'TL01'!$J$238:$J$451),0),
IF('TL02'!$B$3=N$3,SUMIF('TL02'!$C$10:$C$224,$C225,'TL02'!$J$10:$J$224),0),
IF('TL02'!$B$229=N$3,SUMIF('TL02'!$C$238:$C$451,$C225,'TL02'!$J$238:$J$451),0),
IF('TL03'!$B$3=N$3,SUMIF('TL03'!$C$10:$C$224,$C225,'TL03'!$J$10:$J$224),0),
IF('TL03'!$B$229=N$3,SUMIF('TL03'!$C$238:$C$451,$C225,'TL03'!$J$238:$J$451),0),
IF('TL04'!$B$3=N$3,SUMIF('TL04'!$C$10:$C$224,$C225,'TL04'!$J$10:$J$224),0),
IF('TL04'!$B$229=N$3,SUMIF('TL04'!$C$238:$C$451,$C225,'TL04'!$J$238:$J$451),0),
IF('TL05'!$B$3=N$3,SUMIF('TL05'!$C$10:$C$224,$C225,'TL05'!$J$10:$J$224),0),
IF('TL05'!$B$229=N$3,SUMIF('TL05'!$C$238:$C$451,$C225,'TL05'!$J$238:$J$451),0),
IF('TL06'!$B$3=N$3,SUMIF('TL06'!$C$10:$C$224,$C225,'TL06'!$J$10:$J$224),0),
IF('TL06'!$B$229=N$3,SUMIF('TL06'!$C$238:$C$451,$C225,'TL06'!$J$238:$J$451),0),
IF('TL07'!$B$3=N$3,SUMIF('TL07'!$C$10:$C$224,$C225,'TL07'!$J$10:$J$224),0),
IF('TL07'!$B$229=N$3,SUMIF('TL07'!$C$238:$C$451,$C225,'TL07'!$J$238:$J$451),0),
IF('TL08'!$B$3=N$3,SUMIF('TL08'!$C$10:$C$224,$C225,'TL08'!$J$10:$J$224),0),
IF('TL08'!$B$229=N$3,SUMIF('TL08'!$C$238:$C$451,$C225,'TL08'!$J$238:$J$451),0),
IF('TL09'!$B$3=N$3,SUMIF('TL09'!$C$10:$C$224,$C225,'TL09'!$J$10:$J$224),0),
IF('TL09'!$B$229=N$3,SUMIF('TL09'!$C$238:$C$451,$C225,'TL09'!$J$238:$J$451),0),
IF('TL10'!$B$3=N$3,SUMIF('TL10'!$C$10:$C$224,$C225,'TL10'!$J$10:$J$224),0),
IF('TL10'!$B$229=N$3,SUMIF('TL10'!$C$238:$C$451,$C225,'TL10'!$J$238:$J$451),0),
IF('TL11'!$B$3=N$3,SUMIF('TL11'!$C$10:$C$224,$C225,'TL11'!$J$10:$J$224),0),
IF('TL11'!$B$229=N$3,SUMIF('TL11'!$C$238:$C$451,$C225,'TL11'!$J$238:$J$451),0),
IF('TL12'!$B$3=N$3,SUMIF('TL12'!$C$10:$C$224,$C225,'TL12'!$J$10:$J$224),0),
IF('TL12'!$B$229=N$3,SUMIF('TL12'!$C$238:$C$451,$C225,'TL12'!$J$238:$J$451),0),
IF('TL13'!$B$3=N$3,SUMIF('TL13'!$C$10:$C$224,$C225,'TL13'!$J$10:$J$224),0),
IF('TL13'!$B$229=N$3,SUMIF('TL13'!$C$238:$C$451,$C225,'TL13'!$J$238:$J$451),0),
IF('TL14'!$B$3=N$3,SUMIF('TL14'!$C$10:$C$224,$C225,'TL14'!$J$10:$J$224),0),
IF('TL14'!$B$229=N$3,SUMIF('TL14'!$C$238:$C$451,$C225,'TL14'!$J$238:$J$451),0),
IF('TL15'!$B$3=N$3,SUMIF('TL15'!$C$10:$C$224,$C225,'TL15'!$J$10:$J$224),0),
IF('TL15'!$B$229=N$3,SUMIF('TL15'!$C$238:$C$451,$C225,'TL15'!$J$238:$J$451),0),
IF('TL16'!$B$3=N$3,SUMIF('TL16'!$C$10:$C$224,$C225,'TL16'!$J$10:$J$224),0),
IF('TL16'!$B$229=N$3,SUMIF('TL16'!$C$238:$C$451,$C225,'TL16'!$J$238:$J$451),0),
IF('TL17'!$B$3=N$3,SUMIF('TL17'!$C$10:$C$224,$C225,'TL17'!$J$10:$J$224),0),
IF('TL17'!$B$229=N$3,SUMIF('TL17'!$C$238:$C$451,$C225,'TL17'!$J$238:$J$451),0),
IF('TL18'!$B$3=N$3,SUMIF('TL18'!$C$10:$C$224,$C225,'TL18'!$J$10:$J$224),0),
IF('TL18'!$B$229=N$3,SUMIF('TL18'!$C$238:$C$451,$C225,'TL18'!$J$238:$J$451),0),
IF('TL19'!$B$3=N$3,SUMIF('TL19'!$C$10:$C$224,$C225,'TL19'!$J$10:$J$224),0),
IF('TL19'!$B$229=N$3,SUMIF('TL19'!$C$238:$C$451,$C225,'TL19'!$J$238:$J$451),0)
),0)</f>
        <v>0</v>
      </c>
      <c r="O225" s="9">
        <f>IFERROR(SUM(
IF('TL01'!$B$3=O$3,SUMIF('TL01'!$C$10:$C$224,$C225,'TL01'!$J$10:$J$224),0),
IF('TL01'!$B$229=O$3,SUMIF('TL01'!$C$238:$C$451,$C225,'TL01'!$J$238:$J$451),0),
IF('TL02'!$B$3=O$3,SUMIF('TL02'!$C$10:$C$224,$C225,'TL02'!$J$10:$J$224),0),
IF('TL02'!$B$229=O$3,SUMIF('TL02'!$C$238:$C$451,$C225,'TL02'!$J$238:$J$451),0),
IF('TL03'!$B$3=O$3,SUMIF('TL03'!$C$10:$C$224,$C225,'TL03'!$J$10:$J$224),0),
IF('TL03'!$B$229=O$3,SUMIF('TL03'!$C$238:$C$451,$C225,'TL03'!$J$238:$J$451),0),
IF('TL04'!$B$3=O$3,SUMIF('TL04'!$C$10:$C$224,$C225,'TL04'!$J$10:$J$224),0),
IF('TL04'!$B$229=O$3,SUMIF('TL04'!$C$238:$C$451,$C225,'TL04'!$J$238:$J$451),0),
IF('TL05'!$B$3=O$3,SUMIF('TL05'!$C$10:$C$224,$C225,'TL05'!$J$10:$J$224),0),
IF('TL05'!$B$229=O$3,SUMIF('TL05'!$C$238:$C$451,$C225,'TL05'!$J$238:$J$451),0),
IF('TL06'!$B$3=O$3,SUMIF('TL06'!$C$10:$C$224,$C225,'TL06'!$J$10:$J$224),0),
IF('TL06'!$B$229=O$3,SUMIF('TL06'!$C$238:$C$451,$C225,'TL06'!$J$238:$J$451),0),
IF('TL07'!$B$3=O$3,SUMIF('TL07'!$C$10:$C$224,$C225,'TL07'!$J$10:$J$224),0),
IF('TL07'!$B$229=O$3,SUMIF('TL07'!$C$238:$C$451,$C225,'TL07'!$J$238:$J$451),0),
IF('TL08'!$B$3=O$3,SUMIF('TL08'!$C$10:$C$224,$C225,'TL08'!$J$10:$J$224),0),
IF('TL08'!$B$229=O$3,SUMIF('TL08'!$C$238:$C$451,$C225,'TL08'!$J$238:$J$451),0),
IF('TL09'!$B$3=O$3,SUMIF('TL09'!$C$10:$C$224,$C225,'TL09'!$J$10:$J$224),0),
IF('TL09'!$B$229=O$3,SUMIF('TL09'!$C$238:$C$451,$C225,'TL09'!$J$238:$J$451),0),
IF('TL10'!$B$3=O$3,SUMIF('TL10'!$C$10:$C$224,$C225,'TL10'!$J$10:$J$224),0),
IF('TL10'!$B$229=O$3,SUMIF('TL10'!$C$238:$C$451,$C225,'TL10'!$J$238:$J$451),0),
IF('TL11'!$B$3=O$3,SUMIF('TL11'!$C$10:$C$224,$C225,'TL11'!$J$10:$J$224),0),
IF('TL11'!$B$229=O$3,SUMIF('TL11'!$C$238:$C$451,$C225,'TL11'!$J$238:$J$451),0),
IF('TL12'!$B$3=O$3,SUMIF('TL12'!$C$10:$C$224,$C225,'TL12'!$J$10:$J$224),0),
IF('TL12'!$B$229=O$3,SUMIF('TL12'!$C$238:$C$451,$C225,'TL12'!$J$238:$J$451),0),
IF('TL13'!$B$3=O$3,SUMIF('TL13'!$C$10:$C$224,$C225,'TL13'!$J$10:$J$224),0),
IF('TL13'!$B$229=O$3,SUMIF('TL13'!$C$238:$C$451,$C225,'TL13'!$J$238:$J$451),0),
IF('TL14'!$B$3=O$3,SUMIF('TL14'!$C$10:$C$224,$C225,'TL14'!$J$10:$J$224),0),
IF('TL14'!$B$229=O$3,SUMIF('TL14'!$C$238:$C$451,$C225,'TL14'!$J$238:$J$451),0),
IF('TL15'!$B$3=O$3,SUMIF('TL15'!$C$10:$C$224,$C225,'TL15'!$J$10:$J$224),0),
IF('TL15'!$B$229=O$3,SUMIF('TL15'!$C$238:$C$451,$C225,'TL15'!$J$238:$J$451),0),
IF('TL16'!$B$3=O$3,SUMIF('TL16'!$C$10:$C$224,$C225,'TL16'!$J$10:$J$224),0),
IF('TL16'!$B$229=O$3,SUMIF('TL16'!$C$238:$C$451,$C225,'TL16'!$J$238:$J$451),0),
IF('TL17'!$B$3=O$3,SUMIF('TL17'!$C$10:$C$224,$C225,'TL17'!$J$10:$J$224),0),
IF('TL17'!$B$229=O$3,SUMIF('TL17'!$C$238:$C$451,$C225,'TL17'!$J$238:$J$451),0),
IF('TL18'!$B$3=O$3,SUMIF('TL18'!$C$10:$C$224,$C225,'TL18'!$J$10:$J$224),0),
IF('TL18'!$B$229=O$3,SUMIF('TL18'!$C$238:$C$451,$C225,'TL18'!$J$238:$J$451),0),
IF('TL19'!$B$3=O$3,SUMIF('TL19'!$C$10:$C$224,$C225,'TL19'!$J$10:$J$224),0),
IF('TL19'!$B$229=O$3,SUMIF('TL19'!$C$238:$C$451,$C225,'TL19'!$J$238:$J$451),0)
),0)</f>
        <v>0</v>
      </c>
      <c r="P225" s="9">
        <f>IFERROR(SUM(
IF('TL01'!$B$3=P$3,SUMIF('TL01'!$C$10:$C$224,$C225,'TL01'!$J$10:$J$224),0),
IF('TL01'!$B$229=P$3,SUMIF('TL01'!$C$238:$C$451,$C225,'TL01'!$J$238:$J$451),0),
IF('TL02'!$B$3=P$3,SUMIF('TL02'!$C$10:$C$224,$C225,'TL02'!$J$10:$J$224),0),
IF('TL02'!$B$229=P$3,SUMIF('TL02'!$C$238:$C$451,$C225,'TL02'!$J$238:$J$451),0),
IF('TL03'!$B$3=P$3,SUMIF('TL03'!$C$10:$C$224,$C225,'TL03'!$J$10:$J$224),0),
IF('TL03'!$B$229=P$3,SUMIF('TL03'!$C$238:$C$451,$C225,'TL03'!$J$238:$J$451),0),
IF('TL04'!$B$3=P$3,SUMIF('TL04'!$C$10:$C$224,$C225,'TL04'!$J$10:$J$224),0),
IF('TL04'!$B$229=P$3,SUMIF('TL04'!$C$238:$C$451,$C225,'TL04'!$J$238:$J$451),0),
IF('TL05'!$B$3=P$3,SUMIF('TL05'!$C$10:$C$224,$C225,'TL05'!$J$10:$J$224),0),
IF('TL05'!$B$229=P$3,SUMIF('TL05'!$C$238:$C$451,$C225,'TL05'!$J$238:$J$451),0),
IF('TL06'!$B$3=P$3,SUMIF('TL06'!$C$10:$C$224,$C225,'TL06'!$J$10:$J$224),0),
IF('TL06'!$B$229=P$3,SUMIF('TL06'!$C$238:$C$451,$C225,'TL06'!$J$238:$J$451),0),
IF('TL07'!$B$3=P$3,SUMIF('TL07'!$C$10:$C$224,$C225,'TL07'!$J$10:$J$224),0),
IF('TL07'!$B$229=P$3,SUMIF('TL07'!$C$238:$C$451,$C225,'TL07'!$J$238:$J$451),0),
IF('TL08'!$B$3=P$3,SUMIF('TL08'!$C$10:$C$224,$C225,'TL08'!$J$10:$J$224),0),
IF('TL08'!$B$229=P$3,SUMIF('TL08'!$C$238:$C$451,$C225,'TL08'!$J$238:$J$451),0),
IF('TL09'!$B$3=P$3,SUMIF('TL09'!$C$10:$C$224,$C225,'TL09'!$J$10:$J$224),0),
IF('TL09'!$B$229=P$3,SUMIF('TL09'!$C$238:$C$451,$C225,'TL09'!$J$238:$J$451),0),
IF('TL10'!$B$3=P$3,SUMIF('TL10'!$C$10:$C$224,$C225,'TL10'!$J$10:$J$224),0),
IF('TL10'!$B$229=P$3,SUMIF('TL10'!$C$238:$C$451,$C225,'TL10'!$J$238:$J$451),0),
IF('TL11'!$B$3=P$3,SUMIF('TL11'!$C$10:$C$224,$C225,'TL11'!$J$10:$J$224),0),
IF('TL11'!$B$229=P$3,SUMIF('TL11'!$C$238:$C$451,$C225,'TL11'!$J$238:$J$451),0),
IF('TL12'!$B$3=P$3,SUMIF('TL12'!$C$10:$C$224,$C225,'TL12'!$J$10:$J$224),0),
IF('TL12'!$B$229=P$3,SUMIF('TL12'!$C$238:$C$451,$C225,'TL12'!$J$238:$J$451),0),
IF('TL13'!$B$3=P$3,SUMIF('TL13'!$C$10:$C$224,$C225,'TL13'!$J$10:$J$224),0),
IF('TL13'!$B$229=P$3,SUMIF('TL13'!$C$238:$C$451,$C225,'TL13'!$J$238:$J$451),0),
IF('TL14'!$B$3=P$3,SUMIF('TL14'!$C$10:$C$224,$C225,'TL14'!$J$10:$J$224),0),
IF('TL14'!$B$229=P$3,SUMIF('TL14'!$C$238:$C$451,$C225,'TL14'!$J$238:$J$451),0),
IF('TL15'!$B$3=P$3,SUMIF('TL15'!$C$10:$C$224,$C225,'TL15'!$J$10:$J$224),0),
IF('TL15'!$B$229=P$3,SUMIF('TL15'!$C$238:$C$451,$C225,'TL15'!$J$238:$J$451),0),
IF('TL16'!$B$3=P$3,SUMIF('TL16'!$C$10:$C$224,$C225,'TL16'!$J$10:$J$224),0),
IF('TL16'!$B$229=P$3,SUMIF('TL16'!$C$238:$C$451,$C225,'TL16'!$J$238:$J$451),0),
IF('TL17'!$B$3=P$3,SUMIF('TL17'!$C$10:$C$224,$C225,'TL17'!$J$10:$J$224),0),
IF('TL17'!$B$229=P$3,SUMIF('TL17'!$C$238:$C$451,$C225,'TL17'!$J$238:$J$451),0),
IF('TL18'!$B$3=P$3,SUMIF('TL18'!$C$10:$C$224,$C225,'TL18'!$J$10:$J$224),0),
IF('TL18'!$B$229=P$3,SUMIF('TL18'!$C$238:$C$451,$C225,'TL18'!$J$238:$J$451),0),
IF('TL19'!$B$3=P$3,SUMIF('TL19'!$C$10:$C$224,$C225,'TL19'!$J$10:$J$224),0),
IF('TL19'!$B$229=P$3,SUMIF('TL19'!$C$238:$C$451,$C225,'TL19'!$J$238:$J$451),0)
),0)</f>
        <v>0</v>
      </c>
      <c r="Q225" s="9">
        <f>IFERROR(SUM(
IF('TL01'!$B$3=Q$3,SUMIF('TL01'!$C$10:$C$224,$C225,'TL01'!$J$10:$J$224),0),
IF('TL01'!$B$229=Q$3,SUMIF('TL01'!$C$238:$C$451,$C225,'TL01'!$J$238:$J$451),0),
IF('TL02'!$B$3=Q$3,SUMIF('TL02'!$C$10:$C$224,$C225,'TL02'!$J$10:$J$224),0),
IF('TL02'!$B$229=Q$3,SUMIF('TL02'!$C$238:$C$451,$C225,'TL02'!$J$238:$J$451),0),
IF('TL03'!$B$3=Q$3,SUMIF('TL03'!$C$10:$C$224,$C225,'TL03'!$J$10:$J$224),0),
IF('TL03'!$B$229=Q$3,SUMIF('TL03'!$C$238:$C$451,$C225,'TL03'!$J$238:$J$451),0),
IF('TL04'!$B$3=Q$3,SUMIF('TL04'!$C$10:$C$224,$C225,'TL04'!$J$10:$J$224),0),
IF('TL04'!$B$229=Q$3,SUMIF('TL04'!$C$238:$C$451,$C225,'TL04'!$J$238:$J$451),0),
IF('TL05'!$B$3=Q$3,SUMIF('TL05'!$C$10:$C$224,$C225,'TL05'!$J$10:$J$224),0),
IF('TL05'!$B$229=Q$3,SUMIF('TL05'!$C$238:$C$451,$C225,'TL05'!$J$238:$J$451),0),
IF('TL06'!$B$3=Q$3,SUMIF('TL06'!$C$10:$C$224,$C225,'TL06'!$J$10:$J$224),0),
IF('TL06'!$B$229=Q$3,SUMIF('TL06'!$C$238:$C$451,$C225,'TL06'!$J$238:$J$451),0),
IF('TL07'!$B$3=Q$3,SUMIF('TL07'!$C$10:$C$224,$C225,'TL07'!$J$10:$J$224),0),
IF('TL07'!$B$229=Q$3,SUMIF('TL07'!$C$238:$C$451,$C225,'TL07'!$J$238:$J$451),0),
IF('TL08'!$B$3=Q$3,SUMIF('TL08'!$C$10:$C$224,$C225,'TL08'!$J$10:$J$224),0),
IF('TL08'!$B$229=Q$3,SUMIF('TL08'!$C$238:$C$451,$C225,'TL08'!$J$238:$J$451),0),
IF('TL09'!$B$3=Q$3,SUMIF('TL09'!$C$10:$C$224,$C225,'TL09'!$J$10:$J$224),0),
IF('TL09'!$B$229=Q$3,SUMIF('TL09'!$C$238:$C$451,$C225,'TL09'!$J$238:$J$451),0),
IF('TL10'!$B$3=Q$3,SUMIF('TL10'!$C$10:$C$224,$C225,'TL10'!$J$10:$J$224),0),
IF('TL10'!$B$229=Q$3,SUMIF('TL10'!$C$238:$C$451,$C225,'TL10'!$J$238:$J$451),0),
IF('TL11'!$B$3=Q$3,SUMIF('TL11'!$C$10:$C$224,$C225,'TL11'!$J$10:$J$224),0),
IF('TL11'!$B$229=Q$3,SUMIF('TL11'!$C$238:$C$451,$C225,'TL11'!$J$238:$J$451),0),
IF('TL12'!$B$3=Q$3,SUMIF('TL12'!$C$10:$C$224,$C225,'TL12'!$J$10:$J$224),0),
IF('TL12'!$B$229=Q$3,SUMIF('TL12'!$C$238:$C$451,$C225,'TL12'!$J$238:$J$451),0),
IF('TL13'!$B$3=Q$3,SUMIF('TL13'!$C$10:$C$224,$C225,'TL13'!$J$10:$J$224),0),
IF('TL13'!$B$229=Q$3,SUMIF('TL13'!$C$238:$C$451,$C225,'TL13'!$J$238:$J$451),0),
IF('TL14'!$B$3=Q$3,SUMIF('TL14'!$C$10:$C$224,$C225,'TL14'!$J$10:$J$224),0),
IF('TL14'!$B$229=Q$3,SUMIF('TL14'!$C$238:$C$451,$C225,'TL14'!$J$238:$J$451),0),
IF('TL15'!$B$3=Q$3,SUMIF('TL15'!$C$10:$C$224,$C225,'TL15'!$J$10:$J$224),0),
IF('TL15'!$B$229=Q$3,SUMIF('TL15'!$C$238:$C$451,$C225,'TL15'!$J$238:$J$451),0),
IF('TL16'!$B$3=Q$3,SUMIF('TL16'!$C$10:$C$224,$C225,'TL16'!$J$10:$J$224),0),
IF('TL16'!$B$229=Q$3,SUMIF('TL16'!$C$238:$C$451,$C225,'TL16'!$J$238:$J$451),0),
IF('TL17'!$B$3=Q$3,SUMIF('TL17'!$C$10:$C$224,$C225,'TL17'!$J$10:$J$224),0),
IF('TL17'!$B$229=Q$3,SUMIF('TL17'!$C$238:$C$451,$C225,'TL17'!$J$238:$J$451),0),
IF('TL18'!$B$3=Q$3,SUMIF('TL18'!$C$10:$C$224,$C225,'TL18'!$J$10:$J$224),0),
IF('TL18'!$B$229=Q$3,SUMIF('TL18'!$C$238:$C$451,$C225,'TL18'!$J$238:$J$451),0),
IF('TL19'!$B$3=Q$3,SUMIF('TL19'!$C$10:$C$224,$C225,'TL19'!$J$10:$J$224),0),
IF('TL19'!$B$229=Q$3,SUMIF('TL19'!$C$238:$C$451,$C225,'TL19'!$J$238:$J$451),0)
),0)</f>
        <v>0</v>
      </c>
      <c r="R225" s="9">
        <f>IFERROR(
SUM(
SUMIF('TL01'!C:C,C225,'TL01'!J:J),
SUMIF('TL02'!C:C,C225,'TL02'!J:J),
SUMIF('TL03'!C:C,C225,'TL03'!J:J),
SUMIF('TL04'!C:C,C225,'TL04'!J:J),
SUMIF('TL05'!C:C,C225,'TL05'!J:J),
SUMIF('TL06'!C:C,C225,'TL06'!J:J),
SUMIF('TL07'!C:C,C225,'TL07'!J:J),
SUMIF('TL08'!C:C,C225,'TL08'!J:J),
SUMIF('TL09'!C:C,C225,'TL09'!J:J),
SUMIF('TL10'!C:C,C225,'TL10'!J:J),
SUMIF('TL11'!C:C,C225,'TL11'!J:J),
SUMIF('TL12'!C:C,C225,'TL12'!J:J),
SUMIF('TL13'!C:C,C225,'TL13'!J:J),
SUMIF('TL14'!C:C,C225,'TL14'!J:J),
SUMIF('TL15'!C:C,C225,'TL15'!J:J),
SUMIF('TL16'!C:C,C225,'TL16'!J:J),
SUMIF('TL17'!C:C,C225,'TL17'!J:J),
SUMIF('TL18'!C:C,C225,'TL18'!J:J),SUMIF('TL19'!C:C,C225,'TL19'!J:J))
,0)</f>
        <v>0</v>
      </c>
      <c r="S225" s="17">
        <f>IFERROR(__xludf.DUMMYFUNCTION("IFERROR(VLOOKUP(C225,
IMPORTRANGE(""1wULbzX32WdYsx-lj2U3uUNBBe2INVIRDtcK0d-Dvl90"",
""26-27!C:G""),
5,
FALSE),
"""")"),76.26104999999998)</f>
        <v>76.26105</v>
      </c>
      <c r="T225" s="9"/>
      <c r="U225" s="92">
        <f t="shared" si="2"/>
        <v>0</v>
      </c>
      <c r="V225" s="93">
        <f t="shared" si="3"/>
        <v>0</v>
      </c>
    </row>
    <row r="226" ht="15.75" hidden="1" customHeight="1">
      <c r="A226" s="87" t="s">
        <v>356</v>
      </c>
      <c r="B226" s="88" t="s">
        <v>2</v>
      </c>
      <c r="C226" s="89" t="s">
        <v>865</v>
      </c>
      <c r="D226" s="89" t="s">
        <v>866</v>
      </c>
      <c r="E226" s="89" t="s">
        <v>867</v>
      </c>
      <c r="F226" s="4" t="s">
        <v>343</v>
      </c>
      <c r="G226" s="90" t="str">
        <f t="shared" si="4"/>
        <v>📄 Ver bula</v>
      </c>
      <c r="H226" s="9">
        <f>IFERROR(__xludf.DUMMYFUNCTION("IFERROR(VLOOKUP(C226,
IMPORTRANGE(""1wULbzX32WdYsx-lj2U3uUNBBe2INVIRDtcK0d-Dvl90"",
""26-27!C:K""),
8,
FALSE),
"""")"),0.4)</f>
        <v>0.4</v>
      </c>
      <c r="I226" s="91" t="s">
        <v>344</v>
      </c>
      <c r="J226" s="9">
        <f>IFERROR(SUM(
IF('TL01'!$B$3=J$3,SUMIF('TL01'!$C$10:$C$224,$C226,'TL01'!$J$10:$J$224),0),
IF('TL01'!$B$229=J$3,SUMIF('TL01'!$C$238:$C$451,$C226,'TL01'!$J$238:$J$451),0),
IF('TL02'!$B$3=J$3,SUMIF('TL02'!$C$10:$C$224,$C226,'TL02'!$J$10:$J$224),0),
IF('TL02'!$B$229=J$3,SUMIF('TL02'!$C$238:$C$451,$C226,'TL02'!$J$238:$J$451),0),
IF('TL03'!$B$3=J$3,SUMIF('TL03'!$C$10:$C$224,$C226,'TL03'!$J$10:$J$224),0),
IF('TL03'!$B$229=J$3,SUMIF('TL03'!$C$238:$C$451,$C226,'TL03'!$J$238:$J$451),0),
IF('TL04'!$B$3=J$3,SUMIF('TL04'!$C$10:$C$224,$C226,'TL04'!$J$10:$J$224),0),
IF('TL04'!$B$229=J$3,SUMIF('TL04'!$C$238:$C$451,$C226,'TL04'!$J$238:$J$451),0),
IF('TL05'!$B$3=J$3,SUMIF('TL05'!$C$10:$C$224,$C226,'TL05'!$J$10:$J$224),0),
IF('TL05'!$B$229=J$3,SUMIF('TL05'!$C$238:$C$451,$C226,'TL05'!$J$238:$J$451),0),
IF('TL06'!$B$3=J$3,SUMIF('TL06'!$C$10:$C$224,$C226,'TL06'!$J$10:$J$224),0),
IF('TL06'!$B$229=J$3,SUMIF('TL06'!$C$238:$C$451,$C226,'TL06'!$J$238:$J$451),0),
IF('TL07'!$B$3=J$3,SUMIF('TL07'!$C$10:$C$224,$C226,'TL07'!$J$10:$J$224),0),
IF('TL07'!$B$229=J$3,SUMIF('TL07'!$C$238:$C$451,$C226,'TL07'!$J$238:$J$451),0),
IF('TL08'!$B$3=J$3,SUMIF('TL08'!$C$10:$C$224,$C226,'TL08'!$J$10:$J$224),0),
IF('TL08'!$B$229=J$3,SUMIF('TL08'!$C$238:$C$451,$C226,'TL08'!$J$238:$J$451),0),
IF('TL09'!$B$3=J$3,SUMIF('TL09'!$C$10:$C$224,$C226,'TL09'!$J$10:$J$224),0),
IF('TL09'!$B$229=J$3,SUMIF('TL09'!$C$238:$C$451,$C226,'TL09'!$J$238:$J$451),0),
IF('TL10'!$B$3=J$3,SUMIF('TL10'!$C$10:$C$224,$C226,'TL10'!$J$10:$J$224),0),
IF('TL10'!$B$229=J$3,SUMIF('TL10'!$C$238:$C$451,$C226,'TL10'!$J$238:$J$451),0),
IF('TL11'!$B$3=J$3,SUMIF('TL11'!$C$10:$C$224,$C226,'TL11'!$J$10:$J$224),0),
IF('TL11'!$B$229=J$3,SUMIF('TL11'!$C$238:$C$451,$C226,'TL11'!$J$238:$J$451),0),
IF('TL12'!$B$3=J$3,SUMIF('TL12'!$C$10:$C$224,$C226,'TL12'!$J$10:$J$224),0),
IF('TL12'!$B$229=J$3,SUMIF('TL12'!$C$238:$C$451,$C226,'TL12'!$J$238:$J$451),0),
IF('TL13'!$B$3=J$3,SUMIF('TL13'!$C$10:$C$224,$C226,'TL13'!$J$10:$J$224),0),
IF('TL13'!$B$229=J$3,SUMIF('TL13'!$C$238:$C$451,$C226,'TL13'!$J$238:$J$451),0),
IF('TL14'!$B$3=J$3,SUMIF('TL14'!$C$10:$C$224,$C226,'TL14'!$J$10:$J$224),0),
IF('TL14'!$B$229=J$3,SUMIF('TL14'!$C$238:$C$451,$C226,'TL14'!$J$238:$J$451),0),
IF('TL15'!$B$3=J$3,SUMIF('TL15'!$C$10:$C$224,$C226,'TL15'!$J$10:$J$224),0),
IF('TL15'!$B$229=J$3,SUMIF('TL15'!$C$238:$C$451,$C226,'TL15'!$J$238:$J$451),0),
IF('TL16'!$B$3=J$3,SUMIF('TL16'!$C$10:$C$224,$C226,'TL16'!$J$10:$J$224),0),
IF('TL16'!$B$229=J$3,SUMIF('TL16'!$C$238:$C$451,$C226,'TL16'!$J$238:$J$451),0),
IF('TL17'!$B$3=J$3,SUMIF('TL17'!$C$10:$C$224,$C226,'TL17'!$J$10:$J$224),0),
IF('TL17'!$B$229=J$3,SUMIF('TL17'!$C$238:$C$451,$C226,'TL17'!$J$238:$J$451),0),
IF('TL18'!$B$3=J$3,SUMIF('TL18'!$C$10:$C$224,$C226,'TL18'!$J$10:$J$224),0),
IF('TL18'!$B$229=J$3,SUMIF('TL18'!$C$238:$C$451,$C226,'TL18'!$J$238:$J$451),0),
IF('TL19'!$B$3=J$3,SUMIF('TL19'!$C$10:$C$224,$C226,'TL19'!$J$10:$J$224),0),
IF('TL19'!$B$229=J$3,SUMIF('TL19'!$C$238:$C$451,$C226,'TL19'!$J$238:$J$451),0)
),0)</f>
        <v>0</v>
      </c>
      <c r="K226" s="9">
        <f>IFERROR(SUM(
IF('TL01'!$B$3=K$3,SUMIF('TL01'!$C$10:$C$224,$C226,'TL01'!$J$10:$J$224),0),
IF('TL01'!$B$229=K$3,SUMIF('TL01'!$C$238:$C$451,$C226,'TL01'!$J$238:$J$451),0),
IF('TL02'!$B$3=K$3,SUMIF('TL02'!$C$10:$C$224,$C226,'TL02'!$J$10:$J$224),0),
IF('TL02'!$B$229=K$3,SUMIF('TL02'!$C$238:$C$451,$C226,'TL02'!$J$238:$J$451),0),
IF('TL03'!$B$3=K$3,SUMIF('TL03'!$C$10:$C$224,$C226,'TL03'!$J$10:$J$224),0),
IF('TL03'!$B$229=K$3,SUMIF('TL03'!$C$238:$C$451,$C226,'TL03'!$J$238:$J$451),0),
IF('TL04'!$B$3=K$3,SUMIF('TL04'!$C$10:$C$224,$C226,'TL04'!$J$10:$J$224),0),
IF('TL04'!$B$229=K$3,SUMIF('TL04'!$C$238:$C$451,$C226,'TL04'!$J$238:$J$451),0),
IF('TL05'!$B$3=K$3,SUMIF('TL05'!$C$10:$C$224,$C226,'TL05'!$J$10:$J$224),0),
IF('TL05'!$B$229=K$3,SUMIF('TL05'!$C$238:$C$451,$C226,'TL05'!$J$238:$J$451),0),
IF('TL06'!$B$3=K$3,SUMIF('TL06'!$C$10:$C$224,$C226,'TL06'!$J$10:$J$224),0),
IF('TL06'!$B$229=K$3,SUMIF('TL06'!$C$238:$C$451,$C226,'TL06'!$J$238:$J$451),0),
IF('TL07'!$B$3=K$3,SUMIF('TL07'!$C$10:$C$224,$C226,'TL07'!$J$10:$J$224),0),
IF('TL07'!$B$229=K$3,SUMIF('TL07'!$C$238:$C$451,$C226,'TL07'!$J$238:$J$451),0),
IF('TL08'!$B$3=K$3,SUMIF('TL08'!$C$10:$C$224,$C226,'TL08'!$J$10:$J$224),0),
IF('TL08'!$B$229=K$3,SUMIF('TL08'!$C$238:$C$451,$C226,'TL08'!$J$238:$J$451),0),
IF('TL09'!$B$3=K$3,SUMIF('TL09'!$C$10:$C$224,$C226,'TL09'!$J$10:$J$224),0),
IF('TL09'!$B$229=K$3,SUMIF('TL09'!$C$238:$C$451,$C226,'TL09'!$J$238:$J$451),0),
IF('TL10'!$B$3=K$3,SUMIF('TL10'!$C$10:$C$224,$C226,'TL10'!$J$10:$J$224),0),
IF('TL10'!$B$229=K$3,SUMIF('TL10'!$C$238:$C$451,$C226,'TL10'!$J$238:$J$451),0),
IF('TL11'!$B$3=K$3,SUMIF('TL11'!$C$10:$C$224,$C226,'TL11'!$J$10:$J$224),0),
IF('TL11'!$B$229=K$3,SUMIF('TL11'!$C$238:$C$451,$C226,'TL11'!$J$238:$J$451),0),
IF('TL12'!$B$3=K$3,SUMIF('TL12'!$C$10:$C$224,$C226,'TL12'!$J$10:$J$224),0),
IF('TL12'!$B$229=K$3,SUMIF('TL12'!$C$238:$C$451,$C226,'TL12'!$J$238:$J$451),0),
IF('TL13'!$B$3=K$3,SUMIF('TL13'!$C$10:$C$224,$C226,'TL13'!$J$10:$J$224),0),
IF('TL13'!$B$229=K$3,SUMIF('TL13'!$C$238:$C$451,$C226,'TL13'!$J$238:$J$451),0),
IF('TL14'!$B$3=K$3,SUMIF('TL14'!$C$10:$C$224,$C226,'TL14'!$J$10:$J$224),0),
IF('TL14'!$B$229=K$3,SUMIF('TL14'!$C$238:$C$451,$C226,'TL14'!$J$238:$J$451),0),
IF('TL15'!$B$3=K$3,SUMIF('TL15'!$C$10:$C$224,$C226,'TL15'!$J$10:$J$224),0),
IF('TL15'!$B$229=K$3,SUMIF('TL15'!$C$238:$C$451,$C226,'TL15'!$J$238:$J$451),0),
IF('TL16'!$B$3=K$3,SUMIF('TL16'!$C$10:$C$224,$C226,'TL16'!$J$10:$J$224),0),
IF('TL16'!$B$229=K$3,SUMIF('TL16'!$C$238:$C$451,$C226,'TL16'!$J$238:$J$451),0),
IF('TL17'!$B$3=K$3,SUMIF('TL17'!$C$10:$C$224,$C226,'TL17'!$J$10:$J$224),0),
IF('TL17'!$B$229=K$3,SUMIF('TL17'!$C$238:$C$451,$C226,'TL17'!$J$238:$J$451),0),
IF('TL18'!$B$3=K$3,SUMIF('TL18'!$C$10:$C$224,$C226,'TL18'!$J$10:$J$224),0),
IF('TL18'!$B$229=K$3,SUMIF('TL18'!$C$238:$C$451,$C226,'TL18'!$J$238:$J$451),0),
IF('TL19'!$B$3=K$3,SUMIF('TL19'!$C$10:$C$224,$C226,'TL19'!$J$10:$J$224),0),
IF('TL19'!$B$229=K$3,SUMIF('TL19'!$C$238:$C$451,$C226,'TL19'!$J$238:$J$451),0)
),0)</f>
        <v>0</v>
      </c>
      <c r="L226" s="9">
        <f>IFERROR(SUM(
IF('TL01'!$B$3=L$3,SUMIF('TL01'!$C$10:$C$224,$C226,'TL01'!$J$10:$J$224),0),
IF('TL01'!$B$229=L$3,SUMIF('TL01'!$C$238:$C$451,$C226,'TL01'!$J$238:$J$451),0),
IF('TL02'!$B$3=L$3,SUMIF('TL02'!$C$10:$C$224,$C226,'TL02'!$J$10:$J$224),0),
IF('TL02'!$B$229=L$3,SUMIF('TL02'!$C$238:$C$451,$C226,'TL02'!$J$238:$J$451),0),
IF('TL03'!$B$3=L$3,SUMIF('TL03'!$C$10:$C$224,$C226,'TL03'!$J$10:$J$224),0),
IF('TL03'!$B$229=L$3,SUMIF('TL03'!$C$238:$C$451,$C226,'TL03'!$J$238:$J$451),0),
IF('TL04'!$B$3=L$3,SUMIF('TL04'!$C$10:$C$224,$C226,'TL04'!$J$10:$J$224),0),
IF('TL04'!$B$229=L$3,SUMIF('TL04'!$C$238:$C$451,$C226,'TL04'!$J$238:$J$451),0),
IF('TL05'!$B$3=L$3,SUMIF('TL05'!$C$10:$C$224,$C226,'TL05'!$J$10:$J$224),0),
IF('TL05'!$B$229=L$3,SUMIF('TL05'!$C$238:$C$451,$C226,'TL05'!$J$238:$J$451),0),
IF('TL06'!$B$3=L$3,SUMIF('TL06'!$C$10:$C$224,$C226,'TL06'!$J$10:$J$224),0),
IF('TL06'!$B$229=L$3,SUMIF('TL06'!$C$238:$C$451,$C226,'TL06'!$J$238:$J$451),0),
IF('TL07'!$B$3=L$3,SUMIF('TL07'!$C$10:$C$224,$C226,'TL07'!$J$10:$J$224),0),
IF('TL07'!$B$229=L$3,SUMIF('TL07'!$C$238:$C$451,$C226,'TL07'!$J$238:$J$451),0),
IF('TL08'!$B$3=L$3,SUMIF('TL08'!$C$10:$C$224,$C226,'TL08'!$J$10:$J$224),0),
IF('TL08'!$B$229=L$3,SUMIF('TL08'!$C$238:$C$451,$C226,'TL08'!$J$238:$J$451),0),
IF('TL09'!$B$3=L$3,SUMIF('TL09'!$C$10:$C$224,$C226,'TL09'!$J$10:$J$224),0),
IF('TL09'!$B$229=L$3,SUMIF('TL09'!$C$238:$C$451,$C226,'TL09'!$J$238:$J$451),0),
IF('TL10'!$B$3=L$3,SUMIF('TL10'!$C$10:$C$224,$C226,'TL10'!$J$10:$J$224),0),
IF('TL10'!$B$229=L$3,SUMIF('TL10'!$C$238:$C$451,$C226,'TL10'!$J$238:$J$451),0),
IF('TL11'!$B$3=L$3,SUMIF('TL11'!$C$10:$C$224,$C226,'TL11'!$J$10:$J$224),0),
IF('TL11'!$B$229=L$3,SUMIF('TL11'!$C$238:$C$451,$C226,'TL11'!$J$238:$J$451),0),
IF('TL12'!$B$3=L$3,SUMIF('TL12'!$C$10:$C$224,$C226,'TL12'!$J$10:$J$224),0),
IF('TL12'!$B$229=L$3,SUMIF('TL12'!$C$238:$C$451,$C226,'TL12'!$J$238:$J$451),0),
IF('TL13'!$B$3=L$3,SUMIF('TL13'!$C$10:$C$224,$C226,'TL13'!$J$10:$J$224),0),
IF('TL13'!$B$229=L$3,SUMIF('TL13'!$C$238:$C$451,$C226,'TL13'!$J$238:$J$451),0),
IF('TL14'!$B$3=L$3,SUMIF('TL14'!$C$10:$C$224,$C226,'TL14'!$J$10:$J$224),0),
IF('TL14'!$B$229=L$3,SUMIF('TL14'!$C$238:$C$451,$C226,'TL14'!$J$238:$J$451),0),
IF('TL15'!$B$3=L$3,SUMIF('TL15'!$C$10:$C$224,$C226,'TL15'!$J$10:$J$224),0),
IF('TL15'!$B$229=L$3,SUMIF('TL15'!$C$238:$C$451,$C226,'TL15'!$J$238:$J$451),0),
IF('TL16'!$B$3=L$3,SUMIF('TL16'!$C$10:$C$224,$C226,'TL16'!$J$10:$J$224),0),
IF('TL16'!$B$229=L$3,SUMIF('TL16'!$C$238:$C$451,$C226,'TL16'!$J$238:$J$451),0),
IF('TL17'!$B$3=L$3,SUMIF('TL17'!$C$10:$C$224,$C226,'TL17'!$J$10:$J$224),0),
IF('TL17'!$B$229=L$3,SUMIF('TL17'!$C$238:$C$451,$C226,'TL17'!$J$238:$J$451),0),
IF('TL18'!$B$3=L$3,SUMIF('TL18'!$C$10:$C$224,$C226,'TL18'!$J$10:$J$224),0),
IF('TL18'!$B$229=L$3,SUMIF('TL18'!$C$238:$C$451,$C226,'TL18'!$J$238:$J$451),0),
IF('TL19'!$B$3=L$3,SUMIF('TL19'!$C$10:$C$224,$C226,'TL19'!$J$10:$J$224),0),
IF('TL19'!$B$229=L$3,SUMIF('TL19'!$C$238:$C$451,$C226,'TL19'!$J$238:$J$451),0)
),0)</f>
        <v>0</v>
      </c>
      <c r="M226" s="9">
        <f>IFERROR(SUM(
IF('TL01'!$B$3=M$3,SUMIF('TL01'!$C$10:$C$224,$C226,'TL01'!$J$10:$J$224),0),
IF('TL01'!$B$229=M$3,SUMIF('TL01'!$C$238:$C$451,$C226,'TL01'!$J$238:$J$451),0),
IF('TL02'!$B$3=M$3,SUMIF('TL02'!$C$10:$C$224,$C226,'TL02'!$J$10:$J$224),0),
IF('TL02'!$B$229=M$3,SUMIF('TL02'!$C$238:$C$451,$C226,'TL02'!$J$238:$J$451),0),
IF('TL03'!$B$3=M$3,SUMIF('TL03'!$C$10:$C$224,$C226,'TL03'!$J$10:$J$224),0),
IF('TL03'!$B$229=M$3,SUMIF('TL03'!$C$238:$C$451,$C226,'TL03'!$J$238:$J$451),0),
IF('TL04'!$B$3=M$3,SUMIF('TL04'!$C$10:$C$224,$C226,'TL04'!$J$10:$J$224),0),
IF('TL04'!$B$229=M$3,SUMIF('TL04'!$C$238:$C$451,$C226,'TL04'!$J$238:$J$451),0),
IF('TL05'!$B$3=M$3,SUMIF('TL05'!$C$10:$C$224,$C226,'TL05'!$J$10:$J$224),0),
IF('TL05'!$B$229=M$3,SUMIF('TL05'!$C$238:$C$451,$C226,'TL05'!$J$238:$J$451),0),
IF('TL06'!$B$3=M$3,SUMIF('TL06'!$C$10:$C$224,$C226,'TL06'!$J$10:$J$224),0),
IF('TL06'!$B$229=M$3,SUMIF('TL06'!$C$238:$C$451,$C226,'TL06'!$J$238:$J$451),0),
IF('TL07'!$B$3=M$3,SUMIF('TL07'!$C$10:$C$224,$C226,'TL07'!$J$10:$J$224),0),
IF('TL07'!$B$229=M$3,SUMIF('TL07'!$C$238:$C$451,$C226,'TL07'!$J$238:$J$451),0),
IF('TL08'!$B$3=M$3,SUMIF('TL08'!$C$10:$C$224,$C226,'TL08'!$J$10:$J$224),0),
IF('TL08'!$B$229=M$3,SUMIF('TL08'!$C$238:$C$451,$C226,'TL08'!$J$238:$J$451),0),
IF('TL09'!$B$3=M$3,SUMIF('TL09'!$C$10:$C$224,$C226,'TL09'!$J$10:$J$224),0),
IF('TL09'!$B$229=M$3,SUMIF('TL09'!$C$238:$C$451,$C226,'TL09'!$J$238:$J$451),0),
IF('TL10'!$B$3=M$3,SUMIF('TL10'!$C$10:$C$224,$C226,'TL10'!$J$10:$J$224),0),
IF('TL10'!$B$229=M$3,SUMIF('TL10'!$C$238:$C$451,$C226,'TL10'!$J$238:$J$451),0),
IF('TL11'!$B$3=M$3,SUMIF('TL11'!$C$10:$C$224,$C226,'TL11'!$J$10:$J$224),0),
IF('TL11'!$B$229=M$3,SUMIF('TL11'!$C$238:$C$451,$C226,'TL11'!$J$238:$J$451),0),
IF('TL12'!$B$3=M$3,SUMIF('TL12'!$C$10:$C$224,$C226,'TL12'!$J$10:$J$224),0),
IF('TL12'!$B$229=M$3,SUMIF('TL12'!$C$238:$C$451,$C226,'TL12'!$J$238:$J$451),0),
IF('TL13'!$B$3=M$3,SUMIF('TL13'!$C$10:$C$224,$C226,'TL13'!$J$10:$J$224),0),
IF('TL13'!$B$229=M$3,SUMIF('TL13'!$C$238:$C$451,$C226,'TL13'!$J$238:$J$451),0),
IF('TL14'!$B$3=M$3,SUMIF('TL14'!$C$10:$C$224,$C226,'TL14'!$J$10:$J$224),0),
IF('TL14'!$B$229=M$3,SUMIF('TL14'!$C$238:$C$451,$C226,'TL14'!$J$238:$J$451),0),
IF('TL15'!$B$3=M$3,SUMIF('TL15'!$C$10:$C$224,$C226,'TL15'!$J$10:$J$224),0),
IF('TL15'!$B$229=M$3,SUMIF('TL15'!$C$238:$C$451,$C226,'TL15'!$J$238:$J$451),0),
IF('TL16'!$B$3=M$3,SUMIF('TL16'!$C$10:$C$224,$C226,'TL16'!$J$10:$J$224),0),
IF('TL16'!$B$229=M$3,SUMIF('TL16'!$C$238:$C$451,$C226,'TL16'!$J$238:$J$451),0),
IF('TL17'!$B$3=M$3,SUMIF('TL17'!$C$10:$C$224,$C226,'TL17'!$J$10:$J$224),0),
IF('TL17'!$B$229=M$3,SUMIF('TL17'!$C$238:$C$451,$C226,'TL17'!$J$238:$J$451),0),
IF('TL18'!$B$3=M$3,SUMIF('TL18'!$C$10:$C$224,$C226,'TL18'!$J$10:$J$224),0),
IF('TL18'!$B$229=M$3,SUMIF('TL18'!$C$238:$C$451,$C226,'TL18'!$J$238:$J$451),0),
IF('TL19'!$B$3=M$3,SUMIF('TL19'!$C$10:$C$224,$C226,'TL19'!$J$10:$J$224),0),
IF('TL19'!$B$229=M$3,SUMIF('TL19'!$C$238:$C$451,$C226,'TL19'!$J$238:$J$451),0)
),0)</f>
        <v>0</v>
      </c>
      <c r="N226" s="9">
        <f>IFERROR(SUM(
IF('TL01'!$B$3=N$3,SUMIF('TL01'!$C$10:$C$224,$C226,'TL01'!$J$10:$J$224),0),
IF('TL01'!$B$229=N$3,SUMIF('TL01'!$C$238:$C$451,$C226,'TL01'!$J$238:$J$451),0),
IF('TL02'!$B$3=N$3,SUMIF('TL02'!$C$10:$C$224,$C226,'TL02'!$J$10:$J$224),0),
IF('TL02'!$B$229=N$3,SUMIF('TL02'!$C$238:$C$451,$C226,'TL02'!$J$238:$J$451),0),
IF('TL03'!$B$3=N$3,SUMIF('TL03'!$C$10:$C$224,$C226,'TL03'!$J$10:$J$224),0),
IF('TL03'!$B$229=N$3,SUMIF('TL03'!$C$238:$C$451,$C226,'TL03'!$J$238:$J$451),0),
IF('TL04'!$B$3=N$3,SUMIF('TL04'!$C$10:$C$224,$C226,'TL04'!$J$10:$J$224),0),
IF('TL04'!$B$229=N$3,SUMIF('TL04'!$C$238:$C$451,$C226,'TL04'!$J$238:$J$451),0),
IF('TL05'!$B$3=N$3,SUMIF('TL05'!$C$10:$C$224,$C226,'TL05'!$J$10:$J$224),0),
IF('TL05'!$B$229=N$3,SUMIF('TL05'!$C$238:$C$451,$C226,'TL05'!$J$238:$J$451),0),
IF('TL06'!$B$3=N$3,SUMIF('TL06'!$C$10:$C$224,$C226,'TL06'!$J$10:$J$224),0),
IF('TL06'!$B$229=N$3,SUMIF('TL06'!$C$238:$C$451,$C226,'TL06'!$J$238:$J$451),0),
IF('TL07'!$B$3=N$3,SUMIF('TL07'!$C$10:$C$224,$C226,'TL07'!$J$10:$J$224),0),
IF('TL07'!$B$229=N$3,SUMIF('TL07'!$C$238:$C$451,$C226,'TL07'!$J$238:$J$451),0),
IF('TL08'!$B$3=N$3,SUMIF('TL08'!$C$10:$C$224,$C226,'TL08'!$J$10:$J$224),0),
IF('TL08'!$B$229=N$3,SUMIF('TL08'!$C$238:$C$451,$C226,'TL08'!$J$238:$J$451),0),
IF('TL09'!$B$3=N$3,SUMIF('TL09'!$C$10:$C$224,$C226,'TL09'!$J$10:$J$224),0),
IF('TL09'!$B$229=N$3,SUMIF('TL09'!$C$238:$C$451,$C226,'TL09'!$J$238:$J$451),0),
IF('TL10'!$B$3=N$3,SUMIF('TL10'!$C$10:$C$224,$C226,'TL10'!$J$10:$J$224),0),
IF('TL10'!$B$229=N$3,SUMIF('TL10'!$C$238:$C$451,$C226,'TL10'!$J$238:$J$451),0),
IF('TL11'!$B$3=N$3,SUMIF('TL11'!$C$10:$C$224,$C226,'TL11'!$J$10:$J$224),0),
IF('TL11'!$B$229=N$3,SUMIF('TL11'!$C$238:$C$451,$C226,'TL11'!$J$238:$J$451),0),
IF('TL12'!$B$3=N$3,SUMIF('TL12'!$C$10:$C$224,$C226,'TL12'!$J$10:$J$224),0),
IF('TL12'!$B$229=N$3,SUMIF('TL12'!$C$238:$C$451,$C226,'TL12'!$J$238:$J$451),0),
IF('TL13'!$B$3=N$3,SUMIF('TL13'!$C$10:$C$224,$C226,'TL13'!$J$10:$J$224),0),
IF('TL13'!$B$229=N$3,SUMIF('TL13'!$C$238:$C$451,$C226,'TL13'!$J$238:$J$451),0),
IF('TL14'!$B$3=N$3,SUMIF('TL14'!$C$10:$C$224,$C226,'TL14'!$J$10:$J$224),0),
IF('TL14'!$B$229=N$3,SUMIF('TL14'!$C$238:$C$451,$C226,'TL14'!$J$238:$J$451),0),
IF('TL15'!$B$3=N$3,SUMIF('TL15'!$C$10:$C$224,$C226,'TL15'!$J$10:$J$224),0),
IF('TL15'!$B$229=N$3,SUMIF('TL15'!$C$238:$C$451,$C226,'TL15'!$J$238:$J$451),0),
IF('TL16'!$B$3=N$3,SUMIF('TL16'!$C$10:$C$224,$C226,'TL16'!$J$10:$J$224),0),
IF('TL16'!$B$229=N$3,SUMIF('TL16'!$C$238:$C$451,$C226,'TL16'!$J$238:$J$451),0),
IF('TL17'!$B$3=N$3,SUMIF('TL17'!$C$10:$C$224,$C226,'TL17'!$J$10:$J$224),0),
IF('TL17'!$B$229=N$3,SUMIF('TL17'!$C$238:$C$451,$C226,'TL17'!$J$238:$J$451),0),
IF('TL18'!$B$3=N$3,SUMIF('TL18'!$C$10:$C$224,$C226,'TL18'!$J$10:$J$224),0),
IF('TL18'!$B$229=N$3,SUMIF('TL18'!$C$238:$C$451,$C226,'TL18'!$J$238:$J$451),0),
IF('TL19'!$B$3=N$3,SUMIF('TL19'!$C$10:$C$224,$C226,'TL19'!$J$10:$J$224),0),
IF('TL19'!$B$229=N$3,SUMIF('TL19'!$C$238:$C$451,$C226,'TL19'!$J$238:$J$451),0)
),0)</f>
        <v>0</v>
      </c>
      <c r="O226" s="9">
        <f>IFERROR(SUM(
IF('TL01'!$B$3=O$3,SUMIF('TL01'!$C$10:$C$224,$C226,'TL01'!$J$10:$J$224),0),
IF('TL01'!$B$229=O$3,SUMIF('TL01'!$C$238:$C$451,$C226,'TL01'!$J$238:$J$451),0),
IF('TL02'!$B$3=O$3,SUMIF('TL02'!$C$10:$C$224,$C226,'TL02'!$J$10:$J$224),0),
IF('TL02'!$B$229=O$3,SUMIF('TL02'!$C$238:$C$451,$C226,'TL02'!$J$238:$J$451),0),
IF('TL03'!$B$3=O$3,SUMIF('TL03'!$C$10:$C$224,$C226,'TL03'!$J$10:$J$224),0),
IF('TL03'!$B$229=O$3,SUMIF('TL03'!$C$238:$C$451,$C226,'TL03'!$J$238:$J$451),0),
IF('TL04'!$B$3=O$3,SUMIF('TL04'!$C$10:$C$224,$C226,'TL04'!$J$10:$J$224),0),
IF('TL04'!$B$229=O$3,SUMIF('TL04'!$C$238:$C$451,$C226,'TL04'!$J$238:$J$451),0),
IF('TL05'!$B$3=O$3,SUMIF('TL05'!$C$10:$C$224,$C226,'TL05'!$J$10:$J$224),0),
IF('TL05'!$B$229=O$3,SUMIF('TL05'!$C$238:$C$451,$C226,'TL05'!$J$238:$J$451),0),
IF('TL06'!$B$3=O$3,SUMIF('TL06'!$C$10:$C$224,$C226,'TL06'!$J$10:$J$224),0),
IF('TL06'!$B$229=O$3,SUMIF('TL06'!$C$238:$C$451,$C226,'TL06'!$J$238:$J$451),0),
IF('TL07'!$B$3=O$3,SUMIF('TL07'!$C$10:$C$224,$C226,'TL07'!$J$10:$J$224),0),
IF('TL07'!$B$229=O$3,SUMIF('TL07'!$C$238:$C$451,$C226,'TL07'!$J$238:$J$451),0),
IF('TL08'!$B$3=O$3,SUMIF('TL08'!$C$10:$C$224,$C226,'TL08'!$J$10:$J$224),0),
IF('TL08'!$B$229=O$3,SUMIF('TL08'!$C$238:$C$451,$C226,'TL08'!$J$238:$J$451),0),
IF('TL09'!$B$3=O$3,SUMIF('TL09'!$C$10:$C$224,$C226,'TL09'!$J$10:$J$224),0),
IF('TL09'!$B$229=O$3,SUMIF('TL09'!$C$238:$C$451,$C226,'TL09'!$J$238:$J$451),0),
IF('TL10'!$B$3=O$3,SUMIF('TL10'!$C$10:$C$224,$C226,'TL10'!$J$10:$J$224),0),
IF('TL10'!$B$229=O$3,SUMIF('TL10'!$C$238:$C$451,$C226,'TL10'!$J$238:$J$451),0),
IF('TL11'!$B$3=O$3,SUMIF('TL11'!$C$10:$C$224,$C226,'TL11'!$J$10:$J$224),0),
IF('TL11'!$B$229=O$3,SUMIF('TL11'!$C$238:$C$451,$C226,'TL11'!$J$238:$J$451),0),
IF('TL12'!$B$3=O$3,SUMIF('TL12'!$C$10:$C$224,$C226,'TL12'!$J$10:$J$224),0),
IF('TL12'!$B$229=O$3,SUMIF('TL12'!$C$238:$C$451,$C226,'TL12'!$J$238:$J$451),0),
IF('TL13'!$B$3=O$3,SUMIF('TL13'!$C$10:$C$224,$C226,'TL13'!$J$10:$J$224),0),
IF('TL13'!$B$229=O$3,SUMIF('TL13'!$C$238:$C$451,$C226,'TL13'!$J$238:$J$451),0),
IF('TL14'!$B$3=O$3,SUMIF('TL14'!$C$10:$C$224,$C226,'TL14'!$J$10:$J$224),0),
IF('TL14'!$B$229=O$3,SUMIF('TL14'!$C$238:$C$451,$C226,'TL14'!$J$238:$J$451),0),
IF('TL15'!$B$3=O$3,SUMIF('TL15'!$C$10:$C$224,$C226,'TL15'!$J$10:$J$224),0),
IF('TL15'!$B$229=O$3,SUMIF('TL15'!$C$238:$C$451,$C226,'TL15'!$J$238:$J$451),0),
IF('TL16'!$B$3=O$3,SUMIF('TL16'!$C$10:$C$224,$C226,'TL16'!$J$10:$J$224),0),
IF('TL16'!$B$229=O$3,SUMIF('TL16'!$C$238:$C$451,$C226,'TL16'!$J$238:$J$451),0),
IF('TL17'!$B$3=O$3,SUMIF('TL17'!$C$10:$C$224,$C226,'TL17'!$J$10:$J$224),0),
IF('TL17'!$B$229=O$3,SUMIF('TL17'!$C$238:$C$451,$C226,'TL17'!$J$238:$J$451),0),
IF('TL18'!$B$3=O$3,SUMIF('TL18'!$C$10:$C$224,$C226,'TL18'!$J$10:$J$224),0),
IF('TL18'!$B$229=O$3,SUMIF('TL18'!$C$238:$C$451,$C226,'TL18'!$J$238:$J$451),0),
IF('TL19'!$B$3=O$3,SUMIF('TL19'!$C$10:$C$224,$C226,'TL19'!$J$10:$J$224),0),
IF('TL19'!$B$229=O$3,SUMIF('TL19'!$C$238:$C$451,$C226,'TL19'!$J$238:$J$451),0)
),0)</f>
        <v>0</v>
      </c>
      <c r="P226" s="9">
        <f>IFERROR(SUM(
IF('TL01'!$B$3=P$3,SUMIF('TL01'!$C$10:$C$224,$C226,'TL01'!$J$10:$J$224),0),
IF('TL01'!$B$229=P$3,SUMIF('TL01'!$C$238:$C$451,$C226,'TL01'!$J$238:$J$451),0),
IF('TL02'!$B$3=P$3,SUMIF('TL02'!$C$10:$C$224,$C226,'TL02'!$J$10:$J$224),0),
IF('TL02'!$B$229=P$3,SUMIF('TL02'!$C$238:$C$451,$C226,'TL02'!$J$238:$J$451),0),
IF('TL03'!$B$3=P$3,SUMIF('TL03'!$C$10:$C$224,$C226,'TL03'!$J$10:$J$224),0),
IF('TL03'!$B$229=P$3,SUMIF('TL03'!$C$238:$C$451,$C226,'TL03'!$J$238:$J$451),0),
IF('TL04'!$B$3=P$3,SUMIF('TL04'!$C$10:$C$224,$C226,'TL04'!$J$10:$J$224),0),
IF('TL04'!$B$229=P$3,SUMIF('TL04'!$C$238:$C$451,$C226,'TL04'!$J$238:$J$451),0),
IF('TL05'!$B$3=P$3,SUMIF('TL05'!$C$10:$C$224,$C226,'TL05'!$J$10:$J$224),0),
IF('TL05'!$B$229=P$3,SUMIF('TL05'!$C$238:$C$451,$C226,'TL05'!$J$238:$J$451),0),
IF('TL06'!$B$3=P$3,SUMIF('TL06'!$C$10:$C$224,$C226,'TL06'!$J$10:$J$224),0),
IF('TL06'!$B$229=P$3,SUMIF('TL06'!$C$238:$C$451,$C226,'TL06'!$J$238:$J$451),0),
IF('TL07'!$B$3=P$3,SUMIF('TL07'!$C$10:$C$224,$C226,'TL07'!$J$10:$J$224),0),
IF('TL07'!$B$229=P$3,SUMIF('TL07'!$C$238:$C$451,$C226,'TL07'!$J$238:$J$451),0),
IF('TL08'!$B$3=P$3,SUMIF('TL08'!$C$10:$C$224,$C226,'TL08'!$J$10:$J$224),0),
IF('TL08'!$B$229=P$3,SUMIF('TL08'!$C$238:$C$451,$C226,'TL08'!$J$238:$J$451),0),
IF('TL09'!$B$3=P$3,SUMIF('TL09'!$C$10:$C$224,$C226,'TL09'!$J$10:$J$224),0),
IF('TL09'!$B$229=P$3,SUMIF('TL09'!$C$238:$C$451,$C226,'TL09'!$J$238:$J$451),0),
IF('TL10'!$B$3=P$3,SUMIF('TL10'!$C$10:$C$224,$C226,'TL10'!$J$10:$J$224),0),
IF('TL10'!$B$229=P$3,SUMIF('TL10'!$C$238:$C$451,$C226,'TL10'!$J$238:$J$451),0),
IF('TL11'!$B$3=P$3,SUMIF('TL11'!$C$10:$C$224,$C226,'TL11'!$J$10:$J$224),0),
IF('TL11'!$B$229=P$3,SUMIF('TL11'!$C$238:$C$451,$C226,'TL11'!$J$238:$J$451),0),
IF('TL12'!$B$3=P$3,SUMIF('TL12'!$C$10:$C$224,$C226,'TL12'!$J$10:$J$224),0),
IF('TL12'!$B$229=P$3,SUMIF('TL12'!$C$238:$C$451,$C226,'TL12'!$J$238:$J$451),0),
IF('TL13'!$B$3=P$3,SUMIF('TL13'!$C$10:$C$224,$C226,'TL13'!$J$10:$J$224),0),
IF('TL13'!$B$229=P$3,SUMIF('TL13'!$C$238:$C$451,$C226,'TL13'!$J$238:$J$451),0),
IF('TL14'!$B$3=P$3,SUMIF('TL14'!$C$10:$C$224,$C226,'TL14'!$J$10:$J$224),0),
IF('TL14'!$B$229=P$3,SUMIF('TL14'!$C$238:$C$451,$C226,'TL14'!$J$238:$J$451),0),
IF('TL15'!$B$3=P$3,SUMIF('TL15'!$C$10:$C$224,$C226,'TL15'!$J$10:$J$224),0),
IF('TL15'!$B$229=P$3,SUMIF('TL15'!$C$238:$C$451,$C226,'TL15'!$J$238:$J$451),0),
IF('TL16'!$B$3=P$3,SUMIF('TL16'!$C$10:$C$224,$C226,'TL16'!$J$10:$J$224),0),
IF('TL16'!$B$229=P$3,SUMIF('TL16'!$C$238:$C$451,$C226,'TL16'!$J$238:$J$451),0),
IF('TL17'!$B$3=P$3,SUMIF('TL17'!$C$10:$C$224,$C226,'TL17'!$J$10:$J$224),0),
IF('TL17'!$B$229=P$3,SUMIF('TL17'!$C$238:$C$451,$C226,'TL17'!$J$238:$J$451),0),
IF('TL18'!$B$3=P$3,SUMIF('TL18'!$C$10:$C$224,$C226,'TL18'!$J$10:$J$224),0),
IF('TL18'!$B$229=P$3,SUMIF('TL18'!$C$238:$C$451,$C226,'TL18'!$J$238:$J$451),0),
IF('TL19'!$B$3=P$3,SUMIF('TL19'!$C$10:$C$224,$C226,'TL19'!$J$10:$J$224),0),
IF('TL19'!$B$229=P$3,SUMIF('TL19'!$C$238:$C$451,$C226,'TL19'!$J$238:$J$451),0)
),0)</f>
        <v>0</v>
      </c>
      <c r="Q226" s="9">
        <f>IFERROR(SUM(
IF('TL01'!$B$3=Q$3,SUMIF('TL01'!$C$10:$C$224,$C226,'TL01'!$J$10:$J$224),0),
IF('TL01'!$B$229=Q$3,SUMIF('TL01'!$C$238:$C$451,$C226,'TL01'!$J$238:$J$451),0),
IF('TL02'!$B$3=Q$3,SUMIF('TL02'!$C$10:$C$224,$C226,'TL02'!$J$10:$J$224),0),
IF('TL02'!$B$229=Q$3,SUMIF('TL02'!$C$238:$C$451,$C226,'TL02'!$J$238:$J$451),0),
IF('TL03'!$B$3=Q$3,SUMIF('TL03'!$C$10:$C$224,$C226,'TL03'!$J$10:$J$224),0),
IF('TL03'!$B$229=Q$3,SUMIF('TL03'!$C$238:$C$451,$C226,'TL03'!$J$238:$J$451),0),
IF('TL04'!$B$3=Q$3,SUMIF('TL04'!$C$10:$C$224,$C226,'TL04'!$J$10:$J$224),0),
IF('TL04'!$B$229=Q$3,SUMIF('TL04'!$C$238:$C$451,$C226,'TL04'!$J$238:$J$451),0),
IF('TL05'!$B$3=Q$3,SUMIF('TL05'!$C$10:$C$224,$C226,'TL05'!$J$10:$J$224),0),
IF('TL05'!$B$229=Q$3,SUMIF('TL05'!$C$238:$C$451,$C226,'TL05'!$J$238:$J$451),0),
IF('TL06'!$B$3=Q$3,SUMIF('TL06'!$C$10:$C$224,$C226,'TL06'!$J$10:$J$224),0),
IF('TL06'!$B$229=Q$3,SUMIF('TL06'!$C$238:$C$451,$C226,'TL06'!$J$238:$J$451),0),
IF('TL07'!$B$3=Q$3,SUMIF('TL07'!$C$10:$C$224,$C226,'TL07'!$J$10:$J$224),0),
IF('TL07'!$B$229=Q$3,SUMIF('TL07'!$C$238:$C$451,$C226,'TL07'!$J$238:$J$451),0),
IF('TL08'!$B$3=Q$3,SUMIF('TL08'!$C$10:$C$224,$C226,'TL08'!$J$10:$J$224),0),
IF('TL08'!$B$229=Q$3,SUMIF('TL08'!$C$238:$C$451,$C226,'TL08'!$J$238:$J$451),0),
IF('TL09'!$B$3=Q$3,SUMIF('TL09'!$C$10:$C$224,$C226,'TL09'!$J$10:$J$224),0),
IF('TL09'!$B$229=Q$3,SUMIF('TL09'!$C$238:$C$451,$C226,'TL09'!$J$238:$J$451),0),
IF('TL10'!$B$3=Q$3,SUMIF('TL10'!$C$10:$C$224,$C226,'TL10'!$J$10:$J$224),0),
IF('TL10'!$B$229=Q$3,SUMIF('TL10'!$C$238:$C$451,$C226,'TL10'!$J$238:$J$451),0),
IF('TL11'!$B$3=Q$3,SUMIF('TL11'!$C$10:$C$224,$C226,'TL11'!$J$10:$J$224),0),
IF('TL11'!$B$229=Q$3,SUMIF('TL11'!$C$238:$C$451,$C226,'TL11'!$J$238:$J$451),0),
IF('TL12'!$B$3=Q$3,SUMIF('TL12'!$C$10:$C$224,$C226,'TL12'!$J$10:$J$224),0),
IF('TL12'!$B$229=Q$3,SUMIF('TL12'!$C$238:$C$451,$C226,'TL12'!$J$238:$J$451),0),
IF('TL13'!$B$3=Q$3,SUMIF('TL13'!$C$10:$C$224,$C226,'TL13'!$J$10:$J$224),0),
IF('TL13'!$B$229=Q$3,SUMIF('TL13'!$C$238:$C$451,$C226,'TL13'!$J$238:$J$451),0),
IF('TL14'!$B$3=Q$3,SUMIF('TL14'!$C$10:$C$224,$C226,'TL14'!$J$10:$J$224),0),
IF('TL14'!$B$229=Q$3,SUMIF('TL14'!$C$238:$C$451,$C226,'TL14'!$J$238:$J$451),0),
IF('TL15'!$B$3=Q$3,SUMIF('TL15'!$C$10:$C$224,$C226,'TL15'!$J$10:$J$224),0),
IF('TL15'!$B$229=Q$3,SUMIF('TL15'!$C$238:$C$451,$C226,'TL15'!$J$238:$J$451),0),
IF('TL16'!$B$3=Q$3,SUMIF('TL16'!$C$10:$C$224,$C226,'TL16'!$J$10:$J$224),0),
IF('TL16'!$B$229=Q$3,SUMIF('TL16'!$C$238:$C$451,$C226,'TL16'!$J$238:$J$451),0),
IF('TL17'!$B$3=Q$3,SUMIF('TL17'!$C$10:$C$224,$C226,'TL17'!$J$10:$J$224),0),
IF('TL17'!$B$229=Q$3,SUMIF('TL17'!$C$238:$C$451,$C226,'TL17'!$J$238:$J$451),0),
IF('TL18'!$B$3=Q$3,SUMIF('TL18'!$C$10:$C$224,$C226,'TL18'!$J$10:$J$224),0),
IF('TL18'!$B$229=Q$3,SUMIF('TL18'!$C$238:$C$451,$C226,'TL18'!$J$238:$J$451),0),
IF('TL19'!$B$3=Q$3,SUMIF('TL19'!$C$10:$C$224,$C226,'TL19'!$J$10:$J$224),0),
IF('TL19'!$B$229=Q$3,SUMIF('TL19'!$C$238:$C$451,$C226,'TL19'!$J$238:$J$451),0)
),0)</f>
        <v>0</v>
      </c>
      <c r="R226" s="9">
        <f>IFERROR(
SUM(
SUMIF('TL01'!C:C,C226,'TL01'!J:J),
SUMIF('TL02'!C:C,C226,'TL02'!J:J),
SUMIF('TL03'!C:C,C226,'TL03'!J:J),
SUMIF('TL04'!C:C,C226,'TL04'!J:J),
SUMIF('TL05'!C:C,C226,'TL05'!J:J),
SUMIF('TL06'!C:C,C226,'TL06'!J:J),
SUMIF('TL07'!C:C,C226,'TL07'!J:J),
SUMIF('TL08'!C:C,C226,'TL08'!J:J),
SUMIF('TL09'!C:C,C226,'TL09'!J:J),
SUMIF('TL10'!C:C,C226,'TL10'!J:J),
SUMIF('TL11'!C:C,C226,'TL11'!J:J),
SUMIF('TL12'!C:C,C226,'TL12'!J:J),
SUMIF('TL13'!C:C,C226,'TL13'!J:J),
SUMIF('TL14'!C:C,C226,'TL14'!J:J),
SUMIF('TL15'!C:C,C226,'TL15'!J:J),
SUMIF('TL16'!C:C,C226,'TL16'!J:J),
SUMIF('TL17'!C:C,C226,'TL17'!J:J),
SUMIF('TL18'!C:C,C226,'TL18'!J:J),SUMIF('TL19'!C:C,C226,'TL19'!J:J))
,0)</f>
        <v>0</v>
      </c>
      <c r="S226" s="17">
        <f>IFERROR(__xludf.DUMMYFUNCTION("IFERROR(VLOOKUP(C226,
IMPORTRANGE(""1wULbzX32WdYsx-lj2U3uUNBBe2INVIRDtcK0d-Dvl90"",
""26-27!C:G""),
5,
FALSE),
"""")"),103.94511)</f>
        <v>103.94511</v>
      </c>
      <c r="T226" s="9"/>
      <c r="U226" s="92">
        <f t="shared" si="2"/>
        <v>0</v>
      </c>
      <c r="V226" s="93">
        <f t="shared" si="3"/>
        <v>0</v>
      </c>
    </row>
    <row r="227" ht="15.75" hidden="1" customHeight="1">
      <c r="A227" s="94" t="s">
        <v>356</v>
      </c>
      <c r="B227" s="95" t="s">
        <v>2</v>
      </c>
      <c r="C227" s="96" t="s">
        <v>868</v>
      </c>
      <c r="D227" s="96" t="s">
        <v>869</v>
      </c>
      <c r="E227" s="96">
        <v>300.0</v>
      </c>
      <c r="F227" s="4" t="s">
        <v>343</v>
      </c>
      <c r="G227" s="90" t="str">
        <f t="shared" si="4"/>
        <v>📄 Ver bula</v>
      </c>
      <c r="H227" s="9">
        <f>IFERROR(__xludf.DUMMYFUNCTION("IFERROR(VLOOKUP(C227,
IMPORTRANGE(""1wULbzX32WdYsx-lj2U3uUNBBe2INVIRDtcK0d-Dvl90"",
""26-27!C:K""),
8,
FALSE),
"""")"),0.15)</f>
        <v>0.15</v>
      </c>
      <c r="I227" s="97" t="s">
        <v>361</v>
      </c>
      <c r="J227" s="9">
        <f>IFERROR(SUM(
IF('TL01'!$B$3=J$3,SUMIF('TL01'!$C$10:$C$224,$C227,'TL01'!$J$10:$J$224),0),
IF('TL01'!$B$229=J$3,SUMIF('TL01'!$C$238:$C$451,$C227,'TL01'!$J$238:$J$451),0),
IF('TL02'!$B$3=J$3,SUMIF('TL02'!$C$10:$C$224,$C227,'TL02'!$J$10:$J$224),0),
IF('TL02'!$B$229=J$3,SUMIF('TL02'!$C$238:$C$451,$C227,'TL02'!$J$238:$J$451),0),
IF('TL03'!$B$3=J$3,SUMIF('TL03'!$C$10:$C$224,$C227,'TL03'!$J$10:$J$224),0),
IF('TL03'!$B$229=J$3,SUMIF('TL03'!$C$238:$C$451,$C227,'TL03'!$J$238:$J$451),0),
IF('TL04'!$B$3=J$3,SUMIF('TL04'!$C$10:$C$224,$C227,'TL04'!$J$10:$J$224),0),
IF('TL04'!$B$229=J$3,SUMIF('TL04'!$C$238:$C$451,$C227,'TL04'!$J$238:$J$451),0),
IF('TL05'!$B$3=J$3,SUMIF('TL05'!$C$10:$C$224,$C227,'TL05'!$J$10:$J$224),0),
IF('TL05'!$B$229=J$3,SUMIF('TL05'!$C$238:$C$451,$C227,'TL05'!$J$238:$J$451),0),
IF('TL06'!$B$3=J$3,SUMIF('TL06'!$C$10:$C$224,$C227,'TL06'!$J$10:$J$224),0),
IF('TL06'!$B$229=J$3,SUMIF('TL06'!$C$238:$C$451,$C227,'TL06'!$J$238:$J$451),0),
IF('TL07'!$B$3=J$3,SUMIF('TL07'!$C$10:$C$224,$C227,'TL07'!$J$10:$J$224),0),
IF('TL07'!$B$229=J$3,SUMIF('TL07'!$C$238:$C$451,$C227,'TL07'!$J$238:$J$451),0),
IF('TL08'!$B$3=J$3,SUMIF('TL08'!$C$10:$C$224,$C227,'TL08'!$J$10:$J$224),0),
IF('TL08'!$B$229=J$3,SUMIF('TL08'!$C$238:$C$451,$C227,'TL08'!$J$238:$J$451),0),
IF('TL09'!$B$3=J$3,SUMIF('TL09'!$C$10:$C$224,$C227,'TL09'!$J$10:$J$224),0),
IF('TL09'!$B$229=J$3,SUMIF('TL09'!$C$238:$C$451,$C227,'TL09'!$J$238:$J$451),0),
IF('TL10'!$B$3=J$3,SUMIF('TL10'!$C$10:$C$224,$C227,'TL10'!$J$10:$J$224),0),
IF('TL10'!$B$229=J$3,SUMIF('TL10'!$C$238:$C$451,$C227,'TL10'!$J$238:$J$451),0),
IF('TL11'!$B$3=J$3,SUMIF('TL11'!$C$10:$C$224,$C227,'TL11'!$J$10:$J$224),0),
IF('TL11'!$B$229=J$3,SUMIF('TL11'!$C$238:$C$451,$C227,'TL11'!$J$238:$J$451),0),
IF('TL12'!$B$3=J$3,SUMIF('TL12'!$C$10:$C$224,$C227,'TL12'!$J$10:$J$224),0),
IF('TL12'!$B$229=J$3,SUMIF('TL12'!$C$238:$C$451,$C227,'TL12'!$J$238:$J$451),0),
IF('TL13'!$B$3=J$3,SUMIF('TL13'!$C$10:$C$224,$C227,'TL13'!$J$10:$J$224),0),
IF('TL13'!$B$229=J$3,SUMIF('TL13'!$C$238:$C$451,$C227,'TL13'!$J$238:$J$451),0),
IF('TL14'!$B$3=J$3,SUMIF('TL14'!$C$10:$C$224,$C227,'TL14'!$J$10:$J$224),0),
IF('TL14'!$B$229=J$3,SUMIF('TL14'!$C$238:$C$451,$C227,'TL14'!$J$238:$J$451),0),
IF('TL15'!$B$3=J$3,SUMIF('TL15'!$C$10:$C$224,$C227,'TL15'!$J$10:$J$224),0),
IF('TL15'!$B$229=J$3,SUMIF('TL15'!$C$238:$C$451,$C227,'TL15'!$J$238:$J$451),0),
IF('TL16'!$B$3=J$3,SUMIF('TL16'!$C$10:$C$224,$C227,'TL16'!$J$10:$J$224),0),
IF('TL16'!$B$229=J$3,SUMIF('TL16'!$C$238:$C$451,$C227,'TL16'!$J$238:$J$451),0),
IF('TL17'!$B$3=J$3,SUMIF('TL17'!$C$10:$C$224,$C227,'TL17'!$J$10:$J$224),0),
IF('TL17'!$B$229=J$3,SUMIF('TL17'!$C$238:$C$451,$C227,'TL17'!$J$238:$J$451),0),
IF('TL18'!$B$3=J$3,SUMIF('TL18'!$C$10:$C$224,$C227,'TL18'!$J$10:$J$224),0),
IF('TL18'!$B$229=J$3,SUMIF('TL18'!$C$238:$C$451,$C227,'TL18'!$J$238:$J$451),0),
IF('TL19'!$B$3=J$3,SUMIF('TL19'!$C$10:$C$224,$C227,'TL19'!$J$10:$J$224),0),
IF('TL19'!$B$229=J$3,SUMIF('TL19'!$C$238:$C$451,$C227,'TL19'!$J$238:$J$451),0)
),0)</f>
        <v>0</v>
      </c>
      <c r="K227" s="9">
        <f>IFERROR(SUM(
IF('TL01'!$B$3=K$3,SUMIF('TL01'!$C$10:$C$224,$C227,'TL01'!$J$10:$J$224),0),
IF('TL01'!$B$229=K$3,SUMIF('TL01'!$C$238:$C$451,$C227,'TL01'!$J$238:$J$451),0),
IF('TL02'!$B$3=K$3,SUMIF('TL02'!$C$10:$C$224,$C227,'TL02'!$J$10:$J$224),0),
IF('TL02'!$B$229=K$3,SUMIF('TL02'!$C$238:$C$451,$C227,'TL02'!$J$238:$J$451),0),
IF('TL03'!$B$3=K$3,SUMIF('TL03'!$C$10:$C$224,$C227,'TL03'!$J$10:$J$224),0),
IF('TL03'!$B$229=K$3,SUMIF('TL03'!$C$238:$C$451,$C227,'TL03'!$J$238:$J$451),0),
IF('TL04'!$B$3=K$3,SUMIF('TL04'!$C$10:$C$224,$C227,'TL04'!$J$10:$J$224),0),
IF('TL04'!$B$229=K$3,SUMIF('TL04'!$C$238:$C$451,$C227,'TL04'!$J$238:$J$451),0),
IF('TL05'!$B$3=K$3,SUMIF('TL05'!$C$10:$C$224,$C227,'TL05'!$J$10:$J$224),0),
IF('TL05'!$B$229=K$3,SUMIF('TL05'!$C$238:$C$451,$C227,'TL05'!$J$238:$J$451),0),
IF('TL06'!$B$3=K$3,SUMIF('TL06'!$C$10:$C$224,$C227,'TL06'!$J$10:$J$224),0),
IF('TL06'!$B$229=K$3,SUMIF('TL06'!$C$238:$C$451,$C227,'TL06'!$J$238:$J$451),0),
IF('TL07'!$B$3=K$3,SUMIF('TL07'!$C$10:$C$224,$C227,'TL07'!$J$10:$J$224),0),
IF('TL07'!$B$229=K$3,SUMIF('TL07'!$C$238:$C$451,$C227,'TL07'!$J$238:$J$451),0),
IF('TL08'!$B$3=K$3,SUMIF('TL08'!$C$10:$C$224,$C227,'TL08'!$J$10:$J$224),0),
IF('TL08'!$B$229=K$3,SUMIF('TL08'!$C$238:$C$451,$C227,'TL08'!$J$238:$J$451),0),
IF('TL09'!$B$3=K$3,SUMIF('TL09'!$C$10:$C$224,$C227,'TL09'!$J$10:$J$224),0),
IF('TL09'!$B$229=K$3,SUMIF('TL09'!$C$238:$C$451,$C227,'TL09'!$J$238:$J$451),0),
IF('TL10'!$B$3=K$3,SUMIF('TL10'!$C$10:$C$224,$C227,'TL10'!$J$10:$J$224),0),
IF('TL10'!$B$229=K$3,SUMIF('TL10'!$C$238:$C$451,$C227,'TL10'!$J$238:$J$451),0),
IF('TL11'!$B$3=K$3,SUMIF('TL11'!$C$10:$C$224,$C227,'TL11'!$J$10:$J$224),0),
IF('TL11'!$B$229=K$3,SUMIF('TL11'!$C$238:$C$451,$C227,'TL11'!$J$238:$J$451),0),
IF('TL12'!$B$3=K$3,SUMIF('TL12'!$C$10:$C$224,$C227,'TL12'!$J$10:$J$224),0),
IF('TL12'!$B$229=K$3,SUMIF('TL12'!$C$238:$C$451,$C227,'TL12'!$J$238:$J$451),0),
IF('TL13'!$B$3=K$3,SUMIF('TL13'!$C$10:$C$224,$C227,'TL13'!$J$10:$J$224),0),
IF('TL13'!$B$229=K$3,SUMIF('TL13'!$C$238:$C$451,$C227,'TL13'!$J$238:$J$451),0),
IF('TL14'!$B$3=K$3,SUMIF('TL14'!$C$10:$C$224,$C227,'TL14'!$J$10:$J$224),0),
IF('TL14'!$B$229=K$3,SUMIF('TL14'!$C$238:$C$451,$C227,'TL14'!$J$238:$J$451),0),
IF('TL15'!$B$3=K$3,SUMIF('TL15'!$C$10:$C$224,$C227,'TL15'!$J$10:$J$224),0),
IF('TL15'!$B$229=K$3,SUMIF('TL15'!$C$238:$C$451,$C227,'TL15'!$J$238:$J$451),0),
IF('TL16'!$B$3=K$3,SUMIF('TL16'!$C$10:$C$224,$C227,'TL16'!$J$10:$J$224),0),
IF('TL16'!$B$229=K$3,SUMIF('TL16'!$C$238:$C$451,$C227,'TL16'!$J$238:$J$451),0),
IF('TL17'!$B$3=K$3,SUMIF('TL17'!$C$10:$C$224,$C227,'TL17'!$J$10:$J$224),0),
IF('TL17'!$B$229=K$3,SUMIF('TL17'!$C$238:$C$451,$C227,'TL17'!$J$238:$J$451),0),
IF('TL18'!$B$3=K$3,SUMIF('TL18'!$C$10:$C$224,$C227,'TL18'!$J$10:$J$224),0),
IF('TL18'!$B$229=K$3,SUMIF('TL18'!$C$238:$C$451,$C227,'TL18'!$J$238:$J$451),0),
IF('TL19'!$B$3=K$3,SUMIF('TL19'!$C$10:$C$224,$C227,'TL19'!$J$10:$J$224),0),
IF('TL19'!$B$229=K$3,SUMIF('TL19'!$C$238:$C$451,$C227,'TL19'!$J$238:$J$451),0)
),0)</f>
        <v>0</v>
      </c>
      <c r="L227" s="9">
        <f>IFERROR(SUM(
IF('TL01'!$B$3=L$3,SUMIF('TL01'!$C$10:$C$224,$C227,'TL01'!$J$10:$J$224),0),
IF('TL01'!$B$229=L$3,SUMIF('TL01'!$C$238:$C$451,$C227,'TL01'!$J$238:$J$451),0),
IF('TL02'!$B$3=L$3,SUMIF('TL02'!$C$10:$C$224,$C227,'TL02'!$J$10:$J$224),0),
IF('TL02'!$B$229=L$3,SUMIF('TL02'!$C$238:$C$451,$C227,'TL02'!$J$238:$J$451),0),
IF('TL03'!$B$3=L$3,SUMIF('TL03'!$C$10:$C$224,$C227,'TL03'!$J$10:$J$224),0),
IF('TL03'!$B$229=L$3,SUMIF('TL03'!$C$238:$C$451,$C227,'TL03'!$J$238:$J$451),0),
IF('TL04'!$B$3=L$3,SUMIF('TL04'!$C$10:$C$224,$C227,'TL04'!$J$10:$J$224),0),
IF('TL04'!$B$229=L$3,SUMIF('TL04'!$C$238:$C$451,$C227,'TL04'!$J$238:$J$451),0),
IF('TL05'!$B$3=L$3,SUMIF('TL05'!$C$10:$C$224,$C227,'TL05'!$J$10:$J$224),0),
IF('TL05'!$B$229=L$3,SUMIF('TL05'!$C$238:$C$451,$C227,'TL05'!$J$238:$J$451),0),
IF('TL06'!$B$3=L$3,SUMIF('TL06'!$C$10:$C$224,$C227,'TL06'!$J$10:$J$224),0),
IF('TL06'!$B$229=L$3,SUMIF('TL06'!$C$238:$C$451,$C227,'TL06'!$J$238:$J$451),0),
IF('TL07'!$B$3=L$3,SUMIF('TL07'!$C$10:$C$224,$C227,'TL07'!$J$10:$J$224),0),
IF('TL07'!$B$229=L$3,SUMIF('TL07'!$C$238:$C$451,$C227,'TL07'!$J$238:$J$451),0),
IF('TL08'!$B$3=L$3,SUMIF('TL08'!$C$10:$C$224,$C227,'TL08'!$J$10:$J$224),0),
IF('TL08'!$B$229=L$3,SUMIF('TL08'!$C$238:$C$451,$C227,'TL08'!$J$238:$J$451),0),
IF('TL09'!$B$3=L$3,SUMIF('TL09'!$C$10:$C$224,$C227,'TL09'!$J$10:$J$224),0),
IF('TL09'!$B$229=L$3,SUMIF('TL09'!$C$238:$C$451,$C227,'TL09'!$J$238:$J$451),0),
IF('TL10'!$B$3=L$3,SUMIF('TL10'!$C$10:$C$224,$C227,'TL10'!$J$10:$J$224),0),
IF('TL10'!$B$229=L$3,SUMIF('TL10'!$C$238:$C$451,$C227,'TL10'!$J$238:$J$451),0),
IF('TL11'!$B$3=L$3,SUMIF('TL11'!$C$10:$C$224,$C227,'TL11'!$J$10:$J$224),0),
IF('TL11'!$B$229=L$3,SUMIF('TL11'!$C$238:$C$451,$C227,'TL11'!$J$238:$J$451),0),
IF('TL12'!$B$3=L$3,SUMIF('TL12'!$C$10:$C$224,$C227,'TL12'!$J$10:$J$224),0),
IF('TL12'!$B$229=L$3,SUMIF('TL12'!$C$238:$C$451,$C227,'TL12'!$J$238:$J$451),0),
IF('TL13'!$B$3=L$3,SUMIF('TL13'!$C$10:$C$224,$C227,'TL13'!$J$10:$J$224),0),
IF('TL13'!$B$229=L$3,SUMIF('TL13'!$C$238:$C$451,$C227,'TL13'!$J$238:$J$451),0),
IF('TL14'!$B$3=L$3,SUMIF('TL14'!$C$10:$C$224,$C227,'TL14'!$J$10:$J$224),0),
IF('TL14'!$B$229=L$3,SUMIF('TL14'!$C$238:$C$451,$C227,'TL14'!$J$238:$J$451),0),
IF('TL15'!$B$3=L$3,SUMIF('TL15'!$C$10:$C$224,$C227,'TL15'!$J$10:$J$224),0),
IF('TL15'!$B$229=L$3,SUMIF('TL15'!$C$238:$C$451,$C227,'TL15'!$J$238:$J$451),0),
IF('TL16'!$B$3=L$3,SUMIF('TL16'!$C$10:$C$224,$C227,'TL16'!$J$10:$J$224),0),
IF('TL16'!$B$229=L$3,SUMIF('TL16'!$C$238:$C$451,$C227,'TL16'!$J$238:$J$451),0),
IF('TL17'!$B$3=L$3,SUMIF('TL17'!$C$10:$C$224,$C227,'TL17'!$J$10:$J$224),0),
IF('TL17'!$B$229=L$3,SUMIF('TL17'!$C$238:$C$451,$C227,'TL17'!$J$238:$J$451),0),
IF('TL18'!$B$3=L$3,SUMIF('TL18'!$C$10:$C$224,$C227,'TL18'!$J$10:$J$224),0),
IF('TL18'!$B$229=L$3,SUMIF('TL18'!$C$238:$C$451,$C227,'TL18'!$J$238:$J$451),0),
IF('TL19'!$B$3=L$3,SUMIF('TL19'!$C$10:$C$224,$C227,'TL19'!$J$10:$J$224),0),
IF('TL19'!$B$229=L$3,SUMIF('TL19'!$C$238:$C$451,$C227,'TL19'!$J$238:$J$451),0)
),0)</f>
        <v>0</v>
      </c>
      <c r="M227" s="9">
        <f>IFERROR(SUM(
IF('TL01'!$B$3=M$3,SUMIF('TL01'!$C$10:$C$224,$C227,'TL01'!$J$10:$J$224),0),
IF('TL01'!$B$229=M$3,SUMIF('TL01'!$C$238:$C$451,$C227,'TL01'!$J$238:$J$451),0),
IF('TL02'!$B$3=M$3,SUMIF('TL02'!$C$10:$C$224,$C227,'TL02'!$J$10:$J$224),0),
IF('TL02'!$B$229=M$3,SUMIF('TL02'!$C$238:$C$451,$C227,'TL02'!$J$238:$J$451),0),
IF('TL03'!$B$3=M$3,SUMIF('TL03'!$C$10:$C$224,$C227,'TL03'!$J$10:$J$224),0),
IF('TL03'!$B$229=M$3,SUMIF('TL03'!$C$238:$C$451,$C227,'TL03'!$J$238:$J$451),0),
IF('TL04'!$B$3=M$3,SUMIF('TL04'!$C$10:$C$224,$C227,'TL04'!$J$10:$J$224),0),
IF('TL04'!$B$229=M$3,SUMIF('TL04'!$C$238:$C$451,$C227,'TL04'!$J$238:$J$451),0),
IF('TL05'!$B$3=M$3,SUMIF('TL05'!$C$10:$C$224,$C227,'TL05'!$J$10:$J$224),0),
IF('TL05'!$B$229=M$3,SUMIF('TL05'!$C$238:$C$451,$C227,'TL05'!$J$238:$J$451),0),
IF('TL06'!$B$3=M$3,SUMIF('TL06'!$C$10:$C$224,$C227,'TL06'!$J$10:$J$224),0),
IF('TL06'!$B$229=M$3,SUMIF('TL06'!$C$238:$C$451,$C227,'TL06'!$J$238:$J$451),0),
IF('TL07'!$B$3=M$3,SUMIF('TL07'!$C$10:$C$224,$C227,'TL07'!$J$10:$J$224),0),
IF('TL07'!$B$229=M$3,SUMIF('TL07'!$C$238:$C$451,$C227,'TL07'!$J$238:$J$451),0),
IF('TL08'!$B$3=M$3,SUMIF('TL08'!$C$10:$C$224,$C227,'TL08'!$J$10:$J$224),0),
IF('TL08'!$B$229=M$3,SUMIF('TL08'!$C$238:$C$451,$C227,'TL08'!$J$238:$J$451),0),
IF('TL09'!$B$3=M$3,SUMIF('TL09'!$C$10:$C$224,$C227,'TL09'!$J$10:$J$224),0),
IF('TL09'!$B$229=M$3,SUMIF('TL09'!$C$238:$C$451,$C227,'TL09'!$J$238:$J$451),0),
IF('TL10'!$B$3=M$3,SUMIF('TL10'!$C$10:$C$224,$C227,'TL10'!$J$10:$J$224),0),
IF('TL10'!$B$229=M$3,SUMIF('TL10'!$C$238:$C$451,$C227,'TL10'!$J$238:$J$451),0),
IF('TL11'!$B$3=M$3,SUMIF('TL11'!$C$10:$C$224,$C227,'TL11'!$J$10:$J$224),0),
IF('TL11'!$B$229=M$3,SUMIF('TL11'!$C$238:$C$451,$C227,'TL11'!$J$238:$J$451),0),
IF('TL12'!$B$3=M$3,SUMIF('TL12'!$C$10:$C$224,$C227,'TL12'!$J$10:$J$224),0),
IF('TL12'!$B$229=M$3,SUMIF('TL12'!$C$238:$C$451,$C227,'TL12'!$J$238:$J$451),0),
IF('TL13'!$B$3=M$3,SUMIF('TL13'!$C$10:$C$224,$C227,'TL13'!$J$10:$J$224),0),
IF('TL13'!$B$229=M$3,SUMIF('TL13'!$C$238:$C$451,$C227,'TL13'!$J$238:$J$451),0),
IF('TL14'!$B$3=M$3,SUMIF('TL14'!$C$10:$C$224,$C227,'TL14'!$J$10:$J$224),0),
IF('TL14'!$B$229=M$3,SUMIF('TL14'!$C$238:$C$451,$C227,'TL14'!$J$238:$J$451),0),
IF('TL15'!$B$3=M$3,SUMIF('TL15'!$C$10:$C$224,$C227,'TL15'!$J$10:$J$224),0),
IF('TL15'!$B$229=M$3,SUMIF('TL15'!$C$238:$C$451,$C227,'TL15'!$J$238:$J$451),0),
IF('TL16'!$B$3=M$3,SUMIF('TL16'!$C$10:$C$224,$C227,'TL16'!$J$10:$J$224),0),
IF('TL16'!$B$229=M$3,SUMIF('TL16'!$C$238:$C$451,$C227,'TL16'!$J$238:$J$451),0),
IF('TL17'!$B$3=M$3,SUMIF('TL17'!$C$10:$C$224,$C227,'TL17'!$J$10:$J$224),0),
IF('TL17'!$B$229=M$3,SUMIF('TL17'!$C$238:$C$451,$C227,'TL17'!$J$238:$J$451),0),
IF('TL18'!$B$3=M$3,SUMIF('TL18'!$C$10:$C$224,$C227,'TL18'!$J$10:$J$224),0),
IF('TL18'!$B$229=M$3,SUMIF('TL18'!$C$238:$C$451,$C227,'TL18'!$J$238:$J$451),0),
IF('TL19'!$B$3=M$3,SUMIF('TL19'!$C$10:$C$224,$C227,'TL19'!$J$10:$J$224),0),
IF('TL19'!$B$229=M$3,SUMIF('TL19'!$C$238:$C$451,$C227,'TL19'!$J$238:$J$451),0)
),0)</f>
        <v>0</v>
      </c>
      <c r="N227" s="9">
        <f>IFERROR(SUM(
IF('TL01'!$B$3=N$3,SUMIF('TL01'!$C$10:$C$224,$C227,'TL01'!$J$10:$J$224),0),
IF('TL01'!$B$229=N$3,SUMIF('TL01'!$C$238:$C$451,$C227,'TL01'!$J$238:$J$451),0),
IF('TL02'!$B$3=N$3,SUMIF('TL02'!$C$10:$C$224,$C227,'TL02'!$J$10:$J$224),0),
IF('TL02'!$B$229=N$3,SUMIF('TL02'!$C$238:$C$451,$C227,'TL02'!$J$238:$J$451),0),
IF('TL03'!$B$3=N$3,SUMIF('TL03'!$C$10:$C$224,$C227,'TL03'!$J$10:$J$224),0),
IF('TL03'!$B$229=N$3,SUMIF('TL03'!$C$238:$C$451,$C227,'TL03'!$J$238:$J$451),0),
IF('TL04'!$B$3=N$3,SUMIF('TL04'!$C$10:$C$224,$C227,'TL04'!$J$10:$J$224),0),
IF('TL04'!$B$229=N$3,SUMIF('TL04'!$C$238:$C$451,$C227,'TL04'!$J$238:$J$451),0),
IF('TL05'!$B$3=N$3,SUMIF('TL05'!$C$10:$C$224,$C227,'TL05'!$J$10:$J$224),0),
IF('TL05'!$B$229=N$3,SUMIF('TL05'!$C$238:$C$451,$C227,'TL05'!$J$238:$J$451),0),
IF('TL06'!$B$3=N$3,SUMIF('TL06'!$C$10:$C$224,$C227,'TL06'!$J$10:$J$224),0),
IF('TL06'!$B$229=N$3,SUMIF('TL06'!$C$238:$C$451,$C227,'TL06'!$J$238:$J$451),0),
IF('TL07'!$B$3=N$3,SUMIF('TL07'!$C$10:$C$224,$C227,'TL07'!$J$10:$J$224),0),
IF('TL07'!$B$229=N$3,SUMIF('TL07'!$C$238:$C$451,$C227,'TL07'!$J$238:$J$451),0),
IF('TL08'!$B$3=N$3,SUMIF('TL08'!$C$10:$C$224,$C227,'TL08'!$J$10:$J$224),0),
IF('TL08'!$B$229=N$3,SUMIF('TL08'!$C$238:$C$451,$C227,'TL08'!$J$238:$J$451),0),
IF('TL09'!$B$3=N$3,SUMIF('TL09'!$C$10:$C$224,$C227,'TL09'!$J$10:$J$224),0),
IF('TL09'!$B$229=N$3,SUMIF('TL09'!$C$238:$C$451,$C227,'TL09'!$J$238:$J$451),0),
IF('TL10'!$B$3=N$3,SUMIF('TL10'!$C$10:$C$224,$C227,'TL10'!$J$10:$J$224),0),
IF('TL10'!$B$229=N$3,SUMIF('TL10'!$C$238:$C$451,$C227,'TL10'!$J$238:$J$451),0),
IF('TL11'!$B$3=N$3,SUMIF('TL11'!$C$10:$C$224,$C227,'TL11'!$J$10:$J$224),0),
IF('TL11'!$B$229=N$3,SUMIF('TL11'!$C$238:$C$451,$C227,'TL11'!$J$238:$J$451),0),
IF('TL12'!$B$3=N$3,SUMIF('TL12'!$C$10:$C$224,$C227,'TL12'!$J$10:$J$224),0),
IF('TL12'!$B$229=N$3,SUMIF('TL12'!$C$238:$C$451,$C227,'TL12'!$J$238:$J$451),0),
IF('TL13'!$B$3=N$3,SUMIF('TL13'!$C$10:$C$224,$C227,'TL13'!$J$10:$J$224),0),
IF('TL13'!$B$229=N$3,SUMIF('TL13'!$C$238:$C$451,$C227,'TL13'!$J$238:$J$451),0),
IF('TL14'!$B$3=N$3,SUMIF('TL14'!$C$10:$C$224,$C227,'TL14'!$J$10:$J$224),0),
IF('TL14'!$B$229=N$3,SUMIF('TL14'!$C$238:$C$451,$C227,'TL14'!$J$238:$J$451),0),
IF('TL15'!$B$3=N$3,SUMIF('TL15'!$C$10:$C$224,$C227,'TL15'!$J$10:$J$224),0),
IF('TL15'!$B$229=N$3,SUMIF('TL15'!$C$238:$C$451,$C227,'TL15'!$J$238:$J$451),0),
IF('TL16'!$B$3=N$3,SUMIF('TL16'!$C$10:$C$224,$C227,'TL16'!$J$10:$J$224),0),
IF('TL16'!$B$229=N$3,SUMIF('TL16'!$C$238:$C$451,$C227,'TL16'!$J$238:$J$451),0),
IF('TL17'!$B$3=N$3,SUMIF('TL17'!$C$10:$C$224,$C227,'TL17'!$J$10:$J$224),0),
IF('TL17'!$B$229=N$3,SUMIF('TL17'!$C$238:$C$451,$C227,'TL17'!$J$238:$J$451),0),
IF('TL18'!$B$3=N$3,SUMIF('TL18'!$C$10:$C$224,$C227,'TL18'!$J$10:$J$224),0),
IF('TL18'!$B$229=N$3,SUMIF('TL18'!$C$238:$C$451,$C227,'TL18'!$J$238:$J$451),0),
IF('TL19'!$B$3=N$3,SUMIF('TL19'!$C$10:$C$224,$C227,'TL19'!$J$10:$J$224),0),
IF('TL19'!$B$229=N$3,SUMIF('TL19'!$C$238:$C$451,$C227,'TL19'!$J$238:$J$451),0)
),0)</f>
        <v>0</v>
      </c>
      <c r="O227" s="9">
        <f>IFERROR(SUM(
IF('TL01'!$B$3=O$3,SUMIF('TL01'!$C$10:$C$224,$C227,'TL01'!$J$10:$J$224),0),
IF('TL01'!$B$229=O$3,SUMIF('TL01'!$C$238:$C$451,$C227,'TL01'!$J$238:$J$451),0),
IF('TL02'!$B$3=O$3,SUMIF('TL02'!$C$10:$C$224,$C227,'TL02'!$J$10:$J$224),0),
IF('TL02'!$B$229=O$3,SUMIF('TL02'!$C$238:$C$451,$C227,'TL02'!$J$238:$J$451),0),
IF('TL03'!$B$3=O$3,SUMIF('TL03'!$C$10:$C$224,$C227,'TL03'!$J$10:$J$224),0),
IF('TL03'!$B$229=O$3,SUMIF('TL03'!$C$238:$C$451,$C227,'TL03'!$J$238:$J$451),0),
IF('TL04'!$B$3=O$3,SUMIF('TL04'!$C$10:$C$224,$C227,'TL04'!$J$10:$J$224),0),
IF('TL04'!$B$229=O$3,SUMIF('TL04'!$C$238:$C$451,$C227,'TL04'!$J$238:$J$451),0),
IF('TL05'!$B$3=O$3,SUMIF('TL05'!$C$10:$C$224,$C227,'TL05'!$J$10:$J$224),0),
IF('TL05'!$B$229=O$3,SUMIF('TL05'!$C$238:$C$451,$C227,'TL05'!$J$238:$J$451),0),
IF('TL06'!$B$3=O$3,SUMIF('TL06'!$C$10:$C$224,$C227,'TL06'!$J$10:$J$224),0),
IF('TL06'!$B$229=O$3,SUMIF('TL06'!$C$238:$C$451,$C227,'TL06'!$J$238:$J$451),0),
IF('TL07'!$B$3=O$3,SUMIF('TL07'!$C$10:$C$224,$C227,'TL07'!$J$10:$J$224),0),
IF('TL07'!$B$229=O$3,SUMIF('TL07'!$C$238:$C$451,$C227,'TL07'!$J$238:$J$451),0),
IF('TL08'!$B$3=O$3,SUMIF('TL08'!$C$10:$C$224,$C227,'TL08'!$J$10:$J$224),0),
IF('TL08'!$B$229=O$3,SUMIF('TL08'!$C$238:$C$451,$C227,'TL08'!$J$238:$J$451),0),
IF('TL09'!$B$3=O$3,SUMIF('TL09'!$C$10:$C$224,$C227,'TL09'!$J$10:$J$224),0),
IF('TL09'!$B$229=O$3,SUMIF('TL09'!$C$238:$C$451,$C227,'TL09'!$J$238:$J$451),0),
IF('TL10'!$B$3=O$3,SUMIF('TL10'!$C$10:$C$224,$C227,'TL10'!$J$10:$J$224),0),
IF('TL10'!$B$229=O$3,SUMIF('TL10'!$C$238:$C$451,$C227,'TL10'!$J$238:$J$451),0),
IF('TL11'!$B$3=O$3,SUMIF('TL11'!$C$10:$C$224,$C227,'TL11'!$J$10:$J$224),0),
IF('TL11'!$B$229=O$3,SUMIF('TL11'!$C$238:$C$451,$C227,'TL11'!$J$238:$J$451),0),
IF('TL12'!$B$3=O$3,SUMIF('TL12'!$C$10:$C$224,$C227,'TL12'!$J$10:$J$224),0),
IF('TL12'!$B$229=O$3,SUMIF('TL12'!$C$238:$C$451,$C227,'TL12'!$J$238:$J$451),0),
IF('TL13'!$B$3=O$3,SUMIF('TL13'!$C$10:$C$224,$C227,'TL13'!$J$10:$J$224),0),
IF('TL13'!$B$229=O$3,SUMIF('TL13'!$C$238:$C$451,$C227,'TL13'!$J$238:$J$451),0),
IF('TL14'!$B$3=O$3,SUMIF('TL14'!$C$10:$C$224,$C227,'TL14'!$J$10:$J$224),0),
IF('TL14'!$B$229=O$3,SUMIF('TL14'!$C$238:$C$451,$C227,'TL14'!$J$238:$J$451),0),
IF('TL15'!$B$3=O$3,SUMIF('TL15'!$C$10:$C$224,$C227,'TL15'!$J$10:$J$224),0),
IF('TL15'!$B$229=O$3,SUMIF('TL15'!$C$238:$C$451,$C227,'TL15'!$J$238:$J$451),0),
IF('TL16'!$B$3=O$3,SUMIF('TL16'!$C$10:$C$224,$C227,'TL16'!$J$10:$J$224),0),
IF('TL16'!$B$229=O$3,SUMIF('TL16'!$C$238:$C$451,$C227,'TL16'!$J$238:$J$451),0),
IF('TL17'!$B$3=O$3,SUMIF('TL17'!$C$10:$C$224,$C227,'TL17'!$J$10:$J$224),0),
IF('TL17'!$B$229=O$3,SUMIF('TL17'!$C$238:$C$451,$C227,'TL17'!$J$238:$J$451),0),
IF('TL18'!$B$3=O$3,SUMIF('TL18'!$C$10:$C$224,$C227,'TL18'!$J$10:$J$224),0),
IF('TL18'!$B$229=O$3,SUMIF('TL18'!$C$238:$C$451,$C227,'TL18'!$J$238:$J$451),0),
IF('TL19'!$B$3=O$3,SUMIF('TL19'!$C$10:$C$224,$C227,'TL19'!$J$10:$J$224),0),
IF('TL19'!$B$229=O$3,SUMIF('TL19'!$C$238:$C$451,$C227,'TL19'!$J$238:$J$451),0)
),0)</f>
        <v>0</v>
      </c>
      <c r="P227" s="9">
        <f>IFERROR(SUM(
IF('TL01'!$B$3=P$3,SUMIF('TL01'!$C$10:$C$224,$C227,'TL01'!$J$10:$J$224),0),
IF('TL01'!$B$229=P$3,SUMIF('TL01'!$C$238:$C$451,$C227,'TL01'!$J$238:$J$451),0),
IF('TL02'!$B$3=P$3,SUMIF('TL02'!$C$10:$C$224,$C227,'TL02'!$J$10:$J$224),0),
IF('TL02'!$B$229=P$3,SUMIF('TL02'!$C$238:$C$451,$C227,'TL02'!$J$238:$J$451),0),
IF('TL03'!$B$3=P$3,SUMIF('TL03'!$C$10:$C$224,$C227,'TL03'!$J$10:$J$224),0),
IF('TL03'!$B$229=P$3,SUMIF('TL03'!$C$238:$C$451,$C227,'TL03'!$J$238:$J$451),0),
IF('TL04'!$B$3=P$3,SUMIF('TL04'!$C$10:$C$224,$C227,'TL04'!$J$10:$J$224),0),
IF('TL04'!$B$229=P$3,SUMIF('TL04'!$C$238:$C$451,$C227,'TL04'!$J$238:$J$451),0),
IF('TL05'!$B$3=P$3,SUMIF('TL05'!$C$10:$C$224,$C227,'TL05'!$J$10:$J$224),0),
IF('TL05'!$B$229=P$3,SUMIF('TL05'!$C$238:$C$451,$C227,'TL05'!$J$238:$J$451),0),
IF('TL06'!$B$3=P$3,SUMIF('TL06'!$C$10:$C$224,$C227,'TL06'!$J$10:$J$224),0),
IF('TL06'!$B$229=P$3,SUMIF('TL06'!$C$238:$C$451,$C227,'TL06'!$J$238:$J$451),0),
IF('TL07'!$B$3=P$3,SUMIF('TL07'!$C$10:$C$224,$C227,'TL07'!$J$10:$J$224),0),
IF('TL07'!$B$229=P$3,SUMIF('TL07'!$C$238:$C$451,$C227,'TL07'!$J$238:$J$451),0),
IF('TL08'!$B$3=P$3,SUMIF('TL08'!$C$10:$C$224,$C227,'TL08'!$J$10:$J$224),0),
IF('TL08'!$B$229=P$3,SUMIF('TL08'!$C$238:$C$451,$C227,'TL08'!$J$238:$J$451),0),
IF('TL09'!$B$3=P$3,SUMIF('TL09'!$C$10:$C$224,$C227,'TL09'!$J$10:$J$224),0),
IF('TL09'!$B$229=P$3,SUMIF('TL09'!$C$238:$C$451,$C227,'TL09'!$J$238:$J$451),0),
IF('TL10'!$B$3=P$3,SUMIF('TL10'!$C$10:$C$224,$C227,'TL10'!$J$10:$J$224),0),
IF('TL10'!$B$229=P$3,SUMIF('TL10'!$C$238:$C$451,$C227,'TL10'!$J$238:$J$451),0),
IF('TL11'!$B$3=P$3,SUMIF('TL11'!$C$10:$C$224,$C227,'TL11'!$J$10:$J$224),0),
IF('TL11'!$B$229=P$3,SUMIF('TL11'!$C$238:$C$451,$C227,'TL11'!$J$238:$J$451),0),
IF('TL12'!$B$3=P$3,SUMIF('TL12'!$C$10:$C$224,$C227,'TL12'!$J$10:$J$224),0),
IF('TL12'!$B$229=P$3,SUMIF('TL12'!$C$238:$C$451,$C227,'TL12'!$J$238:$J$451),0),
IF('TL13'!$B$3=P$3,SUMIF('TL13'!$C$10:$C$224,$C227,'TL13'!$J$10:$J$224),0),
IF('TL13'!$B$229=P$3,SUMIF('TL13'!$C$238:$C$451,$C227,'TL13'!$J$238:$J$451),0),
IF('TL14'!$B$3=P$3,SUMIF('TL14'!$C$10:$C$224,$C227,'TL14'!$J$10:$J$224),0),
IF('TL14'!$B$229=P$3,SUMIF('TL14'!$C$238:$C$451,$C227,'TL14'!$J$238:$J$451),0),
IF('TL15'!$B$3=P$3,SUMIF('TL15'!$C$10:$C$224,$C227,'TL15'!$J$10:$J$224),0),
IF('TL15'!$B$229=P$3,SUMIF('TL15'!$C$238:$C$451,$C227,'TL15'!$J$238:$J$451),0),
IF('TL16'!$B$3=P$3,SUMIF('TL16'!$C$10:$C$224,$C227,'TL16'!$J$10:$J$224),0),
IF('TL16'!$B$229=P$3,SUMIF('TL16'!$C$238:$C$451,$C227,'TL16'!$J$238:$J$451),0),
IF('TL17'!$B$3=P$3,SUMIF('TL17'!$C$10:$C$224,$C227,'TL17'!$J$10:$J$224),0),
IF('TL17'!$B$229=P$3,SUMIF('TL17'!$C$238:$C$451,$C227,'TL17'!$J$238:$J$451),0),
IF('TL18'!$B$3=P$3,SUMIF('TL18'!$C$10:$C$224,$C227,'TL18'!$J$10:$J$224),0),
IF('TL18'!$B$229=P$3,SUMIF('TL18'!$C$238:$C$451,$C227,'TL18'!$J$238:$J$451),0),
IF('TL19'!$B$3=P$3,SUMIF('TL19'!$C$10:$C$224,$C227,'TL19'!$J$10:$J$224),0),
IF('TL19'!$B$229=P$3,SUMIF('TL19'!$C$238:$C$451,$C227,'TL19'!$J$238:$J$451),0)
),0)</f>
        <v>0</v>
      </c>
      <c r="Q227" s="9">
        <f>IFERROR(SUM(
IF('TL01'!$B$3=Q$3,SUMIF('TL01'!$C$10:$C$224,$C227,'TL01'!$J$10:$J$224),0),
IF('TL01'!$B$229=Q$3,SUMIF('TL01'!$C$238:$C$451,$C227,'TL01'!$J$238:$J$451),0),
IF('TL02'!$B$3=Q$3,SUMIF('TL02'!$C$10:$C$224,$C227,'TL02'!$J$10:$J$224),0),
IF('TL02'!$B$229=Q$3,SUMIF('TL02'!$C$238:$C$451,$C227,'TL02'!$J$238:$J$451),0),
IF('TL03'!$B$3=Q$3,SUMIF('TL03'!$C$10:$C$224,$C227,'TL03'!$J$10:$J$224),0),
IF('TL03'!$B$229=Q$3,SUMIF('TL03'!$C$238:$C$451,$C227,'TL03'!$J$238:$J$451),0),
IF('TL04'!$B$3=Q$3,SUMIF('TL04'!$C$10:$C$224,$C227,'TL04'!$J$10:$J$224),0),
IF('TL04'!$B$229=Q$3,SUMIF('TL04'!$C$238:$C$451,$C227,'TL04'!$J$238:$J$451),0),
IF('TL05'!$B$3=Q$3,SUMIF('TL05'!$C$10:$C$224,$C227,'TL05'!$J$10:$J$224),0),
IF('TL05'!$B$229=Q$3,SUMIF('TL05'!$C$238:$C$451,$C227,'TL05'!$J$238:$J$451),0),
IF('TL06'!$B$3=Q$3,SUMIF('TL06'!$C$10:$C$224,$C227,'TL06'!$J$10:$J$224),0),
IF('TL06'!$B$229=Q$3,SUMIF('TL06'!$C$238:$C$451,$C227,'TL06'!$J$238:$J$451),0),
IF('TL07'!$B$3=Q$3,SUMIF('TL07'!$C$10:$C$224,$C227,'TL07'!$J$10:$J$224),0),
IF('TL07'!$B$229=Q$3,SUMIF('TL07'!$C$238:$C$451,$C227,'TL07'!$J$238:$J$451),0),
IF('TL08'!$B$3=Q$3,SUMIF('TL08'!$C$10:$C$224,$C227,'TL08'!$J$10:$J$224),0),
IF('TL08'!$B$229=Q$3,SUMIF('TL08'!$C$238:$C$451,$C227,'TL08'!$J$238:$J$451),0),
IF('TL09'!$B$3=Q$3,SUMIF('TL09'!$C$10:$C$224,$C227,'TL09'!$J$10:$J$224),0),
IF('TL09'!$B$229=Q$3,SUMIF('TL09'!$C$238:$C$451,$C227,'TL09'!$J$238:$J$451),0),
IF('TL10'!$B$3=Q$3,SUMIF('TL10'!$C$10:$C$224,$C227,'TL10'!$J$10:$J$224),0),
IF('TL10'!$B$229=Q$3,SUMIF('TL10'!$C$238:$C$451,$C227,'TL10'!$J$238:$J$451),0),
IF('TL11'!$B$3=Q$3,SUMIF('TL11'!$C$10:$C$224,$C227,'TL11'!$J$10:$J$224),0),
IF('TL11'!$B$229=Q$3,SUMIF('TL11'!$C$238:$C$451,$C227,'TL11'!$J$238:$J$451),0),
IF('TL12'!$B$3=Q$3,SUMIF('TL12'!$C$10:$C$224,$C227,'TL12'!$J$10:$J$224),0),
IF('TL12'!$B$229=Q$3,SUMIF('TL12'!$C$238:$C$451,$C227,'TL12'!$J$238:$J$451),0),
IF('TL13'!$B$3=Q$3,SUMIF('TL13'!$C$10:$C$224,$C227,'TL13'!$J$10:$J$224),0),
IF('TL13'!$B$229=Q$3,SUMIF('TL13'!$C$238:$C$451,$C227,'TL13'!$J$238:$J$451),0),
IF('TL14'!$B$3=Q$3,SUMIF('TL14'!$C$10:$C$224,$C227,'TL14'!$J$10:$J$224),0),
IF('TL14'!$B$229=Q$3,SUMIF('TL14'!$C$238:$C$451,$C227,'TL14'!$J$238:$J$451),0),
IF('TL15'!$B$3=Q$3,SUMIF('TL15'!$C$10:$C$224,$C227,'TL15'!$J$10:$J$224),0),
IF('TL15'!$B$229=Q$3,SUMIF('TL15'!$C$238:$C$451,$C227,'TL15'!$J$238:$J$451),0),
IF('TL16'!$B$3=Q$3,SUMIF('TL16'!$C$10:$C$224,$C227,'TL16'!$J$10:$J$224),0),
IF('TL16'!$B$229=Q$3,SUMIF('TL16'!$C$238:$C$451,$C227,'TL16'!$J$238:$J$451),0),
IF('TL17'!$B$3=Q$3,SUMIF('TL17'!$C$10:$C$224,$C227,'TL17'!$J$10:$J$224),0),
IF('TL17'!$B$229=Q$3,SUMIF('TL17'!$C$238:$C$451,$C227,'TL17'!$J$238:$J$451),0),
IF('TL18'!$B$3=Q$3,SUMIF('TL18'!$C$10:$C$224,$C227,'TL18'!$J$10:$J$224),0),
IF('TL18'!$B$229=Q$3,SUMIF('TL18'!$C$238:$C$451,$C227,'TL18'!$J$238:$J$451),0),
IF('TL19'!$B$3=Q$3,SUMIF('TL19'!$C$10:$C$224,$C227,'TL19'!$J$10:$J$224),0),
IF('TL19'!$B$229=Q$3,SUMIF('TL19'!$C$238:$C$451,$C227,'TL19'!$J$238:$J$451),0)
),0)</f>
        <v>0</v>
      </c>
      <c r="R227" s="9">
        <f>IFERROR(
SUM(
SUMIF('TL01'!C:C,C227,'TL01'!J:J),
SUMIF('TL02'!C:C,C227,'TL02'!J:J),
SUMIF('TL03'!C:C,C227,'TL03'!J:J),
SUMIF('TL04'!C:C,C227,'TL04'!J:J),
SUMIF('TL05'!C:C,C227,'TL05'!J:J),
SUMIF('TL06'!C:C,C227,'TL06'!J:J),
SUMIF('TL07'!C:C,C227,'TL07'!J:J),
SUMIF('TL08'!C:C,C227,'TL08'!J:J),
SUMIF('TL09'!C:C,C227,'TL09'!J:J),
SUMIF('TL10'!C:C,C227,'TL10'!J:J),
SUMIF('TL11'!C:C,C227,'TL11'!J:J),
SUMIF('TL12'!C:C,C227,'TL12'!J:J),
SUMIF('TL13'!C:C,C227,'TL13'!J:J),
SUMIF('TL14'!C:C,C227,'TL14'!J:J),
SUMIF('TL15'!C:C,C227,'TL15'!J:J),
SUMIF('TL16'!C:C,C227,'TL16'!J:J),
SUMIF('TL17'!C:C,C227,'TL17'!J:J),
SUMIF('TL18'!C:C,C227,'TL18'!J:J),SUMIF('TL19'!C:C,C227,'TL19'!J:J))
,0)</f>
        <v>0</v>
      </c>
      <c r="S227" s="17">
        <f>IFERROR(__xludf.DUMMYFUNCTION("IFERROR(VLOOKUP(C227,
IMPORTRANGE(""1wULbzX32WdYsx-lj2U3uUNBBe2INVIRDtcK0d-Dvl90"",
""26-27!C:G""),
5,
FALSE),
"""")"),72.51294)</f>
        <v>72.51294</v>
      </c>
      <c r="T227" s="9"/>
      <c r="U227" s="92">
        <f t="shared" si="2"/>
        <v>0</v>
      </c>
      <c r="V227" s="93">
        <f t="shared" si="3"/>
        <v>0</v>
      </c>
    </row>
    <row r="228" ht="15.75" hidden="1" customHeight="1">
      <c r="A228" s="87" t="s">
        <v>356</v>
      </c>
      <c r="B228" s="88" t="s">
        <v>2</v>
      </c>
      <c r="C228" s="89" t="s">
        <v>870</v>
      </c>
      <c r="D228" s="89" t="s">
        <v>871</v>
      </c>
      <c r="E228" s="89">
        <v>540.0</v>
      </c>
      <c r="F228" s="4" t="s">
        <v>343</v>
      </c>
      <c r="G228" s="90" t="str">
        <f t="shared" si="4"/>
        <v>📄 Ver bula</v>
      </c>
      <c r="H228" s="9" t="str">
        <f>IFERROR(__xludf.DUMMYFUNCTION("IFERROR(VLOOKUP(C228,
IMPORTRANGE(""1wULbzX32WdYsx-lj2U3uUNBBe2INVIRDtcK0d-Dvl90"",
""26-27!C:K""),
8,
FALSE),
"""")"),"")</f>
        <v/>
      </c>
      <c r="I228" s="91" t="s">
        <v>446</v>
      </c>
      <c r="J228" s="9">
        <f>IFERROR(SUM(
IF('TL01'!$B$3=J$3,SUMIF('TL01'!$C$10:$C$224,$C228,'TL01'!$J$10:$J$224),0),
IF('TL01'!$B$229=J$3,SUMIF('TL01'!$C$238:$C$451,$C228,'TL01'!$J$238:$J$451),0),
IF('TL02'!$B$3=J$3,SUMIF('TL02'!$C$10:$C$224,$C228,'TL02'!$J$10:$J$224),0),
IF('TL02'!$B$229=J$3,SUMIF('TL02'!$C$238:$C$451,$C228,'TL02'!$J$238:$J$451),0),
IF('TL03'!$B$3=J$3,SUMIF('TL03'!$C$10:$C$224,$C228,'TL03'!$J$10:$J$224),0),
IF('TL03'!$B$229=J$3,SUMIF('TL03'!$C$238:$C$451,$C228,'TL03'!$J$238:$J$451),0),
IF('TL04'!$B$3=J$3,SUMIF('TL04'!$C$10:$C$224,$C228,'TL04'!$J$10:$J$224),0),
IF('TL04'!$B$229=J$3,SUMIF('TL04'!$C$238:$C$451,$C228,'TL04'!$J$238:$J$451),0),
IF('TL05'!$B$3=J$3,SUMIF('TL05'!$C$10:$C$224,$C228,'TL05'!$J$10:$J$224),0),
IF('TL05'!$B$229=J$3,SUMIF('TL05'!$C$238:$C$451,$C228,'TL05'!$J$238:$J$451),0),
IF('TL06'!$B$3=J$3,SUMIF('TL06'!$C$10:$C$224,$C228,'TL06'!$J$10:$J$224),0),
IF('TL06'!$B$229=J$3,SUMIF('TL06'!$C$238:$C$451,$C228,'TL06'!$J$238:$J$451),0),
IF('TL07'!$B$3=J$3,SUMIF('TL07'!$C$10:$C$224,$C228,'TL07'!$J$10:$J$224),0),
IF('TL07'!$B$229=J$3,SUMIF('TL07'!$C$238:$C$451,$C228,'TL07'!$J$238:$J$451),0),
IF('TL08'!$B$3=J$3,SUMIF('TL08'!$C$10:$C$224,$C228,'TL08'!$J$10:$J$224),0),
IF('TL08'!$B$229=J$3,SUMIF('TL08'!$C$238:$C$451,$C228,'TL08'!$J$238:$J$451),0),
IF('TL09'!$B$3=J$3,SUMIF('TL09'!$C$10:$C$224,$C228,'TL09'!$J$10:$J$224),0),
IF('TL09'!$B$229=J$3,SUMIF('TL09'!$C$238:$C$451,$C228,'TL09'!$J$238:$J$451),0),
IF('TL10'!$B$3=J$3,SUMIF('TL10'!$C$10:$C$224,$C228,'TL10'!$J$10:$J$224),0),
IF('TL10'!$B$229=J$3,SUMIF('TL10'!$C$238:$C$451,$C228,'TL10'!$J$238:$J$451),0),
IF('TL11'!$B$3=J$3,SUMIF('TL11'!$C$10:$C$224,$C228,'TL11'!$J$10:$J$224),0),
IF('TL11'!$B$229=J$3,SUMIF('TL11'!$C$238:$C$451,$C228,'TL11'!$J$238:$J$451),0),
IF('TL12'!$B$3=J$3,SUMIF('TL12'!$C$10:$C$224,$C228,'TL12'!$J$10:$J$224),0),
IF('TL12'!$B$229=J$3,SUMIF('TL12'!$C$238:$C$451,$C228,'TL12'!$J$238:$J$451),0),
IF('TL13'!$B$3=J$3,SUMIF('TL13'!$C$10:$C$224,$C228,'TL13'!$J$10:$J$224),0),
IF('TL13'!$B$229=J$3,SUMIF('TL13'!$C$238:$C$451,$C228,'TL13'!$J$238:$J$451),0),
IF('TL14'!$B$3=J$3,SUMIF('TL14'!$C$10:$C$224,$C228,'TL14'!$J$10:$J$224),0),
IF('TL14'!$B$229=J$3,SUMIF('TL14'!$C$238:$C$451,$C228,'TL14'!$J$238:$J$451),0),
IF('TL15'!$B$3=J$3,SUMIF('TL15'!$C$10:$C$224,$C228,'TL15'!$J$10:$J$224),0),
IF('TL15'!$B$229=J$3,SUMIF('TL15'!$C$238:$C$451,$C228,'TL15'!$J$238:$J$451),0),
IF('TL16'!$B$3=J$3,SUMIF('TL16'!$C$10:$C$224,$C228,'TL16'!$J$10:$J$224),0),
IF('TL16'!$B$229=J$3,SUMIF('TL16'!$C$238:$C$451,$C228,'TL16'!$J$238:$J$451),0),
IF('TL17'!$B$3=J$3,SUMIF('TL17'!$C$10:$C$224,$C228,'TL17'!$J$10:$J$224),0),
IF('TL17'!$B$229=J$3,SUMIF('TL17'!$C$238:$C$451,$C228,'TL17'!$J$238:$J$451),0),
IF('TL18'!$B$3=J$3,SUMIF('TL18'!$C$10:$C$224,$C228,'TL18'!$J$10:$J$224),0),
IF('TL18'!$B$229=J$3,SUMIF('TL18'!$C$238:$C$451,$C228,'TL18'!$J$238:$J$451),0),
IF('TL19'!$B$3=J$3,SUMIF('TL19'!$C$10:$C$224,$C228,'TL19'!$J$10:$J$224),0),
IF('TL19'!$B$229=J$3,SUMIF('TL19'!$C$238:$C$451,$C228,'TL19'!$J$238:$J$451),0)
),0)</f>
        <v>0</v>
      </c>
      <c r="K228" s="9">
        <f>IFERROR(SUM(
IF('TL01'!$B$3=K$3,SUMIF('TL01'!$C$10:$C$224,$C228,'TL01'!$J$10:$J$224),0),
IF('TL01'!$B$229=K$3,SUMIF('TL01'!$C$238:$C$451,$C228,'TL01'!$J$238:$J$451),0),
IF('TL02'!$B$3=K$3,SUMIF('TL02'!$C$10:$C$224,$C228,'TL02'!$J$10:$J$224),0),
IF('TL02'!$B$229=K$3,SUMIF('TL02'!$C$238:$C$451,$C228,'TL02'!$J$238:$J$451),0),
IF('TL03'!$B$3=K$3,SUMIF('TL03'!$C$10:$C$224,$C228,'TL03'!$J$10:$J$224),0),
IF('TL03'!$B$229=K$3,SUMIF('TL03'!$C$238:$C$451,$C228,'TL03'!$J$238:$J$451),0),
IF('TL04'!$B$3=K$3,SUMIF('TL04'!$C$10:$C$224,$C228,'TL04'!$J$10:$J$224),0),
IF('TL04'!$B$229=K$3,SUMIF('TL04'!$C$238:$C$451,$C228,'TL04'!$J$238:$J$451),0),
IF('TL05'!$B$3=K$3,SUMIF('TL05'!$C$10:$C$224,$C228,'TL05'!$J$10:$J$224),0),
IF('TL05'!$B$229=K$3,SUMIF('TL05'!$C$238:$C$451,$C228,'TL05'!$J$238:$J$451),0),
IF('TL06'!$B$3=K$3,SUMIF('TL06'!$C$10:$C$224,$C228,'TL06'!$J$10:$J$224),0),
IF('TL06'!$B$229=K$3,SUMIF('TL06'!$C$238:$C$451,$C228,'TL06'!$J$238:$J$451),0),
IF('TL07'!$B$3=K$3,SUMIF('TL07'!$C$10:$C$224,$C228,'TL07'!$J$10:$J$224),0),
IF('TL07'!$B$229=K$3,SUMIF('TL07'!$C$238:$C$451,$C228,'TL07'!$J$238:$J$451),0),
IF('TL08'!$B$3=K$3,SUMIF('TL08'!$C$10:$C$224,$C228,'TL08'!$J$10:$J$224),0),
IF('TL08'!$B$229=K$3,SUMIF('TL08'!$C$238:$C$451,$C228,'TL08'!$J$238:$J$451),0),
IF('TL09'!$B$3=K$3,SUMIF('TL09'!$C$10:$C$224,$C228,'TL09'!$J$10:$J$224),0),
IF('TL09'!$B$229=K$3,SUMIF('TL09'!$C$238:$C$451,$C228,'TL09'!$J$238:$J$451),0),
IF('TL10'!$B$3=K$3,SUMIF('TL10'!$C$10:$C$224,$C228,'TL10'!$J$10:$J$224),0),
IF('TL10'!$B$229=K$3,SUMIF('TL10'!$C$238:$C$451,$C228,'TL10'!$J$238:$J$451),0),
IF('TL11'!$B$3=K$3,SUMIF('TL11'!$C$10:$C$224,$C228,'TL11'!$J$10:$J$224),0),
IF('TL11'!$B$229=K$3,SUMIF('TL11'!$C$238:$C$451,$C228,'TL11'!$J$238:$J$451),0),
IF('TL12'!$B$3=K$3,SUMIF('TL12'!$C$10:$C$224,$C228,'TL12'!$J$10:$J$224),0),
IF('TL12'!$B$229=K$3,SUMIF('TL12'!$C$238:$C$451,$C228,'TL12'!$J$238:$J$451),0),
IF('TL13'!$B$3=K$3,SUMIF('TL13'!$C$10:$C$224,$C228,'TL13'!$J$10:$J$224),0),
IF('TL13'!$B$229=K$3,SUMIF('TL13'!$C$238:$C$451,$C228,'TL13'!$J$238:$J$451),0),
IF('TL14'!$B$3=K$3,SUMIF('TL14'!$C$10:$C$224,$C228,'TL14'!$J$10:$J$224),0),
IF('TL14'!$B$229=K$3,SUMIF('TL14'!$C$238:$C$451,$C228,'TL14'!$J$238:$J$451),0),
IF('TL15'!$B$3=K$3,SUMIF('TL15'!$C$10:$C$224,$C228,'TL15'!$J$10:$J$224),0),
IF('TL15'!$B$229=K$3,SUMIF('TL15'!$C$238:$C$451,$C228,'TL15'!$J$238:$J$451),0),
IF('TL16'!$B$3=K$3,SUMIF('TL16'!$C$10:$C$224,$C228,'TL16'!$J$10:$J$224),0),
IF('TL16'!$B$229=K$3,SUMIF('TL16'!$C$238:$C$451,$C228,'TL16'!$J$238:$J$451),0),
IF('TL17'!$B$3=K$3,SUMIF('TL17'!$C$10:$C$224,$C228,'TL17'!$J$10:$J$224),0),
IF('TL17'!$B$229=K$3,SUMIF('TL17'!$C$238:$C$451,$C228,'TL17'!$J$238:$J$451),0),
IF('TL18'!$B$3=K$3,SUMIF('TL18'!$C$10:$C$224,$C228,'TL18'!$J$10:$J$224),0),
IF('TL18'!$B$229=K$3,SUMIF('TL18'!$C$238:$C$451,$C228,'TL18'!$J$238:$J$451),0),
IF('TL19'!$B$3=K$3,SUMIF('TL19'!$C$10:$C$224,$C228,'TL19'!$J$10:$J$224),0),
IF('TL19'!$B$229=K$3,SUMIF('TL19'!$C$238:$C$451,$C228,'TL19'!$J$238:$J$451),0)
),0)</f>
        <v>0</v>
      </c>
      <c r="L228" s="9">
        <f>IFERROR(SUM(
IF('TL01'!$B$3=L$3,SUMIF('TL01'!$C$10:$C$224,$C228,'TL01'!$J$10:$J$224),0),
IF('TL01'!$B$229=L$3,SUMIF('TL01'!$C$238:$C$451,$C228,'TL01'!$J$238:$J$451),0),
IF('TL02'!$B$3=L$3,SUMIF('TL02'!$C$10:$C$224,$C228,'TL02'!$J$10:$J$224),0),
IF('TL02'!$B$229=L$3,SUMIF('TL02'!$C$238:$C$451,$C228,'TL02'!$J$238:$J$451),0),
IF('TL03'!$B$3=L$3,SUMIF('TL03'!$C$10:$C$224,$C228,'TL03'!$J$10:$J$224),0),
IF('TL03'!$B$229=L$3,SUMIF('TL03'!$C$238:$C$451,$C228,'TL03'!$J$238:$J$451),0),
IF('TL04'!$B$3=L$3,SUMIF('TL04'!$C$10:$C$224,$C228,'TL04'!$J$10:$J$224),0),
IF('TL04'!$B$229=L$3,SUMIF('TL04'!$C$238:$C$451,$C228,'TL04'!$J$238:$J$451),0),
IF('TL05'!$B$3=L$3,SUMIF('TL05'!$C$10:$C$224,$C228,'TL05'!$J$10:$J$224),0),
IF('TL05'!$B$229=L$3,SUMIF('TL05'!$C$238:$C$451,$C228,'TL05'!$J$238:$J$451),0),
IF('TL06'!$B$3=L$3,SUMIF('TL06'!$C$10:$C$224,$C228,'TL06'!$J$10:$J$224),0),
IF('TL06'!$B$229=L$3,SUMIF('TL06'!$C$238:$C$451,$C228,'TL06'!$J$238:$J$451),0),
IF('TL07'!$B$3=L$3,SUMIF('TL07'!$C$10:$C$224,$C228,'TL07'!$J$10:$J$224),0),
IF('TL07'!$B$229=L$3,SUMIF('TL07'!$C$238:$C$451,$C228,'TL07'!$J$238:$J$451),0),
IF('TL08'!$B$3=L$3,SUMIF('TL08'!$C$10:$C$224,$C228,'TL08'!$J$10:$J$224),0),
IF('TL08'!$B$229=L$3,SUMIF('TL08'!$C$238:$C$451,$C228,'TL08'!$J$238:$J$451),0),
IF('TL09'!$B$3=L$3,SUMIF('TL09'!$C$10:$C$224,$C228,'TL09'!$J$10:$J$224),0),
IF('TL09'!$B$229=L$3,SUMIF('TL09'!$C$238:$C$451,$C228,'TL09'!$J$238:$J$451),0),
IF('TL10'!$B$3=L$3,SUMIF('TL10'!$C$10:$C$224,$C228,'TL10'!$J$10:$J$224),0),
IF('TL10'!$B$229=L$3,SUMIF('TL10'!$C$238:$C$451,$C228,'TL10'!$J$238:$J$451),0),
IF('TL11'!$B$3=L$3,SUMIF('TL11'!$C$10:$C$224,$C228,'TL11'!$J$10:$J$224),0),
IF('TL11'!$B$229=L$3,SUMIF('TL11'!$C$238:$C$451,$C228,'TL11'!$J$238:$J$451),0),
IF('TL12'!$B$3=L$3,SUMIF('TL12'!$C$10:$C$224,$C228,'TL12'!$J$10:$J$224),0),
IF('TL12'!$B$229=L$3,SUMIF('TL12'!$C$238:$C$451,$C228,'TL12'!$J$238:$J$451),0),
IF('TL13'!$B$3=L$3,SUMIF('TL13'!$C$10:$C$224,$C228,'TL13'!$J$10:$J$224),0),
IF('TL13'!$B$229=L$3,SUMIF('TL13'!$C$238:$C$451,$C228,'TL13'!$J$238:$J$451),0),
IF('TL14'!$B$3=L$3,SUMIF('TL14'!$C$10:$C$224,$C228,'TL14'!$J$10:$J$224),0),
IF('TL14'!$B$229=L$3,SUMIF('TL14'!$C$238:$C$451,$C228,'TL14'!$J$238:$J$451),0),
IF('TL15'!$B$3=L$3,SUMIF('TL15'!$C$10:$C$224,$C228,'TL15'!$J$10:$J$224),0),
IF('TL15'!$B$229=L$3,SUMIF('TL15'!$C$238:$C$451,$C228,'TL15'!$J$238:$J$451),0),
IF('TL16'!$B$3=L$3,SUMIF('TL16'!$C$10:$C$224,$C228,'TL16'!$J$10:$J$224),0),
IF('TL16'!$B$229=L$3,SUMIF('TL16'!$C$238:$C$451,$C228,'TL16'!$J$238:$J$451),0),
IF('TL17'!$B$3=L$3,SUMIF('TL17'!$C$10:$C$224,$C228,'TL17'!$J$10:$J$224),0),
IF('TL17'!$B$229=L$3,SUMIF('TL17'!$C$238:$C$451,$C228,'TL17'!$J$238:$J$451),0),
IF('TL18'!$B$3=L$3,SUMIF('TL18'!$C$10:$C$224,$C228,'TL18'!$J$10:$J$224),0),
IF('TL18'!$B$229=L$3,SUMIF('TL18'!$C$238:$C$451,$C228,'TL18'!$J$238:$J$451),0),
IF('TL19'!$B$3=L$3,SUMIF('TL19'!$C$10:$C$224,$C228,'TL19'!$J$10:$J$224),0),
IF('TL19'!$B$229=L$3,SUMIF('TL19'!$C$238:$C$451,$C228,'TL19'!$J$238:$J$451),0)
),0)</f>
        <v>0</v>
      </c>
      <c r="M228" s="9">
        <f>IFERROR(SUM(
IF('TL01'!$B$3=M$3,SUMIF('TL01'!$C$10:$C$224,$C228,'TL01'!$J$10:$J$224),0),
IF('TL01'!$B$229=M$3,SUMIF('TL01'!$C$238:$C$451,$C228,'TL01'!$J$238:$J$451),0),
IF('TL02'!$B$3=M$3,SUMIF('TL02'!$C$10:$C$224,$C228,'TL02'!$J$10:$J$224),0),
IF('TL02'!$B$229=M$3,SUMIF('TL02'!$C$238:$C$451,$C228,'TL02'!$J$238:$J$451),0),
IF('TL03'!$B$3=M$3,SUMIF('TL03'!$C$10:$C$224,$C228,'TL03'!$J$10:$J$224),0),
IF('TL03'!$B$229=M$3,SUMIF('TL03'!$C$238:$C$451,$C228,'TL03'!$J$238:$J$451),0),
IF('TL04'!$B$3=M$3,SUMIF('TL04'!$C$10:$C$224,$C228,'TL04'!$J$10:$J$224),0),
IF('TL04'!$B$229=M$3,SUMIF('TL04'!$C$238:$C$451,$C228,'TL04'!$J$238:$J$451),0),
IF('TL05'!$B$3=M$3,SUMIF('TL05'!$C$10:$C$224,$C228,'TL05'!$J$10:$J$224),0),
IF('TL05'!$B$229=M$3,SUMIF('TL05'!$C$238:$C$451,$C228,'TL05'!$J$238:$J$451),0),
IF('TL06'!$B$3=M$3,SUMIF('TL06'!$C$10:$C$224,$C228,'TL06'!$J$10:$J$224),0),
IF('TL06'!$B$229=M$3,SUMIF('TL06'!$C$238:$C$451,$C228,'TL06'!$J$238:$J$451),0),
IF('TL07'!$B$3=M$3,SUMIF('TL07'!$C$10:$C$224,$C228,'TL07'!$J$10:$J$224),0),
IF('TL07'!$B$229=M$3,SUMIF('TL07'!$C$238:$C$451,$C228,'TL07'!$J$238:$J$451),0),
IF('TL08'!$B$3=M$3,SUMIF('TL08'!$C$10:$C$224,$C228,'TL08'!$J$10:$J$224),0),
IF('TL08'!$B$229=M$3,SUMIF('TL08'!$C$238:$C$451,$C228,'TL08'!$J$238:$J$451),0),
IF('TL09'!$B$3=M$3,SUMIF('TL09'!$C$10:$C$224,$C228,'TL09'!$J$10:$J$224),0),
IF('TL09'!$B$229=M$3,SUMIF('TL09'!$C$238:$C$451,$C228,'TL09'!$J$238:$J$451),0),
IF('TL10'!$B$3=M$3,SUMIF('TL10'!$C$10:$C$224,$C228,'TL10'!$J$10:$J$224),0),
IF('TL10'!$B$229=M$3,SUMIF('TL10'!$C$238:$C$451,$C228,'TL10'!$J$238:$J$451),0),
IF('TL11'!$B$3=M$3,SUMIF('TL11'!$C$10:$C$224,$C228,'TL11'!$J$10:$J$224),0),
IF('TL11'!$B$229=M$3,SUMIF('TL11'!$C$238:$C$451,$C228,'TL11'!$J$238:$J$451),0),
IF('TL12'!$B$3=M$3,SUMIF('TL12'!$C$10:$C$224,$C228,'TL12'!$J$10:$J$224),0),
IF('TL12'!$B$229=M$3,SUMIF('TL12'!$C$238:$C$451,$C228,'TL12'!$J$238:$J$451),0),
IF('TL13'!$B$3=M$3,SUMIF('TL13'!$C$10:$C$224,$C228,'TL13'!$J$10:$J$224),0),
IF('TL13'!$B$229=M$3,SUMIF('TL13'!$C$238:$C$451,$C228,'TL13'!$J$238:$J$451),0),
IF('TL14'!$B$3=M$3,SUMIF('TL14'!$C$10:$C$224,$C228,'TL14'!$J$10:$J$224),0),
IF('TL14'!$B$229=M$3,SUMIF('TL14'!$C$238:$C$451,$C228,'TL14'!$J$238:$J$451),0),
IF('TL15'!$B$3=M$3,SUMIF('TL15'!$C$10:$C$224,$C228,'TL15'!$J$10:$J$224),0),
IF('TL15'!$B$229=M$3,SUMIF('TL15'!$C$238:$C$451,$C228,'TL15'!$J$238:$J$451),0),
IF('TL16'!$B$3=M$3,SUMIF('TL16'!$C$10:$C$224,$C228,'TL16'!$J$10:$J$224),0),
IF('TL16'!$B$229=M$3,SUMIF('TL16'!$C$238:$C$451,$C228,'TL16'!$J$238:$J$451),0),
IF('TL17'!$B$3=M$3,SUMIF('TL17'!$C$10:$C$224,$C228,'TL17'!$J$10:$J$224),0),
IF('TL17'!$B$229=M$3,SUMIF('TL17'!$C$238:$C$451,$C228,'TL17'!$J$238:$J$451),0),
IF('TL18'!$B$3=M$3,SUMIF('TL18'!$C$10:$C$224,$C228,'TL18'!$J$10:$J$224),0),
IF('TL18'!$B$229=M$3,SUMIF('TL18'!$C$238:$C$451,$C228,'TL18'!$J$238:$J$451),0),
IF('TL19'!$B$3=M$3,SUMIF('TL19'!$C$10:$C$224,$C228,'TL19'!$J$10:$J$224),0),
IF('TL19'!$B$229=M$3,SUMIF('TL19'!$C$238:$C$451,$C228,'TL19'!$J$238:$J$451),0)
),0)</f>
        <v>0</v>
      </c>
      <c r="N228" s="9">
        <f>IFERROR(SUM(
IF('TL01'!$B$3=N$3,SUMIF('TL01'!$C$10:$C$224,$C228,'TL01'!$J$10:$J$224),0),
IF('TL01'!$B$229=N$3,SUMIF('TL01'!$C$238:$C$451,$C228,'TL01'!$J$238:$J$451),0),
IF('TL02'!$B$3=N$3,SUMIF('TL02'!$C$10:$C$224,$C228,'TL02'!$J$10:$J$224),0),
IF('TL02'!$B$229=N$3,SUMIF('TL02'!$C$238:$C$451,$C228,'TL02'!$J$238:$J$451),0),
IF('TL03'!$B$3=N$3,SUMIF('TL03'!$C$10:$C$224,$C228,'TL03'!$J$10:$J$224),0),
IF('TL03'!$B$229=N$3,SUMIF('TL03'!$C$238:$C$451,$C228,'TL03'!$J$238:$J$451),0),
IF('TL04'!$B$3=N$3,SUMIF('TL04'!$C$10:$C$224,$C228,'TL04'!$J$10:$J$224),0),
IF('TL04'!$B$229=N$3,SUMIF('TL04'!$C$238:$C$451,$C228,'TL04'!$J$238:$J$451),0),
IF('TL05'!$B$3=N$3,SUMIF('TL05'!$C$10:$C$224,$C228,'TL05'!$J$10:$J$224),0),
IF('TL05'!$B$229=N$3,SUMIF('TL05'!$C$238:$C$451,$C228,'TL05'!$J$238:$J$451),0),
IF('TL06'!$B$3=N$3,SUMIF('TL06'!$C$10:$C$224,$C228,'TL06'!$J$10:$J$224),0),
IF('TL06'!$B$229=N$3,SUMIF('TL06'!$C$238:$C$451,$C228,'TL06'!$J$238:$J$451),0),
IF('TL07'!$B$3=N$3,SUMIF('TL07'!$C$10:$C$224,$C228,'TL07'!$J$10:$J$224),0),
IF('TL07'!$B$229=N$3,SUMIF('TL07'!$C$238:$C$451,$C228,'TL07'!$J$238:$J$451),0),
IF('TL08'!$B$3=N$3,SUMIF('TL08'!$C$10:$C$224,$C228,'TL08'!$J$10:$J$224),0),
IF('TL08'!$B$229=N$3,SUMIF('TL08'!$C$238:$C$451,$C228,'TL08'!$J$238:$J$451),0),
IF('TL09'!$B$3=N$3,SUMIF('TL09'!$C$10:$C$224,$C228,'TL09'!$J$10:$J$224),0),
IF('TL09'!$B$229=N$3,SUMIF('TL09'!$C$238:$C$451,$C228,'TL09'!$J$238:$J$451),0),
IF('TL10'!$B$3=N$3,SUMIF('TL10'!$C$10:$C$224,$C228,'TL10'!$J$10:$J$224),0),
IF('TL10'!$B$229=N$3,SUMIF('TL10'!$C$238:$C$451,$C228,'TL10'!$J$238:$J$451),0),
IF('TL11'!$B$3=N$3,SUMIF('TL11'!$C$10:$C$224,$C228,'TL11'!$J$10:$J$224),0),
IF('TL11'!$B$229=N$3,SUMIF('TL11'!$C$238:$C$451,$C228,'TL11'!$J$238:$J$451),0),
IF('TL12'!$B$3=N$3,SUMIF('TL12'!$C$10:$C$224,$C228,'TL12'!$J$10:$J$224),0),
IF('TL12'!$B$229=N$3,SUMIF('TL12'!$C$238:$C$451,$C228,'TL12'!$J$238:$J$451),0),
IF('TL13'!$B$3=N$3,SUMIF('TL13'!$C$10:$C$224,$C228,'TL13'!$J$10:$J$224),0),
IF('TL13'!$B$229=N$3,SUMIF('TL13'!$C$238:$C$451,$C228,'TL13'!$J$238:$J$451),0),
IF('TL14'!$B$3=N$3,SUMIF('TL14'!$C$10:$C$224,$C228,'TL14'!$J$10:$J$224),0),
IF('TL14'!$B$229=N$3,SUMIF('TL14'!$C$238:$C$451,$C228,'TL14'!$J$238:$J$451),0),
IF('TL15'!$B$3=N$3,SUMIF('TL15'!$C$10:$C$224,$C228,'TL15'!$J$10:$J$224),0),
IF('TL15'!$B$229=N$3,SUMIF('TL15'!$C$238:$C$451,$C228,'TL15'!$J$238:$J$451),0),
IF('TL16'!$B$3=N$3,SUMIF('TL16'!$C$10:$C$224,$C228,'TL16'!$J$10:$J$224),0),
IF('TL16'!$B$229=N$3,SUMIF('TL16'!$C$238:$C$451,$C228,'TL16'!$J$238:$J$451),0),
IF('TL17'!$B$3=N$3,SUMIF('TL17'!$C$10:$C$224,$C228,'TL17'!$J$10:$J$224),0),
IF('TL17'!$B$229=N$3,SUMIF('TL17'!$C$238:$C$451,$C228,'TL17'!$J$238:$J$451),0),
IF('TL18'!$B$3=N$3,SUMIF('TL18'!$C$10:$C$224,$C228,'TL18'!$J$10:$J$224),0),
IF('TL18'!$B$229=N$3,SUMIF('TL18'!$C$238:$C$451,$C228,'TL18'!$J$238:$J$451),0),
IF('TL19'!$B$3=N$3,SUMIF('TL19'!$C$10:$C$224,$C228,'TL19'!$J$10:$J$224),0),
IF('TL19'!$B$229=N$3,SUMIF('TL19'!$C$238:$C$451,$C228,'TL19'!$J$238:$J$451),0)
),0)</f>
        <v>0</v>
      </c>
      <c r="O228" s="9">
        <f>IFERROR(SUM(
IF('TL01'!$B$3=O$3,SUMIF('TL01'!$C$10:$C$224,$C228,'TL01'!$J$10:$J$224),0),
IF('TL01'!$B$229=O$3,SUMIF('TL01'!$C$238:$C$451,$C228,'TL01'!$J$238:$J$451),0),
IF('TL02'!$B$3=O$3,SUMIF('TL02'!$C$10:$C$224,$C228,'TL02'!$J$10:$J$224),0),
IF('TL02'!$B$229=O$3,SUMIF('TL02'!$C$238:$C$451,$C228,'TL02'!$J$238:$J$451),0),
IF('TL03'!$B$3=O$3,SUMIF('TL03'!$C$10:$C$224,$C228,'TL03'!$J$10:$J$224),0),
IF('TL03'!$B$229=O$3,SUMIF('TL03'!$C$238:$C$451,$C228,'TL03'!$J$238:$J$451),0),
IF('TL04'!$B$3=O$3,SUMIF('TL04'!$C$10:$C$224,$C228,'TL04'!$J$10:$J$224),0),
IF('TL04'!$B$229=O$3,SUMIF('TL04'!$C$238:$C$451,$C228,'TL04'!$J$238:$J$451),0),
IF('TL05'!$B$3=O$3,SUMIF('TL05'!$C$10:$C$224,$C228,'TL05'!$J$10:$J$224),0),
IF('TL05'!$B$229=O$3,SUMIF('TL05'!$C$238:$C$451,$C228,'TL05'!$J$238:$J$451),0),
IF('TL06'!$B$3=O$3,SUMIF('TL06'!$C$10:$C$224,$C228,'TL06'!$J$10:$J$224),0),
IF('TL06'!$B$229=O$3,SUMIF('TL06'!$C$238:$C$451,$C228,'TL06'!$J$238:$J$451),0),
IF('TL07'!$B$3=O$3,SUMIF('TL07'!$C$10:$C$224,$C228,'TL07'!$J$10:$J$224),0),
IF('TL07'!$B$229=O$3,SUMIF('TL07'!$C$238:$C$451,$C228,'TL07'!$J$238:$J$451),0),
IF('TL08'!$B$3=O$3,SUMIF('TL08'!$C$10:$C$224,$C228,'TL08'!$J$10:$J$224),0),
IF('TL08'!$B$229=O$3,SUMIF('TL08'!$C$238:$C$451,$C228,'TL08'!$J$238:$J$451),0),
IF('TL09'!$B$3=O$3,SUMIF('TL09'!$C$10:$C$224,$C228,'TL09'!$J$10:$J$224),0),
IF('TL09'!$B$229=O$3,SUMIF('TL09'!$C$238:$C$451,$C228,'TL09'!$J$238:$J$451),0),
IF('TL10'!$B$3=O$3,SUMIF('TL10'!$C$10:$C$224,$C228,'TL10'!$J$10:$J$224),0),
IF('TL10'!$B$229=O$3,SUMIF('TL10'!$C$238:$C$451,$C228,'TL10'!$J$238:$J$451),0),
IF('TL11'!$B$3=O$3,SUMIF('TL11'!$C$10:$C$224,$C228,'TL11'!$J$10:$J$224),0),
IF('TL11'!$B$229=O$3,SUMIF('TL11'!$C$238:$C$451,$C228,'TL11'!$J$238:$J$451),0),
IF('TL12'!$B$3=O$3,SUMIF('TL12'!$C$10:$C$224,$C228,'TL12'!$J$10:$J$224),0),
IF('TL12'!$B$229=O$3,SUMIF('TL12'!$C$238:$C$451,$C228,'TL12'!$J$238:$J$451),0),
IF('TL13'!$B$3=O$3,SUMIF('TL13'!$C$10:$C$224,$C228,'TL13'!$J$10:$J$224),0),
IF('TL13'!$B$229=O$3,SUMIF('TL13'!$C$238:$C$451,$C228,'TL13'!$J$238:$J$451),0),
IF('TL14'!$B$3=O$3,SUMIF('TL14'!$C$10:$C$224,$C228,'TL14'!$J$10:$J$224),0),
IF('TL14'!$B$229=O$3,SUMIF('TL14'!$C$238:$C$451,$C228,'TL14'!$J$238:$J$451),0),
IF('TL15'!$B$3=O$3,SUMIF('TL15'!$C$10:$C$224,$C228,'TL15'!$J$10:$J$224),0),
IF('TL15'!$B$229=O$3,SUMIF('TL15'!$C$238:$C$451,$C228,'TL15'!$J$238:$J$451),0),
IF('TL16'!$B$3=O$3,SUMIF('TL16'!$C$10:$C$224,$C228,'TL16'!$J$10:$J$224),0),
IF('TL16'!$B$229=O$3,SUMIF('TL16'!$C$238:$C$451,$C228,'TL16'!$J$238:$J$451),0),
IF('TL17'!$B$3=O$3,SUMIF('TL17'!$C$10:$C$224,$C228,'TL17'!$J$10:$J$224),0),
IF('TL17'!$B$229=O$3,SUMIF('TL17'!$C$238:$C$451,$C228,'TL17'!$J$238:$J$451),0),
IF('TL18'!$B$3=O$3,SUMIF('TL18'!$C$10:$C$224,$C228,'TL18'!$J$10:$J$224),0),
IF('TL18'!$B$229=O$3,SUMIF('TL18'!$C$238:$C$451,$C228,'TL18'!$J$238:$J$451),0),
IF('TL19'!$B$3=O$3,SUMIF('TL19'!$C$10:$C$224,$C228,'TL19'!$J$10:$J$224),0),
IF('TL19'!$B$229=O$3,SUMIF('TL19'!$C$238:$C$451,$C228,'TL19'!$J$238:$J$451),0)
),0)</f>
        <v>0</v>
      </c>
      <c r="P228" s="9">
        <f>IFERROR(SUM(
IF('TL01'!$B$3=P$3,SUMIF('TL01'!$C$10:$C$224,$C228,'TL01'!$J$10:$J$224),0),
IF('TL01'!$B$229=P$3,SUMIF('TL01'!$C$238:$C$451,$C228,'TL01'!$J$238:$J$451),0),
IF('TL02'!$B$3=P$3,SUMIF('TL02'!$C$10:$C$224,$C228,'TL02'!$J$10:$J$224),0),
IF('TL02'!$B$229=P$3,SUMIF('TL02'!$C$238:$C$451,$C228,'TL02'!$J$238:$J$451),0),
IF('TL03'!$B$3=P$3,SUMIF('TL03'!$C$10:$C$224,$C228,'TL03'!$J$10:$J$224),0),
IF('TL03'!$B$229=P$3,SUMIF('TL03'!$C$238:$C$451,$C228,'TL03'!$J$238:$J$451),0),
IF('TL04'!$B$3=P$3,SUMIF('TL04'!$C$10:$C$224,$C228,'TL04'!$J$10:$J$224),0),
IF('TL04'!$B$229=P$3,SUMIF('TL04'!$C$238:$C$451,$C228,'TL04'!$J$238:$J$451),0),
IF('TL05'!$B$3=P$3,SUMIF('TL05'!$C$10:$C$224,$C228,'TL05'!$J$10:$J$224),0),
IF('TL05'!$B$229=P$3,SUMIF('TL05'!$C$238:$C$451,$C228,'TL05'!$J$238:$J$451),0),
IF('TL06'!$B$3=P$3,SUMIF('TL06'!$C$10:$C$224,$C228,'TL06'!$J$10:$J$224),0),
IF('TL06'!$B$229=P$3,SUMIF('TL06'!$C$238:$C$451,$C228,'TL06'!$J$238:$J$451),0),
IF('TL07'!$B$3=P$3,SUMIF('TL07'!$C$10:$C$224,$C228,'TL07'!$J$10:$J$224),0),
IF('TL07'!$B$229=P$3,SUMIF('TL07'!$C$238:$C$451,$C228,'TL07'!$J$238:$J$451),0),
IF('TL08'!$B$3=P$3,SUMIF('TL08'!$C$10:$C$224,$C228,'TL08'!$J$10:$J$224),0),
IF('TL08'!$B$229=P$3,SUMIF('TL08'!$C$238:$C$451,$C228,'TL08'!$J$238:$J$451),0),
IF('TL09'!$B$3=P$3,SUMIF('TL09'!$C$10:$C$224,$C228,'TL09'!$J$10:$J$224),0),
IF('TL09'!$B$229=P$3,SUMIF('TL09'!$C$238:$C$451,$C228,'TL09'!$J$238:$J$451),0),
IF('TL10'!$B$3=P$3,SUMIF('TL10'!$C$10:$C$224,$C228,'TL10'!$J$10:$J$224),0),
IF('TL10'!$B$229=P$3,SUMIF('TL10'!$C$238:$C$451,$C228,'TL10'!$J$238:$J$451),0),
IF('TL11'!$B$3=P$3,SUMIF('TL11'!$C$10:$C$224,$C228,'TL11'!$J$10:$J$224),0),
IF('TL11'!$B$229=P$3,SUMIF('TL11'!$C$238:$C$451,$C228,'TL11'!$J$238:$J$451),0),
IF('TL12'!$B$3=P$3,SUMIF('TL12'!$C$10:$C$224,$C228,'TL12'!$J$10:$J$224),0),
IF('TL12'!$B$229=P$3,SUMIF('TL12'!$C$238:$C$451,$C228,'TL12'!$J$238:$J$451),0),
IF('TL13'!$B$3=P$3,SUMIF('TL13'!$C$10:$C$224,$C228,'TL13'!$J$10:$J$224),0),
IF('TL13'!$B$229=P$3,SUMIF('TL13'!$C$238:$C$451,$C228,'TL13'!$J$238:$J$451),0),
IF('TL14'!$B$3=P$3,SUMIF('TL14'!$C$10:$C$224,$C228,'TL14'!$J$10:$J$224),0),
IF('TL14'!$B$229=P$3,SUMIF('TL14'!$C$238:$C$451,$C228,'TL14'!$J$238:$J$451),0),
IF('TL15'!$B$3=P$3,SUMIF('TL15'!$C$10:$C$224,$C228,'TL15'!$J$10:$J$224),0),
IF('TL15'!$B$229=P$3,SUMIF('TL15'!$C$238:$C$451,$C228,'TL15'!$J$238:$J$451),0),
IF('TL16'!$B$3=P$3,SUMIF('TL16'!$C$10:$C$224,$C228,'TL16'!$J$10:$J$224),0),
IF('TL16'!$B$229=P$3,SUMIF('TL16'!$C$238:$C$451,$C228,'TL16'!$J$238:$J$451),0),
IF('TL17'!$B$3=P$3,SUMIF('TL17'!$C$10:$C$224,$C228,'TL17'!$J$10:$J$224),0),
IF('TL17'!$B$229=P$3,SUMIF('TL17'!$C$238:$C$451,$C228,'TL17'!$J$238:$J$451),0),
IF('TL18'!$B$3=P$3,SUMIF('TL18'!$C$10:$C$224,$C228,'TL18'!$J$10:$J$224),0),
IF('TL18'!$B$229=P$3,SUMIF('TL18'!$C$238:$C$451,$C228,'TL18'!$J$238:$J$451),0),
IF('TL19'!$B$3=P$3,SUMIF('TL19'!$C$10:$C$224,$C228,'TL19'!$J$10:$J$224),0),
IF('TL19'!$B$229=P$3,SUMIF('TL19'!$C$238:$C$451,$C228,'TL19'!$J$238:$J$451),0)
),0)</f>
        <v>0</v>
      </c>
      <c r="Q228" s="9">
        <f>IFERROR(SUM(
IF('TL01'!$B$3=Q$3,SUMIF('TL01'!$C$10:$C$224,$C228,'TL01'!$J$10:$J$224),0),
IF('TL01'!$B$229=Q$3,SUMIF('TL01'!$C$238:$C$451,$C228,'TL01'!$J$238:$J$451),0),
IF('TL02'!$B$3=Q$3,SUMIF('TL02'!$C$10:$C$224,$C228,'TL02'!$J$10:$J$224),0),
IF('TL02'!$B$229=Q$3,SUMIF('TL02'!$C$238:$C$451,$C228,'TL02'!$J$238:$J$451),0),
IF('TL03'!$B$3=Q$3,SUMIF('TL03'!$C$10:$C$224,$C228,'TL03'!$J$10:$J$224),0),
IF('TL03'!$B$229=Q$3,SUMIF('TL03'!$C$238:$C$451,$C228,'TL03'!$J$238:$J$451),0),
IF('TL04'!$B$3=Q$3,SUMIF('TL04'!$C$10:$C$224,$C228,'TL04'!$J$10:$J$224),0),
IF('TL04'!$B$229=Q$3,SUMIF('TL04'!$C$238:$C$451,$C228,'TL04'!$J$238:$J$451),0),
IF('TL05'!$B$3=Q$3,SUMIF('TL05'!$C$10:$C$224,$C228,'TL05'!$J$10:$J$224),0),
IF('TL05'!$B$229=Q$3,SUMIF('TL05'!$C$238:$C$451,$C228,'TL05'!$J$238:$J$451),0),
IF('TL06'!$B$3=Q$3,SUMIF('TL06'!$C$10:$C$224,$C228,'TL06'!$J$10:$J$224),0),
IF('TL06'!$B$229=Q$3,SUMIF('TL06'!$C$238:$C$451,$C228,'TL06'!$J$238:$J$451),0),
IF('TL07'!$B$3=Q$3,SUMIF('TL07'!$C$10:$C$224,$C228,'TL07'!$J$10:$J$224),0),
IF('TL07'!$B$229=Q$3,SUMIF('TL07'!$C$238:$C$451,$C228,'TL07'!$J$238:$J$451),0),
IF('TL08'!$B$3=Q$3,SUMIF('TL08'!$C$10:$C$224,$C228,'TL08'!$J$10:$J$224),0),
IF('TL08'!$B$229=Q$3,SUMIF('TL08'!$C$238:$C$451,$C228,'TL08'!$J$238:$J$451),0),
IF('TL09'!$B$3=Q$3,SUMIF('TL09'!$C$10:$C$224,$C228,'TL09'!$J$10:$J$224),0),
IF('TL09'!$B$229=Q$3,SUMIF('TL09'!$C$238:$C$451,$C228,'TL09'!$J$238:$J$451),0),
IF('TL10'!$B$3=Q$3,SUMIF('TL10'!$C$10:$C$224,$C228,'TL10'!$J$10:$J$224),0),
IF('TL10'!$B$229=Q$3,SUMIF('TL10'!$C$238:$C$451,$C228,'TL10'!$J$238:$J$451),0),
IF('TL11'!$B$3=Q$3,SUMIF('TL11'!$C$10:$C$224,$C228,'TL11'!$J$10:$J$224),0),
IF('TL11'!$B$229=Q$3,SUMIF('TL11'!$C$238:$C$451,$C228,'TL11'!$J$238:$J$451),0),
IF('TL12'!$B$3=Q$3,SUMIF('TL12'!$C$10:$C$224,$C228,'TL12'!$J$10:$J$224),0),
IF('TL12'!$B$229=Q$3,SUMIF('TL12'!$C$238:$C$451,$C228,'TL12'!$J$238:$J$451),0),
IF('TL13'!$B$3=Q$3,SUMIF('TL13'!$C$10:$C$224,$C228,'TL13'!$J$10:$J$224),0),
IF('TL13'!$B$229=Q$3,SUMIF('TL13'!$C$238:$C$451,$C228,'TL13'!$J$238:$J$451),0),
IF('TL14'!$B$3=Q$3,SUMIF('TL14'!$C$10:$C$224,$C228,'TL14'!$J$10:$J$224),0),
IF('TL14'!$B$229=Q$3,SUMIF('TL14'!$C$238:$C$451,$C228,'TL14'!$J$238:$J$451),0),
IF('TL15'!$B$3=Q$3,SUMIF('TL15'!$C$10:$C$224,$C228,'TL15'!$J$10:$J$224),0),
IF('TL15'!$B$229=Q$3,SUMIF('TL15'!$C$238:$C$451,$C228,'TL15'!$J$238:$J$451),0),
IF('TL16'!$B$3=Q$3,SUMIF('TL16'!$C$10:$C$224,$C228,'TL16'!$J$10:$J$224),0),
IF('TL16'!$B$229=Q$3,SUMIF('TL16'!$C$238:$C$451,$C228,'TL16'!$J$238:$J$451),0),
IF('TL17'!$B$3=Q$3,SUMIF('TL17'!$C$10:$C$224,$C228,'TL17'!$J$10:$J$224),0),
IF('TL17'!$B$229=Q$3,SUMIF('TL17'!$C$238:$C$451,$C228,'TL17'!$J$238:$J$451),0),
IF('TL18'!$B$3=Q$3,SUMIF('TL18'!$C$10:$C$224,$C228,'TL18'!$J$10:$J$224),0),
IF('TL18'!$B$229=Q$3,SUMIF('TL18'!$C$238:$C$451,$C228,'TL18'!$J$238:$J$451),0),
IF('TL19'!$B$3=Q$3,SUMIF('TL19'!$C$10:$C$224,$C228,'TL19'!$J$10:$J$224),0),
IF('TL19'!$B$229=Q$3,SUMIF('TL19'!$C$238:$C$451,$C228,'TL19'!$J$238:$J$451),0)
),0)</f>
        <v>0</v>
      </c>
      <c r="R228" s="9">
        <f>IFERROR(
SUM(
SUMIF('TL01'!C:C,C228,'TL01'!J:J),
SUMIF('TL02'!C:C,C228,'TL02'!J:J),
SUMIF('TL03'!C:C,C228,'TL03'!J:J),
SUMIF('TL04'!C:C,C228,'TL04'!J:J),
SUMIF('TL05'!C:C,C228,'TL05'!J:J),
SUMIF('TL06'!C:C,C228,'TL06'!J:J),
SUMIF('TL07'!C:C,C228,'TL07'!J:J),
SUMIF('TL08'!C:C,C228,'TL08'!J:J),
SUMIF('TL09'!C:C,C228,'TL09'!J:J),
SUMIF('TL10'!C:C,C228,'TL10'!J:J),
SUMIF('TL11'!C:C,C228,'TL11'!J:J),
SUMIF('TL12'!C:C,C228,'TL12'!J:J),
SUMIF('TL13'!C:C,C228,'TL13'!J:J),
SUMIF('TL14'!C:C,C228,'TL14'!J:J),
SUMIF('TL15'!C:C,C228,'TL15'!J:J),
SUMIF('TL16'!C:C,C228,'TL16'!J:J),
SUMIF('TL17'!C:C,C228,'TL17'!J:J),
SUMIF('TL18'!C:C,C228,'TL18'!J:J),SUMIF('TL19'!C:C,C228,'TL19'!J:J))
,0)</f>
        <v>0</v>
      </c>
      <c r="S228" s="17">
        <f>IFERROR(__xludf.DUMMYFUNCTION("IFERROR(VLOOKUP(C228,
IMPORTRANGE(""1wULbzX32WdYsx-lj2U3uUNBBe2INVIRDtcK0d-Dvl90"",
""26-27!C:G""),
5,
FALSE),
"""")"),80.49159)</f>
        <v>80.49159</v>
      </c>
      <c r="T228" s="9"/>
      <c r="U228" s="92">
        <f t="shared" si="2"/>
        <v>0</v>
      </c>
      <c r="V228" s="93">
        <f t="shared" si="3"/>
        <v>0</v>
      </c>
    </row>
    <row r="229" ht="15.75" hidden="1" customHeight="1">
      <c r="A229" s="94" t="s">
        <v>358</v>
      </c>
      <c r="B229" s="95" t="s">
        <v>2</v>
      </c>
      <c r="C229" s="96" t="s">
        <v>872</v>
      </c>
      <c r="D229" s="96" t="s">
        <v>873</v>
      </c>
      <c r="E229" s="96">
        <v>250.0</v>
      </c>
      <c r="F229" s="4" t="s">
        <v>343</v>
      </c>
      <c r="G229" s="90" t="str">
        <f t="shared" si="4"/>
        <v>📄 Ver bula</v>
      </c>
      <c r="H229" s="9">
        <f>IFERROR(__xludf.DUMMYFUNCTION("IFERROR(VLOOKUP(C229,
IMPORTRANGE(""1wULbzX32WdYsx-lj2U3uUNBBe2INVIRDtcK0d-Dvl90"",
""26-27!C:K""),
8,
FALSE),
"""")"),0.2)</f>
        <v>0.2</v>
      </c>
      <c r="I229" s="97" t="s">
        <v>361</v>
      </c>
      <c r="J229" s="9">
        <f>IFERROR(SUM(
IF('TL01'!$B$3=J$3,SUMIF('TL01'!$C$10:$C$224,$C229,'TL01'!$J$10:$J$224),0),
IF('TL01'!$B$229=J$3,SUMIF('TL01'!$C$238:$C$451,$C229,'TL01'!$J$238:$J$451),0),
IF('TL02'!$B$3=J$3,SUMIF('TL02'!$C$10:$C$224,$C229,'TL02'!$J$10:$J$224),0),
IF('TL02'!$B$229=J$3,SUMIF('TL02'!$C$238:$C$451,$C229,'TL02'!$J$238:$J$451),0),
IF('TL03'!$B$3=J$3,SUMIF('TL03'!$C$10:$C$224,$C229,'TL03'!$J$10:$J$224),0),
IF('TL03'!$B$229=J$3,SUMIF('TL03'!$C$238:$C$451,$C229,'TL03'!$J$238:$J$451),0),
IF('TL04'!$B$3=J$3,SUMIF('TL04'!$C$10:$C$224,$C229,'TL04'!$J$10:$J$224),0),
IF('TL04'!$B$229=J$3,SUMIF('TL04'!$C$238:$C$451,$C229,'TL04'!$J$238:$J$451),0),
IF('TL05'!$B$3=J$3,SUMIF('TL05'!$C$10:$C$224,$C229,'TL05'!$J$10:$J$224),0),
IF('TL05'!$B$229=J$3,SUMIF('TL05'!$C$238:$C$451,$C229,'TL05'!$J$238:$J$451),0),
IF('TL06'!$B$3=J$3,SUMIF('TL06'!$C$10:$C$224,$C229,'TL06'!$J$10:$J$224),0),
IF('TL06'!$B$229=J$3,SUMIF('TL06'!$C$238:$C$451,$C229,'TL06'!$J$238:$J$451),0),
IF('TL07'!$B$3=J$3,SUMIF('TL07'!$C$10:$C$224,$C229,'TL07'!$J$10:$J$224),0),
IF('TL07'!$B$229=J$3,SUMIF('TL07'!$C$238:$C$451,$C229,'TL07'!$J$238:$J$451),0),
IF('TL08'!$B$3=J$3,SUMIF('TL08'!$C$10:$C$224,$C229,'TL08'!$J$10:$J$224),0),
IF('TL08'!$B$229=J$3,SUMIF('TL08'!$C$238:$C$451,$C229,'TL08'!$J$238:$J$451),0),
IF('TL09'!$B$3=J$3,SUMIF('TL09'!$C$10:$C$224,$C229,'TL09'!$J$10:$J$224),0),
IF('TL09'!$B$229=J$3,SUMIF('TL09'!$C$238:$C$451,$C229,'TL09'!$J$238:$J$451),0),
IF('TL10'!$B$3=J$3,SUMIF('TL10'!$C$10:$C$224,$C229,'TL10'!$J$10:$J$224),0),
IF('TL10'!$B$229=J$3,SUMIF('TL10'!$C$238:$C$451,$C229,'TL10'!$J$238:$J$451),0),
IF('TL11'!$B$3=J$3,SUMIF('TL11'!$C$10:$C$224,$C229,'TL11'!$J$10:$J$224),0),
IF('TL11'!$B$229=J$3,SUMIF('TL11'!$C$238:$C$451,$C229,'TL11'!$J$238:$J$451),0),
IF('TL12'!$B$3=J$3,SUMIF('TL12'!$C$10:$C$224,$C229,'TL12'!$J$10:$J$224),0),
IF('TL12'!$B$229=J$3,SUMIF('TL12'!$C$238:$C$451,$C229,'TL12'!$J$238:$J$451),0),
IF('TL13'!$B$3=J$3,SUMIF('TL13'!$C$10:$C$224,$C229,'TL13'!$J$10:$J$224),0),
IF('TL13'!$B$229=J$3,SUMIF('TL13'!$C$238:$C$451,$C229,'TL13'!$J$238:$J$451),0),
IF('TL14'!$B$3=J$3,SUMIF('TL14'!$C$10:$C$224,$C229,'TL14'!$J$10:$J$224),0),
IF('TL14'!$B$229=J$3,SUMIF('TL14'!$C$238:$C$451,$C229,'TL14'!$J$238:$J$451),0),
IF('TL15'!$B$3=J$3,SUMIF('TL15'!$C$10:$C$224,$C229,'TL15'!$J$10:$J$224),0),
IF('TL15'!$B$229=J$3,SUMIF('TL15'!$C$238:$C$451,$C229,'TL15'!$J$238:$J$451),0),
IF('TL16'!$B$3=J$3,SUMIF('TL16'!$C$10:$C$224,$C229,'TL16'!$J$10:$J$224),0),
IF('TL16'!$B$229=J$3,SUMIF('TL16'!$C$238:$C$451,$C229,'TL16'!$J$238:$J$451),0),
IF('TL17'!$B$3=J$3,SUMIF('TL17'!$C$10:$C$224,$C229,'TL17'!$J$10:$J$224),0),
IF('TL17'!$B$229=J$3,SUMIF('TL17'!$C$238:$C$451,$C229,'TL17'!$J$238:$J$451),0),
IF('TL18'!$B$3=J$3,SUMIF('TL18'!$C$10:$C$224,$C229,'TL18'!$J$10:$J$224),0),
IF('TL18'!$B$229=J$3,SUMIF('TL18'!$C$238:$C$451,$C229,'TL18'!$J$238:$J$451),0),
IF('TL19'!$B$3=J$3,SUMIF('TL19'!$C$10:$C$224,$C229,'TL19'!$J$10:$J$224),0),
IF('TL19'!$B$229=J$3,SUMIF('TL19'!$C$238:$C$451,$C229,'TL19'!$J$238:$J$451),0)
),0)</f>
        <v>0</v>
      </c>
      <c r="K229" s="9">
        <f>IFERROR(SUM(
IF('TL01'!$B$3=K$3,SUMIF('TL01'!$C$10:$C$224,$C229,'TL01'!$J$10:$J$224),0),
IF('TL01'!$B$229=K$3,SUMIF('TL01'!$C$238:$C$451,$C229,'TL01'!$J$238:$J$451),0),
IF('TL02'!$B$3=K$3,SUMIF('TL02'!$C$10:$C$224,$C229,'TL02'!$J$10:$J$224),0),
IF('TL02'!$B$229=K$3,SUMIF('TL02'!$C$238:$C$451,$C229,'TL02'!$J$238:$J$451),0),
IF('TL03'!$B$3=K$3,SUMIF('TL03'!$C$10:$C$224,$C229,'TL03'!$J$10:$J$224),0),
IF('TL03'!$B$229=K$3,SUMIF('TL03'!$C$238:$C$451,$C229,'TL03'!$J$238:$J$451),0),
IF('TL04'!$B$3=K$3,SUMIF('TL04'!$C$10:$C$224,$C229,'TL04'!$J$10:$J$224),0),
IF('TL04'!$B$229=K$3,SUMIF('TL04'!$C$238:$C$451,$C229,'TL04'!$J$238:$J$451),0),
IF('TL05'!$B$3=K$3,SUMIF('TL05'!$C$10:$C$224,$C229,'TL05'!$J$10:$J$224),0),
IF('TL05'!$B$229=K$3,SUMIF('TL05'!$C$238:$C$451,$C229,'TL05'!$J$238:$J$451),0),
IF('TL06'!$B$3=K$3,SUMIF('TL06'!$C$10:$C$224,$C229,'TL06'!$J$10:$J$224),0),
IF('TL06'!$B$229=K$3,SUMIF('TL06'!$C$238:$C$451,$C229,'TL06'!$J$238:$J$451),0),
IF('TL07'!$B$3=K$3,SUMIF('TL07'!$C$10:$C$224,$C229,'TL07'!$J$10:$J$224),0),
IF('TL07'!$B$229=K$3,SUMIF('TL07'!$C$238:$C$451,$C229,'TL07'!$J$238:$J$451),0),
IF('TL08'!$B$3=K$3,SUMIF('TL08'!$C$10:$C$224,$C229,'TL08'!$J$10:$J$224),0),
IF('TL08'!$B$229=K$3,SUMIF('TL08'!$C$238:$C$451,$C229,'TL08'!$J$238:$J$451),0),
IF('TL09'!$B$3=K$3,SUMIF('TL09'!$C$10:$C$224,$C229,'TL09'!$J$10:$J$224),0),
IF('TL09'!$B$229=K$3,SUMIF('TL09'!$C$238:$C$451,$C229,'TL09'!$J$238:$J$451),0),
IF('TL10'!$B$3=K$3,SUMIF('TL10'!$C$10:$C$224,$C229,'TL10'!$J$10:$J$224),0),
IF('TL10'!$B$229=K$3,SUMIF('TL10'!$C$238:$C$451,$C229,'TL10'!$J$238:$J$451),0),
IF('TL11'!$B$3=K$3,SUMIF('TL11'!$C$10:$C$224,$C229,'TL11'!$J$10:$J$224),0),
IF('TL11'!$B$229=K$3,SUMIF('TL11'!$C$238:$C$451,$C229,'TL11'!$J$238:$J$451),0),
IF('TL12'!$B$3=K$3,SUMIF('TL12'!$C$10:$C$224,$C229,'TL12'!$J$10:$J$224),0),
IF('TL12'!$B$229=K$3,SUMIF('TL12'!$C$238:$C$451,$C229,'TL12'!$J$238:$J$451),0),
IF('TL13'!$B$3=K$3,SUMIF('TL13'!$C$10:$C$224,$C229,'TL13'!$J$10:$J$224),0),
IF('TL13'!$B$229=K$3,SUMIF('TL13'!$C$238:$C$451,$C229,'TL13'!$J$238:$J$451),0),
IF('TL14'!$B$3=K$3,SUMIF('TL14'!$C$10:$C$224,$C229,'TL14'!$J$10:$J$224),0),
IF('TL14'!$B$229=K$3,SUMIF('TL14'!$C$238:$C$451,$C229,'TL14'!$J$238:$J$451),0),
IF('TL15'!$B$3=K$3,SUMIF('TL15'!$C$10:$C$224,$C229,'TL15'!$J$10:$J$224),0),
IF('TL15'!$B$229=K$3,SUMIF('TL15'!$C$238:$C$451,$C229,'TL15'!$J$238:$J$451),0),
IF('TL16'!$B$3=K$3,SUMIF('TL16'!$C$10:$C$224,$C229,'TL16'!$J$10:$J$224),0),
IF('TL16'!$B$229=K$3,SUMIF('TL16'!$C$238:$C$451,$C229,'TL16'!$J$238:$J$451),0),
IF('TL17'!$B$3=K$3,SUMIF('TL17'!$C$10:$C$224,$C229,'TL17'!$J$10:$J$224),0),
IF('TL17'!$B$229=K$3,SUMIF('TL17'!$C$238:$C$451,$C229,'TL17'!$J$238:$J$451),0),
IF('TL18'!$B$3=K$3,SUMIF('TL18'!$C$10:$C$224,$C229,'TL18'!$J$10:$J$224),0),
IF('TL18'!$B$229=K$3,SUMIF('TL18'!$C$238:$C$451,$C229,'TL18'!$J$238:$J$451),0),
IF('TL19'!$B$3=K$3,SUMIF('TL19'!$C$10:$C$224,$C229,'TL19'!$J$10:$J$224),0),
IF('TL19'!$B$229=K$3,SUMIF('TL19'!$C$238:$C$451,$C229,'TL19'!$J$238:$J$451),0)
),0)</f>
        <v>0</v>
      </c>
      <c r="L229" s="9">
        <f>IFERROR(SUM(
IF('TL01'!$B$3=L$3,SUMIF('TL01'!$C$10:$C$224,$C229,'TL01'!$J$10:$J$224),0),
IF('TL01'!$B$229=L$3,SUMIF('TL01'!$C$238:$C$451,$C229,'TL01'!$J$238:$J$451),0),
IF('TL02'!$B$3=L$3,SUMIF('TL02'!$C$10:$C$224,$C229,'TL02'!$J$10:$J$224),0),
IF('TL02'!$B$229=L$3,SUMIF('TL02'!$C$238:$C$451,$C229,'TL02'!$J$238:$J$451),0),
IF('TL03'!$B$3=L$3,SUMIF('TL03'!$C$10:$C$224,$C229,'TL03'!$J$10:$J$224),0),
IF('TL03'!$B$229=L$3,SUMIF('TL03'!$C$238:$C$451,$C229,'TL03'!$J$238:$J$451),0),
IF('TL04'!$B$3=L$3,SUMIF('TL04'!$C$10:$C$224,$C229,'TL04'!$J$10:$J$224),0),
IF('TL04'!$B$229=L$3,SUMIF('TL04'!$C$238:$C$451,$C229,'TL04'!$J$238:$J$451),0),
IF('TL05'!$B$3=L$3,SUMIF('TL05'!$C$10:$C$224,$C229,'TL05'!$J$10:$J$224),0),
IF('TL05'!$B$229=L$3,SUMIF('TL05'!$C$238:$C$451,$C229,'TL05'!$J$238:$J$451),0),
IF('TL06'!$B$3=L$3,SUMIF('TL06'!$C$10:$C$224,$C229,'TL06'!$J$10:$J$224),0),
IF('TL06'!$B$229=L$3,SUMIF('TL06'!$C$238:$C$451,$C229,'TL06'!$J$238:$J$451),0),
IF('TL07'!$B$3=L$3,SUMIF('TL07'!$C$10:$C$224,$C229,'TL07'!$J$10:$J$224),0),
IF('TL07'!$B$229=L$3,SUMIF('TL07'!$C$238:$C$451,$C229,'TL07'!$J$238:$J$451),0),
IF('TL08'!$B$3=L$3,SUMIF('TL08'!$C$10:$C$224,$C229,'TL08'!$J$10:$J$224),0),
IF('TL08'!$B$229=L$3,SUMIF('TL08'!$C$238:$C$451,$C229,'TL08'!$J$238:$J$451),0),
IF('TL09'!$B$3=L$3,SUMIF('TL09'!$C$10:$C$224,$C229,'TL09'!$J$10:$J$224),0),
IF('TL09'!$B$229=L$3,SUMIF('TL09'!$C$238:$C$451,$C229,'TL09'!$J$238:$J$451),0),
IF('TL10'!$B$3=L$3,SUMIF('TL10'!$C$10:$C$224,$C229,'TL10'!$J$10:$J$224),0),
IF('TL10'!$B$229=L$3,SUMIF('TL10'!$C$238:$C$451,$C229,'TL10'!$J$238:$J$451),0),
IF('TL11'!$B$3=L$3,SUMIF('TL11'!$C$10:$C$224,$C229,'TL11'!$J$10:$J$224),0),
IF('TL11'!$B$229=L$3,SUMIF('TL11'!$C$238:$C$451,$C229,'TL11'!$J$238:$J$451),0),
IF('TL12'!$B$3=L$3,SUMIF('TL12'!$C$10:$C$224,$C229,'TL12'!$J$10:$J$224),0),
IF('TL12'!$B$229=L$3,SUMIF('TL12'!$C$238:$C$451,$C229,'TL12'!$J$238:$J$451),0),
IF('TL13'!$B$3=L$3,SUMIF('TL13'!$C$10:$C$224,$C229,'TL13'!$J$10:$J$224),0),
IF('TL13'!$B$229=L$3,SUMIF('TL13'!$C$238:$C$451,$C229,'TL13'!$J$238:$J$451),0),
IF('TL14'!$B$3=L$3,SUMIF('TL14'!$C$10:$C$224,$C229,'TL14'!$J$10:$J$224),0),
IF('TL14'!$B$229=L$3,SUMIF('TL14'!$C$238:$C$451,$C229,'TL14'!$J$238:$J$451),0),
IF('TL15'!$B$3=L$3,SUMIF('TL15'!$C$10:$C$224,$C229,'TL15'!$J$10:$J$224),0),
IF('TL15'!$B$229=L$3,SUMIF('TL15'!$C$238:$C$451,$C229,'TL15'!$J$238:$J$451),0),
IF('TL16'!$B$3=L$3,SUMIF('TL16'!$C$10:$C$224,$C229,'TL16'!$J$10:$J$224),0),
IF('TL16'!$B$229=L$3,SUMIF('TL16'!$C$238:$C$451,$C229,'TL16'!$J$238:$J$451),0),
IF('TL17'!$B$3=L$3,SUMIF('TL17'!$C$10:$C$224,$C229,'TL17'!$J$10:$J$224),0),
IF('TL17'!$B$229=L$3,SUMIF('TL17'!$C$238:$C$451,$C229,'TL17'!$J$238:$J$451),0),
IF('TL18'!$B$3=L$3,SUMIF('TL18'!$C$10:$C$224,$C229,'TL18'!$J$10:$J$224),0),
IF('TL18'!$B$229=L$3,SUMIF('TL18'!$C$238:$C$451,$C229,'TL18'!$J$238:$J$451),0),
IF('TL19'!$B$3=L$3,SUMIF('TL19'!$C$10:$C$224,$C229,'TL19'!$J$10:$J$224),0),
IF('TL19'!$B$229=L$3,SUMIF('TL19'!$C$238:$C$451,$C229,'TL19'!$J$238:$J$451),0)
),0)</f>
        <v>0</v>
      </c>
      <c r="M229" s="9">
        <f>IFERROR(SUM(
IF('TL01'!$B$3=M$3,SUMIF('TL01'!$C$10:$C$224,$C229,'TL01'!$J$10:$J$224),0),
IF('TL01'!$B$229=M$3,SUMIF('TL01'!$C$238:$C$451,$C229,'TL01'!$J$238:$J$451),0),
IF('TL02'!$B$3=M$3,SUMIF('TL02'!$C$10:$C$224,$C229,'TL02'!$J$10:$J$224),0),
IF('TL02'!$B$229=M$3,SUMIF('TL02'!$C$238:$C$451,$C229,'TL02'!$J$238:$J$451),0),
IF('TL03'!$B$3=M$3,SUMIF('TL03'!$C$10:$C$224,$C229,'TL03'!$J$10:$J$224),0),
IF('TL03'!$B$229=M$3,SUMIF('TL03'!$C$238:$C$451,$C229,'TL03'!$J$238:$J$451),0),
IF('TL04'!$B$3=M$3,SUMIF('TL04'!$C$10:$C$224,$C229,'TL04'!$J$10:$J$224),0),
IF('TL04'!$B$229=M$3,SUMIF('TL04'!$C$238:$C$451,$C229,'TL04'!$J$238:$J$451),0),
IF('TL05'!$B$3=M$3,SUMIF('TL05'!$C$10:$C$224,$C229,'TL05'!$J$10:$J$224),0),
IF('TL05'!$B$229=M$3,SUMIF('TL05'!$C$238:$C$451,$C229,'TL05'!$J$238:$J$451),0),
IF('TL06'!$B$3=M$3,SUMIF('TL06'!$C$10:$C$224,$C229,'TL06'!$J$10:$J$224),0),
IF('TL06'!$B$229=M$3,SUMIF('TL06'!$C$238:$C$451,$C229,'TL06'!$J$238:$J$451),0),
IF('TL07'!$B$3=M$3,SUMIF('TL07'!$C$10:$C$224,$C229,'TL07'!$J$10:$J$224),0),
IF('TL07'!$B$229=M$3,SUMIF('TL07'!$C$238:$C$451,$C229,'TL07'!$J$238:$J$451),0),
IF('TL08'!$B$3=M$3,SUMIF('TL08'!$C$10:$C$224,$C229,'TL08'!$J$10:$J$224),0),
IF('TL08'!$B$229=M$3,SUMIF('TL08'!$C$238:$C$451,$C229,'TL08'!$J$238:$J$451),0),
IF('TL09'!$B$3=M$3,SUMIF('TL09'!$C$10:$C$224,$C229,'TL09'!$J$10:$J$224),0),
IF('TL09'!$B$229=M$3,SUMIF('TL09'!$C$238:$C$451,$C229,'TL09'!$J$238:$J$451),0),
IF('TL10'!$B$3=M$3,SUMIF('TL10'!$C$10:$C$224,$C229,'TL10'!$J$10:$J$224),0),
IF('TL10'!$B$229=M$3,SUMIF('TL10'!$C$238:$C$451,$C229,'TL10'!$J$238:$J$451),0),
IF('TL11'!$B$3=M$3,SUMIF('TL11'!$C$10:$C$224,$C229,'TL11'!$J$10:$J$224),0),
IF('TL11'!$B$229=M$3,SUMIF('TL11'!$C$238:$C$451,$C229,'TL11'!$J$238:$J$451),0),
IF('TL12'!$B$3=M$3,SUMIF('TL12'!$C$10:$C$224,$C229,'TL12'!$J$10:$J$224),0),
IF('TL12'!$B$229=M$3,SUMIF('TL12'!$C$238:$C$451,$C229,'TL12'!$J$238:$J$451),0),
IF('TL13'!$B$3=M$3,SUMIF('TL13'!$C$10:$C$224,$C229,'TL13'!$J$10:$J$224),0),
IF('TL13'!$B$229=M$3,SUMIF('TL13'!$C$238:$C$451,$C229,'TL13'!$J$238:$J$451),0),
IF('TL14'!$B$3=M$3,SUMIF('TL14'!$C$10:$C$224,$C229,'TL14'!$J$10:$J$224),0),
IF('TL14'!$B$229=M$3,SUMIF('TL14'!$C$238:$C$451,$C229,'TL14'!$J$238:$J$451),0),
IF('TL15'!$B$3=M$3,SUMIF('TL15'!$C$10:$C$224,$C229,'TL15'!$J$10:$J$224),0),
IF('TL15'!$B$229=M$3,SUMIF('TL15'!$C$238:$C$451,$C229,'TL15'!$J$238:$J$451),0),
IF('TL16'!$B$3=M$3,SUMIF('TL16'!$C$10:$C$224,$C229,'TL16'!$J$10:$J$224),0),
IF('TL16'!$B$229=M$3,SUMIF('TL16'!$C$238:$C$451,$C229,'TL16'!$J$238:$J$451),0),
IF('TL17'!$B$3=M$3,SUMIF('TL17'!$C$10:$C$224,$C229,'TL17'!$J$10:$J$224),0),
IF('TL17'!$B$229=M$3,SUMIF('TL17'!$C$238:$C$451,$C229,'TL17'!$J$238:$J$451),0),
IF('TL18'!$B$3=M$3,SUMIF('TL18'!$C$10:$C$224,$C229,'TL18'!$J$10:$J$224),0),
IF('TL18'!$B$229=M$3,SUMIF('TL18'!$C$238:$C$451,$C229,'TL18'!$J$238:$J$451),0),
IF('TL19'!$B$3=M$3,SUMIF('TL19'!$C$10:$C$224,$C229,'TL19'!$J$10:$J$224),0),
IF('TL19'!$B$229=M$3,SUMIF('TL19'!$C$238:$C$451,$C229,'TL19'!$J$238:$J$451),0)
),0)</f>
        <v>0</v>
      </c>
      <c r="N229" s="9">
        <f>IFERROR(SUM(
IF('TL01'!$B$3=N$3,SUMIF('TL01'!$C$10:$C$224,$C229,'TL01'!$J$10:$J$224),0),
IF('TL01'!$B$229=N$3,SUMIF('TL01'!$C$238:$C$451,$C229,'TL01'!$J$238:$J$451),0),
IF('TL02'!$B$3=N$3,SUMIF('TL02'!$C$10:$C$224,$C229,'TL02'!$J$10:$J$224),0),
IF('TL02'!$B$229=N$3,SUMIF('TL02'!$C$238:$C$451,$C229,'TL02'!$J$238:$J$451),0),
IF('TL03'!$B$3=N$3,SUMIF('TL03'!$C$10:$C$224,$C229,'TL03'!$J$10:$J$224),0),
IF('TL03'!$B$229=N$3,SUMIF('TL03'!$C$238:$C$451,$C229,'TL03'!$J$238:$J$451),0),
IF('TL04'!$B$3=N$3,SUMIF('TL04'!$C$10:$C$224,$C229,'TL04'!$J$10:$J$224),0),
IF('TL04'!$B$229=N$3,SUMIF('TL04'!$C$238:$C$451,$C229,'TL04'!$J$238:$J$451),0),
IF('TL05'!$B$3=N$3,SUMIF('TL05'!$C$10:$C$224,$C229,'TL05'!$J$10:$J$224),0),
IF('TL05'!$B$229=N$3,SUMIF('TL05'!$C$238:$C$451,$C229,'TL05'!$J$238:$J$451),0),
IF('TL06'!$B$3=N$3,SUMIF('TL06'!$C$10:$C$224,$C229,'TL06'!$J$10:$J$224),0),
IF('TL06'!$B$229=N$3,SUMIF('TL06'!$C$238:$C$451,$C229,'TL06'!$J$238:$J$451),0),
IF('TL07'!$B$3=N$3,SUMIF('TL07'!$C$10:$C$224,$C229,'TL07'!$J$10:$J$224),0),
IF('TL07'!$B$229=N$3,SUMIF('TL07'!$C$238:$C$451,$C229,'TL07'!$J$238:$J$451),0),
IF('TL08'!$B$3=N$3,SUMIF('TL08'!$C$10:$C$224,$C229,'TL08'!$J$10:$J$224),0),
IF('TL08'!$B$229=N$3,SUMIF('TL08'!$C$238:$C$451,$C229,'TL08'!$J$238:$J$451),0),
IF('TL09'!$B$3=N$3,SUMIF('TL09'!$C$10:$C$224,$C229,'TL09'!$J$10:$J$224),0),
IF('TL09'!$B$229=N$3,SUMIF('TL09'!$C$238:$C$451,$C229,'TL09'!$J$238:$J$451),0),
IF('TL10'!$B$3=N$3,SUMIF('TL10'!$C$10:$C$224,$C229,'TL10'!$J$10:$J$224),0),
IF('TL10'!$B$229=N$3,SUMIF('TL10'!$C$238:$C$451,$C229,'TL10'!$J$238:$J$451),0),
IF('TL11'!$B$3=N$3,SUMIF('TL11'!$C$10:$C$224,$C229,'TL11'!$J$10:$J$224),0),
IF('TL11'!$B$229=N$3,SUMIF('TL11'!$C$238:$C$451,$C229,'TL11'!$J$238:$J$451),0),
IF('TL12'!$B$3=N$3,SUMIF('TL12'!$C$10:$C$224,$C229,'TL12'!$J$10:$J$224),0),
IF('TL12'!$B$229=N$3,SUMIF('TL12'!$C$238:$C$451,$C229,'TL12'!$J$238:$J$451),0),
IF('TL13'!$B$3=N$3,SUMIF('TL13'!$C$10:$C$224,$C229,'TL13'!$J$10:$J$224),0),
IF('TL13'!$B$229=N$3,SUMIF('TL13'!$C$238:$C$451,$C229,'TL13'!$J$238:$J$451),0),
IF('TL14'!$B$3=N$3,SUMIF('TL14'!$C$10:$C$224,$C229,'TL14'!$J$10:$J$224),0),
IF('TL14'!$B$229=N$3,SUMIF('TL14'!$C$238:$C$451,$C229,'TL14'!$J$238:$J$451),0),
IF('TL15'!$B$3=N$3,SUMIF('TL15'!$C$10:$C$224,$C229,'TL15'!$J$10:$J$224),0),
IF('TL15'!$B$229=N$3,SUMIF('TL15'!$C$238:$C$451,$C229,'TL15'!$J$238:$J$451),0),
IF('TL16'!$B$3=N$3,SUMIF('TL16'!$C$10:$C$224,$C229,'TL16'!$J$10:$J$224),0),
IF('TL16'!$B$229=N$3,SUMIF('TL16'!$C$238:$C$451,$C229,'TL16'!$J$238:$J$451),0),
IF('TL17'!$B$3=N$3,SUMIF('TL17'!$C$10:$C$224,$C229,'TL17'!$J$10:$J$224),0),
IF('TL17'!$B$229=N$3,SUMIF('TL17'!$C$238:$C$451,$C229,'TL17'!$J$238:$J$451),0),
IF('TL18'!$B$3=N$3,SUMIF('TL18'!$C$10:$C$224,$C229,'TL18'!$J$10:$J$224),0),
IF('TL18'!$B$229=N$3,SUMIF('TL18'!$C$238:$C$451,$C229,'TL18'!$J$238:$J$451),0),
IF('TL19'!$B$3=N$3,SUMIF('TL19'!$C$10:$C$224,$C229,'TL19'!$J$10:$J$224),0),
IF('TL19'!$B$229=N$3,SUMIF('TL19'!$C$238:$C$451,$C229,'TL19'!$J$238:$J$451),0)
),0)</f>
        <v>0</v>
      </c>
      <c r="O229" s="9">
        <f>IFERROR(SUM(
IF('TL01'!$B$3=O$3,SUMIF('TL01'!$C$10:$C$224,$C229,'TL01'!$J$10:$J$224),0),
IF('TL01'!$B$229=O$3,SUMIF('TL01'!$C$238:$C$451,$C229,'TL01'!$J$238:$J$451),0),
IF('TL02'!$B$3=O$3,SUMIF('TL02'!$C$10:$C$224,$C229,'TL02'!$J$10:$J$224),0),
IF('TL02'!$B$229=O$3,SUMIF('TL02'!$C$238:$C$451,$C229,'TL02'!$J$238:$J$451),0),
IF('TL03'!$B$3=O$3,SUMIF('TL03'!$C$10:$C$224,$C229,'TL03'!$J$10:$J$224),0),
IF('TL03'!$B$229=O$3,SUMIF('TL03'!$C$238:$C$451,$C229,'TL03'!$J$238:$J$451),0),
IF('TL04'!$B$3=O$3,SUMIF('TL04'!$C$10:$C$224,$C229,'TL04'!$J$10:$J$224),0),
IF('TL04'!$B$229=O$3,SUMIF('TL04'!$C$238:$C$451,$C229,'TL04'!$J$238:$J$451),0),
IF('TL05'!$B$3=O$3,SUMIF('TL05'!$C$10:$C$224,$C229,'TL05'!$J$10:$J$224),0),
IF('TL05'!$B$229=O$3,SUMIF('TL05'!$C$238:$C$451,$C229,'TL05'!$J$238:$J$451),0),
IF('TL06'!$B$3=O$3,SUMIF('TL06'!$C$10:$C$224,$C229,'TL06'!$J$10:$J$224),0),
IF('TL06'!$B$229=O$3,SUMIF('TL06'!$C$238:$C$451,$C229,'TL06'!$J$238:$J$451),0),
IF('TL07'!$B$3=O$3,SUMIF('TL07'!$C$10:$C$224,$C229,'TL07'!$J$10:$J$224),0),
IF('TL07'!$B$229=O$3,SUMIF('TL07'!$C$238:$C$451,$C229,'TL07'!$J$238:$J$451),0),
IF('TL08'!$B$3=O$3,SUMIF('TL08'!$C$10:$C$224,$C229,'TL08'!$J$10:$J$224),0),
IF('TL08'!$B$229=O$3,SUMIF('TL08'!$C$238:$C$451,$C229,'TL08'!$J$238:$J$451),0),
IF('TL09'!$B$3=O$3,SUMIF('TL09'!$C$10:$C$224,$C229,'TL09'!$J$10:$J$224),0),
IF('TL09'!$B$229=O$3,SUMIF('TL09'!$C$238:$C$451,$C229,'TL09'!$J$238:$J$451),0),
IF('TL10'!$B$3=O$3,SUMIF('TL10'!$C$10:$C$224,$C229,'TL10'!$J$10:$J$224),0),
IF('TL10'!$B$229=O$3,SUMIF('TL10'!$C$238:$C$451,$C229,'TL10'!$J$238:$J$451),0),
IF('TL11'!$B$3=O$3,SUMIF('TL11'!$C$10:$C$224,$C229,'TL11'!$J$10:$J$224),0),
IF('TL11'!$B$229=O$3,SUMIF('TL11'!$C$238:$C$451,$C229,'TL11'!$J$238:$J$451),0),
IF('TL12'!$B$3=O$3,SUMIF('TL12'!$C$10:$C$224,$C229,'TL12'!$J$10:$J$224),0),
IF('TL12'!$B$229=O$3,SUMIF('TL12'!$C$238:$C$451,$C229,'TL12'!$J$238:$J$451),0),
IF('TL13'!$B$3=O$3,SUMIF('TL13'!$C$10:$C$224,$C229,'TL13'!$J$10:$J$224),0),
IF('TL13'!$B$229=O$3,SUMIF('TL13'!$C$238:$C$451,$C229,'TL13'!$J$238:$J$451),0),
IF('TL14'!$B$3=O$3,SUMIF('TL14'!$C$10:$C$224,$C229,'TL14'!$J$10:$J$224),0),
IF('TL14'!$B$229=O$3,SUMIF('TL14'!$C$238:$C$451,$C229,'TL14'!$J$238:$J$451),0),
IF('TL15'!$B$3=O$3,SUMIF('TL15'!$C$10:$C$224,$C229,'TL15'!$J$10:$J$224),0),
IF('TL15'!$B$229=O$3,SUMIF('TL15'!$C$238:$C$451,$C229,'TL15'!$J$238:$J$451),0),
IF('TL16'!$B$3=O$3,SUMIF('TL16'!$C$10:$C$224,$C229,'TL16'!$J$10:$J$224),0),
IF('TL16'!$B$229=O$3,SUMIF('TL16'!$C$238:$C$451,$C229,'TL16'!$J$238:$J$451),0),
IF('TL17'!$B$3=O$3,SUMIF('TL17'!$C$10:$C$224,$C229,'TL17'!$J$10:$J$224),0),
IF('TL17'!$B$229=O$3,SUMIF('TL17'!$C$238:$C$451,$C229,'TL17'!$J$238:$J$451),0),
IF('TL18'!$B$3=O$3,SUMIF('TL18'!$C$10:$C$224,$C229,'TL18'!$J$10:$J$224),0),
IF('TL18'!$B$229=O$3,SUMIF('TL18'!$C$238:$C$451,$C229,'TL18'!$J$238:$J$451),0),
IF('TL19'!$B$3=O$3,SUMIF('TL19'!$C$10:$C$224,$C229,'TL19'!$J$10:$J$224),0),
IF('TL19'!$B$229=O$3,SUMIF('TL19'!$C$238:$C$451,$C229,'TL19'!$J$238:$J$451),0)
),0)</f>
        <v>0</v>
      </c>
      <c r="P229" s="9">
        <f>IFERROR(SUM(
IF('TL01'!$B$3=P$3,SUMIF('TL01'!$C$10:$C$224,$C229,'TL01'!$J$10:$J$224),0),
IF('TL01'!$B$229=P$3,SUMIF('TL01'!$C$238:$C$451,$C229,'TL01'!$J$238:$J$451),0),
IF('TL02'!$B$3=P$3,SUMIF('TL02'!$C$10:$C$224,$C229,'TL02'!$J$10:$J$224),0),
IF('TL02'!$B$229=P$3,SUMIF('TL02'!$C$238:$C$451,$C229,'TL02'!$J$238:$J$451),0),
IF('TL03'!$B$3=P$3,SUMIF('TL03'!$C$10:$C$224,$C229,'TL03'!$J$10:$J$224),0),
IF('TL03'!$B$229=P$3,SUMIF('TL03'!$C$238:$C$451,$C229,'TL03'!$J$238:$J$451),0),
IF('TL04'!$B$3=P$3,SUMIF('TL04'!$C$10:$C$224,$C229,'TL04'!$J$10:$J$224),0),
IF('TL04'!$B$229=P$3,SUMIF('TL04'!$C$238:$C$451,$C229,'TL04'!$J$238:$J$451),0),
IF('TL05'!$B$3=P$3,SUMIF('TL05'!$C$10:$C$224,$C229,'TL05'!$J$10:$J$224),0),
IF('TL05'!$B$229=P$3,SUMIF('TL05'!$C$238:$C$451,$C229,'TL05'!$J$238:$J$451),0),
IF('TL06'!$B$3=P$3,SUMIF('TL06'!$C$10:$C$224,$C229,'TL06'!$J$10:$J$224),0),
IF('TL06'!$B$229=P$3,SUMIF('TL06'!$C$238:$C$451,$C229,'TL06'!$J$238:$J$451),0),
IF('TL07'!$B$3=P$3,SUMIF('TL07'!$C$10:$C$224,$C229,'TL07'!$J$10:$J$224),0),
IF('TL07'!$B$229=P$3,SUMIF('TL07'!$C$238:$C$451,$C229,'TL07'!$J$238:$J$451),0),
IF('TL08'!$B$3=P$3,SUMIF('TL08'!$C$10:$C$224,$C229,'TL08'!$J$10:$J$224),0),
IF('TL08'!$B$229=P$3,SUMIF('TL08'!$C$238:$C$451,$C229,'TL08'!$J$238:$J$451),0),
IF('TL09'!$B$3=P$3,SUMIF('TL09'!$C$10:$C$224,$C229,'TL09'!$J$10:$J$224),0),
IF('TL09'!$B$229=P$3,SUMIF('TL09'!$C$238:$C$451,$C229,'TL09'!$J$238:$J$451),0),
IF('TL10'!$B$3=P$3,SUMIF('TL10'!$C$10:$C$224,$C229,'TL10'!$J$10:$J$224),0),
IF('TL10'!$B$229=P$3,SUMIF('TL10'!$C$238:$C$451,$C229,'TL10'!$J$238:$J$451),0),
IF('TL11'!$B$3=P$3,SUMIF('TL11'!$C$10:$C$224,$C229,'TL11'!$J$10:$J$224),0),
IF('TL11'!$B$229=P$3,SUMIF('TL11'!$C$238:$C$451,$C229,'TL11'!$J$238:$J$451),0),
IF('TL12'!$B$3=P$3,SUMIF('TL12'!$C$10:$C$224,$C229,'TL12'!$J$10:$J$224),0),
IF('TL12'!$B$229=P$3,SUMIF('TL12'!$C$238:$C$451,$C229,'TL12'!$J$238:$J$451),0),
IF('TL13'!$B$3=P$3,SUMIF('TL13'!$C$10:$C$224,$C229,'TL13'!$J$10:$J$224),0),
IF('TL13'!$B$229=P$3,SUMIF('TL13'!$C$238:$C$451,$C229,'TL13'!$J$238:$J$451),0),
IF('TL14'!$B$3=P$3,SUMIF('TL14'!$C$10:$C$224,$C229,'TL14'!$J$10:$J$224),0),
IF('TL14'!$B$229=P$3,SUMIF('TL14'!$C$238:$C$451,$C229,'TL14'!$J$238:$J$451),0),
IF('TL15'!$B$3=P$3,SUMIF('TL15'!$C$10:$C$224,$C229,'TL15'!$J$10:$J$224),0),
IF('TL15'!$B$229=P$3,SUMIF('TL15'!$C$238:$C$451,$C229,'TL15'!$J$238:$J$451),0),
IF('TL16'!$B$3=P$3,SUMIF('TL16'!$C$10:$C$224,$C229,'TL16'!$J$10:$J$224),0),
IF('TL16'!$B$229=P$3,SUMIF('TL16'!$C$238:$C$451,$C229,'TL16'!$J$238:$J$451),0),
IF('TL17'!$B$3=P$3,SUMIF('TL17'!$C$10:$C$224,$C229,'TL17'!$J$10:$J$224),0),
IF('TL17'!$B$229=P$3,SUMIF('TL17'!$C$238:$C$451,$C229,'TL17'!$J$238:$J$451),0),
IF('TL18'!$B$3=P$3,SUMIF('TL18'!$C$10:$C$224,$C229,'TL18'!$J$10:$J$224),0),
IF('TL18'!$B$229=P$3,SUMIF('TL18'!$C$238:$C$451,$C229,'TL18'!$J$238:$J$451),0),
IF('TL19'!$B$3=P$3,SUMIF('TL19'!$C$10:$C$224,$C229,'TL19'!$J$10:$J$224),0),
IF('TL19'!$B$229=P$3,SUMIF('TL19'!$C$238:$C$451,$C229,'TL19'!$J$238:$J$451),0)
),0)</f>
        <v>0</v>
      </c>
      <c r="Q229" s="9">
        <f>IFERROR(SUM(
IF('TL01'!$B$3=Q$3,SUMIF('TL01'!$C$10:$C$224,$C229,'TL01'!$J$10:$J$224),0),
IF('TL01'!$B$229=Q$3,SUMIF('TL01'!$C$238:$C$451,$C229,'TL01'!$J$238:$J$451),0),
IF('TL02'!$B$3=Q$3,SUMIF('TL02'!$C$10:$C$224,$C229,'TL02'!$J$10:$J$224),0),
IF('TL02'!$B$229=Q$3,SUMIF('TL02'!$C$238:$C$451,$C229,'TL02'!$J$238:$J$451),0),
IF('TL03'!$B$3=Q$3,SUMIF('TL03'!$C$10:$C$224,$C229,'TL03'!$J$10:$J$224),0),
IF('TL03'!$B$229=Q$3,SUMIF('TL03'!$C$238:$C$451,$C229,'TL03'!$J$238:$J$451),0),
IF('TL04'!$B$3=Q$3,SUMIF('TL04'!$C$10:$C$224,$C229,'TL04'!$J$10:$J$224),0),
IF('TL04'!$B$229=Q$3,SUMIF('TL04'!$C$238:$C$451,$C229,'TL04'!$J$238:$J$451),0),
IF('TL05'!$B$3=Q$3,SUMIF('TL05'!$C$10:$C$224,$C229,'TL05'!$J$10:$J$224),0),
IF('TL05'!$B$229=Q$3,SUMIF('TL05'!$C$238:$C$451,$C229,'TL05'!$J$238:$J$451),0),
IF('TL06'!$B$3=Q$3,SUMIF('TL06'!$C$10:$C$224,$C229,'TL06'!$J$10:$J$224),0),
IF('TL06'!$B$229=Q$3,SUMIF('TL06'!$C$238:$C$451,$C229,'TL06'!$J$238:$J$451),0),
IF('TL07'!$B$3=Q$3,SUMIF('TL07'!$C$10:$C$224,$C229,'TL07'!$J$10:$J$224),0),
IF('TL07'!$B$229=Q$3,SUMIF('TL07'!$C$238:$C$451,$C229,'TL07'!$J$238:$J$451),0),
IF('TL08'!$B$3=Q$3,SUMIF('TL08'!$C$10:$C$224,$C229,'TL08'!$J$10:$J$224),0),
IF('TL08'!$B$229=Q$3,SUMIF('TL08'!$C$238:$C$451,$C229,'TL08'!$J$238:$J$451),0),
IF('TL09'!$B$3=Q$3,SUMIF('TL09'!$C$10:$C$224,$C229,'TL09'!$J$10:$J$224),0),
IF('TL09'!$B$229=Q$3,SUMIF('TL09'!$C$238:$C$451,$C229,'TL09'!$J$238:$J$451),0),
IF('TL10'!$B$3=Q$3,SUMIF('TL10'!$C$10:$C$224,$C229,'TL10'!$J$10:$J$224),0),
IF('TL10'!$B$229=Q$3,SUMIF('TL10'!$C$238:$C$451,$C229,'TL10'!$J$238:$J$451),0),
IF('TL11'!$B$3=Q$3,SUMIF('TL11'!$C$10:$C$224,$C229,'TL11'!$J$10:$J$224),0),
IF('TL11'!$B$229=Q$3,SUMIF('TL11'!$C$238:$C$451,$C229,'TL11'!$J$238:$J$451),0),
IF('TL12'!$B$3=Q$3,SUMIF('TL12'!$C$10:$C$224,$C229,'TL12'!$J$10:$J$224),0),
IF('TL12'!$B$229=Q$3,SUMIF('TL12'!$C$238:$C$451,$C229,'TL12'!$J$238:$J$451),0),
IF('TL13'!$B$3=Q$3,SUMIF('TL13'!$C$10:$C$224,$C229,'TL13'!$J$10:$J$224),0),
IF('TL13'!$B$229=Q$3,SUMIF('TL13'!$C$238:$C$451,$C229,'TL13'!$J$238:$J$451),0),
IF('TL14'!$B$3=Q$3,SUMIF('TL14'!$C$10:$C$224,$C229,'TL14'!$J$10:$J$224),0),
IF('TL14'!$B$229=Q$3,SUMIF('TL14'!$C$238:$C$451,$C229,'TL14'!$J$238:$J$451),0),
IF('TL15'!$B$3=Q$3,SUMIF('TL15'!$C$10:$C$224,$C229,'TL15'!$J$10:$J$224),0),
IF('TL15'!$B$229=Q$3,SUMIF('TL15'!$C$238:$C$451,$C229,'TL15'!$J$238:$J$451),0),
IF('TL16'!$B$3=Q$3,SUMIF('TL16'!$C$10:$C$224,$C229,'TL16'!$J$10:$J$224),0),
IF('TL16'!$B$229=Q$3,SUMIF('TL16'!$C$238:$C$451,$C229,'TL16'!$J$238:$J$451),0),
IF('TL17'!$B$3=Q$3,SUMIF('TL17'!$C$10:$C$224,$C229,'TL17'!$J$10:$J$224),0),
IF('TL17'!$B$229=Q$3,SUMIF('TL17'!$C$238:$C$451,$C229,'TL17'!$J$238:$J$451),0),
IF('TL18'!$B$3=Q$3,SUMIF('TL18'!$C$10:$C$224,$C229,'TL18'!$J$10:$J$224),0),
IF('TL18'!$B$229=Q$3,SUMIF('TL18'!$C$238:$C$451,$C229,'TL18'!$J$238:$J$451),0),
IF('TL19'!$B$3=Q$3,SUMIF('TL19'!$C$10:$C$224,$C229,'TL19'!$J$10:$J$224),0),
IF('TL19'!$B$229=Q$3,SUMIF('TL19'!$C$238:$C$451,$C229,'TL19'!$J$238:$J$451),0)
),0)</f>
        <v>0</v>
      </c>
      <c r="R229" s="9">
        <f>IFERROR(
SUM(
SUMIF('TL01'!C:C,C229,'TL01'!J:J),
SUMIF('TL02'!C:C,C229,'TL02'!J:J),
SUMIF('TL03'!C:C,C229,'TL03'!J:J),
SUMIF('TL04'!C:C,C229,'TL04'!J:J),
SUMIF('TL05'!C:C,C229,'TL05'!J:J),
SUMIF('TL06'!C:C,C229,'TL06'!J:J),
SUMIF('TL07'!C:C,C229,'TL07'!J:J),
SUMIF('TL08'!C:C,C229,'TL08'!J:J),
SUMIF('TL09'!C:C,C229,'TL09'!J:J),
SUMIF('TL10'!C:C,C229,'TL10'!J:J),
SUMIF('TL11'!C:C,C229,'TL11'!J:J),
SUMIF('TL12'!C:C,C229,'TL12'!J:J),
SUMIF('TL13'!C:C,C229,'TL13'!J:J),
SUMIF('TL14'!C:C,C229,'TL14'!J:J),
SUMIF('TL15'!C:C,C229,'TL15'!J:J),
SUMIF('TL16'!C:C,C229,'TL16'!J:J),
SUMIF('TL17'!C:C,C229,'TL17'!J:J),
SUMIF('TL18'!C:C,C229,'TL18'!J:J),SUMIF('TL19'!C:C,C229,'TL19'!J:J))
,0)</f>
        <v>0</v>
      </c>
      <c r="S229" s="17">
        <f>IFERROR(__xludf.DUMMYFUNCTION("IFERROR(VLOOKUP(C229,
IMPORTRANGE(""1wULbzX32WdYsx-lj2U3uUNBBe2INVIRDtcK0d-Dvl90"",
""26-27!C:G""),
5,
FALSE),
"""")"),110.14247999999999)</f>
        <v>110.14248</v>
      </c>
      <c r="T229" s="9"/>
      <c r="U229" s="92">
        <f t="shared" si="2"/>
        <v>0</v>
      </c>
      <c r="V229" s="93">
        <f t="shared" si="3"/>
        <v>0</v>
      </c>
    </row>
    <row r="230" ht="15.75" hidden="1" customHeight="1">
      <c r="A230" s="87" t="s">
        <v>358</v>
      </c>
      <c r="B230" s="88" t="s">
        <v>2</v>
      </c>
      <c r="C230" s="89" t="s">
        <v>874</v>
      </c>
      <c r="D230" s="89" t="s">
        <v>875</v>
      </c>
      <c r="E230" s="89" t="s">
        <v>503</v>
      </c>
      <c r="F230" s="4" t="s">
        <v>343</v>
      </c>
      <c r="G230" s="90" t="str">
        <f t="shared" si="4"/>
        <v>📄 Ver bula</v>
      </c>
      <c r="H230" s="9">
        <f>IFERROR(__xludf.DUMMYFUNCTION("IFERROR(VLOOKUP(C230,
IMPORTRANGE(""1wULbzX32WdYsx-lj2U3uUNBBe2INVIRDtcK0d-Dvl90"",
""26-27!C:K""),
8,
FALSE),
"""")"),0.2)</f>
        <v>0.2</v>
      </c>
      <c r="I230" s="91" t="s">
        <v>344</v>
      </c>
      <c r="J230" s="9">
        <f>IFERROR(SUM(
IF('TL01'!$B$3=J$3,SUMIF('TL01'!$C$10:$C$224,$C230,'TL01'!$J$10:$J$224),0),
IF('TL01'!$B$229=J$3,SUMIF('TL01'!$C$238:$C$451,$C230,'TL01'!$J$238:$J$451),0),
IF('TL02'!$B$3=J$3,SUMIF('TL02'!$C$10:$C$224,$C230,'TL02'!$J$10:$J$224),0),
IF('TL02'!$B$229=J$3,SUMIF('TL02'!$C$238:$C$451,$C230,'TL02'!$J$238:$J$451),0),
IF('TL03'!$B$3=J$3,SUMIF('TL03'!$C$10:$C$224,$C230,'TL03'!$J$10:$J$224),0),
IF('TL03'!$B$229=J$3,SUMIF('TL03'!$C$238:$C$451,$C230,'TL03'!$J$238:$J$451),0),
IF('TL04'!$B$3=J$3,SUMIF('TL04'!$C$10:$C$224,$C230,'TL04'!$J$10:$J$224),0),
IF('TL04'!$B$229=J$3,SUMIF('TL04'!$C$238:$C$451,$C230,'TL04'!$J$238:$J$451),0),
IF('TL05'!$B$3=J$3,SUMIF('TL05'!$C$10:$C$224,$C230,'TL05'!$J$10:$J$224),0),
IF('TL05'!$B$229=J$3,SUMIF('TL05'!$C$238:$C$451,$C230,'TL05'!$J$238:$J$451),0),
IF('TL06'!$B$3=J$3,SUMIF('TL06'!$C$10:$C$224,$C230,'TL06'!$J$10:$J$224),0),
IF('TL06'!$B$229=J$3,SUMIF('TL06'!$C$238:$C$451,$C230,'TL06'!$J$238:$J$451),0),
IF('TL07'!$B$3=J$3,SUMIF('TL07'!$C$10:$C$224,$C230,'TL07'!$J$10:$J$224),0),
IF('TL07'!$B$229=J$3,SUMIF('TL07'!$C$238:$C$451,$C230,'TL07'!$J$238:$J$451),0),
IF('TL08'!$B$3=J$3,SUMIF('TL08'!$C$10:$C$224,$C230,'TL08'!$J$10:$J$224),0),
IF('TL08'!$B$229=J$3,SUMIF('TL08'!$C$238:$C$451,$C230,'TL08'!$J$238:$J$451),0),
IF('TL09'!$B$3=J$3,SUMIF('TL09'!$C$10:$C$224,$C230,'TL09'!$J$10:$J$224),0),
IF('TL09'!$B$229=J$3,SUMIF('TL09'!$C$238:$C$451,$C230,'TL09'!$J$238:$J$451),0),
IF('TL10'!$B$3=J$3,SUMIF('TL10'!$C$10:$C$224,$C230,'TL10'!$J$10:$J$224),0),
IF('TL10'!$B$229=J$3,SUMIF('TL10'!$C$238:$C$451,$C230,'TL10'!$J$238:$J$451),0),
IF('TL11'!$B$3=J$3,SUMIF('TL11'!$C$10:$C$224,$C230,'TL11'!$J$10:$J$224),0),
IF('TL11'!$B$229=J$3,SUMIF('TL11'!$C$238:$C$451,$C230,'TL11'!$J$238:$J$451),0),
IF('TL12'!$B$3=J$3,SUMIF('TL12'!$C$10:$C$224,$C230,'TL12'!$J$10:$J$224),0),
IF('TL12'!$B$229=J$3,SUMIF('TL12'!$C$238:$C$451,$C230,'TL12'!$J$238:$J$451),0),
IF('TL13'!$B$3=J$3,SUMIF('TL13'!$C$10:$C$224,$C230,'TL13'!$J$10:$J$224),0),
IF('TL13'!$B$229=J$3,SUMIF('TL13'!$C$238:$C$451,$C230,'TL13'!$J$238:$J$451),0),
IF('TL14'!$B$3=J$3,SUMIF('TL14'!$C$10:$C$224,$C230,'TL14'!$J$10:$J$224),0),
IF('TL14'!$B$229=J$3,SUMIF('TL14'!$C$238:$C$451,$C230,'TL14'!$J$238:$J$451),0),
IF('TL15'!$B$3=J$3,SUMIF('TL15'!$C$10:$C$224,$C230,'TL15'!$J$10:$J$224),0),
IF('TL15'!$B$229=J$3,SUMIF('TL15'!$C$238:$C$451,$C230,'TL15'!$J$238:$J$451),0),
IF('TL16'!$B$3=J$3,SUMIF('TL16'!$C$10:$C$224,$C230,'TL16'!$J$10:$J$224),0),
IF('TL16'!$B$229=J$3,SUMIF('TL16'!$C$238:$C$451,$C230,'TL16'!$J$238:$J$451),0),
IF('TL17'!$B$3=J$3,SUMIF('TL17'!$C$10:$C$224,$C230,'TL17'!$J$10:$J$224),0),
IF('TL17'!$B$229=J$3,SUMIF('TL17'!$C$238:$C$451,$C230,'TL17'!$J$238:$J$451),0),
IF('TL18'!$B$3=J$3,SUMIF('TL18'!$C$10:$C$224,$C230,'TL18'!$J$10:$J$224),0),
IF('TL18'!$B$229=J$3,SUMIF('TL18'!$C$238:$C$451,$C230,'TL18'!$J$238:$J$451),0),
IF('TL19'!$B$3=J$3,SUMIF('TL19'!$C$10:$C$224,$C230,'TL19'!$J$10:$J$224),0),
IF('TL19'!$B$229=J$3,SUMIF('TL19'!$C$238:$C$451,$C230,'TL19'!$J$238:$J$451),0)
),0)</f>
        <v>0</v>
      </c>
      <c r="K230" s="9">
        <f>IFERROR(SUM(
IF('TL01'!$B$3=K$3,SUMIF('TL01'!$C$10:$C$224,$C230,'TL01'!$J$10:$J$224),0),
IF('TL01'!$B$229=K$3,SUMIF('TL01'!$C$238:$C$451,$C230,'TL01'!$J$238:$J$451),0),
IF('TL02'!$B$3=K$3,SUMIF('TL02'!$C$10:$C$224,$C230,'TL02'!$J$10:$J$224),0),
IF('TL02'!$B$229=K$3,SUMIF('TL02'!$C$238:$C$451,$C230,'TL02'!$J$238:$J$451),0),
IF('TL03'!$B$3=K$3,SUMIF('TL03'!$C$10:$C$224,$C230,'TL03'!$J$10:$J$224),0),
IF('TL03'!$B$229=K$3,SUMIF('TL03'!$C$238:$C$451,$C230,'TL03'!$J$238:$J$451),0),
IF('TL04'!$B$3=K$3,SUMIF('TL04'!$C$10:$C$224,$C230,'TL04'!$J$10:$J$224),0),
IF('TL04'!$B$229=K$3,SUMIF('TL04'!$C$238:$C$451,$C230,'TL04'!$J$238:$J$451),0),
IF('TL05'!$B$3=K$3,SUMIF('TL05'!$C$10:$C$224,$C230,'TL05'!$J$10:$J$224),0),
IF('TL05'!$B$229=K$3,SUMIF('TL05'!$C$238:$C$451,$C230,'TL05'!$J$238:$J$451),0),
IF('TL06'!$B$3=K$3,SUMIF('TL06'!$C$10:$C$224,$C230,'TL06'!$J$10:$J$224),0),
IF('TL06'!$B$229=K$3,SUMIF('TL06'!$C$238:$C$451,$C230,'TL06'!$J$238:$J$451),0),
IF('TL07'!$B$3=K$3,SUMIF('TL07'!$C$10:$C$224,$C230,'TL07'!$J$10:$J$224),0),
IF('TL07'!$B$229=K$3,SUMIF('TL07'!$C$238:$C$451,$C230,'TL07'!$J$238:$J$451),0),
IF('TL08'!$B$3=K$3,SUMIF('TL08'!$C$10:$C$224,$C230,'TL08'!$J$10:$J$224),0),
IF('TL08'!$B$229=K$3,SUMIF('TL08'!$C$238:$C$451,$C230,'TL08'!$J$238:$J$451),0),
IF('TL09'!$B$3=K$3,SUMIF('TL09'!$C$10:$C$224,$C230,'TL09'!$J$10:$J$224),0),
IF('TL09'!$B$229=K$3,SUMIF('TL09'!$C$238:$C$451,$C230,'TL09'!$J$238:$J$451),0),
IF('TL10'!$B$3=K$3,SUMIF('TL10'!$C$10:$C$224,$C230,'TL10'!$J$10:$J$224),0),
IF('TL10'!$B$229=K$3,SUMIF('TL10'!$C$238:$C$451,$C230,'TL10'!$J$238:$J$451),0),
IF('TL11'!$B$3=K$3,SUMIF('TL11'!$C$10:$C$224,$C230,'TL11'!$J$10:$J$224),0),
IF('TL11'!$B$229=K$3,SUMIF('TL11'!$C$238:$C$451,$C230,'TL11'!$J$238:$J$451),0),
IF('TL12'!$B$3=K$3,SUMIF('TL12'!$C$10:$C$224,$C230,'TL12'!$J$10:$J$224),0),
IF('TL12'!$B$229=K$3,SUMIF('TL12'!$C$238:$C$451,$C230,'TL12'!$J$238:$J$451),0),
IF('TL13'!$B$3=K$3,SUMIF('TL13'!$C$10:$C$224,$C230,'TL13'!$J$10:$J$224),0),
IF('TL13'!$B$229=K$3,SUMIF('TL13'!$C$238:$C$451,$C230,'TL13'!$J$238:$J$451),0),
IF('TL14'!$B$3=K$3,SUMIF('TL14'!$C$10:$C$224,$C230,'TL14'!$J$10:$J$224),0),
IF('TL14'!$B$229=K$3,SUMIF('TL14'!$C$238:$C$451,$C230,'TL14'!$J$238:$J$451),0),
IF('TL15'!$B$3=K$3,SUMIF('TL15'!$C$10:$C$224,$C230,'TL15'!$J$10:$J$224),0),
IF('TL15'!$B$229=K$3,SUMIF('TL15'!$C$238:$C$451,$C230,'TL15'!$J$238:$J$451),0),
IF('TL16'!$B$3=K$3,SUMIF('TL16'!$C$10:$C$224,$C230,'TL16'!$J$10:$J$224),0),
IF('TL16'!$B$229=K$3,SUMIF('TL16'!$C$238:$C$451,$C230,'TL16'!$J$238:$J$451),0),
IF('TL17'!$B$3=K$3,SUMIF('TL17'!$C$10:$C$224,$C230,'TL17'!$J$10:$J$224),0),
IF('TL17'!$B$229=K$3,SUMIF('TL17'!$C$238:$C$451,$C230,'TL17'!$J$238:$J$451),0),
IF('TL18'!$B$3=K$3,SUMIF('TL18'!$C$10:$C$224,$C230,'TL18'!$J$10:$J$224),0),
IF('TL18'!$B$229=K$3,SUMIF('TL18'!$C$238:$C$451,$C230,'TL18'!$J$238:$J$451),0),
IF('TL19'!$B$3=K$3,SUMIF('TL19'!$C$10:$C$224,$C230,'TL19'!$J$10:$J$224),0),
IF('TL19'!$B$229=K$3,SUMIF('TL19'!$C$238:$C$451,$C230,'TL19'!$J$238:$J$451),0)
),0)</f>
        <v>0</v>
      </c>
      <c r="L230" s="9">
        <f>IFERROR(SUM(
IF('TL01'!$B$3=L$3,SUMIF('TL01'!$C$10:$C$224,$C230,'TL01'!$J$10:$J$224),0),
IF('TL01'!$B$229=L$3,SUMIF('TL01'!$C$238:$C$451,$C230,'TL01'!$J$238:$J$451),0),
IF('TL02'!$B$3=L$3,SUMIF('TL02'!$C$10:$C$224,$C230,'TL02'!$J$10:$J$224),0),
IF('TL02'!$B$229=L$3,SUMIF('TL02'!$C$238:$C$451,$C230,'TL02'!$J$238:$J$451),0),
IF('TL03'!$B$3=L$3,SUMIF('TL03'!$C$10:$C$224,$C230,'TL03'!$J$10:$J$224),0),
IF('TL03'!$B$229=L$3,SUMIF('TL03'!$C$238:$C$451,$C230,'TL03'!$J$238:$J$451),0),
IF('TL04'!$B$3=L$3,SUMIF('TL04'!$C$10:$C$224,$C230,'TL04'!$J$10:$J$224),0),
IF('TL04'!$B$229=L$3,SUMIF('TL04'!$C$238:$C$451,$C230,'TL04'!$J$238:$J$451),0),
IF('TL05'!$B$3=L$3,SUMIF('TL05'!$C$10:$C$224,$C230,'TL05'!$J$10:$J$224),0),
IF('TL05'!$B$229=L$3,SUMIF('TL05'!$C$238:$C$451,$C230,'TL05'!$J$238:$J$451),0),
IF('TL06'!$B$3=L$3,SUMIF('TL06'!$C$10:$C$224,$C230,'TL06'!$J$10:$J$224),0),
IF('TL06'!$B$229=L$3,SUMIF('TL06'!$C$238:$C$451,$C230,'TL06'!$J$238:$J$451),0),
IF('TL07'!$B$3=L$3,SUMIF('TL07'!$C$10:$C$224,$C230,'TL07'!$J$10:$J$224),0),
IF('TL07'!$B$229=L$3,SUMIF('TL07'!$C$238:$C$451,$C230,'TL07'!$J$238:$J$451),0),
IF('TL08'!$B$3=L$3,SUMIF('TL08'!$C$10:$C$224,$C230,'TL08'!$J$10:$J$224),0),
IF('TL08'!$B$229=L$3,SUMIF('TL08'!$C$238:$C$451,$C230,'TL08'!$J$238:$J$451),0),
IF('TL09'!$B$3=L$3,SUMIF('TL09'!$C$10:$C$224,$C230,'TL09'!$J$10:$J$224),0),
IF('TL09'!$B$229=L$3,SUMIF('TL09'!$C$238:$C$451,$C230,'TL09'!$J$238:$J$451),0),
IF('TL10'!$B$3=L$3,SUMIF('TL10'!$C$10:$C$224,$C230,'TL10'!$J$10:$J$224),0),
IF('TL10'!$B$229=L$3,SUMIF('TL10'!$C$238:$C$451,$C230,'TL10'!$J$238:$J$451),0),
IF('TL11'!$B$3=L$3,SUMIF('TL11'!$C$10:$C$224,$C230,'TL11'!$J$10:$J$224),0),
IF('TL11'!$B$229=L$3,SUMIF('TL11'!$C$238:$C$451,$C230,'TL11'!$J$238:$J$451),0),
IF('TL12'!$B$3=L$3,SUMIF('TL12'!$C$10:$C$224,$C230,'TL12'!$J$10:$J$224),0),
IF('TL12'!$B$229=L$3,SUMIF('TL12'!$C$238:$C$451,$C230,'TL12'!$J$238:$J$451),0),
IF('TL13'!$B$3=L$3,SUMIF('TL13'!$C$10:$C$224,$C230,'TL13'!$J$10:$J$224),0),
IF('TL13'!$B$229=L$3,SUMIF('TL13'!$C$238:$C$451,$C230,'TL13'!$J$238:$J$451),0),
IF('TL14'!$B$3=L$3,SUMIF('TL14'!$C$10:$C$224,$C230,'TL14'!$J$10:$J$224),0),
IF('TL14'!$B$229=L$3,SUMIF('TL14'!$C$238:$C$451,$C230,'TL14'!$J$238:$J$451),0),
IF('TL15'!$B$3=L$3,SUMIF('TL15'!$C$10:$C$224,$C230,'TL15'!$J$10:$J$224),0),
IF('TL15'!$B$229=L$3,SUMIF('TL15'!$C$238:$C$451,$C230,'TL15'!$J$238:$J$451),0),
IF('TL16'!$B$3=L$3,SUMIF('TL16'!$C$10:$C$224,$C230,'TL16'!$J$10:$J$224),0),
IF('TL16'!$B$229=L$3,SUMIF('TL16'!$C$238:$C$451,$C230,'TL16'!$J$238:$J$451),0),
IF('TL17'!$B$3=L$3,SUMIF('TL17'!$C$10:$C$224,$C230,'TL17'!$J$10:$J$224),0),
IF('TL17'!$B$229=L$3,SUMIF('TL17'!$C$238:$C$451,$C230,'TL17'!$J$238:$J$451),0),
IF('TL18'!$B$3=L$3,SUMIF('TL18'!$C$10:$C$224,$C230,'TL18'!$J$10:$J$224),0),
IF('TL18'!$B$229=L$3,SUMIF('TL18'!$C$238:$C$451,$C230,'TL18'!$J$238:$J$451),0),
IF('TL19'!$B$3=L$3,SUMIF('TL19'!$C$10:$C$224,$C230,'TL19'!$J$10:$J$224),0),
IF('TL19'!$B$229=L$3,SUMIF('TL19'!$C$238:$C$451,$C230,'TL19'!$J$238:$J$451),0)
),0)</f>
        <v>0</v>
      </c>
      <c r="M230" s="9">
        <f>IFERROR(SUM(
IF('TL01'!$B$3=M$3,SUMIF('TL01'!$C$10:$C$224,$C230,'TL01'!$J$10:$J$224),0),
IF('TL01'!$B$229=M$3,SUMIF('TL01'!$C$238:$C$451,$C230,'TL01'!$J$238:$J$451),0),
IF('TL02'!$B$3=M$3,SUMIF('TL02'!$C$10:$C$224,$C230,'TL02'!$J$10:$J$224),0),
IF('TL02'!$B$229=M$3,SUMIF('TL02'!$C$238:$C$451,$C230,'TL02'!$J$238:$J$451),0),
IF('TL03'!$B$3=M$3,SUMIF('TL03'!$C$10:$C$224,$C230,'TL03'!$J$10:$J$224),0),
IF('TL03'!$B$229=M$3,SUMIF('TL03'!$C$238:$C$451,$C230,'TL03'!$J$238:$J$451),0),
IF('TL04'!$B$3=M$3,SUMIF('TL04'!$C$10:$C$224,$C230,'TL04'!$J$10:$J$224),0),
IF('TL04'!$B$229=M$3,SUMIF('TL04'!$C$238:$C$451,$C230,'TL04'!$J$238:$J$451),0),
IF('TL05'!$B$3=M$3,SUMIF('TL05'!$C$10:$C$224,$C230,'TL05'!$J$10:$J$224),0),
IF('TL05'!$B$229=M$3,SUMIF('TL05'!$C$238:$C$451,$C230,'TL05'!$J$238:$J$451),0),
IF('TL06'!$B$3=M$3,SUMIF('TL06'!$C$10:$C$224,$C230,'TL06'!$J$10:$J$224),0),
IF('TL06'!$B$229=M$3,SUMIF('TL06'!$C$238:$C$451,$C230,'TL06'!$J$238:$J$451),0),
IF('TL07'!$B$3=M$3,SUMIF('TL07'!$C$10:$C$224,$C230,'TL07'!$J$10:$J$224),0),
IF('TL07'!$B$229=M$3,SUMIF('TL07'!$C$238:$C$451,$C230,'TL07'!$J$238:$J$451),0),
IF('TL08'!$B$3=M$3,SUMIF('TL08'!$C$10:$C$224,$C230,'TL08'!$J$10:$J$224),0),
IF('TL08'!$B$229=M$3,SUMIF('TL08'!$C$238:$C$451,$C230,'TL08'!$J$238:$J$451),0),
IF('TL09'!$B$3=M$3,SUMIF('TL09'!$C$10:$C$224,$C230,'TL09'!$J$10:$J$224),0),
IF('TL09'!$B$229=M$3,SUMIF('TL09'!$C$238:$C$451,$C230,'TL09'!$J$238:$J$451),0),
IF('TL10'!$B$3=M$3,SUMIF('TL10'!$C$10:$C$224,$C230,'TL10'!$J$10:$J$224),0),
IF('TL10'!$B$229=M$3,SUMIF('TL10'!$C$238:$C$451,$C230,'TL10'!$J$238:$J$451),0),
IF('TL11'!$B$3=M$3,SUMIF('TL11'!$C$10:$C$224,$C230,'TL11'!$J$10:$J$224),0),
IF('TL11'!$B$229=M$3,SUMIF('TL11'!$C$238:$C$451,$C230,'TL11'!$J$238:$J$451),0),
IF('TL12'!$B$3=M$3,SUMIF('TL12'!$C$10:$C$224,$C230,'TL12'!$J$10:$J$224),0),
IF('TL12'!$B$229=M$3,SUMIF('TL12'!$C$238:$C$451,$C230,'TL12'!$J$238:$J$451),0),
IF('TL13'!$B$3=M$3,SUMIF('TL13'!$C$10:$C$224,$C230,'TL13'!$J$10:$J$224),0),
IF('TL13'!$B$229=M$3,SUMIF('TL13'!$C$238:$C$451,$C230,'TL13'!$J$238:$J$451),0),
IF('TL14'!$B$3=M$3,SUMIF('TL14'!$C$10:$C$224,$C230,'TL14'!$J$10:$J$224),0),
IF('TL14'!$B$229=M$3,SUMIF('TL14'!$C$238:$C$451,$C230,'TL14'!$J$238:$J$451),0),
IF('TL15'!$B$3=M$3,SUMIF('TL15'!$C$10:$C$224,$C230,'TL15'!$J$10:$J$224),0),
IF('TL15'!$B$229=M$3,SUMIF('TL15'!$C$238:$C$451,$C230,'TL15'!$J$238:$J$451),0),
IF('TL16'!$B$3=M$3,SUMIF('TL16'!$C$10:$C$224,$C230,'TL16'!$J$10:$J$224),0),
IF('TL16'!$B$229=M$3,SUMIF('TL16'!$C$238:$C$451,$C230,'TL16'!$J$238:$J$451),0),
IF('TL17'!$B$3=M$3,SUMIF('TL17'!$C$10:$C$224,$C230,'TL17'!$J$10:$J$224),0),
IF('TL17'!$B$229=M$3,SUMIF('TL17'!$C$238:$C$451,$C230,'TL17'!$J$238:$J$451),0),
IF('TL18'!$B$3=M$3,SUMIF('TL18'!$C$10:$C$224,$C230,'TL18'!$J$10:$J$224),0),
IF('TL18'!$B$229=M$3,SUMIF('TL18'!$C$238:$C$451,$C230,'TL18'!$J$238:$J$451),0),
IF('TL19'!$B$3=M$3,SUMIF('TL19'!$C$10:$C$224,$C230,'TL19'!$J$10:$J$224),0),
IF('TL19'!$B$229=M$3,SUMIF('TL19'!$C$238:$C$451,$C230,'TL19'!$J$238:$J$451),0)
),0)</f>
        <v>0</v>
      </c>
      <c r="N230" s="9">
        <f>IFERROR(SUM(
IF('TL01'!$B$3=N$3,SUMIF('TL01'!$C$10:$C$224,$C230,'TL01'!$J$10:$J$224),0),
IF('TL01'!$B$229=N$3,SUMIF('TL01'!$C$238:$C$451,$C230,'TL01'!$J$238:$J$451),0),
IF('TL02'!$B$3=N$3,SUMIF('TL02'!$C$10:$C$224,$C230,'TL02'!$J$10:$J$224),0),
IF('TL02'!$B$229=N$3,SUMIF('TL02'!$C$238:$C$451,$C230,'TL02'!$J$238:$J$451),0),
IF('TL03'!$B$3=N$3,SUMIF('TL03'!$C$10:$C$224,$C230,'TL03'!$J$10:$J$224),0),
IF('TL03'!$B$229=N$3,SUMIF('TL03'!$C$238:$C$451,$C230,'TL03'!$J$238:$J$451),0),
IF('TL04'!$B$3=N$3,SUMIF('TL04'!$C$10:$C$224,$C230,'TL04'!$J$10:$J$224),0),
IF('TL04'!$B$229=N$3,SUMIF('TL04'!$C$238:$C$451,$C230,'TL04'!$J$238:$J$451),0),
IF('TL05'!$B$3=N$3,SUMIF('TL05'!$C$10:$C$224,$C230,'TL05'!$J$10:$J$224),0),
IF('TL05'!$B$229=N$3,SUMIF('TL05'!$C$238:$C$451,$C230,'TL05'!$J$238:$J$451),0),
IF('TL06'!$B$3=N$3,SUMIF('TL06'!$C$10:$C$224,$C230,'TL06'!$J$10:$J$224),0),
IF('TL06'!$B$229=N$3,SUMIF('TL06'!$C$238:$C$451,$C230,'TL06'!$J$238:$J$451),0),
IF('TL07'!$B$3=N$3,SUMIF('TL07'!$C$10:$C$224,$C230,'TL07'!$J$10:$J$224),0),
IF('TL07'!$B$229=N$3,SUMIF('TL07'!$C$238:$C$451,$C230,'TL07'!$J$238:$J$451),0),
IF('TL08'!$B$3=N$3,SUMIF('TL08'!$C$10:$C$224,$C230,'TL08'!$J$10:$J$224),0),
IF('TL08'!$B$229=N$3,SUMIF('TL08'!$C$238:$C$451,$C230,'TL08'!$J$238:$J$451),0),
IF('TL09'!$B$3=N$3,SUMIF('TL09'!$C$10:$C$224,$C230,'TL09'!$J$10:$J$224),0),
IF('TL09'!$B$229=N$3,SUMIF('TL09'!$C$238:$C$451,$C230,'TL09'!$J$238:$J$451),0),
IF('TL10'!$B$3=N$3,SUMIF('TL10'!$C$10:$C$224,$C230,'TL10'!$J$10:$J$224),0),
IF('TL10'!$B$229=N$3,SUMIF('TL10'!$C$238:$C$451,$C230,'TL10'!$J$238:$J$451),0),
IF('TL11'!$B$3=N$3,SUMIF('TL11'!$C$10:$C$224,$C230,'TL11'!$J$10:$J$224),0),
IF('TL11'!$B$229=N$3,SUMIF('TL11'!$C$238:$C$451,$C230,'TL11'!$J$238:$J$451),0),
IF('TL12'!$B$3=N$3,SUMIF('TL12'!$C$10:$C$224,$C230,'TL12'!$J$10:$J$224),0),
IF('TL12'!$B$229=N$3,SUMIF('TL12'!$C$238:$C$451,$C230,'TL12'!$J$238:$J$451),0),
IF('TL13'!$B$3=N$3,SUMIF('TL13'!$C$10:$C$224,$C230,'TL13'!$J$10:$J$224),0),
IF('TL13'!$B$229=N$3,SUMIF('TL13'!$C$238:$C$451,$C230,'TL13'!$J$238:$J$451),0),
IF('TL14'!$B$3=N$3,SUMIF('TL14'!$C$10:$C$224,$C230,'TL14'!$J$10:$J$224),0),
IF('TL14'!$B$229=N$3,SUMIF('TL14'!$C$238:$C$451,$C230,'TL14'!$J$238:$J$451),0),
IF('TL15'!$B$3=N$3,SUMIF('TL15'!$C$10:$C$224,$C230,'TL15'!$J$10:$J$224),0),
IF('TL15'!$B$229=N$3,SUMIF('TL15'!$C$238:$C$451,$C230,'TL15'!$J$238:$J$451),0),
IF('TL16'!$B$3=N$3,SUMIF('TL16'!$C$10:$C$224,$C230,'TL16'!$J$10:$J$224),0),
IF('TL16'!$B$229=N$3,SUMIF('TL16'!$C$238:$C$451,$C230,'TL16'!$J$238:$J$451),0),
IF('TL17'!$B$3=N$3,SUMIF('TL17'!$C$10:$C$224,$C230,'TL17'!$J$10:$J$224),0),
IF('TL17'!$B$229=N$3,SUMIF('TL17'!$C$238:$C$451,$C230,'TL17'!$J$238:$J$451),0),
IF('TL18'!$B$3=N$3,SUMIF('TL18'!$C$10:$C$224,$C230,'TL18'!$J$10:$J$224),0),
IF('TL18'!$B$229=N$3,SUMIF('TL18'!$C$238:$C$451,$C230,'TL18'!$J$238:$J$451),0),
IF('TL19'!$B$3=N$3,SUMIF('TL19'!$C$10:$C$224,$C230,'TL19'!$J$10:$J$224),0),
IF('TL19'!$B$229=N$3,SUMIF('TL19'!$C$238:$C$451,$C230,'TL19'!$J$238:$J$451),0)
),0)</f>
        <v>0</v>
      </c>
      <c r="O230" s="9">
        <f>IFERROR(SUM(
IF('TL01'!$B$3=O$3,SUMIF('TL01'!$C$10:$C$224,$C230,'TL01'!$J$10:$J$224),0),
IF('TL01'!$B$229=O$3,SUMIF('TL01'!$C$238:$C$451,$C230,'TL01'!$J$238:$J$451),0),
IF('TL02'!$B$3=O$3,SUMIF('TL02'!$C$10:$C$224,$C230,'TL02'!$J$10:$J$224),0),
IF('TL02'!$B$229=O$3,SUMIF('TL02'!$C$238:$C$451,$C230,'TL02'!$J$238:$J$451),0),
IF('TL03'!$B$3=O$3,SUMIF('TL03'!$C$10:$C$224,$C230,'TL03'!$J$10:$J$224),0),
IF('TL03'!$B$229=O$3,SUMIF('TL03'!$C$238:$C$451,$C230,'TL03'!$J$238:$J$451),0),
IF('TL04'!$B$3=O$3,SUMIF('TL04'!$C$10:$C$224,$C230,'TL04'!$J$10:$J$224),0),
IF('TL04'!$B$229=O$3,SUMIF('TL04'!$C$238:$C$451,$C230,'TL04'!$J$238:$J$451),0),
IF('TL05'!$B$3=O$3,SUMIF('TL05'!$C$10:$C$224,$C230,'TL05'!$J$10:$J$224),0),
IF('TL05'!$B$229=O$3,SUMIF('TL05'!$C$238:$C$451,$C230,'TL05'!$J$238:$J$451),0),
IF('TL06'!$B$3=O$3,SUMIF('TL06'!$C$10:$C$224,$C230,'TL06'!$J$10:$J$224),0),
IF('TL06'!$B$229=O$3,SUMIF('TL06'!$C$238:$C$451,$C230,'TL06'!$J$238:$J$451),0),
IF('TL07'!$B$3=O$3,SUMIF('TL07'!$C$10:$C$224,$C230,'TL07'!$J$10:$J$224),0),
IF('TL07'!$B$229=O$3,SUMIF('TL07'!$C$238:$C$451,$C230,'TL07'!$J$238:$J$451),0),
IF('TL08'!$B$3=O$3,SUMIF('TL08'!$C$10:$C$224,$C230,'TL08'!$J$10:$J$224),0),
IF('TL08'!$B$229=O$3,SUMIF('TL08'!$C$238:$C$451,$C230,'TL08'!$J$238:$J$451),0),
IF('TL09'!$B$3=O$3,SUMIF('TL09'!$C$10:$C$224,$C230,'TL09'!$J$10:$J$224),0),
IF('TL09'!$B$229=O$3,SUMIF('TL09'!$C$238:$C$451,$C230,'TL09'!$J$238:$J$451),0),
IF('TL10'!$B$3=O$3,SUMIF('TL10'!$C$10:$C$224,$C230,'TL10'!$J$10:$J$224),0),
IF('TL10'!$B$229=O$3,SUMIF('TL10'!$C$238:$C$451,$C230,'TL10'!$J$238:$J$451),0),
IF('TL11'!$B$3=O$3,SUMIF('TL11'!$C$10:$C$224,$C230,'TL11'!$J$10:$J$224),0),
IF('TL11'!$B$229=O$3,SUMIF('TL11'!$C$238:$C$451,$C230,'TL11'!$J$238:$J$451),0),
IF('TL12'!$B$3=O$3,SUMIF('TL12'!$C$10:$C$224,$C230,'TL12'!$J$10:$J$224),0),
IF('TL12'!$B$229=O$3,SUMIF('TL12'!$C$238:$C$451,$C230,'TL12'!$J$238:$J$451),0),
IF('TL13'!$B$3=O$3,SUMIF('TL13'!$C$10:$C$224,$C230,'TL13'!$J$10:$J$224),0),
IF('TL13'!$B$229=O$3,SUMIF('TL13'!$C$238:$C$451,$C230,'TL13'!$J$238:$J$451),0),
IF('TL14'!$B$3=O$3,SUMIF('TL14'!$C$10:$C$224,$C230,'TL14'!$J$10:$J$224),0),
IF('TL14'!$B$229=O$3,SUMIF('TL14'!$C$238:$C$451,$C230,'TL14'!$J$238:$J$451),0),
IF('TL15'!$B$3=O$3,SUMIF('TL15'!$C$10:$C$224,$C230,'TL15'!$J$10:$J$224),0),
IF('TL15'!$B$229=O$3,SUMIF('TL15'!$C$238:$C$451,$C230,'TL15'!$J$238:$J$451),0),
IF('TL16'!$B$3=O$3,SUMIF('TL16'!$C$10:$C$224,$C230,'TL16'!$J$10:$J$224),0),
IF('TL16'!$B$229=O$3,SUMIF('TL16'!$C$238:$C$451,$C230,'TL16'!$J$238:$J$451),0),
IF('TL17'!$B$3=O$3,SUMIF('TL17'!$C$10:$C$224,$C230,'TL17'!$J$10:$J$224),0),
IF('TL17'!$B$229=O$3,SUMIF('TL17'!$C$238:$C$451,$C230,'TL17'!$J$238:$J$451),0),
IF('TL18'!$B$3=O$3,SUMIF('TL18'!$C$10:$C$224,$C230,'TL18'!$J$10:$J$224),0),
IF('TL18'!$B$229=O$3,SUMIF('TL18'!$C$238:$C$451,$C230,'TL18'!$J$238:$J$451),0),
IF('TL19'!$B$3=O$3,SUMIF('TL19'!$C$10:$C$224,$C230,'TL19'!$J$10:$J$224),0),
IF('TL19'!$B$229=O$3,SUMIF('TL19'!$C$238:$C$451,$C230,'TL19'!$J$238:$J$451),0)
),0)</f>
        <v>0</v>
      </c>
      <c r="P230" s="9">
        <f>IFERROR(SUM(
IF('TL01'!$B$3=P$3,SUMIF('TL01'!$C$10:$C$224,$C230,'TL01'!$J$10:$J$224),0),
IF('TL01'!$B$229=P$3,SUMIF('TL01'!$C$238:$C$451,$C230,'TL01'!$J$238:$J$451),0),
IF('TL02'!$B$3=P$3,SUMIF('TL02'!$C$10:$C$224,$C230,'TL02'!$J$10:$J$224),0),
IF('TL02'!$B$229=P$3,SUMIF('TL02'!$C$238:$C$451,$C230,'TL02'!$J$238:$J$451),0),
IF('TL03'!$B$3=P$3,SUMIF('TL03'!$C$10:$C$224,$C230,'TL03'!$J$10:$J$224),0),
IF('TL03'!$B$229=P$3,SUMIF('TL03'!$C$238:$C$451,$C230,'TL03'!$J$238:$J$451),0),
IF('TL04'!$B$3=P$3,SUMIF('TL04'!$C$10:$C$224,$C230,'TL04'!$J$10:$J$224),0),
IF('TL04'!$B$229=P$3,SUMIF('TL04'!$C$238:$C$451,$C230,'TL04'!$J$238:$J$451),0),
IF('TL05'!$B$3=P$3,SUMIF('TL05'!$C$10:$C$224,$C230,'TL05'!$J$10:$J$224),0),
IF('TL05'!$B$229=P$3,SUMIF('TL05'!$C$238:$C$451,$C230,'TL05'!$J$238:$J$451),0),
IF('TL06'!$B$3=P$3,SUMIF('TL06'!$C$10:$C$224,$C230,'TL06'!$J$10:$J$224),0),
IF('TL06'!$B$229=P$3,SUMIF('TL06'!$C$238:$C$451,$C230,'TL06'!$J$238:$J$451),0),
IF('TL07'!$B$3=P$3,SUMIF('TL07'!$C$10:$C$224,$C230,'TL07'!$J$10:$J$224),0),
IF('TL07'!$B$229=P$3,SUMIF('TL07'!$C$238:$C$451,$C230,'TL07'!$J$238:$J$451),0),
IF('TL08'!$B$3=P$3,SUMIF('TL08'!$C$10:$C$224,$C230,'TL08'!$J$10:$J$224),0),
IF('TL08'!$B$229=P$3,SUMIF('TL08'!$C$238:$C$451,$C230,'TL08'!$J$238:$J$451),0),
IF('TL09'!$B$3=P$3,SUMIF('TL09'!$C$10:$C$224,$C230,'TL09'!$J$10:$J$224),0),
IF('TL09'!$B$229=P$3,SUMIF('TL09'!$C$238:$C$451,$C230,'TL09'!$J$238:$J$451),0),
IF('TL10'!$B$3=P$3,SUMIF('TL10'!$C$10:$C$224,$C230,'TL10'!$J$10:$J$224),0),
IF('TL10'!$B$229=P$3,SUMIF('TL10'!$C$238:$C$451,$C230,'TL10'!$J$238:$J$451),0),
IF('TL11'!$B$3=P$3,SUMIF('TL11'!$C$10:$C$224,$C230,'TL11'!$J$10:$J$224),0),
IF('TL11'!$B$229=P$3,SUMIF('TL11'!$C$238:$C$451,$C230,'TL11'!$J$238:$J$451),0),
IF('TL12'!$B$3=P$3,SUMIF('TL12'!$C$10:$C$224,$C230,'TL12'!$J$10:$J$224),0),
IF('TL12'!$B$229=P$3,SUMIF('TL12'!$C$238:$C$451,$C230,'TL12'!$J$238:$J$451),0),
IF('TL13'!$B$3=P$3,SUMIF('TL13'!$C$10:$C$224,$C230,'TL13'!$J$10:$J$224),0),
IF('TL13'!$B$229=P$3,SUMIF('TL13'!$C$238:$C$451,$C230,'TL13'!$J$238:$J$451),0),
IF('TL14'!$B$3=P$3,SUMIF('TL14'!$C$10:$C$224,$C230,'TL14'!$J$10:$J$224),0),
IF('TL14'!$B$229=P$3,SUMIF('TL14'!$C$238:$C$451,$C230,'TL14'!$J$238:$J$451),0),
IF('TL15'!$B$3=P$3,SUMIF('TL15'!$C$10:$C$224,$C230,'TL15'!$J$10:$J$224),0),
IF('TL15'!$B$229=P$3,SUMIF('TL15'!$C$238:$C$451,$C230,'TL15'!$J$238:$J$451),0),
IF('TL16'!$B$3=P$3,SUMIF('TL16'!$C$10:$C$224,$C230,'TL16'!$J$10:$J$224),0),
IF('TL16'!$B$229=P$3,SUMIF('TL16'!$C$238:$C$451,$C230,'TL16'!$J$238:$J$451),0),
IF('TL17'!$B$3=P$3,SUMIF('TL17'!$C$10:$C$224,$C230,'TL17'!$J$10:$J$224),0),
IF('TL17'!$B$229=P$3,SUMIF('TL17'!$C$238:$C$451,$C230,'TL17'!$J$238:$J$451),0),
IF('TL18'!$B$3=P$3,SUMIF('TL18'!$C$10:$C$224,$C230,'TL18'!$J$10:$J$224),0),
IF('TL18'!$B$229=P$3,SUMIF('TL18'!$C$238:$C$451,$C230,'TL18'!$J$238:$J$451),0),
IF('TL19'!$B$3=P$3,SUMIF('TL19'!$C$10:$C$224,$C230,'TL19'!$J$10:$J$224),0),
IF('TL19'!$B$229=P$3,SUMIF('TL19'!$C$238:$C$451,$C230,'TL19'!$J$238:$J$451),0)
),0)</f>
        <v>0</v>
      </c>
      <c r="Q230" s="9">
        <f>IFERROR(SUM(
IF('TL01'!$B$3=Q$3,SUMIF('TL01'!$C$10:$C$224,$C230,'TL01'!$J$10:$J$224),0),
IF('TL01'!$B$229=Q$3,SUMIF('TL01'!$C$238:$C$451,$C230,'TL01'!$J$238:$J$451),0),
IF('TL02'!$B$3=Q$3,SUMIF('TL02'!$C$10:$C$224,$C230,'TL02'!$J$10:$J$224),0),
IF('TL02'!$B$229=Q$3,SUMIF('TL02'!$C$238:$C$451,$C230,'TL02'!$J$238:$J$451),0),
IF('TL03'!$B$3=Q$3,SUMIF('TL03'!$C$10:$C$224,$C230,'TL03'!$J$10:$J$224),0),
IF('TL03'!$B$229=Q$3,SUMIF('TL03'!$C$238:$C$451,$C230,'TL03'!$J$238:$J$451),0),
IF('TL04'!$B$3=Q$3,SUMIF('TL04'!$C$10:$C$224,$C230,'TL04'!$J$10:$J$224),0),
IF('TL04'!$B$229=Q$3,SUMIF('TL04'!$C$238:$C$451,$C230,'TL04'!$J$238:$J$451),0),
IF('TL05'!$B$3=Q$3,SUMIF('TL05'!$C$10:$C$224,$C230,'TL05'!$J$10:$J$224),0),
IF('TL05'!$B$229=Q$3,SUMIF('TL05'!$C$238:$C$451,$C230,'TL05'!$J$238:$J$451),0),
IF('TL06'!$B$3=Q$3,SUMIF('TL06'!$C$10:$C$224,$C230,'TL06'!$J$10:$J$224),0),
IF('TL06'!$B$229=Q$3,SUMIF('TL06'!$C$238:$C$451,$C230,'TL06'!$J$238:$J$451),0),
IF('TL07'!$B$3=Q$3,SUMIF('TL07'!$C$10:$C$224,$C230,'TL07'!$J$10:$J$224),0),
IF('TL07'!$B$229=Q$3,SUMIF('TL07'!$C$238:$C$451,$C230,'TL07'!$J$238:$J$451),0),
IF('TL08'!$B$3=Q$3,SUMIF('TL08'!$C$10:$C$224,$C230,'TL08'!$J$10:$J$224),0),
IF('TL08'!$B$229=Q$3,SUMIF('TL08'!$C$238:$C$451,$C230,'TL08'!$J$238:$J$451),0),
IF('TL09'!$B$3=Q$3,SUMIF('TL09'!$C$10:$C$224,$C230,'TL09'!$J$10:$J$224),0),
IF('TL09'!$B$229=Q$3,SUMIF('TL09'!$C$238:$C$451,$C230,'TL09'!$J$238:$J$451),0),
IF('TL10'!$B$3=Q$3,SUMIF('TL10'!$C$10:$C$224,$C230,'TL10'!$J$10:$J$224),0),
IF('TL10'!$B$229=Q$3,SUMIF('TL10'!$C$238:$C$451,$C230,'TL10'!$J$238:$J$451),0),
IF('TL11'!$B$3=Q$3,SUMIF('TL11'!$C$10:$C$224,$C230,'TL11'!$J$10:$J$224),0),
IF('TL11'!$B$229=Q$3,SUMIF('TL11'!$C$238:$C$451,$C230,'TL11'!$J$238:$J$451),0),
IF('TL12'!$B$3=Q$3,SUMIF('TL12'!$C$10:$C$224,$C230,'TL12'!$J$10:$J$224),0),
IF('TL12'!$B$229=Q$3,SUMIF('TL12'!$C$238:$C$451,$C230,'TL12'!$J$238:$J$451),0),
IF('TL13'!$B$3=Q$3,SUMIF('TL13'!$C$10:$C$224,$C230,'TL13'!$J$10:$J$224),0),
IF('TL13'!$B$229=Q$3,SUMIF('TL13'!$C$238:$C$451,$C230,'TL13'!$J$238:$J$451),0),
IF('TL14'!$B$3=Q$3,SUMIF('TL14'!$C$10:$C$224,$C230,'TL14'!$J$10:$J$224),0),
IF('TL14'!$B$229=Q$3,SUMIF('TL14'!$C$238:$C$451,$C230,'TL14'!$J$238:$J$451),0),
IF('TL15'!$B$3=Q$3,SUMIF('TL15'!$C$10:$C$224,$C230,'TL15'!$J$10:$J$224),0),
IF('TL15'!$B$229=Q$3,SUMIF('TL15'!$C$238:$C$451,$C230,'TL15'!$J$238:$J$451),0),
IF('TL16'!$B$3=Q$3,SUMIF('TL16'!$C$10:$C$224,$C230,'TL16'!$J$10:$J$224),0),
IF('TL16'!$B$229=Q$3,SUMIF('TL16'!$C$238:$C$451,$C230,'TL16'!$J$238:$J$451),0),
IF('TL17'!$B$3=Q$3,SUMIF('TL17'!$C$10:$C$224,$C230,'TL17'!$J$10:$J$224),0),
IF('TL17'!$B$229=Q$3,SUMIF('TL17'!$C$238:$C$451,$C230,'TL17'!$J$238:$J$451),0),
IF('TL18'!$B$3=Q$3,SUMIF('TL18'!$C$10:$C$224,$C230,'TL18'!$J$10:$J$224),0),
IF('TL18'!$B$229=Q$3,SUMIF('TL18'!$C$238:$C$451,$C230,'TL18'!$J$238:$J$451),0),
IF('TL19'!$B$3=Q$3,SUMIF('TL19'!$C$10:$C$224,$C230,'TL19'!$J$10:$J$224),0),
IF('TL19'!$B$229=Q$3,SUMIF('TL19'!$C$238:$C$451,$C230,'TL19'!$J$238:$J$451),0)
),0)</f>
        <v>0</v>
      </c>
      <c r="R230" s="9">
        <f>IFERROR(
SUM(
SUMIF('TL01'!C:C,C230,'TL01'!J:J),
SUMIF('TL02'!C:C,C230,'TL02'!J:J),
SUMIF('TL03'!C:C,C230,'TL03'!J:J),
SUMIF('TL04'!C:C,C230,'TL04'!J:J),
SUMIF('TL05'!C:C,C230,'TL05'!J:J),
SUMIF('TL06'!C:C,C230,'TL06'!J:J),
SUMIF('TL07'!C:C,C230,'TL07'!J:J),
SUMIF('TL08'!C:C,C230,'TL08'!J:J),
SUMIF('TL09'!C:C,C230,'TL09'!J:J),
SUMIF('TL10'!C:C,C230,'TL10'!J:J),
SUMIF('TL11'!C:C,C230,'TL11'!J:J),
SUMIF('TL12'!C:C,C230,'TL12'!J:J),
SUMIF('TL13'!C:C,C230,'TL13'!J:J),
SUMIF('TL14'!C:C,C230,'TL14'!J:J),
SUMIF('TL15'!C:C,C230,'TL15'!J:J),
SUMIF('TL16'!C:C,C230,'TL16'!J:J),
SUMIF('TL17'!C:C,C230,'TL17'!J:J),
SUMIF('TL18'!C:C,C230,'TL18'!J:J),SUMIF('TL19'!C:C,C230,'TL19'!J:J))
,0)</f>
        <v>0</v>
      </c>
      <c r="S230" s="17">
        <f>IFERROR(__xludf.DUMMYFUNCTION("IFERROR(VLOOKUP(C230,
IMPORTRANGE(""1wULbzX32WdYsx-lj2U3uUNBBe2INVIRDtcK0d-Dvl90"",
""26-27!C:G""),
5,
FALSE),
"""")"),183.28629)</f>
        <v>183.28629</v>
      </c>
      <c r="T230" s="9"/>
      <c r="U230" s="92">
        <f t="shared" si="2"/>
        <v>0</v>
      </c>
      <c r="V230" s="93">
        <f t="shared" si="3"/>
        <v>0</v>
      </c>
    </row>
    <row r="231" ht="15.75" hidden="1" customHeight="1">
      <c r="A231" s="94" t="s">
        <v>358</v>
      </c>
      <c r="B231" s="95" t="s">
        <v>2</v>
      </c>
      <c r="C231" s="96" t="s">
        <v>876</v>
      </c>
      <c r="D231" s="96" t="s">
        <v>877</v>
      </c>
      <c r="E231" s="96" t="s">
        <v>727</v>
      </c>
      <c r="F231" s="4" t="s">
        <v>392</v>
      </c>
      <c r="G231" s="90" t="str">
        <f t="shared" si="4"/>
        <v>📄 Ver bula</v>
      </c>
      <c r="H231" s="9">
        <f>IFERROR(__xludf.DUMMYFUNCTION("IFERROR(VLOOKUP(C231,
IMPORTRANGE(""1wULbzX32WdYsx-lj2U3uUNBBe2INVIRDtcK0d-Dvl90"",
""26-27!C:K""),
8,
FALSE),
"""")"),0.6)</f>
        <v>0.6</v>
      </c>
      <c r="I231" s="97" t="s">
        <v>344</v>
      </c>
      <c r="J231" s="9">
        <f>IFERROR(SUM(
IF('TL01'!$B$3=J$3,SUMIF('TL01'!$C$10:$C$224,$C231,'TL01'!$J$10:$J$224),0),
IF('TL01'!$B$229=J$3,SUMIF('TL01'!$C$238:$C$451,$C231,'TL01'!$J$238:$J$451),0),
IF('TL02'!$B$3=J$3,SUMIF('TL02'!$C$10:$C$224,$C231,'TL02'!$J$10:$J$224),0),
IF('TL02'!$B$229=J$3,SUMIF('TL02'!$C$238:$C$451,$C231,'TL02'!$J$238:$J$451),0),
IF('TL03'!$B$3=J$3,SUMIF('TL03'!$C$10:$C$224,$C231,'TL03'!$J$10:$J$224),0),
IF('TL03'!$B$229=J$3,SUMIF('TL03'!$C$238:$C$451,$C231,'TL03'!$J$238:$J$451),0),
IF('TL04'!$B$3=J$3,SUMIF('TL04'!$C$10:$C$224,$C231,'TL04'!$J$10:$J$224),0),
IF('TL04'!$B$229=J$3,SUMIF('TL04'!$C$238:$C$451,$C231,'TL04'!$J$238:$J$451),0),
IF('TL05'!$B$3=J$3,SUMIF('TL05'!$C$10:$C$224,$C231,'TL05'!$J$10:$J$224),0),
IF('TL05'!$B$229=J$3,SUMIF('TL05'!$C$238:$C$451,$C231,'TL05'!$J$238:$J$451),0),
IF('TL06'!$B$3=J$3,SUMIF('TL06'!$C$10:$C$224,$C231,'TL06'!$J$10:$J$224),0),
IF('TL06'!$B$229=J$3,SUMIF('TL06'!$C$238:$C$451,$C231,'TL06'!$J$238:$J$451),0),
IF('TL07'!$B$3=J$3,SUMIF('TL07'!$C$10:$C$224,$C231,'TL07'!$J$10:$J$224),0),
IF('TL07'!$B$229=J$3,SUMIF('TL07'!$C$238:$C$451,$C231,'TL07'!$J$238:$J$451),0),
IF('TL08'!$B$3=J$3,SUMIF('TL08'!$C$10:$C$224,$C231,'TL08'!$J$10:$J$224),0),
IF('TL08'!$B$229=J$3,SUMIF('TL08'!$C$238:$C$451,$C231,'TL08'!$J$238:$J$451),0),
IF('TL09'!$B$3=J$3,SUMIF('TL09'!$C$10:$C$224,$C231,'TL09'!$J$10:$J$224),0),
IF('TL09'!$B$229=J$3,SUMIF('TL09'!$C$238:$C$451,$C231,'TL09'!$J$238:$J$451),0),
IF('TL10'!$B$3=J$3,SUMIF('TL10'!$C$10:$C$224,$C231,'TL10'!$J$10:$J$224),0),
IF('TL10'!$B$229=J$3,SUMIF('TL10'!$C$238:$C$451,$C231,'TL10'!$J$238:$J$451),0),
IF('TL11'!$B$3=J$3,SUMIF('TL11'!$C$10:$C$224,$C231,'TL11'!$J$10:$J$224),0),
IF('TL11'!$B$229=J$3,SUMIF('TL11'!$C$238:$C$451,$C231,'TL11'!$J$238:$J$451),0),
IF('TL12'!$B$3=J$3,SUMIF('TL12'!$C$10:$C$224,$C231,'TL12'!$J$10:$J$224),0),
IF('TL12'!$B$229=J$3,SUMIF('TL12'!$C$238:$C$451,$C231,'TL12'!$J$238:$J$451),0),
IF('TL13'!$B$3=J$3,SUMIF('TL13'!$C$10:$C$224,$C231,'TL13'!$J$10:$J$224),0),
IF('TL13'!$B$229=J$3,SUMIF('TL13'!$C$238:$C$451,$C231,'TL13'!$J$238:$J$451),0),
IF('TL14'!$B$3=J$3,SUMIF('TL14'!$C$10:$C$224,$C231,'TL14'!$J$10:$J$224),0),
IF('TL14'!$B$229=J$3,SUMIF('TL14'!$C$238:$C$451,$C231,'TL14'!$J$238:$J$451),0),
IF('TL15'!$B$3=J$3,SUMIF('TL15'!$C$10:$C$224,$C231,'TL15'!$J$10:$J$224),0),
IF('TL15'!$B$229=J$3,SUMIF('TL15'!$C$238:$C$451,$C231,'TL15'!$J$238:$J$451),0),
IF('TL16'!$B$3=J$3,SUMIF('TL16'!$C$10:$C$224,$C231,'TL16'!$J$10:$J$224),0),
IF('TL16'!$B$229=J$3,SUMIF('TL16'!$C$238:$C$451,$C231,'TL16'!$J$238:$J$451),0),
IF('TL17'!$B$3=J$3,SUMIF('TL17'!$C$10:$C$224,$C231,'TL17'!$J$10:$J$224),0),
IF('TL17'!$B$229=J$3,SUMIF('TL17'!$C$238:$C$451,$C231,'TL17'!$J$238:$J$451),0),
IF('TL18'!$B$3=J$3,SUMIF('TL18'!$C$10:$C$224,$C231,'TL18'!$J$10:$J$224),0),
IF('TL18'!$B$229=J$3,SUMIF('TL18'!$C$238:$C$451,$C231,'TL18'!$J$238:$J$451),0),
IF('TL19'!$B$3=J$3,SUMIF('TL19'!$C$10:$C$224,$C231,'TL19'!$J$10:$J$224),0),
IF('TL19'!$B$229=J$3,SUMIF('TL19'!$C$238:$C$451,$C231,'TL19'!$J$238:$J$451),0)
),0)</f>
        <v>0</v>
      </c>
      <c r="K231" s="9">
        <f>IFERROR(SUM(
IF('TL01'!$B$3=K$3,SUMIF('TL01'!$C$10:$C$224,$C231,'TL01'!$J$10:$J$224),0),
IF('TL01'!$B$229=K$3,SUMIF('TL01'!$C$238:$C$451,$C231,'TL01'!$J$238:$J$451),0),
IF('TL02'!$B$3=K$3,SUMIF('TL02'!$C$10:$C$224,$C231,'TL02'!$J$10:$J$224),0),
IF('TL02'!$B$229=K$3,SUMIF('TL02'!$C$238:$C$451,$C231,'TL02'!$J$238:$J$451),0),
IF('TL03'!$B$3=K$3,SUMIF('TL03'!$C$10:$C$224,$C231,'TL03'!$J$10:$J$224),0),
IF('TL03'!$B$229=K$3,SUMIF('TL03'!$C$238:$C$451,$C231,'TL03'!$J$238:$J$451),0),
IF('TL04'!$B$3=K$3,SUMIF('TL04'!$C$10:$C$224,$C231,'TL04'!$J$10:$J$224),0),
IF('TL04'!$B$229=K$3,SUMIF('TL04'!$C$238:$C$451,$C231,'TL04'!$J$238:$J$451),0),
IF('TL05'!$B$3=K$3,SUMIF('TL05'!$C$10:$C$224,$C231,'TL05'!$J$10:$J$224),0),
IF('TL05'!$B$229=K$3,SUMIF('TL05'!$C$238:$C$451,$C231,'TL05'!$J$238:$J$451),0),
IF('TL06'!$B$3=K$3,SUMIF('TL06'!$C$10:$C$224,$C231,'TL06'!$J$10:$J$224),0),
IF('TL06'!$B$229=K$3,SUMIF('TL06'!$C$238:$C$451,$C231,'TL06'!$J$238:$J$451),0),
IF('TL07'!$B$3=K$3,SUMIF('TL07'!$C$10:$C$224,$C231,'TL07'!$J$10:$J$224),0),
IF('TL07'!$B$229=K$3,SUMIF('TL07'!$C$238:$C$451,$C231,'TL07'!$J$238:$J$451),0),
IF('TL08'!$B$3=K$3,SUMIF('TL08'!$C$10:$C$224,$C231,'TL08'!$J$10:$J$224),0),
IF('TL08'!$B$229=K$3,SUMIF('TL08'!$C$238:$C$451,$C231,'TL08'!$J$238:$J$451),0),
IF('TL09'!$B$3=K$3,SUMIF('TL09'!$C$10:$C$224,$C231,'TL09'!$J$10:$J$224),0),
IF('TL09'!$B$229=K$3,SUMIF('TL09'!$C$238:$C$451,$C231,'TL09'!$J$238:$J$451),0),
IF('TL10'!$B$3=K$3,SUMIF('TL10'!$C$10:$C$224,$C231,'TL10'!$J$10:$J$224),0),
IF('TL10'!$B$229=K$3,SUMIF('TL10'!$C$238:$C$451,$C231,'TL10'!$J$238:$J$451),0),
IF('TL11'!$B$3=K$3,SUMIF('TL11'!$C$10:$C$224,$C231,'TL11'!$J$10:$J$224),0),
IF('TL11'!$B$229=K$3,SUMIF('TL11'!$C$238:$C$451,$C231,'TL11'!$J$238:$J$451),0),
IF('TL12'!$B$3=K$3,SUMIF('TL12'!$C$10:$C$224,$C231,'TL12'!$J$10:$J$224),0),
IF('TL12'!$B$229=K$3,SUMIF('TL12'!$C$238:$C$451,$C231,'TL12'!$J$238:$J$451),0),
IF('TL13'!$B$3=K$3,SUMIF('TL13'!$C$10:$C$224,$C231,'TL13'!$J$10:$J$224),0),
IF('TL13'!$B$229=K$3,SUMIF('TL13'!$C$238:$C$451,$C231,'TL13'!$J$238:$J$451),0),
IF('TL14'!$B$3=K$3,SUMIF('TL14'!$C$10:$C$224,$C231,'TL14'!$J$10:$J$224),0),
IF('TL14'!$B$229=K$3,SUMIF('TL14'!$C$238:$C$451,$C231,'TL14'!$J$238:$J$451),0),
IF('TL15'!$B$3=K$3,SUMIF('TL15'!$C$10:$C$224,$C231,'TL15'!$J$10:$J$224),0),
IF('TL15'!$B$229=K$3,SUMIF('TL15'!$C$238:$C$451,$C231,'TL15'!$J$238:$J$451),0),
IF('TL16'!$B$3=K$3,SUMIF('TL16'!$C$10:$C$224,$C231,'TL16'!$J$10:$J$224),0),
IF('TL16'!$B$229=K$3,SUMIF('TL16'!$C$238:$C$451,$C231,'TL16'!$J$238:$J$451),0),
IF('TL17'!$B$3=K$3,SUMIF('TL17'!$C$10:$C$224,$C231,'TL17'!$J$10:$J$224),0),
IF('TL17'!$B$229=K$3,SUMIF('TL17'!$C$238:$C$451,$C231,'TL17'!$J$238:$J$451),0),
IF('TL18'!$B$3=K$3,SUMIF('TL18'!$C$10:$C$224,$C231,'TL18'!$J$10:$J$224),0),
IF('TL18'!$B$229=K$3,SUMIF('TL18'!$C$238:$C$451,$C231,'TL18'!$J$238:$J$451),0),
IF('TL19'!$B$3=K$3,SUMIF('TL19'!$C$10:$C$224,$C231,'TL19'!$J$10:$J$224),0),
IF('TL19'!$B$229=K$3,SUMIF('TL19'!$C$238:$C$451,$C231,'TL19'!$J$238:$J$451),0)
),0)</f>
        <v>0</v>
      </c>
      <c r="L231" s="9">
        <f>IFERROR(SUM(
IF('TL01'!$B$3=L$3,SUMIF('TL01'!$C$10:$C$224,$C231,'TL01'!$J$10:$J$224),0),
IF('TL01'!$B$229=L$3,SUMIF('TL01'!$C$238:$C$451,$C231,'TL01'!$J$238:$J$451),0),
IF('TL02'!$B$3=L$3,SUMIF('TL02'!$C$10:$C$224,$C231,'TL02'!$J$10:$J$224),0),
IF('TL02'!$B$229=L$3,SUMIF('TL02'!$C$238:$C$451,$C231,'TL02'!$J$238:$J$451),0),
IF('TL03'!$B$3=L$3,SUMIF('TL03'!$C$10:$C$224,$C231,'TL03'!$J$10:$J$224),0),
IF('TL03'!$B$229=L$3,SUMIF('TL03'!$C$238:$C$451,$C231,'TL03'!$J$238:$J$451),0),
IF('TL04'!$B$3=L$3,SUMIF('TL04'!$C$10:$C$224,$C231,'TL04'!$J$10:$J$224),0),
IF('TL04'!$B$229=L$3,SUMIF('TL04'!$C$238:$C$451,$C231,'TL04'!$J$238:$J$451),0),
IF('TL05'!$B$3=L$3,SUMIF('TL05'!$C$10:$C$224,$C231,'TL05'!$J$10:$J$224),0),
IF('TL05'!$B$229=L$3,SUMIF('TL05'!$C$238:$C$451,$C231,'TL05'!$J$238:$J$451),0),
IF('TL06'!$B$3=L$3,SUMIF('TL06'!$C$10:$C$224,$C231,'TL06'!$J$10:$J$224),0),
IF('TL06'!$B$229=L$3,SUMIF('TL06'!$C$238:$C$451,$C231,'TL06'!$J$238:$J$451),0),
IF('TL07'!$B$3=L$3,SUMIF('TL07'!$C$10:$C$224,$C231,'TL07'!$J$10:$J$224),0),
IF('TL07'!$B$229=L$3,SUMIF('TL07'!$C$238:$C$451,$C231,'TL07'!$J$238:$J$451),0),
IF('TL08'!$B$3=L$3,SUMIF('TL08'!$C$10:$C$224,$C231,'TL08'!$J$10:$J$224),0),
IF('TL08'!$B$229=L$3,SUMIF('TL08'!$C$238:$C$451,$C231,'TL08'!$J$238:$J$451),0),
IF('TL09'!$B$3=L$3,SUMIF('TL09'!$C$10:$C$224,$C231,'TL09'!$J$10:$J$224),0),
IF('TL09'!$B$229=L$3,SUMIF('TL09'!$C$238:$C$451,$C231,'TL09'!$J$238:$J$451),0),
IF('TL10'!$B$3=L$3,SUMIF('TL10'!$C$10:$C$224,$C231,'TL10'!$J$10:$J$224),0),
IF('TL10'!$B$229=L$3,SUMIF('TL10'!$C$238:$C$451,$C231,'TL10'!$J$238:$J$451),0),
IF('TL11'!$B$3=L$3,SUMIF('TL11'!$C$10:$C$224,$C231,'TL11'!$J$10:$J$224),0),
IF('TL11'!$B$229=L$3,SUMIF('TL11'!$C$238:$C$451,$C231,'TL11'!$J$238:$J$451),0),
IF('TL12'!$B$3=L$3,SUMIF('TL12'!$C$10:$C$224,$C231,'TL12'!$J$10:$J$224),0),
IF('TL12'!$B$229=L$3,SUMIF('TL12'!$C$238:$C$451,$C231,'TL12'!$J$238:$J$451),0),
IF('TL13'!$B$3=L$3,SUMIF('TL13'!$C$10:$C$224,$C231,'TL13'!$J$10:$J$224),0),
IF('TL13'!$B$229=L$3,SUMIF('TL13'!$C$238:$C$451,$C231,'TL13'!$J$238:$J$451),0),
IF('TL14'!$B$3=L$3,SUMIF('TL14'!$C$10:$C$224,$C231,'TL14'!$J$10:$J$224),0),
IF('TL14'!$B$229=L$3,SUMIF('TL14'!$C$238:$C$451,$C231,'TL14'!$J$238:$J$451),0),
IF('TL15'!$B$3=L$3,SUMIF('TL15'!$C$10:$C$224,$C231,'TL15'!$J$10:$J$224),0),
IF('TL15'!$B$229=L$3,SUMIF('TL15'!$C$238:$C$451,$C231,'TL15'!$J$238:$J$451),0),
IF('TL16'!$B$3=L$3,SUMIF('TL16'!$C$10:$C$224,$C231,'TL16'!$J$10:$J$224),0),
IF('TL16'!$B$229=L$3,SUMIF('TL16'!$C$238:$C$451,$C231,'TL16'!$J$238:$J$451),0),
IF('TL17'!$B$3=L$3,SUMIF('TL17'!$C$10:$C$224,$C231,'TL17'!$J$10:$J$224),0),
IF('TL17'!$B$229=L$3,SUMIF('TL17'!$C$238:$C$451,$C231,'TL17'!$J$238:$J$451),0),
IF('TL18'!$B$3=L$3,SUMIF('TL18'!$C$10:$C$224,$C231,'TL18'!$J$10:$J$224),0),
IF('TL18'!$B$229=L$3,SUMIF('TL18'!$C$238:$C$451,$C231,'TL18'!$J$238:$J$451),0),
IF('TL19'!$B$3=L$3,SUMIF('TL19'!$C$10:$C$224,$C231,'TL19'!$J$10:$J$224),0),
IF('TL19'!$B$229=L$3,SUMIF('TL19'!$C$238:$C$451,$C231,'TL19'!$J$238:$J$451),0)
),0)</f>
        <v>0</v>
      </c>
      <c r="M231" s="9">
        <f>IFERROR(SUM(
IF('TL01'!$B$3=M$3,SUMIF('TL01'!$C$10:$C$224,$C231,'TL01'!$J$10:$J$224),0),
IF('TL01'!$B$229=M$3,SUMIF('TL01'!$C$238:$C$451,$C231,'TL01'!$J$238:$J$451),0),
IF('TL02'!$B$3=M$3,SUMIF('TL02'!$C$10:$C$224,$C231,'TL02'!$J$10:$J$224),0),
IF('TL02'!$B$229=M$3,SUMIF('TL02'!$C$238:$C$451,$C231,'TL02'!$J$238:$J$451),0),
IF('TL03'!$B$3=M$3,SUMIF('TL03'!$C$10:$C$224,$C231,'TL03'!$J$10:$J$224),0),
IF('TL03'!$B$229=M$3,SUMIF('TL03'!$C$238:$C$451,$C231,'TL03'!$J$238:$J$451),0),
IF('TL04'!$B$3=M$3,SUMIF('TL04'!$C$10:$C$224,$C231,'TL04'!$J$10:$J$224),0),
IF('TL04'!$B$229=M$3,SUMIF('TL04'!$C$238:$C$451,$C231,'TL04'!$J$238:$J$451),0),
IF('TL05'!$B$3=M$3,SUMIF('TL05'!$C$10:$C$224,$C231,'TL05'!$J$10:$J$224),0),
IF('TL05'!$B$229=M$3,SUMIF('TL05'!$C$238:$C$451,$C231,'TL05'!$J$238:$J$451),0),
IF('TL06'!$B$3=M$3,SUMIF('TL06'!$C$10:$C$224,$C231,'TL06'!$J$10:$J$224),0),
IF('TL06'!$B$229=M$3,SUMIF('TL06'!$C$238:$C$451,$C231,'TL06'!$J$238:$J$451),0),
IF('TL07'!$B$3=M$3,SUMIF('TL07'!$C$10:$C$224,$C231,'TL07'!$J$10:$J$224),0),
IF('TL07'!$B$229=M$3,SUMIF('TL07'!$C$238:$C$451,$C231,'TL07'!$J$238:$J$451),0),
IF('TL08'!$B$3=M$3,SUMIF('TL08'!$C$10:$C$224,$C231,'TL08'!$J$10:$J$224),0),
IF('TL08'!$B$229=M$3,SUMIF('TL08'!$C$238:$C$451,$C231,'TL08'!$J$238:$J$451),0),
IF('TL09'!$B$3=M$3,SUMIF('TL09'!$C$10:$C$224,$C231,'TL09'!$J$10:$J$224),0),
IF('TL09'!$B$229=M$3,SUMIF('TL09'!$C$238:$C$451,$C231,'TL09'!$J$238:$J$451),0),
IF('TL10'!$B$3=M$3,SUMIF('TL10'!$C$10:$C$224,$C231,'TL10'!$J$10:$J$224),0),
IF('TL10'!$B$229=M$3,SUMIF('TL10'!$C$238:$C$451,$C231,'TL10'!$J$238:$J$451),0),
IF('TL11'!$B$3=M$3,SUMIF('TL11'!$C$10:$C$224,$C231,'TL11'!$J$10:$J$224),0),
IF('TL11'!$B$229=M$3,SUMIF('TL11'!$C$238:$C$451,$C231,'TL11'!$J$238:$J$451),0),
IF('TL12'!$B$3=M$3,SUMIF('TL12'!$C$10:$C$224,$C231,'TL12'!$J$10:$J$224),0),
IF('TL12'!$B$229=M$3,SUMIF('TL12'!$C$238:$C$451,$C231,'TL12'!$J$238:$J$451),0),
IF('TL13'!$B$3=M$3,SUMIF('TL13'!$C$10:$C$224,$C231,'TL13'!$J$10:$J$224),0),
IF('TL13'!$B$229=M$3,SUMIF('TL13'!$C$238:$C$451,$C231,'TL13'!$J$238:$J$451),0),
IF('TL14'!$B$3=M$3,SUMIF('TL14'!$C$10:$C$224,$C231,'TL14'!$J$10:$J$224),0),
IF('TL14'!$B$229=M$3,SUMIF('TL14'!$C$238:$C$451,$C231,'TL14'!$J$238:$J$451),0),
IF('TL15'!$B$3=M$3,SUMIF('TL15'!$C$10:$C$224,$C231,'TL15'!$J$10:$J$224),0),
IF('TL15'!$B$229=M$3,SUMIF('TL15'!$C$238:$C$451,$C231,'TL15'!$J$238:$J$451),0),
IF('TL16'!$B$3=M$3,SUMIF('TL16'!$C$10:$C$224,$C231,'TL16'!$J$10:$J$224),0),
IF('TL16'!$B$229=M$3,SUMIF('TL16'!$C$238:$C$451,$C231,'TL16'!$J$238:$J$451),0),
IF('TL17'!$B$3=M$3,SUMIF('TL17'!$C$10:$C$224,$C231,'TL17'!$J$10:$J$224),0),
IF('TL17'!$B$229=M$3,SUMIF('TL17'!$C$238:$C$451,$C231,'TL17'!$J$238:$J$451),0),
IF('TL18'!$B$3=M$3,SUMIF('TL18'!$C$10:$C$224,$C231,'TL18'!$J$10:$J$224),0),
IF('TL18'!$B$229=M$3,SUMIF('TL18'!$C$238:$C$451,$C231,'TL18'!$J$238:$J$451),0),
IF('TL19'!$B$3=M$3,SUMIF('TL19'!$C$10:$C$224,$C231,'TL19'!$J$10:$J$224),0),
IF('TL19'!$B$229=M$3,SUMIF('TL19'!$C$238:$C$451,$C231,'TL19'!$J$238:$J$451),0)
),0)</f>
        <v>0</v>
      </c>
      <c r="N231" s="9">
        <f>IFERROR(SUM(
IF('TL01'!$B$3=N$3,SUMIF('TL01'!$C$10:$C$224,$C231,'TL01'!$J$10:$J$224),0),
IF('TL01'!$B$229=N$3,SUMIF('TL01'!$C$238:$C$451,$C231,'TL01'!$J$238:$J$451),0),
IF('TL02'!$B$3=N$3,SUMIF('TL02'!$C$10:$C$224,$C231,'TL02'!$J$10:$J$224),0),
IF('TL02'!$B$229=N$3,SUMIF('TL02'!$C$238:$C$451,$C231,'TL02'!$J$238:$J$451),0),
IF('TL03'!$B$3=N$3,SUMIF('TL03'!$C$10:$C$224,$C231,'TL03'!$J$10:$J$224),0),
IF('TL03'!$B$229=N$3,SUMIF('TL03'!$C$238:$C$451,$C231,'TL03'!$J$238:$J$451),0),
IF('TL04'!$B$3=N$3,SUMIF('TL04'!$C$10:$C$224,$C231,'TL04'!$J$10:$J$224),0),
IF('TL04'!$B$229=N$3,SUMIF('TL04'!$C$238:$C$451,$C231,'TL04'!$J$238:$J$451),0),
IF('TL05'!$B$3=N$3,SUMIF('TL05'!$C$10:$C$224,$C231,'TL05'!$J$10:$J$224),0),
IF('TL05'!$B$229=N$3,SUMIF('TL05'!$C$238:$C$451,$C231,'TL05'!$J$238:$J$451),0),
IF('TL06'!$B$3=N$3,SUMIF('TL06'!$C$10:$C$224,$C231,'TL06'!$J$10:$J$224),0),
IF('TL06'!$B$229=N$3,SUMIF('TL06'!$C$238:$C$451,$C231,'TL06'!$J$238:$J$451),0),
IF('TL07'!$B$3=N$3,SUMIF('TL07'!$C$10:$C$224,$C231,'TL07'!$J$10:$J$224),0),
IF('TL07'!$B$229=N$3,SUMIF('TL07'!$C$238:$C$451,$C231,'TL07'!$J$238:$J$451),0),
IF('TL08'!$B$3=N$3,SUMIF('TL08'!$C$10:$C$224,$C231,'TL08'!$J$10:$J$224),0),
IF('TL08'!$B$229=N$3,SUMIF('TL08'!$C$238:$C$451,$C231,'TL08'!$J$238:$J$451),0),
IF('TL09'!$B$3=N$3,SUMIF('TL09'!$C$10:$C$224,$C231,'TL09'!$J$10:$J$224),0),
IF('TL09'!$B$229=N$3,SUMIF('TL09'!$C$238:$C$451,$C231,'TL09'!$J$238:$J$451),0),
IF('TL10'!$B$3=N$3,SUMIF('TL10'!$C$10:$C$224,$C231,'TL10'!$J$10:$J$224),0),
IF('TL10'!$B$229=N$3,SUMIF('TL10'!$C$238:$C$451,$C231,'TL10'!$J$238:$J$451),0),
IF('TL11'!$B$3=N$3,SUMIF('TL11'!$C$10:$C$224,$C231,'TL11'!$J$10:$J$224),0),
IF('TL11'!$B$229=N$3,SUMIF('TL11'!$C$238:$C$451,$C231,'TL11'!$J$238:$J$451),0),
IF('TL12'!$B$3=N$3,SUMIF('TL12'!$C$10:$C$224,$C231,'TL12'!$J$10:$J$224),0),
IF('TL12'!$B$229=N$3,SUMIF('TL12'!$C$238:$C$451,$C231,'TL12'!$J$238:$J$451),0),
IF('TL13'!$B$3=N$3,SUMIF('TL13'!$C$10:$C$224,$C231,'TL13'!$J$10:$J$224),0),
IF('TL13'!$B$229=N$3,SUMIF('TL13'!$C$238:$C$451,$C231,'TL13'!$J$238:$J$451),0),
IF('TL14'!$B$3=N$3,SUMIF('TL14'!$C$10:$C$224,$C231,'TL14'!$J$10:$J$224),0),
IF('TL14'!$B$229=N$3,SUMIF('TL14'!$C$238:$C$451,$C231,'TL14'!$J$238:$J$451),0),
IF('TL15'!$B$3=N$3,SUMIF('TL15'!$C$10:$C$224,$C231,'TL15'!$J$10:$J$224),0),
IF('TL15'!$B$229=N$3,SUMIF('TL15'!$C$238:$C$451,$C231,'TL15'!$J$238:$J$451),0),
IF('TL16'!$B$3=N$3,SUMIF('TL16'!$C$10:$C$224,$C231,'TL16'!$J$10:$J$224),0),
IF('TL16'!$B$229=N$3,SUMIF('TL16'!$C$238:$C$451,$C231,'TL16'!$J$238:$J$451),0),
IF('TL17'!$B$3=N$3,SUMIF('TL17'!$C$10:$C$224,$C231,'TL17'!$J$10:$J$224),0),
IF('TL17'!$B$229=N$3,SUMIF('TL17'!$C$238:$C$451,$C231,'TL17'!$J$238:$J$451),0),
IF('TL18'!$B$3=N$3,SUMIF('TL18'!$C$10:$C$224,$C231,'TL18'!$J$10:$J$224),0),
IF('TL18'!$B$229=N$3,SUMIF('TL18'!$C$238:$C$451,$C231,'TL18'!$J$238:$J$451),0),
IF('TL19'!$B$3=N$3,SUMIF('TL19'!$C$10:$C$224,$C231,'TL19'!$J$10:$J$224),0),
IF('TL19'!$B$229=N$3,SUMIF('TL19'!$C$238:$C$451,$C231,'TL19'!$J$238:$J$451),0)
),0)</f>
        <v>0</v>
      </c>
      <c r="O231" s="9">
        <f>IFERROR(SUM(
IF('TL01'!$B$3=O$3,SUMIF('TL01'!$C$10:$C$224,$C231,'TL01'!$J$10:$J$224),0),
IF('TL01'!$B$229=O$3,SUMIF('TL01'!$C$238:$C$451,$C231,'TL01'!$J$238:$J$451),0),
IF('TL02'!$B$3=O$3,SUMIF('TL02'!$C$10:$C$224,$C231,'TL02'!$J$10:$J$224),0),
IF('TL02'!$B$229=O$3,SUMIF('TL02'!$C$238:$C$451,$C231,'TL02'!$J$238:$J$451),0),
IF('TL03'!$B$3=O$3,SUMIF('TL03'!$C$10:$C$224,$C231,'TL03'!$J$10:$J$224),0),
IF('TL03'!$B$229=O$3,SUMIF('TL03'!$C$238:$C$451,$C231,'TL03'!$J$238:$J$451),0),
IF('TL04'!$B$3=O$3,SUMIF('TL04'!$C$10:$C$224,$C231,'TL04'!$J$10:$J$224),0),
IF('TL04'!$B$229=O$3,SUMIF('TL04'!$C$238:$C$451,$C231,'TL04'!$J$238:$J$451),0),
IF('TL05'!$B$3=O$3,SUMIF('TL05'!$C$10:$C$224,$C231,'TL05'!$J$10:$J$224),0),
IF('TL05'!$B$229=O$3,SUMIF('TL05'!$C$238:$C$451,$C231,'TL05'!$J$238:$J$451),0),
IF('TL06'!$B$3=O$3,SUMIF('TL06'!$C$10:$C$224,$C231,'TL06'!$J$10:$J$224),0),
IF('TL06'!$B$229=O$3,SUMIF('TL06'!$C$238:$C$451,$C231,'TL06'!$J$238:$J$451),0),
IF('TL07'!$B$3=O$3,SUMIF('TL07'!$C$10:$C$224,$C231,'TL07'!$J$10:$J$224),0),
IF('TL07'!$B$229=O$3,SUMIF('TL07'!$C$238:$C$451,$C231,'TL07'!$J$238:$J$451),0),
IF('TL08'!$B$3=O$3,SUMIF('TL08'!$C$10:$C$224,$C231,'TL08'!$J$10:$J$224),0),
IF('TL08'!$B$229=O$3,SUMIF('TL08'!$C$238:$C$451,$C231,'TL08'!$J$238:$J$451),0),
IF('TL09'!$B$3=O$3,SUMIF('TL09'!$C$10:$C$224,$C231,'TL09'!$J$10:$J$224),0),
IF('TL09'!$B$229=O$3,SUMIF('TL09'!$C$238:$C$451,$C231,'TL09'!$J$238:$J$451),0),
IF('TL10'!$B$3=O$3,SUMIF('TL10'!$C$10:$C$224,$C231,'TL10'!$J$10:$J$224),0),
IF('TL10'!$B$229=O$3,SUMIF('TL10'!$C$238:$C$451,$C231,'TL10'!$J$238:$J$451),0),
IF('TL11'!$B$3=O$3,SUMIF('TL11'!$C$10:$C$224,$C231,'TL11'!$J$10:$J$224),0),
IF('TL11'!$B$229=O$3,SUMIF('TL11'!$C$238:$C$451,$C231,'TL11'!$J$238:$J$451),0),
IF('TL12'!$B$3=O$3,SUMIF('TL12'!$C$10:$C$224,$C231,'TL12'!$J$10:$J$224),0),
IF('TL12'!$B$229=O$3,SUMIF('TL12'!$C$238:$C$451,$C231,'TL12'!$J$238:$J$451),0),
IF('TL13'!$B$3=O$3,SUMIF('TL13'!$C$10:$C$224,$C231,'TL13'!$J$10:$J$224),0),
IF('TL13'!$B$229=O$3,SUMIF('TL13'!$C$238:$C$451,$C231,'TL13'!$J$238:$J$451),0),
IF('TL14'!$B$3=O$3,SUMIF('TL14'!$C$10:$C$224,$C231,'TL14'!$J$10:$J$224),0),
IF('TL14'!$B$229=O$3,SUMIF('TL14'!$C$238:$C$451,$C231,'TL14'!$J$238:$J$451),0),
IF('TL15'!$B$3=O$3,SUMIF('TL15'!$C$10:$C$224,$C231,'TL15'!$J$10:$J$224),0),
IF('TL15'!$B$229=O$3,SUMIF('TL15'!$C$238:$C$451,$C231,'TL15'!$J$238:$J$451),0),
IF('TL16'!$B$3=O$3,SUMIF('TL16'!$C$10:$C$224,$C231,'TL16'!$J$10:$J$224),0),
IF('TL16'!$B$229=O$3,SUMIF('TL16'!$C$238:$C$451,$C231,'TL16'!$J$238:$J$451),0),
IF('TL17'!$B$3=O$3,SUMIF('TL17'!$C$10:$C$224,$C231,'TL17'!$J$10:$J$224),0),
IF('TL17'!$B$229=O$3,SUMIF('TL17'!$C$238:$C$451,$C231,'TL17'!$J$238:$J$451),0),
IF('TL18'!$B$3=O$3,SUMIF('TL18'!$C$10:$C$224,$C231,'TL18'!$J$10:$J$224),0),
IF('TL18'!$B$229=O$3,SUMIF('TL18'!$C$238:$C$451,$C231,'TL18'!$J$238:$J$451),0),
IF('TL19'!$B$3=O$3,SUMIF('TL19'!$C$10:$C$224,$C231,'TL19'!$J$10:$J$224),0),
IF('TL19'!$B$229=O$3,SUMIF('TL19'!$C$238:$C$451,$C231,'TL19'!$J$238:$J$451),0)
),0)</f>
        <v>0</v>
      </c>
      <c r="P231" s="9">
        <f>IFERROR(SUM(
IF('TL01'!$B$3=P$3,SUMIF('TL01'!$C$10:$C$224,$C231,'TL01'!$J$10:$J$224),0),
IF('TL01'!$B$229=P$3,SUMIF('TL01'!$C$238:$C$451,$C231,'TL01'!$J$238:$J$451),0),
IF('TL02'!$B$3=P$3,SUMIF('TL02'!$C$10:$C$224,$C231,'TL02'!$J$10:$J$224),0),
IF('TL02'!$B$229=P$3,SUMIF('TL02'!$C$238:$C$451,$C231,'TL02'!$J$238:$J$451),0),
IF('TL03'!$B$3=P$3,SUMIF('TL03'!$C$10:$C$224,$C231,'TL03'!$J$10:$J$224),0),
IF('TL03'!$B$229=P$3,SUMIF('TL03'!$C$238:$C$451,$C231,'TL03'!$J$238:$J$451),0),
IF('TL04'!$B$3=P$3,SUMIF('TL04'!$C$10:$C$224,$C231,'TL04'!$J$10:$J$224),0),
IF('TL04'!$B$229=P$3,SUMIF('TL04'!$C$238:$C$451,$C231,'TL04'!$J$238:$J$451),0),
IF('TL05'!$B$3=P$3,SUMIF('TL05'!$C$10:$C$224,$C231,'TL05'!$J$10:$J$224),0),
IF('TL05'!$B$229=P$3,SUMIF('TL05'!$C$238:$C$451,$C231,'TL05'!$J$238:$J$451),0),
IF('TL06'!$B$3=P$3,SUMIF('TL06'!$C$10:$C$224,$C231,'TL06'!$J$10:$J$224),0),
IF('TL06'!$B$229=P$3,SUMIF('TL06'!$C$238:$C$451,$C231,'TL06'!$J$238:$J$451),0),
IF('TL07'!$B$3=P$3,SUMIF('TL07'!$C$10:$C$224,$C231,'TL07'!$J$10:$J$224),0),
IF('TL07'!$B$229=P$3,SUMIF('TL07'!$C$238:$C$451,$C231,'TL07'!$J$238:$J$451),0),
IF('TL08'!$B$3=P$3,SUMIF('TL08'!$C$10:$C$224,$C231,'TL08'!$J$10:$J$224),0),
IF('TL08'!$B$229=P$3,SUMIF('TL08'!$C$238:$C$451,$C231,'TL08'!$J$238:$J$451),0),
IF('TL09'!$B$3=P$3,SUMIF('TL09'!$C$10:$C$224,$C231,'TL09'!$J$10:$J$224),0),
IF('TL09'!$B$229=P$3,SUMIF('TL09'!$C$238:$C$451,$C231,'TL09'!$J$238:$J$451),0),
IF('TL10'!$B$3=P$3,SUMIF('TL10'!$C$10:$C$224,$C231,'TL10'!$J$10:$J$224),0),
IF('TL10'!$B$229=P$3,SUMIF('TL10'!$C$238:$C$451,$C231,'TL10'!$J$238:$J$451),0),
IF('TL11'!$B$3=P$3,SUMIF('TL11'!$C$10:$C$224,$C231,'TL11'!$J$10:$J$224),0),
IF('TL11'!$B$229=P$3,SUMIF('TL11'!$C$238:$C$451,$C231,'TL11'!$J$238:$J$451),0),
IF('TL12'!$B$3=P$3,SUMIF('TL12'!$C$10:$C$224,$C231,'TL12'!$J$10:$J$224),0),
IF('TL12'!$B$229=P$3,SUMIF('TL12'!$C$238:$C$451,$C231,'TL12'!$J$238:$J$451),0),
IF('TL13'!$B$3=P$3,SUMIF('TL13'!$C$10:$C$224,$C231,'TL13'!$J$10:$J$224),0),
IF('TL13'!$B$229=P$3,SUMIF('TL13'!$C$238:$C$451,$C231,'TL13'!$J$238:$J$451),0),
IF('TL14'!$B$3=P$3,SUMIF('TL14'!$C$10:$C$224,$C231,'TL14'!$J$10:$J$224),0),
IF('TL14'!$B$229=P$3,SUMIF('TL14'!$C$238:$C$451,$C231,'TL14'!$J$238:$J$451),0),
IF('TL15'!$B$3=P$3,SUMIF('TL15'!$C$10:$C$224,$C231,'TL15'!$J$10:$J$224),0),
IF('TL15'!$B$229=P$3,SUMIF('TL15'!$C$238:$C$451,$C231,'TL15'!$J$238:$J$451),0),
IF('TL16'!$B$3=P$3,SUMIF('TL16'!$C$10:$C$224,$C231,'TL16'!$J$10:$J$224),0),
IF('TL16'!$B$229=P$3,SUMIF('TL16'!$C$238:$C$451,$C231,'TL16'!$J$238:$J$451),0),
IF('TL17'!$B$3=P$3,SUMIF('TL17'!$C$10:$C$224,$C231,'TL17'!$J$10:$J$224),0),
IF('TL17'!$B$229=P$3,SUMIF('TL17'!$C$238:$C$451,$C231,'TL17'!$J$238:$J$451),0),
IF('TL18'!$B$3=P$3,SUMIF('TL18'!$C$10:$C$224,$C231,'TL18'!$J$10:$J$224),0),
IF('TL18'!$B$229=P$3,SUMIF('TL18'!$C$238:$C$451,$C231,'TL18'!$J$238:$J$451),0),
IF('TL19'!$B$3=P$3,SUMIF('TL19'!$C$10:$C$224,$C231,'TL19'!$J$10:$J$224),0),
IF('TL19'!$B$229=P$3,SUMIF('TL19'!$C$238:$C$451,$C231,'TL19'!$J$238:$J$451),0)
),0)</f>
        <v>0</v>
      </c>
      <c r="Q231" s="9">
        <f>IFERROR(SUM(
IF('TL01'!$B$3=Q$3,SUMIF('TL01'!$C$10:$C$224,$C231,'TL01'!$J$10:$J$224),0),
IF('TL01'!$B$229=Q$3,SUMIF('TL01'!$C$238:$C$451,$C231,'TL01'!$J$238:$J$451),0),
IF('TL02'!$B$3=Q$3,SUMIF('TL02'!$C$10:$C$224,$C231,'TL02'!$J$10:$J$224),0),
IF('TL02'!$B$229=Q$3,SUMIF('TL02'!$C$238:$C$451,$C231,'TL02'!$J$238:$J$451),0),
IF('TL03'!$B$3=Q$3,SUMIF('TL03'!$C$10:$C$224,$C231,'TL03'!$J$10:$J$224),0),
IF('TL03'!$B$229=Q$3,SUMIF('TL03'!$C$238:$C$451,$C231,'TL03'!$J$238:$J$451),0),
IF('TL04'!$B$3=Q$3,SUMIF('TL04'!$C$10:$C$224,$C231,'TL04'!$J$10:$J$224),0),
IF('TL04'!$B$229=Q$3,SUMIF('TL04'!$C$238:$C$451,$C231,'TL04'!$J$238:$J$451),0),
IF('TL05'!$B$3=Q$3,SUMIF('TL05'!$C$10:$C$224,$C231,'TL05'!$J$10:$J$224),0),
IF('TL05'!$B$229=Q$3,SUMIF('TL05'!$C$238:$C$451,$C231,'TL05'!$J$238:$J$451),0),
IF('TL06'!$B$3=Q$3,SUMIF('TL06'!$C$10:$C$224,$C231,'TL06'!$J$10:$J$224),0),
IF('TL06'!$B$229=Q$3,SUMIF('TL06'!$C$238:$C$451,$C231,'TL06'!$J$238:$J$451),0),
IF('TL07'!$B$3=Q$3,SUMIF('TL07'!$C$10:$C$224,$C231,'TL07'!$J$10:$J$224),0),
IF('TL07'!$B$229=Q$3,SUMIF('TL07'!$C$238:$C$451,$C231,'TL07'!$J$238:$J$451),0),
IF('TL08'!$B$3=Q$3,SUMIF('TL08'!$C$10:$C$224,$C231,'TL08'!$J$10:$J$224),0),
IF('TL08'!$B$229=Q$3,SUMIF('TL08'!$C$238:$C$451,$C231,'TL08'!$J$238:$J$451),0),
IF('TL09'!$B$3=Q$3,SUMIF('TL09'!$C$10:$C$224,$C231,'TL09'!$J$10:$J$224),0),
IF('TL09'!$B$229=Q$3,SUMIF('TL09'!$C$238:$C$451,$C231,'TL09'!$J$238:$J$451),0),
IF('TL10'!$B$3=Q$3,SUMIF('TL10'!$C$10:$C$224,$C231,'TL10'!$J$10:$J$224),0),
IF('TL10'!$B$229=Q$3,SUMIF('TL10'!$C$238:$C$451,$C231,'TL10'!$J$238:$J$451),0),
IF('TL11'!$B$3=Q$3,SUMIF('TL11'!$C$10:$C$224,$C231,'TL11'!$J$10:$J$224),0),
IF('TL11'!$B$229=Q$3,SUMIF('TL11'!$C$238:$C$451,$C231,'TL11'!$J$238:$J$451),0),
IF('TL12'!$B$3=Q$3,SUMIF('TL12'!$C$10:$C$224,$C231,'TL12'!$J$10:$J$224),0),
IF('TL12'!$B$229=Q$3,SUMIF('TL12'!$C$238:$C$451,$C231,'TL12'!$J$238:$J$451),0),
IF('TL13'!$B$3=Q$3,SUMIF('TL13'!$C$10:$C$224,$C231,'TL13'!$J$10:$J$224),0),
IF('TL13'!$B$229=Q$3,SUMIF('TL13'!$C$238:$C$451,$C231,'TL13'!$J$238:$J$451),0),
IF('TL14'!$B$3=Q$3,SUMIF('TL14'!$C$10:$C$224,$C231,'TL14'!$J$10:$J$224),0),
IF('TL14'!$B$229=Q$3,SUMIF('TL14'!$C$238:$C$451,$C231,'TL14'!$J$238:$J$451),0),
IF('TL15'!$B$3=Q$3,SUMIF('TL15'!$C$10:$C$224,$C231,'TL15'!$J$10:$J$224),0),
IF('TL15'!$B$229=Q$3,SUMIF('TL15'!$C$238:$C$451,$C231,'TL15'!$J$238:$J$451),0),
IF('TL16'!$B$3=Q$3,SUMIF('TL16'!$C$10:$C$224,$C231,'TL16'!$J$10:$J$224),0),
IF('TL16'!$B$229=Q$3,SUMIF('TL16'!$C$238:$C$451,$C231,'TL16'!$J$238:$J$451),0),
IF('TL17'!$B$3=Q$3,SUMIF('TL17'!$C$10:$C$224,$C231,'TL17'!$J$10:$J$224),0),
IF('TL17'!$B$229=Q$3,SUMIF('TL17'!$C$238:$C$451,$C231,'TL17'!$J$238:$J$451),0),
IF('TL18'!$B$3=Q$3,SUMIF('TL18'!$C$10:$C$224,$C231,'TL18'!$J$10:$J$224),0),
IF('TL18'!$B$229=Q$3,SUMIF('TL18'!$C$238:$C$451,$C231,'TL18'!$J$238:$J$451),0),
IF('TL19'!$B$3=Q$3,SUMIF('TL19'!$C$10:$C$224,$C231,'TL19'!$J$10:$J$224),0),
IF('TL19'!$B$229=Q$3,SUMIF('TL19'!$C$238:$C$451,$C231,'TL19'!$J$238:$J$451),0)
),0)</f>
        <v>0</v>
      </c>
      <c r="R231" s="9">
        <f>IFERROR(
SUM(
SUMIF('TL01'!C:C,C231,'TL01'!J:J),
SUMIF('TL02'!C:C,C231,'TL02'!J:J),
SUMIF('TL03'!C:C,C231,'TL03'!J:J),
SUMIF('TL04'!C:C,C231,'TL04'!J:J),
SUMIF('TL05'!C:C,C231,'TL05'!J:J),
SUMIF('TL06'!C:C,C231,'TL06'!J:J),
SUMIF('TL07'!C:C,C231,'TL07'!J:J),
SUMIF('TL08'!C:C,C231,'TL08'!J:J),
SUMIF('TL09'!C:C,C231,'TL09'!J:J),
SUMIF('TL10'!C:C,C231,'TL10'!J:J),
SUMIF('TL11'!C:C,C231,'TL11'!J:J),
SUMIF('TL12'!C:C,C231,'TL12'!J:J),
SUMIF('TL13'!C:C,C231,'TL13'!J:J),
SUMIF('TL14'!C:C,C231,'TL14'!J:J),
SUMIF('TL15'!C:C,C231,'TL15'!J:J),
SUMIF('TL16'!C:C,C231,'TL16'!J:J),
SUMIF('TL17'!C:C,C231,'TL17'!J:J),
SUMIF('TL18'!C:C,C231,'TL18'!J:J),SUMIF('TL19'!C:C,C231,'TL19'!J:J))
,0)</f>
        <v>0</v>
      </c>
      <c r="S231" s="17">
        <f>IFERROR(__xludf.DUMMYFUNCTION("IFERROR(VLOOKUP(C231,
IMPORTRANGE(""1wULbzX32WdYsx-lj2U3uUNBBe2INVIRDtcK0d-Dvl90"",
""26-27!C:G""),
5,
FALSE),
"""")"),43.82691)</f>
        <v>43.82691</v>
      </c>
      <c r="T231" s="9"/>
      <c r="U231" s="92">
        <f t="shared" si="2"/>
        <v>0</v>
      </c>
      <c r="V231" s="93">
        <f t="shared" si="3"/>
        <v>0</v>
      </c>
    </row>
    <row r="232" ht="15.75" hidden="1" customHeight="1">
      <c r="A232" s="87" t="s">
        <v>358</v>
      </c>
      <c r="B232" s="88" t="s">
        <v>2</v>
      </c>
      <c r="C232" s="89" t="s">
        <v>878</v>
      </c>
      <c r="D232" s="89" t="s">
        <v>879</v>
      </c>
      <c r="E232" s="89" t="s">
        <v>880</v>
      </c>
      <c r="F232" s="4" t="s">
        <v>343</v>
      </c>
      <c r="G232" s="90" t="str">
        <f t="shared" si="4"/>
        <v>📄 Ver bula</v>
      </c>
      <c r="H232" s="9">
        <f>IFERROR(__xludf.DUMMYFUNCTION("IFERROR(VLOOKUP(C232,
IMPORTRANGE(""1wULbzX32WdYsx-lj2U3uUNBBe2INVIRDtcK0d-Dvl90"",
""26-27!C:K""),
8,
FALSE),
"""")"),0.2)</f>
        <v>0.2</v>
      </c>
      <c r="I232" s="91" t="s">
        <v>361</v>
      </c>
      <c r="J232" s="9">
        <f>IFERROR(SUM(
IF('TL01'!$B$3=J$3,SUMIF('TL01'!$C$10:$C$224,$C232,'TL01'!$J$10:$J$224),0),
IF('TL01'!$B$229=J$3,SUMIF('TL01'!$C$238:$C$451,$C232,'TL01'!$J$238:$J$451),0),
IF('TL02'!$B$3=J$3,SUMIF('TL02'!$C$10:$C$224,$C232,'TL02'!$J$10:$J$224),0),
IF('TL02'!$B$229=J$3,SUMIF('TL02'!$C$238:$C$451,$C232,'TL02'!$J$238:$J$451),0),
IF('TL03'!$B$3=J$3,SUMIF('TL03'!$C$10:$C$224,$C232,'TL03'!$J$10:$J$224),0),
IF('TL03'!$B$229=J$3,SUMIF('TL03'!$C$238:$C$451,$C232,'TL03'!$J$238:$J$451),0),
IF('TL04'!$B$3=J$3,SUMIF('TL04'!$C$10:$C$224,$C232,'TL04'!$J$10:$J$224),0),
IF('TL04'!$B$229=J$3,SUMIF('TL04'!$C$238:$C$451,$C232,'TL04'!$J$238:$J$451),0),
IF('TL05'!$B$3=J$3,SUMIF('TL05'!$C$10:$C$224,$C232,'TL05'!$J$10:$J$224),0),
IF('TL05'!$B$229=J$3,SUMIF('TL05'!$C$238:$C$451,$C232,'TL05'!$J$238:$J$451),0),
IF('TL06'!$B$3=J$3,SUMIF('TL06'!$C$10:$C$224,$C232,'TL06'!$J$10:$J$224),0),
IF('TL06'!$B$229=J$3,SUMIF('TL06'!$C$238:$C$451,$C232,'TL06'!$J$238:$J$451),0),
IF('TL07'!$B$3=J$3,SUMIF('TL07'!$C$10:$C$224,$C232,'TL07'!$J$10:$J$224),0),
IF('TL07'!$B$229=J$3,SUMIF('TL07'!$C$238:$C$451,$C232,'TL07'!$J$238:$J$451),0),
IF('TL08'!$B$3=J$3,SUMIF('TL08'!$C$10:$C$224,$C232,'TL08'!$J$10:$J$224),0),
IF('TL08'!$B$229=J$3,SUMIF('TL08'!$C$238:$C$451,$C232,'TL08'!$J$238:$J$451),0),
IF('TL09'!$B$3=J$3,SUMIF('TL09'!$C$10:$C$224,$C232,'TL09'!$J$10:$J$224),0),
IF('TL09'!$B$229=J$3,SUMIF('TL09'!$C$238:$C$451,$C232,'TL09'!$J$238:$J$451),0),
IF('TL10'!$B$3=J$3,SUMIF('TL10'!$C$10:$C$224,$C232,'TL10'!$J$10:$J$224),0),
IF('TL10'!$B$229=J$3,SUMIF('TL10'!$C$238:$C$451,$C232,'TL10'!$J$238:$J$451),0),
IF('TL11'!$B$3=J$3,SUMIF('TL11'!$C$10:$C$224,$C232,'TL11'!$J$10:$J$224),0),
IF('TL11'!$B$229=J$3,SUMIF('TL11'!$C$238:$C$451,$C232,'TL11'!$J$238:$J$451),0),
IF('TL12'!$B$3=J$3,SUMIF('TL12'!$C$10:$C$224,$C232,'TL12'!$J$10:$J$224),0),
IF('TL12'!$B$229=J$3,SUMIF('TL12'!$C$238:$C$451,$C232,'TL12'!$J$238:$J$451),0),
IF('TL13'!$B$3=J$3,SUMIF('TL13'!$C$10:$C$224,$C232,'TL13'!$J$10:$J$224),0),
IF('TL13'!$B$229=J$3,SUMIF('TL13'!$C$238:$C$451,$C232,'TL13'!$J$238:$J$451),0),
IF('TL14'!$B$3=J$3,SUMIF('TL14'!$C$10:$C$224,$C232,'TL14'!$J$10:$J$224),0),
IF('TL14'!$B$229=J$3,SUMIF('TL14'!$C$238:$C$451,$C232,'TL14'!$J$238:$J$451),0),
IF('TL15'!$B$3=J$3,SUMIF('TL15'!$C$10:$C$224,$C232,'TL15'!$J$10:$J$224),0),
IF('TL15'!$B$229=J$3,SUMIF('TL15'!$C$238:$C$451,$C232,'TL15'!$J$238:$J$451),0),
IF('TL16'!$B$3=J$3,SUMIF('TL16'!$C$10:$C$224,$C232,'TL16'!$J$10:$J$224),0),
IF('TL16'!$B$229=J$3,SUMIF('TL16'!$C$238:$C$451,$C232,'TL16'!$J$238:$J$451),0),
IF('TL17'!$B$3=J$3,SUMIF('TL17'!$C$10:$C$224,$C232,'TL17'!$J$10:$J$224),0),
IF('TL17'!$B$229=J$3,SUMIF('TL17'!$C$238:$C$451,$C232,'TL17'!$J$238:$J$451),0),
IF('TL18'!$B$3=J$3,SUMIF('TL18'!$C$10:$C$224,$C232,'TL18'!$J$10:$J$224),0),
IF('TL18'!$B$229=J$3,SUMIF('TL18'!$C$238:$C$451,$C232,'TL18'!$J$238:$J$451),0),
IF('TL19'!$B$3=J$3,SUMIF('TL19'!$C$10:$C$224,$C232,'TL19'!$J$10:$J$224),0),
IF('TL19'!$B$229=J$3,SUMIF('TL19'!$C$238:$C$451,$C232,'TL19'!$J$238:$J$451),0)
),0)</f>
        <v>0</v>
      </c>
      <c r="K232" s="9">
        <f>IFERROR(SUM(
IF('TL01'!$B$3=K$3,SUMIF('TL01'!$C$10:$C$224,$C232,'TL01'!$J$10:$J$224),0),
IF('TL01'!$B$229=K$3,SUMIF('TL01'!$C$238:$C$451,$C232,'TL01'!$J$238:$J$451),0),
IF('TL02'!$B$3=K$3,SUMIF('TL02'!$C$10:$C$224,$C232,'TL02'!$J$10:$J$224),0),
IF('TL02'!$B$229=K$3,SUMIF('TL02'!$C$238:$C$451,$C232,'TL02'!$J$238:$J$451),0),
IF('TL03'!$B$3=K$3,SUMIF('TL03'!$C$10:$C$224,$C232,'TL03'!$J$10:$J$224),0),
IF('TL03'!$B$229=K$3,SUMIF('TL03'!$C$238:$C$451,$C232,'TL03'!$J$238:$J$451),0),
IF('TL04'!$B$3=K$3,SUMIF('TL04'!$C$10:$C$224,$C232,'TL04'!$J$10:$J$224),0),
IF('TL04'!$B$229=K$3,SUMIF('TL04'!$C$238:$C$451,$C232,'TL04'!$J$238:$J$451),0),
IF('TL05'!$B$3=K$3,SUMIF('TL05'!$C$10:$C$224,$C232,'TL05'!$J$10:$J$224),0),
IF('TL05'!$B$229=K$3,SUMIF('TL05'!$C$238:$C$451,$C232,'TL05'!$J$238:$J$451),0),
IF('TL06'!$B$3=K$3,SUMIF('TL06'!$C$10:$C$224,$C232,'TL06'!$J$10:$J$224),0),
IF('TL06'!$B$229=K$3,SUMIF('TL06'!$C$238:$C$451,$C232,'TL06'!$J$238:$J$451),0),
IF('TL07'!$B$3=K$3,SUMIF('TL07'!$C$10:$C$224,$C232,'TL07'!$J$10:$J$224),0),
IF('TL07'!$B$229=K$3,SUMIF('TL07'!$C$238:$C$451,$C232,'TL07'!$J$238:$J$451),0),
IF('TL08'!$B$3=K$3,SUMIF('TL08'!$C$10:$C$224,$C232,'TL08'!$J$10:$J$224),0),
IF('TL08'!$B$229=K$3,SUMIF('TL08'!$C$238:$C$451,$C232,'TL08'!$J$238:$J$451),0),
IF('TL09'!$B$3=K$3,SUMIF('TL09'!$C$10:$C$224,$C232,'TL09'!$J$10:$J$224),0),
IF('TL09'!$B$229=K$3,SUMIF('TL09'!$C$238:$C$451,$C232,'TL09'!$J$238:$J$451),0),
IF('TL10'!$B$3=K$3,SUMIF('TL10'!$C$10:$C$224,$C232,'TL10'!$J$10:$J$224),0),
IF('TL10'!$B$229=K$3,SUMIF('TL10'!$C$238:$C$451,$C232,'TL10'!$J$238:$J$451),0),
IF('TL11'!$B$3=K$3,SUMIF('TL11'!$C$10:$C$224,$C232,'TL11'!$J$10:$J$224),0),
IF('TL11'!$B$229=K$3,SUMIF('TL11'!$C$238:$C$451,$C232,'TL11'!$J$238:$J$451),0),
IF('TL12'!$B$3=K$3,SUMIF('TL12'!$C$10:$C$224,$C232,'TL12'!$J$10:$J$224),0),
IF('TL12'!$B$229=K$3,SUMIF('TL12'!$C$238:$C$451,$C232,'TL12'!$J$238:$J$451),0),
IF('TL13'!$B$3=K$3,SUMIF('TL13'!$C$10:$C$224,$C232,'TL13'!$J$10:$J$224),0),
IF('TL13'!$B$229=K$3,SUMIF('TL13'!$C$238:$C$451,$C232,'TL13'!$J$238:$J$451),0),
IF('TL14'!$B$3=K$3,SUMIF('TL14'!$C$10:$C$224,$C232,'TL14'!$J$10:$J$224),0),
IF('TL14'!$B$229=K$3,SUMIF('TL14'!$C$238:$C$451,$C232,'TL14'!$J$238:$J$451),0),
IF('TL15'!$B$3=K$3,SUMIF('TL15'!$C$10:$C$224,$C232,'TL15'!$J$10:$J$224),0),
IF('TL15'!$B$229=K$3,SUMIF('TL15'!$C$238:$C$451,$C232,'TL15'!$J$238:$J$451),0),
IF('TL16'!$B$3=K$3,SUMIF('TL16'!$C$10:$C$224,$C232,'TL16'!$J$10:$J$224),0),
IF('TL16'!$B$229=K$3,SUMIF('TL16'!$C$238:$C$451,$C232,'TL16'!$J$238:$J$451),0),
IF('TL17'!$B$3=K$3,SUMIF('TL17'!$C$10:$C$224,$C232,'TL17'!$J$10:$J$224),0),
IF('TL17'!$B$229=K$3,SUMIF('TL17'!$C$238:$C$451,$C232,'TL17'!$J$238:$J$451),0),
IF('TL18'!$B$3=K$3,SUMIF('TL18'!$C$10:$C$224,$C232,'TL18'!$J$10:$J$224),0),
IF('TL18'!$B$229=K$3,SUMIF('TL18'!$C$238:$C$451,$C232,'TL18'!$J$238:$J$451),0),
IF('TL19'!$B$3=K$3,SUMIF('TL19'!$C$10:$C$224,$C232,'TL19'!$J$10:$J$224),0),
IF('TL19'!$B$229=K$3,SUMIF('TL19'!$C$238:$C$451,$C232,'TL19'!$J$238:$J$451),0)
),0)</f>
        <v>0</v>
      </c>
      <c r="L232" s="9">
        <f>IFERROR(SUM(
IF('TL01'!$B$3=L$3,SUMIF('TL01'!$C$10:$C$224,$C232,'TL01'!$J$10:$J$224),0),
IF('TL01'!$B$229=L$3,SUMIF('TL01'!$C$238:$C$451,$C232,'TL01'!$J$238:$J$451),0),
IF('TL02'!$B$3=L$3,SUMIF('TL02'!$C$10:$C$224,$C232,'TL02'!$J$10:$J$224),0),
IF('TL02'!$B$229=L$3,SUMIF('TL02'!$C$238:$C$451,$C232,'TL02'!$J$238:$J$451),0),
IF('TL03'!$B$3=L$3,SUMIF('TL03'!$C$10:$C$224,$C232,'TL03'!$J$10:$J$224),0),
IF('TL03'!$B$229=L$3,SUMIF('TL03'!$C$238:$C$451,$C232,'TL03'!$J$238:$J$451),0),
IF('TL04'!$B$3=L$3,SUMIF('TL04'!$C$10:$C$224,$C232,'TL04'!$J$10:$J$224),0),
IF('TL04'!$B$229=L$3,SUMIF('TL04'!$C$238:$C$451,$C232,'TL04'!$J$238:$J$451),0),
IF('TL05'!$B$3=L$3,SUMIF('TL05'!$C$10:$C$224,$C232,'TL05'!$J$10:$J$224),0),
IF('TL05'!$B$229=L$3,SUMIF('TL05'!$C$238:$C$451,$C232,'TL05'!$J$238:$J$451),0),
IF('TL06'!$B$3=L$3,SUMIF('TL06'!$C$10:$C$224,$C232,'TL06'!$J$10:$J$224),0),
IF('TL06'!$B$229=L$3,SUMIF('TL06'!$C$238:$C$451,$C232,'TL06'!$J$238:$J$451),0),
IF('TL07'!$B$3=L$3,SUMIF('TL07'!$C$10:$C$224,$C232,'TL07'!$J$10:$J$224),0),
IF('TL07'!$B$229=L$3,SUMIF('TL07'!$C$238:$C$451,$C232,'TL07'!$J$238:$J$451),0),
IF('TL08'!$B$3=L$3,SUMIF('TL08'!$C$10:$C$224,$C232,'TL08'!$J$10:$J$224),0),
IF('TL08'!$B$229=L$3,SUMIF('TL08'!$C$238:$C$451,$C232,'TL08'!$J$238:$J$451),0),
IF('TL09'!$B$3=L$3,SUMIF('TL09'!$C$10:$C$224,$C232,'TL09'!$J$10:$J$224),0),
IF('TL09'!$B$229=L$3,SUMIF('TL09'!$C$238:$C$451,$C232,'TL09'!$J$238:$J$451),0),
IF('TL10'!$B$3=L$3,SUMIF('TL10'!$C$10:$C$224,$C232,'TL10'!$J$10:$J$224),0),
IF('TL10'!$B$229=L$3,SUMIF('TL10'!$C$238:$C$451,$C232,'TL10'!$J$238:$J$451),0),
IF('TL11'!$B$3=L$3,SUMIF('TL11'!$C$10:$C$224,$C232,'TL11'!$J$10:$J$224),0),
IF('TL11'!$B$229=L$3,SUMIF('TL11'!$C$238:$C$451,$C232,'TL11'!$J$238:$J$451),0),
IF('TL12'!$B$3=L$3,SUMIF('TL12'!$C$10:$C$224,$C232,'TL12'!$J$10:$J$224),0),
IF('TL12'!$B$229=L$3,SUMIF('TL12'!$C$238:$C$451,$C232,'TL12'!$J$238:$J$451),0),
IF('TL13'!$B$3=L$3,SUMIF('TL13'!$C$10:$C$224,$C232,'TL13'!$J$10:$J$224),0),
IF('TL13'!$B$229=L$3,SUMIF('TL13'!$C$238:$C$451,$C232,'TL13'!$J$238:$J$451),0),
IF('TL14'!$B$3=L$3,SUMIF('TL14'!$C$10:$C$224,$C232,'TL14'!$J$10:$J$224),0),
IF('TL14'!$B$229=L$3,SUMIF('TL14'!$C$238:$C$451,$C232,'TL14'!$J$238:$J$451),0),
IF('TL15'!$B$3=L$3,SUMIF('TL15'!$C$10:$C$224,$C232,'TL15'!$J$10:$J$224),0),
IF('TL15'!$B$229=L$3,SUMIF('TL15'!$C$238:$C$451,$C232,'TL15'!$J$238:$J$451),0),
IF('TL16'!$B$3=L$3,SUMIF('TL16'!$C$10:$C$224,$C232,'TL16'!$J$10:$J$224),0),
IF('TL16'!$B$229=L$3,SUMIF('TL16'!$C$238:$C$451,$C232,'TL16'!$J$238:$J$451),0),
IF('TL17'!$B$3=L$3,SUMIF('TL17'!$C$10:$C$224,$C232,'TL17'!$J$10:$J$224),0),
IF('TL17'!$B$229=L$3,SUMIF('TL17'!$C$238:$C$451,$C232,'TL17'!$J$238:$J$451),0),
IF('TL18'!$B$3=L$3,SUMIF('TL18'!$C$10:$C$224,$C232,'TL18'!$J$10:$J$224),0),
IF('TL18'!$B$229=L$3,SUMIF('TL18'!$C$238:$C$451,$C232,'TL18'!$J$238:$J$451),0),
IF('TL19'!$B$3=L$3,SUMIF('TL19'!$C$10:$C$224,$C232,'TL19'!$J$10:$J$224),0),
IF('TL19'!$B$229=L$3,SUMIF('TL19'!$C$238:$C$451,$C232,'TL19'!$J$238:$J$451),0)
),0)</f>
        <v>0</v>
      </c>
      <c r="M232" s="9">
        <f>IFERROR(SUM(
IF('TL01'!$B$3=M$3,SUMIF('TL01'!$C$10:$C$224,$C232,'TL01'!$J$10:$J$224),0),
IF('TL01'!$B$229=M$3,SUMIF('TL01'!$C$238:$C$451,$C232,'TL01'!$J$238:$J$451),0),
IF('TL02'!$B$3=M$3,SUMIF('TL02'!$C$10:$C$224,$C232,'TL02'!$J$10:$J$224),0),
IF('TL02'!$B$229=M$3,SUMIF('TL02'!$C$238:$C$451,$C232,'TL02'!$J$238:$J$451),0),
IF('TL03'!$B$3=M$3,SUMIF('TL03'!$C$10:$C$224,$C232,'TL03'!$J$10:$J$224),0),
IF('TL03'!$B$229=M$3,SUMIF('TL03'!$C$238:$C$451,$C232,'TL03'!$J$238:$J$451),0),
IF('TL04'!$B$3=M$3,SUMIF('TL04'!$C$10:$C$224,$C232,'TL04'!$J$10:$J$224),0),
IF('TL04'!$B$229=M$3,SUMIF('TL04'!$C$238:$C$451,$C232,'TL04'!$J$238:$J$451),0),
IF('TL05'!$B$3=M$3,SUMIF('TL05'!$C$10:$C$224,$C232,'TL05'!$J$10:$J$224),0),
IF('TL05'!$B$229=M$3,SUMIF('TL05'!$C$238:$C$451,$C232,'TL05'!$J$238:$J$451),0),
IF('TL06'!$B$3=M$3,SUMIF('TL06'!$C$10:$C$224,$C232,'TL06'!$J$10:$J$224),0),
IF('TL06'!$B$229=M$3,SUMIF('TL06'!$C$238:$C$451,$C232,'TL06'!$J$238:$J$451),0),
IF('TL07'!$B$3=M$3,SUMIF('TL07'!$C$10:$C$224,$C232,'TL07'!$J$10:$J$224),0),
IF('TL07'!$B$229=M$3,SUMIF('TL07'!$C$238:$C$451,$C232,'TL07'!$J$238:$J$451),0),
IF('TL08'!$B$3=M$3,SUMIF('TL08'!$C$10:$C$224,$C232,'TL08'!$J$10:$J$224),0),
IF('TL08'!$B$229=M$3,SUMIF('TL08'!$C$238:$C$451,$C232,'TL08'!$J$238:$J$451),0),
IF('TL09'!$B$3=M$3,SUMIF('TL09'!$C$10:$C$224,$C232,'TL09'!$J$10:$J$224),0),
IF('TL09'!$B$229=M$3,SUMIF('TL09'!$C$238:$C$451,$C232,'TL09'!$J$238:$J$451),0),
IF('TL10'!$B$3=M$3,SUMIF('TL10'!$C$10:$C$224,$C232,'TL10'!$J$10:$J$224),0),
IF('TL10'!$B$229=M$3,SUMIF('TL10'!$C$238:$C$451,$C232,'TL10'!$J$238:$J$451),0),
IF('TL11'!$B$3=M$3,SUMIF('TL11'!$C$10:$C$224,$C232,'TL11'!$J$10:$J$224),0),
IF('TL11'!$B$229=M$3,SUMIF('TL11'!$C$238:$C$451,$C232,'TL11'!$J$238:$J$451),0),
IF('TL12'!$B$3=M$3,SUMIF('TL12'!$C$10:$C$224,$C232,'TL12'!$J$10:$J$224),0),
IF('TL12'!$B$229=M$3,SUMIF('TL12'!$C$238:$C$451,$C232,'TL12'!$J$238:$J$451),0),
IF('TL13'!$B$3=M$3,SUMIF('TL13'!$C$10:$C$224,$C232,'TL13'!$J$10:$J$224),0),
IF('TL13'!$B$229=M$3,SUMIF('TL13'!$C$238:$C$451,$C232,'TL13'!$J$238:$J$451),0),
IF('TL14'!$B$3=M$3,SUMIF('TL14'!$C$10:$C$224,$C232,'TL14'!$J$10:$J$224),0),
IF('TL14'!$B$229=M$3,SUMIF('TL14'!$C$238:$C$451,$C232,'TL14'!$J$238:$J$451),0),
IF('TL15'!$B$3=M$3,SUMIF('TL15'!$C$10:$C$224,$C232,'TL15'!$J$10:$J$224),0),
IF('TL15'!$B$229=M$3,SUMIF('TL15'!$C$238:$C$451,$C232,'TL15'!$J$238:$J$451),0),
IF('TL16'!$B$3=M$3,SUMIF('TL16'!$C$10:$C$224,$C232,'TL16'!$J$10:$J$224),0),
IF('TL16'!$B$229=M$3,SUMIF('TL16'!$C$238:$C$451,$C232,'TL16'!$J$238:$J$451),0),
IF('TL17'!$B$3=M$3,SUMIF('TL17'!$C$10:$C$224,$C232,'TL17'!$J$10:$J$224),0),
IF('TL17'!$B$229=M$3,SUMIF('TL17'!$C$238:$C$451,$C232,'TL17'!$J$238:$J$451),0),
IF('TL18'!$B$3=M$3,SUMIF('TL18'!$C$10:$C$224,$C232,'TL18'!$J$10:$J$224),0),
IF('TL18'!$B$229=M$3,SUMIF('TL18'!$C$238:$C$451,$C232,'TL18'!$J$238:$J$451),0),
IF('TL19'!$B$3=M$3,SUMIF('TL19'!$C$10:$C$224,$C232,'TL19'!$J$10:$J$224),0),
IF('TL19'!$B$229=M$3,SUMIF('TL19'!$C$238:$C$451,$C232,'TL19'!$J$238:$J$451),0)
),0)</f>
        <v>0</v>
      </c>
      <c r="N232" s="9">
        <f>IFERROR(SUM(
IF('TL01'!$B$3=N$3,SUMIF('TL01'!$C$10:$C$224,$C232,'TL01'!$J$10:$J$224),0),
IF('TL01'!$B$229=N$3,SUMIF('TL01'!$C$238:$C$451,$C232,'TL01'!$J$238:$J$451),0),
IF('TL02'!$B$3=N$3,SUMIF('TL02'!$C$10:$C$224,$C232,'TL02'!$J$10:$J$224),0),
IF('TL02'!$B$229=N$3,SUMIF('TL02'!$C$238:$C$451,$C232,'TL02'!$J$238:$J$451),0),
IF('TL03'!$B$3=N$3,SUMIF('TL03'!$C$10:$C$224,$C232,'TL03'!$J$10:$J$224),0),
IF('TL03'!$B$229=N$3,SUMIF('TL03'!$C$238:$C$451,$C232,'TL03'!$J$238:$J$451),0),
IF('TL04'!$B$3=N$3,SUMIF('TL04'!$C$10:$C$224,$C232,'TL04'!$J$10:$J$224),0),
IF('TL04'!$B$229=N$3,SUMIF('TL04'!$C$238:$C$451,$C232,'TL04'!$J$238:$J$451),0),
IF('TL05'!$B$3=N$3,SUMIF('TL05'!$C$10:$C$224,$C232,'TL05'!$J$10:$J$224),0),
IF('TL05'!$B$229=N$3,SUMIF('TL05'!$C$238:$C$451,$C232,'TL05'!$J$238:$J$451),0),
IF('TL06'!$B$3=N$3,SUMIF('TL06'!$C$10:$C$224,$C232,'TL06'!$J$10:$J$224),0),
IF('TL06'!$B$229=N$3,SUMIF('TL06'!$C$238:$C$451,$C232,'TL06'!$J$238:$J$451),0),
IF('TL07'!$B$3=N$3,SUMIF('TL07'!$C$10:$C$224,$C232,'TL07'!$J$10:$J$224),0),
IF('TL07'!$B$229=N$3,SUMIF('TL07'!$C$238:$C$451,$C232,'TL07'!$J$238:$J$451),0),
IF('TL08'!$B$3=N$3,SUMIF('TL08'!$C$10:$C$224,$C232,'TL08'!$J$10:$J$224),0),
IF('TL08'!$B$229=N$3,SUMIF('TL08'!$C$238:$C$451,$C232,'TL08'!$J$238:$J$451),0),
IF('TL09'!$B$3=N$3,SUMIF('TL09'!$C$10:$C$224,$C232,'TL09'!$J$10:$J$224),0),
IF('TL09'!$B$229=N$3,SUMIF('TL09'!$C$238:$C$451,$C232,'TL09'!$J$238:$J$451),0),
IF('TL10'!$B$3=N$3,SUMIF('TL10'!$C$10:$C$224,$C232,'TL10'!$J$10:$J$224),0),
IF('TL10'!$B$229=N$3,SUMIF('TL10'!$C$238:$C$451,$C232,'TL10'!$J$238:$J$451),0),
IF('TL11'!$B$3=N$3,SUMIF('TL11'!$C$10:$C$224,$C232,'TL11'!$J$10:$J$224),0),
IF('TL11'!$B$229=N$3,SUMIF('TL11'!$C$238:$C$451,$C232,'TL11'!$J$238:$J$451),0),
IF('TL12'!$B$3=N$3,SUMIF('TL12'!$C$10:$C$224,$C232,'TL12'!$J$10:$J$224),0),
IF('TL12'!$B$229=N$3,SUMIF('TL12'!$C$238:$C$451,$C232,'TL12'!$J$238:$J$451),0),
IF('TL13'!$B$3=N$3,SUMIF('TL13'!$C$10:$C$224,$C232,'TL13'!$J$10:$J$224),0),
IF('TL13'!$B$229=N$3,SUMIF('TL13'!$C$238:$C$451,$C232,'TL13'!$J$238:$J$451),0),
IF('TL14'!$B$3=N$3,SUMIF('TL14'!$C$10:$C$224,$C232,'TL14'!$J$10:$J$224),0),
IF('TL14'!$B$229=N$3,SUMIF('TL14'!$C$238:$C$451,$C232,'TL14'!$J$238:$J$451),0),
IF('TL15'!$B$3=N$3,SUMIF('TL15'!$C$10:$C$224,$C232,'TL15'!$J$10:$J$224),0),
IF('TL15'!$B$229=N$3,SUMIF('TL15'!$C$238:$C$451,$C232,'TL15'!$J$238:$J$451),0),
IF('TL16'!$B$3=N$3,SUMIF('TL16'!$C$10:$C$224,$C232,'TL16'!$J$10:$J$224),0),
IF('TL16'!$B$229=N$3,SUMIF('TL16'!$C$238:$C$451,$C232,'TL16'!$J$238:$J$451),0),
IF('TL17'!$B$3=N$3,SUMIF('TL17'!$C$10:$C$224,$C232,'TL17'!$J$10:$J$224),0),
IF('TL17'!$B$229=N$3,SUMIF('TL17'!$C$238:$C$451,$C232,'TL17'!$J$238:$J$451),0),
IF('TL18'!$B$3=N$3,SUMIF('TL18'!$C$10:$C$224,$C232,'TL18'!$J$10:$J$224),0),
IF('TL18'!$B$229=N$3,SUMIF('TL18'!$C$238:$C$451,$C232,'TL18'!$J$238:$J$451),0),
IF('TL19'!$B$3=N$3,SUMIF('TL19'!$C$10:$C$224,$C232,'TL19'!$J$10:$J$224),0),
IF('TL19'!$B$229=N$3,SUMIF('TL19'!$C$238:$C$451,$C232,'TL19'!$J$238:$J$451),0)
),0)</f>
        <v>0</v>
      </c>
      <c r="O232" s="9">
        <f>IFERROR(SUM(
IF('TL01'!$B$3=O$3,SUMIF('TL01'!$C$10:$C$224,$C232,'TL01'!$J$10:$J$224),0),
IF('TL01'!$B$229=O$3,SUMIF('TL01'!$C$238:$C$451,$C232,'TL01'!$J$238:$J$451),0),
IF('TL02'!$B$3=O$3,SUMIF('TL02'!$C$10:$C$224,$C232,'TL02'!$J$10:$J$224),0),
IF('TL02'!$B$229=O$3,SUMIF('TL02'!$C$238:$C$451,$C232,'TL02'!$J$238:$J$451),0),
IF('TL03'!$B$3=O$3,SUMIF('TL03'!$C$10:$C$224,$C232,'TL03'!$J$10:$J$224),0),
IF('TL03'!$B$229=O$3,SUMIF('TL03'!$C$238:$C$451,$C232,'TL03'!$J$238:$J$451),0),
IF('TL04'!$B$3=O$3,SUMIF('TL04'!$C$10:$C$224,$C232,'TL04'!$J$10:$J$224),0),
IF('TL04'!$B$229=O$3,SUMIF('TL04'!$C$238:$C$451,$C232,'TL04'!$J$238:$J$451),0),
IF('TL05'!$B$3=O$3,SUMIF('TL05'!$C$10:$C$224,$C232,'TL05'!$J$10:$J$224),0),
IF('TL05'!$B$229=O$3,SUMIF('TL05'!$C$238:$C$451,$C232,'TL05'!$J$238:$J$451),0),
IF('TL06'!$B$3=O$3,SUMIF('TL06'!$C$10:$C$224,$C232,'TL06'!$J$10:$J$224),0),
IF('TL06'!$B$229=O$3,SUMIF('TL06'!$C$238:$C$451,$C232,'TL06'!$J$238:$J$451),0),
IF('TL07'!$B$3=O$3,SUMIF('TL07'!$C$10:$C$224,$C232,'TL07'!$J$10:$J$224),0),
IF('TL07'!$B$229=O$3,SUMIF('TL07'!$C$238:$C$451,$C232,'TL07'!$J$238:$J$451),0),
IF('TL08'!$B$3=O$3,SUMIF('TL08'!$C$10:$C$224,$C232,'TL08'!$J$10:$J$224),0),
IF('TL08'!$B$229=O$3,SUMIF('TL08'!$C$238:$C$451,$C232,'TL08'!$J$238:$J$451),0),
IF('TL09'!$B$3=O$3,SUMIF('TL09'!$C$10:$C$224,$C232,'TL09'!$J$10:$J$224),0),
IF('TL09'!$B$229=O$3,SUMIF('TL09'!$C$238:$C$451,$C232,'TL09'!$J$238:$J$451),0),
IF('TL10'!$B$3=O$3,SUMIF('TL10'!$C$10:$C$224,$C232,'TL10'!$J$10:$J$224),0),
IF('TL10'!$B$229=O$3,SUMIF('TL10'!$C$238:$C$451,$C232,'TL10'!$J$238:$J$451),0),
IF('TL11'!$B$3=O$3,SUMIF('TL11'!$C$10:$C$224,$C232,'TL11'!$J$10:$J$224),0),
IF('TL11'!$B$229=O$3,SUMIF('TL11'!$C$238:$C$451,$C232,'TL11'!$J$238:$J$451),0),
IF('TL12'!$B$3=O$3,SUMIF('TL12'!$C$10:$C$224,$C232,'TL12'!$J$10:$J$224),0),
IF('TL12'!$B$229=O$3,SUMIF('TL12'!$C$238:$C$451,$C232,'TL12'!$J$238:$J$451),0),
IF('TL13'!$B$3=O$3,SUMIF('TL13'!$C$10:$C$224,$C232,'TL13'!$J$10:$J$224),0),
IF('TL13'!$B$229=O$3,SUMIF('TL13'!$C$238:$C$451,$C232,'TL13'!$J$238:$J$451),0),
IF('TL14'!$B$3=O$3,SUMIF('TL14'!$C$10:$C$224,$C232,'TL14'!$J$10:$J$224),0),
IF('TL14'!$B$229=O$3,SUMIF('TL14'!$C$238:$C$451,$C232,'TL14'!$J$238:$J$451),0),
IF('TL15'!$B$3=O$3,SUMIF('TL15'!$C$10:$C$224,$C232,'TL15'!$J$10:$J$224),0),
IF('TL15'!$B$229=O$3,SUMIF('TL15'!$C$238:$C$451,$C232,'TL15'!$J$238:$J$451),0),
IF('TL16'!$B$3=O$3,SUMIF('TL16'!$C$10:$C$224,$C232,'TL16'!$J$10:$J$224),0),
IF('TL16'!$B$229=O$3,SUMIF('TL16'!$C$238:$C$451,$C232,'TL16'!$J$238:$J$451),0),
IF('TL17'!$B$3=O$3,SUMIF('TL17'!$C$10:$C$224,$C232,'TL17'!$J$10:$J$224),0),
IF('TL17'!$B$229=O$3,SUMIF('TL17'!$C$238:$C$451,$C232,'TL17'!$J$238:$J$451),0),
IF('TL18'!$B$3=O$3,SUMIF('TL18'!$C$10:$C$224,$C232,'TL18'!$J$10:$J$224),0),
IF('TL18'!$B$229=O$3,SUMIF('TL18'!$C$238:$C$451,$C232,'TL18'!$J$238:$J$451),0),
IF('TL19'!$B$3=O$3,SUMIF('TL19'!$C$10:$C$224,$C232,'TL19'!$J$10:$J$224),0),
IF('TL19'!$B$229=O$3,SUMIF('TL19'!$C$238:$C$451,$C232,'TL19'!$J$238:$J$451),0)
),0)</f>
        <v>0</v>
      </c>
      <c r="P232" s="9">
        <f>IFERROR(SUM(
IF('TL01'!$B$3=P$3,SUMIF('TL01'!$C$10:$C$224,$C232,'TL01'!$J$10:$J$224),0),
IF('TL01'!$B$229=P$3,SUMIF('TL01'!$C$238:$C$451,$C232,'TL01'!$J$238:$J$451),0),
IF('TL02'!$B$3=P$3,SUMIF('TL02'!$C$10:$C$224,$C232,'TL02'!$J$10:$J$224),0),
IF('TL02'!$B$229=P$3,SUMIF('TL02'!$C$238:$C$451,$C232,'TL02'!$J$238:$J$451),0),
IF('TL03'!$B$3=P$3,SUMIF('TL03'!$C$10:$C$224,$C232,'TL03'!$J$10:$J$224),0),
IF('TL03'!$B$229=P$3,SUMIF('TL03'!$C$238:$C$451,$C232,'TL03'!$J$238:$J$451),0),
IF('TL04'!$B$3=P$3,SUMIF('TL04'!$C$10:$C$224,$C232,'TL04'!$J$10:$J$224),0),
IF('TL04'!$B$229=P$3,SUMIF('TL04'!$C$238:$C$451,$C232,'TL04'!$J$238:$J$451),0),
IF('TL05'!$B$3=P$3,SUMIF('TL05'!$C$10:$C$224,$C232,'TL05'!$J$10:$J$224),0),
IF('TL05'!$B$229=P$3,SUMIF('TL05'!$C$238:$C$451,$C232,'TL05'!$J$238:$J$451),0),
IF('TL06'!$B$3=P$3,SUMIF('TL06'!$C$10:$C$224,$C232,'TL06'!$J$10:$J$224),0),
IF('TL06'!$B$229=P$3,SUMIF('TL06'!$C$238:$C$451,$C232,'TL06'!$J$238:$J$451),0),
IF('TL07'!$B$3=P$3,SUMIF('TL07'!$C$10:$C$224,$C232,'TL07'!$J$10:$J$224),0),
IF('TL07'!$B$229=P$3,SUMIF('TL07'!$C$238:$C$451,$C232,'TL07'!$J$238:$J$451),0),
IF('TL08'!$B$3=P$3,SUMIF('TL08'!$C$10:$C$224,$C232,'TL08'!$J$10:$J$224),0),
IF('TL08'!$B$229=P$3,SUMIF('TL08'!$C$238:$C$451,$C232,'TL08'!$J$238:$J$451),0),
IF('TL09'!$B$3=P$3,SUMIF('TL09'!$C$10:$C$224,$C232,'TL09'!$J$10:$J$224),0),
IF('TL09'!$B$229=P$3,SUMIF('TL09'!$C$238:$C$451,$C232,'TL09'!$J$238:$J$451),0),
IF('TL10'!$B$3=P$3,SUMIF('TL10'!$C$10:$C$224,$C232,'TL10'!$J$10:$J$224),0),
IF('TL10'!$B$229=P$3,SUMIF('TL10'!$C$238:$C$451,$C232,'TL10'!$J$238:$J$451),0),
IF('TL11'!$B$3=P$3,SUMIF('TL11'!$C$10:$C$224,$C232,'TL11'!$J$10:$J$224),0),
IF('TL11'!$B$229=P$3,SUMIF('TL11'!$C$238:$C$451,$C232,'TL11'!$J$238:$J$451),0),
IF('TL12'!$B$3=P$3,SUMIF('TL12'!$C$10:$C$224,$C232,'TL12'!$J$10:$J$224),0),
IF('TL12'!$B$229=P$3,SUMIF('TL12'!$C$238:$C$451,$C232,'TL12'!$J$238:$J$451),0),
IF('TL13'!$B$3=P$3,SUMIF('TL13'!$C$10:$C$224,$C232,'TL13'!$J$10:$J$224),0),
IF('TL13'!$B$229=P$3,SUMIF('TL13'!$C$238:$C$451,$C232,'TL13'!$J$238:$J$451),0),
IF('TL14'!$B$3=P$3,SUMIF('TL14'!$C$10:$C$224,$C232,'TL14'!$J$10:$J$224),0),
IF('TL14'!$B$229=P$3,SUMIF('TL14'!$C$238:$C$451,$C232,'TL14'!$J$238:$J$451),0),
IF('TL15'!$B$3=P$3,SUMIF('TL15'!$C$10:$C$224,$C232,'TL15'!$J$10:$J$224),0),
IF('TL15'!$B$229=P$3,SUMIF('TL15'!$C$238:$C$451,$C232,'TL15'!$J$238:$J$451),0),
IF('TL16'!$B$3=P$3,SUMIF('TL16'!$C$10:$C$224,$C232,'TL16'!$J$10:$J$224),0),
IF('TL16'!$B$229=P$3,SUMIF('TL16'!$C$238:$C$451,$C232,'TL16'!$J$238:$J$451),0),
IF('TL17'!$B$3=P$3,SUMIF('TL17'!$C$10:$C$224,$C232,'TL17'!$J$10:$J$224),0),
IF('TL17'!$B$229=P$3,SUMIF('TL17'!$C$238:$C$451,$C232,'TL17'!$J$238:$J$451),0),
IF('TL18'!$B$3=P$3,SUMIF('TL18'!$C$10:$C$224,$C232,'TL18'!$J$10:$J$224),0),
IF('TL18'!$B$229=P$3,SUMIF('TL18'!$C$238:$C$451,$C232,'TL18'!$J$238:$J$451),0),
IF('TL19'!$B$3=P$3,SUMIF('TL19'!$C$10:$C$224,$C232,'TL19'!$J$10:$J$224),0),
IF('TL19'!$B$229=P$3,SUMIF('TL19'!$C$238:$C$451,$C232,'TL19'!$J$238:$J$451),0)
),0)</f>
        <v>0</v>
      </c>
      <c r="Q232" s="9">
        <f>IFERROR(SUM(
IF('TL01'!$B$3=Q$3,SUMIF('TL01'!$C$10:$C$224,$C232,'TL01'!$J$10:$J$224),0),
IF('TL01'!$B$229=Q$3,SUMIF('TL01'!$C$238:$C$451,$C232,'TL01'!$J$238:$J$451),0),
IF('TL02'!$B$3=Q$3,SUMIF('TL02'!$C$10:$C$224,$C232,'TL02'!$J$10:$J$224),0),
IF('TL02'!$B$229=Q$3,SUMIF('TL02'!$C$238:$C$451,$C232,'TL02'!$J$238:$J$451),0),
IF('TL03'!$B$3=Q$3,SUMIF('TL03'!$C$10:$C$224,$C232,'TL03'!$J$10:$J$224),0),
IF('TL03'!$B$229=Q$3,SUMIF('TL03'!$C$238:$C$451,$C232,'TL03'!$J$238:$J$451),0),
IF('TL04'!$B$3=Q$3,SUMIF('TL04'!$C$10:$C$224,$C232,'TL04'!$J$10:$J$224),0),
IF('TL04'!$B$229=Q$3,SUMIF('TL04'!$C$238:$C$451,$C232,'TL04'!$J$238:$J$451),0),
IF('TL05'!$B$3=Q$3,SUMIF('TL05'!$C$10:$C$224,$C232,'TL05'!$J$10:$J$224),0),
IF('TL05'!$B$229=Q$3,SUMIF('TL05'!$C$238:$C$451,$C232,'TL05'!$J$238:$J$451),0),
IF('TL06'!$B$3=Q$3,SUMIF('TL06'!$C$10:$C$224,$C232,'TL06'!$J$10:$J$224),0),
IF('TL06'!$B$229=Q$3,SUMIF('TL06'!$C$238:$C$451,$C232,'TL06'!$J$238:$J$451),0),
IF('TL07'!$B$3=Q$3,SUMIF('TL07'!$C$10:$C$224,$C232,'TL07'!$J$10:$J$224),0),
IF('TL07'!$B$229=Q$3,SUMIF('TL07'!$C$238:$C$451,$C232,'TL07'!$J$238:$J$451),0),
IF('TL08'!$B$3=Q$3,SUMIF('TL08'!$C$10:$C$224,$C232,'TL08'!$J$10:$J$224),0),
IF('TL08'!$B$229=Q$3,SUMIF('TL08'!$C$238:$C$451,$C232,'TL08'!$J$238:$J$451),0),
IF('TL09'!$B$3=Q$3,SUMIF('TL09'!$C$10:$C$224,$C232,'TL09'!$J$10:$J$224),0),
IF('TL09'!$B$229=Q$3,SUMIF('TL09'!$C$238:$C$451,$C232,'TL09'!$J$238:$J$451),0),
IF('TL10'!$B$3=Q$3,SUMIF('TL10'!$C$10:$C$224,$C232,'TL10'!$J$10:$J$224),0),
IF('TL10'!$B$229=Q$3,SUMIF('TL10'!$C$238:$C$451,$C232,'TL10'!$J$238:$J$451),0),
IF('TL11'!$B$3=Q$3,SUMIF('TL11'!$C$10:$C$224,$C232,'TL11'!$J$10:$J$224),0),
IF('TL11'!$B$229=Q$3,SUMIF('TL11'!$C$238:$C$451,$C232,'TL11'!$J$238:$J$451),0),
IF('TL12'!$B$3=Q$3,SUMIF('TL12'!$C$10:$C$224,$C232,'TL12'!$J$10:$J$224),0),
IF('TL12'!$B$229=Q$3,SUMIF('TL12'!$C$238:$C$451,$C232,'TL12'!$J$238:$J$451),0),
IF('TL13'!$B$3=Q$3,SUMIF('TL13'!$C$10:$C$224,$C232,'TL13'!$J$10:$J$224),0),
IF('TL13'!$B$229=Q$3,SUMIF('TL13'!$C$238:$C$451,$C232,'TL13'!$J$238:$J$451),0),
IF('TL14'!$B$3=Q$3,SUMIF('TL14'!$C$10:$C$224,$C232,'TL14'!$J$10:$J$224),0),
IF('TL14'!$B$229=Q$3,SUMIF('TL14'!$C$238:$C$451,$C232,'TL14'!$J$238:$J$451),0),
IF('TL15'!$B$3=Q$3,SUMIF('TL15'!$C$10:$C$224,$C232,'TL15'!$J$10:$J$224),0),
IF('TL15'!$B$229=Q$3,SUMIF('TL15'!$C$238:$C$451,$C232,'TL15'!$J$238:$J$451),0),
IF('TL16'!$B$3=Q$3,SUMIF('TL16'!$C$10:$C$224,$C232,'TL16'!$J$10:$J$224),0),
IF('TL16'!$B$229=Q$3,SUMIF('TL16'!$C$238:$C$451,$C232,'TL16'!$J$238:$J$451),0),
IF('TL17'!$B$3=Q$3,SUMIF('TL17'!$C$10:$C$224,$C232,'TL17'!$J$10:$J$224),0),
IF('TL17'!$B$229=Q$3,SUMIF('TL17'!$C$238:$C$451,$C232,'TL17'!$J$238:$J$451),0),
IF('TL18'!$B$3=Q$3,SUMIF('TL18'!$C$10:$C$224,$C232,'TL18'!$J$10:$J$224),0),
IF('TL18'!$B$229=Q$3,SUMIF('TL18'!$C$238:$C$451,$C232,'TL18'!$J$238:$J$451),0),
IF('TL19'!$B$3=Q$3,SUMIF('TL19'!$C$10:$C$224,$C232,'TL19'!$J$10:$J$224),0),
IF('TL19'!$B$229=Q$3,SUMIF('TL19'!$C$238:$C$451,$C232,'TL19'!$J$238:$J$451),0)
),0)</f>
        <v>0</v>
      </c>
      <c r="R232" s="9">
        <f>IFERROR(
SUM(
SUMIF('TL01'!C:C,C232,'TL01'!J:J),
SUMIF('TL02'!C:C,C232,'TL02'!J:J),
SUMIF('TL03'!C:C,C232,'TL03'!J:J),
SUMIF('TL04'!C:C,C232,'TL04'!J:J),
SUMIF('TL05'!C:C,C232,'TL05'!J:J),
SUMIF('TL06'!C:C,C232,'TL06'!J:J),
SUMIF('TL07'!C:C,C232,'TL07'!J:J),
SUMIF('TL08'!C:C,C232,'TL08'!J:J),
SUMIF('TL09'!C:C,C232,'TL09'!J:J),
SUMIF('TL10'!C:C,C232,'TL10'!J:J),
SUMIF('TL11'!C:C,C232,'TL11'!J:J),
SUMIF('TL12'!C:C,C232,'TL12'!J:J),
SUMIF('TL13'!C:C,C232,'TL13'!J:J),
SUMIF('TL14'!C:C,C232,'TL14'!J:J),
SUMIF('TL15'!C:C,C232,'TL15'!J:J),
SUMIF('TL16'!C:C,C232,'TL16'!J:J),
SUMIF('TL17'!C:C,C232,'TL17'!J:J),
SUMIF('TL18'!C:C,C232,'TL18'!J:J),SUMIF('TL19'!C:C,C232,'TL19'!J:J))
,0)</f>
        <v>0</v>
      </c>
      <c r="S232" s="17">
        <f>IFERROR(__xludf.DUMMYFUNCTION("IFERROR(VLOOKUP(C232,
IMPORTRANGE(""1wULbzX32WdYsx-lj2U3uUNBBe2INVIRDtcK0d-Dvl90"",
""26-27!C:G""),
5,
FALSE),
"""")"),426.69077999999996)</f>
        <v>426.69078</v>
      </c>
      <c r="T232" s="9"/>
      <c r="U232" s="92">
        <f t="shared" si="2"/>
        <v>0</v>
      </c>
      <c r="V232" s="93">
        <f t="shared" si="3"/>
        <v>0</v>
      </c>
    </row>
    <row r="233" ht="15.75" hidden="1" customHeight="1">
      <c r="A233" s="94" t="s">
        <v>358</v>
      </c>
      <c r="B233" s="95" t="s">
        <v>2</v>
      </c>
      <c r="C233" s="96" t="s">
        <v>881</v>
      </c>
      <c r="D233" s="96" t="s">
        <v>882</v>
      </c>
      <c r="E233" s="96" t="s">
        <v>883</v>
      </c>
      <c r="F233" s="4" t="s">
        <v>343</v>
      </c>
      <c r="G233" s="90" t="str">
        <f t="shared" si="4"/>
        <v>📄 Ver bula</v>
      </c>
      <c r="H233" s="9">
        <f>IFERROR(__xludf.DUMMYFUNCTION("IFERROR(VLOOKUP(C233,
IMPORTRANGE(""1wULbzX32WdYsx-lj2U3uUNBBe2INVIRDtcK0d-Dvl90"",
""26-27!C:K""),
8,
FALSE),
"""")"),0.2)</f>
        <v>0.2</v>
      </c>
      <c r="I233" s="97" t="s">
        <v>344</v>
      </c>
      <c r="J233" s="9">
        <f>IFERROR(SUM(
IF('TL01'!$B$3=J$3,SUMIF('TL01'!$C$10:$C$224,$C233,'TL01'!$J$10:$J$224),0),
IF('TL01'!$B$229=J$3,SUMIF('TL01'!$C$238:$C$451,$C233,'TL01'!$J$238:$J$451),0),
IF('TL02'!$B$3=J$3,SUMIF('TL02'!$C$10:$C$224,$C233,'TL02'!$J$10:$J$224),0),
IF('TL02'!$B$229=J$3,SUMIF('TL02'!$C$238:$C$451,$C233,'TL02'!$J$238:$J$451),0),
IF('TL03'!$B$3=J$3,SUMIF('TL03'!$C$10:$C$224,$C233,'TL03'!$J$10:$J$224),0),
IF('TL03'!$B$229=J$3,SUMIF('TL03'!$C$238:$C$451,$C233,'TL03'!$J$238:$J$451),0),
IF('TL04'!$B$3=J$3,SUMIF('TL04'!$C$10:$C$224,$C233,'TL04'!$J$10:$J$224),0),
IF('TL04'!$B$229=J$3,SUMIF('TL04'!$C$238:$C$451,$C233,'TL04'!$J$238:$J$451),0),
IF('TL05'!$B$3=J$3,SUMIF('TL05'!$C$10:$C$224,$C233,'TL05'!$J$10:$J$224),0),
IF('TL05'!$B$229=J$3,SUMIF('TL05'!$C$238:$C$451,$C233,'TL05'!$J$238:$J$451),0),
IF('TL06'!$B$3=J$3,SUMIF('TL06'!$C$10:$C$224,$C233,'TL06'!$J$10:$J$224),0),
IF('TL06'!$B$229=J$3,SUMIF('TL06'!$C$238:$C$451,$C233,'TL06'!$J$238:$J$451),0),
IF('TL07'!$B$3=J$3,SUMIF('TL07'!$C$10:$C$224,$C233,'TL07'!$J$10:$J$224),0),
IF('TL07'!$B$229=J$3,SUMIF('TL07'!$C$238:$C$451,$C233,'TL07'!$J$238:$J$451),0),
IF('TL08'!$B$3=J$3,SUMIF('TL08'!$C$10:$C$224,$C233,'TL08'!$J$10:$J$224),0),
IF('TL08'!$B$229=J$3,SUMIF('TL08'!$C$238:$C$451,$C233,'TL08'!$J$238:$J$451),0),
IF('TL09'!$B$3=J$3,SUMIF('TL09'!$C$10:$C$224,$C233,'TL09'!$J$10:$J$224),0),
IF('TL09'!$B$229=J$3,SUMIF('TL09'!$C$238:$C$451,$C233,'TL09'!$J$238:$J$451),0),
IF('TL10'!$B$3=J$3,SUMIF('TL10'!$C$10:$C$224,$C233,'TL10'!$J$10:$J$224),0),
IF('TL10'!$B$229=J$3,SUMIF('TL10'!$C$238:$C$451,$C233,'TL10'!$J$238:$J$451),0),
IF('TL11'!$B$3=J$3,SUMIF('TL11'!$C$10:$C$224,$C233,'TL11'!$J$10:$J$224),0),
IF('TL11'!$B$229=J$3,SUMIF('TL11'!$C$238:$C$451,$C233,'TL11'!$J$238:$J$451),0),
IF('TL12'!$B$3=J$3,SUMIF('TL12'!$C$10:$C$224,$C233,'TL12'!$J$10:$J$224),0),
IF('TL12'!$B$229=J$3,SUMIF('TL12'!$C$238:$C$451,$C233,'TL12'!$J$238:$J$451),0),
IF('TL13'!$B$3=J$3,SUMIF('TL13'!$C$10:$C$224,$C233,'TL13'!$J$10:$J$224),0),
IF('TL13'!$B$229=J$3,SUMIF('TL13'!$C$238:$C$451,$C233,'TL13'!$J$238:$J$451),0),
IF('TL14'!$B$3=J$3,SUMIF('TL14'!$C$10:$C$224,$C233,'TL14'!$J$10:$J$224),0),
IF('TL14'!$B$229=J$3,SUMIF('TL14'!$C$238:$C$451,$C233,'TL14'!$J$238:$J$451),0),
IF('TL15'!$B$3=J$3,SUMIF('TL15'!$C$10:$C$224,$C233,'TL15'!$J$10:$J$224),0),
IF('TL15'!$B$229=J$3,SUMIF('TL15'!$C$238:$C$451,$C233,'TL15'!$J$238:$J$451),0),
IF('TL16'!$B$3=J$3,SUMIF('TL16'!$C$10:$C$224,$C233,'TL16'!$J$10:$J$224),0),
IF('TL16'!$B$229=J$3,SUMIF('TL16'!$C$238:$C$451,$C233,'TL16'!$J$238:$J$451),0),
IF('TL17'!$B$3=J$3,SUMIF('TL17'!$C$10:$C$224,$C233,'TL17'!$J$10:$J$224),0),
IF('TL17'!$B$229=J$3,SUMIF('TL17'!$C$238:$C$451,$C233,'TL17'!$J$238:$J$451),0),
IF('TL18'!$B$3=J$3,SUMIF('TL18'!$C$10:$C$224,$C233,'TL18'!$J$10:$J$224),0),
IF('TL18'!$B$229=J$3,SUMIF('TL18'!$C$238:$C$451,$C233,'TL18'!$J$238:$J$451),0),
IF('TL19'!$B$3=J$3,SUMIF('TL19'!$C$10:$C$224,$C233,'TL19'!$J$10:$J$224),0),
IF('TL19'!$B$229=J$3,SUMIF('TL19'!$C$238:$C$451,$C233,'TL19'!$J$238:$J$451),0)
),0)</f>
        <v>0</v>
      </c>
      <c r="K233" s="9">
        <f>IFERROR(SUM(
IF('TL01'!$B$3=K$3,SUMIF('TL01'!$C$10:$C$224,$C233,'TL01'!$J$10:$J$224),0),
IF('TL01'!$B$229=K$3,SUMIF('TL01'!$C$238:$C$451,$C233,'TL01'!$J$238:$J$451),0),
IF('TL02'!$B$3=K$3,SUMIF('TL02'!$C$10:$C$224,$C233,'TL02'!$J$10:$J$224),0),
IF('TL02'!$B$229=K$3,SUMIF('TL02'!$C$238:$C$451,$C233,'TL02'!$J$238:$J$451),0),
IF('TL03'!$B$3=K$3,SUMIF('TL03'!$C$10:$C$224,$C233,'TL03'!$J$10:$J$224),0),
IF('TL03'!$B$229=K$3,SUMIF('TL03'!$C$238:$C$451,$C233,'TL03'!$J$238:$J$451),0),
IF('TL04'!$B$3=K$3,SUMIF('TL04'!$C$10:$C$224,$C233,'TL04'!$J$10:$J$224),0),
IF('TL04'!$B$229=K$3,SUMIF('TL04'!$C$238:$C$451,$C233,'TL04'!$J$238:$J$451),0),
IF('TL05'!$B$3=K$3,SUMIF('TL05'!$C$10:$C$224,$C233,'TL05'!$J$10:$J$224),0),
IF('TL05'!$B$229=K$3,SUMIF('TL05'!$C$238:$C$451,$C233,'TL05'!$J$238:$J$451),0),
IF('TL06'!$B$3=K$3,SUMIF('TL06'!$C$10:$C$224,$C233,'TL06'!$J$10:$J$224),0),
IF('TL06'!$B$229=K$3,SUMIF('TL06'!$C$238:$C$451,$C233,'TL06'!$J$238:$J$451),0),
IF('TL07'!$B$3=K$3,SUMIF('TL07'!$C$10:$C$224,$C233,'TL07'!$J$10:$J$224),0),
IF('TL07'!$B$229=K$3,SUMIF('TL07'!$C$238:$C$451,$C233,'TL07'!$J$238:$J$451),0),
IF('TL08'!$B$3=K$3,SUMIF('TL08'!$C$10:$C$224,$C233,'TL08'!$J$10:$J$224),0),
IF('TL08'!$B$229=K$3,SUMIF('TL08'!$C$238:$C$451,$C233,'TL08'!$J$238:$J$451),0),
IF('TL09'!$B$3=K$3,SUMIF('TL09'!$C$10:$C$224,$C233,'TL09'!$J$10:$J$224),0),
IF('TL09'!$B$229=K$3,SUMIF('TL09'!$C$238:$C$451,$C233,'TL09'!$J$238:$J$451),0),
IF('TL10'!$B$3=K$3,SUMIF('TL10'!$C$10:$C$224,$C233,'TL10'!$J$10:$J$224),0),
IF('TL10'!$B$229=K$3,SUMIF('TL10'!$C$238:$C$451,$C233,'TL10'!$J$238:$J$451),0),
IF('TL11'!$B$3=K$3,SUMIF('TL11'!$C$10:$C$224,$C233,'TL11'!$J$10:$J$224),0),
IF('TL11'!$B$229=K$3,SUMIF('TL11'!$C$238:$C$451,$C233,'TL11'!$J$238:$J$451),0),
IF('TL12'!$B$3=K$3,SUMIF('TL12'!$C$10:$C$224,$C233,'TL12'!$J$10:$J$224),0),
IF('TL12'!$B$229=K$3,SUMIF('TL12'!$C$238:$C$451,$C233,'TL12'!$J$238:$J$451),0),
IF('TL13'!$B$3=K$3,SUMIF('TL13'!$C$10:$C$224,$C233,'TL13'!$J$10:$J$224),0),
IF('TL13'!$B$229=K$3,SUMIF('TL13'!$C$238:$C$451,$C233,'TL13'!$J$238:$J$451),0),
IF('TL14'!$B$3=K$3,SUMIF('TL14'!$C$10:$C$224,$C233,'TL14'!$J$10:$J$224),0),
IF('TL14'!$B$229=K$3,SUMIF('TL14'!$C$238:$C$451,$C233,'TL14'!$J$238:$J$451),0),
IF('TL15'!$B$3=K$3,SUMIF('TL15'!$C$10:$C$224,$C233,'TL15'!$J$10:$J$224),0),
IF('TL15'!$B$229=K$3,SUMIF('TL15'!$C$238:$C$451,$C233,'TL15'!$J$238:$J$451),0),
IF('TL16'!$B$3=K$3,SUMIF('TL16'!$C$10:$C$224,$C233,'TL16'!$J$10:$J$224),0),
IF('TL16'!$B$229=K$3,SUMIF('TL16'!$C$238:$C$451,$C233,'TL16'!$J$238:$J$451),0),
IF('TL17'!$B$3=K$3,SUMIF('TL17'!$C$10:$C$224,$C233,'TL17'!$J$10:$J$224),0),
IF('TL17'!$B$229=K$3,SUMIF('TL17'!$C$238:$C$451,$C233,'TL17'!$J$238:$J$451),0),
IF('TL18'!$B$3=K$3,SUMIF('TL18'!$C$10:$C$224,$C233,'TL18'!$J$10:$J$224),0),
IF('TL18'!$B$229=K$3,SUMIF('TL18'!$C$238:$C$451,$C233,'TL18'!$J$238:$J$451),0),
IF('TL19'!$B$3=K$3,SUMIF('TL19'!$C$10:$C$224,$C233,'TL19'!$J$10:$J$224),0),
IF('TL19'!$B$229=K$3,SUMIF('TL19'!$C$238:$C$451,$C233,'TL19'!$J$238:$J$451),0)
),0)</f>
        <v>60</v>
      </c>
      <c r="L233" s="9">
        <f>IFERROR(SUM(
IF('TL01'!$B$3=L$3,SUMIF('TL01'!$C$10:$C$224,$C233,'TL01'!$J$10:$J$224),0),
IF('TL01'!$B$229=L$3,SUMIF('TL01'!$C$238:$C$451,$C233,'TL01'!$J$238:$J$451),0),
IF('TL02'!$B$3=L$3,SUMIF('TL02'!$C$10:$C$224,$C233,'TL02'!$J$10:$J$224),0),
IF('TL02'!$B$229=L$3,SUMIF('TL02'!$C$238:$C$451,$C233,'TL02'!$J$238:$J$451),0),
IF('TL03'!$B$3=L$3,SUMIF('TL03'!$C$10:$C$224,$C233,'TL03'!$J$10:$J$224),0),
IF('TL03'!$B$229=L$3,SUMIF('TL03'!$C$238:$C$451,$C233,'TL03'!$J$238:$J$451),0),
IF('TL04'!$B$3=L$3,SUMIF('TL04'!$C$10:$C$224,$C233,'TL04'!$J$10:$J$224),0),
IF('TL04'!$B$229=L$3,SUMIF('TL04'!$C$238:$C$451,$C233,'TL04'!$J$238:$J$451),0),
IF('TL05'!$B$3=L$3,SUMIF('TL05'!$C$10:$C$224,$C233,'TL05'!$J$10:$J$224),0),
IF('TL05'!$B$229=L$3,SUMIF('TL05'!$C$238:$C$451,$C233,'TL05'!$J$238:$J$451),0),
IF('TL06'!$B$3=L$3,SUMIF('TL06'!$C$10:$C$224,$C233,'TL06'!$J$10:$J$224),0),
IF('TL06'!$B$229=L$3,SUMIF('TL06'!$C$238:$C$451,$C233,'TL06'!$J$238:$J$451),0),
IF('TL07'!$B$3=L$3,SUMIF('TL07'!$C$10:$C$224,$C233,'TL07'!$J$10:$J$224),0),
IF('TL07'!$B$229=L$3,SUMIF('TL07'!$C$238:$C$451,$C233,'TL07'!$J$238:$J$451),0),
IF('TL08'!$B$3=L$3,SUMIF('TL08'!$C$10:$C$224,$C233,'TL08'!$J$10:$J$224),0),
IF('TL08'!$B$229=L$3,SUMIF('TL08'!$C$238:$C$451,$C233,'TL08'!$J$238:$J$451),0),
IF('TL09'!$B$3=L$3,SUMIF('TL09'!$C$10:$C$224,$C233,'TL09'!$J$10:$J$224),0),
IF('TL09'!$B$229=L$3,SUMIF('TL09'!$C$238:$C$451,$C233,'TL09'!$J$238:$J$451),0),
IF('TL10'!$B$3=L$3,SUMIF('TL10'!$C$10:$C$224,$C233,'TL10'!$J$10:$J$224),0),
IF('TL10'!$B$229=L$3,SUMIF('TL10'!$C$238:$C$451,$C233,'TL10'!$J$238:$J$451),0),
IF('TL11'!$B$3=L$3,SUMIF('TL11'!$C$10:$C$224,$C233,'TL11'!$J$10:$J$224),0),
IF('TL11'!$B$229=L$3,SUMIF('TL11'!$C$238:$C$451,$C233,'TL11'!$J$238:$J$451),0),
IF('TL12'!$B$3=L$3,SUMIF('TL12'!$C$10:$C$224,$C233,'TL12'!$J$10:$J$224),0),
IF('TL12'!$B$229=L$3,SUMIF('TL12'!$C$238:$C$451,$C233,'TL12'!$J$238:$J$451),0),
IF('TL13'!$B$3=L$3,SUMIF('TL13'!$C$10:$C$224,$C233,'TL13'!$J$10:$J$224),0),
IF('TL13'!$B$229=L$3,SUMIF('TL13'!$C$238:$C$451,$C233,'TL13'!$J$238:$J$451),0),
IF('TL14'!$B$3=L$3,SUMIF('TL14'!$C$10:$C$224,$C233,'TL14'!$J$10:$J$224),0),
IF('TL14'!$B$229=L$3,SUMIF('TL14'!$C$238:$C$451,$C233,'TL14'!$J$238:$J$451),0),
IF('TL15'!$B$3=L$3,SUMIF('TL15'!$C$10:$C$224,$C233,'TL15'!$J$10:$J$224),0),
IF('TL15'!$B$229=L$3,SUMIF('TL15'!$C$238:$C$451,$C233,'TL15'!$J$238:$J$451),0),
IF('TL16'!$B$3=L$3,SUMIF('TL16'!$C$10:$C$224,$C233,'TL16'!$J$10:$J$224),0),
IF('TL16'!$B$229=L$3,SUMIF('TL16'!$C$238:$C$451,$C233,'TL16'!$J$238:$J$451),0),
IF('TL17'!$B$3=L$3,SUMIF('TL17'!$C$10:$C$224,$C233,'TL17'!$J$10:$J$224),0),
IF('TL17'!$B$229=L$3,SUMIF('TL17'!$C$238:$C$451,$C233,'TL17'!$J$238:$J$451),0),
IF('TL18'!$B$3=L$3,SUMIF('TL18'!$C$10:$C$224,$C233,'TL18'!$J$10:$J$224),0),
IF('TL18'!$B$229=L$3,SUMIF('TL18'!$C$238:$C$451,$C233,'TL18'!$J$238:$J$451),0),
IF('TL19'!$B$3=L$3,SUMIF('TL19'!$C$10:$C$224,$C233,'TL19'!$J$10:$J$224),0),
IF('TL19'!$B$229=L$3,SUMIF('TL19'!$C$238:$C$451,$C233,'TL19'!$J$238:$J$451),0)
),0)</f>
        <v>44</v>
      </c>
      <c r="M233" s="9">
        <f>IFERROR(SUM(
IF('TL01'!$B$3=M$3,SUMIF('TL01'!$C$10:$C$224,$C233,'TL01'!$J$10:$J$224),0),
IF('TL01'!$B$229=M$3,SUMIF('TL01'!$C$238:$C$451,$C233,'TL01'!$J$238:$J$451),0),
IF('TL02'!$B$3=M$3,SUMIF('TL02'!$C$10:$C$224,$C233,'TL02'!$J$10:$J$224),0),
IF('TL02'!$B$229=M$3,SUMIF('TL02'!$C$238:$C$451,$C233,'TL02'!$J$238:$J$451),0),
IF('TL03'!$B$3=M$3,SUMIF('TL03'!$C$10:$C$224,$C233,'TL03'!$J$10:$J$224),0),
IF('TL03'!$B$229=M$3,SUMIF('TL03'!$C$238:$C$451,$C233,'TL03'!$J$238:$J$451),0),
IF('TL04'!$B$3=M$3,SUMIF('TL04'!$C$10:$C$224,$C233,'TL04'!$J$10:$J$224),0),
IF('TL04'!$B$229=M$3,SUMIF('TL04'!$C$238:$C$451,$C233,'TL04'!$J$238:$J$451),0),
IF('TL05'!$B$3=M$3,SUMIF('TL05'!$C$10:$C$224,$C233,'TL05'!$J$10:$J$224),0),
IF('TL05'!$B$229=M$3,SUMIF('TL05'!$C$238:$C$451,$C233,'TL05'!$J$238:$J$451),0),
IF('TL06'!$B$3=M$3,SUMIF('TL06'!$C$10:$C$224,$C233,'TL06'!$J$10:$J$224),0),
IF('TL06'!$B$229=M$3,SUMIF('TL06'!$C$238:$C$451,$C233,'TL06'!$J$238:$J$451),0),
IF('TL07'!$B$3=M$3,SUMIF('TL07'!$C$10:$C$224,$C233,'TL07'!$J$10:$J$224),0),
IF('TL07'!$B$229=M$3,SUMIF('TL07'!$C$238:$C$451,$C233,'TL07'!$J$238:$J$451),0),
IF('TL08'!$B$3=M$3,SUMIF('TL08'!$C$10:$C$224,$C233,'TL08'!$J$10:$J$224),0),
IF('TL08'!$B$229=M$3,SUMIF('TL08'!$C$238:$C$451,$C233,'TL08'!$J$238:$J$451),0),
IF('TL09'!$B$3=M$3,SUMIF('TL09'!$C$10:$C$224,$C233,'TL09'!$J$10:$J$224),0),
IF('TL09'!$B$229=M$3,SUMIF('TL09'!$C$238:$C$451,$C233,'TL09'!$J$238:$J$451),0),
IF('TL10'!$B$3=M$3,SUMIF('TL10'!$C$10:$C$224,$C233,'TL10'!$J$10:$J$224),0),
IF('TL10'!$B$229=M$3,SUMIF('TL10'!$C$238:$C$451,$C233,'TL10'!$J$238:$J$451),0),
IF('TL11'!$B$3=M$3,SUMIF('TL11'!$C$10:$C$224,$C233,'TL11'!$J$10:$J$224),0),
IF('TL11'!$B$229=M$3,SUMIF('TL11'!$C$238:$C$451,$C233,'TL11'!$J$238:$J$451),0),
IF('TL12'!$B$3=M$3,SUMIF('TL12'!$C$10:$C$224,$C233,'TL12'!$J$10:$J$224),0),
IF('TL12'!$B$229=M$3,SUMIF('TL12'!$C$238:$C$451,$C233,'TL12'!$J$238:$J$451),0),
IF('TL13'!$B$3=M$3,SUMIF('TL13'!$C$10:$C$224,$C233,'TL13'!$J$10:$J$224),0),
IF('TL13'!$B$229=M$3,SUMIF('TL13'!$C$238:$C$451,$C233,'TL13'!$J$238:$J$451),0),
IF('TL14'!$B$3=M$3,SUMIF('TL14'!$C$10:$C$224,$C233,'TL14'!$J$10:$J$224),0),
IF('TL14'!$B$229=M$3,SUMIF('TL14'!$C$238:$C$451,$C233,'TL14'!$J$238:$J$451),0),
IF('TL15'!$B$3=M$3,SUMIF('TL15'!$C$10:$C$224,$C233,'TL15'!$J$10:$J$224),0),
IF('TL15'!$B$229=M$3,SUMIF('TL15'!$C$238:$C$451,$C233,'TL15'!$J$238:$J$451),0),
IF('TL16'!$B$3=M$3,SUMIF('TL16'!$C$10:$C$224,$C233,'TL16'!$J$10:$J$224),0),
IF('TL16'!$B$229=M$3,SUMIF('TL16'!$C$238:$C$451,$C233,'TL16'!$J$238:$J$451),0),
IF('TL17'!$B$3=M$3,SUMIF('TL17'!$C$10:$C$224,$C233,'TL17'!$J$10:$J$224),0),
IF('TL17'!$B$229=M$3,SUMIF('TL17'!$C$238:$C$451,$C233,'TL17'!$J$238:$J$451),0),
IF('TL18'!$B$3=M$3,SUMIF('TL18'!$C$10:$C$224,$C233,'TL18'!$J$10:$J$224),0),
IF('TL18'!$B$229=M$3,SUMIF('TL18'!$C$238:$C$451,$C233,'TL18'!$J$238:$J$451),0),
IF('TL19'!$B$3=M$3,SUMIF('TL19'!$C$10:$C$224,$C233,'TL19'!$J$10:$J$224),0),
IF('TL19'!$B$229=M$3,SUMIF('TL19'!$C$238:$C$451,$C233,'TL19'!$J$238:$J$451),0)
),0)</f>
        <v>0</v>
      </c>
      <c r="N233" s="9">
        <f>IFERROR(SUM(
IF('TL01'!$B$3=N$3,SUMIF('TL01'!$C$10:$C$224,$C233,'TL01'!$J$10:$J$224),0),
IF('TL01'!$B$229=N$3,SUMIF('TL01'!$C$238:$C$451,$C233,'TL01'!$J$238:$J$451),0),
IF('TL02'!$B$3=N$3,SUMIF('TL02'!$C$10:$C$224,$C233,'TL02'!$J$10:$J$224),0),
IF('TL02'!$B$229=N$3,SUMIF('TL02'!$C$238:$C$451,$C233,'TL02'!$J$238:$J$451),0),
IF('TL03'!$B$3=N$3,SUMIF('TL03'!$C$10:$C$224,$C233,'TL03'!$J$10:$J$224),0),
IF('TL03'!$B$229=N$3,SUMIF('TL03'!$C$238:$C$451,$C233,'TL03'!$J$238:$J$451),0),
IF('TL04'!$B$3=N$3,SUMIF('TL04'!$C$10:$C$224,$C233,'TL04'!$J$10:$J$224),0),
IF('TL04'!$B$229=N$3,SUMIF('TL04'!$C$238:$C$451,$C233,'TL04'!$J$238:$J$451),0),
IF('TL05'!$B$3=N$3,SUMIF('TL05'!$C$10:$C$224,$C233,'TL05'!$J$10:$J$224),0),
IF('TL05'!$B$229=N$3,SUMIF('TL05'!$C$238:$C$451,$C233,'TL05'!$J$238:$J$451),0),
IF('TL06'!$B$3=N$3,SUMIF('TL06'!$C$10:$C$224,$C233,'TL06'!$J$10:$J$224),0),
IF('TL06'!$B$229=N$3,SUMIF('TL06'!$C$238:$C$451,$C233,'TL06'!$J$238:$J$451),0),
IF('TL07'!$B$3=N$3,SUMIF('TL07'!$C$10:$C$224,$C233,'TL07'!$J$10:$J$224),0),
IF('TL07'!$B$229=N$3,SUMIF('TL07'!$C$238:$C$451,$C233,'TL07'!$J$238:$J$451),0),
IF('TL08'!$B$3=N$3,SUMIF('TL08'!$C$10:$C$224,$C233,'TL08'!$J$10:$J$224),0),
IF('TL08'!$B$229=N$3,SUMIF('TL08'!$C$238:$C$451,$C233,'TL08'!$J$238:$J$451),0),
IF('TL09'!$B$3=N$3,SUMIF('TL09'!$C$10:$C$224,$C233,'TL09'!$J$10:$J$224),0),
IF('TL09'!$B$229=N$3,SUMIF('TL09'!$C$238:$C$451,$C233,'TL09'!$J$238:$J$451),0),
IF('TL10'!$B$3=N$3,SUMIF('TL10'!$C$10:$C$224,$C233,'TL10'!$J$10:$J$224),0),
IF('TL10'!$B$229=N$3,SUMIF('TL10'!$C$238:$C$451,$C233,'TL10'!$J$238:$J$451),0),
IF('TL11'!$B$3=N$3,SUMIF('TL11'!$C$10:$C$224,$C233,'TL11'!$J$10:$J$224),0),
IF('TL11'!$B$229=N$3,SUMIF('TL11'!$C$238:$C$451,$C233,'TL11'!$J$238:$J$451),0),
IF('TL12'!$B$3=N$3,SUMIF('TL12'!$C$10:$C$224,$C233,'TL12'!$J$10:$J$224),0),
IF('TL12'!$B$229=N$3,SUMIF('TL12'!$C$238:$C$451,$C233,'TL12'!$J$238:$J$451),0),
IF('TL13'!$B$3=N$3,SUMIF('TL13'!$C$10:$C$224,$C233,'TL13'!$J$10:$J$224),0),
IF('TL13'!$B$229=N$3,SUMIF('TL13'!$C$238:$C$451,$C233,'TL13'!$J$238:$J$451),0),
IF('TL14'!$B$3=N$3,SUMIF('TL14'!$C$10:$C$224,$C233,'TL14'!$J$10:$J$224),0),
IF('TL14'!$B$229=N$3,SUMIF('TL14'!$C$238:$C$451,$C233,'TL14'!$J$238:$J$451),0),
IF('TL15'!$B$3=N$3,SUMIF('TL15'!$C$10:$C$224,$C233,'TL15'!$J$10:$J$224),0),
IF('TL15'!$B$229=N$3,SUMIF('TL15'!$C$238:$C$451,$C233,'TL15'!$J$238:$J$451),0),
IF('TL16'!$B$3=N$3,SUMIF('TL16'!$C$10:$C$224,$C233,'TL16'!$J$10:$J$224),0),
IF('TL16'!$B$229=N$3,SUMIF('TL16'!$C$238:$C$451,$C233,'TL16'!$J$238:$J$451),0),
IF('TL17'!$B$3=N$3,SUMIF('TL17'!$C$10:$C$224,$C233,'TL17'!$J$10:$J$224),0),
IF('TL17'!$B$229=N$3,SUMIF('TL17'!$C$238:$C$451,$C233,'TL17'!$J$238:$J$451),0),
IF('TL18'!$B$3=N$3,SUMIF('TL18'!$C$10:$C$224,$C233,'TL18'!$J$10:$J$224),0),
IF('TL18'!$B$229=N$3,SUMIF('TL18'!$C$238:$C$451,$C233,'TL18'!$J$238:$J$451),0),
IF('TL19'!$B$3=N$3,SUMIF('TL19'!$C$10:$C$224,$C233,'TL19'!$J$10:$J$224),0),
IF('TL19'!$B$229=N$3,SUMIF('TL19'!$C$238:$C$451,$C233,'TL19'!$J$238:$J$451),0)
),0)</f>
        <v>75.2</v>
      </c>
      <c r="O233" s="9">
        <f>IFERROR(SUM(
IF('TL01'!$B$3=O$3,SUMIF('TL01'!$C$10:$C$224,$C233,'TL01'!$J$10:$J$224),0),
IF('TL01'!$B$229=O$3,SUMIF('TL01'!$C$238:$C$451,$C233,'TL01'!$J$238:$J$451),0),
IF('TL02'!$B$3=O$3,SUMIF('TL02'!$C$10:$C$224,$C233,'TL02'!$J$10:$J$224),0),
IF('TL02'!$B$229=O$3,SUMIF('TL02'!$C$238:$C$451,$C233,'TL02'!$J$238:$J$451),0),
IF('TL03'!$B$3=O$3,SUMIF('TL03'!$C$10:$C$224,$C233,'TL03'!$J$10:$J$224),0),
IF('TL03'!$B$229=O$3,SUMIF('TL03'!$C$238:$C$451,$C233,'TL03'!$J$238:$J$451),0),
IF('TL04'!$B$3=O$3,SUMIF('TL04'!$C$10:$C$224,$C233,'TL04'!$J$10:$J$224),0),
IF('TL04'!$B$229=O$3,SUMIF('TL04'!$C$238:$C$451,$C233,'TL04'!$J$238:$J$451),0),
IF('TL05'!$B$3=O$3,SUMIF('TL05'!$C$10:$C$224,$C233,'TL05'!$J$10:$J$224),0),
IF('TL05'!$B$229=O$3,SUMIF('TL05'!$C$238:$C$451,$C233,'TL05'!$J$238:$J$451),0),
IF('TL06'!$B$3=O$3,SUMIF('TL06'!$C$10:$C$224,$C233,'TL06'!$J$10:$J$224),0),
IF('TL06'!$B$229=O$3,SUMIF('TL06'!$C$238:$C$451,$C233,'TL06'!$J$238:$J$451),0),
IF('TL07'!$B$3=O$3,SUMIF('TL07'!$C$10:$C$224,$C233,'TL07'!$J$10:$J$224),0),
IF('TL07'!$B$229=O$3,SUMIF('TL07'!$C$238:$C$451,$C233,'TL07'!$J$238:$J$451),0),
IF('TL08'!$B$3=O$3,SUMIF('TL08'!$C$10:$C$224,$C233,'TL08'!$J$10:$J$224),0),
IF('TL08'!$B$229=O$3,SUMIF('TL08'!$C$238:$C$451,$C233,'TL08'!$J$238:$J$451),0),
IF('TL09'!$B$3=O$3,SUMIF('TL09'!$C$10:$C$224,$C233,'TL09'!$J$10:$J$224),0),
IF('TL09'!$B$229=O$3,SUMIF('TL09'!$C$238:$C$451,$C233,'TL09'!$J$238:$J$451),0),
IF('TL10'!$B$3=O$3,SUMIF('TL10'!$C$10:$C$224,$C233,'TL10'!$J$10:$J$224),0),
IF('TL10'!$B$229=O$3,SUMIF('TL10'!$C$238:$C$451,$C233,'TL10'!$J$238:$J$451),0),
IF('TL11'!$B$3=O$3,SUMIF('TL11'!$C$10:$C$224,$C233,'TL11'!$J$10:$J$224),0),
IF('TL11'!$B$229=O$3,SUMIF('TL11'!$C$238:$C$451,$C233,'TL11'!$J$238:$J$451),0),
IF('TL12'!$B$3=O$3,SUMIF('TL12'!$C$10:$C$224,$C233,'TL12'!$J$10:$J$224),0),
IF('TL12'!$B$229=O$3,SUMIF('TL12'!$C$238:$C$451,$C233,'TL12'!$J$238:$J$451),0),
IF('TL13'!$B$3=O$3,SUMIF('TL13'!$C$10:$C$224,$C233,'TL13'!$J$10:$J$224),0),
IF('TL13'!$B$229=O$3,SUMIF('TL13'!$C$238:$C$451,$C233,'TL13'!$J$238:$J$451),0),
IF('TL14'!$B$3=O$3,SUMIF('TL14'!$C$10:$C$224,$C233,'TL14'!$J$10:$J$224),0),
IF('TL14'!$B$229=O$3,SUMIF('TL14'!$C$238:$C$451,$C233,'TL14'!$J$238:$J$451),0),
IF('TL15'!$B$3=O$3,SUMIF('TL15'!$C$10:$C$224,$C233,'TL15'!$J$10:$J$224),0),
IF('TL15'!$B$229=O$3,SUMIF('TL15'!$C$238:$C$451,$C233,'TL15'!$J$238:$J$451),0),
IF('TL16'!$B$3=O$3,SUMIF('TL16'!$C$10:$C$224,$C233,'TL16'!$J$10:$J$224),0),
IF('TL16'!$B$229=O$3,SUMIF('TL16'!$C$238:$C$451,$C233,'TL16'!$J$238:$J$451),0),
IF('TL17'!$B$3=O$3,SUMIF('TL17'!$C$10:$C$224,$C233,'TL17'!$J$10:$J$224),0),
IF('TL17'!$B$229=O$3,SUMIF('TL17'!$C$238:$C$451,$C233,'TL17'!$J$238:$J$451),0),
IF('TL18'!$B$3=O$3,SUMIF('TL18'!$C$10:$C$224,$C233,'TL18'!$J$10:$J$224),0),
IF('TL18'!$B$229=O$3,SUMIF('TL18'!$C$238:$C$451,$C233,'TL18'!$J$238:$J$451),0),
IF('TL19'!$B$3=O$3,SUMIF('TL19'!$C$10:$C$224,$C233,'TL19'!$J$10:$J$224),0),
IF('TL19'!$B$229=O$3,SUMIF('TL19'!$C$238:$C$451,$C233,'TL19'!$J$238:$J$451),0)
),0)</f>
        <v>0</v>
      </c>
      <c r="P233" s="9">
        <f>IFERROR(SUM(
IF('TL01'!$B$3=P$3,SUMIF('TL01'!$C$10:$C$224,$C233,'TL01'!$J$10:$J$224),0),
IF('TL01'!$B$229=P$3,SUMIF('TL01'!$C$238:$C$451,$C233,'TL01'!$J$238:$J$451),0),
IF('TL02'!$B$3=P$3,SUMIF('TL02'!$C$10:$C$224,$C233,'TL02'!$J$10:$J$224),0),
IF('TL02'!$B$229=P$3,SUMIF('TL02'!$C$238:$C$451,$C233,'TL02'!$J$238:$J$451),0),
IF('TL03'!$B$3=P$3,SUMIF('TL03'!$C$10:$C$224,$C233,'TL03'!$J$10:$J$224),0),
IF('TL03'!$B$229=P$3,SUMIF('TL03'!$C$238:$C$451,$C233,'TL03'!$J$238:$J$451),0),
IF('TL04'!$B$3=P$3,SUMIF('TL04'!$C$10:$C$224,$C233,'TL04'!$J$10:$J$224),0),
IF('TL04'!$B$229=P$3,SUMIF('TL04'!$C$238:$C$451,$C233,'TL04'!$J$238:$J$451),0),
IF('TL05'!$B$3=P$3,SUMIF('TL05'!$C$10:$C$224,$C233,'TL05'!$J$10:$J$224),0),
IF('TL05'!$B$229=P$3,SUMIF('TL05'!$C$238:$C$451,$C233,'TL05'!$J$238:$J$451),0),
IF('TL06'!$B$3=P$3,SUMIF('TL06'!$C$10:$C$224,$C233,'TL06'!$J$10:$J$224),0),
IF('TL06'!$B$229=P$3,SUMIF('TL06'!$C$238:$C$451,$C233,'TL06'!$J$238:$J$451),0),
IF('TL07'!$B$3=P$3,SUMIF('TL07'!$C$10:$C$224,$C233,'TL07'!$J$10:$J$224),0),
IF('TL07'!$B$229=P$3,SUMIF('TL07'!$C$238:$C$451,$C233,'TL07'!$J$238:$J$451),0),
IF('TL08'!$B$3=P$3,SUMIF('TL08'!$C$10:$C$224,$C233,'TL08'!$J$10:$J$224),0),
IF('TL08'!$B$229=P$3,SUMIF('TL08'!$C$238:$C$451,$C233,'TL08'!$J$238:$J$451),0),
IF('TL09'!$B$3=P$3,SUMIF('TL09'!$C$10:$C$224,$C233,'TL09'!$J$10:$J$224),0),
IF('TL09'!$B$229=P$3,SUMIF('TL09'!$C$238:$C$451,$C233,'TL09'!$J$238:$J$451),0),
IF('TL10'!$B$3=P$3,SUMIF('TL10'!$C$10:$C$224,$C233,'TL10'!$J$10:$J$224),0),
IF('TL10'!$B$229=P$3,SUMIF('TL10'!$C$238:$C$451,$C233,'TL10'!$J$238:$J$451),0),
IF('TL11'!$B$3=P$3,SUMIF('TL11'!$C$10:$C$224,$C233,'TL11'!$J$10:$J$224),0),
IF('TL11'!$B$229=P$3,SUMIF('TL11'!$C$238:$C$451,$C233,'TL11'!$J$238:$J$451),0),
IF('TL12'!$B$3=P$3,SUMIF('TL12'!$C$10:$C$224,$C233,'TL12'!$J$10:$J$224),0),
IF('TL12'!$B$229=P$3,SUMIF('TL12'!$C$238:$C$451,$C233,'TL12'!$J$238:$J$451),0),
IF('TL13'!$B$3=P$3,SUMIF('TL13'!$C$10:$C$224,$C233,'TL13'!$J$10:$J$224),0),
IF('TL13'!$B$229=P$3,SUMIF('TL13'!$C$238:$C$451,$C233,'TL13'!$J$238:$J$451),0),
IF('TL14'!$B$3=P$3,SUMIF('TL14'!$C$10:$C$224,$C233,'TL14'!$J$10:$J$224),0),
IF('TL14'!$B$229=P$3,SUMIF('TL14'!$C$238:$C$451,$C233,'TL14'!$J$238:$J$451),0),
IF('TL15'!$B$3=P$3,SUMIF('TL15'!$C$10:$C$224,$C233,'TL15'!$J$10:$J$224),0),
IF('TL15'!$B$229=P$3,SUMIF('TL15'!$C$238:$C$451,$C233,'TL15'!$J$238:$J$451),0),
IF('TL16'!$B$3=P$3,SUMIF('TL16'!$C$10:$C$224,$C233,'TL16'!$J$10:$J$224),0),
IF('TL16'!$B$229=P$3,SUMIF('TL16'!$C$238:$C$451,$C233,'TL16'!$J$238:$J$451),0),
IF('TL17'!$B$3=P$3,SUMIF('TL17'!$C$10:$C$224,$C233,'TL17'!$J$10:$J$224),0),
IF('TL17'!$B$229=P$3,SUMIF('TL17'!$C$238:$C$451,$C233,'TL17'!$J$238:$J$451),0),
IF('TL18'!$B$3=P$3,SUMIF('TL18'!$C$10:$C$224,$C233,'TL18'!$J$10:$J$224),0),
IF('TL18'!$B$229=P$3,SUMIF('TL18'!$C$238:$C$451,$C233,'TL18'!$J$238:$J$451),0),
IF('TL19'!$B$3=P$3,SUMIF('TL19'!$C$10:$C$224,$C233,'TL19'!$J$10:$J$224),0),
IF('TL19'!$B$229=P$3,SUMIF('TL19'!$C$238:$C$451,$C233,'TL19'!$J$238:$J$451),0)
),0)</f>
        <v>0</v>
      </c>
      <c r="Q233" s="9">
        <f>IFERROR(SUM(
IF('TL01'!$B$3=Q$3,SUMIF('TL01'!$C$10:$C$224,$C233,'TL01'!$J$10:$J$224),0),
IF('TL01'!$B$229=Q$3,SUMIF('TL01'!$C$238:$C$451,$C233,'TL01'!$J$238:$J$451),0),
IF('TL02'!$B$3=Q$3,SUMIF('TL02'!$C$10:$C$224,$C233,'TL02'!$J$10:$J$224),0),
IF('TL02'!$B$229=Q$3,SUMIF('TL02'!$C$238:$C$451,$C233,'TL02'!$J$238:$J$451),0),
IF('TL03'!$B$3=Q$3,SUMIF('TL03'!$C$10:$C$224,$C233,'TL03'!$J$10:$J$224),0),
IF('TL03'!$B$229=Q$3,SUMIF('TL03'!$C$238:$C$451,$C233,'TL03'!$J$238:$J$451),0),
IF('TL04'!$B$3=Q$3,SUMIF('TL04'!$C$10:$C$224,$C233,'TL04'!$J$10:$J$224),0),
IF('TL04'!$B$229=Q$3,SUMIF('TL04'!$C$238:$C$451,$C233,'TL04'!$J$238:$J$451),0),
IF('TL05'!$B$3=Q$3,SUMIF('TL05'!$C$10:$C$224,$C233,'TL05'!$J$10:$J$224),0),
IF('TL05'!$B$229=Q$3,SUMIF('TL05'!$C$238:$C$451,$C233,'TL05'!$J$238:$J$451),0),
IF('TL06'!$B$3=Q$3,SUMIF('TL06'!$C$10:$C$224,$C233,'TL06'!$J$10:$J$224),0),
IF('TL06'!$B$229=Q$3,SUMIF('TL06'!$C$238:$C$451,$C233,'TL06'!$J$238:$J$451),0),
IF('TL07'!$B$3=Q$3,SUMIF('TL07'!$C$10:$C$224,$C233,'TL07'!$J$10:$J$224),0),
IF('TL07'!$B$229=Q$3,SUMIF('TL07'!$C$238:$C$451,$C233,'TL07'!$J$238:$J$451),0),
IF('TL08'!$B$3=Q$3,SUMIF('TL08'!$C$10:$C$224,$C233,'TL08'!$J$10:$J$224),0),
IF('TL08'!$B$229=Q$3,SUMIF('TL08'!$C$238:$C$451,$C233,'TL08'!$J$238:$J$451),0),
IF('TL09'!$B$3=Q$3,SUMIF('TL09'!$C$10:$C$224,$C233,'TL09'!$J$10:$J$224),0),
IF('TL09'!$B$229=Q$3,SUMIF('TL09'!$C$238:$C$451,$C233,'TL09'!$J$238:$J$451),0),
IF('TL10'!$B$3=Q$3,SUMIF('TL10'!$C$10:$C$224,$C233,'TL10'!$J$10:$J$224),0),
IF('TL10'!$B$229=Q$3,SUMIF('TL10'!$C$238:$C$451,$C233,'TL10'!$J$238:$J$451),0),
IF('TL11'!$B$3=Q$3,SUMIF('TL11'!$C$10:$C$224,$C233,'TL11'!$J$10:$J$224),0),
IF('TL11'!$B$229=Q$3,SUMIF('TL11'!$C$238:$C$451,$C233,'TL11'!$J$238:$J$451),0),
IF('TL12'!$B$3=Q$3,SUMIF('TL12'!$C$10:$C$224,$C233,'TL12'!$J$10:$J$224),0),
IF('TL12'!$B$229=Q$3,SUMIF('TL12'!$C$238:$C$451,$C233,'TL12'!$J$238:$J$451),0),
IF('TL13'!$B$3=Q$3,SUMIF('TL13'!$C$10:$C$224,$C233,'TL13'!$J$10:$J$224),0),
IF('TL13'!$B$229=Q$3,SUMIF('TL13'!$C$238:$C$451,$C233,'TL13'!$J$238:$J$451),0),
IF('TL14'!$B$3=Q$3,SUMIF('TL14'!$C$10:$C$224,$C233,'TL14'!$J$10:$J$224),0),
IF('TL14'!$B$229=Q$3,SUMIF('TL14'!$C$238:$C$451,$C233,'TL14'!$J$238:$J$451),0),
IF('TL15'!$B$3=Q$3,SUMIF('TL15'!$C$10:$C$224,$C233,'TL15'!$J$10:$J$224),0),
IF('TL15'!$B$229=Q$3,SUMIF('TL15'!$C$238:$C$451,$C233,'TL15'!$J$238:$J$451),0),
IF('TL16'!$B$3=Q$3,SUMIF('TL16'!$C$10:$C$224,$C233,'TL16'!$J$10:$J$224),0),
IF('TL16'!$B$229=Q$3,SUMIF('TL16'!$C$238:$C$451,$C233,'TL16'!$J$238:$J$451),0),
IF('TL17'!$B$3=Q$3,SUMIF('TL17'!$C$10:$C$224,$C233,'TL17'!$J$10:$J$224),0),
IF('TL17'!$B$229=Q$3,SUMIF('TL17'!$C$238:$C$451,$C233,'TL17'!$J$238:$J$451),0),
IF('TL18'!$B$3=Q$3,SUMIF('TL18'!$C$10:$C$224,$C233,'TL18'!$J$10:$J$224),0),
IF('TL18'!$B$229=Q$3,SUMIF('TL18'!$C$238:$C$451,$C233,'TL18'!$J$238:$J$451),0),
IF('TL19'!$B$3=Q$3,SUMIF('TL19'!$C$10:$C$224,$C233,'TL19'!$J$10:$J$224),0),
IF('TL19'!$B$229=Q$3,SUMIF('TL19'!$C$238:$C$451,$C233,'TL19'!$J$238:$J$451),0)
),0)</f>
        <v>0</v>
      </c>
      <c r="R233" s="9">
        <f>IFERROR(
SUM(
SUMIF('TL01'!C:C,C233,'TL01'!J:J),
SUMIF('TL02'!C:C,C233,'TL02'!J:J),
SUMIF('TL03'!C:C,C233,'TL03'!J:J),
SUMIF('TL04'!C:C,C233,'TL04'!J:J),
SUMIF('TL05'!C:C,C233,'TL05'!J:J),
SUMIF('TL06'!C:C,C233,'TL06'!J:J),
SUMIF('TL07'!C:C,C233,'TL07'!J:J),
SUMIF('TL08'!C:C,C233,'TL08'!J:J),
SUMIF('TL09'!C:C,C233,'TL09'!J:J),
SUMIF('TL10'!C:C,C233,'TL10'!J:J),
SUMIF('TL11'!C:C,C233,'TL11'!J:J),
SUMIF('TL12'!C:C,C233,'TL12'!J:J),
SUMIF('TL13'!C:C,C233,'TL13'!J:J),
SUMIF('TL14'!C:C,C233,'TL14'!J:J),
SUMIF('TL15'!C:C,C233,'TL15'!J:J),
SUMIF('TL16'!C:C,C233,'TL16'!J:J),
SUMIF('TL17'!C:C,C233,'TL17'!J:J),
SUMIF('TL18'!C:C,C233,'TL18'!J:J),SUMIF('TL19'!C:C,C233,'TL19'!J:J))
,0)</f>
        <v>179.2</v>
      </c>
      <c r="S233" s="17">
        <f>IFERROR(__xludf.DUMMYFUNCTION("IFERROR(VLOOKUP(C233,
IMPORTRANGE(""1wULbzX32WdYsx-lj2U3uUNBBe2INVIRDtcK0d-Dvl90"",
""26-27!C:G""),
5,
FALSE),
"""")"),85.76120999999999)</f>
        <v>85.76121</v>
      </c>
      <c r="T233" s="9"/>
      <c r="U233" s="92">
        <f t="shared" si="2"/>
        <v>179.2</v>
      </c>
      <c r="V233" s="93">
        <f t="shared" si="3"/>
        <v>15368.40883</v>
      </c>
    </row>
    <row r="234" ht="15.75" hidden="1" customHeight="1">
      <c r="A234" s="87" t="s">
        <v>358</v>
      </c>
      <c r="B234" s="88" t="s">
        <v>2</v>
      </c>
      <c r="C234" s="89" t="s">
        <v>884</v>
      </c>
      <c r="D234" s="89" t="s">
        <v>885</v>
      </c>
      <c r="E234" s="89">
        <v>250.0</v>
      </c>
      <c r="F234" s="4" t="s">
        <v>343</v>
      </c>
      <c r="G234" s="90" t="str">
        <f t="shared" si="4"/>
        <v>📄 Ver bula</v>
      </c>
      <c r="H234" s="9">
        <f>IFERROR(__xludf.DUMMYFUNCTION("IFERROR(VLOOKUP(C234,
IMPORTRANGE(""1wULbzX32WdYsx-lj2U3uUNBBe2INVIRDtcK0d-Dvl90"",
""26-27!C:K""),
8,
FALSE),
"""")"),0.15)</f>
        <v>0.15</v>
      </c>
      <c r="I234" s="91" t="s">
        <v>344</v>
      </c>
      <c r="J234" s="9">
        <f>IFERROR(SUM(
IF('TL01'!$B$3=J$3,SUMIF('TL01'!$C$10:$C$224,$C234,'TL01'!$J$10:$J$224),0),
IF('TL01'!$B$229=J$3,SUMIF('TL01'!$C$238:$C$451,$C234,'TL01'!$J$238:$J$451),0),
IF('TL02'!$B$3=J$3,SUMIF('TL02'!$C$10:$C$224,$C234,'TL02'!$J$10:$J$224),0),
IF('TL02'!$B$229=J$3,SUMIF('TL02'!$C$238:$C$451,$C234,'TL02'!$J$238:$J$451),0),
IF('TL03'!$B$3=J$3,SUMIF('TL03'!$C$10:$C$224,$C234,'TL03'!$J$10:$J$224),0),
IF('TL03'!$B$229=J$3,SUMIF('TL03'!$C$238:$C$451,$C234,'TL03'!$J$238:$J$451),0),
IF('TL04'!$B$3=J$3,SUMIF('TL04'!$C$10:$C$224,$C234,'TL04'!$J$10:$J$224),0),
IF('TL04'!$B$229=J$3,SUMIF('TL04'!$C$238:$C$451,$C234,'TL04'!$J$238:$J$451),0),
IF('TL05'!$B$3=J$3,SUMIF('TL05'!$C$10:$C$224,$C234,'TL05'!$J$10:$J$224),0),
IF('TL05'!$B$229=J$3,SUMIF('TL05'!$C$238:$C$451,$C234,'TL05'!$J$238:$J$451),0),
IF('TL06'!$B$3=J$3,SUMIF('TL06'!$C$10:$C$224,$C234,'TL06'!$J$10:$J$224),0),
IF('TL06'!$B$229=J$3,SUMIF('TL06'!$C$238:$C$451,$C234,'TL06'!$J$238:$J$451),0),
IF('TL07'!$B$3=J$3,SUMIF('TL07'!$C$10:$C$224,$C234,'TL07'!$J$10:$J$224),0),
IF('TL07'!$B$229=J$3,SUMIF('TL07'!$C$238:$C$451,$C234,'TL07'!$J$238:$J$451),0),
IF('TL08'!$B$3=J$3,SUMIF('TL08'!$C$10:$C$224,$C234,'TL08'!$J$10:$J$224),0),
IF('TL08'!$B$229=J$3,SUMIF('TL08'!$C$238:$C$451,$C234,'TL08'!$J$238:$J$451),0),
IF('TL09'!$B$3=J$3,SUMIF('TL09'!$C$10:$C$224,$C234,'TL09'!$J$10:$J$224),0),
IF('TL09'!$B$229=J$3,SUMIF('TL09'!$C$238:$C$451,$C234,'TL09'!$J$238:$J$451),0),
IF('TL10'!$B$3=J$3,SUMIF('TL10'!$C$10:$C$224,$C234,'TL10'!$J$10:$J$224),0),
IF('TL10'!$B$229=J$3,SUMIF('TL10'!$C$238:$C$451,$C234,'TL10'!$J$238:$J$451),0),
IF('TL11'!$B$3=J$3,SUMIF('TL11'!$C$10:$C$224,$C234,'TL11'!$J$10:$J$224),0),
IF('TL11'!$B$229=J$3,SUMIF('TL11'!$C$238:$C$451,$C234,'TL11'!$J$238:$J$451),0),
IF('TL12'!$B$3=J$3,SUMIF('TL12'!$C$10:$C$224,$C234,'TL12'!$J$10:$J$224),0),
IF('TL12'!$B$229=J$3,SUMIF('TL12'!$C$238:$C$451,$C234,'TL12'!$J$238:$J$451),0),
IF('TL13'!$B$3=J$3,SUMIF('TL13'!$C$10:$C$224,$C234,'TL13'!$J$10:$J$224),0),
IF('TL13'!$B$229=J$3,SUMIF('TL13'!$C$238:$C$451,$C234,'TL13'!$J$238:$J$451),0),
IF('TL14'!$B$3=J$3,SUMIF('TL14'!$C$10:$C$224,$C234,'TL14'!$J$10:$J$224),0),
IF('TL14'!$B$229=J$3,SUMIF('TL14'!$C$238:$C$451,$C234,'TL14'!$J$238:$J$451),0),
IF('TL15'!$B$3=J$3,SUMIF('TL15'!$C$10:$C$224,$C234,'TL15'!$J$10:$J$224),0),
IF('TL15'!$B$229=J$3,SUMIF('TL15'!$C$238:$C$451,$C234,'TL15'!$J$238:$J$451),0),
IF('TL16'!$B$3=J$3,SUMIF('TL16'!$C$10:$C$224,$C234,'TL16'!$J$10:$J$224),0),
IF('TL16'!$B$229=J$3,SUMIF('TL16'!$C$238:$C$451,$C234,'TL16'!$J$238:$J$451),0),
IF('TL17'!$B$3=J$3,SUMIF('TL17'!$C$10:$C$224,$C234,'TL17'!$J$10:$J$224),0),
IF('TL17'!$B$229=J$3,SUMIF('TL17'!$C$238:$C$451,$C234,'TL17'!$J$238:$J$451),0),
IF('TL18'!$B$3=J$3,SUMIF('TL18'!$C$10:$C$224,$C234,'TL18'!$J$10:$J$224),0),
IF('TL18'!$B$229=J$3,SUMIF('TL18'!$C$238:$C$451,$C234,'TL18'!$J$238:$J$451),0),
IF('TL19'!$B$3=J$3,SUMIF('TL19'!$C$10:$C$224,$C234,'TL19'!$J$10:$J$224),0),
IF('TL19'!$B$229=J$3,SUMIF('TL19'!$C$238:$C$451,$C234,'TL19'!$J$238:$J$451),0)
),0)</f>
        <v>0</v>
      </c>
      <c r="K234" s="9">
        <f>IFERROR(SUM(
IF('TL01'!$B$3=K$3,SUMIF('TL01'!$C$10:$C$224,$C234,'TL01'!$J$10:$J$224),0),
IF('TL01'!$B$229=K$3,SUMIF('TL01'!$C$238:$C$451,$C234,'TL01'!$J$238:$J$451),0),
IF('TL02'!$B$3=K$3,SUMIF('TL02'!$C$10:$C$224,$C234,'TL02'!$J$10:$J$224),0),
IF('TL02'!$B$229=K$3,SUMIF('TL02'!$C$238:$C$451,$C234,'TL02'!$J$238:$J$451),0),
IF('TL03'!$B$3=K$3,SUMIF('TL03'!$C$10:$C$224,$C234,'TL03'!$J$10:$J$224),0),
IF('TL03'!$B$229=K$3,SUMIF('TL03'!$C$238:$C$451,$C234,'TL03'!$J$238:$J$451),0),
IF('TL04'!$B$3=K$3,SUMIF('TL04'!$C$10:$C$224,$C234,'TL04'!$J$10:$J$224),0),
IF('TL04'!$B$229=K$3,SUMIF('TL04'!$C$238:$C$451,$C234,'TL04'!$J$238:$J$451),0),
IF('TL05'!$B$3=K$3,SUMIF('TL05'!$C$10:$C$224,$C234,'TL05'!$J$10:$J$224),0),
IF('TL05'!$B$229=K$3,SUMIF('TL05'!$C$238:$C$451,$C234,'TL05'!$J$238:$J$451),0),
IF('TL06'!$B$3=K$3,SUMIF('TL06'!$C$10:$C$224,$C234,'TL06'!$J$10:$J$224),0),
IF('TL06'!$B$229=K$3,SUMIF('TL06'!$C$238:$C$451,$C234,'TL06'!$J$238:$J$451),0),
IF('TL07'!$B$3=K$3,SUMIF('TL07'!$C$10:$C$224,$C234,'TL07'!$J$10:$J$224),0),
IF('TL07'!$B$229=K$3,SUMIF('TL07'!$C$238:$C$451,$C234,'TL07'!$J$238:$J$451),0),
IF('TL08'!$B$3=K$3,SUMIF('TL08'!$C$10:$C$224,$C234,'TL08'!$J$10:$J$224),0),
IF('TL08'!$B$229=K$3,SUMIF('TL08'!$C$238:$C$451,$C234,'TL08'!$J$238:$J$451),0),
IF('TL09'!$B$3=K$3,SUMIF('TL09'!$C$10:$C$224,$C234,'TL09'!$J$10:$J$224),0),
IF('TL09'!$B$229=K$3,SUMIF('TL09'!$C$238:$C$451,$C234,'TL09'!$J$238:$J$451),0),
IF('TL10'!$B$3=K$3,SUMIF('TL10'!$C$10:$C$224,$C234,'TL10'!$J$10:$J$224),0),
IF('TL10'!$B$229=K$3,SUMIF('TL10'!$C$238:$C$451,$C234,'TL10'!$J$238:$J$451),0),
IF('TL11'!$B$3=K$3,SUMIF('TL11'!$C$10:$C$224,$C234,'TL11'!$J$10:$J$224),0),
IF('TL11'!$B$229=K$3,SUMIF('TL11'!$C$238:$C$451,$C234,'TL11'!$J$238:$J$451),0),
IF('TL12'!$B$3=K$3,SUMIF('TL12'!$C$10:$C$224,$C234,'TL12'!$J$10:$J$224),0),
IF('TL12'!$B$229=K$3,SUMIF('TL12'!$C$238:$C$451,$C234,'TL12'!$J$238:$J$451),0),
IF('TL13'!$B$3=K$3,SUMIF('TL13'!$C$10:$C$224,$C234,'TL13'!$J$10:$J$224),0),
IF('TL13'!$B$229=K$3,SUMIF('TL13'!$C$238:$C$451,$C234,'TL13'!$J$238:$J$451),0),
IF('TL14'!$B$3=K$3,SUMIF('TL14'!$C$10:$C$224,$C234,'TL14'!$J$10:$J$224),0),
IF('TL14'!$B$229=K$3,SUMIF('TL14'!$C$238:$C$451,$C234,'TL14'!$J$238:$J$451),0),
IF('TL15'!$B$3=K$3,SUMIF('TL15'!$C$10:$C$224,$C234,'TL15'!$J$10:$J$224),0),
IF('TL15'!$B$229=K$3,SUMIF('TL15'!$C$238:$C$451,$C234,'TL15'!$J$238:$J$451),0),
IF('TL16'!$B$3=K$3,SUMIF('TL16'!$C$10:$C$224,$C234,'TL16'!$J$10:$J$224),0),
IF('TL16'!$B$229=K$3,SUMIF('TL16'!$C$238:$C$451,$C234,'TL16'!$J$238:$J$451),0),
IF('TL17'!$B$3=K$3,SUMIF('TL17'!$C$10:$C$224,$C234,'TL17'!$J$10:$J$224),0),
IF('TL17'!$B$229=K$3,SUMIF('TL17'!$C$238:$C$451,$C234,'TL17'!$J$238:$J$451),0),
IF('TL18'!$B$3=K$3,SUMIF('TL18'!$C$10:$C$224,$C234,'TL18'!$J$10:$J$224),0),
IF('TL18'!$B$229=K$3,SUMIF('TL18'!$C$238:$C$451,$C234,'TL18'!$J$238:$J$451),0),
IF('TL19'!$B$3=K$3,SUMIF('TL19'!$C$10:$C$224,$C234,'TL19'!$J$10:$J$224),0),
IF('TL19'!$B$229=K$3,SUMIF('TL19'!$C$238:$C$451,$C234,'TL19'!$J$238:$J$451),0)
),0)</f>
        <v>0</v>
      </c>
      <c r="L234" s="9">
        <f>IFERROR(SUM(
IF('TL01'!$B$3=L$3,SUMIF('TL01'!$C$10:$C$224,$C234,'TL01'!$J$10:$J$224),0),
IF('TL01'!$B$229=L$3,SUMIF('TL01'!$C$238:$C$451,$C234,'TL01'!$J$238:$J$451),0),
IF('TL02'!$B$3=L$3,SUMIF('TL02'!$C$10:$C$224,$C234,'TL02'!$J$10:$J$224),0),
IF('TL02'!$B$229=L$3,SUMIF('TL02'!$C$238:$C$451,$C234,'TL02'!$J$238:$J$451),0),
IF('TL03'!$B$3=L$3,SUMIF('TL03'!$C$10:$C$224,$C234,'TL03'!$J$10:$J$224),0),
IF('TL03'!$B$229=L$3,SUMIF('TL03'!$C$238:$C$451,$C234,'TL03'!$J$238:$J$451),0),
IF('TL04'!$B$3=L$3,SUMIF('TL04'!$C$10:$C$224,$C234,'TL04'!$J$10:$J$224),0),
IF('TL04'!$B$229=L$3,SUMIF('TL04'!$C$238:$C$451,$C234,'TL04'!$J$238:$J$451),0),
IF('TL05'!$B$3=L$3,SUMIF('TL05'!$C$10:$C$224,$C234,'TL05'!$J$10:$J$224),0),
IF('TL05'!$B$229=L$3,SUMIF('TL05'!$C$238:$C$451,$C234,'TL05'!$J$238:$J$451),0),
IF('TL06'!$B$3=L$3,SUMIF('TL06'!$C$10:$C$224,$C234,'TL06'!$J$10:$J$224),0),
IF('TL06'!$B$229=L$3,SUMIF('TL06'!$C$238:$C$451,$C234,'TL06'!$J$238:$J$451),0),
IF('TL07'!$B$3=L$3,SUMIF('TL07'!$C$10:$C$224,$C234,'TL07'!$J$10:$J$224),0),
IF('TL07'!$B$229=L$3,SUMIF('TL07'!$C$238:$C$451,$C234,'TL07'!$J$238:$J$451),0),
IF('TL08'!$B$3=L$3,SUMIF('TL08'!$C$10:$C$224,$C234,'TL08'!$J$10:$J$224),0),
IF('TL08'!$B$229=L$3,SUMIF('TL08'!$C$238:$C$451,$C234,'TL08'!$J$238:$J$451),0),
IF('TL09'!$B$3=L$3,SUMIF('TL09'!$C$10:$C$224,$C234,'TL09'!$J$10:$J$224),0),
IF('TL09'!$B$229=L$3,SUMIF('TL09'!$C$238:$C$451,$C234,'TL09'!$J$238:$J$451),0),
IF('TL10'!$B$3=L$3,SUMIF('TL10'!$C$10:$C$224,$C234,'TL10'!$J$10:$J$224),0),
IF('TL10'!$B$229=L$3,SUMIF('TL10'!$C$238:$C$451,$C234,'TL10'!$J$238:$J$451),0),
IF('TL11'!$B$3=L$3,SUMIF('TL11'!$C$10:$C$224,$C234,'TL11'!$J$10:$J$224),0),
IF('TL11'!$B$229=L$3,SUMIF('TL11'!$C$238:$C$451,$C234,'TL11'!$J$238:$J$451),0),
IF('TL12'!$B$3=L$3,SUMIF('TL12'!$C$10:$C$224,$C234,'TL12'!$J$10:$J$224),0),
IF('TL12'!$B$229=L$3,SUMIF('TL12'!$C$238:$C$451,$C234,'TL12'!$J$238:$J$451),0),
IF('TL13'!$B$3=L$3,SUMIF('TL13'!$C$10:$C$224,$C234,'TL13'!$J$10:$J$224),0),
IF('TL13'!$B$229=L$3,SUMIF('TL13'!$C$238:$C$451,$C234,'TL13'!$J$238:$J$451),0),
IF('TL14'!$B$3=L$3,SUMIF('TL14'!$C$10:$C$224,$C234,'TL14'!$J$10:$J$224),0),
IF('TL14'!$B$229=L$3,SUMIF('TL14'!$C$238:$C$451,$C234,'TL14'!$J$238:$J$451),0),
IF('TL15'!$B$3=L$3,SUMIF('TL15'!$C$10:$C$224,$C234,'TL15'!$J$10:$J$224),0),
IF('TL15'!$B$229=L$3,SUMIF('TL15'!$C$238:$C$451,$C234,'TL15'!$J$238:$J$451),0),
IF('TL16'!$B$3=L$3,SUMIF('TL16'!$C$10:$C$224,$C234,'TL16'!$J$10:$J$224),0),
IF('TL16'!$B$229=L$3,SUMIF('TL16'!$C$238:$C$451,$C234,'TL16'!$J$238:$J$451),0),
IF('TL17'!$B$3=L$3,SUMIF('TL17'!$C$10:$C$224,$C234,'TL17'!$J$10:$J$224),0),
IF('TL17'!$B$229=L$3,SUMIF('TL17'!$C$238:$C$451,$C234,'TL17'!$J$238:$J$451),0),
IF('TL18'!$B$3=L$3,SUMIF('TL18'!$C$10:$C$224,$C234,'TL18'!$J$10:$J$224),0),
IF('TL18'!$B$229=L$3,SUMIF('TL18'!$C$238:$C$451,$C234,'TL18'!$J$238:$J$451),0),
IF('TL19'!$B$3=L$3,SUMIF('TL19'!$C$10:$C$224,$C234,'TL19'!$J$10:$J$224),0),
IF('TL19'!$B$229=L$3,SUMIF('TL19'!$C$238:$C$451,$C234,'TL19'!$J$238:$J$451),0)
),0)</f>
        <v>0</v>
      </c>
      <c r="M234" s="9">
        <f>IFERROR(SUM(
IF('TL01'!$B$3=M$3,SUMIF('TL01'!$C$10:$C$224,$C234,'TL01'!$J$10:$J$224),0),
IF('TL01'!$B$229=M$3,SUMIF('TL01'!$C$238:$C$451,$C234,'TL01'!$J$238:$J$451),0),
IF('TL02'!$B$3=M$3,SUMIF('TL02'!$C$10:$C$224,$C234,'TL02'!$J$10:$J$224),0),
IF('TL02'!$B$229=M$3,SUMIF('TL02'!$C$238:$C$451,$C234,'TL02'!$J$238:$J$451),0),
IF('TL03'!$B$3=M$3,SUMIF('TL03'!$C$10:$C$224,$C234,'TL03'!$J$10:$J$224),0),
IF('TL03'!$B$229=M$3,SUMIF('TL03'!$C$238:$C$451,$C234,'TL03'!$J$238:$J$451),0),
IF('TL04'!$B$3=M$3,SUMIF('TL04'!$C$10:$C$224,$C234,'TL04'!$J$10:$J$224),0),
IF('TL04'!$B$229=M$3,SUMIF('TL04'!$C$238:$C$451,$C234,'TL04'!$J$238:$J$451),0),
IF('TL05'!$B$3=M$3,SUMIF('TL05'!$C$10:$C$224,$C234,'TL05'!$J$10:$J$224),0),
IF('TL05'!$B$229=M$3,SUMIF('TL05'!$C$238:$C$451,$C234,'TL05'!$J$238:$J$451),0),
IF('TL06'!$B$3=M$3,SUMIF('TL06'!$C$10:$C$224,$C234,'TL06'!$J$10:$J$224),0),
IF('TL06'!$B$229=M$3,SUMIF('TL06'!$C$238:$C$451,$C234,'TL06'!$J$238:$J$451),0),
IF('TL07'!$B$3=M$3,SUMIF('TL07'!$C$10:$C$224,$C234,'TL07'!$J$10:$J$224),0),
IF('TL07'!$B$229=M$3,SUMIF('TL07'!$C$238:$C$451,$C234,'TL07'!$J$238:$J$451),0),
IF('TL08'!$B$3=M$3,SUMIF('TL08'!$C$10:$C$224,$C234,'TL08'!$J$10:$J$224),0),
IF('TL08'!$B$229=M$3,SUMIF('TL08'!$C$238:$C$451,$C234,'TL08'!$J$238:$J$451),0),
IF('TL09'!$B$3=M$3,SUMIF('TL09'!$C$10:$C$224,$C234,'TL09'!$J$10:$J$224),0),
IF('TL09'!$B$229=M$3,SUMIF('TL09'!$C$238:$C$451,$C234,'TL09'!$J$238:$J$451),0),
IF('TL10'!$B$3=M$3,SUMIF('TL10'!$C$10:$C$224,$C234,'TL10'!$J$10:$J$224),0),
IF('TL10'!$B$229=M$3,SUMIF('TL10'!$C$238:$C$451,$C234,'TL10'!$J$238:$J$451),0),
IF('TL11'!$B$3=M$3,SUMIF('TL11'!$C$10:$C$224,$C234,'TL11'!$J$10:$J$224),0),
IF('TL11'!$B$229=M$3,SUMIF('TL11'!$C$238:$C$451,$C234,'TL11'!$J$238:$J$451),0),
IF('TL12'!$B$3=M$3,SUMIF('TL12'!$C$10:$C$224,$C234,'TL12'!$J$10:$J$224),0),
IF('TL12'!$B$229=M$3,SUMIF('TL12'!$C$238:$C$451,$C234,'TL12'!$J$238:$J$451),0),
IF('TL13'!$B$3=M$3,SUMIF('TL13'!$C$10:$C$224,$C234,'TL13'!$J$10:$J$224),0),
IF('TL13'!$B$229=M$3,SUMIF('TL13'!$C$238:$C$451,$C234,'TL13'!$J$238:$J$451),0),
IF('TL14'!$B$3=M$3,SUMIF('TL14'!$C$10:$C$224,$C234,'TL14'!$J$10:$J$224),0),
IF('TL14'!$B$229=M$3,SUMIF('TL14'!$C$238:$C$451,$C234,'TL14'!$J$238:$J$451),0),
IF('TL15'!$B$3=M$3,SUMIF('TL15'!$C$10:$C$224,$C234,'TL15'!$J$10:$J$224),0),
IF('TL15'!$B$229=M$3,SUMIF('TL15'!$C$238:$C$451,$C234,'TL15'!$J$238:$J$451),0),
IF('TL16'!$B$3=M$3,SUMIF('TL16'!$C$10:$C$224,$C234,'TL16'!$J$10:$J$224),0),
IF('TL16'!$B$229=M$3,SUMIF('TL16'!$C$238:$C$451,$C234,'TL16'!$J$238:$J$451),0),
IF('TL17'!$B$3=M$3,SUMIF('TL17'!$C$10:$C$224,$C234,'TL17'!$J$10:$J$224),0),
IF('TL17'!$B$229=M$3,SUMIF('TL17'!$C$238:$C$451,$C234,'TL17'!$J$238:$J$451),0),
IF('TL18'!$B$3=M$3,SUMIF('TL18'!$C$10:$C$224,$C234,'TL18'!$J$10:$J$224),0),
IF('TL18'!$B$229=M$3,SUMIF('TL18'!$C$238:$C$451,$C234,'TL18'!$J$238:$J$451),0),
IF('TL19'!$B$3=M$3,SUMIF('TL19'!$C$10:$C$224,$C234,'TL19'!$J$10:$J$224),0),
IF('TL19'!$B$229=M$3,SUMIF('TL19'!$C$238:$C$451,$C234,'TL19'!$J$238:$J$451),0)
),0)</f>
        <v>0</v>
      </c>
      <c r="N234" s="9">
        <f>IFERROR(SUM(
IF('TL01'!$B$3=N$3,SUMIF('TL01'!$C$10:$C$224,$C234,'TL01'!$J$10:$J$224),0),
IF('TL01'!$B$229=N$3,SUMIF('TL01'!$C$238:$C$451,$C234,'TL01'!$J$238:$J$451),0),
IF('TL02'!$B$3=N$3,SUMIF('TL02'!$C$10:$C$224,$C234,'TL02'!$J$10:$J$224),0),
IF('TL02'!$B$229=N$3,SUMIF('TL02'!$C$238:$C$451,$C234,'TL02'!$J$238:$J$451),0),
IF('TL03'!$B$3=N$3,SUMIF('TL03'!$C$10:$C$224,$C234,'TL03'!$J$10:$J$224),0),
IF('TL03'!$B$229=N$3,SUMIF('TL03'!$C$238:$C$451,$C234,'TL03'!$J$238:$J$451),0),
IF('TL04'!$B$3=N$3,SUMIF('TL04'!$C$10:$C$224,$C234,'TL04'!$J$10:$J$224),0),
IF('TL04'!$B$229=N$3,SUMIF('TL04'!$C$238:$C$451,$C234,'TL04'!$J$238:$J$451),0),
IF('TL05'!$B$3=N$3,SUMIF('TL05'!$C$10:$C$224,$C234,'TL05'!$J$10:$J$224),0),
IF('TL05'!$B$229=N$3,SUMIF('TL05'!$C$238:$C$451,$C234,'TL05'!$J$238:$J$451),0),
IF('TL06'!$B$3=N$3,SUMIF('TL06'!$C$10:$C$224,$C234,'TL06'!$J$10:$J$224),0),
IF('TL06'!$B$229=N$3,SUMIF('TL06'!$C$238:$C$451,$C234,'TL06'!$J$238:$J$451),0),
IF('TL07'!$B$3=N$3,SUMIF('TL07'!$C$10:$C$224,$C234,'TL07'!$J$10:$J$224),0),
IF('TL07'!$B$229=N$3,SUMIF('TL07'!$C$238:$C$451,$C234,'TL07'!$J$238:$J$451),0),
IF('TL08'!$B$3=N$3,SUMIF('TL08'!$C$10:$C$224,$C234,'TL08'!$J$10:$J$224),0),
IF('TL08'!$B$229=N$3,SUMIF('TL08'!$C$238:$C$451,$C234,'TL08'!$J$238:$J$451),0),
IF('TL09'!$B$3=N$3,SUMIF('TL09'!$C$10:$C$224,$C234,'TL09'!$J$10:$J$224),0),
IF('TL09'!$B$229=N$3,SUMIF('TL09'!$C$238:$C$451,$C234,'TL09'!$J$238:$J$451),0),
IF('TL10'!$B$3=N$3,SUMIF('TL10'!$C$10:$C$224,$C234,'TL10'!$J$10:$J$224),0),
IF('TL10'!$B$229=N$3,SUMIF('TL10'!$C$238:$C$451,$C234,'TL10'!$J$238:$J$451),0),
IF('TL11'!$B$3=N$3,SUMIF('TL11'!$C$10:$C$224,$C234,'TL11'!$J$10:$J$224),0),
IF('TL11'!$B$229=N$3,SUMIF('TL11'!$C$238:$C$451,$C234,'TL11'!$J$238:$J$451),0),
IF('TL12'!$B$3=N$3,SUMIF('TL12'!$C$10:$C$224,$C234,'TL12'!$J$10:$J$224),0),
IF('TL12'!$B$229=N$3,SUMIF('TL12'!$C$238:$C$451,$C234,'TL12'!$J$238:$J$451),0),
IF('TL13'!$B$3=N$3,SUMIF('TL13'!$C$10:$C$224,$C234,'TL13'!$J$10:$J$224),0),
IF('TL13'!$B$229=N$3,SUMIF('TL13'!$C$238:$C$451,$C234,'TL13'!$J$238:$J$451),0),
IF('TL14'!$B$3=N$3,SUMIF('TL14'!$C$10:$C$224,$C234,'TL14'!$J$10:$J$224),0),
IF('TL14'!$B$229=N$3,SUMIF('TL14'!$C$238:$C$451,$C234,'TL14'!$J$238:$J$451),0),
IF('TL15'!$B$3=N$3,SUMIF('TL15'!$C$10:$C$224,$C234,'TL15'!$J$10:$J$224),0),
IF('TL15'!$B$229=N$3,SUMIF('TL15'!$C$238:$C$451,$C234,'TL15'!$J$238:$J$451),0),
IF('TL16'!$B$3=N$3,SUMIF('TL16'!$C$10:$C$224,$C234,'TL16'!$J$10:$J$224),0),
IF('TL16'!$B$229=N$3,SUMIF('TL16'!$C$238:$C$451,$C234,'TL16'!$J$238:$J$451),0),
IF('TL17'!$B$3=N$3,SUMIF('TL17'!$C$10:$C$224,$C234,'TL17'!$J$10:$J$224),0),
IF('TL17'!$B$229=N$3,SUMIF('TL17'!$C$238:$C$451,$C234,'TL17'!$J$238:$J$451),0),
IF('TL18'!$B$3=N$3,SUMIF('TL18'!$C$10:$C$224,$C234,'TL18'!$J$10:$J$224),0),
IF('TL18'!$B$229=N$3,SUMIF('TL18'!$C$238:$C$451,$C234,'TL18'!$J$238:$J$451),0),
IF('TL19'!$B$3=N$3,SUMIF('TL19'!$C$10:$C$224,$C234,'TL19'!$J$10:$J$224),0),
IF('TL19'!$B$229=N$3,SUMIF('TL19'!$C$238:$C$451,$C234,'TL19'!$J$238:$J$451),0)
),0)</f>
        <v>0</v>
      </c>
      <c r="O234" s="9">
        <f>IFERROR(SUM(
IF('TL01'!$B$3=O$3,SUMIF('TL01'!$C$10:$C$224,$C234,'TL01'!$J$10:$J$224),0),
IF('TL01'!$B$229=O$3,SUMIF('TL01'!$C$238:$C$451,$C234,'TL01'!$J$238:$J$451),0),
IF('TL02'!$B$3=O$3,SUMIF('TL02'!$C$10:$C$224,$C234,'TL02'!$J$10:$J$224),0),
IF('TL02'!$B$229=O$3,SUMIF('TL02'!$C$238:$C$451,$C234,'TL02'!$J$238:$J$451),0),
IF('TL03'!$B$3=O$3,SUMIF('TL03'!$C$10:$C$224,$C234,'TL03'!$J$10:$J$224),0),
IF('TL03'!$B$229=O$3,SUMIF('TL03'!$C$238:$C$451,$C234,'TL03'!$J$238:$J$451),0),
IF('TL04'!$B$3=O$3,SUMIF('TL04'!$C$10:$C$224,$C234,'TL04'!$J$10:$J$224),0),
IF('TL04'!$B$229=O$3,SUMIF('TL04'!$C$238:$C$451,$C234,'TL04'!$J$238:$J$451),0),
IF('TL05'!$B$3=O$3,SUMIF('TL05'!$C$10:$C$224,$C234,'TL05'!$J$10:$J$224),0),
IF('TL05'!$B$229=O$3,SUMIF('TL05'!$C$238:$C$451,$C234,'TL05'!$J$238:$J$451),0),
IF('TL06'!$B$3=O$3,SUMIF('TL06'!$C$10:$C$224,$C234,'TL06'!$J$10:$J$224),0),
IF('TL06'!$B$229=O$3,SUMIF('TL06'!$C$238:$C$451,$C234,'TL06'!$J$238:$J$451),0),
IF('TL07'!$B$3=O$3,SUMIF('TL07'!$C$10:$C$224,$C234,'TL07'!$J$10:$J$224),0),
IF('TL07'!$B$229=O$3,SUMIF('TL07'!$C$238:$C$451,$C234,'TL07'!$J$238:$J$451),0),
IF('TL08'!$B$3=O$3,SUMIF('TL08'!$C$10:$C$224,$C234,'TL08'!$J$10:$J$224),0),
IF('TL08'!$B$229=O$3,SUMIF('TL08'!$C$238:$C$451,$C234,'TL08'!$J$238:$J$451),0),
IF('TL09'!$B$3=O$3,SUMIF('TL09'!$C$10:$C$224,$C234,'TL09'!$J$10:$J$224),0),
IF('TL09'!$B$229=O$3,SUMIF('TL09'!$C$238:$C$451,$C234,'TL09'!$J$238:$J$451),0),
IF('TL10'!$B$3=O$3,SUMIF('TL10'!$C$10:$C$224,$C234,'TL10'!$J$10:$J$224),0),
IF('TL10'!$B$229=O$3,SUMIF('TL10'!$C$238:$C$451,$C234,'TL10'!$J$238:$J$451),0),
IF('TL11'!$B$3=O$3,SUMIF('TL11'!$C$10:$C$224,$C234,'TL11'!$J$10:$J$224),0),
IF('TL11'!$B$229=O$3,SUMIF('TL11'!$C$238:$C$451,$C234,'TL11'!$J$238:$J$451),0),
IF('TL12'!$B$3=O$3,SUMIF('TL12'!$C$10:$C$224,$C234,'TL12'!$J$10:$J$224),0),
IF('TL12'!$B$229=O$3,SUMIF('TL12'!$C$238:$C$451,$C234,'TL12'!$J$238:$J$451),0),
IF('TL13'!$B$3=O$3,SUMIF('TL13'!$C$10:$C$224,$C234,'TL13'!$J$10:$J$224),0),
IF('TL13'!$B$229=O$3,SUMIF('TL13'!$C$238:$C$451,$C234,'TL13'!$J$238:$J$451),0),
IF('TL14'!$B$3=O$3,SUMIF('TL14'!$C$10:$C$224,$C234,'TL14'!$J$10:$J$224),0),
IF('TL14'!$B$229=O$3,SUMIF('TL14'!$C$238:$C$451,$C234,'TL14'!$J$238:$J$451),0),
IF('TL15'!$B$3=O$3,SUMIF('TL15'!$C$10:$C$224,$C234,'TL15'!$J$10:$J$224),0),
IF('TL15'!$B$229=O$3,SUMIF('TL15'!$C$238:$C$451,$C234,'TL15'!$J$238:$J$451),0),
IF('TL16'!$B$3=O$3,SUMIF('TL16'!$C$10:$C$224,$C234,'TL16'!$J$10:$J$224),0),
IF('TL16'!$B$229=O$3,SUMIF('TL16'!$C$238:$C$451,$C234,'TL16'!$J$238:$J$451),0),
IF('TL17'!$B$3=O$3,SUMIF('TL17'!$C$10:$C$224,$C234,'TL17'!$J$10:$J$224),0),
IF('TL17'!$B$229=O$3,SUMIF('TL17'!$C$238:$C$451,$C234,'TL17'!$J$238:$J$451),0),
IF('TL18'!$B$3=O$3,SUMIF('TL18'!$C$10:$C$224,$C234,'TL18'!$J$10:$J$224),0),
IF('TL18'!$B$229=O$3,SUMIF('TL18'!$C$238:$C$451,$C234,'TL18'!$J$238:$J$451),0),
IF('TL19'!$B$3=O$3,SUMIF('TL19'!$C$10:$C$224,$C234,'TL19'!$J$10:$J$224),0),
IF('TL19'!$B$229=O$3,SUMIF('TL19'!$C$238:$C$451,$C234,'TL19'!$J$238:$J$451),0)
),0)</f>
        <v>0</v>
      </c>
      <c r="P234" s="9">
        <f>IFERROR(SUM(
IF('TL01'!$B$3=P$3,SUMIF('TL01'!$C$10:$C$224,$C234,'TL01'!$J$10:$J$224),0),
IF('TL01'!$B$229=P$3,SUMIF('TL01'!$C$238:$C$451,$C234,'TL01'!$J$238:$J$451),0),
IF('TL02'!$B$3=P$3,SUMIF('TL02'!$C$10:$C$224,$C234,'TL02'!$J$10:$J$224),0),
IF('TL02'!$B$229=P$3,SUMIF('TL02'!$C$238:$C$451,$C234,'TL02'!$J$238:$J$451),0),
IF('TL03'!$B$3=P$3,SUMIF('TL03'!$C$10:$C$224,$C234,'TL03'!$J$10:$J$224),0),
IF('TL03'!$B$229=P$3,SUMIF('TL03'!$C$238:$C$451,$C234,'TL03'!$J$238:$J$451),0),
IF('TL04'!$B$3=P$3,SUMIF('TL04'!$C$10:$C$224,$C234,'TL04'!$J$10:$J$224),0),
IF('TL04'!$B$229=P$3,SUMIF('TL04'!$C$238:$C$451,$C234,'TL04'!$J$238:$J$451),0),
IF('TL05'!$B$3=P$3,SUMIF('TL05'!$C$10:$C$224,$C234,'TL05'!$J$10:$J$224),0),
IF('TL05'!$B$229=P$3,SUMIF('TL05'!$C$238:$C$451,$C234,'TL05'!$J$238:$J$451),0),
IF('TL06'!$B$3=P$3,SUMIF('TL06'!$C$10:$C$224,$C234,'TL06'!$J$10:$J$224),0),
IF('TL06'!$B$229=P$3,SUMIF('TL06'!$C$238:$C$451,$C234,'TL06'!$J$238:$J$451),0),
IF('TL07'!$B$3=P$3,SUMIF('TL07'!$C$10:$C$224,$C234,'TL07'!$J$10:$J$224),0),
IF('TL07'!$B$229=P$3,SUMIF('TL07'!$C$238:$C$451,$C234,'TL07'!$J$238:$J$451),0),
IF('TL08'!$B$3=P$3,SUMIF('TL08'!$C$10:$C$224,$C234,'TL08'!$J$10:$J$224),0),
IF('TL08'!$B$229=P$3,SUMIF('TL08'!$C$238:$C$451,$C234,'TL08'!$J$238:$J$451),0),
IF('TL09'!$B$3=P$3,SUMIF('TL09'!$C$10:$C$224,$C234,'TL09'!$J$10:$J$224),0),
IF('TL09'!$B$229=P$3,SUMIF('TL09'!$C$238:$C$451,$C234,'TL09'!$J$238:$J$451),0),
IF('TL10'!$B$3=P$3,SUMIF('TL10'!$C$10:$C$224,$C234,'TL10'!$J$10:$J$224),0),
IF('TL10'!$B$229=P$3,SUMIF('TL10'!$C$238:$C$451,$C234,'TL10'!$J$238:$J$451),0),
IF('TL11'!$B$3=P$3,SUMIF('TL11'!$C$10:$C$224,$C234,'TL11'!$J$10:$J$224),0),
IF('TL11'!$B$229=P$3,SUMIF('TL11'!$C$238:$C$451,$C234,'TL11'!$J$238:$J$451),0),
IF('TL12'!$B$3=P$3,SUMIF('TL12'!$C$10:$C$224,$C234,'TL12'!$J$10:$J$224),0),
IF('TL12'!$B$229=P$3,SUMIF('TL12'!$C$238:$C$451,$C234,'TL12'!$J$238:$J$451),0),
IF('TL13'!$B$3=P$3,SUMIF('TL13'!$C$10:$C$224,$C234,'TL13'!$J$10:$J$224),0),
IF('TL13'!$B$229=P$3,SUMIF('TL13'!$C$238:$C$451,$C234,'TL13'!$J$238:$J$451),0),
IF('TL14'!$B$3=P$3,SUMIF('TL14'!$C$10:$C$224,$C234,'TL14'!$J$10:$J$224),0),
IF('TL14'!$B$229=P$3,SUMIF('TL14'!$C$238:$C$451,$C234,'TL14'!$J$238:$J$451),0),
IF('TL15'!$B$3=P$3,SUMIF('TL15'!$C$10:$C$224,$C234,'TL15'!$J$10:$J$224),0),
IF('TL15'!$B$229=P$3,SUMIF('TL15'!$C$238:$C$451,$C234,'TL15'!$J$238:$J$451),0),
IF('TL16'!$B$3=P$3,SUMIF('TL16'!$C$10:$C$224,$C234,'TL16'!$J$10:$J$224),0),
IF('TL16'!$B$229=P$3,SUMIF('TL16'!$C$238:$C$451,$C234,'TL16'!$J$238:$J$451),0),
IF('TL17'!$B$3=P$3,SUMIF('TL17'!$C$10:$C$224,$C234,'TL17'!$J$10:$J$224),0),
IF('TL17'!$B$229=P$3,SUMIF('TL17'!$C$238:$C$451,$C234,'TL17'!$J$238:$J$451),0),
IF('TL18'!$B$3=P$3,SUMIF('TL18'!$C$10:$C$224,$C234,'TL18'!$J$10:$J$224),0),
IF('TL18'!$B$229=P$3,SUMIF('TL18'!$C$238:$C$451,$C234,'TL18'!$J$238:$J$451),0),
IF('TL19'!$B$3=P$3,SUMIF('TL19'!$C$10:$C$224,$C234,'TL19'!$J$10:$J$224),0),
IF('TL19'!$B$229=P$3,SUMIF('TL19'!$C$238:$C$451,$C234,'TL19'!$J$238:$J$451),0)
),0)</f>
        <v>0</v>
      </c>
      <c r="Q234" s="9">
        <f>IFERROR(SUM(
IF('TL01'!$B$3=Q$3,SUMIF('TL01'!$C$10:$C$224,$C234,'TL01'!$J$10:$J$224),0),
IF('TL01'!$B$229=Q$3,SUMIF('TL01'!$C$238:$C$451,$C234,'TL01'!$J$238:$J$451),0),
IF('TL02'!$B$3=Q$3,SUMIF('TL02'!$C$10:$C$224,$C234,'TL02'!$J$10:$J$224),0),
IF('TL02'!$B$229=Q$3,SUMIF('TL02'!$C$238:$C$451,$C234,'TL02'!$J$238:$J$451),0),
IF('TL03'!$B$3=Q$3,SUMIF('TL03'!$C$10:$C$224,$C234,'TL03'!$J$10:$J$224),0),
IF('TL03'!$B$229=Q$3,SUMIF('TL03'!$C$238:$C$451,$C234,'TL03'!$J$238:$J$451),0),
IF('TL04'!$B$3=Q$3,SUMIF('TL04'!$C$10:$C$224,$C234,'TL04'!$J$10:$J$224),0),
IF('TL04'!$B$229=Q$3,SUMIF('TL04'!$C$238:$C$451,$C234,'TL04'!$J$238:$J$451),0),
IF('TL05'!$B$3=Q$3,SUMIF('TL05'!$C$10:$C$224,$C234,'TL05'!$J$10:$J$224),0),
IF('TL05'!$B$229=Q$3,SUMIF('TL05'!$C$238:$C$451,$C234,'TL05'!$J$238:$J$451),0),
IF('TL06'!$B$3=Q$3,SUMIF('TL06'!$C$10:$C$224,$C234,'TL06'!$J$10:$J$224),0),
IF('TL06'!$B$229=Q$3,SUMIF('TL06'!$C$238:$C$451,$C234,'TL06'!$J$238:$J$451),0),
IF('TL07'!$B$3=Q$3,SUMIF('TL07'!$C$10:$C$224,$C234,'TL07'!$J$10:$J$224),0),
IF('TL07'!$B$229=Q$3,SUMIF('TL07'!$C$238:$C$451,$C234,'TL07'!$J$238:$J$451),0),
IF('TL08'!$B$3=Q$3,SUMIF('TL08'!$C$10:$C$224,$C234,'TL08'!$J$10:$J$224),0),
IF('TL08'!$B$229=Q$3,SUMIF('TL08'!$C$238:$C$451,$C234,'TL08'!$J$238:$J$451),0),
IF('TL09'!$B$3=Q$3,SUMIF('TL09'!$C$10:$C$224,$C234,'TL09'!$J$10:$J$224),0),
IF('TL09'!$B$229=Q$3,SUMIF('TL09'!$C$238:$C$451,$C234,'TL09'!$J$238:$J$451),0),
IF('TL10'!$B$3=Q$3,SUMIF('TL10'!$C$10:$C$224,$C234,'TL10'!$J$10:$J$224),0),
IF('TL10'!$B$229=Q$3,SUMIF('TL10'!$C$238:$C$451,$C234,'TL10'!$J$238:$J$451),0),
IF('TL11'!$B$3=Q$3,SUMIF('TL11'!$C$10:$C$224,$C234,'TL11'!$J$10:$J$224),0),
IF('TL11'!$B$229=Q$3,SUMIF('TL11'!$C$238:$C$451,$C234,'TL11'!$J$238:$J$451),0),
IF('TL12'!$B$3=Q$3,SUMIF('TL12'!$C$10:$C$224,$C234,'TL12'!$J$10:$J$224),0),
IF('TL12'!$B$229=Q$3,SUMIF('TL12'!$C$238:$C$451,$C234,'TL12'!$J$238:$J$451),0),
IF('TL13'!$B$3=Q$3,SUMIF('TL13'!$C$10:$C$224,$C234,'TL13'!$J$10:$J$224),0),
IF('TL13'!$B$229=Q$3,SUMIF('TL13'!$C$238:$C$451,$C234,'TL13'!$J$238:$J$451),0),
IF('TL14'!$B$3=Q$3,SUMIF('TL14'!$C$10:$C$224,$C234,'TL14'!$J$10:$J$224),0),
IF('TL14'!$B$229=Q$3,SUMIF('TL14'!$C$238:$C$451,$C234,'TL14'!$J$238:$J$451),0),
IF('TL15'!$B$3=Q$3,SUMIF('TL15'!$C$10:$C$224,$C234,'TL15'!$J$10:$J$224),0),
IF('TL15'!$B$229=Q$3,SUMIF('TL15'!$C$238:$C$451,$C234,'TL15'!$J$238:$J$451),0),
IF('TL16'!$B$3=Q$3,SUMIF('TL16'!$C$10:$C$224,$C234,'TL16'!$J$10:$J$224),0),
IF('TL16'!$B$229=Q$3,SUMIF('TL16'!$C$238:$C$451,$C234,'TL16'!$J$238:$J$451),0),
IF('TL17'!$B$3=Q$3,SUMIF('TL17'!$C$10:$C$224,$C234,'TL17'!$J$10:$J$224),0),
IF('TL17'!$B$229=Q$3,SUMIF('TL17'!$C$238:$C$451,$C234,'TL17'!$J$238:$J$451),0),
IF('TL18'!$B$3=Q$3,SUMIF('TL18'!$C$10:$C$224,$C234,'TL18'!$J$10:$J$224),0),
IF('TL18'!$B$229=Q$3,SUMIF('TL18'!$C$238:$C$451,$C234,'TL18'!$J$238:$J$451),0),
IF('TL19'!$B$3=Q$3,SUMIF('TL19'!$C$10:$C$224,$C234,'TL19'!$J$10:$J$224),0),
IF('TL19'!$B$229=Q$3,SUMIF('TL19'!$C$238:$C$451,$C234,'TL19'!$J$238:$J$451),0)
),0)</f>
        <v>0</v>
      </c>
      <c r="R234" s="9">
        <f>IFERROR(
SUM(
SUMIF('TL01'!C:C,C234,'TL01'!J:J),
SUMIF('TL02'!C:C,C234,'TL02'!J:J),
SUMIF('TL03'!C:C,C234,'TL03'!J:J),
SUMIF('TL04'!C:C,C234,'TL04'!J:J),
SUMIF('TL05'!C:C,C234,'TL05'!J:J),
SUMIF('TL06'!C:C,C234,'TL06'!J:J),
SUMIF('TL07'!C:C,C234,'TL07'!J:J),
SUMIF('TL08'!C:C,C234,'TL08'!J:J),
SUMIF('TL09'!C:C,C234,'TL09'!J:J),
SUMIF('TL10'!C:C,C234,'TL10'!J:J),
SUMIF('TL11'!C:C,C234,'TL11'!J:J),
SUMIF('TL12'!C:C,C234,'TL12'!J:J),
SUMIF('TL13'!C:C,C234,'TL13'!J:J),
SUMIF('TL14'!C:C,C234,'TL14'!J:J),
SUMIF('TL15'!C:C,C234,'TL15'!J:J),
SUMIF('TL16'!C:C,C234,'TL16'!J:J),
SUMIF('TL17'!C:C,C234,'TL17'!J:J),
SUMIF('TL18'!C:C,C234,'TL18'!J:J),SUMIF('TL19'!C:C,C234,'TL19'!J:J))
,0)</f>
        <v>0</v>
      </c>
      <c r="S234" s="17">
        <f>IFERROR(__xludf.DUMMYFUNCTION("IFERROR(VLOOKUP(C234,
IMPORTRANGE(""1wULbzX32WdYsx-lj2U3uUNBBe2INVIRDtcK0d-Dvl90"",
""26-27!C:G""),
5,
FALSE),
"""")"),40.561229999999995)</f>
        <v>40.56123</v>
      </c>
      <c r="T234" s="9"/>
      <c r="U234" s="92">
        <f t="shared" si="2"/>
        <v>0</v>
      </c>
      <c r="V234" s="93">
        <f t="shared" si="3"/>
        <v>0</v>
      </c>
    </row>
    <row r="235" ht="15.75" hidden="1" customHeight="1">
      <c r="A235" s="94" t="s">
        <v>358</v>
      </c>
      <c r="B235" s="95" t="s">
        <v>2</v>
      </c>
      <c r="C235" s="96" t="s">
        <v>886</v>
      </c>
      <c r="D235" s="96" t="s">
        <v>887</v>
      </c>
      <c r="E235" s="96" t="s">
        <v>888</v>
      </c>
      <c r="F235" s="4" t="s">
        <v>343</v>
      </c>
      <c r="G235" s="90" t="str">
        <f t="shared" si="4"/>
        <v>📄 Ver bula</v>
      </c>
      <c r="H235" s="9">
        <f>IFERROR(__xludf.DUMMYFUNCTION("IFERROR(VLOOKUP(C235,
IMPORTRANGE(""1wULbzX32WdYsx-lj2U3uUNBBe2INVIRDtcK0d-Dvl90"",
""26-27!C:K""),
8,
FALSE),
"""")"),0.5)</f>
        <v>0.5</v>
      </c>
      <c r="I235" s="97" t="s">
        <v>344</v>
      </c>
      <c r="J235" s="9">
        <f>IFERROR(SUM(
IF('TL01'!$B$3=J$3,SUMIF('TL01'!$C$10:$C$224,$C235,'TL01'!$J$10:$J$224),0),
IF('TL01'!$B$229=J$3,SUMIF('TL01'!$C$238:$C$451,$C235,'TL01'!$J$238:$J$451),0),
IF('TL02'!$B$3=J$3,SUMIF('TL02'!$C$10:$C$224,$C235,'TL02'!$J$10:$J$224),0),
IF('TL02'!$B$229=J$3,SUMIF('TL02'!$C$238:$C$451,$C235,'TL02'!$J$238:$J$451),0),
IF('TL03'!$B$3=J$3,SUMIF('TL03'!$C$10:$C$224,$C235,'TL03'!$J$10:$J$224),0),
IF('TL03'!$B$229=J$3,SUMIF('TL03'!$C$238:$C$451,$C235,'TL03'!$J$238:$J$451),0),
IF('TL04'!$B$3=J$3,SUMIF('TL04'!$C$10:$C$224,$C235,'TL04'!$J$10:$J$224),0),
IF('TL04'!$B$229=J$3,SUMIF('TL04'!$C$238:$C$451,$C235,'TL04'!$J$238:$J$451),0),
IF('TL05'!$B$3=J$3,SUMIF('TL05'!$C$10:$C$224,$C235,'TL05'!$J$10:$J$224),0),
IF('TL05'!$B$229=J$3,SUMIF('TL05'!$C$238:$C$451,$C235,'TL05'!$J$238:$J$451),0),
IF('TL06'!$B$3=J$3,SUMIF('TL06'!$C$10:$C$224,$C235,'TL06'!$J$10:$J$224),0),
IF('TL06'!$B$229=J$3,SUMIF('TL06'!$C$238:$C$451,$C235,'TL06'!$J$238:$J$451),0),
IF('TL07'!$B$3=J$3,SUMIF('TL07'!$C$10:$C$224,$C235,'TL07'!$J$10:$J$224),0),
IF('TL07'!$B$229=J$3,SUMIF('TL07'!$C$238:$C$451,$C235,'TL07'!$J$238:$J$451),0),
IF('TL08'!$B$3=J$3,SUMIF('TL08'!$C$10:$C$224,$C235,'TL08'!$J$10:$J$224),0),
IF('TL08'!$B$229=J$3,SUMIF('TL08'!$C$238:$C$451,$C235,'TL08'!$J$238:$J$451),0),
IF('TL09'!$B$3=J$3,SUMIF('TL09'!$C$10:$C$224,$C235,'TL09'!$J$10:$J$224),0),
IF('TL09'!$B$229=J$3,SUMIF('TL09'!$C$238:$C$451,$C235,'TL09'!$J$238:$J$451),0),
IF('TL10'!$B$3=J$3,SUMIF('TL10'!$C$10:$C$224,$C235,'TL10'!$J$10:$J$224),0),
IF('TL10'!$B$229=J$3,SUMIF('TL10'!$C$238:$C$451,$C235,'TL10'!$J$238:$J$451),0),
IF('TL11'!$B$3=J$3,SUMIF('TL11'!$C$10:$C$224,$C235,'TL11'!$J$10:$J$224),0),
IF('TL11'!$B$229=J$3,SUMIF('TL11'!$C$238:$C$451,$C235,'TL11'!$J$238:$J$451),0),
IF('TL12'!$B$3=J$3,SUMIF('TL12'!$C$10:$C$224,$C235,'TL12'!$J$10:$J$224),0),
IF('TL12'!$B$229=J$3,SUMIF('TL12'!$C$238:$C$451,$C235,'TL12'!$J$238:$J$451),0),
IF('TL13'!$B$3=J$3,SUMIF('TL13'!$C$10:$C$224,$C235,'TL13'!$J$10:$J$224),0),
IF('TL13'!$B$229=J$3,SUMIF('TL13'!$C$238:$C$451,$C235,'TL13'!$J$238:$J$451),0),
IF('TL14'!$B$3=J$3,SUMIF('TL14'!$C$10:$C$224,$C235,'TL14'!$J$10:$J$224),0),
IF('TL14'!$B$229=J$3,SUMIF('TL14'!$C$238:$C$451,$C235,'TL14'!$J$238:$J$451),0),
IF('TL15'!$B$3=J$3,SUMIF('TL15'!$C$10:$C$224,$C235,'TL15'!$J$10:$J$224),0),
IF('TL15'!$B$229=J$3,SUMIF('TL15'!$C$238:$C$451,$C235,'TL15'!$J$238:$J$451),0),
IF('TL16'!$B$3=J$3,SUMIF('TL16'!$C$10:$C$224,$C235,'TL16'!$J$10:$J$224),0),
IF('TL16'!$B$229=J$3,SUMIF('TL16'!$C$238:$C$451,$C235,'TL16'!$J$238:$J$451),0),
IF('TL17'!$B$3=J$3,SUMIF('TL17'!$C$10:$C$224,$C235,'TL17'!$J$10:$J$224),0),
IF('TL17'!$B$229=J$3,SUMIF('TL17'!$C$238:$C$451,$C235,'TL17'!$J$238:$J$451),0),
IF('TL18'!$B$3=J$3,SUMIF('TL18'!$C$10:$C$224,$C235,'TL18'!$J$10:$J$224),0),
IF('TL18'!$B$229=J$3,SUMIF('TL18'!$C$238:$C$451,$C235,'TL18'!$J$238:$J$451),0),
IF('TL19'!$B$3=J$3,SUMIF('TL19'!$C$10:$C$224,$C235,'TL19'!$J$10:$J$224),0),
IF('TL19'!$B$229=J$3,SUMIF('TL19'!$C$238:$C$451,$C235,'TL19'!$J$238:$J$451),0)
),0)</f>
        <v>0</v>
      </c>
      <c r="K235" s="9">
        <f>IFERROR(SUM(
IF('TL01'!$B$3=K$3,SUMIF('TL01'!$C$10:$C$224,$C235,'TL01'!$J$10:$J$224),0),
IF('TL01'!$B$229=K$3,SUMIF('TL01'!$C$238:$C$451,$C235,'TL01'!$J$238:$J$451),0),
IF('TL02'!$B$3=K$3,SUMIF('TL02'!$C$10:$C$224,$C235,'TL02'!$J$10:$J$224),0),
IF('TL02'!$B$229=K$3,SUMIF('TL02'!$C$238:$C$451,$C235,'TL02'!$J$238:$J$451),0),
IF('TL03'!$B$3=K$3,SUMIF('TL03'!$C$10:$C$224,$C235,'TL03'!$J$10:$J$224),0),
IF('TL03'!$B$229=K$3,SUMIF('TL03'!$C$238:$C$451,$C235,'TL03'!$J$238:$J$451),0),
IF('TL04'!$B$3=K$3,SUMIF('TL04'!$C$10:$C$224,$C235,'TL04'!$J$10:$J$224),0),
IF('TL04'!$B$229=K$3,SUMIF('TL04'!$C$238:$C$451,$C235,'TL04'!$J$238:$J$451),0),
IF('TL05'!$B$3=K$3,SUMIF('TL05'!$C$10:$C$224,$C235,'TL05'!$J$10:$J$224),0),
IF('TL05'!$B$229=K$3,SUMIF('TL05'!$C$238:$C$451,$C235,'TL05'!$J$238:$J$451),0),
IF('TL06'!$B$3=K$3,SUMIF('TL06'!$C$10:$C$224,$C235,'TL06'!$J$10:$J$224),0),
IF('TL06'!$B$229=K$3,SUMIF('TL06'!$C$238:$C$451,$C235,'TL06'!$J$238:$J$451),0),
IF('TL07'!$B$3=K$3,SUMIF('TL07'!$C$10:$C$224,$C235,'TL07'!$J$10:$J$224),0),
IF('TL07'!$B$229=K$3,SUMIF('TL07'!$C$238:$C$451,$C235,'TL07'!$J$238:$J$451),0),
IF('TL08'!$B$3=K$3,SUMIF('TL08'!$C$10:$C$224,$C235,'TL08'!$J$10:$J$224),0),
IF('TL08'!$B$229=K$3,SUMIF('TL08'!$C$238:$C$451,$C235,'TL08'!$J$238:$J$451),0),
IF('TL09'!$B$3=K$3,SUMIF('TL09'!$C$10:$C$224,$C235,'TL09'!$J$10:$J$224),0),
IF('TL09'!$B$229=K$3,SUMIF('TL09'!$C$238:$C$451,$C235,'TL09'!$J$238:$J$451),0),
IF('TL10'!$B$3=K$3,SUMIF('TL10'!$C$10:$C$224,$C235,'TL10'!$J$10:$J$224),0),
IF('TL10'!$B$229=K$3,SUMIF('TL10'!$C$238:$C$451,$C235,'TL10'!$J$238:$J$451),0),
IF('TL11'!$B$3=K$3,SUMIF('TL11'!$C$10:$C$224,$C235,'TL11'!$J$10:$J$224),0),
IF('TL11'!$B$229=K$3,SUMIF('TL11'!$C$238:$C$451,$C235,'TL11'!$J$238:$J$451),0),
IF('TL12'!$B$3=K$3,SUMIF('TL12'!$C$10:$C$224,$C235,'TL12'!$J$10:$J$224),0),
IF('TL12'!$B$229=K$3,SUMIF('TL12'!$C$238:$C$451,$C235,'TL12'!$J$238:$J$451),0),
IF('TL13'!$B$3=K$3,SUMIF('TL13'!$C$10:$C$224,$C235,'TL13'!$J$10:$J$224),0),
IF('TL13'!$B$229=K$3,SUMIF('TL13'!$C$238:$C$451,$C235,'TL13'!$J$238:$J$451),0),
IF('TL14'!$B$3=K$3,SUMIF('TL14'!$C$10:$C$224,$C235,'TL14'!$J$10:$J$224),0),
IF('TL14'!$B$229=K$3,SUMIF('TL14'!$C$238:$C$451,$C235,'TL14'!$J$238:$J$451),0),
IF('TL15'!$B$3=K$3,SUMIF('TL15'!$C$10:$C$224,$C235,'TL15'!$J$10:$J$224),0),
IF('TL15'!$B$229=K$3,SUMIF('TL15'!$C$238:$C$451,$C235,'TL15'!$J$238:$J$451),0),
IF('TL16'!$B$3=K$3,SUMIF('TL16'!$C$10:$C$224,$C235,'TL16'!$J$10:$J$224),0),
IF('TL16'!$B$229=K$3,SUMIF('TL16'!$C$238:$C$451,$C235,'TL16'!$J$238:$J$451),0),
IF('TL17'!$B$3=K$3,SUMIF('TL17'!$C$10:$C$224,$C235,'TL17'!$J$10:$J$224),0),
IF('TL17'!$B$229=K$3,SUMIF('TL17'!$C$238:$C$451,$C235,'TL17'!$J$238:$J$451),0),
IF('TL18'!$B$3=K$3,SUMIF('TL18'!$C$10:$C$224,$C235,'TL18'!$J$10:$J$224),0),
IF('TL18'!$B$229=K$3,SUMIF('TL18'!$C$238:$C$451,$C235,'TL18'!$J$238:$J$451),0),
IF('TL19'!$B$3=K$3,SUMIF('TL19'!$C$10:$C$224,$C235,'TL19'!$J$10:$J$224),0),
IF('TL19'!$B$229=K$3,SUMIF('TL19'!$C$238:$C$451,$C235,'TL19'!$J$238:$J$451),0)
),0)</f>
        <v>0</v>
      </c>
      <c r="L235" s="9">
        <f>IFERROR(SUM(
IF('TL01'!$B$3=L$3,SUMIF('TL01'!$C$10:$C$224,$C235,'TL01'!$J$10:$J$224),0),
IF('TL01'!$B$229=L$3,SUMIF('TL01'!$C$238:$C$451,$C235,'TL01'!$J$238:$J$451),0),
IF('TL02'!$B$3=L$3,SUMIF('TL02'!$C$10:$C$224,$C235,'TL02'!$J$10:$J$224),0),
IF('TL02'!$B$229=L$3,SUMIF('TL02'!$C$238:$C$451,$C235,'TL02'!$J$238:$J$451),0),
IF('TL03'!$B$3=L$3,SUMIF('TL03'!$C$10:$C$224,$C235,'TL03'!$J$10:$J$224),0),
IF('TL03'!$B$229=L$3,SUMIF('TL03'!$C$238:$C$451,$C235,'TL03'!$J$238:$J$451),0),
IF('TL04'!$B$3=L$3,SUMIF('TL04'!$C$10:$C$224,$C235,'TL04'!$J$10:$J$224),0),
IF('TL04'!$B$229=L$3,SUMIF('TL04'!$C$238:$C$451,$C235,'TL04'!$J$238:$J$451),0),
IF('TL05'!$B$3=L$3,SUMIF('TL05'!$C$10:$C$224,$C235,'TL05'!$J$10:$J$224),0),
IF('TL05'!$B$229=L$3,SUMIF('TL05'!$C$238:$C$451,$C235,'TL05'!$J$238:$J$451),0),
IF('TL06'!$B$3=L$3,SUMIF('TL06'!$C$10:$C$224,$C235,'TL06'!$J$10:$J$224),0),
IF('TL06'!$B$229=L$3,SUMIF('TL06'!$C$238:$C$451,$C235,'TL06'!$J$238:$J$451),0),
IF('TL07'!$B$3=L$3,SUMIF('TL07'!$C$10:$C$224,$C235,'TL07'!$J$10:$J$224),0),
IF('TL07'!$B$229=L$3,SUMIF('TL07'!$C$238:$C$451,$C235,'TL07'!$J$238:$J$451),0),
IF('TL08'!$B$3=L$3,SUMIF('TL08'!$C$10:$C$224,$C235,'TL08'!$J$10:$J$224),0),
IF('TL08'!$B$229=L$3,SUMIF('TL08'!$C$238:$C$451,$C235,'TL08'!$J$238:$J$451),0),
IF('TL09'!$B$3=L$3,SUMIF('TL09'!$C$10:$C$224,$C235,'TL09'!$J$10:$J$224),0),
IF('TL09'!$B$229=L$3,SUMIF('TL09'!$C$238:$C$451,$C235,'TL09'!$J$238:$J$451),0),
IF('TL10'!$B$3=L$3,SUMIF('TL10'!$C$10:$C$224,$C235,'TL10'!$J$10:$J$224),0),
IF('TL10'!$B$229=L$3,SUMIF('TL10'!$C$238:$C$451,$C235,'TL10'!$J$238:$J$451),0),
IF('TL11'!$B$3=L$3,SUMIF('TL11'!$C$10:$C$224,$C235,'TL11'!$J$10:$J$224),0),
IF('TL11'!$B$229=L$3,SUMIF('TL11'!$C$238:$C$451,$C235,'TL11'!$J$238:$J$451),0),
IF('TL12'!$B$3=L$3,SUMIF('TL12'!$C$10:$C$224,$C235,'TL12'!$J$10:$J$224),0),
IF('TL12'!$B$229=L$3,SUMIF('TL12'!$C$238:$C$451,$C235,'TL12'!$J$238:$J$451),0),
IF('TL13'!$B$3=L$3,SUMIF('TL13'!$C$10:$C$224,$C235,'TL13'!$J$10:$J$224),0),
IF('TL13'!$B$229=L$3,SUMIF('TL13'!$C$238:$C$451,$C235,'TL13'!$J$238:$J$451),0),
IF('TL14'!$B$3=L$3,SUMIF('TL14'!$C$10:$C$224,$C235,'TL14'!$J$10:$J$224),0),
IF('TL14'!$B$229=L$3,SUMIF('TL14'!$C$238:$C$451,$C235,'TL14'!$J$238:$J$451),0),
IF('TL15'!$B$3=L$3,SUMIF('TL15'!$C$10:$C$224,$C235,'TL15'!$J$10:$J$224),0),
IF('TL15'!$B$229=L$3,SUMIF('TL15'!$C$238:$C$451,$C235,'TL15'!$J$238:$J$451),0),
IF('TL16'!$B$3=L$3,SUMIF('TL16'!$C$10:$C$224,$C235,'TL16'!$J$10:$J$224),0),
IF('TL16'!$B$229=L$3,SUMIF('TL16'!$C$238:$C$451,$C235,'TL16'!$J$238:$J$451),0),
IF('TL17'!$B$3=L$3,SUMIF('TL17'!$C$10:$C$224,$C235,'TL17'!$J$10:$J$224),0),
IF('TL17'!$B$229=L$3,SUMIF('TL17'!$C$238:$C$451,$C235,'TL17'!$J$238:$J$451),0),
IF('TL18'!$B$3=L$3,SUMIF('TL18'!$C$10:$C$224,$C235,'TL18'!$J$10:$J$224),0),
IF('TL18'!$B$229=L$3,SUMIF('TL18'!$C$238:$C$451,$C235,'TL18'!$J$238:$J$451),0),
IF('TL19'!$B$3=L$3,SUMIF('TL19'!$C$10:$C$224,$C235,'TL19'!$J$10:$J$224),0),
IF('TL19'!$B$229=L$3,SUMIF('TL19'!$C$238:$C$451,$C235,'TL19'!$J$238:$J$451),0)
),0)</f>
        <v>0</v>
      </c>
      <c r="M235" s="9">
        <f>IFERROR(SUM(
IF('TL01'!$B$3=M$3,SUMIF('TL01'!$C$10:$C$224,$C235,'TL01'!$J$10:$J$224),0),
IF('TL01'!$B$229=M$3,SUMIF('TL01'!$C$238:$C$451,$C235,'TL01'!$J$238:$J$451),0),
IF('TL02'!$B$3=M$3,SUMIF('TL02'!$C$10:$C$224,$C235,'TL02'!$J$10:$J$224),0),
IF('TL02'!$B$229=M$3,SUMIF('TL02'!$C$238:$C$451,$C235,'TL02'!$J$238:$J$451),0),
IF('TL03'!$B$3=M$3,SUMIF('TL03'!$C$10:$C$224,$C235,'TL03'!$J$10:$J$224),0),
IF('TL03'!$B$229=M$3,SUMIF('TL03'!$C$238:$C$451,$C235,'TL03'!$J$238:$J$451),0),
IF('TL04'!$B$3=M$3,SUMIF('TL04'!$C$10:$C$224,$C235,'TL04'!$J$10:$J$224),0),
IF('TL04'!$B$229=M$3,SUMIF('TL04'!$C$238:$C$451,$C235,'TL04'!$J$238:$J$451),0),
IF('TL05'!$B$3=M$3,SUMIF('TL05'!$C$10:$C$224,$C235,'TL05'!$J$10:$J$224),0),
IF('TL05'!$B$229=M$3,SUMIF('TL05'!$C$238:$C$451,$C235,'TL05'!$J$238:$J$451),0),
IF('TL06'!$B$3=M$3,SUMIF('TL06'!$C$10:$C$224,$C235,'TL06'!$J$10:$J$224),0),
IF('TL06'!$B$229=M$3,SUMIF('TL06'!$C$238:$C$451,$C235,'TL06'!$J$238:$J$451),0),
IF('TL07'!$B$3=M$3,SUMIF('TL07'!$C$10:$C$224,$C235,'TL07'!$J$10:$J$224),0),
IF('TL07'!$B$229=M$3,SUMIF('TL07'!$C$238:$C$451,$C235,'TL07'!$J$238:$J$451),0),
IF('TL08'!$B$3=M$3,SUMIF('TL08'!$C$10:$C$224,$C235,'TL08'!$J$10:$J$224),0),
IF('TL08'!$B$229=M$3,SUMIF('TL08'!$C$238:$C$451,$C235,'TL08'!$J$238:$J$451),0),
IF('TL09'!$B$3=M$3,SUMIF('TL09'!$C$10:$C$224,$C235,'TL09'!$J$10:$J$224),0),
IF('TL09'!$B$229=M$3,SUMIF('TL09'!$C$238:$C$451,$C235,'TL09'!$J$238:$J$451),0),
IF('TL10'!$B$3=M$3,SUMIF('TL10'!$C$10:$C$224,$C235,'TL10'!$J$10:$J$224),0),
IF('TL10'!$B$229=M$3,SUMIF('TL10'!$C$238:$C$451,$C235,'TL10'!$J$238:$J$451),0),
IF('TL11'!$B$3=M$3,SUMIF('TL11'!$C$10:$C$224,$C235,'TL11'!$J$10:$J$224),0),
IF('TL11'!$B$229=M$3,SUMIF('TL11'!$C$238:$C$451,$C235,'TL11'!$J$238:$J$451),0),
IF('TL12'!$B$3=M$3,SUMIF('TL12'!$C$10:$C$224,$C235,'TL12'!$J$10:$J$224),0),
IF('TL12'!$B$229=M$3,SUMIF('TL12'!$C$238:$C$451,$C235,'TL12'!$J$238:$J$451),0),
IF('TL13'!$B$3=M$3,SUMIF('TL13'!$C$10:$C$224,$C235,'TL13'!$J$10:$J$224),0),
IF('TL13'!$B$229=M$3,SUMIF('TL13'!$C$238:$C$451,$C235,'TL13'!$J$238:$J$451),0),
IF('TL14'!$B$3=M$3,SUMIF('TL14'!$C$10:$C$224,$C235,'TL14'!$J$10:$J$224),0),
IF('TL14'!$B$229=M$3,SUMIF('TL14'!$C$238:$C$451,$C235,'TL14'!$J$238:$J$451),0),
IF('TL15'!$B$3=M$3,SUMIF('TL15'!$C$10:$C$224,$C235,'TL15'!$J$10:$J$224),0),
IF('TL15'!$B$229=M$3,SUMIF('TL15'!$C$238:$C$451,$C235,'TL15'!$J$238:$J$451),0),
IF('TL16'!$B$3=M$3,SUMIF('TL16'!$C$10:$C$224,$C235,'TL16'!$J$10:$J$224),0),
IF('TL16'!$B$229=M$3,SUMIF('TL16'!$C$238:$C$451,$C235,'TL16'!$J$238:$J$451),0),
IF('TL17'!$B$3=M$3,SUMIF('TL17'!$C$10:$C$224,$C235,'TL17'!$J$10:$J$224),0),
IF('TL17'!$B$229=M$3,SUMIF('TL17'!$C$238:$C$451,$C235,'TL17'!$J$238:$J$451),0),
IF('TL18'!$B$3=M$3,SUMIF('TL18'!$C$10:$C$224,$C235,'TL18'!$J$10:$J$224),0),
IF('TL18'!$B$229=M$3,SUMIF('TL18'!$C$238:$C$451,$C235,'TL18'!$J$238:$J$451),0),
IF('TL19'!$B$3=M$3,SUMIF('TL19'!$C$10:$C$224,$C235,'TL19'!$J$10:$J$224),0),
IF('TL19'!$B$229=M$3,SUMIF('TL19'!$C$238:$C$451,$C235,'TL19'!$J$238:$J$451),0)
),0)</f>
        <v>0</v>
      </c>
      <c r="N235" s="9">
        <f>IFERROR(SUM(
IF('TL01'!$B$3=N$3,SUMIF('TL01'!$C$10:$C$224,$C235,'TL01'!$J$10:$J$224),0),
IF('TL01'!$B$229=N$3,SUMIF('TL01'!$C$238:$C$451,$C235,'TL01'!$J$238:$J$451),0),
IF('TL02'!$B$3=N$3,SUMIF('TL02'!$C$10:$C$224,$C235,'TL02'!$J$10:$J$224),0),
IF('TL02'!$B$229=N$3,SUMIF('TL02'!$C$238:$C$451,$C235,'TL02'!$J$238:$J$451),0),
IF('TL03'!$B$3=N$3,SUMIF('TL03'!$C$10:$C$224,$C235,'TL03'!$J$10:$J$224),0),
IF('TL03'!$B$229=N$3,SUMIF('TL03'!$C$238:$C$451,$C235,'TL03'!$J$238:$J$451),0),
IF('TL04'!$B$3=N$3,SUMIF('TL04'!$C$10:$C$224,$C235,'TL04'!$J$10:$J$224),0),
IF('TL04'!$B$229=N$3,SUMIF('TL04'!$C$238:$C$451,$C235,'TL04'!$J$238:$J$451),0),
IF('TL05'!$B$3=N$3,SUMIF('TL05'!$C$10:$C$224,$C235,'TL05'!$J$10:$J$224),0),
IF('TL05'!$B$229=N$3,SUMIF('TL05'!$C$238:$C$451,$C235,'TL05'!$J$238:$J$451),0),
IF('TL06'!$B$3=N$3,SUMIF('TL06'!$C$10:$C$224,$C235,'TL06'!$J$10:$J$224),0),
IF('TL06'!$B$229=N$3,SUMIF('TL06'!$C$238:$C$451,$C235,'TL06'!$J$238:$J$451),0),
IF('TL07'!$B$3=N$3,SUMIF('TL07'!$C$10:$C$224,$C235,'TL07'!$J$10:$J$224),0),
IF('TL07'!$B$229=N$3,SUMIF('TL07'!$C$238:$C$451,$C235,'TL07'!$J$238:$J$451),0),
IF('TL08'!$B$3=N$3,SUMIF('TL08'!$C$10:$C$224,$C235,'TL08'!$J$10:$J$224),0),
IF('TL08'!$B$229=N$3,SUMIF('TL08'!$C$238:$C$451,$C235,'TL08'!$J$238:$J$451),0),
IF('TL09'!$B$3=N$3,SUMIF('TL09'!$C$10:$C$224,$C235,'TL09'!$J$10:$J$224),0),
IF('TL09'!$B$229=N$3,SUMIF('TL09'!$C$238:$C$451,$C235,'TL09'!$J$238:$J$451),0),
IF('TL10'!$B$3=N$3,SUMIF('TL10'!$C$10:$C$224,$C235,'TL10'!$J$10:$J$224),0),
IF('TL10'!$B$229=N$3,SUMIF('TL10'!$C$238:$C$451,$C235,'TL10'!$J$238:$J$451),0),
IF('TL11'!$B$3=N$3,SUMIF('TL11'!$C$10:$C$224,$C235,'TL11'!$J$10:$J$224),0),
IF('TL11'!$B$229=N$3,SUMIF('TL11'!$C$238:$C$451,$C235,'TL11'!$J$238:$J$451),0),
IF('TL12'!$B$3=N$3,SUMIF('TL12'!$C$10:$C$224,$C235,'TL12'!$J$10:$J$224),0),
IF('TL12'!$B$229=N$3,SUMIF('TL12'!$C$238:$C$451,$C235,'TL12'!$J$238:$J$451),0),
IF('TL13'!$B$3=N$3,SUMIF('TL13'!$C$10:$C$224,$C235,'TL13'!$J$10:$J$224),0),
IF('TL13'!$B$229=N$3,SUMIF('TL13'!$C$238:$C$451,$C235,'TL13'!$J$238:$J$451),0),
IF('TL14'!$B$3=N$3,SUMIF('TL14'!$C$10:$C$224,$C235,'TL14'!$J$10:$J$224),0),
IF('TL14'!$B$229=N$3,SUMIF('TL14'!$C$238:$C$451,$C235,'TL14'!$J$238:$J$451),0),
IF('TL15'!$B$3=N$3,SUMIF('TL15'!$C$10:$C$224,$C235,'TL15'!$J$10:$J$224),0),
IF('TL15'!$B$229=N$3,SUMIF('TL15'!$C$238:$C$451,$C235,'TL15'!$J$238:$J$451),0),
IF('TL16'!$B$3=N$3,SUMIF('TL16'!$C$10:$C$224,$C235,'TL16'!$J$10:$J$224),0),
IF('TL16'!$B$229=N$3,SUMIF('TL16'!$C$238:$C$451,$C235,'TL16'!$J$238:$J$451),0),
IF('TL17'!$B$3=N$3,SUMIF('TL17'!$C$10:$C$224,$C235,'TL17'!$J$10:$J$224),0),
IF('TL17'!$B$229=N$3,SUMIF('TL17'!$C$238:$C$451,$C235,'TL17'!$J$238:$J$451),0),
IF('TL18'!$B$3=N$3,SUMIF('TL18'!$C$10:$C$224,$C235,'TL18'!$J$10:$J$224),0),
IF('TL18'!$B$229=N$3,SUMIF('TL18'!$C$238:$C$451,$C235,'TL18'!$J$238:$J$451),0),
IF('TL19'!$B$3=N$3,SUMIF('TL19'!$C$10:$C$224,$C235,'TL19'!$J$10:$J$224),0),
IF('TL19'!$B$229=N$3,SUMIF('TL19'!$C$238:$C$451,$C235,'TL19'!$J$238:$J$451),0)
),0)</f>
        <v>0</v>
      </c>
      <c r="O235" s="9">
        <f>IFERROR(SUM(
IF('TL01'!$B$3=O$3,SUMIF('TL01'!$C$10:$C$224,$C235,'TL01'!$J$10:$J$224),0),
IF('TL01'!$B$229=O$3,SUMIF('TL01'!$C$238:$C$451,$C235,'TL01'!$J$238:$J$451),0),
IF('TL02'!$B$3=O$3,SUMIF('TL02'!$C$10:$C$224,$C235,'TL02'!$J$10:$J$224),0),
IF('TL02'!$B$229=O$3,SUMIF('TL02'!$C$238:$C$451,$C235,'TL02'!$J$238:$J$451),0),
IF('TL03'!$B$3=O$3,SUMIF('TL03'!$C$10:$C$224,$C235,'TL03'!$J$10:$J$224),0),
IF('TL03'!$B$229=O$3,SUMIF('TL03'!$C$238:$C$451,$C235,'TL03'!$J$238:$J$451),0),
IF('TL04'!$B$3=O$3,SUMIF('TL04'!$C$10:$C$224,$C235,'TL04'!$J$10:$J$224),0),
IF('TL04'!$B$229=O$3,SUMIF('TL04'!$C$238:$C$451,$C235,'TL04'!$J$238:$J$451),0),
IF('TL05'!$B$3=O$3,SUMIF('TL05'!$C$10:$C$224,$C235,'TL05'!$J$10:$J$224),0),
IF('TL05'!$B$229=O$3,SUMIF('TL05'!$C$238:$C$451,$C235,'TL05'!$J$238:$J$451),0),
IF('TL06'!$B$3=O$3,SUMIF('TL06'!$C$10:$C$224,$C235,'TL06'!$J$10:$J$224),0),
IF('TL06'!$B$229=O$3,SUMIF('TL06'!$C$238:$C$451,$C235,'TL06'!$J$238:$J$451),0),
IF('TL07'!$B$3=O$3,SUMIF('TL07'!$C$10:$C$224,$C235,'TL07'!$J$10:$J$224),0),
IF('TL07'!$B$229=O$3,SUMIF('TL07'!$C$238:$C$451,$C235,'TL07'!$J$238:$J$451),0),
IF('TL08'!$B$3=O$3,SUMIF('TL08'!$C$10:$C$224,$C235,'TL08'!$J$10:$J$224),0),
IF('TL08'!$B$229=O$3,SUMIF('TL08'!$C$238:$C$451,$C235,'TL08'!$J$238:$J$451),0),
IF('TL09'!$B$3=O$3,SUMIF('TL09'!$C$10:$C$224,$C235,'TL09'!$J$10:$J$224),0),
IF('TL09'!$B$229=O$3,SUMIF('TL09'!$C$238:$C$451,$C235,'TL09'!$J$238:$J$451),0),
IF('TL10'!$B$3=O$3,SUMIF('TL10'!$C$10:$C$224,$C235,'TL10'!$J$10:$J$224),0),
IF('TL10'!$B$229=O$3,SUMIF('TL10'!$C$238:$C$451,$C235,'TL10'!$J$238:$J$451),0),
IF('TL11'!$B$3=O$3,SUMIF('TL11'!$C$10:$C$224,$C235,'TL11'!$J$10:$J$224),0),
IF('TL11'!$B$229=O$3,SUMIF('TL11'!$C$238:$C$451,$C235,'TL11'!$J$238:$J$451),0),
IF('TL12'!$B$3=O$3,SUMIF('TL12'!$C$10:$C$224,$C235,'TL12'!$J$10:$J$224),0),
IF('TL12'!$B$229=O$3,SUMIF('TL12'!$C$238:$C$451,$C235,'TL12'!$J$238:$J$451),0),
IF('TL13'!$B$3=O$3,SUMIF('TL13'!$C$10:$C$224,$C235,'TL13'!$J$10:$J$224),0),
IF('TL13'!$B$229=O$3,SUMIF('TL13'!$C$238:$C$451,$C235,'TL13'!$J$238:$J$451),0),
IF('TL14'!$B$3=O$3,SUMIF('TL14'!$C$10:$C$224,$C235,'TL14'!$J$10:$J$224),0),
IF('TL14'!$B$229=O$3,SUMIF('TL14'!$C$238:$C$451,$C235,'TL14'!$J$238:$J$451),0),
IF('TL15'!$B$3=O$3,SUMIF('TL15'!$C$10:$C$224,$C235,'TL15'!$J$10:$J$224),0),
IF('TL15'!$B$229=O$3,SUMIF('TL15'!$C$238:$C$451,$C235,'TL15'!$J$238:$J$451),0),
IF('TL16'!$B$3=O$3,SUMIF('TL16'!$C$10:$C$224,$C235,'TL16'!$J$10:$J$224),0),
IF('TL16'!$B$229=O$3,SUMIF('TL16'!$C$238:$C$451,$C235,'TL16'!$J$238:$J$451),0),
IF('TL17'!$B$3=O$3,SUMIF('TL17'!$C$10:$C$224,$C235,'TL17'!$J$10:$J$224),0),
IF('TL17'!$B$229=O$3,SUMIF('TL17'!$C$238:$C$451,$C235,'TL17'!$J$238:$J$451),0),
IF('TL18'!$B$3=O$3,SUMIF('TL18'!$C$10:$C$224,$C235,'TL18'!$J$10:$J$224),0),
IF('TL18'!$B$229=O$3,SUMIF('TL18'!$C$238:$C$451,$C235,'TL18'!$J$238:$J$451),0),
IF('TL19'!$B$3=O$3,SUMIF('TL19'!$C$10:$C$224,$C235,'TL19'!$J$10:$J$224),0),
IF('TL19'!$B$229=O$3,SUMIF('TL19'!$C$238:$C$451,$C235,'TL19'!$J$238:$J$451),0)
),0)</f>
        <v>0</v>
      </c>
      <c r="P235" s="9">
        <f>IFERROR(SUM(
IF('TL01'!$B$3=P$3,SUMIF('TL01'!$C$10:$C$224,$C235,'TL01'!$J$10:$J$224),0),
IF('TL01'!$B$229=P$3,SUMIF('TL01'!$C$238:$C$451,$C235,'TL01'!$J$238:$J$451),0),
IF('TL02'!$B$3=P$3,SUMIF('TL02'!$C$10:$C$224,$C235,'TL02'!$J$10:$J$224),0),
IF('TL02'!$B$229=P$3,SUMIF('TL02'!$C$238:$C$451,$C235,'TL02'!$J$238:$J$451),0),
IF('TL03'!$B$3=P$3,SUMIF('TL03'!$C$10:$C$224,$C235,'TL03'!$J$10:$J$224),0),
IF('TL03'!$B$229=P$3,SUMIF('TL03'!$C$238:$C$451,$C235,'TL03'!$J$238:$J$451),0),
IF('TL04'!$B$3=P$3,SUMIF('TL04'!$C$10:$C$224,$C235,'TL04'!$J$10:$J$224),0),
IF('TL04'!$B$229=P$3,SUMIF('TL04'!$C$238:$C$451,$C235,'TL04'!$J$238:$J$451),0),
IF('TL05'!$B$3=P$3,SUMIF('TL05'!$C$10:$C$224,$C235,'TL05'!$J$10:$J$224),0),
IF('TL05'!$B$229=P$3,SUMIF('TL05'!$C$238:$C$451,$C235,'TL05'!$J$238:$J$451),0),
IF('TL06'!$B$3=P$3,SUMIF('TL06'!$C$10:$C$224,$C235,'TL06'!$J$10:$J$224),0),
IF('TL06'!$B$229=P$3,SUMIF('TL06'!$C$238:$C$451,$C235,'TL06'!$J$238:$J$451),0),
IF('TL07'!$B$3=P$3,SUMIF('TL07'!$C$10:$C$224,$C235,'TL07'!$J$10:$J$224),0),
IF('TL07'!$B$229=P$3,SUMIF('TL07'!$C$238:$C$451,$C235,'TL07'!$J$238:$J$451),0),
IF('TL08'!$B$3=P$3,SUMIF('TL08'!$C$10:$C$224,$C235,'TL08'!$J$10:$J$224),0),
IF('TL08'!$B$229=P$3,SUMIF('TL08'!$C$238:$C$451,$C235,'TL08'!$J$238:$J$451),0),
IF('TL09'!$B$3=P$3,SUMIF('TL09'!$C$10:$C$224,$C235,'TL09'!$J$10:$J$224),0),
IF('TL09'!$B$229=P$3,SUMIF('TL09'!$C$238:$C$451,$C235,'TL09'!$J$238:$J$451),0),
IF('TL10'!$B$3=P$3,SUMIF('TL10'!$C$10:$C$224,$C235,'TL10'!$J$10:$J$224),0),
IF('TL10'!$B$229=P$3,SUMIF('TL10'!$C$238:$C$451,$C235,'TL10'!$J$238:$J$451),0),
IF('TL11'!$B$3=P$3,SUMIF('TL11'!$C$10:$C$224,$C235,'TL11'!$J$10:$J$224),0),
IF('TL11'!$B$229=P$3,SUMIF('TL11'!$C$238:$C$451,$C235,'TL11'!$J$238:$J$451),0),
IF('TL12'!$B$3=P$3,SUMIF('TL12'!$C$10:$C$224,$C235,'TL12'!$J$10:$J$224),0),
IF('TL12'!$B$229=P$3,SUMIF('TL12'!$C$238:$C$451,$C235,'TL12'!$J$238:$J$451),0),
IF('TL13'!$B$3=P$3,SUMIF('TL13'!$C$10:$C$224,$C235,'TL13'!$J$10:$J$224),0),
IF('TL13'!$B$229=P$3,SUMIF('TL13'!$C$238:$C$451,$C235,'TL13'!$J$238:$J$451),0),
IF('TL14'!$B$3=P$3,SUMIF('TL14'!$C$10:$C$224,$C235,'TL14'!$J$10:$J$224),0),
IF('TL14'!$B$229=P$3,SUMIF('TL14'!$C$238:$C$451,$C235,'TL14'!$J$238:$J$451),0),
IF('TL15'!$B$3=P$3,SUMIF('TL15'!$C$10:$C$224,$C235,'TL15'!$J$10:$J$224),0),
IF('TL15'!$B$229=P$3,SUMIF('TL15'!$C$238:$C$451,$C235,'TL15'!$J$238:$J$451),0),
IF('TL16'!$B$3=P$3,SUMIF('TL16'!$C$10:$C$224,$C235,'TL16'!$J$10:$J$224),0),
IF('TL16'!$B$229=P$3,SUMIF('TL16'!$C$238:$C$451,$C235,'TL16'!$J$238:$J$451),0),
IF('TL17'!$B$3=P$3,SUMIF('TL17'!$C$10:$C$224,$C235,'TL17'!$J$10:$J$224),0),
IF('TL17'!$B$229=P$3,SUMIF('TL17'!$C$238:$C$451,$C235,'TL17'!$J$238:$J$451),0),
IF('TL18'!$B$3=P$3,SUMIF('TL18'!$C$10:$C$224,$C235,'TL18'!$J$10:$J$224),0),
IF('TL18'!$B$229=P$3,SUMIF('TL18'!$C$238:$C$451,$C235,'TL18'!$J$238:$J$451),0),
IF('TL19'!$B$3=P$3,SUMIF('TL19'!$C$10:$C$224,$C235,'TL19'!$J$10:$J$224),0),
IF('TL19'!$B$229=P$3,SUMIF('TL19'!$C$238:$C$451,$C235,'TL19'!$J$238:$J$451),0)
),0)</f>
        <v>0</v>
      </c>
      <c r="Q235" s="9">
        <f>IFERROR(SUM(
IF('TL01'!$B$3=Q$3,SUMIF('TL01'!$C$10:$C$224,$C235,'TL01'!$J$10:$J$224),0),
IF('TL01'!$B$229=Q$3,SUMIF('TL01'!$C$238:$C$451,$C235,'TL01'!$J$238:$J$451),0),
IF('TL02'!$B$3=Q$3,SUMIF('TL02'!$C$10:$C$224,$C235,'TL02'!$J$10:$J$224),0),
IF('TL02'!$B$229=Q$3,SUMIF('TL02'!$C$238:$C$451,$C235,'TL02'!$J$238:$J$451),0),
IF('TL03'!$B$3=Q$3,SUMIF('TL03'!$C$10:$C$224,$C235,'TL03'!$J$10:$J$224),0),
IF('TL03'!$B$229=Q$3,SUMIF('TL03'!$C$238:$C$451,$C235,'TL03'!$J$238:$J$451),0),
IF('TL04'!$B$3=Q$3,SUMIF('TL04'!$C$10:$C$224,$C235,'TL04'!$J$10:$J$224),0),
IF('TL04'!$B$229=Q$3,SUMIF('TL04'!$C$238:$C$451,$C235,'TL04'!$J$238:$J$451),0),
IF('TL05'!$B$3=Q$3,SUMIF('TL05'!$C$10:$C$224,$C235,'TL05'!$J$10:$J$224),0),
IF('TL05'!$B$229=Q$3,SUMIF('TL05'!$C$238:$C$451,$C235,'TL05'!$J$238:$J$451),0),
IF('TL06'!$B$3=Q$3,SUMIF('TL06'!$C$10:$C$224,$C235,'TL06'!$J$10:$J$224),0),
IF('TL06'!$B$229=Q$3,SUMIF('TL06'!$C$238:$C$451,$C235,'TL06'!$J$238:$J$451),0),
IF('TL07'!$B$3=Q$3,SUMIF('TL07'!$C$10:$C$224,$C235,'TL07'!$J$10:$J$224),0),
IF('TL07'!$B$229=Q$3,SUMIF('TL07'!$C$238:$C$451,$C235,'TL07'!$J$238:$J$451),0),
IF('TL08'!$B$3=Q$3,SUMIF('TL08'!$C$10:$C$224,$C235,'TL08'!$J$10:$J$224),0),
IF('TL08'!$B$229=Q$3,SUMIF('TL08'!$C$238:$C$451,$C235,'TL08'!$J$238:$J$451),0),
IF('TL09'!$B$3=Q$3,SUMIF('TL09'!$C$10:$C$224,$C235,'TL09'!$J$10:$J$224),0),
IF('TL09'!$B$229=Q$3,SUMIF('TL09'!$C$238:$C$451,$C235,'TL09'!$J$238:$J$451),0),
IF('TL10'!$B$3=Q$3,SUMIF('TL10'!$C$10:$C$224,$C235,'TL10'!$J$10:$J$224),0),
IF('TL10'!$B$229=Q$3,SUMIF('TL10'!$C$238:$C$451,$C235,'TL10'!$J$238:$J$451),0),
IF('TL11'!$B$3=Q$3,SUMIF('TL11'!$C$10:$C$224,$C235,'TL11'!$J$10:$J$224),0),
IF('TL11'!$B$229=Q$3,SUMIF('TL11'!$C$238:$C$451,$C235,'TL11'!$J$238:$J$451),0),
IF('TL12'!$B$3=Q$3,SUMIF('TL12'!$C$10:$C$224,$C235,'TL12'!$J$10:$J$224),0),
IF('TL12'!$B$229=Q$3,SUMIF('TL12'!$C$238:$C$451,$C235,'TL12'!$J$238:$J$451),0),
IF('TL13'!$B$3=Q$3,SUMIF('TL13'!$C$10:$C$224,$C235,'TL13'!$J$10:$J$224),0),
IF('TL13'!$B$229=Q$3,SUMIF('TL13'!$C$238:$C$451,$C235,'TL13'!$J$238:$J$451),0),
IF('TL14'!$B$3=Q$3,SUMIF('TL14'!$C$10:$C$224,$C235,'TL14'!$J$10:$J$224),0),
IF('TL14'!$B$229=Q$3,SUMIF('TL14'!$C$238:$C$451,$C235,'TL14'!$J$238:$J$451),0),
IF('TL15'!$B$3=Q$3,SUMIF('TL15'!$C$10:$C$224,$C235,'TL15'!$J$10:$J$224),0),
IF('TL15'!$B$229=Q$3,SUMIF('TL15'!$C$238:$C$451,$C235,'TL15'!$J$238:$J$451),0),
IF('TL16'!$B$3=Q$3,SUMIF('TL16'!$C$10:$C$224,$C235,'TL16'!$J$10:$J$224),0),
IF('TL16'!$B$229=Q$3,SUMIF('TL16'!$C$238:$C$451,$C235,'TL16'!$J$238:$J$451),0),
IF('TL17'!$B$3=Q$3,SUMIF('TL17'!$C$10:$C$224,$C235,'TL17'!$J$10:$J$224),0),
IF('TL17'!$B$229=Q$3,SUMIF('TL17'!$C$238:$C$451,$C235,'TL17'!$J$238:$J$451),0),
IF('TL18'!$B$3=Q$3,SUMIF('TL18'!$C$10:$C$224,$C235,'TL18'!$J$10:$J$224),0),
IF('TL18'!$B$229=Q$3,SUMIF('TL18'!$C$238:$C$451,$C235,'TL18'!$J$238:$J$451),0),
IF('TL19'!$B$3=Q$3,SUMIF('TL19'!$C$10:$C$224,$C235,'TL19'!$J$10:$J$224),0),
IF('TL19'!$B$229=Q$3,SUMIF('TL19'!$C$238:$C$451,$C235,'TL19'!$J$238:$J$451),0)
),0)</f>
        <v>0</v>
      </c>
      <c r="R235" s="9">
        <f>IFERROR(
SUM(
SUMIF('TL01'!C:C,C235,'TL01'!J:J),
SUMIF('TL02'!C:C,C235,'TL02'!J:J),
SUMIF('TL03'!C:C,C235,'TL03'!J:J),
SUMIF('TL04'!C:C,C235,'TL04'!J:J),
SUMIF('TL05'!C:C,C235,'TL05'!J:J),
SUMIF('TL06'!C:C,C235,'TL06'!J:J),
SUMIF('TL07'!C:C,C235,'TL07'!J:J),
SUMIF('TL08'!C:C,C235,'TL08'!J:J),
SUMIF('TL09'!C:C,C235,'TL09'!J:J),
SUMIF('TL10'!C:C,C235,'TL10'!J:J),
SUMIF('TL11'!C:C,C235,'TL11'!J:J),
SUMIF('TL12'!C:C,C235,'TL12'!J:J),
SUMIF('TL13'!C:C,C235,'TL13'!J:J),
SUMIF('TL14'!C:C,C235,'TL14'!J:J),
SUMIF('TL15'!C:C,C235,'TL15'!J:J),
SUMIF('TL16'!C:C,C235,'TL16'!J:J),
SUMIF('TL17'!C:C,C235,'TL17'!J:J),
SUMIF('TL18'!C:C,C235,'TL18'!J:J),SUMIF('TL19'!C:C,C235,'TL19'!J:J))
,0)</f>
        <v>0</v>
      </c>
      <c r="S235" s="17">
        <f>IFERROR(__xludf.DUMMYFUNCTION("IFERROR(VLOOKUP(C235,
IMPORTRANGE(""1wULbzX32WdYsx-lj2U3uUNBBe2INVIRDtcK0d-Dvl90"",
""26-27!C:G""),
5,
FALSE),
"""")"),156.41864999999999)</f>
        <v>156.41865</v>
      </c>
      <c r="T235" s="9"/>
      <c r="U235" s="92">
        <f t="shared" si="2"/>
        <v>0</v>
      </c>
      <c r="V235" s="93">
        <f t="shared" si="3"/>
        <v>0</v>
      </c>
    </row>
    <row r="236" ht="15.75" hidden="1" customHeight="1">
      <c r="A236" s="87" t="s">
        <v>358</v>
      </c>
      <c r="B236" s="88" t="s">
        <v>2</v>
      </c>
      <c r="C236" s="89" t="s">
        <v>889</v>
      </c>
      <c r="D236" s="89" t="s">
        <v>841</v>
      </c>
      <c r="E236" s="89">
        <v>500.0</v>
      </c>
      <c r="F236" s="4" t="s">
        <v>343</v>
      </c>
      <c r="G236" s="90" t="str">
        <f t="shared" si="4"/>
        <v>📄 Ver bula</v>
      </c>
      <c r="H236" s="9">
        <f>IFERROR(__xludf.DUMMYFUNCTION("IFERROR(VLOOKUP(C236,
IMPORTRANGE(""1wULbzX32WdYsx-lj2U3uUNBBe2INVIRDtcK0d-Dvl90"",
""26-27!C:K""),
8,
FALSE),
"""")"),0.8)</f>
        <v>0.8</v>
      </c>
      <c r="I236" s="91" t="s">
        <v>344</v>
      </c>
      <c r="J236" s="9">
        <f>IFERROR(SUM(
IF('TL01'!$B$3=J$3,SUMIF('TL01'!$C$10:$C$224,$C236,'TL01'!$J$10:$J$224),0),
IF('TL01'!$B$229=J$3,SUMIF('TL01'!$C$238:$C$451,$C236,'TL01'!$J$238:$J$451),0),
IF('TL02'!$B$3=J$3,SUMIF('TL02'!$C$10:$C$224,$C236,'TL02'!$J$10:$J$224),0),
IF('TL02'!$B$229=J$3,SUMIF('TL02'!$C$238:$C$451,$C236,'TL02'!$J$238:$J$451),0),
IF('TL03'!$B$3=J$3,SUMIF('TL03'!$C$10:$C$224,$C236,'TL03'!$J$10:$J$224),0),
IF('TL03'!$B$229=J$3,SUMIF('TL03'!$C$238:$C$451,$C236,'TL03'!$J$238:$J$451),0),
IF('TL04'!$B$3=J$3,SUMIF('TL04'!$C$10:$C$224,$C236,'TL04'!$J$10:$J$224),0),
IF('TL04'!$B$229=J$3,SUMIF('TL04'!$C$238:$C$451,$C236,'TL04'!$J$238:$J$451),0),
IF('TL05'!$B$3=J$3,SUMIF('TL05'!$C$10:$C$224,$C236,'TL05'!$J$10:$J$224),0),
IF('TL05'!$B$229=J$3,SUMIF('TL05'!$C$238:$C$451,$C236,'TL05'!$J$238:$J$451),0),
IF('TL06'!$B$3=J$3,SUMIF('TL06'!$C$10:$C$224,$C236,'TL06'!$J$10:$J$224),0),
IF('TL06'!$B$229=J$3,SUMIF('TL06'!$C$238:$C$451,$C236,'TL06'!$J$238:$J$451),0),
IF('TL07'!$B$3=J$3,SUMIF('TL07'!$C$10:$C$224,$C236,'TL07'!$J$10:$J$224),0),
IF('TL07'!$B$229=J$3,SUMIF('TL07'!$C$238:$C$451,$C236,'TL07'!$J$238:$J$451),0),
IF('TL08'!$B$3=J$3,SUMIF('TL08'!$C$10:$C$224,$C236,'TL08'!$J$10:$J$224),0),
IF('TL08'!$B$229=J$3,SUMIF('TL08'!$C$238:$C$451,$C236,'TL08'!$J$238:$J$451),0),
IF('TL09'!$B$3=J$3,SUMIF('TL09'!$C$10:$C$224,$C236,'TL09'!$J$10:$J$224),0),
IF('TL09'!$B$229=J$3,SUMIF('TL09'!$C$238:$C$451,$C236,'TL09'!$J$238:$J$451),0),
IF('TL10'!$B$3=J$3,SUMIF('TL10'!$C$10:$C$224,$C236,'TL10'!$J$10:$J$224),0),
IF('TL10'!$B$229=J$3,SUMIF('TL10'!$C$238:$C$451,$C236,'TL10'!$J$238:$J$451),0),
IF('TL11'!$B$3=J$3,SUMIF('TL11'!$C$10:$C$224,$C236,'TL11'!$J$10:$J$224),0),
IF('TL11'!$B$229=J$3,SUMIF('TL11'!$C$238:$C$451,$C236,'TL11'!$J$238:$J$451),0),
IF('TL12'!$B$3=J$3,SUMIF('TL12'!$C$10:$C$224,$C236,'TL12'!$J$10:$J$224),0),
IF('TL12'!$B$229=J$3,SUMIF('TL12'!$C$238:$C$451,$C236,'TL12'!$J$238:$J$451),0),
IF('TL13'!$B$3=J$3,SUMIF('TL13'!$C$10:$C$224,$C236,'TL13'!$J$10:$J$224),0),
IF('TL13'!$B$229=J$3,SUMIF('TL13'!$C$238:$C$451,$C236,'TL13'!$J$238:$J$451),0),
IF('TL14'!$B$3=J$3,SUMIF('TL14'!$C$10:$C$224,$C236,'TL14'!$J$10:$J$224),0),
IF('TL14'!$B$229=J$3,SUMIF('TL14'!$C$238:$C$451,$C236,'TL14'!$J$238:$J$451),0),
IF('TL15'!$B$3=J$3,SUMIF('TL15'!$C$10:$C$224,$C236,'TL15'!$J$10:$J$224),0),
IF('TL15'!$B$229=J$3,SUMIF('TL15'!$C$238:$C$451,$C236,'TL15'!$J$238:$J$451),0),
IF('TL16'!$B$3=J$3,SUMIF('TL16'!$C$10:$C$224,$C236,'TL16'!$J$10:$J$224),0),
IF('TL16'!$B$229=J$3,SUMIF('TL16'!$C$238:$C$451,$C236,'TL16'!$J$238:$J$451),0),
IF('TL17'!$B$3=J$3,SUMIF('TL17'!$C$10:$C$224,$C236,'TL17'!$J$10:$J$224),0),
IF('TL17'!$B$229=J$3,SUMIF('TL17'!$C$238:$C$451,$C236,'TL17'!$J$238:$J$451),0),
IF('TL18'!$B$3=J$3,SUMIF('TL18'!$C$10:$C$224,$C236,'TL18'!$J$10:$J$224),0),
IF('TL18'!$B$229=J$3,SUMIF('TL18'!$C$238:$C$451,$C236,'TL18'!$J$238:$J$451),0),
IF('TL19'!$B$3=J$3,SUMIF('TL19'!$C$10:$C$224,$C236,'TL19'!$J$10:$J$224),0),
IF('TL19'!$B$229=J$3,SUMIF('TL19'!$C$238:$C$451,$C236,'TL19'!$J$238:$J$451),0)
),0)</f>
        <v>0</v>
      </c>
      <c r="K236" s="9">
        <f>IFERROR(SUM(
IF('TL01'!$B$3=K$3,SUMIF('TL01'!$C$10:$C$224,$C236,'TL01'!$J$10:$J$224),0),
IF('TL01'!$B$229=K$3,SUMIF('TL01'!$C$238:$C$451,$C236,'TL01'!$J$238:$J$451),0),
IF('TL02'!$B$3=K$3,SUMIF('TL02'!$C$10:$C$224,$C236,'TL02'!$J$10:$J$224),0),
IF('TL02'!$B$229=K$3,SUMIF('TL02'!$C$238:$C$451,$C236,'TL02'!$J$238:$J$451),0),
IF('TL03'!$B$3=K$3,SUMIF('TL03'!$C$10:$C$224,$C236,'TL03'!$J$10:$J$224),0),
IF('TL03'!$B$229=K$3,SUMIF('TL03'!$C$238:$C$451,$C236,'TL03'!$J$238:$J$451),0),
IF('TL04'!$B$3=K$3,SUMIF('TL04'!$C$10:$C$224,$C236,'TL04'!$J$10:$J$224),0),
IF('TL04'!$B$229=K$3,SUMIF('TL04'!$C$238:$C$451,$C236,'TL04'!$J$238:$J$451),0),
IF('TL05'!$B$3=K$3,SUMIF('TL05'!$C$10:$C$224,$C236,'TL05'!$J$10:$J$224),0),
IF('TL05'!$B$229=K$3,SUMIF('TL05'!$C$238:$C$451,$C236,'TL05'!$J$238:$J$451),0),
IF('TL06'!$B$3=K$3,SUMIF('TL06'!$C$10:$C$224,$C236,'TL06'!$J$10:$J$224),0),
IF('TL06'!$B$229=K$3,SUMIF('TL06'!$C$238:$C$451,$C236,'TL06'!$J$238:$J$451),0),
IF('TL07'!$B$3=K$3,SUMIF('TL07'!$C$10:$C$224,$C236,'TL07'!$J$10:$J$224),0),
IF('TL07'!$B$229=K$3,SUMIF('TL07'!$C$238:$C$451,$C236,'TL07'!$J$238:$J$451),0),
IF('TL08'!$B$3=K$3,SUMIF('TL08'!$C$10:$C$224,$C236,'TL08'!$J$10:$J$224),0),
IF('TL08'!$B$229=K$3,SUMIF('TL08'!$C$238:$C$451,$C236,'TL08'!$J$238:$J$451),0),
IF('TL09'!$B$3=K$3,SUMIF('TL09'!$C$10:$C$224,$C236,'TL09'!$J$10:$J$224),0),
IF('TL09'!$B$229=K$3,SUMIF('TL09'!$C$238:$C$451,$C236,'TL09'!$J$238:$J$451),0),
IF('TL10'!$B$3=K$3,SUMIF('TL10'!$C$10:$C$224,$C236,'TL10'!$J$10:$J$224),0),
IF('TL10'!$B$229=K$3,SUMIF('TL10'!$C$238:$C$451,$C236,'TL10'!$J$238:$J$451),0),
IF('TL11'!$B$3=K$3,SUMIF('TL11'!$C$10:$C$224,$C236,'TL11'!$J$10:$J$224),0),
IF('TL11'!$B$229=K$3,SUMIF('TL11'!$C$238:$C$451,$C236,'TL11'!$J$238:$J$451),0),
IF('TL12'!$B$3=K$3,SUMIF('TL12'!$C$10:$C$224,$C236,'TL12'!$J$10:$J$224),0),
IF('TL12'!$B$229=K$3,SUMIF('TL12'!$C$238:$C$451,$C236,'TL12'!$J$238:$J$451),0),
IF('TL13'!$B$3=K$3,SUMIF('TL13'!$C$10:$C$224,$C236,'TL13'!$J$10:$J$224),0),
IF('TL13'!$B$229=K$3,SUMIF('TL13'!$C$238:$C$451,$C236,'TL13'!$J$238:$J$451),0),
IF('TL14'!$B$3=K$3,SUMIF('TL14'!$C$10:$C$224,$C236,'TL14'!$J$10:$J$224),0),
IF('TL14'!$B$229=K$3,SUMIF('TL14'!$C$238:$C$451,$C236,'TL14'!$J$238:$J$451),0),
IF('TL15'!$B$3=K$3,SUMIF('TL15'!$C$10:$C$224,$C236,'TL15'!$J$10:$J$224),0),
IF('TL15'!$B$229=K$3,SUMIF('TL15'!$C$238:$C$451,$C236,'TL15'!$J$238:$J$451),0),
IF('TL16'!$B$3=K$3,SUMIF('TL16'!$C$10:$C$224,$C236,'TL16'!$J$10:$J$224),0),
IF('TL16'!$B$229=K$3,SUMIF('TL16'!$C$238:$C$451,$C236,'TL16'!$J$238:$J$451),0),
IF('TL17'!$B$3=K$3,SUMIF('TL17'!$C$10:$C$224,$C236,'TL17'!$J$10:$J$224),0),
IF('TL17'!$B$229=K$3,SUMIF('TL17'!$C$238:$C$451,$C236,'TL17'!$J$238:$J$451),0),
IF('TL18'!$B$3=K$3,SUMIF('TL18'!$C$10:$C$224,$C236,'TL18'!$J$10:$J$224),0),
IF('TL18'!$B$229=K$3,SUMIF('TL18'!$C$238:$C$451,$C236,'TL18'!$J$238:$J$451),0),
IF('TL19'!$B$3=K$3,SUMIF('TL19'!$C$10:$C$224,$C236,'TL19'!$J$10:$J$224),0),
IF('TL19'!$B$229=K$3,SUMIF('TL19'!$C$238:$C$451,$C236,'TL19'!$J$238:$J$451),0)
),0)</f>
        <v>0</v>
      </c>
      <c r="L236" s="9">
        <f>IFERROR(SUM(
IF('TL01'!$B$3=L$3,SUMIF('TL01'!$C$10:$C$224,$C236,'TL01'!$J$10:$J$224),0),
IF('TL01'!$B$229=L$3,SUMIF('TL01'!$C$238:$C$451,$C236,'TL01'!$J$238:$J$451),0),
IF('TL02'!$B$3=L$3,SUMIF('TL02'!$C$10:$C$224,$C236,'TL02'!$J$10:$J$224),0),
IF('TL02'!$B$229=L$3,SUMIF('TL02'!$C$238:$C$451,$C236,'TL02'!$J$238:$J$451),0),
IF('TL03'!$B$3=L$3,SUMIF('TL03'!$C$10:$C$224,$C236,'TL03'!$J$10:$J$224),0),
IF('TL03'!$B$229=L$3,SUMIF('TL03'!$C$238:$C$451,$C236,'TL03'!$J$238:$J$451),0),
IF('TL04'!$B$3=L$3,SUMIF('TL04'!$C$10:$C$224,$C236,'TL04'!$J$10:$J$224),0),
IF('TL04'!$B$229=L$3,SUMIF('TL04'!$C$238:$C$451,$C236,'TL04'!$J$238:$J$451),0),
IF('TL05'!$B$3=L$3,SUMIF('TL05'!$C$10:$C$224,$C236,'TL05'!$J$10:$J$224),0),
IF('TL05'!$B$229=L$3,SUMIF('TL05'!$C$238:$C$451,$C236,'TL05'!$J$238:$J$451),0),
IF('TL06'!$B$3=L$3,SUMIF('TL06'!$C$10:$C$224,$C236,'TL06'!$J$10:$J$224),0),
IF('TL06'!$B$229=L$3,SUMIF('TL06'!$C$238:$C$451,$C236,'TL06'!$J$238:$J$451),0),
IF('TL07'!$B$3=L$3,SUMIF('TL07'!$C$10:$C$224,$C236,'TL07'!$J$10:$J$224),0),
IF('TL07'!$B$229=L$3,SUMIF('TL07'!$C$238:$C$451,$C236,'TL07'!$J$238:$J$451),0),
IF('TL08'!$B$3=L$3,SUMIF('TL08'!$C$10:$C$224,$C236,'TL08'!$J$10:$J$224),0),
IF('TL08'!$B$229=L$3,SUMIF('TL08'!$C$238:$C$451,$C236,'TL08'!$J$238:$J$451),0),
IF('TL09'!$B$3=L$3,SUMIF('TL09'!$C$10:$C$224,$C236,'TL09'!$J$10:$J$224),0),
IF('TL09'!$B$229=L$3,SUMIF('TL09'!$C$238:$C$451,$C236,'TL09'!$J$238:$J$451),0),
IF('TL10'!$B$3=L$3,SUMIF('TL10'!$C$10:$C$224,$C236,'TL10'!$J$10:$J$224),0),
IF('TL10'!$B$229=L$3,SUMIF('TL10'!$C$238:$C$451,$C236,'TL10'!$J$238:$J$451),0),
IF('TL11'!$B$3=L$3,SUMIF('TL11'!$C$10:$C$224,$C236,'TL11'!$J$10:$J$224),0),
IF('TL11'!$B$229=L$3,SUMIF('TL11'!$C$238:$C$451,$C236,'TL11'!$J$238:$J$451),0),
IF('TL12'!$B$3=L$3,SUMIF('TL12'!$C$10:$C$224,$C236,'TL12'!$J$10:$J$224),0),
IF('TL12'!$B$229=L$3,SUMIF('TL12'!$C$238:$C$451,$C236,'TL12'!$J$238:$J$451),0),
IF('TL13'!$B$3=L$3,SUMIF('TL13'!$C$10:$C$224,$C236,'TL13'!$J$10:$J$224),0),
IF('TL13'!$B$229=L$3,SUMIF('TL13'!$C$238:$C$451,$C236,'TL13'!$J$238:$J$451),0),
IF('TL14'!$B$3=L$3,SUMIF('TL14'!$C$10:$C$224,$C236,'TL14'!$J$10:$J$224),0),
IF('TL14'!$B$229=L$3,SUMIF('TL14'!$C$238:$C$451,$C236,'TL14'!$J$238:$J$451),0),
IF('TL15'!$B$3=L$3,SUMIF('TL15'!$C$10:$C$224,$C236,'TL15'!$J$10:$J$224),0),
IF('TL15'!$B$229=L$3,SUMIF('TL15'!$C$238:$C$451,$C236,'TL15'!$J$238:$J$451),0),
IF('TL16'!$B$3=L$3,SUMIF('TL16'!$C$10:$C$224,$C236,'TL16'!$J$10:$J$224),0),
IF('TL16'!$B$229=L$3,SUMIF('TL16'!$C$238:$C$451,$C236,'TL16'!$J$238:$J$451),0),
IF('TL17'!$B$3=L$3,SUMIF('TL17'!$C$10:$C$224,$C236,'TL17'!$J$10:$J$224),0),
IF('TL17'!$B$229=L$3,SUMIF('TL17'!$C$238:$C$451,$C236,'TL17'!$J$238:$J$451),0),
IF('TL18'!$B$3=L$3,SUMIF('TL18'!$C$10:$C$224,$C236,'TL18'!$J$10:$J$224),0),
IF('TL18'!$B$229=L$3,SUMIF('TL18'!$C$238:$C$451,$C236,'TL18'!$J$238:$J$451),0),
IF('TL19'!$B$3=L$3,SUMIF('TL19'!$C$10:$C$224,$C236,'TL19'!$J$10:$J$224),0),
IF('TL19'!$B$229=L$3,SUMIF('TL19'!$C$238:$C$451,$C236,'TL19'!$J$238:$J$451),0)
),0)</f>
        <v>0</v>
      </c>
      <c r="M236" s="9">
        <f>IFERROR(SUM(
IF('TL01'!$B$3=M$3,SUMIF('TL01'!$C$10:$C$224,$C236,'TL01'!$J$10:$J$224),0),
IF('TL01'!$B$229=M$3,SUMIF('TL01'!$C$238:$C$451,$C236,'TL01'!$J$238:$J$451),0),
IF('TL02'!$B$3=M$3,SUMIF('TL02'!$C$10:$C$224,$C236,'TL02'!$J$10:$J$224),0),
IF('TL02'!$B$229=M$3,SUMIF('TL02'!$C$238:$C$451,$C236,'TL02'!$J$238:$J$451),0),
IF('TL03'!$B$3=M$3,SUMIF('TL03'!$C$10:$C$224,$C236,'TL03'!$J$10:$J$224),0),
IF('TL03'!$B$229=M$3,SUMIF('TL03'!$C$238:$C$451,$C236,'TL03'!$J$238:$J$451),0),
IF('TL04'!$B$3=M$3,SUMIF('TL04'!$C$10:$C$224,$C236,'TL04'!$J$10:$J$224),0),
IF('TL04'!$B$229=M$3,SUMIF('TL04'!$C$238:$C$451,$C236,'TL04'!$J$238:$J$451),0),
IF('TL05'!$B$3=M$3,SUMIF('TL05'!$C$10:$C$224,$C236,'TL05'!$J$10:$J$224),0),
IF('TL05'!$B$229=M$3,SUMIF('TL05'!$C$238:$C$451,$C236,'TL05'!$J$238:$J$451),0),
IF('TL06'!$B$3=M$3,SUMIF('TL06'!$C$10:$C$224,$C236,'TL06'!$J$10:$J$224),0),
IF('TL06'!$B$229=M$3,SUMIF('TL06'!$C$238:$C$451,$C236,'TL06'!$J$238:$J$451),0),
IF('TL07'!$B$3=M$3,SUMIF('TL07'!$C$10:$C$224,$C236,'TL07'!$J$10:$J$224),0),
IF('TL07'!$B$229=M$3,SUMIF('TL07'!$C$238:$C$451,$C236,'TL07'!$J$238:$J$451),0),
IF('TL08'!$B$3=M$3,SUMIF('TL08'!$C$10:$C$224,$C236,'TL08'!$J$10:$J$224),0),
IF('TL08'!$B$229=M$3,SUMIF('TL08'!$C$238:$C$451,$C236,'TL08'!$J$238:$J$451),0),
IF('TL09'!$B$3=M$3,SUMIF('TL09'!$C$10:$C$224,$C236,'TL09'!$J$10:$J$224),0),
IF('TL09'!$B$229=M$3,SUMIF('TL09'!$C$238:$C$451,$C236,'TL09'!$J$238:$J$451),0),
IF('TL10'!$B$3=M$3,SUMIF('TL10'!$C$10:$C$224,$C236,'TL10'!$J$10:$J$224),0),
IF('TL10'!$B$229=M$3,SUMIF('TL10'!$C$238:$C$451,$C236,'TL10'!$J$238:$J$451),0),
IF('TL11'!$B$3=M$3,SUMIF('TL11'!$C$10:$C$224,$C236,'TL11'!$J$10:$J$224),0),
IF('TL11'!$B$229=M$3,SUMIF('TL11'!$C$238:$C$451,$C236,'TL11'!$J$238:$J$451),0),
IF('TL12'!$B$3=M$3,SUMIF('TL12'!$C$10:$C$224,$C236,'TL12'!$J$10:$J$224),0),
IF('TL12'!$B$229=M$3,SUMIF('TL12'!$C$238:$C$451,$C236,'TL12'!$J$238:$J$451),0),
IF('TL13'!$B$3=M$3,SUMIF('TL13'!$C$10:$C$224,$C236,'TL13'!$J$10:$J$224),0),
IF('TL13'!$B$229=M$3,SUMIF('TL13'!$C$238:$C$451,$C236,'TL13'!$J$238:$J$451),0),
IF('TL14'!$B$3=M$3,SUMIF('TL14'!$C$10:$C$224,$C236,'TL14'!$J$10:$J$224),0),
IF('TL14'!$B$229=M$3,SUMIF('TL14'!$C$238:$C$451,$C236,'TL14'!$J$238:$J$451),0),
IF('TL15'!$B$3=M$3,SUMIF('TL15'!$C$10:$C$224,$C236,'TL15'!$J$10:$J$224),0),
IF('TL15'!$B$229=M$3,SUMIF('TL15'!$C$238:$C$451,$C236,'TL15'!$J$238:$J$451),0),
IF('TL16'!$B$3=M$3,SUMIF('TL16'!$C$10:$C$224,$C236,'TL16'!$J$10:$J$224),0),
IF('TL16'!$B$229=M$3,SUMIF('TL16'!$C$238:$C$451,$C236,'TL16'!$J$238:$J$451),0),
IF('TL17'!$B$3=M$3,SUMIF('TL17'!$C$10:$C$224,$C236,'TL17'!$J$10:$J$224),0),
IF('TL17'!$B$229=M$3,SUMIF('TL17'!$C$238:$C$451,$C236,'TL17'!$J$238:$J$451),0),
IF('TL18'!$B$3=M$3,SUMIF('TL18'!$C$10:$C$224,$C236,'TL18'!$J$10:$J$224),0),
IF('TL18'!$B$229=M$3,SUMIF('TL18'!$C$238:$C$451,$C236,'TL18'!$J$238:$J$451),0),
IF('TL19'!$B$3=M$3,SUMIF('TL19'!$C$10:$C$224,$C236,'TL19'!$J$10:$J$224),0),
IF('TL19'!$B$229=M$3,SUMIF('TL19'!$C$238:$C$451,$C236,'TL19'!$J$238:$J$451),0)
),0)</f>
        <v>0</v>
      </c>
      <c r="N236" s="9">
        <f>IFERROR(SUM(
IF('TL01'!$B$3=N$3,SUMIF('TL01'!$C$10:$C$224,$C236,'TL01'!$J$10:$J$224),0),
IF('TL01'!$B$229=N$3,SUMIF('TL01'!$C$238:$C$451,$C236,'TL01'!$J$238:$J$451),0),
IF('TL02'!$B$3=N$3,SUMIF('TL02'!$C$10:$C$224,$C236,'TL02'!$J$10:$J$224),0),
IF('TL02'!$B$229=N$3,SUMIF('TL02'!$C$238:$C$451,$C236,'TL02'!$J$238:$J$451),0),
IF('TL03'!$B$3=N$3,SUMIF('TL03'!$C$10:$C$224,$C236,'TL03'!$J$10:$J$224),0),
IF('TL03'!$B$229=N$3,SUMIF('TL03'!$C$238:$C$451,$C236,'TL03'!$J$238:$J$451),0),
IF('TL04'!$B$3=N$3,SUMIF('TL04'!$C$10:$C$224,$C236,'TL04'!$J$10:$J$224),0),
IF('TL04'!$B$229=N$3,SUMIF('TL04'!$C$238:$C$451,$C236,'TL04'!$J$238:$J$451),0),
IF('TL05'!$B$3=N$3,SUMIF('TL05'!$C$10:$C$224,$C236,'TL05'!$J$10:$J$224),0),
IF('TL05'!$B$229=N$3,SUMIF('TL05'!$C$238:$C$451,$C236,'TL05'!$J$238:$J$451),0),
IF('TL06'!$B$3=N$3,SUMIF('TL06'!$C$10:$C$224,$C236,'TL06'!$J$10:$J$224),0),
IF('TL06'!$B$229=N$3,SUMIF('TL06'!$C$238:$C$451,$C236,'TL06'!$J$238:$J$451),0),
IF('TL07'!$B$3=N$3,SUMIF('TL07'!$C$10:$C$224,$C236,'TL07'!$J$10:$J$224),0),
IF('TL07'!$B$229=N$3,SUMIF('TL07'!$C$238:$C$451,$C236,'TL07'!$J$238:$J$451),0),
IF('TL08'!$B$3=N$3,SUMIF('TL08'!$C$10:$C$224,$C236,'TL08'!$J$10:$J$224),0),
IF('TL08'!$B$229=N$3,SUMIF('TL08'!$C$238:$C$451,$C236,'TL08'!$J$238:$J$451),0),
IF('TL09'!$B$3=N$3,SUMIF('TL09'!$C$10:$C$224,$C236,'TL09'!$J$10:$J$224),0),
IF('TL09'!$B$229=N$3,SUMIF('TL09'!$C$238:$C$451,$C236,'TL09'!$J$238:$J$451),0),
IF('TL10'!$B$3=N$3,SUMIF('TL10'!$C$10:$C$224,$C236,'TL10'!$J$10:$J$224),0),
IF('TL10'!$B$229=N$3,SUMIF('TL10'!$C$238:$C$451,$C236,'TL10'!$J$238:$J$451),0),
IF('TL11'!$B$3=N$3,SUMIF('TL11'!$C$10:$C$224,$C236,'TL11'!$J$10:$J$224),0),
IF('TL11'!$B$229=N$3,SUMIF('TL11'!$C$238:$C$451,$C236,'TL11'!$J$238:$J$451),0),
IF('TL12'!$B$3=N$3,SUMIF('TL12'!$C$10:$C$224,$C236,'TL12'!$J$10:$J$224),0),
IF('TL12'!$B$229=N$3,SUMIF('TL12'!$C$238:$C$451,$C236,'TL12'!$J$238:$J$451),0),
IF('TL13'!$B$3=N$3,SUMIF('TL13'!$C$10:$C$224,$C236,'TL13'!$J$10:$J$224),0),
IF('TL13'!$B$229=N$3,SUMIF('TL13'!$C$238:$C$451,$C236,'TL13'!$J$238:$J$451),0),
IF('TL14'!$B$3=N$3,SUMIF('TL14'!$C$10:$C$224,$C236,'TL14'!$J$10:$J$224),0),
IF('TL14'!$B$229=N$3,SUMIF('TL14'!$C$238:$C$451,$C236,'TL14'!$J$238:$J$451),0),
IF('TL15'!$B$3=N$3,SUMIF('TL15'!$C$10:$C$224,$C236,'TL15'!$J$10:$J$224),0),
IF('TL15'!$B$229=N$3,SUMIF('TL15'!$C$238:$C$451,$C236,'TL15'!$J$238:$J$451),0),
IF('TL16'!$B$3=N$3,SUMIF('TL16'!$C$10:$C$224,$C236,'TL16'!$J$10:$J$224),0),
IF('TL16'!$B$229=N$3,SUMIF('TL16'!$C$238:$C$451,$C236,'TL16'!$J$238:$J$451),0),
IF('TL17'!$B$3=N$3,SUMIF('TL17'!$C$10:$C$224,$C236,'TL17'!$J$10:$J$224),0),
IF('TL17'!$B$229=N$3,SUMIF('TL17'!$C$238:$C$451,$C236,'TL17'!$J$238:$J$451),0),
IF('TL18'!$B$3=N$3,SUMIF('TL18'!$C$10:$C$224,$C236,'TL18'!$J$10:$J$224),0),
IF('TL18'!$B$229=N$3,SUMIF('TL18'!$C$238:$C$451,$C236,'TL18'!$J$238:$J$451),0),
IF('TL19'!$B$3=N$3,SUMIF('TL19'!$C$10:$C$224,$C236,'TL19'!$J$10:$J$224),0),
IF('TL19'!$B$229=N$3,SUMIF('TL19'!$C$238:$C$451,$C236,'TL19'!$J$238:$J$451),0)
),0)</f>
        <v>0</v>
      </c>
      <c r="O236" s="9">
        <f>IFERROR(SUM(
IF('TL01'!$B$3=O$3,SUMIF('TL01'!$C$10:$C$224,$C236,'TL01'!$J$10:$J$224),0),
IF('TL01'!$B$229=O$3,SUMIF('TL01'!$C$238:$C$451,$C236,'TL01'!$J$238:$J$451),0),
IF('TL02'!$B$3=O$3,SUMIF('TL02'!$C$10:$C$224,$C236,'TL02'!$J$10:$J$224),0),
IF('TL02'!$B$229=O$3,SUMIF('TL02'!$C$238:$C$451,$C236,'TL02'!$J$238:$J$451),0),
IF('TL03'!$B$3=O$3,SUMIF('TL03'!$C$10:$C$224,$C236,'TL03'!$J$10:$J$224),0),
IF('TL03'!$B$229=O$3,SUMIF('TL03'!$C$238:$C$451,$C236,'TL03'!$J$238:$J$451),0),
IF('TL04'!$B$3=O$3,SUMIF('TL04'!$C$10:$C$224,$C236,'TL04'!$J$10:$J$224),0),
IF('TL04'!$B$229=O$3,SUMIF('TL04'!$C$238:$C$451,$C236,'TL04'!$J$238:$J$451),0),
IF('TL05'!$B$3=O$3,SUMIF('TL05'!$C$10:$C$224,$C236,'TL05'!$J$10:$J$224),0),
IF('TL05'!$B$229=O$3,SUMIF('TL05'!$C$238:$C$451,$C236,'TL05'!$J$238:$J$451),0),
IF('TL06'!$B$3=O$3,SUMIF('TL06'!$C$10:$C$224,$C236,'TL06'!$J$10:$J$224),0),
IF('TL06'!$B$229=O$3,SUMIF('TL06'!$C$238:$C$451,$C236,'TL06'!$J$238:$J$451),0),
IF('TL07'!$B$3=O$3,SUMIF('TL07'!$C$10:$C$224,$C236,'TL07'!$J$10:$J$224),0),
IF('TL07'!$B$229=O$3,SUMIF('TL07'!$C$238:$C$451,$C236,'TL07'!$J$238:$J$451),0),
IF('TL08'!$B$3=O$3,SUMIF('TL08'!$C$10:$C$224,$C236,'TL08'!$J$10:$J$224),0),
IF('TL08'!$B$229=O$3,SUMIF('TL08'!$C$238:$C$451,$C236,'TL08'!$J$238:$J$451),0),
IF('TL09'!$B$3=O$3,SUMIF('TL09'!$C$10:$C$224,$C236,'TL09'!$J$10:$J$224),0),
IF('TL09'!$B$229=O$3,SUMIF('TL09'!$C$238:$C$451,$C236,'TL09'!$J$238:$J$451),0),
IF('TL10'!$B$3=O$3,SUMIF('TL10'!$C$10:$C$224,$C236,'TL10'!$J$10:$J$224),0),
IF('TL10'!$B$229=O$3,SUMIF('TL10'!$C$238:$C$451,$C236,'TL10'!$J$238:$J$451),0),
IF('TL11'!$B$3=O$3,SUMIF('TL11'!$C$10:$C$224,$C236,'TL11'!$J$10:$J$224),0),
IF('TL11'!$B$229=O$3,SUMIF('TL11'!$C$238:$C$451,$C236,'TL11'!$J$238:$J$451),0),
IF('TL12'!$B$3=O$3,SUMIF('TL12'!$C$10:$C$224,$C236,'TL12'!$J$10:$J$224),0),
IF('TL12'!$B$229=O$3,SUMIF('TL12'!$C$238:$C$451,$C236,'TL12'!$J$238:$J$451),0),
IF('TL13'!$B$3=O$3,SUMIF('TL13'!$C$10:$C$224,$C236,'TL13'!$J$10:$J$224),0),
IF('TL13'!$B$229=O$3,SUMIF('TL13'!$C$238:$C$451,$C236,'TL13'!$J$238:$J$451),0),
IF('TL14'!$B$3=O$3,SUMIF('TL14'!$C$10:$C$224,$C236,'TL14'!$J$10:$J$224),0),
IF('TL14'!$B$229=O$3,SUMIF('TL14'!$C$238:$C$451,$C236,'TL14'!$J$238:$J$451),0),
IF('TL15'!$B$3=O$3,SUMIF('TL15'!$C$10:$C$224,$C236,'TL15'!$J$10:$J$224),0),
IF('TL15'!$B$229=O$3,SUMIF('TL15'!$C$238:$C$451,$C236,'TL15'!$J$238:$J$451),0),
IF('TL16'!$B$3=O$3,SUMIF('TL16'!$C$10:$C$224,$C236,'TL16'!$J$10:$J$224),0),
IF('TL16'!$B$229=O$3,SUMIF('TL16'!$C$238:$C$451,$C236,'TL16'!$J$238:$J$451),0),
IF('TL17'!$B$3=O$3,SUMIF('TL17'!$C$10:$C$224,$C236,'TL17'!$J$10:$J$224),0),
IF('TL17'!$B$229=O$3,SUMIF('TL17'!$C$238:$C$451,$C236,'TL17'!$J$238:$J$451),0),
IF('TL18'!$B$3=O$3,SUMIF('TL18'!$C$10:$C$224,$C236,'TL18'!$J$10:$J$224),0),
IF('TL18'!$B$229=O$3,SUMIF('TL18'!$C$238:$C$451,$C236,'TL18'!$J$238:$J$451),0),
IF('TL19'!$B$3=O$3,SUMIF('TL19'!$C$10:$C$224,$C236,'TL19'!$J$10:$J$224),0),
IF('TL19'!$B$229=O$3,SUMIF('TL19'!$C$238:$C$451,$C236,'TL19'!$J$238:$J$451),0)
),0)</f>
        <v>0</v>
      </c>
      <c r="P236" s="9">
        <f>IFERROR(SUM(
IF('TL01'!$B$3=P$3,SUMIF('TL01'!$C$10:$C$224,$C236,'TL01'!$J$10:$J$224),0),
IF('TL01'!$B$229=P$3,SUMIF('TL01'!$C$238:$C$451,$C236,'TL01'!$J$238:$J$451),0),
IF('TL02'!$B$3=P$3,SUMIF('TL02'!$C$10:$C$224,$C236,'TL02'!$J$10:$J$224),0),
IF('TL02'!$B$229=P$3,SUMIF('TL02'!$C$238:$C$451,$C236,'TL02'!$J$238:$J$451),0),
IF('TL03'!$B$3=P$3,SUMIF('TL03'!$C$10:$C$224,$C236,'TL03'!$J$10:$J$224),0),
IF('TL03'!$B$229=P$3,SUMIF('TL03'!$C$238:$C$451,$C236,'TL03'!$J$238:$J$451),0),
IF('TL04'!$B$3=P$3,SUMIF('TL04'!$C$10:$C$224,$C236,'TL04'!$J$10:$J$224),0),
IF('TL04'!$B$229=P$3,SUMIF('TL04'!$C$238:$C$451,$C236,'TL04'!$J$238:$J$451),0),
IF('TL05'!$B$3=P$3,SUMIF('TL05'!$C$10:$C$224,$C236,'TL05'!$J$10:$J$224),0),
IF('TL05'!$B$229=P$3,SUMIF('TL05'!$C$238:$C$451,$C236,'TL05'!$J$238:$J$451),0),
IF('TL06'!$B$3=P$3,SUMIF('TL06'!$C$10:$C$224,$C236,'TL06'!$J$10:$J$224),0),
IF('TL06'!$B$229=P$3,SUMIF('TL06'!$C$238:$C$451,$C236,'TL06'!$J$238:$J$451),0),
IF('TL07'!$B$3=P$3,SUMIF('TL07'!$C$10:$C$224,$C236,'TL07'!$J$10:$J$224),0),
IF('TL07'!$B$229=P$3,SUMIF('TL07'!$C$238:$C$451,$C236,'TL07'!$J$238:$J$451),0),
IF('TL08'!$B$3=P$3,SUMIF('TL08'!$C$10:$C$224,$C236,'TL08'!$J$10:$J$224),0),
IF('TL08'!$B$229=P$3,SUMIF('TL08'!$C$238:$C$451,$C236,'TL08'!$J$238:$J$451),0),
IF('TL09'!$B$3=P$3,SUMIF('TL09'!$C$10:$C$224,$C236,'TL09'!$J$10:$J$224),0),
IF('TL09'!$B$229=P$3,SUMIF('TL09'!$C$238:$C$451,$C236,'TL09'!$J$238:$J$451),0),
IF('TL10'!$B$3=P$3,SUMIF('TL10'!$C$10:$C$224,$C236,'TL10'!$J$10:$J$224),0),
IF('TL10'!$B$229=P$3,SUMIF('TL10'!$C$238:$C$451,$C236,'TL10'!$J$238:$J$451),0),
IF('TL11'!$B$3=P$3,SUMIF('TL11'!$C$10:$C$224,$C236,'TL11'!$J$10:$J$224),0),
IF('TL11'!$B$229=P$3,SUMIF('TL11'!$C$238:$C$451,$C236,'TL11'!$J$238:$J$451),0),
IF('TL12'!$B$3=P$3,SUMIF('TL12'!$C$10:$C$224,$C236,'TL12'!$J$10:$J$224),0),
IF('TL12'!$B$229=P$3,SUMIF('TL12'!$C$238:$C$451,$C236,'TL12'!$J$238:$J$451),0),
IF('TL13'!$B$3=P$3,SUMIF('TL13'!$C$10:$C$224,$C236,'TL13'!$J$10:$J$224),0),
IF('TL13'!$B$229=P$3,SUMIF('TL13'!$C$238:$C$451,$C236,'TL13'!$J$238:$J$451),0),
IF('TL14'!$B$3=P$3,SUMIF('TL14'!$C$10:$C$224,$C236,'TL14'!$J$10:$J$224),0),
IF('TL14'!$B$229=P$3,SUMIF('TL14'!$C$238:$C$451,$C236,'TL14'!$J$238:$J$451),0),
IF('TL15'!$B$3=P$3,SUMIF('TL15'!$C$10:$C$224,$C236,'TL15'!$J$10:$J$224),0),
IF('TL15'!$B$229=P$3,SUMIF('TL15'!$C$238:$C$451,$C236,'TL15'!$J$238:$J$451),0),
IF('TL16'!$B$3=P$3,SUMIF('TL16'!$C$10:$C$224,$C236,'TL16'!$J$10:$J$224),0),
IF('TL16'!$B$229=P$3,SUMIF('TL16'!$C$238:$C$451,$C236,'TL16'!$J$238:$J$451),0),
IF('TL17'!$B$3=P$3,SUMIF('TL17'!$C$10:$C$224,$C236,'TL17'!$J$10:$J$224),0),
IF('TL17'!$B$229=P$3,SUMIF('TL17'!$C$238:$C$451,$C236,'TL17'!$J$238:$J$451),0),
IF('TL18'!$B$3=P$3,SUMIF('TL18'!$C$10:$C$224,$C236,'TL18'!$J$10:$J$224),0),
IF('TL18'!$B$229=P$3,SUMIF('TL18'!$C$238:$C$451,$C236,'TL18'!$J$238:$J$451),0),
IF('TL19'!$B$3=P$3,SUMIF('TL19'!$C$10:$C$224,$C236,'TL19'!$J$10:$J$224),0),
IF('TL19'!$B$229=P$3,SUMIF('TL19'!$C$238:$C$451,$C236,'TL19'!$J$238:$J$451),0)
),0)</f>
        <v>0</v>
      </c>
      <c r="Q236" s="9">
        <f>IFERROR(SUM(
IF('TL01'!$B$3=Q$3,SUMIF('TL01'!$C$10:$C$224,$C236,'TL01'!$J$10:$J$224),0),
IF('TL01'!$B$229=Q$3,SUMIF('TL01'!$C$238:$C$451,$C236,'TL01'!$J$238:$J$451),0),
IF('TL02'!$B$3=Q$3,SUMIF('TL02'!$C$10:$C$224,$C236,'TL02'!$J$10:$J$224),0),
IF('TL02'!$B$229=Q$3,SUMIF('TL02'!$C$238:$C$451,$C236,'TL02'!$J$238:$J$451),0),
IF('TL03'!$B$3=Q$3,SUMIF('TL03'!$C$10:$C$224,$C236,'TL03'!$J$10:$J$224),0),
IF('TL03'!$B$229=Q$3,SUMIF('TL03'!$C$238:$C$451,$C236,'TL03'!$J$238:$J$451),0),
IF('TL04'!$B$3=Q$3,SUMIF('TL04'!$C$10:$C$224,$C236,'TL04'!$J$10:$J$224),0),
IF('TL04'!$B$229=Q$3,SUMIF('TL04'!$C$238:$C$451,$C236,'TL04'!$J$238:$J$451),0),
IF('TL05'!$B$3=Q$3,SUMIF('TL05'!$C$10:$C$224,$C236,'TL05'!$J$10:$J$224),0),
IF('TL05'!$B$229=Q$3,SUMIF('TL05'!$C$238:$C$451,$C236,'TL05'!$J$238:$J$451),0),
IF('TL06'!$B$3=Q$3,SUMIF('TL06'!$C$10:$C$224,$C236,'TL06'!$J$10:$J$224),0),
IF('TL06'!$B$229=Q$3,SUMIF('TL06'!$C$238:$C$451,$C236,'TL06'!$J$238:$J$451),0),
IF('TL07'!$B$3=Q$3,SUMIF('TL07'!$C$10:$C$224,$C236,'TL07'!$J$10:$J$224),0),
IF('TL07'!$B$229=Q$3,SUMIF('TL07'!$C$238:$C$451,$C236,'TL07'!$J$238:$J$451),0),
IF('TL08'!$B$3=Q$3,SUMIF('TL08'!$C$10:$C$224,$C236,'TL08'!$J$10:$J$224),0),
IF('TL08'!$B$229=Q$3,SUMIF('TL08'!$C$238:$C$451,$C236,'TL08'!$J$238:$J$451),0),
IF('TL09'!$B$3=Q$3,SUMIF('TL09'!$C$10:$C$224,$C236,'TL09'!$J$10:$J$224),0),
IF('TL09'!$B$229=Q$3,SUMIF('TL09'!$C$238:$C$451,$C236,'TL09'!$J$238:$J$451),0),
IF('TL10'!$B$3=Q$3,SUMIF('TL10'!$C$10:$C$224,$C236,'TL10'!$J$10:$J$224),0),
IF('TL10'!$B$229=Q$3,SUMIF('TL10'!$C$238:$C$451,$C236,'TL10'!$J$238:$J$451),0),
IF('TL11'!$B$3=Q$3,SUMIF('TL11'!$C$10:$C$224,$C236,'TL11'!$J$10:$J$224),0),
IF('TL11'!$B$229=Q$3,SUMIF('TL11'!$C$238:$C$451,$C236,'TL11'!$J$238:$J$451),0),
IF('TL12'!$B$3=Q$3,SUMIF('TL12'!$C$10:$C$224,$C236,'TL12'!$J$10:$J$224),0),
IF('TL12'!$B$229=Q$3,SUMIF('TL12'!$C$238:$C$451,$C236,'TL12'!$J$238:$J$451),0),
IF('TL13'!$B$3=Q$3,SUMIF('TL13'!$C$10:$C$224,$C236,'TL13'!$J$10:$J$224),0),
IF('TL13'!$B$229=Q$3,SUMIF('TL13'!$C$238:$C$451,$C236,'TL13'!$J$238:$J$451),0),
IF('TL14'!$B$3=Q$3,SUMIF('TL14'!$C$10:$C$224,$C236,'TL14'!$J$10:$J$224),0),
IF('TL14'!$B$229=Q$3,SUMIF('TL14'!$C$238:$C$451,$C236,'TL14'!$J$238:$J$451),0),
IF('TL15'!$B$3=Q$3,SUMIF('TL15'!$C$10:$C$224,$C236,'TL15'!$J$10:$J$224),0),
IF('TL15'!$B$229=Q$3,SUMIF('TL15'!$C$238:$C$451,$C236,'TL15'!$J$238:$J$451),0),
IF('TL16'!$B$3=Q$3,SUMIF('TL16'!$C$10:$C$224,$C236,'TL16'!$J$10:$J$224),0),
IF('TL16'!$B$229=Q$3,SUMIF('TL16'!$C$238:$C$451,$C236,'TL16'!$J$238:$J$451),0),
IF('TL17'!$B$3=Q$3,SUMIF('TL17'!$C$10:$C$224,$C236,'TL17'!$J$10:$J$224),0),
IF('TL17'!$B$229=Q$3,SUMIF('TL17'!$C$238:$C$451,$C236,'TL17'!$J$238:$J$451),0),
IF('TL18'!$B$3=Q$3,SUMIF('TL18'!$C$10:$C$224,$C236,'TL18'!$J$10:$J$224),0),
IF('TL18'!$B$229=Q$3,SUMIF('TL18'!$C$238:$C$451,$C236,'TL18'!$J$238:$J$451),0),
IF('TL19'!$B$3=Q$3,SUMIF('TL19'!$C$10:$C$224,$C236,'TL19'!$J$10:$J$224),0),
IF('TL19'!$B$229=Q$3,SUMIF('TL19'!$C$238:$C$451,$C236,'TL19'!$J$238:$J$451),0)
),0)</f>
        <v>0</v>
      </c>
      <c r="R236" s="9">
        <f>IFERROR(
SUM(
SUMIF('TL01'!C:C,C236,'TL01'!J:J),
SUMIF('TL02'!C:C,C236,'TL02'!J:J),
SUMIF('TL03'!C:C,C236,'TL03'!J:J),
SUMIF('TL04'!C:C,C236,'TL04'!J:J),
SUMIF('TL05'!C:C,C236,'TL05'!J:J),
SUMIF('TL06'!C:C,C236,'TL06'!J:J),
SUMIF('TL07'!C:C,C236,'TL07'!J:J),
SUMIF('TL08'!C:C,C236,'TL08'!J:J),
SUMIF('TL09'!C:C,C236,'TL09'!J:J),
SUMIF('TL10'!C:C,C236,'TL10'!J:J),
SUMIF('TL11'!C:C,C236,'TL11'!J:J),
SUMIF('TL12'!C:C,C236,'TL12'!J:J),
SUMIF('TL13'!C:C,C236,'TL13'!J:J),
SUMIF('TL14'!C:C,C236,'TL14'!J:J),
SUMIF('TL15'!C:C,C236,'TL15'!J:J),
SUMIF('TL16'!C:C,C236,'TL16'!J:J),
SUMIF('TL17'!C:C,C236,'TL17'!J:J),
SUMIF('TL18'!C:C,C236,'TL18'!J:J),SUMIF('TL19'!C:C,C236,'TL19'!J:J))
,0)</f>
        <v>0</v>
      </c>
      <c r="S236" s="17">
        <f>IFERROR(__xludf.DUMMYFUNCTION("IFERROR(VLOOKUP(C236,
IMPORTRANGE(""1wULbzX32WdYsx-lj2U3uUNBBe2INVIRDtcK0d-Dvl90"",
""26-27!C:G""),
5,
FALSE),
"""")"),55.92477)</f>
        <v>55.92477</v>
      </c>
      <c r="T236" s="9"/>
      <c r="U236" s="92">
        <f t="shared" si="2"/>
        <v>0</v>
      </c>
      <c r="V236" s="93">
        <f t="shared" si="3"/>
        <v>0</v>
      </c>
    </row>
    <row r="237" ht="15.75" hidden="1" customHeight="1">
      <c r="A237" s="94" t="s">
        <v>358</v>
      </c>
      <c r="B237" s="95" t="s">
        <v>2</v>
      </c>
      <c r="C237" s="96" t="s">
        <v>890</v>
      </c>
      <c r="D237" s="96" t="s">
        <v>891</v>
      </c>
      <c r="E237" s="96" t="s">
        <v>892</v>
      </c>
      <c r="F237" s="4" t="s">
        <v>343</v>
      </c>
      <c r="G237" s="90" t="str">
        <f t="shared" si="4"/>
        <v>📄 Ver bula</v>
      </c>
      <c r="H237" s="9">
        <f>IFERROR(__xludf.DUMMYFUNCTION("IFERROR(VLOOKUP(C237,
IMPORTRANGE(""1wULbzX32WdYsx-lj2U3uUNBBe2INVIRDtcK0d-Dvl90"",
""26-27!C:K""),
8,
FALSE),
"""")"),1.0)</f>
        <v>1</v>
      </c>
      <c r="I237" s="97" t="s">
        <v>344</v>
      </c>
      <c r="J237" s="9">
        <f>IFERROR(SUM(
IF('TL01'!$B$3=J$3,SUMIF('TL01'!$C$10:$C$224,$C237,'TL01'!$J$10:$J$224),0),
IF('TL01'!$B$229=J$3,SUMIF('TL01'!$C$238:$C$451,$C237,'TL01'!$J$238:$J$451),0),
IF('TL02'!$B$3=J$3,SUMIF('TL02'!$C$10:$C$224,$C237,'TL02'!$J$10:$J$224),0),
IF('TL02'!$B$229=J$3,SUMIF('TL02'!$C$238:$C$451,$C237,'TL02'!$J$238:$J$451),0),
IF('TL03'!$B$3=J$3,SUMIF('TL03'!$C$10:$C$224,$C237,'TL03'!$J$10:$J$224),0),
IF('TL03'!$B$229=J$3,SUMIF('TL03'!$C$238:$C$451,$C237,'TL03'!$J$238:$J$451),0),
IF('TL04'!$B$3=J$3,SUMIF('TL04'!$C$10:$C$224,$C237,'TL04'!$J$10:$J$224),0),
IF('TL04'!$B$229=J$3,SUMIF('TL04'!$C$238:$C$451,$C237,'TL04'!$J$238:$J$451),0),
IF('TL05'!$B$3=J$3,SUMIF('TL05'!$C$10:$C$224,$C237,'TL05'!$J$10:$J$224),0),
IF('TL05'!$B$229=J$3,SUMIF('TL05'!$C$238:$C$451,$C237,'TL05'!$J$238:$J$451),0),
IF('TL06'!$B$3=J$3,SUMIF('TL06'!$C$10:$C$224,$C237,'TL06'!$J$10:$J$224),0),
IF('TL06'!$B$229=J$3,SUMIF('TL06'!$C$238:$C$451,$C237,'TL06'!$J$238:$J$451),0),
IF('TL07'!$B$3=J$3,SUMIF('TL07'!$C$10:$C$224,$C237,'TL07'!$J$10:$J$224),0),
IF('TL07'!$B$229=J$3,SUMIF('TL07'!$C$238:$C$451,$C237,'TL07'!$J$238:$J$451),0),
IF('TL08'!$B$3=J$3,SUMIF('TL08'!$C$10:$C$224,$C237,'TL08'!$J$10:$J$224),0),
IF('TL08'!$B$229=J$3,SUMIF('TL08'!$C$238:$C$451,$C237,'TL08'!$J$238:$J$451),0),
IF('TL09'!$B$3=J$3,SUMIF('TL09'!$C$10:$C$224,$C237,'TL09'!$J$10:$J$224),0),
IF('TL09'!$B$229=J$3,SUMIF('TL09'!$C$238:$C$451,$C237,'TL09'!$J$238:$J$451),0),
IF('TL10'!$B$3=J$3,SUMIF('TL10'!$C$10:$C$224,$C237,'TL10'!$J$10:$J$224),0),
IF('TL10'!$B$229=J$3,SUMIF('TL10'!$C$238:$C$451,$C237,'TL10'!$J$238:$J$451),0),
IF('TL11'!$B$3=J$3,SUMIF('TL11'!$C$10:$C$224,$C237,'TL11'!$J$10:$J$224),0),
IF('TL11'!$B$229=J$3,SUMIF('TL11'!$C$238:$C$451,$C237,'TL11'!$J$238:$J$451),0),
IF('TL12'!$B$3=J$3,SUMIF('TL12'!$C$10:$C$224,$C237,'TL12'!$J$10:$J$224),0),
IF('TL12'!$B$229=J$3,SUMIF('TL12'!$C$238:$C$451,$C237,'TL12'!$J$238:$J$451),0),
IF('TL13'!$B$3=J$3,SUMIF('TL13'!$C$10:$C$224,$C237,'TL13'!$J$10:$J$224),0),
IF('TL13'!$B$229=J$3,SUMIF('TL13'!$C$238:$C$451,$C237,'TL13'!$J$238:$J$451),0),
IF('TL14'!$B$3=J$3,SUMIF('TL14'!$C$10:$C$224,$C237,'TL14'!$J$10:$J$224),0),
IF('TL14'!$B$229=J$3,SUMIF('TL14'!$C$238:$C$451,$C237,'TL14'!$J$238:$J$451),0),
IF('TL15'!$B$3=J$3,SUMIF('TL15'!$C$10:$C$224,$C237,'TL15'!$J$10:$J$224),0),
IF('TL15'!$B$229=J$3,SUMIF('TL15'!$C$238:$C$451,$C237,'TL15'!$J$238:$J$451),0),
IF('TL16'!$B$3=J$3,SUMIF('TL16'!$C$10:$C$224,$C237,'TL16'!$J$10:$J$224),0),
IF('TL16'!$B$229=J$3,SUMIF('TL16'!$C$238:$C$451,$C237,'TL16'!$J$238:$J$451),0),
IF('TL17'!$B$3=J$3,SUMIF('TL17'!$C$10:$C$224,$C237,'TL17'!$J$10:$J$224),0),
IF('TL17'!$B$229=J$3,SUMIF('TL17'!$C$238:$C$451,$C237,'TL17'!$J$238:$J$451),0),
IF('TL18'!$B$3=J$3,SUMIF('TL18'!$C$10:$C$224,$C237,'TL18'!$J$10:$J$224),0),
IF('TL18'!$B$229=J$3,SUMIF('TL18'!$C$238:$C$451,$C237,'TL18'!$J$238:$J$451),0),
IF('TL19'!$B$3=J$3,SUMIF('TL19'!$C$10:$C$224,$C237,'TL19'!$J$10:$J$224),0),
IF('TL19'!$B$229=J$3,SUMIF('TL19'!$C$238:$C$451,$C237,'TL19'!$J$238:$J$451),0)
),0)</f>
        <v>0</v>
      </c>
      <c r="K237" s="9">
        <f>IFERROR(SUM(
IF('TL01'!$B$3=K$3,SUMIF('TL01'!$C$10:$C$224,$C237,'TL01'!$J$10:$J$224),0),
IF('TL01'!$B$229=K$3,SUMIF('TL01'!$C$238:$C$451,$C237,'TL01'!$J$238:$J$451),0),
IF('TL02'!$B$3=K$3,SUMIF('TL02'!$C$10:$C$224,$C237,'TL02'!$J$10:$J$224),0),
IF('TL02'!$B$229=K$3,SUMIF('TL02'!$C$238:$C$451,$C237,'TL02'!$J$238:$J$451),0),
IF('TL03'!$B$3=K$3,SUMIF('TL03'!$C$10:$C$224,$C237,'TL03'!$J$10:$J$224),0),
IF('TL03'!$B$229=K$3,SUMIF('TL03'!$C$238:$C$451,$C237,'TL03'!$J$238:$J$451),0),
IF('TL04'!$B$3=K$3,SUMIF('TL04'!$C$10:$C$224,$C237,'TL04'!$J$10:$J$224),0),
IF('TL04'!$B$229=K$3,SUMIF('TL04'!$C$238:$C$451,$C237,'TL04'!$J$238:$J$451),0),
IF('TL05'!$B$3=K$3,SUMIF('TL05'!$C$10:$C$224,$C237,'TL05'!$J$10:$J$224),0),
IF('TL05'!$B$229=K$3,SUMIF('TL05'!$C$238:$C$451,$C237,'TL05'!$J$238:$J$451),0),
IF('TL06'!$B$3=K$3,SUMIF('TL06'!$C$10:$C$224,$C237,'TL06'!$J$10:$J$224),0),
IF('TL06'!$B$229=K$3,SUMIF('TL06'!$C$238:$C$451,$C237,'TL06'!$J$238:$J$451),0),
IF('TL07'!$B$3=K$3,SUMIF('TL07'!$C$10:$C$224,$C237,'TL07'!$J$10:$J$224),0),
IF('TL07'!$B$229=K$3,SUMIF('TL07'!$C$238:$C$451,$C237,'TL07'!$J$238:$J$451),0),
IF('TL08'!$B$3=K$3,SUMIF('TL08'!$C$10:$C$224,$C237,'TL08'!$J$10:$J$224),0),
IF('TL08'!$B$229=K$3,SUMIF('TL08'!$C$238:$C$451,$C237,'TL08'!$J$238:$J$451),0),
IF('TL09'!$B$3=K$3,SUMIF('TL09'!$C$10:$C$224,$C237,'TL09'!$J$10:$J$224),0),
IF('TL09'!$B$229=K$3,SUMIF('TL09'!$C$238:$C$451,$C237,'TL09'!$J$238:$J$451),0),
IF('TL10'!$B$3=K$3,SUMIF('TL10'!$C$10:$C$224,$C237,'TL10'!$J$10:$J$224),0),
IF('TL10'!$B$229=K$3,SUMIF('TL10'!$C$238:$C$451,$C237,'TL10'!$J$238:$J$451),0),
IF('TL11'!$B$3=K$3,SUMIF('TL11'!$C$10:$C$224,$C237,'TL11'!$J$10:$J$224),0),
IF('TL11'!$B$229=K$3,SUMIF('TL11'!$C$238:$C$451,$C237,'TL11'!$J$238:$J$451),0),
IF('TL12'!$B$3=K$3,SUMIF('TL12'!$C$10:$C$224,$C237,'TL12'!$J$10:$J$224),0),
IF('TL12'!$B$229=K$3,SUMIF('TL12'!$C$238:$C$451,$C237,'TL12'!$J$238:$J$451),0),
IF('TL13'!$B$3=K$3,SUMIF('TL13'!$C$10:$C$224,$C237,'TL13'!$J$10:$J$224),0),
IF('TL13'!$B$229=K$3,SUMIF('TL13'!$C$238:$C$451,$C237,'TL13'!$J$238:$J$451),0),
IF('TL14'!$B$3=K$3,SUMIF('TL14'!$C$10:$C$224,$C237,'TL14'!$J$10:$J$224),0),
IF('TL14'!$B$229=K$3,SUMIF('TL14'!$C$238:$C$451,$C237,'TL14'!$J$238:$J$451),0),
IF('TL15'!$B$3=K$3,SUMIF('TL15'!$C$10:$C$224,$C237,'TL15'!$J$10:$J$224),0),
IF('TL15'!$B$229=K$3,SUMIF('TL15'!$C$238:$C$451,$C237,'TL15'!$J$238:$J$451),0),
IF('TL16'!$B$3=K$3,SUMIF('TL16'!$C$10:$C$224,$C237,'TL16'!$J$10:$J$224),0),
IF('TL16'!$B$229=K$3,SUMIF('TL16'!$C$238:$C$451,$C237,'TL16'!$J$238:$J$451),0),
IF('TL17'!$B$3=K$3,SUMIF('TL17'!$C$10:$C$224,$C237,'TL17'!$J$10:$J$224),0),
IF('TL17'!$B$229=K$3,SUMIF('TL17'!$C$238:$C$451,$C237,'TL17'!$J$238:$J$451),0),
IF('TL18'!$B$3=K$3,SUMIF('TL18'!$C$10:$C$224,$C237,'TL18'!$J$10:$J$224),0),
IF('TL18'!$B$229=K$3,SUMIF('TL18'!$C$238:$C$451,$C237,'TL18'!$J$238:$J$451),0),
IF('TL19'!$B$3=K$3,SUMIF('TL19'!$C$10:$C$224,$C237,'TL19'!$J$10:$J$224),0),
IF('TL19'!$B$229=K$3,SUMIF('TL19'!$C$238:$C$451,$C237,'TL19'!$J$238:$J$451),0)
),0)</f>
        <v>0</v>
      </c>
      <c r="L237" s="9">
        <f>IFERROR(SUM(
IF('TL01'!$B$3=L$3,SUMIF('TL01'!$C$10:$C$224,$C237,'TL01'!$J$10:$J$224),0),
IF('TL01'!$B$229=L$3,SUMIF('TL01'!$C$238:$C$451,$C237,'TL01'!$J$238:$J$451),0),
IF('TL02'!$B$3=L$3,SUMIF('TL02'!$C$10:$C$224,$C237,'TL02'!$J$10:$J$224),0),
IF('TL02'!$B$229=L$3,SUMIF('TL02'!$C$238:$C$451,$C237,'TL02'!$J$238:$J$451),0),
IF('TL03'!$B$3=L$3,SUMIF('TL03'!$C$10:$C$224,$C237,'TL03'!$J$10:$J$224),0),
IF('TL03'!$B$229=L$3,SUMIF('TL03'!$C$238:$C$451,$C237,'TL03'!$J$238:$J$451),0),
IF('TL04'!$B$3=L$3,SUMIF('TL04'!$C$10:$C$224,$C237,'TL04'!$J$10:$J$224),0),
IF('TL04'!$B$229=L$3,SUMIF('TL04'!$C$238:$C$451,$C237,'TL04'!$J$238:$J$451),0),
IF('TL05'!$B$3=L$3,SUMIF('TL05'!$C$10:$C$224,$C237,'TL05'!$J$10:$J$224),0),
IF('TL05'!$B$229=L$3,SUMIF('TL05'!$C$238:$C$451,$C237,'TL05'!$J$238:$J$451),0),
IF('TL06'!$B$3=L$3,SUMIF('TL06'!$C$10:$C$224,$C237,'TL06'!$J$10:$J$224),0),
IF('TL06'!$B$229=L$3,SUMIF('TL06'!$C$238:$C$451,$C237,'TL06'!$J$238:$J$451),0),
IF('TL07'!$B$3=L$3,SUMIF('TL07'!$C$10:$C$224,$C237,'TL07'!$J$10:$J$224),0),
IF('TL07'!$B$229=L$3,SUMIF('TL07'!$C$238:$C$451,$C237,'TL07'!$J$238:$J$451),0),
IF('TL08'!$B$3=L$3,SUMIF('TL08'!$C$10:$C$224,$C237,'TL08'!$J$10:$J$224),0),
IF('TL08'!$B$229=L$3,SUMIF('TL08'!$C$238:$C$451,$C237,'TL08'!$J$238:$J$451),0),
IF('TL09'!$B$3=L$3,SUMIF('TL09'!$C$10:$C$224,$C237,'TL09'!$J$10:$J$224),0),
IF('TL09'!$B$229=L$3,SUMIF('TL09'!$C$238:$C$451,$C237,'TL09'!$J$238:$J$451),0),
IF('TL10'!$B$3=L$3,SUMIF('TL10'!$C$10:$C$224,$C237,'TL10'!$J$10:$J$224),0),
IF('TL10'!$B$229=L$3,SUMIF('TL10'!$C$238:$C$451,$C237,'TL10'!$J$238:$J$451),0),
IF('TL11'!$B$3=L$3,SUMIF('TL11'!$C$10:$C$224,$C237,'TL11'!$J$10:$J$224),0),
IF('TL11'!$B$229=L$3,SUMIF('TL11'!$C$238:$C$451,$C237,'TL11'!$J$238:$J$451),0),
IF('TL12'!$B$3=L$3,SUMIF('TL12'!$C$10:$C$224,$C237,'TL12'!$J$10:$J$224),0),
IF('TL12'!$B$229=L$3,SUMIF('TL12'!$C$238:$C$451,$C237,'TL12'!$J$238:$J$451),0),
IF('TL13'!$B$3=L$3,SUMIF('TL13'!$C$10:$C$224,$C237,'TL13'!$J$10:$J$224),0),
IF('TL13'!$B$229=L$3,SUMIF('TL13'!$C$238:$C$451,$C237,'TL13'!$J$238:$J$451),0),
IF('TL14'!$B$3=L$3,SUMIF('TL14'!$C$10:$C$224,$C237,'TL14'!$J$10:$J$224),0),
IF('TL14'!$B$229=L$3,SUMIF('TL14'!$C$238:$C$451,$C237,'TL14'!$J$238:$J$451),0),
IF('TL15'!$B$3=L$3,SUMIF('TL15'!$C$10:$C$224,$C237,'TL15'!$J$10:$J$224),0),
IF('TL15'!$B$229=L$3,SUMIF('TL15'!$C$238:$C$451,$C237,'TL15'!$J$238:$J$451),0),
IF('TL16'!$B$3=L$3,SUMIF('TL16'!$C$10:$C$224,$C237,'TL16'!$J$10:$J$224),0),
IF('TL16'!$B$229=L$3,SUMIF('TL16'!$C$238:$C$451,$C237,'TL16'!$J$238:$J$451),0),
IF('TL17'!$B$3=L$3,SUMIF('TL17'!$C$10:$C$224,$C237,'TL17'!$J$10:$J$224),0),
IF('TL17'!$B$229=L$3,SUMIF('TL17'!$C$238:$C$451,$C237,'TL17'!$J$238:$J$451),0),
IF('TL18'!$B$3=L$3,SUMIF('TL18'!$C$10:$C$224,$C237,'TL18'!$J$10:$J$224),0),
IF('TL18'!$B$229=L$3,SUMIF('TL18'!$C$238:$C$451,$C237,'TL18'!$J$238:$J$451),0),
IF('TL19'!$B$3=L$3,SUMIF('TL19'!$C$10:$C$224,$C237,'TL19'!$J$10:$J$224),0),
IF('TL19'!$B$229=L$3,SUMIF('TL19'!$C$238:$C$451,$C237,'TL19'!$J$238:$J$451),0)
),0)</f>
        <v>0</v>
      </c>
      <c r="M237" s="9">
        <f>IFERROR(SUM(
IF('TL01'!$B$3=M$3,SUMIF('TL01'!$C$10:$C$224,$C237,'TL01'!$J$10:$J$224),0),
IF('TL01'!$B$229=M$3,SUMIF('TL01'!$C$238:$C$451,$C237,'TL01'!$J$238:$J$451),0),
IF('TL02'!$B$3=M$3,SUMIF('TL02'!$C$10:$C$224,$C237,'TL02'!$J$10:$J$224),0),
IF('TL02'!$B$229=M$3,SUMIF('TL02'!$C$238:$C$451,$C237,'TL02'!$J$238:$J$451),0),
IF('TL03'!$B$3=M$3,SUMIF('TL03'!$C$10:$C$224,$C237,'TL03'!$J$10:$J$224),0),
IF('TL03'!$B$229=M$3,SUMIF('TL03'!$C$238:$C$451,$C237,'TL03'!$J$238:$J$451),0),
IF('TL04'!$B$3=M$3,SUMIF('TL04'!$C$10:$C$224,$C237,'TL04'!$J$10:$J$224),0),
IF('TL04'!$B$229=M$3,SUMIF('TL04'!$C$238:$C$451,$C237,'TL04'!$J$238:$J$451),0),
IF('TL05'!$B$3=M$3,SUMIF('TL05'!$C$10:$C$224,$C237,'TL05'!$J$10:$J$224),0),
IF('TL05'!$B$229=M$3,SUMIF('TL05'!$C$238:$C$451,$C237,'TL05'!$J$238:$J$451),0),
IF('TL06'!$B$3=M$3,SUMIF('TL06'!$C$10:$C$224,$C237,'TL06'!$J$10:$J$224),0),
IF('TL06'!$B$229=M$3,SUMIF('TL06'!$C$238:$C$451,$C237,'TL06'!$J$238:$J$451),0),
IF('TL07'!$B$3=M$3,SUMIF('TL07'!$C$10:$C$224,$C237,'TL07'!$J$10:$J$224),0),
IF('TL07'!$B$229=M$3,SUMIF('TL07'!$C$238:$C$451,$C237,'TL07'!$J$238:$J$451),0),
IF('TL08'!$B$3=M$3,SUMIF('TL08'!$C$10:$C$224,$C237,'TL08'!$J$10:$J$224),0),
IF('TL08'!$B$229=M$3,SUMIF('TL08'!$C$238:$C$451,$C237,'TL08'!$J$238:$J$451),0),
IF('TL09'!$B$3=M$3,SUMIF('TL09'!$C$10:$C$224,$C237,'TL09'!$J$10:$J$224),0),
IF('TL09'!$B$229=M$3,SUMIF('TL09'!$C$238:$C$451,$C237,'TL09'!$J$238:$J$451),0),
IF('TL10'!$B$3=M$3,SUMIF('TL10'!$C$10:$C$224,$C237,'TL10'!$J$10:$J$224),0),
IF('TL10'!$B$229=M$3,SUMIF('TL10'!$C$238:$C$451,$C237,'TL10'!$J$238:$J$451),0),
IF('TL11'!$B$3=M$3,SUMIF('TL11'!$C$10:$C$224,$C237,'TL11'!$J$10:$J$224),0),
IF('TL11'!$B$229=M$3,SUMIF('TL11'!$C$238:$C$451,$C237,'TL11'!$J$238:$J$451),0),
IF('TL12'!$B$3=M$3,SUMIF('TL12'!$C$10:$C$224,$C237,'TL12'!$J$10:$J$224),0),
IF('TL12'!$B$229=M$3,SUMIF('TL12'!$C$238:$C$451,$C237,'TL12'!$J$238:$J$451),0),
IF('TL13'!$B$3=M$3,SUMIF('TL13'!$C$10:$C$224,$C237,'TL13'!$J$10:$J$224),0),
IF('TL13'!$B$229=M$3,SUMIF('TL13'!$C$238:$C$451,$C237,'TL13'!$J$238:$J$451),0),
IF('TL14'!$B$3=M$3,SUMIF('TL14'!$C$10:$C$224,$C237,'TL14'!$J$10:$J$224),0),
IF('TL14'!$B$229=M$3,SUMIF('TL14'!$C$238:$C$451,$C237,'TL14'!$J$238:$J$451),0),
IF('TL15'!$B$3=M$3,SUMIF('TL15'!$C$10:$C$224,$C237,'TL15'!$J$10:$J$224),0),
IF('TL15'!$B$229=M$3,SUMIF('TL15'!$C$238:$C$451,$C237,'TL15'!$J$238:$J$451),0),
IF('TL16'!$B$3=M$3,SUMIF('TL16'!$C$10:$C$224,$C237,'TL16'!$J$10:$J$224),0),
IF('TL16'!$B$229=M$3,SUMIF('TL16'!$C$238:$C$451,$C237,'TL16'!$J$238:$J$451),0),
IF('TL17'!$B$3=M$3,SUMIF('TL17'!$C$10:$C$224,$C237,'TL17'!$J$10:$J$224),0),
IF('TL17'!$B$229=M$3,SUMIF('TL17'!$C$238:$C$451,$C237,'TL17'!$J$238:$J$451),0),
IF('TL18'!$B$3=M$3,SUMIF('TL18'!$C$10:$C$224,$C237,'TL18'!$J$10:$J$224),0),
IF('TL18'!$B$229=M$3,SUMIF('TL18'!$C$238:$C$451,$C237,'TL18'!$J$238:$J$451),0),
IF('TL19'!$B$3=M$3,SUMIF('TL19'!$C$10:$C$224,$C237,'TL19'!$J$10:$J$224),0),
IF('TL19'!$B$229=M$3,SUMIF('TL19'!$C$238:$C$451,$C237,'TL19'!$J$238:$J$451),0)
),0)</f>
        <v>0</v>
      </c>
      <c r="N237" s="9">
        <f>IFERROR(SUM(
IF('TL01'!$B$3=N$3,SUMIF('TL01'!$C$10:$C$224,$C237,'TL01'!$J$10:$J$224),0),
IF('TL01'!$B$229=N$3,SUMIF('TL01'!$C$238:$C$451,$C237,'TL01'!$J$238:$J$451),0),
IF('TL02'!$B$3=N$3,SUMIF('TL02'!$C$10:$C$224,$C237,'TL02'!$J$10:$J$224),0),
IF('TL02'!$B$229=N$3,SUMIF('TL02'!$C$238:$C$451,$C237,'TL02'!$J$238:$J$451),0),
IF('TL03'!$B$3=N$3,SUMIF('TL03'!$C$10:$C$224,$C237,'TL03'!$J$10:$J$224),0),
IF('TL03'!$B$229=N$3,SUMIF('TL03'!$C$238:$C$451,$C237,'TL03'!$J$238:$J$451),0),
IF('TL04'!$B$3=N$3,SUMIF('TL04'!$C$10:$C$224,$C237,'TL04'!$J$10:$J$224),0),
IF('TL04'!$B$229=N$3,SUMIF('TL04'!$C$238:$C$451,$C237,'TL04'!$J$238:$J$451),0),
IF('TL05'!$B$3=N$3,SUMIF('TL05'!$C$10:$C$224,$C237,'TL05'!$J$10:$J$224),0),
IF('TL05'!$B$229=N$3,SUMIF('TL05'!$C$238:$C$451,$C237,'TL05'!$J$238:$J$451),0),
IF('TL06'!$B$3=N$3,SUMIF('TL06'!$C$10:$C$224,$C237,'TL06'!$J$10:$J$224),0),
IF('TL06'!$B$229=N$3,SUMIF('TL06'!$C$238:$C$451,$C237,'TL06'!$J$238:$J$451),0),
IF('TL07'!$B$3=N$3,SUMIF('TL07'!$C$10:$C$224,$C237,'TL07'!$J$10:$J$224),0),
IF('TL07'!$B$229=N$3,SUMIF('TL07'!$C$238:$C$451,$C237,'TL07'!$J$238:$J$451),0),
IF('TL08'!$B$3=N$3,SUMIF('TL08'!$C$10:$C$224,$C237,'TL08'!$J$10:$J$224),0),
IF('TL08'!$B$229=N$3,SUMIF('TL08'!$C$238:$C$451,$C237,'TL08'!$J$238:$J$451),0),
IF('TL09'!$B$3=N$3,SUMIF('TL09'!$C$10:$C$224,$C237,'TL09'!$J$10:$J$224),0),
IF('TL09'!$B$229=N$3,SUMIF('TL09'!$C$238:$C$451,$C237,'TL09'!$J$238:$J$451),0),
IF('TL10'!$B$3=N$3,SUMIF('TL10'!$C$10:$C$224,$C237,'TL10'!$J$10:$J$224),0),
IF('TL10'!$B$229=N$3,SUMIF('TL10'!$C$238:$C$451,$C237,'TL10'!$J$238:$J$451),0),
IF('TL11'!$B$3=N$3,SUMIF('TL11'!$C$10:$C$224,$C237,'TL11'!$J$10:$J$224),0),
IF('TL11'!$B$229=N$3,SUMIF('TL11'!$C$238:$C$451,$C237,'TL11'!$J$238:$J$451),0),
IF('TL12'!$B$3=N$3,SUMIF('TL12'!$C$10:$C$224,$C237,'TL12'!$J$10:$J$224),0),
IF('TL12'!$B$229=N$3,SUMIF('TL12'!$C$238:$C$451,$C237,'TL12'!$J$238:$J$451),0),
IF('TL13'!$B$3=N$3,SUMIF('TL13'!$C$10:$C$224,$C237,'TL13'!$J$10:$J$224),0),
IF('TL13'!$B$229=N$3,SUMIF('TL13'!$C$238:$C$451,$C237,'TL13'!$J$238:$J$451),0),
IF('TL14'!$B$3=N$3,SUMIF('TL14'!$C$10:$C$224,$C237,'TL14'!$J$10:$J$224),0),
IF('TL14'!$B$229=N$3,SUMIF('TL14'!$C$238:$C$451,$C237,'TL14'!$J$238:$J$451),0),
IF('TL15'!$B$3=N$3,SUMIF('TL15'!$C$10:$C$224,$C237,'TL15'!$J$10:$J$224),0),
IF('TL15'!$B$229=N$3,SUMIF('TL15'!$C$238:$C$451,$C237,'TL15'!$J$238:$J$451),0),
IF('TL16'!$B$3=N$3,SUMIF('TL16'!$C$10:$C$224,$C237,'TL16'!$J$10:$J$224),0),
IF('TL16'!$B$229=N$3,SUMIF('TL16'!$C$238:$C$451,$C237,'TL16'!$J$238:$J$451),0),
IF('TL17'!$B$3=N$3,SUMIF('TL17'!$C$10:$C$224,$C237,'TL17'!$J$10:$J$224),0),
IF('TL17'!$B$229=N$3,SUMIF('TL17'!$C$238:$C$451,$C237,'TL17'!$J$238:$J$451),0),
IF('TL18'!$B$3=N$3,SUMIF('TL18'!$C$10:$C$224,$C237,'TL18'!$J$10:$J$224),0),
IF('TL18'!$B$229=N$3,SUMIF('TL18'!$C$238:$C$451,$C237,'TL18'!$J$238:$J$451),0),
IF('TL19'!$B$3=N$3,SUMIF('TL19'!$C$10:$C$224,$C237,'TL19'!$J$10:$J$224),0),
IF('TL19'!$B$229=N$3,SUMIF('TL19'!$C$238:$C$451,$C237,'TL19'!$J$238:$J$451),0)
),0)</f>
        <v>0</v>
      </c>
      <c r="O237" s="9">
        <f>IFERROR(SUM(
IF('TL01'!$B$3=O$3,SUMIF('TL01'!$C$10:$C$224,$C237,'TL01'!$J$10:$J$224),0),
IF('TL01'!$B$229=O$3,SUMIF('TL01'!$C$238:$C$451,$C237,'TL01'!$J$238:$J$451),0),
IF('TL02'!$B$3=O$3,SUMIF('TL02'!$C$10:$C$224,$C237,'TL02'!$J$10:$J$224),0),
IF('TL02'!$B$229=O$3,SUMIF('TL02'!$C$238:$C$451,$C237,'TL02'!$J$238:$J$451),0),
IF('TL03'!$B$3=O$3,SUMIF('TL03'!$C$10:$C$224,$C237,'TL03'!$J$10:$J$224),0),
IF('TL03'!$B$229=O$3,SUMIF('TL03'!$C$238:$C$451,$C237,'TL03'!$J$238:$J$451),0),
IF('TL04'!$B$3=O$3,SUMIF('TL04'!$C$10:$C$224,$C237,'TL04'!$J$10:$J$224),0),
IF('TL04'!$B$229=O$3,SUMIF('TL04'!$C$238:$C$451,$C237,'TL04'!$J$238:$J$451),0),
IF('TL05'!$B$3=O$3,SUMIF('TL05'!$C$10:$C$224,$C237,'TL05'!$J$10:$J$224),0),
IF('TL05'!$B$229=O$3,SUMIF('TL05'!$C$238:$C$451,$C237,'TL05'!$J$238:$J$451),0),
IF('TL06'!$B$3=O$3,SUMIF('TL06'!$C$10:$C$224,$C237,'TL06'!$J$10:$J$224),0),
IF('TL06'!$B$229=O$3,SUMIF('TL06'!$C$238:$C$451,$C237,'TL06'!$J$238:$J$451),0),
IF('TL07'!$B$3=O$3,SUMIF('TL07'!$C$10:$C$224,$C237,'TL07'!$J$10:$J$224),0),
IF('TL07'!$B$229=O$3,SUMIF('TL07'!$C$238:$C$451,$C237,'TL07'!$J$238:$J$451),0),
IF('TL08'!$B$3=O$3,SUMIF('TL08'!$C$10:$C$224,$C237,'TL08'!$J$10:$J$224),0),
IF('TL08'!$B$229=O$3,SUMIF('TL08'!$C$238:$C$451,$C237,'TL08'!$J$238:$J$451),0),
IF('TL09'!$B$3=O$3,SUMIF('TL09'!$C$10:$C$224,$C237,'TL09'!$J$10:$J$224),0),
IF('TL09'!$B$229=O$3,SUMIF('TL09'!$C$238:$C$451,$C237,'TL09'!$J$238:$J$451),0),
IF('TL10'!$B$3=O$3,SUMIF('TL10'!$C$10:$C$224,$C237,'TL10'!$J$10:$J$224),0),
IF('TL10'!$B$229=O$3,SUMIF('TL10'!$C$238:$C$451,$C237,'TL10'!$J$238:$J$451),0),
IF('TL11'!$B$3=O$3,SUMIF('TL11'!$C$10:$C$224,$C237,'TL11'!$J$10:$J$224),0),
IF('TL11'!$B$229=O$3,SUMIF('TL11'!$C$238:$C$451,$C237,'TL11'!$J$238:$J$451),0),
IF('TL12'!$B$3=O$3,SUMIF('TL12'!$C$10:$C$224,$C237,'TL12'!$J$10:$J$224),0),
IF('TL12'!$B$229=O$3,SUMIF('TL12'!$C$238:$C$451,$C237,'TL12'!$J$238:$J$451),0),
IF('TL13'!$B$3=O$3,SUMIF('TL13'!$C$10:$C$224,$C237,'TL13'!$J$10:$J$224),0),
IF('TL13'!$B$229=O$3,SUMIF('TL13'!$C$238:$C$451,$C237,'TL13'!$J$238:$J$451),0),
IF('TL14'!$B$3=O$3,SUMIF('TL14'!$C$10:$C$224,$C237,'TL14'!$J$10:$J$224),0),
IF('TL14'!$B$229=O$3,SUMIF('TL14'!$C$238:$C$451,$C237,'TL14'!$J$238:$J$451),0),
IF('TL15'!$B$3=O$3,SUMIF('TL15'!$C$10:$C$224,$C237,'TL15'!$J$10:$J$224),0),
IF('TL15'!$B$229=O$3,SUMIF('TL15'!$C$238:$C$451,$C237,'TL15'!$J$238:$J$451),0),
IF('TL16'!$B$3=O$3,SUMIF('TL16'!$C$10:$C$224,$C237,'TL16'!$J$10:$J$224),0),
IF('TL16'!$B$229=O$3,SUMIF('TL16'!$C$238:$C$451,$C237,'TL16'!$J$238:$J$451),0),
IF('TL17'!$B$3=O$3,SUMIF('TL17'!$C$10:$C$224,$C237,'TL17'!$J$10:$J$224),0),
IF('TL17'!$B$229=O$3,SUMIF('TL17'!$C$238:$C$451,$C237,'TL17'!$J$238:$J$451),0),
IF('TL18'!$B$3=O$3,SUMIF('TL18'!$C$10:$C$224,$C237,'TL18'!$J$10:$J$224),0),
IF('TL18'!$B$229=O$3,SUMIF('TL18'!$C$238:$C$451,$C237,'TL18'!$J$238:$J$451),0),
IF('TL19'!$B$3=O$3,SUMIF('TL19'!$C$10:$C$224,$C237,'TL19'!$J$10:$J$224),0),
IF('TL19'!$B$229=O$3,SUMIF('TL19'!$C$238:$C$451,$C237,'TL19'!$J$238:$J$451),0)
),0)</f>
        <v>0</v>
      </c>
      <c r="P237" s="9">
        <f>IFERROR(SUM(
IF('TL01'!$B$3=P$3,SUMIF('TL01'!$C$10:$C$224,$C237,'TL01'!$J$10:$J$224),0),
IF('TL01'!$B$229=P$3,SUMIF('TL01'!$C$238:$C$451,$C237,'TL01'!$J$238:$J$451),0),
IF('TL02'!$B$3=P$3,SUMIF('TL02'!$C$10:$C$224,$C237,'TL02'!$J$10:$J$224),0),
IF('TL02'!$B$229=P$3,SUMIF('TL02'!$C$238:$C$451,$C237,'TL02'!$J$238:$J$451),0),
IF('TL03'!$B$3=P$3,SUMIF('TL03'!$C$10:$C$224,$C237,'TL03'!$J$10:$J$224),0),
IF('TL03'!$B$229=P$3,SUMIF('TL03'!$C$238:$C$451,$C237,'TL03'!$J$238:$J$451),0),
IF('TL04'!$B$3=P$3,SUMIF('TL04'!$C$10:$C$224,$C237,'TL04'!$J$10:$J$224),0),
IF('TL04'!$B$229=P$3,SUMIF('TL04'!$C$238:$C$451,$C237,'TL04'!$J$238:$J$451),0),
IF('TL05'!$B$3=P$3,SUMIF('TL05'!$C$10:$C$224,$C237,'TL05'!$J$10:$J$224),0),
IF('TL05'!$B$229=P$3,SUMIF('TL05'!$C$238:$C$451,$C237,'TL05'!$J$238:$J$451),0),
IF('TL06'!$B$3=P$3,SUMIF('TL06'!$C$10:$C$224,$C237,'TL06'!$J$10:$J$224),0),
IF('TL06'!$B$229=P$3,SUMIF('TL06'!$C$238:$C$451,$C237,'TL06'!$J$238:$J$451),0),
IF('TL07'!$B$3=P$3,SUMIF('TL07'!$C$10:$C$224,$C237,'TL07'!$J$10:$J$224),0),
IF('TL07'!$B$229=P$3,SUMIF('TL07'!$C$238:$C$451,$C237,'TL07'!$J$238:$J$451),0),
IF('TL08'!$B$3=P$3,SUMIF('TL08'!$C$10:$C$224,$C237,'TL08'!$J$10:$J$224),0),
IF('TL08'!$B$229=P$3,SUMIF('TL08'!$C$238:$C$451,$C237,'TL08'!$J$238:$J$451),0),
IF('TL09'!$B$3=P$3,SUMIF('TL09'!$C$10:$C$224,$C237,'TL09'!$J$10:$J$224),0),
IF('TL09'!$B$229=P$3,SUMIF('TL09'!$C$238:$C$451,$C237,'TL09'!$J$238:$J$451),0),
IF('TL10'!$B$3=P$3,SUMIF('TL10'!$C$10:$C$224,$C237,'TL10'!$J$10:$J$224),0),
IF('TL10'!$B$229=P$3,SUMIF('TL10'!$C$238:$C$451,$C237,'TL10'!$J$238:$J$451),0),
IF('TL11'!$B$3=P$3,SUMIF('TL11'!$C$10:$C$224,$C237,'TL11'!$J$10:$J$224),0),
IF('TL11'!$B$229=P$3,SUMIF('TL11'!$C$238:$C$451,$C237,'TL11'!$J$238:$J$451),0),
IF('TL12'!$B$3=P$3,SUMIF('TL12'!$C$10:$C$224,$C237,'TL12'!$J$10:$J$224),0),
IF('TL12'!$B$229=P$3,SUMIF('TL12'!$C$238:$C$451,$C237,'TL12'!$J$238:$J$451),0),
IF('TL13'!$B$3=P$3,SUMIF('TL13'!$C$10:$C$224,$C237,'TL13'!$J$10:$J$224),0),
IF('TL13'!$B$229=P$3,SUMIF('TL13'!$C$238:$C$451,$C237,'TL13'!$J$238:$J$451),0),
IF('TL14'!$B$3=P$3,SUMIF('TL14'!$C$10:$C$224,$C237,'TL14'!$J$10:$J$224),0),
IF('TL14'!$B$229=P$3,SUMIF('TL14'!$C$238:$C$451,$C237,'TL14'!$J$238:$J$451),0),
IF('TL15'!$B$3=P$3,SUMIF('TL15'!$C$10:$C$224,$C237,'TL15'!$J$10:$J$224),0),
IF('TL15'!$B$229=P$3,SUMIF('TL15'!$C$238:$C$451,$C237,'TL15'!$J$238:$J$451),0),
IF('TL16'!$B$3=P$3,SUMIF('TL16'!$C$10:$C$224,$C237,'TL16'!$J$10:$J$224),0),
IF('TL16'!$B$229=P$3,SUMIF('TL16'!$C$238:$C$451,$C237,'TL16'!$J$238:$J$451),0),
IF('TL17'!$B$3=P$3,SUMIF('TL17'!$C$10:$C$224,$C237,'TL17'!$J$10:$J$224),0),
IF('TL17'!$B$229=P$3,SUMIF('TL17'!$C$238:$C$451,$C237,'TL17'!$J$238:$J$451),0),
IF('TL18'!$B$3=P$3,SUMIF('TL18'!$C$10:$C$224,$C237,'TL18'!$J$10:$J$224),0),
IF('TL18'!$B$229=P$3,SUMIF('TL18'!$C$238:$C$451,$C237,'TL18'!$J$238:$J$451),0),
IF('TL19'!$B$3=P$3,SUMIF('TL19'!$C$10:$C$224,$C237,'TL19'!$J$10:$J$224),0),
IF('TL19'!$B$229=P$3,SUMIF('TL19'!$C$238:$C$451,$C237,'TL19'!$J$238:$J$451),0)
),0)</f>
        <v>0</v>
      </c>
      <c r="Q237" s="9">
        <f>IFERROR(SUM(
IF('TL01'!$B$3=Q$3,SUMIF('TL01'!$C$10:$C$224,$C237,'TL01'!$J$10:$J$224),0),
IF('TL01'!$B$229=Q$3,SUMIF('TL01'!$C$238:$C$451,$C237,'TL01'!$J$238:$J$451),0),
IF('TL02'!$B$3=Q$3,SUMIF('TL02'!$C$10:$C$224,$C237,'TL02'!$J$10:$J$224),0),
IF('TL02'!$B$229=Q$3,SUMIF('TL02'!$C$238:$C$451,$C237,'TL02'!$J$238:$J$451),0),
IF('TL03'!$B$3=Q$3,SUMIF('TL03'!$C$10:$C$224,$C237,'TL03'!$J$10:$J$224),0),
IF('TL03'!$B$229=Q$3,SUMIF('TL03'!$C$238:$C$451,$C237,'TL03'!$J$238:$J$451),0),
IF('TL04'!$B$3=Q$3,SUMIF('TL04'!$C$10:$C$224,$C237,'TL04'!$J$10:$J$224),0),
IF('TL04'!$B$229=Q$3,SUMIF('TL04'!$C$238:$C$451,$C237,'TL04'!$J$238:$J$451),0),
IF('TL05'!$B$3=Q$3,SUMIF('TL05'!$C$10:$C$224,$C237,'TL05'!$J$10:$J$224),0),
IF('TL05'!$B$229=Q$3,SUMIF('TL05'!$C$238:$C$451,$C237,'TL05'!$J$238:$J$451),0),
IF('TL06'!$B$3=Q$3,SUMIF('TL06'!$C$10:$C$224,$C237,'TL06'!$J$10:$J$224),0),
IF('TL06'!$B$229=Q$3,SUMIF('TL06'!$C$238:$C$451,$C237,'TL06'!$J$238:$J$451),0),
IF('TL07'!$B$3=Q$3,SUMIF('TL07'!$C$10:$C$224,$C237,'TL07'!$J$10:$J$224),0),
IF('TL07'!$B$229=Q$3,SUMIF('TL07'!$C$238:$C$451,$C237,'TL07'!$J$238:$J$451),0),
IF('TL08'!$B$3=Q$3,SUMIF('TL08'!$C$10:$C$224,$C237,'TL08'!$J$10:$J$224),0),
IF('TL08'!$B$229=Q$3,SUMIF('TL08'!$C$238:$C$451,$C237,'TL08'!$J$238:$J$451),0),
IF('TL09'!$B$3=Q$3,SUMIF('TL09'!$C$10:$C$224,$C237,'TL09'!$J$10:$J$224),0),
IF('TL09'!$B$229=Q$3,SUMIF('TL09'!$C$238:$C$451,$C237,'TL09'!$J$238:$J$451),0),
IF('TL10'!$B$3=Q$3,SUMIF('TL10'!$C$10:$C$224,$C237,'TL10'!$J$10:$J$224),0),
IF('TL10'!$B$229=Q$3,SUMIF('TL10'!$C$238:$C$451,$C237,'TL10'!$J$238:$J$451),0),
IF('TL11'!$B$3=Q$3,SUMIF('TL11'!$C$10:$C$224,$C237,'TL11'!$J$10:$J$224),0),
IF('TL11'!$B$229=Q$3,SUMIF('TL11'!$C$238:$C$451,$C237,'TL11'!$J$238:$J$451),0),
IF('TL12'!$B$3=Q$3,SUMIF('TL12'!$C$10:$C$224,$C237,'TL12'!$J$10:$J$224),0),
IF('TL12'!$B$229=Q$3,SUMIF('TL12'!$C$238:$C$451,$C237,'TL12'!$J$238:$J$451),0),
IF('TL13'!$B$3=Q$3,SUMIF('TL13'!$C$10:$C$224,$C237,'TL13'!$J$10:$J$224),0),
IF('TL13'!$B$229=Q$3,SUMIF('TL13'!$C$238:$C$451,$C237,'TL13'!$J$238:$J$451),0),
IF('TL14'!$B$3=Q$3,SUMIF('TL14'!$C$10:$C$224,$C237,'TL14'!$J$10:$J$224),0),
IF('TL14'!$B$229=Q$3,SUMIF('TL14'!$C$238:$C$451,$C237,'TL14'!$J$238:$J$451),0),
IF('TL15'!$B$3=Q$3,SUMIF('TL15'!$C$10:$C$224,$C237,'TL15'!$J$10:$J$224),0),
IF('TL15'!$B$229=Q$3,SUMIF('TL15'!$C$238:$C$451,$C237,'TL15'!$J$238:$J$451),0),
IF('TL16'!$B$3=Q$3,SUMIF('TL16'!$C$10:$C$224,$C237,'TL16'!$J$10:$J$224),0),
IF('TL16'!$B$229=Q$3,SUMIF('TL16'!$C$238:$C$451,$C237,'TL16'!$J$238:$J$451),0),
IF('TL17'!$B$3=Q$3,SUMIF('TL17'!$C$10:$C$224,$C237,'TL17'!$J$10:$J$224),0),
IF('TL17'!$B$229=Q$3,SUMIF('TL17'!$C$238:$C$451,$C237,'TL17'!$J$238:$J$451),0),
IF('TL18'!$B$3=Q$3,SUMIF('TL18'!$C$10:$C$224,$C237,'TL18'!$J$10:$J$224),0),
IF('TL18'!$B$229=Q$3,SUMIF('TL18'!$C$238:$C$451,$C237,'TL18'!$J$238:$J$451),0),
IF('TL19'!$B$3=Q$3,SUMIF('TL19'!$C$10:$C$224,$C237,'TL19'!$J$10:$J$224),0),
IF('TL19'!$B$229=Q$3,SUMIF('TL19'!$C$238:$C$451,$C237,'TL19'!$J$238:$J$451),0)
),0)</f>
        <v>0</v>
      </c>
      <c r="R237" s="9">
        <f>IFERROR(
SUM(
SUMIF('TL01'!C:C,C237,'TL01'!J:J),
SUMIF('TL02'!C:C,C237,'TL02'!J:J),
SUMIF('TL03'!C:C,C237,'TL03'!J:J),
SUMIF('TL04'!C:C,C237,'TL04'!J:J),
SUMIF('TL05'!C:C,C237,'TL05'!J:J),
SUMIF('TL06'!C:C,C237,'TL06'!J:J),
SUMIF('TL07'!C:C,C237,'TL07'!J:J),
SUMIF('TL08'!C:C,C237,'TL08'!J:J),
SUMIF('TL09'!C:C,C237,'TL09'!J:J),
SUMIF('TL10'!C:C,C237,'TL10'!J:J),
SUMIF('TL11'!C:C,C237,'TL11'!J:J),
SUMIF('TL12'!C:C,C237,'TL12'!J:J),
SUMIF('TL13'!C:C,C237,'TL13'!J:J),
SUMIF('TL14'!C:C,C237,'TL14'!J:J),
SUMIF('TL15'!C:C,C237,'TL15'!J:J),
SUMIF('TL16'!C:C,C237,'TL16'!J:J),
SUMIF('TL17'!C:C,C237,'TL17'!J:J),
SUMIF('TL18'!C:C,C237,'TL18'!J:J),SUMIF('TL19'!C:C,C237,'TL19'!J:J))
,0)</f>
        <v>0</v>
      </c>
      <c r="S237" s="17">
        <f>IFERROR(__xludf.DUMMYFUNCTION("IFERROR(VLOOKUP(C237,
IMPORTRANGE(""1wULbzX32WdYsx-lj2U3uUNBBe2INVIRDtcK0d-Dvl90"",
""26-27!C:G""),
5,
FALSE),
"""")"),44.01246)</f>
        <v>44.01246</v>
      </c>
      <c r="T237" s="9"/>
      <c r="U237" s="92">
        <f t="shared" si="2"/>
        <v>0</v>
      </c>
      <c r="V237" s="93">
        <f t="shared" si="3"/>
        <v>0</v>
      </c>
    </row>
    <row r="238" ht="15.75" hidden="1" customHeight="1">
      <c r="A238" s="87" t="s">
        <v>358</v>
      </c>
      <c r="B238" s="88" t="s">
        <v>2</v>
      </c>
      <c r="C238" s="89" t="s">
        <v>893</v>
      </c>
      <c r="D238" s="89" t="s">
        <v>894</v>
      </c>
      <c r="E238" s="89">
        <v>50.0</v>
      </c>
      <c r="F238" s="4" t="s">
        <v>343</v>
      </c>
      <c r="G238" s="90" t="str">
        <f t="shared" si="4"/>
        <v>📄 Ver bula</v>
      </c>
      <c r="H238" s="9">
        <f>IFERROR(__xludf.DUMMYFUNCTION("IFERROR(VLOOKUP(C238,
IMPORTRANGE(""1wULbzX32WdYsx-lj2U3uUNBBe2INVIRDtcK0d-Dvl90"",
""26-27!C:K""),
8,
FALSE),
"""")"),0.25)</f>
        <v>0.25</v>
      </c>
      <c r="I238" s="91" t="s">
        <v>361</v>
      </c>
      <c r="J238" s="9">
        <f>IFERROR(SUM(
IF('TL01'!$B$3=J$3,SUMIF('TL01'!$C$10:$C$224,$C238,'TL01'!$J$10:$J$224),0),
IF('TL01'!$B$229=J$3,SUMIF('TL01'!$C$238:$C$451,$C238,'TL01'!$J$238:$J$451),0),
IF('TL02'!$B$3=J$3,SUMIF('TL02'!$C$10:$C$224,$C238,'TL02'!$J$10:$J$224),0),
IF('TL02'!$B$229=J$3,SUMIF('TL02'!$C$238:$C$451,$C238,'TL02'!$J$238:$J$451),0),
IF('TL03'!$B$3=J$3,SUMIF('TL03'!$C$10:$C$224,$C238,'TL03'!$J$10:$J$224),0),
IF('TL03'!$B$229=J$3,SUMIF('TL03'!$C$238:$C$451,$C238,'TL03'!$J$238:$J$451),0),
IF('TL04'!$B$3=J$3,SUMIF('TL04'!$C$10:$C$224,$C238,'TL04'!$J$10:$J$224),0),
IF('TL04'!$B$229=J$3,SUMIF('TL04'!$C$238:$C$451,$C238,'TL04'!$J$238:$J$451),0),
IF('TL05'!$B$3=J$3,SUMIF('TL05'!$C$10:$C$224,$C238,'TL05'!$J$10:$J$224),0),
IF('TL05'!$B$229=J$3,SUMIF('TL05'!$C$238:$C$451,$C238,'TL05'!$J$238:$J$451),0),
IF('TL06'!$B$3=J$3,SUMIF('TL06'!$C$10:$C$224,$C238,'TL06'!$J$10:$J$224),0),
IF('TL06'!$B$229=J$3,SUMIF('TL06'!$C$238:$C$451,$C238,'TL06'!$J$238:$J$451),0),
IF('TL07'!$B$3=J$3,SUMIF('TL07'!$C$10:$C$224,$C238,'TL07'!$J$10:$J$224),0),
IF('TL07'!$B$229=J$3,SUMIF('TL07'!$C$238:$C$451,$C238,'TL07'!$J$238:$J$451),0),
IF('TL08'!$B$3=J$3,SUMIF('TL08'!$C$10:$C$224,$C238,'TL08'!$J$10:$J$224),0),
IF('TL08'!$B$229=J$3,SUMIF('TL08'!$C$238:$C$451,$C238,'TL08'!$J$238:$J$451),0),
IF('TL09'!$B$3=J$3,SUMIF('TL09'!$C$10:$C$224,$C238,'TL09'!$J$10:$J$224),0),
IF('TL09'!$B$229=J$3,SUMIF('TL09'!$C$238:$C$451,$C238,'TL09'!$J$238:$J$451),0),
IF('TL10'!$B$3=J$3,SUMIF('TL10'!$C$10:$C$224,$C238,'TL10'!$J$10:$J$224),0),
IF('TL10'!$B$229=J$3,SUMIF('TL10'!$C$238:$C$451,$C238,'TL10'!$J$238:$J$451),0),
IF('TL11'!$B$3=J$3,SUMIF('TL11'!$C$10:$C$224,$C238,'TL11'!$J$10:$J$224),0),
IF('TL11'!$B$229=J$3,SUMIF('TL11'!$C$238:$C$451,$C238,'TL11'!$J$238:$J$451),0),
IF('TL12'!$B$3=J$3,SUMIF('TL12'!$C$10:$C$224,$C238,'TL12'!$J$10:$J$224),0),
IF('TL12'!$B$229=J$3,SUMIF('TL12'!$C$238:$C$451,$C238,'TL12'!$J$238:$J$451),0),
IF('TL13'!$B$3=J$3,SUMIF('TL13'!$C$10:$C$224,$C238,'TL13'!$J$10:$J$224),0),
IF('TL13'!$B$229=J$3,SUMIF('TL13'!$C$238:$C$451,$C238,'TL13'!$J$238:$J$451),0),
IF('TL14'!$B$3=J$3,SUMIF('TL14'!$C$10:$C$224,$C238,'TL14'!$J$10:$J$224),0),
IF('TL14'!$B$229=J$3,SUMIF('TL14'!$C$238:$C$451,$C238,'TL14'!$J$238:$J$451),0),
IF('TL15'!$B$3=J$3,SUMIF('TL15'!$C$10:$C$224,$C238,'TL15'!$J$10:$J$224),0),
IF('TL15'!$B$229=J$3,SUMIF('TL15'!$C$238:$C$451,$C238,'TL15'!$J$238:$J$451),0),
IF('TL16'!$B$3=J$3,SUMIF('TL16'!$C$10:$C$224,$C238,'TL16'!$J$10:$J$224),0),
IF('TL16'!$B$229=J$3,SUMIF('TL16'!$C$238:$C$451,$C238,'TL16'!$J$238:$J$451),0),
IF('TL17'!$B$3=J$3,SUMIF('TL17'!$C$10:$C$224,$C238,'TL17'!$J$10:$J$224),0),
IF('TL17'!$B$229=J$3,SUMIF('TL17'!$C$238:$C$451,$C238,'TL17'!$J$238:$J$451),0),
IF('TL18'!$B$3=J$3,SUMIF('TL18'!$C$10:$C$224,$C238,'TL18'!$J$10:$J$224),0),
IF('TL18'!$B$229=J$3,SUMIF('TL18'!$C$238:$C$451,$C238,'TL18'!$J$238:$J$451),0),
IF('TL19'!$B$3=J$3,SUMIF('TL19'!$C$10:$C$224,$C238,'TL19'!$J$10:$J$224),0),
IF('TL19'!$B$229=J$3,SUMIF('TL19'!$C$238:$C$451,$C238,'TL19'!$J$238:$J$451),0)
),0)</f>
        <v>0</v>
      </c>
      <c r="K238" s="9">
        <f>IFERROR(SUM(
IF('TL01'!$B$3=K$3,SUMIF('TL01'!$C$10:$C$224,$C238,'TL01'!$J$10:$J$224),0),
IF('TL01'!$B$229=K$3,SUMIF('TL01'!$C$238:$C$451,$C238,'TL01'!$J$238:$J$451),0),
IF('TL02'!$B$3=K$3,SUMIF('TL02'!$C$10:$C$224,$C238,'TL02'!$J$10:$J$224),0),
IF('TL02'!$B$229=K$3,SUMIF('TL02'!$C$238:$C$451,$C238,'TL02'!$J$238:$J$451),0),
IF('TL03'!$B$3=K$3,SUMIF('TL03'!$C$10:$C$224,$C238,'TL03'!$J$10:$J$224),0),
IF('TL03'!$B$229=K$3,SUMIF('TL03'!$C$238:$C$451,$C238,'TL03'!$J$238:$J$451),0),
IF('TL04'!$B$3=K$3,SUMIF('TL04'!$C$10:$C$224,$C238,'TL04'!$J$10:$J$224),0),
IF('TL04'!$B$229=K$3,SUMIF('TL04'!$C$238:$C$451,$C238,'TL04'!$J$238:$J$451),0),
IF('TL05'!$B$3=K$3,SUMIF('TL05'!$C$10:$C$224,$C238,'TL05'!$J$10:$J$224),0),
IF('TL05'!$B$229=K$3,SUMIF('TL05'!$C$238:$C$451,$C238,'TL05'!$J$238:$J$451),0),
IF('TL06'!$B$3=K$3,SUMIF('TL06'!$C$10:$C$224,$C238,'TL06'!$J$10:$J$224),0),
IF('TL06'!$B$229=K$3,SUMIF('TL06'!$C$238:$C$451,$C238,'TL06'!$J$238:$J$451),0),
IF('TL07'!$B$3=K$3,SUMIF('TL07'!$C$10:$C$224,$C238,'TL07'!$J$10:$J$224),0),
IF('TL07'!$B$229=K$3,SUMIF('TL07'!$C$238:$C$451,$C238,'TL07'!$J$238:$J$451),0),
IF('TL08'!$B$3=K$3,SUMIF('TL08'!$C$10:$C$224,$C238,'TL08'!$J$10:$J$224),0),
IF('TL08'!$B$229=K$3,SUMIF('TL08'!$C$238:$C$451,$C238,'TL08'!$J$238:$J$451),0),
IF('TL09'!$B$3=K$3,SUMIF('TL09'!$C$10:$C$224,$C238,'TL09'!$J$10:$J$224),0),
IF('TL09'!$B$229=K$3,SUMIF('TL09'!$C$238:$C$451,$C238,'TL09'!$J$238:$J$451),0),
IF('TL10'!$B$3=K$3,SUMIF('TL10'!$C$10:$C$224,$C238,'TL10'!$J$10:$J$224),0),
IF('TL10'!$B$229=K$3,SUMIF('TL10'!$C$238:$C$451,$C238,'TL10'!$J$238:$J$451),0),
IF('TL11'!$B$3=K$3,SUMIF('TL11'!$C$10:$C$224,$C238,'TL11'!$J$10:$J$224),0),
IF('TL11'!$B$229=K$3,SUMIF('TL11'!$C$238:$C$451,$C238,'TL11'!$J$238:$J$451),0),
IF('TL12'!$B$3=K$3,SUMIF('TL12'!$C$10:$C$224,$C238,'TL12'!$J$10:$J$224),0),
IF('TL12'!$B$229=K$3,SUMIF('TL12'!$C$238:$C$451,$C238,'TL12'!$J$238:$J$451),0),
IF('TL13'!$B$3=K$3,SUMIF('TL13'!$C$10:$C$224,$C238,'TL13'!$J$10:$J$224),0),
IF('TL13'!$B$229=K$3,SUMIF('TL13'!$C$238:$C$451,$C238,'TL13'!$J$238:$J$451),0),
IF('TL14'!$B$3=K$3,SUMIF('TL14'!$C$10:$C$224,$C238,'TL14'!$J$10:$J$224),0),
IF('TL14'!$B$229=K$3,SUMIF('TL14'!$C$238:$C$451,$C238,'TL14'!$J$238:$J$451),0),
IF('TL15'!$B$3=K$3,SUMIF('TL15'!$C$10:$C$224,$C238,'TL15'!$J$10:$J$224),0),
IF('TL15'!$B$229=K$3,SUMIF('TL15'!$C$238:$C$451,$C238,'TL15'!$J$238:$J$451),0),
IF('TL16'!$B$3=K$3,SUMIF('TL16'!$C$10:$C$224,$C238,'TL16'!$J$10:$J$224),0),
IF('TL16'!$B$229=K$3,SUMIF('TL16'!$C$238:$C$451,$C238,'TL16'!$J$238:$J$451),0),
IF('TL17'!$B$3=K$3,SUMIF('TL17'!$C$10:$C$224,$C238,'TL17'!$J$10:$J$224),0),
IF('TL17'!$B$229=K$3,SUMIF('TL17'!$C$238:$C$451,$C238,'TL17'!$J$238:$J$451),0),
IF('TL18'!$B$3=K$3,SUMIF('TL18'!$C$10:$C$224,$C238,'TL18'!$J$10:$J$224),0),
IF('TL18'!$B$229=K$3,SUMIF('TL18'!$C$238:$C$451,$C238,'TL18'!$J$238:$J$451),0),
IF('TL19'!$B$3=K$3,SUMIF('TL19'!$C$10:$C$224,$C238,'TL19'!$J$10:$J$224),0),
IF('TL19'!$B$229=K$3,SUMIF('TL19'!$C$238:$C$451,$C238,'TL19'!$J$238:$J$451),0)
),0)</f>
        <v>0</v>
      </c>
      <c r="L238" s="9">
        <f>IFERROR(SUM(
IF('TL01'!$B$3=L$3,SUMIF('TL01'!$C$10:$C$224,$C238,'TL01'!$J$10:$J$224),0),
IF('TL01'!$B$229=L$3,SUMIF('TL01'!$C$238:$C$451,$C238,'TL01'!$J$238:$J$451),0),
IF('TL02'!$B$3=L$3,SUMIF('TL02'!$C$10:$C$224,$C238,'TL02'!$J$10:$J$224),0),
IF('TL02'!$B$229=L$3,SUMIF('TL02'!$C$238:$C$451,$C238,'TL02'!$J$238:$J$451),0),
IF('TL03'!$B$3=L$3,SUMIF('TL03'!$C$10:$C$224,$C238,'TL03'!$J$10:$J$224),0),
IF('TL03'!$B$229=L$3,SUMIF('TL03'!$C$238:$C$451,$C238,'TL03'!$J$238:$J$451),0),
IF('TL04'!$B$3=L$3,SUMIF('TL04'!$C$10:$C$224,$C238,'TL04'!$J$10:$J$224),0),
IF('TL04'!$B$229=L$3,SUMIF('TL04'!$C$238:$C$451,$C238,'TL04'!$J$238:$J$451),0),
IF('TL05'!$B$3=L$3,SUMIF('TL05'!$C$10:$C$224,$C238,'TL05'!$J$10:$J$224),0),
IF('TL05'!$B$229=L$3,SUMIF('TL05'!$C$238:$C$451,$C238,'TL05'!$J$238:$J$451),0),
IF('TL06'!$B$3=L$3,SUMIF('TL06'!$C$10:$C$224,$C238,'TL06'!$J$10:$J$224),0),
IF('TL06'!$B$229=L$3,SUMIF('TL06'!$C$238:$C$451,$C238,'TL06'!$J$238:$J$451),0),
IF('TL07'!$B$3=L$3,SUMIF('TL07'!$C$10:$C$224,$C238,'TL07'!$J$10:$J$224),0),
IF('TL07'!$B$229=L$3,SUMIF('TL07'!$C$238:$C$451,$C238,'TL07'!$J$238:$J$451),0),
IF('TL08'!$B$3=L$3,SUMIF('TL08'!$C$10:$C$224,$C238,'TL08'!$J$10:$J$224),0),
IF('TL08'!$B$229=L$3,SUMIF('TL08'!$C$238:$C$451,$C238,'TL08'!$J$238:$J$451),0),
IF('TL09'!$B$3=L$3,SUMIF('TL09'!$C$10:$C$224,$C238,'TL09'!$J$10:$J$224),0),
IF('TL09'!$B$229=L$3,SUMIF('TL09'!$C$238:$C$451,$C238,'TL09'!$J$238:$J$451),0),
IF('TL10'!$B$3=L$3,SUMIF('TL10'!$C$10:$C$224,$C238,'TL10'!$J$10:$J$224),0),
IF('TL10'!$B$229=L$3,SUMIF('TL10'!$C$238:$C$451,$C238,'TL10'!$J$238:$J$451),0),
IF('TL11'!$B$3=L$3,SUMIF('TL11'!$C$10:$C$224,$C238,'TL11'!$J$10:$J$224),0),
IF('TL11'!$B$229=L$3,SUMIF('TL11'!$C$238:$C$451,$C238,'TL11'!$J$238:$J$451),0),
IF('TL12'!$B$3=L$3,SUMIF('TL12'!$C$10:$C$224,$C238,'TL12'!$J$10:$J$224),0),
IF('TL12'!$B$229=L$3,SUMIF('TL12'!$C$238:$C$451,$C238,'TL12'!$J$238:$J$451),0),
IF('TL13'!$B$3=L$3,SUMIF('TL13'!$C$10:$C$224,$C238,'TL13'!$J$10:$J$224),0),
IF('TL13'!$B$229=L$3,SUMIF('TL13'!$C$238:$C$451,$C238,'TL13'!$J$238:$J$451),0),
IF('TL14'!$B$3=L$3,SUMIF('TL14'!$C$10:$C$224,$C238,'TL14'!$J$10:$J$224),0),
IF('TL14'!$B$229=L$3,SUMIF('TL14'!$C$238:$C$451,$C238,'TL14'!$J$238:$J$451),0),
IF('TL15'!$B$3=L$3,SUMIF('TL15'!$C$10:$C$224,$C238,'TL15'!$J$10:$J$224),0),
IF('TL15'!$B$229=L$3,SUMIF('TL15'!$C$238:$C$451,$C238,'TL15'!$J$238:$J$451),0),
IF('TL16'!$B$3=L$3,SUMIF('TL16'!$C$10:$C$224,$C238,'TL16'!$J$10:$J$224),0),
IF('TL16'!$B$229=L$3,SUMIF('TL16'!$C$238:$C$451,$C238,'TL16'!$J$238:$J$451),0),
IF('TL17'!$B$3=L$3,SUMIF('TL17'!$C$10:$C$224,$C238,'TL17'!$J$10:$J$224),0),
IF('TL17'!$B$229=L$3,SUMIF('TL17'!$C$238:$C$451,$C238,'TL17'!$J$238:$J$451),0),
IF('TL18'!$B$3=L$3,SUMIF('TL18'!$C$10:$C$224,$C238,'TL18'!$J$10:$J$224),0),
IF('TL18'!$B$229=L$3,SUMIF('TL18'!$C$238:$C$451,$C238,'TL18'!$J$238:$J$451),0),
IF('TL19'!$B$3=L$3,SUMIF('TL19'!$C$10:$C$224,$C238,'TL19'!$J$10:$J$224),0),
IF('TL19'!$B$229=L$3,SUMIF('TL19'!$C$238:$C$451,$C238,'TL19'!$J$238:$J$451),0)
),0)</f>
        <v>0</v>
      </c>
      <c r="M238" s="9">
        <f>IFERROR(SUM(
IF('TL01'!$B$3=M$3,SUMIF('TL01'!$C$10:$C$224,$C238,'TL01'!$J$10:$J$224),0),
IF('TL01'!$B$229=M$3,SUMIF('TL01'!$C$238:$C$451,$C238,'TL01'!$J$238:$J$451),0),
IF('TL02'!$B$3=M$3,SUMIF('TL02'!$C$10:$C$224,$C238,'TL02'!$J$10:$J$224),0),
IF('TL02'!$B$229=M$3,SUMIF('TL02'!$C$238:$C$451,$C238,'TL02'!$J$238:$J$451),0),
IF('TL03'!$B$3=M$3,SUMIF('TL03'!$C$10:$C$224,$C238,'TL03'!$J$10:$J$224),0),
IF('TL03'!$B$229=M$3,SUMIF('TL03'!$C$238:$C$451,$C238,'TL03'!$J$238:$J$451),0),
IF('TL04'!$B$3=M$3,SUMIF('TL04'!$C$10:$C$224,$C238,'TL04'!$J$10:$J$224),0),
IF('TL04'!$B$229=M$3,SUMIF('TL04'!$C$238:$C$451,$C238,'TL04'!$J$238:$J$451),0),
IF('TL05'!$B$3=M$3,SUMIF('TL05'!$C$10:$C$224,$C238,'TL05'!$J$10:$J$224),0),
IF('TL05'!$B$229=M$3,SUMIF('TL05'!$C$238:$C$451,$C238,'TL05'!$J$238:$J$451),0),
IF('TL06'!$B$3=M$3,SUMIF('TL06'!$C$10:$C$224,$C238,'TL06'!$J$10:$J$224),0),
IF('TL06'!$B$229=M$3,SUMIF('TL06'!$C$238:$C$451,$C238,'TL06'!$J$238:$J$451),0),
IF('TL07'!$B$3=M$3,SUMIF('TL07'!$C$10:$C$224,$C238,'TL07'!$J$10:$J$224),0),
IF('TL07'!$B$229=M$3,SUMIF('TL07'!$C$238:$C$451,$C238,'TL07'!$J$238:$J$451),0),
IF('TL08'!$B$3=M$3,SUMIF('TL08'!$C$10:$C$224,$C238,'TL08'!$J$10:$J$224),0),
IF('TL08'!$B$229=M$3,SUMIF('TL08'!$C$238:$C$451,$C238,'TL08'!$J$238:$J$451),0),
IF('TL09'!$B$3=M$3,SUMIF('TL09'!$C$10:$C$224,$C238,'TL09'!$J$10:$J$224),0),
IF('TL09'!$B$229=M$3,SUMIF('TL09'!$C$238:$C$451,$C238,'TL09'!$J$238:$J$451),0),
IF('TL10'!$B$3=M$3,SUMIF('TL10'!$C$10:$C$224,$C238,'TL10'!$J$10:$J$224),0),
IF('TL10'!$B$229=M$3,SUMIF('TL10'!$C$238:$C$451,$C238,'TL10'!$J$238:$J$451),0),
IF('TL11'!$B$3=M$3,SUMIF('TL11'!$C$10:$C$224,$C238,'TL11'!$J$10:$J$224),0),
IF('TL11'!$B$229=M$3,SUMIF('TL11'!$C$238:$C$451,$C238,'TL11'!$J$238:$J$451),0),
IF('TL12'!$B$3=M$3,SUMIF('TL12'!$C$10:$C$224,$C238,'TL12'!$J$10:$J$224),0),
IF('TL12'!$B$229=M$3,SUMIF('TL12'!$C$238:$C$451,$C238,'TL12'!$J$238:$J$451),0),
IF('TL13'!$B$3=M$3,SUMIF('TL13'!$C$10:$C$224,$C238,'TL13'!$J$10:$J$224),0),
IF('TL13'!$B$229=M$3,SUMIF('TL13'!$C$238:$C$451,$C238,'TL13'!$J$238:$J$451),0),
IF('TL14'!$B$3=M$3,SUMIF('TL14'!$C$10:$C$224,$C238,'TL14'!$J$10:$J$224),0),
IF('TL14'!$B$229=M$3,SUMIF('TL14'!$C$238:$C$451,$C238,'TL14'!$J$238:$J$451),0),
IF('TL15'!$B$3=M$3,SUMIF('TL15'!$C$10:$C$224,$C238,'TL15'!$J$10:$J$224),0),
IF('TL15'!$B$229=M$3,SUMIF('TL15'!$C$238:$C$451,$C238,'TL15'!$J$238:$J$451),0),
IF('TL16'!$B$3=M$3,SUMIF('TL16'!$C$10:$C$224,$C238,'TL16'!$J$10:$J$224),0),
IF('TL16'!$B$229=M$3,SUMIF('TL16'!$C$238:$C$451,$C238,'TL16'!$J$238:$J$451),0),
IF('TL17'!$B$3=M$3,SUMIF('TL17'!$C$10:$C$224,$C238,'TL17'!$J$10:$J$224),0),
IF('TL17'!$B$229=M$3,SUMIF('TL17'!$C$238:$C$451,$C238,'TL17'!$J$238:$J$451),0),
IF('TL18'!$B$3=M$3,SUMIF('TL18'!$C$10:$C$224,$C238,'TL18'!$J$10:$J$224),0),
IF('TL18'!$B$229=M$3,SUMIF('TL18'!$C$238:$C$451,$C238,'TL18'!$J$238:$J$451),0),
IF('TL19'!$B$3=M$3,SUMIF('TL19'!$C$10:$C$224,$C238,'TL19'!$J$10:$J$224),0),
IF('TL19'!$B$229=M$3,SUMIF('TL19'!$C$238:$C$451,$C238,'TL19'!$J$238:$J$451),0)
),0)</f>
        <v>0</v>
      </c>
      <c r="N238" s="9">
        <f>IFERROR(SUM(
IF('TL01'!$B$3=N$3,SUMIF('TL01'!$C$10:$C$224,$C238,'TL01'!$J$10:$J$224),0),
IF('TL01'!$B$229=N$3,SUMIF('TL01'!$C$238:$C$451,$C238,'TL01'!$J$238:$J$451),0),
IF('TL02'!$B$3=N$3,SUMIF('TL02'!$C$10:$C$224,$C238,'TL02'!$J$10:$J$224),0),
IF('TL02'!$B$229=N$3,SUMIF('TL02'!$C$238:$C$451,$C238,'TL02'!$J$238:$J$451),0),
IF('TL03'!$B$3=N$3,SUMIF('TL03'!$C$10:$C$224,$C238,'TL03'!$J$10:$J$224),0),
IF('TL03'!$B$229=N$3,SUMIF('TL03'!$C$238:$C$451,$C238,'TL03'!$J$238:$J$451),0),
IF('TL04'!$B$3=N$3,SUMIF('TL04'!$C$10:$C$224,$C238,'TL04'!$J$10:$J$224),0),
IF('TL04'!$B$229=N$3,SUMIF('TL04'!$C$238:$C$451,$C238,'TL04'!$J$238:$J$451),0),
IF('TL05'!$B$3=N$3,SUMIF('TL05'!$C$10:$C$224,$C238,'TL05'!$J$10:$J$224),0),
IF('TL05'!$B$229=N$3,SUMIF('TL05'!$C$238:$C$451,$C238,'TL05'!$J$238:$J$451),0),
IF('TL06'!$B$3=N$3,SUMIF('TL06'!$C$10:$C$224,$C238,'TL06'!$J$10:$J$224),0),
IF('TL06'!$B$229=N$3,SUMIF('TL06'!$C$238:$C$451,$C238,'TL06'!$J$238:$J$451),0),
IF('TL07'!$B$3=N$3,SUMIF('TL07'!$C$10:$C$224,$C238,'TL07'!$J$10:$J$224),0),
IF('TL07'!$B$229=N$3,SUMIF('TL07'!$C$238:$C$451,$C238,'TL07'!$J$238:$J$451),0),
IF('TL08'!$B$3=N$3,SUMIF('TL08'!$C$10:$C$224,$C238,'TL08'!$J$10:$J$224),0),
IF('TL08'!$B$229=N$3,SUMIF('TL08'!$C$238:$C$451,$C238,'TL08'!$J$238:$J$451),0),
IF('TL09'!$B$3=N$3,SUMIF('TL09'!$C$10:$C$224,$C238,'TL09'!$J$10:$J$224),0),
IF('TL09'!$B$229=N$3,SUMIF('TL09'!$C$238:$C$451,$C238,'TL09'!$J$238:$J$451),0),
IF('TL10'!$B$3=N$3,SUMIF('TL10'!$C$10:$C$224,$C238,'TL10'!$J$10:$J$224),0),
IF('TL10'!$B$229=N$3,SUMIF('TL10'!$C$238:$C$451,$C238,'TL10'!$J$238:$J$451),0),
IF('TL11'!$B$3=N$3,SUMIF('TL11'!$C$10:$C$224,$C238,'TL11'!$J$10:$J$224),0),
IF('TL11'!$B$229=N$3,SUMIF('TL11'!$C$238:$C$451,$C238,'TL11'!$J$238:$J$451),0),
IF('TL12'!$B$3=N$3,SUMIF('TL12'!$C$10:$C$224,$C238,'TL12'!$J$10:$J$224),0),
IF('TL12'!$B$229=N$3,SUMIF('TL12'!$C$238:$C$451,$C238,'TL12'!$J$238:$J$451),0),
IF('TL13'!$B$3=N$3,SUMIF('TL13'!$C$10:$C$224,$C238,'TL13'!$J$10:$J$224),0),
IF('TL13'!$B$229=N$3,SUMIF('TL13'!$C$238:$C$451,$C238,'TL13'!$J$238:$J$451),0),
IF('TL14'!$B$3=N$3,SUMIF('TL14'!$C$10:$C$224,$C238,'TL14'!$J$10:$J$224),0),
IF('TL14'!$B$229=N$3,SUMIF('TL14'!$C$238:$C$451,$C238,'TL14'!$J$238:$J$451),0),
IF('TL15'!$B$3=N$3,SUMIF('TL15'!$C$10:$C$224,$C238,'TL15'!$J$10:$J$224),0),
IF('TL15'!$B$229=N$3,SUMIF('TL15'!$C$238:$C$451,$C238,'TL15'!$J$238:$J$451),0),
IF('TL16'!$B$3=N$3,SUMIF('TL16'!$C$10:$C$224,$C238,'TL16'!$J$10:$J$224),0),
IF('TL16'!$B$229=N$3,SUMIF('TL16'!$C$238:$C$451,$C238,'TL16'!$J$238:$J$451),0),
IF('TL17'!$B$3=N$3,SUMIF('TL17'!$C$10:$C$224,$C238,'TL17'!$J$10:$J$224),0),
IF('TL17'!$B$229=N$3,SUMIF('TL17'!$C$238:$C$451,$C238,'TL17'!$J$238:$J$451),0),
IF('TL18'!$B$3=N$3,SUMIF('TL18'!$C$10:$C$224,$C238,'TL18'!$J$10:$J$224),0),
IF('TL18'!$B$229=N$3,SUMIF('TL18'!$C$238:$C$451,$C238,'TL18'!$J$238:$J$451),0),
IF('TL19'!$B$3=N$3,SUMIF('TL19'!$C$10:$C$224,$C238,'TL19'!$J$10:$J$224),0),
IF('TL19'!$B$229=N$3,SUMIF('TL19'!$C$238:$C$451,$C238,'TL19'!$J$238:$J$451),0)
),0)</f>
        <v>0</v>
      </c>
      <c r="O238" s="9">
        <f>IFERROR(SUM(
IF('TL01'!$B$3=O$3,SUMIF('TL01'!$C$10:$C$224,$C238,'TL01'!$J$10:$J$224),0),
IF('TL01'!$B$229=O$3,SUMIF('TL01'!$C$238:$C$451,$C238,'TL01'!$J$238:$J$451),0),
IF('TL02'!$B$3=O$3,SUMIF('TL02'!$C$10:$C$224,$C238,'TL02'!$J$10:$J$224),0),
IF('TL02'!$B$229=O$3,SUMIF('TL02'!$C$238:$C$451,$C238,'TL02'!$J$238:$J$451),0),
IF('TL03'!$B$3=O$3,SUMIF('TL03'!$C$10:$C$224,$C238,'TL03'!$J$10:$J$224),0),
IF('TL03'!$B$229=O$3,SUMIF('TL03'!$C$238:$C$451,$C238,'TL03'!$J$238:$J$451),0),
IF('TL04'!$B$3=O$3,SUMIF('TL04'!$C$10:$C$224,$C238,'TL04'!$J$10:$J$224),0),
IF('TL04'!$B$229=O$3,SUMIF('TL04'!$C$238:$C$451,$C238,'TL04'!$J$238:$J$451),0),
IF('TL05'!$B$3=O$3,SUMIF('TL05'!$C$10:$C$224,$C238,'TL05'!$J$10:$J$224),0),
IF('TL05'!$B$229=O$3,SUMIF('TL05'!$C$238:$C$451,$C238,'TL05'!$J$238:$J$451),0),
IF('TL06'!$B$3=O$3,SUMIF('TL06'!$C$10:$C$224,$C238,'TL06'!$J$10:$J$224),0),
IF('TL06'!$B$229=O$3,SUMIF('TL06'!$C$238:$C$451,$C238,'TL06'!$J$238:$J$451),0),
IF('TL07'!$B$3=O$3,SUMIF('TL07'!$C$10:$C$224,$C238,'TL07'!$J$10:$J$224),0),
IF('TL07'!$B$229=O$3,SUMIF('TL07'!$C$238:$C$451,$C238,'TL07'!$J$238:$J$451),0),
IF('TL08'!$B$3=O$3,SUMIF('TL08'!$C$10:$C$224,$C238,'TL08'!$J$10:$J$224),0),
IF('TL08'!$B$229=O$3,SUMIF('TL08'!$C$238:$C$451,$C238,'TL08'!$J$238:$J$451),0),
IF('TL09'!$B$3=O$3,SUMIF('TL09'!$C$10:$C$224,$C238,'TL09'!$J$10:$J$224),0),
IF('TL09'!$B$229=O$3,SUMIF('TL09'!$C$238:$C$451,$C238,'TL09'!$J$238:$J$451),0),
IF('TL10'!$B$3=O$3,SUMIF('TL10'!$C$10:$C$224,$C238,'TL10'!$J$10:$J$224),0),
IF('TL10'!$B$229=O$3,SUMIF('TL10'!$C$238:$C$451,$C238,'TL10'!$J$238:$J$451),0),
IF('TL11'!$B$3=O$3,SUMIF('TL11'!$C$10:$C$224,$C238,'TL11'!$J$10:$J$224),0),
IF('TL11'!$B$229=O$3,SUMIF('TL11'!$C$238:$C$451,$C238,'TL11'!$J$238:$J$451),0),
IF('TL12'!$B$3=O$3,SUMIF('TL12'!$C$10:$C$224,$C238,'TL12'!$J$10:$J$224),0),
IF('TL12'!$B$229=O$3,SUMIF('TL12'!$C$238:$C$451,$C238,'TL12'!$J$238:$J$451),0),
IF('TL13'!$B$3=O$3,SUMIF('TL13'!$C$10:$C$224,$C238,'TL13'!$J$10:$J$224),0),
IF('TL13'!$B$229=O$3,SUMIF('TL13'!$C$238:$C$451,$C238,'TL13'!$J$238:$J$451),0),
IF('TL14'!$B$3=O$3,SUMIF('TL14'!$C$10:$C$224,$C238,'TL14'!$J$10:$J$224),0),
IF('TL14'!$B$229=O$3,SUMIF('TL14'!$C$238:$C$451,$C238,'TL14'!$J$238:$J$451),0),
IF('TL15'!$B$3=O$3,SUMIF('TL15'!$C$10:$C$224,$C238,'TL15'!$J$10:$J$224),0),
IF('TL15'!$B$229=O$3,SUMIF('TL15'!$C$238:$C$451,$C238,'TL15'!$J$238:$J$451),0),
IF('TL16'!$B$3=O$3,SUMIF('TL16'!$C$10:$C$224,$C238,'TL16'!$J$10:$J$224),0),
IF('TL16'!$B$229=O$3,SUMIF('TL16'!$C$238:$C$451,$C238,'TL16'!$J$238:$J$451),0),
IF('TL17'!$B$3=O$3,SUMIF('TL17'!$C$10:$C$224,$C238,'TL17'!$J$10:$J$224),0),
IF('TL17'!$B$229=O$3,SUMIF('TL17'!$C$238:$C$451,$C238,'TL17'!$J$238:$J$451),0),
IF('TL18'!$B$3=O$3,SUMIF('TL18'!$C$10:$C$224,$C238,'TL18'!$J$10:$J$224),0),
IF('TL18'!$B$229=O$3,SUMIF('TL18'!$C$238:$C$451,$C238,'TL18'!$J$238:$J$451),0),
IF('TL19'!$B$3=O$3,SUMIF('TL19'!$C$10:$C$224,$C238,'TL19'!$J$10:$J$224),0),
IF('TL19'!$B$229=O$3,SUMIF('TL19'!$C$238:$C$451,$C238,'TL19'!$J$238:$J$451),0)
),0)</f>
        <v>44</v>
      </c>
      <c r="P238" s="9">
        <f>IFERROR(SUM(
IF('TL01'!$B$3=P$3,SUMIF('TL01'!$C$10:$C$224,$C238,'TL01'!$J$10:$J$224),0),
IF('TL01'!$B$229=P$3,SUMIF('TL01'!$C$238:$C$451,$C238,'TL01'!$J$238:$J$451),0),
IF('TL02'!$B$3=P$3,SUMIF('TL02'!$C$10:$C$224,$C238,'TL02'!$J$10:$J$224),0),
IF('TL02'!$B$229=P$3,SUMIF('TL02'!$C$238:$C$451,$C238,'TL02'!$J$238:$J$451),0),
IF('TL03'!$B$3=P$3,SUMIF('TL03'!$C$10:$C$224,$C238,'TL03'!$J$10:$J$224),0),
IF('TL03'!$B$229=P$3,SUMIF('TL03'!$C$238:$C$451,$C238,'TL03'!$J$238:$J$451),0),
IF('TL04'!$B$3=P$3,SUMIF('TL04'!$C$10:$C$224,$C238,'TL04'!$J$10:$J$224),0),
IF('TL04'!$B$229=P$3,SUMIF('TL04'!$C$238:$C$451,$C238,'TL04'!$J$238:$J$451),0),
IF('TL05'!$B$3=P$3,SUMIF('TL05'!$C$10:$C$224,$C238,'TL05'!$J$10:$J$224),0),
IF('TL05'!$B$229=P$3,SUMIF('TL05'!$C$238:$C$451,$C238,'TL05'!$J$238:$J$451),0),
IF('TL06'!$B$3=P$3,SUMIF('TL06'!$C$10:$C$224,$C238,'TL06'!$J$10:$J$224),0),
IF('TL06'!$B$229=P$3,SUMIF('TL06'!$C$238:$C$451,$C238,'TL06'!$J$238:$J$451),0),
IF('TL07'!$B$3=P$3,SUMIF('TL07'!$C$10:$C$224,$C238,'TL07'!$J$10:$J$224),0),
IF('TL07'!$B$229=P$3,SUMIF('TL07'!$C$238:$C$451,$C238,'TL07'!$J$238:$J$451),0),
IF('TL08'!$B$3=P$3,SUMIF('TL08'!$C$10:$C$224,$C238,'TL08'!$J$10:$J$224),0),
IF('TL08'!$B$229=P$3,SUMIF('TL08'!$C$238:$C$451,$C238,'TL08'!$J$238:$J$451),0),
IF('TL09'!$B$3=P$3,SUMIF('TL09'!$C$10:$C$224,$C238,'TL09'!$J$10:$J$224),0),
IF('TL09'!$B$229=P$3,SUMIF('TL09'!$C$238:$C$451,$C238,'TL09'!$J$238:$J$451),0),
IF('TL10'!$B$3=P$3,SUMIF('TL10'!$C$10:$C$224,$C238,'TL10'!$J$10:$J$224),0),
IF('TL10'!$B$229=P$3,SUMIF('TL10'!$C$238:$C$451,$C238,'TL10'!$J$238:$J$451),0),
IF('TL11'!$B$3=P$3,SUMIF('TL11'!$C$10:$C$224,$C238,'TL11'!$J$10:$J$224),0),
IF('TL11'!$B$229=P$3,SUMIF('TL11'!$C$238:$C$451,$C238,'TL11'!$J$238:$J$451),0),
IF('TL12'!$B$3=P$3,SUMIF('TL12'!$C$10:$C$224,$C238,'TL12'!$J$10:$J$224),0),
IF('TL12'!$B$229=P$3,SUMIF('TL12'!$C$238:$C$451,$C238,'TL12'!$J$238:$J$451),0),
IF('TL13'!$B$3=P$3,SUMIF('TL13'!$C$10:$C$224,$C238,'TL13'!$J$10:$J$224),0),
IF('TL13'!$B$229=P$3,SUMIF('TL13'!$C$238:$C$451,$C238,'TL13'!$J$238:$J$451),0),
IF('TL14'!$B$3=P$3,SUMIF('TL14'!$C$10:$C$224,$C238,'TL14'!$J$10:$J$224),0),
IF('TL14'!$B$229=P$3,SUMIF('TL14'!$C$238:$C$451,$C238,'TL14'!$J$238:$J$451),0),
IF('TL15'!$B$3=P$3,SUMIF('TL15'!$C$10:$C$224,$C238,'TL15'!$J$10:$J$224),0),
IF('TL15'!$B$229=P$3,SUMIF('TL15'!$C$238:$C$451,$C238,'TL15'!$J$238:$J$451),0),
IF('TL16'!$B$3=P$3,SUMIF('TL16'!$C$10:$C$224,$C238,'TL16'!$J$10:$J$224),0),
IF('TL16'!$B$229=P$3,SUMIF('TL16'!$C$238:$C$451,$C238,'TL16'!$J$238:$J$451),0),
IF('TL17'!$B$3=P$3,SUMIF('TL17'!$C$10:$C$224,$C238,'TL17'!$J$10:$J$224),0),
IF('TL17'!$B$229=P$3,SUMIF('TL17'!$C$238:$C$451,$C238,'TL17'!$J$238:$J$451),0),
IF('TL18'!$B$3=P$3,SUMIF('TL18'!$C$10:$C$224,$C238,'TL18'!$J$10:$J$224),0),
IF('TL18'!$B$229=P$3,SUMIF('TL18'!$C$238:$C$451,$C238,'TL18'!$J$238:$J$451),0),
IF('TL19'!$B$3=P$3,SUMIF('TL19'!$C$10:$C$224,$C238,'TL19'!$J$10:$J$224),0),
IF('TL19'!$B$229=P$3,SUMIF('TL19'!$C$238:$C$451,$C238,'TL19'!$J$238:$J$451),0)
),0)</f>
        <v>0</v>
      </c>
      <c r="Q238" s="9">
        <f>IFERROR(SUM(
IF('TL01'!$B$3=Q$3,SUMIF('TL01'!$C$10:$C$224,$C238,'TL01'!$J$10:$J$224),0),
IF('TL01'!$B$229=Q$3,SUMIF('TL01'!$C$238:$C$451,$C238,'TL01'!$J$238:$J$451),0),
IF('TL02'!$B$3=Q$3,SUMIF('TL02'!$C$10:$C$224,$C238,'TL02'!$J$10:$J$224),0),
IF('TL02'!$B$229=Q$3,SUMIF('TL02'!$C$238:$C$451,$C238,'TL02'!$J$238:$J$451),0),
IF('TL03'!$B$3=Q$3,SUMIF('TL03'!$C$10:$C$224,$C238,'TL03'!$J$10:$J$224),0),
IF('TL03'!$B$229=Q$3,SUMIF('TL03'!$C$238:$C$451,$C238,'TL03'!$J$238:$J$451),0),
IF('TL04'!$B$3=Q$3,SUMIF('TL04'!$C$10:$C$224,$C238,'TL04'!$J$10:$J$224),0),
IF('TL04'!$B$229=Q$3,SUMIF('TL04'!$C$238:$C$451,$C238,'TL04'!$J$238:$J$451),0),
IF('TL05'!$B$3=Q$3,SUMIF('TL05'!$C$10:$C$224,$C238,'TL05'!$J$10:$J$224),0),
IF('TL05'!$B$229=Q$3,SUMIF('TL05'!$C$238:$C$451,$C238,'TL05'!$J$238:$J$451),0),
IF('TL06'!$B$3=Q$3,SUMIF('TL06'!$C$10:$C$224,$C238,'TL06'!$J$10:$J$224),0),
IF('TL06'!$B$229=Q$3,SUMIF('TL06'!$C$238:$C$451,$C238,'TL06'!$J$238:$J$451),0),
IF('TL07'!$B$3=Q$3,SUMIF('TL07'!$C$10:$C$224,$C238,'TL07'!$J$10:$J$224),0),
IF('TL07'!$B$229=Q$3,SUMIF('TL07'!$C$238:$C$451,$C238,'TL07'!$J$238:$J$451),0),
IF('TL08'!$B$3=Q$3,SUMIF('TL08'!$C$10:$C$224,$C238,'TL08'!$J$10:$J$224),0),
IF('TL08'!$B$229=Q$3,SUMIF('TL08'!$C$238:$C$451,$C238,'TL08'!$J$238:$J$451),0),
IF('TL09'!$B$3=Q$3,SUMIF('TL09'!$C$10:$C$224,$C238,'TL09'!$J$10:$J$224),0),
IF('TL09'!$B$229=Q$3,SUMIF('TL09'!$C$238:$C$451,$C238,'TL09'!$J$238:$J$451),0),
IF('TL10'!$B$3=Q$3,SUMIF('TL10'!$C$10:$C$224,$C238,'TL10'!$J$10:$J$224),0),
IF('TL10'!$B$229=Q$3,SUMIF('TL10'!$C$238:$C$451,$C238,'TL10'!$J$238:$J$451),0),
IF('TL11'!$B$3=Q$3,SUMIF('TL11'!$C$10:$C$224,$C238,'TL11'!$J$10:$J$224),0),
IF('TL11'!$B$229=Q$3,SUMIF('TL11'!$C$238:$C$451,$C238,'TL11'!$J$238:$J$451),0),
IF('TL12'!$B$3=Q$3,SUMIF('TL12'!$C$10:$C$224,$C238,'TL12'!$J$10:$J$224),0),
IF('TL12'!$B$229=Q$3,SUMIF('TL12'!$C$238:$C$451,$C238,'TL12'!$J$238:$J$451),0),
IF('TL13'!$B$3=Q$3,SUMIF('TL13'!$C$10:$C$224,$C238,'TL13'!$J$10:$J$224),0),
IF('TL13'!$B$229=Q$3,SUMIF('TL13'!$C$238:$C$451,$C238,'TL13'!$J$238:$J$451),0),
IF('TL14'!$B$3=Q$3,SUMIF('TL14'!$C$10:$C$224,$C238,'TL14'!$J$10:$J$224),0),
IF('TL14'!$B$229=Q$3,SUMIF('TL14'!$C$238:$C$451,$C238,'TL14'!$J$238:$J$451),0),
IF('TL15'!$B$3=Q$3,SUMIF('TL15'!$C$10:$C$224,$C238,'TL15'!$J$10:$J$224),0),
IF('TL15'!$B$229=Q$3,SUMIF('TL15'!$C$238:$C$451,$C238,'TL15'!$J$238:$J$451),0),
IF('TL16'!$B$3=Q$3,SUMIF('TL16'!$C$10:$C$224,$C238,'TL16'!$J$10:$J$224),0),
IF('TL16'!$B$229=Q$3,SUMIF('TL16'!$C$238:$C$451,$C238,'TL16'!$J$238:$J$451),0),
IF('TL17'!$B$3=Q$3,SUMIF('TL17'!$C$10:$C$224,$C238,'TL17'!$J$10:$J$224),0),
IF('TL17'!$B$229=Q$3,SUMIF('TL17'!$C$238:$C$451,$C238,'TL17'!$J$238:$J$451),0),
IF('TL18'!$B$3=Q$3,SUMIF('TL18'!$C$10:$C$224,$C238,'TL18'!$J$10:$J$224),0),
IF('TL18'!$B$229=Q$3,SUMIF('TL18'!$C$238:$C$451,$C238,'TL18'!$J$238:$J$451),0),
IF('TL19'!$B$3=Q$3,SUMIF('TL19'!$C$10:$C$224,$C238,'TL19'!$J$10:$J$224),0),
IF('TL19'!$B$229=Q$3,SUMIF('TL19'!$C$238:$C$451,$C238,'TL19'!$J$238:$J$451),0)
),0)</f>
        <v>0</v>
      </c>
      <c r="R238" s="9">
        <f>IFERROR(
SUM(
SUMIF('TL01'!C:C,C238,'TL01'!J:J),
SUMIF('TL02'!C:C,C238,'TL02'!J:J),
SUMIF('TL03'!C:C,C238,'TL03'!J:J),
SUMIF('TL04'!C:C,C238,'TL04'!J:J),
SUMIF('TL05'!C:C,C238,'TL05'!J:J),
SUMIF('TL06'!C:C,C238,'TL06'!J:J),
SUMIF('TL07'!C:C,C238,'TL07'!J:J),
SUMIF('TL08'!C:C,C238,'TL08'!J:J),
SUMIF('TL09'!C:C,C238,'TL09'!J:J),
SUMIF('TL10'!C:C,C238,'TL10'!J:J),
SUMIF('TL11'!C:C,C238,'TL11'!J:J),
SUMIF('TL12'!C:C,C238,'TL12'!J:J),
SUMIF('TL13'!C:C,C238,'TL13'!J:J),
SUMIF('TL14'!C:C,C238,'TL14'!J:J),
SUMIF('TL15'!C:C,C238,'TL15'!J:J),
SUMIF('TL16'!C:C,C238,'TL16'!J:J),
SUMIF('TL17'!C:C,C238,'TL17'!J:J),
SUMIF('TL18'!C:C,C238,'TL18'!J:J),SUMIF('TL19'!C:C,C238,'TL19'!J:J))
,0)</f>
        <v>44</v>
      </c>
      <c r="S238" s="17">
        <f>IFERROR(__xludf.DUMMYFUNCTION("IFERROR(VLOOKUP(C238,
IMPORTRANGE(""1wULbzX32WdYsx-lj2U3uUNBBe2INVIRDtcK0d-Dvl90"",
""26-27!C:G""),
5,
FALSE),
"""")"),247.30103999999997)</f>
        <v>247.30104</v>
      </c>
      <c r="T238" s="9">
        <v>135.0</v>
      </c>
      <c r="U238" s="92">
        <f t="shared" si="2"/>
        <v>-91</v>
      </c>
      <c r="V238" s="93">
        <f t="shared" si="3"/>
        <v>-22504.39464</v>
      </c>
    </row>
    <row r="239" ht="15.75" hidden="1" customHeight="1">
      <c r="A239" s="94" t="s">
        <v>358</v>
      </c>
      <c r="B239" s="95" t="s">
        <v>2</v>
      </c>
      <c r="C239" s="96" t="s">
        <v>895</v>
      </c>
      <c r="D239" s="96" t="s">
        <v>896</v>
      </c>
      <c r="E239" s="96">
        <v>400.0</v>
      </c>
      <c r="F239" s="4" t="s">
        <v>343</v>
      </c>
      <c r="G239" s="90" t="str">
        <f t="shared" si="4"/>
        <v>📄 Ver bula</v>
      </c>
      <c r="H239" s="9">
        <f>IFERROR(__xludf.DUMMYFUNCTION("IFERROR(VLOOKUP(C239,
IMPORTRANGE(""1wULbzX32WdYsx-lj2U3uUNBBe2INVIRDtcK0d-Dvl90"",
""26-27!C:K""),
8,
FALSE),
"""")"),0.1)</f>
        <v>0.1</v>
      </c>
      <c r="I239" s="97" t="s">
        <v>382</v>
      </c>
      <c r="J239" s="9">
        <f>IFERROR(SUM(
IF('TL01'!$B$3=J$3,SUMIF('TL01'!$C$10:$C$224,$C239,'TL01'!$J$10:$J$224),0),
IF('TL01'!$B$229=J$3,SUMIF('TL01'!$C$238:$C$451,$C239,'TL01'!$J$238:$J$451),0),
IF('TL02'!$B$3=J$3,SUMIF('TL02'!$C$10:$C$224,$C239,'TL02'!$J$10:$J$224),0),
IF('TL02'!$B$229=J$3,SUMIF('TL02'!$C$238:$C$451,$C239,'TL02'!$J$238:$J$451),0),
IF('TL03'!$B$3=J$3,SUMIF('TL03'!$C$10:$C$224,$C239,'TL03'!$J$10:$J$224),0),
IF('TL03'!$B$229=J$3,SUMIF('TL03'!$C$238:$C$451,$C239,'TL03'!$J$238:$J$451),0),
IF('TL04'!$B$3=J$3,SUMIF('TL04'!$C$10:$C$224,$C239,'TL04'!$J$10:$J$224),0),
IF('TL04'!$B$229=J$3,SUMIF('TL04'!$C$238:$C$451,$C239,'TL04'!$J$238:$J$451),0),
IF('TL05'!$B$3=J$3,SUMIF('TL05'!$C$10:$C$224,$C239,'TL05'!$J$10:$J$224),0),
IF('TL05'!$B$229=J$3,SUMIF('TL05'!$C$238:$C$451,$C239,'TL05'!$J$238:$J$451),0),
IF('TL06'!$B$3=J$3,SUMIF('TL06'!$C$10:$C$224,$C239,'TL06'!$J$10:$J$224),0),
IF('TL06'!$B$229=J$3,SUMIF('TL06'!$C$238:$C$451,$C239,'TL06'!$J$238:$J$451),0),
IF('TL07'!$B$3=J$3,SUMIF('TL07'!$C$10:$C$224,$C239,'TL07'!$J$10:$J$224),0),
IF('TL07'!$B$229=J$3,SUMIF('TL07'!$C$238:$C$451,$C239,'TL07'!$J$238:$J$451),0),
IF('TL08'!$B$3=J$3,SUMIF('TL08'!$C$10:$C$224,$C239,'TL08'!$J$10:$J$224),0),
IF('TL08'!$B$229=J$3,SUMIF('TL08'!$C$238:$C$451,$C239,'TL08'!$J$238:$J$451),0),
IF('TL09'!$B$3=J$3,SUMIF('TL09'!$C$10:$C$224,$C239,'TL09'!$J$10:$J$224),0),
IF('TL09'!$B$229=J$3,SUMIF('TL09'!$C$238:$C$451,$C239,'TL09'!$J$238:$J$451),0),
IF('TL10'!$B$3=J$3,SUMIF('TL10'!$C$10:$C$224,$C239,'TL10'!$J$10:$J$224),0),
IF('TL10'!$B$229=J$3,SUMIF('TL10'!$C$238:$C$451,$C239,'TL10'!$J$238:$J$451),0),
IF('TL11'!$B$3=J$3,SUMIF('TL11'!$C$10:$C$224,$C239,'TL11'!$J$10:$J$224),0),
IF('TL11'!$B$229=J$3,SUMIF('TL11'!$C$238:$C$451,$C239,'TL11'!$J$238:$J$451),0),
IF('TL12'!$B$3=J$3,SUMIF('TL12'!$C$10:$C$224,$C239,'TL12'!$J$10:$J$224),0),
IF('TL12'!$B$229=J$3,SUMIF('TL12'!$C$238:$C$451,$C239,'TL12'!$J$238:$J$451),0),
IF('TL13'!$B$3=J$3,SUMIF('TL13'!$C$10:$C$224,$C239,'TL13'!$J$10:$J$224),0),
IF('TL13'!$B$229=J$3,SUMIF('TL13'!$C$238:$C$451,$C239,'TL13'!$J$238:$J$451),0),
IF('TL14'!$B$3=J$3,SUMIF('TL14'!$C$10:$C$224,$C239,'TL14'!$J$10:$J$224),0),
IF('TL14'!$B$229=J$3,SUMIF('TL14'!$C$238:$C$451,$C239,'TL14'!$J$238:$J$451),0),
IF('TL15'!$B$3=J$3,SUMIF('TL15'!$C$10:$C$224,$C239,'TL15'!$J$10:$J$224),0),
IF('TL15'!$B$229=J$3,SUMIF('TL15'!$C$238:$C$451,$C239,'TL15'!$J$238:$J$451),0),
IF('TL16'!$B$3=J$3,SUMIF('TL16'!$C$10:$C$224,$C239,'TL16'!$J$10:$J$224),0),
IF('TL16'!$B$229=J$3,SUMIF('TL16'!$C$238:$C$451,$C239,'TL16'!$J$238:$J$451),0),
IF('TL17'!$B$3=J$3,SUMIF('TL17'!$C$10:$C$224,$C239,'TL17'!$J$10:$J$224),0),
IF('TL17'!$B$229=J$3,SUMIF('TL17'!$C$238:$C$451,$C239,'TL17'!$J$238:$J$451),0),
IF('TL18'!$B$3=J$3,SUMIF('TL18'!$C$10:$C$224,$C239,'TL18'!$J$10:$J$224),0),
IF('TL18'!$B$229=J$3,SUMIF('TL18'!$C$238:$C$451,$C239,'TL18'!$J$238:$J$451),0),
IF('TL19'!$B$3=J$3,SUMIF('TL19'!$C$10:$C$224,$C239,'TL19'!$J$10:$J$224),0),
IF('TL19'!$B$229=J$3,SUMIF('TL19'!$C$238:$C$451,$C239,'TL19'!$J$238:$J$451),0)
),0)</f>
        <v>0</v>
      </c>
      <c r="K239" s="9">
        <f>IFERROR(SUM(
IF('TL01'!$B$3=K$3,SUMIF('TL01'!$C$10:$C$224,$C239,'TL01'!$J$10:$J$224),0),
IF('TL01'!$B$229=K$3,SUMIF('TL01'!$C$238:$C$451,$C239,'TL01'!$J$238:$J$451),0),
IF('TL02'!$B$3=K$3,SUMIF('TL02'!$C$10:$C$224,$C239,'TL02'!$J$10:$J$224),0),
IF('TL02'!$B$229=K$3,SUMIF('TL02'!$C$238:$C$451,$C239,'TL02'!$J$238:$J$451),0),
IF('TL03'!$B$3=K$3,SUMIF('TL03'!$C$10:$C$224,$C239,'TL03'!$J$10:$J$224),0),
IF('TL03'!$B$229=K$3,SUMIF('TL03'!$C$238:$C$451,$C239,'TL03'!$J$238:$J$451),0),
IF('TL04'!$B$3=K$3,SUMIF('TL04'!$C$10:$C$224,$C239,'TL04'!$J$10:$J$224),0),
IF('TL04'!$B$229=K$3,SUMIF('TL04'!$C$238:$C$451,$C239,'TL04'!$J$238:$J$451),0),
IF('TL05'!$B$3=K$3,SUMIF('TL05'!$C$10:$C$224,$C239,'TL05'!$J$10:$J$224),0),
IF('TL05'!$B$229=K$3,SUMIF('TL05'!$C$238:$C$451,$C239,'TL05'!$J$238:$J$451),0),
IF('TL06'!$B$3=K$3,SUMIF('TL06'!$C$10:$C$224,$C239,'TL06'!$J$10:$J$224),0),
IF('TL06'!$B$229=K$3,SUMIF('TL06'!$C$238:$C$451,$C239,'TL06'!$J$238:$J$451),0),
IF('TL07'!$B$3=K$3,SUMIF('TL07'!$C$10:$C$224,$C239,'TL07'!$J$10:$J$224),0),
IF('TL07'!$B$229=K$3,SUMIF('TL07'!$C$238:$C$451,$C239,'TL07'!$J$238:$J$451),0),
IF('TL08'!$B$3=K$3,SUMIF('TL08'!$C$10:$C$224,$C239,'TL08'!$J$10:$J$224),0),
IF('TL08'!$B$229=K$3,SUMIF('TL08'!$C$238:$C$451,$C239,'TL08'!$J$238:$J$451),0),
IF('TL09'!$B$3=K$3,SUMIF('TL09'!$C$10:$C$224,$C239,'TL09'!$J$10:$J$224),0),
IF('TL09'!$B$229=K$3,SUMIF('TL09'!$C$238:$C$451,$C239,'TL09'!$J$238:$J$451),0),
IF('TL10'!$B$3=K$3,SUMIF('TL10'!$C$10:$C$224,$C239,'TL10'!$J$10:$J$224),0),
IF('TL10'!$B$229=K$3,SUMIF('TL10'!$C$238:$C$451,$C239,'TL10'!$J$238:$J$451),0),
IF('TL11'!$B$3=K$3,SUMIF('TL11'!$C$10:$C$224,$C239,'TL11'!$J$10:$J$224),0),
IF('TL11'!$B$229=K$3,SUMIF('TL11'!$C$238:$C$451,$C239,'TL11'!$J$238:$J$451),0),
IF('TL12'!$B$3=K$3,SUMIF('TL12'!$C$10:$C$224,$C239,'TL12'!$J$10:$J$224),0),
IF('TL12'!$B$229=K$3,SUMIF('TL12'!$C$238:$C$451,$C239,'TL12'!$J$238:$J$451),0),
IF('TL13'!$B$3=K$3,SUMIF('TL13'!$C$10:$C$224,$C239,'TL13'!$J$10:$J$224),0),
IF('TL13'!$B$229=K$3,SUMIF('TL13'!$C$238:$C$451,$C239,'TL13'!$J$238:$J$451),0),
IF('TL14'!$B$3=K$3,SUMIF('TL14'!$C$10:$C$224,$C239,'TL14'!$J$10:$J$224),0),
IF('TL14'!$B$229=K$3,SUMIF('TL14'!$C$238:$C$451,$C239,'TL14'!$J$238:$J$451),0),
IF('TL15'!$B$3=K$3,SUMIF('TL15'!$C$10:$C$224,$C239,'TL15'!$J$10:$J$224),0),
IF('TL15'!$B$229=K$3,SUMIF('TL15'!$C$238:$C$451,$C239,'TL15'!$J$238:$J$451),0),
IF('TL16'!$B$3=K$3,SUMIF('TL16'!$C$10:$C$224,$C239,'TL16'!$J$10:$J$224),0),
IF('TL16'!$B$229=K$3,SUMIF('TL16'!$C$238:$C$451,$C239,'TL16'!$J$238:$J$451),0),
IF('TL17'!$B$3=K$3,SUMIF('TL17'!$C$10:$C$224,$C239,'TL17'!$J$10:$J$224),0),
IF('TL17'!$B$229=K$3,SUMIF('TL17'!$C$238:$C$451,$C239,'TL17'!$J$238:$J$451),0),
IF('TL18'!$B$3=K$3,SUMIF('TL18'!$C$10:$C$224,$C239,'TL18'!$J$10:$J$224),0),
IF('TL18'!$B$229=K$3,SUMIF('TL18'!$C$238:$C$451,$C239,'TL18'!$J$238:$J$451),0),
IF('TL19'!$B$3=K$3,SUMIF('TL19'!$C$10:$C$224,$C239,'TL19'!$J$10:$J$224),0),
IF('TL19'!$B$229=K$3,SUMIF('TL19'!$C$238:$C$451,$C239,'TL19'!$J$238:$J$451),0)
),0)</f>
        <v>0</v>
      </c>
      <c r="L239" s="9">
        <f>IFERROR(SUM(
IF('TL01'!$B$3=L$3,SUMIF('TL01'!$C$10:$C$224,$C239,'TL01'!$J$10:$J$224),0),
IF('TL01'!$B$229=L$3,SUMIF('TL01'!$C$238:$C$451,$C239,'TL01'!$J$238:$J$451),0),
IF('TL02'!$B$3=L$3,SUMIF('TL02'!$C$10:$C$224,$C239,'TL02'!$J$10:$J$224),0),
IF('TL02'!$B$229=L$3,SUMIF('TL02'!$C$238:$C$451,$C239,'TL02'!$J$238:$J$451),0),
IF('TL03'!$B$3=L$3,SUMIF('TL03'!$C$10:$C$224,$C239,'TL03'!$J$10:$J$224),0),
IF('TL03'!$B$229=L$3,SUMIF('TL03'!$C$238:$C$451,$C239,'TL03'!$J$238:$J$451),0),
IF('TL04'!$B$3=L$3,SUMIF('TL04'!$C$10:$C$224,$C239,'TL04'!$J$10:$J$224),0),
IF('TL04'!$B$229=L$3,SUMIF('TL04'!$C$238:$C$451,$C239,'TL04'!$J$238:$J$451),0),
IF('TL05'!$B$3=L$3,SUMIF('TL05'!$C$10:$C$224,$C239,'TL05'!$J$10:$J$224),0),
IF('TL05'!$B$229=L$3,SUMIF('TL05'!$C$238:$C$451,$C239,'TL05'!$J$238:$J$451),0),
IF('TL06'!$B$3=L$3,SUMIF('TL06'!$C$10:$C$224,$C239,'TL06'!$J$10:$J$224),0),
IF('TL06'!$B$229=L$3,SUMIF('TL06'!$C$238:$C$451,$C239,'TL06'!$J$238:$J$451),0),
IF('TL07'!$B$3=L$3,SUMIF('TL07'!$C$10:$C$224,$C239,'TL07'!$J$10:$J$224),0),
IF('TL07'!$B$229=L$3,SUMIF('TL07'!$C$238:$C$451,$C239,'TL07'!$J$238:$J$451),0),
IF('TL08'!$B$3=L$3,SUMIF('TL08'!$C$10:$C$224,$C239,'TL08'!$J$10:$J$224),0),
IF('TL08'!$B$229=L$3,SUMIF('TL08'!$C$238:$C$451,$C239,'TL08'!$J$238:$J$451),0),
IF('TL09'!$B$3=L$3,SUMIF('TL09'!$C$10:$C$224,$C239,'TL09'!$J$10:$J$224),0),
IF('TL09'!$B$229=L$3,SUMIF('TL09'!$C$238:$C$451,$C239,'TL09'!$J$238:$J$451),0),
IF('TL10'!$B$3=L$3,SUMIF('TL10'!$C$10:$C$224,$C239,'TL10'!$J$10:$J$224),0),
IF('TL10'!$B$229=L$3,SUMIF('TL10'!$C$238:$C$451,$C239,'TL10'!$J$238:$J$451),0),
IF('TL11'!$B$3=L$3,SUMIF('TL11'!$C$10:$C$224,$C239,'TL11'!$J$10:$J$224),0),
IF('TL11'!$B$229=L$3,SUMIF('TL11'!$C$238:$C$451,$C239,'TL11'!$J$238:$J$451),0),
IF('TL12'!$B$3=L$3,SUMIF('TL12'!$C$10:$C$224,$C239,'TL12'!$J$10:$J$224),0),
IF('TL12'!$B$229=L$3,SUMIF('TL12'!$C$238:$C$451,$C239,'TL12'!$J$238:$J$451),0),
IF('TL13'!$B$3=L$3,SUMIF('TL13'!$C$10:$C$224,$C239,'TL13'!$J$10:$J$224),0),
IF('TL13'!$B$229=L$3,SUMIF('TL13'!$C$238:$C$451,$C239,'TL13'!$J$238:$J$451),0),
IF('TL14'!$B$3=L$3,SUMIF('TL14'!$C$10:$C$224,$C239,'TL14'!$J$10:$J$224),0),
IF('TL14'!$B$229=L$3,SUMIF('TL14'!$C$238:$C$451,$C239,'TL14'!$J$238:$J$451),0),
IF('TL15'!$B$3=L$3,SUMIF('TL15'!$C$10:$C$224,$C239,'TL15'!$J$10:$J$224),0),
IF('TL15'!$B$229=L$3,SUMIF('TL15'!$C$238:$C$451,$C239,'TL15'!$J$238:$J$451),0),
IF('TL16'!$B$3=L$3,SUMIF('TL16'!$C$10:$C$224,$C239,'TL16'!$J$10:$J$224),0),
IF('TL16'!$B$229=L$3,SUMIF('TL16'!$C$238:$C$451,$C239,'TL16'!$J$238:$J$451),0),
IF('TL17'!$B$3=L$3,SUMIF('TL17'!$C$10:$C$224,$C239,'TL17'!$J$10:$J$224),0),
IF('TL17'!$B$229=L$3,SUMIF('TL17'!$C$238:$C$451,$C239,'TL17'!$J$238:$J$451),0),
IF('TL18'!$B$3=L$3,SUMIF('TL18'!$C$10:$C$224,$C239,'TL18'!$J$10:$J$224),0),
IF('TL18'!$B$229=L$3,SUMIF('TL18'!$C$238:$C$451,$C239,'TL18'!$J$238:$J$451),0),
IF('TL19'!$B$3=L$3,SUMIF('TL19'!$C$10:$C$224,$C239,'TL19'!$J$10:$J$224),0),
IF('TL19'!$B$229=L$3,SUMIF('TL19'!$C$238:$C$451,$C239,'TL19'!$J$238:$J$451),0)
),0)</f>
        <v>0</v>
      </c>
      <c r="M239" s="9">
        <f>IFERROR(SUM(
IF('TL01'!$B$3=M$3,SUMIF('TL01'!$C$10:$C$224,$C239,'TL01'!$J$10:$J$224),0),
IF('TL01'!$B$229=M$3,SUMIF('TL01'!$C$238:$C$451,$C239,'TL01'!$J$238:$J$451),0),
IF('TL02'!$B$3=M$3,SUMIF('TL02'!$C$10:$C$224,$C239,'TL02'!$J$10:$J$224),0),
IF('TL02'!$B$229=M$3,SUMIF('TL02'!$C$238:$C$451,$C239,'TL02'!$J$238:$J$451),0),
IF('TL03'!$B$3=M$3,SUMIF('TL03'!$C$10:$C$224,$C239,'TL03'!$J$10:$J$224),0),
IF('TL03'!$B$229=M$3,SUMIF('TL03'!$C$238:$C$451,$C239,'TL03'!$J$238:$J$451),0),
IF('TL04'!$B$3=M$3,SUMIF('TL04'!$C$10:$C$224,$C239,'TL04'!$J$10:$J$224),0),
IF('TL04'!$B$229=M$3,SUMIF('TL04'!$C$238:$C$451,$C239,'TL04'!$J$238:$J$451),0),
IF('TL05'!$B$3=M$3,SUMIF('TL05'!$C$10:$C$224,$C239,'TL05'!$J$10:$J$224),0),
IF('TL05'!$B$229=M$3,SUMIF('TL05'!$C$238:$C$451,$C239,'TL05'!$J$238:$J$451),0),
IF('TL06'!$B$3=M$3,SUMIF('TL06'!$C$10:$C$224,$C239,'TL06'!$J$10:$J$224),0),
IF('TL06'!$B$229=M$3,SUMIF('TL06'!$C$238:$C$451,$C239,'TL06'!$J$238:$J$451),0),
IF('TL07'!$B$3=M$3,SUMIF('TL07'!$C$10:$C$224,$C239,'TL07'!$J$10:$J$224),0),
IF('TL07'!$B$229=M$3,SUMIF('TL07'!$C$238:$C$451,$C239,'TL07'!$J$238:$J$451),0),
IF('TL08'!$B$3=M$3,SUMIF('TL08'!$C$10:$C$224,$C239,'TL08'!$J$10:$J$224),0),
IF('TL08'!$B$229=M$3,SUMIF('TL08'!$C$238:$C$451,$C239,'TL08'!$J$238:$J$451),0),
IF('TL09'!$B$3=M$3,SUMIF('TL09'!$C$10:$C$224,$C239,'TL09'!$J$10:$J$224),0),
IF('TL09'!$B$229=M$3,SUMIF('TL09'!$C$238:$C$451,$C239,'TL09'!$J$238:$J$451),0),
IF('TL10'!$B$3=M$3,SUMIF('TL10'!$C$10:$C$224,$C239,'TL10'!$J$10:$J$224),0),
IF('TL10'!$B$229=M$3,SUMIF('TL10'!$C$238:$C$451,$C239,'TL10'!$J$238:$J$451),0),
IF('TL11'!$B$3=M$3,SUMIF('TL11'!$C$10:$C$224,$C239,'TL11'!$J$10:$J$224),0),
IF('TL11'!$B$229=M$3,SUMIF('TL11'!$C$238:$C$451,$C239,'TL11'!$J$238:$J$451),0),
IF('TL12'!$B$3=M$3,SUMIF('TL12'!$C$10:$C$224,$C239,'TL12'!$J$10:$J$224),0),
IF('TL12'!$B$229=M$3,SUMIF('TL12'!$C$238:$C$451,$C239,'TL12'!$J$238:$J$451),0),
IF('TL13'!$B$3=M$3,SUMIF('TL13'!$C$10:$C$224,$C239,'TL13'!$J$10:$J$224),0),
IF('TL13'!$B$229=M$3,SUMIF('TL13'!$C$238:$C$451,$C239,'TL13'!$J$238:$J$451),0),
IF('TL14'!$B$3=M$3,SUMIF('TL14'!$C$10:$C$224,$C239,'TL14'!$J$10:$J$224),0),
IF('TL14'!$B$229=M$3,SUMIF('TL14'!$C$238:$C$451,$C239,'TL14'!$J$238:$J$451),0),
IF('TL15'!$B$3=M$3,SUMIF('TL15'!$C$10:$C$224,$C239,'TL15'!$J$10:$J$224),0),
IF('TL15'!$B$229=M$3,SUMIF('TL15'!$C$238:$C$451,$C239,'TL15'!$J$238:$J$451),0),
IF('TL16'!$B$3=M$3,SUMIF('TL16'!$C$10:$C$224,$C239,'TL16'!$J$10:$J$224),0),
IF('TL16'!$B$229=M$3,SUMIF('TL16'!$C$238:$C$451,$C239,'TL16'!$J$238:$J$451),0),
IF('TL17'!$B$3=M$3,SUMIF('TL17'!$C$10:$C$224,$C239,'TL17'!$J$10:$J$224),0),
IF('TL17'!$B$229=M$3,SUMIF('TL17'!$C$238:$C$451,$C239,'TL17'!$J$238:$J$451),0),
IF('TL18'!$B$3=M$3,SUMIF('TL18'!$C$10:$C$224,$C239,'TL18'!$J$10:$J$224),0),
IF('TL18'!$B$229=M$3,SUMIF('TL18'!$C$238:$C$451,$C239,'TL18'!$J$238:$J$451),0),
IF('TL19'!$B$3=M$3,SUMIF('TL19'!$C$10:$C$224,$C239,'TL19'!$J$10:$J$224),0),
IF('TL19'!$B$229=M$3,SUMIF('TL19'!$C$238:$C$451,$C239,'TL19'!$J$238:$J$451),0)
),0)</f>
        <v>0</v>
      </c>
      <c r="N239" s="9">
        <f>IFERROR(SUM(
IF('TL01'!$B$3=N$3,SUMIF('TL01'!$C$10:$C$224,$C239,'TL01'!$J$10:$J$224),0),
IF('TL01'!$B$229=N$3,SUMIF('TL01'!$C$238:$C$451,$C239,'TL01'!$J$238:$J$451),0),
IF('TL02'!$B$3=N$3,SUMIF('TL02'!$C$10:$C$224,$C239,'TL02'!$J$10:$J$224),0),
IF('TL02'!$B$229=N$3,SUMIF('TL02'!$C$238:$C$451,$C239,'TL02'!$J$238:$J$451),0),
IF('TL03'!$B$3=N$3,SUMIF('TL03'!$C$10:$C$224,$C239,'TL03'!$J$10:$J$224),0),
IF('TL03'!$B$229=N$3,SUMIF('TL03'!$C$238:$C$451,$C239,'TL03'!$J$238:$J$451),0),
IF('TL04'!$B$3=N$3,SUMIF('TL04'!$C$10:$C$224,$C239,'TL04'!$J$10:$J$224),0),
IF('TL04'!$B$229=N$3,SUMIF('TL04'!$C$238:$C$451,$C239,'TL04'!$J$238:$J$451),0),
IF('TL05'!$B$3=N$3,SUMIF('TL05'!$C$10:$C$224,$C239,'TL05'!$J$10:$J$224),0),
IF('TL05'!$B$229=N$3,SUMIF('TL05'!$C$238:$C$451,$C239,'TL05'!$J$238:$J$451),0),
IF('TL06'!$B$3=N$3,SUMIF('TL06'!$C$10:$C$224,$C239,'TL06'!$J$10:$J$224),0),
IF('TL06'!$B$229=N$3,SUMIF('TL06'!$C$238:$C$451,$C239,'TL06'!$J$238:$J$451),0),
IF('TL07'!$B$3=N$3,SUMIF('TL07'!$C$10:$C$224,$C239,'TL07'!$J$10:$J$224),0),
IF('TL07'!$B$229=N$3,SUMIF('TL07'!$C$238:$C$451,$C239,'TL07'!$J$238:$J$451),0),
IF('TL08'!$B$3=N$3,SUMIF('TL08'!$C$10:$C$224,$C239,'TL08'!$J$10:$J$224),0),
IF('TL08'!$B$229=N$3,SUMIF('TL08'!$C$238:$C$451,$C239,'TL08'!$J$238:$J$451),0),
IF('TL09'!$B$3=N$3,SUMIF('TL09'!$C$10:$C$224,$C239,'TL09'!$J$10:$J$224),0),
IF('TL09'!$B$229=N$3,SUMIF('TL09'!$C$238:$C$451,$C239,'TL09'!$J$238:$J$451),0),
IF('TL10'!$B$3=N$3,SUMIF('TL10'!$C$10:$C$224,$C239,'TL10'!$J$10:$J$224),0),
IF('TL10'!$B$229=N$3,SUMIF('TL10'!$C$238:$C$451,$C239,'TL10'!$J$238:$J$451),0),
IF('TL11'!$B$3=N$3,SUMIF('TL11'!$C$10:$C$224,$C239,'TL11'!$J$10:$J$224),0),
IF('TL11'!$B$229=N$3,SUMIF('TL11'!$C$238:$C$451,$C239,'TL11'!$J$238:$J$451),0),
IF('TL12'!$B$3=N$3,SUMIF('TL12'!$C$10:$C$224,$C239,'TL12'!$J$10:$J$224),0),
IF('TL12'!$B$229=N$3,SUMIF('TL12'!$C$238:$C$451,$C239,'TL12'!$J$238:$J$451),0),
IF('TL13'!$B$3=N$3,SUMIF('TL13'!$C$10:$C$224,$C239,'TL13'!$J$10:$J$224),0),
IF('TL13'!$B$229=N$3,SUMIF('TL13'!$C$238:$C$451,$C239,'TL13'!$J$238:$J$451),0),
IF('TL14'!$B$3=N$3,SUMIF('TL14'!$C$10:$C$224,$C239,'TL14'!$J$10:$J$224),0),
IF('TL14'!$B$229=N$3,SUMIF('TL14'!$C$238:$C$451,$C239,'TL14'!$J$238:$J$451),0),
IF('TL15'!$B$3=N$3,SUMIF('TL15'!$C$10:$C$224,$C239,'TL15'!$J$10:$J$224),0),
IF('TL15'!$B$229=N$3,SUMIF('TL15'!$C$238:$C$451,$C239,'TL15'!$J$238:$J$451),0),
IF('TL16'!$B$3=N$3,SUMIF('TL16'!$C$10:$C$224,$C239,'TL16'!$J$10:$J$224),0),
IF('TL16'!$B$229=N$3,SUMIF('TL16'!$C$238:$C$451,$C239,'TL16'!$J$238:$J$451),0),
IF('TL17'!$B$3=N$3,SUMIF('TL17'!$C$10:$C$224,$C239,'TL17'!$J$10:$J$224),0),
IF('TL17'!$B$229=N$3,SUMIF('TL17'!$C$238:$C$451,$C239,'TL17'!$J$238:$J$451),0),
IF('TL18'!$B$3=N$3,SUMIF('TL18'!$C$10:$C$224,$C239,'TL18'!$J$10:$J$224),0),
IF('TL18'!$B$229=N$3,SUMIF('TL18'!$C$238:$C$451,$C239,'TL18'!$J$238:$J$451),0),
IF('TL19'!$B$3=N$3,SUMIF('TL19'!$C$10:$C$224,$C239,'TL19'!$J$10:$J$224),0),
IF('TL19'!$B$229=N$3,SUMIF('TL19'!$C$238:$C$451,$C239,'TL19'!$J$238:$J$451),0)
),0)</f>
        <v>0</v>
      </c>
      <c r="O239" s="9">
        <f>IFERROR(SUM(
IF('TL01'!$B$3=O$3,SUMIF('TL01'!$C$10:$C$224,$C239,'TL01'!$J$10:$J$224),0),
IF('TL01'!$B$229=O$3,SUMIF('TL01'!$C$238:$C$451,$C239,'TL01'!$J$238:$J$451),0),
IF('TL02'!$B$3=O$3,SUMIF('TL02'!$C$10:$C$224,$C239,'TL02'!$J$10:$J$224),0),
IF('TL02'!$B$229=O$3,SUMIF('TL02'!$C$238:$C$451,$C239,'TL02'!$J$238:$J$451),0),
IF('TL03'!$B$3=O$3,SUMIF('TL03'!$C$10:$C$224,$C239,'TL03'!$J$10:$J$224),0),
IF('TL03'!$B$229=O$3,SUMIF('TL03'!$C$238:$C$451,$C239,'TL03'!$J$238:$J$451),0),
IF('TL04'!$B$3=O$3,SUMIF('TL04'!$C$10:$C$224,$C239,'TL04'!$J$10:$J$224),0),
IF('TL04'!$B$229=O$3,SUMIF('TL04'!$C$238:$C$451,$C239,'TL04'!$J$238:$J$451),0),
IF('TL05'!$B$3=O$3,SUMIF('TL05'!$C$10:$C$224,$C239,'TL05'!$J$10:$J$224),0),
IF('TL05'!$B$229=O$3,SUMIF('TL05'!$C$238:$C$451,$C239,'TL05'!$J$238:$J$451),0),
IF('TL06'!$B$3=O$3,SUMIF('TL06'!$C$10:$C$224,$C239,'TL06'!$J$10:$J$224),0),
IF('TL06'!$B$229=O$3,SUMIF('TL06'!$C$238:$C$451,$C239,'TL06'!$J$238:$J$451),0),
IF('TL07'!$B$3=O$3,SUMIF('TL07'!$C$10:$C$224,$C239,'TL07'!$J$10:$J$224),0),
IF('TL07'!$B$229=O$3,SUMIF('TL07'!$C$238:$C$451,$C239,'TL07'!$J$238:$J$451),0),
IF('TL08'!$B$3=O$3,SUMIF('TL08'!$C$10:$C$224,$C239,'TL08'!$J$10:$J$224),0),
IF('TL08'!$B$229=O$3,SUMIF('TL08'!$C$238:$C$451,$C239,'TL08'!$J$238:$J$451),0),
IF('TL09'!$B$3=O$3,SUMIF('TL09'!$C$10:$C$224,$C239,'TL09'!$J$10:$J$224),0),
IF('TL09'!$B$229=O$3,SUMIF('TL09'!$C$238:$C$451,$C239,'TL09'!$J$238:$J$451),0),
IF('TL10'!$B$3=O$3,SUMIF('TL10'!$C$10:$C$224,$C239,'TL10'!$J$10:$J$224),0),
IF('TL10'!$B$229=O$3,SUMIF('TL10'!$C$238:$C$451,$C239,'TL10'!$J$238:$J$451),0),
IF('TL11'!$B$3=O$3,SUMIF('TL11'!$C$10:$C$224,$C239,'TL11'!$J$10:$J$224),0),
IF('TL11'!$B$229=O$3,SUMIF('TL11'!$C$238:$C$451,$C239,'TL11'!$J$238:$J$451),0),
IF('TL12'!$B$3=O$3,SUMIF('TL12'!$C$10:$C$224,$C239,'TL12'!$J$10:$J$224),0),
IF('TL12'!$B$229=O$3,SUMIF('TL12'!$C$238:$C$451,$C239,'TL12'!$J$238:$J$451),0),
IF('TL13'!$B$3=O$3,SUMIF('TL13'!$C$10:$C$224,$C239,'TL13'!$J$10:$J$224),0),
IF('TL13'!$B$229=O$3,SUMIF('TL13'!$C$238:$C$451,$C239,'TL13'!$J$238:$J$451),0),
IF('TL14'!$B$3=O$3,SUMIF('TL14'!$C$10:$C$224,$C239,'TL14'!$J$10:$J$224),0),
IF('TL14'!$B$229=O$3,SUMIF('TL14'!$C$238:$C$451,$C239,'TL14'!$J$238:$J$451),0),
IF('TL15'!$B$3=O$3,SUMIF('TL15'!$C$10:$C$224,$C239,'TL15'!$J$10:$J$224),0),
IF('TL15'!$B$229=O$3,SUMIF('TL15'!$C$238:$C$451,$C239,'TL15'!$J$238:$J$451),0),
IF('TL16'!$B$3=O$3,SUMIF('TL16'!$C$10:$C$224,$C239,'TL16'!$J$10:$J$224),0),
IF('TL16'!$B$229=O$3,SUMIF('TL16'!$C$238:$C$451,$C239,'TL16'!$J$238:$J$451),0),
IF('TL17'!$B$3=O$3,SUMIF('TL17'!$C$10:$C$224,$C239,'TL17'!$J$10:$J$224),0),
IF('TL17'!$B$229=O$3,SUMIF('TL17'!$C$238:$C$451,$C239,'TL17'!$J$238:$J$451),0),
IF('TL18'!$B$3=O$3,SUMIF('TL18'!$C$10:$C$224,$C239,'TL18'!$J$10:$J$224),0),
IF('TL18'!$B$229=O$3,SUMIF('TL18'!$C$238:$C$451,$C239,'TL18'!$J$238:$J$451),0),
IF('TL19'!$B$3=O$3,SUMIF('TL19'!$C$10:$C$224,$C239,'TL19'!$J$10:$J$224),0),
IF('TL19'!$B$229=O$3,SUMIF('TL19'!$C$238:$C$451,$C239,'TL19'!$J$238:$J$451),0)
),0)</f>
        <v>0</v>
      </c>
      <c r="P239" s="9">
        <f>IFERROR(SUM(
IF('TL01'!$B$3=P$3,SUMIF('TL01'!$C$10:$C$224,$C239,'TL01'!$J$10:$J$224),0),
IF('TL01'!$B$229=P$3,SUMIF('TL01'!$C$238:$C$451,$C239,'TL01'!$J$238:$J$451),0),
IF('TL02'!$B$3=P$3,SUMIF('TL02'!$C$10:$C$224,$C239,'TL02'!$J$10:$J$224),0),
IF('TL02'!$B$229=P$3,SUMIF('TL02'!$C$238:$C$451,$C239,'TL02'!$J$238:$J$451),0),
IF('TL03'!$B$3=P$3,SUMIF('TL03'!$C$10:$C$224,$C239,'TL03'!$J$10:$J$224),0),
IF('TL03'!$B$229=P$3,SUMIF('TL03'!$C$238:$C$451,$C239,'TL03'!$J$238:$J$451),0),
IF('TL04'!$B$3=P$3,SUMIF('TL04'!$C$10:$C$224,$C239,'TL04'!$J$10:$J$224),0),
IF('TL04'!$B$229=P$3,SUMIF('TL04'!$C$238:$C$451,$C239,'TL04'!$J$238:$J$451),0),
IF('TL05'!$B$3=P$3,SUMIF('TL05'!$C$10:$C$224,$C239,'TL05'!$J$10:$J$224),0),
IF('TL05'!$B$229=P$3,SUMIF('TL05'!$C$238:$C$451,$C239,'TL05'!$J$238:$J$451),0),
IF('TL06'!$B$3=P$3,SUMIF('TL06'!$C$10:$C$224,$C239,'TL06'!$J$10:$J$224),0),
IF('TL06'!$B$229=P$3,SUMIF('TL06'!$C$238:$C$451,$C239,'TL06'!$J$238:$J$451),0),
IF('TL07'!$B$3=P$3,SUMIF('TL07'!$C$10:$C$224,$C239,'TL07'!$J$10:$J$224),0),
IF('TL07'!$B$229=P$3,SUMIF('TL07'!$C$238:$C$451,$C239,'TL07'!$J$238:$J$451),0),
IF('TL08'!$B$3=P$3,SUMIF('TL08'!$C$10:$C$224,$C239,'TL08'!$J$10:$J$224),0),
IF('TL08'!$B$229=P$3,SUMIF('TL08'!$C$238:$C$451,$C239,'TL08'!$J$238:$J$451),0),
IF('TL09'!$B$3=P$3,SUMIF('TL09'!$C$10:$C$224,$C239,'TL09'!$J$10:$J$224),0),
IF('TL09'!$B$229=P$3,SUMIF('TL09'!$C$238:$C$451,$C239,'TL09'!$J$238:$J$451),0),
IF('TL10'!$B$3=P$3,SUMIF('TL10'!$C$10:$C$224,$C239,'TL10'!$J$10:$J$224),0),
IF('TL10'!$B$229=P$3,SUMIF('TL10'!$C$238:$C$451,$C239,'TL10'!$J$238:$J$451),0),
IF('TL11'!$B$3=P$3,SUMIF('TL11'!$C$10:$C$224,$C239,'TL11'!$J$10:$J$224),0),
IF('TL11'!$B$229=P$3,SUMIF('TL11'!$C$238:$C$451,$C239,'TL11'!$J$238:$J$451),0),
IF('TL12'!$B$3=P$3,SUMIF('TL12'!$C$10:$C$224,$C239,'TL12'!$J$10:$J$224),0),
IF('TL12'!$B$229=P$3,SUMIF('TL12'!$C$238:$C$451,$C239,'TL12'!$J$238:$J$451),0),
IF('TL13'!$B$3=P$3,SUMIF('TL13'!$C$10:$C$224,$C239,'TL13'!$J$10:$J$224),0),
IF('TL13'!$B$229=P$3,SUMIF('TL13'!$C$238:$C$451,$C239,'TL13'!$J$238:$J$451),0),
IF('TL14'!$B$3=P$3,SUMIF('TL14'!$C$10:$C$224,$C239,'TL14'!$J$10:$J$224),0),
IF('TL14'!$B$229=P$3,SUMIF('TL14'!$C$238:$C$451,$C239,'TL14'!$J$238:$J$451),0),
IF('TL15'!$B$3=P$3,SUMIF('TL15'!$C$10:$C$224,$C239,'TL15'!$J$10:$J$224),0),
IF('TL15'!$B$229=P$3,SUMIF('TL15'!$C$238:$C$451,$C239,'TL15'!$J$238:$J$451),0),
IF('TL16'!$B$3=P$3,SUMIF('TL16'!$C$10:$C$224,$C239,'TL16'!$J$10:$J$224),0),
IF('TL16'!$B$229=P$3,SUMIF('TL16'!$C$238:$C$451,$C239,'TL16'!$J$238:$J$451),0),
IF('TL17'!$B$3=P$3,SUMIF('TL17'!$C$10:$C$224,$C239,'TL17'!$J$10:$J$224),0),
IF('TL17'!$B$229=P$3,SUMIF('TL17'!$C$238:$C$451,$C239,'TL17'!$J$238:$J$451),0),
IF('TL18'!$B$3=P$3,SUMIF('TL18'!$C$10:$C$224,$C239,'TL18'!$J$10:$J$224),0),
IF('TL18'!$B$229=P$3,SUMIF('TL18'!$C$238:$C$451,$C239,'TL18'!$J$238:$J$451),0),
IF('TL19'!$B$3=P$3,SUMIF('TL19'!$C$10:$C$224,$C239,'TL19'!$J$10:$J$224),0),
IF('TL19'!$B$229=P$3,SUMIF('TL19'!$C$238:$C$451,$C239,'TL19'!$J$238:$J$451),0)
),0)</f>
        <v>0</v>
      </c>
      <c r="Q239" s="9">
        <f>IFERROR(SUM(
IF('TL01'!$B$3=Q$3,SUMIF('TL01'!$C$10:$C$224,$C239,'TL01'!$J$10:$J$224),0),
IF('TL01'!$B$229=Q$3,SUMIF('TL01'!$C$238:$C$451,$C239,'TL01'!$J$238:$J$451),0),
IF('TL02'!$B$3=Q$3,SUMIF('TL02'!$C$10:$C$224,$C239,'TL02'!$J$10:$J$224),0),
IF('TL02'!$B$229=Q$3,SUMIF('TL02'!$C$238:$C$451,$C239,'TL02'!$J$238:$J$451),0),
IF('TL03'!$B$3=Q$3,SUMIF('TL03'!$C$10:$C$224,$C239,'TL03'!$J$10:$J$224),0),
IF('TL03'!$B$229=Q$3,SUMIF('TL03'!$C$238:$C$451,$C239,'TL03'!$J$238:$J$451),0),
IF('TL04'!$B$3=Q$3,SUMIF('TL04'!$C$10:$C$224,$C239,'TL04'!$J$10:$J$224),0),
IF('TL04'!$B$229=Q$3,SUMIF('TL04'!$C$238:$C$451,$C239,'TL04'!$J$238:$J$451),0),
IF('TL05'!$B$3=Q$3,SUMIF('TL05'!$C$10:$C$224,$C239,'TL05'!$J$10:$J$224),0),
IF('TL05'!$B$229=Q$3,SUMIF('TL05'!$C$238:$C$451,$C239,'TL05'!$J$238:$J$451),0),
IF('TL06'!$B$3=Q$3,SUMIF('TL06'!$C$10:$C$224,$C239,'TL06'!$J$10:$J$224),0),
IF('TL06'!$B$229=Q$3,SUMIF('TL06'!$C$238:$C$451,$C239,'TL06'!$J$238:$J$451),0),
IF('TL07'!$B$3=Q$3,SUMIF('TL07'!$C$10:$C$224,$C239,'TL07'!$J$10:$J$224),0),
IF('TL07'!$B$229=Q$3,SUMIF('TL07'!$C$238:$C$451,$C239,'TL07'!$J$238:$J$451),0),
IF('TL08'!$B$3=Q$3,SUMIF('TL08'!$C$10:$C$224,$C239,'TL08'!$J$10:$J$224),0),
IF('TL08'!$B$229=Q$3,SUMIF('TL08'!$C$238:$C$451,$C239,'TL08'!$J$238:$J$451),0),
IF('TL09'!$B$3=Q$3,SUMIF('TL09'!$C$10:$C$224,$C239,'TL09'!$J$10:$J$224),0),
IF('TL09'!$B$229=Q$3,SUMIF('TL09'!$C$238:$C$451,$C239,'TL09'!$J$238:$J$451),0),
IF('TL10'!$B$3=Q$3,SUMIF('TL10'!$C$10:$C$224,$C239,'TL10'!$J$10:$J$224),0),
IF('TL10'!$B$229=Q$3,SUMIF('TL10'!$C$238:$C$451,$C239,'TL10'!$J$238:$J$451),0),
IF('TL11'!$B$3=Q$3,SUMIF('TL11'!$C$10:$C$224,$C239,'TL11'!$J$10:$J$224),0),
IF('TL11'!$B$229=Q$3,SUMIF('TL11'!$C$238:$C$451,$C239,'TL11'!$J$238:$J$451),0),
IF('TL12'!$B$3=Q$3,SUMIF('TL12'!$C$10:$C$224,$C239,'TL12'!$J$10:$J$224),0),
IF('TL12'!$B$229=Q$3,SUMIF('TL12'!$C$238:$C$451,$C239,'TL12'!$J$238:$J$451),0),
IF('TL13'!$B$3=Q$3,SUMIF('TL13'!$C$10:$C$224,$C239,'TL13'!$J$10:$J$224),0),
IF('TL13'!$B$229=Q$3,SUMIF('TL13'!$C$238:$C$451,$C239,'TL13'!$J$238:$J$451),0),
IF('TL14'!$B$3=Q$3,SUMIF('TL14'!$C$10:$C$224,$C239,'TL14'!$J$10:$J$224),0),
IF('TL14'!$B$229=Q$3,SUMIF('TL14'!$C$238:$C$451,$C239,'TL14'!$J$238:$J$451),0),
IF('TL15'!$B$3=Q$3,SUMIF('TL15'!$C$10:$C$224,$C239,'TL15'!$J$10:$J$224),0),
IF('TL15'!$B$229=Q$3,SUMIF('TL15'!$C$238:$C$451,$C239,'TL15'!$J$238:$J$451),0),
IF('TL16'!$B$3=Q$3,SUMIF('TL16'!$C$10:$C$224,$C239,'TL16'!$J$10:$J$224),0),
IF('TL16'!$B$229=Q$3,SUMIF('TL16'!$C$238:$C$451,$C239,'TL16'!$J$238:$J$451),0),
IF('TL17'!$B$3=Q$3,SUMIF('TL17'!$C$10:$C$224,$C239,'TL17'!$J$10:$J$224),0),
IF('TL17'!$B$229=Q$3,SUMIF('TL17'!$C$238:$C$451,$C239,'TL17'!$J$238:$J$451),0),
IF('TL18'!$B$3=Q$3,SUMIF('TL18'!$C$10:$C$224,$C239,'TL18'!$J$10:$J$224),0),
IF('TL18'!$B$229=Q$3,SUMIF('TL18'!$C$238:$C$451,$C239,'TL18'!$J$238:$J$451),0),
IF('TL19'!$B$3=Q$3,SUMIF('TL19'!$C$10:$C$224,$C239,'TL19'!$J$10:$J$224),0),
IF('TL19'!$B$229=Q$3,SUMIF('TL19'!$C$238:$C$451,$C239,'TL19'!$J$238:$J$451),0)
),0)</f>
        <v>0</v>
      </c>
      <c r="R239" s="9">
        <f>IFERROR(
SUM(
SUMIF('TL01'!C:C,C239,'TL01'!J:J),
SUMIF('TL02'!C:C,C239,'TL02'!J:J),
SUMIF('TL03'!C:C,C239,'TL03'!J:J),
SUMIF('TL04'!C:C,C239,'TL04'!J:J),
SUMIF('TL05'!C:C,C239,'TL05'!J:J),
SUMIF('TL06'!C:C,C239,'TL06'!J:J),
SUMIF('TL07'!C:C,C239,'TL07'!J:J),
SUMIF('TL08'!C:C,C239,'TL08'!J:J),
SUMIF('TL09'!C:C,C239,'TL09'!J:J),
SUMIF('TL10'!C:C,C239,'TL10'!J:J),
SUMIF('TL11'!C:C,C239,'TL11'!J:J),
SUMIF('TL12'!C:C,C239,'TL12'!J:J),
SUMIF('TL13'!C:C,C239,'TL13'!J:J),
SUMIF('TL14'!C:C,C239,'TL14'!J:J),
SUMIF('TL15'!C:C,C239,'TL15'!J:J),
SUMIF('TL16'!C:C,C239,'TL16'!J:J),
SUMIF('TL17'!C:C,C239,'TL17'!J:J),
SUMIF('TL18'!C:C,C239,'TL18'!J:J),SUMIF('TL19'!C:C,C239,'TL19'!J:J))
,0)</f>
        <v>0</v>
      </c>
      <c r="S239" s="17">
        <f>IFERROR(__xludf.DUMMYFUNCTION("IFERROR(VLOOKUP(C239,
IMPORTRANGE(""1wULbzX32WdYsx-lj2U3uUNBBe2INVIRDtcK0d-Dvl90"",
""26-27!C:G""),
5,
FALSE),
"""")"),1633.76775)</f>
        <v>1633.76775</v>
      </c>
      <c r="T239" s="9"/>
      <c r="U239" s="92">
        <f t="shared" si="2"/>
        <v>0</v>
      </c>
      <c r="V239" s="93">
        <f t="shared" si="3"/>
        <v>0</v>
      </c>
    </row>
    <row r="240" ht="15.75" hidden="1" customHeight="1">
      <c r="A240" s="87" t="s">
        <v>358</v>
      </c>
      <c r="B240" s="88" t="s">
        <v>2</v>
      </c>
      <c r="C240" s="89" t="s">
        <v>897</v>
      </c>
      <c r="D240" s="89" t="s">
        <v>898</v>
      </c>
      <c r="E240" s="89" t="s">
        <v>796</v>
      </c>
      <c r="F240" s="4" t="s">
        <v>343</v>
      </c>
      <c r="G240" s="90" t="str">
        <f t="shared" si="4"/>
        <v>📄 Ver bula</v>
      </c>
      <c r="H240" s="9">
        <f>IFERROR(__xludf.DUMMYFUNCTION("IFERROR(VLOOKUP(C240,
IMPORTRANGE(""1wULbzX32WdYsx-lj2U3uUNBBe2INVIRDtcK0d-Dvl90"",
""26-27!C:K""),
8,
FALSE),
"""")"),0.25)</f>
        <v>0.25</v>
      </c>
      <c r="I240" s="91" t="s">
        <v>344</v>
      </c>
      <c r="J240" s="9">
        <f>IFERROR(SUM(
IF('TL01'!$B$3=J$3,SUMIF('TL01'!$C$10:$C$224,$C240,'TL01'!$J$10:$J$224),0),
IF('TL01'!$B$229=J$3,SUMIF('TL01'!$C$238:$C$451,$C240,'TL01'!$J$238:$J$451),0),
IF('TL02'!$B$3=J$3,SUMIF('TL02'!$C$10:$C$224,$C240,'TL02'!$J$10:$J$224),0),
IF('TL02'!$B$229=J$3,SUMIF('TL02'!$C$238:$C$451,$C240,'TL02'!$J$238:$J$451),0),
IF('TL03'!$B$3=J$3,SUMIF('TL03'!$C$10:$C$224,$C240,'TL03'!$J$10:$J$224),0),
IF('TL03'!$B$229=J$3,SUMIF('TL03'!$C$238:$C$451,$C240,'TL03'!$J$238:$J$451),0),
IF('TL04'!$B$3=J$3,SUMIF('TL04'!$C$10:$C$224,$C240,'TL04'!$J$10:$J$224),0),
IF('TL04'!$B$229=J$3,SUMIF('TL04'!$C$238:$C$451,$C240,'TL04'!$J$238:$J$451),0),
IF('TL05'!$B$3=J$3,SUMIF('TL05'!$C$10:$C$224,$C240,'TL05'!$J$10:$J$224),0),
IF('TL05'!$B$229=J$3,SUMIF('TL05'!$C$238:$C$451,$C240,'TL05'!$J$238:$J$451),0),
IF('TL06'!$B$3=J$3,SUMIF('TL06'!$C$10:$C$224,$C240,'TL06'!$J$10:$J$224),0),
IF('TL06'!$B$229=J$3,SUMIF('TL06'!$C$238:$C$451,$C240,'TL06'!$J$238:$J$451),0),
IF('TL07'!$B$3=J$3,SUMIF('TL07'!$C$10:$C$224,$C240,'TL07'!$J$10:$J$224),0),
IF('TL07'!$B$229=J$3,SUMIF('TL07'!$C$238:$C$451,$C240,'TL07'!$J$238:$J$451),0),
IF('TL08'!$B$3=J$3,SUMIF('TL08'!$C$10:$C$224,$C240,'TL08'!$J$10:$J$224),0),
IF('TL08'!$B$229=J$3,SUMIF('TL08'!$C$238:$C$451,$C240,'TL08'!$J$238:$J$451),0),
IF('TL09'!$B$3=J$3,SUMIF('TL09'!$C$10:$C$224,$C240,'TL09'!$J$10:$J$224),0),
IF('TL09'!$B$229=J$3,SUMIF('TL09'!$C$238:$C$451,$C240,'TL09'!$J$238:$J$451),0),
IF('TL10'!$B$3=J$3,SUMIF('TL10'!$C$10:$C$224,$C240,'TL10'!$J$10:$J$224),0),
IF('TL10'!$B$229=J$3,SUMIF('TL10'!$C$238:$C$451,$C240,'TL10'!$J$238:$J$451),0),
IF('TL11'!$B$3=J$3,SUMIF('TL11'!$C$10:$C$224,$C240,'TL11'!$J$10:$J$224),0),
IF('TL11'!$B$229=J$3,SUMIF('TL11'!$C$238:$C$451,$C240,'TL11'!$J$238:$J$451),0),
IF('TL12'!$B$3=J$3,SUMIF('TL12'!$C$10:$C$224,$C240,'TL12'!$J$10:$J$224),0),
IF('TL12'!$B$229=J$3,SUMIF('TL12'!$C$238:$C$451,$C240,'TL12'!$J$238:$J$451),0),
IF('TL13'!$B$3=J$3,SUMIF('TL13'!$C$10:$C$224,$C240,'TL13'!$J$10:$J$224),0),
IF('TL13'!$B$229=J$3,SUMIF('TL13'!$C$238:$C$451,$C240,'TL13'!$J$238:$J$451),0),
IF('TL14'!$B$3=J$3,SUMIF('TL14'!$C$10:$C$224,$C240,'TL14'!$J$10:$J$224),0),
IF('TL14'!$B$229=J$3,SUMIF('TL14'!$C$238:$C$451,$C240,'TL14'!$J$238:$J$451),0),
IF('TL15'!$B$3=J$3,SUMIF('TL15'!$C$10:$C$224,$C240,'TL15'!$J$10:$J$224),0),
IF('TL15'!$B$229=J$3,SUMIF('TL15'!$C$238:$C$451,$C240,'TL15'!$J$238:$J$451),0),
IF('TL16'!$B$3=J$3,SUMIF('TL16'!$C$10:$C$224,$C240,'TL16'!$J$10:$J$224),0),
IF('TL16'!$B$229=J$3,SUMIF('TL16'!$C$238:$C$451,$C240,'TL16'!$J$238:$J$451),0),
IF('TL17'!$B$3=J$3,SUMIF('TL17'!$C$10:$C$224,$C240,'TL17'!$J$10:$J$224),0),
IF('TL17'!$B$229=J$3,SUMIF('TL17'!$C$238:$C$451,$C240,'TL17'!$J$238:$J$451),0),
IF('TL18'!$B$3=J$3,SUMIF('TL18'!$C$10:$C$224,$C240,'TL18'!$J$10:$J$224),0),
IF('TL18'!$B$229=J$3,SUMIF('TL18'!$C$238:$C$451,$C240,'TL18'!$J$238:$J$451),0),
IF('TL19'!$B$3=J$3,SUMIF('TL19'!$C$10:$C$224,$C240,'TL19'!$J$10:$J$224),0),
IF('TL19'!$B$229=J$3,SUMIF('TL19'!$C$238:$C$451,$C240,'TL19'!$J$238:$J$451),0)
),0)</f>
        <v>0</v>
      </c>
      <c r="K240" s="9">
        <f>IFERROR(SUM(
IF('TL01'!$B$3=K$3,SUMIF('TL01'!$C$10:$C$224,$C240,'TL01'!$J$10:$J$224),0),
IF('TL01'!$B$229=K$3,SUMIF('TL01'!$C$238:$C$451,$C240,'TL01'!$J$238:$J$451),0),
IF('TL02'!$B$3=K$3,SUMIF('TL02'!$C$10:$C$224,$C240,'TL02'!$J$10:$J$224),0),
IF('TL02'!$B$229=K$3,SUMIF('TL02'!$C$238:$C$451,$C240,'TL02'!$J$238:$J$451),0),
IF('TL03'!$B$3=K$3,SUMIF('TL03'!$C$10:$C$224,$C240,'TL03'!$J$10:$J$224),0),
IF('TL03'!$B$229=K$3,SUMIF('TL03'!$C$238:$C$451,$C240,'TL03'!$J$238:$J$451),0),
IF('TL04'!$B$3=K$3,SUMIF('TL04'!$C$10:$C$224,$C240,'TL04'!$J$10:$J$224),0),
IF('TL04'!$B$229=K$3,SUMIF('TL04'!$C$238:$C$451,$C240,'TL04'!$J$238:$J$451),0),
IF('TL05'!$B$3=K$3,SUMIF('TL05'!$C$10:$C$224,$C240,'TL05'!$J$10:$J$224),0),
IF('TL05'!$B$229=K$3,SUMIF('TL05'!$C$238:$C$451,$C240,'TL05'!$J$238:$J$451),0),
IF('TL06'!$B$3=K$3,SUMIF('TL06'!$C$10:$C$224,$C240,'TL06'!$J$10:$J$224),0),
IF('TL06'!$B$229=K$3,SUMIF('TL06'!$C$238:$C$451,$C240,'TL06'!$J$238:$J$451),0),
IF('TL07'!$B$3=K$3,SUMIF('TL07'!$C$10:$C$224,$C240,'TL07'!$J$10:$J$224),0),
IF('TL07'!$B$229=K$3,SUMIF('TL07'!$C$238:$C$451,$C240,'TL07'!$J$238:$J$451),0),
IF('TL08'!$B$3=K$3,SUMIF('TL08'!$C$10:$C$224,$C240,'TL08'!$J$10:$J$224),0),
IF('TL08'!$B$229=K$3,SUMIF('TL08'!$C$238:$C$451,$C240,'TL08'!$J$238:$J$451),0),
IF('TL09'!$B$3=K$3,SUMIF('TL09'!$C$10:$C$224,$C240,'TL09'!$J$10:$J$224),0),
IF('TL09'!$B$229=K$3,SUMIF('TL09'!$C$238:$C$451,$C240,'TL09'!$J$238:$J$451),0),
IF('TL10'!$B$3=K$3,SUMIF('TL10'!$C$10:$C$224,$C240,'TL10'!$J$10:$J$224),0),
IF('TL10'!$B$229=K$3,SUMIF('TL10'!$C$238:$C$451,$C240,'TL10'!$J$238:$J$451),0),
IF('TL11'!$B$3=K$3,SUMIF('TL11'!$C$10:$C$224,$C240,'TL11'!$J$10:$J$224),0),
IF('TL11'!$B$229=K$3,SUMIF('TL11'!$C$238:$C$451,$C240,'TL11'!$J$238:$J$451),0),
IF('TL12'!$B$3=K$3,SUMIF('TL12'!$C$10:$C$224,$C240,'TL12'!$J$10:$J$224),0),
IF('TL12'!$B$229=K$3,SUMIF('TL12'!$C$238:$C$451,$C240,'TL12'!$J$238:$J$451),0),
IF('TL13'!$B$3=K$3,SUMIF('TL13'!$C$10:$C$224,$C240,'TL13'!$J$10:$J$224),0),
IF('TL13'!$B$229=K$3,SUMIF('TL13'!$C$238:$C$451,$C240,'TL13'!$J$238:$J$451),0),
IF('TL14'!$B$3=K$3,SUMIF('TL14'!$C$10:$C$224,$C240,'TL14'!$J$10:$J$224),0),
IF('TL14'!$B$229=K$3,SUMIF('TL14'!$C$238:$C$451,$C240,'TL14'!$J$238:$J$451),0),
IF('TL15'!$B$3=K$3,SUMIF('TL15'!$C$10:$C$224,$C240,'TL15'!$J$10:$J$224),0),
IF('TL15'!$B$229=K$3,SUMIF('TL15'!$C$238:$C$451,$C240,'TL15'!$J$238:$J$451),0),
IF('TL16'!$B$3=K$3,SUMIF('TL16'!$C$10:$C$224,$C240,'TL16'!$J$10:$J$224),0),
IF('TL16'!$B$229=K$3,SUMIF('TL16'!$C$238:$C$451,$C240,'TL16'!$J$238:$J$451),0),
IF('TL17'!$B$3=K$3,SUMIF('TL17'!$C$10:$C$224,$C240,'TL17'!$J$10:$J$224),0),
IF('TL17'!$B$229=K$3,SUMIF('TL17'!$C$238:$C$451,$C240,'TL17'!$J$238:$J$451),0),
IF('TL18'!$B$3=K$3,SUMIF('TL18'!$C$10:$C$224,$C240,'TL18'!$J$10:$J$224),0),
IF('TL18'!$B$229=K$3,SUMIF('TL18'!$C$238:$C$451,$C240,'TL18'!$J$238:$J$451),0),
IF('TL19'!$B$3=K$3,SUMIF('TL19'!$C$10:$C$224,$C240,'TL19'!$J$10:$J$224),0),
IF('TL19'!$B$229=K$3,SUMIF('TL19'!$C$238:$C$451,$C240,'TL19'!$J$238:$J$451),0)
),0)</f>
        <v>0</v>
      </c>
      <c r="L240" s="9">
        <f>IFERROR(SUM(
IF('TL01'!$B$3=L$3,SUMIF('TL01'!$C$10:$C$224,$C240,'TL01'!$J$10:$J$224),0),
IF('TL01'!$B$229=L$3,SUMIF('TL01'!$C$238:$C$451,$C240,'TL01'!$J$238:$J$451),0),
IF('TL02'!$B$3=L$3,SUMIF('TL02'!$C$10:$C$224,$C240,'TL02'!$J$10:$J$224),0),
IF('TL02'!$B$229=L$3,SUMIF('TL02'!$C$238:$C$451,$C240,'TL02'!$J$238:$J$451),0),
IF('TL03'!$B$3=L$3,SUMIF('TL03'!$C$10:$C$224,$C240,'TL03'!$J$10:$J$224),0),
IF('TL03'!$B$229=L$3,SUMIF('TL03'!$C$238:$C$451,$C240,'TL03'!$J$238:$J$451),0),
IF('TL04'!$B$3=L$3,SUMIF('TL04'!$C$10:$C$224,$C240,'TL04'!$J$10:$J$224),0),
IF('TL04'!$B$229=L$3,SUMIF('TL04'!$C$238:$C$451,$C240,'TL04'!$J$238:$J$451),0),
IF('TL05'!$B$3=L$3,SUMIF('TL05'!$C$10:$C$224,$C240,'TL05'!$J$10:$J$224),0),
IF('TL05'!$B$229=L$3,SUMIF('TL05'!$C$238:$C$451,$C240,'TL05'!$J$238:$J$451),0),
IF('TL06'!$B$3=L$3,SUMIF('TL06'!$C$10:$C$224,$C240,'TL06'!$J$10:$J$224),0),
IF('TL06'!$B$229=L$3,SUMIF('TL06'!$C$238:$C$451,$C240,'TL06'!$J$238:$J$451),0),
IF('TL07'!$B$3=L$3,SUMIF('TL07'!$C$10:$C$224,$C240,'TL07'!$J$10:$J$224),0),
IF('TL07'!$B$229=L$3,SUMIF('TL07'!$C$238:$C$451,$C240,'TL07'!$J$238:$J$451),0),
IF('TL08'!$B$3=L$3,SUMIF('TL08'!$C$10:$C$224,$C240,'TL08'!$J$10:$J$224),0),
IF('TL08'!$B$229=L$3,SUMIF('TL08'!$C$238:$C$451,$C240,'TL08'!$J$238:$J$451),0),
IF('TL09'!$B$3=L$3,SUMIF('TL09'!$C$10:$C$224,$C240,'TL09'!$J$10:$J$224),0),
IF('TL09'!$B$229=L$3,SUMIF('TL09'!$C$238:$C$451,$C240,'TL09'!$J$238:$J$451),0),
IF('TL10'!$B$3=L$3,SUMIF('TL10'!$C$10:$C$224,$C240,'TL10'!$J$10:$J$224),0),
IF('TL10'!$B$229=L$3,SUMIF('TL10'!$C$238:$C$451,$C240,'TL10'!$J$238:$J$451),0),
IF('TL11'!$B$3=L$3,SUMIF('TL11'!$C$10:$C$224,$C240,'TL11'!$J$10:$J$224),0),
IF('TL11'!$B$229=L$3,SUMIF('TL11'!$C$238:$C$451,$C240,'TL11'!$J$238:$J$451),0),
IF('TL12'!$B$3=L$3,SUMIF('TL12'!$C$10:$C$224,$C240,'TL12'!$J$10:$J$224),0),
IF('TL12'!$B$229=L$3,SUMIF('TL12'!$C$238:$C$451,$C240,'TL12'!$J$238:$J$451),0),
IF('TL13'!$B$3=L$3,SUMIF('TL13'!$C$10:$C$224,$C240,'TL13'!$J$10:$J$224),0),
IF('TL13'!$B$229=L$3,SUMIF('TL13'!$C$238:$C$451,$C240,'TL13'!$J$238:$J$451),0),
IF('TL14'!$B$3=L$3,SUMIF('TL14'!$C$10:$C$224,$C240,'TL14'!$J$10:$J$224),0),
IF('TL14'!$B$229=L$3,SUMIF('TL14'!$C$238:$C$451,$C240,'TL14'!$J$238:$J$451),0),
IF('TL15'!$B$3=L$3,SUMIF('TL15'!$C$10:$C$224,$C240,'TL15'!$J$10:$J$224),0),
IF('TL15'!$B$229=L$3,SUMIF('TL15'!$C$238:$C$451,$C240,'TL15'!$J$238:$J$451),0),
IF('TL16'!$B$3=L$3,SUMIF('TL16'!$C$10:$C$224,$C240,'TL16'!$J$10:$J$224),0),
IF('TL16'!$B$229=L$3,SUMIF('TL16'!$C$238:$C$451,$C240,'TL16'!$J$238:$J$451),0),
IF('TL17'!$B$3=L$3,SUMIF('TL17'!$C$10:$C$224,$C240,'TL17'!$J$10:$J$224),0),
IF('TL17'!$B$229=L$3,SUMIF('TL17'!$C$238:$C$451,$C240,'TL17'!$J$238:$J$451),0),
IF('TL18'!$B$3=L$3,SUMIF('TL18'!$C$10:$C$224,$C240,'TL18'!$J$10:$J$224),0),
IF('TL18'!$B$229=L$3,SUMIF('TL18'!$C$238:$C$451,$C240,'TL18'!$J$238:$J$451),0),
IF('TL19'!$B$3=L$3,SUMIF('TL19'!$C$10:$C$224,$C240,'TL19'!$J$10:$J$224),0),
IF('TL19'!$B$229=L$3,SUMIF('TL19'!$C$238:$C$451,$C240,'TL19'!$J$238:$J$451),0)
),0)</f>
        <v>0</v>
      </c>
      <c r="M240" s="9">
        <f>IFERROR(SUM(
IF('TL01'!$B$3=M$3,SUMIF('TL01'!$C$10:$C$224,$C240,'TL01'!$J$10:$J$224),0),
IF('TL01'!$B$229=M$3,SUMIF('TL01'!$C$238:$C$451,$C240,'TL01'!$J$238:$J$451),0),
IF('TL02'!$B$3=M$3,SUMIF('TL02'!$C$10:$C$224,$C240,'TL02'!$J$10:$J$224),0),
IF('TL02'!$B$229=M$3,SUMIF('TL02'!$C$238:$C$451,$C240,'TL02'!$J$238:$J$451),0),
IF('TL03'!$B$3=M$3,SUMIF('TL03'!$C$10:$C$224,$C240,'TL03'!$J$10:$J$224),0),
IF('TL03'!$B$229=M$3,SUMIF('TL03'!$C$238:$C$451,$C240,'TL03'!$J$238:$J$451),0),
IF('TL04'!$B$3=M$3,SUMIF('TL04'!$C$10:$C$224,$C240,'TL04'!$J$10:$J$224),0),
IF('TL04'!$B$229=M$3,SUMIF('TL04'!$C$238:$C$451,$C240,'TL04'!$J$238:$J$451),0),
IF('TL05'!$B$3=M$3,SUMIF('TL05'!$C$10:$C$224,$C240,'TL05'!$J$10:$J$224),0),
IF('TL05'!$B$229=M$3,SUMIF('TL05'!$C$238:$C$451,$C240,'TL05'!$J$238:$J$451),0),
IF('TL06'!$B$3=M$3,SUMIF('TL06'!$C$10:$C$224,$C240,'TL06'!$J$10:$J$224),0),
IF('TL06'!$B$229=M$3,SUMIF('TL06'!$C$238:$C$451,$C240,'TL06'!$J$238:$J$451),0),
IF('TL07'!$B$3=M$3,SUMIF('TL07'!$C$10:$C$224,$C240,'TL07'!$J$10:$J$224),0),
IF('TL07'!$B$229=M$3,SUMIF('TL07'!$C$238:$C$451,$C240,'TL07'!$J$238:$J$451),0),
IF('TL08'!$B$3=M$3,SUMIF('TL08'!$C$10:$C$224,$C240,'TL08'!$J$10:$J$224),0),
IF('TL08'!$B$229=M$3,SUMIF('TL08'!$C$238:$C$451,$C240,'TL08'!$J$238:$J$451),0),
IF('TL09'!$B$3=M$3,SUMIF('TL09'!$C$10:$C$224,$C240,'TL09'!$J$10:$J$224),0),
IF('TL09'!$B$229=M$3,SUMIF('TL09'!$C$238:$C$451,$C240,'TL09'!$J$238:$J$451),0),
IF('TL10'!$B$3=M$3,SUMIF('TL10'!$C$10:$C$224,$C240,'TL10'!$J$10:$J$224),0),
IF('TL10'!$B$229=M$3,SUMIF('TL10'!$C$238:$C$451,$C240,'TL10'!$J$238:$J$451),0),
IF('TL11'!$B$3=M$3,SUMIF('TL11'!$C$10:$C$224,$C240,'TL11'!$J$10:$J$224),0),
IF('TL11'!$B$229=M$3,SUMIF('TL11'!$C$238:$C$451,$C240,'TL11'!$J$238:$J$451),0),
IF('TL12'!$B$3=M$3,SUMIF('TL12'!$C$10:$C$224,$C240,'TL12'!$J$10:$J$224),0),
IF('TL12'!$B$229=M$3,SUMIF('TL12'!$C$238:$C$451,$C240,'TL12'!$J$238:$J$451),0),
IF('TL13'!$B$3=M$3,SUMIF('TL13'!$C$10:$C$224,$C240,'TL13'!$J$10:$J$224),0),
IF('TL13'!$B$229=M$3,SUMIF('TL13'!$C$238:$C$451,$C240,'TL13'!$J$238:$J$451),0),
IF('TL14'!$B$3=M$3,SUMIF('TL14'!$C$10:$C$224,$C240,'TL14'!$J$10:$J$224),0),
IF('TL14'!$B$229=M$3,SUMIF('TL14'!$C$238:$C$451,$C240,'TL14'!$J$238:$J$451),0),
IF('TL15'!$B$3=M$3,SUMIF('TL15'!$C$10:$C$224,$C240,'TL15'!$J$10:$J$224),0),
IF('TL15'!$B$229=M$3,SUMIF('TL15'!$C$238:$C$451,$C240,'TL15'!$J$238:$J$451),0),
IF('TL16'!$B$3=M$3,SUMIF('TL16'!$C$10:$C$224,$C240,'TL16'!$J$10:$J$224),0),
IF('TL16'!$B$229=M$3,SUMIF('TL16'!$C$238:$C$451,$C240,'TL16'!$J$238:$J$451),0),
IF('TL17'!$B$3=M$3,SUMIF('TL17'!$C$10:$C$224,$C240,'TL17'!$J$10:$J$224),0),
IF('TL17'!$B$229=M$3,SUMIF('TL17'!$C$238:$C$451,$C240,'TL17'!$J$238:$J$451),0),
IF('TL18'!$B$3=M$3,SUMIF('TL18'!$C$10:$C$224,$C240,'TL18'!$J$10:$J$224),0),
IF('TL18'!$B$229=M$3,SUMIF('TL18'!$C$238:$C$451,$C240,'TL18'!$J$238:$J$451),0),
IF('TL19'!$B$3=M$3,SUMIF('TL19'!$C$10:$C$224,$C240,'TL19'!$J$10:$J$224),0),
IF('TL19'!$B$229=M$3,SUMIF('TL19'!$C$238:$C$451,$C240,'TL19'!$J$238:$J$451),0)
),0)</f>
        <v>0</v>
      </c>
      <c r="N240" s="9">
        <f>IFERROR(SUM(
IF('TL01'!$B$3=N$3,SUMIF('TL01'!$C$10:$C$224,$C240,'TL01'!$J$10:$J$224),0),
IF('TL01'!$B$229=N$3,SUMIF('TL01'!$C$238:$C$451,$C240,'TL01'!$J$238:$J$451),0),
IF('TL02'!$B$3=N$3,SUMIF('TL02'!$C$10:$C$224,$C240,'TL02'!$J$10:$J$224),0),
IF('TL02'!$B$229=N$3,SUMIF('TL02'!$C$238:$C$451,$C240,'TL02'!$J$238:$J$451),0),
IF('TL03'!$B$3=N$3,SUMIF('TL03'!$C$10:$C$224,$C240,'TL03'!$J$10:$J$224),0),
IF('TL03'!$B$229=N$3,SUMIF('TL03'!$C$238:$C$451,$C240,'TL03'!$J$238:$J$451),0),
IF('TL04'!$B$3=N$3,SUMIF('TL04'!$C$10:$C$224,$C240,'TL04'!$J$10:$J$224),0),
IF('TL04'!$B$229=N$3,SUMIF('TL04'!$C$238:$C$451,$C240,'TL04'!$J$238:$J$451),0),
IF('TL05'!$B$3=N$3,SUMIF('TL05'!$C$10:$C$224,$C240,'TL05'!$J$10:$J$224),0),
IF('TL05'!$B$229=N$3,SUMIF('TL05'!$C$238:$C$451,$C240,'TL05'!$J$238:$J$451),0),
IF('TL06'!$B$3=N$3,SUMIF('TL06'!$C$10:$C$224,$C240,'TL06'!$J$10:$J$224),0),
IF('TL06'!$B$229=N$3,SUMIF('TL06'!$C$238:$C$451,$C240,'TL06'!$J$238:$J$451),0),
IF('TL07'!$B$3=N$3,SUMIF('TL07'!$C$10:$C$224,$C240,'TL07'!$J$10:$J$224),0),
IF('TL07'!$B$229=N$3,SUMIF('TL07'!$C$238:$C$451,$C240,'TL07'!$J$238:$J$451),0),
IF('TL08'!$B$3=N$3,SUMIF('TL08'!$C$10:$C$224,$C240,'TL08'!$J$10:$J$224),0),
IF('TL08'!$B$229=N$3,SUMIF('TL08'!$C$238:$C$451,$C240,'TL08'!$J$238:$J$451),0),
IF('TL09'!$B$3=N$3,SUMIF('TL09'!$C$10:$C$224,$C240,'TL09'!$J$10:$J$224),0),
IF('TL09'!$B$229=N$3,SUMIF('TL09'!$C$238:$C$451,$C240,'TL09'!$J$238:$J$451),0),
IF('TL10'!$B$3=N$3,SUMIF('TL10'!$C$10:$C$224,$C240,'TL10'!$J$10:$J$224),0),
IF('TL10'!$B$229=N$3,SUMIF('TL10'!$C$238:$C$451,$C240,'TL10'!$J$238:$J$451),0),
IF('TL11'!$B$3=N$3,SUMIF('TL11'!$C$10:$C$224,$C240,'TL11'!$J$10:$J$224),0),
IF('TL11'!$B$229=N$3,SUMIF('TL11'!$C$238:$C$451,$C240,'TL11'!$J$238:$J$451),0),
IF('TL12'!$B$3=N$3,SUMIF('TL12'!$C$10:$C$224,$C240,'TL12'!$J$10:$J$224),0),
IF('TL12'!$B$229=N$3,SUMIF('TL12'!$C$238:$C$451,$C240,'TL12'!$J$238:$J$451),0),
IF('TL13'!$B$3=N$3,SUMIF('TL13'!$C$10:$C$224,$C240,'TL13'!$J$10:$J$224),0),
IF('TL13'!$B$229=N$3,SUMIF('TL13'!$C$238:$C$451,$C240,'TL13'!$J$238:$J$451),0),
IF('TL14'!$B$3=N$3,SUMIF('TL14'!$C$10:$C$224,$C240,'TL14'!$J$10:$J$224),0),
IF('TL14'!$B$229=N$3,SUMIF('TL14'!$C$238:$C$451,$C240,'TL14'!$J$238:$J$451),0),
IF('TL15'!$B$3=N$3,SUMIF('TL15'!$C$10:$C$224,$C240,'TL15'!$J$10:$J$224),0),
IF('TL15'!$B$229=N$3,SUMIF('TL15'!$C$238:$C$451,$C240,'TL15'!$J$238:$J$451),0),
IF('TL16'!$B$3=N$3,SUMIF('TL16'!$C$10:$C$224,$C240,'TL16'!$J$10:$J$224),0),
IF('TL16'!$B$229=N$3,SUMIF('TL16'!$C$238:$C$451,$C240,'TL16'!$J$238:$J$451),0),
IF('TL17'!$B$3=N$3,SUMIF('TL17'!$C$10:$C$224,$C240,'TL17'!$J$10:$J$224),0),
IF('TL17'!$B$229=N$3,SUMIF('TL17'!$C$238:$C$451,$C240,'TL17'!$J$238:$J$451),0),
IF('TL18'!$B$3=N$3,SUMIF('TL18'!$C$10:$C$224,$C240,'TL18'!$J$10:$J$224),0),
IF('TL18'!$B$229=N$3,SUMIF('TL18'!$C$238:$C$451,$C240,'TL18'!$J$238:$J$451),0),
IF('TL19'!$B$3=N$3,SUMIF('TL19'!$C$10:$C$224,$C240,'TL19'!$J$10:$J$224),0),
IF('TL19'!$B$229=N$3,SUMIF('TL19'!$C$238:$C$451,$C240,'TL19'!$J$238:$J$451),0)
),0)</f>
        <v>0</v>
      </c>
      <c r="O240" s="9">
        <f>IFERROR(SUM(
IF('TL01'!$B$3=O$3,SUMIF('TL01'!$C$10:$C$224,$C240,'TL01'!$J$10:$J$224),0),
IF('TL01'!$B$229=O$3,SUMIF('TL01'!$C$238:$C$451,$C240,'TL01'!$J$238:$J$451),0),
IF('TL02'!$B$3=O$3,SUMIF('TL02'!$C$10:$C$224,$C240,'TL02'!$J$10:$J$224),0),
IF('TL02'!$B$229=O$3,SUMIF('TL02'!$C$238:$C$451,$C240,'TL02'!$J$238:$J$451),0),
IF('TL03'!$B$3=O$3,SUMIF('TL03'!$C$10:$C$224,$C240,'TL03'!$J$10:$J$224),0),
IF('TL03'!$B$229=O$3,SUMIF('TL03'!$C$238:$C$451,$C240,'TL03'!$J$238:$J$451),0),
IF('TL04'!$B$3=O$3,SUMIF('TL04'!$C$10:$C$224,$C240,'TL04'!$J$10:$J$224),0),
IF('TL04'!$B$229=O$3,SUMIF('TL04'!$C$238:$C$451,$C240,'TL04'!$J$238:$J$451),0),
IF('TL05'!$B$3=O$3,SUMIF('TL05'!$C$10:$C$224,$C240,'TL05'!$J$10:$J$224),0),
IF('TL05'!$B$229=O$3,SUMIF('TL05'!$C$238:$C$451,$C240,'TL05'!$J$238:$J$451),0),
IF('TL06'!$B$3=O$3,SUMIF('TL06'!$C$10:$C$224,$C240,'TL06'!$J$10:$J$224),0),
IF('TL06'!$B$229=O$3,SUMIF('TL06'!$C$238:$C$451,$C240,'TL06'!$J$238:$J$451),0),
IF('TL07'!$B$3=O$3,SUMIF('TL07'!$C$10:$C$224,$C240,'TL07'!$J$10:$J$224),0),
IF('TL07'!$B$229=O$3,SUMIF('TL07'!$C$238:$C$451,$C240,'TL07'!$J$238:$J$451),0),
IF('TL08'!$B$3=O$3,SUMIF('TL08'!$C$10:$C$224,$C240,'TL08'!$J$10:$J$224),0),
IF('TL08'!$B$229=O$3,SUMIF('TL08'!$C$238:$C$451,$C240,'TL08'!$J$238:$J$451),0),
IF('TL09'!$B$3=O$3,SUMIF('TL09'!$C$10:$C$224,$C240,'TL09'!$J$10:$J$224),0),
IF('TL09'!$B$229=O$3,SUMIF('TL09'!$C$238:$C$451,$C240,'TL09'!$J$238:$J$451),0),
IF('TL10'!$B$3=O$3,SUMIF('TL10'!$C$10:$C$224,$C240,'TL10'!$J$10:$J$224),0),
IF('TL10'!$B$229=O$3,SUMIF('TL10'!$C$238:$C$451,$C240,'TL10'!$J$238:$J$451),0),
IF('TL11'!$B$3=O$3,SUMIF('TL11'!$C$10:$C$224,$C240,'TL11'!$J$10:$J$224),0),
IF('TL11'!$B$229=O$3,SUMIF('TL11'!$C$238:$C$451,$C240,'TL11'!$J$238:$J$451),0),
IF('TL12'!$B$3=O$3,SUMIF('TL12'!$C$10:$C$224,$C240,'TL12'!$J$10:$J$224),0),
IF('TL12'!$B$229=O$3,SUMIF('TL12'!$C$238:$C$451,$C240,'TL12'!$J$238:$J$451),0),
IF('TL13'!$B$3=O$3,SUMIF('TL13'!$C$10:$C$224,$C240,'TL13'!$J$10:$J$224),0),
IF('TL13'!$B$229=O$3,SUMIF('TL13'!$C$238:$C$451,$C240,'TL13'!$J$238:$J$451),0),
IF('TL14'!$B$3=O$3,SUMIF('TL14'!$C$10:$C$224,$C240,'TL14'!$J$10:$J$224),0),
IF('TL14'!$B$229=O$3,SUMIF('TL14'!$C$238:$C$451,$C240,'TL14'!$J$238:$J$451),0),
IF('TL15'!$B$3=O$3,SUMIF('TL15'!$C$10:$C$224,$C240,'TL15'!$J$10:$J$224),0),
IF('TL15'!$B$229=O$3,SUMIF('TL15'!$C$238:$C$451,$C240,'TL15'!$J$238:$J$451),0),
IF('TL16'!$B$3=O$3,SUMIF('TL16'!$C$10:$C$224,$C240,'TL16'!$J$10:$J$224),0),
IF('TL16'!$B$229=O$3,SUMIF('TL16'!$C$238:$C$451,$C240,'TL16'!$J$238:$J$451),0),
IF('TL17'!$B$3=O$3,SUMIF('TL17'!$C$10:$C$224,$C240,'TL17'!$J$10:$J$224),0),
IF('TL17'!$B$229=O$3,SUMIF('TL17'!$C$238:$C$451,$C240,'TL17'!$J$238:$J$451),0),
IF('TL18'!$B$3=O$3,SUMIF('TL18'!$C$10:$C$224,$C240,'TL18'!$J$10:$J$224),0),
IF('TL18'!$B$229=O$3,SUMIF('TL18'!$C$238:$C$451,$C240,'TL18'!$J$238:$J$451),0),
IF('TL19'!$B$3=O$3,SUMIF('TL19'!$C$10:$C$224,$C240,'TL19'!$J$10:$J$224),0),
IF('TL19'!$B$229=O$3,SUMIF('TL19'!$C$238:$C$451,$C240,'TL19'!$J$238:$J$451),0)
),0)</f>
        <v>0</v>
      </c>
      <c r="P240" s="9">
        <f>IFERROR(SUM(
IF('TL01'!$B$3=P$3,SUMIF('TL01'!$C$10:$C$224,$C240,'TL01'!$J$10:$J$224),0),
IF('TL01'!$B$229=P$3,SUMIF('TL01'!$C$238:$C$451,$C240,'TL01'!$J$238:$J$451),0),
IF('TL02'!$B$3=P$3,SUMIF('TL02'!$C$10:$C$224,$C240,'TL02'!$J$10:$J$224),0),
IF('TL02'!$B$229=P$3,SUMIF('TL02'!$C$238:$C$451,$C240,'TL02'!$J$238:$J$451),0),
IF('TL03'!$B$3=P$3,SUMIF('TL03'!$C$10:$C$224,$C240,'TL03'!$J$10:$J$224),0),
IF('TL03'!$B$229=P$3,SUMIF('TL03'!$C$238:$C$451,$C240,'TL03'!$J$238:$J$451),0),
IF('TL04'!$B$3=P$3,SUMIF('TL04'!$C$10:$C$224,$C240,'TL04'!$J$10:$J$224),0),
IF('TL04'!$B$229=P$3,SUMIF('TL04'!$C$238:$C$451,$C240,'TL04'!$J$238:$J$451),0),
IF('TL05'!$B$3=P$3,SUMIF('TL05'!$C$10:$C$224,$C240,'TL05'!$J$10:$J$224),0),
IF('TL05'!$B$229=P$3,SUMIF('TL05'!$C$238:$C$451,$C240,'TL05'!$J$238:$J$451),0),
IF('TL06'!$B$3=P$3,SUMIF('TL06'!$C$10:$C$224,$C240,'TL06'!$J$10:$J$224),0),
IF('TL06'!$B$229=P$3,SUMIF('TL06'!$C$238:$C$451,$C240,'TL06'!$J$238:$J$451),0),
IF('TL07'!$B$3=P$3,SUMIF('TL07'!$C$10:$C$224,$C240,'TL07'!$J$10:$J$224),0),
IF('TL07'!$B$229=P$3,SUMIF('TL07'!$C$238:$C$451,$C240,'TL07'!$J$238:$J$451),0),
IF('TL08'!$B$3=P$3,SUMIF('TL08'!$C$10:$C$224,$C240,'TL08'!$J$10:$J$224),0),
IF('TL08'!$B$229=P$3,SUMIF('TL08'!$C$238:$C$451,$C240,'TL08'!$J$238:$J$451),0),
IF('TL09'!$B$3=P$3,SUMIF('TL09'!$C$10:$C$224,$C240,'TL09'!$J$10:$J$224),0),
IF('TL09'!$B$229=P$3,SUMIF('TL09'!$C$238:$C$451,$C240,'TL09'!$J$238:$J$451),0),
IF('TL10'!$B$3=P$3,SUMIF('TL10'!$C$10:$C$224,$C240,'TL10'!$J$10:$J$224),0),
IF('TL10'!$B$229=P$3,SUMIF('TL10'!$C$238:$C$451,$C240,'TL10'!$J$238:$J$451),0),
IF('TL11'!$B$3=P$3,SUMIF('TL11'!$C$10:$C$224,$C240,'TL11'!$J$10:$J$224),0),
IF('TL11'!$B$229=P$3,SUMIF('TL11'!$C$238:$C$451,$C240,'TL11'!$J$238:$J$451),0),
IF('TL12'!$B$3=P$3,SUMIF('TL12'!$C$10:$C$224,$C240,'TL12'!$J$10:$J$224),0),
IF('TL12'!$B$229=P$3,SUMIF('TL12'!$C$238:$C$451,$C240,'TL12'!$J$238:$J$451),0),
IF('TL13'!$B$3=P$3,SUMIF('TL13'!$C$10:$C$224,$C240,'TL13'!$J$10:$J$224),0),
IF('TL13'!$B$229=P$3,SUMIF('TL13'!$C$238:$C$451,$C240,'TL13'!$J$238:$J$451),0),
IF('TL14'!$B$3=P$3,SUMIF('TL14'!$C$10:$C$224,$C240,'TL14'!$J$10:$J$224),0),
IF('TL14'!$B$229=P$3,SUMIF('TL14'!$C$238:$C$451,$C240,'TL14'!$J$238:$J$451),0),
IF('TL15'!$B$3=P$3,SUMIF('TL15'!$C$10:$C$224,$C240,'TL15'!$J$10:$J$224),0),
IF('TL15'!$B$229=P$3,SUMIF('TL15'!$C$238:$C$451,$C240,'TL15'!$J$238:$J$451),0),
IF('TL16'!$B$3=P$3,SUMIF('TL16'!$C$10:$C$224,$C240,'TL16'!$J$10:$J$224),0),
IF('TL16'!$B$229=P$3,SUMIF('TL16'!$C$238:$C$451,$C240,'TL16'!$J$238:$J$451),0),
IF('TL17'!$B$3=P$3,SUMIF('TL17'!$C$10:$C$224,$C240,'TL17'!$J$10:$J$224),0),
IF('TL17'!$B$229=P$3,SUMIF('TL17'!$C$238:$C$451,$C240,'TL17'!$J$238:$J$451),0),
IF('TL18'!$B$3=P$3,SUMIF('TL18'!$C$10:$C$224,$C240,'TL18'!$J$10:$J$224),0),
IF('TL18'!$B$229=P$3,SUMIF('TL18'!$C$238:$C$451,$C240,'TL18'!$J$238:$J$451),0),
IF('TL19'!$B$3=P$3,SUMIF('TL19'!$C$10:$C$224,$C240,'TL19'!$J$10:$J$224),0),
IF('TL19'!$B$229=P$3,SUMIF('TL19'!$C$238:$C$451,$C240,'TL19'!$J$238:$J$451),0)
),0)</f>
        <v>304.5</v>
      </c>
      <c r="Q240" s="9">
        <f>IFERROR(SUM(
IF('TL01'!$B$3=Q$3,SUMIF('TL01'!$C$10:$C$224,$C240,'TL01'!$J$10:$J$224),0),
IF('TL01'!$B$229=Q$3,SUMIF('TL01'!$C$238:$C$451,$C240,'TL01'!$J$238:$J$451),0),
IF('TL02'!$B$3=Q$3,SUMIF('TL02'!$C$10:$C$224,$C240,'TL02'!$J$10:$J$224),0),
IF('TL02'!$B$229=Q$3,SUMIF('TL02'!$C$238:$C$451,$C240,'TL02'!$J$238:$J$451),0),
IF('TL03'!$B$3=Q$3,SUMIF('TL03'!$C$10:$C$224,$C240,'TL03'!$J$10:$J$224),0),
IF('TL03'!$B$229=Q$3,SUMIF('TL03'!$C$238:$C$451,$C240,'TL03'!$J$238:$J$451),0),
IF('TL04'!$B$3=Q$3,SUMIF('TL04'!$C$10:$C$224,$C240,'TL04'!$J$10:$J$224),0),
IF('TL04'!$B$229=Q$3,SUMIF('TL04'!$C$238:$C$451,$C240,'TL04'!$J$238:$J$451),0),
IF('TL05'!$B$3=Q$3,SUMIF('TL05'!$C$10:$C$224,$C240,'TL05'!$J$10:$J$224),0),
IF('TL05'!$B$229=Q$3,SUMIF('TL05'!$C$238:$C$451,$C240,'TL05'!$J$238:$J$451),0),
IF('TL06'!$B$3=Q$3,SUMIF('TL06'!$C$10:$C$224,$C240,'TL06'!$J$10:$J$224),0),
IF('TL06'!$B$229=Q$3,SUMIF('TL06'!$C$238:$C$451,$C240,'TL06'!$J$238:$J$451),0),
IF('TL07'!$B$3=Q$3,SUMIF('TL07'!$C$10:$C$224,$C240,'TL07'!$J$10:$J$224),0),
IF('TL07'!$B$229=Q$3,SUMIF('TL07'!$C$238:$C$451,$C240,'TL07'!$J$238:$J$451),0),
IF('TL08'!$B$3=Q$3,SUMIF('TL08'!$C$10:$C$224,$C240,'TL08'!$J$10:$J$224),0),
IF('TL08'!$B$229=Q$3,SUMIF('TL08'!$C$238:$C$451,$C240,'TL08'!$J$238:$J$451),0),
IF('TL09'!$B$3=Q$3,SUMIF('TL09'!$C$10:$C$224,$C240,'TL09'!$J$10:$J$224),0),
IF('TL09'!$B$229=Q$3,SUMIF('TL09'!$C$238:$C$451,$C240,'TL09'!$J$238:$J$451),0),
IF('TL10'!$B$3=Q$3,SUMIF('TL10'!$C$10:$C$224,$C240,'TL10'!$J$10:$J$224),0),
IF('TL10'!$B$229=Q$3,SUMIF('TL10'!$C$238:$C$451,$C240,'TL10'!$J$238:$J$451),0),
IF('TL11'!$B$3=Q$3,SUMIF('TL11'!$C$10:$C$224,$C240,'TL11'!$J$10:$J$224),0),
IF('TL11'!$B$229=Q$3,SUMIF('TL11'!$C$238:$C$451,$C240,'TL11'!$J$238:$J$451),0),
IF('TL12'!$B$3=Q$3,SUMIF('TL12'!$C$10:$C$224,$C240,'TL12'!$J$10:$J$224),0),
IF('TL12'!$B$229=Q$3,SUMIF('TL12'!$C$238:$C$451,$C240,'TL12'!$J$238:$J$451),0),
IF('TL13'!$B$3=Q$3,SUMIF('TL13'!$C$10:$C$224,$C240,'TL13'!$J$10:$J$224),0),
IF('TL13'!$B$229=Q$3,SUMIF('TL13'!$C$238:$C$451,$C240,'TL13'!$J$238:$J$451),0),
IF('TL14'!$B$3=Q$3,SUMIF('TL14'!$C$10:$C$224,$C240,'TL14'!$J$10:$J$224),0),
IF('TL14'!$B$229=Q$3,SUMIF('TL14'!$C$238:$C$451,$C240,'TL14'!$J$238:$J$451),0),
IF('TL15'!$B$3=Q$3,SUMIF('TL15'!$C$10:$C$224,$C240,'TL15'!$J$10:$J$224),0),
IF('TL15'!$B$229=Q$3,SUMIF('TL15'!$C$238:$C$451,$C240,'TL15'!$J$238:$J$451),0),
IF('TL16'!$B$3=Q$3,SUMIF('TL16'!$C$10:$C$224,$C240,'TL16'!$J$10:$J$224),0),
IF('TL16'!$B$229=Q$3,SUMIF('TL16'!$C$238:$C$451,$C240,'TL16'!$J$238:$J$451),0),
IF('TL17'!$B$3=Q$3,SUMIF('TL17'!$C$10:$C$224,$C240,'TL17'!$J$10:$J$224),0),
IF('TL17'!$B$229=Q$3,SUMIF('TL17'!$C$238:$C$451,$C240,'TL17'!$J$238:$J$451),0),
IF('TL18'!$B$3=Q$3,SUMIF('TL18'!$C$10:$C$224,$C240,'TL18'!$J$10:$J$224),0),
IF('TL18'!$B$229=Q$3,SUMIF('TL18'!$C$238:$C$451,$C240,'TL18'!$J$238:$J$451),0),
IF('TL19'!$B$3=Q$3,SUMIF('TL19'!$C$10:$C$224,$C240,'TL19'!$J$10:$J$224),0),
IF('TL19'!$B$229=Q$3,SUMIF('TL19'!$C$238:$C$451,$C240,'TL19'!$J$238:$J$451),0)
),0)</f>
        <v>80</v>
      </c>
      <c r="R240" s="9">
        <f>IFERROR(
SUM(
SUMIF('TL01'!C:C,C240,'TL01'!J:J),
SUMIF('TL02'!C:C,C240,'TL02'!J:J),
SUMIF('TL03'!C:C,C240,'TL03'!J:J),
SUMIF('TL04'!C:C,C240,'TL04'!J:J),
SUMIF('TL05'!C:C,C240,'TL05'!J:J),
SUMIF('TL06'!C:C,C240,'TL06'!J:J),
SUMIF('TL07'!C:C,C240,'TL07'!J:J),
SUMIF('TL08'!C:C,C240,'TL08'!J:J),
SUMIF('TL09'!C:C,C240,'TL09'!J:J),
SUMIF('TL10'!C:C,C240,'TL10'!J:J),
SUMIF('TL11'!C:C,C240,'TL11'!J:J),
SUMIF('TL12'!C:C,C240,'TL12'!J:J),
SUMIF('TL13'!C:C,C240,'TL13'!J:J),
SUMIF('TL14'!C:C,C240,'TL14'!J:J),
SUMIF('TL15'!C:C,C240,'TL15'!J:J),
SUMIF('TL16'!C:C,C240,'TL16'!J:J),
SUMIF('TL17'!C:C,C240,'TL17'!J:J),
SUMIF('TL18'!C:C,C240,'TL18'!J:J),SUMIF('TL19'!C:C,C240,'TL19'!J:J))
,0)</f>
        <v>384.5</v>
      </c>
      <c r="S240" s="17">
        <f>IFERROR(__xludf.DUMMYFUNCTION("IFERROR(VLOOKUP(C240,
IMPORTRANGE(""1wULbzX32WdYsx-lj2U3uUNBBe2INVIRDtcK0d-Dvl90"",
""26-27!C:G""),
5,
FALSE),
"""")"),396.3348)</f>
        <v>396.3348</v>
      </c>
      <c r="T240" s="9"/>
      <c r="U240" s="92">
        <f t="shared" si="2"/>
        <v>384.5</v>
      </c>
      <c r="V240" s="93">
        <f t="shared" si="3"/>
        <v>152390.7306</v>
      </c>
    </row>
    <row r="241" ht="15.75" hidden="1" customHeight="1">
      <c r="A241" s="94" t="s">
        <v>358</v>
      </c>
      <c r="B241" s="95" t="s">
        <v>2</v>
      </c>
      <c r="C241" s="96" t="s">
        <v>899</v>
      </c>
      <c r="D241" s="96" t="s">
        <v>833</v>
      </c>
      <c r="E241" s="96">
        <v>84.0</v>
      </c>
      <c r="F241" s="4" t="s">
        <v>392</v>
      </c>
      <c r="G241" s="90" t="str">
        <f t="shared" si="4"/>
        <v>📄 Ver bula</v>
      </c>
      <c r="H241" s="9">
        <f>IFERROR(__xludf.DUMMYFUNCTION("IFERROR(VLOOKUP(C241,
IMPORTRANGE(""1wULbzX32WdYsx-lj2U3uUNBBe2INVIRDtcK0d-Dvl90"",
""26-27!C:K""),
8,
FALSE),
"""")"),0.15)</f>
        <v>0.15</v>
      </c>
      <c r="I241" s="97" t="s">
        <v>361</v>
      </c>
      <c r="J241" s="9">
        <f>IFERROR(SUM(
IF('TL01'!$B$3=J$3,SUMIF('TL01'!$C$10:$C$224,$C241,'TL01'!$J$10:$J$224),0),
IF('TL01'!$B$229=J$3,SUMIF('TL01'!$C$238:$C$451,$C241,'TL01'!$J$238:$J$451),0),
IF('TL02'!$B$3=J$3,SUMIF('TL02'!$C$10:$C$224,$C241,'TL02'!$J$10:$J$224),0),
IF('TL02'!$B$229=J$3,SUMIF('TL02'!$C$238:$C$451,$C241,'TL02'!$J$238:$J$451),0),
IF('TL03'!$B$3=J$3,SUMIF('TL03'!$C$10:$C$224,$C241,'TL03'!$J$10:$J$224),0),
IF('TL03'!$B$229=J$3,SUMIF('TL03'!$C$238:$C$451,$C241,'TL03'!$J$238:$J$451),0),
IF('TL04'!$B$3=J$3,SUMIF('TL04'!$C$10:$C$224,$C241,'TL04'!$J$10:$J$224),0),
IF('TL04'!$B$229=J$3,SUMIF('TL04'!$C$238:$C$451,$C241,'TL04'!$J$238:$J$451),0),
IF('TL05'!$B$3=J$3,SUMIF('TL05'!$C$10:$C$224,$C241,'TL05'!$J$10:$J$224),0),
IF('TL05'!$B$229=J$3,SUMIF('TL05'!$C$238:$C$451,$C241,'TL05'!$J$238:$J$451),0),
IF('TL06'!$B$3=J$3,SUMIF('TL06'!$C$10:$C$224,$C241,'TL06'!$J$10:$J$224),0),
IF('TL06'!$B$229=J$3,SUMIF('TL06'!$C$238:$C$451,$C241,'TL06'!$J$238:$J$451),0),
IF('TL07'!$B$3=J$3,SUMIF('TL07'!$C$10:$C$224,$C241,'TL07'!$J$10:$J$224),0),
IF('TL07'!$B$229=J$3,SUMIF('TL07'!$C$238:$C$451,$C241,'TL07'!$J$238:$J$451),0),
IF('TL08'!$B$3=J$3,SUMIF('TL08'!$C$10:$C$224,$C241,'TL08'!$J$10:$J$224),0),
IF('TL08'!$B$229=J$3,SUMIF('TL08'!$C$238:$C$451,$C241,'TL08'!$J$238:$J$451),0),
IF('TL09'!$B$3=J$3,SUMIF('TL09'!$C$10:$C$224,$C241,'TL09'!$J$10:$J$224),0),
IF('TL09'!$B$229=J$3,SUMIF('TL09'!$C$238:$C$451,$C241,'TL09'!$J$238:$J$451),0),
IF('TL10'!$B$3=J$3,SUMIF('TL10'!$C$10:$C$224,$C241,'TL10'!$J$10:$J$224),0),
IF('TL10'!$B$229=J$3,SUMIF('TL10'!$C$238:$C$451,$C241,'TL10'!$J$238:$J$451),0),
IF('TL11'!$B$3=J$3,SUMIF('TL11'!$C$10:$C$224,$C241,'TL11'!$J$10:$J$224),0),
IF('TL11'!$B$229=J$3,SUMIF('TL11'!$C$238:$C$451,$C241,'TL11'!$J$238:$J$451),0),
IF('TL12'!$B$3=J$3,SUMIF('TL12'!$C$10:$C$224,$C241,'TL12'!$J$10:$J$224),0),
IF('TL12'!$B$229=J$3,SUMIF('TL12'!$C$238:$C$451,$C241,'TL12'!$J$238:$J$451),0),
IF('TL13'!$B$3=J$3,SUMIF('TL13'!$C$10:$C$224,$C241,'TL13'!$J$10:$J$224),0),
IF('TL13'!$B$229=J$3,SUMIF('TL13'!$C$238:$C$451,$C241,'TL13'!$J$238:$J$451),0),
IF('TL14'!$B$3=J$3,SUMIF('TL14'!$C$10:$C$224,$C241,'TL14'!$J$10:$J$224),0),
IF('TL14'!$B$229=J$3,SUMIF('TL14'!$C$238:$C$451,$C241,'TL14'!$J$238:$J$451),0),
IF('TL15'!$B$3=J$3,SUMIF('TL15'!$C$10:$C$224,$C241,'TL15'!$J$10:$J$224),0),
IF('TL15'!$B$229=J$3,SUMIF('TL15'!$C$238:$C$451,$C241,'TL15'!$J$238:$J$451),0),
IF('TL16'!$B$3=J$3,SUMIF('TL16'!$C$10:$C$224,$C241,'TL16'!$J$10:$J$224),0),
IF('TL16'!$B$229=J$3,SUMIF('TL16'!$C$238:$C$451,$C241,'TL16'!$J$238:$J$451),0),
IF('TL17'!$B$3=J$3,SUMIF('TL17'!$C$10:$C$224,$C241,'TL17'!$J$10:$J$224),0),
IF('TL17'!$B$229=J$3,SUMIF('TL17'!$C$238:$C$451,$C241,'TL17'!$J$238:$J$451),0),
IF('TL18'!$B$3=J$3,SUMIF('TL18'!$C$10:$C$224,$C241,'TL18'!$J$10:$J$224),0),
IF('TL18'!$B$229=J$3,SUMIF('TL18'!$C$238:$C$451,$C241,'TL18'!$J$238:$J$451),0),
IF('TL19'!$B$3=J$3,SUMIF('TL19'!$C$10:$C$224,$C241,'TL19'!$J$10:$J$224),0),
IF('TL19'!$B$229=J$3,SUMIF('TL19'!$C$238:$C$451,$C241,'TL19'!$J$238:$J$451),0)
),0)</f>
        <v>0</v>
      </c>
      <c r="K241" s="9">
        <f>IFERROR(SUM(
IF('TL01'!$B$3=K$3,SUMIF('TL01'!$C$10:$C$224,$C241,'TL01'!$J$10:$J$224),0),
IF('TL01'!$B$229=K$3,SUMIF('TL01'!$C$238:$C$451,$C241,'TL01'!$J$238:$J$451),0),
IF('TL02'!$B$3=K$3,SUMIF('TL02'!$C$10:$C$224,$C241,'TL02'!$J$10:$J$224),0),
IF('TL02'!$B$229=K$3,SUMIF('TL02'!$C$238:$C$451,$C241,'TL02'!$J$238:$J$451),0),
IF('TL03'!$B$3=K$3,SUMIF('TL03'!$C$10:$C$224,$C241,'TL03'!$J$10:$J$224),0),
IF('TL03'!$B$229=K$3,SUMIF('TL03'!$C$238:$C$451,$C241,'TL03'!$J$238:$J$451),0),
IF('TL04'!$B$3=K$3,SUMIF('TL04'!$C$10:$C$224,$C241,'TL04'!$J$10:$J$224),0),
IF('TL04'!$B$229=K$3,SUMIF('TL04'!$C$238:$C$451,$C241,'TL04'!$J$238:$J$451),0),
IF('TL05'!$B$3=K$3,SUMIF('TL05'!$C$10:$C$224,$C241,'TL05'!$J$10:$J$224),0),
IF('TL05'!$B$229=K$3,SUMIF('TL05'!$C$238:$C$451,$C241,'TL05'!$J$238:$J$451),0),
IF('TL06'!$B$3=K$3,SUMIF('TL06'!$C$10:$C$224,$C241,'TL06'!$J$10:$J$224),0),
IF('TL06'!$B$229=K$3,SUMIF('TL06'!$C$238:$C$451,$C241,'TL06'!$J$238:$J$451),0),
IF('TL07'!$B$3=K$3,SUMIF('TL07'!$C$10:$C$224,$C241,'TL07'!$J$10:$J$224),0),
IF('TL07'!$B$229=K$3,SUMIF('TL07'!$C$238:$C$451,$C241,'TL07'!$J$238:$J$451),0),
IF('TL08'!$B$3=K$3,SUMIF('TL08'!$C$10:$C$224,$C241,'TL08'!$J$10:$J$224),0),
IF('TL08'!$B$229=K$3,SUMIF('TL08'!$C$238:$C$451,$C241,'TL08'!$J$238:$J$451),0),
IF('TL09'!$B$3=K$3,SUMIF('TL09'!$C$10:$C$224,$C241,'TL09'!$J$10:$J$224),0),
IF('TL09'!$B$229=K$3,SUMIF('TL09'!$C$238:$C$451,$C241,'TL09'!$J$238:$J$451),0),
IF('TL10'!$B$3=K$3,SUMIF('TL10'!$C$10:$C$224,$C241,'TL10'!$J$10:$J$224),0),
IF('TL10'!$B$229=K$3,SUMIF('TL10'!$C$238:$C$451,$C241,'TL10'!$J$238:$J$451),0),
IF('TL11'!$B$3=K$3,SUMIF('TL11'!$C$10:$C$224,$C241,'TL11'!$J$10:$J$224),0),
IF('TL11'!$B$229=K$3,SUMIF('TL11'!$C$238:$C$451,$C241,'TL11'!$J$238:$J$451),0),
IF('TL12'!$B$3=K$3,SUMIF('TL12'!$C$10:$C$224,$C241,'TL12'!$J$10:$J$224),0),
IF('TL12'!$B$229=K$3,SUMIF('TL12'!$C$238:$C$451,$C241,'TL12'!$J$238:$J$451),0),
IF('TL13'!$B$3=K$3,SUMIF('TL13'!$C$10:$C$224,$C241,'TL13'!$J$10:$J$224),0),
IF('TL13'!$B$229=K$3,SUMIF('TL13'!$C$238:$C$451,$C241,'TL13'!$J$238:$J$451),0),
IF('TL14'!$B$3=K$3,SUMIF('TL14'!$C$10:$C$224,$C241,'TL14'!$J$10:$J$224),0),
IF('TL14'!$B$229=K$3,SUMIF('TL14'!$C$238:$C$451,$C241,'TL14'!$J$238:$J$451),0),
IF('TL15'!$B$3=K$3,SUMIF('TL15'!$C$10:$C$224,$C241,'TL15'!$J$10:$J$224),0),
IF('TL15'!$B$229=K$3,SUMIF('TL15'!$C$238:$C$451,$C241,'TL15'!$J$238:$J$451),0),
IF('TL16'!$B$3=K$3,SUMIF('TL16'!$C$10:$C$224,$C241,'TL16'!$J$10:$J$224),0),
IF('TL16'!$B$229=K$3,SUMIF('TL16'!$C$238:$C$451,$C241,'TL16'!$J$238:$J$451),0),
IF('TL17'!$B$3=K$3,SUMIF('TL17'!$C$10:$C$224,$C241,'TL17'!$J$10:$J$224),0),
IF('TL17'!$B$229=K$3,SUMIF('TL17'!$C$238:$C$451,$C241,'TL17'!$J$238:$J$451),0),
IF('TL18'!$B$3=K$3,SUMIF('TL18'!$C$10:$C$224,$C241,'TL18'!$J$10:$J$224),0),
IF('TL18'!$B$229=K$3,SUMIF('TL18'!$C$238:$C$451,$C241,'TL18'!$J$238:$J$451),0),
IF('TL19'!$B$3=K$3,SUMIF('TL19'!$C$10:$C$224,$C241,'TL19'!$J$10:$J$224),0),
IF('TL19'!$B$229=K$3,SUMIF('TL19'!$C$238:$C$451,$C241,'TL19'!$J$238:$J$451),0)
),0)</f>
        <v>0</v>
      </c>
      <c r="L241" s="9">
        <f>IFERROR(SUM(
IF('TL01'!$B$3=L$3,SUMIF('TL01'!$C$10:$C$224,$C241,'TL01'!$J$10:$J$224),0),
IF('TL01'!$B$229=L$3,SUMIF('TL01'!$C$238:$C$451,$C241,'TL01'!$J$238:$J$451),0),
IF('TL02'!$B$3=L$3,SUMIF('TL02'!$C$10:$C$224,$C241,'TL02'!$J$10:$J$224),0),
IF('TL02'!$B$229=L$3,SUMIF('TL02'!$C$238:$C$451,$C241,'TL02'!$J$238:$J$451),0),
IF('TL03'!$B$3=L$3,SUMIF('TL03'!$C$10:$C$224,$C241,'TL03'!$J$10:$J$224),0),
IF('TL03'!$B$229=L$3,SUMIF('TL03'!$C$238:$C$451,$C241,'TL03'!$J$238:$J$451),0),
IF('TL04'!$B$3=L$3,SUMIF('TL04'!$C$10:$C$224,$C241,'TL04'!$J$10:$J$224),0),
IF('TL04'!$B$229=L$3,SUMIF('TL04'!$C$238:$C$451,$C241,'TL04'!$J$238:$J$451),0),
IF('TL05'!$B$3=L$3,SUMIF('TL05'!$C$10:$C$224,$C241,'TL05'!$J$10:$J$224),0),
IF('TL05'!$B$229=L$3,SUMIF('TL05'!$C$238:$C$451,$C241,'TL05'!$J$238:$J$451),0),
IF('TL06'!$B$3=L$3,SUMIF('TL06'!$C$10:$C$224,$C241,'TL06'!$J$10:$J$224),0),
IF('TL06'!$B$229=L$3,SUMIF('TL06'!$C$238:$C$451,$C241,'TL06'!$J$238:$J$451),0),
IF('TL07'!$B$3=L$3,SUMIF('TL07'!$C$10:$C$224,$C241,'TL07'!$J$10:$J$224),0),
IF('TL07'!$B$229=L$3,SUMIF('TL07'!$C$238:$C$451,$C241,'TL07'!$J$238:$J$451),0),
IF('TL08'!$B$3=L$3,SUMIF('TL08'!$C$10:$C$224,$C241,'TL08'!$J$10:$J$224),0),
IF('TL08'!$B$229=L$3,SUMIF('TL08'!$C$238:$C$451,$C241,'TL08'!$J$238:$J$451),0),
IF('TL09'!$B$3=L$3,SUMIF('TL09'!$C$10:$C$224,$C241,'TL09'!$J$10:$J$224),0),
IF('TL09'!$B$229=L$3,SUMIF('TL09'!$C$238:$C$451,$C241,'TL09'!$J$238:$J$451),0),
IF('TL10'!$B$3=L$3,SUMIF('TL10'!$C$10:$C$224,$C241,'TL10'!$J$10:$J$224),0),
IF('TL10'!$B$229=L$3,SUMIF('TL10'!$C$238:$C$451,$C241,'TL10'!$J$238:$J$451),0),
IF('TL11'!$B$3=L$3,SUMIF('TL11'!$C$10:$C$224,$C241,'TL11'!$J$10:$J$224),0),
IF('TL11'!$B$229=L$3,SUMIF('TL11'!$C$238:$C$451,$C241,'TL11'!$J$238:$J$451),0),
IF('TL12'!$B$3=L$3,SUMIF('TL12'!$C$10:$C$224,$C241,'TL12'!$J$10:$J$224),0),
IF('TL12'!$B$229=L$3,SUMIF('TL12'!$C$238:$C$451,$C241,'TL12'!$J$238:$J$451),0),
IF('TL13'!$B$3=L$3,SUMIF('TL13'!$C$10:$C$224,$C241,'TL13'!$J$10:$J$224),0),
IF('TL13'!$B$229=L$3,SUMIF('TL13'!$C$238:$C$451,$C241,'TL13'!$J$238:$J$451),0),
IF('TL14'!$B$3=L$3,SUMIF('TL14'!$C$10:$C$224,$C241,'TL14'!$J$10:$J$224),0),
IF('TL14'!$B$229=L$3,SUMIF('TL14'!$C$238:$C$451,$C241,'TL14'!$J$238:$J$451),0),
IF('TL15'!$B$3=L$3,SUMIF('TL15'!$C$10:$C$224,$C241,'TL15'!$J$10:$J$224),0),
IF('TL15'!$B$229=L$3,SUMIF('TL15'!$C$238:$C$451,$C241,'TL15'!$J$238:$J$451),0),
IF('TL16'!$B$3=L$3,SUMIF('TL16'!$C$10:$C$224,$C241,'TL16'!$J$10:$J$224),0),
IF('TL16'!$B$229=L$3,SUMIF('TL16'!$C$238:$C$451,$C241,'TL16'!$J$238:$J$451),0),
IF('TL17'!$B$3=L$3,SUMIF('TL17'!$C$10:$C$224,$C241,'TL17'!$J$10:$J$224),0),
IF('TL17'!$B$229=L$3,SUMIF('TL17'!$C$238:$C$451,$C241,'TL17'!$J$238:$J$451),0),
IF('TL18'!$B$3=L$3,SUMIF('TL18'!$C$10:$C$224,$C241,'TL18'!$J$10:$J$224),0),
IF('TL18'!$B$229=L$3,SUMIF('TL18'!$C$238:$C$451,$C241,'TL18'!$J$238:$J$451),0),
IF('TL19'!$B$3=L$3,SUMIF('TL19'!$C$10:$C$224,$C241,'TL19'!$J$10:$J$224),0),
IF('TL19'!$B$229=L$3,SUMIF('TL19'!$C$238:$C$451,$C241,'TL19'!$J$238:$J$451),0)
),0)</f>
        <v>0</v>
      </c>
      <c r="M241" s="9">
        <f>IFERROR(SUM(
IF('TL01'!$B$3=M$3,SUMIF('TL01'!$C$10:$C$224,$C241,'TL01'!$J$10:$J$224),0),
IF('TL01'!$B$229=M$3,SUMIF('TL01'!$C$238:$C$451,$C241,'TL01'!$J$238:$J$451),0),
IF('TL02'!$B$3=M$3,SUMIF('TL02'!$C$10:$C$224,$C241,'TL02'!$J$10:$J$224),0),
IF('TL02'!$B$229=M$3,SUMIF('TL02'!$C$238:$C$451,$C241,'TL02'!$J$238:$J$451),0),
IF('TL03'!$B$3=M$3,SUMIF('TL03'!$C$10:$C$224,$C241,'TL03'!$J$10:$J$224),0),
IF('TL03'!$B$229=M$3,SUMIF('TL03'!$C$238:$C$451,$C241,'TL03'!$J$238:$J$451),0),
IF('TL04'!$B$3=M$3,SUMIF('TL04'!$C$10:$C$224,$C241,'TL04'!$J$10:$J$224),0),
IF('TL04'!$B$229=M$3,SUMIF('TL04'!$C$238:$C$451,$C241,'TL04'!$J$238:$J$451),0),
IF('TL05'!$B$3=M$3,SUMIF('TL05'!$C$10:$C$224,$C241,'TL05'!$J$10:$J$224),0),
IF('TL05'!$B$229=M$3,SUMIF('TL05'!$C$238:$C$451,$C241,'TL05'!$J$238:$J$451),0),
IF('TL06'!$B$3=M$3,SUMIF('TL06'!$C$10:$C$224,$C241,'TL06'!$J$10:$J$224),0),
IF('TL06'!$B$229=M$3,SUMIF('TL06'!$C$238:$C$451,$C241,'TL06'!$J$238:$J$451),0),
IF('TL07'!$B$3=M$3,SUMIF('TL07'!$C$10:$C$224,$C241,'TL07'!$J$10:$J$224),0),
IF('TL07'!$B$229=M$3,SUMIF('TL07'!$C$238:$C$451,$C241,'TL07'!$J$238:$J$451),0),
IF('TL08'!$B$3=M$3,SUMIF('TL08'!$C$10:$C$224,$C241,'TL08'!$J$10:$J$224),0),
IF('TL08'!$B$229=M$3,SUMIF('TL08'!$C$238:$C$451,$C241,'TL08'!$J$238:$J$451),0),
IF('TL09'!$B$3=M$3,SUMIF('TL09'!$C$10:$C$224,$C241,'TL09'!$J$10:$J$224),0),
IF('TL09'!$B$229=M$3,SUMIF('TL09'!$C$238:$C$451,$C241,'TL09'!$J$238:$J$451),0),
IF('TL10'!$B$3=M$3,SUMIF('TL10'!$C$10:$C$224,$C241,'TL10'!$J$10:$J$224),0),
IF('TL10'!$B$229=M$3,SUMIF('TL10'!$C$238:$C$451,$C241,'TL10'!$J$238:$J$451),0),
IF('TL11'!$B$3=M$3,SUMIF('TL11'!$C$10:$C$224,$C241,'TL11'!$J$10:$J$224),0),
IF('TL11'!$B$229=M$3,SUMIF('TL11'!$C$238:$C$451,$C241,'TL11'!$J$238:$J$451),0),
IF('TL12'!$B$3=M$3,SUMIF('TL12'!$C$10:$C$224,$C241,'TL12'!$J$10:$J$224),0),
IF('TL12'!$B$229=M$3,SUMIF('TL12'!$C$238:$C$451,$C241,'TL12'!$J$238:$J$451),0),
IF('TL13'!$B$3=M$3,SUMIF('TL13'!$C$10:$C$224,$C241,'TL13'!$J$10:$J$224),0),
IF('TL13'!$B$229=M$3,SUMIF('TL13'!$C$238:$C$451,$C241,'TL13'!$J$238:$J$451),0),
IF('TL14'!$B$3=M$3,SUMIF('TL14'!$C$10:$C$224,$C241,'TL14'!$J$10:$J$224),0),
IF('TL14'!$B$229=M$3,SUMIF('TL14'!$C$238:$C$451,$C241,'TL14'!$J$238:$J$451),0),
IF('TL15'!$B$3=M$3,SUMIF('TL15'!$C$10:$C$224,$C241,'TL15'!$J$10:$J$224),0),
IF('TL15'!$B$229=M$3,SUMIF('TL15'!$C$238:$C$451,$C241,'TL15'!$J$238:$J$451),0),
IF('TL16'!$B$3=M$3,SUMIF('TL16'!$C$10:$C$224,$C241,'TL16'!$J$10:$J$224),0),
IF('TL16'!$B$229=M$3,SUMIF('TL16'!$C$238:$C$451,$C241,'TL16'!$J$238:$J$451),0),
IF('TL17'!$B$3=M$3,SUMIF('TL17'!$C$10:$C$224,$C241,'TL17'!$J$10:$J$224),0),
IF('TL17'!$B$229=M$3,SUMIF('TL17'!$C$238:$C$451,$C241,'TL17'!$J$238:$J$451),0),
IF('TL18'!$B$3=M$3,SUMIF('TL18'!$C$10:$C$224,$C241,'TL18'!$J$10:$J$224),0),
IF('TL18'!$B$229=M$3,SUMIF('TL18'!$C$238:$C$451,$C241,'TL18'!$J$238:$J$451),0),
IF('TL19'!$B$3=M$3,SUMIF('TL19'!$C$10:$C$224,$C241,'TL19'!$J$10:$J$224),0),
IF('TL19'!$B$229=M$3,SUMIF('TL19'!$C$238:$C$451,$C241,'TL19'!$J$238:$J$451),0)
),0)</f>
        <v>0</v>
      </c>
      <c r="N241" s="9">
        <f>IFERROR(SUM(
IF('TL01'!$B$3=N$3,SUMIF('TL01'!$C$10:$C$224,$C241,'TL01'!$J$10:$J$224),0),
IF('TL01'!$B$229=N$3,SUMIF('TL01'!$C$238:$C$451,$C241,'TL01'!$J$238:$J$451),0),
IF('TL02'!$B$3=N$3,SUMIF('TL02'!$C$10:$C$224,$C241,'TL02'!$J$10:$J$224),0),
IF('TL02'!$B$229=N$3,SUMIF('TL02'!$C$238:$C$451,$C241,'TL02'!$J$238:$J$451),0),
IF('TL03'!$B$3=N$3,SUMIF('TL03'!$C$10:$C$224,$C241,'TL03'!$J$10:$J$224),0),
IF('TL03'!$B$229=N$3,SUMIF('TL03'!$C$238:$C$451,$C241,'TL03'!$J$238:$J$451),0),
IF('TL04'!$B$3=N$3,SUMIF('TL04'!$C$10:$C$224,$C241,'TL04'!$J$10:$J$224),0),
IF('TL04'!$B$229=N$3,SUMIF('TL04'!$C$238:$C$451,$C241,'TL04'!$J$238:$J$451),0),
IF('TL05'!$B$3=N$3,SUMIF('TL05'!$C$10:$C$224,$C241,'TL05'!$J$10:$J$224),0),
IF('TL05'!$B$229=N$3,SUMIF('TL05'!$C$238:$C$451,$C241,'TL05'!$J$238:$J$451),0),
IF('TL06'!$B$3=N$3,SUMIF('TL06'!$C$10:$C$224,$C241,'TL06'!$J$10:$J$224),0),
IF('TL06'!$B$229=N$3,SUMIF('TL06'!$C$238:$C$451,$C241,'TL06'!$J$238:$J$451),0),
IF('TL07'!$B$3=N$3,SUMIF('TL07'!$C$10:$C$224,$C241,'TL07'!$J$10:$J$224),0),
IF('TL07'!$B$229=N$3,SUMIF('TL07'!$C$238:$C$451,$C241,'TL07'!$J$238:$J$451),0),
IF('TL08'!$B$3=N$3,SUMIF('TL08'!$C$10:$C$224,$C241,'TL08'!$J$10:$J$224),0),
IF('TL08'!$B$229=N$3,SUMIF('TL08'!$C$238:$C$451,$C241,'TL08'!$J$238:$J$451),0),
IF('TL09'!$B$3=N$3,SUMIF('TL09'!$C$10:$C$224,$C241,'TL09'!$J$10:$J$224),0),
IF('TL09'!$B$229=N$3,SUMIF('TL09'!$C$238:$C$451,$C241,'TL09'!$J$238:$J$451),0),
IF('TL10'!$B$3=N$3,SUMIF('TL10'!$C$10:$C$224,$C241,'TL10'!$J$10:$J$224),0),
IF('TL10'!$B$229=N$3,SUMIF('TL10'!$C$238:$C$451,$C241,'TL10'!$J$238:$J$451),0),
IF('TL11'!$B$3=N$3,SUMIF('TL11'!$C$10:$C$224,$C241,'TL11'!$J$10:$J$224),0),
IF('TL11'!$B$229=N$3,SUMIF('TL11'!$C$238:$C$451,$C241,'TL11'!$J$238:$J$451),0),
IF('TL12'!$B$3=N$3,SUMIF('TL12'!$C$10:$C$224,$C241,'TL12'!$J$10:$J$224),0),
IF('TL12'!$B$229=N$3,SUMIF('TL12'!$C$238:$C$451,$C241,'TL12'!$J$238:$J$451),0),
IF('TL13'!$B$3=N$3,SUMIF('TL13'!$C$10:$C$224,$C241,'TL13'!$J$10:$J$224),0),
IF('TL13'!$B$229=N$3,SUMIF('TL13'!$C$238:$C$451,$C241,'TL13'!$J$238:$J$451),0),
IF('TL14'!$B$3=N$3,SUMIF('TL14'!$C$10:$C$224,$C241,'TL14'!$J$10:$J$224),0),
IF('TL14'!$B$229=N$3,SUMIF('TL14'!$C$238:$C$451,$C241,'TL14'!$J$238:$J$451),0),
IF('TL15'!$B$3=N$3,SUMIF('TL15'!$C$10:$C$224,$C241,'TL15'!$J$10:$J$224),0),
IF('TL15'!$B$229=N$3,SUMIF('TL15'!$C$238:$C$451,$C241,'TL15'!$J$238:$J$451),0),
IF('TL16'!$B$3=N$3,SUMIF('TL16'!$C$10:$C$224,$C241,'TL16'!$J$10:$J$224),0),
IF('TL16'!$B$229=N$3,SUMIF('TL16'!$C$238:$C$451,$C241,'TL16'!$J$238:$J$451),0),
IF('TL17'!$B$3=N$3,SUMIF('TL17'!$C$10:$C$224,$C241,'TL17'!$J$10:$J$224),0),
IF('TL17'!$B$229=N$3,SUMIF('TL17'!$C$238:$C$451,$C241,'TL17'!$J$238:$J$451),0),
IF('TL18'!$B$3=N$3,SUMIF('TL18'!$C$10:$C$224,$C241,'TL18'!$J$10:$J$224),0),
IF('TL18'!$B$229=N$3,SUMIF('TL18'!$C$238:$C$451,$C241,'TL18'!$J$238:$J$451),0),
IF('TL19'!$B$3=N$3,SUMIF('TL19'!$C$10:$C$224,$C241,'TL19'!$J$10:$J$224),0),
IF('TL19'!$B$229=N$3,SUMIF('TL19'!$C$238:$C$451,$C241,'TL19'!$J$238:$J$451),0)
),0)</f>
        <v>0</v>
      </c>
      <c r="O241" s="9">
        <f>IFERROR(SUM(
IF('TL01'!$B$3=O$3,SUMIF('TL01'!$C$10:$C$224,$C241,'TL01'!$J$10:$J$224),0),
IF('TL01'!$B$229=O$3,SUMIF('TL01'!$C$238:$C$451,$C241,'TL01'!$J$238:$J$451),0),
IF('TL02'!$B$3=O$3,SUMIF('TL02'!$C$10:$C$224,$C241,'TL02'!$J$10:$J$224),0),
IF('TL02'!$B$229=O$3,SUMIF('TL02'!$C$238:$C$451,$C241,'TL02'!$J$238:$J$451),0),
IF('TL03'!$B$3=O$3,SUMIF('TL03'!$C$10:$C$224,$C241,'TL03'!$J$10:$J$224),0),
IF('TL03'!$B$229=O$3,SUMIF('TL03'!$C$238:$C$451,$C241,'TL03'!$J$238:$J$451),0),
IF('TL04'!$B$3=O$3,SUMIF('TL04'!$C$10:$C$224,$C241,'TL04'!$J$10:$J$224),0),
IF('TL04'!$B$229=O$3,SUMIF('TL04'!$C$238:$C$451,$C241,'TL04'!$J$238:$J$451),0),
IF('TL05'!$B$3=O$3,SUMIF('TL05'!$C$10:$C$224,$C241,'TL05'!$J$10:$J$224),0),
IF('TL05'!$B$229=O$3,SUMIF('TL05'!$C$238:$C$451,$C241,'TL05'!$J$238:$J$451),0),
IF('TL06'!$B$3=O$3,SUMIF('TL06'!$C$10:$C$224,$C241,'TL06'!$J$10:$J$224),0),
IF('TL06'!$B$229=O$3,SUMIF('TL06'!$C$238:$C$451,$C241,'TL06'!$J$238:$J$451),0),
IF('TL07'!$B$3=O$3,SUMIF('TL07'!$C$10:$C$224,$C241,'TL07'!$J$10:$J$224),0),
IF('TL07'!$B$229=O$3,SUMIF('TL07'!$C$238:$C$451,$C241,'TL07'!$J$238:$J$451),0),
IF('TL08'!$B$3=O$3,SUMIF('TL08'!$C$10:$C$224,$C241,'TL08'!$J$10:$J$224),0),
IF('TL08'!$B$229=O$3,SUMIF('TL08'!$C$238:$C$451,$C241,'TL08'!$J$238:$J$451),0),
IF('TL09'!$B$3=O$3,SUMIF('TL09'!$C$10:$C$224,$C241,'TL09'!$J$10:$J$224),0),
IF('TL09'!$B$229=O$3,SUMIF('TL09'!$C$238:$C$451,$C241,'TL09'!$J$238:$J$451),0),
IF('TL10'!$B$3=O$3,SUMIF('TL10'!$C$10:$C$224,$C241,'TL10'!$J$10:$J$224),0),
IF('TL10'!$B$229=O$3,SUMIF('TL10'!$C$238:$C$451,$C241,'TL10'!$J$238:$J$451),0),
IF('TL11'!$B$3=O$3,SUMIF('TL11'!$C$10:$C$224,$C241,'TL11'!$J$10:$J$224),0),
IF('TL11'!$B$229=O$3,SUMIF('TL11'!$C$238:$C$451,$C241,'TL11'!$J$238:$J$451),0),
IF('TL12'!$B$3=O$3,SUMIF('TL12'!$C$10:$C$224,$C241,'TL12'!$J$10:$J$224),0),
IF('TL12'!$B$229=O$3,SUMIF('TL12'!$C$238:$C$451,$C241,'TL12'!$J$238:$J$451),0),
IF('TL13'!$B$3=O$3,SUMIF('TL13'!$C$10:$C$224,$C241,'TL13'!$J$10:$J$224),0),
IF('TL13'!$B$229=O$3,SUMIF('TL13'!$C$238:$C$451,$C241,'TL13'!$J$238:$J$451),0),
IF('TL14'!$B$3=O$3,SUMIF('TL14'!$C$10:$C$224,$C241,'TL14'!$J$10:$J$224),0),
IF('TL14'!$B$229=O$3,SUMIF('TL14'!$C$238:$C$451,$C241,'TL14'!$J$238:$J$451),0),
IF('TL15'!$B$3=O$3,SUMIF('TL15'!$C$10:$C$224,$C241,'TL15'!$J$10:$J$224),0),
IF('TL15'!$B$229=O$3,SUMIF('TL15'!$C$238:$C$451,$C241,'TL15'!$J$238:$J$451),0),
IF('TL16'!$B$3=O$3,SUMIF('TL16'!$C$10:$C$224,$C241,'TL16'!$J$10:$J$224),0),
IF('TL16'!$B$229=O$3,SUMIF('TL16'!$C$238:$C$451,$C241,'TL16'!$J$238:$J$451),0),
IF('TL17'!$B$3=O$3,SUMIF('TL17'!$C$10:$C$224,$C241,'TL17'!$J$10:$J$224),0),
IF('TL17'!$B$229=O$3,SUMIF('TL17'!$C$238:$C$451,$C241,'TL17'!$J$238:$J$451),0),
IF('TL18'!$B$3=O$3,SUMIF('TL18'!$C$10:$C$224,$C241,'TL18'!$J$10:$J$224),0),
IF('TL18'!$B$229=O$3,SUMIF('TL18'!$C$238:$C$451,$C241,'TL18'!$J$238:$J$451),0),
IF('TL19'!$B$3=O$3,SUMIF('TL19'!$C$10:$C$224,$C241,'TL19'!$J$10:$J$224),0),
IF('TL19'!$B$229=O$3,SUMIF('TL19'!$C$238:$C$451,$C241,'TL19'!$J$238:$J$451),0)
),0)</f>
        <v>0</v>
      </c>
      <c r="P241" s="9">
        <f>IFERROR(SUM(
IF('TL01'!$B$3=P$3,SUMIF('TL01'!$C$10:$C$224,$C241,'TL01'!$J$10:$J$224),0),
IF('TL01'!$B$229=P$3,SUMIF('TL01'!$C$238:$C$451,$C241,'TL01'!$J$238:$J$451),0),
IF('TL02'!$B$3=P$3,SUMIF('TL02'!$C$10:$C$224,$C241,'TL02'!$J$10:$J$224),0),
IF('TL02'!$B$229=P$3,SUMIF('TL02'!$C$238:$C$451,$C241,'TL02'!$J$238:$J$451),0),
IF('TL03'!$B$3=P$3,SUMIF('TL03'!$C$10:$C$224,$C241,'TL03'!$J$10:$J$224),0),
IF('TL03'!$B$229=P$3,SUMIF('TL03'!$C$238:$C$451,$C241,'TL03'!$J$238:$J$451),0),
IF('TL04'!$B$3=P$3,SUMIF('TL04'!$C$10:$C$224,$C241,'TL04'!$J$10:$J$224),0),
IF('TL04'!$B$229=P$3,SUMIF('TL04'!$C$238:$C$451,$C241,'TL04'!$J$238:$J$451),0),
IF('TL05'!$B$3=P$3,SUMIF('TL05'!$C$10:$C$224,$C241,'TL05'!$J$10:$J$224),0),
IF('TL05'!$B$229=P$3,SUMIF('TL05'!$C$238:$C$451,$C241,'TL05'!$J$238:$J$451),0),
IF('TL06'!$B$3=P$3,SUMIF('TL06'!$C$10:$C$224,$C241,'TL06'!$J$10:$J$224),0),
IF('TL06'!$B$229=P$3,SUMIF('TL06'!$C$238:$C$451,$C241,'TL06'!$J$238:$J$451),0),
IF('TL07'!$B$3=P$3,SUMIF('TL07'!$C$10:$C$224,$C241,'TL07'!$J$10:$J$224),0),
IF('TL07'!$B$229=P$3,SUMIF('TL07'!$C$238:$C$451,$C241,'TL07'!$J$238:$J$451),0),
IF('TL08'!$B$3=P$3,SUMIF('TL08'!$C$10:$C$224,$C241,'TL08'!$J$10:$J$224),0),
IF('TL08'!$B$229=P$3,SUMIF('TL08'!$C$238:$C$451,$C241,'TL08'!$J$238:$J$451),0),
IF('TL09'!$B$3=P$3,SUMIF('TL09'!$C$10:$C$224,$C241,'TL09'!$J$10:$J$224),0),
IF('TL09'!$B$229=P$3,SUMIF('TL09'!$C$238:$C$451,$C241,'TL09'!$J$238:$J$451),0),
IF('TL10'!$B$3=P$3,SUMIF('TL10'!$C$10:$C$224,$C241,'TL10'!$J$10:$J$224),0),
IF('TL10'!$B$229=P$3,SUMIF('TL10'!$C$238:$C$451,$C241,'TL10'!$J$238:$J$451),0),
IF('TL11'!$B$3=P$3,SUMIF('TL11'!$C$10:$C$224,$C241,'TL11'!$J$10:$J$224),0),
IF('TL11'!$B$229=P$3,SUMIF('TL11'!$C$238:$C$451,$C241,'TL11'!$J$238:$J$451),0),
IF('TL12'!$B$3=P$3,SUMIF('TL12'!$C$10:$C$224,$C241,'TL12'!$J$10:$J$224),0),
IF('TL12'!$B$229=P$3,SUMIF('TL12'!$C$238:$C$451,$C241,'TL12'!$J$238:$J$451),0),
IF('TL13'!$B$3=P$3,SUMIF('TL13'!$C$10:$C$224,$C241,'TL13'!$J$10:$J$224),0),
IF('TL13'!$B$229=P$3,SUMIF('TL13'!$C$238:$C$451,$C241,'TL13'!$J$238:$J$451),0),
IF('TL14'!$B$3=P$3,SUMIF('TL14'!$C$10:$C$224,$C241,'TL14'!$J$10:$J$224),0),
IF('TL14'!$B$229=P$3,SUMIF('TL14'!$C$238:$C$451,$C241,'TL14'!$J$238:$J$451),0),
IF('TL15'!$B$3=P$3,SUMIF('TL15'!$C$10:$C$224,$C241,'TL15'!$J$10:$J$224),0),
IF('TL15'!$B$229=P$3,SUMIF('TL15'!$C$238:$C$451,$C241,'TL15'!$J$238:$J$451),0),
IF('TL16'!$B$3=P$3,SUMIF('TL16'!$C$10:$C$224,$C241,'TL16'!$J$10:$J$224),0),
IF('TL16'!$B$229=P$3,SUMIF('TL16'!$C$238:$C$451,$C241,'TL16'!$J$238:$J$451),0),
IF('TL17'!$B$3=P$3,SUMIF('TL17'!$C$10:$C$224,$C241,'TL17'!$J$10:$J$224),0),
IF('TL17'!$B$229=P$3,SUMIF('TL17'!$C$238:$C$451,$C241,'TL17'!$J$238:$J$451),0),
IF('TL18'!$B$3=P$3,SUMIF('TL18'!$C$10:$C$224,$C241,'TL18'!$J$10:$J$224),0),
IF('TL18'!$B$229=P$3,SUMIF('TL18'!$C$238:$C$451,$C241,'TL18'!$J$238:$J$451),0),
IF('TL19'!$B$3=P$3,SUMIF('TL19'!$C$10:$C$224,$C241,'TL19'!$J$10:$J$224),0),
IF('TL19'!$B$229=P$3,SUMIF('TL19'!$C$238:$C$451,$C241,'TL19'!$J$238:$J$451),0)
),0)</f>
        <v>0</v>
      </c>
      <c r="Q241" s="9">
        <f>IFERROR(SUM(
IF('TL01'!$B$3=Q$3,SUMIF('TL01'!$C$10:$C$224,$C241,'TL01'!$J$10:$J$224),0),
IF('TL01'!$B$229=Q$3,SUMIF('TL01'!$C$238:$C$451,$C241,'TL01'!$J$238:$J$451),0),
IF('TL02'!$B$3=Q$3,SUMIF('TL02'!$C$10:$C$224,$C241,'TL02'!$J$10:$J$224),0),
IF('TL02'!$B$229=Q$3,SUMIF('TL02'!$C$238:$C$451,$C241,'TL02'!$J$238:$J$451),0),
IF('TL03'!$B$3=Q$3,SUMIF('TL03'!$C$10:$C$224,$C241,'TL03'!$J$10:$J$224),0),
IF('TL03'!$B$229=Q$3,SUMIF('TL03'!$C$238:$C$451,$C241,'TL03'!$J$238:$J$451),0),
IF('TL04'!$B$3=Q$3,SUMIF('TL04'!$C$10:$C$224,$C241,'TL04'!$J$10:$J$224),0),
IF('TL04'!$B$229=Q$3,SUMIF('TL04'!$C$238:$C$451,$C241,'TL04'!$J$238:$J$451),0),
IF('TL05'!$B$3=Q$3,SUMIF('TL05'!$C$10:$C$224,$C241,'TL05'!$J$10:$J$224),0),
IF('TL05'!$B$229=Q$3,SUMIF('TL05'!$C$238:$C$451,$C241,'TL05'!$J$238:$J$451),0),
IF('TL06'!$B$3=Q$3,SUMIF('TL06'!$C$10:$C$224,$C241,'TL06'!$J$10:$J$224),0),
IF('TL06'!$B$229=Q$3,SUMIF('TL06'!$C$238:$C$451,$C241,'TL06'!$J$238:$J$451),0),
IF('TL07'!$B$3=Q$3,SUMIF('TL07'!$C$10:$C$224,$C241,'TL07'!$J$10:$J$224),0),
IF('TL07'!$B$229=Q$3,SUMIF('TL07'!$C$238:$C$451,$C241,'TL07'!$J$238:$J$451),0),
IF('TL08'!$B$3=Q$3,SUMIF('TL08'!$C$10:$C$224,$C241,'TL08'!$J$10:$J$224),0),
IF('TL08'!$B$229=Q$3,SUMIF('TL08'!$C$238:$C$451,$C241,'TL08'!$J$238:$J$451),0),
IF('TL09'!$B$3=Q$3,SUMIF('TL09'!$C$10:$C$224,$C241,'TL09'!$J$10:$J$224),0),
IF('TL09'!$B$229=Q$3,SUMIF('TL09'!$C$238:$C$451,$C241,'TL09'!$J$238:$J$451),0),
IF('TL10'!$B$3=Q$3,SUMIF('TL10'!$C$10:$C$224,$C241,'TL10'!$J$10:$J$224),0),
IF('TL10'!$B$229=Q$3,SUMIF('TL10'!$C$238:$C$451,$C241,'TL10'!$J$238:$J$451),0),
IF('TL11'!$B$3=Q$3,SUMIF('TL11'!$C$10:$C$224,$C241,'TL11'!$J$10:$J$224),0),
IF('TL11'!$B$229=Q$3,SUMIF('TL11'!$C$238:$C$451,$C241,'TL11'!$J$238:$J$451),0),
IF('TL12'!$B$3=Q$3,SUMIF('TL12'!$C$10:$C$224,$C241,'TL12'!$J$10:$J$224),0),
IF('TL12'!$B$229=Q$3,SUMIF('TL12'!$C$238:$C$451,$C241,'TL12'!$J$238:$J$451),0),
IF('TL13'!$B$3=Q$3,SUMIF('TL13'!$C$10:$C$224,$C241,'TL13'!$J$10:$J$224),0),
IF('TL13'!$B$229=Q$3,SUMIF('TL13'!$C$238:$C$451,$C241,'TL13'!$J$238:$J$451),0),
IF('TL14'!$B$3=Q$3,SUMIF('TL14'!$C$10:$C$224,$C241,'TL14'!$J$10:$J$224),0),
IF('TL14'!$B$229=Q$3,SUMIF('TL14'!$C$238:$C$451,$C241,'TL14'!$J$238:$J$451),0),
IF('TL15'!$B$3=Q$3,SUMIF('TL15'!$C$10:$C$224,$C241,'TL15'!$J$10:$J$224),0),
IF('TL15'!$B$229=Q$3,SUMIF('TL15'!$C$238:$C$451,$C241,'TL15'!$J$238:$J$451),0),
IF('TL16'!$B$3=Q$3,SUMIF('TL16'!$C$10:$C$224,$C241,'TL16'!$J$10:$J$224),0),
IF('TL16'!$B$229=Q$3,SUMIF('TL16'!$C$238:$C$451,$C241,'TL16'!$J$238:$J$451),0),
IF('TL17'!$B$3=Q$3,SUMIF('TL17'!$C$10:$C$224,$C241,'TL17'!$J$10:$J$224),0),
IF('TL17'!$B$229=Q$3,SUMIF('TL17'!$C$238:$C$451,$C241,'TL17'!$J$238:$J$451),0),
IF('TL18'!$B$3=Q$3,SUMIF('TL18'!$C$10:$C$224,$C241,'TL18'!$J$10:$J$224),0),
IF('TL18'!$B$229=Q$3,SUMIF('TL18'!$C$238:$C$451,$C241,'TL18'!$J$238:$J$451),0),
IF('TL19'!$B$3=Q$3,SUMIF('TL19'!$C$10:$C$224,$C241,'TL19'!$J$10:$J$224),0),
IF('TL19'!$B$229=Q$3,SUMIF('TL19'!$C$238:$C$451,$C241,'TL19'!$J$238:$J$451),0)
),0)</f>
        <v>0</v>
      </c>
      <c r="R241" s="9">
        <f>IFERROR(
SUM(
SUMIF('TL01'!C:C,C241,'TL01'!J:J),
SUMIF('TL02'!C:C,C241,'TL02'!J:J),
SUMIF('TL03'!C:C,C241,'TL03'!J:J),
SUMIF('TL04'!C:C,C241,'TL04'!J:J),
SUMIF('TL05'!C:C,C241,'TL05'!J:J),
SUMIF('TL06'!C:C,C241,'TL06'!J:J),
SUMIF('TL07'!C:C,C241,'TL07'!J:J),
SUMIF('TL08'!C:C,C241,'TL08'!J:J),
SUMIF('TL09'!C:C,C241,'TL09'!J:J),
SUMIF('TL10'!C:C,C241,'TL10'!J:J),
SUMIF('TL11'!C:C,C241,'TL11'!J:J),
SUMIF('TL12'!C:C,C241,'TL12'!J:J),
SUMIF('TL13'!C:C,C241,'TL13'!J:J),
SUMIF('TL14'!C:C,C241,'TL14'!J:J),
SUMIF('TL15'!C:C,C241,'TL15'!J:J),
SUMIF('TL16'!C:C,C241,'TL16'!J:J),
SUMIF('TL17'!C:C,C241,'TL17'!J:J),
SUMIF('TL18'!C:C,C241,'TL18'!J:J),SUMIF('TL19'!C:C,C241,'TL19'!J:J))
,0)</f>
        <v>0</v>
      </c>
      <c r="S241" s="17">
        <f>IFERROR(__xludf.DUMMYFUNCTION("IFERROR(VLOOKUP(C241,
IMPORTRANGE(""1wULbzX32WdYsx-lj2U3uUNBBe2INVIRDtcK0d-Dvl90"",
""26-27!C:G""),
5,
FALSE),
"""")"),64.60851000000001)</f>
        <v>64.60851</v>
      </c>
      <c r="T241" s="9"/>
      <c r="U241" s="92">
        <f t="shared" si="2"/>
        <v>0</v>
      </c>
      <c r="V241" s="93">
        <f t="shared" si="3"/>
        <v>0</v>
      </c>
    </row>
    <row r="242" ht="15.75" hidden="1" customHeight="1">
      <c r="A242" s="119" t="s">
        <v>345</v>
      </c>
      <c r="B242" s="120" t="s">
        <v>900</v>
      </c>
      <c r="C242" s="119" t="s">
        <v>901</v>
      </c>
      <c r="D242" s="119" t="s">
        <v>902</v>
      </c>
      <c r="E242" s="119">
        <v>250.0</v>
      </c>
      <c r="F242" s="4"/>
      <c r="G242" s="90" t="str">
        <f t="shared" si="4"/>
        <v>📄 Ver bula</v>
      </c>
      <c r="H242" s="9" t="str">
        <f>IFERROR(__xludf.DUMMYFUNCTION("IFERROR(VLOOKUP(C242,
IMPORTRANGE(""1wULbzX32WdYsx-lj2U3uUNBBe2INVIRDtcK0d-Dvl90"",
""26-27!C:K""),
8,
FALSE),
"""")"),"")</f>
        <v/>
      </c>
      <c r="I242" s="121" t="s">
        <v>361</v>
      </c>
      <c r="J242" s="9">
        <f>IFERROR(SUM(
IF('TL01'!$B$3=J$3,SUMIF('TL01'!$C$10:$C$224,$C242,'TL01'!$J$10:$J$224),0),
IF('TL01'!$B$229=J$3,SUMIF('TL01'!$C$238:$C$451,$C242,'TL01'!$J$238:$J$451),0),
IF('TL02'!$B$3=J$3,SUMIF('TL02'!$C$10:$C$224,$C242,'TL02'!$J$10:$J$224),0),
IF('TL02'!$B$229=J$3,SUMIF('TL02'!$C$238:$C$451,$C242,'TL02'!$J$238:$J$451),0),
IF('TL03'!$B$3=J$3,SUMIF('TL03'!$C$10:$C$224,$C242,'TL03'!$J$10:$J$224),0),
IF('TL03'!$B$229=J$3,SUMIF('TL03'!$C$238:$C$451,$C242,'TL03'!$J$238:$J$451),0),
IF('TL04'!$B$3=J$3,SUMIF('TL04'!$C$10:$C$224,$C242,'TL04'!$J$10:$J$224),0),
IF('TL04'!$B$229=J$3,SUMIF('TL04'!$C$238:$C$451,$C242,'TL04'!$J$238:$J$451),0),
IF('TL05'!$B$3=J$3,SUMIF('TL05'!$C$10:$C$224,$C242,'TL05'!$J$10:$J$224),0),
IF('TL05'!$B$229=J$3,SUMIF('TL05'!$C$238:$C$451,$C242,'TL05'!$J$238:$J$451),0),
IF('TL06'!$B$3=J$3,SUMIF('TL06'!$C$10:$C$224,$C242,'TL06'!$J$10:$J$224),0),
IF('TL06'!$B$229=J$3,SUMIF('TL06'!$C$238:$C$451,$C242,'TL06'!$J$238:$J$451),0),
IF('TL07'!$B$3=J$3,SUMIF('TL07'!$C$10:$C$224,$C242,'TL07'!$J$10:$J$224),0),
IF('TL07'!$B$229=J$3,SUMIF('TL07'!$C$238:$C$451,$C242,'TL07'!$J$238:$J$451),0),
IF('TL08'!$B$3=J$3,SUMIF('TL08'!$C$10:$C$224,$C242,'TL08'!$J$10:$J$224),0),
IF('TL08'!$B$229=J$3,SUMIF('TL08'!$C$238:$C$451,$C242,'TL08'!$J$238:$J$451),0),
IF('TL09'!$B$3=J$3,SUMIF('TL09'!$C$10:$C$224,$C242,'TL09'!$J$10:$J$224),0),
IF('TL09'!$B$229=J$3,SUMIF('TL09'!$C$238:$C$451,$C242,'TL09'!$J$238:$J$451),0),
IF('TL10'!$B$3=J$3,SUMIF('TL10'!$C$10:$C$224,$C242,'TL10'!$J$10:$J$224),0),
IF('TL10'!$B$229=J$3,SUMIF('TL10'!$C$238:$C$451,$C242,'TL10'!$J$238:$J$451),0),
IF('TL11'!$B$3=J$3,SUMIF('TL11'!$C$10:$C$224,$C242,'TL11'!$J$10:$J$224),0),
IF('TL11'!$B$229=J$3,SUMIF('TL11'!$C$238:$C$451,$C242,'TL11'!$J$238:$J$451),0),
IF('TL12'!$B$3=J$3,SUMIF('TL12'!$C$10:$C$224,$C242,'TL12'!$J$10:$J$224),0),
IF('TL12'!$B$229=J$3,SUMIF('TL12'!$C$238:$C$451,$C242,'TL12'!$J$238:$J$451),0),
IF('TL13'!$B$3=J$3,SUMIF('TL13'!$C$10:$C$224,$C242,'TL13'!$J$10:$J$224),0),
IF('TL13'!$B$229=J$3,SUMIF('TL13'!$C$238:$C$451,$C242,'TL13'!$J$238:$J$451),0),
IF('TL14'!$B$3=J$3,SUMIF('TL14'!$C$10:$C$224,$C242,'TL14'!$J$10:$J$224),0),
IF('TL14'!$B$229=J$3,SUMIF('TL14'!$C$238:$C$451,$C242,'TL14'!$J$238:$J$451),0),
IF('TL15'!$B$3=J$3,SUMIF('TL15'!$C$10:$C$224,$C242,'TL15'!$J$10:$J$224),0),
IF('TL15'!$B$229=J$3,SUMIF('TL15'!$C$238:$C$451,$C242,'TL15'!$J$238:$J$451),0),
IF('TL16'!$B$3=J$3,SUMIF('TL16'!$C$10:$C$224,$C242,'TL16'!$J$10:$J$224),0),
IF('TL16'!$B$229=J$3,SUMIF('TL16'!$C$238:$C$451,$C242,'TL16'!$J$238:$J$451),0),
IF('TL17'!$B$3=J$3,SUMIF('TL17'!$C$10:$C$224,$C242,'TL17'!$J$10:$J$224),0),
IF('TL17'!$B$229=J$3,SUMIF('TL17'!$C$238:$C$451,$C242,'TL17'!$J$238:$J$451),0),
IF('TL18'!$B$3=J$3,SUMIF('TL18'!$C$10:$C$224,$C242,'TL18'!$J$10:$J$224),0),
IF('TL18'!$B$229=J$3,SUMIF('TL18'!$C$238:$C$451,$C242,'TL18'!$J$238:$J$451),0),
IF('TL19'!$B$3=J$3,SUMIF('TL19'!$C$10:$C$224,$C242,'TL19'!$J$10:$J$224),0),
IF('TL19'!$B$229=J$3,SUMIF('TL19'!$C$238:$C$451,$C242,'TL19'!$J$238:$J$451),0)
),0)</f>
        <v>0</v>
      </c>
      <c r="K242" s="9">
        <f>IFERROR(SUM(
IF('TL01'!$B$3=K$3,SUMIF('TL01'!$C$10:$C$224,$C242,'TL01'!$J$10:$J$224),0),
IF('TL01'!$B$229=K$3,SUMIF('TL01'!$C$238:$C$451,$C242,'TL01'!$J$238:$J$451),0),
IF('TL02'!$B$3=K$3,SUMIF('TL02'!$C$10:$C$224,$C242,'TL02'!$J$10:$J$224),0),
IF('TL02'!$B$229=K$3,SUMIF('TL02'!$C$238:$C$451,$C242,'TL02'!$J$238:$J$451),0),
IF('TL03'!$B$3=K$3,SUMIF('TL03'!$C$10:$C$224,$C242,'TL03'!$J$10:$J$224),0),
IF('TL03'!$B$229=K$3,SUMIF('TL03'!$C$238:$C$451,$C242,'TL03'!$J$238:$J$451),0),
IF('TL04'!$B$3=K$3,SUMIF('TL04'!$C$10:$C$224,$C242,'TL04'!$J$10:$J$224),0),
IF('TL04'!$B$229=K$3,SUMIF('TL04'!$C$238:$C$451,$C242,'TL04'!$J$238:$J$451),0),
IF('TL05'!$B$3=K$3,SUMIF('TL05'!$C$10:$C$224,$C242,'TL05'!$J$10:$J$224),0),
IF('TL05'!$B$229=K$3,SUMIF('TL05'!$C$238:$C$451,$C242,'TL05'!$J$238:$J$451),0),
IF('TL06'!$B$3=K$3,SUMIF('TL06'!$C$10:$C$224,$C242,'TL06'!$J$10:$J$224),0),
IF('TL06'!$B$229=K$3,SUMIF('TL06'!$C$238:$C$451,$C242,'TL06'!$J$238:$J$451),0),
IF('TL07'!$B$3=K$3,SUMIF('TL07'!$C$10:$C$224,$C242,'TL07'!$J$10:$J$224),0),
IF('TL07'!$B$229=K$3,SUMIF('TL07'!$C$238:$C$451,$C242,'TL07'!$J$238:$J$451),0),
IF('TL08'!$B$3=K$3,SUMIF('TL08'!$C$10:$C$224,$C242,'TL08'!$J$10:$J$224),0),
IF('TL08'!$B$229=K$3,SUMIF('TL08'!$C$238:$C$451,$C242,'TL08'!$J$238:$J$451),0),
IF('TL09'!$B$3=K$3,SUMIF('TL09'!$C$10:$C$224,$C242,'TL09'!$J$10:$J$224),0),
IF('TL09'!$B$229=K$3,SUMIF('TL09'!$C$238:$C$451,$C242,'TL09'!$J$238:$J$451),0),
IF('TL10'!$B$3=K$3,SUMIF('TL10'!$C$10:$C$224,$C242,'TL10'!$J$10:$J$224),0),
IF('TL10'!$B$229=K$3,SUMIF('TL10'!$C$238:$C$451,$C242,'TL10'!$J$238:$J$451),0),
IF('TL11'!$B$3=K$3,SUMIF('TL11'!$C$10:$C$224,$C242,'TL11'!$J$10:$J$224),0),
IF('TL11'!$B$229=K$3,SUMIF('TL11'!$C$238:$C$451,$C242,'TL11'!$J$238:$J$451),0),
IF('TL12'!$B$3=K$3,SUMIF('TL12'!$C$10:$C$224,$C242,'TL12'!$J$10:$J$224),0),
IF('TL12'!$B$229=K$3,SUMIF('TL12'!$C$238:$C$451,$C242,'TL12'!$J$238:$J$451),0),
IF('TL13'!$B$3=K$3,SUMIF('TL13'!$C$10:$C$224,$C242,'TL13'!$J$10:$J$224),0),
IF('TL13'!$B$229=K$3,SUMIF('TL13'!$C$238:$C$451,$C242,'TL13'!$J$238:$J$451),0),
IF('TL14'!$B$3=K$3,SUMIF('TL14'!$C$10:$C$224,$C242,'TL14'!$J$10:$J$224),0),
IF('TL14'!$B$229=K$3,SUMIF('TL14'!$C$238:$C$451,$C242,'TL14'!$J$238:$J$451),0),
IF('TL15'!$B$3=K$3,SUMIF('TL15'!$C$10:$C$224,$C242,'TL15'!$J$10:$J$224),0),
IF('TL15'!$B$229=K$3,SUMIF('TL15'!$C$238:$C$451,$C242,'TL15'!$J$238:$J$451),0),
IF('TL16'!$B$3=K$3,SUMIF('TL16'!$C$10:$C$224,$C242,'TL16'!$J$10:$J$224),0),
IF('TL16'!$B$229=K$3,SUMIF('TL16'!$C$238:$C$451,$C242,'TL16'!$J$238:$J$451),0),
IF('TL17'!$B$3=K$3,SUMIF('TL17'!$C$10:$C$224,$C242,'TL17'!$J$10:$J$224),0),
IF('TL17'!$B$229=K$3,SUMIF('TL17'!$C$238:$C$451,$C242,'TL17'!$J$238:$J$451),0),
IF('TL18'!$B$3=K$3,SUMIF('TL18'!$C$10:$C$224,$C242,'TL18'!$J$10:$J$224),0),
IF('TL18'!$B$229=K$3,SUMIF('TL18'!$C$238:$C$451,$C242,'TL18'!$J$238:$J$451),0),
IF('TL19'!$B$3=K$3,SUMIF('TL19'!$C$10:$C$224,$C242,'TL19'!$J$10:$J$224),0),
IF('TL19'!$B$229=K$3,SUMIF('TL19'!$C$238:$C$451,$C242,'TL19'!$J$238:$J$451),0)
),0)</f>
        <v>0</v>
      </c>
      <c r="L242" s="9">
        <f>IFERROR(SUM(
IF('TL01'!$B$3=L$3,SUMIF('TL01'!$C$10:$C$224,$C242,'TL01'!$J$10:$J$224),0),
IF('TL01'!$B$229=L$3,SUMIF('TL01'!$C$238:$C$451,$C242,'TL01'!$J$238:$J$451),0),
IF('TL02'!$B$3=L$3,SUMIF('TL02'!$C$10:$C$224,$C242,'TL02'!$J$10:$J$224),0),
IF('TL02'!$B$229=L$3,SUMIF('TL02'!$C$238:$C$451,$C242,'TL02'!$J$238:$J$451),0),
IF('TL03'!$B$3=L$3,SUMIF('TL03'!$C$10:$C$224,$C242,'TL03'!$J$10:$J$224),0),
IF('TL03'!$B$229=L$3,SUMIF('TL03'!$C$238:$C$451,$C242,'TL03'!$J$238:$J$451),0),
IF('TL04'!$B$3=L$3,SUMIF('TL04'!$C$10:$C$224,$C242,'TL04'!$J$10:$J$224),0),
IF('TL04'!$B$229=L$3,SUMIF('TL04'!$C$238:$C$451,$C242,'TL04'!$J$238:$J$451),0),
IF('TL05'!$B$3=L$3,SUMIF('TL05'!$C$10:$C$224,$C242,'TL05'!$J$10:$J$224),0),
IF('TL05'!$B$229=L$3,SUMIF('TL05'!$C$238:$C$451,$C242,'TL05'!$J$238:$J$451),0),
IF('TL06'!$B$3=L$3,SUMIF('TL06'!$C$10:$C$224,$C242,'TL06'!$J$10:$J$224),0),
IF('TL06'!$B$229=L$3,SUMIF('TL06'!$C$238:$C$451,$C242,'TL06'!$J$238:$J$451),0),
IF('TL07'!$B$3=L$3,SUMIF('TL07'!$C$10:$C$224,$C242,'TL07'!$J$10:$J$224),0),
IF('TL07'!$B$229=L$3,SUMIF('TL07'!$C$238:$C$451,$C242,'TL07'!$J$238:$J$451),0),
IF('TL08'!$B$3=L$3,SUMIF('TL08'!$C$10:$C$224,$C242,'TL08'!$J$10:$J$224),0),
IF('TL08'!$B$229=L$3,SUMIF('TL08'!$C$238:$C$451,$C242,'TL08'!$J$238:$J$451),0),
IF('TL09'!$B$3=L$3,SUMIF('TL09'!$C$10:$C$224,$C242,'TL09'!$J$10:$J$224),0),
IF('TL09'!$B$229=L$3,SUMIF('TL09'!$C$238:$C$451,$C242,'TL09'!$J$238:$J$451),0),
IF('TL10'!$B$3=L$3,SUMIF('TL10'!$C$10:$C$224,$C242,'TL10'!$J$10:$J$224),0),
IF('TL10'!$B$229=L$3,SUMIF('TL10'!$C$238:$C$451,$C242,'TL10'!$J$238:$J$451),0),
IF('TL11'!$B$3=L$3,SUMIF('TL11'!$C$10:$C$224,$C242,'TL11'!$J$10:$J$224),0),
IF('TL11'!$B$229=L$3,SUMIF('TL11'!$C$238:$C$451,$C242,'TL11'!$J$238:$J$451),0),
IF('TL12'!$B$3=L$3,SUMIF('TL12'!$C$10:$C$224,$C242,'TL12'!$J$10:$J$224),0),
IF('TL12'!$B$229=L$3,SUMIF('TL12'!$C$238:$C$451,$C242,'TL12'!$J$238:$J$451),0),
IF('TL13'!$B$3=L$3,SUMIF('TL13'!$C$10:$C$224,$C242,'TL13'!$J$10:$J$224),0),
IF('TL13'!$B$229=L$3,SUMIF('TL13'!$C$238:$C$451,$C242,'TL13'!$J$238:$J$451),0),
IF('TL14'!$B$3=L$3,SUMIF('TL14'!$C$10:$C$224,$C242,'TL14'!$J$10:$J$224),0),
IF('TL14'!$B$229=L$3,SUMIF('TL14'!$C$238:$C$451,$C242,'TL14'!$J$238:$J$451),0),
IF('TL15'!$B$3=L$3,SUMIF('TL15'!$C$10:$C$224,$C242,'TL15'!$J$10:$J$224),0),
IF('TL15'!$B$229=L$3,SUMIF('TL15'!$C$238:$C$451,$C242,'TL15'!$J$238:$J$451),0),
IF('TL16'!$B$3=L$3,SUMIF('TL16'!$C$10:$C$224,$C242,'TL16'!$J$10:$J$224),0),
IF('TL16'!$B$229=L$3,SUMIF('TL16'!$C$238:$C$451,$C242,'TL16'!$J$238:$J$451),0),
IF('TL17'!$B$3=L$3,SUMIF('TL17'!$C$10:$C$224,$C242,'TL17'!$J$10:$J$224),0),
IF('TL17'!$B$229=L$3,SUMIF('TL17'!$C$238:$C$451,$C242,'TL17'!$J$238:$J$451),0),
IF('TL18'!$B$3=L$3,SUMIF('TL18'!$C$10:$C$224,$C242,'TL18'!$J$10:$J$224),0),
IF('TL18'!$B$229=L$3,SUMIF('TL18'!$C$238:$C$451,$C242,'TL18'!$J$238:$J$451),0),
IF('TL19'!$B$3=L$3,SUMIF('TL19'!$C$10:$C$224,$C242,'TL19'!$J$10:$J$224),0),
IF('TL19'!$B$229=L$3,SUMIF('TL19'!$C$238:$C$451,$C242,'TL19'!$J$238:$J$451),0)
),0)</f>
        <v>0</v>
      </c>
      <c r="M242" s="9">
        <f>IFERROR(SUM(
IF('TL01'!$B$3=M$3,SUMIF('TL01'!$C$10:$C$224,$C242,'TL01'!$J$10:$J$224),0),
IF('TL01'!$B$229=M$3,SUMIF('TL01'!$C$238:$C$451,$C242,'TL01'!$J$238:$J$451),0),
IF('TL02'!$B$3=M$3,SUMIF('TL02'!$C$10:$C$224,$C242,'TL02'!$J$10:$J$224),0),
IF('TL02'!$B$229=M$3,SUMIF('TL02'!$C$238:$C$451,$C242,'TL02'!$J$238:$J$451),0),
IF('TL03'!$B$3=M$3,SUMIF('TL03'!$C$10:$C$224,$C242,'TL03'!$J$10:$J$224),0),
IF('TL03'!$B$229=M$3,SUMIF('TL03'!$C$238:$C$451,$C242,'TL03'!$J$238:$J$451),0),
IF('TL04'!$B$3=M$3,SUMIF('TL04'!$C$10:$C$224,$C242,'TL04'!$J$10:$J$224),0),
IF('TL04'!$B$229=M$3,SUMIF('TL04'!$C$238:$C$451,$C242,'TL04'!$J$238:$J$451),0),
IF('TL05'!$B$3=M$3,SUMIF('TL05'!$C$10:$C$224,$C242,'TL05'!$J$10:$J$224),0),
IF('TL05'!$B$229=M$3,SUMIF('TL05'!$C$238:$C$451,$C242,'TL05'!$J$238:$J$451),0),
IF('TL06'!$B$3=M$3,SUMIF('TL06'!$C$10:$C$224,$C242,'TL06'!$J$10:$J$224),0),
IF('TL06'!$B$229=M$3,SUMIF('TL06'!$C$238:$C$451,$C242,'TL06'!$J$238:$J$451),0),
IF('TL07'!$B$3=M$3,SUMIF('TL07'!$C$10:$C$224,$C242,'TL07'!$J$10:$J$224),0),
IF('TL07'!$B$229=M$3,SUMIF('TL07'!$C$238:$C$451,$C242,'TL07'!$J$238:$J$451),0),
IF('TL08'!$B$3=M$3,SUMIF('TL08'!$C$10:$C$224,$C242,'TL08'!$J$10:$J$224),0),
IF('TL08'!$B$229=M$3,SUMIF('TL08'!$C$238:$C$451,$C242,'TL08'!$J$238:$J$451),0),
IF('TL09'!$B$3=M$3,SUMIF('TL09'!$C$10:$C$224,$C242,'TL09'!$J$10:$J$224),0),
IF('TL09'!$B$229=M$3,SUMIF('TL09'!$C$238:$C$451,$C242,'TL09'!$J$238:$J$451),0),
IF('TL10'!$B$3=M$3,SUMIF('TL10'!$C$10:$C$224,$C242,'TL10'!$J$10:$J$224),0),
IF('TL10'!$B$229=M$3,SUMIF('TL10'!$C$238:$C$451,$C242,'TL10'!$J$238:$J$451),0),
IF('TL11'!$B$3=M$3,SUMIF('TL11'!$C$10:$C$224,$C242,'TL11'!$J$10:$J$224),0),
IF('TL11'!$B$229=M$3,SUMIF('TL11'!$C$238:$C$451,$C242,'TL11'!$J$238:$J$451),0),
IF('TL12'!$B$3=M$3,SUMIF('TL12'!$C$10:$C$224,$C242,'TL12'!$J$10:$J$224),0),
IF('TL12'!$B$229=M$3,SUMIF('TL12'!$C$238:$C$451,$C242,'TL12'!$J$238:$J$451),0),
IF('TL13'!$B$3=M$3,SUMIF('TL13'!$C$10:$C$224,$C242,'TL13'!$J$10:$J$224),0),
IF('TL13'!$B$229=M$3,SUMIF('TL13'!$C$238:$C$451,$C242,'TL13'!$J$238:$J$451),0),
IF('TL14'!$B$3=M$3,SUMIF('TL14'!$C$10:$C$224,$C242,'TL14'!$J$10:$J$224),0),
IF('TL14'!$B$229=M$3,SUMIF('TL14'!$C$238:$C$451,$C242,'TL14'!$J$238:$J$451),0),
IF('TL15'!$B$3=M$3,SUMIF('TL15'!$C$10:$C$224,$C242,'TL15'!$J$10:$J$224),0),
IF('TL15'!$B$229=M$3,SUMIF('TL15'!$C$238:$C$451,$C242,'TL15'!$J$238:$J$451),0),
IF('TL16'!$B$3=M$3,SUMIF('TL16'!$C$10:$C$224,$C242,'TL16'!$J$10:$J$224),0),
IF('TL16'!$B$229=M$3,SUMIF('TL16'!$C$238:$C$451,$C242,'TL16'!$J$238:$J$451),0),
IF('TL17'!$B$3=M$3,SUMIF('TL17'!$C$10:$C$224,$C242,'TL17'!$J$10:$J$224),0),
IF('TL17'!$B$229=M$3,SUMIF('TL17'!$C$238:$C$451,$C242,'TL17'!$J$238:$J$451),0),
IF('TL18'!$B$3=M$3,SUMIF('TL18'!$C$10:$C$224,$C242,'TL18'!$J$10:$J$224),0),
IF('TL18'!$B$229=M$3,SUMIF('TL18'!$C$238:$C$451,$C242,'TL18'!$J$238:$J$451),0),
IF('TL19'!$B$3=M$3,SUMIF('TL19'!$C$10:$C$224,$C242,'TL19'!$J$10:$J$224),0),
IF('TL19'!$B$229=M$3,SUMIF('TL19'!$C$238:$C$451,$C242,'TL19'!$J$238:$J$451),0)
),0)</f>
        <v>0</v>
      </c>
      <c r="N242" s="9">
        <f>IFERROR(SUM(
IF('TL01'!$B$3=N$3,SUMIF('TL01'!$C$10:$C$224,$C242,'TL01'!$J$10:$J$224),0),
IF('TL01'!$B$229=N$3,SUMIF('TL01'!$C$238:$C$451,$C242,'TL01'!$J$238:$J$451),0),
IF('TL02'!$B$3=N$3,SUMIF('TL02'!$C$10:$C$224,$C242,'TL02'!$J$10:$J$224),0),
IF('TL02'!$B$229=N$3,SUMIF('TL02'!$C$238:$C$451,$C242,'TL02'!$J$238:$J$451),0),
IF('TL03'!$B$3=N$3,SUMIF('TL03'!$C$10:$C$224,$C242,'TL03'!$J$10:$J$224),0),
IF('TL03'!$B$229=N$3,SUMIF('TL03'!$C$238:$C$451,$C242,'TL03'!$J$238:$J$451),0),
IF('TL04'!$B$3=N$3,SUMIF('TL04'!$C$10:$C$224,$C242,'TL04'!$J$10:$J$224),0),
IF('TL04'!$B$229=N$3,SUMIF('TL04'!$C$238:$C$451,$C242,'TL04'!$J$238:$J$451),0),
IF('TL05'!$B$3=N$3,SUMIF('TL05'!$C$10:$C$224,$C242,'TL05'!$J$10:$J$224),0),
IF('TL05'!$B$229=N$3,SUMIF('TL05'!$C$238:$C$451,$C242,'TL05'!$J$238:$J$451),0),
IF('TL06'!$B$3=N$3,SUMIF('TL06'!$C$10:$C$224,$C242,'TL06'!$J$10:$J$224),0),
IF('TL06'!$B$229=N$3,SUMIF('TL06'!$C$238:$C$451,$C242,'TL06'!$J$238:$J$451),0),
IF('TL07'!$B$3=N$3,SUMIF('TL07'!$C$10:$C$224,$C242,'TL07'!$J$10:$J$224),0),
IF('TL07'!$B$229=N$3,SUMIF('TL07'!$C$238:$C$451,$C242,'TL07'!$J$238:$J$451),0),
IF('TL08'!$B$3=N$3,SUMIF('TL08'!$C$10:$C$224,$C242,'TL08'!$J$10:$J$224),0),
IF('TL08'!$B$229=N$3,SUMIF('TL08'!$C$238:$C$451,$C242,'TL08'!$J$238:$J$451),0),
IF('TL09'!$B$3=N$3,SUMIF('TL09'!$C$10:$C$224,$C242,'TL09'!$J$10:$J$224),0),
IF('TL09'!$B$229=N$3,SUMIF('TL09'!$C$238:$C$451,$C242,'TL09'!$J$238:$J$451),0),
IF('TL10'!$B$3=N$3,SUMIF('TL10'!$C$10:$C$224,$C242,'TL10'!$J$10:$J$224),0),
IF('TL10'!$B$229=N$3,SUMIF('TL10'!$C$238:$C$451,$C242,'TL10'!$J$238:$J$451),0),
IF('TL11'!$B$3=N$3,SUMIF('TL11'!$C$10:$C$224,$C242,'TL11'!$J$10:$J$224),0),
IF('TL11'!$B$229=N$3,SUMIF('TL11'!$C$238:$C$451,$C242,'TL11'!$J$238:$J$451),0),
IF('TL12'!$B$3=N$3,SUMIF('TL12'!$C$10:$C$224,$C242,'TL12'!$J$10:$J$224),0),
IF('TL12'!$B$229=N$3,SUMIF('TL12'!$C$238:$C$451,$C242,'TL12'!$J$238:$J$451),0),
IF('TL13'!$B$3=N$3,SUMIF('TL13'!$C$10:$C$224,$C242,'TL13'!$J$10:$J$224),0),
IF('TL13'!$B$229=N$3,SUMIF('TL13'!$C$238:$C$451,$C242,'TL13'!$J$238:$J$451),0),
IF('TL14'!$B$3=N$3,SUMIF('TL14'!$C$10:$C$224,$C242,'TL14'!$J$10:$J$224),0),
IF('TL14'!$B$229=N$3,SUMIF('TL14'!$C$238:$C$451,$C242,'TL14'!$J$238:$J$451),0),
IF('TL15'!$B$3=N$3,SUMIF('TL15'!$C$10:$C$224,$C242,'TL15'!$J$10:$J$224),0),
IF('TL15'!$B$229=N$3,SUMIF('TL15'!$C$238:$C$451,$C242,'TL15'!$J$238:$J$451),0),
IF('TL16'!$B$3=N$3,SUMIF('TL16'!$C$10:$C$224,$C242,'TL16'!$J$10:$J$224),0),
IF('TL16'!$B$229=N$3,SUMIF('TL16'!$C$238:$C$451,$C242,'TL16'!$J$238:$J$451),0),
IF('TL17'!$B$3=N$3,SUMIF('TL17'!$C$10:$C$224,$C242,'TL17'!$J$10:$J$224),0),
IF('TL17'!$B$229=N$3,SUMIF('TL17'!$C$238:$C$451,$C242,'TL17'!$J$238:$J$451),0),
IF('TL18'!$B$3=N$3,SUMIF('TL18'!$C$10:$C$224,$C242,'TL18'!$J$10:$J$224),0),
IF('TL18'!$B$229=N$3,SUMIF('TL18'!$C$238:$C$451,$C242,'TL18'!$J$238:$J$451),0),
IF('TL19'!$B$3=N$3,SUMIF('TL19'!$C$10:$C$224,$C242,'TL19'!$J$10:$J$224),0),
IF('TL19'!$B$229=N$3,SUMIF('TL19'!$C$238:$C$451,$C242,'TL19'!$J$238:$J$451),0)
),0)</f>
        <v>0</v>
      </c>
      <c r="O242" s="9">
        <f>IFERROR(SUM(
IF('TL01'!$B$3=O$3,SUMIF('TL01'!$C$10:$C$224,$C242,'TL01'!$J$10:$J$224),0),
IF('TL01'!$B$229=O$3,SUMIF('TL01'!$C$238:$C$451,$C242,'TL01'!$J$238:$J$451),0),
IF('TL02'!$B$3=O$3,SUMIF('TL02'!$C$10:$C$224,$C242,'TL02'!$J$10:$J$224),0),
IF('TL02'!$B$229=O$3,SUMIF('TL02'!$C$238:$C$451,$C242,'TL02'!$J$238:$J$451),0),
IF('TL03'!$B$3=O$3,SUMIF('TL03'!$C$10:$C$224,$C242,'TL03'!$J$10:$J$224),0),
IF('TL03'!$B$229=O$3,SUMIF('TL03'!$C$238:$C$451,$C242,'TL03'!$J$238:$J$451),0),
IF('TL04'!$B$3=O$3,SUMIF('TL04'!$C$10:$C$224,$C242,'TL04'!$J$10:$J$224),0),
IF('TL04'!$B$229=O$3,SUMIF('TL04'!$C$238:$C$451,$C242,'TL04'!$J$238:$J$451),0),
IF('TL05'!$B$3=O$3,SUMIF('TL05'!$C$10:$C$224,$C242,'TL05'!$J$10:$J$224),0),
IF('TL05'!$B$229=O$3,SUMIF('TL05'!$C$238:$C$451,$C242,'TL05'!$J$238:$J$451),0),
IF('TL06'!$B$3=O$3,SUMIF('TL06'!$C$10:$C$224,$C242,'TL06'!$J$10:$J$224),0),
IF('TL06'!$B$229=O$3,SUMIF('TL06'!$C$238:$C$451,$C242,'TL06'!$J$238:$J$451),0),
IF('TL07'!$B$3=O$3,SUMIF('TL07'!$C$10:$C$224,$C242,'TL07'!$J$10:$J$224),0),
IF('TL07'!$B$229=O$3,SUMIF('TL07'!$C$238:$C$451,$C242,'TL07'!$J$238:$J$451),0),
IF('TL08'!$B$3=O$3,SUMIF('TL08'!$C$10:$C$224,$C242,'TL08'!$J$10:$J$224),0),
IF('TL08'!$B$229=O$3,SUMIF('TL08'!$C$238:$C$451,$C242,'TL08'!$J$238:$J$451),0),
IF('TL09'!$B$3=O$3,SUMIF('TL09'!$C$10:$C$224,$C242,'TL09'!$J$10:$J$224),0),
IF('TL09'!$B$229=O$3,SUMIF('TL09'!$C$238:$C$451,$C242,'TL09'!$J$238:$J$451),0),
IF('TL10'!$B$3=O$3,SUMIF('TL10'!$C$10:$C$224,$C242,'TL10'!$J$10:$J$224),0),
IF('TL10'!$B$229=O$3,SUMIF('TL10'!$C$238:$C$451,$C242,'TL10'!$J$238:$J$451),0),
IF('TL11'!$B$3=O$3,SUMIF('TL11'!$C$10:$C$224,$C242,'TL11'!$J$10:$J$224),0),
IF('TL11'!$B$229=O$3,SUMIF('TL11'!$C$238:$C$451,$C242,'TL11'!$J$238:$J$451),0),
IF('TL12'!$B$3=O$3,SUMIF('TL12'!$C$10:$C$224,$C242,'TL12'!$J$10:$J$224),0),
IF('TL12'!$B$229=O$3,SUMIF('TL12'!$C$238:$C$451,$C242,'TL12'!$J$238:$J$451),0),
IF('TL13'!$B$3=O$3,SUMIF('TL13'!$C$10:$C$224,$C242,'TL13'!$J$10:$J$224),0),
IF('TL13'!$B$229=O$3,SUMIF('TL13'!$C$238:$C$451,$C242,'TL13'!$J$238:$J$451),0),
IF('TL14'!$B$3=O$3,SUMIF('TL14'!$C$10:$C$224,$C242,'TL14'!$J$10:$J$224),0),
IF('TL14'!$B$229=O$3,SUMIF('TL14'!$C$238:$C$451,$C242,'TL14'!$J$238:$J$451),0),
IF('TL15'!$B$3=O$3,SUMIF('TL15'!$C$10:$C$224,$C242,'TL15'!$J$10:$J$224),0),
IF('TL15'!$B$229=O$3,SUMIF('TL15'!$C$238:$C$451,$C242,'TL15'!$J$238:$J$451),0),
IF('TL16'!$B$3=O$3,SUMIF('TL16'!$C$10:$C$224,$C242,'TL16'!$J$10:$J$224),0),
IF('TL16'!$B$229=O$3,SUMIF('TL16'!$C$238:$C$451,$C242,'TL16'!$J$238:$J$451),0),
IF('TL17'!$B$3=O$3,SUMIF('TL17'!$C$10:$C$224,$C242,'TL17'!$J$10:$J$224),0),
IF('TL17'!$B$229=O$3,SUMIF('TL17'!$C$238:$C$451,$C242,'TL17'!$J$238:$J$451),0),
IF('TL18'!$B$3=O$3,SUMIF('TL18'!$C$10:$C$224,$C242,'TL18'!$J$10:$J$224),0),
IF('TL18'!$B$229=O$3,SUMIF('TL18'!$C$238:$C$451,$C242,'TL18'!$J$238:$J$451),0),
IF('TL19'!$B$3=O$3,SUMIF('TL19'!$C$10:$C$224,$C242,'TL19'!$J$10:$J$224),0),
IF('TL19'!$B$229=O$3,SUMIF('TL19'!$C$238:$C$451,$C242,'TL19'!$J$238:$J$451),0)
),0)</f>
        <v>0</v>
      </c>
      <c r="P242" s="9">
        <f>IFERROR(SUM(
IF('TL01'!$B$3=P$3,SUMIF('TL01'!$C$10:$C$224,$C242,'TL01'!$J$10:$J$224),0),
IF('TL01'!$B$229=P$3,SUMIF('TL01'!$C$238:$C$451,$C242,'TL01'!$J$238:$J$451),0),
IF('TL02'!$B$3=P$3,SUMIF('TL02'!$C$10:$C$224,$C242,'TL02'!$J$10:$J$224),0),
IF('TL02'!$B$229=P$3,SUMIF('TL02'!$C$238:$C$451,$C242,'TL02'!$J$238:$J$451),0),
IF('TL03'!$B$3=P$3,SUMIF('TL03'!$C$10:$C$224,$C242,'TL03'!$J$10:$J$224),0),
IF('TL03'!$B$229=P$3,SUMIF('TL03'!$C$238:$C$451,$C242,'TL03'!$J$238:$J$451),0),
IF('TL04'!$B$3=P$3,SUMIF('TL04'!$C$10:$C$224,$C242,'TL04'!$J$10:$J$224),0),
IF('TL04'!$B$229=P$3,SUMIF('TL04'!$C$238:$C$451,$C242,'TL04'!$J$238:$J$451),0),
IF('TL05'!$B$3=P$3,SUMIF('TL05'!$C$10:$C$224,$C242,'TL05'!$J$10:$J$224),0),
IF('TL05'!$B$229=P$3,SUMIF('TL05'!$C$238:$C$451,$C242,'TL05'!$J$238:$J$451),0),
IF('TL06'!$B$3=P$3,SUMIF('TL06'!$C$10:$C$224,$C242,'TL06'!$J$10:$J$224),0),
IF('TL06'!$B$229=P$3,SUMIF('TL06'!$C$238:$C$451,$C242,'TL06'!$J$238:$J$451),0),
IF('TL07'!$B$3=P$3,SUMIF('TL07'!$C$10:$C$224,$C242,'TL07'!$J$10:$J$224),0),
IF('TL07'!$B$229=P$3,SUMIF('TL07'!$C$238:$C$451,$C242,'TL07'!$J$238:$J$451),0),
IF('TL08'!$B$3=P$3,SUMIF('TL08'!$C$10:$C$224,$C242,'TL08'!$J$10:$J$224),0),
IF('TL08'!$B$229=P$3,SUMIF('TL08'!$C$238:$C$451,$C242,'TL08'!$J$238:$J$451),0),
IF('TL09'!$B$3=P$3,SUMIF('TL09'!$C$10:$C$224,$C242,'TL09'!$J$10:$J$224),0),
IF('TL09'!$B$229=P$3,SUMIF('TL09'!$C$238:$C$451,$C242,'TL09'!$J$238:$J$451),0),
IF('TL10'!$B$3=P$3,SUMIF('TL10'!$C$10:$C$224,$C242,'TL10'!$J$10:$J$224),0),
IF('TL10'!$B$229=P$3,SUMIF('TL10'!$C$238:$C$451,$C242,'TL10'!$J$238:$J$451),0),
IF('TL11'!$B$3=P$3,SUMIF('TL11'!$C$10:$C$224,$C242,'TL11'!$J$10:$J$224),0),
IF('TL11'!$B$229=P$3,SUMIF('TL11'!$C$238:$C$451,$C242,'TL11'!$J$238:$J$451),0),
IF('TL12'!$B$3=P$3,SUMIF('TL12'!$C$10:$C$224,$C242,'TL12'!$J$10:$J$224),0),
IF('TL12'!$B$229=P$3,SUMIF('TL12'!$C$238:$C$451,$C242,'TL12'!$J$238:$J$451),0),
IF('TL13'!$B$3=P$3,SUMIF('TL13'!$C$10:$C$224,$C242,'TL13'!$J$10:$J$224),0),
IF('TL13'!$B$229=P$3,SUMIF('TL13'!$C$238:$C$451,$C242,'TL13'!$J$238:$J$451),0),
IF('TL14'!$B$3=P$3,SUMIF('TL14'!$C$10:$C$224,$C242,'TL14'!$J$10:$J$224),0),
IF('TL14'!$B$229=P$3,SUMIF('TL14'!$C$238:$C$451,$C242,'TL14'!$J$238:$J$451),0),
IF('TL15'!$B$3=P$3,SUMIF('TL15'!$C$10:$C$224,$C242,'TL15'!$J$10:$J$224),0),
IF('TL15'!$B$229=P$3,SUMIF('TL15'!$C$238:$C$451,$C242,'TL15'!$J$238:$J$451),0),
IF('TL16'!$B$3=P$3,SUMIF('TL16'!$C$10:$C$224,$C242,'TL16'!$J$10:$J$224),0),
IF('TL16'!$B$229=P$3,SUMIF('TL16'!$C$238:$C$451,$C242,'TL16'!$J$238:$J$451),0),
IF('TL17'!$B$3=P$3,SUMIF('TL17'!$C$10:$C$224,$C242,'TL17'!$J$10:$J$224),0),
IF('TL17'!$B$229=P$3,SUMIF('TL17'!$C$238:$C$451,$C242,'TL17'!$J$238:$J$451),0),
IF('TL18'!$B$3=P$3,SUMIF('TL18'!$C$10:$C$224,$C242,'TL18'!$J$10:$J$224),0),
IF('TL18'!$B$229=P$3,SUMIF('TL18'!$C$238:$C$451,$C242,'TL18'!$J$238:$J$451),0),
IF('TL19'!$B$3=P$3,SUMIF('TL19'!$C$10:$C$224,$C242,'TL19'!$J$10:$J$224),0),
IF('TL19'!$B$229=P$3,SUMIF('TL19'!$C$238:$C$451,$C242,'TL19'!$J$238:$J$451),0)
),0)</f>
        <v>0</v>
      </c>
      <c r="Q242" s="9">
        <f>IFERROR(SUM(
IF('TL01'!$B$3=Q$3,SUMIF('TL01'!$C$10:$C$224,$C242,'TL01'!$J$10:$J$224),0),
IF('TL01'!$B$229=Q$3,SUMIF('TL01'!$C$238:$C$451,$C242,'TL01'!$J$238:$J$451),0),
IF('TL02'!$B$3=Q$3,SUMIF('TL02'!$C$10:$C$224,$C242,'TL02'!$J$10:$J$224),0),
IF('TL02'!$B$229=Q$3,SUMIF('TL02'!$C$238:$C$451,$C242,'TL02'!$J$238:$J$451),0),
IF('TL03'!$B$3=Q$3,SUMIF('TL03'!$C$10:$C$224,$C242,'TL03'!$J$10:$J$224),0),
IF('TL03'!$B$229=Q$3,SUMIF('TL03'!$C$238:$C$451,$C242,'TL03'!$J$238:$J$451),0),
IF('TL04'!$B$3=Q$3,SUMIF('TL04'!$C$10:$C$224,$C242,'TL04'!$J$10:$J$224),0),
IF('TL04'!$B$229=Q$3,SUMIF('TL04'!$C$238:$C$451,$C242,'TL04'!$J$238:$J$451),0),
IF('TL05'!$B$3=Q$3,SUMIF('TL05'!$C$10:$C$224,$C242,'TL05'!$J$10:$J$224),0),
IF('TL05'!$B$229=Q$3,SUMIF('TL05'!$C$238:$C$451,$C242,'TL05'!$J$238:$J$451),0),
IF('TL06'!$B$3=Q$3,SUMIF('TL06'!$C$10:$C$224,$C242,'TL06'!$J$10:$J$224),0),
IF('TL06'!$B$229=Q$3,SUMIF('TL06'!$C$238:$C$451,$C242,'TL06'!$J$238:$J$451),0),
IF('TL07'!$B$3=Q$3,SUMIF('TL07'!$C$10:$C$224,$C242,'TL07'!$J$10:$J$224),0),
IF('TL07'!$B$229=Q$3,SUMIF('TL07'!$C$238:$C$451,$C242,'TL07'!$J$238:$J$451),0),
IF('TL08'!$B$3=Q$3,SUMIF('TL08'!$C$10:$C$224,$C242,'TL08'!$J$10:$J$224),0),
IF('TL08'!$B$229=Q$3,SUMIF('TL08'!$C$238:$C$451,$C242,'TL08'!$J$238:$J$451),0),
IF('TL09'!$B$3=Q$3,SUMIF('TL09'!$C$10:$C$224,$C242,'TL09'!$J$10:$J$224),0),
IF('TL09'!$B$229=Q$3,SUMIF('TL09'!$C$238:$C$451,$C242,'TL09'!$J$238:$J$451),0),
IF('TL10'!$B$3=Q$3,SUMIF('TL10'!$C$10:$C$224,$C242,'TL10'!$J$10:$J$224),0),
IF('TL10'!$B$229=Q$3,SUMIF('TL10'!$C$238:$C$451,$C242,'TL10'!$J$238:$J$451),0),
IF('TL11'!$B$3=Q$3,SUMIF('TL11'!$C$10:$C$224,$C242,'TL11'!$J$10:$J$224),0),
IF('TL11'!$B$229=Q$3,SUMIF('TL11'!$C$238:$C$451,$C242,'TL11'!$J$238:$J$451),0),
IF('TL12'!$B$3=Q$3,SUMIF('TL12'!$C$10:$C$224,$C242,'TL12'!$J$10:$J$224),0),
IF('TL12'!$B$229=Q$3,SUMIF('TL12'!$C$238:$C$451,$C242,'TL12'!$J$238:$J$451),0),
IF('TL13'!$B$3=Q$3,SUMIF('TL13'!$C$10:$C$224,$C242,'TL13'!$J$10:$J$224),0),
IF('TL13'!$B$229=Q$3,SUMIF('TL13'!$C$238:$C$451,$C242,'TL13'!$J$238:$J$451),0),
IF('TL14'!$B$3=Q$3,SUMIF('TL14'!$C$10:$C$224,$C242,'TL14'!$J$10:$J$224),0),
IF('TL14'!$B$229=Q$3,SUMIF('TL14'!$C$238:$C$451,$C242,'TL14'!$J$238:$J$451),0),
IF('TL15'!$B$3=Q$3,SUMIF('TL15'!$C$10:$C$224,$C242,'TL15'!$J$10:$J$224),0),
IF('TL15'!$B$229=Q$3,SUMIF('TL15'!$C$238:$C$451,$C242,'TL15'!$J$238:$J$451),0),
IF('TL16'!$B$3=Q$3,SUMIF('TL16'!$C$10:$C$224,$C242,'TL16'!$J$10:$J$224),0),
IF('TL16'!$B$229=Q$3,SUMIF('TL16'!$C$238:$C$451,$C242,'TL16'!$J$238:$J$451),0),
IF('TL17'!$B$3=Q$3,SUMIF('TL17'!$C$10:$C$224,$C242,'TL17'!$J$10:$J$224),0),
IF('TL17'!$B$229=Q$3,SUMIF('TL17'!$C$238:$C$451,$C242,'TL17'!$J$238:$J$451),0),
IF('TL18'!$B$3=Q$3,SUMIF('TL18'!$C$10:$C$224,$C242,'TL18'!$J$10:$J$224),0),
IF('TL18'!$B$229=Q$3,SUMIF('TL18'!$C$238:$C$451,$C242,'TL18'!$J$238:$J$451),0),
IF('TL19'!$B$3=Q$3,SUMIF('TL19'!$C$10:$C$224,$C242,'TL19'!$J$10:$J$224),0),
IF('TL19'!$B$229=Q$3,SUMIF('TL19'!$C$238:$C$451,$C242,'TL19'!$J$238:$J$451),0)
),0)</f>
        <v>0</v>
      </c>
      <c r="R242" s="9">
        <f>IFERROR(
SUM(
SUMIF('TL01'!C:C,C242,'TL01'!J:J),
SUMIF('TL02'!C:C,C242,'TL02'!J:J),
SUMIF('TL03'!C:C,C242,'TL03'!J:J),
SUMIF('TL04'!C:C,C242,'TL04'!J:J),
SUMIF('TL05'!C:C,C242,'TL05'!J:J),
SUMIF('TL06'!C:C,C242,'TL06'!J:J),
SUMIF('TL07'!C:C,C242,'TL07'!J:J),
SUMIF('TL08'!C:C,C242,'TL08'!J:J),
SUMIF('TL09'!C:C,C242,'TL09'!J:J),
SUMIF('TL10'!C:C,C242,'TL10'!J:J),
SUMIF('TL11'!C:C,C242,'TL11'!J:J),
SUMIF('TL12'!C:C,C242,'TL12'!J:J),
SUMIF('TL13'!C:C,C242,'TL13'!J:J),
SUMIF('TL14'!C:C,C242,'TL14'!J:J),
SUMIF('TL15'!C:C,C242,'TL15'!J:J),
SUMIF('TL16'!C:C,C242,'TL16'!J:J),
SUMIF('TL17'!C:C,C242,'TL17'!J:J),
SUMIF('TL18'!C:C,C242,'TL18'!J:J),SUMIF('TL19'!C:C,C242,'TL19'!J:J))
,0)</f>
        <v>0</v>
      </c>
      <c r="S242" s="17">
        <f>IFERROR(__xludf.DUMMYFUNCTION("IFERROR(VLOOKUP(C242,
IMPORTRANGE(""1wULbzX32WdYsx-lj2U3uUNBBe2INVIRDtcK0d-Dvl90"",
""26-27!C:G""),
5,
FALSE),
"""")"),0.0)</f>
        <v>0</v>
      </c>
      <c r="T242" s="9"/>
      <c r="U242" s="92">
        <f t="shared" si="2"/>
        <v>0</v>
      </c>
      <c r="V242" s="93">
        <f t="shared" si="3"/>
        <v>0</v>
      </c>
    </row>
    <row r="243" ht="15.75" hidden="1" customHeight="1">
      <c r="A243" s="122" t="s">
        <v>350</v>
      </c>
      <c r="B243" s="120" t="s">
        <v>900</v>
      </c>
      <c r="C243" s="122" t="s">
        <v>903</v>
      </c>
      <c r="D243" s="122" t="s">
        <v>904</v>
      </c>
      <c r="E243" s="122" t="s">
        <v>905</v>
      </c>
      <c r="F243" s="4"/>
      <c r="G243" s="90" t="str">
        <f t="shared" si="4"/>
        <v>📄 Ver bula</v>
      </c>
      <c r="H243" s="9" t="str">
        <f>IFERROR(__xludf.DUMMYFUNCTION("IFERROR(VLOOKUP(C243,
IMPORTRANGE(""1wULbzX32WdYsx-lj2U3uUNBBe2INVIRDtcK0d-Dvl90"",
""26-27!C:K""),
8,
FALSE),
"""")"),"")</f>
        <v/>
      </c>
      <c r="I243" s="123" t="s">
        <v>344</v>
      </c>
      <c r="J243" s="9">
        <f>IFERROR(SUM(
IF('TL01'!$B$3=J$3,SUMIF('TL01'!$C$10:$C$224,$C243,'TL01'!$J$10:$J$224),0),
IF('TL01'!$B$229=J$3,SUMIF('TL01'!$C$238:$C$451,$C243,'TL01'!$J$238:$J$451),0),
IF('TL02'!$B$3=J$3,SUMIF('TL02'!$C$10:$C$224,$C243,'TL02'!$J$10:$J$224),0),
IF('TL02'!$B$229=J$3,SUMIF('TL02'!$C$238:$C$451,$C243,'TL02'!$J$238:$J$451),0),
IF('TL03'!$B$3=J$3,SUMIF('TL03'!$C$10:$C$224,$C243,'TL03'!$J$10:$J$224),0),
IF('TL03'!$B$229=J$3,SUMIF('TL03'!$C$238:$C$451,$C243,'TL03'!$J$238:$J$451),0),
IF('TL04'!$B$3=J$3,SUMIF('TL04'!$C$10:$C$224,$C243,'TL04'!$J$10:$J$224),0),
IF('TL04'!$B$229=J$3,SUMIF('TL04'!$C$238:$C$451,$C243,'TL04'!$J$238:$J$451),0),
IF('TL05'!$B$3=J$3,SUMIF('TL05'!$C$10:$C$224,$C243,'TL05'!$J$10:$J$224),0),
IF('TL05'!$B$229=J$3,SUMIF('TL05'!$C$238:$C$451,$C243,'TL05'!$J$238:$J$451),0),
IF('TL06'!$B$3=J$3,SUMIF('TL06'!$C$10:$C$224,$C243,'TL06'!$J$10:$J$224),0),
IF('TL06'!$B$229=J$3,SUMIF('TL06'!$C$238:$C$451,$C243,'TL06'!$J$238:$J$451),0),
IF('TL07'!$B$3=J$3,SUMIF('TL07'!$C$10:$C$224,$C243,'TL07'!$J$10:$J$224),0),
IF('TL07'!$B$229=J$3,SUMIF('TL07'!$C$238:$C$451,$C243,'TL07'!$J$238:$J$451),0),
IF('TL08'!$B$3=J$3,SUMIF('TL08'!$C$10:$C$224,$C243,'TL08'!$J$10:$J$224),0),
IF('TL08'!$B$229=J$3,SUMIF('TL08'!$C$238:$C$451,$C243,'TL08'!$J$238:$J$451),0),
IF('TL09'!$B$3=J$3,SUMIF('TL09'!$C$10:$C$224,$C243,'TL09'!$J$10:$J$224),0),
IF('TL09'!$B$229=J$3,SUMIF('TL09'!$C$238:$C$451,$C243,'TL09'!$J$238:$J$451),0),
IF('TL10'!$B$3=J$3,SUMIF('TL10'!$C$10:$C$224,$C243,'TL10'!$J$10:$J$224),0),
IF('TL10'!$B$229=J$3,SUMIF('TL10'!$C$238:$C$451,$C243,'TL10'!$J$238:$J$451),0),
IF('TL11'!$B$3=J$3,SUMIF('TL11'!$C$10:$C$224,$C243,'TL11'!$J$10:$J$224),0),
IF('TL11'!$B$229=J$3,SUMIF('TL11'!$C$238:$C$451,$C243,'TL11'!$J$238:$J$451),0),
IF('TL12'!$B$3=J$3,SUMIF('TL12'!$C$10:$C$224,$C243,'TL12'!$J$10:$J$224),0),
IF('TL12'!$B$229=J$3,SUMIF('TL12'!$C$238:$C$451,$C243,'TL12'!$J$238:$J$451),0),
IF('TL13'!$B$3=J$3,SUMIF('TL13'!$C$10:$C$224,$C243,'TL13'!$J$10:$J$224),0),
IF('TL13'!$B$229=J$3,SUMIF('TL13'!$C$238:$C$451,$C243,'TL13'!$J$238:$J$451),0),
IF('TL14'!$B$3=J$3,SUMIF('TL14'!$C$10:$C$224,$C243,'TL14'!$J$10:$J$224),0),
IF('TL14'!$B$229=J$3,SUMIF('TL14'!$C$238:$C$451,$C243,'TL14'!$J$238:$J$451),0),
IF('TL15'!$B$3=J$3,SUMIF('TL15'!$C$10:$C$224,$C243,'TL15'!$J$10:$J$224),0),
IF('TL15'!$B$229=J$3,SUMIF('TL15'!$C$238:$C$451,$C243,'TL15'!$J$238:$J$451),0),
IF('TL16'!$B$3=J$3,SUMIF('TL16'!$C$10:$C$224,$C243,'TL16'!$J$10:$J$224),0),
IF('TL16'!$B$229=J$3,SUMIF('TL16'!$C$238:$C$451,$C243,'TL16'!$J$238:$J$451),0),
IF('TL17'!$B$3=J$3,SUMIF('TL17'!$C$10:$C$224,$C243,'TL17'!$J$10:$J$224),0),
IF('TL17'!$B$229=J$3,SUMIF('TL17'!$C$238:$C$451,$C243,'TL17'!$J$238:$J$451),0),
IF('TL18'!$B$3=J$3,SUMIF('TL18'!$C$10:$C$224,$C243,'TL18'!$J$10:$J$224),0),
IF('TL18'!$B$229=J$3,SUMIF('TL18'!$C$238:$C$451,$C243,'TL18'!$J$238:$J$451),0),
IF('TL19'!$B$3=J$3,SUMIF('TL19'!$C$10:$C$224,$C243,'TL19'!$J$10:$J$224),0),
IF('TL19'!$B$229=J$3,SUMIF('TL19'!$C$238:$C$451,$C243,'TL19'!$J$238:$J$451),0)
),0)</f>
        <v>0</v>
      </c>
      <c r="K243" s="9">
        <f>IFERROR(SUM(
IF('TL01'!$B$3=K$3,SUMIF('TL01'!$C$10:$C$224,$C243,'TL01'!$J$10:$J$224),0),
IF('TL01'!$B$229=K$3,SUMIF('TL01'!$C$238:$C$451,$C243,'TL01'!$J$238:$J$451),0),
IF('TL02'!$B$3=K$3,SUMIF('TL02'!$C$10:$C$224,$C243,'TL02'!$J$10:$J$224),0),
IF('TL02'!$B$229=K$3,SUMIF('TL02'!$C$238:$C$451,$C243,'TL02'!$J$238:$J$451),0),
IF('TL03'!$B$3=K$3,SUMIF('TL03'!$C$10:$C$224,$C243,'TL03'!$J$10:$J$224),0),
IF('TL03'!$B$229=K$3,SUMIF('TL03'!$C$238:$C$451,$C243,'TL03'!$J$238:$J$451),0),
IF('TL04'!$B$3=K$3,SUMIF('TL04'!$C$10:$C$224,$C243,'TL04'!$J$10:$J$224),0),
IF('TL04'!$B$229=K$3,SUMIF('TL04'!$C$238:$C$451,$C243,'TL04'!$J$238:$J$451),0),
IF('TL05'!$B$3=K$3,SUMIF('TL05'!$C$10:$C$224,$C243,'TL05'!$J$10:$J$224),0),
IF('TL05'!$B$229=K$3,SUMIF('TL05'!$C$238:$C$451,$C243,'TL05'!$J$238:$J$451),0),
IF('TL06'!$B$3=K$3,SUMIF('TL06'!$C$10:$C$224,$C243,'TL06'!$J$10:$J$224),0),
IF('TL06'!$B$229=K$3,SUMIF('TL06'!$C$238:$C$451,$C243,'TL06'!$J$238:$J$451),0),
IF('TL07'!$B$3=K$3,SUMIF('TL07'!$C$10:$C$224,$C243,'TL07'!$J$10:$J$224),0),
IF('TL07'!$B$229=K$3,SUMIF('TL07'!$C$238:$C$451,$C243,'TL07'!$J$238:$J$451),0),
IF('TL08'!$B$3=K$3,SUMIF('TL08'!$C$10:$C$224,$C243,'TL08'!$J$10:$J$224),0),
IF('TL08'!$B$229=K$3,SUMIF('TL08'!$C$238:$C$451,$C243,'TL08'!$J$238:$J$451),0),
IF('TL09'!$B$3=K$3,SUMIF('TL09'!$C$10:$C$224,$C243,'TL09'!$J$10:$J$224),0),
IF('TL09'!$B$229=K$3,SUMIF('TL09'!$C$238:$C$451,$C243,'TL09'!$J$238:$J$451),0),
IF('TL10'!$B$3=K$3,SUMIF('TL10'!$C$10:$C$224,$C243,'TL10'!$J$10:$J$224),0),
IF('TL10'!$B$229=K$3,SUMIF('TL10'!$C$238:$C$451,$C243,'TL10'!$J$238:$J$451),0),
IF('TL11'!$B$3=K$3,SUMIF('TL11'!$C$10:$C$224,$C243,'TL11'!$J$10:$J$224),0),
IF('TL11'!$B$229=K$3,SUMIF('TL11'!$C$238:$C$451,$C243,'TL11'!$J$238:$J$451),0),
IF('TL12'!$B$3=K$3,SUMIF('TL12'!$C$10:$C$224,$C243,'TL12'!$J$10:$J$224),0),
IF('TL12'!$B$229=K$3,SUMIF('TL12'!$C$238:$C$451,$C243,'TL12'!$J$238:$J$451),0),
IF('TL13'!$B$3=K$3,SUMIF('TL13'!$C$10:$C$224,$C243,'TL13'!$J$10:$J$224),0),
IF('TL13'!$B$229=K$3,SUMIF('TL13'!$C$238:$C$451,$C243,'TL13'!$J$238:$J$451),0),
IF('TL14'!$B$3=K$3,SUMIF('TL14'!$C$10:$C$224,$C243,'TL14'!$J$10:$J$224),0),
IF('TL14'!$B$229=K$3,SUMIF('TL14'!$C$238:$C$451,$C243,'TL14'!$J$238:$J$451),0),
IF('TL15'!$B$3=K$3,SUMIF('TL15'!$C$10:$C$224,$C243,'TL15'!$J$10:$J$224),0),
IF('TL15'!$B$229=K$3,SUMIF('TL15'!$C$238:$C$451,$C243,'TL15'!$J$238:$J$451),0),
IF('TL16'!$B$3=K$3,SUMIF('TL16'!$C$10:$C$224,$C243,'TL16'!$J$10:$J$224),0),
IF('TL16'!$B$229=K$3,SUMIF('TL16'!$C$238:$C$451,$C243,'TL16'!$J$238:$J$451),0),
IF('TL17'!$B$3=K$3,SUMIF('TL17'!$C$10:$C$224,$C243,'TL17'!$J$10:$J$224),0),
IF('TL17'!$B$229=K$3,SUMIF('TL17'!$C$238:$C$451,$C243,'TL17'!$J$238:$J$451),0),
IF('TL18'!$B$3=K$3,SUMIF('TL18'!$C$10:$C$224,$C243,'TL18'!$J$10:$J$224),0),
IF('TL18'!$B$229=K$3,SUMIF('TL18'!$C$238:$C$451,$C243,'TL18'!$J$238:$J$451),0),
IF('TL19'!$B$3=K$3,SUMIF('TL19'!$C$10:$C$224,$C243,'TL19'!$J$10:$J$224),0),
IF('TL19'!$B$229=K$3,SUMIF('TL19'!$C$238:$C$451,$C243,'TL19'!$J$238:$J$451),0)
),0)</f>
        <v>0</v>
      </c>
      <c r="L243" s="9">
        <f>IFERROR(SUM(
IF('TL01'!$B$3=L$3,SUMIF('TL01'!$C$10:$C$224,$C243,'TL01'!$J$10:$J$224),0),
IF('TL01'!$B$229=L$3,SUMIF('TL01'!$C$238:$C$451,$C243,'TL01'!$J$238:$J$451),0),
IF('TL02'!$B$3=L$3,SUMIF('TL02'!$C$10:$C$224,$C243,'TL02'!$J$10:$J$224),0),
IF('TL02'!$B$229=L$3,SUMIF('TL02'!$C$238:$C$451,$C243,'TL02'!$J$238:$J$451),0),
IF('TL03'!$B$3=L$3,SUMIF('TL03'!$C$10:$C$224,$C243,'TL03'!$J$10:$J$224),0),
IF('TL03'!$B$229=L$3,SUMIF('TL03'!$C$238:$C$451,$C243,'TL03'!$J$238:$J$451),0),
IF('TL04'!$B$3=L$3,SUMIF('TL04'!$C$10:$C$224,$C243,'TL04'!$J$10:$J$224),0),
IF('TL04'!$B$229=L$3,SUMIF('TL04'!$C$238:$C$451,$C243,'TL04'!$J$238:$J$451),0),
IF('TL05'!$B$3=L$3,SUMIF('TL05'!$C$10:$C$224,$C243,'TL05'!$J$10:$J$224),0),
IF('TL05'!$B$229=L$3,SUMIF('TL05'!$C$238:$C$451,$C243,'TL05'!$J$238:$J$451),0),
IF('TL06'!$B$3=L$3,SUMIF('TL06'!$C$10:$C$224,$C243,'TL06'!$J$10:$J$224),0),
IF('TL06'!$B$229=L$3,SUMIF('TL06'!$C$238:$C$451,$C243,'TL06'!$J$238:$J$451),0),
IF('TL07'!$B$3=L$3,SUMIF('TL07'!$C$10:$C$224,$C243,'TL07'!$J$10:$J$224),0),
IF('TL07'!$B$229=L$3,SUMIF('TL07'!$C$238:$C$451,$C243,'TL07'!$J$238:$J$451),0),
IF('TL08'!$B$3=L$3,SUMIF('TL08'!$C$10:$C$224,$C243,'TL08'!$J$10:$J$224),0),
IF('TL08'!$B$229=L$3,SUMIF('TL08'!$C$238:$C$451,$C243,'TL08'!$J$238:$J$451),0),
IF('TL09'!$B$3=L$3,SUMIF('TL09'!$C$10:$C$224,$C243,'TL09'!$J$10:$J$224),0),
IF('TL09'!$B$229=L$3,SUMIF('TL09'!$C$238:$C$451,$C243,'TL09'!$J$238:$J$451),0),
IF('TL10'!$B$3=L$3,SUMIF('TL10'!$C$10:$C$224,$C243,'TL10'!$J$10:$J$224),0),
IF('TL10'!$B$229=L$3,SUMIF('TL10'!$C$238:$C$451,$C243,'TL10'!$J$238:$J$451),0),
IF('TL11'!$B$3=L$3,SUMIF('TL11'!$C$10:$C$224,$C243,'TL11'!$J$10:$J$224),0),
IF('TL11'!$B$229=L$3,SUMIF('TL11'!$C$238:$C$451,$C243,'TL11'!$J$238:$J$451),0),
IF('TL12'!$B$3=L$3,SUMIF('TL12'!$C$10:$C$224,$C243,'TL12'!$J$10:$J$224),0),
IF('TL12'!$B$229=L$3,SUMIF('TL12'!$C$238:$C$451,$C243,'TL12'!$J$238:$J$451),0),
IF('TL13'!$B$3=L$3,SUMIF('TL13'!$C$10:$C$224,$C243,'TL13'!$J$10:$J$224),0),
IF('TL13'!$B$229=L$3,SUMIF('TL13'!$C$238:$C$451,$C243,'TL13'!$J$238:$J$451),0),
IF('TL14'!$B$3=L$3,SUMIF('TL14'!$C$10:$C$224,$C243,'TL14'!$J$10:$J$224),0),
IF('TL14'!$B$229=L$3,SUMIF('TL14'!$C$238:$C$451,$C243,'TL14'!$J$238:$J$451),0),
IF('TL15'!$B$3=L$3,SUMIF('TL15'!$C$10:$C$224,$C243,'TL15'!$J$10:$J$224),0),
IF('TL15'!$B$229=L$3,SUMIF('TL15'!$C$238:$C$451,$C243,'TL15'!$J$238:$J$451),0),
IF('TL16'!$B$3=L$3,SUMIF('TL16'!$C$10:$C$224,$C243,'TL16'!$J$10:$J$224),0),
IF('TL16'!$B$229=L$3,SUMIF('TL16'!$C$238:$C$451,$C243,'TL16'!$J$238:$J$451),0),
IF('TL17'!$B$3=L$3,SUMIF('TL17'!$C$10:$C$224,$C243,'TL17'!$J$10:$J$224),0),
IF('TL17'!$B$229=L$3,SUMIF('TL17'!$C$238:$C$451,$C243,'TL17'!$J$238:$J$451),0),
IF('TL18'!$B$3=L$3,SUMIF('TL18'!$C$10:$C$224,$C243,'TL18'!$J$10:$J$224),0),
IF('TL18'!$B$229=L$3,SUMIF('TL18'!$C$238:$C$451,$C243,'TL18'!$J$238:$J$451),0),
IF('TL19'!$B$3=L$3,SUMIF('TL19'!$C$10:$C$224,$C243,'TL19'!$J$10:$J$224),0),
IF('TL19'!$B$229=L$3,SUMIF('TL19'!$C$238:$C$451,$C243,'TL19'!$J$238:$J$451),0)
),0)</f>
        <v>0</v>
      </c>
      <c r="M243" s="9">
        <f>IFERROR(SUM(
IF('TL01'!$B$3=M$3,SUMIF('TL01'!$C$10:$C$224,$C243,'TL01'!$J$10:$J$224),0),
IF('TL01'!$B$229=M$3,SUMIF('TL01'!$C$238:$C$451,$C243,'TL01'!$J$238:$J$451),0),
IF('TL02'!$B$3=M$3,SUMIF('TL02'!$C$10:$C$224,$C243,'TL02'!$J$10:$J$224),0),
IF('TL02'!$B$229=M$3,SUMIF('TL02'!$C$238:$C$451,$C243,'TL02'!$J$238:$J$451),0),
IF('TL03'!$B$3=M$3,SUMIF('TL03'!$C$10:$C$224,$C243,'TL03'!$J$10:$J$224),0),
IF('TL03'!$B$229=M$3,SUMIF('TL03'!$C$238:$C$451,$C243,'TL03'!$J$238:$J$451),0),
IF('TL04'!$B$3=M$3,SUMIF('TL04'!$C$10:$C$224,$C243,'TL04'!$J$10:$J$224),0),
IF('TL04'!$B$229=M$3,SUMIF('TL04'!$C$238:$C$451,$C243,'TL04'!$J$238:$J$451),0),
IF('TL05'!$B$3=M$3,SUMIF('TL05'!$C$10:$C$224,$C243,'TL05'!$J$10:$J$224),0),
IF('TL05'!$B$229=M$3,SUMIF('TL05'!$C$238:$C$451,$C243,'TL05'!$J$238:$J$451),0),
IF('TL06'!$B$3=M$3,SUMIF('TL06'!$C$10:$C$224,$C243,'TL06'!$J$10:$J$224),0),
IF('TL06'!$B$229=M$3,SUMIF('TL06'!$C$238:$C$451,$C243,'TL06'!$J$238:$J$451),0),
IF('TL07'!$B$3=M$3,SUMIF('TL07'!$C$10:$C$224,$C243,'TL07'!$J$10:$J$224),0),
IF('TL07'!$B$229=M$3,SUMIF('TL07'!$C$238:$C$451,$C243,'TL07'!$J$238:$J$451),0),
IF('TL08'!$B$3=M$3,SUMIF('TL08'!$C$10:$C$224,$C243,'TL08'!$J$10:$J$224),0),
IF('TL08'!$B$229=M$3,SUMIF('TL08'!$C$238:$C$451,$C243,'TL08'!$J$238:$J$451),0),
IF('TL09'!$B$3=M$3,SUMIF('TL09'!$C$10:$C$224,$C243,'TL09'!$J$10:$J$224),0),
IF('TL09'!$B$229=M$3,SUMIF('TL09'!$C$238:$C$451,$C243,'TL09'!$J$238:$J$451),0),
IF('TL10'!$B$3=M$3,SUMIF('TL10'!$C$10:$C$224,$C243,'TL10'!$J$10:$J$224),0),
IF('TL10'!$B$229=M$3,SUMIF('TL10'!$C$238:$C$451,$C243,'TL10'!$J$238:$J$451),0),
IF('TL11'!$B$3=M$3,SUMIF('TL11'!$C$10:$C$224,$C243,'TL11'!$J$10:$J$224),0),
IF('TL11'!$B$229=M$3,SUMIF('TL11'!$C$238:$C$451,$C243,'TL11'!$J$238:$J$451),0),
IF('TL12'!$B$3=M$3,SUMIF('TL12'!$C$10:$C$224,$C243,'TL12'!$J$10:$J$224),0),
IF('TL12'!$B$229=M$3,SUMIF('TL12'!$C$238:$C$451,$C243,'TL12'!$J$238:$J$451),0),
IF('TL13'!$B$3=M$3,SUMIF('TL13'!$C$10:$C$224,$C243,'TL13'!$J$10:$J$224),0),
IF('TL13'!$B$229=M$3,SUMIF('TL13'!$C$238:$C$451,$C243,'TL13'!$J$238:$J$451),0),
IF('TL14'!$B$3=M$3,SUMIF('TL14'!$C$10:$C$224,$C243,'TL14'!$J$10:$J$224),0),
IF('TL14'!$B$229=M$3,SUMIF('TL14'!$C$238:$C$451,$C243,'TL14'!$J$238:$J$451),0),
IF('TL15'!$B$3=M$3,SUMIF('TL15'!$C$10:$C$224,$C243,'TL15'!$J$10:$J$224),0),
IF('TL15'!$B$229=M$3,SUMIF('TL15'!$C$238:$C$451,$C243,'TL15'!$J$238:$J$451),0),
IF('TL16'!$B$3=M$3,SUMIF('TL16'!$C$10:$C$224,$C243,'TL16'!$J$10:$J$224),0),
IF('TL16'!$B$229=M$3,SUMIF('TL16'!$C$238:$C$451,$C243,'TL16'!$J$238:$J$451),0),
IF('TL17'!$B$3=M$3,SUMIF('TL17'!$C$10:$C$224,$C243,'TL17'!$J$10:$J$224),0),
IF('TL17'!$B$229=M$3,SUMIF('TL17'!$C$238:$C$451,$C243,'TL17'!$J$238:$J$451),0),
IF('TL18'!$B$3=M$3,SUMIF('TL18'!$C$10:$C$224,$C243,'TL18'!$J$10:$J$224),0),
IF('TL18'!$B$229=M$3,SUMIF('TL18'!$C$238:$C$451,$C243,'TL18'!$J$238:$J$451),0),
IF('TL19'!$B$3=M$3,SUMIF('TL19'!$C$10:$C$224,$C243,'TL19'!$J$10:$J$224),0),
IF('TL19'!$B$229=M$3,SUMIF('TL19'!$C$238:$C$451,$C243,'TL19'!$J$238:$J$451),0)
),0)</f>
        <v>0</v>
      </c>
      <c r="N243" s="9">
        <f>IFERROR(SUM(
IF('TL01'!$B$3=N$3,SUMIF('TL01'!$C$10:$C$224,$C243,'TL01'!$J$10:$J$224),0),
IF('TL01'!$B$229=N$3,SUMIF('TL01'!$C$238:$C$451,$C243,'TL01'!$J$238:$J$451),0),
IF('TL02'!$B$3=N$3,SUMIF('TL02'!$C$10:$C$224,$C243,'TL02'!$J$10:$J$224),0),
IF('TL02'!$B$229=N$3,SUMIF('TL02'!$C$238:$C$451,$C243,'TL02'!$J$238:$J$451),0),
IF('TL03'!$B$3=N$3,SUMIF('TL03'!$C$10:$C$224,$C243,'TL03'!$J$10:$J$224),0),
IF('TL03'!$B$229=N$3,SUMIF('TL03'!$C$238:$C$451,$C243,'TL03'!$J$238:$J$451),0),
IF('TL04'!$B$3=N$3,SUMIF('TL04'!$C$10:$C$224,$C243,'TL04'!$J$10:$J$224),0),
IF('TL04'!$B$229=N$3,SUMIF('TL04'!$C$238:$C$451,$C243,'TL04'!$J$238:$J$451),0),
IF('TL05'!$B$3=N$3,SUMIF('TL05'!$C$10:$C$224,$C243,'TL05'!$J$10:$J$224),0),
IF('TL05'!$B$229=N$3,SUMIF('TL05'!$C$238:$C$451,$C243,'TL05'!$J$238:$J$451),0),
IF('TL06'!$B$3=N$3,SUMIF('TL06'!$C$10:$C$224,$C243,'TL06'!$J$10:$J$224),0),
IF('TL06'!$B$229=N$3,SUMIF('TL06'!$C$238:$C$451,$C243,'TL06'!$J$238:$J$451),0),
IF('TL07'!$B$3=N$3,SUMIF('TL07'!$C$10:$C$224,$C243,'TL07'!$J$10:$J$224),0),
IF('TL07'!$B$229=N$3,SUMIF('TL07'!$C$238:$C$451,$C243,'TL07'!$J$238:$J$451),0),
IF('TL08'!$B$3=N$3,SUMIF('TL08'!$C$10:$C$224,$C243,'TL08'!$J$10:$J$224),0),
IF('TL08'!$B$229=N$3,SUMIF('TL08'!$C$238:$C$451,$C243,'TL08'!$J$238:$J$451),0),
IF('TL09'!$B$3=N$3,SUMIF('TL09'!$C$10:$C$224,$C243,'TL09'!$J$10:$J$224),0),
IF('TL09'!$B$229=N$3,SUMIF('TL09'!$C$238:$C$451,$C243,'TL09'!$J$238:$J$451),0),
IF('TL10'!$B$3=N$3,SUMIF('TL10'!$C$10:$C$224,$C243,'TL10'!$J$10:$J$224),0),
IF('TL10'!$B$229=N$3,SUMIF('TL10'!$C$238:$C$451,$C243,'TL10'!$J$238:$J$451),0),
IF('TL11'!$B$3=N$3,SUMIF('TL11'!$C$10:$C$224,$C243,'TL11'!$J$10:$J$224),0),
IF('TL11'!$B$229=N$3,SUMIF('TL11'!$C$238:$C$451,$C243,'TL11'!$J$238:$J$451),0),
IF('TL12'!$B$3=N$3,SUMIF('TL12'!$C$10:$C$224,$C243,'TL12'!$J$10:$J$224),0),
IF('TL12'!$B$229=N$3,SUMIF('TL12'!$C$238:$C$451,$C243,'TL12'!$J$238:$J$451),0),
IF('TL13'!$B$3=N$3,SUMIF('TL13'!$C$10:$C$224,$C243,'TL13'!$J$10:$J$224),0),
IF('TL13'!$B$229=N$3,SUMIF('TL13'!$C$238:$C$451,$C243,'TL13'!$J$238:$J$451),0),
IF('TL14'!$B$3=N$3,SUMIF('TL14'!$C$10:$C$224,$C243,'TL14'!$J$10:$J$224),0),
IF('TL14'!$B$229=N$3,SUMIF('TL14'!$C$238:$C$451,$C243,'TL14'!$J$238:$J$451),0),
IF('TL15'!$B$3=N$3,SUMIF('TL15'!$C$10:$C$224,$C243,'TL15'!$J$10:$J$224),0),
IF('TL15'!$B$229=N$3,SUMIF('TL15'!$C$238:$C$451,$C243,'TL15'!$J$238:$J$451),0),
IF('TL16'!$B$3=N$3,SUMIF('TL16'!$C$10:$C$224,$C243,'TL16'!$J$10:$J$224),0),
IF('TL16'!$B$229=N$3,SUMIF('TL16'!$C$238:$C$451,$C243,'TL16'!$J$238:$J$451),0),
IF('TL17'!$B$3=N$3,SUMIF('TL17'!$C$10:$C$224,$C243,'TL17'!$J$10:$J$224),0),
IF('TL17'!$B$229=N$3,SUMIF('TL17'!$C$238:$C$451,$C243,'TL17'!$J$238:$J$451),0),
IF('TL18'!$B$3=N$3,SUMIF('TL18'!$C$10:$C$224,$C243,'TL18'!$J$10:$J$224),0),
IF('TL18'!$B$229=N$3,SUMIF('TL18'!$C$238:$C$451,$C243,'TL18'!$J$238:$J$451),0),
IF('TL19'!$B$3=N$3,SUMIF('TL19'!$C$10:$C$224,$C243,'TL19'!$J$10:$J$224),0),
IF('TL19'!$B$229=N$3,SUMIF('TL19'!$C$238:$C$451,$C243,'TL19'!$J$238:$J$451),0)
),0)</f>
        <v>0</v>
      </c>
      <c r="O243" s="9">
        <f>IFERROR(SUM(
IF('TL01'!$B$3=O$3,SUMIF('TL01'!$C$10:$C$224,$C243,'TL01'!$J$10:$J$224),0),
IF('TL01'!$B$229=O$3,SUMIF('TL01'!$C$238:$C$451,$C243,'TL01'!$J$238:$J$451),0),
IF('TL02'!$B$3=O$3,SUMIF('TL02'!$C$10:$C$224,$C243,'TL02'!$J$10:$J$224),0),
IF('TL02'!$B$229=O$3,SUMIF('TL02'!$C$238:$C$451,$C243,'TL02'!$J$238:$J$451),0),
IF('TL03'!$B$3=O$3,SUMIF('TL03'!$C$10:$C$224,$C243,'TL03'!$J$10:$J$224),0),
IF('TL03'!$B$229=O$3,SUMIF('TL03'!$C$238:$C$451,$C243,'TL03'!$J$238:$J$451),0),
IF('TL04'!$B$3=O$3,SUMIF('TL04'!$C$10:$C$224,$C243,'TL04'!$J$10:$J$224),0),
IF('TL04'!$B$229=O$3,SUMIF('TL04'!$C$238:$C$451,$C243,'TL04'!$J$238:$J$451),0),
IF('TL05'!$B$3=O$3,SUMIF('TL05'!$C$10:$C$224,$C243,'TL05'!$J$10:$J$224),0),
IF('TL05'!$B$229=O$3,SUMIF('TL05'!$C$238:$C$451,$C243,'TL05'!$J$238:$J$451),0),
IF('TL06'!$B$3=O$3,SUMIF('TL06'!$C$10:$C$224,$C243,'TL06'!$J$10:$J$224),0),
IF('TL06'!$B$229=O$3,SUMIF('TL06'!$C$238:$C$451,$C243,'TL06'!$J$238:$J$451),0),
IF('TL07'!$B$3=O$3,SUMIF('TL07'!$C$10:$C$224,$C243,'TL07'!$J$10:$J$224),0),
IF('TL07'!$B$229=O$3,SUMIF('TL07'!$C$238:$C$451,$C243,'TL07'!$J$238:$J$451),0),
IF('TL08'!$B$3=O$3,SUMIF('TL08'!$C$10:$C$224,$C243,'TL08'!$J$10:$J$224),0),
IF('TL08'!$B$229=O$3,SUMIF('TL08'!$C$238:$C$451,$C243,'TL08'!$J$238:$J$451),0),
IF('TL09'!$B$3=O$3,SUMIF('TL09'!$C$10:$C$224,$C243,'TL09'!$J$10:$J$224),0),
IF('TL09'!$B$229=O$3,SUMIF('TL09'!$C$238:$C$451,$C243,'TL09'!$J$238:$J$451),0),
IF('TL10'!$B$3=O$3,SUMIF('TL10'!$C$10:$C$224,$C243,'TL10'!$J$10:$J$224),0),
IF('TL10'!$B$229=O$3,SUMIF('TL10'!$C$238:$C$451,$C243,'TL10'!$J$238:$J$451),0),
IF('TL11'!$B$3=O$3,SUMIF('TL11'!$C$10:$C$224,$C243,'TL11'!$J$10:$J$224),0),
IF('TL11'!$B$229=O$3,SUMIF('TL11'!$C$238:$C$451,$C243,'TL11'!$J$238:$J$451),0),
IF('TL12'!$B$3=O$3,SUMIF('TL12'!$C$10:$C$224,$C243,'TL12'!$J$10:$J$224),0),
IF('TL12'!$B$229=O$3,SUMIF('TL12'!$C$238:$C$451,$C243,'TL12'!$J$238:$J$451),0),
IF('TL13'!$B$3=O$3,SUMIF('TL13'!$C$10:$C$224,$C243,'TL13'!$J$10:$J$224),0),
IF('TL13'!$B$229=O$3,SUMIF('TL13'!$C$238:$C$451,$C243,'TL13'!$J$238:$J$451),0),
IF('TL14'!$B$3=O$3,SUMIF('TL14'!$C$10:$C$224,$C243,'TL14'!$J$10:$J$224),0),
IF('TL14'!$B$229=O$3,SUMIF('TL14'!$C$238:$C$451,$C243,'TL14'!$J$238:$J$451),0),
IF('TL15'!$B$3=O$3,SUMIF('TL15'!$C$10:$C$224,$C243,'TL15'!$J$10:$J$224),0),
IF('TL15'!$B$229=O$3,SUMIF('TL15'!$C$238:$C$451,$C243,'TL15'!$J$238:$J$451),0),
IF('TL16'!$B$3=O$3,SUMIF('TL16'!$C$10:$C$224,$C243,'TL16'!$J$10:$J$224),0),
IF('TL16'!$B$229=O$3,SUMIF('TL16'!$C$238:$C$451,$C243,'TL16'!$J$238:$J$451),0),
IF('TL17'!$B$3=O$3,SUMIF('TL17'!$C$10:$C$224,$C243,'TL17'!$J$10:$J$224),0),
IF('TL17'!$B$229=O$3,SUMIF('TL17'!$C$238:$C$451,$C243,'TL17'!$J$238:$J$451),0),
IF('TL18'!$B$3=O$3,SUMIF('TL18'!$C$10:$C$224,$C243,'TL18'!$J$10:$J$224),0),
IF('TL18'!$B$229=O$3,SUMIF('TL18'!$C$238:$C$451,$C243,'TL18'!$J$238:$J$451),0),
IF('TL19'!$B$3=O$3,SUMIF('TL19'!$C$10:$C$224,$C243,'TL19'!$J$10:$J$224),0),
IF('TL19'!$B$229=O$3,SUMIF('TL19'!$C$238:$C$451,$C243,'TL19'!$J$238:$J$451),0)
),0)</f>
        <v>0</v>
      </c>
      <c r="P243" s="9">
        <f>IFERROR(SUM(
IF('TL01'!$B$3=P$3,SUMIF('TL01'!$C$10:$C$224,$C243,'TL01'!$J$10:$J$224),0),
IF('TL01'!$B$229=P$3,SUMIF('TL01'!$C$238:$C$451,$C243,'TL01'!$J$238:$J$451),0),
IF('TL02'!$B$3=P$3,SUMIF('TL02'!$C$10:$C$224,$C243,'TL02'!$J$10:$J$224),0),
IF('TL02'!$B$229=P$3,SUMIF('TL02'!$C$238:$C$451,$C243,'TL02'!$J$238:$J$451),0),
IF('TL03'!$B$3=P$3,SUMIF('TL03'!$C$10:$C$224,$C243,'TL03'!$J$10:$J$224),0),
IF('TL03'!$B$229=P$3,SUMIF('TL03'!$C$238:$C$451,$C243,'TL03'!$J$238:$J$451),0),
IF('TL04'!$B$3=P$3,SUMIF('TL04'!$C$10:$C$224,$C243,'TL04'!$J$10:$J$224),0),
IF('TL04'!$B$229=P$3,SUMIF('TL04'!$C$238:$C$451,$C243,'TL04'!$J$238:$J$451),0),
IF('TL05'!$B$3=P$3,SUMIF('TL05'!$C$10:$C$224,$C243,'TL05'!$J$10:$J$224),0),
IF('TL05'!$B$229=P$3,SUMIF('TL05'!$C$238:$C$451,$C243,'TL05'!$J$238:$J$451),0),
IF('TL06'!$B$3=P$3,SUMIF('TL06'!$C$10:$C$224,$C243,'TL06'!$J$10:$J$224),0),
IF('TL06'!$B$229=P$3,SUMIF('TL06'!$C$238:$C$451,$C243,'TL06'!$J$238:$J$451),0),
IF('TL07'!$B$3=P$3,SUMIF('TL07'!$C$10:$C$224,$C243,'TL07'!$J$10:$J$224),0),
IF('TL07'!$B$229=P$3,SUMIF('TL07'!$C$238:$C$451,$C243,'TL07'!$J$238:$J$451),0),
IF('TL08'!$B$3=P$3,SUMIF('TL08'!$C$10:$C$224,$C243,'TL08'!$J$10:$J$224),0),
IF('TL08'!$B$229=P$3,SUMIF('TL08'!$C$238:$C$451,$C243,'TL08'!$J$238:$J$451),0),
IF('TL09'!$B$3=P$3,SUMIF('TL09'!$C$10:$C$224,$C243,'TL09'!$J$10:$J$224),0),
IF('TL09'!$B$229=P$3,SUMIF('TL09'!$C$238:$C$451,$C243,'TL09'!$J$238:$J$451),0),
IF('TL10'!$B$3=P$3,SUMIF('TL10'!$C$10:$C$224,$C243,'TL10'!$J$10:$J$224),0),
IF('TL10'!$B$229=P$3,SUMIF('TL10'!$C$238:$C$451,$C243,'TL10'!$J$238:$J$451),0),
IF('TL11'!$B$3=P$3,SUMIF('TL11'!$C$10:$C$224,$C243,'TL11'!$J$10:$J$224),0),
IF('TL11'!$B$229=P$3,SUMIF('TL11'!$C$238:$C$451,$C243,'TL11'!$J$238:$J$451),0),
IF('TL12'!$B$3=P$3,SUMIF('TL12'!$C$10:$C$224,$C243,'TL12'!$J$10:$J$224),0),
IF('TL12'!$B$229=P$3,SUMIF('TL12'!$C$238:$C$451,$C243,'TL12'!$J$238:$J$451),0),
IF('TL13'!$B$3=P$3,SUMIF('TL13'!$C$10:$C$224,$C243,'TL13'!$J$10:$J$224),0),
IF('TL13'!$B$229=P$3,SUMIF('TL13'!$C$238:$C$451,$C243,'TL13'!$J$238:$J$451),0),
IF('TL14'!$B$3=P$3,SUMIF('TL14'!$C$10:$C$224,$C243,'TL14'!$J$10:$J$224),0),
IF('TL14'!$B$229=P$3,SUMIF('TL14'!$C$238:$C$451,$C243,'TL14'!$J$238:$J$451),0),
IF('TL15'!$B$3=P$3,SUMIF('TL15'!$C$10:$C$224,$C243,'TL15'!$J$10:$J$224),0),
IF('TL15'!$B$229=P$3,SUMIF('TL15'!$C$238:$C$451,$C243,'TL15'!$J$238:$J$451),0),
IF('TL16'!$B$3=P$3,SUMIF('TL16'!$C$10:$C$224,$C243,'TL16'!$J$10:$J$224),0),
IF('TL16'!$B$229=P$3,SUMIF('TL16'!$C$238:$C$451,$C243,'TL16'!$J$238:$J$451),0),
IF('TL17'!$B$3=P$3,SUMIF('TL17'!$C$10:$C$224,$C243,'TL17'!$J$10:$J$224),0),
IF('TL17'!$B$229=P$3,SUMIF('TL17'!$C$238:$C$451,$C243,'TL17'!$J$238:$J$451),0),
IF('TL18'!$B$3=P$3,SUMIF('TL18'!$C$10:$C$224,$C243,'TL18'!$J$10:$J$224),0),
IF('TL18'!$B$229=P$3,SUMIF('TL18'!$C$238:$C$451,$C243,'TL18'!$J$238:$J$451),0),
IF('TL19'!$B$3=P$3,SUMIF('TL19'!$C$10:$C$224,$C243,'TL19'!$J$10:$J$224),0),
IF('TL19'!$B$229=P$3,SUMIF('TL19'!$C$238:$C$451,$C243,'TL19'!$J$238:$J$451),0)
),0)</f>
        <v>0</v>
      </c>
      <c r="Q243" s="9">
        <f>IFERROR(SUM(
IF('TL01'!$B$3=Q$3,SUMIF('TL01'!$C$10:$C$224,$C243,'TL01'!$J$10:$J$224),0),
IF('TL01'!$B$229=Q$3,SUMIF('TL01'!$C$238:$C$451,$C243,'TL01'!$J$238:$J$451),0),
IF('TL02'!$B$3=Q$3,SUMIF('TL02'!$C$10:$C$224,$C243,'TL02'!$J$10:$J$224),0),
IF('TL02'!$B$229=Q$3,SUMIF('TL02'!$C$238:$C$451,$C243,'TL02'!$J$238:$J$451),0),
IF('TL03'!$B$3=Q$3,SUMIF('TL03'!$C$10:$C$224,$C243,'TL03'!$J$10:$J$224),0),
IF('TL03'!$B$229=Q$3,SUMIF('TL03'!$C$238:$C$451,$C243,'TL03'!$J$238:$J$451),0),
IF('TL04'!$B$3=Q$3,SUMIF('TL04'!$C$10:$C$224,$C243,'TL04'!$J$10:$J$224),0),
IF('TL04'!$B$229=Q$3,SUMIF('TL04'!$C$238:$C$451,$C243,'TL04'!$J$238:$J$451),0),
IF('TL05'!$B$3=Q$3,SUMIF('TL05'!$C$10:$C$224,$C243,'TL05'!$J$10:$J$224),0),
IF('TL05'!$B$229=Q$3,SUMIF('TL05'!$C$238:$C$451,$C243,'TL05'!$J$238:$J$451),0),
IF('TL06'!$B$3=Q$3,SUMIF('TL06'!$C$10:$C$224,$C243,'TL06'!$J$10:$J$224),0),
IF('TL06'!$B$229=Q$3,SUMIF('TL06'!$C$238:$C$451,$C243,'TL06'!$J$238:$J$451),0),
IF('TL07'!$B$3=Q$3,SUMIF('TL07'!$C$10:$C$224,$C243,'TL07'!$J$10:$J$224),0),
IF('TL07'!$B$229=Q$3,SUMIF('TL07'!$C$238:$C$451,$C243,'TL07'!$J$238:$J$451),0),
IF('TL08'!$B$3=Q$3,SUMIF('TL08'!$C$10:$C$224,$C243,'TL08'!$J$10:$J$224),0),
IF('TL08'!$B$229=Q$3,SUMIF('TL08'!$C$238:$C$451,$C243,'TL08'!$J$238:$J$451),0),
IF('TL09'!$B$3=Q$3,SUMIF('TL09'!$C$10:$C$224,$C243,'TL09'!$J$10:$J$224),0),
IF('TL09'!$B$229=Q$3,SUMIF('TL09'!$C$238:$C$451,$C243,'TL09'!$J$238:$J$451),0),
IF('TL10'!$B$3=Q$3,SUMIF('TL10'!$C$10:$C$224,$C243,'TL10'!$J$10:$J$224),0),
IF('TL10'!$B$229=Q$3,SUMIF('TL10'!$C$238:$C$451,$C243,'TL10'!$J$238:$J$451),0),
IF('TL11'!$B$3=Q$3,SUMIF('TL11'!$C$10:$C$224,$C243,'TL11'!$J$10:$J$224),0),
IF('TL11'!$B$229=Q$3,SUMIF('TL11'!$C$238:$C$451,$C243,'TL11'!$J$238:$J$451),0),
IF('TL12'!$B$3=Q$3,SUMIF('TL12'!$C$10:$C$224,$C243,'TL12'!$J$10:$J$224),0),
IF('TL12'!$B$229=Q$3,SUMIF('TL12'!$C$238:$C$451,$C243,'TL12'!$J$238:$J$451),0),
IF('TL13'!$B$3=Q$3,SUMIF('TL13'!$C$10:$C$224,$C243,'TL13'!$J$10:$J$224),0),
IF('TL13'!$B$229=Q$3,SUMIF('TL13'!$C$238:$C$451,$C243,'TL13'!$J$238:$J$451),0),
IF('TL14'!$B$3=Q$3,SUMIF('TL14'!$C$10:$C$224,$C243,'TL14'!$J$10:$J$224),0),
IF('TL14'!$B$229=Q$3,SUMIF('TL14'!$C$238:$C$451,$C243,'TL14'!$J$238:$J$451),0),
IF('TL15'!$B$3=Q$3,SUMIF('TL15'!$C$10:$C$224,$C243,'TL15'!$J$10:$J$224),0),
IF('TL15'!$B$229=Q$3,SUMIF('TL15'!$C$238:$C$451,$C243,'TL15'!$J$238:$J$451),0),
IF('TL16'!$B$3=Q$3,SUMIF('TL16'!$C$10:$C$224,$C243,'TL16'!$J$10:$J$224),0),
IF('TL16'!$B$229=Q$3,SUMIF('TL16'!$C$238:$C$451,$C243,'TL16'!$J$238:$J$451),0),
IF('TL17'!$B$3=Q$3,SUMIF('TL17'!$C$10:$C$224,$C243,'TL17'!$J$10:$J$224),0),
IF('TL17'!$B$229=Q$3,SUMIF('TL17'!$C$238:$C$451,$C243,'TL17'!$J$238:$J$451),0),
IF('TL18'!$B$3=Q$3,SUMIF('TL18'!$C$10:$C$224,$C243,'TL18'!$J$10:$J$224),0),
IF('TL18'!$B$229=Q$3,SUMIF('TL18'!$C$238:$C$451,$C243,'TL18'!$J$238:$J$451),0),
IF('TL19'!$B$3=Q$3,SUMIF('TL19'!$C$10:$C$224,$C243,'TL19'!$J$10:$J$224),0),
IF('TL19'!$B$229=Q$3,SUMIF('TL19'!$C$238:$C$451,$C243,'TL19'!$J$238:$J$451),0)
),0)</f>
        <v>0</v>
      </c>
      <c r="R243" s="9">
        <f>IFERROR(
SUM(
SUMIF('TL01'!C:C,C243,'TL01'!J:J),
SUMIF('TL02'!C:C,C243,'TL02'!J:J),
SUMIF('TL03'!C:C,C243,'TL03'!J:J),
SUMIF('TL04'!C:C,C243,'TL04'!J:J),
SUMIF('TL05'!C:C,C243,'TL05'!J:J),
SUMIF('TL06'!C:C,C243,'TL06'!J:J),
SUMIF('TL07'!C:C,C243,'TL07'!J:J),
SUMIF('TL08'!C:C,C243,'TL08'!J:J),
SUMIF('TL09'!C:C,C243,'TL09'!J:J),
SUMIF('TL10'!C:C,C243,'TL10'!J:J),
SUMIF('TL11'!C:C,C243,'TL11'!J:J),
SUMIF('TL12'!C:C,C243,'TL12'!J:J),
SUMIF('TL13'!C:C,C243,'TL13'!J:J),
SUMIF('TL14'!C:C,C243,'TL14'!J:J),
SUMIF('TL15'!C:C,C243,'TL15'!J:J),
SUMIF('TL16'!C:C,C243,'TL16'!J:J),
SUMIF('TL17'!C:C,C243,'TL17'!J:J),
SUMIF('TL18'!C:C,C243,'TL18'!J:J),SUMIF('TL19'!C:C,C243,'TL19'!J:J))
,0)</f>
        <v>0</v>
      </c>
      <c r="S243" s="17">
        <f>IFERROR(__xludf.DUMMYFUNCTION("IFERROR(VLOOKUP(C243,
IMPORTRANGE(""1wULbzX32WdYsx-lj2U3uUNBBe2INVIRDtcK0d-Dvl90"",
""26-27!C:G""),
5,
FALSE),
"""")"),0.0)</f>
        <v>0</v>
      </c>
      <c r="T243" s="9"/>
      <c r="U243" s="92">
        <f t="shared" si="2"/>
        <v>0</v>
      </c>
      <c r="V243" s="93">
        <f t="shared" si="3"/>
        <v>0</v>
      </c>
    </row>
    <row r="244" ht="15.75" hidden="1" customHeight="1">
      <c r="A244" s="119" t="s">
        <v>378</v>
      </c>
      <c r="B244" s="120" t="s">
        <v>900</v>
      </c>
      <c r="C244" s="119" t="s">
        <v>906</v>
      </c>
      <c r="D244" s="119" t="s">
        <v>902</v>
      </c>
      <c r="E244" s="119">
        <v>250.0</v>
      </c>
      <c r="F244" s="4"/>
      <c r="G244" s="90" t="str">
        <f t="shared" si="4"/>
        <v>📄 Ver bula</v>
      </c>
      <c r="H244" s="9" t="str">
        <f>IFERROR(__xludf.DUMMYFUNCTION("IFERROR(VLOOKUP(C244,
IMPORTRANGE(""1wULbzX32WdYsx-lj2U3uUNBBe2INVIRDtcK0d-Dvl90"",
""26-27!C:K""),
8,
FALSE),
"""")"),"")</f>
        <v/>
      </c>
      <c r="I244" s="121" t="s">
        <v>377</v>
      </c>
      <c r="J244" s="9">
        <f>IFERROR(SUM(
IF('TL01'!$B$3=J$3,SUMIF('TL01'!$C$10:$C$224,$C244,'TL01'!$J$10:$J$224),0),
IF('TL01'!$B$229=J$3,SUMIF('TL01'!$C$238:$C$451,$C244,'TL01'!$J$238:$J$451),0),
IF('TL02'!$B$3=J$3,SUMIF('TL02'!$C$10:$C$224,$C244,'TL02'!$J$10:$J$224),0),
IF('TL02'!$B$229=J$3,SUMIF('TL02'!$C$238:$C$451,$C244,'TL02'!$J$238:$J$451),0),
IF('TL03'!$B$3=J$3,SUMIF('TL03'!$C$10:$C$224,$C244,'TL03'!$J$10:$J$224),0),
IF('TL03'!$B$229=J$3,SUMIF('TL03'!$C$238:$C$451,$C244,'TL03'!$J$238:$J$451),0),
IF('TL04'!$B$3=J$3,SUMIF('TL04'!$C$10:$C$224,$C244,'TL04'!$J$10:$J$224),0),
IF('TL04'!$B$229=J$3,SUMIF('TL04'!$C$238:$C$451,$C244,'TL04'!$J$238:$J$451),0),
IF('TL05'!$B$3=J$3,SUMIF('TL05'!$C$10:$C$224,$C244,'TL05'!$J$10:$J$224),0),
IF('TL05'!$B$229=J$3,SUMIF('TL05'!$C$238:$C$451,$C244,'TL05'!$J$238:$J$451),0),
IF('TL06'!$B$3=J$3,SUMIF('TL06'!$C$10:$C$224,$C244,'TL06'!$J$10:$J$224),0),
IF('TL06'!$B$229=J$3,SUMIF('TL06'!$C$238:$C$451,$C244,'TL06'!$J$238:$J$451),0),
IF('TL07'!$B$3=J$3,SUMIF('TL07'!$C$10:$C$224,$C244,'TL07'!$J$10:$J$224),0),
IF('TL07'!$B$229=J$3,SUMIF('TL07'!$C$238:$C$451,$C244,'TL07'!$J$238:$J$451),0),
IF('TL08'!$B$3=J$3,SUMIF('TL08'!$C$10:$C$224,$C244,'TL08'!$J$10:$J$224),0),
IF('TL08'!$B$229=J$3,SUMIF('TL08'!$C$238:$C$451,$C244,'TL08'!$J$238:$J$451),0),
IF('TL09'!$B$3=J$3,SUMIF('TL09'!$C$10:$C$224,$C244,'TL09'!$J$10:$J$224),0),
IF('TL09'!$B$229=J$3,SUMIF('TL09'!$C$238:$C$451,$C244,'TL09'!$J$238:$J$451),0),
IF('TL10'!$B$3=J$3,SUMIF('TL10'!$C$10:$C$224,$C244,'TL10'!$J$10:$J$224),0),
IF('TL10'!$B$229=J$3,SUMIF('TL10'!$C$238:$C$451,$C244,'TL10'!$J$238:$J$451),0),
IF('TL11'!$B$3=J$3,SUMIF('TL11'!$C$10:$C$224,$C244,'TL11'!$J$10:$J$224),0),
IF('TL11'!$B$229=J$3,SUMIF('TL11'!$C$238:$C$451,$C244,'TL11'!$J$238:$J$451),0),
IF('TL12'!$B$3=J$3,SUMIF('TL12'!$C$10:$C$224,$C244,'TL12'!$J$10:$J$224),0),
IF('TL12'!$B$229=J$3,SUMIF('TL12'!$C$238:$C$451,$C244,'TL12'!$J$238:$J$451),0),
IF('TL13'!$B$3=J$3,SUMIF('TL13'!$C$10:$C$224,$C244,'TL13'!$J$10:$J$224),0),
IF('TL13'!$B$229=J$3,SUMIF('TL13'!$C$238:$C$451,$C244,'TL13'!$J$238:$J$451),0),
IF('TL14'!$B$3=J$3,SUMIF('TL14'!$C$10:$C$224,$C244,'TL14'!$J$10:$J$224),0),
IF('TL14'!$B$229=J$3,SUMIF('TL14'!$C$238:$C$451,$C244,'TL14'!$J$238:$J$451),0),
IF('TL15'!$B$3=J$3,SUMIF('TL15'!$C$10:$C$224,$C244,'TL15'!$J$10:$J$224),0),
IF('TL15'!$B$229=J$3,SUMIF('TL15'!$C$238:$C$451,$C244,'TL15'!$J$238:$J$451),0),
IF('TL16'!$B$3=J$3,SUMIF('TL16'!$C$10:$C$224,$C244,'TL16'!$J$10:$J$224),0),
IF('TL16'!$B$229=J$3,SUMIF('TL16'!$C$238:$C$451,$C244,'TL16'!$J$238:$J$451),0),
IF('TL17'!$B$3=J$3,SUMIF('TL17'!$C$10:$C$224,$C244,'TL17'!$J$10:$J$224),0),
IF('TL17'!$B$229=J$3,SUMIF('TL17'!$C$238:$C$451,$C244,'TL17'!$J$238:$J$451),0),
IF('TL18'!$B$3=J$3,SUMIF('TL18'!$C$10:$C$224,$C244,'TL18'!$J$10:$J$224),0),
IF('TL18'!$B$229=J$3,SUMIF('TL18'!$C$238:$C$451,$C244,'TL18'!$J$238:$J$451),0),
IF('TL19'!$B$3=J$3,SUMIF('TL19'!$C$10:$C$224,$C244,'TL19'!$J$10:$J$224),0),
IF('TL19'!$B$229=J$3,SUMIF('TL19'!$C$238:$C$451,$C244,'TL19'!$J$238:$J$451),0)
),0)</f>
        <v>0</v>
      </c>
      <c r="K244" s="9">
        <f>IFERROR(SUM(
IF('TL01'!$B$3=K$3,SUMIF('TL01'!$C$10:$C$224,$C244,'TL01'!$J$10:$J$224),0),
IF('TL01'!$B$229=K$3,SUMIF('TL01'!$C$238:$C$451,$C244,'TL01'!$J$238:$J$451),0),
IF('TL02'!$B$3=K$3,SUMIF('TL02'!$C$10:$C$224,$C244,'TL02'!$J$10:$J$224),0),
IF('TL02'!$B$229=K$3,SUMIF('TL02'!$C$238:$C$451,$C244,'TL02'!$J$238:$J$451),0),
IF('TL03'!$B$3=K$3,SUMIF('TL03'!$C$10:$C$224,$C244,'TL03'!$J$10:$J$224),0),
IF('TL03'!$B$229=K$3,SUMIF('TL03'!$C$238:$C$451,$C244,'TL03'!$J$238:$J$451),0),
IF('TL04'!$B$3=K$3,SUMIF('TL04'!$C$10:$C$224,$C244,'TL04'!$J$10:$J$224),0),
IF('TL04'!$B$229=K$3,SUMIF('TL04'!$C$238:$C$451,$C244,'TL04'!$J$238:$J$451),0),
IF('TL05'!$B$3=K$3,SUMIF('TL05'!$C$10:$C$224,$C244,'TL05'!$J$10:$J$224),0),
IF('TL05'!$B$229=K$3,SUMIF('TL05'!$C$238:$C$451,$C244,'TL05'!$J$238:$J$451),0),
IF('TL06'!$B$3=K$3,SUMIF('TL06'!$C$10:$C$224,$C244,'TL06'!$J$10:$J$224),0),
IF('TL06'!$B$229=K$3,SUMIF('TL06'!$C$238:$C$451,$C244,'TL06'!$J$238:$J$451),0),
IF('TL07'!$B$3=K$3,SUMIF('TL07'!$C$10:$C$224,$C244,'TL07'!$J$10:$J$224),0),
IF('TL07'!$B$229=K$3,SUMIF('TL07'!$C$238:$C$451,$C244,'TL07'!$J$238:$J$451),0),
IF('TL08'!$B$3=K$3,SUMIF('TL08'!$C$10:$C$224,$C244,'TL08'!$J$10:$J$224),0),
IF('TL08'!$B$229=K$3,SUMIF('TL08'!$C$238:$C$451,$C244,'TL08'!$J$238:$J$451),0),
IF('TL09'!$B$3=K$3,SUMIF('TL09'!$C$10:$C$224,$C244,'TL09'!$J$10:$J$224),0),
IF('TL09'!$B$229=K$3,SUMIF('TL09'!$C$238:$C$451,$C244,'TL09'!$J$238:$J$451),0),
IF('TL10'!$B$3=K$3,SUMIF('TL10'!$C$10:$C$224,$C244,'TL10'!$J$10:$J$224),0),
IF('TL10'!$B$229=K$3,SUMIF('TL10'!$C$238:$C$451,$C244,'TL10'!$J$238:$J$451),0),
IF('TL11'!$B$3=K$3,SUMIF('TL11'!$C$10:$C$224,$C244,'TL11'!$J$10:$J$224),0),
IF('TL11'!$B$229=K$3,SUMIF('TL11'!$C$238:$C$451,$C244,'TL11'!$J$238:$J$451),0),
IF('TL12'!$B$3=K$3,SUMIF('TL12'!$C$10:$C$224,$C244,'TL12'!$J$10:$J$224),0),
IF('TL12'!$B$229=K$3,SUMIF('TL12'!$C$238:$C$451,$C244,'TL12'!$J$238:$J$451),0),
IF('TL13'!$B$3=K$3,SUMIF('TL13'!$C$10:$C$224,$C244,'TL13'!$J$10:$J$224),0),
IF('TL13'!$B$229=K$3,SUMIF('TL13'!$C$238:$C$451,$C244,'TL13'!$J$238:$J$451),0),
IF('TL14'!$B$3=K$3,SUMIF('TL14'!$C$10:$C$224,$C244,'TL14'!$J$10:$J$224),0),
IF('TL14'!$B$229=K$3,SUMIF('TL14'!$C$238:$C$451,$C244,'TL14'!$J$238:$J$451),0),
IF('TL15'!$B$3=K$3,SUMIF('TL15'!$C$10:$C$224,$C244,'TL15'!$J$10:$J$224),0),
IF('TL15'!$B$229=K$3,SUMIF('TL15'!$C$238:$C$451,$C244,'TL15'!$J$238:$J$451),0),
IF('TL16'!$B$3=K$3,SUMIF('TL16'!$C$10:$C$224,$C244,'TL16'!$J$10:$J$224),0),
IF('TL16'!$B$229=K$3,SUMIF('TL16'!$C$238:$C$451,$C244,'TL16'!$J$238:$J$451),0),
IF('TL17'!$B$3=K$3,SUMIF('TL17'!$C$10:$C$224,$C244,'TL17'!$J$10:$J$224),0),
IF('TL17'!$B$229=K$3,SUMIF('TL17'!$C$238:$C$451,$C244,'TL17'!$J$238:$J$451),0),
IF('TL18'!$B$3=K$3,SUMIF('TL18'!$C$10:$C$224,$C244,'TL18'!$J$10:$J$224),0),
IF('TL18'!$B$229=K$3,SUMIF('TL18'!$C$238:$C$451,$C244,'TL18'!$J$238:$J$451),0),
IF('TL19'!$B$3=K$3,SUMIF('TL19'!$C$10:$C$224,$C244,'TL19'!$J$10:$J$224),0),
IF('TL19'!$B$229=K$3,SUMIF('TL19'!$C$238:$C$451,$C244,'TL19'!$J$238:$J$451),0)
),0)</f>
        <v>0</v>
      </c>
      <c r="L244" s="9">
        <f>IFERROR(SUM(
IF('TL01'!$B$3=L$3,SUMIF('TL01'!$C$10:$C$224,$C244,'TL01'!$J$10:$J$224),0),
IF('TL01'!$B$229=L$3,SUMIF('TL01'!$C$238:$C$451,$C244,'TL01'!$J$238:$J$451),0),
IF('TL02'!$B$3=L$3,SUMIF('TL02'!$C$10:$C$224,$C244,'TL02'!$J$10:$J$224),0),
IF('TL02'!$B$229=L$3,SUMIF('TL02'!$C$238:$C$451,$C244,'TL02'!$J$238:$J$451),0),
IF('TL03'!$B$3=L$3,SUMIF('TL03'!$C$10:$C$224,$C244,'TL03'!$J$10:$J$224),0),
IF('TL03'!$B$229=L$3,SUMIF('TL03'!$C$238:$C$451,$C244,'TL03'!$J$238:$J$451),0),
IF('TL04'!$B$3=L$3,SUMIF('TL04'!$C$10:$C$224,$C244,'TL04'!$J$10:$J$224),0),
IF('TL04'!$B$229=L$3,SUMIF('TL04'!$C$238:$C$451,$C244,'TL04'!$J$238:$J$451),0),
IF('TL05'!$B$3=L$3,SUMIF('TL05'!$C$10:$C$224,$C244,'TL05'!$J$10:$J$224),0),
IF('TL05'!$B$229=L$3,SUMIF('TL05'!$C$238:$C$451,$C244,'TL05'!$J$238:$J$451),0),
IF('TL06'!$B$3=L$3,SUMIF('TL06'!$C$10:$C$224,$C244,'TL06'!$J$10:$J$224),0),
IF('TL06'!$B$229=L$3,SUMIF('TL06'!$C$238:$C$451,$C244,'TL06'!$J$238:$J$451),0),
IF('TL07'!$B$3=L$3,SUMIF('TL07'!$C$10:$C$224,$C244,'TL07'!$J$10:$J$224),0),
IF('TL07'!$B$229=L$3,SUMIF('TL07'!$C$238:$C$451,$C244,'TL07'!$J$238:$J$451),0),
IF('TL08'!$B$3=L$3,SUMIF('TL08'!$C$10:$C$224,$C244,'TL08'!$J$10:$J$224),0),
IF('TL08'!$B$229=L$3,SUMIF('TL08'!$C$238:$C$451,$C244,'TL08'!$J$238:$J$451),0),
IF('TL09'!$B$3=L$3,SUMIF('TL09'!$C$10:$C$224,$C244,'TL09'!$J$10:$J$224),0),
IF('TL09'!$B$229=L$3,SUMIF('TL09'!$C$238:$C$451,$C244,'TL09'!$J$238:$J$451),0),
IF('TL10'!$B$3=L$3,SUMIF('TL10'!$C$10:$C$224,$C244,'TL10'!$J$10:$J$224),0),
IF('TL10'!$B$229=L$3,SUMIF('TL10'!$C$238:$C$451,$C244,'TL10'!$J$238:$J$451),0),
IF('TL11'!$B$3=L$3,SUMIF('TL11'!$C$10:$C$224,$C244,'TL11'!$J$10:$J$224),0),
IF('TL11'!$B$229=L$3,SUMIF('TL11'!$C$238:$C$451,$C244,'TL11'!$J$238:$J$451),0),
IF('TL12'!$B$3=L$3,SUMIF('TL12'!$C$10:$C$224,$C244,'TL12'!$J$10:$J$224),0),
IF('TL12'!$B$229=L$3,SUMIF('TL12'!$C$238:$C$451,$C244,'TL12'!$J$238:$J$451),0),
IF('TL13'!$B$3=L$3,SUMIF('TL13'!$C$10:$C$224,$C244,'TL13'!$J$10:$J$224),0),
IF('TL13'!$B$229=L$3,SUMIF('TL13'!$C$238:$C$451,$C244,'TL13'!$J$238:$J$451),0),
IF('TL14'!$B$3=L$3,SUMIF('TL14'!$C$10:$C$224,$C244,'TL14'!$J$10:$J$224),0),
IF('TL14'!$B$229=L$3,SUMIF('TL14'!$C$238:$C$451,$C244,'TL14'!$J$238:$J$451),0),
IF('TL15'!$B$3=L$3,SUMIF('TL15'!$C$10:$C$224,$C244,'TL15'!$J$10:$J$224),0),
IF('TL15'!$B$229=L$3,SUMIF('TL15'!$C$238:$C$451,$C244,'TL15'!$J$238:$J$451),0),
IF('TL16'!$B$3=L$3,SUMIF('TL16'!$C$10:$C$224,$C244,'TL16'!$J$10:$J$224),0),
IF('TL16'!$B$229=L$3,SUMIF('TL16'!$C$238:$C$451,$C244,'TL16'!$J$238:$J$451),0),
IF('TL17'!$B$3=L$3,SUMIF('TL17'!$C$10:$C$224,$C244,'TL17'!$J$10:$J$224),0),
IF('TL17'!$B$229=L$3,SUMIF('TL17'!$C$238:$C$451,$C244,'TL17'!$J$238:$J$451),0),
IF('TL18'!$B$3=L$3,SUMIF('TL18'!$C$10:$C$224,$C244,'TL18'!$J$10:$J$224),0),
IF('TL18'!$B$229=L$3,SUMIF('TL18'!$C$238:$C$451,$C244,'TL18'!$J$238:$J$451),0),
IF('TL19'!$B$3=L$3,SUMIF('TL19'!$C$10:$C$224,$C244,'TL19'!$J$10:$J$224),0),
IF('TL19'!$B$229=L$3,SUMIF('TL19'!$C$238:$C$451,$C244,'TL19'!$J$238:$J$451),0)
),0)</f>
        <v>0</v>
      </c>
      <c r="M244" s="9">
        <f>IFERROR(SUM(
IF('TL01'!$B$3=M$3,SUMIF('TL01'!$C$10:$C$224,$C244,'TL01'!$J$10:$J$224),0),
IF('TL01'!$B$229=M$3,SUMIF('TL01'!$C$238:$C$451,$C244,'TL01'!$J$238:$J$451),0),
IF('TL02'!$B$3=M$3,SUMIF('TL02'!$C$10:$C$224,$C244,'TL02'!$J$10:$J$224),0),
IF('TL02'!$B$229=M$3,SUMIF('TL02'!$C$238:$C$451,$C244,'TL02'!$J$238:$J$451),0),
IF('TL03'!$B$3=M$3,SUMIF('TL03'!$C$10:$C$224,$C244,'TL03'!$J$10:$J$224),0),
IF('TL03'!$B$229=M$3,SUMIF('TL03'!$C$238:$C$451,$C244,'TL03'!$J$238:$J$451),0),
IF('TL04'!$B$3=M$3,SUMIF('TL04'!$C$10:$C$224,$C244,'TL04'!$J$10:$J$224),0),
IF('TL04'!$B$229=M$3,SUMIF('TL04'!$C$238:$C$451,$C244,'TL04'!$J$238:$J$451),0),
IF('TL05'!$B$3=M$3,SUMIF('TL05'!$C$10:$C$224,$C244,'TL05'!$J$10:$J$224),0),
IF('TL05'!$B$229=M$3,SUMIF('TL05'!$C$238:$C$451,$C244,'TL05'!$J$238:$J$451),0),
IF('TL06'!$B$3=M$3,SUMIF('TL06'!$C$10:$C$224,$C244,'TL06'!$J$10:$J$224),0),
IF('TL06'!$B$229=M$3,SUMIF('TL06'!$C$238:$C$451,$C244,'TL06'!$J$238:$J$451),0),
IF('TL07'!$B$3=M$3,SUMIF('TL07'!$C$10:$C$224,$C244,'TL07'!$J$10:$J$224),0),
IF('TL07'!$B$229=M$3,SUMIF('TL07'!$C$238:$C$451,$C244,'TL07'!$J$238:$J$451),0),
IF('TL08'!$B$3=M$3,SUMIF('TL08'!$C$10:$C$224,$C244,'TL08'!$J$10:$J$224),0),
IF('TL08'!$B$229=M$3,SUMIF('TL08'!$C$238:$C$451,$C244,'TL08'!$J$238:$J$451),0),
IF('TL09'!$B$3=M$3,SUMIF('TL09'!$C$10:$C$224,$C244,'TL09'!$J$10:$J$224),0),
IF('TL09'!$B$229=M$3,SUMIF('TL09'!$C$238:$C$451,$C244,'TL09'!$J$238:$J$451),0),
IF('TL10'!$B$3=M$3,SUMIF('TL10'!$C$10:$C$224,$C244,'TL10'!$J$10:$J$224),0),
IF('TL10'!$B$229=M$3,SUMIF('TL10'!$C$238:$C$451,$C244,'TL10'!$J$238:$J$451),0),
IF('TL11'!$B$3=M$3,SUMIF('TL11'!$C$10:$C$224,$C244,'TL11'!$J$10:$J$224),0),
IF('TL11'!$B$229=M$3,SUMIF('TL11'!$C$238:$C$451,$C244,'TL11'!$J$238:$J$451),0),
IF('TL12'!$B$3=M$3,SUMIF('TL12'!$C$10:$C$224,$C244,'TL12'!$J$10:$J$224),0),
IF('TL12'!$B$229=M$3,SUMIF('TL12'!$C$238:$C$451,$C244,'TL12'!$J$238:$J$451),0),
IF('TL13'!$B$3=M$3,SUMIF('TL13'!$C$10:$C$224,$C244,'TL13'!$J$10:$J$224),0),
IF('TL13'!$B$229=M$3,SUMIF('TL13'!$C$238:$C$451,$C244,'TL13'!$J$238:$J$451),0),
IF('TL14'!$B$3=M$3,SUMIF('TL14'!$C$10:$C$224,$C244,'TL14'!$J$10:$J$224),0),
IF('TL14'!$B$229=M$3,SUMIF('TL14'!$C$238:$C$451,$C244,'TL14'!$J$238:$J$451),0),
IF('TL15'!$B$3=M$3,SUMIF('TL15'!$C$10:$C$224,$C244,'TL15'!$J$10:$J$224),0),
IF('TL15'!$B$229=M$3,SUMIF('TL15'!$C$238:$C$451,$C244,'TL15'!$J$238:$J$451),0),
IF('TL16'!$B$3=M$3,SUMIF('TL16'!$C$10:$C$224,$C244,'TL16'!$J$10:$J$224),0),
IF('TL16'!$B$229=M$3,SUMIF('TL16'!$C$238:$C$451,$C244,'TL16'!$J$238:$J$451),0),
IF('TL17'!$B$3=M$3,SUMIF('TL17'!$C$10:$C$224,$C244,'TL17'!$J$10:$J$224),0),
IF('TL17'!$B$229=M$3,SUMIF('TL17'!$C$238:$C$451,$C244,'TL17'!$J$238:$J$451),0),
IF('TL18'!$B$3=M$3,SUMIF('TL18'!$C$10:$C$224,$C244,'TL18'!$J$10:$J$224),0),
IF('TL18'!$B$229=M$3,SUMIF('TL18'!$C$238:$C$451,$C244,'TL18'!$J$238:$J$451),0),
IF('TL19'!$B$3=M$3,SUMIF('TL19'!$C$10:$C$224,$C244,'TL19'!$J$10:$J$224),0),
IF('TL19'!$B$229=M$3,SUMIF('TL19'!$C$238:$C$451,$C244,'TL19'!$J$238:$J$451),0)
),0)</f>
        <v>0</v>
      </c>
      <c r="N244" s="9">
        <f>IFERROR(SUM(
IF('TL01'!$B$3=N$3,SUMIF('TL01'!$C$10:$C$224,$C244,'TL01'!$J$10:$J$224),0),
IF('TL01'!$B$229=N$3,SUMIF('TL01'!$C$238:$C$451,$C244,'TL01'!$J$238:$J$451),0),
IF('TL02'!$B$3=N$3,SUMIF('TL02'!$C$10:$C$224,$C244,'TL02'!$J$10:$J$224),0),
IF('TL02'!$B$229=N$3,SUMIF('TL02'!$C$238:$C$451,$C244,'TL02'!$J$238:$J$451),0),
IF('TL03'!$B$3=N$3,SUMIF('TL03'!$C$10:$C$224,$C244,'TL03'!$J$10:$J$224),0),
IF('TL03'!$B$229=N$3,SUMIF('TL03'!$C$238:$C$451,$C244,'TL03'!$J$238:$J$451),0),
IF('TL04'!$B$3=N$3,SUMIF('TL04'!$C$10:$C$224,$C244,'TL04'!$J$10:$J$224),0),
IF('TL04'!$B$229=N$3,SUMIF('TL04'!$C$238:$C$451,$C244,'TL04'!$J$238:$J$451),0),
IF('TL05'!$B$3=N$3,SUMIF('TL05'!$C$10:$C$224,$C244,'TL05'!$J$10:$J$224),0),
IF('TL05'!$B$229=N$3,SUMIF('TL05'!$C$238:$C$451,$C244,'TL05'!$J$238:$J$451),0),
IF('TL06'!$B$3=N$3,SUMIF('TL06'!$C$10:$C$224,$C244,'TL06'!$J$10:$J$224),0),
IF('TL06'!$B$229=N$3,SUMIF('TL06'!$C$238:$C$451,$C244,'TL06'!$J$238:$J$451),0),
IF('TL07'!$B$3=N$3,SUMIF('TL07'!$C$10:$C$224,$C244,'TL07'!$J$10:$J$224),0),
IF('TL07'!$B$229=N$3,SUMIF('TL07'!$C$238:$C$451,$C244,'TL07'!$J$238:$J$451),0),
IF('TL08'!$B$3=N$3,SUMIF('TL08'!$C$10:$C$224,$C244,'TL08'!$J$10:$J$224),0),
IF('TL08'!$B$229=N$3,SUMIF('TL08'!$C$238:$C$451,$C244,'TL08'!$J$238:$J$451),0),
IF('TL09'!$B$3=N$3,SUMIF('TL09'!$C$10:$C$224,$C244,'TL09'!$J$10:$J$224),0),
IF('TL09'!$B$229=N$3,SUMIF('TL09'!$C$238:$C$451,$C244,'TL09'!$J$238:$J$451),0),
IF('TL10'!$B$3=N$3,SUMIF('TL10'!$C$10:$C$224,$C244,'TL10'!$J$10:$J$224),0),
IF('TL10'!$B$229=N$3,SUMIF('TL10'!$C$238:$C$451,$C244,'TL10'!$J$238:$J$451),0),
IF('TL11'!$B$3=N$3,SUMIF('TL11'!$C$10:$C$224,$C244,'TL11'!$J$10:$J$224),0),
IF('TL11'!$B$229=N$3,SUMIF('TL11'!$C$238:$C$451,$C244,'TL11'!$J$238:$J$451),0),
IF('TL12'!$B$3=N$3,SUMIF('TL12'!$C$10:$C$224,$C244,'TL12'!$J$10:$J$224),0),
IF('TL12'!$B$229=N$3,SUMIF('TL12'!$C$238:$C$451,$C244,'TL12'!$J$238:$J$451),0),
IF('TL13'!$B$3=N$3,SUMIF('TL13'!$C$10:$C$224,$C244,'TL13'!$J$10:$J$224),0),
IF('TL13'!$B$229=N$3,SUMIF('TL13'!$C$238:$C$451,$C244,'TL13'!$J$238:$J$451),0),
IF('TL14'!$B$3=N$3,SUMIF('TL14'!$C$10:$C$224,$C244,'TL14'!$J$10:$J$224),0),
IF('TL14'!$B$229=N$3,SUMIF('TL14'!$C$238:$C$451,$C244,'TL14'!$J$238:$J$451),0),
IF('TL15'!$B$3=N$3,SUMIF('TL15'!$C$10:$C$224,$C244,'TL15'!$J$10:$J$224),0),
IF('TL15'!$B$229=N$3,SUMIF('TL15'!$C$238:$C$451,$C244,'TL15'!$J$238:$J$451),0),
IF('TL16'!$B$3=N$3,SUMIF('TL16'!$C$10:$C$224,$C244,'TL16'!$J$10:$J$224),0),
IF('TL16'!$B$229=N$3,SUMIF('TL16'!$C$238:$C$451,$C244,'TL16'!$J$238:$J$451),0),
IF('TL17'!$B$3=N$3,SUMIF('TL17'!$C$10:$C$224,$C244,'TL17'!$J$10:$J$224),0),
IF('TL17'!$B$229=N$3,SUMIF('TL17'!$C$238:$C$451,$C244,'TL17'!$J$238:$J$451),0),
IF('TL18'!$B$3=N$3,SUMIF('TL18'!$C$10:$C$224,$C244,'TL18'!$J$10:$J$224),0),
IF('TL18'!$B$229=N$3,SUMIF('TL18'!$C$238:$C$451,$C244,'TL18'!$J$238:$J$451),0),
IF('TL19'!$B$3=N$3,SUMIF('TL19'!$C$10:$C$224,$C244,'TL19'!$J$10:$J$224),0),
IF('TL19'!$B$229=N$3,SUMIF('TL19'!$C$238:$C$451,$C244,'TL19'!$J$238:$J$451),0)
),0)</f>
        <v>0</v>
      </c>
      <c r="O244" s="9">
        <f>IFERROR(SUM(
IF('TL01'!$B$3=O$3,SUMIF('TL01'!$C$10:$C$224,$C244,'TL01'!$J$10:$J$224),0),
IF('TL01'!$B$229=O$3,SUMIF('TL01'!$C$238:$C$451,$C244,'TL01'!$J$238:$J$451),0),
IF('TL02'!$B$3=O$3,SUMIF('TL02'!$C$10:$C$224,$C244,'TL02'!$J$10:$J$224),0),
IF('TL02'!$B$229=O$3,SUMIF('TL02'!$C$238:$C$451,$C244,'TL02'!$J$238:$J$451),0),
IF('TL03'!$B$3=O$3,SUMIF('TL03'!$C$10:$C$224,$C244,'TL03'!$J$10:$J$224),0),
IF('TL03'!$B$229=O$3,SUMIF('TL03'!$C$238:$C$451,$C244,'TL03'!$J$238:$J$451),0),
IF('TL04'!$B$3=O$3,SUMIF('TL04'!$C$10:$C$224,$C244,'TL04'!$J$10:$J$224),0),
IF('TL04'!$B$229=O$3,SUMIF('TL04'!$C$238:$C$451,$C244,'TL04'!$J$238:$J$451),0),
IF('TL05'!$B$3=O$3,SUMIF('TL05'!$C$10:$C$224,$C244,'TL05'!$J$10:$J$224),0),
IF('TL05'!$B$229=O$3,SUMIF('TL05'!$C$238:$C$451,$C244,'TL05'!$J$238:$J$451),0),
IF('TL06'!$B$3=O$3,SUMIF('TL06'!$C$10:$C$224,$C244,'TL06'!$J$10:$J$224),0),
IF('TL06'!$B$229=O$3,SUMIF('TL06'!$C$238:$C$451,$C244,'TL06'!$J$238:$J$451),0),
IF('TL07'!$B$3=O$3,SUMIF('TL07'!$C$10:$C$224,$C244,'TL07'!$J$10:$J$224),0),
IF('TL07'!$B$229=O$3,SUMIF('TL07'!$C$238:$C$451,$C244,'TL07'!$J$238:$J$451),0),
IF('TL08'!$B$3=O$3,SUMIF('TL08'!$C$10:$C$224,$C244,'TL08'!$J$10:$J$224),0),
IF('TL08'!$B$229=O$3,SUMIF('TL08'!$C$238:$C$451,$C244,'TL08'!$J$238:$J$451),0),
IF('TL09'!$B$3=O$3,SUMIF('TL09'!$C$10:$C$224,$C244,'TL09'!$J$10:$J$224),0),
IF('TL09'!$B$229=O$3,SUMIF('TL09'!$C$238:$C$451,$C244,'TL09'!$J$238:$J$451),0),
IF('TL10'!$B$3=O$3,SUMIF('TL10'!$C$10:$C$224,$C244,'TL10'!$J$10:$J$224),0),
IF('TL10'!$B$229=O$3,SUMIF('TL10'!$C$238:$C$451,$C244,'TL10'!$J$238:$J$451),0),
IF('TL11'!$B$3=O$3,SUMIF('TL11'!$C$10:$C$224,$C244,'TL11'!$J$10:$J$224),0),
IF('TL11'!$B$229=O$3,SUMIF('TL11'!$C$238:$C$451,$C244,'TL11'!$J$238:$J$451),0),
IF('TL12'!$B$3=O$3,SUMIF('TL12'!$C$10:$C$224,$C244,'TL12'!$J$10:$J$224),0),
IF('TL12'!$B$229=O$3,SUMIF('TL12'!$C$238:$C$451,$C244,'TL12'!$J$238:$J$451),0),
IF('TL13'!$B$3=O$3,SUMIF('TL13'!$C$10:$C$224,$C244,'TL13'!$J$10:$J$224),0),
IF('TL13'!$B$229=O$3,SUMIF('TL13'!$C$238:$C$451,$C244,'TL13'!$J$238:$J$451),0),
IF('TL14'!$B$3=O$3,SUMIF('TL14'!$C$10:$C$224,$C244,'TL14'!$J$10:$J$224),0),
IF('TL14'!$B$229=O$3,SUMIF('TL14'!$C$238:$C$451,$C244,'TL14'!$J$238:$J$451),0),
IF('TL15'!$B$3=O$3,SUMIF('TL15'!$C$10:$C$224,$C244,'TL15'!$J$10:$J$224),0),
IF('TL15'!$B$229=O$3,SUMIF('TL15'!$C$238:$C$451,$C244,'TL15'!$J$238:$J$451),0),
IF('TL16'!$B$3=O$3,SUMIF('TL16'!$C$10:$C$224,$C244,'TL16'!$J$10:$J$224),0),
IF('TL16'!$B$229=O$3,SUMIF('TL16'!$C$238:$C$451,$C244,'TL16'!$J$238:$J$451),0),
IF('TL17'!$B$3=O$3,SUMIF('TL17'!$C$10:$C$224,$C244,'TL17'!$J$10:$J$224),0),
IF('TL17'!$B$229=O$3,SUMIF('TL17'!$C$238:$C$451,$C244,'TL17'!$J$238:$J$451),0),
IF('TL18'!$B$3=O$3,SUMIF('TL18'!$C$10:$C$224,$C244,'TL18'!$J$10:$J$224),0),
IF('TL18'!$B$229=O$3,SUMIF('TL18'!$C$238:$C$451,$C244,'TL18'!$J$238:$J$451),0),
IF('TL19'!$B$3=O$3,SUMIF('TL19'!$C$10:$C$224,$C244,'TL19'!$J$10:$J$224),0),
IF('TL19'!$B$229=O$3,SUMIF('TL19'!$C$238:$C$451,$C244,'TL19'!$J$238:$J$451),0)
),0)</f>
        <v>0</v>
      </c>
      <c r="P244" s="9">
        <f>IFERROR(SUM(
IF('TL01'!$B$3=P$3,SUMIF('TL01'!$C$10:$C$224,$C244,'TL01'!$J$10:$J$224),0),
IF('TL01'!$B$229=P$3,SUMIF('TL01'!$C$238:$C$451,$C244,'TL01'!$J$238:$J$451),0),
IF('TL02'!$B$3=P$3,SUMIF('TL02'!$C$10:$C$224,$C244,'TL02'!$J$10:$J$224),0),
IF('TL02'!$B$229=P$3,SUMIF('TL02'!$C$238:$C$451,$C244,'TL02'!$J$238:$J$451),0),
IF('TL03'!$B$3=P$3,SUMIF('TL03'!$C$10:$C$224,$C244,'TL03'!$J$10:$J$224),0),
IF('TL03'!$B$229=P$3,SUMIF('TL03'!$C$238:$C$451,$C244,'TL03'!$J$238:$J$451),0),
IF('TL04'!$B$3=P$3,SUMIF('TL04'!$C$10:$C$224,$C244,'TL04'!$J$10:$J$224),0),
IF('TL04'!$B$229=P$3,SUMIF('TL04'!$C$238:$C$451,$C244,'TL04'!$J$238:$J$451),0),
IF('TL05'!$B$3=P$3,SUMIF('TL05'!$C$10:$C$224,$C244,'TL05'!$J$10:$J$224),0),
IF('TL05'!$B$229=P$3,SUMIF('TL05'!$C$238:$C$451,$C244,'TL05'!$J$238:$J$451),0),
IF('TL06'!$B$3=P$3,SUMIF('TL06'!$C$10:$C$224,$C244,'TL06'!$J$10:$J$224),0),
IF('TL06'!$B$229=P$3,SUMIF('TL06'!$C$238:$C$451,$C244,'TL06'!$J$238:$J$451),0),
IF('TL07'!$B$3=P$3,SUMIF('TL07'!$C$10:$C$224,$C244,'TL07'!$J$10:$J$224),0),
IF('TL07'!$B$229=P$3,SUMIF('TL07'!$C$238:$C$451,$C244,'TL07'!$J$238:$J$451),0),
IF('TL08'!$B$3=P$3,SUMIF('TL08'!$C$10:$C$224,$C244,'TL08'!$J$10:$J$224),0),
IF('TL08'!$B$229=P$3,SUMIF('TL08'!$C$238:$C$451,$C244,'TL08'!$J$238:$J$451),0),
IF('TL09'!$B$3=P$3,SUMIF('TL09'!$C$10:$C$224,$C244,'TL09'!$J$10:$J$224),0),
IF('TL09'!$B$229=P$3,SUMIF('TL09'!$C$238:$C$451,$C244,'TL09'!$J$238:$J$451),0),
IF('TL10'!$B$3=P$3,SUMIF('TL10'!$C$10:$C$224,$C244,'TL10'!$J$10:$J$224),0),
IF('TL10'!$B$229=P$3,SUMIF('TL10'!$C$238:$C$451,$C244,'TL10'!$J$238:$J$451),0),
IF('TL11'!$B$3=P$3,SUMIF('TL11'!$C$10:$C$224,$C244,'TL11'!$J$10:$J$224),0),
IF('TL11'!$B$229=P$3,SUMIF('TL11'!$C$238:$C$451,$C244,'TL11'!$J$238:$J$451),0),
IF('TL12'!$B$3=P$3,SUMIF('TL12'!$C$10:$C$224,$C244,'TL12'!$J$10:$J$224),0),
IF('TL12'!$B$229=P$3,SUMIF('TL12'!$C$238:$C$451,$C244,'TL12'!$J$238:$J$451),0),
IF('TL13'!$B$3=P$3,SUMIF('TL13'!$C$10:$C$224,$C244,'TL13'!$J$10:$J$224),0),
IF('TL13'!$B$229=P$3,SUMIF('TL13'!$C$238:$C$451,$C244,'TL13'!$J$238:$J$451),0),
IF('TL14'!$B$3=P$3,SUMIF('TL14'!$C$10:$C$224,$C244,'TL14'!$J$10:$J$224),0),
IF('TL14'!$B$229=P$3,SUMIF('TL14'!$C$238:$C$451,$C244,'TL14'!$J$238:$J$451),0),
IF('TL15'!$B$3=P$3,SUMIF('TL15'!$C$10:$C$224,$C244,'TL15'!$J$10:$J$224),0),
IF('TL15'!$B$229=P$3,SUMIF('TL15'!$C$238:$C$451,$C244,'TL15'!$J$238:$J$451),0),
IF('TL16'!$B$3=P$3,SUMIF('TL16'!$C$10:$C$224,$C244,'TL16'!$J$10:$J$224),0),
IF('TL16'!$B$229=P$3,SUMIF('TL16'!$C$238:$C$451,$C244,'TL16'!$J$238:$J$451),0),
IF('TL17'!$B$3=P$3,SUMIF('TL17'!$C$10:$C$224,$C244,'TL17'!$J$10:$J$224),0),
IF('TL17'!$B$229=P$3,SUMIF('TL17'!$C$238:$C$451,$C244,'TL17'!$J$238:$J$451),0),
IF('TL18'!$B$3=P$3,SUMIF('TL18'!$C$10:$C$224,$C244,'TL18'!$J$10:$J$224),0),
IF('TL18'!$B$229=P$3,SUMIF('TL18'!$C$238:$C$451,$C244,'TL18'!$J$238:$J$451),0),
IF('TL19'!$B$3=P$3,SUMIF('TL19'!$C$10:$C$224,$C244,'TL19'!$J$10:$J$224),0),
IF('TL19'!$B$229=P$3,SUMIF('TL19'!$C$238:$C$451,$C244,'TL19'!$J$238:$J$451),0)
),0)</f>
        <v>0</v>
      </c>
      <c r="Q244" s="9">
        <f>IFERROR(SUM(
IF('TL01'!$B$3=Q$3,SUMIF('TL01'!$C$10:$C$224,$C244,'TL01'!$J$10:$J$224),0),
IF('TL01'!$B$229=Q$3,SUMIF('TL01'!$C$238:$C$451,$C244,'TL01'!$J$238:$J$451),0),
IF('TL02'!$B$3=Q$3,SUMIF('TL02'!$C$10:$C$224,$C244,'TL02'!$J$10:$J$224),0),
IF('TL02'!$B$229=Q$3,SUMIF('TL02'!$C$238:$C$451,$C244,'TL02'!$J$238:$J$451),0),
IF('TL03'!$B$3=Q$3,SUMIF('TL03'!$C$10:$C$224,$C244,'TL03'!$J$10:$J$224),0),
IF('TL03'!$B$229=Q$3,SUMIF('TL03'!$C$238:$C$451,$C244,'TL03'!$J$238:$J$451),0),
IF('TL04'!$B$3=Q$3,SUMIF('TL04'!$C$10:$C$224,$C244,'TL04'!$J$10:$J$224),0),
IF('TL04'!$B$229=Q$3,SUMIF('TL04'!$C$238:$C$451,$C244,'TL04'!$J$238:$J$451),0),
IF('TL05'!$B$3=Q$3,SUMIF('TL05'!$C$10:$C$224,$C244,'TL05'!$J$10:$J$224),0),
IF('TL05'!$B$229=Q$3,SUMIF('TL05'!$C$238:$C$451,$C244,'TL05'!$J$238:$J$451),0),
IF('TL06'!$B$3=Q$3,SUMIF('TL06'!$C$10:$C$224,$C244,'TL06'!$J$10:$J$224),0),
IF('TL06'!$B$229=Q$3,SUMIF('TL06'!$C$238:$C$451,$C244,'TL06'!$J$238:$J$451),0),
IF('TL07'!$B$3=Q$3,SUMIF('TL07'!$C$10:$C$224,$C244,'TL07'!$J$10:$J$224),0),
IF('TL07'!$B$229=Q$3,SUMIF('TL07'!$C$238:$C$451,$C244,'TL07'!$J$238:$J$451),0),
IF('TL08'!$B$3=Q$3,SUMIF('TL08'!$C$10:$C$224,$C244,'TL08'!$J$10:$J$224),0),
IF('TL08'!$B$229=Q$3,SUMIF('TL08'!$C$238:$C$451,$C244,'TL08'!$J$238:$J$451),0),
IF('TL09'!$B$3=Q$3,SUMIF('TL09'!$C$10:$C$224,$C244,'TL09'!$J$10:$J$224),0),
IF('TL09'!$B$229=Q$3,SUMIF('TL09'!$C$238:$C$451,$C244,'TL09'!$J$238:$J$451),0),
IF('TL10'!$B$3=Q$3,SUMIF('TL10'!$C$10:$C$224,$C244,'TL10'!$J$10:$J$224),0),
IF('TL10'!$B$229=Q$3,SUMIF('TL10'!$C$238:$C$451,$C244,'TL10'!$J$238:$J$451),0),
IF('TL11'!$B$3=Q$3,SUMIF('TL11'!$C$10:$C$224,$C244,'TL11'!$J$10:$J$224),0),
IF('TL11'!$B$229=Q$3,SUMIF('TL11'!$C$238:$C$451,$C244,'TL11'!$J$238:$J$451),0),
IF('TL12'!$B$3=Q$3,SUMIF('TL12'!$C$10:$C$224,$C244,'TL12'!$J$10:$J$224),0),
IF('TL12'!$B$229=Q$3,SUMIF('TL12'!$C$238:$C$451,$C244,'TL12'!$J$238:$J$451),0),
IF('TL13'!$B$3=Q$3,SUMIF('TL13'!$C$10:$C$224,$C244,'TL13'!$J$10:$J$224),0),
IF('TL13'!$B$229=Q$3,SUMIF('TL13'!$C$238:$C$451,$C244,'TL13'!$J$238:$J$451),0),
IF('TL14'!$B$3=Q$3,SUMIF('TL14'!$C$10:$C$224,$C244,'TL14'!$J$10:$J$224),0),
IF('TL14'!$B$229=Q$3,SUMIF('TL14'!$C$238:$C$451,$C244,'TL14'!$J$238:$J$451),0),
IF('TL15'!$B$3=Q$3,SUMIF('TL15'!$C$10:$C$224,$C244,'TL15'!$J$10:$J$224),0),
IF('TL15'!$B$229=Q$3,SUMIF('TL15'!$C$238:$C$451,$C244,'TL15'!$J$238:$J$451),0),
IF('TL16'!$B$3=Q$3,SUMIF('TL16'!$C$10:$C$224,$C244,'TL16'!$J$10:$J$224),0),
IF('TL16'!$B$229=Q$3,SUMIF('TL16'!$C$238:$C$451,$C244,'TL16'!$J$238:$J$451),0),
IF('TL17'!$B$3=Q$3,SUMIF('TL17'!$C$10:$C$224,$C244,'TL17'!$J$10:$J$224),0),
IF('TL17'!$B$229=Q$3,SUMIF('TL17'!$C$238:$C$451,$C244,'TL17'!$J$238:$J$451),0),
IF('TL18'!$B$3=Q$3,SUMIF('TL18'!$C$10:$C$224,$C244,'TL18'!$J$10:$J$224),0),
IF('TL18'!$B$229=Q$3,SUMIF('TL18'!$C$238:$C$451,$C244,'TL18'!$J$238:$J$451),0),
IF('TL19'!$B$3=Q$3,SUMIF('TL19'!$C$10:$C$224,$C244,'TL19'!$J$10:$J$224),0),
IF('TL19'!$B$229=Q$3,SUMIF('TL19'!$C$238:$C$451,$C244,'TL19'!$J$238:$J$451),0)
),0)</f>
        <v>0</v>
      </c>
      <c r="R244" s="9">
        <f>IFERROR(
SUM(
SUMIF('TL01'!C:C,C244,'TL01'!J:J),
SUMIF('TL02'!C:C,C244,'TL02'!J:J),
SUMIF('TL03'!C:C,C244,'TL03'!J:J),
SUMIF('TL04'!C:C,C244,'TL04'!J:J),
SUMIF('TL05'!C:C,C244,'TL05'!J:J),
SUMIF('TL06'!C:C,C244,'TL06'!J:J),
SUMIF('TL07'!C:C,C244,'TL07'!J:J),
SUMIF('TL08'!C:C,C244,'TL08'!J:J),
SUMIF('TL09'!C:C,C244,'TL09'!J:J),
SUMIF('TL10'!C:C,C244,'TL10'!J:J),
SUMIF('TL11'!C:C,C244,'TL11'!J:J),
SUMIF('TL12'!C:C,C244,'TL12'!J:J),
SUMIF('TL13'!C:C,C244,'TL13'!J:J),
SUMIF('TL14'!C:C,C244,'TL14'!J:J),
SUMIF('TL15'!C:C,C244,'TL15'!J:J),
SUMIF('TL16'!C:C,C244,'TL16'!J:J),
SUMIF('TL17'!C:C,C244,'TL17'!J:J),
SUMIF('TL18'!C:C,C244,'TL18'!J:J),SUMIF('TL19'!C:C,C244,'TL19'!J:J))
,0)</f>
        <v>0</v>
      </c>
      <c r="S244" s="17">
        <f>IFERROR(__xludf.DUMMYFUNCTION("IFERROR(VLOOKUP(C244,
IMPORTRANGE(""1wULbzX32WdYsx-lj2U3uUNBBe2INVIRDtcK0d-Dvl90"",
""26-27!C:G""),
5,
FALSE),
"""")"),0.0)</f>
        <v>0</v>
      </c>
      <c r="T244" s="9"/>
      <c r="U244" s="92">
        <f t="shared" si="2"/>
        <v>0</v>
      </c>
      <c r="V244" s="93">
        <f t="shared" si="3"/>
        <v>0</v>
      </c>
    </row>
    <row r="245" ht="15.75" hidden="1" customHeight="1">
      <c r="A245" s="122" t="s">
        <v>356</v>
      </c>
      <c r="B245" s="120" t="s">
        <v>900</v>
      </c>
      <c r="C245" s="122" t="s">
        <v>907</v>
      </c>
      <c r="D245" s="122" t="s">
        <v>908</v>
      </c>
      <c r="E245" s="122">
        <v>480.0</v>
      </c>
      <c r="F245" s="4"/>
      <c r="G245" s="90" t="str">
        <f t="shared" si="4"/>
        <v>📄 Ver bula</v>
      </c>
      <c r="H245" s="9" t="str">
        <f>IFERROR(__xludf.DUMMYFUNCTION("IFERROR(VLOOKUP(C245,
IMPORTRANGE(""1wULbzX32WdYsx-lj2U3uUNBBe2INVIRDtcK0d-Dvl90"",
""26-27!C:K""),
8,
FALSE),
"""")"),"")</f>
        <v/>
      </c>
      <c r="I245" s="123" t="s">
        <v>344</v>
      </c>
      <c r="J245" s="9">
        <f>IFERROR(SUM(
IF('TL01'!$B$3=J$3,SUMIF('TL01'!$C$10:$C$224,$C245,'TL01'!$J$10:$J$224),0),
IF('TL01'!$B$229=J$3,SUMIF('TL01'!$C$238:$C$451,$C245,'TL01'!$J$238:$J$451),0),
IF('TL02'!$B$3=J$3,SUMIF('TL02'!$C$10:$C$224,$C245,'TL02'!$J$10:$J$224),0),
IF('TL02'!$B$229=J$3,SUMIF('TL02'!$C$238:$C$451,$C245,'TL02'!$J$238:$J$451),0),
IF('TL03'!$B$3=J$3,SUMIF('TL03'!$C$10:$C$224,$C245,'TL03'!$J$10:$J$224),0),
IF('TL03'!$B$229=J$3,SUMIF('TL03'!$C$238:$C$451,$C245,'TL03'!$J$238:$J$451),0),
IF('TL04'!$B$3=J$3,SUMIF('TL04'!$C$10:$C$224,$C245,'TL04'!$J$10:$J$224),0),
IF('TL04'!$B$229=J$3,SUMIF('TL04'!$C$238:$C$451,$C245,'TL04'!$J$238:$J$451),0),
IF('TL05'!$B$3=J$3,SUMIF('TL05'!$C$10:$C$224,$C245,'TL05'!$J$10:$J$224),0),
IF('TL05'!$B$229=J$3,SUMIF('TL05'!$C$238:$C$451,$C245,'TL05'!$J$238:$J$451),0),
IF('TL06'!$B$3=J$3,SUMIF('TL06'!$C$10:$C$224,$C245,'TL06'!$J$10:$J$224),0),
IF('TL06'!$B$229=J$3,SUMIF('TL06'!$C$238:$C$451,$C245,'TL06'!$J$238:$J$451),0),
IF('TL07'!$B$3=J$3,SUMIF('TL07'!$C$10:$C$224,$C245,'TL07'!$J$10:$J$224),0),
IF('TL07'!$B$229=J$3,SUMIF('TL07'!$C$238:$C$451,$C245,'TL07'!$J$238:$J$451),0),
IF('TL08'!$B$3=J$3,SUMIF('TL08'!$C$10:$C$224,$C245,'TL08'!$J$10:$J$224),0),
IF('TL08'!$B$229=J$3,SUMIF('TL08'!$C$238:$C$451,$C245,'TL08'!$J$238:$J$451),0),
IF('TL09'!$B$3=J$3,SUMIF('TL09'!$C$10:$C$224,$C245,'TL09'!$J$10:$J$224),0),
IF('TL09'!$B$229=J$3,SUMIF('TL09'!$C$238:$C$451,$C245,'TL09'!$J$238:$J$451),0),
IF('TL10'!$B$3=J$3,SUMIF('TL10'!$C$10:$C$224,$C245,'TL10'!$J$10:$J$224),0),
IF('TL10'!$B$229=J$3,SUMIF('TL10'!$C$238:$C$451,$C245,'TL10'!$J$238:$J$451),0),
IF('TL11'!$B$3=J$3,SUMIF('TL11'!$C$10:$C$224,$C245,'TL11'!$J$10:$J$224),0),
IF('TL11'!$B$229=J$3,SUMIF('TL11'!$C$238:$C$451,$C245,'TL11'!$J$238:$J$451),0),
IF('TL12'!$B$3=J$3,SUMIF('TL12'!$C$10:$C$224,$C245,'TL12'!$J$10:$J$224),0),
IF('TL12'!$B$229=J$3,SUMIF('TL12'!$C$238:$C$451,$C245,'TL12'!$J$238:$J$451),0),
IF('TL13'!$B$3=J$3,SUMIF('TL13'!$C$10:$C$224,$C245,'TL13'!$J$10:$J$224),0),
IF('TL13'!$B$229=J$3,SUMIF('TL13'!$C$238:$C$451,$C245,'TL13'!$J$238:$J$451),0),
IF('TL14'!$B$3=J$3,SUMIF('TL14'!$C$10:$C$224,$C245,'TL14'!$J$10:$J$224),0),
IF('TL14'!$B$229=J$3,SUMIF('TL14'!$C$238:$C$451,$C245,'TL14'!$J$238:$J$451),0),
IF('TL15'!$B$3=J$3,SUMIF('TL15'!$C$10:$C$224,$C245,'TL15'!$J$10:$J$224),0),
IF('TL15'!$B$229=J$3,SUMIF('TL15'!$C$238:$C$451,$C245,'TL15'!$J$238:$J$451),0),
IF('TL16'!$B$3=J$3,SUMIF('TL16'!$C$10:$C$224,$C245,'TL16'!$J$10:$J$224),0),
IF('TL16'!$B$229=J$3,SUMIF('TL16'!$C$238:$C$451,$C245,'TL16'!$J$238:$J$451),0),
IF('TL17'!$B$3=J$3,SUMIF('TL17'!$C$10:$C$224,$C245,'TL17'!$J$10:$J$224),0),
IF('TL17'!$B$229=J$3,SUMIF('TL17'!$C$238:$C$451,$C245,'TL17'!$J$238:$J$451),0),
IF('TL18'!$B$3=J$3,SUMIF('TL18'!$C$10:$C$224,$C245,'TL18'!$J$10:$J$224),0),
IF('TL18'!$B$229=J$3,SUMIF('TL18'!$C$238:$C$451,$C245,'TL18'!$J$238:$J$451),0),
IF('TL19'!$B$3=J$3,SUMIF('TL19'!$C$10:$C$224,$C245,'TL19'!$J$10:$J$224),0),
IF('TL19'!$B$229=J$3,SUMIF('TL19'!$C$238:$C$451,$C245,'TL19'!$J$238:$J$451),0)
),0)</f>
        <v>0</v>
      </c>
      <c r="K245" s="9">
        <f>IFERROR(SUM(
IF('TL01'!$B$3=K$3,SUMIF('TL01'!$C$10:$C$224,$C245,'TL01'!$J$10:$J$224),0),
IF('TL01'!$B$229=K$3,SUMIF('TL01'!$C$238:$C$451,$C245,'TL01'!$J$238:$J$451),0),
IF('TL02'!$B$3=K$3,SUMIF('TL02'!$C$10:$C$224,$C245,'TL02'!$J$10:$J$224),0),
IF('TL02'!$B$229=K$3,SUMIF('TL02'!$C$238:$C$451,$C245,'TL02'!$J$238:$J$451),0),
IF('TL03'!$B$3=K$3,SUMIF('TL03'!$C$10:$C$224,$C245,'TL03'!$J$10:$J$224),0),
IF('TL03'!$B$229=K$3,SUMIF('TL03'!$C$238:$C$451,$C245,'TL03'!$J$238:$J$451),0),
IF('TL04'!$B$3=K$3,SUMIF('TL04'!$C$10:$C$224,$C245,'TL04'!$J$10:$J$224),0),
IF('TL04'!$B$229=K$3,SUMIF('TL04'!$C$238:$C$451,$C245,'TL04'!$J$238:$J$451),0),
IF('TL05'!$B$3=K$3,SUMIF('TL05'!$C$10:$C$224,$C245,'TL05'!$J$10:$J$224),0),
IF('TL05'!$B$229=K$3,SUMIF('TL05'!$C$238:$C$451,$C245,'TL05'!$J$238:$J$451),0),
IF('TL06'!$B$3=K$3,SUMIF('TL06'!$C$10:$C$224,$C245,'TL06'!$J$10:$J$224),0),
IF('TL06'!$B$229=K$3,SUMIF('TL06'!$C$238:$C$451,$C245,'TL06'!$J$238:$J$451),0),
IF('TL07'!$B$3=K$3,SUMIF('TL07'!$C$10:$C$224,$C245,'TL07'!$J$10:$J$224),0),
IF('TL07'!$B$229=K$3,SUMIF('TL07'!$C$238:$C$451,$C245,'TL07'!$J$238:$J$451),0),
IF('TL08'!$B$3=K$3,SUMIF('TL08'!$C$10:$C$224,$C245,'TL08'!$J$10:$J$224),0),
IF('TL08'!$B$229=K$3,SUMIF('TL08'!$C$238:$C$451,$C245,'TL08'!$J$238:$J$451),0),
IF('TL09'!$B$3=K$3,SUMIF('TL09'!$C$10:$C$224,$C245,'TL09'!$J$10:$J$224),0),
IF('TL09'!$B$229=K$3,SUMIF('TL09'!$C$238:$C$451,$C245,'TL09'!$J$238:$J$451),0),
IF('TL10'!$B$3=K$3,SUMIF('TL10'!$C$10:$C$224,$C245,'TL10'!$J$10:$J$224),0),
IF('TL10'!$B$229=K$3,SUMIF('TL10'!$C$238:$C$451,$C245,'TL10'!$J$238:$J$451),0),
IF('TL11'!$B$3=K$3,SUMIF('TL11'!$C$10:$C$224,$C245,'TL11'!$J$10:$J$224),0),
IF('TL11'!$B$229=K$3,SUMIF('TL11'!$C$238:$C$451,$C245,'TL11'!$J$238:$J$451),0),
IF('TL12'!$B$3=K$3,SUMIF('TL12'!$C$10:$C$224,$C245,'TL12'!$J$10:$J$224),0),
IF('TL12'!$B$229=K$3,SUMIF('TL12'!$C$238:$C$451,$C245,'TL12'!$J$238:$J$451),0),
IF('TL13'!$B$3=K$3,SUMIF('TL13'!$C$10:$C$224,$C245,'TL13'!$J$10:$J$224),0),
IF('TL13'!$B$229=K$3,SUMIF('TL13'!$C$238:$C$451,$C245,'TL13'!$J$238:$J$451),0),
IF('TL14'!$B$3=K$3,SUMIF('TL14'!$C$10:$C$224,$C245,'TL14'!$J$10:$J$224),0),
IF('TL14'!$B$229=K$3,SUMIF('TL14'!$C$238:$C$451,$C245,'TL14'!$J$238:$J$451),0),
IF('TL15'!$B$3=K$3,SUMIF('TL15'!$C$10:$C$224,$C245,'TL15'!$J$10:$J$224),0),
IF('TL15'!$B$229=K$3,SUMIF('TL15'!$C$238:$C$451,$C245,'TL15'!$J$238:$J$451),0),
IF('TL16'!$B$3=K$3,SUMIF('TL16'!$C$10:$C$224,$C245,'TL16'!$J$10:$J$224),0),
IF('TL16'!$B$229=K$3,SUMIF('TL16'!$C$238:$C$451,$C245,'TL16'!$J$238:$J$451),0),
IF('TL17'!$B$3=K$3,SUMIF('TL17'!$C$10:$C$224,$C245,'TL17'!$J$10:$J$224),0),
IF('TL17'!$B$229=K$3,SUMIF('TL17'!$C$238:$C$451,$C245,'TL17'!$J$238:$J$451),0),
IF('TL18'!$B$3=K$3,SUMIF('TL18'!$C$10:$C$224,$C245,'TL18'!$J$10:$J$224),0),
IF('TL18'!$B$229=K$3,SUMIF('TL18'!$C$238:$C$451,$C245,'TL18'!$J$238:$J$451),0),
IF('TL19'!$B$3=K$3,SUMIF('TL19'!$C$10:$C$224,$C245,'TL19'!$J$10:$J$224),0),
IF('TL19'!$B$229=K$3,SUMIF('TL19'!$C$238:$C$451,$C245,'TL19'!$J$238:$J$451),0)
),0)</f>
        <v>0</v>
      </c>
      <c r="L245" s="9">
        <f>IFERROR(SUM(
IF('TL01'!$B$3=L$3,SUMIF('TL01'!$C$10:$C$224,$C245,'TL01'!$J$10:$J$224),0),
IF('TL01'!$B$229=L$3,SUMIF('TL01'!$C$238:$C$451,$C245,'TL01'!$J$238:$J$451),0),
IF('TL02'!$B$3=L$3,SUMIF('TL02'!$C$10:$C$224,$C245,'TL02'!$J$10:$J$224),0),
IF('TL02'!$B$229=L$3,SUMIF('TL02'!$C$238:$C$451,$C245,'TL02'!$J$238:$J$451),0),
IF('TL03'!$B$3=L$3,SUMIF('TL03'!$C$10:$C$224,$C245,'TL03'!$J$10:$J$224),0),
IF('TL03'!$B$229=L$3,SUMIF('TL03'!$C$238:$C$451,$C245,'TL03'!$J$238:$J$451),0),
IF('TL04'!$B$3=L$3,SUMIF('TL04'!$C$10:$C$224,$C245,'TL04'!$J$10:$J$224),0),
IF('TL04'!$B$229=L$3,SUMIF('TL04'!$C$238:$C$451,$C245,'TL04'!$J$238:$J$451),0),
IF('TL05'!$B$3=L$3,SUMIF('TL05'!$C$10:$C$224,$C245,'TL05'!$J$10:$J$224),0),
IF('TL05'!$B$229=L$3,SUMIF('TL05'!$C$238:$C$451,$C245,'TL05'!$J$238:$J$451),0),
IF('TL06'!$B$3=L$3,SUMIF('TL06'!$C$10:$C$224,$C245,'TL06'!$J$10:$J$224),0),
IF('TL06'!$B$229=L$3,SUMIF('TL06'!$C$238:$C$451,$C245,'TL06'!$J$238:$J$451),0),
IF('TL07'!$B$3=L$3,SUMIF('TL07'!$C$10:$C$224,$C245,'TL07'!$J$10:$J$224),0),
IF('TL07'!$B$229=L$3,SUMIF('TL07'!$C$238:$C$451,$C245,'TL07'!$J$238:$J$451),0),
IF('TL08'!$B$3=L$3,SUMIF('TL08'!$C$10:$C$224,$C245,'TL08'!$J$10:$J$224),0),
IF('TL08'!$B$229=L$3,SUMIF('TL08'!$C$238:$C$451,$C245,'TL08'!$J$238:$J$451),0),
IF('TL09'!$B$3=L$3,SUMIF('TL09'!$C$10:$C$224,$C245,'TL09'!$J$10:$J$224),0),
IF('TL09'!$B$229=L$3,SUMIF('TL09'!$C$238:$C$451,$C245,'TL09'!$J$238:$J$451),0),
IF('TL10'!$B$3=L$3,SUMIF('TL10'!$C$10:$C$224,$C245,'TL10'!$J$10:$J$224),0),
IF('TL10'!$B$229=L$3,SUMIF('TL10'!$C$238:$C$451,$C245,'TL10'!$J$238:$J$451),0),
IF('TL11'!$B$3=L$3,SUMIF('TL11'!$C$10:$C$224,$C245,'TL11'!$J$10:$J$224),0),
IF('TL11'!$B$229=L$3,SUMIF('TL11'!$C$238:$C$451,$C245,'TL11'!$J$238:$J$451),0),
IF('TL12'!$B$3=L$3,SUMIF('TL12'!$C$10:$C$224,$C245,'TL12'!$J$10:$J$224),0),
IF('TL12'!$B$229=L$3,SUMIF('TL12'!$C$238:$C$451,$C245,'TL12'!$J$238:$J$451),0),
IF('TL13'!$B$3=L$3,SUMIF('TL13'!$C$10:$C$224,$C245,'TL13'!$J$10:$J$224),0),
IF('TL13'!$B$229=L$3,SUMIF('TL13'!$C$238:$C$451,$C245,'TL13'!$J$238:$J$451),0),
IF('TL14'!$B$3=L$3,SUMIF('TL14'!$C$10:$C$224,$C245,'TL14'!$J$10:$J$224),0),
IF('TL14'!$B$229=L$3,SUMIF('TL14'!$C$238:$C$451,$C245,'TL14'!$J$238:$J$451),0),
IF('TL15'!$B$3=L$3,SUMIF('TL15'!$C$10:$C$224,$C245,'TL15'!$J$10:$J$224),0),
IF('TL15'!$B$229=L$3,SUMIF('TL15'!$C$238:$C$451,$C245,'TL15'!$J$238:$J$451),0),
IF('TL16'!$B$3=L$3,SUMIF('TL16'!$C$10:$C$224,$C245,'TL16'!$J$10:$J$224),0),
IF('TL16'!$B$229=L$3,SUMIF('TL16'!$C$238:$C$451,$C245,'TL16'!$J$238:$J$451),0),
IF('TL17'!$B$3=L$3,SUMIF('TL17'!$C$10:$C$224,$C245,'TL17'!$J$10:$J$224),0),
IF('TL17'!$B$229=L$3,SUMIF('TL17'!$C$238:$C$451,$C245,'TL17'!$J$238:$J$451),0),
IF('TL18'!$B$3=L$3,SUMIF('TL18'!$C$10:$C$224,$C245,'TL18'!$J$10:$J$224),0),
IF('TL18'!$B$229=L$3,SUMIF('TL18'!$C$238:$C$451,$C245,'TL18'!$J$238:$J$451),0),
IF('TL19'!$B$3=L$3,SUMIF('TL19'!$C$10:$C$224,$C245,'TL19'!$J$10:$J$224),0),
IF('TL19'!$B$229=L$3,SUMIF('TL19'!$C$238:$C$451,$C245,'TL19'!$J$238:$J$451),0)
),0)</f>
        <v>0</v>
      </c>
      <c r="M245" s="9">
        <f>IFERROR(SUM(
IF('TL01'!$B$3=M$3,SUMIF('TL01'!$C$10:$C$224,$C245,'TL01'!$J$10:$J$224),0),
IF('TL01'!$B$229=M$3,SUMIF('TL01'!$C$238:$C$451,$C245,'TL01'!$J$238:$J$451),0),
IF('TL02'!$B$3=M$3,SUMIF('TL02'!$C$10:$C$224,$C245,'TL02'!$J$10:$J$224),0),
IF('TL02'!$B$229=M$3,SUMIF('TL02'!$C$238:$C$451,$C245,'TL02'!$J$238:$J$451),0),
IF('TL03'!$B$3=M$3,SUMIF('TL03'!$C$10:$C$224,$C245,'TL03'!$J$10:$J$224),0),
IF('TL03'!$B$229=M$3,SUMIF('TL03'!$C$238:$C$451,$C245,'TL03'!$J$238:$J$451),0),
IF('TL04'!$B$3=M$3,SUMIF('TL04'!$C$10:$C$224,$C245,'TL04'!$J$10:$J$224),0),
IF('TL04'!$B$229=M$3,SUMIF('TL04'!$C$238:$C$451,$C245,'TL04'!$J$238:$J$451),0),
IF('TL05'!$B$3=M$3,SUMIF('TL05'!$C$10:$C$224,$C245,'TL05'!$J$10:$J$224),0),
IF('TL05'!$B$229=M$3,SUMIF('TL05'!$C$238:$C$451,$C245,'TL05'!$J$238:$J$451),0),
IF('TL06'!$B$3=M$3,SUMIF('TL06'!$C$10:$C$224,$C245,'TL06'!$J$10:$J$224),0),
IF('TL06'!$B$229=M$3,SUMIF('TL06'!$C$238:$C$451,$C245,'TL06'!$J$238:$J$451),0),
IF('TL07'!$B$3=M$3,SUMIF('TL07'!$C$10:$C$224,$C245,'TL07'!$J$10:$J$224),0),
IF('TL07'!$B$229=M$3,SUMIF('TL07'!$C$238:$C$451,$C245,'TL07'!$J$238:$J$451),0),
IF('TL08'!$B$3=M$3,SUMIF('TL08'!$C$10:$C$224,$C245,'TL08'!$J$10:$J$224),0),
IF('TL08'!$B$229=M$3,SUMIF('TL08'!$C$238:$C$451,$C245,'TL08'!$J$238:$J$451),0),
IF('TL09'!$B$3=M$3,SUMIF('TL09'!$C$10:$C$224,$C245,'TL09'!$J$10:$J$224),0),
IF('TL09'!$B$229=M$3,SUMIF('TL09'!$C$238:$C$451,$C245,'TL09'!$J$238:$J$451),0),
IF('TL10'!$B$3=M$3,SUMIF('TL10'!$C$10:$C$224,$C245,'TL10'!$J$10:$J$224),0),
IF('TL10'!$B$229=M$3,SUMIF('TL10'!$C$238:$C$451,$C245,'TL10'!$J$238:$J$451),0),
IF('TL11'!$B$3=M$3,SUMIF('TL11'!$C$10:$C$224,$C245,'TL11'!$J$10:$J$224),0),
IF('TL11'!$B$229=M$3,SUMIF('TL11'!$C$238:$C$451,$C245,'TL11'!$J$238:$J$451),0),
IF('TL12'!$B$3=M$3,SUMIF('TL12'!$C$10:$C$224,$C245,'TL12'!$J$10:$J$224),0),
IF('TL12'!$B$229=M$3,SUMIF('TL12'!$C$238:$C$451,$C245,'TL12'!$J$238:$J$451),0),
IF('TL13'!$B$3=M$3,SUMIF('TL13'!$C$10:$C$224,$C245,'TL13'!$J$10:$J$224),0),
IF('TL13'!$B$229=M$3,SUMIF('TL13'!$C$238:$C$451,$C245,'TL13'!$J$238:$J$451),0),
IF('TL14'!$B$3=M$3,SUMIF('TL14'!$C$10:$C$224,$C245,'TL14'!$J$10:$J$224),0),
IF('TL14'!$B$229=M$3,SUMIF('TL14'!$C$238:$C$451,$C245,'TL14'!$J$238:$J$451),0),
IF('TL15'!$B$3=M$3,SUMIF('TL15'!$C$10:$C$224,$C245,'TL15'!$J$10:$J$224),0),
IF('TL15'!$B$229=M$3,SUMIF('TL15'!$C$238:$C$451,$C245,'TL15'!$J$238:$J$451),0),
IF('TL16'!$B$3=M$3,SUMIF('TL16'!$C$10:$C$224,$C245,'TL16'!$J$10:$J$224),0),
IF('TL16'!$B$229=M$3,SUMIF('TL16'!$C$238:$C$451,$C245,'TL16'!$J$238:$J$451),0),
IF('TL17'!$B$3=M$3,SUMIF('TL17'!$C$10:$C$224,$C245,'TL17'!$J$10:$J$224),0),
IF('TL17'!$B$229=M$3,SUMIF('TL17'!$C$238:$C$451,$C245,'TL17'!$J$238:$J$451),0),
IF('TL18'!$B$3=M$3,SUMIF('TL18'!$C$10:$C$224,$C245,'TL18'!$J$10:$J$224),0),
IF('TL18'!$B$229=M$3,SUMIF('TL18'!$C$238:$C$451,$C245,'TL18'!$J$238:$J$451),0),
IF('TL19'!$B$3=M$3,SUMIF('TL19'!$C$10:$C$224,$C245,'TL19'!$J$10:$J$224),0),
IF('TL19'!$B$229=M$3,SUMIF('TL19'!$C$238:$C$451,$C245,'TL19'!$J$238:$J$451),0)
),0)</f>
        <v>0</v>
      </c>
      <c r="N245" s="9">
        <f>IFERROR(SUM(
IF('TL01'!$B$3=N$3,SUMIF('TL01'!$C$10:$C$224,$C245,'TL01'!$J$10:$J$224),0),
IF('TL01'!$B$229=N$3,SUMIF('TL01'!$C$238:$C$451,$C245,'TL01'!$J$238:$J$451),0),
IF('TL02'!$B$3=N$3,SUMIF('TL02'!$C$10:$C$224,$C245,'TL02'!$J$10:$J$224),0),
IF('TL02'!$B$229=N$3,SUMIF('TL02'!$C$238:$C$451,$C245,'TL02'!$J$238:$J$451),0),
IF('TL03'!$B$3=N$3,SUMIF('TL03'!$C$10:$C$224,$C245,'TL03'!$J$10:$J$224),0),
IF('TL03'!$B$229=N$3,SUMIF('TL03'!$C$238:$C$451,$C245,'TL03'!$J$238:$J$451),0),
IF('TL04'!$B$3=N$3,SUMIF('TL04'!$C$10:$C$224,$C245,'TL04'!$J$10:$J$224),0),
IF('TL04'!$B$229=N$3,SUMIF('TL04'!$C$238:$C$451,$C245,'TL04'!$J$238:$J$451),0),
IF('TL05'!$B$3=N$3,SUMIF('TL05'!$C$10:$C$224,$C245,'TL05'!$J$10:$J$224),0),
IF('TL05'!$B$229=N$3,SUMIF('TL05'!$C$238:$C$451,$C245,'TL05'!$J$238:$J$451),0),
IF('TL06'!$B$3=N$3,SUMIF('TL06'!$C$10:$C$224,$C245,'TL06'!$J$10:$J$224),0),
IF('TL06'!$B$229=N$3,SUMIF('TL06'!$C$238:$C$451,$C245,'TL06'!$J$238:$J$451),0),
IF('TL07'!$B$3=N$3,SUMIF('TL07'!$C$10:$C$224,$C245,'TL07'!$J$10:$J$224),0),
IF('TL07'!$B$229=N$3,SUMIF('TL07'!$C$238:$C$451,$C245,'TL07'!$J$238:$J$451),0),
IF('TL08'!$B$3=N$3,SUMIF('TL08'!$C$10:$C$224,$C245,'TL08'!$J$10:$J$224),0),
IF('TL08'!$B$229=N$3,SUMIF('TL08'!$C$238:$C$451,$C245,'TL08'!$J$238:$J$451),0),
IF('TL09'!$B$3=N$3,SUMIF('TL09'!$C$10:$C$224,$C245,'TL09'!$J$10:$J$224),0),
IF('TL09'!$B$229=N$3,SUMIF('TL09'!$C$238:$C$451,$C245,'TL09'!$J$238:$J$451),0),
IF('TL10'!$B$3=N$3,SUMIF('TL10'!$C$10:$C$224,$C245,'TL10'!$J$10:$J$224),0),
IF('TL10'!$B$229=N$3,SUMIF('TL10'!$C$238:$C$451,$C245,'TL10'!$J$238:$J$451),0),
IF('TL11'!$B$3=N$3,SUMIF('TL11'!$C$10:$C$224,$C245,'TL11'!$J$10:$J$224),0),
IF('TL11'!$B$229=N$3,SUMIF('TL11'!$C$238:$C$451,$C245,'TL11'!$J$238:$J$451),0),
IF('TL12'!$B$3=N$3,SUMIF('TL12'!$C$10:$C$224,$C245,'TL12'!$J$10:$J$224),0),
IF('TL12'!$B$229=N$3,SUMIF('TL12'!$C$238:$C$451,$C245,'TL12'!$J$238:$J$451),0),
IF('TL13'!$B$3=N$3,SUMIF('TL13'!$C$10:$C$224,$C245,'TL13'!$J$10:$J$224),0),
IF('TL13'!$B$229=N$3,SUMIF('TL13'!$C$238:$C$451,$C245,'TL13'!$J$238:$J$451),0),
IF('TL14'!$B$3=N$3,SUMIF('TL14'!$C$10:$C$224,$C245,'TL14'!$J$10:$J$224),0),
IF('TL14'!$B$229=N$3,SUMIF('TL14'!$C$238:$C$451,$C245,'TL14'!$J$238:$J$451),0),
IF('TL15'!$B$3=N$3,SUMIF('TL15'!$C$10:$C$224,$C245,'TL15'!$J$10:$J$224),0),
IF('TL15'!$B$229=N$3,SUMIF('TL15'!$C$238:$C$451,$C245,'TL15'!$J$238:$J$451),0),
IF('TL16'!$B$3=N$3,SUMIF('TL16'!$C$10:$C$224,$C245,'TL16'!$J$10:$J$224),0),
IF('TL16'!$B$229=N$3,SUMIF('TL16'!$C$238:$C$451,$C245,'TL16'!$J$238:$J$451),0),
IF('TL17'!$B$3=N$3,SUMIF('TL17'!$C$10:$C$224,$C245,'TL17'!$J$10:$J$224),0),
IF('TL17'!$B$229=N$3,SUMIF('TL17'!$C$238:$C$451,$C245,'TL17'!$J$238:$J$451),0),
IF('TL18'!$B$3=N$3,SUMIF('TL18'!$C$10:$C$224,$C245,'TL18'!$J$10:$J$224),0),
IF('TL18'!$B$229=N$3,SUMIF('TL18'!$C$238:$C$451,$C245,'TL18'!$J$238:$J$451),0),
IF('TL19'!$B$3=N$3,SUMIF('TL19'!$C$10:$C$224,$C245,'TL19'!$J$10:$J$224),0),
IF('TL19'!$B$229=N$3,SUMIF('TL19'!$C$238:$C$451,$C245,'TL19'!$J$238:$J$451),0)
),0)</f>
        <v>0</v>
      </c>
      <c r="O245" s="9">
        <f>IFERROR(SUM(
IF('TL01'!$B$3=O$3,SUMIF('TL01'!$C$10:$C$224,$C245,'TL01'!$J$10:$J$224),0),
IF('TL01'!$B$229=O$3,SUMIF('TL01'!$C$238:$C$451,$C245,'TL01'!$J$238:$J$451),0),
IF('TL02'!$B$3=O$3,SUMIF('TL02'!$C$10:$C$224,$C245,'TL02'!$J$10:$J$224),0),
IF('TL02'!$B$229=O$3,SUMIF('TL02'!$C$238:$C$451,$C245,'TL02'!$J$238:$J$451),0),
IF('TL03'!$B$3=O$3,SUMIF('TL03'!$C$10:$C$224,$C245,'TL03'!$J$10:$J$224),0),
IF('TL03'!$B$229=O$3,SUMIF('TL03'!$C$238:$C$451,$C245,'TL03'!$J$238:$J$451),0),
IF('TL04'!$B$3=O$3,SUMIF('TL04'!$C$10:$C$224,$C245,'TL04'!$J$10:$J$224),0),
IF('TL04'!$B$229=O$3,SUMIF('TL04'!$C$238:$C$451,$C245,'TL04'!$J$238:$J$451),0),
IF('TL05'!$B$3=O$3,SUMIF('TL05'!$C$10:$C$224,$C245,'TL05'!$J$10:$J$224),0),
IF('TL05'!$B$229=O$3,SUMIF('TL05'!$C$238:$C$451,$C245,'TL05'!$J$238:$J$451),0),
IF('TL06'!$B$3=O$3,SUMIF('TL06'!$C$10:$C$224,$C245,'TL06'!$J$10:$J$224),0),
IF('TL06'!$B$229=O$3,SUMIF('TL06'!$C$238:$C$451,$C245,'TL06'!$J$238:$J$451),0),
IF('TL07'!$B$3=O$3,SUMIF('TL07'!$C$10:$C$224,$C245,'TL07'!$J$10:$J$224),0),
IF('TL07'!$B$229=O$3,SUMIF('TL07'!$C$238:$C$451,$C245,'TL07'!$J$238:$J$451),0),
IF('TL08'!$B$3=O$3,SUMIF('TL08'!$C$10:$C$224,$C245,'TL08'!$J$10:$J$224),0),
IF('TL08'!$B$229=O$3,SUMIF('TL08'!$C$238:$C$451,$C245,'TL08'!$J$238:$J$451),0),
IF('TL09'!$B$3=O$3,SUMIF('TL09'!$C$10:$C$224,$C245,'TL09'!$J$10:$J$224),0),
IF('TL09'!$B$229=O$3,SUMIF('TL09'!$C$238:$C$451,$C245,'TL09'!$J$238:$J$451),0),
IF('TL10'!$B$3=O$3,SUMIF('TL10'!$C$10:$C$224,$C245,'TL10'!$J$10:$J$224),0),
IF('TL10'!$B$229=O$3,SUMIF('TL10'!$C$238:$C$451,$C245,'TL10'!$J$238:$J$451),0),
IF('TL11'!$B$3=O$3,SUMIF('TL11'!$C$10:$C$224,$C245,'TL11'!$J$10:$J$224),0),
IF('TL11'!$B$229=O$3,SUMIF('TL11'!$C$238:$C$451,$C245,'TL11'!$J$238:$J$451),0),
IF('TL12'!$B$3=O$3,SUMIF('TL12'!$C$10:$C$224,$C245,'TL12'!$J$10:$J$224),0),
IF('TL12'!$B$229=O$3,SUMIF('TL12'!$C$238:$C$451,$C245,'TL12'!$J$238:$J$451),0),
IF('TL13'!$B$3=O$3,SUMIF('TL13'!$C$10:$C$224,$C245,'TL13'!$J$10:$J$224),0),
IF('TL13'!$B$229=O$3,SUMIF('TL13'!$C$238:$C$451,$C245,'TL13'!$J$238:$J$451),0),
IF('TL14'!$B$3=O$3,SUMIF('TL14'!$C$10:$C$224,$C245,'TL14'!$J$10:$J$224),0),
IF('TL14'!$B$229=O$3,SUMIF('TL14'!$C$238:$C$451,$C245,'TL14'!$J$238:$J$451),0),
IF('TL15'!$B$3=O$3,SUMIF('TL15'!$C$10:$C$224,$C245,'TL15'!$J$10:$J$224),0),
IF('TL15'!$B$229=O$3,SUMIF('TL15'!$C$238:$C$451,$C245,'TL15'!$J$238:$J$451),0),
IF('TL16'!$B$3=O$3,SUMIF('TL16'!$C$10:$C$224,$C245,'TL16'!$J$10:$J$224),0),
IF('TL16'!$B$229=O$3,SUMIF('TL16'!$C$238:$C$451,$C245,'TL16'!$J$238:$J$451),0),
IF('TL17'!$B$3=O$3,SUMIF('TL17'!$C$10:$C$224,$C245,'TL17'!$J$10:$J$224),0),
IF('TL17'!$B$229=O$3,SUMIF('TL17'!$C$238:$C$451,$C245,'TL17'!$J$238:$J$451),0),
IF('TL18'!$B$3=O$3,SUMIF('TL18'!$C$10:$C$224,$C245,'TL18'!$J$10:$J$224),0),
IF('TL18'!$B$229=O$3,SUMIF('TL18'!$C$238:$C$451,$C245,'TL18'!$J$238:$J$451),0),
IF('TL19'!$B$3=O$3,SUMIF('TL19'!$C$10:$C$224,$C245,'TL19'!$J$10:$J$224),0),
IF('TL19'!$B$229=O$3,SUMIF('TL19'!$C$238:$C$451,$C245,'TL19'!$J$238:$J$451),0)
),0)</f>
        <v>0</v>
      </c>
      <c r="P245" s="9">
        <f>IFERROR(SUM(
IF('TL01'!$B$3=P$3,SUMIF('TL01'!$C$10:$C$224,$C245,'TL01'!$J$10:$J$224),0),
IF('TL01'!$B$229=P$3,SUMIF('TL01'!$C$238:$C$451,$C245,'TL01'!$J$238:$J$451),0),
IF('TL02'!$B$3=P$3,SUMIF('TL02'!$C$10:$C$224,$C245,'TL02'!$J$10:$J$224),0),
IF('TL02'!$B$229=P$3,SUMIF('TL02'!$C$238:$C$451,$C245,'TL02'!$J$238:$J$451),0),
IF('TL03'!$B$3=P$3,SUMIF('TL03'!$C$10:$C$224,$C245,'TL03'!$J$10:$J$224),0),
IF('TL03'!$B$229=P$3,SUMIF('TL03'!$C$238:$C$451,$C245,'TL03'!$J$238:$J$451),0),
IF('TL04'!$B$3=P$3,SUMIF('TL04'!$C$10:$C$224,$C245,'TL04'!$J$10:$J$224),0),
IF('TL04'!$B$229=P$3,SUMIF('TL04'!$C$238:$C$451,$C245,'TL04'!$J$238:$J$451),0),
IF('TL05'!$B$3=P$3,SUMIF('TL05'!$C$10:$C$224,$C245,'TL05'!$J$10:$J$224),0),
IF('TL05'!$B$229=P$3,SUMIF('TL05'!$C$238:$C$451,$C245,'TL05'!$J$238:$J$451),0),
IF('TL06'!$B$3=P$3,SUMIF('TL06'!$C$10:$C$224,$C245,'TL06'!$J$10:$J$224),0),
IF('TL06'!$B$229=P$3,SUMIF('TL06'!$C$238:$C$451,$C245,'TL06'!$J$238:$J$451),0),
IF('TL07'!$B$3=P$3,SUMIF('TL07'!$C$10:$C$224,$C245,'TL07'!$J$10:$J$224),0),
IF('TL07'!$B$229=P$3,SUMIF('TL07'!$C$238:$C$451,$C245,'TL07'!$J$238:$J$451),0),
IF('TL08'!$B$3=P$3,SUMIF('TL08'!$C$10:$C$224,$C245,'TL08'!$J$10:$J$224),0),
IF('TL08'!$B$229=P$3,SUMIF('TL08'!$C$238:$C$451,$C245,'TL08'!$J$238:$J$451),0),
IF('TL09'!$B$3=P$3,SUMIF('TL09'!$C$10:$C$224,$C245,'TL09'!$J$10:$J$224),0),
IF('TL09'!$B$229=P$3,SUMIF('TL09'!$C$238:$C$451,$C245,'TL09'!$J$238:$J$451),0),
IF('TL10'!$B$3=P$3,SUMIF('TL10'!$C$10:$C$224,$C245,'TL10'!$J$10:$J$224),0),
IF('TL10'!$B$229=P$3,SUMIF('TL10'!$C$238:$C$451,$C245,'TL10'!$J$238:$J$451),0),
IF('TL11'!$B$3=P$3,SUMIF('TL11'!$C$10:$C$224,$C245,'TL11'!$J$10:$J$224),0),
IF('TL11'!$B$229=P$3,SUMIF('TL11'!$C$238:$C$451,$C245,'TL11'!$J$238:$J$451),0),
IF('TL12'!$B$3=P$3,SUMIF('TL12'!$C$10:$C$224,$C245,'TL12'!$J$10:$J$224),0),
IF('TL12'!$B$229=P$3,SUMIF('TL12'!$C$238:$C$451,$C245,'TL12'!$J$238:$J$451),0),
IF('TL13'!$B$3=P$3,SUMIF('TL13'!$C$10:$C$224,$C245,'TL13'!$J$10:$J$224),0),
IF('TL13'!$B$229=P$3,SUMIF('TL13'!$C$238:$C$451,$C245,'TL13'!$J$238:$J$451),0),
IF('TL14'!$B$3=P$3,SUMIF('TL14'!$C$10:$C$224,$C245,'TL14'!$J$10:$J$224),0),
IF('TL14'!$B$229=P$3,SUMIF('TL14'!$C$238:$C$451,$C245,'TL14'!$J$238:$J$451),0),
IF('TL15'!$B$3=P$3,SUMIF('TL15'!$C$10:$C$224,$C245,'TL15'!$J$10:$J$224),0),
IF('TL15'!$B$229=P$3,SUMIF('TL15'!$C$238:$C$451,$C245,'TL15'!$J$238:$J$451),0),
IF('TL16'!$B$3=P$3,SUMIF('TL16'!$C$10:$C$224,$C245,'TL16'!$J$10:$J$224),0),
IF('TL16'!$B$229=P$3,SUMIF('TL16'!$C$238:$C$451,$C245,'TL16'!$J$238:$J$451),0),
IF('TL17'!$B$3=P$3,SUMIF('TL17'!$C$10:$C$224,$C245,'TL17'!$J$10:$J$224),0),
IF('TL17'!$B$229=P$3,SUMIF('TL17'!$C$238:$C$451,$C245,'TL17'!$J$238:$J$451),0),
IF('TL18'!$B$3=P$3,SUMIF('TL18'!$C$10:$C$224,$C245,'TL18'!$J$10:$J$224),0),
IF('TL18'!$B$229=P$3,SUMIF('TL18'!$C$238:$C$451,$C245,'TL18'!$J$238:$J$451),0),
IF('TL19'!$B$3=P$3,SUMIF('TL19'!$C$10:$C$224,$C245,'TL19'!$J$10:$J$224),0),
IF('TL19'!$B$229=P$3,SUMIF('TL19'!$C$238:$C$451,$C245,'TL19'!$J$238:$J$451),0)
),0)</f>
        <v>0</v>
      </c>
      <c r="Q245" s="9">
        <f>IFERROR(SUM(
IF('TL01'!$B$3=Q$3,SUMIF('TL01'!$C$10:$C$224,$C245,'TL01'!$J$10:$J$224),0),
IF('TL01'!$B$229=Q$3,SUMIF('TL01'!$C$238:$C$451,$C245,'TL01'!$J$238:$J$451),0),
IF('TL02'!$B$3=Q$3,SUMIF('TL02'!$C$10:$C$224,$C245,'TL02'!$J$10:$J$224),0),
IF('TL02'!$B$229=Q$3,SUMIF('TL02'!$C$238:$C$451,$C245,'TL02'!$J$238:$J$451),0),
IF('TL03'!$B$3=Q$3,SUMIF('TL03'!$C$10:$C$224,$C245,'TL03'!$J$10:$J$224),0),
IF('TL03'!$B$229=Q$3,SUMIF('TL03'!$C$238:$C$451,$C245,'TL03'!$J$238:$J$451),0),
IF('TL04'!$B$3=Q$3,SUMIF('TL04'!$C$10:$C$224,$C245,'TL04'!$J$10:$J$224),0),
IF('TL04'!$B$229=Q$3,SUMIF('TL04'!$C$238:$C$451,$C245,'TL04'!$J$238:$J$451),0),
IF('TL05'!$B$3=Q$3,SUMIF('TL05'!$C$10:$C$224,$C245,'TL05'!$J$10:$J$224),0),
IF('TL05'!$B$229=Q$3,SUMIF('TL05'!$C$238:$C$451,$C245,'TL05'!$J$238:$J$451),0),
IF('TL06'!$B$3=Q$3,SUMIF('TL06'!$C$10:$C$224,$C245,'TL06'!$J$10:$J$224),0),
IF('TL06'!$B$229=Q$3,SUMIF('TL06'!$C$238:$C$451,$C245,'TL06'!$J$238:$J$451),0),
IF('TL07'!$B$3=Q$3,SUMIF('TL07'!$C$10:$C$224,$C245,'TL07'!$J$10:$J$224),0),
IF('TL07'!$B$229=Q$3,SUMIF('TL07'!$C$238:$C$451,$C245,'TL07'!$J$238:$J$451),0),
IF('TL08'!$B$3=Q$3,SUMIF('TL08'!$C$10:$C$224,$C245,'TL08'!$J$10:$J$224),0),
IF('TL08'!$B$229=Q$3,SUMIF('TL08'!$C$238:$C$451,$C245,'TL08'!$J$238:$J$451),0),
IF('TL09'!$B$3=Q$3,SUMIF('TL09'!$C$10:$C$224,$C245,'TL09'!$J$10:$J$224),0),
IF('TL09'!$B$229=Q$3,SUMIF('TL09'!$C$238:$C$451,$C245,'TL09'!$J$238:$J$451),0),
IF('TL10'!$B$3=Q$3,SUMIF('TL10'!$C$10:$C$224,$C245,'TL10'!$J$10:$J$224),0),
IF('TL10'!$B$229=Q$3,SUMIF('TL10'!$C$238:$C$451,$C245,'TL10'!$J$238:$J$451),0),
IF('TL11'!$B$3=Q$3,SUMIF('TL11'!$C$10:$C$224,$C245,'TL11'!$J$10:$J$224),0),
IF('TL11'!$B$229=Q$3,SUMIF('TL11'!$C$238:$C$451,$C245,'TL11'!$J$238:$J$451),0),
IF('TL12'!$B$3=Q$3,SUMIF('TL12'!$C$10:$C$224,$C245,'TL12'!$J$10:$J$224),0),
IF('TL12'!$B$229=Q$3,SUMIF('TL12'!$C$238:$C$451,$C245,'TL12'!$J$238:$J$451),0),
IF('TL13'!$B$3=Q$3,SUMIF('TL13'!$C$10:$C$224,$C245,'TL13'!$J$10:$J$224),0),
IF('TL13'!$B$229=Q$3,SUMIF('TL13'!$C$238:$C$451,$C245,'TL13'!$J$238:$J$451),0),
IF('TL14'!$B$3=Q$3,SUMIF('TL14'!$C$10:$C$224,$C245,'TL14'!$J$10:$J$224),0),
IF('TL14'!$B$229=Q$3,SUMIF('TL14'!$C$238:$C$451,$C245,'TL14'!$J$238:$J$451),0),
IF('TL15'!$B$3=Q$3,SUMIF('TL15'!$C$10:$C$224,$C245,'TL15'!$J$10:$J$224),0),
IF('TL15'!$B$229=Q$3,SUMIF('TL15'!$C$238:$C$451,$C245,'TL15'!$J$238:$J$451),0),
IF('TL16'!$B$3=Q$3,SUMIF('TL16'!$C$10:$C$224,$C245,'TL16'!$J$10:$J$224),0),
IF('TL16'!$B$229=Q$3,SUMIF('TL16'!$C$238:$C$451,$C245,'TL16'!$J$238:$J$451),0),
IF('TL17'!$B$3=Q$3,SUMIF('TL17'!$C$10:$C$224,$C245,'TL17'!$J$10:$J$224),0),
IF('TL17'!$B$229=Q$3,SUMIF('TL17'!$C$238:$C$451,$C245,'TL17'!$J$238:$J$451),0),
IF('TL18'!$B$3=Q$3,SUMIF('TL18'!$C$10:$C$224,$C245,'TL18'!$J$10:$J$224),0),
IF('TL18'!$B$229=Q$3,SUMIF('TL18'!$C$238:$C$451,$C245,'TL18'!$J$238:$J$451),0),
IF('TL19'!$B$3=Q$3,SUMIF('TL19'!$C$10:$C$224,$C245,'TL19'!$J$10:$J$224),0),
IF('TL19'!$B$229=Q$3,SUMIF('TL19'!$C$238:$C$451,$C245,'TL19'!$J$238:$J$451),0)
),0)</f>
        <v>0</v>
      </c>
      <c r="R245" s="9">
        <f>IFERROR(
SUM(
SUMIF('TL01'!C:C,C245,'TL01'!J:J),
SUMIF('TL02'!C:C,C245,'TL02'!J:J),
SUMIF('TL03'!C:C,C245,'TL03'!J:J),
SUMIF('TL04'!C:C,C245,'TL04'!J:J),
SUMIF('TL05'!C:C,C245,'TL05'!J:J),
SUMIF('TL06'!C:C,C245,'TL06'!J:J),
SUMIF('TL07'!C:C,C245,'TL07'!J:J),
SUMIF('TL08'!C:C,C245,'TL08'!J:J),
SUMIF('TL09'!C:C,C245,'TL09'!J:J),
SUMIF('TL10'!C:C,C245,'TL10'!J:J),
SUMIF('TL11'!C:C,C245,'TL11'!J:J),
SUMIF('TL12'!C:C,C245,'TL12'!J:J),
SUMIF('TL13'!C:C,C245,'TL13'!J:J),
SUMIF('TL14'!C:C,C245,'TL14'!J:J),
SUMIF('TL15'!C:C,C245,'TL15'!J:J),
SUMIF('TL16'!C:C,C245,'TL16'!J:J),
SUMIF('TL17'!C:C,C245,'TL17'!J:J),
SUMIF('TL18'!C:C,C245,'TL18'!J:J),SUMIF('TL19'!C:C,C245,'TL19'!J:J))
,0)</f>
        <v>0</v>
      </c>
      <c r="S245" s="17">
        <f>IFERROR(__xludf.DUMMYFUNCTION("IFERROR(VLOOKUP(C245,
IMPORTRANGE(""1wULbzX32WdYsx-lj2U3uUNBBe2INVIRDtcK0d-Dvl90"",
""26-27!C:G""),
5,
FALSE),
"""")"),0.0)</f>
        <v>0</v>
      </c>
      <c r="T245" s="9"/>
      <c r="U245" s="92">
        <f t="shared" si="2"/>
        <v>0</v>
      </c>
      <c r="V245" s="93">
        <f t="shared" si="3"/>
        <v>0</v>
      </c>
    </row>
    <row r="246" ht="15.75" hidden="1" customHeight="1">
      <c r="A246" s="119" t="s">
        <v>356</v>
      </c>
      <c r="B246" s="120" t="s">
        <v>900</v>
      </c>
      <c r="C246" s="119" t="s">
        <v>909</v>
      </c>
      <c r="D246" s="119" t="s">
        <v>910</v>
      </c>
      <c r="E246" s="119">
        <v>20.0</v>
      </c>
      <c r="F246" s="4"/>
      <c r="G246" s="90" t="str">
        <f t="shared" si="4"/>
        <v>📄 Ver bula</v>
      </c>
      <c r="H246" s="9" t="str">
        <f>IFERROR(__xludf.DUMMYFUNCTION("IFERROR(VLOOKUP(C246,
IMPORTRANGE(""1wULbzX32WdYsx-lj2U3uUNBBe2INVIRDtcK0d-Dvl90"",
""26-27!C:K""),
8,
FALSE),
"""")"),"")</f>
        <v/>
      </c>
      <c r="I246" s="121" t="s">
        <v>911</v>
      </c>
      <c r="J246" s="9">
        <f>IFERROR(SUM(
IF('TL01'!$B$3=J$3,SUMIF('TL01'!$C$10:$C$224,$C246,'TL01'!$J$10:$J$224),0),
IF('TL01'!$B$229=J$3,SUMIF('TL01'!$C$238:$C$451,$C246,'TL01'!$J$238:$J$451),0),
IF('TL02'!$B$3=J$3,SUMIF('TL02'!$C$10:$C$224,$C246,'TL02'!$J$10:$J$224),0),
IF('TL02'!$B$229=J$3,SUMIF('TL02'!$C$238:$C$451,$C246,'TL02'!$J$238:$J$451),0),
IF('TL03'!$B$3=J$3,SUMIF('TL03'!$C$10:$C$224,$C246,'TL03'!$J$10:$J$224),0),
IF('TL03'!$B$229=J$3,SUMIF('TL03'!$C$238:$C$451,$C246,'TL03'!$J$238:$J$451),0),
IF('TL04'!$B$3=J$3,SUMIF('TL04'!$C$10:$C$224,$C246,'TL04'!$J$10:$J$224),0),
IF('TL04'!$B$229=J$3,SUMIF('TL04'!$C$238:$C$451,$C246,'TL04'!$J$238:$J$451),0),
IF('TL05'!$B$3=J$3,SUMIF('TL05'!$C$10:$C$224,$C246,'TL05'!$J$10:$J$224),0),
IF('TL05'!$B$229=J$3,SUMIF('TL05'!$C$238:$C$451,$C246,'TL05'!$J$238:$J$451),0),
IF('TL06'!$B$3=J$3,SUMIF('TL06'!$C$10:$C$224,$C246,'TL06'!$J$10:$J$224),0),
IF('TL06'!$B$229=J$3,SUMIF('TL06'!$C$238:$C$451,$C246,'TL06'!$J$238:$J$451),0),
IF('TL07'!$B$3=J$3,SUMIF('TL07'!$C$10:$C$224,$C246,'TL07'!$J$10:$J$224),0),
IF('TL07'!$B$229=J$3,SUMIF('TL07'!$C$238:$C$451,$C246,'TL07'!$J$238:$J$451),0),
IF('TL08'!$B$3=J$3,SUMIF('TL08'!$C$10:$C$224,$C246,'TL08'!$J$10:$J$224),0),
IF('TL08'!$B$229=J$3,SUMIF('TL08'!$C$238:$C$451,$C246,'TL08'!$J$238:$J$451),0),
IF('TL09'!$B$3=J$3,SUMIF('TL09'!$C$10:$C$224,$C246,'TL09'!$J$10:$J$224),0),
IF('TL09'!$B$229=J$3,SUMIF('TL09'!$C$238:$C$451,$C246,'TL09'!$J$238:$J$451),0),
IF('TL10'!$B$3=J$3,SUMIF('TL10'!$C$10:$C$224,$C246,'TL10'!$J$10:$J$224),0),
IF('TL10'!$B$229=J$3,SUMIF('TL10'!$C$238:$C$451,$C246,'TL10'!$J$238:$J$451),0),
IF('TL11'!$B$3=J$3,SUMIF('TL11'!$C$10:$C$224,$C246,'TL11'!$J$10:$J$224),0),
IF('TL11'!$B$229=J$3,SUMIF('TL11'!$C$238:$C$451,$C246,'TL11'!$J$238:$J$451),0),
IF('TL12'!$B$3=J$3,SUMIF('TL12'!$C$10:$C$224,$C246,'TL12'!$J$10:$J$224),0),
IF('TL12'!$B$229=J$3,SUMIF('TL12'!$C$238:$C$451,$C246,'TL12'!$J$238:$J$451),0),
IF('TL13'!$B$3=J$3,SUMIF('TL13'!$C$10:$C$224,$C246,'TL13'!$J$10:$J$224),0),
IF('TL13'!$B$229=J$3,SUMIF('TL13'!$C$238:$C$451,$C246,'TL13'!$J$238:$J$451),0),
IF('TL14'!$B$3=J$3,SUMIF('TL14'!$C$10:$C$224,$C246,'TL14'!$J$10:$J$224),0),
IF('TL14'!$B$229=J$3,SUMIF('TL14'!$C$238:$C$451,$C246,'TL14'!$J$238:$J$451),0),
IF('TL15'!$B$3=J$3,SUMIF('TL15'!$C$10:$C$224,$C246,'TL15'!$J$10:$J$224),0),
IF('TL15'!$B$229=J$3,SUMIF('TL15'!$C$238:$C$451,$C246,'TL15'!$J$238:$J$451),0),
IF('TL16'!$B$3=J$3,SUMIF('TL16'!$C$10:$C$224,$C246,'TL16'!$J$10:$J$224),0),
IF('TL16'!$B$229=J$3,SUMIF('TL16'!$C$238:$C$451,$C246,'TL16'!$J$238:$J$451),0),
IF('TL17'!$B$3=J$3,SUMIF('TL17'!$C$10:$C$224,$C246,'TL17'!$J$10:$J$224),0),
IF('TL17'!$B$229=J$3,SUMIF('TL17'!$C$238:$C$451,$C246,'TL17'!$J$238:$J$451),0),
IF('TL18'!$B$3=J$3,SUMIF('TL18'!$C$10:$C$224,$C246,'TL18'!$J$10:$J$224),0),
IF('TL18'!$B$229=J$3,SUMIF('TL18'!$C$238:$C$451,$C246,'TL18'!$J$238:$J$451),0),
IF('TL19'!$B$3=J$3,SUMIF('TL19'!$C$10:$C$224,$C246,'TL19'!$J$10:$J$224),0),
IF('TL19'!$B$229=J$3,SUMIF('TL19'!$C$238:$C$451,$C246,'TL19'!$J$238:$J$451),0)
),0)</f>
        <v>0</v>
      </c>
      <c r="K246" s="9">
        <f>IFERROR(SUM(
IF('TL01'!$B$3=K$3,SUMIF('TL01'!$C$10:$C$224,$C246,'TL01'!$J$10:$J$224),0),
IF('TL01'!$B$229=K$3,SUMIF('TL01'!$C$238:$C$451,$C246,'TL01'!$J$238:$J$451),0),
IF('TL02'!$B$3=K$3,SUMIF('TL02'!$C$10:$C$224,$C246,'TL02'!$J$10:$J$224),0),
IF('TL02'!$B$229=K$3,SUMIF('TL02'!$C$238:$C$451,$C246,'TL02'!$J$238:$J$451),0),
IF('TL03'!$B$3=K$3,SUMIF('TL03'!$C$10:$C$224,$C246,'TL03'!$J$10:$J$224),0),
IF('TL03'!$B$229=K$3,SUMIF('TL03'!$C$238:$C$451,$C246,'TL03'!$J$238:$J$451),0),
IF('TL04'!$B$3=K$3,SUMIF('TL04'!$C$10:$C$224,$C246,'TL04'!$J$10:$J$224),0),
IF('TL04'!$B$229=K$3,SUMIF('TL04'!$C$238:$C$451,$C246,'TL04'!$J$238:$J$451),0),
IF('TL05'!$B$3=K$3,SUMIF('TL05'!$C$10:$C$224,$C246,'TL05'!$J$10:$J$224),0),
IF('TL05'!$B$229=K$3,SUMIF('TL05'!$C$238:$C$451,$C246,'TL05'!$J$238:$J$451),0),
IF('TL06'!$B$3=K$3,SUMIF('TL06'!$C$10:$C$224,$C246,'TL06'!$J$10:$J$224),0),
IF('TL06'!$B$229=K$3,SUMIF('TL06'!$C$238:$C$451,$C246,'TL06'!$J$238:$J$451),0),
IF('TL07'!$B$3=K$3,SUMIF('TL07'!$C$10:$C$224,$C246,'TL07'!$J$10:$J$224),0),
IF('TL07'!$B$229=K$3,SUMIF('TL07'!$C$238:$C$451,$C246,'TL07'!$J$238:$J$451),0),
IF('TL08'!$B$3=K$3,SUMIF('TL08'!$C$10:$C$224,$C246,'TL08'!$J$10:$J$224),0),
IF('TL08'!$B$229=K$3,SUMIF('TL08'!$C$238:$C$451,$C246,'TL08'!$J$238:$J$451),0),
IF('TL09'!$B$3=K$3,SUMIF('TL09'!$C$10:$C$224,$C246,'TL09'!$J$10:$J$224),0),
IF('TL09'!$B$229=K$3,SUMIF('TL09'!$C$238:$C$451,$C246,'TL09'!$J$238:$J$451),0),
IF('TL10'!$B$3=K$3,SUMIF('TL10'!$C$10:$C$224,$C246,'TL10'!$J$10:$J$224),0),
IF('TL10'!$B$229=K$3,SUMIF('TL10'!$C$238:$C$451,$C246,'TL10'!$J$238:$J$451),0),
IF('TL11'!$B$3=K$3,SUMIF('TL11'!$C$10:$C$224,$C246,'TL11'!$J$10:$J$224),0),
IF('TL11'!$B$229=K$3,SUMIF('TL11'!$C$238:$C$451,$C246,'TL11'!$J$238:$J$451),0),
IF('TL12'!$B$3=K$3,SUMIF('TL12'!$C$10:$C$224,$C246,'TL12'!$J$10:$J$224),0),
IF('TL12'!$B$229=K$3,SUMIF('TL12'!$C$238:$C$451,$C246,'TL12'!$J$238:$J$451),0),
IF('TL13'!$B$3=K$3,SUMIF('TL13'!$C$10:$C$224,$C246,'TL13'!$J$10:$J$224),0),
IF('TL13'!$B$229=K$3,SUMIF('TL13'!$C$238:$C$451,$C246,'TL13'!$J$238:$J$451),0),
IF('TL14'!$B$3=K$3,SUMIF('TL14'!$C$10:$C$224,$C246,'TL14'!$J$10:$J$224),0),
IF('TL14'!$B$229=K$3,SUMIF('TL14'!$C$238:$C$451,$C246,'TL14'!$J$238:$J$451),0),
IF('TL15'!$B$3=K$3,SUMIF('TL15'!$C$10:$C$224,$C246,'TL15'!$J$10:$J$224),0),
IF('TL15'!$B$229=K$3,SUMIF('TL15'!$C$238:$C$451,$C246,'TL15'!$J$238:$J$451),0),
IF('TL16'!$B$3=K$3,SUMIF('TL16'!$C$10:$C$224,$C246,'TL16'!$J$10:$J$224),0),
IF('TL16'!$B$229=K$3,SUMIF('TL16'!$C$238:$C$451,$C246,'TL16'!$J$238:$J$451),0),
IF('TL17'!$B$3=K$3,SUMIF('TL17'!$C$10:$C$224,$C246,'TL17'!$J$10:$J$224),0),
IF('TL17'!$B$229=K$3,SUMIF('TL17'!$C$238:$C$451,$C246,'TL17'!$J$238:$J$451),0),
IF('TL18'!$B$3=K$3,SUMIF('TL18'!$C$10:$C$224,$C246,'TL18'!$J$10:$J$224),0),
IF('TL18'!$B$229=K$3,SUMIF('TL18'!$C$238:$C$451,$C246,'TL18'!$J$238:$J$451),0),
IF('TL19'!$B$3=K$3,SUMIF('TL19'!$C$10:$C$224,$C246,'TL19'!$J$10:$J$224),0),
IF('TL19'!$B$229=K$3,SUMIF('TL19'!$C$238:$C$451,$C246,'TL19'!$J$238:$J$451),0)
),0)</f>
        <v>0</v>
      </c>
      <c r="L246" s="9">
        <f>IFERROR(SUM(
IF('TL01'!$B$3=L$3,SUMIF('TL01'!$C$10:$C$224,$C246,'TL01'!$J$10:$J$224),0),
IF('TL01'!$B$229=L$3,SUMIF('TL01'!$C$238:$C$451,$C246,'TL01'!$J$238:$J$451),0),
IF('TL02'!$B$3=L$3,SUMIF('TL02'!$C$10:$C$224,$C246,'TL02'!$J$10:$J$224),0),
IF('TL02'!$B$229=L$3,SUMIF('TL02'!$C$238:$C$451,$C246,'TL02'!$J$238:$J$451),0),
IF('TL03'!$B$3=L$3,SUMIF('TL03'!$C$10:$C$224,$C246,'TL03'!$J$10:$J$224),0),
IF('TL03'!$B$229=L$3,SUMIF('TL03'!$C$238:$C$451,$C246,'TL03'!$J$238:$J$451),0),
IF('TL04'!$B$3=L$3,SUMIF('TL04'!$C$10:$C$224,$C246,'TL04'!$J$10:$J$224),0),
IF('TL04'!$B$229=L$3,SUMIF('TL04'!$C$238:$C$451,$C246,'TL04'!$J$238:$J$451),0),
IF('TL05'!$B$3=L$3,SUMIF('TL05'!$C$10:$C$224,$C246,'TL05'!$J$10:$J$224),0),
IF('TL05'!$B$229=L$3,SUMIF('TL05'!$C$238:$C$451,$C246,'TL05'!$J$238:$J$451),0),
IF('TL06'!$B$3=L$3,SUMIF('TL06'!$C$10:$C$224,$C246,'TL06'!$J$10:$J$224),0),
IF('TL06'!$B$229=L$3,SUMIF('TL06'!$C$238:$C$451,$C246,'TL06'!$J$238:$J$451),0),
IF('TL07'!$B$3=L$3,SUMIF('TL07'!$C$10:$C$224,$C246,'TL07'!$J$10:$J$224),0),
IF('TL07'!$B$229=L$3,SUMIF('TL07'!$C$238:$C$451,$C246,'TL07'!$J$238:$J$451),0),
IF('TL08'!$B$3=L$3,SUMIF('TL08'!$C$10:$C$224,$C246,'TL08'!$J$10:$J$224),0),
IF('TL08'!$B$229=L$3,SUMIF('TL08'!$C$238:$C$451,$C246,'TL08'!$J$238:$J$451),0),
IF('TL09'!$B$3=L$3,SUMIF('TL09'!$C$10:$C$224,$C246,'TL09'!$J$10:$J$224),0),
IF('TL09'!$B$229=L$3,SUMIF('TL09'!$C$238:$C$451,$C246,'TL09'!$J$238:$J$451),0),
IF('TL10'!$B$3=L$3,SUMIF('TL10'!$C$10:$C$224,$C246,'TL10'!$J$10:$J$224),0),
IF('TL10'!$B$229=L$3,SUMIF('TL10'!$C$238:$C$451,$C246,'TL10'!$J$238:$J$451),0),
IF('TL11'!$B$3=L$3,SUMIF('TL11'!$C$10:$C$224,$C246,'TL11'!$J$10:$J$224),0),
IF('TL11'!$B$229=L$3,SUMIF('TL11'!$C$238:$C$451,$C246,'TL11'!$J$238:$J$451),0),
IF('TL12'!$B$3=L$3,SUMIF('TL12'!$C$10:$C$224,$C246,'TL12'!$J$10:$J$224),0),
IF('TL12'!$B$229=L$3,SUMIF('TL12'!$C$238:$C$451,$C246,'TL12'!$J$238:$J$451),0),
IF('TL13'!$B$3=L$3,SUMIF('TL13'!$C$10:$C$224,$C246,'TL13'!$J$10:$J$224),0),
IF('TL13'!$B$229=L$3,SUMIF('TL13'!$C$238:$C$451,$C246,'TL13'!$J$238:$J$451),0),
IF('TL14'!$B$3=L$3,SUMIF('TL14'!$C$10:$C$224,$C246,'TL14'!$J$10:$J$224),0),
IF('TL14'!$B$229=L$3,SUMIF('TL14'!$C$238:$C$451,$C246,'TL14'!$J$238:$J$451),0),
IF('TL15'!$B$3=L$3,SUMIF('TL15'!$C$10:$C$224,$C246,'TL15'!$J$10:$J$224),0),
IF('TL15'!$B$229=L$3,SUMIF('TL15'!$C$238:$C$451,$C246,'TL15'!$J$238:$J$451),0),
IF('TL16'!$B$3=L$3,SUMIF('TL16'!$C$10:$C$224,$C246,'TL16'!$J$10:$J$224),0),
IF('TL16'!$B$229=L$3,SUMIF('TL16'!$C$238:$C$451,$C246,'TL16'!$J$238:$J$451),0),
IF('TL17'!$B$3=L$3,SUMIF('TL17'!$C$10:$C$224,$C246,'TL17'!$J$10:$J$224),0),
IF('TL17'!$B$229=L$3,SUMIF('TL17'!$C$238:$C$451,$C246,'TL17'!$J$238:$J$451),0),
IF('TL18'!$B$3=L$3,SUMIF('TL18'!$C$10:$C$224,$C246,'TL18'!$J$10:$J$224),0),
IF('TL18'!$B$229=L$3,SUMIF('TL18'!$C$238:$C$451,$C246,'TL18'!$J$238:$J$451),0),
IF('TL19'!$B$3=L$3,SUMIF('TL19'!$C$10:$C$224,$C246,'TL19'!$J$10:$J$224),0),
IF('TL19'!$B$229=L$3,SUMIF('TL19'!$C$238:$C$451,$C246,'TL19'!$J$238:$J$451),0)
),0)</f>
        <v>0</v>
      </c>
      <c r="M246" s="9">
        <f>IFERROR(SUM(
IF('TL01'!$B$3=M$3,SUMIF('TL01'!$C$10:$C$224,$C246,'TL01'!$J$10:$J$224),0),
IF('TL01'!$B$229=M$3,SUMIF('TL01'!$C$238:$C$451,$C246,'TL01'!$J$238:$J$451),0),
IF('TL02'!$B$3=M$3,SUMIF('TL02'!$C$10:$C$224,$C246,'TL02'!$J$10:$J$224),0),
IF('TL02'!$B$229=M$3,SUMIF('TL02'!$C$238:$C$451,$C246,'TL02'!$J$238:$J$451),0),
IF('TL03'!$B$3=M$3,SUMIF('TL03'!$C$10:$C$224,$C246,'TL03'!$J$10:$J$224),0),
IF('TL03'!$B$229=M$3,SUMIF('TL03'!$C$238:$C$451,$C246,'TL03'!$J$238:$J$451),0),
IF('TL04'!$B$3=M$3,SUMIF('TL04'!$C$10:$C$224,$C246,'TL04'!$J$10:$J$224),0),
IF('TL04'!$B$229=M$3,SUMIF('TL04'!$C$238:$C$451,$C246,'TL04'!$J$238:$J$451),0),
IF('TL05'!$B$3=M$3,SUMIF('TL05'!$C$10:$C$224,$C246,'TL05'!$J$10:$J$224),0),
IF('TL05'!$B$229=M$3,SUMIF('TL05'!$C$238:$C$451,$C246,'TL05'!$J$238:$J$451),0),
IF('TL06'!$B$3=M$3,SUMIF('TL06'!$C$10:$C$224,$C246,'TL06'!$J$10:$J$224),0),
IF('TL06'!$B$229=M$3,SUMIF('TL06'!$C$238:$C$451,$C246,'TL06'!$J$238:$J$451),0),
IF('TL07'!$B$3=M$3,SUMIF('TL07'!$C$10:$C$224,$C246,'TL07'!$J$10:$J$224),0),
IF('TL07'!$B$229=M$3,SUMIF('TL07'!$C$238:$C$451,$C246,'TL07'!$J$238:$J$451),0),
IF('TL08'!$B$3=M$3,SUMIF('TL08'!$C$10:$C$224,$C246,'TL08'!$J$10:$J$224),0),
IF('TL08'!$B$229=M$3,SUMIF('TL08'!$C$238:$C$451,$C246,'TL08'!$J$238:$J$451),0),
IF('TL09'!$B$3=M$3,SUMIF('TL09'!$C$10:$C$224,$C246,'TL09'!$J$10:$J$224),0),
IF('TL09'!$B$229=M$3,SUMIF('TL09'!$C$238:$C$451,$C246,'TL09'!$J$238:$J$451),0),
IF('TL10'!$B$3=M$3,SUMIF('TL10'!$C$10:$C$224,$C246,'TL10'!$J$10:$J$224),0),
IF('TL10'!$B$229=M$3,SUMIF('TL10'!$C$238:$C$451,$C246,'TL10'!$J$238:$J$451),0),
IF('TL11'!$B$3=M$3,SUMIF('TL11'!$C$10:$C$224,$C246,'TL11'!$J$10:$J$224),0),
IF('TL11'!$B$229=M$3,SUMIF('TL11'!$C$238:$C$451,$C246,'TL11'!$J$238:$J$451),0),
IF('TL12'!$B$3=M$3,SUMIF('TL12'!$C$10:$C$224,$C246,'TL12'!$J$10:$J$224),0),
IF('TL12'!$B$229=M$3,SUMIF('TL12'!$C$238:$C$451,$C246,'TL12'!$J$238:$J$451),0),
IF('TL13'!$B$3=M$3,SUMIF('TL13'!$C$10:$C$224,$C246,'TL13'!$J$10:$J$224),0),
IF('TL13'!$B$229=M$3,SUMIF('TL13'!$C$238:$C$451,$C246,'TL13'!$J$238:$J$451),0),
IF('TL14'!$B$3=M$3,SUMIF('TL14'!$C$10:$C$224,$C246,'TL14'!$J$10:$J$224),0),
IF('TL14'!$B$229=M$3,SUMIF('TL14'!$C$238:$C$451,$C246,'TL14'!$J$238:$J$451),0),
IF('TL15'!$B$3=M$3,SUMIF('TL15'!$C$10:$C$224,$C246,'TL15'!$J$10:$J$224),0),
IF('TL15'!$B$229=M$3,SUMIF('TL15'!$C$238:$C$451,$C246,'TL15'!$J$238:$J$451),0),
IF('TL16'!$B$3=M$3,SUMIF('TL16'!$C$10:$C$224,$C246,'TL16'!$J$10:$J$224),0),
IF('TL16'!$B$229=M$3,SUMIF('TL16'!$C$238:$C$451,$C246,'TL16'!$J$238:$J$451),0),
IF('TL17'!$B$3=M$3,SUMIF('TL17'!$C$10:$C$224,$C246,'TL17'!$J$10:$J$224),0),
IF('TL17'!$B$229=M$3,SUMIF('TL17'!$C$238:$C$451,$C246,'TL17'!$J$238:$J$451),0),
IF('TL18'!$B$3=M$3,SUMIF('TL18'!$C$10:$C$224,$C246,'TL18'!$J$10:$J$224),0),
IF('TL18'!$B$229=M$3,SUMIF('TL18'!$C$238:$C$451,$C246,'TL18'!$J$238:$J$451),0),
IF('TL19'!$B$3=M$3,SUMIF('TL19'!$C$10:$C$224,$C246,'TL19'!$J$10:$J$224),0),
IF('TL19'!$B$229=M$3,SUMIF('TL19'!$C$238:$C$451,$C246,'TL19'!$J$238:$J$451),0)
),0)</f>
        <v>0</v>
      </c>
      <c r="N246" s="9">
        <f>IFERROR(SUM(
IF('TL01'!$B$3=N$3,SUMIF('TL01'!$C$10:$C$224,$C246,'TL01'!$J$10:$J$224),0),
IF('TL01'!$B$229=N$3,SUMIF('TL01'!$C$238:$C$451,$C246,'TL01'!$J$238:$J$451),0),
IF('TL02'!$B$3=N$3,SUMIF('TL02'!$C$10:$C$224,$C246,'TL02'!$J$10:$J$224),0),
IF('TL02'!$B$229=N$3,SUMIF('TL02'!$C$238:$C$451,$C246,'TL02'!$J$238:$J$451),0),
IF('TL03'!$B$3=N$3,SUMIF('TL03'!$C$10:$C$224,$C246,'TL03'!$J$10:$J$224),0),
IF('TL03'!$B$229=N$3,SUMIF('TL03'!$C$238:$C$451,$C246,'TL03'!$J$238:$J$451),0),
IF('TL04'!$B$3=N$3,SUMIF('TL04'!$C$10:$C$224,$C246,'TL04'!$J$10:$J$224),0),
IF('TL04'!$B$229=N$3,SUMIF('TL04'!$C$238:$C$451,$C246,'TL04'!$J$238:$J$451),0),
IF('TL05'!$B$3=N$3,SUMIF('TL05'!$C$10:$C$224,$C246,'TL05'!$J$10:$J$224),0),
IF('TL05'!$B$229=N$3,SUMIF('TL05'!$C$238:$C$451,$C246,'TL05'!$J$238:$J$451),0),
IF('TL06'!$B$3=N$3,SUMIF('TL06'!$C$10:$C$224,$C246,'TL06'!$J$10:$J$224),0),
IF('TL06'!$B$229=N$3,SUMIF('TL06'!$C$238:$C$451,$C246,'TL06'!$J$238:$J$451),0),
IF('TL07'!$B$3=N$3,SUMIF('TL07'!$C$10:$C$224,$C246,'TL07'!$J$10:$J$224),0),
IF('TL07'!$B$229=N$3,SUMIF('TL07'!$C$238:$C$451,$C246,'TL07'!$J$238:$J$451),0),
IF('TL08'!$B$3=N$3,SUMIF('TL08'!$C$10:$C$224,$C246,'TL08'!$J$10:$J$224),0),
IF('TL08'!$B$229=N$3,SUMIF('TL08'!$C$238:$C$451,$C246,'TL08'!$J$238:$J$451),0),
IF('TL09'!$B$3=N$3,SUMIF('TL09'!$C$10:$C$224,$C246,'TL09'!$J$10:$J$224),0),
IF('TL09'!$B$229=N$3,SUMIF('TL09'!$C$238:$C$451,$C246,'TL09'!$J$238:$J$451),0),
IF('TL10'!$B$3=N$3,SUMIF('TL10'!$C$10:$C$224,$C246,'TL10'!$J$10:$J$224),0),
IF('TL10'!$B$229=N$3,SUMIF('TL10'!$C$238:$C$451,$C246,'TL10'!$J$238:$J$451),0),
IF('TL11'!$B$3=N$3,SUMIF('TL11'!$C$10:$C$224,$C246,'TL11'!$J$10:$J$224),0),
IF('TL11'!$B$229=N$3,SUMIF('TL11'!$C$238:$C$451,$C246,'TL11'!$J$238:$J$451),0),
IF('TL12'!$B$3=N$3,SUMIF('TL12'!$C$10:$C$224,$C246,'TL12'!$J$10:$J$224),0),
IF('TL12'!$B$229=N$3,SUMIF('TL12'!$C$238:$C$451,$C246,'TL12'!$J$238:$J$451),0),
IF('TL13'!$B$3=N$3,SUMIF('TL13'!$C$10:$C$224,$C246,'TL13'!$J$10:$J$224),0),
IF('TL13'!$B$229=N$3,SUMIF('TL13'!$C$238:$C$451,$C246,'TL13'!$J$238:$J$451),0),
IF('TL14'!$B$3=N$3,SUMIF('TL14'!$C$10:$C$224,$C246,'TL14'!$J$10:$J$224),0),
IF('TL14'!$B$229=N$3,SUMIF('TL14'!$C$238:$C$451,$C246,'TL14'!$J$238:$J$451),0),
IF('TL15'!$B$3=N$3,SUMIF('TL15'!$C$10:$C$224,$C246,'TL15'!$J$10:$J$224),0),
IF('TL15'!$B$229=N$3,SUMIF('TL15'!$C$238:$C$451,$C246,'TL15'!$J$238:$J$451),0),
IF('TL16'!$B$3=N$3,SUMIF('TL16'!$C$10:$C$224,$C246,'TL16'!$J$10:$J$224),0),
IF('TL16'!$B$229=N$3,SUMIF('TL16'!$C$238:$C$451,$C246,'TL16'!$J$238:$J$451),0),
IF('TL17'!$B$3=N$3,SUMIF('TL17'!$C$10:$C$224,$C246,'TL17'!$J$10:$J$224),0),
IF('TL17'!$B$229=N$3,SUMIF('TL17'!$C$238:$C$451,$C246,'TL17'!$J$238:$J$451),0),
IF('TL18'!$B$3=N$3,SUMIF('TL18'!$C$10:$C$224,$C246,'TL18'!$J$10:$J$224),0),
IF('TL18'!$B$229=N$3,SUMIF('TL18'!$C$238:$C$451,$C246,'TL18'!$J$238:$J$451),0),
IF('TL19'!$B$3=N$3,SUMIF('TL19'!$C$10:$C$224,$C246,'TL19'!$J$10:$J$224),0),
IF('TL19'!$B$229=N$3,SUMIF('TL19'!$C$238:$C$451,$C246,'TL19'!$J$238:$J$451),0)
),0)</f>
        <v>0</v>
      </c>
      <c r="O246" s="9">
        <f>IFERROR(SUM(
IF('TL01'!$B$3=O$3,SUMIF('TL01'!$C$10:$C$224,$C246,'TL01'!$J$10:$J$224),0),
IF('TL01'!$B$229=O$3,SUMIF('TL01'!$C$238:$C$451,$C246,'TL01'!$J$238:$J$451),0),
IF('TL02'!$B$3=O$3,SUMIF('TL02'!$C$10:$C$224,$C246,'TL02'!$J$10:$J$224),0),
IF('TL02'!$B$229=O$3,SUMIF('TL02'!$C$238:$C$451,$C246,'TL02'!$J$238:$J$451),0),
IF('TL03'!$B$3=O$3,SUMIF('TL03'!$C$10:$C$224,$C246,'TL03'!$J$10:$J$224),0),
IF('TL03'!$B$229=O$3,SUMIF('TL03'!$C$238:$C$451,$C246,'TL03'!$J$238:$J$451),0),
IF('TL04'!$B$3=O$3,SUMIF('TL04'!$C$10:$C$224,$C246,'TL04'!$J$10:$J$224),0),
IF('TL04'!$B$229=O$3,SUMIF('TL04'!$C$238:$C$451,$C246,'TL04'!$J$238:$J$451),0),
IF('TL05'!$B$3=O$3,SUMIF('TL05'!$C$10:$C$224,$C246,'TL05'!$J$10:$J$224),0),
IF('TL05'!$B$229=O$3,SUMIF('TL05'!$C$238:$C$451,$C246,'TL05'!$J$238:$J$451),0),
IF('TL06'!$B$3=O$3,SUMIF('TL06'!$C$10:$C$224,$C246,'TL06'!$J$10:$J$224),0),
IF('TL06'!$B$229=O$3,SUMIF('TL06'!$C$238:$C$451,$C246,'TL06'!$J$238:$J$451),0),
IF('TL07'!$B$3=O$3,SUMIF('TL07'!$C$10:$C$224,$C246,'TL07'!$J$10:$J$224),0),
IF('TL07'!$B$229=O$3,SUMIF('TL07'!$C$238:$C$451,$C246,'TL07'!$J$238:$J$451),0),
IF('TL08'!$B$3=O$3,SUMIF('TL08'!$C$10:$C$224,$C246,'TL08'!$J$10:$J$224),0),
IF('TL08'!$B$229=O$3,SUMIF('TL08'!$C$238:$C$451,$C246,'TL08'!$J$238:$J$451),0),
IF('TL09'!$B$3=O$3,SUMIF('TL09'!$C$10:$C$224,$C246,'TL09'!$J$10:$J$224),0),
IF('TL09'!$B$229=O$3,SUMIF('TL09'!$C$238:$C$451,$C246,'TL09'!$J$238:$J$451),0),
IF('TL10'!$B$3=O$3,SUMIF('TL10'!$C$10:$C$224,$C246,'TL10'!$J$10:$J$224),0),
IF('TL10'!$B$229=O$3,SUMIF('TL10'!$C$238:$C$451,$C246,'TL10'!$J$238:$J$451),0),
IF('TL11'!$B$3=O$3,SUMIF('TL11'!$C$10:$C$224,$C246,'TL11'!$J$10:$J$224),0),
IF('TL11'!$B$229=O$3,SUMIF('TL11'!$C$238:$C$451,$C246,'TL11'!$J$238:$J$451),0),
IF('TL12'!$B$3=O$3,SUMIF('TL12'!$C$10:$C$224,$C246,'TL12'!$J$10:$J$224),0),
IF('TL12'!$B$229=O$3,SUMIF('TL12'!$C$238:$C$451,$C246,'TL12'!$J$238:$J$451),0),
IF('TL13'!$B$3=O$3,SUMIF('TL13'!$C$10:$C$224,$C246,'TL13'!$J$10:$J$224),0),
IF('TL13'!$B$229=O$3,SUMIF('TL13'!$C$238:$C$451,$C246,'TL13'!$J$238:$J$451),0),
IF('TL14'!$B$3=O$3,SUMIF('TL14'!$C$10:$C$224,$C246,'TL14'!$J$10:$J$224),0),
IF('TL14'!$B$229=O$3,SUMIF('TL14'!$C$238:$C$451,$C246,'TL14'!$J$238:$J$451),0),
IF('TL15'!$B$3=O$3,SUMIF('TL15'!$C$10:$C$224,$C246,'TL15'!$J$10:$J$224),0),
IF('TL15'!$B$229=O$3,SUMIF('TL15'!$C$238:$C$451,$C246,'TL15'!$J$238:$J$451),0),
IF('TL16'!$B$3=O$3,SUMIF('TL16'!$C$10:$C$224,$C246,'TL16'!$J$10:$J$224),0),
IF('TL16'!$B$229=O$3,SUMIF('TL16'!$C$238:$C$451,$C246,'TL16'!$J$238:$J$451),0),
IF('TL17'!$B$3=O$3,SUMIF('TL17'!$C$10:$C$224,$C246,'TL17'!$J$10:$J$224),0),
IF('TL17'!$B$229=O$3,SUMIF('TL17'!$C$238:$C$451,$C246,'TL17'!$J$238:$J$451),0),
IF('TL18'!$B$3=O$3,SUMIF('TL18'!$C$10:$C$224,$C246,'TL18'!$J$10:$J$224),0),
IF('TL18'!$B$229=O$3,SUMIF('TL18'!$C$238:$C$451,$C246,'TL18'!$J$238:$J$451),0),
IF('TL19'!$B$3=O$3,SUMIF('TL19'!$C$10:$C$224,$C246,'TL19'!$J$10:$J$224),0),
IF('TL19'!$B$229=O$3,SUMIF('TL19'!$C$238:$C$451,$C246,'TL19'!$J$238:$J$451),0)
),0)</f>
        <v>0</v>
      </c>
      <c r="P246" s="9">
        <f>IFERROR(SUM(
IF('TL01'!$B$3=P$3,SUMIF('TL01'!$C$10:$C$224,$C246,'TL01'!$J$10:$J$224),0),
IF('TL01'!$B$229=P$3,SUMIF('TL01'!$C$238:$C$451,$C246,'TL01'!$J$238:$J$451),0),
IF('TL02'!$B$3=P$3,SUMIF('TL02'!$C$10:$C$224,$C246,'TL02'!$J$10:$J$224),0),
IF('TL02'!$B$229=P$3,SUMIF('TL02'!$C$238:$C$451,$C246,'TL02'!$J$238:$J$451),0),
IF('TL03'!$B$3=P$3,SUMIF('TL03'!$C$10:$C$224,$C246,'TL03'!$J$10:$J$224),0),
IF('TL03'!$B$229=P$3,SUMIF('TL03'!$C$238:$C$451,$C246,'TL03'!$J$238:$J$451),0),
IF('TL04'!$B$3=P$3,SUMIF('TL04'!$C$10:$C$224,$C246,'TL04'!$J$10:$J$224),0),
IF('TL04'!$B$229=P$3,SUMIF('TL04'!$C$238:$C$451,$C246,'TL04'!$J$238:$J$451),0),
IF('TL05'!$B$3=P$3,SUMIF('TL05'!$C$10:$C$224,$C246,'TL05'!$J$10:$J$224),0),
IF('TL05'!$B$229=P$3,SUMIF('TL05'!$C$238:$C$451,$C246,'TL05'!$J$238:$J$451),0),
IF('TL06'!$B$3=P$3,SUMIF('TL06'!$C$10:$C$224,$C246,'TL06'!$J$10:$J$224),0),
IF('TL06'!$B$229=P$3,SUMIF('TL06'!$C$238:$C$451,$C246,'TL06'!$J$238:$J$451),0),
IF('TL07'!$B$3=P$3,SUMIF('TL07'!$C$10:$C$224,$C246,'TL07'!$J$10:$J$224),0),
IF('TL07'!$B$229=P$3,SUMIF('TL07'!$C$238:$C$451,$C246,'TL07'!$J$238:$J$451),0),
IF('TL08'!$B$3=P$3,SUMIF('TL08'!$C$10:$C$224,$C246,'TL08'!$J$10:$J$224),0),
IF('TL08'!$B$229=P$3,SUMIF('TL08'!$C$238:$C$451,$C246,'TL08'!$J$238:$J$451),0),
IF('TL09'!$B$3=P$3,SUMIF('TL09'!$C$10:$C$224,$C246,'TL09'!$J$10:$J$224),0),
IF('TL09'!$B$229=P$3,SUMIF('TL09'!$C$238:$C$451,$C246,'TL09'!$J$238:$J$451),0),
IF('TL10'!$B$3=P$3,SUMIF('TL10'!$C$10:$C$224,$C246,'TL10'!$J$10:$J$224),0),
IF('TL10'!$B$229=P$3,SUMIF('TL10'!$C$238:$C$451,$C246,'TL10'!$J$238:$J$451),0),
IF('TL11'!$B$3=P$3,SUMIF('TL11'!$C$10:$C$224,$C246,'TL11'!$J$10:$J$224),0),
IF('TL11'!$B$229=P$3,SUMIF('TL11'!$C$238:$C$451,$C246,'TL11'!$J$238:$J$451),0),
IF('TL12'!$B$3=P$3,SUMIF('TL12'!$C$10:$C$224,$C246,'TL12'!$J$10:$J$224),0),
IF('TL12'!$B$229=P$3,SUMIF('TL12'!$C$238:$C$451,$C246,'TL12'!$J$238:$J$451),0),
IF('TL13'!$B$3=P$3,SUMIF('TL13'!$C$10:$C$224,$C246,'TL13'!$J$10:$J$224),0),
IF('TL13'!$B$229=P$3,SUMIF('TL13'!$C$238:$C$451,$C246,'TL13'!$J$238:$J$451),0),
IF('TL14'!$B$3=P$3,SUMIF('TL14'!$C$10:$C$224,$C246,'TL14'!$J$10:$J$224),0),
IF('TL14'!$B$229=P$3,SUMIF('TL14'!$C$238:$C$451,$C246,'TL14'!$J$238:$J$451),0),
IF('TL15'!$B$3=P$3,SUMIF('TL15'!$C$10:$C$224,$C246,'TL15'!$J$10:$J$224),0),
IF('TL15'!$B$229=P$3,SUMIF('TL15'!$C$238:$C$451,$C246,'TL15'!$J$238:$J$451),0),
IF('TL16'!$B$3=P$3,SUMIF('TL16'!$C$10:$C$224,$C246,'TL16'!$J$10:$J$224),0),
IF('TL16'!$B$229=P$3,SUMIF('TL16'!$C$238:$C$451,$C246,'TL16'!$J$238:$J$451),0),
IF('TL17'!$B$3=P$3,SUMIF('TL17'!$C$10:$C$224,$C246,'TL17'!$J$10:$J$224),0),
IF('TL17'!$B$229=P$3,SUMIF('TL17'!$C$238:$C$451,$C246,'TL17'!$J$238:$J$451),0),
IF('TL18'!$B$3=P$3,SUMIF('TL18'!$C$10:$C$224,$C246,'TL18'!$J$10:$J$224),0),
IF('TL18'!$B$229=P$3,SUMIF('TL18'!$C$238:$C$451,$C246,'TL18'!$J$238:$J$451),0),
IF('TL19'!$B$3=P$3,SUMIF('TL19'!$C$10:$C$224,$C246,'TL19'!$J$10:$J$224),0),
IF('TL19'!$B$229=P$3,SUMIF('TL19'!$C$238:$C$451,$C246,'TL19'!$J$238:$J$451),0)
),0)</f>
        <v>0</v>
      </c>
      <c r="Q246" s="9">
        <f>IFERROR(SUM(
IF('TL01'!$B$3=Q$3,SUMIF('TL01'!$C$10:$C$224,$C246,'TL01'!$J$10:$J$224),0),
IF('TL01'!$B$229=Q$3,SUMIF('TL01'!$C$238:$C$451,$C246,'TL01'!$J$238:$J$451),0),
IF('TL02'!$B$3=Q$3,SUMIF('TL02'!$C$10:$C$224,$C246,'TL02'!$J$10:$J$224),0),
IF('TL02'!$B$229=Q$3,SUMIF('TL02'!$C$238:$C$451,$C246,'TL02'!$J$238:$J$451),0),
IF('TL03'!$B$3=Q$3,SUMIF('TL03'!$C$10:$C$224,$C246,'TL03'!$J$10:$J$224),0),
IF('TL03'!$B$229=Q$3,SUMIF('TL03'!$C$238:$C$451,$C246,'TL03'!$J$238:$J$451),0),
IF('TL04'!$B$3=Q$3,SUMIF('TL04'!$C$10:$C$224,$C246,'TL04'!$J$10:$J$224),0),
IF('TL04'!$B$229=Q$3,SUMIF('TL04'!$C$238:$C$451,$C246,'TL04'!$J$238:$J$451),0),
IF('TL05'!$B$3=Q$3,SUMIF('TL05'!$C$10:$C$224,$C246,'TL05'!$J$10:$J$224),0),
IF('TL05'!$B$229=Q$3,SUMIF('TL05'!$C$238:$C$451,$C246,'TL05'!$J$238:$J$451),0),
IF('TL06'!$B$3=Q$3,SUMIF('TL06'!$C$10:$C$224,$C246,'TL06'!$J$10:$J$224),0),
IF('TL06'!$B$229=Q$3,SUMIF('TL06'!$C$238:$C$451,$C246,'TL06'!$J$238:$J$451),0),
IF('TL07'!$B$3=Q$3,SUMIF('TL07'!$C$10:$C$224,$C246,'TL07'!$J$10:$J$224),0),
IF('TL07'!$B$229=Q$3,SUMIF('TL07'!$C$238:$C$451,$C246,'TL07'!$J$238:$J$451),0),
IF('TL08'!$B$3=Q$3,SUMIF('TL08'!$C$10:$C$224,$C246,'TL08'!$J$10:$J$224),0),
IF('TL08'!$B$229=Q$3,SUMIF('TL08'!$C$238:$C$451,$C246,'TL08'!$J$238:$J$451),0),
IF('TL09'!$B$3=Q$3,SUMIF('TL09'!$C$10:$C$224,$C246,'TL09'!$J$10:$J$224),0),
IF('TL09'!$B$229=Q$3,SUMIF('TL09'!$C$238:$C$451,$C246,'TL09'!$J$238:$J$451),0),
IF('TL10'!$B$3=Q$3,SUMIF('TL10'!$C$10:$C$224,$C246,'TL10'!$J$10:$J$224),0),
IF('TL10'!$B$229=Q$3,SUMIF('TL10'!$C$238:$C$451,$C246,'TL10'!$J$238:$J$451),0),
IF('TL11'!$B$3=Q$3,SUMIF('TL11'!$C$10:$C$224,$C246,'TL11'!$J$10:$J$224),0),
IF('TL11'!$B$229=Q$3,SUMIF('TL11'!$C$238:$C$451,$C246,'TL11'!$J$238:$J$451),0),
IF('TL12'!$B$3=Q$3,SUMIF('TL12'!$C$10:$C$224,$C246,'TL12'!$J$10:$J$224),0),
IF('TL12'!$B$229=Q$3,SUMIF('TL12'!$C$238:$C$451,$C246,'TL12'!$J$238:$J$451),0),
IF('TL13'!$B$3=Q$3,SUMIF('TL13'!$C$10:$C$224,$C246,'TL13'!$J$10:$J$224),0),
IF('TL13'!$B$229=Q$3,SUMIF('TL13'!$C$238:$C$451,$C246,'TL13'!$J$238:$J$451),0),
IF('TL14'!$B$3=Q$3,SUMIF('TL14'!$C$10:$C$224,$C246,'TL14'!$J$10:$J$224),0),
IF('TL14'!$B$229=Q$3,SUMIF('TL14'!$C$238:$C$451,$C246,'TL14'!$J$238:$J$451),0),
IF('TL15'!$B$3=Q$3,SUMIF('TL15'!$C$10:$C$224,$C246,'TL15'!$J$10:$J$224),0),
IF('TL15'!$B$229=Q$3,SUMIF('TL15'!$C$238:$C$451,$C246,'TL15'!$J$238:$J$451),0),
IF('TL16'!$B$3=Q$3,SUMIF('TL16'!$C$10:$C$224,$C246,'TL16'!$J$10:$J$224),0),
IF('TL16'!$B$229=Q$3,SUMIF('TL16'!$C$238:$C$451,$C246,'TL16'!$J$238:$J$451),0),
IF('TL17'!$B$3=Q$3,SUMIF('TL17'!$C$10:$C$224,$C246,'TL17'!$J$10:$J$224),0),
IF('TL17'!$B$229=Q$3,SUMIF('TL17'!$C$238:$C$451,$C246,'TL17'!$J$238:$J$451),0),
IF('TL18'!$B$3=Q$3,SUMIF('TL18'!$C$10:$C$224,$C246,'TL18'!$J$10:$J$224),0),
IF('TL18'!$B$229=Q$3,SUMIF('TL18'!$C$238:$C$451,$C246,'TL18'!$J$238:$J$451),0),
IF('TL19'!$B$3=Q$3,SUMIF('TL19'!$C$10:$C$224,$C246,'TL19'!$J$10:$J$224),0),
IF('TL19'!$B$229=Q$3,SUMIF('TL19'!$C$238:$C$451,$C246,'TL19'!$J$238:$J$451),0)
),0)</f>
        <v>0</v>
      </c>
      <c r="R246" s="9">
        <f>IFERROR(
SUM(
SUMIF('TL01'!C:C,C246,'TL01'!J:J),
SUMIF('TL02'!C:C,C246,'TL02'!J:J),
SUMIF('TL03'!C:C,C246,'TL03'!J:J),
SUMIF('TL04'!C:C,C246,'TL04'!J:J),
SUMIF('TL05'!C:C,C246,'TL05'!J:J),
SUMIF('TL06'!C:C,C246,'TL06'!J:J),
SUMIF('TL07'!C:C,C246,'TL07'!J:J),
SUMIF('TL08'!C:C,C246,'TL08'!J:J),
SUMIF('TL09'!C:C,C246,'TL09'!J:J),
SUMIF('TL10'!C:C,C246,'TL10'!J:J),
SUMIF('TL11'!C:C,C246,'TL11'!J:J),
SUMIF('TL12'!C:C,C246,'TL12'!J:J),
SUMIF('TL13'!C:C,C246,'TL13'!J:J),
SUMIF('TL14'!C:C,C246,'TL14'!J:J),
SUMIF('TL15'!C:C,C246,'TL15'!J:J),
SUMIF('TL16'!C:C,C246,'TL16'!J:J),
SUMIF('TL17'!C:C,C246,'TL17'!J:J),
SUMIF('TL18'!C:C,C246,'TL18'!J:J),SUMIF('TL19'!C:C,C246,'TL19'!J:J))
,0)</f>
        <v>0</v>
      </c>
      <c r="S246" s="17">
        <f>IFERROR(__xludf.DUMMYFUNCTION("IFERROR(VLOOKUP(C246,
IMPORTRANGE(""1wULbzX32WdYsx-lj2U3uUNBBe2INVIRDtcK0d-Dvl90"",
""26-27!C:G""),
5,
FALSE),
"""")"),0.0)</f>
        <v>0</v>
      </c>
      <c r="T246" s="9"/>
      <c r="U246" s="92">
        <f t="shared" si="2"/>
        <v>0</v>
      </c>
      <c r="V246" s="93">
        <f t="shared" si="3"/>
        <v>0</v>
      </c>
    </row>
    <row r="247" ht="15.75" hidden="1" customHeight="1">
      <c r="A247" s="122" t="s">
        <v>356</v>
      </c>
      <c r="B247" s="120" t="s">
        <v>900</v>
      </c>
      <c r="C247" s="122" t="s">
        <v>912</v>
      </c>
      <c r="D247" s="122" t="s">
        <v>913</v>
      </c>
      <c r="E247" s="122">
        <v>400.0</v>
      </c>
      <c r="F247" s="4"/>
      <c r="G247" s="90" t="str">
        <f t="shared" si="4"/>
        <v>📄 Ver bula</v>
      </c>
      <c r="H247" s="9" t="str">
        <f>IFERROR(__xludf.DUMMYFUNCTION("IFERROR(VLOOKUP(C247,
IMPORTRANGE(""1wULbzX32WdYsx-lj2U3uUNBBe2INVIRDtcK0d-Dvl90"",
""26-27!C:K""),
8,
FALSE),
"""")"),"")</f>
        <v/>
      </c>
      <c r="I247" s="123" t="s">
        <v>914</v>
      </c>
      <c r="J247" s="9">
        <f>IFERROR(SUM(
IF('TL01'!$B$3=J$3,SUMIF('TL01'!$C$10:$C$224,$C247,'TL01'!$J$10:$J$224),0),
IF('TL01'!$B$229=J$3,SUMIF('TL01'!$C$238:$C$451,$C247,'TL01'!$J$238:$J$451),0),
IF('TL02'!$B$3=J$3,SUMIF('TL02'!$C$10:$C$224,$C247,'TL02'!$J$10:$J$224),0),
IF('TL02'!$B$229=J$3,SUMIF('TL02'!$C$238:$C$451,$C247,'TL02'!$J$238:$J$451),0),
IF('TL03'!$B$3=J$3,SUMIF('TL03'!$C$10:$C$224,$C247,'TL03'!$J$10:$J$224),0),
IF('TL03'!$B$229=J$3,SUMIF('TL03'!$C$238:$C$451,$C247,'TL03'!$J$238:$J$451),0),
IF('TL04'!$B$3=J$3,SUMIF('TL04'!$C$10:$C$224,$C247,'TL04'!$J$10:$J$224),0),
IF('TL04'!$B$229=J$3,SUMIF('TL04'!$C$238:$C$451,$C247,'TL04'!$J$238:$J$451),0),
IF('TL05'!$B$3=J$3,SUMIF('TL05'!$C$10:$C$224,$C247,'TL05'!$J$10:$J$224),0),
IF('TL05'!$B$229=J$3,SUMIF('TL05'!$C$238:$C$451,$C247,'TL05'!$J$238:$J$451),0),
IF('TL06'!$B$3=J$3,SUMIF('TL06'!$C$10:$C$224,$C247,'TL06'!$J$10:$J$224),0),
IF('TL06'!$B$229=J$3,SUMIF('TL06'!$C$238:$C$451,$C247,'TL06'!$J$238:$J$451),0),
IF('TL07'!$B$3=J$3,SUMIF('TL07'!$C$10:$C$224,$C247,'TL07'!$J$10:$J$224),0),
IF('TL07'!$B$229=J$3,SUMIF('TL07'!$C$238:$C$451,$C247,'TL07'!$J$238:$J$451),0),
IF('TL08'!$B$3=J$3,SUMIF('TL08'!$C$10:$C$224,$C247,'TL08'!$J$10:$J$224),0),
IF('TL08'!$B$229=J$3,SUMIF('TL08'!$C$238:$C$451,$C247,'TL08'!$J$238:$J$451),0),
IF('TL09'!$B$3=J$3,SUMIF('TL09'!$C$10:$C$224,$C247,'TL09'!$J$10:$J$224),0),
IF('TL09'!$B$229=J$3,SUMIF('TL09'!$C$238:$C$451,$C247,'TL09'!$J$238:$J$451),0),
IF('TL10'!$B$3=J$3,SUMIF('TL10'!$C$10:$C$224,$C247,'TL10'!$J$10:$J$224),0),
IF('TL10'!$B$229=J$3,SUMIF('TL10'!$C$238:$C$451,$C247,'TL10'!$J$238:$J$451),0),
IF('TL11'!$B$3=J$3,SUMIF('TL11'!$C$10:$C$224,$C247,'TL11'!$J$10:$J$224),0),
IF('TL11'!$B$229=J$3,SUMIF('TL11'!$C$238:$C$451,$C247,'TL11'!$J$238:$J$451),0),
IF('TL12'!$B$3=J$3,SUMIF('TL12'!$C$10:$C$224,$C247,'TL12'!$J$10:$J$224),0),
IF('TL12'!$B$229=J$3,SUMIF('TL12'!$C$238:$C$451,$C247,'TL12'!$J$238:$J$451),0),
IF('TL13'!$B$3=J$3,SUMIF('TL13'!$C$10:$C$224,$C247,'TL13'!$J$10:$J$224),0),
IF('TL13'!$B$229=J$3,SUMIF('TL13'!$C$238:$C$451,$C247,'TL13'!$J$238:$J$451),0),
IF('TL14'!$B$3=J$3,SUMIF('TL14'!$C$10:$C$224,$C247,'TL14'!$J$10:$J$224),0),
IF('TL14'!$B$229=J$3,SUMIF('TL14'!$C$238:$C$451,$C247,'TL14'!$J$238:$J$451),0),
IF('TL15'!$B$3=J$3,SUMIF('TL15'!$C$10:$C$224,$C247,'TL15'!$J$10:$J$224),0),
IF('TL15'!$B$229=J$3,SUMIF('TL15'!$C$238:$C$451,$C247,'TL15'!$J$238:$J$451),0),
IF('TL16'!$B$3=J$3,SUMIF('TL16'!$C$10:$C$224,$C247,'TL16'!$J$10:$J$224),0),
IF('TL16'!$B$229=J$3,SUMIF('TL16'!$C$238:$C$451,$C247,'TL16'!$J$238:$J$451),0),
IF('TL17'!$B$3=J$3,SUMIF('TL17'!$C$10:$C$224,$C247,'TL17'!$J$10:$J$224),0),
IF('TL17'!$B$229=J$3,SUMIF('TL17'!$C$238:$C$451,$C247,'TL17'!$J$238:$J$451),0),
IF('TL18'!$B$3=J$3,SUMIF('TL18'!$C$10:$C$224,$C247,'TL18'!$J$10:$J$224),0),
IF('TL18'!$B$229=J$3,SUMIF('TL18'!$C$238:$C$451,$C247,'TL18'!$J$238:$J$451),0),
IF('TL19'!$B$3=J$3,SUMIF('TL19'!$C$10:$C$224,$C247,'TL19'!$J$10:$J$224),0),
IF('TL19'!$B$229=J$3,SUMIF('TL19'!$C$238:$C$451,$C247,'TL19'!$J$238:$J$451),0)
),0)</f>
        <v>0</v>
      </c>
      <c r="K247" s="9">
        <f>IFERROR(SUM(
IF('TL01'!$B$3=K$3,SUMIF('TL01'!$C$10:$C$224,$C247,'TL01'!$J$10:$J$224),0),
IF('TL01'!$B$229=K$3,SUMIF('TL01'!$C$238:$C$451,$C247,'TL01'!$J$238:$J$451),0),
IF('TL02'!$B$3=K$3,SUMIF('TL02'!$C$10:$C$224,$C247,'TL02'!$J$10:$J$224),0),
IF('TL02'!$B$229=K$3,SUMIF('TL02'!$C$238:$C$451,$C247,'TL02'!$J$238:$J$451),0),
IF('TL03'!$B$3=K$3,SUMIF('TL03'!$C$10:$C$224,$C247,'TL03'!$J$10:$J$224),0),
IF('TL03'!$B$229=K$3,SUMIF('TL03'!$C$238:$C$451,$C247,'TL03'!$J$238:$J$451),0),
IF('TL04'!$B$3=K$3,SUMIF('TL04'!$C$10:$C$224,$C247,'TL04'!$J$10:$J$224),0),
IF('TL04'!$B$229=K$3,SUMIF('TL04'!$C$238:$C$451,$C247,'TL04'!$J$238:$J$451),0),
IF('TL05'!$B$3=K$3,SUMIF('TL05'!$C$10:$C$224,$C247,'TL05'!$J$10:$J$224),0),
IF('TL05'!$B$229=K$3,SUMIF('TL05'!$C$238:$C$451,$C247,'TL05'!$J$238:$J$451),0),
IF('TL06'!$B$3=K$3,SUMIF('TL06'!$C$10:$C$224,$C247,'TL06'!$J$10:$J$224),0),
IF('TL06'!$B$229=K$3,SUMIF('TL06'!$C$238:$C$451,$C247,'TL06'!$J$238:$J$451),0),
IF('TL07'!$B$3=K$3,SUMIF('TL07'!$C$10:$C$224,$C247,'TL07'!$J$10:$J$224),0),
IF('TL07'!$B$229=K$3,SUMIF('TL07'!$C$238:$C$451,$C247,'TL07'!$J$238:$J$451),0),
IF('TL08'!$B$3=K$3,SUMIF('TL08'!$C$10:$C$224,$C247,'TL08'!$J$10:$J$224),0),
IF('TL08'!$B$229=K$3,SUMIF('TL08'!$C$238:$C$451,$C247,'TL08'!$J$238:$J$451),0),
IF('TL09'!$B$3=K$3,SUMIF('TL09'!$C$10:$C$224,$C247,'TL09'!$J$10:$J$224),0),
IF('TL09'!$B$229=K$3,SUMIF('TL09'!$C$238:$C$451,$C247,'TL09'!$J$238:$J$451),0),
IF('TL10'!$B$3=K$3,SUMIF('TL10'!$C$10:$C$224,$C247,'TL10'!$J$10:$J$224),0),
IF('TL10'!$B$229=K$3,SUMIF('TL10'!$C$238:$C$451,$C247,'TL10'!$J$238:$J$451),0),
IF('TL11'!$B$3=K$3,SUMIF('TL11'!$C$10:$C$224,$C247,'TL11'!$J$10:$J$224),0),
IF('TL11'!$B$229=K$3,SUMIF('TL11'!$C$238:$C$451,$C247,'TL11'!$J$238:$J$451),0),
IF('TL12'!$B$3=K$3,SUMIF('TL12'!$C$10:$C$224,$C247,'TL12'!$J$10:$J$224),0),
IF('TL12'!$B$229=K$3,SUMIF('TL12'!$C$238:$C$451,$C247,'TL12'!$J$238:$J$451),0),
IF('TL13'!$B$3=K$3,SUMIF('TL13'!$C$10:$C$224,$C247,'TL13'!$J$10:$J$224),0),
IF('TL13'!$B$229=K$3,SUMIF('TL13'!$C$238:$C$451,$C247,'TL13'!$J$238:$J$451),0),
IF('TL14'!$B$3=K$3,SUMIF('TL14'!$C$10:$C$224,$C247,'TL14'!$J$10:$J$224),0),
IF('TL14'!$B$229=K$3,SUMIF('TL14'!$C$238:$C$451,$C247,'TL14'!$J$238:$J$451),0),
IF('TL15'!$B$3=K$3,SUMIF('TL15'!$C$10:$C$224,$C247,'TL15'!$J$10:$J$224),0),
IF('TL15'!$B$229=K$3,SUMIF('TL15'!$C$238:$C$451,$C247,'TL15'!$J$238:$J$451),0),
IF('TL16'!$B$3=K$3,SUMIF('TL16'!$C$10:$C$224,$C247,'TL16'!$J$10:$J$224),0),
IF('TL16'!$B$229=K$3,SUMIF('TL16'!$C$238:$C$451,$C247,'TL16'!$J$238:$J$451),0),
IF('TL17'!$B$3=K$3,SUMIF('TL17'!$C$10:$C$224,$C247,'TL17'!$J$10:$J$224),0),
IF('TL17'!$B$229=K$3,SUMIF('TL17'!$C$238:$C$451,$C247,'TL17'!$J$238:$J$451),0),
IF('TL18'!$B$3=K$3,SUMIF('TL18'!$C$10:$C$224,$C247,'TL18'!$J$10:$J$224),0),
IF('TL18'!$B$229=K$3,SUMIF('TL18'!$C$238:$C$451,$C247,'TL18'!$J$238:$J$451),0),
IF('TL19'!$B$3=K$3,SUMIF('TL19'!$C$10:$C$224,$C247,'TL19'!$J$10:$J$224),0),
IF('TL19'!$B$229=K$3,SUMIF('TL19'!$C$238:$C$451,$C247,'TL19'!$J$238:$J$451),0)
),0)</f>
        <v>0</v>
      </c>
      <c r="L247" s="9">
        <f>IFERROR(SUM(
IF('TL01'!$B$3=L$3,SUMIF('TL01'!$C$10:$C$224,$C247,'TL01'!$J$10:$J$224),0),
IF('TL01'!$B$229=L$3,SUMIF('TL01'!$C$238:$C$451,$C247,'TL01'!$J$238:$J$451),0),
IF('TL02'!$B$3=L$3,SUMIF('TL02'!$C$10:$C$224,$C247,'TL02'!$J$10:$J$224),0),
IF('TL02'!$B$229=L$3,SUMIF('TL02'!$C$238:$C$451,$C247,'TL02'!$J$238:$J$451),0),
IF('TL03'!$B$3=L$3,SUMIF('TL03'!$C$10:$C$224,$C247,'TL03'!$J$10:$J$224),0),
IF('TL03'!$B$229=L$3,SUMIF('TL03'!$C$238:$C$451,$C247,'TL03'!$J$238:$J$451),0),
IF('TL04'!$B$3=L$3,SUMIF('TL04'!$C$10:$C$224,$C247,'TL04'!$J$10:$J$224),0),
IF('TL04'!$B$229=L$3,SUMIF('TL04'!$C$238:$C$451,$C247,'TL04'!$J$238:$J$451),0),
IF('TL05'!$B$3=L$3,SUMIF('TL05'!$C$10:$C$224,$C247,'TL05'!$J$10:$J$224),0),
IF('TL05'!$B$229=L$3,SUMIF('TL05'!$C$238:$C$451,$C247,'TL05'!$J$238:$J$451),0),
IF('TL06'!$B$3=L$3,SUMIF('TL06'!$C$10:$C$224,$C247,'TL06'!$J$10:$J$224),0),
IF('TL06'!$B$229=L$3,SUMIF('TL06'!$C$238:$C$451,$C247,'TL06'!$J$238:$J$451),0),
IF('TL07'!$B$3=L$3,SUMIF('TL07'!$C$10:$C$224,$C247,'TL07'!$J$10:$J$224),0),
IF('TL07'!$B$229=L$3,SUMIF('TL07'!$C$238:$C$451,$C247,'TL07'!$J$238:$J$451),0),
IF('TL08'!$B$3=L$3,SUMIF('TL08'!$C$10:$C$224,$C247,'TL08'!$J$10:$J$224),0),
IF('TL08'!$B$229=L$3,SUMIF('TL08'!$C$238:$C$451,$C247,'TL08'!$J$238:$J$451),0),
IF('TL09'!$B$3=L$3,SUMIF('TL09'!$C$10:$C$224,$C247,'TL09'!$J$10:$J$224),0),
IF('TL09'!$B$229=L$3,SUMIF('TL09'!$C$238:$C$451,$C247,'TL09'!$J$238:$J$451),0),
IF('TL10'!$B$3=L$3,SUMIF('TL10'!$C$10:$C$224,$C247,'TL10'!$J$10:$J$224),0),
IF('TL10'!$B$229=L$3,SUMIF('TL10'!$C$238:$C$451,$C247,'TL10'!$J$238:$J$451),0),
IF('TL11'!$B$3=L$3,SUMIF('TL11'!$C$10:$C$224,$C247,'TL11'!$J$10:$J$224),0),
IF('TL11'!$B$229=L$3,SUMIF('TL11'!$C$238:$C$451,$C247,'TL11'!$J$238:$J$451),0),
IF('TL12'!$B$3=L$3,SUMIF('TL12'!$C$10:$C$224,$C247,'TL12'!$J$10:$J$224),0),
IF('TL12'!$B$229=L$3,SUMIF('TL12'!$C$238:$C$451,$C247,'TL12'!$J$238:$J$451),0),
IF('TL13'!$B$3=L$3,SUMIF('TL13'!$C$10:$C$224,$C247,'TL13'!$J$10:$J$224),0),
IF('TL13'!$B$229=L$3,SUMIF('TL13'!$C$238:$C$451,$C247,'TL13'!$J$238:$J$451),0),
IF('TL14'!$B$3=L$3,SUMIF('TL14'!$C$10:$C$224,$C247,'TL14'!$J$10:$J$224),0),
IF('TL14'!$B$229=L$3,SUMIF('TL14'!$C$238:$C$451,$C247,'TL14'!$J$238:$J$451),0),
IF('TL15'!$B$3=L$3,SUMIF('TL15'!$C$10:$C$224,$C247,'TL15'!$J$10:$J$224),0),
IF('TL15'!$B$229=L$3,SUMIF('TL15'!$C$238:$C$451,$C247,'TL15'!$J$238:$J$451),0),
IF('TL16'!$B$3=L$3,SUMIF('TL16'!$C$10:$C$224,$C247,'TL16'!$J$10:$J$224),0),
IF('TL16'!$B$229=L$3,SUMIF('TL16'!$C$238:$C$451,$C247,'TL16'!$J$238:$J$451),0),
IF('TL17'!$B$3=L$3,SUMIF('TL17'!$C$10:$C$224,$C247,'TL17'!$J$10:$J$224),0),
IF('TL17'!$B$229=L$3,SUMIF('TL17'!$C$238:$C$451,$C247,'TL17'!$J$238:$J$451),0),
IF('TL18'!$B$3=L$3,SUMIF('TL18'!$C$10:$C$224,$C247,'TL18'!$J$10:$J$224),0),
IF('TL18'!$B$229=L$3,SUMIF('TL18'!$C$238:$C$451,$C247,'TL18'!$J$238:$J$451),0),
IF('TL19'!$B$3=L$3,SUMIF('TL19'!$C$10:$C$224,$C247,'TL19'!$J$10:$J$224),0),
IF('TL19'!$B$229=L$3,SUMIF('TL19'!$C$238:$C$451,$C247,'TL19'!$J$238:$J$451),0)
),0)</f>
        <v>0</v>
      </c>
      <c r="M247" s="9">
        <f>IFERROR(SUM(
IF('TL01'!$B$3=M$3,SUMIF('TL01'!$C$10:$C$224,$C247,'TL01'!$J$10:$J$224),0),
IF('TL01'!$B$229=M$3,SUMIF('TL01'!$C$238:$C$451,$C247,'TL01'!$J$238:$J$451),0),
IF('TL02'!$B$3=M$3,SUMIF('TL02'!$C$10:$C$224,$C247,'TL02'!$J$10:$J$224),0),
IF('TL02'!$B$229=M$3,SUMIF('TL02'!$C$238:$C$451,$C247,'TL02'!$J$238:$J$451),0),
IF('TL03'!$B$3=M$3,SUMIF('TL03'!$C$10:$C$224,$C247,'TL03'!$J$10:$J$224),0),
IF('TL03'!$B$229=M$3,SUMIF('TL03'!$C$238:$C$451,$C247,'TL03'!$J$238:$J$451),0),
IF('TL04'!$B$3=M$3,SUMIF('TL04'!$C$10:$C$224,$C247,'TL04'!$J$10:$J$224),0),
IF('TL04'!$B$229=M$3,SUMIF('TL04'!$C$238:$C$451,$C247,'TL04'!$J$238:$J$451),0),
IF('TL05'!$B$3=M$3,SUMIF('TL05'!$C$10:$C$224,$C247,'TL05'!$J$10:$J$224),0),
IF('TL05'!$B$229=M$3,SUMIF('TL05'!$C$238:$C$451,$C247,'TL05'!$J$238:$J$451),0),
IF('TL06'!$B$3=M$3,SUMIF('TL06'!$C$10:$C$224,$C247,'TL06'!$J$10:$J$224),0),
IF('TL06'!$B$229=M$3,SUMIF('TL06'!$C$238:$C$451,$C247,'TL06'!$J$238:$J$451),0),
IF('TL07'!$B$3=M$3,SUMIF('TL07'!$C$10:$C$224,$C247,'TL07'!$J$10:$J$224),0),
IF('TL07'!$B$229=M$3,SUMIF('TL07'!$C$238:$C$451,$C247,'TL07'!$J$238:$J$451),0),
IF('TL08'!$B$3=M$3,SUMIF('TL08'!$C$10:$C$224,$C247,'TL08'!$J$10:$J$224),0),
IF('TL08'!$B$229=M$3,SUMIF('TL08'!$C$238:$C$451,$C247,'TL08'!$J$238:$J$451),0),
IF('TL09'!$B$3=M$3,SUMIF('TL09'!$C$10:$C$224,$C247,'TL09'!$J$10:$J$224),0),
IF('TL09'!$B$229=M$3,SUMIF('TL09'!$C$238:$C$451,$C247,'TL09'!$J$238:$J$451),0),
IF('TL10'!$B$3=M$3,SUMIF('TL10'!$C$10:$C$224,$C247,'TL10'!$J$10:$J$224),0),
IF('TL10'!$B$229=M$3,SUMIF('TL10'!$C$238:$C$451,$C247,'TL10'!$J$238:$J$451),0),
IF('TL11'!$B$3=M$3,SUMIF('TL11'!$C$10:$C$224,$C247,'TL11'!$J$10:$J$224),0),
IF('TL11'!$B$229=M$3,SUMIF('TL11'!$C$238:$C$451,$C247,'TL11'!$J$238:$J$451),0),
IF('TL12'!$B$3=M$3,SUMIF('TL12'!$C$10:$C$224,$C247,'TL12'!$J$10:$J$224),0),
IF('TL12'!$B$229=M$3,SUMIF('TL12'!$C$238:$C$451,$C247,'TL12'!$J$238:$J$451),0),
IF('TL13'!$B$3=M$3,SUMIF('TL13'!$C$10:$C$224,$C247,'TL13'!$J$10:$J$224),0),
IF('TL13'!$B$229=M$3,SUMIF('TL13'!$C$238:$C$451,$C247,'TL13'!$J$238:$J$451),0),
IF('TL14'!$B$3=M$3,SUMIF('TL14'!$C$10:$C$224,$C247,'TL14'!$J$10:$J$224),0),
IF('TL14'!$B$229=M$3,SUMIF('TL14'!$C$238:$C$451,$C247,'TL14'!$J$238:$J$451),0),
IF('TL15'!$B$3=M$3,SUMIF('TL15'!$C$10:$C$224,$C247,'TL15'!$J$10:$J$224),0),
IF('TL15'!$B$229=M$3,SUMIF('TL15'!$C$238:$C$451,$C247,'TL15'!$J$238:$J$451),0),
IF('TL16'!$B$3=M$3,SUMIF('TL16'!$C$10:$C$224,$C247,'TL16'!$J$10:$J$224),0),
IF('TL16'!$B$229=M$3,SUMIF('TL16'!$C$238:$C$451,$C247,'TL16'!$J$238:$J$451),0),
IF('TL17'!$B$3=M$3,SUMIF('TL17'!$C$10:$C$224,$C247,'TL17'!$J$10:$J$224),0),
IF('TL17'!$B$229=M$3,SUMIF('TL17'!$C$238:$C$451,$C247,'TL17'!$J$238:$J$451),0),
IF('TL18'!$B$3=M$3,SUMIF('TL18'!$C$10:$C$224,$C247,'TL18'!$J$10:$J$224),0),
IF('TL18'!$B$229=M$3,SUMIF('TL18'!$C$238:$C$451,$C247,'TL18'!$J$238:$J$451),0),
IF('TL19'!$B$3=M$3,SUMIF('TL19'!$C$10:$C$224,$C247,'TL19'!$J$10:$J$224),0),
IF('TL19'!$B$229=M$3,SUMIF('TL19'!$C$238:$C$451,$C247,'TL19'!$J$238:$J$451),0)
),0)</f>
        <v>0</v>
      </c>
      <c r="N247" s="9">
        <f>IFERROR(SUM(
IF('TL01'!$B$3=N$3,SUMIF('TL01'!$C$10:$C$224,$C247,'TL01'!$J$10:$J$224),0),
IF('TL01'!$B$229=N$3,SUMIF('TL01'!$C$238:$C$451,$C247,'TL01'!$J$238:$J$451),0),
IF('TL02'!$B$3=N$3,SUMIF('TL02'!$C$10:$C$224,$C247,'TL02'!$J$10:$J$224),0),
IF('TL02'!$B$229=N$3,SUMIF('TL02'!$C$238:$C$451,$C247,'TL02'!$J$238:$J$451),0),
IF('TL03'!$B$3=N$3,SUMIF('TL03'!$C$10:$C$224,$C247,'TL03'!$J$10:$J$224),0),
IF('TL03'!$B$229=N$3,SUMIF('TL03'!$C$238:$C$451,$C247,'TL03'!$J$238:$J$451),0),
IF('TL04'!$B$3=N$3,SUMIF('TL04'!$C$10:$C$224,$C247,'TL04'!$J$10:$J$224),0),
IF('TL04'!$B$229=N$3,SUMIF('TL04'!$C$238:$C$451,$C247,'TL04'!$J$238:$J$451),0),
IF('TL05'!$B$3=N$3,SUMIF('TL05'!$C$10:$C$224,$C247,'TL05'!$J$10:$J$224),0),
IF('TL05'!$B$229=N$3,SUMIF('TL05'!$C$238:$C$451,$C247,'TL05'!$J$238:$J$451),0),
IF('TL06'!$B$3=N$3,SUMIF('TL06'!$C$10:$C$224,$C247,'TL06'!$J$10:$J$224),0),
IF('TL06'!$B$229=N$3,SUMIF('TL06'!$C$238:$C$451,$C247,'TL06'!$J$238:$J$451),0),
IF('TL07'!$B$3=N$3,SUMIF('TL07'!$C$10:$C$224,$C247,'TL07'!$J$10:$J$224),0),
IF('TL07'!$B$229=N$3,SUMIF('TL07'!$C$238:$C$451,$C247,'TL07'!$J$238:$J$451),0),
IF('TL08'!$B$3=N$3,SUMIF('TL08'!$C$10:$C$224,$C247,'TL08'!$J$10:$J$224),0),
IF('TL08'!$B$229=N$3,SUMIF('TL08'!$C$238:$C$451,$C247,'TL08'!$J$238:$J$451),0),
IF('TL09'!$B$3=N$3,SUMIF('TL09'!$C$10:$C$224,$C247,'TL09'!$J$10:$J$224),0),
IF('TL09'!$B$229=N$3,SUMIF('TL09'!$C$238:$C$451,$C247,'TL09'!$J$238:$J$451),0),
IF('TL10'!$B$3=N$3,SUMIF('TL10'!$C$10:$C$224,$C247,'TL10'!$J$10:$J$224),0),
IF('TL10'!$B$229=N$3,SUMIF('TL10'!$C$238:$C$451,$C247,'TL10'!$J$238:$J$451),0),
IF('TL11'!$B$3=N$3,SUMIF('TL11'!$C$10:$C$224,$C247,'TL11'!$J$10:$J$224),0),
IF('TL11'!$B$229=N$3,SUMIF('TL11'!$C$238:$C$451,$C247,'TL11'!$J$238:$J$451),0),
IF('TL12'!$B$3=N$3,SUMIF('TL12'!$C$10:$C$224,$C247,'TL12'!$J$10:$J$224),0),
IF('TL12'!$B$229=N$3,SUMIF('TL12'!$C$238:$C$451,$C247,'TL12'!$J$238:$J$451),0),
IF('TL13'!$B$3=N$3,SUMIF('TL13'!$C$10:$C$224,$C247,'TL13'!$J$10:$J$224),0),
IF('TL13'!$B$229=N$3,SUMIF('TL13'!$C$238:$C$451,$C247,'TL13'!$J$238:$J$451),0),
IF('TL14'!$B$3=N$3,SUMIF('TL14'!$C$10:$C$224,$C247,'TL14'!$J$10:$J$224),0),
IF('TL14'!$B$229=N$3,SUMIF('TL14'!$C$238:$C$451,$C247,'TL14'!$J$238:$J$451),0),
IF('TL15'!$B$3=N$3,SUMIF('TL15'!$C$10:$C$224,$C247,'TL15'!$J$10:$J$224),0),
IF('TL15'!$B$229=N$3,SUMIF('TL15'!$C$238:$C$451,$C247,'TL15'!$J$238:$J$451),0),
IF('TL16'!$B$3=N$3,SUMIF('TL16'!$C$10:$C$224,$C247,'TL16'!$J$10:$J$224),0),
IF('TL16'!$B$229=N$3,SUMIF('TL16'!$C$238:$C$451,$C247,'TL16'!$J$238:$J$451),0),
IF('TL17'!$B$3=N$3,SUMIF('TL17'!$C$10:$C$224,$C247,'TL17'!$J$10:$J$224),0),
IF('TL17'!$B$229=N$3,SUMIF('TL17'!$C$238:$C$451,$C247,'TL17'!$J$238:$J$451),0),
IF('TL18'!$B$3=N$3,SUMIF('TL18'!$C$10:$C$224,$C247,'TL18'!$J$10:$J$224),0),
IF('TL18'!$B$229=N$3,SUMIF('TL18'!$C$238:$C$451,$C247,'TL18'!$J$238:$J$451),0),
IF('TL19'!$B$3=N$3,SUMIF('TL19'!$C$10:$C$224,$C247,'TL19'!$J$10:$J$224),0),
IF('TL19'!$B$229=N$3,SUMIF('TL19'!$C$238:$C$451,$C247,'TL19'!$J$238:$J$451),0)
),0)</f>
        <v>0</v>
      </c>
      <c r="O247" s="9">
        <f>IFERROR(SUM(
IF('TL01'!$B$3=O$3,SUMIF('TL01'!$C$10:$C$224,$C247,'TL01'!$J$10:$J$224),0),
IF('TL01'!$B$229=O$3,SUMIF('TL01'!$C$238:$C$451,$C247,'TL01'!$J$238:$J$451),0),
IF('TL02'!$B$3=O$3,SUMIF('TL02'!$C$10:$C$224,$C247,'TL02'!$J$10:$J$224),0),
IF('TL02'!$B$229=O$3,SUMIF('TL02'!$C$238:$C$451,$C247,'TL02'!$J$238:$J$451),0),
IF('TL03'!$B$3=O$3,SUMIF('TL03'!$C$10:$C$224,$C247,'TL03'!$J$10:$J$224),0),
IF('TL03'!$B$229=O$3,SUMIF('TL03'!$C$238:$C$451,$C247,'TL03'!$J$238:$J$451),0),
IF('TL04'!$B$3=O$3,SUMIF('TL04'!$C$10:$C$224,$C247,'TL04'!$J$10:$J$224),0),
IF('TL04'!$B$229=O$3,SUMIF('TL04'!$C$238:$C$451,$C247,'TL04'!$J$238:$J$451),0),
IF('TL05'!$B$3=O$3,SUMIF('TL05'!$C$10:$C$224,$C247,'TL05'!$J$10:$J$224),0),
IF('TL05'!$B$229=O$3,SUMIF('TL05'!$C$238:$C$451,$C247,'TL05'!$J$238:$J$451),0),
IF('TL06'!$B$3=O$3,SUMIF('TL06'!$C$10:$C$224,$C247,'TL06'!$J$10:$J$224),0),
IF('TL06'!$B$229=O$3,SUMIF('TL06'!$C$238:$C$451,$C247,'TL06'!$J$238:$J$451),0),
IF('TL07'!$B$3=O$3,SUMIF('TL07'!$C$10:$C$224,$C247,'TL07'!$J$10:$J$224),0),
IF('TL07'!$B$229=O$3,SUMIF('TL07'!$C$238:$C$451,$C247,'TL07'!$J$238:$J$451),0),
IF('TL08'!$B$3=O$3,SUMIF('TL08'!$C$10:$C$224,$C247,'TL08'!$J$10:$J$224),0),
IF('TL08'!$B$229=O$3,SUMIF('TL08'!$C$238:$C$451,$C247,'TL08'!$J$238:$J$451),0),
IF('TL09'!$B$3=O$3,SUMIF('TL09'!$C$10:$C$224,$C247,'TL09'!$J$10:$J$224),0),
IF('TL09'!$B$229=O$3,SUMIF('TL09'!$C$238:$C$451,$C247,'TL09'!$J$238:$J$451),0),
IF('TL10'!$B$3=O$3,SUMIF('TL10'!$C$10:$C$224,$C247,'TL10'!$J$10:$J$224),0),
IF('TL10'!$B$229=O$3,SUMIF('TL10'!$C$238:$C$451,$C247,'TL10'!$J$238:$J$451),0),
IF('TL11'!$B$3=O$3,SUMIF('TL11'!$C$10:$C$224,$C247,'TL11'!$J$10:$J$224),0),
IF('TL11'!$B$229=O$3,SUMIF('TL11'!$C$238:$C$451,$C247,'TL11'!$J$238:$J$451),0),
IF('TL12'!$B$3=O$3,SUMIF('TL12'!$C$10:$C$224,$C247,'TL12'!$J$10:$J$224),0),
IF('TL12'!$B$229=O$3,SUMIF('TL12'!$C$238:$C$451,$C247,'TL12'!$J$238:$J$451),0),
IF('TL13'!$B$3=O$3,SUMIF('TL13'!$C$10:$C$224,$C247,'TL13'!$J$10:$J$224),0),
IF('TL13'!$B$229=O$3,SUMIF('TL13'!$C$238:$C$451,$C247,'TL13'!$J$238:$J$451),0),
IF('TL14'!$B$3=O$3,SUMIF('TL14'!$C$10:$C$224,$C247,'TL14'!$J$10:$J$224),0),
IF('TL14'!$B$229=O$3,SUMIF('TL14'!$C$238:$C$451,$C247,'TL14'!$J$238:$J$451),0),
IF('TL15'!$B$3=O$3,SUMIF('TL15'!$C$10:$C$224,$C247,'TL15'!$J$10:$J$224),0),
IF('TL15'!$B$229=O$3,SUMIF('TL15'!$C$238:$C$451,$C247,'TL15'!$J$238:$J$451),0),
IF('TL16'!$B$3=O$3,SUMIF('TL16'!$C$10:$C$224,$C247,'TL16'!$J$10:$J$224),0),
IF('TL16'!$B$229=O$3,SUMIF('TL16'!$C$238:$C$451,$C247,'TL16'!$J$238:$J$451),0),
IF('TL17'!$B$3=O$3,SUMIF('TL17'!$C$10:$C$224,$C247,'TL17'!$J$10:$J$224),0),
IF('TL17'!$B$229=O$3,SUMIF('TL17'!$C$238:$C$451,$C247,'TL17'!$J$238:$J$451),0),
IF('TL18'!$B$3=O$3,SUMIF('TL18'!$C$10:$C$224,$C247,'TL18'!$J$10:$J$224),0),
IF('TL18'!$B$229=O$3,SUMIF('TL18'!$C$238:$C$451,$C247,'TL18'!$J$238:$J$451),0),
IF('TL19'!$B$3=O$3,SUMIF('TL19'!$C$10:$C$224,$C247,'TL19'!$J$10:$J$224),0),
IF('TL19'!$B$229=O$3,SUMIF('TL19'!$C$238:$C$451,$C247,'TL19'!$J$238:$J$451),0)
),0)</f>
        <v>0</v>
      </c>
      <c r="P247" s="9">
        <f>IFERROR(SUM(
IF('TL01'!$B$3=P$3,SUMIF('TL01'!$C$10:$C$224,$C247,'TL01'!$J$10:$J$224),0),
IF('TL01'!$B$229=P$3,SUMIF('TL01'!$C$238:$C$451,$C247,'TL01'!$J$238:$J$451),0),
IF('TL02'!$B$3=P$3,SUMIF('TL02'!$C$10:$C$224,$C247,'TL02'!$J$10:$J$224),0),
IF('TL02'!$B$229=P$3,SUMIF('TL02'!$C$238:$C$451,$C247,'TL02'!$J$238:$J$451),0),
IF('TL03'!$B$3=P$3,SUMIF('TL03'!$C$10:$C$224,$C247,'TL03'!$J$10:$J$224),0),
IF('TL03'!$B$229=P$3,SUMIF('TL03'!$C$238:$C$451,$C247,'TL03'!$J$238:$J$451),0),
IF('TL04'!$B$3=P$3,SUMIF('TL04'!$C$10:$C$224,$C247,'TL04'!$J$10:$J$224),0),
IF('TL04'!$B$229=P$3,SUMIF('TL04'!$C$238:$C$451,$C247,'TL04'!$J$238:$J$451),0),
IF('TL05'!$B$3=P$3,SUMIF('TL05'!$C$10:$C$224,$C247,'TL05'!$J$10:$J$224),0),
IF('TL05'!$B$229=P$3,SUMIF('TL05'!$C$238:$C$451,$C247,'TL05'!$J$238:$J$451),0),
IF('TL06'!$B$3=P$3,SUMIF('TL06'!$C$10:$C$224,$C247,'TL06'!$J$10:$J$224),0),
IF('TL06'!$B$229=P$3,SUMIF('TL06'!$C$238:$C$451,$C247,'TL06'!$J$238:$J$451),0),
IF('TL07'!$B$3=P$3,SUMIF('TL07'!$C$10:$C$224,$C247,'TL07'!$J$10:$J$224),0),
IF('TL07'!$B$229=P$3,SUMIF('TL07'!$C$238:$C$451,$C247,'TL07'!$J$238:$J$451),0),
IF('TL08'!$B$3=P$3,SUMIF('TL08'!$C$10:$C$224,$C247,'TL08'!$J$10:$J$224),0),
IF('TL08'!$B$229=P$3,SUMIF('TL08'!$C$238:$C$451,$C247,'TL08'!$J$238:$J$451),0),
IF('TL09'!$B$3=P$3,SUMIF('TL09'!$C$10:$C$224,$C247,'TL09'!$J$10:$J$224),0),
IF('TL09'!$B$229=P$3,SUMIF('TL09'!$C$238:$C$451,$C247,'TL09'!$J$238:$J$451),0),
IF('TL10'!$B$3=P$3,SUMIF('TL10'!$C$10:$C$224,$C247,'TL10'!$J$10:$J$224),0),
IF('TL10'!$B$229=P$3,SUMIF('TL10'!$C$238:$C$451,$C247,'TL10'!$J$238:$J$451),0),
IF('TL11'!$B$3=P$3,SUMIF('TL11'!$C$10:$C$224,$C247,'TL11'!$J$10:$J$224),0),
IF('TL11'!$B$229=P$3,SUMIF('TL11'!$C$238:$C$451,$C247,'TL11'!$J$238:$J$451),0),
IF('TL12'!$B$3=P$3,SUMIF('TL12'!$C$10:$C$224,$C247,'TL12'!$J$10:$J$224),0),
IF('TL12'!$B$229=P$3,SUMIF('TL12'!$C$238:$C$451,$C247,'TL12'!$J$238:$J$451),0),
IF('TL13'!$B$3=P$3,SUMIF('TL13'!$C$10:$C$224,$C247,'TL13'!$J$10:$J$224),0),
IF('TL13'!$B$229=P$3,SUMIF('TL13'!$C$238:$C$451,$C247,'TL13'!$J$238:$J$451),0),
IF('TL14'!$B$3=P$3,SUMIF('TL14'!$C$10:$C$224,$C247,'TL14'!$J$10:$J$224),0),
IF('TL14'!$B$229=P$3,SUMIF('TL14'!$C$238:$C$451,$C247,'TL14'!$J$238:$J$451),0),
IF('TL15'!$B$3=P$3,SUMIF('TL15'!$C$10:$C$224,$C247,'TL15'!$J$10:$J$224),0),
IF('TL15'!$B$229=P$3,SUMIF('TL15'!$C$238:$C$451,$C247,'TL15'!$J$238:$J$451),0),
IF('TL16'!$B$3=P$3,SUMIF('TL16'!$C$10:$C$224,$C247,'TL16'!$J$10:$J$224),0),
IF('TL16'!$B$229=P$3,SUMIF('TL16'!$C$238:$C$451,$C247,'TL16'!$J$238:$J$451),0),
IF('TL17'!$B$3=P$3,SUMIF('TL17'!$C$10:$C$224,$C247,'TL17'!$J$10:$J$224),0),
IF('TL17'!$B$229=P$3,SUMIF('TL17'!$C$238:$C$451,$C247,'TL17'!$J$238:$J$451),0),
IF('TL18'!$B$3=P$3,SUMIF('TL18'!$C$10:$C$224,$C247,'TL18'!$J$10:$J$224),0),
IF('TL18'!$B$229=P$3,SUMIF('TL18'!$C$238:$C$451,$C247,'TL18'!$J$238:$J$451),0),
IF('TL19'!$B$3=P$3,SUMIF('TL19'!$C$10:$C$224,$C247,'TL19'!$J$10:$J$224),0),
IF('TL19'!$B$229=P$3,SUMIF('TL19'!$C$238:$C$451,$C247,'TL19'!$J$238:$J$451),0)
),0)</f>
        <v>0</v>
      </c>
      <c r="Q247" s="9">
        <f>IFERROR(SUM(
IF('TL01'!$B$3=Q$3,SUMIF('TL01'!$C$10:$C$224,$C247,'TL01'!$J$10:$J$224),0),
IF('TL01'!$B$229=Q$3,SUMIF('TL01'!$C$238:$C$451,$C247,'TL01'!$J$238:$J$451),0),
IF('TL02'!$B$3=Q$3,SUMIF('TL02'!$C$10:$C$224,$C247,'TL02'!$J$10:$J$224),0),
IF('TL02'!$B$229=Q$3,SUMIF('TL02'!$C$238:$C$451,$C247,'TL02'!$J$238:$J$451),0),
IF('TL03'!$B$3=Q$3,SUMIF('TL03'!$C$10:$C$224,$C247,'TL03'!$J$10:$J$224),0),
IF('TL03'!$B$229=Q$3,SUMIF('TL03'!$C$238:$C$451,$C247,'TL03'!$J$238:$J$451),0),
IF('TL04'!$B$3=Q$3,SUMIF('TL04'!$C$10:$C$224,$C247,'TL04'!$J$10:$J$224),0),
IF('TL04'!$B$229=Q$3,SUMIF('TL04'!$C$238:$C$451,$C247,'TL04'!$J$238:$J$451),0),
IF('TL05'!$B$3=Q$3,SUMIF('TL05'!$C$10:$C$224,$C247,'TL05'!$J$10:$J$224),0),
IF('TL05'!$B$229=Q$3,SUMIF('TL05'!$C$238:$C$451,$C247,'TL05'!$J$238:$J$451),0),
IF('TL06'!$B$3=Q$3,SUMIF('TL06'!$C$10:$C$224,$C247,'TL06'!$J$10:$J$224),0),
IF('TL06'!$B$229=Q$3,SUMIF('TL06'!$C$238:$C$451,$C247,'TL06'!$J$238:$J$451),0),
IF('TL07'!$B$3=Q$3,SUMIF('TL07'!$C$10:$C$224,$C247,'TL07'!$J$10:$J$224),0),
IF('TL07'!$B$229=Q$3,SUMIF('TL07'!$C$238:$C$451,$C247,'TL07'!$J$238:$J$451),0),
IF('TL08'!$B$3=Q$3,SUMIF('TL08'!$C$10:$C$224,$C247,'TL08'!$J$10:$J$224),0),
IF('TL08'!$B$229=Q$3,SUMIF('TL08'!$C$238:$C$451,$C247,'TL08'!$J$238:$J$451),0),
IF('TL09'!$B$3=Q$3,SUMIF('TL09'!$C$10:$C$224,$C247,'TL09'!$J$10:$J$224),0),
IF('TL09'!$B$229=Q$3,SUMIF('TL09'!$C$238:$C$451,$C247,'TL09'!$J$238:$J$451),0),
IF('TL10'!$B$3=Q$3,SUMIF('TL10'!$C$10:$C$224,$C247,'TL10'!$J$10:$J$224),0),
IF('TL10'!$B$229=Q$3,SUMIF('TL10'!$C$238:$C$451,$C247,'TL10'!$J$238:$J$451),0),
IF('TL11'!$B$3=Q$3,SUMIF('TL11'!$C$10:$C$224,$C247,'TL11'!$J$10:$J$224),0),
IF('TL11'!$B$229=Q$3,SUMIF('TL11'!$C$238:$C$451,$C247,'TL11'!$J$238:$J$451),0),
IF('TL12'!$B$3=Q$3,SUMIF('TL12'!$C$10:$C$224,$C247,'TL12'!$J$10:$J$224),0),
IF('TL12'!$B$229=Q$3,SUMIF('TL12'!$C$238:$C$451,$C247,'TL12'!$J$238:$J$451),0),
IF('TL13'!$B$3=Q$3,SUMIF('TL13'!$C$10:$C$224,$C247,'TL13'!$J$10:$J$224),0),
IF('TL13'!$B$229=Q$3,SUMIF('TL13'!$C$238:$C$451,$C247,'TL13'!$J$238:$J$451),0),
IF('TL14'!$B$3=Q$3,SUMIF('TL14'!$C$10:$C$224,$C247,'TL14'!$J$10:$J$224),0),
IF('TL14'!$B$229=Q$3,SUMIF('TL14'!$C$238:$C$451,$C247,'TL14'!$J$238:$J$451),0),
IF('TL15'!$B$3=Q$3,SUMIF('TL15'!$C$10:$C$224,$C247,'TL15'!$J$10:$J$224),0),
IF('TL15'!$B$229=Q$3,SUMIF('TL15'!$C$238:$C$451,$C247,'TL15'!$J$238:$J$451),0),
IF('TL16'!$B$3=Q$3,SUMIF('TL16'!$C$10:$C$224,$C247,'TL16'!$J$10:$J$224),0),
IF('TL16'!$B$229=Q$3,SUMIF('TL16'!$C$238:$C$451,$C247,'TL16'!$J$238:$J$451),0),
IF('TL17'!$B$3=Q$3,SUMIF('TL17'!$C$10:$C$224,$C247,'TL17'!$J$10:$J$224),0),
IF('TL17'!$B$229=Q$3,SUMIF('TL17'!$C$238:$C$451,$C247,'TL17'!$J$238:$J$451),0),
IF('TL18'!$B$3=Q$3,SUMIF('TL18'!$C$10:$C$224,$C247,'TL18'!$J$10:$J$224),0),
IF('TL18'!$B$229=Q$3,SUMIF('TL18'!$C$238:$C$451,$C247,'TL18'!$J$238:$J$451),0),
IF('TL19'!$B$3=Q$3,SUMIF('TL19'!$C$10:$C$224,$C247,'TL19'!$J$10:$J$224),0),
IF('TL19'!$B$229=Q$3,SUMIF('TL19'!$C$238:$C$451,$C247,'TL19'!$J$238:$J$451),0)
),0)</f>
        <v>0</v>
      </c>
      <c r="R247" s="9">
        <f>IFERROR(
SUM(
SUMIF('TL01'!C:C,C247,'TL01'!J:J),
SUMIF('TL02'!C:C,C247,'TL02'!J:J),
SUMIF('TL03'!C:C,C247,'TL03'!J:J),
SUMIF('TL04'!C:C,C247,'TL04'!J:J),
SUMIF('TL05'!C:C,C247,'TL05'!J:J),
SUMIF('TL06'!C:C,C247,'TL06'!J:J),
SUMIF('TL07'!C:C,C247,'TL07'!J:J),
SUMIF('TL08'!C:C,C247,'TL08'!J:J),
SUMIF('TL09'!C:C,C247,'TL09'!J:J),
SUMIF('TL10'!C:C,C247,'TL10'!J:J),
SUMIF('TL11'!C:C,C247,'TL11'!J:J),
SUMIF('TL12'!C:C,C247,'TL12'!J:J),
SUMIF('TL13'!C:C,C247,'TL13'!J:J),
SUMIF('TL14'!C:C,C247,'TL14'!J:J),
SUMIF('TL15'!C:C,C247,'TL15'!J:J),
SUMIF('TL16'!C:C,C247,'TL16'!J:J),
SUMIF('TL17'!C:C,C247,'TL17'!J:J),
SUMIF('TL18'!C:C,C247,'TL18'!J:J),SUMIF('TL19'!C:C,C247,'TL19'!J:J))
,0)</f>
        <v>0</v>
      </c>
      <c r="S247" s="17">
        <f>IFERROR(__xludf.DUMMYFUNCTION("IFERROR(VLOOKUP(C247,
IMPORTRANGE(""1wULbzX32WdYsx-lj2U3uUNBBe2INVIRDtcK0d-Dvl90"",
""26-27!C:G""),
5,
FALSE),
"""")"),0.0)</f>
        <v>0</v>
      </c>
      <c r="T247" s="9"/>
      <c r="U247" s="92">
        <f t="shared" si="2"/>
        <v>0</v>
      </c>
      <c r="V247" s="93">
        <f t="shared" si="3"/>
        <v>0</v>
      </c>
    </row>
    <row r="248" ht="15.75" hidden="1" customHeight="1">
      <c r="A248" s="119" t="s">
        <v>356</v>
      </c>
      <c r="B248" s="120" t="s">
        <v>900</v>
      </c>
      <c r="C248" s="119" t="s">
        <v>915</v>
      </c>
      <c r="D248" s="119" t="s">
        <v>916</v>
      </c>
      <c r="E248" s="119" t="s">
        <v>917</v>
      </c>
      <c r="F248" s="4"/>
      <c r="G248" s="90" t="str">
        <f t="shared" si="4"/>
        <v>📄 Ver bula</v>
      </c>
      <c r="H248" s="9" t="str">
        <f>IFERROR(__xludf.DUMMYFUNCTION("IFERROR(VLOOKUP(C248,
IMPORTRANGE(""1wULbzX32WdYsx-lj2U3uUNBBe2INVIRDtcK0d-Dvl90"",
""26-27!C:K""),
8,
FALSE),
"""")"),"")</f>
        <v/>
      </c>
      <c r="I248" s="121" t="s">
        <v>361</v>
      </c>
      <c r="J248" s="9">
        <f>IFERROR(SUM(
IF('TL01'!$B$3=J$3,SUMIF('TL01'!$C$10:$C$224,$C248,'TL01'!$J$10:$J$224),0),
IF('TL01'!$B$229=J$3,SUMIF('TL01'!$C$238:$C$451,$C248,'TL01'!$J$238:$J$451),0),
IF('TL02'!$B$3=J$3,SUMIF('TL02'!$C$10:$C$224,$C248,'TL02'!$J$10:$J$224),0),
IF('TL02'!$B$229=J$3,SUMIF('TL02'!$C$238:$C$451,$C248,'TL02'!$J$238:$J$451),0),
IF('TL03'!$B$3=J$3,SUMIF('TL03'!$C$10:$C$224,$C248,'TL03'!$J$10:$J$224),0),
IF('TL03'!$B$229=J$3,SUMIF('TL03'!$C$238:$C$451,$C248,'TL03'!$J$238:$J$451),0),
IF('TL04'!$B$3=J$3,SUMIF('TL04'!$C$10:$C$224,$C248,'TL04'!$J$10:$J$224),0),
IF('TL04'!$B$229=J$3,SUMIF('TL04'!$C$238:$C$451,$C248,'TL04'!$J$238:$J$451),0),
IF('TL05'!$B$3=J$3,SUMIF('TL05'!$C$10:$C$224,$C248,'TL05'!$J$10:$J$224),0),
IF('TL05'!$B$229=J$3,SUMIF('TL05'!$C$238:$C$451,$C248,'TL05'!$J$238:$J$451),0),
IF('TL06'!$B$3=J$3,SUMIF('TL06'!$C$10:$C$224,$C248,'TL06'!$J$10:$J$224),0),
IF('TL06'!$B$229=J$3,SUMIF('TL06'!$C$238:$C$451,$C248,'TL06'!$J$238:$J$451),0),
IF('TL07'!$B$3=J$3,SUMIF('TL07'!$C$10:$C$224,$C248,'TL07'!$J$10:$J$224),0),
IF('TL07'!$B$229=J$3,SUMIF('TL07'!$C$238:$C$451,$C248,'TL07'!$J$238:$J$451),0),
IF('TL08'!$B$3=J$3,SUMIF('TL08'!$C$10:$C$224,$C248,'TL08'!$J$10:$J$224),0),
IF('TL08'!$B$229=J$3,SUMIF('TL08'!$C$238:$C$451,$C248,'TL08'!$J$238:$J$451),0),
IF('TL09'!$B$3=J$3,SUMIF('TL09'!$C$10:$C$224,$C248,'TL09'!$J$10:$J$224),0),
IF('TL09'!$B$229=J$3,SUMIF('TL09'!$C$238:$C$451,$C248,'TL09'!$J$238:$J$451),0),
IF('TL10'!$B$3=J$3,SUMIF('TL10'!$C$10:$C$224,$C248,'TL10'!$J$10:$J$224),0),
IF('TL10'!$B$229=J$3,SUMIF('TL10'!$C$238:$C$451,$C248,'TL10'!$J$238:$J$451),0),
IF('TL11'!$B$3=J$3,SUMIF('TL11'!$C$10:$C$224,$C248,'TL11'!$J$10:$J$224),0),
IF('TL11'!$B$229=J$3,SUMIF('TL11'!$C$238:$C$451,$C248,'TL11'!$J$238:$J$451),0),
IF('TL12'!$B$3=J$3,SUMIF('TL12'!$C$10:$C$224,$C248,'TL12'!$J$10:$J$224),0),
IF('TL12'!$B$229=J$3,SUMIF('TL12'!$C$238:$C$451,$C248,'TL12'!$J$238:$J$451),0),
IF('TL13'!$B$3=J$3,SUMIF('TL13'!$C$10:$C$224,$C248,'TL13'!$J$10:$J$224),0),
IF('TL13'!$B$229=J$3,SUMIF('TL13'!$C$238:$C$451,$C248,'TL13'!$J$238:$J$451),0),
IF('TL14'!$B$3=J$3,SUMIF('TL14'!$C$10:$C$224,$C248,'TL14'!$J$10:$J$224),0),
IF('TL14'!$B$229=J$3,SUMIF('TL14'!$C$238:$C$451,$C248,'TL14'!$J$238:$J$451),0),
IF('TL15'!$B$3=J$3,SUMIF('TL15'!$C$10:$C$224,$C248,'TL15'!$J$10:$J$224),0),
IF('TL15'!$B$229=J$3,SUMIF('TL15'!$C$238:$C$451,$C248,'TL15'!$J$238:$J$451),0),
IF('TL16'!$B$3=J$3,SUMIF('TL16'!$C$10:$C$224,$C248,'TL16'!$J$10:$J$224),0),
IF('TL16'!$B$229=J$3,SUMIF('TL16'!$C$238:$C$451,$C248,'TL16'!$J$238:$J$451),0),
IF('TL17'!$B$3=J$3,SUMIF('TL17'!$C$10:$C$224,$C248,'TL17'!$J$10:$J$224),0),
IF('TL17'!$B$229=J$3,SUMIF('TL17'!$C$238:$C$451,$C248,'TL17'!$J$238:$J$451),0),
IF('TL18'!$B$3=J$3,SUMIF('TL18'!$C$10:$C$224,$C248,'TL18'!$J$10:$J$224),0),
IF('TL18'!$B$229=J$3,SUMIF('TL18'!$C$238:$C$451,$C248,'TL18'!$J$238:$J$451),0),
IF('TL19'!$B$3=J$3,SUMIF('TL19'!$C$10:$C$224,$C248,'TL19'!$J$10:$J$224),0),
IF('TL19'!$B$229=J$3,SUMIF('TL19'!$C$238:$C$451,$C248,'TL19'!$J$238:$J$451),0)
),0)</f>
        <v>0</v>
      </c>
      <c r="K248" s="9">
        <f>IFERROR(SUM(
IF('TL01'!$B$3=K$3,SUMIF('TL01'!$C$10:$C$224,$C248,'TL01'!$J$10:$J$224),0),
IF('TL01'!$B$229=K$3,SUMIF('TL01'!$C$238:$C$451,$C248,'TL01'!$J$238:$J$451),0),
IF('TL02'!$B$3=K$3,SUMIF('TL02'!$C$10:$C$224,$C248,'TL02'!$J$10:$J$224),0),
IF('TL02'!$B$229=K$3,SUMIF('TL02'!$C$238:$C$451,$C248,'TL02'!$J$238:$J$451),0),
IF('TL03'!$B$3=K$3,SUMIF('TL03'!$C$10:$C$224,$C248,'TL03'!$J$10:$J$224),0),
IF('TL03'!$B$229=K$3,SUMIF('TL03'!$C$238:$C$451,$C248,'TL03'!$J$238:$J$451),0),
IF('TL04'!$B$3=K$3,SUMIF('TL04'!$C$10:$C$224,$C248,'TL04'!$J$10:$J$224),0),
IF('TL04'!$B$229=K$3,SUMIF('TL04'!$C$238:$C$451,$C248,'TL04'!$J$238:$J$451),0),
IF('TL05'!$B$3=K$3,SUMIF('TL05'!$C$10:$C$224,$C248,'TL05'!$J$10:$J$224),0),
IF('TL05'!$B$229=K$3,SUMIF('TL05'!$C$238:$C$451,$C248,'TL05'!$J$238:$J$451),0),
IF('TL06'!$B$3=K$3,SUMIF('TL06'!$C$10:$C$224,$C248,'TL06'!$J$10:$J$224),0),
IF('TL06'!$B$229=K$3,SUMIF('TL06'!$C$238:$C$451,$C248,'TL06'!$J$238:$J$451),0),
IF('TL07'!$B$3=K$3,SUMIF('TL07'!$C$10:$C$224,$C248,'TL07'!$J$10:$J$224),0),
IF('TL07'!$B$229=K$3,SUMIF('TL07'!$C$238:$C$451,$C248,'TL07'!$J$238:$J$451),0),
IF('TL08'!$B$3=K$3,SUMIF('TL08'!$C$10:$C$224,$C248,'TL08'!$J$10:$J$224),0),
IF('TL08'!$B$229=K$3,SUMIF('TL08'!$C$238:$C$451,$C248,'TL08'!$J$238:$J$451),0),
IF('TL09'!$B$3=K$3,SUMIF('TL09'!$C$10:$C$224,$C248,'TL09'!$J$10:$J$224),0),
IF('TL09'!$B$229=K$3,SUMIF('TL09'!$C$238:$C$451,$C248,'TL09'!$J$238:$J$451),0),
IF('TL10'!$B$3=K$3,SUMIF('TL10'!$C$10:$C$224,$C248,'TL10'!$J$10:$J$224),0),
IF('TL10'!$B$229=K$3,SUMIF('TL10'!$C$238:$C$451,$C248,'TL10'!$J$238:$J$451),0),
IF('TL11'!$B$3=K$3,SUMIF('TL11'!$C$10:$C$224,$C248,'TL11'!$J$10:$J$224),0),
IF('TL11'!$B$229=K$3,SUMIF('TL11'!$C$238:$C$451,$C248,'TL11'!$J$238:$J$451),0),
IF('TL12'!$B$3=K$3,SUMIF('TL12'!$C$10:$C$224,$C248,'TL12'!$J$10:$J$224),0),
IF('TL12'!$B$229=K$3,SUMIF('TL12'!$C$238:$C$451,$C248,'TL12'!$J$238:$J$451),0),
IF('TL13'!$B$3=K$3,SUMIF('TL13'!$C$10:$C$224,$C248,'TL13'!$J$10:$J$224),0),
IF('TL13'!$B$229=K$3,SUMIF('TL13'!$C$238:$C$451,$C248,'TL13'!$J$238:$J$451),0),
IF('TL14'!$B$3=K$3,SUMIF('TL14'!$C$10:$C$224,$C248,'TL14'!$J$10:$J$224),0),
IF('TL14'!$B$229=K$3,SUMIF('TL14'!$C$238:$C$451,$C248,'TL14'!$J$238:$J$451),0),
IF('TL15'!$B$3=K$3,SUMIF('TL15'!$C$10:$C$224,$C248,'TL15'!$J$10:$J$224),0),
IF('TL15'!$B$229=K$3,SUMIF('TL15'!$C$238:$C$451,$C248,'TL15'!$J$238:$J$451),0),
IF('TL16'!$B$3=K$3,SUMIF('TL16'!$C$10:$C$224,$C248,'TL16'!$J$10:$J$224),0),
IF('TL16'!$B$229=K$3,SUMIF('TL16'!$C$238:$C$451,$C248,'TL16'!$J$238:$J$451),0),
IF('TL17'!$B$3=K$3,SUMIF('TL17'!$C$10:$C$224,$C248,'TL17'!$J$10:$J$224),0),
IF('TL17'!$B$229=K$3,SUMIF('TL17'!$C$238:$C$451,$C248,'TL17'!$J$238:$J$451),0),
IF('TL18'!$B$3=K$3,SUMIF('TL18'!$C$10:$C$224,$C248,'TL18'!$J$10:$J$224),0),
IF('TL18'!$B$229=K$3,SUMIF('TL18'!$C$238:$C$451,$C248,'TL18'!$J$238:$J$451),0),
IF('TL19'!$B$3=K$3,SUMIF('TL19'!$C$10:$C$224,$C248,'TL19'!$J$10:$J$224),0),
IF('TL19'!$B$229=K$3,SUMIF('TL19'!$C$238:$C$451,$C248,'TL19'!$J$238:$J$451),0)
),0)</f>
        <v>0</v>
      </c>
      <c r="L248" s="9">
        <f>IFERROR(SUM(
IF('TL01'!$B$3=L$3,SUMIF('TL01'!$C$10:$C$224,$C248,'TL01'!$J$10:$J$224),0),
IF('TL01'!$B$229=L$3,SUMIF('TL01'!$C$238:$C$451,$C248,'TL01'!$J$238:$J$451),0),
IF('TL02'!$B$3=L$3,SUMIF('TL02'!$C$10:$C$224,$C248,'TL02'!$J$10:$J$224),0),
IF('TL02'!$B$229=L$3,SUMIF('TL02'!$C$238:$C$451,$C248,'TL02'!$J$238:$J$451),0),
IF('TL03'!$B$3=L$3,SUMIF('TL03'!$C$10:$C$224,$C248,'TL03'!$J$10:$J$224),0),
IF('TL03'!$B$229=L$3,SUMIF('TL03'!$C$238:$C$451,$C248,'TL03'!$J$238:$J$451),0),
IF('TL04'!$B$3=L$3,SUMIF('TL04'!$C$10:$C$224,$C248,'TL04'!$J$10:$J$224),0),
IF('TL04'!$B$229=L$3,SUMIF('TL04'!$C$238:$C$451,$C248,'TL04'!$J$238:$J$451),0),
IF('TL05'!$B$3=L$3,SUMIF('TL05'!$C$10:$C$224,$C248,'TL05'!$J$10:$J$224),0),
IF('TL05'!$B$229=L$3,SUMIF('TL05'!$C$238:$C$451,$C248,'TL05'!$J$238:$J$451),0),
IF('TL06'!$B$3=L$3,SUMIF('TL06'!$C$10:$C$224,$C248,'TL06'!$J$10:$J$224),0),
IF('TL06'!$B$229=L$3,SUMIF('TL06'!$C$238:$C$451,$C248,'TL06'!$J$238:$J$451),0),
IF('TL07'!$B$3=L$3,SUMIF('TL07'!$C$10:$C$224,$C248,'TL07'!$J$10:$J$224),0),
IF('TL07'!$B$229=L$3,SUMIF('TL07'!$C$238:$C$451,$C248,'TL07'!$J$238:$J$451),0),
IF('TL08'!$B$3=L$3,SUMIF('TL08'!$C$10:$C$224,$C248,'TL08'!$J$10:$J$224),0),
IF('TL08'!$B$229=L$3,SUMIF('TL08'!$C$238:$C$451,$C248,'TL08'!$J$238:$J$451),0),
IF('TL09'!$B$3=L$3,SUMIF('TL09'!$C$10:$C$224,$C248,'TL09'!$J$10:$J$224),0),
IF('TL09'!$B$229=L$3,SUMIF('TL09'!$C$238:$C$451,$C248,'TL09'!$J$238:$J$451),0),
IF('TL10'!$B$3=L$3,SUMIF('TL10'!$C$10:$C$224,$C248,'TL10'!$J$10:$J$224),0),
IF('TL10'!$B$229=L$3,SUMIF('TL10'!$C$238:$C$451,$C248,'TL10'!$J$238:$J$451),0),
IF('TL11'!$B$3=L$3,SUMIF('TL11'!$C$10:$C$224,$C248,'TL11'!$J$10:$J$224),0),
IF('TL11'!$B$229=L$3,SUMIF('TL11'!$C$238:$C$451,$C248,'TL11'!$J$238:$J$451),0),
IF('TL12'!$B$3=L$3,SUMIF('TL12'!$C$10:$C$224,$C248,'TL12'!$J$10:$J$224),0),
IF('TL12'!$B$229=L$3,SUMIF('TL12'!$C$238:$C$451,$C248,'TL12'!$J$238:$J$451),0),
IF('TL13'!$B$3=L$3,SUMIF('TL13'!$C$10:$C$224,$C248,'TL13'!$J$10:$J$224),0),
IF('TL13'!$B$229=L$3,SUMIF('TL13'!$C$238:$C$451,$C248,'TL13'!$J$238:$J$451),0),
IF('TL14'!$B$3=L$3,SUMIF('TL14'!$C$10:$C$224,$C248,'TL14'!$J$10:$J$224),0),
IF('TL14'!$B$229=L$3,SUMIF('TL14'!$C$238:$C$451,$C248,'TL14'!$J$238:$J$451),0),
IF('TL15'!$B$3=L$3,SUMIF('TL15'!$C$10:$C$224,$C248,'TL15'!$J$10:$J$224),0),
IF('TL15'!$B$229=L$3,SUMIF('TL15'!$C$238:$C$451,$C248,'TL15'!$J$238:$J$451),0),
IF('TL16'!$B$3=L$3,SUMIF('TL16'!$C$10:$C$224,$C248,'TL16'!$J$10:$J$224),0),
IF('TL16'!$B$229=L$3,SUMIF('TL16'!$C$238:$C$451,$C248,'TL16'!$J$238:$J$451),0),
IF('TL17'!$B$3=L$3,SUMIF('TL17'!$C$10:$C$224,$C248,'TL17'!$J$10:$J$224),0),
IF('TL17'!$B$229=L$3,SUMIF('TL17'!$C$238:$C$451,$C248,'TL17'!$J$238:$J$451),0),
IF('TL18'!$B$3=L$3,SUMIF('TL18'!$C$10:$C$224,$C248,'TL18'!$J$10:$J$224),0),
IF('TL18'!$B$229=L$3,SUMIF('TL18'!$C$238:$C$451,$C248,'TL18'!$J$238:$J$451),0),
IF('TL19'!$B$3=L$3,SUMIF('TL19'!$C$10:$C$224,$C248,'TL19'!$J$10:$J$224),0),
IF('TL19'!$B$229=L$3,SUMIF('TL19'!$C$238:$C$451,$C248,'TL19'!$J$238:$J$451),0)
),0)</f>
        <v>0</v>
      </c>
      <c r="M248" s="9">
        <f>IFERROR(SUM(
IF('TL01'!$B$3=M$3,SUMIF('TL01'!$C$10:$C$224,$C248,'TL01'!$J$10:$J$224),0),
IF('TL01'!$B$229=M$3,SUMIF('TL01'!$C$238:$C$451,$C248,'TL01'!$J$238:$J$451),0),
IF('TL02'!$B$3=M$3,SUMIF('TL02'!$C$10:$C$224,$C248,'TL02'!$J$10:$J$224),0),
IF('TL02'!$B$229=M$3,SUMIF('TL02'!$C$238:$C$451,$C248,'TL02'!$J$238:$J$451),0),
IF('TL03'!$B$3=M$3,SUMIF('TL03'!$C$10:$C$224,$C248,'TL03'!$J$10:$J$224),0),
IF('TL03'!$B$229=M$3,SUMIF('TL03'!$C$238:$C$451,$C248,'TL03'!$J$238:$J$451),0),
IF('TL04'!$B$3=M$3,SUMIF('TL04'!$C$10:$C$224,$C248,'TL04'!$J$10:$J$224),0),
IF('TL04'!$B$229=M$3,SUMIF('TL04'!$C$238:$C$451,$C248,'TL04'!$J$238:$J$451),0),
IF('TL05'!$B$3=M$3,SUMIF('TL05'!$C$10:$C$224,$C248,'TL05'!$J$10:$J$224),0),
IF('TL05'!$B$229=M$3,SUMIF('TL05'!$C$238:$C$451,$C248,'TL05'!$J$238:$J$451),0),
IF('TL06'!$B$3=M$3,SUMIF('TL06'!$C$10:$C$224,$C248,'TL06'!$J$10:$J$224),0),
IF('TL06'!$B$229=M$3,SUMIF('TL06'!$C$238:$C$451,$C248,'TL06'!$J$238:$J$451),0),
IF('TL07'!$B$3=M$3,SUMIF('TL07'!$C$10:$C$224,$C248,'TL07'!$J$10:$J$224),0),
IF('TL07'!$B$229=M$3,SUMIF('TL07'!$C$238:$C$451,$C248,'TL07'!$J$238:$J$451),0),
IF('TL08'!$B$3=M$3,SUMIF('TL08'!$C$10:$C$224,$C248,'TL08'!$J$10:$J$224),0),
IF('TL08'!$B$229=M$3,SUMIF('TL08'!$C$238:$C$451,$C248,'TL08'!$J$238:$J$451),0),
IF('TL09'!$B$3=M$3,SUMIF('TL09'!$C$10:$C$224,$C248,'TL09'!$J$10:$J$224),0),
IF('TL09'!$B$229=M$3,SUMIF('TL09'!$C$238:$C$451,$C248,'TL09'!$J$238:$J$451),0),
IF('TL10'!$B$3=M$3,SUMIF('TL10'!$C$10:$C$224,$C248,'TL10'!$J$10:$J$224),0),
IF('TL10'!$B$229=M$3,SUMIF('TL10'!$C$238:$C$451,$C248,'TL10'!$J$238:$J$451),0),
IF('TL11'!$B$3=M$3,SUMIF('TL11'!$C$10:$C$224,$C248,'TL11'!$J$10:$J$224),0),
IF('TL11'!$B$229=M$3,SUMIF('TL11'!$C$238:$C$451,$C248,'TL11'!$J$238:$J$451),0),
IF('TL12'!$B$3=M$3,SUMIF('TL12'!$C$10:$C$224,$C248,'TL12'!$J$10:$J$224),0),
IF('TL12'!$B$229=M$3,SUMIF('TL12'!$C$238:$C$451,$C248,'TL12'!$J$238:$J$451),0),
IF('TL13'!$B$3=M$3,SUMIF('TL13'!$C$10:$C$224,$C248,'TL13'!$J$10:$J$224),0),
IF('TL13'!$B$229=M$3,SUMIF('TL13'!$C$238:$C$451,$C248,'TL13'!$J$238:$J$451),0),
IF('TL14'!$B$3=M$3,SUMIF('TL14'!$C$10:$C$224,$C248,'TL14'!$J$10:$J$224),0),
IF('TL14'!$B$229=M$3,SUMIF('TL14'!$C$238:$C$451,$C248,'TL14'!$J$238:$J$451),0),
IF('TL15'!$B$3=M$3,SUMIF('TL15'!$C$10:$C$224,$C248,'TL15'!$J$10:$J$224),0),
IF('TL15'!$B$229=M$3,SUMIF('TL15'!$C$238:$C$451,$C248,'TL15'!$J$238:$J$451),0),
IF('TL16'!$B$3=M$3,SUMIF('TL16'!$C$10:$C$224,$C248,'TL16'!$J$10:$J$224),0),
IF('TL16'!$B$229=M$3,SUMIF('TL16'!$C$238:$C$451,$C248,'TL16'!$J$238:$J$451),0),
IF('TL17'!$B$3=M$3,SUMIF('TL17'!$C$10:$C$224,$C248,'TL17'!$J$10:$J$224),0),
IF('TL17'!$B$229=M$3,SUMIF('TL17'!$C$238:$C$451,$C248,'TL17'!$J$238:$J$451),0),
IF('TL18'!$B$3=M$3,SUMIF('TL18'!$C$10:$C$224,$C248,'TL18'!$J$10:$J$224),0),
IF('TL18'!$B$229=M$3,SUMIF('TL18'!$C$238:$C$451,$C248,'TL18'!$J$238:$J$451),0),
IF('TL19'!$B$3=M$3,SUMIF('TL19'!$C$10:$C$224,$C248,'TL19'!$J$10:$J$224),0),
IF('TL19'!$B$229=M$3,SUMIF('TL19'!$C$238:$C$451,$C248,'TL19'!$J$238:$J$451),0)
),0)</f>
        <v>0</v>
      </c>
      <c r="N248" s="9">
        <f>IFERROR(SUM(
IF('TL01'!$B$3=N$3,SUMIF('TL01'!$C$10:$C$224,$C248,'TL01'!$J$10:$J$224),0),
IF('TL01'!$B$229=N$3,SUMIF('TL01'!$C$238:$C$451,$C248,'TL01'!$J$238:$J$451),0),
IF('TL02'!$B$3=N$3,SUMIF('TL02'!$C$10:$C$224,$C248,'TL02'!$J$10:$J$224),0),
IF('TL02'!$B$229=N$3,SUMIF('TL02'!$C$238:$C$451,$C248,'TL02'!$J$238:$J$451),0),
IF('TL03'!$B$3=N$3,SUMIF('TL03'!$C$10:$C$224,$C248,'TL03'!$J$10:$J$224),0),
IF('TL03'!$B$229=N$3,SUMIF('TL03'!$C$238:$C$451,$C248,'TL03'!$J$238:$J$451),0),
IF('TL04'!$B$3=N$3,SUMIF('TL04'!$C$10:$C$224,$C248,'TL04'!$J$10:$J$224),0),
IF('TL04'!$B$229=N$3,SUMIF('TL04'!$C$238:$C$451,$C248,'TL04'!$J$238:$J$451),0),
IF('TL05'!$B$3=N$3,SUMIF('TL05'!$C$10:$C$224,$C248,'TL05'!$J$10:$J$224),0),
IF('TL05'!$B$229=N$3,SUMIF('TL05'!$C$238:$C$451,$C248,'TL05'!$J$238:$J$451),0),
IF('TL06'!$B$3=N$3,SUMIF('TL06'!$C$10:$C$224,$C248,'TL06'!$J$10:$J$224),0),
IF('TL06'!$B$229=N$3,SUMIF('TL06'!$C$238:$C$451,$C248,'TL06'!$J$238:$J$451),0),
IF('TL07'!$B$3=N$3,SUMIF('TL07'!$C$10:$C$224,$C248,'TL07'!$J$10:$J$224),0),
IF('TL07'!$B$229=N$3,SUMIF('TL07'!$C$238:$C$451,$C248,'TL07'!$J$238:$J$451),0),
IF('TL08'!$B$3=N$3,SUMIF('TL08'!$C$10:$C$224,$C248,'TL08'!$J$10:$J$224),0),
IF('TL08'!$B$229=N$3,SUMIF('TL08'!$C$238:$C$451,$C248,'TL08'!$J$238:$J$451),0),
IF('TL09'!$B$3=N$3,SUMIF('TL09'!$C$10:$C$224,$C248,'TL09'!$J$10:$J$224),0),
IF('TL09'!$B$229=N$3,SUMIF('TL09'!$C$238:$C$451,$C248,'TL09'!$J$238:$J$451),0),
IF('TL10'!$B$3=N$3,SUMIF('TL10'!$C$10:$C$224,$C248,'TL10'!$J$10:$J$224),0),
IF('TL10'!$B$229=N$3,SUMIF('TL10'!$C$238:$C$451,$C248,'TL10'!$J$238:$J$451),0),
IF('TL11'!$B$3=N$3,SUMIF('TL11'!$C$10:$C$224,$C248,'TL11'!$J$10:$J$224),0),
IF('TL11'!$B$229=N$3,SUMIF('TL11'!$C$238:$C$451,$C248,'TL11'!$J$238:$J$451),0),
IF('TL12'!$B$3=N$3,SUMIF('TL12'!$C$10:$C$224,$C248,'TL12'!$J$10:$J$224),0),
IF('TL12'!$B$229=N$3,SUMIF('TL12'!$C$238:$C$451,$C248,'TL12'!$J$238:$J$451),0),
IF('TL13'!$B$3=N$3,SUMIF('TL13'!$C$10:$C$224,$C248,'TL13'!$J$10:$J$224),0),
IF('TL13'!$B$229=N$3,SUMIF('TL13'!$C$238:$C$451,$C248,'TL13'!$J$238:$J$451),0),
IF('TL14'!$B$3=N$3,SUMIF('TL14'!$C$10:$C$224,$C248,'TL14'!$J$10:$J$224),0),
IF('TL14'!$B$229=N$3,SUMIF('TL14'!$C$238:$C$451,$C248,'TL14'!$J$238:$J$451),0),
IF('TL15'!$B$3=N$3,SUMIF('TL15'!$C$10:$C$224,$C248,'TL15'!$J$10:$J$224),0),
IF('TL15'!$B$229=N$3,SUMIF('TL15'!$C$238:$C$451,$C248,'TL15'!$J$238:$J$451),0),
IF('TL16'!$B$3=N$3,SUMIF('TL16'!$C$10:$C$224,$C248,'TL16'!$J$10:$J$224),0),
IF('TL16'!$B$229=N$3,SUMIF('TL16'!$C$238:$C$451,$C248,'TL16'!$J$238:$J$451),0),
IF('TL17'!$B$3=N$3,SUMIF('TL17'!$C$10:$C$224,$C248,'TL17'!$J$10:$J$224),0),
IF('TL17'!$B$229=N$3,SUMIF('TL17'!$C$238:$C$451,$C248,'TL17'!$J$238:$J$451),0),
IF('TL18'!$B$3=N$3,SUMIF('TL18'!$C$10:$C$224,$C248,'TL18'!$J$10:$J$224),0),
IF('TL18'!$B$229=N$3,SUMIF('TL18'!$C$238:$C$451,$C248,'TL18'!$J$238:$J$451),0),
IF('TL19'!$B$3=N$3,SUMIF('TL19'!$C$10:$C$224,$C248,'TL19'!$J$10:$J$224),0),
IF('TL19'!$B$229=N$3,SUMIF('TL19'!$C$238:$C$451,$C248,'TL19'!$J$238:$J$451),0)
),0)</f>
        <v>0</v>
      </c>
      <c r="O248" s="9">
        <f>IFERROR(SUM(
IF('TL01'!$B$3=O$3,SUMIF('TL01'!$C$10:$C$224,$C248,'TL01'!$J$10:$J$224),0),
IF('TL01'!$B$229=O$3,SUMIF('TL01'!$C$238:$C$451,$C248,'TL01'!$J$238:$J$451),0),
IF('TL02'!$B$3=O$3,SUMIF('TL02'!$C$10:$C$224,$C248,'TL02'!$J$10:$J$224),0),
IF('TL02'!$B$229=O$3,SUMIF('TL02'!$C$238:$C$451,$C248,'TL02'!$J$238:$J$451),0),
IF('TL03'!$B$3=O$3,SUMIF('TL03'!$C$10:$C$224,$C248,'TL03'!$J$10:$J$224),0),
IF('TL03'!$B$229=O$3,SUMIF('TL03'!$C$238:$C$451,$C248,'TL03'!$J$238:$J$451),0),
IF('TL04'!$B$3=O$3,SUMIF('TL04'!$C$10:$C$224,$C248,'TL04'!$J$10:$J$224),0),
IF('TL04'!$B$229=O$3,SUMIF('TL04'!$C$238:$C$451,$C248,'TL04'!$J$238:$J$451),0),
IF('TL05'!$B$3=O$3,SUMIF('TL05'!$C$10:$C$224,$C248,'TL05'!$J$10:$J$224),0),
IF('TL05'!$B$229=O$3,SUMIF('TL05'!$C$238:$C$451,$C248,'TL05'!$J$238:$J$451),0),
IF('TL06'!$B$3=O$3,SUMIF('TL06'!$C$10:$C$224,$C248,'TL06'!$J$10:$J$224),0),
IF('TL06'!$B$229=O$3,SUMIF('TL06'!$C$238:$C$451,$C248,'TL06'!$J$238:$J$451),0),
IF('TL07'!$B$3=O$3,SUMIF('TL07'!$C$10:$C$224,$C248,'TL07'!$J$10:$J$224),0),
IF('TL07'!$B$229=O$3,SUMIF('TL07'!$C$238:$C$451,$C248,'TL07'!$J$238:$J$451),0),
IF('TL08'!$B$3=O$3,SUMIF('TL08'!$C$10:$C$224,$C248,'TL08'!$J$10:$J$224),0),
IF('TL08'!$B$229=O$3,SUMIF('TL08'!$C$238:$C$451,$C248,'TL08'!$J$238:$J$451),0),
IF('TL09'!$B$3=O$3,SUMIF('TL09'!$C$10:$C$224,$C248,'TL09'!$J$10:$J$224),0),
IF('TL09'!$B$229=O$3,SUMIF('TL09'!$C$238:$C$451,$C248,'TL09'!$J$238:$J$451),0),
IF('TL10'!$B$3=O$3,SUMIF('TL10'!$C$10:$C$224,$C248,'TL10'!$J$10:$J$224),0),
IF('TL10'!$B$229=O$3,SUMIF('TL10'!$C$238:$C$451,$C248,'TL10'!$J$238:$J$451),0),
IF('TL11'!$B$3=O$3,SUMIF('TL11'!$C$10:$C$224,$C248,'TL11'!$J$10:$J$224),0),
IF('TL11'!$B$229=O$3,SUMIF('TL11'!$C$238:$C$451,$C248,'TL11'!$J$238:$J$451),0),
IF('TL12'!$B$3=O$3,SUMIF('TL12'!$C$10:$C$224,$C248,'TL12'!$J$10:$J$224),0),
IF('TL12'!$B$229=O$3,SUMIF('TL12'!$C$238:$C$451,$C248,'TL12'!$J$238:$J$451),0),
IF('TL13'!$B$3=O$3,SUMIF('TL13'!$C$10:$C$224,$C248,'TL13'!$J$10:$J$224),0),
IF('TL13'!$B$229=O$3,SUMIF('TL13'!$C$238:$C$451,$C248,'TL13'!$J$238:$J$451),0),
IF('TL14'!$B$3=O$3,SUMIF('TL14'!$C$10:$C$224,$C248,'TL14'!$J$10:$J$224),0),
IF('TL14'!$B$229=O$3,SUMIF('TL14'!$C$238:$C$451,$C248,'TL14'!$J$238:$J$451),0),
IF('TL15'!$B$3=O$3,SUMIF('TL15'!$C$10:$C$224,$C248,'TL15'!$J$10:$J$224),0),
IF('TL15'!$B$229=O$3,SUMIF('TL15'!$C$238:$C$451,$C248,'TL15'!$J$238:$J$451),0),
IF('TL16'!$B$3=O$3,SUMIF('TL16'!$C$10:$C$224,$C248,'TL16'!$J$10:$J$224),0),
IF('TL16'!$B$229=O$3,SUMIF('TL16'!$C$238:$C$451,$C248,'TL16'!$J$238:$J$451),0),
IF('TL17'!$B$3=O$3,SUMIF('TL17'!$C$10:$C$224,$C248,'TL17'!$J$10:$J$224),0),
IF('TL17'!$B$229=O$3,SUMIF('TL17'!$C$238:$C$451,$C248,'TL17'!$J$238:$J$451),0),
IF('TL18'!$B$3=O$3,SUMIF('TL18'!$C$10:$C$224,$C248,'TL18'!$J$10:$J$224),0),
IF('TL18'!$B$229=O$3,SUMIF('TL18'!$C$238:$C$451,$C248,'TL18'!$J$238:$J$451),0),
IF('TL19'!$B$3=O$3,SUMIF('TL19'!$C$10:$C$224,$C248,'TL19'!$J$10:$J$224),0),
IF('TL19'!$B$229=O$3,SUMIF('TL19'!$C$238:$C$451,$C248,'TL19'!$J$238:$J$451),0)
),0)</f>
        <v>0</v>
      </c>
      <c r="P248" s="9">
        <f>IFERROR(SUM(
IF('TL01'!$B$3=P$3,SUMIF('TL01'!$C$10:$C$224,$C248,'TL01'!$J$10:$J$224),0),
IF('TL01'!$B$229=P$3,SUMIF('TL01'!$C$238:$C$451,$C248,'TL01'!$J$238:$J$451),0),
IF('TL02'!$B$3=P$3,SUMIF('TL02'!$C$10:$C$224,$C248,'TL02'!$J$10:$J$224),0),
IF('TL02'!$B$229=P$3,SUMIF('TL02'!$C$238:$C$451,$C248,'TL02'!$J$238:$J$451),0),
IF('TL03'!$B$3=P$3,SUMIF('TL03'!$C$10:$C$224,$C248,'TL03'!$J$10:$J$224),0),
IF('TL03'!$B$229=P$3,SUMIF('TL03'!$C$238:$C$451,$C248,'TL03'!$J$238:$J$451),0),
IF('TL04'!$B$3=P$3,SUMIF('TL04'!$C$10:$C$224,$C248,'TL04'!$J$10:$J$224),0),
IF('TL04'!$B$229=P$3,SUMIF('TL04'!$C$238:$C$451,$C248,'TL04'!$J$238:$J$451),0),
IF('TL05'!$B$3=P$3,SUMIF('TL05'!$C$10:$C$224,$C248,'TL05'!$J$10:$J$224),0),
IF('TL05'!$B$229=P$3,SUMIF('TL05'!$C$238:$C$451,$C248,'TL05'!$J$238:$J$451),0),
IF('TL06'!$B$3=P$3,SUMIF('TL06'!$C$10:$C$224,$C248,'TL06'!$J$10:$J$224),0),
IF('TL06'!$B$229=P$3,SUMIF('TL06'!$C$238:$C$451,$C248,'TL06'!$J$238:$J$451),0),
IF('TL07'!$B$3=P$3,SUMIF('TL07'!$C$10:$C$224,$C248,'TL07'!$J$10:$J$224),0),
IF('TL07'!$B$229=P$3,SUMIF('TL07'!$C$238:$C$451,$C248,'TL07'!$J$238:$J$451),0),
IF('TL08'!$B$3=P$3,SUMIF('TL08'!$C$10:$C$224,$C248,'TL08'!$J$10:$J$224),0),
IF('TL08'!$B$229=P$3,SUMIF('TL08'!$C$238:$C$451,$C248,'TL08'!$J$238:$J$451),0),
IF('TL09'!$B$3=P$3,SUMIF('TL09'!$C$10:$C$224,$C248,'TL09'!$J$10:$J$224),0),
IF('TL09'!$B$229=P$3,SUMIF('TL09'!$C$238:$C$451,$C248,'TL09'!$J$238:$J$451),0),
IF('TL10'!$B$3=P$3,SUMIF('TL10'!$C$10:$C$224,$C248,'TL10'!$J$10:$J$224),0),
IF('TL10'!$B$229=P$3,SUMIF('TL10'!$C$238:$C$451,$C248,'TL10'!$J$238:$J$451),0),
IF('TL11'!$B$3=P$3,SUMIF('TL11'!$C$10:$C$224,$C248,'TL11'!$J$10:$J$224),0),
IF('TL11'!$B$229=P$3,SUMIF('TL11'!$C$238:$C$451,$C248,'TL11'!$J$238:$J$451),0),
IF('TL12'!$B$3=P$3,SUMIF('TL12'!$C$10:$C$224,$C248,'TL12'!$J$10:$J$224),0),
IF('TL12'!$B$229=P$3,SUMIF('TL12'!$C$238:$C$451,$C248,'TL12'!$J$238:$J$451),0),
IF('TL13'!$B$3=P$3,SUMIF('TL13'!$C$10:$C$224,$C248,'TL13'!$J$10:$J$224),0),
IF('TL13'!$B$229=P$3,SUMIF('TL13'!$C$238:$C$451,$C248,'TL13'!$J$238:$J$451),0),
IF('TL14'!$B$3=P$3,SUMIF('TL14'!$C$10:$C$224,$C248,'TL14'!$J$10:$J$224),0),
IF('TL14'!$B$229=P$3,SUMIF('TL14'!$C$238:$C$451,$C248,'TL14'!$J$238:$J$451),0),
IF('TL15'!$B$3=P$3,SUMIF('TL15'!$C$10:$C$224,$C248,'TL15'!$J$10:$J$224),0),
IF('TL15'!$B$229=P$3,SUMIF('TL15'!$C$238:$C$451,$C248,'TL15'!$J$238:$J$451),0),
IF('TL16'!$B$3=P$3,SUMIF('TL16'!$C$10:$C$224,$C248,'TL16'!$J$10:$J$224),0),
IF('TL16'!$B$229=P$3,SUMIF('TL16'!$C$238:$C$451,$C248,'TL16'!$J$238:$J$451),0),
IF('TL17'!$B$3=P$3,SUMIF('TL17'!$C$10:$C$224,$C248,'TL17'!$J$10:$J$224),0),
IF('TL17'!$B$229=P$3,SUMIF('TL17'!$C$238:$C$451,$C248,'TL17'!$J$238:$J$451),0),
IF('TL18'!$B$3=P$3,SUMIF('TL18'!$C$10:$C$224,$C248,'TL18'!$J$10:$J$224),0),
IF('TL18'!$B$229=P$3,SUMIF('TL18'!$C$238:$C$451,$C248,'TL18'!$J$238:$J$451),0),
IF('TL19'!$B$3=P$3,SUMIF('TL19'!$C$10:$C$224,$C248,'TL19'!$J$10:$J$224),0),
IF('TL19'!$B$229=P$3,SUMIF('TL19'!$C$238:$C$451,$C248,'TL19'!$J$238:$J$451),0)
),0)</f>
        <v>0</v>
      </c>
      <c r="Q248" s="9">
        <f>IFERROR(SUM(
IF('TL01'!$B$3=Q$3,SUMIF('TL01'!$C$10:$C$224,$C248,'TL01'!$J$10:$J$224),0),
IF('TL01'!$B$229=Q$3,SUMIF('TL01'!$C$238:$C$451,$C248,'TL01'!$J$238:$J$451),0),
IF('TL02'!$B$3=Q$3,SUMIF('TL02'!$C$10:$C$224,$C248,'TL02'!$J$10:$J$224),0),
IF('TL02'!$B$229=Q$3,SUMIF('TL02'!$C$238:$C$451,$C248,'TL02'!$J$238:$J$451),0),
IF('TL03'!$B$3=Q$3,SUMIF('TL03'!$C$10:$C$224,$C248,'TL03'!$J$10:$J$224),0),
IF('TL03'!$B$229=Q$3,SUMIF('TL03'!$C$238:$C$451,$C248,'TL03'!$J$238:$J$451),0),
IF('TL04'!$B$3=Q$3,SUMIF('TL04'!$C$10:$C$224,$C248,'TL04'!$J$10:$J$224),0),
IF('TL04'!$B$229=Q$3,SUMIF('TL04'!$C$238:$C$451,$C248,'TL04'!$J$238:$J$451),0),
IF('TL05'!$B$3=Q$3,SUMIF('TL05'!$C$10:$C$224,$C248,'TL05'!$J$10:$J$224),0),
IF('TL05'!$B$229=Q$3,SUMIF('TL05'!$C$238:$C$451,$C248,'TL05'!$J$238:$J$451),0),
IF('TL06'!$B$3=Q$3,SUMIF('TL06'!$C$10:$C$224,$C248,'TL06'!$J$10:$J$224),0),
IF('TL06'!$B$229=Q$3,SUMIF('TL06'!$C$238:$C$451,$C248,'TL06'!$J$238:$J$451),0),
IF('TL07'!$B$3=Q$3,SUMIF('TL07'!$C$10:$C$224,$C248,'TL07'!$J$10:$J$224),0),
IF('TL07'!$B$229=Q$3,SUMIF('TL07'!$C$238:$C$451,$C248,'TL07'!$J$238:$J$451),0),
IF('TL08'!$B$3=Q$3,SUMIF('TL08'!$C$10:$C$224,$C248,'TL08'!$J$10:$J$224),0),
IF('TL08'!$B$229=Q$3,SUMIF('TL08'!$C$238:$C$451,$C248,'TL08'!$J$238:$J$451),0),
IF('TL09'!$B$3=Q$3,SUMIF('TL09'!$C$10:$C$224,$C248,'TL09'!$J$10:$J$224),0),
IF('TL09'!$B$229=Q$3,SUMIF('TL09'!$C$238:$C$451,$C248,'TL09'!$J$238:$J$451),0),
IF('TL10'!$B$3=Q$3,SUMIF('TL10'!$C$10:$C$224,$C248,'TL10'!$J$10:$J$224),0),
IF('TL10'!$B$229=Q$3,SUMIF('TL10'!$C$238:$C$451,$C248,'TL10'!$J$238:$J$451),0),
IF('TL11'!$B$3=Q$3,SUMIF('TL11'!$C$10:$C$224,$C248,'TL11'!$J$10:$J$224),0),
IF('TL11'!$B$229=Q$3,SUMIF('TL11'!$C$238:$C$451,$C248,'TL11'!$J$238:$J$451),0),
IF('TL12'!$B$3=Q$3,SUMIF('TL12'!$C$10:$C$224,$C248,'TL12'!$J$10:$J$224),0),
IF('TL12'!$B$229=Q$3,SUMIF('TL12'!$C$238:$C$451,$C248,'TL12'!$J$238:$J$451),0),
IF('TL13'!$B$3=Q$3,SUMIF('TL13'!$C$10:$C$224,$C248,'TL13'!$J$10:$J$224),0),
IF('TL13'!$B$229=Q$3,SUMIF('TL13'!$C$238:$C$451,$C248,'TL13'!$J$238:$J$451),0),
IF('TL14'!$B$3=Q$3,SUMIF('TL14'!$C$10:$C$224,$C248,'TL14'!$J$10:$J$224),0),
IF('TL14'!$B$229=Q$3,SUMIF('TL14'!$C$238:$C$451,$C248,'TL14'!$J$238:$J$451),0),
IF('TL15'!$B$3=Q$3,SUMIF('TL15'!$C$10:$C$224,$C248,'TL15'!$J$10:$J$224),0),
IF('TL15'!$B$229=Q$3,SUMIF('TL15'!$C$238:$C$451,$C248,'TL15'!$J$238:$J$451),0),
IF('TL16'!$B$3=Q$3,SUMIF('TL16'!$C$10:$C$224,$C248,'TL16'!$J$10:$J$224),0),
IF('TL16'!$B$229=Q$3,SUMIF('TL16'!$C$238:$C$451,$C248,'TL16'!$J$238:$J$451),0),
IF('TL17'!$B$3=Q$3,SUMIF('TL17'!$C$10:$C$224,$C248,'TL17'!$J$10:$J$224),0),
IF('TL17'!$B$229=Q$3,SUMIF('TL17'!$C$238:$C$451,$C248,'TL17'!$J$238:$J$451),0),
IF('TL18'!$B$3=Q$3,SUMIF('TL18'!$C$10:$C$224,$C248,'TL18'!$J$10:$J$224),0),
IF('TL18'!$B$229=Q$3,SUMIF('TL18'!$C$238:$C$451,$C248,'TL18'!$J$238:$J$451),0),
IF('TL19'!$B$3=Q$3,SUMIF('TL19'!$C$10:$C$224,$C248,'TL19'!$J$10:$J$224),0),
IF('TL19'!$B$229=Q$3,SUMIF('TL19'!$C$238:$C$451,$C248,'TL19'!$J$238:$J$451),0)
),0)</f>
        <v>0</v>
      </c>
      <c r="R248" s="9">
        <f>IFERROR(
SUM(
SUMIF('TL01'!C:C,C248,'TL01'!J:J),
SUMIF('TL02'!C:C,C248,'TL02'!J:J),
SUMIF('TL03'!C:C,C248,'TL03'!J:J),
SUMIF('TL04'!C:C,C248,'TL04'!J:J),
SUMIF('TL05'!C:C,C248,'TL05'!J:J),
SUMIF('TL06'!C:C,C248,'TL06'!J:J),
SUMIF('TL07'!C:C,C248,'TL07'!J:J),
SUMIF('TL08'!C:C,C248,'TL08'!J:J),
SUMIF('TL09'!C:C,C248,'TL09'!J:J),
SUMIF('TL10'!C:C,C248,'TL10'!J:J),
SUMIF('TL11'!C:C,C248,'TL11'!J:J),
SUMIF('TL12'!C:C,C248,'TL12'!J:J),
SUMIF('TL13'!C:C,C248,'TL13'!J:J),
SUMIF('TL14'!C:C,C248,'TL14'!J:J),
SUMIF('TL15'!C:C,C248,'TL15'!J:J),
SUMIF('TL16'!C:C,C248,'TL16'!J:J),
SUMIF('TL17'!C:C,C248,'TL17'!J:J),
SUMIF('TL18'!C:C,C248,'TL18'!J:J),SUMIF('TL19'!C:C,C248,'TL19'!J:J))
,0)</f>
        <v>0</v>
      </c>
      <c r="S248" s="17">
        <f>IFERROR(__xludf.DUMMYFUNCTION("IFERROR(VLOOKUP(C248,
IMPORTRANGE(""1wULbzX32WdYsx-lj2U3uUNBBe2INVIRDtcK0d-Dvl90"",
""26-27!C:G""),
5,
FALSE),
"""")"),0.0)</f>
        <v>0</v>
      </c>
      <c r="T248" s="9"/>
      <c r="U248" s="92">
        <f t="shared" si="2"/>
        <v>0</v>
      </c>
      <c r="V248" s="93">
        <f t="shared" si="3"/>
        <v>0</v>
      </c>
    </row>
    <row r="249" ht="15.75" hidden="1" customHeight="1">
      <c r="A249" s="122" t="s">
        <v>358</v>
      </c>
      <c r="B249" s="120" t="s">
        <v>900</v>
      </c>
      <c r="C249" s="122" t="s">
        <v>918</v>
      </c>
      <c r="D249" s="122" t="s">
        <v>919</v>
      </c>
      <c r="E249" s="122">
        <v>250.0</v>
      </c>
      <c r="F249" s="4"/>
      <c r="G249" s="90" t="str">
        <f t="shared" si="4"/>
        <v>📄 Ver bula</v>
      </c>
      <c r="H249" s="9" t="str">
        <f>IFERROR(__xludf.DUMMYFUNCTION("IFERROR(VLOOKUP(C249,
IMPORTRANGE(""1wULbzX32WdYsx-lj2U3uUNBBe2INVIRDtcK0d-Dvl90"",
""26-27!C:K""),
8,
FALSE),
"""")"),"")</f>
        <v/>
      </c>
      <c r="I249" s="123">
        <v>20.0</v>
      </c>
      <c r="J249" s="9">
        <f>IFERROR(SUM(
IF('TL01'!$B$3=J$3,SUMIF('TL01'!$C$10:$C$224,$C249,'TL01'!$J$10:$J$224),0),
IF('TL01'!$B$229=J$3,SUMIF('TL01'!$C$238:$C$451,$C249,'TL01'!$J$238:$J$451),0),
IF('TL02'!$B$3=J$3,SUMIF('TL02'!$C$10:$C$224,$C249,'TL02'!$J$10:$J$224),0),
IF('TL02'!$B$229=J$3,SUMIF('TL02'!$C$238:$C$451,$C249,'TL02'!$J$238:$J$451),0),
IF('TL03'!$B$3=J$3,SUMIF('TL03'!$C$10:$C$224,$C249,'TL03'!$J$10:$J$224),0),
IF('TL03'!$B$229=J$3,SUMIF('TL03'!$C$238:$C$451,$C249,'TL03'!$J$238:$J$451),0),
IF('TL04'!$B$3=J$3,SUMIF('TL04'!$C$10:$C$224,$C249,'TL04'!$J$10:$J$224),0),
IF('TL04'!$B$229=J$3,SUMIF('TL04'!$C$238:$C$451,$C249,'TL04'!$J$238:$J$451),0),
IF('TL05'!$B$3=J$3,SUMIF('TL05'!$C$10:$C$224,$C249,'TL05'!$J$10:$J$224),0),
IF('TL05'!$B$229=J$3,SUMIF('TL05'!$C$238:$C$451,$C249,'TL05'!$J$238:$J$451),0),
IF('TL06'!$B$3=J$3,SUMIF('TL06'!$C$10:$C$224,$C249,'TL06'!$J$10:$J$224),0),
IF('TL06'!$B$229=J$3,SUMIF('TL06'!$C$238:$C$451,$C249,'TL06'!$J$238:$J$451),0),
IF('TL07'!$B$3=J$3,SUMIF('TL07'!$C$10:$C$224,$C249,'TL07'!$J$10:$J$224),0),
IF('TL07'!$B$229=J$3,SUMIF('TL07'!$C$238:$C$451,$C249,'TL07'!$J$238:$J$451),0),
IF('TL08'!$B$3=J$3,SUMIF('TL08'!$C$10:$C$224,$C249,'TL08'!$J$10:$J$224),0),
IF('TL08'!$B$229=J$3,SUMIF('TL08'!$C$238:$C$451,$C249,'TL08'!$J$238:$J$451),0),
IF('TL09'!$B$3=J$3,SUMIF('TL09'!$C$10:$C$224,$C249,'TL09'!$J$10:$J$224),0),
IF('TL09'!$B$229=J$3,SUMIF('TL09'!$C$238:$C$451,$C249,'TL09'!$J$238:$J$451),0),
IF('TL10'!$B$3=J$3,SUMIF('TL10'!$C$10:$C$224,$C249,'TL10'!$J$10:$J$224),0),
IF('TL10'!$B$229=J$3,SUMIF('TL10'!$C$238:$C$451,$C249,'TL10'!$J$238:$J$451),0),
IF('TL11'!$B$3=J$3,SUMIF('TL11'!$C$10:$C$224,$C249,'TL11'!$J$10:$J$224),0),
IF('TL11'!$B$229=J$3,SUMIF('TL11'!$C$238:$C$451,$C249,'TL11'!$J$238:$J$451),0),
IF('TL12'!$B$3=J$3,SUMIF('TL12'!$C$10:$C$224,$C249,'TL12'!$J$10:$J$224),0),
IF('TL12'!$B$229=J$3,SUMIF('TL12'!$C$238:$C$451,$C249,'TL12'!$J$238:$J$451),0),
IF('TL13'!$B$3=J$3,SUMIF('TL13'!$C$10:$C$224,$C249,'TL13'!$J$10:$J$224),0),
IF('TL13'!$B$229=J$3,SUMIF('TL13'!$C$238:$C$451,$C249,'TL13'!$J$238:$J$451),0),
IF('TL14'!$B$3=J$3,SUMIF('TL14'!$C$10:$C$224,$C249,'TL14'!$J$10:$J$224),0),
IF('TL14'!$B$229=J$3,SUMIF('TL14'!$C$238:$C$451,$C249,'TL14'!$J$238:$J$451),0),
IF('TL15'!$B$3=J$3,SUMIF('TL15'!$C$10:$C$224,$C249,'TL15'!$J$10:$J$224),0),
IF('TL15'!$B$229=J$3,SUMIF('TL15'!$C$238:$C$451,$C249,'TL15'!$J$238:$J$451),0),
IF('TL16'!$B$3=J$3,SUMIF('TL16'!$C$10:$C$224,$C249,'TL16'!$J$10:$J$224),0),
IF('TL16'!$B$229=J$3,SUMIF('TL16'!$C$238:$C$451,$C249,'TL16'!$J$238:$J$451),0),
IF('TL17'!$B$3=J$3,SUMIF('TL17'!$C$10:$C$224,$C249,'TL17'!$J$10:$J$224),0),
IF('TL17'!$B$229=J$3,SUMIF('TL17'!$C$238:$C$451,$C249,'TL17'!$J$238:$J$451),0),
IF('TL18'!$B$3=J$3,SUMIF('TL18'!$C$10:$C$224,$C249,'TL18'!$J$10:$J$224),0),
IF('TL18'!$B$229=J$3,SUMIF('TL18'!$C$238:$C$451,$C249,'TL18'!$J$238:$J$451),0),
IF('TL19'!$B$3=J$3,SUMIF('TL19'!$C$10:$C$224,$C249,'TL19'!$J$10:$J$224),0),
IF('TL19'!$B$229=J$3,SUMIF('TL19'!$C$238:$C$451,$C249,'TL19'!$J$238:$J$451),0)
),0)</f>
        <v>0</v>
      </c>
      <c r="K249" s="9">
        <f>IFERROR(SUM(
IF('TL01'!$B$3=K$3,SUMIF('TL01'!$C$10:$C$224,$C249,'TL01'!$J$10:$J$224),0),
IF('TL01'!$B$229=K$3,SUMIF('TL01'!$C$238:$C$451,$C249,'TL01'!$J$238:$J$451),0),
IF('TL02'!$B$3=K$3,SUMIF('TL02'!$C$10:$C$224,$C249,'TL02'!$J$10:$J$224),0),
IF('TL02'!$B$229=K$3,SUMIF('TL02'!$C$238:$C$451,$C249,'TL02'!$J$238:$J$451),0),
IF('TL03'!$B$3=K$3,SUMIF('TL03'!$C$10:$C$224,$C249,'TL03'!$J$10:$J$224),0),
IF('TL03'!$B$229=K$3,SUMIF('TL03'!$C$238:$C$451,$C249,'TL03'!$J$238:$J$451),0),
IF('TL04'!$B$3=K$3,SUMIF('TL04'!$C$10:$C$224,$C249,'TL04'!$J$10:$J$224),0),
IF('TL04'!$B$229=K$3,SUMIF('TL04'!$C$238:$C$451,$C249,'TL04'!$J$238:$J$451),0),
IF('TL05'!$B$3=K$3,SUMIF('TL05'!$C$10:$C$224,$C249,'TL05'!$J$10:$J$224),0),
IF('TL05'!$B$229=K$3,SUMIF('TL05'!$C$238:$C$451,$C249,'TL05'!$J$238:$J$451),0),
IF('TL06'!$B$3=K$3,SUMIF('TL06'!$C$10:$C$224,$C249,'TL06'!$J$10:$J$224),0),
IF('TL06'!$B$229=K$3,SUMIF('TL06'!$C$238:$C$451,$C249,'TL06'!$J$238:$J$451),0),
IF('TL07'!$B$3=K$3,SUMIF('TL07'!$C$10:$C$224,$C249,'TL07'!$J$10:$J$224),0),
IF('TL07'!$B$229=K$3,SUMIF('TL07'!$C$238:$C$451,$C249,'TL07'!$J$238:$J$451),0),
IF('TL08'!$B$3=K$3,SUMIF('TL08'!$C$10:$C$224,$C249,'TL08'!$J$10:$J$224),0),
IF('TL08'!$B$229=K$3,SUMIF('TL08'!$C$238:$C$451,$C249,'TL08'!$J$238:$J$451),0),
IF('TL09'!$B$3=K$3,SUMIF('TL09'!$C$10:$C$224,$C249,'TL09'!$J$10:$J$224),0),
IF('TL09'!$B$229=K$3,SUMIF('TL09'!$C$238:$C$451,$C249,'TL09'!$J$238:$J$451),0),
IF('TL10'!$B$3=K$3,SUMIF('TL10'!$C$10:$C$224,$C249,'TL10'!$J$10:$J$224),0),
IF('TL10'!$B$229=K$3,SUMIF('TL10'!$C$238:$C$451,$C249,'TL10'!$J$238:$J$451),0),
IF('TL11'!$B$3=K$3,SUMIF('TL11'!$C$10:$C$224,$C249,'TL11'!$J$10:$J$224),0),
IF('TL11'!$B$229=K$3,SUMIF('TL11'!$C$238:$C$451,$C249,'TL11'!$J$238:$J$451),0),
IF('TL12'!$B$3=K$3,SUMIF('TL12'!$C$10:$C$224,$C249,'TL12'!$J$10:$J$224),0),
IF('TL12'!$B$229=K$3,SUMIF('TL12'!$C$238:$C$451,$C249,'TL12'!$J$238:$J$451),0),
IF('TL13'!$B$3=K$3,SUMIF('TL13'!$C$10:$C$224,$C249,'TL13'!$J$10:$J$224),0),
IF('TL13'!$B$229=K$3,SUMIF('TL13'!$C$238:$C$451,$C249,'TL13'!$J$238:$J$451),0),
IF('TL14'!$B$3=K$3,SUMIF('TL14'!$C$10:$C$224,$C249,'TL14'!$J$10:$J$224),0),
IF('TL14'!$B$229=K$3,SUMIF('TL14'!$C$238:$C$451,$C249,'TL14'!$J$238:$J$451),0),
IF('TL15'!$B$3=K$3,SUMIF('TL15'!$C$10:$C$224,$C249,'TL15'!$J$10:$J$224),0),
IF('TL15'!$B$229=K$3,SUMIF('TL15'!$C$238:$C$451,$C249,'TL15'!$J$238:$J$451),0),
IF('TL16'!$B$3=K$3,SUMIF('TL16'!$C$10:$C$224,$C249,'TL16'!$J$10:$J$224),0),
IF('TL16'!$B$229=K$3,SUMIF('TL16'!$C$238:$C$451,$C249,'TL16'!$J$238:$J$451),0),
IF('TL17'!$B$3=K$3,SUMIF('TL17'!$C$10:$C$224,$C249,'TL17'!$J$10:$J$224),0),
IF('TL17'!$B$229=K$3,SUMIF('TL17'!$C$238:$C$451,$C249,'TL17'!$J$238:$J$451),0),
IF('TL18'!$B$3=K$3,SUMIF('TL18'!$C$10:$C$224,$C249,'TL18'!$J$10:$J$224),0),
IF('TL18'!$B$229=K$3,SUMIF('TL18'!$C$238:$C$451,$C249,'TL18'!$J$238:$J$451),0),
IF('TL19'!$B$3=K$3,SUMIF('TL19'!$C$10:$C$224,$C249,'TL19'!$J$10:$J$224),0),
IF('TL19'!$B$229=K$3,SUMIF('TL19'!$C$238:$C$451,$C249,'TL19'!$J$238:$J$451),0)
),0)</f>
        <v>0</v>
      </c>
      <c r="L249" s="9">
        <f>IFERROR(SUM(
IF('TL01'!$B$3=L$3,SUMIF('TL01'!$C$10:$C$224,$C249,'TL01'!$J$10:$J$224),0),
IF('TL01'!$B$229=L$3,SUMIF('TL01'!$C$238:$C$451,$C249,'TL01'!$J$238:$J$451),0),
IF('TL02'!$B$3=L$3,SUMIF('TL02'!$C$10:$C$224,$C249,'TL02'!$J$10:$J$224),0),
IF('TL02'!$B$229=L$3,SUMIF('TL02'!$C$238:$C$451,$C249,'TL02'!$J$238:$J$451),0),
IF('TL03'!$B$3=L$3,SUMIF('TL03'!$C$10:$C$224,$C249,'TL03'!$J$10:$J$224),0),
IF('TL03'!$B$229=L$3,SUMIF('TL03'!$C$238:$C$451,$C249,'TL03'!$J$238:$J$451),0),
IF('TL04'!$B$3=L$3,SUMIF('TL04'!$C$10:$C$224,$C249,'TL04'!$J$10:$J$224),0),
IF('TL04'!$B$229=L$3,SUMIF('TL04'!$C$238:$C$451,$C249,'TL04'!$J$238:$J$451),0),
IF('TL05'!$B$3=L$3,SUMIF('TL05'!$C$10:$C$224,$C249,'TL05'!$J$10:$J$224),0),
IF('TL05'!$B$229=L$3,SUMIF('TL05'!$C$238:$C$451,$C249,'TL05'!$J$238:$J$451),0),
IF('TL06'!$B$3=L$3,SUMIF('TL06'!$C$10:$C$224,$C249,'TL06'!$J$10:$J$224),0),
IF('TL06'!$B$229=L$3,SUMIF('TL06'!$C$238:$C$451,$C249,'TL06'!$J$238:$J$451),0),
IF('TL07'!$B$3=L$3,SUMIF('TL07'!$C$10:$C$224,$C249,'TL07'!$J$10:$J$224),0),
IF('TL07'!$B$229=L$3,SUMIF('TL07'!$C$238:$C$451,$C249,'TL07'!$J$238:$J$451),0),
IF('TL08'!$B$3=L$3,SUMIF('TL08'!$C$10:$C$224,$C249,'TL08'!$J$10:$J$224),0),
IF('TL08'!$B$229=L$3,SUMIF('TL08'!$C$238:$C$451,$C249,'TL08'!$J$238:$J$451),0),
IF('TL09'!$B$3=L$3,SUMIF('TL09'!$C$10:$C$224,$C249,'TL09'!$J$10:$J$224),0),
IF('TL09'!$B$229=L$3,SUMIF('TL09'!$C$238:$C$451,$C249,'TL09'!$J$238:$J$451),0),
IF('TL10'!$B$3=L$3,SUMIF('TL10'!$C$10:$C$224,$C249,'TL10'!$J$10:$J$224),0),
IF('TL10'!$B$229=L$3,SUMIF('TL10'!$C$238:$C$451,$C249,'TL10'!$J$238:$J$451),0),
IF('TL11'!$B$3=L$3,SUMIF('TL11'!$C$10:$C$224,$C249,'TL11'!$J$10:$J$224),0),
IF('TL11'!$B$229=L$3,SUMIF('TL11'!$C$238:$C$451,$C249,'TL11'!$J$238:$J$451),0),
IF('TL12'!$B$3=L$3,SUMIF('TL12'!$C$10:$C$224,$C249,'TL12'!$J$10:$J$224),0),
IF('TL12'!$B$229=L$3,SUMIF('TL12'!$C$238:$C$451,$C249,'TL12'!$J$238:$J$451),0),
IF('TL13'!$B$3=L$3,SUMIF('TL13'!$C$10:$C$224,$C249,'TL13'!$J$10:$J$224),0),
IF('TL13'!$B$229=L$3,SUMIF('TL13'!$C$238:$C$451,$C249,'TL13'!$J$238:$J$451),0),
IF('TL14'!$B$3=L$3,SUMIF('TL14'!$C$10:$C$224,$C249,'TL14'!$J$10:$J$224),0),
IF('TL14'!$B$229=L$3,SUMIF('TL14'!$C$238:$C$451,$C249,'TL14'!$J$238:$J$451),0),
IF('TL15'!$B$3=L$3,SUMIF('TL15'!$C$10:$C$224,$C249,'TL15'!$J$10:$J$224),0),
IF('TL15'!$B$229=L$3,SUMIF('TL15'!$C$238:$C$451,$C249,'TL15'!$J$238:$J$451),0),
IF('TL16'!$B$3=L$3,SUMIF('TL16'!$C$10:$C$224,$C249,'TL16'!$J$10:$J$224),0),
IF('TL16'!$B$229=L$3,SUMIF('TL16'!$C$238:$C$451,$C249,'TL16'!$J$238:$J$451),0),
IF('TL17'!$B$3=L$3,SUMIF('TL17'!$C$10:$C$224,$C249,'TL17'!$J$10:$J$224),0),
IF('TL17'!$B$229=L$3,SUMIF('TL17'!$C$238:$C$451,$C249,'TL17'!$J$238:$J$451),0),
IF('TL18'!$B$3=L$3,SUMIF('TL18'!$C$10:$C$224,$C249,'TL18'!$J$10:$J$224),0),
IF('TL18'!$B$229=L$3,SUMIF('TL18'!$C$238:$C$451,$C249,'TL18'!$J$238:$J$451),0),
IF('TL19'!$B$3=L$3,SUMIF('TL19'!$C$10:$C$224,$C249,'TL19'!$J$10:$J$224),0),
IF('TL19'!$B$229=L$3,SUMIF('TL19'!$C$238:$C$451,$C249,'TL19'!$J$238:$J$451),0)
),0)</f>
        <v>0</v>
      </c>
      <c r="M249" s="9">
        <f>IFERROR(SUM(
IF('TL01'!$B$3=M$3,SUMIF('TL01'!$C$10:$C$224,$C249,'TL01'!$J$10:$J$224),0),
IF('TL01'!$B$229=M$3,SUMIF('TL01'!$C$238:$C$451,$C249,'TL01'!$J$238:$J$451),0),
IF('TL02'!$B$3=M$3,SUMIF('TL02'!$C$10:$C$224,$C249,'TL02'!$J$10:$J$224),0),
IF('TL02'!$B$229=M$3,SUMIF('TL02'!$C$238:$C$451,$C249,'TL02'!$J$238:$J$451),0),
IF('TL03'!$B$3=M$3,SUMIF('TL03'!$C$10:$C$224,$C249,'TL03'!$J$10:$J$224),0),
IF('TL03'!$B$229=M$3,SUMIF('TL03'!$C$238:$C$451,$C249,'TL03'!$J$238:$J$451),0),
IF('TL04'!$B$3=M$3,SUMIF('TL04'!$C$10:$C$224,$C249,'TL04'!$J$10:$J$224),0),
IF('TL04'!$B$229=M$3,SUMIF('TL04'!$C$238:$C$451,$C249,'TL04'!$J$238:$J$451),0),
IF('TL05'!$B$3=M$3,SUMIF('TL05'!$C$10:$C$224,$C249,'TL05'!$J$10:$J$224),0),
IF('TL05'!$B$229=M$3,SUMIF('TL05'!$C$238:$C$451,$C249,'TL05'!$J$238:$J$451),0),
IF('TL06'!$B$3=M$3,SUMIF('TL06'!$C$10:$C$224,$C249,'TL06'!$J$10:$J$224),0),
IF('TL06'!$B$229=M$3,SUMIF('TL06'!$C$238:$C$451,$C249,'TL06'!$J$238:$J$451),0),
IF('TL07'!$B$3=M$3,SUMIF('TL07'!$C$10:$C$224,$C249,'TL07'!$J$10:$J$224),0),
IF('TL07'!$B$229=M$3,SUMIF('TL07'!$C$238:$C$451,$C249,'TL07'!$J$238:$J$451),0),
IF('TL08'!$B$3=M$3,SUMIF('TL08'!$C$10:$C$224,$C249,'TL08'!$J$10:$J$224),0),
IF('TL08'!$B$229=M$3,SUMIF('TL08'!$C$238:$C$451,$C249,'TL08'!$J$238:$J$451),0),
IF('TL09'!$B$3=M$3,SUMIF('TL09'!$C$10:$C$224,$C249,'TL09'!$J$10:$J$224),0),
IF('TL09'!$B$229=M$3,SUMIF('TL09'!$C$238:$C$451,$C249,'TL09'!$J$238:$J$451),0),
IF('TL10'!$B$3=M$3,SUMIF('TL10'!$C$10:$C$224,$C249,'TL10'!$J$10:$J$224),0),
IF('TL10'!$B$229=M$3,SUMIF('TL10'!$C$238:$C$451,$C249,'TL10'!$J$238:$J$451),0),
IF('TL11'!$B$3=M$3,SUMIF('TL11'!$C$10:$C$224,$C249,'TL11'!$J$10:$J$224),0),
IF('TL11'!$B$229=M$3,SUMIF('TL11'!$C$238:$C$451,$C249,'TL11'!$J$238:$J$451),0),
IF('TL12'!$B$3=M$3,SUMIF('TL12'!$C$10:$C$224,$C249,'TL12'!$J$10:$J$224),0),
IF('TL12'!$B$229=M$3,SUMIF('TL12'!$C$238:$C$451,$C249,'TL12'!$J$238:$J$451),0),
IF('TL13'!$B$3=M$3,SUMIF('TL13'!$C$10:$C$224,$C249,'TL13'!$J$10:$J$224),0),
IF('TL13'!$B$229=M$3,SUMIF('TL13'!$C$238:$C$451,$C249,'TL13'!$J$238:$J$451),0),
IF('TL14'!$B$3=M$3,SUMIF('TL14'!$C$10:$C$224,$C249,'TL14'!$J$10:$J$224),0),
IF('TL14'!$B$229=M$3,SUMIF('TL14'!$C$238:$C$451,$C249,'TL14'!$J$238:$J$451),0),
IF('TL15'!$B$3=M$3,SUMIF('TL15'!$C$10:$C$224,$C249,'TL15'!$J$10:$J$224),0),
IF('TL15'!$B$229=M$3,SUMIF('TL15'!$C$238:$C$451,$C249,'TL15'!$J$238:$J$451),0),
IF('TL16'!$B$3=M$3,SUMIF('TL16'!$C$10:$C$224,$C249,'TL16'!$J$10:$J$224),0),
IF('TL16'!$B$229=M$3,SUMIF('TL16'!$C$238:$C$451,$C249,'TL16'!$J$238:$J$451),0),
IF('TL17'!$B$3=M$3,SUMIF('TL17'!$C$10:$C$224,$C249,'TL17'!$J$10:$J$224),0),
IF('TL17'!$B$229=M$3,SUMIF('TL17'!$C$238:$C$451,$C249,'TL17'!$J$238:$J$451),0),
IF('TL18'!$B$3=M$3,SUMIF('TL18'!$C$10:$C$224,$C249,'TL18'!$J$10:$J$224),0),
IF('TL18'!$B$229=M$3,SUMIF('TL18'!$C$238:$C$451,$C249,'TL18'!$J$238:$J$451),0),
IF('TL19'!$B$3=M$3,SUMIF('TL19'!$C$10:$C$224,$C249,'TL19'!$J$10:$J$224),0),
IF('TL19'!$B$229=M$3,SUMIF('TL19'!$C$238:$C$451,$C249,'TL19'!$J$238:$J$451),0)
),0)</f>
        <v>0</v>
      </c>
      <c r="N249" s="9">
        <f>IFERROR(SUM(
IF('TL01'!$B$3=N$3,SUMIF('TL01'!$C$10:$C$224,$C249,'TL01'!$J$10:$J$224),0),
IF('TL01'!$B$229=N$3,SUMIF('TL01'!$C$238:$C$451,$C249,'TL01'!$J$238:$J$451),0),
IF('TL02'!$B$3=N$3,SUMIF('TL02'!$C$10:$C$224,$C249,'TL02'!$J$10:$J$224),0),
IF('TL02'!$B$229=N$3,SUMIF('TL02'!$C$238:$C$451,$C249,'TL02'!$J$238:$J$451),0),
IF('TL03'!$B$3=N$3,SUMIF('TL03'!$C$10:$C$224,$C249,'TL03'!$J$10:$J$224),0),
IF('TL03'!$B$229=N$3,SUMIF('TL03'!$C$238:$C$451,$C249,'TL03'!$J$238:$J$451),0),
IF('TL04'!$B$3=N$3,SUMIF('TL04'!$C$10:$C$224,$C249,'TL04'!$J$10:$J$224),0),
IF('TL04'!$B$229=N$3,SUMIF('TL04'!$C$238:$C$451,$C249,'TL04'!$J$238:$J$451),0),
IF('TL05'!$B$3=N$3,SUMIF('TL05'!$C$10:$C$224,$C249,'TL05'!$J$10:$J$224),0),
IF('TL05'!$B$229=N$3,SUMIF('TL05'!$C$238:$C$451,$C249,'TL05'!$J$238:$J$451),0),
IF('TL06'!$B$3=N$3,SUMIF('TL06'!$C$10:$C$224,$C249,'TL06'!$J$10:$J$224),0),
IF('TL06'!$B$229=N$3,SUMIF('TL06'!$C$238:$C$451,$C249,'TL06'!$J$238:$J$451),0),
IF('TL07'!$B$3=N$3,SUMIF('TL07'!$C$10:$C$224,$C249,'TL07'!$J$10:$J$224),0),
IF('TL07'!$B$229=N$3,SUMIF('TL07'!$C$238:$C$451,$C249,'TL07'!$J$238:$J$451),0),
IF('TL08'!$B$3=N$3,SUMIF('TL08'!$C$10:$C$224,$C249,'TL08'!$J$10:$J$224),0),
IF('TL08'!$B$229=N$3,SUMIF('TL08'!$C$238:$C$451,$C249,'TL08'!$J$238:$J$451),0),
IF('TL09'!$B$3=N$3,SUMIF('TL09'!$C$10:$C$224,$C249,'TL09'!$J$10:$J$224),0),
IF('TL09'!$B$229=N$3,SUMIF('TL09'!$C$238:$C$451,$C249,'TL09'!$J$238:$J$451),0),
IF('TL10'!$B$3=N$3,SUMIF('TL10'!$C$10:$C$224,$C249,'TL10'!$J$10:$J$224),0),
IF('TL10'!$B$229=N$3,SUMIF('TL10'!$C$238:$C$451,$C249,'TL10'!$J$238:$J$451),0),
IF('TL11'!$B$3=N$3,SUMIF('TL11'!$C$10:$C$224,$C249,'TL11'!$J$10:$J$224),0),
IF('TL11'!$B$229=N$3,SUMIF('TL11'!$C$238:$C$451,$C249,'TL11'!$J$238:$J$451),0),
IF('TL12'!$B$3=N$3,SUMIF('TL12'!$C$10:$C$224,$C249,'TL12'!$J$10:$J$224),0),
IF('TL12'!$B$229=N$3,SUMIF('TL12'!$C$238:$C$451,$C249,'TL12'!$J$238:$J$451),0),
IF('TL13'!$B$3=N$3,SUMIF('TL13'!$C$10:$C$224,$C249,'TL13'!$J$10:$J$224),0),
IF('TL13'!$B$229=N$3,SUMIF('TL13'!$C$238:$C$451,$C249,'TL13'!$J$238:$J$451),0),
IF('TL14'!$B$3=N$3,SUMIF('TL14'!$C$10:$C$224,$C249,'TL14'!$J$10:$J$224),0),
IF('TL14'!$B$229=N$3,SUMIF('TL14'!$C$238:$C$451,$C249,'TL14'!$J$238:$J$451),0),
IF('TL15'!$B$3=N$3,SUMIF('TL15'!$C$10:$C$224,$C249,'TL15'!$J$10:$J$224),0),
IF('TL15'!$B$229=N$3,SUMIF('TL15'!$C$238:$C$451,$C249,'TL15'!$J$238:$J$451),0),
IF('TL16'!$B$3=N$3,SUMIF('TL16'!$C$10:$C$224,$C249,'TL16'!$J$10:$J$224),0),
IF('TL16'!$B$229=N$3,SUMIF('TL16'!$C$238:$C$451,$C249,'TL16'!$J$238:$J$451),0),
IF('TL17'!$B$3=N$3,SUMIF('TL17'!$C$10:$C$224,$C249,'TL17'!$J$10:$J$224),0),
IF('TL17'!$B$229=N$3,SUMIF('TL17'!$C$238:$C$451,$C249,'TL17'!$J$238:$J$451),0),
IF('TL18'!$B$3=N$3,SUMIF('TL18'!$C$10:$C$224,$C249,'TL18'!$J$10:$J$224),0),
IF('TL18'!$B$229=N$3,SUMIF('TL18'!$C$238:$C$451,$C249,'TL18'!$J$238:$J$451),0),
IF('TL19'!$B$3=N$3,SUMIF('TL19'!$C$10:$C$224,$C249,'TL19'!$J$10:$J$224),0),
IF('TL19'!$B$229=N$3,SUMIF('TL19'!$C$238:$C$451,$C249,'TL19'!$J$238:$J$451),0)
),0)</f>
        <v>0</v>
      </c>
      <c r="O249" s="9">
        <f>IFERROR(SUM(
IF('TL01'!$B$3=O$3,SUMIF('TL01'!$C$10:$C$224,$C249,'TL01'!$J$10:$J$224),0),
IF('TL01'!$B$229=O$3,SUMIF('TL01'!$C$238:$C$451,$C249,'TL01'!$J$238:$J$451),0),
IF('TL02'!$B$3=O$3,SUMIF('TL02'!$C$10:$C$224,$C249,'TL02'!$J$10:$J$224),0),
IF('TL02'!$B$229=O$3,SUMIF('TL02'!$C$238:$C$451,$C249,'TL02'!$J$238:$J$451),0),
IF('TL03'!$B$3=O$3,SUMIF('TL03'!$C$10:$C$224,$C249,'TL03'!$J$10:$J$224),0),
IF('TL03'!$B$229=O$3,SUMIF('TL03'!$C$238:$C$451,$C249,'TL03'!$J$238:$J$451),0),
IF('TL04'!$B$3=O$3,SUMIF('TL04'!$C$10:$C$224,$C249,'TL04'!$J$10:$J$224),0),
IF('TL04'!$B$229=O$3,SUMIF('TL04'!$C$238:$C$451,$C249,'TL04'!$J$238:$J$451),0),
IF('TL05'!$B$3=O$3,SUMIF('TL05'!$C$10:$C$224,$C249,'TL05'!$J$10:$J$224),0),
IF('TL05'!$B$229=O$3,SUMIF('TL05'!$C$238:$C$451,$C249,'TL05'!$J$238:$J$451),0),
IF('TL06'!$B$3=O$3,SUMIF('TL06'!$C$10:$C$224,$C249,'TL06'!$J$10:$J$224),0),
IF('TL06'!$B$229=O$3,SUMIF('TL06'!$C$238:$C$451,$C249,'TL06'!$J$238:$J$451),0),
IF('TL07'!$B$3=O$3,SUMIF('TL07'!$C$10:$C$224,$C249,'TL07'!$J$10:$J$224),0),
IF('TL07'!$B$229=O$3,SUMIF('TL07'!$C$238:$C$451,$C249,'TL07'!$J$238:$J$451),0),
IF('TL08'!$B$3=O$3,SUMIF('TL08'!$C$10:$C$224,$C249,'TL08'!$J$10:$J$224),0),
IF('TL08'!$B$229=O$3,SUMIF('TL08'!$C$238:$C$451,$C249,'TL08'!$J$238:$J$451),0),
IF('TL09'!$B$3=O$3,SUMIF('TL09'!$C$10:$C$224,$C249,'TL09'!$J$10:$J$224),0),
IF('TL09'!$B$229=O$3,SUMIF('TL09'!$C$238:$C$451,$C249,'TL09'!$J$238:$J$451),0),
IF('TL10'!$B$3=O$3,SUMIF('TL10'!$C$10:$C$224,$C249,'TL10'!$J$10:$J$224),0),
IF('TL10'!$B$229=O$3,SUMIF('TL10'!$C$238:$C$451,$C249,'TL10'!$J$238:$J$451),0),
IF('TL11'!$B$3=O$3,SUMIF('TL11'!$C$10:$C$224,$C249,'TL11'!$J$10:$J$224),0),
IF('TL11'!$B$229=O$3,SUMIF('TL11'!$C$238:$C$451,$C249,'TL11'!$J$238:$J$451),0),
IF('TL12'!$B$3=O$3,SUMIF('TL12'!$C$10:$C$224,$C249,'TL12'!$J$10:$J$224),0),
IF('TL12'!$B$229=O$3,SUMIF('TL12'!$C$238:$C$451,$C249,'TL12'!$J$238:$J$451),0),
IF('TL13'!$B$3=O$3,SUMIF('TL13'!$C$10:$C$224,$C249,'TL13'!$J$10:$J$224),0),
IF('TL13'!$B$229=O$3,SUMIF('TL13'!$C$238:$C$451,$C249,'TL13'!$J$238:$J$451),0),
IF('TL14'!$B$3=O$3,SUMIF('TL14'!$C$10:$C$224,$C249,'TL14'!$J$10:$J$224),0),
IF('TL14'!$B$229=O$3,SUMIF('TL14'!$C$238:$C$451,$C249,'TL14'!$J$238:$J$451),0),
IF('TL15'!$B$3=O$3,SUMIF('TL15'!$C$10:$C$224,$C249,'TL15'!$J$10:$J$224),0),
IF('TL15'!$B$229=O$3,SUMIF('TL15'!$C$238:$C$451,$C249,'TL15'!$J$238:$J$451),0),
IF('TL16'!$B$3=O$3,SUMIF('TL16'!$C$10:$C$224,$C249,'TL16'!$J$10:$J$224),0),
IF('TL16'!$B$229=O$3,SUMIF('TL16'!$C$238:$C$451,$C249,'TL16'!$J$238:$J$451),0),
IF('TL17'!$B$3=O$3,SUMIF('TL17'!$C$10:$C$224,$C249,'TL17'!$J$10:$J$224),0),
IF('TL17'!$B$229=O$3,SUMIF('TL17'!$C$238:$C$451,$C249,'TL17'!$J$238:$J$451),0),
IF('TL18'!$B$3=O$3,SUMIF('TL18'!$C$10:$C$224,$C249,'TL18'!$J$10:$J$224),0),
IF('TL18'!$B$229=O$3,SUMIF('TL18'!$C$238:$C$451,$C249,'TL18'!$J$238:$J$451),0),
IF('TL19'!$B$3=O$3,SUMIF('TL19'!$C$10:$C$224,$C249,'TL19'!$J$10:$J$224),0),
IF('TL19'!$B$229=O$3,SUMIF('TL19'!$C$238:$C$451,$C249,'TL19'!$J$238:$J$451),0)
),0)</f>
        <v>0</v>
      </c>
      <c r="P249" s="9">
        <f>IFERROR(SUM(
IF('TL01'!$B$3=P$3,SUMIF('TL01'!$C$10:$C$224,$C249,'TL01'!$J$10:$J$224),0),
IF('TL01'!$B$229=P$3,SUMIF('TL01'!$C$238:$C$451,$C249,'TL01'!$J$238:$J$451),0),
IF('TL02'!$B$3=P$3,SUMIF('TL02'!$C$10:$C$224,$C249,'TL02'!$J$10:$J$224),0),
IF('TL02'!$B$229=P$3,SUMIF('TL02'!$C$238:$C$451,$C249,'TL02'!$J$238:$J$451),0),
IF('TL03'!$B$3=P$3,SUMIF('TL03'!$C$10:$C$224,$C249,'TL03'!$J$10:$J$224),0),
IF('TL03'!$B$229=P$3,SUMIF('TL03'!$C$238:$C$451,$C249,'TL03'!$J$238:$J$451),0),
IF('TL04'!$B$3=P$3,SUMIF('TL04'!$C$10:$C$224,$C249,'TL04'!$J$10:$J$224),0),
IF('TL04'!$B$229=P$3,SUMIF('TL04'!$C$238:$C$451,$C249,'TL04'!$J$238:$J$451),0),
IF('TL05'!$B$3=P$3,SUMIF('TL05'!$C$10:$C$224,$C249,'TL05'!$J$10:$J$224),0),
IF('TL05'!$B$229=P$3,SUMIF('TL05'!$C$238:$C$451,$C249,'TL05'!$J$238:$J$451),0),
IF('TL06'!$B$3=P$3,SUMIF('TL06'!$C$10:$C$224,$C249,'TL06'!$J$10:$J$224),0),
IF('TL06'!$B$229=P$3,SUMIF('TL06'!$C$238:$C$451,$C249,'TL06'!$J$238:$J$451),0),
IF('TL07'!$B$3=P$3,SUMIF('TL07'!$C$10:$C$224,$C249,'TL07'!$J$10:$J$224),0),
IF('TL07'!$B$229=P$3,SUMIF('TL07'!$C$238:$C$451,$C249,'TL07'!$J$238:$J$451),0),
IF('TL08'!$B$3=P$3,SUMIF('TL08'!$C$10:$C$224,$C249,'TL08'!$J$10:$J$224),0),
IF('TL08'!$B$229=P$3,SUMIF('TL08'!$C$238:$C$451,$C249,'TL08'!$J$238:$J$451),0),
IF('TL09'!$B$3=P$3,SUMIF('TL09'!$C$10:$C$224,$C249,'TL09'!$J$10:$J$224),0),
IF('TL09'!$B$229=P$3,SUMIF('TL09'!$C$238:$C$451,$C249,'TL09'!$J$238:$J$451),0),
IF('TL10'!$B$3=P$3,SUMIF('TL10'!$C$10:$C$224,$C249,'TL10'!$J$10:$J$224),0),
IF('TL10'!$B$229=P$3,SUMIF('TL10'!$C$238:$C$451,$C249,'TL10'!$J$238:$J$451),0),
IF('TL11'!$B$3=P$3,SUMIF('TL11'!$C$10:$C$224,$C249,'TL11'!$J$10:$J$224),0),
IF('TL11'!$B$229=P$3,SUMIF('TL11'!$C$238:$C$451,$C249,'TL11'!$J$238:$J$451),0),
IF('TL12'!$B$3=P$3,SUMIF('TL12'!$C$10:$C$224,$C249,'TL12'!$J$10:$J$224),0),
IF('TL12'!$B$229=P$3,SUMIF('TL12'!$C$238:$C$451,$C249,'TL12'!$J$238:$J$451),0),
IF('TL13'!$B$3=P$3,SUMIF('TL13'!$C$10:$C$224,$C249,'TL13'!$J$10:$J$224),0),
IF('TL13'!$B$229=P$3,SUMIF('TL13'!$C$238:$C$451,$C249,'TL13'!$J$238:$J$451),0),
IF('TL14'!$B$3=P$3,SUMIF('TL14'!$C$10:$C$224,$C249,'TL14'!$J$10:$J$224),0),
IF('TL14'!$B$229=P$3,SUMIF('TL14'!$C$238:$C$451,$C249,'TL14'!$J$238:$J$451),0),
IF('TL15'!$B$3=P$3,SUMIF('TL15'!$C$10:$C$224,$C249,'TL15'!$J$10:$J$224),0),
IF('TL15'!$B$229=P$3,SUMIF('TL15'!$C$238:$C$451,$C249,'TL15'!$J$238:$J$451),0),
IF('TL16'!$B$3=P$3,SUMIF('TL16'!$C$10:$C$224,$C249,'TL16'!$J$10:$J$224),0),
IF('TL16'!$B$229=P$3,SUMIF('TL16'!$C$238:$C$451,$C249,'TL16'!$J$238:$J$451),0),
IF('TL17'!$B$3=P$3,SUMIF('TL17'!$C$10:$C$224,$C249,'TL17'!$J$10:$J$224),0),
IF('TL17'!$B$229=P$3,SUMIF('TL17'!$C$238:$C$451,$C249,'TL17'!$J$238:$J$451),0),
IF('TL18'!$B$3=P$3,SUMIF('TL18'!$C$10:$C$224,$C249,'TL18'!$J$10:$J$224),0),
IF('TL18'!$B$229=P$3,SUMIF('TL18'!$C$238:$C$451,$C249,'TL18'!$J$238:$J$451),0),
IF('TL19'!$B$3=P$3,SUMIF('TL19'!$C$10:$C$224,$C249,'TL19'!$J$10:$J$224),0),
IF('TL19'!$B$229=P$3,SUMIF('TL19'!$C$238:$C$451,$C249,'TL19'!$J$238:$J$451),0)
),0)</f>
        <v>0</v>
      </c>
      <c r="Q249" s="9">
        <f>IFERROR(SUM(
IF('TL01'!$B$3=Q$3,SUMIF('TL01'!$C$10:$C$224,$C249,'TL01'!$J$10:$J$224),0),
IF('TL01'!$B$229=Q$3,SUMIF('TL01'!$C$238:$C$451,$C249,'TL01'!$J$238:$J$451),0),
IF('TL02'!$B$3=Q$3,SUMIF('TL02'!$C$10:$C$224,$C249,'TL02'!$J$10:$J$224),0),
IF('TL02'!$B$229=Q$3,SUMIF('TL02'!$C$238:$C$451,$C249,'TL02'!$J$238:$J$451),0),
IF('TL03'!$B$3=Q$3,SUMIF('TL03'!$C$10:$C$224,$C249,'TL03'!$J$10:$J$224),0),
IF('TL03'!$B$229=Q$3,SUMIF('TL03'!$C$238:$C$451,$C249,'TL03'!$J$238:$J$451),0),
IF('TL04'!$B$3=Q$3,SUMIF('TL04'!$C$10:$C$224,$C249,'TL04'!$J$10:$J$224),0),
IF('TL04'!$B$229=Q$3,SUMIF('TL04'!$C$238:$C$451,$C249,'TL04'!$J$238:$J$451),0),
IF('TL05'!$B$3=Q$3,SUMIF('TL05'!$C$10:$C$224,$C249,'TL05'!$J$10:$J$224),0),
IF('TL05'!$B$229=Q$3,SUMIF('TL05'!$C$238:$C$451,$C249,'TL05'!$J$238:$J$451),0),
IF('TL06'!$B$3=Q$3,SUMIF('TL06'!$C$10:$C$224,$C249,'TL06'!$J$10:$J$224),0),
IF('TL06'!$B$229=Q$3,SUMIF('TL06'!$C$238:$C$451,$C249,'TL06'!$J$238:$J$451),0),
IF('TL07'!$B$3=Q$3,SUMIF('TL07'!$C$10:$C$224,$C249,'TL07'!$J$10:$J$224),0),
IF('TL07'!$B$229=Q$3,SUMIF('TL07'!$C$238:$C$451,$C249,'TL07'!$J$238:$J$451),0),
IF('TL08'!$B$3=Q$3,SUMIF('TL08'!$C$10:$C$224,$C249,'TL08'!$J$10:$J$224),0),
IF('TL08'!$B$229=Q$3,SUMIF('TL08'!$C$238:$C$451,$C249,'TL08'!$J$238:$J$451),0),
IF('TL09'!$B$3=Q$3,SUMIF('TL09'!$C$10:$C$224,$C249,'TL09'!$J$10:$J$224),0),
IF('TL09'!$B$229=Q$3,SUMIF('TL09'!$C$238:$C$451,$C249,'TL09'!$J$238:$J$451),0),
IF('TL10'!$B$3=Q$3,SUMIF('TL10'!$C$10:$C$224,$C249,'TL10'!$J$10:$J$224),0),
IF('TL10'!$B$229=Q$3,SUMIF('TL10'!$C$238:$C$451,$C249,'TL10'!$J$238:$J$451),0),
IF('TL11'!$B$3=Q$3,SUMIF('TL11'!$C$10:$C$224,$C249,'TL11'!$J$10:$J$224),0),
IF('TL11'!$B$229=Q$3,SUMIF('TL11'!$C$238:$C$451,$C249,'TL11'!$J$238:$J$451),0),
IF('TL12'!$B$3=Q$3,SUMIF('TL12'!$C$10:$C$224,$C249,'TL12'!$J$10:$J$224),0),
IF('TL12'!$B$229=Q$3,SUMIF('TL12'!$C$238:$C$451,$C249,'TL12'!$J$238:$J$451),0),
IF('TL13'!$B$3=Q$3,SUMIF('TL13'!$C$10:$C$224,$C249,'TL13'!$J$10:$J$224),0),
IF('TL13'!$B$229=Q$3,SUMIF('TL13'!$C$238:$C$451,$C249,'TL13'!$J$238:$J$451),0),
IF('TL14'!$B$3=Q$3,SUMIF('TL14'!$C$10:$C$224,$C249,'TL14'!$J$10:$J$224),0),
IF('TL14'!$B$229=Q$3,SUMIF('TL14'!$C$238:$C$451,$C249,'TL14'!$J$238:$J$451),0),
IF('TL15'!$B$3=Q$3,SUMIF('TL15'!$C$10:$C$224,$C249,'TL15'!$J$10:$J$224),0),
IF('TL15'!$B$229=Q$3,SUMIF('TL15'!$C$238:$C$451,$C249,'TL15'!$J$238:$J$451),0),
IF('TL16'!$B$3=Q$3,SUMIF('TL16'!$C$10:$C$224,$C249,'TL16'!$J$10:$J$224),0),
IF('TL16'!$B$229=Q$3,SUMIF('TL16'!$C$238:$C$451,$C249,'TL16'!$J$238:$J$451),0),
IF('TL17'!$B$3=Q$3,SUMIF('TL17'!$C$10:$C$224,$C249,'TL17'!$J$10:$J$224),0),
IF('TL17'!$B$229=Q$3,SUMIF('TL17'!$C$238:$C$451,$C249,'TL17'!$J$238:$J$451),0),
IF('TL18'!$B$3=Q$3,SUMIF('TL18'!$C$10:$C$224,$C249,'TL18'!$J$10:$J$224),0),
IF('TL18'!$B$229=Q$3,SUMIF('TL18'!$C$238:$C$451,$C249,'TL18'!$J$238:$J$451),0),
IF('TL19'!$B$3=Q$3,SUMIF('TL19'!$C$10:$C$224,$C249,'TL19'!$J$10:$J$224),0),
IF('TL19'!$B$229=Q$3,SUMIF('TL19'!$C$238:$C$451,$C249,'TL19'!$J$238:$J$451),0)
),0)</f>
        <v>0</v>
      </c>
      <c r="R249" s="9">
        <f>IFERROR(
SUM(
SUMIF('TL01'!C:C,C249,'TL01'!J:J),
SUMIF('TL02'!C:C,C249,'TL02'!J:J),
SUMIF('TL03'!C:C,C249,'TL03'!J:J),
SUMIF('TL04'!C:C,C249,'TL04'!J:J),
SUMIF('TL05'!C:C,C249,'TL05'!J:J),
SUMIF('TL06'!C:C,C249,'TL06'!J:J),
SUMIF('TL07'!C:C,C249,'TL07'!J:J),
SUMIF('TL08'!C:C,C249,'TL08'!J:J),
SUMIF('TL09'!C:C,C249,'TL09'!J:J),
SUMIF('TL10'!C:C,C249,'TL10'!J:J),
SUMIF('TL11'!C:C,C249,'TL11'!J:J),
SUMIF('TL12'!C:C,C249,'TL12'!J:J),
SUMIF('TL13'!C:C,C249,'TL13'!J:J),
SUMIF('TL14'!C:C,C249,'TL14'!J:J),
SUMIF('TL15'!C:C,C249,'TL15'!J:J),
SUMIF('TL16'!C:C,C249,'TL16'!J:J),
SUMIF('TL17'!C:C,C249,'TL17'!J:J),
SUMIF('TL18'!C:C,C249,'TL18'!J:J),SUMIF('TL19'!C:C,C249,'TL19'!J:J))
,0)</f>
        <v>0</v>
      </c>
      <c r="S249" s="17">
        <f>IFERROR(__xludf.DUMMYFUNCTION("IFERROR(VLOOKUP(C249,
IMPORTRANGE(""1wULbzX32WdYsx-lj2U3uUNBBe2INVIRDtcK0d-Dvl90"",
""26-27!C:G""),
5,
FALSE),
"""")"),0.0)</f>
        <v>0</v>
      </c>
      <c r="T249" s="9"/>
      <c r="U249" s="92">
        <f t="shared" si="2"/>
        <v>0</v>
      </c>
      <c r="V249" s="93">
        <f t="shared" si="3"/>
        <v>0</v>
      </c>
    </row>
    <row r="250" ht="15.75" hidden="1" customHeight="1">
      <c r="A250" s="119" t="s">
        <v>358</v>
      </c>
      <c r="B250" s="120" t="s">
        <v>900</v>
      </c>
      <c r="C250" s="119" t="s">
        <v>920</v>
      </c>
      <c r="D250" s="119" t="s">
        <v>921</v>
      </c>
      <c r="E250" s="119">
        <v>250.0</v>
      </c>
      <c r="F250" s="4"/>
      <c r="G250" s="90" t="str">
        <f t="shared" si="4"/>
        <v>📄 Ver bula</v>
      </c>
      <c r="H250" s="9" t="str">
        <f>IFERROR(__xludf.DUMMYFUNCTION("IFERROR(VLOOKUP(C250,
IMPORTRANGE(""1wULbzX32WdYsx-lj2U3uUNBBe2INVIRDtcK0d-Dvl90"",
""26-27!C:K""),
8,
FALSE),
"""")"),"")</f>
        <v/>
      </c>
      <c r="I250" s="121" t="s">
        <v>344</v>
      </c>
      <c r="J250" s="9">
        <f>IFERROR(SUM(
IF('TL01'!$B$3=J$3,SUMIF('TL01'!$C$10:$C$224,$C250,'TL01'!$J$10:$J$224),0),
IF('TL01'!$B$229=J$3,SUMIF('TL01'!$C$238:$C$451,$C250,'TL01'!$J$238:$J$451),0),
IF('TL02'!$B$3=J$3,SUMIF('TL02'!$C$10:$C$224,$C250,'TL02'!$J$10:$J$224),0),
IF('TL02'!$B$229=J$3,SUMIF('TL02'!$C$238:$C$451,$C250,'TL02'!$J$238:$J$451),0),
IF('TL03'!$B$3=J$3,SUMIF('TL03'!$C$10:$C$224,$C250,'TL03'!$J$10:$J$224),0),
IF('TL03'!$B$229=J$3,SUMIF('TL03'!$C$238:$C$451,$C250,'TL03'!$J$238:$J$451),0),
IF('TL04'!$B$3=J$3,SUMIF('TL04'!$C$10:$C$224,$C250,'TL04'!$J$10:$J$224),0),
IF('TL04'!$B$229=J$3,SUMIF('TL04'!$C$238:$C$451,$C250,'TL04'!$J$238:$J$451),0),
IF('TL05'!$B$3=J$3,SUMIF('TL05'!$C$10:$C$224,$C250,'TL05'!$J$10:$J$224),0),
IF('TL05'!$B$229=J$3,SUMIF('TL05'!$C$238:$C$451,$C250,'TL05'!$J$238:$J$451),0),
IF('TL06'!$B$3=J$3,SUMIF('TL06'!$C$10:$C$224,$C250,'TL06'!$J$10:$J$224),0),
IF('TL06'!$B$229=J$3,SUMIF('TL06'!$C$238:$C$451,$C250,'TL06'!$J$238:$J$451),0),
IF('TL07'!$B$3=J$3,SUMIF('TL07'!$C$10:$C$224,$C250,'TL07'!$J$10:$J$224),0),
IF('TL07'!$B$229=J$3,SUMIF('TL07'!$C$238:$C$451,$C250,'TL07'!$J$238:$J$451),0),
IF('TL08'!$B$3=J$3,SUMIF('TL08'!$C$10:$C$224,$C250,'TL08'!$J$10:$J$224),0),
IF('TL08'!$B$229=J$3,SUMIF('TL08'!$C$238:$C$451,$C250,'TL08'!$J$238:$J$451),0),
IF('TL09'!$B$3=J$3,SUMIF('TL09'!$C$10:$C$224,$C250,'TL09'!$J$10:$J$224),0),
IF('TL09'!$B$229=J$3,SUMIF('TL09'!$C$238:$C$451,$C250,'TL09'!$J$238:$J$451),0),
IF('TL10'!$B$3=J$3,SUMIF('TL10'!$C$10:$C$224,$C250,'TL10'!$J$10:$J$224),0),
IF('TL10'!$B$229=J$3,SUMIF('TL10'!$C$238:$C$451,$C250,'TL10'!$J$238:$J$451),0),
IF('TL11'!$B$3=J$3,SUMIF('TL11'!$C$10:$C$224,$C250,'TL11'!$J$10:$J$224),0),
IF('TL11'!$B$229=J$3,SUMIF('TL11'!$C$238:$C$451,$C250,'TL11'!$J$238:$J$451),0),
IF('TL12'!$B$3=J$3,SUMIF('TL12'!$C$10:$C$224,$C250,'TL12'!$J$10:$J$224),0),
IF('TL12'!$B$229=J$3,SUMIF('TL12'!$C$238:$C$451,$C250,'TL12'!$J$238:$J$451),0),
IF('TL13'!$B$3=J$3,SUMIF('TL13'!$C$10:$C$224,$C250,'TL13'!$J$10:$J$224),0),
IF('TL13'!$B$229=J$3,SUMIF('TL13'!$C$238:$C$451,$C250,'TL13'!$J$238:$J$451),0),
IF('TL14'!$B$3=J$3,SUMIF('TL14'!$C$10:$C$224,$C250,'TL14'!$J$10:$J$224),0),
IF('TL14'!$B$229=J$3,SUMIF('TL14'!$C$238:$C$451,$C250,'TL14'!$J$238:$J$451),0),
IF('TL15'!$B$3=J$3,SUMIF('TL15'!$C$10:$C$224,$C250,'TL15'!$J$10:$J$224),0),
IF('TL15'!$B$229=J$3,SUMIF('TL15'!$C$238:$C$451,$C250,'TL15'!$J$238:$J$451),0),
IF('TL16'!$B$3=J$3,SUMIF('TL16'!$C$10:$C$224,$C250,'TL16'!$J$10:$J$224),0),
IF('TL16'!$B$229=J$3,SUMIF('TL16'!$C$238:$C$451,$C250,'TL16'!$J$238:$J$451),0),
IF('TL17'!$B$3=J$3,SUMIF('TL17'!$C$10:$C$224,$C250,'TL17'!$J$10:$J$224),0),
IF('TL17'!$B$229=J$3,SUMIF('TL17'!$C$238:$C$451,$C250,'TL17'!$J$238:$J$451),0),
IF('TL18'!$B$3=J$3,SUMIF('TL18'!$C$10:$C$224,$C250,'TL18'!$J$10:$J$224),0),
IF('TL18'!$B$229=J$3,SUMIF('TL18'!$C$238:$C$451,$C250,'TL18'!$J$238:$J$451),0),
IF('TL19'!$B$3=J$3,SUMIF('TL19'!$C$10:$C$224,$C250,'TL19'!$J$10:$J$224),0),
IF('TL19'!$B$229=J$3,SUMIF('TL19'!$C$238:$C$451,$C250,'TL19'!$J$238:$J$451),0)
),0)</f>
        <v>0</v>
      </c>
      <c r="K250" s="9">
        <f>IFERROR(SUM(
IF('TL01'!$B$3=K$3,SUMIF('TL01'!$C$10:$C$224,$C250,'TL01'!$J$10:$J$224),0),
IF('TL01'!$B$229=K$3,SUMIF('TL01'!$C$238:$C$451,$C250,'TL01'!$J$238:$J$451),0),
IF('TL02'!$B$3=K$3,SUMIF('TL02'!$C$10:$C$224,$C250,'TL02'!$J$10:$J$224),0),
IF('TL02'!$B$229=K$3,SUMIF('TL02'!$C$238:$C$451,$C250,'TL02'!$J$238:$J$451),0),
IF('TL03'!$B$3=K$3,SUMIF('TL03'!$C$10:$C$224,$C250,'TL03'!$J$10:$J$224),0),
IF('TL03'!$B$229=K$3,SUMIF('TL03'!$C$238:$C$451,$C250,'TL03'!$J$238:$J$451),0),
IF('TL04'!$B$3=K$3,SUMIF('TL04'!$C$10:$C$224,$C250,'TL04'!$J$10:$J$224),0),
IF('TL04'!$B$229=K$3,SUMIF('TL04'!$C$238:$C$451,$C250,'TL04'!$J$238:$J$451),0),
IF('TL05'!$B$3=K$3,SUMIF('TL05'!$C$10:$C$224,$C250,'TL05'!$J$10:$J$224),0),
IF('TL05'!$B$229=K$3,SUMIF('TL05'!$C$238:$C$451,$C250,'TL05'!$J$238:$J$451),0),
IF('TL06'!$B$3=K$3,SUMIF('TL06'!$C$10:$C$224,$C250,'TL06'!$J$10:$J$224),0),
IF('TL06'!$B$229=K$3,SUMIF('TL06'!$C$238:$C$451,$C250,'TL06'!$J$238:$J$451),0),
IF('TL07'!$B$3=K$3,SUMIF('TL07'!$C$10:$C$224,$C250,'TL07'!$J$10:$J$224),0),
IF('TL07'!$B$229=K$3,SUMIF('TL07'!$C$238:$C$451,$C250,'TL07'!$J$238:$J$451),0),
IF('TL08'!$B$3=K$3,SUMIF('TL08'!$C$10:$C$224,$C250,'TL08'!$J$10:$J$224),0),
IF('TL08'!$B$229=K$3,SUMIF('TL08'!$C$238:$C$451,$C250,'TL08'!$J$238:$J$451),0),
IF('TL09'!$B$3=K$3,SUMIF('TL09'!$C$10:$C$224,$C250,'TL09'!$J$10:$J$224),0),
IF('TL09'!$B$229=K$3,SUMIF('TL09'!$C$238:$C$451,$C250,'TL09'!$J$238:$J$451),0),
IF('TL10'!$B$3=K$3,SUMIF('TL10'!$C$10:$C$224,$C250,'TL10'!$J$10:$J$224),0),
IF('TL10'!$B$229=K$3,SUMIF('TL10'!$C$238:$C$451,$C250,'TL10'!$J$238:$J$451),0),
IF('TL11'!$B$3=K$3,SUMIF('TL11'!$C$10:$C$224,$C250,'TL11'!$J$10:$J$224),0),
IF('TL11'!$B$229=K$3,SUMIF('TL11'!$C$238:$C$451,$C250,'TL11'!$J$238:$J$451),0),
IF('TL12'!$B$3=K$3,SUMIF('TL12'!$C$10:$C$224,$C250,'TL12'!$J$10:$J$224),0),
IF('TL12'!$B$229=K$3,SUMIF('TL12'!$C$238:$C$451,$C250,'TL12'!$J$238:$J$451),0),
IF('TL13'!$B$3=K$3,SUMIF('TL13'!$C$10:$C$224,$C250,'TL13'!$J$10:$J$224),0),
IF('TL13'!$B$229=K$3,SUMIF('TL13'!$C$238:$C$451,$C250,'TL13'!$J$238:$J$451),0),
IF('TL14'!$B$3=K$3,SUMIF('TL14'!$C$10:$C$224,$C250,'TL14'!$J$10:$J$224),0),
IF('TL14'!$B$229=K$3,SUMIF('TL14'!$C$238:$C$451,$C250,'TL14'!$J$238:$J$451),0),
IF('TL15'!$B$3=K$3,SUMIF('TL15'!$C$10:$C$224,$C250,'TL15'!$J$10:$J$224),0),
IF('TL15'!$B$229=K$3,SUMIF('TL15'!$C$238:$C$451,$C250,'TL15'!$J$238:$J$451),0),
IF('TL16'!$B$3=K$3,SUMIF('TL16'!$C$10:$C$224,$C250,'TL16'!$J$10:$J$224),0),
IF('TL16'!$B$229=K$3,SUMIF('TL16'!$C$238:$C$451,$C250,'TL16'!$J$238:$J$451),0),
IF('TL17'!$B$3=K$3,SUMIF('TL17'!$C$10:$C$224,$C250,'TL17'!$J$10:$J$224),0),
IF('TL17'!$B$229=K$3,SUMIF('TL17'!$C$238:$C$451,$C250,'TL17'!$J$238:$J$451),0),
IF('TL18'!$B$3=K$3,SUMIF('TL18'!$C$10:$C$224,$C250,'TL18'!$J$10:$J$224),0),
IF('TL18'!$B$229=K$3,SUMIF('TL18'!$C$238:$C$451,$C250,'TL18'!$J$238:$J$451),0),
IF('TL19'!$B$3=K$3,SUMIF('TL19'!$C$10:$C$224,$C250,'TL19'!$J$10:$J$224),0),
IF('TL19'!$B$229=K$3,SUMIF('TL19'!$C$238:$C$451,$C250,'TL19'!$J$238:$J$451),0)
),0)</f>
        <v>0</v>
      </c>
      <c r="L250" s="9">
        <f>IFERROR(SUM(
IF('TL01'!$B$3=L$3,SUMIF('TL01'!$C$10:$C$224,$C250,'TL01'!$J$10:$J$224),0),
IF('TL01'!$B$229=L$3,SUMIF('TL01'!$C$238:$C$451,$C250,'TL01'!$J$238:$J$451),0),
IF('TL02'!$B$3=L$3,SUMIF('TL02'!$C$10:$C$224,$C250,'TL02'!$J$10:$J$224),0),
IF('TL02'!$B$229=L$3,SUMIF('TL02'!$C$238:$C$451,$C250,'TL02'!$J$238:$J$451),0),
IF('TL03'!$B$3=L$3,SUMIF('TL03'!$C$10:$C$224,$C250,'TL03'!$J$10:$J$224),0),
IF('TL03'!$B$229=L$3,SUMIF('TL03'!$C$238:$C$451,$C250,'TL03'!$J$238:$J$451),0),
IF('TL04'!$B$3=L$3,SUMIF('TL04'!$C$10:$C$224,$C250,'TL04'!$J$10:$J$224),0),
IF('TL04'!$B$229=L$3,SUMIF('TL04'!$C$238:$C$451,$C250,'TL04'!$J$238:$J$451),0),
IF('TL05'!$B$3=L$3,SUMIF('TL05'!$C$10:$C$224,$C250,'TL05'!$J$10:$J$224),0),
IF('TL05'!$B$229=L$3,SUMIF('TL05'!$C$238:$C$451,$C250,'TL05'!$J$238:$J$451),0),
IF('TL06'!$B$3=L$3,SUMIF('TL06'!$C$10:$C$224,$C250,'TL06'!$J$10:$J$224),0),
IF('TL06'!$B$229=L$3,SUMIF('TL06'!$C$238:$C$451,$C250,'TL06'!$J$238:$J$451),0),
IF('TL07'!$B$3=L$3,SUMIF('TL07'!$C$10:$C$224,$C250,'TL07'!$J$10:$J$224),0),
IF('TL07'!$B$229=L$3,SUMIF('TL07'!$C$238:$C$451,$C250,'TL07'!$J$238:$J$451),0),
IF('TL08'!$B$3=L$3,SUMIF('TL08'!$C$10:$C$224,$C250,'TL08'!$J$10:$J$224),0),
IF('TL08'!$B$229=L$3,SUMIF('TL08'!$C$238:$C$451,$C250,'TL08'!$J$238:$J$451),0),
IF('TL09'!$B$3=L$3,SUMIF('TL09'!$C$10:$C$224,$C250,'TL09'!$J$10:$J$224),0),
IF('TL09'!$B$229=L$3,SUMIF('TL09'!$C$238:$C$451,$C250,'TL09'!$J$238:$J$451),0),
IF('TL10'!$B$3=L$3,SUMIF('TL10'!$C$10:$C$224,$C250,'TL10'!$J$10:$J$224),0),
IF('TL10'!$B$229=L$3,SUMIF('TL10'!$C$238:$C$451,$C250,'TL10'!$J$238:$J$451),0),
IF('TL11'!$B$3=L$3,SUMIF('TL11'!$C$10:$C$224,$C250,'TL11'!$J$10:$J$224),0),
IF('TL11'!$B$229=L$3,SUMIF('TL11'!$C$238:$C$451,$C250,'TL11'!$J$238:$J$451),0),
IF('TL12'!$B$3=L$3,SUMIF('TL12'!$C$10:$C$224,$C250,'TL12'!$J$10:$J$224),0),
IF('TL12'!$B$229=L$3,SUMIF('TL12'!$C$238:$C$451,$C250,'TL12'!$J$238:$J$451),0),
IF('TL13'!$B$3=L$3,SUMIF('TL13'!$C$10:$C$224,$C250,'TL13'!$J$10:$J$224),0),
IF('TL13'!$B$229=L$3,SUMIF('TL13'!$C$238:$C$451,$C250,'TL13'!$J$238:$J$451),0),
IF('TL14'!$B$3=L$3,SUMIF('TL14'!$C$10:$C$224,$C250,'TL14'!$J$10:$J$224),0),
IF('TL14'!$B$229=L$3,SUMIF('TL14'!$C$238:$C$451,$C250,'TL14'!$J$238:$J$451),0),
IF('TL15'!$B$3=L$3,SUMIF('TL15'!$C$10:$C$224,$C250,'TL15'!$J$10:$J$224),0),
IF('TL15'!$B$229=L$3,SUMIF('TL15'!$C$238:$C$451,$C250,'TL15'!$J$238:$J$451),0),
IF('TL16'!$B$3=L$3,SUMIF('TL16'!$C$10:$C$224,$C250,'TL16'!$J$10:$J$224),0),
IF('TL16'!$B$229=L$3,SUMIF('TL16'!$C$238:$C$451,$C250,'TL16'!$J$238:$J$451),0),
IF('TL17'!$B$3=L$3,SUMIF('TL17'!$C$10:$C$224,$C250,'TL17'!$J$10:$J$224),0),
IF('TL17'!$B$229=L$3,SUMIF('TL17'!$C$238:$C$451,$C250,'TL17'!$J$238:$J$451),0),
IF('TL18'!$B$3=L$3,SUMIF('TL18'!$C$10:$C$224,$C250,'TL18'!$J$10:$J$224),0),
IF('TL18'!$B$229=L$3,SUMIF('TL18'!$C$238:$C$451,$C250,'TL18'!$J$238:$J$451),0),
IF('TL19'!$B$3=L$3,SUMIF('TL19'!$C$10:$C$224,$C250,'TL19'!$J$10:$J$224),0),
IF('TL19'!$B$229=L$3,SUMIF('TL19'!$C$238:$C$451,$C250,'TL19'!$J$238:$J$451),0)
),0)</f>
        <v>0</v>
      </c>
      <c r="M250" s="9">
        <f>IFERROR(SUM(
IF('TL01'!$B$3=M$3,SUMIF('TL01'!$C$10:$C$224,$C250,'TL01'!$J$10:$J$224),0),
IF('TL01'!$B$229=M$3,SUMIF('TL01'!$C$238:$C$451,$C250,'TL01'!$J$238:$J$451),0),
IF('TL02'!$B$3=M$3,SUMIF('TL02'!$C$10:$C$224,$C250,'TL02'!$J$10:$J$224),0),
IF('TL02'!$B$229=M$3,SUMIF('TL02'!$C$238:$C$451,$C250,'TL02'!$J$238:$J$451),0),
IF('TL03'!$B$3=M$3,SUMIF('TL03'!$C$10:$C$224,$C250,'TL03'!$J$10:$J$224),0),
IF('TL03'!$B$229=M$3,SUMIF('TL03'!$C$238:$C$451,$C250,'TL03'!$J$238:$J$451),0),
IF('TL04'!$B$3=M$3,SUMIF('TL04'!$C$10:$C$224,$C250,'TL04'!$J$10:$J$224),0),
IF('TL04'!$B$229=M$3,SUMIF('TL04'!$C$238:$C$451,$C250,'TL04'!$J$238:$J$451),0),
IF('TL05'!$B$3=M$3,SUMIF('TL05'!$C$10:$C$224,$C250,'TL05'!$J$10:$J$224),0),
IF('TL05'!$B$229=M$3,SUMIF('TL05'!$C$238:$C$451,$C250,'TL05'!$J$238:$J$451),0),
IF('TL06'!$B$3=M$3,SUMIF('TL06'!$C$10:$C$224,$C250,'TL06'!$J$10:$J$224),0),
IF('TL06'!$B$229=M$3,SUMIF('TL06'!$C$238:$C$451,$C250,'TL06'!$J$238:$J$451),0),
IF('TL07'!$B$3=M$3,SUMIF('TL07'!$C$10:$C$224,$C250,'TL07'!$J$10:$J$224),0),
IF('TL07'!$B$229=M$3,SUMIF('TL07'!$C$238:$C$451,$C250,'TL07'!$J$238:$J$451),0),
IF('TL08'!$B$3=M$3,SUMIF('TL08'!$C$10:$C$224,$C250,'TL08'!$J$10:$J$224),0),
IF('TL08'!$B$229=M$3,SUMIF('TL08'!$C$238:$C$451,$C250,'TL08'!$J$238:$J$451),0),
IF('TL09'!$B$3=M$3,SUMIF('TL09'!$C$10:$C$224,$C250,'TL09'!$J$10:$J$224),0),
IF('TL09'!$B$229=M$3,SUMIF('TL09'!$C$238:$C$451,$C250,'TL09'!$J$238:$J$451),0),
IF('TL10'!$B$3=M$3,SUMIF('TL10'!$C$10:$C$224,$C250,'TL10'!$J$10:$J$224),0),
IF('TL10'!$B$229=M$3,SUMIF('TL10'!$C$238:$C$451,$C250,'TL10'!$J$238:$J$451),0),
IF('TL11'!$B$3=M$3,SUMIF('TL11'!$C$10:$C$224,$C250,'TL11'!$J$10:$J$224),0),
IF('TL11'!$B$229=M$3,SUMIF('TL11'!$C$238:$C$451,$C250,'TL11'!$J$238:$J$451),0),
IF('TL12'!$B$3=M$3,SUMIF('TL12'!$C$10:$C$224,$C250,'TL12'!$J$10:$J$224),0),
IF('TL12'!$B$229=M$3,SUMIF('TL12'!$C$238:$C$451,$C250,'TL12'!$J$238:$J$451),0),
IF('TL13'!$B$3=M$3,SUMIF('TL13'!$C$10:$C$224,$C250,'TL13'!$J$10:$J$224),0),
IF('TL13'!$B$229=M$3,SUMIF('TL13'!$C$238:$C$451,$C250,'TL13'!$J$238:$J$451),0),
IF('TL14'!$B$3=M$3,SUMIF('TL14'!$C$10:$C$224,$C250,'TL14'!$J$10:$J$224),0),
IF('TL14'!$B$229=M$3,SUMIF('TL14'!$C$238:$C$451,$C250,'TL14'!$J$238:$J$451),0),
IF('TL15'!$B$3=M$3,SUMIF('TL15'!$C$10:$C$224,$C250,'TL15'!$J$10:$J$224),0),
IF('TL15'!$B$229=M$3,SUMIF('TL15'!$C$238:$C$451,$C250,'TL15'!$J$238:$J$451),0),
IF('TL16'!$B$3=M$3,SUMIF('TL16'!$C$10:$C$224,$C250,'TL16'!$J$10:$J$224),0),
IF('TL16'!$B$229=M$3,SUMIF('TL16'!$C$238:$C$451,$C250,'TL16'!$J$238:$J$451),0),
IF('TL17'!$B$3=M$3,SUMIF('TL17'!$C$10:$C$224,$C250,'TL17'!$J$10:$J$224),0),
IF('TL17'!$B$229=M$3,SUMIF('TL17'!$C$238:$C$451,$C250,'TL17'!$J$238:$J$451),0),
IF('TL18'!$B$3=M$3,SUMIF('TL18'!$C$10:$C$224,$C250,'TL18'!$J$10:$J$224),0),
IF('TL18'!$B$229=M$3,SUMIF('TL18'!$C$238:$C$451,$C250,'TL18'!$J$238:$J$451),0),
IF('TL19'!$B$3=M$3,SUMIF('TL19'!$C$10:$C$224,$C250,'TL19'!$J$10:$J$224),0),
IF('TL19'!$B$229=M$3,SUMIF('TL19'!$C$238:$C$451,$C250,'TL19'!$J$238:$J$451),0)
),0)</f>
        <v>0</v>
      </c>
      <c r="N250" s="9">
        <f>IFERROR(SUM(
IF('TL01'!$B$3=N$3,SUMIF('TL01'!$C$10:$C$224,$C250,'TL01'!$J$10:$J$224),0),
IF('TL01'!$B$229=N$3,SUMIF('TL01'!$C$238:$C$451,$C250,'TL01'!$J$238:$J$451),0),
IF('TL02'!$B$3=N$3,SUMIF('TL02'!$C$10:$C$224,$C250,'TL02'!$J$10:$J$224),0),
IF('TL02'!$B$229=N$3,SUMIF('TL02'!$C$238:$C$451,$C250,'TL02'!$J$238:$J$451),0),
IF('TL03'!$B$3=N$3,SUMIF('TL03'!$C$10:$C$224,$C250,'TL03'!$J$10:$J$224),0),
IF('TL03'!$B$229=N$3,SUMIF('TL03'!$C$238:$C$451,$C250,'TL03'!$J$238:$J$451),0),
IF('TL04'!$B$3=N$3,SUMIF('TL04'!$C$10:$C$224,$C250,'TL04'!$J$10:$J$224),0),
IF('TL04'!$B$229=N$3,SUMIF('TL04'!$C$238:$C$451,$C250,'TL04'!$J$238:$J$451),0),
IF('TL05'!$B$3=N$3,SUMIF('TL05'!$C$10:$C$224,$C250,'TL05'!$J$10:$J$224),0),
IF('TL05'!$B$229=N$3,SUMIF('TL05'!$C$238:$C$451,$C250,'TL05'!$J$238:$J$451),0),
IF('TL06'!$B$3=N$3,SUMIF('TL06'!$C$10:$C$224,$C250,'TL06'!$J$10:$J$224),0),
IF('TL06'!$B$229=N$3,SUMIF('TL06'!$C$238:$C$451,$C250,'TL06'!$J$238:$J$451),0),
IF('TL07'!$B$3=N$3,SUMIF('TL07'!$C$10:$C$224,$C250,'TL07'!$J$10:$J$224),0),
IF('TL07'!$B$229=N$3,SUMIF('TL07'!$C$238:$C$451,$C250,'TL07'!$J$238:$J$451),0),
IF('TL08'!$B$3=N$3,SUMIF('TL08'!$C$10:$C$224,$C250,'TL08'!$J$10:$J$224),0),
IF('TL08'!$B$229=N$3,SUMIF('TL08'!$C$238:$C$451,$C250,'TL08'!$J$238:$J$451),0),
IF('TL09'!$B$3=N$3,SUMIF('TL09'!$C$10:$C$224,$C250,'TL09'!$J$10:$J$224),0),
IF('TL09'!$B$229=N$3,SUMIF('TL09'!$C$238:$C$451,$C250,'TL09'!$J$238:$J$451),0),
IF('TL10'!$B$3=N$3,SUMIF('TL10'!$C$10:$C$224,$C250,'TL10'!$J$10:$J$224),0),
IF('TL10'!$B$229=N$3,SUMIF('TL10'!$C$238:$C$451,$C250,'TL10'!$J$238:$J$451),0),
IF('TL11'!$B$3=N$3,SUMIF('TL11'!$C$10:$C$224,$C250,'TL11'!$J$10:$J$224),0),
IF('TL11'!$B$229=N$3,SUMIF('TL11'!$C$238:$C$451,$C250,'TL11'!$J$238:$J$451),0),
IF('TL12'!$B$3=N$3,SUMIF('TL12'!$C$10:$C$224,$C250,'TL12'!$J$10:$J$224),0),
IF('TL12'!$B$229=N$3,SUMIF('TL12'!$C$238:$C$451,$C250,'TL12'!$J$238:$J$451),0),
IF('TL13'!$B$3=N$3,SUMIF('TL13'!$C$10:$C$224,$C250,'TL13'!$J$10:$J$224),0),
IF('TL13'!$B$229=N$3,SUMIF('TL13'!$C$238:$C$451,$C250,'TL13'!$J$238:$J$451),0),
IF('TL14'!$B$3=N$3,SUMIF('TL14'!$C$10:$C$224,$C250,'TL14'!$J$10:$J$224),0),
IF('TL14'!$B$229=N$3,SUMIF('TL14'!$C$238:$C$451,$C250,'TL14'!$J$238:$J$451),0),
IF('TL15'!$B$3=N$3,SUMIF('TL15'!$C$10:$C$224,$C250,'TL15'!$J$10:$J$224),0),
IF('TL15'!$B$229=N$3,SUMIF('TL15'!$C$238:$C$451,$C250,'TL15'!$J$238:$J$451),0),
IF('TL16'!$B$3=N$3,SUMIF('TL16'!$C$10:$C$224,$C250,'TL16'!$J$10:$J$224),0),
IF('TL16'!$B$229=N$3,SUMIF('TL16'!$C$238:$C$451,$C250,'TL16'!$J$238:$J$451),0),
IF('TL17'!$B$3=N$3,SUMIF('TL17'!$C$10:$C$224,$C250,'TL17'!$J$10:$J$224),0),
IF('TL17'!$B$229=N$3,SUMIF('TL17'!$C$238:$C$451,$C250,'TL17'!$J$238:$J$451),0),
IF('TL18'!$B$3=N$3,SUMIF('TL18'!$C$10:$C$224,$C250,'TL18'!$J$10:$J$224),0),
IF('TL18'!$B$229=N$3,SUMIF('TL18'!$C$238:$C$451,$C250,'TL18'!$J$238:$J$451),0),
IF('TL19'!$B$3=N$3,SUMIF('TL19'!$C$10:$C$224,$C250,'TL19'!$J$10:$J$224),0),
IF('TL19'!$B$229=N$3,SUMIF('TL19'!$C$238:$C$451,$C250,'TL19'!$J$238:$J$451),0)
),0)</f>
        <v>0</v>
      </c>
      <c r="O250" s="9">
        <f>IFERROR(SUM(
IF('TL01'!$B$3=O$3,SUMIF('TL01'!$C$10:$C$224,$C250,'TL01'!$J$10:$J$224),0),
IF('TL01'!$B$229=O$3,SUMIF('TL01'!$C$238:$C$451,$C250,'TL01'!$J$238:$J$451),0),
IF('TL02'!$B$3=O$3,SUMIF('TL02'!$C$10:$C$224,$C250,'TL02'!$J$10:$J$224),0),
IF('TL02'!$B$229=O$3,SUMIF('TL02'!$C$238:$C$451,$C250,'TL02'!$J$238:$J$451),0),
IF('TL03'!$B$3=O$3,SUMIF('TL03'!$C$10:$C$224,$C250,'TL03'!$J$10:$J$224),0),
IF('TL03'!$B$229=O$3,SUMIF('TL03'!$C$238:$C$451,$C250,'TL03'!$J$238:$J$451),0),
IF('TL04'!$B$3=O$3,SUMIF('TL04'!$C$10:$C$224,$C250,'TL04'!$J$10:$J$224),0),
IF('TL04'!$B$229=O$3,SUMIF('TL04'!$C$238:$C$451,$C250,'TL04'!$J$238:$J$451),0),
IF('TL05'!$B$3=O$3,SUMIF('TL05'!$C$10:$C$224,$C250,'TL05'!$J$10:$J$224),0),
IF('TL05'!$B$229=O$3,SUMIF('TL05'!$C$238:$C$451,$C250,'TL05'!$J$238:$J$451),0),
IF('TL06'!$B$3=O$3,SUMIF('TL06'!$C$10:$C$224,$C250,'TL06'!$J$10:$J$224),0),
IF('TL06'!$B$229=O$3,SUMIF('TL06'!$C$238:$C$451,$C250,'TL06'!$J$238:$J$451),0),
IF('TL07'!$B$3=O$3,SUMIF('TL07'!$C$10:$C$224,$C250,'TL07'!$J$10:$J$224),0),
IF('TL07'!$B$229=O$3,SUMIF('TL07'!$C$238:$C$451,$C250,'TL07'!$J$238:$J$451),0),
IF('TL08'!$B$3=O$3,SUMIF('TL08'!$C$10:$C$224,$C250,'TL08'!$J$10:$J$224),0),
IF('TL08'!$B$229=O$3,SUMIF('TL08'!$C$238:$C$451,$C250,'TL08'!$J$238:$J$451),0),
IF('TL09'!$B$3=O$3,SUMIF('TL09'!$C$10:$C$224,$C250,'TL09'!$J$10:$J$224),0),
IF('TL09'!$B$229=O$3,SUMIF('TL09'!$C$238:$C$451,$C250,'TL09'!$J$238:$J$451),0),
IF('TL10'!$B$3=O$3,SUMIF('TL10'!$C$10:$C$224,$C250,'TL10'!$J$10:$J$224),0),
IF('TL10'!$B$229=O$3,SUMIF('TL10'!$C$238:$C$451,$C250,'TL10'!$J$238:$J$451),0),
IF('TL11'!$B$3=O$3,SUMIF('TL11'!$C$10:$C$224,$C250,'TL11'!$J$10:$J$224),0),
IF('TL11'!$B$229=O$3,SUMIF('TL11'!$C$238:$C$451,$C250,'TL11'!$J$238:$J$451),0),
IF('TL12'!$B$3=O$3,SUMIF('TL12'!$C$10:$C$224,$C250,'TL12'!$J$10:$J$224),0),
IF('TL12'!$B$229=O$3,SUMIF('TL12'!$C$238:$C$451,$C250,'TL12'!$J$238:$J$451),0),
IF('TL13'!$B$3=O$3,SUMIF('TL13'!$C$10:$C$224,$C250,'TL13'!$J$10:$J$224),0),
IF('TL13'!$B$229=O$3,SUMIF('TL13'!$C$238:$C$451,$C250,'TL13'!$J$238:$J$451),0),
IF('TL14'!$B$3=O$3,SUMIF('TL14'!$C$10:$C$224,$C250,'TL14'!$J$10:$J$224),0),
IF('TL14'!$B$229=O$3,SUMIF('TL14'!$C$238:$C$451,$C250,'TL14'!$J$238:$J$451),0),
IF('TL15'!$B$3=O$3,SUMIF('TL15'!$C$10:$C$224,$C250,'TL15'!$J$10:$J$224),0),
IF('TL15'!$B$229=O$3,SUMIF('TL15'!$C$238:$C$451,$C250,'TL15'!$J$238:$J$451),0),
IF('TL16'!$B$3=O$3,SUMIF('TL16'!$C$10:$C$224,$C250,'TL16'!$J$10:$J$224),0),
IF('TL16'!$B$229=O$3,SUMIF('TL16'!$C$238:$C$451,$C250,'TL16'!$J$238:$J$451),0),
IF('TL17'!$B$3=O$3,SUMIF('TL17'!$C$10:$C$224,$C250,'TL17'!$J$10:$J$224),0),
IF('TL17'!$B$229=O$3,SUMIF('TL17'!$C$238:$C$451,$C250,'TL17'!$J$238:$J$451),0),
IF('TL18'!$B$3=O$3,SUMIF('TL18'!$C$10:$C$224,$C250,'TL18'!$J$10:$J$224),0),
IF('TL18'!$B$229=O$3,SUMIF('TL18'!$C$238:$C$451,$C250,'TL18'!$J$238:$J$451),0),
IF('TL19'!$B$3=O$3,SUMIF('TL19'!$C$10:$C$224,$C250,'TL19'!$J$10:$J$224),0),
IF('TL19'!$B$229=O$3,SUMIF('TL19'!$C$238:$C$451,$C250,'TL19'!$J$238:$J$451),0)
),0)</f>
        <v>0</v>
      </c>
      <c r="P250" s="9">
        <f>IFERROR(SUM(
IF('TL01'!$B$3=P$3,SUMIF('TL01'!$C$10:$C$224,$C250,'TL01'!$J$10:$J$224),0),
IF('TL01'!$B$229=P$3,SUMIF('TL01'!$C$238:$C$451,$C250,'TL01'!$J$238:$J$451),0),
IF('TL02'!$B$3=P$3,SUMIF('TL02'!$C$10:$C$224,$C250,'TL02'!$J$10:$J$224),0),
IF('TL02'!$B$229=P$3,SUMIF('TL02'!$C$238:$C$451,$C250,'TL02'!$J$238:$J$451),0),
IF('TL03'!$B$3=P$3,SUMIF('TL03'!$C$10:$C$224,$C250,'TL03'!$J$10:$J$224),0),
IF('TL03'!$B$229=P$3,SUMIF('TL03'!$C$238:$C$451,$C250,'TL03'!$J$238:$J$451),0),
IF('TL04'!$B$3=P$3,SUMIF('TL04'!$C$10:$C$224,$C250,'TL04'!$J$10:$J$224),0),
IF('TL04'!$B$229=P$3,SUMIF('TL04'!$C$238:$C$451,$C250,'TL04'!$J$238:$J$451),0),
IF('TL05'!$B$3=P$3,SUMIF('TL05'!$C$10:$C$224,$C250,'TL05'!$J$10:$J$224),0),
IF('TL05'!$B$229=P$3,SUMIF('TL05'!$C$238:$C$451,$C250,'TL05'!$J$238:$J$451),0),
IF('TL06'!$B$3=P$3,SUMIF('TL06'!$C$10:$C$224,$C250,'TL06'!$J$10:$J$224),0),
IF('TL06'!$B$229=P$3,SUMIF('TL06'!$C$238:$C$451,$C250,'TL06'!$J$238:$J$451),0),
IF('TL07'!$B$3=P$3,SUMIF('TL07'!$C$10:$C$224,$C250,'TL07'!$J$10:$J$224),0),
IF('TL07'!$B$229=P$3,SUMIF('TL07'!$C$238:$C$451,$C250,'TL07'!$J$238:$J$451),0),
IF('TL08'!$B$3=P$3,SUMIF('TL08'!$C$10:$C$224,$C250,'TL08'!$J$10:$J$224),0),
IF('TL08'!$B$229=P$3,SUMIF('TL08'!$C$238:$C$451,$C250,'TL08'!$J$238:$J$451),0),
IF('TL09'!$B$3=P$3,SUMIF('TL09'!$C$10:$C$224,$C250,'TL09'!$J$10:$J$224),0),
IF('TL09'!$B$229=P$3,SUMIF('TL09'!$C$238:$C$451,$C250,'TL09'!$J$238:$J$451),0),
IF('TL10'!$B$3=P$3,SUMIF('TL10'!$C$10:$C$224,$C250,'TL10'!$J$10:$J$224),0),
IF('TL10'!$B$229=P$3,SUMIF('TL10'!$C$238:$C$451,$C250,'TL10'!$J$238:$J$451),0),
IF('TL11'!$B$3=P$3,SUMIF('TL11'!$C$10:$C$224,$C250,'TL11'!$J$10:$J$224),0),
IF('TL11'!$B$229=P$3,SUMIF('TL11'!$C$238:$C$451,$C250,'TL11'!$J$238:$J$451),0),
IF('TL12'!$B$3=P$3,SUMIF('TL12'!$C$10:$C$224,$C250,'TL12'!$J$10:$J$224),0),
IF('TL12'!$B$229=P$3,SUMIF('TL12'!$C$238:$C$451,$C250,'TL12'!$J$238:$J$451),0),
IF('TL13'!$B$3=P$3,SUMIF('TL13'!$C$10:$C$224,$C250,'TL13'!$J$10:$J$224),0),
IF('TL13'!$B$229=P$3,SUMIF('TL13'!$C$238:$C$451,$C250,'TL13'!$J$238:$J$451),0),
IF('TL14'!$B$3=P$3,SUMIF('TL14'!$C$10:$C$224,$C250,'TL14'!$J$10:$J$224),0),
IF('TL14'!$B$229=P$3,SUMIF('TL14'!$C$238:$C$451,$C250,'TL14'!$J$238:$J$451),0),
IF('TL15'!$B$3=P$3,SUMIF('TL15'!$C$10:$C$224,$C250,'TL15'!$J$10:$J$224),0),
IF('TL15'!$B$229=P$3,SUMIF('TL15'!$C$238:$C$451,$C250,'TL15'!$J$238:$J$451),0),
IF('TL16'!$B$3=P$3,SUMIF('TL16'!$C$10:$C$224,$C250,'TL16'!$J$10:$J$224),0),
IF('TL16'!$B$229=P$3,SUMIF('TL16'!$C$238:$C$451,$C250,'TL16'!$J$238:$J$451),0),
IF('TL17'!$B$3=P$3,SUMIF('TL17'!$C$10:$C$224,$C250,'TL17'!$J$10:$J$224),0),
IF('TL17'!$B$229=P$3,SUMIF('TL17'!$C$238:$C$451,$C250,'TL17'!$J$238:$J$451),0),
IF('TL18'!$B$3=P$3,SUMIF('TL18'!$C$10:$C$224,$C250,'TL18'!$J$10:$J$224),0),
IF('TL18'!$B$229=P$3,SUMIF('TL18'!$C$238:$C$451,$C250,'TL18'!$J$238:$J$451),0),
IF('TL19'!$B$3=P$3,SUMIF('TL19'!$C$10:$C$224,$C250,'TL19'!$J$10:$J$224),0),
IF('TL19'!$B$229=P$3,SUMIF('TL19'!$C$238:$C$451,$C250,'TL19'!$J$238:$J$451),0)
),0)</f>
        <v>0</v>
      </c>
      <c r="Q250" s="9">
        <f>IFERROR(SUM(
IF('TL01'!$B$3=Q$3,SUMIF('TL01'!$C$10:$C$224,$C250,'TL01'!$J$10:$J$224),0),
IF('TL01'!$B$229=Q$3,SUMIF('TL01'!$C$238:$C$451,$C250,'TL01'!$J$238:$J$451),0),
IF('TL02'!$B$3=Q$3,SUMIF('TL02'!$C$10:$C$224,$C250,'TL02'!$J$10:$J$224),0),
IF('TL02'!$B$229=Q$3,SUMIF('TL02'!$C$238:$C$451,$C250,'TL02'!$J$238:$J$451),0),
IF('TL03'!$B$3=Q$3,SUMIF('TL03'!$C$10:$C$224,$C250,'TL03'!$J$10:$J$224),0),
IF('TL03'!$B$229=Q$3,SUMIF('TL03'!$C$238:$C$451,$C250,'TL03'!$J$238:$J$451),0),
IF('TL04'!$B$3=Q$3,SUMIF('TL04'!$C$10:$C$224,$C250,'TL04'!$J$10:$J$224),0),
IF('TL04'!$B$229=Q$3,SUMIF('TL04'!$C$238:$C$451,$C250,'TL04'!$J$238:$J$451),0),
IF('TL05'!$B$3=Q$3,SUMIF('TL05'!$C$10:$C$224,$C250,'TL05'!$J$10:$J$224),0),
IF('TL05'!$B$229=Q$3,SUMIF('TL05'!$C$238:$C$451,$C250,'TL05'!$J$238:$J$451),0),
IF('TL06'!$B$3=Q$3,SUMIF('TL06'!$C$10:$C$224,$C250,'TL06'!$J$10:$J$224),0),
IF('TL06'!$B$229=Q$3,SUMIF('TL06'!$C$238:$C$451,$C250,'TL06'!$J$238:$J$451),0),
IF('TL07'!$B$3=Q$3,SUMIF('TL07'!$C$10:$C$224,$C250,'TL07'!$J$10:$J$224),0),
IF('TL07'!$B$229=Q$3,SUMIF('TL07'!$C$238:$C$451,$C250,'TL07'!$J$238:$J$451),0),
IF('TL08'!$B$3=Q$3,SUMIF('TL08'!$C$10:$C$224,$C250,'TL08'!$J$10:$J$224),0),
IF('TL08'!$B$229=Q$3,SUMIF('TL08'!$C$238:$C$451,$C250,'TL08'!$J$238:$J$451),0),
IF('TL09'!$B$3=Q$3,SUMIF('TL09'!$C$10:$C$224,$C250,'TL09'!$J$10:$J$224),0),
IF('TL09'!$B$229=Q$3,SUMIF('TL09'!$C$238:$C$451,$C250,'TL09'!$J$238:$J$451),0),
IF('TL10'!$B$3=Q$3,SUMIF('TL10'!$C$10:$C$224,$C250,'TL10'!$J$10:$J$224),0),
IF('TL10'!$B$229=Q$3,SUMIF('TL10'!$C$238:$C$451,$C250,'TL10'!$J$238:$J$451),0),
IF('TL11'!$B$3=Q$3,SUMIF('TL11'!$C$10:$C$224,$C250,'TL11'!$J$10:$J$224),0),
IF('TL11'!$B$229=Q$3,SUMIF('TL11'!$C$238:$C$451,$C250,'TL11'!$J$238:$J$451),0),
IF('TL12'!$B$3=Q$3,SUMIF('TL12'!$C$10:$C$224,$C250,'TL12'!$J$10:$J$224),0),
IF('TL12'!$B$229=Q$3,SUMIF('TL12'!$C$238:$C$451,$C250,'TL12'!$J$238:$J$451),0),
IF('TL13'!$B$3=Q$3,SUMIF('TL13'!$C$10:$C$224,$C250,'TL13'!$J$10:$J$224),0),
IF('TL13'!$B$229=Q$3,SUMIF('TL13'!$C$238:$C$451,$C250,'TL13'!$J$238:$J$451),0),
IF('TL14'!$B$3=Q$3,SUMIF('TL14'!$C$10:$C$224,$C250,'TL14'!$J$10:$J$224),0),
IF('TL14'!$B$229=Q$3,SUMIF('TL14'!$C$238:$C$451,$C250,'TL14'!$J$238:$J$451),0),
IF('TL15'!$B$3=Q$3,SUMIF('TL15'!$C$10:$C$224,$C250,'TL15'!$J$10:$J$224),0),
IF('TL15'!$B$229=Q$3,SUMIF('TL15'!$C$238:$C$451,$C250,'TL15'!$J$238:$J$451),0),
IF('TL16'!$B$3=Q$3,SUMIF('TL16'!$C$10:$C$224,$C250,'TL16'!$J$10:$J$224),0),
IF('TL16'!$B$229=Q$3,SUMIF('TL16'!$C$238:$C$451,$C250,'TL16'!$J$238:$J$451),0),
IF('TL17'!$B$3=Q$3,SUMIF('TL17'!$C$10:$C$224,$C250,'TL17'!$J$10:$J$224),0),
IF('TL17'!$B$229=Q$3,SUMIF('TL17'!$C$238:$C$451,$C250,'TL17'!$J$238:$J$451),0),
IF('TL18'!$B$3=Q$3,SUMIF('TL18'!$C$10:$C$224,$C250,'TL18'!$J$10:$J$224),0),
IF('TL18'!$B$229=Q$3,SUMIF('TL18'!$C$238:$C$451,$C250,'TL18'!$J$238:$J$451),0),
IF('TL19'!$B$3=Q$3,SUMIF('TL19'!$C$10:$C$224,$C250,'TL19'!$J$10:$J$224),0),
IF('TL19'!$B$229=Q$3,SUMIF('TL19'!$C$238:$C$451,$C250,'TL19'!$J$238:$J$451),0)
),0)</f>
        <v>0</v>
      </c>
      <c r="R250" s="9">
        <f>IFERROR(
SUM(
SUMIF('TL01'!C:C,C250,'TL01'!J:J),
SUMIF('TL02'!C:C,C250,'TL02'!J:J),
SUMIF('TL03'!C:C,C250,'TL03'!J:J),
SUMIF('TL04'!C:C,C250,'TL04'!J:J),
SUMIF('TL05'!C:C,C250,'TL05'!J:J),
SUMIF('TL06'!C:C,C250,'TL06'!J:J),
SUMIF('TL07'!C:C,C250,'TL07'!J:J),
SUMIF('TL08'!C:C,C250,'TL08'!J:J),
SUMIF('TL09'!C:C,C250,'TL09'!J:J),
SUMIF('TL10'!C:C,C250,'TL10'!J:J),
SUMIF('TL11'!C:C,C250,'TL11'!J:J),
SUMIF('TL12'!C:C,C250,'TL12'!J:J),
SUMIF('TL13'!C:C,C250,'TL13'!J:J),
SUMIF('TL14'!C:C,C250,'TL14'!J:J),
SUMIF('TL15'!C:C,C250,'TL15'!J:J),
SUMIF('TL16'!C:C,C250,'TL16'!J:J),
SUMIF('TL17'!C:C,C250,'TL17'!J:J),
SUMIF('TL18'!C:C,C250,'TL18'!J:J),SUMIF('TL19'!C:C,C250,'TL19'!J:J))
,0)</f>
        <v>0</v>
      </c>
      <c r="S250" s="17">
        <f>IFERROR(__xludf.DUMMYFUNCTION("IFERROR(VLOOKUP(C250,
IMPORTRANGE(""1wULbzX32WdYsx-lj2U3uUNBBe2INVIRDtcK0d-Dvl90"",
""26-27!C:G""),
5,
FALSE),
"""")"),0.0)</f>
        <v>0</v>
      </c>
      <c r="T250" s="9"/>
      <c r="U250" s="92">
        <f t="shared" si="2"/>
        <v>0</v>
      </c>
      <c r="V250" s="93">
        <f t="shared" si="3"/>
        <v>0</v>
      </c>
    </row>
    <row r="251" ht="15.75" hidden="1" customHeight="1">
      <c r="A251" s="119" t="s">
        <v>353</v>
      </c>
      <c r="B251" s="120" t="s">
        <v>922</v>
      </c>
      <c r="C251" s="119" t="s">
        <v>923</v>
      </c>
      <c r="D251" s="119" t="s">
        <v>924</v>
      </c>
      <c r="E251" s="119">
        <v>500.0</v>
      </c>
      <c r="F251" s="4" t="s">
        <v>343</v>
      </c>
      <c r="G251" s="9"/>
      <c r="H251" s="9">
        <f>IFERROR(__xludf.DUMMYFUNCTION("IFERROR(VLOOKUP(C251,
IMPORTRANGE(""1wULbzX32WdYsx-lj2U3uUNBBe2INVIRDtcK0d-Dvl90"",
""26-27!C:K""),
8,
FALSE),
"""")"),1.0)</f>
        <v>1</v>
      </c>
      <c r="I251" s="121" t="s">
        <v>361</v>
      </c>
      <c r="J251" s="9">
        <f>IFERROR(SUM(
IF('TL01'!$B$3=J$3,SUMIF('TL01'!$C$10:$C$224,$C251,'TL01'!$J$10:$J$224),0),
IF('TL01'!$B$229=J$3,SUMIF('TL01'!$C$238:$C$451,$C251,'TL01'!$J$238:$J$451),0),
IF('TL02'!$B$3=J$3,SUMIF('TL02'!$C$10:$C$224,$C251,'TL02'!$J$10:$J$224),0),
IF('TL02'!$B$229=J$3,SUMIF('TL02'!$C$238:$C$451,$C251,'TL02'!$J$238:$J$451),0),
IF('TL03'!$B$3=J$3,SUMIF('TL03'!$C$10:$C$224,$C251,'TL03'!$J$10:$J$224),0),
IF('TL03'!$B$229=J$3,SUMIF('TL03'!$C$238:$C$451,$C251,'TL03'!$J$238:$J$451),0),
IF('TL04'!$B$3=J$3,SUMIF('TL04'!$C$10:$C$224,$C251,'TL04'!$J$10:$J$224),0),
IF('TL04'!$B$229=J$3,SUMIF('TL04'!$C$238:$C$451,$C251,'TL04'!$J$238:$J$451),0),
IF('TL05'!$B$3=J$3,SUMIF('TL05'!$C$10:$C$224,$C251,'TL05'!$J$10:$J$224),0),
IF('TL05'!$B$229=J$3,SUMIF('TL05'!$C$238:$C$451,$C251,'TL05'!$J$238:$J$451),0),
IF('TL06'!$B$3=J$3,SUMIF('TL06'!$C$10:$C$224,$C251,'TL06'!$J$10:$J$224),0),
IF('TL06'!$B$229=J$3,SUMIF('TL06'!$C$238:$C$451,$C251,'TL06'!$J$238:$J$451),0),
IF('TL07'!$B$3=J$3,SUMIF('TL07'!$C$10:$C$224,$C251,'TL07'!$J$10:$J$224),0),
IF('TL07'!$B$229=J$3,SUMIF('TL07'!$C$238:$C$451,$C251,'TL07'!$J$238:$J$451),0),
IF('TL08'!$B$3=J$3,SUMIF('TL08'!$C$10:$C$224,$C251,'TL08'!$J$10:$J$224),0),
IF('TL08'!$B$229=J$3,SUMIF('TL08'!$C$238:$C$451,$C251,'TL08'!$J$238:$J$451),0),
IF('TL09'!$B$3=J$3,SUMIF('TL09'!$C$10:$C$224,$C251,'TL09'!$J$10:$J$224),0),
IF('TL09'!$B$229=J$3,SUMIF('TL09'!$C$238:$C$451,$C251,'TL09'!$J$238:$J$451),0),
IF('TL10'!$B$3=J$3,SUMIF('TL10'!$C$10:$C$224,$C251,'TL10'!$J$10:$J$224),0),
IF('TL10'!$B$229=J$3,SUMIF('TL10'!$C$238:$C$451,$C251,'TL10'!$J$238:$J$451),0),
IF('TL11'!$B$3=J$3,SUMIF('TL11'!$C$10:$C$224,$C251,'TL11'!$J$10:$J$224),0),
IF('TL11'!$B$229=J$3,SUMIF('TL11'!$C$238:$C$451,$C251,'TL11'!$J$238:$J$451),0),
IF('TL12'!$B$3=J$3,SUMIF('TL12'!$C$10:$C$224,$C251,'TL12'!$J$10:$J$224),0),
IF('TL12'!$B$229=J$3,SUMIF('TL12'!$C$238:$C$451,$C251,'TL12'!$J$238:$J$451),0),
IF('TL13'!$B$3=J$3,SUMIF('TL13'!$C$10:$C$224,$C251,'TL13'!$J$10:$J$224),0),
IF('TL13'!$B$229=J$3,SUMIF('TL13'!$C$238:$C$451,$C251,'TL13'!$J$238:$J$451),0),
IF('TL14'!$B$3=J$3,SUMIF('TL14'!$C$10:$C$224,$C251,'TL14'!$J$10:$J$224),0),
IF('TL14'!$B$229=J$3,SUMIF('TL14'!$C$238:$C$451,$C251,'TL14'!$J$238:$J$451),0),
IF('TL15'!$B$3=J$3,SUMIF('TL15'!$C$10:$C$224,$C251,'TL15'!$J$10:$J$224),0),
IF('TL15'!$B$229=J$3,SUMIF('TL15'!$C$238:$C$451,$C251,'TL15'!$J$238:$J$451),0),
IF('TL16'!$B$3=J$3,SUMIF('TL16'!$C$10:$C$224,$C251,'TL16'!$J$10:$J$224),0),
IF('TL16'!$B$229=J$3,SUMIF('TL16'!$C$238:$C$451,$C251,'TL16'!$J$238:$J$451),0),
IF('TL17'!$B$3=J$3,SUMIF('TL17'!$C$10:$C$224,$C251,'TL17'!$J$10:$J$224),0),
IF('TL17'!$B$229=J$3,SUMIF('TL17'!$C$238:$C$451,$C251,'TL17'!$J$238:$J$451),0),
IF('TL18'!$B$3=J$3,SUMIF('TL18'!$C$10:$C$224,$C251,'TL18'!$J$10:$J$224),0),
IF('TL18'!$B$229=J$3,SUMIF('TL18'!$C$238:$C$451,$C251,'TL18'!$J$238:$J$451),0),
IF('TL19'!$B$3=J$3,SUMIF('TL19'!$C$10:$C$224,$C251,'TL19'!$J$10:$J$224),0),
IF('TL19'!$B$229=J$3,SUMIF('TL19'!$C$238:$C$451,$C251,'TL19'!$J$238:$J$451),0)
),0)</f>
        <v>0</v>
      </c>
      <c r="K251" s="9">
        <f>IFERROR(SUM(
IF('TL01'!$B$3=K$3,SUMIF('TL01'!$C$10:$C$224,$C251,'TL01'!$J$10:$J$224),0),
IF('TL01'!$B$229=K$3,SUMIF('TL01'!$C$238:$C$451,$C251,'TL01'!$J$238:$J$451),0),
IF('TL02'!$B$3=K$3,SUMIF('TL02'!$C$10:$C$224,$C251,'TL02'!$J$10:$J$224),0),
IF('TL02'!$B$229=K$3,SUMIF('TL02'!$C$238:$C$451,$C251,'TL02'!$J$238:$J$451),0),
IF('TL03'!$B$3=K$3,SUMIF('TL03'!$C$10:$C$224,$C251,'TL03'!$J$10:$J$224),0),
IF('TL03'!$B$229=K$3,SUMIF('TL03'!$C$238:$C$451,$C251,'TL03'!$J$238:$J$451),0),
IF('TL04'!$B$3=K$3,SUMIF('TL04'!$C$10:$C$224,$C251,'TL04'!$J$10:$J$224),0),
IF('TL04'!$B$229=K$3,SUMIF('TL04'!$C$238:$C$451,$C251,'TL04'!$J$238:$J$451),0),
IF('TL05'!$B$3=K$3,SUMIF('TL05'!$C$10:$C$224,$C251,'TL05'!$J$10:$J$224),0),
IF('TL05'!$B$229=K$3,SUMIF('TL05'!$C$238:$C$451,$C251,'TL05'!$J$238:$J$451),0),
IF('TL06'!$B$3=K$3,SUMIF('TL06'!$C$10:$C$224,$C251,'TL06'!$J$10:$J$224),0),
IF('TL06'!$B$229=K$3,SUMIF('TL06'!$C$238:$C$451,$C251,'TL06'!$J$238:$J$451),0),
IF('TL07'!$B$3=K$3,SUMIF('TL07'!$C$10:$C$224,$C251,'TL07'!$J$10:$J$224),0),
IF('TL07'!$B$229=K$3,SUMIF('TL07'!$C$238:$C$451,$C251,'TL07'!$J$238:$J$451),0),
IF('TL08'!$B$3=K$3,SUMIF('TL08'!$C$10:$C$224,$C251,'TL08'!$J$10:$J$224),0),
IF('TL08'!$B$229=K$3,SUMIF('TL08'!$C$238:$C$451,$C251,'TL08'!$J$238:$J$451),0),
IF('TL09'!$B$3=K$3,SUMIF('TL09'!$C$10:$C$224,$C251,'TL09'!$J$10:$J$224),0),
IF('TL09'!$B$229=K$3,SUMIF('TL09'!$C$238:$C$451,$C251,'TL09'!$J$238:$J$451),0),
IF('TL10'!$B$3=K$3,SUMIF('TL10'!$C$10:$C$224,$C251,'TL10'!$J$10:$J$224),0),
IF('TL10'!$B$229=K$3,SUMIF('TL10'!$C$238:$C$451,$C251,'TL10'!$J$238:$J$451),0),
IF('TL11'!$B$3=K$3,SUMIF('TL11'!$C$10:$C$224,$C251,'TL11'!$J$10:$J$224),0),
IF('TL11'!$B$229=K$3,SUMIF('TL11'!$C$238:$C$451,$C251,'TL11'!$J$238:$J$451),0),
IF('TL12'!$B$3=K$3,SUMIF('TL12'!$C$10:$C$224,$C251,'TL12'!$J$10:$J$224),0),
IF('TL12'!$B$229=K$3,SUMIF('TL12'!$C$238:$C$451,$C251,'TL12'!$J$238:$J$451),0),
IF('TL13'!$B$3=K$3,SUMIF('TL13'!$C$10:$C$224,$C251,'TL13'!$J$10:$J$224),0),
IF('TL13'!$B$229=K$3,SUMIF('TL13'!$C$238:$C$451,$C251,'TL13'!$J$238:$J$451),0),
IF('TL14'!$B$3=K$3,SUMIF('TL14'!$C$10:$C$224,$C251,'TL14'!$J$10:$J$224),0),
IF('TL14'!$B$229=K$3,SUMIF('TL14'!$C$238:$C$451,$C251,'TL14'!$J$238:$J$451),0),
IF('TL15'!$B$3=K$3,SUMIF('TL15'!$C$10:$C$224,$C251,'TL15'!$J$10:$J$224),0),
IF('TL15'!$B$229=K$3,SUMIF('TL15'!$C$238:$C$451,$C251,'TL15'!$J$238:$J$451),0),
IF('TL16'!$B$3=K$3,SUMIF('TL16'!$C$10:$C$224,$C251,'TL16'!$J$10:$J$224),0),
IF('TL16'!$B$229=K$3,SUMIF('TL16'!$C$238:$C$451,$C251,'TL16'!$J$238:$J$451),0),
IF('TL17'!$B$3=K$3,SUMIF('TL17'!$C$10:$C$224,$C251,'TL17'!$J$10:$J$224),0),
IF('TL17'!$B$229=K$3,SUMIF('TL17'!$C$238:$C$451,$C251,'TL17'!$J$238:$J$451),0),
IF('TL18'!$B$3=K$3,SUMIF('TL18'!$C$10:$C$224,$C251,'TL18'!$J$10:$J$224),0),
IF('TL18'!$B$229=K$3,SUMIF('TL18'!$C$238:$C$451,$C251,'TL18'!$J$238:$J$451),0),
IF('TL19'!$B$3=K$3,SUMIF('TL19'!$C$10:$C$224,$C251,'TL19'!$J$10:$J$224),0),
IF('TL19'!$B$229=K$3,SUMIF('TL19'!$C$238:$C$451,$C251,'TL19'!$J$238:$J$451),0)
),0)</f>
        <v>0</v>
      </c>
      <c r="L251" s="9">
        <f>IFERROR(SUM(
IF('TL01'!$B$3=L$3,SUMIF('TL01'!$C$10:$C$224,$C251,'TL01'!$J$10:$J$224),0),
IF('TL01'!$B$229=L$3,SUMIF('TL01'!$C$238:$C$451,$C251,'TL01'!$J$238:$J$451),0),
IF('TL02'!$B$3=L$3,SUMIF('TL02'!$C$10:$C$224,$C251,'TL02'!$J$10:$J$224),0),
IF('TL02'!$B$229=L$3,SUMIF('TL02'!$C$238:$C$451,$C251,'TL02'!$J$238:$J$451),0),
IF('TL03'!$B$3=L$3,SUMIF('TL03'!$C$10:$C$224,$C251,'TL03'!$J$10:$J$224),0),
IF('TL03'!$B$229=L$3,SUMIF('TL03'!$C$238:$C$451,$C251,'TL03'!$J$238:$J$451),0),
IF('TL04'!$B$3=L$3,SUMIF('TL04'!$C$10:$C$224,$C251,'TL04'!$J$10:$J$224),0),
IF('TL04'!$B$229=L$3,SUMIF('TL04'!$C$238:$C$451,$C251,'TL04'!$J$238:$J$451),0),
IF('TL05'!$B$3=L$3,SUMIF('TL05'!$C$10:$C$224,$C251,'TL05'!$J$10:$J$224),0),
IF('TL05'!$B$229=L$3,SUMIF('TL05'!$C$238:$C$451,$C251,'TL05'!$J$238:$J$451),0),
IF('TL06'!$B$3=L$3,SUMIF('TL06'!$C$10:$C$224,$C251,'TL06'!$J$10:$J$224),0),
IF('TL06'!$B$229=L$3,SUMIF('TL06'!$C$238:$C$451,$C251,'TL06'!$J$238:$J$451),0),
IF('TL07'!$B$3=L$3,SUMIF('TL07'!$C$10:$C$224,$C251,'TL07'!$J$10:$J$224),0),
IF('TL07'!$B$229=L$3,SUMIF('TL07'!$C$238:$C$451,$C251,'TL07'!$J$238:$J$451),0),
IF('TL08'!$B$3=L$3,SUMIF('TL08'!$C$10:$C$224,$C251,'TL08'!$J$10:$J$224),0),
IF('TL08'!$B$229=L$3,SUMIF('TL08'!$C$238:$C$451,$C251,'TL08'!$J$238:$J$451),0),
IF('TL09'!$B$3=L$3,SUMIF('TL09'!$C$10:$C$224,$C251,'TL09'!$J$10:$J$224),0),
IF('TL09'!$B$229=L$3,SUMIF('TL09'!$C$238:$C$451,$C251,'TL09'!$J$238:$J$451),0),
IF('TL10'!$B$3=L$3,SUMIF('TL10'!$C$10:$C$224,$C251,'TL10'!$J$10:$J$224),0),
IF('TL10'!$B$229=L$3,SUMIF('TL10'!$C$238:$C$451,$C251,'TL10'!$J$238:$J$451),0),
IF('TL11'!$B$3=L$3,SUMIF('TL11'!$C$10:$C$224,$C251,'TL11'!$J$10:$J$224),0),
IF('TL11'!$B$229=L$3,SUMIF('TL11'!$C$238:$C$451,$C251,'TL11'!$J$238:$J$451),0),
IF('TL12'!$B$3=L$3,SUMIF('TL12'!$C$10:$C$224,$C251,'TL12'!$J$10:$J$224),0),
IF('TL12'!$B$229=L$3,SUMIF('TL12'!$C$238:$C$451,$C251,'TL12'!$J$238:$J$451),0),
IF('TL13'!$B$3=L$3,SUMIF('TL13'!$C$10:$C$224,$C251,'TL13'!$J$10:$J$224),0),
IF('TL13'!$B$229=L$3,SUMIF('TL13'!$C$238:$C$451,$C251,'TL13'!$J$238:$J$451),0),
IF('TL14'!$B$3=L$3,SUMIF('TL14'!$C$10:$C$224,$C251,'TL14'!$J$10:$J$224),0),
IF('TL14'!$B$229=L$3,SUMIF('TL14'!$C$238:$C$451,$C251,'TL14'!$J$238:$J$451),0),
IF('TL15'!$B$3=L$3,SUMIF('TL15'!$C$10:$C$224,$C251,'TL15'!$J$10:$J$224),0),
IF('TL15'!$B$229=L$3,SUMIF('TL15'!$C$238:$C$451,$C251,'TL15'!$J$238:$J$451),0),
IF('TL16'!$B$3=L$3,SUMIF('TL16'!$C$10:$C$224,$C251,'TL16'!$J$10:$J$224),0),
IF('TL16'!$B$229=L$3,SUMIF('TL16'!$C$238:$C$451,$C251,'TL16'!$J$238:$J$451),0),
IF('TL17'!$B$3=L$3,SUMIF('TL17'!$C$10:$C$224,$C251,'TL17'!$J$10:$J$224),0),
IF('TL17'!$B$229=L$3,SUMIF('TL17'!$C$238:$C$451,$C251,'TL17'!$J$238:$J$451),0),
IF('TL18'!$B$3=L$3,SUMIF('TL18'!$C$10:$C$224,$C251,'TL18'!$J$10:$J$224),0),
IF('TL18'!$B$229=L$3,SUMIF('TL18'!$C$238:$C$451,$C251,'TL18'!$J$238:$J$451),0),
IF('TL19'!$B$3=L$3,SUMIF('TL19'!$C$10:$C$224,$C251,'TL19'!$J$10:$J$224),0),
IF('TL19'!$B$229=L$3,SUMIF('TL19'!$C$238:$C$451,$C251,'TL19'!$J$238:$J$451),0)
),0)</f>
        <v>0</v>
      </c>
      <c r="M251" s="9">
        <f>IFERROR(SUM(
IF('TL01'!$B$3=M$3,SUMIF('TL01'!$C$10:$C$224,$C251,'TL01'!$J$10:$J$224),0),
IF('TL01'!$B$229=M$3,SUMIF('TL01'!$C$238:$C$451,$C251,'TL01'!$J$238:$J$451),0),
IF('TL02'!$B$3=M$3,SUMIF('TL02'!$C$10:$C$224,$C251,'TL02'!$J$10:$J$224),0),
IF('TL02'!$B$229=M$3,SUMIF('TL02'!$C$238:$C$451,$C251,'TL02'!$J$238:$J$451),0),
IF('TL03'!$B$3=M$3,SUMIF('TL03'!$C$10:$C$224,$C251,'TL03'!$J$10:$J$224),0),
IF('TL03'!$B$229=M$3,SUMIF('TL03'!$C$238:$C$451,$C251,'TL03'!$J$238:$J$451),0),
IF('TL04'!$B$3=M$3,SUMIF('TL04'!$C$10:$C$224,$C251,'TL04'!$J$10:$J$224),0),
IF('TL04'!$B$229=M$3,SUMIF('TL04'!$C$238:$C$451,$C251,'TL04'!$J$238:$J$451),0),
IF('TL05'!$B$3=M$3,SUMIF('TL05'!$C$10:$C$224,$C251,'TL05'!$J$10:$J$224),0),
IF('TL05'!$B$229=M$3,SUMIF('TL05'!$C$238:$C$451,$C251,'TL05'!$J$238:$J$451),0),
IF('TL06'!$B$3=M$3,SUMIF('TL06'!$C$10:$C$224,$C251,'TL06'!$J$10:$J$224),0),
IF('TL06'!$B$229=M$3,SUMIF('TL06'!$C$238:$C$451,$C251,'TL06'!$J$238:$J$451),0),
IF('TL07'!$B$3=M$3,SUMIF('TL07'!$C$10:$C$224,$C251,'TL07'!$J$10:$J$224),0),
IF('TL07'!$B$229=M$3,SUMIF('TL07'!$C$238:$C$451,$C251,'TL07'!$J$238:$J$451),0),
IF('TL08'!$B$3=M$3,SUMIF('TL08'!$C$10:$C$224,$C251,'TL08'!$J$10:$J$224),0),
IF('TL08'!$B$229=M$3,SUMIF('TL08'!$C$238:$C$451,$C251,'TL08'!$J$238:$J$451),0),
IF('TL09'!$B$3=M$3,SUMIF('TL09'!$C$10:$C$224,$C251,'TL09'!$J$10:$J$224),0),
IF('TL09'!$B$229=M$3,SUMIF('TL09'!$C$238:$C$451,$C251,'TL09'!$J$238:$J$451),0),
IF('TL10'!$B$3=M$3,SUMIF('TL10'!$C$10:$C$224,$C251,'TL10'!$J$10:$J$224),0),
IF('TL10'!$B$229=M$3,SUMIF('TL10'!$C$238:$C$451,$C251,'TL10'!$J$238:$J$451),0),
IF('TL11'!$B$3=M$3,SUMIF('TL11'!$C$10:$C$224,$C251,'TL11'!$J$10:$J$224),0),
IF('TL11'!$B$229=M$3,SUMIF('TL11'!$C$238:$C$451,$C251,'TL11'!$J$238:$J$451),0),
IF('TL12'!$B$3=M$3,SUMIF('TL12'!$C$10:$C$224,$C251,'TL12'!$J$10:$J$224),0),
IF('TL12'!$B$229=M$3,SUMIF('TL12'!$C$238:$C$451,$C251,'TL12'!$J$238:$J$451),0),
IF('TL13'!$B$3=M$3,SUMIF('TL13'!$C$10:$C$224,$C251,'TL13'!$J$10:$J$224),0),
IF('TL13'!$B$229=M$3,SUMIF('TL13'!$C$238:$C$451,$C251,'TL13'!$J$238:$J$451),0),
IF('TL14'!$B$3=M$3,SUMIF('TL14'!$C$10:$C$224,$C251,'TL14'!$J$10:$J$224),0),
IF('TL14'!$B$229=M$3,SUMIF('TL14'!$C$238:$C$451,$C251,'TL14'!$J$238:$J$451),0),
IF('TL15'!$B$3=M$3,SUMIF('TL15'!$C$10:$C$224,$C251,'TL15'!$J$10:$J$224),0),
IF('TL15'!$B$229=M$3,SUMIF('TL15'!$C$238:$C$451,$C251,'TL15'!$J$238:$J$451),0),
IF('TL16'!$B$3=M$3,SUMIF('TL16'!$C$10:$C$224,$C251,'TL16'!$J$10:$J$224),0),
IF('TL16'!$B$229=M$3,SUMIF('TL16'!$C$238:$C$451,$C251,'TL16'!$J$238:$J$451),0),
IF('TL17'!$B$3=M$3,SUMIF('TL17'!$C$10:$C$224,$C251,'TL17'!$J$10:$J$224),0),
IF('TL17'!$B$229=M$3,SUMIF('TL17'!$C$238:$C$451,$C251,'TL17'!$J$238:$J$451),0),
IF('TL18'!$B$3=M$3,SUMIF('TL18'!$C$10:$C$224,$C251,'TL18'!$J$10:$J$224),0),
IF('TL18'!$B$229=M$3,SUMIF('TL18'!$C$238:$C$451,$C251,'TL18'!$J$238:$J$451),0),
IF('TL19'!$B$3=M$3,SUMIF('TL19'!$C$10:$C$224,$C251,'TL19'!$J$10:$J$224),0),
IF('TL19'!$B$229=M$3,SUMIF('TL19'!$C$238:$C$451,$C251,'TL19'!$J$238:$J$451),0)
),0)</f>
        <v>0</v>
      </c>
      <c r="N251" s="9">
        <f>IFERROR(SUM(
IF('TL01'!$B$3=N$3,SUMIF('TL01'!$C$10:$C$224,$C251,'TL01'!$J$10:$J$224),0),
IF('TL01'!$B$229=N$3,SUMIF('TL01'!$C$238:$C$451,$C251,'TL01'!$J$238:$J$451),0),
IF('TL02'!$B$3=N$3,SUMIF('TL02'!$C$10:$C$224,$C251,'TL02'!$J$10:$J$224),0),
IF('TL02'!$B$229=N$3,SUMIF('TL02'!$C$238:$C$451,$C251,'TL02'!$J$238:$J$451),0),
IF('TL03'!$B$3=N$3,SUMIF('TL03'!$C$10:$C$224,$C251,'TL03'!$J$10:$J$224),0),
IF('TL03'!$B$229=N$3,SUMIF('TL03'!$C$238:$C$451,$C251,'TL03'!$J$238:$J$451),0),
IF('TL04'!$B$3=N$3,SUMIF('TL04'!$C$10:$C$224,$C251,'TL04'!$J$10:$J$224),0),
IF('TL04'!$B$229=N$3,SUMIF('TL04'!$C$238:$C$451,$C251,'TL04'!$J$238:$J$451),0),
IF('TL05'!$B$3=N$3,SUMIF('TL05'!$C$10:$C$224,$C251,'TL05'!$J$10:$J$224),0),
IF('TL05'!$B$229=N$3,SUMIF('TL05'!$C$238:$C$451,$C251,'TL05'!$J$238:$J$451),0),
IF('TL06'!$B$3=N$3,SUMIF('TL06'!$C$10:$C$224,$C251,'TL06'!$J$10:$J$224),0),
IF('TL06'!$B$229=N$3,SUMIF('TL06'!$C$238:$C$451,$C251,'TL06'!$J$238:$J$451),0),
IF('TL07'!$B$3=N$3,SUMIF('TL07'!$C$10:$C$224,$C251,'TL07'!$J$10:$J$224),0),
IF('TL07'!$B$229=N$3,SUMIF('TL07'!$C$238:$C$451,$C251,'TL07'!$J$238:$J$451),0),
IF('TL08'!$B$3=N$3,SUMIF('TL08'!$C$10:$C$224,$C251,'TL08'!$J$10:$J$224),0),
IF('TL08'!$B$229=N$3,SUMIF('TL08'!$C$238:$C$451,$C251,'TL08'!$J$238:$J$451),0),
IF('TL09'!$B$3=N$3,SUMIF('TL09'!$C$10:$C$224,$C251,'TL09'!$J$10:$J$224),0),
IF('TL09'!$B$229=N$3,SUMIF('TL09'!$C$238:$C$451,$C251,'TL09'!$J$238:$J$451),0),
IF('TL10'!$B$3=N$3,SUMIF('TL10'!$C$10:$C$224,$C251,'TL10'!$J$10:$J$224),0),
IF('TL10'!$B$229=N$3,SUMIF('TL10'!$C$238:$C$451,$C251,'TL10'!$J$238:$J$451),0),
IF('TL11'!$B$3=N$3,SUMIF('TL11'!$C$10:$C$224,$C251,'TL11'!$J$10:$J$224),0),
IF('TL11'!$B$229=N$3,SUMIF('TL11'!$C$238:$C$451,$C251,'TL11'!$J$238:$J$451),0),
IF('TL12'!$B$3=N$3,SUMIF('TL12'!$C$10:$C$224,$C251,'TL12'!$J$10:$J$224),0),
IF('TL12'!$B$229=N$3,SUMIF('TL12'!$C$238:$C$451,$C251,'TL12'!$J$238:$J$451),0),
IF('TL13'!$B$3=N$3,SUMIF('TL13'!$C$10:$C$224,$C251,'TL13'!$J$10:$J$224),0),
IF('TL13'!$B$229=N$3,SUMIF('TL13'!$C$238:$C$451,$C251,'TL13'!$J$238:$J$451),0),
IF('TL14'!$B$3=N$3,SUMIF('TL14'!$C$10:$C$224,$C251,'TL14'!$J$10:$J$224),0),
IF('TL14'!$B$229=N$3,SUMIF('TL14'!$C$238:$C$451,$C251,'TL14'!$J$238:$J$451),0),
IF('TL15'!$B$3=N$3,SUMIF('TL15'!$C$10:$C$224,$C251,'TL15'!$J$10:$J$224),0),
IF('TL15'!$B$229=N$3,SUMIF('TL15'!$C$238:$C$451,$C251,'TL15'!$J$238:$J$451),0),
IF('TL16'!$B$3=N$3,SUMIF('TL16'!$C$10:$C$224,$C251,'TL16'!$J$10:$J$224),0),
IF('TL16'!$B$229=N$3,SUMIF('TL16'!$C$238:$C$451,$C251,'TL16'!$J$238:$J$451),0),
IF('TL17'!$B$3=N$3,SUMIF('TL17'!$C$10:$C$224,$C251,'TL17'!$J$10:$J$224),0),
IF('TL17'!$B$229=N$3,SUMIF('TL17'!$C$238:$C$451,$C251,'TL17'!$J$238:$J$451),0),
IF('TL18'!$B$3=N$3,SUMIF('TL18'!$C$10:$C$224,$C251,'TL18'!$J$10:$J$224),0),
IF('TL18'!$B$229=N$3,SUMIF('TL18'!$C$238:$C$451,$C251,'TL18'!$J$238:$J$451),0),
IF('TL19'!$B$3=N$3,SUMIF('TL19'!$C$10:$C$224,$C251,'TL19'!$J$10:$J$224),0),
IF('TL19'!$B$229=N$3,SUMIF('TL19'!$C$238:$C$451,$C251,'TL19'!$J$238:$J$451),0)
),0)</f>
        <v>0</v>
      </c>
      <c r="O251" s="9">
        <f>IFERROR(SUM(
IF('TL01'!$B$3=O$3,SUMIF('TL01'!$C$10:$C$224,$C251,'TL01'!$J$10:$J$224),0),
IF('TL01'!$B$229=O$3,SUMIF('TL01'!$C$238:$C$451,$C251,'TL01'!$J$238:$J$451),0),
IF('TL02'!$B$3=O$3,SUMIF('TL02'!$C$10:$C$224,$C251,'TL02'!$J$10:$J$224),0),
IF('TL02'!$B$229=O$3,SUMIF('TL02'!$C$238:$C$451,$C251,'TL02'!$J$238:$J$451),0),
IF('TL03'!$B$3=O$3,SUMIF('TL03'!$C$10:$C$224,$C251,'TL03'!$J$10:$J$224),0),
IF('TL03'!$B$229=O$3,SUMIF('TL03'!$C$238:$C$451,$C251,'TL03'!$J$238:$J$451),0),
IF('TL04'!$B$3=O$3,SUMIF('TL04'!$C$10:$C$224,$C251,'TL04'!$J$10:$J$224),0),
IF('TL04'!$B$229=O$3,SUMIF('TL04'!$C$238:$C$451,$C251,'TL04'!$J$238:$J$451),0),
IF('TL05'!$B$3=O$3,SUMIF('TL05'!$C$10:$C$224,$C251,'TL05'!$J$10:$J$224),0),
IF('TL05'!$B$229=O$3,SUMIF('TL05'!$C$238:$C$451,$C251,'TL05'!$J$238:$J$451),0),
IF('TL06'!$B$3=O$3,SUMIF('TL06'!$C$10:$C$224,$C251,'TL06'!$J$10:$J$224),0),
IF('TL06'!$B$229=O$3,SUMIF('TL06'!$C$238:$C$451,$C251,'TL06'!$J$238:$J$451),0),
IF('TL07'!$B$3=O$3,SUMIF('TL07'!$C$10:$C$224,$C251,'TL07'!$J$10:$J$224),0),
IF('TL07'!$B$229=O$3,SUMIF('TL07'!$C$238:$C$451,$C251,'TL07'!$J$238:$J$451),0),
IF('TL08'!$B$3=O$3,SUMIF('TL08'!$C$10:$C$224,$C251,'TL08'!$J$10:$J$224),0),
IF('TL08'!$B$229=O$3,SUMIF('TL08'!$C$238:$C$451,$C251,'TL08'!$J$238:$J$451),0),
IF('TL09'!$B$3=O$3,SUMIF('TL09'!$C$10:$C$224,$C251,'TL09'!$J$10:$J$224),0),
IF('TL09'!$B$229=O$3,SUMIF('TL09'!$C$238:$C$451,$C251,'TL09'!$J$238:$J$451),0),
IF('TL10'!$B$3=O$3,SUMIF('TL10'!$C$10:$C$224,$C251,'TL10'!$J$10:$J$224),0),
IF('TL10'!$B$229=O$3,SUMIF('TL10'!$C$238:$C$451,$C251,'TL10'!$J$238:$J$451),0),
IF('TL11'!$B$3=O$3,SUMIF('TL11'!$C$10:$C$224,$C251,'TL11'!$J$10:$J$224),0),
IF('TL11'!$B$229=O$3,SUMIF('TL11'!$C$238:$C$451,$C251,'TL11'!$J$238:$J$451),0),
IF('TL12'!$B$3=O$3,SUMIF('TL12'!$C$10:$C$224,$C251,'TL12'!$J$10:$J$224),0),
IF('TL12'!$B$229=O$3,SUMIF('TL12'!$C$238:$C$451,$C251,'TL12'!$J$238:$J$451),0),
IF('TL13'!$B$3=O$3,SUMIF('TL13'!$C$10:$C$224,$C251,'TL13'!$J$10:$J$224),0),
IF('TL13'!$B$229=O$3,SUMIF('TL13'!$C$238:$C$451,$C251,'TL13'!$J$238:$J$451),0),
IF('TL14'!$B$3=O$3,SUMIF('TL14'!$C$10:$C$224,$C251,'TL14'!$J$10:$J$224),0),
IF('TL14'!$B$229=O$3,SUMIF('TL14'!$C$238:$C$451,$C251,'TL14'!$J$238:$J$451),0),
IF('TL15'!$B$3=O$3,SUMIF('TL15'!$C$10:$C$224,$C251,'TL15'!$J$10:$J$224),0),
IF('TL15'!$B$229=O$3,SUMIF('TL15'!$C$238:$C$451,$C251,'TL15'!$J$238:$J$451),0),
IF('TL16'!$B$3=O$3,SUMIF('TL16'!$C$10:$C$224,$C251,'TL16'!$J$10:$J$224),0),
IF('TL16'!$B$229=O$3,SUMIF('TL16'!$C$238:$C$451,$C251,'TL16'!$J$238:$J$451),0),
IF('TL17'!$B$3=O$3,SUMIF('TL17'!$C$10:$C$224,$C251,'TL17'!$J$10:$J$224),0),
IF('TL17'!$B$229=O$3,SUMIF('TL17'!$C$238:$C$451,$C251,'TL17'!$J$238:$J$451),0),
IF('TL18'!$B$3=O$3,SUMIF('TL18'!$C$10:$C$224,$C251,'TL18'!$J$10:$J$224),0),
IF('TL18'!$B$229=O$3,SUMIF('TL18'!$C$238:$C$451,$C251,'TL18'!$J$238:$J$451),0),
IF('TL19'!$B$3=O$3,SUMIF('TL19'!$C$10:$C$224,$C251,'TL19'!$J$10:$J$224),0),
IF('TL19'!$B$229=O$3,SUMIF('TL19'!$C$238:$C$451,$C251,'TL19'!$J$238:$J$451),0)
),0)</f>
        <v>0</v>
      </c>
      <c r="P251" s="9">
        <f>IFERROR(SUM(
IF('TL01'!$B$3=P$3,SUMIF('TL01'!$C$10:$C$224,$C251,'TL01'!$J$10:$J$224),0),
IF('TL01'!$B$229=P$3,SUMIF('TL01'!$C$238:$C$451,$C251,'TL01'!$J$238:$J$451),0),
IF('TL02'!$B$3=P$3,SUMIF('TL02'!$C$10:$C$224,$C251,'TL02'!$J$10:$J$224),0),
IF('TL02'!$B$229=P$3,SUMIF('TL02'!$C$238:$C$451,$C251,'TL02'!$J$238:$J$451),0),
IF('TL03'!$B$3=P$3,SUMIF('TL03'!$C$10:$C$224,$C251,'TL03'!$J$10:$J$224),0),
IF('TL03'!$B$229=P$3,SUMIF('TL03'!$C$238:$C$451,$C251,'TL03'!$J$238:$J$451),0),
IF('TL04'!$B$3=P$3,SUMIF('TL04'!$C$10:$C$224,$C251,'TL04'!$J$10:$J$224),0),
IF('TL04'!$B$229=P$3,SUMIF('TL04'!$C$238:$C$451,$C251,'TL04'!$J$238:$J$451),0),
IF('TL05'!$B$3=P$3,SUMIF('TL05'!$C$10:$C$224,$C251,'TL05'!$J$10:$J$224),0),
IF('TL05'!$B$229=P$3,SUMIF('TL05'!$C$238:$C$451,$C251,'TL05'!$J$238:$J$451),0),
IF('TL06'!$B$3=P$3,SUMIF('TL06'!$C$10:$C$224,$C251,'TL06'!$J$10:$J$224),0),
IF('TL06'!$B$229=P$3,SUMIF('TL06'!$C$238:$C$451,$C251,'TL06'!$J$238:$J$451),0),
IF('TL07'!$B$3=P$3,SUMIF('TL07'!$C$10:$C$224,$C251,'TL07'!$J$10:$J$224),0),
IF('TL07'!$B$229=P$3,SUMIF('TL07'!$C$238:$C$451,$C251,'TL07'!$J$238:$J$451),0),
IF('TL08'!$B$3=P$3,SUMIF('TL08'!$C$10:$C$224,$C251,'TL08'!$J$10:$J$224),0),
IF('TL08'!$B$229=P$3,SUMIF('TL08'!$C$238:$C$451,$C251,'TL08'!$J$238:$J$451),0),
IF('TL09'!$B$3=P$3,SUMIF('TL09'!$C$10:$C$224,$C251,'TL09'!$J$10:$J$224),0),
IF('TL09'!$B$229=P$3,SUMIF('TL09'!$C$238:$C$451,$C251,'TL09'!$J$238:$J$451),0),
IF('TL10'!$B$3=P$3,SUMIF('TL10'!$C$10:$C$224,$C251,'TL10'!$J$10:$J$224),0),
IF('TL10'!$B$229=P$3,SUMIF('TL10'!$C$238:$C$451,$C251,'TL10'!$J$238:$J$451),0),
IF('TL11'!$B$3=P$3,SUMIF('TL11'!$C$10:$C$224,$C251,'TL11'!$J$10:$J$224),0),
IF('TL11'!$B$229=P$3,SUMIF('TL11'!$C$238:$C$451,$C251,'TL11'!$J$238:$J$451),0),
IF('TL12'!$B$3=P$3,SUMIF('TL12'!$C$10:$C$224,$C251,'TL12'!$J$10:$J$224),0),
IF('TL12'!$B$229=P$3,SUMIF('TL12'!$C$238:$C$451,$C251,'TL12'!$J$238:$J$451),0),
IF('TL13'!$B$3=P$3,SUMIF('TL13'!$C$10:$C$224,$C251,'TL13'!$J$10:$J$224),0),
IF('TL13'!$B$229=P$3,SUMIF('TL13'!$C$238:$C$451,$C251,'TL13'!$J$238:$J$451),0),
IF('TL14'!$B$3=P$3,SUMIF('TL14'!$C$10:$C$224,$C251,'TL14'!$J$10:$J$224),0),
IF('TL14'!$B$229=P$3,SUMIF('TL14'!$C$238:$C$451,$C251,'TL14'!$J$238:$J$451),0),
IF('TL15'!$B$3=P$3,SUMIF('TL15'!$C$10:$C$224,$C251,'TL15'!$J$10:$J$224),0),
IF('TL15'!$B$229=P$3,SUMIF('TL15'!$C$238:$C$451,$C251,'TL15'!$J$238:$J$451),0),
IF('TL16'!$B$3=P$3,SUMIF('TL16'!$C$10:$C$224,$C251,'TL16'!$J$10:$J$224),0),
IF('TL16'!$B$229=P$3,SUMIF('TL16'!$C$238:$C$451,$C251,'TL16'!$J$238:$J$451),0),
IF('TL17'!$B$3=P$3,SUMIF('TL17'!$C$10:$C$224,$C251,'TL17'!$J$10:$J$224),0),
IF('TL17'!$B$229=P$3,SUMIF('TL17'!$C$238:$C$451,$C251,'TL17'!$J$238:$J$451),0),
IF('TL18'!$B$3=P$3,SUMIF('TL18'!$C$10:$C$224,$C251,'TL18'!$J$10:$J$224),0),
IF('TL18'!$B$229=P$3,SUMIF('TL18'!$C$238:$C$451,$C251,'TL18'!$J$238:$J$451),0),
IF('TL19'!$B$3=P$3,SUMIF('TL19'!$C$10:$C$224,$C251,'TL19'!$J$10:$J$224),0),
IF('TL19'!$B$229=P$3,SUMIF('TL19'!$C$238:$C$451,$C251,'TL19'!$J$238:$J$451),0)
),0)</f>
        <v>0</v>
      </c>
      <c r="Q251" s="9">
        <f>IFERROR(SUM(
IF('TL01'!$B$3=Q$3,SUMIF('TL01'!$C$10:$C$224,$C251,'TL01'!$J$10:$J$224),0),
IF('TL01'!$B$229=Q$3,SUMIF('TL01'!$C$238:$C$451,$C251,'TL01'!$J$238:$J$451),0),
IF('TL02'!$B$3=Q$3,SUMIF('TL02'!$C$10:$C$224,$C251,'TL02'!$J$10:$J$224),0),
IF('TL02'!$B$229=Q$3,SUMIF('TL02'!$C$238:$C$451,$C251,'TL02'!$J$238:$J$451),0),
IF('TL03'!$B$3=Q$3,SUMIF('TL03'!$C$10:$C$224,$C251,'TL03'!$J$10:$J$224),0),
IF('TL03'!$B$229=Q$3,SUMIF('TL03'!$C$238:$C$451,$C251,'TL03'!$J$238:$J$451),0),
IF('TL04'!$B$3=Q$3,SUMIF('TL04'!$C$10:$C$224,$C251,'TL04'!$J$10:$J$224),0),
IF('TL04'!$B$229=Q$3,SUMIF('TL04'!$C$238:$C$451,$C251,'TL04'!$J$238:$J$451),0),
IF('TL05'!$B$3=Q$3,SUMIF('TL05'!$C$10:$C$224,$C251,'TL05'!$J$10:$J$224),0),
IF('TL05'!$B$229=Q$3,SUMIF('TL05'!$C$238:$C$451,$C251,'TL05'!$J$238:$J$451),0),
IF('TL06'!$B$3=Q$3,SUMIF('TL06'!$C$10:$C$224,$C251,'TL06'!$J$10:$J$224),0),
IF('TL06'!$B$229=Q$3,SUMIF('TL06'!$C$238:$C$451,$C251,'TL06'!$J$238:$J$451),0),
IF('TL07'!$B$3=Q$3,SUMIF('TL07'!$C$10:$C$224,$C251,'TL07'!$J$10:$J$224),0),
IF('TL07'!$B$229=Q$3,SUMIF('TL07'!$C$238:$C$451,$C251,'TL07'!$J$238:$J$451),0),
IF('TL08'!$B$3=Q$3,SUMIF('TL08'!$C$10:$C$224,$C251,'TL08'!$J$10:$J$224),0),
IF('TL08'!$B$229=Q$3,SUMIF('TL08'!$C$238:$C$451,$C251,'TL08'!$J$238:$J$451),0),
IF('TL09'!$B$3=Q$3,SUMIF('TL09'!$C$10:$C$224,$C251,'TL09'!$J$10:$J$224),0),
IF('TL09'!$B$229=Q$3,SUMIF('TL09'!$C$238:$C$451,$C251,'TL09'!$J$238:$J$451),0),
IF('TL10'!$B$3=Q$3,SUMIF('TL10'!$C$10:$C$224,$C251,'TL10'!$J$10:$J$224),0),
IF('TL10'!$B$229=Q$3,SUMIF('TL10'!$C$238:$C$451,$C251,'TL10'!$J$238:$J$451),0),
IF('TL11'!$B$3=Q$3,SUMIF('TL11'!$C$10:$C$224,$C251,'TL11'!$J$10:$J$224),0),
IF('TL11'!$B$229=Q$3,SUMIF('TL11'!$C$238:$C$451,$C251,'TL11'!$J$238:$J$451),0),
IF('TL12'!$B$3=Q$3,SUMIF('TL12'!$C$10:$C$224,$C251,'TL12'!$J$10:$J$224),0),
IF('TL12'!$B$229=Q$3,SUMIF('TL12'!$C$238:$C$451,$C251,'TL12'!$J$238:$J$451),0),
IF('TL13'!$B$3=Q$3,SUMIF('TL13'!$C$10:$C$224,$C251,'TL13'!$J$10:$J$224),0),
IF('TL13'!$B$229=Q$3,SUMIF('TL13'!$C$238:$C$451,$C251,'TL13'!$J$238:$J$451),0),
IF('TL14'!$B$3=Q$3,SUMIF('TL14'!$C$10:$C$224,$C251,'TL14'!$J$10:$J$224),0),
IF('TL14'!$B$229=Q$3,SUMIF('TL14'!$C$238:$C$451,$C251,'TL14'!$J$238:$J$451),0),
IF('TL15'!$B$3=Q$3,SUMIF('TL15'!$C$10:$C$224,$C251,'TL15'!$J$10:$J$224),0),
IF('TL15'!$B$229=Q$3,SUMIF('TL15'!$C$238:$C$451,$C251,'TL15'!$J$238:$J$451),0),
IF('TL16'!$B$3=Q$3,SUMIF('TL16'!$C$10:$C$224,$C251,'TL16'!$J$10:$J$224),0),
IF('TL16'!$B$229=Q$3,SUMIF('TL16'!$C$238:$C$451,$C251,'TL16'!$J$238:$J$451),0),
IF('TL17'!$B$3=Q$3,SUMIF('TL17'!$C$10:$C$224,$C251,'TL17'!$J$10:$J$224),0),
IF('TL17'!$B$229=Q$3,SUMIF('TL17'!$C$238:$C$451,$C251,'TL17'!$J$238:$J$451),0),
IF('TL18'!$B$3=Q$3,SUMIF('TL18'!$C$10:$C$224,$C251,'TL18'!$J$10:$J$224),0),
IF('TL18'!$B$229=Q$3,SUMIF('TL18'!$C$238:$C$451,$C251,'TL18'!$J$238:$J$451),0),
IF('TL19'!$B$3=Q$3,SUMIF('TL19'!$C$10:$C$224,$C251,'TL19'!$J$10:$J$224),0),
IF('TL19'!$B$229=Q$3,SUMIF('TL19'!$C$238:$C$451,$C251,'TL19'!$J$238:$J$451),0)
),0)</f>
        <v>0</v>
      </c>
      <c r="R251" s="9">
        <f>IFERROR(
SUM(
SUMIF('TL01'!C:C,C251,'TL01'!J:J),
SUMIF('TL02'!C:C,C251,'TL02'!J:J),
SUMIF('TL03'!C:C,C251,'TL03'!J:J),
SUMIF('TL04'!C:C,C251,'TL04'!J:J),
SUMIF('TL05'!C:C,C251,'TL05'!J:J),
SUMIF('TL06'!C:C,C251,'TL06'!J:J),
SUMIF('TL07'!C:C,C251,'TL07'!J:J),
SUMIF('TL08'!C:C,C251,'TL08'!J:J),
SUMIF('TL09'!C:C,C251,'TL09'!J:J),
SUMIF('TL10'!C:C,C251,'TL10'!J:J),
SUMIF('TL11'!C:C,C251,'TL11'!J:J),
SUMIF('TL12'!C:C,C251,'TL12'!J:J),
SUMIF('TL13'!C:C,C251,'TL13'!J:J),
SUMIF('TL14'!C:C,C251,'TL14'!J:J),
SUMIF('TL15'!C:C,C251,'TL15'!J:J),
SUMIF('TL16'!C:C,C251,'TL16'!J:J),
SUMIF('TL17'!C:C,C251,'TL17'!J:J),
SUMIF('TL18'!C:C,C251,'TL18'!J:J),SUMIF('TL19'!C:C,C251,'TL19'!J:J))
,0)</f>
        <v>0</v>
      </c>
      <c r="S251" s="17">
        <f>IFERROR(__xludf.DUMMYFUNCTION("IFERROR(VLOOKUP(C251,
IMPORTRANGE(""1wULbzX32WdYsx-lj2U3uUNBBe2INVIRDtcK0d-Dvl90"",
""26-27!C:G""),
5,
FALSE),
"""")"),37.11)</f>
        <v>37.11</v>
      </c>
      <c r="T251" s="9"/>
      <c r="U251" s="92">
        <f t="shared" si="2"/>
        <v>0</v>
      </c>
      <c r="V251" s="93">
        <f t="shared" si="3"/>
        <v>0</v>
      </c>
    </row>
    <row r="252" ht="15.75" hidden="1" customHeight="1">
      <c r="A252" s="122" t="s">
        <v>358</v>
      </c>
      <c r="B252" s="124" t="s">
        <v>9</v>
      </c>
      <c r="C252" s="122" t="s">
        <v>925</v>
      </c>
      <c r="D252" s="122" t="s">
        <v>926</v>
      </c>
      <c r="E252" s="122" t="s">
        <v>927</v>
      </c>
      <c r="F252" s="4" t="s">
        <v>343</v>
      </c>
      <c r="G252" s="9"/>
      <c r="H252" s="9" t="str">
        <f>IFERROR(__xludf.DUMMYFUNCTION("IFERROR(VLOOKUP(C252,
IMPORTRANGE(""1wULbzX32WdYsx-lj2U3uUNBBe2INVIRDtcK0d-Dvl90"",
""26-27!C:K""),
8,
FALSE),
"""")"),"")</f>
        <v/>
      </c>
      <c r="I252" s="123">
        <v>1000.0</v>
      </c>
      <c r="J252" s="9">
        <f>IFERROR(SUM(
IF('TL01'!$B$3=J$3,SUMIF('TL01'!$C$10:$C$224,$C252,'TL01'!$J$10:$J$224),0),
IF('TL01'!$B$229=J$3,SUMIF('TL01'!$C$238:$C$451,$C252,'TL01'!$J$238:$J$451),0),
IF('TL02'!$B$3=J$3,SUMIF('TL02'!$C$10:$C$224,$C252,'TL02'!$J$10:$J$224),0),
IF('TL02'!$B$229=J$3,SUMIF('TL02'!$C$238:$C$451,$C252,'TL02'!$J$238:$J$451),0),
IF('TL03'!$B$3=J$3,SUMIF('TL03'!$C$10:$C$224,$C252,'TL03'!$J$10:$J$224),0),
IF('TL03'!$B$229=J$3,SUMIF('TL03'!$C$238:$C$451,$C252,'TL03'!$J$238:$J$451),0),
IF('TL04'!$B$3=J$3,SUMIF('TL04'!$C$10:$C$224,$C252,'TL04'!$J$10:$J$224),0),
IF('TL04'!$B$229=J$3,SUMIF('TL04'!$C$238:$C$451,$C252,'TL04'!$J$238:$J$451),0),
IF('TL05'!$B$3=J$3,SUMIF('TL05'!$C$10:$C$224,$C252,'TL05'!$J$10:$J$224),0),
IF('TL05'!$B$229=J$3,SUMIF('TL05'!$C$238:$C$451,$C252,'TL05'!$J$238:$J$451),0),
IF('TL06'!$B$3=J$3,SUMIF('TL06'!$C$10:$C$224,$C252,'TL06'!$J$10:$J$224),0),
IF('TL06'!$B$229=J$3,SUMIF('TL06'!$C$238:$C$451,$C252,'TL06'!$J$238:$J$451),0),
IF('TL07'!$B$3=J$3,SUMIF('TL07'!$C$10:$C$224,$C252,'TL07'!$J$10:$J$224),0),
IF('TL07'!$B$229=J$3,SUMIF('TL07'!$C$238:$C$451,$C252,'TL07'!$J$238:$J$451),0),
IF('TL08'!$B$3=J$3,SUMIF('TL08'!$C$10:$C$224,$C252,'TL08'!$J$10:$J$224),0),
IF('TL08'!$B$229=J$3,SUMIF('TL08'!$C$238:$C$451,$C252,'TL08'!$J$238:$J$451),0),
IF('TL09'!$B$3=J$3,SUMIF('TL09'!$C$10:$C$224,$C252,'TL09'!$J$10:$J$224),0),
IF('TL09'!$B$229=J$3,SUMIF('TL09'!$C$238:$C$451,$C252,'TL09'!$J$238:$J$451),0),
IF('TL10'!$B$3=J$3,SUMIF('TL10'!$C$10:$C$224,$C252,'TL10'!$J$10:$J$224),0),
IF('TL10'!$B$229=J$3,SUMIF('TL10'!$C$238:$C$451,$C252,'TL10'!$J$238:$J$451),0),
IF('TL11'!$B$3=J$3,SUMIF('TL11'!$C$10:$C$224,$C252,'TL11'!$J$10:$J$224),0),
IF('TL11'!$B$229=J$3,SUMIF('TL11'!$C$238:$C$451,$C252,'TL11'!$J$238:$J$451),0),
IF('TL12'!$B$3=J$3,SUMIF('TL12'!$C$10:$C$224,$C252,'TL12'!$J$10:$J$224),0),
IF('TL12'!$B$229=J$3,SUMIF('TL12'!$C$238:$C$451,$C252,'TL12'!$J$238:$J$451),0),
IF('TL13'!$B$3=J$3,SUMIF('TL13'!$C$10:$C$224,$C252,'TL13'!$J$10:$J$224),0),
IF('TL13'!$B$229=J$3,SUMIF('TL13'!$C$238:$C$451,$C252,'TL13'!$J$238:$J$451),0),
IF('TL14'!$B$3=J$3,SUMIF('TL14'!$C$10:$C$224,$C252,'TL14'!$J$10:$J$224),0),
IF('TL14'!$B$229=J$3,SUMIF('TL14'!$C$238:$C$451,$C252,'TL14'!$J$238:$J$451),0),
IF('TL15'!$B$3=J$3,SUMIF('TL15'!$C$10:$C$224,$C252,'TL15'!$J$10:$J$224),0),
IF('TL15'!$B$229=J$3,SUMIF('TL15'!$C$238:$C$451,$C252,'TL15'!$J$238:$J$451),0),
IF('TL16'!$B$3=J$3,SUMIF('TL16'!$C$10:$C$224,$C252,'TL16'!$J$10:$J$224),0),
IF('TL16'!$B$229=J$3,SUMIF('TL16'!$C$238:$C$451,$C252,'TL16'!$J$238:$J$451),0),
IF('TL17'!$B$3=J$3,SUMIF('TL17'!$C$10:$C$224,$C252,'TL17'!$J$10:$J$224),0),
IF('TL17'!$B$229=J$3,SUMIF('TL17'!$C$238:$C$451,$C252,'TL17'!$J$238:$J$451),0),
IF('TL18'!$B$3=J$3,SUMIF('TL18'!$C$10:$C$224,$C252,'TL18'!$J$10:$J$224),0),
IF('TL18'!$B$229=J$3,SUMIF('TL18'!$C$238:$C$451,$C252,'TL18'!$J$238:$J$451),0),
IF('TL19'!$B$3=J$3,SUMIF('TL19'!$C$10:$C$224,$C252,'TL19'!$J$10:$J$224),0),
IF('TL19'!$B$229=J$3,SUMIF('TL19'!$C$238:$C$451,$C252,'TL19'!$J$238:$J$451),0)
),0)</f>
        <v>0</v>
      </c>
      <c r="K252" s="9">
        <f>IFERROR(SUM(
IF('TL01'!$B$3=K$3,SUMIF('TL01'!$C$10:$C$224,$C252,'TL01'!$J$10:$J$224),0),
IF('TL01'!$B$229=K$3,SUMIF('TL01'!$C$238:$C$451,$C252,'TL01'!$J$238:$J$451),0),
IF('TL02'!$B$3=K$3,SUMIF('TL02'!$C$10:$C$224,$C252,'TL02'!$J$10:$J$224),0),
IF('TL02'!$B$229=K$3,SUMIF('TL02'!$C$238:$C$451,$C252,'TL02'!$J$238:$J$451),0),
IF('TL03'!$B$3=K$3,SUMIF('TL03'!$C$10:$C$224,$C252,'TL03'!$J$10:$J$224),0),
IF('TL03'!$B$229=K$3,SUMIF('TL03'!$C$238:$C$451,$C252,'TL03'!$J$238:$J$451),0),
IF('TL04'!$B$3=K$3,SUMIF('TL04'!$C$10:$C$224,$C252,'TL04'!$J$10:$J$224),0),
IF('TL04'!$B$229=K$3,SUMIF('TL04'!$C$238:$C$451,$C252,'TL04'!$J$238:$J$451),0),
IF('TL05'!$B$3=K$3,SUMIF('TL05'!$C$10:$C$224,$C252,'TL05'!$J$10:$J$224),0),
IF('TL05'!$B$229=K$3,SUMIF('TL05'!$C$238:$C$451,$C252,'TL05'!$J$238:$J$451),0),
IF('TL06'!$B$3=K$3,SUMIF('TL06'!$C$10:$C$224,$C252,'TL06'!$J$10:$J$224),0),
IF('TL06'!$B$229=K$3,SUMIF('TL06'!$C$238:$C$451,$C252,'TL06'!$J$238:$J$451),0),
IF('TL07'!$B$3=K$3,SUMIF('TL07'!$C$10:$C$224,$C252,'TL07'!$J$10:$J$224),0),
IF('TL07'!$B$229=K$3,SUMIF('TL07'!$C$238:$C$451,$C252,'TL07'!$J$238:$J$451),0),
IF('TL08'!$B$3=K$3,SUMIF('TL08'!$C$10:$C$224,$C252,'TL08'!$J$10:$J$224),0),
IF('TL08'!$B$229=K$3,SUMIF('TL08'!$C$238:$C$451,$C252,'TL08'!$J$238:$J$451),0),
IF('TL09'!$B$3=K$3,SUMIF('TL09'!$C$10:$C$224,$C252,'TL09'!$J$10:$J$224),0),
IF('TL09'!$B$229=K$3,SUMIF('TL09'!$C$238:$C$451,$C252,'TL09'!$J$238:$J$451),0),
IF('TL10'!$B$3=K$3,SUMIF('TL10'!$C$10:$C$224,$C252,'TL10'!$J$10:$J$224),0),
IF('TL10'!$B$229=K$3,SUMIF('TL10'!$C$238:$C$451,$C252,'TL10'!$J$238:$J$451),0),
IF('TL11'!$B$3=K$3,SUMIF('TL11'!$C$10:$C$224,$C252,'TL11'!$J$10:$J$224),0),
IF('TL11'!$B$229=K$3,SUMIF('TL11'!$C$238:$C$451,$C252,'TL11'!$J$238:$J$451),0),
IF('TL12'!$B$3=K$3,SUMIF('TL12'!$C$10:$C$224,$C252,'TL12'!$J$10:$J$224),0),
IF('TL12'!$B$229=K$3,SUMIF('TL12'!$C$238:$C$451,$C252,'TL12'!$J$238:$J$451),0),
IF('TL13'!$B$3=K$3,SUMIF('TL13'!$C$10:$C$224,$C252,'TL13'!$J$10:$J$224),0),
IF('TL13'!$B$229=K$3,SUMIF('TL13'!$C$238:$C$451,$C252,'TL13'!$J$238:$J$451),0),
IF('TL14'!$B$3=K$3,SUMIF('TL14'!$C$10:$C$224,$C252,'TL14'!$J$10:$J$224),0),
IF('TL14'!$B$229=K$3,SUMIF('TL14'!$C$238:$C$451,$C252,'TL14'!$J$238:$J$451),0),
IF('TL15'!$B$3=K$3,SUMIF('TL15'!$C$10:$C$224,$C252,'TL15'!$J$10:$J$224),0),
IF('TL15'!$B$229=K$3,SUMIF('TL15'!$C$238:$C$451,$C252,'TL15'!$J$238:$J$451),0),
IF('TL16'!$B$3=K$3,SUMIF('TL16'!$C$10:$C$224,$C252,'TL16'!$J$10:$J$224),0),
IF('TL16'!$B$229=K$3,SUMIF('TL16'!$C$238:$C$451,$C252,'TL16'!$J$238:$J$451),0),
IF('TL17'!$B$3=K$3,SUMIF('TL17'!$C$10:$C$224,$C252,'TL17'!$J$10:$J$224),0),
IF('TL17'!$B$229=K$3,SUMIF('TL17'!$C$238:$C$451,$C252,'TL17'!$J$238:$J$451),0),
IF('TL18'!$B$3=K$3,SUMIF('TL18'!$C$10:$C$224,$C252,'TL18'!$J$10:$J$224),0),
IF('TL18'!$B$229=K$3,SUMIF('TL18'!$C$238:$C$451,$C252,'TL18'!$J$238:$J$451),0),
IF('TL19'!$B$3=K$3,SUMIF('TL19'!$C$10:$C$224,$C252,'TL19'!$J$10:$J$224),0),
IF('TL19'!$B$229=K$3,SUMIF('TL19'!$C$238:$C$451,$C252,'TL19'!$J$238:$J$451),0)
),0)</f>
        <v>0</v>
      </c>
      <c r="L252" s="9">
        <f>IFERROR(SUM(
IF('TL01'!$B$3=L$3,SUMIF('TL01'!$C$10:$C$224,$C252,'TL01'!$J$10:$J$224),0),
IF('TL01'!$B$229=L$3,SUMIF('TL01'!$C$238:$C$451,$C252,'TL01'!$J$238:$J$451),0),
IF('TL02'!$B$3=L$3,SUMIF('TL02'!$C$10:$C$224,$C252,'TL02'!$J$10:$J$224),0),
IF('TL02'!$B$229=L$3,SUMIF('TL02'!$C$238:$C$451,$C252,'TL02'!$J$238:$J$451),0),
IF('TL03'!$B$3=L$3,SUMIF('TL03'!$C$10:$C$224,$C252,'TL03'!$J$10:$J$224),0),
IF('TL03'!$B$229=L$3,SUMIF('TL03'!$C$238:$C$451,$C252,'TL03'!$J$238:$J$451),0),
IF('TL04'!$B$3=L$3,SUMIF('TL04'!$C$10:$C$224,$C252,'TL04'!$J$10:$J$224),0),
IF('TL04'!$B$229=L$3,SUMIF('TL04'!$C$238:$C$451,$C252,'TL04'!$J$238:$J$451),0),
IF('TL05'!$B$3=L$3,SUMIF('TL05'!$C$10:$C$224,$C252,'TL05'!$J$10:$J$224),0),
IF('TL05'!$B$229=L$3,SUMIF('TL05'!$C$238:$C$451,$C252,'TL05'!$J$238:$J$451),0),
IF('TL06'!$B$3=L$3,SUMIF('TL06'!$C$10:$C$224,$C252,'TL06'!$J$10:$J$224),0),
IF('TL06'!$B$229=L$3,SUMIF('TL06'!$C$238:$C$451,$C252,'TL06'!$J$238:$J$451),0),
IF('TL07'!$B$3=L$3,SUMIF('TL07'!$C$10:$C$224,$C252,'TL07'!$J$10:$J$224),0),
IF('TL07'!$B$229=L$3,SUMIF('TL07'!$C$238:$C$451,$C252,'TL07'!$J$238:$J$451),0),
IF('TL08'!$B$3=L$3,SUMIF('TL08'!$C$10:$C$224,$C252,'TL08'!$J$10:$J$224),0),
IF('TL08'!$B$229=L$3,SUMIF('TL08'!$C$238:$C$451,$C252,'TL08'!$J$238:$J$451),0),
IF('TL09'!$B$3=L$3,SUMIF('TL09'!$C$10:$C$224,$C252,'TL09'!$J$10:$J$224),0),
IF('TL09'!$B$229=L$3,SUMIF('TL09'!$C$238:$C$451,$C252,'TL09'!$J$238:$J$451),0),
IF('TL10'!$B$3=L$3,SUMIF('TL10'!$C$10:$C$224,$C252,'TL10'!$J$10:$J$224),0),
IF('TL10'!$B$229=L$3,SUMIF('TL10'!$C$238:$C$451,$C252,'TL10'!$J$238:$J$451),0),
IF('TL11'!$B$3=L$3,SUMIF('TL11'!$C$10:$C$224,$C252,'TL11'!$J$10:$J$224),0),
IF('TL11'!$B$229=L$3,SUMIF('TL11'!$C$238:$C$451,$C252,'TL11'!$J$238:$J$451),0),
IF('TL12'!$B$3=L$3,SUMIF('TL12'!$C$10:$C$224,$C252,'TL12'!$J$10:$J$224),0),
IF('TL12'!$B$229=L$3,SUMIF('TL12'!$C$238:$C$451,$C252,'TL12'!$J$238:$J$451),0),
IF('TL13'!$B$3=L$3,SUMIF('TL13'!$C$10:$C$224,$C252,'TL13'!$J$10:$J$224),0),
IF('TL13'!$B$229=L$3,SUMIF('TL13'!$C$238:$C$451,$C252,'TL13'!$J$238:$J$451),0),
IF('TL14'!$B$3=L$3,SUMIF('TL14'!$C$10:$C$224,$C252,'TL14'!$J$10:$J$224),0),
IF('TL14'!$B$229=L$3,SUMIF('TL14'!$C$238:$C$451,$C252,'TL14'!$J$238:$J$451),0),
IF('TL15'!$B$3=L$3,SUMIF('TL15'!$C$10:$C$224,$C252,'TL15'!$J$10:$J$224),0),
IF('TL15'!$B$229=L$3,SUMIF('TL15'!$C$238:$C$451,$C252,'TL15'!$J$238:$J$451),0),
IF('TL16'!$B$3=L$3,SUMIF('TL16'!$C$10:$C$224,$C252,'TL16'!$J$10:$J$224),0),
IF('TL16'!$B$229=L$3,SUMIF('TL16'!$C$238:$C$451,$C252,'TL16'!$J$238:$J$451),0),
IF('TL17'!$B$3=L$3,SUMIF('TL17'!$C$10:$C$224,$C252,'TL17'!$J$10:$J$224),0),
IF('TL17'!$B$229=L$3,SUMIF('TL17'!$C$238:$C$451,$C252,'TL17'!$J$238:$J$451),0),
IF('TL18'!$B$3=L$3,SUMIF('TL18'!$C$10:$C$224,$C252,'TL18'!$J$10:$J$224),0),
IF('TL18'!$B$229=L$3,SUMIF('TL18'!$C$238:$C$451,$C252,'TL18'!$J$238:$J$451),0),
IF('TL19'!$B$3=L$3,SUMIF('TL19'!$C$10:$C$224,$C252,'TL19'!$J$10:$J$224),0),
IF('TL19'!$B$229=L$3,SUMIF('TL19'!$C$238:$C$451,$C252,'TL19'!$J$238:$J$451),0)
),0)</f>
        <v>0</v>
      </c>
      <c r="M252" s="9">
        <f>IFERROR(SUM(
IF('TL01'!$B$3=M$3,SUMIF('TL01'!$C$10:$C$224,$C252,'TL01'!$J$10:$J$224),0),
IF('TL01'!$B$229=M$3,SUMIF('TL01'!$C$238:$C$451,$C252,'TL01'!$J$238:$J$451),0),
IF('TL02'!$B$3=M$3,SUMIF('TL02'!$C$10:$C$224,$C252,'TL02'!$J$10:$J$224),0),
IF('TL02'!$B$229=M$3,SUMIF('TL02'!$C$238:$C$451,$C252,'TL02'!$J$238:$J$451),0),
IF('TL03'!$B$3=M$3,SUMIF('TL03'!$C$10:$C$224,$C252,'TL03'!$J$10:$J$224),0),
IF('TL03'!$B$229=M$3,SUMIF('TL03'!$C$238:$C$451,$C252,'TL03'!$J$238:$J$451),0),
IF('TL04'!$B$3=M$3,SUMIF('TL04'!$C$10:$C$224,$C252,'TL04'!$J$10:$J$224),0),
IF('TL04'!$B$229=M$3,SUMIF('TL04'!$C$238:$C$451,$C252,'TL04'!$J$238:$J$451),0),
IF('TL05'!$B$3=M$3,SUMIF('TL05'!$C$10:$C$224,$C252,'TL05'!$J$10:$J$224),0),
IF('TL05'!$B$229=M$3,SUMIF('TL05'!$C$238:$C$451,$C252,'TL05'!$J$238:$J$451),0),
IF('TL06'!$B$3=M$3,SUMIF('TL06'!$C$10:$C$224,$C252,'TL06'!$J$10:$J$224),0),
IF('TL06'!$B$229=M$3,SUMIF('TL06'!$C$238:$C$451,$C252,'TL06'!$J$238:$J$451),0),
IF('TL07'!$B$3=M$3,SUMIF('TL07'!$C$10:$C$224,$C252,'TL07'!$J$10:$J$224),0),
IF('TL07'!$B$229=M$3,SUMIF('TL07'!$C$238:$C$451,$C252,'TL07'!$J$238:$J$451),0),
IF('TL08'!$B$3=M$3,SUMIF('TL08'!$C$10:$C$224,$C252,'TL08'!$J$10:$J$224),0),
IF('TL08'!$B$229=M$3,SUMIF('TL08'!$C$238:$C$451,$C252,'TL08'!$J$238:$J$451),0),
IF('TL09'!$B$3=M$3,SUMIF('TL09'!$C$10:$C$224,$C252,'TL09'!$J$10:$J$224),0),
IF('TL09'!$B$229=M$3,SUMIF('TL09'!$C$238:$C$451,$C252,'TL09'!$J$238:$J$451),0),
IF('TL10'!$B$3=M$3,SUMIF('TL10'!$C$10:$C$224,$C252,'TL10'!$J$10:$J$224),0),
IF('TL10'!$B$229=M$3,SUMIF('TL10'!$C$238:$C$451,$C252,'TL10'!$J$238:$J$451),0),
IF('TL11'!$B$3=M$3,SUMIF('TL11'!$C$10:$C$224,$C252,'TL11'!$J$10:$J$224),0),
IF('TL11'!$B$229=M$3,SUMIF('TL11'!$C$238:$C$451,$C252,'TL11'!$J$238:$J$451),0),
IF('TL12'!$B$3=M$3,SUMIF('TL12'!$C$10:$C$224,$C252,'TL12'!$J$10:$J$224),0),
IF('TL12'!$B$229=M$3,SUMIF('TL12'!$C$238:$C$451,$C252,'TL12'!$J$238:$J$451),0),
IF('TL13'!$B$3=M$3,SUMIF('TL13'!$C$10:$C$224,$C252,'TL13'!$J$10:$J$224),0),
IF('TL13'!$B$229=M$3,SUMIF('TL13'!$C$238:$C$451,$C252,'TL13'!$J$238:$J$451),0),
IF('TL14'!$B$3=M$3,SUMIF('TL14'!$C$10:$C$224,$C252,'TL14'!$J$10:$J$224),0),
IF('TL14'!$B$229=M$3,SUMIF('TL14'!$C$238:$C$451,$C252,'TL14'!$J$238:$J$451),0),
IF('TL15'!$B$3=M$3,SUMIF('TL15'!$C$10:$C$224,$C252,'TL15'!$J$10:$J$224),0),
IF('TL15'!$B$229=M$3,SUMIF('TL15'!$C$238:$C$451,$C252,'TL15'!$J$238:$J$451),0),
IF('TL16'!$B$3=M$3,SUMIF('TL16'!$C$10:$C$224,$C252,'TL16'!$J$10:$J$224),0),
IF('TL16'!$B$229=M$3,SUMIF('TL16'!$C$238:$C$451,$C252,'TL16'!$J$238:$J$451),0),
IF('TL17'!$B$3=M$3,SUMIF('TL17'!$C$10:$C$224,$C252,'TL17'!$J$10:$J$224),0),
IF('TL17'!$B$229=M$3,SUMIF('TL17'!$C$238:$C$451,$C252,'TL17'!$J$238:$J$451),0),
IF('TL18'!$B$3=M$3,SUMIF('TL18'!$C$10:$C$224,$C252,'TL18'!$J$10:$J$224),0),
IF('TL18'!$B$229=M$3,SUMIF('TL18'!$C$238:$C$451,$C252,'TL18'!$J$238:$J$451),0),
IF('TL19'!$B$3=M$3,SUMIF('TL19'!$C$10:$C$224,$C252,'TL19'!$J$10:$J$224),0),
IF('TL19'!$B$229=M$3,SUMIF('TL19'!$C$238:$C$451,$C252,'TL19'!$J$238:$J$451),0)
),0)</f>
        <v>0</v>
      </c>
      <c r="N252" s="9">
        <f>IFERROR(SUM(
IF('TL01'!$B$3=N$3,SUMIF('TL01'!$C$10:$C$224,$C252,'TL01'!$J$10:$J$224),0),
IF('TL01'!$B$229=N$3,SUMIF('TL01'!$C$238:$C$451,$C252,'TL01'!$J$238:$J$451),0),
IF('TL02'!$B$3=N$3,SUMIF('TL02'!$C$10:$C$224,$C252,'TL02'!$J$10:$J$224),0),
IF('TL02'!$B$229=N$3,SUMIF('TL02'!$C$238:$C$451,$C252,'TL02'!$J$238:$J$451),0),
IF('TL03'!$B$3=N$3,SUMIF('TL03'!$C$10:$C$224,$C252,'TL03'!$J$10:$J$224),0),
IF('TL03'!$B$229=N$3,SUMIF('TL03'!$C$238:$C$451,$C252,'TL03'!$J$238:$J$451),0),
IF('TL04'!$B$3=N$3,SUMIF('TL04'!$C$10:$C$224,$C252,'TL04'!$J$10:$J$224),0),
IF('TL04'!$B$229=N$3,SUMIF('TL04'!$C$238:$C$451,$C252,'TL04'!$J$238:$J$451),0),
IF('TL05'!$B$3=N$3,SUMIF('TL05'!$C$10:$C$224,$C252,'TL05'!$J$10:$J$224),0),
IF('TL05'!$B$229=N$3,SUMIF('TL05'!$C$238:$C$451,$C252,'TL05'!$J$238:$J$451),0),
IF('TL06'!$B$3=N$3,SUMIF('TL06'!$C$10:$C$224,$C252,'TL06'!$J$10:$J$224),0),
IF('TL06'!$B$229=N$3,SUMIF('TL06'!$C$238:$C$451,$C252,'TL06'!$J$238:$J$451),0),
IF('TL07'!$B$3=N$3,SUMIF('TL07'!$C$10:$C$224,$C252,'TL07'!$J$10:$J$224),0),
IF('TL07'!$B$229=N$3,SUMIF('TL07'!$C$238:$C$451,$C252,'TL07'!$J$238:$J$451),0),
IF('TL08'!$B$3=N$3,SUMIF('TL08'!$C$10:$C$224,$C252,'TL08'!$J$10:$J$224),0),
IF('TL08'!$B$229=N$3,SUMIF('TL08'!$C$238:$C$451,$C252,'TL08'!$J$238:$J$451),0),
IF('TL09'!$B$3=N$3,SUMIF('TL09'!$C$10:$C$224,$C252,'TL09'!$J$10:$J$224),0),
IF('TL09'!$B$229=N$3,SUMIF('TL09'!$C$238:$C$451,$C252,'TL09'!$J$238:$J$451),0),
IF('TL10'!$B$3=N$3,SUMIF('TL10'!$C$10:$C$224,$C252,'TL10'!$J$10:$J$224),0),
IF('TL10'!$B$229=N$3,SUMIF('TL10'!$C$238:$C$451,$C252,'TL10'!$J$238:$J$451),0),
IF('TL11'!$B$3=N$3,SUMIF('TL11'!$C$10:$C$224,$C252,'TL11'!$J$10:$J$224),0),
IF('TL11'!$B$229=N$3,SUMIF('TL11'!$C$238:$C$451,$C252,'TL11'!$J$238:$J$451),0),
IF('TL12'!$B$3=N$3,SUMIF('TL12'!$C$10:$C$224,$C252,'TL12'!$J$10:$J$224),0),
IF('TL12'!$B$229=N$3,SUMIF('TL12'!$C$238:$C$451,$C252,'TL12'!$J$238:$J$451),0),
IF('TL13'!$B$3=N$3,SUMIF('TL13'!$C$10:$C$224,$C252,'TL13'!$J$10:$J$224),0),
IF('TL13'!$B$229=N$3,SUMIF('TL13'!$C$238:$C$451,$C252,'TL13'!$J$238:$J$451),0),
IF('TL14'!$B$3=N$3,SUMIF('TL14'!$C$10:$C$224,$C252,'TL14'!$J$10:$J$224),0),
IF('TL14'!$B$229=N$3,SUMIF('TL14'!$C$238:$C$451,$C252,'TL14'!$J$238:$J$451),0),
IF('TL15'!$B$3=N$3,SUMIF('TL15'!$C$10:$C$224,$C252,'TL15'!$J$10:$J$224),0),
IF('TL15'!$B$229=N$3,SUMIF('TL15'!$C$238:$C$451,$C252,'TL15'!$J$238:$J$451),0),
IF('TL16'!$B$3=N$3,SUMIF('TL16'!$C$10:$C$224,$C252,'TL16'!$J$10:$J$224),0),
IF('TL16'!$B$229=N$3,SUMIF('TL16'!$C$238:$C$451,$C252,'TL16'!$J$238:$J$451),0),
IF('TL17'!$B$3=N$3,SUMIF('TL17'!$C$10:$C$224,$C252,'TL17'!$J$10:$J$224),0),
IF('TL17'!$B$229=N$3,SUMIF('TL17'!$C$238:$C$451,$C252,'TL17'!$J$238:$J$451),0),
IF('TL18'!$B$3=N$3,SUMIF('TL18'!$C$10:$C$224,$C252,'TL18'!$J$10:$J$224),0),
IF('TL18'!$B$229=N$3,SUMIF('TL18'!$C$238:$C$451,$C252,'TL18'!$J$238:$J$451),0),
IF('TL19'!$B$3=N$3,SUMIF('TL19'!$C$10:$C$224,$C252,'TL19'!$J$10:$J$224),0),
IF('TL19'!$B$229=N$3,SUMIF('TL19'!$C$238:$C$451,$C252,'TL19'!$J$238:$J$451),0)
),0)</f>
        <v>0</v>
      </c>
      <c r="O252" s="9">
        <f>IFERROR(SUM(
IF('TL01'!$B$3=O$3,SUMIF('TL01'!$C$10:$C$224,$C252,'TL01'!$J$10:$J$224),0),
IF('TL01'!$B$229=O$3,SUMIF('TL01'!$C$238:$C$451,$C252,'TL01'!$J$238:$J$451),0),
IF('TL02'!$B$3=O$3,SUMIF('TL02'!$C$10:$C$224,$C252,'TL02'!$J$10:$J$224),0),
IF('TL02'!$B$229=O$3,SUMIF('TL02'!$C$238:$C$451,$C252,'TL02'!$J$238:$J$451),0),
IF('TL03'!$B$3=O$3,SUMIF('TL03'!$C$10:$C$224,$C252,'TL03'!$J$10:$J$224),0),
IF('TL03'!$B$229=O$3,SUMIF('TL03'!$C$238:$C$451,$C252,'TL03'!$J$238:$J$451),0),
IF('TL04'!$B$3=O$3,SUMIF('TL04'!$C$10:$C$224,$C252,'TL04'!$J$10:$J$224),0),
IF('TL04'!$B$229=O$3,SUMIF('TL04'!$C$238:$C$451,$C252,'TL04'!$J$238:$J$451),0),
IF('TL05'!$B$3=O$3,SUMIF('TL05'!$C$10:$C$224,$C252,'TL05'!$J$10:$J$224),0),
IF('TL05'!$B$229=O$3,SUMIF('TL05'!$C$238:$C$451,$C252,'TL05'!$J$238:$J$451),0),
IF('TL06'!$B$3=O$3,SUMIF('TL06'!$C$10:$C$224,$C252,'TL06'!$J$10:$J$224),0),
IF('TL06'!$B$229=O$3,SUMIF('TL06'!$C$238:$C$451,$C252,'TL06'!$J$238:$J$451),0),
IF('TL07'!$B$3=O$3,SUMIF('TL07'!$C$10:$C$224,$C252,'TL07'!$J$10:$J$224),0),
IF('TL07'!$B$229=O$3,SUMIF('TL07'!$C$238:$C$451,$C252,'TL07'!$J$238:$J$451),0),
IF('TL08'!$B$3=O$3,SUMIF('TL08'!$C$10:$C$224,$C252,'TL08'!$J$10:$J$224),0),
IF('TL08'!$B$229=O$3,SUMIF('TL08'!$C$238:$C$451,$C252,'TL08'!$J$238:$J$451),0),
IF('TL09'!$B$3=O$3,SUMIF('TL09'!$C$10:$C$224,$C252,'TL09'!$J$10:$J$224),0),
IF('TL09'!$B$229=O$3,SUMIF('TL09'!$C$238:$C$451,$C252,'TL09'!$J$238:$J$451),0),
IF('TL10'!$B$3=O$3,SUMIF('TL10'!$C$10:$C$224,$C252,'TL10'!$J$10:$J$224),0),
IF('TL10'!$B$229=O$3,SUMIF('TL10'!$C$238:$C$451,$C252,'TL10'!$J$238:$J$451),0),
IF('TL11'!$B$3=O$3,SUMIF('TL11'!$C$10:$C$224,$C252,'TL11'!$J$10:$J$224),0),
IF('TL11'!$B$229=O$3,SUMIF('TL11'!$C$238:$C$451,$C252,'TL11'!$J$238:$J$451),0),
IF('TL12'!$B$3=O$3,SUMIF('TL12'!$C$10:$C$224,$C252,'TL12'!$J$10:$J$224),0),
IF('TL12'!$B$229=O$3,SUMIF('TL12'!$C$238:$C$451,$C252,'TL12'!$J$238:$J$451),0),
IF('TL13'!$B$3=O$3,SUMIF('TL13'!$C$10:$C$224,$C252,'TL13'!$J$10:$J$224),0),
IF('TL13'!$B$229=O$3,SUMIF('TL13'!$C$238:$C$451,$C252,'TL13'!$J$238:$J$451),0),
IF('TL14'!$B$3=O$3,SUMIF('TL14'!$C$10:$C$224,$C252,'TL14'!$J$10:$J$224),0),
IF('TL14'!$B$229=O$3,SUMIF('TL14'!$C$238:$C$451,$C252,'TL14'!$J$238:$J$451),0),
IF('TL15'!$B$3=O$3,SUMIF('TL15'!$C$10:$C$224,$C252,'TL15'!$J$10:$J$224),0),
IF('TL15'!$B$229=O$3,SUMIF('TL15'!$C$238:$C$451,$C252,'TL15'!$J$238:$J$451),0),
IF('TL16'!$B$3=O$3,SUMIF('TL16'!$C$10:$C$224,$C252,'TL16'!$J$10:$J$224),0),
IF('TL16'!$B$229=O$3,SUMIF('TL16'!$C$238:$C$451,$C252,'TL16'!$J$238:$J$451),0),
IF('TL17'!$B$3=O$3,SUMIF('TL17'!$C$10:$C$224,$C252,'TL17'!$J$10:$J$224),0),
IF('TL17'!$B$229=O$3,SUMIF('TL17'!$C$238:$C$451,$C252,'TL17'!$J$238:$J$451),0),
IF('TL18'!$B$3=O$3,SUMIF('TL18'!$C$10:$C$224,$C252,'TL18'!$J$10:$J$224),0),
IF('TL18'!$B$229=O$3,SUMIF('TL18'!$C$238:$C$451,$C252,'TL18'!$J$238:$J$451),0),
IF('TL19'!$B$3=O$3,SUMIF('TL19'!$C$10:$C$224,$C252,'TL19'!$J$10:$J$224),0),
IF('TL19'!$B$229=O$3,SUMIF('TL19'!$C$238:$C$451,$C252,'TL19'!$J$238:$J$451),0)
),0)</f>
        <v>0</v>
      </c>
      <c r="P252" s="9">
        <f>IFERROR(SUM(
IF('TL01'!$B$3=P$3,SUMIF('TL01'!$C$10:$C$224,$C252,'TL01'!$J$10:$J$224),0),
IF('TL01'!$B$229=P$3,SUMIF('TL01'!$C$238:$C$451,$C252,'TL01'!$J$238:$J$451),0),
IF('TL02'!$B$3=P$3,SUMIF('TL02'!$C$10:$C$224,$C252,'TL02'!$J$10:$J$224),0),
IF('TL02'!$B$229=P$3,SUMIF('TL02'!$C$238:$C$451,$C252,'TL02'!$J$238:$J$451),0),
IF('TL03'!$B$3=P$3,SUMIF('TL03'!$C$10:$C$224,$C252,'TL03'!$J$10:$J$224),0),
IF('TL03'!$B$229=P$3,SUMIF('TL03'!$C$238:$C$451,$C252,'TL03'!$J$238:$J$451),0),
IF('TL04'!$B$3=P$3,SUMIF('TL04'!$C$10:$C$224,$C252,'TL04'!$J$10:$J$224),0),
IF('TL04'!$B$229=P$3,SUMIF('TL04'!$C$238:$C$451,$C252,'TL04'!$J$238:$J$451),0),
IF('TL05'!$B$3=P$3,SUMIF('TL05'!$C$10:$C$224,$C252,'TL05'!$J$10:$J$224),0),
IF('TL05'!$B$229=P$3,SUMIF('TL05'!$C$238:$C$451,$C252,'TL05'!$J$238:$J$451),0),
IF('TL06'!$B$3=P$3,SUMIF('TL06'!$C$10:$C$224,$C252,'TL06'!$J$10:$J$224),0),
IF('TL06'!$B$229=P$3,SUMIF('TL06'!$C$238:$C$451,$C252,'TL06'!$J$238:$J$451),0),
IF('TL07'!$B$3=P$3,SUMIF('TL07'!$C$10:$C$224,$C252,'TL07'!$J$10:$J$224),0),
IF('TL07'!$B$229=P$3,SUMIF('TL07'!$C$238:$C$451,$C252,'TL07'!$J$238:$J$451),0),
IF('TL08'!$B$3=P$3,SUMIF('TL08'!$C$10:$C$224,$C252,'TL08'!$J$10:$J$224),0),
IF('TL08'!$B$229=P$3,SUMIF('TL08'!$C$238:$C$451,$C252,'TL08'!$J$238:$J$451),0),
IF('TL09'!$B$3=P$3,SUMIF('TL09'!$C$10:$C$224,$C252,'TL09'!$J$10:$J$224),0),
IF('TL09'!$B$229=P$3,SUMIF('TL09'!$C$238:$C$451,$C252,'TL09'!$J$238:$J$451),0),
IF('TL10'!$B$3=P$3,SUMIF('TL10'!$C$10:$C$224,$C252,'TL10'!$J$10:$J$224),0),
IF('TL10'!$B$229=P$3,SUMIF('TL10'!$C$238:$C$451,$C252,'TL10'!$J$238:$J$451),0),
IF('TL11'!$B$3=P$3,SUMIF('TL11'!$C$10:$C$224,$C252,'TL11'!$J$10:$J$224),0),
IF('TL11'!$B$229=P$3,SUMIF('TL11'!$C$238:$C$451,$C252,'TL11'!$J$238:$J$451),0),
IF('TL12'!$B$3=P$3,SUMIF('TL12'!$C$10:$C$224,$C252,'TL12'!$J$10:$J$224),0),
IF('TL12'!$B$229=P$3,SUMIF('TL12'!$C$238:$C$451,$C252,'TL12'!$J$238:$J$451),0),
IF('TL13'!$B$3=P$3,SUMIF('TL13'!$C$10:$C$224,$C252,'TL13'!$J$10:$J$224),0),
IF('TL13'!$B$229=P$3,SUMIF('TL13'!$C$238:$C$451,$C252,'TL13'!$J$238:$J$451),0),
IF('TL14'!$B$3=P$3,SUMIF('TL14'!$C$10:$C$224,$C252,'TL14'!$J$10:$J$224),0),
IF('TL14'!$B$229=P$3,SUMIF('TL14'!$C$238:$C$451,$C252,'TL14'!$J$238:$J$451),0),
IF('TL15'!$B$3=P$3,SUMIF('TL15'!$C$10:$C$224,$C252,'TL15'!$J$10:$J$224),0),
IF('TL15'!$B$229=P$3,SUMIF('TL15'!$C$238:$C$451,$C252,'TL15'!$J$238:$J$451),0),
IF('TL16'!$B$3=P$3,SUMIF('TL16'!$C$10:$C$224,$C252,'TL16'!$J$10:$J$224),0),
IF('TL16'!$B$229=P$3,SUMIF('TL16'!$C$238:$C$451,$C252,'TL16'!$J$238:$J$451),0),
IF('TL17'!$B$3=P$3,SUMIF('TL17'!$C$10:$C$224,$C252,'TL17'!$J$10:$J$224),0),
IF('TL17'!$B$229=P$3,SUMIF('TL17'!$C$238:$C$451,$C252,'TL17'!$J$238:$J$451),0),
IF('TL18'!$B$3=P$3,SUMIF('TL18'!$C$10:$C$224,$C252,'TL18'!$J$10:$J$224),0),
IF('TL18'!$B$229=P$3,SUMIF('TL18'!$C$238:$C$451,$C252,'TL18'!$J$238:$J$451),0),
IF('TL19'!$B$3=P$3,SUMIF('TL19'!$C$10:$C$224,$C252,'TL19'!$J$10:$J$224),0),
IF('TL19'!$B$229=P$3,SUMIF('TL19'!$C$238:$C$451,$C252,'TL19'!$J$238:$J$451),0)
),0)</f>
        <v>0</v>
      </c>
      <c r="Q252" s="9">
        <f>IFERROR(SUM(
IF('TL01'!$B$3=Q$3,SUMIF('TL01'!$C$10:$C$224,$C252,'TL01'!$J$10:$J$224),0),
IF('TL01'!$B$229=Q$3,SUMIF('TL01'!$C$238:$C$451,$C252,'TL01'!$J$238:$J$451),0),
IF('TL02'!$B$3=Q$3,SUMIF('TL02'!$C$10:$C$224,$C252,'TL02'!$J$10:$J$224),0),
IF('TL02'!$B$229=Q$3,SUMIF('TL02'!$C$238:$C$451,$C252,'TL02'!$J$238:$J$451),0),
IF('TL03'!$B$3=Q$3,SUMIF('TL03'!$C$10:$C$224,$C252,'TL03'!$J$10:$J$224),0),
IF('TL03'!$B$229=Q$3,SUMIF('TL03'!$C$238:$C$451,$C252,'TL03'!$J$238:$J$451),0),
IF('TL04'!$B$3=Q$3,SUMIF('TL04'!$C$10:$C$224,$C252,'TL04'!$J$10:$J$224),0),
IF('TL04'!$B$229=Q$3,SUMIF('TL04'!$C$238:$C$451,$C252,'TL04'!$J$238:$J$451),0),
IF('TL05'!$B$3=Q$3,SUMIF('TL05'!$C$10:$C$224,$C252,'TL05'!$J$10:$J$224),0),
IF('TL05'!$B$229=Q$3,SUMIF('TL05'!$C$238:$C$451,$C252,'TL05'!$J$238:$J$451),0),
IF('TL06'!$B$3=Q$3,SUMIF('TL06'!$C$10:$C$224,$C252,'TL06'!$J$10:$J$224),0),
IF('TL06'!$B$229=Q$3,SUMIF('TL06'!$C$238:$C$451,$C252,'TL06'!$J$238:$J$451),0),
IF('TL07'!$B$3=Q$3,SUMIF('TL07'!$C$10:$C$224,$C252,'TL07'!$J$10:$J$224),0),
IF('TL07'!$B$229=Q$3,SUMIF('TL07'!$C$238:$C$451,$C252,'TL07'!$J$238:$J$451),0),
IF('TL08'!$B$3=Q$3,SUMIF('TL08'!$C$10:$C$224,$C252,'TL08'!$J$10:$J$224),0),
IF('TL08'!$B$229=Q$3,SUMIF('TL08'!$C$238:$C$451,$C252,'TL08'!$J$238:$J$451),0),
IF('TL09'!$B$3=Q$3,SUMIF('TL09'!$C$10:$C$224,$C252,'TL09'!$J$10:$J$224),0),
IF('TL09'!$B$229=Q$3,SUMIF('TL09'!$C$238:$C$451,$C252,'TL09'!$J$238:$J$451),0),
IF('TL10'!$B$3=Q$3,SUMIF('TL10'!$C$10:$C$224,$C252,'TL10'!$J$10:$J$224),0),
IF('TL10'!$B$229=Q$3,SUMIF('TL10'!$C$238:$C$451,$C252,'TL10'!$J$238:$J$451),0),
IF('TL11'!$B$3=Q$3,SUMIF('TL11'!$C$10:$C$224,$C252,'TL11'!$J$10:$J$224),0),
IF('TL11'!$B$229=Q$3,SUMIF('TL11'!$C$238:$C$451,$C252,'TL11'!$J$238:$J$451),0),
IF('TL12'!$B$3=Q$3,SUMIF('TL12'!$C$10:$C$224,$C252,'TL12'!$J$10:$J$224),0),
IF('TL12'!$B$229=Q$3,SUMIF('TL12'!$C$238:$C$451,$C252,'TL12'!$J$238:$J$451),0),
IF('TL13'!$B$3=Q$3,SUMIF('TL13'!$C$10:$C$224,$C252,'TL13'!$J$10:$J$224),0),
IF('TL13'!$B$229=Q$3,SUMIF('TL13'!$C$238:$C$451,$C252,'TL13'!$J$238:$J$451),0),
IF('TL14'!$B$3=Q$3,SUMIF('TL14'!$C$10:$C$224,$C252,'TL14'!$J$10:$J$224),0),
IF('TL14'!$B$229=Q$3,SUMIF('TL14'!$C$238:$C$451,$C252,'TL14'!$J$238:$J$451),0),
IF('TL15'!$B$3=Q$3,SUMIF('TL15'!$C$10:$C$224,$C252,'TL15'!$J$10:$J$224),0),
IF('TL15'!$B$229=Q$3,SUMIF('TL15'!$C$238:$C$451,$C252,'TL15'!$J$238:$J$451),0),
IF('TL16'!$B$3=Q$3,SUMIF('TL16'!$C$10:$C$224,$C252,'TL16'!$J$10:$J$224),0),
IF('TL16'!$B$229=Q$3,SUMIF('TL16'!$C$238:$C$451,$C252,'TL16'!$J$238:$J$451),0),
IF('TL17'!$B$3=Q$3,SUMIF('TL17'!$C$10:$C$224,$C252,'TL17'!$J$10:$J$224),0),
IF('TL17'!$B$229=Q$3,SUMIF('TL17'!$C$238:$C$451,$C252,'TL17'!$J$238:$J$451),0),
IF('TL18'!$B$3=Q$3,SUMIF('TL18'!$C$10:$C$224,$C252,'TL18'!$J$10:$J$224),0),
IF('TL18'!$B$229=Q$3,SUMIF('TL18'!$C$238:$C$451,$C252,'TL18'!$J$238:$J$451),0),
IF('TL19'!$B$3=Q$3,SUMIF('TL19'!$C$10:$C$224,$C252,'TL19'!$J$10:$J$224),0),
IF('TL19'!$B$229=Q$3,SUMIF('TL19'!$C$238:$C$451,$C252,'TL19'!$J$238:$J$451),0)
),0)</f>
        <v>0</v>
      </c>
      <c r="R252" s="9">
        <f>IFERROR(
SUM(
SUMIF('TL01'!C:C,C252,'TL01'!J:J),
SUMIF('TL02'!C:C,C252,'TL02'!J:J),
SUMIF('TL03'!C:C,C252,'TL03'!J:J),
SUMIF('TL04'!C:C,C252,'TL04'!J:J),
SUMIF('TL05'!C:C,C252,'TL05'!J:J),
SUMIF('TL06'!C:C,C252,'TL06'!J:J),
SUMIF('TL07'!C:C,C252,'TL07'!J:J),
SUMIF('TL08'!C:C,C252,'TL08'!J:J),
SUMIF('TL09'!C:C,C252,'TL09'!J:J),
SUMIF('TL10'!C:C,C252,'TL10'!J:J),
SUMIF('TL11'!C:C,C252,'TL11'!J:J),
SUMIF('TL12'!C:C,C252,'TL12'!J:J),
SUMIF('TL13'!C:C,C252,'TL13'!J:J),
SUMIF('TL14'!C:C,C252,'TL14'!J:J),
SUMIF('TL15'!C:C,C252,'TL15'!J:J),
SUMIF('TL16'!C:C,C252,'TL16'!J:J),
SUMIF('TL17'!C:C,C252,'TL17'!J:J),
SUMIF('TL18'!C:C,C252,'TL18'!J:J),SUMIF('TL19'!C:C,C252,'TL19'!J:J))
,0)</f>
        <v>0</v>
      </c>
      <c r="S252" s="17">
        <f>IFERROR(__xludf.DUMMYFUNCTION("IFERROR(VLOOKUP(C252,
IMPORTRANGE(""1wULbzX32WdYsx-lj2U3uUNBBe2INVIRDtcK0d-Dvl90"",
""26-27!C:G""),
5,
FALSE),
"""")"),60.913999999999994)</f>
        <v>60.914</v>
      </c>
      <c r="T252" s="9"/>
      <c r="U252" s="92">
        <f t="shared" si="2"/>
        <v>0</v>
      </c>
      <c r="V252" s="93">
        <f t="shared" si="3"/>
        <v>0</v>
      </c>
    </row>
    <row r="253" ht="15.75" hidden="1" customHeight="1">
      <c r="A253" s="119" t="s">
        <v>358</v>
      </c>
      <c r="B253" s="120" t="s">
        <v>9</v>
      </c>
      <c r="C253" s="119" t="s">
        <v>928</v>
      </c>
      <c r="D253" s="119" t="s">
        <v>929</v>
      </c>
      <c r="E253" s="119" t="s">
        <v>930</v>
      </c>
      <c r="F253" s="4" t="s">
        <v>343</v>
      </c>
      <c r="G253" s="9"/>
      <c r="H253" s="9" t="str">
        <f>IFERROR(__xludf.DUMMYFUNCTION("IFERROR(VLOOKUP(C253,
IMPORTRANGE(""1wULbzX32WdYsx-lj2U3uUNBBe2INVIRDtcK0d-Dvl90"",
""26-27!C:K""),
8,
FALSE),
"""")"),"")</f>
        <v/>
      </c>
      <c r="I253" s="121" t="s">
        <v>344</v>
      </c>
      <c r="J253" s="9">
        <f>IFERROR(SUM(
IF('TL01'!$B$3=J$3,SUMIF('TL01'!$C$10:$C$224,$C253,'TL01'!$J$10:$J$224),0),
IF('TL01'!$B$229=J$3,SUMIF('TL01'!$C$238:$C$451,$C253,'TL01'!$J$238:$J$451),0),
IF('TL02'!$B$3=J$3,SUMIF('TL02'!$C$10:$C$224,$C253,'TL02'!$J$10:$J$224),0),
IF('TL02'!$B$229=J$3,SUMIF('TL02'!$C$238:$C$451,$C253,'TL02'!$J$238:$J$451),0),
IF('TL03'!$B$3=J$3,SUMIF('TL03'!$C$10:$C$224,$C253,'TL03'!$J$10:$J$224),0),
IF('TL03'!$B$229=J$3,SUMIF('TL03'!$C$238:$C$451,$C253,'TL03'!$J$238:$J$451),0),
IF('TL04'!$B$3=J$3,SUMIF('TL04'!$C$10:$C$224,$C253,'TL04'!$J$10:$J$224),0),
IF('TL04'!$B$229=J$3,SUMIF('TL04'!$C$238:$C$451,$C253,'TL04'!$J$238:$J$451),0),
IF('TL05'!$B$3=J$3,SUMIF('TL05'!$C$10:$C$224,$C253,'TL05'!$J$10:$J$224),0),
IF('TL05'!$B$229=J$3,SUMIF('TL05'!$C$238:$C$451,$C253,'TL05'!$J$238:$J$451),0),
IF('TL06'!$B$3=J$3,SUMIF('TL06'!$C$10:$C$224,$C253,'TL06'!$J$10:$J$224),0),
IF('TL06'!$B$229=J$3,SUMIF('TL06'!$C$238:$C$451,$C253,'TL06'!$J$238:$J$451),0),
IF('TL07'!$B$3=J$3,SUMIF('TL07'!$C$10:$C$224,$C253,'TL07'!$J$10:$J$224),0),
IF('TL07'!$B$229=J$3,SUMIF('TL07'!$C$238:$C$451,$C253,'TL07'!$J$238:$J$451),0),
IF('TL08'!$B$3=J$3,SUMIF('TL08'!$C$10:$C$224,$C253,'TL08'!$J$10:$J$224),0),
IF('TL08'!$B$229=J$3,SUMIF('TL08'!$C$238:$C$451,$C253,'TL08'!$J$238:$J$451),0),
IF('TL09'!$B$3=J$3,SUMIF('TL09'!$C$10:$C$224,$C253,'TL09'!$J$10:$J$224),0),
IF('TL09'!$B$229=J$3,SUMIF('TL09'!$C$238:$C$451,$C253,'TL09'!$J$238:$J$451),0),
IF('TL10'!$B$3=J$3,SUMIF('TL10'!$C$10:$C$224,$C253,'TL10'!$J$10:$J$224),0),
IF('TL10'!$B$229=J$3,SUMIF('TL10'!$C$238:$C$451,$C253,'TL10'!$J$238:$J$451),0),
IF('TL11'!$B$3=J$3,SUMIF('TL11'!$C$10:$C$224,$C253,'TL11'!$J$10:$J$224),0),
IF('TL11'!$B$229=J$3,SUMIF('TL11'!$C$238:$C$451,$C253,'TL11'!$J$238:$J$451),0),
IF('TL12'!$B$3=J$3,SUMIF('TL12'!$C$10:$C$224,$C253,'TL12'!$J$10:$J$224),0),
IF('TL12'!$B$229=J$3,SUMIF('TL12'!$C$238:$C$451,$C253,'TL12'!$J$238:$J$451),0),
IF('TL13'!$B$3=J$3,SUMIF('TL13'!$C$10:$C$224,$C253,'TL13'!$J$10:$J$224),0),
IF('TL13'!$B$229=J$3,SUMIF('TL13'!$C$238:$C$451,$C253,'TL13'!$J$238:$J$451),0),
IF('TL14'!$B$3=J$3,SUMIF('TL14'!$C$10:$C$224,$C253,'TL14'!$J$10:$J$224),0),
IF('TL14'!$B$229=J$3,SUMIF('TL14'!$C$238:$C$451,$C253,'TL14'!$J$238:$J$451),0),
IF('TL15'!$B$3=J$3,SUMIF('TL15'!$C$10:$C$224,$C253,'TL15'!$J$10:$J$224),0),
IF('TL15'!$B$229=J$3,SUMIF('TL15'!$C$238:$C$451,$C253,'TL15'!$J$238:$J$451),0),
IF('TL16'!$B$3=J$3,SUMIF('TL16'!$C$10:$C$224,$C253,'TL16'!$J$10:$J$224),0),
IF('TL16'!$B$229=J$3,SUMIF('TL16'!$C$238:$C$451,$C253,'TL16'!$J$238:$J$451),0),
IF('TL17'!$B$3=J$3,SUMIF('TL17'!$C$10:$C$224,$C253,'TL17'!$J$10:$J$224),0),
IF('TL17'!$B$229=J$3,SUMIF('TL17'!$C$238:$C$451,$C253,'TL17'!$J$238:$J$451),0),
IF('TL18'!$B$3=J$3,SUMIF('TL18'!$C$10:$C$224,$C253,'TL18'!$J$10:$J$224),0),
IF('TL18'!$B$229=J$3,SUMIF('TL18'!$C$238:$C$451,$C253,'TL18'!$J$238:$J$451),0),
IF('TL19'!$B$3=J$3,SUMIF('TL19'!$C$10:$C$224,$C253,'TL19'!$J$10:$J$224),0),
IF('TL19'!$B$229=J$3,SUMIF('TL19'!$C$238:$C$451,$C253,'TL19'!$J$238:$J$451),0)
),0)</f>
        <v>0</v>
      </c>
      <c r="K253" s="9">
        <f>IFERROR(SUM(
IF('TL01'!$B$3=K$3,SUMIF('TL01'!$C$10:$C$224,$C253,'TL01'!$J$10:$J$224),0),
IF('TL01'!$B$229=K$3,SUMIF('TL01'!$C$238:$C$451,$C253,'TL01'!$J$238:$J$451),0),
IF('TL02'!$B$3=K$3,SUMIF('TL02'!$C$10:$C$224,$C253,'TL02'!$J$10:$J$224),0),
IF('TL02'!$B$229=K$3,SUMIF('TL02'!$C$238:$C$451,$C253,'TL02'!$J$238:$J$451),0),
IF('TL03'!$B$3=K$3,SUMIF('TL03'!$C$10:$C$224,$C253,'TL03'!$J$10:$J$224),0),
IF('TL03'!$B$229=K$3,SUMIF('TL03'!$C$238:$C$451,$C253,'TL03'!$J$238:$J$451),0),
IF('TL04'!$B$3=K$3,SUMIF('TL04'!$C$10:$C$224,$C253,'TL04'!$J$10:$J$224),0),
IF('TL04'!$B$229=K$3,SUMIF('TL04'!$C$238:$C$451,$C253,'TL04'!$J$238:$J$451),0),
IF('TL05'!$B$3=K$3,SUMIF('TL05'!$C$10:$C$224,$C253,'TL05'!$J$10:$J$224),0),
IF('TL05'!$B$229=K$3,SUMIF('TL05'!$C$238:$C$451,$C253,'TL05'!$J$238:$J$451),0),
IF('TL06'!$B$3=K$3,SUMIF('TL06'!$C$10:$C$224,$C253,'TL06'!$J$10:$J$224),0),
IF('TL06'!$B$229=K$3,SUMIF('TL06'!$C$238:$C$451,$C253,'TL06'!$J$238:$J$451),0),
IF('TL07'!$B$3=K$3,SUMIF('TL07'!$C$10:$C$224,$C253,'TL07'!$J$10:$J$224),0),
IF('TL07'!$B$229=K$3,SUMIF('TL07'!$C$238:$C$451,$C253,'TL07'!$J$238:$J$451),0),
IF('TL08'!$B$3=K$3,SUMIF('TL08'!$C$10:$C$224,$C253,'TL08'!$J$10:$J$224),0),
IF('TL08'!$B$229=K$3,SUMIF('TL08'!$C$238:$C$451,$C253,'TL08'!$J$238:$J$451),0),
IF('TL09'!$B$3=K$3,SUMIF('TL09'!$C$10:$C$224,$C253,'TL09'!$J$10:$J$224),0),
IF('TL09'!$B$229=K$3,SUMIF('TL09'!$C$238:$C$451,$C253,'TL09'!$J$238:$J$451),0),
IF('TL10'!$B$3=K$3,SUMIF('TL10'!$C$10:$C$224,$C253,'TL10'!$J$10:$J$224),0),
IF('TL10'!$B$229=K$3,SUMIF('TL10'!$C$238:$C$451,$C253,'TL10'!$J$238:$J$451),0),
IF('TL11'!$B$3=K$3,SUMIF('TL11'!$C$10:$C$224,$C253,'TL11'!$J$10:$J$224),0),
IF('TL11'!$B$229=K$3,SUMIF('TL11'!$C$238:$C$451,$C253,'TL11'!$J$238:$J$451),0),
IF('TL12'!$B$3=K$3,SUMIF('TL12'!$C$10:$C$224,$C253,'TL12'!$J$10:$J$224),0),
IF('TL12'!$B$229=K$3,SUMIF('TL12'!$C$238:$C$451,$C253,'TL12'!$J$238:$J$451),0),
IF('TL13'!$B$3=K$3,SUMIF('TL13'!$C$10:$C$224,$C253,'TL13'!$J$10:$J$224),0),
IF('TL13'!$B$229=K$3,SUMIF('TL13'!$C$238:$C$451,$C253,'TL13'!$J$238:$J$451),0),
IF('TL14'!$B$3=K$3,SUMIF('TL14'!$C$10:$C$224,$C253,'TL14'!$J$10:$J$224),0),
IF('TL14'!$B$229=K$3,SUMIF('TL14'!$C$238:$C$451,$C253,'TL14'!$J$238:$J$451),0),
IF('TL15'!$B$3=K$3,SUMIF('TL15'!$C$10:$C$224,$C253,'TL15'!$J$10:$J$224),0),
IF('TL15'!$B$229=K$3,SUMIF('TL15'!$C$238:$C$451,$C253,'TL15'!$J$238:$J$451),0),
IF('TL16'!$B$3=K$3,SUMIF('TL16'!$C$10:$C$224,$C253,'TL16'!$J$10:$J$224),0),
IF('TL16'!$B$229=K$3,SUMIF('TL16'!$C$238:$C$451,$C253,'TL16'!$J$238:$J$451),0),
IF('TL17'!$B$3=K$3,SUMIF('TL17'!$C$10:$C$224,$C253,'TL17'!$J$10:$J$224),0),
IF('TL17'!$B$229=K$3,SUMIF('TL17'!$C$238:$C$451,$C253,'TL17'!$J$238:$J$451),0),
IF('TL18'!$B$3=K$3,SUMIF('TL18'!$C$10:$C$224,$C253,'TL18'!$J$10:$J$224),0),
IF('TL18'!$B$229=K$3,SUMIF('TL18'!$C$238:$C$451,$C253,'TL18'!$J$238:$J$451),0),
IF('TL19'!$B$3=K$3,SUMIF('TL19'!$C$10:$C$224,$C253,'TL19'!$J$10:$J$224),0),
IF('TL19'!$B$229=K$3,SUMIF('TL19'!$C$238:$C$451,$C253,'TL19'!$J$238:$J$451),0)
),0)</f>
        <v>0</v>
      </c>
      <c r="L253" s="9">
        <f>IFERROR(SUM(
IF('TL01'!$B$3=L$3,SUMIF('TL01'!$C$10:$C$224,$C253,'TL01'!$J$10:$J$224),0),
IF('TL01'!$B$229=L$3,SUMIF('TL01'!$C$238:$C$451,$C253,'TL01'!$J$238:$J$451),0),
IF('TL02'!$B$3=L$3,SUMIF('TL02'!$C$10:$C$224,$C253,'TL02'!$J$10:$J$224),0),
IF('TL02'!$B$229=L$3,SUMIF('TL02'!$C$238:$C$451,$C253,'TL02'!$J$238:$J$451),0),
IF('TL03'!$B$3=L$3,SUMIF('TL03'!$C$10:$C$224,$C253,'TL03'!$J$10:$J$224),0),
IF('TL03'!$B$229=L$3,SUMIF('TL03'!$C$238:$C$451,$C253,'TL03'!$J$238:$J$451),0),
IF('TL04'!$B$3=L$3,SUMIF('TL04'!$C$10:$C$224,$C253,'TL04'!$J$10:$J$224),0),
IF('TL04'!$B$229=L$3,SUMIF('TL04'!$C$238:$C$451,$C253,'TL04'!$J$238:$J$451),0),
IF('TL05'!$B$3=L$3,SUMIF('TL05'!$C$10:$C$224,$C253,'TL05'!$J$10:$J$224),0),
IF('TL05'!$B$229=L$3,SUMIF('TL05'!$C$238:$C$451,$C253,'TL05'!$J$238:$J$451),0),
IF('TL06'!$B$3=L$3,SUMIF('TL06'!$C$10:$C$224,$C253,'TL06'!$J$10:$J$224),0),
IF('TL06'!$B$229=L$3,SUMIF('TL06'!$C$238:$C$451,$C253,'TL06'!$J$238:$J$451),0),
IF('TL07'!$B$3=L$3,SUMIF('TL07'!$C$10:$C$224,$C253,'TL07'!$J$10:$J$224),0),
IF('TL07'!$B$229=L$3,SUMIF('TL07'!$C$238:$C$451,$C253,'TL07'!$J$238:$J$451),0),
IF('TL08'!$B$3=L$3,SUMIF('TL08'!$C$10:$C$224,$C253,'TL08'!$J$10:$J$224),0),
IF('TL08'!$B$229=L$3,SUMIF('TL08'!$C$238:$C$451,$C253,'TL08'!$J$238:$J$451),0),
IF('TL09'!$B$3=L$3,SUMIF('TL09'!$C$10:$C$224,$C253,'TL09'!$J$10:$J$224),0),
IF('TL09'!$B$229=L$3,SUMIF('TL09'!$C$238:$C$451,$C253,'TL09'!$J$238:$J$451),0),
IF('TL10'!$B$3=L$3,SUMIF('TL10'!$C$10:$C$224,$C253,'TL10'!$J$10:$J$224),0),
IF('TL10'!$B$229=L$3,SUMIF('TL10'!$C$238:$C$451,$C253,'TL10'!$J$238:$J$451),0),
IF('TL11'!$B$3=L$3,SUMIF('TL11'!$C$10:$C$224,$C253,'TL11'!$J$10:$J$224),0),
IF('TL11'!$B$229=L$3,SUMIF('TL11'!$C$238:$C$451,$C253,'TL11'!$J$238:$J$451),0),
IF('TL12'!$B$3=L$3,SUMIF('TL12'!$C$10:$C$224,$C253,'TL12'!$J$10:$J$224),0),
IF('TL12'!$B$229=L$3,SUMIF('TL12'!$C$238:$C$451,$C253,'TL12'!$J$238:$J$451),0),
IF('TL13'!$B$3=L$3,SUMIF('TL13'!$C$10:$C$224,$C253,'TL13'!$J$10:$J$224),0),
IF('TL13'!$B$229=L$3,SUMIF('TL13'!$C$238:$C$451,$C253,'TL13'!$J$238:$J$451),0),
IF('TL14'!$B$3=L$3,SUMIF('TL14'!$C$10:$C$224,$C253,'TL14'!$J$10:$J$224),0),
IF('TL14'!$B$229=L$3,SUMIF('TL14'!$C$238:$C$451,$C253,'TL14'!$J$238:$J$451),0),
IF('TL15'!$B$3=L$3,SUMIF('TL15'!$C$10:$C$224,$C253,'TL15'!$J$10:$J$224),0),
IF('TL15'!$B$229=L$3,SUMIF('TL15'!$C$238:$C$451,$C253,'TL15'!$J$238:$J$451),0),
IF('TL16'!$B$3=L$3,SUMIF('TL16'!$C$10:$C$224,$C253,'TL16'!$J$10:$J$224),0),
IF('TL16'!$B$229=L$3,SUMIF('TL16'!$C$238:$C$451,$C253,'TL16'!$J$238:$J$451),0),
IF('TL17'!$B$3=L$3,SUMIF('TL17'!$C$10:$C$224,$C253,'TL17'!$J$10:$J$224),0),
IF('TL17'!$B$229=L$3,SUMIF('TL17'!$C$238:$C$451,$C253,'TL17'!$J$238:$J$451),0),
IF('TL18'!$B$3=L$3,SUMIF('TL18'!$C$10:$C$224,$C253,'TL18'!$J$10:$J$224),0),
IF('TL18'!$B$229=L$3,SUMIF('TL18'!$C$238:$C$451,$C253,'TL18'!$J$238:$J$451),0),
IF('TL19'!$B$3=L$3,SUMIF('TL19'!$C$10:$C$224,$C253,'TL19'!$J$10:$J$224),0),
IF('TL19'!$B$229=L$3,SUMIF('TL19'!$C$238:$C$451,$C253,'TL19'!$J$238:$J$451),0)
),0)</f>
        <v>0</v>
      </c>
      <c r="M253" s="9">
        <f>IFERROR(SUM(
IF('TL01'!$B$3=M$3,SUMIF('TL01'!$C$10:$C$224,$C253,'TL01'!$J$10:$J$224),0),
IF('TL01'!$B$229=M$3,SUMIF('TL01'!$C$238:$C$451,$C253,'TL01'!$J$238:$J$451),0),
IF('TL02'!$B$3=M$3,SUMIF('TL02'!$C$10:$C$224,$C253,'TL02'!$J$10:$J$224),0),
IF('TL02'!$B$229=M$3,SUMIF('TL02'!$C$238:$C$451,$C253,'TL02'!$J$238:$J$451),0),
IF('TL03'!$B$3=M$3,SUMIF('TL03'!$C$10:$C$224,$C253,'TL03'!$J$10:$J$224),0),
IF('TL03'!$B$229=M$3,SUMIF('TL03'!$C$238:$C$451,$C253,'TL03'!$J$238:$J$451),0),
IF('TL04'!$B$3=M$3,SUMIF('TL04'!$C$10:$C$224,$C253,'TL04'!$J$10:$J$224),0),
IF('TL04'!$B$229=M$3,SUMIF('TL04'!$C$238:$C$451,$C253,'TL04'!$J$238:$J$451),0),
IF('TL05'!$B$3=M$3,SUMIF('TL05'!$C$10:$C$224,$C253,'TL05'!$J$10:$J$224),0),
IF('TL05'!$B$229=M$3,SUMIF('TL05'!$C$238:$C$451,$C253,'TL05'!$J$238:$J$451),0),
IF('TL06'!$B$3=M$3,SUMIF('TL06'!$C$10:$C$224,$C253,'TL06'!$J$10:$J$224),0),
IF('TL06'!$B$229=M$3,SUMIF('TL06'!$C$238:$C$451,$C253,'TL06'!$J$238:$J$451),0),
IF('TL07'!$B$3=M$3,SUMIF('TL07'!$C$10:$C$224,$C253,'TL07'!$J$10:$J$224),0),
IF('TL07'!$B$229=M$3,SUMIF('TL07'!$C$238:$C$451,$C253,'TL07'!$J$238:$J$451),0),
IF('TL08'!$B$3=M$3,SUMIF('TL08'!$C$10:$C$224,$C253,'TL08'!$J$10:$J$224),0),
IF('TL08'!$B$229=M$3,SUMIF('TL08'!$C$238:$C$451,$C253,'TL08'!$J$238:$J$451),0),
IF('TL09'!$B$3=M$3,SUMIF('TL09'!$C$10:$C$224,$C253,'TL09'!$J$10:$J$224),0),
IF('TL09'!$B$229=M$3,SUMIF('TL09'!$C$238:$C$451,$C253,'TL09'!$J$238:$J$451),0),
IF('TL10'!$B$3=M$3,SUMIF('TL10'!$C$10:$C$224,$C253,'TL10'!$J$10:$J$224),0),
IF('TL10'!$B$229=M$3,SUMIF('TL10'!$C$238:$C$451,$C253,'TL10'!$J$238:$J$451),0),
IF('TL11'!$B$3=M$3,SUMIF('TL11'!$C$10:$C$224,$C253,'TL11'!$J$10:$J$224),0),
IF('TL11'!$B$229=M$3,SUMIF('TL11'!$C$238:$C$451,$C253,'TL11'!$J$238:$J$451),0),
IF('TL12'!$B$3=M$3,SUMIF('TL12'!$C$10:$C$224,$C253,'TL12'!$J$10:$J$224),0),
IF('TL12'!$B$229=M$3,SUMIF('TL12'!$C$238:$C$451,$C253,'TL12'!$J$238:$J$451),0),
IF('TL13'!$B$3=M$3,SUMIF('TL13'!$C$10:$C$224,$C253,'TL13'!$J$10:$J$224),0),
IF('TL13'!$B$229=M$3,SUMIF('TL13'!$C$238:$C$451,$C253,'TL13'!$J$238:$J$451),0),
IF('TL14'!$B$3=M$3,SUMIF('TL14'!$C$10:$C$224,$C253,'TL14'!$J$10:$J$224),0),
IF('TL14'!$B$229=M$3,SUMIF('TL14'!$C$238:$C$451,$C253,'TL14'!$J$238:$J$451),0),
IF('TL15'!$B$3=M$3,SUMIF('TL15'!$C$10:$C$224,$C253,'TL15'!$J$10:$J$224),0),
IF('TL15'!$B$229=M$3,SUMIF('TL15'!$C$238:$C$451,$C253,'TL15'!$J$238:$J$451),0),
IF('TL16'!$B$3=M$3,SUMIF('TL16'!$C$10:$C$224,$C253,'TL16'!$J$10:$J$224),0),
IF('TL16'!$B$229=M$3,SUMIF('TL16'!$C$238:$C$451,$C253,'TL16'!$J$238:$J$451),0),
IF('TL17'!$B$3=M$3,SUMIF('TL17'!$C$10:$C$224,$C253,'TL17'!$J$10:$J$224),0),
IF('TL17'!$B$229=M$3,SUMIF('TL17'!$C$238:$C$451,$C253,'TL17'!$J$238:$J$451),0),
IF('TL18'!$B$3=M$3,SUMIF('TL18'!$C$10:$C$224,$C253,'TL18'!$J$10:$J$224),0),
IF('TL18'!$B$229=M$3,SUMIF('TL18'!$C$238:$C$451,$C253,'TL18'!$J$238:$J$451),0),
IF('TL19'!$B$3=M$3,SUMIF('TL19'!$C$10:$C$224,$C253,'TL19'!$J$10:$J$224),0),
IF('TL19'!$B$229=M$3,SUMIF('TL19'!$C$238:$C$451,$C253,'TL19'!$J$238:$J$451),0)
),0)</f>
        <v>0</v>
      </c>
      <c r="N253" s="9">
        <f>IFERROR(SUM(
IF('TL01'!$B$3=N$3,SUMIF('TL01'!$C$10:$C$224,$C253,'TL01'!$J$10:$J$224),0),
IF('TL01'!$B$229=N$3,SUMIF('TL01'!$C$238:$C$451,$C253,'TL01'!$J$238:$J$451),0),
IF('TL02'!$B$3=N$3,SUMIF('TL02'!$C$10:$C$224,$C253,'TL02'!$J$10:$J$224),0),
IF('TL02'!$B$229=N$3,SUMIF('TL02'!$C$238:$C$451,$C253,'TL02'!$J$238:$J$451),0),
IF('TL03'!$B$3=N$3,SUMIF('TL03'!$C$10:$C$224,$C253,'TL03'!$J$10:$J$224),0),
IF('TL03'!$B$229=N$3,SUMIF('TL03'!$C$238:$C$451,$C253,'TL03'!$J$238:$J$451),0),
IF('TL04'!$B$3=N$3,SUMIF('TL04'!$C$10:$C$224,$C253,'TL04'!$J$10:$J$224),0),
IF('TL04'!$B$229=N$3,SUMIF('TL04'!$C$238:$C$451,$C253,'TL04'!$J$238:$J$451),0),
IF('TL05'!$B$3=N$3,SUMIF('TL05'!$C$10:$C$224,$C253,'TL05'!$J$10:$J$224),0),
IF('TL05'!$B$229=N$3,SUMIF('TL05'!$C$238:$C$451,$C253,'TL05'!$J$238:$J$451),0),
IF('TL06'!$B$3=N$3,SUMIF('TL06'!$C$10:$C$224,$C253,'TL06'!$J$10:$J$224),0),
IF('TL06'!$B$229=N$3,SUMIF('TL06'!$C$238:$C$451,$C253,'TL06'!$J$238:$J$451),0),
IF('TL07'!$B$3=N$3,SUMIF('TL07'!$C$10:$C$224,$C253,'TL07'!$J$10:$J$224),0),
IF('TL07'!$B$229=N$3,SUMIF('TL07'!$C$238:$C$451,$C253,'TL07'!$J$238:$J$451),0),
IF('TL08'!$B$3=N$3,SUMIF('TL08'!$C$10:$C$224,$C253,'TL08'!$J$10:$J$224),0),
IF('TL08'!$B$229=N$3,SUMIF('TL08'!$C$238:$C$451,$C253,'TL08'!$J$238:$J$451),0),
IF('TL09'!$B$3=N$3,SUMIF('TL09'!$C$10:$C$224,$C253,'TL09'!$J$10:$J$224),0),
IF('TL09'!$B$229=N$3,SUMIF('TL09'!$C$238:$C$451,$C253,'TL09'!$J$238:$J$451),0),
IF('TL10'!$B$3=N$3,SUMIF('TL10'!$C$10:$C$224,$C253,'TL10'!$J$10:$J$224),0),
IF('TL10'!$B$229=N$3,SUMIF('TL10'!$C$238:$C$451,$C253,'TL10'!$J$238:$J$451),0),
IF('TL11'!$B$3=N$3,SUMIF('TL11'!$C$10:$C$224,$C253,'TL11'!$J$10:$J$224),0),
IF('TL11'!$B$229=N$3,SUMIF('TL11'!$C$238:$C$451,$C253,'TL11'!$J$238:$J$451),0),
IF('TL12'!$B$3=N$3,SUMIF('TL12'!$C$10:$C$224,$C253,'TL12'!$J$10:$J$224),0),
IF('TL12'!$B$229=N$3,SUMIF('TL12'!$C$238:$C$451,$C253,'TL12'!$J$238:$J$451),0),
IF('TL13'!$B$3=N$3,SUMIF('TL13'!$C$10:$C$224,$C253,'TL13'!$J$10:$J$224),0),
IF('TL13'!$B$229=N$3,SUMIF('TL13'!$C$238:$C$451,$C253,'TL13'!$J$238:$J$451),0),
IF('TL14'!$B$3=N$3,SUMIF('TL14'!$C$10:$C$224,$C253,'TL14'!$J$10:$J$224),0),
IF('TL14'!$B$229=N$3,SUMIF('TL14'!$C$238:$C$451,$C253,'TL14'!$J$238:$J$451),0),
IF('TL15'!$B$3=N$3,SUMIF('TL15'!$C$10:$C$224,$C253,'TL15'!$J$10:$J$224),0),
IF('TL15'!$B$229=N$3,SUMIF('TL15'!$C$238:$C$451,$C253,'TL15'!$J$238:$J$451),0),
IF('TL16'!$B$3=N$3,SUMIF('TL16'!$C$10:$C$224,$C253,'TL16'!$J$10:$J$224),0),
IF('TL16'!$B$229=N$3,SUMIF('TL16'!$C$238:$C$451,$C253,'TL16'!$J$238:$J$451),0),
IF('TL17'!$B$3=N$3,SUMIF('TL17'!$C$10:$C$224,$C253,'TL17'!$J$10:$J$224),0),
IF('TL17'!$B$229=N$3,SUMIF('TL17'!$C$238:$C$451,$C253,'TL17'!$J$238:$J$451),0),
IF('TL18'!$B$3=N$3,SUMIF('TL18'!$C$10:$C$224,$C253,'TL18'!$J$10:$J$224),0),
IF('TL18'!$B$229=N$3,SUMIF('TL18'!$C$238:$C$451,$C253,'TL18'!$J$238:$J$451),0),
IF('TL19'!$B$3=N$3,SUMIF('TL19'!$C$10:$C$224,$C253,'TL19'!$J$10:$J$224),0),
IF('TL19'!$B$229=N$3,SUMIF('TL19'!$C$238:$C$451,$C253,'TL19'!$J$238:$J$451),0)
),0)</f>
        <v>0</v>
      </c>
      <c r="O253" s="9">
        <f>IFERROR(SUM(
IF('TL01'!$B$3=O$3,SUMIF('TL01'!$C$10:$C$224,$C253,'TL01'!$J$10:$J$224),0),
IF('TL01'!$B$229=O$3,SUMIF('TL01'!$C$238:$C$451,$C253,'TL01'!$J$238:$J$451),0),
IF('TL02'!$B$3=O$3,SUMIF('TL02'!$C$10:$C$224,$C253,'TL02'!$J$10:$J$224),0),
IF('TL02'!$B$229=O$3,SUMIF('TL02'!$C$238:$C$451,$C253,'TL02'!$J$238:$J$451),0),
IF('TL03'!$B$3=O$3,SUMIF('TL03'!$C$10:$C$224,$C253,'TL03'!$J$10:$J$224),0),
IF('TL03'!$B$229=O$3,SUMIF('TL03'!$C$238:$C$451,$C253,'TL03'!$J$238:$J$451),0),
IF('TL04'!$B$3=O$3,SUMIF('TL04'!$C$10:$C$224,$C253,'TL04'!$J$10:$J$224),0),
IF('TL04'!$B$229=O$3,SUMIF('TL04'!$C$238:$C$451,$C253,'TL04'!$J$238:$J$451),0),
IF('TL05'!$B$3=O$3,SUMIF('TL05'!$C$10:$C$224,$C253,'TL05'!$J$10:$J$224),0),
IF('TL05'!$B$229=O$3,SUMIF('TL05'!$C$238:$C$451,$C253,'TL05'!$J$238:$J$451),0),
IF('TL06'!$B$3=O$3,SUMIF('TL06'!$C$10:$C$224,$C253,'TL06'!$J$10:$J$224),0),
IF('TL06'!$B$229=O$3,SUMIF('TL06'!$C$238:$C$451,$C253,'TL06'!$J$238:$J$451),0),
IF('TL07'!$B$3=O$3,SUMIF('TL07'!$C$10:$C$224,$C253,'TL07'!$J$10:$J$224),0),
IF('TL07'!$B$229=O$3,SUMIF('TL07'!$C$238:$C$451,$C253,'TL07'!$J$238:$J$451),0),
IF('TL08'!$B$3=O$3,SUMIF('TL08'!$C$10:$C$224,$C253,'TL08'!$J$10:$J$224),0),
IF('TL08'!$B$229=O$3,SUMIF('TL08'!$C$238:$C$451,$C253,'TL08'!$J$238:$J$451),0),
IF('TL09'!$B$3=O$3,SUMIF('TL09'!$C$10:$C$224,$C253,'TL09'!$J$10:$J$224),0),
IF('TL09'!$B$229=O$3,SUMIF('TL09'!$C$238:$C$451,$C253,'TL09'!$J$238:$J$451),0),
IF('TL10'!$B$3=O$3,SUMIF('TL10'!$C$10:$C$224,$C253,'TL10'!$J$10:$J$224),0),
IF('TL10'!$B$229=O$3,SUMIF('TL10'!$C$238:$C$451,$C253,'TL10'!$J$238:$J$451),0),
IF('TL11'!$B$3=O$3,SUMIF('TL11'!$C$10:$C$224,$C253,'TL11'!$J$10:$J$224),0),
IF('TL11'!$B$229=O$3,SUMIF('TL11'!$C$238:$C$451,$C253,'TL11'!$J$238:$J$451),0),
IF('TL12'!$B$3=O$3,SUMIF('TL12'!$C$10:$C$224,$C253,'TL12'!$J$10:$J$224),0),
IF('TL12'!$B$229=O$3,SUMIF('TL12'!$C$238:$C$451,$C253,'TL12'!$J$238:$J$451),0),
IF('TL13'!$B$3=O$3,SUMIF('TL13'!$C$10:$C$224,$C253,'TL13'!$J$10:$J$224),0),
IF('TL13'!$B$229=O$3,SUMIF('TL13'!$C$238:$C$451,$C253,'TL13'!$J$238:$J$451),0),
IF('TL14'!$B$3=O$3,SUMIF('TL14'!$C$10:$C$224,$C253,'TL14'!$J$10:$J$224),0),
IF('TL14'!$B$229=O$3,SUMIF('TL14'!$C$238:$C$451,$C253,'TL14'!$J$238:$J$451),0),
IF('TL15'!$B$3=O$3,SUMIF('TL15'!$C$10:$C$224,$C253,'TL15'!$J$10:$J$224),0),
IF('TL15'!$B$229=O$3,SUMIF('TL15'!$C$238:$C$451,$C253,'TL15'!$J$238:$J$451),0),
IF('TL16'!$B$3=O$3,SUMIF('TL16'!$C$10:$C$224,$C253,'TL16'!$J$10:$J$224),0),
IF('TL16'!$B$229=O$3,SUMIF('TL16'!$C$238:$C$451,$C253,'TL16'!$J$238:$J$451),0),
IF('TL17'!$B$3=O$3,SUMIF('TL17'!$C$10:$C$224,$C253,'TL17'!$J$10:$J$224),0),
IF('TL17'!$B$229=O$3,SUMIF('TL17'!$C$238:$C$451,$C253,'TL17'!$J$238:$J$451),0),
IF('TL18'!$B$3=O$3,SUMIF('TL18'!$C$10:$C$224,$C253,'TL18'!$J$10:$J$224),0),
IF('TL18'!$B$229=O$3,SUMIF('TL18'!$C$238:$C$451,$C253,'TL18'!$J$238:$J$451),0),
IF('TL19'!$B$3=O$3,SUMIF('TL19'!$C$10:$C$224,$C253,'TL19'!$J$10:$J$224),0),
IF('TL19'!$B$229=O$3,SUMIF('TL19'!$C$238:$C$451,$C253,'TL19'!$J$238:$J$451),0)
),0)</f>
        <v>0</v>
      </c>
      <c r="P253" s="9">
        <f>IFERROR(SUM(
IF('TL01'!$B$3=P$3,SUMIF('TL01'!$C$10:$C$224,$C253,'TL01'!$J$10:$J$224),0),
IF('TL01'!$B$229=P$3,SUMIF('TL01'!$C$238:$C$451,$C253,'TL01'!$J$238:$J$451),0),
IF('TL02'!$B$3=P$3,SUMIF('TL02'!$C$10:$C$224,$C253,'TL02'!$J$10:$J$224),0),
IF('TL02'!$B$229=P$3,SUMIF('TL02'!$C$238:$C$451,$C253,'TL02'!$J$238:$J$451),0),
IF('TL03'!$B$3=P$3,SUMIF('TL03'!$C$10:$C$224,$C253,'TL03'!$J$10:$J$224),0),
IF('TL03'!$B$229=P$3,SUMIF('TL03'!$C$238:$C$451,$C253,'TL03'!$J$238:$J$451),0),
IF('TL04'!$B$3=P$3,SUMIF('TL04'!$C$10:$C$224,$C253,'TL04'!$J$10:$J$224),0),
IF('TL04'!$B$229=P$3,SUMIF('TL04'!$C$238:$C$451,$C253,'TL04'!$J$238:$J$451),0),
IF('TL05'!$B$3=P$3,SUMIF('TL05'!$C$10:$C$224,$C253,'TL05'!$J$10:$J$224),0),
IF('TL05'!$B$229=P$3,SUMIF('TL05'!$C$238:$C$451,$C253,'TL05'!$J$238:$J$451),0),
IF('TL06'!$B$3=P$3,SUMIF('TL06'!$C$10:$C$224,$C253,'TL06'!$J$10:$J$224),0),
IF('TL06'!$B$229=P$3,SUMIF('TL06'!$C$238:$C$451,$C253,'TL06'!$J$238:$J$451),0),
IF('TL07'!$B$3=P$3,SUMIF('TL07'!$C$10:$C$224,$C253,'TL07'!$J$10:$J$224),0),
IF('TL07'!$B$229=P$3,SUMIF('TL07'!$C$238:$C$451,$C253,'TL07'!$J$238:$J$451),0),
IF('TL08'!$B$3=P$3,SUMIF('TL08'!$C$10:$C$224,$C253,'TL08'!$J$10:$J$224),0),
IF('TL08'!$B$229=P$3,SUMIF('TL08'!$C$238:$C$451,$C253,'TL08'!$J$238:$J$451),0),
IF('TL09'!$B$3=P$3,SUMIF('TL09'!$C$10:$C$224,$C253,'TL09'!$J$10:$J$224),0),
IF('TL09'!$B$229=P$3,SUMIF('TL09'!$C$238:$C$451,$C253,'TL09'!$J$238:$J$451),0),
IF('TL10'!$B$3=P$3,SUMIF('TL10'!$C$10:$C$224,$C253,'TL10'!$J$10:$J$224),0),
IF('TL10'!$B$229=P$3,SUMIF('TL10'!$C$238:$C$451,$C253,'TL10'!$J$238:$J$451),0),
IF('TL11'!$B$3=P$3,SUMIF('TL11'!$C$10:$C$224,$C253,'TL11'!$J$10:$J$224),0),
IF('TL11'!$B$229=P$3,SUMIF('TL11'!$C$238:$C$451,$C253,'TL11'!$J$238:$J$451),0),
IF('TL12'!$B$3=P$3,SUMIF('TL12'!$C$10:$C$224,$C253,'TL12'!$J$10:$J$224),0),
IF('TL12'!$B$229=P$3,SUMIF('TL12'!$C$238:$C$451,$C253,'TL12'!$J$238:$J$451),0),
IF('TL13'!$B$3=P$3,SUMIF('TL13'!$C$10:$C$224,$C253,'TL13'!$J$10:$J$224),0),
IF('TL13'!$B$229=P$3,SUMIF('TL13'!$C$238:$C$451,$C253,'TL13'!$J$238:$J$451),0),
IF('TL14'!$B$3=P$3,SUMIF('TL14'!$C$10:$C$224,$C253,'TL14'!$J$10:$J$224),0),
IF('TL14'!$B$229=P$3,SUMIF('TL14'!$C$238:$C$451,$C253,'TL14'!$J$238:$J$451),0),
IF('TL15'!$B$3=P$3,SUMIF('TL15'!$C$10:$C$224,$C253,'TL15'!$J$10:$J$224),0),
IF('TL15'!$B$229=P$3,SUMIF('TL15'!$C$238:$C$451,$C253,'TL15'!$J$238:$J$451),0),
IF('TL16'!$B$3=P$3,SUMIF('TL16'!$C$10:$C$224,$C253,'TL16'!$J$10:$J$224),0),
IF('TL16'!$B$229=P$3,SUMIF('TL16'!$C$238:$C$451,$C253,'TL16'!$J$238:$J$451),0),
IF('TL17'!$B$3=P$3,SUMIF('TL17'!$C$10:$C$224,$C253,'TL17'!$J$10:$J$224),0),
IF('TL17'!$B$229=P$3,SUMIF('TL17'!$C$238:$C$451,$C253,'TL17'!$J$238:$J$451),0),
IF('TL18'!$B$3=P$3,SUMIF('TL18'!$C$10:$C$224,$C253,'TL18'!$J$10:$J$224),0),
IF('TL18'!$B$229=P$3,SUMIF('TL18'!$C$238:$C$451,$C253,'TL18'!$J$238:$J$451),0),
IF('TL19'!$B$3=P$3,SUMIF('TL19'!$C$10:$C$224,$C253,'TL19'!$J$10:$J$224),0),
IF('TL19'!$B$229=P$3,SUMIF('TL19'!$C$238:$C$451,$C253,'TL19'!$J$238:$J$451),0)
),0)</f>
        <v>0</v>
      </c>
      <c r="Q253" s="9">
        <f>IFERROR(SUM(
IF('TL01'!$B$3=Q$3,SUMIF('TL01'!$C$10:$C$224,$C253,'TL01'!$J$10:$J$224),0),
IF('TL01'!$B$229=Q$3,SUMIF('TL01'!$C$238:$C$451,$C253,'TL01'!$J$238:$J$451),0),
IF('TL02'!$B$3=Q$3,SUMIF('TL02'!$C$10:$C$224,$C253,'TL02'!$J$10:$J$224),0),
IF('TL02'!$B$229=Q$3,SUMIF('TL02'!$C$238:$C$451,$C253,'TL02'!$J$238:$J$451),0),
IF('TL03'!$B$3=Q$3,SUMIF('TL03'!$C$10:$C$224,$C253,'TL03'!$J$10:$J$224),0),
IF('TL03'!$B$229=Q$3,SUMIF('TL03'!$C$238:$C$451,$C253,'TL03'!$J$238:$J$451),0),
IF('TL04'!$B$3=Q$3,SUMIF('TL04'!$C$10:$C$224,$C253,'TL04'!$J$10:$J$224),0),
IF('TL04'!$B$229=Q$3,SUMIF('TL04'!$C$238:$C$451,$C253,'TL04'!$J$238:$J$451),0),
IF('TL05'!$B$3=Q$3,SUMIF('TL05'!$C$10:$C$224,$C253,'TL05'!$J$10:$J$224),0),
IF('TL05'!$B$229=Q$3,SUMIF('TL05'!$C$238:$C$451,$C253,'TL05'!$J$238:$J$451),0),
IF('TL06'!$B$3=Q$3,SUMIF('TL06'!$C$10:$C$224,$C253,'TL06'!$J$10:$J$224),0),
IF('TL06'!$B$229=Q$3,SUMIF('TL06'!$C$238:$C$451,$C253,'TL06'!$J$238:$J$451),0),
IF('TL07'!$B$3=Q$3,SUMIF('TL07'!$C$10:$C$224,$C253,'TL07'!$J$10:$J$224),0),
IF('TL07'!$B$229=Q$3,SUMIF('TL07'!$C$238:$C$451,$C253,'TL07'!$J$238:$J$451),0),
IF('TL08'!$B$3=Q$3,SUMIF('TL08'!$C$10:$C$224,$C253,'TL08'!$J$10:$J$224),0),
IF('TL08'!$B$229=Q$3,SUMIF('TL08'!$C$238:$C$451,$C253,'TL08'!$J$238:$J$451),0),
IF('TL09'!$B$3=Q$3,SUMIF('TL09'!$C$10:$C$224,$C253,'TL09'!$J$10:$J$224),0),
IF('TL09'!$B$229=Q$3,SUMIF('TL09'!$C$238:$C$451,$C253,'TL09'!$J$238:$J$451),0),
IF('TL10'!$B$3=Q$3,SUMIF('TL10'!$C$10:$C$224,$C253,'TL10'!$J$10:$J$224),0),
IF('TL10'!$B$229=Q$3,SUMIF('TL10'!$C$238:$C$451,$C253,'TL10'!$J$238:$J$451),0),
IF('TL11'!$B$3=Q$3,SUMIF('TL11'!$C$10:$C$224,$C253,'TL11'!$J$10:$J$224),0),
IF('TL11'!$B$229=Q$3,SUMIF('TL11'!$C$238:$C$451,$C253,'TL11'!$J$238:$J$451),0),
IF('TL12'!$B$3=Q$3,SUMIF('TL12'!$C$10:$C$224,$C253,'TL12'!$J$10:$J$224),0),
IF('TL12'!$B$229=Q$3,SUMIF('TL12'!$C$238:$C$451,$C253,'TL12'!$J$238:$J$451),0),
IF('TL13'!$B$3=Q$3,SUMIF('TL13'!$C$10:$C$224,$C253,'TL13'!$J$10:$J$224),0),
IF('TL13'!$B$229=Q$3,SUMIF('TL13'!$C$238:$C$451,$C253,'TL13'!$J$238:$J$451),0),
IF('TL14'!$B$3=Q$3,SUMIF('TL14'!$C$10:$C$224,$C253,'TL14'!$J$10:$J$224),0),
IF('TL14'!$B$229=Q$3,SUMIF('TL14'!$C$238:$C$451,$C253,'TL14'!$J$238:$J$451),0),
IF('TL15'!$B$3=Q$3,SUMIF('TL15'!$C$10:$C$224,$C253,'TL15'!$J$10:$J$224),0),
IF('TL15'!$B$229=Q$3,SUMIF('TL15'!$C$238:$C$451,$C253,'TL15'!$J$238:$J$451),0),
IF('TL16'!$B$3=Q$3,SUMIF('TL16'!$C$10:$C$224,$C253,'TL16'!$J$10:$J$224),0),
IF('TL16'!$B$229=Q$3,SUMIF('TL16'!$C$238:$C$451,$C253,'TL16'!$J$238:$J$451),0),
IF('TL17'!$B$3=Q$3,SUMIF('TL17'!$C$10:$C$224,$C253,'TL17'!$J$10:$J$224),0),
IF('TL17'!$B$229=Q$3,SUMIF('TL17'!$C$238:$C$451,$C253,'TL17'!$J$238:$J$451),0),
IF('TL18'!$B$3=Q$3,SUMIF('TL18'!$C$10:$C$224,$C253,'TL18'!$J$10:$J$224),0),
IF('TL18'!$B$229=Q$3,SUMIF('TL18'!$C$238:$C$451,$C253,'TL18'!$J$238:$J$451),0),
IF('TL19'!$B$3=Q$3,SUMIF('TL19'!$C$10:$C$224,$C253,'TL19'!$J$10:$J$224),0),
IF('TL19'!$B$229=Q$3,SUMIF('TL19'!$C$238:$C$451,$C253,'TL19'!$J$238:$J$451),0)
),0)</f>
        <v>0</v>
      </c>
      <c r="R253" s="9">
        <f>IFERROR(
SUM(
SUMIF('TL01'!C:C,C253,'TL01'!J:J),
SUMIF('TL02'!C:C,C253,'TL02'!J:J),
SUMIF('TL03'!C:C,C253,'TL03'!J:J),
SUMIF('TL04'!C:C,C253,'TL04'!J:J),
SUMIF('TL05'!C:C,C253,'TL05'!J:J),
SUMIF('TL06'!C:C,C253,'TL06'!J:J),
SUMIF('TL07'!C:C,C253,'TL07'!J:J),
SUMIF('TL08'!C:C,C253,'TL08'!J:J),
SUMIF('TL09'!C:C,C253,'TL09'!J:J),
SUMIF('TL10'!C:C,C253,'TL10'!J:J),
SUMIF('TL11'!C:C,C253,'TL11'!J:J),
SUMIF('TL12'!C:C,C253,'TL12'!J:J),
SUMIF('TL13'!C:C,C253,'TL13'!J:J),
SUMIF('TL14'!C:C,C253,'TL14'!J:J),
SUMIF('TL15'!C:C,C253,'TL15'!J:J),
SUMIF('TL16'!C:C,C253,'TL16'!J:J),
SUMIF('TL17'!C:C,C253,'TL17'!J:J),
SUMIF('TL18'!C:C,C253,'TL18'!J:J),SUMIF('TL19'!C:C,C253,'TL19'!J:J))
,0)</f>
        <v>0</v>
      </c>
      <c r="S253" s="17">
        <f>IFERROR(__xludf.DUMMYFUNCTION("IFERROR(VLOOKUP(C253,
IMPORTRANGE(""1wULbzX32WdYsx-lj2U3uUNBBe2INVIRDtcK0d-Dvl90"",
""26-27!C:G""),
5,
FALSE),
"""")"),38.304)</f>
        <v>38.304</v>
      </c>
      <c r="T253" s="9"/>
      <c r="U253" s="92">
        <f t="shared" si="2"/>
        <v>0</v>
      </c>
      <c r="V253" s="93">
        <f t="shared" si="3"/>
        <v>0</v>
      </c>
    </row>
    <row r="254" ht="15.75" hidden="1" customHeight="1">
      <c r="A254" s="4"/>
      <c r="B254" s="125" t="s">
        <v>9</v>
      </c>
      <c r="C254" s="4" t="s">
        <v>931</v>
      </c>
      <c r="D254" s="6"/>
      <c r="E254" s="9"/>
      <c r="F254" s="4" t="s">
        <v>392</v>
      </c>
      <c r="G254" s="9"/>
      <c r="H254" s="9">
        <v>2.0</v>
      </c>
      <c r="I254" s="1"/>
      <c r="J254" s="9">
        <f>IFERROR(SUM(
IF('TL01'!$B$3=J$3,SUMIF('TL01'!$C$10:$C$224,$C254,'TL01'!$J$10:$J$224),0),
IF('TL01'!$B$229=J$3,SUMIF('TL01'!$C$238:$C$451,$C254,'TL01'!$J$238:$J$451),0),
IF('TL02'!$B$3=J$3,SUMIF('TL02'!$C$10:$C$224,$C254,'TL02'!$J$10:$J$224),0),
IF('TL02'!$B$229=J$3,SUMIF('TL02'!$C$238:$C$451,$C254,'TL02'!$J$238:$J$451),0),
IF('TL03'!$B$3=J$3,SUMIF('TL03'!$C$10:$C$224,$C254,'TL03'!$J$10:$J$224),0),
IF('TL03'!$B$229=J$3,SUMIF('TL03'!$C$238:$C$451,$C254,'TL03'!$J$238:$J$451),0),
IF('TL04'!$B$3=J$3,SUMIF('TL04'!$C$10:$C$224,$C254,'TL04'!$J$10:$J$224),0),
IF('TL04'!$B$229=J$3,SUMIF('TL04'!$C$238:$C$451,$C254,'TL04'!$J$238:$J$451),0),
IF('TL05'!$B$3=J$3,SUMIF('TL05'!$C$10:$C$224,$C254,'TL05'!$J$10:$J$224),0),
IF('TL05'!$B$229=J$3,SUMIF('TL05'!$C$238:$C$451,$C254,'TL05'!$J$238:$J$451),0),
IF('TL06'!$B$3=J$3,SUMIF('TL06'!$C$10:$C$224,$C254,'TL06'!$J$10:$J$224),0),
IF('TL06'!$B$229=J$3,SUMIF('TL06'!$C$238:$C$451,$C254,'TL06'!$J$238:$J$451),0),
IF('TL07'!$B$3=J$3,SUMIF('TL07'!$C$10:$C$224,$C254,'TL07'!$J$10:$J$224),0),
IF('TL07'!$B$229=J$3,SUMIF('TL07'!$C$238:$C$451,$C254,'TL07'!$J$238:$J$451),0),
IF('TL08'!$B$3=J$3,SUMIF('TL08'!$C$10:$C$224,$C254,'TL08'!$J$10:$J$224),0),
IF('TL08'!$B$229=J$3,SUMIF('TL08'!$C$238:$C$451,$C254,'TL08'!$J$238:$J$451),0),
IF('TL09'!$B$3=J$3,SUMIF('TL09'!$C$10:$C$224,$C254,'TL09'!$J$10:$J$224),0),
IF('TL09'!$B$229=J$3,SUMIF('TL09'!$C$238:$C$451,$C254,'TL09'!$J$238:$J$451),0),
IF('TL10'!$B$3=J$3,SUMIF('TL10'!$C$10:$C$224,$C254,'TL10'!$J$10:$J$224),0),
IF('TL10'!$B$229=J$3,SUMIF('TL10'!$C$238:$C$451,$C254,'TL10'!$J$238:$J$451),0),
IF('TL11'!$B$3=J$3,SUMIF('TL11'!$C$10:$C$224,$C254,'TL11'!$J$10:$J$224),0),
IF('TL11'!$B$229=J$3,SUMIF('TL11'!$C$238:$C$451,$C254,'TL11'!$J$238:$J$451),0),
IF('TL12'!$B$3=J$3,SUMIF('TL12'!$C$10:$C$224,$C254,'TL12'!$J$10:$J$224),0),
IF('TL12'!$B$229=J$3,SUMIF('TL12'!$C$238:$C$451,$C254,'TL12'!$J$238:$J$451),0),
IF('TL13'!$B$3=J$3,SUMIF('TL13'!$C$10:$C$224,$C254,'TL13'!$J$10:$J$224),0),
IF('TL13'!$B$229=J$3,SUMIF('TL13'!$C$238:$C$451,$C254,'TL13'!$J$238:$J$451),0),
IF('TL14'!$B$3=J$3,SUMIF('TL14'!$C$10:$C$224,$C254,'TL14'!$J$10:$J$224),0),
IF('TL14'!$B$229=J$3,SUMIF('TL14'!$C$238:$C$451,$C254,'TL14'!$J$238:$J$451),0),
IF('TL15'!$B$3=J$3,SUMIF('TL15'!$C$10:$C$224,$C254,'TL15'!$J$10:$J$224),0),
IF('TL15'!$B$229=J$3,SUMIF('TL15'!$C$238:$C$451,$C254,'TL15'!$J$238:$J$451),0),
IF('TL16'!$B$3=J$3,SUMIF('TL16'!$C$10:$C$224,$C254,'TL16'!$J$10:$J$224),0),
IF('TL16'!$B$229=J$3,SUMIF('TL16'!$C$238:$C$451,$C254,'TL16'!$J$238:$J$451),0),
IF('TL17'!$B$3=J$3,SUMIF('TL17'!$C$10:$C$224,$C254,'TL17'!$J$10:$J$224),0),
IF('TL17'!$B$229=J$3,SUMIF('TL17'!$C$238:$C$451,$C254,'TL17'!$J$238:$J$451),0),
IF('TL18'!$B$3=J$3,SUMIF('TL18'!$C$10:$C$224,$C254,'TL18'!$J$10:$J$224),0),
IF('TL18'!$B$229=J$3,SUMIF('TL18'!$C$238:$C$451,$C254,'TL18'!$J$238:$J$451),0),
IF('TL19'!$B$3=J$3,SUMIF('TL19'!$C$10:$C$224,$C254,'TL19'!$J$10:$J$224),0),
IF('TL19'!$B$229=J$3,SUMIF('TL19'!$C$238:$C$451,$C254,'TL19'!$J$238:$J$451),0)
),0)</f>
        <v>0</v>
      </c>
      <c r="K254" s="9">
        <f>IFERROR(SUM(
IF('TL01'!$B$3=K$3,SUMIF('TL01'!$C$10:$C$224,$C254,'TL01'!$J$10:$J$224),0),
IF('TL01'!$B$229=K$3,SUMIF('TL01'!$C$238:$C$451,$C254,'TL01'!$J$238:$J$451),0),
IF('TL02'!$B$3=K$3,SUMIF('TL02'!$C$10:$C$224,$C254,'TL02'!$J$10:$J$224),0),
IF('TL02'!$B$229=K$3,SUMIF('TL02'!$C$238:$C$451,$C254,'TL02'!$J$238:$J$451),0),
IF('TL03'!$B$3=K$3,SUMIF('TL03'!$C$10:$C$224,$C254,'TL03'!$J$10:$J$224),0),
IF('TL03'!$B$229=K$3,SUMIF('TL03'!$C$238:$C$451,$C254,'TL03'!$J$238:$J$451),0),
IF('TL04'!$B$3=K$3,SUMIF('TL04'!$C$10:$C$224,$C254,'TL04'!$J$10:$J$224),0),
IF('TL04'!$B$229=K$3,SUMIF('TL04'!$C$238:$C$451,$C254,'TL04'!$J$238:$J$451),0),
IF('TL05'!$B$3=K$3,SUMIF('TL05'!$C$10:$C$224,$C254,'TL05'!$J$10:$J$224),0),
IF('TL05'!$B$229=K$3,SUMIF('TL05'!$C$238:$C$451,$C254,'TL05'!$J$238:$J$451),0),
IF('TL06'!$B$3=K$3,SUMIF('TL06'!$C$10:$C$224,$C254,'TL06'!$J$10:$J$224),0),
IF('TL06'!$B$229=K$3,SUMIF('TL06'!$C$238:$C$451,$C254,'TL06'!$J$238:$J$451),0),
IF('TL07'!$B$3=K$3,SUMIF('TL07'!$C$10:$C$224,$C254,'TL07'!$J$10:$J$224),0),
IF('TL07'!$B$229=K$3,SUMIF('TL07'!$C$238:$C$451,$C254,'TL07'!$J$238:$J$451),0),
IF('TL08'!$B$3=K$3,SUMIF('TL08'!$C$10:$C$224,$C254,'TL08'!$J$10:$J$224),0),
IF('TL08'!$B$229=K$3,SUMIF('TL08'!$C$238:$C$451,$C254,'TL08'!$J$238:$J$451),0),
IF('TL09'!$B$3=K$3,SUMIF('TL09'!$C$10:$C$224,$C254,'TL09'!$J$10:$J$224),0),
IF('TL09'!$B$229=K$3,SUMIF('TL09'!$C$238:$C$451,$C254,'TL09'!$J$238:$J$451),0),
IF('TL10'!$B$3=K$3,SUMIF('TL10'!$C$10:$C$224,$C254,'TL10'!$J$10:$J$224),0),
IF('TL10'!$B$229=K$3,SUMIF('TL10'!$C$238:$C$451,$C254,'TL10'!$J$238:$J$451),0),
IF('TL11'!$B$3=K$3,SUMIF('TL11'!$C$10:$C$224,$C254,'TL11'!$J$10:$J$224),0),
IF('TL11'!$B$229=K$3,SUMIF('TL11'!$C$238:$C$451,$C254,'TL11'!$J$238:$J$451),0),
IF('TL12'!$B$3=K$3,SUMIF('TL12'!$C$10:$C$224,$C254,'TL12'!$J$10:$J$224),0),
IF('TL12'!$B$229=K$3,SUMIF('TL12'!$C$238:$C$451,$C254,'TL12'!$J$238:$J$451),0),
IF('TL13'!$B$3=K$3,SUMIF('TL13'!$C$10:$C$224,$C254,'TL13'!$J$10:$J$224),0),
IF('TL13'!$B$229=K$3,SUMIF('TL13'!$C$238:$C$451,$C254,'TL13'!$J$238:$J$451),0),
IF('TL14'!$B$3=K$3,SUMIF('TL14'!$C$10:$C$224,$C254,'TL14'!$J$10:$J$224),0),
IF('TL14'!$B$229=K$3,SUMIF('TL14'!$C$238:$C$451,$C254,'TL14'!$J$238:$J$451),0),
IF('TL15'!$B$3=K$3,SUMIF('TL15'!$C$10:$C$224,$C254,'TL15'!$J$10:$J$224),0),
IF('TL15'!$B$229=K$3,SUMIF('TL15'!$C$238:$C$451,$C254,'TL15'!$J$238:$J$451),0),
IF('TL16'!$B$3=K$3,SUMIF('TL16'!$C$10:$C$224,$C254,'TL16'!$J$10:$J$224),0),
IF('TL16'!$B$229=K$3,SUMIF('TL16'!$C$238:$C$451,$C254,'TL16'!$J$238:$J$451),0),
IF('TL17'!$B$3=K$3,SUMIF('TL17'!$C$10:$C$224,$C254,'TL17'!$J$10:$J$224),0),
IF('TL17'!$B$229=K$3,SUMIF('TL17'!$C$238:$C$451,$C254,'TL17'!$J$238:$J$451),0),
IF('TL18'!$B$3=K$3,SUMIF('TL18'!$C$10:$C$224,$C254,'TL18'!$J$10:$J$224),0),
IF('TL18'!$B$229=K$3,SUMIF('TL18'!$C$238:$C$451,$C254,'TL18'!$J$238:$J$451),0),
IF('TL19'!$B$3=K$3,SUMIF('TL19'!$C$10:$C$224,$C254,'TL19'!$J$10:$J$224),0),
IF('TL19'!$B$229=K$3,SUMIF('TL19'!$C$238:$C$451,$C254,'TL19'!$J$238:$J$451),0)
),0)</f>
        <v>0</v>
      </c>
      <c r="L254" s="9">
        <f>IFERROR(SUM(
IF('TL01'!$B$3=L$3,SUMIF('TL01'!$C$10:$C$224,$C254,'TL01'!$J$10:$J$224),0),
IF('TL01'!$B$229=L$3,SUMIF('TL01'!$C$238:$C$451,$C254,'TL01'!$J$238:$J$451),0),
IF('TL02'!$B$3=L$3,SUMIF('TL02'!$C$10:$C$224,$C254,'TL02'!$J$10:$J$224),0),
IF('TL02'!$B$229=L$3,SUMIF('TL02'!$C$238:$C$451,$C254,'TL02'!$J$238:$J$451),0),
IF('TL03'!$B$3=L$3,SUMIF('TL03'!$C$10:$C$224,$C254,'TL03'!$J$10:$J$224),0),
IF('TL03'!$B$229=L$3,SUMIF('TL03'!$C$238:$C$451,$C254,'TL03'!$J$238:$J$451),0),
IF('TL04'!$B$3=L$3,SUMIF('TL04'!$C$10:$C$224,$C254,'TL04'!$J$10:$J$224),0),
IF('TL04'!$B$229=L$3,SUMIF('TL04'!$C$238:$C$451,$C254,'TL04'!$J$238:$J$451),0),
IF('TL05'!$B$3=L$3,SUMIF('TL05'!$C$10:$C$224,$C254,'TL05'!$J$10:$J$224),0),
IF('TL05'!$B$229=L$3,SUMIF('TL05'!$C$238:$C$451,$C254,'TL05'!$J$238:$J$451),0),
IF('TL06'!$B$3=L$3,SUMIF('TL06'!$C$10:$C$224,$C254,'TL06'!$J$10:$J$224),0),
IF('TL06'!$B$229=L$3,SUMIF('TL06'!$C$238:$C$451,$C254,'TL06'!$J$238:$J$451),0),
IF('TL07'!$B$3=L$3,SUMIF('TL07'!$C$10:$C$224,$C254,'TL07'!$J$10:$J$224),0),
IF('TL07'!$B$229=L$3,SUMIF('TL07'!$C$238:$C$451,$C254,'TL07'!$J$238:$J$451),0),
IF('TL08'!$B$3=L$3,SUMIF('TL08'!$C$10:$C$224,$C254,'TL08'!$J$10:$J$224),0),
IF('TL08'!$B$229=L$3,SUMIF('TL08'!$C$238:$C$451,$C254,'TL08'!$J$238:$J$451),0),
IF('TL09'!$B$3=L$3,SUMIF('TL09'!$C$10:$C$224,$C254,'TL09'!$J$10:$J$224),0),
IF('TL09'!$B$229=L$3,SUMIF('TL09'!$C$238:$C$451,$C254,'TL09'!$J$238:$J$451),0),
IF('TL10'!$B$3=L$3,SUMIF('TL10'!$C$10:$C$224,$C254,'TL10'!$J$10:$J$224),0),
IF('TL10'!$B$229=L$3,SUMIF('TL10'!$C$238:$C$451,$C254,'TL10'!$J$238:$J$451),0),
IF('TL11'!$B$3=L$3,SUMIF('TL11'!$C$10:$C$224,$C254,'TL11'!$J$10:$J$224),0),
IF('TL11'!$B$229=L$3,SUMIF('TL11'!$C$238:$C$451,$C254,'TL11'!$J$238:$J$451),0),
IF('TL12'!$B$3=L$3,SUMIF('TL12'!$C$10:$C$224,$C254,'TL12'!$J$10:$J$224),0),
IF('TL12'!$B$229=L$3,SUMIF('TL12'!$C$238:$C$451,$C254,'TL12'!$J$238:$J$451),0),
IF('TL13'!$B$3=L$3,SUMIF('TL13'!$C$10:$C$224,$C254,'TL13'!$J$10:$J$224),0),
IF('TL13'!$B$229=L$3,SUMIF('TL13'!$C$238:$C$451,$C254,'TL13'!$J$238:$J$451),0),
IF('TL14'!$B$3=L$3,SUMIF('TL14'!$C$10:$C$224,$C254,'TL14'!$J$10:$J$224),0),
IF('TL14'!$B$229=L$3,SUMIF('TL14'!$C$238:$C$451,$C254,'TL14'!$J$238:$J$451),0),
IF('TL15'!$B$3=L$3,SUMIF('TL15'!$C$10:$C$224,$C254,'TL15'!$J$10:$J$224),0),
IF('TL15'!$B$229=L$3,SUMIF('TL15'!$C$238:$C$451,$C254,'TL15'!$J$238:$J$451),0),
IF('TL16'!$B$3=L$3,SUMIF('TL16'!$C$10:$C$224,$C254,'TL16'!$J$10:$J$224),0),
IF('TL16'!$B$229=L$3,SUMIF('TL16'!$C$238:$C$451,$C254,'TL16'!$J$238:$J$451),0),
IF('TL17'!$B$3=L$3,SUMIF('TL17'!$C$10:$C$224,$C254,'TL17'!$J$10:$J$224),0),
IF('TL17'!$B$229=L$3,SUMIF('TL17'!$C$238:$C$451,$C254,'TL17'!$J$238:$J$451),0),
IF('TL18'!$B$3=L$3,SUMIF('TL18'!$C$10:$C$224,$C254,'TL18'!$J$10:$J$224),0),
IF('TL18'!$B$229=L$3,SUMIF('TL18'!$C$238:$C$451,$C254,'TL18'!$J$238:$J$451),0),
IF('TL19'!$B$3=L$3,SUMIF('TL19'!$C$10:$C$224,$C254,'TL19'!$J$10:$J$224),0),
IF('TL19'!$B$229=L$3,SUMIF('TL19'!$C$238:$C$451,$C254,'TL19'!$J$238:$J$451),0)
),0)</f>
        <v>0</v>
      </c>
      <c r="M254" s="9">
        <f>IFERROR(SUM(
IF('TL01'!$B$3=M$3,SUMIF('TL01'!$C$10:$C$224,$C254,'TL01'!$J$10:$J$224),0),
IF('TL01'!$B$229=M$3,SUMIF('TL01'!$C$238:$C$451,$C254,'TL01'!$J$238:$J$451),0),
IF('TL02'!$B$3=M$3,SUMIF('TL02'!$C$10:$C$224,$C254,'TL02'!$J$10:$J$224),0),
IF('TL02'!$B$229=M$3,SUMIF('TL02'!$C$238:$C$451,$C254,'TL02'!$J$238:$J$451),0),
IF('TL03'!$B$3=M$3,SUMIF('TL03'!$C$10:$C$224,$C254,'TL03'!$J$10:$J$224),0),
IF('TL03'!$B$229=M$3,SUMIF('TL03'!$C$238:$C$451,$C254,'TL03'!$J$238:$J$451),0),
IF('TL04'!$B$3=M$3,SUMIF('TL04'!$C$10:$C$224,$C254,'TL04'!$J$10:$J$224),0),
IF('TL04'!$B$229=M$3,SUMIF('TL04'!$C$238:$C$451,$C254,'TL04'!$J$238:$J$451),0),
IF('TL05'!$B$3=M$3,SUMIF('TL05'!$C$10:$C$224,$C254,'TL05'!$J$10:$J$224),0),
IF('TL05'!$B$229=M$3,SUMIF('TL05'!$C$238:$C$451,$C254,'TL05'!$J$238:$J$451),0),
IF('TL06'!$B$3=M$3,SUMIF('TL06'!$C$10:$C$224,$C254,'TL06'!$J$10:$J$224),0),
IF('TL06'!$B$229=M$3,SUMIF('TL06'!$C$238:$C$451,$C254,'TL06'!$J$238:$J$451),0),
IF('TL07'!$B$3=M$3,SUMIF('TL07'!$C$10:$C$224,$C254,'TL07'!$J$10:$J$224),0),
IF('TL07'!$B$229=M$3,SUMIF('TL07'!$C$238:$C$451,$C254,'TL07'!$J$238:$J$451),0),
IF('TL08'!$B$3=M$3,SUMIF('TL08'!$C$10:$C$224,$C254,'TL08'!$J$10:$J$224),0),
IF('TL08'!$B$229=M$3,SUMIF('TL08'!$C$238:$C$451,$C254,'TL08'!$J$238:$J$451),0),
IF('TL09'!$B$3=M$3,SUMIF('TL09'!$C$10:$C$224,$C254,'TL09'!$J$10:$J$224),0),
IF('TL09'!$B$229=M$3,SUMIF('TL09'!$C$238:$C$451,$C254,'TL09'!$J$238:$J$451),0),
IF('TL10'!$B$3=M$3,SUMIF('TL10'!$C$10:$C$224,$C254,'TL10'!$J$10:$J$224),0),
IF('TL10'!$B$229=M$3,SUMIF('TL10'!$C$238:$C$451,$C254,'TL10'!$J$238:$J$451),0),
IF('TL11'!$B$3=M$3,SUMIF('TL11'!$C$10:$C$224,$C254,'TL11'!$J$10:$J$224),0),
IF('TL11'!$B$229=M$3,SUMIF('TL11'!$C$238:$C$451,$C254,'TL11'!$J$238:$J$451),0),
IF('TL12'!$B$3=M$3,SUMIF('TL12'!$C$10:$C$224,$C254,'TL12'!$J$10:$J$224),0),
IF('TL12'!$B$229=M$3,SUMIF('TL12'!$C$238:$C$451,$C254,'TL12'!$J$238:$J$451),0),
IF('TL13'!$B$3=M$3,SUMIF('TL13'!$C$10:$C$224,$C254,'TL13'!$J$10:$J$224),0),
IF('TL13'!$B$229=M$3,SUMIF('TL13'!$C$238:$C$451,$C254,'TL13'!$J$238:$J$451),0),
IF('TL14'!$B$3=M$3,SUMIF('TL14'!$C$10:$C$224,$C254,'TL14'!$J$10:$J$224),0),
IF('TL14'!$B$229=M$3,SUMIF('TL14'!$C$238:$C$451,$C254,'TL14'!$J$238:$J$451),0),
IF('TL15'!$B$3=M$3,SUMIF('TL15'!$C$10:$C$224,$C254,'TL15'!$J$10:$J$224),0),
IF('TL15'!$B$229=M$3,SUMIF('TL15'!$C$238:$C$451,$C254,'TL15'!$J$238:$J$451),0),
IF('TL16'!$B$3=M$3,SUMIF('TL16'!$C$10:$C$224,$C254,'TL16'!$J$10:$J$224),0),
IF('TL16'!$B$229=M$3,SUMIF('TL16'!$C$238:$C$451,$C254,'TL16'!$J$238:$J$451),0),
IF('TL17'!$B$3=M$3,SUMIF('TL17'!$C$10:$C$224,$C254,'TL17'!$J$10:$J$224),0),
IF('TL17'!$B$229=M$3,SUMIF('TL17'!$C$238:$C$451,$C254,'TL17'!$J$238:$J$451),0),
IF('TL18'!$B$3=M$3,SUMIF('TL18'!$C$10:$C$224,$C254,'TL18'!$J$10:$J$224),0),
IF('TL18'!$B$229=M$3,SUMIF('TL18'!$C$238:$C$451,$C254,'TL18'!$J$238:$J$451),0),
IF('TL19'!$B$3=M$3,SUMIF('TL19'!$C$10:$C$224,$C254,'TL19'!$J$10:$J$224),0),
IF('TL19'!$B$229=M$3,SUMIF('TL19'!$C$238:$C$451,$C254,'TL19'!$J$238:$J$451),0)
),0)</f>
        <v>0</v>
      </c>
      <c r="N254" s="9">
        <f>IFERROR(SUM(
IF('TL01'!$B$3=N$3,SUMIF('TL01'!$C$10:$C$224,$C254,'TL01'!$J$10:$J$224),0),
IF('TL01'!$B$229=N$3,SUMIF('TL01'!$C$238:$C$451,$C254,'TL01'!$J$238:$J$451),0),
IF('TL02'!$B$3=N$3,SUMIF('TL02'!$C$10:$C$224,$C254,'TL02'!$J$10:$J$224),0),
IF('TL02'!$B$229=N$3,SUMIF('TL02'!$C$238:$C$451,$C254,'TL02'!$J$238:$J$451),0),
IF('TL03'!$B$3=N$3,SUMIF('TL03'!$C$10:$C$224,$C254,'TL03'!$J$10:$J$224),0),
IF('TL03'!$B$229=N$3,SUMIF('TL03'!$C$238:$C$451,$C254,'TL03'!$J$238:$J$451),0),
IF('TL04'!$B$3=N$3,SUMIF('TL04'!$C$10:$C$224,$C254,'TL04'!$J$10:$J$224),0),
IF('TL04'!$B$229=N$3,SUMIF('TL04'!$C$238:$C$451,$C254,'TL04'!$J$238:$J$451),0),
IF('TL05'!$B$3=N$3,SUMIF('TL05'!$C$10:$C$224,$C254,'TL05'!$J$10:$J$224),0),
IF('TL05'!$B$229=N$3,SUMIF('TL05'!$C$238:$C$451,$C254,'TL05'!$J$238:$J$451),0),
IF('TL06'!$B$3=N$3,SUMIF('TL06'!$C$10:$C$224,$C254,'TL06'!$J$10:$J$224),0),
IF('TL06'!$B$229=N$3,SUMIF('TL06'!$C$238:$C$451,$C254,'TL06'!$J$238:$J$451),0),
IF('TL07'!$B$3=N$3,SUMIF('TL07'!$C$10:$C$224,$C254,'TL07'!$J$10:$J$224),0),
IF('TL07'!$B$229=N$3,SUMIF('TL07'!$C$238:$C$451,$C254,'TL07'!$J$238:$J$451),0),
IF('TL08'!$B$3=N$3,SUMIF('TL08'!$C$10:$C$224,$C254,'TL08'!$J$10:$J$224),0),
IF('TL08'!$B$229=N$3,SUMIF('TL08'!$C$238:$C$451,$C254,'TL08'!$J$238:$J$451),0),
IF('TL09'!$B$3=N$3,SUMIF('TL09'!$C$10:$C$224,$C254,'TL09'!$J$10:$J$224),0),
IF('TL09'!$B$229=N$3,SUMIF('TL09'!$C$238:$C$451,$C254,'TL09'!$J$238:$J$451),0),
IF('TL10'!$B$3=N$3,SUMIF('TL10'!$C$10:$C$224,$C254,'TL10'!$J$10:$J$224),0),
IF('TL10'!$B$229=N$3,SUMIF('TL10'!$C$238:$C$451,$C254,'TL10'!$J$238:$J$451),0),
IF('TL11'!$B$3=N$3,SUMIF('TL11'!$C$10:$C$224,$C254,'TL11'!$J$10:$J$224),0),
IF('TL11'!$B$229=N$3,SUMIF('TL11'!$C$238:$C$451,$C254,'TL11'!$J$238:$J$451),0),
IF('TL12'!$B$3=N$3,SUMIF('TL12'!$C$10:$C$224,$C254,'TL12'!$J$10:$J$224),0),
IF('TL12'!$B$229=N$3,SUMIF('TL12'!$C$238:$C$451,$C254,'TL12'!$J$238:$J$451),0),
IF('TL13'!$B$3=N$3,SUMIF('TL13'!$C$10:$C$224,$C254,'TL13'!$J$10:$J$224),0),
IF('TL13'!$B$229=N$3,SUMIF('TL13'!$C$238:$C$451,$C254,'TL13'!$J$238:$J$451),0),
IF('TL14'!$B$3=N$3,SUMIF('TL14'!$C$10:$C$224,$C254,'TL14'!$J$10:$J$224),0),
IF('TL14'!$B$229=N$3,SUMIF('TL14'!$C$238:$C$451,$C254,'TL14'!$J$238:$J$451),0),
IF('TL15'!$B$3=N$3,SUMIF('TL15'!$C$10:$C$224,$C254,'TL15'!$J$10:$J$224),0),
IF('TL15'!$B$229=N$3,SUMIF('TL15'!$C$238:$C$451,$C254,'TL15'!$J$238:$J$451),0),
IF('TL16'!$B$3=N$3,SUMIF('TL16'!$C$10:$C$224,$C254,'TL16'!$J$10:$J$224),0),
IF('TL16'!$B$229=N$3,SUMIF('TL16'!$C$238:$C$451,$C254,'TL16'!$J$238:$J$451),0),
IF('TL17'!$B$3=N$3,SUMIF('TL17'!$C$10:$C$224,$C254,'TL17'!$J$10:$J$224),0),
IF('TL17'!$B$229=N$3,SUMIF('TL17'!$C$238:$C$451,$C254,'TL17'!$J$238:$J$451),0),
IF('TL18'!$B$3=N$3,SUMIF('TL18'!$C$10:$C$224,$C254,'TL18'!$J$10:$J$224),0),
IF('TL18'!$B$229=N$3,SUMIF('TL18'!$C$238:$C$451,$C254,'TL18'!$J$238:$J$451),0),
IF('TL19'!$B$3=N$3,SUMIF('TL19'!$C$10:$C$224,$C254,'TL19'!$J$10:$J$224),0),
IF('TL19'!$B$229=N$3,SUMIF('TL19'!$C$238:$C$451,$C254,'TL19'!$J$238:$J$451),0)
),0)</f>
        <v>0</v>
      </c>
      <c r="O254" s="9">
        <f>IFERROR(SUM(
IF('TL01'!$B$3=O$3,SUMIF('TL01'!$C$10:$C$224,$C254,'TL01'!$J$10:$J$224),0),
IF('TL01'!$B$229=O$3,SUMIF('TL01'!$C$238:$C$451,$C254,'TL01'!$J$238:$J$451),0),
IF('TL02'!$B$3=O$3,SUMIF('TL02'!$C$10:$C$224,$C254,'TL02'!$J$10:$J$224),0),
IF('TL02'!$B$229=O$3,SUMIF('TL02'!$C$238:$C$451,$C254,'TL02'!$J$238:$J$451),0),
IF('TL03'!$B$3=O$3,SUMIF('TL03'!$C$10:$C$224,$C254,'TL03'!$J$10:$J$224),0),
IF('TL03'!$B$229=O$3,SUMIF('TL03'!$C$238:$C$451,$C254,'TL03'!$J$238:$J$451),0),
IF('TL04'!$B$3=O$3,SUMIF('TL04'!$C$10:$C$224,$C254,'TL04'!$J$10:$J$224),0),
IF('TL04'!$B$229=O$3,SUMIF('TL04'!$C$238:$C$451,$C254,'TL04'!$J$238:$J$451),0),
IF('TL05'!$B$3=O$3,SUMIF('TL05'!$C$10:$C$224,$C254,'TL05'!$J$10:$J$224),0),
IF('TL05'!$B$229=O$3,SUMIF('TL05'!$C$238:$C$451,$C254,'TL05'!$J$238:$J$451),0),
IF('TL06'!$B$3=O$3,SUMIF('TL06'!$C$10:$C$224,$C254,'TL06'!$J$10:$J$224),0),
IF('TL06'!$B$229=O$3,SUMIF('TL06'!$C$238:$C$451,$C254,'TL06'!$J$238:$J$451),0),
IF('TL07'!$B$3=O$3,SUMIF('TL07'!$C$10:$C$224,$C254,'TL07'!$J$10:$J$224),0),
IF('TL07'!$B$229=O$3,SUMIF('TL07'!$C$238:$C$451,$C254,'TL07'!$J$238:$J$451),0),
IF('TL08'!$B$3=O$3,SUMIF('TL08'!$C$10:$C$224,$C254,'TL08'!$J$10:$J$224),0),
IF('TL08'!$B$229=O$3,SUMIF('TL08'!$C$238:$C$451,$C254,'TL08'!$J$238:$J$451),0),
IF('TL09'!$B$3=O$3,SUMIF('TL09'!$C$10:$C$224,$C254,'TL09'!$J$10:$J$224),0),
IF('TL09'!$B$229=O$3,SUMIF('TL09'!$C$238:$C$451,$C254,'TL09'!$J$238:$J$451),0),
IF('TL10'!$B$3=O$3,SUMIF('TL10'!$C$10:$C$224,$C254,'TL10'!$J$10:$J$224),0),
IF('TL10'!$B$229=O$3,SUMIF('TL10'!$C$238:$C$451,$C254,'TL10'!$J$238:$J$451),0),
IF('TL11'!$B$3=O$3,SUMIF('TL11'!$C$10:$C$224,$C254,'TL11'!$J$10:$J$224),0),
IF('TL11'!$B$229=O$3,SUMIF('TL11'!$C$238:$C$451,$C254,'TL11'!$J$238:$J$451),0),
IF('TL12'!$B$3=O$3,SUMIF('TL12'!$C$10:$C$224,$C254,'TL12'!$J$10:$J$224),0),
IF('TL12'!$B$229=O$3,SUMIF('TL12'!$C$238:$C$451,$C254,'TL12'!$J$238:$J$451),0),
IF('TL13'!$B$3=O$3,SUMIF('TL13'!$C$10:$C$224,$C254,'TL13'!$J$10:$J$224),0),
IF('TL13'!$B$229=O$3,SUMIF('TL13'!$C$238:$C$451,$C254,'TL13'!$J$238:$J$451),0),
IF('TL14'!$B$3=O$3,SUMIF('TL14'!$C$10:$C$224,$C254,'TL14'!$J$10:$J$224),0),
IF('TL14'!$B$229=O$3,SUMIF('TL14'!$C$238:$C$451,$C254,'TL14'!$J$238:$J$451),0),
IF('TL15'!$B$3=O$3,SUMIF('TL15'!$C$10:$C$224,$C254,'TL15'!$J$10:$J$224),0),
IF('TL15'!$B$229=O$3,SUMIF('TL15'!$C$238:$C$451,$C254,'TL15'!$J$238:$J$451),0),
IF('TL16'!$B$3=O$3,SUMIF('TL16'!$C$10:$C$224,$C254,'TL16'!$J$10:$J$224),0),
IF('TL16'!$B$229=O$3,SUMIF('TL16'!$C$238:$C$451,$C254,'TL16'!$J$238:$J$451),0),
IF('TL17'!$B$3=O$3,SUMIF('TL17'!$C$10:$C$224,$C254,'TL17'!$J$10:$J$224),0),
IF('TL17'!$B$229=O$3,SUMIF('TL17'!$C$238:$C$451,$C254,'TL17'!$J$238:$J$451),0),
IF('TL18'!$B$3=O$3,SUMIF('TL18'!$C$10:$C$224,$C254,'TL18'!$J$10:$J$224),0),
IF('TL18'!$B$229=O$3,SUMIF('TL18'!$C$238:$C$451,$C254,'TL18'!$J$238:$J$451),0),
IF('TL19'!$B$3=O$3,SUMIF('TL19'!$C$10:$C$224,$C254,'TL19'!$J$10:$J$224),0),
IF('TL19'!$B$229=O$3,SUMIF('TL19'!$C$238:$C$451,$C254,'TL19'!$J$238:$J$451),0)
),0)</f>
        <v>0</v>
      </c>
      <c r="P254" s="9">
        <f>IFERROR(SUM(
IF('TL01'!$B$3=P$3,SUMIF('TL01'!$C$10:$C$224,$C254,'TL01'!$J$10:$J$224),0),
IF('TL01'!$B$229=P$3,SUMIF('TL01'!$C$238:$C$451,$C254,'TL01'!$J$238:$J$451),0),
IF('TL02'!$B$3=P$3,SUMIF('TL02'!$C$10:$C$224,$C254,'TL02'!$J$10:$J$224),0),
IF('TL02'!$B$229=P$3,SUMIF('TL02'!$C$238:$C$451,$C254,'TL02'!$J$238:$J$451),0),
IF('TL03'!$B$3=P$3,SUMIF('TL03'!$C$10:$C$224,$C254,'TL03'!$J$10:$J$224),0),
IF('TL03'!$B$229=P$3,SUMIF('TL03'!$C$238:$C$451,$C254,'TL03'!$J$238:$J$451),0),
IF('TL04'!$B$3=P$3,SUMIF('TL04'!$C$10:$C$224,$C254,'TL04'!$J$10:$J$224),0),
IF('TL04'!$B$229=P$3,SUMIF('TL04'!$C$238:$C$451,$C254,'TL04'!$J$238:$J$451),0),
IF('TL05'!$B$3=P$3,SUMIF('TL05'!$C$10:$C$224,$C254,'TL05'!$J$10:$J$224),0),
IF('TL05'!$B$229=P$3,SUMIF('TL05'!$C$238:$C$451,$C254,'TL05'!$J$238:$J$451),0),
IF('TL06'!$B$3=P$3,SUMIF('TL06'!$C$10:$C$224,$C254,'TL06'!$J$10:$J$224),0),
IF('TL06'!$B$229=P$3,SUMIF('TL06'!$C$238:$C$451,$C254,'TL06'!$J$238:$J$451),0),
IF('TL07'!$B$3=P$3,SUMIF('TL07'!$C$10:$C$224,$C254,'TL07'!$J$10:$J$224),0),
IF('TL07'!$B$229=P$3,SUMIF('TL07'!$C$238:$C$451,$C254,'TL07'!$J$238:$J$451),0),
IF('TL08'!$B$3=P$3,SUMIF('TL08'!$C$10:$C$224,$C254,'TL08'!$J$10:$J$224),0),
IF('TL08'!$B$229=P$3,SUMIF('TL08'!$C$238:$C$451,$C254,'TL08'!$J$238:$J$451),0),
IF('TL09'!$B$3=P$3,SUMIF('TL09'!$C$10:$C$224,$C254,'TL09'!$J$10:$J$224),0),
IF('TL09'!$B$229=P$3,SUMIF('TL09'!$C$238:$C$451,$C254,'TL09'!$J$238:$J$451),0),
IF('TL10'!$B$3=P$3,SUMIF('TL10'!$C$10:$C$224,$C254,'TL10'!$J$10:$J$224),0),
IF('TL10'!$B$229=P$3,SUMIF('TL10'!$C$238:$C$451,$C254,'TL10'!$J$238:$J$451),0),
IF('TL11'!$B$3=P$3,SUMIF('TL11'!$C$10:$C$224,$C254,'TL11'!$J$10:$J$224),0),
IF('TL11'!$B$229=P$3,SUMIF('TL11'!$C$238:$C$451,$C254,'TL11'!$J$238:$J$451),0),
IF('TL12'!$B$3=P$3,SUMIF('TL12'!$C$10:$C$224,$C254,'TL12'!$J$10:$J$224),0),
IF('TL12'!$B$229=P$3,SUMIF('TL12'!$C$238:$C$451,$C254,'TL12'!$J$238:$J$451),0),
IF('TL13'!$B$3=P$3,SUMIF('TL13'!$C$10:$C$224,$C254,'TL13'!$J$10:$J$224),0),
IF('TL13'!$B$229=P$3,SUMIF('TL13'!$C$238:$C$451,$C254,'TL13'!$J$238:$J$451),0),
IF('TL14'!$B$3=P$3,SUMIF('TL14'!$C$10:$C$224,$C254,'TL14'!$J$10:$J$224),0),
IF('TL14'!$B$229=P$3,SUMIF('TL14'!$C$238:$C$451,$C254,'TL14'!$J$238:$J$451),0),
IF('TL15'!$B$3=P$3,SUMIF('TL15'!$C$10:$C$224,$C254,'TL15'!$J$10:$J$224),0),
IF('TL15'!$B$229=P$3,SUMIF('TL15'!$C$238:$C$451,$C254,'TL15'!$J$238:$J$451),0),
IF('TL16'!$B$3=P$3,SUMIF('TL16'!$C$10:$C$224,$C254,'TL16'!$J$10:$J$224),0),
IF('TL16'!$B$229=P$3,SUMIF('TL16'!$C$238:$C$451,$C254,'TL16'!$J$238:$J$451),0),
IF('TL17'!$B$3=P$3,SUMIF('TL17'!$C$10:$C$224,$C254,'TL17'!$J$10:$J$224),0),
IF('TL17'!$B$229=P$3,SUMIF('TL17'!$C$238:$C$451,$C254,'TL17'!$J$238:$J$451),0),
IF('TL18'!$B$3=P$3,SUMIF('TL18'!$C$10:$C$224,$C254,'TL18'!$J$10:$J$224),0),
IF('TL18'!$B$229=P$3,SUMIF('TL18'!$C$238:$C$451,$C254,'TL18'!$J$238:$J$451),0),
IF('TL19'!$B$3=P$3,SUMIF('TL19'!$C$10:$C$224,$C254,'TL19'!$J$10:$J$224),0),
IF('TL19'!$B$229=P$3,SUMIF('TL19'!$C$238:$C$451,$C254,'TL19'!$J$238:$J$451),0)
),0)</f>
        <v>0</v>
      </c>
      <c r="Q254" s="9">
        <f>IFERROR(SUM(
IF('TL01'!$B$3=Q$3,SUMIF('TL01'!$C$10:$C$224,$C254,'TL01'!$J$10:$J$224),0),
IF('TL01'!$B$229=Q$3,SUMIF('TL01'!$C$238:$C$451,$C254,'TL01'!$J$238:$J$451),0),
IF('TL02'!$B$3=Q$3,SUMIF('TL02'!$C$10:$C$224,$C254,'TL02'!$J$10:$J$224),0),
IF('TL02'!$B$229=Q$3,SUMIF('TL02'!$C$238:$C$451,$C254,'TL02'!$J$238:$J$451),0),
IF('TL03'!$B$3=Q$3,SUMIF('TL03'!$C$10:$C$224,$C254,'TL03'!$J$10:$J$224),0),
IF('TL03'!$B$229=Q$3,SUMIF('TL03'!$C$238:$C$451,$C254,'TL03'!$J$238:$J$451),0),
IF('TL04'!$B$3=Q$3,SUMIF('TL04'!$C$10:$C$224,$C254,'TL04'!$J$10:$J$224),0),
IF('TL04'!$B$229=Q$3,SUMIF('TL04'!$C$238:$C$451,$C254,'TL04'!$J$238:$J$451),0),
IF('TL05'!$B$3=Q$3,SUMIF('TL05'!$C$10:$C$224,$C254,'TL05'!$J$10:$J$224),0),
IF('TL05'!$B$229=Q$3,SUMIF('TL05'!$C$238:$C$451,$C254,'TL05'!$J$238:$J$451),0),
IF('TL06'!$B$3=Q$3,SUMIF('TL06'!$C$10:$C$224,$C254,'TL06'!$J$10:$J$224),0),
IF('TL06'!$B$229=Q$3,SUMIF('TL06'!$C$238:$C$451,$C254,'TL06'!$J$238:$J$451),0),
IF('TL07'!$B$3=Q$3,SUMIF('TL07'!$C$10:$C$224,$C254,'TL07'!$J$10:$J$224),0),
IF('TL07'!$B$229=Q$3,SUMIF('TL07'!$C$238:$C$451,$C254,'TL07'!$J$238:$J$451),0),
IF('TL08'!$B$3=Q$3,SUMIF('TL08'!$C$10:$C$224,$C254,'TL08'!$J$10:$J$224),0),
IF('TL08'!$B$229=Q$3,SUMIF('TL08'!$C$238:$C$451,$C254,'TL08'!$J$238:$J$451),0),
IF('TL09'!$B$3=Q$3,SUMIF('TL09'!$C$10:$C$224,$C254,'TL09'!$J$10:$J$224),0),
IF('TL09'!$B$229=Q$3,SUMIF('TL09'!$C$238:$C$451,$C254,'TL09'!$J$238:$J$451),0),
IF('TL10'!$B$3=Q$3,SUMIF('TL10'!$C$10:$C$224,$C254,'TL10'!$J$10:$J$224),0),
IF('TL10'!$B$229=Q$3,SUMIF('TL10'!$C$238:$C$451,$C254,'TL10'!$J$238:$J$451),0),
IF('TL11'!$B$3=Q$3,SUMIF('TL11'!$C$10:$C$224,$C254,'TL11'!$J$10:$J$224),0),
IF('TL11'!$B$229=Q$3,SUMIF('TL11'!$C$238:$C$451,$C254,'TL11'!$J$238:$J$451),0),
IF('TL12'!$B$3=Q$3,SUMIF('TL12'!$C$10:$C$224,$C254,'TL12'!$J$10:$J$224),0),
IF('TL12'!$B$229=Q$3,SUMIF('TL12'!$C$238:$C$451,$C254,'TL12'!$J$238:$J$451),0),
IF('TL13'!$B$3=Q$3,SUMIF('TL13'!$C$10:$C$224,$C254,'TL13'!$J$10:$J$224),0),
IF('TL13'!$B$229=Q$3,SUMIF('TL13'!$C$238:$C$451,$C254,'TL13'!$J$238:$J$451),0),
IF('TL14'!$B$3=Q$3,SUMIF('TL14'!$C$10:$C$224,$C254,'TL14'!$J$10:$J$224),0),
IF('TL14'!$B$229=Q$3,SUMIF('TL14'!$C$238:$C$451,$C254,'TL14'!$J$238:$J$451),0),
IF('TL15'!$B$3=Q$3,SUMIF('TL15'!$C$10:$C$224,$C254,'TL15'!$J$10:$J$224),0),
IF('TL15'!$B$229=Q$3,SUMIF('TL15'!$C$238:$C$451,$C254,'TL15'!$J$238:$J$451),0),
IF('TL16'!$B$3=Q$3,SUMIF('TL16'!$C$10:$C$224,$C254,'TL16'!$J$10:$J$224),0),
IF('TL16'!$B$229=Q$3,SUMIF('TL16'!$C$238:$C$451,$C254,'TL16'!$J$238:$J$451),0),
IF('TL17'!$B$3=Q$3,SUMIF('TL17'!$C$10:$C$224,$C254,'TL17'!$J$10:$J$224),0),
IF('TL17'!$B$229=Q$3,SUMIF('TL17'!$C$238:$C$451,$C254,'TL17'!$J$238:$J$451),0),
IF('TL18'!$B$3=Q$3,SUMIF('TL18'!$C$10:$C$224,$C254,'TL18'!$J$10:$J$224),0),
IF('TL18'!$B$229=Q$3,SUMIF('TL18'!$C$238:$C$451,$C254,'TL18'!$J$238:$J$451),0),
IF('TL19'!$B$3=Q$3,SUMIF('TL19'!$C$10:$C$224,$C254,'TL19'!$J$10:$J$224),0),
IF('TL19'!$B$229=Q$3,SUMIF('TL19'!$C$238:$C$451,$C254,'TL19'!$J$238:$J$451),0)
),0)</f>
        <v>0</v>
      </c>
      <c r="R254" s="9">
        <f>IFERROR(
SUM(
SUMIF('TL01'!C:C,C254,'TL01'!J:J),
SUMIF('TL02'!C:C,C254,'TL02'!J:J),
SUMIF('TL03'!C:C,C254,'TL03'!J:J),
SUMIF('TL04'!C:C,C254,'TL04'!J:J),
SUMIF('TL05'!C:C,C254,'TL05'!J:J),
SUMIF('TL06'!C:C,C254,'TL06'!J:J),
SUMIF('TL07'!C:C,C254,'TL07'!J:J),
SUMIF('TL08'!C:C,C254,'TL08'!J:J),
SUMIF('TL09'!C:C,C254,'TL09'!J:J),
SUMIF('TL10'!C:C,C254,'TL10'!J:J),
SUMIF('TL11'!C:C,C254,'TL11'!J:J),
SUMIF('TL12'!C:C,C254,'TL12'!J:J),
SUMIF('TL13'!C:C,C254,'TL13'!J:J),
SUMIF('TL14'!C:C,C254,'TL14'!J:J),
SUMIF('TL15'!C:C,C254,'TL15'!J:J),
SUMIF('TL16'!C:C,C254,'TL16'!J:J),
SUMIF('TL17'!C:C,C254,'TL17'!J:J),
SUMIF('TL18'!C:C,C254,'TL18'!J:J),SUMIF('TL19'!C:C,C254,'TL19'!J:J))
,0)</f>
        <v>0</v>
      </c>
      <c r="S254" s="17">
        <f>IFERROR(__xludf.DUMMYFUNCTION("IFERROR(VLOOKUP(C254,
IMPORTRANGE(""1wULbzX32WdYsx-lj2U3uUNBBe2INVIRDtcK0d-Dvl90"",
""26-27!C:G""),
5,
FALSE),
"""")"),11.86)</f>
        <v>11.86</v>
      </c>
      <c r="T254" s="9"/>
      <c r="U254" s="92">
        <f t="shared" si="2"/>
        <v>0</v>
      </c>
      <c r="V254" s="93">
        <f t="shared" si="3"/>
        <v>0</v>
      </c>
    </row>
    <row r="255" ht="15.75" hidden="1" customHeight="1">
      <c r="A255" s="4" t="s">
        <v>932</v>
      </c>
      <c r="B255" s="125" t="s">
        <v>9</v>
      </c>
      <c r="C255" s="4" t="s">
        <v>933</v>
      </c>
      <c r="D255" s="4" t="s">
        <v>934</v>
      </c>
      <c r="E255" s="9" t="s">
        <v>935</v>
      </c>
      <c r="F255" s="4" t="s">
        <v>343</v>
      </c>
      <c r="G255" s="9"/>
      <c r="H255" s="9">
        <v>2.0</v>
      </c>
      <c r="I255" s="1"/>
      <c r="J255" s="9">
        <f>IFERROR(SUM(
IF('TL01'!$B$3=J$3,SUMIF('TL01'!$C$10:$C$224,$C255,'TL01'!$J$10:$J$224),0),
IF('TL01'!$B$229=J$3,SUMIF('TL01'!$C$238:$C$451,$C255,'TL01'!$J$238:$J$451),0),
IF('TL02'!$B$3=J$3,SUMIF('TL02'!$C$10:$C$224,$C255,'TL02'!$J$10:$J$224),0),
IF('TL02'!$B$229=J$3,SUMIF('TL02'!$C$238:$C$451,$C255,'TL02'!$J$238:$J$451),0),
IF('TL03'!$B$3=J$3,SUMIF('TL03'!$C$10:$C$224,$C255,'TL03'!$J$10:$J$224),0),
IF('TL03'!$B$229=J$3,SUMIF('TL03'!$C$238:$C$451,$C255,'TL03'!$J$238:$J$451),0),
IF('TL04'!$B$3=J$3,SUMIF('TL04'!$C$10:$C$224,$C255,'TL04'!$J$10:$J$224),0),
IF('TL04'!$B$229=J$3,SUMIF('TL04'!$C$238:$C$451,$C255,'TL04'!$J$238:$J$451),0),
IF('TL05'!$B$3=J$3,SUMIF('TL05'!$C$10:$C$224,$C255,'TL05'!$J$10:$J$224),0),
IF('TL05'!$B$229=J$3,SUMIF('TL05'!$C$238:$C$451,$C255,'TL05'!$J$238:$J$451),0),
IF('TL06'!$B$3=J$3,SUMIF('TL06'!$C$10:$C$224,$C255,'TL06'!$J$10:$J$224),0),
IF('TL06'!$B$229=J$3,SUMIF('TL06'!$C$238:$C$451,$C255,'TL06'!$J$238:$J$451),0),
IF('TL07'!$B$3=J$3,SUMIF('TL07'!$C$10:$C$224,$C255,'TL07'!$J$10:$J$224),0),
IF('TL07'!$B$229=J$3,SUMIF('TL07'!$C$238:$C$451,$C255,'TL07'!$J$238:$J$451),0),
IF('TL08'!$B$3=J$3,SUMIF('TL08'!$C$10:$C$224,$C255,'TL08'!$J$10:$J$224),0),
IF('TL08'!$B$229=J$3,SUMIF('TL08'!$C$238:$C$451,$C255,'TL08'!$J$238:$J$451),0),
IF('TL09'!$B$3=J$3,SUMIF('TL09'!$C$10:$C$224,$C255,'TL09'!$J$10:$J$224),0),
IF('TL09'!$B$229=J$3,SUMIF('TL09'!$C$238:$C$451,$C255,'TL09'!$J$238:$J$451),0),
IF('TL10'!$B$3=J$3,SUMIF('TL10'!$C$10:$C$224,$C255,'TL10'!$J$10:$J$224),0),
IF('TL10'!$B$229=J$3,SUMIF('TL10'!$C$238:$C$451,$C255,'TL10'!$J$238:$J$451),0),
IF('TL11'!$B$3=J$3,SUMIF('TL11'!$C$10:$C$224,$C255,'TL11'!$J$10:$J$224),0),
IF('TL11'!$B$229=J$3,SUMIF('TL11'!$C$238:$C$451,$C255,'TL11'!$J$238:$J$451),0),
IF('TL12'!$B$3=J$3,SUMIF('TL12'!$C$10:$C$224,$C255,'TL12'!$J$10:$J$224),0),
IF('TL12'!$B$229=J$3,SUMIF('TL12'!$C$238:$C$451,$C255,'TL12'!$J$238:$J$451),0),
IF('TL13'!$B$3=J$3,SUMIF('TL13'!$C$10:$C$224,$C255,'TL13'!$J$10:$J$224),0),
IF('TL13'!$B$229=J$3,SUMIF('TL13'!$C$238:$C$451,$C255,'TL13'!$J$238:$J$451),0),
IF('TL14'!$B$3=J$3,SUMIF('TL14'!$C$10:$C$224,$C255,'TL14'!$J$10:$J$224),0),
IF('TL14'!$B$229=J$3,SUMIF('TL14'!$C$238:$C$451,$C255,'TL14'!$J$238:$J$451),0),
IF('TL15'!$B$3=J$3,SUMIF('TL15'!$C$10:$C$224,$C255,'TL15'!$J$10:$J$224),0),
IF('TL15'!$B$229=J$3,SUMIF('TL15'!$C$238:$C$451,$C255,'TL15'!$J$238:$J$451),0),
IF('TL16'!$B$3=J$3,SUMIF('TL16'!$C$10:$C$224,$C255,'TL16'!$J$10:$J$224),0),
IF('TL16'!$B$229=J$3,SUMIF('TL16'!$C$238:$C$451,$C255,'TL16'!$J$238:$J$451),0),
IF('TL17'!$B$3=J$3,SUMIF('TL17'!$C$10:$C$224,$C255,'TL17'!$J$10:$J$224),0),
IF('TL17'!$B$229=J$3,SUMIF('TL17'!$C$238:$C$451,$C255,'TL17'!$J$238:$J$451),0),
IF('TL18'!$B$3=J$3,SUMIF('TL18'!$C$10:$C$224,$C255,'TL18'!$J$10:$J$224),0),
IF('TL18'!$B$229=J$3,SUMIF('TL18'!$C$238:$C$451,$C255,'TL18'!$J$238:$J$451),0),
IF('TL19'!$B$3=J$3,SUMIF('TL19'!$C$10:$C$224,$C255,'TL19'!$J$10:$J$224),0),
IF('TL19'!$B$229=J$3,SUMIF('TL19'!$C$238:$C$451,$C255,'TL19'!$J$238:$J$451),0)
),0)</f>
        <v>0</v>
      </c>
      <c r="K255" s="9">
        <f>IFERROR(SUM(
IF('TL01'!$B$3=K$3,SUMIF('TL01'!$C$10:$C$224,$C255,'TL01'!$J$10:$J$224),0),
IF('TL01'!$B$229=K$3,SUMIF('TL01'!$C$238:$C$451,$C255,'TL01'!$J$238:$J$451),0),
IF('TL02'!$B$3=K$3,SUMIF('TL02'!$C$10:$C$224,$C255,'TL02'!$J$10:$J$224),0),
IF('TL02'!$B$229=K$3,SUMIF('TL02'!$C$238:$C$451,$C255,'TL02'!$J$238:$J$451),0),
IF('TL03'!$B$3=K$3,SUMIF('TL03'!$C$10:$C$224,$C255,'TL03'!$J$10:$J$224),0),
IF('TL03'!$B$229=K$3,SUMIF('TL03'!$C$238:$C$451,$C255,'TL03'!$J$238:$J$451),0),
IF('TL04'!$B$3=K$3,SUMIF('TL04'!$C$10:$C$224,$C255,'TL04'!$J$10:$J$224),0),
IF('TL04'!$B$229=K$3,SUMIF('TL04'!$C$238:$C$451,$C255,'TL04'!$J$238:$J$451),0),
IF('TL05'!$B$3=K$3,SUMIF('TL05'!$C$10:$C$224,$C255,'TL05'!$J$10:$J$224),0),
IF('TL05'!$B$229=K$3,SUMIF('TL05'!$C$238:$C$451,$C255,'TL05'!$J$238:$J$451),0),
IF('TL06'!$B$3=K$3,SUMIF('TL06'!$C$10:$C$224,$C255,'TL06'!$J$10:$J$224),0),
IF('TL06'!$B$229=K$3,SUMIF('TL06'!$C$238:$C$451,$C255,'TL06'!$J$238:$J$451),0),
IF('TL07'!$B$3=K$3,SUMIF('TL07'!$C$10:$C$224,$C255,'TL07'!$J$10:$J$224),0),
IF('TL07'!$B$229=K$3,SUMIF('TL07'!$C$238:$C$451,$C255,'TL07'!$J$238:$J$451),0),
IF('TL08'!$B$3=K$3,SUMIF('TL08'!$C$10:$C$224,$C255,'TL08'!$J$10:$J$224),0),
IF('TL08'!$B$229=K$3,SUMIF('TL08'!$C$238:$C$451,$C255,'TL08'!$J$238:$J$451),0),
IF('TL09'!$B$3=K$3,SUMIF('TL09'!$C$10:$C$224,$C255,'TL09'!$J$10:$J$224),0),
IF('TL09'!$B$229=K$3,SUMIF('TL09'!$C$238:$C$451,$C255,'TL09'!$J$238:$J$451),0),
IF('TL10'!$B$3=K$3,SUMIF('TL10'!$C$10:$C$224,$C255,'TL10'!$J$10:$J$224),0),
IF('TL10'!$B$229=K$3,SUMIF('TL10'!$C$238:$C$451,$C255,'TL10'!$J$238:$J$451),0),
IF('TL11'!$B$3=K$3,SUMIF('TL11'!$C$10:$C$224,$C255,'TL11'!$J$10:$J$224),0),
IF('TL11'!$B$229=K$3,SUMIF('TL11'!$C$238:$C$451,$C255,'TL11'!$J$238:$J$451),0),
IF('TL12'!$B$3=K$3,SUMIF('TL12'!$C$10:$C$224,$C255,'TL12'!$J$10:$J$224),0),
IF('TL12'!$B$229=K$3,SUMIF('TL12'!$C$238:$C$451,$C255,'TL12'!$J$238:$J$451),0),
IF('TL13'!$B$3=K$3,SUMIF('TL13'!$C$10:$C$224,$C255,'TL13'!$J$10:$J$224),0),
IF('TL13'!$B$229=K$3,SUMIF('TL13'!$C$238:$C$451,$C255,'TL13'!$J$238:$J$451),0),
IF('TL14'!$B$3=K$3,SUMIF('TL14'!$C$10:$C$224,$C255,'TL14'!$J$10:$J$224),0),
IF('TL14'!$B$229=K$3,SUMIF('TL14'!$C$238:$C$451,$C255,'TL14'!$J$238:$J$451),0),
IF('TL15'!$B$3=K$3,SUMIF('TL15'!$C$10:$C$224,$C255,'TL15'!$J$10:$J$224),0),
IF('TL15'!$B$229=K$3,SUMIF('TL15'!$C$238:$C$451,$C255,'TL15'!$J$238:$J$451),0),
IF('TL16'!$B$3=K$3,SUMIF('TL16'!$C$10:$C$224,$C255,'TL16'!$J$10:$J$224),0),
IF('TL16'!$B$229=K$3,SUMIF('TL16'!$C$238:$C$451,$C255,'TL16'!$J$238:$J$451),0),
IF('TL17'!$B$3=K$3,SUMIF('TL17'!$C$10:$C$224,$C255,'TL17'!$J$10:$J$224),0),
IF('TL17'!$B$229=K$3,SUMIF('TL17'!$C$238:$C$451,$C255,'TL17'!$J$238:$J$451),0),
IF('TL18'!$B$3=K$3,SUMIF('TL18'!$C$10:$C$224,$C255,'TL18'!$J$10:$J$224),0),
IF('TL18'!$B$229=K$3,SUMIF('TL18'!$C$238:$C$451,$C255,'TL18'!$J$238:$J$451),0),
IF('TL19'!$B$3=K$3,SUMIF('TL19'!$C$10:$C$224,$C255,'TL19'!$J$10:$J$224),0),
IF('TL19'!$B$229=K$3,SUMIF('TL19'!$C$238:$C$451,$C255,'TL19'!$J$238:$J$451),0)
),0)</f>
        <v>300</v>
      </c>
      <c r="L255" s="9">
        <f>IFERROR(SUM(
IF('TL01'!$B$3=L$3,SUMIF('TL01'!$C$10:$C$224,$C255,'TL01'!$J$10:$J$224),0),
IF('TL01'!$B$229=L$3,SUMIF('TL01'!$C$238:$C$451,$C255,'TL01'!$J$238:$J$451),0),
IF('TL02'!$B$3=L$3,SUMIF('TL02'!$C$10:$C$224,$C255,'TL02'!$J$10:$J$224),0),
IF('TL02'!$B$229=L$3,SUMIF('TL02'!$C$238:$C$451,$C255,'TL02'!$J$238:$J$451),0),
IF('TL03'!$B$3=L$3,SUMIF('TL03'!$C$10:$C$224,$C255,'TL03'!$J$10:$J$224),0),
IF('TL03'!$B$229=L$3,SUMIF('TL03'!$C$238:$C$451,$C255,'TL03'!$J$238:$J$451),0),
IF('TL04'!$B$3=L$3,SUMIF('TL04'!$C$10:$C$224,$C255,'TL04'!$J$10:$J$224),0),
IF('TL04'!$B$229=L$3,SUMIF('TL04'!$C$238:$C$451,$C255,'TL04'!$J$238:$J$451),0),
IF('TL05'!$B$3=L$3,SUMIF('TL05'!$C$10:$C$224,$C255,'TL05'!$J$10:$J$224),0),
IF('TL05'!$B$229=L$3,SUMIF('TL05'!$C$238:$C$451,$C255,'TL05'!$J$238:$J$451),0),
IF('TL06'!$B$3=L$3,SUMIF('TL06'!$C$10:$C$224,$C255,'TL06'!$J$10:$J$224),0),
IF('TL06'!$B$229=L$3,SUMIF('TL06'!$C$238:$C$451,$C255,'TL06'!$J$238:$J$451),0),
IF('TL07'!$B$3=L$3,SUMIF('TL07'!$C$10:$C$224,$C255,'TL07'!$J$10:$J$224),0),
IF('TL07'!$B$229=L$3,SUMIF('TL07'!$C$238:$C$451,$C255,'TL07'!$J$238:$J$451),0),
IF('TL08'!$B$3=L$3,SUMIF('TL08'!$C$10:$C$224,$C255,'TL08'!$J$10:$J$224),0),
IF('TL08'!$B$229=L$3,SUMIF('TL08'!$C$238:$C$451,$C255,'TL08'!$J$238:$J$451),0),
IF('TL09'!$B$3=L$3,SUMIF('TL09'!$C$10:$C$224,$C255,'TL09'!$J$10:$J$224),0),
IF('TL09'!$B$229=L$3,SUMIF('TL09'!$C$238:$C$451,$C255,'TL09'!$J$238:$J$451),0),
IF('TL10'!$B$3=L$3,SUMIF('TL10'!$C$10:$C$224,$C255,'TL10'!$J$10:$J$224),0),
IF('TL10'!$B$229=L$3,SUMIF('TL10'!$C$238:$C$451,$C255,'TL10'!$J$238:$J$451),0),
IF('TL11'!$B$3=L$3,SUMIF('TL11'!$C$10:$C$224,$C255,'TL11'!$J$10:$J$224),0),
IF('TL11'!$B$229=L$3,SUMIF('TL11'!$C$238:$C$451,$C255,'TL11'!$J$238:$J$451),0),
IF('TL12'!$B$3=L$3,SUMIF('TL12'!$C$10:$C$224,$C255,'TL12'!$J$10:$J$224),0),
IF('TL12'!$B$229=L$3,SUMIF('TL12'!$C$238:$C$451,$C255,'TL12'!$J$238:$J$451),0),
IF('TL13'!$B$3=L$3,SUMIF('TL13'!$C$10:$C$224,$C255,'TL13'!$J$10:$J$224),0),
IF('TL13'!$B$229=L$3,SUMIF('TL13'!$C$238:$C$451,$C255,'TL13'!$J$238:$J$451),0),
IF('TL14'!$B$3=L$3,SUMIF('TL14'!$C$10:$C$224,$C255,'TL14'!$J$10:$J$224),0),
IF('TL14'!$B$229=L$3,SUMIF('TL14'!$C$238:$C$451,$C255,'TL14'!$J$238:$J$451),0),
IF('TL15'!$B$3=L$3,SUMIF('TL15'!$C$10:$C$224,$C255,'TL15'!$J$10:$J$224),0),
IF('TL15'!$B$229=L$3,SUMIF('TL15'!$C$238:$C$451,$C255,'TL15'!$J$238:$J$451),0),
IF('TL16'!$B$3=L$3,SUMIF('TL16'!$C$10:$C$224,$C255,'TL16'!$J$10:$J$224),0),
IF('TL16'!$B$229=L$3,SUMIF('TL16'!$C$238:$C$451,$C255,'TL16'!$J$238:$J$451),0),
IF('TL17'!$B$3=L$3,SUMIF('TL17'!$C$10:$C$224,$C255,'TL17'!$J$10:$J$224),0),
IF('TL17'!$B$229=L$3,SUMIF('TL17'!$C$238:$C$451,$C255,'TL17'!$J$238:$J$451),0),
IF('TL18'!$B$3=L$3,SUMIF('TL18'!$C$10:$C$224,$C255,'TL18'!$J$10:$J$224),0),
IF('TL18'!$B$229=L$3,SUMIF('TL18'!$C$238:$C$451,$C255,'TL18'!$J$238:$J$451),0),
IF('TL19'!$B$3=L$3,SUMIF('TL19'!$C$10:$C$224,$C255,'TL19'!$J$10:$J$224),0),
IF('TL19'!$B$229=L$3,SUMIF('TL19'!$C$238:$C$451,$C255,'TL19'!$J$238:$J$451),0)
),0)</f>
        <v>220</v>
      </c>
      <c r="M255" s="9">
        <f>IFERROR(SUM(
IF('TL01'!$B$3=M$3,SUMIF('TL01'!$C$10:$C$224,$C255,'TL01'!$J$10:$J$224),0),
IF('TL01'!$B$229=M$3,SUMIF('TL01'!$C$238:$C$451,$C255,'TL01'!$J$238:$J$451),0),
IF('TL02'!$B$3=M$3,SUMIF('TL02'!$C$10:$C$224,$C255,'TL02'!$J$10:$J$224),0),
IF('TL02'!$B$229=M$3,SUMIF('TL02'!$C$238:$C$451,$C255,'TL02'!$J$238:$J$451),0),
IF('TL03'!$B$3=M$3,SUMIF('TL03'!$C$10:$C$224,$C255,'TL03'!$J$10:$J$224),0),
IF('TL03'!$B$229=M$3,SUMIF('TL03'!$C$238:$C$451,$C255,'TL03'!$J$238:$J$451),0),
IF('TL04'!$B$3=M$3,SUMIF('TL04'!$C$10:$C$224,$C255,'TL04'!$J$10:$J$224),0),
IF('TL04'!$B$229=M$3,SUMIF('TL04'!$C$238:$C$451,$C255,'TL04'!$J$238:$J$451),0),
IF('TL05'!$B$3=M$3,SUMIF('TL05'!$C$10:$C$224,$C255,'TL05'!$J$10:$J$224),0),
IF('TL05'!$B$229=M$3,SUMIF('TL05'!$C$238:$C$451,$C255,'TL05'!$J$238:$J$451),0),
IF('TL06'!$B$3=M$3,SUMIF('TL06'!$C$10:$C$224,$C255,'TL06'!$J$10:$J$224),0),
IF('TL06'!$B$229=M$3,SUMIF('TL06'!$C$238:$C$451,$C255,'TL06'!$J$238:$J$451),0),
IF('TL07'!$B$3=M$3,SUMIF('TL07'!$C$10:$C$224,$C255,'TL07'!$J$10:$J$224),0),
IF('TL07'!$B$229=M$3,SUMIF('TL07'!$C$238:$C$451,$C255,'TL07'!$J$238:$J$451),0),
IF('TL08'!$B$3=M$3,SUMIF('TL08'!$C$10:$C$224,$C255,'TL08'!$J$10:$J$224),0),
IF('TL08'!$B$229=M$3,SUMIF('TL08'!$C$238:$C$451,$C255,'TL08'!$J$238:$J$451),0),
IF('TL09'!$B$3=M$3,SUMIF('TL09'!$C$10:$C$224,$C255,'TL09'!$J$10:$J$224),0),
IF('TL09'!$B$229=M$3,SUMIF('TL09'!$C$238:$C$451,$C255,'TL09'!$J$238:$J$451),0),
IF('TL10'!$B$3=M$3,SUMIF('TL10'!$C$10:$C$224,$C255,'TL10'!$J$10:$J$224),0),
IF('TL10'!$B$229=M$3,SUMIF('TL10'!$C$238:$C$451,$C255,'TL10'!$J$238:$J$451),0),
IF('TL11'!$B$3=M$3,SUMIF('TL11'!$C$10:$C$224,$C255,'TL11'!$J$10:$J$224),0),
IF('TL11'!$B$229=M$3,SUMIF('TL11'!$C$238:$C$451,$C255,'TL11'!$J$238:$J$451),0),
IF('TL12'!$B$3=M$3,SUMIF('TL12'!$C$10:$C$224,$C255,'TL12'!$J$10:$J$224),0),
IF('TL12'!$B$229=M$3,SUMIF('TL12'!$C$238:$C$451,$C255,'TL12'!$J$238:$J$451),0),
IF('TL13'!$B$3=M$3,SUMIF('TL13'!$C$10:$C$224,$C255,'TL13'!$J$10:$J$224),0),
IF('TL13'!$B$229=M$3,SUMIF('TL13'!$C$238:$C$451,$C255,'TL13'!$J$238:$J$451),0),
IF('TL14'!$B$3=M$3,SUMIF('TL14'!$C$10:$C$224,$C255,'TL14'!$J$10:$J$224),0),
IF('TL14'!$B$229=M$3,SUMIF('TL14'!$C$238:$C$451,$C255,'TL14'!$J$238:$J$451),0),
IF('TL15'!$B$3=M$3,SUMIF('TL15'!$C$10:$C$224,$C255,'TL15'!$J$10:$J$224),0),
IF('TL15'!$B$229=M$3,SUMIF('TL15'!$C$238:$C$451,$C255,'TL15'!$J$238:$J$451),0),
IF('TL16'!$B$3=M$3,SUMIF('TL16'!$C$10:$C$224,$C255,'TL16'!$J$10:$J$224),0),
IF('TL16'!$B$229=M$3,SUMIF('TL16'!$C$238:$C$451,$C255,'TL16'!$J$238:$J$451),0),
IF('TL17'!$B$3=M$3,SUMIF('TL17'!$C$10:$C$224,$C255,'TL17'!$J$10:$J$224),0),
IF('TL17'!$B$229=M$3,SUMIF('TL17'!$C$238:$C$451,$C255,'TL17'!$J$238:$J$451),0),
IF('TL18'!$B$3=M$3,SUMIF('TL18'!$C$10:$C$224,$C255,'TL18'!$J$10:$J$224),0),
IF('TL18'!$B$229=M$3,SUMIF('TL18'!$C$238:$C$451,$C255,'TL18'!$J$238:$J$451),0),
IF('TL19'!$B$3=M$3,SUMIF('TL19'!$C$10:$C$224,$C255,'TL19'!$J$10:$J$224),0),
IF('TL19'!$B$229=M$3,SUMIF('TL19'!$C$238:$C$451,$C255,'TL19'!$J$238:$J$451),0)
),0)</f>
        <v>0</v>
      </c>
      <c r="N255" s="9">
        <f>IFERROR(SUM(
IF('TL01'!$B$3=N$3,SUMIF('TL01'!$C$10:$C$224,$C255,'TL01'!$J$10:$J$224),0),
IF('TL01'!$B$229=N$3,SUMIF('TL01'!$C$238:$C$451,$C255,'TL01'!$J$238:$J$451),0),
IF('TL02'!$B$3=N$3,SUMIF('TL02'!$C$10:$C$224,$C255,'TL02'!$J$10:$J$224),0),
IF('TL02'!$B$229=N$3,SUMIF('TL02'!$C$238:$C$451,$C255,'TL02'!$J$238:$J$451),0),
IF('TL03'!$B$3=N$3,SUMIF('TL03'!$C$10:$C$224,$C255,'TL03'!$J$10:$J$224),0),
IF('TL03'!$B$229=N$3,SUMIF('TL03'!$C$238:$C$451,$C255,'TL03'!$J$238:$J$451),0),
IF('TL04'!$B$3=N$3,SUMIF('TL04'!$C$10:$C$224,$C255,'TL04'!$J$10:$J$224),0),
IF('TL04'!$B$229=N$3,SUMIF('TL04'!$C$238:$C$451,$C255,'TL04'!$J$238:$J$451),0),
IF('TL05'!$B$3=N$3,SUMIF('TL05'!$C$10:$C$224,$C255,'TL05'!$J$10:$J$224),0),
IF('TL05'!$B$229=N$3,SUMIF('TL05'!$C$238:$C$451,$C255,'TL05'!$J$238:$J$451),0),
IF('TL06'!$B$3=N$3,SUMIF('TL06'!$C$10:$C$224,$C255,'TL06'!$J$10:$J$224),0),
IF('TL06'!$B$229=N$3,SUMIF('TL06'!$C$238:$C$451,$C255,'TL06'!$J$238:$J$451),0),
IF('TL07'!$B$3=N$3,SUMIF('TL07'!$C$10:$C$224,$C255,'TL07'!$J$10:$J$224),0),
IF('TL07'!$B$229=N$3,SUMIF('TL07'!$C$238:$C$451,$C255,'TL07'!$J$238:$J$451),0),
IF('TL08'!$B$3=N$3,SUMIF('TL08'!$C$10:$C$224,$C255,'TL08'!$J$10:$J$224),0),
IF('TL08'!$B$229=N$3,SUMIF('TL08'!$C$238:$C$451,$C255,'TL08'!$J$238:$J$451),0),
IF('TL09'!$B$3=N$3,SUMIF('TL09'!$C$10:$C$224,$C255,'TL09'!$J$10:$J$224),0),
IF('TL09'!$B$229=N$3,SUMIF('TL09'!$C$238:$C$451,$C255,'TL09'!$J$238:$J$451),0),
IF('TL10'!$B$3=N$3,SUMIF('TL10'!$C$10:$C$224,$C255,'TL10'!$J$10:$J$224),0),
IF('TL10'!$B$229=N$3,SUMIF('TL10'!$C$238:$C$451,$C255,'TL10'!$J$238:$J$451),0),
IF('TL11'!$B$3=N$3,SUMIF('TL11'!$C$10:$C$224,$C255,'TL11'!$J$10:$J$224),0),
IF('TL11'!$B$229=N$3,SUMIF('TL11'!$C$238:$C$451,$C255,'TL11'!$J$238:$J$451),0),
IF('TL12'!$B$3=N$3,SUMIF('TL12'!$C$10:$C$224,$C255,'TL12'!$J$10:$J$224),0),
IF('TL12'!$B$229=N$3,SUMIF('TL12'!$C$238:$C$451,$C255,'TL12'!$J$238:$J$451),0),
IF('TL13'!$B$3=N$3,SUMIF('TL13'!$C$10:$C$224,$C255,'TL13'!$J$10:$J$224),0),
IF('TL13'!$B$229=N$3,SUMIF('TL13'!$C$238:$C$451,$C255,'TL13'!$J$238:$J$451),0),
IF('TL14'!$B$3=N$3,SUMIF('TL14'!$C$10:$C$224,$C255,'TL14'!$J$10:$J$224),0),
IF('TL14'!$B$229=N$3,SUMIF('TL14'!$C$238:$C$451,$C255,'TL14'!$J$238:$J$451),0),
IF('TL15'!$B$3=N$3,SUMIF('TL15'!$C$10:$C$224,$C255,'TL15'!$J$10:$J$224),0),
IF('TL15'!$B$229=N$3,SUMIF('TL15'!$C$238:$C$451,$C255,'TL15'!$J$238:$J$451),0),
IF('TL16'!$B$3=N$3,SUMIF('TL16'!$C$10:$C$224,$C255,'TL16'!$J$10:$J$224),0),
IF('TL16'!$B$229=N$3,SUMIF('TL16'!$C$238:$C$451,$C255,'TL16'!$J$238:$J$451),0),
IF('TL17'!$B$3=N$3,SUMIF('TL17'!$C$10:$C$224,$C255,'TL17'!$J$10:$J$224),0),
IF('TL17'!$B$229=N$3,SUMIF('TL17'!$C$238:$C$451,$C255,'TL17'!$J$238:$J$451),0),
IF('TL18'!$B$3=N$3,SUMIF('TL18'!$C$10:$C$224,$C255,'TL18'!$J$10:$J$224),0),
IF('TL18'!$B$229=N$3,SUMIF('TL18'!$C$238:$C$451,$C255,'TL18'!$J$238:$J$451),0),
IF('TL19'!$B$3=N$3,SUMIF('TL19'!$C$10:$C$224,$C255,'TL19'!$J$10:$J$224),0),
IF('TL19'!$B$229=N$3,SUMIF('TL19'!$C$238:$C$451,$C255,'TL19'!$J$238:$J$451),0)
),0)</f>
        <v>0</v>
      </c>
      <c r="O255" s="9">
        <f>IFERROR(SUM(
IF('TL01'!$B$3=O$3,SUMIF('TL01'!$C$10:$C$224,$C255,'TL01'!$J$10:$J$224),0),
IF('TL01'!$B$229=O$3,SUMIF('TL01'!$C$238:$C$451,$C255,'TL01'!$J$238:$J$451),0),
IF('TL02'!$B$3=O$3,SUMIF('TL02'!$C$10:$C$224,$C255,'TL02'!$J$10:$J$224),0),
IF('TL02'!$B$229=O$3,SUMIF('TL02'!$C$238:$C$451,$C255,'TL02'!$J$238:$J$451),0),
IF('TL03'!$B$3=O$3,SUMIF('TL03'!$C$10:$C$224,$C255,'TL03'!$J$10:$J$224),0),
IF('TL03'!$B$229=O$3,SUMIF('TL03'!$C$238:$C$451,$C255,'TL03'!$J$238:$J$451),0),
IF('TL04'!$B$3=O$3,SUMIF('TL04'!$C$10:$C$224,$C255,'TL04'!$J$10:$J$224),0),
IF('TL04'!$B$229=O$3,SUMIF('TL04'!$C$238:$C$451,$C255,'TL04'!$J$238:$J$451),0),
IF('TL05'!$B$3=O$3,SUMIF('TL05'!$C$10:$C$224,$C255,'TL05'!$J$10:$J$224),0),
IF('TL05'!$B$229=O$3,SUMIF('TL05'!$C$238:$C$451,$C255,'TL05'!$J$238:$J$451),0),
IF('TL06'!$B$3=O$3,SUMIF('TL06'!$C$10:$C$224,$C255,'TL06'!$J$10:$J$224),0),
IF('TL06'!$B$229=O$3,SUMIF('TL06'!$C$238:$C$451,$C255,'TL06'!$J$238:$J$451),0),
IF('TL07'!$B$3=O$3,SUMIF('TL07'!$C$10:$C$224,$C255,'TL07'!$J$10:$J$224),0),
IF('TL07'!$B$229=O$3,SUMIF('TL07'!$C$238:$C$451,$C255,'TL07'!$J$238:$J$451),0),
IF('TL08'!$B$3=O$3,SUMIF('TL08'!$C$10:$C$224,$C255,'TL08'!$J$10:$J$224),0),
IF('TL08'!$B$229=O$3,SUMIF('TL08'!$C$238:$C$451,$C255,'TL08'!$J$238:$J$451),0),
IF('TL09'!$B$3=O$3,SUMIF('TL09'!$C$10:$C$224,$C255,'TL09'!$J$10:$J$224),0),
IF('TL09'!$B$229=O$3,SUMIF('TL09'!$C$238:$C$451,$C255,'TL09'!$J$238:$J$451),0),
IF('TL10'!$B$3=O$3,SUMIF('TL10'!$C$10:$C$224,$C255,'TL10'!$J$10:$J$224),0),
IF('TL10'!$B$229=O$3,SUMIF('TL10'!$C$238:$C$451,$C255,'TL10'!$J$238:$J$451),0),
IF('TL11'!$B$3=O$3,SUMIF('TL11'!$C$10:$C$224,$C255,'TL11'!$J$10:$J$224),0),
IF('TL11'!$B$229=O$3,SUMIF('TL11'!$C$238:$C$451,$C255,'TL11'!$J$238:$J$451),0),
IF('TL12'!$B$3=O$3,SUMIF('TL12'!$C$10:$C$224,$C255,'TL12'!$J$10:$J$224),0),
IF('TL12'!$B$229=O$3,SUMIF('TL12'!$C$238:$C$451,$C255,'TL12'!$J$238:$J$451),0),
IF('TL13'!$B$3=O$3,SUMIF('TL13'!$C$10:$C$224,$C255,'TL13'!$J$10:$J$224),0),
IF('TL13'!$B$229=O$3,SUMIF('TL13'!$C$238:$C$451,$C255,'TL13'!$J$238:$J$451),0),
IF('TL14'!$B$3=O$3,SUMIF('TL14'!$C$10:$C$224,$C255,'TL14'!$J$10:$J$224),0),
IF('TL14'!$B$229=O$3,SUMIF('TL14'!$C$238:$C$451,$C255,'TL14'!$J$238:$J$451),0),
IF('TL15'!$B$3=O$3,SUMIF('TL15'!$C$10:$C$224,$C255,'TL15'!$J$10:$J$224),0),
IF('TL15'!$B$229=O$3,SUMIF('TL15'!$C$238:$C$451,$C255,'TL15'!$J$238:$J$451),0),
IF('TL16'!$B$3=O$3,SUMIF('TL16'!$C$10:$C$224,$C255,'TL16'!$J$10:$J$224),0),
IF('TL16'!$B$229=O$3,SUMIF('TL16'!$C$238:$C$451,$C255,'TL16'!$J$238:$J$451),0),
IF('TL17'!$B$3=O$3,SUMIF('TL17'!$C$10:$C$224,$C255,'TL17'!$J$10:$J$224),0),
IF('TL17'!$B$229=O$3,SUMIF('TL17'!$C$238:$C$451,$C255,'TL17'!$J$238:$J$451),0),
IF('TL18'!$B$3=O$3,SUMIF('TL18'!$C$10:$C$224,$C255,'TL18'!$J$10:$J$224),0),
IF('TL18'!$B$229=O$3,SUMIF('TL18'!$C$238:$C$451,$C255,'TL18'!$J$238:$J$451),0),
IF('TL19'!$B$3=O$3,SUMIF('TL19'!$C$10:$C$224,$C255,'TL19'!$J$10:$J$224),0),
IF('TL19'!$B$229=O$3,SUMIF('TL19'!$C$238:$C$451,$C255,'TL19'!$J$238:$J$451),0)
),0)</f>
        <v>220</v>
      </c>
      <c r="P255" s="9">
        <f>IFERROR(SUM(
IF('TL01'!$B$3=P$3,SUMIF('TL01'!$C$10:$C$224,$C255,'TL01'!$J$10:$J$224),0),
IF('TL01'!$B$229=P$3,SUMIF('TL01'!$C$238:$C$451,$C255,'TL01'!$J$238:$J$451),0),
IF('TL02'!$B$3=P$3,SUMIF('TL02'!$C$10:$C$224,$C255,'TL02'!$J$10:$J$224),0),
IF('TL02'!$B$229=P$3,SUMIF('TL02'!$C$238:$C$451,$C255,'TL02'!$J$238:$J$451),0),
IF('TL03'!$B$3=P$3,SUMIF('TL03'!$C$10:$C$224,$C255,'TL03'!$J$10:$J$224),0),
IF('TL03'!$B$229=P$3,SUMIF('TL03'!$C$238:$C$451,$C255,'TL03'!$J$238:$J$451),0),
IF('TL04'!$B$3=P$3,SUMIF('TL04'!$C$10:$C$224,$C255,'TL04'!$J$10:$J$224),0),
IF('TL04'!$B$229=P$3,SUMIF('TL04'!$C$238:$C$451,$C255,'TL04'!$J$238:$J$451),0),
IF('TL05'!$B$3=P$3,SUMIF('TL05'!$C$10:$C$224,$C255,'TL05'!$J$10:$J$224),0),
IF('TL05'!$B$229=P$3,SUMIF('TL05'!$C$238:$C$451,$C255,'TL05'!$J$238:$J$451),0),
IF('TL06'!$B$3=P$3,SUMIF('TL06'!$C$10:$C$224,$C255,'TL06'!$J$10:$J$224),0),
IF('TL06'!$B$229=P$3,SUMIF('TL06'!$C$238:$C$451,$C255,'TL06'!$J$238:$J$451),0),
IF('TL07'!$B$3=P$3,SUMIF('TL07'!$C$10:$C$224,$C255,'TL07'!$J$10:$J$224),0),
IF('TL07'!$B$229=P$3,SUMIF('TL07'!$C$238:$C$451,$C255,'TL07'!$J$238:$J$451),0),
IF('TL08'!$B$3=P$3,SUMIF('TL08'!$C$10:$C$224,$C255,'TL08'!$J$10:$J$224),0),
IF('TL08'!$B$229=P$3,SUMIF('TL08'!$C$238:$C$451,$C255,'TL08'!$J$238:$J$451),0),
IF('TL09'!$B$3=P$3,SUMIF('TL09'!$C$10:$C$224,$C255,'TL09'!$J$10:$J$224),0),
IF('TL09'!$B$229=P$3,SUMIF('TL09'!$C$238:$C$451,$C255,'TL09'!$J$238:$J$451),0),
IF('TL10'!$B$3=P$3,SUMIF('TL10'!$C$10:$C$224,$C255,'TL10'!$J$10:$J$224),0),
IF('TL10'!$B$229=P$3,SUMIF('TL10'!$C$238:$C$451,$C255,'TL10'!$J$238:$J$451),0),
IF('TL11'!$B$3=P$3,SUMIF('TL11'!$C$10:$C$224,$C255,'TL11'!$J$10:$J$224),0),
IF('TL11'!$B$229=P$3,SUMIF('TL11'!$C$238:$C$451,$C255,'TL11'!$J$238:$J$451),0),
IF('TL12'!$B$3=P$3,SUMIF('TL12'!$C$10:$C$224,$C255,'TL12'!$J$10:$J$224),0),
IF('TL12'!$B$229=P$3,SUMIF('TL12'!$C$238:$C$451,$C255,'TL12'!$J$238:$J$451),0),
IF('TL13'!$B$3=P$3,SUMIF('TL13'!$C$10:$C$224,$C255,'TL13'!$J$10:$J$224),0),
IF('TL13'!$B$229=P$3,SUMIF('TL13'!$C$238:$C$451,$C255,'TL13'!$J$238:$J$451),0),
IF('TL14'!$B$3=P$3,SUMIF('TL14'!$C$10:$C$224,$C255,'TL14'!$J$10:$J$224),0),
IF('TL14'!$B$229=P$3,SUMIF('TL14'!$C$238:$C$451,$C255,'TL14'!$J$238:$J$451),0),
IF('TL15'!$B$3=P$3,SUMIF('TL15'!$C$10:$C$224,$C255,'TL15'!$J$10:$J$224),0),
IF('TL15'!$B$229=P$3,SUMIF('TL15'!$C$238:$C$451,$C255,'TL15'!$J$238:$J$451),0),
IF('TL16'!$B$3=P$3,SUMIF('TL16'!$C$10:$C$224,$C255,'TL16'!$J$10:$J$224),0),
IF('TL16'!$B$229=P$3,SUMIF('TL16'!$C$238:$C$451,$C255,'TL16'!$J$238:$J$451),0),
IF('TL17'!$B$3=P$3,SUMIF('TL17'!$C$10:$C$224,$C255,'TL17'!$J$10:$J$224),0),
IF('TL17'!$B$229=P$3,SUMIF('TL17'!$C$238:$C$451,$C255,'TL17'!$J$238:$J$451),0),
IF('TL18'!$B$3=P$3,SUMIF('TL18'!$C$10:$C$224,$C255,'TL18'!$J$10:$J$224),0),
IF('TL18'!$B$229=P$3,SUMIF('TL18'!$C$238:$C$451,$C255,'TL18'!$J$238:$J$451),0),
IF('TL19'!$B$3=P$3,SUMIF('TL19'!$C$10:$C$224,$C255,'TL19'!$J$10:$J$224),0),
IF('TL19'!$B$229=P$3,SUMIF('TL19'!$C$238:$C$451,$C255,'TL19'!$J$238:$J$451),0)
),0)</f>
        <v>1218</v>
      </c>
      <c r="Q255" s="9">
        <f>IFERROR(SUM(
IF('TL01'!$B$3=Q$3,SUMIF('TL01'!$C$10:$C$224,$C255,'TL01'!$J$10:$J$224),0),
IF('TL01'!$B$229=Q$3,SUMIF('TL01'!$C$238:$C$451,$C255,'TL01'!$J$238:$J$451),0),
IF('TL02'!$B$3=Q$3,SUMIF('TL02'!$C$10:$C$224,$C255,'TL02'!$J$10:$J$224),0),
IF('TL02'!$B$229=Q$3,SUMIF('TL02'!$C$238:$C$451,$C255,'TL02'!$J$238:$J$451),0),
IF('TL03'!$B$3=Q$3,SUMIF('TL03'!$C$10:$C$224,$C255,'TL03'!$J$10:$J$224),0),
IF('TL03'!$B$229=Q$3,SUMIF('TL03'!$C$238:$C$451,$C255,'TL03'!$J$238:$J$451),0),
IF('TL04'!$B$3=Q$3,SUMIF('TL04'!$C$10:$C$224,$C255,'TL04'!$J$10:$J$224),0),
IF('TL04'!$B$229=Q$3,SUMIF('TL04'!$C$238:$C$451,$C255,'TL04'!$J$238:$J$451),0),
IF('TL05'!$B$3=Q$3,SUMIF('TL05'!$C$10:$C$224,$C255,'TL05'!$J$10:$J$224),0),
IF('TL05'!$B$229=Q$3,SUMIF('TL05'!$C$238:$C$451,$C255,'TL05'!$J$238:$J$451),0),
IF('TL06'!$B$3=Q$3,SUMIF('TL06'!$C$10:$C$224,$C255,'TL06'!$J$10:$J$224),0),
IF('TL06'!$B$229=Q$3,SUMIF('TL06'!$C$238:$C$451,$C255,'TL06'!$J$238:$J$451),0),
IF('TL07'!$B$3=Q$3,SUMIF('TL07'!$C$10:$C$224,$C255,'TL07'!$J$10:$J$224),0),
IF('TL07'!$B$229=Q$3,SUMIF('TL07'!$C$238:$C$451,$C255,'TL07'!$J$238:$J$451),0),
IF('TL08'!$B$3=Q$3,SUMIF('TL08'!$C$10:$C$224,$C255,'TL08'!$J$10:$J$224),0),
IF('TL08'!$B$229=Q$3,SUMIF('TL08'!$C$238:$C$451,$C255,'TL08'!$J$238:$J$451),0),
IF('TL09'!$B$3=Q$3,SUMIF('TL09'!$C$10:$C$224,$C255,'TL09'!$J$10:$J$224),0),
IF('TL09'!$B$229=Q$3,SUMIF('TL09'!$C$238:$C$451,$C255,'TL09'!$J$238:$J$451),0),
IF('TL10'!$B$3=Q$3,SUMIF('TL10'!$C$10:$C$224,$C255,'TL10'!$J$10:$J$224),0),
IF('TL10'!$B$229=Q$3,SUMIF('TL10'!$C$238:$C$451,$C255,'TL10'!$J$238:$J$451),0),
IF('TL11'!$B$3=Q$3,SUMIF('TL11'!$C$10:$C$224,$C255,'TL11'!$J$10:$J$224),0),
IF('TL11'!$B$229=Q$3,SUMIF('TL11'!$C$238:$C$451,$C255,'TL11'!$J$238:$J$451),0),
IF('TL12'!$B$3=Q$3,SUMIF('TL12'!$C$10:$C$224,$C255,'TL12'!$J$10:$J$224),0),
IF('TL12'!$B$229=Q$3,SUMIF('TL12'!$C$238:$C$451,$C255,'TL12'!$J$238:$J$451),0),
IF('TL13'!$B$3=Q$3,SUMIF('TL13'!$C$10:$C$224,$C255,'TL13'!$J$10:$J$224),0),
IF('TL13'!$B$229=Q$3,SUMIF('TL13'!$C$238:$C$451,$C255,'TL13'!$J$238:$J$451),0),
IF('TL14'!$B$3=Q$3,SUMIF('TL14'!$C$10:$C$224,$C255,'TL14'!$J$10:$J$224),0),
IF('TL14'!$B$229=Q$3,SUMIF('TL14'!$C$238:$C$451,$C255,'TL14'!$J$238:$J$451),0),
IF('TL15'!$B$3=Q$3,SUMIF('TL15'!$C$10:$C$224,$C255,'TL15'!$J$10:$J$224),0),
IF('TL15'!$B$229=Q$3,SUMIF('TL15'!$C$238:$C$451,$C255,'TL15'!$J$238:$J$451),0),
IF('TL16'!$B$3=Q$3,SUMIF('TL16'!$C$10:$C$224,$C255,'TL16'!$J$10:$J$224),0),
IF('TL16'!$B$229=Q$3,SUMIF('TL16'!$C$238:$C$451,$C255,'TL16'!$J$238:$J$451),0),
IF('TL17'!$B$3=Q$3,SUMIF('TL17'!$C$10:$C$224,$C255,'TL17'!$J$10:$J$224),0),
IF('TL17'!$B$229=Q$3,SUMIF('TL17'!$C$238:$C$451,$C255,'TL17'!$J$238:$J$451),0),
IF('TL18'!$B$3=Q$3,SUMIF('TL18'!$C$10:$C$224,$C255,'TL18'!$J$10:$J$224),0),
IF('TL18'!$B$229=Q$3,SUMIF('TL18'!$C$238:$C$451,$C255,'TL18'!$J$238:$J$451),0),
IF('TL19'!$B$3=Q$3,SUMIF('TL19'!$C$10:$C$224,$C255,'TL19'!$J$10:$J$224),0),
IF('TL19'!$B$229=Q$3,SUMIF('TL19'!$C$238:$C$451,$C255,'TL19'!$J$238:$J$451),0)
),0)</f>
        <v>320</v>
      </c>
      <c r="R255" s="9">
        <f>IFERROR(
SUM(
SUMIF('TL01'!C:C,C255,'TL01'!J:J),
SUMIF('TL02'!C:C,C255,'TL02'!J:J),
SUMIF('TL03'!C:C,C255,'TL03'!J:J),
SUMIF('TL04'!C:C,C255,'TL04'!J:J),
SUMIF('TL05'!C:C,C255,'TL05'!J:J),
SUMIF('TL06'!C:C,C255,'TL06'!J:J),
SUMIF('TL07'!C:C,C255,'TL07'!J:J),
SUMIF('TL08'!C:C,C255,'TL08'!J:J),
SUMIF('TL09'!C:C,C255,'TL09'!J:J),
SUMIF('TL10'!C:C,C255,'TL10'!J:J),
SUMIF('TL11'!C:C,C255,'TL11'!J:J),
SUMIF('TL12'!C:C,C255,'TL12'!J:J),
SUMIF('TL13'!C:C,C255,'TL13'!J:J),
SUMIF('TL14'!C:C,C255,'TL14'!J:J),
SUMIF('TL15'!C:C,C255,'TL15'!J:J),
SUMIF('TL16'!C:C,C255,'TL16'!J:J),
SUMIF('TL17'!C:C,C255,'TL17'!J:J),
SUMIF('TL18'!C:C,C255,'TL18'!J:J),SUMIF('TL19'!C:C,C255,'TL19'!J:J))
,0)</f>
        <v>2278</v>
      </c>
      <c r="S255" s="17">
        <f>IFERROR(__xludf.DUMMYFUNCTION("IFERROR(VLOOKUP(C255,
IMPORTRANGE(""1wULbzX32WdYsx-lj2U3uUNBBe2INVIRDtcK0d-Dvl90"",
""26-27!C:G""),
5,
FALSE),
"""")"),44.78)</f>
        <v>44.78</v>
      </c>
      <c r="T255" s="9"/>
      <c r="U255" s="92">
        <f t="shared" si="2"/>
        <v>2278</v>
      </c>
      <c r="V255" s="93">
        <f t="shared" si="3"/>
        <v>102008.84</v>
      </c>
    </row>
    <row r="256" ht="15.75" hidden="1" customHeight="1">
      <c r="A256" s="4" t="s">
        <v>932</v>
      </c>
      <c r="B256" s="125" t="s">
        <v>9</v>
      </c>
      <c r="C256" s="4" t="s">
        <v>936</v>
      </c>
      <c r="D256" s="4" t="s">
        <v>937</v>
      </c>
      <c r="E256" s="9" t="s">
        <v>938</v>
      </c>
      <c r="F256" s="4" t="s">
        <v>343</v>
      </c>
      <c r="G256" s="9"/>
      <c r="H256" s="9">
        <v>0.3</v>
      </c>
      <c r="I256" s="1"/>
      <c r="J256" s="9">
        <f>IFERROR(SUM(
IF('TL01'!$B$3=J$3,SUMIF('TL01'!$C$10:$C$224,$C256,'TL01'!$J$10:$J$224),0),
IF('TL01'!$B$229=J$3,SUMIF('TL01'!$C$238:$C$451,$C256,'TL01'!$J$238:$J$451),0),
IF('TL02'!$B$3=J$3,SUMIF('TL02'!$C$10:$C$224,$C256,'TL02'!$J$10:$J$224),0),
IF('TL02'!$B$229=J$3,SUMIF('TL02'!$C$238:$C$451,$C256,'TL02'!$J$238:$J$451),0),
IF('TL03'!$B$3=J$3,SUMIF('TL03'!$C$10:$C$224,$C256,'TL03'!$J$10:$J$224),0),
IF('TL03'!$B$229=J$3,SUMIF('TL03'!$C$238:$C$451,$C256,'TL03'!$J$238:$J$451),0),
IF('TL04'!$B$3=J$3,SUMIF('TL04'!$C$10:$C$224,$C256,'TL04'!$J$10:$J$224),0),
IF('TL04'!$B$229=J$3,SUMIF('TL04'!$C$238:$C$451,$C256,'TL04'!$J$238:$J$451),0),
IF('TL05'!$B$3=J$3,SUMIF('TL05'!$C$10:$C$224,$C256,'TL05'!$J$10:$J$224),0),
IF('TL05'!$B$229=J$3,SUMIF('TL05'!$C$238:$C$451,$C256,'TL05'!$J$238:$J$451),0),
IF('TL06'!$B$3=J$3,SUMIF('TL06'!$C$10:$C$224,$C256,'TL06'!$J$10:$J$224),0),
IF('TL06'!$B$229=J$3,SUMIF('TL06'!$C$238:$C$451,$C256,'TL06'!$J$238:$J$451),0),
IF('TL07'!$B$3=J$3,SUMIF('TL07'!$C$10:$C$224,$C256,'TL07'!$J$10:$J$224),0),
IF('TL07'!$B$229=J$3,SUMIF('TL07'!$C$238:$C$451,$C256,'TL07'!$J$238:$J$451),0),
IF('TL08'!$B$3=J$3,SUMIF('TL08'!$C$10:$C$224,$C256,'TL08'!$J$10:$J$224),0),
IF('TL08'!$B$229=J$3,SUMIF('TL08'!$C$238:$C$451,$C256,'TL08'!$J$238:$J$451),0),
IF('TL09'!$B$3=J$3,SUMIF('TL09'!$C$10:$C$224,$C256,'TL09'!$J$10:$J$224),0),
IF('TL09'!$B$229=J$3,SUMIF('TL09'!$C$238:$C$451,$C256,'TL09'!$J$238:$J$451),0),
IF('TL10'!$B$3=J$3,SUMIF('TL10'!$C$10:$C$224,$C256,'TL10'!$J$10:$J$224),0),
IF('TL10'!$B$229=J$3,SUMIF('TL10'!$C$238:$C$451,$C256,'TL10'!$J$238:$J$451),0),
IF('TL11'!$B$3=J$3,SUMIF('TL11'!$C$10:$C$224,$C256,'TL11'!$J$10:$J$224),0),
IF('TL11'!$B$229=J$3,SUMIF('TL11'!$C$238:$C$451,$C256,'TL11'!$J$238:$J$451),0),
IF('TL12'!$B$3=J$3,SUMIF('TL12'!$C$10:$C$224,$C256,'TL12'!$J$10:$J$224),0),
IF('TL12'!$B$229=J$3,SUMIF('TL12'!$C$238:$C$451,$C256,'TL12'!$J$238:$J$451),0),
IF('TL13'!$B$3=J$3,SUMIF('TL13'!$C$10:$C$224,$C256,'TL13'!$J$10:$J$224),0),
IF('TL13'!$B$229=J$3,SUMIF('TL13'!$C$238:$C$451,$C256,'TL13'!$J$238:$J$451),0),
IF('TL14'!$B$3=J$3,SUMIF('TL14'!$C$10:$C$224,$C256,'TL14'!$J$10:$J$224),0),
IF('TL14'!$B$229=J$3,SUMIF('TL14'!$C$238:$C$451,$C256,'TL14'!$J$238:$J$451),0),
IF('TL15'!$B$3=J$3,SUMIF('TL15'!$C$10:$C$224,$C256,'TL15'!$J$10:$J$224),0),
IF('TL15'!$B$229=J$3,SUMIF('TL15'!$C$238:$C$451,$C256,'TL15'!$J$238:$J$451),0),
IF('TL16'!$B$3=J$3,SUMIF('TL16'!$C$10:$C$224,$C256,'TL16'!$J$10:$J$224),0),
IF('TL16'!$B$229=J$3,SUMIF('TL16'!$C$238:$C$451,$C256,'TL16'!$J$238:$J$451),0),
IF('TL17'!$B$3=J$3,SUMIF('TL17'!$C$10:$C$224,$C256,'TL17'!$J$10:$J$224),0),
IF('TL17'!$B$229=J$3,SUMIF('TL17'!$C$238:$C$451,$C256,'TL17'!$J$238:$J$451),0),
IF('TL18'!$B$3=J$3,SUMIF('TL18'!$C$10:$C$224,$C256,'TL18'!$J$10:$J$224),0),
IF('TL18'!$B$229=J$3,SUMIF('TL18'!$C$238:$C$451,$C256,'TL18'!$J$238:$J$451),0),
IF('TL19'!$B$3=J$3,SUMIF('TL19'!$C$10:$C$224,$C256,'TL19'!$J$10:$J$224),0),
IF('TL19'!$B$229=J$3,SUMIF('TL19'!$C$238:$C$451,$C256,'TL19'!$J$238:$J$451),0)
),0)</f>
        <v>0</v>
      </c>
      <c r="K256" s="9">
        <f>IFERROR(SUM(
IF('TL01'!$B$3=K$3,SUMIF('TL01'!$C$10:$C$224,$C256,'TL01'!$J$10:$J$224),0),
IF('TL01'!$B$229=K$3,SUMIF('TL01'!$C$238:$C$451,$C256,'TL01'!$J$238:$J$451),0),
IF('TL02'!$B$3=K$3,SUMIF('TL02'!$C$10:$C$224,$C256,'TL02'!$J$10:$J$224),0),
IF('TL02'!$B$229=K$3,SUMIF('TL02'!$C$238:$C$451,$C256,'TL02'!$J$238:$J$451),0),
IF('TL03'!$B$3=K$3,SUMIF('TL03'!$C$10:$C$224,$C256,'TL03'!$J$10:$J$224),0),
IF('TL03'!$B$229=K$3,SUMIF('TL03'!$C$238:$C$451,$C256,'TL03'!$J$238:$J$451),0),
IF('TL04'!$B$3=K$3,SUMIF('TL04'!$C$10:$C$224,$C256,'TL04'!$J$10:$J$224),0),
IF('TL04'!$B$229=K$3,SUMIF('TL04'!$C$238:$C$451,$C256,'TL04'!$J$238:$J$451),0),
IF('TL05'!$B$3=K$3,SUMIF('TL05'!$C$10:$C$224,$C256,'TL05'!$J$10:$J$224),0),
IF('TL05'!$B$229=K$3,SUMIF('TL05'!$C$238:$C$451,$C256,'TL05'!$J$238:$J$451),0),
IF('TL06'!$B$3=K$3,SUMIF('TL06'!$C$10:$C$224,$C256,'TL06'!$J$10:$J$224),0),
IF('TL06'!$B$229=K$3,SUMIF('TL06'!$C$238:$C$451,$C256,'TL06'!$J$238:$J$451),0),
IF('TL07'!$B$3=K$3,SUMIF('TL07'!$C$10:$C$224,$C256,'TL07'!$J$10:$J$224),0),
IF('TL07'!$B$229=K$3,SUMIF('TL07'!$C$238:$C$451,$C256,'TL07'!$J$238:$J$451),0),
IF('TL08'!$B$3=K$3,SUMIF('TL08'!$C$10:$C$224,$C256,'TL08'!$J$10:$J$224),0),
IF('TL08'!$B$229=K$3,SUMIF('TL08'!$C$238:$C$451,$C256,'TL08'!$J$238:$J$451),0),
IF('TL09'!$B$3=K$3,SUMIF('TL09'!$C$10:$C$224,$C256,'TL09'!$J$10:$J$224),0),
IF('TL09'!$B$229=K$3,SUMIF('TL09'!$C$238:$C$451,$C256,'TL09'!$J$238:$J$451),0),
IF('TL10'!$B$3=K$3,SUMIF('TL10'!$C$10:$C$224,$C256,'TL10'!$J$10:$J$224),0),
IF('TL10'!$B$229=K$3,SUMIF('TL10'!$C$238:$C$451,$C256,'TL10'!$J$238:$J$451),0),
IF('TL11'!$B$3=K$3,SUMIF('TL11'!$C$10:$C$224,$C256,'TL11'!$J$10:$J$224),0),
IF('TL11'!$B$229=K$3,SUMIF('TL11'!$C$238:$C$451,$C256,'TL11'!$J$238:$J$451),0),
IF('TL12'!$B$3=K$3,SUMIF('TL12'!$C$10:$C$224,$C256,'TL12'!$J$10:$J$224),0),
IF('TL12'!$B$229=K$3,SUMIF('TL12'!$C$238:$C$451,$C256,'TL12'!$J$238:$J$451),0),
IF('TL13'!$B$3=K$3,SUMIF('TL13'!$C$10:$C$224,$C256,'TL13'!$J$10:$J$224),0),
IF('TL13'!$B$229=K$3,SUMIF('TL13'!$C$238:$C$451,$C256,'TL13'!$J$238:$J$451),0),
IF('TL14'!$B$3=K$3,SUMIF('TL14'!$C$10:$C$224,$C256,'TL14'!$J$10:$J$224),0),
IF('TL14'!$B$229=K$3,SUMIF('TL14'!$C$238:$C$451,$C256,'TL14'!$J$238:$J$451),0),
IF('TL15'!$B$3=K$3,SUMIF('TL15'!$C$10:$C$224,$C256,'TL15'!$J$10:$J$224),0),
IF('TL15'!$B$229=K$3,SUMIF('TL15'!$C$238:$C$451,$C256,'TL15'!$J$238:$J$451),0),
IF('TL16'!$B$3=K$3,SUMIF('TL16'!$C$10:$C$224,$C256,'TL16'!$J$10:$J$224),0),
IF('TL16'!$B$229=K$3,SUMIF('TL16'!$C$238:$C$451,$C256,'TL16'!$J$238:$J$451),0),
IF('TL17'!$B$3=K$3,SUMIF('TL17'!$C$10:$C$224,$C256,'TL17'!$J$10:$J$224),0),
IF('TL17'!$B$229=K$3,SUMIF('TL17'!$C$238:$C$451,$C256,'TL17'!$J$238:$J$451),0),
IF('TL18'!$B$3=K$3,SUMIF('TL18'!$C$10:$C$224,$C256,'TL18'!$J$10:$J$224),0),
IF('TL18'!$B$229=K$3,SUMIF('TL18'!$C$238:$C$451,$C256,'TL18'!$J$238:$J$451),0),
IF('TL19'!$B$3=K$3,SUMIF('TL19'!$C$10:$C$224,$C256,'TL19'!$J$10:$J$224),0),
IF('TL19'!$B$229=K$3,SUMIF('TL19'!$C$238:$C$451,$C256,'TL19'!$J$238:$J$451),0)
),0)</f>
        <v>0</v>
      </c>
      <c r="L256" s="9">
        <f>IFERROR(SUM(
IF('TL01'!$B$3=L$3,SUMIF('TL01'!$C$10:$C$224,$C256,'TL01'!$J$10:$J$224),0),
IF('TL01'!$B$229=L$3,SUMIF('TL01'!$C$238:$C$451,$C256,'TL01'!$J$238:$J$451),0),
IF('TL02'!$B$3=L$3,SUMIF('TL02'!$C$10:$C$224,$C256,'TL02'!$J$10:$J$224),0),
IF('TL02'!$B$229=L$3,SUMIF('TL02'!$C$238:$C$451,$C256,'TL02'!$J$238:$J$451),0),
IF('TL03'!$B$3=L$3,SUMIF('TL03'!$C$10:$C$224,$C256,'TL03'!$J$10:$J$224),0),
IF('TL03'!$B$229=L$3,SUMIF('TL03'!$C$238:$C$451,$C256,'TL03'!$J$238:$J$451),0),
IF('TL04'!$B$3=L$3,SUMIF('TL04'!$C$10:$C$224,$C256,'TL04'!$J$10:$J$224),0),
IF('TL04'!$B$229=L$3,SUMIF('TL04'!$C$238:$C$451,$C256,'TL04'!$J$238:$J$451),0),
IF('TL05'!$B$3=L$3,SUMIF('TL05'!$C$10:$C$224,$C256,'TL05'!$J$10:$J$224),0),
IF('TL05'!$B$229=L$3,SUMIF('TL05'!$C$238:$C$451,$C256,'TL05'!$J$238:$J$451),0),
IF('TL06'!$B$3=L$3,SUMIF('TL06'!$C$10:$C$224,$C256,'TL06'!$J$10:$J$224),0),
IF('TL06'!$B$229=L$3,SUMIF('TL06'!$C$238:$C$451,$C256,'TL06'!$J$238:$J$451),0),
IF('TL07'!$B$3=L$3,SUMIF('TL07'!$C$10:$C$224,$C256,'TL07'!$J$10:$J$224),0),
IF('TL07'!$B$229=L$3,SUMIF('TL07'!$C$238:$C$451,$C256,'TL07'!$J$238:$J$451),0),
IF('TL08'!$B$3=L$3,SUMIF('TL08'!$C$10:$C$224,$C256,'TL08'!$J$10:$J$224),0),
IF('TL08'!$B$229=L$3,SUMIF('TL08'!$C$238:$C$451,$C256,'TL08'!$J$238:$J$451),0),
IF('TL09'!$B$3=L$3,SUMIF('TL09'!$C$10:$C$224,$C256,'TL09'!$J$10:$J$224),0),
IF('TL09'!$B$229=L$3,SUMIF('TL09'!$C$238:$C$451,$C256,'TL09'!$J$238:$J$451),0),
IF('TL10'!$B$3=L$3,SUMIF('TL10'!$C$10:$C$224,$C256,'TL10'!$J$10:$J$224),0),
IF('TL10'!$B$229=L$3,SUMIF('TL10'!$C$238:$C$451,$C256,'TL10'!$J$238:$J$451),0),
IF('TL11'!$B$3=L$3,SUMIF('TL11'!$C$10:$C$224,$C256,'TL11'!$J$10:$J$224),0),
IF('TL11'!$B$229=L$3,SUMIF('TL11'!$C$238:$C$451,$C256,'TL11'!$J$238:$J$451),0),
IF('TL12'!$B$3=L$3,SUMIF('TL12'!$C$10:$C$224,$C256,'TL12'!$J$10:$J$224),0),
IF('TL12'!$B$229=L$3,SUMIF('TL12'!$C$238:$C$451,$C256,'TL12'!$J$238:$J$451),0),
IF('TL13'!$B$3=L$3,SUMIF('TL13'!$C$10:$C$224,$C256,'TL13'!$J$10:$J$224),0),
IF('TL13'!$B$229=L$3,SUMIF('TL13'!$C$238:$C$451,$C256,'TL13'!$J$238:$J$451),0),
IF('TL14'!$B$3=L$3,SUMIF('TL14'!$C$10:$C$224,$C256,'TL14'!$J$10:$J$224),0),
IF('TL14'!$B$229=L$3,SUMIF('TL14'!$C$238:$C$451,$C256,'TL14'!$J$238:$J$451),0),
IF('TL15'!$B$3=L$3,SUMIF('TL15'!$C$10:$C$224,$C256,'TL15'!$J$10:$J$224),0),
IF('TL15'!$B$229=L$3,SUMIF('TL15'!$C$238:$C$451,$C256,'TL15'!$J$238:$J$451),0),
IF('TL16'!$B$3=L$3,SUMIF('TL16'!$C$10:$C$224,$C256,'TL16'!$J$10:$J$224),0),
IF('TL16'!$B$229=L$3,SUMIF('TL16'!$C$238:$C$451,$C256,'TL16'!$J$238:$J$451),0),
IF('TL17'!$B$3=L$3,SUMIF('TL17'!$C$10:$C$224,$C256,'TL17'!$J$10:$J$224),0),
IF('TL17'!$B$229=L$3,SUMIF('TL17'!$C$238:$C$451,$C256,'TL17'!$J$238:$J$451),0),
IF('TL18'!$B$3=L$3,SUMIF('TL18'!$C$10:$C$224,$C256,'TL18'!$J$10:$J$224),0),
IF('TL18'!$B$229=L$3,SUMIF('TL18'!$C$238:$C$451,$C256,'TL18'!$J$238:$J$451),0),
IF('TL19'!$B$3=L$3,SUMIF('TL19'!$C$10:$C$224,$C256,'TL19'!$J$10:$J$224),0),
IF('TL19'!$B$229=L$3,SUMIF('TL19'!$C$238:$C$451,$C256,'TL19'!$J$238:$J$451),0)
),0)</f>
        <v>0</v>
      </c>
      <c r="M256" s="9">
        <f>IFERROR(SUM(
IF('TL01'!$B$3=M$3,SUMIF('TL01'!$C$10:$C$224,$C256,'TL01'!$J$10:$J$224),0),
IF('TL01'!$B$229=M$3,SUMIF('TL01'!$C$238:$C$451,$C256,'TL01'!$J$238:$J$451),0),
IF('TL02'!$B$3=M$3,SUMIF('TL02'!$C$10:$C$224,$C256,'TL02'!$J$10:$J$224),0),
IF('TL02'!$B$229=M$3,SUMIF('TL02'!$C$238:$C$451,$C256,'TL02'!$J$238:$J$451),0),
IF('TL03'!$B$3=M$3,SUMIF('TL03'!$C$10:$C$224,$C256,'TL03'!$J$10:$J$224),0),
IF('TL03'!$B$229=M$3,SUMIF('TL03'!$C$238:$C$451,$C256,'TL03'!$J$238:$J$451),0),
IF('TL04'!$B$3=M$3,SUMIF('TL04'!$C$10:$C$224,$C256,'TL04'!$J$10:$J$224),0),
IF('TL04'!$B$229=M$3,SUMIF('TL04'!$C$238:$C$451,$C256,'TL04'!$J$238:$J$451),0),
IF('TL05'!$B$3=M$3,SUMIF('TL05'!$C$10:$C$224,$C256,'TL05'!$J$10:$J$224),0),
IF('TL05'!$B$229=M$3,SUMIF('TL05'!$C$238:$C$451,$C256,'TL05'!$J$238:$J$451),0),
IF('TL06'!$B$3=M$3,SUMIF('TL06'!$C$10:$C$224,$C256,'TL06'!$J$10:$J$224),0),
IF('TL06'!$B$229=M$3,SUMIF('TL06'!$C$238:$C$451,$C256,'TL06'!$J$238:$J$451),0),
IF('TL07'!$B$3=M$3,SUMIF('TL07'!$C$10:$C$224,$C256,'TL07'!$J$10:$J$224),0),
IF('TL07'!$B$229=M$3,SUMIF('TL07'!$C$238:$C$451,$C256,'TL07'!$J$238:$J$451),0),
IF('TL08'!$B$3=M$3,SUMIF('TL08'!$C$10:$C$224,$C256,'TL08'!$J$10:$J$224),0),
IF('TL08'!$B$229=M$3,SUMIF('TL08'!$C$238:$C$451,$C256,'TL08'!$J$238:$J$451),0),
IF('TL09'!$B$3=M$3,SUMIF('TL09'!$C$10:$C$224,$C256,'TL09'!$J$10:$J$224),0),
IF('TL09'!$B$229=M$3,SUMIF('TL09'!$C$238:$C$451,$C256,'TL09'!$J$238:$J$451),0),
IF('TL10'!$B$3=M$3,SUMIF('TL10'!$C$10:$C$224,$C256,'TL10'!$J$10:$J$224),0),
IF('TL10'!$B$229=M$3,SUMIF('TL10'!$C$238:$C$451,$C256,'TL10'!$J$238:$J$451),0),
IF('TL11'!$B$3=M$3,SUMIF('TL11'!$C$10:$C$224,$C256,'TL11'!$J$10:$J$224),0),
IF('TL11'!$B$229=M$3,SUMIF('TL11'!$C$238:$C$451,$C256,'TL11'!$J$238:$J$451),0),
IF('TL12'!$B$3=M$3,SUMIF('TL12'!$C$10:$C$224,$C256,'TL12'!$J$10:$J$224),0),
IF('TL12'!$B$229=M$3,SUMIF('TL12'!$C$238:$C$451,$C256,'TL12'!$J$238:$J$451),0),
IF('TL13'!$B$3=M$3,SUMIF('TL13'!$C$10:$C$224,$C256,'TL13'!$J$10:$J$224),0),
IF('TL13'!$B$229=M$3,SUMIF('TL13'!$C$238:$C$451,$C256,'TL13'!$J$238:$J$451),0),
IF('TL14'!$B$3=M$3,SUMIF('TL14'!$C$10:$C$224,$C256,'TL14'!$J$10:$J$224),0),
IF('TL14'!$B$229=M$3,SUMIF('TL14'!$C$238:$C$451,$C256,'TL14'!$J$238:$J$451),0),
IF('TL15'!$B$3=M$3,SUMIF('TL15'!$C$10:$C$224,$C256,'TL15'!$J$10:$J$224),0),
IF('TL15'!$B$229=M$3,SUMIF('TL15'!$C$238:$C$451,$C256,'TL15'!$J$238:$J$451),0),
IF('TL16'!$B$3=M$3,SUMIF('TL16'!$C$10:$C$224,$C256,'TL16'!$J$10:$J$224),0),
IF('TL16'!$B$229=M$3,SUMIF('TL16'!$C$238:$C$451,$C256,'TL16'!$J$238:$J$451),0),
IF('TL17'!$B$3=M$3,SUMIF('TL17'!$C$10:$C$224,$C256,'TL17'!$J$10:$J$224),0),
IF('TL17'!$B$229=M$3,SUMIF('TL17'!$C$238:$C$451,$C256,'TL17'!$J$238:$J$451),0),
IF('TL18'!$B$3=M$3,SUMIF('TL18'!$C$10:$C$224,$C256,'TL18'!$J$10:$J$224),0),
IF('TL18'!$B$229=M$3,SUMIF('TL18'!$C$238:$C$451,$C256,'TL18'!$J$238:$J$451),0),
IF('TL19'!$B$3=M$3,SUMIF('TL19'!$C$10:$C$224,$C256,'TL19'!$J$10:$J$224),0),
IF('TL19'!$B$229=M$3,SUMIF('TL19'!$C$238:$C$451,$C256,'TL19'!$J$238:$J$451),0)
),0)</f>
        <v>0</v>
      </c>
      <c r="N256" s="9">
        <f>IFERROR(SUM(
IF('TL01'!$B$3=N$3,SUMIF('TL01'!$C$10:$C$224,$C256,'TL01'!$J$10:$J$224),0),
IF('TL01'!$B$229=N$3,SUMIF('TL01'!$C$238:$C$451,$C256,'TL01'!$J$238:$J$451),0),
IF('TL02'!$B$3=N$3,SUMIF('TL02'!$C$10:$C$224,$C256,'TL02'!$J$10:$J$224),0),
IF('TL02'!$B$229=N$3,SUMIF('TL02'!$C$238:$C$451,$C256,'TL02'!$J$238:$J$451),0),
IF('TL03'!$B$3=N$3,SUMIF('TL03'!$C$10:$C$224,$C256,'TL03'!$J$10:$J$224),0),
IF('TL03'!$B$229=N$3,SUMIF('TL03'!$C$238:$C$451,$C256,'TL03'!$J$238:$J$451),0),
IF('TL04'!$B$3=N$3,SUMIF('TL04'!$C$10:$C$224,$C256,'TL04'!$J$10:$J$224),0),
IF('TL04'!$B$229=N$3,SUMIF('TL04'!$C$238:$C$451,$C256,'TL04'!$J$238:$J$451),0),
IF('TL05'!$B$3=N$3,SUMIF('TL05'!$C$10:$C$224,$C256,'TL05'!$J$10:$J$224),0),
IF('TL05'!$B$229=N$3,SUMIF('TL05'!$C$238:$C$451,$C256,'TL05'!$J$238:$J$451),0),
IF('TL06'!$B$3=N$3,SUMIF('TL06'!$C$10:$C$224,$C256,'TL06'!$J$10:$J$224),0),
IF('TL06'!$B$229=N$3,SUMIF('TL06'!$C$238:$C$451,$C256,'TL06'!$J$238:$J$451),0),
IF('TL07'!$B$3=N$3,SUMIF('TL07'!$C$10:$C$224,$C256,'TL07'!$J$10:$J$224),0),
IF('TL07'!$B$229=N$3,SUMIF('TL07'!$C$238:$C$451,$C256,'TL07'!$J$238:$J$451),0),
IF('TL08'!$B$3=N$3,SUMIF('TL08'!$C$10:$C$224,$C256,'TL08'!$J$10:$J$224),0),
IF('TL08'!$B$229=N$3,SUMIF('TL08'!$C$238:$C$451,$C256,'TL08'!$J$238:$J$451),0),
IF('TL09'!$B$3=N$3,SUMIF('TL09'!$C$10:$C$224,$C256,'TL09'!$J$10:$J$224),0),
IF('TL09'!$B$229=N$3,SUMIF('TL09'!$C$238:$C$451,$C256,'TL09'!$J$238:$J$451),0),
IF('TL10'!$B$3=N$3,SUMIF('TL10'!$C$10:$C$224,$C256,'TL10'!$J$10:$J$224),0),
IF('TL10'!$B$229=N$3,SUMIF('TL10'!$C$238:$C$451,$C256,'TL10'!$J$238:$J$451),0),
IF('TL11'!$B$3=N$3,SUMIF('TL11'!$C$10:$C$224,$C256,'TL11'!$J$10:$J$224),0),
IF('TL11'!$B$229=N$3,SUMIF('TL11'!$C$238:$C$451,$C256,'TL11'!$J$238:$J$451),0),
IF('TL12'!$B$3=N$3,SUMIF('TL12'!$C$10:$C$224,$C256,'TL12'!$J$10:$J$224),0),
IF('TL12'!$B$229=N$3,SUMIF('TL12'!$C$238:$C$451,$C256,'TL12'!$J$238:$J$451),0),
IF('TL13'!$B$3=N$3,SUMIF('TL13'!$C$10:$C$224,$C256,'TL13'!$J$10:$J$224),0),
IF('TL13'!$B$229=N$3,SUMIF('TL13'!$C$238:$C$451,$C256,'TL13'!$J$238:$J$451),0),
IF('TL14'!$B$3=N$3,SUMIF('TL14'!$C$10:$C$224,$C256,'TL14'!$J$10:$J$224),0),
IF('TL14'!$B$229=N$3,SUMIF('TL14'!$C$238:$C$451,$C256,'TL14'!$J$238:$J$451),0),
IF('TL15'!$B$3=N$3,SUMIF('TL15'!$C$10:$C$224,$C256,'TL15'!$J$10:$J$224),0),
IF('TL15'!$B$229=N$3,SUMIF('TL15'!$C$238:$C$451,$C256,'TL15'!$J$238:$J$451),0),
IF('TL16'!$B$3=N$3,SUMIF('TL16'!$C$10:$C$224,$C256,'TL16'!$J$10:$J$224),0),
IF('TL16'!$B$229=N$3,SUMIF('TL16'!$C$238:$C$451,$C256,'TL16'!$J$238:$J$451),0),
IF('TL17'!$B$3=N$3,SUMIF('TL17'!$C$10:$C$224,$C256,'TL17'!$J$10:$J$224),0),
IF('TL17'!$B$229=N$3,SUMIF('TL17'!$C$238:$C$451,$C256,'TL17'!$J$238:$J$451),0),
IF('TL18'!$B$3=N$3,SUMIF('TL18'!$C$10:$C$224,$C256,'TL18'!$J$10:$J$224),0),
IF('TL18'!$B$229=N$3,SUMIF('TL18'!$C$238:$C$451,$C256,'TL18'!$J$238:$J$451),0),
IF('TL19'!$B$3=N$3,SUMIF('TL19'!$C$10:$C$224,$C256,'TL19'!$J$10:$J$224),0),
IF('TL19'!$B$229=N$3,SUMIF('TL19'!$C$238:$C$451,$C256,'TL19'!$J$238:$J$451),0)
),0)</f>
        <v>0</v>
      </c>
      <c r="O256" s="9">
        <f>IFERROR(SUM(
IF('TL01'!$B$3=O$3,SUMIF('TL01'!$C$10:$C$224,$C256,'TL01'!$J$10:$J$224),0),
IF('TL01'!$B$229=O$3,SUMIF('TL01'!$C$238:$C$451,$C256,'TL01'!$J$238:$J$451),0),
IF('TL02'!$B$3=O$3,SUMIF('TL02'!$C$10:$C$224,$C256,'TL02'!$J$10:$J$224),0),
IF('TL02'!$B$229=O$3,SUMIF('TL02'!$C$238:$C$451,$C256,'TL02'!$J$238:$J$451),0),
IF('TL03'!$B$3=O$3,SUMIF('TL03'!$C$10:$C$224,$C256,'TL03'!$J$10:$J$224),0),
IF('TL03'!$B$229=O$3,SUMIF('TL03'!$C$238:$C$451,$C256,'TL03'!$J$238:$J$451),0),
IF('TL04'!$B$3=O$3,SUMIF('TL04'!$C$10:$C$224,$C256,'TL04'!$J$10:$J$224),0),
IF('TL04'!$B$229=O$3,SUMIF('TL04'!$C$238:$C$451,$C256,'TL04'!$J$238:$J$451),0),
IF('TL05'!$B$3=O$3,SUMIF('TL05'!$C$10:$C$224,$C256,'TL05'!$J$10:$J$224),0),
IF('TL05'!$B$229=O$3,SUMIF('TL05'!$C$238:$C$451,$C256,'TL05'!$J$238:$J$451),0),
IF('TL06'!$B$3=O$3,SUMIF('TL06'!$C$10:$C$224,$C256,'TL06'!$J$10:$J$224),0),
IF('TL06'!$B$229=O$3,SUMIF('TL06'!$C$238:$C$451,$C256,'TL06'!$J$238:$J$451),0),
IF('TL07'!$B$3=O$3,SUMIF('TL07'!$C$10:$C$224,$C256,'TL07'!$J$10:$J$224),0),
IF('TL07'!$B$229=O$3,SUMIF('TL07'!$C$238:$C$451,$C256,'TL07'!$J$238:$J$451),0),
IF('TL08'!$B$3=O$3,SUMIF('TL08'!$C$10:$C$224,$C256,'TL08'!$J$10:$J$224),0),
IF('TL08'!$B$229=O$3,SUMIF('TL08'!$C$238:$C$451,$C256,'TL08'!$J$238:$J$451),0),
IF('TL09'!$B$3=O$3,SUMIF('TL09'!$C$10:$C$224,$C256,'TL09'!$J$10:$J$224),0),
IF('TL09'!$B$229=O$3,SUMIF('TL09'!$C$238:$C$451,$C256,'TL09'!$J$238:$J$451),0),
IF('TL10'!$B$3=O$3,SUMIF('TL10'!$C$10:$C$224,$C256,'TL10'!$J$10:$J$224),0),
IF('TL10'!$B$229=O$3,SUMIF('TL10'!$C$238:$C$451,$C256,'TL10'!$J$238:$J$451),0),
IF('TL11'!$B$3=O$3,SUMIF('TL11'!$C$10:$C$224,$C256,'TL11'!$J$10:$J$224),0),
IF('TL11'!$B$229=O$3,SUMIF('TL11'!$C$238:$C$451,$C256,'TL11'!$J$238:$J$451),0),
IF('TL12'!$B$3=O$3,SUMIF('TL12'!$C$10:$C$224,$C256,'TL12'!$J$10:$J$224),0),
IF('TL12'!$B$229=O$3,SUMIF('TL12'!$C$238:$C$451,$C256,'TL12'!$J$238:$J$451),0),
IF('TL13'!$B$3=O$3,SUMIF('TL13'!$C$10:$C$224,$C256,'TL13'!$J$10:$J$224),0),
IF('TL13'!$B$229=O$3,SUMIF('TL13'!$C$238:$C$451,$C256,'TL13'!$J$238:$J$451),0),
IF('TL14'!$B$3=O$3,SUMIF('TL14'!$C$10:$C$224,$C256,'TL14'!$J$10:$J$224),0),
IF('TL14'!$B$229=O$3,SUMIF('TL14'!$C$238:$C$451,$C256,'TL14'!$J$238:$J$451),0),
IF('TL15'!$B$3=O$3,SUMIF('TL15'!$C$10:$C$224,$C256,'TL15'!$J$10:$J$224),0),
IF('TL15'!$B$229=O$3,SUMIF('TL15'!$C$238:$C$451,$C256,'TL15'!$J$238:$J$451),0),
IF('TL16'!$B$3=O$3,SUMIF('TL16'!$C$10:$C$224,$C256,'TL16'!$J$10:$J$224),0),
IF('TL16'!$B$229=O$3,SUMIF('TL16'!$C$238:$C$451,$C256,'TL16'!$J$238:$J$451),0),
IF('TL17'!$B$3=O$3,SUMIF('TL17'!$C$10:$C$224,$C256,'TL17'!$J$10:$J$224),0),
IF('TL17'!$B$229=O$3,SUMIF('TL17'!$C$238:$C$451,$C256,'TL17'!$J$238:$J$451),0),
IF('TL18'!$B$3=O$3,SUMIF('TL18'!$C$10:$C$224,$C256,'TL18'!$J$10:$J$224),0),
IF('TL18'!$B$229=O$3,SUMIF('TL18'!$C$238:$C$451,$C256,'TL18'!$J$238:$J$451),0),
IF('TL19'!$B$3=O$3,SUMIF('TL19'!$C$10:$C$224,$C256,'TL19'!$J$10:$J$224),0),
IF('TL19'!$B$229=O$3,SUMIF('TL19'!$C$238:$C$451,$C256,'TL19'!$J$238:$J$451),0)
),0)</f>
        <v>0</v>
      </c>
      <c r="P256" s="9">
        <f>IFERROR(SUM(
IF('TL01'!$B$3=P$3,SUMIF('TL01'!$C$10:$C$224,$C256,'TL01'!$J$10:$J$224),0),
IF('TL01'!$B$229=P$3,SUMIF('TL01'!$C$238:$C$451,$C256,'TL01'!$J$238:$J$451),0),
IF('TL02'!$B$3=P$3,SUMIF('TL02'!$C$10:$C$224,$C256,'TL02'!$J$10:$J$224),0),
IF('TL02'!$B$229=P$3,SUMIF('TL02'!$C$238:$C$451,$C256,'TL02'!$J$238:$J$451),0),
IF('TL03'!$B$3=P$3,SUMIF('TL03'!$C$10:$C$224,$C256,'TL03'!$J$10:$J$224),0),
IF('TL03'!$B$229=P$3,SUMIF('TL03'!$C$238:$C$451,$C256,'TL03'!$J$238:$J$451),0),
IF('TL04'!$B$3=P$3,SUMIF('TL04'!$C$10:$C$224,$C256,'TL04'!$J$10:$J$224),0),
IF('TL04'!$B$229=P$3,SUMIF('TL04'!$C$238:$C$451,$C256,'TL04'!$J$238:$J$451),0),
IF('TL05'!$B$3=P$3,SUMIF('TL05'!$C$10:$C$224,$C256,'TL05'!$J$10:$J$224),0),
IF('TL05'!$B$229=P$3,SUMIF('TL05'!$C$238:$C$451,$C256,'TL05'!$J$238:$J$451),0),
IF('TL06'!$B$3=P$3,SUMIF('TL06'!$C$10:$C$224,$C256,'TL06'!$J$10:$J$224),0),
IF('TL06'!$B$229=P$3,SUMIF('TL06'!$C$238:$C$451,$C256,'TL06'!$J$238:$J$451),0),
IF('TL07'!$B$3=P$3,SUMIF('TL07'!$C$10:$C$224,$C256,'TL07'!$J$10:$J$224),0),
IF('TL07'!$B$229=P$3,SUMIF('TL07'!$C$238:$C$451,$C256,'TL07'!$J$238:$J$451),0),
IF('TL08'!$B$3=P$3,SUMIF('TL08'!$C$10:$C$224,$C256,'TL08'!$J$10:$J$224),0),
IF('TL08'!$B$229=P$3,SUMIF('TL08'!$C$238:$C$451,$C256,'TL08'!$J$238:$J$451),0),
IF('TL09'!$B$3=P$3,SUMIF('TL09'!$C$10:$C$224,$C256,'TL09'!$J$10:$J$224),0),
IF('TL09'!$B$229=P$3,SUMIF('TL09'!$C$238:$C$451,$C256,'TL09'!$J$238:$J$451),0),
IF('TL10'!$B$3=P$3,SUMIF('TL10'!$C$10:$C$224,$C256,'TL10'!$J$10:$J$224),0),
IF('TL10'!$B$229=P$3,SUMIF('TL10'!$C$238:$C$451,$C256,'TL10'!$J$238:$J$451),0),
IF('TL11'!$B$3=P$3,SUMIF('TL11'!$C$10:$C$224,$C256,'TL11'!$J$10:$J$224),0),
IF('TL11'!$B$229=P$3,SUMIF('TL11'!$C$238:$C$451,$C256,'TL11'!$J$238:$J$451),0),
IF('TL12'!$B$3=P$3,SUMIF('TL12'!$C$10:$C$224,$C256,'TL12'!$J$10:$J$224),0),
IF('TL12'!$B$229=P$3,SUMIF('TL12'!$C$238:$C$451,$C256,'TL12'!$J$238:$J$451),0),
IF('TL13'!$B$3=P$3,SUMIF('TL13'!$C$10:$C$224,$C256,'TL13'!$J$10:$J$224),0),
IF('TL13'!$B$229=P$3,SUMIF('TL13'!$C$238:$C$451,$C256,'TL13'!$J$238:$J$451),0),
IF('TL14'!$B$3=P$3,SUMIF('TL14'!$C$10:$C$224,$C256,'TL14'!$J$10:$J$224),0),
IF('TL14'!$B$229=P$3,SUMIF('TL14'!$C$238:$C$451,$C256,'TL14'!$J$238:$J$451),0),
IF('TL15'!$B$3=P$3,SUMIF('TL15'!$C$10:$C$224,$C256,'TL15'!$J$10:$J$224),0),
IF('TL15'!$B$229=P$3,SUMIF('TL15'!$C$238:$C$451,$C256,'TL15'!$J$238:$J$451),0),
IF('TL16'!$B$3=P$3,SUMIF('TL16'!$C$10:$C$224,$C256,'TL16'!$J$10:$J$224),0),
IF('TL16'!$B$229=P$3,SUMIF('TL16'!$C$238:$C$451,$C256,'TL16'!$J$238:$J$451),0),
IF('TL17'!$B$3=P$3,SUMIF('TL17'!$C$10:$C$224,$C256,'TL17'!$J$10:$J$224),0),
IF('TL17'!$B$229=P$3,SUMIF('TL17'!$C$238:$C$451,$C256,'TL17'!$J$238:$J$451),0),
IF('TL18'!$B$3=P$3,SUMIF('TL18'!$C$10:$C$224,$C256,'TL18'!$J$10:$J$224),0),
IF('TL18'!$B$229=P$3,SUMIF('TL18'!$C$238:$C$451,$C256,'TL18'!$J$238:$J$451),0),
IF('TL19'!$B$3=P$3,SUMIF('TL19'!$C$10:$C$224,$C256,'TL19'!$J$10:$J$224),0),
IF('TL19'!$B$229=P$3,SUMIF('TL19'!$C$238:$C$451,$C256,'TL19'!$J$238:$J$451),0)
),0)</f>
        <v>0</v>
      </c>
      <c r="Q256" s="9">
        <f>IFERROR(SUM(
IF('TL01'!$B$3=Q$3,SUMIF('TL01'!$C$10:$C$224,$C256,'TL01'!$J$10:$J$224),0),
IF('TL01'!$B$229=Q$3,SUMIF('TL01'!$C$238:$C$451,$C256,'TL01'!$J$238:$J$451),0),
IF('TL02'!$B$3=Q$3,SUMIF('TL02'!$C$10:$C$224,$C256,'TL02'!$J$10:$J$224),0),
IF('TL02'!$B$229=Q$3,SUMIF('TL02'!$C$238:$C$451,$C256,'TL02'!$J$238:$J$451),0),
IF('TL03'!$B$3=Q$3,SUMIF('TL03'!$C$10:$C$224,$C256,'TL03'!$J$10:$J$224),0),
IF('TL03'!$B$229=Q$3,SUMIF('TL03'!$C$238:$C$451,$C256,'TL03'!$J$238:$J$451),0),
IF('TL04'!$B$3=Q$3,SUMIF('TL04'!$C$10:$C$224,$C256,'TL04'!$J$10:$J$224),0),
IF('TL04'!$B$229=Q$3,SUMIF('TL04'!$C$238:$C$451,$C256,'TL04'!$J$238:$J$451),0),
IF('TL05'!$B$3=Q$3,SUMIF('TL05'!$C$10:$C$224,$C256,'TL05'!$J$10:$J$224),0),
IF('TL05'!$B$229=Q$3,SUMIF('TL05'!$C$238:$C$451,$C256,'TL05'!$J$238:$J$451),0),
IF('TL06'!$B$3=Q$3,SUMIF('TL06'!$C$10:$C$224,$C256,'TL06'!$J$10:$J$224),0),
IF('TL06'!$B$229=Q$3,SUMIF('TL06'!$C$238:$C$451,$C256,'TL06'!$J$238:$J$451),0),
IF('TL07'!$B$3=Q$3,SUMIF('TL07'!$C$10:$C$224,$C256,'TL07'!$J$10:$J$224),0),
IF('TL07'!$B$229=Q$3,SUMIF('TL07'!$C$238:$C$451,$C256,'TL07'!$J$238:$J$451),0),
IF('TL08'!$B$3=Q$3,SUMIF('TL08'!$C$10:$C$224,$C256,'TL08'!$J$10:$J$224),0),
IF('TL08'!$B$229=Q$3,SUMIF('TL08'!$C$238:$C$451,$C256,'TL08'!$J$238:$J$451),0),
IF('TL09'!$B$3=Q$3,SUMIF('TL09'!$C$10:$C$224,$C256,'TL09'!$J$10:$J$224),0),
IF('TL09'!$B$229=Q$3,SUMIF('TL09'!$C$238:$C$451,$C256,'TL09'!$J$238:$J$451),0),
IF('TL10'!$B$3=Q$3,SUMIF('TL10'!$C$10:$C$224,$C256,'TL10'!$J$10:$J$224),0),
IF('TL10'!$B$229=Q$3,SUMIF('TL10'!$C$238:$C$451,$C256,'TL10'!$J$238:$J$451),0),
IF('TL11'!$B$3=Q$3,SUMIF('TL11'!$C$10:$C$224,$C256,'TL11'!$J$10:$J$224),0),
IF('TL11'!$B$229=Q$3,SUMIF('TL11'!$C$238:$C$451,$C256,'TL11'!$J$238:$J$451),0),
IF('TL12'!$B$3=Q$3,SUMIF('TL12'!$C$10:$C$224,$C256,'TL12'!$J$10:$J$224),0),
IF('TL12'!$B$229=Q$3,SUMIF('TL12'!$C$238:$C$451,$C256,'TL12'!$J$238:$J$451),0),
IF('TL13'!$B$3=Q$3,SUMIF('TL13'!$C$10:$C$224,$C256,'TL13'!$J$10:$J$224),0),
IF('TL13'!$B$229=Q$3,SUMIF('TL13'!$C$238:$C$451,$C256,'TL13'!$J$238:$J$451),0),
IF('TL14'!$B$3=Q$3,SUMIF('TL14'!$C$10:$C$224,$C256,'TL14'!$J$10:$J$224),0),
IF('TL14'!$B$229=Q$3,SUMIF('TL14'!$C$238:$C$451,$C256,'TL14'!$J$238:$J$451),0),
IF('TL15'!$B$3=Q$3,SUMIF('TL15'!$C$10:$C$224,$C256,'TL15'!$J$10:$J$224),0),
IF('TL15'!$B$229=Q$3,SUMIF('TL15'!$C$238:$C$451,$C256,'TL15'!$J$238:$J$451),0),
IF('TL16'!$B$3=Q$3,SUMIF('TL16'!$C$10:$C$224,$C256,'TL16'!$J$10:$J$224),0),
IF('TL16'!$B$229=Q$3,SUMIF('TL16'!$C$238:$C$451,$C256,'TL16'!$J$238:$J$451),0),
IF('TL17'!$B$3=Q$3,SUMIF('TL17'!$C$10:$C$224,$C256,'TL17'!$J$10:$J$224),0),
IF('TL17'!$B$229=Q$3,SUMIF('TL17'!$C$238:$C$451,$C256,'TL17'!$J$238:$J$451),0),
IF('TL18'!$B$3=Q$3,SUMIF('TL18'!$C$10:$C$224,$C256,'TL18'!$J$10:$J$224),0),
IF('TL18'!$B$229=Q$3,SUMIF('TL18'!$C$238:$C$451,$C256,'TL18'!$J$238:$J$451),0),
IF('TL19'!$B$3=Q$3,SUMIF('TL19'!$C$10:$C$224,$C256,'TL19'!$J$10:$J$224),0),
IF('TL19'!$B$229=Q$3,SUMIF('TL19'!$C$238:$C$451,$C256,'TL19'!$J$238:$J$451),0)
),0)</f>
        <v>0</v>
      </c>
      <c r="R256" s="9">
        <f>IFERROR(
SUM(
SUMIF('TL01'!C:C,C256,'TL01'!J:J),
SUMIF('TL02'!C:C,C256,'TL02'!J:J),
SUMIF('TL03'!C:C,C256,'TL03'!J:J),
SUMIF('TL04'!C:C,C256,'TL04'!J:J),
SUMIF('TL05'!C:C,C256,'TL05'!J:J),
SUMIF('TL06'!C:C,C256,'TL06'!J:J),
SUMIF('TL07'!C:C,C256,'TL07'!J:J),
SUMIF('TL08'!C:C,C256,'TL08'!J:J),
SUMIF('TL09'!C:C,C256,'TL09'!J:J),
SUMIF('TL10'!C:C,C256,'TL10'!J:J),
SUMIF('TL11'!C:C,C256,'TL11'!J:J),
SUMIF('TL12'!C:C,C256,'TL12'!J:J),
SUMIF('TL13'!C:C,C256,'TL13'!J:J),
SUMIF('TL14'!C:C,C256,'TL14'!J:J),
SUMIF('TL15'!C:C,C256,'TL15'!J:J),
SUMIF('TL16'!C:C,C256,'TL16'!J:J),
SUMIF('TL17'!C:C,C256,'TL17'!J:J),
SUMIF('TL18'!C:C,C256,'TL18'!J:J),SUMIF('TL19'!C:C,C256,'TL19'!J:J))
,0)</f>
        <v>0</v>
      </c>
      <c r="S256" s="17">
        <f>IFERROR(__xludf.DUMMYFUNCTION("IFERROR(VLOOKUP(C256,
IMPORTRANGE(""1wULbzX32WdYsx-lj2U3uUNBBe2INVIRDtcK0d-Dvl90"",
""26-27!C:G""),
5,
FALSE),
"""")"),92.95)</f>
        <v>92.95</v>
      </c>
      <c r="T256" s="9"/>
      <c r="U256" s="92">
        <f t="shared" si="2"/>
        <v>0</v>
      </c>
      <c r="V256" s="93">
        <f t="shared" si="3"/>
        <v>0</v>
      </c>
    </row>
    <row r="257" ht="15.75" hidden="1" customHeight="1">
      <c r="A257" s="4" t="s">
        <v>932</v>
      </c>
      <c r="B257" s="125" t="s">
        <v>9</v>
      </c>
      <c r="C257" s="4" t="s">
        <v>939</v>
      </c>
      <c r="D257" s="4" t="s">
        <v>940</v>
      </c>
      <c r="E257" s="9" t="s">
        <v>941</v>
      </c>
      <c r="F257" s="4" t="s">
        <v>343</v>
      </c>
      <c r="G257" s="9"/>
      <c r="H257" s="9">
        <v>0.2</v>
      </c>
      <c r="I257" s="1"/>
      <c r="J257" s="9">
        <f>IFERROR(SUM(
IF('TL01'!$B$3=J$3,SUMIF('TL01'!$C$10:$C$224,$C257,'TL01'!$J$10:$J$224),0),
IF('TL01'!$B$229=J$3,SUMIF('TL01'!$C$238:$C$451,$C257,'TL01'!$J$238:$J$451),0),
IF('TL02'!$B$3=J$3,SUMIF('TL02'!$C$10:$C$224,$C257,'TL02'!$J$10:$J$224),0),
IF('TL02'!$B$229=J$3,SUMIF('TL02'!$C$238:$C$451,$C257,'TL02'!$J$238:$J$451),0),
IF('TL03'!$B$3=J$3,SUMIF('TL03'!$C$10:$C$224,$C257,'TL03'!$J$10:$J$224),0),
IF('TL03'!$B$229=J$3,SUMIF('TL03'!$C$238:$C$451,$C257,'TL03'!$J$238:$J$451),0),
IF('TL04'!$B$3=J$3,SUMIF('TL04'!$C$10:$C$224,$C257,'TL04'!$J$10:$J$224),0),
IF('TL04'!$B$229=J$3,SUMIF('TL04'!$C$238:$C$451,$C257,'TL04'!$J$238:$J$451),0),
IF('TL05'!$B$3=J$3,SUMIF('TL05'!$C$10:$C$224,$C257,'TL05'!$J$10:$J$224),0),
IF('TL05'!$B$229=J$3,SUMIF('TL05'!$C$238:$C$451,$C257,'TL05'!$J$238:$J$451),0),
IF('TL06'!$B$3=J$3,SUMIF('TL06'!$C$10:$C$224,$C257,'TL06'!$J$10:$J$224),0),
IF('TL06'!$B$229=J$3,SUMIF('TL06'!$C$238:$C$451,$C257,'TL06'!$J$238:$J$451),0),
IF('TL07'!$B$3=J$3,SUMIF('TL07'!$C$10:$C$224,$C257,'TL07'!$J$10:$J$224),0),
IF('TL07'!$B$229=J$3,SUMIF('TL07'!$C$238:$C$451,$C257,'TL07'!$J$238:$J$451),0),
IF('TL08'!$B$3=J$3,SUMIF('TL08'!$C$10:$C$224,$C257,'TL08'!$J$10:$J$224),0),
IF('TL08'!$B$229=J$3,SUMIF('TL08'!$C$238:$C$451,$C257,'TL08'!$J$238:$J$451),0),
IF('TL09'!$B$3=J$3,SUMIF('TL09'!$C$10:$C$224,$C257,'TL09'!$J$10:$J$224),0),
IF('TL09'!$B$229=J$3,SUMIF('TL09'!$C$238:$C$451,$C257,'TL09'!$J$238:$J$451),0),
IF('TL10'!$B$3=J$3,SUMIF('TL10'!$C$10:$C$224,$C257,'TL10'!$J$10:$J$224),0),
IF('TL10'!$B$229=J$3,SUMIF('TL10'!$C$238:$C$451,$C257,'TL10'!$J$238:$J$451),0),
IF('TL11'!$B$3=J$3,SUMIF('TL11'!$C$10:$C$224,$C257,'TL11'!$J$10:$J$224),0),
IF('TL11'!$B$229=J$3,SUMIF('TL11'!$C$238:$C$451,$C257,'TL11'!$J$238:$J$451),0),
IF('TL12'!$B$3=J$3,SUMIF('TL12'!$C$10:$C$224,$C257,'TL12'!$J$10:$J$224),0),
IF('TL12'!$B$229=J$3,SUMIF('TL12'!$C$238:$C$451,$C257,'TL12'!$J$238:$J$451),0),
IF('TL13'!$B$3=J$3,SUMIF('TL13'!$C$10:$C$224,$C257,'TL13'!$J$10:$J$224),0),
IF('TL13'!$B$229=J$3,SUMIF('TL13'!$C$238:$C$451,$C257,'TL13'!$J$238:$J$451),0),
IF('TL14'!$B$3=J$3,SUMIF('TL14'!$C$10:$C$224,$C257,'TL14'!$J$10:$J$224),0),
IF('TL14'!$B$229=J$3,SUMIF('TL14'!$C$238:$C$451,$C257,'TL14'!$J$238:$J$451),0),
IF('TL15'!$B$3=J$3,SUMIF('TL15'!$C$10:$C$224,$C257,'TL15'!$J$10:$J$224),0),
IF('TL15'!$B$229=J$3,SUMIF('TL15'!$C$238:$C$451,$C257,'TL15'!$J$238:$J$451),0),
IF('TL16'!$B$3=J$3,SUMIF('TL16'!$C$10:$C$224,$C257,'TL16'!$J$10:$J$224),0),
IF('TL16'!$B$229=J$3,SUMIF('TL16'!$C$238:$C$451,$C257,'TL16'!$J$238:$J$451),0),
IF('TL17'!$B$3=J$3,SUMIF('TL17'!$C$10:$C$224,$C257,'TL17'!$J$10:$J$224),0),
IF('TL17'!$B$229=J$3,SUMIF('TL17'!$C$238:$C$451,$C257,'TL17'!$J$238:$J$451),0),
IF('TL18'!$B$3=J$3,SUMIF('TL18'!$C$10:$C$224,$C257,'TL18'!$J$10:$J$224),0),
IF('TL18'!$B$229=J$3,SUMIF('TL18'!$C$238:$C$451,$C257,'TL18'!$J$238:$J$451),0),
IF('TL19'!$B$3=J$3,SUMIF('TL19'!$C$10:$C$224,$C257,'TL19'!$J$10:$J$224),0),
IF('TL19'!$B$229=J$3,SUMIF('TL19'!$C$238:$C$451,$C257,'TL19'!$J$238:$J$451),0)
),0)</f>
        <v>0</v>
      </c>
      <c r="K257" s="9">
        <f>IFERROR(SUM(
IF('TL01'!$B$3=K$3,SUMIF('TL01'!$C$10:$C$224,$C257,'TL01'!$J$10:$J$224),0),
IF('TL01'!$B$229=K$3,SUMIF('TL01'!$C$238:$C$451,$C257,'TL01'!$J$238:$J$451),0),
IF('TL02'!$B$3=K$3,SUMIF('TL02'!$C$10:$C$224,$C257,'TL02'!$J$10:$J$224),0),
IF('TL02'!$B$229=K$3,SUMIF('TL02'!$C$238:$C$451,$C257,'TL02'!$J$238:$J$451),0),
IF('TL03'!$B$3=K$3,SUMIF('TL03'!$C$10:$C$224,$C257,'TL03'!$J$10:$J$224),0),
IF('TL03'!$B$229=K$3,SUMIF('TL03'!$C$238:$C$451,$C257,'TL03'!$J$238:$J$451),0),
IF('TL04'!$B$3=K$3,SUMIF('TL04'!$C$10:$C$224,$C257,'TL04'!$J$10:$J$224),0),
IF('TL04'!$B$229=K$3,SUMIF('TL04'!$C$238:$C$451,$C257,'TL04'!$J$238:$J$451),0),
IF('TL05'!$B$3=K$3,SUMIF('TL05'!$C$10:$C$224,$C257,'TL05'!$J$10:$J$224),0),
IF('TL05'!$B$229=K$3,SUMIF('TL05'!$C$238:$C$451,$C257,'TL05'!$J$238:$J$451),0),
IF('TL06'!$B$3=K$3,SUMIF('TL06'!$C$10:$C$224,$C257,'TL06'!$J$10:$J$224),0),
IF('TL06'!$B$229=K$3,SUMIF('TL06'!$C$238:$C$451,$C257,'TL06'!$J$238:$J$451),0),
IF('TL07'!$B$3=K$3,SUMIF('TL07'!$C$10:$C$224,$C257,'TL07'!$J$10:$J$224),0),
IF('TL07'!$B$229=K$3,SUMIF('TL07'!$C$238:$C$451,$C257,'TL07'!$J$238:$J$451),0),
IF('TL08'!$B$3=K$3,SUMIF('TL08'!$C$10:$C$224,$C257,'TL08'!$J$10:$J$224),0),
IF('TL08'!$B$229=K$3,SUMIF('TL08'!$C$238:$C$451,$C257,'TL08'!$J$238:$J$451),0),
IF('TL09'!$B$3=K$3,SUMIF('TL09'!$C$10:$C$224,$C257,'TL09'!$J$10:$J$224),0),
IF('TL09'!$B$229=K$3,SUMIF('TL09'!$C$238:$C$451,$C257,'TL09'!$J$238:$J$451),0),
IF('TL10'!$B$3=K$3,SUMIF('TL10'!$C$10:$C$224,$C257,'TL10'!$J$10:$J$224),0),
IF('TL10'!$B$229=K$3,SUMIF('TL10'!$C$238:$C$451,$C257,'TL10'!$J$238:$J$451),0),
IF('TL11'!$B$3=K$3,SUMIF('TL11'!$C$10:$C$224,$C257,'TL11'!$J$10:$J$224),0),
IF('TL11'!$B$229=K$3,SUMIF('TL11'!$C$238:$C$451,$C257,'TL11'!$J$238:$J$451),0),
IF('TL12'!$B$3=K$3,SUMIF('TL12'!$C$10:$C$224,$C257,'TL12'!$J$10:$J$224),0),
IF('TL12'!$B$229=K$3,SUMIF('TL12'!$C$238:$C$451,$C257,'TL12'!$J$238:$J$451),0),
IF('TL13'!$B$3=K$3,SUMIF('TL13'!$C$10:$C$224,$C257,'TL13'!$J$10:$J$224),0),
IF('TL13'!$B$229=K$3,SUMIF('TL13'!$C$238:$C$451,$C257,'TL13'!$J$238:$J$451),0),
IF('TL14'!$B$3=K$3,SUMIF('TL14'!$C$10:$C$224,$C257,'TL14'!$J$10:$J$224),0),
IF('TL14'!$B$229=K$3,SUMIF('TL14'!$C$238:$C$451,$C257,'TL14'!$J$238:$J$451),0),
IF('TL15'!$B$3=K$3,SUMIF('TL15'!$C$10:$C$224,$C257,'TL15'!$J$10:$J$224),0),
IF('TL15'!$B$229=K$3,SUMIF('TL15'!$C$238:$C$451,$C257,'TL15'!$J$238:$J$451),0),
IF('TL16'!$B$3=K$3,SUMIF('TL16'!$C$10:$C$224,$C257,'TL16'!$J$10:$J$224),0),
IF('TL16'!$B$229=K$3,SUMIF('TL16'!$C$238:$C$451,$C257,'TL16'!$J$238:$J$451),0),
IF('TL17'!$B$3=K$3,SUMIF('TL17'!$C$10:$C$224,$C257,'TL17'!$J$10:$J$224),0),
IF('TL17'!$B$229=K$3,SUMIF('TL17'!$C$238:$C$451,$C257,'TL17'!$J$238:$J$451),0),
IF('TL18'!$B$3=K$3,SUMIF('TL18'!$C$10:$C$224,$C257,'TL18'!$J$10:$J$224),0),
IF('TL18'!$B$229=K$3,SUMIF('TL18'!$C$238:$C$451,$C257,'TL18'!$J$238:$J$451),0),
IF('TL19'!$B$3=K$3,SUMIF('TL19'!$C$10:$C$224,$C257,'TL19'!$J$10:$J$224),0),
IF('TL19'!$B$229=K$3,SUMIF('TL19'!$C$238:$C$451,$C257,'TL19'!$J$238:$J$451),0)
),0)</f>
        <v>0</v>
      </c>
      <c r="L257" s="9">
        <f>IFERROR(SUM(
IF('TL01'!$B$3=L$3,SUMIF('TL01'!$C$10:$C$224,$C257,'TL01'!$J$10:$J$224),0),
IF('TL01'!$B$229=L$3,SUMIF('TL01'!$C$238:$C$451,$C257,'TL01'!$J$238:$J$451),0),
IF('TL02'!$B$3=L$3,SUMIF('TL02'!$C$10:$C$224,$C257,'TL02'!$J$10:$J$224),0),
IF('TL02'!$B$229=L$3,SUMIF('TL02'!$C$238:$C$451,$C257,'TL02'!$J$238:$J$451),0),
IF('TL03'!$B$3=L$3,SUMIF('TL03'!$C$10:$C$224,$C257,'TL03'!$J$10:$J$224),0),
IF('TL03'!$B$229=L$3,SUMIF('TL03'!$C$238:$C$451,$C257,'TL03'!$J$238:$J$451),0),
IF('TL04'!$B$3=L$3,SUMIF('TL04'!$C$10:$C$224,$C257,'TL04'!$J$10:$J$224),0),
IF('TL04'!$B$229=L$3,SUMIF('TL04'!$C$238:$C$451,$C257,'TL04'!$J$238:$J$451),0),
IF('TL05'!$B$3=L$3,SUMIF('TL05'!$C$10:$C$224,$C257,'TL05'!$J$10:$J$224),0),
IF('TL05'!$B$229=L$3,SUMIF('TL05'!$C$238:$C$451,$C257,'TL05'!$J$238:$J$451),0),
IF('TL06'!$B$3=L$3,SUMIF('TL06'!$C$10:$C$224,$C257,'TL06'!$J$10:$J$224),0),
IF('TL06'!$B$229=L$3,SUMIF('TL06'!$C$238:$C$451,$C257,'TL06'!$J$238:$J$451),0),
IF('TL07'!$B$3=L$3,SUMIF('TL07'!$C$10:$C$224,$C257,'TL07'!$J$10:$J$224),0),
IF('TL07'!$B$229=L$3,SUMIF('TL07'!$C$238:$C$451,$C257,'TL07'!$J$238:$J$451),0),
IF('TL08'!$B$3=L$3,SUMIF('TL08'!$C$10:$C$224,$C257,'TL08'!$J$10:$J$224),0),
IF('TL08'!$B$229=L$3,SUMIF('TL08'!$C$238:$C$451,$C257,'TL08'!$J$238:$J$451),0),
IF('TL09'!$B$3=L$3,SUMIF('TL09'!$C$10:$C$224,$C257,'TL09'!$J$10:$J$224),0),
IF('TL09'!$B$229=L$3,SUMIF('TL09'!$C$238:$C$451,$C257,'TL09'!$J$238:$J$451),0),
IF('TL10'!$B$3=L$3,SUMIF('TL10'!$C$10:$C$224,$C257,'TL10'!$J$10:$J$224),0),
IF('TL10'!$B$229=L$3,SUMIF('TL10'!$C$238:$C$451,$C257,'TL10'!$J$238:$J$451),0),
IF('TL11'!$B$3=L$3,SUMIF('TL11'!$C$10:$C$224,$C257,'TL11'!$J$10:$J$224),0),
IF('TL11'!$B$229=L$3,SUMIF('TL11'!$C$238:$C$451,$C257,'TL11'!$J$238:$J$451),0),
IF('TL12'!$B$3=L$3,SUMIF('TL12'!$C$10:$C$224,$C257,'TL12'!$J$10:$J$224),0),
IF('TL12'!$B$229=L$3,SUMIF('TL12'!$C$238:$C$451,$C257,'TL12'!$J$238:$J$451),0),
IF('TL13'!$B$3=L$3,SUMIF('TL13'!$C$10:$C$224,$C257,'TL13'!$J$10:$J$224),0),
IF('TL13'!$B$229=L$3,SUMIF('TL13'!$C$238:$C$451,$C257,'TL13'!$J$238:$J$451),0),
IF('TL14'!$B$3=L$3,SUMIF('TL14'!$C$10:$C$224,$C257,'TL14'!$J$10:$J$224),0),
IF('TL14'!$B$229=L$3,SUMIF('TL14'!$C$238:$C$451,$C257,'TL14'!$J$238:$J$451),0),
IF('TL15'!$B$3=L$3,SUMIF('TL15'!$C$10:$C$224,$C257,'TL15'!$J$10:$J$224),0),
IF('TL15'!$B$229=L$3,SUMIF('TL15'!$C$238:$C$451,$C257,'TL15'!$J$238:$J$451),0),
IF('TL16'!$B$3=L$3,SUMIF('TL16'!$C$10:$C$224,$C257,'TL16'!$J$10:$J$224),0),
IF('TL16'!$B$229=L$3,SUMIF('TL16'!$C$238:$C$451,$C257,'TL16'!$J$238:$J$451),0),
IF('TL17'!$B$3=L$3,SUMIF('TL17'!$C$10:$C$224,$C257,'TL17'!$J$10:$J$224),0),
IF('TL17'!$B$229=L$3,SUMIF('TL17'!$C$238:$C$451,$C257,'TL17'!$J$238:$J$451),0),
IF('TL18'!$B$3=L$3,SUMIF('TL18'!$C$10:$C$224,$C257,'TL18'!$J$10:$J$224),0),
IF('TL18'!$B$229=L$3,SUMIF('TL18'!$C$238:$C$451,$C257,'TL18'!$J$238:$J$451),0),
IF('TL19'!$B$3=L$3,SUMIF('TL19'!$C$10:$C$224,$C257,'TL19'!$J$10:$J$224),0),
IF('TL19'!$B$229=L$3,SUMIF('TL19'!$C$238:$C$451,$C257,'TL19'!$J$238:$J$451),0)
),0)</f>
        <v>0</v>
      </c>
      <c r="M257" s="9">
        <f>IFERROR(SUM(
IF('TL01'!$B$3=M$3,SUMIF('TL01'!$C$10:$C$224,$C257,'TL01'!$J$10:$J$224),0),
IF('TL01'!$B$229=M$3,SUMIF('TL01'!$C$238:$C$451,$C257,'TL01'!$J$238:$J$451),0),
IF('TL02'!$B$3=M$3,SUMIF('TL02'!$C$10:$C$224,$C257,'TL02'!$J$10:$J$224),0),
IF('TL02'!$B$229=M$3,SUMIF('TL02'!$C$238:$C$451,$C257,'TL02'!$J$238:$J$451),0),
IF('TL03'!$B$3=M$3,SUMIF('TL03'!$C$10:$C$224,$C257,'TL03'!$J$10:$J$224),0),
IF('TL03'!$B$229=M$3,SUMIF('TL03'!$C$238:$C$451,$C257,'TL03'!$J$238:$J$451),0),
IF('TL04'!$B$3=M$3,SUMIF('TL04'!$C$10:$C$224,$C257,'TL04'!$J$10:$J$224),0),
IF('TL04'!$B$229=M$3,SUMIF('TL04'!$C$238:$C$451,$C257,'TL04'!$J$238:$J$451),0),
IF('TL05'!$B$3=M$3,SUMIF('TL05'!$C$10:$C$224,$C257,'TL05'!$J$10:$J$224),0),
IF('TL05'!$B$229=M$3,SUMIF('TL05'!$C$238:$C$451,$C257,'TL05'!$J$238:$J$451),0),
IF('TL06'!$B$3=M$3,SUMIF('TL06'!$C$10:$C$224,$C257,'TL06'!$J$10:$J$224),0),
IF('TL06'!$B$229=M$3,SUMIF('TL06'!$C$238:$C$451,$C257,'TL06'!$J$238:$J$451),0),
IF('TL07'!$B$3=M$3,SUMIF('TL07'!$C$10:$C$224,$C257,'TL07'!$J$10:$J$224),0),
IF('TL07'!$B$229=M$3,SUMIF('TL07'!$C$238:$C$451,$C257,'TL07'!$J$238:$J$451),0),
IF('TL08'!$B$3=M$3,SUMIF('TL08'!$C$10:$C$224,$C257,'TL08'!$J$10:$J$224),0),
IF('TL08'!$B$229=M$3,SUMIF('TL08'!$C$238:$C$451,$C257,'TL08'!$J$238:$J$451),0),
IF('TL09'!$B$3=M$3,SUMIF('TL09'!$C$10:$C$224,$C257,'TL09'!$J$10:$J$224),0),
IF('TL09'!$B$229=M$3,SUMIF('TL09'!$C$238:$C$451,$C257,'TL09'!$J$238:$J$451),0),
IF('TL10'!$B$3=M$3,SUMIF('TL10'!$C$10:$C$224,$C257,'TL10'!$J$10:$J$224),0),
IF('TL10'!$B$229=M$3,SUMIF('TL10'!$C$238:$C$451,$C257,'TL10'!$J$238:$J$451),0),
IF('TL11'!$B$3=M$3,SUMIF('TL11'!$C$10:$C$224,$C257,'TL11'!$J$10:$J$224),0),
IF('TL11'!$B$229=M$3,SUMIF('TL11'!$C$238:$C$451,$C257,'TL11'!$J$238:$J$451),0),
IF('TL12'!$B$3=M$3,SUMIF('TL12'!$C$10:$C$224,$C257,'TL12'!$J$10:$J$224),0),
IF('TL12'!$B$229=M$3,SUMIF('TL12'!$C$238:$C$451,$C257,'TL12'!$J$238:$J$451),0),
IF('TL13'!$B$3=M$3,SUMIF('TL13'!$C$10:$C$224,$C257,'TL13'!$J$10:$J$224),0),
IF('TL13'!$B$229=M$3,SUMIF('TL13'!$C$238:$C$451,$C257,'TL13'!$J$238:$J$451),0),
IF('TL14'!$B$3=M$3,SUMIF('TL14'!$C$10:$C$224,$C257,'TL14'!$J$10:$J$224),0),
IF('TL14'!$B$229=M$3,SUMIF('TL14'!$C$238:$C$451,$C257,'TL14'!$J$238:$J$451),0),
IF('TL15'!$B$3=M$3,SUMIF('TL15'!$C$10:$C$224,$C257,'TL15'!$J$10:$J$224),0),
IF('TL15'!$B$229=M$3,SUMIF('TL15'!$C$238:$C$451,$C257,'TL15'!$J$238:$J$451),0),
IF('TL16'!$B$3=M$3,SUMIF('TL16'!$C$10:$C$224,$C257,'TL16'!$J$10:$J$224),0),
IF('TL16'!$B$229=M$3,SUMIF('TL16'!$C$238:$C$451,$C257,'TL16'!$J$238:$J$451),0),
IF('TL17'!$B$3=M$3,SUMIF('TL17'!$C$10:$C$224,$C257,'TL17'!$J$10:$J$224),0),
IF('TL17'!$B$229=M$3,SUMIF('TL17'!$C$238:$C$451,$C257,'TL17'!$J$238:$J$451),0),
IF('TL18'!$B$3=M$3,SUMIF('TL18'!$C$10:$C$224,$C257,'TL18'!$J$10:$J$224),0),
IF('TL18'!$B$229=M$3,SUMIF('TL18'!$C$238:$C$451,$C257,'TL18'!$J$238:$J$451),0),
IF('TL19'!$B$3=M$3,SUMIF('TL19'!$C$10:$C$224,$C257,'TL19'!$J$10:$J$224),0),
IF('TL19'!$B$229=M$3,SUMIF('TL19'!$C$238:$C$451,$C257,'TL19'!$J$238:$J$451),0)
),0)</f>
        <v>0</v>
      </c>
      <c r="N257" s="9">
        <f>IFERROR(SUM(
IF('TL01'!$B$3=N$3,SUMIF('TL01'!$C$10:$C$224,$C257,'TL01'!$J$10:$J$224),0),
IF('TL01'!$B$229=N$3,SUMIF('TL01'!$C$238:$C$451,$C257,'TL01'!$J$238:$J$451),0),
IF('TL02'!$B$3=N$3,SUMIF('TL02'!$C$10:$C$224,$C257,'TL02'!$J$10:$J$224),0),
IF('TL02'!$B$229=N$3,SUMIF('TL02'!$C$238:$C$451,$C257,'TL02'!$J$238:$J$451),0),
IF('TL03'!$B$3=N$3,SUMIF('TL03'!$C$10:$C$224,$C257,'TL03'!$J$10:$J$224),0),
IF('TL03'!$B$229=N$3,SUMIF('TL03'!$C$238:$C$451,$C257,'TL03'!$J$238:$J$451),0),
IF('TL04'!$B$3=N$3,SUMIF('TL04'!$C$10:$C$224,$C257,'TL04'!$J$10:$J$224),0),
IF('TL04'!$B$229=N$3,SUMIF('TL04'!$C$238:$C$451,$C257,'TL04'!$J$238:$J$451),0),
IF('TL05'!$B$3=N$3,SUMIF('TL05'!$C$10:$C$224,$C257,'TL05'!$J$10:$J$224),0),
IF('TL05'!$B$229=N$3,SUMIF('TL05'!$C$238:$C$451,$C257,'TL05'!$J$238:$J$451),0),
IF('TL06'!$B$3=N$3,SUMIF('TL06'!$C$10:$C$224,$C257,'TL06'!$J$10:$J$224),0),
IF('TL06'!$B$229=N$3,SUMIF('TL06'!$C$238:$C$451,$C257,'TL06'!$J$238:$J$451),0),
IF('TL07'!$B$3=N$3,SUMIF('TL07'!$C$10:$C$224,$C257,'TL07'!$J$10:$J$224),0),
IF('TL07'!$B$229=N$3,SUMIF('TL07'!$C$238:$C$451,$C257,'TL07'!$J$238:$J$451),0),
IF('TL08'!$B$3=N$3,SUMIF('TL08'!$C$10:$C$224,$C257,'TL08'!$J$10:$J$224),0),
IF('TL08'!$B$229=N$3,SUMIF('TL08'!$C$238:$C$451,$C257,'TL08'!$J$238:$J$451),0),
IF('TL09'!$B$3=N$3,SUMIF('TL09'!$C$10:$C$224,$C257,'TL09'!$J$10:$J$224),0),
IF('TL09'!$B$229=N$3,SUMIF('TL09'!$C$238:$C$451,$C257,'TL09'!$J$238:$J$451),0),
IF('TL10'!$B$3=N$3,SUMIF('TL10'!$C$10:$C$224,$C257,'TL10'!$J$10:$J$224),0),
IF('TL10'!$B$229=N$3,SUMIF('TL10'!$C$238:$C$451,$C257,'TL10'!$J$238:$J$451),0),
IF('TL11'!$B$3=N$3,SUMIF('TL11'!$C$10:$C$224,$C257,'TL11'!$J$10:$J$224),0),
IF('TL11'!$B$229=N$3,SUMIF('TL11'!$C$238:$C$451,$C257,'TL11'!$J$238:$J$451),0),
IF('TL12'!$B$3=N$3,SUMIF('TL12'!$C$10:$C$224,$C257,'TL12'!$J$10:$J$224),0),
IF('TL12'!$B$229=N$3,SUMIF('TL12'!$C$238:$C$451,$C257,'TL12'!$J$238:$J$451),0),
IF('TL13'!$B$3=N$3,SUMIF('TL13'!$C$10:$C$224,$C257,'TL13'!$J$10:$J$224),0),
IF('TL13'!$B$229=N$3,SUMIF('TL13'!$C$238:$C$451,$C257,'TL13'!$J$238:$J$451),0),
IF('TL14'!$B$3=N$3,SUMIF('TL14'!$C$10:$C$224,$C257,'TL14'!$J$10:$J$224),0),
IF('TL14'!$B$229=N$3,SUMIF('TL14'!$C$238:$C$451,$C257,'TL14'!$J$238:$J$451),0),
IF('TL15'!$B$3=N$3,SUMIF('TL15'!$C$10:$C$224,$C257,'TL15'!$J$10:$J$224),0),
IF('TL15'!$B$229=N$3,SUMIF('TL15'!$C$238:$C$451,$C257,'TL15'!$J$238:$J$451),0),
IF('TL16'!$B$3=N$3,SUMIF('TL16'!$C$10:$C$224,$C257,'TL16'!$J$10:$J$224),0),
IF('TL16'!$B$229=N$3,SUMIF('TL16'!$C$238:$C$451,$C257,'TL16'!$J$238:$J$451),0),
IF('TL17'!$B$3=N$3,SUMIF('TL17'!$C$10:$C$224,$C257,'TL17'!$J$10:$J$224),0),
IF('TL17'!$B$229=N$3,SUMIF('TL17'!$C$238:$C$451,$C257,'TL17'!$J$238:$J$451),0),
IF('TL18'!$B$3=N$3,SUMIF('TL18'!$C$10:$C$224,$C257,'TL18'!$J$10:$J$224),0),
IF('TL18'!$B$229=N$3,SUMIF('TL18'!$C$238:$C$451,$C257,'TL18'!$J$238:$J$451),0),
IF('TL19'!$B$3=N$3,SUMIF('TL19'!$C$10:$C$224,$C257,'TL19'!$J$10:$J$224),0),
IF('TL19'!$B$229=N$3,SUMIF('TL19'!$C$238:$C$451,$C257,'TL19'!$J$238:$J$451),0)
),0)</f>
        <v>0</v>
      </c>
      <c r="O257" s="9">
        <f>IFERROR(SUM(
IF('TL01'!$B$3=O$3,SUMIF('TL01'!$C$10:$C$224,$C257,'TL01'!$J$10:$J$224),0),
IF('TL01'!$B$229=O$3,SUMIF('TL01'!$C$238:$C$451,$C257,'TL01'!$J$238:$J$451),0),
IF('TL02'!$B$3=O$3,SUMIF('TL02'!$C$10:$C$224,$C257,'TL02'!$J$10:$J$224),0),
IF('TL02'!$B$229=O$3,SUMIF('TL02'!$C$238:$C$451,$C257,'TL02'!$J$238:$J$451),0),
IF('TL03'!$B$3=O$3,SUMIF('TL03'!$C$10:$C$224,$C257,'TL03'!$J$10:$J$224),0),
IF('TL03'!$B$229=O$3,SUMIF('TL03'!$C$238:$C$451,$C257,'TL03'!$J$238:$J$451),0),
IF('TL04'!$B$3=O$3,SUMIF('TL04'!$C$10:$C$224,$C257,'TL04'!$J$10:$J$224),0),
IF('TL04'!$B$229=O$3,SUMIF('TL04'!$C$238:$C$451,$C257,'TL04'!$J$238:$J$451),0),
IF('TL05'!$B$3=O$3,SUMIF('TL05'!$C$10:$C$224,$C257,'TL05'!$J$10:$J$224),0),
IF('TL05'!$B$229=O$3,SUMIF('TL05'!$C$238:$C$451,$C257,'TL05'!$J$238:$J$451),0),
IF('TL06'!$B$3=O$3,SUMIF('TL06'!$C$10:$C$224,$C257,'TL06'!$J$10:$J$224),0),
IF('TL06'!$B$229=O$3,SUMIF('TL06'!$C$238:$C$451,$C257,'TL06'!$J$238:$J$451),0),
IF('TL07'!$B$3=O$3,SUMIF('TL07'!$C$10:$C$224,$C257,'TL07'!$J$10:$J$224),0),
IF('TL07'!$B$229=O$3,SUMIF('TL07'!$C$238:$C$451,$C257,'TL07'!$J$238:$J$451),0),
IF('TL08'!$B$3=O$3,SUMIF('TL08'!$C$10:$C$224,$C257,'TL08'!$J$10:$J$224),0),
IF('TL08'!$B$229=O$3,SUMIF('TL08'!$C$238:$C$451,$C257,'TL08'!$J$238:$J$451),0),
IF('TL09'!$B$3=O$3,SUMIF('TL09'!$C$10:$C$224,$C257,'TL09'!$J$10:$J$224),0),
IF('TL09'!$B$229=O$3,SUMIF('TL09'!$C$238:$C$451,$C257,'TL09'!$J$238:$J$451),0),
IF('TL10'!$B$3=O$3,SUMIF('TL10'!$C$10:$C$224,$C257,'TL10'!$J$10:$J$224),0),
IF('TL10'!$B$229=O$3,SUMIF('TL10'!$C$238:$C$451,$C257,'TL10'!$J$238:$J$451),0),
IF('TL11'!$B$3=O$3,SUMIF('TL11'!$C$10:$C$224,$C257,'TL11'!$J$10:$J$224),0),
IF('TL11'!$B$229=O$3,SUMIF('TL11'!$C$238:$C$451,$C257,'TL11'!$J$238:$J$451),0),
IF('TL12'!$B$3=O$3,SUMIF('TL12'!$C$10:$C$224,$C257,'TL12'!$J$10:$J$224),0),
IF('TL12'!$B$229=O$3,SUMIF('TL12'!$C$238:$C$451,$C257,'TL12'!$J$238:$J$451),0),
IF('TL13'!$B$3=O$3,SUMIF('TL13'!$C$10:$C$224,$C257,'TL13'!$J$10:$J$224),0),
IF('TL13'!$B$229=O$3,SUMIF('TL13'!$C$238:$C$451,$C257,'TL13'!$J$238:$J$451),0),
IF('TL14'!$B$3=O$3,SUMIF('TL14'!$C$10:$C$224,$C257,'TL14'!$J$10:$J$224),0),
IF('TL14'!$B$229=O$3,SUMIF('TL14'!$C$238:$C$451,$C257,'TL14'!$J$238:$J$451),0),
IF('TL15'!$B$3=O$3,SUMIF('TL15'!$C$10:$C$224,$C257,'TL15'!$J$10:$J$224),0),
IF('TL15'!$B$229=O$3,SUMIF('TL15'!$C$238:$C$451,$C257,'TL15'!$J$238:$J$451),0),
IF('TL16'!$B$3=O$3,SUMIF('TL16'!$C$10:$C$224,$C257,'TL16'!$J$10:$J$224),0),
IF('TL16'!$B$229=O$3,SUMIF('TL16'!$C$238:$C$451,$C257,'TL16'!$J$238:$J$451),0),
IF('TL17'!$B$3=O$3,SUMIF('TL17'!$C$10:$C$224,$C257,'TL17'!$J$10:$J$224),0),
IF('TL17'!$B$229=O$3,SUMIF('TL17'!$C$238:$C$451,$C257,'TL17'!$J$238:$J$451),0),
IF('TL18'!$B$3=O$3,SUMIF('TL18'!$C$10:$C$224,$C257,'TL18'!$J$10:$J$224),0),
IF('TL18'!$B$229=O$3,SUMIF('TL18'!$C$238:$C$451,$C257,'TL18'!$J$238:$J$451),0),
IF('TL19'!$B$3=O$3,SUMIF('TL19'!$C$10:$C$224,$C257,'TL19'!$J$10:$J$224),0),
IF('TL19'!$B$229=O$3,SUMIF('TL19'!$C$238:$C$451,$C257,'TL19'!$J$238:$J$451),0)
),0)</f>
        <v>0</v>
      </c>
      <c r="P257" s="9">
        <f>IFERROR(SUM(
IF('TL01'!$B$3=P$3,SUMIF('TL01'!$C$10:$C$224,$C257,'TL01'!$J$10:$J$224),0),
IF('TL01'!$B$229=P$3,SUMIF('TL01'!$C$238:$C$451,$C257,'TL01'!$J$238:$J$451),0),
IF('TL02'!$B$3=P$3,SUMIF('TL02'!$C$10:$C$224,$C257,'TL02'!$J$10:$J$224),0),
IF('TL02'!$B$229=P$3,SUMIF('TL02'!$C$238:$C$451,$C257,'TL02'!$J$238:$J$451),0),
IF('TL03'!$B$3=P$3,SUMIF('TL03'!$C$10:$C$224,$C257,'TL03'!$J$10:$J$224),0),
IF('TL03'!$B$229=P$3,SUMIF('TL03'!$C$238:$C$451,$C257,'TL03'!$J$238:$J$451),0),
IF('TL04'!$B$3=P$3,SUMIF('TL04'!$C$10:$C$224,$C257,'TL04'!$J$10:$J$224),0),
IF('TL04'!$B$229=P$3,SUMIF('TL04'!$C$238:$C$451,$C257,'TL04'!$J$238:$J$451),0),
IF('TL05'!$B$3=P$3,SUMIF('TL05'!$C$10:$C$224,$C257,'TL05'!$J$10:$J$224),0),
IF('TL05'!$B$229=P$3,SUMIF('TL05'!$C$238:$C$451,$C257,'TL05'!$J$238:$J$451),0),
IF('TL06'!$B$3=P$3,SUMIF('TL06'!$C$10:$C$224,$C257,'TL06'!$J$10:$J$224),0),
IF('TL06'!$B$229=P$3,SUMIF('TL06'!$C$238:$C$451,$C257,'TL06'!$J$238:$J$451),0),
IF('TL07'!$B$3=P$3,SUMIF('TL07'!$C$10:$C$224,$C257,'TL07'!$J$10:$J$224),0),
IF('TL07'!$B$229=P$3,SUMIF('TL07'!$C$238:$C$451,$C257,'TL07'!$J$238:$J$451),0),
IF('TL08'!$B$3=P$3,SUMIF('TL08'!$C$10:$C$224,$C257,'TL08'!$J$10:$J$224),0),
IF('TL08'!$B$229=P$3,SUMIF('TL08'!$C$238:$C$451,$C257,'TL08'!$J$238:$J$451),0),
IF('TL09'!$B$3=P$3,SUMIF('TL09'!$C$10:$C$224,$C257,'TL09'!$J$10:$J$224),0),
IF('TL09'!$B$229=P$3,SUMIF('TL09'!$C$238:$C$451,$C257,'TL09'!$J$238:$J$451),0),
IF('TL10'!$B$3=P$3,SUMIF('TL10'!$C$10:$C$224,$C257,'TL10'!$J$10:$J$224),0),
IF('TL10'!$B$229=P$3,SUMIF('TL10'!$C$238:$C$451,$C257,'TL10'!$J$238:$J$451),0),
IF('TL11'!$B$3=P$3,SUMIF('TL11'!$C$10:$C$224,$C257,'TL11'!$J$10:$J$224),0),
IF('TL11'!$B$229=P$3,SUMIF('TL11'!$C$238:$C$451,$C257,'TL11'!$J$238:$J$451),0),
IF('TL12'!$B$3=P$3,SUMIF('TL12'!$C$10:$C$224,$C257,'TL12'!$J$10:$J$224),0),
IF('TL12'!$B$229=P$3,SUMIF('TL12'!$C$238:$C$451,$C257,'TL12'!$J$238:$J$451),0),
IF('TL13'!$B$3=P$3,SUMIF('TL13'!$C$10:$C$224,$C257,'TL13'!$J$10:$J$224),0),
IF('TL13'!$B$229=P$3,SUMIF('TL13'!$C$238:$C$451,$C257,'TL13'!$J$238:$J$451),0),
IF('TL14'!$B$3=P$3,SUMIF('TL14'!$C$10:$C$224,$C257,'TL14'!$J$10:$J$224),0),
IF('TL14'!$B$229=P$3,SUMIF('TL14'!$C$238:$C$451,$C257,'TL14'!$J$238:$J$451),0),
IF('TL15'!$B$3=P$3,SUMIF('TL15'!$C$10:$C$224,$C257,'TL15'!$J$10:$J$224),0),
IF('TL15'!$B$229=P$3,SUMIF('TL15'!$C$238:$C$451,$C257,'TL15'!$J$238:$J$451),0),
IF('TL16'!$B$3=P$3,SUMIF('TL16'!$C$10:$C$224,$C257,'TL16'!$J$10:$J$224),0),
IF('TL16'!$B$229=P$3,SUMIF('TL16'!$C$238:$C$451,$C257,'TL16'!$J$238:$J$451),0),
IF('TL17'!$B$3=P$3,SUMIF('TL17'!$C$10:$C$224,$C257,'TL17'!$J$10:$J$224),0),
IF('TL17'!$B$229=P$3,SUMIF('TL17'!$C$238:$C$451,$C257,'TL17'!$J$238:$J$451),0),
IF('TL18'!$B$3=P$3,SUMIF('TL18'!$C$10:$C$224,$C257,'TL18'!$J$10:$J$224),0),
IF('TL18'!$B$229=P$3,SUMIF('TL18'!$C$238:$C$451,$C257,'TL18'!$J$238:$J$451),0),
IF('TL19'!$B$3=P$3,SUMIF('TL19'!$C$10:$C$224,$C257,'TL19'!$J$10:$J$224),0),
IF('TL19'!$B$229=P$3,SUMIF('TL19'!$C$238:$C$451,$C257,'TL19'!$J$238:$J$451),0)
),0)</f>
        <v>0</v>
      </c>
      <c r="Q257" s="9">
        <f>IFERROR(SUM(
IF('TL01'!$B$3=Q$3,SUMIF('TL01'!$C$10:$C$224,$C257,'TL01'!$J$10:$J$224),0),
IF('TL01'!$B$229=Q$3,SUMIF('TL01'!$C$238:$C$451,$C257,'TL01'!$J$238:$J$451),0),
IF('TL02'!$B$3=Q$3,SUMIF('TL02'!$C$10:$C$224,$C257,'TL02'!$J$10:$J$224),0),
IF('TL02'!$B$229=Q$3,SUMIF('TL02'!$C$238:$C$451,$C257,'TL02'!$J$238:$J$451),0),
IF('TL03'!$B$3=Q$3,SUMIF('TL03'!$C$10:$C$224,$C257,'TL03'!$J$10:$J$224),0),
IF('TL03'!$B$229=Q$3,SUMIF('TL03'!$C$238:$C$451,$C257,'TL03'!$J$238:$J$451),0),
IF('TL04'!$B$3=Q$3,SUMIF('TL04'!$C$10:$C$224,$C257,'TL04'!$J$10:$J$224),0),
IF('TL04'!$B$229=Q$3,SUMIF('TL04'!$C$238:$C$451,$C257,'TL04'!$J$238:$J$451),0),
IF('TL05'!$B$3=Q$3,SUMIF('TL05'!$C$10:$C$224,$C257,'TL05'!$J$10:$J$224),0),
IF('TL05'!$B$229=Q$3,SUMIF('TL05'!$C$238:$C$451,$C257,'TL05'!$J$238:$J$451),0),
IF('TL06'!$B$3=Q$3,SUMIF('TL06'!$C$10:$C$224,$C257,'TL06'!$J$10:$J$224),0),
IF('TL06'!$B$229=Q$3,SUMIF('TL06'!$C$238:$C$451,$C257,'TL06'!$J$238:$J$451),0),
IF('TL07'!$B$3=Q$3,SUMIF('TL07'!$C$10:$C$224,$C257,'TL07'!$J$10:$J$224),0),
IF('TL07'!$B$229=Q$3,SUMIF('TL07'!$C$238:$C$451,$C257,'TL07'!$J$238:$J$451),0),
IF('TL08'!$B$3=Q$3,SUMIF('TL08'!$C$10:$C$224,$C257,'TL08'!$J$10:$J$224),0),
IF('TL08'!$B$229=Q$3,SUMIF('TL08'!$C$238:$C$451,$C257,'TL08'!$J$238:$J$451),0),
IF('TL09'!$B$3=Q$3,SUMIF('TL09'!$C$10:$C$224,$C257,'TL09'!$J$10:$J$224),0),
IF('TL09'!$B$229=Q$3,SUMIF('TL09'!$C$238:$C$451,$C257,'TL09'!$J$238:$J$451),0),
IF('TL10'!$B$3=Q$3,SUMIF('TL10'!$C$10:$C$224,$C257,'TL10'!$J$10:$J$224),0),
IF('TL10'!$B$229=Q$3,SUMIF('TL10'!$C$238:$C$451,$C257,'TL10'!$J$238:$J$451),0),
IF('TL11'!$B$3=Q$3,SUMIF('TL11'!$C$10:$C$224,$C257,'TL11'!$J$10:$J$224),0),
IF('TL11'!$B$229=Q$3,SUMIF('TL11'!$C$238:$C$451,$C257,'TL11'!$J$238:$J$451),0),
IF('TL12'!$B$3=Q$3,SUMIF('TL12'!$C$10:$C$224,$C257,'TL12'!$J$10:$J$224),0),
IF('TL12'!$B$229=Q$3,SUMIF('TL12'!$C$238:$C$451,$C257,'TL12'!$J$238:$J$451),0),
IF('TL13'!$B$3=Q$3,SUMIF('TL13'!$C$10:$C$224,$C257,'TL13'!$J$10:$J$224),0),
IF('TL13'!$B$229=Q$3,SUMIF('TL13'!$C$238:$C$451,$C257,'TL13'!$J$238:$J$451),0),
IF('TL14'!$B$3=Q$3,SUMIF('TL14'!$C$10:$C$224,$C257,'TL14'!$J$10:$J$224),0),
IF('TL14'!$B$229=Q$3,SUMIF('TL14'!$C$238:$C$451,$C257,'TL14'!$J$238:$J$451),0),
IF('TL15'!$B$3=Q$3,SUMIF('TL15'!$C$10:$C$224,$C257,'TL15'!$J$10:$J$224),0),
IF('TL15'!$B$229=Q$3,SUMIF('TL15'!$C$238:$C$451,$C257,'TL15'!$J$238:$J$451),0),
IF('TL16'!$B$3=Q$3,SUMIF('TL16'!$C$10:$C$224,$C257,'TL16'!$J$10:$J$224),0),
IF('TL16'!$B$229=Q$3,SUMIF('TL16'!$C$238:$C$451,$C257,'TL16'!$J$238:$J$451),0),
IF('TL17'!$B$3=Q$3,SUMIF('TL17'!$C$10:$C$224,$C257,'TL17'!$J$10:$J$224),0),
IF('TL17'!$B$229=Q$3,SUMIF('TL17'!$C$238:$C$451,$C257,'TL17'!$J$238:$J$451),0),
IF('TL18'!$B$3=Q$3,SUMIF('TL18'!$C$10:$C$224,$C257,'TL18'!$J$10:$J$224),0),
IF('TL18'!$B$229=Q$3,SUMIF('TL18'!$C$238:$C$451,$C257,'TL18'!$J$238:$J$451),0),
IF('TL19'!$B$3=Q$3,SUMIF('TL19'!$C$10:$C$224,$C257,'TL19'!$J$10:$J$224),0),
IF('TL19'!$B$229=Q$3,SUMIF('TL19'!$C$238:$C$451,$C257,'TL19'!$J$238:$J$451),0)
),0)</f>
        <v>0</v>
      </c>
      <c r="R257" s="9">
        <f>IFERROR(
SUM(
SUMIF('TL01'!C:C,C257,'TL01'!J:J),
SUMIF('TL02'!C:C,C257,'TL02'!J:J),
SUMIF('TL03'!C:C,C257,'TL03'!J:J),
SUMIF('TL04'!C:C,C257,'TL04'!J:J),
SUMIF('TL05'!C:C,C257,'TL05'!J:J),
SUMIF('TL06'!C:C,C257,'TL06'!J:J),
SUMIF('TL07'!C:C,C257,'TL07'!J:J),
SUMIF('TL08'!C:C,C257,'TL08'!J:J),
SUMIF('TL09'!C:C,C257,'TL09'!J:J),
SUMIF('TL10'!C:C,C257,'TL10'!J:J),
SUMIF('TL11'!C:C,C257,'TL11'!J:J),
SUMIF('TL12'!C:C,C257,'TL12'!J:J),
SUMIF('TL13'!C:C,C257,'TL13'!J:J),
SUMIF('TL14'!C:C,C257,'TL14'!J:J),
SUMIF('TL15'!C:C,C257,'TL15'!J:J),
SUMIF('TL16'!C:C,C257,'TL16'!J:J),
SUMIF('TL17'!C:C,C257,'TL17'!J:J),
SUMIF('TL18'!C:C,C257,'TL18'!J:J),SUMIF('TL19'!C:C,C257,'TL19'!J:J))
,0)</f>
        <v>0</v>
      </c>
      <c r="S257" s="17">
        <f>IFERROR(__xludf.DUMMYFUNCTION("IFERROR(VLOOKUP(C257,
IMPORTRANGE(""1wULbzX32WdYsx-lj2U3uUNBBe2INVIRDtcK0d-Dvl90"",
""26-27!C:G""),
5,
FALSE),
"""")"),142.6)</f>
        <v>142.6</v>
      </c>
      <c r="T257" s="9"/>
      <c r="U257" s="92">
        <f t="shared" si="2"/>
        <v>0</v>
      </c>
      <c r="V257" s="93">
        <f t="shared" si="3"/>
        <v>0</v>
      </c>
    </row>
    <row r="258" ht="15.75" hidden="1" customHeight="1">
      <c r="A258" s="4" t="s">
        <v>932</v>
      </c>
      <c r="B258" s="125" t="s">
        <v>9</v>
      </c>
      <c r="C258" s="4" t="s">
        <v>942</v>
      </c>
      <c r="D258" s="4" t="s">
        <v>943</v>
      </c>
      <c r="E258" s="9" t="s">
        <v>944</v>
      </c>
      <c r="F258" s="4" t="s">
        <v>343</v>
      </c>
      <c r="G258" s="9"/>
      <c r="H258" s="9">
        <v>0.5</v>
      </c>
      <c r="I258" s="1"/>
      <c r="J258" s="9">
        <f>IFERROR(SUM(
IF('TL01'!$B$3=J$3,SUMIF('TL01'!$C$10:$C$224,$C258,'TL01'!$J$10:$J$224),0),
IF('TL01'!$B$229=J$3,SUMIF('TL01'!$C$238:$C$451,$C258,'TL01'!$J$238:$J$451),0),
IF('TL02'!$B$3=J$3,SUMIF('TL02'!$C$10:$C$224,$C258,'TL02'!$J$10:$J$224),0),
IF('TL02'!$B$229=J$3,SUMIF('TL02'!$C$238:$C$451,$C258,'TL02'!$J$238:$J$451),0),
IF('TL03'!$B$3=J$3,SUMIF('TL03'!$C$10:$C$224,$C258,'TL03'!$J$10:$J$224),0),
IF('TL03'!$B$229=J$3,SUMIF('TL03'!$C$238:$C$451,$C258,'TL03'!$J$238:$J$451),0),
IF('TL04'!$B$3=J$3,SUMIF('TL04'!$C$10:$C$224,$C258,'TL04'!$J$10:$J$224),0),
IF('TL04'!$B$229=J$3,SUMIF('TL04'!$C$238:$C$451,$C258,'TL04'!$J$238:$J$451),0),
IF('TL05'!$B$3=J$3,SUMIF('TL05'!$C$10:$C$224,$C258,'TL05'!$J$10:$J$224),0),
IF('TL05'!$B$229=J$3,SUMIF('TL05'!$C$238:$C$451,$C258,'TL05'!$J$238:$J$451),0),
IF('TL06'!$B$3=J$3,SUMIF('TL06'!$C$10:$C$224,$C258,'TL06'!$J$10:$J$224),0),
IF('TL06'!$B$229=J$3,SUMIF('TL06'!$C$238:$C$451,$C258,'TL06'!$J$238:$J$451),0),
IF('TL07'!$B$3=J$3,SUMIF('TL07'!$C$10:$C$224,$C258,'TL07'!$J$10:$J$224),0),
IF('TL07'!$B$229=J$3,SUMIF('TL07'!$C$238:$C$451,$C258,'TL07'!$J$238:$J$451),0),
IF('TL08'!$B$3=J$3,SUMIF('TL08'!$C$10:$C$224,$C258,'TL08'!$J$10:$J$224),0),
IF('TL08'!$B$229=J$3,SUMIF('TL08'!$C$238:$C$451,$C258,'TL08'!$J$238:$J$451),0),
IF('TL09'!$B$3=J$3,SUMIF('TL09'!$C$10:$C$224,$C258,'TL09'!$J$10:$J$224),0),
IF('TL09'!$B$229=J$3,SUMIF('TL09'!$C$238:$C$451,$C258,'TL09'!$J$238:$J$451),0),
IF('TL10'!$B$3=J$3,SUMIF('TL10'!$C$10:$C$224,$C258,'TL10'!$J$10:$J$224),0),
IF('TL10'!$B$229=J$3,SUMIF('TL10'!$C$238:$C$451,$C258,'TL10'!$J$238:$J$451),0),
IF('TL11'!$B$3=J$3,SUMIF('TL11'!$C$10:$C$224,$C258,'TL11'!$J$10:$J$224),0),
IF('TL11'!$B$229=J$3,SUMIF('TL11'!$C$238:$C$451,$C258,'TL11'!$J$238:$J$451),0),
IF('TL12'!$B$3=J$3,SUMIF('TL12'!$C$10:$C$224,$C258,'TL12'!$J$10:$J$224),0),
IF('TL12'!$B$229=J$3,SUMIF('TL12'!$C$238:$C$451,$C258,'TL12'!$J$238:$J$451),0),
IF('TL13'!$B$3=J$3,SUMIF('TL13'!$C$10:$C$224,$C258,'TL13'!$J$10:$J$224),0),
IF('TL13'!$B$229=J$3,SUMIF('TL13'!$C$238:$C$451,$C258,'TL13'!$J$238:$J$451),0),
IF('TL14'!$B$3=J$3,SUMIF('TL14'!$C$10:$C$224,$C258,'TL14'!$J$10:$J$224),0),
IF('TL14'!$B$229=J$3,SUMIF('TL14'!$C$238:$C$451,$C258,'TL14'!$J$238:$J$451),0),
IF('TL15'!$B$3=J$3,SUMIF('TL15'!$C$10:$C$224,$C258,'TL15'!$J$10:$J$224),0),
IF('TL15'!$B$229=J$3,SUMIF('TL15'!$C$238:$C$451,$C258,'TL15'!$J$238:$J$451),0),
IF('TL16'!$B$3=J$3,SUMIF('TL16'!$C$10:$C$224,$C258,'TL16'!$J$10:$J$224),0),
IF('TL16'!$B$229=J$3,SUMIF('TL16'!$C$238:$C$451,$C258,'TL16'!$J$238:$J$451),0),
IF('TL17'!$B$3=J$3,SUMIF('TL17'!$C$10:$C$224,$C258,'TL17'!$J$10:$J$224),0),
IF('TL17'!$B$229=J$3,SUMIF('TL17'!$C$238:$C$451,$C258,'TL17'!$J$238:$J$451),0),
IF('TL18'!$B$3=J$3,SUMIF('TL18'!$C$10:$C$224,$C258,'TL18'!$J$10:$J$224),0),
IF('TL18'!$B$229=J$3,SUMIF('TL18'!$C$238:$C$451,$C258,'TL18'!$J$238:$J$451),0),
IF('TL19'!$B$3=J$3,SUMIF('TL19'!$C$10:$C$224,$C258,'TL19'!$J$10:$J$224),0),
IF('TL19'!$B$229=J$3,SUMIF('TL19'!$C$238:$C$451,$C258,'TL19'!$J$238:$J$451),0)
),0)</f>
        <v>0</v>
      </c>
      <c r="K258" s="9">
        <f>IFERROR(SUM(
IF('TL01'!$B$3=K$3,SUMIF('TL01'!$C$10:$C$224,$C258,'TL01'!$J$10:$J$224),0),
IF('TL01'!$B$229=K$3,SUMIF('TL01'!$C$238:$C$451,$C258,'TL01'!$J$238:$J$451),0),
IF('TL02'!$B$3=K$3,SUMIF('TL02'!$C$10:$C$224,$C258,'TL02'!$J$10:$J$224),0),
IF('TL02'!$B$229=K$3,SUMIF('TL02'!$C$238:$C$451,$C258,'TL02'!$J$238:$J$451),0),
IF('TL03'!$B$3=K$3,SUMIF('TL03'!$C$10:$C$224,$C258,'TL03'!$J$10:$J$224),0),
IF('TL03'!$B$229=K$3,SUMIF('TL03'!$C$238:$C$451,$C258,'TL03'!$J$238:$J$451),0),
IF('TL04'!$B$3=K$3,SUMIF('TL04'!$C$10:$C$224,$C258,'TL04'!$J$10:$J$224),0),
IF('TL04'!$B$229=K$3,SUMIF('TL04'!$C$238:$C$451,$C258,'TL04'!$J$238:$J$451),0),
IF('TL05'!$B$3=K$3,SUMIF('TL05'!$C$10:$C$224,$C258,'TL05'!$J$10:$J$224),0),
IF('TL05'!$B$229=K$3,SUMIF('TL05'!$C$238:$C$451,$C258,'TL05'!$J$238:$J$451),0),
IF('TL06'!$B$3=K$3,SUMIF('TL06'!$C$10:$C$224,$C258,'TL06'!$J$10:$J$224),0),
IF('TL06'!$B$229=K$3,SUMIF('TL06'!$C$238:$C$451,$C258,'TL06'!$J$238:$J$451),0),
IF('TL07'!$B$3=K$3,SUMIF('TL07'!$C$10:$C$224,$C258,'TL07'!$J$10:$J$224),0),
IF('TL07'!$B$229=K$3,SUMIF('TL07'!$C$238:$C$451,$C258,'TL07'!$J$238:$J$451),0),
IF('TL08'!$B$3=K$3,SUMIF('TL08'!$C$10:$C$224,$C258,'TL08'!$J$10:$J$224),0),
IF('TL08'!$B$229=K$3,SUMIF('TL08'!$C$238:$C$451,$C258,'TL08'!$J$238:$J$451),0),
IF('TL09'!$B$3=K$3,SUMIF('TL09'!$C$10:$C$224,$C258,'TL09'!$J$10:$J$224),0),
IF('TL09'!$B$229=K$3,SUMIF('TL09'!$C$238:$C$451,$C258,'TL09'!$J$238:$J$451),0),
IF('TL10'!$B$3=K$3,SUMIF('TL10'!$C$10:$C$224,$C258,'TL10'!$J$10:$J$224),0),
IF('TL10'!$B$229=K$3,SUMIF('TL10'!$C$238:$C$451,$C258,'TL10'!$J$238:$J$451),0),
IF('TL11'!$B$3=K$3,SUMIF('TL11'!$C$10:$C$224,$C258,'TL11'!$J$10:$J$224),0),
IF('TL11'!$B$229=K$3,SUMIF('TL11'!$C$238:$C$451,$C258,'TL11'!$J$238:$J$451),0),
IF('TL12'!$B$3=K$3,SUMIF('TL12'!$C$10:$C$224,$C258,'TL12'!$J$10:$J$224),0),
IF('TL12'!$B$229=K$3,SUMIF('TL12'!$C$238:$C$451,$C258,'TL12'!$J$238:$J$451),0),
IF('TL13'!$B$3=K$3,SUMIF('TL13'!$C$10:$C$224,$C258,'TL13'!$J$10:$J$224),0),
IF('TL13'!$B$229=K$3,SUMIF('TL13'!$C$238:$C$451,$C258,'TL13'!$J$238:$J$451),0),
IF('TL14'!$B$3=K$3,SUMIF('TL14'!$C$10:$C$224,$C258,'TL14'!$J$10:$J$224),0),
IF('TL14'!$B$229=K$3,SUMIF('TL14'!$C$238:$C$451,$C258,'TL14'!$J$238:$J$451),0),
IF('TL15'!$B$3=K$3,SUMIF('TL15'!$C$10:$C$224,$C258,'TL15'!$J$10:$J$224),0),
IF('TL15'!$B$229=K$3,SUMIF('TL15'!$C$238:$C$451,$C258,'TL15'!$J$238:$J$451),0),
IF('TL16'!$B$3=K$3,SUMIF('TL16'!$C$10:$C$224,$C258,'TL16'!$J$10:$J$224),0),
IF('TL16'!$B$229=K$3,SUMIF('TL16'!$C$238:$C$451,$C258,'TL16'!$J$238:$J$451),0),
IF('TL17'!$B$3=K$3,SUMIF('TL17'!$C$10:$C$224,$C258,'TL17'!$J$10:$J$224),0),
IF('TL17'!$B$229=K$3,SUMIF('TL17'!$C$238:$C$451,$C258,'TL17'!$J$238:$J$451),0),
IF('TL18'!$B$3=K$3,SUMIF('TL18'!$C$10:$C$224,$C258,'TL18'!$J$10:$J$224),0),
IF('TL18'!$B$229=K$3,SUMIF('TL18'!$C$238:$C$451,$C258,'TL18'!$J$238:$J$451),0),
IF('TL19'!$B$3=K$3,SUMIF('TL19'!$C$10:$C$224,$C258,'TL19'!$J$10:$J$224),0),
IF('TL19'!$B$229=K$3,SUMIF('TL19'!$C$238:$C$451,$C258,'TL19'!$J$238:$J$451),0)
),0)</f>
        <v>0</v>
      </c>
      <c r="L258" s="9">
        <f>IFERROR(SUM(
IF('TL01'!$B$3=L$3,SUMIF('TL01'!$C$10:$C$224,$C258,'TL01'!$J$10:$J$224),0),
IF('TL01'!$B$229=L$3,SUMIF('TL01'!$C$238:$C$451,$C258,'TL01'!$J$238:$J$451),0),
IF('TL02'!$B$3=L$3,SUMIF('TL02'!$C$10:$C$224,$C258,'TL02'!$J$10:$J$224),0),
IF('TL02'!$B$229=L$3,SUMIF('TL02'!$C$238:$C$451,$C258,'TL02'!$J$238:$J$451),0),
IF('TL03'!$B$3=L$3,SUMIF('TL03'!$C$10:$C$224,$C258,'TL03'!$J$10:$J$224),0),
IF('TL03'!$B$229=L$3,SUMIF('TL03'!$C$238:$C$451,$C258,'TL03'!$J$238:$J$451),0),
IF('TL04'!$B$3=L$3,SUMIF('TL04'!$C$10:$C$224,$C258,'TL04'!$J$10:$J$224),0),
IF('TL04'!$B$229=L$3,SUMIF('TL04'!$C$238:$C$451,$C258,'TL04'!$J$238:$J$451),0),
IF('TL05'!$B$3=L$3,SUMIF('TL05'!$C$10:$C$224,$C258,'TL05'!$J$10:$J$224),0),
IF('TL05'!$B$229=L$3,SUMIF('TL05'!$C$238:$C$451,$C258,'TL05'!$J$238:$J$451),0),
IF('TL06'!$B$3=L$3,SUMIF('TL06'!$C$10:$C$224,$C258,'TL06'!$J$10:$J$224),0),
IF('TL06'!$B$229=L$3,SUMIF('TL06'!$C$238:$C$451,$C258,'TL06'!$J$238:$J$451),0),
IF('TL07'!$B$3=L$3,SUMIF('TL07'!$C$10:$C$224,$C258,'TL07'!$J$10:$J$224),0),
IF('TL07'!$B$229=L$3,SUMIF('TL07'!$C$238:$C$451,$C258,'TL07'!$J$238:$J$451),0),
IF('TL08'!$B$3=L$3,SUMIF('TL08'!$C$10:$C$224,$C258,'TL08'!$J$10:$J$224),0),
IF('TL08'!$B$229=L$3,SUMIF('TL08'!$C$238:$C$451,$C258,'TL08'!$J$238:$J$451),0),
IF('TL09'!$B$3=L$3,SUMIF('TL09'!$C$10:$C$224,$C258,'TL09'!$J$10:$J$224),0),
IF('TL09'!$B$229=L$3,SUMIF('TL09'!$C$238:$C$451,$C258,'TL09'!$J$238:$J$451),0),
IF('TL10'!$B$3=L$3,SUMIF('TL10'!$C$10:$C$224,$C258,'TL10'!$J$10:$J$224),0),
IF('TL10'!$B$229=L$3,SUMIF('TL10'!$C$238:$C$451,$C258,'TL10'!$J$238:$J$451),0),
IF('TL11'!$B$3=L$3,SUMIF('TL11'!$C$10:$C$224,$C258,'TL11'!$J$10:$J$224),0),
IF('TL11'!$B$229=L$3,SUMIF('TL11'!$C$238:$C$451,$C258,'TL11'!$J$238:$J$451),0),
IF('TL12'!$B$3=L$3,SUMIF('TL12'!$C$10:$C$224,$C258,'TL12'!$J$10:$J$224),0),
IF('TL12'!$B$229=L$3,SUMIF('TL12'!$C$238:$C$451,$C258,'TL12'!$J$238:$J$451),0),
IF('TL13'!$B$3=L$3,SUMIF('TL13'!$C$10:$C$224,$C258,'TL13'!$J$10:$J$224),0),
IF('TL13'!$B$229=L$3,SUMIF('TL13'!$C$238:$C$451,$C258,'TL13'!$J$238:$J$451),0),
IF('TL14'!$B$3=L$3,SUMIF('TL14'!$C$10:$C$224,$C258,'TL14'!$J$10:$J$224),0),
IF('TL14'!$B$229=L$3,SUMIF('TL14'!$C$238:$C$451,$C258,'TL14'!$J$238:$J$451),0),
IF('TL15'!$B$3=L$3,SUMIF('TL15'!$C$10:$C$224,$C258,'TL15'!$J$10:$J$224),0),
IF('TL15'!$B$229=L$3,SUMIF('TL15'!$C$238:$C$451,$C258,'TL15'!$J$238:$J$451),0),
IF('TL16'!$B$3=L$3,SUMIF('TL16'!$C$10:$C$224,$C258,'TL16'!$J$10:$J$224),0),
IF('TL16'!$B$229=L$3,SUMIF('TL16'!$C$238:$C$451,$C258,'TL16'!$J$238:$J$451),0),
IF('TL17'!$B$3=L$3,SUMIF('TL17'!$C$10:$C$224,$C258,'TL17'!$J$10:$J$224),0),
IF('TL17'!$B$229=L$3,SUMIF('TL17'!$C$238:$C$451,$C258,'TL17'!$J$238:$J$451),0),
IF('TL18'!$B$3=L$3,SUMIF('TL18'!$C$10:$C$224,$C258,'TL18'!$J$10:$J$224),0),
IF('TL18'!$B$229=L$3,SUMIF('TL18'!$C$238:$C$451,$C258,'TL18'!$J$238:$J$451),0),
IF('TL19'!$B$3=L$3,SUMIF('TL19'!$C$10:$C$224,$C258,'TL19'!$J$10:$J$224),0),
IF('TL19'!$B$229=L$3,SUMIF('TL19'!$C$238:$C$451,$C258,'TL19'!$J$238:$J$451),0)
),0)</f>
        <v>0</v>
      </c>
      <c r="M258" s="9">
        <f>IFERROR(SUM(
IF('TL01'!$B$3=M$3,SUMIF('TL01'!$C$10:$C$224,$C258,'TL01'!$J$10:$J$224),0),
IF('TL01'!$B$229=M$3,SUMIF('TL01'!$C$238:$C$451,$C258,'TL01'!$J$238:$J$451),0),
IF('TL02'!$B$3=M$3,SUMIF('TL02'!$C$10:$C$224,$C258,'TL02'!$J$10:$J$224),0),
IF('TL02'!$B$229=M$3,SUMIF('TL02'!$C$238:$C$451,$C258,'TL02'!$J$238:$J$451),0),
IF('TL03'!$B$3=M$3,SUMIF('TL03'!$C$10:$C$224,$C258,'TL03'!$J$10:$J$224),0),
IF('TL03'!$B$229=M$3,SUMIF('TL03'!$C$238:$C$451,$C258,'TL03'!$J$238:$J$451),0),
IF('TL04'!$B$3=M$3,SUMIF('TL04'!$C$10:$C$224,$C258,'TL04'!$J$10:$J$224),0),
IF('TL04'!$B$229=M$3,SUMIF('TL04'!$C$238:$C$451,$C258,'TL04'!$J$238:$J$451),0),
IF('TL05'!$B$3=M$3,SUMIF('TL05'!$C$10:$C$224,$C258,'TL05'!$J$10:$J$224),0),
IF('TL05'!$B$229=M$3,SUMIF('TL05'!$C$238:$C$451,$C258,'TL05'!$J$238:$J$451),0),
IF('TL06'!$B$3=M$3,SUMIF('TL06'!$C$10:$C$224,$C258,'TL06'!$J$10:$J$224),0),
IF('TL06'!$B$229=M$3,SUMIF('TL06'!$C$238:$C$451,$C258,'TL06'!$J$238:$J$451),0),
IF('TL07'!$B$3=M$3,SUMIF('TL07'!$C$10:$C$224,$C258,'TL07'!$J$10:$J$224),0),
IF('TL07'!$B$229=M$3,SUMIF('TL07'!$C$238:$C$451,$C258,'TL07'!$J$238:$J$451),0),
IF('TL08'!$B$3=M$3,SUMIF('TL08'!$C$10:$C$224,$C258,'TL08'!$J$10:$J$224),0),
IF('TL08'!$B$229=M$3,SUMIF('TL08'!$C$238:$C$451,$C258,'TL08'!$J$238:$J$451),0),
IF('TL09'!$B$3=M$3,SUMIF('TL09'!$C$10:$C$224,$C258,'TL09'!$J$10:$J$224),0),
IF('TL09'!$B$229=M$3,SUMIF('TL09'!$C$238:$C$451,$C258,'TL09'!$J$238:$J$451),0),
IF('TL10'!$B$3=M$3,SUMIF('TL10'!$C$10:$C$224,$C258,'TL10'!$J$10:$J$224),0),
IF('TL10'!$B$229=M$3,SUMIF('TL10'!$C$238:$C$451,$C258,'TL10'!$J$238:$J$451),0),
IF('TL11'!$B$3=M$3,SUMIF('TL11'!$C$10:$C$224,$C258,'TL11'!$J$10:$J$224),0),
IF('TL11'!$B$229=M$3,SUMIF('TL11'!$C$238:$C$451,$C258,'TL11'!$J$238:$J$451),0),
IF('TL12'!$B$3=M$3,SUMIF('TL12'!$C$10:$C$224,$C258,'TL12'!$J$10:$J$224),0),
IF('TL12'!$B$229=M$3,SUMIF('TL12'!$C$238:$C$451,$C258,'TL12'!$J$238:$J$451),0),
IF('TL13'!$B$3=M$3,SUMIF('TL13'!$C$10:$C$224,$C258,'TL13'!$J$10:$J$224),0),
IF('TL13'!$B$229=M$3,SUMIF('TL13'!$C$238:$C$451,$C258,'TL13'!$J$238:$J$451),0),
IF('TL14'!$B$3=M$3,SUMIF('TL14'!$C$10:$C$224,$C258,'TL14'!$J$10:$J$224),0),
IF('TL14'!$B$229=M$3,SUMIF('TL14'!$C$238:$C$451,$C258,'TL14'!$J$238:$J$451),0),
IF('TL15'!$B$3=M$3,SUMIF('TL15'!$C$10:$C$224,$C258,'TL15'!$J$10:$J$224),0),
IF('TL15'!$B$229=M$3,SUMIF('TL15'!$C$238:$C$451,$C258,'TL15'!$J$238:$J$451),0),
IF('TL16'!$B$3=M$3,SUMIF('TL16'!$C$10:$C$224,$C258,'TL16'!$J$10:$J$224),0),
IF('TL16'!$B$229=M$3,SUMIF('TL16'!$C$238:$C$451,$C258,'TL16'!$J$238:$J$451),0),
IF('TL17'!$B$3=M$3,SUMIF('TL17'!$C$10:$C$224,$C258,'TL17'!$J$10:$J$224),0),
IF('TL17'!$B$229=M$3,SUMIF('TL17'!$C$238:$C$451,$C258,'TL17'!$J$238:$J$451),0),
IF('TL18'!$B$3=M$3,SUMIF('TL18'!$C$10:$C$224,$C258,'TL18'!$J$10:$J$224),0),
IF('TL18'!$B$229=M$3,SUMIF('TL18'!$C$238:$C$451,$C258,'TL18'!$J$238:$J$451),0),
IF('TL19'!$B$3=M$3,SUMIF('TL19'!$C$10:$C$224,$C258,'TL19'!$J$10:$J$224),0),
IF('TL19'!$B$229=M$3,SUMIF('TL19'!$C$238:$C$451,$C258,'TL19'!$J$238:$J$451),0)
),0)</f>
        <v>0</v>
      </c>
      <c r="N258" s="9">
        <f>IFERROR(SUM(
IF('TL01'!$B$3=N$3,SUMIF('TL01'!$C$10:$C$224,$C258,'TL01'!$J$10:$J$224),0),
IF('TL01'!$B$229=N$3,SUMIF('TL01'!$C$238:$C$451,$C258,'TL01'!$J$238:$J$451),0),
IF('TL02'!$B$3=N$3,SUMIF('TL02'!$C$10:$C$224,$C258,'TL02'!$J$10:$J$224),0),
IF('TL02'!$B$229=N$3,SUMIF('TL02'!$C$238:$C$451,$C258,'TL02'!$J$238:$J$451),0),
IF('TL03'!$B$3=N$3,SUMIF('TL03'!$C$10:$C$224,$C258,'TL03'!$J$10:$J$224),0),
IF('TL03'!$B$229=N$3,SUMIF('TL03'!$C$238:$C$451,$C258,'TL03'!$J$238:$J$451),0),
IF('TL04'!$B$3=N$3,SUMIF('TL04'!$C$10:$C$224,$C258,'TL04'!$J$10:$J$224),0),
IF('TL04'!$B$229=N$3,SUMIF('TL04'!$C$238:$C$451,$C258,'TL04'!$J$238:$J$451),0),
IF('TL05'!$B$3=N$3,SUMIF('TL05'!$C$10:$C$224,$C258,'TL05'!$J$10:$J$224),0),
IF('TL05'!$B$229=N$3,SUMIF('TL05'!$C$238:$C$451,$C258,'TL05'!$J$238:$J$451),0),
IF('TL06'!$B$3=N$3,SUMIF('TL06'!$C$10:$C$224,$C258,'TL06'!$J$10:$J$224),0),
IF('TL06'!$B$229=N$3,SUMIF('TL06'!$C$238:$C$451,$C258,'TL06'!$J$238:$J$451),0),
IF('TL07'!$B$3=N$3,SUMIF('TL07'!$C$10:$C$224,$C258,'TL07'!$J$10:$J$224),0),
IF('TL07'!$B$229=N$3,SUMIF('TL07'!$C$238:$C$451,$C258,'TL07'!$J$238:$J$451),0),
IF('TL08'!$B$3=N$3,SUMIF('TL08'!$C$10:$C$224,$C258,'TL08'!$J$10:$J$224),0),
IF('TL08'!$B$229=N$3,SUMIF('TL08'!$C$238:$C$451,$C258,'TL08'!$J$238:$J$451),0),
IF('TL09'!$B$3=N$3,SUMIF('TL09'!$C$10:$C$224,$C258,'TL09'!$J$10:$J$224),0),
IF('TL09'!$B$229=N$3,SUMIF('TL09'!$C$238:$C$451,$C258,'TL09'!$J$238:$J$451),0),
IF('TL10'!$B$3=N$3,SUMIF('TL10'!$C$10:$C$224,$C258,'TL10'!$J$10:$J$224),0),
IF('TL10'!$B$229=N$3,SUMIF('TL10'!$C$238:$C$451,$C258,'TL10'!$J$238:$J$451),0),
IF('TL11'!$B$3=N$3,SUMIF('TL11'!$C$10:$C$224,$C258,'TL11'!$J$10:$J$224),0),
IF('TL11'!$B$229=N$3,SUMIF('TL11'!$C$238:$C$451,$C258,'TL11'!$J$238:$J$451),0),
IF('TL12'!$B$3=N$3,SUMIF('TL12'!$C$10:$C$224,$C258,'TL12'!$J$10:$J$224),0),
IF('TL12'!$B$229=N$3,SUMIF('TL12'!$C$238:$C$451,$C258,'TL12'!$J$238:$J$451),0),
IF('TL13'!$B$3=N$3,SUMIF('TL13'!$C$10:$C$224,$C258,'TL13'!$J$10:$J$224),0),
IF('TL13'!$B$229=N$3,SUMIF('TL13'!$C$238:$C$451,$C258,'TL13'!$J$238:$J$451),0),
IF('TL14'!$B$3=N$3,SUMIF('TL14'!$C$10:$C$224,$C258,'TL14'!$J$10:$J$224),0),
IF('TL14'!$B$229=N$3,SUMIF('TL14'!$C$238:$C$451,$C258,'TL14'!$J$238:$J$451),0),
IF('TL15'!$B$3=N$3,SUMIF('TL15'!$C$10:$C$224,$C258,'TL15'!$J$10:$J$224),0),
IF('TL15'!$B$229=N$3,SUMIF('TL15'!$C$238:$C$451,$C258,'TL15'!$J$238:$J$451),0),
IF('TL16'!$B$3=N$3,SUMIF('TL16'!$C$10:$C$224,$C258,'TL16'!$J$10:$J$224),0),
IF('TL16'!$B$229=N$3,SUMIF('TL16'!$C$238:$C$451,$C258,'TL16'!$J$238:$J$451),0),
IF('TL17'!$B$3=N$3,SUMIF('TL17'!$C$10:$C$224,$C258,'TL17'!$J$10:$J$224),0),
IF('TL17'!$B$229=N$3,SUMIF('TL17'!$C$238:$C$451,$C258,'TL17'!$J$238:$J$451),0),
IF('TL18'!$B$3=N$3,SUMIF('TL18'!$C$10:$C$224,$C258,'TL18'!$J$10:$J$224),0),
IF('TL18'!$B$229=N$3,SUMIF('TL18'!$C$238:$C$451,$C258,'TL18'!$J$238:$J$451),0),
IF('TL19'!$B$3=N$3,SUMIF('TL19'!$C$10:$C$224,$C258,'TL19'!$J$10:$J$224),0),
IF('TL19'!$B$229=N$3,SUMIF('TL19'!$C$238:$C$451,$C258,'TL19'!$J$238:$J$451),0)
),0)</f>
        <v>0</v>
      </c>
      <c r="O258" s="9">
        <f>IFERROR(SUM(
IF('TL01'!$B$3=O$3,SUMIF('TL01'!$C$10:$C$224,$C258,'TL01'!$J$10:$J$224),0),
IF('TL01'!$B$229=O$3,SUMIF('TL01'!$C$238:$C$451,$C258,'TL01'!$J$238:$J$451),0),
IF('TL02'!$B$3=O$3,SUMIF('TL02'!$C$10:$C$224,$C258,'TL02'!$J$10:$J$224),0),
IF('TL02'!$B$229=O$3,SUMIF('TL02'!$C$238:$C$451,$C258,'TL02'!$J$238:$J$451),0),
IF('TL03'!$B$3=O$3,SUMIF('TL03'!$C$10:$C$224,$C258,'TL03'!$J$10:$J$224),0),
IF('TL03'!$B$229=O$3,SUMIF('TL03'!$C$238:$C$451,$C258,'TL03'!$J$238:$J$451),0),
IF('TL04'!$B$3=O$3,SUMIF('TL04'!$C$10:$C$224,$C258,'TL04'!$J$10:$J$224),0),
IF('TL04'!$B$229=O$3,SUMIF('TL04'!$C$238:$C$451,$C258,'TL04'!$J$238:$J$451),0),
IF('TL05'!$B$3=O$3,SUMIF('TL05'!$C$10:$C$224,$C258,'TL05'!$J$10:$J$224),0),
IF('TL05'!$B$229=O$3,SUMIF('TL05'!$C$238:$C$451,$C258,'TL05'!$J$238:$J$451),0),
IF('TL06'!$B$3=O$3,SUMIF('TL06'!$C$10:$C$224,$C258,'TL06'!$J$10:$J$224),0),
IF('TL06'!$B$229=O$3,SUMIF('TL06'!$C$238:$C$451,$C258,'TL06'!$J$238:$J$451),0),
IF('TL07'!$B$3=O$3,SUMIF('TL07'!$C$10:$C$224,$C258,'TL07'!$J$10:$J$224),0),
IF('TL07'!$B$229=O$3,SUMIF('TL07'!$C$238:$C$451,$C258,'TL07'!$J$238:$J$451),0),
IF('TL08'!$B$3=O$3,SUMIF('TL08'!$C$10:$C$224,$C258,'TL08'!$J$10:$J$224),0),
IF('TL08'!$B$229=O$3,SUMIF('TL08'!$C$238:$C$451,$C258,'TL08'!$J$238:$J$451),0),
IF('TL09'!$B$3=O$3,SUMIF('TL09'!$C$10:$C$224,$C258,'TL09'!$J$10:$J$224),0),
IF('TL09'!$B$229=O$3,SUMIF('TL09'!$C$238:$C$451,$C258,'TL09'!$J$238:$J$451),0),
IF('TL10'!$B$3=O$3,SUMIF('TL10'!$C$10:$C$224,$C258,'TL10'!$J$10:$J$224),0),
IF('TL10'!$B$229=O$3,SUMIF('TL10'!$C$238:$C$451,$C258,'TL10'!$J$238:$J$451),0),
IF('TL11'!$B$3=O$3,SUMIF('TL11'!$C$10:$C$224,$C258,'TL11'!$J$10:$J$224),0),
IF('TL11'!$B$229=O$3,SUMIF('TL11'!$C$238:$C$451,$C258,'TL11'!$J$238:$J$451),0),
IF('TL12'!$B$3=O$3,SUMIF('TL12'!$C$10:$C$224,$C258,'TL12'!$J$10:$J$224),0),
IF('TL12'!$B$229=O$3,SUMIF('TL12'!$C$238:$C$451,$C258,'TL12'!$J$238:$J$451),0),
IF('TL13'!$B$3=O$3,SUMIF('TL13'!$C$10:$C$224,$C258,'TL13'!$J$10:$J$224),0),
IF('TL13'!$B$229=O$3,SUMIF('TL13'!$C$238:$C$451,$C258,'TL13'!$J$238:$J$451),0),
IF('TL14'!$B$3=O$3,SUMIF('TL14'!$C$10:$C$224,$C258,'TL14'!$J$10:$J$224),0),
IF('TL14'!$B$229=O$3,SUMIF('TL14'!$C$238:$C$451,$C258,'TL14'!$J$238:$J$451),0),
IF('TL15'!$B$3=O$3,SUMIF('TL15'!$C$10:$C$224,$C258,'TL15'!$J$10:$J$224),0),
IF('TL15'!$B$229=O$3,SUMIF('TL15'!$C$238:$C$451,$C258,'TL15'!$J$238:$J$451),0),
IF('TL16'!$B$3=O$3,SUMIF('TL16'!$C$10:$C$224,$C258,'TL16'!$J$10:$J$224),0),
IF('TL16'!$B$229=O$3,SUMIF('TL16'!$C$238:$C$451,$C258,'TL16'!$J$238:$J$451),0),
IF('TL17'!$B$3=O$3,SUMIF('TL17'!$C$10:$C$224,$C258,'TL17'!$J$10:$J$224),0),
IF('TL17'!$B$229=O$3,SUMIF('TL17'!$C$238:$C$451,$C258,'TL17'!$J$238:$J$451),0),
IF('TL18'!$B$3=O$3,SUMIF('TL18'!$C$10:$C$224,$C258,'TL18'!$J$10:$J$224),0),
IF('TL18'!$B$229=O$3,SUMIF('TL18'!$C$238:$C$451,$C258,'TL18'!$J$238:$J$451),0),
IF('TL19'!$B$3=O$3,SUMIF('TL19'!$C$10:$C$224,$C258,'TL19'!$J$10:$J$224),0),
IF('TL19'!$B$229=O$3,SUMIF('TL19'!$C$238:$C$451,$C258,'TL19'!$J$238:$J$451),0)
),0)</f>
        <v>0</v>
      </c>
      <c r="P258" s="9">
        <f>IFERROR(SUM(
IF('TL01'!$B$3=P$3,SUMIF('TL01'!$C$10:$C$224,$C258,'TL01'!$J$10:$J$224),0),
IF('TL01'!$B$229=P$3,SUMIF('TL01'!$C$238:$C$451,$C258,'TL01'!$J$238:$J$451),0),
IF('TL02'!$B$3=P$3,SUMIF('TL02'!$C$10:$C$224,$C258,'TL02'!$J$10:$J$224),0),
IF('TL02'!$B$229=P$3,SUMIF('TL02'!$C$238:$C$451,$C258,'TL02'!$J$238:$J$451),0),
IF('TL03'!$B$3=P$3,SUMIF('TL03'!$C$10:$C$224,$C258,'TL03'!$J$10:$J$224),0),
IF('TL03'!$B$229=P$3,SUMIF('TL03'!$C$238:$C$451,$C258,'TL03'!$J$238:$J$451),0),
IF('TL04'!$B$3=P$3,SUMIF('TL04'!$C$10:$C$224,$C258,'TL04'!$J$10:$J$224),0),
IF('TL04'!$B$229=P$3,SUMIF('TL04'!$C$238:$C$451,$C258,'TL04'!$J$238:$J$451),0),
IF('TL05'!$B$3=P$3,SUMIF('TL05'!$C$10:$C$224,$C258,'TL05'!$J$10:$J$224),0),
IF('TL05'!$B$229=P$3,SUMIF('TL05'!$C$238:$C$451,$C258,'TL05'!$J$238:$J$451),0),
IF('TL06'!$B$3=P$3,SUMIF('TL06'!$C$10:$C$224,$C258,'TL06'!$J$10:$J$224),0),
IF('TL06'!$B$229=P$3,SUMIF('TL06'!$C$238:$C$451,$C258,'TL06'!$J$238:$J$451),0),
IF('TL07'!$B$3=P$3,SUMIF('TL07'!$C$10:$C$224,$C258,'TL07'!$J$10:$J$224),0),
IF('TL07'!$B$229=P$3,SUMIF('TL07'!$C$238:$C$451,$C258,'TL07'!$J$238:$J$451),0),
IF('TL08'!$B$3=P$3,SUMIF('TL08'!$C$10:$C$224,$C258,'TL08'!$J$10:$J$224),0),
IF('TL08'!$B$229=P$3,SUMIF('TL08'!$C$238:$C$451,$C258,'TL08'!$J$238:$J$451),0),
IF('TL09'!$B$3=P$3,SUMIF('TL09'!$C$10:$C$224,$C258,'TL09'!$J$10:$J$224),0),
IF('TL09'!$B$229=P$3,SUMIF('TL09'!$C$238:$C$451,$C258,'TL09'!$J$238:$J$451),0),
IF('TL10'!$B$3=P$3,SUMIF('TL10'!$C$10:$C$224,$C258,'TL10'!$J$10:$J$224),0),
IF('TL10'!$B$229=P$3,SUMIF('TL10'!$C$238:$C$451,$C258,'TL10'!$J$238:$J$451),0),
IF('TL11'!$B$3=P$3,SUMIF('TL11'!$C$10:$C$224,$C258,'TL11'!$J$10:$J$224),0),
IF('TL11'!$B$229=P$3,SUMIF('TL11'!$C$238:$C$451,$C258,'TL11'!$J$238:$J$451),0),
IF('TL12'!$B$3=P$3,SUMIF('TL12'!$C$10:$C$224,$C258,'TL12'!$J$10:$J$224),0),
IF('TL12'!$B$229=P$3,SUMIF('TL12'!$C$238:$C$451,$C258,'TL12'!$J$238:$J$451),0),
IF('TL13'!$B$3=P$3,SUMIF('TL13'!$C$10:$C$224,$C258,'TL13'!$J$10:$J$224),0),
IF('TL13'!$B$229=P$3,SUMIF('TL13'!$C$238:$C$451,$C258,'TL13'!$J$238:$J$451),0),
IF('TL14'!$B$3=P$3,SUMIF('TL14'!$C$10:$C$224,$C258,'TL14'!$J$10:$J$224),0),
IF('TL14'!$B$229=P$3,SUMIF('TL14'!$C$238:$C$451,$C258,'TL14'!$J$238:$J$451),0),
IF('TL15'!$B$3=P$3,SUMIF('TL15'!$C$10:$C$224,$C258,'TL15'!$J$10:$J$224),0),
IF('TL15'!$B$229=P$3,SUMIF('TL15'!$C$238:$C$451,$C258,'TL15'!$J$238:$J$451),0),
IF('TL16'!$B$3=P$3,SUMIF('TL16'!$C$10:$C$224,$C258,'TL16'!$J$10:$J$224),0),
IF('TL16'!$B$229=P$3,SUMIF('TL16'!$C$238:$C$451,$C258,'TL16'!$J$238:$J$451),0),
IF('TL17'!$B$3=P$3,SUMIF('TL17'!$C$10:$C$224,$C258,'TL17'!$J$10:$J$224),0),
IF('TL17'!$B$229=P$3,SUMIF('TL17'!$C$238:$C$451,$C258,'TL17'!$J$238:$J$451),0),
IF('TL18'!$B$3=P$3,SUMIF('TL18'!$C$10:$C$224,$C258,'TL18'!$J$10:$J$224),0),
IF('TL18'!$B$229=P$3,SUMIF('TL18'!$C$238:$C$451,$C258,'TL18'!$J$238:$J$451),0),
IF('TL19'!$B$3=P$3,SUMIF('TL19'!$C$10:$C$224,$C258,'TL19'!$J$10:$J$224),0),
IF('TL19'!$B$229=P$3,SUMIF('TL19'!$C$238:$C$451,$C258,'TL19'!$J$238:$J$451),0)
),0)</f>
        <v>0</v>
      </c>
      <c r="Q258" s="9">
        <f>IFERROR(SUM(
IF('TL01'!$B$3=Q$3,SUMIF('TL01'!$C$10:$C$224,$C258,'TL01'!$J$10:$J$224),0),
IF('TL01'!$B$229=Q$3,SUMIF('TL01'!$C$238:$C$451,$C258,'TL01'!$J$238:$J$451),0),
IF('TL02'!$B$3=Q$3,SUMIF('TL02'!$C$10:$C$224,$C258,'TL02'!$J$10:$J$224),0),
IF('TL02'!$B$229=Q$3,SUMIF('TL02'!$C$238:$C$451,$C258,'TL02'!$J$238:$J$451),0),
IF('TL03'!$B$3=Q$3,SUMIF('TL03'!$C$10:$C$224,$C258,'TL03'!$J$10:$J$224),0),
IF('TL03'!$B$229=Q$3,SUMIF('TL03'!$C$238:$C$451,$C258,'TL03'!$J$238:$J$451),0),
IF('TL04'!$B$3=Q$3,SUMIF('TL04'!$C$10:$C$224,$C258,'TL04'!$J$10:$J$224),0),
IF('TL04'!$B$229=Q$3,SUMIF('TL04'!$C$238:$C$451,$C258,'TL04'!$J$238:$J$451),0),
IF('TL05'!$B$3=Q$3,SUMIF('TL05'!$C$10:$C$224,$C258,'TL05'!$J$10:$J$224),0),
IF('TL05'!$B$229=Q$3,SUMIF('TL05'!$C$238:$C$451,$C258,'TL05'!$J$238:$J$451),0),
IF('TL06'!$B$3=Q$3,SUMIF('TL06'!$C$10:$C$224,$C258,'TL06'!$J$10:$J$224),0),
IF('TL06'!$B$229=Q$3,SUMIF('TL06'!$C$238:$C$451,$C258,'TL06'!$J$238:$J$451),0),
IF('TL07'!$B$3=Q$3,SUMIF('TL07'!$C$10:$C$224,$C258,'TL07'!$J$10:$J$224),0),
IF('TL07'!$B$229=Q$3,SUMIF('TL07'!$C$238:$C$451,$C258,'TL07'!$J$238:$J$451),0),
IF('TL08'!$B$3=Q$3,SUMIF('TL08'!$C$10:$C$224,$C258,'TL08'!$J$10:$J$224),0),
IF('TL08'!$B$229=Q$3,SUMIF('TL08'!$C$238:$C$451,$C258,'TL08'!$J$238:$J$451),0),
IF('TL09'!$B$3=Q$3,SUMIF('TL09'!$C$10:$C$224,$C258,'TL09'!$J$10:$J$224),0),
IF('TL09'!$B$229=Q$3,SUMIF('TL09'!$C$238:$C$451,$C258,'TL09'!$J$238:$J$451),0),
IF('TL10'!$B$3=Q$3,SUMIF('TL10'!$C$10:$C$224,$C258,'TL10'!$J$10:$J$224),0),
IF('TL10'!$B$229=Q$3,SUMIF('TL10'!$C$238:$C$451,$C258,'TL10'!$J$238:$J$451),0),
IF('TL11'!$B$3=Q$3,SUMIF('TL11'!$C$10:$C$224,$C258,'TL11'!$J$10:$J$224),0),
IF('TL11'!$B$229=Q$3,SUMIF('TL11'!$C$238:$C$451,$C258,'TL11'!$J$238:$J$451),0),
IF('TL12'!$B$3=Q$3,SUMIF('TL12'!$C$10:$C$224,$C258,'TL12'!$J$10:$J$224),0),
IF('TL12'!$B$229=Q$3,SUMIF('TL12'!$C$238:$C$451,$C258,'TL12'!$J$238:$J$451),0),
IF('TL13'!$B$3=Q$3,SUMIF('TL13'!$C$10:$C$224,$C258,'TL13'!$J$10:$J$224),0),
IF('TL13'!$B$229=Q$3,SUMIF('TL13'!$C$238:$C$451,$C258,'TL13'!$J$238:$J$451),0),
IF('TL14'!$B$3=Q$3,SUMIF('TL14'!$C$10:$C$224,$C258,'TL14'!$J$10:$J$224),0),
IF('TL14'!$B$229=Q$3,SUMIF('TL14'!$C$238:$C$451,$C258,'TL14'!$J$238:$J$451),0),
IF('TL15'!$B$3=Q$3,SUMIF('TL15'!$C$10:$C$224,$C258,'TL15'!$J$10:$J$224),0),
IF('TL15'!$B$229=Q$3,SUMIF('TL15'!$C$238:$C$451,$C258,'TL15'!$J$238:$J$451),0),
IF('TL16'!$B$3=Q$3,SUMIF('TL16'!$C$10:$C$224,$C258,'TL16'!$J$10:$J$224),0),
IF('TL16'!$B$229=Q$3,SUMIF('TL16'!$C$238:$C$451,$C258,'TL16'!$J$238:$J$451),0),
IF('TL17'!$B$3=Q$3,SUMIF('TL17'!$C$10:$C$224,$C258,'TL17'!$J$10:$J$224),0),
IF('TL17'!$B$229=Q$3,SUMIF('TL17'!$C$238:$C$451,$C258,'TL17'!$J$238:$J$451),0),
IF('TL18'!$B$3=Q$3,SUMIF('TL18'!$C$10:$C$224,$C258,'TL18'!$J$10:$J$224),0),
IF('TL18'!$B$229=Q$3,SUMIF('TL18'!$C$238:$C$451,$C258,'TL18'!$J$238:$J$451),0),
IF('TL19'!$B$3=Q$3,SUMIF('TL19'!$C$10:$C$224,$C258,'TL19'!$J$10:$J$224),0),
IF('TL19'!$B$229=Q$3,SUMIF('TL19'!$C$238:$C$451,$C258,'TL19'!$J$238:$J$451),0)
),0)</f>
        <v>0</v>
      </c>
      <c r="R258" s="9">
        <f>IFERROR(
SUM(
SUMIF('TL01'!C:C,C258,'TL01'!J:J),
SUMIF('TL02'!C:C,C258,'TL02'!J:J),
SUMIF('TL03'!C:C,C258,'TL03'!J:J),
SUMIF('TL04'!C:C,C258,'TL04'!J:J),
SUMIF('TL05'!C:C,C258,'TL05'!J:J),
SUMIF('TL06'!C:C,C258,'TL06'!J:J),
SUMIF('TL07'!C:C,C258,'TL07'!J:J),
SUMIF('TL08'!C:C,C258,'TL08'!J:J),
SUMIF('TL09'!C:C,C258,'TL09'!J:J),
SUMIF('TL10'!C:C,C258,'TL10'!J:J),
SUMIF('TL11'!C:C,C258,'TL11'!J:J),
SUMIF('TL12'!C:C,C258,'TL12'!J:J),
SUMIF('TL13'!C:C,C258,'TL13'!J:J),
SUMIF('TL14'!C:C,C258,'TL14'!J:J),
SUMIF('TL15'!C:C,C258,'TL15'!J:J),
SUMIF('TL16'!C:C,C258,'TL16'!J:J),
SUMIF('TL17'!C:C,C258,'TL17'!J:J),
SUMIF('TL18'!C:C,C258,'TL18'!J:J),SUMIF('TL19'!C:C,C258,'TL19'!J:J))
,0)</f>
        <v>0</v>
      </c>
      <c r="S258" s="17">
        <f>IFERROR(__xludf.DUMMYFUNCTION("IFERROR(VLOOKUP(C258,
IMPORTRANGE(""1wULbzX32WdYsx-lj2U3uUNBBe2INVIRDtcK0d-Dvl90"",
""26-27!C:G""),
5,
FALSE),
"""")"),23.92)</f>
        <v>23.92</v>
      </c>
      <c r="T258" s="9"/>
      <c r="U258" s="92">
        <f t="shared" si="2"/>
        <v>0</v>
      </c>
      <c r="V258" s="93">
        <f t="shared" si="3"/>
        <v>0</v>
      </c>
    </row>
    <row r="259" ht="15.75" hidden="1" customHeight="1">
      <c r="A259" s="4" t="s">
        <v>932</v>
      </c>
      <c r="B259" s="125" t="s">
        <v>9</v>
      </c>
      <c r="C259" s="4" t="s">
        <v>945</v>
      </c>
      <c r="D259" s="4" t="s">
        <v>946</v>
      </c>
      <c r="E259" s="9" t="s">
        <v>947</v>
      </c>
      <c r="F259" s="4" t="s">
        <v>343</v>
      </c>
      <c r="G259" s="9"/>
      <c r="H259" s="9">
        <v>1.0</v>
      </c>
      <c r="I259" s="1"/>
      <c r="J259" s="9">
        <f>IFERROR(SUM(
IF('TL01'!$B$3=J$3,SUMIF('TL01'!$C$10:$C$224,$C259,'TL01'!$J$10:$J$224),0),
IF('TL01'!$B$229=J$3,SUMIF('TL01'!$C$238:$C$451,$C259,'TL01'!$J$238:$J$451),0),
IF('TL02'!$B$3=J$3,SUMIF('TL02'!$C$10:$C$224,$C259,'TL02'!$J$10:$J$224),0),
IF('TL02'!$B$229=J$3,SUMIF('TL02'!$C$238:$C$451,$C259,'TL02'!$J$238:$J$451),0),
IF('TL03'!$B$3=J$3,SUMIF('TL03'!$C$10:$C$224,$C259,'TL03'!$J$10:$J$224),0),
IF('TL03'!$B$229=J$3,SUMIF('TL03'!$C$238:$C$451,$C259,'TL03'!$J$238:$J$451),0),
IF('TL04'!$B$3=J$3,SUMIF('TL04'!$C$10:$C$224,$C259,'TL04'!$J$10:$J$224),0),
IF('TL04'!$B$229=J$3,SUMIF('TL04'!$C$238:$C$451,$C259,'TL04'!$J$238:$J$451),0),
IF('TL05'!$B$3=J$3,SUMIF('TL05'!$C$10:$C$224,$C259,'TL05'!$J$10:$J$224),0),
IF('TL05'!$B$229=J$3,SUMIF('TL05'!$C$238:$C$451,$C259,'TL05'!$J$238:$J$451),0),
IF('TL06'!$B$3=J$3,SUMIF('TL06'!$C$10:$C$224,$C259,'TL06'!$J$10:$J$224),0),
IF('TL06'!$B$229=J$3,SUMIF('TL06'!$C$238:$C$451,$C259,'TL06'!$J$238:$J$451),0),
IF('TL07'!$B$3=J$3,SUMIF('TL07'!$C$10:$C$224,$C259,'TL07'!$J$10:$J$224),0),
IF('TL07'!$B$229=J$3,SUMIF('TL07'!$C$238:$C$451,$C259,'TL07'!$J$238:$J$451),0),
IF('TL08'!$B$3=J$3,SUMIF('TL08'!$C$10:$C$224,$C259,'TL08'!$J$10:$J$224),0),
IF('TL08'!$B$229=J$3,SUMIF('TL08'!$C$238:$C$451,$C259,'TL08'!$J$238:$J$451),0),
IF('TL09'!$B$3=J$3,SUMIF('TL09'!$C$10:$C$224,$C259,'TL09'!$J$10:$J$224),0),
IF('TL09'!$B$229=J$3,SUMIF('TL09'!$C$238:$C$451,$C259,'TL09'!$J$238:$J$451),0),
IF('TL10'!$B$3=J$3,SUMIF('TL10'!$C$10:$C$224,$C259,'TL10'!$J$10:$J$224),0),
IF('TL10'!$B$229=J$3,SUMIF('TL10'!$C$238:$C$451,$C259,'TL10'!$J$238:$J$451),0),
IF('TL11'!$B$3=J$3,SUMIF('TL11'!$C$10:$C$224,$C259,'TL11'!$J$10:$J$224),0),
IF('TL11'!$B$229=J$3,SUMIF('TL11'!$C$238:$C$451,$C259,'TL11'!$J$238:$J$451),0),
IF('TL12'!$B$3=J$3,SUMIF('TL12'!$C$10:$C$224,$C259,'TL12'!$J$10:$J$224),0),
IF('TL12'!$B$229=J$3,SUMIF('TL12'!$C$238:$C$451,$C259,'TL12'!$J$238:$J$451),0),
IF('TL13'!$B$3=J$3,SUMIF('TL13'!$C$10:$C$224,$C259,'TL13'!$J$10:$J$224),0),
IF('TL13'!$B$229=J$3,SUMIF('TL13'!$C$238:$C$451,$C259,'TL13'!$J$238:$J$451),0),
IF('TL14'!$B$3=J$3,SUMIF('TL14'!$C$10:$C$224,$C259,'TL14'!$J$10:$J$224),0),
IF('TL14'!$B$229=J$3,SUMIF('TL14'!$C$238:$C$451,$C259,'TL14'!$J$238:$J$451),0),
IF('TL15'!$B$3=J$3,SUMIF('TL15'!$C$10:$C$224,$C259,'TL15'!$J$10:$J$224),0),
IF('TL15'!$B$229=J$3,SUMIF('TL15'!$C$238:$C$451,$C259,'TL15'!$J$238:$J$451),0),
IF('TL16'!$B$3=J$3,SUMIF('TL16'!$C$10:$C$224,$C259,'TL16'!$J$10:$J$224),0),
IF('TL16'!$B$229=J$3,SUMIF('TL16'!$C$238:$C$451,$C259,'TL16'!$J$238:$J$451),0),
IF('TL17'!$B$3=J$3,SUMIF('TL17'!$C$10:$C$224,$C259,'TL17'!$J$10:$J$224),0),
IF('TL17'!$B$229=J$3,SUMIF('TL17'!$C$238:$C$451,$C259,'TL17'!$J$238:$J$451),0),
IF('TL18'!$B$3=J$3,SUMIF('TL18'!$C$10:$C$224,$C259,'TL18'!$J$10:$J$224),0),
IF('TL18'!$B$229=J$3,SUMIF('TL18'!$C$238:$C$451,$C259,'TL18'!$J$238:$J$451),0),
IF('TL19'!$B$3=J$3,SUMIF('TL19'!$C$10:$C$224,$C259,'TL19'!$J$10:$J$224),0),
IF('TL19'!$B$229=J$3,SUMIF('TL19'!$C$238:$C$451,$C259,'TL19'!$J$238:$J$451),0)
),0)</f>
        <v>0</v>
      </c>
      <c r="K259" s="9">
        <f>IFERROR(SUM(
IF('TL01'!$B$3=K$3,SUMIF('TL01'!$C$10:$C$224,$C259,'TL01'!$J$10:$J$224),0),
IF('TL01'!$B$229=K$3,SUMIF('TL01'!$C$238:$C$451,$C259,'TL01'!$J$238:$J$451),0),
IF('TL02'!$B$3=K$3,SUMIF('TL02'!$C$10:$C$224,$C259,'TL02'!$J$10:$J$224),0),
IF('TL02'!$B$229=K$3,SUMIF('TL02'!$C$238:$C$451,$C259,'TL02'!$J$238:$J$451),0),
IF('TL03'!$B$3=K$3,SUMIF('TL03'!$C$10:$C$224,$C259,'TL03'!$J$10:$J$224),0),
IF('TL03'!$B$229=K$3,SUMIF('TL03'!$C$238:$C$451,$C259,'TL03'!$J$238:$J$451),0),
IF('TL04'!$B$3=K$3,SUMIF('TL04'!$C$10:$C$224,$C259,'TL04'!$J$10:$J$224),0),
IF('TL04'!$B$229=K$3,SUMIF('TL04'!$C$238:$C$451,$C259,'TL04'!$J$238:$J$451),0),
IF('TL05'!$B$3=K$3,SUMIF('TL05'!$C$10:$C$224,$C259,'TL05'!$J$10:$J$224),0),
IF('TL05'!$B$229=K$3,SUMIF('TL05'!$C$238:$C$451,$C259,'TL05'!$J$238:$J$451),0),
IF('TL06'!$B$3=K$3,SUMIF('TL06'!$C$10:$C$224,$C259,'TL06'!$J$10:$J$224),0),
IF('TL06'!$B$229=K$3,SUMIF('TL06'!$C$238:$C$451,$C259,'TL06'!$J$238:$J$451),0),
IF('TL07'!$B$3=K$3,SUMIF('TL07'!$C$10:$C$224,$C259,'TL07'!$J$10:$J$224),0),
IF('TL07'!$B$229=K$3,SUMIF('TL07'!$C$238:$C$451,$C259,'TL07'!$J$238:$J$451),0),
IF('TL08'!$B$3=K$3,SUMIF('TL08'!$C$10:$C$224,$C259,'TL08'!$J$10:$J$224),0),
IF('TL08'!$B$229=K$3,SUMIF('TL08'!$C$238:$C$451,$C259,'TL08'!$J$238:$J$451),0),
IF('TL09'!$B$3=K$3,SUMIF('TL09'!$C$10:$C$224,$C259,'TL09'!$J$10:$J$224),0),
IF('TL09'!$B$229=K$3,SUMIF('TL09'!$C$238:$C$451,$C259,'TL09'!$J$238:$J$451),0),
IF('TL10'!$B$3=K$3,SUMIF('TL10'!$C$10:$C$224,$C259,'TL10'!$J$10:$J$224),0),
IF('TL10'!$B$229=K$3,SUMIF('TL10'!$C$238:$C$451,$C259,'TL10'!$J$238:$J$451),0),
IF('TL11'!$B$3=K$3,SUMIF('TL11'!$C$10:$C$224,$C259,'TL11'!$J$10:$J$224),0),
IF('TL11'!$B$229=K$3,SUMIF('TL11'!$C$238:$C$451,$C259,'TL11'!$J$238:$J$451),0),
IF('TL12'!$B$3=K$3,SUMIF('TL12'!$C$10:$C$224,$C259,'TL12'!$J$10:$J$224),0),
IF('TL12'!$B$229=K$3,SUMIF('TL12'!$C$238:$C$451,$C259,'TL12'!$J$238:$J$451),0),
IF('TL13'!$B$3=K$3,SUMIF('TL13'!$C$10:$C$224,$C259,'TL13'!$J$10:$J$224),0),
IF('TL13'!$B$229=K$3,SUMIF('TL13'!$C$238:$C$451,$C259,'TL13'!$J$238:$J$451),0),
IF('TL14'!$B$3=K$3,SUMIF('TL14'!$C$10:$C$224,$C259,'TL14'!$J$10:$J$224),0),
IF('TL14'!$B$229=K$3,SUMIF('TL14'!$C$238:$C$451,$C259,'TL14'!$J$238:$J$451),0),
IF('TL15'!$B$3=K$3,SUMIF('TL15'!$C$10:$C$224,$C259,'TL15'!$J$10:$J$224),0),
IF('TL15'!$B$229=K$3,SUMIF('TL15'!$C$238:$C$451,$C259,'TL15'!$J$238:$J$451),0),
IF('TL16'!$B$3=K$3,SUMIF('TL16'!$C$10:$C$224,$C259,'TL16'!$J$10:$J$224),0),
IF('TL16'!$B$229=K$3,SUMIF('TL16'!$C$238:$C$451,$C259,'TL16'!$J$238:$J$451),0),
IF('TL17'!$B$3=K$3,SUMIF('TL17'!$C$10:$C$224,$C259,'TL17'!$J$10:$J$224),0),
IF('TL17'!$B$229=K$3,SUMIF('TL17'!$C$238:$C$451,$C259,'TL17'!$J$238:$J$451),0),
IF('TL18'!$B$3=K$3,SUMIF('TL18'!$C$10:$C$224,$C259,'TL18'!$J$10:$J$224),0),
IF('TL18'!$B$229=K$3,SUMIF('TL18'!$C$238:$C$451,$C259,'TL18'!$J$238:$J$451),0),
IF('TL19'!$B$3=K$3,SUMIF('TL19'!$C$10:$C$224,$C259,'TL19'!$J$10:$J$224),0),
IF('TL19'!$B$229=K$3,SUMIF('TL19'!$C$238:$C$451,$C259,'TL19'!$J$238:$J$451),0)
),0)</f>
        <v>0</v>
      </c>
      <c r="L259" s="9">
        <f>IFERROR(SUM(
IF('TL01'!$B$3=L$3,SUMIF('TL01'!$C$10:$C$224,$C259,'TL01'!$J$10:$J$224),0),
IF('TL01'!$B$229=L$3,SUMIF('TL01'!$C$238:$C$451,$C259,'TL01'!$J$238:$J$451),0),
IF('TL02'!$B$3=L$3,SUMIF('TL02'!$C$10:$C$224,$C259,'TL02'!$J$10:$J$224),0),
IF('TL02'!$B$229=L$3,SUMIF('TL02'!$C$238:$C$451,$C259,'TL02'!$J$238:$J$451),0),
IF('TL03'!$B$3=L$3,SUMIF('TL03'!$C$10:$C$224,$C259,'TL03'!$J$10:$J$224),0),
IF('TL03'!$B$229=L$3,SUMIF('TL03'!$C$238:$C$451,$C259,'TL03'!$J$238:$J$451),0),
IF('TL04'!$B$3=L$3,SUMIF('TL04'!$C$10:$C$224,$C259,'TL04'!$J$10:$J$224),0),
IF('TL04'!$B$229=L$3,SUMIF('TL04'!$C$238:$C$451,$C259,'TL04'!$J$238:$J$451),0),
IF('TL05'!$B$3=L$3,SUMIF('TL05'!$C$10:$C$224,$C259,'TL05'!$J$10:$J$224),0),
IF('TL05'!$B$229=L$3,SUMIF('TL05'!$C$238:$C$451,$C259,'TL05'!$J$238:$J$451),0),
IF('TL06'!$B$3=L$3,SUMIF('TL06'!$C$10:$C$224,$C259,'TL06'!$J$10:$J$224),0),
IF('TL06'!$B$229=L$3,SUMIF('TL06'!$C$238:$C$451,$C259,'TL06'!$J$238:$J$451),0),
IF('TL07'!$B$3=L$3,SUMIF('TL07'!$C$10:$C$224,$C259,'TL07'!$J$10:$J$224),0),
IF('TL07'!$B$229=L$3,SUMIF('TL07'!$C$238:$C$451,$C259,'TL07'!$J$238:$J$451),0),
IF('TL08'!$B$3=L$3,SUMIF('TL08'!$C$10:$C$224,$C259,'TL08'!$J$10:$J$224),0),
IF('TL08'!$B$229=L$3,SUMIF('TL08'!$C$238:$C$451,$C259,'TL08'!$J$238:$J$451),0),
IF('TL09'!$B$3=L$3,SUMIF('TL09'!$C$10:$C$224,$C259,'TL09'!$J$10:$J$224),0),
IF('TL09'!$B$229=L$3,SUMIF('TL09'!$C$238:$C$451,$C259,'TL09'!$J$238:$J$451),0),
IF('TL10'!$B$3=L$3,SUMIF('TL10'!$C$10:$C$224,$C259,'TL10'!$J$10:$J$224),0),
IF('TL10'!$B$229=L$3,SUMIF('TL10'!$C$238:$C$451,$C259,'TL10'!$J$238:$J$451),0),
IF('TL11'!$B$3=L$3,SUMIF('TL11'!$C$10:$C$224,$C259,'TL11'!$J$10:$J$224),0),
IF('TL11'!$B$229=L$3,SUMIF('TL11'!$C$238:$C$451,$C259,'TL11'!$J$238:$J$451),0),
IF('TL12'!$B$3=L$3,SUMIF('TL12'!$C$10:$C$224,$C259,'TL12'!$J$10:$J$224),0),
IF('TL12'!$B$229=L$3,SUMIF('TL12'!$C$238:$C$451,$C259,'TL12'!$J$238:$J$451),0),
IF('TL13'!$B$3=L$3,SUMIF('TL13'!$C$10:$C$224,$C259,'TL13'!$J$10:$J$224),0),
IF('TL13'!$B$229=L$3,SUMIF('TL13'!$C$238:$C$451,$C259,'TL13'!$J$238:$J$451),0),
IF('TL14'!$B$3=L$3,SUMIF('TL14'!$C$10:$C$224,$C259,'TL14'!$J$10:$J$224),0),
IF('TL14'!$B$229=L$3,SUMIF('TL14'!$C$238:$C$451,$C259,'TL14'!$J$238:$J$451),0),
IF('TL15'!$B$3=L$3,SUMIF('TL15'!$C$10:$C$224,$C259,'TL15'!$J$10:$J$224),0),
IF('TL15'!$B$229=L$3,SUMIF('TL15'!$C$238:$C$451,$C259,'TL15'!$J$238:$J$451),0),
IF('TL16'!$B$3=L$3,SUMIF('TL16'!$C$10:$C$224,$C259,'TL16'!$J$10:$J$224),0),
IF('TL16'!$B$229=L$3,SUMIF('TL16'!$C$238:$C$451,$C259,'TL16'!$J$238:$J$451),0),
IF('TL17'!$B$3=L$3,SUMIF('TL17'!$C$10:$C$224,$C259,'TL17'!$J$10:$J$224),0),
IF('TL17'!$B$229=L$3,SUMIF('TL17'!$C$238:$C$451,$C259,'TL17'!$J$238:$J$451),0),
IF('TL18'!$B$3=L$3,SUMIF('TL18'!$C$10:$C$224,$C259,'TL18'!$J$10:$J$224),0),
IF('TL18'!$B$229=L$3,SUMIF('TL18'!$C$238:$C$451,$C259,'TL18'!$J$238:$J$451),0),
IF('TL19'!$B$3=L$3,SUMIF('TL19'!$C$10:$C$224,$C259,'TL19'!$J$10:$J$224),0),
IF('TL19'!$B$229=L$3,SUMIF('TL19'!$C$238:$C$451,$C259,'TL19'!$J$238:$J$451),0)
),0)</f>
        <v>0</v>
      </c>
      <c r="M259" s="9">
        <f>IFERROR(SUM(
IF('TL01'!$B$3=M$3,SUMIF('TL01'!$C$10:$C$224,$C259,'TL01'!$J$10:$J$224),0),
IF('TL01'!$B$229=M$3,SUMIF('TL01'!$C$238:$C$451,$C259,'TL01'!$J$238:$J$451),0),
IF('TL02'!$B$3=M$3,SUMIF('TL02'!$C$10:$C$224,$C259,'TL02'!$J$10:$J$224),0),
IF('TL02'!$B$229=M$3,SUMIF('TL02'!$C$238:$C$451,$C259,'TL02'!$J$238:$J$451),0),
IF('TL03'!$B$3=M$3,SUMIF('TL03'!$C$10:$C$224,$C259,'TL03'!$J$10:$J$224),0),
IF('TL03'!$B$229=M$3,SUMIF('TL03'!$C$238:$C$451,$C259,'TL03'!$J$238:$J$451),0),
IF('TL04'!$B$3=M$3,SUMIF('TL04'!$C$10:$C$224,$C259,'TL04'!$J$10:$J$224),0),
IF('TL04'!$B$229=M$3,SUMIF('TL04'!$C$238:$C$451,$C259,'TL04'!$J$238:$J$451),0),
IF('TL05'!$B$3=M$3,SUMIF('TL05'!$C$10:$C$224,$C259,'TL05'!$J$10:$J$224),0),
IF('TL05'!$B$229=M$3,SUMIF('TL05'!$C$238:$C$451,$C259,'TL05'!$J$238:$J$451),0),
IF('TL06'!$B$3=M$3,SUMIF('TL06'!$C$10:$C$224,$C259,'TL06'!$J$10:$J$224),0),
IF('TL06'!$B$229=M$3,SUMIF('TL06'!$C$238:$C$451,$C259,'TL06'!$J$238:$J$451),0),
IF('TL07'!$B$3=M$3,SUMIF('TL07'!$C$10:$C$224,$C259,'TL07'!$J$10:$J$224),0),
IF('TL07'!$B$229=M$3,SUMIF('TL07'!$C$238:$C$451,$C259,'TL07'!$J$238:$J$451),0),
IF('TL08'!$B$3=M$3,SUMIF('TL08'!$C$10:$C$224,$C259,'TL08'!$J$10:$J$224),0),
IF('TL08'!$B$229=M$3,SUMIF('TL08'!$C$238:$C$451,$C259,'TL08'!$J$238:$J$451),0),
IF('TL09'!$B$3=M$3,SUMIF('TL09'!$C$10:$C$224,$C259,'TL09'!$J$10:$J$224),0),
IF('TL09'!$B$229=M$3,SUMIF('TL09'!$C$238:$C$451,$C259,'TL09'!$J$238:$J$451),0),
IF('TL10'!$B$3=M$3,SUMIF('TL10'!$C$10:$C$224,$C259,'TL10'!$J$10:$J$224),0),
IF('TL10'!$B$229=M$3,SUMIF('TL10'!$C$238:$C$451,$C259,'TL10'!$J$238:$J$451),0),
IF('TL11'!$B$3=M$3,SUMIF('TL11'!$C$10:$C$224,$C259,'TL11'!$J$10:$J$224),0),
IF('TL11'!$B$229=M$3,SUMIF('TL11'!$C$238:$C$451,$C259,'TL11'!$J$238:$J$451),0),
IF('TL12'!$B$3=M$3,SUMIF('TL12'!$C$10:$C$224,$C259,'TL12'!$J$10:$J$224),0),
IF('TL12'!$B$229=M$3,SUMIF('TL12'!$C$238:$C$451,$C259,'TL12'!$J$238:$J$451),0),
IF('TL13'!$B$3=M$3,SUMIF('TL13'!$C$10:$C$224,$C259,'TL13'!$J$10:$J$224),0),
IF('TL13'!$B$229=M$3,SUMIF('TL13'!$C$238:$C$451,$C259,'TL13'!$J$238:$J$451),0),
IF('TL14'!$B$3=M$3,SUMIF('TL14'!$C$10:$C$224,$C259,'TL14'!$J$10:$J$224),0),
IF('TL14'!$B$229=M$3,SUMIF('TL14'!$C$238:$C$451,$C259,'TL14'!$J$238:$J$451),0),
IF('TL15'!$B$3=M$3,SUMIF('TL15'!$C$10:$C$224,$C259,'TL15'!$J$10:$J$224),0),
IF('TL15'!$B$229=M$3,SUMIF('TL15'!$C$238:$C$451,$C259,'TL15'!$J$238:$J$451),0),
IF('TL16'!$B$3=M$3,SUMIF('TL16'!$C$10:$C$224,$C259,'TL16'!$J$10:$J$224),0),
IF('TL16'!$B$229=M$3,SUMIF('TL16'!$C$238:$C$451,$C259,'TL16'!$J$238:$J$451),0),
IF('TL17'!$B$3=M$3,SUMIF('TL17'!$C$10:$C$224,$C259,'TL17'!$J$10:$J$224),0),
IF('TL17'!$B$229=M$3,SUMIF('TL17'!$C$238:$C$451,$C259,'TL17'!$J$238:$J$451),0),
IF('TL18'!$B$3=M$3,SUMIF('TL18'!$C$10:$C$224,$C259,'TL18'!$J$10:$J$224),0),
IF('TL18'!$B$229=M$3,SUMIF('TL18'!$C$238:$C$451,$C259,'TL18'!$J$238:$J$451),0),
IF('TL19'!$B$3=M$3,SUMIF('TL19'!$C$10:$C$224,$C259,'TL19'!$J$10:$J$224),0),
IF('TL19'!$B$229=M$3,SUMIF('TL19'!$C$238:$C$451,$C259,'TL19'!$J$238:$J$451),0)
),0)</f>
        <v>0</v>
      </c>
      <c r="N259" s="9">
        <f>IFERROR(SUM(
IF('TL01'!$B$3=N$3,SUMIF('TL01'!$C$10:$C$224,$C259,'TL01'!$J$10:$J$224),0),
IF('TL01'!$B$229=N$3,SUMIF('TL01'!$C$238:$C$451,$C259,'TL01'!$J$238:$J$451),0),
IF('TL02'!$B$3=N$3,SUMIF('TL02'!$C$10:$C$224,$C259,'TL02'!$J$10:$J$224),0),
IF('TL02'!$B$229=N$3,SUMIF('TL02'!$C$238:$C$451,$C259,'TL02'!$J$238:$J$451),0),
IF('TL03'!$B$3=N$3,SUMIF('TL03'!$C$10:$C$224,$C259,'TL03'!$J$10:$J$224),0),
IF('TL03'!$B$229=N$3,SUMIF('TL03'!$C$238:$C$451,$C259,'TL03'!$J$238:$J$451),0),
IF('TL04'!$B$3=N$3,SUMIF('TL04'!$C$10:$C$224,$C259,'TL04'!$J$10:$J$224),0),
IF('TL04'!$B$229=N$3,SUMIF('TL04'!$C$238:$C$451,$C259,'TL04'!$J$238:$J$451),0),
IF('TL05'!$B$3=N$3,SUMIF('TL05'!$C$10:$C$224,$C259,'TL05'!$J$10:$J$224),0),
IF('TL05'!$B$229=N$3,SUMIF('TL05'!$C$238:$C$451,$C259,'TL05'!$J$238:$J$451),0),
IF('TL06'!$B$3=N$3,SUMIF('TL06'!$C$10:$C$224,$C259,'TL06'!$J$10:$J$224),0),
IF('TL06'!$B$229=N$3,SUMIF('TL06'!$C$238:$C$451,$C259,'TL06'!$J$238:$J$451),0),
IF('TL07'!$B$3=N$3,SUMIF('TL07'!$C$10:$C$224,$C259,'TL07'!$J$10:$J$224),0),
IF('TL07'!$B$229=N$3,SUMIF('TL07'!$C$238:$C$451,$C259,'TL07'!$J$238:$J$451),0),
IF('TL08'!$B$3=N$3,SUMIF('TL08'!$C$10:$C$224,$C259,'TL08'!$J$10:$J$224),0),
IF('TL08'!$B$229=N$3,SUMIF('TL08'!$C$238:$C$451,$C259,'TL08'!$J$238:$J$451),0),
IF('TL09'!$B$3=N$3,SUMIF('TL09'!$C$10:$C$224,$C259,'TL09'!$J$10:$J$224),0),
IF('TL09'!$B$229=N$3,SUMIF('TL09'!$C$238:$C$451,$C259,'TL09'!$J$238:$J$451),0),
IF('TL10'!$B$3=N$3,SUMIF('TL10'!$C$10:$C$224,$C259,'TL10'!$J$10:$J$224),0),
IF('TL10'!$B$229=N$3,SUMIF('TL10'!$C$238:$C$451,$C259,'TL10'!$J$238:$J$451),0),
IF('TL11'!$B$3=N$3,SUMIF('TL11'!$C$10:$C$224,$C259,'TL11'!$J$10:$J$224),0),
IF('TL11'!$B$229=N$3,SUMIF('TL11'!$C$238:$C$451,$C259,'TL11'!$J$238:$J$451),0),
IF('TL12'!$B$3=N$3,SUMIF('TL12'!$C$10:$C$224,$C259,'TL12'!$J$10:$J$224),0),
IF('TL12'!$B$229=N$3,SUMIF('TL12'!$C$238:$C$451,$C259,'TL12'!$J$238:$J$451),0),
IF('TL13'!$B$3=N$3,SUMIF('TL13'!$C$10:$C$224,$C259,'TL13'!$J$10:$J$224),0),
IF('TL13'!$B$229=N$3,SUMIF('TL13'!$C$238:$C$451,$C259,'TL13'!$J$238:$J$451),0),
IF('TL14'!$B$3=N$3,SUMIF('TL14'!$C$10:$C$224,$C259,'TL14'!$J$10:$J$224),0),
IF('TL14'!$B$229=N$3,SUMIF('TL14'!$C$238:$C$451,$C259,'TL14'!$J$238:$J$451),0),
IF('TL15'!$B$3=N$3,SUMIF('TL15'!$C$10:$C$224,$C259,'TL15'!$J$10:$J$224),0),
IF('TL15'!$B$229=N$3,SUMIF('TL15'!$C$238:$C$451,$C259,'TL15'!$J$238:$J$451),0),
IF('TL16'!$B$3=N$3,SUMIF('TL16'!$C$10:$C$224,$C259,'TL16'!$J$10:$J$224),0),
IF('TL16'!$B$229=N$3,SUMIF('TL16'!$C$238:$C$451,$C259,'TL16'!$J$238:$J$451),0),
IF('TL17'!$B$3=N$3,SUMIF('TL17'!$C$10:$C$224,$C259,'TL17'!$J$10:$J$224),0),
IF('TL17'!$B$229=N$3,SUMIF('TL17'!$C$238:$C$451,$C259,'TL17'!$J$238:$J$451),0),
IF('TL18'!$B$3=N$3,SUMIF('TL18'!$C$10:$C$224,$C259,'TL18'!$J$10:$J$224),0),
IF('TL18'!$B$229=N$3,SUMIF('TL18'!$C$238:$C$451,$C259,'TL18'!$J$238:$J$451),0),
IF('TL19'!$B$3=N$3,SUMIF('TL19'!$C$10:$C$224,$C259,'TL19'!$J$10:$J$224),0),
IF('TL19'!$B$229=N$3,SUMIF('TL19'!$C$238:$C$451,$C259,'TL19'!$J$238:$J$451),0)
),0)</f>
        <v>0</v>
      </c>
      <c r="O259" s="9">
        <f>IFERROR(SUM(
IF('TL01'!$B$3=O$3,SUMIF('TL01'!$C$10:$C$224,$C259,'TL01'!$J$10:$J$224),0),
IF('TL01'!$B$229=O$3,SUMIF('TL01'!$C$238:$C$451,$C259,'TL01'!$J$238:$J$451),0),
IF('TL02'!$B$3=O$3,SUMIF('TL02'!$C$10:$C$224,$C259,'TL02'!$J$10:$J$224),0),
IF('TL02'!$B$229=O$3,SUMIF('TL02'!$C$238:$C$451,$C259,'TL02'!$J$238:$J$451),0),
IF('TL03'!$B$3=O$3,SUMIF('TL03'!$C$10:$C$224,$C259,'TL03'!$J$10:$J$224),0),
IF('TL03'!$B$229=O$3,SUMIF('TL03'!$C$238:$C$451,$C259,'TL03'!$J$238:$J$451),0),
IF('TL04'!$B$3=O$3,SUMIF('TL04'!$C$10:$C$224,$C259,'TL04'!$J$10:$J$224),0),
IF('TL04'!$B$229=O$3,SUMIF('TL04'!$C$238:$C$451,$C259,'TL04'!$J$238:$J$451),0),
IF('TL05'!$B$3=O$3,SUMIF('TL05'!$C$10:$C$224,$C259,'TL05'!$J$10:$J$224),0),
IF('TL05'!$B$229=O$3,SUMIF('TL05'!$C$238:$C$451,$C259,'TL05'!$J$238:$J$451),0),
IF('TL06'!$B$3=O$3,SUMIF('TL06'!$C$10:$C$224,$C259,'TL06'!$J$10:$J$224),0),
IF('TL06'!$B$229=O$3,SUMIF('TL06'!$C$238:$C$451,$C259,'TL06'!$J$238:$J$451),0),
IF('TL07'!$B$3=O$3,SUMIF('TL07'!$C$10:$C$224,$C259,'TL07'!$J$10:$J$224),0),
IF('TL07'!$B$229=O$3,SUMIF('TL07'!$C$238:$C$451,$C259,'TL07'!$J$238:$J$451),0),
IF('TL08'!$B$3=O$3,SUMIF('TL08'!$C$10:$C$224,$C259,'TL08'!$J$10:$J$224),0),
IF('TL08'!$B$229=O$3,SUMIF('TL08'!$C$238:$C$451,$C259,'TL08'!$J$238:$J$451),0),
IF('TL09'!$B$3=O$3,SUMIF('TL09'!$C$10:$C$224,$C259,'TL09'!$J$10:$J$224),0),
IF('TL09'!$B$229=O$3,SUMIF('TL09'!$C$238:$C$451,$C259,'TL09'!$J$238:$J$451),0),
IF('TL10'!$B$3=O$3,SUMIF('TL10'!$C$10:$C$224,$C259,'TL10'!$J$10:$J$224),0),
IF('TL10'!$B$229=O$3,SUMIF('TL10'!$C$238:$C$451,$C259,'TL10'!$J$238:$J$451),0),
IF('TL11'!$B$3=O$3,SUMIF('TL11'!$C$10:$C$224,$C259,'TL11'!$J$10:$J$224),0),
IF('TL11'!$B$229=O$3,SUMIF('TL11'!$C$238:$C$451,$C259,'TL11'!$J$238:$J$451),0),
IF('TL12'!$B$3=O$3,SUMIF('TL12'!$C$10:$C$224,$C259,'TL12'!$J$10:$J$224),0),
IF('TL12'!$B$229=O$3,SUMIF('TL12'!$C$238:$C$451,$C259,'TL12'!$J$238:$J$451),0),
IF('TL13'!$B$3=O$3,SUMIF('TL13'!$C$10:$C$224,$C259,'TL13'!$J$10:$J$224),0),
IF('TL13'!$B$229=O$3,SUMIF('TL13'!$C$238:$C$451,$C259,'TL13'!$J$238:$J$451),0),
IF('TL14'!$B$3=O$3,SUMIF('TL14'!$C$10:$C$224,$C259,'TL14'!$J$10:$J$224),0),
IF('TL14'!$B$229=O$3,SUMIF('TL14'!$C$238:$C$451,$C259,'TL14'!$J$238:$J$451),0),
IF('TL15'!$B$3=O$3,SUMIF('TL15'!$C$10:$C$224,$C259,'TL15'!$J$10:$J$224),0),
IF('TL15'!$B$229=O$3,SUMIF('TL15'!$C$238:$C$451,$C259,'TL15'!$J$238:$J$451),0),
IF('TL16'!$B$3=O$3,SUMIF('TL16'!$C$10:$C$224,$C259,'TL16'!$J$10:$J$224),0),
IF('TL16'!$B$229=O$3,SUMIF('TL16'!$C$238:$C$451,$C259,'TL16'!$J$238:$J$451),0),
IF('TL17'!$B$3=O$3,SUMIF('TL17'!$C$10:$C$224,$C259,'TL17'!$J$10:$J$224),0),
IF('TL17'!$B$229=O$3,SUMIF('TL17'!$C$238:$C$451,$C259,'TL17'!$J$238:$J$451),0),
IF('TL18'!$B$3=O$3,SUMIF('TL18'!$C$10:$C$224,$C259,'TL18'!$J$10:$J$224),0),
IF('TL18'!$B$229=O$3,SUMIF('TL18'!$C$238:$C$451,$C259,'TL18'!$J$238:$J$451),0),
IF('TL19'!$B$3=O$3,SUMIF('TL19'!$C$10:$C$224,$C259,'TL19'!$J$10:$J$224),0),
IF('TL19'!$B$229=O$3,SUMIF('TL19'!$C$238:$C$451,$C259,'TL19'!$J$238:$J$451),0)
),0)</f>
        <v>0</v>
      </c>
      <c r="P259" s="9">
        <f>IFERROR(SUM(
IF('TL01'!$B$3=P$3,SUMIF('TL01'!$C$10:$C$224,$C259,'TL01'!$J$10:$J$224),0),
IF('TL01'!$B$229=P$3,SUMIF('TL01'!$C$238:$C$451,$C259,'TL01'!$J$238:$J$451),0),
IF('TL02'!$B$3=P$3,SUMIF('TL02'!$C$10:$C$224,$C259,'TL02'!$J$10:$J$224),0),
IF('TL02'!$B$229=P$3,SUMIF('TL02'!$C$238:$C$451,$C259,'TL02'!$J$238:$J$451),0),
IF('TL03'!$B$3=P$3,SUMIF('TL03'!$C$10:$C$224,$C259,'TL03'!$J$10:$J$224),0),
IF('TL03'!$B$229=P$3,SUMIF('TL03'!$C$238:$C$451,$C259,'TL03'!$J$238:$J$451),0),
IF('TL04'!$B$3=P$3,SUMIF('TL04'!$C$10:$C$224,$C259,'TL04'!$J$10:$J$224),0),
IF('TL04'!$B$229=P$3,SUMIF('TL04'!$C$238:$C$451,$C259,'TL04'!$J$238:$J$451),0),
IF('TL05'!$B$3=P$3,SUMIF('TL05'!$C$10:$C$224,$C259,'TL05'!$J$10:$J$224),0),
IF('TL05'!$B$229=P$3,SUMIF('TL05'!$C$238:$C$451,$C259,'TL05'!$J$238:$J$451),0),
IF('TL06'!$B$3=P$3,SUMIF('TL06'!$C$10:$C$224,$C259,'TL06'!$J$10:$J$224),0),
IF('TL06'!$B$229=P$3,SUMIF('TL06'!$C$238:$C$451,$C259,'TL06'!$J$238:$J$451),0),
IF('TL07'!$B$3=P$3,SUMIF('TL07'!$C$10:$C$224,$C259,'TL07'!$J$10:$J$224),0),
IF('TL07'!$B$229=P$3,SUMIF('TL07'!$C$238:$C$451,$C259,'TL07'!$J$238:$J$451),0),
IF('TL08'!$B$3=P$3,SUMIF('TL08'!$C$10:$C$224,$C259,'TL08'!$J$10:$J$224),0),
IF('TL08'!$B$229=P$3,SUMIF('TL08'!$C$238:$C$451,$C259,'TL08'!$J$238:$J$451),0),
IF('TL09'!$B$3=P$3,SUMIF('TL09'!$C$10:$C$224,$C259,'TL09'!$J$10:$J$224),0),
IF('TL09'!$B$229=P$3,SUMIF('TL09'!$C$238:$C$451,$C259,'TL09'!$J$238:$J$451),0),
IF('TL10'!$B$3=P$3,SUMIF('TL10'!$C$10:$C$224,$C259,'TL10'!$J$10:$J$224),0),
IF('TL10'!$B$229=P$3,SUMIF('TL10'!$C$238:$C$451,$C259,'TL10'!$J$238:$J$451),0),
IF('TL11'!$B$3=P$3,SUMIF('TL11'!$C$10:$C$224,$C259,'TL11'!$J$10:$J$224),0),
IF('TL11'!$B$229=P$3,SUMIF('TL11'!$C$238:$C$451,$C259,'TL11'!$J$238:$J$451),0),
IF('TL12'!$B$3=P$3,SUMIF('TL12'!$C$10:$C$224,$C259,'TL12'!$J$10:$J$224),0),
IF('TL12'!$B$229=P$3,SUMIF('TL12'!$C$238:$C$451,$C259,'TL12'!$J$238:$J$451),0),
IF('TL13'!$B$3=P$3,SUMIF('TL13'!$C$10:$C$224,$C259,'TL13'!$J$10:$J$224),0),
IF('TL13'!$B$229=P$3,SUMIF('TL13'!$C$238:$C$451,$C259,'TL13'!$J$238:$J$451),0),
IF('TL14'!$B$3=P$3,SUMIF('TL14'!$C$10:$C$224,$C259,'TL14'!$J$10:$J$224),0),
IF('TL14'!$B$229=P$3,SUMIF('TL14'!$C$238:$C$451,$C259,'TL14'!$J$238:$J$451),0),
IF('TL15'!$B$3=P$3,SUMIF('TL15'!$C$10:$C$224,$C259,'TL15'!$J$10:$J$224),0),
IF('TL15'!$B$229=P$3,SUMIF('TL15'!$C$238:$C$451,$C259,'TL15'!$J$238:$J$451),0),
IF('TL16'!$B$3=P$3,SUMIF('TL16'!$C$10:$C$224,$C259,'TL16'!$J$10:$J$224),0),
IF('TL16'!$B$229=P$3,SUMIF('TL16'!$C$238:$C$451,$C259,'TL16'!$J$238:$J$451),0),
IF('TL17'!$B$3=P$3,SUMIF('TL17'!$C$10:$C$224,$C259,'TL17'!$J$10:$J$224),0),
IF('TL17'!$B$229=P$3,SUMIF('TL17'!$C$238:$C$451,$C259,'TL17'!$J$238:$J$451),0),
IF('TL18'!$B$3=P$3,SUMIF('TL18'!$C$10:$C$224,$C259,'TL18'!$J$10:$J$224),0),
IF('TL18'!$B$229=P$3,SUMIF('TL18'!$C$238:$C$451,$C259,'TL18'!$J$238:$J$451),0),
IF('TL19'!$B$3=P$3,SUMIF('TL19'!$C$10:$C$224,$C259,'TL19'!$J$10:$J$224),0),
IF('TL19'!$B$229=P$3,SUMIF('TL19'!$C$238:$C$451,$C259,'TL19'!$J$238:$J$451),0)
),0)</f>
        <v>0</v>
      </c>
      <c r="Q259" s="9">
        <f>IFERROR(SUM(
IF('TL01'!$B$3=Q$3,SUMIF('TL01'!$C$10:$C$224,$C259,'TL01'!$J$10:$J$224),0),
IF('TL01'!$B$229=Q$3,SUMIF('TL01'!$C$238:$C$451,$C259,'TL01'!$J$238:$J$451),0),
IF('TL02'!$B$3=Q$3,SUMIF('TL02'!$C$10:$C$224,$C259,'TL02'!$J$10:$J$224),0),
IF('TL02'!$B$229=Q$3,SUMIF('TL02'!$C$238:$C$451,$C259,'TL02'!$J$238:$J$451),0),
IF('TL03'!$B$3=Q$3,SUMIF('TL03'!$C$10:$C$224,$C259,'TL03'!$J$10:$J$224),0),
IF('TL03'!$B$229=Q$3,SUMIF('TL03'!$C$238:$C$451,$C259,'TL03'!$J$238:$J$451),0),
IF('TL04'!$B$3=Q$3,SUMIF('TL04'!$C$10:$C$224,$C259,'TL04'!$J$10:$J$224),0),
IF('TL04'!$B$229=Q$3,SUMIF('TL04'!$C$238:$C$451,$C259,'TL04'!$J$238:$J$451),0),
IF('TL05'!$B$3=Q$3,SUMIF('TL05'!$C$10:$C$224,$C259,'TL05'!$J$10:$J$224),0),
IF('TL05'!$B$229=Q$3,SUMIF('TL05'!$C$238:$C$451,$C259,'TL05'!$J$238:$J$451),0),
IF('TL06'!$B$3=Q$3,SUMIF('TL06'!$C$10:$C$224,$C259,'TL06'!$J$10:$J$224),0),
IF('TL06'!$B$229=Q$3,SUMIF('TL06'!$C$238:$C$451,$C259,'TL06'!$J$238:$J$451),0),
IF('TL07'!$B$3=Q$3,SUMIF('TL07'!$C$10:$C$224,$C259,'TL07'!$J$10:$J$224),0),
IF('TL07'!$B$229=Q$3,SUMIF('TL07'!$C$238:$C$451,$C259,'TL07'!$J$238:$J$451),0),
IF('TL08'!$B$3=Q$3,SUMIF('TL08'!$C$10:$C$224,$C259,'TL08'!$J$10:$J$224),0),
IF('TL08'!$B$229=Q$3,SUMIF('TL08'!$C$238:$C$451,$C259,'TL08'!$J$238:$J$451),0),
IF('TL09'!$B$3=Q$3,SUMIF('TL09'!$C$10:$C$224,$C259,'TL09'!$J$10:$J$224),0),
IF('TL09'!$B$229=Q$3,SUMIF('TL09'!$C$238:$C$451,$C259,'TL09'!$J$238:$J$451),0),
IF('TL10'!$B$3=Q$3,SUMIF('TL10'!$C$10:$C$224,$C259,'TL10'!$J$10:$J$224),0),
IF('TL10'!$B$229=Q$3,SUMIF('TL10'!$C$238:$C$451,$C259,'TL10'!$J$238:$J$451),0),
IF('TL11'!$B$3=Q$3,SUMIF('TL11'!$C$10:$C$224,$C259,'TL11'!$J$10:$J$224),0),
IF('TL11'!$B$229=Q$3,SUMIF('TL11'!$C$238:$C$451,$C259,'TL11'!$J$238:$J$451),0),
IF('TL12'!$B$3=Q$3,SUMIF('TL12'!$C$10:$C$224,$C259,'TL12'!$J$10:$J$224),0),
IF('TL12'!$B$229=Q$3,SUMIF('TL12'!$C$238:$C$451,$C259,'TL12'!$J$238:$J$451),0),
IF('TL13'!$B$3=Q$3,SUMIF('TL13'!$C$10:$C$224,$C259,'TL13'!$J$10:$J$224),0),
IF('TL13'!$B$229=Q$3,SUMIF('TL13'!$C$238:$C$451,$C259,'TL13'!$J$238:$J$451),0),
IF('TL14'!$B$3=Q$3,SUMIF('TL14'!$C$10:$C$224,$C259,'TL14'!$J$10:$J$224),0),
IF('TL14'!$B$229=Q$3,SUMIF('TL14'!$C$238:$C$451,$C259,'TL14'!$J$238:$J$451),0),
IF('TL15'!$B$3=Q$3,SUMIF('TL15'!$C$10:$C$224,$C259,'TL15'!$J$10:$J$224),0),
IF('TL15'!$B$229=Q$3,SUMIF('TL15'!$C$238:$C$451,$C259,'TL15'!$J$238:$J$451),0),
IF('TL16'!$B$3=Q$3,SUMIF('TL16'!$C$10:$C$224,$C259,'TL16'!$J$10:$J$224),0),
IF('TL16'!$B$229=Q$3,SUMIF('TL16'!$C$238:$C$451,$C259,'TL16'!$J$238:$J$451),0),
IF('TL17'!$B$3=Q$3,SUMIF('TL17'!$C$10:$C$224,$C259,'TL17'!$J$10:$J$224),0),
IF('TL17'!$B$229=Q$3,SUMIF('TL17'!$C$238:$C$451,$C259,'TL17'!$J$238:$J$451),0),
IF('TL18'!$B$3=Q$3,SUMIF('TL18'!$C$10:$C$224,$C259,'TL18'!$J$10:$J$224),0),
IF('TL18'!$B$229=Q$3,SUMIF('TL18'!$C$238:$C$451,$C259,'TL18'!$J$238:$J$451),0),
IF('TL19'!$B$3=Q$3,SUMIF('TL19'!$C$10:$C$224,$C259,'TL19'!$J$10:$J$224),0),
IF('TL19'!$B$229=Q$3,SUMIF('TL19'!$C$238:$C$451,$C259,'TL19'!$J$238:$J$451),0)
),0)</f>
        <v>0</v>
      </c>
      <c r="R259" s="9">
        <f>IFERROR(
SUM(
SUMIF('TL01'!C:C,C259,'TL01'!J:J),
SUMIF('TL02'!C:C,C259,'TL02'!J:J),
SUMIF('TL03'!C:C,C259,'TL03'!J:J),
SUMIF('TL04'!C:C,C259,'TL04'!J:J),
SUMIF('TL05'!C:C,C259,'TL05'!J:J),
SUMIF('TL06'!C:C,C259,'TL06'!J:J),
SUMIF('TL07'!C:C,C259,'TL07'!J:J),
SUMIF('TL08'!C:C,C259,'TL08'!J:J),
SUMIF('TL09'!C:C,C259,'TL09'!J:J),
SUMIF('TL10'!C:C,C259,'TL10'!J:J),
SUMIF('TL11'!C:C,C259,'TL11'!J:J),
SUMIF('TL12'!C:C,C259,'TL12'!J:J),
SUMIF('TL13'!C:C,C259,'TL13'!J:J),
SUMIF('TL14'!C:C,C259,'TL14'!J:J),
SUMIF('TL15'!C:C,C259,'TL15'!J:J),
SUMIF('TL16'!C:C,C259,'TL16'!J:J),
SUMIF('TL17'!C:C,C259,'TL17'!J:J),
SUMIF('TL18'!C:C,C259,'TL18'!J:J),SUMIF('TL19'!C:C,C259,'TL19'!J:J))
,0)</f>
        <v>0</v>
      </c>
      <c r="S259" s="17">
        <f>IFERROR(__xludf.DUMMYFUNCTION("IFERROR(VLOOKUP(C259,
IMPORTRANGE(""1wULbzX32WdYsx-lj2U3uUNBBe2INVIRDtcK0d-Dvl90"",
""26-27!C:G""),
5,
FALSE),
"""")"),40.33)</f>
        <v>40.33</v>
      </c>
      <c r="T259" s="9"/>
      <c r="U259" s="92">
        <f t="shared" si="2"/>
        <v>0</v>
      </c>
      <c r="V259" s="93">
        <f t="shared" si="3"/>
        <v>0</v>
      </c>
    </row>
    <row r="260" ht="15.75" hidden="1" customHeight="1">
      <c r="A260" s="4" t="s">
        <v>932</v>
      </c>
      <c r="B260" s="125" t="s">
        <v>9</v>
      </c>
      <c r="C260" s="4" t="s">
        <v>948</v>
      </c>
      <c r="D260" s="4" t="s">
        <v>949</v>
      </c>
      <c r="E260" s="9" t="s">
        <v>950</v>
      </c>
      <c r="F260" s="4" t="s">
        <v>343</v>
      </c>
      <c r="G260" s="9"/>
      <c r="H260" s="9">
        <v>0.4</v>
      </c>
      <c r="I260" s="1"/>
      <c r="J260" s="9">
        <f>IFERROR(SUM(
IF('TL01'!$B$3=J$3,SUMIF('TL01'!$C$10:$C$224,$C260,'TL01'!$J$10:$J$224),0),
IF('TL01'!$B$229=J$3,SUMIF('TL01'!$C$238:$C$451,$C260,'TL01'!$J$238:$J$451),0),
IF('TL02'!$B$3=J$3,SUMIF('TL02'!$C$10:$C$224,$C260,'TL02'!$J$10:$J$224),0),
IF('TL02'!$B$229=J$3,SUMIF('TL02'!$C$238:$C$451,$C260,'TL02'!$J$238:$J$451),0),
IF('TL03'!$B$3=J$3,SUMIF('TL03'!$C$10:$C$224,$C260,'TL03'!$J$10:$J$224),0),
IF('TL03'!$B$229=J$3,SUMIF('TL03'!$C$238:$C$451,$C260,'TL03'!$J$238:$J$451),0),
IF('TL04'!$B$3=J$3,SUMIF('TL04'!$C$10:$C$224,$C260,'TL04'!$J$10:$J$224),0),
IF('TL04'!$B$229=J$3,SUMIF('TL04'!$C$238:$C$451,$C260,'TL04'!$J$238:$J$451),0),
IF('TL05'!$B$3=J$3,SUMIF('TL05'!$C$10:$C$224,$C260,'TL05'!$J$10:$J$224),0),
IF('TL05'!$B$229=J$3,SUMIF('TL05'!$C$238:$C$451,$C260,'TL05'!$J$238:$J$451),0),
IF('TL06'!$B$3=J$3,SUMIF('TL06'!$C$10:$C$224,$C260,'TL06'!$J$10:$J$224),0),
IF('TL06'!$B$229=J$3,SUMIF('TL06'!$C$238:$C$451,$C260,'TL06'!$J$238:$J$451),0),
IF('TL07'!$B$3=J$3,SUMIF('TL07'!$C$10:$C$224,$C260,'TL07'!$J$10:$J$224),0),
IF('TL07'!$B$229=J$3,SUMIF('TL07'!$C$238:$C$451,$C260,'TL07'!$J$238:$J$451),0),
IF('TL08'!$B$3=J$3,SUMIF('TL08'!$C$10:$C$224,$C260,'TL08'!$J$10:$J$224),0),
IF('TL08'!$B$229=J$3,SUMIF('TL08'!$C$238:$C$451,$C260,'TL08'!$J$238:$J$451),0),
IF('TL09'!$B$3=J$3,SUMIF('TL09'!$C$10:$C$224,$C260,'TL09'!$J$10:$J$224),0),
IF('TL09'!$B$229=J$3,SUMIF('TL09'!$C$238:$C$451,$C260,'TL09'!$J$238:$J$451),0),
IF('TL10'!$B$3=J$3,SUMIF('TL10'!$C$10:$C$224,$C260,'TL10'!$J$10:$J$224),0),
IF('TL10'!$B$229=J$3,SUMIF('TL10'!$C$238:$C$451,$C260,'TL10'!$J$238:$J$451),0),
IF('TL11'!$B$3=J$3,SUMIF('TL11'!$C$10:$C$224,$C260,'TL11'!$J$10:$J$224),0),
IF('TL11'!$B$229=J$3,SUMIF('TL11'!$C$238:$C$451,$C260,'TL11'!$J$238:$J$451),0),
IF('TL12'!$B$3=J$3,SUMIF('TL12'!$C$10:$C$224,$C260,'TL12'!$J$10:$J$224),0),
IF('TL12'!$B$229=J$3,SUMIF('TL12'!$C$238:$C$451,$C260,'TL12'!$J$238:$J$451),0),
IF('TL13'!$B$3=J$3,SUMIF('TL13'!$C$10:$C$224,$C260,'TL13'!$J$10:$J$224),0),
IF('TL13'!$B$229=J$3,SUMIF('TL13'!$C$238:$C$451,$C260,'TL13'!$J$238:$J$451),0),
IF('TL14'!$B$3=J$3,SUMIF('TL14'!$C$10:$C$224,$C260,'TL14'!$J$10:$J$224),0),
IF('TL14'!$B$229=J$3,SUMIF('TL14'!$C$238:$C$451,$C260,'TL14'!$J$238:$J$451),0),
IF('TL15'!$B$3=J$3,SUMIF('TL15'!$C$10:$C$224,$C260,'TL15'!$J$10:$J$224),0),
IF('TL15'!$B$229=J$3,SUMIF('TL15'!$C$238:$C$451,$C260,'TL15'!$J$238:$J$451),0),
IF('TL16'!$B$3=J$3,SUMIF('TL16'!$C$10:$C$224,$C260,'TL16'!$J$10:$J$224),0),
IF('TL16'!$B$229=J$3,SUMIF('TL16'!$C$238:$C$451,$C260,'TL16'!$J$238:$J$451),0),
IF('TL17'!$B$3=J$3,SUMIF('TL17'!$C$10:$C$224,$C260,'TL17'!$J$10:$J$224),0),
IF('TL17'!$B$229=J$3,SUMIF('TL17'!$C$238:$C$451,$C260,'TL17'!$J$238:$J$451),0),
IF('TL18'!$B$3=J$3,SUMIF('TL18'!$C$10:$C$224,$C260,'TL18'!$J$10:$J$224),0),
IF('TL18'!$B$229=J$3,SUMIF('TL18'!$C$238:$C$451,$C260,'TL18'!$J$238:$J$451),0),
IF('TL19'!$B$3=J$3,SUMIF('TL19'!$C$10:$C$224,$C260,'TL19'!$J$10:$J$224),0),
IF('TL19'!$B$229=J$3,SUMIF('TL19'!$C$238:$C$451,$C260,'TL19'!$J$238:$J$451),0)
),0)</f>
        <v>0</v>
      </c>
      <c r="K260" s="9">
        <f>IFERROR(SUM(
IF('TL01'!$B$3=K$3,SUMIF('TL01'!$C$10:$C$224,$C260,'TL01'!$J$10:$J$224),0),
IF('TL01'!$B$229=K$3,SUMIF('TL01'!$C$238:$C$451,$C260,'TL01'!$J$238:$J$451),0),
IF('TL02'!$B$3=K$3,SUMIF('TL02'!$C$10:$C$224,$C260,'TL02'!$J$10:$J$224),0),
IF('TL02'!$B$229=K$3,SUMIF('TL02'!$C$238:$C$451,$C260,'TL02'!$J$238:$J$451),0),
IF('TL03'!$B$3=K$3,SUMIF('TL03'!$C$10:$C$224,$C260,'TL03'!$J$10:$J$224),0),
IF('TL03'!$B$229=K$3,SUMIF('TL03'!$C$238:$C$451,$C260,'TL03'!$J$238:$J$451),0),
IF('TL04'!$B$3=K$3,SUMIF('TL04'!$C$10:$C$224,$C260,'TL04'!$J$10:$J$224),0),
IF('TL04'!$B$229=K$3,SUMIF('TL04'!$C$238:$C$451,$C260,'TL04'!$J$238:$J$451),0),
IF('TL05'!$B$3=K$3,SUMIF('TL05'!$C$10:$C$224,$C260,'TL05'!$J$10:$J$224),0),
IF('TL05'!$B$229=K$3,SUMIF('TL05'!$C$238:$C$451,$C260,'TL05'!$J$238:$J$451),0),
IF('TL06'!$B$3=K$3,SUMIF('TL06'!$C$10:$C$224,$C260,'TL06'!$J$10:$J$224),0),
IF('TL06'!$B$229=K$3,SUMIF('TL06'!$C$238:$C$451,$C260,'TL06'!$J$238:$J$451),0),
IF('TL07'!$B$3=K$3,SUMIF('TL07'!$C$10:$C$224,$C260,'TL07'!$J$10:$J$224),0),
IF('TL07'!$B$229=K$3,SUMIF('TL07'!$C$238:$C$451,$C260,'TL07'!$J$238:$J$451),0),
IF('TL08'!$B$3=K$3,SUMIF('TL08'!$C$10:$C$224,$C260,'TL08'!$J$10:$J$224),0),
IF('TL08'!$B$229=K$3,SUMIF('TL08'!$C$238:$C$451,$C260,'TL08'!$J$238:$J$451),0),
IF('TL09'!$B$3=K$3,SUMIF('TL09'!$C$10:$C$224,$C260,'TL09'!$J$10:$J$224),0),
IF('TL09'!$B$229=K$3,SUMIF('TL09'!$C$238:$C$451,$C260,'TL09'!$J$238:$J$451),0),
IF('TL10'!$B$3=K$3,SUMIF('TL10'!$C$10:$C$224,$C260,'TL10'!$J$10:$J$224),0),
IF('TL10'!$B$229=K$3,SUMIF('TL10'!$C$238:$C$451,$C260,'TL10'!$J$238:$J$451),0),
IF('TL11'!$B$3=K$3,SUMIF('TL11'!$C$10:$C$224,$C260,'TL11'!$J$10:$J$224),0),
IF('TL11'!$B$229=K$3,SUMIF('TL11'!$C$238:$C$451,$C260,'TL11'!$J$238:$J$451),0),
IF('TL12'!$B$3=K$3,SUMIF('TL12'!$C$10:$C$224,$C260,'TL12'!$J$10:$J$224),0),
IF('TL12'!$B$229=K$3,SUMIF('TL12'!$C$238:$C$451,$C260,'TL12'!$J$238:$J$451),0),
IF('TL13'!$B$3=K$3,SUMIF('TL13'!$C$10:$C$224,$C260,'TL13'!$J$10:$J$224),0),
IF('TL13'!$B$229=K$3,SUMIF('TL13'!$C$238:$C$451,$C260,'TL13'!$J$238:$J$451),0),
IF('TL14'!$B$3=K$3,SUMIF('TL14'!$C$10:$C$224,$C260,'TL14'!$J$10:$J$224),0),
IF('TL14'!$B$229=K$3,SUMIF('TL14'!$C$238:$C$451,$C260,'TL14'!$J$238:$J$451),0),
IF('TL15'!$B$3=K$3,SUMIF('TL15'!$C$10:$C$224,$C260,'TL15'!$J$10:$J$224),0),
IF('TL15'!$B$229=K$3,SUMIF('TL15'!$C$238:$C$451,$C260,'TL15'!$J$238:$J$451),0),
IF('TL16'!$B$3=K$3,SUMIF('TL16'!$C$10:$C$224,$C260,'TL16'!$J$10:$J$224),0),
IF('TL16'!$B$229=K$3,SUMIF('TL16'!$C$238:$C$451,$C260,'TL16'!$J$238:$J$451),0),
IF('TL17'!$B$3=K$3,SUMIF('TL17'!$C$10:$C$224,$C260,'TL17'!$J$10:$J$224),0),
IF('TL17'!$B$229=K$3,SUMIF('TL17'!$C$238:$C$451,$C260,'TL17'!$J$238:$J$451),0),
IF('TL18'!$B$3=K$3,SUMIF('TL18'!$C$10:$C$224,$C260,'TL18'!$J$10:$J$224),0),
IF('TL18'!$B$229=K$3,SUMIF('TL18'!$C$238:$C$451,$C260,'TL18'!$J$238:$J$451),0),
IF('TL19'!$B$3=K$3,SUMIF('TL19'!$C$10:$C$224,$C260,'TL19'!$J$10:$J$224),0),
IF('TL19'!$B$229=K$3,SUMIF('TL19'!$C$238:$C$451,$C260,'TL19'!$J$238:$J$451),0)
),0)</f>
        <v>0</v>
      </c>
      <c r="L260" s="9">
        <f>IFERROR(SUM(
IF('TL01'!$B$3=L$3,SUMIF('TL01'!$C$10:$C$224,$C260,'TL01'!$J$10:$J$224),0),
IF('TL01'!$B$229=L$3,SUMIF('TL01'!$C$238:$C$451,$C260,'TL01'!$J$238:$J$451),0),
IF('TL02'!$B$3=L$3,SUMIF('TL02'!$C$10:$C$224,$C260,'TL02'!$J$10:$J$224),0),
IF('TL02'!$B$229=L$3,SUMIF('TL02'!$C$238:$C$451,$C260,'TL02'!$J$238:$J$451),0),
IF('TL03'!$B$3=L$3,SUMIF('TL03'!$C$10:$C$224,$C260,'TL03'!$J$10:$J$224),0),
IF('TL03'!$B$229=L$3,SUMIF('TL03'!$C$238:$C$451,$C260,'TL03'!$J$238:$J$451),0),
IF('TL04'!$B$3=L$3,SUMIF('TL04'!$C$10:$C$224,$C260,'TL04'!$J$10:$J$224),0),
IF('TL04'!$B$229=L$3,SUMIF('TL04'!$C$238:$C$451,$C260,'TL04'!$J$238:$J$451),0),
IF('TL05'!$B$3=L$3,SUMIF('TL05'!$C$10:$C$224,$C260,'TL05'!$J$10:$J$224),0),
IF('TL05'!$B$229=L$3,SUMIF('TL05'!$C$238:$C$451,$C260,'TL05'!$J$238:$J$451),0),
IF('TL06'!$B$3=L$3,SUMIF('TL06'!$C$10:$C$224,$C260,'TL06'!$J$10:$J$224),0),
IF('TL06'!$B$229=L$3,SUMIF('TL06'!$C$238:$C$451,$C260,'TL06'!$J$238:$J$451),0),
IF('TL07'!$B$3=L$3,SUMIF('TL07'!$C$10:$C$224,$C260,'TL07'!$J$10:$J$224),0),
IF('TL07'!$B$229=L$3,SUMIF('TL07'!$C$238:$C$451,$C260,'TL07'!$J$238:$J$451),0),
IF('TL08'!$B$3=L$3,SUMIF('TL08'!$C$10:$C$224,$C260,'TL08'!$J$10:$J$224),0),
IF('TL08'!$B$229=L$3,SUMIF('TL08'!$C$238:$C$451,$C260,'TL08'!$J$238:$J$451),0),
IF('TL09'!$B$3=L$3,SUMIF('TL09'!$C$10:$C$224,$C260,'TL09'!$J$10:$J$224),0),
IF('TL09'!$B$229=L$3,SUMIF('TL09'!$C$238:$C$451,$C260,'TL09'!$J$238:$J$451),0),
IF('TL10'!$B$3=L$3,SUMIF('TL10'!$C$10:$C$224,$C260,'TL10'!$J$10:$J$224),0),
IF('TL10'!$B$229=L$3,SUMIF('TL10'!$C$238:$C$451,$C260,'TL10'!$J$238:$J$451),0),
IF('TL11'!$B$3=L$3,SUMIF('TL11'!$C$10:$C$224,$C260,'TL11'!$J$10:$J$224),0),
IF('TL11'!$B$229=L$3,SUMIF('TL11'!$C$238:$C$451,$C260,'TL11'!$J$238:$J$451),0),
IF('TL12'!$B$3=L$3,SUMIF('TL12'!$C$10:$C$224,$C260,'TL12'!$J$10:$J$224),0),
IF('TL12'!$B$229=L$3,SUMIF('TL12'!$C$238:$C$451,$C260,'TL12'!$J$238:$J$451),0),
IF('TL13'!$B$3=L$3,SUMIF('TL13'!$C$10:$C$224,$C260,'TL13'!$J$10:$J$224),0),
IF('TL13'!$B$229=L$3,SUMIF('TL13'!$C$238:$C$451,$C260,'TL13'!$J$238:$J$451),0),
IF('TL14'!$B$3=L$3,SUMIF('TL14'!$C$10:$C$224,$C260,'TL14'!$J$10:$J$224),0),
IF('TL14'!$B$229=L$3,SUMIF('TL14'!$C$238:$C$451,$C260,'TL14'!$J$238:$J$451),0),
IF('TL15'!$B$3=L$3,SUMIF('TL15'!$C$10:$C$224,$C260,'TL15'!$J$10:$J$224),0),
IF('TL15'!$B$229=L$3,SUMIF('TL15'!$C$238:$C$451,$C260,'TL15'!$J$238:$J$451),0),
IF('TL16'!$B$3=L$3,SUMIF('TL16'!$C$10:$C$224,$C260,'TL16'!$J$10:$J$224),0),
IF('TL16'!$B$229=L$3,SUMIF('TL16'!$C$238:$C$451,$C260,'TL16'!$J$238:$J$451),0),
IF('TL17'!$B$3=L$3,SUMIF('TL17'!$C$10:$C$224,$C260,'TL17'!$J$10:$J$224),0),
IF('TL17'!$B$229=L$3,SUMIF('TL17'!$C$238:$C$451,$C260,'TL17'!$J$238:$J$451),0),
IF('TL18'!$B$3=L$3,SUMIF('TL18'!$C$10:$C$224,$C260,'TL18'!$J$10:$J$224),0),
IF('TL18'!$B$229=L$3,SUMIF('TL18'!$C$238:$C$451,$C260,'TL18'!$J$238:$J$451),0),
IF('TL19'!$B$3=L$3,SUMIF('TL19'!$C$10:$C$224,$C260,'TL19'!$J$10:$J$224),0),
IF('TL19'!$B$229=L$3,SUMIF('TL19'!$C$238:$C$451,$C260,'TL19'!$J$238:$J$451),0)
),0)</f>
        <v>0</v>
      </c>
      <c r="M260" s="9">
        <f>IFERROR(SUM(
IF('TL01'!$B$3=M$3,SUMIF('TL01'!$C$10:$C$224,$C260,'TL01'!$J$10:$J$224),0),
IF('TL01'!$B$229=M$3,SUMIF('TL01'!$C$238:$C$451,$C260,'TL01'!$J$238:$J$451),0),
IF('TL02'!$B$3=M$3,SUMIF('TL02'!$C$10:$C$224,$C260,'TL02'!$J$10:$J$224),0),
IF('TL02'!$B$229=M$3,SUMIF('TL02'!$C$238:$C$451,$C260,'TL02'!$J$238:$J$451),0),
IF('TL03'!$B$3=M$3,SUMIF('TL03'!$C$10:$C$224,$C260,'TL03'!$J$10:$J$224),0),
IF('TL03'!$B$229=M$3,SUMIF('TL03'!$C$238:$C$451,$C260,'TL03'!$J$238:$J$451),0),
IF('TL04'!$B$3=M$3,SUMIF('TL04'!$C$10:$C$224,$C260,'TL04'!$J$10:$J$224),0),
IF('TL04'!$B$229=M$3,SUMIF('TL04'!$C$238:$C$451,$C260,'TL04'!$J$238:$J$451),0),
IF('TL05'!$B$3=M$3,SUMIF('TL05'!$C$10:$C$224,$C260,'TL05'!$J$10:$J$224),0),
IF('TL05'!$B$229=M$3,SUMIF('TL05'!$C$238:$C$451,$C260,'TL05'!$J$238:$J$451),0),
IF('TL06'!$B$3=M$3,SUMIF('TL06'!$C$10:$C$224,$C260,'TL06'!$J$10:$J$224),0),
IF('TL06'!$B$229=M$3,SUMIF('TL06'!$C$238:$C$451,$C260,'TL06'!$J$238:$J$451),0),
IF('TL07'!$B$3=M$3,SUMIF('TL07'!$C$10:$C$224,$C260,'TL07'!$J$10:$J$224),0),
IF('TL07'!$B$229=M$3,SUMIF('TL07'!$C$238:$C$451,$C260,'TL07'!$J$238:$J$451),0),
IF('TL08'!$B$3=M$3,SUMIF('TL08'!$C$10:$C$224,$C260,'TL08'!$J$10:$J$224),0),
IF('TL08'!$B$229=M$3,SUMIF('TL08'!$C$238:$C$451,$C260,'TL08'!$J$238:$J$451),0),
IF('TL09'!$B$3=M$3,SUMIF('TL09'!$C$10:$C$224,$C260,'TL09'!$J$10:$J$224),0),
IF('TL09'!$B$229=M$3,SUMIF('TL09'!$C$238:$C$451,$C260,'TL09'!$J$238:$J$451),0),
IF('TL10'!$B$3=M$3,SUMIF('TL10'!$C$10:$C$224,$C260,'TL10'!$J$10:$J$224),0),
IF('TL10'!$B$229=M$3,SUMIF('TL10'!$C$238:$C$451,$C260,'TL10'!$J$238:$J$451),0),
IF('TL11'!$B$3=M$3,SUMIF('TL11'!$C$10:$C$224,$C260,'TL11'!$J$10:$J$224),0),
IF('TL11'!$B$229=M$3,SUMIF('TL11'!$C$238:$C$451,$C260,'TL11'!$J$238:$J$451),0),
IF('TL12'!$B$3=M$3,SUMIF('TL12'!$C$10:$C$224,$C260,'TL12'!$J$10:$J$224),0),
IF('TL12'!$B$229=M$3,SUMIF('TL12'!$C$238:$C$451,$C260,'TL12'!$J$238:$J$451),0),
IF('TL13'!$B$3=M$3,SUMIF('TL13'!$C$10:$C$224,$C260,'TL13'!$J$10:$J$224),0),
IF('TL13'!$B$229=M$3,SUMIF('TL13'!$C$238:$C$451,$C260,'TL13'!$J$238:$J$451),0),
IF('TL14'!$B$3=M$3,SUMIF('TL14'!$C$10:$C$224,$C260,'TL14'!$J$10:$J$224),0),
IF('TL14'!$B$229=M$3,SUMIF('TL14'!$C$238:$C$451,$C260,'TL14'!$J$238:$J$451),0),
IF('TL15'!$B$3=M$3,SUMIF('TL15'!$C$10:$C$224,$C260,'TL15'!$J$10:$J$224),0),
IF('TL15'!$B$229=M$3,SUMIF('TL15'!$C$238:$C$451,$C260,'TL15'!$J$238:$J$451),0),
IF('TL16'!$B$3=M$3,SUMIF('TL16'!$C$10:$C$224,$C260,'TL16'!$J$10:$J$224),0),
IF('TL16'!$B$229=M$3,SUMIF('TL16'!$C$238:$C$451,$C260,'TL16'!$J$238:$J$451),0),
IF('TL17'!$B$3=M$3,SUMIF('TL17'!$C$10:$C$224,$C260,'TL17'!$J$10:$J$224),0),
IF('TL17'!$B$229=M$3,SUMIF('TL17'!$C$238:$C$451,$C260,'TL17'!$J$238:$J$451),0),
IF('TL18'!$B$3=M$3,SUMIF('TL18'!$C$10:$C$224,$C260,'TL18'!$J$10:$J$224),0),
IF('TL18'!$B$229=M$3,SUMIF('TL18'!$C$238:$C$451,$C260,'TL18'!$J$238:$J$451),0),
IF('TL19'!$B$3=M$3,SUMIF('TL19'!$C$10:$C$224,$C260,'TL19'!$J$10:$J$224),0),
IF('TL19'!$B$229=M$3,SUMIF('TL19'!$C$238:$C$451,$C260,'TL19'!$J$238:$J$451),0)
),0)</f>
        <v>0</v>
      </c>
      <c r="N260" s="9">
        <f>IFERROR(SUM(
IF('TL01'!$B$3=N$3,SUMIF('TL01'!$C$10:$C$224,$C260,'TL01'!$J$10:$J$224),0),
IF('TL01'!$B$229=N$3,SUMIF('TL01'!$C$238:$C$451,$C260,'TL01'!$J$238:$J$451),0),
IF('TL02'!$B$3=N$3,SUMIF('TL02'!$C$10:$C$224,$C260,'TL02'!$J$10:$J$224),0),
IF('TL02'!$B$229=N$3,SUMIF('TL02'!$C$238:$C$451,$C260,'TL02'!$J$238:$J$451),0),
IF('TL03'!$B$3=N$3,SUMIF('TL03'!$C$10:$C$224,$C260,'TL03'!$J$10:$J$224),0),
IF('TL03'!$B$229=N$3,SUMIF('TL03'!$C$238:$C$451,$C260,'TL03'!$J$238:$J$451),0),
IF('TL04'!$B$3=N$3,SUMIF('TL04'!$C$10:$C$224,$C260,'TL04'!$J$10:$J$224),0),
IF('TL04'!$B$229=N$3,SUMIF('TL04'!$C$238:$C$451,$C260,'TL04'!$J$238:$J$451),0),
IF('TL05'!$B$3=N$3,SUMIF('TL05'!$C$10:$C$224,$C260,'TL05'!$J$10:$J$224),0),
IF('TL05'!$B$229=N$3,SUMIF('TL05'!$C$238:$C$451,$C260,'TL05'!$J$238:$J$451),0),
IF('TL06'!$B$3=N$3,SUMIF('TL06'!$C$10:$C$224,$C260,'TL06'!$J$10:$J$224),0),
IF('TL06'!$B$229=N$3,SUMIF('TL06'!$C$238:$C$451,$C260,'TL06'!$J$238:$J$451),0),
IF('TL07'!$B$3=N$3,SUMIF('TL07'!$C$10:$C$224,$C260,'TL07'!$J$10:$J$224),0),
IF('TL07'!$B$229=N$3,SUMIF('TL07'!$C$238:$C$451,$C260,'TL07'!$J$238:$J$451),0),
IF('TL08'!$B$3=N$3,SUMIF('TL08'!$C$10:$C$224,$C260,'TL08'!$J$10:$J$224),0),
IF('TL08'!$B$229=N$3,SUMIF('TL08'!$C$238:$C$451,$C260,'TL08'!$J$238:$J$451),0),
IF('TL09'!$B$3=N$3,SUMIF('TL09'!$C$10:$C$224,$C260,'TL09'!$J$10:$J$224),0),
IF('TL09'!$B$229=N$3,SUMIF('TL09'!$C$238:$C$451,$C260,'TL09'!$J$238:$J$451),0),
IF('TL10'!$B$3=N$3,SUMIF('TL10'!$C$10:$C$224,$C260,'TL10'!$J$10:$J$224),0),
IF('TL10'!$B$229=N$3,SUMIF('TL10'!$C$238:$C$451,$C260,'TL10'!$J$238:$J$451),0),
IF('TL11'!$B$3=N$3,SUMIF('TL11'!$C$10:$C$224,$C260,'TL11'!$J$10:$J$224),0),
IF('TL11'!$B$229=N$3,SUMIF('TL11'!$C$238:$C$451,$C260,'TL11'!$J$238:$J$451),0),
IF('TL12'!$B$3=N$3,SUMIF('TL12'!$C$10:$C$224,$C260,'TL12'!$J$10:$J$224),0),
IF('TL12'!$B$229=N$3,SUMIF('TL12'!$C$238:$C$451,$C260,'TL12'!$J$238:$J$451),0),
IF('TL13'!$B$3=N$3,SUMIF('TL13'!$C$10:$C$224,$C260,'TL13'!$J$10:$J$224),0),
IF('TL13'!$B$229=N$3,SUMIF('TL13'!$C$238:$C$451,$C260,'TL13'!$J$238:$J$451),0),
IF('TL14'!$B$3=N$3,SUMIF('TL14'!$C$10:$C$224,$C260,'TL14'!$J$10:$J$224),0),
IF('TL14'!$B$229=N$3,SUMIF('TL14'!$C$238:$C$451,$C260,'TL14'!$J$238:$J$451),0),
IF('TL15'!$B$3=N$3,SUMIF('TL15'!$C$10:$C$224,$C260,'TL15'!$J$10:$J$224),0),
IF('TL15'!$B$229=N$3,SUMIF('TL15'!$C$238:$C$451,$C260,'TL15'!$J$238:$J$451),0),
IF('TL16'!$B$3=N$3,SUMIF('TL16'!$C$10:$C$224,$C260,'TL16'!$J$10:$J$224),0),
IF('TL16'!$B$229=N$3,SUMIF('TL16'!$C$238:$C$451,$C260,'TL16'!$J$238:$J$451),0),
IF('TL17'!$B$3=N$3,SUMIF('TL17'!$C$10:$C$224,$C260,'TL17'!$J$10:$J$224),0),
IF('TL17'!$B$229=N$3,SUMIF('TL17'!$C$238:$C$451,$C260,'TL17'!$J$238:$J$451),0),
IF('TL18'!$B$3=N$3,SUMIF('TL18'!$C$10:$C$224,$C260,'TL18'!$J$10:$J$224),0),
IF('TL18'!$B$229=N$3,SUMIF('TL18'!$C$238:$C$451,$C260,'TL18'!$J$238:$J$451),0),
IF('TL19'!$B$3=N$3,SUMIF('TL19'!$C$10:$C$224,$C260,'TL19'!$J$10:$J$224),0),
IF('TL19'!$B$229=N$3,SUMIF('TL19'!$C$238:$C$451,$C260,'TL19'!$J$238:$J$451),0)
),0)</f>
        <v>0</v>
      </c>
      <c r="O260" s="9">
        <f>IFERROR(SUM(
IF('TL01'!$B$3=O$3,SUMIF('TL01'!$C$10:$C$224,$C260,'TL01'!$J$10:$J$224),0),
IF('TL01'!$B$229=O$3,SUMIF('TL01'!$C$238:$C$451,$C260,'TL01'!$J$238:$J$451),0),
IF('TL02'!$B$3=O$3,SUMIF('TL02'!$C$10:$C$224,$C260,'TL02'!$J$10:$J$224),0),
IF('TL02'!$B$229=O$3,SUMIF('TL02'!$C$238:$C$451,$C260,'TL02'!$J$238:$J$451),0),
IF('TL03'!$B$3=O$3,SUMIF('TL03'!$C$10:$C$224,$C260,'TL03'!$J$10:$J$224),0),
IF('TL03'!$B$229=O$3,SUMIF('TL03'!$C$238:$C$451,$C260,'TL03'!$J$238:$J$451),0),
IF('TL04'!$B$3=O$3,SUMIF('TL04'!$C$10:$C$224,$C260,'TL04'!$J$10:$J$224),0),
IF('TL04'!$B$229=O$3,SUMIF('TL04'!$C$238:$C$451,$C260,'TL04'!$J$238:$J$451),0),
IF('TL05'!$B$3=O$3,SUMIF('TL05'!$C$10:$C$224,$C260,'TL05'!$J$10:$J$224),0),
IF('TL05'!$B$229=O$3,SUMIF('TL05'!$C$238:$C$451,$C260,'TL05'!$J$238:$J$451),0),
IF('TL06'!$B$3=O$3,SUMIF('TL06'!$C$10:$C$224,$C260,'TL06'!$J$10:$J$224),0),
IF('TL06'!$B$229=O$3,SUMIF('TL06'!$C$238:$C$451,$C260,'TL06'!$J$238:$J$451),0),
IF('TL07'!$B$3=O$3,SUMIF('TL07'!$C$10:$C$224,$C260,'TL07'!$J$10:$J$224),0),
IF('TL07'!$B$229=O$3,SUMIF('TL07'!$C$238:$C$451,$C260,'TL07'!$J$238:$J$451),0),
IF('TL08'!$B$3=O$3,SUMIF('TL08'!$C$10:$C$224,$C260,'TL08'!$J$10:$J$224),0),
IF('TL08'!$B$229=O$3,SUMIF('TL08'!$C$238:$C$451,$C260,'TL08'!$J$238:$J$451),0),
IF('TL09'!$B$3=O$3,SUMIF('TL09'!$C$10:$C$224,$C260,'TL09'!$J$10:$J$224),0),
IF('TL09'!$B$229=O$3,SUMIF('TL09'!$C$238:$C$451,$C260,'TL09'!$J$238:$J$451),0),
IF('TL10'!$B$3=O$3,SUMIF('TL10'!$C$10:$C$224,$C260,'TL10'!$J$10:$J$224),0),
IF('TL10'!$B$229=O$3,SUMIF('TL10'!$C$238:$C$451,$C260,'TL10'!$J$238:$J$451),0),
IF('TL11'!$B$3=O$3,SUMIF('TL11'!$C$10:$C$224,$C260,'TL11'!$J$10:$J$224),0),
IF('TL11'!$B$229=O$3,SUMIF('TL11'!$C$238:$C$451,$C260,'TL11'!$J$238:$J$451),0),
IF('TL12'!$B$3=O$3,SUMIF('TL12'!$C$10:$C$224,$C260,'TL12'!$J$10:$J$224),0),
IF('TL12'!$B$229=O$3,SUMIF('TL12'!$C$238:$C$451,$C260,'TL12'!$J$238:$J$451),0),
IF('TL13'!$B$3=O$3,SUMIF('TL13'!$C$10:$C$224,$C260,'TL13'!$J$10:$J$224),0),
IF('TL13'!$B$229=O$3,SUMIF('TL13'!$C$238:$C$451,$C260,'TL13'!$J$238:$J$451),0),
IF('TL14'!$B$3=O$3,SUMIF('TL14'!$C$10:$C$224,$C260,'TL14'!$J$10:$J$224),0),
IF('TL14'!$B$229=O$3,SUMIF('TL14'!$C$238:$C$451,$C260,'TL14'!$J$238:$J$451),0),
IF('TL15'!$B$3=O$3,SUMIF('TL15'!$C$10:$C$224,$C260,'TL15'!$J$10:$J$224),0),
IF('TL15'!$B$229=O$3,SUMIF('TL15'!$C$238:$C$451,$C260,'TL15'!$J$238:$J$451),0),
IF('TL16'!$B$3=O$3,SUMIF('TL16'!$C$10:$C$224,$C260,'TL16'!$J$10:$J$224),0),
IF('TL16'!$B$229=O$3,SUMIF('TL16'!$C$238:$C$451,$C260,'TL16'!$J$238:$J$451),0),
IF('TL17'!$B$3=O$3,SUMIF('TL17'!$C$10:$C$224,$C260,'TL17'!$J$10:$J$224),0),
IF('TL17'!$B$229=O$3,SUMIF('TL17'!$C$238:$C$451,$C260,'TL17'!$J$238:$J$451),0),
IF('TL18'!$B$3=O$3,SUMIF('TL18'!$C$10:$C$224,$C260,'TL18'!$J$10:$J$224),0),
IF('TL18'!$B$229=O$3,SUMIF('TL18'!$C$238:$C$451,$C260,'TL18'!$J$238:$J$451),0),
IF('TL19'!$B$3=O$3,SUMIF('TL19'!$C$10:$C$224,$C260,'TL19'!$J$10:$J$224),0),
IF('TL19'!$B$229=O$3,SUMIF('TL19'!$C$238:$C$451,$C260,'TL19'!$J$238:$J$451),0)
),0)</f>
        <v>0</v>
      </c>
      <c r="P260" s="9">
        <f>IFERROR(SUM(
IF('TL01'!$B$3=P$3,SUMIF('TL01'!$C$10:$C$224,$C260,'TL01'!$J$10:$J$224),0),
IF('TL01'!$B$229=P$3,SUMIF('TL01'!$C$238:$C$451,$C260,'TL01'!$J$238:$J$451),0),
IF('TL02'!$B$3=P$3,SUMIF('TL02'!$C$10:$C$224,$C260,'TL02'!$J$10:$J$224),0),
IF('TL02'!$B$229=P$3,SUMIF('TL02'!$C$238:$C$451,$C260,'TL02'!$J$238:$J$451),0),
IF('TL03'!$B$3=P$3,SUMIF('TL03'!$C$10:$C$224,$C260,'TL03'!$J$10:$J$224),0),
IF('TL03'!$B$229=P$3,SUMIF('TL03'!$C$238:$C$451,$C260,'TL03'!$J$238:$J$451),0),
IF('TL04'!$B$3=P$3,SUMIF('TL04'!$C$10:$C$224,$C260,'TL04'!$J$10:$J$224),0),
IF('TL04'!$B$229=P$3,SUMIF('TL04'!$C$238:$C$451,$C260,'TL04'!$J$238:$J$451),0),
IF('TL05'!$B$3=P$3,SUMIF('TL05'!$C$10:$C$224,$C260,'TL05'!$J$10:$J$224),0),
IF('TL05'!$B$229=P$3,SUMIF('TL05'!$C$238:$C$451,$C260,'TL05'!$J$238:$J$451),0),
IF('TL06'!$B$3=P$3,SUMIF('TL06'!$C$10:$C$224,$C260,'TL06'!$J$10:$J$224),0),
IF('TL06'!$B$229=P$3,SUMIF('TL06'!$C$238:$C$451,$C260,'TL06'!$J$238:$J$451),0),
IF('TL07'!$B$3=P$3,SUMIF('TL07'!$C$10:$C$224,$C260,'TL07'!$J$10:$J$224),0),
IF('TL07'!$B$229=P$3,SUMIF('TL07'!$C$238:$C$451,$C260,'TL07'!$J$238:$J$451),0),
IF('TL08'!$B$3=P$3,SUMIF('TL08'!$C$10:$C$224,$C260,'TL08'!$J$10:$J$224),0),
IF('TL08'!$B$229=P$3,SUMIF('TL08'!$C$238:$C$451,$C260,'TL08'!$J$238:$J$451),0),
IF('TL09'!$B$3=P$3,SUMIF('TL09'!$C$10:$C$224,$C260,'TL09'!$J$10:$J$224),0),
IF('TL09'!$B$229=P$3,SUMIF('TL09'!$C$238:$C$451,$C260,'TL09'!$J$238:$J$451),0),
IF('TL10'!$B$3=P$3,SUMIF('TL10'!$C$10:$C$224,$C260,'TL10'!$J$10:$J$224),0),
IF('TL10'!$B$229=P$3,SUMIF('TL10'!$C$238:$C$451,$C260,'TL10'!$J$238:$J$451),0),
IF('TL11'!$B$3=P$3,SUMIF('TL11'!$C$10:$C$224,$C260,'TL11'!$J$10:$J$224),0),
IF('TL11'!$B$229=P$3,SUMIF('TL11'!$C$238:$C$451,$C260,'TL11'!$J$238:$J$451),0),
IF('TL12'!$B$3=P$3,SUMIF('TL12'!$C$10:$C$224,$C260,'TL12'!$J$10:$J$224),0),
IF('TL12'!$B$229=P$3,SUMIF('TL12'!$C$238:$C$451,$C260,'TL12'!$J$238:$J$451),0),
IF('TL13'!$B$3=P$3,SUMIF('TL13'!$C$10:$C$224,$C260,'TL13'!$J$10:$J$224),0),
IF('TL13'!$B$229=P$3,SUMIF('TL13'!$C$238:$C$451,$C260,'TL13'!$J$238:$J$451),0),
IF('TL14'!$B$3=P$3,SUMIF('TL14'!$C$10:$C$224,$C260,'TL14'!$J$10:$J$224),0),
IF('TL14'!$B$229=P$3,SUMIF('TL14'!$C$238:$C$451,$C260,'TL14'!$J$238:$J$451),0),
IF('TL15'!$B$3=P$3,SUMIF('TL15'!$C$10:$C$224,$C260,'TL15'!$J$10:$J$224),0),
IF('TL15'!$B$229=P$3,SUMIF('TL15'!$C$238:$C$451,$C260,'TL15'!$J$238:$J$451),0),
IF('TL16'!$B$3=P$3,SUMIF('TL16'!$C$10:$C$224,$C260,'TL16'!$J$10:$J$224),0),
IF('TL16'!$B$229=P$3,SUMIF('TL16'!$C$238:$C$451,$C260,'TL16'!$J$238:$J$451),0),
IF('TL17'!$B$3=P$3,SUMIF('TL17'!$C$10:$C$224,$C260,'TL17'!$J$10:$J$224),0),
IF('TL17'!$B$229=P$3,SUMIF('TL17'!$C$238:$C$451,$C260,'TL17'!$J$238:$J$451),0),
IF('TL18'!$B$3=P$3,SUMIF('TL18'!$C$10:$C$224,$C260,'TL18'!$J$10:$J$224),0),
IF('TL18'!$B$229=P$3,SUMIF('TL18'!$C$238:$C$451,$C260,'TL18'!$J$238:$J$451),0),
IF('TL19'!$B$3=P$3,SUMIF('TL19'!$C$10:$C$224,$C260,'TL19'!$J$10:$J$224),0),
IF('TL19'!$B$229=P$3,SUMIF('TL19'!$C$238:$C$451,$C260,'TL19'!$J$238:$J$451),0)
),0)</f>
        <v>0</v>
      </c>
      <c r="Q260" s="9">
        <f>IFERROR(SUM(
IF('TL01'!$B$3=Q$3,SUMIF('TL01'!$C$10:$C$224,$C260,'TL01'!$J$10:$J$224),0),
IF('TL01'!$B$229=Q$3,SUMIF('TL01'!$C$238:$C$451,$C260,'TL01'!$J$238:$J$451),0),
IF('TL02'!$B$3=Q$3,SUMIF('TL02'!$C$10:$C$224,$C260,'TL02'!$J$10:$J$224),0),
IF('TL02'!$B$229=Q$3,SUMIF('TL02'!$C$238:$C$451,$C260,'TL02'!$J$238:$J$451),0),
IF('TL03'!$B$3=Q$3,SUMIF('TL03'!$C$10:$C$224,$C260,'TL03'!$J$10:$J$224),0),
IF('TL03'!$B$229=Q$3,SUMIF('TL03'!$C$238:$C$451,$C260,'TL03'!$J$238:$J$451),0),
IF('TL04'!$B$3=Q$3,SUMIF('TL04'!$C$10:$C$224,$C260,'TL04'!$J$10:$J$224),0),
IF('TL04'!$B$229=Q$3,SUMIF('TL04'!$C$238:$C$451,$C260,'TL04'!$J$238:$J$451),0),
IF('TL05'!$B$3=Q$3,SUMIF('TL05'!$C$10:$C$224,$C260,'TL05'!$J$10:$J$224),0),
IF('TL05'!$B$229=Q$3,SUMIF('TL05'!$C$238:$C$451,$C260,'TL05'!$J$238:$J$451),0),
IF('TL06'!$B$3=Q$3,SUMIF('TL06'!$C$10:$C$224,$C260,'TL06'!$J$10:$J$224),0),
IF('TL06'!$B$229=Q$3,SUMIF('TL06'!$C$238:$C$451,$C260,'TL06'!$J$238:$J$451),0),
IF('TL07'!$B$3=Q$3,SUMIF('TL07'!$C$10:$C$224,$C260,'TL07'!$J$10:$J$224),0),
IF('TL07'!$B$229=Q$3,SUMIF('TL07'!$C$238:$C$451,$C260,'TL07'!$J$238:$J$451),0),
IF('TL08'!$B$3=Q$3,SUMIF('TL08'!$C$10:$C$224,$C260,'TL08'!$J$10:$J$224),0),
IF('TL08'!$B$229=Q$3,SUMIF('TL08'!$C$238:$C$451,$C260,'TL08'!$J$238:$J$451),0),
IF('TL09'!$B$3=Q$3,SUMIF('TL09'!$C$10:$C$224,$C260,'TL09'!$J$10:$J$224),0),
IF('TL09'!$B$229=Q$3,SUMIF('TL09'!$C$238:$C$451,$C260,'TL09'!$J$238:$J$451),0),
IF('TL10'!$B$3=Q$3,SUMIF('TL10'!$C$10:$C$224,$C260,'TL10'!$J$10:$J$224),0),
IF('TL10'!$B$229=Q$3,SUMIF('TL10'!$C$238:$C$451,$C260,'TL10'!$J$238:$J$451),0),
IF('TL11'!$B$3=Q$3,SUMIF('TL11'!$C$10:$C$224,$C260,'TL11'!$J$10:$J$224),0),
IF('TL11'!$B$229=Q$3,SUMIF('TL11'!$C$238:$C$451,$C260,'TL11'!$J$238:$J$451),0),
IF('TL12'!$B$3=Q$3,SUMIF('TL12'!$C$10:$C$224,$C260,'TL12'!$J$10:$J$224),0),
IF('TL12'!$B$229=Q$3,SUMIF('TL12'!$C$238:$C$451,$C260,'TL12'!$J$238:$J$451),0),
IF('TL13'!$B$3=Q$3,SUMIF('TL13'!$C$10:$C$224,$C260,'TL13'!$J$10:$J$224),0),
IF('TL13'!$B$229=Q$3,SUMIF('TL13'!$C$238:$C$451,$C260,'TL13'!$J$238:$J$451),0),
IF('TL14'!$B$3=Q$3,SUMIF('TL14'!$C$10:$C$224,$C260,'TL14'!$J$10:$J$224),0),
IF('TL14'!$B$229=Q$3,SUMIF('TL14'!$C$238:$C$451,$C260,'TL14'!$J$238:$J$451),0),
IF('TL15'!$B$3=Q$3,SUMIF('TL15'!$C$10:$C$224,$C260,'TL15'!$J$10:$J$224),0),
IF('TL15'!$B$229=Q$3,SUMIF('TL15'!$C$238:$C$451,$C260,'TL15'!$J$238:$J$451),0),
IF('TL16'!$B$3=Q$3,SUMIF('TL16'!$C$10:$C$224,$C260,'TL16'!$J$10:$J$224),0),
IF('TL16'!$B$229=Q$3,SUMIF('TL16'!$C$238:$C$451,$C260,'TL16'!$J$238:$J$451),0),
IF('TL17'!$B$3=Q$3,SUMIF('TL17'!$C$10:$C$224,$C260,'TL17'!$J$10:$J$224),0),
IF('TL17'!$B$229=Q$3,SUMIF('TL17'!$C$238:$C$451,$C260,'TL17'!$J$238:$J$451),0),
IF('TL18'!$B$3=Q$3,SUMIF('TL18'!$C$10:$C$224,$C260,'TL18'!$J$10:$J$224),0),
IF('TL18'!$B$229=Q$3,SUMIF('TL18'!$C$238:$C$451,$C260,'TL18'!$J$238:$J$451),0),
IF('TL19'!$B$3=Q$3,SUMIF('TL19'!$C$10:$C$224,$C260,'TL19'!$J$10:$J$224),0),
IF('TL19'!$B$229=Q$3,SUMIF('TL19'!$C$238:$C$451,$C260,'TL19'!$J$238:$J$451),0)
),0)</f>
        <v>0</v>
      </c>
      <c r="R260" s="9">
        <f>IFERROR(
SUM(
SUMIF('TL01'!C:C,C260,'TL01'!J:J),
SUMIF('TL02'!C:C,C260,'TL02'!J:J),
SUMIF('TL03'!C:C,C260,'TL03'!J:J),
SUMIF('TL04'!C:C,C260,'TL04'!J:J),
SUMIF('TL05'!C:C,C260,'TL05'!J:J),
SUMIF('TL06'!C:C,C260,'TL06'!J:J),
SUMIF('TL07'!C:C,C260,'TL07'!J:J),
SUMIF('TL08'!C:C,C260,'TL08'!J:J),
SUMIF('TL09'!C:C,C260,'TL09'!J:J),
SUMIF('TL10'!C:C,C260,'TL10'!J:J),
SUMIF('TL11'!C:C,C260,'TL11'!J:J),
SUMIF('TL12'!C:C,C260,'TL12'!J:J),
SUMIF('TL13'!C:C,C260,'TL13'!J:J),
SUMIF('TL14'!C:C,C260,'TL14'!J:J),
SUMIF('TL15'!C:C,C260,'TL15'!J:J),
SUMIF('TL16'!C:C,C260,'TL16'!J:J),
SUMIF('TL17'!C:C,C260,'TL17'!J:J),
SUMIF('TL18'!C:C,C260,'TL18'!J:J),SUMIF('TL19'!C:C,C260,'TL19'!J:J))
,0)</f>
        <v>0</v>
      </c>
      <c r="S260" s="17">
        <f>IFERROR(__xludf.DUMMYFUNCTION("IFERROR(VLOOKUP(C260,
IMPORTRANGE(""1wULbzX32WdYsx-lj2U3uUNBBe2INVIRDtcK0d-Dvl90"",
""26-27!C:G""),
5,
FALSE),
"""")"),46.61)</f>
        <v>46.61</v>
      </c>
      <c r="T260" s="9"/>
      <c r="U260" s="92">
        <f t="shared" si="2"/>
        <v>0</v>
      </c>
      <c r="V260" s="93">
        <f t="shared" si="3"/>
        <v>0</v>
      </c>
    </row>
    <row r="261" ht="15.75" hidden="1" customHeight="1">
      <c r="A261" s="4" t="s">
        <v>932</v>
      </c>
      <c r="B261" s="125" t="s">
        <v>9</v>
      </c>
      <c r="C261" s="4" t="s">
        <v>951</v>
      </c>
      <c r="D261" s="4" t="s">
        <v>952</v>
      </c>
      <c r="E261" s="9" t="s">
        <v>953</v>
      </c>
      <c r="F261" s="4" t="s">
        <v>343</v>
      </c>
      <c r="G261" s="9"/>
      <c r="H261" s="9">
        <v>0.5</v>
      </c>
      <c r="I261" s="1"/>
      <c r="J261" s="9">
        <f>IFERROR(SUM(
IF('TL01'!$B$3=J$3,SUMIF('TL01'!$C$10:$C$224,$C261,'TL01'!$J$10:$J$224),0),
IF('TL01'!$B$229=J$3,SUMIF('TL01'!$C$238:$C$451,$C261,'TL01'!$J$238:$J$451),0),
IF('TL02'!$B$3=J$3,SUMIF('TL02'!$C$10:$C$224,$C261,'TL02'!$J$10:$J$224),0),
IF('TL02'!$B$229=J$3,SUMIF('TL02'!$C$238:$C$451,$C261,'TL02'!$J$238:$J$451),0),
IF('TL03'!$B$3=J$3,SUMIF('TL03'!$C$10:$C$224,$C261,'TL03'!$J$10:$J$224),0),
IF('TL03'!$B$229=J$3,SUMIF('TL03'!$C$238:$C$451,$C261,'TL03'!$J$238:$J$451),0),
IF('TL04'!$B$3=J$3,SUMIF('TL04'!$C$10:$C$224,$C261,'TL04'!$J$10:$J$224),0),
IF('TL04'!$B$229=J$3,SUMIF('TL04'!$C$238:$C$451,$C261,'TL04'!$J$238:$J$451),0),
IF('TL05'!$B$3=J$3,SUMIF('TL05'!$C$10:$C$224,$C261,'TL05'!$J$10:$J$224),0),
IF('TL05'!$B$229=J$3,SUMIF('TL05'!$C$238:$C$451,$C261,'TL05'!$J$238:$J$451),0),
IF('TL06'!$B$3=J$3,SUMIF('TL06'!$C$10:$C$224,$C261,'TL06'!$J$10:$J$224),0),
IF('TL06'!$B$229=J$3,SUMIF('TL06'!$C$238:$C$451,$C261,'TL06'!$J$238:$J$451),0),
IF('TL07'!$B$3=J$3,SUMIF('TL07'!$C$10:$C$224,$C261,'TL07'!$J$10:$J$224),0),
IF('TL07'!$B$229=J$3,SUMIF('TL07'!$C$238:$C$451,$C261,'TL07'!$J$238:$J$451),0),
IF('TL08'!$B$3=J$3,SUMIF('TL08'!$C$10:$C$224,$C261,'TL08'!$J$10:$J$224),0),
IF('TL08'!$B$229=J$3,SUMIF('TL08'!$C$238:$C$451,$C261,'TL08'!$J$238:$J$451),0),
IF('TL09'!$B$3=J$3,SUMIF('TL09'!$C$10:$C$224,$C261,'TL09'!$J$10:$J$224),0),
IF('TL09'!$B$229=J$3,SUMIF('TL09'!$C$238:$C$451,$C261,'TL09'!$J$238:$J$451),0),
IF('TL10'!$B$3=J$3,SUMIF('TL10'!$C$10:$C$224,$C261,'TL10'!$J$10:$J$224),0),
IF('TL10'!$B$229=J$3,SUMIF('TL10'!$C$238:$C$451,$C261,'TL10'!$J$238:$J$451),0),
IF('TL11'!$B$3=J$3,SUMIF('TL11'!$C$10:$C$224,$C261,'TL11'!$J$10:$J$224),0),
IF('TL11'!$B$229=J$3,SUMIF('TL11'!$C$238:$C$451,$C261,'TL11'!$J$238:$J$451),0),
IF('TL12'!$B$3=J$3,SUMIF('TL12'!$C$10:$C$224,$C261,'TL12'!$J$10:$J$224),0),
IF('TL12'!$B$229=J$3,SUMIF('TL12'!$C$238:$C$451,$C261,'TL12'!$J$238:$J$451),0),
IF('TL13'!$B$3=J$3,SUMIF('TL13'!$C$10:$C$224,$C261,'TL13'!$J$10:$J$224),0),
IF('TL13'!$B$229=J$3,SUMIF('TL13'!$C$238:$C$451,$C261,'TL13'!$J$238:$J$451),0),
IF('TL14'!$B$3=J$3,SUMIF('TL14'!$C$10:$C$224,$C261,'TL14'!$J$10:$J$224),0),
IF('TL14'!$B$229=J$3,SUMIF('TL14'!$C$238:$C$451,$C261,'TL14'!$J$238:$J$451),0),
IF('TL15'!$B$3=J$3,SUMIF('TL15'!$C$10:$C$224,$C261,'TL15'!$J$10:$J$224),0),
IF('TL15'!$B$229=J$3,SUMIF('TL15'!$C$238:$C$451,$C261,'TL15'!$J$238:$J$451),0),
IF('TL16'!$B$3=J$3,SUMIF('TL16'!$C$10:$C$224,$C261,'TL16'!$J$10:$J$224),0),
IF('TL16'!$B$229=J$3,SUMIF('TL16'!$C$238:$C$451,$C261,'TL16'!$J$238:$J$451),0),
IF('TL17'!$B$3=J$3,SUMIF('TL17'!$C$10:$C$224,$C261,'TL17'!$J$10:$J$224),0),
IF('TL17'!$B$229=J$3,SUMIF('TL17'!$C$238:$C$451,$C261,'TL17'!$J$238:$J$451),0),
IF('TL18'!$B$3=J$3,SUMIF('TL18'!$C$10:$C$224,$C261,'TL18'!$J$10:$J$224),0),
IF('TL18'!$B$229=J$3,SUMIF('TL18'!$C$238:$C$451,$C261,'TL18'!$J$238:$J$451),0),
IF('TL19'!$B$3=J$3,SUMIF('TL19'!$C$10:$C$224,$C261,'TL19'!$J$10:$J$224),0),
IF('TL19'!$B$229=J$3,SUMIF('TL19'!$C$238:$C$451,$C261,'TL19'!$J$238:$J$451),0)
),0)</f>
        <v>0</v>
      </c>
      <c r="K261" s="9">
        <f>IFERROR(SUM(
IF('TL01'!$B$3=K$3,SUMIF('TL01'!$C$10:$C$224,$C261,'TL01'!$J$10:$J$224),0),
IF('TL01'!$B$229=K$3,SUMIF('TL01'!$C$238:$C$451,$C261,'TL01'!$J$238:$J$451),0),
IF('TL02'!$B$3=K$3,SUMIF('TL02'!$C$10:$C$224,$C261,'TL02'!$J$10:$J$224),0),
IF('TL02'!$B$229=K$3,SUMIF('TL02'!$C$238:$C$451,$C261,'TL02'!$J$238:$J$451),0),
IF('TL03'!$B$3=K$3,SUMIF('TL03'!$C$10:$C$224,$C261,'TL03'!$J$10:$J$224),0),
IF('TL03'!$B$229=K$3,SUMIF('TL03'!$C$238:$C$451,$C261,'TL03'!$J$238:$J$451),0),
IF('TL04'!$B$3=K$3,SUMIF('TL04'!$C$10:$C$224,$C261,'TL04'!$J$10:$J$224),0),
IF('TL04'!$B$229=K$3,SUMIF('TL04'!$C$238:$C$451,$C261,'TL04'!$J$238:$J$451),0),
IF('TL05'!$B$3=K$3,SUMIF('TL05'!$C$10:$C$224,$C261,'TL05'!$J$10:$J$224),0),
IF('TL05'!$B$229=K$3,SUMIF('TL05'!$C$238:$C$451,$C261,'TL05'!$J$238:$J$451),0),
IF('TL06'!$B$3=K$3,SUMIF('TL06'!$C$10:$C$224,$C261,'TL06'!$J$10:$J$224),0),
IF('TL06'!$B$229=K$3,SUMIF('TL06'!$C$238:$C$451,$C261,'TL06'!$J$238:$J$451),0),
IF('TL07'!$B$3=K$3,SUMIF('TL07'!$C$10:$C$224,$C261,'TL07'!$J$10:$J$224),0),
IF('TL07'!$B$229=K$3,SUMIF('TL07'!$C$238:$C$451,$C261,'TL07'!$J$238:$J$451),0),
IF('TL08'!$B$3=K$3,SUMIF('TL08'!$C$10:$C$224,$C261,'TL08'!$J$10:$J$224),0),
IF('TL08'!$B$229=K$3,SUMIF('TL08'!$C$238:$C$451,$C261,'TL08'!$J$238:$J$451),0),
IF('TL09'!$B$3=K$3,SUMIF('TL09'!$C$10:$C$224,$C261,'TL09'!$J$10:$J$224),0),
IF('TL09'!$B$229=K$3,SUMIF('TL09'!$C$238:$C$451,$C261,'TL09'!$J$238:$J$451),0),
IF('TL10'!$B$3=K$3,SUMIF('TL10'!$C$10:$C$224,$C261,'TL10'!$J$10:$J$224),0),
IF('TL10'!$B$229=K$3,SUMIF('TL10'!$C$238:$C$451,$C261,'TL10'!$J$238:$J$451),0),
IF('TL11'!$B$3=K$3,SUMIF('TL11'!$C$10:$C$224,$C261,'TL11'!$J$10:$J$224),0),
IF('TL11'!$B$229=K$3,SUMIF('TL11'!$C$238:$C$451,$C261,'TL11'!$J$238:$J$451),0),
IF('TL12'!$B$3=K$3,SUMIF('TL12'!$C$10:$C$224,$C261,'TL12'!$J$10:$J$224),0),
IF('TL12'!$B$229=K$3,SUMIF('TL12'!$C$238:$C$451,$C261,'TL12'!$J$238:$J$451),0),
IF('TL13'!$B$3=K$3,SUMIF('TL13'!$C$10:$C$224,$C261,'TL13'!$J$10:$J$224),0),
IF('TL13'!$B$229=K$3,SUMIF('TL13'!$C$238:$C$451,$C261,'TL13'!$J$238:$J$451),0),
IF('TL14'!$B$3=K$3,SUMIF('TL14'!$C$10:$C$224,$C261,'TL14'!$J$10:$J$224),0),
IF('TL14'!$B$229=K$3,SUMIF('TL14'!$C$238:$C$451,$C261,'TL14'!$J$238:$J$451),0),
IF('TL15'!$B$3=K$3,SUMIF('TL15'!$C$10:$C$224,$C261,'TL15'!$J$10:$J$224),0),
IF('TL15'!$B$229=K$3,SUMIF('TL15'!$C$238:$C$451,$C261,'TL15'!$J$238:$J$451),0),
IF('TL16'!$B$3=K$3,SUMIF('TL16'!$C$10:$C$224,$C261,'TL16'!$J$10:$J$224),0),
IF('TL16'!$B$229=K$3,SUMIF('TL16'!$C$238:$C$451,$C261,'TL16'!$J$238:$J$451),0),
IF('TL17'!$B$3=K$3,SUMIF('TL17'!$C$10:$C$224,$C261,'TL17'!$J$10:$J$224),0),
IF('TL17'!$B$229=K$3,SUMIF('TL17'!$C$238:$C$451,$C261,'TL17'!$J$238:$J$451),0),
IF('TL18'!$B$3=K$3,SUMIF('TL18'!$C$10:$C$224,$C261,'TL18'!$J$10:$J$224),0),
IF('TL18'!$B$229=K$3,SUMIF('TL18'!$C$238:$C$451,$C261,'TL18'!$J$238:$J$451),0),
IF('TL19'!$B$3=K$3,SUMIF('TL19'!$C$10:$C$224,$C261,'TL19'!$J$10:$J$224),0),
IF('TL19'!$B$229=K$3,SUMIF('TL19'!$C$238:$C$451,$C261,'TL19'!$J$238:$J$451),0)
),0)</f>
        <v>0</v>
      </c>
      <c r="L261" s="9">
        <f>IFERROR(SUM(
IF('TL01'!$B$3=L$3,SUMIF('TL01'!$C$10:$C$224,$C261,'TL01'!$J$10:$J$224),0),
IF('TL01'!$B$229=L$3,SUMIF('TL01'!$C$238:$C$451,$C261,'TL01'!$J$238:$J$451),0),
IF('TL02'!$B$3=L$3,SUMIF('TL02'!$C$10:$C$224,$C261,'TL02'!$J$10:$J$224),0),
IF('TL02'!$B$229=L$3,SUMIF('TL02'!$C$238:$C$451,$C261,'TL02'!$J$238:$J$451),0),
IF('TL03'!$B$3=L$3,SUMIF('TL03'!$C$10:$C$224,$C261,'TL03'!$J$10:$J$224),0),
IF('TL03'!$B$229=L$3,SUMIF('TL03'!$C$238:$C$451,$C261,'TL03'!$J$238:$J$451),0),
IF('TL04'!$B$3=L$3,SUMIF('TL04'!$C$10:$C$224,$C261,'TL04'!$J$10:$J$224),0),
IF('TL04'!$B$229=L$3,SUMIF('TL04'!$C$238:$C$451,$C261,'TL04'!$J$238:$J$451),0),
IF('TL05'!$B$3=L$3,SUMIF('TL05'!$C$10:$C$224,$C261,'TL05'!$J$10:$J$224),0),
IF('TL05'!$B$229=L$3,SUMIF('TL05'!$C$238:$C$451,$C261,'TL05'!$J$238:$J$451),0),
IF('TL06'!$B$3=L$3,SUMIF('TL06'!$C$10:$C$224,$C261,'TL06'!$J$10:$J$224),0),
IF('TL06'!$B$229=L$3,SUMIF('TL06'!$C$238:$C$451,$C261,'TL06'!$J$238:$J$451),0),
IF('TL07'!$B$3=L$3,SUMIF('TL07'!$C$10:$C$224,$C261,'TL07'!$J$10:$J$224),0),
IF('TL07'!$B$229=L$3,SUMIF('TL07'!$C$238:$C$451,$C261,'TL07'!$J$238:$J$451),0),
IF('TL08'!$B$3=L$3,SUMIF('TL08'!$C$10:$C$224,$C261,'TL08'!$J$10:$J$224),0),
IF('TL08'!$B$229=L$3,SUMIF('TL08'!$C$238:$C$451,$C261,'TL08'!$J$238:$J$451),0),
IF('TL09'!$B$3=L$3,SUMIF('TL09'!$C$10:$C$224,$C261,'TL09'!$J$10:$J$224),0),
IF('TL09'!$B$229=L$3,SUMIF('TL09'!$C$238:$C$451,$C261,'TL09'!$J$238:$J$451),0),
IF('TL10'!$B$3=L$3,SUMIF('TL10'!$C$10:$C$224,$C261,'TL10'!$J$10:$J$224),0),
IF('TL10'!$B$229=L$3,SUMIF('TL10'!$C$238:$C$451,$C261,'TL10'!$J$238:$J$451),0),
IF('TL11'!$B$3=L$3,SUMIF('TL11'!$C$10:$C$224,$C261,'TL11'!$J$10:$J$224),0),
IF('TL11'!$B$229=L$3,SUMIF('TL11'!$C$238:$C$451,$C261,'TL11'!$J$238:$J$451),0),
IF('TL12'!$B$3=L$3,SUMIF('TL12'!$C$10:$C$224,$C261,'TL12'!$J$10:$J$224),0),
IF('TL12'!$B$229=L$3,SUMIF('TL12'!$C$238:$C$451,$C261,'TL12'!$J$238:$J$451),0),
IF('TL13'!$B$3=L$3,SUMIF('TL13'!$C$10:$C$224,$C261,'TL13'!$J$10:$J$224),0),
IF('TL13'!$B$229=L$3,SUMIF('TL13'!$C$238:$C$451,$C261,'TL13'!$J$238:$J$451),0),
IF('TL14'!$B$3=L$3,SUMIF('TL14'!$C$10:$C$224,$C261,'TL14'!$J$10:$J$224),0),
IF('TL14'!$B$229=L$3,SUMIF('TL14'!$C$238:$C$451,$C261,'TL14'!$J$238:$J$451),0),
IF('TL15'!$B$3=L$3,SUMIF('TL15'!$C$10:$C$224,$C261,'TL15'!$J$10:$J$224),0),
IF('TL15'!$B$229=L$3,SUMIF('TL15'!$C$238:$C$451,$C261,'TL15'!$J$238:$J$451),0),
IF('TL16'!$B$3=L$3,SUMIF('TL16'!$C$10:$C$224,$C261,'TL16'!$J$10:$J$224),0),
IF('TL16'!$B$229=L$3,SUMIF('TL16'!$C$238:$C$451,$C261,'TL16'!$J$238:$J$451),0),
IF('TL17'!$B$3=L$3,SUMIF('TL17'!$C$10:$C$224,$C261,'TL17'!$J$10:$J$224),0),
IF('TL17'!$B$229=L$3,SUMIF('TL17'!$C$238:$C$451,$C261,'TL17'!$J$238:$J$451),0),
IF('TL18'!$B$3=L$3,SUMIF('TL18'!$C$10:$C$224,$C261,'TL18'!$J$10:$J$224),0),
IF('TL18'!$B$229=L$3,SUMIF('TL18'!$C$238:$C$451,$C261,'TL18'!$J$238:$J$451),0),
IF('TL19'!$B$3=L$3,SUMIF('TL19'!$C$10:$C$224,$C261,'TL19'!$J$10:$J$224),0),
IF('TL19'!$B$229=L$3,SUMIF('TL19'!$C$238:$C$451,$C261,'TL19'!$J$238:$J$451),0)
),0)</f>
        <v>0</v>
      </c>
      <c r="M261" s="9">
        <f>IFERROR(SUM(
IF('TL01'!$B$3=M$3,SUMIF('TL01'!$C$10:$C$224,$C261,'TL01'!$J$10:$J$224),0),
IF('TL01'!$B$229=M$3,SUMIF('TL01'!$C$238:$C$451,$C261,'TL01'!$J$238:$J$451),0),
IF('TL02'!$B$3=M$3,SUMIF('TL02'!$C$10:$C$224,$C261,'TL02'!$J$10:$J$224),0),
IF('TL02'!$B$229=M$3,SUMIF('TL02'!$C$238:$C$451,$C261,'TL02'!$J$238:$J$451),0),
IF('TL03'!$B$3=M$3,SUMIF('TL03'!$C$10:$C$224,$C261,'TL03'!$J$10:$J$224),0),
IF('TL03'!$B$229=M$3,SUMIF('TL03'!$C$238:$C$451,$C261,'TL03'!$J$238:$J$451),0),
IF('TL04'!$B$3=M$3,SUMIF('TL04'!$C$10:$C$224,$C261,'TL04'!$J$10:$J$224),0),
IF('TL04'!$B$229=M$3,SUMIF('TL04'!$C$238:$C$451,$C261,'TL04'!$J$238:$J$451),0),
IF('TL05'!$B$3=M$3,SUMIF('TL05'!$C$10:$C$224,$C261,'TL05'!$J$10:$J$224),0),
IF('TL05'!$B$229=M$3,SUMIF('TL05'!$C$238:$C$451,$C261,'TL05'!$J$238:$J$451),0),
IF('TL06'!$B$3=M$3,SUMIF('TL06'!$C$10:$C$224,$C261,'TL06'!$J$10:$J$224),0),
IF('TL06'!$B$229=M$3,SUMIF('TL06'!$C$238:$C$451,$C261,'TL06'!$J$238:$J$451),0),
IF('TL07'!$B$3=M$3,SUMIF('TL07'!$C$10:$C$224,$C261,'TL07'!$J$10:$J$224),0),
IF('TL07'!$B$229=M$3,SUMIF('TL07'!$C$238:$C$451,$C261,'TL07'!$J$238:$J$451),0),
IF('TL08'!$B$3=M$3,SUMIF('TL08'!$C$10:$C$224,$C261,'TL08'!$J$10:$J$224),0),
IF('TL08'!$B$229=M$3,SUMIF('TL08'!$C$238:$C$451,$C261,'TL08'!$J$238:$J$451),0),
IF('TL09'!$B$3=M$3,SUMIF('TL09'!$C$10:$C$224,$C261,'TL09'!$J$10:$J$224),0),
IF('TL09'!$B$229=M$3,SUMIF('TL09'!$C$238:$C$451,$C261,'TL09'!$J$238:$J$451),0),
IF('TL10'!$B$3=M$3,SUMIF('TL10'!$C$10:$C$224,$C261,'TL10'!$J$10:$J$224),0),
IF('TL10'!$B$229=M$3,SUMIF('TL10'!$C$238:$C$451,$C261,'TL10'!$J$238:$J$451),0),
IF('TL11'!$B$3=M$3,SUMIF('TL11'!$C$10:$C$224,$C261,'TL11'!$J$10:$J$224),0),
IF('TL11'!$B$229=M$3,SUMIF('TL11'!$C$238:$C$451,$C261,'TL11'!$J$238:$J$451),0),
IF('TL12'!$B$3=M$3,SUMIF('TL12'!$C$10:$C$224,$C261,'TL12'!$J$10:$J$224),0),
IF('TL12'!$B$229=M$3,SUMIF('TL12'!$C$238:$C$451,$C261,'TL12'!$J$238:$J$451),0),
IF('TL13'!$B$3=M$3,SUMIF('TL13'!$C$10:$C$224,$C261,'TL13'!$J$10:$J$224),0),
IF('TL13'!$B$229=M$3,SUMIF('TL13'!$C$238:$C$451,$C261,'TL13'!$J$238:$J$451),0),
IF('TL14'!$B$3=M$3,SUMIF('TL14'!$C$10:$C$224,$C261,'TL14'!$J$10:$J$224),0),
IF('TL14'!$B$229=M$3,SUMIF('TL14'!$C$238:$C$451,$C261,'TL14'!$J$238:$J$451),0),
IF('TL15'!$B$3=M$3,SUMIF('TL15'!$C$10:$C$224,$C261,'TL15'!$J$10:$J$224),0),
IF('TL15'!$B$229=M$3,SUMIF('TL15'!$C$238:$C$451,$C261,'TL15'!$J$238:$J$451),0),
IF('TL16'!$B$3=M$3,SUMIF('TL16'!$C$10:$C$224,$C261,'TL16'!$J$10:$J$224),0),
IF('TL16'!$B$229=M$3,SUMIF('TL16'!$C$238:$C$451,$C261,'TL16'!$J$238:$J$451),0),
IF('TL17'!$B$3=M$3,SUMIF('TL17'!$C$10:$C$224,$C261,'TL17'!$J$10:$J$224),0),
IF('TL17'!$B$229=M$3,SUMIF('TL17'!$C$238:$C$451,$C261,'TL17'!$J$238:$J$451),0),
IF('TL18'!$B$3=M$3,SUMIF('TL18'!$C$10:$C$224,$C261,'TL18'!$J$10:$J$224),0),
IF('TL18'!$B$229=M$3,SUMIF('TL18'!$C$238:$C$451,$C261,'TL18'!$J$238:$J$451),0),
IF('TL19'!$B$3=M$3,SUMIF('TL19'!$C$10:$C$224,$C261,'TL19'!$J$10:$J$224),0),
IF('TL19'!$B$229=M$3,SUMIF('TL19'!$C$238:$C$451,$C261,'TL19'!$J$238:$J$451),0)
),0)</f>
        <v>0</v>
      </c>
      <c r="N261" s="9">
        <f>IFERROR(SUM(
IF('TL01'!$B$3=N$3,SUMIF('TL01'!$C$10:$C$224,$C261,'TL01'!$J$10:$J$224),0),
IF('TL01'!$B$229=N$3,SUMIF('TL01'!$C$238:$C$451,$C261,'TL01'!$J$238:$J$451),0),
IF('TL02'!$B$3=N$3,SUMIF('TL02'!$C$10:$C$224,$C261,'TL02'!$J$10:$J$224),0),
IF('TL02'!$B$229=N$3,SUMIF('TL02'!$C$238:$C$451,$C261,'TL02'!$J$238:$J$451),0),
IF('TL03'!$B$3=N$3,SUMIF('TL03'!$C$10:$C$224,$C261,'TL03'!$J$10:$J$224),0),
IF('TL03'!$B$229=N$3,SUMIF('TL03'!$C$238:$C$451,$C261,'TL03'!$J$238:$J$451),0),
IF('TL04'!$B$3=N$3,SUMIF('TL04'!$C$10:$C$224,$C261,'TL04'!$J$10:$J$224),0),
IF('TL04'!$B$229=N$3,SUMIF('TL04'!$C$238:$C$451,$C261,'TL04'!$J$238:$J$451),0),
IF('TL05'!$B$3=N$3,SUMIF('TL05'!$C$10:$C$224,$C261,'TL05'!$J$10:$J$224),0),
IF('TL05'!$B$229=N$3,SUMIF('TL05'!$C$238:$C$451,$C261,'TL05'!$J$238:$J$451),0),
IF('TL06'!$B$3=N$3,SUMIF('TL06'!$C$10:$C$224,$C261,'TL06'!$J$10:$J$224),0),
IF('TL06'!$B$229=N$3,SUMIF('TL06'!$C$238:$C$451,$C261,'TL06'!$J$238:$J$451),0),
IF('TL07'!$B$3=N$3,SUMIF('TL07'!$C$10:$C$224,$C261,'TL07'!$J$10:$J$224),0),
IF('TL07'!$B$229=N$3,SUMIF('TL07'!$C$238:$C$451,$C261,'TL07'!$J$238:$J$451),0),
IF('TL08'!$B$3=N$3,SUMIF('TL08'!$C$10:$C$224,$C261,'TL08'!$J$10:$J$224),0),
IF('TL08'!$B$229=N$3,SUMIF('TL08'!$C$238:$C$451,$C261,'TL08'!$J$238:$J$451),0),
IF('TL09'!$B$3=N$3,SUMIF('TL09'!$C$10:$C$224,$C261,'TL09'!$J$10:$J$224),0),
IF('TL09'!$B$229=N$3,SUMIF('TL09'!$C$238:$C$451,$C261,'TL09'!$J$238:$J$451),0),
IF('TL10'!$B$3=N$3,SUMIF('TL10'!$C$10:$C$224,$C261,'TL10'!$J$10:$J$224),0),
IF('TL10'!$B$229=N$3,SUMIF('TL10'!$C$238:$C$451,$C261,'TL10'!$J$238:$J$451),0),
IF('TL11'!$B$3=N$3,SUMIF('TL11'!$C$10:$C$224,$C261,'TL11'!$J$10:$J$224),0),
IF('TL11'!$B$229=N$3,SUMIF('TL11'!$C$238:$C$451,$C261,'TL11'!$J$238:$J$451),0),
IF('TL12'!$B$3=N$3,SUMIF('TL12'!$C$10:$C$224,$C261,'TL12'!$J$10:$J$224),0),
IF('TL12'!$B$229=N$3,SUMIF('TL12'!$C$238:$C$451,$C261,'TL12'!$J$238:$J$451),0),
IF('TL13'!$B$3=N$3,SUMIF('TL13'!$C$10:$C$224,$C261,'TL13'!$J$10:$J$224),0),
IF('TL13'!$B$229=N$3,SUMIF('TL13'!$C$238:$C$451,$C261,'TL13'!$J$238:$J$451),0),
IF('TL14'!$B$3=N$3,SUMIF('TL14'!$C$10:$C$224,$C261,'TL14'!$J$10:$J$224),0),
IF('TL14'!$B$229=N$3,SUMIF('TL14'!$C$238:$C$451,$C261,'TL14'!$J$238:$J$451),0),
IF('TL15'!$B$3=N$3,SUMIF('TL15'!$C$10:$C$224,$C261,'TL15'!$J$10:$J$224),0),
IF('TL15'!$B$229=N$3,SUMIF('TL15'!$C$238:$C$451,$C261,'TL15'!$J$238:$J$451),0),
IF('TL16'!$B$3=N$3,SUMIF('TL16'!$C$10:$C$224,$C261,'TL16'!$J$10:$J$224),0),
IF('TL16'!$B$229=N$3,SUMIF('TL16'!$C$238:$C$451,$C261,'TL16'!$J$238:$J$451),0),
IF('TL17'!$B$3=N$3,SUMIF('TL17'!$C$10:$C$224,$C261,'TL17'!$J$10:$J$224),0),
IF('TL17'!$B$229=N$3,SUMIF('TL17'!$C$238:$C$451,$C261,'TL17'!$J$238:$J$451),0),
IF('TL18'!$B$3=N$3,SUMIF('TL18'!$C$10:$C$224,$C261,'TL18'!$J$10:$J$224),0),
IF('TL18'!$B$229=N$3,SUMIF('TL18'!$C$238:$C$451,$C261,'TL18'!$J$238:$J$451),0),
IF('TL19'!$B$3=N$3,SUMIF('TL19'!$C$10:$C$224,$C261,'TL19'!$J$10:$J$224),0),
IF('TL19'!$B$229=N$3,SUMIF('TL19'!$C$238:$C$451,$C261,'TL19'!$J$238:$J$451),0)
),0)</f>
        <v>0</v>
      </c>
      <c r="O261" s="9">
        <f>IFERROR(SUM(
IF('TL01'!$B$3=O$3,SUMIF('TL01'!$C$10:$C$224,$C261,'TL01'!$J$10:$J$224),0),
IF('TL01'!$B$229=O$3,SUMIF('TL01'!$C$238:$C$451,$C261,'TL01'!$J$238:$J$451),0),
IF('TL02'!$B$3=O$3,SUMIF('TL02'!$C$10:$C$224,$C261,'TL02'!$J$10:$J$224),0),
IF('TL02'!$B$229=O$3,SUMIF('TL02'!$C$238:$C$451,$C261,'TL02'!$J$238:$J$451),0),
IF('TL03'!$B$3=O$3,SUMIF('TL03'!$C$10:$C$224,$C261,'TL03'!$J$10:$J$224),0),
IF('TL03'!$B$229=O$3,SUMIF('TL03'!$C$238:$C$451,$C261,'TL03'!$J$238:$J$451),0),
IF('TL04'!$B$3=O$3,SUMIF('TL04'!$C$10:$C$224,$C261,'TL04'!$J$10:$J$224),0),
IF('TL04'!$B$229=O$3,SUMIF('TL04'!$C$238:$C$451,$C261,'TL04'!$J$238:$J$451),0),
IF('TL05'!$B$3=O$3,SUMIF('TL05'!$C$10:$C$224,$C261,'TL05'!$J$10:$J$224),0),
IF('TL05'!$B$229=O$3,SUMIF('TL05'!$C$238:$C$451,$C261,'TL05'!$J$238:$J$451),0),
IF('TL06'!$B$3=O$3,SUMIF('TL06'!$C$10:$C$224,$C261,'TL06'!$J$10:$J$224),0),
IF('TL06'!$B$229=O$3,SUMIF('TL06'!$C$238:$C$451,$C261,'TL06'!$J$238:$J$451),0),
IF('TL07'!$B$3=O$3,SUMIF('TL07'!$C$10:$C$224,$C261,'TL07'!$J$10:$J$224),0),
IF('TL07'!$B$229=O$3,SUMIF('TL07'!$C$238:$C$451,$C261,'TL07'!$J$238:$J$451),0),
IF('TL08'!$B$3=O$3,SUMIF('TL08'!$C$10:$C$224,$C261,'TL08'!$J$10:$J$224),0),
IF('TL08'!$B$229=O$3,SUMIF('TL08'!$C$238:$C$451,$C261,'TL08'!$J$238:$J$451),0),
IF('TL09'!$B$3=O$3,SUMIF('TL09'!$C$10:$C$224,$C261,'TL09'!$J$10:$J$224),0),
IF('TL09'!$B$229=O$3,SUMIF('TL09'!$C$238:$C$451,$C261,'TL09'!$J$238:$J$451),0),
IF('TL10'!$B$3=O$3,SUMIF('TL10'!$C$10:$C$224,$C261,'TL10'!$J$10:$J$224),0),
IF('TL10'!$B$229=O$3,SUMIF('TL10'!$C$238:$C$451,$C261,'TL10'!$J$238:$J$451),0),
IF('TL11'!$B$3=O$3,SUMIF('TL11'!$C$10:$C$224,$C261,'TL11'!$J$10:$J$224),0),
IF('TL11'!$B$229=O$3,SUMIF('TL11'!$C$238:$C$451,$C261,'TL11'!$J$238:$J$451),0),
IF('TL12'!$B$3=O$3,SUMIF('TL12'!$C$10:$C$224,$C261,'TL12'!$J$10:$J$224),0),
IF('TL12'!$B$229=O$3,SUMIF('TL12'!$C$238:$C$451,$C261,'TL12'!$J$238:$J$451),0),
IF('TL13'!$B$3=O$3,SUMIF('TL13'!$C$10:$C$224,$C261,'TL13'!$J$10:$J$224),0),
IF('TL13'!$B$229=O$3,SUMIF('TL13'!$C$238:$C$451,$C261,'TL13'!$J$238:$J$451),0),
IF('TL14'!$B$3=O$3,SUMIF('TL14'!$C$10:$C$224,$C261,'TL14'!$J$10:$J$224),0),
IF('TL14'!$B$229=O$3,SUMIF('TL14'!$C$238:$C$451,$C261,'TL14'!$J$238:$J$451),0),
IF('TL15'!$B$3=O$3,SUMIF('TL15'!$C$10:$C$224,$C261,'TL15'!$J$10:$J$224),0),
IF('TL15'!$B$229=O$3,SUMIF('TL15'!$C$238:$C$451,$C261,'TL15'!$J$238:$J$451),0),
IF('TL16'!$B$3=O$3,SUMIF('TL16'!$C$10:$C$224,$C261,'TL16'!$J$10:$J$224),0),
IF('TL16'!$B$229=O$3,SUMIF('TL16'!$C$238:$C$451,$C261,'TL16'!$J$238:$J$451),0),
IF('TL17'!$B$3=O$3,SUMIF('TL17'!$C$10:$C$224,$C261,'TL17'!$J$10:$J$224),0),
IF('TL17'!$B$229=O$3,SUMIF('TL17'!$C$238:$C$451,$C261,'TL17'!$J$238:$J$451),0),
IF('TL18'!$B$3=O$3,SUMIF('TL18'!$C$10:$C$224,$C261,'TL18'!$J$10:$J$224),0),
IF('TL18'!$B$229=O$3,SUMIF('TL18'!$C$238:$C$451,$C261,'TL18'!$J$238:$J$451),0),
IF('TL19'!$B$3=O$3,SUMIF('TL19'!$C$10:$C$224,$C261,'TL19'!$J$10:$J$224),0),
IF('TL19'!$B$229=O$3,SUMIF('TL19'!$C$238:$C$451,$C261,'TL19'!$J$238:$J$451),0)
),0)</f>
        <v>0</v>
      </c>
      <c r="P261" s="9">
        <f>IFERROR(SUM(
IF('TL01'!$B$3=P$3,SUMIF('TL01'!$C$10:$C$224,$C261,'TL01'!$J$10:$J$224),0),
IF('TL01'!$B$229=P$3,SUMIF('TL01'!$C$238:$C$451,$C261,'TL01'!$J$238:$J$451),0),
IF('TL02'!$B$3=P$3,SUMIF('TL02'!$C$10:$C$224,$C261,'TL02'!$J$10:$J$224),0),
IF('TL02'!$B$229=P$3,SUMIF('TL02'!$C$238:$C$451,$C261,'TL02'!$J$238:$J$451),0),
IF('TL03'!$B$3=P$3,SUMIF('TL03'!$C$10:$C$224,$C261,'TL03'!$J$10:$J$224),0),
IF('TL03'!$B$229=P$3,SUMIF('TL03'!$C$238:$C$451,$C261,'TL03'!$J$238:$J$451),0),
IF('TL04'!$B$3=P$3,SUMIF('TL04'!$C$10:$C$224,$C261,'TL04'!$J$10:$J$224),0),
IF('TL04'!$B$229=P$3,SUMIF('TL04'!$C$238:$C$451,$C261,'TL04'!$J$238:$J$451),0),
IF('TL05'!$B$3=P$3,SUMIF('TL05'!$C$10:$C$224,$C261,'TL05'!$J$10:$J$224),0),
IF('TL05'!$B$229=P$3,SUMIF('TL05'!$C$238:$C$451,$C261,'TL05'!$J$238:$J$451),0),
IF('TL06'!$B$3=P$3,SUMIF('TL06'!$C$10:$C$224,$C261,'TL06'!$J$10:$J$224),0),
IF('TL06'!$B$229=P$3,SUMIF('TL06'!$C$238:$C$451,$C261,'TL06'!$J$238:$J$451),0),
IF('TL07'!$B$3=P$3,SUMIF('TL07'!$C$10:$C$224,$C261,'TL07'!$J$10:$J$224),0),
IF('TL07'!$B$229=P$3,SUMIF('TL07'!$C$238:$C$451,$C261,'TL07'!$J$238:$J$451),0),
IF('TL08'!$B$3=P$3,SUMIF('TL08'!$C$10:$C$224,$C261,'TL08'!$J$10:$J$224),0),
IF('TL08'!$B$229=P$3,SUMIF('TL08'!$C$238:$C$451,$C261,'TL08'!$J$238:$J$451),0),
IF('TL09'!$B$3=P$3,SUMIF('TL09'!$C$10:$C$224,$C261,'TL09'!$J$10:$J$224),0),
IF('TL09'!$B$229=P$3,SUMIF('TL09'!$C$238:$C$451,$C261,'TL09'!$J$238:$J$451),0),
IF('TL10'!$B$3=P$3,SUMIF('TL10'!$C$10:$C$224,$C261,'TL10'!$J$10:$J$224),0),
IF('TL10'!$B$229=P$3,SUMIF('TL10'!$C$238:$C$451,$C261,'TL10'!$J$238:$J$451),0),
IF('TL11'!$B$3=P$3,SUMIF('TL11'!$C$10:$C$224,$C261,'TL11'!$J$10:$J$224),0),
IF('TL11'!$B$229=P$3,SUMIF('TL11'!$C$238:$C$451,$C261,'TL11'!$J$238:$J$451),0),
IF('TL12'!$B$3=P$3,SUMIF('TL12'!$C$10:$C$224,$C261,'TL12'!$J$10:$J$224),0),
IF('TL12'!$B$229=P$3,SUMIF('TL12'!$C$238:$C$451,$C261,'TL12'!$J$238:$J$451),0),
IF('TL13'!$B$3=P$3,SUMIF('TL13'!$C$10:$C$224,$C261,'TL13'!$J$10:$J$224),0),
IF('TL13'!$B$229=P$3,SUMIF('TL13'!$C$238:$C$451,$C261,'TL13'!$J$238:$J$451),0),
IF('TL14'!$B$3=P$3,SUMIF('TL14'!$C$10:$C$224,$C261,'TL14'!$J$10:$J$224),0),
IF('TL14'!$B$229=P$3,SUMIF('TL14'!$C$238:$C$451,$C261,'TL14'!$J$238:$J$451),0),
IF('TL15'!$B$3=P$3,SUMIF('TL15'!$C$10:$C$224,$C261,'TL15'!$J$10:$J$224),0),
IF('TL15'!$B$229=P$3,SUMIF('TL15'!$C$238:$C$451,$C261,'TL15'!$J$238:$J$451),0),
IF('TL16'!$B$3=P$3,SUMIF('TL16'!$C$10:$C$224,$C261,'TL16'!$J$10:$J$224),0),
IF('TL16'!$B$229=P$3,SUMIF('TL16'!$C$238:$C$451,$C261,'TL16'!$J$238:$J$451),0),
IF('TL17'!$B$3=P$3,SUMIF('TL17'!$C$10:$C$224,$C261,'TL17'!$J$10:$J$224),0),
IF('TL17'!$B$229=P$3,SUMIF('TL17'!$C$238:$C$451,$C261,'TL17'!$J$238:$J$451),0),
IF('TL18'!$B$3=P$3,SUMIF('TL18'!$C$10:$C$224,$C261,'TL18'!$J$10:$J$224),0),
IF('TL18'!$B$229=P$3,SUMIF('TL18'!$C$238:$C$451,$C261,'TL18'!$J$238:$J$451),0),
IF('TL19'!$B$3=P$3,SUMIF('TL19'!$C$10:$C$224,$C261,'TL19'!$J$10:$J$224),0),
IF('TL19'!$B$229=P$3,SUMIF('TL19'!$C$238:$C$451,$C261,'TL19'!$J$238:$J$451),0)
),0)</f>
        <v>243</v>
      </c>
      <c r="Q261" s="9">
        <f>IFERROR(SUM(
IF('TL01'!$B$3=Q$3,SUMIF('TL01'!$C$10:$C$224,$C261,'TL01'!$J$10:$J$224),0),
IF('TL01'!$B$229=Q$3,SUMIF('TL01'!$C$238:$C$451,$C261,'TL01'!$J$238:$J$451),0),
IF('TL02'!$B$3=Q$3,SUMIF('TL02'!$C$10:$C$224,$C261,'TL02'!$J$10:$J$224),0),
IF('TL02'!$B$229=Q$3,SUMIF('TL02'!$C$238:$C$451,$C261,'TL02'!$J$238:$J$451),0),
IF('TL03'!$B$3=Q$3,SUMIF('TL03'!$C$10:$C$224,$C261,'TL03'!$J$10:$J$224),0),
IF('TL03'!$B$229=Q$3,SUMIF('TL03'!$C$238:$C$451,$C261,'TL03'!$J$238:$J$451),0),
IF('TL04'!$B$3=Q$3,SUMIF('TL04'!$C$10:$C$224,$C261,'TL04'!$J$10:$J$224),0),
IF('TL04'!$B$229=Q$3,SUMIF('TL04'!$C$238:$C$451,$C261,'TL04'!$J$238:$J$451),0),
IF('TL05'!$B$3=Q$3,SUMIF('TL05'!$C$10:$C$224,$C261,'TL05'!$J$10:$J$224),0),
IF('TL05'!$B$229=Q$3,SUMIF('TL05'!$C$238:$C$451,$C261,'TL05'!$J$238:$J$451),0),
IF('TL06'!$B$3=Q$3,SUMIF('TL06'!$C$10:$C$224,$C261,'TL06'!$J$10:$J$224),0),
IF('TL06'!$B$229=Q$3,SUMIF('TL06'!$C$238:$C$451,$C261,'TL06'!$J$238:$J$451),0),
IF('TL07'!$B$3=Q$3,SUMIF('TL07'!$C$10:$C$224,$C261,'TL07'!$J$10:$J$224),0),
IF('TL07'!$B$229=Q$3,SUMIF('TL07'!$C$238:$C$451,$C261,'TL07'!$J$238:$J$451),0),
IF('TL08'!$B$3=Q$3,SUMIF('TL08'!$C$10:$C$224,$C261,'TL08'!$J$10:$J$224),0),
IF('TL08'!$B$229=Q$3,SUMIF('TL08'!$C$238:$C$451,$C261,'TL08'!$J$238:$J$451),0),
IF('TL09'!$B$3=Q$3,SUMIF('TL09'!$C$10:$C$224,$C261,'TL09'!$J$10:$J$224),0),
IF('TL09'!$B$229=Q$3,SUMIF('TL09'!$C$238:$C$451,$C261,'TL09'!$J$238:$J$451),0),
IF('TL10'!$B$3=Q$3,SUMIF('TL10'!$C$10:$C$224,$C261,'TL10'!$J$10:$J$224),0),
IF('TL10'!$B$229=Q$3,SUMIF('TL10'!$C$238:$C$451,$C261,'TL10'!$J$238:$J$451),0),
IF('TL11'!$B$3=Q$3,SUMIF('TL11'!$C$10:$C$224,$C261,'TL11'!$J$10:$J$224),0),
IF('TL11'!$B$229=Q$3,SUMIF('TL11'!$C$238:$C$451,$C261,'TL11'!$J$238:$J$451),0),
IF('TL12'!$B$3=Q$3,SUMIF('TL12'!$C$10:$C$224,$C261,'TL12'!$J$10:$J$224),0),
IF('TL12'!$B$229=Q$3,SUMIF('TL12'!$C$238:$C$451,$C261,'TL12'!$J$238:$J$451),0),
IF('TL13'!$B$3=Q$3,SUMIF('TL13'!$C$10:$C$224,$C261,'TL13'!$J$10:$J$224),0),
IF('TL13'!$B$229=Q$3,SUMIF('TL13'!$C$238:$C$451,$C261,'TL13'!$J$238:$J$451),0),
IF('TL14'!$B$3=Q$3,SUMIF('TL14'!$C$10:$C$224,$C261,'TL14'!$J$10:$J$224),0),
IF('TL14'!$B$229=Q$3,SUMIF('TL14'!$C$238:$C$451,$C261,'TL14'!$J$238:$J$451),0),
IF('TL15'!$B$3=Q$3,SUMIF('TL15'!$C$10:$C$224,$C261,'TL15'!$J$10:$J$224),0),
IF('TL15'!$B$229=Q$3,SUMIF('TL15'!$C$238:$C$451,$C261,'TL15'!$J$238:$J$451),0),
IF('TL16'!$B$3=Q$3,SUMIF('TL16'!$C$10:$C$224,$C261,'TL16'!$J$10:$J$224),0),
IF('TL16'!$B$229=Q$3,SUMIF('TL16'!$C$238:$C$451,$C261,'TL16'!$J$238:$J$451),0),
IF('TL17'!$B$3=Q$3,SUMIF('TL17'!$C$10:$C$224,$C261,'TL17'!$J$10:$J$224),0),
IF('TL17'!$B$229=Q$3,SUMIF('TL17'!$C$238:$C$451,$C261,'TL17'!$J$238:$J$451),0),
IF('TL18'!$B$3=Q$3,SUMIF('TL18'!$C$10:$C$224,$C261,'TL18'!$J$10:$J$224),0),
IF('TL18'!$B$229=Q$3,SUMIF('TL18'!$C$238:$C$451,$C261,'TL18'!$J$238:$J$451),0),
IF('TL19'!$B$3=Q$3,SUMIF('TL19'!$C$10:$C$224,$C261,'TL19'!$J$10:$J$224),0),
IF('TL19'!$B$229=Q$3,SUMIF('TL19'!$C$238:$C$451,$C261,'TL19'!$J$238:$J$451),0)
),0)</f>
        <v>0</v>
      </c>
      <c r="R261" s="9">
        <f>IFERROR(
SUM(
SUMIF('TL01'!C:C,C261,'TL01'!J:J),
SUMIF('TL02'!C:C,C261,'TL02'!J:J),
SUMIF('TL03'!C:C,C261,'TL03'!J:J),
SUMIF('TL04'!C:C,C261,'TL04'!J:J),
SUMIF('TL05'!C:C,C261,'TL05'!J:J),
SUMIF('TL06'!C:C,C261,'TL06'!J:J),
SUMIF('TL07'!C:C,C261,'TL07'!J:J),
SUMIF('TL08'!C:C,C261,'TL08'!J:J),
SUMIF('TL09'!C:C,C261,'TL09'!J:J),
SUMIF('TL10'!C:C,C261,'TL10'!J:J),
SUMIF('TL11'!C:C,C261,'TL11'!J:J),
SUMIF('TL12'!C:C,C261,'TL12'!J:J),
SUMIF('TL13'!C:C,C261,'TL13'!J:J),
SUMIF('TL14'!C:C,C261,'TL14'!J:J),
SUMIF('TL15'!C:C,C261,'TL15'!J:J),
SUMIF('TL16'!C:C,C261,'TL16'!J:J),
SUMIF('TL17'!C:C,C261,'TL17'!J:J),
SUMIF('TL18'!C:C,C261,'TL18'!J:J),SUMIF('TL19'!C:C,C261,'TL19'!J:J))
,0)</f>
        <v>243</v>
      </c>
      <c r="S261" s="17">
        <f>IFERROR(__xludf.DUMMYFUNCTION("IFERROR(VLOOKUP(C261,
IMPORTRANGE(""1wULbzX32WdYsx-lj2U3uUNBBe2INVIRDtcK0d-Dvl90"",
""26-27!C:G""),
5,
FALSE),
"""")"),49.21)</f>
        <v>49.21</v>
      </c>
      <c r="T261" s="9"/>
      <c r="U261" s="92">
        <f t="shared" si="2"/>
        <v>243</v>
      </c>
      <c r="V261" s="93">
        <f t="shared" si="3"/>
        <v>11958.03</v>
      </c>
    </row>
    <row r="262" ht="15.75" hidden="1" customHeight="1">
      <c r="A262" s="4" t="s">
        <v>932</v>
      </c>
      <c r="B262" s="125" t="s">
        <v>9</v>
      </c>
      <c r="C262" s="4" t="s">
        <v>954</v>
      </c>
      <c r="D262" s="6"/>
      <c r="E262" s="9"/>
      <c r="F262" s="4" t="s">
        <v>343</v>
      </c>
      <c r="G262" s="9"/>
      <c r="H262" s="9">
        <v>2.0</v>
      </c>
      <c r="I262" s="1"/>
      <c r="J262" s="9">
        <f>IFERROR(SUM(
IF('TL01'!$B$3=J$3,SUMIF('TL01'!$C$10:$C$224,$C262,'TL01'!$J$10:$J$224),0),
IF('TL01'!$B$229=J$3,SUMIF('TL01'!$C$238:$C$451,$C262,'TL01'!$J$238:$J$451),0),
IF('TL02'!$B$3=J$3,SUMIF('TL02'!$C$10:$C$224,$C262,'TL02'!$J$10:$J$224),0),
IF('TL02'!$B$229=J$3,SUMIF('TL02'!$C$238:$C$451,$C262,'TL02'!$J$238:$J$451),0),
IF('TL03'!$B$3=J$3,SUMIF('TL03'!$C$10:$C$224,$C262,'TL03'!$J$10:$J$224),0),
IF('TL03'!$B$229=J$3,SUMIF('TL03'!$C$238:$C$451,$C262,'TL03'!$J$238:$J$451),0),
IF('TL04'!$B$3=J$3,SUMIF('TL04'!$C$10:$C$224,$C262,'TL04'!$J$10:$J$224),0),
IF('TL04'!$B$229=J$3,SUMIF('TL04'!$C$238:$C$451,$C262,'TL04'!$J$238:$J$451),0),
IF('TL05'!$B$3=J$3,SUMIF('TL05'!$C$10:$C$224,$C262,'TL05'!$J$10:$J$224),0),
IF('TL05'!$B$229=J$3,SUMIF('TL05'!$C$238:$C$451,$C262,'TL05'!$J$238:$J$451),0),
IF('TL06'!$B$3=J$3,SUMIF('TL06'!$C$10:$C$224,$C262,'TL06'!$J$10:$J$224),0),
IF('TL06'!$B$229=J$3,SUMIF('TL06'!$C$238:$C$451,$C262,'TL06'!$J$238:$J$451),0),
IF('TL07'!$B$3=J$3,SUMIF('TL07'!$C$10:$C$224,$C262,'TL07'!$J$10:$J$224),0),
IF('TL07'!$B$229=J$3,SUMIF('TL07'!$C$238:$C$451,$C262,'TL07'!$J$238:$J$451),0),
IF('TL08'!$B$3=J$3,SUMIF('TL08'!$C$10:$C$224,$C262,'TL08'!$J$10:$J$224),0),
IF('TL08'!$B$229=J$3,SUMIF('TL08'!$C$238:$C$451,$C262,'TL08'!$J$238:$J$451),0),
IF('TL09'!$B$3=J$3,SUMIF('TL09'!$C$10:$C$224,$C262,'TL09'!$J$10:$J$224),0),
IF('TL09'!$B$229=J$3,SUMIF('TL09'!$C$238:$C$451,$C262,'TL09'!$J$238:$J$451),0),
IF('TL10'!$B$3=J$3,SUMIF('TL10'!$C$10:$C$224,$C262,'TL10'!$J$10:$J$224),0),
IF('TL10'!$B$229=J$3,SUMIF('TL10'!$C$238:$C$451,$C262,'TL10'!$J$238:$J$451),0),
IF('TL11'!$B$3=J$3,SUMIF('TL11'!$C$10:$C$224,$C262,'TL11'!$J$10:$J$224),0),
IF('TL11'!$B$229=J$3,SUMIF('TL11'!$C$238:$C$451,$C262,'TL11'!$J$238:$J$451),0),
IF('TL12'!$B$3=J$3,SUMIF('TL12'!$C$10:$C$224,$C262,'TL12'!$J$10:$J$224),0),
IF('TL12'!$B$229=J$3,SUMIF('TL12'!$C$238:$C$451,$C262,'TL12'!$J$238:$J$451),0),
IF('TL13'!$B$3=J$3,SUMIF('TL13'!$C$10:$C$224,$C262,'TL13'!$J$10:$J$224),0),
IF('TL13'!$B$229=J$3,SUMIF('TL13'!$C$238:$C$451,$C262,'TL13'!$J$238:$J$451),0),
IF('TL14'!$B$3=J$3,SUMIF('TL14'!$C$10:$C$224,$C262,'TL14'!$J$10:$J$224),0),
IF('TL14'!$B$229=J$3,SUMIF('TL14'!$C$238:$C$451,$C262,'TL14'!$J$238:$J$451),0),
IF('TL15'!$B$3=J$3,SUMIF('TL15'!$C$10:$C$224,$C262,'TL15'!$J$10:$J$224),0),
IF('TL15'!$B$229=J$3,SUMIF('TL15'!$C$238:$C$451,$C262,'TL15'!$J$238:$J$451),0),
IF('TL16'!$B$3=J$3,SUMIF('TL16'!$C$10:$C$224,$C262,'TL16'!$J$10:$J$224),0),
IF('TL16'!$B$229=J$3,SUMIF('TL16'!$C$238:$C$451,$C262,'TL16'!$J$238:$J$451),0),
IF('TL17'!$B$3=J$3,SUMIF('TL17'!$C$10:$C$224,$C262,'TL17'!$J$10:$J$224),0),
IF('TL17'!$B$229=J$3,SUMIF('TL17'!$C$238:$C$451,$C262,'TL17'!$J$238:$J$451),0),
IF('TL18'!$B$3=J$3,SUMIF('TL18'!$C$10:$C$224,$C262,'TL18'!$J$10:$J$224),0),
IF('TL18'!$B$229=J$3,SUMIF('TL18'!$C$238:$C$451,$C262,'TL18'!$J$238:$J$451),0),
IF('TL19'!$B$3=J$3,SUMIF('TL19'!$C$10:$C$224,$C262,'TL19'!$J$10:$J$224),0),
IF('TL19'!$B$229=J$3,SUMIF('TL19'!$C$238:$C$451,$C262,'TL19'!$J$238:$J$451),0)
),0)</f>
        <v>0</v>
      </c>
      <c r="K262" s="9">
        <f>IFERROR(SUM(
IF('TL01'!$B$3=K$3,SUMIF('TL01'!$C$10:$C$224,$C262,'TL01'!$J$10:$J$224),0),
IF('TL01'!$B$229=K$3,SUMIF('TL01'!$C$238:$C$451,$C262,'TL01'!$J$238:$J$451),0),
IF('TL02'!$B$3=K$3,SUMIF('TL02'!$C$10:$C$224,$C262,'TL02'!$J$10:$J$224),0),
IF('TL02'!$B$229=K$3,SUMIF('TL02'!$C$238:$C$451,$C262,'TL02'!$J$238:$J$451),0),
IF('TL03'!$B$3=K$3,SUMIF('TL03'!$C$10:$C$224,$C262,'TL03'!$J$10:$J$224),0),
IF('TL03'!$B$229=K$3,SUMIF('TL03'!$C$238:$C$451,$C262,'TL03'!$J$238:$J$451),0),
IF('TL04'!$B$3=K$3,SUMIF('TL04'!$C$10:$C$224,$C262,'TL04'!$J$10:$J$224),0),
IF('TL04'!$B$229=K$3,SUMIF('TL04'!$C$238:$C$451,$C262,'TL04'!$J$238:$J$451),0),
IF('TL05'!$B$3=K$3,SUMIF('TL05'!$C$10:$C$224,$C262,'TL05'!$J$10:$J$224),0),
IF('TL05'!$B$229=K$3,SUMIF('TL05'!$C$238:$C$451,$C262,'TL05'!$J$238:$J$451),0),
IF('TL06'!$B$3=K$3,SUMIF('TL06'!$C$10:$C$224,$C262,'TL06'!$J$10:$J$224),0),
IF('TL06'!$B$229=K$3,SUMIF('TL06'!$C$238:$C$451,$C262,'TL06'!$J$238:$J$451),0),
IF('TL07'!$B$3=K$3,SUMIF('TL07'!$C$10:$C$224,$C262,'TL07'!$J$10:$J$224),0),
IF('TL07'!$B$229=K$3,SUMIF('TL07'!$C$238:$C$451,$C262,'TL07'!$J$238:$J$451),0),
IF('TL08'!$B$3=K$3,SUMIF('TL08'!$C$10:$C$224,$C262,'TL08'!$J$10:$J$224),0),
IF('TL08'!$B$229=K$3,SUMIF('TL08'!$C$238:$C$451,$C262,'TL08'!$J$238:$J$451),0),
IF('TL09'!$B$3=K$3,SUMIF('TL09'!$C$10:$C$224,$C262,'TL09'!$J$10:$J$224),0),
IF('TL09'!$B$229=K$3,SUMIF('TL09'!$C$238:$C$451,$C262,'TL09'!$J$238:$J$451),0),
IF('TL10'!$B$3=K$3,SUMIF('TL10'!$C$10:$C$224,$C262,'TL10'!$J$10:$J$224),0),
IF('TL10'!$B$229=K$3,SUMIF('TL10'!$C$238:$C$451,$C262,'TL10'!$J$238:$J$451),0),
IF('TL11'!$B$3=K$3,SUMIF('TL11'!$C$10:$C$224,$C262,'TL11'!$J$10:$J$224),0),
IF('TL11'!$B$229=K$3,SUMIF('TL11'!$C$238:$C$451,$C262,'TL11'!$J$238:$J$451),0),
IF('TL12'!$B$3=K$3,SUMIF('TL12'!$C$10:$C$224,$C262,'TL12'!$J$10:$J$224),0),
IF('TL12'!$B$229=K$3,SUMIF('TL12'!$C$238:$C$451,$C262,'TL12'!$J$238:$J$451),0),
IF('TL13'!$B$3=K$3,SUMIF('TL13'!$C$10:$C$224,$C262,'TL13'!$J$10:$J$224),0),
IF('TL13'!$B$229=K$3,SUMIF('TL13'!$C$238:$C$451,$C262,'TL13'!$J$238:$J$451),0),
IF('TL14'!$B$3=K$3,SUMIF('TL14'!$C$10:$C$224,$C262,'TL14'!$J$10:$J$224),0),
IF('TL14'!$B$229=K$3,SUMIF('TL14'!$C$238:$C$451,$C262,'TL14'!$J$238:$J$451),0),
IF('TL15'!$B$3=K$3,SUMIF('TL15'!$C$10:$C$224,$C262,'TL15'!$J$10:$J$224),0),
IF('TL15'!$B$229=K$3,SUMIF('TL15'!$C$238:$C$451,$C262,'TL15'!$J$238:$J$451),0),
IF('TL16'!$B$3=K$3,SUMIF('TL16'!$C$10:$C$224,$C262,'TL16'!$J$10:$J$224),0),
IF('TL16'!$B$229=K$3,SUMIF('TL16'!$C$238:$C$451,$C262,'TL16'!$J$238:$J$451),0),
IF('TL17'!$B$3=K$3,SUMIF('TL17'!$C$10:$C$224,$C262,'TL17'!$J$10:$J$224),0),
IF('TL17'!$B$229=K$3,SUMIF('TL17'!$C$238:$C$451,$C262,'TL17'!$J$238:$J$451),0),
IF('TL18'!$B$3=K$3,SUMIF('TL18'!$C$10:$C$224,$C262,'TL18'!$J$10:$J$224),0),
IF('TL18'!$B$229=K$3,SUMIF('TL18'!$C$238:$C$451,$C262,'TL18'!$J$238:$J$451),0),
IF('TL19'!$B$3=K$3,SUMIF('TL19'!$C$10:$C$224,$C262,'TL19'!$J$10:$J$224),0),
IF('TL19'!$B$229=K$3,SUMIF('TL19'!$C$238:$C$451,$C262,'TL19'!$J$238:$J$451),0)
),0)</f>
        <v>0</v>
      </c>
      <c r="L262" s="9">
        <f>IFERROR(SUM(
IF('TL01'!$B$3=L$3,SUMIF('TL01'!$C$10:$C$224,$C262,'TL01'!$J$10:$J$224),0),
IF('TL01'!$B$229=L$3,SUMIF('TL01'!$C$238:$C$451,$C262,'TL01'!$J$238:$J$451),0),
IF('TL02'!$B$3=L$3,SUMIF('TL02'!$C$10:$C$224,$C262,'TL02'!$J$10:$J$224),0),
IF('TL02'!$B$229=L$3,SUMIF('TL02'!$C$238:$C$451,$C262,'TL02'!$J$238:$J$451),0),
IF('TL03'!$B$3=L$3,SUMIF('TL03'!$C$10:$C$224,$C262,'TL03'!$J$10:$J$224),0),
IF('TL03'!$B$229=L$3,SUMIF('TL03'!$C$238:$C$451,$C262,'TL03'!$J$238:$J$451),0),
IF('TL04'!$B$3=L$3,SUMIF('TL04'!$C$10:$C$224,$C262,'TL04'!$J$10:$J$224),0),
IF('TL04'!$B$229=L$3,SUMIF('TL04'!$C$238:$C$451,$C262,'TL04'!$J$238:$J$451),0),
IF('TL05'!$B$3=L$3,SUMIF('TL05'!$C$10:$C$224,$C262,'TL05'!$J$10:$J$224),0),
IF('TL05'!$B$229=L$3,SUMIF('TL05'!$C$238:$C$451,$C262,'TL05'!$J$238:$J$451),0),
IF('TL06'!$B$3=L$3,SUMIF('TL06'!$C$10:$C$224,$C262,'TL06'!$J$10:$J$224),0),
IF('TL06'!$B$229=L$3,SUMIF('TL06'!$C$238:$C$451,$C262,'TL06'!$J$238:$J$451),0),
IF('TL07'!$B$3=L$3,SUMIF('TL07'!$C$10:$C$224,$C262,'TL07'!$J$10:$J$224),0),
IF('TL07'!$B$229=L$3,SUMIF('TL07'!$C$238:$C$451,$C262,'TL07'!$J$238:$J$451),0),
IF('TL08'!$B$3=L$3,SUMIF('TL08'!$C$10:$C$224,$C262,'TL08'!$J$10:$J$224),0),
IF('TL08'!$B$229=L$3,SUMIF('TL08'!$C$238:$C$451,$C262,'TL08'!$J$238:$J$451),0),
IF('TL09'!$B$3=L$3,SUMIF('TL09'!$C$10:$C$224,$C262,'TL09'!$J$10:$J$224),0),
IF('TL09'!$B$229=L$3,SUMIF('TL09'!$C$238:$C$451,$C262,'TL09'!$J$238:$J$451),0),
IF('TL10'!$B$3=L$3,SUMIF('TL10'!$C$10:$C$224,$C262,'TL10'!$J$10:$J$224),0),
IF('TL10'!$B$229=L$3,SUMIF('TL10'!$C$238:$C$451,$C262,'TL10'!$J$238:$J$451),0),
IF('TL11'!$B$3=L$3,SUMIF('TL11'!$C$10:$C$224,$C262,'TL11'!$J$10:$J$224),0),
IF('TL11'!$B$229=L$3,SUMIF('TL11'!$C$238:$C$451,$C262,'TL11'!$J$238:$J$451),0),
IF('TL12'!$B$3=L$3,SUMIF('TL12'!$C$10:$C$224,$C262,'TL12'!$J$10:$J$224),0),
IF('TL12'!$B$229=L$3,SUMIF('TL12'!$C$238:$C$451,$C262,'TL12'!$J$238:$J$451),0),
IF('TL13'!$B$3=L$3,SUMIF('TL13'!$C$10:$C$224,$C262,'TL13'!$J$10:$J$224),0),
IF('TL13'!$B$229=L$3,SUMIF('TL13'!$C$238:$C$451,$C262,'TL13'!$J$238:$J$451),0),
IF('TL14'!$B$3=L$3,SUMIF('TL14'!$C$10:$C$224,$C262,'TL14'!$J$10:$J$224),0),
IF('TL14'!$B$229=L$3,SUMIF('TL14'!$C$238:$C$451,$C262,'TL14'!$J$238:$J$451),0),
IF('TL15'!$B$3=L$3,SUMIF('TL15'!$C$10:$C$224,$C262,'TL15'!$J$10:$J$224),0),
IF('TL15'!$B$229=L$3,SUMIF('TL15'!$C$238:$C$451,$C262,'TL15'!$J$238:$J$451),0),
IF('TL16'!$B$3=L$3,SUMIF('TL16'!$C$10:$C$224,$C262,'TL16'!$J$10:$J$224),0),
IF('TL16'!$B$229=L$3,SUMIF('TL16'!$C$238:$C$451,$C262,'TL16'!$J$238:$J$451),0),
IF('TL17'!$B$3=L$3,SUMIF('TL17'!$C$10:$C$224,$C262,'TL17'!$J$10:$J$224),0),
IF('TL17'!$B$229=L$3,SUMIF('TL17'!$C$238:$C$451,$C262,'TL17'!$J$238:$J$451),0),
IF('TL18'!$B$3=L$3,SUMIF('TL18'!$C$10:$C$224,$C262,'TL18'!$J$10:$J$224),0),
IF('TL18'!$B$229=L$3,SUMIF('TL18'!$C$238:$C$451,$C262,'TL18'!$J$238:$J$451),0),
IF('TL19'!$B$3=L$3,SUMIF('TL19'!$C$10:$C$224,$C262,'TL19'!$J$10:$J$224),0),
IF('TL19'!$B$229=L$3,SUMIF('TL19'!$C$238:$C$451,$C262,'TL19'!$J$238:$J$451),0)
),0)</f>
        <v>0</v>
      </c>
      <c r="M262" s="9">
        <f>IFERROR(SUM(
IF('TL01'!$B$3=M$3,SUMIF('TL01'!$C$10:$C$224,$C262,'TL01'!$J$10:$J$224),0),
IF('TL01'!$B$229=M$3,SUMIF('TL01'!$C$238:$C$451,$C262,'TL01'!$J$238:$J$451),0),
IF('TL02'!$B$3=M$3,SUMIF('TL02'!$C$10:$C$224,$C262,'TL02'!$J$10:$J$224),0),
IF('TL02'!$B$229=M$3,SUMIF('TL02'!$C$238:$C$451,$C262,'TL02'!$J$238:$J$451),0),
IF('TL03'!$B$3=M$3,SUMIF('TL03'!$C$10:$C$224,$C262,'TL03'!$J$10:$J$224),0),
IF('TL03'!$B$229=M$3,SUMIF('TL03'!$C$238:$C$451,$C262,'TL03'!$J$238:$J$451),0),
IF('TL04'!$B$3=M$3,SUMIF('TL04'!$C$10:$C$224,$C262,'TL04'!$J$10:$J$224),0),
IF('TL04'!$B$229=M$3,SUMIF('TL04'!$C$238:$C$451,$C262,'TL04'!$J$238:$J$451),0),
IF('TL05'!$B$3=M$3,SUMIF('TL05'!$C$10:$C$224,$C262,'TL05'!$J$10:$J$224),0),
IF('TL05'!$B$229=M$3,SUMIF('TL05'!$C$238:$C$451,$C262,'TL05'!$J$238:$J$451),0),
IF('TL06'!$B$3=M$3,SUMIF('TL06'!$C$10:$C$224,$C262,'TL06'!$J$10:$J$224),0),
IF('TL06'!$B$229=M$3,SUMIF('TL06'!$C$238:$C$451,$C262,'TL06'!$J$238:$J$451),0),
IF('TL07'!$B$3=M$3,SUMIF('TL07'!$C$10:$C$224,$C262,'TL07'!$J$10:$J$224),0),
IF('TL07'!$B$229=M$3,SUMIF('TL07'!$C$238:$C$451,$C262,'TL07'!$J$238:$J$451),0),
IF('TL08'!$B$3=M$3,SUMIF('TL08'!$C$10:$C$224,$C262,'TL08'!$J$10:$J$224),0),
IF('TL08'!$B$229=M$3,SUMIF('TL08'!$C$238:$C$451,$C262,'TL08'!$J$238:$J$451),0),
IF('TL09'!$B$3=M$3,SUMIF('TL09'!$C$10:$C$224,$C262,'TL09'!$J$10:$J$224),0),
IF('TL09'!$B$229=M$3,SUMIF('TL09'!$C$238:$C$451,$C262,'TL09'!$J$238:$J$451),0),
IF('TL10'!$B$3=M$3,SUMIF('TL10'!$C$10:$C$224,$C262,'TL10'!$J$10:$J$224),0),
IF('TL10'!$B$229=M$3,SUMIF('TL10'!$C$238:$C$451,$C262,'TL10'!$J$238:$J$451),0),
IF('TL11'!$B$3=M$3,SUMIF('TL11'!$C$10:$C$224,$C262,'TL11'!$J$10:$J$224),0),
IF('TL11'!$B$229=M$3,SUMIF('TL11'!$C$238:$C$451,$C262,'TL11'!$J$238:$J$451),0),
IF('TL12'!$B$3=M$3,SUMIF('TL12'!$C$10:$C$224,$C262,'TL12'!$J$10:$J$224),0),
IF('TL12'!$B$229=M$3,SUMIF('TL12'!$C$238:$C$451,$C262,'TL12'!$J$238:$J$451),0),
IF('TL13'!$B$3=M$3,SUMIF('TL13'!$C$10:$C$224,$C262,'TL13'!$J$10:$J$224),0),
IF('TL13'!$B$229=M$3,SUMIF('TL13'!$C$238:$C$451,$C262,'TL13'!$J$238:$J$451),0),
IF('TL14'!$B$3=M$3,SUMIF('TL14'!$C$10:$C$224,$C262,'TL14'!$J$10:$J$224),0),
IF('TL14'!$B$229=M$3,SUMIF('TL14'!$C$238:$C$451,$C262,'TL14'!$J$238:$J$451),0),
IF('TL15'!$B$3=M$3,SUMIF('TL15'!$C$10:$C$224,$C262,'TL15'!$J$10:$J$224),0),
IF('TL15'!$B$229=M$3,SUMIF('TL15'!$C$238:$C$451,$C262,'TL15'!$J$238:$J$451),0),
IF('TL16'!$B$3=M$3,SUMIF('TL16'!$C$10:$C$224,$C262,'TL16'!$J$10:$J$224),0),
IF('TL16'!$B$229=M$3,SUMIF('TL16'!$C$238:$C$451,$C262,'TL16'!$J$238:$J$451),0),
IF('TL17'!$B$3=M$3,SUMIF('TL17'!$C$10:$C$224,$C262,'TL17'!$J$10:$J$224),0),
IF('TL17'!$B$229=M$3,SUMIF('TL17'!$C$238:$C$451,$C262,'TL17'!$J$238:$J$451),0),
IF('TL18'!$B$3=M$3,SUMIF('TL18'!$C$10:$C$224,$C262,'TL18'!$J$10:$J$224),0),
IF('TL18'!$B$229=M$3,SUMIF('TL18'!$C$238:$C$451,$C262,'TL18'!$J$238:$J$451),0),
IF('TL19'!$B$3=M$3,SUMIF('TL19'!$C$10:$C$224,$C262,'TL19'!$J$10:$J$224),0),
IF('TL19'!$B$229=M$3,SUMIF('TL19'!$C$238:$C$451,$C262,'TL19'!$J$238:$J$451),0)
),0)</f>
        <v>0</v>
      </c>
      <c r="N262" s="9">
        <f>IFERROR(SUM(
IF('TL01'!$B$3=N$3,SUMIF('TL01'!$C$10:$C$224,$C262,'TL01'!$J$10:$J$224),0),
IF('TL01'!$B$229=N$3,SUMIF('TL01'!$C$238:$C$451,$C262,'TL01'!$J$238:$J$451),0),
IF('TL02'!$B$3=N$3,SUMIF('TL02'!$C$10:$C$224,$C262,'TL02'!$J$10:$J$224),0),
IF('TL02'!$B$229=N$3,SUMIF('TL02'!$C$238:$C$451,$C262,'TL02'!$J$238:$J$451),0),
IF('TL03'!$B$3=N$3,SUMIF('TL03'!$C$10:$C$224,$C262,'TL03'!$J$10:$J$224),0),
IF('TL03'!$B$229=N$3,SUMIF('TL03'!$C$238:$C$451,$C262,'TL03'!$J$238:$J$451),0),
IF('TL04'!$B$3=N$3,SUMIF('TL04'!$C$10:$C$224,$C262,'TL04'!$J$10:$J$224),0),
IF('TL04'!$B$229=N$3,SUMIF('TL04'!$C$238:$C$451,$C262,'TL04'!$J$238:$J$451),0),
IF('TL05'!$B$3=N$3,SUMIF('TL05'!$C$10:$C$224,$C262,'TL05'!$J$10:$J$224),0),
IF('TL05'!$B$229=N$3,SUMIF('TL05'!$C$238:$C$451,$C262,'TL05'!$J$238:$J$451),0),
IF('TL06'!$B$3=N$3,SUMIF('TL06'!$C$10:$C$224,$C262,'TL06'!$J$10:$J$224),0),
IF('TL06'!$B$229=N$3,SUMIF('TL06'!$C$238:$C$451,$C262,'TL06'!$J$238:$J$451),0),
IF('TL07'!$B$3=N$3,SUMIF('TL07'!$C$10:$C$224,$C262,'TL07'!$J$10:$J$224),0),
IF('TL07'!$B$229=N$3,SUMIF('TL07'!$C$238:$C$451,$C262,'TL07'!$J$238:$J$451),0),
IF('TL08'!$B$3=N$3,SUMIF('TL08'!$C$10:$C$224,$C262,'TL08'!$J$10:$J$224),0),
IF('TL08'!$B$229=N$3,SUMIF('TL08'!$C$238:$C$451,$C262,'TL08'!$J$238:$J$451),0),
IF('TL09'!$B$3=N$3,SUMIF('TL09'!$C$10:$C$224,$C262,'TL09'!$J$10:$J$224),0),
IF('TL09'!$B$229=N$3,SUMIF('TL09'!$C$238:$C$451,$C262,'TL09'!$J$238:$J$451),0),
IF('TL10'!$B$3=N$3,SUMIF('TL10'!$C$10:$C$224,$C262,'TL10'!$J$10:$J$224),0),
IF('TL10'!$B$229=N$3,SUMIF('TL10'!$C$238:$C$451,$C262,'TL10'!$J$238:$J$451),0),
IF('TL11'!$B$3=N$3,SUMIF('TL11'!$C$10:$C$224,$C262,'TL11'!$J$10:$J$224),0),
IF('TL11'!$B$229=N$3,SUMIF('TL11'!$C$238:$C$451,$C262,'TL11'!$J$238:$J$451),0),
IF('TL12'!$B$3=N$3,SUMIF('TL12'!$C$10:$C$224,$C262,'TL12'!$J$10:$J$224),0),
IF('TL12'!$B$229=N$3,SUMIF('TL12'!$C$238:$C$451,$C262,'TL12'!$J$238:$J$451),0),
IF('TL13'!$B$3=N$3,SUMIF('TL13'!$C$10:$C$224,$C262,'TL13'!$J$10:$J$224),0),
IF('TL13'!$B$229=N$3,SUMIF('TL13'!$C$238:$C$451,$C262,'TL13'!$J$238:$J$451),0),
IF('TL14'!$B$3=N$3,SUMIF('TL14'!$C$10:$C$224,$C262,'TL14'!$J$10:$J$224),0),
IF('TL14'!$B$229=N$3,SUMIF('TL14'!$C$238:$C$451,$C262,'TL14'!$J$238:$J$451),0),
IF('TL15'!$B$3=N$3,SUMIF('TL15'!$C$10:$C$224,$C262,'TL15'!$J$10:$J$224),0),
IF('TL15'!$B$229=N$3,SUMIF('TL15'!$C$238:$C$451,$C262,'TL15'!$J$238:$J$451),0),
IF('TL16'!$B$3=N$3,SUMIF('TL16'!$C$10:$C$224,$C262,'TL16'!$J$10:$J$224),0),
IF('TL16'!$B$229=N$3,SUMIF('TL16'!$C$238:$C$451,$C262,'TL16'!$J$238:$J$451),0),
IF('TL17'!$B$3=N$3,SUMIF('TL17'!$C$10:$C$224,$C262,'TL17'!$J$10:$J$224),0),
IF('TL17'!$B$229=N$3,SUMIF('TL17'!$C$238:$C$451,$C262,'TL17'!$J$238:$J$451),0),
IF('TL18'!$B$3=N$3,SUMIF('TL18'!$C$10:$C$224,$C262,'TL18'!$J$10:$J$224),0),
IF('TL18'!$B$229=N$3,SUMIF('TL18'!$C$238:$C$451,$C262,'TL18'!$J$238:$J$451),0),
IF('TL19'!$B$3=N$3,SUMIF('TL19'!$C$10:$C$224,$C262,'TL19'!$J$10:$J$224),0),
IF('TL19'!$B$229=N$3,SUMIF('TL19'!$C$238:$C$451,$C262,'TL19'!$J$238:$J$451),0)
),0)</f>
        <v>0</v>
      </c>
      <c r="O262" s="9">
        <f>IFERROR(SUM(
IF('TL01'!$B$3=O$3,SUMIF('TL01'!$C$10:$C$224,$C262,'TL01'!$J$10:$J$224),0),
IF('TL01'!$B$229=O$3,SUMIF('TL01'!$C$238:$C$451,$C262,'TL01'!$J$238:$J$451),0),
IF('TL02'!$B$3=O$3,SUMIF('TL02'!$C$10:$C$224,$C262,'TL02'!$J$10:$J$224),0),
IF('TL02'!$B$229=O$3,SUMIF('TL02'!$C$238:$C$451,$C262,'TL02'!$J$238:$J$451),0),
IF('TL03'!$B$3=O$3,SUMIF('TL03'!$C$10:$C$224,$C262,'TL03'!$J$10:$J$224),0),
IF('TL03'!$B$229=O$3,SUMIF('TL03'!$C$238:$C$451,$C262,'TL03'!$J$238:$J$451),0),
IF('TL04'!$B$3=O$3,SUMIF('TL04'!$C$10:$C$224,$C262,'TL04'!$J$10:$J$224),0),
IF('TL04'!$B$229=O$3,SUMIF('TL04'!$C$238:$C$451,$C262,'TL04'!$J$238:$J$451),0),
IF('TL05'!$B$3=O$3,SUMIF('TL05'!$C$10:$C$224,$C262,'TL05'!$J$10:$J$224),0),
IF('TL05'!$B$229=O$3,SUMIF('TL05'!$C$238:$C$451,$C262,'TL05'!$J$238:$J$451),0),
IF('TL06'!$B$3=O$3,SUMIF('TL06'!$C$10:$C$224,$C262,'TL06'!$J$10:$J$224),0),
IF('TL06'!$B$229=O$3,SUMIF('TL06'!$C$238:$C$451,$C262,'TL06'!$J$238:$J$451),0),
IF('TL07'!$B$3=O$3,SUMIF('TL07'!$C$10:$C$224,$C262,'TL07'!$J$10:$J$224),0),
IF('TL07'!$B$229=O$3,SUMIF('TL07'!$C$238:$C$451,$C262,'TL07'!$J$238:$J$451),0),
IF('TL08'!$B$3=O$3,SUMIF('TL08'!$C$10:$C$224,$C262,'TL08'!$J$10:$J$224),0),
IF('TL08'!$B$229=O$3,SUMIF('TL08'!$C$238:$C$451,$C262,'TL08'!$J$238:$J$451),0),
IF('TL09'!$B$3=O$3,SUMIF('TL09'!$C$10:$C$224,$C262,'TL09'!$J$10:$J$224),0),
IF('TL09'!$B$229=O$3,SUMIF('TL09'!$C$238:$C$451,$C262,'TL09'!$J$238:$J$451),0),
IF('TL10'!$B$3=O$3,SUMIF('TL10'!$C$10:$C$224,$C262,'TL10'!$J$10:$J$224),0),
IF('TL10'!$B$229=O$3,SUMIF('TL10'!$C$238:$C$451,$C262,'TL10'!$J$238:$J$451),0),
IF('TL11'!$B$3=O$3,SUMIF('TL11'!$C$10:$C$224,$C262,'TL11'!$J$10:$J$224),0),
IF('TL11'!$B$229=O$3,SUMIF('TL11'!$C$238:$C$451,$C262,'TL11'!$J$238:$J$451),0),
IF('TL12'!$B$3=O$3,SUMIF('TL12'!$C$10:$C$224,$C262,'TL12'!$J$10:$J$224),0),
IF('TL12'!$B$229=O$3,SUMIF('TL12'!$C$238:$C$451,$C262,'TL12'!$J$238:$J$451),0),
IF('TL13'!$B$3=O$3,SUMIF('TL13'!$C$10:$C$224,$C262,'TL13'!$J$10:$J$224),0),
IF('TL13'!$B$229=O$3,SUMIF('TL13'!$C$238:$C$451,$C262,'TL13'!$J$238:$J$451),0),
IF('TL14'!$B$3=O$3,SUMIF('TL14'!$C$10:$C$224,$C262,'TL14'!$J$10:$J$224),0),
IF('TL14'!$B$229=O$3,SUMIF('TL14'!$C$238:$C$451,$C262,'TL14'!$J$238:$J$451),0),
IF('TL15'!$B$3=O$3,SUMIF('TL15'!$C$10:$C$224,$C262,'TL15'!$J$10:$J$224),0),
IF('TL15'!$B$229=O$3,SUMIF('TL15'!$C$238:$C$451,$C262,'TL15'!$J$238:$J$451),0),
IF('TL16'!$B$3=O$3,SUMIF('TL16'!$C$10:$C$224,$C262,'TL16'!$J$10:$J$224),0),
IF('TL16'!$B$229=O$3,SUMIF('TL16'!$C$238:$C$451,$C262,'TL16'!$J$238:$J$451),0),
IF('TL17'!$B$3=O$3,SUMIF('TL17'!$C$10:$C$224,$C262,'TL17'!$J$10:$J$224),0),
IF('TL17'!$B$229=O$3,SUMIF('TL17'!$C$238:$C$451,$C262,'TL17'!$J$238:$J$451),0),
IF('TL18'!$B$3=O$3,SUMIF('TL18'!$C$10:$C$224,$C262,'TL18'!$J$10:$J$224),0),
IF('TL18'!$B$229=O$3,SUMIF('TL18'!$C$238:$C$451,$C262,'TL18'!$J$238:$J$451),0),
IF('TL19'!$B$3=O$3,SUMIF('TL19'!$C$10:$C$224,$C262,'TL19'!$J$10:$J$224),0),
IF('TL19'!$B$229=O$3,SUMIF('TL19'!$C$238:$C$451,$C262,'TL19'!$J$238:$J$451),0)
),0)</f>
        <v>0</v>
      </c>
      <c r="P262" s="9">
        <f>IFERROR(SUM(
IF('TL01'!$B$3=P$3,SUMIF('TL01'!$C$10:$C$224,$C262,'TL01'!$J$10:$J$224),0),
IF('TL01'!$B$229=P$3,SUMIF('TL01'!$C$238:$C$451,$C262,'TL01'!$J$238:$J$451),0),
IF('TL02'!$B$3=P$3,SUMIF('TL02'!$C$10:$C$224,$C262,'TL02'!$J$10:$J$224),0),
IF('TL02'!$B$229=P$3,SUMIF('TL02'!$C$238:$C$451,$C262,'TL02'!$J$238:$J$451),0),
IF('TL03'!$B$3=P$3,SUMIF('TL03'!$C$10:$C$224,$C262,'TL03'!$J$10:$J$224),0),
IF('TL03'!$B$229=P$3,SUMIF('TL03'!$C$238:$C$451,$C262,'TL03'!$J$238:$J$451),0),
IF('TL04'!$B$3=P$3,SUMIF('TL04'!$C$10:$C$224,$C262,'TL04'!$J$10:$J$224),0),
IF('TL04'!$B$229=P$3,SUMIF('TL04'!$C$238:$C$451,$C262,'TL04'!$J$238:$J$451),0),
IF('TL05'!$B$3=P$3,SUMIF('TL05'!$C$10:$C$224,$C262,'TL05'!$J$10:$J$224),0),
IF('TL05'!$B$229=P$3,SUMIF('TL05'!$C$238:$C$451,$C262,'TL05'!$J$238:$J$451),0),
IF('TL06'!$B$3=P$3,SUMIF('TL06'!$C$10:$C$224,$C262,'TL06'!$J$10:$J$224),0),
IF('TL06'!$B$229=P$3,SUMIF('TL06'!$C$238:$C$451,$C262,'TL06'!$J$238:$J$451),0),
IF('TL07'!$B$3=P$3,SUMIF('TL07'!$C$10:$C$224,$C262,'TL07'!$J$10:$J$224),0),
IF('TL07'!$B$229=P$3,SUMIF('TL07'!$C$238:$C$451,$C262,'TL07'!$J$238:$J$451),0),
IF('TL08'!$B$3=P$3,SUMIF('TL08'!$C$10:$C$224,$C262,'TL08'!$J$10:$J$224),0),
IF('TL08'!$B$229=P$3,SUMIF('TL08'!$C$238:$C$451,$C262,'TL08'!$J$238:$J$451),0),
IF('TL09'!$B$3=P$3,SUMIF('TL09'!$C$10:$C$224,$C262,'TL09'!$J$10:$J$224),0),
IF('TL09'!$B$229=P$3,SUMIF('TL09'!$C$238:$C$451,$C262,'TL09'!$J$238:$J$451),0),
IF('TL10'!$B$3=P$3,SUMIF('TL10'!$C$10:$C$224,$C262,'TL10'!$J$10:$J$224),0),
IF('TL10'!$B$229=P$3,SUMIF('TL10'!$C$238:$C$451,$C262,'TL10'!$J$238:$J$451),0),
IF('TL11'!$B$3=P$3,SUMIF('TL11'!$C$10:$C$224,$C262,'TL11'!$J$10:$J$224),0),
IF('TL11'!$B$229=P$3,SUMIF('TL11'!$C$238:$C$451,$C262,'TL11'!$J$238:$J$451),0),
IF('TL12'!$B$3=P$3,SUMIF('TL12'!$C$10:$C$224,$C262,'TL12'!$J$10:$J$224),0),
IF('TL12'!$B$229=P$3,SUMIF('TL12'!$C$238:$C$451,$C262,'TL12'!$J$238:$J$451),0),
IF('TL13'!$B$3=P$3,SUMIF('TL13'!$C$10:$C$224,$C262,'TL13'!$J$10:$J$224),0),
IF('TL13'!$B$229=P$3,SUMIF('TL13'!$C$238:$C$451,$C262,'TL13'!$J$238:$J$451),0),
IF('TL14'!$B$3=P$3,SUMIF('TL14'!$C$10:$C$224,$C262,'TL14'!$J$10:$J$224),0),
IF('TL14'!$B$229=P$3,SUMIF('TL14'!$C$238:$C$451,$C262,'TL14'!$J$238:$J$451),0),
IF('TL15'!$B$3=P$3,SUMIF('TL15'!$C$10:$C$224,$C262,'TL15'!$J$10:$J$224),0),
IF('TL15'!$B$229=P$3,SUMIF('TL15'!$C$238:$C$451,$C262,'TL15'!$J$238:$J$451),0),
IF('TL16'!$B$3=P$3,SUMIF('TL16'!$C$10:$C$224,$C262,'TL16'!$J$10:$J$224),0),
IF('TL16'!$B$229=P$3,SUMIF('TL16'!$C$238:$C$451,$C262,'TL16'!$J$238:$J$451),0),
IF('TL17'!$B$3=P$3,SUMIF('TL17'!$C$10:$C$224,$C262,'TL17'!$J$10:$J$224),0),
IF('TL17'!$B$229=P$3,SUMIF('TL17'!$C$238:$C$451,$C262,'TL17'!$J$238:$J$451),0),
IF('TL18'!$B$3=P$3,SUMIF('TL18'!$C$10:$C$224,$C262,'TL18'!$J$10:$J$224),0),
IF('TL18'!$B$229=P$3,SUMIF('TL18'!$C$238:$C$451,$C262,'TL18'!$J$238:$J$451),0),
IF('TL19'!$B$3=P$3,SUMIF('TL19'!$C$10:$C$224,$C262,'TL19'!$J$10:$J$224),0),
IF('TL19'!$B$229=P$3,SUMIF('TL19'!$C$238:$C$451,$C262,'TL19'!$J$238:$J$451),0)
),0)</f>
        <v>0</v>
      </c>
      <c r="Q262" s="9">
        <f>IFERROR(SUM(
IF('TL01'!$B$3=Q$3,SUMIF('TL01'!$C$10:$C$224,$C262,'TL01'!$J$10:$J$224),0),
IF('TL01'!$B$229=Q$3,SUMIF('TL01'!$C$238:$C$451,$C262,'TL01'!$J$238:$J$451),0),
IF('TL02'!$B$3=Q$3,SUMIF('TL02'!$C$10:$C$224,$C262,'TL02'!$J$10:$J$224),0),
IF('TL02'!$B$229=Q$3,SUMIF('TL02'!$C$238:$C$451,$C262,'TL02'!$J$238:$J$451),0),
IF('TL03'!$B$3=Q$3,SUMIF('TL03'!$C$10:$C$224,$C262,'TL03'!$J$10:$J$224),0),
IF('TL03'!$B$229=Q$3,SUMIF('TL03'!$C$238:$C$451,$C262,'TL03'!$J$238:$J$451),0),
IF('TL04'!$B$3=Q$3,SUMIF('TL04'!$C$10:$C$224,$C262,'TL04'!$J$10:$J$224),0),
IF('TL04'!$B$229=Q$3,SUMIF('TL04'!$C$238:$C$451,$C262,'TL04'!$J$238:$J$451),0),
IF('TL05'!$B$3=Q$3,SUMIF('TL05'!$C$10:$C$224,$C262,'TL05'!$J$10:$J$224),0),
IF('TL05'!$B$229=Q$3,SUMIF('TL05'!$C$238:$C$451,$C262,'TL05'!$J$238:$J$451),0),
IF('TL06'!$B$3=Q$3,SUMIF('TL06'!$C$10:$C$224,$C262,'TL06'!$J$10:$J$224),0),
IF('TL06'!$B$229=Q$3,SUMIF('TL06'!$C$238:$C$451,$C262,'TL06'!$J$238:$J$451),0),
IF('TL07'!$B$3=Q$3,SUMIF('TL07'!$C$10:$C$224,$C262,'TL07'!$J$10:$J$224),0),
IF('TL07'!$B$229=Q$3,SUMIF('TL07'!$C$238:$C$451,$C262,'TL07'!$J$238:$J$451),0),
IF('TL08'!$B$3=Q$3,SUMIF('TL08'!$C$10:$C$224,$C262,'TL08'!$J$10:$J$224),0),
IF('TL08'!$B$229=Q$3,SUMIF('TL08'!$C$238:$C$451,$C262,'TL08'!$J$238:$J$451),0),
IF('TL09'!$B$3=Q$3,SUMIF('TL09'!$C$10:$C$224,$C262,'TL09'!$J$10:$J$224),0),
IF('TL09'!$B$229=Q$3,SUMIF('TL09'!$C$238:$C$451,$C262,'TL09'!$J$238:$J$451),0),
IF('TL10'!$B$3=Q$3,SUMIF('TL10'!$C$10:$C$224,$C262,'TL10'!$J$10:$J$224),0),
IF('TL10'!$B$229=Q$3,SUMIF('TL10'!$C$238:$C$451,$C262,'TL10'!$J$238:$J$451),0),
IF('TL11'!$B$3=Q$3,SUMIF('TL11'!$C$10:$C$224,$C262,'TL11'!$J$10:$J$224),0),
IF('TL11'!$B$229=Q$3,SUMIF('TL11'!$C$238:$C$451,$C262,'TL11'!$J$238:$J$451),0),
IF('TL12'!$B$3=Q$3,SUMIF('TL12'!$C$10:$C$224,$C262,'TL12'!$J$10:$J$224),0),
IF('TL12'!$B$229=Q$3,SUMIF('TL12'!$C$238:$C$451,$C262,'TL12'!$J$238:$J$451),0),
IF('TL13'!$B$3=Q$3,SUMIF('TL13'!$C$10:$C$224,$C262,'TL13'!$J$10:$J$224),0),
IF('TL13'!$B$229=Q$3,SUMIF('TL13'!$C$238:$C$451,$C262,'TL13'!$J$238:$J$451),0),
IF('TL14'!$B$3=Q$3,SUMIF('TL14'!$C$10:$C$224,$C262,'TL14'!$J$10:$J$224),0),
IF('TL14'!$B$229=Q$3,SUMIF('TL14'!$C$238:$C$451,$C262,'TL14'!$J$238:$J$451),0),
IF('TL15'!$B$3=Q$3,SUMIF('TL15'!$C$10:$C$224,$C262,'TL15'!$J$10:$J$224),0),
IF('TL15'!$B$229=Q$3,SUMIF('TL15'!$C$238:$C$451,$C262,'TL15'!$J$238:$J$451),0),
IF('TL16'!$B$3=Q$3,SUMIF('TL16'!$C$10:$C$224,$C262,'TL16'!$J$10:$J$224),0),
IF('TL16'!$B$229=Q$3,SUMIF('TL16'!$C$238:$C$451,$C262,'TL16'!$J$238:$J$451),0),
IF('TL17'!$B$3=Q$3,SUMIF('TL17'!$C$10:$C$224,$C262,'TL17'!$J$10:$J$224),0),
IF('TL17'!$B$229=Q$3,SUMIF('TL17'!$C$238:$C$451,$C262,'TL17'!$J$238:$J$451),0),
IF('TL18'!$B$3=Q$3,SUMIF('TL18'!$C$10:$C$224,$C262,'TL18'!$J$10:$J$224),0),
IF('TL18'!$B$229=Q$3,SUMIF('TL18'!$C$238:$C$451,$C262,'TL18'!$J$238:$J$451),0),
IF('TL19'!$B$3=Q$3,SUMIF('TL19'!$C$10:$C$224,$C262,'TL19'!$J$10:$J$224),0),
IF('TL19'!$B$229=Q$3,SUMIF('TL19'!$C$238:$C$451,$C262,'TL19'!$J$238:$J$451),0)
),0)</f>
        <v>0</v>
      </c>
      <c r="R262" s="9">
        <f>IFERROR(
SUM(
SUMIF('TL01'!C:C,C262,'TL01'!J:J),
SUMIF('TL02'!C:C,C262,'TL02'!J:J),
SUMIF('TL03'!C:C,C262,'TL03'!J:J),
SUMIF('TL04'!C:C,C262,'TL04'!J:J),
SUMIF('TL05'!C:C,C262,'TL05'!J:J),
SUMIF('TL06'!C:C,C262,'TL06'!J:J),
SUMIF('TL07'!C:C,C262,'TL07'!J:J),
SUMIF('TL08'!C:C,C262,'TL08'!J:J),
SUMIF('TL09'!C:C,C262,'TL09'!J:J),
SUMIF('TL10'!C:C,C262,'TL10'!J:J),
SUMIF('TL11'!C:C,C262,'TL11'!J:J),
SUMIF('TL12'!C:C,C262,'TL12'!J:J),
SUMIF('TL13'!C:C,C262,'TL13'!J:J),
SUMIF('TL14'!C:C,C262,'TL14'!J:J),
SUMIF('TL15'!C:C,C262,'TL15'!J:J),
SUMIF('TL16'!C:C,C262,'TL16'!J:J),
SUMIF('TL17'!C:C,C262,'TL17'!J:J),
SUMIF('TL18'!C:C,C262,'TL18'!J:J),SUMIF('TL19'!C:C,C262,'TL19'!J:J))
,0)</f>
        <v>0</v>
      </c>
      <c r="S262" s="17">
        <f>IFERROR(__xludf.DUMMYFUNCTION("IFERROR(VLOOKUP(C262,
IMPORTRANGE(""1wULbzX32WdYsx-lj2U3uUNBBe2INVIRDtcK0d-Dvl90"",
""26-27!C:G""),
5,
FALSE),
"""")"),21.08)</f>
        <v>21.08</v>
      </c>
      <c r="T262" s="9"/>
      <c r="U262" s="92">
        <f t="shared" si="2"/>
        <v>0</v>
      </c>
      <c r="V262" s="93">
        <f t="shared" si="3"/>
        <v>0</v>
      </c>
    </row>
    <row r="263" ht="15.75" hidden="1" customHeight="1">
      <c r="A263" s="4" t="s">
        <v>955</v>
      </c>
      <c r="B263" s="125" t="s">
        <v>9</v>
      </c>
      <c r="C263" s="4" t="s">
        <v>956</v>
      </c>
      <c r="D263" s="6"/>
      <c r="E263" s="9"/>
      <c r="F263" s="4" t="s">
        <v>343</v>
      </c>
      <c r="G263" s="9"/>
      <c r="H263" s="9">
        <v>3.0</v>
      </c>
      <c r="I263" s="1"/>
      <c r="J263" s="9">
        <f>IFERROR(SUM(
IF('TL01'!$B$3=J$3,SUMIF('TL01'!$C$10:$C$224,$C263,'TL01'!$J$10:$J$224),0),
IF('TL01'!$B$229=J$3,SUMIF('TL01'!$C$238:$C$451,$C263,'TL01'!$J$238:$J$451),0),
IF('TL02'!$B$3=J$3,SUMIF('TL02'!$C$10:$C$224,$C263,'TL02'!$J$10:$J$224),0),
IF('TL02'!$B$229=J$3,SUMIF('TL02'!$C$238:$C$451,$C263,'TL02'!$J$238:$J$451),0),
IF('TL03'!$B$3=J$3,SUMIF('TL03'!$C$10:$C$224,$C263,'TL03'!$J$10:$J$224),0),
IF('TL03'!$B$229=J$3,SUMIF('TL03'!$C$238:$C$451,$C263,'TL03'!$J$238:$J$451),0),
IF('TL04'!$B$3=J$3,SUMIF('TL04'!$C$10:$C$224,$C263,'TL04'!$J$10:$J$224),0),
IF('TL04'!$B$229=J$3,SUMIF('TL04'!$C$238:$C$451,$C263,'TL04'!$J$238:$J$451),0),
IF('TL05'!$B$3=J$3,SUMIF('TL05'!$C$10:$C$224,$C263,'TL05'!$J$10:$J$224),0),
IF('TL05'!$B$229=J$3,SUMIF('TL05'!$C$238:$C$451,$C263,'TL05'!$J$238:$J$451),0),
IF('TL06'!$B$3=J$3,SUMIF('TL06'!$C$10:$C$224,$C263,'TL06'!$J$10:$J$224),0),
IF('TL06'!$B$229=J$3,SUMIF('TL06'!$C$238:$C$451,$C263,'TL06'!$J$238:$J$451),0),
IF('TL07'!$B$3=J$3,SUMIF('TL07'!$C$10:$C$224,$C263,'TL07'!$J$10:$J$224),0),
IF('TL07'!$B$229=J$3,SUMIF('TL07'!$C$238:$C$451,$C263,'TL07'!$J$238:$J$451),0),
IF('TL08'!$B$3=J$3,SUMIF('TL08'!$C$10:$C$224,$C263,'TL08'!$J$10:$J$224),0),
IF('TL08'!$B$229=J$3,SUMIF('TL08'!$C$238:$C$451,$C263,'TL08'!$J$238:$J$451),0),
IF('TL09'!$B$3=J$3,SUMIF('TL09'!$C$10:$C$224,$C263,'TL09'!$J$10:$J$224),0),
IF('TL09'!$B$229=J$3,SUMIF('TL09'!$C$238:$C$451,$C263,'TL09'!$J$238:$J$451),0),
IF('TL10'!$B$3=J$3,SUMIF('TL10'!$C$10:$C$224,$C263,'TL10'!$J$10:$J$224),0),
IF('TL10'!$B$229=J$3,SUMIF('TL10'!$C$238:$C$451,$C263,'TL10'!$J$238:$J$451),0),
IF('TL11'!$B$3=J$3,SUMIF('TL11'!$C$10:$C$224,$C263,'TL11'!$J$10:$J$224),0),
IF('TL11'!$B$229=J$3,SUMIF('TL11'!$C$238:$C$451,$C263,'TL11'!$J$238:$J$451),0),
IF('TL12'!$B$3=J$3,SUMIF('TL12'!$C$10:$C$224,$C263,'TL12'!$J$10:$J$224),0),
IF('TL12'!$B$229=J$3,SUMIF('TL12'!$C$238:$C$451,$C263,'TL12'!$J$238:$J$451),0),
IF('TL13'!$B$3=J$3,SUMIF('TL13'!$C$10:$C$224,$C263,'TL13'!$J$10:$J$224),0),
IF('TL13'!$B$229=J$3,SUMIF('TL13'!$C$238:$C$451,$C263,'TL13'!$J$238:$J$451),0),
IF('TL14'!$B$3=J$3,SUMIF('TL14'!$C$10:$C$224,$C263,'TL14'!$J$10:$J$224),0),
IF('TL14'!$B$229=J$3,SUMIF('TL14'!$C$238:$C$451,$C263,'TL14'!$J$238:$J$451),0),
IF('TL15'!$B$3=J$3,SUMIF('TL15'!$C$10:$C$224,$C263,'TL15'!$J$10:$J$224),0),
IF('TL15'!$B$229=J$3,SUMIF('TL15'!$C$238:$C$451,$C263,'TL15'!$J$238:$J$451),0),
IF('TL16'!$B$3=J$3,SUMIF('TL16'!$C$10:$C$224,$C263,'TL16'!$J$10:$J$224),0),
IF('TL16'!$B$229=J$3,SUMIF('TL16'!$C$238:$C$451,$C263,'TL16'!$J$238:$J$451),0),
IF('TL17'!$B$3=J$3,SUMIF('TL17'!$C$10:$C$224,$C263,'TL17'!$J$10:$J$224),0),
IF('TL17'!$B$229=J$3,SUMIF('TL17'!$C$238:$C$451,$C263,'TL17'!$J$238:$J$451),0),
IF('TL18'!$B$3=J$3,SUMIF('TL18'!$C$10:$C$224,$C263,'TL18'!$J$10:$J$224),0),
IF('TL18'!$B$229=J$3,SUMIF('TL18'!$C$238:$C$451,$C263,'TL18'!$J$238:$J$451),0),
IF('TL19'!$B$3=J$3,SUMIF('TL19'!$C$10:$C$224,$C263,'TL19'!$J$10:$J$224),0),
IF('TL19'!$B$229=J$3,SUMIF('TL19'!$C$238:$C$451,$C263,'TL19'!$J$238:$J$451),0)
),0)</f>
        <v>0</v>
      </c>
      <c r="K263" s="9">
        <f>IFERROR(SUM(
IF('TL01'!$B$3=K$3,SUMIF('TL01'!$C$10:$C$224,$C263,'TL01'!$J$10:$J$224),0),
IF('TL01'!$B$229=K$3,SUMIF('TL01'!$C$238:$C$451,$C263,'TL01'!$J$238:$J$451),0),
IF('TL02'!$B$3=K$3,SUMIF('TL02'!$C$10:$C$224,$C263,'TL02'!$J$10:$J$224),0),
IF('TL02'!$B$229=K$3,SUMIF('TL02'!$C$238:$C$451,$C263,'TL02'!$J$238:$J$451),0),
IF('TL03'!$B$3=K$3,SUMIF('TL03'!$C$10:$C$224,$C263,'TL03'!$J$10:$J$224),0),
IF('TL03'!$B$229=K$3,SUMIF('TL03'!$C$238:$C$451,$C263,'TL03'!$J$238:$J$451),0),
IF('TL04'!$B$3=K$3,SUMIF('TL04'!$C$10:$C$224,$C263,'TL04'!$J$10:$J$224),0),
IF('TL04'!$B$229=K$3,SUMIF('TL04'!$C$238:$C$451,$C263,'TL04'!$J$238:$J$451),0),
IF('TL05'!$B$3=K$3,SUMIF('TL05'!$C$10:$C$224,$C263,'TL05'!$J$10:$J$224),0),
IF('TL05'!$B$229=K$3,SUMIF('TL05'!$C$238:$C$451,$C263,'TL05'!$J$238:$J$451),0),
IF('TL06'!$B$3=K$3,SUMIF('TL06'!$C$10:$C$224,$C263,'TL06'!$J$10:$J$224),0),
IF('TL06'!$B$229=K$3,SUMIF('TL06'!$C$238:$C$451,$C263,'TL06'!$J$238:$J$451),0),
IF('TL07'!$B$3=K$3,SUMIF('TL07'!$C$10:$C$224,$C263,'TL07'!$J$10:$J$224),0),
IF('TL07'!$B$229=K$3,SUMIF('TL07'!$C$238:$C$451,$C263,'TL07'!$J$238:$J$451),0),
IF('TL08'!$B$3=K$3,SUMIF('TL08'!$C$10:$C$224,$C263,'TL08'!$J$10:$J$224),0),
IF('TL08'!$B$229=K$3,SUMIF('TL08'!$C$238:$C$451,$C263,'TL08'!$J$238:$J$451),0),
IF('TL09'!$B$3=K$3,SUMIF('TL09'!$C$10:$C$224,$C263,'TL09'!$J$10:$J$224),0),
IF('TL09'!$B$229=K$3,SUMIF('TL09'!$C$238:$C$451,$C263,'TL09'!$J$238:$J$451),0),
IF('TL10'!$B$3=K$3,SUMIF('TL10'!$C$10:$C$224,$C263,'TL10'!$J$10:$J$224),0),
IF('TL10'!$B$229=K$3,SUMIF('TL10'!$C$238:$C$451,$C263,'TL10'!$J$238:$J$451),0),
IF('TL11'!$B$3=K$3,SUMIF('TL11'!$C$10:$C$224,$C263,'TL11'!$J$10:$J$224),0),
IF('TL11'!$B$229=K$3,SUMIF('TL11'!$C$238:$C$451,$C263,'TL11'!$J$238:$J$451),0),
IF('TL12'!$B$3=K$3,SUMIF('TL12'!$C$10:$C$224,$C263,'TL12'!$J$10:$J$224),0),
IF('TL12'!$B$229=K$3,SUMIF('TL12'!$C$238:$C$451,$C263,'TL12'!$J$238:$J$451),0),
IF('TL13'!$B$3=K$3,SUMIF('TL13'!$C$10:$C$224,$C263,'TL13'!$J$10:$J$224),0),
IF('TL13'!$B$229=K$3,SUMIF('TL13'!$C$238:$C$451,$C263,'TL13'!$J$238:$J$451),0),
IF('TL14'!$B$3=K$3,SUMIF('TL14'!$C$10:$C$224,$C263,'TL14'!$J$10:$J$224),0),
IF('TL14'!$B$229=K$3,SUMIF('TL14'!$C$238:$C$451,$C263,'TL14'!$J$238:$J$451),0),
IF('TL15'!$B$3=K$3,SUMIF('TL15'!$C$10:$C$224,$C263,'TL15'!$J$10:$J$224),0),
IF('TL15'!$B$229=K$3,SUMIF('TL15'!$C$238:$C$451,$C263,'TL15'!$J$238:$J$451),0),
IF('TL16'!$B$3=K$3,SUMIF('TL16'!$C$10:$C$224,$C263,'TL16'!$J$10:$J$224),0),
IF('TL16'!$B$229=K$3,SUMIF('TL16'!$C$238:$C$451,$C263,'TL16'!$J$238:$J$451),0),
IF('TL17'!$B$3=K$3,SUMIF('TL17'!$C$10:$C$224,$C263,'TL17'!$J$10:$J$224),0),
IF('TL17'!$B$229=K$3,SUMIF('TL17'!$C$238:$C$451,$C263,'TL17'!$J$238:$J$451),0),
IF('TL18'!$B$3=K$3,SUMIF('TL18'!$C$10:$C$224,$C263,'TL18'!$J$10:$J$224),0),
IF('TL18'!$B$229=K$3,SUMIF('TL18'!$C$238:$C$451,$C263,'TL18'!$J$238:$J$451),0),
IF('TL19'!$B$3=K$3,SUMIF('TL19'!$C$10:$C$224,$C263,'TL19'!$J$10:$J$224),0),
IF('TL19'!$B$229=K$3,SUMIF('TL19'!$C$238:$C$451,$C263,'TL19'!$J$238:$J$451),0)
),0)</f>
        <v>0</v>
      </c>
      <c r="L263" s="9">
        <f>IFERROR(SUM(
IF('TL01'!$B$3=L$3,SUMIF('TL01'!$C$10:$C$224,$C263,'TL01'!$J$10:$J$224),0),
IF('TL01'!$B$229=L$3,SUMIF('TL01'!$C$238:$C$451,$C263,'TL01'!$J$238:$J$451),0),
IF('TL02'!$B$3=L$3,SUMIF('TL02'!$C$10:$C$224,$C263,'TL02'!$J$10:$J$224),0),
IF('TL02'!$B$229=L$3,SUMIF('TL02'!$C$238:$C$451,$C263,'TL02'!$J$238:$J$451),0),
IF('TL03'!$B$3=L$3,SUMIF('TL03'!$C$10:$C$224,$C263,'TL03'!$J$10:$J$224),0),
IF('TL03'!$B$229=L$3,SUMIF('TL03'!$C$238:$C$451,$C263,'TL03'!$J$238:$J$451),0),
IF('TL04'!$B$3=L$3,SUMIF('TL04'!$C$10:$C$224,$C263,'TL04'!$J$10:$J$224),0),
IF('TL04'!$B$229=L$3,SUMIF('TL04'!$C$238:$C$451,$C263,'TL04'!$J$238:$J$451),0),
IF('TL05'!$B$3=L$3,SUMIF('TL05'!$C$10:$C$224,$C263,'TL05'!$J$10:$J$224),0),
IF('TL05'!$B$229=L$3,SUMIF('TL05'!$C$238:$C$451,$C263,'TL05'!$J$238:$J$451),0),
IF('TL06'!$B$3=L$3,SUMIF('TL06'!$C$10:$C$224,$C263,'TL06'!$J$10:$J$224),0),
IF('TL06'!$B$229=L$3,SUMIF('TL06'!$C$238:$C$451,$C263,'TL06'!$J$238:$J$451),0),
IF('TL07'!$B$3=L$3,SUMIF('TL07'!$C$10:$C$224,$C263,'TL07'!$J$10:$J$224),0),
IF('TL07'!$B$229=L$3,SUMIF('TL07'!$C$238:$C$451,$C263,'TL07'!$J$238:$J$451),0),
IF('TL08'!$B$3=L$3,SUMIF('TL08'!$C$10:$C$224,$C263,'TL08'!$J$10:$J$224),0),
IF('TL08'!$B$229=L$3,SUMIF('TL08'!$C$238:$C$451,$C263,'TL08'!$J$238:$J$451),0),
IF('TL09'!$B$3=L$3,SUMIF('TL09'!$C$10:$C$224,$C263,'TL09'!$J$10:$J$224),0),
IF('TL09'!$B$229=L$3,SUMIF('TL09'!$C$238:$C$451,$C263,'TL09'!$J$238:$J$451),0),
IF('TL10'!$B$3=L$3,SUMIF('TL10'!$C$10:$C$224,$C263,'TL10'!$J$10:$J$224),0),
IF('TL10'!$B$229=L$3,SUMIF('TL10'!$C$238:$C$451,$C263,'TL10'!$J$238:$J$451),0),
IF('TL11'!$B$3=L$3,SUMIF('TL11'!$C$10:$C$224,$C263,'TL11'!$J$10:$J$224),0),
IF('TL11'!$B$229=L$3,SUMIF('TL11'!$C$238:$C$451,$C263,'TL11'!$J$238:$J$451),0),
IF('TL12'!$B$3=L$3,SUMIF('TL12'!$C$10:$C$224,$C263,'TL12'!$J$10:$J$224),0),
IF('TL12'!$B$229=L$3,SUMIF('TL12'!$C$238:$C$451,$C263,'TL12'!$J$238:$J$451),0),
IF('TL13'!$B$3=L$3,SUMIF('TL13'!$C$10:$C$224,$C263,'TL13'!$J$10:$J$224),0),
IF('TL13'!$B$229=L$3,SUMIF('TL13'!$C$238:$C$451,$C263,'TL13'!$J$238:$J$451),0),
IF('TL14'!$B$3=L$3,SUMIF('TL14'!$C$10:$C$224,$C263,'TL14'!$J$10:$J$224),0),
IF('TL14'!$B$229=L$3,SUMIF('TL14'!$C$238:$C$451,$C263,'TL14'!$J$238:$J$451),0),
IF('TL15'!$B$3=L$3,SUMIF('TL15'!$C$10:$C$224,$C263,'TL15'!$J$10:$J$224),0),
IF('TL15'!$B$229=L$3,SUMIF('TL15'!$C$238:$C$451,$C263,'TL15'!$J$238:$J$451),0),
IF('TL16'!$B$3=L$3,SUMIF('TL16'!$C$10:$C$224,$C263,'TL16'!$J$10:$J$224),0),
IF('TL16'!$B$229=L$3,SUMIF('TL16'!$C$238:$C$451,$C263,'TL16'!$J$238:$J$451),0),
IF('TL17'!$B$3=L$3,SUMIF('TL17'!$C$10:$C$224,$C263,'TL17'!$J$10:$J$224),0),
IF('TL17'!$B$229=L$3,SUMIF('TL17'!$C$238:$C$451,$C263,'TL17'!$J$238:$J$451),0),
IF('TL18'!$B$3=L$3,SUMIF('TL18'!$C$10:$C$224,$C263,'TL18'!$J$10:$J$224),0),
IF('TL18'!$B$229=L$3,SUMIF('TL18'!$C$238:$C$451,$C263,'TL18'!$J$238:$J$451),0),
IF('TL19'!$B$3=L$3,SUMIF('TL19'!$C$10:$C$224,$C263,'TL19'!$J$10:$J$224),0),
IF('TL19'!$B$229=L$3,SUMIF('TL19'!$C$238:$C$451,$C263,'TL19'!$J$238:$J$451),0)
),0)</f>
        <v>0</v>
      </c>
      <c r="M263" s="9">
        <f>IFERROR(SUM(
IF('TL01'!$B$3=M$3,SUMIF('TL01'!$C$10:$C$224,$C263,'TL01'!$J$10:$J$224),0),
IF('TL01'!$B$229=M$3,SUMIF('TL01'!$C$238:$C$451,$C263,'TL01'!$J$238:$J$451),0),
IF('TL02'!$B$3=M$3,SUMIF('TL02'!$C$10:$C$224,$C263,'TL02'!$J$10:$J$224),0),
IF('TL02'!$B$229=M$3,SUMIF('TL02'!$C$238:$C$451,$C263,'TL02'!$J$238:$J$451),0),
IF('TL03'!$B$3=M$3,SUMIF('TL03'!$C$10:$C$224,$C263,'TL03'!$J$10:$J$224),0),
IF('TL03'!$B$229=M$3,SUMIF('TL03'!$C$238:$C$451,$C263,'TL03'!$J$238:$J$451),0),
IF('TL04'!$B$3=M$3,SUMIF('TL04'!$C$10:$C$224,$C263,'TL04'!$J$10:$J$224),0),
IF('TL04'!$B$229=M$3,SUMIF('TL04'!$C$238:$C$451,$C263,'TL04'!$J$238:$J$451),0),
IF('TL05'!$B$3=M$3,SUMIF('TL05'!$C$10:$C$224,$C263,'TL05'!$J$10:$J$224),0),
IF('TL05'!$B$229=M$3,SUMIF('TL05'!$C$238:$C$451,$C263,'TL05'!$J$238:$J$451),0),
IF('TL06'!$B$3=M$3,SUMIF('TL06'!$C$10:$C$224,$C263,'TL06'!$J$10:$J$224),0),
IF('TL06'!$B$229=M$3,SUMIF('TL06'!$C$238:$C$451,$C263,'TL06'!$J$238:$J$451),0),
IF('TL07'!$B$3=M$3,SUMIF('TL07'!$C$10:$C$224,$C263,'TL07'!$J$10:$J$224),0),
IF('TL07'!$B$229=M$3,SUMIF('TL07'!$C$238:$C$451,$C263,'TL07'!$J$238:$J$451),0),
IF('TL08'!$B$3=M$3,SUMIF('TL08'!$C$10:$C$224,$C263,'TL08'!$J$10:$J$224),0),
IF('TL08'!$B$229=M$3,SUMIF('TL08'!$C$238:$C$451,$C263,'TL08'!$J$238:$J$451),0),
IF('TL09'!$B$3=M$3,SUMIF('TL09'!$C$10:$C$224,$C263,'TL09'!$J$10:$J$224),0),
IF('TL09'!$B$229=M$3,SUMIF('TL09'!$C$238:$C$451,$C263,'TL09'!$J$238:$J$451),0),
IF('TL10'!$B$3=M$3,SUMIF('TL10'!$C$10:$C$224,$C263,'TL10'!$J$10:$J$224),0),
IF('TL10'!$B$229=M$3,SUMIF('TL10'!$C$238:$C$451,$C263,'TL10'!$J$238:$J$451),0),
IF('TL11'!$B$3=M$3,SUMIF('TL11'!$C$10:$C$224,$C263,'TL11'!$J$10:$J$224),0),
IF('TL11'!$B$229=M$3,SUMIF('TL11'!$C$238:$C$451,$C263,'TL11'!$J$238:$J$451),0),
IF('TL12'!$B$3=M$3,SUMIF('TL12'!$C$10:$C$224,$C263,'TL12'!$J$10:$J$224),0),
IF('TL12'!$B$229=M$3,SUMIF('TL12'!$C$238:$C$451,$C263,'TL12'!$J$238:$J$451),0),
IF('TL13'!$B$3=M$3,SUMIF('TL13'!$C$10:$C$224,$C263,'TL13'!$J$10:$J$224),0),
IF('TL13'!$B$229=M$3,SUMIF('TL13'!$C$238:$C$451,$C263,'TL13'!$J$238:$J$451),0),
IF('TL14'!$B$3=M$3,SUMIF('TL14'!$C$10:$C$224,$C263,'TL14'!$J$10:$J$224),0),
IF('TL14'!$B$229=M$3,SUMIF('TL14'!$C$238:$C$451,$C263,'TL14'!$J$238:$J$451),0),
IF('TL15'!$B$3=M$3,SUMIF('TL15'!$C$10:$C$224,$C263,'TL15'!$J$10:$J$224),0),
IF('TL15'!$B$229=M$3,SUMIF('TL15'!$C$238:$C$451,$C263,'TL15'!$J$238:$J$451),0),
IF('TL16'!$B$3=M$3,SUMIF('TL16'!$C$10:$C$224,$C263,'TL16'!$J$10:$J$224),0),
IF('TL16'!$B$229=M$3,SUMIF('TL16'!$C$238:$C$451,$C263,'TL16'!$J$238:$J$451),0),
IF('TL17'!$B$3=M$3,SUMIF('TL17'!$C$10:$C$224,$C263,'TL17'!$J$10:$J$224),0),
IF('TL17'!$B$229=M$3,SUMIF('TL17'!$C$238:$C$451,$C263,'TL17'!$J$238:$J$451),0),
IF('TL18'!$B$3=M$3,SUMIF('TL18'!$C$10:$C$224,$C263,'TL18'!$J$10:$J$224),0),
IF('TL18'!$B$229=M$3,SUMIF('TL18'!$C$238:$C$451,$C263,'TL18'!$J$238:$J$451),0),
IF('TL19'!$B$3=M$3,SUMIF('TL19'!$C$10:$C$224,$C263,'TL19'!$J$10:$J$224),0),
IF('TL19'!$B$229=M$3,SUMIF('TL19'!$C$238:$C$451,$C263,'TL19'!$J$238:$J$451),0)
),0)</f>
        <v>0</v>
      </c>
      <c r="N263" s="9">
        <f>IFERROR(SUM(
IF('TL01'!$B$3=N$3,SUMIF('TL01'!$C$10:$C$224,$C263,'TL01'!$J$10:$J$224),0),
IF('TL01'!$B$229=N$3,SUMIF('TL01'!$C$238:$C$451,$C263,'TL01'!$J$238:$J$451),0),
IF('TL02'!$B$3=N$3,SUMIF('TL02'!$C$10:$C$224,$C263,'TL02'!$J$10:$J$224),0),
IF('TL02'!$B$229=N$3,SUMIF('TL02'!$C$238:$C$451,$C263,'TL02'!$J$238:$J$451),0),
IF('TL03'!$B$3=N$3,SUMIF('TL03'!$C$10:$C$224,$C263,'TL03'!$J$10:$J$224),0),
IF('TL03'!$B$229=N$3,SUMIF('TL03'!$C$238:$C$451,$C263,'TL03'!$J$238:$J$451),0),
IF('TL04'!$B$3=N$3,SUMIF('TL04'!$C$10:$C$224,$C263,'TL04'!$J$10:$J$224),0),
IF('TL04'!$B$229=N$3,SUMIF('TL04'!$C$238:$C$451,$C263,'TL04'!$J$238:$J$451),0),
IF('TL05'!$B$3=N$3,SUMIF('TL05'!$C$10:$C$224,$C263,'TL05'!$J$10:$J$224),0),
IF('TL05'!$B$229=N$3,SUMIF('TL05'!$C$238:$C$451,$C263,'TL05'!$J$238:$J$451),0),
IF('TL06'!$B$3=N$3,SUMIF('TL06'!$C$10:$C$224,$C263,'TL06'!$J$10:$J$224),0),
IF('TL06'!$B$229=N$3,SUMIF('TL06'!$C$238:$C$451,$C263,'TL06'!$J$238:$J$451),0),
IF('TL07'!$B$3=N$3,SUMIF('TL07'!$C$10:$C$224,$C263,'TL07'!$J$10:$J$224),0),
IF('TL07'!$B$229=N$3,SUMIF('TL07'!$C$238:$C$451,$C263,'TL07'!$J$238:$J$451),0),
IF('TL08'!$B$3=N$3,SUMIF('TL08'!$C$10:$C$224,$C263,'TL08'!$J$10:$J$224),0),
IF('TL08'!$B$229=N$3,SUMIF('TL08'!$C$238:$C$451,$C263,'TL08'!$J$238:$J$451),0),
IF('TL09'!$B$3=N$3,SUMIF('TL09'!$C$10:$C$224,$C263,'TL09'!$J$10:$J$224),0),
IF('TL09'!$B$229=N$3,SUMIF('TL09'!$C$238:$C$451,$C263,'TL09'!$J$238:$J$451),0),
IF('TL10'!$B$3=N$3,SUMIF('TL10'!$C$10:$C$224,$C263,'TL10'!$J$10:$J$224),0),
IF('TL10'!$B$229=N$3,SUMIF('TL10'!$C$238:$C$451,$C263,'TL10'!$J$238:$J$451),0),
IF('TL11'!$B$3=N$3,SUMIF('TL11'!$C$10:$C$224,$C263,'TL11'!$J$10:$J$224),0),
IF('TL11'!$B$229=N$3,SUMIF('TL11'!$C$238:$C$451,$C263,'TL11'!$J$238:$J$451),0),
IF('TL12'!$B$3=N$3,SUMIF('TL12'!$C$10:$C$224,$C263,'TL12'!$J$10:$J$224),0),
IF('TL12'!$B$229=N$3,SUMIF('TL12'!$C$238:$C$451,$C263,'TL12'!$J$238:$J$451),0),
IF('TL13'!$B$3=N$3,SUMIF('TL13'!$C$10:$C$224,$C263,'TL13'!$J$10:$J$224),0),
IF('TL13'!$B$229=N$3,SUMIF('TL13'!$C$238:$C$451,$C263,'TL13'!$J$238:$J$451),0),
IF('TL14'!$B$3=N$3,SUMIF('TL14'!$C$10:$C$224,$C263,'TL14'!$J$10:$J$224),0),
IF('TL14'!$B$229=N$3,SUMIF('TL14'!$C$238:$C$451,$C263,'TL14'!$J$238:$J$451),0),
IF('TL15'!$B$3=N$3,SUMIF('TL15'!$C$10:$C$224,$C263,'TL15'!$J$10:$J$224),0),
IF('TL15'!$B$229=N$3,SUMIF('TL15'!$C$238:$C$451,$C263,'TL15'!$J$238:$J$451),0),
IF('TL16'!$B$3=N$3,SUMIF('TL16'!$C$10:$C$224,$C263,'TL16'!$J$10:$J$224),0),
IF('TL16'!$B$229=N$3,SUMIF('TL16'!$C$238:$C$451,$C263,'TL16'!$J$238:$J$451),0),
IF('TL17'!$B$3=N$3,SUMIF('TL17'!$C$10:$C$224,$C263,'TL17'!$J$10:$J$224),0),
IF('TL17'!$B$229=N$3,SUMIF('TL17'!$C$238:$C$451,$C263,'TL17'!$J$238:$J$451),0),
IF('TL18'!$B$3=N$3,SUMIF('TL18'!$C$10:$C$224,$C263,'TL18'!$J$10:$J$224),0),
IF('TL18'!$B$229=N$3,SUMIF('TL18'!$C$238:$C$451,$C263,'TL18'!$J$238:$J$451),0),
IF('TL19'!$B$3=N$3,SUMIF('TL19'!$C$10:$C$224,$C263,'TL19'!$J$10:$J$224),0),
IF('TL19'!$B$229=N$3,SUMIF('TL19'!$C$238:$C$451,$C263,'TL19'!$J$238:$J$451),0)
),0)</f>
        <v>0</v>
      </c>
      <c r="O263" s="9">
        <f>IFERROR(SUM(
IF('TL01'!$B$3=O$3,SUMIF('TL01'!$C$10:$C$224,$C263,'TL01'!$J$10:$J$224),0),
IF('TL01'!$B$229=O$3,SUMIF('TL01'!$C$238:$C$451,$C263,'TL01'!$J$238:$J$451),0),
IF('TL02'!$B$3=O$3,SUMIF('TL02'!$C$10:$C$224,$C263,'TL02'!$J$10:$J$224),0),
IF('TL02'!$B$229=O$3,SUMIF('TL02'!$C$238:$C$451,$C263,'TL02'!$J$238:$J$451),0),
IF('TL03'!$B$3=O$3,SUMIF('TL03'!$C$10:$C$224,$C263,'TL03'!$J$10:$J$224),0),
IF('TL03'!$B$229=O$3,SUMIF('TL03'!$C$238:$C$451,$C263,'TL03'!$J$238:$J$451),0),
IF('TL04'!$B$3=O$3,SUMIF('TL04'!$C$10:$C$224,$C263,'TL04'!$J$10:$J$224),0),
IF('TL04'!$B$229=O$3,SUMIF('TL04'!$C$238:$C$451,$C263,'TL04'!$J$238:$J$451),0),
IF('TL05'!$B$3=O$3,SUMIF('TL05'!$C$10:$C$224,$C263,'TL05'!$J$10:$J$224),0),
IF('TL05'!$B$229=O$3,SUMIF('TL05'!$C$238:$C$451,$C263,'TL05'!$J$238:$J$451),0),
IF('TL06'!$B$3=O$3,SUMIF('TL06'!$C$10:$C$224,$C263,'TL06'!$J$10:$J$224),0),
IF('TL06'!$B$229=O$3,SUMIF('TL06'!$C$238:$C$451,$C263,'TL06'!$J$238:$J$451),0),
IF('TL07'!$B$3=O$3,SUMIF('TL07'!$C$10:$C$224,$C263,'TL07'!$J$10:$J$224),0),
IF('TL07'!$B$229=O$3,SUMIF('TL07'!$C$238:$C$451,$C263,'TL07'!$J$238:$J$451),0),
IF('TL08'!$B$3=O$3,SUMIF('TL08'!$C$10:$C$224,$C263,'TL08'!$J$10:$J$224),0),
IF('TL08'!$B$229=O$3,SUMIF('TL08'!$C$238:$C$451,$C263,'TL08'!$J$238:$J$451),0),
IF('TL09'!$B$3=O$3,SUMIF('TL09'!$C$10:$C$224,$C263,'TL09'!$J$10:$J$224),0),
IF('TL09'!$B$229=O$3,SUMIF('TL09'!$C$238:$C$451,$C263,'TL09'!$J$238:$J$451),0),
IF('TL10'!$B$3=O$3,SUMIF('TL10'!$C$10:$C$224,$C263,'TL10'!$J$10:$J$224),0),
IF('TL10'!$B$229=O$3,SUMIF('TL10'!$C$238:$C$451,$C263,'TL10'!$J$238:$J$451),0),
IF('TL11'!$B$3=O$3,SUMIF('TL11'!$C$10:$C$224,$C263,'TL11'!$J$10:$J$224),0),
IF('TL11'!$B$229=O$3,SUMIF('TL11'!$C$238:$C$451,$C263,'TL11'!$J$238:$J$451),0),
IF('TL12'!$B$3=O$3,SUMIF('TL12'!$C$10:$C$224,$C263,'TL12'!$J$10:$J$224),0),
IF('TL12'!$B$229=O$3,SUMIF('TL12'!$C$238:$C$451,$C263,'TL12'!$J$238:$J$451),0),
IF('TL13'!$B$3=O$3,SUMIF('TL13'!$C$10:$C$224,$C263,'TL13'!$J$10:$J$224),0),
IF('TL13'!$B$229=O$3,SUMIF('TL13'!$C$238:$C$451,$C263,'TL13'!$J$238:$J$451),0),
IF('TL14'!$B$3=O$3,SUMIF('TL14'!$C$10:$C$224,$C263,'TL14'!$J$10:$J$224),0),
IF('TL14'!$B$229=O$3,SUMIF('TL14'!$C$238:$C$451,$C263,'TL14'!$J$238:$J$451),0),
IF('TL15'!$B$3=O$3,SUMIF('TL15'!$C$10:$C$224,$C263,'TL15'!$J$10:$J$224),0),
IF('TL15'!$B$229=O$3,SUMIF('TL15'!$C$238:$C$451,$C263,'TL15'!$J$238:$J$451),0),
IF('TL16'!$B$3=O$3,SUMIF('TL16'!$C$10:$C$224,$C263,'TL16'!$J$10:$J$224),0),
IF('TL16'!$B$229=O$3,SUMIF('TL16'!$C$238:$C$451,$C263,'TL16'!$J$238:$J$451),0),
IF('TL17'!$B$3=O$3,SUMIF('TL17'!$C$10:$C$224,$C263,'TL17'!$J$10:$J$224),0),
IF('TL17'!$B$229=O$3,SUMIF('TL17'!$C$238:$C$451,$C263,'TL17'!$J$238:$J$451),0),
IF('TL18'!$B$3=O$3,SUMIF('TL18'!$C$10:$C$224,$C263,'TL18'!$J$10:$J$224),0),
IF('TL18'!$B$229=O$3,SUMIF('TL18'!$C$238:$C$451,$C263,'TL18'!$J$238:$J$451),0),
IF('TL19'!$B$3=O$3,SUMIF('TL19'!$C$10:$C$224,$C263,'TL19'!$J$10:$J$224),0),
IF('TL19'!$B$229=O$3,SUMIF('TL19'!$C$238:$C$451,$C263,'TL19'!$J$238:$J$451),0)
),0)</f>
        <v>0</v>
      </c>
      <c r="P263" s="9">
        <f>IFERROR(SUM(
IF('TL01'!$B$3=P$3,SUMIF('TL01'!$C$10:$C$224,$C263,'TL01'!$J$10:$J$224),0),
IF('TL01'!$B$229=P$3,SUMIF('TL01'!$C$238:$C$451,$C263,'TL01'!$J$238:$J$451),0),
IF('TL02'!$B$3=P$3,SUMIF('TL02'!$C$10:$C$224,$C263,'TL02'!$J$10:$J$224),0),
IF('TL02'!$B$229=P$3,SUMIF('TL02'!$C$238:$C$451,$C263,'TL02'!$J$238:$J$451),0),
IF('TL03'!$B$3=P$3,SUMIF('TL03'!$C$10:$C$224,$C263,'TL03'!$J$10:$J$224),0),
IF('TL03'!$B$229=P$3,SUMIF('TL03'!$C$238:$C$451,$C263,'TL03'!$J$238:$J$451),0),
IF('TL04'!$B$3=P$3,SUMIF('TL04'!$C$10:$C$224,$C263,'TL04'!$J$10:$J$224),0),
IF('TL04'!$B$229=P$3,SUMIF('TL04'!$C$238:$C$451,$C263,'TL04'!$J$238:$J$451),0),
IF('TL05'!$B$3=P$3,SUMIF('TL05'!$C$10:$C$224,$C263,'TL05'!$J$10:$J$224),0),
IF('TL05'!$B$229=P$3,SUMIF('TL05'!$C$238:$C$451,$C263,'TL05'!$J$238:$J$451),0),
IF('TL06'!$B$3=P$3,SUMIF('TL06'!$C$10:$C$224,$C263,'TL06'!$J$10:$J$224),0),
IF('TL06'!$B$229=P$3,SUMIF('TL06'!$C$238:$C$451,$C263,'TL06'!$J$238:$J$451),0),
IF('TL07'!$B$3=P$3,SUMIF('TL07'!$C$10:$C$224,$C263,'TL07'!$J$10:$J$224),0),
IF('TL07'!$B$229=P$3,SUMIF('TL07'!$C$238:$C$451,$C263,'TL07'!$J$238:$J$451),0),
IF('TL08'!$B$3=P$3,SUMIF('TL08'!$C$10:$C$224,$C263,'TL08'!$J$10:$J$224),0),
IF('TL08'!$B$229=P$3,SUMIF('TL08'!$C$238:$C$451,$C263,'TL08'!$J$238:$J$451),0),
IF('TL09'!$B$3=P$3,SUMIF('TL09'!$C$10:$C$224,$C263,'TL09'!$J$10:$J$224),0),
IF('TL09'!$B$229=P$3,SUMIF('TL09'!$C$238:$C$451,$C263,'TL09'!$J$238:$J$451),0),
IF('TL10'!$B$3=P$3,SUMIF('TL10'!$C$10:$C$224,$C263,'TL10'!$J$10:$J$224),0),
IF('TL10'!$B$229=P$3,SUMIF('TL10'!$C$238:$C$451,$C263,'TL10'!$J$238:$J$451),0),
IF('TL11'!$B$3=P$3,SUMIF('TL11'!$C$10:$C$224,$C263,'TL11'!$J$10:$J$224),0),
IF('TL11'!$B$229=P$3,SUMIF('TL11'!$C$238:$C$451,$C263,'TL11'!$J$238:$J$451),0),
IF('TL12'!$B$3=P$3,SUMIF('TL12'!$C$10:$C$224,$C263,'TL12'!$J$10:$J$224),0),
IF('TL12'!$B$229=P$3,SUMIF('TL12'!$C$238:$C$451,$C263,'TL12'!$J$238:$J$451),0),
IF('TL13'!$B$3=P$3,SUMIF('TL13'!$C$10:$C$224,$C263,'TL13'!$J$10:$J$224),0),
IF('TL13'!$B$229=P$3,SUMIF('TL13'!$C$238:$C$451,$C263,'TL13'!$J$238:$J$451),0),
IF('TL14'!$B$3=P$3,SUMIF('TL14'!$C$10:$C$224,$C263,'TL14'!$J$10:$J$224),0),
IF('TL14'!$B$229=P$3,SUMIF('TL14'!$C$238:$C$451,$C263,'TL14'!$J$238:$J$451),0),
IF('TL15'!$B$3=P$3,SUMIF('TL15'!$C$10:$C$224,$C263,'TL15'!$J$10:$J$224),0),
IF('TL15'!$B$229=P$3,SUMIF('TL15'!$C$238:$C$451,$C263,'TL15'!$J$238:$J$451),0),
IF('TL16'!$B$3=P$3,SUMIF('TL16'!$C$10:$C$224,$C263,'TL16'!$J$10:$J$224),0),
IF('TL16'!$B$229=P$3,SUMIF('TL16'!$C$238:$C$451,$C263,'TL16'!$J$238:$J$451),0),
IF('TL17'!$B$3=P$3,SUMIF('TL17'!$C$10:$C$224,$C263,'TL17'!$J$10:$J$224),0),
IF('TL17'!$B$229=P$3,SUMIF('TL17'!$C$238:$C$451,$C263,'TL17'!$J$238:$J$451),0),
IF('TL18'!$B$3=P$3,SUMIF('TL18'!$C$10:$C$224,$C263,'TL18'!$J$10:$J$224),0),
IF('TL18'!$B$229=P$3,SUMIF('TL18'!$C$238:$C$451,$C263,'TL18'!$J$238:$J$451),0),
IF('TL19'!$B$3=P$3,SUMIF('TL19'!$C$10:$C$224,$C263,'TL19'!$J$10:$J$224),0),
IF('TL19'!$B$229=P$3,SUMIF('TL19'!$C$238:$C$451,$C263,'TL19'!$J$238:$J$451),0)
),0)</f>
        <v>0</v>
      </c>
      <c r="Q263" s="9">
        <f>IFERROR(SUM(
IF('TL01'!$B$3=Q$3,SUMIF('TL01'!$C$10:$C$224,$C263,'TL01'!$J$10:$J$224),0),
IF('TL01'!$B$229=Q$3,SUMIF('TL01'!$C$238:$C$451,$C263,'TL01'!$J$238:$J$451),0),
IF('TL02'!$B$3=Q$3,SUMIF('TL02'!$C$10:$C$224,$C263,'TL02'!$J$10:$J$224),0),
IF('TL02'!$B$229=Q$3,SUMIF('TL02'!$C$238:$C$451,$C263,'TL02'!$J$238:$J$451),0),
IF('TL03'!$B$3=Q$3,SUMIF('TL03'!$C$10:$C$224,$C263,'TL03'!$J$10:$J$224),0),
IF('TL03'!$B$229=Q$3,SUMIF('TL03'!$C$238:$C$451,$C263,'TL03'!$J$238:$J$451),0),
IF('TL04'!$B$3=Q$3,SUMIF('TL04'!$C$10:$C$224,$C263,'TL04'!$J$10:$J$224),0),
IF('TL04'!$B$229=Q$3,SUMIF('TL04'!$C$238:$C$451,$C263,'TL04'!$J$238:$J$451),0),
IF('TL05'!$B$3=Q$3,SUMIF('TL05'!$C$10:$C$224,$C263,'TL05'!$J$10:$J$224),0),
IF('TL05'!$B$229=Q$3,SUMIF('TL05'!$C$238:$C$451,$C263,'TL05'!$J$238:$J$451),0),
IF('TL06'!$B$3=Q$3,SUMIF('TL06'!$C$10:$C$224,$C263,'TL06'!$J$10:$J$224),0),
IF('TL06'!$B$229=Q$3,SUMIF('TL06'!$C$238:$C$451,$C263,'TL06'!$J$238:$J$451),0),
IF('TL07'!$B$3=Q$3,SUMIF('TL07'!$C$10:$C$224,$C263,'TL07'!$J$10:$J$224),0),
IF('TL07'!$B$229=Q$3,SUMIF('TL07'!$C$238:$C$451,$C263,'TL07'!$J$238:$J$451),0),
IF('TL08'!$B$3=Q$3,SUMIF('TL08'!$C$10:$C$224,$C263,'TL08'!$J$10:$J$224),0),
IF('TL08'!$B$229=Q$3,SUMIF('TL08'!$C$238:$C$451,$C263,'TL08'!$J$238:$J$451),0),
IF('TL09'!$B$3=Q$3,SUMIF('TL09'!$C$10:$C$224,$C263,'TL09'!$J$10:$J$224),0),
IF('TL09'!$B$229=Q$3,SUMIF('TL09'!$C$238:$C$451,$C263,'TL09'!$J$238:$J$451),0),
IF('TL10'!$B$3=Q$3,SUMIF('TL10'!$C$10:$C$224,$C263,'TL10'!$J$10:$J$224),0),
IF('TL10'!$B$229=Q$3,SUMIF('TL10'!$C$238:$C$451,$C263,'TL10'!$J$238:$J$451),0),
IF('TL11'!$B$3=Q$3,SUMIF('TL11'!$C$10:$C$224,$C263,'TL11'!$J$10:$J$224),0),
IF('TL11'!$B$229=Q$3,SUMIF('TL11'!$C$238:$C$451,$C263,'TL11'!$J$238:$J$451),0),
IF('TL12'!$B$3=Q$3,SUMIF('TL12'!$C$10:$C$224,$C263,'TL12'!$J$10:$J$224),0),
IF('TL12'!$B$229=Q$3,SUMIF('TL12'!$C$238:$C$451,$C263,'TL12'!$J$238:$J$451),0),
IF('TL13'!$B$3=Q$3,SUMIF('TL13'!$C$10:$C$224,$C263,'TL13'!$J$10:$J$224),0),
IF('TL13'!$B$229=Q$3,SUMIF('TL13'!$C$238:$C$451,$C263,'TL13'!$J$238:$J$451),0),
IF('TL14'!$B$3=Q$3,SUMIF('TL14'!$C$10:$C$224,$C263,'TL14'!$J$10:$J$224),0),
IF('TL14'!$B$229=Q$3,SUMIF('TL14'!$C$238:$C$451,$C263,'TL14'!$J$238:$J$451),0),
IF('TL15'!$B$3=Q$3,SUMIF('TL15'!$C$10:$C$224,$C263,'TL15'!$J$10:$J$224),0),
IF('TL15'!$B$229=Q$3,SUMIF('TL15'!$C$238:$C$451,$C263,'TL15'!$J$238:$J$451),0),
IF('TL16'!$B$3=Q$3,SUMIF('TL16'!$C$10:$C$224,$C263,'TL16'!$J$10:$J$224),0),
IF('TL16'!$B$229=Q$3,SUMIF('TL16'!$C$238:$C$451,$C263,'TL16'!$J$238:$J$451),0),
IF('TL17'!$B$3=Q$3,SUMIF('TL17'!$C$10:$C$224,$C263,'TL17'!$J$10:$J$224),0),
IF('TL17'!$B$229=Q$3,SUMIF('TL17'!$C$238:$C$451,$C263,'TL17'!$J$238:$J$451),0),
IF('TL18'!$B$3=Q$3,SUMIF('TL18'!$C$10:$C$224,$C263,'TL18'!$J$10:$J$224),0),
IF('TL18'!$B$229=Q$3,SUMIF('TL18'!$C$238:$C$451,$C263,'TL18'!$J$238:$J$451),0),
IF('TL19'!$B$3=Q$3,SUMIF('TL19'!$C$10:$C$224,$C263,'TL19'!$J$10:$J$224),0),
IF('TL19'!$B$229=Q$3,SUMIF('TL19'!$C$238:$C$451,$C263,'TL19'!$J$238:$J$451),0)
),0)</f>
        <v>0</v>
      </c>
      <c r="R263" s="9">
        <f>IFERROR(
SUM(
SUMIF('TL01'!C:C,C263,'TL01'!J:J),
SUMIF('TL02'!C:C,C263,'TL02'!J:J),
SUMIF('TL03'!C:C,C263,'TL03'!J:J),
SUMIF('TL04'!C:C,C263,'TL04'!J:J),
SUMIF('TL05'!C:C,C263,'TL05'!J:J),
SUMIF('TL06'!C:C,C263,'TL06'!J:J),
SUMIF('TL07'!C:C,C263,'TL07'!J:J),
SUMIF('TL08'!C:C,C263,'TL08'!J:J),
SUMIF('TL09'!C:C,C263,'TL09'!J:J),
SUMIF('TL10'!C:C,C263,'TL10'!J:J),
SUMIF('TL11'!C:C,C263,'TL11'!J:J),
SUMIF('TL12'!C:C,C263,'TL12'!J:J),
SUMIF('TL13'!C:C,C263,'TL13'!J:J),
SUMIF('TL14'!C:C,C263,'TL14'!J:J),
SUMIF('TL15'!C:C,C263,'TL15'!J:J),
SUMIF('TL16'!C:C,C263,'TL16'!J:J),
SUMIF('TL17'!C:C,C263,'TL17'!J:J),
SUMIF('TL18'!C:C,C263,'TL18'!J:J),SUMIF('TL19'!C:C,C263,'TL19'!J:J))
,0)</f>
        <v>0</v>
      </c>
      <c r="S263" s="17">
        <f>IFERROR(__xludf.DUMMYFUNCTION("IFERROR(VLOOKUP(C263,
IMPORTRANGE(""1wULbzX32WdYsx-lj2U3uUNBBe2INVIRDtcK0d-Dvl90"",
""26-27!C:G""),
5,
FALSE),
"""")"),38.8)</f>
        <v>38.8</v>
      </c>
      <c r="T263" s="9"/>
      <c r="U263" s="92">
        <f t="shared" si="2"/>
        <v>0</v>
      </c>
      <c r="V263" s="93">
        <f t="shared" si="3"/>
        <v>0</v>
      </c>
    </row>
    <row r="264" ht="15.75" hidden="1" customHeight="1">
      <c r="A264" s="4" t="s">
        <v>955</v>
      </c>
      <c r="B264" s="125" t="s">
        <v>9</v>
      </c>
      <c r="C264" s="4" t="s">
        <v>957</v>
      </c>
      <c r="D264" s="6"/>
      <c r="E264" s="9"/>
      <c r="F264" s="4" t="s">
        <v>343</v>
      </c>
      <c r="G264" s="9"/>
      <c r="H264" s="9">
        <v>0.1</v>
      </c>
      <c r="I264" s="1"/>
      <c r="J264" s="9">
        <f>IFERROR(SUM(
IF('TL01'!$B$3=J$3,SUMIF('TL01'!$C$10:$C$224,$C264,'TL01'!$J$10:$J$224),0),
IF('TL01'!$B$229=J$3,SUMIF('TL01'!$C$238:$C$451,$C264,'TL01'!$J$238:$J$451),0),
IF('TL02'!$B$3=J$3,SUMIF('TL02'!$C$10:$C$224,$C264,'TL02'!$J$10:$J$224),0),
IF('TL02'!$B$229=J$3,SUMIF('TL02'!$C$238:$C$451,$C264,'TL02'!$J$238:$J$451),0),
IF('TL03'!$B$3=J$3,SUMIF('TL03'!$C$10:$C$224,$C264,'TL03'!$J$10:$J$224),0),
IF('TL03'!$B$229=J$3,SUMIF('TL03'!$C$238:$C$451,$C264,'TL03'!$J$238:$J$451),0),
IF('TL04'!$B$3=J$3,SUMIF('TL04'!$C$10:$C$224,$C264,'TL04'!$J$10:$J$224),0),
IF('TL04'!$B$229=J$3,SUMIF('TL04'!$C$238:$C$451,$C264,'TL04'!$J$238:$J$451),0),
IF('TL05'!$B$3=J$3,SUMIF('TL05'!$C$10:$C$224,$C264,'TL05'!$J$10:$J$224),0),
IF('TL05'!$B$229=J$3,SUMIF('TL05'!$C$238:$C$451,$C264,'TL05'!$J$238:$J$451),0),
IF('TL06'!$B$3=J$3,SUMIF('TL06'!$C$10:$C$224,$C264,'TL06'!$J$10:$J$224),0),
IF('TL06'!$B$229=J$3,SUMIF('TL06'!$C$238:$C$451,$C264,'TL06'!$J$238:$J$451),0),
IF('TL07'!$B$3=J$3,SUMIF('TL07'!$C$10:$C$224,$C264,'TL07'!$J$10:$J$224),0),
IF('TL07'!$B$229=J$3,SUMIF('TL07'!$C$238:$C$451,$C264,'TL07'!$J$238:$J$451),0),
IF('TL08'!$B$3=J$3,SUMIF('TL08'!$C$10:$C$224,$C264,'TL08'!$J$10:$J$224),0),
IF('TL08'!$B$229=J$3,SUMIF('TL08'!$C$238:$C$451,$C264,'TL08'!$J$238:$J$451),0),
IF('TL09'!$B$3=J$3,SUMIF('TL09'!$C$10:$C$224,$C264,'TL09'!$J$10:$J$224),0),
IF('TL09'!$B$229=J$3,SUMIF('TL09'!$C$238:$C$451,$C264,'TL09'!$J$238:$J$451),0),
IF('TL10'!$B$3=J$3,SUMIF('TL10'!$C$10:$C$224,$C264,'TL10'!$J$10:$J$224),0),
IF('TL10'!$B$229=J$3,SUMIF('TL10'!$C$238:$C$451,$C264,'TL10'!$J$238:$J$451),0),
IF('TL11'!$B$3=J$3,SUMIF('TL11'!$C$10:$C$224,$C264,'TL11'!$J$10:$J$224),0),
IF('TL11'!$B$229=J$3,SUMIF('TL11'!$C$238:$C$451,$C264,'TL11'!$J$238:$J$451),0),
IF('TL12'!$B$3=J$3,SUMIF('TL12'!$C$10:$C$224,$C264,'TL12'!$J$10:$J$224),0),
IF('TL12'!$B$229=J$3,SUMIF('TL12'!$C$238:$C$451,$C264,'TL12'!$J$238:$J$451),0),
IF('TL13'!$B$3=J$3,SUMIF('TL13'!$C$10:$C$224,$C264,'TL13'!$J$10:$J$224),0),
IF('TL13'!$B$229=J$3,SUMIF('TL13'!$C$238:$C$451,$C264,'TL13'!$J$238:$J$451),0),
IF('TL14'!$B$3=J$3,SUMIF('TL14'!$C$10:$C$224,$C264,'TL14'!$J$10:$J$224),0),
IF('TL14'!$B$229=J$3,SUMIF('TL14'!$C$238:$C$451,$C264,'TL14'!$J$238:$J$451),0),
IF('TL15'!$B$3=J$3,SUMIF('TL15'!$C$10:$C$224,$C264,'TL15'!$J$10:$J$224),0),
IF('TL15'!$B$229=J$3,SUMIF('TL15'!$C$238:$C$451,$C264,'TL15'!$J$238:$J$451),0),
IF('TL16'!$B$3=J$3,SUMIF('TL16'!$C$10:$C$224,$C264,'TL16'!$J$10:$J$224),0),
IF('TL16'!$B$229=J$3,SUMIF('TL16'!$C$238:$C$451,$C264,'TL16'!$J$238:$J$451),0),
IF('TL17'!$B$3=J$3,SUMIF('TL17'!$C$10:$C$224,$C264,'TL17'!$J$10:$J$224),0),
IF('TL17'!$B$229=J$3,SUMIF('TL17'!$C$238:$C$451,$C264,'TL17'!$J$238:$J$451),0),
IF('TL18'!$B$3=J$3,SUMIF('TL18'!$C$10:$C$224,$C264,'TL18'!$J$10:$J$224),0),
IF('TL18'!$B$229=J$3,SUMIF('TL18'!$C$238:$C$451,$C264,'TL18'!$J$238:$J$451),0),
IF('TL19'!$B$3=J$3,SUMIF('TL19'!$C$10:$C$224,$C264,'TL19'!$J$10:$J$224),0),
IF('TL19'!$B$229=J$3,SUMIF('TL19'!$C$238:$C$451,$C264,'TL19'!$J$238:$J$451),0)
),0)</f>
        <v>0</v>
      </c>
      <c r="K264" s="9">
        <f>IFERROR(SUM(
IF('TL01'!$B$3=K$3,SUMIF('TL01'!$C$10:$C$224,$C264,'TL01'!$J$10:$J$224),0),
IF('TL01'!$B$229=K$3,SUMIF('TL01'!$C$238:$C$451,$C264,'TL01'!$J$238:$J$451),0),
IF('TL02'!$B$3=K$3,SUMIF('TL02'!$C$10:$C$224,$C264,'TL02'!$J$10:$J$224),0),
IF('TL02'!$B$229=K$3,SUMIF('TL02'!$C$238:$C$451,$C264,'TL02'!$J$238:$J$451),0),
IF('TL03'!$B$3=K$3,SUMIF('TL03'!$C$10:$C$224,$C264,'TL03'!$J$10:$J$224),0),
IF('TL03'!$B$229=K$3,SUMIF('TL03'!$C$238:$C$451,$C264,'TL03'!$J$238:$J$451),0),
IF('TL04'!$B$3=K$3,SUMIF('TL04'!$C$10:$C$224,$C264,'TL04'!$J$10:$J$224),0),
IF('TL04'!$B$229=K$3,SUMIF('TL04'!$C$238:$C$451,$C264,'TL04'!$J$238:$J$451),0),
IF('TL05'!$B$3=K$3,SUMIF('TL05'!$C$10:$C$224,$C264,'TL05'!$J$10:$J$224),0),
IF('TL05'!$B$229=K$3,SUMIF('TL05'!$C$238:$C$451,$C264,'TL05'!$J$238:$J$451),0),
IF('TL06'!$B$3=K$3,SUMIF('TL06'!$C$10:$C$224,$C264,'TL06'!$J$10:$J$224),0),
IF('TL06'!$B$229=K$3,SUMIF('TL06'!$C$238:$C$451,$C264,'TL06'!$J$238:$J$451),0),
IF('TL07'!$B$3=K$3,SUMIF('TL07'!$C$10:$C$224,$C264,'TL07'!$J$10:$J$224),0),
IF('TL07'!$B$229=K$3,SUMIF('TL07'!$C$238:$C$451,$C264,'TL07'!$J$238:$J$451),0),
IF('TL08'!$B$3=K$3,SUMIF('TL08'!$C$10:$C$224,$C264,'TL08'!$J$10:$J$224),0),
IF('TL08'!$B$229=K$3,SUMIF('TL08'!$C$238:$C$451,$C264,'TL08'!$J$238:$J$451),0),
IF('TL09'!$B$3=K$3,SUMIF('TL09'!$C$10:$C$224,$C264,'TL09'!$J$10:$J$224),0),
IF('TL09'!$B$229=K$3,SUMIF('TL09'!$C$238:$C$451,$C264,'TL09'!$J$238:$J$451),0),
IF('TL10'!$B$3=K$3,SUMIF('TL10'!$C$10:$C$224,$C264,'TL10'!$J$10:$J$224),0),
IF('TL10'!$B$229=K$3,SUMIF('TL10'!$C$238:$C$451,$C264,'TL10'!$J$238:$J$451),0),
IF('TL11'!$B$3=K$3,SUMIF('TL11'!$C$10:$C$224,$C264,'TL11'!$J$10:$J$224),0),
IF('TL11'!$B$229=K$3,SUMIF('TL11'!$C$238:$C$451,$C264,'TL11'!$J$238:$J$451),0),
IF('TL12'!$B$3=K$3,SUMIF('TL12'!$C$10:$C$224,$C264,'TL12'!$J$10:$J$224),0),
IF('TL12'!$B$229=K$3,SUMIF('TL12'!$C$238:$C$451,$C264,'TL12'!$J$238:$J$451),0),
IF('TL13'!$B$3=K$3,SUMIF('TL13'!$C$10:$C$224,$C264,'TL13'!$J$10:$J$224),0),
IF('TL13'!$B$229=K$3,SUMIF('TL13'!$C$238:$C$451,$C264,'TL13'!$J$238:$J$451),0),
IF('TL14'!$B$3=K$3,SUMIF('TL14'!$C$10:$C$224,$C264,'TL14'!$J$10:$J$224),0),
IF('TL14'!$B$229=K$3,SUMIF('TL14'!$C$238:$C$451,$C264,'TL14'!$J$238:$J$451),0),
IF('TL15'!$B$3=K$3,SUMIF('TL15'!$C$10:$C$224,$C264,'TL15'!$J$10:$J$224),0),
IF('TL15'!$B$229=K$3,SUMIF('TL15'!$C$238:$C$451,$C264,'TL15'!$J$238:$J$451),0),
IF('TL16'!$B$3=K$3,SUMIF('TL16'!$C$10:$C$224,$C264,'TL16'!$J$10:$J$224),0),
IF('TL16'!$B$229=K$3,SUMIF('TL16'!$C$238:$C$451,$C264,'TL16'!$J$238:$J$451),0),
IF('TL17'!$B$3=K$3,SUMIF('TL17'!$C$10:$C$224,$C264,'TL17'!$J$10:$J$224),0),
IF('TL17'!$B$229=K$3,SUMIF('TL17'!$C$238:$C$451,$C264,'TL17'!$J$238:$J$451),0),
IF('TL18'!$B$3=K$3,SUMIF('TL18'!$C$10:$C$224,$C264,'TL18'!$J$10:$J$224),0),
IF('TL18'!$B$229=K$3,SUMIF('TL18'!$C$238:$C$451,$C264,'TL18'!$J$238:$J$451),0),
IF('TL19'!$B$3=K$3,SUMIF('TL19'!$C$10:$C$224,$C264,'TL19'!$J$10:$J$224),0),
IF('TL19'!$B$229=K$3,SUMIF('TL19'!$C$238:$C$451,$C264,'TL19'!$J$238:$J$451),0)
),0)</f>
        <v>0</v>
      </c>
      <c r="L264" s="9">
        <f>IFERROR(SUM(
IF('TL01'!$B$3=L$3,SUMIF('TL01'!$C$10:$C$224,$C264,'TL01'!$J$10:$J$224),0),
IF('TL01'!$B$229=L$3,SUMIF('TL01'!$C$238:$C$451,$C264,'TL01'!$J$238:$J$451),0),
IF('TL02'!$B$3=L$3,SUMIF('TL02'!$C$10:$C$224,$C264,'TL02'!$J$10:$J$224),0),
IF('TL02'!$B$229=L$3,SUMIF('TL02'!$C$238:$C$451,$C264,'TL02'!$J$238:$J$451),0),
IF('TL03'!$B$3=L$3,SUMIF('TL03'!$C$10:$C$224,$C264,'TL03'!$J$10:$J$224),0),
IF('TL03'!$B$229=L$3,SUMIF('TL03'!$C$238:$C$451,$C264,'TL03'!$J$238:$J$451),0),
IF('TL04'!$B$3=L$3,SUMIF('TL04'!$C$10:$C$224,$C264,'TL04'!$J$10:$J$224),0),
IF('TL04'!$B$229=L$3,SUMIF('TL04'!$C$238:$C$451,$C264,'TL04'!$J$238:$J$451),0),
IF('TL05'!$B$3=L$3,SUMIF('TL05'!$C$10:$C$224,$C264,'TL05'!$J$10:$J$224),0),
IF('TL05'!$B$229=L$3,SUMIF('TL05'!$C$238:$C$451,$C264,'TL05'!$J$238:$J$451),0),
IF('TL06'!$B$3=L$3,SUMIF('TL06'!$C$10:$C$224,$C264,'TL06'!$J$10:$J$224),0),
IF('TL06'!$B$229=L$3,SUMIF('TL06'!$C$238:$C$451,$C264,'TL06'!$J$238:$J$451),0),
IF('TL07'!$B$3=L$3,SUMIF('TL07'!$C$10:$C$224,$C264,'TL07'!$J$10:$J$224),0),
IF('TL07'!$B$229=L$3,SUMIF('TL07'!$C$238:$C$451,$C264,'TL07'!$J$238:$J$451),0),
IF('TL08'!$B$3=L$3,SUMIF('TL08'!$C$10:$C$224,$C264,'TL08'!$J$10:$J$224),0),
IF('TL08'!$B$229=L$3,SUMIF('TL08'!$C$238:$C$451,$C264,'TL08'!$J$238:$J$451),0),
IF('TL09'!$B$3=L$3,SUMIF('TL09'!$C$10:$C$224,$C264,'TL09'!$J$10:$J$224),0),
IF('TL09'!$B$229=L$3,SUMIF('TL09'!$C$238:$C$451,$C264,'TL09'!$J$238:$J$451),0),
IF('TL10'!$B$3=L$3,SUMIF('TL10'!$C$10:$C$224,$C264,'TL10'!$J$10:$J$224),0),
IF('TL10'!$B$229=L$3,SUMIF('TL10'!$C$238:$C$451,$C264,'TL10'!$J$238:$J$451),0),
IF('TL11'!$B$3=L$3,SUMIF('TL11'!$C$10:$C$224,$C264,'TL11'!$J$10:$J$224),0),
IF('TL11'!$B$229=L$3,SUMIF('TL11'!$C$238:$C$451,$C264,'TL11'!$J$238:$J$451),0),
IF('TL12'!$B$3=L$3,SUMIF('TL12'!$C$10:$C$224,$C264,'TL12'!$J$10:$J$224),0),
IF('TL12'!$B$229=L$3,SUMIF('TL12'!$C$238:$C$451,$C264,'TL12'!$J$238:$J$451),0),
IF('TL13'!$B$3=L$3,SUMIF('TL13'!$C$10:$C$224,$C264,'TL13'!$J$10:$J$224),0),
IF('TL13'!$B$229=L$3,SUMIF('TL13'!$C$238:$C$451,$C264,'TL13'!$J$238:$J$451),0),
IF('TL14'!$B$3=L$3,SUMIF('TL14'!$C$10:$C$224,$C264,'TL14'!$J$10:$J$224),0),
IF('TL14'!$B$229=L$3,SUMIF('TL14'!$C$238:$C$451,$C264,'TL14'!$J$238:$J$451),0),
IF('TL15'!$B$3=L$3,SUMIF('TL15'!$C$10:$C$224,$C264,'TL15'!$J$10:$J$224),0),
IF('TL15'!$B$229=L$3,SUMIF('TL15'!$C$238:$C$451,$C264,'TL15'!$J$238:$J$451),0),
IF('TL16'!$B$3=L$3,SUMIF('TL16'!$C$10:$C$224,$C264,'TL16'!$J$10:$J$224),0),
IF('TL16'!$B$229=L$3,SUMIF('TL16'!$C$238:$C$451,$C264,'TL16'!$J$238:$J$451),0),
IF('TL17'!$B$3=L$3,SUMIF('TL17'!$C$10:$C$224,$C264,'TL17'!$J$10:$J$224),0),
IF('TL17'!$B$229=L$3,SUMIF('TL17'!$C$238:$C$451,$C264,'TL17'!$J$238:$J$451),0),
IF('TL18'!$B$3=L$3,SUMIF('TL18'!$C$10:$C$224,$C264,'TL18'!$J$10:$J$224),0),
IF('TL18'!$B$229=L$3,SUMIF('TL18'!$C$238:$C$451,$C264,'TL18'!$J$238:$J$451),0),
IF('TL19'!$B$3=L$3,SUMIF('TL19'!$C$10:$C$224,$C264,'TL19'!$J$10:$J$224),0),
IF('TL19'!$B$229=L$3,SUMIF('TL19'!$C$238:$C$451,$C264,'TL19'!$J$238:$J$451),0)
),0)</f>
        <v>0</v>
      </c>
      <c r="M264" s="9">
        <f>IFERROR(SUM(
IF('TL01'!$B$3=M$3,SUMIF('TL01'!$C$10:$C$224,$C264,'TL01'!$J$10:$J$224),0),
IF('TL01'!$B$229=M$3,SUMIF('TL01'!$C$238:$C$451,$C264,'TL01'!$J$238:$J$451),0),
IF('TL02'!$B$3=M$3,SUMIF('TL02'!$C$10:$C$224,$C264,'TL02'!$J$10:$J$224),0),
IF('TL02'!$B$229=M$3,SUMIF('TL02'!$C$238:$C$451,$C264,'TL02'!$J$238:$J$451),0),
IF('TL03'!$B$3=M$3,SUMIF('TL03'!$C$10:$C$224,$C264,'TL03'!$J$10:$J$224),0),
IF('TL03'!$B$229=M$3,SUMIF('TL03'!$C$238:$C$451,$C264,'TL03'!$J$238:$J$451),0),
IF('TL04'!$B$3=M$3,SUMIF('TL04'!$C$10:$C$224,$C264,'TL04'!$J$10:$J$224),0),
IF('TL04'!$B$229=M$3,SUMIF('TL04'!$C$238:$C$451,$C264,'TL04'!$J$238:$J$451),0),
IF('TL05'!$B$3=M$3,SUMIF('TL05'!$C$10:$C$224,$C264,'TL05'!$J$10:$J$224),0),
IF('TL05'!$B$229=M$3,SUMIF('TL05'!$C$238:$C$451,$C264,'TL05'!$J$238:$J$451),0),
IF('TL06'!$B$3=M$3,SUMIF('TL06'!$C$10:$C$224,$C264,'TL06'!$J$10:$J$224),0),
IF('TL06'!$B$229=M$3,SUMIF('TL06'!$C$238:$C$451,$C264,'TL06'!$J$238:$J$451),0),
IF('TL07'!$B$3=M$3,SUMIF('TL07'!$C$10:$C$224,$C264,'TL07'!$J$10:$J$224),0),
IF('TL07'!$B$229=M$3,SUMIF('TL07'!$C$238:$C$451,$C264,'TL07'!$J$238:$J$451),0),
IF('TL08'!$B$3=M$3,SUMIF('TL08'!$C$10:$C$224,$C264,'TL08'!$J$10:$J$224),0),
IF('TL08'!$B$229=M$3,SUMIF('TL08'!$C$238:$C$451,$C264,'TL08'!$J$238:$J$451),0),
IF('TL09'!$B$3=M$3,SUMIF('TL09'!$C$10:$C$224,$C264,'TL09'!$J$10:$J$224),0),
IF('TL09'!$B$229=M$3,SUMIF('TL09'!$C$238:$C$451,$C264,'TL09'!$J$238:$J$451),0),
IF('TL10'!$B$3=M$3,SUMIF('TL10'!$C$10:$C$224,$C264,'TL10'!$J$10:$J$224),0),
IF('TL10'!$B$229=M$3,SUMIF('TL10'!$C$238:$C$451,$C264,'TL10'!$J$238:$J$451),0),
IF('TL11'!$B$3=M$3,SUMIF('TL11'!$C$10:$C$224,$C264,'TL11'!$J$10:$J$224),0),
IF('TL11'!$B$229=M$3,SUMIF('TL11'!$C$238:$C$451,$C264,'TL11'!$J$238:$J$451),0),
IF('TL12'!$B$3=M$3,SUMIF('TL12'!$C$10:$C$224,$C264,'TL12'!$J$10:$J$224),0),
IF('TL12'!$B$229=M$3,SUMIF('TL12'!$C$238:$C$451,$C264,'TL12'!$J$238:$J$451),0),
IF('TL13'!$B$3=M$3,SUMIF('TL13'!$C$10:$C$224,$C264,'TL13'!$J$10:$J$224),0),
IF('TL13'!$B$229=M$3,SUMIF('TL13'!$C$238:$C$451,$C264,'TL13'!$J$238:$J$451),0),
IF('TL14'!$B$3=M$3,SUMIF('TL14'!$C$10:$C$224,$C264,'TL14'!$J$10:$J$224),0),
IF('TL14'!$B$229=M$3,SUMIF('TL14'!$C$238:$C$451,$C264,'TL14'!$J$238:$J$451),0),
IF('TL15'!$B$3=M$3,SUMIF('TL15'!$C$10:$C$224,$C264,'TL15'!$J$10:$J$224),0),
IF('TL15'!$B$229=M$3,SUMIF('TL15'!$C$238:$C$451,$C264,'TL15'!$J$238:$J$451),0),
IF('TL16'!$B$3=M$3,SUMIF('TL16'!$C$10:$C$224,$C264,'TL16'!$J$10:$J$224),0),
IF('TL16'!$B$229=M$3,SUMIF('TL16'!$C$238:$C$451,$C264,'TL16'!$J$238:$J$451),0),
IF('TL17'!$B$3=M$3,SUMIF('TL17'!$C$10:$C$224,$C264,'TL17'!$J$10:$J$224),0),
IF('TL17'!$B$229=M$3,SUMIF('TL17'!$C$238:$C$451,$C264,'TL17'!$J$238:$J$451),0),
IF('TL18'!$B$3=M$3,SUMIF('TL18'!$C$10:$C$224,$C264,'TL18'!$J$10:$J$224),0),
IF('TL18'!$B$229=M$3,SUMIF('TL18'!$C$238:$C$451,$C264,'TL18'!$J$238:$J$451),0),
IF('TL19'!$B$3=M$3,SUMIF('TL19'!$C$10:$C$224,$C264,'TL19'!$J$10:$J$224),0),
IF('TL19'!$B$229=M$3,SUMIF('TL19'!$C$238:$C$451,$C264,'TL19'!$J$238:$J$451),0)
),0)</f>
        <v>0</v>
      </c>
      <c r="N264" s="9">
        <f>IFERROR(SUM(
IF('TL01'!$B$3=N$3,SUMIF('TL01'!$C$10:$C$224,$C264,'TL01'!$J$10:$J$224),0),
IF('TL01'!$B$229=N$3,SUMIF('TL01'!$C$238:$C$451,$C264,'TL01'!$J$238:$J$451),0),
IF('TL02'!$B$3=N$3,SUMIF('TL02'!$C$10:$C$224,$C264,'TL02'!$J$10:$J$224),0),
IF('TL02'!$B$229=N$3,SUMIF('TL02'!$C$238:$C$451,$C264,'TL02'!$J$238:$J$451),0),
IF('TL03'!$B$3=N$3,SUMIF('TL03'!$C$10:$C$224,$C264,'TL03'!$J$10:$J$224),0),
IF('TL03'!$B$229=N$3,SUMIF('TL03'!$C$238:$C$451,$C264,'TL03'!$J$238:$J$451),0),
IF('TL04'!$B$3=N$3,SUMIF('TL04'!$C$10:$C$224,$C264,'TL04'!$J$10:$J$224),0),
IF('TL04'!$B$229=N$3,SUMIF('TL04'!$C$238:$C$451,$C264,'TL04'!$J$238:$J$451),0),
IF('TL05'!$B$3=N$3,SUMIF('TL05'!$C$10:$C$224,$C264,'TL05'!$J$10:$J$224),0),
IF('TL05'!$B$229=N$3,SUMIF('TL05'!$C$238:$C$451,$C264,'TL05'!$J$238:$J$451),0),
IF('TL06'!$B$3=N$3,SUMIF('TL06'!$C$10:$C$224,$C264,'TL06'!$J$10:$J$224),0),
IF('TL06'!$B$229=N$3,SUMIF('TL06'!$C$238:$C$451,$C264,'TL06'!$J$238:$J$451),0),
IF('TL07'!$B$3=N$3,SUMIF('TL07'!$C$10:$C$224,$C264,'TL07'!$J$10:$J$224),0),
IF('TL07'!$B$229=N$3,SUMIF('TL07'!$C$238:$C$451,$C264,'TL07'!$J$238:$J$451),0),
IF('TL08'!$B$3=N$3,SUMIF('TL08'!$C$10:$C$224,$C264,'TL08'!$J$10:$J$224),0),
IF('TL08'!$B$229=N$3,SUMIF('TL08'!$C$238:$C$451,$C264,'TL08'!$J$238:$J$451),0),
IF('TL09'!$B$3=N$3,SUMIF('TL09'!$C$10:$C$224,$C264,'TL09'!$J$10:$J$224),0),
IF('TL09'!$B$229=N$3,SUMIF('TL09'!$C$238:$C$451,$C264,'TL09'!$J$238:$J$451),0),
IF('TL10'!$B$3=N$3,SUMIF('TL10'!$C$10:$C$224,$C264,'TL10'!$J$10:$J$224),0),
IF('TL10'!$B$229=N$3,SUMIF('TL10'!$C$238:$C$451,$C264,'TL10'!$J$238:$J$451),0),
IF('TL11'!$B$3=N$3,SUMIF('TL11'!$C$10:$C$224,$C264,'TL11'!$J$10:$J$224),0),
IF('TL11'!$B$229=N$3,SUMIF('TL11'!$C$238:$C$451,$C264,'TL11'!$J$238:$J$451),0),
IF('TL12'!$B$3=N$3,SUMIF('TL12'!$C$10:$C$224,$C264,'TL12'!$J$10:$J$224),0),
IF('TL12'!$B$229=N$3,SUMIF('TL12'!$C$238:$C$451,$C264,'TL12'!$J$238:$J$451),0),
IF('TL13'!$B$3=N$3,SUMIF('TL13'!$C$10:$C$224,$C264,'TL13'!$J$10:$J$224),0),
IF('TL13'!$B$229=N$3,SUMIF('TL13'!$C$238:$C$451,$C264,'TL13'!$J$238:$J$451),0),
IF('TL14'!$B$3=N$3,SUMIF('TL14'!$C$10:$C$224,$C264,'TL14'!$J$10:$J$224),0),
IF('TL14'!$B$229=N$3,SUMIF('TL14'!$C$238:$C$451,$C264,'TL14'!$J$238:$J$451),0),
IF('TL15'!$B$3=N$3,SUMIF('TL15'!$C$10:$C$224,$C264,'TL15'!$J$10:$J$224),0),
IF('TL15'!$B$229=N$3,SUMIF('TL15'!$C$238:$C$451,$C264,'TL15'!$J$238:$J$451),0),
IF('TL16'!$B$3=N$3,SUMIF('TL16'!$C$10:$C$224,$C264,'TL16'!$J$10:$J$224),0),
IF('TL16'!$B$229=N$3,SUMIF('TL16'!$C$238:$C$451,$C264,'TL16'!$J$238:$J$451),0),
IF('TL17'!$B$3=N$3,SUMIF('TL17'!$C$10:$C$224,$C264,'TL17'!$J$10:$J$224),0),
IF('TL17'!$B$229=N$3,SUMIF('TL17'!$C$238:$C$451,$C264,'TL17'!$J$238:$J$451),0),
IF('TL18'!$B$3=N$3,SUMIF('TL18'!$C$10:$C$224,$C264,'TL18'!$J$10:$J$224),0),
IF('TL18'!$B$229=N$3,SUMIF('TL18'!$C$238:$C$451,$C264,'TL18'!$J$238:$J$451),0),
IF('TL19'!$B$3=N$3,SUMIF('TL19'!$C$10:$C$224,$C264,'TL19'!$J$10:$J$224),0),
IF('TL19'!$B$229=N$3,SUMIF('TL19'!$C$238:$C$451,$C264,'TL19'!$J$238:$J$451),0)
),0)</f>
        <v>0</v>
      </c>
      <c r="O264" s="9">
        <f>IFERROR(SUM(
IF('TL01'!$B$3=O$3,SUMIF('TL01'!$C$10:$C$224,$C264,'TL01'!$J$10:$J$224),0),
IF('TL01'!$B$229=O$3,SUMIF('TL01'!$C$238:$C$451,$C264,'TL01'!$J$238:$J$451),0),
IF('TL02'!$B$3=O$3,SUMIF('TL02'!$C$10:$C$224,$C264,'TL02'!$J$10:$J$224),0),
IF('TL02'!$B$229=O$3,SUMIF('TL02'!$C$238:$C$451,$C264,'TL02'!$J$238:$J$451),0),
IF('TL03'!$B$3=O$3,SUMIF('TL03'!$C$10:$C$224,$C264,'TL03'!$J$10:$J$224),0),
IF('TL03'!$B$229=O$3,SUMIF('TL03'!$C$238:$C$451,$C264,'TL03'!$J$238:$J$451),0),
IF('TL04'!$B$3=O$3,SUMIF('TL04'!$C$10:$C$224,$C264,'TL04'!$J$10:$J$224),0),
IF('TL04'!$B$229=O$3,SUMIF('TL04'!$C$238:$C$451,$C264,'TL04'!$J$238:$J$451),0),
IF('TL05'!$B$3=O$3,SUMIF('TL05'!$C$10:$C$224,$C264,'TL05'!$J$10:$J$224),0),
IF('TL05'!$B$229=O$3,SUMIF('TL05'!$C$238:$C$451,$C264,'TL05'!$J$238:$J$451),0),
IF('TL06'!$B$3=O$3,SUMIF('TL06'!$C$10:$C$224,$C264,'TL06'!$J$10:$J$224),0),
IF('TL06'!$B$229=O$3,SUMIF('TL06'!$C$238:$C$451,$C264,'TL06'!$J$238:$J$451),0),
IF('TL07'!$B$3=O$3,SUMIF('TL07'!$C$10:$C$224,$C264,'TL07'!$J$10:$J$224),0),
IF('TL07'!$B$229=O$3,SUMIF('TL07'!$C$238:$C$451,$C264,'TL07'!$J$238:$J$451),0),
IF('TL08'!$B$3=O$3,SUMIF('TL08'!$C$10:$C$224,$C264,'TL08'!$J$10:$J$224),0),
IF('TL08'!$B$229=O$3,SUMIF('TL08'!$C$238:$C$451,$C264,'TL08'!$J$238:$J$451),0),
IF('TL09'!$B$3=O$3,SUMIF('TL09'!$C$10:$C$224,$C264,'TL09'!$J$10:$J$224),0),
IF('TL09'!$B$229=O$3,SUMIF('TL09'!$C$238:$C$451,$C264,'TL09'!$J$238:$J$451),0),
IF('TL10'!$B$3=O$3,SUMIF('TL10'!$C$10:$C$224,$C264,'TL10'!$J$10:$J$224),0),
IF('TL10'!$B$229=O$3,SUMIF('TL10'!$C$238:$C$451,$C264,'TL10'!$J$238:$J$451),0),
IF('TL11'!$B$3=O$3,SUMIF('TL11'!$C$10:$C$224,$C264,'TL11'!$J$10:$J$224),0),
IF('TL11'!$B$229=O$3,SUMIF('TL11'!$C$238:$C$451,$C264,'TL11'!$J$238:$J$451),0),
IF('TL12'!$B$3=O$3,SUMIF('TL12'!$C$10:$C$224,$C264,'TL12'!$J$10:$J$224),0),
IF('TL12'!$B$229=O$3,SUMIF('TL12'!$C$238:$C$451,$C264,'TL12'!$J$238:$J$451),0),
IF('TL13'!$B$3=O$3,SUMIF('TL13'!$C$10:$C$224,$C264,'TL13'!$J$10:$J$224),0),
IF('TL13'!$B$229=O$3,SUMIF('TL13'!$C$238:$C$451,$C264,'TL13'!$J$238:$J$451),0),
IF('TL14'!$B$3=O$3,SUMIF('TL14'!$C$10:$C$224,$C264,'TL14'!$J$10:$J$224),0),
IF('TL14'!$B$229=O$3,SUMIF('TL14'!$C$238:$C$451,$C264,'TL14'!$J$238:$J$451),0),
IF('TL15'!$B$3=O$3,SUMIF('TL15'!$C$10:$C$224,$C264,'TL15'!$J$10:$J$224),0),
IF('TL15'!$B$229=O$3,SUMIF('TL15'!$C$238:$C$451,$C264,'TL15'!$J$238:$J$451),0),
IF('TL16'!$B$3=O$3,SUMIF('TL16'!$C$10:$C$224,$C264,'TL16'!$J$10:$J$224),0),
IF('TL16'!$B$229=O$3,SUMIF('TL16'!$C$238:$C$451,$C264,'TL16'!$J$238:$J$451),0),
IF('TL17'!$B$3=O$3,SUMIF('TL17'!$C$10:$C$224,$C264,'TL17'!$J$10:$J$224),0),
IF('TL17'!$B$229=O$3,SUMIF('TL17'!$C$238:$C$451,$C264,'TL17'!$J$238:$J$451),0),
IF('TL18'!$B$3=O$3,SUMIF('TL18'!$C$10:$C$224,$C264,'TL18'!$J$10:$J$224),0),
IF('TL18'!$B$229=O$3,SUMIF('TL18'!$C$238:$C$451,$C264,'TL18'!$J$238:$J$451),0),
IF('TL19'!$B$3=O$3,SUMIF('TL19'!$C$10:$C$224,$C264,'TL19'!$J$10:$J$224),0),
IF('TL19'!$B$229=O$3,SUMIF('TL19'!$C$238:$C$451,$C264,'TL19'!$J$238:$J$451),0)
),0)</f>
        <v>0</v>
      </c>
      <c r="P264" s="9">
        <f>IFERROR(SUM(
IF('TL01'!$B$3=P$3,SUMIF('TL01'!$C$10:$C$224,$C264,'TL01'!$J$10:$J$224),0),
IF('TL01'!$B$229=P$3,SUMIF('TL01'!$C$238:$C$451,$C264,'TL01'!$J$238:$J$451),0),
IF('TL02'!$B$3=P$3,SUMIF('TL02'!$C$10:$C$224,$C264,'TL02'!$J$10:$J$224),0),
IF('TL02'!$B$229=P$3,SUMIF('TL02'!$C$238:$C$451,$C264,'TL02'!$J$238:$J$451),0),
IF('TL03'!$B$3=P$3,SUMIF('TL03'!$C$10:$C$224,$C264,'TL03'!$J$10:$J$224),0),
IF('TL03'!$B$229=P$3,SUMIF('TL03'!$C$238:$C$451,$C264,'TL03'!$J$238:$J$451),0),
IF('TL04'!$B$3=P$3,SUMIF('TL04'!$C$10:$C$224,$C264,'TL04'!$J$10:$J$224),0),
IF('TL04'!$B$229=P$3,SUMIF('TL04'!$C$238:$C$451,$C264,'TL04'!$J$238:$J$451),0),
IF('TL05'!$B$3=P$3,SUMIF('TL05'!$C$10:$C$224,$C264,'TL05'!$J$10:$J$224),0),
IF('TL05'!$B$229=P$3,SUMIF('TL05'!$C$238:$C$451,$C264,'TL05'!$J$238:$J$451),0),
IF('TL06'!$B$3=P$3,SUMIF('TL06'!$C$10:$C$224,$C264,'TL06'!$J$10:$J$224),0),
IF('TL06'!$B$229=P$3,SUMIF('TL06'!$C$238:$C$451,$C264,'TL06'!$J$238:$J$451),0),
IF('TL07'!$B$3=P$3,SUMIF('TL07'!$C$10:$C$224,$C264,'TL07'!$J$10:$J$224),0),
IF('TL07'!$B$229=P$3,SUMIF('TL07'!$C$238:$C$451,$C264,'TL07'!$J$238:$J$451),0),
IF('TL08'!$B$3=P$3,SUMIF('TL08'!$C$10:$C$224,$C264,'TL08'!$J$10:$J$224),0),
IF('TL08'!$B$229=P$3,SUMIF('TL08'!$C$238:$C$451,$C264,'TL08'!$J$238:$J$451),0),
IF('TL09'!$B$3=P$3,SUMIF('TL09'!$C$10:$C$224,$C264,'TL09'!$J$10:$J$224),0),
IF('TL09'!$B$229=P$3,SUMIF('TL09'!$C$238:$C$451,$C264,'TL09'!$J$238:$J$451),0),
IF('TL10'!$B$3=P$3,SUMIF('TL10'!$C$10:$C$224,$C264,'TL10'!$J$10:$J$224),0),
IF('TL10'!$B$229=P$3,SUMIF('TL10'!$C$238:$C$451,$C264,'TL10'!$J$238:$J$451),0),
IF('TL11'!$B$3=P$3,SUMIF('TL11'!$C$10:$C$224,$C264,'TL11'!$J$10:$J$224),0),
IF('TL11'!$B$229=P$3,SUMIF('TL11'!$C$238:$C$451,$C264,'TL11'!$J$238:$J$451),0),
IF('TL12'!$B$3=P$3,SUMIF('TL12'!$C$10:$C$224,$C264,'TL12'!$J$10:$J$224),0),
IF('TL12'!$B$229=P$3,SUMIF('TL12'!$C$238:$C$451,$C264,'TL12'!$J$238:$J$451),0),
IF('TL13'!$B$3=P$3,SUMIF('TL13'!$C$10:$C$224,$C264,'TL13'!$J$10:$J$224),0),
IF('TL13'!$B$229=P$3,SUMIF('TL13'!$C$238:$C$451,$C264,'TL13'!$J$238:$J$451),0),
IF('TL14'!$B$3=P$3,SUMIF('TL14'!$C$10:$C$224,$C264,'TL14'!$J$10:$J$224),0),
IF('TL14'!$B$229=P$3,SUMIF('TL14'!$C$238:$C$451,$C264,'TL14'!$J$238:$J$451),0),
IF('TL15'!$B$3=P$3,SUMIF('TL15'!$C$10:$C$224,$C264,'TL15'!$J$10:$J$224),0),
IF('TL15'!$B$229=P$3,SUMIF('TL15'!$C$238:$C$451,$C264,'TL15'!$J$238:$J$451),0),
IF('TL16'!$B$3=P$3,SUMIF('TL16'!$C$10:$C$224,$C264,'TL16'!$J$10:$J$224),0),
IF('TL16'!$B$229=P$3,SUMIF('TL16'!$C$238:$C$451,$C264,'TL16'!$J$238:$J$451),0),
IF('TL17'!$B$3=P$3,SUMIF('TL17'!$C$10:$C$224,$C264,'TL17'!$J$10:$J$224),0),
IF('TL17'!$B$229=P$3,SUMIF('TL17'!$C$238:$C$451,$C264,'TL17'!$J$238:$J$451),0),
IF('TL18'!$B$3=P$3,SUMIF('TL18'!$C$10:$C$224,$C264,'TL18'!$J$10:$J$224),0),
IF('TL18'!$B$229=P$3,SUMIF('TL18'!$C$238:$C$451,$C264,'TL18'!$J$238:$J$451),0),
IF('TL19'!$B$3=P$3,SUMIF('TL19'!$C$10:$C$224,$C264,'TL19'!$J$10:$J$224),0),
IF('TL19'!$B$229=P$3,SUMIF('TL19'!$C$238:$C$451,$C264,'TL19'!$J$238:$J$451),0)
),0)</f>
        <v>0</v>
      </c>
      <c r="Q264" s="9">
        <f>IFERROR(SUM(
IF('TL01'!$B$3=Q$3,SUMIF('TL01'!$C$10:$C$224,$C264,'TL01'!$J$10:$J$224),0),
IF('TL01'!$B$229=Q$3,SUMIF('TL01'!$C$238:$C$451,$C264,'TL01'!$J$238:$J$451),0),
IF('TL02'!$B$3=Q$3,SUMIF('TL02'!$C$10:$C$224,$C264,'TL02'!$J$10:$J$224),0),
IF('TL02'!$B$229=Q$3,SUMIF('TL02'!$C$238:$C$451,$C264,'TL02'!$J$238:$J$451),0),
IF('TL03'!$B$3=Q$3,SUMIF('TL03'!$C$10:$C$224,$C264,'TL03'!$J$10:$J$224),0),
IF('TL03'!$B$229=Q$3,SUMIF('TL03'!$C$238:$C$451,$C264,'TL03'!$J$238:$J$451),0),
IF('TL04'!$B$3=Q$3,SUMIF('TL04'!$C$10:$C$224,$C264,'TL04'!$J$10:$J$224),0),
IF('TL04'!$B$229=Q$3,SUMIF('TL04'!$C$238:$C$451,$C264,'TL04'!$J$238:$J$451),0),
IF('TL05'!$B$3=Q$3,SUMIF('TL05'!$C$10:$C$224,$C264,'TL05'!$J$10:$J$224),0),
IF('TL05'!$B$229=Q$3,SUMIF('TL05'!$C$238:$C$451,$C264,'TL05'!$J$238:$J$451),0),
IF('TL06'!$B$3=Q$3,SUMIF('TL06'!$C$10:$C$224,$C264,'TL06'!$J$10:$J$224),0),
IF('TL06'!$B$229=Q$3,SUMIF('TL06'!$C$238:$C$451,$C264,'TL06'!$J$238:$J$451),0),
IF('TL07'!$B$3=Q$3,SUMIF('TL07'!$C$10:$C$224,$C264,'TL07'!$J$10:$J$224),0),
IF('TL07'!$B$229=Q$3,SUMIF('TL07'!$C$238:$C$451,$C264,'TL07'!$J$238:$J$451),0),
IF('TL08'!$B$3=Q$3,SUMIF('TL08'!$C$10:$C$224,$C264,'TL08'!$J$10:$J$224),0),
IF('TL08'!$B$229=Q$3,SUMIF('TL08'!$C$238:$C$451,$C264,'TL08'!$J$238:$J$451),0),
IF('TL09'!$B$3=Q$3,SUMIF('TL09'!$C$10:$C$224,$C264,'TL09'!$J$10:$J$224),0),
IF('TL09'!$B$229=Q$3,SUMIF('TL09'!$C$238:$C$451,$C264,'TL09'!$J$238:$J$451),0),
IF('TL10'!$B$3=Q$3,SUMIF('TL10'!$C$10:$C$224,$C264,'TL10'!$J$10:$J$224),0),
IF('TL10'!$B$229=Q$3,SUMIF('TL10'!$C$238:$C$451,$C264,'TL10'!$J$238:$J$451),0),
IF('TL11'!$B$3=Q$3,SUMIF('TL11'!$C$10:$C$224,$C264,'TL11'!$J$10:$J$224),0),
IF('TL11'!$B$229=Q$3,SUMIF('TL11'!$C$238:$C$451,$C264,'TL11'!$J$238:$J$451),0),
IF('TL12'!$B$3=Q$3,SUMIF('TL12'!$C$10:$C$224,$C264,'TL12'!$J$10:$J$224),0),
IF('TL12'!$B$229=Q$3,SUMIF('TL12'!$C$238:$C$451,$C264,'TL12'!$J$238:$J$451),0),
IF('TL13'!$B$3=Q$3,SUMIF('TL13'!$C$10:$C$224,$C264,'TL13'!$J$10:$J$224),0),
IF('TL13'!$B$229=Q$3,SUMIF('TL13'!$C$238:$C$451,$C264,'TL13'!$J$238:$J$451),0),
IF('TL14'!$B$3=Q$3,SUMIF('TL14'!$C$10:$C$224,$C264,'TL14'!$J$10:$J$224),0),
IF('TL14'!$B$229=Q$3,SUMIF('TL14'!$C$238:$C$451,$C264,'TL14'!$J$238:$J$451),0),
IF('TL15'!$B$3=Q$3,SUMIF('TL15'!$C$10:$C$224,$C264,'TL15'!$J$10:$J$224),0),
IF('TL15'!$B$229=Q$3,SUMIF('TL15'!$C$238:$C$451,$C264,'TL15'!$J$238:$J$451),0),
IF('TL16'!$B$3=Q$3,SUMIF('TL16'!$C$10:$C$224,$C264,'TL16'!$J$10:$J$224),0),
IF('TL16'!$B$229=Q$3,SUMIF('TL16'!$C$238:$C$451,$C264,'TL16'!$J$238:$J$451),0),
IF('TL17'!$B$3=Q$3,SUMIF('TL17'!$C$10:$C$224,$C264,'TL17'!$J$10:$J$224),0),
IF('TL17'!$B$229=Q$3,SUMIF('TL17'!$C$238:$C$451,$C264,'TL17'!$J$238:$J$451),0),
IF('TL18'!$B$3=Q$3,SUMIF('TL18'!$C$10:$C$224,$C264,'TL18'!$J$10:$J$224),0),
IF('TL18'!$B$229=Q$3,SUMIF('TL18'!$C$238:$C$451,$C264,'TL18'!$J$238:$J$451),0),
IF('TL19'!$B$3=Q$3,SUMIF('TL19'!$C$10:$C$224,$C264,'TL19'!$J$10:$J$224),0),
IF('TL19'!$B$229=Q$3,SUMIF('TL19'!$C$238:$C$451,$C264,'TL19'!$J$238:$J$451),0)
),0)</f>
        <v>0</v>
      </c>
      <c r="R264" s="9">
        <f>IFERROR(
SUM(
SUMIF('TL01'!C:C,C264,'TL01'!J:J),
SUMIF('TL02'!C:C,C264,'TL02'!J:J),
SUMIF('TL03'!C:C,C264,'TL03'!J:J),
SUMIF('TL04'!C:C,C264,'TL04'!J:J),
SUMIF('TL05'!C:C,C264,'TL05'!J:J),
SUMIF('TL06'!C:C,C264,'TL06'!J:J),
SUMIF('TL07'!C:C,C264,'TL07'!J:J),
SUMIF('TL08'!C:C,C264,'TL08'!J:J),
SUMIF('TL09'!C:C,C264,'TL09'!J:J),
SUMIF('TL10'!C:C,C264,'TL10'!J:J),
SUMIF('TL11'!C:C,C264,'TL11'!J:J),
SUMIF('TL12'!C:C,C264,'TL12'!J:J),
SUMIF('TL13'!C:C,C264,'TL13'!J:J),
SUMIF('TL14'!C:C,C264,'TL14'!J:J),
SUMIF('TL15'!C:C,C264,'TL15'!J:J),
SUMIF('TL16'!C:C,C264,'TL16'!J:J),
SUMIF('TL17'!C:C,C264,'TL17'!J:J),
SUMIF('TL18'!C:C,C264,'TL18'!J:J),SUMIF('TL19'!C:C,C264,'TL19'!J:J))
,0)</f>
        <v>0</v>
      </c>
      <c r="S264" s="17">
        <f>IFERROR(__xludf.DUMMYFUNCTION("IFERROR(VLOOKUP(C264,
IMPORTRANGE(""1wULbzX32WdYsx-lj2U3uUNBBe2INVIRDtcK0d-Dvl90"",
""26-27!C:G""),
5,
FALSE),
"""")"),339.5)</f>
        <v>339.5</v>
      </c>
      <c r="T264" s="9"/>
      <c r="U264" s="92">
        <f t="shared" si="2"/>
        <v>0</v>
      </c>
      <c r="V264" s="93">
        <f t="shared" si="3"/>
        <v>0</v>
      </c>
    </row>
    <row r="265" ht="15.75" hidden="1" customHeight="1">
      <c r="A265" s="4" t="s">
        <v>955</v>
      </c>
      <c r="B265" s="125" t="s">
        <v>9</v>
      </c>
      <c r="C265" s="4" t="s">
        <v>958</v>
      </c>
      <c r="D265" s="6"/>
      <c r="E265" s="9"/>
      <c r="F265" s="4" t="s">
        <v>343</v>
      </c>
      <c r="G265" s="9"/>
      <c r="H265" s="9">
        <v>2.0</v>
      </c>
      <c r="I265" s="1"/>
      <c r="J265" s="9">
        <f>IFERROR(SUM(
IF('TL01'!$B$3=J$3,SUMIF('TL01'!$C$10:$C$224,$C265,'TL01'!$J$10:$J$224),0),
IF('TL01'!$B$229=J$3,SUMIF('TL01'!$C$238:$C$451,$C265,'TL01'!$J$238:$J$451),0),
IF('TL02'!$B$3=J$3,SUMIF('TL02'!$C$10:$C$224,$C265,'TL02'!$J$10:$J$224),0),
IF('TL02'!$B$229=J$3,SUMIF('TL02'!$C$238:$C$451,$C265,'TL02'!$J$238:$J$451),0),
IF('TL03'!$B$3=J$3,SUMIF('TL03'!$C$10:$C$224,$C265,'TL03'!$J$10:$J$224),0),
IF('TL03'!$B$229=J$3,SUMIF('TL03'!$C$238:$C$451,$C265,'TL03'!$J$238:$J$451),0),
IF('TL04'!$B$3=J$3,SUMIF('TL04'!$C$10:$C$224,$C265,'TL04'!$J$10:$J$224),0),
IF('TL04'!$B$229=J$3,SUMIF('TL04'!$C$238:$C$451,$C265,'TL04'!$J$238:$J$451),0),
IF('TL05'!$B$3=J$3,SUMIF('TL05'!$C$10:$C$224,$C265,'TL05'!$J$10:$J$224),0),
IF('TL05'!$B$229=J$3,SUMIF('TL05'!$C$238:$C$451,$C265,'TL05'!$J$238:$J$451),0),
IF('TL06'!$B$3=J$3,SUMIF('TL06'!$C$10:$C$224,$C265,'TL06'!$J$10:$J$224),0),
IF('TL06'!$B$229=J$3,SUMIF('TL06'!$C$238:$C$451,$C265,'TL06'!$J$238:$J$451),0),
IF('TL07'!$B$3=J$3,SUMIF('TL07'!$C$10:$C$224,$C265,'TL07'!$J$10:$J$224),0),
IF('TL07'!$B$229=J$3,SUMIF('TL07'!$C$238:$C$451,$C265,'TL07'!$J$238:$J$451),0),
IF('TL08'!$B$3=J$3,SUMIF('TL08'!$C$10:$C$224,$C265,'TL08'!$J$10:$J$224),0),
IF('TL08'!$B$229=J$3,SUMIF('TL08'!$C$238:$C$451,$C265,'TL08'!$J$238:$J$451),0),
IF('TL09'!$B$3=J$3,SUMIF('TL09'!$C$10:$C$224,$C265,'TL09'!$J$10:$J$224),0),
IF('TL09'!$B$229=J$3,SUMIF('TL09'!$C$238:$C$451,$C265,'TL09'!$J$238:$J$451),0),
IF('TL10'!$B$3=J$3,SUMIF('TL10'!$C$10:$C$224,$C265,'TL10'!$J$10:$J$224),0),
IF('TL10'!$B$229=J$3,SUMIF('TL10'!$C$238:$C$451,$C265,'TL10'!$J$238:$J$451),0),
IF('TL11'!$B$3=J$3,SUMIF('TL11'!$C$10:$C$224,$C265,'TL11'!$J$10:$J$224),0),
IF('TL11'!$B$229=J$3,SUMIF('TL11'!$C$238:$C$451,$C265,'TL11'!$J$238:$J$451),0),
IF('TL12'!$B$3=J$3,SUMIF('TL12'!$C$10:$C$224,$C265,'TL12'!$J$10:$J$224),0),
IF('TL12'!$B$229=J$3,SUMIF('TL12'!$C$238:$C$451,$C265,'TL12'!$J$238:$J$451),0),
IF('TL13'!$B$3=J$3,SUMIF('TL13'!$C$10:$C$224,$C265,'TL13'!$J$10:$J$224),0),
IF('TL13'!$B$229=J$3,SUMIF('TL13'!$C$238:$C$451,$C265,'TL13'!$J$238:$J$451),0),
IF('TL14'!$B$3=J$3,SUMIF('TL14'!$C$10:$C$224,$C265,'TL14'!$J$10:$J$224),0),
IF('TL14'!$B$229=J$3,SUMIF('TL14'!$C$238:$C$451,$C265,'TL14'!$J$238:$J$451),0),
IF('TL15'!$B$3=J$3,SUMIF('TL15'!$C$10:$C$224,$C265,'TL15'!$J$10:$J$224),0),
IF('TL15'!$B$229=J$3,SUMIF('TL15'!$C$238:$C$451,$C265,'TL15'!$J$238:$J$451),0),
IF('TL16'!$B$3=J$3,SUMIF('TL16'!$C$10:$C$224,$C265,'TL16'!$J$10:$J$224),0),
IF('TL16'!$B$229=J$3,SUMIF('TL16'!$C$238:$C$451,$C265,'TL16'!$J$238:$J$451),0),
IF('TL17'!$B$3=J$3,SUMIF('TL17'!$C$10:$C$224,$C265,'TL17'!$J$10:$J$224),0),
IF('TL17'!$B$229=J$3,SUMIF('TL17'!$C$238:$C$451,$C265,'TL17'!$J$238:$J$451),0),
IF('TL18'!$B$3=J$3,SUMIF('TL18'!$C$10:$C$224,$C265,'TL18'!$J$10:$J$224),0),
IF('TL18'!$B$229=J$3,SUMIF('TL18'!$C$238:$C$451,$C265,'TL18'!$J$238:$J$451),0),
IF('TL19'!$B$3=J$3,SUMIF('TL19'!$C$10:$C$224,$C265,'TL19'!$J$10:$J$224),0),
IF('TL19'!$B$229=J$3,SUMIF('TL19'!$C$238:$C$451,$C265,'TL19'!$J$238:$J$451),0)
),0)</f>
        <v>0</v>
      </c>
      <c r="K265" s="9">
        <f>IFERROR(SUM(
IF('TL01'!$B$3=K$3,SUMIF('TL01'!$C$10:$C$224,$C265,'TL01'!$J$10:$J$224),0),
IF('TL01'!$B$229=K$3,SUMIF('TL01'!$C$238:$C$451,$C265,'TL01'!$J$238:$J$451),0),
IF('TL02'!$B$3=K$3,SUMIF('TL02'!$C$10:$C$224,$C265,'TL02'!$J$10:$J$224),0),
IF('TL02'!$B$229=K$3,SUMIF('TL02'!$C$238:$C$451,$C265,'TL02'!$J$238:$J$451),0),
IF('TL03'!$B$3=K$3,SUMIF('TL03'!$C$10:$C$224,$C265,'TL03'!$J$10:$J$224),0),
IF('TL03'!$B$229=K$3,SUMIF('TL03'!$C$238:$C$451,$C265,'TL03'!$J$238:$J$451),0),
IF('TL04'!$B$3=K$3,SUMIF('TL04'!$C$10:$C$224,$C265,'TL04'!$J$10:$J$224),0),
IF('TL04'!$B$229=K$3,SUMIF('TL04'!$C$238:$C$451,$C265,'TL04'!$J$238:$J$451),0),
IF('TL05'!$B$3=K$3,SUMIF('TL05'!$C$10:$C$224,$C265,'TL05'!$J$10:$J$224),0),
IF('TL05'!$B$229=K$3,SUMIF('TL05'!$C$238:$C$451,$C265,'TL05'!$J$238:$J$451),0),
IF('TL06'!$B$3=K$3,SUMIF('TL06'!$C$10:$C$224,$C265,'TL06'!$J$10:$J$224),0),
IF('TL06'!$B$229=K$3,SUMIF('TL06'!$C$238:$C$451,$C265,'TL06'!$J$238:$J$451),0),
IF('TL07'!$B$3=K$3,SUMIF('TL07'!$C$10:$C$224,$C265,'TL07'!$J$10:$J$224),0),
IF('TL07'!$B$229=K$3,SUMIF('TL07'!$C$238:$C$451,$C265,'TL07'!$J$238:$J$451),0),
IF('TL08'!$B$3=K$3,SUMIF('TL08'!$C$10:$C$224,$C265,'TL08'!$J$10:$J$224),0),
IF('TL08'!$B$229=K$3,SUMIF('TL08'!$C$238:$C$451,$C265,'TL08'!$J$238:$J$451),0),
IF('TL09'!$B$3=K$3,SUMIF('TL09'!$C$10:$C$224,$C265,'TL09'!$J$10:$J$224),0),
IF('TL09'!$B$229=K$3,SUMIF('TL09'!$C$238:$C$451,$C265,'TL09'!$J$238:$J$451),0),
IF('TL10'!$B$3=K$3,SUMIF('TL10'!$C$10:$C$224,$C265,'TL10'!$J$10:$J$224),0),
IF('TL10'!$B$229=K$3,SUMIF('TL10'!$C$238:$C$451,$C265,'TL10'!$J$238:$J$451),0),
IF('TL11'!$B$3=K$3,SUMIF('TL11'!$C$10:$C$224,$C265,'TL11'!$J$10:$J$224),0),
IF('TL11'!$B$229=K$3,SUMIF('TL11'!$C$238:$C$451,$C265,'TL11'!$J$238:$J$451),0),
IF('TL12'!$B$3=K$3,SUMIF('TL12'!$C$10:$C$224,$C265,'TL12'!$J$10:$J$224),0),
IF('TL12'!$B$229=K$3,SUMIF('TL12'!$C$238:$C$451,$C265,'TL12'!$J$238:$J$451),0),
IF('TL13'!$B$3=K$3,SUMIF('TL13'!$C$10:$C$224,$C265,'TL13'!$J$10:$J$224),0),
IF('TL13'!$B$229=K$3,SUMIF('TL13'!$C$238:$C$451,$C265,'TL13'!$J$238:$J$451),0),
IF('TL14'!$B$3=K$3,SUMIF('TL14'!$C$10:$C$224,$C265,'TL14'!$J$10:$J$224),0),
IF('TL14'!$B$229=K$3,SUMIF('TL14'!$C$238:$C$451,$C265,'TL14'!$J$238:$J$451),0),
IF('TL15'!$B$3=K$3,SUMIF('TL15'!$C$10:$C$224,$C265,'TL15'!$J$10:$J$224),0),
IF('TL15'!$B$229=K$3,SUMIF('TL15'!$C$238:$C$451,$C265,'TL15'!$J$238:$J$451),0),
IF('TL16'!$B$3=K$3,SUMIF('TL16'!$C$10:$C$224,$C265,'TL16'!$J$10:$J$224),0),
IF('TL16'!$B$229=K$3,SUMIF('TL16'!$C$238:$C$451,$C265,'TL16'!$J$238:$J$451),0),
IF('TL17'!$B$3=K$3,SUMIF('TL17'!$C$10:$C$224,$C265,'TL17'!$J$10:$J$224),0),
IF('TL17'!$B$229=K$3,SUMIF('TL17'!$C$238:$C$451,$C265,'TL17'!$J$238:$J$451),0),
IF('TL18'!$B$3=K$3,SUMIF('TL18'!$C$10:$C$224,$C265,'TL18'!$J$10:$J$224),0),
IF('TL18'!$B$229=K$3,SUMIF('TL18'!$C$238:$C$451,$C265,'TL18'!$J$238:$J$451),0),
IF('TL19'!$B$3=K$3,SUMIF('TL19'!$C$10:$C$224,$C265,'TL19'!$J$10:$J$224),0),
IF('TL19'!$B$229=K$3,SUMIF('TL19'!$C$238:$C$451,$C265,'TL19'!$J$238:$J$451),0)
),0)</f>
        <v>0</v>
      </c>
      <c r="L265" s="9">
        <f>IFERROR(SUM(
IF('TL01'!$B$3=L$3,SUMIF('TL01'!$C$10:$C$224,$C265,'TL01'!$J$10:$J$224),0),
IF('TL01'!$B$229=L$3,SUMIF('TL01'!$C$238:$C$451,$C265,'TL01'!$J$238:$J$451),0),
IF('TL02'!$B$3=L$3,SUMIF('TL02'!$C$10:$C$224,$C265,'TL02'!$J$10:$J$224),0),
IF('TL02'!$B$229=L$3,SUMIF('TL02'!$C$238:$C$451,$C265,'TL02'!$J$238:$J$451),0),
IF('TL03'!$B$3=L$3,SUMIF('TL03'!$C$10:$C$224,$C265,'TL03'!$J$10:$J$224),0),
IF('TL03'!$B$229=L$3,SUMIF('TL03'!$C$238:$C$451,$C265,'TL03'!$J$238:$J$451),0),
IF('TL04'!$B$3=L$3,SUMIF('TL04'!$C$10:$C$224,$C265,'TL04'!$J$10:$J$224),0),
IF('TL04'!$B$229=L$3,SUMIF('TL04'!$C$238:$C$451,$C265,'TL04'!$J$238:$J$451),0),
IF('TL05'!$B$3=L$3,SUMIF('TL05'!$C$10:$C$224,$C265,'TL05'!$J$10:$J$224),0),
IF('TL05'!$B$229=L$3,SUMIF('TL05'!$C$238:$C$451,$C265,'TL05'!$J$238:$J$451),0),
IF('TL06'!$B$3=L$3,SUMIF('TL06'!$C$10:$C$224,$C265,'TL06'!$J$10:$J$224),0),
IF('TL06'!$B$229=L$3,SUMIF('TL06'!$C$238:$C$451,$C265,'TL06'!$J$238:$J$451),0),
IF('TL07'!$B$3=L$3,SUMIF('TL07'!$C$10:$C$224,$C265,'TL07'!$J$10:$J$224),0),
IF('TL07'!$B$229=L$3,SUMIF('TL07'!$C$238:$C$451,$C265,'TL07'!$J$238:$J$451),0),
IF('TL08'!$B$3=L$3,SUMIF('TL08'!$C$10:$C$224,$C265,'TL08'!$J$10:$J$224),0),
IF('TL08'!$B$229=L$3,SUMIF('TL08'!$C$238:$C$451,$C265,'TL08'!$J$238:$J$451),0),
IF('TL09'!$B$3=L$3,SUMIF('TL09'!$C$10:$C$224,$C265,'TL09'!$J$10:$J$224),0),
IF('TL09'!$B$229=L$3,SUMIF('TL09'!$C$238:$C$451,$C265,'TL09'!$J$238:$J$451),0),
IF('TL10'!$B$3=L$3,SUMIF('TL10'!$C$10:$C$224,$C265,'TL10'!$J$10:$J$224),0),
IF('TL10'!$B$229=L$3,SUMIF('TL10'!$C$238:$C$451,$C265,'TL10'!$J$238:$J$451),0),
IF('TL11'!$B$3=L$3,SUMIF('TL11'!$C$10:$C$224,$C265,'TL11'!$J$10:$J$224),0),
IF('TL11'!$B$229=L$3,SUMIF('TL11'!$C$238:$C$451,$C265,'TL11'!$J$238:$J$451),0),
IF('TL12'!$B$3=L$3,SUMIF('TL12'!$C$10:$C$224,$C265,'TL12'!$J$10:$J$224),0),
IF('TL12'!$B$229=L$3,SUMIF('TL12'!$C$238:$C$451,$C265,'TL12'!$J$238:$J$451),0),
IF('TL13'!$B$3=L$3,SUMIF('TL13'!$C$10:$C$224,$C265,'TL13'!$J$10:$J$224),0),
IF('TL13'!$B$229=L$3,SUMIF('TL13'!$C$238:$C$451,$C265,'TL13'!$J$238:$J$451),0),
IF('TL14'!$B$3=L$3,SUMIF('TL14'!$C$10:$C$224,$C265,'TL14'!$J$10:$J$224),0),
IF('TL14'!$B$229=L$3,SUMIF('TL14'!$C$238:$C$451,$C265,'TL14'!$J$238:$J$451),0),
IF('TL15'!$B$3=L$3,SUMIF('TL15'!$C$10:$C$224,$C265,'TL15'!$J$10:$J$224),0),
IF('TL15'!$B$229=L$3,SUMIF('TL15'!$C$238:$C$451,$C265,'TL15'!$J$238:$J$451),0),
IF('TL16'!$B$3=L$3,SUMIF('TL16'!$C$10:$C$224,$C265,'TL16'!$J$10:$J$224),0),
IF('TL16'!$B$229=L$3,SUMIF('TL16'!$C$238:$C$451,$C265,'TL16'!$J$238:$J$451),0),
IF('TL17'!$B$3=L$3,SUMIF('TL17'!$C$10:$C$224,$C265,'TL17'!$J$10:$J$224),0),
IF('TL17'!$B$229=L$3,SUMIF('TL17'!$C$238:$C$451,$C265,'TL17'!$J$238:$J$451),0),
IF('TL18'!$B$3=L$3,SUMIF('TL18'!$C$10:$C$224,$C265,'TL18'!$J$10:$J$224),0),
IF('TL18'!$B$229=L$3,SUMIF('TL18'!$C$238:$C$451,$C265,'TL18'!$J$238:$J$451),0),
IF('TL19'!$B$3=L$3,SUMIF('TL19'!$C$10:$C$224,$C265,'TL19'!$J$10:$J$224),0),
IF('TL19'!$B$229=L$3,SUMIF('TL19'!$C$238:$C$451,$C265,'TL19'!$J$238:$J$451),0)
),0)</f>
        <v>0</v>
      </c>
      <c r="M265" s="9">
        <f>IFERROR(SUM(
IF('TL01'!$B$3=M$3,SUMIF('TL01'!$C$10:$C$224,$C265,'TL01'!$J$10:$J$224),0),
IF('TL01'!$B$229=M$3,SUMIF('TL01'!$C$238:$C$451,$C265,'TL01'!$J$238:$J$451),0),
IF('TL02'!$B$3=M$3,SUMIF('TL02'!$C$10:$C$224,$C265,'TL02'!$J$10:$J$224),0),
IF('TL02'!$B$229=M$3,SUMIF('TL02'!$C$238:$C$451,$C265,'TL02'!$J$238:$J$451),0),
IF('TL03'!$B$3=M$3,SUMIF('TL03'!$C$10:$C$224,$C265,'TL03'!$J$10:$J$224),0),
IF('TL03'!$B$229=M$3,SUMIF('TL03'!$C$238:$C$451,$C265,'TL03'!$J$238:$J$451),0),
IF('TL04'!$B$3=M$3,SUMIF('TL04'!$C$10:$C$224,$C265,'TL04'!$J$10:$J$224),0),
IF('TL04'!$B$229=M$3,SUMIF('TL04'!$C$238:$C$451,$C265,'TL04'!$J$238:$J$451),0),
IF('TL05'!$B$3=M$3,SUMIF('TL05'!$C$10:$C$224,$C265,'TL05'!$J$10:$J$224),0),
IF('TL05'!$B$229=M$3,SUMIF('TL05'!$C$238:$C$451,$C265,'TL05'!$J$238:$J$451),0),
IF('TL06'!$B$3=M$3,SUMIF('TL06'!$C$10:$C$224,$C265,'TL06'!$J$10:$J$224),0),
IF('TL06'!$B$229=M$3,SUMIF('TL06'!$C$238:$C$451,$C265,'TL06'!$J$238:$J$451),0),
IF('TL07'!$B$3=M$3,SUMIF('TL07'!$C$10:$C$224,$C265,'TL07'!$J$10:$J$224),0),
IF('TL07'!$B$229=M$3,SUMIF('TL07'!$C$238:$C$451,$C265,'TL07'!$J$238:$J$451),0),
IF('TL08'!$B$3=M$3,SUMIF('TL08'!$C$10:$C$224,$C265,'TL08'!$J$10:$J$224),0),
IF('TL08'!$B$229=M$3,SUMIF('TL08'!$C$238:$C$451,$C265,'TL08'!$J$238:$J$451),0),
IF('TL09'!$B$3=M$3,SUMIF('TL09'!$C$10:$C$224,$C265,'TL09'!$J$10:$J$224),0),
IF('TL09'!$B$229=M$3,SUMIF('TL09'!$C$238:$C$451,$C265,'TL09'!$J$238:$J$451),0),
IF('TL10'!$B$3=M$3,SUMIF('TL10'!$C$10:$C$224,$C265,'TL10'!$J$10:$J$224),0),
IF('TL10'!$B$229=M$3,SUMIF('TL10'!$C$238:$C$451,$C265,'TL10'!$J$238:$J$451),0),
IF('TL11'!$B$3=M$3,SUMIF('TL11'!$C$10:$C$224,$C265,'TL11'!$J$10:$J$224),0),
IF('TL11'!$B$229=M$3,SUMIF('TL11'!$C$238:$C$451,$C265,'TL11'!$J$238:$J$451),0),
IF('TL12'!$B$3=M$3,SUMIF('TL12'!$C$10:$C$224,$C265,'TL12'!$J$10:$J$224),0),
IF('TL12'!$B$229=M$3,SUMIF('TL12'!$C$238:$C$451,$C265,'TL12'!$J$238:$J$451),0),
IF('TL13'!$B$3=M$3,SUMIF('TL13'!$C$10:$C$224,$C265,'TL13'!$J$10:$J$224),0),
IF('TL13'!$B$229=M$3,SUMIF('TL13'!$C$238:$C$451,$C265,'TL13'!$J$238:$J$451),0),
IF('TL14'!$B$3=M$3,SUMIF('TL14'!$C$10:$C$224,$C265,'TL14'!$J$10:$J$224),0),
IF('TL14'!$B$229=M$3,SUMIF('TL14'!$C$238:$C$451,$C265,'TL14'!$J$238:$J$451),0),
IF('TL15'!$B$3=M$3,SUMIF('TL15'!$C$10:$C$224,$C265,'TL15'!$J$10:$J$224),0),
IF('TL15'!$B$229=M$3,SUMIF('TL15'!$C$238:$C$451,$C265,'TL15'!$J$238:$J$451),0),
IF('TL16'!$B$3=M$3,SUMIF('TL16'!$C$10:$C$224,$C265,'TL16'!$J$10:$J$224),0),
IF('TL16'!$B$229=M$3,SUMIF('TL16'!$C$238:$C$451,$C265,'TL16'!$J$238:$J$451),0),
IF('TL17'!$B$3=M$3,SUMIF('TL17'!$C$10:$C$224,$C265,'TL17'!$J$10:$J$224),0),
IF('TL17'!$B$229=M$3,SUMIF('TL17'!$C$238:$C$451,$C265,'TL17'!$J$238:$J$451),0),
IF('TL18'!$B$3=M$3,SUMIF('TL18'!$C$10:$C$224,$C265,'TL18'!$J$10:$J$224),0),
IF('TL18'!$B$229=M$3,SUMIF('TL18'!$C$238:$C$451,$C265,'TL18'!$J$238:$J$451),0),
IF('TL19'!$B$3=M$3,SUMIF('TL19'!$C$10:$C$224,$C265,'TL19'!$J$10:$J$224),0),
IF('TL19'!$B$229=M$3,SUMIF('TL19'!$C$238:$C$451,$C265,'TL19'!$J$238:$J$451),0)
),0)</f>
        <v>0</v>
      </c>
      <c r="N265" s="9">
        <f>IFERROR(SUM(
IF('TL01'!$B$3=N$3,SUMIF('TL01'!$C$10:$C$224,$C265,'TL01'!$J$10:$J$224),0),
IF('TL01'!$B$229=N$3,SUMIF('TL01'!$C$238:$C$451,$C265,'TL01'!$J$238:$J$451),0),
IF('TL02'!$B$3=N$3,SUMIF('TL02'!$C$10:$C$224,$C265,'TL02'!$J$10:$J$224),0),
IF('TL02'!$B$229=N$3,SUMIF('TL02'!$C$238:$C$451,$C265,'TL02'!$J$238:$J$451),0),
IF('TL03'!$B$3=N$3,SUMIF('TL03'!$C$10:$C$224,$C265,'TL03'!$J$10:$J$224),0),
IF('TL03'!$B$229=N$3,SUMIF('TL03'!$C$238:$C$451,$C265,'TL03'!$J$238:$J$451),0),
IF('TL04'!$B$3=N$3,SUMIF('TL04'!$C$10:$C$224,$C265,'TL04'!$J$10:$J$224),0),
IF('TL04'!$B$229=N$3,SUMIF('TL04'!$C$238:$C$451,$C265,'TL04'!$J$238:$J$451),0),
IF('TL05'!$B$3=N$3,SUMIF('TL05'!$C$10:$C$224,$C265,'TL05'!$J$10:$J$224),0),
IF('TL05'!$B$229=N$3,SUMIF('TL05'!$C$238:$C$451,$C265,'TL05'!$J$238:$J$451),0),
IF('TL06'!$B$3=N$3,SUMIF('TL06'!$C$10:$C$224,$C265,'TL06'!$J$10:$J$224),0),
IF('TL06'!$B$229=N$3,SUMIF('TL06'!$C$238:$C$451,$C265,'TL06'!$J$238:$J$451),0),
IF('TL07'!$B$3=N$3,SUMIF('TL07'!$C$10:$C$224,$C265,'TL07'!$J$10:$J$224),0),
IF('TL07'!$B$229=N$3,SUMIF('TL07'!$C$238:$C$451,$C265,'TL07'!$J$238:$J$451),0),
IF('TL08'!$B$3=N$3,SUMIF('TL08'!$C$10:$C$224,$C265,'TL08'!$J$10:$J$224),0),
IF('TL08'!$B$229=N$3,SUMIF('TL08'!$C$238:$C$451,$C265,'TL08'!$J$238:$J$451),0),
IF('TL09'!$B$3=N$3,SUMIF('TL09'!$C$10:$C$224,$C265,'TL09'!$J$10:$J$224),0),
IF('TL09'!$B$229=N$3,SUMIF('TL09'!$C$238:$C$451,$C265,'TL09'!$J$238:$J$451),0),
IF('TL10'!$B$3=N$3,SUMIF('TL10'!$C$10:$C$224,$C265,'TL10'!$J$10:$J$224),0),
IF('TL10'!$B$229=N$3,SUMIF('TL10'!$C$238:$C$451,$C265,'TL10'!$J$238:$J$451),0),
IF('TL11'!$B$3=N$3,SUMIF('TL11'!$C$10:$C$224,$C265,'TL11'!$J$10:$J$224),0),
IF('TL11'!$B$229=N$3,SUMIF('TL11'!$C$238:$C$451,$C265,'TL11'!$J$238:$J$451),0),
IF('TL12'!$B$3=N$3,SUMIF('TL12'!$C$10:$C$224,$C265,'TL12'!$J$10:$J$224),0),
IF('TL12'!$B$229=N$3,SUMIF('TL12'!$C$238:$C$451,$C265,'TL12'!$J$238:$J$451),0),
IF('TL13'!$B$3=N$3,SUMIF('TL13'!$C$10:$C$224,$C265,'TL13'!$J$10:$J$224),0),
IF('TL13'!$B$229=N$3,SUMIF('TL13'!$C$238:$C$451,$C265,'TL13'!$J$238:$J$451),0),
IF('TL14'!$B$3=N$3,SUMIF('TL14'!$C$10:$C$224,$C265,'TL14'!$J$10:$J$224),0),
IF('TL14'!$B$229=N$3,SUMIF('TL14'!$C$238:$C$451,$C265,'TL14'!$J$238:$J$451),0),
IF('TL15'!$B$3=N$3,SUMIF('TL15'!$C$10:$C$224,$C265,'TL15'!$J$10:$J$224),0),
IF('TL15'!$B$229=N$3,SUMIF('TL15'!$C$238:$C$451,$C265,'TL15'!$J$238:$J$451),0),
IF('TL16'!$B$3=N$3,SUMIF('TL16'!$C$10:$C$224,$C265,'TL16'!$J$10:$J$224),0),
IF('TL16'!$B$229=N$3,SUMIF('TL16'!$C$238:$C$451,$C265,'TL16'!$J$238:$J$451),0),
IF('TL17'!$B$3=N$3,SUMIF('TL17'!$C$10:$C$224,$C265,'TL17'!$J$10:$J$224),0),
IF('TL17'!$B$229=N$3,SUMIF('TL17'!$C$238:$C$451,$C265,'TL17'!$J$238:$J$451),0),
IF('TL18'!$B$3=N$3,SUMIF('TL18'!$C$10:$C$224,$C265,'TL18'!$J$10:$J$224),0),
IF('TL18'!$B$229=N$3,SUMIF('TL18'!$C$238:$C$451,$C265,'TL18'!$J$238:$J$451),0),
IF('TL19'!$B$3=N$3,SUMIF('TL19'!$C$10:$C$224,$C265,'TL19'!$J$10:$J$224),0),
IF('TL19'!$B$229=N$3,SUMIF('TL19'!$C$238:$C$451,$C265,'TL19'!$J$238:$J$451),0)
),0)</f>
        <v>0</v>
      </c>
      <c r="O265" s="9">
        <f>IFERROR(SUM(
IF('TL01'!$B$3=O$3,SUMIF('TL01'!$C$10:$C$224,$C265,'TL01'!$J$10:$J$224),0),
IF('TL01'!$B$229=O$3,SUMIF('TL01'!$C$238:$C$451,$C265,'TL01'!$J$238:$J$451),0),
IF('TL02'!$B$3=O$3,SUMIF('TL02'!$C$10:$C$224,$C265,'TL02'!$J$10:$J$224),0),
IF('TL02'!$B$229=O$3,SUMIF('TL02'!$C$238:$C$451,$C265,'TL02'!$J$238:$J$451),0),
IF('TL03'!$B$3=O$3,SUMIF('TL03'!$C$10:$C$224,$C265,'TL03'!$J$10:$J$224),0),
IF('TL03'!$B$229=O$3,SUMIF('TL03'!$C$238:$C$451,$C265,'TL03'!$J$238:$J$451),0),
IF('TL04'!$B$3=O$3,SUMIF('TL04'!$C$10:$C$224,$C265,'TL04'!$J$10:$J$224),0),
IF('TL04'!$B$229=O$3,SUMIF('TL04'!$C$238:$C$451,$C265,'TL04'!$J$238:$J$451),0),
IF('TL05'!$B$3=O$3,SUMIF('TL05'!$C$10:$C$224,$C265,'TL05'!$J$10:$J$224),0),
IF('TL05'!$B$229=O$3,SUMIF('TL05'!$C$238:$C$451,$C265,'TL05'!$J$238:$J$451),0),
IF('TL06'!$B$3=O$3,SUMIF('TL06'!$C$10:$C$224,$C265,'TL06'!$J$10:$J$224),0),
IF('TL06'!$B$229=O$3,SUMIF('TL06'!$C$238:$C$451,$C265,'TL06'!$J$238:$J$451),0),
IF('TL07'!$B$3=O$3,SUMIF('TL07'!$C$10:$C$224,$C265,'TL07'!$J$10:$J$224),0),
IF('TL07'!$B$229=O$3,SUMIF('TL07'!$C$238:$C$451,$C265,'TL07'!$J$238:$J$451),0),
IF('TL08'!$B$3=O$3,SUMIF('TL08'!$C$10:$C$224,$C265,'TL08'!$J$10:$J$224),0),
IF('TL08'!$B$229=O$3,SUMIF('TL08'!$C$238:$C$451,$C265,'TL08'!$J$238:$J$451),0),
IF('TL09'!$B$3=O$3,SUMIF('TL09'!$C$10:$C$224,$C265,'TL09'!$J$10:$J$224),0),
IF('TL09'!$B$229=O$3,SUMIF('TL09'!$C$238:$C$451,$C265,'TL09'!$J$238:$J$451),0),
IF('TL10'!$B$3=O$3,SUMIF('TL10'!$C$10:$C$224,$C265,'TL10'!$J$10:$J$224),0),
IF('TL10'!$B$229=O$3,SUMIF('TL10'!$C$238:$C$451,$C265,'TL10'!$J$238:$J$451),0),
IF('TL11'!$B$3=O$3,SUMIF('TL11'!$C$10:$C$224,$C265,'TL11'!$J$10:$J$224),0),
IF('TL11'!$B$229=O$3,SUMIF('TL11'!$C$238:$C$451,$C265,'TL11'!$J$238:$J$451),0),
IF('TL12'!$B$3=O$3,SUMIF('TL12'!$C$10:$C$224,$C265,'TL12'!$J$10:$J$224),0),
IF('TL12'!$B$229=O$3,SUMIF('TL12'!$C$238:$C$451,$C265,'TL12'!$J$238:$J$451),0),
IF('TL13'!$B$3=O$3,SUMIF('TL13'!$C$10:$C$224,$C265,'TL13'!$J$10:$J$224),0),
IF('TL13'!$B$229=O$3,SUMIF('TL13'!$C$238:$C$451,$C265,'TL13'!$J$238:$J$451),0),
IF('TL14'!$B$3=O$3,SUMIF('TL14'!$C$10:$C$224,$C265,'TL14'!$J$10:$J$224),0),
IF('TL14'!$B$229=O$3,SUMIF('TL14'!$C$238:$C$451,$C265,'TL14'!$J$238:$J$451),0),
IF('TL15'!$B$3=O$3,SUMIF('TL15'!$C$10:$C$224,$C265,'TL15'!$J$10:$J$224),0),
IF('TL15'!$B$229=O$3,SUMIF('TL15'!$C$238:$C$451,$C265,'TL15'!$J$238:$J$451),0),
IF('TL16'!$B$3=O$3,SUMIF('TL16'!$C$10:$C$224,$C265,'TL16'!$J$10:$J$224),0),
IF('TL16'!$B$229=O$3,SUMIF('TL16'!$C$238:$C$451,$C265,'TL16'!$J$238:$J$451),0),
IF('TL17'!$B$3=O$3,SUMIF('TL17'!$C$10:$C$224,$C265,'TL17'!$J$10:$J$224),0),
IF('TL17'!$B$229=O$3,SUMIF('TL17'!$C$238:$C$451,$C265,'TL17'!$J$238:$J$451),0),
IF('TL18'!$B$3=O$3,SUMIF('TL18'!$C$10:$C$224,$C265,'TL18'!$J$10:$J$224),0),
IF('TL18'!$B$229=O$3,SUMIF('TL18'!$C$238:$C$451,$C265,'TL18'!$J$238:$J$451),0),
IF('TL19'!$B$3=O$3,SUMIF('TL19'!$C$10:$C$224,$C265,'TL19'!$J$10:$J$224),0),
IF('TL19'!$B$229=O$3,SUMIF('TL19'!$C$238:$C$451,$C265,'TL19'!$J$238:$J$451),0)
),0)</f>
        <v>0</v>
      </c>
      <c r="P265" s="9">
        <f>IFERROR(SUM(
IF('TL01'!$B$3=P$3,SUMIF('TL01'!$C$10:$C$224,$C265,'TL01'!$J$10:$J$224),0),
IF('TL01'!$B$229=P$3,SUMIF('TL01'!$C$238:$C$451,$C265,'TL01'!$J$238:$J$451),0),
IF('TL02'!$B$3=P$3,SUMIF('TL02'!$C$10:$C$224,$C265,'TL02'!$J$10:$J$224),0),
IF('TL02'!$B$229=P$3,SUMIF('TL02'!$C$238:$C$451,$C265,'TL02'!$J$238:$J$451),0),
IF('TL03'!$B$3=P$3,SUMIF('TL03'!$C$10:$C$224,$C265,'TL03'!$J$10:$J$224),0),
IF('TL03'!$B$229=P$3,SUMIF('TL03'!$C$238:$C$451,$C265,'TL03'!$J$238:$J$451),0),
IF('TL04'!$B$3=P$3,SUMIF('TL04'!$C$10:$C$224,$C265,'TL04'!$J$10:$J$224),0),
IF('TL04'!$B$229=P$3,SUMIF('TL04'!$C$238:$C$451,$C265,'TL04'!$J$238:$J$451),0),
IF('TL05'!$B$3=P$3,SUMIF('TL05'!$C$10:$C$224,$C265,'TL05'!$J$10:$J$224),0),
IF('TL05'!$B$229=P$3,SUMIF('TL05'!$C$238:$C$451,$C265,'TL05'!$J$238:$J$451),0),
IF('TL06'!$B$3=P$3,SUMIF('TL06'!$C$10:$C$224,$C265,'TL06'!$J$10:$J$224),0),
IF('TL06'!$B$229=P$3,SUMIF('TL06'!$C$238:$C$451,$C265,'TL06'!$J$238:$J$451),0),
IF('TL07'!$B$3=P$3,SUMIF('TL07'!$C$10:$C$224,$C265,'TL07'!$J$10:$J$224),0),
IF('TL07'!$B$229=P$3,SUMIF('TL07'!$C$238:$C$451,$C265,'TL07'!$J$238:$J$451),0),
IF('TL08'!$B$3=P$3,SUMIF('TL08'!$C$10:$C$224,$C265,'TL08'!$J$10:$J$224),0),
IF('TL08'!$B$229=P$3,SUMIF('TL08'!$C$238:$C$451,$C265,'TL08'!$J$238:$J$451),0),
IF('TL09'!$B$3=P$3,SUMIF('TL09'!$C$10:$C$224,$C265,'TL09'!$J$10:$J$224),0),
IF('TL09'!$B$229=P$3,SUMIF('TL09'!$C$238:$C$451,$C265,'TL09'!$J$238:$J$451),0),
IF('TL10'!$B$3=P$3,SUMIF('TL10'!$C$10:$C$224,$C265,'TL10'!$J$10:$J$224),0),
IF('TL10'!$B$229=P$3,SUMIF('TL10'!$C$238:$C$451,$C265,'TL10'!$J$238:$J$451),0),
IF('TL11'!$B$3=P$3,SUMIF('TL11'!$C$10:$C$224,$C265,'TL11'!$J$10:$J$224),0),
IF('TL11'!$B$229=P$3,SUMIF('TL11'!$C$238:$C$451,$C265,'TL11'!$J$238:$J$451),0),
IF('TL12'!$B$3=P$3,SUMIF('TL12'!$C$10:$C$224,$C265,'TL12'!$J$10:$J$224),0),
IF('TL12'!$B$229=P$3,SUMIF('TL12'!$C$238:$C$451,$C265,'TL12'!$J$238:$J$451),0),
IF('TL13'!$B$3=P$3,SUMIF('TL13'!$C$10:$C$224,$C265,'TL13'!$J$10:$J$224),0),
IF('TL13'!$B$229=P$3,SUMIF('TL13'!$C$238:$C$451,$C265,'TL13'!$J$238:$J$451),0),
IF('TL14'!$B$3=P$3,SUMIF('TL14'!$C$10:$C$224,$C265,'TL14'!$J$10:$J$224),0),
IF('TL14'!$B$229=P$3,SUMIF('TL14'!$C$238:$C$451,$C265,'TL14'!$J$238:$J$451),0),
IF('TL15'!$B$3=P$3,SUMIF('TL15'!$C$10:$C$224,$C265,'TL15'!$J$10:$J$224),0),
IF('TL15'!$B$229=P$3,SUMIF('TL15'!$C$238:$C$451,$C265,'TL15'!$J$238:$J$451),0),
IF('TL16'!$B$3=P$3,SUMIF('TL16'!$C$10:$C$224,$C265,'TL16'!$J$10:$J$224),0),
IF('TL16'!$B$229=P$3,SUMIF('TL16'!$C$238:$C$451,$C265,'TL16'!$J$238:$J$451),0),
IF('TL17'!$B$3=P$3,SUMIF('TL17'!$C$10:$C$224,$C265,'TL17'!$J$10:$J$224),0),
IF('TL17'!$B$229=P$3,SUMIF('TL17'!$C$238:$C$451,$C265,'TL17'!$J$238:$J$451),0),
IF('TL18'!$B$3=P$3,SUMIF('TL18'!$C$10:$C$224,$C265,'TL18'!$J$10:$J$224),0),
IF('TL18'!$B$229=P$3,SUMIF('TL18'!$C$238:$C$451,$C265,'TL18'!$J$238:$J$451),0),
IF('TL19'!$B$3=P$3,SUMIF('TL19'!$C$10:$C$224,$C265,'TL19'!$J$10:$J$224),0),
IF('TL19'!$B$229=P$3,SUMIF('TL19'!$C$238:$C$451,$C265,'TL19'!$J$238:$J$451),0)
),0)</f>
        <v>0</v>
      </c>
      <c r="Q265" s="9">
        <f>IFERROR(SUM(
IF('TL01'!$B$3=Q$3,SUMIF('TL01'!$C$10:$C$224,$C265,'TL01'!$J$10:$J$224),0),
IF('TL01'!$B$229=Q$3,SUMIF('TL01'!$C$238:$C$451,$C265,'TL01'!$J$238:$J$451),0),
IF('TL02'!$B$3=Q$3,SUMIF('TL02'!$C$10:$C$224,$C265,'TL02'!$J$10:$J$224),0),
IF('TL02'!$B$229=Q$3,SUMIF('TL02'!$C$238:$C$451,$C265,'TL02'!$J$238:$J$451),0),
IF('TL03'!$B$3=Q$3,SUMIF('TL03'!$C$10:$C$224,$C265,'TL03'!$J$10:$J$224),0),
IF('TL03'!$B$229=Q$3,SUMIF('TL03'!$C$238:$C$451,$C265,'TL03'!$J$238:$J$451),0),
IF('TL04'!$B$3=Q$3,SUMIF('TL04'!$C$10:$C$224,$C265,'TL04'!$J$10:$J$224),0),
IF('TL04'!$B$229=Q$3,SUMIF('TL04'!$C$238:$C$451,$C265,'TL04'!$J$238:$J$451),0),
IF('TL05'!$B$3=Q$3,SUMIF('TL05'!$C$10:$C$224,$C265,'TL05'!$J$10:$J$224),0),
IF('TL05'!$B$229=Q$3,SUMIF('TL05'!$C$238:$C$451,$C265,'TL05'!$J$238:$J$451),0),
IF('TL06'!$B$3=Q$3,SUMIF('TL06'!$C$10:$C$224,$C265,'TL06'!$J$10:$J$224),0),
IF('TL06'!$B$229=Q$3,SUMIF('TL06'!$C$238:$C$451,$C265,'TL06'!$J$238:$J$451),0),
IF('TL07'!$B$3=Q$3,SUMIF('TL07'!$C$10:$C$224,$C265,'TL07'!$J$10:$J$224),0),
IF('TL07'!$B$229=Q$3,SUMIF('TL07'!$C$238:$C$451,$C265,'TL07'!$J$238:$J$451),0),
IF('TL08'!$B$3=Q$3,SUMIF('TL08'!$C$10:$C$224,$C265,'TL08'!$J$10:$J$224),0),
IF('TL08'!$B$229=Q$3,SUMIF('TL08'!$C$238:$C$451,$C265,'TL08'!$J$238:$J$451),0),
IF('TL09'!$B$3=Q$3,SUMIF('TL09'!$C$10:$C$224,$C265,'TL09'!$J$10:$J$224),0),
IF('TL09'!$B$229=Q$3,SUMIF('TL09'!$C$238:$C$451,$C265,'TL09'!$J$238:$J$451),0),
IF('TL10'!$B$3=Q$3,SUMIF('TL10'!$C$10:$C$224,$C265,'TL10'!$J$10:$J$224),0),
IF('TL10'!$B$229=Q$3,SUMIF('TL10'!$C$238:$C$451,$C265,'TL10'!$J$238:$J$451),0),
IF('TL11'!$B$3=Q$3,SUMIF('TL11'!$C$10:$C$224,$C265,'TL11'!$J$10:$J$224),0),
IF('TL11'!$B$229=Q$3,SUMIF('TL11'!$C$238:$C$451,$C265,'TL11'!$J$238:$J$451),0),
IF('TL12'!$B$3=Q$3,SUMIF('TL12'!$C$10:$C$224,$C265,'TL12'!$J$10:$J$224),0),
IF('TL12'!$B$229=Q$3,SUMIF('TL12'!$C$238:$C$451,$C265,'TL12'!$J$238:$J$451),0),
IF('TL13'!$B$3=Q$3,SUMIF('TL13'!$C$10:$C$224,$C265,'TL13'!$J$10:$J$224),0),
IF('TL13'!$B$229=Q$3,SUMIF('TL13'!$C$238:$C$451,$C265,'TL13'!$J$238:$J$451),0),
IF('TL14'!$B$3=Q$3,SUMIF('TL14'!$C$10:$C$224,$C265,'TL14'!$J$10:$J$224),0),
IF('TL14'!$B$229=Q$3,SUMIF('TL14'!$C$238:$C$451,$C265,'TL14'!$J$238:$J$451),0),
IF('TL15'!$B$3=Q$3,SUMIF('TL15'!$C$10:$C$224,$C265,'TL15'!$J$10:$J$224),0),
IF('TL15'!$B$229=Q$3,SUMIF('TL15'!$C$238:$C$451,$C265,'TL15'!$J$238:$J$451),0),
IF('TL16'!$B$3=Q$3,SUMIF('TL16'!$C$10:$C$224,$C265,'TL16'!$J$10:$J$224),0),
IF('TL16'!$B$229=Q$3,SUMIF('TL16'!$C$238:$C$451,$C265,'TL16'!$J$238:$J$451),0),
IF('TL17'!$B$3=Q$3,SUMIF('TL17'!$C$10:$C$224,$C265,'TL17'!$J$10:$J$224),0),
IF('TL17'!$B$229=Q$3,SUMIF('TL17'!$C$238:$C$451,$C265,'TL17'!$J$238:$J$451),0),
IF('TL18'!$B$3=Q$3,SUMIF('TL18'!$C$10:$C$224,$C265,'TL18'!$J$10:$J$224),0),
IF('TL18'!$B$229=Q$3,SUMIF('TL18'!$C$238:$C$451,$C265,'TL18'!$J$238:$J$451),0),
IF('TL19'!$B$3=Q$3,SUMIF('TL19'!$C$10:$C$224,$C265,'TL19'!$J$10:$J$224),0),
IF('TL19'!$B$229=Q$3,SUMIF('TL19'!$C$238:$C$451,$C265,'TL19'!$J$238:$J$451),0)
),0)</f>
        <v>0</v>
      </c>
      <c r="R265" s="9">
        <f>IFERROR(
SUM(
SUMIF('TL01'!C:C,C265,'TL01'!J:J),
SUMIF('TL02'!C:C,C265,'TL02'!J:J),
SUMIF('TL03'!C:C,C265,'TL03'!J:J),
SUMIF('TL04'!C:C,C265,'TL04'!J:J),
SUMIF('TL05'!C:C,C265,'TL05'!J:J),
SUMIF('TL06'!C:C,C265,'TL06'!J:J),
SUMIF('TL07'!C:C,C265,'TL07'!J:J),
SUMIF('TL08'!C:C,C265,'TL08'!J:J),
SUMIF('TL09'!C:C,C265,'TL09'!J:J),
SUMIF('TL10'!C:C,C265,'TL10'!J:J),
SUMIF('TL11'!C:C,C265,'TL11'!J:J),
SUMIF('TL12'!C:C,C265,'TL12'!J:J),
SUMIF('TL13'!C:C,C265,'TL13'!J:J),
SUMIF('TL14'!C:C,C265,'TL14'!J:J),
SUMIF('TL15'!C:C,C265,'TL15'!J:J),
SUMIF('TL16'!C:C,C265,'TL16'!J:J),
SUMIF('TL17'!C:C,C265,'TL17'!J:J),
SUMIF('TL18'!C:C,C265,'TL18'!J:J),SUMIF('TL19'!C:C,C265,'TL19'!J:J))
,0)</f>
        <v>0</v>
      </c>
      <c r="S265" s="17">
        <f>IFERROR(__xludf.DUMMYFUNCTION("IFERROR(VLOOKUP(C265,
IMPORTRANGE(""1wULbzX32WdYsx-lj2U3uUNBBe2INVIRDtcK0d-Dvl90"",
""26-27!C:G""),
5,
FALSE),
"""")"),32.98)</f>
        <v>32.98</v>
      </c>
      <c r="T265" s="9"/>
      <c r="U265" s="92">
        <f t="shared" si="2"/>
        <v>0</v>
      </c>
      <c r="V265" s="93">
        <f t="shared" si="3"/>
        <v>0</v>
      </c>
    </row>
    <row r="266" ht="15.75" hidden="1" customHeight="1">
      <c r="A266" s="4"/>
      <c r="B266" s="125" t="s">
        <v>9</v>
      </c>
      <c r="C266" s="4" t="s">
        <v>959</v>
      </c>
      <c r="D266" s="6"/>
      <c r="E266" s="9"/>
      <c r="F266" s="4" t="s">
        <v>343</v>
      </c>
      <c r="G266" s="9"/>
      <c r="H266" s="9">
        <v>1.0</v>
      </c>
      <c r="I266" s="1"/>
      <c r="J266" s="9">
        <f>IFERROR(SUM(
IF('TL01'!$B$3=J$3,SUMIF('TL01'!$C$10:$C$224,$C266,'TL01'!$J$10:$J$224),0),
IF('TL01'!$B$229=J$3,SUMIF('TL01'!$C$238:$C$451,$C266,'TL01'!$J$238:$J$451),0),
IF('TL02'!$B$3=J$3,SUMIF('TL02'!$C$10:$C$224,$C266,'TL02'!$J$10:$J$224),0),
IF('TL02'!$B$229=J$3,SUMIF('TL02'!$C$238:$C$451,$C266,'TL02'!$J$238:$J$451),0),
IF('TL03'!$B$3=J$3,SUMIF('TL03'!$C$10:$C$224,$C266,'TL03'!$J$10:$J$224),0),
IF('TL03'!$B$229=J$3,SUMIF('TL03'!$C$238:$C$451,$C266,'TL03'!$J$238:$J$451),0),
IF('TL04'!$B$3=J$3,SUMIF('TL04'!$C$10:$C$224,$C266,'TL04'!$J$10:$J$224),0),
IF('TL04'!$B$229=J$3,SUMIF('TL04'!$C$238:$C$451,$C266,'TL04'!$J$238:$J$451),0),
IF('TL05'!$B$3=J$3,SUMIF('TL05'!$C$10:$C$224,$C266,'TL05'!$J$10:$J$224),0),
IF('TL05'!$B$229=J$3,SUMIF('TL05'!$C$238:$C$451,$C266,'TL05'!$J$238:$J$451),0),
IF('TL06'!$B$3=J$3,SUMIF('TL06'!$C$10:$C$224,$C266,'TL06'!$J$10:$J$224),0),
IF('TL06'!$B$229=J$3,SUMIF('TL06'!$C$238:$C$451,$C266,'TL06'!$J$238:$J$451),0),
IF('TL07'!$B$3=J$3,SUMIF('TL07'!$C$10:$C$224,$C266,'TL07'!$J$10:$J$224),0),
IF('TL07'!$B$229=J$3,SUMIF('TL07'!$C$238:$C$451,$C266,'TL07'!$J$238:$J$451),0),
IF('TL08'!$B$3=J$3,SUMIF('TL08'!$C$10:$C$224,$C266,'TL08'!$J$10:$J$224),0),
IF('TL08'!$B$229=J$3,SUMIF('TL08'!$C$238:$C$451,$C266,'TL08'!$J$238:$J$451),0),
IF('TL09'!$B$3=J$3,SUMIF('TL09'!$C$10:$C$224,$C266,'TL09'!$J$10:$J$224),0),
IF('TL09'!$B$229=J$3,SUMIF('TL09'!$C$238:$C$451,$C266,'TL09'!$J$238:$J$451),0),
IF('TL10'!$B$3=J$3,SUMIF('TL10'!$C$10:$C$224,$C266,'TL10'!$J$10:$J$224),0),
IF('TL10'!$B$229=J$3,SUMIF('TL10'!$C$238:$C$451,$C266,'TL10'!$J$238:$J$451),0),
IF('TL11'!$B$3=J$3,SUMIF('TL11'!$C$10:$C$224,$C266,'TL11'!$J$10:$J$224),0),
IF('TL11'!$B$229=J$3,SUMIF('TL11'!$C$238:$C$451,$C266,'TL11'!$J$238:$J$451),0),
IF('TL12'!$B$3=J$3,SUMIF('TL12'!$C$10:$C$224,$C266,'TL12'!$J$10:$J$224),0),
IF('TL12'!$B$229=J$3,SUMIF('TL12'!$C$238:$C$451,$C266,'TL12'!$J$238:$J$451),0),
IF('TL13'!$B$3=J$3,SUMIF('TL13'!$C$10:$C$224,$C266,'TL13'!$J$10:$J$224),0),
IF('TL13'!$B$229=J$3,SUMIF('TL13'!$C$238:$C$451,$C266,'TL13'!$J$238:$J$451),0),
IF('TL14'!$B$3=J$3,SUMIF('TL14'!$C$10:$C$224,$C266,'TL14'!$J$10:$J$224),0),
IF('TL14'!$B$229=J$3,SUMIF('TL14'!$C$238:$C$451,$C266,'TL14'!$J$238:$J$451),0),
IF('TL15'!$B$3=J$3,SUMIF('TL15'!$C$10:$C$224,$C266,'TL15'!$J$10:$J$224),0),
IF('TL15'!$B$229=J$3,SUMIF('TL15'!$C$238:$C$451,$C266,'TL15'!$J$238:$J$451),0),
IF('TL16'!$B$3=J$3,SUMIF('TL16'!$C$10:$C$224,$C266,'TL16'!$J$10:$J$224),0),
IF('TL16'!$B$229=J$3,SUMIF('TL16'!$C$238:$C$451,$C266,'TL16'!$J$238:$J$451),0),
IF('TL17'!$B$3=J$3,SUMIF('TL17'!$C$10:$C$224,$C266,'TL17'!$J$10:$J$224),0),
IF('TL17'!$B$229=J$3,SUMIF('TL17'!$C$238:$C$451,$C266,'TL17'!$J$238:$J$451),0),
IF('TL18'!$B$3=J$3,SUMIF('TL18'!$C$10:$C$224,$C266,'TL18'!$J$10:$J$224),0),
IF('TL18'!$B$229=J$3,SUMIF('TL18'!$C$238:$C$451,$C266,'TL18'!$J$238:$J$451),0),
IF('TL19'!$B$3=J$3,SUMIF('TL19'!$C$10:$C$224,$C266,'TL19'!$J$10:$J$224),0),
IF('TL19'!$B$229=J$3,SUMIF('TL19'!$C$238:$C$451,$C266,'TL19'!$J$238:$J$451),0)
),0)</f>
        <v>0</v>
      </c>
      <c r="K266" s="9">
        <f>IFERROR(SUM(
IF('TL01'!$B$3=K$3,SUMIF('TL01'!$C$10:$C$224,$C266,'TL01'!$J$10:$J$224),0),
IF('TL01'!$B$229=K$3,SUMIF('TL01'!$C$238:$C$451,$C266,'TL01'!$J$238:$J$451),0),
IF('TL02'!$B$3=K$3,SUMIF('TL02'!$C$10:$C$224,$C266,'TL02'!$J$10:$J$224),0),
IF('TL02'!$B$229=K$3,SUMIF('TL02'!$C$238:$C$451,$C266,'TL02'!$J$238:$J$451),0),
IF('TL03'!$B$3=K$3,SUMIF('TL03'!$C$10:$C$224,$C266,'TL03'!$J$10:$J$224),0),
IF('TL03'!$B$229=K$3,SUMIF('TL03'!$C$238:$C$451,$C266,'TL03'!$J$238:$J$451),0),
IF('TL04'!$B$3=K$3,SUMIF('TL04'!$C$10:$C$224,$C266,'TL04'!$J$10:$J$224),0),
IF('TL04'!$B$229=K$3,SUMIF('TL04'!$C$238:$C$451,$C266,'TL04'!$J$238:$J$451),0),
IF('TL05'!$B$3=K$3,SUMIF('TL05'!$C$10:$C$224,$C266,'TL05'!$J$10:$J$224),0),
IF('TL05'!$B$229=K$3,SUMIF('TL05'!$C$238:$C$451,$C266,'TL05'!$J$238:$J$451),0),
IF('TL06'!$B$3=K$3,SUMIF('TL06'!$C$10:$C$224,$C266,'TL06'!$J$10:$J$224),0),
IF('TL06'!$B$229=K$3,SUMIF('TL06'!$C$238:$C$451,$C266,'TL06'!$J$238:$J$451),0),
IF('TL07'!$B$3=K$3,SUMIF('TL07'!$C$10:$C$224,$C266,'TL07'!$J$10:$J$224),0),
IF('TL07'!$B$229=K$3,SUMIF('TL07'!$C$238:$C$451,$C266,'TL07'!$J$238:$J$451),0),
IF('TL08'!$B$3=K$3,SUMIF('TL08'!$C$10:$C$224,$C266,'TL08'!$J$10:$J$224),0),
IF('TL08'!$B$229=K$3,SUMIF('TL08'!$C$238:$C$451,$C266,'TL08'!$J$238:$J$451),0),
IF('TL09'!$B$3=K$3,SUMIF('TL09'!$C$10:$C$224,$C266,'TL09'!$J$10:$J$224),0),
IF('TL09'!$B$229=K$3,SUMIF('TL09'!$C$238:$C$451,$C266,'TL09'!$J$238:$J$451),0),
IF('TL10'!$B$3=K$3,SUMIF('TL10'!$C$10:$C$224,$C266,'TL10'!$J$10:$J$224),0),
IF('TL10'!$B$229=K$3,SUMIF('TL10'!$C$238:$C$451,$C266,'TL10'!$J$238:$J$451),0),
IF('TL11'!$B$3=K$3,SUMIF('TL11'!$C$10:$C$224,$C266,'TL11'!$J$10:$J$224),0),
IF('TL11'!$B$229=K$3,SUMIF('TL11'!$C$238:$C$451,$C266,'TL11'!$J$238:$J$451),0),
IF('TL12'!$B$3=K$3,SUMIF('TL12'!$C$10:$C$224,$C266,'TL12'!$J$10:$J$224),0),
IF('TL12'!$B$229=K$3,SUMIF('TL12'!$C$238:$C$451,$C266,'TL12'!$J$238:$J$451),0),
IF('TL13'!$B$3=K$3,SUMIF('TL13'!$C$10:$C$224,$C266,'TL13'!$J$10:$J$224),0),
IF('TL13'!$B$229=K$3,SUMIF('TL13'!$C$238:$C$451,$C266,'TL13'!$J$238:$J$451),0),
IF('TL14'!$B$3=K$3,SUMIF('TL14'!$C$10:$C$224,$C266,'TL14'!$J$10:$J$224),0),
IF('TL14'!$B$229=K$3,SUMIF('TL14'!$C$238:$C$451,$C266,'TL14'!$J$238:$J$451),0),
IF('TL15'!$B$3=K$3,SUMIF('TL15'!$C$10:$C$224,$C266,'TL15'!$J$10:$J$224),0),
IF('TL15'!$B$229=K$3,SUMIF('TL15'!$C$238:$C$451,$C266,'TL15'!$J$238:$J$451),0),
IF('TL16'!$B$3=K$3,SUMIF('TL16'!$C$10:$C$224,$C266,'TL16'!$J$10:$J$224),0),
IF('TL16'!$B$229=K$3,SUMIF('TL16'!$C$238:$C$451,$C266,'TL16'!$J$238:$J$451),0),
IF('TL17'!$B$3=K$3,SUMIF('TL17'!$C$10:$C$224,$C266,'TL17'!$J$10:$J$224),0),
IF('TL17'!$B$229=K$3,SUMIF('TL17'!$C$238:$C$451,$C266,'TL17'!$J$238:$J$451),0),
IF('TL18'!$B$3=K$3,SUMIF('TL18'!$C$10:$C$224,$C266,'TL18'!$J$10:$J$224),0),
IF('TL18'!$B$229=K$3,SUMIF('TL18'!$C$238:$C$451,$C266,'TL18'!$J$238:$J$451),0),
IF('TL19'!$B$3=K$3,SUMIF('TL19'!$C$10:$C$224,$C266,'TL19'!$J$10:$J$224),0),
IF('TL19'!$B$229=K$3,SUMIF('TL19'!$C$238:$C$451,$C266,'TL19'!$J$238:$J$451),0)
),0)</f>
        <v>0</v>
      </c>
      <c r="L266" s="9">
        <f>IFERROR(SUM(
IF('TL01'!$B$3=L$3,SUMIF('TL01'!$C$10:$C$224,$C266,'TL01'!$J$10:$J$224),0),
IF('TL01'!$B$229=L$3,SUMIF('TL01'!$C$238:$C$451,$C266,'TL01'!$J$238:$J$451),0),
IF('TL02'!$B$3=L$3,SUMIF('TL02'!$C$10:$C$224,$C266,'TL02'!$J$10:$J$224),0),
IF('TL02'!$B$229=L$3,SUMIF('TL02'!$C$238:$C$451,$C266,'TL02'!$J$238:$J$451),0),
IF('TL03'!$B$3=L$3,SUMIF('TL03'!$C$10:$C$224,$C266,'TL03'!$J$10:$J$224),0),
IF('TL03'!$B$229=L$3,SUMIF('TL03'!$C$238:$C$451,$C266,'TL03'!$J$238:$J$451),0),
IF('TL04'!$B$3=L$3,SUMIF('TL04'!$C$10:$C$224,$C266,'TL04'!$J$10:$J$224),0),
IF('TL04'!$B$229=L$3,SUMIF('TL04'!$C$238:$C$451,$C266,'TL04'!$J$238:$J$451),0),
IF('TL05'!$B$3=L$3,SUMIF('TL05'!$C$10:$C$224,$C266,'TL05'!$J$10:$J$224),0),
IF('TL05'!$B$229=L$3,SUMIF('TL05'!$C$238:$C$451,$C266,'TL05'!$J$238:$J$451),0),
IF('TL06'!$B$3=L$3,SUMIF('TL06'!$C$10:$C$224,$C266,'TL06'!$J$10:$J$224),0),
IF('TL06'!$B$229=L$3,SUMIF('TL06'!$C$238:$C$451,$C266,'TL06'!$J$238:$J$451),0),
IF('TL07'!$B$3=L$3,SUMIF('TL07'!$C$10:$C$224,$C266,'TL07'!$J$10:$J$224),0),
IF('TL07'!$B$229=L$3,SUMIF('TL07'!$C$238:$C$451,$C266,'TL07'!$J$238:$J$451),0),
IF('TL08'!$B$3=L$3,SUMIF('TL08'!$C$10:$C$224,$C266,'TL08'!$J$10:$J$224),0),
IF('TL08'!$B$229=L$3,SUMIF('TL08'!$C$238:$C$451,$C266,'TL08'!$J$238:$J$451),0),
IF('TL09'!$B$3=L$3,SUMIF('TL09'!$C$10:$C$224,$C266,'TL09'!$J$10:$J$224),0),
IF('TL09'!$B$229=L$3,SUMIF('TL09'!$C$238:$C$451,$C266,'TL09'!$J$238:$J$451),0),
IF('TL10'!$B$3=L$3,SUMIF('TL10'!$C$10:$C$224,$C266,'TL10'!$J$10:$J$224),0),
IF('TL10'!$B$229=L$3,SUMIF('TL10'!$C$238:$C$451,$C266,'TL10'!$J$238:$J$451),0),
IF('TL11'!$B$3=L$3,SUMIF('TL11'!$C$10:$C$224,$C266,'TL11'!$J$10:$J$224),0),
IF('TL11'!$B$229=L$3,SUMIF('TL11'!$C$238:$C$451,$C266,'TL11'!$J$238:$J$451),0),
IF('TL12'!$B$3=L$3,SUMIF('TL12'!$C$10:$C$224,$C266,'TL12'!$J$10:$J$224),0),
IF('TL12'!$B$229=L$3,SUMIF('TL12'!$C$238:$C$451,$C266,'TL12'!$J$238:$J$451),0),
IF('TL13'!$B$3=L$3,SUMIF('TL13'!$C$10:$C$224,$C266,'TL13'!$J$10:$J$224),0),
IF('TL13'!$B$229=L$3,SUMIF('TL13'!$C$238:$C$451,$C266,'TL13'!$J$238:$J$451),0),
IF('TL14'!$B$3=L$3,SUMIF('TL14'!$C$10:$C$224,$C266,'TL14'!$J$10:$J$224),0),
IF('TL14'!$B$229=L$3,SUMIF('TL14'!$C$238:$C$451,$C266,'TL14'!$J$238:$J$451),0),
IF('TL15'!$B$3=L$3,SUMIF('TL15'!$C$10:$C$224,$C266,'TL15'!$J$10:$J$224),0),
IF('TL15'!$B$229=L$3,SUMIF('TL15'!$C$238:$C$451,$C266,'TL15'!$J$238:$J$451),0),
IF('TL16'!$B$3=L$3,SUMIF('TL16'!$C$10:$C$224,$C266,'TL16'!$J$10:$J$224),0),
IF('TL16'!$B$229=L$3,SUMIF('TL16'!$C$238:$C$451,$C266,'TL16'!$J$238:$J$451),0),
IF('TL17'!$B$3=L$3,SUMIF('TL17'!$C$10:$C$224,$C266,'TL17'!$J$10:$J$224),0),
IF('TL17'!$B$229=L$3,SUMIF('TL17'!$C$238:$C$451,$C266,'TL17'!$J$238:$J$451),0),
IF('TL18'!$B$3=L$3,SUMIF('TL18'!$C$10:$C$224,$C266,'TL18'!$J$10:$J$224),0),
IF('TL18'!$B$229=L$3,SUMIF('TL18'!$C$238:$C$451,$C266,'TL18'!$J$238:$J$451),0),
IF('TL19'!$B$3=L$3,SUMIF('TL19'!$C$10:$C$224,$C266,'TL19'!$J$10:$J$224),0),
IF('TL19'!$B$229=L$3,SUMIF('TL19'!$C$238:$C$451,$C266,'TL19'!$J$238:$J$451),0)
),0)</f>
        <v>0</v>
      </c>
      <c r="M266" s="9">
        <f>IFERROR(SUM(
IF('TL01'!$B$3=M$3,SUMIF('TL01'!$C$10:$C$224,$C266,'TL01'!$J$10:$J$224),0),
IF('TL01'!$B$229=M$3,SUMIF('TL01'!$C$238:$C$451,$C266,'TL01'!$J$238:$J$451),0),
IF('TL02'!$B$3=M$3,SUMIF('TL02'!$C$10:$C$224,$C266,'TL02'!$J$10:$J$224),0),
IF('TL02'!$B$229=M$3,SUMIF('TL02'!$C$238:$C$451,$C266,'TL02'!$J$238:$J$451),0),
IF('TL03'!$B$3=M$3,SUMIF('TL03'!$C$10:$C$224,$C266,'TL03'!$J$10:$J$224),0),
IF('TL03'!$B$229=M$3,SUMIF('TL03'!$C$238:$C$451,$C266,'TL03'!$J$238:$J$451),0),
IF('TL04'!$B$3=M$3,SUMIF('TL04'!$C$10:$C$224,$C266,'TL04'!$J$10:$J$224),0),
IF('TL04'!$B$229=M$3,SUMIF('TL04'!$C$238:$C$451,$C266,'TL04'!$J$238:$J$451),0),
IF('TL05'!$B$3=M$3,SUMIF('TL05'!$C$10:$C$224,$C266,'TL05'!$J$10:$J$224),0),
IF('TL05'!$B$229=M$3,SUMIF('TL05'!$C$238:$C$451,$C266,'TL05'!$J$238:$J$451),0),
IF('TL06'!$B$3=M$3,SUMIF('TL06'!$C$10:$C$224,$C266,'TL06'!$J$10:$J$224),0),
IF('TL06'!$B$229=M$3,SUMIF('TL06'!$C$238:$C$451,$C266,'TL06'!$J$238:$J$451),0),
IF('TL07'!$B$3=M$3,SUMIF('TL07'!$C$10:$C$224,$C266,'TL07'!$J$10:$J$224),0),
IF('TL07'!$B$229=M$3,SUMIF('TL07'!$C$238:$C$451,$C266,'TL07'!$J$238:$J$451),0),
IF('TL08'!$B$3=M$3,SUMIF('TL08'!$C$10:$C$224,$C266,'TL08'!$J$10:$J$224),0),
IF('TL08'!$B$229=M$3,SUMIF('TL08'!$C$238:$C$451,$C266,'TL08'!$J$238:$J$451),0),
IF('TL09'!$B$3=M$3,SUMIF('TL09'!$C$10:$C$224,$C266,'TL09'!$J$10:$J$224),0),
IF('TL09'!$B$229=M$3,SUMIF('TL09'!$C$238:$C$451,$C266,'TL09'!$J$238:$J$451),0),
IF('TL10'!$B$3=M$3,SUMIF('TL10'!$C$10:$C$224,$C266,'TL10'!$J$10:$J$224),0),
IF('TL10'!$B$229=M$3,SUMIF('TL10'!$C$238:$C$451,$C266,'TL10'!$J$238:$J$451),0),
IF('TL11'!$B$3=M$3,SUMIF('TL11'!$C$10:$C$224,$C266,'TL11'!$J$10:$J$224),0),
IF('TL11'!$B$229=M$3,SUMIF('TL11'!$C$238:$C$451,$C266,'TL11'!$J$238:$J$451),0),
IF('TL12'!$B$3=M$3,SUMIF('TL12'!$C$10:$C$224,$C266,'TL12'!$J$10:$J$224),0),
IF('TL12'!$B$229=M$3,SUMIF('TL12'!$C$238:$C$451,$C266,'TL12'!$J$238:$J$451),0),
IF('TL13'!$B$3=M$3,SUMIF('TL13'!$C$10:$C$224,$C266,'TL13'!$J$10:$J$224),0),
IF('TL13'!$B$229=M$3,SUMIF('TL13'!$C$238:$C$451,$C266,'TL13'!$J$238:$J$451),0),
IF('TL14'!$B$3=M$3,SUMIF('TL14'!$C$10:$C$224,$C266,'TL14'!$J$10:$J$224),0),
IF('TL14'!$B$229=M$3,SUMIF('TL14'!$C$238:$C$451,$C266,'TL14'!$J$238:$J$451),0),
IF('TL15'!$B$3=M$3,SUMIF('TL15'!$C$10:$C$224,$C266,'TL15'!$J$10:$J$224),0),
IF('TL15'!$B$229=M$3,SUMIF('TL15'!$C$238:$C$451,$C266,'TL15'!$J$238:$J$451),0),
IF('TL16'!$B$3=M$3,SUMIF('TL16'!$C$10:$C$224,$C266,'TL16'!$J$10:$J$224),0),
IF('TL16'!$B$229=M$3,SUMIF('TL16'!$C$238:$C$451,$C266,'TL16'!$J$238:$J$451),0),
IF('TL17'!$B$3=M$3,SUMIF('TL17'!$C$10:$C$224,$C266,'TL17'!$J$10:$J$224),0),
IF('TL17'!$B$229=M$3,SUMIF('TL17'!$C$238:$C$451,$C266,'TL17'!$J$238:$J$451),0),
IF('TL18'!$B$3=M$3,SUMIF('TL18'!$C$10:$C$224,$C266,'TL18'!$J$10:$J$224),0),
IF('TL18'!$B$229=M$3,SUMIF('TL18'!$C$238:$C$451,$C266,'TL18'!$J$238:$J$451),0),
IF('TL19'!$B$3=M$3,SUMIF('TL19'!$C$10:$C$224,$C266,'TL19'!$J$10:$J$224),0),
IF('TL19'!$B$229=M$3,SUMIF('TL19'!$C$238:$C$451,$C266,'TL19'!$J$238:$J$451),0)
),0)</f>
        <v>0</v>
      </c>
      <c r="N266" s="9">
        <f>IFERROR(SUM(
IF('TL01'!$B$3=N$3,SUMIF('TL01'!$C$10:$C$224,$C266,'TL01'!$J$10:$J$224),0),
IF('TL01'!$B$229=N$3,SUMIF('TL01'!$C$238:$C$451,$C266,'TL01'!$J$238:$J$451),0),
IF('TL02'!$B$3=N$3,SUMIF('TL02'!$C$10:$C$224,$C266,'TL02'!$J$10:$J$224),0),
IF('TL02'!$B$229=N$3,SUMIF('TL02'!$C$238:$C$451,$C266,'TL02'!$J$238:$J$451),0),
IF('TL03'!$B$3=N$3,SUMIF('TL03'!$C$10:$C$224,$C266,'TL03'!$J$10:$J$224),0),
IF('TL03'!$B$229=N$3,SUMIF('TL03'!$C$238:$C$451,$C266,'TL03'!$J$238:$J$451),0),
IF('TL04'!$B$3=N$3,SUMIF('TL04'!$C$10:$C$224,$C266,'TL04'!$J$10:$J$224),0),
IF('TL04'!$B$229=N$3,SUMIF('TL04'!$C$238:$C$451,$C266,'TL04'!$J$238:$J$451),0),
IF('TL05'!$B$3=N$3,SUMIF('TL05'!$C$10:$C$224,$C266,'TL05'!$J$10:$J$224),0),
IF('TL05'!$B$229=N$3,SUMIF('TL05'!$C$238:$C$451,$C266,'TL05'!$J$238:$J$451),0),
IF('TL06'!$B$3=N$3,SUMIF('TL06'!$C$10:$C$224,$C266,'TL06'!$J$10:$J$224),0),
IF('TL06'!$B$229=N$3,SUMIF('TL06'!$C$238:$C$451,$C266,'TL06'!$J$238:$J$451),0),
IF('TL07'!$B$3=N$3,SUMIF('TL07'!$C$10:$C$224,$C266,'TL07'!$J$10:$J$224),0),
IF('TL07'!$B$229=N$3,SUMIF('TL07'!$C$238:$C$451,$C266,'TL07'!$J$238:$J$451),0),
IF('TL08'!$B$3=N$3,SUMIF('TL08'!$C$10:$C$224,$C266,'TL08'!$J$10:$J$224),0),
IF('TL08'!$B$229=N$3,SUMIF('TL08'!$C$238:$C$451,$C266,'TL08'!$J$238:$J$451),0),
IF('TL09'!$B$3=N$3,SUMIF('TL09'!$C$10:$C$224,$C266,'TL09'!$J$10:$J$224),0),
IF('TL09'!$B$229=N$3,SUMIF('TL09'!$C$238:$C$451,$C266,'TL09'!$J$238:$J$451),0),
IF('TL10'!$B$3=N$3,SUMIF('TL10'!$C$10:$C$224,$C266,'TL10'!$J$10:$J$224),0),
IF('TL10'!$B$229=N$3,SUMIF('TL10'!$C$238:$C$451,$C266,'TL10'!$J$238:$J$451),0),
IF('TL11'!$B$3=N$3,SUMIF('TL11'!$C$10:$C$224,$C266,'TL11'!$J$10:$J$224),0),
IF('TL11'!$B$229=N$3,SUMIF('TL11'!$C$238:$C$451,$C266,'TL11'!$J$238:$J$451),0),
IF('TL12'!$B$3=N$3,SUMIF('TL12'!$C$10:$C$224,$C266,'TL12'!$J$10:$J$224),0),
IF('TL12'!$B$229=N$3,SUMIF('TL12'!$C$238:$C$451,$C266,'TL12'!$J$238:$J$451),0),
IF('TL13'!$B$3=N$3,SUMIF('TL13'!$C$10:$C$224,$C266,'TL13'!$J$10:$J$224),0),
IF('TL13'!$B$229=N$3,SUMIF('TL13'!$C$238:$C$451,$C266,'TL13'!$J$238:$J$451),0),
IF('TL14'!$B$3=N$3,SUMIF('TL14'!$C$10:$C$224,$C266,'TL14'!$J$10:$J$224),0),
IF('TL14'!$B$229=N$3,SUMIF('TL14'!$C$238:$C$451,$C266,'TL14'!$J$238:$J$451),0),
IF('TL15'!$B$3=N$3,SUMIF('TL15'!$C$10:$C$224,$C266,'TL15'!$J$10:$J$224),0),
IF('TL15'!$B$229=N$3,SUMIF('TL15'!$C$238:$C$451,$C266,'TL15'!$J$238:$J$451),0),
IF('TL16'!$B$3=N$3,SUMIF('TL16'!$C$10:$C$224,$C266,'TL16'!$J$10:$J$224),0),
IF('TL16'!$B$229=N$3,SUMIF('TL16'!$C$238:$C$451,$C266,'TL16'!$J$238:$J$451),0),
IF('TL17'!$B$3=N$3,SUMIF('TL17'!$C$10:$C$224,$C266,'TL17'!$J$10:$J$224),0),
IF('TL17'!$B$229=N$3,SUMIF('TL17'!$C$238:$C$451,$C266,'TL17'!$J$238:$J$451),0),
IF('TL18'!$B$3=N$3,SUMIF('TL18'!$C$10:$C$224,$C266,'TL18'!$J$10:$J$224),0),
IF('TL18'!$B$229=N$3,SUMIF('TL18'!$C$238:$C$451,$C266,'TL18'!$J$238:$J$451),0),
IF('TL19'!$B$3=N$3,SUMIF('TL19'!$C$10:$C$224,$C266,'TL19'!$J$10:$J$224),0),
IF('TL19'!$B$229=N$3,SUMIF('TL19'!$C$238:$C$451,$C266,'TL19'!$J$238:$J$451),0)
),0)</f>
        <v>0</v>
      </c>
      <c r="O266" s="9">
        <f>IFERROR(SUM(
IF('TL01'!$B$3=O$3,SUMIF('TL01'!$C$10:$C$224,$C266,'TL01'!$J$10:$J$224),0),
IF('TL01'!$B$229=O$3,SUMIF('TL01'!$C$238:$C$451,$C266,'TL01'!$J$238:$J$451),0),
IF('TL02'!$B$3=O$3,SUMIF('TL02'!$C$10:$C$224,$C266,'TL02'!$J$10:$J$224),0),
IF('TL02'!$B$229=O$3,SUMIF('TL02'!$C$238:$C$451,$C266,'TL02'!$J$238:$J$451),0),
IF('TL03'!$B$3=O$3,SUMIF('TL03'!$C$10:$C$224,$C266,'TL03'!$J$10:$J$224),0),
IF('TL03'!$B$229=O$3,SUMIF('TL03'!$C$238:$C$451,$C266,'TL03'!$J$238:$J$451),0),
IF('TL04'!$B$3=O$3,SUMIF('TL04'!$C$10:$C$224,$C266,'TL04'!$J$10:$J$224),0),
IF('TL04'!$B$229=O$3,SUMIF('TL04'!$C$238:$C$451,$C266,'TL04'!$J$238:$J$451),0),
IF('TL05'!$B$3=O$3,SUMIF('TL05'!$C$10:$C$224,$C266,'TL05'!$J$10:$J$224),0),
IF('TL05'!$B$229=O$3,SUMIF('TL05'!$C$238:$C$451,$C266,'TL05'!$J$238:$J$451),0),
IF('TL06'!$B$3=O$3,SUMIF('TL06'!$C$10:$C$224,$C266,'TL06'!$J$10:$J$224),0),
IF('TL06'!$B$229=O$3,SUMIF('TL06'!$C$238:$C$451,$C266,'TL06'!$J$238:$J$451),0),
IF('TL07'!$B$3=O$3,SUMIF('TL07'!$C$10:$C$224,$C266,'TL07'!$J$10:$J$224),0),
IF('TL07'!$B$229=O$3,SUMIF('TL07'!$C$238:$C$451,$C266,'TL07'!$J$238:$J$451),0),
IF('TL08'!$B$3=O$3,SUMIF('TL08'!$C$10:$C$224,$C266,'TL08'!$J$10:$J$224),0),
IF('TL08'!$B$229=O$3,SUMIF('TL08'!$C$238:$C$451,$C266,'TL08'!$J$238:$J$451),0),
IF('TL09'!$B$3=O$3,SUMIF('TL09'!$C$10:$C$224,$C266,'TL09'!$J$10:$J$224),0),
IF('TL09'!$B$229=O$3,SUMIF('TL09'!$C$238:$C$451,$C266,'TL09'!$J$238:$J$451),0),
IF('TL10'!$B$3=O$3,SUMIF('TL10'!$C$10:$C$224,$C266,'TL10'!$J$10:$J$224),0),
IF('TL10'!$B$229=O$3,SUMIF('TL10'!$C$238:$C$451,$C266,'TL10'!$J$238:$J$451),0),
IF('TL11'!$B$3=O$3,SUMIF('TL11'!$C$10:$C$224,$C266,'TL11'!$J$10:$J$224),0),
IF('TL11'!$B$229=O$3,SUMIF('TL11'!$C$238:$C$451,$C266,'TL11'!$J$238:$J$451),0),
IF('TL12'!$B$3=O$3,SUMIF('TL12'!$C$10:$C$224,$C266,'TL12'!$J$10:$J$224),0),
IF('TL12'!$B$229=O$3,SUMIF('TL12'!$C$238:$C$451,$C266,'TL12'!$J$238:$J$451),0),
IF('TL13'!$B$3=O$3,SUMIF('TL13'!$C$10:$C$224,$C266,'TL13'!$J$10:$J$224),0),
IF('TL13'!$B$229=O$3,SUMIF('TL13'!$C$238:$C$451,$C266,'TL13'!$J$238:$J$451),0),
IF('TL14'!$B$3=O$3,SUMIF('TL14'!$C$10:$C$224,$C266,'TL14'!$J$10:$J$224),0),
IF('TL14'!$B$229=O$3,SUMIF('TL14'!$C$238:$C$451,$C266,'TL14'!$J$238:$J$451),0),
IF('TL15'!$B$3=O$3,SUMIF('TL15'!$C$10:$C$224,$C266,'TL15'!$J$10:$J$224),0),
IF('TL15'!$B$229=O$3,SUMIF('TL15'!$C$238:$C$451,$C266,'TL15'!$J$238:$J$451),0),
IF('TL16'!$B$3=O$3,SUMIF('TL16'!$C$10:$C$224,$C266,'TL16'!$J$10:$J$224),0),
IF('TL16'!$B$229=O$3,SUMIF('TL16'!$C$238:$C$451,$C266,'TL16'!$J$238:$J$451),0),
IF('TL17'!$B$3=O$3,SUMIF('TL17'!$C$10:$C$224,$C266,'TL17'!$J$10:$J$224),0),
IF('TL17'!$B$229=O$3,SUMIF('TL17'!$C$238:$C$451,$C266,'TL17'!$J$238:$J$451),0),
IF('TL18'!$B$3=O$3,SUMIF('TL18'!$C$10:$C$224,$C266,'TL18'!$J$10:$J$224),0),
IF('TL18'!$B$229=O$3,SUMIF('TL18'!$C$238:$C$451,$C266,'TL18'!$J$238:$J$451),0),
IF('TL19'!$B$3=O$3,SUMIF('TL19'!$C$10:$C$224,$C266,'TL19'!$J$10:$J$224),0),
IF('TL19'!$B$229=O$3,SUMIF('TL19'!$C$238:$C$451,$C266,'TL19'!$J$238:$J$451),0)
),0)</f>
        <v>0</v>
      </c>
      <c r="P266" s="9">
        <f>IFERROR(SUM(
IF('TL01'!$B$3=P$3,SUMIF('TL01'!$C$10:$C$224,$C266,'TL01'!$J$10:$J$224),0),
IF('TL01'!$B$229=P$3,SUMIF('TL01'!$C$238:$C$451,$C266,'TL01'!$J$238:$J$451),0),
IF('TL02'!$B$3=P$3,SUMIF('TL02'!$C$10:$C$224,$C266,'TL02'!$J$10:$J$224),0),
IF('TL02'!$B$229=P$3,SUMIF('TL02'!$C$238:$C$451,$C266,'TL02'!$J$238:$J$451),0),
IF('TL03'!$B$3=P$3,SUMIF('TL03'!$C$10:$C$224,$C266,'TL03'!$J$10:$J$224),0),
IF('TL03'!$B$229=P$3,SUMIF('TL03'!$C$238:$C$451,$C266,'TL03'!$J$238:$J$451),0),
IF('TL04'!$B$3=P$3,SUMIF('TL04'!$C$10:$C$224,$C266,'TL04'!$J$10:$J$224),0),
IF('TL04'!$B$229=P$3,SUMIF('TL04'!$C$238:$C$451,$C266,'TL04'!$J$238:$J$451),0),
IF('TL05'!$B$3=P$3,SUMIF('TL05'!$C$10:$C$224,$C266,'TL05'!$J$10:$J$224),0),
IF('TL05'!$B$229=P$3,SUMIF('TL05'!$C$238:$C$451,$C266,'TL05'!$J$238:$J$451),0),
IF('TL06'!$B$3=P$3,SUMIF('TL06'!$C$10:$C$224,$C266,'TL06'!$J$10:$J$224),0),
IF('TL06'!$B$229=P$3,SUMIF('TL06'!$C$238:$C$451,$C266,'TL06'!$J$238:$J$451),0),
IF('TL07'!$B$3=P$3,SUMIF('TL07'!$C$10:$C$224,$C266,'TL07'!$J$10:$J$224),0),
IF('TL07'!$B$229=P$3,SUMIF('TL07'!$C$238:$C$451,$C266,'TL07'!$J$238:$J$451),0),
IF('TL08'!$B$3=P$3,SUMIF('TL08'!$C$10:$C$224,$C266,'TL08'!$J$10:$J$224),0),
IF('TL08'!$B$229=P$3,SUMIF('TL08'!$C$238:$C$451,$C266,'TL08'!$J$238:$J$451),0),
IF('TL09'!$B$3=P$3,SUMIF('TL09'!$C$10:$C$224,$C266,'TL09'!$J$10:$J$224),0),
IF('TL09'!$B$229=P$3,SUMIF('TL09'!$C$238:$C$451,$C266,'TL09'!$J$238:$J$451),0),
IF('TL10'!$B$3=P$3,SUMIF('TL10'!$C$10:$C$224,$C266,'TL10'!$J$10:$J$224),0),
IF('TL10'!$B$229=P$3,SUMIF('TL10'!$C$238:$C$451,$C266,'TL10'!$J$238:$J$451),0),
IF('TL11'!$B$3=P$3,SUMIF('TL11'!$C$10:$C$224,$C266,'TL11'!$J$10:$J$224),0),
IF('TL11'!$B$229=P$3,SUMIF('TL11'!$C$238:$C$451,$C266,'TL11'!$J$238:$J$451),0),
IF('TL12'!$B$3=P$3,SUMIF('TL12'!$C$10:$C$224,$C266,'TL12'!$J$10:$J$224),0),
IF('TL12'!$B$229=P$3,SUMIF('TL12'!$C$238:$C$451,$C266,'TL12'!$J$238:$J$451),0),
IF('TL13'!$B$3=P$3,SUMIF('TL13'!$C$10:$C$224,$C266,'TL13'!$J$10:$J$224),0),
IF('TL13'!$B$229=P$3,SUMIF('TL13'!$C$238:$C$451,$C266,'TL13'!$J$238:$J$451),0),
IF('TL14'!$B$3=P$3,SUMIF('TL14'!$C$10:$C$224,$C266,'TL14'!$J$10:$J$224),0),
IF('TL14'!$B$229=P$3,SUMIF('TL14'!$C$238:$C$451,$C266,'TL14'!$J$238:$J$451),0),
IF('TL15'!$B$3=P$3,SUMIF('TL15'!$C$10:$C$224,$C266,'TL15'!$J$10:$J$224),0),
IF('TL15'!$B$229=P$3,SUMIF('TL15'!$C$238:$C$451,$C266,'TL15'!$J$238:$J$451),0),
IF('TL16'!$B$3=P$3,SUMIF('TL16'!$C$10:$C$224,$C266,'TL16'!$J$10:$J$224),0),
IF('TL16'!$B$229=P$3,SUMIF('TL16'!$C$238:$C$451,$C266,'TL16'!$J$238:$J$451),0),
IF('TL17'!$B$3=P$3,SUMIF('TL17'!$C$10:$C$224,$C266,'TL17'!$J$10:$J$224),0),
IF('TL17'!$B$229=P$3,SUMIF('TL17'!$C$238:$C$451,$C266,'TL17'!$J$238:$J$451),0),
IF('TL18'!$B$3=P$3,SUMIF('TL18'!$C$10:$C$224,$C266,'TL18'!$J$10:$J$224),0),
IF('TL18'!$B$229=P$3,SUMIF('TL18'!$C$238:$C$451,$C266,'TL18'!$J$238:$J$451),0),
IF('TL19'!$B$3=P$3,SUMIF('TL19'!$C$10:$C$224,$C266,'TL19'!$J$10:$J$224),0),
IF('TL19'!$B$229=P$3,SUMIF('TL19'!$C$238:$C$451,$C266,'TL19'!$J$238:$J$451),0)
),0)</f>
        <v>0</v>
      </c>
      <c r="Q266" s="9">
        <f>IFERROR(SUM(
IF('TL01'!$B$3=Q$3,SUMIF('TL01'!$C$10:$C$224,$C266,'TL01'!$J$10:$J$224),0),
IF('TL01'!$B$229=Q$3,SUMIF('TL01'!$C$238:$C$451,$C266,'TL01'!$J$238:$J$451),0),
IF('TL02'!$B$3=Q$3,SUMIF('TL02'!$C$10:$C$224,$C266,'TL02'!$J$10:$J$224),0),
IF('TL02'!$B$229=Q$3,SUMIF('TL02'!$C$238:$C$451,$C266,'TL02'!$J$238:$J$451),0),
IF('TL03'!$B$3=Q$3,SUMIF('TL03'!$C$10:$C$224,$C266,'TL03'!$J$10:$J$224),0),
IF('TL03'!$B$229=Q$3,SUMIF('TL03'!$C$238:$C$451,$C266,'TL03'!$J$238:$J$451),0),
IF('TL04'!$B$3=Q$3,SUMIF('TL04'!$C$10:$C$224,$C266,'TL04'!$J$10:$J$224),0),
IF('TL04'!$B$229=Q$3,SUMIF('TL04'!$C$238:$C$451,$C266,'TL04'!$J$238:$J$451),0),
IF('TL05'!$B$3=Q$3,SUMIF('TL05'!$C$10:$C$224,$C266,'TL05'!$J$10:$J$224),0),
IF('TL05'!$B$229=Q$3,SUMIF('TL05'!$C$238:$C$451,$C266,'TL05'!$J$238:$J$451),0),
IF('TL06'!$B$3=Q$3,SUMIF('TL06'!$C$10:$C$224,$C266,'TL06'!$J$10:$J$224),0),
IF('TL06'!$B$229=Q$3,SUMIF('TL06'!$C$238:$C$451,$C266,'TL06'!$J$238:$J$451),0),
IF('TL07'!$B$3=Q$3,SUMIF('TL07'!$C$10:$C$224,$C266,'TL07'!$J$10:$J$224),0),
IF('TL07'!$B$229=Q$3,SUMIF('TL07'!$C$238:$C$451,$C266,'TL07'!$J$238:$J$451),0),
IF('TL08'!$B$3=Q$3,SUMIF('TL08'!$C$10:$C$224,$C266,'TL08'!$J$10:$J$224),0),
IF('TL08'!$B$229=Q$3,SUMIF('TL08'!$C$238:$C$451,$C266,'TL08'!$J$238:$J$451),0),
IF('TL09'!$B$3=Q$3,SUMIF('TL09'!$C$10:$C$224,$C266,'TL09'!$J$10:$J$224),0),
IF('TL09'!$B$229=Q$3,SUMIF('TL09'!$C$238:$C$451,$C266,'TL09'!$J$238:$J$451),0),
IF('TL10'!$B$3=Q$3,SUMIF('TL10'!$C$10:$C$224,$C266,'TL10'!$J$10:$J$224),0),
IF('TL10'!$B$229=Q$3,SUMIF('TL10'!$C$238:$C$451,$C266,'TL10'!$J$238:$J$451),0),
IF('TL11'!$B$3=Q$3,SUMIF('TL11'!$C$10:$C$224,$C266,'TL11'!$J$10:$J$224),0),
IF('TL11'!$B$229=Q$3,SUMIF('TL11'!$C$238:$C$451,$C266,'TL11'!$J$238:$J$451),0),
IF('TL12'!$B$3=Q$3,SUMIF('TL12'!$C$10:$C$224,$C266,'TL12'!$J$10:$J$224),0),
IF('TL12'!$B$229=Q$3,SUMIF('TL12'!$C$238:$C$451,$C266,'TL12'!$J$238:$J$451),0),
IF('TL13'!$B$3=Q$3,SUMIF('TL13'!$C$10:$C$224,$C266,'TL13'!$J$10:$J$224),0),
IF('TL13'!$B$229=Q$3,SUMIF('TL13'!$C$238:$C$451,$C266,'TL13'!$J$238:$J$451),0),
IF('TL14'!$B$3=Q$3,SUMIF('TL14'!$C$10:$C$224,$C266,'TL14'!$J$10:$J$224),0),
IF('TL14'!$B$229=Q$3,SUMIF('TL14'!$C$238:$C$451,$C266,'TL14'!$J$238:$J$451),0),
IF('TL15'!$B$3=Q$3,SUMIF('TL15'!$C$10:$C$224,$C266,'TL15'!$J$10:$J$224),0),
IF('TL15'!$B$229=Q$3,SUMIF('TL15'!$C$238:$C$451,$C266,'TL15'!$J$238:$J$451),0),
IF('TL16'!$B$3=Q$3,SUMIF('TL16'!$C$10:$C$224,$C266,'TL16'!$J$10:$J$224),0),
IF('TL16'!$B$229=Q$3,SUMIF('TL16'!$C$238:$C$451,$C266,'TL16'!$J$238:$J$451),0),
IF('TL17'!$B$3=Q$3,SUMIF('TL17'!$C$10:$C$224,$C266,'TL17'!$J$10:$J$224),0),
IF('TL17'!$B$229=Q$3,SUMIF('TL17'!$C$238:$C$451,$C266,'TL17'!$J$238:$J$451),0),
IF('TL18'!$B$3=Q$3,SUMIF('TL18'!$C$10:$C$224,$C266,'TL18'!$J$10:$J$224),0),
IF('TL18'!$B$229=Q$3,SUMIF('TL18'!$C$238:$C$451,$C266,'TL18'!$J$238:$J$451),0),
IF('TL19'!$B$3=Q$3,SUMIF('TL19'!$C$10:$C$224,$C266,'TL19'!$J$10:$J$224),0),
IF('TL19'!$B$229=Q$3,SUMIF('TL19'!$C$238:$C$451,$C266,'TL19'!$J$238:$J$451),0)
),0)</f>
        <v>0</v>
      </c>
      <c r="R266" s="9">
        <f>IFERROR(
SUM(
SUMIF('TL01'!C:C,C266,'TL01'!J:J),
SUMIF('TL02'!C:C,C266,'TL02'!J:J),
SUMIF('TL03'!C:C,C266,'TL03'!J:J),
SUMIF('TL04'!C:C,C266,'TL04'!J:J),
SUMIF('TL05'!C:C,C266,'TL05'!J:J),
SUMIF('TL06'!C:C,C266,'TL06'!J:J),
SUMIF('TL07'!C:C,C266,'TL07'!J:J),
SUMIF('TL08'!C:C,C266,'TL08'!J:J),
SUMIF('TL09'!C:C,C266,'TL09'!J:J),
SUMIF('TL10'!C:C,C266,'TL10'!J:J),
SUMIF('TL11'!C:C,C266,'TL11'!J:J),
SUMIF('TL12'!C:C,C266,'TL12'!J:J),
SUMIF('TL13'!C:C,C266,'TL13'!J:J),
SUMIF('TL14'!C:C,C266,'TL14'!J:J),
SUMIF('TL15'!C:C,C266,'TL15'!J:J),
SUMIF('TL16'!C:C,C266,'TL16'!J:J),
SUMIF('TL17'!C:C,C266,'TL17'!J:J),
SUMIF('TL18'!C:C,C266,'TL18'!J:J),SUMIF('TL19'!C:C,C266,'TL19'!J:J))
,0)</f>
        <v>0</v>
      </c>
      <c r="S266" s="17">
        <f>IFERROR(__xludf.DUMMYFUNCTION("IFERROR(VLOOKUP(C266,
IMPORTRANGE(""1wULbzX32WdYsx-lj2U3uUNBBe2INVIRDtcK0d-Dvl90"",
""26-27!C:G""),
5,
FALSE),
"""")"),59.0)</f>
        <v>59</v>
      </c>
      <c r="T266" s="9"/>
      <c r="U266" s="92">
        <f t="shared" si="2"/>
        <v>0</v>
      </c>
      <c r="V266" s="93">
        <f t="shared" si="3"/>
        <v>0</v>
      </c>
    </row>
    <row r="267" ht="15.75" hidden="1" customHeight="1">
      <c r="A267" s="4"/>
      <c r="B267" s="125" t="s">
        <v>9</v>
      </c>
      <c r="C267" s="4" t="s">
        <v>960</v>
      </c>
      <c r="D267" s="6"/>
      <c r="E267" s="9"/>
      <c r="F267" s="4" t="s">
        <v>343</v>
      </c>
      <c r="G267" s="9"/>
      <c r="H267" s="9">
        <v>1.0</v>
      </c>
      <c r="I267" s="1"/>
      <c r="J267" s="9">
        <f>IFERROR(SUM(
IF('TL01'!$B$3=J$3,SUMIF('TL01'!$C$10:$C$224,$C267,'TL01'!$J$10:$J$224),0),
IF('TL01'!$B$229=J$3,SUMIF('TL01'!$C$238:$C$451,$C267,'TL01'!$J$238:$J$451),0),
IF('TL02'!$B$3=J$3,SUMIF('TL02'!$C$10:$C$224,$C267,'TL02'!$J$10:$J$224),0),
IF('TL02'!$B$229=J$3,SUMIF('TL02'!$C$238:$C$451,$C267,'TL02'!$J$238:$J$451),0),
IF('TL03'!$B$3=J$3,SUMIF('TL03'!$C$10:$C$224,$C267,'TL03'!$J$10:$J$224),0),
IF('TL03'!$B$229=J$3,SUMIF('TL03'!$C$238:$C$451,$C267,'TL03'!$J$238:$J$451),0),
IF('TL04'!$B$3=J$3,SUMIF('TL04'!$C$10:$C$224,$C267,'TL04'!$J$10:$J$224),0),
IF('TL04'!$B$229=J$3,SUMIF('TL04'!$C$238:$C$451,$C267,'TL04'!$J$238:$J$451),0),
IF('TL05'!$B$3=J$3,SUMIF('TL05'!$C$10:$C$224,$C267,'TL05'!$J$10:$J$224),0),
IF('TL05'!$B$229=J$3,SUMIF('TL05'!$C$238:$C$451,$C267,'TL05'!$J$238:$J$451),0),
IF('TL06'!$B$3=J$3,SUMIF('TL06'!$C$10:$C$224,$C267,'TL06'!$J$10:$J$224),0),
IF('TL06'!$B$229=J$3,SUMIF('TL06'!$C$238:$C$451,$C267,'TL06'!$J$238:$J$451),0),
IF('TL07'!$B$3=J$3,SUMIF('TL07'!$C$10:$C$224,$C267,'TL07'!$J$10:$J$224),0),
IF('TL07'!$B$229=J$3,SUMIF('TL07'!$C$238:$C$451,$C267,'TL07'!$J$238:$J$451),0),
IF('TL08'!$B$3=J$3,SUMIF('TL08'!$C$10:$C$224,$C267,'TL08'!$J$10:$J$224),0),
IF('TL08'!$B$229=J$3,SUMIF('TL08'!$C$238:$C$451,$C267,'TL08'!$J$238:$J$451),0),
IF('TL09'!$B$3=J$3,SUMIF('TL09'!$C$10:$C$224,$C267,'TL09'!$J$10:$J$224),0),
IF('TL09'!$B$229=J$3,SUMIF('TL09'!$C$238:$C$451,$C267,'TL09'!$J$238:$J$451),0),
IF('TL10'!$B$3=J$3,SUMIF('TL10'!$C$10:$C$224,$C267,'TL10'!$J$10:$J$224),0),
IF('TL10'!$B$229=J$3,SUMIF('TL10'!$C$238:$C$451,$C267,'TL10'!$J$238:$J$451),0),
IF('TL11'!$B$3=J$3,SUMIF('TL11'!$C$10:$C$224,$C267,'TL11'!$J$10:$J$224),0),
IF('TL11'!$B$229=J$3,SUMIF('TL11'!$C$238:$C$451,$C267,'TL11'!$J$238:$J$451),0),
IF('TL12'!$B$3=J$3,SUMIF('TL12'!$C$10:$C$224,$C267,'TL12'!$J$10:$J$224),0),
IF('TL12'!$B$229=J$3,SUMIF('TL12'!$C$238:$C$451,$C267,'TL12'!$J$238:$J$451),0),
IF('TL13'!$B$3=J$3,SUMIF('TL13'!$C$10:$C$224,$C267,'TL13'!$J$10:$J$224),0),
IF('TL13'!$B$229=J$3,SUMIF('TL13'!$C$238:$C$451,$C267,'TL13'!$J$238:$J$451),0),
IF('TL14'!$B$3=J$3,SUMIF('TL14'!$C$10:$C$224,$C267,'TL14'!$J$10:$J$224),0),
IF('TL14'!$B$229=J$3,SUMIF('TL14'!$C$238:$C$451,$C267,'TL14'!$J$238:$J$451),0),
IF('TL15'!$B$3=J$3,SUMIF('TL15'!$C$10:$C$224,$C267,'TL15'!$J$10:$J$224),0),
IF('TL15'!$B$229=J$3,SUMIF('TL15'!$C$238:$C$451,$C267,'TL15'!$J$238:$J$451),0),
IF('TL16'!$B$3=J$3,SUMIF('TL16'!$C$10:$C$224,$C267,'TL16'!$J$10:$J$224),0),
IF('TL16'!$B$229=J$3,SUMIF('TL16'!$C$238:$C$451,$C267,'TL16'!$J$238:$J$451),0),
IF('TL17'!$B$3=J$3,SUMIF('TL17'!$C$10:$C$224,$C267,'TL17'!$J$10:$J$224),0),
IF('TL17'!$B$229=J$3,SUMIF('TL17'!$C$238:$C$451,$C267,'TL17'!$J$238:$J$451),0),
IF('TL18'!$B$3=J$3,SUMIF('TL18'!$C$10:$C$224,$C267,'TL18'!$J$10:$J$224),0),
IF('TL18'!$B$229=J$3,SUMIF('TL18'!$C$238:$C$451,$C267,'TL18'!$J$238:$J$451),0),
IF('TL19'!$B$3=J$3,SUMIF('TL19'!$C$10:$C$224,$C267,'TL19'!$J$10:$J$224),0),
IF('TL19'!$B$229=J$3,SUMIF('TL19'!$C$238:$C$451,$C267,'TL19'!$J$238:$J$451),0)
),0)</f>
        <v>0</v>
      </c>
      <c r="K267" s="9">
        <f>IFERROR(SUM(
IF('TL01'!$B$3=K$3,SUMIF('TL01'!$C$10:$C$224,$C267,'TL01'!$J$10:$J$224),0),
IF('TL01'!$B$229=K$3,SUMIF('TL01'!$C$238:$C$451,$C267,'TL01'!$J$238:$J$451),0),
IF('TL02'!$B$3=K$3,SUMIF('TL02'!$C$10:$C$224,$C267,'TL02'!$J$10:$J$224),0),
IF('TL02'!$B$229=K$3,SUMIF('TL02'!$C$238:$C$451,$C267,'TL02'!$J$238:$J$451),0),
IF('TL03'!$B$3=K$3,SUMIF('TL03'!$C$10:$C$224,$C267,'TL03'!$J$10:$J$224),0),
IF('TL03'!$B$229=K$3,SUMIF('TL03'!$C$238:$C$451,$C267,'TL03'!$J$238:$J$451),0),
IF('TL04'!$B$3=K$3,SUMIF('TL04'!$C$10:$C$224,$C267,'TL04'!$J$10:$J$224),0),
IF('TL04'!$B$229=K$3,SUMIF('TL04'!$C$238:$C$451,$C267,'TL04'!$J$238:$J$451),0),
IF('TL05'!$B$3=K$3,SUMIF('TL05'!$C$10:$C$224,$C267,'TL05'!$J$10:$J$224),0),
IF('TL05'!$B$229=K$3,SUMIF('TL05'!$C$238:$C$451,$C267,'TL05'!$J$238:$J$451),0),
IF('TL06'!$B$3=K$3,SUMIF('TL06'!$C$10:$C$224,$C267,'TL06'!$J$10:$J$224),0),
IF('TL06'!$B$229=K$3,SUMIF('TL06'!$C$238:$C$451,$C267,'TL06'!$J$238:$J$451),0),
IF('TL07'!$B$3=K$3,SUMIF('TL07'!$C$10:$C$224,$C267,'TL07'!$J$10:$J$224),0),
IF('TL07'!$B$229=K$3,SUMIF('TL07'!$C$238:$C$451,$C267,'TL07'!$J$238:$J$451),0),
IF('TL08'!$B$3=K$3,SUMIF('TL08'!$C$10:$C$224,$C267,'TL08'!$J$10:$J$224),0),
IF('TL08'!$B$229=K$3,SUMIF('TL08'!$C$238:$C$451,$C267,'TL08'!$J$238:$J$451),0),
IF('TL09'!$B$3=K$3,SUMIF('TL09'!$C$10:$C$224,$C267,'TL09'!$J$10:$J$224),0),
IF('TL09'!$B$229=K$3,SUMIF('TL09'!$C$238:$C$451,$C267,'TL09'!$J$238:$J$451),0),
IF('TL10'!$B$3=K$3,SUMIF('TL10'!$C$10:$C$224,$C267,'TL10'!$J$10:$J$224),0),
IF('TL10'!$B$229=K$3,SUMIF('TL10'!$C$238:$C$451,$C267,'TL10'!$J$238:$J$451),0),
IF('TL11'!$B$3=K$3,SUMIF('TL11'!$C$10:$C$224,$C267,'TL11'!$J$10:$J$224),0),
IF('TL11'!$B$229=K$3,SUMIF('TL11'!$C$238:$C$451,$C267,'TL11'!$J$238:$J$451),0),
IF('TL12'!$B$3=K$3,SUMIF('TL12'!$C$10:$C$224,$C267,'TL12'!$J$10:$J$224),0),
IF('TL12'!$B$229=K$3,SUMIF('TL12'!$C$238:$C$451,$C267,'TL12'!$J$238:$J$451),0),
IF('TL13'!$B$3=K$3,SUMIF('TL13'!$C$10:$C$224,$C267,'TL13'!$J$10:$J$224),0),
IF('TL13'!$B$229=K$3,SUMIF('TL13'!$C$238:$C$451,$C267,'TL13'!$J$238:$J$451),0),
IF('TL14'!$B$3=K$3,SUMIF('TL14'!$C$10:$C$224,$C267,'TL14'!$J$10:$J$224),0),
IF('TL14'!$B$229=K$3,SUMIF('TL14'!$C$238:$C$451,$C267,'TL14'!$J$238:$J$451),0),
IF('TL15'!$B$3=K$3,SUMIF('TL15'!$C$10:$C$224,$C267,'TL15'!$J$10:$J$224),0),
IF('TL15'!$B$229=K$3,SUMIF('TL15'!$C$238:$C$451,$C267,'TL15'!$J$238:$J$451),0),
IF('TL16'!$B$3=K$3,SUMIF('TL16'!$C$10:$C$224,$C267,'TL16'!$J$10:$J$224),0),
IF('TL16'!$B$229=K$3,SUMIF('TL16'!$C$238:$C$451,$C267,'TL16'!$J$238:$J$451),0),
IF('TL17'!$B$3=K$3,SUMIF('TL17'!$C$10:$C$224,$C267,'TL17'!$J$10:$J$224),0),
IF('TL17'!$B$229=K$3,SUMIF('TL17'!$C$238:$C$451,$C267,'TL17'!$J$238:$J$451),0),
IF('TL18'!$B$3=K$3,SUMIF('TL18'!$C$10:$C$224,$C267,'TL18'!$J$10:$J$224),0),
IF('TL18'!$B$229=K$3,SUMIF('TL18'!$C$238:$C$451,$C267,'TL18'!$J$238:$J$451),0),
IF('TL19'!$B$3=K$3,SUMIF('TL19'!$C$10:$C$224,$C267,'TL19'!$J$10:$J$224),0),
IF('TL19'!$B$229=K$3,SUMIF('TL19'!$C$238:$C$451,$C267,'TL19'!$J$238:$J$451),0)
),0)</f>
        <v>0</v>
      </c>
      <c r="L267" s="9">
        <f>IFERROR(SUM(
IF('TL01'!$B$3=L$3,SUMIF('TL01'!$C$10:$C$224,$C267,'TL01'!$J$10:$J$224),0),
IF('TL01'!$B$229=L$3,SUMIF('TL01'!$C$238:$C$451,$C267,'TL01'!$J$238:$J$451),0),
IF('TL02'!$B$3=L$3,SUMIF('TL02'!$C$10:$C$224,$C267,'TL02'!$J$10:$J$224),0),
IF('TL02'!$B$229=L$3,SUMIF('TL02'!$C$238:$C$451,$C267,'TL02'!$J$238:$J$451),0),
IF('TL03'!$B$3=L$3,SUMIF('TL03'!$C$10:$C$224,$C267,'TL03'!$J$10:$J$224),0),
IF('TL03'!$B$229=L$3,SUMIF('TL03'!$C$238:$C$451,$C267,'TL03'!$J$238:$J$451),0),
IF('TL04'!$B$3=L$3,SUMIF('TL04'!$C$10:$C$224,$C267,'TL04'!$J$10:$J$224),0),
IF('TL04'!$B$229=L$3,SUMIF('TL04'!$C$238:$C$451,$C267,'TL04'!$J$238:$J$451),0),
IF('TL05'!$B$3=L$3,SUMIF('TL05'!$C$10:$C$224,$C267,'TL05'!$J$10:$J$224),0),
IF('TL05'!$B$229=L$3,SUMIF('TL05'!$C$238:$C$451,$C267,'TL05'!$J$238:$J$451),0),
IF('TL06'!$B$3=L$3,SUMIF('TL06'!$C$10:$C$224,$C267,'TL06'!$J$10:$J$224),0),
IF('TL06'!$B$229=L$3,SUMIF('TL06'!$C$238:$C$451,$C267,'TL06'!$J$238:$J$451),0),
IF('TL07'!$B$3=L$3,SUMIF('TL07'!$C$10:$C$224,$C267,'TL07'!$J$10:$J$224),0),
IF('TL07'!$B$229=L$3,SUMIF('TL07'!$C$238:$C$451,$C267,'TL07'!$J$238:$J$451),0),
IF('TL08'!$B$3=L$3,SUMIF('TL08'!$C$10:$C$224,$C267,'TL08'!$J$10:$J$224),0),
IF('TL08'!$B$229=L$3,SUMIF('TL08'!$C$238:$C$451,$C267,'TL08'!$J$238:$J$451),0),
IF('TL09'!$B$3=L$3,SUMIF('TL09'!$C$10:$C$224,$C267,'TL09'!$J$10:$J$224),0),
IF('TL09'!$B$229=L$3,SUMIF('TL09'!$C$238:$C$451,$C267,'TL09'!$J$238:$J$451),0),
IF('TL10'!$B$3=L$3,SUMIF('TL10'!$C$10:$C$224,$C267,'TL10'!$J$10:$J$224),0),
IF('TL10'!$B$229=L$3,SUMIF('TL10'!$C$238:$C$451,$C267,'TL10'!$J$238:$J$451),0),
IF('TL11'!$B$3=L$3,SUMIF('TL11'!$C$10:$C$224,$C267,'TL11'!$J$10:$J$224),0),
IF('TL11'!$B$229=L$3,SUMIF('TL11'!$C$238:$C$451,$C267,'TL11'!$J$238:$J$451),0),
IF('TL12'!$B$3=L$3,SUMIF('TL12'!$C$10:$C$224,$C267,'TL12'!$J$10:$J$224),0),
IF('TL12'!$B$229=L$3,SUMIF('TL12'!$C$238:$C$451,$C267,'TL12'!$J$238:$J$451),0),
IF('TL13'!$B$3=L$3,SUMIF('TL13'!$C$10:$C$224,$C267,'TL13'!$J$10:$J$224),0),
IF('TL13'!$B$229=L$3,SUMIF('TL13'!$C$238:$C$451,$C267,'TL13'!$J$238:$J$451),0),
IF('TL14'!$B$3=L$3,SUMIF('TL14'!$C$10:$C$224,$C267,'TL14'!$J$10:$J$224),0),
IF('TL14'!$B$229=L$3,SUMIF('TL14'!$C$238:$C$451,$C267,'TL14'!$J$238:$J$451),0),
IF('TL15'!$B$3=L$3,SUMIF('TL15'!$C$10:$C$224,$C267,'TL15'!$J$10:$J$224),0),
IF('TL15'!$B$229=L$3,SUMIF('TL15'!$C$238:$C$451,$C267,'TL15'!$J$238:$J$451),0),
IF('TL16'!$B$3=L$3,SUMIF('TL16'!$C$10:$C$224,$C267,'TL16'!$J$10:$J$224),0),
IF('TL16'!$B$229=L$3,SUMIF('TL16'!$C$238:$C$451,$C267,'TL16'!$J$238:$J$451),0),
IF('TL17'!$B$3=L$3,SUMIF('TL17'!$C$10:$C$224,$C267,'TL17'!$J$10:$J$224),0),
IF('TL17'!$B$229=L$3,SUMIF('TL17'!$C$238:$C$451,$C267,'TL17'!$J$238:$J$451),0),
IF('TL18'!$B$3=L$3,SUMIF('TL18'!$C$10:$C$224,$C267,'TL18'!$J$10:$J$224),0),
IF('TL18'!$B$229=L$3,SUMIF('TL18'!$C$238:$C$451,$C267,'TL18'!$J$238:$J$451),0),
IF('TL19'!$B$3=L$3,SUMIF('TL19'!$C$10:$C$224,$C267,'TL19'!$J$10:$J$224),0),
IF('TL19'!$B$229=L$3,SUMIF('TL19'!$C$238:$C$451,$C267,'TL19'!$J$238:$J$451),0)
),0)</f>
        <v>0</v>
      </c>
      <c r="M267" s="9">
        <f>IFERROR(SUM(
IF('TL01'!$B$3=M$3,SUMIF('TL01'!$C$10:$C$224,$C267,'TL01'!$J$10:$J$224),0),
IF('TL01'!$B$229=M$3,SUMIF('TL01'!$C$238:$C$451,$C267,'TL01'!$J$238:$J$451),0),
IF('TL02'!$B$3=M$3,SUMIF('TL02'!$C$10:$C$224,$C267,'TL02'!$J$10:$J$224),0),
IF('TL02'!$B$229=M$3,SUMIF('TL02'!$C$238:$C$451,$C267,'TL02'!$J$238:$J$451),0),
IF('TL03'!$B$3=M$3,SUMIF('TL03'!$C$10:$C$224,$C267,'TL03'!$J$10:$J$224),0),
IF('TL03'!$B$229=M$3,SUMIF('TL03'!$C$238:$C$451,$C267,'TL03'!$J$238:$J$451),0),
IF('TL04'!$B$3=M$3,SUMIF('TL04'!$C$10:$C$224,$C267,'TL04'!$J$10:$J$224),0),
IF('TL04'!$B$229=M$3,SUMIF('TL04'!$C$238:$C$451,$C267,'TL04'!$J$238:$J$451),0),
IF('TL05'!$B$3=M$3,SUMIF('TL05'!$C$10:$C$224,$C267,'TL05'!$J$10:$J$224),0),
IF('TL05'!$B$229=M$3,SUMIF('TL05'!$C$238:$C$451,$C267,'TL05'!$J$238:$J$451),0),
IF('TL06'!$B$3=M$3,SUMIF('TL06'!$C$10:$C$224,$C267,'TL06'!$J$10:$J$224),0),
IF('TL06'!$B$229=M$3,SUMIF('TL06'!$C$238:$C$451,$C267,'TL06'!$J$238:$J$451),0),
IF('TL07'!$B$3=M$3,SUMIF('TL07'!$C$10:$C$224,$C267,'TL07'!$J$10:$J$224),0),
IF('TL07'!$B$229=M$3,SUMIF('TL07'!$C$238:$C$451,$C267,'TL07'!$J$238:$J$451),0),
IF('TL08'!$B$3=M$3,SUMIF('TL08'!$C$10:$C$224,$C267,'TL08'!$J$10:$J$224),0),
IF('TL08'!$B$229=M$3,SUMIF('TL08'!$C$238:$C$451,$C267,'TL08'!$J$238:$J$451),0),
IF('TL09'!$B$3=M$3,SUMIF('TL09'!$C$10:$C$224,$C267,'TL09'!$J$10:$J$224),0),
IF('TL09'!$B$229=M$3,SUMIF('TL09'!$C$238:$C$451,$C267,'TL09'!$J$238:$J$451),0),
IF('TL10'!$B$3=M$3,SUMIF('TL10'!$C$10:$C$224,$C267,'TL10'!$J$10:$J$224),0),
IF('TL10'!$B$229=M$3,SUMIF('TL10'!$C$238:$C$451,$C267,'TL10'!$J$238:$J$451),0),
IF('TL11'!$B$3=M$3,SUMIF('TL11'!$C$10:$C$224,$C267,'TL11'!$J$10:$J$224),0),
IF('TL11'!$B$229=M$3,SUMIF('TL11'!$C$238:$C$451,$C267,'TL11'!$J$238:$J$451),0),
IF('TL12'!$B$3=M$3,SUMIF('TL12'!$C$10:$C$224,$C267,'TL12'!$J$10:$J$224),0),
IF('TL12'!$B$229=M$3,SUMIF('TL12'!$C$238:$C$451,$C267,'TL12'!$J$238:$J$451),0),
IF('TL13'!$B$3=M$3,SUMIF('TL13'!$C$10:$C$224,$C267,'TL13'!$J$10:$J$224),0),
IF('TL13'!$B$229=M$3,SUMIF('TL13'!$C$238:$C$451,$C267,'TL13'!$J$238:$J$451),0),
IF('TL14'!$B$3=M$3,SUMIF('TL14'!$C$10:$C$224,$C267,'TL14'!$J$10:$J$224),0),
IF('TL14'!$B$229=M$3,SUMIF('TL14'!$C$238:$C$451,$C267,'TL14'!$J$238:$J$451),0),
IF('TL15'!$B$3=M$3,SUMIF('TL15'!$C$10:$C$224,$C267,'TL15'!$J$10:$J$224),0),
IF('TL15'!$B$229=M$3,SUMIF('TL15'!$C$238:$C$451,$C267,'TL15'!$J$238:$J$451),0),
IF('TL16'!$B$3=M$3,SUMIF('TL16'!$C$10:$C$224,$C267,'TL16'!$J$10:$J$224),0),
IF('TL16'!$B$229=M$3,SUMIF('TL16'!$C$238:$C$451,$C267,'TL16'!$J$238:$J$451),0),
IF('TL17'!$B$3=M$3,SUMIF('TL17'!$C$10:$C$224,$C267,'TL17'!$J$10:$J$224),0),
IF('TL17'!$B$229=M$3,SUMIF('TL17'!$C$238:$C$451,$C267,'TL17'!$J$238:$J$451),0),
IF('TL18'!$B$3=M$3,SUMIF('TL18'!$C$10:$C$224,$C267,'TL18'!$J$10:$J$224),0),
IF('TL18'!$B$229=M$3,SUMIF('TL18'!$C$238:$C$451,$C267,'TL18'!$J$238:$J$451),0),
IF('TL19'!$B$3=M$3,SUMIF('TL19'!$C$10:$C$224,$C267,'TL19'!$J$10:$J$224),0),
IF('TL19'!$B$229=M$3,SUMIF('TL19'!$C$238:$C$451,$C267,'TL19'!$J$238:$J$451),0)
),0)</f>
        <v>0</v>
      </c>
      <c r="N267" s="9">
        <f>IFERROR(SUM(
IF('TL01'!$B$3=N$3,SUMIF('TL01'!$C$10:$C$224,$C267,'TL01'!$J$10:$J$224),0),
IF('TL01'!$B$229=N$3,SUMIF('TL01'!$C$238:$C$451,$C267,'TL01'!$J$238:$J$451),0),
IF('TL02'!$B$3=N$3,SUMIF('TL02'!$C$10:$C$224,$C267,'TL02'!$J$10:$J$224),0),
IF('TL02'!$B$229=N$3,SUMIF('TL02'!$C$238:$C$451,$C267,'TL02'!$J$238:$J$451),0),
IF('TL03'!$B$3=N$3,SUMIF('TL03'!$C$10:$C$224,$C267,'TL03'!$J$10:$J$224),0),
IF('TL03'!$B$229=N$3,SUMIF('TL03'!$C$238:$C$451,$C267,'TL03'!$J$238:$J$451),0),
IF('TL04'!$B$3=N$3,SUMIF('TL04'!$C$10:$C$224,$C267,'TL04'!$J$10:$J$224),0),
IF('TL04'!$B$229=N$3,SUMIF('TL04'!$C$238:$C$451,$C267,'TL04'!$J$238:$J$451),0),
IF('TL05'!$B$3=N$3,SUMIF('TL05'!$C$10:$C$224,$C267,'TL05'!$J$10:$J$224),0),
IF('TL05'!$B$229=N$3,SUMIF('TL05'!$C$238:$C$451,$C267,'TL05'!$J$238:$J$451),0),
IF('TL06'!$B$3=N$3,SUMIF('TL06'!$C$10:$C$224,$C267,'TL06'!$J$10:$J$224),0),
IF('TL06'!$B$229=N$3,SUMIF('TL06'!$C$238:$C$451,$C267,'TL06'!$J$238:$J$451),0),
IF('TL07'!$B$3=N$3,SUMIF('TL07'!$C$10:$C$224,$C267,'TL07'!$J$10:$J$224),0),
IF('TL07'!$B$229=N$3,SUMIF('TL07'!$C$238:$C$451,$C267,'TL07'!$J$238:$J$451),0),
IF('TL08'!$B$3=N$3,SUMIF('TL08'!$C$10:$C$224,$C267,'TL08'!$J$10:$J$224),0),
IF('TL08'!$B$229=N$3,SUMIF('TL08'!$C$238:$C$451,$C267,'TL08'!$J$238:$J$451),0),
IF('TL09'!$B$3=N$3,SUMIF('TL09'!$C$10:$C$224,$C267,'TL09'!$J$10:$J$224),0),
IF('TL09'!$B$229=N$3,SUMIF('TL09'!$C$238:$C$451,$C267,'TL09'!$J$238:$J$451),0),
IF('TL10'!$B$3=N$3,SUMIF('TL10'!$C$10:$C$224,$C267,'TL10'!$J$10:$J$224),0),
IF('TL10'!$B$229=N$3,SUMIF('TL10'!$C$238:$C$451,$C267,'TL10'!$J$238:$J$451),0),
IF('TL11'!$B$3=N$3,SUMIF('TL11'!$C$10:$C$224,$C267,'TL11'!$J$10:$J$224),0),
IF('TL11'!$B$229=N$3,SUMIF('TL11'!$C$238:$C$451,$C267,'TL11'!$J$238:$J$451),0),
IF('TL12'!$B$3=N$3,SUMIF('TL12'!$C$10:$C$224,$C267,'TL12'!$J$10:$J$224),0),
IF('TL12'!$B$229=N$3,SUMIF('TL12'!$C$238:$C$451,$C267,'TL12'!$J$238:$J$451),0),
IF('TL13'!$B$3=N$3,SUMIF('TL13'!$C$10:$C$224,$C267,'TL13'!$J$10:$J$224),0),
IF('TL13'!$B$229=N$3,SUMIF('TL13'!$C$238:$C$451,$C267,'TL13'!$J$238:$J$451),0),
IF('TL14'!$B$3=N$3,SUMIF('TL14'!$C$10:$C$224,$C267,'TL14'!$J$10:$J$224),0),
IF('TL14'!$B$229=N$3,SUMIF('TL14'!$C$238:$C$451,$C267,'TL14'!$J$238:$J$451),0),
IF('TL15'!$B$3=N$3,SUMIF('TL15'!$C$10:$C$224,$C267,'TL15'!$J$10:$J$224),0),
IF('TL15'!$B$229=N$3,SUMIF('TL15'!$C$238:$C$451,$C267,'TL15'!$J$238:$J$451),0),
IF('TL16'!$B$3=N$3,SUMIF('TL16'!$C$10:$C$224,$C267,'TL16'!$J$10:$J$224),0),
IF('TL16'!$B$229=N$3,SUMIF('TL16'!$C$238:$C$451,$C267,'TL16'!$J$238:$J$451),0),
IF('TL17'!$B$3=N$3,SUMIF('TL17'!$C$10:$C$224,$C267,'TL17'!$J$10:$J$224),0),
IF('TL17'!$B$229=N$3,SUMIF('TL17'!$C$238:$C$451,$C267,'TL17'!$J$238:$J$451),0),
IF('TL18'!$B$3=N$3,SUMIF('TL18'!$C$10:$C$224,$C267,'TL18'!$J$10:$J$224),0),
IF('TL18'!$B$229=N$3,SUMIF('TL18'!$C$238:$C$451,$C267,'TL18'!$J$238:$J$451),0),
IF('TL19'!$B$3=N$3,SUMIF('TL19'!$C$10:$C$224,$C267,'TL19'!$J$10:$J$224),0),
IF('TL19'!$B$229=N$3,SUMIF('TL19'!$C$238:$C$451,$C267,'TL19'!$J$238:$J$451),0)
),0)</f>
        <v>0</v>
      </c>
      <c r="O267" s="9">
        <f>IFERROR(SUM(
IF('TL01'!$B$3=O$3,SUMIF('TL01'!$C$10:$C$224,$C267,'TL01'!$J$10:$J$224),0),
IF('TL01'!$B$229=O$3,SUMIF('TL01'!$C$238:$C$451,$C267,'TL01'!$J$238:$J$451),0),
IF('TL02'!$B$3=O$3,SUMIF('TL02'!$C$10:$C$224,$C267,'TL02'!$J$10:$J$224),0),
IF('TL02'!$B$229=O$3,SUMIF('TL02'!$C$238:$C$451,$C267,'TL02'!$J$238:$J$451),0),
IF('TL03'!$B$3=O$3,SUMIF('TL03'!$C$10:$C$224,$C267,'TL03'!$J$10:$J$224),0),
IF('TL03'!$B$229=O$3,SUMIF('TL03'!$C$238:$C$451,$C267,'TL03'!$J$238:$J$451),0),
IF('TL04'!$B$3=O$3,SUMIF('TL04'!$C$10:$C$224,$C267,'TL04'!$J$10:$J$224),0),
IF('TL04'!$B$229=O$3,SUMIF('TL04'!$C$238:$C$451,$C267,'TL04'!$J$238:$J$451),0),
IF('TL05'!$B$3=O$3,SUMIF('TL05'!$C$10:$C$224,$C267,'TL05'!$J$10:$J$224),0),
IF('TL05'!$B$229=O$3,SUMIF('TL05'!$C$238:$C$451,$C267,'TL05'!$J$238:$J$451),0),
IF('TL06'!$B$3=O$3,SUMIF('TL06'!$C$10:$C$224,$C267,'TL06'!$J$10:$J$224),0),
IF('TL06'!$B$229=O$3,SUMIF('TL06'!$C$238:$C$451,$C267,'TL06'!$J$238:$J$451),0),
IF('TL07'!$B$3=O$3,SUMIF('TL07'!$C$10:$C$224,$C267,'TL07'!$J$10:$J$224),0),
IF('TL07'!$B$229=O$3,SUMIF('TL07'!$C$238:$C$451,$C267,'TL07'!$J$238:$J$451),0),
IF('TL08'!$B$3=O$3,SUMIF('TL08'!$C$10:$C$224,$C267,'TL08'!$J$10:$J$224),0),
IF('TL08'!$B$229=O$3,SUMIF('TL08'!$C$238:$C$451,$C267,'TL08'!$J$238:$J$451),0),
IF('TL09'!$B$3=O$3,SUMIF('TL09'!$C$10:$C$224,$C267,'TL09'!$J$10:$J$224),0),
IF('TL09'!$B$229=O$3,SUMIF('TL09'!$C$238:$C$451,$C267,'TL09'!$J$238:$J$451),0),
IF('TL10'!$B$3=O$3,SUMIF('TL10'!$C$10:$C$224,$C267,'TL10'!$J$10:$J$224),0),
IF('TL10'!$B$229=O$3,SUMIF('TL10'!$C$238:$C$451,$C267,'TL10'!$J$238:$J$451),0),
IF('TL11'!$B$3=O$3,SUMIF('TL11'!$C$10:$C$224,$C267,'TL11'!$J$10:$J$224),0),
IF('TL11'!$B$229=O$3,SUMIF('TL11'!$C$238:$C$451,$C267,'TL11'!$J$238:$J$451),0),
IF('TL12'!$B$3=O$3,SUMIF('TL12'!$C$10:$C$224,$C267,'TL12'!$J$10:$J$224),0),
IF('TL12'!$B$229=O$3,SUMIF('TL12'!$C$238:$C$451,$C267,'TL12'!$J$238:$J$451),0),
IF('TL13'!$B$3=O$3,SUMIF('TL13'!$C$10:$C$224,$C267,'TL13'!$J$10:$J$224),0),
IF('TL13'!$B$229=O$3,SUMIF('TL13'!$C$238:$C$451,$C267,'TL13'!$J$238:$J$451),0),
IF('TL14'!$B$3=O$3,SUMIF('TL14'!$C$10:$C$224,$C267,'TL14'!$J$10:$J$224),0),
IF('TL14'!$B$229=O$3,SUMIF('TL14'!$C$238:$C$451,$C267,'TL14'!$J$238:$J$451),0),
IF('TL15'!$B$3=O$3,SUMIF('TL15'!$C$10:$C$224,$C267,'TL15'!$J$10:$J$224),0),
IF('TL15'!$B$229=O$3,SUMIF('TL15'!$C$238:$C$451,$C267,'TL15'!$J$238:$J$451),0),
IF('TL16'!$B$3=O$3,SUMIF('TL16'!$C$10:$C$224,$C267,'TL16'!$J$10:$J$224),0),
IF('TL16'!$B$229=O$3,SUMIF('TL16'!$C$238:$C$451,$C267,'TL16'!$J$238:$J$451),0),
IF('TL17'!$B$3=O$3,SUMIF('TL17'!$C$10:$C$224,$C267,'TL17'!$J$10:$J$224),0),
IF('TL17'!$B$229=O$3,SUMIF('TL17'!$C$238:$C$451,$C267,'TL17'!$J$238:$J$451),0),
IF('TL18'!$B$3=O$3,SUMIF('TL18'!$C$10:$C$224,$C267,'TL18'!$J$10:$J$224),0),
IF('TL18'!$B$229=O$3,SUMIF('TL18'!$C$238:$C$451,$C267,'TL18'!$J$238:$J$451),0),
IF('TL19'!$B$3=O$3,SUMIF('TL19'!$C$10:$C$224,$C267,'TL19'!$J$10:$J$224),0),
IF('TL19'!$B$229=O$3,SUMIF('TL19'!$C$238:$C$451,$C267,'TL19'!$J$238:$J$451),0)
),0)</f>
        <v>0</v>
      </c>
      <c r="P267" s="9">
        <f>IFERROR(SUM(
IF('TL01'!$B$3=P$3,SUMIF('TL01'!$C$10:$C$224,$C267,'TL01'!$J$10:$J$224),0),
IF('TL01'!$B$229=P$3,SUMIF('TL01'!$C$238:$C$451,$C267,'TL01'!$J$238:$J$451),0),
IF('TL02'!$B$3=P$3,SUMIF('TL02'!$C$10:$C$224,$C267,'TL02'!$J$10:$J$224),0),
IF('TL02'!$B$229=P$3,SUMIF('TL02'!$C$238:$C$451,$C267,'TL02'!$J$238:$J$451),0),
IF('TL03'!$B$3=P$3,SUMIF('TL03'!$C$10:$C$224,$C267,'TL03'!$J$10:$J$224),0),
IF('TL03'!$B$229=P$3,SUMIF('TL03'!$C$238:$C$451,$C267,'TL03'!$J$238:$J$451),0),
IF('TL04'!$B$3=P$3,SUMIF('TL04'!$C$10:$C$224,$C267,'TL04'!$J$10:$J$224),0),
IF('TL04'!$B$229=P$3,SUMIF('TL04'!$C$238:$C$451,$C267,'TL04'!$J$238:$J$451),0),
IF('TL05'!$B$3=P$3,SUMIF('TL05'!$C$10:$C$224,$C267,'TL05'!$J$10:$J$224),0),
IF('TL05'!$B$229=P$3,SUMIF('TL05'!$C$238:$C$451,$C267,'TL05'!$J$238:$J$451),0),
IF('TL06'!$B$3=P$3,SUMIF('TL06'!$C$10:$C$224,$C267,'TL06'!$J$10:$J$224),0),
IF('TL06'!$B$229=P$3,SUMIF('TL06'!$C$238:$C$451,$C267,'TL06'!$J$238:$J$451),0),
IF('TL07'!$B$3=P$3,SUMIF('TL07'!$C$10:$C$224,$C267,'TL07'!$J$10:$J$224),0),
IF('TL07'!$B$229=P$3,SUMIF('TL07'!$C$238:$C$451,$C267,'TL07'!$J$238:$J$451),0),
IF('TL08'!$B$3=P$3,SUMIF('TL08'!$C$10:$C$224,$C267,'TL08'!$J$10:$J$224),0),
IF('TL08'!$B$229=P$3,SUMIF('TL08'!$C$238:$C$451,$C267,'TL08'!$J$238:$J$451),0),
IF('TL09'!$B$3=P$3,SUMIF('TL09'!$C$10:$C$224,$C267,'TL09'!$J$10:$J$224),0),
IF('TL09'!$B$229=P$3,SUMIF('TL09'!$C$238:$C$451,$C267,'TL09'!$J$238:$J$451),0),
IF('TL10'!$B$3=P$3,SUMIF('TL10'!$C$10:$C$224,$C267,'TL10'!$J$10:$J$224),0),
IF('TL10'!$B$229=P$3,SUMIF('TL10'!$C$238:$C$451,$C267,'TL10'!$J$238:$J$451),0),
IF('TL11'!$B$3=P$3,SUMIF('TL11'!$C$10:$C$224,$C267,'TL11'!$J$10:$J$224),0),
IF('TL11'!$B$229=P$3,SUMIF('TL11'!$C$238:$C$451,$C267,'TL11'!$J$238:$J$451),0),
IF('TL12'!$B$3=P$3,SUMIF('TL12'!$C$10:$C$224,$C267,'TL12'!$J$10:$J$224),0),
IF('TL12'!$B$229=P$3,SUMIF('TL12'!$C$238:$C$451,$C267,'TL12'!$J$238:$J$451),0),
IF('TL13'!$B$3=P$3,SUMIF('TL13'!$C$10:$C$224,$C267,'TL13'!$J$10:$J$224),0),
IF('TL13'!$B$229=P$3,SUMIF('TL13'!$C$238:$C$451,$C267,'TL13'!$J$238:$J$451),0),
IF('TL14'!$B$3=P$3,SUMIF('TL14'!$C$10:$C$224,$C267,'TL14'!$J$10:$J$224),0),
IF('TL14'!$B$229=P$3,SUMIF('TL14'!$C$238:$C$451,$C267,'TL14'!$J$238:$J$451),0),
IF('TL15'!$B$3=P$3,SUMIF('TL15'!$C$10:$C$224,$C267,'TL15'!$J$10:$J$224),0),
IF('TL15'!$B$229=P$3,SUMIF('TL15'!$C$238:$C$451,$C267,'TL15'!$J$238:$J$451),0),
IF('TL16'!$B$3=P$3,SUMIF('TL16'!$C$10:$C$224,$C267,'TL16'!$J$10:$J$224),0),
IF('TL16'!$B$229=P$3,SUMIF('TL16'!$C$238:$C$451,$C267,'TL16'!$J$238:$J$451),0),
IF('TL17'!$B$3=P$3,SUMIF('TL17'!$C$10:$C$224,$C267,'TL17'!$J$10:$J$224),0),
IF('TL17'!$B$229=P$3,SUMIF('TL17'!$C$238:$C$451,$C267,'TL17'!$J$238:$J$451),0),
IF('TL18'!$B$3=P$3,SUMIF('TL18'!$C$10:$C$224,$C267,'TL18'!$J$10:$J$224),0),
IF('TL18'!$B$229=P$3,SUMIF('TL18'!$C$238:$C$451,$C267,'TL18'!$J$238:$J$451),0),
IF('TL19'!$B$3=P$3,SUMIF('TL19'!$C$10:$C$224,$C267,'TL19'!$J$10:$J$224),0),
IF('TL19'!$B$229=P$3,SUMIF('TL19'!$C$238:$C$451,$C267,'TL19'!$J$238:$J$451),0)
),0)</f>
        <v>0</v>
      </c>
      <c r="Q267" s="9">
        <f>IFERROR(SUM(
IF('TL01'!$B$3=Q$3,SUMIF('TL01'!$C$10:$C$224,$C267,'TL01'!$J$10:$J$224),0),
IF('TL01'!$B$229=Q$3,SUMIF('TL01'!$C$238:$C$451,$C267,'TL01'!$J$238:$J$451),0),
IF('TL02'!$B$3=Q$3,SUMIF('TL02'!$C$10:$C$224,$C267,'TL02'!$J$10:$J$224),0),
IF('TL02'!$B$229=Q$3,SUMIF('TL02'!$C$238:$C$451,$C267,'TL02'!$J$238:$J$451),0),
IF('TL03'!$B$3=Q$3,SUMIF('TL03'!$C$10:$C$224,$C267,'TL03'!$J$10:$J$224),0),
IF('TL03'!$B$229=Q$3,SUMIF('TL03'!$C$238:$C$451,$C267,'TL03'!$J$238:$J$451),0),
IF('TL04'!$B$3=Q$3,SUMIF('TL04'!$C$10:$C$224,$C267,'TL04'!$J$10:$J$224),0),
IF('TL04'!$B$229=Q$3,SUMIF('TL04'!$C$238:$C$451,$C267,'TL04'!$J$238:$J$451),0),
IF('TL05'!$B$3=Q$3,SUMIF('TL05'!$C$10:$C$224,$C267,'TL05'!$J$10:$J$224),0),
IF('TL05'!$B$229=Q$3,SUMIF('TL05'!$C$238:$C$451,$C267,'TL05'!$J$238:$J$451),0),
IF('TL06'!$B$3=Q$3,SUMIF('TL06'!$C$10:$C$224,$C267,'TL06'!$J$10:$J$224),0),
IF('TL06'!$B$229=Q$3,SUMIF('TL06'!$C$238:$C$451,$C267,'TL06'!$J$238:$J$451),0),
IF('TL07'!$B$3=Q$3,SUMIF('TL07'!$C$10:$C$224,$C267,'TL07'!$J$10:$J$224),0),
IF('TL07'!$B$229=Q$3,SUMIF('TL07'!$C$238:$C$451,$C267,'TL07'!$J$238:$J$451),0),
IF('TL08'!$B$3=Q$3,SUMIF('TL08'!$C$10:$C$224,$C267,'TL08'!$J$10:$J$224),0),
IF('TL08'!$B$229=Q$3,SUMIF('TL08'!$C$238:$C$451,$C267,'TL08'!$J$238:$J$451),0),
IF('TL09'!$B$3=Q$3,SUMIF('TL09'!$C$10:$C$224,$C267,'TL09'!$J$10:$J$224),0),
IF('TL09'!$B$229=Q$3,SUMIF('TL09'!$C$238:$C$451,$C267,'TL09'!$J$238:$J$451),0),
IF('TL10'!$B$3=Q$3,SUMIF('TL10'!$C$10:$C$224,$C267,'TL10'!$J$10:$J$224),0),
IF('TL10'!$B$229=Q$3,SUMIF('TL10'!$C$238:$C$451,$C267,'TL10'!$J$238:$J$451),0),
IF('TL11'!$B$3=Q$3,SUMIF('TL11'!$C$10:$C$224,$C267,'TL11'!$J$10:$J$224),0),
IF('TL11'!$B$229=Q$3,SUMIF('TL11'!$C$238:$C$451,$C267,'TL11'!$J$238:$J$451),0),
IF('TL12'!$B$3=Q$3,SUMIF('TL12'!$C$10:$C$224,$C267,'TL12'!$J$10:$J$224),0),
IF('TL12'!$B$229=Q$3,SUMIF('TL12'!$C$238:$C$451,$C267,'TL12'!$J$238:$J$451),0),
IF('TL13'!$B$3=Q$3,SUMIF('TL13'!$C$10:$C$224,$C267,'TL13'!$J$10:$J$224),0),
IF('TL13'!$B$229=Q$3,SUMIF('TL13'!$C$238:$C$451,$C267,'TL13'!$J$238:$J$451),0),
IF('TL14'!$B$3=Q$3,SUMIF('TL14'!$C$10:$C$224,$C267,'TL14'!$J$10:$J$224),0),
IF('TL14'!$B$229=Q$3,SUMIF('TL14'!$C$238:$C$451,$C267,'TL14'!$J$238:$J$451),0),
IF('TL15'!$B$3=Q$3,SUMIF('TL15'!$C$10:$C$224,$C267,'TL15'!$J$10:$J$224),0),
IF('TL15'!$B$229=Q$3,SUMIF('TL15'!$C$238:$C$451,$C267,'TL15'!$J$238:$J$451),0),
IF('TL16'!$B$3=Q$3,SUMIF('TL16'!$C$10:$C$224,$C267,'TL16'!$J$10:$J$224),0),
IF('TL16'!$B$229=Q$3,SUMIF('TL16'!$C$238:$C$451,$C267,'TL16'!$J$238:$J$451),0),
IF('TL17'!$B$3=Q$3,SUMIF('TL17'!$C$10:$C$224,$C267,'TL17'!$J$10:$J$224),0),
IF('TL17'!$B$229=Q$3,SUMIF('TL17'!$C$238:$C$451,$C267,'TL17'!$J$238:$J$451),0),
IF('TL18'!$B$3=Q$3,SUMIF('TL18'!$C$10:$C$224,$C267,'TL18'!$J$10:$J$224),0),
IF('TL18'!$B$229=Q$3,SUMIF('TL18'!$C$238:$C$451,$C267,'TL18'!$J$238:$J$451),0),
IF('TL19'!$B$3=Q$3,SUMIF('TL19'!$C$10:$C$224,$C267,'TL19'!$J$10:$J$224),0),
IF('TL19'!$B$229=Q$3,SUMIF('TL19'!$C$238:$C$451,$C267,'TL19'!$J$238:$J$451),0)
),0)</f>
        <v>0</v>
      </c>
      <c r="R267" s="9">
        <f>IFERROR(
SUM(
SUMIF('TL01'!C:C,C267,'TL01'!J:J),
SUMIF('TL02'!C:C,C267,'TL02'!J:J),
SUMIF('TL03'!C:C,C267,'TL03'!J:J),
SUMIF('TL04'!C:C,C267,'TL04'!J:J),
SUMIF('TL05'!C:C,C267,'TL05'!J:J),
SUMIF('TL06'!C:C,C267,'TL06'!J:J),
SUMIF('TL07'!C:C,C267,'TL07'!J:J),
SUMIF('TL08'!C:C,C267,'TL08'!J:J),
SUMIF('TL09'!C:C,C267,'TL09'!J:J),
SUMIF('TL10'!C:C,C267,'TL10'!J:J),
SUMIF('TL11'!C:C,C267,'TL11'!J:J),
SUMIF('TL12'!C:C,C267,'TL12'!J:J),
SUMIF('TL13'!C:C,C267,'TL13'!J:J),
SUMIF('TL14'!C:C,C267,'TL14'!J:J),
SUMIF('TL15'!C:C,C267,'TL15'!J:J),
SUMIF('TL16'!C:C,C267,'TL16'!J:J),
SUMIF('TL17'!C:C,C267,'TL17'!J:J),
SUMIF('TL18'!C:C,C267,'TL18'!J:J),SUMIF('TL19'!C:C,C267,'TL19'!J:J))
,0)</f>
        <v>0</v>
      </c>
      <c r="S267" s="17">
        <f>IFERROR(__xludf.DUMMYFUNCTION("IFERROR(VLOOKUP(C267,
IMPORTRANGE(""1wULbzX32WdYsx-lj2U3uUNBBe2INVIRDtcK0d-Dvl90"",
""26-27!C:G""),
5,
FALSE),
"""")"),30.5)</f>
        <v>30.5</v>
      </c>
      <c r="T267" s="9"/>
      <c r="U267" s="92">
        <f t="shared" si="2"/>
        <v>0</v>
      </c>
      <c r="V267" s="93">
        <f t="shared" si="3"/>
        <v>0</v>
      </c>
    </row>
    <row r="268" ht="15.75" customHeight="1">
      <c r="A268" s="4"/>
      <c r="B268" s="125"/>
      <c r="C268" s="6"/>
      <c r="D268" s="6"/>
      <c r="E268" s="9"/>
      <c r="F268" s="4" t="s">
        <v>343</v>
      </c>
      <c r="G268" s="9"/>
      <c r="H268" s="9"/>
      <c r="I268" s="1"/>
      <c r="J268" s="9">
        <f>IFERROR(SUM(
IF('TL01'!$B$3=J$3,SUMIF('TL01'!$C$10:$C$224,$C268,'TL01'!$J$10:$J$224),0),
IF('TL01'!$B$229=J$3,SUMIF('TL01'!$C$238:$C$451,$C268,'TL01'!$J$238:$J$451),0),
IF('TL02'!$B$3=J$3,SUMIF('TL02'!$C$10:$C$224,$C268,'TL02'!$J$10:$J$224),0),
IF('TL02'!$B$229=J$3,SUMIF('TL02'!$C$238:$C$451,$C268,'TL02'!$J$238:$J$451),0),
IF('TL03'!$B$3=J$3,SUMIF('TL03'!$C$10:$C$224,$C268,'TL03'!$J$10:$J$224),0),
IF('TL03'!$B$229=J$3,SUMIF('TL03'!$C$238:$C$451,$C268,'TL03'!$J$238:$J$451),0),
IF('TL04'!$B$3=J$3,SUMIF('TL04'!$C$10:$C$224,$C268,'TL04'!$J$10:$J$224),0),
IF('TL04'!$B$229=J$3,SUMIF('TL04'!$C$238:$C$451,$C268,'TL04'!$J$238:$J$451),0),
IF('TL05'!$B$3=J$3,SUMIF('TL05'!$C$10:$C$224,$C268,'TL05'!$J$10:$J$224),0),
IF('TL05'!$B$229=J$3,SUMIF('TL05'!$C$238:$C$451,$C268,'TL05'!$J$238:$J$451),0),
IF('TL06'!$B$3=J$3,SUMIF('TL06'!$C$10:$C$224,$C268,'TL06'!$J$10:$J$224),0),
IF('TL06'!$B$229=J$3,SUMIF('TL06'!$C$238:$C$451,$C268,'TL06'!$J$238:$J$451),0),
IF('TL07'!$B$3=J$3,SUMIF('TL07'!$C$10:$C$224,$C268,'TL07'!$J$10:$J$224),0),
IF('TL07'!$B$229=J$3,SUMIF('TL07'!$C$238:$C$451,$C268,'TL07'!$J$238:$J$451),0),
IF('TL08'!$B$3=J$3,SUMIF('TL08'!$C$10:$C$224,$C268,'TL08'!$J$10:$J$224),0),
IF('TL08'!$B$229=J$3,SUMIF('TL08'!$C$238:$C$451,$C268,'TL08'!$J$238:$J$451),0),
IF('TL09'!$B$3=J$3,SUMIF('TL09'!$C$10:$C$224,$C268,'TL09'!$J$10:$J$224),0),
IF('TL09'!$B$229=J$3,SUMIF('TL09'!$C$238:$C$451,$C268,'TL09'!$J$238:$J$451),0),
IF('TL10'!$B$3=J$3,SUMIF('TL10'!$C$10:$C$224,$C268,'TL10'!$J$10:$J$224),0),
IF('TL10'!$B$229=J$3,SUMIF('TL10'!$C$238:$C$451,$C268,'TL10'!$J$238:$J$451),0),
IF('TL11'!$B$3=J$3,SUMIF('TL11'!$C$10:$C$224,$C268,'TL11'!$J$10:$J$224),0),
IF('TL11'!$B$229=J$3,SUMIF('TL11'!$C$238:$C$451,$C268,'TL11'!$J$238:$J$451),0),
IF('TL12'!$B$3=J$3,SUMIF('TL12'!$C$10:$C$224,$C268,'TL12'!$J$10:$J$224),0),
IF('TL12'!$B$229=J$3,SUMIF('TL12'!$C$238:$C$451,$C268,'TL12'!$J$238:$J$451),0),
IF('TL13'!$B$3=J$3,SUMIF('TL13'!$C$10:$C$224,$C268,'TL13'!$J$10:$J$224),0),
IF('TL13'!$B$229=J$3,SUMIF('TL13'!$C$238:$C$451,$C268,'TL13'!$J$238:$J$451),0),
IF('TL14'!$B$3=J$3,SUMIF('TL14'!$C$10:$C$224,$C268,'TL14'!$J$10:$J$224),0),
IF('TL14'!$B$229=J$3,SUMIF('TL14'!$C$238:$C$451,$C268,'TL14'!$J$238:$J$451),0),
IF('TL15'!$B$3=J$3,SUMIF('TL15'!$C$10:$C$224,$C268,'TL15'!$J$10:$J$224),0),
IF('TL15'!$B$229=J$3,SUMIF('TL15'!$C$238:$C$451,$C268,'TL15'!$J$238:$J$451),0),
IF('TL16'!$B$3=J$3,SUMIF('TL16'!$C$10:$C$224,$C268,'TL16'!$J$10:$J$224),0),
IF('TL16'!$B$229=J$3,SUMIF('TL16'!$C$238:$C$451,$C268,'TL16'!$J$238:$J$451),0),
IF('TL17'!$B$3=J$3,SUMIF('TL17'!$C$10:$C$224,$C268,'TL17'!$J$10:$J$224),0),
IF('TL17'!$B$229=J$3,SUMIF('TL17'!$C$238:$C$451,$C268,'TL17'!$J$238:$J$451),0),
IF('TL18'!$B$3=J$3,SUMIF('TL18'!$C$10:$C$224,$C268,'TL18'!$J$10:$J$224),0),
IF('TL18'!$B$229=J$3,SUMIF('TL18'!$C$238:$C$451,$C268,'TL18'!$J$238:$J$451),0),
IF('TL19'!$B$3=J$3,SUMIF('TL19'!$C$10:$C$224,$C268,'TL19'!$J$10:$J$224),0),
IF('TL19'!$B$229=J$3,SUMIF('TL19'!$C$238:$C$451,$C268,'TL19'!$J$238:$J$451),0)
),0)</f>
        <v>0</v>
      </c>
      <c r="K268" s="9">
        <f>IFERROR(SUM(
IF('TL01'!$B$3=K$3,SUMIF('TL01'!$C$10:$C$224,$C268,'TL01'!$J$10:$J$224),0),
IF('TL01'!$B$229=K$3,SUMIF('TL01'!$C$238:$C$451,$C268,'TL01'!$J$238:$J$451),0),
IF('TL02'!$B$3=K$3,SUMIF('TL02'!$C$10:$C$224,$C268,'TL02'!$J$10:$J$224),0),
IF('TL02'!$B$229=K$3,SUMIF('TL02'!$C$238:$C$451,$C268,'TL02'!$J$238:$J$451),0),
IF('TL03'!$B$3=K$3,SUMIF('TL03'!$C$10:$C$224,$C268,'TL03'!$J$10:$J$224),0),
IF('TL03'!$B$229=K$3,SUMIF('TL03'!$C$238:$C$451,$C268,'TL03'!$J$238:$J$451),0),
IF('TL04'!$B$3=K$3,SUMIF('TL04'!$C$10:$C$224,$C268,'TL04'!$J$10:$J$224),0),
IF('TL04'!$B$229=K$3,SUMIF('TL04'!$C$238:$C$451,$C268,'TL04'!$J$238:$J$451),0),
IF('TL05'!$B$3=K$3,SUMIF('TL05'!$C$10:$C$224,$C268,'TL05'!$J$10:$J$224),0),
IF('TL05'!$B$229=K$3,SUMIF('TL05'!$C$238:$C$451,$C268,'TL05'!$J$238:$J$451),0),
IF('TL06'!$B$3=K$3,SUMIF('TL06'!$C$10:$C$224,$C268,'TL06'!$J$10:$J$224),0),
IF('TL06'!$B$229=K$3,SUMIF('TL06'!$C$238:$C$451,$C268,'TL06'!$J$238:$J$451),0),
IF('TL07'!$B$3=K$3,SUMIF('TL07'!$C$10:$C$224,$C268,'TL07'!$J$10:$J$224),0),
IF('TL07'!$B$229=K$3,SUMIF('TL07'!$C$238:$C$451,$C268,'TL07'!$J$238:$J$451),0),
IF('TL08'!$B$3=K$3,SUMIF('TL08'!$C$10:$C$224,$C268,'TL08'!$J$10:$J$224),0),
IF('TL08'!$B$229=K$3,SUMIF('TL08'!$C$238:$C$451,$C268,'TL08'!$J$238:$J$451),0),
IF('TL09'!$B$3=K$3,SUMIF('TL09'!$C$10:$C$224,$C268,'TL09'!$J$10:$J$224),0),
IF('TL09'!$B$229=K$3,SUMIF('TL09'!$C$238:$C$451,$C268,'TL09'!$J$238:$J$451),0),
IF('TL10'!$B$3=K$3,SUMIF('TL10'!$C$10:$C$224,$C268,'TL10'!$J$10:$J$224),0),
IF('TL10'!$B$229=K$3,SUMIF('TL10'!$C$238:$C$451,$C268,'TL10'!$J$238:$J$451),0),
IF('TL11'!$B$3=K$3,SUMIF('TL11'!$C$10:$C$224,$C268,'TL11'!$J$10:$J$224),0),
IF('TL11'!$B$229=K$3,SUMIF('TL11'!$C$238:$C$451,$C268,'TL11'!$J$238:$J$451),0),
IF('TL12'!$B$3=K$3,SUMIF('TL12'!$C$10:$C$224,$C268,'TL12'!$J$10:$J$224),0),
IF('TL12'!$B$229=K$3,SUMIF('TL12'!$C$238:$C$451,$C268,'TL12'!$J$238:$J$451),0),
IF('TL13'!$B$3=K$3,SUMIF('TL13'!$C$10:$C$224,$C268,'TL13'!$J$10:$J$224),0),
IF('TL13'!$B$229=K$3,SUMIF('TL13'!$C$238:$C$451,$C268,'TL13'!$J$238:$J$451),0),
IF('TL14'!$B$3=K$3,SUMIF('TL14'!$C$10:$C$224,$C268,'TL14'!$J$10:$J$224),0),
IF('TL14'!$B$229=K$3,SUMIF('TL14'!$C$238:$C$451,$C268,'TL14'!$J$238:$J$451),0),
IF('TL15'!$B$3=K$3,SUMIF('TL15'!$C$10:$C$224,$C268,'TL15'!$J$10:$J$224),0),
IF('TL15'!$B$229=K$3,SUMIF('TL15'!$C$238:$C$451,$C268,'TL15'!$J$238:$J$451),0),
IF('TL16'!$B$3=K$3,SUMIF('TL16'!$C$10:$C$224,$C268,'TL16'!$J$10:$J$224),0),
IF('TL16'!$B$229=K$3,SUMIF('TL16'!$C$238:$C$451,$C268,'TL16'!$J$238:$J$451),0),
IF('TL17'!$B$3=K$3,SUMIF('TL17'!$C$10:$C$224,$C268,'TL17'!$J$10:$J$224),0),
IF('TL17'!$B$229=K$3,SUMIF('TL17'!$C$238:$C$451,$C268,'TL17'!$J$238:$J$451),0),
IF('TL18'!$B$3=K$3,SUMIF('TL18'!$C$10:$C$224,$C268,'TL18'!$J$10:$J$224),0),
IF('TL18'!$B$229=K$3,SUMIF('TL18'!$C$238:$C$451,$C268,'TL18'!$J$238:$J$451),0),
IF('TL19'!$B$3=K$3,SUMIF('TL19'!$C$10:$C$224,$C268,'TL19'!$J$10:$J$224),0),
IF('TL19'!$B$229=K$3,SUMIF('TL19'!$C$238:$C$451,$C268,'TL19'!$J$238:$J$451),0)
),0)</f>
        <v>0</v>
      </c>
      <c r="L268" s="9">
        <f>IFERROR(SUM(
IF('TL01'!$B$3=L$3,SUMIF('TL01'!$C$10:$C$224,$C268,'TL01'!$J$10:$J$224),0),
IF('TL01'!$B$229=L$3,SUMIF('TL01'!$C$238:$C$451,$C268,'TL01'!$J$238:$J$451),0),
IF('TL02'!$B$3=L$3,SUMIF('TL02'!$C$10:$C$224,$C268,'TL02'!$J$10:$J$224),0),
IF('TL02'!$B$229=L$3,SUMIF('TL02'!$C$238:$C$451,$C268,'TL02'!$J$238:$J$451),0),
IF('TL03'!$B$3=L$3,SUMIF('TL03'!$C$10:$C$224,$C268,'TL03'!$J$10:$J$224),0),
IF('TL03'!$B$229=L$3,SUMIF('TL03'!$C$238:$C$451,$C268,'TL03'!$J$238:$J$451),0),
IF('TL04'!$B$3=L$3,SUMIF('TL04'!$C$10:$C$224,$C268,'TL04'!$J$10:$J$224),0),
IF('TL04'!$B$229=L$3,SUMIF('TL04'!$C$238:$C$451,$C268,'TL04'!$J$238:$J$451),0),
IF('TL05'!$B$3=L$3,SUMIF('TL05'!$C$10:$C$224,$C268,'TL05'!$J$10:$J$224),0),
IF('TL05'!$B$229=L$3,SUMIF('TL05'!$C$238:$C$451,$C268,'TL05'!$J$238:$J$451),0),
IF('TL06'!$B$3=L$3,SUMIF('TL06'!$C$10:$C$224,$C268,'TL06'!$J$10:$J$224),0),
IF('TL06'!$B$229=L$3,SUMIF('TL06'!$C$238:$C$451,$C268,'TL06'!$J$238:$J$451),0),
IF('TL07'!$B$3=L$3,SUMIF('TL07'!$C$10:$C$224,$C268,'TL07'!$J$10:$J$224),0),
IF('TL07'!$B$229=L$3,SUMIF('TL07'!$C$238:$C$451,$C268,'TL07'!$J$238:$J$451),0),
IF('TL08'!$B$3=L$3,SUMIF('TL08'!$C$10:$C$224,$C268,'TL08'!$J$10:$J$224),0),
IF('TL08'!$B$229=L$3,SUMIF('TL08'!$C$238:$C$451,$C268,'TL08'!$J$238:$J$451),0),
IF('TL09'!$B$3=L$3,SUMIF('TL09'!$C$10:$C$224,$C268,'TL09'!$J$10:$J$224),0),
IF('TL09'!$B$229=L$3,SUMIF('TL09'!$C$238:$C$451,$C268,'TL09'!$J$238:$J$451),0),
IF('TL10'!$B$3=L$3,SUMIF('TL10'!$C$10:$C$224,$C268,'TL10'!$J$10:$J$224),0),
IF('TL10'!$B$229=L$3,SUMIF('TL10'!$C$238:$C$451,$C268,'TL10'!$J$238:$J$451),0),
IF('TL11'!$B$3=L$3,SUMIF('TL11'!$C$10:$C$224,$C268,'TL11'!$J$10:$J$224),0),
IF('TL11'!$B$229=L$3,SUMIF('TL11'!$C$238:$C$451,$C268,'TL11'!$J$238:$J$451),0),
IF('TL12'!$B$3=L$3,SUMIF('TL12'!$C$10:$C$224,$C268,'TL12'!$J$10:$J$224),0),
IF('TL12'!$B$229=L$3,SUMIF('TL12'!$C$238:$C$451,$C268,'TL12'!$J$238:$J$451),0),
IF('TL13'!$B$3=L$3,SUMIF('TL13'!$C$10:$C$224,$C268,'TL13'!$J$10:$J$224),0),
IF('TL13'!$B$229=L$3,SUMIF('TL13'!$C$238:$C$451,$C268,'TL13'!$J$238:$J$451),0),
IF('TL14'!$B$3=L$3,SUMIF('TL14'!$C$10:$C$224,$C268,'TL14'!$J$10:$J$224),0),
IF('TL14'!$B$229=L$3,SUMIF('TL14'!$C$238:$C$451,$C268,'TL14'!$J$238:$J$451),0),
IF('TL15'!$B$3=L$3,SUMIF('TL15'!$C$10:$C$224,$C268,'TL15'!$J$10:$J$224),0),
IF('TL15'!$B$229=L$3,SUMIF('TL15'!$C$238:$C$451,$C268,'TL15'!$J$238:$J$451),0),
IF('TL16'!$B$3=L$3,SUMIF('TL16'!$C$10:$C$224,$C268,'TL16'!$J$10:$J$224),0),
IF('TL16'!$B$229=L$3,SUMIF('TL16'!$C$238:$C$451,$C268,'TL16'!$J$238:$J$451),0),
IF('TL17'!$B$3=L$3,SUMIF('TL17'!$C$10:$C$224,$C268,'TL17'!$J$10:$J$224),0),
IF('TL17'!$B$229=L$3,SUMIF('TL17'!$C$238:$C$451,$C268,'TL17'!$J$238:$J$451),0),
IF('TL18'!$B$3=L$3,SUMIF('TL18'!$C$10:$C$224,$C268,'TL18'!$J$10:$J$224),0),
IF('TL18'!$B$229=L$3,SUMIF('TL18'!$C$238:$C$451,$C268,'TL18'!$J$238:$J$451),0),
IF('TL19'!$B$3=L$3,SUMIF('TL19'!$C$10:$C$224,$C268,'TL19'!$J$10:$J$224),0),
IF('TL19'!$B$229=L$3,SUMIF('TL19'!$C$238:$C$451,$C268,'TL19'!$J$238:$J$451),0)
),0)</f>
        <v>0</v>
      </c>
      <c r="M268" s="9">
        <f>IFERROR(SUM(
IF('TL01'!$B$3=M$3,SUMIF('TL01'!$C$10:$C$224,$C268,'TL01'!$J$10:$J$224),0),
IF('TL01'!$B$229=M$3,SUMIF('TL01'!$C$238:$C$451,$C268,'TL01'!$J$238:$J$451),0),
IF('TL02'!$B$3=M$3,SUMIF('TL02'!$C$10:$C$224,$C268,'TL02'!$J$10:$J$224),0),
IF('TL02'!$B$229=M$3,SUMIF('TL02'!$C$238:$C$451,$C268,'TL02'!$J$238:$J$451),0),
IF('TL03'!$B$3=M$3,SUMIF('TL03'!$C$10:$C$224,$C268,'TL03'!$J$10:$J$224),0),
IF('TL03'!$B$229=M$3,SUMIF('TL03'!$C$238:$C$451,$C268,'TL03'!$J$238:$J$451),0),
IF('TL04'!$B$3=M$3,SUMIF('TL04'!$C$10:$C$224,$C268,'TL04'!$J$10:$J$224),0),
IF('TL04'!$B$229=M$3,SUMIF('TL04'!$C$238:$C$451,$C268,'TL04'!$J$238:$J$451),0),
IF('TL05'!$B$3=M$3,SUMIF('TL05'!$C$10:$C$224,$C268,'TL05'!$J$10:$J$224),0),
IF('TL05'!$B$229=M$3,SUMIF('TL05'!$C$238:$C$451,$C268,'TL05'!$J$238:$J$451),0),
IF('TL06'!$B$3=M$3,SUMIF('TL06'!$C$10:$C$224,$C268,'TL06'!$J$10:$J$224),0),
IF('TL06'!$B$229=M$3,SUMIF('TL06'!$C$238:$C$451,$C268,'TL06'!$J$238:$J$451),0),
IF('TL07'!$B$3=M$3,SUMIF('TL07'!$C$10:$C$224,$C268,'TL07'!$J$10:$J$224),0),
IF('TL07'!$B$229=M$3,SUMIF('TL07'!$C$238:$C$451,$C268,'TL07'!$J$238:$J$451),0),
IF('TL08'!$B$3=M$3,SUMIF('TL08'!$C$10:$C$224,$C268,'TL08'!$J$10:$J$224),0),
IF('TL08'!$B$229=M$3,SUMIF('TL08'!$C$238:$C$451,$C268,'TL08'!$J$238:$J$451),0),
IF('TL09'!$B$3=M$3,SUMIF('TL09'!$C$10:$C$224,$C268,'TL09'!$J$10:$J$224),0),
IF('TL09'!$B$229=M$3,SUMIF('TL09'!$C$238:$C$451,$C268,'TL09'!$J$238:$J$451),0),
IF('TL10'!$B$3=M$3,SUMIF('TL10'!$C$10:$C$224,$C268,'TL10'!$J$10:$J$224),0),
IF('TL10'!$B$229=M$3,SUMIF('TL10'!$C$238:$C$451,$C268,'TL10'!$J$238:$J$451),0),
IF('TL11'!$B$3=M$3,SUMIF('TL11'!$C$10:$C$224,$C268,'TL11'!$J$10:$J$224),0),
IF('TL11'!$B$229=M$3,SUMIF('TL11'!$C$238:$C$451,$C268,'TL11'!$J$238:$J$451),0),
IF('TL12'!$B$3=M$3,SUMIF('TL12'!$C$10:$C$224,$C268,'TL12'!$J$10:$J$224),0),
IF('TL12'!$B$229=M$3,SUMIF('TL12'!$C$238:$C$451,$C268,'TL12'!$J$238:$J$451),0),
IF('TL13'!$B$3=M$3,SUMIF('TL13'!$C$10:$C$224,$C268,'TL13'!$J$10:$J$224),0),
IF('TL13'!$B$229=M$3,SUMIF('TL13'!$C$238:$C$451,$C268,'TL13'!$J$238:$J$451),0),
IF('TL14'!$B$3=M$3,SUMIF('TL14'!$C$10:$C$224,$C268,'TL14'!$J$10:$J$224),0),
IF('TL14'!$B$229=M$3,SUMIF('TL14'!$C$238:$C$451,$C268,'TL14'!$J$238:$J$451),0),
IF('TL15'!$B$3=M$3,SUMIF('TL15'!$C$10:$C$224,$C268,'TL15'!$J$10:$J$224),0),
IF('TL15'!$B$229=M$3,SUMIF('TL15'!$C$238:$C$451,$C268,'TL15'!$J$238:$J$451),0),
IF('TL16'!$B$3=M$3,SUMIF('TL16'!$C$10:$C$224,$C268,'TL16'!$J$10:$J$224),0),
IF('TL16'!$B$229=M$3,SUMIF('TL16'!$C$238:$C$451,$C268,'TL16'!$J$238:$J$451),0),
IF('TL17'!$B$3=M$3,SUMIF('TL17'!$C$10:$C$224,$C268,'TL17'!$J$10:$J$224),0),
IF('TL17'!$B$229=M$3,SUMIF('TL17'!$C$238:$C$451,$C268,'TL17'!$J$238:$J$451),0),
IF('TL18'!$B$3=M$3,SUMIF('TL18'!$C$10:$C$224,$C268,'TL18'!$J$10:$J$224),0),
IF('TL18'!$B$229=M$3,SUMIF('TL18'!$C$238:$C$451,$C268,'TL18'!$J$238:$J$451),0),
IF('TL19'!$B$3=M$3,SUMIF('TL19'!$C$10:$C$224,$C268,'TL19'!$J$10:$J$224),0),
IF('TL19'!$B$229=M$3,SUMIF('TL19'!$C$238:$C$451,$C268,'TL19'!$J$238:$J$451),0)
),0)</f>
        <v>0</v>
      </c>
      <c r="N268" s="9">
        <f>IFERROR(SUM(
IF('TL01'!$B$3=N$3,SUMIF('TL01'!$C$10:$C$224,$C268,'TL01'!$J$10:$J$224),0),
IF('TL01'!$B$229=N$3,SUMIF('TL01'!$C$238:$C$451,$C268,'TL01'!$J$238:$J$451),0),
IF('TL02'!$B$3=N$3,SUMIF('TL02'!$C$10:$C$224,$C268,'TL02'!$J$10:$J$224),0),
IF('TL02'!$B$229=N$3,SUMIF('TL02'!$C$238:$C$451,$C268,'TL02'!$J$238:$J$451),0),
IF('TL03'!$B$3=N$3,SUMIF('TL03'!$C$10:$C$224,$C268,'TL03'!$J$10:$J$224),0),
IF('TL03'!$B$229=N$3,SUMIF('TL03'!$C$238:$C$451,$C268,'TL03'!$J$238:$J$451),0),
IF('TL04'!$B$3=N$3,SUMIF('TL04'!$C$10:$C$224,$C268,'TL04'!$J$10:$J$224),0),
IF('TL04'!$B$229=N$3,SUMIF('TL04'!$C$238:$C$451,$C268,'TL04'!$J$238:$J$451),0),
IF('TL05'!$B$3=N$3,SUMIF('TL05'!$C$10:$C$224,$C268,'TL05'!$J$10:$J$224),0),
IF('TL05'!$B$229=N$3,SUMIF('TL05'!$C$238:$C$451,$C268,'TL05'!$J$238:$J$451),0),
IF('TL06'!$B$3=N$3,SUMIF('TL06'!$C$10:$C$224,$C268,'TL06'!$J$10:$J$224),0),
IF('TL06'!$B$229=N$3,SUMIF('TL06'!$C$238:$C$451,$C268,'TL06'!$J$238:$J$451),0),
IF('TL07'!$B$3=N$3,SUMIF('TL07'!$C$10:$C$224,$C268,'TL07'!$J$10:$J$224),0),
IF('TL07'!$B$229=N$3,SUMIF('TL07'!$C$238:$C$451,$C268,'TL07'!$J$238:$J$451),0),
IF('TL08'!$B$3=N$3,SUMIF('TL08'!$C$10:$C$224,$C268,'TL08'!$J$10:$J$224),0),
IF('TL08'!$B$229=N$3,SUMIF('TL08'!$C$238:$C$451,$C268,'TL08'!$J$238:$J$451),0),
IF('TL09'!$B$3=N$3,SUMIF('TL09'!$C$10:$C$224,$C268,'TL09'!$J$10:$J$224),0),
IF('TL09'!$B$229=N$3,SUMIF('TL09'!$C$238:$C$451,$C268,'TL09'!$J$238:$J$451),0),
IF('TL10'!$B$3=N$3,SUMIF('TL10'!$C$10:$C$224,$C268,'TL10'!$J$10:$J$224),0),
IF('TL10'!$B$229=N$3,SUMIF('TL10'!$C$238:$C$451,$C268,'TL10'!$J$238:$J$451),0),
IF('TL11'!$B$3=N$3,SUMIF('TL11'!$C$10:$C$224,$C268,'TL11'!$J$10:$J$224),0),
IF('TL11'!$B$229=N$3,SUMIF('TL11'!$C$238:$C$451,$C268,'TL11'!$J$238:$J$451),0),
IF('TL12'!$B$3=N$3,SUMIF('TL12'!$C$10:$C$224,$C268,'TL12'!$J$10:$J$224),0),
IF('TL12'!$B$229=N$3,SUMIF('TL12'!$C$238:$C$451,$C268,'TL12'!$J$238:$J$451),0),
IF('TL13'!$B$3=N$3,SUMIF('TL13'!$C$10:$C$224,$C268,'TL13'!$J$10:$J$224),0),
IF('TL13'!$B$229=N$3,SUMIF('TL13'!$C$238:$C$451,$C268,'TL13'!$J$238:$J$451),0),
IF('TL14'!$B$3=N$3,SUMIF('TL14'!$C$10:$C$224,$C268,'TL14'!$J$10:$J$224),0),
IF('TL14'!$B$229=N$3,SUMIF('TL14'!$C$238:$C$451,$C268,'TL14'!$J$238:$J$451),0),
IF('TL15'!$B$3=N$3,SUMIF('TL15'!$C$10:$C$224,$C268,'TL15'!$J$10:$J$224),0),
IF('TL15'!$B$229=N$3,SUMIF('TL15'!$C$238:$C$451,$C268,'TL15'!$J$238:$J$451),0),
IF('TL16'!$B$3=N$3,SUMIF('TL16'!$C$10:$C$224,$C268,'TL16'!$J$10:$J$224),0),
IF('TL16'!$B$229=N$3,SUMIF('TL16'!$C$238:$C$451,$C268,'TL16'!$J$238:$J$451),0),
IF('TL17'!$B$3=N$3,SUMIF('TL17'!$C$10:$C$224,$C268,'TL17'!$J$10:$J$224),0),
IF('TL17'!$B$229=N$3,SUMIF('TL17'!$C$238:$C$451,$C268,'TL17'!$J$238:$J$451),0),
IF('TL18'!$B$3=N$3,SUMIF('TL18'!$C$10:$C$224,$C268,'TL18'!$J$10:$J$224),0),
IF('TL18'!$B$229=N$3,SUMIF('TL18'!$C$238:$C$451,$C268,'TL18'!$J$238:$J$451),0),
IF('TL19'!$B$3=N$3,SUMIF('TL19'!$C$10:$C$224,$C268,'TL19'!$J$10:$J$224),0),
IF('TL19'!$B$229=N$3,SUMIF('TL19'!$C$238:$C$451,$C268,'TL19'!$J$238:$J$451),0)
),0)</f>
        <v>0</v>
      </c>
      <c r="O268" s="9">
        <f>IFERROR(SUM(
IF('TL01'!$B$3=O$3,SUMIF('TL01'!$C$10:$C$224,$C268,'TL01'!$J$10:$J$224),0),
IF('TL01'!$B$229=O$3,SUMIF('TL01'!$C$238:$C$451,$C268,'TL01'!$J$238:$J$451),0),
IF('TL02'!$B$3=O$3,SUMIF('TL02'!$C$10:$C$224,$C268,'TL02'!$J$10:$J$224),0),
IF('TL02'!$B$229=O$3,SUMIF('TL02'!$C$238:$C$451,$C268,'TL02'!$J$238:$J$451),0),
IF('TL03'!$B$3=O$3,SUMIF('TL03'!$C$10:$C$224,$C268,'TL03'!$J$10:$J$224),0),
IF('TL03'!$B$229=O$3,SUMIF('TL03'!$C$238:$C$451,$C268,'TL03'!$J$238:$J$451),0),
IF('TL04'!$B$3=O$3,SUMIF('TL04'!$C$10:$C$224,$C268,'TL04'!$J$10:$J$224),0),
IF('TL04'!$B$229=O$3,SUMIF('TL04'!$C$238:$C$451,$C268,'TL04'!$J$238:$J$451),0),
IF('TL05'!$B$3=O$3,SUMIF('TL05'!$C$10:$C$224,$C268,'TL05'!$J$10:$J$224),0),
IF('TL05'!$B$229=O$3,SUMIF('TL05'!$C$238:$C$451,$C268,'TL05'!$J$238:$J$451),0),
IF('TL06'!$B$3=O$3,SUMIF('TL06'!$C$10:$C$224,$C268,'TL06'!$J$10:$J$224),0),
IF('TL06'!$B$229=O$3,SUMIF('TL06'!$C$238:$C$451,$C268,'TL06'!$J$238:$J$451),0),
IF('TL07'!$B$3=O$3,SUMIF('TL07'!$C$10:$C$224,$C268,'TL07'!$J$10:$J$224),0),
IF('TL07'!$B$229=O$3,SUMIF('TL07'!$C$238:$C$451,$C268,'TL07'!$J$238:$J$451),0),
IF('TL08'!$B$3=O$3,SUMIF('TL08'!$C$10:$C$224,$C268,'TL08'!$J$10:$J$224),0),
IF('TL08'!$B$229=O$3,SUMIF('TL08'!$C$238:$C$451,$C268,'TL08'!$J$238:$J$451),0),
IF('TL09'!$B$3=O$3,SUMIF('TL09'!$C$10:$C$224,$C268,'TL09'!$J$10:$J$224),0),
IF('TL09'!$B$229=O$3,SUMIF('TL09'!$C$238:$C$451,$C268,'TL09'!$J$238:$J$451),0),
IF('TL10'!$B$3=O$3,SUMIF('TL10'!$C$10:$C$224,$C268,'TL10'!$J$10:$J$224),0),
IF('TL10'!$B$229=O$3,SUMIF('TL10'!$C$238:$C$451,$C268,'TL10'!$J$238:$J$451),0),
IF('TL11'!$B$3=O$3,SUMIF('TL11'!$C$10:$C$224,$C268,'TL11'!$J$10:$J$224),0),
IF('TL11'!$B$229=O$3,SUMIF('TL11'!$C$238:$C$451,$C268,'TL11'!$J$238:$J$451),0),
IF('TL12'!$B$3=O$3,SUMIF('TL12'!$C$10:$C$224,$C268,'TL12'!$J$10:$J$224),0),
IF('TL12'!$B$229=O$3,SUMIF('TL12'!$C$238:$C$451,$C268,'TL12'!$J$238:$J$451),0),
IF('TL13'!$B$3=O$3,SUMIF('TL13'!$C$10:$C$224,$C268,'TL13'!$J$10:$J$224),0),
IF('TL13'!$B$229=O$3,SUMIF('TL13'!$C$238:$C$451,$C268,'TL13'!$J$238:$J$451),0),
IF('TL14'!$B$3=O$3,SUMIF('TL14'!$C$10:$C$224,$C268,'TL14'!$J$10:$J$224),0),
IF('TL14'!$B$229=O$3,SUMIF('TL14'!$C$238:$C$451,$C268,'TL14'!$J$238:$J$451),0),
IF('TL15'!$B$3=O$3,SUMIF('TL15'!$C$10:$C$224,$C268,'TL15'!$J$10:$J$224),0),
IF('TL15'!$B$229=O$3,SUMIF('TL15'!$C$238:$C$451,$C268,'TL15'!$J$238:$J$451),0),
IF('TL16'!$B$3=O$3,SUMIF('TL16'!$C$10:$C$224,$C268,'TL16'!$J$10:$J$224),0),
IF('TL16'!$B$229=O$3,SUMIF('TL16'!$C$238:$C$451,$C268,'TL16'!$J$238:$J$451),0),
IF('TL17'!$B$3=O$3,SUMIF('TL17'!$C$10:$C$224,$C268,'TL17'!$J$10:$J$224),0),
IF('TL17'!$B$229=O$3,SUMIF('TL17'!$C$238:$C$451,$C268,'TL17'!$J$238:$J$451),0),
IF('TL18'!$B$3=O$3,SUMIF('TL18'!$C$10:$C$224,$C268,'TL18'!$J$10:$J$224),0),
IF('TL18'!$B$229=O$3,SUMIF('TL18'!$C$238:$C$451,$C268,'TL18'!$J$238:$J$451),0),
IF('TL19'!$B$3=O$3,SUMIF('TL19'!$C$10:$C$224,$C268,'TL19'!$J$10:$J$224),0),
IF('TL19'!$B$229=O$3,SUMIF('TL19'!$C$238:$C$451,$C268,'TL19'!$J$238:$J$451),0)
),0)</f>
        <v>0</v>
      </c>
      <c r="P268" s="9">
        <f>IFERROR(SUM(
IF('TL01'!$B$3=P$3,SUMIF('TL01'!$C$10:$C$224,$C268,'TL01'!$J$10:$J$224),0),
IF('TL01'!$B$229=P$3,SUMIF('TL01'!$C$238:$C$451,$C268,'TL01'!$J$238:$J$451),0),
IF('TL02'!$B$3=P$3,SUMIF('TL02'!$C$10:$C$224,$C268,'TL02'!$J$10:$J$224),0),
IF('TL02'!$B$229=P$3,SUMIF('TL02'!$C$238:$C$451,$C268,'TL02'!$J$238:$J$451),0),
IF('TL03'!$B$3=P$3,SUMIF('TL03'!$C$10:$C$224,$C268,'TL03'!$J$10:$J$224),0),
IF('TL03'!$B$229=P$3,SUMIF('TL03'!$C$238:$C$451,$C268,'TL03'!$J$238:$J$451),0),
IF('TL04'!$B$3=P$3,SUMIF('TL04'!$C$10:$C$224,$C268,'TL04'!$J$10:$J$224),0),
IF('TL04'!$B$229=P$3,SUMIF('TL04'!$C$238:$C$451,$C268,'TL04'!$J$238:$J$451),0),
IF('TL05'!$B$3=P$3,SUMIF('TL05'!$C$10:$C$224,$C268,'TL05'!$J$10:$J$224),0),
IF('TL05'!$B$229=P$3,SUMIF('TL05'!$C$238:$C$451,$C268,'TL05'!$J$238:$J$451),0),
IF('TL06'!$B$3=P$3,SUMIF('TL06'!$C$10:$C$224,$C268,'TL06'!$J$10:$J$224),0),
IF('TL06'!$B$229=P$3,SUMIF('TL06'!$C$238:$C$451,$C268,'TL06'!$J$238:$J$451),0),
IF('TL07'!$B$3=P$3,SUMIF('TL07'!$C$10:$C$224,$C268,'TL07'!$J$10:$J$224),0),
IF('TL07'!$B$229=P$3,SUMIF('TL07'!$C$238:$C$451,$C268,'TL07'!$J$238:$J$451),0),
IF('TL08'!$B$3=P$3,SUMIF('TL08'!$C$10:$C$224,$C268,'TL08'!$J$10:$J$224),0),
IF('TL08'!$B$229=P$3,SUMIF('TL08'!$C$238:$C$451,$C268,'TL08'!$J$238:$J$451),0),
IF('TL09'!$B$3=P$3,SUMIF('TL09'!$C$10:$C$224,$C268,'TL09'!$J$10:$J$224),0),
IF('TL09'!$B$229=P$3,SUMIF('TL09'!$C$238:$C$451,$C268,'TL09'!$J$238:$J$451),0),
IF('TL10'!$B$3=P$3,SUMIF('TL10'!$C$10:$C$224,$C268,'TL10'!$J$10:$J$224),0),
IF('TL10'!$B$229=P$3,SUMIF('TL10'!$C$238:$C$451,$C268,'TL10'!$J$238:$J$451),0),
IF('TL11'!$B$3=P$3,SUMIF('TL11'!$C$10:$C$224,$C268,'TL11'!$J$10:$J$224),0),
IF('TL11'!$B$229=P$3,SUMIF('TL11'!$C$238:$C$451,$C268,'TL11'!$J$238:$J$451),0),
IF('TL12'!$B$3=P$3,SUMIF('TL12'!$C$10:$C$224,$C268,'TL12'!$J$10:$J$224),0),
IF('TL12'!$B$229=P$3,SUMIF('TL12'!$C$238:$C$451,$C268,'TL12'!$J$238:$J$451),0),
IF('TL13'!$B$3=P$3,SUMIF('TL13'!$C$10:$C$224,$C268,'TL13'!$J$10:$J$224),0),
IF('TL13'!$B$229=P$3,SUMIF('TL13'!$C$238:$C$451,$C268,'TL13'!$J$238:$J$451),0),
IF('TL14'!$B$3=P$3,SUMIF('TL14'!$C$10:$C$224,$C268,'TL14'!$J$10:$J$224),0),
IF('TL14'!$B$229=P$3,SUMIF('TL14'!$C$238:$C$451,$C268,'TL14'!$J$238:$J$451),0),
IF('TL15'!$B$3=P$3,SUMIF('TL15'!$C$10:$C$224,$C268,'TL15'!$J$10:$J$224),0),
IF('TL15'!$B$229=P$3,SUMIF('TL15'!$C$238:$C$451,$C268,'TL15'!$J$238:$J$451),0),
IF('TL16'!$B$3=P$3,SUMIF('TL16'!$C$10:$C$224,$C268,'TL16'!$J$10:$J$224),0),
IF('TL16'!$B$229=P$3,SUMIF('TL16'!$C$238:$C$451,$C268,'TL16'!$J$238:$J$451),0),
IF('TL17'!$B$3=P$3,SUMIF('TL17'!$C$10:$C$224,$C268,'TL17'!$J$10:$J$224),0),
IF('TL17'!$B$229=P$3,SUMIF('TL17'!$C$238:$C$451,$C268,'TL17'!$J$238:$J$451),0),
IF('TL18'!$B$3=P$3,SUMIF('TL18'!$C$10:$C$224,$C268,'TL18'!$J$10:$J$224),0),
IF('TL18'!$B$229=P$3,SUMIF('TL18'!$C$238:$C$451,$C268,'TL18'!$J$238:$J$451),0),
IF('TL19'!$B$3=P$3,SUMIF('TL19'!$C$10:$C$224,$C268,'TL19'!$J$10:$J$224),0),
IF('TL19'!$B$229=P$3,SUMIF('TL19'!$C$238:$C$451,$C268,'TL19'!$J$238:$J$451),0)
),0)</f>
        <v>0</v>
      </c>
      <c r="Q268" s="9">
        <f>IFERROR(SUM(
IF('TL01'!$B$3=Q$3,SUMIF('TL01'!$C$10:$C$224,$C268,'TL01'!$J$10:$J$224),0),
IF('TL01'!$B$229=Q$3,SUMIF('TL01'!$C$238:$C$451,$C268,'TL01'!$J$238:$J$451),0),
IF('TL02'!$B$3=Q$3,SUMIF('TL02'!$C$10:$C$224,$C268,'TL02'!$J$10:$J$224),0),
IF('TL02'!$B$229=Q$3,SUMIF('TL02'!$C$238:$C$451,$C268,'TL02'!$J$238:$J$451),0),
IF('TL03'!$B$3=Q$3,SUMIF('TL03'!$C$10:$C$224,$C268,'TL03'!$J$10:$J$224),0),
IF('TL03'!$B$229=Q$3,SUMIF('TL03'!$C$238:$C$451,$C268,'TL03'!$J$238:$J$451),0),
IF('TL04'!$B$3=Q$3,SUMIF('TL04'!$C$10:$C$224,$C268,'TL04'!$J$10:$J$224),0),
IF('TL04'!$B$229=Q$3,SUMIF('TL04'!$C$238:$C$451,$C268,'TL04'!$J$238:$J$451),0),
IF('TL05'!$B$3=Q$3,SUMIF('TL05'!$C$10:$C$224,$C268,'TL05'!$J$10:$J$224),0),
IF('TL05'!$B$229=Q$3,SUMIF('TL05'!$C$238:$C$451,$C268,'TL05'!$J$238:$J$451),0),
IF('TL06'!$B$3=Q$3,SUMIF('TL06'!$C$10:$C$224,$C268,'TL06'!$J$10:$J$224),0),
IF('TL06'!$B$229=Q$3,SUMIF('TL06'!$C$238:$C$451,$C268,'TL06'!$J$238:$J$451),0),
IF('TL07'!$B$3=Q$3,SUMIF('TL07'!$C$10:$C$224,$C268,'TL07'!$J$10:$J$224),0),
IF('TL07'!$B$229=Q$3,SUMIF('TL07'!$C$238:$C$451,$C268,'TL07'!$J$238:$J$451),0),
IF('TL08'!$B$3=Q$3,SUMIF('TL08'!$C$10:$C$224,$C268,'TL08'!$J$10:$J$224),0),
IF('TL08'!$B$229=Q$3,SUMIF('TL08'!$C$238:$C$451,$C268,'TL08'!$J$238:$J$451),0),
IF('TL09'!$B$3=Q$3,SUMIF('TL09'!$C$10:$C$224,$C268,'TL09'!$J$10:$J$224),0),
IF('TL09'!$B$229=Q$3,SUMIF('TL09'!$C$238:$C$451,$C268,'TL09'!$J$238:$J$451),0),
IF('TL10'!$B$3=Q$3,SUMIF('TL10'!$C$10:$C$224,$C268,'TL10'!$J$10:$J$224),0),
IF('TL10'!$B$229=Q$3,SUMIF('TL10'!$C$238:$C$451,$C268,'TL10'!$J$238:$J$451),0),
IF('TL11'!$B$3=Q$3,SUMIF('TL11'!$C$10:$C$224,$C268,'TL11'!$J$10:$J$224),0),
IF('TL11'!$B$229=Q$3,SUMIF('TL11'!$C$238:$C$451,$C268,'TL11'!$J$238:$J$451),0),
IF('TL12'!$B$3=Q$3,SUMIF('TL12'!$C$10:$C$224,$C268,'TL12'!$J$10:$J$224),0),
IF('TL12'!$B$229=Q$3,SUMIF('TL12'!$C$238:$C$451,$C268,'TL12'!$J$238:$J$451),0),
IF('TL13'!$B$3=Q$3,SUMIF('TL13'!$C$10:$C$224,$C268,'TL13'!$J$10:$J$224),0),
IF('TL13'!$B$229=Q$3,SUMIF('TL13'!$C$238:$C$451,$C268,'TL13'!$J$238:$J$451),0),
IF('TL14'!$B$3=Q$3,SUMIF('TL14'!$C$10:$C$224,$C268,'TL14'!$J$10:$J$224),0),
IF('TL14'!$B$229=Q$3,SUMIF('TL14'!$C$238:$C$451,$C268,'TL14'!$J$238:$J$451),0),
IF('TL15'!$B$3=Q$3,SUMIF('TL15'!$C$10:$C$224,$C268,'TL15'!$J$10:$J$224),0),
IF('TL15'!$B$229=Q$3,SUMIF('TL15'!$C$238:$C$451,$C268,'TL15'!$J$238:$J$451),0),
IF('TL16'!$B$3=Q$3,SUMIF('TL16'!$C$10:$C$224,$C268,'TL16'!$J$10:$J$224),0),
IF('TL16'!$B$229=Q$3,SUMIF('TL16'!$C$238:$C$451,$C268,'TL16'!$J$238:$J$451),0),
IF('TL17'!$B$3=Q$3,SUMIF('TL17'!$C$10:$C$224,$C268,'TL17'!$J$10:$J$224),0),
IF('TL17'!$B$229=Q$3,SUMIF('TL17'!$C$238:$C$451,$C268,'TL17'!$J$238:$J$451),0),
IF('TL18'!$B$3=Q$3,SUMIF('TL18'!$C$10:$C$224,$C268,'TL18'!$J$10:$J$224),0),
IF('TL18'!$B$229=Q$3,SUMIF('TL18'!$C$238:$C$451,$C268,'TL18'!$J$238:$J$451),0),
IF('TL19'!$B$3=Q$3,SUMIF('TL19'!$C$10:$C$224,$C268,'TL19'!$J$10:$J$224),0),
IF('TL19'!$B$229=Q$3,SUMIF('TL19'!$C$238:$C$451,$C268,'TL19'!$J$238:$J$451),0)
),0)</f>
        <v>0</v>
      </c>
      <c r="R268" s="9">
        <f>IFERROR(
SUM(
SUMIF('TL01'!C:C,C268,'TL01'!J:J),
SUMIF('TL02'!C:C,C268,'TL02'!J:J),
SUMIF('TL03'!C:C,C268,'TL03'!J:J),
SUMIF('TL04'!C:C,C268,'TL04'!J:J),
SUMIF('TL05'!C:C,C268,'TL05'!J:J),
SUMIF('TL06'!C:C,C268,'TL06'!J:J),
SUMIF('TL07'!C:C,C268,'TL07'!J:J),
SUMIF('TL08'!C:C,C268,'TL08'!J:J),
SUMIF('TL09'!C:C,C268,'TL09'!J:J),
SUMIF('TL10'!C:C,C268,'TL10'!J:J),
SUMIF('TL11'!C:C,C268,'TL11'!J:J),
SUMIF('TL12'!C:C,C268,'TL12'!J:J),
SUMIF('TL13'!C:C,C268,'TL13'!J:J),
SUMIF('TL14'!C:C,C268,'TL14'!J:J),
SUMIF('TL15'!C:C,C268,'TL15'!J:J),
SUMIF('TL16'!C:C,C268,'TL16'!J:J),
SUMIF('TL17'!C:C,C268,'TL17'!J:J),
SUMIF('TL18'!C:C,C268,'TL18'!J:J),SUMIF('TL19'!C:C,C268,'TL19'!J:J))
,0)</f>
        <v>0</v>
      </c>
      <c r="S268" s="17" t="str">
        <f>IFERROR(__xludf.DUMMYFUNCTION("IFERROR(VLOOKUP(C268,
IMPORTRANGE(""1wULbzX32WdYsx-lj2U3uUNBBe2INVIRDtcK0d-Dvl90"",
""26-27!C:G""),
5,
FALSE),
"""")"),"")</f>
        <v/>
      </c>
      <c r="T268" s="9"/>
      <c r="U268" s="92">
        <f t="shared" si="2"/>
        <v>0</v>
      </c>
      <c r="V268" s="93">
        <f t="shared" si="3"/>
        <v>0</v>
      </c>
    </row>
    <row r="269" ht="15.75" hidden="1" customHeight="1">
      <c r="A269" s="4" t="s">
        <v>961</v>
      </c>
      <c r="B269" s="125" t="s">
        <v>9</v>
      </c>
      <c r="C269" s="4" t="s">
        <v>962</v>
      </c>
      <c r="D269" s="4" t="s">
        <v>963</v>
      </c>
      <c r="E269" s="9"/>
      <c r="F269" s="4" t="s">
        <v>343</v>
      </c>
      <c r="G269" s="9"/>
      <c r="H269" s="9">
        <v>0.2</v>
      </c>
      <c r="I269" s="1"/>
      <c r="J269" s="9">
        <f>IFERROR(SUM(
IF('TL01'!$B$3=J$3,SUMIF('TL01'!$C$10:$C$224,$C269,'TL01'!$J$10:$J$224),0),
IF('TL01'!$B$229=J$3,SUMIF('TL01'!$C$238:$C$451,$C269,'TL01'!$J$238:$J$451),0),
IF('TL02'!$B$3=J$3,SUMIF('TL02'!$C$10:$C$224,$C269,'TL02'!$J$10:$J$224),0),
IF('TL02'!$B$229=J$3,SUMIF('TL02'!$C$238:$C$451,$C269,'TL02'!$J$238:$J$451),0),
IF('TL03'!$B$3=J$3,SUMIF('TL03'!$C$10:$C$224,$C269,'TL03'!$J$10:$J$224),0),
IF('TL03'!$B$229=J$3,SUMIF('TL03'!$C$238:$C$451,$C269,'TL03'!$J$238:$J$451),0),
IF('TL04'!$B$3=J$3,SUMIF('TL04'!$C$10:$C$224,$C269,'TL04'!$J$10:$J$224),0),
IF('TL04'!$B$229=J$3,SUMIF('TL04'!$C$238:$C$451,$C269,'TL04'!$J$238:$J$451),0),
IF('TL05'!$B$3=J$3,SUMIF('TL05'!$C$10:$C$224,$C269,'TL05'!$J$10:$J$224),0),
IF('TL05'!$B$229=J$3,SUMIF('TL05'!$C$238:$C$451,$C269,'TL05'!$J$238:$J$451),0),
IF('TL06'!$B$3=J$3,SUMIF('TL06'!$C$10:$C$224,$C269,'TL06'!$J$10:$J$224),0),
IF('TL06'!$B$229=J$3,SUMIF('TL06'!$C$238:$C$451,$C269,'TL06'!$J$238:$J$451),0),
IF('TL07'!$B$3=J$3,SUMIF('TL07'!$C$10:$C$224,$C269,'TL07'!$J$10:$J$224),0),
IF('TL07'!$B$229=J$3,SUMIF('TL07'!$C$238:$C$451,$C269,'TL07'!$J$238:$J$451),0),
IF('TL08'!$B$3=J$3,SUMIF('TL08'!$C$10:$C$224,$C269,'TL08'!$J$10:$J$224),0),
IF('TL08'!$B$229=J$3,SUMIF('TL08'!$C$238:$C$451,$C269,'TL08'!$J$238:$J$451),0),
IF('TL09'!$B$3=J$3,SUMIF('TL09'!$C$10:$C$224,$C269,'TL09'!$J$10:$J$224),0),
IF('TL09'!$B$229=J$3,SUMIF('TL09'!$C$238:$C$451,$C269,'TL09'!$J$238:$J$451),0),
IF('TL10'!$B$3=J$3,SUMIF('TL10'!$C$10:$C$224,$C269,'TL10'!$J$10:$J$224),0),
IF('TL10'!$B$229=J$3,SUMIF('TL10'!$C$238:$C$451,$C269,'TL10'!$J$238:$J$451),0),
IF('TL11'!$B$3=J$3,SUMIF('TL11'!$C$10:$C$224,$C269,'TL11'!$J$10:$J$224),0),
IF('TL11'!$B$229=J$3,SUMIF('TL11'!$C$238:$C$451,$C269,'TL11'!$J$238:$J$451),0),
IF('TL12'!$B$3=J$3,SUMIF('TL12'!$C$10:$C$224,$C269,'TL12'!$J$10:$J$224),0),
IF('TL12'!$B$229=J$3,SUMIF('TL12'!$C$238:$C$451,$C269,'TL12'!$J$238:$J$451),0),
IF('TL13'!$B$3=J$3,SUMIF('TL13'!$C$10:$C$224,$C269,'TL13'!$J$10:$J$224),0),
IF('TL13'!$B$229=J$3,SUMIF('TL13'!$C$238:$C$451,$C269,'TL13'!$J$238:$J$451),0),
IF('TL14'!$B$3=J$3,SUMIF('TL14'!$C$10:$C$224,$C269,'TL14'!$J$10:$J$224),0),
IF('TL14'!$B$229=J$3,SUMIF('TL14'!$C$238:$C$451,$C269,'TL14'!$J$238:$J$451),0),
IF('TL15'!$B$3=J$3,SUMIF('TL15'!$C$10:$C$224,$C269,'TL15'!$J$10:$J$224),0),
IF('TL15'!$B$229=J$3,SUMIF('TL15'!$C$238:$C$451,$C269,'TL15'!$J$238:$J$451),0),
IF('TL16'!$B$3=J$3,SUMIF('TL16'!$C$10:$C$224,$C269,'TL16'!$J$10:$J$224),0),
IF('TL16'!$B$229=J$3,SUMIF('TL16'!$C$238:$C$451,$C269,'TL16'!$J$238:$J$451),0),
IF('TL17'!$B$3=J$3,SUMIF('TL17'!$C$10:$C$224,$C269,'TL17'!$J$10:$J$224),0),
IF('TL17'!$B$229=J$3,SUMIF('TL17'!$C$238:$C$451,$C269,'TL17'!$J$238:$J$451),0),
IF('TL18'!$B$3=J$3,SUMIF('TL18'!$C$10:$C$224,$C269,'TL18'!$J$10:$J$224),0),
IF('TL18'!$B$229=J$3,SUMIF('TL18'!$C$238:$C$451,$C269,'TL18'!$J$238:$J$451),0),
IF('TL19'!$B$3=J$3,SUMIF('TL19'!$C$10:$C$224,$C269,'TL19'!$J$10:$J$224),0),
IF('TL19'!$B$229=J$3,SUMIF('TL19'!$C$238:$C$451,$C269,'TL19'!$J$238:$J$451),0)
),0)</f>
        <v>0</v>
      </c>
      <c r="K269" s="9">
        <f>IFERROR(SUM(
IF('TL01'!$B$3=K$3,SUMIF('TL01'!$C$10:$C$224,$C269,'TL01'!$J$10:$J$224),0),
IF('TL01'!$B$229=K$3,SUMIF('TL01'!$C$238:$C$451,$C269,'TL01'!$J$238:$J$451),0),
IF('TL02'!$B$3=K$3,SUMIF('TL02'!$C$10:$C$224,$C269,'TL02'!$J$10:$J$224),0),
IF('TL02'!$B$229=K$3,SUMIF('TL02'!$C$238:$C$451,$C269,'TL02'!$J$238:$J$451),0),
IF('TL03'!$B$3=K$3,SUMIF('TL03'!$C$10:$C$224,$C269,'TL03'!$J$10:$J$224),0),
IF('TL03'!$B$229=K$3,SUMIF('TL03'!$C$238:$C$451,$C269,'TL03'!$J$238:$J$451),0),
IF('TL04'!$B$3=K$3,SUMIF('TL04'!$C$10:$C$224,$C269,'TL04'!$J$10:$J$224),0),
IF('TL04'!$B$229=K$3,SUMIF('TL04'!$C$238:$C$451,$C269,'TL04'!$J$238:$J$451),0),
IF('TL05'!$B$3=K$3,SUMIF('TL05'!$C$10:$C$224,$C269,'TL05'!$J$10:$J$224),0),
IF('TL05'!$B$229=K$3,SUMIF('TL05'!$C$238:$C$451,$C269,'TL05'!$J$238:$J$451),0),
IF('TL06'!$B$3=K$3,SUMIF('TL06'!$C$10:$C$224,$C269,'TL06'!$J$10:$J$224),0),
IF('TL06'!$B$229=K$3,SUMIF('TL06'!$C$238:$C$451,$C269,'TL06'!$J$238:$J$451),0),
IF('TL07'!$B$3=K$3,SUMIF('TL07'!$C$10:$C$224,$C269,'TL07'!$J$10:$J$224),0),
IF('TL07'!$B$229=K$3,SUMIF('TL07'!$C$238:$C$451,$C269,'TL07'!$J$238:$J$451),0),
IF('TL08'!$B$3=K$3,SUMIF('TL08'!$C$10:$C$224,$C269,'TL08'!$J$10:$J$224),0),
IF('TL08'!$B$229=K$3,SUMIF('TL08'!$C$238:$C$451,$C269,'TL08'!$J$238:$J$451),0),
IF('TL09'!$B$3=K$3,SUMIF('TL09'!$C$10:$C$224,$C269,'TL09'!$J$10:$J$224),0),
IF('TL09'!$B$229=K$3,SUMIF('TL09'!$C$238:$C$451,$C269,'TL09'!$J$238:$J$451),0),
IF('TL10'!$B$3=K$3,SUMIF('TL10'!$C$10:$C$224,$C269,'TL10'!$J$10:$J$224),0),
IF('TL10'!$B$229=K$3,SUMIF('TL10'!$C$238:$C$451,$C269,'TL10'!$J$238:$J$451),0),
IF('TL11'!$B$3=K$3,SUMIF('TL11'!$C$10:$C$224,$C269,'TL11'!$J$10:$J$224),0),
IF('TL11'!$B$229=K$3,SUMIF('TL11'!$C$238:$C$451,$C269,'TL11'!$J$238:$J$451),0),
IF('TL12'!$B$3=K$3,SUMIF('TL12'!$C$10:$C$224,$C269,'TL12'!$J$10:$J$224),0),
IF('TL12'!$B$229=K$3,SUMIF('TL12'!$C$238:$C$451,$C269,'TL12'!$J$238:$J$451),0),
IF('TL13'!$B$3=K$3,SUMIF('TL13'!$C$10:$C$224,$C269,'TL13'!$J$10:$J$224),0),
IF('TL13'!$B$229=K$3,SUMIF('TL13'!$C$238:$C$451,$C269,'TL13'!$J$238:$J$451),0),
IF('TL14'!$B$3=K$3,SUMIF('TL14'!$C$10:$C$224,$C269,'TL14'!$J$10:$J$224),0),
IF('TL14'!$B$229=K$3,SUMIF('TL14'!$C$238:$C$451,$C269,'TL14'!$J$238:$J$451),0),
IF('TL15'!$B$3=K$3,SUMIF('TL15'!$C$10:$C$224,$C269,'TL15'!$J$10:$J$224),0),
IF('TL15'!$B$229=K$3,SUMIF('TL15'!$C$238:$C$451,$C269,'TL15'!$J$238:$J$451),0),
IF('TL16'!$B$3=K$3,SUMIF('TL16'!$C$10:$C$224,$C269,'TL16'!$J$10:$J$224),0),
IF('TL16'!$B$229=K$3,SUMIF('TL16'!$C$238:$C$451,$C269,'TL16'!$J$238:$J$451),0),
IF('TL17'!$B$3=K$3,SUMIF('TL17'!$C$10:$C$224,$C269,'TL17'!$J$10:$J$224),0),
IF('TL17'!$B$229=K$3,SUMIF('TL17'!$C$238:$C$451,$C269,'TL17'!$J$238:$J$451),0),
IF('TL18'!$B$3=K$3,SUMIF('TL18'!$C$10:$C$224,$C269,'TL18'!$J$10:$J$224),0),
IF('TL18'!$B$229=K$3,SUMIF('TL18'!$C$238:$C$451,$C269,'TL18'!$J$238:$J$451),0),
IF('TL19'!$B$3=K$3,SUMIF('TL19'!$C$10:$C$224,$C269,'TL19'!$J$10:$J$224),0),
IF('TL19'!$B$229=K$3,SUMIF('TL19'!$C$238:$C$451,$C269,'TL19'!$J$238:$J$451),0)
),0)</f>
        <v>0</v>
      </c>
      <c r="L269" s="9">
        <f>IFERROR(SUM(
IF('TL01'!$B$3=L$3,SUMIF('TL01'!$C$10:$C$224,$C269,'TL01'!$J$10:$J$224),0),
IF('TL01'!$B$229=L$3,SUMIF('TL01'!$C$238:$C$451,$C269,'TL01'!$J$238:$J$451),0),
IF('TL02'!$B$3=L$3,SUMIF('TL02'!$C$10:$C$224,$C269,'TL02'!$J$10:$J$224),0),
IF('TL02'!$B$229=L$3,SUMIF('TL02'!$C$238:$C$451,$C269,'TL02'!$J$238:$J$451),0),
IF('TL03'!$B$3=L$3,SUMIF('TL03'!$C$10:$C$224,$C269,'TL03'!$J$10:$J$224),0),
IF('TL03'!$B$229=L$3,SUMIF('TL03'!$C$238:$C$451,$C269,'TL03'!$J$238:$J$451),0),
IF('TL04'!$B$3=L$3,SUMIF('TL04'!$C$10:$C$224,$C269,'TL04'!$J$10:$J$224),0),
IF('TL04'!$B$229=L$3,SUMIF('TL04'!$C$238:$C$451,$C269,'TL04'!$J$238:$J$451),0),
IF('TL05'!$B$3=L$3,SUMIF('TL05'!$C$10:$C$224,$C269,'TL05'!$J$10:$J$224),0),
IF('TL05'!$B$229=L$3,SUMIF('TL05'!$C$238:$C$451,$C269,'TL05'!$J$238:$J$451),0),
IF('TL06'!$B$3=L$3,SUMIF('TL06'!$C$10:$C$224,$C269,'TL06'!$J$10:$J$224),0),
IF('TL06'!$B$229=L$3,SUMIF('TL06'!$C$238:$C$451,$C269,'TL06'!$J$238:$J$451),0),
IF('TL07'!$B$3=L$3,SUMIF('TL07'!$C$10:$C$224,$C269,'TL07'!$J$10:$J$224),0),
IF('TL07'!$B$229=L$3,SUMIF('TL07'!$C$238:$C$451,$C269,'TL07'!$J$238:$J$451),0),
IF('TL08'!$B$3=L$3,SUMIF('TL08'!$C$10:$C$224,$C269,'TL08'!$J$10:$J$224),0),
IF('TL08'!$B$229=L$3,SUMIF('TL08'!$C$238:$C$451,$C269,'TL08'!$J$238:$J$451),0),
IF('TL09'!$B$3=L$3,SUMIF('TL09'!$C$10:$C$224,$C269,'TL09'!$J$10:$J$224),0),
IF('TL09'!$B$229=L$3,SUMIF('TL09'!$C$238:$C$451,$C269,'TL09'!$J$238:$J$451),0),
IF('TL10'!$B$3=L$3,SUMIF('TL10'!$C$10:$C$224,$C269,'TL10'!$J$10:$J$224),0),
IF('TL10'!$B$229=L$3,SUMIF('TL10'!$C$238:$C$451,$C269,'TL10'!$J$238:$J$451),0),
IF('TL11'!$B$3=L$3,SUMIF('TL11'!$C$10:$C$224,$C269,'TL11'!$J$10:$J$224),0),
IF('TL11'!$B$229=L$3,SUMIF('TL11'!$C$238:$C$451,$C269,'TL11'!$J$238:$J$451),0),
IF('TL12'!$B$3=L$3,SUMIF('TL12'!$C$10:$C$224,$C269,'TL12'!$J$10:$J$224),0),
IF('TL12'!$B$229=L$3,SUMIF('TL12'!$C$238:$C$451,$C269,'TL12'!$J$238:$J$451),0),
IF('TL13'!$B$3=L$3,SUMIF('TL13'!$C$10:$C$224,$C269,'TL13'!$J$10:$J$224),0),
IF('TL13'!$B$229=L$3,SUMIF('TL13'!$C$238:$C$451,$C269,'TL13'!$J$238:$J$451),0),
IF('TL14'!$B$3=L$3,SUMIF('TL14'!$C$10:$C$224,$C269,'TL14'!$J$10:$J$224),0),
IF('TL14'!$B$229=L$3,SUMIF('TL14'!$C$238:$C$451,$C269,'TL14'!$J$238:$J$451),0),
IF('TL15'!$B$3=L$3,SUMIF('TL15'!$C$10:$C$224,$C269,'TL15'!$J$10:$J$224),0),
IF('TL15'!$B$229=L$3,SUMIF('TL15'!$C$238:$C$451,$C269,'TL15'!$J$238:$J$451),0),
IF('TL16'!$B$3=L$3,SUMIF('TL16'!$C$10:$C$224,$C269,'TL16'!$J$10:$J$224),0),
IF('TL16'!$B$229=L$3,SUMIF('TL16'!$C$238:$C$451,$C269,'TL16'!$J$238:$J$451),0),
IF('TL17'!$B$3=L$3,SUMIF('TL17'!$C$10:$C$224,$C269,'TL17'!$J$10:$J$224),0),
IF('TL17'!$B$229=L$3,SUMIF('TL17'!$C$238:$C$451,$C269,'TL17'!$J$238:$J$451),0),
IF('TL18'!$B$3=L$3,SUMIF('TL18'!$C$10:$C$224,$C269,'TL18'!$J$10:$J$224),0),
IF('TL18'!$B$229=L$3,SUMIF('TL18'!$C$238:$C$451,$C269,'TL18'!$J$238:$J$451),0),
IF('TL19'!$B$3=L$3,SUMIF('TL19'!$C$10:$C$224,$C269,'TL19'!$J$10:$J$224),0),
IF('TL19'!$B$229=L$3,SUMIF('TL19'!$C$238:$C$451,$C269,'TL19'!$J$238:$J$451),0)
),0)</f>
        <v>0</v>
      </c>
      <c r="M269" s="9">
        <f>IFERROR(SUM(
IF('TL01'!$B$3=M$3,SUMIF('TL01'!$C$10:$C$224,$C269,'TL01'!$J$10:$J$224),0),
IF('TL01'!$B$229=M$3,SUMIF('TL01'!$C$238:$C$451,$C269,'TL01'!$J$238:$J$451),0),
IF('TL02'!$B$3=M$3,SUMIF('TL02'!$C$10:$C$224,$C269,'TL02'!$J$10:$J$224),0),
IF('TL02'!$B$229=M$3,SUMIF('TL02'!$C$238:$C$451,$C269,'TL02'!$J$238:$J$451),0),
IF('TL03'!$B$3=M$3,SUMIF('TL03'!$C$10:$C$224,$C269,'TL03'!$J$10:$J$224),0),
IF('TL03'!$B$229=M$3,SUMIF('TL03'!$C$238:$C$451,$C269,'TL03'!$J$238:$J$451),0),
IF('TL04'!$B$3=M$3,SUMIF('TL04'!$C$10:$C$224,$C269,'TL04'!$J$10:$J$224),0),
IF('TL04'!$B$229=M$3,SUMIF('TL04'!$C$238:$C$451,$C269,'TL04'!$J$238:$J$451),0),
IF('TL05'!$B$3=M$3,SUMIF('TL05'!$C$10:$C$224,$C269,'TL05'!$J$10:$J$224),0),
IF('TL05'!$B$229=M$3,SUMIF('TL05'!$C$238:$C$451,$C269,'TL05'!$J$238:$J$451),0),
IF('TL06'!$B$3=M$3,SUMIF('TL06'!$C$10:$C$224,$C269,'TL06'!$J$10:$J$224),0),
IF('TL06'!$B$229=M$3,SUMIF('TL06'!$C$238:$C$451,$C269,'TL06'!$J$238:$J$451),0),
IF('TL07'!$B$3=M$3,SUMIF('TL07'!$C$10:$C$224,$C269,'TL07'!$J$10:$J$224),0),
IF('TL07'!$B$229=M$3,SUMIF('TL07'!$C$238:$C$451,$C269,'TL07'!$J$238:$J$451),0),
IF('TL08'!$B$3=M$3,SUMIF('TL08'!$C$10:$C$224,$C269,'TL08'!$J$10:$J$224),0),
IF('TL08'!$B$229=M$3,SUMIF('TL08'!$C$238:$C$451,$C269,'TL08'!$J$238:$J$451),0),
IF('TL09'!$B$3=M$3,SUMIF('TL09'!$C$10:$C$224,$C269,'TL09'!$J$10:$J$224),0),
IF('TL09'!$B$229=M$3,SUMIF('TL09'!$C$238:$C$451,$C269,'TL09'!$J$238:$J$451),0),
IF('TL10'!$B$3=M$3,SUMIF('TL10'!$C$10:$C$224,$C269,'TL10'!$J$10:$J$224),0),
IF('TL10'!$B$229=M$3,SUMIF('TL10'!$C$238:$C$451,$C269,'TL10'!$J$238:$J$451),0),
IF('TL11'!$B$3=M$3,SUMIF('TL11'!$C$10:$C$224,$C269,'TL11'!$J$10:$J$224),0),
IF('TL11'!$B$229=M$3,SUMIF('TL11'!$C$238:$C$451,$C269,'TL11'!$J$238:$J$451),0),
IF('TL12'!$B$3=M$3,SUMIF('TL12'!$C$10:$C$224,$C269,'TL12'!$J$10:$J$224),0),
IF('TL12'!$B$229=M$3,SUMIF('TL12'!$C$238:$C$451,$C269,'TL12'!$J$238:$J$451),0),
IF('TL13'!$B$3=M$3,SUMIF('TL13'!$C$10:$C$224,$C269,'TL13'!$J$10:$J$224),0),
IF('TL13'!$B$229=M$3,SUMIF('TL13'!$C$238:$C$451,$C269,'TL13'!$J$238:$J$451),0),
IF('TL14'!$B$3=M$3,SUMIF('TL14'!$C$10:$C$224,$C269,'TL14'!$J$10:$J$224),0),
IF('TL14'!$B$229=M$3,SUMIF('TL14'!$C$238:$C$451,$C269,'TL14'!$J$238:$J$451),0),
IF('TL15'!$B$3=M$3,SUMIF('TL15'!$C$10:$C$224,$C269,'TL15'!$J$10:$J$224),0),
IF('TL15'!$B$229=M$3,SUMIF('TL15'!$C$238:$C$451,$C269,'TL15'!$J$238:$J$451),0),
IF('TL16'!$B$3=M$3,SUMIF('TL16'!$C$10:$C$224,$C269,'TL16'!$J$10:$J$224),0),
IF('TL16'!$B$229=M$3,SUMIF('TL16'!$C$238:$C$451,$C269,'TL16'!$J$238:$J$451),0),
IF('TL17'!$B$3=M$3,SUMIF('TL17'!$C$10:$C$224,$C269,'TL17'!$J$10:$J$224),0),
IF('TL17'!$B$229=M$3,SUMIF('TL17'!$C$238:$C$451,$C269,'TL17'!$J$238:$J$451),0),
IF('TL18'!$B$3=M$3,SUMIF('TL18'!$C$10:$C$224,$C269,'TL18'!$J$10:$J$224),0),
IF('TL18'!$B$229=M$3,SUMIF('TL18'!$C$238:$C$451,$C269,'TL18'!$J$238:$J$451),0),
IF('TL19'!$B$3=M$3,SUMIF('TL19'!$C$10:$C$224,$C269,'TL19'!$J$10:$J$224),0),
IF('TL19'!$B$229=M$3,SUMIF('TL19'!$C$238:$C$451,$C269,'TL19'!$J$238:$J$451),0)
),0)</f>
        <v>0</v>
      </c>
      <c r="N269" s="9">
        <f>IFERROR(SUM(
IF('TL01'!$B$3=N$3,SUMIF('TL01'!$C$10:$C$224,$C269,'TL01'!$J$10:$J$224),0),
IF('TL01'!$B$229=N$3,SUMIF('TL01'!$C$238:$C$451,$C269,'TL01'!$J$238:$J$451),0),
IF('TL02'!$B$3=N$3,SUMIF('TL02'!$C$10:$C$224,$C269,'TL02'!$J$10:$J$224),0),
IF('TL02'!$B$229=N$3,SUMIF('TL02'!$C$238:$C$451,$C269,'TL02'!$J$238:$J$451),0),
IF('TL03'!$B$3=N$3,SUMIF('TL03'!$C$10:$C$224,$C269,'TL03'!$J$10:$J$224),0),
IF('TL03'!$B$229=N$3,SUMIF('TL03'!$C$238:$C$451,$C269,'TL03'!$J$238:$J$451),0),
IF('TL04'!$B$3=N$3,SUMIF('TL04'!$C$10:$C$224,$C269,'TL04'!$J$10:$J$224),0),
IF('TL04'!$B$229=N$3,SUMIF('TL04'!$C$238:$C$451,$C269,'TL04'!$J$238:$J$451),0),
IF('TL05'!$B$3=N$3,SUMIF('TL05'!$C$10:$C$224,$C269,'TL05'!$J$10:$J$224),0),
IF('TL05'!$B$229=N$3,SUMIF('TL05'!$C$238:$C$451,$C269,'TL05'!$J$238:$J$451),0),
IF('TL06'!$B$3=N$3,SUMIF('TL06'!$C$10:$C$224,$C269,'TL06'!$J$10:$J$224),0),
IF('TL06'!$B$229=N$3,SUMIF('TL06'!$C$238:$C$451,$C269,'TL06'!$J$238:$J$451),0),
IF('TL07'!$B$3=N$3,SUMIF('TL07'!$C$10:$C$224,$C269,'TL07'!$J$10:$J$224),0),
IF('TL07'!$B$229=N$3,SUMIF('TL07'!$C$238:$C$451,$C269,'TL07'!$J$238:$J$451),0),
IF('TL08'!$B$3=N$3,SUMIF('TL08'!$C$10:$C$224,$C269,'TL08'!$J$10:$J$224),0),
IF('TL08'!$B$229=N$3,SUMIF('TL08'!$C$238:$C$451,$C269,'TL08'!$J$238:$J$451),0),
IF('TL09'!$B$3=N$3,SUMIF('TL09'!$C$10:$C$224,$C269,'TL09'!$J$10:$J$224),0),
IF('TL09'!$B$229=N$3,SUMIF('TL09'!$C$238:$C$451,$C269,'TL09'!$J$238:$J$451),0),
IF('TL10'!$B$3=N$3,SUMIF('TL10'!$C$10:$C$224,$C269,'TL10'!$J$10:$J$224),0),
IF('TL10'!$B$229=N$3,SUMIF('TL10'!$C$238:$C$451,$C269,'TL10'!$J$238:$J$451),0),
IF('TL11'!$B$3=N$3,SUMIF('TL11'!$C$10:$C$224,$C269,'TL11'!$J$10:$J$224),0),
IF('TL11'!$B$229=N$3,SUMIF('TL11'!$C$238:$C$451,$C269,'TL11'!$J$238:$J$451),0),
IF('TL12'!$B$3=N$3,SUMIF('TL12'!$C$10:$C$224,$C269,'TL12'!$J$10:$J$224),0),
IF('TL12'!$B$229=N$3,SUMIF('TL12'!$C$238:$C$451,$C269,'TL12'!$J$238:$J$451),0),
IF('TL13'!$B$3=N$3,SUMIF('TL13'!$C$10:$C$224,$C269,'TL13'!$J$10:$J$224),0),
IF('TL13'!$B$229=N$3,SUMIF('TL13'!$C$238:$C$451,$C269,'TL13'!$J$238:$J$451),0),
IF('TL14'!$B$3=N$3,SUMIF('TL14'!$C$10:$C$224,$C269,'TL14'!$J$10:$J$224),0),
IF('TL14'!$B$229=N$3,SUMIF('TL14'!$C$238:$C$451,$C269,'TL14'!$J$238:$J$451),0),
IF('TL15'!$B$3=N$3,SUMIF('TL15'!$C$10:$C$224,$C269,'TL15'!$J$10:$J$224),0),
IF('TL15'!$B$229=N$3,SUMIF('TL15'!$C$238:$C$451,$C269,'TL15'!$J$238:$J$451),0),
IF('TL16'!$B$3=N$3,SUMIF('TL16'!$C$10:$C$224,$C269,'TL16'!$J$10:$J$224),0),
IF('TL16'!$B$229=N$3,SUMIF('TL16'!$C$238:$C$451,$C269,'TL16'!$J$238:$J$451),0),
IF('TL17'!$B$3=N$3,SUMIF('TL17'!$C$10:$C$224,$C269,'TL17'!$J$10:$J$224),0),
IF('TL17'!$B$229=N$3,SUMIF('TL17'!$C$238:$C$451,$C269,'TL17'!$J$238:$J$451),0),
IF('TL18'!$B$3=N$3,SUMIF('TL18'!$C$10:$C$224,$C269,'TL18'!$J$10:$J$224),0),
IF('TL18'!$B$229=N$3,SUMIF('TL18'!$C$238:$C$451,$C269,'TL18'!$J$238:$J$451),0),
IF('TL19'!$B$3=N$3,SUMIF('TL19'!$C$10:$C$224,$C269,'TL19'!$J$10:$J$224),0),
IF('TL19'!$B$229=N$3,SUMIF('TL19'!$C$238:$C$451,$C269,'TL19'!$J$238:$J$451),0)
),0)</f>
        <v>0</v>
      </c>
      <c r="O269" s="9">
        <f>IFERROR(SUM(
IF('TL01'!$B$3=O$3,SUMIF('TL01'!$C$10:$C$224,$C269,'TL01'!$J$10:$J$224),0),
IF('TL01'!$B$229=O$3,SUMIF('TL01'!$C$238:$C$451,$C269,'TL01'!$J$238:$J$451),0),
IF('TL02'!$B$3=O$3,SUMIF('TL02'!$C$10:$C$224,$C269,'TL02'!$J$10:$J$224),0),
IF('TL02'!$B$229=O$3,SUMIF('TL02'!$C$238:$C$451,$C269,'TL02'!$J$238:$J$451),0),
IF('TL03'!$B$3=O$3,SUMIF('TL03'!$C$10:$C$224,$C269,'TL03'!$J$10:$J$224),0),
IF('TL03'!$B$229=O$3,SUMIF('TL03'!$C$238:$C$451,$C269,'TL03'!$J$238:$J$451),0),
IF('TL04'!$B$3=O$3,SUMIF('TL04'!$C$10:$C$224,$C269,'TL04'!$J$10:$J$224),0),
IF('TL04'!$B$229=O$3,SUMIF('TL04'!$C$238:$C$451,$C269,'TL04'!$J$238:$J$451),0),
IF('TL05'!$B$3=O$3,SUMIF('TL05'!$C$10:$C$224,$C269,'TL05'!$J$10:$J$224),0),
IF('TL05'!$B$229=O$3,SUMIF('TL05'!$C$238:$C$451,$C269,'TL05'!$J$238:$J$451),0),
IF('TL06'!$B$3=O$3,SUMIF('TL06'!$C$10:$C$224,$C269,'TL06'!$J$10:$J$224),0),
IF('TL06'!$B$229=O$3,SUMIF('TL06'!$C$238:$C$451,$C269,'TL06'!$J$238:$J$451),0),
IF('TL07'!$B$3=O$3,SUMIF('TL07'!$C$10:$C$224,$C269,'TL07'!$J$10:$J$224),0),
IF('TL07'!$B$229=O$3,SUMIF('TL07'!$C$238:$C$451,$C269,'TL07'!$J$238:$J$451),0),
IF('TL08'!$B$3=O$3,SUMIF('TL08'!$C$10:$C$224,$C269,'TL08'!$J$10:$J$224),0),
IF('TL08'!$B$229=O$3,SUMIF('TL08'!$C$238:$C$451,$C269,'TL08'!$J$238:$J$451),0),
IF('TL09'!$B$3=O$3,SUMIF('TL09'!$C$10:$C$224,$C269,'TL09'!$J$10:$J$224),0),
IF('TL09'!$B$229=O$3,SUMIF('TL09'!$C$238:$C$451,$C269,'TL09'!$J$238:$J$451),0),
IF('TL10'!$B$3=O$3,SUMIF('TL10'!$C$10:$C$224,$C269,'TL10'!$J$10:$J$224),0),
IF('TL10'!$B$229=O$3,SUMIF('TL10'!$C$238:$C$451,$C269,'TL10'!$J$238:$J$451),0),
IF('TL11'!$B$3=O$3,SUMIF('TL11'!$C$10:$C$224,$C269,'TL11'!$J$10:$J$224),0),
IF('TL11'!$B$229=O$3,SUMIF('TL11'!$C$238:$C$451,$C269,'TL11'!$J$238:$J$451),0),
IF('TL12'!$B$3=O$3,SUMIF('TL12'!$C$10:$C$224,$C269,'TL12'!$J$10:$J$224),0),
IF('TL12'!$B$229=O$3,SUMIF('TL12'!$C$238:$C$451,$C269,'TL12'!$J$238:$J$451),0),
IF('TL13'!$B$3=O$3,SUMIF('TL13'!$C$10:$C$224,$C269,'TL13'!$J$10:$J$224),0),
IF('TL13'!$B$229=O$3,SUMIF('TL13'!$C$238:$C$451,$C269,'TL13'!$J$238:$J$451),0),
IF('TL14'!$B$3=O$3,SUMIF('TL14'!$C$10:$C$224,$C269,'TL14'!$J$10:$J$224),0),
IF('TL14'!$B$229=O$3,SUMIF('TL14'!$C$238:$C$451,$C269,'TL14'!$J$238:$J$451),0),
IF('TL15'!$B$3=O$3,SUMIF('TL15'!$C$10:$C$224,$C269,'TL15'!$J$10:$J$224),0),
IF('TL15'!$B$229=O$3,SUMIF('TL15'!$C$238:$C$451,$C269,'TL15'!$J$238:$J$451),0),
IF('TL16'!$B$3=O$3,SUMIF('TL16'!$C$10:$C$224,$C269,'TL16'!$J$10:$J$224),0),
IF('TL16'!$B$229=O$3,SUMIF('TL16'!$C$238:$C$451,$C269,'TL16'!$J$238:$J$451),0),
IF('TL17'!$B$3=O$3,SUMIF('TL17'!$C$10:$C$224,$C269,'TL17'!$J$10:$J$224),0),
IF('TL17'!$B$229=O$3,SUMIF('TL17'!$C$238:$C$451,$C269,'TL17'!$J$238:$J$451),0),
IF('TL18'!$B$3=O$3,SUMIF('TL18'!$C$10:$C$224,$C269,'TL18'!$J$10:$J$224),0),
IF('TL18'!$B$229=O$3,SUMIF('TL18'!$C$238:$C$451,$C269,'TL18'!$J$238:$J$451),0),
IF('TL19'!$B$3=O$3,SUMIF('TL19'!$C$10:$C$224,$C269,'TL19'!$J$10:$J$224),0),
IF('TL19'!$B$229=O$3,SUMIF('TL19'!$C$238:$C$451,$C269,'TL19'!$J$238:$J$451),0)
),0)</f>
        <v>0</v>
      </c>
      <c r="P269" s="9">
        <f>IFERROR(SUM(
IF('TL01'!$B$3=P$3,SUMIF('TL01'!$C$10:$C$224,$C269,'TL01'!$J$10:$J$224),0),
IF('TL01'!$B$229=P$3,SUMIF('TL01'!$C$238:$C$451,$C269,'TL01'!$J$238:$J$451),0),
IF('TL02'!$B$3=P$3,SUMIF('TL02'!$C$10:$C$224,$C269,'TL02'!$J$10:$J$224),0),
IF('TL02'!$B$229=P$3,SUMIF('TL02'!$C$238:$C$451,$C269,'TL02'!$J$238:$J$451),0),
IF('TL03'!$B$3=P$3,SUMIF('TL03'!$C$10:$C$224,$C269,'TL03'!$J$10:$J$224),0),
IF('TL03'!$B$229=P$3,SUMIF('TL03'!$C$238:$C$451,$C269,'TL03'!$J$238:$J$451),0),
IF('TL04'!$B$3=P$3,SUMIF('TL04'!$C$10:$C$224,$C269,'TL04'!$J$10:$J$224),0),
IF('TL04'!$B$229=P$3,SUMIF('TL04'!$C$238:$C$451,$C269,'TL04'!$J$238:$J$451),0),
IF('TL05'!$B$3=P$3,SUMIF('TL05'!$C$10:$C$224,$C269,'TL05'!$J$10:$J$224),0),
IF('TL05'!$B$229=P$3,SUMIF('TL05'!$C$238:$C$451,$C269,'TL05'!$J$238:$J$451),0),
IF('TL06'!$B$3=P$3,SUMIF('TL06'!$C$10:$C$224,$C269,'TL06'!$J$10:$J$224),0),
IF('TL06'!$B$229=P$3,SUMIF('TL06'!$C$238:$C$451,$C269,'TL06'!$J$238:$J$451),0),
IF('TL07'!$B$3=P$3,SUMIF('TL07'!$C$10:$C$224,$C269,'TL07'!$J$10:$J$224),0),
IF('TL07'!$B$229=P$3,SUMIF('TL07'!$C$238:$C$451,$C269,'TL07'!$J$238:$J$451),0),
IF('TL08'!$B$3=P$3,SUMIF('TL08'!$C$10:$C$224,$C269,'TL08'!$J$10:$J$224),0),
IF('TL08'!$B$229=P$3,SUMIF('TL08'!$C$238:$C$451,$C269,'TL08'!$J$238:$J$451),0),
IF('TL09'!$B$3=P$3,SUMIF('TL09'!$C$10:$C$224,$C269,'TL09'!$J$10:$J$224),0),
IF('TL09'!$B$229=P$3,SUMIF('TL09'!$C$238:$C$451,$C269,'TL09'!$J$238:$J$451),0),
IF('TL10'!$B$3=P$3,SUMIF('TL10'!$C$10:$C$224,$C269,'TL10'!$J$10:$J$224),0),
IF('TL10'!$B$229=P$3,SUMIF('TL10'!$C$238:$C$451,$C269,'TL10'!$J$238:$J$451),0),
IF('TL11'!$B$3=P$3,SUMIF('TL11'!$C$10:$C$224,$C269,'TL11'!$J$10:$J$224),0),
IF('TL11'!$B$229=P$3,SUMIF('TL11'!$C$238:$C$451,$C269,'TL11'!$J$238:$J$451),0),
IF('TL12'!$B$3=P$3,SUMIF('TL12'!$C$10:$C$224,$C269,'TL12'!$J$10:$J$224),0),
IF('TL12'!$B$229=P$3,SUMIF('TL12'!$C$238:$C$451,$C269,'TL12'!$J$238:$J$451),0),
IF('TL13'!$B$3=P$3,SUMIF('TL13'!$C$10:$C$224,$C269,'TL13'!$J$10:$J$224),0),
IF('TL13'!$B$229=P$3,SUMIF('TL13'!$C$238:$C$451,$C269,'TL13'!$J$238:$J$451),0),
IF('TL14'!$B$3=P$3,SUMIF('TL14'!$C$10:$C$224,$C269,'TL14'!$J$10:$J$224),0),
IF('TL14'!$B$229=P$3,SUMIF('TL14'!$C$238:$C$451,$C269,'TL14'!$J$238:$J$451),0),
IF('TL15'!$B$3=P$3,SUMIF('TL15'!$C$10:$C$224,$C269,'TL15'!$J$10:$J$224),0),
IF('TL15'!$B$229=P$3,SUMIF('TL15'!$C$238:$C$451,$C269,'TL15'!$J$238:$J$451),0),
IF('TL16'!$B$3=P$3,SUMIF('TL16'!$C$10:$C$224,$C269,'TL16'!$J$10:$J$224),0),
IF('TL16'!$B$229=P$3,SUMIF('TL16'!$C$238:$C$451,$C269,'TL16'!$J$238:$J$451),0),
IF('TL17'!$B$3=P$3,SUMIF('TL17'!$C$10:$C$224,$C269,'TL17'!$J$10:$J$224),0),
IF('TL17'!$B$229=P$3,SUMIF('TL17'!$C$238:$C$451,$C269,'TL17'!$J$238:$J$451),0),
IF('TL18'!$B$3=P$3,SUMIF('TL18'!$C$10:$C$224,$C269,'TL18'!$J$10:$J$224),0),
IF('TL18'!$B$229=P$3,SUMIF('TL18'!$C$238:$C$451,$C269,'TL18'!$J$238:$J$451),0),
IF('TL19'!$B$3=P$3,SUMIF('TL19'!$C$10:$C$224,$C269,'TL19'!$J$10:$J$224),0),
IF('TL19'!$B$229=P$3,SUMIF('TL19'!$C$238:$C$451,$C269,'TL19'!$J$238:$J$451),0)
),0)</f>
        <v>0</v>
      </c>
      <c r="Q269" s="9">
        <f>IFERROR(SUM(
IF('TL01'!$B$3=Q$3,SUMIF('TL01'!$C$10:$C$224,$C269,'TL01'!$J$10:$J$224),0),
IF('TL01'!$B$229=Q$3,SUMIF('TL01'!$C$238:$C$451,$C269,'TL01'!$J$238:$J$451),0),
IF('TL02'!$B$3=Q$3,SUMIF('TL02'!$C$10:$C$224,$C269,'TL02'!$J$10:$J$224),0),
IF('TL02'!$B$229=Q$3,SUMIF('TL02'!$C$238:$C$451,$C269,'TL02'!$J$238:$J$451),0),
IF('TL03'!$B$3=Q$3,SUMIF('TL03'!$C$10:$C$224,$C269,'TL03'!$J$10:$J$224),0),
IF('TL03'!$B$229=Q$3,SUMIF('TL03'!$C$238:$C$451,$C269,'TL03'!$J$238:$J$451),0),
IF('TL04'!$B$3=Q$3,SUMIF('TL04'!$C$10:$C$224,$C269,'TL04'!$J$10:$J$224),0),
IF('TL04'!$B$229=Q$3,SUMIF('TL04'!$C$238:$C$451,$C269,'TL04'!$J$238:$J$451),0),
IF('TL05'!$B$3=Q$3,SUMIF('TL05'!$C$10:$C$224,$C269,'TL05'!$J$10:$J$224),0),
IF('TL05'!$B$229=Q$3,SUMIF('TL05'!$C$238:$C$451,$C269,'TL05'!$J$238:$J$451),0),
IF('TL06'!$B$3=Q$3,SUMIF('TL06'!$C$10:$C$224,$C269,'TL06'!$J$10:$J$224),0),
IF('TL06'!$B$229=Q$3,SUMIF('TL06'!$C$238:$C$451,$C269,'TL06'!$J$238:$J$451),0),
IF('TL07'!$B$3=Q$3,SUMIF('TL07'!$C$10:$C$224,$C269,'TL07'!$J$10:$J$224),0),
IF('TL07'!$B$229=Q$3,SUMIF('TL07'!$C$238:$C$451,$C269,'TL07'!$J$238:$J$451),0),
IF('TL08'!$B$3=Q$3,SUMIF('TL08'!$C$10:$C$224,$C269,'TL08'!$J$10:$J$224),0),
IF('TL08'!$B$229=Q$3,SUMIF('TL08'!$C$238:$C$451,$C269,'TL08'!$J$238:$J$451),0),
IF('TL09'!$B$3=Q$3,SUMIF('TL09'!$C$10:$C$224,$C269,'TL09'!$J$10:$J$224),0),
IF('TL09'!$B$229=Q$3,SUMIF('TL09'!$C$238:$C$451,$C269,'TL09'!$J$238:$J$451),0),
IF('TL10'!$B$3=Q$3,SUMIF('TL10'!$C$10:$C$224,$C269,'TL10'!$J$10:$J$224),0),
IF('TL10'!$B$229=Q$3,SUMIF('TL10'!$C$238:$C$451,$C269,'TL10'!$J$238:$J$451),0),
IF('TL11'!$B$3=Q$3,SUMIF('TL11'!$C$10:$C$224,$C269,'TL11'!$J$10:$J$224),0),
IF('TL11'!$B$229=Q$3,SUMIF('TL11'!$C$238:$C$451,$C269,'TL11'!$J$238:$J$451),0),
IF('TL12'!$B$3=Q$3,SUMIF('TL12'!$C$10:$C$224,$C269,'TL12'!$J$10:$J$224),0),
IF('TL12'!$B$229=Q$3,SUMIF('TL12'!$C$238:$C$451,$C269,'TL12'!$J$238:$J$451),0),
IF('TL13'!$B$3=Q$3,SUMIF('TL13'!$C$10:$C$224,$C269,'TL13'!$J$10:$J$224),0),
IF('TL13'!$B$229=Q$3,SUMIF('TL13'!$C$238:$C$451,$C269,'TL13'!$J$238:$J$451),0),
IF('TL14'!$B$3=Q$3,SUMIF('TL14'!$C$10:$C$224,$C269,'TL14'!$J$10:$J$224),0),
IF('TL14'!$B$229=Q$3,SUMIF('TL14'!$C$238:$C$451,$C269,'TL14'!$J$238:$J$451),0),
IF('TL15'!$B$3=Q$3,SUMIF('TL15'!$C$10:$C$224,$C269,'TL15'!$J$10:$J$224),0),
IF('TL15'!$B$229=Q$3,SUMIF('TL15'!$C$238:$C$451,$C269,'TL15'!$J$238:$J$451),0),
IF('TL16'!$B$3=Q$3,SUMIF('TL16'!$C$10:$C$224,$C269,'TL16'!$J$10:$J$224),0),
IF('TL16'!$B$229=Q$3,SUMIF('TL16'!$C$238:$C$451,$C269,'TL16'!$J$238:$J$451),0),
IF('TL17'!$B$3=Q$3,SUMIF('TL17'!$C$10:$C$224,$C269,'TL17'!$J$10:$J$224),0),
IF('TL17'!$B$229=Q$3,SUMIF('TL17'!$C$238:$C$451,$C269,'TL17'!$J$238:$J$451),0),
IF('TL18'!$B$3=Q$3,SUMIF('TL18'!$C$10:$C$224,$C269,'TL18'!$J$10:$J$224),0),
IF('TL18'!$B$229=Q$3,SUMIF('TL18'!$C$238:$C$451,$C269,'TL18'!$J$238:$J$451),0),
IF('TL19'!$B$3=Q$3,SUMIF('TL19'!$C$10:$C$224,$C269,'TL19'!$J$10:$J$224),0),
IF('TL19'!$B$229=Q$3,SUMIF('TL19'!$C$238:$C$451,$C269,'TL19'!$J$238:$J$451),0)
),0)</f>
        <v>0</v>
      </c>
      <c r="R269" s="9">
        <f>IFERROR(
SUM(
SUMIF('TL01'!C:C,C269,'TL01'!J:J),
SUMIF('TL02'!C:C,C269,'TL02'!J:J),
SUMIF('TL03'!C:C,C269,'TL03'!J:J),
SUMIF('TL04'!C:C,C269,'TL04'!J:J),
SUMIF('TL05'!C:C,C269,'TL05'!J:J),
SUMIF('TL06'!C:C,C269,'TL06'!J:J),
SUMIF('TL07'!C:C,C269,'TL07'!J:J),
SUMIF('TL08'!C:C,C269,'TL08'!J:J),
SUMIF('TL09'!C:C,C269,'TL09'!J:J),
SUMIF('TL10'!C:C,C269,'TL10'!J:J),
SUMIF('TL11'!C:C,C269,'TL11'!J:J),
SUMIF('TL12'!C:C,C269,'TL12'!J:J),
SUMIF('TL13'!C:C,C269,'TL13'!J:J),
SUMIF('TL14'!C:C,C269,'TL14'!J:J),
SUMIF('TL15'!C:C,C269,'TL15'!J:J),
SUMIF('TL16'!C:C,C269,'TL16'!J:J),
SUMIF('TL17'!C:C,C269,'TL17'!J:J),
SUMIF('TL18'!C:C,C269,'TL18'!J:J),SUMIF('TL19'!C:C,C269,'TL19'!J:J))
,0)</f>
        <v>0</v>
      </c>
      <c r="S269" s="17">
        <f>IFERROR(__xludf.DUMMYFUNCTION("IFERROR(VLOOKUP(C269,
IMPORTRANGE(""1wULbzX32WdYsx-lj2U3uUNBBe2INVIRDtcK0d-Dvl90"",
""26-27!C:G""),
5,
FALSE),
"""")"),109.0)</f>
        <v>109</v>
      </c>
      <c r="T269" s="9"/>
      <c r="U269" s="92">
        <f t="shared" si="2"/>
        <v>0</v>
      </c>
      <c r="V269" s="93">
        <f t="shared" si="3"/>
        <v>0</v>
      </c>
    </row>
    <row r="270" ht="15.75" hidden="1" customHeight="1">
      <c r="A270" s="4" t="s">
        <v>961</v>
      </c>
      <c r="B270" s="125" t="s">
        <v>9</v>
      </c>
      <c r="C270" s="4" t="s">
        <v>964</v>
      </c>
      <c r="D270" s="4" t="s">
        <v>965</v>
      </c>
      <c r="E270" s="9"/>
      <c r="F270" s="4" t="s">
        <v>343</v>
      </c>
      <c r="G270" s="9"/>
      <c r="H270" s="9">
        <v>1.0</v>
      </c>
      <c r="I270" s="1"/>
      <c r="J270" s="9">
        <f>IFERROR(SUM(
IF('TL01'!$B$3=J$3,SUMIF('TL01'!$C$10:$C$224,$C270,'TL01'!$J$10:$J$224),0),
IF('TL01'!$B$229=J$3,SUMIF('TL01'!$C$238:$C$451,$C270,'TL01'!$J$238:$J$451),0),
IF('TL02'!$B$3=J$3,SUMIF('TL02'!$C$10:$C$224,$C270,'TL02'!$J$10:$J$224),0),
IF('TL02'!$B$229=J$3,SUMIF('TL02'!$C$238:$C$451,$C270,'TL02'!$J$238:$J$451),0),
IF('TL03'!$B$3=J$3,SUMIF('TL03'!$C$10:$C$224,$C270,'TL03'!$J$10:$J$224),0),
IF('TL03'!$B$229=J$3,SUMIF('TL03'!$C$238:$C$451,$C270,'TL03'!$J$238:$J$451),0),
IF('TL04'!$B$3=J$3,SUMIF('TL04'!$C$10:$C$224,$C270,'TL04'!$J$10:$J$224),0),
IF('TL04'!$B$229=J$3,SUMIF('TL04'!$C$238:$C$451,$C270,'TL04'!$J$238:$J$451),0),
IF('TL05'!$B$3=J$3,SUMIF('TL05'!$C$10:$C$224,$C270,'TL05'!$J$10:$J$224),0),
IF('TL05'!$B$229=J$3,SUMIF('TL05'!$C$238:$C$451,$C270,'TL05'!$J$238:$J$451),0),
IF('TL06'!$B$3=J$3,SUMIF('TL06'!$C$10:$C$224,$C270,'TL06'!$J$10:$J$224),0),
IF('TL06'!$B$229=J$3,SUMIF('TL06'!$C$238:$C$451,$C270,'TL06'!$J$238:$J$451),0),
IF('TL07'!$B$3=J$3,SUMIF('TL07'!$C$10:$C$224,$C270,'TL07'!$J$10:$J$224),0),
IF('TL07'!$B$229=J$3,SUMIF('TL07'!$C$238:$C$451,$C270,'TL07'!$J$238:$J$451),0),
IF('TL08'!$B$3=J$3,SUMIF('TL08'!$C$10:$C$224,$C270,'TL08'!$J$10:$J$224),0),
IF('TL08'!$B$229=J$3,SUMIF('TL08'!$C$238:$C$451,$C270,'TL08'!$J$238:$J$451),0),
IF('TL09'!$B$3=J$3,SUMIF('TL09'!$C$10:$C$224,$C270,'TL09'!$J$10:$J$224),0),
IF('TL09'!$B$229=J$3,SUMIF('TL09'!$C$238:$C$451,$C270,'TL09'!$J$238:$J$451),0),
IF('TL10'!$B$3=J$3,SUMIF('TL10'!$C$10:$C$224,$C270,'TL10'!$J$10:$J$224),0),
IF('TL10'!$B$229=J$3,SUMIF('TL10'!$C$238:$C$451,$C270,'TL10'!$J$238:$J$451),0),
IF('TL11'!$B$3=J$3,SUMIF('TL11'!$C$10:$C$224,$C270,'TL11'!$J$10:$J$224),0),
IF('TL11'!$B$229=J$3,SUMIF('TL11'!$C$238:$C$451,$C270,'TL11'!$J$238:$J$451),0),
IF('TL12'!$B$3=J$3,SUMIF('TL12'!$C$10:$C$224,$C270,'TL12'!$J$10:$J$224),0),
IF('TL12'!$B$229=J$3,SUMIF('TL12'!$C$238:$C$451,$C270,'TL12'!$J$238:$J$451),0),
IF('TL13'!$B$3=J$3,SUMIF('TL13'!$C$10:$C$224,$C270,'TL13'!$J$10:$J$224),0),
IF('TL13'!$B$229=J$3,SUMIF('TL13'!$C$238:$C$451,$C270,'TL13'!$J$238:$J$451),0),
IF('TL14'!$B$3=J$3,SUMIF('TL14'!$C$10:$C$224,$C270,'TL14'!$J$10:$J$224),0),
IF('TL14'!$B$229=J$3,SUMIF('TL14'!$C$238:$C$451,$C270,'TL14'!$J$238:$J$451),0),
IF('TL15'!$B$3=J$3,SUMIF('TL15'!$C$10:$C$224,$C270,'TL15'!$J$10:$J$224),0),
IF('TL15'!$B$229=J$3,SUMIF('TL15'!$C$238:$C$451,$C270,'TL15'!$J$238:$J$451),0),
IF('TL16'!$B$3=J$3,SUMIF('TL16'!$C$10:$C$224,$C270,'TL16'!$J$10:$J$224),0),
IF('TL16'!$B$229=J$3,SUMIF('TL16'!$C$238:$C$451,$C270,'TL16'!$J$238:$J$451),0),
IF('TL17'!$B$3=J$3,SUMIF('TL17'!$C$10:$C$224,$C270,'TL17'!$J$10:$J$224),0),
IF('TL17'!$B$229=J$3,SUMIF('TL17'!$C$238:$C$451,$C270,'TL17'!$J$238:$J$451),0),
IF('TL18'!$B$3=J$3,SUMIF('TL18'!$C$10:$C$224,$C270,'TL18'!$J$10:$J$224),0),
IF('TL18'!$B$229=J$3,SUMIF('TL18'!$C$238:$C$451,$C270,'TL18'!$J$238:$J$451),0),
IF('TL19'!$B$3=J$3,SUMIF('TL19'!$C$10:$C$224,$C270,'TL19'!$J$10:$J$224),0),
IF('TL19'!$B$229=J$3,SUMIF('TL19'!$C$238:$C$451,$C270,'TL19'!$J$238:$J$451),0)
),0)</f>
        <v>0</v>
      </c>
      <c r="K270" s="9">
        <f>IFERROR(SUM(
IF('TL01'!$B$3=K$3,SUMIF('TL01'!$C$10:$C$224,$C270,'TL01'!$J$10:$J$224),0),
IF('TL01'!$B$229=K$3,SUMIF('TL01'!$C$238:$C$451,$C270,'TL01'!$J$238:$J$451),0),
IF('TL02'!$B$3=K$3,SUMIF('TL02'!$C$10:$C$224,$C270,'TL02'!$J$10:$J$224),0),
IF('TL02'!$B$229=K$3,SUMIF('TL02'!$C$238:$C$451,$C270,'TL02'!$J$238:$J$451),0),
IF('TL03'!$B$3=K$3,SUMIF('TL03'!$C$10:$C$224,$C270,'TL03'!$J$10:$J$224),0),
IF('TL03'!$B$229=K$3,SUMIF('TL03'!$C$238:$C$451,$C270,'TL03'!$J$238:$J$451),0),
IF('TL04'!$B$3=K$3,SUMIF('TL04'!$C$10:$C$224,$C270,'TL04'!$J$10:$J$224),0),
IF('TL04'!$B$229=K$3,SUMIF('TL04'!$C$238:$C$451,$C270,'TL04'!$J$238:$J$451),0),
IF('TL05'!$B$3=K$3,SUMIF('TL05'!$C$10:$C$224,$C270,'TL05'!$J$10:$J$224),0),
IF('TL05'!$B$229=K$3,SUMIF('TL05'!$C$238:$C$451,$C270,'TL05'!$J$238:$J$451),0),
IF('TL06'!$B$3=K$3,SUMIF('TL06'!$C$10:$C$224,$C270,'TL06'!$J$10:$J$224),0),
IF('TL06'!$B$229=K$3,SUMIF('TL06'!$C$238:$C$451,$C270,'TL06'!$J$238:$J$451),0),
IF('TL07'!$B$3=K$3,SUMIF('TL07'!$C$10:$C$224,$C270,'TL07'!$J$10:$J$224),0),
IF('TL07'!$B$229=K$3,SUMIF('TL07'!$C$238:$C$451,$C270,'TL07'!$J$238:$J$451),0),
IF('TL08'!$B$3=K$3,SUMIF('TL08'!$C$10:$C$224,$C270,'TL08'!$J$10:$J$224),0),
IF('TL08'!$B$229=K$3,SUMIF('TL08'!$C$238:$C$451,$C270,'TL08'!$J$238:$J$451),0),
IF('TL09'!$B$3=K$3,SUMIF('TL09'!$C$10:$C$224,$C270,'TL09'!$J$10:$J$224),0),
IF('TL09'!$B$229=K$3,SUMIF('TL09'!$C$238:$C$451,$C270,'TL09'!$J$238:$J$451),0),
IF('TL10'!$B$3=K$3,SUMIF('TL10'!$C$10:$C$224,$C270,'TL10'!$J$10:$J$224),0),
IF('TL10'!$B$229=K$3,SUMIF('TL10'!$C$238:$C$451,$C270,'TL10'!$J$238:$J$451),0),
IF('TL11'!$B$3=K$3,SUMIF('TL11'!$C$10:$C$224,$C270,'TL11'!$J$10:$J$224),0),
IF('TL11'!$B$229=K$3,SUMIF('TL11'!$C$238:$C$451,$C270,'TL11'!$J$238:$J$451),0),
IF('TL12'!$B$3=K$3,SUMIF('TL12'!$C$10:$C$224,$C270,'TL12'!$J$10:$J$224),0),
IF('TL12'!$B$229=K$3,SUMIF('TL12'!$C$238:$C$451,$C270,'TL12'!$J$238:$J$451),0),
IF('TL13'!$B$3=K$3,SUMIF('TL13'!$C$10:$C$224,$C270,'TL13'!$J$10:$J$224),0),
IF('TL13'!$B$229=K$3,SUMIF('TL13'!$C$238:$C$451,$C270,'TL13'!$J$238:$J$451),0),
IF('TL14'!$B$3=K$3,SUMIF('TL14'!$C$10:$C$224,$C270,'TL14'!$J$10:$J$224),0),
IF('TL14'!$B$229=K$3,SUMIF('TL14'!$C$238:$C$451,$C270,'TL14'!$J$238:$J$451),0),
IF('TL15'!$B$3=K$3,SUMIF('TL15'!$C$10:$C$224,$C270,'TL15'!$J$10:$J$224),0),
IF('TL15'!$B$229=K$3,SUMIF('TL15'!$C$238:$C$451,$C270,'TL15'!$J$238:$J$451),0),
IF('TL16'!$B$3=K$3,SUMIF('TL16'!$C$10:$C$224,$C270,'TL16'!$J$10:$J$224),0),
IF('TL16'!$B$229=K$3,SUMIF('TL16'!$C$238:$C$451,$C270,'TL16'!$J$238:$J$451),0),
IF('TL17'!$B$3=K$3,SUMIF('TL17'!$C$10:$C$224,$C270,'TL17'!$J$10:$J$224),0),
IF('TL17'!$B$229=K$3,SUMIF('TL17'!$C$238:$C$451,$C270,'TL17'!$J$238:$J$451),0),
IF('TL18'!$B$3=K$3,SUMIF('TL18'!$C$10:$C$224,$C270,'TL18'!$J$10:$J$224),0),
IF('TL18'!$B$229=K$3,SUMIF('TL18'!$C$238:$C$451,$C270,'TL18'!$J$238:$J$451),0),
IF('TL19'!$B$3=K$3,SUMIF('TL19'!$C$10:$C$224,$C270,'TL19'!$J$10:$J$224),0),
IF('TL19'!$B$229=K$3,SUMIF('TL19'!$C$238:$C$451,$C270,'TL19'!$J$238:$J$451),0)
),0)</f>
        <v>0</v>
      </c>
      <c r="L270" s="9">
        <f>IFERROR(SUM(
IF('TL01'!$B$3=L$3,SUMIF('TL01'!$C$10:$C$224,$C270,'TL01'!$J$10:$J$224),0),
IF('TL01'!$B$229=L$3,SUMIF('TL01'!$C$238:$C$451,$C270,'TL01'!$J$238:$J$451),0),
IF('TL02'!$B$3=L$3,SUMIF('TL02'!$C$10:$C$224,$C270,'TL02'!$J$10:$J$224),0),
IF('TL02'!$B$229=L$3,SUMIF('TL02'!$C$238:$C$451,$C270,'TL02'!$J$238:$J$451),0),
IF('TL03'!$B$3=L$3,SUMIF('TL03'!$C$10:$C$224,$C270,'TL03'!$J$10:$J$224),0),
IF('TL03'!$B$229=L$3,SUMIF('TL03'!$C$238:$C$451,$C270,'TL03'!$J$238:$J$451),0),
IF('TL04'!$B$3=L$3,SUMIF('TL04'!$C$10:$C$224,$C270,'TL04'!$J$10:$J$224),0),
IF('TL04'!$B$229=L$3,SUMIF('TL04'!$C$238:$C$451,$C270,'TL04'!$J$238:$J$451),0),
IF('TL05'!$B$3=L$3,SUMIF('TL05'!$C$10:$C$224,$C270,'TL05'!$J$10:$J$224),0),
IF('TL05'!$B$229=L$3,SUMIF('TL05'!$C$238:$C$451,$C270,'TL05'!$J$238:$J$451),0),
IF('TL06'!$B$3=L$3,SUMIF('TL06'!$C$10:$C$224,$C270,'TL06'!$J$10:$J$224),0),
IF('TL06'!$B$229=L$3,SUMIF('TL06'!$C$238:$C$451,$C270,'TL06'!$J$238:$J$451),0),
IF('TL07'!$B$3=L$3,SUMIF('TL07'!$C$10:$C$224,$C270,'TL07'!$J$10:$J$224),0),
IF('TL07'!$B$229=L$3,SUMIF('TL07'!$C$238:$C$451,$C270,'TL07'!$J$238:$J$451),0),
IF('TL08'!$B$3=L$3,SUMIF('TL08'!$C$10:$C$224,$C270,'TL08'!$J$10:$J$224),0),
IF('TL08'!$B$229=L$3,SUMIF('TL08'!$C$238:$C$451,$C270,'TL08'!$J$238:$J$451),0),
IF('TL09'!$B$3=L$3,SUMIF('TL09'!$C$10:$C$224,$C270,'TL09'!$J$10:$J$224),0),
IF('TL09'!$B$229=L$3,SUMIF('TL09'!$C$238:$C$451,$C270,'TL09'!$J$238:$J$451),0),
IF('TL10'!$B$3=L$3,SUMIF('TL10'!$C$10:$C$224,$C270,'TL10'!$J$10:$J$224),0),
IF('TL10'!$B$229=L$3,SUMIF('TL10'!$C$238:$C$451,$C270,'TL10'!$J$238:$J$451),0),
IF('TL11'!$B$3=L$3,SUMIF('TL11'!$C$10:$C$224,$C270,'TL11'!$J$10:$J$224),0),
IF('TL11'!$B$229=L$3,SUMIF('TL11'!$C$238:$C$451,$C270,'TL11'!$J$238:$J$451),0),
IF('TL12'!$B$3=L$3,SUMIF('TL12'!$C$10:$C$224,$C270,'TL12'!$J$10:$J$224),0),
IF('TL12'!$B$229=L$3,SUMIF('TL12'!$C$238:$C$451,$C270,'TL12'!$J$238:$J$451),0),
IF('TL13'!$B$3=L$3,SUMIF('TL13'!$C$10:$C$224,$C270,'TL13'!$J$10:$J$224),0),
IF('TL13'!$B$229=L$3,SUMIF('TL13'!$C$238:$C$451,$C270,'TL13'!$J$238:$J$451),0),
IF('TL14'!$B$3=L$3,SUMIF('TL14'!$C$10:$C$224,$C270,'TL14'!$J$10:$J$224),0),
IF('TL14'!$B$229=L$3,SUMIF('TL14'!$C$238:$C$451,$C270,'TL14'!$J$238:$J$451),0),
IF('TL15'!$B$3=L$3,SUMIF('TL15'!$C$10:$C$224,$C270,'TL15'!$J$10:$J$224),0),
IF('TL15'!$B$229=L$3,SUMIF('TL15'!$C$238:$C$451,$C270,'TL15'!$J$238:$J$451),0),
IF('TL16'!$B$3=L$3,SUMIF('TL16'!$C$10:$C$224,$C270,'TL16'!$J$10:$J$224),0),
IF('TL16'!$B$229=L$3,SUMIF('TL16'!$C$238:$C$451,$C270,'TL16'!$J$238:$J$451),0),
IF('TL17'!$B$3=L$3,SUMIF('TL17'!$C$10:$C$224,$C270,'TL17'!$J$10:$J$224),0),
IF('TL17'!$B$229=L$3,SUMIF('TL17'!$C$238:$C$451,$C270,'TL17'!$J$238:$J$451),0),
IF('TL18'!$B$3=L$3,SUMIF('TL18'!$C$10:$C$224,$C270,'TL18'!$J$10:$J$224),0),
IF('TL18'!$B$229=L$3,SUMIF('TL18'!$C$238:$C$451,$C270,'TL18'!$J$238:$J$451),0),
IF('TL19'!$B$3=L$3,SUMIF('TL19'!$C$10:$C$224,$C270,'TL19'!$J$10:$J$224),0),
IF('TL19'!$B$229=L$3,SUMIF('TL19'!$C$238:$C$451,$C270,'TL19'!$J$238:$J$451),0)
),0)</f>
        <v>0</v>
      </c>
      <c r="M270" s="9">
        <f>IFERROR(SUM(
IF('TL01'!$B$3=M$3,SUMIF('TL01'!$C$10:$C$224,$C270,'TL01'!$J$10:$J$224),0),
IF('TL01'!$B$229=M$3,SUMIF('TL01'!$C$238:$C$451,$C270,'TL01'!$J$238:$J$451),0),
IF('TL02'!$B$3=M$3,SUMIF('TL02'!$C$10:$C$224,$C270,'TL02'!$J$10:$J$224),0),
IF('TL02'!$B$229=M$3,SUMIF('TL02'!$C$238:$C$451,$C270,'TL02'!$J$238:$J$451),0),
IF('TL03'!$B$3=M$3,SUMIF('TL03'!$C$10:$C$224,$C270,'TL03'!$J$10:$J$224),0),
IF('TL03'!$B$229=M$3,SUMIF('TL03'!$C$238:$C$451,$C270,'TL03'!$J$238:$J$451),0),
IF('TL04'!$B$3=M$3,SUMIF('TL04'!$C$10:$C$224,$C270,'TL04'!$J$10:$J$224),0),
IF('TL04'!$B$229=M$3,SUMIF('TL04'!$C$238:$C$451,$C270,'TL04'!$J$238:$J$451),0),
IF('TL05'!$B$3=M$3,SUMIF('TL05'!$C$10:$C$224,$C270,'TL05'!$J$10:$J$224),0),
IF('TL05'!$B$229=M$3,SUMIF('TL05'!$C$238:$C$451,$C270,'TL05'!$J$238:$J$451),0),
IF('TL06'!$B$3=M$3,SUMIF('TL06'!$C$10:$C$224,$C270,'TL06'!$J$10:$J$224),0),
IF('TL06'!$B$229=M$3,SUMIF('TL06'!$C$238:$C$451,$C270,'TL06'!$J$238:$J$451),0),
IF('TL07'!$B$3=M$3,SUMIF('TL07'!$C$10:$C$224,$C270,'TL07'!$J$10:$J$224),0),
IF('TL07'!$B$229=M$3,SUMIF('TL07'!$C$238:$C$451,$C270,'TL07'!$J$238:$J$451),0),
IF('TL08'!$B$3=M$3,SUMIF('TL08'!$C$10:$C$224,$C270,'TL08'!$J$10:$J$224),0),
IF('TL08'!$B$229=M$3,SUMIF('TL08'!$C$238:$C$451,$C270,'TL08'!$J$238:$J$451),0),
IF('TL09'!$B$3=M$3,SUMIF('TL09'!$C$10:$C$224,$C270,'TL09'!$J$10:$J$224),0),
IF('TL09'!$B$229=M$3,SUMIF('TL09'!$C$238:$C$451,$C270,'TL09'!$J$238:$J$451),0),
IF('TL10'!$B$3=M$3,SUMIF('TL10'!$C$10:$C$224,$C270,'TL10'!$J$10:$J$224),0),
IF('TL10'!$B$229=M$3,SUMIF('TL10'!$C$238:$C$451,$C270,'TL10'!$J$238:$J$451),0),
IF('TL11'!$B$3=M$3,SUMIF('TL11'!$C$10:$C$224,$C270,'TL11'!$J$10:$J$224),0),
IF('TL11'!$B$229=M$3,SUMIF('TL11'!$C$238:$C$451,$C270,'TL11'!$J$238:$J$451),0),
IF('TL12'!$B$3=M$3,SUMIF('TL12'!$C$10:$C$224,$C270,'TL12'!$J$10:$J$224),0),
IF('TL12'!$B$229=M$3,SUMIF('TL12'!$C$238:$C$451,$C270,'TL12'!$J$238:$J$451),0),
IF('TL13'!$B$3=M$3,SUMIF('TL13'!$C$10:$C$224,$C270,'TL13'!$J$10:$J$224),0),
IF('TL13'!$B$229=M$3,SUMIF('TL13'!$C$238:$C$451,$C270,'TL13'!$J$238:$J$451),0),
IF('TL14'!$B$3=M$3,SUMIF('TL14'!$C$10:$C$224,$C270,'TL14'!$J$10:$J$224),0),
IF('TL14'!$B$229=M$3,SUMIF('TL14'!$C$238:$C$451,$C270,'TL14'!$J$238:$J$451),0),
IF('TL15'!$B$3=M$3,SUMIF('TL15'!$C$10:$C$224,$C270,'TL15'!$J$10:$J$224),0),
IF('TL15'!$B$229=M$3,SUMIF('TL15'!$C$238:$C$451,$C270,'TL15'!$J$238:$J$451),0),
IF('TL16'!$B$3=M$3,SUMIF('TL16'!$C$10:$C$224,$C270,'TL16'!$J$10:$J$224),0),
IF('TL16'!$B$229=M$3,SUMIF('TL16'!$C$238:$C$451,$C270,'TL16'!$J$238:$J$451),0),
IF('TL17'!$B$3=M$3,SUMIF('TL17'!$C$10:$C$224,$C270,'TL17'!$J$10:$J$224),0),
IF('TL17'!$B$229=M$3,SUMIF('TL17'!$C$238:$C$451,$C270,'TL17'!$J$238:$J$451),0),
IF('TL18'!$B$3=M$3,SUMIF('TL18'!$C$10:$C$224,$C270,'TL18'!$J$10:$J$224),0),
IF('TL18'!$B$229=M$3,SUMIF('TL18'!$C$238:$C$451,$C270,'TL18'!$J$238:$J$451),0),
IF('TL19'!$B$3=M$3,SUMIF('TL19'!$C$10:$C$224,$C270,'TL19'!$J$10:$J$224),0),
IF('TL19'!$B$229=M$3,SUMIF('TL19'!$C$238:$C$451,$C270,'TL19'!$J$238:$J$451),0)
),0)</f>
        <v>0</v>
      </c>
      <c r="N270" s="9">
        <f>IFERROR(SUM(
IF('TL01'!$B$3=N$3,SUMIF('TL01'!$C$10:$C$224,$C270,'TL01'!$J$10:$J$224),0),
IF('TL01'!$B$229=N$3,SUMIF('TL01'!$C$238:$C$451,$C270,'TL01'!$J$238:$J$451),0),
IF('TL02'!$B$3=N$3,SUMIF('TL02'!$C$10:$C$224,$C270,'TL02'!$J$10:$J$224),0),
IF('TL02'!$B$229=N$3,SUMIF('TL02'!$C$238:$C$451,$C270,'TL02'!$J$238:$J$451),0),
IF('TL03'!$B$3=N$3,SUMIF('TL03'!$C$10:$C$224,$C270,'TL03'!$J$10:$J$224),0),
IF('TL03'!$B$229=N$3,SUMIF('TL03'!$C$238:$C$451,$C270,'TL03'!$J$238:$J$451),0),
IF('TL04'!$B$3=N$3,SUMIF('TL04'!$C$10:$C$224,$C270,'TL04'!$J$10:$J$224),0),
IF('TL04'!$B$229=N$3,SUMIF('TL04'!$C$238:$C$451,$C270,'TL04'!$J$238:$J$451),0),
IF('TL05'!$B$3=N$3,SUMIF('TL05'!$C$10:$C$224,$C270,'TL05'!$J$10:$J$224),0),
IF('TL05'!$B$229=N$3,SUMIF('TL05'!$C$238:$C$451,$C270,'TL05'!$J$238:$J$451),0),
IF('TL06'!$B$3=N$3,SUMIF('TL06'!$C$10:$C$224,$C270,'TL06'!$J$10:$J$224),0),
IF('TL06'!$B$229=N$3,SUMIF('TL06'!$C$238:$C$451,$C270,'TL06'!$J$238:$J$451),0),
IF('TL07'!$B$3=N$3,SUMIF('TL07'!$C$10:$C$224,$C270,'TL07'!$J$10:$J$224),0),
IF('TL07'!$B$229=N$3,SUMIF('TL07'!$C$238:$C$451,$C270,'TL07'!$J$238:$J$451),0),
IF('TL08'!$B$3=N$3,SUMIF('TL08'!$C$10:$C$224,$C270,'TL08'!$J$10:$J$224),0),
IF('TL08'!$B$229=N$3,SUMIF('TL08'!$C$238:$C$451,$C270,'TL08'!$J$238:$J$451),0),
IF('TL09'!$B$3=N$3,SUMIF('TL09'!$C$10:$C$224,$C270,'TL09'!$J$10:$J$224),0),
IF('TL09'!$B$229=N$3,SUMIF('TL09'!$C$238:$C$451,$C270,'TL09'!$J$238:$J$451),0),
IF('TL10'!$B$3=N$3,SUMIF('TL10'!$C$10:$C$224,$C270,'TL10'!$J$10:$J$224),0),
IF('TL10'!$B$229=N$3,SUMIF('TL10'!$C$238:$C$451,$C270,'TL10'!$J$238:$J$451),0),
IF('TL11'!$B$3=N$3,SUMIF('TL11'!$C$10:$C$224,$C270,'TL11'!$J$10:$J$224),0),
IF('TL11'!$B$229=N$3,SUMIF('TL11'!$C$238:$C$451,$C270,'TL11'!$J$238:$J$451),0),
IF('TL12'!$B$3=N$3,SUMIF('TL12'!$C$10:$C$224,$C270,'TL12'!$J$10:$J$224),0),
IF('TL12'!$B$229=N$3,SUMIF('TL12'!$C$238:$C$451,$C270,'TL12'!$J$238:$J$451),0),
IF('TL13'!$B$3=N$3,SUMIF('TL13'!$C$10:$C$224,$C270,'TL13'!$J$10:$J$224),0),
IF('TL13'!$B$229=N$3,SUMIF('TL13'!$C$238:$C$451,$C270,'TL13'!$J$238:$J$451),0),
IF('TL14'!$B$3=N$3,SUMIF('TL14'!$C$10:$C$224,$C270,'TL14'!$J$10:$J$224),0),
IF('TL14'!$B$229=N$3,SUMIF('TL14'!$C$238:$C$451,$C270,'TL14'!$J$238:$J$451),0),
IF('TL15'!$B$3=N$3,SUMIF('TL15'!$C$10:$C$224,$C270,'TL15'!$J$10:$J$224),0),
IF('TL15'!$B$229=N$3,SUMIF('TL15'!$C$238:$C$451,$C270,'TL15'!$J$238:$J$451),0),
IF('TL16'!$B$3=N$3,SUMIF('TL16'!$C$10:$C$224,$C270,'TL16'!$J$10:$J$224),0),
IF('TL16'!$B$229=N$3,SUMIF('TL16'!$C$238:$C$451,$C270,'TL16'!$J$238:$J$451),0),
IF('TL17'!$B$3=N$3,SUMIF('TL17'!$C$10:$C$224,$C270,'TL17'!$J$10:$J$224),0),
IF('TL17'!$B$229=N$3,SUMIF('TL17'!$C$238:$C$451,$C270,'TL17'!$J$238:$J$451),0),
IF('TL18'!$B$3=N$3,SUMIF('TL18'!$C$10:$C$224,$C270,'TL18'!$J$10:$J$224),0),
IF('TL18'!$B$229=N$3,SUMIF('TL18'!$C$238:$C$451,$C270,'TL18'!$J$238:$J$451),0),
IF('TL19'!$B$3=N$3,SUMIF('TL19'!$C$10:$C$224,$C270,'TL19'!$J$10:$J$224),0),
IF('TL19'!$B$229=N$3,SUMIF('TL19'!$C$238:$C$451,$C270,'TL19'!$J$238:$J$451),0)
),0)</f>
        <v>0</v>
      </c>
      <c r="O270" s="9">
        <f>IFERROR(SUM(
IF('TL01'!$B$3=O$3,SUMIF('TL01'!$C$10:$C$224,$C270,'TL01'!$J$10:$J$224),0),
IF('TL01'!$B$229=O$3,SUMIF('TL01'!$C$238:$C$451,$C270,'TL01'!$J$238:$J$451),0),
IF('TL02'!$B$3=O$3,SUMIF('TL02'!$C$10:$C$224,$C270,'TL02'!$J$10:$J$224),0),
IF('TL02'!$B$229=O$3,SUMIF('TL02'!$C$238:$C$451,$C270,'TL02'!$J$238:$J$451),0),
IF('TL03'!$B$3=O$3,SUMIF('TL03'!$C$10:$C$224,$C270,'TL03'!$J$10:$J$224),0),
IF('TL03'!$B$229=O$3,SUMIF('TL03'!$C$238:$C$451,$C270,'TL03'!$J$238:$J$451),0),
IF('TL04'!$B$3=O$3,SUMIF('TL04'!$C$10:$C$224,$C270,'TL04'!$J$10:$J$224),0),
IF('TL04'!$B$229=O$3,SUMIF('TL04'!$C$238:$C$451,$C270,'TL04'!$J$238:$J$451),0),
IF('TL05'!$B$3=O$3,SUMIF('TL05'!$C$10:$C$224,$C270,'TL05'!$J$10:$J$224),0),
IF('TL05'!$B$229=O$3,SUMIF('TL05'!$C$238:$C$451,$C270,'TL05'!$J$238:$J$451),0),
IF('TL06'!$B$3=O$3,SUMIF('TL06'!$C$10:$C$224,$C270,'TL06'!$J$10:$J$224),0),
IF('TL06'!$B$229=O$3,SUMIF('TL06'!$C$238:$C$451,$C270,'TL06'!$J$238:$J$451),0),
IF('TL07'!$B$3=O$3,SUMIF('TL07'!$C$10:$C$224,$C270,'TL07'!$J$10:$J$224),0),
IF('TL07'!$B$229=O$3,SUMIF('TL07'!$C$238:$C$451,$C270,'TL07'!$J$238:$J$451),0),
IF('TL08'!$B$3=O$3,SUMIF('TL08'!$C$10:$C$224,$C270,'TL08'!$J$10:$J$224),0),
IF('TL08'!$B$229=O$3,SUMIF('TL08'!$C$238:$C$451,$C270,'TL08'!$J$238:$J$451),0),
IF('TL09'!$B$3=O$3,SUMIF('TL09'!$C$10:$C$224,$C270,'TL09'!$J$10:$J$224),0),
IF('TL09'!$B$229=O$3,SUMIF('TL09'!$C$238:$C$451,$C270,'TL09'!$J$238:$J$451),0),
IF('TL10'!$B$3=O$3,SUMIF('TL10'!$C$10:$C$224,$C270,'TL10'!$J$10:$J$224),0),
IF('TL10'!$B$229=O$3,SUMIF('TL10'!$C$238:$C$451,$C270,'TL10'!$J$238:$J$451),0),
IF('TL11'!$B$3=O$3,SUMIF('TL11'!$C$10:$C$224,$C270,'TL11'!$J$10:$J$224),0),
IF('TL11'!$B$229=O$3,SUMIF('TL11'!$C$238:$C$451,$C270,'TL11'!$J$238:$J$451),0),
IF('TL12'!$B$3=O$3,SUMIF('TL12'!$C$10:$C$224,$C270,'TL12'!$J$10:$J$224),0),
IF('TL12'!$B$229=O$3,SUMIF('TL12'!$C$238:$C$451,$C270,'TL12'!$J$238:$J$451),0),
IF('TL13'!$B$3=O$3,SUMIF('TL13'!$C$10:$C$224,$C270,'TL13'!$J$10:$J$224),0),
IF('TL13'!$B$229=O$3,SUMIF('TL13'!$C$238:$C$451,$C270,'TL13'!$J$238:$J$451),0),
IF('TL14'!$B$3=O$3,SUMIF('TL14'!$C$10:$C$224,$C270,'TL14'!$J$10:$J$224),0),
IF('TL14'!$B$229=O$3,SUMIF('TL14'!$C$238:$C$451,$C270,'TL14'!$J$238:$J$451),0),
IF('TL15'!$B$3=O$3,SUMIF('TL15'!$C$10:$C$224,$C270,'TL15'!$J$10:$J$224),0),
IF('TL15'!$B$229=O$3,SUMIF('TL15'!$C$238:$C$451,$C270,'TL15'!$J$238:$J$451),0),
IF('TL16'!$B$3=O$3,SUMIF('TL16'!$C$10:$C$224,$C270,'TL16'!$J$10:$J$224),0),
IF('TL16'!$B$229=O$3,SUMIF('TL16'!$C$238:$C$451,$C270,'TL16'!$J$238:$J$451),0),
IF('TL17'!$B$3=O$3,SUMIF('TL17'!$C$10:$C$224,$C270,'TL17'!$J$10:$J$224),0),
IF('TL17'!$B$229=O$3,SUMIF('TL17'!$C$238:$C$451,$C270,'TL17'!$J$238:$J$451),0),
IF('TL18'!$B$3=O$3,SUMIF('TL18'!$C$10:$C$224,$C270,'TL18'!$J$10:$J$224),0),
IF('TL18'!$B$229=O$3,SUMIF('TL18'!$C$238:$C$451,$C270,'TL18'!$J$238:$J$451),0),
IF('TL19'!$B$3=O$3,SUMIF('TL19'!$C$10:$C$224,$C270,'TL19'!$J$10:$J$224),0),
IF('TL19'!$B$229=O$3,SUMIF('TL19'!$C$238:$C$451,$C270,'TL19'!$J$238:$J$451),0)
),0)</f>
        <v>0</v>
      </c>
      <c r="P270" s="9">
        <f>IFERROR(SUM(
IF('TL01'!$B$3=P$3,SUMIF('TL01'!$C$10:$C$224,$C270,'TL01'!$J$10:$J$224),0),
IF('TL01'!$B$229=P$3,SUMIF('TL01'!$C$238:$C$451,$C270,'TL01'!$J$238:$J$451),0),
IF('TL02'!$B$3=P$3,SUMIF('TL02'!$C$10:$C$224,$C270,'TL02'!$J$10:$J$224),0),
IF('TL02'!$B$229=P$3,SUMIF('TL02'!$C$238:$C$451,$C270,'TL02'!$J$238:$J$451),0),
IF('TL03'!$B$3=P$3,SUMIF('TL03'!$C$10:$C$224,$C270,'TL03'!$J$10:$J$224),0),
IF('TL03'!$B$229=P$3,SUMIF('TL03'!$C$238:$C$451,$C270,'TL03'!$J$238:$J$451),0),
IF('TL04'!$B$3=P$3,SUMIF('TL04'!$C$10:$C$224,$C270,'TL04'!$J$10:$J$224),0),
IF('TL04'!$B$229=P$3,SUMIF('TL04'!$C$238:$C$451,$C270,'TL04'!$J$238:$J$451),0),
IF('TL05'!$B$3=P$3,SUMIF('TL05'!$C$10:$C$224,$C270,'TL05'!$J$10:$J$224),0),
IF('TL05'!$B$229=P$3,SUMIF('TL05'!$C$238:$C$451,$C270,'TL05'!$J$238:$J$451),0),
IF('TL06'!$B$3=P$3,SUMIF('TL06'!$C$10:$C$224,$C270,'TL06'!$J$10:$J$224),0),
IF('TL06'!$B$229=P$3,SUMIF('TL06'!$C$238:$C$451,$C270,'TL06'!$J$238:$J$451),0),
IF('TL07'!$B$3=P$3,SUMIF('TL07'!$C$10:$C$224,$C270,'TL07'!$J$10:$J$224),0),
IF('TL07'!$B$229=P$3,SUMIF('TL07'!$C$238:$C$451,$C270,'TL07'!$J$238:$J$451),0),
IF('TL08'!$B$3=P$3,SUMIF('TL08'!$C$10:$C$224,$C270,'TL08'!$J$10:$J$224),0),
IF('TL08'!$B$229=P$3,SUMIF('TL08'!$C$238:$C$451,$C270,'TL08'!$J$238:$J$451),0),
IF('TL09'!$B$3=P$3,SUMIF('TL09'!$C$10:$C$224,$C270,'TL09'!$J$10:$J$224),0),
IF('TL09'!$B$229=P$3,SUMIF('TL09'!$C$238:$C$451,$C270,'TL09'!$J$238:$J$451),0),
IF('TL10'!$B$3=P$3,SUMIF('TL10'!$C$10:$C$224,$C270,'TL10'!$J$10:$J$224),0),
IF('TL10'!$B$229=P$3,SUMIF('TL10'!$C$238:$C$451,$C270,'TL10'!$J$238:$J$451),0),
IF('TL11'!$B$3=P$3,SUMIF('TL11'!$C$10:$C$224,$C270,'TL11'!$J$10:$J$224),0),
IF('TL11'!$B$229=P$3,SUMIF('TL11'!$C$238:$C$451,$C270,'TL11'!$J$238:$J$451),0),
IF('TL12'!$B$3=P$3,SUMIF('TL12'!$C$10:$C$224,$C270,'TL12'!$J$10:$J$224),0),
IF('TL12'!$B$229=P$3,SUMIF('TL12'!$C$238:$C$451,$C270,'TL12'!$J$238:$J$451),0),
IF('TL13'!$B$3=P$3,SUMIF('TL13'!$C$10:$C$224,$C270,'TL13'!$J$10:$J$224),0),
IF('TL13'!$B$229=P$3,SUMIF('TL13'!$C$238:$C$451,$C270,'TL13'!$J$238:$J$451),0),
IF('TL14'!$B$3=P$3,SUMIF('TL14'!$C$10:$C$224,$C270,'TL14'!$J$10:$J$224),0),
IF('TL14'!$B$229=P$3,SUMIF('TL14'!$C$238:$C$451,$C270,'TL14'!$J$238:$J$451),0),
IF('TL15'!$B$3=P$3,SUMIF('TL15'!$C$10:$C$224,$C270,'TL15'!$J$10:$J$224),0),
IF('TL15'!$B$229=P$3,SUMIF('TL15'!$C$238:$C$451,$C270,'TL15'!$J$238:$J$451),0),
IF('TL16'!$B$3=P$3,SUMIF('TL16'!$C$10:$C$224,$C270,'TL16'!$J$10:$J$224),0),
IF('TL16'!$B$229=P$3,SUMIF('TL16'!$C$238:$C$451,$C270,'TL16'!$J$238:$J$451),0),
IF('TL17'!$B$3=P$3,SUMIF('TL17'!$C$10:$C$224,$C270,'TL17'!$J$10:$J$224),0),
IF('TL17'!$B$229=P$3,SUMIF('TL17'!$C$238:$C$451,$C270,'TL17'!$J$238:$J$451),0),
IF('TL18'!$B$3=P$3,SUMIF('TL18'!$C$10:$C$224,$C270,'TL18'!$J$10:$J$224),0),
IF('TL18'!$B$229=P$3,SUMIF('TL18'!$C$238:$C$451,$C270,'TL18'!$J$238:$J$451),0),
IF('TL19'!$B$3=P$3,SUMIF('TL19'!$C$10:$C$224,$C270,'TL19'!$J$10:$J$224),0),
IF('TL19'!$B$229=P$3,SUMIF('TL19'!$C$238:$C$451,$C270,'TL19'!$J$238:$J$451),0)
),0)</f>
        <v>0</v>
      </c>
      <c r="Q270" s="9">
        <f>IFERROR(SUM(
IF('TL01'!$B$3=Q$3,SUMIF('TL01'!$C$10:$C$224,$C270,'TL01'!$J$10:$J$224),0),
IF('TL01'!$B$229=Q$3,SUMIF('TL01'!$C$238:$C$451,$C270,'TL01'!$J$238:$J$451),0),
IF('TL02'!$B$3=Q$3,SUMIF('TL02'!$C$10:$C$224,$C270,'TL02'!$J$10:$J$224),0),
IF('TL02'!$B$229=Q$3,SUMIF('TL02'!$C$238:$C$451,$C270,'TL02'!$J$238:$J$451),0),
IF('TL03'!$B$3=Q$3,SUMIF('TL03'!$C$10:$C$224,$C270,'TL03'!$J$10:$J$224),0),
IF('TL03'!$B$229=Q$3,SUMIF('TL03'!$C$238:$C$451,$C270,'TL03'!$J$238:$J$451),0),
IF('TL04'!$B$3=Q$3,SUMIF('TL04'!$C$10:$C$224,$C270,'TL04'!$J$10:$J$224),0),
IF('TL04'!$B$229=Q$3,SUMIF('TL04'!$C$238:$C$451,$C270,'TL04'!$J$238:$J$451),0),
IF('TL05'!$B$3=Q$3,SUMIF('TL05'!$C$10:$C$224,$C270,'TL05'!$J$10:$J$224),0),
IF('TL05'!$B$229=Q$3,SUMIF('TL05'!$C$238:$C$451,$C270,'TL05'!$J$238:$J$451),0),
IF('TL06'!$B$3=Q$3,SUMIF('TL06'!$C$10:$C$224,$C270,'TL06'!$J$10:$J$224),0),
IF('TL06'!$B$229=Q$3,SUMIF('TL06'!$C$238:$C$451,$C270,'TL06'!$J$238:$J$451),0),
IF('TL07'!$B$3=Q$3,SUMIF('TL07'!$C$10:$C$224,$C270,'TL07'!$J$10:$J$224),0),
IF('TL07'!$B$229=Q$3,SUMIF('TL07'!$C$238:$C$451,$C270,'TL07'!$J$238:$J$451),0),
IF('TL08'!$B$3=Q$3,SUMIF('TL08'!$C$10:$C$224,$C270,'TL08'!$J$10:$J$224),0),
IF('TL08'!$B$229=Q$3,SUMIF('TL08'!$C$238:$C$451,$C270,'TL08'!$J$238:$J$451),0),
IF('TL09'!$B$3=Q$3,SUMIF('TL09'!$C$10:$C$224,$C270,'TL09'!$J$10:$J$224),0),
IF('TL09'!$B$229=Q$3,SUMIF('TL09'!$C$238:$C$451,$C270,'TL09'!$J$238:$J$451),0),
IF('TL10'!$B$3=Q$3,SUMIF('TL10'!$C$10:$C$224,$C270,'TL10'!$J$10:$J$224),0),
IF('TL10'!$B$229=Q$3,SUMIF('TL10'!$C$238:$C$451,$C270,'TL10'!$J$238:$J$451),0),
IF('TL11'!$B$3=Q$3,SUMIF('TL11'!$C$10:$C$224,$C270,'TL11'!$J$10:$J$224),0),
IF('TL11'!$B$229=Q$3,SUMIF('TL11'!$C$238:$C$451,$C270,'TL11'!$J$238:$J$451),0),
IF('TL12'!$B$3=Q$3,SUMIF('TL12'!$C$10:$C$224,$C270,'TL12'!$J$10:$J$224),0),
IF('TL12'!$B$229=Q$3,SUMIF('TL12'!$C$238:$C$451,$C270,'TL12'!$J$238:$J$451),0),
IF('TL13'!$B$3=Q$3,SUMIF('TL13'!$C$10:$C$224,$C270,'TL13'!$J$10:$J$224),0),
IF('TL13'!$B$229=Q$3,SUMIF('TL13'!$C$238:$C$451,$C270,'TL13'!$J$238:$J$451),0),
IF('TL14'!$B$3=Q$3,SUMIF('TL14'!$C$10:$C$224,$C270,'TL14'!$J$10:$J$224),0),
IF('TL14'!$B$229=Q$3,SUMIF('TL14'!$C$238:$C$451,$C270,'TL14'!$J$238:$J$451),0),
IF('TL15'!$B$3=Q$3,SUMIF('TL15'!$C$10:$C$224,$C270,'TL15'!$J$10:$J$224),0),
IF('TL15'!$B$229=Q$3,SUMIF('TL15'!$C$238:$C$451,$C270,'TL15'!$J$238:$J$451),0),
IF('TL16'!$B$3=Q$3,SUMIF('TL16'!$C$10:$C$224,$C270,'TL16'!$J$10:$J$224),0),
IF('TL16'!$B$229=Q$3,SUMIF('TL16'!$C$238:$C$451,$C270,'TL16'!$J$238:$J$451),0),
IF('TL17'!$B$3=Q$3,SUMIF('TL17'!$C$10:$C$224,$C270,'TL17'!$J$10:$J$224),0),
IF('TL17'!$B$229=Q$3,SUMIF('TL17'!$C$238:$C$451,$C270,'TL17'!$J$238:$J$451),0),
IF('TL18'!$B$3=Q$3,SUMIF('TL18'!$C$10:$C$224,$C270,'TL18'!$J$10:$J$224),0),
IF('TL18'!$B$229=Q$3,SUMIF('TL18'!$C$238:$C$451,$C270,'TL18'!$J$238:$J$451),0),
IF('TL19'!$B$3=Q$3,SUMIF('TL19'!$C$10:$C$224,$C270,'TL19'!$J$10:$J$224),0),
IF('TL19'!$B$229=Q$3,SUMIF('TL19'!$C$238:$C$451,$C270,'TL19'!$J$238:$J$451),0)
),0)</f>
        <v>0</v>
      </c>
      <c r="R270" s="9">
        <f>IFERROR(
SUM(
SUMIF('TL01'!C:C,C270,'TL01'!J:J),
SUMIF('TL02'!C:C,C270,'TL02'!J:J),
SUMIF('TL03'!C:C,C270,'TL03'!J:J),
SUMIF('TL04'!C:C,C270,'TL04'!J:J),
SUMIF('TL05'!C:C,C270,'TL05'!J:J),
SUMIF('TL06'!C:C,C270,'TL06'!J:J),
SUMIF('TL07'!C:C,C270,'TL07'!J:J),
SUMIF('TL08'!C:C,C270,'TL08'!J:J),
SUMIF('TL09'!C:C,C270,'TL09'!J:J),
SUMIF('TL10'!C:C,C270,'TL10'!J:J),
SUMIF('TL11'!C:C,C270,'TL11'!J:J),
SUMIF('TL12'!C:C,C270,'TL12'!J:J),
SUMIF('TL13'!C:C,C270,'TL13'!J:J),
SUMIF('TL14'!C:C,C270,'TL14'!J:J),
SUMIF('TL15'!C:C,C270,'TL15'!J:J),
SUMIF('TL16'!C:C,C270,'TL16'!J:J),
SUMIF('TL17'!C:C,C270,'TL17'!J:J),
SUMIF('TL18'!C:C,C270,'TL18'!J:J),SUMIF('TL19'!C:C,C270,'TL19'!J:J))
,0)</f>
        <v>0</v>
      </c>
      <c r="S270" s="17">
        <f>IFERROR(__xludf.DUMMYFUNCTION("IFERROR(VLOOKUP(C270,
IMPORTRANGE(""1wULbzX32WdYsx-lj2U3uUNBBe2INVIRDtcK0d-Dvl90"",
""26-27!C:G""),
5,
FALSE),
"""")"),153.0)</f>
        <v>153</v>
      </c>
      <c r="T270" s="9"/>
      <c r="U270" s="92">
        <f t="shared" si="2"/>
        <v>0</v>
      </c>
      <c r="V270" s="93">
        <f t="shared" si="3"/>
        <v>0</v>
      </c>
    </row>
    <row r="271" ht="15.75" hidden="1" customHeight="1">
      <c r="A271" s="4" t="s">
        <v>961</v>
      </c>
      <c r="B271" s="125" t="s">
        <v>9</v>
      </c>
      <c r="C271" s="4" t="s">
        <v>966</v>
      </c>
      <c r="D271" s="4" t="s">
        <v>967</v>
      </c>
      <c r="E271" s="9"/>
      <c r="F271" s="4" t="s">
        <v>343</v>
      </c>
      <c r="G271" s="9"/>
      <c r="H271" s="9">
        <v>0.3</v>
      </c>
      <c r="I271" s="1"/>
      <c r="J271" s="9">
        <f>IFERROR(SUM(
IF('TL01'!$B$3=J$3,SUMIF('TL01'!$C$10:$C$224,$C271,'TL01'!$J$10:$J$224),0),
IF('TL01'!$B$229=J$3,SUMIF('TL01'!$C$238:$C$451,$C271,'TL01'!$J$238:$J$451),0),
IF('TL02'!$B$3=J$3,SUMIF('TL02'!$C$10:$C$224,$C271,'TL02'!$J$10:$J$224),0),
IF('TL02'!$B$229=J$3,SUMIF('TL02'!$C$238:$C$451,$C271,'TL02'!$J$238:$J$451),0),
IF('TL03'!$B$3=J$3,SUMIF('TL03'!$C$10:$C$224,$C271,'TL03'!$J$10:$J$224),0),
IF('TL03'!$B$229=J$3,SUMIF('TL03'!$C$238:$C$451,$C271,'TL03'!$J$238:$J$451),0),
IF('TL04'!$B$3=J$3,SUMIF('TL04'!$C$10:$C$224,$C271,'TL04'!$J$10:$J$224),0),
IF('TL04'!$B$229=J$3,SUMIF('TL04'!$C$238:$C$451,$C271,'TL04'!$J$238:$J$451),0),
IF('TL05'!$B$3=J$3,SUMIF('TL05'!$C$10:$C$224,$C271,'TL05'!$J$10:$J$224),0),
IF('TL05'!$B$229=J$3,SUMIF('TL05'!$C$238:$C$451,$C271,'TL05'!$J$238:$J$451),0),
IF('TL06'!$B$3=J$3,SUMIF('TL06'!$C$10:$C$224,$C271,'TL06'!$J$10:$J$224),0),
IF('TL06'!$B$229=J$3,SUMIF('TL06'!$C$238:$C$451,$C271,'TL06'!$J$238:$J$451),0),
IF('TL07'!$B$3=J$3,SUMIF('TL07'!$C$10:$C$224,$C271,'TL07'!$J$10:$J$224),0),
IF('TL07'!$B$229=J$3,SUMIF('TL07'!$C$238:$C$451,$C271,'TL07'!$J$238:$J$451),0),
IF('TL08'!$B$3=J$3,SUMIF('TL08'!$C$10:$C$224,$C271,'TL08'!$J$10:$J$224),0),
IF('TL08'!$B$229=J$3,SUMIF('TL08'!$C$238:$C$451,$C271,'TL08'!$J$238:$J$451),0),
IF('TL09'!$B$3=J$3,SUMIF('TL09'!$C$10:$C$224,$C271,'TL09'!$J$10:$J$224),0),
IF('TL09'!$B$229=J$3,SUMIF('TL09'!$C$238:$C$451,$C271,'TL09'!$J$238:$J$451),0),
IF('TL10'!$B$3=J$3,SUMIF('TL10'!$C$10:$C$224,$C271,'TL10'!$J$10:$J$224),0),
IF('TL10'!$B$229=J$3,SUMIF('TL10'!$C$238:$C$451,$C271,'TL10'!$J$238:$J$451),0),
IF('TL11'!$B$3=J$3,SUMIF('TL11'!$C$10:$C$224,$C271,'TL11'!$J$10:$J$224),0),
IF('TL11'!$B$229=J$3,SUMIF('TL11'!$C$238:$C$451,$C271,'TL11'!$J$238:$J$451),0),
IF('TL12'!$B$3=J$3,SUMIF('TL12'!$C$10:$C$224,$C271,'TL12'!$J$10:$J$224),0),
IF('TL12'!$B$229=J$3,SUMIF('TL12'!$C$238:$C$451,$C271,'TL12'!$J$238:$J$451),0),
IF('TL13'!$B$3=J$3,SUMIF('TL13'!$C$10:$C$224,$C271,'TL13'!$J$10:$J$224),0),
IF('TL13'!$B$229=J$3,SUMIF('TL13'!$C$238:$C$451,$C271,'TL13'!$J$238:$J$451),0),
IF('TL14'!$B$3=J$3,SUMIF('TL14'!$C$10:$C$224,$C271,'TL14'!$J$10:$J$224),0),
IF('TL14'!$B$229=J$3,SUMIF('TL14'!$C$238:$C$451,$C271,'TL14'!$J$238:$J$451),0),
IF('TL15'!$B$3=J$3,SUMIF('TL15'!$C$10:$C$224,$C271,'TL15'!$J$10:$J$224),0),
IF('TL15'!$B$229=J$3,SUMIF('TL15'!$C$238:$C$451,$C271,'TL15'!$J$238:$J$451),0),
IF('TL16'!$B$3=J$3,SUMIF('TL16'!$C$10:$C$224,$C271,'TL16'!$J$10:$J$224),0),
IF('TL16'!$B$229=J$3,SUMIF('TL16'!$C$238:$C$451,$C271,'TL16'!$J$238:$J$451),0),
IF('TL17'!$B$3=J$3,SUMIF('TL17'!$C$10:$C$224,$C271,'TL17'!$J$10:$J$224),0),
IF('TL17'!$B$229=J$3,SUMIF('TL17'!$C$238:$C$451,$C271,'TL17'!$J$238:$J$451),0),
IF('TL18'!$B$3=J$3,SUMIF('TL18'!$C$10:$C$224,$C271,'TL18'!$J$10:$J$224),0),
IF('TL18'!$B$229=J$3,SUMIF('TL18'!$C$238:$C$451,$C271,'TL18'!$J$238:$J$451),0),
IF('TL19'!$B$3=J$3,SUMIF('TL19'!$C$10:$C$224,$C271,'TL19'!$J$10:$J$224),0),
IF('TL19'!$B$229=J$3,SUMIF('TL19'!$C$238:$C$451,$C271,'TL19'!$J$238:$J$451),0)
),0)</f>
        <v>0</v>
      </c>
      <c r="K271" s="9">
        <f>IFERROR(SUM(
IF('TL01'!$B$3=K$3,SUMIF('TL01'!$C$10:$C$224,$C271,'TL01'!$J$10:$J$224),0),
IF('TL01'!$B$229=K$3,SUMIF('TL01'!$C$238:$C$451,$C271,'TL01'!$J$238:$J$451),0),
IF('TL02'!$B$3=K$3,SUMIF('TL02'!$C$10:$C$224,$C271,'TL02'!$J$10:$J$224),0),
IF('TL02'!$B$229=K$3,SUMIF('TL02'!$C$238:$C$451,$C271,'TL02'!$J$238:$J$451),0),
IF('TL03'!$B$3=K$3,SUMIF('TL03'!$C$10:$C$224,$C271,'TL03'!$J$10:$J$224),0),
IF('TL03'!$B$229=K$3,SUMIF('TL03'!$C$238:$C$451,$C271,'TL03'!$J$238:$J$451),0),
IF('TL04'!$B$3=K$3,SUMIF('TL04'!$C$10:$C$224,$C271,'TL04'!$J$10:$J$224),0),
IF('TL04'!$B$229=K$3,SUMIF('TL04'!$C$238:$C$451,$C271,'TL04'!$J$238:$J$451),0),
IF('TL05'!$B$3=K$3,SUMIF('TL05'!$C$10:$C$224,$C271,'TL05'!$J$10:$J$224),0),
IF('TL05'!$B$229=K$3,SUMIF('TL05'!$C$238:$C$451,$C271,'TL05'!$J$238:$J$451),0),
IF('TL06'!$B$3=K$3,SUMIF('TL06'!$C$10:$C$224,$C271,'TL06'!$J$10:$J$224),0),
IF('TL06'!$B$229=K$3,SUMIF('TL06'!$C$238:$C$451,$C271,'TL06'!$J$238:$J$451),0),
IF('TL07'!$B$3=K$3,SUMIF('TL07'!$C$10:$C$224,$C271,'TL07'!$J$10:$J$224),0),
IF('TL07'!$B$229=K$3,SUMIF('TL07'!$C$238:$C$451,$C271,'TL07'!$J$238:$J$451),0),
IF('TL08'!$B$3=K$3,SUMIF('TL08'!$C$10:$C$224,$C271,'TL08'!$J$10:$J$224),0),
IF('TL08'!$B$229=K$3,SUMIF('TL08'!$C$238:$C$451,$C271,'TL08'!$J$238:$J$451),0),
IF('TL09'!$B$3=K$3,SUMIF('TL09'!$C$10:$C$224,$C271,'TL09'!$J$10:$J$224),0),
IF('TL09'!$B$229=K$3,SUMIF('TL09'!$C$238:$C$451,$C271,'TL09'!$J$238:$J$451),0),
IF('TL10'!$B$3=K$3,SUMIF('TL10'!$C$10:$C$224,$C271,'TL10'!$J$10:$J$224),0),
IF('TL10'!$B$229=K$3,SUMIF('TL10'!$C$238:$C$451,$C271,'TL10'!$J$238:$J$451),0),
IF('TL11'!$B$3=K$3,SUMIF('TL11'!$C$10:$C$224,$C271,'TL11'!$J$10:$J$224),0),
IF('TL11'!$B$229=K$3,SUMIF('TL11'!$C$238:$C$451,$C271,'TL11'!$J$238:$J$451),0),
IF('TL12'!$B$3=K$3,SUMIF('TL12'!$C$10:$C$224,$C271,'TL12'!$J$10:$J$224),0),
IF('TL12'!$B$229=K$3,SUMIF('TL12'!$C$238:$C$451,$C271,'TL12'!$J$238:$J$451),0),
IF('TL13'!$B$3=K$3,SUMIF('TL13'!$C$10:$C$224,$C271,'TL13'!$J$10:$J$224),0),
IF('TL13'!$B$229=K$3,SUMIF('TL13'!$C$238:$C$451,$C271,'TL13'!$J$238:$J$451),0),
IF('TL14'!$B$3=K$3,SUMIF('TL14'!$C$10:$C$224,$C271,'TL14'!$J$10:$J$224),0),
IF('TL14'!$B$229=K$3,SUMIF('TL14'!$C$238:$C$451,$C271,'TL14'!$J$238:$J$451),0),
IF('TL15'!$B$3=K$3,SUMIF('TL15'!$C$10:$C$224,$C271,'TL15'!$J$10:$J$224),0),
IF('TL15'!$B$229=K$3,SUMIF('TL15'!$C$238:$C$451,$C271,'TL15'!$J$238:$J$451),0),
IF('TL16'!$B$3=K$3,SUMIF('TL16'!$C$10:$C$224,$C271,'TL16'!$J$10:$J$224),0),
IF('TL16'!$B$229=K$3,SUMIF('TL16'!$C$238:$C$451,$C271,'TL16'!$J$238:$J$451),0),
IF('TL17'!$B$3=K$3,SUMIF('TL17'!$C$10:$C$224,$C271,'TL17'!$J$10:$J$224),0),
IF('TL17'!$B$229=K$3,SUMIF('TL17'!$C$238:$C$451,$C271,'TL17'!$J$238:$J$451),0),
IF('TL18'!$B$3=K$3,SUMIF('TL18'!$C$10:$C$224,$C271,'TL18'!$J$10:$J$224),0),
IF('TL18'!$B$229=K$3,SUMIF('TL18'!$C$238:$C$451,$C271,'TL18'!$J$238:$J$451),0),
IF('TL19'!$B$3=K$3,SUMIF('TL19'!$C$10:$C$224,$C271,'TL19'!$J$10:$J$224),0),
IF('TL19'!$B$229=K$3,SUMIF('TL19'!$C$238:$C$451,$C271,'TL19'!$J$238:$J$451),0)
),0)</f>
        <v>0</v>
      </c>
      <c r="L271" s="9">
        <f>IFERROR(SUM(
IF('TL01'!$B$3=L$3,SUMIF('TL01'!$C$10:$C$224,$C271,'TL01'!$J$10:$J$224),0),
IF('TL01'!$B$229=L$3,SUMIF('TL01'!$C$238:$C$451,$C271,'TL01'!$J$238:$J$451),0),
IF('TL02'!$B$3=L$3,SUMIF('TL02'!$C$10:$C$224,$C271,'TL02'!$J$10:$J$224),0),
IF('TL02'!$B$229=L$3,SUMIF('TL02'!$C$238:$C$451,$C271,'TL02'!$J$238:$J$451),0),
IF('TL03'!$B$3=L$3,SUMIF('TL03'!$C$10:$C$224,$C271,'TL03'!$J$10:$J$224),0),
IF('TL03'!$B$229=L$3,SUMIF('TL03'!$C$238:$C$451,$C271,'TL03'!$J$238:$J$451),0),
IF('TL04'!$B$3=L$3,SUMIF('TL04'!$C$10:$C$224,$C271,'TL04'!$J$10:$J$224),0),
IF('TL04'!$B$229=L$3,SUMIF('TL04'!$C$238:$C$451,$C271,'TL04'!$J$238:$J$451),0),
IF('TL05'!$B$3=L$3,SUMIF('TL05'!$C$10:$C$224,$C271,'TL05'!$J$10:$J$224),0),
IF('TL05'!$B$229=L$3,SUMIF('TL05'!$C$238:$C$451,$C271,'TL05'!$J$238:$J$451),0),
IF('TL06'!$B$3=L$3,SUMIF('TL06'!$C$10:$C$224,$C271,'TL06'!$J$10:$J$224),0),
IF('TL06'!$B$229=L$3,SUMIF('TL06'!$C$238:$C$451,$C271,'TL06'!$J$238:$J$451),0),
IF('TL07'!$B$3=L$3,SUMIF('TL07'!$C$10:$C$224,$C271,'TL07'!$J$10:$J$224),0),
IF('TL07'!$B$229=L$3,SUMIF('TL07'!$C$238:$C$451,$C271,'TL07'!$J$238:$J$451),0),
IF('TL08'!$B$3=L$3,SUMIF('TL08'!$C$10:$C$224,$C271,'TL08'!$J$10:$J$224),0),
IF('TL08'!$B$229=L$3,SUMIF('TL08'!$C$238:$C$451,$C271,'TL08'!$J$238:$J$451),0),
IF('TL09'!$B$3=L$3,SUMIF('TL09'!$C$10:$C$224,$C271,'TL09'!$J$10:$J$224),0),
IF('TL09'!$B$229=L$3,SUMIF('TL09'!$C$238:$C$451,$C271,'TL09'!$J$238:$J$451),0),
IF('TL10'!$B$3=L$3,SUMIF('TL10'!$C$10:$C$224,$C271,'TL10'!$J$10:$J$224),0),
IF('TL10'!$B$229=L$3,SUMIF('TL10'!$C$238:$C$451,$C271,'TL10'!$J$238:$J$451),0),
IF('TL11'!$B$3=L$3,SUMIF('TL11'!$C$10:$C$224,$C271,'TL11'!$J$10:$J$224),0),
IF('TL11'!$B$229=L$3,SUMIF('TL11'!$C$238:$C$451,$C271,'TL11'!$J$238:$J$451),0),
IF('TL12'!$B$3=L$3,SUMIF('TL12'!$C$10:$C$224,$C271,'TL12'!$J$10:$J$224),0),
IF('TL12'!$B$229=L$3,SUMIF('TL12'!$C$238:$C$451,$C271,'TL12'!$J$238:$J$451),0),
IF('TL13'!$B$3=L$3,SUMIF('TL13'!$C$10:$C$224,$C271,'TL13'!$J$10:$J$224),0),
IF('TL13'!$B$229=L$3,SUMIF('TL13'!$C$238:$C$451,$C271,'TL13'!$J$238:$J$451),0),
IF('TL14'!$B$3=L$3,SUMIF('TL14'!$C$10:$C$224,$C271,'TL14'!$J$10:$J$224),0),
IF('TL14'!$B$229=L$3,SUMIF('TL14'!$C$238:$C$451,$C271,'TL14'!$J$238:$J$451),0),
IF('TL15'!$B$3=L$3,SUMIF('TL15'!$C$10:$C$224,$C271,'TL15'!$J$10:$J$224),0),
IF('TL15'!$B$229=L$3,SUMIF('TL15'!$C$238:$C$451,$C271,'TL15'!$J$238:$J$451),0),
IF('TL16'!$B$3=L$3,SUMIF('TL16'!$C$10:$C$224,$C271,'TL16'!$J$10:$J$224),0),
IF('TL16'!$B$229=L$3,SUMIF('TL16'!$C$238:$C$451,$C271,'TL16'!$J$238:$J$451),0),
IF('TL17'!$B$3=L$3,SUMIF('TL17'!$C$10:$C$224,$C271,'TL17'!$J$10:$J$224),0),
IF('TL17'!$B$229=L$3,SUMIF('TL17'!$C$238:$C$451,$C271,'TL17'!$J$238:$J$451),0),
IF('TL18'!$B$3=L$3,SUMIF('TL18'!$C$10:$C$224,$C271,'TL18'!$J$10:$J$224),0),
IF('TL18'!$B$229=L$3,SUMIF('TL18'!$C$238:$C$451,$C271,'TL18'!$J$238:$J$451),0),
IF('TL19'!$B$3=L$3,SUMIF('TL19'!$C$10:$C$224,$C271,'TL19'!$J$10:$J$224),0),
IF('TL19'!$B$229=L$3,SUMIF('TL19'!$C$238:$C$451,$C271,'TL19'!$J$238:$J$451),0)
),0)</f>
        <v>0</v>
      </c>
      <c r="M271" s="9">
        <f>IFERROR(SUM(
IF('TL01'!$B$3=M$3,SUMIF('TL01'!$C$10:$C$224,$C271,'TL01'!$J$10:$J$224),0),
IF('TL01'!$B$229=M$3,SUMIF('TL01'!$C$238:$C$451,$C271,'TL01'!$J$238:$J$451),0),
IF('TL02'!$B$3=M$3,SUMIF('TL02'!$C$10:$C$224,$C271,'TL02'!$J$10:$J$224),0),
IF('TL02'!$B$229=M$3,SUMIF('TL02'!$C$238:$C$451,$C271,'TL02'!$J$238:$J$451),0),
IF('TL03'!$B$3=M$3,SUMIF('TL03'!$C$10:$C$224,$C271,'TL03'!$J$10:$J$224),0),
IF('TL03'!$B$229=M$3,SUMIF('TL03'!$C$238:$C$451,$C271,'TL03'!$J$238:$J$451),0),
IF('TL04'!$B$3=M$3,SUMIF('TL04'!$C$10:$C$224,$C271,'TL04'!$J$10:$J$224),0),
IF('TL04'!$B$229=M$3,SUMIF('TL04'!$C$238:$C$451,$C271,'TL04'!$J$238:$J$451),0),
IF('TL05'!$B$3=M$3,SUMIF('TL05'!$C$10:$C$224,$C271,'TL05'!$J$10:$J$224),0),
IF('TL05'!$B$229=M$3,SUMIF('TL05'!$C$238:$C$451,$C271,'TL05'!$J$238:$J$451),0),
IF('TL06'!$B$3=M$3,SUMIF('TL06'!$C$10:$C$224,$C271,'TL06'!$J$10:$J$224),0),
IF('TL06'!$B$229=M$3,SUMIF('TL06'!$C$238:$C$451,$C271,'TL06'!$J$238:$J$451),0),
IF('TL07'!$B$3=M$3,SUMIF('TL07'!$C$10:$C$224,$C271,'TL07'!$J$10:$J$224),0),
IF('TL07'!$B$229=M$3,SUMIF('TL07'!$C$238:$C$451,$C271,'TL07'!$J$238:$J$451),0),
IF('TL08'!$B$3=M$3,SUMIF('TL08'!$C$10:$C$224,$C271,'TL08'!$J$10:$J$224),0),
IF('TL08'!$B$229=M$3,SUMIF('TL08'!$C$238:$C$451,$C271,'TL08'!$J$238:$J$451),0),
IF('TL09'!$B$3=M$3,SUMIF('TL09'!$C$10:$C$224,$C271,'TL09'!$J$10:$J$224),0),
IF('TL09'!$B$229=M$3,SUMIF('TL09'!$C$238:$C$451,$C271,'TL09'!$J$238:$J$451),0),
IF('TL10'!$B$3=M$3,SUMIF('TL10'!$C$10:$C$224,$C271,'TL10'!$J$10:$J$224),0),
IF('TL10'!$B$229=M$3,SUMIF('TL10'!$C$238:$C$451,$C271,'TL10'!$J$238:$J$451),0),
IF('TL11'!$B$3=M$3,SUMIF('TL11'!$C$10:$C$224,$C271,'TL11'!$J$10:$J$224),0),
IF('TL11'!$B$229=M$3,SUMIF('TL11'!$C$238:$C$451,$C271,'TL11'!$J$238:$J$451),0),
IF('TL12'!$B$3=M$3,SUMIF('TL12'!$C$10:$C$224,$C271,'TL12'!$J$10:$J$224),0),
IF('TL12'!$B$229=M$3,SUMIF('TL12'!$C$238:$C$451,$C271,'TL12'!$J$238:$J$451),0),
IF('TL13'!$B$3=M$3,SUMIF('TL13'!$C$10:$C$224,$C271,'TL13'!$J$10:$J$224),0),
IF('TL13'!$B$229=M$3,SUMIF('TL13'!$C$238:$C$451,$C271,'TL13'!$J$238:$J$451),0),
IF('TL14'!$B$3=M$3,SUMIF('TL14'!$C$10:$C$224,$C271,'TL14'!$J$10:$J$224),0),
IF('TL14'!$B$229=M$3,SUMIF('TL14'!$C$238:$C$451,$C271,'TL14'!$J$238:$J$451),0),
IF('TL15'!$B$3=M$3,SUMIF('TL15'!$C$10:$C$224,$C271,'TL15'!$J$10:$J$224),0),
IF('TL15'!$B$229=M$3,SUMIF('TL15'!$C$238:$C$451,$C271,'TL15'!$J$238:$J$451),0),
IF('TL16'!$B$3=M$3,SUMIF('TL16'!$C$10:$C$224,$C271,'TL16'!$J$10:$J$224),0),
IF('TL16'!$B$229=M$3,SUMIF('TL16'!$C$238:$C$451,$C271,'TL16'!$J$238:$J$451),0),
IF('TL17'!$B$3=M$3,SUMIF('TL17'!$C$10:$C$224,$C271,'TL17'!$J$10:$J$224),0),
IF('TL17'!$B$229=M$3,SUMIF('TL17'!$C$238:$C$451,$C271,'TL17'!$J$238:$J$451),0),
IF('TL18'!$B$3=M$3,SUMIF('TL18'!$C$10:$C$224,$C271,'TL18'!$J$10:$J$224),0),
IF('TL18'!$B$229=M$3,SUMIF('TL18'!$C$238:$C$451,$C271,'TL18'!$J$238:$J$451),0),
IF('TL19'!$B$3=M$3,SUMIF('TL19'!$C$10:$C$224,$C271,'TL19'!$J$10:$J$224),0),
IF('TL19'!$B$229=M$3,SUMIF('TL19'!$C$238:$C$451,$C271,'TL19'!$J$238:$J$451),0)
),0)</f>
        <v>0</v>
      </c>
      <c r="N271" s="9">
        <f>IFERROR(SUM(
IF('TL01'!$B$3=N$3,SUMIF('TL01'!$C$10:$C$224,$C271,'TL01'!$J$10:$J$224),0),
IF('TL01'!$B$229=N$3,SUMIF('TL01'!$C$238:$C$451,$C271,'TL01'!$J$238:$J$451),0),
IF('TL02'!$B$3=N$3,SUMIF('TL02'!$C$10:$C$224,$C271,'TL02'!$J$10:$J$224),0),
IF('TL02'!$B$229=N$3,SUMIF('TL02'!$C$238:$C$451,$C271,'TL02'!$J$238:$J$451),0),
IF('TL03'!$B$3=N$3,SUMIF('TL03'!$C$10:$C$224,$C271,'TL03'!$J$10:$J$224),0),
IF('TL03'!$B$229=N$3,SUMIF('TL03'!$C$238:$C$451,$C271,'TL03'!$J$238:$J$451),0),
IF('TL04'!$B$3=N$3,SUMIF('TL04'!$C$10:$C$224,$C271,'TL04'!$J$10:$J$224),0),
IF('TL04'!$B$229=N$3,SUMIF('TL04'!$C$238:$C$451,$C271,'TL04'!$J$238:$J$451),0),
IF('TL05'!$B$3=N$3,SUMIF('TL05'!$C$10:$C$224,$C271,'TL05'!$J$10:$J$224),0),
IF('TL05'!$B$229=N$3,SUMIF('TL05'!$C$238:$C$451,$C271,'TL05'!$J$238:$J$451),0),
IF('TL06'!$B$3=N$3,SUMIF('TL06'!$C$10:$C$224,$C271,'TL06'!$J$10:$J$224),0),
IF('TL06'!$B$229=N$3,SUMIF('TL06'!$C$238:$C$451,$C271,'TL06'!$J$238:$J$451),0),
IF('TL07'!$B$3=N$3,SUMIF('TL07'!$C$10:$C$224,$C271,'TL07'!$J$10:$J$224),0),
IF('TL07'!$B$229=N$3,SUMIF('TL07'!$C$238:$C$451,$C271,'TL07'!$J$238:$J$451),0),
IF('TL08'!$B$3=N$3,SUMIF('TL08'!$C$10:$C$224,$C271,'TL08'!$J$10:$J$224),0),
IF('TL08'!$B$229=N$3,SUMIF('TL08'!$C$238:$C$451,$C271,'TL08'!$J$238:$J$451),0),
IF('TL09'!$B$3=N$3,SUMIF('TL09'!$C$10:$C$224,$C271,'TL09'!$J$10:$J$224),0),
IF('TL09'!$B$229=N$3,SUMIF('TL09'!$C$238:$C$451,$C271,'TL09'!$J$238:$J$451),0),
IF('TL10'!$B$3=N$3,SUMIF('TL10'!$C$10:$C$224,$C271,'TL10'!$J$10:$J$224),0),
IF('TL10'!$B$229=N$3,SUMIF('TL10'!$C$238:$C$451,$C271,'TL10'!$J$238:$J$451),0),
IF('TL11'!$B$3=N$3,SUMIF('TL11'!$C$10:$C$224,$C271,'TL11'!$J$10:$J$224),0),
IF('TL11'!$B$229=N$3,SUMIF('TL11'!$C$238:$C$451,$C271,'TL11'!$J$238:$J$451),0),
IF('TL12'!$B$3=N$3,SUMIF('TL12'!$C$10:$C$224,$C271,'TL12'!$J$10:$J$224),0),
IF('TL12'!$B$229=N$3,SUMIF('TL12'!$C$238:$C$451,$C271,'TL12'!$J$238:$J$451),0),
IF('TL13'!$B$3=N$3,SUMIF('TL13'!$C$10:$C$224,$C271,'TL13'!$J$10:$J$224),0),
IF('TL13'!$B$229=N$3,SUMIF('TL13'!$C$238:$C$451,$C271,'TL13'!$J$238:$J$451),0),
IF('TL14'!$B$3=N$3,SUMIF('TL14'!$C$10:$C$224,$C271,'TL14'!$J$10:$J$224),0),
IF('TL14'!$B$229=N$3,SUMIF('TL14'!$C$238:$C$451,$C271,'TL14'!$J$238:$J$451),0),
IF('TL15'!$B$3=N$3,SUMIF('TL15'!$C$10:$C$224,$C271,'TL15'!$J$10:$J$224),0),
IF('TL15'!$B$229=N$3,SUMIF('TL15'!$C$238:$C$451,$C271,'TL15'!$J$238:$J$451),0),
IF('TL16'!$B$3=N$3,SUMIF('TL16'!$C$10:$C$224,$C271,'TL16'!$J$10:$J$224),0),
IF('TL16'!$B$229=N$3,SUMIF('TL16'!$C$238:$C$451,$C271,'TL16'!$J$238:$J$451),0),
IF('TL17'!$B$3=N$3,SUMIF('TL17'!$C$10:$C$224,$C271,'TL17'!$J$10:$J$224),0),
IF('TL17'!$B$229=N$3,SUMIF('TL17'!$C$238:$C$451,$C271,'TL17'!$J$238:$J$451),0),
IF('TL18'!$B$3=N$3,SUMIF('TL18'!$C$10:$C$224,$C271,'TL18'!$J$10:$J$224),0),
IF('TL18'!$B$229=N$3,SUMIF('TL18'!$C$238:$C$451,$C271,'TL18'!$J$238:$J$451),0),
IF('TL19'!$B$3=N$3,SUMIF('TL19'!$C$10:$C$224,$C271,'TL19'!$J$10:$J$224),0),
IF('TL19'!$B$229=N$3,SUMIF('TL19'!$C$238:$C$451,$C271,'TL19'!$J$238:$J$451),0)
),0)</f>
        <v>0</v>
      </c>
      <c r="O271" s="9">
        <f>IFERROR(SUM(
IF('TL01'!$B$3=O$3,SUMIF('TL01'!$C$10:$C$224,$C271,'TL01'!$J$10:$J$224),0),
IF('TL01'!$B$229=O$3,SUMIF('TL01'!$C$238:$C$451,$C271,'TL01'!$J$238:$J$451),0),
IF('TL02'!$B$3=O$3,SUMIF('TL02'!$C$10:$C$224,$C271,'TL02'!$J$10:$J$224),0),
IF('TL02'!$B$229=O$3,SUMIF('TL02'!$C$238:$C$451,$C271,'TL02'!$J$238:$J$451),0),
IF('TL03'!$B$3=O$3,SUMIF('TL03'!$C$10:$C$224,$C271,'TL03'!$J$10:$J$224),0),
IF('TL03'!$B$229=O$3,SUMIF('TL03'!$C$238:$C$451,$C271,'TL03'!$J$238:$J$451),0),
IF('TL04'!$B$3=O$3,SUMIF('TL04'!$C$10:$C$224,$C271,'TL04'!$J$10:$J$224),0),
IF('TL04'!$B$229=O$3,SUMIF('TL04'!$C$238:$C$451,$C271,'TL04'!$J$238:$J$451),0),
IF('TL05'!$B$3=O$3,SUMIF('TL05'!$C$10:$C$224,$C271,'TL05'!$J$10:$J$224),0),
IF('TL05'!$B$229=O$3,SUMIF('TL05'!$C$238:$C$451,$C271,'TL05'!$J$238:$J$451),0),
IF('TL06'!$B$3=O$3,SUMIF('TL06'!$C$10:$C$224,$C271,'TL06'!$J$10:$J$224),0),
IF('TL06'!$B$229=O$3,SUMIF('TL06'!$C$238:$C$451,$C271,'TL06'!$J$238:$J$451),0),
IF('TL07'!$B$3=O$3,SUMIF('TL07'!$C$10:$C$224,$C271,'TL07'!$J$10:$J$224),0),
IF('TL07'!$B$229=O$3,SUMIF('TL07'!$C$238:$C$451,$C271,'TL07'!$J$238:$J$451),0),
IF('TL08'!$B$3=O$3,SUMIF('TL08'!$C$10:$C$224,$C271,'TL08'!$J$10:$J$224),0),
IF('TL08'!$B$229=O$3,SUMIF('TL08'!$C$238:$C$451,$C271,'TL08'!$J$238:$J$451),0),
IF('TL09'!$B$3=O$3,SUMIF('TL09'!$C$10:$C$224,$C271,'TL09'!$J$10:$J$224),0),
IF('TL09'!$B$229=O$3,SUMIF('TL09'!$C$238:$C$451,$C271,'TL09'!$J$238:$J$451),0),
IF('TL10'!$B$3=O$3,SUMIF('TL10'!$C$10:$C$224,$C271,'TL10'!$J$10:$J$224),0),
IF('TL10'!$B$229=O$3,SUMIF('TL10'!$C$238:$C$451,$C271,'TL10'!$J$238:$J$451),0),
IF('TL11'!$B$3=O$3,SUMIF('TL11'!$C$10:$C$224,$C271,'TL11'!$J$10:$J$224),0),
IF('TL11'!$B$229=O$3,SUMIF('TL11'!$C$238:$C$451,$C271,'TL11'!$J$238:$J$451),0),
IF('TL12'!$B$3=O$3,SUMIF('TL12'!$C$10:$C$224,$C271,'TL12'!$J$10:$J$224),0),
IF('TL12'!$B$229=O$3,SUMIF('TL12'!$C$238:$C$451,$C271,'TL12'!$J$238:$J$451),0),
IF('TL13'!$B$3=O$3,SUMIF('TL13'!$C$10:$C$224,$C271,'TL13'!$J$10:$J$224),0),
IF('TL13'!$B$229=O$3,SUMIF('TL13'!$C$238:$C$451,$C271,'TL13'!$J$238:$J$451),0),
IF('TL14'!$B$3=O$3,SUMIF('TL14'!$C$10:$C$224,$C271,'TL14'!$J$10:$J$224),0),
IF('TL14'!$B$229=O$3,SUMIF('TL14'!$C$238:$C$451,$C271,'TL14'!$J$238:$J$451),0),
IF('TL15'!$B$3=O$3,SUMIF('TL15'!$C$10:$C$224,$C271,'TL15'!$J$10:$J$224),0),
IF('TL15'!$B$229=O$3,SUMIF('TL15'!$C$238:$C$451,$C271,'TL15'!$J$238:$J$451),0),
IF('TL16'!$B$3=O$3,SUMIF('TL16'!$C$10:$C$224,$C271,'TL16'!$J$10:$J$224),0),
IF('TL16'!$B$229=O$3,SUMIF('TL16'!$C$238:$C$451,$C271,'TL16'!$J$238:$J$451),0),
IF('TL17'!$B$3=O$3,SUMIF('TL17'!$C$10:$C$224,$C271,'TL17'!$J$10:$J$224),0),
IF('TL17'!$B$229=O$3,SUMIF('TL17'!$C$238:$C$451,$C271,'TL17'!$J$238:$J$451),0),
IF('TL18'!$B$3=O$3,SUMIF('TL18'!$C$10:$C$224,$C271,'TL18'!$J$10:$J$224),0),
IF('TL18'!$B$229=O$3,SUMIF('TL18'!$C$238:$C$451,$C271,'TL18'!$J$238:$J$451),0),
IF('TL19'!$B$3=O$3,SUMIF('TL19'!$C$10:$C$224,$C271,'TL19'!$J$10:$J$224),0),
IF('TL19'!$B$229=O$3,SUMIF('TL19'!$C$238:$C$451,$C271,'TL19'!$J$238:$J$451),0)
),0)</f>
        <v>0</v>
      </c>
      <c r="P271" s="9">
        <f>IFERROR(SUM(
IF('TL01'!$B$3=P$3,SUMIF('TL01'!$C$10:$C$224,$C271,'TL01'!$J$10:$J$224),0),
IF('TL01'!$B$229=P$3,SUMIF('TL01'!$C$238:$C$451,$C271,'TL01'!$J$238:$J$451),0),
IF('TL02'!$B$3=P$3,SUMIF('TL02'!$C$10:$C$224,$C271,'TL02'!$J$10:$J$224),0),
IF('TL02'!$B$229=P$3,SUMIF('TL02'!$C$238:$C$451,$C271,'TL02'!$J$238:$J$451),0),
IF('TL03'!$B$3=P$3,SUMIF('TL03'!$C$10:$C$224,$C271,'TL03'!$J$10:$J$224),0),
IF('TL03'!$B$229=P$3,SUMIF('TL03'!$C$238:$C$451,$C271,'TL03'!$J$238:$J$451),0),
IF('TL04'!$B$3=P$3,SUMIF('TL04'!$C$10:$C$224,$C271,'TL04'!$J$10:$J$224),0),
IF('TL04'!$B$229=P$3,SUMIF('TL04'!$C$238:$C$451,$C271,'TL04'!$J$238:$J$451),0),
IF('TL05'!$B$3=P$3,SUMIF('TL05'!$C$10:$C$224,$C271,'TL05'!$J$10:$J$224),0),
IF('TL05'!$B$229=P$3,SUMIF('TL05'!$C$238:$C$451,$C271,'TL05'!$J$238:$J$451),0),
IF('TL06'!$B$3=P$3,SUMIF('TL06'!$C$10:$C$224,$C271,'TL06'!$J$10:$J$224),0),
IF('TL06'!$B$229=P$3,SUMIF('TL06'!$C$238:$C$451,$C271,'TL06'!$J$238:$J$451),0),
IF('TL07'!$B$3=P$3,SUMIF('TL07'!$C$10:$C$224,$C271,'TL07'!$J$10:$J$224),0),
IF('TL07'!$B$229=P$3,SUMIF('TL07'!$C$238:$C$451,$C271,'TL07'!$J$238:$J$451),0),
IF('TL08'!$B$3=P$3,SUMIF('TL08'!$C$10:$C$224,$C271,'TL08'!$J$10:$J$224),0),
IF('TL08'!$B$229=P$3,SUMIF('TL08'!$C$238:$C$451,$C271,'TL08'!$J$238:$J$451),0),
IF('TL09'!$B$3=P$3,SUMIF('TL09'!$C$10:$C$224,$C271,'TL09'!$J$10:$J$224),0),
IF('TL09'!$B$229=P$3,SUMIF('TL09'!$C$238:$C$451,$C271,'TL09'!$J$238:$J$451),0),
IF('TL10'!$B$3=P$3,SUMIF('TL10'!$C$10:$C$224,$C271,'TL10'!$J$10:$J$224),0),
IF('TL10'!$B$229=P$3,SUMIF('TL10'!$C$238:$C$451,$C271,'TL10'!$J$238:$J$451),0),
IF('TL11'!$B$3=P$3,SUMIF('TL11'!$C$10:$C$224,$C271,'TL11'!$J$10:$J$224),0),
IF('TL11'!$B$229=P$3,SUMIF('TL11'!$C$238:$C$451,$C271,'TL11'!$J$238:$J$451),0),
IF('TL12'!$B$3=P$3,SUMIF('TL12'!$C$10:$C$224,$C271,'TL12'!$J$10:$J$224),0),
IF('TL12'!$B$229=P$3,SUMIF('TL12'!$C$238:$C$451,$C271,'TL12'!$J$238:$J$451),0),
IF('TL13'!$B$3=P$3,SUMIF('TL13'!$C$10:$C$224,$C271,'TL13'!$J$10:$J$224),0),
IF('TL13'!$B$229=P$3,SUMIF('TL13'!$C$238:$C$451,$C271,'TL13'!$J$238:$J$451),0),
IF('TL14'!$B$3=P$3,SUMIF('TL14'!$C$10:$C$224,$C271,'TL14'!$J$10:$J$224),0),
IF('TL14'!$B$229=P$3,SUMIF('TL14'!$C$238:$C$451,$C271,'TL14'!$J$238:$J$451),0),
IF('TL15'!$B$3=P$3,SUMIF('TL15'!$C$10:$C$224,$C271,'TL15'!$J$10:$J$224),0),
IF('TL15'!$B$229=P$3,SUMIF('TL15'!$C$238:$C$451,$C271,'TL15'!$J$238:$J$451),0),
IF('TL16'!$B$3=P$3,SUMIF('TL16'!$C$10:$C$224,$C271,'TL16'!$J$10:$J$224),0),
IF('TL16'!$B$229=P$3,SUMIF('TL16'!$C$238:$C$451,$C271,'TL16'!$J$238:$J$451),0),
IF('TL17'!$B$3=P$3,SUMIF('TL17'!$C$10:$C$224,$C271,'TL17'!$J$10:$J$224),0),
IF('TL17'!$B$229=P$3,SUMIF('TL17'!$C$238:$C$451,$C271,'TL17'!$J$238:$J$451),0),
IF('TL18'!$B$3=P$3,SUMIF('TL18'!$C$10:$C$224,$C271,'TL18'!$J$10:$J$224),0),
IF('TL18'!$B$229=P$3,SUMIF('TL18'!$C$238:$C$451,$C271,'TL18'!$J$238:$J$451),0),
IF('TL19'!$B$3=P$3,SUMIF('TL19'!$C$10:$C$224,$C271,'TL19'!$J$10:$J$224),0),
IF('TL19'!$B$229=P$3,SUMIF('TL19'!$C$238:$C$451,$C271,'TL19'!$J$238:$J$451),0)
),0)</f>
        <v>0</v>
      </c>
      <c r="Q271" s="9">
        <f>IFERROR(SUM(
IF('TL01'!$B$3=Q$3,SUMIF('TL01'!$C$10:$C$224,$C271,'TL01'!$J$10:$J$224),0),
IF('TL01'!$B$229=Q$3,SUMIF('TL01'!$C$238:$C$451,$C271,'TL01'!$J$238:$J$451),0),
IF('TL02'!$B$3=Q$3,SUMIF('TL02'!$C$10:$C$224,$C271,'TL02'!$J$10:$J$224),0),
IF('TL02'!$B$229=Q$3,SUMIF('TL02'!$C$238:$C$451,$C271,'TL02'!$J$238:$J$451),0),
IF('TL03'!$B$3=Q$3,SUMIF('TL03'!$C$10:$C$224,$C271,'TL03'!$J$10:$J$224),0),
IF('TL03'!$B$229=Q$3,SUMIF('TL03'!$C$238:$C$451,$C271,'TL03'!$J$238:$J$451),0),
IF('TL04'!$B$3=Q$3,SUMIF('TL04'!$C$10:$C$224,$C271,'TL04'!$J$10:$J$224),0),
IF('TL04'!$B$229=Q$3,SUMIF('TL04'!$C$238:$C$451,$C271,'TL04'!$J$238:$J$451),0),
IF('TL05'!$B$3=Q$3,SUMIF('TL05'!$C$10:$C$224,$C271,'TL05'!$J$10:$J$224),0),
IF('TL05'!$B$229=Q$3,SUMIF('TL05'!$C$238:$C$451,$C271,'TL05'!$J$238:$J$451),0),
IF('TL06'!$B$3=Q$3,SUMIF('TL06'!$C$10:$C$224,$C271,'TL06'!$J$10:$J$224),0),
IF('TL06'!$B$229=Q$3,SUMIF('TL06'!$C$238:$C$451,$C271,'TL06'!$J$238:$J$451),0),
IF('TL07'!$B$3=Q$3,SUMIF('TL07'!$C$10:$C$224,$C271,'TL07'!$J$10:$J$224),0),
IF('TL07'!$B$229=Q$3,SUMIF('TL07'!$C$238:$C$451,$C271,'TL07'!$J$238:$J$451),0),
IF('TL08'!$B$3=Q$3,SUMIF('TL08'!$C$10:$C$224,$C271,'TL08'!$J$10:$J$224),0),
IF('TL08'!$B$229=Q$3,SUMIF('TL08'!$C$238:$C$451,$C271,'TL08'!$J$238:$J$451),0),
IF('TL09'!$B$3=Q$3,SUMIF('TL09'!$C$10:$C$224,$C271,'TL09'!$J$10:$J$224),0),
IF('TL09'!$B$229=Q$3,SUMIF('TL09'!$C$238:$C$451,$C271,'TL09'!$J$238:$J$451),0),
IF('TL10'!$B$3=Q$3,SUMIF('TL10'!$C$10:$C$224,$C271,'TL10'!$J$10:$J$224),0),
IF('TL10'!$B$229=Q$3,SUMIF('TL10'!$C$238:$C$451,$C271,'TL10'!$J$238:$J$451),0),
IF('TL11'!$B$3=Q$3,SUMIF('TL11'!$C$10:$C$224,$C271,'TL11'!$J$10:$J$224),0),
IF('TL11'!$B$229=Q$3,SUMIF('TL11'!$C$238:$C$451,$C271,'TL11'!$J$238:$J$451),0),
IF('TL12'!$B$3=Q$3,SUMIF('TL12'!$C$10:$C$224,$C271,'TL12'!$J$10:$J$224),0),
IF('TL12'!$B$229=Q$3,SUMIF('TL12'!$C$238:$C$451,$C271,'TL12'!$J$238:$J$451),0),
IF('TL13'!$B$3=Q$3,SUMIF('TL13'!$C$10:$C$224,$C271,'TL13'!$J$10:$J$224),0),
IF('TL13'!$B$229=Q$3,SUMIF('TL13'!$C$238:$C$451,$C271,'TL13'!$J$238:$J$451),0),
IF('TL14'!$B$3=Q$3,SUMIF('TL14'!$C$10:$C$224,$C271,'TL14'!$J$10:$J$224),0),
IF('TL14'!$B$229=Q$3,SUMIF('TL14'!$C$238:$C$451,$C271,'TL14'!$J$238:$J$451),0),
IF('TL15'!$B$3=Q$3,SUMIF('TL15'!$C$10:$C$224,$C271,'TL15'!$J$10:$J$224),0),
IF('TL15'!$B$229=Q$3,SUMIF('TL15'!$C$238:$C$451,$C271,'TL15'!$J$238:$J$451),0),
IF('TL16'!$B$3=Q$3,SUMIF('TL16'!$C$10:$C$224,$C271,'TL16'!$J$10:$J$224),0),
IF('TL16'!$B$229=Q$3,SUMIF('TL16'!$C$238:$C$451,$C271,'TL16'!$J$238:$J$451),0),
IF('TL17'!$B$3=Q$3,SUMIF('TL17'!$C$10:$C$224,$C271,'TL17'!$J$10:$J$224),0),
IF('TL17'!$B$229=Q$3,SUMIF('TL17'!$C$238:$C$451,$C271,'TL17'!$J$238:$J$451),0),
IF('TL18'!$B$3=Q$3,SUMIF('TL18'!$C$10:$C$224,$C271,'TL18'!$J$10:$J$224),0),
IF('TL18'!$B$229=Q$3,SUMIF('TL18'!$C$238:$C$451,$C271,'TL18'!$J$238:$J$451),0),
IF('TL19'!$B$3=Q$3,SUMIF('TL19'!$C$10:$C$224,$C271,'TL19'!$J$10:$J$224),0),
IF('TL19'!$B$229=Q$3,SUMIF('TL19'!$C$238:$C$451,$C271,'TL19'!$J$238:$J$451),0)
),0)</f>
        <v>0</v>
      </c>
      <c r="R271" s="9">
        <f>IFERROR(
SUM(
SUMIF('TL01'!C:C,C271,'TL01'!J:J),
SUMIF('TL02'!C:C,C271,'TL02'!J:J),
SUMIF('TL03'!C:C,C271,'TL03'!J:J),
SUMIF('TL04'!C:C,C271,'TL04'!J:J),
SUMIF('TL05'!C:C,C271,'TL05'!J:J),
SUMIF('TL06'!C:C,C271,'TL06'!J:J),
SUMIF('TL07'!C:C,C271,'TL07'!J:J),
SUMIF('TL08'!C:C,C271,'TL08'!J:J),
SUMIF('TL09'!C:C,C271,'TL09'!J:J),
SUMIF('TL10'!C:C,C271,'TL10'!J:J),
SUMIF('TL11'!C:C,C271,'TL11'!J:J),
SUMIF('TL12'!C:C,C271,'TL12'!J:J),
SUMIF('TL13'!C:C,C271,'TL13'!J:J),
SUMIF('TL14'!C:C,C271,'TL14'!J:J),
SUMIF('TL15'!C:C,C271,'TL15'!J:J),
SUMIF('TL16'!C:C,C271,'TL16'!J:J),
SUMIF('TL17'!C:C,C271,'TL17'!J:J),
SUMIF('TL18'!C:C,C271,'TL18'!J:J),SUMIF('TL19'!C:C,C271,'TL19'!J:J))
,0)</f>
        <v>0</v>
      </c>
      <c r="S271" s="17">
        <f>IFERROR(__xludf.DUMMYFUNCTION("IFERROR(VLOOKUP(C271,
IMPORTRANGE(""1wULbzX32WdYsx-lj2U3uUNBBe2INVIRDtcK0d-Dvl90"",
""26-27!C:G""),
5,
FALSE),
"""")"),50.0)</f>
        <v>50</v>
      </c>
      <c r="T271" s="9"/>
      <c r="U271" s="92">
        <f t="shared" si="2"/>
        <v>0</v>
      </c>
      <c r="V271" s="93">
        <f t="shared" si="3"/>
        <v>0</v>
      </c>
    </row>
    <row r="272" ht="15.75" hidden="1" customHeight="1">
      <c r="A272" s="4" t="s">
        <v>961</v>
      </c>
      <c r="B272" s="125" t="s">
        <v>9</v>
      </c>
      <c r="C272" s="4" t="s">
        <v>968</v>
      </c>
      <c r="D272" s="4" t="s">
        <v>969</v>
      </c>
      <c r="E272" s="9"/>
      <c r="F272" s="4" t="s">
        <v>343</v>
      </c>
      <c r="G272" s="9"/>
      <c r="H272" s="9">
        <v>0.4</v>
      </c>
      <c r="I272" s="1"/>
      <c r="J272" s="9">
        <f>IFERROR(SUM(
IF('TL01'!$B$3=J$3,SUMIF('TL01'!$C$10:$C$224,$C272,'TL01'!$J$10:$J$224),0),
IF('TL01'!$B$229=J$3,SUMIF('TL01'!$C$238:$C$451,$C272,'TL01'!$J$238:$J$451),0),
IF('TL02'!$B$3=J$3,SUMIF('TL02'!$C$10:$C$224,$C272,'TL02'!$J$10:$J$224),0),
IF('TL02'!$B$229=J$3,SUMIF('TL02'!$C$238:$C$451,$C272,'TL02'!$J$238:$J$451),0),
IF('TL03'!$B$3=J$3,SUMIF('TL03'!$C$10:$C$224,$C272,'TL03'!$J$10:$J$224),0),
IF('TL03'!$B$229=J$3,SUMIF('TL03'!$C$238:$C$451,$C272,'TL03'!$J$238:$J$451),0),
IF('TL04'!$B$3=J$3,SUMIF('TL04'!$C$10:$C$224,$C272,'TL04'!$J$10:$J$224),0),
IF('TL04'!$B$229=J$3,SUMIF('TL04'!$C$238:$C$451,$C272,'TL04'!$J$238:$J$451),0),
IF('TL05'!$B$3=J$3,SUMIF('TL05'!$C$10:$C$224,$C272,'TL05'!$J$10:$J$224),0),
IF('TL05'!$B$229=J$3,SUMIF('TL05'!$C$238:$C$451,$C272,'TL05'!$J$238:$J$451),0),
IF('TL06'!$B$3=J$3,SUMIF('TL06'!$C$10:$C$224,$C272,'TL06'!$J$10:$J$224),0),
IF('TL06'!$B$229=J$3,SUMIF('TL06'!$C$238:$C$451,$C272,'TL06'!$J$238:$J$451),0),
IF('TL07'!$B$3=J$3,SUMIF('TL07'!$C$10:$C$224,$C272,'TL07'!$J$10:$J$224),0),
IF('TL07'!$B$229=J$3,SUMIF('TL07'!$C$238:$C$451,$C272,'TL07'!$J$238:$J$451),0),
IF('TL08'!$B$3=J$3,SUMIF('TL08'!$C$10:$C$224,$C272,'TL08'!$J$10:$J$224),0),
IF('TL08'!$B$229=J$3,SUMIF('TL08'!$C$238:$C$451,$C272,'TL08'!$J$238:$J$451),0),
IF('TL09'!$B$3=J$3,SUMIF('TL09'!$C$10:$C$224,$C272,'TL09'!$J$10:$J$224),0),
IF('TL09'!$B$229=J$3,SUMIF('TL09'!$C$238:$C$451,$C272,'TL09'!$J$238:$J$451),0),
IF('TL10'!$B$3=J$3,SUMIF('TL10'!$C$10:$C$224,$C272,'TL10'!$J$10:$J$224),0),
IF('TL10'!$B$229=J$3,SUMIF('TL10'!$C$238:$C$451,$C272,'TL10'!$J$238:$J$451),0),
IF('TL11'!$B$3=J$3,SUMIF('TL11'!$C$10:$C$224,$C272,'TL11'!$J$10:$J$224),0),
IF('TL11'!$B$229=J$3,SUMIF('TL11'!$C$238:$C$451,$C272,'TL11'!$J$238:$J$451),0),
IF('TL12'!$B$3=J$3,SUMIF('TL12'!$C$10:$C$224,$C272,'TL12'!$J$10:$J$224),0),
IF('TL12'!$B$229=J$3,SUMIF('TL12'!$C$238:$C$451,$C272,'TL12'!$J$238:$J$451),0),
IF('TL13'!$B$3=J$3,SUMIF('TL13'!$C$10:$C$224,$C272,'TL13'!$J$10:$J$224),0),
IF('TL13'!$B$229=J$3,SUMIF('TL13'!$C$238:$C$451,$C272,'TL13'!$J$238:$J$451),0),
IF('TL14'!$B$3=J$3,SUMIF('TL14'!$C$10:$C$224,$C272,'TL14'!$J$10:$J$224),0),
IF('TL14'!$B$229=J$3,SUMIF('TL14'!$C$238:$C$451,$C272,'TL14'!$J$238:$J$451),0),
IF('TL15'!$B$3=J$3,SUMIF('TL15'!$C$10:$C$224,$C272,'TL15'!$J$10:$J$224),0),
IF('TL15'!$B$229=J$3,SUMIF('TL15'!$C$238:$C$451,$C272,'TL15'!$J$238:$J$451),0),
IF('TL16'!$B$3=J$3,SUMIF('TL16'!$C$10:$C$224,$C272,'TL16'!$J$10:$J$224),0),
IF('TL16'!$B$229=J$3,SUMIF('TL16'!$C$238:$C$451,$C272,'TL16'!$J$238:$J$451),0),
IF('TL17'!$B$3=J$3,SUMIF('TL17'!$C$10:$C$224,$C272,'TL17'!$J$10:$J$224),0),
IF('TL17'!$B$229=J$3,SUMIF('TL17'!$C$238:$C$451,$C272,'TL17'!$J$238:$J$451),0),
IF('TL18'!$B$3=J$3,SUMIF('TL18'!$C$10:$C$224,$C272,'TL18'!$J$10:$J$224),0),
IF('TL18'!$B$229=J$3,SUMIF('TL18'!$C$238:$C$451,$C272,'TL18'!$J$238:$J$451),0),
IF('TL19'!$B$3=J$3,SUMIF('TL19'!$C$10:$C$224,$C272,'TL19'!$J$10:$J$224),0),
IF('TL19'!$B$229=J$3,SUMIF('TL19'!$C$238:$C$451,$C272,'TL19'!$J$238:$J$451),0)
),0)</f>
        <v>0</v>
      </c>
      <c r="K272" s="9">
        <f>IFERROR(SUM(
IF('TL01'!$B$3=K$3,SUMIF('TL01'!$C$10:$C$224,$C272,'TL01'!$J$10:$J$224),0),
IF('TL01'!$B$229=K$3,SUMIF('TL01'!$C$238:$C$451,$C272,'TL01'!$J$238:$J$451),0),
IF('TL02'!$B$3=K$3,SUMIF('TL02'!$C$10:$C$224,$C272,'TL02'!$J$10:$J$224),0),
IF('TL02'!$B$229=K$3,SUMIF('TL02'!$C$238:$C$451,$C272,'TL02'!$J$238:$J$451),0),
IF('TL03'!$B$3=K$3,SUMIF('TL03'!$C$10:$C$224,$C272,'TL03'!$J$10:$J$224),0),
IF('TL03'!$B$229=K$3,SUMIF('TL03'!$C$238:$C$451,$C272,'TL03'!$J$238:$J$451),0),
IF('TL04'!$B$3=K$3,SUMIF('TL04'!$C$10:$C$224,$C272,'TL04'!$J$10:$J$224),0),
IF('TL04'!$B$229=K$3,SUMIF('TL04'!$C$238:$C$451,$C272,'TL04'!$J$238:$J$451),0),
IF('TL05'!$B$3=K$3,SUMIF('TL05'!$C$10:$C$224,$C272,'TL05'!$J$10:$J$224),0),
IF('TL05'!$B$229=K$3,SUMIF('TL05'!$C$238:$C$451,$C272,'TL05'!$J$238:$J$451),0),
IF('TL06'!$B$3=K$3,SUMIF('TL06'!$C$10:$C$224,$C272,'TL06'!$J$10:$J$224),0),
IF('TL06'!$B$229=K$3,SUMIF('TL06'!$C$238:$C$451,$C272,'TL06'!$J$238:$J$451),0),
IF('TL07'!$B$3=K$3,SUMIF('TL07'!$C$10:$C$224,$C272,'TL07'!$J$10:$J$224),0),
IF('TL07'!$B$229=K$3,SUMIF('TL07'!$C$238:$C$451,$C272,'TL07'!$J$238:$J$451),0),
IF('TL08'!$B$3=K$3,SUMIF('TL08'!$C$10:$C$224,$C272,'TL08'!$J$10:$J$224),0),
IF('TL08'!$B$229=K$3,SUMIF('TL08'!$C$238:$C$451,$C272,'TL08'!$J$238:$J$451),0),
IF('TL09'!$B$3=K$3,SUMIF('TL09'!$C$10:$C$224,$C272,'TL09'!$J$10:$J$224),0),
IF('TL09'!$B$229=K$3,SUMIF('TL09'!$C$238:$C$451,$C272,'TL09'!$J$238:$J$451),0),
IF('TL10'!$B$3=K$3,SUMIF('TL10'!$C$10:$C$224,$C272,'TL10'!$J$10:$J$224),0),
IF('TL10'!$B$229=K$3,SUMIF('TL10'!$C$238:$C$451,$C272,'TL10'!$J$238:$J$451),0),
IF('TL11'!$B$3=K$3,SUMIF('TL11'!$C$10:$C$224,$C272,'TL11'!$J$10:$J$224),0),
IF('TL11'!$B$229=K$3,SUMIF('TL11'!$C$238:$C$451,$C272,'TL11'!$J$238:$J$451),0),
IF('TL12'!$B$3=K$3,SUMIF('TL12'!$C$10:$C$224,$C272,'TL12'!$J$10:$J$224),0),
IF('TL12'!$B$229=K$3,SUMIF('TL12'!$C$238:$C$451,$C272,'TL12'!$J$238:$J$451),0),
IF('TL13'!$B$3=K$3,SUMIF('TL13'!$C$10:$C$224,$C272,'TL13'!$J$10:$J$224),0),
IF('TL13'!$B$229=K$3,SUMIF('TL13'!$C$238:$C$451,$C272,'TL13'!$J$238:$J$451),0),
IF('TL14'!$B$3=K$3,SUMIF('TL14'!$C$10:$C$224,$C272,'TL14'!$J$10:$J$224),0),
IF('TL14'!$B$229=K$3,SUMIF('TL14'!$C$238:$C$451,$C272,'TL14'!$J$238:$J$451),0),
IF('TL15'!$B$3=K$3,SUMIF('TL15'!$C$10:$C$224,$C272,'TL15'!$J$10:$J$224),0),
IF('TL15'!$B$229=K$3,SUMIF('TL15'!$C$238:$C$451,$C272,'TL15'!$J$238:$J$451),0),
IF('TL16'!$B$3=K$3,SUMIF('TL16'!$C$10:$C$224,$C272,'TL16'!$J$10:$J$224),0),
IF('TL16'!$B$229=K$3,SUMIF('TL16'!$C$238:$C$451,$C272,'TL16'!$J$238:$J$451),0),
IF('TL17'!$B$3=K$3,SUMIF('TL17'!$C$10:$C$224,$C272,'TL17'!$J$10:$J$224),0),
IF('TL17'!$B$229=K$3,SUMIF('TL17'!$C$238:$C$451,$C272,'TL17'!$J$238:$J$451),0),
IF('TL18'!$B$3=K$3,SUMIF('TL18'!$C$10:$C$224,$C272,'TL18'!$J$10:$J$224),0),
IF('TL18'!$B$229=K$3,SUMIF('TL18'!$C$238:$C$451,$C272,'TL18'!$J$238:$J$451),0),
IF('TL19'!$B$3=K$3,SUMIF('TL19'!$C$10:$C$224,$C272,'TL19'!$J$10:$J$224),0),
IF('TL19'!$B$229=K$3,SUMIF('TL19'!$C$238:$C$451,$C272,'TL19'!$J$238:$J$451),0)
),0)</f>
        <v>0</v>
      </c>
      <c r="L272" s="9">
        <f>IFERROR(SUM(
IF('TL01'!$B$3=L$3,SUMIF('TL01'!$C$10:$C$224,$C272,'TL01'!$J$10:$J$224),0),
IF('TL01'!$B$229=L$3,SUMIF('TL01'!$C$238:$C$451,$C272,'TL01'!$J$238:$J$451),0),
IF('TL02'!$B$3=L$3,SUMIF('TL02'!$C$10:$C$224,$C272,'TL02'!$J$10:$J$224),0),
IF('TL02'!$B$229=L$3,SUMIF('TL02'!$C$238:$C$451,$C272,'TL02'!$J$238:$J$451),0),
IF('TL03'!$B$3=L$3,SUMIF('TL03'!$C$10:$C$224,$C272,'TL03'!$J$10:$J$224),0),
IF('TL03'!$B$229=L$3,SUMIF('TL03'!$C$238:$C$451,$C272,'TL03'!$J$238:$J$451),0),
IF('TL04'!$B$3=L$3,SUMIF('TL04'!$C$10:$C$224,$C272,'TL04'!$J$10:$J$224),0),
IF('TL04'!$B$229=L$3,SUMIF('TL04'!$C$238:$C$451,$C272,'TL04'!$J$238:$J$451),0),
IF('TL05'!$B$3=L$3,SUMIF('TL05'!$C$10:$C$224,$C272,'TL05'!$J$10:$J$224),0),
IF('TL05'!$B$229=L$3,SUMIF('TL05'!$C$238:$C$451,$C272,'TL05'!$J$238:$J$451),0),
IF('TL06'!$B$3=L$3,SUMIF('TL06'!$C$10:$C$224,$C272,'TL06'!$J$10:$J$224),0),
IF('TL06'!$B$229=L$3,SUMIF('TL06'!$C$238:$C$451,$C272,'TL06'!$J$238:$J$451),0),
IF('TL07'!$B$3=L$3,SUMIF('TL07'!$C$10:$C$224,$C272,'TL07'!$J$10:$J$224),0),
IF('TL07'!$B$229=L$3,SUMIF('TL07'!$C$238:$C$451,$C272,'TL07'!$J$238:$J$451),0),
IF('TL08'!$B$3=L$3,SUMIF('TL08'!$C$10:$C$224,$C272,'TL08'!$J$10:$J$224),0),
IF('TL08'!$B$229=L$3,SUMIF('TL08'!$C$238:$C$451,$C272,'TL08'!$J$238:$J$451),0),
IF('TL09'!$B$3=L$3,SUMIF('TL09'!$C$10:$C$224,$C272,'TL09'!$J$10:$J$224),0),
IF('TL09'!$B$229=L$3,SUMIF('TL09'!$C$238:$C$451,$C272,'TL09'!$J$238:$J$451),0),
IF('TL10'!$B$3=L$3,SUMIF('TL10'!$C$10:$C$224,$C272,'TL10'!$J$10:$J$224),0),
IF('TL10'!$B$229=L$3,SUMIF('TL10'!$C$238:$C$451,$C272,'TL10'!$J$238:$J$451),0),
IF('TL11'!$B$3=L$3,SUMIF('TL11'!$C$10:$C$224,$C272,'TL11'!$J$10:$J$224),0),
IF('TL11'!$B$229=L$3,SUMIF('TL11'!$C$238:$C$451,$C272,'TL11'!$J$238:$J$451),0),
IF('TL12'!$B$3=L$3,SUMIF('TL12'!$C$10:$C$224,$C272,'TL12'!$J$10:$J$224),0),
IF('TL12'!$B$229=L$3,SUMIF('TL12'!$C$238:$C$451,$C272,'TL12'!$J$238:$J$451),0),
IF('TL13'!$B$3=L$3,SUMIF('TL13'!$C$10:$C$224,$C272,'TL13'!$J$10:$J$224),0),
IF('TL13'!$B$229=L$3,SUMIF('TL13'!$C$238:$C$451,$C272,'TL13'!$J$238:$J$451),0),
IF('TL14'!$B$3=L$3,SUMIF('TL14'!$C$10:$C$224,$C272,'TL14'!$J$10:$J$224),0),
IF('TL14'!$B$229=L$3,SUMIF('TL14'!$C$238:$C$451,$C272,'TL14'!$J$238:$J$451),0),
IF('TL15'!$B$3=L$3,SUMIF('TL15'!$C$10:$C$224,$C272,'TL15'!$J$10:$J$224),0),
IF('TL15'!$B$229=L$3,SUMIF('TL15'!$C$238:$C$451,$C272,'TL15'!$J$238:$J$451),0),
IF('TL16'!$B$3=L$3,SUMIF('TL16'!$C$10:$C$224,$C272,'TL16'!$J$10:$J$224),0),
IF('TL16'!$B$229=L$3,SUMIF('TL16'!$C$238:$C$451,$C272,'TL16'!$J$238:$J$451),0),
IF('TL17'!$B$3=L$3,SUMIF('TL17'!$C$10:$C$224,$C272,'TL17'!$J$10:$J$224),0),
IF('TL17'!$B$229=L$3,SUMIF('TL17'!$C$238:$C$451,$C272,'TL17'!$J$238:$J$451),0),
IF('TL18'!$B$3=L$3,SUMIF('TL18'!$C$10:$C$224,$C272,'TL18'!$J$10:$J$224),0),
IF('TL18'!$B$229=L$3,SUMIF('TL18'!$C$238:$C$451,$C272,'TL18'!$J$238:$J$451),0),
IF('TL19'!$B$3=L$3,SUMIF('TL19'!$C$10:$C$224,$C272,'TL19'!$J$10:$J$224),0),
IF('TL19'!$B$229=L$3,SUMIF('TL19'!$C$238:$C$451,$C272,'TL19'!$J$238:$J$451),0)
),0)</f>
        <v>0</v>
      </c>
      <c r="M272" s="9">
        <f>IFERROR(SUM(
IF('TL01'!$B$3=M$3,SUMIF('TL01'!$C$10:$C$224,$C272,'TL01'!$J$10:$J$224),0),
IF('TL01'!$B$229=M$3,SUMIF('TL01'!$C$238:$C$451,$C272,'TL01'!$J$238:$J$451),0),
IF('TL02'!$B$3=M$3,SUMIF('TL02'!$C$10:$C$224,$C272,'TL02'!$J$10:$J$224),0),
IF('TL02'!$B$229=M$3,SUMIF('TL02'!$C$238:$C$451,$C272,'TL02'!$J$238:$J$451),0),
IF('TL03'!$B$3=M$3,SUMIF('TL03'!$C$10:$C$224,$C272,'TL03'!$J$10:$J$224),0),
IF('TL03'!$B$229=M$3,SUMIF('TL03'!$C$238:$C$451,$C272,'TL03'!$J$238:$J$451),0),
IF('TL04'!$B$3=M$3,SUMIF('TL04'!$C$10:$C$224,$C272,'TL04'!$J$10:$J$224),0),
IF('TL04'!$B$229=M$3,SUMIF('TL04'!$C$238:$C$451,$C272,'TL04'!$J$238:$J$451),0),
IF('TL05'!$B$3=M$3,SUMIF('TL05'!$C$10:$C$224,$C272,'TL05'!$J$10:$J$224),0),
IF('TL05'!$B$229=M$3,SUMIF('TL05'!$C$238:$C$451,$C272,'TL05'!$J$238:$J$451),0),
IF('TL06'!$B$3=M$3,SUMIF('TL06'!$C$10:$C$224,$C272,'TL06'!$J$10:$J$224),0),
IF('TL06'!$B$229=M$3,SUMIF('TL06'!$C$238:$C$451,$C272,'TL06'!$J$238:$J$451),0),
IF('TL07'!$B$3=M$3,SUMIF('TL07'!$C$10:$C$224,$C272,'TL07'!$J$10:$J$224),0),
IF('TL07'!$B$229=M$3,SUMIF('TL07'!$C$238:$C$451,$C272,'TL07'!$J$238:$J$451),0),
IF('TL08'!$B$3=M$3,SUMIF('TL08'!$C$10:$C$224,$C272,'TL08'!$J$10:$J$224),0),
IF('TL08'!$B$229=M$3,SUMIF('TL08'!$C$238:$C$451,$C272,'TL08'!$J$238:$J$451),0),
IF('TL09'!$B$3=M$3,SUMIF('TL09'!$C$10:$C$224,$C272,'TL09'!$J$10:$J$224),0),
IF('TL09'!$B$229=M$3,SUMIF('TL09'!$C$238:$C$451,$C272,'TL09'!$J$238:$J$451),0),
IF('TL10'!$B$3=M$3,SUMIF('TL10'!$C$10:$C$224,$C272,'TL10'!$J$10:$J$224),0),
IF('TL10'!$B$229=M$3,SUMIF('TL10'!$C$238:$C$451,$C272,'TL10'!$J$238:$J$451),0),
IF('TL11'!$B$3=M$3,SUMIF('TL11'!$C$10:$C$224,$C272,'TL11'!$J$10:$J$224),0),
IF('TL11'!$B$229=M$3,SUMIF('TL11'!$C$238:$C$451,$C272,'TL11'!$J$238:$J$451),0),
IF('TL12'!$B$3=M$3,SUMIF('TL12'!$C$10:$C$224,$C272,'TL12'!$J$10:$J$224),0),
IF('TL12'!$B$229=M$3,SUMIF('TL12'!$C$238:$C$451,$C272,'TL12'!$J$238:$J$451),0),
IF('TL13'!$B$3=M$3,SUMIF('TL13'!$C$10:$C$224,$C272,'TL13'!$J$10:$J$224),0),
IF('TL13'!$B$229=M$3,SUMIF('TL13'!$C$238:$C$451,$C272,'TL13'!$J$238:$J$451),0),
IF('TL14'!$B$3=M$3,SUMIF('TL14'!$C$10:$C$224,$C272,'TL14'!$J$10:$J$224),0),
IF('TL14'!$B$229=M$3,SUMIF('TL14'!$C$238:$C$451,$C272,'TL14'!$J$238:$J$451),0),
IF('TL15'!$B$3=M$3,SUMIF('TL15'!$C$10:$C$224,$C272,'TL15'!$J$10:$J$224),0),
IF('TL15'!$B$229=M$3,SUMIF('TL15'!$C$238:$C$451,$C272,'TL15'!$J$238:$J$451),0),
IF('TL16'!$B$3=M$3,SUMIF('TL16'!$C$10:$C$224,$C272,'TL16'!$J$10:$J$224),0),
IF('TL16'!$B$229=M$3,SUMIF('TL16'!$C$238:$C$451,$C272,'TL16'!$J$238:$J$451),0),
IF('TL17'!$B$3=M$3,SUMIF('TL17'!$C$10:$C$224,$C272,'TL17'!$J$10:$J$224),0),
IF('TL17'!$B$229=M$3,SUMIF('TL17'!$C$238:$C$451,$C272,'TL17'!$J$238:$J$451),0),
IF('TL18'!$B$3=M$3,SUMIF('TL18'!$C$10:$C$224,$C272,'TL18'!$J$10:$J$224),0),
IF('TL18'!$B$229=M$3,SUMIF('TL18'!$C$238:$C$451,$C272,'TL18'!$J$238:$J$451),0),
IF('TL19'!$B$3=M$3,SUMIF('TL19'!$C$10:$C$224,$C272,'TL19'!$J$10:$J$224),0),
IF('TL19'!$B$229=M$3,SUMIF('TL19'!$C$238:$C$451,$C272,'TL19'!$J$238:$J$451),0)
),0)</f>
        <v>0</v>
      </c>
      <c r="N272" s="9">
        <f>IFERROR(SUM(
IF('TL01'!$B$3=N$3,SUMIF('TL01'!$C$10:$C$224,$C272,'TL01'!$J$10:$J$224),0),
IF('TL01'!$B$229=N$3,SUMIF('TL01'!$C$238:$C$451,$C272,'TL01'!$J$238:$J$451),0),
IF('TL02'!$B$3=N$3,SUMIF('TL02'!$C$10:$C$224,$C272,'TL02'!$J$10:$J$224),0),
IF('TL02'!$B$229=N$3,SUMIF('TL02'!$C$238:$C$451,$C272,'TL02'!$J$238:$J$451),0),
IF('TL03'!$B$3=N$3,SUMIF('TL03'!$C$10:$C$224,$C272,'TL03'!$J$10:$J$224),0),
IF('TL03'!$B$229=N$3,SUMIF('TL03'!$C$238:$C$451,$C272,'TL03'!$J$238:$J$451),0),
IF('TL04'!$B$3=N$3,SUMIF('TL04'!$C$10:$C$224,$C272,'TL04'!$J$10:$J$224),0),
IF('TL04'!$B$229=N$3,SUMIF('TL04'!$C$238:$C$451,$C272,'TL04'!$J$238:$J$451),0),
IF('TL05'!$B$3=N$3,SUMIF('TL05'!$C$10:$C$224,$C272,'TL05'!$J$10:$J$224),0),
IF('TL05'!$B$229=N$3,SUMIF('TL05'!$C$238:$C$451,$C272,'TL05'!$J$238:$J$451),0),
IF('TL06'!$B$3=N$3,SUMIF('TL06'!$C$10:$C$224,$C272,'TL06'!$J$10:$J$224),0),
IF('TL06'!$B$229=N$3,SUMIF('TL06'!$C$238:$C$451,$C272,'TL06'!$J$238:$J$451),0),
IF('TL07'!$B$3=N$3,SUMIF('TL07'!$C$10:$C$224,$C272,'TL07'!$J$10:$J$224),0),
IF('TL07'!$B$229=N$3,SUMIF('TL07'!$C$238:$C$451,$C272,'TL07'!$J$238:$J$451),0),
IF('TL08'!$B$3=N$3,SUMIF('TL08'!$C$10:$C$224,$C272,'TL08'!$J$10:$J$224),0),
IF('TL08'!$B$229=N$3,SUMIF('TL08'!$C$238:$C$451,$C272,'TL08'!$J$238:$J$451),0),
IF('TL09'!$B$3=N$3,SUMIF('TL09'!$C$10:$C$224,$C272,'TL09'!$J$10:$J$224),0),
IF('TL09'!$B$229=N$3,SUMIF('TL09'!$C$238:$C$451,$C272,'TL09'!$J$238:$J$451),0),
IF('TL10'!$B$3=N$3,SUMIF('TL10'!$C$10:$C$224,$C272,'TL10'!$J$10:$J$224),0),
IF('TL10'!$B$229=N$3,SUMIF('TL10'!$C$238:$C$451,$C272,'TL10'!$J$238:$J$451),0),
IF('TL11'!$B$3=N$3,SUMIF('TL11'!$C$10:$C$224,$C272,'TL11'!$J$10:$J$224),0),
IF('TL11'!$B$229=N$3,SUMIF('TL11'!$C$238:$C$451,$C272,'TL11'!$J$238:$J$451),0),
IF('TL12'!$B$3=N$3,SUMIF('TL12'!$C$10:$C$224,$C272,'TL12'!$J$10:$J$224),0),
IF('TL12'!$B$229=N$3,SUMIF('TL12'!$C$238:$C$451,$C272,'TL12'!$J$238:$J$451),0),
IF('TL13'!$B$3=N$3,SUMIF('TL13'!$C$10:$C$224,$C272,'TL13'!$J$10:$J$224),0),
IF('TL13'!$B$229=N$3,SUMIF('TL13'!$C$238:$C$451,$C272,'TL13'!$J$238:$J$451),0),
IF('TL14'!$B$3=N$3,SUMIF('TL14'!$C$10:$C$224,$C272,'TL14'!$J$10:$J$224),0),
IF('TL14'!$B$229=N$3,SUMIF('TL14'!$C$238:$C$451,$C272,'TL14'!$J$238:$J$451),0),
IF('TL15'!$B$3=N$3,SUMIF('TL15'!$C$10:$C$224,$C272,'TL15'!$J$10:$J$224),0),
IF('TL15'!$B$229=N$3,SUMIF('TL15'!$C$238:$C$451,$C272,'TL15'!$J$238:$J$451),0),
IF('TL16'!$B$3=N$3,SUMIF('TL16'!$C$10:$C$224,$C272,'TL16'!$J$10:$J$224),0),
IF('TL16'!$B$229=N$3,SUMIF('TL16'!$C$238:$C$451,$C272,'TL16'!$J$238:$J$451),0),
IF('TL17'!$B$3=N$3,SUMIF('TL17'!$C$10:$C$224,$C272,'TL17'!$J$10:$J$224),0),
IF('TL17'!$B$229=N$3,SUMIF('TL17'!$C$238:$C$451,$C272,'TL17'!$J$238:$J$451),0),
IF('TL18'!$B$3=N$3,SUMIF('TL18'!$C$10:$C$224,$C272,'TL18'!$J$10:$J$224),0),
IF('TL18'!$B$229=N$3,SUMIF('TL18'!$C$238:$C$451,$C272,'TL18'!$J$238:$J$451),0),
IF('TL19'!$B$3=N$3,SUMIF('TL19'!$C$10:$C$224,$C272,'TL19'!$J$10:$J$224),0),
IF('TL19'!$B$229=N$3,SUMIF('TL19'!$C$238:$C$451,$C272,'TL19'!$J$238:$J$451),0)
),0)</f>
        <v>0</v>
      </c>
      <c r="O272" s="9">
        <f>IFERROR(SUM(
IF('TL01'!$B$3=O$3,SUMIF('TL01'!$C$10:$C$224,$C272,'TL01'!$J$10:$J$224),0),
IF('TL01'!$B$229=O$3,SUMIF('TL01'!$C$238:$C$451,$C272,'TL01'!$J$238:$J$451),0),
IF('TL02'!$B$3=O$3,SUMIF('TL02'!$C$10:$C$224,$C272,'TL02'!$J$10:$J$224),0),
IF('TL02'!$B$229=O$3,SUMIF('TL02'!$C$238:$C$451,$C272,'TL02'!$J$238:$J$451),0),
IF('TL03'!$B$3=O$3,SUMIF('TL03'!$C$10:$C$224,$C272,'TL03'!$J$10:$J$224),0),
IF('TL03'!$B$229=O$3,SUMIF('TL03'!$C$238:$C$451,$C272,'TL03'!$J$238:$J$451),0),
IF('TL04'!$B$3=O$3,SUMIF('TL04'!$C$10:$C$224,$C272,'TL04'!$J$10:$J$224),0),
IF('TL04'!$B$229=O$3,SUMIF('TL04'!$C$238:$C$451,$C272,'TL04'!$J$238:$J$451),0),
IF('TL05'!$B$3=O$3,SUMIF('TL05'!$C$10:$C$224,$C272,'TL05'!$J$10:$J$224),0),
IF('TL05'!$B$229=O$3,SUMIF('TL05'!$C$238:$C$451,$C272,'TL05'!$J$238:$J$451),0),
IF('TL06'!$B$3=O$3,SUMIF('TL06'!$C$10:$C$224,$C272,'TL06'!$J$10:$J$224),0),
IF('TL06'!$B$229=O$3,SUMIF('TL06'!$C$238:$C$451,$C272,'TL06'!$J$238:$J$451),0),
IF('TL07'!$B$3=O$3,SUMIF('TL07'!$C$10:$C$224,$C272,'TL07'!$J$10:$J$224),0),
IF('TL07'!$B$229=O$3,SUMIF('TL07'!$C$238:$C$451,$C272,'TL07'!$J$238:$J$451),0),
IF('TL08'!$B$3=O$3,SUMIF('TL08'!$C$10:$C$224,$C272,'TL08'!$J$10:$J$224),0),
IF('TL08'!$B$229=O$3,SUMIF('TL08'!$C$238:$C$451,$C272,'TL08'!$J$238:$J$451),0),
IF('TL09'!$B$3=O$3,SUMIF('TL09'!$C$10:$C$224,$C272,'TL09'!$J$10:$J$224),0),
IF('TL09'!$B$229=O$3,SUMIF('TL09'!$C$238:$C$451,$C272,'TL09'!$J$238:$J$451),0),
IF('TL10'!$B$3=O$3,SUMIF('TL10'!$C$10:$C$224,$C272,'TL10'!$J$10:$J$224),0),
IF('TL10'!$B$229=O$3,SUMIF('TL10'!$C$238:$C$451,$C272,'TL10'!$J$238:$J$451),0),
IF('TL11'!$B$3=O$3,SUMIF('TL11'!$C$10:$C$224,$C272,'TL11'!$J$10:$J$224),0),
IF('TL11'!$B$229=O$3,SUMIF('TL11'!$C$238:$C$451,$C272,'TL11'!$J$238:$J$451),0),
IF('TL12'!$B$3=O$3,SUMIF('TL12'!$C$10:$C$224,$C272,'TL12'!$J$10:$J$224),0),
IF('TL12'!$B$229=O$3,SUMIF('TL12'!$C$238:$C$451,$C272,'TL12'!$J$238:$J$451),0),
IF('TL13'!$B$3=O$3,SUMIF('TL13'!$C$10:$C$224,$C272,'TL13'!$J$10:$J$224),0),
IF('TL13'!$B$229=O$3,SUMIF('TL13'!$C$238:$C$451,$C272,'TL13'!$J$238:$J$451),0),
IF('TL14'!$B$3=O$3,SUMIF('TL14'!$C$10:$C$224,$C272,'TL14'!$J$10:$J$224),0),
IF('TL14'!$B$229=O$3,SUMIF('TL14'!$C$238:$C$451,$C272,'TL14'!$J$238:$J$451),0),
IF('TL15'!$B$3=O$3,SUMIF('TL15'!$C$10:$C$224,$C272,'TL15'!$J$10:$J$224),0),
IF('TL15'!$B$229=O$3,SUMIF('TL15'!$C$238:$C$451,$C272,'TL15'!$J$238:$J$451),0),
IF('TL16'!$B$3=O$3,SUMIF('TL16'!$C$10:$C$224,$C272,'TL16'!$J$10:$J$224),0),
IF('TL16'!$B$229=O$3,SUMIF('TL16'!$C$238:$C$451,$C272,'TL16'!$J$238:$J$451),0),
IF('TL17'!$B$3=O$3,SUMIF('TL17'!$C$10:$C$224,$C272,'TL17'!$J$10:$J$224),0),
IF('TL17'!$B$229=O$3,SUMIF('TL17'!$C$238:$C$451,$C272,'TL17'!$J$238:$J$451),0),
IF('TL18'!$B$3=O$3,SUMIF('TL18'!$C$10:$C$224,$C272,'TL18'!$J$10:$J$224),0),
IF('TL18'!$B$229=O$3,SUMIF('TL18'!$C$238:$C$451,$C272,'TL18'!$J$238:$J$451),0),
IF('TL19'!$B$3=O$3,SUMIF('TL19'!$C$10:$C$224,$C272,'TL19'!$J$10:$J$224),0),
IF('TL19'!$B$229=O$3,SUMIF('TL19'!$C$238:$C$451,$C272,'TL19'!$J$238:$J$451),0)
),0)</f>
        <v>0</v>
      </c>
      <c r="P272" s="9">
        <f>IFERROR(SUM(
IF('TL01'!$B$3=P$3,SUMIF('TL01'!$C$10:$C$224,$C272,'TL01'!$J$10:$J$224),0),
IF('TL01'!$B$229=P$3,SUMIF('TL01'!$C$238:$C$451,$C272,'TL01'!$J$238:$J$451),0),
IF('TL02'!$B$3=P$3,SUMIF('TL02'!$C$10:$C$224,$C272,'TL02'!$J$10:$J$224),0),
IF('TL02'!$B$229=P$3,SUMIF('TL02'!$C$238:$C$451,$C272,'TL02'!$J$238:$J$451),0),
IF('TL03'!$B$3=P$3,SUMIF('TL03'!$C$10:$C$224,$C272,'TL03'!$J$10:$J$224),0),
IF('TL03'!$B$229=P$3,SUMIF('TL03'!$C$238:$C$451,$C272,'TL03'!$J$238:$J$451),0),
IF('TL04'!$B$3=P$3,SUMIF('TL04'!$C$10:$C$224,$C272,'TL04'!$J$10:$J$224),0),
IF('TL04'!$B$229=P$3,SUMIF('TL04'!$C$238:$C$451,$C272,'TL04'!$J$238:$J$451),0),
IF('TL05'!$B$3=P$3,SUMIF('TL05'!$C$10:$C$224,$C272,'TL05'!$J$10:$J$224),0),
IF('TL05'!$B$229=P$3,SUMIF('TL05'!$C$238:$C$451,$C272,'TL05'!$J$238:$J$451),0),
IF('TL06'!$B$3=P$3,SUMIF('TL06'!$C$10:$C$224,$C272,'TL06'!$J$10:$J$224),0),
IF('TL06'!$B$229=P$3,SUMIF('TL06'!$C$238:$C$451,$C272,'TL06'!$J$238:$J$451),0),
IF('TL07'!$B$3=P$3,SUMIF('TL07'!$C$10:$C$224,$C272,'TL07'!$J$10:$J$224),0),
IF('TL07'!$B$229=P$3,SUMIF('TL07'!$C$238:$C$451,$C272,'TL07'!$J$238:$J$451),0),
IF('TL08'!$B$3=P$3,SUMIF('TL08'!$C$10:$C$224,$C272,'TL08'!$J$10:$J$224),0),
IF('TL08'!$B$229=P$3,SUMIF('TL08'!$C$238:$C$451,$C272,'TL08'!$J$238:$J$451),0),
IF('TL09'!$B$3=P$3,SUMIF('TL09'!$C$10:$C$224,$C272,'TL09'!$J$10:$J$224),0),
IF('TL09'!$B$229=P$3,SUMIF('TL09'!$C$238:$C$451,$C272,'TL09'!$J$238:$J$451),0),
IF('TL10'!$B$3=P$3,SUMIF('TL10'!$C$10:$C$224,$C272,'TL10'!$J$10:$J$224),0),
IF('TL10'!$B$229=P$3,SUMIF('TL10'!$C$238:$C$451,$C272,'TL10'!$J$238:$J$451),0),
IF('TL11'!$B$3=P$3,SUMIF('TL11'!$C$10:$C$224,$C272,'TL11'!$J$10:$J$224),0),
IF('TL11'!$B$229=P$3,SUMIF('TL11'!$C$238:$C$451,$C272,'TL11'!$J$238:$J$451),0),
IF('TL12'!$B$3=P$3,SUMIF('TL12'!$C$10:$C$224,$C272,'TL12'!$J$10:$J$224),0),
IF('TL12'!$B$229=P$3,SUMIF('TL12'!$C$238:$C$451,$C272,'TL12'!$J$238:$J$451),0),
IF('TL13'!$B$3=P$3,SUMIF('TL13'!$C$10:$C$224,$C272,'TL13'!$J$10:$J$224),0),
IF('TL13'!$B$229=P$3,SUMIF('TL13'!$C$238:$C$451,$C272,'TL13'!$J$238:$J$451),0),
IF('TL14'!$B$3=P$3,SUMIF('TL14'!$C$10:$C$224,$C272,'TL14'!$J$10:$J$224),0),
IF('TL14'!$B$229=P$3,SUMIF('TL14'!$C$238:$C$451,$C272,'TL14'!$J$238:$J$451),0),
IF('TL15'!$B$3=P$3,SUMIF('TL15'!$C$10:$C$224,$C272,'TL15'!$J$10:$J$224),0),
IF('TL15'!$B$229=P$3,SUMIF('TL15'!$C$238:$C$451,$C272,'TL15'!$J$238:$J$451),0),
IF('TL16'!$B$3=P$3,SUMIF('TL16'!$C$10:$C$224,$C272,'TL16'!$J$10:$J$224),0),
IF('TL16'!$B$229=P$3,SUMIF('TL16'!$C$238:$C$451,$C272,'TL16'!$J$238:$J$451),0),
IF('TL17'!$B$3=P$3,SUMIF('TL17'!$C$10:$C$224,$C272,'TL17'!$J$10:$J$224),0),
IF('TL17'!$B$229=P$3,SUMIF('TL17'!$C$238:$C$451,$C272,'TL17'!$J$238:$J$451),0),
IF('TL18'!$B$3=P$3,SUMIF('TL18'!$C$10:$C$224,$C272,'TL18'!$J$10:$J$224),0),
IF('TL18'!$B$229=P$3,SUMIF('TL18'!$C$238:$C$451,$C272,'TL18'!$J$238:$J$451),0),
IF('TL19'!$B$3=P$3,SUMIF('TL19'!$C$10:$C$224,$C272,'TL19'!$J$10:$J$224),0),
IF('TL19'!$B$229=P$3,SUMIF('TL19'!$C$238:$C$451,$C272,'TL19'!$J$238:$J$451),0)
),0)</f>
        <v>0</v>
      </c>
      <c r="Q272" s="9">
        <f>IFERROR(SUM(
IF('TL01'!$B$3=Q$3,SUMIF('TL01'!$C$10:$C$224,$C272,'TL01'!$J$10:$J$224),0),
IF('TL01'!$B$229=Q$3,SUMIF('TL01'!$C$238:$C$451,$C272,'TL01'!$J$238:$J$451),0),
IF('TL02'!$B$3=Q$3,SUMIF('TL02'!$C$10:$C$224,$C272,'TL02'!$J$10:$J$224),0),
IF('TL02'!$B$229=Q$3,SUMIF('TL02'!$C$238:$C$451,$C272,'TL02'!$J$238:$J$451),0),
IF('TL03'!$B$3=Q$3,SUMIF('TL03'!$C$10:$C$224,$C272,'TL03'!$J$10:$J$224),0),
IF('TL03'!$B$229=Q$3,SUMIF('TL03'!$C$238:$C$451,$C272,'TL03'!$J$238:$J$451),0),
IF('TL04'!$B$3=Q$3,SUMIF('TL04'!$C$10:$C$224,$C272,'TL04'!$J$10:$J$224),0),
IF('TL04'!$B$229=Q$3,SUMIF('TL04'!$C$238:$C$451,$C272,'TL04'!$J$238:$J$451),0),
IF('TL05'!$B$3=Q$3,SUMIF('TL05'!$C$10:$C$224,$C272,'TL05'!$J$10:$J$224),0),
IF('TL05'!$B$229=Q$3,SUMIF('TL05'!$C$238:$C$451,$C272,'TL05'!$J$238:$J$451),0),
IF('TL06'!$B$3=Q$3,SUMIF('TL06'!$C$10:$C$224,$C272,'TL06'!$J$10:$J$224),0),
IF('TL06'!$B$229=Q$3,SUMIF('TL06'!$C$238:$C$451,$C272,'TL06'!$J$238:$J$451),0),
IF('TL07'!$B$3=Q$3,SUMIF('TL07'!$C$10:$C$224,$C272,'TL07'!$J$10:$J$224),0),
IF('TL07'!$B$229=Q$3,SUMIF('TL07'!$C$238:$C$451,$C272,'TL07'!$J$238:$J$451),0),
IF('TL08'!$B$3=Q$3,SUMIF('TL08'!$C$10:$C$224,$C272,'TL08'!$J$10:$J$224),0),
IF('TL08'!$B$229=Q$3,SUMIF('TL08'!$C$238:$C$451,$C272,'TL08'!$J$238:$J$451),0),
IF('TL09'!$B$3=Q$3,SUMIF('TL09'!$C$10:$C$224,$C272,'TL09'!$J$10:$J$224),0),
IF('TL09'!$B$229=Q$3,SUMIF('TL09'!$C$238:$C$451,$C272,'TL09'!$J$238:$J$451),0),
IF('TL10'!$B$3=Q$3,SUMIF('TL10'!$C$10:$C$224,$C272,'TL10'!$J$10:$J$224),0),
IF('TL10'!$B$229=Q$3,SUMIF('TL10'!$C$238:$C$451,$C272,'TL10'!$J$238:$J$451),0),
IF('TL11'!$B$3=Q$3,SUMIF('TL11'!$C$10:$C$224,$C272,'TL11'!$J$10:$J$224),0),
IF('TL11'!$B$229=Q$3,SUMIF('TL11'!$C$238:$C$451,$C272,'TL11'!$J$238:$J$451),0),
IF('TL12'!$B$3=Q$3,SUMIF('TL12'!$C$10:$C$224,$C272,'TL12'!$J$10:$J$224),0),
IF('TL12'!$B$229=Q$3,SUMIF('TL12'!$C$238:$C$451,$C272,'TL12'!$J$238:$J$451),0),
IF('TL13'!$B$3=Q$3,SUMIF('TL13'!$C$10:$C$224,$C272,'TL13'!$J$10:$J$224),0),
IF('TL13'!$B$229=Q$3,SUMIF('TL13'!$C$238:$C$451,$C272,'TL13'!$J$238:$J$451),0),
IF('TL14'!$B$3=Q$3,SUMIF('TL14'!$C$10:$C$224,$C272,'TL14'!$J$10:$J$224),0),
IF('TL14'!$B$229=Q$3,SUMIF('TL14'!$C$238:$C$451,$C272,'TL14'!$J$238:$J$451),0),
IF('TL15'!$B$3=Q$3,SUMIF('TL15'!$C$10:$C$224,$C272,'TL15'!$J$10:$J$224),0),
IF('TL15'!$B$229=Q$3,SUMIF('TL15'!$C$238:$C$451,$C272,'TL15'!$J$238:$J$451),0),
IF('TL16'!$B$3=Q$3,SUMIF('TL16'!$C$10:$C$224,$C272,'TL16'!$J$10:$J$224),0),
IF('TL16'!$B$229=Q$3,SUMIF('TL16'!$C$238:$C$451,$C272,'TL16'!$J$238:$J$451),0),
IF('TL17'!$B$3=Q$3,SUMIF('TL17'!$C$10:$C$224,$C272,'TL17'!$J$10:$J$224),0),
IF('TL17'!$B$229=Q$3,SUMIF('TL17'!$C$238:$C$451,$C272,'TL17'!$J$238:$J$451),0),
IF('TL18'!$B$3=Q$3,SUMIF('TL18'!$C$10:$C$224,$C272,'TL18'!$J$10:$J$224),0),
IF('TL18'!$B$229=Q$3,SUMIF('TL18'!$C$238:$C$451,$C272,'TL18'!$J$238:$J$451),0),
IF('TL19'!$B$3=Q$3,SUMIF('TL19'!$C$10:$C$224,$C272,'TL19'!$J$10:$J$224),0),
IF('TL19'!$B$229=Q$3,SUMIF('TL19'!$C$238:$C$451,$C272,'TL19'!$J$238:$J$451),0)
),0)</f>
        <v>0</v>
      </c>
      <c r="R272" s="9">
        <f>IFERROR(
SUM(
SUMIF('TL01'!C:C,C272,'TL01'!J:J),
SUMIF('TL02'!C:C,C272,'TL02'!J:J),
SUMIF('TL03'!C:C,C272,'TL03'!J:J),
SUMIF('TL04'!C:C,C272,'TL04'!J:J),
SUMIF('TL05'!C:C,C272,'TL05'!J:J),
SUMIF('TL06'!C:C,C272,'TL06'!J:J),
SUMIF('TL07'!C:C,C272,'TL07'!J:J),
SUMIF('TL08'!C:C,C272,'TL08'!J:J),
SUMIF('TL09'!C:C,C272,'TL09'!J:J),
SUMIF('TL10'!C:C,C272,'TL10'!J:J),
SUMIF('TL11'!C:C,C272,'TL11'!J:J),
SUMIF('TL12'!C:C,C272,'TL12'!J:J),
SUMIF('TL13'!C:C,C272,'TL13'!J:J),
SUMIF('TL14'!C:C,C272,'TL14'!J:J),
SUMIF('TL15'!C:C,C272,'TL15'!J:J),
SUMIF('TL16'!C:C,C272,'TL16'!J:J),
SUMIF('TL17'!C:C,C272,'TL17'!J:J),
SUMIF('TL18'!C:C,C272,'TL18'!J:J),SUMIF('TL19'!C:C,C272,'TL19'!J:J))
,0)</f>
        <v>0</v>
      </c>
      <c r="S272" s="17">
        <f>IFERROR(__xludf.DUMMYFUNCTION("IFERROR(VLOOKUP(C272,
IMPORTRANGE(""1wULbzX32WdYsx-lj2U3uUNBBe2INVIRDtcK0d-Dvl90"",
""26-27!C:G""),
5,
FALSE),
"""")"),77.0)</f>
        <v>77</v>
      </c>
      <c r="T272" s="9"/>
      <c r="U272" s="92">
        <f t="shared" si="2"/>
        <v>0</v>
      </c>
      <c r="V272" s="93">
        <f t="shared" si="3"/>
        <v>0</v>
      </c>
    </row>
    <row r="273" ht="15.75" hidden="1" customHeight="1">
      <c r="A273" s="4" t="s">
        <v>961</v>
      </c>
      <c r="B273" s="125" t="s">
        <v>9</v>
      </c>
      <c r="C273" s="4" t="s">
        <v>970</v>
      </c>
      <c r="D273" s="4" t="s">
        <v>971</v>
      </c>
      <c r="E273" s="9"/>
      <c r="F273" s="4" t="s">
        <v>343</v>
      </c>
      <c r="G273" s="9"/>
      <c r="H273" s="9">
        <v>0.2</v>
      </c>
      <c r="I273" s="1"/>
      <c r="J273" s="9">
        <f>IFERROR(SUM(
IF('TL01'!$B$3=J$3,SUMIF('TL01'!$C$10:$C$224,$C273,'TL01'!$J$10:$J$224),0),
IF('TL01'!$B$229=J$3,SUMIF('TL01'!$C$238:$C$451,$C273,'TL01'!$J$238:$J$451),0),
IF('TL02'!$B$3=J$3,SUMIF('TL02'!$C$10:$C$224,$C273,'TL02'!$J$10:$J$224),0),
IF('TL02'!$B$229=J$3,SUMIF('TL02'!$C$238:$C$451,$C273,'TL02'!$J$238:$J$451),0),
IF('TL03'!$B$3=J$3,SUMIF('TL03'!$C$10:$C$224,$C273,'TL03'!$J$10:$J$224),0),
IF('TL03'!$B$229=J$3,SUMIF('TL03'!$C$238:$C$451,$C273,'TL03'!$J$238:$J$451),0),
IF('TL04'!$B$3=J$3,SUMIF('TL04'!$C$10:$C$224,$C273,'TL04'!$J$10:$J$224),0),
IF('TL04'!$B$229=J$3,SUMIF('TL04'!$C$238:$C$451,$C273,'TL04'!$J$238:$J$451),0),
IF('TL05'!$B$3=J$3,SUMIF('TL05'!$C$10:$C$224,$C273,'TL05'!$J$10:$J$224),0),
IF('TL05'!$B$229=J$3,SUMIF('TL05'!$C$238:$C$451,$C273,'TL05'!$J$238:$J$451),0),
IF('TL06'!$B$3=J$3,SUMIF('TL06'!$C$10:$C$224,$C273,'TL06'!$J$10:$J$224),0),
IF('TL06'!$B$229=J$3,SUMIF('TL06'!$C$238:$C$451,$C273,'TL06'!$J$238:$J$451),0),
IF('TL07'!$B$3=J$3,SUMIF('TL07'!$C$10:$C$224,$C273,'TL07'!$J$10:$J$224),0),
IF('TL07'!$B$229=J$3,SUMIF('TL07'!$C$238:$C$451,$C273,'TL07'!$J$238:$J$451),0),
IF('TL08'!$B$3=J$3,SUMIF('TL08'!$C$10:$C$224,$C273,'TL08'!$J$10:$J$224),0),
IF('TL08'!$B$229=J$3,SUMIF('TL08'!$C$238:$C$451,$C273,'TL08'!$J$238:$J$451),0),
IF('TL09'!$B$3=J$3,SUMIF('TL09'!$C$10:$C$224,$C273,'TL09'!$J$10:$J$224),0),
IF('TL09'!$B$229=J$3,SUMIF('TL09'!$C$238:$C$451,$C273,'TL09'!$J$238:$J$451),0),
IF('TL10'!$B$3=J$3,SUMIF('TL10'!$C$10:$C$224,$C273,'TL10'!$J$10:$J$224),0),
IF('TL10'!$B$229=J$3,SUMIF('TL10'!$C$238:$C$451,$C273,'TL10'!$J$238:$J$451),0),
IF('TL11'!$B$3=J$3,SUMIF('TL11'!$C$10:$C$224,$C273,'TL11'!$J$10:$J$224),0),
IF('TL11'!$B$229=J$3,SUMIF('TL11'!$C$238:$C$451,$C273,'TL11'!$J$238:$J$451),0),
IF('TL12'!$B$3=J$3,SUMIF('TL12'!$C$10:$C$224,$C273,'TL12'!$J$10:$J$224),0),
IF('TL12'!$B$229=J$3,SUMIF('TL12'!$C$238:$C$451,$C273,'TL12'!$J$238:$J$451),0),
IF('TL13'!$B$3=J$3,SUMIF('TL13'!$C$10:$C$224,$C273,'TL13'!$J$10:$J$224),0),
IF('TL13'!$B$229=J$3,SUMIF('TL13'!$C$238:$C$451,$C273,'TL13'!$J$238:$J$451),0),
IF('TL14'!$B$3=J$3,SUMIF('TL14'!$C$10:$C$224,$C273,'TL14'!$J$10:$J$224),0),
IF('TL14'!$B$229=J$3,SUMIF('TL14'!$C$238:$C$451,$C273,'TL14'!$J$238:$J$451),0),
IF('TL15'!$B$3=J$3,SUMIF('TL15'!$C$10:$C$224,$C273,'TL15'!$J$10:$J$224),0),
IF('TL15'!$B$229=J$3,SUMIF('TL15'!$C$238:$C$451,$C273,'TL15'!$J$238:$J$451),0),
IF('TL16'!$B$3=J$3,SUMIF('TL16'!$C$10:$C$224,$C273,'TL16'!$J$10:$J$224),0),
IF('TL16'!$B$229=J$3,SUMIF('TL16'!$C$238:$C$451,$C273,'TL16'!$J$238:$J$451),0),
IF('TL17'!$B$3=J$3,SUMIF('TL17'!$C$10:$C$224,$C273,'TL17'!$J$10:$J$224),0),
IF('TL17'!$B$229=J$3,SUMIF('TL17'!$C$238:$C$451,$C273,'TL17'!$J$238:$J$451),0),
IF('TL18'!$B$3=J$3,SUMIF('TL18'!$C$10:$C$224,$C273,'TL18'!$J$10:$J$224),0),
IF('TL18'!$B$229=J$3,SUMIF('TL18'!$C$238:$C$451,$C273,'TL18'!$J$238:$J$451),0),
IF('TL19'!$B$3=J$3,SUMIF('TL19'!$C$10:$C$224,$C273,'TL19'!$J$10:$J$224),0),
IF('TL19'!$B$229=J$3,SUMIF('TL19'!$C$238:$C$451,$C273,'TL19'!$J$238:$J$451),0)
),0)</f>
        <v>0</v>
      </c>
      <c r="K273" s="9">
        <f>IFERROR(SUM(
IF('TL01'!$B$3=K$3,SUMIF('TL01'!$C$10:$C$224,$C273,'TL01'!$J$10:$J$224),0),
IF('TL01'!$B$229=K$3,SUMIF('TL01'!$C$238:$C$451,$C273,'TL01'!$J$238:$J$451),0),
IF('TL02'!$B$3=K$3,SUMIF('TL02'!$C$10:$C$224,$C273,'TL02'!$J$10:$J$224),0),
IF('TL02'!$B$229=K$3,SUMIF('TL02'!$C$238:$C$451,$C273,'TL02'!$J$238:$J$451),0),
IF('TL03'!$B$3=K$3,SUMIF('TL03'!$C$10:$C$224,$C273,'TL03'!$J$10:$J$224),0),
IF('TL03'!$B$229=K$3,SUMIF('TL03'!$C$238:$C$451,$C273,'TL03'!$J$238:$J$451),0),
IF('TL04'!$B$3=K$3,SUMIF('TL04'!$C$10:$C$224,$C273,'TL04'!$J$10:$J$224),0),
IF('TL04'!$B$229=K$3,SUMIF('TL04'!$C$238:$C$451,$C273,'TL04'!$J$238:$J$451),0),
IF('TL05'!$B$3=K$3,SUMIF('TL05'!$C$10:$C$224,$C273,'TL05'!$J$10:$J$224),0),
IF('TL05'!$B$229=K$3,SUMIF('TL05'!$C$238:$C$451,$C273,'TL05'!$J$238:$J$451),0),
IF('TL06'!$B$3=K$3,SUMIF('TL06'!$C$10:$C$224,$C273,'TL06'!$J$10:$J$224),0),
IF('TL06'!$B$229=K$3,SUMIF('TL06'!$C$238:$C$451,$C273,'TL06'!$J$238:$J$451),0),
IF('TL07'!$B$3=K$3,SUMIF('TL07'!$C$10:$C$224,$C273,'TL07'!$J$10:$J$224),0),
IF('TL07'!$B$229=K$3,SUMIF('TL07'!$C$238:$C$451,$C273,'TL07'!$J$238:$J$451),0),
IF('TL08'!$B$3=K$3,SUMIF('TL08'!$C$10:$C$224,$C273,'TL08'!$J$10:$J$224),0),
IF('TL08'!$B$229=K$3,SUMIF('TL08'!$C$238:$C$451,$C273,'TL08'!$J$238:$J$451),0),
IF('TL09'!$B$3=K$3,SUMIF('TL09'!$C$10:$C$224,$C273,'TL09'!$J$10:$J$224),0),
IF('TL09'!$B$229=K$3,SUMIF('TL09'!$C$238:$C$451,$C273,'TL09'!$J$238:$J$451),0),
IF('TL10'!$B$3=K$3,SUMIF('TL10'!$C$10:$C$224,$C273,'TL10'!$J$10:$J$224),0),
IF('TL10'!$B$229=K$3,SUMIF('TL10'!$C$238:$C$451,$C273,'TL10'!$J$238:$J$451),0),
IF('TL11'!$B$3=K$3,SUMIF('TL11'!$C$10:$C$224,$C273,'TL11'!$J$10:$J$224),0),
IF('TL11'!$B$229=K$3,SUMIF('TL11'!$C$238:$C$451,$C273,'TL11'!$J$238:$J$451),0),
IF('TL12'!$B$3=K$3,SUMIF('TL12'!$C$10:$C$224,$C273,'TL12'!$J$10:$J$224),0),
IF('TL12'!$B$229=K$3,SUMIF('TL12'!$C$238:$C$451,$C273,'TL12'!$J$238:$J$451),0),
IF('TL13'!$B$3=K$3,SUMIF('TL13'!$C$10:$C$224,$C273,'TL13'!$J$10:$J$224),0),
IF('TL13'!$B$229=K$3,SUMIF('TL13'!$C$238:$C$451,$C273,'TL13'!$J$238:$J$451),0),
IF('TL14'!$B$3=K$3,SUMIF('TL14'!$C$10:$C$224,$C273,'TL14'!$J$10:$J$224),0),
IF('TL14'!$B$229=K$3,SUMIF('TL14'!$C$238:$C$451,$C273,'TL14'!$J$238:$J$451),0),
IF('TL15'!$B$3=K$3,SUMIF('TL15'!$C$10:$C$224,$C273,'TL15'!$J$10:$J$224),0),
IF('TL15'!$B$229=K$3,SUMIF('TL15'!$C$238:$C$451,$C273,'TL15'!$J$238:$J$451),0),
IF('TL16'!$B$3=K$3,SUMIF('TL16'!$C$10:$C$224,$C273,'TL16'!$J$10:$J$224),0),
IF('TL16'!$B$229=K$3,SUMIF('TL16'!$C$238:$C$451,$C273,'TL16'!$J$238:$J$451),0),
IF('TL17'!$B$3=K$3,SUMIF('TL17'!$C$10:$C$224,$C273,'TL17'!$J$10:$J$224),0),
IF('TL17'!$B$229=K$3,SUMIF('TL17'!$C$238:$C$451,$C273,'TL17'!$J$238:$J$451),0),
IF('TL18'!$B$3=K$3,SUMIF('TL18'!$C$10:$C$224,$C273,'TL18'!$J$10:$J$224),0),
IF('TL18'!$B$229=K$3,SUMIF('TL18'!$C$238:$C$451,$C273,'TL18'!$J$238:$J$451),0),
IF('TL19'!$B$3=K$3,SUMIF('TL19'!$C$10:$C$224,$C273,'TL19'!$J$10:$J$224),0),
IF('TL19'!$B$229=K$3,SUMIF('TL19'!$C$238:$C$451,$C273,'TL19'!$J$238:$J$451),0)
),0)</f>
        <v>0</v>
      </c>
      <c r="L273" s="9">
        <f>IFERROR(SUM(
IF('TL01'!$B$3=L$3,SUMIF('TL01'!$C$10:$C$224,$C273,'TL01'!$J$10:$J$224),0),
IF('TL01'!$B$229=L$3,SUMIF('TL01'!$C$238:$C$451,$C273,'TL01'!$J$238:$J$451),0),
IF('TL02'!$B$3=L$3,SUMIF('TL02'!$C$10:$C$224,$C273,'TL02'!$J$10:$J$224),0),
IF('TL02'!$B$229=L$3,SUMIF('TL02'!$C$238:$C$451,$C273,'TL02'!$J$238:$J$451),0),
IF('TL03'!$B$3=L$3,SUMIF('TL03'!$C$10:$C$224,$C273,'TL03'!$J$10:$J$224),0),
IF('TL03'!$B$229=L$3,SUMIF('TL03'!$C$238:$C$451,$C273,'TL03'!$J$238:$J$451),0),
IF('TL04'!$B$3=L$3,SUMIF('TL04'!$C$10:$C$224,$C273,'TL04'!$J$10:$J$224),0),
IF('TL04'!$B$229=L$3,SUMIF('TL04'!$C$238:$C$451,$C273,'TL04'!$J$238:$J$451),0),
IF('TL05'!$B$3=L$3,SUMIF('TL05'!$C$10:$C$224,$C273,'TL05'!$J$10:$J$224),0),
IF('TL05'!$B$229=L$3,SUMIF('TL05'!$C$238:$C$451,$C273,'TL05'!$J$238:$J$451),0),
IF('TL06'!$B$3=L$3,SUMIF('TL06'!$C$10:$C$224,$C273,'TL06'!$J$10:$J$224),0),
IF('TL06'!$B$229=L$3,SUMIF('TL06'!$C$238:$C$451,$C273,'TL06'!$J$238:$J$451),0),
IF('TL07'!$B$3=L$3,SUMIF('TL07'!$C$10:$C$224,$C273,'TL07'!$J$10:$J$224),0),
IF('TL07'!$B$229=L$3,SUMIF('TL07'!$C$238:$C$451,$C273,'TL07'!$J$238:$J$451),0),
IF('TL08'!$B$3=L$3,SUMIF('TL08'!$C$10:$C$224,$C273,'TL08'!$J$10:$J$224),0),
IF('TL08'!$B$229=L$3,SUMIF('TL08'!$C$238:$C$451,$C273,'TL08'!$J$238:$J$451),0),
IF('TL09'!$B$3=L$3,SUMIF('TL09'!$C$10:$C$224,$C273,'TL09'!$J$10:$J$224),0),
IF('TL09'!$B$229=L$3,SUMIF('TL09'!$C$238:$C$451,$C273,'TL09'!$J$238:$J$451),0),
IF('TL10'!$B$3=L$3,SUMIF('TL10'!$C$10:$C$224,$C273,'TL10'!$J$10:$J$224),0),
IF('TL10'!$B$229=L$3,SUMIF('TL10'!$C$238:$C$451,$C273,'TL10'!$J$238:$J$451),0),
IF('TL11'!$B$3=L$3,SUMIF('TL11'!$C$10:$C$224,$C273,'TL11'!$J$10:$J$224),0),
IF('TL11'!$B$229=L$3,SUMIF('TL11'!$C$238:$C$451,$C273,'TL11'!$J$238:$J$451),0),
IF('TL12'!$B$3=L$3,SUMIF('TL12'!$C$10:$C$224,$C273,'TL12'!$J$10:$J$224),0),
IF('TL12'!$B$229=L$3,SUMIF('TL12'!$C$238:$C$451,$C273,'TL12'!$J$238:$J$451),0),
IF('TL13'!$B$3=L$3,SUMIF('TL13'!$C$10:$C$224,$C273,'TL13'!$J$10:$J$224),0),
IF('TL13'!$B$229=L$3,SUMIF('TL13'!$C$238:$C$451,$C273,'TL13'!$J$238:$J$451),0),
IF('TL14'!$B$3=L$3,SUMIF('TL14'!$C$10:$C$224,$C273,'TL14'!$J$10:$J$224),0),
IF('TL14'!$B$229=L$3,SUMIF('TL14'!$C$238:$C$451,$C273,'TL14'!$J$238:$J$451),0),
IF('TL15'!$B$3=L$3,SUMIF('TL15'!$C$10:$C$224,$C273,'TL15'!$J$10:$J$224),0),
IF('TL15'!$B$229=L$3,SUMIF('TL15'!$C$238:$C$451,$C273,'TL15'!$J$238:$J$451),0),
IF('TL16'!$B$3=L$3,SUMIF('TL16'!$C$10:$C$224,$C273,'TL16'!$J$10:$J$224),0),
IF('TL16'!$B$229=L$3,SUMIF('TL16'!$C$238:$C$451,$C273,'TL16'!$J$238:$J$451),0),
IF('TL17'!$B$3=L$3,SUMIF('TL17'!$C$10:$C$224,$C273,'TL17'!$J$10:$J$224),0),
IF('TL17'!$B$229=L$3,SUMIF('TL17'!$C$238:$C$451,$C273,'TL17'!$J$238:$J$451),0),
IF('TL18'!$B$3=L$3,SUMIF('TL18'!$C$10:$C$224,$C273,'TL18'!$J$10:$J$224),0),
IF('TL18'!$B$229=L$3,SUMIF('TL18'!$C$238:$C$451,$C273,'TL18'!$J$238:$J$451),0),
IF('TL19'!$B$3=L$3,SUMIF('TL19'!$C$10:$C$224,$C273,'TL19'!$J$10:$J$224),0),
IF('TL19'!$B$229=L$3,SUMIF('TL19'!$C$238:$C$451,$C273,'TL19'!$J$238:$J$451),0)
),0)</f>
        <v>0</v>
      </c>
      <c r="M273" s="9">
        <f>IFERROR(SUM(
IF('TL01'!$B$3=M$3,SUMIF('TL01'!$C$10:$C$224,$C273,'TL01'!$J$10:$J$224),0),
IF('TL01'!$B$229=M$3,SUMIF('TL01'!$C$238:$C$451,$C273,'TL01'!$J$238:$J$451),0),
IF('TL02'!$B$3=M$3,SUMIF('TL02'!$C$10:$C$224,$C273,'TL02'!$J$10:$J$224),0),
IF('TL02'!$B$229=M$3,SUMIF('TL02'!$C$238:$C$451,$C273,'TL02'!$J$238:$J$451),0),
IF('TL03'!$B$3=M$3,SUMIF('TL03'!$C$10:$C$224,$C273,'TL03'!$J$10:$J$224),0),
IF('TL03'!$B$229=M$3,SUMIF('TL03'!$C$238:$C$451,$C273,'TL03'!$J$238:$J$451),0),
IF('TL04'!$B$3=M$3,SUMIF('TL04'!$C$10:$C$224,$C273,'TL04'!$J$10:$J$224),0),
IF('TL04'!$B$229=M$3,SUMIF('TL04'!$C$238:$C$451,$C273,'TL04'!$J$238:$J$451),0),
IF('TL05'!$B$3=M$3,SUMIF('TL05'!$C$10:$C$224,$C273,'TL05'!$J$10:$J$224),0),
IF('TL05'!$B$229=M$3,SUMIF('TL05'!$C$238:$C$451,$C273,'TL05'!$J$238:$J$451),0),
IF('TL06'!$B$3=M$3,SUMIF('TL06'!$C$10:$C$224,$C273,'TL06'!$J$10:$J$224),0),
IF('TL06'!$B$229=M$3,SUMIF('TL06'!$C$238:$C$451,$C273,'TL06'!$J$238:$J$451),0),
IF('TL07'!$B$3=M$3,SUMIF('TL07'!$C$10:$C$224,$C273,'TL07'!$J$10:$J$224),0),
IF('TL07'!$B$229=M$3,SUMIF('TL07'!$C$238:$C$451,$C273,'TL07'!$J$238:$J$451),0),
IF('TL08'!$B$3=M$3,SUMIF('TL08'!$C$10:$C$224,$C273,'TL08'!$J$10:$J$224),0),
IF('TL08'!$B$229=M$3,SUMIF('TL08'!$C$238:$C$451,$C273,'TL08'!$J$238:$J$451),0),
IF('TL09'!$B$3=M$3,SUMIF('TL09'!$C$10:$C$224,$C273,'TL09'!$J$10:$J$224),0),
IF('TL09'!$B$229=M$3,SUMIF('TL09'!$C$238:$C$451,$C273,'TL09'!$J$238:$J$451),0),
IF('TL10'!$B$3=M$3,SUMIF('TL10'!$C$10:$C$224,$C273,'TL10'!$J$10:$J$224),0),
IF('TL10'!$B$229=M$3,SUMIF('TL10'!$C$238:$C$451,$C273,'TL10'!$J$238:$J$451),0),
IF('TL11'!$B$3=M$3,SUMIF('TL11'!$C$10:$C$224,$C273,'TL11'!$J$10:$J$224),0),
IF('TL11'!$B$229=M$3,SUMIF('TL11'!$C$238:$C$451,$C273,'TL11'!$J$238:$J$451),0),
IF('TL12'!$B$3=M$3,SUMIF('TL12'!$C$10:$C$224,$C273,'TL12'!$J$10:$J$224),0),
IF('TL12'!$B$229=M$3,SUMIF('TL12'!$C$238:$C$451,$C273,'TL12'!$J$238:$J$451),0),
IF('TL13'!$B$3=M$3,SUMIF('TL13'!$C$10:$C$224,$C273,'TL13'!$J$10:$J$224),0),
IF('TL13'!$B$229=M$3,SUMIF('TL13'!$C$238:$C$451,$C273,'TL13'!$J$238:$J$451),0),
IF('TL14'!$B$3=M$3,SUMIF('TL14'!$C$10:$C$224,$C273,'TL14'!$J$10:$J$224),0),
IF('TL14'!$B$229=M$3,SUMIF('TL14'!$C$238:$C$451,$C273,'TL14'!$J$238:$J$451),0),
IF('TL15'!$B$3=M$3,SUMIF('TL15'!$C$10:$C$224,$C273,'TL15'!$J$10:$J$224),0),
IF('TL15'!$B$229=M$3,SUMIF('TL15'!$C$238:$C$451,$C273,'TL15'!$J$238:$J$451),0),
IF('TL16'!$B$3=M$3,SUMIF('TL16'!$C$10:$C$224,$C273,'TL16'!$J$10:$J$224),0),
IF('TL16'!$B$229=M$3,SUMIF('TL16'!$C$238:$C$451,$C273,'TL16'!$J$238:$J$451),0),
IF('TL17'!$B$3=M$3,SUMIF('TL17'!$C$10:$C$224,$C273,'TL17'!$J$10:$J$224),0),
IF('TL17'!$B$229=M$3,SUMIF('TL17'!$C$238:$C$451,$C273,'TL17'!$J$238:$J$451),0),
IF('TL18'!$B$3=M$3,SUMIF('TL18'!$C$10:$C$224,$C273,'TL18'!$J$10:$J$224),0),
IF('TL18'!$B$229=M$3,SUMIF('TL18'!$C$238:$C$451,$C273,'TL18'!$J$238:$J$451),0),
IF('TL19'!$B$3=M$3,SUMIF('TL19'!$C$10:$C$224,$C273,'TL19'!$J$10:$J$224),0),
IF('TL19'!$B$229=M$3,SUMIF('TL19'!$C$238:$C$451,$C273,'TL19'!$J$238:$J$451),0)
),0)</f>
        <v>0</v>
      </c>
      <c r="N273" s="9">
        <f>IFERROR(SUM(
IF('TL01'!$B$3=N$3,SUMIF('TL01'!$C$10:$C$224,$C273,'TL01'!$J$10:$J$224),0),
IF('TL01'!$B$229=N$3,SUMIF('TL01'!$C$238:$C$451,$C273,'TL01'!$J$238:$J$451),0),
IF('TL02'!$B$3=N$3,SUMIF('TL02'!$C$10:$C$224,$C273,'TL02'!$J$10:$J$224),0),
IF('TL02'!$B$229=N$3,SUMIF('TL02'!$C$238:$C$451,$C273,'TL02'!$J$238:$J$451),0),
IF('TL03'!$B$3=N$3,SUMIF('TL03'!$C$10:$C$224,$C273,'TL03'!$J$10:$J$224),0),
IF('TL03'!$B$229=N$3,SUMIF('TL03'!$C$238:$C$451,$C273,'TL03'!$J$238:$J$451),0),
IF('TL04'!$B$3=N$3,SUMIF('TL04'!$C$10:$C$224,$C273,'TL04'!$J$10:$J$224),0),
IF('TL04'!$B$229=N$3,SUMIF('TL04'!$C$238:$C$451,$C273,'TL04'!$J$238:$J$451),0),
IF('TL05'!$B$3=N$3,SUMIF('TL05'!$C$10:$C$224,$C273,'TL05'!$J$10:$J$224),0),
IF('TL05'!$B$229=N$3,SUMIF('TL05'!$C$238:$C$451,$C273,'TL05'!$J$238:$J$451),0),
IF('TL06'!$B$3=N$3,SUMIF('TL06'!$C$10:$C$224,$C273,'TL06'!$J$10:$J$224),0),
IF('TL06'!$B$229=N$3,SUMIF('TL06'!$C$238:$C$451,$C273,'TL06'!$J$238:$J$451),0),
IF('TL07'!$B$3=N$3,SUMIF('TL07'!$C$10:$C$224,$C273,'TL07'!$J$10:$J$224),0),
IF('TL07'!$B$229=N$3,SUMIF('TL07'!$C$238:$C$451,$C273,'TL07'!$J$238:$J$451),0),
IF('TL08'!$B$3=N$3,SUMIF('TL08'!$C$10:$C$224,$C273,'TL08'!$J$10:$J$224),0),
IF('TL08'!$B$229=N$3,SUMIF('TL08'!$C$238:$C$451,$C273,'TL08'!$J$238:$J$451),0),
IF('TL09'!$B$3=N$3,SUMIF('TL09'!$C$10:$C$224,$C273,'TL09'!$J$10:$J$224),0),
IF('TL09'!$B$229=N$3,SUMIF('TL09'!$C$238:$C$451,$C273,'TL09'!$J$238:$J$451),0),
IF('TL10'!$B$3=N$3,SUMIF('TL10'!$C$10:$C$224,$C273,'TL10'!$J$10:$J$224),0),
IF('TL10'!$B$229=N$3,SUMIF('TL10'!$C$238:$C$451,$C273,'TL10'!$J$238:$J$451),0),
IF('TL11'!$B$3=N$3,SUMIF('TL11'!$C$10:$C$224,$C273,'TL11'!$J$10:$J$224),0),
IF('TL11'!$B$229=N$3,SUMIF('TL11'!$C$238:$C$451,$C273,'TL11'!$J$238:$J$451),0),
IF('TL12'!$B$3=N$3,SUMIF('TL12'!$C$10:$C$224,$C273,'TL12'!$J$10:$J$224),0),
IF('TL12'!$B$229=N$3,SUMIF('TL12'!$C$238:$C$451,$C273,'TL12'!$J$238:$J$451),0),
IF('TL13'!$B$3=N$3,SUMIF('TL13'!$C$10:$C$224,$C273,'TL13'!$J$10:$J$224),0),
IF('TL13'!$B$229=N$3,SUMIF('TL13'!$C$238:$C$451,$C273,'TL13'!$J$238:$J$451),0),
IF('TL14'!$B$3=N$3,SUMIF('TL14'!$C$10:$C$224,$C273,'TL14'!$J$10:$J$224),0),
IF('TL14'!$B$229=N$3,SUMIF('TL14'!$C$238:$C$451,$C273,'TL14'!$J$238:$J$451),0),
IF('TL15'!$B$3=N$3,SUMIF('TL15'!$C$10:$C$224,$C273,'TL15'!$J$10:$J$224),0),
IF('TL15'!$B$229=N$3,SUMIF('TL15'!$C$238:$C$451,$C273,'TL15'!$J$238:$J$451),0),
IF('TL16'!$B$3=N$3,SUMIF('TL16'!$C$10:$C$224,$C273,'TL16'!$J$10:$J$224),0),
IF('TL16'!$B$229=N$3,SUMIF('TL16'!$C$238:$C$451,$C273,'TL16'!$J$238:$J$451),0),
IF('TL17'!$B$3=N$3,SUMIF('TL17'!$C$10:$C$224,$C273,'TL17'!$J$10:$J$224),0),
IF('TL17'!$B$229=N$3,SUMIF('TL17'!$C$238:$C$451,$C273,'TL17'!$J$238:$J$451),0),
IF('TL18'!$B$3=N$3,SUMIF('TL18'!$C$10:$C$224,$C273,'TL18'!$J$10:$J$224),0),
IF('TL18'!$B$229=N$3,SUMIF('TL18'!$C$238:$C$451,$C273,'TL18'!$J$238:$J$451),0),
IF('TL19'!$B$3=N$3,SUMIF('TL19'!$C$10:$C$224,$C273,'TL19'!$J$10:$J$224),0),
IF('TL19'!$B$229=N$3,SUMIF('TL19'!$C$238:$C$451,$C273,'TL19'!$J$238:$J$451),0)
),0)</f>
        <v>0</v>
      </c>
      <c r="O273" s="9">
        <f>IFERROR(SUM(
IF('TL01'!$B$3=O$3,SUMIF('TL01'!$C$10:$C$224,$C273,'TL01'!$J$10:$J$224),0),
IF('TL01'!$B$229=O$3,SUMIF('TL01'!$C$238:$C$451,$C273,'TL01'!$J$238:$J$451),0),
IF('TL02'!$B$3=O$3,SUMIF('TL02'!$C$10:$C$224,$C273,'TL02'!$J$10:$J$224),0),
IF('TL02'!$B$229=O$3,SUMIF('TL02'!$C$238:$C$451,$C273,'TL02'!$J$238:$J$451),0),
IF('TL03'!$B$3=O$3,SUMIF('TL03'!$C$10:$C$224,$C273,'TL03'!$J$10:$J$224),0),
IF('TL03'!$B$229=O$3,SUMIF('TL03'!$C$238:$C$451,$C273,'TL03'!$J$238:$J$451),0),
IF('TL04'!$B$3=O$3,SUMIF('TL04'!$C$10:$C$224,$C273,'TL04'!$J$10:$J$224),0),
IF('TL04'!$B$229=O$3,SUMIF('TL04'!$C$238:$C$451,$C273,'TL04'!$J$238:$J$451),0),
IF('TL05'!$B$3=O$3,SUMIF('TL05'!$C$10:$C$224,$C273,'TL05'!$J$10:$J$224),0),
IF('TL05'!$B$229=O$3,SUMIF('TL05'!$C$238:$C$451,$C273,'TL05'!$J$238:$J$451),0),
IF('TL06'!$B$3=O$3,SUMIF('TL06'!$C$10:$C$224,$C273,'TL06'!$J$10:$J$224),0),
IF('TL06'!$B$229=O$3,SUMIF('TL06'!$C$238:$C$451,$C273,'TL06'!$J$238:$J$451),0),
IF('TL07'!$B$3=O$3,SUMIF('TL07'!$C$10:$C$224,$C273,'TL07'!$J$10:$J$224),0),
IF('TL07'!$B$229=O$3,SUMIF('TL07'!$C$238:$C$451,$C273,'TL07'!$J$238:$J$451),0),
IF('TL08'!$B$3=O$3,SUMIF('TL08'!$C$10:$C$224,$C273,'TL08'!$J$10:$J$224),0),
IF('TL08'!$B$229=O$3,SUMIF('TL08'!$C$238:$C$451,$C273,'TL08'!$J$238:$J$451),0),
IF('TL09'!$B$3=O$3,SUMIF('TL09'!$C$10:$C$224,$C273,'TL09'!$J$10:$J$224),0),
IF('TL09'!$B$229=O$3,SUMIF('TL09'!$C$238:$C$451,$C273,'TL09'!$J$238:$J$451),0),
IF('TL10'!$B$3=O$3,SUMIF('TL10'!$C$10:$C$224,$C273,'TL10'!$J$10:$J$224),0),
IF('TL10'!$B$229=O$3,SUMIF('TL10'!$C$238:$C$451,$C273,'TL10'!$J$238:$J$451),0),
IF('TL11'!$B$3=O$3,SUMIF('TL11'!$C$10:$C$224,$C273,'TL11'!$J$10:$J$224),0),
IF('TL11'!$B$229=O$3,SUMIF('TL11'!$C$238:$C$451,$C273,'TL11'!$J$238:$J$451),0),
IF('TL12'!$B$3=O$3,SUMIF('TL12'!$C$10:$C$224,$C273,'TL12'!$J$10:$J$224),0),
IF('TL12'!$B$229=O$3,SUMIF('TL12'!$C$238:$C$451,$C273,'TL12'!$J$238:$J$451),0),
IF('TL13'!$B$3=O$3,SUMIF('TL13'!$C$10:$C$224,$C273,'TL13'!$J$10:$J$224),0),
IF('TL13'!$B$229=O$3,SUMIF('TL13'!$C$238:$C$451,$C273,'TL13'!$J$238:$J$451),0),
IF('TL14'!$B$3=O$3,SUMIF('TL14'!$C$10:$C$224,$C273,'TL14'!$J$10:$J$224),0),
IF('TL14'!$B$229=O$3,SUMIF('TL14'!$C$238:$C$451,$C273,'TL14'!$J$238:$J$451),0),
IF('TL15'!$B$3=O$3,SUMIF('TL15'!$C$10:$C$224,$C273,'TL15'!$J$10:$J$224),0),
IF('TL15'!$B$229=O$3,SUMIF('TL15'!$C$238:$C$451,$C273,'TL15'!$J$238:$J$451),0),
IF('TL16'!$B$3=O$3,SUMIF('TL16'!$C$10:$C$224,$C273,'TL16'!$J$10:$J$224),0),
IF('TL16'!$B$229=O$3,SUMIF('TL16'!$C$238:$C$451,$C273,'TL16'!$J$238:$J$451),0),
IF('TL17'!$B$3=O$3,SUMIF('TL17'!$C$10:$C$224,$C273,'TL17'!$J$10:$J$224),0),
IF('TL17'!$B$229=O$3,SUMIF('TL17'!$C$238:$C$451,$C273,'TL17'!$J$238:$J$451),0),
IF('TL18'!$B$3=O$3,SUMIF('TL18'!$C$10:$C$224,$C273,'TL18'!$J$10:$J$224),0),
IF('TL18'!$B$229=O$3,SUMIF('TL18'!$C$238:$C$451,$C273,'TL18'!$J$238:$J$451),0),
IF('TL19'!$B$3=O$3,SUMIF('TL19'!$C$10:$C$224,$C273,'TL19'!$J$10:$J$224),0),
IF('TL19'!$B$229=O$3,SUMIF('TL19'!$C$238:$C$451,$C273,'TL19'!$J$238:$J$451),0)
),0)</f>
        <v>0</v>
      </c>
      <c r="P273" s="9">
        <f>IFERROR(SUM(
IF('TL01'!$B$3=P$3,SUMIF('TL01'!$C$10:$C$224,$C273,'TL01'!$J$10:$J$224),0),
IF('TL01'!$B$229=P$3,SUMIF('TL01'!$C$238:$C$451,$C273,'TL01'!$J$238:$J$451),0),
IF('TL02'!$B$3=P$3,SUMIF('TL02'!$C$10:$C$224,$C273,'TL02'!$J$10:$J$224),0),
IF('TL02'!$B$229=P$3,SUMIF('TL02'!$C$238:$C$451,$C273,'TL02'!$J$238:$J$451),0),
IF('TL03'!$B$3=P$3,SUMIF('TL03'!$C$10:$C$224,$C273,'TL03'!$J$10:$J$224),0),
IF('TL03'!$B$229=P$3,SUMIF('TL03'!$C$238:$C$451,$C273,'TL03'!$J$238:$J$451),0),
IF('TL04'!$B$3=P$3,SUMIF('TL04'!$C$10:$C$224,$C273,'TL04'!$J$10:$J$224),0),
IF('TL04'!$B$229=P$3,SUMIF('TL04'!$C$238:$C$451,$C273,'TL04'!$J$238:$J$451),0),
IF('TL05'!$B$3=P$3,SUMIF('TL05'!$C$10:$C$224,$C273,'TL05'!$J$10:$J$224),0),
IF('TL05'!$B$229=P$3,SUMIF('TL05'!$C$238:$C$451,$C273,'TL05'!$J$238:$J$451),0),
IF('TL06'!$B$3=P$3,SUMIF('TL06'!$C$10:$C$224,$C273,'TL06'!$J$10:$J$224),0),
IF('TL06'!$B$229=P$3,SUMIF('TL06'!$C$238:$C$451,$C273,'TL06'!$J$238:$J$451),0),
IF('TL07'!$B$3=P$3,SUMIF('TL07'!$C$10:$C$224,$C273,'TL07'!$J$10:$J$224),0),
IF('TL07'!$B$229=P$3,SUMIF('TL07'!$C$238:$C$451,$C273,'TL07'!$J$238:$J$451),0),
IF('TL08'!$B$3=P$3,SUMIF('TL08'!$C$10:$C$224,$C273,'TL08'!$J$10:$J$224),0),
IF('TL08'!$B$229=P$3,SUMIF('TL08'!$C$238:$C$451,$C273,'TL08'!$J$238:$J$451),0),
IF('TL09'!$B$3=P$3,SUMIF('TL09'!$C$10:$C$224,$C273,'TL09'!$J$10:$J$224),0),
IF('TL09'!$B$229=P$3,SUMIF('TL09'!$C$238:$C$451,$C273,'TL09'!$J$238:$J$451),0),
IF('TL10'!$B$3=P$3,SUMIF('TL10'!$C$10:$C$224,$C273,'TL10'!$J$10:$J$224),0),
IF('TL10'!$B$229=P$3,SUMIF('TL10'!$C$238:$C$451,$C273,'TL10'!$J$238:$J$451),0),
IF('TL11'!$B$3=P$3,SUMIF('TL11'!$C$10:$C$224,$C273,'TL11'!$J$10:$J$224),0),
IF('TL11'!$B$229=P$3,SUMIF('TL11'!$C$238:$C$451,$C273,'TL11'!$J$238:$J$451),0),
IF('TL12'!$B$3=P$3,SUMIF('TL12'!$C$10:$C$224,$C273,'TL12'!$J$10:$J$224),0),
IF('TL12'!$B$229=P$3,SUMIF('TL12'!$C$238:$C$451,$C273,'TL12'!$J$238:$J$451),0),
IF('TL13'!$B$3=P$3,SUMIF('TL13'!$C$10:$C$224,$C273,'TL13'!$J$10:$J$224),0),
IF('TL13'!$B$229=P$3,SUMIF('TL13'!$C$238:$C$451,$C273,'TL13'!$J$238:$J$451),0),
IF('TL14'!$B$3=P$3,SUMIF('TL14'!$C$10:$C$224,$C273,'TL14'!$J$10:$J$224),0),
IF('TL14'!$B$229=P$3,SUMIF('TL14'!$C$238:$C$451,$C273,'TL14'!$J$238:$J$451),0),
IF('TL15'!$B$3=P$3,SUMIF('TL15'!$C$10:$C$224,$C273,'TL15'!$J$10:$J$224),0),
IF('TL15'!$B$229=P$3,SUMIF('TL15'!$C$238:$C$451,$C273,'TL15'!$J$238:$J$451),0),
IF('TL16'!$B$3=P$3,SUMIF('TL16'!$C$10:$C$224,$C273,'TL16'!$J$10:$J$224),0),
IF('TL16'!$B$229=P$3,SUMIF('TL16'!$C$238:$C$451,$C273,'TL16'!$J$238:$J$451),0),
IF('TL17'!$B$3=P$3,SUMIF('TL17'!$C$10:$C$224,$C273,'TL17'!$J$10:$J$224),0),
IF('TL17'!$B$229=P$3,SUMIF('TL17'!$C$238:$C$451,$C273,'TL17'!$J$238:$J$451),0),
IF('TL18'!$B$3=P$3,SUMIF('TL18'!$C$10:$C$224,$C273,'TL18'!$J$10:$J$224),0),
IF('TL18'!$B$229=P$3,SUMIF('TL18'!$C$238:$C$451,$C273,'TL18'!$J$238:$J$451),0),
IF('TL19'!$B$3=P$3,SUMIF('TL19'!$C$10:$C$224,$C273,'TL19'!$J$10:$J$224),0),
IF('TL19'!$B$229=P$3,SUMIF('TL19'!$C$238:$C$451,$C273,'TL19'!$J$238:$J$451),0)
),0)</f>
        <v>0</v>
      </c>
      <c r="Q273" s="9">
        <f>IFERROR(SUM(
IF('TL01'!$B$3=Q$3,SUMIF('TL01'!$C$10:$C$224,$C273,'TL01'!$J$10:$J$224),0),
IF('TL01'!$B$229=Q$3,SUMIF('TL01'!$C$238:$C$451,$C273,'TL01'!$J$238:$J$451),0),
IF('TL02'!$B$3=Q$3,SUMIF('TL02'!$C$10:$C$224,$C273,'TL02'!$J$10:$J$224),0),
IF('TL02'!$B$229=Q$3,SUMIF('TL02'!$C$238:$C$451,$C273,'TL02'!$J$238:$J$451),0),
IF('TL03'!$B$3=Q$3,SUMIF('TL03'!$C$10:$C$224,$C273,'TL03'!$J$10:$J$224),0),
IF('TL03'!$B$229=Q$3,SUMIF('TL03'!$C$238:$C$451,$C273,'TL03'!$J$238:$J$451),0),
IF('TL04'!$B$3=Q$3,SUMIF('TL04'!$C$10:$C$224,$C273,'TL04'!$J$10:$J$224),0),
IF('TL04'!$B$229=Q$3,SUMIF('TL04'!$C$238:$C$451,$C273,'TL04'!$J$238:$J$451),0),
IF('TL05'!$B$3=Q$3,SUMIF('TL05'!$C$10:$C$224,$C273,'TL05'!$J$10:$J$224),0),
IF('TL05'!$B$229=Q$3,SUMIF('TL05'!$C$238:$C$451,$C273,'TL05'!$J$238:$J$451),0),
IF('TL06'!$B$3=Q$3,SUMIF('TL06'!$C$10:$C$224,$C273,'TL06'!$J$10:$J$224),0),
IF('TL06'!$B$229=Q$3,SUMIF('TL06'!$C$238:$C$451,$C273,'TL06'!$J$238:$J$451),0),
IF('TL07'!$B$3=Q$3,SUMIF('TL07'!$C$10:$C$224,$C273,'TL07'!$J$10:$J$224),0),
IF('TL07'!$B$229=Q$3,SUMIF('TL07'!$C$238:$C$451,$C273,'TL07'!$J$238:$J$451),0),
IF('TL08'!$B$3=Q$3,SUMIF('TL08'!$C$10:$C$224,$C273,'TL08'!$J$10:$J$224),0),
IF('TL08'!$B$229=Q$3,SUMIF('TL08'!$C$238:$C$451,$C273,'TL08'!$J$238:$J$451),0),
IF('TL09'!$B$3=Q$3,SUMIF('TL09'!$C$10:$C$224,$C273,'TL09'!$J$10:$J$224),0),
IF('TL09'!$B$229=Q$3,SUMIF('TL09'!$C$238:$C$451,$C273,'TL09'!$J$238:$J$451),0),
IF('TL10'!$B$3=Q$3,SUMIF('TL10'!$C$10:$C$224,$C273,'TL10'!$J$10:$J$224),0),
IF('TL10'!$B$229=Q$3,SUMIF('TL10'!$C$238:$C$451,$C273,'TL10'!$J$238:$J$451),0),
IF('TL11'!$B$3=Q$3,SUMIF('TL11'!$C$10:$C$224,$C273,'TL11'!$J$10:$J$224),0),
IF('TL11'!$B$229=Q$3,SUMIF('TL11'!$C$238:$C$451,$C273,'TL11'!$J$238:$J$451),0),
IF('TL12'!$B$3=Q$3,SUMIF('TL12'!$C$10:$C$224,$C273,'TL12'!$J$10:$J$224),0),
IF('TL12'!$B$229=Q$3,SUMIF('TL12'!$C$238:$C$451,$C273,'TL12'!$J$238:$J$451),0),
IF('TL13'!$B$3=Q$3,SUMIF('TL13'!$C$10:$C$224,$C273,'TL13'!$J$10:$J$224),0),
IF('TL13'!$B$229=Q$3,SUMIF('TL13'!$C$238:$C$451,$C273,'TL13'!$J$238:$J$451),0),
IF('TL14'!$B$3=Q$3,SUMIF('TL14'!$C$10:$C$224,$C273,'TL14'!$J$10:$J$224),0),
IF('TL14'!$B$229=Q$3,SUMIF('TL14'!$C$238:$C$451,$C273,'TL14'!$J$238:$J$451),0),
IF('TL15'!$B$3=Q$3,SUMIF('TL15'!$C$10:$C$224,$C273,'TL15'!$J$10:$J$224),0),
IF('TL15'!$B$229=Q$3,SUMIF('TL15'!$C$238:$C$451,$C273,'TL15'!$J$238:$J$451),0),
IF('TL16'!$B$3=Q$3,SUMIF('TL16'!$C$10:$C$224,$C273,'TL16'!$J$10:$J$224),0),
IF('TL16'!$B$229=Q$3,SUMIF('TL16'!$C$238:$C$451,$C273,'TL16'!$J$238:$J$451),0),
IF('TL17'!$B$3=Q$3,SUMIF('TL17'!$C$10:$C$224,$C273,'TL17'!$J$10:$J$224),0),
IF('TL17'!$B$229=Q$3,SUMIF('TL17'!$C$238:$C$451,$C273,'TL17'!$J$238:$J$451),0),
IF('TL18'!$B$3=Q$3,SUMIF('TL18'!$C$10:$C$224,$C273,'TL18'!$J$10:$J$224),0),
IF('TL18'!$B$229=Q$3,SUMIF('TL18'!$C$238:$C$451,$C273,'TL18'!$J$238:$J$451),0),
IF('TL19'!$B$3=Q$3,SUMIF('TL19'!$C$10:$C$224,$C273,'TL19'!$J$10:$J$224),0),
IF('TL19'!$B$229=Q$3,SUMIF('TL19'!$C$238:$C$451,$C273,'TL19'!$J$238:$J$451),0)
),0)</f>
        <v>0</v>
      </c>
      <c r="R273" s="9">
        <f>IFERROR(
SUM(
SUMIF('TL01'!C:C,C273,'TL01'!J:J),
SUMIF('TL02'!C:C,C273,'TL02'!J:J),
SUMIF('TL03'!C:C,C273,'TL03'!J:J),
SUMIF('TL04'!C:C,C273,'TL04'!J:J),
SUMIF('TL05'!C:C,C273,'TL05'!J:J),
SUMIF('TL06'!C:C,C273,'TL06'!J:J),
SUMIF('TL07'!C:C,C273,'TL07'!J:J),
SUMIF('TL08'!C:C,C273,'TL08'!J:J),
SUMIF('TL09'!C:C,C273,'TL09'!J:J),
SUMIF('TL10'!C:C,C273,'TL10'!J:J),
SUMIF('TL11'!C:C,C273,'TL11'!J:J),
SUMIF('TL12'!C:C,C273,'TL12'!J:J),
SUMIF('TL13'!C:C,C273,'TL13'!J:J),
SUMIF('TL14'!C:C,C273,'TL14'!J:J),
SUMIF('TL15'!C:C,C273,'TL15'!J:J),
SUMIF('TL16'!C:C,C273,'TL16'!J:J),
SUMIF('TL17'!C:C,C273,'TL17'!J:J),
SUMIF('TL18'!C:C,C273,'TL18'!J:J),SUMIF('TL19'!C:C,C273,'TL19'!J:J))
,0)</f>
        <v>0</v>
      </c>
      <c r="S273" s="17">
        <f>IFERROR(__xludf.DUMMYFUNCTION("IFERROR(VLOOKUP(C273,
IMPORTRANGE(""1wULbzX32WdYsx-lj2U3uUNBBe2INVIRDtcK0d-Dvl90"",
""26-27!C:G""),
5,
FALSE),
"""")"),17.0)</f>
        <v>17</v>
      </c>
      <c r="T273" s="9"/>
      <c r="U273" s="92">
        <f t="shared" si="2"/>
        <v>0</v>
      </c>
      <c r="V273" s="93">
        <f t="shared" si="3"/>
        <v>0</v>
      </c>
    </row>
    <row r="274" ht="15.75" hidden="1" customHeight="1">
      <c r="A274" s="4" t="s">
        <v>961</v>
      </c>
      <c r="B274" s="125" t="s">
        <v>9</v>
      </c>
      <c r="C274" s="4" t="s">
        <v>972</v>
      </c>
      <c r="D274" s="4" t="s">
        <v>973</v>
      </c>
      <c r="E274" s="9"/>
      <c r="F274" s="4" t="s">
        <v>343</v>
      </c>
      <c r="G274" s="9"/>
      <c r="H274" s="9">
        <v>0.6</v>
      </c>
      <c r="I274" s="1"/>
      <c r="J274" s="9">
        <f>IFERROR(SUM(
IF('TL01'!$B$3=J$3,SUMIF('TL01'!$C$10:$C$224,$C274,'TL01'!$J$10:$J$224),0),
IF('TL01'!$B$229=J$3,SUMIF('TL01'!$C$238:$C$451,$C274,'TL01'!$J$238:$J$451),0),
IF('TL02'!$B$3=J$3,SUMIF('TL02'!$C$10:$C$224,$C274,'TL02'!$J$10:$J$224),0),
IF('TL02'!$B$229=J$3,SUMIF('TL02'!$C$238:$C$451,$C274,'TL02'!$J$238:$J$451),0),
IF('TL03'!$B$3=J$3,SUMIF('TL03'!$C$10:$C$224,$C274,'TL03'!$J$10:$J$224),0),
IF('TL03'!$B$229=J$3,SUMIF('TL03'!$C$238:$C$451,$C274,'TL03'!$J$238:$J$451),0),
IF('TL04'!$B$3=J$3,SUMIF('TL04'!$C$10:$C$224,$C274,'TL04'!$J$10:$J$224),0),
IF('TL04'!$B$229=J$3,SUMIF('TL04'!$C$238:$C$451,$C274,'TL04'!$J$238:$J$451),0),
IF('TL05'!$B$3=J$3,SUMIF('TL05'!$C$10:$C$224,$C274,'TL05'!$J$10:$J$224),0),
IF('TL05'!$B$229=J$3,SUMIF('TL05'!$C$238:$C$451,$C274,'TL05'!$J$238:$J$451),0),
IF('TL06'!$B$3=J$3,SUMIF('TL06'!$C$10:$C$224,$C274,'TL06'!$J$10:$J$224),0),
IF('TL06'!$B$229=J$3,SUMIF('TL06'!$C$238:$C$451,$C274,'TL06'!$J$238:$J$451),0),
IF('TL07'!$B$3=J$3,SUMIF('TL07'!$C$10:$C$224,$C274,'TL07'!$J$10:$J$224),0),
IF('TL07'!$B$229=J$3,SUMIF('TL07'!$C$238:$C$451,$C274,'TL07'!$J$238:$J$451),0),
IF('TL08'!$B$3=J$3,SUMIF('TL08'!$C$10:$C$224,$C274,'TL08'!$J$10:$J$224),0),
IF('TL08'!$B$229=J$3,SUMIF('TL08'!$C$238:$C$451,$C274,'TL08'!$J$238:$J$451),0),
IF('TL09'!$B$3=J$3,SUMIF('TL09'!$C$10:$C$224,$C274,'TL09'!$J$10:$J$224),0),
IF('TL09'!$B$229=J$3,SUMIF('TL09'!$C$238:$C$451,$C274,'TL09'!$J$238:$J$451),0),
IF('TL10'!$B$3=J$3,SUMIF('TL10'!$C$10:$C$224,$C274,'TL10'!$J$10:$J$224),0),
IF('TL10'!$B$229=J$3,SUMIF('TL10'!$C$238:$C$451,$C274,'TL10'!$J$238:$J$451),0),
IF('TL11'!$B$3=J$3,SUMIF('TL11'!$C$10:$C$224,$C274,'TL11'!$J$10:$J$224),0),
IF('TL11'!$B$229=J$3,SUMIF('TL11'!$C$238:$C$451,$C274,'TL11'!$J$238:$J$451),0),
IF('TL12'!$B$3=J$3,SUMIF('TL12'!$C$10:$C$224,$C274,'TL12'!$J$10:$J$224),0),
IF('TL12'!$B$229=J$3,SUMIF('TL12'!$C$238:$C$451,$C274,'TL12'!$J$238:$J$451),0),
IF('TL13'!$B$3=J$3,SUMIF('TL13'!$C$10:$C$224,$C274,'TL13'!$J$10:$J$224),0),
IF('TL13'!$B$229=J$3,SUMIF('TL13'!$C$238:$C$451,$C274,'TL13'!$J$238:$J$451),0),
IF('TL14'!$B$3=J$3,SUMIF('TL14'!$C$10:$C$224,$C274,'TL14'!$J$10:$J$224),0),
IF('TL14'!$B$229=J$3,SUMIF('TL14'!$C$238:$C$451,$C274,'TL14'!$J$238:$J$451),0),
IF('TL15'!$B$3=J$3,SUMIF('TL15'!$C$10:$C$224,$C274,'TL15'!$J$10:$J$224),0),
IF('TL15'!$B$229=J$3,SUMIF('TL15'!$C$238:$C$451,$C274,'TL15'!$J$238:$J$451),0),
IF('TL16'!$B$3=J$3,SUMIF('TL16'!$C$10:$C$224,$C274,'TL16'!$J$10:$J$224),0),
IF('TL16'!$B$229=J$3,SUMIF('TL16'!$C$238:$C$451,$C274,'TL16'!$J$238:$J$451),0),
IF('TL17'!$B$3=J$3,SUMIF('TL17'!$C$10:$C$224,$C274,'TL17'!$J$10:$J$224),0),
IF('TL17'!$B$229=J$3,SUMIF('TL17'!$C$238:$C$451,$C274,'TL17'!$J$238:$J$451),0),
IF('TL18'!$B$3=J$3,SUMIF('TL18'!$C$10:$C$224,$C274,'TL18'!$J$10:$J$224),0),
IF('TL18'!$B$229=J$3,SUMIF('TL18'!$C$238:$C$451,$C274,'TL18'!$J$238:$J$451),0),
IF('TL19'!$B$3=J$3,SUMIF('TL19'!$C$10:$C$224,$C274,'TL19'!$J$10:$J$224),0),
IF('TL19'!$B$229=J$3,SUMIF('TL19'!$C$238:$C$451,$C274,'TL19'!$J$238:$J$451),0)
),0)</f>
        <v>0</v>
      </c>
      <c r="K274" s="9">
        <f>IFERROR(SUM(
IF('TL01'!$B$3=K$3,SUMIF('TL01'!$C$10:$C$224,$C274,'TL01'!$J$10:$J$224),0),
IF('TL01'!$B$229=K$3,SUMIF('TL01'!$C$238:$C$451,$C274,'TL01'!$J$238:$J$451),0),
IF('TL02'!$B$3=K$3,SUMIF('TL02'!$C$10:$C$224,$C274,'TL02'!$J$10:$J$224),0),
IF('TL02'!$B$229=K$3,SUMIF('TL02'!$C$238:$C$451,$C274,'TL02'!$J$238:$J$451),0),
IF('TL03'!$B$3=K$3,SUMIF('TL03'!$C$10:$C$224,$C274,'TL03'!$J$10:$J$224),0),
IF('TL03'!$B$229=K$3,SUMIF('TL03'!$C$238:$C$451,$C274,'TL03'!$J$238:$J$451),0),
IF('TL04'!$B$3=K$3,SUMIF('TL04'!$C$10:$C$224,$C274,'TL04'!$J$10:$J$224),0),
IF('TL04'!$B$229=K$3,SUMIF('TL04'!$C$238:$C$451,$C274,'TL04'!$J$238:$J$451),0),
IF('TL05'!$B$3=K$3,SUMIF('TL05'!$C$10:$C$224,$C274,'TL05'!$J$10:$J$224),0),
IF('TL05'!$B$229=K$3,SUMIF('TL05'!$C$238:$C$451,$C274,'TL05'!$J$238:$J$451),0),
IF('TL06'!$B$3=K$3,SUMIF('TL06'!$C$10:$C$224,$C274,'TL06'!$J$10:$J$224),0),
IF('TL06'!$B$229=K$3,SUMIF('TL06'!$C$238:$C$451,$C274,'TL06'!$J$238:$J$451),0),
IF('TL07'!$B$3=K$3,SUMIF('TL07'!$C$10:$C$224,$C274,'TL07'!$J$10:$J$224),0),
IF('TL07'!$B$229=K$3,SUMIF('TL07'!$C$238:$C$451,$C274,'TL07'!$J$238:$J$451),0),
IF('TL08'!$B$3=K$3,SUMIF('TL08'!$C$10:$C$224,$C274,'TL08'!$J$10:$J$224),0),
IF('TL08'!$B$229=K$3,SUMIF('TL08'!$C$238:$C$451,$C274,'TL08'!$J$238:$J$451),0),
IF('TL09'!$B$3=K$3,SUMIF('TL09'!$C$10:$C$224,$C274,'TL09'!$J$10:$J$224),0),
IF('TL09'!$B$229=K$3,SUMIF('TL09'!$C$238:$C$451,$C274,'TL09'!$J$238:$J$451),0),
IF('TL10'!$B$3=K$3,SUMIF('TL10'!$C$10:$C$224,$C274,'TL10'!$J$10:$J$224),0),
IF('TL10'!$B$229=K$3,SUMIF('TL10'!$C$238:$C$451,$C274,'TL10'!$J$238:$J$451),0),
IF('TL11'!$B$3=K$3,SUMIF('TL11'!$C$10:$C$224,$C274,'TL11'!$J$10:$J$224),0),
IF('TL11'!$B$229=K$3,SUMIF('TL11'!$C$238:$C$451,$C274,'TL11'!$J$238:$J$451),0),
IF('TL12'!$B$3=K$3,SUMIF('TL12'!$C$10:$C$224,$C274,'TL12'!$J$10:$J$224),0),
IF('TL12'!$B$229=K$3,SUMIF('TL12'!$C$238:$C$451,$C274,'TL12'!$J$238:$J$451),0),
IF('TL13'!$B$3=K$3,SUMIF('TL13'!$C$10:$C$224,$C274,'TL13'!$J$10:$J$224),0),
IF('TL13'!$B$229=K$3,SUMIF('TL13'!$C$238:$C$451,$C274,'TL13'!$J$238:$J$451),0),
IF('TL14'!$B$3=K$3,SUMIF('TL14'!$C$10:$C$224,$C274,'TL14'!$J$10:$J$224),0),
IF('TL14'!$B$229=K$3,SUMIF('TL14'!$C$238:$C$451,$C274,'TL14'!$J$238:$J$451),0),
IF('TL15'!$B$3=K$3,SUMIF('TL15'!$C$10:$C$224,$C274,'TL15'!$J$10:$J$224),0),
IF('TL15'!$B$229=K$3,SUMIF('TL15'!$C$238:$C$451,$C274,'TL15'!$J$238:$J$451),0),
IF('TL16'!$B$3=K$3,SUMIF('TL16'!$C$10:$C$224,$C274,'TL16'!$J$10:$J$224),0),
IF('TL16'!$B$229=K$3,SUMIF('TL16'!$C$238:$C$451,$C274,'TL16'!$J$238:$J$451),0),
IF('TL17'!$B$3=K$3,SUMIF('TL17'!$C$10:$C$224,$C274,'TL17'!$J$10:$J$224),0),
IF('TL17'!$B$229=K$3,SUMIF('TL17'!$C$238:$C$451,$C274,'TL17'!$J$238:$J$451),0),
IF('TL18'!$B$3=K$3,SUMIF('TL18'!$C$10:$C$224,$C274,'TL18'!$J$10:$J$224),0),
IF('TL18'!$B$229=K$3,SUMIF('TL18'!$C$238:$C$451,$C274,'TL18'!$J$238:$J$451),0),
IF('TL19'!$B$3=K$3,SUMIF('TL19'!$C$10:$C$224,$C274,'TL19'!$J$10:$J$224),0),
IF('TL19'!$B$229=K$3,SUMIF('TL19'!$C$238:$C$451,$C274,'TL19'!$J$238:$J$451),0)
),0)</f>
        <v>0</v>
      </c>
      <c r="L274" s="9">
        <f>IFERROR(SUM(
IF('TL01'!$B$3=L$3,SUMIF('TL01'!$C$10:$C$224,$C274,'TL01'!$J$10:$J$224),0),
IF('TL01'!$B$229=L$3,SUMIF('TL01'!$C$238:$C$451,$C274,'TL01'!$J$238:$J$451),0),
IF('TL02'!$B$3=L$3,SUMIF('TL02'!$C$10:$C$224,$C274,'TL02'!$J$10:$J$224),0),
IF('TL02'!$B$229=L$3,SUMIF('TL02'!$C$238:$C$451,$C274,'TL02'!$J$238:$J$451),0),
IF('TL03'!$B$3=L$3,SUMIF('TL03'!$C$10:$C$224,$C274,'TL03'!$J$10:$J$224),0),
IF('TL03'!$B$229=L$3,SUMIF('TL03'!$C$238:$C$451,$C274,'TL03'!$J$238:$J$451),0),
IF('TL04'!$B$3=L$3,SUMIF('TL04'!$C$10:$C$224,$C274,'TL04'!$J$10:$J$224),0),
IF('TL04'!$B$229=L$3,SUMIF('TL04'!$C$238:$C$451,$C274,'TL04'!$J$238:$J$451),0),
IF('TL05'!$B$3=L$3,SUMIF('TL05'!$C$10:$C$224,$C274,'TL05'!$J$10:$J$224),0),
IF('TL05'!$B$229=L$3,SUMIF('TL05'!$C$238:$C$451,$C274,'TL05'!$J$238:$J$451),0),
IF('TL06'!$B$3=L$3,SUMIF('TL06'!$C$10:$C$224,$C274,'TL06'!$J$10:$J$224),0),
IF('TL06'!$B$229=L$3,SUMIF('TL06'!$C$238:$C$451,$C274,'TL06'!$J$238:$J$451),0),
IF('TL07'!$B$3=L$3,SUMIF('TL07'!$C$10:$C$224,$C274,'TL07'!$J$10:$J$224),0),
IF('TL07'!$B$229=L$3,SUMIF('TL07'!$C$238:$C$451,$C274,'TL07'!$J$238:$J$451),0),
IF('TL08'!$B$3=L$3,SUMIF('TL08'!$C$10:$C$224,$C274,'TL08'!$J$10:$J$224),0),
IF('TL08'!$B$229=L$3,SUMIF('TL08'!$C$238:$C$451,$C274,'TL08'!$J$238:$J$451),0),
IF('TL09'!$B$3=L$3,SUMIF('TL09'!$C$10:$C$224,$C274,'TL09'!$J$10:$J$224),0),
IF('TL09'!$B$229=L$3,SUMIF('TL09'!$C$238:$C$451,$C274,'TL09'!$J$238:$J$451),0),
IF('TL10'!$B$3=L$3,SUMIF('TL10'!$C$10:$C$224,$C274,'TL10'!$J$10:$J$224),0),
IF('TL10'!$B$229=L$3,SUMIF('TL10'!$C$238:$C$451,$C274,'TL10'!$J$238:$J$451),0),
IF('TL11'!$B$3=L$3,SUMIF('TL11'!$C$10:$C$224,$C274,'TL11'!$J$10:$J$224),0),
IF('TL11'!$B$229=L$3,SUMIF('TL11'!$C$238:$C$451,$C274,'TL11'!$J$238:$J$451),0),
IF('TL12'!$B$3=L$3,SUMIF('TL12'!$C$10:$C$224,$C274,'TL12'!$J$10:$J$224),0),
IF('TL12'!$B$229=L$3,SUMIF('TL12'!$C$238:$C$451,$C274,'TL12'!$J$238:$J$451),0),
IF('TL13'!$B$3=L$3,SUMIF('TL13'!$C$10:$C$224,$C274,'TL13'!$J$10:$J$224),0),
IF('TL13'!$B$229=L$3,SUMIF('TL13'!$C$238:$C$451,$C274,'TL13'!$J$238:$J$451),0),
IF('TL14'!$B$3=L$3,SUMIF('TL14'!$C$10:$C$224,$C274,'TL14'!$J$10:$J$224),0),
IF('TL14'!$B$229=L$3,SUMIF('TL14'!$C$238:$C$451,$C274,'TL14'!$J$238:$J$451),0),
IF('TL15'!$B$3=L$3,SUMIF('TL15'!$C$10:$C$224,$C274,'TL15'!$J$10:$J$224),0),
IF('TL15'!$B$229=L$3,SUMIF('TL15'!$C$238:$C$451,$C274,'TL15'!$J$238:$J$451),0),
IF('TL16'!$B$3=L$3,SUMIF('TL16'!$C$10:$C$224,$C274,'TL16'!$J$10:$J$224),0),
IF('TL16'!$B$229=L$3,SUMIF('TL16'!$C$238:$C$451,$C274,'TL16'!$J$238:$J$451),0),
IF('TL17'!$B$3=L$3,SUMIF('TL17'!$C$10:$C$224,$C274,'TL17'!$J$10:$J$224),0),
IF('TL17'!$B$229=L$3,SUMIF('TL17'!$C$238:$C$451,$C274,'TL17'!$J$238:$J$451),0),
IF('TL18'!$B$3=L$3,SUMIF('TL18'!$C$10:$C$224,$C274,'TL18'!$J$10:$J$224),0),
IF('TL18'!$B$229=L$3,SUMIF('TL18'!$C$238:$C$451,$C274,'TL18'!$J$238:$J$451),0),
IF('TL19'!$B$3=L$3,SUMIF('TL19'!$C$10:$C$224,$C274,'TL19'!$J$10:$J$224),0),
IF('TL19'!$B$229=L$3,SUMIF('TL19'!$C$238:$C$451,$C274,'TL19'!$J$238:$J$451),0)
),0)</f>
        <v>0</v>
      </c>
      <c r="M274" s="9">
        <f>IFERROR(SUM(
IF('TL01'!$B$3=M$3,SUMIF('TL01'!$C$10:$C$224,$C274,'TL01'!$J$10:$J$224),0),
IF('TL01'!$B$229=M$3,SUMIF('TL01'!$C$238:$C$451,$C274,'TL01'!$J$238:$J$451),0),
IF('TL02'!$B$3=M$3,SUMIF('TL02'!$C$10:$C$224,$C274,'TL02'!$J$10:$J$224),0),
IF('TL02'!$B$229=M$3,SUMIF('TL02'!$C$238:$C$451,$C274,'TL02'!$J$238:$J$451),0),
IF('TL03'!$B$3=M$3,SUMIF('TL03'!$C$10:$C$224,$C274,'TL03'!$J$10:$J$224),0),
IF('TL03'!$B$229=M$3,SUMIF('TL03'!$C$238:$C$451,$C274,'TL03'!$J$238:$J$451),0),
IF('TL04'!$B$3=M$3,SUMIF('TL04'!$C$10:$C$224,$C274,'TL04'!$J$10:$J$224),0),
IF('TL04'!$B$229=M$3,SUMIF('TL04'!$C$238:$C$451,$C274,'TL04'!$J$238:$J$451),0),
IF('TL05'!$B$3=M$3,SUMIF('TL05'!$C$10:$C$224,$C274,'TL05'!$J$10:$J$224),0),
IF('TL05'!$B$229=M$3,SUMIF('TL05'!$C$238:$C$451,$C274,'TL05'!$J$238:$J$451),0),
IF('TL06'!$B$3=M$3,SUMIF('TL06'!$C$10:$C$224,$C274,'TL06'!$J$10:$J$224),0),
IF('TL06'!$B$229=M$3,SUMIF('TL06'!$C$238:$C$451,$C274,'TL06'!$J$238:$J$451),0),
IF('TL07'!$B$3=M$3,SUMIF('TL07'!$C$10:$C$224,$C274,'TL07'!$J$10:$J$224),0),
IF('TL07'!$B$229=M$3,SUMIF('TL07'!$C$238:$C$451,$C274,'TL07'!$J$238:$J$451),0),
IF('TL08'!$B$3=M$3,SUMIF('TL08'!$C$10:$C$224,$C274,'TL08'!$J$10:$J$224),0),
IF('TL08'!$B$229=M$3,SUMIF('TL08'!$C$238:$C$451,$C274,'TL08'!$J$238:$J$451),0),
IF('TL09'!$B$3=M$3,SUMIF('TL09'!$C$10:$C$224,$C274,'TL09'!$J$10:$J$224),0),
IF('TL09'!$B$229=M$3,SUMIF('TL09'!$C$238:$C$451,$C274,'TL09'!$J$238:$J$451),0),
IF('TL10'!$B$3=M$3,SUMIF('TL10'!$C$10:$C$224,$C274,'TL10'!$J$10:$J$224),0),
IF('TL10'!$B$229=M$3,SUMIF('TL10'!$C$238:$C$451,$C274,'TL10'!$J$238:$J$451),0),
IF('TL11'!$B$3=M$3,SUMIF('TL11'!$C$10:$C$224,$C274,'TL11'!$J$10:$J$224),0),
IF('TL11'!$B$229=M$3,SUMIF('TL11'!$C$238:$C$451,$C274,'TL11'!$J$238:$J$451),0),
IF('TL12'!$B$3=M$3,SUMIF('TL12'!$C$10:$C$224,$C274,'TL12'!$J$10:$J$224),0),
IF('TL12'!$B$229=M$3,SUMIF('TL12'!$C$238:$C$451,$C274,'TL12'!$J$238:$J$451),0),
IF('TL13'!$B$3=M$3,SUMIF('TL13'!$C$10:$C$224,$C274,'TL13'!$J$10:$J$224),0),
IF('TL13'!$B$229=M$3,SUMIF('TL13'!$C$238:$C$451,$C274,'TL13'!$J$238:$J$451),0),
IF('TL14'!$B$3=M$3,SUMIF('TL14'!$C$10:$C$224,$C274,'TL14'!$J$10:$J$224),0),
IF('TL14'!$B$229=M$3,SUMIF('TL14'!$C$238:$C$451,$C274,'TL14'!$J$238:$J$451),0),
IF('TL15'!$B$3=M$3,SUMIF('TL15'!$C$10:$C$224,$C274,'TL15'!$J$10:$J$224),0),
IF('TL15'!$B$229=M$3,SUMIF('TL15'!$C$238:$C$451,$C274,'TL15'!$J$238:$J$451),0),
IF('TL16'!$B$3=M$3,SUMIF('TL16'!$C$10:$C$224,$C274,'TL16'!$J$10:$J$224),0),
IF('TL16'!$B$229=M$3,SUMIF('TL16'!$C$238:$C$451,$C274,'TL16'!$J$238:$J$451),0),
IF('TL17'!$B$3=M$3,SUMIF('TL17'!$C$10:$C$224,$C274,'TL17'!$J$10:$J$224),0),
IF('TL17'!$B$229=M$3,SUMIF('TL17'!$C$238:$C$451,$C274,'TL17'!$J$238:$J$451),0),
IF('TL18'!$B$3=M$3,SUMIF('TL18'!$C$10:$C$224,$C274,'TL18'!$J$10:$J$224),0),
IF('TL18'!$B$229=M$3,SUMIF('TL18'!$C$238:$C$451,$C274,'TL18'!$J$238:$J$451),0),
IF('TL19'!$B$3=M$3,SUMIF('TL19'!$C$10:$C$224,$C274,'TL19'!$J$10:$J$224),0),
IF('TL19'!$B$229=M$3,SUMIF('TL19'!$C$238:$C$451,$C274,'TL19'!$J$238:$J$451),0)
),0)</f>
        <v>0</v>
      </c>
      <c r="N274" s="9">
        <f>IFERROR(SUM(
IF('TL01'!$B$3=N$3,SUMIF('TL01'!$C$10:$C$224,$C274,'TL01'!$J$10:$J$224),0),
IF('TL01'!$B$229=N$3,SUMIF('TL01'!$C$238:$C$451,$C274,'TL01'!$J$238:$J$451),0),
IF('TL02'!$B$3=N$3,SUMIF('TL02'!$C$10:$C$224,$C274,'TL02'!$J$10:$J$224),0),
IF('TL02'!$B$229=N$3,SUMIF('TL02'!$C$238:$C$451,$C274,'TL02'!$J$238:$J$451),0),
IF('TL03'!$B$3=N$3,SUMIF('TL03'!$C$10:$C$224,$C274,'TL03'!$J$10:$J$224),0),
IF('TL03'!$B$229=N$3,SUMIF('TL03'!$C$238:$C$451,$C274,'TL03'!$J$238:$J$451),0),
IF('TL04'!$B$3=N$3,SUMIF('TL04'!$C$10:$C$224,$C274,'TL04'!$J$10:$J$224),0),
IF('TL04'!$B$229=N$3,SUMIF('TL04'!$C$238:$C$451,$C274,'TL04'!$J$238:$J$451),0),
IF('TL05'!$B$3=N$3,SUMIF('TL05'!$C$10:$C$224,$C274,'TL05'!$J$10:$J$224),0),
IF('TL05'!$B$229=N$3,SUMIF('TL05'!$C$238:$C$451,$C274,'TL05'!$J$238:$J$451),0),
IF('TL06'!$B$3=N$3,SUMIF('TL06'!$C$10:$C$224,$C274,'TL06'!$J$10:$J$224),0),
IF('TL06'!$B$229=N$3,SUMIF('TL06'!$C$238:$C$451,$C274,'TL06'!$J$238:$J$451),0),
IF('TL07'!$B$3=N$3,SUMIF('TL07'!$C$10:$C$224,$C274,'TL07'!$J$10:$J$224),0),
IF('TL07'!$B$229=N$3,SUMIF('TL07'!$C$238:$C$451,$C274,'TL07'!$J$238:$J$451),0),
IF('TL08'!$B$3=N$3,SUMIF('TL08'!$C$10:$C$224,$C274,'TL08'!$J$10:$J$224),0),
IF('TL08'!$B$229=N$3,SUMIF('TL08'!$C$238:$C$451,$C274,'TL08'!$J$238:$J$451),0),
IF('TL09'!$B$3=N$3,SUMIF('TL09'!$C$10:$C$224,$C274,'TL09'!$J$10:$J$224),0),
IF('TL09'!$B$229=N$3,SUMIF('TL09'!$C$238:$C$451,$C274,'TL09'!$J$238:$J$451),0),
IF('TL10'!$B$3=N$3,SUMIF('TL10'!$C$10:$C$224,$C274,'TL10'!$J$10:$J$224),0),
IF('TL10'!$B$229=N$3,SUMIF('TL10'!$C$238:$C$451,$C274,'TL10'!$J$238:$J$451),0),
IF('TL11'!$B$3=N$3,SUMIF('TL11'!$C$10:$C$224,$C274,'TL11'!$J$10:$J$224),0),
IF('TL11'!$B$229=N$3,SUMIF('TL11'!$C$238:$C$451,$C274,'TL11'!$J$238:$J$451),0),
IF('TL12'!$B$3=N$3,SUMIF('TL12'!$C$10:$C$224,$C274,'TL12'!$J$10:$J$224),0),
IF('TL12'!$B$229=N$3,SUMIF('TL12'!$C$238:$C$451,$C274,'TL12'!$J$238:$J$451),0),
IF('TL13'!$B$3=N$3,SUMIF('TL13'!$C$10:$C$224,$C274,'TL13'!$J$10:$J$224),0),
IF('TL13'!$B$229=N$3,SUMIF('TL13'!$C$238:$C$451,$C274,'TL13'!$J$238:$J$451),0),
IF('TL14'!$B$3=N$3,SUMIF('TL14'!$C$10:$C$224,$C274,'TL14'!$J$10:$J$224),0),
IF('TL14'!$B$229=N$3,SUMIF('TL14'!$C$238:$C$451,$C274,'TL14'!$J$238:$J$451),0),
IF('TL15'!$B$3=N$3,SUMIF('TL15'!$C$10:$C$224,$C274,'TL15'!$J$10:$J$224),0),
IF('TL15'!$B$229=N$3,SUMIF('TL15'!$C$238:$C$451,$C274,'TL15'!$J$238:$J$451),0),
IF('TL16'!$B$3=N$3,SUMIF('TL16'!$C$10:$C$224,$C274,'TL16'!$J$10:$J$224),0),
IF('TL16'!$B$229=N$3,SUMIF('TL16'!$C$238:$C$451,$C274,'TL16'!$J$238:$J$451),0),
IF('TL17'!$B$3=N$3,SUMIF('TL17'!$C$10:$C$224,$C274,'TL17'!$J$10:$J$224),0),
IF('TL17'!$B$229=N$3,SUMIF('TL17'!$C$238:$C$451,$C274,'TL17'!$J$238:$J$451),0),
IF('TL18'!$B$3=N$3,SUMIF('TL18'!$C$10:$C$224,$C274,'TL18'!$J$10:$J$224),0),
IF('TL18'!$B$229=N$3,SUMIF('TL18'!$C$238:$C$451,$C274,'TL18'!$J$238:$J$451),0),
IF('TL19'!$B$3=N$3,SUMIF('TL19'!$C$10:$C$224,$C274,'TL19'!$J$10:$J$224),0),
IF('TL19'!$B$229=N$3,SUMIF('TL19'!$C$238:$C$451,$C274,'TL19'!$J$238:$J$451),0)
),0)</f>
        <v>0</v>
      </c>
      <c r="O274" s="9">
        <f>IFERROR(SUM(
IF('TL01'!$B$3=O$3,SUMIF('TL01'!$C$10:$C$224,$C274,'TL01'!$J$10:$J$224),0),
IF('TL01'!$B$229=O$3,SUMIF('TL01'!$C$238:$C$451,$C274,'TL01'!$J$238:$J$451),0),
IF('TL02'!$B$3=O$3,SUMIF('TL02'!$C$10:$C$224,$C274,'TL02'!$J$10:$J$224),0),
IF('TL02'!$B$229=O$3,SUMIF('TL02'!$C$238:$C$451,$C274,'TL02'!$J$238:$J$451),0),
IF('TL03'!$B$3=O$3,SUMIF('TL03'!$C$10:$C$224,$C274,'TL03'!$J$10:$J$224),0),
IF('TL03'!$B$229=O$3,SUMIF('TL03'!$C$238:$C$451,$C274,'TL03'!$J$238:$J$451),0),
IF('TL04'!$B$3=O$3,SUMIF('TL04'!$C$10:$C$224,$C274,'TL04'!$J$10:$J$224),0),
IF('TL04'!$B$229=O$3,SUMIF('TL04'!$C$238:$C$451,$C274,'TL04'!$J$238:$J$451),0),
IF('TL05'!$B$3=O$3,SUMIF('TL05'!$C$10:$C$224,$C274,'TL05'!$J$10:$J$224),0),
IF('TL05'!$B$229=O$3,SUMIF('TL05'!$C$238:$C$451,$C274,'TL05'!$J$238:$J$451),0),
IF('TL06'!$B$3=O$3,SUMIF('TL06'!$C$10:$C$224,$C274,'TL06'!$J$10:$J$224),0),
IF('TL06'!$B$229=O$3,SUMIF('TL06'!$C$238:$C$451,$C274,'TL06'!$J$238:$J$451),0),
IF('TL07'!$B$3=O$3,SUMIF('TL07'!$C$10:$C$224,$C274,'TL07'!$J$10:$J$224),0),
IF('TL07'!$B$229=O$3,SUMIF('TL07'!$C$238:$C$451,$C274,'TL07'!$J$238:$J$451),0),
IF('TL08'!$B$3=O$3,SUMIF('TL08'!$C$10:$C$224,$C274,'TL08'!$J$10:$J$224),0),
IF('TL08'!$B$229=O$3,SUMIF('TL08'!$C$238:$C$451,$C274,'TL08'!$J$238:$J$451),0),
IF('TL09'!$B$3=O$3,SUMIF('TL09'!$C$10:$C$224,$C274,'TL09'!$J$10:$J$224),0),
IF('TL09'!$B$229=O$3,SUMIF('TL09'!$C$238:$C$451,$C274,'TL09'!$J$238:$J$451),0),
IF('TL10'!$B$3=O$3,SUMIF('TL10'!$C$10:$C$224,$C274,'TL10'!$J$10:$J$224),0),
IF('TL10'!$B$229=O$3,SUMIF('TL10'!$C$238:$C$451,$C274,'TL10'!$J$238:$J$451),0),
IF('TL11'!$B$3=O$3,SUMIF('TL11'!$C$10:$C$224,$C274,'TL11'!$J$10:$J$224),0),
IF('TL11'!$B$229=O$3,SUMIF('TL11'!$C$238:$C$451,$C274,'TL11'!$J$238:$J$451),0),
IF('TL12'!$B$3=O$3,SUMIF('TL12'!$C$10:$C$224,$C274,'TL12'!$J$10:$J$224),0),
IF('TL12'!$B$229=O$3,SUMIF('TL12'!$C$238:$C$451,$C274,'TL12'!$J$238:$J$451),0),
IF('TL13'!$B$3=O$3,SUMIF('TL13'!$C$10:$C$224,$C274,'TL13'!$J$10:$J$224),0),
IF('TL13'!$B$229=O$3,SUMIF('TL13'!$C$238:$C$451,$C274,'TL13'!$J$238:$J$451),0),
IF('TL14'!$B$3=O$3,SUMIF('TL14'!$C$10:$C$224,$C274,'TL14'!$J$10:$J$224),0),
IF('TL14'!$B$229=O$3,SUMIF('TL14'!$C$238:$C$451,$C274,'TL14'!$J$238:$J$451),0),
IF('TL15'!$B$3=O$3,SUMIF('TL15'!$C$10:$C$224,$C274,'TL15'!$J$10:$J$224),0),
IF('TL15'!$B$229=O$3,SUMIF('TL15'!$C$238:$C$451,$C274,'TL15'!$J$238:$J$451),0),
IF('TL16'!$B$3=O$3,SUMIF('TL16'!$C$10:$C$224,$C274,'TL16'!$J$10:$J$224),0),
IF('TL16'!$B$229=O$3,SUMIF('TL16'!$C$238:$C$451,$C274,'TL16'!$J$238:$J$451),0),
IF('TL17'!$B$3=O$3,SUMIF('TL17'!$C$10:$C$224,$C274,'TL17'!$J$10:$J$224),0),
IF('TL17'!$B$229=O$3,SUMIF('TL17'!$C$238:$C$451,$C274,'TL17'!$J$238:$J$451),0),
IF('TL18'!$B$3=O$3,SUMIF('TL18'!$C$10:$C$224,$C274,'TL18'!$J$10:$J$224),0),
IF('TL18'!$B$229=O$3,SUMIF('TL18'!$C$238:$C$451,$C274,'TL18'!$J$238:$J$451),0),
IF('TL19'!$B$3=O$3,SUMIF('TL19'!$C$10:$C$224,$C274,'TL19'!$J$10:$J$224),0),
IF('TL19'!$B$229=O$3,SUMIF('TL19'!$C$238:$C$451,$C274,'TL19'!$J$238:$J$451),0)
),0)</f>
        <v>0</v>
      </c>
      <c r="P274" s="9">
        <f>IFERROR(SUM(
IF('TL01'!$B$3=P$3,SUMIF('TL01'!$C$10:$C$224,$C274,'TL01'!$J$10:$J$224),0),
IF('TL01'!$B$229=P$3,SUMIF('TL01'!$C$238:$C$451,$C274,'TL01'!$J$238:$J$451),0),
IF('TL02'!$B$3=P$3,SUMIF('TL02'!$C$10:$C$224,$C274,'TL02'!$J$10:$J$224),0),
IF('TL02'!$B$229=P$3,SUMIF('TL02'!$C$238:$C$451,$C274,'TL02'!$J$238:$J$451),0),
IF('TL03'!$B$3=P$3,SUMIF('TL03'!$C$10:$C$224,$C274,'TL03'!$J$10:$J$224),0),
IF('TL03'!$B$229=P$3,SUMIF('TL03'!$C$238:$C$451,$C274,'TL03'!$J$238:$J$451),0),
IF('TL04'!$B$3=P$3,SUMIF('TL04'!$C$10:$C$224,$C274,'TL04'!$J$10:$J$224),0),
IF('TL04'!$B$229=P$3,SUMIF('TL04'!$C$238:$C$451,$C274,'TL04'!$J$238:$J$451),0),
IF('TL05'!$B$3=P$3,SUMIF('TL05'!$C$10:$C$224,$C274,'TL05'!$J$10:$J$224),0),
IF('TL05'!$B$229=P$3,SUMIF('TL05'!$C$238:$C$451,$C274,'TL05'!$J$238:$J$451),0),
IF('TL06'!$B$3=P$3,SUMIF('TL06'!$C$10:$C$224,$C274,'TL06'!$J$10:$J$224),0),
IF('TL06'!$B$229=P$3,SUMIF('TL06'!$C$238:$C$451,$C274,'TL06'!$J$238:$J$451),0),
IF('TL07'!$B$3=P$3,SUMIF('TL07'!$C$10:$C$224,$C274,'TL07'!$J$10:$J$224),0),
IF('TL07'!$B$229=P$3,SUMIF('TL07'!$C$238:$C$451,$C274,'TL07'!$J$238:$J$451),0),
IF('TL08'!$B$3=P$3,SUMIF('TL08'!$C$10:$C$224,$C274,'TL08'!$J$10:$J$224),0),
IF('TL08'!$B$229=P$3,SUMIF('TL08'!$C$238:$C$451,$C274,'TL08'!$J$238:$J$451),0),
IF('TL09'!$B$3=P$3,SUMIF('TL09'!$C$10:$C$224,$C274,'TL09'!$J$10:$J$224),0),
IF('TL09'!$B$229=P$3,SUMIF('TL09'!$C$238:$C$451,$C274,'TL09'!$J$238:$J$451),0),
IF('TL10'!$B$3=P$3,SUMIF('TL10'!$C$10:$C$224,$C274,'TL10'!$J$10:$J$224),0),
IF('TL10'!$B$229=P$3,SUMIF('TL10'!$C$238:$C$451,$C274,'TL10'!$J$238:$J$451),0),
IF('TL11'!$B$3=P$3,SUMIF('TL11'!$C$10:$C$224,$C274,'TL11'!$J$10:$J$224),0),
IF('TL11'!$B$229=P$3,SUMIF('TL11'!$C$238:$C$451,$C274,'TL11'!$J$238:$J$451),0),
IF('TL12'!$B$3=P$3,SUMIF('TL12'!$C$10:$C$224,$C274,'TL12'!$J$10:$J$224),0),
IF('TL12'!$B$229=P$3,SUMIF('TL12'!$C$238:$C$451,$C274,'TL12'!$J$238:$J$451),0),
IF('TL13'!$B$3=P$3,SUMIF('TL13'!$C$10:$C$224,$C274,'TL13'!$J$10:$J$224),0),
IF('TL13'!$B$229=P$3,SUMIF('TL13'!$C$238:$C$451,$C274,'TL13'!$J$238:$J$451),0),
IF('TL14'!$B$3=P$3,SUMIF('TL14'!$C$10:$C$224,$C274,'TL14'!$J$10:$J$224),0),
IF('TL14'!$B$229=P$3,SUMIF('TL14'!$C$238:$C$451,$C274,'TL14'!$J$238:$J$451),0),
IF('TL15'!$B$3=P$3,SUMIF('TL15'!$C$10:$C$224,$C274,'TL15'!$J$10:$J$224),0),
IF('TL15'!$B$229=P$3,SUMIF('TL15'!$C$238:$C$451,$C274,'TL15'!$J$238:$J$451),0),
IF('TL16'!$B$3=P$3,SUMIF('TL16'!$C$10:$C$224,$C274,'TL16'!$J$10:$J$224),0),
IF('TL16'!$B$229=P$3,SUMIF('TL16'!$C$238:$C$451,$C274,'TL16'!$J$238:$J$451),0),
IF('TL17'!$B$3=P$3,SUMIF('TL17'!$C$10:$C$224,$C274,'TL17'!$J$10:$J$224),0),
IF('TL17'!$B$229=P$3,SUMIF('TL17'!$C$238:$C$451,$C274,'TL17'!$J$238:$J$451),0),
IF('TL18'!$B$3=P$3,SUMIF('TL18'!$C$10:$C$224,$C274,'TL18'!$J$10:$J$224),0),
IF('TL18'!$B$229=P$3,SUMIF('TL18'!$C$238:$C$451,$C274,'TL18'!$J$238:$J$451),0),
IF('TL19'!$B$3=P$3,SUMIF('TL19'!$C$10:$C$224,$C274,'TL19'!$J$10:$J$224),0),
IF('TL19'!$B$229=P$3,SUMIF('TL19'!$C$238:$C$451,$C274,'TL19'!$J$238:$J$451),0)
),0)</f>
        <v>0</v>
      </c>
      <c r="Q274" s="9">
        <f>IFERROR(SUM(
IF('TL01'!$B$3=Q$3,SUMIF('TL01'!$C$10:$C$224,$C274,'TL01'!$J$10:$J$224),0),
IF('TL01'!$B$229=Q$3,SUMIF('TL01'!$C$238:$C$451,$C274,'TL01'!$J$238:$J$451),0),
IF('TL02'!$B$3=Q$3,SUMIF('TL02'!$C$10:$C$224,$C274,'TL02'!$J$10:$J$224),0),
IF('TL02'!$B$229=Q$3,SUMIF('TL02'!$C$238:$C$451,$C274,'TL02'!$J$238:$J$451),0),
IF('TL03'!$B$3=Q$3,SUMIF('TL03'!$C$10:$C$224,$C274,'TL03'!$J$10:$J$224),0),
IF('TL03'!$B$229=Q$3,SUMIF('TL03'!$C$238:$C$451,$C274,'TL03'!$J$238:$J$451),0),
IF('TL04'!$B$3=Q$3,SUMIF('TL04'!$C$10:$C$224,$C274,'TL04'!$J$10:$J$224),0),
IF('TL04'!$B$229=Q$3,SUMIF('TL04'!$C$238:$C$451,$C274,'TL04'!$J$238:$J$451),0),
IF('TL05'!$B$3=Q$3,SUMIF('TL05'!$C$10:$C$224,$C274,'TL05'!$J$10:$J$224),0),
IF('TL05'!$B$229=Q$3,SUMIF('TL05'!$C$238:$C$451,$C274,'TL05'!$J$238:$J$451),0),
IF('TL06'!$B$3=Q$3,SUMIF('TL06'!$C$10:$C$224,$C274,'TL06'!$J$10:$J$224),0),
IF('TL06'!$B$229=Q$3,SUMIF('TL06'!$C$238:$C$451,$C274,'TL06'!$J$238:$J$451),0),
IF('TL07'!$B$3=Q$3,SUMIF('TL07'!$C$10:$C$224,$C274,'TL07'!$J$10:$J$224),0),
IF('TL07'!$B$229=Q$3,SUMIF('TL07'!$C$238:$C$451,$C274,'TL07'!$J$238:$J$451),0),
IF('TL08'!$B$3=Q$3,SUMIF('TL08'!$C$10:$C$224,$C274,'TL08'!$J$10:$J$224),0),
IF('TL08'!$B$229=Q$3,SUMIF('TL08'!$C$238:$C$451,$C274,'TL08'!$J$238:$J$451),0),
IF('TL09'!$B$3=Q$3,SUMIF('TL09'!$C$10:$C$224,$C274,'TL09'!$J$10:$J$224),0),
IF('TL09'!$B$229=Q$3,SUMIF('TL09'!$C$238:$C$451,$C274,'TL09'!$J$238:$J$451),0),
IF('TL10'!$B$3=Q$3,SUMIF('TL10'!$C$10:$C$224,$C274,'TL10'!$J$10:$J$224),0),
IF('TL10'!$B$229=Q$3,SUMIF('TL10'!$C$238:$C$451,$C274,'TL10'!$J$238:$J$451),0),
IF('TL11'!$B$3=Q$3,SUMIF('TL11'!$C$10:$C$224,$C274,'TL11'!$J$10:$J$224),0),
IF('TL11'!$B$229=Q$3,SUMIF('TL11'!$C$238:$C$451,$C274,'TL11'!$J$238:$J$451),0),
IF('TL12'!$B$3=Q$3,SUMIF('TL12'!$C$10:$C$224,$C274,'TL12'!$J$10:$J$224),0),
IF('TL12'!$B$229=Q$3,SUMIF('TL12'!$C$238:$C$451,$C274,'TL12'!$J$238:$J$451),0),
IF('TL13'!$B$3=Q$3,SUMIF('TL13'!$C$10:$C$224,$C274,'TL13'!$J$10:$J$224),0),
IF('TL13'!$B$229=Q$3,SUMIF('TL13'!$C$238:$C$451,$C274,'TL13'!$J$238:$J$451),0),
IF('TL14'!$B$3=Q$3,SUMIF('TL14'!$C$10:$C$224,$C274,'TL14'!$J$10:$J$224),0),
IF('TL14'!$B$229=Q$3,SUMIF('TL14'!$C$238:$C$451,$C274,'TL14'!$J$238:$J$451),0),
IF('TL15'!$B$3=Q$3,SUMIF('TL15'!$C$10:$C$224,$C274,'TL15'!$J$10:$J$224),0),
IF('TL15'!$B$229=Q$3,SUMIF('TL15'!$C$238:$C$451,$C274,'TL15'!$J$238:$J$451),0),
IF('TL16'!$B$3=Q$3,SUMIF('TL16'!$C$10:$C$224,$C274,'TL16'!$J$10:$J$224),0),
IF('TL16'!$B$229=Q$3,SUMIF('TL16'!$C$238:$C$451,$C274,'TL16'!$J$238:$J$451),0),
IF('TL17'!$B$3=Q$3,SUMIF('TL17'!$C$10:$C$224,$C274,'TL17'!$J$10:$J$224),0),
IF('TL17'!$B$229=Q$3,SUMIF('TL17'!$C$238:$C$451,$C274,'TL17'!$J$238:$J$451),0),
IF('TL18'!$B$3=Q$3,SUMIF('TL18'!$C$10:$C$224,$C274,'TL18'!$J$10:$J$224),0),
IF('TL18'!$B$229=Q$3,SUMIF('TL18'!$C$238:$C$451,$C274,'TL18'!$J$238:$J$451),0),
IF('TL19'!$B$3=Q$3,SUMIF('TL19'!$C$10:$C$224,$C274,'TL19'!$J$10:$J$224),0),
IF('TL19'!$B$229=Q$3,SUMIF('TL19'!$C$238:$C$451,$C274,'TL19'!$J$238:$J$451),0)
),0)</f>
        <v>0</v>
      </c>
      <c r="R274" s="9">
        <f>IFERROR(
SUM(
SUMIF('TL01'!C:C,C274,'TL01'!J:J),
SUMIF('TL02'!C:C,C274,'TL02'!J:J),
SUMIF('TL03'!C:C,C274,'TL03'!J:J),
SUMIF('TL04'!C:C,C274,'TL04'!J:J),
SUMIF('TL05'!C:C,C274,'TL05'!J:J),
SUMIF('TL06'!C:C,C274,'TL06'!J:J),
SUMIF('TL07'!C:C,C274,'TL07'!J:J),
SUMIF('TL08'!C:C,C274,'TL08'!J:J),
SUMIF('TL09'!C:C,C274,'TL09'!J:J),
SUMIF('TL10'!C:C,C274,'TL10'!J:J),
SUMIF('TL11'!C:C,C274,'TL11'!J:J),
SUMIF('TL12'!C:C,C274,'TL12'!J:J),
SUMIF('TL13'!C:C,C274,'TL13'!J:J),
SUMIF('TL14'!C:C,C274,'TL14'!J:J),
SUMIF('TL15'!C:C,C274,'TL15'!J:J),
SUMIF('TL16'!C:C,C274,'TL16'!J:J),
SUMIF('TL17'!C:C,C274,'TL17'!J:J),
SUMIF('TL18'!C:C,C274,'TL18'!J:J),SUMIF('TL19'!C:C,C274,'TL19'!J:J))
,0)</f>
        <v>0</v>
      </c>
      <c r="S274" s="17">
        <f>IFERROR(__xludf.DUMMYFUNCTION("IFERROR(VLOOKUP(C274,
IMPORTRANGE(""1wULbzX32WdYsx-lj2U3uUNBBe2INVIRDtcK0d-Dvl90"",
""26-27!C:G""),
5,
FALSE),
"""")"),67.0)</f>
        <v>67</v>
      </c>
      <c r="T274" s="9"/>
      <c r="U274" s="92">
        <f t="shared" si="2"/>
        <v>0</v>
      </c>
      <c r="V274" s="93">
        <f t="shared" si="3"/>
        <v>0</v>
      </c>
    </row>
    <row r="275" ht="15.75" hidden="1" customHeight="1">
      <c r="A275" s="4" t="s">
        <v>961</v>
      </c>
      <c r="B275" s="125" t="s">
        <v>9</v>
      </c>
      <c r="C275" s="4" t="s">
        <v>974</v>
      </c>
      <c r="D275" s="4" t="s">
        <v>975</v>
      </c>
      <c r="E275" s="9"/>
      <c r="F275" s="4" t="s">
        <v>343</v>
      </c>
      <c r="G275" s="9"/>
      <c r="H275" s="9">
        <v>0.6</v>
      </c>
      <c r="I275" s="1"/>
      <c r="J275" s="9">
        <f>IFERROR(SUM(
IF('TL01'!$B$3=J$3,SUMIF('TL01'!$C$10:$C$224,$C275,'TL01'!$J$10:$J$224),0),
IF('TL01'!$B$229=J$3,SUMIF('TL01'!$C$238:$C$451,$C275,'TL01'!$J$238:$J$451),0),
IF('TL02'!$B$3=J$3,SUMIF('TL02'!$C$10:$C$224,$C275,'TL02'!$J$10:$J$224),0),
IF('TL02'!$B$229=J$3,SUMIF('TL02'!$C$238:$C$451,$C275,'TL02'!$J$238:$J$451),0),
IF('TL03'!$B$3=J$3,SUMIF('TL03'!$C$10:$C$224,$C275,'TL03'!$J$10:$J$224),0),
IF('TL03'!$B$229=J$3,SUMIF('TL03'!$C$238:$C$451,$C275,'TL03'!$J$238:$J$451),0),
IF('TL04'!$B$3=J$3,SUMIF('TL04'!$C$10:$C$224,$C275,'TL04'!$J$10:$J$224),0),
IF('TL04'!$B$229=J$3,SUMIF('TL04'!$C$238:$C$451,$C275,'TL04'!$J$238:$J$451),0),
IF('TL05'!$B$3=J$3,SUMIF('TL05'!$C$10:$C$224,$C275,'TL05'!$J$10:$J$224),0),
IF('TL05'!$B$229=J$3,SUMIF('TL05'!$C$238:$C$451,$C275,'TL05'!$J$238:$J$451),0),
IF('TL06'!$B$3=J$3,SUMIF('TL06'!$C$10:$C$224,$C275,'TL06'!$J$10:$J$224),0),
IF('TL06'!$B$229=J$3,SUMIF('TL06'!$C$238:$C$451,$C275,'TL06'!$J$238:$J$451),0),
IF('TL07'!$B$3=J$3,SUMIF('TL07'!$C$10:$C$224,$C275,'TL07'!$J$10:$J$224),0),
IF('TL07'!$B$229=J$3,SUMIF('TL07'!$C$238:$C$451,$C275,'TL07'!$J$238:$J$451),0),
IF('TL08'!$B$3=J$3,SUMIF('TL08'!$C$10:$C$224,$C275,'TL08'!$J$10:$J$224),0),
IF('TL08'!$B$229=J$3,SUMIF('TL08'!$C$238:$C$451,$C275,'TL08'!$J$238:$J$451),0),
IF('TL09'!$B$3=J$3,SUMIF('TL09'!$C$10:$C$224,$C275,'TL09'!$J$10:$J$224),0),
IF('TL09'!$B$229=J$3,SUMIF('TL09'!$C$238:$C$451,$C275,'TL09'!$J$238:$J$451),0),
IF('TL10'!$B$3=J$3,SUMIF('TL10'!$C$10:$C$224,$C275,'TL10'!$J$10:$J$224),0),
IF('TL10'!$B$229=J$3,SUMIF('TL10'!$C$238:$C$451,$C275,'TL10'!$J$238:$J$451),0),
IF('TL11'!$B$3=J$3,SUMIF('TL11'!$C$10:$C$224,$C275,'TL11'!$J$10:$J$224),0),
IF('TL11'!$B$229=J$3,SUMIF('TL11'!$C$238:$C$451,$C275,'TL11'!$J$238:$J$451),0),
IF('TL12'!$B$3=J$3,SUMIF('TL12'!$C$10:$C$224,$C275,'TL12'!$J$10:$J$224),0),
IF('TL12'!$B$229=J$3,SUMIF('TL12'!$C$238:$C$451,$C275,'TL12'!$J$238:$J$451),0),
IF('TL13'!$B$3=J$3,SUMIF('TL13'!$C$10:$C$224,$C275,'TL13'!$J$10:$J$224),0),
IF('TL13'!$B$229=J$3,SUMIF('TL13'!$C$238:$C$451,$C275,'TL13'!$J$238:$J$451),0),
IF('TL14'!$B$3=J$3,SUMIF('TL14'!$C$10:$C$224,$C275,'TL14'!$J$10:$J$224),0),
IF('TL14'!$B$229=J$3,SUMIF('TL14'!$C$238:$C$451,$C275,'TL14'!$J$238:$J$451),0),
IF('TL15'!$B$3=J$3,SUMIF('TL15'!$C$10:$C$224,$C275,'TL15'!$J$10:$J$224),0),
IF('TL15'!$B$229=J$3,SUMIF('TL15'!$C$238:$C$451,$C275,'TL15'!$J$238:$J$451),0),
IF('TL16'!$B$3=J$3,SUMIF('TL16'!$C$10:$C$224,$C275,'TL16'!$J$10:$J$224),0),
IF('TL16'!$B$229=J$3,SUMIF('TL16'!$C$238:$C$451,$C275,'TL16'!$J$238:$J$451),0),
IF('TL17'!$B$3=J$3,SUMIF('TL17'!$C$10:$C$224,$C275,'TL17'!$J$10:$J$224),0),
IF('TL17'!$B$229=J$3,SUMIF('TL17'!$C$238:$C$451,$C275,'TL17'!$J$238:$J$451),0),
IF('TL18'!$B$3=J$3,SUMIF('TL18'!$C$10:$C$224,$C275,'TL18'!$J$10:$J$224),0),
IF('TL18'!$B$229=J$3,SUMIF('TL18'!$C$238:$C$451,$C275,'TL18'!$J$238:$J$451),0),
IF('TL19'!$B$3=J$3,SUMIF('TL19'!$C$10:$C$224,$C275,'TL19'!$J$10:$J$224),0),
IF('TL19'!$B$229=J$3,SUMIF('TL19'!$C$238:$C$451,$C275,'TL19'!$J$238:$J$451),0)
),0)</f>
        <v>0</v>
      </c>
      <c r="K275" s="9">
        <f>IFERROR(SUM(
IF('TL01'!$B$3=K$3,SUMIF('TL01'!$C$10:$C$224,$C275,'TL01'!$J$10:$J$224),0),
IF('TL01'!$B$229=K$3,SUMIF('TL01'!$C$238:$C$451,$C275,'TL01'!$J$238:$J$451),0),
IF('TL02'!$B$3=K$3,SUMIF('TL02'!$C$10:$C$224,$C275,'TL02'!$J$10:$J$224),0),
IF('TL02'!$B$229=K$3,SUMIF('TL02'!$C$238:$C$451,$C275,'TL02'!$J$238:$J$451),0),
IF('TL03'!$B$3=K$3,SUMIF('TL03'!$C$10:$C$224,$C275,'TL03'!$J$10:$J$224),0),
IF('TL03'!$B$229=K$3,SUMIF('TL03'!$C$238:$C$451,$C275,'TL03'!$J$238:$J$451),0),
IF('TL04'!$B$3=K$3,SUMIF('TL04'!$C$10:$C$224,$C275,'TL04'!$J$10:$J$224),0),
IF('TL04'!$B$229=K$3,SUMIF('TL04'!$C$238:$C$451,$C275,'TL04'!$J$238:$J$451),0),
IF('TL05'!$B$3=K$3,SUMIF('TL05'!$C$10:$C$224,$C275,'TL05'!$J$10:$J$224),0),
IF('TL05'!$B$229=K$3,SUMIF('TL05'!$C$238:$C$451,$C275,'TL05'!$J$238:$J$451),0),
IF('TL06'!$B$3=K$3,SUMIF('TL06'!$C$10:$C$224,$C275,'TL06'!$J$10:$J$224),0),
IF('TL06'!$B$229=K$3,SUMIF('TL06'!$C$238:$C$451,$C275,'TL06'!$J$238:$J$451),0),
IF('TL07'!$B$3=K$3,SUMIF('TL07'!$C$10:$C$224,$C275,'TL07'!$J$10:$J$224),0),
IF('TL07'!$B$229=K$3,SUMIF('TL07'!$C$238:$C$451,$C275,'TL07'!$J$238:$J$451),0),
IF('TL08'!$B$3=K$3,SUMIF('TL08'!$C$10:$C$224,$C275,'TL08'!$J$10:$J$224),0),
IF('TL08'!$B$229=K$3,SUMIF('TL08'!$C$238:$C$451,$C275,'TL08'!$J$238:$J$451),0),
IF('TL09'!$B$3=K$3,SUMIF('TL09'!$C$10:$C$224,$C275,'TL09'!$J$10:$J$224),0),
IF('TL09'!$B$229=K$3,SUMIF('TL09'!$C$238:$C$451,$C275,'TL09'!$J$238:$J$451),0),
IF('TL10'!$B$3=K$3,SUMIF('TL10'!$C$10:$C$224,$C275,'TL10'!$J$10:$J$224),0),
IF('TL10'!$B$229=K$3,SUMIF('TL10'!$C$238:$C$451,$C275,'TL10'!$J$238:$J$451),0),
IF('TL11'!$B$3=K$3,SUMIF('TL11'!$C$10:$C$224,$C275,'TL11'!$J$10:$J$224),0),
IF('TL11'!$B$229=K$3,SUMIF('TL11'!$C$238:$C$451,$C275,'TL11'!$J$238:$J$451),0),
IF('TL12'!$B$3=K$3,SUMIF('TL12'!$C$10:$C$224,$C275,'TL12'!$J$10:$J$224),0),
IF('TL12'!$B$229=K$3,SUMIF('TL12'!$C$238:$C$451,$C275,'TL12'!$J$238:$J$451),0),
IF('TL13'!$B$3=K$3,SUMIF('TL13'!$C$10:$C$224,$C275,'TL13'!$J$10:$J$224),0),
IF('TL13'!$B$229=K$3,SUMIF('TL13'!$C$238:$C$451,$C275,'TL13'!$J$238:$J$451),0),
IF('TL14'!$B$3=K$3,SUMIF('TL14'!$C$10:$C$224,$C275,'TL14'!$J$10:$J$224),0),
IF('TL14'!$B$229=K$3,SUMIF('TL14'!$C$238:$C$451,$C275,'TL14'!$J$238:$J$451),0),
IF('TL15'!$B$3=K$3,SUMIF('TL15'!$C$10:$C$224,$C275,'TL15'!$J$10:$J$224),0),
IF('TL15'!$B$229=K$3,SUMIF('TL15'!$C$238:$C$451,$C275,'TL15'!$J$238:$J$451),0),
IF('TL16'!$B$3=K$3,SUMIF('TL16'!$C$10:$C$224,$C275,'TL16'!$J$10:$J$224),0),
IF('TL16'!$B$229=K$3,SUMIF('TL16'!$C$238:$C$451,$C275,'TL16'!$J$238:$J$451),0),
IF('TL17'!$B$3=K$3,SUMIF('TL17'!$C$10:$C$224,$C275,'TL17'!$J$10:$J$224),0),
IF('TL17'!$B$229=K$3,SUMIF('TL17'!$C$238:$C$451,$C275,'TL17'!$J$238:$J$451),0),
IF('TL18'!$B$3=K$3,SUMIF('TL18'!$C$10:$C$224,$C275,'TL18'!$J$10:$J$224),0),
IF('TL18'!$B$229=K$3,SUMIF('TL18'!$C$238:$C$451,$C275,'TL18'!$J$238:$J$451),0),
IF('TL19'!$B$3=K$3,SUMIF('TL19'!$C$10:$C$224,$C275,'TL19'!$J$10:$J$224),0),
IF('TL19'!$B$229=K$3,SUMIF('TL19'!$C$238:$C$451,$C275,'TL19'!$J$238:$J$451),0)
),0)</f>
        <v>0</v>
      </c>
      <c r="L275" s="9">
        <f>IFERROR(SUM(
IF('TL01'!$B$3=L$3,SUMIF('TL01'!$C$10:$C$224,$C275,'TL01'!$J$10:$J$224),0),
IF('TL01'!$B$229=L$3,SUMIF('TL01'!$C$238:$C$451,$C275,'TL01'!$J$238:$J$451),0),
IF('TL02'!$B$3=L$3,SUMIF('TL02'!$C$10:$C$224,$C275,'TL02'!$J$10:$J$224),0),
IF('TL02'!$B$229=L$3,SUMIF('TL02'!$C$238:$C$451,$C275,'TL02'!$J$238:$J$451),0),
IF('TL03'!$B$3=L$3,SUMIF('TL03'!$C$10:$C$224,$C275,'TL03'!$J$10:$J$224),0),
IF('TL03'!$B$229=L$3,SUMIF('TL03'!$C$238:$C$451,$C275,'TL03'!$J$238:$J$451),0),
IF('TL04'!$B$3=L$3,SUMIF('TL04'!$C$10:$C$224,$C275,'TL04'!$J$10:$J$224),0),
IF('TL04'!$B$229=L$3,SUMIF('TL04'!$C$238:$C$451,$C275,'TL04'!$J$238:$J$451),0),
IF('TL05'!$B$3=L$3,SUMIF('TL05'!$C$10:$C$224,$C275,'TL05'!$J$10:$J$224),0),
IF('TL05'!$B$229=L$3,SUMIF('TL05'!$C$238:$C$451,$C275,'TL05'!$J$238:$J$451),0),
IF('TL06'!$B$3=L$3,SUMIF('TL06'!$C$10:$C$224,$C275,'TL06'!$J$10:$J$224),0),
IF('TL06'!$B$229=L$3,SUMIF('TL06'!$C$238:$C$451,$C275,'TL06'!$J$238:$J$451),0),
IF('TL07'!$B$3=L$3,SUMIF('TL07'!$C$10:$C$224,$C275,'TL07'!$J$10:$J$224),0),
IF('TL07'!$B$229=L$3,SUMIF('TL07'!$C$238:$C$451,$C275,'TL07'!$J$238:$J$451),0),
IF('TL08'!$B$3=L$3,SUMIF('TL08'!$C$10:$C$224,$C275,'TL08'!$J$10:$J$224),0),
IF('TL08'!$B$229=L$3,SUMIF('TL08'!$C$238:$C$451,$C275,'TL08'!$J$238:$J$451),0),
IF('TL09'!$B$3=L$3,SUMIF('TL09'!$C$10:$C$224,$C275,'TL09'!$J$10:$J$224),0),
IF('TL09'!$B$229=L$3,SUMIF('TL09'!$C$238:$C$451,$C275,'TL09'!$J$238:$J$451),0),
IF('TL10'!$B$3=L$3,SUMIF('TL10'!$C$10:$C$224,$C275,'TL10'!$J$10:$J$224),0),
IF('TL10'!$B$229=L$3,SUMIF('TL10'!$C$238:$C$451,$C275,'TL10'!$J$238:$J$451),0),
IF('TL11'!$B$3=L$3,SUMIF('TL11'!$C$10:$C$224,$C275,'TL11'!$J$10:$J$224),0),
IF('TL11'!$B$229=L$3,SUMIF('TL11'!$C$238:$C$451,$C275,'TL11'!$J$238:$J$451),0),
IF('TL12'!$B$3=L$3,SUMIF('TL12'!$C$10:$C$224,$C275,'TL12'!$J$10:$J$224),0),
IF('TL12'!$B$229=L$3,SUMIF('TL12'!$C$238:$C$451,$C275,'TL12'!$J$238:$J$451),0),
IF('TL13'!$B$3=L$3,SUMIF('TL13'!$C$10:$C$224,$C275,'TL13'!$J$10:$J$224),0),
IF('TL13'!$B$229=L$3,SUMIF('TL13'!$C$238:$C$451,$C275,'TL13'!$J$238:$J$451),0),
IF('TL14'!$B$3=L$3,SUMIF('TL14'!$C$10:$C$224,$C275,'TL14'!$J$10:$J$224),0),
IF('TL14'!$B$229=L$3,SUMIF('TL14'!$C$238:$C$451,$C275,'TL14'!$J$238:$J$451),0),
IF('TL15'!$B$3=L$3,SUMIF('TL15'!$C$10:$C$224,$C275,'TL15'!$J$10:$J$224),0),
IF('TL15'!$B$229=L$3,SUMIF('TL15'!$C$238:$C$451,$C275,'TL15'!$J$238:$J$451),0),
IF('TL16'!$B$3=L$3,SUMIF('TL16'!$C$10:$C$224,$C275,'TL16'!$J$10:$J$224),0),
IF('TL16'!$B$229=L$3,SUMIF('TL16'!$C$238:$C$451,$C275,'TL16'!$J$238:$J$451),0),
IF('TL17'!$B$3=L$3,SUMIF('TL17'!$C$10:$C$224,$C275,'TL17'!$J$10:$J$224),0),
IF('TL17'!$B$229=L$3,SUMIF('TL17'!$C$238:$C$451,$C275,'TL17'!$J$238:$J$451),0),
IF('TL18'!$B$3=L$3,SUMIF('TL18'!$C$10:$C$224,$C275,'TL18'!$J$10:$J$224),0),
IF('TL18'!$B$229=L$3,SUMIF('TL18'!$C$238:$C$451,$C275,'TL18'!$J$238:$J$451),0),
IF('TL19'!$B$3=L$3,SUMIF('TL19'!$C$10:$C$224,$C275,'TL19'!$J$10:$J$224),0),
IF('TL19'!$B$229=L$3,SUMIF('TL19'!$C$238:$C$451,$C275,'TL19'!$J$238:$J$451),0)
),0)</f>
        <v>0</v>
      </c>
      <c r="M275" s="9">
        <f>IFERROR(SUM(
IF('TL01'!$B$3=M$3,SUMIF('TL01'!$C$10:$C$224,$C275,'TL01'!$J$10:$J$224),0),
IF('TL01'!$B$229=M$3,SUMIF('TL01'!$C$238:$C$451,$C275,'TL01'!$J$238:$J$451),0),
IF('TL02'!$B$3=M$3,SUMIF('TL02'!$C$10:$C$224,$C275,'TL02'!$J$10:$J$224),0),
IF('TL02'!$B$229=M$3,SUMIF('TL02'!$C$238:$C$451,$C275,'TL02'!$J$238:$J$451),0),
IF('TL03'!$B$3=M$3,SUMIF('TL03'!$C$10:$C$224,$C275,'TL03'!$J$10:$J$224),0),
IF('TL03'!$B$229=M$3,SUMIF('TL03'!$C$238:$C$451,$C275,'TL03'!$J$238:$J$451),0),
IF('TL04'!$B$3=M$3,SUMIF('TL04'!$C$10:$C$224,$C275,'TL04'!$J$10:$J$224),0),
IF('TL04'!$B$229=M$3,SUMIF('TL04'!$C$238:$C$451,$C275,'TL04'!$J$238:$J$451),0),
IF('TL05'!$B$3=M$3,SUMIF('TL05'!$C$10:$C$224,$C275,'TL05'!$J$10:$J$224),0),
IF('TL05'!$B$229=M$3,SUMIF('TL05'!$C$238:$C$451,$C275,'TL05'!$J$238:$J$451),0),
IF('TL06'!$B$3=M$3,SUMIF('TL06'!$C$10:$C$224,$C275,'TL06'!$J$10:$J$224),0),
IF('TL06'!$B$229=M$3,SUMIF('TL06'!$C$238:$C$451,$C275,'TL06'!$J$238:$J$451),0),
IF('TL07'!$B$3=M$3,SUMIF('TL07'!$C$10:$C$224,$C275,'TL07'!$J$10:$J$224),0),
IF('TL07'!$B$229=M$3,SUMIF('TL07'!$C$238:$C$451,$C275,'TL07'!$J$238:$J$451),0),
IF('TL08'!$B$3=M$3,SUMIF('TL08'!$C$10:$C$224,$C275,'TL08'!$J$10:$J$224),0),
IF('TL08'!$B$229=M$3,SUMIF('TL08'!$C$238:$C$451,$C275,'TL08'!$J$238:$J$451),0),
IF('TL09'!$B$3=M$3,SUMIF('TL09'!$C$10:$C$224,$C275,'TL09'!$J$10:$J$224),0),
IF('TL09'!$B$229=M$3,SUMIF('TL09'!$C$238:$C$451,$C275,'TL09'!$J$238:$J$451),0),
IF('TL10'!$B$3=M$3,SUMIF('TL10'!$C$10:$C$224,$C275,'TL10'!$J$10:$J$224),0),
IF('TL10'!$B$229=M$3,SUMIF('TL10'!$C$238:$C$451,$C275,'TL10'!$J$238:$J$451),0),
IF('TL11'!$B$3=M$3,SUMIF('TL11'!$C$10:$C$224,$C275,'TL11'!$J$10:$J$224),0),
IF('TL11'!$B$229=M$3,SUMIF('TL11'!$C$238:$C$451,$C275,'TL11'!$J$238:$J$451),0),
IF('TL12'!$B$3=M$3,SUMIF('TL12'!$C$10:$C$224,$C275,'TL12'!$J$10:$J$224),0),
IF('TL12'!$B$229=M$3,SUMIF('TL12'!$C$238:$C$451,$C275,'TL12'!$J$238:$J$451),0),
IF('TL13'!$B$3=M$3,SUMIF('TL13'!$C$10:$C$224,$C275,'TL13'!$J$10:$J$224),0),
IF('TL13'!$B$229=M$3,SUMIF('TL13'!$C$238:$C$451,$C275,'TL13'!$J$238:$J$451),0),
IF('TL14'!$B$3=M$3,SUMIF('TL14'!$C$10:$C$224,$C275,'TL14'!$J$10:$J$224),0),
IF('TL14'!$B$229=M$3,SUMIF('TL14'!$C$238:$C$451,$C275,'TL14'!$J$238:$J$451),0),
IF('TL15'!$B$3=M$3,SUMIF('TL15'!$C$10:$C$224,$C275,'TL15'!$J$10:$J$224),0),
IF('TL15'!$B$229=M$3,SUMIF('TL15'!$C$238:$C$451,$C275,'TL15'!$J$238:$J$451),0),
IF('TL16'!$B$3=M$3,SUMIF('TL16'!$C$10:$C$224,$C275,'TL16'!$J$10:$J$224),0),
IF('TL16'!$B$229=M$3,SUMIF('TL16'!$C$238:$C$451,$C275,'TL16'!$J$238:$J$451),0),
IF('TL17'!$B$3=M$3,SUMIF('TL17'!$C$10:$C$224,$C275,'TL17'!$J$10:$J$224),0),
IF('TL17'!$B$229=M$3,SUMIF('TL17'!$C$238:$C$451,$C275,'TL17'!$J$238:$J$451),0),
IF('TL18'!$B$3=M$3,SUMIF('TL18'!$C$10:$C$224,$C275,'TL18'!$J$10:$J$224),0),
IF('TL18'!$B$229=M$3,SUMIF('TL18'!$C$238:$C$451,$C275,'TL18'!$J$238:$J$451),0),
IF('TL19'!$B$3=M$3,SUMIF('TL19'!$C$10:$C$224,$C275,'TL19'!$J$10:$J$224),0),
IF('TL19'!$B$229=M$3,SUMIF('TL19'!$C$238:$C$451,$C275,'TL19'!$J$238:$J$451),0)
),0)</f>
        <v>0</v>
      </c>
      <c r="N275" s="9">
        <f>IFERROR(SUM(
IF('TL01'!$B$3=N$3,SUMIF('TL01'!$C$10:$C$224,$C275,'TL01'!$J$10:$J$224),0),
IF('TL01'!$B$229=N$3,SUMIF('TL01'!$C$238:$C$451,$C275,'TL01'!$J$238:$J$451),0),
IF('TL02'!$B$3=N$3,SUMIF('TL02'!$C$10:$C$224,$C275,'TL02'!$J$10:$J$224),0),
IF('TL02'!$B$229=N$3,SUMIF('TL02'!$C$238:$C$451,$C275,'TL02'!$J$238:$J$451),0),
IF('TL03'!$B$3=N$3,SUMIF('TL03'!$C$10:$C$224,$C275,'TL03'!$J$10:$J$224),0),
IF('TL03'!$B$229=N$3,SUMIF('TL03'!$C$238:$C$451,$C275,'TL03'!$J$238:$J$451),0),
IF('TL04'!$B$3=N$3,SUMIF('TL04'!$C$10:$C$224,$C275,'TL04'!$J$10:$J$224),0),
IF('TL04'!$B$229=N$3,SUMIF('TL04'!$C$238:$C$451,$C275,'TL04'!$J$238:$J$451),0),
IF('TL05'!$B$3=N$3,SUMIF('TL05'!$C$10:$C$224,$C275,'TL05'!$J$10:$J$224),0),
IF('TL05'!$B$229=N$3,SUMIF('TL05'!$C$238:$C$451,$C275,'TL05'!$J$238:$J$451),0),
IF('TL06'!$B$3=N$3,SUMIF('TL06'!$C$10:$C$224,$C275,'TL06'!$J$10:$J$224),0),
IF('TL06'!$B$229=N$3,SUMIF('TL06'!$C$238:$C$451,$C275,'TL06'!$J$238:$J$451),0),
IF('TL07'!$B$3=N$3,SUMIF('TL07'!$C$10:$C$224,$C275,'TL07'!$J$10:$J$224),0),
IF('TL07'!$B$229=N$3,SUMIF('TL07'!$C$238:$C$451,$C275,'TL07'!$J$238:$J$451),0),
IF('TL08'!$B$3=N$3,SUMIF('TL08'!$C$10:$C$224,$C275,'TL08'!$J$10:$J$224),0),
IF('TL08'!$B$229=N$3,SUMIF('TL08'!$C$238:$C$451,$C275,'TL08'!$J$238:$J$451),0),
IF('TL09'!$B$3=N$3,SUMIF('TL09'!$C$10:$C$224,$C275,'TL09'!$J$10:$J$224),0),
IF('TL09'!$B$229=N$3,SUMIF('TL09'!$C$238:$C$451,$C275,'TL09'!$J$238:$J$451),0),
IF('TL10'!$B$3=N$3,SUMIF('TL10'!$C$10:$C$224,$C275,'TL10'!$J$10:$J$224),0),
IF('TL10'!$B$229=N$3,SUMIF('TL10'!$C$238:$C$451,$C275,'TL10'!$J$238:$J$451),0),
IF('TL11'!$B$3=N$3,SUMIF('TL11'!$C$10:$C$224,$C275,'TL11'!$J$10:$J$224),0),
IF('TL11'!$B$229=N$3,SUMIF('TL11'!$C$238:$C$451,$C275,'TL11'!$J$238:$J$451),0),
IF('TL12'!$B$3=N$3,SUMIF('TL12'!$C$10:$C$224,$C275,'TL12'!$J$10:$J$224),0),
IF('TL12'!$B$229=N$3,SUMIF('TL12'!$C$238:$C$451,$C275,'TL12'!$J$238:$J$451),0),
IF('TL13'!$B$3=N$3,SUMIF('TL13'!$C$10:$C$224,$C275,'TL13'!$J$10:$J$224),0),
IF('TL13'!$B$229=N$3,SUMIF('TL13'!$C$238:$C$451,$C275,'TL13'!$J$238:$J$451),0),
IF('TL14'!$B$3=N$3,SUMIF('TL14'!$C$10:$C$224,$C275,'TL14'!$J$10:$J$224),0),
IF('TL14'!$B$229=N$3,SUMIF('TL14'!$C$238:$C$451,$C275,'TL14'!$J$238:$J$451),0),
IF('TL15'!$B$3=N$3,SUMIF('TL15'!$C$10:$C$224,$C275,'TL15'!$J$10:$J$224),0),
IF('TL15'!$B$229=N$3,SUMIF('TL15'!$C$238:$C$451,$C275,'TL15'!$J$238:$J$451),0),
IF('TL16'!$B$3=N$3,SUMIF('TL16'!$C$10:$C$224,$C275,'TL16'!$J$10:$J$224),0),
IF('TL16'!$B$229=N$3,SUMIF('TL16'!$C$238:$C$451,$C275,'TL16'!$J$238:$J$451),0),
IF('TL17'!$B$3=N$3,SUMIF('TL17'!$C$10:$C$224,$C275,'TL17'!$J$10:$J$224),0),
IF('TL17'!$B$229=N$3,SUMIF('TL17'!$C$238:$C$451,$C275,'TL17'!$J$238:$J$451),0),
IF('TL18'!$B$3=N$3,SUMIF('TL18'!$C$10:$C$224,$C275,'TL18'!$J$10:$J$224),0),
IF('TL18'!$B$229=N$3,SUMIF('TL18'!$C$238:$C$451,$C275,'TL18'!$J$238:$J$451),0),
IF('TL19'!$B$3=N$3,SUMIF('TL19'!$C$10:$C$224,$C275,'TL19'!$J$10:$J$224),0),
IF('TL19'!$B$229=N$3,SUMIF('TL19'!$C$238:$C$451,$C275,'TL19'!$J$238:$J$451),0)
),0)</f>
        <v>0</v>
      </c>
      <c r="O275" s="9">
        <f>IFERROR(SUM(
IF('TL01'!$B$3=O$3,SUMIF('TL01'!$C$10:$C$224,$C275,'TL01'!$J$10:$J$224),0),
IF('TL01'!$B$229=O$3,SUMIF('TL01'!$C$238:$C$451,$C275,'TL01'!$J$238:$J$451),0),
IF('TL02'!$B$3=O$3,SUMIF('TL02'!$C$10:$C$224,$C275,'TL02'!$J$10:$J$224),0),
IF('TL02'!$B$229=O$3,SUMIF('TL02'!$C$238:$C$451,$C275,'TL02'!$J$238:$J$451),0),
IF('TL03'!$B$3=O$3,SUMIF('TL03'!$C$10:$C$224,$C275,'TL03'!$J$10:$J$224),0),
IF('TL03'!$B$229=O$3,SUMIF('TL03'!$C$238:$C$451,$C275,'TL03'!$J$238:$J$451),0),
IF('TL04'!$B$3=O$3,SUMIF('TL04'!$C$10:$C$224,$C275,'TL04'!$J$10:$J$224),0),
IF('TL04'!$B$229=O$3,SUMIF('TL04'!$C$238:$C$451,$C275,'TL04'!$J$238:$J$451),0),
IF('TL05'!$B$3=O$3,SUMIF('TL05'!$C$10:$C$224,$C275,'TL05'!$J$10:$J$224),0),
IF('TL05'!$B$229=O$3,SUMIF('TL05'!$C$238:$C$451,$C275,'TL05'!$J$238:$J$451),0),
IF('TL06'!$B$3=O$3,SUMIF('TL06'!$C$10:$C$224,$C275,'TL06'!$J$10:$J$224),0),
IF('TL06'!$B$229=O$3,SUMIF('TL06'!$C$238:$C$451,$C275,'TL06'!$J$238:$J$451),0),
IF('TL07'!$B$3=O$3,SUMIF('TL07'!$C$10:$C$224,$C275,'TL07'!$J$10:$J$224),0),
IF('TL07'!$B$229=O$3,SUMIF('TL07'!$C$238:$C$451,$C275,'TL07'!$J$238:$J$451),0),
IF('TL08'!$B$3=O$3,SUMIF('TL08'!$C$10:$C$224,$C275,'TL08'!$J$10:$J$224),0),
IF('TL08'!$B$229=O$3,SUMIF('TL08'!$C$238:$C$451,$C275,'TL08'!$J$238:$J$451),0),
IF('TL09'!$B$3=O$3,SUMIF('TL09'!$C$10:$C$224,$C275,'TL09'!$J$10:$J$224),0),
IF('TL09'!$B$229=O$3,SUMIF('TL09'!$C$238:$C$451,$C275,'TL09'!$J$238:$J$451),0),
IF('TL10'!$B$3=O$3,SUMIF('TL10'!$C$10:$C$224,$C275,'TL10'!$J$10:$J$224),0),
IF('TL10'!$B$229=O$3,SUMIF('TL10'!$C$238:$C$451,$C275,'TL10'!$J$238:$J$451),0),
IF('TL11'!$B$3=O$3,SUMIF('TL11'!$C$10:$C$224,$C275,'TL11'!$J$10:$J$224),0),
IF('TL11'!$B$229=O$3,SUMIF('TL11'!$C$238:$C$451,$C275,'TL11'!$J$238:$J$451),0),
IF('TL12'!$B$3=O$3,SUMIF('TL12'!$C$10:$C$224,$C275,'TL12'!$J$10:$J$224),0),
IF('TL12'!$B$229=O$3,SUMIF('TL12'!$C$238:$C$451,$C275,'TL12'!$J$238:$J$451),0),
IF('TL13'!$B$3=O$3,SUMIF('TL13'!$C$10:$C$224,$C275,'TL13'!$J$10:$J$224),0),
IF('TL13'!$B$229=O$3,SUMIF('TL13'!$C$238:$C$451,$C275,'TL13'!$J$238:$J$451),0),
IF('TL14'!$B$3=O$3,SUMIF('TL14'!$C$10:$C$224,$C275,'TL14'!$J$10:$J$224),0),
IF('TL14'!$B$229=O$3,SUMIF('TL14'!$C$238:$C$451,$C275,'TL14'!$J$238:$J$451),0),
IF('TL15'!$B$3=O$3,SUMIF('TL15'!$C$10:$C$224,$C275,'TL15'!$J$10:$J$224),0),
IF('TL15'!$B$229=O$3,SUMIF('TL15'!$C$238:$C$451,$C275,'TL15'!$J$238:$J$451),0),
IF('TL16'!$B$3=O$3,SUMIF('TL16'!$C$10:$C$224,$C275,'TL16'!$J$10:$J$224),0),
IF('TL16'!$B$229=O$3,SUMIF('TL16'!$C$238:$C$451,$C275,'TL16'!$J$238:$J$451),0),
IF('TL17'!$B$3=O$3,SUMIF('TL17'!$C$10:$C$224,$C275,'TL17'!$J$10:$J$224),0),
IF('TL17'!$B$229=O$3,SUMIF('TL17'!$C$238:$C$451,$C275,'TL17'!$J$238:$J$451),0),
IF('TL18'!$B$3=O$3,SUMIF('TL18'!$C$10:$C$224,$C275,'TL18'!$J$10:$J$224),0),
IF('TL18'!$B$229=O$3,SUMIF('TL18'!$C$238:$C$451,$C275,'TL18'!$J$238:$J$451),0),
IF('TL19'!$B$3=O$3,SUMIF('TL19'!$C$10:$C$224,$C275,'TL19'!$J$10:$J$224),0),
IF('TL19'!$B$229=O$3,SUMIF('TL19'!$C$238:$C$451,$C275,'TL19'!$J$238:$J$451),0)
),0)</f>
        <v>0</v>
      </c>
      <c r="P275" s="9">
        <f>IFERROR(SUM(
IF('TL01'!$B$3=P$3,SUMIF('TL01'!$C$10:$C$224,$C275,'TL01'!$J$10:$J$224),0),
IF('TL01'!$B$229=P$3,SUMIF('TL01'!$C$238:$C$451,$C275,'TL01'!$J$238:$J$451),0),
IF('TL02'!$B$3=P$3,SUMIF('TL02'!$C$10:$C$224,$C275,'TL02'!$J$10:$J$224),0),
IF('TL02'!$B$229=P$3,SUMIF('TL02'!$C$238:$C$451,$C275,'TL02'!$J$238:$J$451),0),
IF('TL03'!$B$3=P$3,SUMIF('TL03'!$C$10:$C$224,$C275,'TL03'!$J$10:$J$224),0),
IF('TL03'!$B$229=P$3,SUMIF('TL03'!$C$238:$C$451,$C275,'TL03'!$J$238:$J$451),0),
IF('TL04'!$B$3=P$3,SUMIF('TL04'!$C$10:$C$224,$C275,'TL04'!$J$10:$J$224),0),
IF('TL04'!$B$229=P$3,SUMIF('TL04'!$C$238:$C$451,$C275,'TL04'!$J$238:$J$451),0),
IF('TL05'!$B$3=P$3,SUMIF('TL05'!$C$10:$C$224,$C275,'TL05'!$J$10:$J$224),0),
IF('TL05'!$B$229=P$3,SUMIF('TL05'!$C$238:$C$451,$C275,'TL05'!$J$238:$J$451),0),
IF('TL06'!$B$3=P$3,SUMIF('TL06'!$C$10:$C$224,$C275,'TL06'!$J$10:$J$224),0),
IF('TL06'!$B$229=P$3,SUMIF('TL06'!$C$238:$C$451,$C275,'TL06'!$J$238:$J$451),0),
IF('TL07'!$B$3=P$3,SUMIF('TL07'!$C$10:$C$224,$C275,'TL07'!$J$10:$J$224),0),
IF('TL07'!$B$229=P$3,SUMIF('TL07'!$C$238:$C$451,$C275,'TL07'!$J$238:$J$451),0),
IF('TL08'!$B$3=P$3,SUMIF('TL08'!$C$10:$C$224,$C275,'TL08'!$J$10:$J$224),0),
IF('TL08'!$B$229=P$3,SUMIF('TL08'!$C$238:$C$451,$C275,'TL08'!$J$238:$J$451),0),
IF('TL09'!$B$3=P$3,SUMIF('TL09'!$C$10:$C$224,$C275,'TL09'!$J$10:$J$224),0),
IF('TL09'!$B$229=P$3,SUMIF('TL09'!$C$238:$C$451,$C275,'TL09'!$J$238:$J$451),0),
IF('TL10'!$B$3=P$3,SUMIF('TL10'!$C$10:$C$224,$C275,'TL10'!$J$10:$J$224),0),
IF('TL10'!$B$229=P$3,SUMIF('TL10'!$C$238:$C$451,$C275,'TL10'!$J$238:$J$451),0),
IF('TL11'!$B$3=P$3,SUMIF('TL11'!$C$10:$C$224,$C275,'TL11'!$J$10:$J$224),0),
IF('TL11'!$B$229=P$3,SUMIF('TL11'!$C$238:$C$451,$C275,'TL11'!$J$238:$J$451),0),
IF('TL12'!$B$3=P$3,SUMIF('TL12'!$C$10:$C$224,$C275,'TL12'!$J$10:$J$224),0),
IF('TL12'!$B$229=P$3,SUMIF('TL12'!$C$238:$C$451,$C275,'TL12'!$J$238:$J$451),0),
IF('TL13'!$B$3=P$3,SUMIF('TL13'!$C$10:$C$224,$C275,'TL13'!$J$10:$J$224),0),
IF('TL13'!$B$229=P$3,SUMIF('TL13'!$C$238:$C$451,$C275,'TL13'!$J$238:$J$451),0),
IF('TL14'!$B$3=P$3,SUMIF('TL14'!$C$10:$C$224,$C275,'TL14'!$J$10:$J$224),0),
IF('TL14'!$B$229=P$3,SUMIF('TL14'!$C$238:$C$451,$C275,'TL14'!$J$238:$J$451),0),
IF('TL15'!$B$3=P$3,SUMIF('TL15'!$C$10:$C$224,$C275,'TL15'!$J$10:$J$224),0),
IF('TL15'!$B$229=P$3,SUMIF('TL15'!$C$238:$C$451,$C275,'TL15'!$J$238:$J$451),0),
IF('TL16'!$B$3=P$3,SUMIF('TL16'!$C$10:$C$224,$C275,'TL16'!$J$10:$J$224),0),
IF('TL16'!$B$229=P$3,SUMIF('TL16'!$C$238:$C$451,$C275,'TL16'!$J$238:$J$451),0),
IF('TL17'!$B$3=P$3,SUMIF('TL17'!$C$10:$C$224,$C275,'TL17'!$J$10:$J$224),0),
IF('TL17'!$B$229=P$3,SUMIF('TL17'!$C$238:$C$451,$C275,'TL17'!$J$238:$J$451),0),
IF('TL18'!$B$3=P$3,SUMIF('TL18'!$C$10:$C$224,$C275,'TL18'!$J$10:$J$224),0),
IF('TL18'!$B$229=P$3,SUMIF('TL18'!$C$238:$C$451,$C275,'TL18'!$J$238:$J$451),0),
IF('TL19'!$B$3=P$3,SUMIF('TL19'!$C$10:$C$224,$C275,'TL19'!$J$10:$J$224),0),
IF('TL19'!$B$229=P$3,SUMIF('TL19'!$C$238:$C$451,$C275,'TL19'!$J$238:$J$451),0)
),0)</f>
        <v>0</v>
      </c>
      <c r="Q275" s="9">
        <f>IFERROR(SUM(
IF('TL01'!$B$3=Q$3,SUMIF('TL01'!$C$10:$C$224,$C275,'TL01'!$J$10:$J$224),0),
IF('TL01'!$B$229=Q$3,SUMIF('TL01'!$C$238:$C$451,$C275,'TL01'!$J$238:$J$451),0),
IF('TL02'!$B$3=Q$3,SUMIF('TL02'!$C$10:$C$224,$C275,'TL02'!$J$10:$J$224),0),
IF('TL02'!$B$229=Q$3,SUMIF('TL02'!$C$238:$C$451,$C275,'TL02'!$J$238:$J$451),0),
IF('TL03'!$B$3=Q$3,SUMIF('TL03'!$C$10:$C$224,$C275,'TL03'!$J$10:$J$224),0),
IF('TL03'!$B$229=Q$3,SUMIF('TL03'!$C$238:$C$451,$C275,'TL03'!$J$238:$J$451),0),
IF('TL04'!$B$3=Q$3,SUMIF('TL04'!$C$10:$C$224,$C275,'TL04'!$J$10:$J$224),0),
IF('TL04'!$B$229=Q$3,SUMIF('TL04'!$C$238:$C$451,$C275,'TL04'!$J$238:$J$451),0),
IF('TL05'!$B$3=Q$3,SUMIF('TL05'!$C$10:$C$224,$C275,'TL05'!$J$10:$J$224),0),
IF('TL05'!$B$229=Q$3,SUMIF('TL05'!$C$238:$C$451,$C275,'TL05'!$J$238:$J$451),0),
IF('TL06'!$B$3=Q$3,SUMIF('TL06'!$C$10:$C$224,$C275,'TL06'!$J$10:$J$224),0),
IF('TL06'!$B$229=Q$3,SUMIF('TL06'!$C$238:$C$451,$C275,'TL06'!$J$238:$J$451),0),
IF('TL07'!$B$3=Q$3,SUMIF('TL07'!$C$10:$C$224,$C275,'TL07'!$J$10:$J$224),0),
IF('TL07'!$B$229=Q$3,SUMIF('TL07'!$C$238:$C$451,$C275,'TL07'!$J$238:$J$451),0),
IF('TL08'!$B$3=Q$3,SUMIF('TL08'!$C$10:$C$224,$C275,'TL08'!$J$10:$J$224),0),
IF('TL08'!$B$229=Q$3,SUMIF('TL08'!$C$238:$C$451,$C275,'TL08'!$J$238:$J$451),0),
IF('TL09'!$B$3=Q$3,SUMIF('TL09'!$C$10:$C$224,$C275,'TL09'!$J$10:$J$224),0),
IF('TL09'!$B$229=Q$3,SUMIF('TL09'!$C$238:$C$451,$C275,'TL09'!$J$238:$J$451),0),
IF('TL10'!$B$3=Q$3,SUMIF('TL10'!$C$10:$C$224,$C275,'TL10'!$J$10:$J$224),0),
IF('TL10'!$B$229=Q$3,SUMIF('TL10'!$C$238:$C$451,$C275,'TL10'!$J$238:$J$451),0),
IF('TL11'!$B$3=Q$3,SUMIF('TL11'!$C$10:$C$224,$C275,'TL11'!$J$10:$J$224),0),
IF('TL11'!$B$229=Q$3,SUMIF('TL11'!$C$238:$C$451,$C275,'TL11'!$J$238:$J$451),0),
IF('TL12'!$B$3=Q$3,SUMIF('TL12'!$C$10:$C$224,$C275,'TL12'!$J$10:$J$224),0),
IF('TL12'!$B$229=Q$3,SUMIF('TL12'!$C$238:$C$451,$C275,'TL12'!$J$238:$J$451),0),
IF('TL13'!$B$3=Q$3,SUMIF('TL13'!$C$10:$C$224,$C275,'TL13'!$J$10:$J$224),0),
IF('TL13'!$B$229=Q$3,SUMIF('TL13'!$C$238:$C$451,$C275,'TL13'!$J$238:$J$451),0),
IF('TL14'!$B$3=Q$3,SUMIF('TL14'!$C$10:$C$224,$C275,'TL14'!$J$10:$J$224),0),
IF('TL14'!$B$229=Q$3,SUMIF('TL14'!$C$238:$C$451,$C275,'TL14'!$J$238:$J$451),0),
IF('TL15'!$B$3=Q$3,SUMIF('TL15'!$C$10:$C$224,$C275,'TL15'!$J$10:$J$224),0),
IF('TL15'!$B$229=Q$3,SUMIF('TL15'!$C$238:$C$451,$C275,'TL15'!$J$238:$J$451),0),
IF('TL16'!$B$3=Q$3,SUMIF('TL16'!$C$10:$C$224,$C275,'TL16'!$J$10:$J$224),0),
IF('TL16'!$B$229=Q$3,SUMIF('TL16'!$C$238:$C$451,$C275,'TL16'!$J$238:$J$451),0),
IF('TL17'!$B$3=Q$3,SUMIF('TL17'!$C$10:$C$224,$C275,'TL17'!$J$10:$J$224),0),
IF('TL17'!$B$229=Q$3,SUMIF('TL17'!$C$238:$C$451,$C275,'TL17'!$J$238:$J$451),0),
IF('TL18'!$B$3=Q$3,SUMIF('TL18'!$C$10:$C$224,$C275,'TL18'!$J$10:$J$224),0),
IF('TL18'!$B$229=Q$3,SUMIF('TL18'!$C$238:$C$451,$C275,'TL18'!$J$238:$J$451),0),
IF('TL19'!$B$3=Q$3,SUMIF('TL19'!$C$10:$C$224,$C275,'TL19'!$J$10:$J$224),0),
IF('TL19'!$B$229=Q$3,SUMIF('TL19'!$C$238:$C$451,$C275,'TL19'!$J$238:$J$451),0)
),0)</f>
        <v>0</v>
      </c>
      <c r="R275" s="9">
        <f>IFERROR(
SUM(
SUMIF('TL01'!C:C,C275,'TL01'!J:J),
SUMIF('TL02'!C:C,C275,'TL02'!J:J),
SUMIF('TL03'!C:C,C275,'TL03'!J:J),
SUMIF('TL04'!C:C,C275,'TL04'!J:J),
SUMIF('TL05'!C:C,C275,'TL05'!J:J),
SUMIF('TL06'!C:C,C275,'TL06'!J:J),
SUMIF('TL07'!C:C,C275,'TL07'!J:J),
SUMIF('TL08'!C:C,C275,'TL08'!J:J),
SUMIF('TL09'!C:C,C275,'TL09'!J:J),
SUMIF('TL10'!C:C,C275,'TL10'!J:J),
SUMIF('TL11'!C:C,C275,'TL11'!J:J),
SUMIF('TL12'!C:C,C275,'TL12'!J:J),
SUMIF('TL13'!C:C,C275,'TL13'!J:J),
SUMIF('TL14'!C:C,C275,'TL14'!J:J),
SUMIF('TL15'!C:C,C275,'TL15'!J:J),
SUMIF('TL16'!C:C,C275,'TL16'!J:J),
SUMIF('TL17'!C:C,C275,'TL17'!J:J),
SUMIF('TL18'!C:C,C275,'TL18'!J:J),SUMIF('TL19'!C:C,C275,'TL19'!J:J))
,0)</f>
        <v>0</v>
      </c>
      <c r="S275" s="17">
        <f>IFERROR(__xludf.DUMMYFUNCTION("IFERROR(VLOOKUP(C275,
IMPORTRANGE(""1wULbzX32WdYsx-lj2U3uUNBBe2INVIRDtcK0d-Dvl90"",
""26-27!C:G""),
5,
FALSE),
"""")"),26.0)</f>
        <v>26</v>
      </c>
      <c r="T275" s="9"/>
      <c r="U275" s="92">
        <f t="shared" si="2"/>
        <v>0</v>
      </c>
      <c r="V275" s="93">
        <f t="shared" si="3"/>
        <v>0</v>
      </c>
    </row>
    <row r="276" ht="15.75" hidden="1" customHeight="1">
      <c r="A276" s="4" t="s">
        <v>961</v>
      </c>
      <c r="B276" s="125" t="s">
        <v>9</v>
      </c>
      <c r="C276" s="4" t="s">
        <v>976</v>
      </c>
      <c r="D276" s="4" t="s">
        <v>977</v>
      </c>
      <c r="E276" s="9"/>
      <c r="F276" s="4" t="s">
        <v>343</v>
      </c>
      <c r="G276" s="9"/>
      <c r="H276" s="9">
        <v>1.4</v>
      </c>
      <c r="I276" s="1"/>
      <c r="J276" s="9">
        <f>IFERROR(SUM(
IF('TL01'!$B$3=J$3,SUMIF('TL01'!$C$10:$C$224,$C276,'TL01'!$J$10:$J$224),0),
IF('TL01'!$B$229=J$3,SUMIF('TL01'!$C$238:$C$451,$C276,'TL01'!$J$238:$J$451),0),
IF('TL02'!$B$3=J$3,SUMIF('TL02'!$C$10:$C$224,$C276,'TL02'!$J$10:$J$224),0),
IF('TL02'!$B$229=J$3,SUMIF('TL02'!$C$238:$C$451,$C276,'TL02'!$J$238:$J$451),0),
IF('TL03'!$B$3=J$3,SUMIF('TL03'!$C$10:$C$224,$C276,'TL03'!$J$10:$J$224),0),
IF('TL03'!$B$229=J$3,SUMIF('TL03'!$C$238:$C$451,$C276,'TL03'!$J$238:$J$451),0),
IF('TL04'!$B$3=J$3,SUMIF('TL04'!$C$10:$C$224,$C276,'TL04'!$J$10:$J$224),0),
IF('TL04'!$B$229=J$3,SUMIF('TL04'!$C$238:$C$451,$C276,'TL04'!$J$238:$J$451),0),
IF('TL05'!$B$3=J$3,SUMIF('TL05'!$C$10:$C$224,$C276,'TL05'!$J$10:$J$224),0),
IF('TL05'!$B$229=J$3,SUMIF('TL05'!$C$238:$C$451,$C276,'TL05'!$J$238:$J$451),0),
IF('TL06'!$B$3=J$3,SUMIF('TL06'!$C$10:$C$224,$C276,'TL06'!$J$10:$J$224),0),
IF('TL06'!$B$229=J$3,SUMIF('TL06'!$C$238:$C$451,$C276,'TL06'!$J$238:$J$451),0),
IF('TL07'!$B$3=J$3,SUMIF('TL07'!$C$10:$C$224,$C276,'TL07'!$J$10:$J$224),0),
IF('TL07'!$B$229=J$3,SUMIF('TL07'!$C$238:$C$451,$C276,'TL07'!$J$238:$J$451),0),
IF('TL08'!$B$3=J$3,SUMIF('TL08'!$C$10:$C$224,$C276,'TL08'!$J$10:$J$224),0),
IF('TL08'!$B$229=J$3,SUMIF('TL08'!$C$238:$C$451,$C276,'TL08'!$J$238:$J$451),0),
IF('TL09'!$B$3=J$3,SUMIF('TL09'!$C$10:$C$224,$C276,'TL09'!$J$10:$J$224),0),
IF('TL09'!$B$229=J$3,SUMIF('TL09'!$C$238:$C$451,$C276,'TL09'!$J$238:$J$451),0),
IF('TL10'!$B$3=J$3,SUMIF('TL10'!$C$10:$C$224,$C276,'TL10'!$J$10:$J$224),0),
IF('TL10'!$B$229=J$3,SUMIF('TL10'!$C$238:$C$451,$C276,'TL10'!$J$238:$J$451),0),
IF('TL11'!$B$3=J$3,SUMIF('TL11'!$C$10:$C$224,$C276,'TL11'!$J$10:$J$224),0),
IF('TL11'!$B$229=J$3,SUMIF('TL11'!$C$238:$C$451,$C276,'TL11'!$J$238:$J$451),0),
IF('TL12'!$B$3=J$3,SUMIF('TL12'!$C$10:$C$224,$C276,'TL12'!$J$10:$J$224),0),
IF('TL12'!$B$229=J$3,SUMIF('TL12'!$C$238:$C$451,$C276,'TL12'!$J$238:$J$451),0),
IF('TL13'!$B$3=J$3,SUMIF('TL13'!$C$10:$C$224,$C276,'TL13'!$J$10:$J$224),0),
IF('TL13'!$B$229=J$3,SUMIF('TL13'!$C$238:$C$451,$C276,'TL13'!$J$238:$J$451),0),
IF('TL14'!$B$3=J$3,SUMIF('TL14'!$C$10:$C$224,$C276,'TL14'!$J$10:$J$224),0),
IF('TL14'!$B$229=J$3,SUMIF('TL14'!$C$238:$C$451,$C276,'TL14'!$J$238:$J$451),0),
IF('TL15'!$B$3=J$3,SUMIF('TL15'!$C$10:$C$224,$C276,'TL15'!$J$10:$J$224),0),
IF('TL15'!$B$229=J$3,SUMIF('TL15'!$C$238:$C$451,$C276,'TL15'!$J$238:$J$451),0),
IF('TL16'!$B$3=J$3,SUMIF('TL16'!$C$10:$C$224,$C276,'TL16'!$J$10:$J$224),0),
IF('TL16'!$B$229=J$3,SUMIF('TL16'!$C$238:$C$451,$C276,'TL16'!$J$238:$J$451),0),
IF('TL17'!$B$3=J$3,SUMIF('TL17'!$C$10:$C$224,$C276,'TL17'!$J$10:$J$224),0),
IF('TL17'!$B$229=J$3,SUMIF('TL17'!$C$238:$C$451,$C276,'TL17'!$J$238:$J$451),0),
IF('TL18'!$B$3=J$3,SUMIF('TL18'!$C$10:$C$224,$C276,'TL18'!$J$10:$J$224),0),
IF('TL18'!$B$229=J$3,SUMIF('TL18'!$C$238:$C$451,$C276,'TL18'!$J$238:$J$451),0),
IF('TL19'!$B$3=J$3,SUMIF('TL19'!$C$10:$C$224,$C276,'TL19'!$J$10:$J$224),0),
IF('TL19'!$B$229=J$3,SUMIF('TL19'!$C$238:$C$451,$C276,'TL19'!$J$238:$J$451),0)
),0)</f>
        <v>0</v>
      </c>
      <c r="K276" s="9">
        <f>IFERROR(SUM(
IF('TL01'!$B$3=K$3,SUMIF('TL01'!$C$10:$C$224,$C276,'TL01'!$J$10:$J$224),0),
IF('TL01'!$B$229=K$3,SUMIF('TL01'!$C$238:$C$451,$C276,'TL01'!$J$238:$J$451),0),
IF('TL02'!$B$3=K$3,SUMIF('TL02'!$C$10:$C$224,$C276,'TL02'!$J$10:$J$224),0),
IF('TL02'!$B$229=K$3,SUMIF('TL02'!$C$238:$C$451,$C276,'TL02'!$J$238:$J$451),0),
IF('TL03'!$B$3=K$3,SUMIF('TL03'!$C$10:$C$224,$C276,'TL03'!$J$10:$J$224),0),
IF('TL03'!$B$229=K$3,SUMIF('TL03'!$C$238:$C$451,$C276,'TL03'!$J$238:$J$451),0),
IF('TL04'!$B$3=K$3,SUMIF('TL04'!$C$10:$C$224,$C276,'TL04'!$J$10:$J$224),0),
IF('TL04'!$B$229=K$3,SUMIF('TL04'!$C$238:$C$451,$C276,'TL04'!$J$238:$J$451),0),
IF('TL05'!$B$3=K$3,SUMIF('TL05'!$C$10:$C$224,$C276,'TL05'!$J$10:$J$224),0),
IF('TL05'!$B$229=K$3,SUMIF('TL05'!$C$238:$C$451,$C276,'TL05'!$J$238:$J$451),0),
IF('TL06'!$B$3=K$3,SUMIF('TL06'!$C$10:$C$224,$C276,'TL06'!$J$10:$J$224),0),
IF('TL06'!$B$229=K$3,SUMIF('TL06'!$C$238:$C$451,$C276,'TL06'!$J$238:$J$451),0),
IF('TL07'!$B$3=K$3,SUMIF('TL07'!$C$10:$C$224,$C276,'TL07'!$J$10:$J$224),0),
IF('TL07'!$B$229=K$3,SUMIF('TL07'!$C$238:$C$451,$C276,'TL07'!$J$238:$J$451),0),
IF('TL08'!$B$3=K$3,SUMIF('TL08'!$C$10:$C$224,$C276,'TL08'!$J$10:$J$224),0),
IF('TL08'!$B$229=K$3,SUMIF('TL08'!$C$238:$C$451,$C276,'TL08'!$J$238:$J$451),0),
IF('TL09'!$B$3=K$3,SUMIF('TL09'!$C$10:$C$224,$C276,'TL09'!$J$10:$J$224),0),
IF('TL09'!$B$229=K$3,SUMIF('TL09'!$C$238:$C$451,$C276,'TL09'!$J$238:$J$451),0),
IF('TL10'!$B$3=K$3,SUMIF('TL10'!$C$10:$C$224,$C276,'TL10'!$J$10:$J$224),0),
IF('TL10'!$B$229=K$3,SUMIF('TL10'!$C$238:$C$451,$C276,'TL10'!$J$238:$J$451),0),
IF('TL11'!$B$3=K$3,SUMIF('TL11'!$C$10:$C$224,$C276,'TL11'!$J$10:$J$224),0),
IF('TL11'!$B$229=K$3,SUMIF('TL11'!$C$238:$C$451,$C276,'TL11'!$J$238:$J$451),0),
IF('TL12'!$B$3=K$3,SUMIF('TL12'!$C$10:$C$224,$C276,'TL12'!$J$10:$J$224),0),
IF('TL12'!$B$229=K$3,SUMIF('TL12'!$C$238:$C$451,$C276,'TL12'!$J$238:$J$451),0),
IF('TL13'!$B$3=K$3,SUMIF('TL13'!$C$10:$C$224,$C276,'TL13'!$J$10:$J$224),0),
IF('TL13'!$B$229=K$3,SUMIF('TL13'!$C$238:$C$451,$C276,'TL13'!$J$238:$J$451),0),
IF('TL14'!$B$3=K$3,SUMIF('TL14'!$C$10:$C$224,$C276,'TL14'!$J$10:$J$224),0),
IF('TL14'!$B$229=K$3,SUMIF('TL14'!$C$238:$C$451,$C276,'TL14'!$J$238:$J$451),0),
IF('TL15'!$B$3=K$3,SUMIF('TL15'!$C$10:$C$224,$C276,'TL15'!$J$10:$J$224),0),
IF('TL15'!$B$229=K$3,SUMIF('TL15'!$C$238:$C$451,$C276,'TL15'!$J$238:$J$451),0),
IF('TL16'!$B$3=K$3,SUMIF('TL16'!$C$10:$C$224,$C276,'TL16'!$J$10:$J$224),0),
IF('TL16'!$B$229=K$3,SUMIF('TL16'!$C$238:$C$451,$C276,'TL16'!$J$238:$J$451),0),
IF('TL17'!$B$3=K$3,SUMIF('TL17'!$C$10:$C$224,$C276,'TL17'!$J$10:$J$224),0),
IF('TL17'!$B$229=K$3,SUMIF('TL17'!$C$238:$C$451,$C276,'TL17'!$J$238:$J$451),0),
IF('TL18'!$B$3=K$3,SUMIF('TL18'!$C$10:$C$224,$C276,'TL18'!$J$10:$J$224),0),
IF('TL18'!$B$229=K$3,SUMIF('TL18'!$C$238:$C$451,$C276,'TL18'!$J$238:$J$451),0),
IF('TL19'!$B$3=K$3,SUMIF('TL19'!$C$10:$C$224,$C276,'TL19'!$J$10:$J$224),0),
IF('TL19'!$B$229=K$3,SUMIF('TL19'!$C$238:$C$451,$C276,'TL19'!$J$238:$J$451),0)
),0)</f>
        <v>0</v>
      </c>
      <c r="L276" s="9">
        <f>IFERROR(SUM(
IF('TL01'!$B$3=L$3,SUMIF('TL01'!$C$10:$C$224,$C276,'TL01'!$J$10:$J$224),0),
IF('TL01'!$B$229=L$3,SUMIF('TL01'!$C$238:$C$451,$C276,'TL01'!$J$238:$J$451),0),
IF('TL02'!$B$3=L$3,SUMIF('TL02'!$C$10:$C$224,$C276,'TL02'!$J$10:$J$224),0),
IF('TL02'!$B$229=L$3,SUMIF('TL02'!$C$238:$C$451,$C276,'TL02'!$J$238:$J$451),0),
IF('TL03'!$B$3=L$3,SUMIF('TL03'!$C$10:$C$224,$C276,'TL03'!$J$10:$J$224),0),
IF('TL03'!$B$229=L$3,SUMIF('TL03'!$C$238:$C$451,$C276,'TL03'!$J$238:$J$451),0),
IF('TL04'!$B$3=L$3,SUMIF('TL04'!$C$10:$C$224,$C276,'TL04'!$J$10:$J$224),0),
IF('TL04'!$B$229=L$3,SUMIF('TL04'!$C$238:$C$451,$C276,'TL04'!$J$238:$J$451),0),
IF('TL05'!$B$3=L$3,SUMIF('TL05'!$C$10:$C$224,$C276,'TL05'!$J$10:$J$224),0),
IF('TL05'!$B$229=L$3,SUMIF('TL05'!$C$238:$C$451,$C276,'TL05'!$J$238:$J$451),0),
IF('TL06'!$B$3=L$3,SUMIF('TL06'!$C$10:$C$224,$C276,'TL06'!$J$10:$J$224),0),
IF('TL06'!$B$229=L$3,SUMIF('TL06'!$C$238:$C$451,$C276,'TL06'!$J$238:$J$451),0),
IF('TL07'!$B$3=L$3,SUMIF('TL07'!$C$10:$C$224,$C276,'TL07'!$J$10:$J$224),0),
IF('TL07'!$B$229=L$3,SUMIF('TL07'!$C$238:$C$451,$C276,'TL07'!$J$238:$J$451),0),
IF('TL08'!$B$3=L$3,SUMIF('TL08'!$C$10:$C$224,$C276,'TL08'!$J$10:$J$224),0),
IF('TL08'!$B$229=L$3,SUMIF('TL08'!$C$238:$C$451,$C276,'TL08'!$J$238:$J$451),0),
IF('TL09'!$B$3=L$3,SUMIF('TL09'!$C$10:$C$224,$C276,'TL09'!$J$10:$J$224),0),
IF('TL09'!$B$229=L$3,SUMIF('TL09'!$C$238:$C$451,$C276,'TL09'!$J$238:$J$451),0),
IF('TL10'!$B$3=L$3,SUMIF('TL10'!$C$10:$C$224,$C276,'TL10'!$J$10:$J$224),0),
IF('TL10'!$B$229=L$3,SUMIF('TL10'!$C$238:$C$451,$C276,'TL10'!$J$238:$J$451),0),
IF('TL11'!$B$3=L$3,SUMIF('TL11'!$C$10:$C$224,$C276,'TL11'!$J$10:$J$224),0),
IF('TL11'!$B$229=L$3,SUMIF('TL11'!$C$238:$C$451,$C276,'TL11'!$J$238:$J$451),0),
IF('TL12'!$B$3=L$3,SUMIF('TL12'!$C$10:$C$224,$C276,'TL12'!$J$10:$J$224),0),
IF('TL12'!$B$229=L$3,SUMIF('TL12'!$C$238:$C$451,$C276,'TL12'!$J$238:$J$451),0),
IF('TL13'!$B$3=L$3,SUMIF('TL13'!$C$10:$C$224,$C276,'TL13'!$J$10:$J$224),0),
IF('TL13'!$B$229=L$3,SUMIF('TL13'!$C$238:$C$451,$C276,'TL13'!$J$238:$J$451),0),
IF('TL14'!$B$3=L$3,SUMIF('TL14'!$C$10:$C$224,$C276,'TL14'!$J$10:$J$224),0),
IF('TL14'!$B$229=L$3,SUMIF('TL14'!$C$238:$C$451,$C276,'TL14'!$J$238:$J$451),0),
IF('TL15'!$B$3=L$3,SUMIF('TL15'!$C$10:$C$224,$C276,'TL15'!$J$10:$J$224),0),
IF('TL15'!$B$229=L$3,SUMIF('TL15'!$C$238:$C$451,$C276,'TL15'!$J$238:$J$451),0),
IF('TL16'!$B$3=L$3,SUMIF('TL16'!$C$10:$C$224,$C276,'TL16'!$J$10:$J$224),0),
IF('TL16'!$B$229=L$3,SUMIF('TL16'!$C$238:$C$451,$C276,'TL16'!$J$238:$J$451),0),
IF('TL17'!$B$3=L$3,SUMIF('TL17'!$C$10:$C$224,$C276,'TL17'!$J$10:$J$224),0),
IF('TL17'!$B$229=L$3,SUMIF('TL17'!$C$238:$C$451,$C276,'TL17'!$J$238:$J$451),0),
IF('TL18'!$B$3=L$3,SUMIF('TL18'!$C$10:$C$224,$C276,'TL18'!$J$10:$J$224),0),
IF('TL18'!$B$229=L$3,SUMIF('TL18'!$C$238:$C$451,$C276,'TL18'!$J$238:$J$451),0),
IF('TL19'!$B$3=L$3,SUMIF('TL19'!$C$10:$C$224,$C276,'TL19'!$J$10:$J$224),0),
IF('TL19'!$B$229=L$3,SUMIF('TL19'!$C$238:$C$451,$C276,'TL19'!$J$238:$J$451),0)
),0)</f>
        <v>0</v>
      </c>
      <c r="M276" s="9">
        <f>IFERROR(SUM(
IF('TL01'!$B$3=M$3,SUMIF('TL01'!$C$10:$C$224,$C276,'TL01'!$J$10:$J$224),0),
IF('TL01'!$B$229=M$3,SUMIF('TL01'!$C$238:$C$451,$C276,'TL01'!$J$238:$J$451),0),
IF('TL02'!$B$3=M$3,SUMIF('TL02'!$C$10:$C$224,$C276,'TL02'!$J$10:$J$224),0),
IF('TL02'!$B$229=M$3,SUMIF('TL02'!$C$238:$C$451,$C276,'TL02'!$J$238:$J$451),0),
IF('TL03'!$B$3=M$3,SUMIF('TL03'!$C$10:$C$224,$C276,'TL03'!$J$10:$J$224),0),
IF('TL03'!$B$229=M$3,SUMIF('TL03'!$C$238:$C$451,$C276,'TL03'!$J$238:$J$451),0),
IF('TL04'!$B$3=M$3,SUMIF('TL04'!$C$10:$C$224,$C276,'TL04'!$J$10:$J$224),0),
IF('TL04'!$B$229=M$3,SUMIF('TL04'!$C$238:$C$451,$C276,'TL04'!$J$238:$J$451),0),
IF('TL05'!$B$3=M$3,SUMIF('TL05'!$C$10:$C$224,$C276,'TL05'!$J$10:$J$224),0),
IF('TL05'!$B$229=M$3,SUMIF('TL05'!$C$238:$C$451,$C276,'TL05'!$J$238:$J$451),0),
IF('TL06'!$B$3=M$3,SUMIF('TL06'!$C$10:$C$224,$C276,'TL06'!$J$10:$J$224),0),
IF('TL06'!$B$229=M$3,SUMIF('TL06'!$C$238:$C$451,$C276,'TL06'!$J$238:$J$451),0),
IF('TL07'!$B$3=M$3,SUMIF('TL07'!$C$10:$C$224,$C276,'TL07'!$J$10:$J$224),0),
IF('TL07'!$B$229=M$3,SUMIF('TL07'!$C$238:$C$451,$C276,'TL07'!$J$238:$J$451),0),
IF('TL08'!$B$3=M$3,SUMIF('TL08'!$C$10:$C$224,$C276,'TL08'!$J$10:$J$224),0),
IF('TL08'!$B$229=M$3,SUMIF('TL08'!$C$238:$C$451,$C276,'TL08'!$J$238:$J$451),0),
IF('TL09'!$B$3=M$3,SUMIF('TL09'!$C$10:$C$224,$C276,'TL09'!$J$10:$J$224),0),
IF('TL09'!$B$229=M$3,SUMIF('TL09'!$C$238:$C$451,$C276,'TL09'!$J$238:$J$451),0),
IF('TL10'!$B$3=M$3,SUMIF('TL10'!$C$10:$C$224,$C276,'TL10'!$J$10:$J$224),0),
IF('TL10'!$B$229=M$3,SUMIF('TL10'!$C$238:$C$451,$C276,'TL10'!$J$238:$J$451),0),
IF('TL11'!$B$3=M$3,SUMIF('TL11'!$C$10:$C$224,$C276,'TL11'!$J$10:$J$224),0),
IF('TL11'!$B$229=M$3,SUMIF('TL11'!$C$238:$C$451,$C276,'TL11'!$J$238:$J$451),0),
IF('TL12'!$B$3=M$3,SUMIF('TL12'!$C$10:$C$224,$C276,'TL12'!$J$10:$J$224),0),
IF('TL12'!$B$229=M$3,SUMIF('TL12'!$C$238:$C$451,$C276,'TL12'!$J$238:$J$451),0),
IF('TL13'!$B$3=M$3,SUMIF('TL13'!$C$10:$C$224,$C276,'TL13'!$J$10:$J$224),0),
IF('TL13'!$B$229=M$3,SUMIF('TL13'!$C$238:$C$451,$C276,'TL13'!$J$238:$J$451),0),
IF('TL14'!$B$3=M$3,SUMIF('TL14'!$C$10:$C$224,$C276,'TL14'!$J$10:$J$224),0),
IF('TL14'!$B$229=M$3,SUMIF('TL14'!$C$238:$C$451,$C276,'TL14'!$J$238:$J$451),0),
IF('TL15'!$B$3=M$3,SUMIF('TL15'!$C$10:$C$224,$C276,'TL15'!$J$10:$J$224),0),
IF('TL15'!$B$229=M$3,SUMIF('TL15'!$C$238:$C$451,$C276,'TL15'!$J$238:$J$451),0),
IF('TL16'!$B$3=M$3,SUMIF('TL16'!$C$10:$C$224,$C276,'TL16'!$J$10:$J$224),0),
IF('TL16'!$B$229=M$3,SUMIF('TL16'!$C$238:$C$451,$C276,'TL16'!$J$238:$J$451),0),
IF('TL17'!$B$3=M$3,SUMIF('TL17'!$C$10:$C$224,$C276,'TL17'!$J$10:$J$224),0),
IF('TL17'!$B$229=M$3,SUMIF('TL17'!$C$238:$C$451,$C276,'TL17'!$J$238:$J$451),0),
IF('TL18'!$B$3=M$3,SUMIF('TL18'!$C$10:$C$224,$C276,'TL18'!$J$10:$J$224),0),
IF('TL18'!$B$229=M$3,SUMIF('TL18'!$C$238:$C$451,$C276,'TL18'!$J$238:$J$451),0),
IF('TL19'!$B$3=M$3,SUMIF('TL19'!$C$10:$C$224,$C276,'TL19'!$J$10:$J$224),0),
IF('TL19'!$B$229=M$3,SUMIF('TL19'!$C$238:$C$451,$C276,'TL19'!$J$238:$J$451),0)
),0)</f>
        <v>0</v>
      </c>
      <c r="N276" s="9">
        <f>IFERROR(SUM(
IF('TL01'!$B$3=N$3,SUMIF('TL01'!$C$10:$C$224,$C276,'TL01'!$J$10:$J$224),0),
IF('TL01'!$B$229=N$3,SUMIF('TL01'!$C$238:$C$451,$C276,'TL01'!$J$238:$J$451),0),
IF('TL02'!$B$3=N$3,SUMIF('TL02'!$C$10:$C$224,$C276,'TL02'!$J$10:$J$224),0),
IF('TL02'!$B$229=N$3,SUMIF('TL02'!$C$238:$C$451,$C276,'TL02'!$J$238:$J$451),0),
IF('TL03'!$B$3=N$3,SUMIF('TL03'!$C$10:$C$224,$C276,'TL03'!$J$10:$J$224),0),
IF('TL03'!$B$229=N$3,SUMIF('TL03'!$C$238:$C$451,$C276,'TL03'!$J$238:$J$451),0),
IF('TL04'!$B$3=N$3,SUMIF('TL04'!$C$10:$C$224,$C276,'TL04'!$J$10:$J$224),0),
IF('TL04'!$B$229=N$3,SUMIF('TL04'!$C$238:$C$451,$C276,'TL04'!$J$238:$J$451),0),
IF('TL05'!$B$3=N$3,SUMIF('TL05'!$C$10:$C$224,$C276,'TL05'!$J$10:$J$224),0),
IF('TL05'!$B$229=N$3,SUMIF('TL05'!$C$238:$C$451,$C276,'TL05'!$J$238:$J$451),0),
IF('TL06'!$B$3=N$3,SUMIF('TL06'!$C$10:$C$224,$C276,'TL06'!$J$10:$J$224),0),
IF('TL06'!$B$229=N$3,SUMIF('TL06'!$C$238:$C$451,$C276,'TL06'!$J$238:$J$451),0),
IF('TL07'!$B$3=N$3,SUMIF('TL07'!$C$10:$C$224,$C276,'TL07'!$J$10:$J$224),0),
IF('TL07'!$B$229=N$3,SUMIF('TL07'!$C$238:$C$451,$C276,'TL07'!$J$238:$J$451),0),
IF('TL08'!$B$3=N$3,SUMIF('TL08'!$C$10:$C$224,$C276,'TL08'!$J$10:$J$224),0),
IF('TL08'!$B$229=N$3,SUMIF('TL08'!$C$238:$C$451,$C276,'TL08'!$J$238:$J$451),0),
IF('TL09'!$B$3=N$3,SUMIF('TL09'!$C$10:$C$224,$C276,'TL09'!$J$10:$J$224),0),
IF('TL09'!$B$229=N$3,SUMIF('TL09'!$C$238:$C$451,$C276,'TL09'!$J$238:$J$451),0),
IF('TL10'!$B$3=N$3,SUMIF('TL10'!$C$10:$C$224,$C276,'TL10'!$J$10:$J$224),0),
IF('TL10'!$B$229=N$3,SUMIF('TL10'!$C$238:$C$451,$C276,'TL10'!$J$238:$J$451),0),
IF('TL11'!$B$3=N$3,SUMIF('TL11'!$C$10:$C$224,$C276,'TL11'!$J$10:$J$224),0),
IF('TL11'!$B$229=N$3,SUMIF('TL11'!$C$238:$C$451,$C276,'TL11'!$J$238:$J$451),0),
IF('TL12'!$B$3=N$3,SUMIF('TL12'!$C$10:$C$224,$C276,'TL12'!$J$10:$J$224),0),
IF('TL12'!$B$229=N$3,SUMIF('TL12'!$C$238:$C$451,$C276,'TL12'!$J$238:$J$451),0),
IF('TL13'!$B$3=N$3,SUMIF('TL13'!$C$10:$C$224,$C276,'TL13'!$J$10:$J$224),0),
IF('TL13'!$B$229=N$3,SUMIF('TL13'!$C$238:$C$451,$C276,'TL13'!$J$238:$J$451),0),
IF('TL14'!$B$3=N$3,SUMIF('TL14'!$C$10:$C$224,$C276,'TL14'!$J$10:$J$224),0),
IF('TL14'!$B$229=N$3,SUMIF('TL14'!$C$238:$C$451,$C276,'TL14'!$J$238:$J$451),0),
IF('TL15'!$B$3=N$3,SUMIF('TL15'!$C$10:$C$224,$C276,'TL15'!$J$10:$J$224),0),
IF('TL15'!$B$229=N$3,SUMIF('TL15'!$C$238:$C$451,$C276,'TL15'!$J$238:$J$451),0),
IF('TL16'!$B$3=N$3,SUMIF('TL16'!$C$10:$C$224,$C276,'TL16'!$J$10:$J$224),0),
IF('TL16'!$B$229=N$3,SUMIF('TL16'!$C$238:$C$451,$C276,'TL16'!$J$238:$J$451),0),
IF('TL17'!$B$3=N$3,SUMIF('TL17'!$C$10:$C$224,$C276,'TL17'!$J$10:$J$224),0),
IF('TL17'!$B$229=N$3,SUMIF('TL17'!$C$238:$C$451,$C276,'TL17'!$J$238:$J$451),0),
IF('TL18'!$B$3=N$3,SUMIF('TL18'!$C$10:$C$224,$C276,'TL18'!$J$10:$J$224),0),
IF('TL18'!$B$229=N$3,SUMIF('TL18'!$C$238:$C$451,$C276,'TL18'!$J$238:$J$451),0),
IF('TL19'!$B$3=N$3,SUMIF('TL19'!$C$10:$C$224,$C276,'TL19'!$J$10:$J$224),0),
IF('TL19'!$B$229=N$3,SUMIF('TL19'!$C$238:$C$451,$C276,'TL19'!$J$238:$J$451),0)
),0)</f>
        <v>0</v>
      </c>
      <c r="O276" s="9">
        <f>IFERROR(SUM(
IF('TL01'!$B$3=O$3,SUMIF('TL01'!$C$10:$C$224,$C276,'TL01'!$J$10:$J$224),0),
IF('TL01'!$B$229=O$3,SUMIF('TL01'!$C$238:$C$451,$C276,'TL01'!$J$238:$J$451),0),
IF('TL02'!$B$3=O$3,SUMIF('TL02'!$C$10:$C$224,$C276,'TL02'!$J$10:$J$224),0),
IF('TL02'!$B$229=O$3,SUMIF('TL02'!$C$238:$C$451,$C276,'TL02'!$J$238:$J$451),0),
IF('TL03'!$B$3=O$3,SUMIF('TL03'!$C$10:$C$224,$C276,'TL03'!$J$10:$J$224),0),
IF('TL03'!$B$229=O$3,SUMIF('TL03'!$C$238:$C$451,$C276,'TL03'!$J$238:$J$451),0),
IF('TL04'!$B$3=O$3,SUMIF('TL04'!$C$10:$C$224,$C276,'TL04'!$J$10:$J$224),0),
IF('TL04'!$B$229=O$3,SUMIF('TL04'!$C$238:$C$451,$C276,'TL04'!$J$238:$J$451),0),
IF('TL05'!$B$3=O$3,SUMIF('TL05'!$C$10:$C$224,$C276,'TL05'!$J$10:$J$224),0),
IF('TL05'!$B$229=O$3,SUMIF('TL05'!$C$238:$C$451,$C276,'TL05'!$J$238:$J$451),0),
IF('TL06'!$B$3=O$3,SUMIF('TL06'!$C$10:$C$224,$C276,'TL06'!$J$10:$J$224),0),
IF('TL06'!$B$229=O$3,SUMIF('TL06'!$C$238:$C$451,$C276,'TL06'!$J$238:$J$451),0),
IF('TL07'!$B$3=O$3,SUMIF('TL07'!$C$10:$C$224,$C276,'TL07'!$J$10:$J$224),0),
IF('TL07'!$B$229=O$3,SUMIF('TL07'!$C$238:$C$451,$C276,'TL07'!$J$238:$J$451),0),
IF('TL08'!$B$3=O$3,SUMIF('TL08'!$C$10:$C$224,$C276,'TL08'!$J$10:$J$224),0),
IF('TL08'!$B$229=O$3,SUMIF('TL08'!$C$238:$C$451,$C276,'TL08'!$J$238:$J$451),0),
IF('TL09'!$B$3=O$3,SUMIF('TL09'!$C$10:$C$224,$C276,'TL09'!$J$10:$J$224),0),
IF('TL09'!$B$229=O$3,SUMIF('TL09'!$C$238:$C$451,$C276,'TL09'!$J$238:$J$451),0),
IF('TL10'!$B$3=O$3,SUMIF('TL10'!$C$10:$C$224,$C276,'TL10'!$J$10:$J$224),0),
IF('TL10'!$B$229=O$3,SUMIF('TL10'!$C$238:$C$451,$C276,'TL10'!$J$238:$J$451),0),
IF('TL11'!$B$3=O$3,SUMIF('TL11'!$C$10:$C$224,$C276,'TL11'!$J$10:$J$224),0),
IF('TL11'!$B$229=O$3,SUMIF('TL11'!$C$238:$C$451,$C276,'TL11'!$J$238:$J$451),0),
IF('TL12'!$B$3=O$3,SUMIF('TL12'!$C$10:$C$224,$C276,'TL12'!$J$10:$J$224),0),
IF('TL12'!$B$229=O$3,SUMIF('TL12'!$C$238:$C$451,$C276,'TL12'!$J$238:$J$451),0),
IF('TL13'!$B$3=O$3,SUMIF('TL13'!$C$10:$C$224,$C276,'TL13'!$J$10:$J$224),0),
IF('TL13'!$B$229=O$3,SUMIF('TL13'!$C$238:$C$451,$C276,'TL13'!$J$238:$J$451),0),
IF('TL14'!$B$3=O$3,SUMIF('TL14'!$C$10:$C$224,$C276,'TL14'!$J$10:$J$224),0),
IF('TL14'!$B$229=O$3,SUMIF('TL14'!$C$238:$C$451,$C276,'TL14'!$J$238:$J$451),0),
IF('TL15'!$B$3=O$3,SUMIF('TL15'!$C$10:$C$224,$C276,'TL15'!$J$10:$J$224),0),
IF('TL15'!$B$229=O$3,SUMIF('TL15'!$C$238:$C$451,$C276,'TL15'!$J$238:$J$451),0),
IF('TL16'!$B$3=O$3,SUMIF('TL16'!$C$10:$C$224,$C276,'TL16'!$J$10:$J$224),0),
IF('TL16'!$B$229=O$3,SUMIF('TL16'!$C$238:$C$451,$C276,'TL16'!$J$238:$J$451),0),
IF('TL17'!$B$3=O$3,SUMIF('TL17'!$C$10:$C$224,$C276,'TL17'!$J$10:$J$224),0),
IF('TL17'!$B$229=O$3,SUMIF('TL17'!$C$238:$C$451,$C276,'TL17'!$J$238:$J$451),0),
IF('TL18'!$B$3=O$3,SUMIF('TL18'!$C$10:$C$224,$C276,'TL18'!$J$10:$J$224),0),
IF('TL18'!$B$229=O$3,SUMIF('TL18'!$C$238:$C$451,$C276,'TL18'!$J$238:$J$451),0),
IF('TL19'!$B$3=O$3,SUMIF('TL19'!$C$10:$C$224,$C276,'TL19'!$J$10:$J$224),0),
IF('TL19'!$B$229=O$3,SUMIF('TL19'!$C$238:$C$451,$C276,'TL19'!$J$238:$J$451),0)
),0)</f>
        <v>0</v>
      </c>
      <c r="P276" s="9">
        <f>IFERROR(SUM(
IF('TL01'!$B$3=P$3,SUMIF('TL01'!$C$10:$C$224,$C276,'TL01'!$J$10:$J$224),0),
IF('TL01'!$B$229=P$3,SUMIF('TL01'!$C$238:$C$451,$C276,'TL01'!$J$238:$J$451),0),
IF('TL02'!$B$3=P$3,SUMIF('TL02'!$C$10:$C$224,$C276,'TL02'!$J$10:$J$224),0),
IF('TL02'!$B$229=P$3,SUMIF('TL02'!$C$238:$C$451,$C276,'TL02'!$J$238:$J$451),0),
IF('TL03'!$B$3=P$3,SUMIF('TL03'!$C$10:$C$224,$C276,'TL03'!$J$10:$J$224),0),
IF('TL03'!$B$229=P$3,SUMIF('TL03'!$C$238:$C$451,$C276,'TL03'!$J$238:$J$451),0),
IF('TL04'!$B$3=P$3,SUMIF('TL04'!$C$10:$C$224,$C276,'TL04'!$J$10:$J$224),0),
IF('TL04'!$B$229=P$3,SUMIF('TL04'!$C$238:$C$451,$C276,'TL04'!$J$238:$J$451),0),
IF('TL05'!$B$3=P$3,SUMIF('TL05'!$C$10:$C$224,$C276,'TL05'!$J$10:$J$224),0),
IF('TL05'!$B$229=P$3,SUMIF('TL05'!$C$238:$C$451,$C276,'TL05'!$J$238:$J$451),0),
IF('TL06'!$B$3=P$3,SUMIF('TL06'!$C$10:$C$224,$C276,'TL06'!$J$10:$J$224),0),
IF('TL06'!$B$229=P$3,SUMIF('TL06'!$C$238:$C$451,$C276,'TL06'!$J$238:$J$451),0),
IF('TL07'!$B$3=P$3,SUMIF('TL07'!$C$10:$C$224,$C276,'TL07'!$J$10:$J$224),0),
IF('TL07'!$B$229=P$3,SUMIF('TL07'!$C$238:$C$451,$C276,'TL07'!$J$238:$J$451),0),
IF('TL08'!$B$3=P$3,SUMIF('TL08'!$C$10:$C$224,$C276,'TL08'!$J$10:$J$224),0),
IF('TL08'!$B$229=P$3,SUMIF('TL08'!$C$238:$C$451,$C276,'TL08'!$J$238:$J$451),0),
IF('TL09'!$B$3=P$3,SUMIF('TL09'!$C$10:$C$224,$C276,'TL09'!$J$10:$J$224),0),
IF('TL09'!$B$229=P$3,SUMIF('TL09'!$C$238:$C$451,$C276,'TL09'!$J$238:$J$451),0),
IF('TL10'!$B$3=P$3,SUMIF('TL10'!$C$10:$C$224,$C276,'TL10'!$J$10:$J$224),0),
IF('TL10'!$B$229=P$3,SUMIF('TL10'!$C$238:$C$451,$C276,'TL10'!$J$238:$J$451),0),
IF('TL11'!$B$3=P$3,SUMIF('TL11'!$C$10:$C$224,$C276,'TL11'!$J$10:$J$224),0),
IF('TL11'!$B$229=P$3,SUMIF('TL11'!$C$238:$C$451,$C276,'TL11'!$J$238:$J$451),0),
IF('TL12'!$B$3=P$3,SUMIF('TL12'!$C$10:$C$224,$C276,'TL12'!$J$10:$J$224),0),
IF('TL12'!$B$229=P$3,SUMIF('TL12'!$C$238:$C$451,$C276,'TL12'!$J$238:$J$451),0),
IF('TL13'!$B$3=P$3,SUMIF('TL13'!$C$10:$C$224,$C276,'TL13'!$J$10:$J$224),0),
IF('TL13'!$B$229=P$3,SUMIF('TL13'!$C$238:$C$451,$C276,'TL13'!$J$238:$J$451),0),
IF('TL14'!$B$3=P$3,SUMIF('TL14'!$C$10:$C$224,$C276,'TL14'!$J$10:$J$224),0),
IF('TL14'!$B$229=P$3,SUMIF('TL14'!$C$238:$C$451,$C276,'TL14'!$J$238:$J$451),0),
IF('TL15'!$B$3=P$3,SUMIF('TL15'!$C$10:$C$224,$C276,'TL15'!$J$10:$J$224),0),
IF('TL15'!$B$229=P$3,SUMIF('TL15'!$C$238:$C$451,$C276,'TL15'!$J$238:$J$451),0),
IF('TL16'!$B$3=P$3,SUMIF('TL16'!$C$10:$C$224,$C276,'TL16'!$J$10:$J$224),0),
IF('TL16'!$B$229=P$3,SUMIF('TL16'!$C$238:$C$451,$C276,'TL16'!$J$238:$J$451),0),
IF('TL17'!$B$3=P$3,SUMIF('TL17'!$C$10:$C$224,$C276,'TL17'!$J$10:$J$224),0),
IF('TL17'!$B$229=P$3,SUMIF('TL17'!$C$238:$C$451,$C276,'TL17'!$J$238:$J$451),0),
IF('TL18'!$B$3=P$3,SUMIF('TL18'!$C$10:$C$224,$C276,'TL18'!$J$10:$J$224),0),
IF('TL18'!$B$229=P$3,SUMIF('TL18'!$C$238:$C$451,$C276,'TL18'!$J$238:$J$451),0),
IF('TL19'!$B$3=P$3,SUMIF('TL19'!$C$10:$C$224,$C276,'TL19'!$J$10:$J$224),0),
IF('TL19'!$B$229=P$3,SUMIF('TL19'!$C$238:$C$451,$C276,'TL19'!$J$238:$J$451),0)
),0)</f>
        <v>0</v>
      </c>
      <c r="Q276" s="9">
        <f>IFERROR(SUM(
IF('TL01'!$B$3=Q$3,SUMIF('TL01'!$C$10:$C$224,$C276,'TL01'!$J$10:$J$224),0),
IF('TL01'!$B$229=Q$3,SUMIF('TL01'!$C$238:$C$451,$C276,'TL01'!$J$238:$J$451),0),
IF('TL02'!$B$3=Q$3,SUMIF('TL02'!$C$10:$C$224,$C276,'TL02'!$J$10:$J$224),0),
IF('TL02'!$B$229=Q$3,SUMIF('TL02'!$C$238:$C$451,$C276,'TL02'!$J$238:$J$451),0),
IF('TL03'!$B$3=Q$3,SUMIF('TL03'!$C$10:$C$224,$C276,'TL03'!$J$10:$J$224),0),
IF('TL03'!$B$229=Q$3,SUMIF('TL03'!$C$238:$C$451,$C276,'TL03'!$J$238:$J$451),0),
IF('TL04'!$B$3=Q$3,SUMIF('TL04'!$C$10:$C$224,$C276,'TL04'!$J$10:$J$224),0),
IF('TL04'!$B$229=Q$3,SUMIF('TL04'!$C$238:$C$451,$C276,'TL04'!$J$238:$J$451),0),
IF('TL05'!$B$3=Q$3,SUMIF('TL05'!$C$10:$C$224,$C276,'TL05'!$J$10:$J$224),0),
IF('TL05'!$B$229=Q$3,SUMIF('TL05'!$C$238:$C$451,$C276,'TL05'!$J$238:$J$451),0),
IF('TL06'!$B$3=Q$3,SUMIF('TL06'!$C$10:$C$224,$C276,'TL06'!$J$10:$J$224),0),
IF('TL06'!$B$229=Q$3,SUMIF('TL06'!$C$238:$C$451,$C276,'TL06'!$J$238:$J$451),0),
IF('TL07'!$B$3=Q$3,SUMIF('TL07'!$C$10:$C$224,$C276,'TL07'!$J$10:$J$224),0),
IF('TL07'!$B$229=Q$3,SUMIF('TL07'!$C$238:$C$451,$C276,'TL07'!$J$238:$J$451),0),
IF('TL08'!$B$3=Q$3,SUMIF('TL08'!$C$10:$C$224,$C276,'TL08'!$J$10:$J$224),0),
IF('TL08'!$B$229=Q$3,SUMIF('TL08'!$C$238:$C$451,$C276,'TL08'!$J$238:$J$451),0),
IF('TL09'!$B$3=Q$3,SUMIF('TL09'!$C$10:$C$224,$C276,'TL09'!$J$10:$J$224),0),
IF('TL09'!$B$229=Q$3,SUMIF('TL09'!$C$238:$C$451,$C276,'TL09'!$J$238:$J$451),0),
IF('TL10'!$B$3=Q$3,SUMIF('TL10'!$C$10:$C$224,$C276,'TL10'!$J$10:$J$224),0),
IF('TL10'!$B$229=Q$3,SUMIF('TL10'!$C$238:$C$451,$C276,'TL10'!$J$238:$J$451),0),
IF('TL11'!$B$3=Q$3,SUMIF('TL11'!$C$10:$C$224,$C276,'TL11'!$J$10:$J$224),0),
IF('TL11'!$B$229=Q$3,SUMIF('TL11'!$C$238:$C$451,$C276,'TL11'!$J$238:$J$451),0),
IF('TL12'!$B$3=Q$3,SUMIF('TL12'!$C$10:$C$224,$C276,'TL12'!$J$10:$J$224),0),
IF('TL12'!$B$229=Q$3,SUMIF('TL12'!$C$238:$C$451,$C276,'TL12'!$J$238:$J$451),0),
IF('TL13'!$B$3=Q$3,SUMIF('TL13'!$C$10:$C$224,$C276,'TL13'!$J$10:$J$224),0),
IF('TL13'!$B$229=Q$3,SUMIF('TL13'!$C$238:$C$451,$C276,'TL13'!$J$238:$J$451),0),
IF('TL14'!$B$3=Q$3,SUMIF('TL14'!$C$10:$C$224,$C276,'TL14'!$J$10:$J$224),0),
IF('TL14'!$B$229=Q$3,SUMIF('TL14'!$C$238:$C$451,$C276,'TL14'!$J$238:$J$451),0),
IF('TL15'!$B$3=Q$3,SUMIF('TL15'!$C$10:$C$224,$C276,'TL15'!$J$10:$J$224),0),
IF('TL15'!$B$229=Q$3,SUMIF('TL15'!$C$238:$C$451,$C276,'TL15'!$J$238:$J$451),0),
IF('TL16'!$B$3=Q$3,SUMIF('TL16'!$C$10:$C$224,$C276,'TL16'!$J$10:$J$224),0),
IF('TL16'!$B$229=Q$3,SUMIF('TL16'!$C$238:$C$451,$C276,'TL16'!$J$238:$J$451),0),
IF('TL17'!$B$3=Q$3,SUMIF('TL17'!$C$10:$C$224,$C276,'TL17'!$J$10:$J$224),0),
IF('TL17'!$B$229=Q$3,SUMIF('TL17'!$C$238:$C$451,$C276,'TL17'!$J$238:$J$451),0),
IF('TL18'!$B$3=Q$3,SUMIF('TL18'!$C$10:$C$224,$C276,'TL18'!$J$10:$J$224),0),
IF('TL18'!$B$229=Q$3,SUMIF('TL18'!$C$238:$C$451,$C276,'TL18'!$J$238:$J$451),0),
IF('TL19'!$B$3=Q$3,SUMIF('TL19'!$C$10:$C$224,$C276,'TL19'!$J$10:$J$224),0),
IF('TL19'!$B$229=Q$3,SUMIF('TL19'!$C$238:$C$451,$C276,'TL19'!$J$238:$J$451),0)
),0)</f>
        <v>0</v>
      </c>
      <c r="R276" s="9">
        <f>IFERROR(
SUM(
SUMIF('TL01'!C:C,C276,'TL01'!J:J),
SUMIF('TL02'!C:C,C276,'TL02'!J:J),
SUMIF('TL03'!C:C,C276,'TL03'!J:J),
SUMIF('TL04'!C:C,C276,'TL04'!J:J),
SUMIF('TL05'!C:C,C276,'TL05'!J:J),
SUMIF('TL06'!C:C,C276,'TL06'!J:J),
SUMIF('TL07'!C:C,C276,'TL07'!J:J),
SUMIF('TL08'!C:C,C276,'TL08'!J:J),
SUMIF('TL09'!C:C,C276,'TL09'!J:J),
SUMIF('TL10'!C:C,C276,'TL10'!J:J),
SUMIF('TL11'!C:C,C276,'TL11'!J:J),
SUMIF('TL12'!C:C,C276,'TL12'!J:J),
SUMIF('TL13'!C:C,C276,'TL13'!J:J),
SUMIF('TL14'!C:C,C276,'TL14'!J:J),
SUMIF('TL15'!C:C,C276,'TL15'!J:J),
SUMIF('TL16'!C:C,C276,'TL16'!J:J),
SUMIF('TL17'!C:C,C276,'TL17'!J:J),
SUMIF('TL18'!C:C,C276,'TL18'!J:J),SUMIF('TL19'!C:C,C276,'TL19'!J:J))
,0)</f>
        <v>0</v>
      </c>
      <c r="S276" s="17">
        <f>IFERROR(__xludf.DUMMYFUNCTION("IFERROR(VLOOKUP(C276,
IMPORTRANGE(""1wULbzX32WdYsx-lj2U3uUNBBe2INVIRDtcK0d-Dvl90"",
""26-27!C:G""),
5,
FALSE),
"""")"),30.0)</f>
        <v>30</v>
      </c>
      <c r="T276" s="9"/>
      <c r="U276" s="92">
        <f t="shared" si="2"/>
        <v>0</v>
      </c>
      <c r="V276" s="93">
        <f t="shared" si="3"/>
        <v>0</v>
      </c>
    </row>
    <row r="277" ht="15.75" hidden="1" customHeight="1">
      <c r="A277" s="4" t="s">
        <v>961</v>
      </c>
      <c r="B277" s="125" t="s">
        <v>9</v>
      </c>
      <c r="C277" s="4" t="s">
        <v>978</v>
      </c>
      <c r="D277" s="4" t="s">
        <v>979</v>
      </c>
      <c r="E277" s="9"/>
      <c r="F277" s="4" t="s">
        <v>343</v>
      </c>
      <c r="G277" s="9"/>
      <c r="H277" s="9">
        <v>0.4</v>
      </c>
      <c r="I277" s="1"/>
      <c r="J277" s="9">
        <f>IFERROR(SUM(
IF('TL01'!$B$3=J$3,SUMIF('TL01'!$C$10:$C$224,$C277,'TL01'!$J$10:$J$224),0),
IF('TL01'!$B$229=J$3,SUMIF('TL01'!$C$238:$C$451,$C277,'TL01'!$J$238:$J$451),0),
IF('TL02'!$B$3=J$3,SUMIF('TL02'!$C$10:$C$224,$C277,'TL02'!$J$10:$J$224),0),
IF('TL02'!$B$229=J$3,SUMIF('TL02'!$C$238:$C$451,$C277,'TL02'!$J$238:$J$451),0),
IF('TL03'!$B$3=J$3,SUMIF('TL03'!$C$10:$C$224,$C277,'TL03'!$J$10:$J$224),0),
IF('TL03'!$B$229=J$3,SUMIF('TL03'!$C$238:$C$451,$C277,'TL03'!$J$238:$J$451),0),
IF('TL04'!$B$3=J$3,SUMIF('TL04'!$C$10:$C$224,$C277,'TL04'!$J$10:$J$224),0),
IF('TL04'!$B$229=J$3,SUMIF('TL04'!$C$238:$C$451,$C277,'TL04'!$J$238:$J$451),0),
IF('TL05'!$B$3=J$3,SUMIF('TL05'!$C$10:$C$224,$C277,'TL05'!$J$10:$J$224),0),
IF('TL05'!$B$229=J$3,SUMIF('TL05'!$C$238:$C$451,$C277,'TL05'!$J$238:$J$451),0),
IF('TL06'!$B$3=J$3,SUMIF('TL06'!$C$10:$C$224,$C277,'TL06'!$J$10:$J$224),0),
IF('TL06'!$B$229=J$3,SUMIF('TL06'!$C$238:$C$451,$C277,'TL06'!$J$238:$J$451),0),
IF('TL07'!$B$3=J$3,SUMIF('TL07'!$C$10:$C$224,$C277,'TL07'!$J$10:$J$224),0),
IF('TL07'!$B$229=J$3,SUMIF('TL07'!$C$238:$C$451,$C277,'TL07'!$J$238:$J$451),0),
IF('TL08'!$B$3=J$3,SUMIF('TL08'!$C$10:$C$224,$C277,'TL08'!$J$10:$J$224),0),
IF('TL08'!$B$229=J$3,SUMIF('TL08'!$C$238:$C$451,$C277,'TL08'!$J$238:$J$451),0),
IF('TL09'!$B$3=J$3,SUMIF('TL09'!$C$10:$C$224,$C277,'TL09'!$J$10:$J$224),0),
IF('TL09'!$B$229=J$3,SUMIF('TL09'!$C$238:$C$451,$C277,'TL09'!$J$238:$J$451),0),
IF('TL10'!$B$3=J$3,SUMIF('TL10'!$C$10:$C$224,$C277,'TL10'!$J$10:$J$224),0),
IF('TL10'!$B$229=J$3,SUMIF('TL10'!$C$238:$C$451,$C277,'TL10'!$J$238:$J$451),0),
IF('TL11'!$B$3=J$3,SUMIF('TL11'!$C$10:$C$224,$C277,'TL11'!$J$10:$J$224),0),
IF('TL11'!$B$229=J$3,SUMIF('TL11'!$C$238:$C$451,$C277,'TL11'!$J$238:$J$451),0),
IF('TL12'!$B$3=J$3,SUMIF('TL12'!$C$10:$C$224,$C277,'TL12'!$J$10:$J$224),0),
IF('TL12'!$B$229=J$3,SUMIF('TL12'!$C$238:$C$451,$C277,'TL12'!$J$238:$J$451),0),
IF('TL13'!$B$3=J$3,SUMIF('TL13'!$C$10:$C$224,$C277,'TL13'!$J$10:$J$224),0),
IF('TL13'!$B$229=J$3,SUMIF('TL13'!$C$238:$C$451,$C277,'TL13'!$J$238:$J$451),0),
IF('TL14'!$B$3=J$3,SUMIF('TL14'!$C$10:$C$224,$C277,'TL14'!$J$10:$J$224),0),
IF('TL14'!$B$229=J$3,SUMIF('TL14'!$C$238:$C$451,$C277,'TL14'!$J$238:$J$451),0),
IF('TL15'!$B$3=J$3,SUMIF('TL15'!$C$10:$C$224,$C277,'TL15'!$J$10:$J$224),0),
IF('TL15'!$B$229=J$3,SUMIF('TL15'!$C$238:$C$451,$C277,'TL15'!$J$238:$J$451),0),
IF('TL16'!$B$3=J$3,SUMIF('TL16'!$C$10:$C$224,$C277,'TL16'!$J$10:$J$224),0),
IF('TL16'!$B$229=J$3,SUMIF('TL16'!$C$238:$C$451,$C277,'TL16'!$J$238:$J$451),0),
IF('TL17'!$B$3=J$3,SUMIF('TL17'!$C$10:$C$224,$C277,'TL17'!$J$10:$J$224),0),
IF('TL17'!$B$229=J$3,SUMIF('TL17'!$C$238:$C$451,$C277,'TL17'!$J$238:$J$451),0),
IF('TL18'!$B$3=J$3,SUMIF('TL18'!$C$10:$C$224,$C277,'TL18'!$J$10:$J$224),0),
IF('TL18'!$B$229=J$3,SUMIF('TL18'!$C$238:$C$451,$C277,'TL18'!$J$238:$J$451),0),
IF('TL19'!$B$3=J$3,SUMIF('TL19'!$C$10:$C$224,$C277,'TL19'!$J$10:$J$224),0),
IF('TL19'!$B$229=J$3,SUMIF('TL19'!$C$238:$C$451,$C277,'TL19'!$J$238:$J$451),0)
),0)</f>
        <v>0</v>
      </c>
      <c r="K277" s="9">
        <f>IFERROR(SUM(
IF('TL01'!$B$3=K$3,SUMIF('TL01'!$C$10:$C$224,$C277,'TL01'!$J$10:$J$224),0),
IF('TL01'!$B$229=K$3,SUMIF('TL01'!$C$238:$C$451,$C277,'TL01'!$J$238:$J$451),0),
IF('TL02'!$B$3=K$3,SUMIF('TL02'!$C$10:$C$224,$C277,'TL02'!$J$10:$J$224),0),
IF('TL02'!$B$229=K$3,SUMIF('TL02'!$C$238:$C$451,$C277,'TL02'!$J$238:$J$451),0),
IF('TL03'!$B$3=K$3,SUMIF('TL03'!$C$10:$C$224,$C277,'TL03'!$J$10:$J$224),0),
IF('TL03'!$B$229=K$3,SUMIF('TL03'!$C$238:$C$451,$C277,'TL03'!$J$238:$J$451),0),
IF('TL04'!$B$3=K$3,SUMIF('TL04'!$C$10:$C$224,$C277,'TL04'!$J$10:$J$224),0),
IF('TL04'!$B$229=K$3,SUMIF('TL04'!$C$238:$C$451,$C277,'TL04'!$J$238:$J$451),0),
IF('TL05'!$B$3=K$3,SUMIF('TL05'!$C$10:$C$224,$C277,'TL05'!$J$10:$J$224),0),
IF('TL05'!$B$229=K$3,SUMIF('TL05'!$C$238:$C$451,$C277,'TL05'!$J$238:$J$451),0),
IF('TL06'!$B$3=K$3,SUMIF('TL06'!$C$10:$C$224,$C277,'TL06'!$J$10:$J$224),0),
IF('TL06'!$B$229=K$3,SUMIF('TL06'!$C$238:$C$451,$C277,'TL06'!$J$238:$J$451),0),
IF('TL07'!$B$3=K$3,SUMIF('TL07'!$C$10:$C$224,$C277,'TL07'!$J$10:$J$224),0),
IF('TL07'!$B$229=K$3,SUMIF('TL07'!$C$238:$C$451,$C277,'TL07'!$J$238:$J$451),0),
IF('TL08'!$B$3=K$3,SUMIF('TL08'!$C$10:$C$224,$C277,'TL08'!$J$10:$J$224),0),
IF('TL08'!$B$229=K$3,SUMIF('TL08'!$C$238:$C$451,$C277,'TL08'!$J$238:$J$451),0),
IF('TL09'!$B$3=K$3,SUMIF('TL09'!$C$10:$C$224,$C277,'TL09'!$J$10:$J$224),0),
IF('TL09'!$B$229=K$3,SUMIF('TL09'!$C$238:$C$451,$C277,'TL09'!$J$238:$J$451),0),
IF('TL10'!$B$3=K$3,SUMIF('TL10'!$C$10:$C$224,$C277,'TL10'!$J$10:$J$224),0),
IF('TL10'!$B$229=K$3,SUMIF('TL10'!$C$238:$C$451,$C277,'TL10'!$J$238:$J$451),0),
IF('TL11'!$B$3=K$3,SUMIF('TL11'!$C$10:$C$224,$C277,'TL11'!$J$10:$J$224),0),
IF('TL11'!$B$229=K$3,SUMIF('TL11'!$C$238:$C$451,$C277,'TL11'!$J$238:$J$451),0),
IF('TL12'!$B$3=K$3,SUMIF('TL12'!$C$10:$C$224,$C277,'TL12'!$J$10:$J$224),0),
IF('TL12'!$B$229=K$3,SUMIF('TL12'!$C$238:$C$451,$C277,'TL12'!$J$238:$J$451),0),
IF('TL13'!$B$3=K$3,SUMIF('TL13'!$C$10:$C$224,$C277,'TL13'!$J$10:$J$224),0),
IF('TL13'!$B$229=K$3,SUMIF('TL13'!$C$238:$C$451,$C277,'TL13'!$J$238:$J$451),0),
IF('TL14'!$B$3=K$3,SUMIF('TL14'!$C$10:$C$224,$C277,'TL14'!$J$10:$J$224),0),
IF('TL14'!$B$229=K$3,SUMIF('TL14'!$C$238:$C$451,$C277,'TL14'!$J$238:$J$451),0),
IF('TL15'!$B$3=K$3,SUMIF('TL15'!$C$10:$C$224,$C277,'TL15'!$J$10:$J$224),0),
IF('TL15'!$B$229=K$3,SUMIF('TL15'!$C$238:$C$451,$C277,'TL15'!$J$238:$J$451),0),
IF('TL16'!$B$3=K$3,SUMIF('TL16'!$C$10:$C$224,$C277,'TL16'!$J$10:$J$224),0),
IF('TL16'!$B$229=K$3,SUMIF('TL16'!$C$238:$C$451,$C277,'TL16'!$J$238:$J$451),0),
IF('TL17'!$B$3=K$3,SUMIF('TL17'!$C$10:$C$224,$C277,'TL17'!$J$10:$J$224),0),
IF('TL17'!$B$229=K$3,SUMIF('TL17'!$C$238:$C$451,$C277,'TL17'!$J$238:$J$451),0),
IF('TL18'!$B$3=K$3,SUMIF('TL18'!$C$10:$C$224,$C277,'TL18'!$J$10:$J$224),0),
IF('TL18'!$B$229=K$3,SUMIF('TL18'!$C$238:$C$451,$C277,'TL18'!$J$238:$J$451),0),
IF('TL19'!$B$3=K$3,SUMIF('TL19'!$C$10:$C$224,$C277,'TL19'!$J$10:$J$224),0),
IF('TL19'!$B$229=K$3,SUMIF('TL19'!$C$238:$C$451,$C277,'TL19'!$J$238:$J$451),0)
),0)</f>
        <v>0</v>
      </c>
      <c r="L277" s="9">
        <f>IFERROR(SUM(
IF('TL01'!$B$3=L$3,SUMIF('TL01'!$C$10:$C$224,$C277,'TL01'!$J$10:$J$224),0),
IF('TL01'!$B$229=L$3,SUMIF('TL01'!$C$238:$C$451,$C277,'TL01'!$J$238:$J$451),0),
IF('TL02'!$B$3=L$3,SUMIF('TL02'!$C$10:$C$224,$C277,'TL02'!$J$10:$J$224),0),
IF('TL02'!$B$229=L$3,SUMIF('TL02'!$C$238:$C$451,$C277,'TL02'!$J$238:$J$451),0),
IF('TL03'!$B$3=L$3,SUMIF('TL03'!$C$10:$C$224,$C277,'TL03'!$J$10:$J$224),0),
IF('TL03'!$B$229=L$3,SUMIF('TL03'!$C$238:$C$451,$C277,'TL03'!$J$238:$J$451),0),
IF('TL04'!$B$3=L$3,SUMIF('TL04'!$C$10:$C$224,$C277,'TL04'!$J$10:$J$224),0),
IF('TL04'!$B$229=L$3,SUMIF('TL04'!$C$238:$C$451,$C277,'TL04'!$J$238:$J$451),0),
IF('TL05'!$B$3=L$3,SUMIF('TL05'!$C$10:$C$224,$C277,'TL05'!$J$10:$J$224),0),
IF('TL05'!$B$229=L$3,SUMIF('TL05'!$C$238:$C$451,$C277,'TL05'!$J$238:$J$451),0),
IF('TL06'!$B$3=L$3,SUMIF('TL06'!$C$10:$C$224,$C277,'TL06'!$J$10:$J$224),0),
IF('TL06'!$B$229=L$3,SUMIF('TL06'!$C$238:$C$451,$C277,'TL06'!$J$238:$J$451),0),
IF('TL07'!$B$3=L$3,SUMIF('TL07'!$C$10:$C$224,$C277,'TL07'!$J$10:$J$224),0),
IF('TL07'!$B$229=L$3,SUMIF('TL07'!$C$238:$C$451,$C277,'TL07'!$J$238:$J$451),0),
IF('TL08'!$B$3=L$3,SUMIF('TL08'!$C$10:$C$224,$C277,'TL08'!$J$10:$J$224),0),
IF('TL08'!$B$229=L$3,SUMIF('TL08'!$C$238:$C$451,$C277,'TL08'!$J$238:$J$451),0),
IF('TL09'!$B$3=L$3,SUMIF('TL09'!$C$10:$C$224,$C277,'TL09'!$J$10:$J$224),0),
IF('TL09'!$B$229=L$3,SUMIF('TL09'!$C$238:$C$451,$C277,'TL09'!$J$238:$J$451),0),
IF('TL10'!$B$3=L$3,SUMIF('TL10'!$C$10:$C$224,$C277,'TL10'!$J$10:$J$224),0),
IF('TL10'!$B$229=L$3,SUMIF('TL10'!$C$238:$C$451,$C277,'TL10'!$J$238:$J$451),0),
IF('TL11'!$B$3=L$3,SUMIF('TL11'!$C$10:$C$224,$C277,'TL11'!$J$10:$J$224),0),
IF('TL11'!$B$229=L$3,SUMIF('TL11'!$C$238:$C$451,$C277,'TL11'!$J$238:$J$451),0),
IF('TL12'!$B$3=L$3,SUMIF('TL12'!$C$10:$C$224,$C277,'TL12'!$J$10:$J$224),0),
IF('TL12'!$B$229=L$3,SUMIF('TL12'!$C$238:$C$451,$C277,'TL12'!$J$238:$J$451),0),
IF('TL13'!$B$3=L$3,SUMIF('TL13'!$C$10:$C$224,$C277,'TL13'!$J$10:$J$224),0),
IF('TL13'!$B$229=L$3,SUMIF('TL13'!$C$238:$C$451,$C277,'TL13'!$J$238:$J$451),0),
IF('TL14'!$B$3=L$3,SUMIF('TL14'!$C$10:$C$224,$C277,'TL14'!$J$10:$J$224),0),
IF('TL14'!$B$229=L$3,SUMIF('TL14'!$C$238:$C$451,$C277,'TL14'!$J$238:$J$451),0),
IF('TL15'!$B$3=L$3,SUMIF('TL15'!$C$10:$C$224,$C277,'TL15'!$J$10:$J$224),0),
IF('TL15'!$B$229=L$3,SUMIF('TL15'!$C$238:$C$451,$C277,'TL15'!$J$238:$J$451),0),
IF('TL16'!$B$3=L$3,SUMIF('TL16'!$C$10:$C$224,$C277,'TL16'!$J$10:$J$224),0),
IF('TL16'!$B$229=L$3,SUMIF('TL16'!$C$238:$C$451,$C277,'TL16'!$J$238:$J$451),0),
IF('TL17'!$B$3=L$3,SUMIF('TL17'!$C$10:$C$224,$C277,'TL17'!$J$10:$J$224),0),
IF('TL17'!$B$229=L$3,SUMIF('TL17'!$C$238:$C$451,$C277,'TL17'!$J$238:$J$451),0),
IF('TL18'!$B$3=L$3,SUMIF('TL18'!$C$10:$C$224,$C277,'TL18'!$J$10:$J$224),0),
IF('TL18'!$B$229=L$3,SUMIF('TL18'!$C$238:$C$451,$C277,'TL18'!$J$238:$J$451),0),
IF('TL19'!$B$3=L$3,SUMIF('TL19'!$C$10:$C$224,$C277,'TL19'!$J$10:$J$224),0),
IF('TL19'!$B$229=L$3,SUMIF('TL19'!$C$238:$C$451,$C277,'TL19'!$J$238:$J$451),0)
),0)</f>
        <v>0</v>
      </c>
      <c r="M277" s="9">
        <f>IFERROR(SUM(
IF('TL01'!$B$3=M$3,SUMIF('TL01'!$C$10:$C$224,$C277,'TL01'!$J$10:$J$224),0),
IF('TL01'!$B$229=M$3,SUMIF('TL01'!$C$238:$C$451,$C277,'TL01'!$J$238:$J$451),0),
IF('TL02'!$B$3=M$3,SUMIF('TL02'!$C$10:$C$224,$C277,'TL02'!$J$10:$J$224),0),
IF('TL02'!$B$229=M$3,SUMIF('TL02'!$C$238:$C$451,$C277,'TL02'!$J$238:$J$451),0),
IF('TL03'!$B$3=M$3,SUMIF('TL03'!$C$10:$C$224,$C277,'TL03'!$J$10:$J$224),0),
IF('TL03'!$B$229=M$3,SUMIF('TL03'!$C$238:$C$451,$C277,'TL03'!$J$238:$J$451),0),
IF('TL04'!$B$3=M$3,SUMIF('TL04'!$C$10:$C$224,$C277,'TL04'!$J$10:$J$224),0),
IF('TL04'!$B$229=M$3,SUMIF('TL04'!$C$238:$C$451,$C277,'TL04'!$J$238:$J$451),0),
IF('TL05'!$B$3=M$3,SUMIF('TL05'!$C$10:$C$224,$C277,'TL05'!$J$10:$J$224),0),
IF('TL05'!$B$229=M$3,SUMIF('TL05'!$C$238:$C$451,$C277,'TL05'!$J$238:$J$451),0),
IF('TL06'!$B$3=M$3,SUMIF('TL06'!$C$10:$C$224,$C277,'TL06'!$J$10:$J$224),0),
IF('TL06'!$B$229=M$3,SUMIF('TL06'!$C$238:$C$451,$C277,'TL06'!$J$238:$J$451),0),
IF('TL07'!$B$3=M$3,SUMIF('TL07'!$C$10:$C$224,$C277,'TL07'!$J$10:$J$224),0),
IF('TL07'!$B$229=M$3,SUMIF('TL07'!$C$238:$C$451,$C277,'TL07'!$J$238:$J$451),0),
IF('TL08'!$B$3=M$3,SUMIF('TL08'!$C$10:$C$224,$C277,'TL08'!$J$10:$J$224),0),
IF('TL08'!$B$229=M$3,SUMIF('TL08'!$C$238:$C$451,$C277,'TL08'!$J$238:$J$451),0),
IF('TL09'!$B$3=M$3,SUMIF('TL09'!$C$10:$C$224,$C277,'TL09'!$J$10:$J$224),0),
IF('TL09'!$B$229=M$3,SUMIF('TL09'!$C$238:$C$451,$C277,'TL09'!$J$238:$J$451),0),
IF('TL10'!$B$3=M$3,SUMIF('TL10'!$C$10:$C$224,$C277,'TL10'!$J$10:$J$224),0),
IF('TL10'!$B$229=M$3,SUMIF('TL10'!$C$238:$C$451,$C277,'TL10'!$J$238:$J$451),0),
IF('TL11'!$B$3=M$3,SUMIF('TL11'!$C$10:$C$224,$C277,'TL11'!$J$10:$J$224),0),
IF('TL11'!$B$229=M$3,SUMIF('TL11'!$C$238:$C$451,$C277,'TL11'!$J$238:$J$451),0),
IF('TL12'!$B$3=M$3,SUMIF('TL12'!$C$10:$C$224,$C277,'TL12'!$J$10:$J$224),0),
IF('TL12'!$B$229=M$3,SUMIF('TL12'!$C$238:$C$451,$C277,'TL12'!$J$238:$J$451),0),
IF('TL13'!$B$3=M$3,SUMIF('TL13'!$C$10:$C$224,$C277,'TL13'!$J$10:$J$224),0),
IF('TL13'!$B$229=M$3,SUMIF('TL13'!$C$238:$C$451,$C277,'TL13'!$J$238:$J$451),0),
IF('TL14'!$B$3=M$3,SUMIF('TL14'!$C$10:$C$224,$C277,'TL14'!$J$10:$J$224),0),
IF('TL14'!$B$229=M$3,SUMIF('TL14'!$C$238:$C$451,$C277,'TL14'!$J$238:$J$451),0),
IF('TL15'!$B$3=M$3,SUMIF('TL15'!$C$10:$C$224,$C277,'TL15'!$J$10:$J$224),0),
IF('TL15'!$B$229=M$3,SUMIF('TL15'!$C$238:$C$451,$C277,'TL15'!$J$238:$J$451),0),
IF('TL16'!$B$3=M$3,SUMIF('TL16'!$C$10:$C$224,$C277,'TL16'!$J$10:$J$224),0),
IF('TL16'!$B$229=M$3,SUMIF('TL16'!$C$238:$C$451,$C277,'TL16'!$J$238:$J$451),0),
IF('TL17'!$B$3=M$3,SUMIF('TL17'!$C$10:$C$224,$C277,'TL17'!$J$10:$J$224),0),
IF('TL17'!$B$229=M$3,SUMIF('TL17'!$C$238:$C$451,$C277,'TL17'!$J$238:$J$451),0),
IF('TL18'!$B$3=M$3,SUMIF('TL18'!$C$10:$C$224,$C277,'TL18'!$J$10:$J$224),0),
IF('TL18'!$B$229=M$3,SUMIF('TL18'!$C$238:$C$451,$C277,'TL18'!$J$238:$J$451),0),
IF('TL19'!$B$3=M$3,SUMIF('TL19'!$C$10:$C$224,$C277,'TL19'!$J$10:$J$224),0),
IF('TL19'!$B$229=M$3,SUMIF('TL19'!$C$238:$C$451,$C277,'TL19'!$J$238:$J$451),0)
),0)</f>
        <v>0</v>
      </c>
      <c r="N277" s="9">
        <f>IFERROR(SUM(
IF('TL01'!$B$3=N$3,SUMIF('TL01'!$C$10:$C$224,$C277,'TL01'!$J$10:$J$224),0),
IF('TL01'!$B$229=N$3,SUMIF('TL01'!$C$238:$C$451,$C277,'TL01'!$J$238:$J$451),0),
IF('TL02'!$B$3=N$3,SUMIF('TL02'!$C$10:$C$224,$C277,'TL02'!$J$10:$J$224),0),
IF('TL02'!$B$229=N$3,SUMIF('TL02'!$C$238:$C$451,$C277,'TL02'!$J$238:$J$451),0),
IF('TL03'!$B$3=N$3,SUMIF('TL03'!$C$10:$C$224,$C277,'TL03'!$J$10:$J$224),0),
IF('TL03'!$B$229=N$3,SUMIF('TL03'!$C$238:$C$451,$C277,'TL03'!$J$238:$J$451),0),
IF('TL04'!$B$3=N$3,SUMIF('TL04'!$C$10:$C$224,$C277,'TL04'!$J$10:$J$224),0),
IF('TL04'!$B$229=N$3,SUMIF('TL04'!$C$238:$C$451,$C277,'TL04'!$J$238:$J$451),0),
IF('TL05'!$B$3=N$3,SUMIF('TL05'!$C$10:$C$224,$C277,'TL05'!$J$10:$J$224),0),
IF('TL05'!$B$229=N$3,SUMIF('TL05'!$C$238:$C$451,$C277,'TL05'!$J$238:$J$451),0),
IF('TL06'!$B$3=N$3,SUMIF('TL06'!$C$10:$C$224,$C277,'TL06'!$J$10:$J$224),0),
IF('TL06'!$B$229=N$3,SUMIF('TL06'!$C$238:$C$451,$C277,'TL06'!$J$238:$J$451),0),
IF('TL07'!$B$3=N$3,SUMIF('TL07'!$C$10:$C$224,$C277,'TL07'!$J$10:$J$224),0),
IF('TL07'!$B$229=N$3,SUMIF('TL07'!$C$238:$C$451,$C277,'TL07'!$J$238:$J$451),0),
IF('TL08'!$B$3=N$3,SUMIF('TL08'!$C$10:$C$224,$C277,'TL08'!$J$10:$J$224),0),
IF('TL08'!$B$229=N$3,SUMIF('TL08'!$C$238:$C$451,$C277,'TL08'!$J$238:$J$451),0),
IF('TL09'!$B$3=N$3,SUMIF('TL09'!$C$10:$C$224,$C277,'TL09'!$J$10:$J$224),0),
IF('TL09'!$B$229=N$3,SUMIF('TL09'!$C$238:$C$451,$C277,'TL09'!$J$238:$J$451),0),
IF('TL10'!$B$3=N$3,SUMIF('TL10'!$C$10:$C$224,$C277,'TL10'!$J$10:$J$224),0),
IF('TL10'!$B$229=N$3,SUMIF('TL10'!$C$238:$C$451,$C277,'TL10'!$J$238:$J$451),0),
IF('TL11'!$B$3=N$3,SUMIF('TL11'!$C$10:$C$224,$C277,'TL11'!$J$10:$J$224),0),
IF('TL11'!$B$229=N$3,SUMIF('TL11'!$C$238:$C$451,$C277,'TL11'!$J$238:$J$451),0),
IF('TL12'!$B$3=N$3,SUMIF('TL12'!$C$10:$C$224,$C277,'TL12'!$J$10:$J$224),0),
IF('TL12'!$B$229=N$3,SUMIF('TL12'!$C$238:$C$451,$C277,'TL12'!$J$238:$J$451),0),
IF('TL13'!$B$3=N$3,SUMIF('TL13'!$C$10:$C$224,$C277,'TL13'!$J$10:$J$224),0),
IF('TL13'!$B$229=N$3,SUMIF('TL13'!$C$238:$C$451,$C277,'TL13'!$J$238:$J$451),0),
IF('TL14'!$B$3=N$3,SUMIF('TL14'!$C$10:$C$224,$C277,'TL14'!$J$10:$J$224),0),
IF('TL14'!$B$229=N$3,SUMIF('TL14'!$C$238:$C$451,$C277,'TL14'!$J$238:$J$451),0),
IF('TL15'!$B$3=N$3,SUMIF('TL15'!$C$10:$C$224,$C277,'TL15'!$J$10:$J$224),0),
IF('TL15'!$B$229=N$3,SUMIF('TL15'!$C$238:$C$451,$C277,'TL15'!$J$238:$J$451),0),
IF('TL16'!$B$3=N$3,SUMIF('TL16'!$C$10:$C$224,$C277,'TL16'!$J$10:$J$224),0),
IF('TL16'!$B$229=N$3,SUMIF('TL16'!$C$238:$C$451,$C277,'TL16'!$J$238:$J$451),0),
IF('TL17'!$B$3=N$3,SUMIF('TL17'!$C$10:$C$224,$C277,'TL17'!$J$10:$J$224),0),
IF('TL17'!$B$229=N$3,SUMIF('TL17'!$C$238:$C$451,$C277,'TL17'!$J$238:$J$451),0),
IF('TL18'!$B$3=N$3,SUMIF('TL18'!$C$10:$C$224,$C277,'TL18'!$J$10:$J$224),0),
IF('TL18'!$B$229=N$3,SUMIF('TL18'!$C$238:$C$451,$C277,'TL18'!$J$238:$J$451),0),
IF('TL19'!$B$3=N$3,SUMIF('TL19'!$C$10:$C$224,$C277,'TL19'!$J$10:$J$224),0),
IF('TL19'!$B$229=N$3,SUMIF('TL19'!$C$238:$C$451,$C277,'TL19'!$J$238:$J$451),0)
),0)</f>
        <v>0</v>
      </c>
      <c r="O277" s="9">
        <f>IFERROR(SUM(
IF('TL01'!$B$3=O$3,SUMIF('TL01'!$C$10:$C$224,$C277,'TL01'!$J$10:$J$224),0),
IF('TL01'!$B$229=O$3,SUMIF('TL01'!$C$238:$C$451,$C277,'TL01'!$J$238:$J$451),0),
IF('TL02'!$B$3=O$3,SUMIF('TL02'!$C$10:$C$224,$C277,'TL02'!$J$10:$J$224),0),
IF('TL02'!$B$229=O$3,SUMIF('TL02'!$C$238:$C$451,$C277,'TL02'!$J$238:$J$451),0),
IF('TL03'!$B$3=O$3,SUMIF('TL03'!$C$10:$C$224,$C277,'TL03'!$J$10:$J$224),0),
IF('TL03'!$B$229=O$3,SUMIF('TL03'!$C$238:$C$451,$C277,'TL03'!$J$238:$J$451),0),
IF('TL04'!$B$3=O$3,SUMIF('TL04'!$C$10:$C$224,$C277,'TL04'!$J$10:$J$224),0),
IF('TL04'!$B$229=O$3,SUMIF('TL04'!$C$238:$C$451,$C277,'TL04'!$J$238:$J$451),0),
IF('TL05'!$B$3=O$3,SUMIF('TL05'!$C$10:$C$224,$C277,'TL05'!$J$10:$J$224),0),
IF('TL05'!$B$229=O$3,SUMIF('TL05'!$C$238:$C$451,$C277,'TL05'!$J$238:$J$451),0),
IF('TL06'!$B$3=O$3,SUMIF('TL06'!$C$10:$C$224,$C277,'TL06'!$J$10:$J$224),0),
IF('TL06'!$B$229=O$3,SUMIF('TL06'!$C$238:$C$451,$C277,'TL06'!$J$238:$J$451),0),
IF('TL07'!$B$3=O$3,SUMIF('TL07'!$C$10:$C$224,$C277,'TL07'!$J$10:$J$224),0),
IF('TL07'!$B$229=O$3,SUMIF('TL07'!$C$238:$C$451,$C277,'TL07'!$J$238:$J$451),0),
IF('TL08'!$B$3=O$3,SUMIF('TL08'!$C$10:$C$224,$C277,'TL08'!$J$10:$J$224),0),
IF('TL08'!$B$229=O$3,SUMIF('TL08'!$C$238:$C$451,$C277,'TL08'!$J$238:$J$451),0),
IF('TL09'!$B$3=O$3,SUMIF('TL09'!$C$10:$C$224,$C277,'TL09'!$J$10:$J$224),0),
IF('TL09'!$B$229=O$3,SUMIF('TL09'!$C$238:$C$451,$C277,'TL09'!$J$238:$J$451),0),
IF('TL10'!$B$3=O$3,SUMIF('TL10'!$C$10:$C$224,$C277,'TL10'!$J$10:$J$224),0),
IF('TL10'!$B$229=O$3,SUMIF('TL10'!$C$238:$C$451,$C277,'TL10'!$J$238:$J$451),0),
IF('TL11'!$B$3=O$3,SUMIF('TL11'!$C$10:$C$224,$C277,'TL11'!$J$10:$J$224),0),
IF('TL11'!$B$229=O$3,SUMIF('TL11'!$C$238:$C$451,$C277,'TL11'!$J$238:$J$451),0),
IF('TL12'!$B$3=O$3,SUMIF('TL12'!$C$10:$C$224,$C277,'TL12'!$J$10:$J$224),0),
IF('TL12'!$B$229=O$3,SUMIF('TL12'!$C$238:$C$451,$C277,'TL12'!$J$238:$J$451),0),
IF('TL13'!$B$3=O$3,SUMIF('TL13'!$C$10:$C$224,$C277,'TL13'!$J$10:$J$224),0),
IF('TL13'!$B$229=O$3,SUMIF('TL13'!$C$238:$C$451,$C277,'TL13'!$J$238:$J$451),0),
IF('TL14'!$B$3=O$3,SUMIF('TL14'!$C$10:$C$224,$C277,'TL14'!$J$10:$J$224),0),
IF('TL14'!$B$229=O$3,SUMIF('TL14'!$C$238:$C$451,$C277,'TL14'!$J$238:$J$451),0),
IF('TL15'!$B$3=O$3,SUMIF('TL15'!$C$10:$C$224,$C277,'TL15'!$J$10:$J$224),0),
IF('TL15'!$B$229=O$3,SUMIF('TL15'!$C$238:$C$451,$C277,'TL15'!$J$238:$J$451),0),
IF('TL16'!$B$3=O$3,SUMIF('TL16'!$C$10:$C$224,$C277,'TL16'!$J$10:$J$224),0),
IF('TL16'!$B$229=O$3,SUMIF('TL16'!$C$238:$C$451,$C277,'TL16'!$J$238:$J$451),0),
IF('TL17'!$B$3=O$3,SUMIF('TL17'!$C$10:$C$224,$C277,'TL17'!$J$10:$J$224),0),
IF('TL17'!$B$229=O$3,SUMIF('TL17'!$C$238:$C$451,$C277,'TL17'!$J$238:$J$451),0),
IF('TL18'!$B$3=O$3,SUMIF('TL18'!$C$10:$C$224,$C277,'TL18'!$J$10:$J$224),0),
IF('TL18'!$B$229=O$3,SUMIF('TL18'!$C$238:$C$451,$C277,'TL18'!$J$238:$J$451),0),
IF('TL19'!$B$3=O$3,SUMIF('TL19'!$C$10:$C$224,$C277,'TL19'!$J$10:$J$224),0),
IF('TL19'!$B$229=O$3,SUMIF('TL19'!$C$238:$C$451,$C277,'TL19'!$J$238:$J$451),0)
),0)</f>
        <v>0</v>
      </c>
      <c r="P277" s="9">
        <f>IFERROR(SUM(
IF('TL01'!$B$3=P$3,SUMIF('TL01'!$C$10:$C$224,$C277,'TL01'!$J$10:$J$224),0),
IF('TL01'!$B$229=P$3,SUMIF('TL01'!$C$238:$C$451,$C277,'TL01'!$J$238:$J$451),0),
IF('TL02'!$B$3=P$3,SUMIF('TL02'!$C$10:$C$224,$C277,'TL02'!$J$10:$J$224),0),
IF('TL02'!$B$229=P$3,SUMIF('TL02'!$C$238:$C$451,$C277,'TL02'!$J$238:$J$451),0),
IF('TL03'!$B$3=P$3,SUMIF('TL03'!$C$10:$C$224,$C277,'TL03'!$J$10:$J$224),0),
IF('TL03'!$B$229=P$3,SUMIF('TL03'!$C$238:$C$451,$C277,'TL03'!$J$238:$J$451),0),
IF('TL04'!$B$3=P$3,SUMIF('TL04'!$C$10:$C$224,$C277,'TL04'!$J$10:$J$224),0),
IF('TL04'!$B$229=P$3,SUMIF('TL04'!$C$238:$C$451,$C277,'TL04'!$J$238:$J$451),0),
IF('TL05'!$B$3=P$3,SUMIF('TL05'!$C$10:$C$224,$C277,'TL05'!$J$10:$J$224),0),
IF('TL05'!$B$229=P$3,SUMIF('TL05'!$C$238:$C$451,$C277,'TL05'!$J$238:$J$451),0),
IF('TL06'!$B$3=P$3,SUMIF('TL06'!$C$10:$C$224,$C277,'TL06'!$J$10:$J$224),0),
IF('TL06'!$B$229=P$3,SUMIF('TL06'!$C$238:$C$451,$C277,'TL06'!$J$238:$J$451),0),
IF('TL07'!$B$3=P$3,SUMIF('TL07'!$C$10:$C$224,$C277,'TL07'!$J$10:$J$224),0),
IF('TL07'!$B$229=P$3,SUMIF('TL07'!$C$238:$C$451,$C277,'TL07'!$J$238:$J$451),0),
IF('TL08'!$B$3=P$3,SUMIF('TL08'!$C$10:$C$224,$C277,'TL08'!$J$10:$J$224),0),
IF('TL08'!$B$229=P$3,SUMIF('TL08'!$C$238:$C$451,$C277,'TL08'!$J$238:$J$451),0),
IF('TL09'!$B$3=P$3,SUMIF('TL09'!$C$10:$C$224,$C277,'TL09'!$J$10:$J$224),0),
IF('TL09'!$B$229=P$3,SUMIF('TL09'!$C$238:$C$451,$C277,'TL09'!$J$238:$J$451),0),
IF('TL10'!$B$3=P$3,SUMIF('TL10'!$C$10:$C$224,$C277,'TL10'!$J$10:$J$224),0),
IF('TL10'!$B$229=P$3,SUMIF('TL10'!$C$238:$C$451,$C277,'TL10'!$J$238:$J$451),0),
IF('TL11'!$B$3=P$3,SUMIF('TL11'!$C$10:$C$224,$C277,'TL11'!$J$10:$J$224),0),
IF('TL11'!$B$229=P$3,SUMIF('TL11'!$C$238:$C$451,$C277,'TL11'!$J$238:$J$451),0),
IF('TL12'!$B$3=P$3,SUMIF('TL12'!$C$10:$C$224,$C277,'TL12'!$J$10:$J$224),0),
IF('TL12'!$B$229=P$3,SUMIF('TL12'!$C$238:$C$451,$C277,'TL12'!$J$238:$J$451),0),
IF('TL13'!$B$3=P$3,SUMIF('TL13'!$C$10:$C$224,$C277,'TL13'!$J$10:$J$224),0),
IF('TL13'!$B$229=P$3,SUMIF('TL13'!$C$238:$C$451,$C277,'TL13'!$J$238:$J$451),0),
IF('TL14'!$B$3=P$3,SUMIF('TL14'!$C$10:$C$224,$C277,'TL14'!$J$10:$J$224),0),
IF('TL14'!$B$229=P$3,SUMIF('TL14'!$C$238:$C$451,$C277,'TL14'!$J$238:$J$451),0),
IF('TL15'!$B$3=P$3,SUMIF('TL15'!$C$10:$C$224,$C277,'TL15'!$J$10:$J$224),0),
IF('TL15'!$B$229=P$3,SUMIF('TL15'!$C$238:$C$451,$C277,'TL15'!$J$238:$J$451),0),
IF('TL16'!$B$3=P$3,SUMIF('TL16'!$C$10:$C$224,$C277,'TL16'!$J$10:$J$224),0),
IF('TL16'!$B$229=P$3,SUMIF('TL16'!$C$238:$C$451,$C277,'TL16'!$J$238:$J$451),0),
IF('TL17'!$B$3=P$3,SUMIF('TL17'!$C$10:$C$224,$C277,'TL17'!$J$10:$J$224),0),
IF('TL17'!$B$229=P$3,SUMIF('TL17'!$C$238:$C$451,$C277,'TL17'!$J$238:$J$451),0),
IF('TL18'!$B$3=P$3,SUMIF('TL18'!$C$10:$C$224,$C277,'TL18'!$J$10:$J$224),0),
IF('TL18'!$B$229=P$3,SUMIF('TL18'!$C$238:$C$451,$C277,'TL18'!$J$238:$J$451),0),
IF('TL19'!$B$3=P$3,SUMIF('TL19'!$C$10:$C$224,$C277,'TL19'!$J$10:$J$224),0),
IF('TL19'!$B$229=P$3,SUMIF('TL19'!$C$238:$C$451,$C277,'TL19'!$J$238:$J$451),0)
),0)</f>
        <v>0</v>
      </c>
      <c r="Q277" s="9">
        <f>IFERROR(SUM(
IF('TL01'!$B$3=Q$3,SUMIF('TL01'!$C$10:$C$224,$C277,'TL01'!$J$10:$J$224),0),
IF('TL01'!$B$229=Q$3,SUMIF('TL01'!$C$238:$C$451,$C277,'TL01'!$J$238:$J$451),0),
IF('TL02'!$B$3=Q$3,SUMIF('TL02'!$C$10:$C$224,$C277,'TL02'!$J$10:$J$224),0),
IF('TL02'!$B$229=Q$3,SUMIF('TL02'!$C$238:$C$451,$C277,'TL02'!$J$238:$J$451),0),
IF('TL03'!$B$3=Q$3,SUMIF('TL03'!$C$10:$C$224,$C277,'TL03'!$J$10:$J$224),0),
IF('TL03'!$B$229=Q$3,SUMIF('TL03'!$C$238:$C$451,$C277,'TL03'!$J$238:$J$451),0),
IF('TL04'!$B$3=Q$3,SUMIF('TL04'!$C$10:$C$224,$C277,'TL04'!$J$10:$J$224),0),
IF('TL04'!$B$229=Q$3,SUMIF('TL04'!$C$238:$C$451,$C277,'TL04'!$J$238:$J$451),0),
IF('TL05'!$B$3=Q$3,SUMIF('TL05'!$C$10:$C$224,$C277,'TL05'!$J$10:$J$224),0),
IF('TL05'!$B$229=Q$3,SUMIF('TL05'!$C$238:$C$451,$C277,'TL05'!$J$238:$J$451),0),
IF('TL06'!$B$3=Q$3,SUMIF('TL06'!$C$10:$C$224,$C277,'TL06'!$J$10:$J$224),0),
IF('TL06'!$B$229=Q$3,SUMIF('TL06'!$C$238:$C$451,$C277,'TL06'!$J$238:$J$451),0),
IF('TL07'!$B$3=Q$3,SUMIF('TL07'!$C$10:$C$224,$C277,'TL07'!$J$10:$J$224),0),
IF('TL07'!$B$229=Q$3,SUMIF('TL07'!$C$238:$C$451,$C277,'TL07'!$J$238:$J$451),0),
IF('TL08'!$B$3=Q$3,SUMIF('TL08'!$C$10:$C$224,$C277,'TL08'!$J$10:$J$224),0),
IF('TL08'!$B$229=Q$3,SUMIF('TL08'!$C$238:$C$451,$C277,'TL08'!$J$238:$J$451),0),
IF('TL09'!$B$3=Q$3,SUMIF('TL09'!$C$10:$C$224,$C277,'TL09'!$J$10:$J$224),0),
IF('TL09'!$B$229=Q$3,SUMIF('TL09'!$C$238:$C$451,$C277,'TL09'!$J$238:$J$451),0),
IF('TL10'!$B$3=Q$3,SUMIF('TL10'!$C$10:$C$224,$C277,'TL10'!$J$10:$J$224),0),
IF('TL10'!$B$229=Q$3,SUMIF('TL10'!$C$238:$C$451,$C277,'TL10'!$J$238:$J$451),0),
IF('TL11'!$B$3=Q$3,SUMIF('TL11'!$C$10:$C$224,$C277,'TL11'!$J$10:$J$224),0),
IF('TL11'!$B$229=Q$3,SUMIF('TL11'!$C$238:$C$451,$C277,'TL11'!$J$238:$J$451),0),
IF('TL12'!$B$3=Q$3,SUMIF('TL12'!$C$10:$C$224,$C277,'TL12'!$J$10:$J$224),0),
IF('TL12'!$B$229=Q$3,SUMIF('TL12'!$C$238:$C$451,$C277,'TL12'!$J$238:$J$451),0),
IF('TL13'!$B$3=Q$3,SUMIF('TL13'!$C$10:$C$224,$C277,'TL13'!$J$10:$J$224),0),
IF('TL13'!$B$229=Q$3,SUMIF('TL13'!$C$238:$C$451,$C277,'TL13'!$J$238:$J$451),0),
IF('TL14'!$B$3=Q$3,SUMIF('TL14'!$C$10:$C$224,$C277,'TL14'!$J$10:$J$224),0),
IF('TL14'!$B$229=Q$3,SUMIF('TL14'!$C$238:$C$451,$C277,'TL14'!$J$238:$J$451),0),
IF('TL15'!$B$3=Q$3,SUMIF('TL15'!$C$10:$C$224,$C277,'TL15'!$J$10:$J$224),0),
IF('TL15'!$B$229=Q$3,SUMIF('TL15'!$C$238:$C$451,$C277,'TL15'!$J$238:$J$451),0),
IF('TL16'!$B$3=Q$3,SUMIF('TL16'!$C$10:$C$224,$C277,'TL16'!$J$10:$J$224),0),
IF('TL16'!$B$229=Q$3,SUMIF('TL16'!$C$238:$C$451,$C277,'TL16'!$J$238:$J$451),0),
IF('TL17'!$B$3=Q$3,SUMIF('TL17'!$C$10:$C$224,$C277,'TL17'!$J$10:$J$224),0),
IF('TL17'!$B$229=Q$3,SUMIF('TL17'!$C$238:$C$451,$C277,'TL17'!$J$238:$J$451),0),
IF('TL18'!$B$3=Q$3,SUMIF('TL18'!$C$10:$C$224,$C277,'TL18'!$J$10:$J$224),0),
IF('TL18'!$B$229=Q$3,SUMIF('TL18'!$C$238:$C$451,$C277,'TL18'!$J$238:$J$451),0),
IF('TL19'!$B$3=Q$3,SUMIF('TL19'!$C$10:$C$224,$C277,'TL19'!$J$10:$J$224),0),
IF('TL19'!$B$229=Q$3,SUMIF('TL19'!$C$238:$C$451,$C277,'TL19'!$J$238:$J$451),0)
),0)</f>
        <v>0</v>
      </c>
      <c r="R277" s="9">
        <f>IFERROR(
SUM(
SUMIF('TL01'!C:C,C277,'TL01'!J:J),
SUMIF('TL02'!C:C,C277,'TL02'!J:J),
SUMIF('TL03'!C:C,C277,'TL03'!J:J),
SUMIF('TL04'!C:C,C277,'TL04'!J:J),
SUMIF('TL05'!C:C,C277,'TL05'!J:J),
SUMIF('TL06'!C:C,C277,'TL06'!J:J),
SUMIF('TL07'!C:C,C277,'TL07'!J:J),
SUMIF('TL08'!C:C,C277,'TL08'!J:J),
SUMIF('TL09'!C:C,C277,'TL09'!J:J),
SUMIF('TL10'!C:C,C277,'TL10'!J:J),
SUMIF('TL11'!C:C,C277,'TL11'!J:J),
SUMIF('TL12'!C:C,C277,'TL12'!J:J),
SUMIF('TL13'!C:C,C277,'TL13'!J:J),
SUMIF('TL14'!C:C,C277,'TL14'!J:J),
SUMIF('TL15'!C:C,C277,'TL15'!J:J),
SUMIF('TL16'!C:C,C277,'TL16'!J:J),
SUMIF('TL17'!C:C,C277,'TL17'!J:J),
SUMIF('TL18'!C:C,C277,'TL18'!J:J),SUMIF('TL19'!C:C,C277,'TL19'!J:J))
,0)</f>
        <v>0</v>
      </c>
      <c r="S277" s="17">
        <f>IFERROR(__xludf.DUMMYFUNCTION("IFERROR(VLOOKUP(C277,
IMPORTRANGE(""1wULbzX32WdYsx-lj2U3uUNBBe2INVIRDtcK0d-Dvl90"",
""26-27!C:G""),
5,
FALSE),
"""")"),34.0)</f>
        <v>34</v>
      </c>
      <c r="T277" s="9"/>
      <c r="U277" s="92">
        <f t="shared" si="2"/>
        <v>0</v>
      </c>
      <c r="V277" s="93">
        <f t="shared" si="3"/>
        <v>0</v>
      </c>
    </row>
    <row r="278" ht="15.75" hidden="1" customHeight="1">
      <c r="A278" s="4" t="s">
        <v>961</v>
      </c>
      <c r="B278" s="125" t="s">
        <v>9</v>
      </c>
      <c r="C278" s="4" t="s">
        <v>980</v>
      </c>
      <c r="D278" s="4" t="s">
        <v>981</v>
      </c>
      <c r="E278" s="9"/>
      <c r="F278" s="4" t="s">
        <v>343</v>
      </c>
      <c r="G278" s="9"/>
      <c r="H278" s="9">
        <v>0.6</v>
      </c>
      <c r="I278" s="1"/>
      <c r="J278" s="9">
        <f>IFERROR(SUM(
IF('TL01'!$B$3=J$3,SUMIF('TL01'!$C$10:$C$224,$C278,'TL01'!$J$10:$J$224),0),
IF('TL01'!$B$229=J$3,SUMIF('TL01'!$C$238:$C$451,$C278,'TL01'!$J$238:$J$451),0),
IF('TL02'!$B$3=J$3,SUMIF('TL02'!$C$10:$C$224,$C278,'TL02'!$J$10:$J$224),0),
IF('TL02'!$B$229=J$3,SUMIF('TL02'!$C$238:$C$451,$C278,'TL02'!$J$238:$J$451),0),
IF('TL03'!$B$3=J$3,SUMIF('TL03'!$C$10:$C$224,$C278,'TL03'!$J$10:$J$224),0),
IF('TL03'!$B$229=J$3,SUMIF('TL03'!$C$238:$C$451,$C278,'TL03'!$J$238:$J$451),0),
IF('TL04'!$B$3=J$3,SUMIF('TL04'!$C$10:$C$224,$C278,'TL04'!$J$10:$J$224),0),
IF('TL04'!$B$229=J$3,SUMIF('TL04'!$C$238:$C$451,$C278,'TL04'!$J$238:$J$451),0),
IF('TL05'!$B$3=J$3,SUMIF('TL05'!$C$10:$C$224,$C278,'TL05'!$J$10:$J$224),0),
IF('TL05'!$B$229=J$3,SUMIF('TL05'!$C$238:$C$451,$C278,'TL05'!$J$238:$J$451),0),
IF('TL06'!$B$3=J$3,SUMIF('TL06'!$C$10:$C$224,$C278,'TL06'!$J$10:$J$224),0),
IF('TL06'!$B$229=J$3,SUMIF('TL06'!$C$238:$C$451,$C278,'TL06'!$J$238:$J$451),0),
IF('TL07'!$B$3=J$3,SUMIF('TL07'!$C$10:$C$224,$C278,'TL07'!$J$10:$J$224),0),
IF('TL07'!$B$229=J$3,SUMIF('TL07'!$C$238:$C$451,$C278,'TL07'!$J$238:$J$451),0),
IF('TL08'!$B$3=J$3,SUMIF('TL08'!$C$10:$C$224,$C278,'TL08'!$J$10:$J$224),0),
IF('TL08'!$B$229=J$3,SUMIF('TL08'!$C$238:$C$451,$C278,'TL08'!$J$238:$J$451),0),
IF('TL09'!$B$3=J$3,SUMIF('TL09'!$C$10:$C$224,$C278,'TL09'!$J$10:$J$224),0),
IF('TL09'!$B$229=J$3,SUMIF('TL09'!$C$238:$C$451,$C278,'TL09'!$J$238:$J$451),0),
IF('TL10'!$B$3=J$3,SUMIF('TL10'!$C$10:$C$224,$C278,'TL10'!$J$10:$J$224),0),
IF('TL10'!$B$229=J$3,SUMIF('TL10'!$C$238:$C$451,$C278,'TL10'!$J$238:$J$451),0),
IF('TL11'!$B$3=J$3,SUMIF('TL11'!$C$10:$C$224,$C278,'TL11'!$J$10:$J$224),0),
IF('TL11'!$B$229=J$3,SUMIF('TL11'!$C$238:$C$451,$C278,'TL11'!$J$238:$J$451),0),
IF('TL12'!$B$3=J$3,SUMIF('TL12'!$C$10:$C$224,$C278,'TL12'!$J$10:$J$224),0),
IF('TL12'!$B$229=J$3,SUMIF('TL12'!$C$238:$C$451,$C278,'TL12'!$J$238:$J$451),0),
IF('TL13'!$B$3=J$3,SUMIF('TL13'!$C$10:$C$224,$C278,'TL13'!$J$10:$J$224),0),
IF('TL13'!$B$229=J$3,SUMIF('TL13'!$C$238:$C$451,$C278,'TL13'!$J$238:$J$451),0),
IF('TL14'!$B$3=J$3,SUMIF('TL14'!$C$10:$C$224,$C278,'TL14'!$J$10:$J$224),0),
IF('TL14'!$B$229=J$3,SUMIF('TL14'!$C$238:$C$451,$C278,'TL14'!$J$238:$J$451),0),
IF('TL15'!$B$3=J$3,SUMIF('TL15'!$C$10:$C$224,$C278,'TL15'!$J$10:$J$224),0),
IF('TL15'!$B$229=J$3,SUMIF('TL15'!$C$238:$C$451,$C278,'TL15'!$J$238:$J$451),0),
IF('TL16'!$B$3=J$3,SUMIF('TL16'!$C$10:$C$224,$C278,'TL16'!$J$10:$J$224),0),
IF('TL16'!$B$229=J$3,SUMIF('TL16'!$C$238:$C$451,$C278,'TL16'!$J$238:$J$451),0),
IF('TL17'!$B$3=J$3,SUMIF('TL17'!$C$10:$C$224,$C278,'TL17'!$J$10:$J$224),0),
IF('TL17'!$B$229=J$3,SUMIF('TL17'!$C$238:$C$451,$C278,'TL17'!$J$238:$J$451),0),
IF('TL18'!$B$3=J$3,SUMIF('TL18'!$C$10:$C$224,$C278,'TL18'!$J$10:$J$224),0),
IF('TL18'!$B$229=J$3,SUMIF('TL18'!$C$238:$C$451,$C278,'TL18'!$J$238:$J$451),0),
IF('TL19'!$B$3=J$3,SUMIF('TL19'!$C$10:$C$224,$C278,'TL19'!$J$10:$J$224),0),
IF('TL19'!$B$229=J$3,SUMIF('TL19'!$C$238:$C$451,$C278,'TL19'!$J$238:$J$451),0)
),0)</f>
        <v>0</v>
      </c>
      <c r="K278" s="9">
        <f>IFERROR(SUM(
IF('TL01'!$B$3=K$3,SUMIF('TL01'!$C$10:$C$224,$C278,'TL01'!$J$10:$J$224),0),
IF('TL01'!$B$229=K$3,SUMIF('TL01'!$C$238:$C$451,$C278,'TL01'!$J$238:$J$451),0),
IF('TL02'!$B$3=K$3,SUMIF('TL02'!$C$10:$C$224,$C278,'TL02'!$J$10:$J$224),0),
IF('TL02'!$B$229=K$3,SUMIF('TL02'!$C$238:$C$451,$C278,'TL02'!$J$238:$J$451),0),
IF('TL03'!$B$3=K$3,SUMIF('TL03'!$C$10:$C$224,$C278,'TL03'!$J$10:$J$224),0),
IF('TL03'!$B$229=K$3,SUMIF('TL03'!$C$238:$C$451,$C278,'TL03'!$J$238:$J$451),0),
IF('TL04'!$B$3=K$3,SUMIF('TL04'!$C$10:$C$224,$C278,'TL04'!$J$10:$J$224),0),
IF('TL04'!$B$229=K$3,SUMIF('TL04'!$C$238:$C$451,$C278,'TL04'!$J$238:$J$451),0),
IF('TL05'!$B$3=K$3,SUMIF('TL05'!$C$10:$C$224,$C278,'TL05'!$J$10:$J$224),0),
IF('TL05'!$B$229=K$3,SUMIF('TL05'!$C$238:$C$451,$C278,'TL05'!$J$238:$J$451),0),
IF('TL06'!$B$3=K$3,SUMIF('TL06'!$C$10:$C$224,$C278,'TL06'!$J$10:$J$224),0),
IF('TL06'!$B$229=K$3,SUMIF('TL06'!$C$238:$C$451,$C278,'TL06'!$J$238:$J$451),0),
IF('TL07'!$B$3=K$3,SUMIF('TL07'!$C$10:$C$224,$C278,'TL07'!$J$10:$J$224),0),
IF('TL07'!$B$229=K$3,SUMIF('TL07'!$C$238:$C$451,$C278,'TL07'!$J$238:$J$451),0),
IF('TL08'!$B$3=K$3,SUMIF('TL08'!$C$10:$C$224,$C278,'TL08'!$J$10:$J$224),0),
IF('TL08'!$B$229=K$3,SUMIF('TL08'!$C$238:$C$451,$C278,'TL08'!$J$238:$J$451),0),
IF('TL09'!$B$3=K$3,SUMIF('TL09'!$C$10:$C$224,$C278,'TL09'!$J$10:$J$224),0),
IF('TL09'!$B$229=K$3,SUMIF('TL09'!$C$238:$C$451,$C278,'TL09'!$J$238:$J$451),0),
IF('TL10'!$B$3=K$3,SUMIF('TL10'!$C$10:$C$224,$C278,'TL10'!$J$10:$J$224),0),
IF('TL10'!$B$229=K$3,SUMIF('TL10'!$C$238:$C$451,$C278,'TL10'!$J$238:$J$451),0),
IF('TL11'!$B$3=K$3,SUMIF('TL11'!$C$10:$C$224,$C278,'TL11'!$J$10:$J$224),0),
IF('TL11'!$B$229=K$3,SUMIF('TL11'!$C$238:$C$451,$C278,'TL11'!$J$238:$J$451),0),
IF('TL12'!$B$3=K$3,SUMIF('TL12'!$C$10:$C$224,$C278,'TL12'!$J$10:$J$224),0),
IF('TL12'!$B$229=K$3,SUMIF('TL12'!$C$238:$C$451,$C278,'TL12'!$J$238:$J$451),0),
IF('TL13'!$B$3=K$3,SUMIF('TL13'!$C$10:$C$224,$C278,'TL13'!$J$10:$J$224),0),
IF('TL13'!$B$229=K$3,SUMIF('TL13'!$C$238:$C$451,$C278,'TL13'!$J$238:$J$451),0),
IF('TL14'!$B$3=K$3,SUMIF('TL14'!$C$10:$C$224,$C278,'TL14'!$J$10:$J$224),0),
IF('TL14'!$B$229=K$3,SUMIF('TL14'!$C$238:$C$451,$C278,'TL14'!$J$238:$J$451),0),
IF('TL15'!$B$3=K$3,SUMIF('TL15'!$C$10:$C$224,$C278,'TL15'!$J$10:$J$224),0),
IF('TL15'!$B$229=K$3,SUMIF('TL15'!$C$238:$C$451,$C278,'TL15'!$J$238:$J$451),0),
IF('TL16'!$B$3=K$3,SUMIF('TL16'!$C$10:$C$224,$C278,'TL16'!$J$10:$J$224),0),
IF('TL16'!$B$229=K$3,SUMIF('TL16'!$C$238:$C$451,$C278,'TL16'!$J$238:$J$451),0),
IF('TL17'!$B$3=K$3,SUMIF('TL17'!$C$10:$C$224,$C278,'TL17'!$J$10:$J$224),0),
IF('TL17'!$B$229=K$3,SUMIF('TL17'!$C$238:$C$451,$C278,'TL17'!$J$238:$J$451),0),
IF('TL18'!$B$3=K$3,SUMIF('TL18'!$C$10:$C$224,$C278,'TL18'!$J$10:$J$224),0),
IF('TL18'!$B$229=K$3,SUMIF('TL18'!$C$238:$C$451,$C278,'TL18'!$J$238:$J$451),0),
IF('TL19'!$B$3=K$3,SUMIF('TL19'!$C$10:$C$224,$C278,'TL19'!$J$10:$J$224),0),
IF('TL19'!$B$229=K$3,SUMIF('TL19'!$C$238:$C$451,$C278,'TL19'!$J$238:$J$451),0)
),0)</f>
        <v>0</v>
      </c>
      <c r="L278" s="9">
        <f>IFERROR(SUM(
IF('TL01'!$B$3=L$3,SUMIF('TL01'!$C$10:$C$224,$C278,'TL01'!$J$10:$J$224),0),
IF('TL01'!$B$229=L$3,SUMIF('TL01'!$C$238:$C$451,$C278,'TL01'!$J$238:$J$451),0),
IF('TL02'!$B$3=L$3,SUMIF('TL02'!$C$10:$C$224,$C278,'TL02'!$J$10:$J$224),0),
IF('TL02'!$B$229=L$3,SUMIF('TL02'!$C$238:$C$451,$C278,'TL02'!$J$238:$J$451),0),
IF('TL03'!$B$3=L$3,SUMIF('TL03'!$C$10:$C$224,$C278,'TL03'!$J$10:$J$224),0),
IF('TL03'!$B$229=L$3,SUMIF('TL03'!$C$238:$C$451,$C278,'TL03'!$J$238:$J$451),0),
IF('TL04'!$B$3=L$3,SUMIF('TL04'!$C$10:$C$224,$C278,'TL04'!$J$10:$J$224),0),
IF('TL04'!$B$229=L$3,SUMIF('TL04'!$C$238:$C$451,$C278,'TL04'!$J$238:$J$451),0),
IF('TL05'!$B$3=L$3,SUMIF('TL05'!$C$10:$C$224,$C278,'TL05'!$J$10:$J$224),0),
IF('TL05'!$B$229=L$3,SUMIF('TL05'!$C$238:$C$451,$C278,'TL05'!$J$238:$J$451),0),
IF('TL06'!$B$3=L$3,SUMIF('TL06'!$C$10:$C$224,$C278,'TL06'!$J$10:$J$224),0),
IF('TL06'!$B$229=L$3,SUMIF('TL06'!$C$238:$C$451,$C278,'TL06'!$J$238:$J$451),0),
IF('TL07'!$B$3=L$3,SUMIF('TL07'!$C$10:$C$224,$C278,'TL07'!$J$10:$J$224),0),
IF('TL07'!$B$229=L$3,SUMIF('TL07'!$C$238:$C$451,$C278,'TL07'!$J$238:$J$451),0),
IF('TL08'!$B$3=L$3,SUMIF('TL08'!$C$10:$C$224,$C278,'TL08'!$J$10:$J$224),0),
IF('TL08'!$B$229=L$3,SUMIF('TL08'!$C$238:$C$451,$C278,'TL08'!$J$238:$J$451),0),
IF('TL09'!$B$3=L$3,SUMIF('TL09'!$C$10:$C$224,$C278,'TL09'!$J$10:$J$224),0),
IF('TL09'!$B$229=L$3,SUMIF('TL09'!$C$238:$C$451,$C278,'TL09'!$J$238:$J$451),0),
IF('TL10'!$B$3=L$3,SUMIF('TL10'!$C$10:$C$224,$C278,'TL10'!$J$10:$J$224),0),
IF('TL10'!$B$229=L$3,SUMIF('TL10'!$C$238:$C$451,$C278,'TL10'!$J$238:$J$451),0),
IF('TL11'!$B$3=L$3,SUMIF('TL11'!$C$10:$C$224,$C278,'TL11'!$J$10:$J$224),0),
IF('TL11'!$B$229=L$3,SUMIF('TL11'!$C$238:$C$451,$C278,'TL11'!$J$238:$J$451),0),
IF('TL12'!$B$3=L$3,SUMIF('TL12'!$C$10:$C$224,$C278,'TL12'!$J$10:$J$224),0),
IF('TL12'!$B$229=L$3,SUMIF('TL12'!$C$238:$C$451,$C278,'TL12'!$J$238:$J$451),0),
IF('TL13'!$B$3=L$3,SUMIF('TL13'!$C$10:$C$224,$C278,'TL13'!$J$10:$J$224),0),
IF('TL13'!$B$229=L$3,SUMIF('TL13'!$C$238:$C$451,$C278,'TL13'!$J$238:$J$451),0),
IF('TL14'!$B$3=L$3,SUMIF('TL14'!$C$10:$C$224,$C278,'TL14'!$J$10:$J$224),0),
IF('TL14'!$B$229=L$3,SUMIF('TL14'!$C$238:$C$451,$C278,'TL14'!$J$238:$J$451),0),
IF('TL15'!$B$3=L$3,SUMIF('TL15'!$C$10:$C$224,$C278,'TL15'!$J$10:$J$224),0),
IF('TL15'!$B$229=L$3,SUMIF('TL15'!$C$238:$C$451,$C278,'TL15'!$J$238:$J$451),0),
IF('TL16'!$B$3=L$3,SUMIF('TL16'!$C$10:$C$224,$C278,'TL16'!$J$10:$J$224),0),
IF('TL16'!$B$229=L$3,SUMIF('TL16'!$C$238:$C$451,$C278,'TL16'!$J$238:$J$451),0),
IF('TL17'!$B$3=L$3,SUMIF('TL17'!$C$10:$C$224,$C278,'TL17'!$J$10:$J$224),0),
IF('TL17'!$B$229=L$3,SUMIF('TL17'!$C$238:$C$451,$C278,'TL17'!$J$238:$J$451),0),
IF('TL18'!$B$3=L$3,SUMIF('TL18'!$C$10:$C$224,$C278,'TL18'!$J$10:$J$224),0),
IF('TL18'!$B$229=L$3,SUMIF('TL18'!$C$238:$C$451,$C278,'TL18'!$J$238:$J$451),0),
IF('TL19'!$B$3=L$3,SUMIF('TL19'!$C$10:$C$224,$C278,'TL19'!$J$10:$J$224),0),
IF('TL19'!$B$229=L$3,SUMIF('TL19'!$C$238:$C$451,$C278,'TL19'!$J$238:$J$451),0)
),0)</f>
        <v>0</v>
      </c>
      <c r="M278" s="9">
        <f>IFERROR(SUM(
IF('TL01'!$B$3=M$3,SUMIF('TL01'!$C$10:$C$224,$C278,'TL01'!$J$10:$J$224),0),
IF('TL01'!$B$229=M$3,SUMIF('TL01'!$C$238:$C$451,$C278,'TL01'!$J$238:$J$451),0),
IF('TL02'!$B$3=M$3,SUMIF('TL02'!$C$10:$C$224,$C278,'TL02'!$J$10:$J$224),0),
IF('TL02'!$B$229=M$3,SUMIF('TL02'!$C$238:$C$451,$C278,'TL02'!$J$238:$J$451),0),
IF('TL03'!$B$3=M$3,SUMIF('TL03'!$C$10:$C$224,$C278,'TL03'!$J$10:$J$224),0),
IF('TL03'!$B$229=M$3,SUMIF('TL03'!$C$238:$C$451,$C278,'TL03'!$J$238:$J$451),0),
IF('TL04'!$B$3=M$3,SUMIF('TL04'!$C$10:$C$224,$C278,'TL04'!$J$10:$J$224),0),
IF('TL04'!$B$229=M$3,SUMIF('TL04'!$C$238:$C$451,$C278,'TL04'!$J$238:$J$451),0),
IF('TL05'!$B$3=M$3,SUMIF('TL05'!$C$10:$C$224,$C278,'TL05'!$J$10:$J$224),0),
IF('TL05'!$B$229=M$3,SUMIF('TL05'!$C$238:$C$451,$C278,'TL05'!$J$238:$J$451),0),
IF('TL06'!$B$3=M$3,SUMIF('TL06'!$C$10:$C$224,$C278,'TL06'!$J$10:$J$224),0),
IF('TL06'!$B$229=M$3,SUMIF('TL06'!$C$238:$C$451,$C278,'TL06'!$J$238:$J$451),0),
IF('TL07'!$B$3=M$3,SUMIF('TL07'!$C$10:$C$224,$C278,'TL07'!$J$10:$J$224),0),
IF('TL07'!$B$229=M$3,SUMIF('TL07'!$C$238:$C$451,$C278,'TL07'!$J$238:$J$451),0),
IF('TL08'!$B$3=M$3,SUMIF('TL08'!$C$10:$C$224,$C278,'TL08'!$J$10:$J$224),0),
IF('TL08'!$B$229=M$3,SUMIF('TL08'!$C$238:$C$451,$C278,'TL08'!$J$238:$J$451),0),
IF('TL09'!$B$3=M$3,SUMIF('TL09'!$C$10:$C$224,$C278,'TL09'!$J$10:$J$224),0),
IF('TL09'!$B$229=M$3,SUMIF('TL09'!$C$238:$C$451,$C278,'TL09'!$J$238:$J$451),0),
IF('TL10'!$B$3=M$3,SUMIF('TL10'!$C$10:$C$224,$C278,'TL10'!$J$10:$J$224),0),
IF('TL10'!$B$229=M$3,SUMIF('TL10'!$C$238:$C$451,$C278,'TL10'!$J$238:$J$451),0),
IF('TL11'!$B$3=M$3,SUMIF('TL11'!$C$10:$C$224,$C278,'TL11'!$J$10:$J$224),0),
IF('TL11'!$B$229=M$3,SUMIF('TL11'!$C$238:$C$451,$C278,'TL11'!$J$238:$J$451),0),
IF('TL12'!$B$3=M$3,SUMIF('TL12'!$C$10:$C$224,$C278,'TL12'!$J$10:$J$224),0),
IF('TL12'!$B$229=M$3,SUMIF('TL12'!$C$238:$C$451,$C278,'TL12'!$J$238:$J$451),0),
IF('TL13'!$B$3=M$3,SUMIF('TL13'!$C$10:$C$224,$C278,'TL13'!$J$10:$J$224),0),
IF('TL13'!$B$229=M$3,SUMIF('TL13'!$C$238:$C$451,$C278,'TL13'!$J$238:$J$451),0),
IF('TL14'!$B$3=M$3,SUMIF('TL14'!$C$10:$C$224,$C278,'TL14'!$J$10:$J$224),0),
IF('TL14'!$B$229=M$3,SUMIF('TL14'!$C$238:$C$451,$C278,'TL14'!$J$238:$J$451),0),
IF('TL15'!$B$3=M$3,SUMIF('TL15'!$C$10:$C$224,$C278,'TL15'!$J$10:$J$224),0),
IF('TL15'!$B$229=M$3,SUMIF('TL15'!$C$238:$C$451,$C278,'TL15'!$J$238:$J$451),0),
IF('TL16'!$B$3=M$3,SUMIF('TL16'!$C$10:$C$224,$C278,'TL16'!$J$10:$J$224),0),
IF('TL16'!$B$229=M$3,SUMIF('TL16'!$C$238:$C$451,$C278,'TL16'!$J$238:$J$451),0),
IF('TL17'!$B$3=M$3,SUMIF('TL17'!$C$10:$C$224,$C278,'TL17'!$J$10:$J$224),0),
IF('TL17'!$B$229=M$3,SUMIF('TL17'!$C$238:$C$451,$C278,'TL17'!$J$238:$J$451),0),
IF('TL18'!$B$3=M$3,SUMIF('TL18'!$C$10:$C$224,$C278,'TL18'!$J$10:$J$224),0),
IF('TL18'!$B$229=M$3,SUMIF('TL18'!$C$238:$C$451,$C278,'TL18'!$J$238:$J$451),0),
IF('TL19'!$B$3=M$3,SUMIF('TL19'!$C$10:$C$224,$C278,'TL19'!$J$10:$J$224),0),
IF('TL19'!$B$229=M$3,SUMIF('TL19'!$C$238:$C$451,$C278,'TL19'!$J$238:$J$451),0)
),0)</f>
        <v>0</v>
      </c>
      <c r="N278" s="9">
        <f>IFERROR(SUM(
IF('TL01'!$B$3=N$3,SUMIF('TL01'!$C$10:$C$224,$C278,'TL01'!$J$10:$J$224),0),
IF('TL01'!$B$229=N$3,SUMIF('TL01'!$C$238:$C$451,$C278,'TL01'!$J$238:$J$451),0),
IF('TL02'!$B$3=N$3,SUMIF('TL02'!$C$10:$C$224,$C278,'TL02'!$J$10:$J$224),0),
IF('TL02'!$B$229=N$3,SUMIF('TL02'!$C$238:$C$451,$C278,'TL02'!$J$238:$J$451),0),
IF('TL03'!$B$3=N$3,SUMIF('TL03'!$C$10:$C$224,$C278,'TL03'!$J$10:$J$224),0),
IF('TL03'!$B$229=N$3,SUMIF('TL03'!$C$238:$C$451,$C278,'TL03'!$J$238:$J$451),0),
IF('TL04'!$B$3=N$3,SUMIF('TL04'!$C$10:$C$224,$C278,'TL04'!$J$10:$J$224),0),
IF('TL04'!$B$229=N$3,SUMIF('TL04'!$C$238:$C$451,$C278,'TL04'!$J$238:$J$451),0),
IF('TL05'!$B$3=N$3,SUMIF('TL05'!$C$10:$C$224,$C278,'TL05'!$J$10:$J$224),0),
IF('TL05'!$B$229=N$3,SUMIF('TL05'!$C$238:$C$451,$C278,'TL05'!$J$238:$J$451),0),
IF('TL06'!$B$3=N$3,SUMIF('TL06'!$C$10:$C$224,$C278,'TL06'!$J$10:$J$224),0),
IF('TL06'!$B$229=N$3,SUMIF('TL06'!$C$238:$C$451,$C278,'TL06'!$J$238:$J$451),0),
IF('TL07'!$B$3=N$3,SUMIF('TL07'!$C$10:$C$224,$C278,'TL07'!$J$10:$J$224),0),
IF('TL07'!$B$229=N$3,SUMIF('TL07'!$C$238:$C$451,$C278,'TL07'!$J$238:$J$451),0),
IF('TL08'!$B$3=N$3,SUMIF('TL08'!$C$10:$C$224,$C278,'TL08'!$J$10:$J$224),0),
IF('TL08'!$B$229=N$3,SUMIF('TL08'!$C$238:$C$451,$C278,'TL08'!$J$238:$J$451),0),
IF('TL09'!$B$3=N$3,SUMIF('TL09'!$C$10:$C$224,$C278,'TL09'!$J$10:$J$224),0),
IF('TL09'!$B$229=N$3,SUMIF('TL09'!$C$238:$C$451,$C278,'TL09'!$J$238:$J$451),0),
IF('TL10'!$B$3=N$3,SUMIF('TL10'!$C$10:$C$224,$C278,'TL10'!$J$10:$J$224),0),
IF('TL10'!$B$229=N$3,SUMIF('TL10'!$C$238:$C$451,$C278,'TL10'!$J$238:$J$451),0),
IF('TL11'!$B$3=N$3,SUMIF('TL11'!$C$10:$C$224,$C278,'TL11'!$J$10:$J$224),0),
IF('TL11'!$B$229=N$3,SUMIF('TL11'!$C$238:$C$451,$C278,'TL11'!$J$238:$J$451),0),
IF('TL12'!$B$3=N$3,SUMIF('TL12'!$C$10:$C$224,$C278,'TL12'!$J$10:$J$224),0),
IF('TL12'!$B$229=N$3,SUMIF('TL12'!$C$238:$C$451,$C278,'TL12'!$J$238:$J$451),0),
IF('TL13'!$B$3=N$3,SUMIF('TL13'!$C$10:$C$224,$C278,'TL13'!$J$10:$J$224),0),
IF('TL13'!$B$229=N$3,SUMIF('TL13'!$C$238:$C$451,$C278,'TL13'!$J$238:$J$451),0),
IF('TL14'!$B$3=N$3,SUMIF('TL14'!$C$10:$C$224,$C278,'TL14'!$J$10:$J$224),0),
IF('TL14'!$B$229=N$3,SUMIF('TL14'!$C$238:$C$451,$C278,'TL14'!$J$238:$J$451),0),
IF('TL15'!$B$3=N$3,SUMIF('TL15'!$C$10:$C$224,$C278,'TL15'!$J$10:$J$224),0),
IF('TL15'!$B$229=N$3,SUMIF('TL15'!$C$238:$C$451,$C278,'TL15'!$J$238:$J$451),0),
IF('TL16'!$B$3=N$3,SUMIF('TL16'!$C$10:$C$224,$C278,'TL16'!$J$10:$J$224),0),
IF('TL16'!$B$229=N$3,SUMIF('TL16'!$C$238:$C$451,$C278,'TL16'!$J$238:$J$451),0),
IF('TL17'!$B$3=N$3,SUMIF('TL17'!$C$10:$C$224,$C278,'TL17'!$J$10:$J$224),0),
IF('TL17'!$B$229=N$3,SUMIF('TL17'!$C$238:$C$451,$C278,'TL17'!$J$238:$J$451),0),
IF('TL18'!$B$3=N$3,SUMIF('TL18'!$C$10:$C$224,$C278,'TL18'!$J$10:$J$224),0),
IF('TL18'!$B$229=N$3,SUMIF('TL18'!$C$238:$C$451,$C278,'TL18'!$J$238:$J$451),0),
IF('TL19'!$B$3=N$3,SUMIF('TL19'!$C$10:$C$224,$C278,'TL19'!$J$10:$J$224),0),
IF('TL19'!$B$229=N$3,SUMIF('TL19'!$C$238:$C$451,$C278,'TL19'!$J$238:$J$451),0)
),0)</f>
        <v>0</v>
      </c>
      <c r="O278" s="9">
        <f>IFERROR(SUM(
IF('TL01'!$B$3=O$3,SUMIF('TL01'!$C$10:$C$224,$C278,'TL01'!$J$10:$J$224),0),
IF('TL01'!$B$229=O$3,SUMIF('TL01'!$C$238:$C$451,$C278,'TL01'!$J$238:$J$451),0),
IF('TL02'!$B$3=O$3,SUMIF('TL02'!$C$10:$C$224,$C278,'TL02'!$J$10:$J$224),0),
IF('TL02'!$B$229=O$3,SUMIF('TL02'!$C$238:$C$451,$C278,'TL02'!$J$238:$J$451),0),
IF('TL03'!$B$3=O$3,SUMIF('TL03'!$C$10:$C$224,$C278,'TL03'!$J$10:$J$224),0),
IF('TL03'!$B$229=O$3,SUMIF('TL03'!$C$238:$C$451,$C278,'TL03'!$J$238:$J$451),0),
IF('TL04'!$B$3=O$3,SUMIF('TL04'!$C$10:$C$224,$C278,'TL04'!$J$10:$J$224),0),
IF('TL04'!$B$229=O$3,SUMIF('TL04'!$C$238:$C$451,$C278,'TL04'!$J$238:$J$451),0),
IF('TL05'!$B$3=O$3,SUMIF('TL05'!$C$10:$C$224,$C278,'TL05'!$J$10:$J$224),0),
IF('TL05'!$B$229=O$3,SUMIF('TL05'!$C$238:$C$451,$C278,'TL05'!$J$238:$J$451),0),
IF('TL06'!$B$3=O$3,SUMIF('TL06'!$C$10:$C$224,$C278,'TL06'!$J$10:$J$224),0),
IF('TL06'!$B$229=O$3,SUMIF('TL06'!$C$238:$C$451,$C278,'TL06'!$J$238:$J$451),0),
IF('TL07'!$B$3=O$3,SUMIF('TL07'!$C$10:$C$224,$C278,'TL07'!$J$10:$J$224),0),
IF('TL07'!$B$229=O$3,SUMIF('TL07'!$C$238:$C$451,$C278,'TL07'!$J$238:$J$451),0),
IF('TL08'!$B$3=O$3,SUMIF('TL08'!$C$10:$C$224,$C278,'TL08'!$J$10:$J$224),0),
IF('TL08'!$B$229=O$3,SUMIF('TL08'!$C$238:$C$451,$C278,'TL08'!$J$238:$J$451),0),
IF('TL09'!$B$3=O$3,SUMIF('TL09'!$C$10:$C$224,$C278,'TL09'!$J$10:$J$224),0),
IF('TL09'!$B$229=O$3,SUMIF('TL09'!$C$238:$C$451,$C278,'TL09'!$J$238:$J$451),0),
IF('TL10'!$B$3=O$3,SUMIF('TL10'!$C$10:$C$224,$C278,'TL10'!$J$10:$J$224),0),
IF('TL10'!$B$229=O$3,SUMIF('TL10'!$C$238:$C$451,$C278,'TL10'!$J$238:$J$451),0),
IF('TL11'!$B$3=O$3,SUMIF('TL11'!$C$10:$C$224,$C278,'TL11'!$J$10:$J$224),0),
IF('TL11'!$B$229=O$3,SUMIF('TL11'!$C$238:$C$451,$C278,'TL11'!$J$238:$J$451),0),
IF('TL12'!$B$3=O$3,SUMIF('TL12'!$C$10:$C$224,$C278,'TL12'!$J$10:$J$224),0),
IF('TL12'!$B$229=O$3,SUMIF('TL12'!$C$238:$C$451,$C278,'TL12'!$J$238:$J$451),0),
IF('TL13'!$B$3=O$3,SUMIF('TL13'!$C$10:$C$224,$C278,'TL13'!$J$10:$J$224),0),
IF('TL13'!$B$229=O$3,SUMIF('TL13'!$C$238:$C$451,$C278,'TL13'!$J$238:$J$451),0),
IF('TL14'!$B$3=O$3,SUMIF('TL14'!$C$10:$C$224,$C278,'TL14'!$J$10:$J$224),0),
IF('TL14'!$B$229=O$3,SUMIF('TL14'!$C$238:$C$451,$C278,'TL14'!$J$238:$J$451),0),
IF('TL15'!$B$3=O$3,SUMIF('TL15'!$C$10:$C$224,$C278,'TL15'!$J$10:$J$224),0),
IF('TL15'!$B$229=O$3,SUMIF('TL15'!$C$238:$C$451,$C278,'TL15'!$J$238:$J$451),0),
IF('TL16'!$B$3=O$3,SUMIF('TL16'!$C$10:$C$224,$C278,'TL16'!$J$10:$J$224),0),
IF('TL16'!$B$229=O$3,SUMIF('TL16'!$C$238:$C$451,$C278,'TL16'!$J$238:$J$451),0),
IF('TL17'!$B$3=O$3,SUMIF('TL17'!$C$10:$C$224,$C278,'TL17'!$J$10:$J$224),0),
IF('TL17'!$B$229=O$3,SUMIF('TL17'!$C$238:$C$451,$C278,'TL17'!$J$238:$J$451),0),
IF('TL18'!$B$3=O$3,SUMIF('TL18'!$C$10:$C$224,$C278,'TL18'!$J$10:$J$224),0),
IF('TL18'!$B$229=O$3,SUMIF('TL18'!$C$238:$C$451,$C278,'TL18'!$J$238:$J$451),0),
IF('TL19'!$B$3=O$3,SUMIF('TL19'!$C$10:$C$224,$C278,'TL19'!$J$10:$J$224),0),
IF('TL19'!$B$229=O$3,SUMIF('TL19'!$C$238:$C$451,$C278,'TL19'!$J$238:$J$451),0)
),0)</f>
        <v>0</v>
      </c>
      <c r="P278" s="9">
        <f>IFERROR(SUM(
IF('TL01'!$B$3=P$3,SUMIF('TL01'!$C$10:$C$224,$C278,'TL01'!$J$10:$J$224),0),
IF('TL01'!$B$229=P$3,SUMIF('TL01'!$C$238:$C$451,$C278,'TL01'!$J$238:$J$451),0),
IF('TL02'!$B$3=P$3,SUMIF('TL02'!$C$10:$C$224,$C278,'TL02'!$J$10:$J$224),0),
IF('TL02'!$B$229=P$3,SUMIF('TL02'!$C$238:$C$451,$C278,'TL02'!$J$238:$J$451),0),
IF('TL03'!$B$3=P$3,SUMIF('TL03'!$C$10:$C$224,$C278,'TL03'!$J$10:$J$224),0),
IF('TL03'!$B$229=P$3,SUMIF('TL03'!$C$238:$C$451,$C278,'TL03'!$J$238:$J$451),0),
IF('TL04'!$B$3=P$3,SUMIF('TL04'!$C$10:$C$224,$C278,'TL04'!$J$10:$J$224),0),
IF('TL04'!$B$229=P$3,SUMIF('TL04'!$C$238:$C$451,$C278,'TL04'!$J$238:$J$451),0),
IF('TL05'!$B$3=P$3,SUMIF('TL05'!$C$10:$C$224,$C278,'TL05'!$J$10:$J$224),0),
IF('TL05'!$B$229=P$3,SUMIF('TL05'!$C$238:$C$451,$C278,'TL05'!$J$238:$J$451),0),
IF('TL06'!$B$3=P$3,SUMIF('TL06'!$C$10:$C$224,$C278,'TL06'!$J$10:$J$224),0),
IF('TL06'!$B$229=P$3,SUMIF('TL06'!$C$238:$C$451,$C278,'TL06'!$J$238:$J$451),0),
IF('TL07'!$B$3=P$3,SUMIF('TL07'!$C$10:$C$224,$C278,'TL07'!$J$10:$J$224),0),
IF('TL07'!$B$229=P$3,SUMIF('TL07'!$C$238:$C$451,$C278,'TL07'!$J$238:$J$451),0),
IF('TL08'!$B$3=P$3,SUMIF('TL08'!$C$10:$C$224,$C278,'TL08'!$J$10:$J$224),0),
IF('TL08'!$B$229=P$3,SUMIF('TL08'!$C$238:$C$451,$C278,'TL08'!$J$238:$J$451),0),
IF('TL09'!$B$3=P$3,SUMIF('TL09'!$C$10:$C$224,$C278,'TL09'!$J$10:$J$224),0),
IF('TL09'!$B$229=P$3,SUMIF('TL09'!$C$238:$C$451,$C278,'TL09'!$J$238:$J$451),0),
IF('TL10'!$B$3=P$3,SUMIF('TL10'!$C$10:$C$224,$C278,'TL10'!$J$10:$J$224),0),
IF('TL10'!$B$229=P$3,SUMIF('TL10'!$C$238:$C$451,$C278,'TL10'!$J$238:$J$451),0),
IF('TL11'!$B$3=P$3,SUMIF('TL11'!$C$10:$C$224,$C278,'TL11'!$J$10:$J$224),0),
IF('TL11'!$B$229=P$3,SUMIF('TL11'!$C$238:$C$451,$C278,'TL11'!$J$238:$J$451),0),
IF('TL12'!$B$3=P$3,SUMIF('TL12'!$C$10:$C$224,$C278,'TL12'!$J$10:$J$224),0),
IF('TL12'!$B$229=P$3,SUMIF('TL12'!$C$238:$C$451,$C278,'TL12'!$J$238:$J$451),0),
IF('TL13'!$B$3=P$3,SUMIF('TL13'!$C$10:$C$224,$C278,'TL13'!$J$10:$J$224),0),
IF('TL13'!$B$229=P$3,SUMIF('TL13'!$C$238:$C$451,$C278,'TL13'!$J$238:$J$451),0),
IF('TL14'!$B$3=P$3,SUMIF('TL14'!$C$10:$C$224,$C278,'TL14'!$J$10:$J$224),0),
IF('TL14'!$B$229=P$3,SUMIF('TL14'!$C$238:$C$451,$C278,'TL14'!$J$238:$J$451),0),
IF('TL15'!$B$3=P$3,SUMIF('TL15'!$C$10:$C$224,$C278,'TL15'!$J$10:$J$224),0),
IF('TL15'!$B$229=P$3,SUMIF('TL15'!$C$238:$C$451,$C278,'TL15'!$J$238:$J$451),0),
IF('TL16'!$B$3=P$3,SUMIF('TL16'!$C$10:$C$224,$C278,'TL16'!$J$10:$J$224),0),
IF('TL16'!$B$229=P$3,SUMIF('TL16'!$C$238:$C$451,$C278,'TL16'!$J$238:$J$451),0),
IF('TL17'!$B$3=P$3,SUMIF('TL17'!$C$10:$C$224,$C278,'TL17'!$J$10:$J$224),0),
IF('TL17'!$B$229=P$3,SUMIF('TL17'!$C$238:$C$451,$C278,'TL17'!$J$238:$J$451),0),
IF('TL18'!$B$3=P$3,SUMIF('TL18'!$C$10:$C$224,$C278,'TL18'!$J$10:$J$224),0),
IF('TL18'!$B$229=P$3,SUMIF('TL18'!$C$238:$C$451,$C278,'TL18'!$J$238:$J$451),0),
IF('TL19'!$B$3=P$3,SUMIF('TL19'!$C$10:$C$224,$C278,'TL19'!$J$10:$J$224),0),
IF('TL19'!$B$229=P$3,SUMIF('TL19'!$C$238:$C$451,$C278,'TL19'!$J$238:$J$451),0)
),0)</f>
        <v>0</v>
      </c>
      <c r="Q278" s="9">
        <f>IFERROR(SUM(
IF('TL01'!$B$3=Q$3,SUMIF('TL01'!$C$10:$C$224,$C278,'TL01'!$J$10:$J$224),0),
IF('TL01'!$B$229=Q$3,SUMIF('TL01'!$C$238:$C$451,$C278,'TL01'!$J$238:$J$451),0),
IF('TL02'!$B$3=Q$3,SUMIF('TL02'!$C$10:$C$224,$C278,'TL02'!$J$10:$J$224),0),
IF('TL02'!$B$229=Q$3,SUMIF('TL02'!$C$238:$C$451,$C278,'TL02'!$J$238:$J$451),0),
IF('TL03'!$B$3=Q$3,SUMIF('TL03'!$C$10:$C$224,$C278,'TL03'!$J$10:$J$224),0),
IF('TL03'!$B$229=Q$3,SUMIF('TL03'!$C$238:$C$451,$C278,'TL03'!$J$238:$J$451),0),
IF('TL04'!$B$3=Q$3,SUMIF('TL04'!$C$10:$C$224,$C278,'TL04'!$J$10:$J$224),0),
IF('TL04'!$B$229=Q$3,SUMIF('TL04'!$C$238:$C$451,$C278,'TL04'!$J$238:$J$451),0),
IF('TL05'!$B$3=Q$3,SUMIF('TL05'!$C$10:$C$224,$C278,'TL05'!$J$10:$J$224),0),
IF('TL05'!$B$229=Q$3,SUMIF('TL05'!$C$238:$C$451,$C278,'TL05'!$J$238:$J$451),0),
IF('TL06'!$B$3=Q$3,SUMIF('TL06'!$C$10:$C$224,$C278,'TL06'!$J$10:$J$224),0),
IF('TL06'!$B$229=Q$3,SUMIF('TL06'!$C$238:$C$451,$C278,'TL06'!$J$238:$J$451),0),
IF('TL07'!$B$3=Q$3,SUMIF('TL07'!$C$10:$C$224,$C278,'TL07'!$J$10:$J$224),0),
IF('TL07'!$B$229=Q$3,SUMIF('TL07'!$C$238:$C$451,$C278,'TL07'!$J$238:$J$451),0),
IF('TL08'!$B$3=Q$3,SUMIF('TL08'!$C$10:$C$224,$C278,'TL08'!$J$10:$J$224),0),
IF('TL08'!$B$229=Q$3,SUMIF('TL08'!$C$238:$C$451,$C278,'TL08'!$J$238:$J$451),0),
IF('TL09'!$B$3=Q$3,SUMIF('TL09'!$C$10:$C$224,$C278,'TL09'!$J$10:$J$224),0),
IF('TL09'!$B$229=Q$3,SUMIF('TL09'!$C$238:$C$451,$C278,'TL09'!$J$238:$J$451),0),
IF('TL10'!$B$3=Q$3,SUMIF('TL10'!$C$10:$C$224,$C278,'TL10'!$J$10:$J$224),0),
IF('TL10'!$B$229=Q$3,SUMIF('TL10'!$C$238:$C$451,$C278,'TL10'!$J$238:$J$451),0),
IF('TL11'!$B$3=Q$3,SUMIF('TL11'!$C$10:$C$224,$C278,'TL11'!$J$10:$J$224),0),
IF('TL11'!$B$229=Q$3,SUMIF('TL11'!$C$238:$C$451,$C278,'TL11'!$J$238:$J$451),0),
IF('TL12'!$B$3=Q$3,SUMIF('TL12'!$C$10:$C$224,$C278,'TL12'!$J$10:$J$224),0),
IF('TL12'!$B$229=Q$3,SUMIF('TL12'!$C$238:$C$451,$C278,'TL12'!$J$238:$J$451),0),
IF('TL13'!$B$3=Q$3,SUMIF('TL13'!$C$10:$C$224,$C278,'TL13'!$J$10:$J$224),0),
IF('TL13'!$B$229=Q$3,SUMIF('TL13'!$C$238:$C$451,$C278,'TL13'!$J$238:$J$451),0),
IF('TL14'!$B$3=Q$3,SUMIF('TL14'!$C$10:$C$224,$C278,'TL14'!$J$10:$J$224),0),
IF('TL14'!$B$229=Q$3,SUMIF('TL14'!$C$238:$C$451,$C278,'TL14'!$J$238:$J$451),0),
IF('TL15'!$B$3=Q$3,SUMIF('TL15'!$C$10:$C$224,$C278,'TL15'!$J$10:$J$224),0),
IF('TL15'!$B$229=Q$3,SUMIF('TL15'!$C$238:$C$451,$C278,'TL15'!$J$238:$J$451),0),
IF('TL16'!$B$3=Q$3,SUMIF('TL16'!$C$10:$C$224,$C278,'TL16'!$J$10:$J$224),0),
IF('TL16'!$B$229=Q$3,SUMIF('TL16'!$C$238:$C$451,$C278,'TL16'!$J$238:$J$451),0),
IF('TL17'!$B$3=Q$3,SUMIF('TL17'!$C$10:$C$224,$C278,'TL17'!$J$10:$J$224),0),
IF('TL17'!$B$229=Q$3,SUMIF('TL17'!$C$238:$C$451,$C278,'TL17'!$J$238:$J$451),0),
IF('TL18'!$B$3=Q$3,SUMIF('TL18'!$C$10:$C$224,$C278,'TL18'!$J$10:$J$224),0),
IF('TL18'!$B$229=Q$3,SUMIF('TL18'!$C$238:$C$451,$C278,'TL18'!$J$238:$J$451),0),
IF('TL19'!$B$3=Q$3,SUMIF('TL19'!$C$10:$C$224,$C278,'TL19'!$J$10:$J$224),0),
IF('TL19'!$B$229=Q$3,SUMIF('TL19'!$C$238:$C$451,$C278,'TL19'!$J$238:$J$451),0)
),0)</f>
        <v>0</v>
      </c>
      <c r="R278" s="9">
        <f>IFERROR(
SUM(
SUMIF('TL01'!C:C,C278,'TL01'!J:J),
SUMIF('TL02'!C:C,C278,'TL02'!J:J),
SUMIF('TL03'!C:C,C278,'TL03'!J:J),
SUMIF('TL04'!C:C,C278,'TL04'!J:J),
SUMIF('TL05'!C:C,C278,'TL05'!J:J),
SUMIF('TL06'!C:C,C278,'TL06'!J:J),
SUMIF('TL07'!C:C,C278,'TL07'!J:J),
SUMIF('TL08'!C:C,C278,'TL08'!J:J),
SUMIF('TL09'!C:C,C278,'TL09'!J:J),
SUMIF('TL10'!C:C,C278,'TL10'!J:J),
SUMIF('TL11'!C:C,C278,'TL11'!J:J),
SUMIF('TL12'!C:C,C278,'TL12'!J:J),
SUMIF('TL13'!C:C,C278,'TL13'!J:J),
SUMIF('TL14'!C:C,C278,'TL14'!J:J),
SUMIF('TL15'!C:C,C278,'TL15'!J:J),
SUMIF('TL16'!C:C,C278,'TL16'!J:J),
SUMIF('TL17'!C:C,C278,'TL17'!J:J),
SUMIF('TL18'!C:C,C278,'TL18'!J:J),SUMIF('TL19'!C:C,C278,'TL19'!J:J))
,0)</f>
        <v>0</v>
      </c>
      <c r="S278" s="17">
        <f>IFERROR(__xludf.DUMMYFUNCTION("IFERROR(VLOOKUP(C278,
IMPORTRANGE(""1wULbzX32WdYsx-lj2U3uUNBBe2INVIRDtcK0d-Dvl90"",
""26-27!C:G""),
5,
FALSE),
"""")"),21.0)</f>
        <v>21</v>
      </c>
      <c r="T278" s="9"/>
      <c r="U278" s="92">
        <f t="shared" si="2"/>
        <v>0</v>
      </c>
      <c r="V278" s="93">
        <f t="shared" si="3"/>
        <v>0</v>
      </c>
    </row>
    <row r="279" ht="15.75" hidden="1" customHeight="1">
      <c r="A279" s="4" t="s">
        <v>961</v>
      </c>
      <c r="B279" s="125" t="s">
        <v>9</v>
      </c>
      <c r="C279" s="4" t="s">
        <v>982</v>
      </c>
      <c r="D279" s="4" t="s">
        <v>983</v>
      </c>
      <c r="E279" s="9"/>
      <c r="F279" s="4" t="s">
        <v>343</v>
      </c>
      <c r="G279" s="9"/>
      <c r="H279" s="9">
        <v>3.0</v>
      </c>
      <c r="I279" s="1"/>
      <c r="J279" s="9">
        <f>IFERROR(SUM(
IF('TL01'!$B$3=J$3,SUMIF('TL01'!$C$10:$C$224,$C279,'TL01'!$J$10:$J$224),0),
IF('TL01'!$B$229=J$3,SUMIF('TL01'!$C$238:$C$451,$C279,'TL01'!$J$238:$J$451),0),
IF('TL02'!$B$3=J$3,SUMIF('TL02'!$C$10:$C$224,$C279,'TL02'!$J$10:$J$224),0),
IF('TL02'!$B$229=J$3,SUMIF('TL02'!$C$238:$C$451,$C279,'TL02'!$J$238:$J$451),0),
IF('TL03'!$B$3=J$3,SUMIF('TL03'!$C$10:$C$224,$C279,'TL03'!$J$10:$J$224),0),
IF('TL03'!$B$229=J$3,SUMIF('TL03'!$C$238:$C$451,$C279,'TL03'!$J$238:$J$451),0),
IF('TL04'!$B$3=J$3,SUMIF('TL04'!$C$10:$C$224,$C279,'TL04'!$J$10:$J$224),0),
IF('TL04'!$B$229=J$3,SUMIF('TL04'!$C$238:$C$451,$C279,'TL04'!$J$238:$J$451),0),
IF('TL05'!$B$3=J$3,SUMIF('TL05'!$C$10:$C$224,$C279,'TL05'!$J$10:$J$224),0),
IF('TL05'!$B$229=J$3,SUMIF('TL05'!$C$238:$C$451,$C279,'TL05'!$J$238:$J$451),0),
IF('TL06'!$B$3=J$3,SUMIF('TL06'!$C$10:$C$224,$C279,'TL06'!$J$10:$J$224),0),
IF('TL06'!$B$229=J$3,SUMIF('TL06'!$C$238:$C$451,$C279,'TL06'!$J$238:$J$451),0),
IF('TL07'!$B$3=J$3,SUMIF('TL07'!$C$10:$C$224,$C279,'TL07'!$J$10:$J$224),0),
IF('TL07'!$B$229=J$3,SUMIF('TL07'!$C$238:$C$451,$C279,'TL07'!$J$238:$J$451),0),
IF('TL08'!$B$3=J$3,SUMIF('TL08'!$C$10:$C$224,$C279,'TL08'!$J$10:$J$224),0),
IF('TL08'!$B$229=J$3,SUMIF('TL08'!$C$238:$C$451,$C279,'TL08'!$J$238:$J$451),0),
IF('TL09'!$B$3=J$3,SUMIF('TL09'!$C$10:$C$224,$C279,'TL09'!$J$10:$J$224),0),
IF('TL09'!$B$229=J$3,SUMIF('TL09'!$C$238:$C$451,$C279,'TL09'!$J$238:$J$451),0),
IF('TL10'!$B$3=J$3,SUMIF('TL10'!$C$10:$C$224,$C279,'TL10'!$J$10:$J$224),0),
IF('TL10'!$B$229=J$3,SUMIF('TL10'!$C$238:$C$451,$C279,'TL10'!$J$238:$J$451),0),
IF('TL11'!$B$3=J$3,SUMIF('TL11'!$C$10:$C$224,$C279,'TL11'!$J$10:$J$224),0),
IF('TL11'!$B$229=J$3,SUMIF('TL11'!$C$238:$C$451,$C279,'TL11'!$J$238:$J$451),0),
IF('TL12'!$B$3=J$3,SUMIF('TL12'!$C$10:$C$224,$C279,'TL12'!$J$10:$J$224),0),
IF('TL12'!$B$229=J$3,SUMIF('TL12'!$C$238:$C$451,$C279,'TL12'!$J$238:$J$451),0),
IF('TL13'!$B$3=J$3,SUMIF('TL13'!$C$10:$C$224,$C279,'TL13'!$J$10:$J$224),0),
IF('TL13'!$B$229=J$3,SUMIF('TL13'!$C$238:$C$451,$C279,'TL13'!$J$238:$J$451),0),
IF('TL14'!$B$3=J$3,SUMIF('TL14'!$C$10:$C$224,$C279,'TL14'!$J$10:$J$224),0),
IF('TL14'!$B$229=J$3,SUMIF('TL14'!$C$238:$C$451,$C279,'TL14'!$J$238:$J$451),0),
IF('TL15'!$B$3=J$3,SUMIF('TL15'!$C$10:$C$224,$C279,'TL15'!$J$10:$J$224),0),
IF('TL15'!$B$229=J$3,SUMIF('TL15'!$C$238:$C$451,$C279,'TL15'!$J$238:$J$451),0),
IF('TL16'!$B$3=J$3,SUMIF('TL16'!$C$10:$C$224,$C279,'TL16'!$J$10:$J$224),0),
IF('TL16'!$B$229=J$3,SUMIF('TL16'!$C$238:$C$451,$C279,'TL16'!$J$238:$J$451),0),
IF('TL17'!$B$3=J$3,SUMIF('TL17'!$C$10:$C$224,$C279,'TL17'!$J$10:$J$224),0),
IF('TL17'!$B$229=J$3,SUMIF('TL17'!$C$238:$C$451,$C279,'TL17'!$J$238:$J$451),0),
IF('TL18'!$B$3=J$3,SUMIF('TL18'!$C$10:$C$224,$C279,'TL18'!$J$10:$J$224),0),
IF('TL18'!$B$229=J$3,SUMIF('TL18'!$C$238:$C$451,$C279,'TL18'!$J$238:$J$451),0),
IF('TL19'!$B$3=J$3,SUMIF('TL19'!$C$10:$C$224,$C279,'TL19'!$J$10:$J$224),0),
IF('TL19'!$B$229=J$3,SUMIF('TL19'!$C$238:$C$451,$C279,'TL19'!$J$238:$J$451),0)
),0)</f>
        <v>0</v>
      </c>
      <c r="K279" s="9">
        <f>IFERROR(SUM(
IF('TL01'!$B$3=K$3,SUMIF('TL01'!$C$10:$C$224,$C279,'TL01'!$J$10:$J$224),0),
IF('TL01'!$B$229=K$3,SUMIF('TL01'!$C$238:$C$451,$C279,'TL01'!$J$238:$J$451),0),
IF('TL02'!$B$3=K$3,SUMIF('TL02'!$C$10:$C$224,$C279,'TL02'!$J$10:$J$224),0),
IF('TL02'!$B$229=K$3,SUMIF('TL02'!$C$238:$C$451,$C279,'TL02'!$J$238:$J$451),0),
IF('TL03'!$B$3=K$3,SUMIF('TL03'!$C$10:$C$224,$C279,'TL03'!$J$10:$J$224),0),
IF('TL03'!$B$229=K$3,SUMIF('TL03'!$C$238:$C$451,$C279,'TL03'!$J$238:$J$451),0),
IF('TL04'!$B$3=K$3,SUMIF('TL04'!$C$10:$C$224,$C279,'TL04'!$J$10:$J$224),0),
IF('TL04'!$B$229=K$3,SUMIF('TL04'!$C$238:$C$451,$C279,'TL04'!$J$238:$J$451),0),
IF('TL05'!$B$3=K$3,SUMIF('TL05'!$C$10:$C$224,$C279,'TL05'!$J$10:$J$224),0),
IF('TL05'!$B$229=K$3,SUMIF('TL05'!$C$238:$C$451,$C279,'TL05'!$J$238:$J$451),0),
IF('TL06'!$B$3=K$3,SUMIF('TL06'!$C$10:$C$224,$C279,'TL06'!$J$10:$J$224),0),
IF('TL06'!$B$229=K$3,SUMIF('TL06'!$C$238:$C$451,$C279,'TL06'!$J$238:$J$451),0),
IF('TL07'!$B$3=K$3,SUMIF('TL07'!$C$10:$C$224,$C279,'TL07'!$J$10:$J$224),0),
IF('TL07'!$B$229=K$3,SUMIF('TL07'!$C$238:$C$451,$C279,'TL07'!$J$238:$J$451),0),
IF('TL08'!$B$3=K$3,SUMIF('TL08'!$C$10:$C$224,$C279,'TL08'!$J$10:$J$224),0),
IF('TL08'!$B$229=K$3,SUMIF('TL08'!$C$238:$C$451,$C279,'TL08'!$J$238:$J$451),0),
IF('TL09'!$B$3=K$3,SUMIF('TL09'!$C$10:$C$224,$C279,'TL09'!$J$10:$J$224),0),
IF('TL09'!$B$229=K$3,SUMIF('TL09'!$C$238:$C$451,$C279,'TL09'!$J$238:$J$451),0),
IF('TL10'!$B$3=K$3,SUMIF('TL10'!$C$10:$C$224,$C279,'TL10'!$J$10:$J$224),0),
IF('TL10'!$B$229=K$3,SUMIF('TL10'!$C$238:$C$451,$C279,'TL10'!$J$238:$J$451),0),
IF('TL11'!$B$3=K$3,SUMIF('TL11'!$C$10:$C$224,$C279,'TL11'!$J$10:$J$224),0),
IF('TL11'!$B$229=K$3,SUMIF('TL11'!$C$238:$C$451,$C279,'TL11'!$J$238:$J$451),0),
IF('TL12'!$B$3=K$3,SUMIF('TL12'!$C$10:$C$224,$C279,'TL12'!$J$10:$J$224),0),
IF('TL12'!$B$229=K$3,SUMIF('TL12'!$C$238:$C$451,$C279,'TL12'!$J$238:$J$451),0),
IF('TL13'!$B$3=K$3,SUMIF('TL13'!$C$10:$C$224,$C279,'TL13'!$J$10:$J$224),0),
IF('TL13'!$B$229=K$3,SUMIF('TL13'!$C$238:$C$451,$C279,'TL13'!$J$238:$J$451),0),
IF('TL14'!$B$3=K$3,SUMIF('TL14'!$C$10:$C$224,$C279,'TL14'!$J$10:$J$224),0),
IF('TL14'!$B$229=K$3,SUMIF('TL14'!$C$238:$C$451,$C279,'TL14'!$J$238:$J$451),0),
IF('TL15'!$B$3=K$3,SUMIF('TL15'!$C$10:$C$224,$C279,'TL15'!$J$10:$J$224),0),
IF('TL15'!$B$229=K$3,SUMIF('TL15'!$C$238:$C$451,$C279,'TL15'!$J$238:$J$451),0),
IF('TL16'!$B$3=K$3,SUMIF('TL16'!$C$10:$C$224,$C279,'TL16'!$J$10:$J$224),0),
IF('TL16'!$B$229=K$3,SUMIF('TL16'!$C$238:$C$451,$C279,'TL16'!$J$238:$J$451),0),
IF('TL17'!$B$3=K$3,SUMIF('TL17'!$C$10:$C$224,$C279,'TL17'!$J$10:$J$224),0),
IF('TL17'!$B$229=K$3,SUMIF('TL17'!$C$238:$C$451,$C279,'TL17'!$J$238:$J$451),0),
IF('TL18'!$B$3=K$3,SUMIF('TL18'!$C$10:$C$224,$C279,'TL18'!$J$10:$J$224),0),
IF('TL18'!$B$229=K$3,SUMIF('TL18'!$C$238:$C$451,$C279,'TL18'!$J$238:$J$451),0),
IF('TL19'!$B$3=K$3,SUMIF('TL19'!$C$10:$C$224,$C279,'TL19'!$J$10:$J$224),0),
IF('TL19'!$B$229=K$3,SUMIF('TL19'!$C$238:$C$451,$C279,'TL19'!$J$238:$J$451),0)
),0)</f>
        <v>0</v>
      </c>
      <c r="L279" s="9">
        <f>IFERROR(SUM(
IF('TL01'!$B$3=L$3,SUMIF('TL01'!$C$10:$C$224,$C279,'TL01'!$J$10:$J$224),0),
IF('TL01'!$B$229=L$3,SUMIF('TL01'!$C$238:$C$451,$C279,'TL01'!$J$238:$J$451),0),
IF('TL02'!$B$3=L$3,SUMIF('TL02'!$C$10:$C$224,$C279,'TL02'!$J$10:$J$224),0),
IF('TL02'!$B$229=L$3,SUMIF('TL02'!$C$238:$C$451,$C279,'TL02'!$J$238:$J$451),0),
IF('TL03'!$B$3=L$3,SUMIF('TL03'!$C$10:$C$224,$C279,'TL03'!$J$10:$J$224),0),
IF('TL03'!$B$229=L$3,SUMIF('TL03'!$C$238:$C$451,$C279,'TL03'!$J$238:$J$451),0),
IF('TL04'!$B$3=L$3,SUMIF('TL04'!$C$10:$C$224,$C279,'TL04'!$J$10:$J$224),0),
IF('TL04'!$B$229=L$3,SUMIF('TL04'!$C$238:$C$451,$C279,'TL04'!$J$238:$J$451),0),
IF('TL05'!$B$3=L$3,SUMIF('TL05'!$C$10:$C$224,$C279,'TL05'!$J$10:$J$224),0),
IF('TL05'!$B$229=L$3,SUMIF('TL05'!$C$238:$C$451,$C279,'TL05'!$J$238:$J$451),0),
IF('TL06'!$B$3=L$3,SUMIF('TL06'!$C$10:$C$224,$C279,'TL06'!$J$10:$J$224),0),
IF('TL06'!$B$229=L$3,SUMIF('TL06'!$C$238:$C$451,$C279,'TL06'!$J$238:$J$451),0),
IF('TL07'!$B$3=L$3,SUMIF('TL07'!$C$10:$C$224,$C279,'TL07'!$J$10:$J$224),0),
IF('TL07'!$B$229=L$3,SUMIF('TL07'!$C$238:$C$451,$C279,'TL07'!$J$238:$J$451),0),
IF('TL08'!$B$3=L$3,SUMIF('TL08'!$C$10:$C$224,$C279,'TL08'!$J$10:$J$224),0),
IF('TL08'!$B$229=L$3,SUMIF('TL08'!$C$238:$C$451,$C279,'TL08'!$J$238:$J$451),0),
IF('TL09'!$B$3=L$3,SUMIF('TL09'!$C$10:$C$224,$C279,'TL09'!$J$10:$J$224),0),
IF('TL09'!$B$229=L$3,SUMIF('TL09'!$C$238:$C$451,$C279,'TL09'!$J$238:$J$451),0),
IF('TL10'!$B$3=L$3,SUMIF('TL10'!$C$10:$C$224,$C279,'TL10'!$J$10:$J$224),0),
IF('TL10'!$B$229=L$3,SUMIF('TL10'!$C$238:$C$451,$C279,'TL10'!$J$238:$J$451),0),
IF('TL11'!$B$3=L$3,SUMIF('TL11'!$C$10:$C$224,$C279,'TL11'!$J$10:$J$224),0),
IF('TL11'!$B$229=L$3,SUMIF('TL11'!$C$238:$C$451,$C279,'TL11'!$J$238:$J$451),0),
IF('TL12'!$B$3=L$3,SUMIF('TL12'!$C$10:$C$224,$C279,'TL12'!$J$10:$J$224),0),
IF('TL12'!$B$229=L$3,SUMIF('TL12'!$C$238:$C$451,$C279,'TL12'!$J$238:$J$451),0),
IF('TL13'!$B$3=L$3,SUMIF('TL13'!$C$10:$C$224,$C279,'TL13'!$J$10:$J$224),0),
IF('TL13'!$B$229=L$3,SUMIF('TL13'!$C$238:$C$451,$C279,'TL13'!$J$238:$J$451),0),
IF('TL14'!$B$3=L$3,SUMIF('TL14'!$C$10:$C$224,$C279,'TL14'!$J$10:$J$224),0),
IF('TL14'!$B$229=L$3,SUMIF('TL14'!$C$238:$C$451,$C279,'TL14'!$J$238:$J$451),0),
IF('TL15'!$B$3=L$3,SUMIF('TL15'!$C$10:$C$224,$C279,'TL15'!$J$10:$J$224),0),
IF('TL15'!$B$229=L$3,SUMIF('TL15'!$C$238:$C$451,$C279,'TL15'!$J$238:$J$451),0),
IF('TL16'!$B$3=L$3,SUMIF('TL16'!$C$10:$C$224,$C279,'TL16'!$J$10:$J$224),0),
IF('TL16'!$B$229=L$3,SUMIF('TL16'!$C$238:$C$451,$C279,'TL16'!$J$238:$J$451),0),
IF('TL17'!$B$3=L$3,SUMIF('TL17'!$C$10:$C$224,$C279,'TL17'!$J$10:$J$224),0),
IF('TL17'!$B$229=L$3,SUMIF('TL17'!$C$238:$C$451,$C279,'TL17'!$J$238:$J$451),0),
IF('TL18'!$B$3=L$3,SUMIF('TL18'!$C$10:$C$224,$C279,'TL18'!$J$10:$J$224),0),
IF('TL18'!$B$229=L$3,SUMIF('TL18'!$C$238:$C$451,$C279,'TL18'!$J$238:$J$451),0),
IF('TL19'!$B$3=L$3,SUMIF('TL19'!$C$10:$C$224,$C279,'TL19'!$J$10:$J$224),0),
IF('TL19'!$B$229=L$3,SUMIF('TL19'!$C$238:$C$451,$C279,'TL19'!$J$238:$J$451),0)
),0)</f>
        <v>0</v>
      </c>
      <c r="M279" s="9">
        <f>IFERROR(SUM(
IF('TL01'!$B$3=M$3,SUMIF('TL01'!$C$10:$C$224,$C279,'TL01'!$J$10:$J$224),0),
IF('TL01'!$B$229=M$3,SUMIF('TL01'!$C$238:$C$451,$C279,'TL01'!$J$238:$J$451),0),
IF('TL02'!$B$3=M$3,SUMIF('TL02'!$C$10:$C$224,$C279,'TL02'!$J$10:$J$224),0),
IF('TL02'!$B$229=M$3,SUMIF('TL02'!$C$238:$C$451,$C279,'TL02'!$J$238:$J$451),0),
IF('TL03'!$B$3=M$3,SUMIF('TL03'!$C$10:$C$224,$C279,'TL03'!$J$10:$J$224),0),
IF('TL03'!$B$229=M$3,SUMIF('TL03'!$C$238:$C$451,$C279,'TL03'!$J$238:$J$451),0),
IF('TL04'!$B$3=M$3,SUMIF('TL04'!$C$10:$C$224,$C279,'TL04'!$J$10:$J$224),0),
IF('TL04'!$B$229=M$3,SUMIF('TL04'!$C$238:$C$451,$C279,'TL04'!$J$238:$J$451),0),
IF('TL05'!$B$3=M$3,SUMIF('TL05'!$C$10:$C$224,$C279,'TL05'!$J$10:$J$224),0),
IF('TL05'!$B$229=M$3,SUMIF('TL05'!$C$238:$C$451,$C279,'TL05'!$J$238:$J$451),0),
IF('TL06'!$B$3=M$3,SUMIF('TL06'!$C$10:$C$224,$C279,'TL06'!$J$10:$J$224),0),
IF('TL06'!$B$229=M$3,SUMIF('TL06'!$C$238:$C$451,$C279,'TL06'!$J$238:$J$451),0),
IF('TL07'!$B$3=M$3,SUMIF('TL07'!$C$10:$C$224,$C279,'TL07'!$J$10:$J$224),0),
IF('TL07'!$B$229=M$3,SUMIF('TL07'!$C$238:$C$451,$C279,'TL07'!$J$238:$J$451),0),
IF('TL08'!$B$3=M$3,SUMIF('TL08'!$C$10:$C$224,$C279,'TL08'!$J$10:$J$224),0),
IF('TL08'!$B$229=M$3,SUMIF('TL08'!$C$238:$C$451,$C279,'TL08'!$J$238:$J$451),0),
IF('TL09'!$B$3=M$3,SUMIF('TL09'!$C$10:$C$224,$C279,'TL09'!$J$10:$J$224),0),
IF('TL09'!$B$229=M$3,SUMIF('TL09'!$C$238:$C$451,$C279,'TL09'!$J$238:$J$451),0),
IF('TL10'!$B$3=M$3,SUMIF('TL10'!$C$10:$C$224,$C279,'TL10'!$J$10:$J$224),0),
IF('TL10'!$B$229=M$3,SUMIF('TL10'!$C$238:$C$451,$C279,'TL10'!$J$238:$J$451),0),
IF('TL11'!$B$3=M$3,SUMIF('TL11'!$C$10:$C$224,$C279,'TL11'!$J$10:$J$224),0),
IF('TL11'!$B$229=M$3,SUMIF('TL11'!$C$238:$C$451,$C279,'TL11'!$J$238:$J$451),0),
IF('TL12'!$B$3=M$3,SUMIF('TL12'!$C$10:$C$224,$C279,'TL12'!$J$10:$J$224),0),
IF('TL12'!$B$229=M$3,SUMIF('TL12'!$C$238:$C$451,$C279,'TL12'!$J$238:$J$451),0),
IF('TL13'!$B$3=M$3,SUMIF('TL13'!$C$10:$C$224,$C279,'TL13'!$J$10:$J$224),0),
IF('TL13'!$B$229=M$3,SUMIF('TL13'!$C$238:$C$451,$C279,'TL13'!$J$238:$J$451),0),
IF('TL14'!$B$3=M$3,SUMIF('TL14'!$C$10:$C$224,$C279,'TL14'!$J$10:$J$224),0),
IF('TL14'!$B$229=M$3,SUMIF('TL14'!$C$238:$C$451,$C279,'TL14'!$J$238:$J$451),0),
IF('TL15'!$B$3=M$3,SUMIF('TL15'!$C$10:$C$224,$C279,'TL15'!$J$10:$J$224),0),
IF('TL15'!$B$229=M$3,SUMIF('TL15'!$C$238:$C$451,$C279,'TL15'!$J$238:$J$451),0),
IF('TL16'!$B$3=M$3,SUMIF('TL16'!$C$10:$C$224,$C279,'TL16'!$J$10:$J$224),0),
IF('TL16'!$B$229=M$3,SUMIF('TL16'!$C$238:$C$451,$C279,'TL16'!$J$238:$J$451),0),
IF('TL17'!$B$3=M$3,SUMIF('TL17'!$C$10:$C$224,$C279,'TL17'!$J$10:$J$224),0),
IF('TL17'!$B$229=M$3,SUMIF('TL17'!$C$238:$C$451,$C279,'TL17'!$J$238:$J$451),0),
IF('TL18'!$B$3=M$3,SUMIF('TL18'!$C$10:$C$224,$C279,'TL18'!$J$10:$J$224),0),
IF('TL18'!$B$229=M$3,SUMIF('TL18'!$C$238:$C$451,$C279,'TL18'!$J$238:$J$451),0),
IF('TL19'!$B$3=M$3,SUMIF('TL19'!$C$10:$C$224,$C279,'TL19'!$J$10:$J$224),0),
IF('TL19'!$B$229=M$3,SUMIF('TL19'!$C$238:$C$451,$C279,'TL19'!$J$238:$J$451),0)
),0)</f>
        <v>0</v>
      </c>
      <c r="N279" s="9">
        <f>IFERROR(SUM(
IF('TL01'!$B$3=N$3,SUMIF('TL01'!$C$10:$C$224,$C279,'TL01'!$J$10:$J$224),0),
IF('TL01'!$B$229=N$3,SUMIF('TL01'!$C$238:$C$451,$C279,'TL01'!$J$238:$J$451),0),
IF('TL02'!$B$3=N$3,SUMIF('TL02'!$C$10:$C$224,$C279,'TL02'!$J$10:$J$224),0),
IF('TL02'!$B$229=N$3,SUMIF('TL02'!$C$238:$C$451,$C279,'TL02'!$J$238:$J$451),0),
IF('TL03'!$B$3=N$3,SUMIF('TL03'!$C$10:$C$224,$C279,'TL03'!$J$10:$J$224),0),
IF('TL03'!$B$229=N$3,SUMIF('TL03'!$C$238:$C$451,$C279,'TL03'!$J$238:$J$451),0),
IF('TL04'!$B$3=N$3,SUMIF('TL04'!$C$10:$C$224,$C279,'TL04'!$J$10:$J$224),0),
IF('TL04'!$B$229=N$3,SUMIF('TL04'!$C$238:$C$451,$C279,'TL04'!$J$238:$J$451),0),
IF('TL05'!$B$3=N$3,SUMIF('TL05'!$C$10:$C$224,$C279,'TL05'!$J$10:$J$224),0),
IF('TL05'!$B$229=N$3,SUMIF('TL05'!$C$238:$C$451,$C279,'TL05'!$J$238:$J$451),0),
IF('TL06'!$B$3=N$3,SUMIF('TL06'!$C$10:$C$224,$C279,'TL06'!$J$10:$J$224),0),
IF('TL06'!$B$229=N$3,SUMIF('TL06'!$C$238:$C$451,$C279,'TL06'!$J$238:$J$451),0),
IF('TL07'!$B$3=N$3,SUMIF('TL07'!$C$10:$C$224,$C279,'TL07'!$J$10:$J$224),0),
IF('TL07'!$B$229=N$3,SUMIF('TL07'!$C$238:$C$451,$C279,'TL07'!$J$238:$J$451),0),
IF('TL08'!$B$3=N$3,SUMIF('TL08'!$C$10:$C$224,$C279,'TL08'!$J$10:$J$224),0),
IF('TL08'!$B$229=N$3,SUMIF('TL08'!$C$238:$C$451,$C279,'TL08'!$J$238:$J$451),0),
IF('TL09'!$B$3=N$3,SUMIF('TL09'!$C$10:$C$224,$C279,'TL09'!$J$10:$J$224),0),
IF('TL09'!$B$229=N$3,SUMIF('TL09'!$C$238:$C$451,$C279,'TL09'!$J$238:$J$451),0),
IF('TL10'!$B$3=N$3,SUMIF('TL10'!$C$10:$C$224,$C279,'TL10'!$J$10:$J$224),0),
IF('TL10'!$B$229=N$3,SUMIF('TL10'!$C$238:$C$451,$C279,'TL10'!$J$238:$J$451),0),
IF('TL11'!$B$3=N$3,SUMIF('TL11'!$C$10:$C$224,$C279,'TL11'!$J$10:$J$224),0),
IF('TL11'!$B$229=N$3,SUMIF('TL11'!$C$238:$C$451,$C279,'TL11'!$J$238:$J$451),0),
IF('TL12'!$B$3=N$3,SUMIF('TL12'!$C$10:$C$224,$C279,'TL12'!$J$10:$J$224),0),
IF('TL12'!$B$229=N$3,SUMIF('TL12'!$C$238:$C$451,$C279,'TL12'!$J$238:$J$451),0),
IF('TL13'!$B$3=N$3,SUMIF('TL13'!$C$10:$C$224,$C279,'TL13'!$J$10:$J$224),0),
IF('TL13'!$B$229=N$3,SUMIF('TL13'!$C$238:$C$451,$C279,'TL13'!$J$238:$J$451),0),
IF('TL14'!$B$3=N$3,SUMIF('TL14'!$C$10:$C$224,$C279,'TL14'!$J$10:$J$224),0),
IF('TL14'!$B$229=N$3,SUMIF('TL14'!$C$238:$C$451,$C279,'TL14'!$J$238:$J$451),0),
IF('TL15'!$B$3=N$3,SUMIF('TL15'!$C$10:$C$224,$C279,'TL15'!$J$10:$J$224),0),
IF('TL15'!$B$229=N$3,SUMIF('TL15'!$C$238:$C$451,$C279,'TL15'!$J$238:$J$451),0),
IF('TL16'!$B$3=N$3,SUMIF('TL16'!$C$10:$C$224,$C279,'TL16'!$J$10:$J$224),0),
IF('TL16'!$B$229=N$3,SUMIF('TL16'!$C$238:$C$451,$C279,'TL16'!$J$238:$J$451),0),
IF('TL17'!$B$3=N$3,SUMIF('TL17'!$C$10:$C$224,$C279,'TL17'!$J$10:$J$224),0),
IF('TL17'!$B$229=N$3,SUMIF('TL17'!$C$238:$C$451,$C279,'TL17'!$J$238:$J$451),0),
IF('TL18'!$B$3=N$3,SUMIF('TL18'!$C$10:$C$224,$C279,'TL18'!$J$10:$J$224),0),
IF('TL18'!$B$229=N$3,SUMIF('TL18'!$C$238:$C$451,$C279,'TL18'!$J$238:$J$451),0),
IF('TL19'!$B$3=N$3,SUMIF('TL19'!$C$10:$C$224,$C279,'TL19'!$J$10:$J$224),0),
IF('TL19'!$B$229=N$3,SUMIF('TL19'!$C$238:$C$451,$C279,'TL19'!$J$238:$J$451),0)
),0)</f>
        <v>0</v>
      </c>
      <c r="O279" s="9">
        <f>IFERROR(SUM(
IF('TL01'!$B$3=O$3,SUMIF('TL01'!$C$10:$C$224,$C279,'TL01'!$J$10:$J$224),0),
IF('TL01'!$B$229=O$3,SUMIF('TL01'!$C$238:$C$451,$C279,'TL01'!$J$238:$J$451),0),
IF('TL02'!$B$3=O$3,SUMIF('TL02'!$C$10:$C$224,$C279,'TL02'!$J$10:$J$224),0),
IF('TL02'!$B$229=O$3,SUMIF('TL02'!$C$238:$C$451,$C279,'TL02'!$J$238:$J$451),0),
IF('TL03'!$B$3=O$3,SUMIF('TL03'!$C$10:$C$224,$C279,'TL03'!$J$10:$J$224),0),
IF('TL03'!$B$229=O$3,SUMIF('TL03'!$C$238:$C$451,$C279,'TL03'!$J$238:$J$451),0),
IF('TL04'!$B$3=O$3,SUMIF('TL04'!$C$10:$C$224,$C279,'TL04'!$J$10:$J$224),0),
IF('TL04'!$B$229=O$3,SUMIF('TL04'!$C$238:$C$451,$C279,'TL04'!$J$238:$J$451),0),
IF('TL05'!$B$3=O$3,SUMIF('TL05'!$C$10:$C$224,$C279,'TL05'!$J$10:$J$224),0),
IF('TL05'!$B$229=O$3,SUMIF('TL05'!$C$238:$C$451,$C279,'TL05'!$J$238:$J$451),0),
IF('TL06'!$B$3=O$3,SUMIF('TL06'!$C$10:$C$224,$C279,'TL06'!$J$10:$J$224),0),
IF('TL06'!$B$229=O$3,SUMIF('TL06'!$C$238:$C$451,$C279,'TL06'!$J$238:$J$451),0),
IF('TL07'!$B$3=O$3,SUMIF('TL07'!$C$10:$C$224,$C279,'TL07'!$J$10:$J$224),0),
IF('TL07'!$B$229=O$3,SUMIF('TL07'!$C$238:$C$451,$C279,'TL07'!$J$238:$J$451),0),
IF('TL08'!$B$3=O$3,SUMIF('TL08'!$C$10:$C$224,$C279,'TL08'!$J$10:$J$224),0),
IF('TL08'!$B$229=O$3,SUMIF('TL08'!$C$238:$C$451,$C279,'TL08'!$J$238:$J$451),0),
IF('TL09'!$B$3=O$3,SUMIF('TL09'!$C$10:$C$224,$C279,'TL09'!$J$10:$J$224),0),
IF('TL09'!$B$229=O$3,SUMIF('TL09'!$C$238:$C$451,$C279,'TL09'!$J$238:$J$451),0),
IF('TL10'!$B$3=O$3,SUMIF('TL10'!$C$10:$C$224,$C279,'TL10'!$J$10:$J$224),0),
IF('TL10'!$B$229=O$3,SUMIF('TL10'!$C$238:$C$451,$C279,'TL10'!$J$238:$J$451),0),
IF('TL11'!$B$3=O$3,SUMIF('TL11'!$C$10:$C$224,$C279,'TL11'!$J$10:$J$224),0),
IF('TL11'!$B$229=O$3,SUMIF('TL11'!$C$238:$C$451,$C279,'TL11'!$J$238:$J$451),0),
IF('TL12'!$B$3=O$3,SUMIF('TL12'!$C$10:$C$224,$C279,'TL12'!$J$10:$J$224),0),
IF('TL12'!$B$229=O$3,SUMIF('TL12'!$C$238:$C$451,$C279,'TL12'!$J$238:$J$451),0),
IF('TL13'!$B$3=O$3,SUMIF('TL13'!$C$10:$C$224,$C279,'TL13'!$J$10:$J$224),0),
IF('TL13'!$B$229=O$3,SUMIF('TL13'!$C$238:$C$451,$C279,'TL13'!$J$238:$J$451),0),
IF('TL14'!$B$3=O$3,SUMIF('TL14'!$C$10:$C$224,$C279,'TL14'!$J$10:$J$224),0),
IF('TL14'!$B$229=O$3,SUMIF('TL14'!$C$238:$C$451,$C279,'TL14'!$J$238:$J$451),0),
IF('TL15'!$B$3=O$3,SUMIF('TL15'!$C$10:$C$224,$C279,'TL15'!$J$10:$J$224),0),
IF('TL15'!$B$229=O$3,SUMIF('TL15'!$C$238:$C$451,$C279,'TL15'!$J$238:$J$451),0),
IF('TL16'!$B$3=O$3,SUMIF('TL16'!$C$10:$C$224,$C279,'TL16'!$J$10:$J$224),0),
IF('TL16'!$B$229=O$3,SUMIF('TL16'!$C$238:$C$451,$C279,'TL16'!$J$238:$J$451),0),
IF('TL17'!$B$3=O$3,SUMIF('TL17'!$C$10:$C$224,$C279,'TL17'!$J$10:$J$224),0),
IF('TL17'!$B$229=O$3,SUMIF('TL17'!$C$238:$C$451,$C279,'TL17'!$J$238:$J$451),0),
IF('TL18'!$B$3=O$3,SUMIF('TL18'!$C$10:$C$224,$C279,'TL18'!$J$10:$J$224),0),
IF('TL18'!$B$229=O$3,SUMIF('TL18'!$C$238:$C$451,$C279,'TL18'!$J$238:$J$451),0),
IF('TL19'!$B$3=O$3,SUMIF('TL19'!$C$10:$C$224,$C279,'TL19'!$J$10:$J$224),0),
IF('TL19'!$B$229=O$3,SUMIF('TL19'!$C$238:$C$451,$C279,'TL19'!$J$238:$J$451),0)
),0)</f>
        <v>0</v>
      </c>
      <c r="P279" s="9">
        <f>IFERROR(SUM(
IF('TL01'!$B$3=P$3,SUMIF('TL01'!$C$10:$C$224,$C279,'TL01'!$J$10:$J$224),0),
IF('TL01'!$B$229=P$3,SUMIF('TL01'!$C$238:$C$451,$C279,'TL01'!$J$238:$J$451),0),
IF('TL02'!$B$3=P$3,SUMIF('TL02'!$C$10:$C$224,$C279,'TL02'!$J$10:$J$224),0),
IF('TL02'!$B$229=P$3,SUMIF('TL02'!$C$238:$C$451,$C279,'TL02'!$J$238:$J$451),0),
IF('TL03'!$B$3=P$3,SUMIF('TL03'!$C$10:$C$224,$C279,'TL03'!$J$10:$J$224),0),
IF('TL03'!$B$229=P$3,SUMIF('TL03'!$C$238:$C$451,$C279,'TL03'!$J$238:$J$451),0),
IF('TL04'!$B$3=P$3,SUMIF('TL04'!$C$10:$C$224,$C279,'TL04'!$J$10:$J$224),0),
IF('TL04'!$B$229=P$3,SUMIF('TL04'!$C$238:$C$451,$C279,'TL04'!$J$238:$J$451),0),
IF('TL05'!$B$3=P$3,SUMIF('TL05'!$C$10:$C$224,$C279,'TL05'!$J$10:$J$224),0),
IF('TL05'!$B$229=P$3,SUMIF('TL05'!$C$238:$C$451,$C279,'TL05'!$J$238:$J$451),0),
IF('TL06'!$B$3=P$3,SUMIF('TL06'!$C$10:$C$224,$C279,'TL06'!$J$10:$J$224),0),
IF('TL06'!$B$229=P$3,SUMIF('TL06'!$C$238:$C$451,$C279,'TL06'!$J$238:$J$451),0),
IF('TL07'!$B$3=P$3,SUMIF('TL07'!$C$10:$C$224,$C279,'TL07'!$J$10:$J$224),0),
IF('TL07'!$B$229=P$3,SUMIF('TL07'!$C$238:$C$451,$C279,'TL07'!$J$238:$J$451),0),
IF('TL08'!$B$3=P$3,SUMIF('TL08'!$C$10:$C$224,$C279,'TL08'!$J$10:$J$224),0),
IF('TL08'!$B$229=P$3,SUMIF('TL08'!$C$238:$C$451,$C279,'TL08'!$J$238:$J$451),0),
IF('TL09'!$B$3=P$3,SUMIF('TL09'!$C$10:$C$224,$C279,'TL09'!$J$10:$J$224),0),
IF('TL09'!$B$229=P$3,SUMIF('TL09'!$C$238:$C$451,$C279,'TL09'!$J$238:$J$451),0),
IF('TL10'!$B$3=P$3,SUMIF('TL10'!$C$10:$C$224,$C279,'TL10'!$J$10:$J$224),0),
IF('TL10'!$B$229=P$3,SUMIF('TL10'!$C$238:$C$451,$C279,'TL10'!$J$238:$J$451),0),
IF('TL11'!$B$3=P$3,SUMIF('TL11'!$C$10:$C$224,$C279,'TL11'!$J$10:$J$224),0),
IF('TL11'!$B$229=P$3,SUMIF('TL11'!$C$238:$C$451,$C279,'TL11'!$J$238:$J$451),0),
IF('TL12'!$B$3=P$3,SUMIF('TL12'!$C$10:$C$224,$C279,'TL12'!$J$10:$J$224),0),
IF('TL12'!$B$229=P$3,SUMIF('TL12'!$C$238:$C$451,$C279,'TL12'!$J$238:$J$451),0),
IF('TL13'!$B$3=P$3,SUMIF('TL13'!$C$10:$C$224,$C279,'TL13'!$J$10:$J$224),0),
IF('TL13'!$B$229=P$3,SUMIF('TL13'!$C$238:$C$451,$C279,'TL13'!$J$238:$J$451),0),
IF('TL14'!$B$3=P$3,SUMIF('TL14'!$C$10:$C$224,$C279,'TL14'!$J$10:$J$224),0),
IF('TL14'!$B$229=P$3,SUMIF('TL14'!$C$238:$C$451,$C279,'TL14'!$J$238:$J$451),0),
IF('TL15'!$B$3=P$3,SUMIF('TL15'!$C$10:$C$224,$C279,'TL15'!$J$10:$J$224),0),
IF('TL15'!$B$229=P$3,SUMIF('TL15'!$C$238:$C$451,$C279,'TL15'!$J$238:$J$451),0),
IF('TL16'!$B$3=P$3,SUMIF('TL16'!$C$10:$C$224,$C279,'TL16'!$J$10:$J$224),0),
IF('TL16'!$B$229=P$3,SUMIF('TL16'!$C$238:$C$451,$C279,'TL16'!$J$238:$J$451),0),
IF('TL17'!$B$3=P$3,SUMIF('TL17'!$C$10:$C$224,$C279,'TL17'!$J$10:$J$224),0),
IF('TL17'!$B$229=P$3,SUMIF('TL17'!$C$238:$C$451,$C279,'TL17'!$J$238:$J$451),0),
IF('TL18'!$B$3=P$3,SUMIF('TL18'!$C$10:$C$224,$C279,'TL18'!$J$10:$J$224),0),
IF('TL18'!$B$229=P$3,SUMIF('TL18'!$C$238:$C$451,$C279,'TL18'!$J$238:$J$451),0),
IF('TL19'!$B$3=P$3,SUMIF('TL19'!$C$10:$C$224,$C279,'TL19'!$J$10:$J$224),0),
IF('TL19'!$B$229=P$3,SUMIF('TL19'!$C$238:$C$451,$C279,'TL19'!$J$238:$J$451),0)
),0)</f>
        <v>0</v>
      </c>
      <c r="Q279" s="9">
        <f>IFERROR(SUM(
IF('TL01'!$B$3=Q$3,SUMIF('TL01'!$C$10:$C$224,$C279,'TL01'!$J$10:$J$224),0),
IF('TL01'!$B$229=Q$3,SUMIF('TL01'!$C$238:$C$451,$C279,'TL01'!$J$238:$J$451),0),
IF('TL02'!$B$3=Q$3,SUMIF('TL02'!$C$10:$C$224,$C279,'TL02'!$J$10:$J$224),0),
IF('TL02'!$B$229=Q$3,SUMIF('TL02'!$C$238:$C$451,$C279,'TL02'!$J$238:$J$451),0),
IF('TL03'!$B$3=Q$3,SUMIF('TL03'!$C$10:$C$224,$C279,'TL03'!$J$10:$J$224),0),
IF('TL03'!$B$229=Q$3,SUMIF('TL03'!$C$238:$C$451,$C279,'TL03'!$J$238:$J$451),0),
IF('TL04'!$B$3=Q$3,SUMIF('TL04'!$C$10:$C$224,$C279,'TL04'!$J$10:$J$224),0),
IF('TL04'!$B$229=Q$3,SUMIF('TL04'!$C$238:$C$451,$C279,'TL04'!$J$238:$J$451),0),
IF('TL05'!$B$3=Q$3,SUMIF('TL05'!$C$10:$C$224,$C279,'TL05'!$J$10:$J$224),0),
IF('TL05'!$B$229=Q$3,SUMIF('TL05'!$C$238:$C$451,$C279,'TL05'!$J$238:$J$451),0),
IF('TL06'!$B$3=Q$3,SUMIF('TL06'!$C$10:$C$224,$C279,'TL06'!$J$10:$J$224),0),
IF('TL06'!$B$229=Q$3,SUMIF('TL06'!$C$238:$C$451,$C279,'TL06'!$J$238:$J$451),0),
IF('TL07'!$B$3=Q$3,SUMIF('TL07'!$C$10:$C$224,$C279,'TL07'!$J$10:$J$224),0),
IF('TL07'!$B$229=Q$3,SUMIF('TL07'!$C$238:$C$451,$C279,'TL07'!$J$238:$J$451),0),
IF('TL08'!$B$3=Q$3,SUMIF('TL08'!$C$10:$C$224,$C279,'TL08'!$J$10:$J$224),0),
IF('TL08'!$B$229=Q$3,SUMIF('TL08'!$C$238:$C$451,$C279,'TL08'!$J$238:$J$451),0),
IF('TL09'!$B$3=Q$3,SUMIF('TL09'!$C$10:$C$224,$C279,'TL09'!$J$10:$J$224),0),
IF('TL09'!$B$229=Q$3,SUMIF('TL09'!$C$238:$C$451,$C279,'TL09'!$J$238:$J$451),0),
IF('TL10'!$B$3=Q$3,SUMIF('TL10'!$C$10:$C$224,$C279,'TL10'!$J$10:$J$224),0),
IF('TL10'!$B$229=Q$3,SUMIF('TL10'!$C$238:$C$451,$C279,'TL10'!$J$238:$J$451),0),
IF('TL11'!$B$3=Q$3,SUMIF('TL11'!$C$10:$C$224,$C279,'TL11'!$J$10:$J$224),0),
IF('TL11'!$B$229=Q$3,SUMIF('TL11'!$C$238:$C$451,$C279,'TL11'!$J$238:$J$451),0),
IF('TL12'!$B$3=Q$3,SUMIF('TL12'!$C$10:$C$224,$C279,'TL12'!$J$10:$J$224),0),
IF('TL12'!$B$229=Q$3,SUMIF('TL12'!$C$238:$C$451,$C279,'TL12'!$J$238:$J$451),0),
IF('TL13'!$B$3=Q$3,SUMIF('TL13'!$C$10:$C$224,$C279,'TL13'!$J$10:$J$224),0),
IF('TL13'!$B$229=Q$3,SUMIF('TL13'!$C$238:$C$451,$C279,'TL13'!$J$238:$J$451),0),
IF('TL14'!$B$3=Q$3,SUMIF('TL14'!$C$10:$C$224,$C279,'TL14'!$J$10:$J$224),0),
IF('TL14'!$B$229=Q$3,SUMIF('TL14'!$C$238:$C$451,$C279,'TL14'!$J$238:$J$451),0),
IF('TL15'!$B$3=Q$3,SUMIF('TL15'!$C$10:$C$224,$C279,'TL15'!$J$10:$J$224),0),
IF('TL15'!$B$229=Q$3,SUMIF('TL15'!$C$238:$C$451,$C279,'TL15'!$J$238:$J$451),0),
IF('TL16'!$B$3=Q$3,SUMIF('TL16'!$C$10:$C$224,$C279,'TL16'!$J$10:$J$224),0),
IF('TL16'!$B$229=Q$3,SUMIF('TL16'!$C$238:$C$451,$C279,'TL16'!$J$238:$J$451),0),
IF('TL17'!$B$3=Q$3,SUMIF('TL17'!$C$10:$C$224,$C279,'TL17'!$J$10:$J$224),0),
IF('TL17'!$B$229=Q$3,SUMIF('TL17'!$C$238:$C$451,$C279,'TL17'!$J$238:$J$451),0),
IF('TL18'!$B$3=Q$3,SUMIF('TL18'!$C$10:$C$224,$C279,'TL18'!$J$10:$J$224),0),
IF('TL18'!$B$229=Q$3,SUMIF('TL18'!$C$238:$C$451,$C279,'TL18'!$J$238:$J$451),0),
IF('TL19'!$B$3=Q$3,SUMIF('TL19'!$C$10:$C$224,$C279,'TL19'!$J$10:$J$224),0),
IF('TL19'!$B$229=Q$3,SUMIF('TL19'!$C$238:$C$451,$C279,'TL19'!$J$238:$J$451),0)
),0)</f>
        <v>0</v>
      </c>
      <c r="R279" s="9">
        <f>IFERROR(
SUM(
SUMIF('TL01'!C:C,C279,'TL01'!J:J),
SUMIF('TL02'!C:C,C279,'TL02'!J:J),
SUMIF('TL03'!C:C,C279,'TL03'!J:J),
SUMIF('TL04'!C:C,C279,'TL04'!J:J),
SUMIF('TL05'!C:C,C279,'TL05'!J:J),
SUMIF('TL06'!C:C,C279,'TL06'!J:J),
SUMIF('TL07'!C:C,C279,'TL07'!J:J),
SUMIF('TL08'!C:C,C279,'TL08'!J:J),
SUMIF('TL09'!C:C,C279,'TL09'!J:J),
SUMIF('TL10'!C:C,C279,'TL10'!J:J),
SUMIF('TL11'!C:C,C279,'TL11'!J:J),
SUMIF('TL12'!C:C,C279,'TL12'!J:J),
SUMIF('TL13'!C:C,C279,'TL13'!J:J),
SUMIF('TL14'!C:C,C279,'TL14'!J:J),
SUMIF('TL15'!C:C,C279,'TL15'!J:J),
SUMIF('TL16'!C:C,C279,'TL16'!J:J),
SUMIF('TL17'!C:C,C279,'TL17'!J:J),
SUMIF('TL18'!C:C,C279,'TL18'!J:J),SUMIF('TL19'!C:C,C279,'TL19'!J:J))
,0)</f>
        <v>0</v>
      </c>
      <c r="S279" s="17">
        <f>IFERROR(__xludf.DUMMYFUNCTION("IFERROR(VLOOKUP(C279,
IMPORTRANGE(""1wULbzX32WdYsx-lj2U3uUNBBe2INVIRDtcK0d-Dvl90"",
""26-27!C:G""),
5,
FALSE),
"""")"),16.0)</f>
        <v>16</v>
      </c>
      <c r="T279" s="9"/>
      <c r="U279" s="92">
        <f t="shared" si="2"/>
        <v>0</v>
      </c>
      <c r="V279" s="93">
        <f t="shared" si="3"/>
        <v>0</v>
      </c>
    </row>
    <row r="280" ht="15.75" hidden="1" customHeight="1">
      <c r="A280" s="4" t="s">
        <v>961</v>
      </c>
      <c r="B280" s="125" t="s">
        <v>9</v>
      </c>
      <c r="C280" s="4" t="s">
        <v>984</v>
      </c>
      <c r="D280" s="4" t="s">
        <v>985</v>
      </c>
      <c r="E280" s="9"/>
      <c r="F280" s="4" t="s">
        <v>343</v>
      </c>
      <c r="G280" s="9"/>
      <c r="H280" s="9">
        <v>3.0</v>
      </c>
      <c r="I280" s="1"/>
      <c r="J280" s="9">
        <f>IFERROR(SUM(
IF('TL01'!$B$3=J$3,SUMIF('TL01'!$C$10:$C$224,$C280,'TL01'!$J$10:$J$224),0),
IF('TL01'!$B$229=J$3,SUMIF('TL01'!$C$238:$C$451,$C280,'TL01'!$J$238:$J$451),0),
IF('TL02'!$B$3=J$3,SUMIF('TL02'!$C$10:$C$224,$C280,'TL02'!$J$10:$J$224),0),
IF('TL02'!$B$229=J$3,SUMIF('TL02'!$C$238:$C$451,$C280,'TL02'!$J$238:$J$451),0),
IF('TL03'!$B$3=J$3,SUMIF('TL03'!$C$10:$C$224,$C280,'TL03'!$J$10:$J$224),0),
IF('TL03'!$B$229=J$3,SUMIF('TL03'!$C$238:$C$451,$C280,'TL03'!$J$238:$J$451),0),
IF('TL04'!$B$3=J$3,SUMIF('TL04'!$C$10:$C$224,$C280,'TL04'!$J$10:$J$224),0),
IF('TL04'!$B$229=J$3,SUMIF('TL04'!$C$238:$C$451,$C280,'TL04'!$J$238:$J$451),0),
IF('TL05'!$B$3=J$3,SUMIF('TL05'!$C$10:$C$224,$C280,'TL05'!$J$10:$J$224),0),
IF('TL05'!$B$229=J$3,SUMIF('TL05'!$C$238:$C$451,$C280,'TL05'!$J$238:$J$451),0),
IF('TL06'!$B$3=J$3,SUMIF('TL06'!$C$10:$C$224,$C280,'TL06'!$J$10:$J$224),0),
IF('TL06'!$B$229=J$3,SUMIF('TL06'!$C$238:$C$451,$C280,'TL06'!$J$238:$J$451),0),
IF('TL07'!$B$3=J$3,SUMIF('TL07'!$C$10:$C$224,$C280,'TL07'!$J$10:$J$224),0),
IF('TL07'!$B$229=J$3,SUMIF('TL07'!$C$238:$C$451,$C280,'TL07'!$J$238:$J$451),0),
IF('TL08'!$B$3=J$3,SUMIF('TL08'!$C$10:$C$224,$C280,'TL08'!$J$10:$J$224),0),
IF('TL08'!$B$229=J$3,SUMIF('TL08'!$C$238:$C$451,$C280,'TL08'!$J$238:$J$451),0),
IF('TL09'!$B$3=J$3,SUMIF('TL09'!$C$10:$C$224,$C280,'TL09'!$J$10:$J$224),0),
IF('TL09'!$B$229=J$3,SUMIF('TL09'!$C$238:$C$451,$C280,'TL09'!$J$238:$J$451),0),
IF('TL10'!$B$3=J$3,SUMIF('TL10'!$C$10:$C$224,$C280,'TL10'!$J$10:$J$224),0),
IF('TL10'!$B$229=J$3,SUMIF('TL10'!$C$238:$C$451,$C280,'TL10'!$J$238:$J$451),0),
IF('TL11'!$B$3=J$3,SUMIF('TL11'!$C$10:$C$224,$C280,'TL11'!$J$10:$J$224),0),
IF('TL11'!$B$229=J$3,SUMIF('TL11'!$C$238:$C$451,$C280,'TL11'!$J$238:$J$451),0),
IF('TL12'!$B$3=J$3,SUMIF('TL12'!$C$10:$C$224,$C280,'TL12'!$J$10:$J$224),0),
IF('TL12'!$B$229=J$3,SUMIF('TL12'!$C$238:$C$451,$C280,'TL12'!$J$238:$J$451),0),
IF('TL13'!$B$3=J$3,SUMIF('TL13'!$C$10:$C$224,$C280,'TL13'!$J$10:$J$224),0),
IF('TL13'!$B$229=J$3,SUMIF('TL13'!$C$238:$C$451,$C280,'TL13'!$J$238:$J$451),0),
IF('TL14'!$B$3=J$3,SUMIF('TL14'!$C$10:$C$224,$C280,'TL14'!$J$10:$J$224),0),
IF('TL14'!$B$229=J$3,SUMIF('TL14'!$C$238:$C$451,$C280,'TL14'!$J$238:$J$451),0),
IF('TL15'!$B$3=J$3,SUMIF('TL15'!$C$10:$C$224,$C280,'TL15'!$J$10:$J$224),0),
IF('TL15'!$B$229=J$3,SUMIF('TL15'!$C$238:$C$451,$C280,'TL15'!$J$238:$J$451),0),
IF('TL16'!$B$3=J$3,SUMIF('TL16'!$C$10:$C$224,$C280,'TL16'!$J$10:$J$224),0),
IF('TL16'!$B$229=J$3,SUMIF('TL16'!$C$238:$C$451,$C280,'TL16'!$J$238:$J$451),0),
IF('TL17'!$B$3=J$3,SUMIF('TL17'!$C$10:$C$224,$C280,'TL17'!$J$10:$J$224),0),
IF('TL17'!$B$229=J$3,SUMIF('TL17'!$C$238:$C$451,$C280,'TL17'!$J$238:$J$451),0),
IF('TL18'!$B$3=J$3,SUMIF('TL18'!$C$10:$C$224,$C280,'TL18'!$J$10:$J$224),0),
IF('TL18'!$B$229=J$3,SUMIF('TL18'!$C$238:$C$451,$C280,'TL18'!$J$238:$J$451),0),
IF('TL19'!$B$3=J$3,SUMIF('TL19'!$C$10:$C$224,$C280,'TL19'!$J$10:$J$224),0),
IF('TL19'!$B$229=J$3,SUMIF('TL19'!$C$238:$C$451,$C280,'TL19'!$J$238:$J$451),0)
),0)</f>
        <v>0</v>
      </c>
      <c r="K280" s="9">
        <f>IFERROR(SUM(
IF('TL01'!$B$3=K$3,SUMIF('TL01'!$C$10:$C$224,$C280,'TL01'!$J$10:$J$224),0),
IF('TL01'!$B$229=K$3,SUMIF('TL01'!$C$238:$C$451,$C280,'TL01'!$J$238:$J$451),0),
IF('TL02'!$B$3=K$3,SUMIF('TL02'!$C$10:$C$224,$C280,'TL02'!$J$10:$J$224),0),
IF('TL02'!$B$229=K$3,SUMIF('TL02'!$C$238:$C$451,$C280,'TL02'!$J$238:$J$451),0),
IF('TL03'!$B$3=K$3,SUMIF('TL03'!$C$10:$C$224,$C280,'TL03'!$J$10:$J$224),0),
IF('TL03'!$B$229=K$3,SUMIF('TL03'!$C$238:$C$451,$C280,'TL03'!$J$238:$J$451),0),
IF('TL04'!$B$3=K$3,SUMIF('TL04'!$C$10:$C$224,$C280,'TL04'!$J$10:$J$224),0),
IF('TL04'!$B$229=K$3,SUMIF('TL04'!$C$238:$C$451,$C280,'TL04'!$J$238:$J$451),0),
IF('TL05'!$B$3=K$3,SUMIF('TL05'!$C$10:$C$224,$C280,'TL05'!$J$10:$J$224),0),
IF('TL05'!$B$229=K$3,SUMIF('TL05'!$C$238:$C$451,$C280,'TL05'!$J$238:$J$451),0),
IF('TL06'!$B$3=K$3,SUMIF('TL06'!$C$10:$C$224,$C280,'TL06'!$J$10:$J$224),0),
IF('TL06'!$B$229=K$3,SUMIF('TL06'!$C$238:$C$451,$C280,'TL06'!$J$238:$J$451),0),
IF('TL07'!$B$3=K$3,SUMIF('TL07'!$C$10:$C$224,$C280,'TL07'!$J$10:$J$224),0),
IF('TL07'!$B$229=K$3,SUMIF('TL07'!$C$238:$C$451,$C280,'TL07'!$J$238:$J$451),0),
IF('TL08'!$B$3=K$3,SUMIF('TL08'!$C$10:$C$224,$C280,'TL08'!$J$10:$J$224),0),
IF('TL08'!$B$229=K$3,SUMIF('TL08'!$C$238:$C$451,$C280,'TL08'!$J$238:$J$451),0),
IF('TL09'!$B$3=K$3,SUMIF('TL09'!$C$10:$C$224,$C280,'TL09'!$J$10:$J$224),0),
IF('TL09'!$B$229=K$3,SUMIF('TL09'!$C$238:$C$451,$C280,'TL09'!$J$238:$J$451),0),
IF('TL10'!$B$3=K$3,SUMIF('TL10'!$C$10:$C$224,$C280,'TL10'!$J$10:$J$224),0),
IF('TL10'!$B$229=K$3,SUMIF('TL10'!$C$238:$C$451,$C280,'TL10'!$J$238:$J$451),0),
IF('TL11'!$B$3=K$3,SUMIF('TL11'!$C$10:$C$224,$C280,'TL11'!$J$10:$J$224),0),
IF('TL11'!$B$229=K$3,SUMIF('TL11'!$C$238:$C$451,$C280,'TL11'!$J$238:$J$451),0),
IF('TL12'!$B$3=K$3,SUMIF('TL12'!$C$10:$C$224,$C280,'TL12'!$J$10:$J$224),0),
IF('TL12'!$B$229=K$3,SUMIF('TL12'!$C$238:$C$451,$C280,'TL12'!$J$238:$J$451),0),
IF('TL13'!$B$3=K$3,SUMIF('TL13'!$C$10:$C$224,$C280,'TL13'!$J$10:$J$224),0),
IF('TL13'!$B$229=K$3,SUMIF('TL13'!$C$238:$C$451,$C280,'TL13'!$J$238:$J$451),0),
IF('TL14'!$B$3=K$3,SUMIF('TL14'!$C$10:$C$224,$C280,'TL14'!$J$10:$J$224),0),
IF('TL14'!$B$229=K$3,SUMIF('TL14'!$C$238:$C$451,$C280,'TL14'!$J$238:$J$451),0),
IF('TL15'!$B$3=K$3,SUMIF('TL15'!$C$10:$C$224,$C280,'TL15'!$J$10:$J$224),0),
IF('TL15'!$B$229=K$3,SUMIF('TL15'!$C$238:$C$451,$C280,'TL15'!$J$238:$J$451),0),
IF('TL16'!$B$3=K$3,SUMIF('TL16'!$C$10:$C$224,$C280,'TL16'!$J$10:$J$224),0),
IF('TL16'!$B$229=K$3,SUMIF('TL16'!$C$238:$C$451,$C280,'TL16'!$J$238:$J$451),0),
IF('TL17'!$B$3=K$3,SUMIF('TL17'!$C$10:$C$224,$C280,'TL17'!$J$10:$J$224),0),
IF('TL17'!$B$229=K$3,SUMIF('TL17'!$C$238:$C$451,$C280,'TL17'!$J$238:$J$451),0),
IF('TL18'!$B$3=K$3,SUMIF('TL18'!$C$10:$C$224,$C280,'TL18'!$J$10:$J$224),0),
IF('TL18'!$B$229=K$3,SUMIF('TL18'!$C$238:$C$451,$C280,'TL18'!$J$238:$J$451),0),
IF('TL19'!$B$3=K$3,SUMIF('TL19'!$C$10:$C$224,$C280,'TL19'!$J$10:$J$224),0),
IF('TL19'!$B$229=K$3,SUMIF('TL19'!$C$238:$C$451,$C280,'TL19'!$J$238:$J$451),0)
),0)</f>
        <v>0</v>
      </c>
      <c r="L280" s="9">
        <f>IFERROR(SUM(
IF('TL01'!$B$3=L$3,SUMIF('TL01'!$C$10:$C$224,$C280,'TL01'!$J$10:$J$224),0),
IF('TL01'!$B$229=L$3,SUMIF('TL01'!$C$238:$C$451,$C280,'TL01'!$J$238:$J$451),0),
IF('TL02'!$B$3=L$3,SUMIF('TL02'!$C$10:$C$224,$C280,'TL02'!$J$10:$J$224),0),
IF('TL02'!$B$229=L$3,SUMIF('TL02'!$C$238:$C$451,$C280,'TL02'!$J$238:$J$451),0),
IF('TL03'!$B$3=L$3,SUMIF('TL03'!$C$10:$C$224,$C280,'TL03'!$J$10:$J$224),0),
IF('TL03'!$B$229=L$3,SUMIF('TL03'!$C$238:$C$451,$C280,'TL03'!$J$238:$J$451),0),
IF('TL04'!$B$3=L$3,SUMIF('TL04'!$C$10:$C$224,$C280,'TL04'!$J$10:$J$224),0),
IF('TL04'!$B$229=L$3,SUMIF('TL04'!$C$238:$C$451,$C280,'TL04'!$J$238:$J$451),0),
IF('TL05'!$B$3=L$3,SUMIF('TL05'!$C$10:$C$224,$C280,'TL05'!$J$10:$J$224),0),
IF('TL05'!$B$229=L$3,SUMIF('TL05'!$C$238:$C$451,$C280,'TL05'!$J$238:$J$451),0),
IF('TL06'!$B$3=L$3,SUMIF('TL06'!$C$10:$C$224,$C280,'TL06'!$J$10:$J$224),0),
IF('TL06'!$B$229=L$3,SUMIF('TL06'!$C$238:$C$451,$C280,'TL06'!$J$238:$J$451),0),
IF('TL07'!$B$3=L$3,SUMIF('TL07'!$C$10:$C$224,$C280,'TL07'!$J$10:$J$224),0),
IF('TL07'!$B$229=L$3,SUMIF('TL07'!$C$238:$C$451,$C280,'TL07'!$J$238:$J$451),0),
IF('TL08'!$B$3=L$3,SUMIF('TL08'!$C$10:$C$224,$C280,'TL08'!$J$10:$J$224),0),
IF('TL08'!$B$229=L$3,SUMIF('TL08'!$C$238:$C$451,$C280,'TL08'!$J$238:$J$451),0),
IF('TL09'!$B$3=L$3,SUMIF('TL09'!$C$10:$C$224,$C280,'TL09'!$J$10:$J$224),0),
IF('TL09'!$B$229=L$3,SUMIF('TL09'!$C$238:$C$451,$C280,'TL09'!$J$238:$J$451),0),
IF('TL10'!$B$3=L$3,SUMIF('TL10'!$C$10:$C$224,$C280,'TL10'!$J$10:$J$224),0),
IF('TL10'!$B$229=L$3,SUMIF('TL10'!$C$238:$C$451,$C280,'TL10'!$J$238:$J$451),0),
IF('TL11'!$B$3=L$3,SUMIF('TL11'!$C$10:$C$224,$C280,'TL11'!$J$10:$J$224),0),
IF('TL11'!$B$229=L$3,SUMIF('TL11'!$C$238:$C$451,$C280,'TL11'!$J$238:$J$451),0),
IF('TL12'!$B$3=L$3,SUMIF('TL12'!$C$10:$C$224,$C280,'TL12'!$J$10:$J$224),0),
IF('TL12'!$B$229=L$3,SUMIF('TL12'!$C$238:$C$451,$C280,'TL12'!$J$238:$J$451),0),
IF('TL13'!$B$3=L$3,SUMIF('TL13'!$C$10:$C$224,$C280,'TL13'!$J$10:$J$224),0),
IF('TL13'!$B$229=L$3,SUMIF('TL13'!$C$238:$C$451,$C280,'TL13'!$J$238:$J$451),0),
IF('TL14'!$B$3=L$3,SUMIF('TL14'!$C$10:$C$224,$C280,'TL14'!$J$10:$J$224),0),
IF('TL14'!$B$229=L$3,SUMIF('TL14'!$C$238:$C$451,$C280,'TL14'!$J$238:$J$451),0),
IF('TL15'!$B$3=L$3,SUMIF('TL15'!$C$10:$C$224,$C280,'TL15'!$J$10:$J$224),0),
IF('TL15'!$B$229=L$3,SUMIF('TL15'!$C$238:$C$451,$C280,'TL15'!$J$238:$J$451),0),
IF('TL16'!$B$3=L$3,SUMIF('TL16'!$C$10:$C$224,$C280,'TL16'!$J$10:$J$224),0),
IF('TL16'!$B$229=L$3,SUMIF('TL16'!$C$238:$C$451,$C280,'TL16'!$J$238:$J$451),0),
IF('TL17'!$B$3=L$3,SUMIF('TL17'!$C$10:$C$224,$C280,'TL17'!$J$10:$J$224),0),
IF('TL17'!$B$229=L$3,SUMIF('TL17'!$C$238:$C$451,$C280,'TL17'!$J$238:$J$451),0),
IF('TL18'!$B$3=L$3,SUMIF('TL18'!$C$10:$C$224,$C280,'TL18'!$J$10:$J$224),0),
IF('TL18'!$B$229=L$3,SUMIF('TL18'!$C$238:$C$451,$C280,'TL18'!$J$238:$J$451),0),
IF('TL19'!$B$3=L$3,SUMIF('TL19'!$C$10:$C$224,$C280,'TL19'!$J$10:$J$224),0),
IF('TL19'!$B$229=L$3,SUMIF('TL19'!$C$238:$C$451,$C280,'TL19'!$J$238:$J$451),0)
),0)</f>
        <v>0</v>
      </c>
      <c r="M280" s="9">
        <f>IFERROR(SUM(
IF('TL01'!$B$3=M$3,SUMIF('TL01'!$C$10:$C$224,$C280,'TL01'!$J$10:$J$224),0),
IF('TL01'!$B$229=M$3,SUMIF('TL01'!$C$238:$C$451,$C280,'TL01'!$J$238:$J$451),0),
IF('TL02'!$B$3=M$3,SUMIF('TL02'!$C$10:$C$224,$C280,'TL02'!$J$10:$J$224),0),
IF('TL02'!$B$229=M$3,SUMIF('TL02'!$C$238:$C$451,$C280,'TL02'!$J$238:$J$451),0),
IF('TL03'!$B$3=M$3,SUMIF('TL03'!$C$10:$C$224,$C280,'TL03'!$J$10:$J$224),0),
IF('TL03'!$B$229=M$3,SUMIF('TL03'!$C$238:$C$451,$C280,'TL03'!$J$238:$J$451),0),
IF('TL04'!$B$3=M$3,SUMIF('TL04'!$C$10:$C$224,$C280,'TL04'!$J$10:$J$224),0),
IF('TL04'!$B$229=M$3,SUMIF('TL04'!$C$238:$C$451,$C280,'TL04'!$J$238:$J$451),0),
IF('TL05'!$B$3=M$3,SUMIF('TL05'!$C$10:$C$224,$C280,'TL05'!$J$10:$J$224),0),
IF('TL05'!$B$229=M$3,SUMIF('TL05'!$C$238:$C$451,$C280,'TL05'!$J$238:$J$451),0),
IF('TL06'!$B$3=M$3,SUMIF('TL06'!$C$10:$C$224,$C280,'TL06'!$J$10:$J$224),0),
IF('TL06'!$B$229=M$3,SUMIF('TL06'!$C$238:$C$451,$C280,'TL06'!$J$238:$J$451),0),
IF('TL07'!$B$3=M$3,SUMIF('TL07'!$C$10:$C$224,$C280,'TL07'!$J$10:$J$224),0),
IF('TL07'!$B$229=M$3,SUMIF('TL07'!$C$238:$C$451,$C280,'TL07'!$J$238:$J$451),0),
IF('TL08'!$B$3=M$3,SUMIF('TL08'!$C$10:$C$224,$C280,'TL08'!$J$10:$J$224),0),
IF('TL08'!$B$229=M$3,SUMIF('TL08'!$C$238:$C$451,$C280,'TL08'!$J$238:$J$451),0),
IF('TL09'!$B$3=M$3,SUMIF('TL09'!$C$10:$C$224,$C280,'TL09'!$J$10:$J$224),0),
IF('TL09'!$B$229=M$3,SUMIF('TL09'!$C$238:$C$451,$C280,'TL09'!$J$238:$J$451),0),
IF('TL10'!$B$3=M$3,SUMIF('TL10'!$C$10:$C$224,$C280,'TL10'!$J$10:$J$224),0),
IF('TL10'!$B$229=M$3,SUMIF('TL10'!$C$238:$C$451,$C280,'TL10'!$J$238:$J$451),0),
IF('TL11'!$B$3=M$3,SUMIF('TL11'!$C$10:$C$224,$C280,'TL11'!$J$10:$J$224),0),
IF('TL11'!$B$229=M$3,SUMIF('TL11'!$C$238:$C$451,$C280,'TL11'!$J$238:$J$451),0),
IF('TL12'!$B$3=M$3,SUMIF('TL12'!$C$10:$C$224,$C280,'TL12'!$J$10:$J$224),0),
IF('TL12'!$B$229=M$3,SUMIF('TL12'!$C$238:$C$451,$C280,'TL12'!$J$238:$J$451),0),
IF('TL13'!$B$3=M$3,SUMIF('TL13'!$C$10:$C$224,$C280,'TL13'!$J$10:$J$224),0),
IF('TL13'!$B$229=M$3,SUMIF('TL13'!$C$238:$C$451,$C280,'TL13'!$J$238:$J$451),0),
IF('TL14'!$B$3=M$3,SUMIF('TL14'!$C$10:$C$224,$C280,'TL14'!$J$10:$J$224),0),
IF('TL14'!$B$229=M$3,SUMIF('TL14'!$C$238:$C$451,$C280,'TL14'!$J$238:$J$451),0),
IF('TL15'!$B$3=M$3,SUMIF('TL15'!$C$10:$C$224,$C280,'TL15'!$J$10:$J$224),0),
IF('TL15'!$B$229=M$3,SUMIF('TL15'!$C$238:$C$451,$C280,'TL15'!$J$238:$J$451),0),
IF('TL16'!$B$3=M$3,SUMIF('TL16'!$C$10:$C$224,$C280,'TL16'!$J$10:$J$224),0),
IF('TL16'!$B$229=M$3,SUMIF('TL16'!$C$238:$C$451,$C280,'TL16'!$J$238:$J$451),0),
IF('TL17'!$B$3=M$3,SUMIF('TL17'!$C$10:$C$224,$C280,'TL17'!$J$10:$J$224),0),
IF('TL17'!$B$229=M$3,SUMIF('TL17'!$C$238:$C$451,$C280,'TL17'!$J$238:$J$451),0),
IF('TL18'!$B$3=M$3,SUMIF('TL18'!$C$10:$C$224,$C280,'TL18'!$J$10:$J$224),0),
IF('TL18'!$B$229=M$3,SUMIF('TL18'!$C$238:$C$451,$C280,'TL18'!$J$238:$J$451),0),
IF('TL19'!$B$3=M$3,SUMIF('TL19'!$C$10:$C$224,$C280,'TL19'!$J$10:$J$224),0),
IF('TL19'!$B$229=M$3,SUMIF('TL19'!$C$238:$C$451,$C280,'TL19'!$J$238:$J$451),0)
),0)</f>
        <v>0</v>
      </c>
      <c r="N280" s="9">
        <f>IFERROR(SUM(
IF('TL01'!$B$3=N$3,SUMIF('TL01'!$C$10:$C$224,$C280,'TL01'!$J$10:$J$224),0),
IF('TL01'!$B$229=N$3,SUMIF('TL01'!$C$238:$C$451,$C280,'TL01'!$J$238:$J$451),0),
IF('TL02'!$B$3=N$3,SUMIF('TL02'!$C$10:$C$224,$C280,'TL02'!$J$10:$J$224),0),
IF('TL02'!$B$229=N$3,SUMIF('TL02'!$C$238:$C$451,$C280,'TL02'!$J$238:$J$451),0),
IF('TL03'!$B$3=N$3,SUMIF('TL03'!$C$10:$C$224,$C280,'TL03'!$J$10:$J$224),0),
IF('TL03'!$B$229=N$3,SUMIF('TL03'!$C$238:$C$451,$C280,'TL03'!$J$238:$J$451),0),
IF('TL04'!$B$3=N$3,SUMIF('TL04'!$C$10:$C$224,$C280,'TL04'!$J$10:$J$224),0),
IF('TL04'!$B$229=N$3,SUMIF('TL04'!$C$238:$C$451,$C280,'TL04'!$J$238:$J$451),0),
IF('TL05'!$B$3=N$3,SUMIF('TL05'!$C$10:$C$224,$C280,'TL05'!$J$10:$J$224),0),
IF('TL05'!$B$229=N$3,SUMIF('TL05'!$C$238:$C$451,$C280,'TL05'!$J$238:$J$451),0),
IF('TL06'!$B$3=N$3,SUMIF('TL06'!$C$10:$C$224,$C280,'TL06'!$J$10:$J$224),0),
IF('TL06'!$B$229=N$3,SUMIF('TL06'!$C$238:$C$451,$C280,'TL06'!$J$238:$J$451),0),
IF('TL07'!$B$3=N$3,SUMIF('TL07'!$C$10:$C$224,$C280,'TL07'!$J$10:$J$224),0),
IF('TL07'!$B$229=N$3,SUMIF('TL07'!$C$238:$C$451,$C280,'TL07'!$J$238:$J$451),0),
IF('TL08'!$B$3=N$3,SUMIF('TL08'!$C$10:$C$224,$C280,'TL08'!$J$10:$J$224),0),
IF('TL08'!$B$229=N$3,SUMIF('TL08'!$C$238:$C$451,$C280,'TL08'!$J$238:$J$451),0),
IF('TL09'!$B$3=N$3,SUMIF('TL09'!$C$10:$C$224,$C280,'TL09'!$J$10:$J$224),0),
IF('TL09'!$B$229=N$3,SUMIF('TL09'!$C$238:$C$451,$C280,'TL09'!$J$238:$J$451),0),
IF('TL10'!$B$3=N$3,SUMIF('TL10'!$C$10:$C$224,$C280,'TL10'!$J$10:$J$224),0),
IF('TL10'!$B$229=N$3,SUMIF('TL10'!$C$238:$C$451,$C280,'TL10'!$J$238:$J$451),0),
IF('TL11'!$B$3=N$3,SUMIF('TL11'!$C$10:$C$224,$C280,'TL11'!$J$10:$J$224),0),
IF('TL11'!$B$229=N$3,SUMIF('TL11'!$C$238:$C$451,$C280,'TL11'!$J$238:$J$451),0),
IF('TL12'!$B$3=N$3,SUMIF('TL12'!$C$10:$C$224,$C280,'TL12'!$J$10:$J$224),0),
IF('TL12'!$B$229=N$3,SUMIF('TL12'!$C$238:$C$451,$C280,'TL12'!$J$238:$J$451),0),
IF('TL13'!$B$3=N$3,SUMIF('TL13'!$C$10:$C$224,$C280,'TL13'!$J$10:$J$224),0),
IF('TL13'!$B$229=N$3,SUMIF('TL13'!$C$238:$C$451,$C280,'TL13'!$J$238:$J$451),0),
IF('TL14'!$B$3=N$3,SUMIF('TL14'!$C$10:$C$224,$C280,'TL14'!$J$10:$J$224),0),
IF('TL14'!$B$229=N$3,SUMIF('TL14'!$C$238:$C$451,$C280,'TL14'!$J$238:$J$451),0),
IF('TL15'!$B$3=N$3,SUMIF('TL15'!$C$10:$C$224,$C280,'TL15'!$J$10:$J$224),0),
IF('TL15'!$B$229=N$3,SUMIF('TL15'!$C$238:$C$451,$C280,'TL15'!$J$238:$J$451),0),
IF('TL16'!$B$3=N$3,SUMIF('TL16'!$C$10:$C$224,$C280,'TL16'!$J$10:$J$224),0),
IF('TL16'!$B$229=N$3,SUMIF('TL16'!$C$238:$C$451,$C280,'TL16'!$J$238:$J$451),0),
IF('TL17'!$B$3=N$3,SUMIF('TL17'!$C$10:$C$224,$C280,'TL17'!$J$10:$J$224),0),
IF('TL17'!$B$229=N$3,SUMIF('TL17'!$C$238:$C$451,$C280,'TL17'!$J$238:$J$451),0),
IF('TL18'!$B$3=N$3,SUMIF('TL18'!$C$10:$C$224,$C280,'TL18'!$J$10:$J$224),0),
IF('TL18'!$B$229=N$3,SUMIF('TL18'!$C$238:$C$451,$C280,'TL18'!$J$238:$J$451),0),
IF('TL19'!$B$3=N$3,SUMIF('TL19'!$C$10:$C$224,$C280,'TL19'!$J$10:$J$224),0),
IF('TL19'!$B$229=N$3,SUMIF('TL19'!$C$238:$C$451,$C280,'TL19'!$J$238:$J$451),0)
),0)</f>
        <v>0</v>
      </c>
      <c r="O280" s="9">
        <f>IFERROR(SUM(
IF('TL01'!$B$3=O$3,SUMIF('TL01'!$C$10:$C$224,$C280,'TL01'!$J$10:$J$224),0),
IF('TL01'!$B$229=O$3,SUMIF('TL01'!$C$238:$C$451,$C280,'TL01'!$J$238:$J$451),0),
IF('TL02'!$B$3=O$3,SUMIF('TL02'!$C$10:$C$224,$C280,'TL02'!$J$10:$J$224),0),
IF('TL02'!$B$229=O$3,SUMIF('TL02'!$C$238:$C$451,$C280,'TL02'!$J$238:$J$451),0),
IF('TL03'!$B$3=O$3,SUMIF('TL03'!$C$10:$C$224,$C280,'TL03'!$J$10:$J$224),0),
IF('TL03'!$B$229=O$3,SUMIF('TL03'!$C$238:$C$451,$C280,'TL03'!$J$238:$J$451),0),
IF('TL04'!$B$3=O$3,SUMIF('TL04'!$C$10:$C$224,$C280,'TL04'!$J$10:$J$224),0),
IF('TL04'!$B$229=O$3,SUMIF('TL04'!$C$238:$C$451,$C280,'TL04'!$J$238:$J$451),0),
IF('TL05'!$B$3=O$3,SUMIF('TL05'!$C$10:$C$224,$C280,'TL05'!$J$10:$J$224),0),
IF('TL05'!$B$229=O$3,SUMIF('TL05'!$C$238:$C$451,$C280,'TL05'!$J$238:$J$451),0),
IF('TL06'!$B$3=O$3,SUMIF('TL06'!$C$10:$C$224,$C280,'TL06'!$J$10:$J$224),0),
IF('TL06'!$B$229=O$3,SUMIF('TL06'!$C$238:$C$451,$C280,'TL06'!$J$238:$J$451),0),
IF('TL07'!$B$3=O$3,SUMIF('TL07'!$C$10:$C$224,$C280,'TL07'!$J$10:$J$224),0),
IF('TL07'!$B$229=O$3,SUMIF('TL07'!$C$238:$C$451,$C280,'TL07'!$J$238:$J$451),0),
IF('TL08'!$B$3=O$3,SUMIF('TL08'!$C$10:$C$224,$C280,'TL08'!$J$10:$J$224),0),
IF('TL08'!$B$229=O$3,SUMIF('TL08'!$C$238:$C$451,$C280,'TL08'!$J$238:$J$451),0),
IF('TL09'!$B$3=O$3,SUMIF('TL09'!$C$10:$C$224,$C280,'TL09'!$J$10:$J$224),0),
IF('TL09'!$B$229=O$3,SUMIF('TL09'!$C$238:$C$451,$C280,'TL09'!$J$238:$J$451),0),
IF('TL10'!$B$3=O$3,SUMIF('TL10'!$C$10:$C$224,$C280,'TL10'!$J$10:$J$224),0),
IF('TL10'!$B$229=O$3,SUMIF('TL10'!$C$238:$C$451,$C280,'TL10'!$J$238:$J$451),0),
IF('TL11'!$B$3=O$3,SUMIF('TL11'!$C$10:$C$224,$C280,'TL11'!$J$10:$J$224),0),
IF('TL11'!$B$229=O$3,SUMIF('TL11'!$C$238:$C$451,$C280,'TL11'!$J$238:$J$451),0),
IF('TL12'!$B$3=O$3,SUMIF('TL12'!$C$10:$C$224,$C280,'TL12'!$J$10:$J$224),0),
IF('TL12'!$B$229=O$3,SUMIF('TL12'!$C$238:$C$451,$C280,'TL12'!$J$238:$J$451),0),
IF('TL13'!$B$3=O$3,SUMIF('TL13'!$C$10:$C$224,$C280,'TL13'!$J$10:$J$224),0),
IF('TL13'!$B$229=O$3,SUMIF('TL13'!$C$238:$C$451,$C280,'TL13'!$J$238:$J$451),0),
IF('TL14'!$B$3=O$3,SUMIF('TL14'!$C$10:$C$224,$C280,'TL14'!$J$10:$J$224),0),
IF('TL14'!$B$229=O$3,SUMIF('TL14'!$C$238:$C$451,$C280,'TL14'!$J$238:$J$451),0),
IF('TL15'!$B$3=O$3,SUMIF('TL15'!$C$10:$C$224,$C280,'TL15'!$J$10:$J$224),0),
IF('TL15'!$B$229=O$3,SUMIF('TL15'!$C$238:$C$451,$C280,'TL15'!$J$238:$J$451),0),
IF('TL16'!$B$3=O$3,SUMIF('TL16'!$C$10:$C$224,$C280,'TL16'!$J$10:$J$224),0),
IF('TL16'!$B$229=O$3,SUMIF('TL16'!$C$238:$C$451,$C280,'TL16'!$J$238:$J$451),0),
IF('TL17'!$B$3=O$3,SUMIF('TL17'!$C$10:$C$224,$C280,'TL17'!$J$10:$J$224),0),
IF('TL17'!$B$229=O$3,SUMIF('TL17'!$C$238:$C$451,$C280,'TL17'!$J$238:$J$451),0),
IF('TL18'!$B$3=O$3,SUMIF('TL18'!$C$10:$C$224,$C280,'TL18'!$J$10:$J$224),0),
IF('TL18'!$B$229=O$3,SUMIF('TL18'!$C$238:$C$451,$C280,'TL18'!$J$238:$J$451),0),
IF('TL19'!$B$3=O$3,SUMIF('TL19'!$C$10:$C$224,$C280,'TL19'!$J$10:$J$224),0),
IF('TL19'!$B$229=O$3,SUMIF('TL19'!$C$238:$C$451,$C280,'TL19'!$J$238:$J$451),0)
),0)</f>
        <v>0</v>
      </c>
      <c r="P280" s="9">
        <f>IFERROR(SUM(
IF('TL01'!$B$3=P$3,SUMIF('TL01'!$C$10:$C$224,$C280,'TL01'!$J$10:$J$224),0),
IF('TL01'!$B$229=P$3,SUMIF('TL01'!$C$238:$C$451,$C280,'TL01'!$J$238:$J$451),0),
IF('TL02'!$B$3=P$3,SUMIF('TL02'!$C$10:$C$224,$C280,'TL02'!$J$10:$J$224),0),
IF('TL02'!$B$229=P$3,SUMIF('TL02'!$C$238:$C$451,$C280,'TL02'!$J$238:$J$451),0),
IF('TL03'!$B$3=P$3,SUMIF('TL03'!$C$10:$C$224,$C280,'TL03'!$J$10:$J$224),0),
IF('TL03'!$B$229=P$3,SUMIF('TL03'!$C$238:$C$451,$C280,'TL03'!$J$238:$J$451),0),
IF('TL04'!$B$3=P$3,SUMIF('TL04'!$C$10:$C$224,$C280,'TL04'!$J$10:$J$224),0),
IF('TL04'!$B$229=P$3,SUMIF('TL04'!$C$238:$C$451,$C280,'TL04'!$J$238:$J$451),0),
IF('TL05'!$B$3=P$3,SUMIF('TL05'!$C$10:$C$224,$C280,'TL05'!$J$10:$J$224),0),
IF('TL05'!$B$229=P$3,SUMIF('TL05'!$C$238:$C$451,$C280,'TL05'!$J$238:$J$451),0),
IF('TL06'!$B$3=P$3,SUMIF('TL06'!$C$10:$C$224,$C280,'TL06'!$J$10:$J$224),0),
IF('TL06'!$B$229=P$3,SUMIF('TL06'!$C$238:$C$451,$C280,'TL06'!$J$238:$J$451),0),
IF('TL07'!$B$3=P$3,SUMIF('TL07'!$C$10:$C$224,$C280,'TL07'!$J$10:$J$224),0),
IF('TL07'!$B$229=P$3,SUMIF('TL07'!$C$238:$C$451,$C280,'TL07'!$J$238:$J$451),0),
IF('TL08'!$B$3=P$3,SUMIF('TL08'!$C$10:$C$224,$C280,'TL08'!$J$10:$J$224),0),
IF('TL08'!$B$229=P$3,SUMIF('TL08'!$C$238:$C$451,$C280,'TL08'!$J$238:$J$451),0),
IF('TL09'!$B$3=P$3,SUMIF('TL09'!$C$10:$C$224,$C280,'TL09'!$J$10:$J$224),0),
IF('TL09'!$B$229=P$3,SUMIF('TL09'!$C$238:$C$451,$C280,'TL09'!$J$238:$J$451),0),
IF('TL10'!$B$3=P$3,SUMIF('TL10'!$C$10:$C$224,$C280,'TL10'!$J$10:$J$224),0),
IF('TL10'!$B$229=P$3,SUMIF('TL10'!$C$238:$C$451,$C280,'TL10'!$J$238:$J$451),0),
IF('TL11'!$B$3=P$3,SUMIF('TL11'!$C$10:$C$224,$C280,'TL11'!$J$10:$J$224),0),
IF('TL11'!$B$229=P$3,SUMIF('TL11'!$C$238:$C$451,$C280,'TL11'!$J$238:$J$451),0),
IF('TL12'!$B$3=P$3,SUMIF('TL12'!$C$10:$C$224,$C280,'TL12'!$J$10:$J$224),0),
IF('TL12'!$B$229=P$3,SUMIF('TL12'!$C$238:$C$451,$C280,'TL12'!$J$238:$J$451),0),
IF('TL13'!$B$3=P$3,SUMIF('TL13'!$C$10:$C$224,$C280,'TL13'!$J$10:$J$224),0),
IF('TL13'!$B$229=P$3,SUMIF('TL13'!$C$238:$C$451,$C280,'TL13'!$J$238:$J$451),0),
IF('TL14'!$B$3=P$3,SUMIF('TL14'!$C$10:$C$224,$C280,'TL14'!$J$10:$J$224),0),
IF('TL14'!$B$229=P$3,SUMIF('TL14'!$C$238:$C$451,$C280,'TL14'!$J$238:$J$451),0),
IF('TL15'!$B$3=P$3,SUMIF('TL15'!$C$10:$C$224,$C280,'TL15'!$J$10:$J$224),0),
IF('TL15'!$B$229=P$3,SUMIF('TL15'!$C$238:$C$451,$C280,'TL15'!$J$238:$J$451),0),
IF('TL16'!$B$3=P$3,SUMIF('TL16'!$C$10:$C$224,$C280,'TL16'!$J$10:$J$224),0),
IF('TL16'!$B$229=P$3,SUMIF('TL16'!$C$238:$C$451,$C280,'TL16'!$J$238:$J$451),0),
IF('TL17'!$B$3=P$3,SUMIF('TL17'!$C$10:$C$224,$C280,'TL17'!$J$10:$J$224),0),
IF('TL17'!$B$229=P$3,SUMIF('TL17'!$C$238:$C$451,$C280,'TL17'!$J$238:$J$451),0),
IF('TL18'!$B$3=P$3,SUMIF('TL18'!$C$10:$C$224,$C280,'TL18'!$J$10:$J$224),0),
IF('TL18'!$B$229=P$3,SUMIF('TL18'!$C$238:$C$451,$C280,'TL18'!$J$238:$J$451),0),
IF('TL19'!$B$3=P$3,SUMIF('TL19'!$C$10:$C$224,$C280,'TL19'!$J$10:$J$224),0),
IF('TL19'!$B$229=P$3,SUMIF('TL19'!$C$238:$C$451,$C280,'TL19'!$J$238:$J$451),0)
),0)</f>
        <v>0</v>
      </c>
      <c r="Q280" s="9">
        <f>IFERROR(SUM(
IF('TL01'!$B$3=Q$3,SUMIF('TL01'!$C$10:$C$224,$C280,'TL01'!$J$10:$J$224),0),
IF('TL01'!$B$229=Q$3,SUMIF('TL01'!$C$238:$C$451,$C280,'TL01'!$J$238:$J$451),0),
IF('TL02'!$B$3=Q$3,SUMIF('TL02'!$C$10:$C$224,$C280,'TL02'!$J$10:$J$224),0),
IF('TL02'!$B$229=Q$3,SUMIF('TL02'!$C$238:$C$451,$C280,'TL02'!$J$238:$J$451),0),
IF('TL03'!$B$3=Q$3,SUMIF('TL03'!$C$10:$C$224,$C280,'TL03'!$J$10:$J$224),0),
IF('TL03'!$B$229=Q$3,SUMIF('TL03'!$C$238:$C$451,$C280,'TL03'!$J$238:$J$451),0),
IF('TL04'!$B$3=Q$3,SUMIF('TL04'!$C$10:$C$224,$C280,'TL04'!$J$10:$J$224),0),
IF('TL04'!$B$229=Q$3,SUMIF('TL04'!$C$238:$C$451,$C280,'TL04'!$J$238:$J$451),0),
IF('TL05'!$B$3=Q$3,SUMIF('TL05'!$C$10:$C$224,$C280,'TL05'!$J$10:$J$224),0),
IF('TL05'!$B$229=Q$3,SUMIF('TL05'!$C$238:$C$451,$C280,'TL05'!$J$238:$J$451),0),
IF('TL06'!$B$3=Q$3,SUMIF('TL06'!$C$10:$C$224,$C280,'TL06'!$J$10:$J$224),0),
IF('TL06'!$B$229=Q$3,SUMIF('TL06'!$C$238:$C$451,$C280,'TL06'!$J$238:$J$451),0),
IF('TL07'!$B$3=Q$3,SUMIF('TL07'!$C$10:$C$224,$C280,'TL07'!$J$10:$J$224),0),
IF('TL07'!$B$229=Q$3,SUMIF('TL07'!$C$238:$C$451,$C280,'TL07'!$J$238:$J$451),0),
IF('TL08'!$B$3=Q$3,SUMIF('TL08'!$C$10:$C$224,$C280,'TL08'!$J$10:$J$224),0),
IF('TL08'!$B$229=Q$3,SUMIF('TL08'!$C$238:$C$451,$C280,'TL08'!$J$238:$J$451),0),
IF('TL09'!$B$3=Q$3,SUMIF('TL09'!$C$10:$C$224,$C280,'TL09'!$J$10:$J$224),0),
IF('TL09'!$B$229=Q$3,SUMIF('TL09'!$C$238:$C$451,$C280,'TL09'!$J$238:$J$451),0),
IF('TL10'!$B$3=Q$3,SUMIF('TL10'!$C$10:$C$224,$C280,'TL10'!$J$10:$J$224),0),
IF('TL10'!$B$229=Q$3,SUMIF('TL10'!$C$238:$C$451,$C280,'TL10'!$J$238:$J$451),0),
IF('TL11'!$B$3=Q$3,SUMIF('TL11'!$C$10:$C$224,$C280,'TL11'!$J$10:$J$224),0),
IF('TL11'!$B$229=Q$3,SUMIF('TL11'!$C$238:$C$451,$C280,'TL11'!$J$238:$J$451),0),
IF('TL12'!$B$3=Q$3,SUMIF('TL12'!$C$10:$C$224,$C280,'TL12'!$J$10:$J$224),0),
IF('TL12'!$B$229=Q$3,SUMIF('TL12'!$C$238:$C$451,$C280,'TL12'!$J$238:$J$451),0),
IF('TL13'!$B$3=Q$3,SUMIF('TL13'!$C$10:$C$224,$C280,'TL13'!$J$10:$J$224),0),
IF('TL13'!$B$229=Q$3,SUMIF('TL13'!$C$238:$C$451,$C280,'TL13'!$J$238:$J$451),0),
IF('TL14'!$B$3=Q$3,SUMIF('TL14'!$C$10:$C$224,$C280,'TL14'!$J$10:$J$224),0),
IF('TL14'!$B$229=Q$3,SUMIF('TL14'!$C$238:$C$451,$C280,'TL14'!$J$238:$J$451),0),
IF('TL15'!$B$3=Q$3,SUMIF('TL15'!$C$10:$C$224,$C280,'TL15'!$J$10:$J$224),0),
IF('TL15'!$B$229=Q$3,SUMIF('TL15'!$C$238:$C$451,$C280,'TL15'!$J$238:$J$451),0),
IF('TL16'!$B$3=Q$3,SUMIF('TL16'!$C$10:$C$224,$C280,'TL16'!$J$10:$J$224),0),
IF('TL16'!$B$229=Q$3,SUMIF('TL16'!$C$238:$C$451,$C280,'TL16'!$J$238:$J$451),0),
IF('TL17'!$B$3=Q$3,SUMIF('TL17'!$C$10:$C$224,$C280,'TL17'!$J$10:$J$224),0),
IF('TL17'!$B$229=Q$3,SUMIF('TL17'!$C$238:$C$451,$C280,'TL17'!$J$238:$J$451),0),
IF('TL18'!$B$3=Q$3,SUMIF('TL18'!$C$10:$C$224,$C280,'TL18'!$J$10:$J$224),0),
IF('TL18'!$B$229=Q$3,SUMIF('TL18'!$C$238:$C$451,$C280,'TL18'!$J$238:$J$451),0),
IF('TL19'!$B$3=Q$3,SUMIF('TL19'!$C$10:$C$224,$C280,'TL19'!$J$10:$J$224),0),
IF('TL19'!$B$229=Q$3,SUMIF('TL19'!$C$238:$C$451,$C280,'TL19'!$J$238:$J$451),0)
),0)</f>
        <v>0</v>
      </c>
      <c r="R280" s="9">
        <f>IFERROR(
SUM(
SUMIF('TL01'!C:C,C280,'TL01'!J:J),
SUMIF('TL02'!C:C,C280,'TL02'!J:J),
SUMIF('TL03'!C:C,C280,'TL03'!J:J),
SUMIF('TL04'!C:C,C280,'TL04'!J:J),
SUMIF('TL05'!C:C,C280,'TL05'!J:J),
SUMIF('TL06'!C:C,C280,'TL06'!J:J),
SUMIF('TL07'!C:C,C280,'TL07'!J:J),
SUMIF('TL08'!C:C,C280,'TL08'!J:J),
SUMIF('TL09'!C:C,C280,'TL09'!J:J),
SUMIF('TL10'!C:C,C280,'TL10'!J:J),
SUMIF('TL11'!C:C,C280,'TL11'!J:J),
SUMIF('TL12'!C:C,C280,'TL12'!J:J),
SUMIF('TL13'!C:C,C280,'TL13'!J:J),
SUMIF('TL14'!C:C,C280,'TL14'!J:J),
SUMIF('TL15'!C:C,C280,'TL15'!J:J),
SUMIF('TL16'!C:C,C280,'TL16'!J:J),
SUMIF('TL17'!C:C,C280,'TL17'!J:J),
SUMIF('TL18'!C:C,C280,'TL18'!J:J),SUMIF('TL19'!C:C,C280,'TL19'!J:J))
,0)</f>
        <v>0</v>
      </c>
      <c r="S280" s="17">
        <f>IFERROR(__xludf.DUMMYFUNCTION("IFERROR(VLOOKUP(C280,
IMPORTRANGE(""1wULbzX32WdYsx-lj2U3uUNBBe2INVIRDtcK0d-Dvl90"",
""26-27!C:G""),
5,
FALSE),
"""")"),15.0)</f>
        <v>15</v>
      </c>
      <c r="T280" s="9"/>
      <c r="U280" s="92">
        <f t="shared" si="2"/>
        <v>0</v>
      </c>
      <c r="V280" s="93">
        <f t="shared" si="3"/>
        <v>0</v>
      </c>
    </row>
    <row r="281" ht="15.75" hidden="1" customHeight="1">
      <c r="A281" s="4" t="s">
        <v>961</v>
      </c>
      <c r="B281" s="125" t="s">
        <v>9</v>
      </c>
      <c r="C281" s="4" t="s">
        <v>986</v>
      </c>
      <c r="D281" s="4" t="s">
        <v>987</v>
      </c>
      <c r="E281" s="9"/>
      <c r="F281" s="4" t="s">
        <v>343</v>
      </c>
      <c r="G281" s="9"/>
      <c r="H281" s="9">
        <v>0.05</v>
      </c>
      <c r="I281" s="1"/>
      <c r="J281" s="9">
        <f>IFERROR(SUM(
IF('TL01'!$B$3=J$3,SUMIF('TL01'!$C$10:$C$224,$C281,'TL01'!$J$10:$J$224),0),
IF('TL01'!$B$229=J$3,SUMIF('TL01'!$C$238:$C$451,$C281,'TL01'!$J$238:$J$451),0),
IF('TL02'!$B$3=J$3,SUMIF('TL02'!$C$10:$C$224,$C281,'TL02'!$J$10:$J$224),0),
IF('TL02'!$B$229=J$3,SUMIF('TL02'!$C$238:$C$451,$C281,'TL02'!$J$238:$J$451),0),
IF('TL03'!$B$3=J$3,SUMIF('TL03'!$C$10:$C$224,$C281,'TL03'!$J$10:$J$224),0),
IF('TL03'!$B$229=J$3,SUMIF('TL03'!$C$238:$C$451,$C281,'TL03'!$J$238:$J$451),0),
IF('TL04'!$B$3=J$3,SUMIF('TL04'!$C$10:$C$224,$C281,'TL04'!$J$10:$J$224),0),
IF('TL04'!$B$229=J$3,SUMIF('TL04'!$C$238:$C$451,$C281,'TL04'!$J$238:$J$451),0),
IF('TL05'!$B$3=J$3,SUMIF('TL05'!$C$10:$C$224,$C281,'TL05'!$J$10:$J$224),0),
IF('TL05'!$B$229=J$3,SUMIF('TL05'!$C$238:$C$451,$C281,'TL05'!$J$238:$J$451),0),
IF('TL06'!$B$3=J$3,SUMIF('TL06'!$C$10:$C$224,$C281,'TL06'!$J$10:$J$224),0),
IF('TL06'!$B$229=J$3,SUMIF('TL06'!$C$238:$C$451,$C281,'TL06'!$J$238:$J$451),0),
IF('TL07'!$B$3=J$3,SUMIF('TL07'!$C$10:$C$224,$C281,'TL07'!$J$10:$J$224),0),
IF('TL07'!$B$229=J$3,SUMIF('TL07'!$C$238:$C$451,$C281,'TL07'!$J$238:$J$451),0),
IF('TL08'!$B$3=J$3,SUMIF('TL08'!$C$10:$C$224,$C281,'TL08'!$J$10:$J$224),0),
IF('TL08'!$B$229=J$3,SUMIF('TL08'!$C$238:$C$451,$C281,'TL08'!$J$238:$J$451),0),
IF('TL09'!$B$3=J$3,SUMIF('TL09'!$C$10:$C$224,$C281,'TL09'!$J$10:$J$224),0),
IF('TL09'!$B$229=J$3,SUMIF('TL09'!$C$238:$C$451,$C281,'TL09'!$J$238:$J$451),0),
IF('TL10'!$B$3=J$3,SUMIF('TL10'!$C$10:$C$224,$C281,'TL10'!$J$10:$J$224),0),
IF('TL10'!$B$229=J$3,SUMIF('TL10'!$C$238:$C$451,$C281,'TL10'!$J$238:$J$451),0),
IF('TL11'!$B$3=J$3,SUMIF('TL11'!$C$10:$C$224,$C281,'TL11'!$J$10:$J$224),0),
IF('TL11'!$B$229=J$3,SUMIF('TL11'!$C$238:$C$451,$C281,'TL11'!$J$238:$J$451),0),
IF('TL12'!$B$3=J$3,SUMIF('TL12'!$C$10:$C$224,$C281,'TL12'!$J$10:$J$224),0),
IF('TL12'!$B$229=J$3,SUMIF('TL12'!$C$238:$C$451,$C281,'TL12'!$J$238:$J$451),0),
IF('TL13'!$B$3=J$3,SUMIF('TL13'!$C$10:$C$224,$C281,'TL13'!$J$10:$J$224),0),
IF('TL13'!$B$229=J$3,SUMIF('TL13'!$C$238:$C$451,$C281,'TL13'!$J$238:$J$451),0),
IF('TL14'!$B$3=J$3,SUMIF('TL14'!$C$10:$C$224,$C281,'TL14'!$J$10:$J$224),0),
IF('TL14'!$B$229=J$3,SUMIF('TL14'!$C$238:$C$451,$C281,'TL14'!$J$238:$J$451),0),
IF('TL15'!$B$3=J$3,SUMIF('TL15'!$C$10:$C$224,$C281,'TL15'!$J$10:$J$224),0),
IF('TL15'!$B$229=J$3,SUMIF('TL15'!$C$238:$C$451,$C281,'TL15'!$J$238:$J$451),0),
IF('TL16'!$B$3=J$3,SUMIF('TL16'!$C$10:$C$224,$C281,'TL16'!$J$10:$J$224),0),
IF('TL16'!$B$229=J$3,SUMIF('TL16'!$C$238:$C$451,$C281,'TL16'!$J$238:$J$451),0),
IF('TL17'!$B$3=J$3,SUMIF('TL17'!$C$10:$C$224,$C281,'TL17'!$J$10:$J$224),0),
IF('TL17'!$B$229=J$3,SUMIF('TL17'!$C$238:$C$451,$C281,'TL17'!$J$238:$J$451),0),
IF('TL18'!$B$3=J$3,SUMIF('TL18'!$C$10:$C$224,$C281,'TL18'!$J$10:$J$224),0),
IF('TL18'!$B$229=J$3,SUMIF('TL18'!$C$238:$C$451,$C281,'TL18'!$J$238:$J$451),0),
IF('TL19'!$B$3=J$3,SUMIF('TL19'!$C$10:$C$224,$C281,'TL19'!$J$10:$J$224),0),
IF('TL19'!$B$229=J$3,SUMIF('TL19'!$C$238:$C$451,$C281,'TL19'!$J$238:$J$451),0)
),0)</f>
        <v>0</v>
      </c>
      <c r="K281" s="9">
        <f>IFERROR(SUM(
IF('TL01'!$B$3=K$3,SUMIF('TL01'!$C$10:$C$224,$C281,'TL01'!$J$10:$J$224),0),
IF('TL01'!$B$229=K$3,SUMIF('TL01'!$C$238:$C$451,$C281,'TL01'!$J$238:$J$451),0),
IF('TL02'!$B$3=K$3,SUMIF('TL02'!$C$10:$C$224,$C281,'TL02'!$J$10:$J$224),0),
IF('TL02'!$B$229=K$3,SUMIF('TL02'!$C$238:$C$451,$C281,'TL02'!$J$238:$J$451),0),
IF('TL03'!$B$3=K$3,SUMIF('TL03'!$C$10:$C$224,$C281,'TL03'!$J$10:$J$224),0),
IF('TL03'!$B$229=K$3,SUMIF('TL03'!$C$238:$C$451,$C281,'TL03'!$J$238:$J$451),0),
IF('TL04'!$B$3=K$3,SUMIF('TL04'!$C$10:$C$224,$C281,'TL04'!$J$10:$J$224),0),
IF('TL04'!$B$229=K$3,SUMIF('TL04'!$C$238:$C$451,$C281,'TL04'!$J$238:$J$451),0),
IF('TL05'!$B$3=K$3,SUMIF('TL05'!$C$10:$C$224,$C281,'TL05'!$J$10:$J$224),0),
IF('TL05'!$B$229=K$3,SUMIF('TL05'!$C$238:$C$451,$C281,'TL05'!$J$238:$J$451),0),
IF('TL06'!$B$3=K$3,SUMIF('TL06'!$C$10:$C$224,$C281,'TL06'!$J$10:$J$224),0),
IF('TL06'!$B$229=K$3,SUMIF('TL06'!$C$238:$C$451,$C281,'TL06'!$J$238:$J$451),0),
IF('TL07'!$B$3=K$3,SUMIF('TL07'!$C$10:$C$224,$C281,'TL07'!$J$10:$J$224),0),
IF('TL07'!$B$229=K$3,SUMIF('TL07'!$C$238:$C$451,$C281,'TL07'!$J$238:$J$451),0),
IF('TL08'!$B$3=K$3,SUMIF('TL08'!$C$10:$C$224,$C281,'TL08'!$J$10:$J$224),0),
IF('TL08'!$B$229=K$3,SUMIF('TL08'!$C$238:$C$451,$C281,'TL08'!$J$238:$J$451),0),
IF('TL09'!$B$3=K$3,SUMIF('TL09'!$C$10:$C$224,$C281,'TL09'!$J$10:$J$224),0),
IF('TL09'!$B$229=K$3,SUMIF('TL09'!$C$238:$C$451,$C281,'TL09'!$J$238:$J$451),0),
IF('TL10'!$B$3=K$3,SUMIF('TL10'!$C$10:$C$224,$C281,'TL10'!$J$10:$J$224),0),
IF('TL10'!$B$229=K$3,SUMIF('TL10'!$C$238:$C$451,$C281,'TL10'!$J$238:$J$451),0),
IF('TL11'!$B$3=K$3,SUMIF('TL11'!$C$10:$C$224,$C281,'TL11'!$J$10:$J$224),0),
IF('TL11'!$B$229=K$3,SUMIF('TL11'!$C$238:$C$451,$C281,'TL11'!$J$238:$J$451),0),
IF('TL12'!$B$3=K$3,SUMIF('TL12'!$C$10:$C$224,$C281,'TL12'!$J$10:$J$224),0),
IF('TL12'!$B$229=K$3,SUMIF('TL12'!$C$238:$C$451,$C281,'TL12'!$J$238:$J$451),0),
IF('TL13'!$B$3=K$3,SUMIF('TL13'!$C$10:$C$224,$C281,'TL13'!$J$10:$J$224),0),
IF('TL13'!$B$229=K$3,SUMIF('TL13'!$C$238:$C$451,$C281,'TL13'!$J$238:$J$451),0),
IF('TL14'!$B$3=K$3,SUMIF('TL14'!$C$10:$C$224,$C281,'TL14'!$J$10:$J$224),0),
IF('TL14'!$B$229=K$3,SUMIF('TL14'!$C$238:$C$451,$C281,'TL14'!$J$238:$J$451),0),
IF('TL15'!$B$3=K$3,SUMIF('TL15'!$C$10:$C$224,$C281,'TL15'!$J$10:$J$224),0),
IF('TL15'!$B$229=K$3,SUMIF('TL15'!$C$238:$C$451,$C281,'TL15'!$J$238:$J$451),0),
IF('TL16'!$B$3=K$3,SUMIF('TL16'!$C$10:$C$224,$C281,'TL16'!$J$10:$J$224),0),
IF('TL16'!$B$229=K$3,SUMIF('TL16'!$C$238:$C$451,$C281,'TL16'!$J$238:$J$451),0),
IF('TL17'!$B$3=K$3,SUMIF('TL17'!$C$10:$C$224,$C281,'TL17'!$J$10:$J$224),0),
IF('TL17'!$B$229=K$3,SUMIF('TL17'!$C$238:$C$451,$C281,'TL17'!$J$238:$J$451),0),
IF('TL18'!$B$3=K$3,SUMIF('TL18'!$C$10:$C$224,$C281,'TL18'!$J$10:$J$224),0),
IF('TL18'!$B$229=K$3,SUMIF('TL18'!$C$238:$C$451,$C281,'TL18'!$J$238:$J$451),0),
IF('TL19'!$B$3=K$3,SUMIF('TL19'!$C$10:$C$224,$C281,'TL19'!$J$10:$J$224),0),
IF('TL19'!$B$229=K$3,SUMIF('TL19'!$C$238:$C$451,$C281,'TL19'!$J$238:$J$451),0)
),0)</f>
        <v>0</v>
      </c>
      <c r="L281" s="9">
        <f>IFERROR(SUM(
IF('TL01'!$B$3=L$3,SUMIF('TL01'!$C$10:$C$224,$C281,'TL01'!$J$10:$J$224),0),
IF('TL01'!$B$229=L$3,SUMIF('TL01'!$C$238:$C$451,$C281,'TL01'!$J$238:$J$451),0),
IF('TL02'!$B$3=L$3,SUMIF('TL02'!$C$10:$C$224,$C281,'TL02'!$J$10:$J$224),0),
IF('TL02'!$B$229=L$3,SUMIF('TL02'!$C$238:$C$451,$C281,'TL02'!$J$238:$J$451),0),
IF('TL03'!$B$3=L$3,SUMIF('TL03'!$C$10:$C$224,$C281,'TL03'!$J$10:$J$224),0),
IF('TL03'!$B$229=L$3,SUMIF('TL03'!$C$238:$C$451,$C281,'TL03'!$J$238:$J$451),0),
IF('TL04'!$B$3=L$3,SUMIF('TL04'!$C$10:$C$224,$C281,'TL04'!$J$10:$J$224),0),
IF('TL04'!$B$229=L$3,SUMIF('TL04'!$C$238:$C$451,$C281,'TL04'!$J$238:$J$451),0),
IF('TL05'!$B$3=L$3,SUMIF('TL05'!$C$10:$C$224,$C281,'TL05'!$J$10:$J$224),0),
IF('TL05'!$B$229=L$3,SUMIF('TL05'!$C$238:$C$451,$C281,'TL05'!$J$238:$J$451),0),
IF('TL06'!$B$3=L$3,SUMIF('TL06'!$C$10:$C$224,$C281,'TL06'!$J$10:$J$224),0),
IF('TL06'!$B$229=L$3,SUMIF('TL06'!$C$238:$C$451,$C281,'TL06'!$J$238:$J$451),0),
IF('TL07'!$B$3=L$3,SUMIF('TL07'!$C$10:$C$224,$C281,'TL07'!$J$10:$J$224),0),
IF('TL07'!$B$229=L$3,SUMIF('TL07'!$C$238:$C$451,$C281,'TL07'!$J$238:$J$451),0),
IF('TL08'!$B$3=L$3,SUMIF('TL08'!$C$10:$C$224,$C281,'TL08'!$J$10:$J$224),0),
IF('TL08'!$B$229=L$3,SUMIF('TL08'!$C$238:$C$451,$C281,'TL08'!$J$238:$J$451),0),
IF('TL09'!$B$3=L$3,SUMIF('TL09'!$C$10:$C$224,$C281,'TL09'!$J$10:$J$224),0),
IF('TL09'!$B$229=L$3,SUMIF('TL09'!$C$238:$C$451,$C281,'TL09'!$J$238:$J$451),0),
IF('TL10'!$B$3=L$3,SUMIF('TL10'!$C$10:$C$224,$C281,'TL10'!$J$10:$J$224),0),
IF('TL10'!$B$229=L$3,SUMIF('TL10'!$C$238:$C$451,$C281,'TL10'!$J$238:$J$451),0),
IF('TL11'!$B$3=L$3,SUMIF('TL11'!$C$10:$C$224,$C281,'TL11'!$J$10:$J$224),0),
IF('TL11'!$B$229=L$3,SUMIF('TL11'!$C$238:$C$451,$C281,'TL11'!$J$238:$J$451),0),
IF('TL12'!$B$3=L$3,SUMIF('TL12'!$C$10:$C$224,$C281,'TL12'!$J$10:$J$224),0),
IF('TL12'!$B$229=L$3,SUMIF('TL12'!$C$238:$C$451,$C281,'TL12'!$J$238:$J$451),0),
IF('TL13'!$B$3=L$3,SUMIF('TL13'!$C$10:$C$224,$C281,'TL13'!$J$10:$J$224),0),
IF('TL13'!$B$229=L$3,SUMIF('TL13'!$C$238:$C$451,$C281,'TL13'!$J$238:$J$451),0),
IF('TL14'!$B$3=L$3,SUMIF('TL14'!$C$10:$C$224,$C281,'TL14'!$J$10:$J$224),0),
IF('TL14'!$B$229=L$3,SUMIF('TL14'!$C$238:$C$451,$C281,'TL14'!$J$238:$J$451),0),
IF('TL15'!$B$3=L$3,SUMIF('TL15'!$C$10:$C$224,$C281,'TL15'!$J$10:$J$224),0),
IF('TL15'!$B$229=L$3,SUMIF('TL15'!$C$238:$C$451,$C281,'TL15'!$J$238:$J$451),0),
IF('TL16'!$B$3=L$3,SUMIF('TL16'!$C$10:$C$224,$C281,'TL16'!$J$10:$J$224),0),
IF('TL16'!$B$229=L$3,SUMIF('TL16'!$C$238:$C$451,$C281,'TL16'!$J$238:$J$451),0),
IF('TL17'!$B$3=L$3,SUMIF('TL17'!$C$10:$C$224,$C281,'TL17'!$J$10:$J$224),0),
IF('TL17'!$B$229=L$3,SUMIF('TL17'!$C$238:$C$451,$C281,'TL17'!$J$238:$J$451),0),
IF('TL18'!$B$3=L$3,SUMIF('TL18'!$C$10:$C$224,$C281,'TL18'!$J$10:$J$224),0),
IF('TL18'!$B$229=L$3,SUMIF('TL18'!$C$238:$C$451,$C281,'TL18'!$J$238:$J$451),0),
IF('TL19'!$B$3=L$3,SUMIF('TL19'!$C$10:$C$224,$C281,'TL19'!$J$10:$J$224),0),
IF('TL19'!$B$229=L$3,SUMIF('TL19'!$C$238:$C$451,$C281,'TL19'!$J$238:$J$451),0)
),0)</f>
        <v>0</v>
      </c>
      <c r="M281" s="9">
        <f>IFERROR(SUM(
IF('TL01'!$B$3=M$3,SUMIF('TL01'!$C$10:$C$224,$C281,'TL01'!$J$10:$J$224),0),
IF('TL01'!$B$229=M$3,SUMIF('TL01'!$C$238:$C$451,$C281,'TL01'!$J$238:$J$451),0),
IF('TL02'!$B$3=M$3,SUMIF('TL02'!$C$10:$C$224,$C281,'TL02'!$J$10:$J$224),0),
IF('TL02'!$B$229=M$3,SUMIF('TL02'!$C$238:$C$451,$C281,'TL02'!$J$238:$J$451),0),
IF('TL03'!$B$3=M$3,SUMIF('TL03'!$C$10:$C$224,$C281,'TL03'!$J$10:$J$224),0),
IF('TL03'!$B$229=M$3,SUMIF('TL03'!$C$238:$C$451,$C281,'TL03'!$J$238:$J$451),0),
IF('TL04'!$B$3=M$3,SUMIF('TL04'!$C$10:$C$224,$C281,'TL04'!$J$10:$J$224),0),
IF('TL04'!$B$229=M$3,SUMIF('TL04'!$C$238:$C$451,$C281,'TL04'!$J$238:$J$451),0),
IF('TL05'!$B$3=M$3,SUMIF('TL05'!$C$10:$C$224,$C281,'TL05'!$J$10:$J$224),0),
IF('TL05'!$B$229=M$3,SUMIF('TL05'!$C$238:$C$451,$C281,'TL05'!$J$238:$J$451),0),
IF('TL06'!$B$3=M$3,SUMIF('TL06'!$C$10:$C$224,$C281,'TL06'!$J$10:$J$224),0),
IF('TL06'!$B$229=M$3,SUMIF('TL06'!$C$238:$C$451,$C281,'TL06'!$J$238:$J$451),0),
IF('TL07'!$B$3=M$3,SUMIF('TL07'!$C$10:$C$224,$C281,'TL07'!$J$10:$J$224),0),
IF('TL07'!$B$229=M$3,SUMIF('TL07'!$C$238:$C$451,$C281,'TL07'!$J$238:$J$451),0),
IF('TL08'!$B$3=M$3,SUMIF('TL08'!$C$10:$C$224,$C281,'TL08'!$J$10:$J$224),0),
IF('TL08'!$B$229=M$3,SUMIF('TL08'!$C$238:$C$451,$C281,'TL08'!$J$238:$J$451),0),
IF('TL09'!$B$3=M$3,SUMIF('TL09'!$C$10:$C$224,$C281,'TL09'!$J$10:$J$224),0),
IF('TL09'!$B$229=M$3,SUMIF('TL09'!$C$238:$C$451,$C281,'TL09'!$J$238:$J$451),0),
IF('TL10'!$B$3=M$3,SUMIF('TL10'!$C$10:$C$224,$C281,'TL10'!$J$10:$J$224),0),
IF('TL10'!$B$229=M$3,SUMIF('TL10'!$C$238:$C$451,$C281,'TL10'!$J$238:$J$451),0),
IF('TL11'!$B$3=M$3,SUMIF('TL11'!$C$10:$C$224,$C281,'TL11'!$J$10:$J$224),0),
IF('TL11'!$B$229=M$3,SUMIF('TL11'!$C$238:$C$451,$C281,'TL11'!$J$238:$J$451),0),
IF('TL12'!$B$3=M$3,SUMIF('TL12'!$C$10:$C$224,$C281,'TL12'!$J$10:$J$224),0),
IF('TL12'!$B$229=M$3,SUMIF('TL12'!$C$238:$C$451,$C281,'TL12'!$J$238:$J$451),0),
IF('TL13'!$B$3=M$3,SUMIF('TL13'!$C$10:$C$224,$C281,'TL13'!$J$10:$J$224),0),
IF('TL13'!$B$229=M$3,SUMIF('TL13'!$C$238:$C$451,$C281,'TL13'!$J$238:$J$451),0),
IF('TL14'!$B$3=M$3,SUMIF('TL14'!$C$10:$C$224,$C281,'TL14'!$J$10:$J$224),0),
IF('TL14'!$B$229=M$3,SUMIF('TL14'!$C$238:$C$451,$C281,'TL14'!$J$238:$J$451),0),
IF('TL15'!$B$3=M$3,SUMIF('TL15'!$C$10:$C$224,$C281,'TL15'!$J$10:$J$224),0),
IF('TL15'!$B$229=M$3,SUMIF('TL15'!$C$238:$C$451,$C281,'TL15'!$J$238:$J$451),0),
IF('TL16'!$B$3=M$3,SUMIF('TL16'!$C$10:$C$224,$C281,'TL16'!$J$10:$J$224),0),
IF('TL16'!$B$229=M$3,SUMIF('TL16'!$C$238:$C$451,$C281,'TL16'!$J$238:$J$451),0),
IF('TL17'!$B$3=M$3,SUMIF('TL17'!$C$10:$C$224,$C281,'TL17'!$J$10:$J$224),0),
IF('TL17'!$B$229=M$3,SUMIF('TL17'!$C$238:$C$451,$C281,'TL17'!$J$238:$J$451),0),
IF('TL18'!$B$3=M$3,SUMIF('TL18'!$C$10:$C$224,$C281,'TL18'!$J$10:$J$224),0),
IF('TL18'!$B$229=M$3,SUMIF('TL18'!$C$238:$C$451,$C281,'TL18'!$J$238:$J$451),0),
IF('TL19'!$B$3=M$3,SUMIF('TL19'!$C$10:$C$224,$C281,'TL19'!$J$10:$J$224),0),
IF('TL19'!$B$229=M$3,SUMIF('TL19'!$C$238:$C$451,$C281,'TL19'!$J$238:$J$451),0)
),0)</f>
        <v>0</v>
      </c>
      <c r="N281" s="9">
        <f>IFERROR(SUM(
IF('TL01'!$B$3=N$3,SUMIF('TL01'!$C$10:$C$224,$C281,'TL01'!$J$10:$J$224),0),
IF('TL01'!$B$229=N$3,SUMIF('TL01'!$C$238:$C$451,$C281,'TL01'!$J$238:$J$451),0),
IF('TL02'!$B$3=N$3,SUMIF('TL02'!$C$10:$C$224,$C281,'TL02'!$J$10:$J$224),0),
IF('TL02'!$B$229=N$3,SUMIF('TL02'!$C$238:$C$451,$C281,'TL02'!$J$238:$J$451),0),
IF('TL03'!$B$3=N$3,SUMIF('TL03'!$C$10:$C$224,$C281,'TL03'!$J$10:$J$224),0),
IF('TL03'!$B$229=N$3,SUMIF('TL03'!$C$238:$C$451,$C281,'TL03'!$J$238:$J$451),0),
IF('TL04'!$B$3=N$3,SUMIF('TL04'!$C$10:$C$224,$C281,'TL04'!$J$10:$J$224),0),
IF('TL04'!$B$229=N$3,SUMIF('TL04'!$C$238:$C$451,$C281,'TL04'!$J$238:$J$451),0),
IF('TL05'!$B$3=N$3,SUMIF('TL05'!$C$10:$C$224,$C281,'TL05'!$J$10:$J$224),0),
IF('TL05'!$B$229=N$3,SUMIF('TL05'!$C$238:$C$451,$C281,'TL05'!$J$238:$J$451),0),
IF('TL06'!$B$3=N$3,SUMIF('TL06'!$C$10:$C$224,$C281,'TL06'!$J$10:$J$224),0),
IF('TL06'!$B$229=N$3,SUMIF('TL06'!$C$238:$C$451,$C281,'TL06'!$J$238:$J$451),0),
IF('TL07'!$B$3=N$3,SUMIF('TL07'!$C$10:$C$224,$C281,'TL07'!$J$10:$J$224),0),
IF('TL07'!$B$229=N$3,SUMIF('TL07'!$C$238:$C$451,$C281,'TL07'!$J$238:$J$451),0),
IF('TL08'!$B$3=N$3,SUMIF('TL08'!$C$10:$C$224,$C281,'TL08'!$J$10:$J$224),0),
IF('TL08'!$B$229=N$3,SUMIF('TL08'!$C$238:$C$451,$C281,'TL08'!$J$238:$J$451),0),
IF('TL09'!$B$3=N$3,SUMIF('TL09'!$C$10:$C$224,$C281,'TL09'!$J$10:$J$224),0),
IF('TL09'!$B$229=N$3,SUMIF('TL09'!$C$238:$C$451,$C281,'TL09'!$J$238:$J$451),0),
IF('TL10'!$B$3=N$3,SUMIF('TL10'!$C$10:$C$224,$C281,'TL10'!$J$10:$J$224),0),
IF('TL10'!$B$229=N$3,SUMIF('TL10'!$C$238:$C$451,$C281,'TL10'!$J$238:$J$451),0),
IF('TL11'!$B$3=N$3,SUMIF('TL11'!$C$10:$C$224,$C281,'TL11'!$J$10:$J$224),0),
IF('TL11'!$B$229=N$3,SUMIF('TL11'!$C$238:$C$451,$C281,'TL11'!$J$238:$J$451),0),
IF('TL12'!$B$3=N$3,SUMIF('TL12'!$C$10:$C$224,$C281,'TL12'!$J$10:$J$224),0),
IF('TL12'!$B$229=N$3,SUMIF('TL12'!$C$238:$C$451,$C281,'TL12'!$J$238:$J$451),0),
IF('TL13'!$B$3=N$3,SUMIF('TL13'!$C$10:$C$224,$C281,'TL13'!$J$10:$J$224),0),
IF('TL13'!$B$229=N$3,SUMIF('TL13'!$C$238:$C$451,$C281,'TL13'!$J$238:$J$451),0),
IF('TL14'!$B$3=N$3,SUMIF('TL14'!$C$10:$C$224,$C281,'TL14'!$J$10:$J$224),0),
IF('TL14'!$B$229=N$3,SUMIF('TL14'!$C$238:$C$451,$C281,'TL14'!$J$238:$J$451),0),
IF('TL15'!$B$3=N$3,SUMIF('TL15'!$C$10:$C$224,$C281,'TL15'!$J$10:$J$224),0),
IF('TL15'!$B$229=N$3,SUMIF('TL15'!$C$238:$C$451,$C281,'TL15'!$J$238:$J$451),0),
IF('TL16'!$B$3=N$3,SUMIF('TL16'!$C$10:$C$224,$C281,'TL16'!$J$10:$J$224),0),
IF('TL16'!$B$229=N$3,SUMIF('TL16'!$C$238:$C$451,$C281,'TL16'!$J$238:$J$451),0),
IF('TL17'!$B$3=N$3,SUMIF('TL17'!$C$10:$C$224,$C281,'TL17'!$J$10:$J$224),0),
IF('TL17'!$B$229=N$3,SUMIF('TL17'!$C$238:$C$451,$C281,'TL17'!$J$238:$J$451),0),
IF('TL18'!$B$3=N$3,SUMIF('TL18'!$C$10:$C$224,$C281,'TL18'!$J$10:$J$224),0),
IF('TL18'!$B$229=N$3,SUMIF('TL18'!$C$238:$C$451,$C281,'TL18'!$J$238:$J$451),0),
IF('TL19'!$B$3=N$3,SUMIF('TL19'!$C$10:$C$224,$C281,'TL19'!$J$10:$J$224),0),
IF('TL19'!$B$229=N$3,SUMIF('TL19'!$C$238:$C$451,$C281,'TL19'!$J$238:$J$451),0)
),0)</f>
        <v>0</v>
      </c>
      <c r="O281" s="9">
        <f>IFERROR(SUM(
IF('TL01'!$B$3=O$3,SUMIF('TL01'!$C$10:$C$224,$C281,'TL01'!$J$10:$J$224),0),
IF('TL01'!$B$229=O$3,SUMIF('TL01'!$C$238:$C$451,$C281,'TL01'!$J$238:$J$451),0),
IF('TL02'!$B$3=O$3,SUMIF('TL02'!$C$10:$C$224,$C281,'TL02'!$J$10:$J$224),0),
IF('TL02'!$B$229=O$3,SUMIF('TL02'!$C$238:$C$451,$C281,'TL02'!$J$238:$J$451),0),
IF('TL03'!$B$3=O$3,SUMIF('TL03'!$C$10:$C$224,$C281,'TL03'!$J$10:$J$224),0),
IF('TL03'!$B$229=O$3,SUMIF('TL03'!$C$238:$C$451,$C281,'TL03'!$J$238:$J$451),0),
IF('TL04'!$B$3=O$3,SUMIF('TL04'!$C$10:$C$224,$C281,'TL04'!$J$10:$J$224),0),
IF('TL04'!$B$229=O$3,SUMIF('TL04'!$C$238:$C$451,$C281,'TL04'!$J$238:$J$451),0),
IF('TL05'!$B$3=O$3,SUMIF('TL05'!$C$10:$C$224,$C281,'TL05'!$J$10:$J$224),0),
IF('TL05'!$B$229=O$3,SUMIF('TL05'!$C$238:$C$451,$C281,'TL05'!$J$238:$J$451),0),
IF('TL06'!$B$3=O$3,SUMIF('TL06'!$C$10:$C$224,$C281,'TL06'!$J$10:$J$224),0),
IF('TL06'!$B$229=O$3,SUMIF('TL06'!$C$238:$C$451,$C281,'TL06'!$J$238:$J$451),0),
IF('TL07'!$B$3=O$3,SUMIF('TL07'!$C$10:$C$224,$C281,'TL07'!$J$10:$J$224),0),
IF('TL07'!$B$229=O$3,SUMIF('TL07'!$C$238:$C$451,$C281,'TL07'!$J$238:$J$451),0),
IF('TL08'!$B$3=O$3,SUMIF('TL08'!$C$10:$C$224,$C281,'TL08'!$J$10:$J$224),0),
IF('TL08'!$B$229=O$3,SUMIF('TL08'!$C$238:$C$451,$C281,'TL08'!$J$238:$J$451),0),
IF('TL09'!$B$3=O$3,SUMIF('TL09'!$C$10:$C$224,$C281,'TL09'!$J$10:$J$224),0),
IF('TL09'!$B$229=O$3,SUMIF('TL09'!$C$238:$C$451,$C281,'TL09'!$J$238:$J$451),0),
IF('TL10'!$B$3=O$3,SUMIF('TL10'!$C$10:$C$224,$C281,'TL10'!$J$10:$J$224),0),
IF('TL10'!$B$229=O$3,SUMIF('TL10'!$C$238:$C$451,$C281,'TL10'!$J$238:$J$451),0),
IF('TL11'!$B$3=O$3,SUMIF('TL11'!$C$10:$C$224,$C281,'TL11'!$J$10:$J$224),0),
IF('TL11'!$B$229=O$3,SUMIF('TL11'!$C$238:$C$451,$C281,'TL11'!$J$238:$J$451),0),
IF('TL12'!$B$3=O$3,SUMIF('TL12'!$C$10:$C$224,$C281,'TL12'!$J$10:$J$224),0),
IF('TL12'!$B$229=O$3,SUMIF('TL12'!$C$238:$C$451,$C281,'TL12'!$J$238:$J$451),0),
IF('TL13'!$B$3=O$3,SUMIF('TL13'!$C$10:$C$224,$C281,'TL13'!$J$10:$J$224),0),
IF('TL13'!$B$229=O$3,SUMIF('TL13'!$C$238:$C$451,$C281,'TL13'!$J$238:$J$451),0),
IF('TL14'!$B$3=O$3,SUMIF('TL14'!$C$10:$C$224,$C281,'TL14'!$J$10:$J$224),0),
IF('TL14'!$B$229=O$3,SUMIF('TL14'!$C$238:$C$451,$C281,'TL14'!$J$238:$J$451),0),
IF('TL15'!$B$3=O$3,SUMIF('TL15'!$C$10:$C$224,$C281,'TL15'!$J$10:$J$224),0),
IF('TL15'!$B$229=O$3,SUMIF('TL15'!$C$238:$C$451,$C281,'TL15'!$J$238:$J$451),0),
IF('TL16'!$B$3=O$3,SUMIF('TL16'!$C$10:$C$224,$C281,'TL16'!$J$10:$J$224),0),
IF('TL16'!$B$229=O$3,SUMIF('TL16'!$C$238:$C$451,$C281,'TL16'!$J$238:$J$451),0),
IF('TL17'!$B$3=O$3,SUMIF('TL17'!$C$10:$C$224,$C281,'TL17'!$J$10:$J$224),0),
IF('TL17'!$B$229=O$3,SUMIF('TL17'!$C$238:$C$451,$C281,'TL17'!$J$238:$J$451),0),
IF('TL18'!$B$3=O$3,SUMIF('TL18'!$C$10:$C$224,$C281,'TL18'!$J$10:$J$224),0),
IF('TL18'!$B$229=O$3,SUMIF('TL18'!$C$238:$C$451,$C281,'TL18'!$J$238:$J$451),0),
IF('TL19'!$B$3=O$3,SUMIF('TL19'!$C$10:$C$224,$C281,'TL19'!$J$10:$J$224),0),
IF('TL19'!$B$229=O$3,SUMIF('TL19'!$C$238:$C$451,$C281,'TL19'!$J$238:$J$451),0)
),0)</f>
        <v>0</v>
      </c>
      <c r="P281" s="9">
        <f>IFERROR(SUM(
IF('TL01'!$B$3=P$3,SUMIF('TL01'!$C$10:$C$224,$C281,'TL01'!$J$10:$J$224),0),
IF('TL01'!$B$229=P$3,SUMIF('TL01'!$C$238:$C$451,$C281,'TL01'!$J$238:$J$451),0),
IF('TL02'!$B$3=P$3,SUMIF('TL02'!$C$10:$C$224,$C281,'TL02'!$J$10:$J$224),0),
IF('TL02'!$B$229=P$3,SUMIF('TL02'!$C$238:$C$451,$C281,'TL02'!$J$238:$J$451),0),
IF('TL03'!$B$3=P$3,SUMIF('TL03'!$C$10:$C$224,$C281,'TL03'!$J$10:$J$224),0),
IF('TL03'!$B$229=P$3,SUMIF('TL03'!$C$238:$C$451,$C281,'TL03'!$J$238:$J$451),0),
IF('TL04'!$B$3=P$3,SUMIF('TL04'!$C$10:$C$224,$C281,'TL04'!$J$10:$J$224),0),
IF('TL04'!$B$229=P$3,SUMIF('TL04'!$C$238:$C$451,$C281,'TL04'!$J$238:$J$451),0),
IF('TL05'!$B$3=P$3,SUMIF('TL05'!$C$10:$C$224,$C281,'TL05'!$J$10:$J$224),0),
IF('TL05'!$B$229=P$3,SUMIF('TL05'!$C$238:$C$451,$C281,'TL05'!$J$238:$J$451),0),
IF('TL06'!$B$3=P$3,SUMIF('TL06'!$C$10:$C$224,$C281,'TL06'!$J$10:$J$224),0),
IF('TL06'!$B$229=P$3,SUMIF('TL06'!$C$238:$C$451,$C281,'TL06'!$J$238:$J$451),0),
IF('TL07'!$B$3=P$3,SUMIF('TL07'!$C$10:$C$224,$C281,'TL07'!$J$10:$J$224),0),
IF('TL07'!$B$229=P$3,SUMIF('TL07'!$C$238:$C$451,$C281,'TL07'!$J$238:$J$451),0),
IF('TL08'!$B$3=P$3,SUMIF('TL08'!$C$10:$C$224,$C281,'TL08'!$J$10:$J$224),0),
IF('TL08'!$B$229=P$3,SUMIF('TL08'!$C$238:$C$451,$C281,'TL08'!$J$238:$J$451),0),
IF('TL09'!$B$3=P$3,SUMIF('TL09'!$C$10:$C$224,$C281,'TL09'!$J$10:$J$224),0),
IF('TL09'!$B$229=P$3,SUMIF('TL09'!$C$238:$C$451,$C281,'TL09'!$J$238:$J$451),0),
IF('TL10'!$B$3=P$3,SUMIF('TL10'!$C$10:$C$224,$C281,'TL10'!$J$10:$J$224),0),
IF('TL10'!$B$229=P$3,SUMIF('TL10'!$C$238:$C$451,$C281,'TL10'!$J$238:$J$451),0),
IF('TL11'!$B$3=P$3,SUMIF('TL11'!$C$10:$C$224,$C281,'TL11'!$J$10:$J$224),0),
IF('TL11'!$B$229=P$3,SUMIF('TL11'!$C$238:$C$451,$C281,'TL11'!$J$238:$J$451),0),
IF('TL12'!$B$3=P$3,SUMIF('TL12'!$C$10:$C$224,$C281,'TL12'!$J$10:$J$224),0),
IF('TL12'!$B$229=P$3,SUMIF('TL12'!$C$238:$C$451,$C281,'TL12'!$J$238:$J$451),0),
IF('TL13'!$B$3=P$3,SUMIF('TL13'!$C$10:$C$224,$C281,'TL13'!$J$10:$J$224),0),
IF('TL13'!$B$229=P$3,SUMIF('TL13'!$C$238:$C$451,$C281,'TL13'!$J$238:$J$451),0),
IF('TL14'!$B$3=P$3,SUMIF('TL14'!$C$10:$C$224,$C281,'TL14'!$J$10:$J$224),0),
IF('TL14'!$B$229=P$3,SUMIF('TL14'!$C$238:$C$451,$C281,'TL14'!$J$238:$J$451),0),
IF('TL15'!$B$3=P$3,SUMIF('TL15'!$C$10:$C$224,$C281,'TL15'!$J$10:$J$224),0),
IF('TL15'!$B$229=P$3,SUMIF('TL15'!$C$238:$C$451,$C281,'TL15'!$J$238:$J$451),0),
IF('TL16'!$B$3=P$3,SUMIF('TL16'!$C$10:$C$224,$C281,'TL16'!$J$10:$J$224),0),
IF('TL16'!$B$229=P$3,SUMIF('TL16'!$C$238:$C$451,$C281,'TL16'!$J$238:$J$451),0),
IF('TL17'!$B$3=P$3,SUMIF('TL17'!$C$10:$C$224,$C281,'TL17'!$J$10:$J$224),0),
IF('TL17'!$B$229=P$3,SUMIF('TL17'!$C$238:$C$451,$C281,'TL17'!$J$238:$J$451),0),
IF('TL18'!$B$3=P$3,SUMIF('TL18'!$C$10:$C$224,$C281,'TL18'!$J$10:$J$224),0),
IF('TL18'!$B$229=P$3,SUMIF('TL18'!$C$238:$C$451,$C281,'TL18'!$J$238:$J$451),0),
IF('TL19'!$B$3=P$3,SUMIF('TL19'!$C$10:$C$224,$C281,'TL19'!$J$10:$J$224),0),
IF('TL19'!$B$229=P$3,SUMIF('TL19'!$C$238:$C$451,$C281,'TL19'!$J$238:$J$451),0)
),0)</f>
        <v>0</v>
      </c>
      <c r="Q281" s="9">
        <f>IFERROR(SUM(
IF('TL01'!$B$3=Q$3,SUMIF('TL01'!$C$10:$C$224,$C281,'TL01'!$J$10:$J$224),0),
IF('TL01'!$B$229=Q$3,SUMIF('TL01'!$C$238:$C$451,$C281,'TL01'!$J$238:$J$451),0),
IF('TL02'!$B$3=Q$3,SUMIF('TL02'!$C$10:$C$224,$C281,'TL02'!$J$10:$J$224),0),
IF('TL02'!$B$229=Q$3,SUMIF('TL02'!$C$238:$C$451,$C281,'TL02'!$J$238:$J$451),0),
IF('TL03'!$B$3=Q$3,SUMIF('TL03'!$C$10:$C$224,$C281,'TL03'!$J$10:$J$224),0),
IF('TL03'!$B$229=Q$3,SUMIF('TL03'!$C$238:$C$451,$C281,'TL03'!$J$238:$J$451),0),
IF('TL04'!$B$3=Q$3,SUMIF('TL04'!$C$10:$C$224,$C281,'TL04'!$J$10:$J$224),0),
IF('TL04'!$B$229=Q$3,SUMIF('TL04'!$C$238:$C$451,$C281,'TL04'!$J$238:$J$451),0),
IF('TL05'!$B$3=Q$3,SUMIF('TL05'!$C$10:$C$224,$C281,'TL05'!$J$10:$J$224),0),
IF('TL05'!$B$229=Q$3,SUMIF('TL05'!$C$238:$C$451,$C281,'TL05'!$J$238:$J$451),0),
IF('TL06'!$B$3=Q$3,SUMIF('TL06'!$C$10:$C$224,$C281,'TL06'!$J$10:$J$224),0),
IF('TL06'!$B$229=Q$3,SUMIF('TL06'!$C$238:$C$451,$C281,'TL06'!$J$238:$J$451),0),
IF('TL07'!$B$3=Q$3,SUMIF('TL07'!$C$10:$C$224,$C281,'TL07'!$J$10:$J$224),0),
IF('TL07'!$B$229=Q$3,SUMIF('TL07'!$C$238:$C$451,$C281,'TL07'!$J$238:$J$451),0),
IF('TL08'!$B$3=Q$3,SUMIF('TL08'!$C$10:$C$224,$C281,'TL08'!$J$10:$J$224),0),
IF('TL08'!$B$229=Q$3,SUMIF('TL08'!$C$238:$C$451,$C281,'TL08'!$J$238:$J$451),0),
IF('TL09'!$B$3=Q$3,SUMIF('TL09'!$C$10:$C$224,$C281,'TL09'!$J$10:$J$224),0),
IF('TL09'!$B$229=Q$3,SUMIF('TL09'!$C$238:$C$451,$C281,'TL09'!$J$238:$J$451),0),
IF('TL10'!$B$3=Q$3,SUMIF('TL10'!$C$10:$C$224,$C281,'TL10'!$J$10:$J$224),0),
IF('TL10'!$B$229=Q$3,SUMIF('TL10'!$C$238:$C$451,$C281,'TL10'!$J$238:$J$451),0),
IF('TL11'!$B$3=Q$3,SUMIF('TL11'!$C$10:$C$224,$C281,'TL11'!$J$10:$J$224),0),
IF('TL11'!$B$229=Q$3,SUMIF('TL11'!$C$238:$C$451,$C281,'TL11'!$J$238:$J$451),0),
IF('TL12'!$B$3=Q$3,SUMIF('TL12'!$C$10:$C$224,$C281,'TL12'!$J$10:$J$224),0),
IF('TL12'!$B$229=Q$3,SUMIF('TL12'!$C$238:$C$451,$C281,'TL12'!$J$238:$J$451),0),
IF('TL13'!$B$3=Q$3,SUMIF('TL13'!$C$10:$C$224,$C281,'TL13'!$J$10:$J$224),0),
IF('TL13'!$B$229=Q$3,SUMIF('TL13'!$C$238:$C$451,$C281,'TL13'!$J$238:$J$451),0),
IF('TL14'!$B$3=Q$3,SUMIF('TL14'!$C$10:$C$224,$C281,'TL14'!$J$10:$J$224),0),
IF('TL14'!$B$229=Q$3,SUMIF('TL14'!$C$238:$C$451,$C281,'TL14'!$J$238:$J$451),0),
IF('TL15'!$B$3=Q$3,SUMIF('TL15'!$C$10:$C$224,$C281,'TL15'!$J$10:$J$224),0),
IF('TL15'!$B$229=Q$3,SUMIF('TL15'!$C$238:$C$451,$C281,'TL15'!$J$238:$J$451),0),
IF('TL16'!$B$3=Q$3,SUMIF('TL16'!$C$10:$C$224,$C281,'TL16'!$J$10:$J$224),0),
IF('TL16'!$B$229=Q$3,SUMIF('TL16'!$C$238:$C$451,$C281,'TL16'!$J$238:$J$451),0),
IF('TL17'!$B$3=Q$3,SUMIF('TL17'!$C$10:$C$224,$C281,'TL17'!$J$10:$J$224),0),
IF('TL17'!$B$229=Q$3,SUMIF('TL17'!$C$238:$C$451,$C281,'TL17'!$J$238:$J$451),0),
IF('TL18'!$B$3=Q$3,SUMIF('TL18'!$C$10:$C$224,$C281,'TL18'!$J$10:$J$224),0),
IF('TL18'!$B$229=Q$3,SUMIF('TL18'!$C$238:$C$451,$C281,'TL18'!$J$238:$J$451),0),
IF('TL19'!$B$3=Q$3,SUMIF('TL19'!$C$10:$C$224,$C281,'TL19'!$J$10:$J$224),0),
IF('TL19'!$B$229=Q$3,SUMIF('TL19'!$C$238:$C$451,$C281,'TL19'!$J$238:$J$451),0)
),0)</f>
        <v>0</v>
      </c>
      <c r="R281" s="9">
        <f>IFERROR(
SUM(
SUMIF('TL01'!C:C,C281,'TL01'!J:J),
SUMIF('TL02'!C:C,C281,'TL02'!J:J),
SUMIF('TL03'!C:C,C281,'TL03'!J:J),
SUMIF('TL04'!C:C,C281,'TL04'!J:J),
SUMIF('TL05'!C:C,C281,'TL05'!J:J),
SUMIF('TL06'!C:C,C281,'TL06'!J:J),
SUMIF('TL07'!C:C,C281,'TL07'!J:J),
SUMIF('TL08'!C:C,C281,'TL08'!J:J),
SUMIF('TL09'!C:C,C281,'TL09'!J:J),
SUMIF('TL10'!C:C,C281,'TL10'!J:J),
SUMIF('TL11'!C:C,C281,'TL11'!J:J),
SUMIF('TL12'!C:C,C281,'TL12'!J:J),
SUMIF('TL13'!C:C,C281,'TL13'!J:J),
SUMIF('TL14'!C:C,C281,'TL14'!J:J),
SUMIF('TL15'!C:C,C281,'TL15'!J:J),
SUMIF('TL16'!C:C,C281,'TL16'!J:J),
SUMIF('TL17'!C:C,C281,'TL17'!J:J),
SUMIF('TL18'!C:C,C281,'TL18'!J:J),SUMIF('TL19'!C:C,C281,'TL19'!J:J))
,0)</f>
        <v>0</v>
      </c>
      <c r="S281" s="17">
        <f>IFERROR(__xludf.DUMMYFUNCTION("IFERROR(VLOOKUP(C281,
IMPORTRANGE(""1wULbzX32WdYsx-lj2U3uUNBBe2INVIRDtcK0d-Dvl90"",
""26-27!C:G""),
5,
FALSE),
"""")"),169.0)</f>
        <v>169</v>
      </c>
      <c r="T281" s="9"/>
      <c r="U281" s="92">
        <f t="shared" si="2"/>
        <v>0</v>
      </c>
      <c r="V281" s="93">
        <f t="shared" si="3"/>
        <v>0</v>
      </c>
    </row>
    <row r="282" ht="15.75" hidden="1" customHeight="1">
      <c r="A282" s="4" t="s">
        <v>961</v>
      </c>
      <c r="B282" s="125" t="s">
        <v>9</v>
      </c>
      <c r="C282" s="4" t="s">
        <v>988</v>
      </c>
      <c r="D282" s="4" t="s">
        <v>989</v>
      </c>
      <c r="E282" s="9"/>
      <c r="F282" s="4" t="s">
        <v>343</v>
      </c>
      <c r="G282" s="9"/>
      <c r="H282" s="9"/>
      <c r="I282" s="1"/>
      <c r="J282" s="9">
        <f>IFERROR(SUM(
IF('TL01'!$B$3=J$3,SUMIF('TL01'!$C$10:$C$224,$C282,'TL01'!$J$10:$J$224),0),
IF('TL01'!$B$229=J$3,SUMIF('TL01'!$C$238:$C$451,$C282,'TL01'!$J$238:$J$451),0),
IF('TL02'!$B$3=J$3,SUMIF('TL02'!$C$10:$C$224,$C282,'TL02'!$J$10:$J$224),0),
IF('TL02'!$B$229=J$3,SUMIF('TL02'!$C$238:$C$451,$C282,'TL02'!$J$238:$J$451),0),
IF('TL03'!$B$3=J$3,SUMIF('TL03'!$C$10:$C$224,$C282,'TL03'!$J$10:$J$224),0),
IF('TL03'!$B$229=J$3,SUMIF('TL03'!$C$238:$C$451,$C282,'TL03'!$J$238:$J$451),0),
IF('TL04'!$B$3=J$3,SUMIF('TL04'!$C$10:$C$224,$C282,'TL04'!$J$10:$J$224),0),
IF('TL04'!$B$229=J$3,SUMIF('TL04'!$C$238:$C$451,$C282,'TL04'!$J$238:$J$451),0),
IF('TL05'!$B$3=J$3,SUMIF('TL05'!$C$10:$C$224,$C282,'TL05'!$J$10:$J$224),0),
IF('TL05'!$B$229=J$3,SUMIF('TL05'!$C$238:$C$451,$C282,'TL05'!$J$238:$J$451),0),
IF('TL06'!$B$3=J$3,SUMIF('TL06'!$C$10:$C$224,$C282,'TL06'!$J$10:$J$224),0),
IF('TL06'!$B$229=J$3,SUMIF('TL06'!$C$238:$C$451,$C282,'TL06'!$J$238:$J$451),0),
IF('TL07'!$B$3=J$3,SUMIF('TL07'!$C$10:$C$224,$C282,'TL07'!$J$10:$J$224),0),
IF('TL07'!$B$229=J$3,SUMIF('TL07'!$C$238:$C$451,$C282,'TL07'!$J$238:$J$451),0),
IF('TL08'!$B$3=J$3,SUMIF('TL08'!$C$10:$C$224,$C282,'TL08'!$J$10:$J$224),0),
IF('TL08'!$B$229=J$3,SUMIF('TL08'!$C$238:$C$451,$C282,'TL08'!$J$238:$J$451),0),
IF('TL09'!$B$3=J$3,SUMIF('TL09'!$C$10:$C$224,$C282,'TL09'!$J$10:$J$224),0),
IF('TL09'!$B$229=J$3,SUMIF('TL09'!$C$238:$C$451,$C282,'TL09'!$J$238:$J$451),0),
IF('TL10'!$B$3=J$3,SUMIF('TL10'!$C$10:$C$224,$C282,'TL10'!$J$10:$J$224),0),
IF('TL10'!$B$229=J$3,SUMIF('TL10'!$C$238:$C$451,$C282,'TL10'!$J$238:$J$451),0),
IF('TL11'!$B$3=J$3,SUMIF('TL11'!$C$10:$C$224,$C282,'TL11'!$J$10:$J$224),0),
IF('TL11'!$B$229=J$3,SUMIF('TL11'!$C$238:$C$451,$C282,'TL11'!$J$238:$J$451),0),
IF('TL12'!$B$3=J$3,SUMIF('TL12'!$C$10:$C$224,$C282,'TL12'!$J$10:$J$224),0),
IF('TL12'!$B$229=J$3,SUMIF('TL12'!$C$238:$C$451,$C282,'TL12'!$J$238:$J$451),0),
IF('TL13'!$B$3=J$3,SUMIF('TL13'!$C$10:$C$224,$C282,'TL13'!$J$10:$J$224),0),
IF('TL13'!$B$229=J$3,SUMIF('TL13'!$C$238:$C$451,$C282,'TL13'!$J$238:$J$451),0),
IF('TL14'!$B$3=J$3,SUMIF('TL14'!$C$10:$C$224,$C282,'TL14'!$J$10:$J$224),0),
IF('TL14'!$B$229=J$3,SUMIF('TL14'!$C$238:$C$451,$C282,'TL14'!$J$238:$J$451),0),
IF('TL15'!$B$3=J$3,SUMIF('TL15'!$C$10:$C$224,$C282,'TL15'!$J$10:$J$224),0),
IF('TL15'!$B$229=J$3,SUMIF('TL15'!$C$238:$C$451,$C282,'TL15'!$J$238:$J$451),0),
IF('TL16'!$B$3=J$3,SUMIF('TL16'!$C$10:$C$224,$C282,'TL16'!$J$10:$J$224),0),
IF('TL16'!$B$229=J$3,SUMIF('TL16'!$C$238:$C$451,$C282,'TL16'!$J$238:$J$451),0),
IF('TL17'!$B$3=J$3,SUMIF('TL17'!$C$10:$C$224,$C282,'TL17'!$J$10:$J$224),0),
IF('TL17'!$B$229=J$3,SUMIF('TL17'!$C$238:$C$451,$C282,'TL17'!$J$238:$J$451),0),
IF('TL18'!$B$3=J$3,SUMIF('TL18'!$C$10:$C$224,$C282,'TL18'!$J$10:$J$224),0),
IF('TL18'!$B$229=J$3,SUMIF('TL18'!$C$238:$C$451,$C282,'TL18'!$J$238:$J$451),0),
IF('TL19'!$B$3=J$3,SUMIF('TL19'!$C$10:$C$224,$C282,'TL19'!$J$10:$J$224),0),
IF('TL19'!$B$229=J$3,SUMIF('TL19'!$C$238:$C$451,$C282,'TL19'!$J$238:$J$451),0)
),0)</f>
        <v>0</v>
      </c>
      <c r="K282" s="9">
        <f>IFERROR(SUM(
IF('TL01'!$B$3=K$3,SUMIF('TL01'!$C$10:$C$224,$C282,'TL01'!$J$10:$J$224),0),
IF('TL01'!$B$229=K$3,SUMIF('TL01'!$C$238:$C$451,$C282,'TL01'!$J$238:$J$451),0),
IF('TL02'!$B$3=K$3,SUMIF('TL02'!$C$10:$C$224,$C282,'TL02'!$J$10:$J$224),0),
IF('TL02'!$B$229=K$3,SUMIF('TL02'!$C$238:$C$451,$C282,'TL02'!$J$238:$J$451),0),
IF('TL03'!$B$3=K$3,SUMIF('TL03'!$C$10:$C$224,$C282,'TL03'!$J$10:$J$224),0),
IF('TL03'!$B$229=K$3,SUMIF('TL03'!$C$238:$C$451,$C282,'TL03'!$J$238:$J$451),0),
IF('TL04'!$B$3=K$3,SUMIF('TL04'!$C$10:$C$224,$C282,'TL04'!$J$10:$J$224),0),
IF('TL04'!$B$229=K$3,SUMIF('TL04'!$C$238:$C$451,$C282,'TL04'!$J$238:$J$451),0),
IF('TL05'!$B$3=K$3,SUMIF('TL05'!$C$10:$C$224,$C282,'TL05'!$J$10:$J$224),0),
IF('TL05'!$B$229=K$3,SUMIF('TL05'!$C$238:$C$451,$C282,'TL05'!$J$238:$J$451),0),
IF('TL06'!$B$3=K$3,SUMIF('TL06'!$C$10:$C$224,$C282,'TL06'!$J$10:$J$224),0),
IF('TL06'!$B$229=K$3,SUMIF('TL06'!$C$238:$C$451,$C282,'TL06'!$J$238:$J$451),0),
IF('TL07'!$B$3=K$3,SUMIF('TL07'!$C$10:$C$224,$C282,'TL07'!$J$10:$J$224),0),
IF('TL07'!$B$229=K$3,SUMIF('TL07'!$C$238:$C$451,$C282,'TL07'!$J$238:$J$451),0),
IF('TL08'!$B$3=K$3,SUMIF('TL08'!$C$10:$C$224,$C282,'TL08'!$J$10:$J$224),0),
IF('TL08'!$B$229=K$3,SUMIF('TL08'!$C$238:$C$451,$C282,'TL08'!$J$238:$J$451),0),
IF('TL09'!$B$3=K$3,SUMIF('TL09'!$C$10:$C$224,$C282,'TL09'!$J$10:$J$224),0),
IF('TL09'!$B$229=K$3,SUMIF('TL09'!$C$238:$C$451,$C282,'TL09'!$J$238:$J$451),0),
IF('TL10'!$B$3=K$3,SUMIF('TL10'!$C$10:$C$224,$C282,'TL10'!$J$10:$J$224),0),
IF('TL10'!$B$229=K$3,SUMIF('TL10'!$C$238:$C$451,$C282,'TL10'!$J$238:$J$451),0),
IF('TL11'!$B$3=K$3,SUMIF('TL11'!$C$10:$C$224,$C282,'TL11'!$J$10:$J$224),0),
IF('TL11'!$B$229=K$3,SUMIF('TL11'!$C$238:$C$451,$C282,'TL11'!$J$238:$J$451),0),
IF('TL12'!$B$3=K$3,SUMIF('TL12'!$C$10:$C$224,$C282,'TL12'!$J$10:$J$224),0),
IF('TL12'!$B$229=K$3,SUMIF('TL12'!$C$238:$C$451,$C282,'TL12'!$J$238:$J$451),0),
IF('TL13'!$B$3=K$3,SUMIF('TL13'!$C$10:$C$224,$C282,'TL13'!$J$10:$J$224),0),
IF('TL13'!$B$229=K$3,SUMIF('TL13'!$C$238:$C$451,$C282,'TL13'!$J$238:$J$451),0),
IF('TL14'!$B$3=K$3,SUMIF('TL14'!$C$10:$C$224,$C282,'TL14'!$J$10:$J$224),0),
IF('TL14'!$B$229=K$3,SUMIF('TL14'!$C$238:$C$451,$C282,'TL14'!$J$238:$J$451),0),
IF('TL15'!$B$3=K$3,SUMIF('TL15'!$C$10:$C$224,$C282,'TL15'!$J$10:$J$224),0),
IF('TL15'!$B$229=K$3,SUMIF('TL15'!$C$238:$C$451,$C282,'TL15'!$J$238:$J$451),0),
IF('TL16'!$B$3=K$3,SUMIF('TL16'!$C$10:$C$224,$C282,'TL16'!$J$10:$J$224),0),
IF('TL16'!$B$229=K$3,SUMIF('TL16'!$C$238:$C$451,$C282,'TL16'!$J$238:$J$451),0),
IF('TL17'!$B$3=K$3,SUMIF('TL17'!$C$10:$C$224,$C282,'TL17'!$J$10:$J$224),0),
IF('TL17'!$B$229=K$3,SUMIF('TL17'!$C$238:$C$451,$C282,'TL17'!$J$238:$J$451),0),
IF('TL18'!$B$3=K$3,SUMIF('TL18'!$C$10:$C$224,$C282,'TL18'!$J$10:$J$224),0),
IF('TL18'!$B$229=K$3,SUMIF('TL18'!$C$238:$C$451,$C282,'TL18'!$J$238:$J$451),0),
IF('TL19'!$B$3=K$3,SUMIF('TL19'!$C$10:$C$224,$C282,'TL19'!$J$10:$J$224),0),
IF('TL19'!$B$229=K$3,SUMIF('TL19'!$C$238:$C$451,$C282,'TL19'!$J$238:$J$451),0)
),0)</f>
        <v>0</v>
      </c>
      <c r="L282" s="9">
        <f>IFERROR(SUM(
IF('TL01'!$B$3=L$3,SUMIF('TL01'!$C$10:$C$224,$C282,'TL01'!$J$10:$J$224),0),
IF('TL01'!$B$229=L$3,SUMIF('TL01'!$C$238:$C$451,$C282,'TL01'!$J$238:$J$451),0),
IF('TL02'!$B$3=L$3,SUMIF('TL02'!$C$10:$C$224,$C282,'TL02'!$J$10:$J$224),0),
IF('TL02'!$B$229=L$3,SUMIF('TL02'!$C$238:$C$451,$C282,'TL02'!$J$238:$J$451),0),
IF('TL03'!$B$3=L$3,SUMIF('TL03'!$C$10:$C$224,$C282,'TL03'!$J$10:$J$224),0),
IF('TL03'!$B$229=L$3,SUMIF('TL03'!$C$238:$C$451,$C282,'TL03'!$J$238:$J$451),0),
IF('TL04'!$B$3=L$3,SUMIF('TL04'!$C$10:$C$224,$C282,'TL04'!$J$10:$J$224),0),
IF('TL04'!$B$229=L$3,SUMIF('TL04'!$C$238:$C$451,$C282,'TL04'!$J$238:$J$451),0),
IF('TL05'!$B$3=L$3,SUMIF('TL05'!$C$10:$C$224,$C282,'TL05'!$J$10:$J$224),0),
IF('TL05'!$B$229=L$3,SUMIF('TL05'!$C$238:$C$451,$C282,'TL05'!$J$238:$J$451),0),
IF('TL06'!$B$3=L$3,SUMIF('TL06'!$C$10:$C$224,$C282,'TL06'!$J$10:$J$224),0),
IF('TL06'!$B$229=L$3,SUMIF('TL06'!$C$238:$C$451,$C282,'TL06'!$J$238:$J$451),0),
IF('TL07'!$B$3=L$3,SUMIF('TL07'!$C$10:$C$224,$C282,'TL07'!$J$10:$J$224),0),
IF('TL07'!$B$229=L$3,SUMIF('TL07'!$C$238:$C$451,$C282,'TL07'!$J$238:$J$451),0),
IF('TL08'!$B$3=L$3,SUMIF('TL08'!$C$10:$C$224,$C282,'TL08'!$J$10:$J$224),0),
IF('TL08'!$B$229=L$3,SUMIF('TL08'!$C$238:$C$451,$C282,'TL08'!$J$238:$J$451),0),
IF('TL09'!$B$3=L$3,SUMIF('TL09'!$C$10:$C$224,$C282,'TL09'!$J$10:$J$224),0),
IF('TL09'!$B$229=L$3,SUMIF('TL09'!$C$238:$C$451,$C282,'TL09'!$J$238:$J$451),0),
IF('TL10'!$B$3=L$3,SUMIF('TL10'!$C$10:$C$224,$C282,'TL10'!$J$10:$J$224),0),
IF('TL10'!$B$229=L$3,SUMIF('TL10'!$C$238:$C$451,$C282,'TL10'!$J$238:$J$451),0),
IF('TL11'!$B$3=L$3,SUMIF('TL11'!$C$10:$C$224,$C282,'TL11'!$J$10:$J$224),0),
IF('TL11'!$B$229=L$3,SUMIF('TL11'!$C$238:$C$451,$C282,'TL11'!$J$238:$J$451),0),
IF('TL12'!$B$3=L$3,SUMIF('TL12'!$C$10:$C$224,$C282,'TL12'!$J$10:$J$224),0),
IF('TL12'!$B$229=L$3,SUMIF('TL12'!$C$238:$C$451,$C282,'TL12'!$J$238:$J$451),0),
IF('TL13'!$B$3=L$3,SUMIF('TL13'!$C$10:$C$224,$C282,'TL13'!$J$10:$J$224),0),
IF('TL13'!$B$229=L$3,SUMIF('TL13'!$C$238:$C$451,$C282,'TL13'!$J$238:$J$451),0),
IF('TL14'!$B$3=L$3,SUMIF('TL14'!$C$10:$C$224,$C282,'TL14'!$J$10:$J$224),0),
IF('TL14'!$B$229=L$3,SUMIF('TL14'!$C$238:$C$451,$C282,'TL14'!$J$238:$J$451),0),
IF('TL15'!$B$3=L$3,SUMIF('TL15'!$C$10:$C$224,$C282,'TL15'!$J$10:$J$224),0),
IF('TL15'!$B$229=L$3,SUMIF('TL15'!$C$238:$C$451,$C282,'TL15'!$J$238:$J$451),0),
IF('TL16'!$B$3=L$3,SUMIF('TL16'!$C$10:$C$224,$C282,'TL16'!$J$10:$J$224),0),
IF('TL16'!$B$229=L$3,SUMIF('TL16'!$C$238:$C$451,$C282,'TL16'!$J$238:$J$451),0),
IF('TL17'!$B$3=L$3,SUMIF('TL17'!$C$10:$C$224,$C282,'TL17'!$J$10:$J$224),0),
IF('TL17'!$B$229=L$3,SUMIF('TL17'!$C$238:$C$451,$C282,'TL17'!$J$238:$J$451),0),
IF('TL18'!$B$3=L$3,SUMIF('TL18'!$C$10:$C$224,$C282,'TL18'!$J$10:$J$224),0),
IF('TL18'!$B$229=L$3,SUMIF('TL18'!$C$238:$C$451,$C282,'TL18'!$J$238:$J$451),0),
IF('TL19'!$B$3=L$3,SUMIF('TL19'!$C$10:$C$224,$C282,'TL19'!$J$10:$J$224),0),
IF('TL19'!$B$229=L$3,SUMIF('TL19'!$C$238:$C$451,$C282,'TL19'!$J$238:$J$451),0)
),0)</f>
        <v>0</v>
      </c>
      <c r="M282" s="9">
        <f>IFERROR(SUM(
IF('TL01'!$B$3=M$3,SUMIF('TL01'!$C$10:$C$224,$C282,'TL01'!$J$10:$J$224),0),
IF('TL01'!$B$229=M$3,SUMIF('TL01'!$C$238:$C$451,$C282,'TL01'!$J$238:$J$451),0),
IF('TL02'!$B$3=M$3,SUMIF('TL02'!$C$10:$C$224,$C282,'TL02'!$J$10:$J$224),0),
IF('TL02'!$B$229=M$3,SUMIF('TL02'!$C$238:$C$451,$C282,'TL02'!$J$238:$J$451),0),
IF('TL03'!$B$3=M$3,SUMIF('TL03'!$C$10:$C$224,$C282,'TL03'!$J$10:$J$224),0),
IF('TL03'!$B$229=M$3,SUMIF('TL03'!$C$238:$C$451,$C282,'TL03'!$J$238:$J$451),0),
IF('TL04'!$B$3=M$3,SUMIF('TL04'!$C$10:$C$224,$C282,'TL04'!$J$10:$J$224),0),
IF('TL04'!$B$229=M$3,SUMIF('TL04'!$C$238:$C$451,$C282,'TL04'!$J$238:$J$451),0),
IF('TL05'!$B$3=M$3,SUMIF('TL05'!$C$10:$C$224,$C282,'TL05'!$J$10:$J$224),0),
IF('TL05'!$B$229=M$3,SUMIF('TL05'!$C$238:$C$451,$C282,'TL05'!$J$238:$J$451),0),
IF('TL06'!$B$3=M$3,SUMIF('TL06'!$C$10:$C$224,$C282,'TL06'!$J$10:$J$224),0),
IF('TL06'!$B$229=M$3,SUMIF('TL06'!$C$238:$C$451,$C282,'TL06'!$J$238:$J$451),0),
IF('TL07'!$B$3=M$3,SUMIF('TL07'!$C$10:$C$224,$C282,'TL07'!$J$10:$J$224),0),
IF('TL07'!$B$229=M$3,SUMIF('TL07'!$C$238:$C$451,$C282,'TL07'!$J$238:$J$451),0),
IF('TL08'!$B$3=M$3,SUMIF('TL08'!$C$10:$C$224,$C282,'TL08'!$J$10:$J$224),0),
IF('TL08'!$B$229=M$3,SUMIF('TL08'!$C$238:$C$451,$C282,'TL08'!$J$238:$J$451),0),
IF('TL09'!$B$3=M$3,SUMIF('TL09'!$C$10:$C$224,$C282,'TL09'!$J$10:$J$224),0),
IF('TL09'!$B$229=M$3,SUMIF('TL09'!$C$238:$C$451,$C282,'TL09'!$J$238:$J$451),0),
IF('TL10'!$B$3=M$3,SUMIF('TL10'!$C$10:$C$224,$C282,'TL10'!$J$10:$J$224),0),
IF('TL10'!$B$229=M$3,SUMIF('TL10'!$C$238:$C$451,$C282,'TL10'!$J$238:$J$451),0),
IF('TL11'!$B$3=M$3,SUMIF('TL11'!$C$10:$C$224,$C282,'TL11'!$J$10:$J$224),0),
IF('TL11'!$B$229=M$3,SUMIF('TL11'!$C$238:$C$451,$C282,'TL11'!$J$238:$J$451),0),
IF('TL12'!$B$3=M$3,SUMIF('TL12'!$C$10:$C$224,$C282,'TL12'!$J$10:$J$224),0),
IF('TL12'!$B$229=M$3,SUMIF('TL12'!$C$238:$C$451,$C282,'TL12'!$J$238:$J$451),0),
IF('TL13'!$B$3=M$3,SUMIF('TL13'!$C$10:$C$224,$C282,'TL13'!$J$10:$J$224),0),
IF('TL13'!$B$229=M$3,SUMIF('TL13'!$C$238:$C$451,$C282,'TL13'!$J$238:$J$451),0),
IF('TL14'!$B$3=M$3,SUMIF('TL14'!$C$10:$C$224,$C282,'TL14'!$J$10:$J$224),0),
IF('TL14'!$B$229=M$3,SUMIF('TL14'!$C$238:$C$451,$C282,'TL14'!$J$238:$J$451),0),
IF('TL15'!$B$3=M$3,SUMIF('TL15'!$C$10:$C$224,$C282,'TL15'!$J$10:$J$224),0),
IF('TL15'!$B$229=M$3,SUMIF('TL15'!$C$238:$C$451,$C282,'TL15'!$J$238:$J$451),0),
IF('TL16'!$B$3=M$3,SUMIF('TL16'!$C$10:$C$224,$C282,'TL16'!$J$10:$J$224),0),
IF('TL16'!$B$229=M$3,SUMIF('TL16'!$C$238:$C$451,$C282,'TL16'!$J$238:$J$451),0),
IF('TL17'!$B$3=M$3,SUMIF('TL17'!$C$10:$C$224,$C282,'TL17'!$J$10:$J$224),0),
IF('TL17'!$B$229=M$3,SUMIF('TL17'!$C$238:$C$451,$C282,'TL17'!$J$238:$J$451),0),
IF('TL18'!$B$3=M$3,SUMIF('TL18'!$C$10:$C$224,$C282,'TL18'!$J$10:$J$224),0),
IF('TL18'!$B$229=M$3,SUMIF('TL18'!$C$238:$C$451,$C282,'TL18'!$J$238:$J$451),0),
IF('TL19'!$B$3=M$3,SUMIF('TL19'!$C$10:$C$224,$C282,'TL19'!$J$10:$J$224),0),
IF('TL19'!$B$229=M$3,SUMIF('TL19'!$C$238:$C$451,$C282,'TL19'!$J$238:$J$451),0)
),0)</f>
        <v>0</v>
      </c>
      <c r="N282" s="9">
        <f>IFERROR(SUM(
IF('TL01'!$B$3=N$3,SUMIF('TL01'!$C$10:$C$224,$C282,'TL01'!$J$10:$J$224),0),
IF('TL01'!$B$229=N$3,SUMIF('TL01'!$C$238:$C$451,$C282,'TL01'!$J$238:$J$451),0),
IF('TL02'!$B$3=N$3,SUMIF('TL02'!$C$10:$C$224,$C282,'TL02'!$J$10:$J$224),0),
IF('TL02'!$B$229=N$3,SUMIF('TL02'!$C$238:$C$451,$C282,'TL02'!$J$238:$J$451),0),
IF('TL03'!$B$3=N$3,SUMIF('TL03'!$C$10:$C$224,$C282,'TL03'!$J$10:$J$224),0),
IF('TL03'!$B$229=N$3,SUMIF('TL03'!$C$238:$C$451,$C282,'TL03'!$J$238:$J$451),0),
IF('TL04'!$B$3=N$3,SUMIF('TL04'!$C$10:$C$224,$C282,'TL04'!$J$10:$J$224),0),
IF('TL04'!$B$229=N$3,SUMIF('TL04'!$C$238:$C$451,$C282,'TL04'!$J$238:$J$451),0),
IF('TL05'!$B$3=N$3,SUMIF('TL05'!$C$10:$C$224,$C282,'TL05'!$J$10:$J$224),0),
IF('TL05'!$B$229=N$3,SUMIF('TL05'!$C$238:$C$451,$C282,'TL05'!$J$238:$J$451),0),
IF('TL06'!$B$3=N$3,SUMIF('TL06'!$C$10:$C$224,$C282,'TL06'!$J$10:$J$224),0),
IF('TL06'!$B$229=N$3,SUMIF('TL06'!$C$238:$C$451,$C282,'TL06'!$J$238:$J$451),0),
IF('TL07'!$B$3=N$3,SUMIF('TL07'!$C$10:$C$224,$C282,'TL07'!$J$10:$J$224),0),
IF('TL07'!$B$229=N$3,SUMIF('TL07'!$C$238:$C$451,$C282,'TL07'!$J$238:$J$451),0),
IF('TL08'!$B$3=N$3,SUMIF('TL08'!$C$10:$C$224,$C282,'TL08'!$J$10:$J$224),0),
IF('TL08'!$B$229=N$3,SUMIF('TL08'!$C$238:$C$451,$C282,'TL08'!$J$238:$J$451),0),
IF('TL09'!$B$3=N$3,SUMIF('TL09'!$C$10:$C$224,$C282,'TL09'!$J$10:$J$224),0),
IF('TL09'!$B$229=N$3,SUMIF('TL09'!$C$238:$C$451,$C282,'TL09'!$J$238:$J$451),0),
IF('TL10'!$B$3=N$3,SUMIF('TL10'!$C$10:$C$224,$C282,'TL10'!$J$10:$J$224),0),
IF('TL10'!$B$229=N$3,SUMIF('TL10'!$C$238:$C$451,$C282,'TL10'!$J$238:$J$451),0),
IF('TL11'!$B$3=N$3,SUMIF('TL11'!$C$10:$C$224,$C282,'TL11'!$J$10:$J$224),0),
IF('TL11'!$B$229=N$3,SUMIF('TL11'!$C$238:$C$451,$C282,'TL11'!$J$238:$J$451),0),
IF('TL12'!$B$3=N$3,SUMIF('TL12'!$C$10:$C$224,$C282,'TL12'!$J$10:$J$224),0),
IF('TL12'!$B$229=N$3,SUMIF('TL12'!$C$238:$C$451,$C282,'TL12'!$J$238:$J$451),0),
IF('TL13'!$B$3=N$3,SUMIF('TL13'!$C$10:$C$224,$C282,'TL13'!$J$10:$J$224),0),
IF('TL13'!$B$229=N$3,SUMIF('TL13'!$C$238:$C$451,$C282,'TL13'!$J$238:$J$451),0),
IF('TL14'!$B$3=N$3,SUMIF('TL14'!$C$10:$C$224,$C282,'TL14'!$J$10:$J$224),0),
IF('TL14'!$B$229=N$3,SUMIF('TL14'!$C$238:$C$451,$C282,'TL14'!$J$238:$J$451),0),
IF('TL15'!$B$3=N$3,SUMIF('TL15'!$C$10:$C$224,$C282,'TL15'!$J$10:$J$224),0),
IF('TL15'!$B$229=N$3,SUMIF('TL15'!$C$238:$C$451,$C282,'TL15'!$J$238:$J$451),0),
IF('TL16'!$B$3=N$3,SUMIF('TL16'!$C$10:$C$224,$C282,'TL16'!$J$10:$J$224),0),
IF('TL16'!$B$229=N$3,SUMIF('TL16'!$C$238:$C$451,$C282,'TL16'!$J$238:$J$451),0),
IF('TL17'!$B$3=N$3,SUMIF('TL17'!$C$10:$C$224,$C282,'TL17'!$J$10:$J$224),0),
IF('TL17'!$B$229=N$3,SUMIF('TL17'!$C$238:$C$451,$C282,'TL17'!$J$238:$J$451),0),
IF('TL18'!$B$3=N$3,SUMIF('TL18'!$C$10:$C$224,$C282,'TL18'!$J$10:$J$224),0),
IF('TL18'!$B$229=N$3,SUMIF('TL18'!$C$238:$C$451,$C282,'TL18'!$J$238:$J$451),0),
IF('TL19'!$B$3=N$3,SUMIF('TL19'!$C$10:$C$224,$C282,'TL19'!$J$10:$J$224),0),
IF('TL19'!$B$229=N$3,SUMIF('TL19'!$C$238:$C$451,$C282,'TL19'!$J$238:$J$451),0)
),0)</f>
        <v>0</v>
      </c>
      <c r="O282" s="9">
        <f>IFERROR(SUM(
IF('TL01'!$B$3=O$3,SUMIF('TL01'!$C$10:$C$224,$C282,'TL01'!$J$10:$J$224),0),
IF('TL01'!$B$229=O$3,SUMIF('TL01'!$C$238:$C$451,$C282,'TL01'!$J$238:$J$451),0),
IF('TL02'!$B$3=O$3,SUMIF('TL02'!$C$10:$C$224,$C282,'TL02'!$J$10:$J$224),0),
IF('TL02'!$B$229=O$3,SUMIF('TL02'!$C$238:$C$451,$C282,'TL02'!$J$238:$J$451),0),
IF('TL03'!$B$3=O$3,SUMIF('TL03'!$C$10:$C$224,$C282,'TL03'!$J$10:$J$224),0),
IF('TL03'!$B$229=O$3,SUMIF('TL03'!$C$238:$C$451,$C282,'TL03'!$J$238:$J$451),0),
IF('TL04'!$B$3=O$3,SUMIF('TL04'!$C$10:$C$224,$C282,'TL04'!$J$10:$J$224),0),
IF('TL04'!$B$229=O$3,SUMIF('TL04'!$C$238:$C$451,$C282,'TL04'!$J$238:$J$451),0),
IF('TL05'!$B$3=O$3,SUMIF('TL05'!$C$10:$C$224,$C282,'TL05'!$J$10:$J$224),0),
IF('TL05'!$B$229=O$3,SUMIF('TL05'!$C$238:$C$451,$C282,'TL05'!$J$238:$J$451),0),
IF('TL06'!$B$3=O$3,SUMIF('TL06'!$C$10:$C$224,$C282,'TL06'!$J$10:$J$224),0),
IF('TL06'!$B$229=O$3,SUMIF('TL06'!$C$238:$C$451,$C282,'TL06'!$J$238:$J$451),0),
IF('TL07'!$B$3=O$3,SUMIF('TL07'!$C$10:$C$224,$C282,'TL07'!$J$10:$J$224),0),
IF('TL07'!$B$229=O$3,SUMIF('TL07'!$C$238:$C$451,$C282,'TL07'!$J$238:$J$451),0),
IF('TL08'!$B$3=O$3,SUMIF('TL08'!$C$10:$C$224,$C282,'TL08'!$J$10:$J$224),0),
IF('TL08'!$B$229=O$3,SUMIF('TL08'!$C$238:$C$451,$C282,'TL08'!$J$238:$J$451),0),
IF('TL09'!$B$3=O$3,SUMIF('TL09'!$C$10:$C$224,$C282,'TL09'!$J$10:$J$224),0),
IF('TL09'!$B$229=O$3,SUMIF('TL09'!$C$238:$C$451,$C282,'TL09'!$J$238:$J$451),0),
IF('TL10'!$B$3=O$3,SUMIF('TL10'!$C$10:$C$224,$C282,'TL10'!$J$10:$J$224),0),
IF('TL10'!$B$229=O$3,SUMIF('TL10'!$C$238:$C$451,$C282,'TL10'!$J$238:$J$451),0),
IF('TL11'!$B$3=O$3,SUMIF('TL11'!$C$10:$C$224,$C282,'TL11'!$J$10:$J$224),0),
IF('TL11'!$B$229=O$3,SUMIF('TL11'!$C$238:$C$451,$C282,'TL11'!$J$238:$J$451),0),
IF('TL12'!$B$3=O$3,SUMIF('TL12'!$C$10:$C$224,$C282,'TL12'!$J$10:$J$224),0),
IF('TL12'!$B$229=O$3,SUMIF('TL12'!$C$238:$C$451,$C282,'TL12'!$J$238:$J$451),0),
IF('TL13'!$B$3=O$3,SUMIF('TL13'!$C$10:$C$224,$C282,'TL13'!$J$10:$J$224),0),
IF('TL13'!$B$229=O$3,SUMIF('TL13'!$C$238:$C$451,$C282,'TL13'!$J$238:$J$451),0),
IF('TL14'!$B$3=O$3,SUMIF('TL14'!$C$10:$C$224,$C282,'TL14'!$J$10:$J$224),0),
IF('TL14'!$B$229=O$3,SUMIF('TL14'!$C$238:$C$451,$C282,'TL14'!$J$238:$J$451),0),
IF('TL15'!$B$3=O$3,SUMIF('TL15'!$C$10:$C$224,$C282,'TL15'!$J$10:$J$224),0),
IF('TL15'!$B$229=O$3,SUMIF('TL15'!$C$238:$C$451,$C282,'TL15'!$J$238:$J$451),0),
IF('TL16'!$B$3=O$3,SUMIF('TL16'!$C$10:$C$224,$C282,'TL16'!$J$10:$J$224),0),
IF('TL16'!$B$229=O$3,SUMIF('TL16'!$C$238:$C$451,$C282,'TL16'!$J$238:$J$451),0),
IF('TL17'!$B$3=O$3,SUMIF('TL17'!$C$10:$C$224,$C282,'TL17'!$J$10:$J$224),0),
IF('TL17'!$B$229=O$3,SUMIF('TL17'!$C$238:$C$451,$C282,'TL17'!$J$238:$J$451),0),
IF('TL18'!$B$3=O$3,SUMIF('TL18'!$C$10:$C$224,$C282,'TL18'!$J$10:$J$224),0),
IF('TL18'!$B$229=O$3,SUMIF('TL18'!$C$238:$C$451,$C282,'TL18'!$J$238:$J$451),0),
IF('TL19'!$B$3=O$3,SUMIF('TL19'!$C$10:$C$224,$C282,'TL19'!$J$10:$J$224),0),
IF('TL19'!$B$229=O$3,SUMIF('TL19'!$C$238:$C$451,$C282,'TL19'!$J$238:$J$451),0)
),0)</f>
        <v>0</v>
      </c>
      <c r="P282" s="9">
        <f>IFERROR(SUM(
IF('TL01'!$B$3=P$3,SUMIF('TL01'!$C$10:$C$224,$C282,'TL01'!$J$10:$J$224),0),
IF('TL01'!$B$229=P$3,SUMIF('TL01'!$C$238:$C$451,$C282,'TL01'!$J$238:$J$451),0),
IF('TL02'!$B$3=P$3,SUMIF('TL02'!$C$10:$C$224,$C282,'TL02'!$J$10:$J$224),0),
IF('TL02'!$B$229=P$3,SUMIF('TL02'!$C$238:$C$451,$C282,'TL02'!$J$238:$J$451),0),
IF('TL03'!$B$3=P$3,SUMIF('TL03'!$C$10:$C$224,$C282,'TL03'!$J$10:$J$224),0),
IF('TL03'!$B$229=P$3,SUMIF('TL03'!$C$238:$C$451,$C282,'TL03'!$J$238:$J$451),0),
IF('TL04'!$B$3=P$3,SUMIF('TL04'!$C$10:$C$224,$C282,'TL04'!$J$10:$J$224),0),
IF('TL04'!$B$229=P$3,SUMIF('TL04'!$C$238:$C$451,$C282,'TL04'!$J$238:$J$451),0),
IF('TL05'!$B$3=P$3,SUMIF('TL05'!$C$10:$C$224,$C282,'TL05'!$J$10:$J$224),0),
IF('TL05'!$B$229=P$3,SUMIF('TL05'!$C$238:$C$451,$C282,'TL05'!$J$238:$J$451),0),
IF('TL06'!$B$3=P$3,SUMIF('TL06'!$C$10:$C$224,$C282,'TL06'!$J$10:$J$224),0),
IF('TL06'!$B$229=P$3,SUMIF('TL06'!$C$238:$C$451,$C282,'TL06'!$J$238:$J$451),0),
IF('TL07'!$B$3=P$3,SUMIF('TL07'!$C$10:$C$224,$C282,'TL07'!$J$10:$J$224),0),
IF('TL07'!$B$229=P$3,SUMIF('TL07'!$C$238:$C$451,$C282,'TL07'!$J$238:$J$451),0),
IF('TL08'!$B$3=P$3,SUMIF('TL08'!$C$10:$C$224,$C282,'TL08'!$J$10:$J$224),0),
IF('TL08'!$B$229=P$3,SUMIF('TL08'!$C$238:$C$451,$C282,'TL08'!$J$238:$J$451),0),
IF('TL09'!$B$3=P$3,SUMIF('TL09'!$C$10:$C$224,$C282,'TL09'!$J$10:$J$224),0),
IF('TL09'!$B$229=P$3,SUMIF('TL09'!$C$238:$C$451,$C282,'TL09'!$J$238:$J$451),0),
IF('TL10'!$B$3=P$3,SUMIF('TL10'!$C$10:$C$224,$C282,'TL10'!$J$10:$J$224),0),
IF('TL10'!$B$229=P$3,SUMIF('TL10'!$C$238:$C$451,$C282,'TL10'!$J$238:$J$451),0),
IF('TL11'!$B$3=P$3,SUMIF('TL11'!$C$10:$C$224,$C282,'TL11'!$J$10:$J$224),0),
IF('TL11'!$B$229=P$3,SUMIF('TL11'!$C$238:$C$451,$C282,'TL11'!$J$238:$J$451),0),
IF('TL12'!$B$3=P$3,SUMIF('TL12'!$C$10:$C$224,$C282,'TL12'!$J$10:$J$224),0),
IF('TL12'!$B$229=P$3,SUMIF('TL12'!$C$238:$C$451,$C282,'TL12'!$J$238:$J$451),0),
IF('TL13'!$B$3=P$3,SUMIF('TL13'!$C$10:$C$224,$C282,'TL13'!$J$10:$J$224),0),
IF('TL13'!$B$229=P$3,SUMIF('TL13'!$C$238:$C$451,$C282,'TL13'!$J$238:$J$451),0),
IF('TL14'!$B$3=P$3,SUMIF('TL14'!$C$10:$C$224,$C282,'TL14'!$J$10:$J$224),0),
IF('TL14'!$B$229=P$3,SUMIF('TL14'!$C$238:$C$451,$C282,'TL14'!$J$238:$J$451),0),
IF('TL15'!$B$3=P$3,SUMIF('TL15'!$C$10:$C$224,$C282,'TL15'!$J$10:$J$224),0),
IF('TL15'!$B$229=P$3,SUMIF('TL15'!$C$238:$C$451,$C282,'TL15'!$J$238:$J$451),0),
IF('TL16'!$B$3=P$3,SUMIF('TL16'!$C$10:$C$224,$C282,'TL16'!$J$10:$J$224),0),
IF('TL16'!$B$229=P$3,SUMIF('TL16'!$C$238:$C$451,$C282,'TL16'!$J$238:$J$451),0),
IF('TL17'!$B$3=P$3,SUMIF('TL17'!$C$10:$C$224,$C282,'TL17'!$J$10:$J$224),0),
IF('TL17'!$B$229=P$3,SUMIF('TL17'!$C$238:$C$451,$C282,'TL17'!$J$238:$J$451),0),
IF('TL18'!$B$3=P$3,SUMIF('TL18'!$C$10:$C$224,$C282,'TL18'!$J$10:$J$224),0),
IF('TL18'!$B$229=P$3,SUMIF('TL18'!$C$238:$C$451,$C282,'TL18'!$J$238:$J$451),0),
IF('TL19'!$B$3=P$3,SUMIF('TL19'!$C$10:$C$224,$C282,'TL19'!$J$10:$J$224),0),
IF('TL19'!$B$229=P$3,SUMIF('TL19'!$C$238:$C$451,$C282,'TL19'!$J$238:$J$451),0)
),0)</f>
        <v>0</v>
      </c>
      <c r="Q282" s="9">
        <f>IFERROR(SUM(
IF('TL01'!$B$3=Q$3,SUMIF('TL01'!$C$10:$C$224,$C282,'TL01'!$J$10:$J$224),0),
IF('TL01'!$B$229=Q$3,SUMIF('TL01'!$C$238:$C$451,$C282,'TL01'!$J$238:$J$451),0),
IF('TL02'!$B$3=Q$3,SUMIF('TL02'!$C$10:$C$224,$C282,'TL02'!$J$10:$J$224),0),
IF('TL02'!$B$229=Q$3,SUMIF('TL02'!$C$238:$C$451,$C282,'TL02'!$J$238:$J$451),0),
IF('TL03'!$B$3=Q$3,SUMIF('TL03'!$C$10:$C$224,$C282,'TL03'!$J$10:$J$224),0),
IF('TL03'!$B$229=Q$3,SUMIF('TL03'!$C$238:$C$451,$C282,'TL03'!$J$238:$J$451),0),
IF('TL04'!$B$3=Q$3,SUMIF('TL04'!$C$10:$C$224,$C282,'TL04'!$J$10:$J$224),0),
IF('TL04'!$B$229=Q$3,SUMIF('TL04'!$C$238:$C$451,$C282,'TL04'!$J$238:$J$451),0),
IF('TL05'!$B$3=Q$3,SUMIF('TL05'!$C$10:$C$224,$C282,'TL05'!$J$10:$J$224),0),
IF('TL05'!$B$229=Q$3,SUMIF('TL05'!$C$238:$C$451,$C282,'TL05'!$J$238:$J$451),0),
IF('TL06'!$B$3=Q$3,SUMIF('TL06'!$C$10:$C$224,$C282,'TL06'!$J$10:$J$224),0),
IF('TL06'!$B$229=Q$3,SUMIF('TL06'!$C$238:$C$451,$C282,'TL06'!$J$238:$J$451),0),
IF('TL07'!$B$3=Q$3,SUMIF('TL07'!$C$10:$C$224,$C282,'TL07'!$J$10:$J$224),0),
IF('TL07'!$B$229=Q$3,SUMIF('TL07'!$C$238:$C$451,$C282,'TL07'!$J$238:$J$451),0),
IF('TL08'!$B$3=Q$3,SUMIF('TL08'!$C$10:$C$224,$C282,'TL08'!$J$10:$J$224),0),
IF('TL08'!$B$229=Q$3,SUMIF('TL08'!$C$238:$C$451,$C282,'TL08'!$J$238:$J$451),0),
IF('TL09'!$B$3=Q$3,SUMIF('TL09'!$C$10:$C$224,$C282,'TL09'!$J$10:$J$224),0),
IF('TL09'!$B$229=Q$3,SUMIF('TL09'!$C$238:$C$451,$C282,'TL09'!$J$238:$J$451),0),
IF('TL10'!$B$3=Q$3,SUMIF('TL10'!$C$10:$C$224,$C282,'TL10'!$J$10:$J$224),0),
IF('TL10'!$B$229=Q$3,SUMIF('TL10'!$C$238:$C$451,$C282,'TL10'!$J$238:$J$451),0),
IF('TL11'!$B$3=Q$3,SUMIF('TL11'!$C$10:$C$224,$C282,'TL11'!$J$10:$J$224),0),
IF('TL11'!$B$229=Q$3,SUMIF('TL11'!$C$238:$C$451,$C282,'TL11'!$J$238:$J$451),0),
IF('TL12'!$B$3=Q$3,SUMIF('TL12'!$C$10:$C$224,$C282,'TL12'!$J$10:$J$224),0),
IF('TL12'!$B$229=Q$3,SUMIF('TL12'!$C$238:$C$451,$C282,'TL12'!$J$238:$J$451),0),
IF('TL13'!$B$3=Q$3,SUMIF('TL13'!$C$10:$C$224,$C282,'TL13'!$J$10:$J$224),0),
IF('TL13'!$B$229=Q$3,SUMIF('TL13'!$C$238:$C$451,$C282,'TL13'!$J$238:$J$451),0),
IF('TL14'!$B$3=Q$3,SUMIF('TL14'!$C$10:$C$224,$C282,'TL14'!$J$10:$J$224),0),
IF('TL14'!$B$229=Q$3,SUMIF('TL14'!$C$238:$C$451,$C282,'TL14'!$J$238:$J$451),0),
IF('TL15'!$B$3=Q$3,SUMIF('TL15'!$C$10:$C$224,$C282,'TL15'!$J$10:$J$224),0),
IF('TL15'!$B$229=Q$3,SUMIF('TL15'!$C$238:$C$451,$C282,'TL15'!$J$238:$J$451),0),
IF('TL16'!$B$3=Q$3,SUMIF('TL16'!$C$10:$C$224,$C282,'TL16'!$J$10:$J$224),0),
IF('TL16'!$B$229=Q$3,SUMIF('TL16'!$C$238:$C$451,$C282,'TL16'!$J$238:$J$451),0),
IF('TL17'!$B$3=Q$3,SUMIF('TL17'!$C$10:$C$224,$C282,'TL17'!$J$10:$J$224),0),
IF('TL17'!$B$229=Q$3,SUMIF('TL17'!$C$238:$C$451,$C282,'TL17'!$J$238:$J$451),0),
IF('TL18'!$B$3=Q$3,SUMIF('TL18'!$C$10:$C$224,$C282,'TL18'!$J$10:$J$224),0),
IF('TL18'!$B$229=Q$3,SUMIF('TL18'!$C$238:$C$451,$C282,'TL18'!$J$238:$J$451),0),
IF('TL19'!$B$3=Q$3,SUMIF('TL19'!$C$10:$C$224,$C282,'TL19'!$J$10:$J$224),0),
IF('TL19'!$B$229=Q$3,SUMIF('TL19'!$C$238:$C$451,$C282,'TL19'!$J$238:$J$451),0)
),0)</f>
        <v>0</v>
      </c>
      <c r="R282" s="9">
        <f>IFERROR(
SUM(
SUMIF('TL01'!C:C,C282,'TL01'!J:J),
SUMIF('TL02'!C:C,C282,'TL02'!J:J),
SUMIF('TL03'!C:C,C282,'TL03'!J:J),
SUMIF('TL04'!C:C,C282,'TL04'!J:J),
SUMIF('TL05'!C:C,C282,'TL05'!J:J),
SUMIF('TL06'!C:C,C282,'TL06'!J:J),
SUMIF('TL07'!C:C,C282,'TL07'!J:J),
SUMIF('TL08'!C:C,C282,'TL08'!J:J),
SUMIF('TL09'!C:C,C282,'TL09'!J:J),
SUMIF('TL10'!C:C,C282,'TL10'!J:J),
SUMIF('TL11'!C:C,C282,'TL11'!J:J),
SUMIF('TL12'!C:C,C282,'TL12'!J:J),
SUMIF('TL13'!C:C,C282,'TL13'!J:J),
SUMIF('TL14'!C:C,C282,'TL14'!J:J),
SUMIF('TL15'!C:C,C282,'TL15'!J:J),
SUMIF('TL16'!C:C,C282,'TL16'!J:J),
SUMIF('TL17'!C:C,C282,'TL17'!J:J),
SUMIF('TL18'!C:C,C282,'TL18'!J:J),SUMIF('TL19'!C:C,C282,'TL19'!J:J))
,0)</f>
        <v>0</v>
      </c>
      <c r="S282" s="17" t="str">
        <f>IFERROR(__xludf.DUMMYFUNCTION("IFERROR(VLOOKUP(C282,
IMPORTRANGE(""1wULbzX32WdYsx-lj2U3uUNBBe2INVIRDtcK0d-Dvl90"",
""26-27!C:G""),
5,
FALSE),
"""")"),"")</f>
        <v/>
      </c>
      <c r="T282" s="9"/>
      <c r="U282" s="92">
        <f t="shared" si="2"/>
        <v>0</v>
      </c>
      <c r="V282" s="93">
        <f t="shared" si="3"/>
        <v>0</v>
      </c>
    </row>
    <row r="283" ht="15.75" hidden="1" customHeight="1">
      <c r="A283" s="4"/>
      <c r="B283" s="125" t="s">
        <v>9</v>
      </c>
      <c r="C283" s="4" t="s">
        <v>990</v>
      </c>
      <c r="D283" s="6"/>
      <c r="E283" s="9"/>
      <c r="F283" s="4" t="s">
        <v>392</v>
      </c>
      <c r="G283" s="9"/>
      <c r="H283" s="9">
        <v>1.0</v>
      </c>
      <c r="I283" s="1"/>
      <c r="J283" s="9">
        <f>IFERROR(SUM(
IF('TL01'!$B$3=J$3,SUMIF('TL01'!$C$10:$C$224,$C283,'TL01'!$J$10:$J$224),0),
IF('TL01'!$B$229=J$3,SUMIF('TL01'!$C$238:$C$451,$C283,'TL01'!$J$238:$J$451),0),
IF('TL02'!$B$3=J$3,SUMIF('TL02'!$C$10:$C$224,$C283,'TL02'!$J$10:$J$224),0),
IF('TL02'!$B$229=J$3,SUMIF('TL02'!$C$238:$C$451,$C283,'TL02'!$J$238:$J$451),0),
IF('TL03'!$B$3=J$3,SUMIF('TL03'!$C$10:$C$224,$C283,'TL03'!$J$10:$J$224),0),
IF('TL03'!$B$229=J$3,SUMIF('TL03'!$C$238:$C$451,$C283,'TL03'!$J$238:$J$451),0),
IF('TL04'!$B$3=J$3,SUMIF('TL04'!$C$10:$C$224,$C283,'TL04'!$J$10:$J$224),0),
IF('TL04'!$B$229=J$3,SUMIF('TL04'!$C$238:$C$451,$C283,'TL04'!$J$238:$J$451),0),
IF('TL05'!$B$3=J$3,SUMIF('TL05'!$C$10:$C$224,$C283,'TL05'!$J$10:$J$224),0),
IF('TL05'!$B$229=J$3,SUMIF('TL05'!$C$238:$C$451,$C283,'TL05'!$J$238:$J$451),0),
IF('TL06'!$B$3=J$3,SUMIF('TL06'!$C$10:$C$224,$C283,'TL06'!$J$10:$J$224),0),
IF('TL06'!$B$229=J$3,SUMIF('TL06'!$C$238:$C$451,$C283,'TL06'!$J$238:$J$451),0),
IF('TL07'!$B$3=J$3,SUMIF('TL07'!$C$10:$C$224,$C283,'TL07'!$J$10:$J$224),0),
IF('TL07'!$B$229=J$3,SUMIF('TL07'!$C$238:$C$451,$C283,'TL07'!$J$238:$J$451),0),
IF('TL08'!$B$3=J$3,SUMIF('TL08'!$C$10:$C$224,$C283,'TL08'!$J$10:$J$224),0),
IF('TL08'!$B$229=J$3,SUMIF('TL08'!$C$238:$C$451,$C283,'TL08'!$J$238:$J$451),0),
IF('TL09'!$B$3=J$3,SUMIF('TL09'!$C$10:$C$224,$C283,'TL09'!$J$10:$J$224),0),
IF('TL09'!$B$229=J$3,SUMIF('TL09'!$C$238:$C$451,$C283,'TL09'!$J$238:$J$451),0),
IF('TL10'!$B$3=J$3,SUMIF('TL10'!$C$10:$C$224,$C283,'TL10'!$J$10:$J$224),0),
IF('TL10'!$B$229=J$3,SUMIF('TL10'!$C$238:$C$451,$C283,'TL10'!$J$238:$J$451),0),
IF('TL11'!$B$3=J$3,SUMIF('TL11'!$C$10:$C$224,$C283,'TL11'!$J$10:$J$224),0),
IF('TL11'!$B$229=J$3,SUMIF('TL11'!$C$238:$C$451,$C283,'TL11'!$J$238:$J$451),0),
IF('TL12'!$B$3=J$3,SUMIF('TL12'!$C$10:$C$224,$C283,'TL12'!$J$10:$J$224),0),
IF('TL12'!$B$229=J$3,SUMIF('TL12'!$C$238:$C$451,$C283,'TL12'!$J$238:$J$451),0),
IF('TL13'!$B$3=J$3,SUMIF('TL13'!$C$10:$C$224,$C283,'TL13'!$J$10:$J$224),0),
IF('TL13'!$B$229=J$3,SUMIF('TL13'!$C$238:$C$451,$C283,'TL13'!$J$238:$J$451),0),
IF('TL14'!$B$3=J$3,SUMIF('TL14'!$C$10:$C$224,$C283,'TL14'!$J$10:$J$224),0),
IF('TL14'!$B$229=J$3,SUMIF('TL14'!$C$238:$C$451,$C283,'TL14'!$J$238:$J$451),0),
IF('TL15'!$B$3=J$3,SUMIF('TL15'!$C$10:$C$224,$C283,'TL15'!$J$10:$J$224),0),
IF('TL15'!$B$229=J$3,SUMIF('TL15'!$C$238:$C$451,$C283,'TL15'!$J$238:$J$451),0),
IF('TL16'!$B$3=J$3,SUMIF('TL16'!$C$10:$C$224,$C283,'TL16'!$J$10:$J$224),0),
IF('TL16'!$B$229=J$3,SUMIF('TL16'!$C$238:$C$451,$C283,'TL16'!$J$238:$J$451),0),
IF('TL17'!$B$3=J$3,SUMIF('TL17'!$C$10:$C$224,$C283,'TL17'!$J$10:$J$224),0),
IF('TL17'!$B$229=J$3,SUMIF('TL17'!$C$238:$C$451,$C283,'TL17'!$J$238:$J$451),0),
IF('TL18'!$B$3=J$3,SUMIF('TL18'!$C$10:$C$224,$C283,'TL18'!$J$10:$J$224),0),
IF('TL18'!$B$229=J$3,SUMIF('TL18'!$C$238:$C$451,$C283,'TL18'!$J$238:$J$451),0),
IF('TL19'!$B$3=J$3,SUMIF('TL19'!$C$10:$C$224,$C283,'TL19'!$J$10:$J$224),0),
IF('TL19'!$B$229=J$3,SUMIF('TL19'!$C$238:$C$451,$C283,'TL19'!$J$238:$J$451),0)
),0)</f>
        <v>0</v>
      </c>
      <c r="K283" s="9">
        <f>IFERROR(SUM(
IF('TL01'!$B$3=K$3,SUMIF('TL01'!$C$10:$C$224,$C283,'TL01'!$J$10:$J$224),0),
IF('TL01'!$B$229=K$3,SUMIF('TL01'!$C$238:$C$451,$C283,'TL01'!$J$238:$J$451),0),
IF('TL02'!$B$3=K$3,SUMIF('TL02'!$C$10:$C$224,$C283,'TL02'!$J$10:$J$224),0),
IF('TL02'!$B$229=K$3,SUMIF('TL02'!$C$238:$C$451,$C283,'TL02'!$J$238:$J$451),0),
IF('TL03'!$B$3=K$3,SUMIF('TL03'!$C$10:$C$224,$C283,'TL03'!$J$10:$J$224),0),
IF('TL03'!$B$229=K$3,SUMIF('TL03'!$C$238:$C$451,$C283,'TL03'!$J$238:$J$451),0),
IF('TL04'!$B$3=K$3,SUMIF('TL04'!$C$10:$C$224,$C283,'TL04'!$J$10:$J$224),0),
IF('TL04'!$B$229=K$3,SUMIF('TL04'!$C$238:$C$451,$C283,'TL04'!$J$238:$J$451),0),
IF('TL05'!$B$3=K$3,SUMIF('TL05'!$C$10:$C$224,$C283,'TL05'!$J$10:$J$224),0),
IF('TL05'!$B$229=K$3,SUMIF('TL05'!$C$238:$C$451,$C283,'TL05'!$J$238:$J$451),0),
IF('TL06'!$B$3=K$3,SUMIF('TL06'!$C$10:$C$224,$C283,'TL06'!$J$10:$J$224),0),
IF('TL06'!$B$229=K$3,SUMIF('TL06'!$C$238:$C$451,$C283,'TL06'!$J$238:$J$451),0),
IF('TL07'!$B$3=K$3,SUMIF('TL07'!$C$10:$C$224,$C283,'TL07'!$J$10:$J$224),0),
IF('TL07'!$B$229=K$3,SUMIF('TL07'!$C$238:$C$451,$C283,'TL07'!$J$238:$J$451),0),
IF('TL08'!$B$3=K$3,SUMIF('TL08'!$C$10:$C$224,$C283,'TL08'!$J$10:$J$224),0),
IF('TL08'!$B$229=K$3,SUMIF('TL08'!$C$238:$C$451,$C283,'TL08'!$J$238:$J$451),0),
IF('TL09'!$B$3=K$3,SUMIF('TL09'!$C$10:$C$224,$C283,'TL09'!$J$10:$J$224),0),
IF('TL09'!$B$229=K$3,SUMIF('TL09'!$C$238:$C$451,$C283,'TL09'!$J$238:$J$451),0),
IF('TL10'!$B$3=K$3,SUMIF('TL10'!$C$10:$C$224,$C283,'TL10'!$J$10:$J$224),0),
IF('TL10'!$B$229=K$3,SUMIF('TL10'!$C$238:$C$451,$C283,'TL10'!$J$238:$J$451),0),
IF('TL11'!$B$3=K$3,SUMIF('TL11'!$C$10:$C$224,$C283,'TL11'!$J$10:$J$224),0),
IF('TL11'!$B$229=K$3,SUMIF('TL11'!$C$238:$C$451,$C283,'TL11'!$J$238:$J$451),0),
IF('TL12'!$B$3=K$3,SUMIF('TL12'!$C$10:$C$224,$C283,'TL12'!$J$10:$J$224),0),
IF('TL12'!$B$229=K$3,SUMIF('TL12'!$C$238:$C$451,$C283,'TL12'!$J$238:$J$451),0),
IF('TL13'!$B$3=K$3,SUMIF('TL13'!$C$10:$C$224,$C283,'TL13'!$J$10:$J$224),0),
IF('TL13'!$B$229=K$3,SUMIF('TL13'!$C$238:$C$451,$C283,'TL13'!$J$238:$J$451),0),
IF('TL14'!$B$3=K$3,SUMIF('TL14'!$C$10:$C$224,$C283,'TL14'!$J$10:$J$224),0),
IF('TL14'!$B$229=K$3,SUMIF('TL14'!$C$238:$C$451,$C283,'TL14'!$J$238:$J$451),0),
IF('TL15'!$B$3=K$3,SUMIF('TL15'!$C$10:$C$224,$C283,'TL15'!$J$10:$J$224),0),
IF('TL15'!$B$229=K$3,SUMIF('TL15'!$C$238:$C$451,$C283,'TL15'!$J$238:$J$451),0),
IF('TL16'!$B$3=K$3,SUMIF('TL16'!$C$10:$C$224,$C283,'TL16'!$J$10:$J$224),0),
IF('TL16'!$B$229=K$3,SUMIF('TL16'!$C$238:$C$451,$C283,'TL16'!$J$238:$J$451),0),
IF('TL17'!$B$3=K$3,SUMIF('TL17'!$C$10:$C$224,$C283,'TL17'!$J$10:$J$224),0),
IF('TL17'!$B$229=K$3,SUMIF('TL17'!$C$238:$C$451,$C283,'TL17'!$J$238:$J$451),0),
IF('TL18'!$B$3=K$3,SUMIF('TL18'!$C$10:$C$224,$C283,'TL18'!$J$10:$J$224),0),
IF('TL18'!$B$229=K$3,SUMIF('TL18'!$C$238:$C$451,$C283,'TL18'!$J$238:$J$451),0),
IF('TL19'!$B$3=K$3,SUMIF('TL19'!$C$10:$C$224,$C283,'TL19'!$J$10:$J$224),0),
IF('TL19'!$B$229=K$3,SUMIF('TL19'!$C$238:$C$451,$C283,'TL19'!$J$238:$J$451),0)
),0)</f>
        <v>0</v>
      </c>
      <c r="L283" s="9">
        <f>IFERROR(SUM(
IF('TL01'!$B$3=L$3,SUMIF('TL01'!$C$10:$C$224,$C283,'TL01'!$J$10:$J$224),0),
IF('TL01'!$B$229=L$3,SUMIF('TL01'!$C$238:$C$451,$C283,'TL01'!$J$238:$J$451),0),
IF('TL02'!$B$3=L$3,SUMIF('TL02'!$C$10:$C$224,$C283,'TL02'!$J$10:$J$224),0),
IF('TL02'!$B$229=L$3,SUMIF('TL02'!$C$238:$C$451,$C283,'TL02'!$J$238:$J$451),0),
IF('TL03'!$B$3=L$3,SUMIF('TL03'!$C$10:$C$224,$C283,'TL03'!$J$10:$J$224),0),
IF('TL03'!$B$229=L$3,SUMIF('TL03'!$C$238:$C$451,$C283,'TL03'!$J$238:$J$451),0),
IF('TL04'!$B$3=L$3,SUMIF('TL04'!$C$10:$C$224,$C283,'TL04'!$J$10:$J$224),0),
IF('TL04'!$B$229=L$3,SUMIF('TL04'!$C$238:$C$451,$C283,'TL04'!$J$238:$J$451),0),
IF('TL05'!$B$3=L$3,SUMIF('TL05'!$C$10:$C$224,$C283,'TL05'!$J$10:$J$224),0),
IF('TL05'!$B$229=L$3,SUMIF('TL05'!$C$238:$C$451,$C283,'TL05'!$J$238:$J$451),0),
IF('TL06'!$B$3=L$3,SUMIF('TL06'!$C$10:$C$224,$C283,'TL06'!$J$10:$J$224),0),
IF('TL06'!$B$229=L$3,SUMIF('TL06'!$C$238:$C$451,$C283,'TL06'!$J$238:$J$451),0),
IF('TL07'!$B$3=L$3,SUMIF('TL07'!$C$10:$C$224,$C283,'TL07'!$J$10:$J$224),0),
IF('TL07'!$B$229=L$3,SUMIF('TL07'!$C$238:$C$451,$C283,'TL07'!$J$238:$J$451),0),
IF('TL08'!$B$3=L$3,SUMIF('TL08'!$C$10:$C$224,$C283,'TL08'!$J$10:$J$224),0),
IF('TL08'!$B$229=L$3,SUMIF('TL08'!$C$238:$C$451,$C283,'TL08'!$J$238:$J$451),0),
IF('TL09'!$B$3=L$3,SUMIF('TL09'!$C$10:$C$224,$C283,'TL09'!$J$10:$J$224),0),
IF('TL09'!$B$229=L$3,SUMIF('TL09'!$C$238:$C$451,$C283,'TL09'!$J$238:$J$451),0),
IF('TL10'!$B$3=L$3,SUMIF('TL10'!$C$10:$C$224,$C283,'TL10'!$J$10:$J$224),0),
IF('TL10'!$B$229=L$3,SUMIF('TL10'!$C$238:$C$451,$C283,'TL10'!$J$238:$J$451),0),
IF('TL11'!$B$3=L$3,SUMIF('TL11'!$C$10:$C$224,$C283,'TL11'!$J$10:$J$224),0),
IF('TL11'!$B$229=L$3,SUMIF('TL11'!$C$238:$C$451,$C283,'TL11'!$J$238:$J$451),0),
IF('TL12'!$B$3=L$3,SUMIF('TL12'!$C$10:$C$224,$C283,'TL12'!$J$10:$J$224),0),
IF('TL12'!$B$229=L$3,SUMIF('TL12'!$C$238:$C$451,$C283,'TL12'!$J$238:$J$451),0),
IF('TL13'!$B$3=L$3,SUMIF('TL13'!$C$10:$C$224,$C283,'TL13'!$J$10:$J$224),0),
IF('TL13'!$B$229=L$3,SUMIF('TL13'!$C$238:$C$451,$C283,'TL13'!$J$238:$J$451),0),
IF('TL14'!$B$3=L$3,SUMIF('TL14'!$C$10:$C$224,$C283,'TL14'!$J$10:$J$224),0),
IF('TL14'!$B$229=L$3,SUMIF('TL14'!$C$238:$C$451,$C283,'TL14'!$J$238:$J$451),0),
IF('TL15'!$B$3=L$3,SUMIF('TL15'!$C$10:$C$224,$C283,'TL15'!$J$10:$J$224),0),
IF('TL15'!$B$229=L$3,SUMIF('TL15'!$C$238:$C$451,$C283,'TL15'!$J$238:$J$451),0),
IF('TL16'!$B$3=L$3,SUMIF('TL16'!$C$10:$C$224,$C283,'TL16'!$J$10:$J$224),0),
IF('TL16'!$B$229=L$3,SUMIF('TL16'!$C$238:$C$451,$C283,'TL16'!$J$238:$J$451),0),
IF('TL17'!$B$3=L$3,SUMIF('TL17'!$C$10:$C$224,$C283,'TL17'!$J$10:$J$224),0),
IF('TL17'!$B$229=L$3,SUMIF('TL17'!$C$238:$C$451,$C283,'TL17'!$J$238:$J$451),0),
IF('TL18'!$B$3=L$3,SUMIF('TL18'!$C$10:$C$224,$C283,'TL18'!$J$10:$J$224),0),
IF('TL18'!$B$229=L$3,SUMIF('TL18'!$C$238:$C$451,$C283,'TL18'!$J$238:$J$451),0),
IF('TL19'!$B$3=L$3,SUMIF('TL19'!$C$10:$C$224,$C283,'TL19'!$J$10:$J$224),0),
IF('TL19'!$B$229=L$3,SUMIF('TL19'!$C$238:$C$451,$C283,'TL19'!$J$238:$J$451),0)
),0)</f>
        <v>0</v>
      </c>
      <c r="M283" s="9">
        <f>IFERROR(SUM(
IF('TL01'!$B$3=M$3,SUMIF('TL01'!$C$10:$C$224,$C283,'TL01'!$J$10:$J$224),0),
IF('TL01'!$B$229=M$3,SUMIF('TL01'!$C$238:$C$451,$C283,'TL01'!$J$238:$J$451),0),
IF('TL02'!$B$3=M$3,SUMIF('TL02'!$C$10:$C$224,$C283,'TL02'!$J$10:$J$224),0),
IF('TL02'!$B$229=M$3,SUMIF('TL02'!$C$238:$C$451,$C283,'TL02'!$J$238:$J$451),0),
IF('TL03'!$B$3=M$3,SUMIF('TL03'!$C$10:$C$224,$C283,'TL03'!$J$10:$J$224),0),
IF('TL03'!$B$229=M$3,SUMIF('TL03'!$C$238:$C$451,$C283,'TL03'!$J$238:$J$451),0),
IF('TL04'!$B$3=M$3,SUMIF('TL04'!$C$10:$C$224,$C283,'TL04'!$J$10:$J$224),0),
IF('TL04'!$B$229=M$3,SUMIF('TL04'!$C$238:$C$451,$C283,'TL04'!$J$238:$J$451),0),
IF('TL05'!$B$3=M$3,SUMIF('TL05'!$C$10:$C$224,$C283,'TL05'!$J$10:$J$224),0),
IF('TL05'!$B$229=M$3,SUMIF('TL05'!$C$238:$C$451,$C283,'TL05'!$J$238:$J$451),0),
IF('TL06'!$B$3=M$3,SUMIF('TL06'!$C$10:$C$224,$C283,'TL06'!$J$10:$J$224),0),
IF('TL06'!$B$229=M$3,SUMIF('TL06'!$C$238:$C$451,$C283,'TL06'!$J$238:$J$451),0),
IF('TL07'!$B$3=M$3,SUMIF('TL07'!$C$10:$C$224,$C283,'TL07'!$J$10:$J$224),0),
IF('TL07'!$B$229=M$3,SUMIF('TL07'!$C$238:$C$451,$C283,'TL07'!$J$238:$J$451),0),
IF('TL08'!$B$3=M$3,SUMIF('TL08'!$C$10:$C$224,$C283,'TL08'!$J$10:$J$224),0),
IF('TL08'!$B$229=M$3,SUMIF('TL08'!$C$238:$C$451,$C283,'TL08'!$J$238:$J$451),0),
IF('TL09'!$B$3=M$3,SUMIF('TL09'!$C$10:$C$224,$C283,'TL09'!$J$10:$J$224),0),
IF('TL09'!$B$229=M$3,SUMIF('TL09'!$C$238:$C$451,$C283,'TL09'!$J$238:$J$451),0),
IF('TL10'!$B$3=M$3,SUMIF('TL10'!$C$10:$C$224,$C283,'TL10'!$J$10:$J$224),0),
IF('TL10'!$B$229=M$3,SUMIF('TL10'!$C$238:$C$451,$C283,'TL10'!$J$238:$J$451),0),
IF('TL11'!$B$3=M$3,SUMIF('TL11'!$C$10:$C$224,$C283,'TL11'!$J$10:$J$224),0),
IF('TL11'!$B$229=M$3,SUMIF('TL11'!$C$238:$C$451,$C283,'TL11'!$J$238:$J$451),0),
IF('TL12'!$B$3=M$3,SUMIF('TL12'!$C$10:$C$224,$C283,'TL12'!$J$10:$J$224),0),
IF('TL12'!$B$229=M$3,SUMIF('TL12'!$C$238:$C$451,$C283,'TL12'!$J$238:$J$451),0),
IF('TL13'!$B$3=M$3,SUMIF('TL13'!$C$10:$C$224,$C283,'TL13'!$J$10:$J$224),0),
IF('TL13'!$B$229=M$3,SUMIF('TL13'!$C$238:$C$451,$C283,'TL13'!$J$238:$J$451),0),
IF('TL14'!$B$3=M$3,SUMIF('TL14'!$C$10:$C$224,$C283,'TL14'!$J$10:$J$224),0),
IF('TL14'!$B$229=M$3,SUMIF('TL14'!$C$238:$C$451,$C283,'TL14'!$J$238:$J$451),0),
IF('TL15'!$B$3=M$3,SUMIF('TL15'!$C$10:$C$224,$C283,'TL15'!$J$10:$J$224),0),
IF('TL15'!$B$229=M$3,SUMIF('TL15'!$C$238:$C$451,$C283,'TL15'!$J$238:$J$451),0),
IF('TL16'!$B$3=M$3,SUMIF('TL16'!$C$10:$C$224,$C283,'TL16'!$J$10:$J$224),0),
IF('TL16'!$B$229=M$3,SUMIF('TL16'!$C$238:$C$451,$C283,'TL16'!$J$238:$J$451),0),
IF('TL17'!$B$3=M$3,SUMIF('TL17'!$C$10:$C$224,$C283,'TL17'!$J$10:$J$224),0),
IF('TL17'!$B$229=M$3,SUMIF('TL17'!$C$238:$C$451,$C283,'TL17'!$J$238:$J$451),0),
IF('TL18'!$B$3=M$3,SUMIF('TL18'!$C$10:$C$224,$C283,'TL18'!$J$10:$J$224),0),
IF('TL18'!$B$229=M$3,SUMIF('TL18'!$C$238:$C$451,$C283,'TL18'!$J$238:$J$451),0),
IF('TL19'!$B$3=M$3,SUMIF('TL19'!$C$10:$C$224,$C283,'TL19'!$J$10:$J$224),0),
IF('TL19'!$B$229=M$3,SUMIF('TL19'!$C$238:$C$451,$C283,'TL19'!$J$238:$J$451),0)
),0)</f>
        <v>0</v>
      </c>
      <c r="N283" s="9">
        <f>IFERROR(SUM(
IF('TL01'!$B$3=N$3,SUMIF('TL01'!$C$10:$C$224,$C283,'TL01'!$J$10:$J$224),0),
IF('TL01'!$B$229=N$3,SUMIF('TL01'!$C$238:$C$451,$C283,'TL01'!$J$238:$J$451),0),
IF('TL02'!$B$3=N$3,SUMIF('TL02'!$C$10:$C$224,$C283,'TL02'!$J$10:$J$224),0),
IF('TL02'!$B$229=N$3,SUMIF('TL02'!$C$238:$C$451,$C283,'TL02'!$J$238:$J$451),0),
IF('TL03'!$B$3=N$3,SUMIF('TL03'!$C$10:$C$224,$C283,'TL03'!$J$10:$J$224),0),
IF('TL03'!$B$229=N$3,SUMIF('TL03'!$C$238:$C$451,$C283,'TL03'!$J$238:$J$451),0),
IF('TL04'!$B$3=N$3,SUMIF('TL04'!$C$10:$C$224,$C283,'TL04'!$J$10:$J$224),0),
IF('TL04'!$B$229=N$3,SUMIF('TL04'!$C$238:$C$451,$C283,'TL04'!$J$238:$J$451),0),
IF('TL05'!$B$3=N$3,SUMIF('TL05'!$C$10:$C$224,$C283,'TL05'!$J$10:$J$224),0),
IF('TL05'!$B$229=N$3,SUMIF('TL05'!$C$238:$C$451,$C283,'TL05'!$J$238:$J$451),0),
IF('TL06'!$B$3=N$3,SUMIF('TL06'!$C$10:$C$224,$C283,'TL06'!$J$10:$J$224),0),
IF('TL06'!$B$229=N$3,SUMIF('TL06'!$C$238:$C$451,$C283,'TL06'!$J$238:$J$451),0),
IF('TL07'!$B$3=N$3,SUMIF('TL07'!$C$10:$C$224,$C283,'TL07'!$J$10:$J$224),0),
IF('TL07'!$B$229=N$3,SUMIF('TL07'!$C$238:$C$451,$C283,'TL07'!$J$238:$J$451),0),
IF('TL08'!$B$3=N$3,SUMIF('TL08'!$C$10:$C$224,$C283,'TL08'!$J$10:$J$224),0),
IF('TL08'!$B$229=N$3,SUMIF('TL08'!$C$238:$C$451,$C283,'TL08'!$J$238:$J$451),0),
IF('TL09'!$B$3=N$3,SUMIF('TL09'!$C$10:$C$224,$C283,'TL09'!$J$10:$J$224),0),
IF('TL09'!$B$229=N$3,SUMIF('TL09'!$C$238:$C$451,$C283,'TL09'!$J$238:$J$451),0),
IF('TL10'!$B$3=N$3,SUMIF('TL10'!$C$10:$C$224,$C283,'TL10'!$J$10:$J$224),0),
IF('TL10'!$B$229=N$3,SUMIF('TL10'!$C$238:$C$451,$C283,'TL10'!$J$238:$J$451),0),
IF('TL11'!$B$3=N$3,SUMIF('TL11'!$C$10:$C$224,$C283,'TL11'!$J$10:$J$224),0),
IF('TL11'!$B$229=N$3,SUMIF('TL11'!$C$238:$C$451,$C283,'TL11'!$J$238:$J$451),0),
IF('TL12'!$B$3=N$3,SUMIF('TL12'!$C$10:$C$224,$C283,'TL12'!$J$10:$J$224),0),
IF('TL12'!$B$229=N$3,SUMIF('TL12'!$C$238:$C$451,$C283,'TL12'!$J$238:$J$451),0),
IF('TL13'!$B$3=N$3,SUMIF('TL13'!$C$10:$C$224,$C283,'TL13'!$J$10:$J$224),0),
IF('TL13'!$B$229=N$3,SUMIF('TL13'!$C$238:$C$451,$C283,'TL13'!$J$238:$J$451),0),
IF('TL14'!$B$3=N$3,SUMIF('TL14'!$C$10:$C$224,$C283,'TL14'!$J$10:$J$224),0),
IF('TL14'!$B$229=N$3,SUMIF('TL14'!$C$238:$C$451,$C283,'TL14'!$J$238:$J$451),0),
IF('TL15'!$B$3=N$3,SUMIF('TL15'!$C$10:$C$224,$C283,'TL15'!$J$10:$J$224),0),
IF('TL15'!$B$229=N$3,SUMIF('TL15'!$C$238:$C$451,$C283,'TL15'!$J$238:$J$451),0),
IF('TL16'!$B$3=N$3,SUMIF('TL16'!$C$10:$C$224,$C283,'TL16'!$J$10:$J$224),0),
IF('TL16'!$B$229=N$3,SUMIF('TL16'!$C$238:$C$451,$C283,'TL16'!$J$238:$J$451),0),
IF('TL17'!$B$3=N$3,SUMIF('TL17'!$C$10:$C$224,$C283,'TL17'!$J$10:$J$224),0),
IF('TL17'!$B$229=N$3,SUMIF('TL17'!$C$238:$C$451,$C283,'TL17'!$J$238:$J$451),0),
IF('TL18'!$B$3=N$3,SUMIF('TL18'!$C$10:$C$224,$C283,'TL18'!$J$10:$J$224),0),
IF('TL18'!$B$229=N$3,SUMIF('TL18'!$C$238:$C$451,$C283,'TL18'!$J$238:$J$451),0),
IF('TL19'!$B$3=N$3,SUMIF('TL19'!$C$10:$C$224,$C283,'TL19'!$J$10:$J$224),0),
IF('TL19'!$B$229=N$3,SUMIF('TL19'!$C$238:$C$451,$C283,'TL19'!$J$238:$J$451),0)
),0)</f>
        <v>0</v>
      </c>
      <c r="O283" s="9">
        <f>IFERROR(SUM(
IF('TL01'!$B$3=O$3,SUMIF('TL01'!$C$10:$C$224,$C283,'TL01'!$J$10:$J$224),0),
IF('TL01'!$B$229=O$3,SUMIF('TL01'!$C$238:$C$451,$C283,'TL01'!$J$238:$J$451),0),
IF('TL02'!$B$3=O$3,SUMIF('TL02'!$C$10:$C$224,$C283,'TL02'!$J$10:$J$224),0),
IF('TL02'!$B$229=O$3,SUMIF('TL02'!$C$238:$C$451,$C283,'TL02'!$J$238:$J$451),0),
IF('TL03'!$B$3=O$3,SUMIF('TL03'!$C$10:$C$224,$C283,'TL03'!$J$10:$J$224),0),
IF('TL03'!$B$229=O$3,SUMIF('TL03'!$C$238:$C$451,$C283,'TL03'!$J$238:$J$451),0),
IF('TL04'!$B$3=O$3,SUMIF('TL04'!$C$10:$C$224,$C283,'TL04'!$J$10:$J$224),0),
IF('TL04'!$B$229=O$3,SUMIF('TL04'!$C$238:$C$451,$C283,'TL04'!$J$238:$J$451),0),
IF('TL05'!$B$3=O$3,SUMIF('TL05'!$C$10:$C$224,$C283,'TL05'!$J$10:$J$224),0),
IF('TL05'!$B$229=O$3,SUMIF('TL05'!$C$238:$C$451,$C283,'TL05'!$J$238:$J$451),0),
IF('TL06'!$B$3=O$3,SUMIF('TL06'!$C$10:$C$224,$C283,'TL06'!$J$10:$J$224),0),
IF('TL06'!$B$229=O$3,SUMIF('TL06'!$C$238:$C$451,$C283,'TL06'!$J$238:$J$451),0),
IF('TL07'!$B$3=O$3,SUMIF('TL07'!$C$10:$C$224,$C283,'TL07'!$J$10:$J$224),0),
IF('TL07'!$B$229=O$3,SUMIF('TL07'!$C$238:$C$451,$C283,'TL07'!$J$238:$J$451),0),
IF('TL08'!$B$3=O$3,SUMIF('TL08'!$C$10:$C$224,$C283,'TL08'!$J$10:$J$224),0),
IF('TL08'!$B$229=O$3,SUMIF('TL08'!$C$238:$C$451,$C283,'TL08'!$J$238:$J$451),0),
IF('TL09'!$B$3=O$3,SUMIF('TL09'!$C$10:$C$224,$C283,'TL09'!$J$10:$J$224),0),
IF('TL09'!$B$229=O$3,SUMIF('TL09'!$C$238:$C$451,$C283,'TL09'!$J$238:$J$451),0),
IF('TL10'!$B$3=O$3,SUMIF('TL10'!$C$10:$C$224,$C283,'TL10'!$J$10:$J$224),0),
IF('TL10'!$B$229=O$3,SUMIF('TL10'!$C$238:$C$451,$C283,'TL10'!$J$238:$J$451),0),
IF('TL11'!$B$3=O$3,SUMIF('TL11'!$C$10:$C$224,$C283,'TL11'!$J$10:$J$224),0),
IF('TL11'!$B$229=O$3,SUMIF('TL11'!$C$238:$C$451,$C283,'TL11'!$J$238:$J$451),0),
IF('TL12'!$B$3=O$3,SUMIF('TL12'!$C$10:$C$224,$C283,'TL12'!$J$10:$J$224),0),
IF('TL12'!$B$229=O$3,SUMIF('TL12'!$C$238:$C$451,$C283,'TL12'!$J$238:$J$451),0),
IF('TL13'!$B$3=O$3,SUMIF('TL13'!$C$10:$C$224,$C283,'TL13'!$J$10:$J$224),0),
IF('TL13'!$B$229=O$3,SUMIF('TL13'!$C$238:$C$451,$C283,'TL13'!$J$238:$J$451),0),
IF('TL14'!$B$3=O$3,SUMIF('TL14'!$C$10:$C$224,$C283,'TL14'!$J$10:$J$224),0),
IF('TL14'!$B$229=O$3,SUMIF('TL14'!$C$238:$C$451,$C283,'TL14'!$J$238:$J$451),0),
IF('TL15'!$B$3=O$3,SUMIF('TL15'!$C$10:$C$224,$C283,'TL15'!$J$10:$J$224),0),
IF('TL15'!$B$229=O$3,SUMIF('TL15'!$C$238:$C$451,$C283,'TL15'!$J$238:$J$451),0),
IF('TL16'!$B$3=O$3,SUMIF('TL16'!$C$10:$C$224,$C283,'TL16'!$J$10:$J$224),0),
IF('TL16'!$B$229=O$3,SUMIF('TL16'!$C$238:$C$451,$C283,'TL16'!$J$238:$J$451),0),
IF('TL17'!$B$3=O$3,SUMIF('TL17'!$C$10:$C$224,$C283,'TL17'!$J$10:$J$224),0),
IF('TL17'!$B$229=O$3,SUMIF('TL17'!$C$238:$C$451,$C283,'TL17'!$J$238:$J$451),0),
IF('TL18'!$B$3=O$3,SUMIF('TL18'!$C$10:$C$224,$C283,'TL18'!$J$10:$J$224),0),
IF('TL18'!$B$229=O$3,SUMIF('TL18'!$C$238:$C$451,$C283,'TL18'!$J$238:$J$451),0),
IF('TL19'!$B$3=O$3,SUMIF('TL19'!$C$10:$C$224,$C283,'TL19'!$J$10:$J$224),0),
IF('TL19'!$B$229=O$3,SUMIF('TL19'!$C$238:$C$451,$C283,'TL19'!$J$238:$J$451),0)
),0)</f>
        <v>0</v>
      </c>
      <c r="P283" s="9">
        <f>IFERROR(SUM(
IF('TL01'!$B$3=P$3,SUMIF('TL01'!$C$10:$C$224,$C283,'TL01'!$J$10:$J$224),0),
IF('TL01'!$B$229=P$3,SUMIF('TL01'!$C$238:$C$451,$C283,'TL01'!$J$238:$J$451),0),
IF('TL02'!$B$3=P$3,SUMIF('TL02'!$C$10:$C$224,$C283,'TL02'!$J$10:$J$224),0),
IF('TL02'!$B$229=P$3,SUMIF('TL02'!$C$238:$C$451,$C283,'TL02'!$J$238:$J$451),0),
IF('TL03'!$B$3=P$3,SUMIF('TL03'!$C$10:$C$224,$C283,'TL03'!$J$10:$J$224),0),
IF('TL03'!$B$229=P$3,SUMIF('TL03'!$C$238:$C$451,$C283,'TL03'!$J$238:$J$451),0),
IF('TL04'!$B$3=P$3,SUMIF('TL04'!$C$10:$C$224,$C283,'TL04'!$J$10:$J$224),0),
IF('TL04'!$B$229=P$3,SUMIF('TL04'!$C$238:$C$451,$C283,'TL04'!$J$238:$J$451),0),
IF('TL05'!$B$3=P$3,SUMIF('TL05'!$C$10:$C$224,$C283,'TL05'!$J$10:$J$224),0),
IF('TL05'!$B$229=P$3,SUMIF('TL05'!$C$238:$C$451,$C283,'TL05'!$J$238:$J$451),0),
IF('TL06'!$B$3=P$3,SUMIF('TL06'!$C$10:$C$224,$C283,'TL06'!$J$10:$J$224),0),
IF('TL06'!$B$229=P$3,SUMIF('TL06'!$C$238:$C$451,$C283,'TL06'!$J$238:$J$451),0),
IF('TL07'!$B$3=P$3,SUMIF('TL07'!$C$10:$C$224,$C283,'TL07'!$J$10:$J$224),0),
IF('TL07'!$B$229=P$3,SUMIF('TL07'!$C$238:$C$451,$C283,'TL07'!$J$238:$J$451),0),
IF('TL08'!$B$3=P$3,SUMIF('TL08'!$C$10:$C$224,$C283,'TL08'!$J$10:$J$224),0),
IF('TL08'!$B$229=P$3,SUMIF('TL08'!$C$238:$C$451,$C283,'TL08'!$J$238:$J$451),0),
IF('TL09'!$B$3=P$3,SUMIF('TL09'!$C$10:$C$224,$C283,'TL09'!$J$10:$J$224),0),
IF('TL09'!$B$229=P$3,SUMIF('TL09'!$C$238:$C$451,$C283,'TL09'!$J$238:$J$451),0),
IF('TL10'!$B$3=P$3,SUMIF('TL10'!$C$10:$C$224,$C283,'TL10'!$J$10:$J$224),0),
IF('TL10'!$B$229=P$3,SUMIF('TL10'!$C$238:$C$451,$C283,'TL10'!$J$238:$J$451),0),
IF('TL11'!$B$3=P$3,SUMIF('TL11'!$C$10:$C$224,$C283,'TL11'!$J$10:$J$224),0),
IF('TL11'!$B$229=P$3,SUMIF('TL11'!$C$238:$C$451,$C283,'TL11'!$J$238:$J$451),0),
IF('TL12'!$B$3=P$3,SUMIF('TL12'!$C$10:$C$224,$C283,'TL12'!$J$10:$J$224),0),
IF('TL12'!$B$229=P$3,SUMIF('TL12'!$C$238:$C$451,$C283,'TL12'!$J$238:$J$451),0),
IF('TL13'!$B$3=P$3,SUMIF('TL13'!$C$10:$C$224,$C283,'TL13'!$J$10:$J$224),0),
IF('TL13'!$B$229=P$3,SUMIF('TL13'!$C$238:$C$451,$C283,'TL13'!$J$238:$J$451),0),
IF('TL14'!$B$3=P$3,SUMIF('TL14'!$C$10:$C$224,$C283,'TL14'!$J$10:$J$224),0),
IF('TL14'!$B$229=P$3,SUMIF('TL14'!$C$238:$C$451,$C283,'TL14'!$J$238:$J$451),0),
IF('TL15'!$B$3=P$3,SUMIF('TL15'!$C$10:$C$224,$C283,'TL15'!$J$10:$J$224),0),
IF('TL15'!$B$229=P$3,SUMIF('TL15'!$C$238:$C$451,$C283,'TL15'!$J$238:$J$451),0),
IF('TL16'!$B$3=P$3,SUMIF('TL16'!$C$10:$C$224,$C283,'TL16'!$J$10:$J$224),0),
IF('TL16'!$B$229=P$3,SUMIF('TL16'!$C$238:$C$451,$C283,'TL16'!$J$238:$J$451),0),
IF('TL17'!$B$3=P$3,SUMIF('TL17'!$C$10:$C$224,$C283,'TL17'!$J$10:$J$224),0),
IF('TL17'!$B$229=P$3,SUMIF('TL17'!$C$238:$C$451,$C283,'TL17'!$J$238:$J$451),0),
IF('TL18'!$B$3=P$3,SUMIF('TL18'!$C$10:$C$224,$C283,'TL18'!$J$10:$J$224),0),
IF('TL18'!$B$229=P$3,SUMIF('TL18'!$C$238:$C$451,$C283,'TL18'!$J$238:$J$451),0),
IF('TL19'!$B$3=P$3,SUMIF('TL19'!$C$10:$C$224,$C283,'TL19'!$J$10:$J$224),0),
IF('TL19'!$B$229=P$3,SUMIF('TL19'!$C$238:$C$451,$C283,'TL19'!$J$238:$J$451),0)
),0)</f>
        <v>0</v>
      </c>
      <c r="Q283" s="9">
        <f>IFERROR(SUM(
IF('TL01'!$B$3=Q$3,SUMIF('TL01'!$C$10:$C$224,$C283,'TL01'!$J$10:$J$224),0),
IF('TL01'!$B$229=Q$3,SUMIF('TL01'!$C$238:$C$451,$C283,'TL01'!$J$238:$J$451),0),
IF('TL02'!$B$3=Q$3,SUMIF('TL02'!$C$10:$C$224,$C283,'TL02'!$J$10:$J$224),0),
IF('TL02'!$B$229=Q$3,SUMIF('TL02'!$C$238:$C$451,$C283,'TL02'!$J$238:$J$451),0),
IF('TL03'!$B$3=Q$3,SUMIF('TL03'!$C$10:$C$224,$C283,'TL03'!$J$10:$J$224),0),
IF('TL03'!$B$229=Q$3,SUMIF('TL03'!$C$238:$C$451,$C283,'TL03'!$J$238:$J$451),0),
IF('TL04'!$B$3=Q$3,SUMIF('TL04'!$C$10:$C$224,$C283,'TL04'!$J$10:$J$224),0),
IF('TL04'!$B$229=Q$3,SUMIF('TL04'!$C$238:$C$451,$C283,'TL04'!$J$238:$J$451),0),
IF('TL05'!$B$3=Q$3,SUMIF('TL05'!$C$10:$C$224,$C283,'TL05'!$J$10:$J$224),0),
IF('TL05'!$B$229=Q$3,SUMIF('TL05'!$C$238:$C$451,$C283,'TL05'!$J$238:$J$451),0),
IF('TL06'!$B$3=Q$3,SUMIF('TL06'!$C$10:$C$224,$C283,'TL06'!$J$10:$J$224),0),
IF('TL06'!$B$229=Q$3,SUMIF('TL06'!$C$238:$C$451,$C283,'TL06'!$J$238:$J$451),0),
IF('TL07'!$B$3=Q$3,SUMIF('TL07'!$C$10:$C$224,$C283,'TL07'!$J$10:$J$224),0),
IF('TL07'!$B$229=Q$3,SUMIF('TL07'!$C$238:$C$451,$C283,'TL07'!$J$238:$J$451),0),
IF('TL08'!$B$3=Q$3,SUMIF('TL08'!$C$10:$C$224,$C283,'TL08'!$J$10:$J$224),0),
IF('TL08'!$B$229=Q$3,SUMIF('TL08'!$C$238:$C$451,$C283,'TL08'!$J$238:$J$451),0),
IF('TL09'!$B$3=Q$3,SUMIF('TL09'!$C$10:$C$224,$C283,'TL09'!$J$10:$J$224),0),
IF('TL09'!$B$229=Q$3,SUMIF('TL09'!$C$238:$C$451,$C283,'TL09'!$J$238:$J$451),0),
IF('TL10'!$B$3=Q$3,SUMIF('TL10'!$C$10:$C$224,$C283,'TL10'!$J$10:$J$224),0),
IF('TL10'!$B$229=Q$3,SUMIF('TL10'!$C$238:$C$451,$C283,'TL10'!$J$238:$J$451),0),
IF('TL11'!$B$3=Q$3,SUMIF('TL11'!$C$10:$C$224,$C283,'TL11'!$J$10:$J$224),0),
IF('TL11'!$B$229=Q$3,SUMIF('TL11'!$C$238:$C$451,$C283,'TL11'!$J$238:$J$451),0),
IF('TL12'!$B$3=Q$3,SUMIF('TL12'!$C$10:$C$224,$C283,'TL12'!$J$10:$J$224),0),
IF('TL12'!$B$229=Q$3,SUMIF('TL12'!$C$238:$C$451,$C283,'TL12'!$J$238:$J$451),0),
IF('TL13'!$B$3=Q$3,SUMIF('TL13'!$C$10:$C$224,$C283,'TL13'!$J$10:$J$224),0),
IF('TL13'!$B$229=Q$3,SUMIF('TL13'!$C$238:$C$451,$C283,'TL13'!$J$238:$J$451),0),
IF('TL14'!$B$3=Q$3,SUMIF('TL14'!$C$10:$C$224,$C283,'TL14'!$J$10:$J$224),0),
IF('TL14'!$B$229=Q$3,SUMIF('TL14'!$C$238:$C$451,$C283,'TL14'!$J$238:$J$451),0),
IF('TL15'!$B$3=Q$3,SUMIF('TL15'!$C$10:$C$224,$C283,'TL15'!$J$10:$J$224),0),
IF('TL15'!$B$229=Q$3,SUMIF('TL15'!$C$238:$C$451,$C283,'TL15'!$J$238:$J$451),0),
IF('TL16'!$B$3=Q$3,SUMIF('TL16'!$C$10:$C$224,$C283,'TL16'!$J$10:$J$224),0),
IF('TL16'!$B$229=Q$3,SUMIF('TL16'!$C$238:$C$451,$C283,'TL16'!$J$238:$J$451),0),
IF('TL17'!$B$3=Q$3,SUMIF('TL17'!$C$10:$C$224,$C283,'TL17'!$J$10:$J$224),0),
IF('TL17'!$B$229=Q$3,SUMIF('TL17'!$C$238:$C$451,$C283,'TL17'!$J$238:$J$451),0),
IF('TL18'!$B$3=Q$3,SUMIF('TL18'!$C$10:$C$224,$C283,'TL18'!$J$10:$J$224),0),
IF('TL18'!$B$229=Q$3,SUMIF('TL18'!$C$238:$C$451,$C283,'TL18'!$J$238:$J$451),0),
IF('TL19'!$B$3=Q$3,SUMIF('TL19'!$C$10:$C$224,$C283,'TL19'!$J$10:$J$224),0),
IF('TL19'!$B$229=Q$3,SUMIF('TL19'!$C$238:$C$451,$C283,'TL19'!$J$238:$J$451),0)
),0)</f>
        <v>0</v>
      </c>
      <c r="R283" s="9">
        <f>IFERROR(
SUM(
SUMIF('TL01'!C:C,C283,'TL01'!J:J),
SUMIF('TL02'!C:C,C283,'TL02'!J:J),
SUMIF('TL03'!C:C,C283,'TL03'!J:J),
SUMIF('TL04'!C:C,C283,'TL04'!J:J),
SUMIF('TL05'!C:C,C283,'TL05'!J:J),
SUMIF('TL06'!C:C,C283,'TL06'!J:J),
SUMIF('TL07'!C:C,C283,'TL07'!J:J),
SUMIF('TL08'!C:C,C283,'TL08'!J:J),
SUMIF('TL09'!C:C,C283,'TL09'!J:J),
SUMIF('TL10'!C:C,C283,'TL10'!J:J),
SUMIF('TL11'!C:C,C283,'TL11'!J:J),
SUMIF('TL12'!C:C,C283,'TL12'!J:J),
SUMIF('TL13'!C:C,C283,'TL13'!J:J),
SUMIF('TL14'!C:C,C283,'TL14'!J:J),
SUMIF('TL15'!C:C,C283,'TL15'!J:J),
SUMIF('TL16'!C:C,C283,'TL16'!J:J),
SUMIF('TL17'!C:C,C283,'TL17'!J:J),
SUMIF('TL18'!C:C,C283,'TL18'!J:J),SUMIF('TL19'!C:C,C283,'TL19'!J:J))
,0)</f>
        <v>0</v>
      </c>
      <c r="S283" s="17">
        <f>IFERROR(__xludf.DUMMYFUNCTION("IFERROR(VLOOKUP(C283,
IMPORTRANGE(""1wULbzX32WdYsx-lj2U3uUNBBe2INVIRDtcK0d-Dvl90"",
""26-27!C:G""),
5,
FALSE),
"""")"),2.14)</f>
        <v>2.14</v>
      </c>
      <c r="T283" s="9"/>
      <c r="U283" s="92">
        <f t="shared" si="2"/>
        <v>0</v>
      </c>
      <c r="V283" s="93">
        <f t="shared" si="3"/>
        <v>0</v>
      </c>
    </row>
    <row r="284" ht="15.75" hidden="1" customHeight="1">
      <c r="A284" s="4"/>
      <c r="B284" s="125" t="s">
        <v>9</v>
      </c>
      <c r="C284" s="4" t="s">
        <v>991</v>
      </c>
      <c r="D284" s="6"/>
      <c r="E284" s="9"/>
      <c r="F284" s="4" t="s">
        <v>392</v>
      </c>
      <c r="G284" s="9"/>
      <c r="H284" s="9">
        <v>1.0</v>
      </c>
      <c r="I284" s="1"/>
      <c r="J284" s="9">
        <f>IFERROR(SUM(
IF('TL01'!$B$3=J$3,SUMIF('TL01'!$C$10:$C$224,$C284,'TL01'!$J$10:$J$224),0),
IF('TL01'!$B$229=J$3,SUMIF('TL01'!$C$238:$C$451,$C284,'TL01'!$J$238:$J$451),0),
IF('TL02'!$B$3=J$3,SUMIF('TL02'!$C$10:$C$224,$C284,'TL02'!$J$10:$J$224),0),
IF('TL02'!$B$229=J$3,SUMIF('TL02'!$C$238:$C$451,$C284,'TL02'!$J$238:$J$451),0),
IF('TL03'!$B$3=J$3,SUMIF('TL03'!$C$10:$C$224,$C284,'TL03'!$J$10:$J$224),0),
IF('TL03'!$B$229=J$3,SUMIF('TL03'!$C$238:$C$451,$C284,'TL03'!$J$238:$J$451),0),
IF('TL04'!$B$3=J$3,SUMIF('TL04'!$C$10:$C$224,$C284,'TL04'!$J$10:$J$224),0),
IF('TL04'!$B$229=J$3,SUMIF('TL04'!$C$238:$C$451,$C284,'TL04'!$J$238:$J$451),0),
IF('TL05'!$B$3=J$3,SUMIF('TL05'!$C$10:$C$224,$C284,'TL05'!$J$10:$J$224),0),
IF('TL05'!$B$229=J$3,SUMIF('TL05'!$C$238:$C$451,$C284,'TL05'!$J$238:$J$451),0),
IF('TL06'!$B$3=J$3,SUMIF('TL06'!$C$10:$C$224,$C284,'TL06'!$J$10:$J$224),0),
IF('TL06'!$B$229=J$3,SUMIF('TL06'!$C$238:$C$451,$C284,'TL06'!$J$238:$J$451),0),
IF('TL07'!$B$3=J$3,SUMIF('TL07'!$C$10:$C$224,$C284,'TL07'!$J$10:$J$224),0),
IF('TL07'!$B$229=J$3,SUMIF('TL07'!$C$238:$C$451,$C284,'TL07'!$J$238:$J$451),0),
IF('TL08'!$B$3=J$3,SUMIF('TL08'!$C$10:$C$224,$C284,'TL08'!$J$10:$J$224),0),
IF('TL08'!$B$229=J$3,SUMIF('TL08'!$C$238:$C$451,$C284,'TL08'!$J$238:$J$451),0),
IF('TL09'!$B$3=J$3,SUMIF('TL09'!$C$10:$C$224,$C284,'TL09'!$J$10:$J$224),0),
IF('TL09'!$B$229=J$3,SUMIF('TL09'!$C$238:$C$451,$C284,'TL09'!$J$238:$J$451),0),
IF('TL10'!$B$3=J$3,SUMIF('TL10'!$C$10:$C$224,$C284,'TL10'!$J$10:$J$224),0),
IF('TL10'!$B$229=J$3,SUMIF('TL10'!$C$238:$C$451,$C284,'TL10'!$J$238:$J$451),0),
IF('TL11'!$B$3=J$3,SUMIF('TL11'!$C$10:$C$224,$C284,'TL11'!$J$10:$J$224),0),
IF('TL11'!$B$229=J$3,SUMIF('TL11'!$C$238:$C$451,$C284,'TL11'!$J$238:$J$451),0),
IF('TL12'!$B$3=J$3,SUMIF('TL12'!$C$10:$C$224,$C284,'TL12'!$J$10:$J$224),0),
IF('TL12'!$B$229=J$3,SUMIF('TL12'!$C$238:$C$451,$C284,'TL12'!$J$238:$J$451),0),
IF('TL13'!$B$3=J$3,SUMIF('TL13'!$C$10:$C$224,$C284,'TL13'!$J$10:$J$224),0),
IF('TL13'!$B$229=J$3,SUMIF('TL13'!$C$238:$C$451,$C284,'TL13'!$J$238:$J$451),0),
IF('TL14'!$B$3=J$3,SUMIF('TL14'!$C$10:$C$224,$C284,'TL14'!$J$10:$J$224),0),
IF('TL14'!$B$229=J$3,SUMIF('TL14'!$C$238:$C$451,$C284,'TL14'!$J$238:$J$451),0),
IF('TL15'!$B$3=J$3,SUMIF('TL15'!$C$10:$C$224,$C284,'TL15'!$J$10:$J$224),0),
IF('TL15'!$B$229=J$3,SUMIF('TL15'!$C$238:$C$451,$C284,'TL15'!$J$238:$J$451),0),
IF('TL16'!$B$3=J$3,SUMIF('TL16'!$C$10:$C$224,$C284,'TL16'!$J$10:$J$224),0),
IF('TL16'!$B$229=J$3,SUMIF('TL16'!$C$238:$C$451,$C284,'TL16'!$J$238:$J$451),0),
IF('TL17'!$B$3=J$3,SUMIF('TL17'!$C$10:$C$224,$C284,'TL17'!$J$10:$J$224),0),
IF('TL17'!$B$229=J$3,SUMIF('TL17'!$C$238:$C$451,$C284,'TL17'!$J$238:$J$451),0),
IF('TL18'!$B$3=J$3,SUMIF('TL18'!$C$10:$C$224,$C284,'TL18'!$J$10:$J$224),0),
IF('TL18'!$B$229=J$3,SUMIF('TL18'!$C$238:$C$451,$C284,'TL18'!$J$238:$J$451),0),
IF('TL19'!$B$3=J$3,SUMIF('TL19'!$C$10:$C$224,$C284,'TL19'!$J$10:$J$224),0),
IF('TL19'!$B$229=J$3,SUMIF('TL19'!$C$238:$C$451,$C284,'TL19'!$J$238:$J$451),0)
),0)</f>
        <v>0</v>
      </c>
      <c r="K284" s="9">
        <f>IFERROR(SUM(
IF('TL01'!$B$3=K$3,SUMIF('TL01'!$C$10:$C$224,$C284,'TL01'!$J$10:$J$224),0),
IF('TL01'!$B$229=K$3,SUMIF('TL01'!$C$238:$C$451,$C284,'TL01'!$J$238:$J$451),0),
IF('TL02'!$B$3=K$3,SUMIF('TL02'!$C$10:$C$224,$C284,'TL02'!$J$10:$J$224),0),
IF('TL02'!$B$229=K$3,SUMIF('TL02'!$C$238:$C$451,$C284,'TL02'!$J$238:$J$451),0),
IF('TL03'!$B$3=K$3,SUMIF('TL03'!$C$10:$C$224,$C284,'TL03'!$J$10:$J$224),0),
IF('TL03'!$B$229=K$3,SUMIF('TL03'!$C$238:$C$451,$C284,'TL03'!$J$238:$J$451),0),
IF('TL04'!$B$3=K$3,SUMIF('TL04'!$C$10:$C$224,$C284,'TL04'!$J$10:$J$224),0),
IF('TL04'!$B$229=K$3,SUMIF('TL04'!$C$238:$C$451,$C284,'TL04'!$J$238:$J$451),0),
IF('TL05'!$B$3=K$3,SUMIF('TL05'!$C$10:$C$224,$C284,'TL05'!$J$10:$J$224),0),
IF('TL05'!$B$229=K$3,SUMIF('TL05'!$C$238:$C$451,$C284,'TL05'!$J$238:$J$451),0),
IF('TL06'!$B$3=K$3,SUMIF('TL06'!$C$10:$C$224,$C284,'TL06'!$J$10:$J$224),0),
IF('TL06'!$B$229=K$3,SUMIF('TL06'!$C$238:$C$451,$C284,'TL06'!$J$238:$J$451),0),
IF('TL07'!$B$3=K$3,SUMIF('TL07'!$C$10:$C$224,$C284,'TL07'!$J$10:$J$224),0),
IF('TL07'!$B$229=K$3,SUMIF('TL07'!$C$238:$C$451,$C284,'TL07'!$J$238:$J$451),0),
IF('TL08'!$B$3=K$3,SUMIF('TL08'!$C$10:$C$224,$C284,'TL08'!$J$10:$J$224),0),
IF('TL08'!$B$229=K$3,SUMIF('TL08'!$C$238:$C$451,$C284,'TL08'!$J$238:$J$451),0),
IF('TL09'!$B$3=K$3,SUMIF('TL09'!$C$10:$C$224,$C284,'TL09'!$J$10:$J$224),0),
IF('TL09'!$B$229=K$3,SUMIF('TL09'!$C$238:$C$451,$C284,'TL09'!$J$238:$J$451),0),
IF('TL10'!$B$3=K$3,SUMIF('TL10'!$C$10:$C$224,$C284,'TL10'!$J$10:$J$224),0),
IF('TL10'!$B$229=K$3,SUMIF('TL10'!$C$238:$C$451,$C284,'TL10'!$J$238:$J$451),0),
IF('TL11'!$B$3=K$3,SUMIF('TL11'!$C$10:$C$224,$C284,'TL11'!$J$10:$J$224),0),
IF('TL11'!$B$229=K$3,SUMIF('TL11'!$C$238:$C$451,$C284,'TL11'!$J$238:$J$451),0),
IF('TL12'!$B$3=K$3,SUMIF('TL12'!$C$10:$C$224,$C284,'TL12'!$J$10:$J$224),0),
IF('TL12'!$B$229=K$3,SUMIF('TL12'!$C$238:$C$451,$C284,'TL12'!$J$238:$J$451),0),
IF('TL13'!$B$3=K$3,SUMIF('TL13'!$C$10:$C$224,$C284,'TL13'!$J$10:$J$224),0),
IF('TL13'!$B$229=K$3,SUMIF('TL13'!$C$238:$C$451,$C284,'TL13'!$J$238:$J$451),0),
IF('TL14'!$B$3=K$3,SUMIF('TL14'!$C$10:$C$224,$C284,'TL14'!$J$10:$J$224),0),
IF('TL14'!$B$229=K$3,SUMIF('TL14'!$C$238:$C$451,$C284,'TL14'!$J$238:$J$451),0),
IF('TL15'!$B$3=K$3,SUMIF('TL15'!$C$10:$C$224,$C284,'TL15'!$J$10:$J$224),0),
IF('TL15'!$B$229=K$3,SUMIF('TL15'!$C$238:$C$451,$C284,'TL15'!$J$238:$J$451),0),
IF('TL16'!$B$3=K$3,SUMIF('TL16'!$C$10:$C$224,$C284,'TL16'!$J$10:$J$224),0),
IF('TL16'!$B$229=K$3,SUMIF('TL16'!$C$238:$C$451,$C284,'TL16'!$J$238:$J$451),0),
IF('TL17'!$B$3=K$3,SUMIF('TL17'!$C$10:$C$224,$C284,'TL17'!$J$10:$J$224),0),
IF('TL17'!$B$229=K$3,SUMIF('TL17'!$C$238:$C$451,$C284,'TL17'!$J$238:$J$451),0),
IF('TL18'!$B$3=K$3,SUMIF('TL18'!$C$10:$C$224,$C284,'TL18'!$J$10:$J$224),0),
IF('TL18'!$B$229=K$3,SUMIF('TL18'!$C$238:$C$451,$C284,'TL18'!$J$238:$J$451),0),
IF('TL19'!$B$3=K$3,SUMIF('TL19'!$C$10:$C$224,$C284,'TL19'!$J$10:$J$224),0),
IF('TL19'!$B$229=K$3,SUMIF('TL19'!$C$238:$C$451,$C284,'TL19'!$J$238:$J$451),0)
),0)</f>
        <v>0</v>
      </c>
      <c r="L284" s="9">
        <f>IFERROR(SUM(
IF('TL01'!$B$3=L$3,SUMIF('TL01'!$C$10:$C$224,$C284,'TL01'!$J$10:$J$224),0),
IF('TL01'!$B$229=L$3,SUMIF('TL01'!$C$238:$C$451,$C284,'TL01'!$J$238:$J$451),0),
IF('TL02'!$B$3=L$3,SUMIF('TL02'!$C$10:$C$224,$C284,'TL02'!$J$10:$J$224),0),
IF('TL02'!$B$229=L$3,SUMIF('TL02'!$C$238:$C$451,$C284,'TL02'!$J$238:$J$451),0),
IF('TL03'!$B$3=L$3,SUMIF('TL03'!$C$10:$C$224,$C284,'TL03'!$J$10:$J$224),0),
IF('TL03'!$B$229=L$3,SUMIF('TL03'!$C$238:$C$451,$C284,'TL03'!$J$238:$J$451),0),
IF('TL04'!$B$3=L$3,SUMIF('TL04'!$C$10:$C$224,$C284,'TL04'!$J$10:$J$224),0),
IF('TL04'!$B$229=L$3,SUMIF('TL04'!$C$238:$C$451,$C284,'TL04'!$J$238:$J$451),0),
IF('TL05'!$B$3=L$3,SUMIF('TL05'!$C$10:$C$224,$C284,'TL05'!$J$10:$J$224),0),
IF('TL05'!$B$229=L$3,SUMIF('TL05'!$C$238:$C$451,$C284,'TL05'!$J$238:$J$451),0),
IF('TL06'!$B$3=L$3,SUMIF('TL06'!$C$10:$C$224,$C284,'TL06'!$J$10:$J$224),0),
IF('TL06'!$B$229=L$3,SUMIF('TL06'!$C$238:$C$451,$C284,'TL06'!$J$238:$J$451),0),
IF('TL07'!$B$3=L$3,SUMIF('TL07'!$C$10:$C$224,$C284,'TL07'!$J$10:$J$224),0),
IF('TL07'!$B$229=L$3,SUMIF('TL07'!$C$238:$C$451,$C284,'TL07'!$J$238:$J$451),0),
IF('TL08'!$B$3=L$3,SUMIF('TL08'!$C$10:$C$224,$C284,'TL08'!$J$10:$J$224),0),
IF('TL08'!$B$229=L$3,SUMIF('TL08'!$C$238:$C$451,$C284,'TL08'!$J$238:$J$451),0),
IF('TL09'!$B$3=L$3,SUMIF('TL09'!$C$10:$C$224,$C284,'TL09'!$J$10:$J$224),0),
IF('TL09'!$B$229=L$3,SUMIF('TL09'!$C$238:$C$451,$C284,'TL09'!$J$238:$J$451),0),
IF('TL10'!$B$3=L$3,SUMIF('TL10'!$C$10:$C$224,$C284,'TL10'!$J$10:$J$224),0),
IF('TL10'!$B$229=L$3,SUMIF('TL10'!$C$238:$C$451,$C284,'TL10'!$J$238:$J$451),0),
IF('TL11'!$B$3=L$3,SUMIF('TL11'!$C$10:$C$224,$C284,'TL11'!$J$10:$J$224),0),
IF('TL11'!$B$229=L$3,SUMIF('TL11'!$C$238:$C$451,$C284,'TL11'!$J$238:$J$451),0),
IF('TL12'!$B$3=L$3,SUMIF('TL12'!$C$10:$C$224,$C284,'TL12'!$J$10:$J$224),0),
IF('TL12'!$B$229=L$3,SUMIF('TL12'!$C$238:$C$451,$C284,'TL12'!$J$238:$J$451),0),
IF('TL13'!$B$3=L$3,SUMIF('TL13'!$C$10:$C$224,$C284,'TL13'!$J$10:$J$224),0),
IF('TL13'!$B$229=L$3,SUMIF('TL13'!$C$238:$C$451,$C284,'TL13'!$J$238:$J$451),0),
IF('TL14'!$B$3=L$3,SUMIF('TL14'!$C$10:$C$224,$C284,'TL14'!$J$10:$J$224),0),
IF('TL14'!$B$229=L$3,SUMIF('TL14'!$C$238:$C$451,$C284,'TL14'!$J$238:$J$451),0),
IF('TL15'!$B$3=L$3,SUMIF('TL15'!$C$10:$C$224,$C284,'TL15'!$J$10:$J$224),0),
IF('TL15'!$B$229=L$3,SUMIF('TL15'!$C$238:$C$451,$C284,'TL15'!$J$238:$J$451),0),
IF('TL16'!$B$3=L$3,SUMIF('TL16'!$C$10:$C$224,$C284,'TL16'!$J$10:$J$224),0),
IF('TL16'!$B$229=L$3,SUMIF('TL16'!$C$238:$C$451,$C284,'TL16'!$J$238:$J$451),0),
IF('TL17'!$B$3=L$3,SUMIF('TL17'!$C$10:$C$224,$C284,'TL17'!$J$10:$J$224),0),
IF('TL17'!$B$229=L$3,SUMIF('TL17'!$C$238:$C$451,$C284,'TL17'!$J$238:$J$451),0),
IF('TL18'!$B$3=L$3,SUMIF('TL18'!$C$10:$C$224,$C284,'TL18'!$J$10:$J$224),0),
IF('TL18'!$B$229=L$3,SUMIF('TL18'!$C$238:$C$451,$C284,'TL18'!$J$238:$J$451),0),
IF('TL19'!$B$3=L$3,SUMIF('TL19'!$C$10:$C$224,$C284,'TL19'!$J$10:$J$224),0),
IF('TL19'!$B$229=L$3,SUMIF('TL19'!$C$238:$C$451,$C284,'TL19'!$J$238:$J$451),0)
),0)</f>
        <v>0</v>
      </c>
      <c r="M284" s="9">
        <f>IFERROR(SUM(
IF('TL01'!$B$3=M$3,SUMIF('TL01'!$C$10:$C$224,$C284,'TL01'!$J$10:$J$224),0),
IF('TL01'!$B$229=M$3,SUMIF('TL01'!$C$238:$C$451,$C284,'TL01'!$J$238:$J$451),0),
IF('TL02'!$B$3=M$3,SUMIF('TL02'!$C$10:$C$224,$C284,'TL02'!$J$10:$J$224),0),
IF('TL02'!$B$229=M$3,SUMIF('TL02'!$C$238:$C$451,$C284,'TL02'!$J$238:$J$451),0),
IF('TL03'!$B$3=M$3,SUMIF('TL03'!$C$10:$C$224,$C284,'TL03'!$J$10:$J$224),0),
IF('TL03'!$B$229=M$3,SUMIF('TL03'!$C$238:$C$451,$C284,'TL03'!$J$238:$J$451),0),
IF('TL04'!$B$3=M$3,SUMIF('TL04'!$C$10:$C$224,$C284,'TL04'!$J$10:$J$224),0),
IF('TL04'!$B$229=M$3,SUMIF('TL04'!$C$238:$C$451,$C284,'TL04'!$J$238:$J$451),0),
IF('TL05'!$B$3=M$3,SUMIF('TL05'!$C$10:$C$224,$C284,'TL05'!$J$10:$J$224),0),
IF('TL05'!$B$229=M$3,SUMIF('TL05'!$C$238:$C$451,$C284,'TL05'!$J$238:$J$451),0),
IF('TL06'!$B$3=M$3,SUMIF('TL06'!$C$10:$C$224,$C284,'TL06'!$J$10:$J$224),0),
IF('TL06'!$B$229=M$3,SUMIF('TL06'!$C$238:$C$451,$C284,'TL06'!$J$238:$J$451),0),
IF('TL07'!$B$3=M$3,SUMIF('TL07'!$C$10:$C$224,$C284,'TL07'!$J$10:$J$224),0),
IF('TL07'!$B$229=M$3,SUMIF('TL07'!$C$238:$C$451,$C284,'TL07'!$J$238:$J$451),0),
IF('TL08'!$B$3=M$3,SUMIF('TL08'!$C$10:$C$224,$C284,'TL08'!$J$10:$J$224),0),
IF('TL08'!$B$229=M$3,SUMIF('TL08'!$C$238:$C$451,$C284,'TL08'!$J$238:$J$451),0),
IF('TL09'!$B$3=M$3,SUMIF('TL09'!$C$10:$C$224,$C284,'TL09'!$J$10:$J$224),0),
IF('TL09'!$B$229=M$3,SUMIF('TL09'!$C$238:$C$451,$C284,'TL09'!$J$238:$J$451),0),
IF('TL10'!$B$3=M$3,SUMIF('TL10'!$C$10:$C$224,$C284,'TL10'!$J$10:$J$224),0),
IF('TL10'!$B$229=M$3,SUMIF('TL10'!$C$238:$C$451,$C284,'TL10'!$J$238:$J$451),0),
IF('TL11'!$B$3=M$3,SUMIF('TL11'!$C$10:$C$224,$C284,'TL11'!$J$10:$J$224),0),
IF('TL11'!$B$229=M$3,SUMIF('TL11'!$C$238:$C$451,$C284,'TL11'!$J$238:$J$451),0),
IF('TL12'!$B$3=M$3,SUMIF('TL12'!$C$10:$C$224,$C284,'TL12'!$J$10:$J$224),0),
IF('TL12'!$B$229=M$3,SUMIF('TL12'!$C$238:$C$451,$C284,'TL12'!$J$238:$J$451),0),
IF('TL13'!$B$3=M$3,SUMIF('TL13'!$C$10:$C$224,$C284,'TL13'!$J$10:$J$224),0),
IF('TL13'!$B$229=M$3,SUMIF('TL13'!$C$238:$C$451,$C284,'TL13'!$J$238:$J$451),0),
IF('TL14'!$B$3=M$3,SUMIF('TL14'!$C$10:$C$224,$C284,'TL14'!$J$10:$J$224),0),
IF('TL14'!$B$229=M$3,SUMIF('TL14'!$C$238:$C$451,$C284,'TL14'!$J$238:$J$451),0),
IF('TL15'!$B$3=M$3,SUMIF('TL15'!$C$10:$C$224,$C284,'TL15'!$J$10:$J$224),0),
IF('TL15'!$B$229=M$3,SUMIF('TL15'!$C$238:$C$451,$C284,'TL15'!$J$238:$J$451),0),
IF('TL16'!$B$3=M$3,SUMIF('TL16'!$C$10:$C$224,$C284,'TL16'!$J$10:$J$224),0),
IF('TL16'!$B$229=M$3,SUMIF('TL16'!$C$238:$C$451,$C284,'TL16'!$J$238:$J$451),0),
IF('TL17'!$B$3=M$3,SUMIF('TL17'!$C$10:$C$224,$C284,'TL17'!$J$10:$J$224),0),
IF('TL17'!$B$229=M$3,SUMIF('TL17'!$C$238:$C$451,$C284,'TL17'!$J$238:$J$451),0),
IF('TL18'!$B$3=M$3,SUMIF('TL18'!$C$10:$C$224,$C284,'TL18'!$J$10:$J$224),0),
IF('TL18'!$B$229=M$3,SUMIF('TL18'!$C$238:$C$451,$C284,'TL18'!$J$238:$J$451),0),
IF('TL19'!$B$3=M$3,SUMIF('TL19'!$C$10:$C$224,$C284,'TL19'!$J$10:$J$224),0),
IF('TL19'!$B$229=M$3,SUMIF('TL19'!$C$238:$C$451,$C284,'TL19'!$J$238:$J$451),0)
),0)</f>
        <v>0</v>
      </c>
      <c r="N284" s="9">
        <f>IFERROR(SUM(
IF('TL01'!$B$3=N$3,SUMIF('TL01'!$C$10:$C$224,$C284,'TL01'!$J$10:$J$224),0),
IF('TL01'!$B$229=N$3,SUMIF('TL01'!$C$238:$C$451,$C284,'TL01'!$J$238:$J$451),0),
IF('TL02'!$B$3=N$3,SUMIF('TL02'!$C$10:$C$224,$C284,'TL02'!$J$10:$J$224),0),
IF('TL02'!$B$229=N$3,SUMIF('TL02'!$C$238:$C$451,$C284,'TL02'!$J$238:$J$451),0),
IF('TL03'!$B$3=N$3,SUMIF('TL03'!$C$10:$C$224,$C284,'TL03'!$J$10:$J$224),0),
IF('TL03'!$B$229=N$3,SUMIF('TL03'!$C$238:$C$451,$C284,'TL03'!$J$238:$J$451),0),
IF('TL04'!$B$3=N$3,SUMIF('TL04'!$C$10:$C$224,$C284,'TL04'!$J$10:$J$224),0),
IF('TL04'!$B$229=N$3,SUMIF('TL04'!$C$238:$C$451,$C284,'TL04'!$J$238:$J$451),0),
IF('TL05'!$B$3=N$3,SUMIF('TL05'!$C$10:$C$224,$C284,'TL05'!$J$10:$J$224),0),
IF('TL05'!$B$229=N$3,SUMIF('TL05'!$C$238:$C$451,$C284,'TL05'!$J$238:$J$451),0),
IF('TL06'!$B$3=N$3,SUMIF('TL06'!$C$10:$C$224,$C284,'TL06'!$J$10:$J$224),0),
IF('TL06'!$B$229=N$3,SUMIF('TL06'!$C$238:$C$451,$C284,'TL06'!$J$238:$J$451),0),
IF('TL07'!$B$3=N$3,SUMIF('TL07'!$C$10:$C$224,$C284,'TL07'!$J$10:$J$224),0),
IF('TL07'!$B$229=N$3,SUMIF('TL07'!$C$238:$C$451,$C284,'TL07'!$J$238:$J$451),0),
IF('TL08'!$B$3=N$3,SUMIF('TL08'!$C$10:$C$224,$C284,'TL08'!$J$10:$J$224),0),
IF('TL08'!$B$229=N$3,SUMIF('TL08'!$C$238:$C$451,$C284,'TL08'!$J$238:$J$451),0),
IF('TL09'!$B$3=N$3,SUMIF('TL09'!$C$10:$C$224,$C284,'TL09'!$J$10:$J$224),0),
IF('TL09'!$B$229=N$3,SUMIF('TL09'!$C$238:$C$451,$C284,'TL09'!$J$238:$J$451),0),
IF('TL10'!$B$3=N$3,SUMIF('TL10'!$C$10:$C$224,$C284,'TL10'!$J$10:$J$224),0),
IF('TL10'!$B$229=N$3,SUMIF('TL10'!$C$238:$C$451,$C284,'TL10'!$J$238:$J$451),0),
IF('TL11'!$B$3=N$3,SUMIF('TL11'!$C$10:$C$224,$C284,'TL11'!$J$10:$J$224),0),
IF('TL11'!$B$229=N$3,SUMIF('TL11'!$C$238:$C$451,$C284,'TL11'!$J$238:$J$451),0),
IF('TL12'!$B$3=N$3,SUMIF('TL12'!$C$10:$C$224,$C284,'TL12'!$J$10:$J$224),0),
IF('TL12'!$B$229=N$3,SUMIF('TL12'!$C$238:$C$451,$C284,'TL12'!$J$238:$J$451),0),
IF('TL13'!$B$3=N$3,SUMIF('TL13'!$C$10:$C$224,$C284,'TL13'!$J$10:$J$224),0),
IF('TL13'!$B$229=N$3,SUMIF('TL13'!$C$238:$C$451,$C284,'TL13'!$J$238:$J$451),0),
IF('TL14'!$B$3=N$3,SUMIF('TL14'!$C$10:$C$224,$C284,'TL14'!$J$10:$J$224),0),
IF('TL14'!$B$229=N$3,SUMIF('TL14'!$C$238:$C$451,$C284,'TL14'!$J$238:$J$451),0),
IF('TL15'!$B$3=N$3,SUMIF('TL15'!$C$10:$C$224,$C284,'TL15'!$J$10:$J$224),0),
IF('TL15'!$B$229=N$3,SUMIF('TL15'!$C$238:$C$451,$C284,'TL15'!$J$238:$J$451),0),
IF('TL16'!$B$3=N$3,SUMIF('TL16'!$C$10:$C$224,$C284,'TL16'!$J$10:$J$224),0),
IF('TL16'!$B$229=N$3,SUMIF('TL16'!$C$238:$C$451,$C284,'TL16'!$J$238:$J$451),0),
IF('TL17'!$B$3=N$3,SUMIF('TL17'!$C$10:$C$224,$C284,'TL17'!$J$10:$J$224),0),
IF('TL17'!$B$229=N$3,SUMIF('TL17'!$C$238:$C$451,$C284,'TL17'!$J$238:$J$451),0),
IF('TL18'!$B$3=N$3,SUMIF('TL18'!$C$10:$C$224,$C284,'TL18'!$J$10:$J$224),0),
IF('TL18'!$B$229=N$3,SUMIF('TL18'!$C$238:$C$451,$C284,'TL18'!$J$238:$J$451),0),
IF('TL19'!$B$3=N$3,SUMIF('TL19'!$C$10:$C$224,$C284,'TL19'!$J$10:$J$224),0),
IF('TL19'!$B$229=N$3,SUMIF('TL19'!$C$238:$C$451,$C284,'TL19'!$J$238:$J$451),0)
),0)</f>
        <v>0</v>
      </c>
      <c r="O284" s="9">
        <f>IFERROR(SUM(
IF('TL01'!$B$3=O$3,SUMIF('TL01'!$C$10:$C$224,$C284,'TL01'!$J$10:$J$224),0),
IF('TL01'!$B$229=O$3,SUMIF('TL01'!$C$238:$C$451,$C284,'TL01'!$J$238:$J$451),0),
IF('TL02'!$B$3=O$3,SUMIF('TL02'!$C$10:$C$224,$C284,'TL02'!$J$10:$J$224),0),
IF('TL02'!$B$229=O$3,SUMIF('TL02'!$C$238:$C$451,$C284,'TL02'!$J$238:$J$451),0),
IF('TL03'!$B$3=O$3,SUMIF('TL03'!$C$10:$C$224,$C284,'TL03'!$J$10:$J$224),0),
IF('TL03'!$B$229=O$3,SUMIF('TL03'!$C$238:$C$451,$C284,'TL03'!$J$238:$J$451),0),
IF('TL04'!$B$3=O$3,SUMIF('TL04'!$C$10:$C$224,$C284,'TL04'!$J$10:$J$224),0),
IF('TL04'!$B$229=O$3,SUMIF('TL04'!$C$238:$C$451,$C284,'TL04'!$J$238:$J$451),0),
IF('TL05'!$B$3=O$3,SUMIF('TL05'!$C$10:$C$224,$C284,'TL05'!$J$10:$J$224),0),
IF('TL05'!$B$229=O$3,SUMIF('TL05'!$C$238:$C$451,$C284,'TL05'!$J$238:$J$451),0),
IF('TL06'!$B$3=O$3,SUMIF('TL06'!$C$10:$C$224,$C284,'TL06'!$J$10:$J$224),0),
IF('TL06'!$B$229=O$3,SUMIF('TL06'!$C$238:$C$451,$C284,'TL06'!$J$238:$J$451),0),
IF('TL07'!$B$3=O$3,SUMIF('TL07'!$C$10:$C$224,$C284,'TL07'!$J$10:$J$224),0),
IF('TL07'!$B$229=O$3,SUMIF('TL07'!$C$238:$C$451,$C284,'TL07'!$J$238:$J$451),0),
IF('TL08'!$B$3=O$3,SUMIF('TL08'!$C$10:$C$224,$C284,'TL08'!$J$10:$J$224),0),
IF('TL08'!$B$229=O$3,SUMIF('TL08'!$C$238:$C$451,$C284,'TL08'!$J$238:$J$451),0),
IF('TL09'!$B$3=O$3,SUMIF('TL09'!$C$10:$C$224,$C284,'TL09'!$J$10:$J$224),0),
IF('TL09'!$B$229=O$3,SUMIF('TL09'!$C$238:$C$451,$C284,'TL09'!$J$238:$J$451),0),
IF('TL10'!$B$3=O$3,SUMIF('TL10'!$C$10:$C$224,$C284,'TL10'!$J$10:$J$224),0),
IF('TL10'!$B$229=O$3,SUMIF('TL10'!$C$238:$C$451,$C284,'TL10'!$J$238:$J$451),0),
IF('TL11'!$B$3=O$3,SUMIF('TL11'!$C$10:$C$224,$C284,'TL11'!$J$10:$J$224),0),
IF('TL11'!$B$229=O$3,SUMIF('TL11'!$C$238:$C$451,$C284,'TL11'!$J$238:$J$451),0),
IF('TL12'!$B$3=O$3,SUMIF('TL12'!$C$10:$C$224,$C284,'TL12'!$J$10:$J$224),0),
IF('TL12'!$B$229=O$3,SUMIF('TL12'!$C$238:$C$451,$C284,'TL12'!$J$238:$J$451),0),
IF('TL13'!$B$3=O$3,SUMIF('TL13'!$C$10:$C$224,$C284,'TL13'!$J$10:$J$224),0),
IF('TL13'!$B$229=O$3,SUMIF('TL13'!$C$238:$C$451,$C284,'TL13'!$J$238:$J$451),0),
IF('TL14'!$B$3=O$3,SUMIF('TL14'!$C$10:$C$224,$C284,'TL14'!$J$10:$J$224),0),
IF('TL14'!$B$229=O$3,SUMIF('TL14'!$C$238:$C$451,$C284,'TL14'!$J$238:$J$451),0),
IF('TL15'!$B$3=O$3,SUMIF('TL15'!$C$10:$C$224,$C284,'TL15'!$J$10:$J$224),0),
IF('TL15'!$B$229=O$3,SUMIF('TL15'!$C$238:$C$451,$C284,'TL15'!$J$238:$J$451),0),
IF('TL16'!$B$3=O$3,SUMIF('TL16'!$C$10:$C$224,$C284,'TL16'!$J$10:$J$224),0),
IF('TL16'!$B$229=O$3,SUMIF('TL16'!$C$238:$C$451,$C284,'TL16'!$J$238:$J$451),0),
IF('TL17'!$B$3=O$3,SUMIF('TL17'!$C$10:$C$224,$C284,'TL17'!$J$10:$J$224),0),
IF('TL17'!$B$229=O$3,SUMIF('TL17'!$C$238:$C$451,$C284,'TL17'!$J$238:$J$451),0),
IF('TL18'!$B$3=O$3,SUMIF('TL18'!$C$10:$C$224,$C284,'TL18'!$J$10:$J$224),0),
IF('TL18'!$B$229=O$3,SUMIF('TL18'!$C$238:$C$451,$C284,'TL18'!$J$238:$J$451),0),
IF('TL19'!$B$3=O$3,SUMIF('TL19'!$C$10:$C$224,$C284,'TL19'!$J$10:$J$224),0),
IF('TL19'!$B$229=O$3,SUMIF('TL19'!$C$238:$C$451,$C284,'TL19'!$J$238:$J$451),0)
),0)</f>
        <v>0</v>
      </c>
      <c r="P284" s="9">
        <f>IFERROR(SUM(
IF('TL01'!$B$3=P$3,SUMIF('TL01'!$C$10:$C$224,$C284,'TL01'!$J$10:$J$224),0),
IF('TL01'!$B$229=P$3,SUMIF('TL01'!$C$238:$C$451,$C284,'TL01'!$J$238:$J$451),0),
IF('TL02'!$B$3=P$3,SUMIF('TL02'!$C$10:$C$224,$C284,'TL02'!$J$10:$J$224),0),
IF('TL02'!$B$229=P$3,SUMIF('TL02'!$C$238:$C$451,$C284,'TL02'!$J$238:$J$451),0),
IF('TL03'!$B$3=P$3,SUMIF('TL03'!$C$10:$C$224,$C284,'TL03'!$J$10:$J$224),0),
IF('TL03'!$B$229=P$3,SUMIF('TL03'!$C$238:$C$451,$C284,'TL03'!$J$238:$J$451),0),
IF('TL04'!$B$3=P$3,SUMIF('TL04'!$C$10:$C$224,$C284,'TL04'!$J$10:$J$224),0),
IF('TL04'!$B$229=P$3,SUMIF('TL04'!$C$238:$C$451,$C284,'TL04'!$J$238:$J$451),0),
IF('TL05'!$B$3=P$3,SUMIF('TL05'!$C$10:$C$224,$C284,'TL05'!$J$10:$J$224),0),
IF('TL05'!$B$229=P$3,SUMIF('TL05'!$C$238:$C$451,$C284,'TL05'!$J$238:$J$451),0),
IF('TL06'!$B$3=P$3,SUMIF('TL06'!$C$10:$C$224,$C284,'TL06'!$J$10:$J$224),0),
IF('TL06'!$B$229=P$3,SUMIF('TL06'!$C$238:$C$451,$C284,'TL06'!$J$238:$J$451),0),
IF('TL07'!$B$3=P$3,SUMIF('TL07'!$C$10:$C$224,$C284,'TL07'!$J$10:$J$224),0),
IF('TL07'!$B$229=P$3,SUMIF('TL07'!$C$238:$C$451,$C284,'TL07'!$J$238:$J$451),0),
IF('TL08'!$B$3=P$3,SUMIF('TL08'!$C$10:$C$224,$C284,'TL08'!$J$10:$J$224),0),
IF('TL08'!$B$229=P$3,SUMIF('TL08'!$C$238:$C$451,$C284,'TL08'!$J$238:$J$451),0),
IF('TL09'!$B$3=P$3,SUMIF('TL09'!$C$10:$C$224,$C284,'TL09'!$J$10:$J$224),0),
IF('TL09'!$B$229=P$3,SUMIF('TL09'!$C$238:$C$451,$C284,'TL09'!$J$238:$J$451),0),
IF('TL10'!$B$3=P$3,SUMIF('TL10'!$C$10:$C$224,$C284,'TL10'!$J$10:$J$224),0),
IF('TL10'!$B$229=P$3,SUMIF('TL10'!$C$238:$C$451,$C284,'TL10'!$J$238:$J$451),0),
IF('TL11'!$B$3=P$3,SUMIF('TL11'!$C$10:$C$224,$C284,'TL11'!$J$10:$J$224),0),
IF('TL11'!$B$229=P$3,SUMIF('TL11'!$C$238:$C$451,$C284,'TL11'!$J$238:$J$451),0),
IF('TL12'!$B$3=P$3,SUMIF('TL12'!$C$10:$C$224,$C284,'TL12'!$J$10:$J$224),0),
IF('TL12'!$B$229=P$3,SUMIF('TL12'!$C$238:$C$451,$C284,'TL12'!$J$238:$J$451),0),
IF('TL13'!$B$3=P$3,SUMIF('TL13'!$C$10:$C$224,$C284,'TL13'!$J$10:$J$224),0),
IF('TL13'!$B$229=P$3,SUMIF('TL13'!$C$238:$C$451,$C284,'TL13'!$J$238:$J$451),0),
IF('TL14'!$B$3=P$3,SUMIF('TL14'!$C$10:$C$224,$C284,'TL14'!$J$10:$J$224),0),
IF('TL14'!$B$229=P$3,SUMIF('TL14'!$C$238:$C$451,$C284,'TL14'!$J$238:$J$451),0),
IF('TL15'!$B$3=P$3,SUMIF('TL15'!$C$10:$C$224,$C284,'TL15'!$J$10:$J$224),0),
IF('TL15'!$B$229=P$3,SUMIF('TL15'!$C$238:$C$451,$C284,'TL15'!$J$238:$J$451),0),
IF('TL16'!$B$3=P$3,SUMIF('TL16'!$C$10:$C$224,$C284,'TL16'!$J$10:$J$224),0),
IF('TL16'!$B$229=P$3,SUMIF('TL16'!$C$238:$C$451,$C284,'TL16'!$J$238:$J$451),0),
IF('TL17'!$B$3=P$3,SUMIF('TL17'!$C$10:$C$224,$C284,'TL17'!$J$10:$J$224),0),
IF('TL17'!$B$229=P$3,SUMIF('TL17'!$C$238:$C$451,$C284,'TL17'!$J$238:$J$451),0),
IF('TL18'!$B$3=P$3,SUMIF('TL18'!$C$10:$C$224,$C284,'TL18'!$J$10:$J$224),0),
IF('TL18'!$B$229=P$3,SUMIF('TL18'!$C$238:$C$451,$C284,'TL18'!$J$238:$J$451),0),
IF('TL19'!$B$3=P$3,SUMIF('TL19'!$C$10:$C$224,$C284,'TL19'!$J$10:$J$224),0),
IF('TL19'!$B$229=P$3,SUMIF('TL19'!$C$238:$C$451,$C284,'TL19'!$J$238:$J$451),0)
),0)</f>
        <v>0</v>
      </c>
      <c r="Q284" s="9">
        <f>IFERROR(SUM(
IF('TL01'!$B$3=Q$3,SUMIF('TL01'!$C$10:$C$224,$C284,'TL01'!$J$10:$J$224),0),
IF('TL01'!$B$229=Q$3,SUMIF('TL01'!$C$238:$C$451,$C284,'TL01'!$J$238:$J$451),0),
IF('TL02'!$B$3=Q$3,SUMIF('TL02'!$C$10:$C$224,$C284,'TL02'!$J$10:$J$224),0),
IF('TL02'!$B$229=Q$3,SUMIF('TL02'!$C$238:$C$451,$C284,'TL02'!$J$238:$J$451),0),
IF('TL03'!$B$3=Q$3,SUMIF('TL03'!$C$10:$C$224,$C284,'TL03'!$J$10:$J$224),0),
IF('TL03'!$B$229=Q$3,SUMIF('TL03'!$C$238:$C$451,$C284,'TL03'!$J$238:$J$451),0),
IF('TL04'!$B$3=Q$3,SUMIF('TL04'!$C$10:$C$224,$C284,'TL04'!$J$10:$J$224),0),
IF('TL04'!$B$229=Q$3,SUMIF('TL04'!$C$238:$C$451,$C284,'TL04'!$J$238:$J$451),0),
IF('TL05'!$B$3=Q$3,SUMIF('TL05'!$C$10:$C$224,$C284,'TL05'!$J$10:$J$224),0),
IF('TL05'!$B$229=Q$3,SUMIF('TL05'!$C$238:$C$451,$C284,'TL05'!$J$238:$J$451),0),
IF('TL06'!$B$3=Q$3,SUMIF('TL06'!$C$10:$C$224,$C284,'TL06'!$J$10:$J$224),0),
IF('TL06'!$B$229=Q$3,SUMIF('TL06'!$C$238:$C$451,$C284,'TL06'!$J$238:$J$451),0),
IF('TL07'!$B$3=Q$3,SUMIF('TL07'!$C$10:$C$224,$C284,'TL07'!$J$10:$J$224),0),
IF('TL07'!$B$229=Q$3,SUMIF('TL07'!$C$238:$C$451,$C284,'TL07'!$J$238:$J$451),0),
IF('TL08'!$B$3=Q$3,SUMIF('TL08'!$C$10:$C$224,$C284,'TL08'!$J$10:$J$224),0),
IF('TL08'!$B$229=Q$3,SUMIF('TL08'!$C$238:$C$451,$C284,'TL08'!$J$238:$J$451),0),
IF('TL09'!$B$3=Q$3,SUMIF('TL09'!$C$10:$C$224,$C284,'TL09'!$J$10:$J$224),0),
IF('TL09'!$B$229=Q$3,SUMIF('TL09'!$C$238:$C$451,$C284,'TL09'!$J$238:$J$451),0),
IF('TL10'!$B$3=Q$3,SUMIF('TL10'!$C$10:$C$224,$C284,'TL10'!$J$10:$J$224),0),
IF('TL10'!$B$229=Q$3,SUMIF('TL10'!$C$238:$C$451,$C284,'TL10'!$J$238:$J$451),0),
IF('TL11'!$B$3=Q$3,SUMIF('TL11'!$C$10:$C$224,$C284,'TL11'!$J$10:$J$224),0),
IF('TL11'!$B$229=Q$3,SUMIF('TL11'!$C$238:$C$451,$C284,'TL11'!$J$238:$J$451),0),
IF('TL12'!$B$3=Q$3,SUMIF('TL12'!$C$10:$C$224,$C284,'TL12'!$J$10:$J$224),0),
IF('TL12'!$B$229=Q$3,SUMIF('TL12'!$C$238:$C$451,$C284,'TL12'!$J$238:$J$451),0),
IF('TL13'!$B$3=Q$3,SUMIF('TL13'!$C$10:$C$224,$C284,'TL13'!$J$10:$J$224),0),
IF('TL13'!$B$229=Q$3,SUMIF('TL13'!$C$238:$C$451,$C284,'TL13'!$J$238:$J$451),0),
IF('TL14'!$B$3=Q$3,SUMIF('TL14'!$C$10:$C$224,$C284,'TL14'!$J$10:$J$224),0),
IF('TL14'!$B$229=Q$3,SUMIF('TL14'!$C$238:$C$451,$C284,'TL14'!$J$238:$J$451),0),
IF('TL15'!$B$3=Q$3,SUMIF('TL15'!$C$10:$C$224,$C284,'TL15'!$J$10:$J$224),0),
IF('TL15'!$B$229=Q$3,SUMIF('TL15'!$C$238:$C$451,$C284,'TL15'!$J$238:$J$451),0),
IF('TL16'!$B$3=Q$3,SUMIF('TL16'!$C$10:$C$224,$C284,'TL16'!$J$10:$J$224),0),
IF('TL16'!$B$229=Q$3,SUMIF('TL16'!$C$238:$C$451,$C284,'TL16'!$J$238:$J$451),0),
IF('TL17'!$B$3=Q$3,SUMIF('TL17'!$C$10:$C$224,$C284,'TL17'!$J$10:$J$224),0),
IF('TL17'!$B$229=Q$3,SUMIF('TL17'!$C$238:$C$451,$C284,'TL17'!$J$238:$J$451),0),
IF('TL18'!$B$3=Q$3,SUMIF('TL18'!$C$10:$C$224,$C284,'TL18'!$J$10:$J$224),0),
IF('TL18'!$B$229=Q$3,SUMIF('TL18'!$C$238:$C$451,$C284,'TL18'!$J$238:$J$451),0),
IF('TL19'!$B$3=Q$3,SUMIF('TL19'!$C$10:$C$224,$C284,'TL19'!$J$10:$J$224),0),
IF('TL19'!$B$229=Q$3,SUMIF('TL19'!$C$238:$C$451,$C284,'TL19'!$J$238:$J$451),0)
),0)</f>
        <v>0</v>
      </c>
      <c r="R284" s="9">
        <f>IFERROR(
SUM(
SUMIF('TL01'!C:C,C284,'TL01'!J:J),
SUMIF('TL02'!C:C,C284,'TL02'!J:J),
SUMIF('TL03'!C:C,C284,'TL03'!J:J),
SUMIF('TL04'!C:C,C284,'TL04'!J:J),
SUMIF('TL05'!C:C,C284,'TL05'!J:J),
SUMIF('TL06'!C:C,C284,'TL06'!J:J),
SUMIF('TL07'!C:C,C284,'TL07'!J:J),
SUMIF('TL08'!C:C,C284,'TL08'!J:J),
SUMIF('TL09'!C:C,C284,'TL09'!J:J),
SUMIF('TL10'!C:C,C284,'TL10'!J:J),
SUMIF('TL11'!C:C,C284,'TL11'!J:J),
SUMIF('TL12'!C:C,C284,'TL12'!J:J),
SUMIF('TL13'!C:C,C284,'TL13'!J:J),
SUMIF('TL14'!C:C,C284,'TL14'!J:J),
SUMIF('TL15'!C:C,C284,'TL15'!J:J),
SUMIF('TL16'!C:C,C284,'TL16'!J:J),
SUMIF('TL17'!C:C,C284,'TL17'!J:J),
SUMIF('TL18'!C:C,C284,'TL18'!J:J),SUMIF('TL19'!C:C,C284,'TL19'!J:J))
,0)</f>
        <v>0</v>
      </c>
      <c r="S284" s="17">
        <f>IFERROR(__xludf.DUMMYFUNCTION("IFERROR(VLOOKUP(C284,
IMPORTRANGE(""1wULbzX32WdYsx-lj2U3uUNBBe2INVIRDtcK0d-Dvl90"",
""26-27!C:G""),
5,
FALSE),
"""")"),8.0)</f>
        <v>8</v>
      </c>
      <c r="T284" s="9"/>
      <c r="U284" s="92">
        <f t="shared" si="2"/>
        <v>0</v>
      </c>
      <c r="V284" s="93">
        <f t="shared" si="3"/>
        <v>0</v>
      </c>
    </row>
    <row r="285" ht="15.75" hidden="1" customHeight="1">
      <c r="A285" s="4" t="s">
        <v>992</v>
      </c>
      <c r="B285" s="125" t="s">
        <v>9</v>
      </c>
      <c r="C285" s="4" t="s">
        <v>993</v>
      </c>
      <c r="D285" s="6"/>
      <c r="E285" s="9"/>
      <c r="F285" s="4" t="s">
        <v>343</v>
      </c>
      <c r="G285" s="9"/>
      <c r="H285" s="9">
        <v>1.0</v>
      </c>
      <c r="I285" s="1"/>
      <c r="J285" s="9">
        <f>IFERROR(SUM(
IF('TL01'!$B$3=J$3,SUMIF('TL01'!$C$10:$C$224,$C285,'TL01'!$J$10:$J$224),0),
IF('TL01'!$B$229=J$3,SUMIF('TL01'!$C$238:$C$451,$C285,'TL01'!$J$238:$J$451),0),
IF('TL02'!$B$3=J$3,SUMIF('TL02'!$C$10:$C$224,$C285,'TL02'!$J$10:$J$224),0),
IF('TL02'!$B$229=J$3,SUMIF('TL02'!$C$238:$C$451,$C285,'TL02'!$J$238:$J$451),0),
IF('TL03'!$B$3=J$3,SUMIF('TL03'!$C$10:$C$224,$C285,'TL03'!$J$10:$J$224),0),
IF('TL03'!$B$229=J$3,SUMIF('TL03'!$C$238:$C$451,$C285,'TL03'!$J$238:$J$451),0),
IF('TL04'!$B$3=J$3,SUMIF('TL04'!$C$10:$C$224,$C285,'TL04'!$J$10:$J$224),0),
IF('TL04'!$B$229=J$3,SUMIF('TL04'!$C$238:$C$451,$C285,'TL04'!$J$238:$J$451),0),
IF('TL05'!$B$3=J$3,SUMIF('TL05'!$C$10:$C$224,$C285,'TL05'!$J$10:$J$224),0),
IF('TL05'!$B$229=J$3,SUMIF('TL05'!$C$238:$C$451,$C285,'TL05'!$J$238:$J$451),0),
IF('TL06'!$B$3=J$3,SUMIF('TL06'!$C$10:$C$224,$C285,'TL06'!$J$10:$J$224),0),
IF('TL06'!$B$229=J$3,SUMIF('TL06'!$C$238:$C$451,$C285,'TL06'!$J$238:$J$451),0),
IF('TL07'!$B$3=J$3,SUMIF('TL07'!$C$10:$C$224,$C285,'TL07'!$J$10:$J$224),0),
IF('TL07'!$B$229=J$3,SUMIF('TL07'!$C$238:$C$451,$C285,'TL07'!$J$238:$J$451),0),
IF('TL08'!$B$3=J$3,SUMIF('TL08'!$C$10:$C$224,$C285,'TL08'!$J$10:$J$224),0),
IF('TL08'!$B$229=J$3,SUMIF('TL08'!$C$238:$C$451,$C285,'TL08'!$J$238:$J$451),0),
IF('TL09'!$B$3=J$3,SUMIF('TL09'!$C$10:$C$224,$C285,'TL09'!$J$10:$J$224),0),
IF('TL09'!$B$229=J$3,SUMIF('TL09'!$C$238:$C$451,$C285,'TL09'!$J$238:$J$451),0),
IF('TL10'!$B$3=J$3,SUMIF('TL10'!$C$10:$C$224,$C285,'TL10'!$J$10:$J$224),0),
IF('TL10'!$B$229=J$3,SUMIF('TL10'!$C$238:$C$451,$C285,'TL10'!$J$238:$J$451),0),
IF('TL11'!$B$3=J$3,SUMIF('TL11'!$C$10:$C$224,$C285,'TL11'!$J$10:$J$224),0),
IF('TL11'!$B$229=J$3,SUMIF('TL11'!$C$238:$C$451,$C285,'TL11'!$J$238:$J$451),0),
IF('TL12'!$B$3=J$3,SUMIF('TL12'!$C$10:$C$224,$C285,'TL12'!$J$10:$J$224),0),
IF('TL12'!$B$229=J$3,SUMIF('TL12'!$C$238:$C$451,$C285,'TL12'!$J$238:$J$451),0),
IF('TL13'!$B$3=J$3,SUMIF('TL13'!$C$10:$C$224,$C285,'TL13'!$J$10:$J$224),0),
IF('TL13'!$B$229=J$3,SUMIF('TL13'!$C$238:$C$451,$C285,'TL13'!$J$238:$J$451),0),
IF('TL14'!$B$3=J$3,SUMIF('TL14'!$C$10:$C$224,$C285,'TL14'!$J$10:$J$224),0),
IF('TL14'!$B$229=J$3,SUMIF('TL14'!$C$238:$C$451,$C285,'TL14'!$J$238:$J$451),0),
IF('TL15'!$B$3=J$3,SUMIF('TL15'!$C$10:$C$224,$C285,'TL15'!$J$10:$J$224),0),
IF('TL15'!$B$229=J$3,SUMIF('TL15'!$C$238:$C$451,$C285,'TL15'!$J$238:$J$451),0),
IF('TL16'!$B$3=J$3,SUMIF('TL16'!$C$10:$C$224,$C285,'TL16'!$J$10:$J$224),0),
IF('TL16'!$B$229=J$3,SUMIF('TL16'!$C$238:$C$451,$C285,'TL16'!$J$238:$J$451),0),
IF('TL17'!$B$3=J$3,SUMIF('TL17'!$C$10:$C$224,$C285,'TL17'!$J$10:$J$224),0),
IF('TL17'!$B$229=J$3,SUMIF('TL17'!$C$238:$C$451,$C285,'TL17'!$J$238:$J$451),0),
IF('TL18'!$B$3=J$3,SUMIF('TL18'!$C$10:$C$224,$C285,'TL18'!$J$10:$J$224),0),
IF('TL18'!$B$229=J$3,SUMIF('TL18'!$C$238:$C$451,$C285,'TL18'!$J$238:$J$451),0),
IF('TL19'!$B$3=J$3,SUMIF('TL19'!$C$10:$C$224,$C285,'TL19'!$J$10:$J$224),0),
IF('TL19'!$B$229=J$3,SUMIF('TL19'!$C$238:$C$451,$C285,'TL19'!$J$238:$J$451),0)
),0)</f>
        <v>0</v>
      </c>
      <c r="K285" s="9">
        <f>IFERROR(SUM(
IF('TL01'!$B$3=K$3,SUMIF('TL01'!$C$10:$C$224,$C285,'TL01'!$J$10:$J$224),0),
IF('TL01'!$B$229=K$3,SUMIF('TL01'!$C$238:$C$451,$C285,'TL01'!$J$238:$J$451),0),
IF('TL02'!$B$3=K$3,SUMIF('TL02'!$C$10:$C$224,$C285,'TL02'!$J$10:$J$224),0),
IF('TL02'!$B$229=K$3,SUMIF('TL02'!$C$238:$C$451,$C285,'TL02'!$J$238:$J$451),0),
IF('TL03'!$B$3=K$3,SUMIF('TL03'!$C$10:$C$224,$C285,'TL03'!$J$10:$J$224),0),
IF('TL03'!$B$229=K$3,SUMIF('TL03'!$C$238:$C$451,$C285,'TL03'!$J$238:$J$451),0),
IF('TL04'!$B$3=K$3,SUMIF('TL04'!$C$10:$C$224,$C285,'TL04'!$J$10:$J$224),0),
IF('TL04'!$B$229=K$3,SUMIF('TL04'!$C$238:$C$451,$C285,'TL04'!$J$238:$J$451),0),
IF('TL05'!$B$3=K$3,SUMIF('TL05'!$C$10:$C$224,$C285,'TL05'!$J$10:$J$224),0),
IF('TL05'!$B$229=K$3,SUMIF('TL05'!$C$238:$C$451,$C285,'TL05'!$J$238:$J$451),0),
IF('TL06'!$B$3=K$3,SUMIF('TL06'!$C$10:$C$224,$C285,'TL06'!$J$10:$J$224),0),
IF('TL06'!$B$229=K$3,SUMIF('TL06'!$C$238:$C$451,$C285,'TL06'!$J$238:$J$451),0),
IF('TL07'!$B$3=K$3,SUMIF('TL07'!$C$10:$C$224,$C285,'TL07'!$J$10:$J$224),0),
IF('TL07'!$B$229=K$3,SUMIF('TL07'!$C$238:$C$451,$C285,'TL07'!$J$238:$J$451),0),
IF('TL08'!$B$3=K$3,SUMIF('TL08'!$C$10:$C$224,$C285,'TL08'!$J$10:$J$224),0),
IF('TL08'!$B$229=K$3,SUMIF('TL08'!$C$238:$C$451,$C285,'TL08'!$J$238:$J$451),0),
IF('TL09'!$B$3=K$3,SUMIF('TL09'!$C$10:$C$224,$C285,'TL09'!$J$10:$J$224),0),
IF('TL09'!$B$229=K$3,SUMIF('TL09'!$C$238:$C$451,$C285,'TL09'!$J$238:$J$451),0),
IF('TL10'!$B$3=K$3,SUMIF('TL10'!$C$10:$C$224,$C285,'TL10'!$J$10:$J$224),0),
IF('TL10'!$B$229=K$3,SUMIF('TL10'!$C$238:$C$451,$C285,'TL10'!$J$238:$J$451),0),
IF('TL11'!$B$3=K$3,SUMIF('TL11'!$C$10:$C$224,$C285,'TL11'!$J$10:$J$224),0),
IF('TL11'!$B$229=K$3,SUMIF('TL11'!$C$238:$C$451,$C285,'TL11'!$J$238:$J$451),0),
IF('TL12'!$B$3=K$3,SUMIF('TL12'!$C$10:$C$224,$C285,'TL12'!$J$10:$J$224),0),
IF('TL12'!$B$229=K$3,SUMIF('TL12'!$C$238:$C$451,$C285,'TL12'!$J$238:$J$451),0),
IF('TL13'!$B$3=K$3,SUMIF('TL13'!$C$10:$C$224,$C285,'TL13'!$J$10:$J$224),0),
IF('TL13'!$B$229=K$3,SUMIF('TL13'!$C$238:$C$451,$C285,'TL13'!$J$238:$J$451),0),
IF('TL14'!$B$3=K$3,SUMIF('TL14'!$C$10:$C$224,$C285,'TL14'!$J$10:$J$224),0),
IF('TL14'!$B$229=K$3,SUMIF('TL14'!$C$238:$C$451,$C285,'TL14'!$J$238:$J$451),0),
IF('TL15'!$B$3=K$3,SUMIF('TL15'!$C$10:$C$224,$C285,'TL15'!$J$10:$J$224),0),
IF('TL15'!$B$229=K$3,SUMIF('TL15'!$C$238:$C$451,$C285,'TL15'!$J$238:$J$451),0),
IF('TL16'!$B$3=K$3,SUMIF('TL16'!$C$10:$C$224,$C285,'TL16'!$J$10:$J$224),0),
IF('TL16'!$B$229=K$3,SUMIF('TL16'!$C$238:$C$451,$C285,'TL16'!$J$238:$J$451),0),
IF('TL17'!$B$3=K$3,SUMIF('TL17'!$C$10:$C$224,$C285,'TL17'!$J$10:$J$224),0),
IF('TL17'!$B$229=K$3,SUMIF('TL17'!$C$238:$C$451,$C285,'TL17'!$J$238:$J$451),0),
IF('TL18'!$B$3=K$3,SUMIF('TL18'!$C$10:$C$224,$C285,'TL18'!$J$10:$J$224),0),
IF('TL18'!$B$229=K$3,SUMIF('TL18'!$C$238:$C$451,$C285,'TL18'!$J$238:$J$451),0),
IF('TL19'!$B$3=K$3,SUMIF('TL19'!$C$10:$C$224,$C285,'TL19'!$J$10:$J$224),0),
IF('TL19'!$B$229=K$3,SUMIF('TL19'!$C$238:$C$451,$C285,'TL19'!$J$238:$J$451),0)
),0)</f>
        <v>0</v>
      </c>
      <c r="L285" s="9">
        <f>IFERROR(SUM(
IF('TL01'!$B$3=L$3,SUMIF('TL01'!$C$10:$C$224,$C285,'TL01'!$J$10:$J$224),0),
IF('TL01'!$B$229=L$3,SUMIF('TL01'!$C$238:$C$451,$C285,'TL01'!$J$238:$J$451),0),
IF('TL02'!$B$3=L$3,SUMIF('TL02'!$C$10:$C$224,$C285,'TL02'!$J$10:$J$224),0),
IF('TL02'!$B$229=L$3,SUMIF('TL02'!$C$238:$C$451,$C285,'TL02'!$J$238:$J$451),0),
IF('TL03'!$B$3=L$3,SUMIF('TL03'!$C$10:$C$224,$C285,'TL03'!$J$10:$J$224),0),
IF('TL03'!$B$229=L$3,SUMIF('TL03'!$C$238:$C$451,$C285,'TL03'!$J$238:$J$451),0),
IF('TL04'!$B$3=L$3,SUMIF('TL04'!$C$10:$C$224,$C285,'TL04'!$J$10:$J$224),0),
IF('TL04'!$B$229=L$3,SUMIF('TL04'!$C$238:$C$451,$C285,'TL04'!$J$238:$J$451),0),
IF('TL05'!$B$3=L$3,SUMIF('TL05'!$C$10:$C$224,$C285,'TL05'!$J$10:$J$224),0),
IF('TL05'!$B$229=L$3,SUMIF('TL05'!$C$238:$C$451,$C285,'TL05'!$J$238:$J$451),0),
IF('TL06'!$B$3=L$3,SUMIF('TL06'!$C$10:$C$224,$C285,'TL06'!$J$10:$J$224),0),
IF('TL06'!$B$229=L$3,SUMIF('TL06'!$C$238:$C$451,$C285,'TL06'!$J$238:$J$451),0),
IF('TL07'!$B$3=L$3,SUMIF('TL07'!$C$10:$C$224,$C285,'TL07'!$J$10:$J$224),0),
IF('TL07'!$B$229=L$3,SUMIF('TL07'!$C$238:$C$451,$C285,'TL07'!$J$238:$J$451),0),
IF('TL08'!$B$3=L$3,SUMIF('TL08'!$C$10:$C$224,$C285,'TL08'!$J$10:$J$224),0),
IF('TL08'!$B$229=L$3,SUMIF('TL08'!$C$238:$C$451,$C285,'TL08'!$J$238:$J$451),0),
IF('TL09'!$B$3=L$3,SUMIF('TL09'!$C$10:$C$224,$C285,'TL09'!$J$10:$J$224),0),
IF('TL09'!$B$229=L$3,SUMIF('TL09'!$C$238:$C$451,$C285,'TL09'!$J$238:$J$451),0),
IF('TL10'!$B$3=L$3,SUMIF('TL10'!$C$10:$C$224,$C285,'TL10'!$J$10:$J$224),0),
IF('TL10'!$B$229=L$3,SUMIF('TL10'!$C$238:$C$451,$C285,'TL10'!$J$238:$J$451),0),
IF('TL11'!$B$3=L$3,SUMIF('TL11'!$C$10:$C$224,$C285,'TL11'!$J$10:$J$224),0),
IF('TL11'!$B$229=L$3,SUMIF('TL11'!$C$238:$C$451,$C285,'TL11'!$J$238:$J$451),0),
IF('TL12'!$B$3=L$3,SUMIF('TL12'!$C$10:$C$224,$C285,'TL12'!$J$10:$J$224),0),
IF('TL12'!$B$229=L$3,SUMIF('TL12'!$C$238:$C$451,$C285,'TL12'!$J$238:$J$451),0),
IF('TL13'!$B$3=L$3,SUMIF('TL13'!$C$10:$C$224,$C285,'TL13'!$J$10:$J$224),0),
IF('TL13'!$B$229=L$3,SUMIF('TL13'!$C$238:$C$451,$C285,'TL13'!$J$238:$J$451),0),
IF('TL14'!$B$3=L$3,SUMIF('TL14'!$C$10:$C$224,$C285,'TL14'!$J$10:$J$224),0),
IF('TL14'!$B$229=L$3,SUMIF('TL14'!$C$238:$C$451,$C285,'TL14'!$J$238:$J$451),0),
IF('TL15'!$B$3=L$3,SUMIF('TL15'!$C$10:$C$224,$C285,'TL15'!$J$10:$J$224),0),
IF('TL15'!$B$229=L$3,SUMIF('TL15'!$C$238:$C$451,$C285,'TL15'!$J$238:$J$451),0),
IF('TL16'!$B$3=L$3,SUMIF('TL16'!$C$10:$C$224,$C285,'TL16'!$J$10:$J$224),0),
IF('TL16'!$B$229=L$3,SUMIF('TL16'!$C$238:$C$451,$C285,'TL16'!$J$238:$J$451),0),
IF('TL17'!$B$3=L$3,SUMIF('TL17'!$C$10:$C$224,$C285,'TL17'!$J$10:$J$224),0),
IF('TL17'!$B$229=L$3,SUMIF('TL17'!$C$238:$C$451,$C285,'TL17'!$J$238:$J$451),0),
IF('TL18'!$B$3=L$3,SUMIF('TL18'!$C$10:$C$224,$C285,'TL18'!$J$10:$J$224),0),
IF('TL18'!$B$229=L$3,SUMIF('TL18'!$C$238:$C$451,$C285,'TL18'!$J$238:$J$451),0),
IF('TL19'!$B$3=L$3,SUMIF('TL19'!$C$10:$C$224,$C285,'TL19'!$J$10:$J$224),0),
IF('TL19'!$B$229=L$3,SUMIF('TL19'!$C$238:$C$451,$C285,'TL19'!$J$238:$J$451),0)
),0)</f>
        <v>0</v>
      </c>
      <c r="M285" s="9">
        <f>IFERROR(SUM(
IF('TL01'!$B$3=M$3,SUMIF('TL01'!$C$10:$C$224,$C285,'TL01'!$J$10:$J$224),0),
IF('TL01'!$B$229=M$3,SUMIF('TL01'!$C$238:$C$451,$C285,'TL01'!$J$238:$J$451),0),
IF('TL02'!$B$3=M$3,SUMIF('TL02'!$C$10:$C$224,$C285,'TL02'!$J$10:$J$224),0),
IF('TL02'!$B$229=M$3,SUMIF('TL02'!$C$238:$C$451,$C285,'TL02'!$J$238:$J$451),0),
IF('TL03'!$B$3=M$3,SUMIF('TL03'!$C$10:$C$224,$C285,'TL03'!$J$10:$J$224),0),
IF('TL03'!$B$229=M$3,SUMIF('TL03'!$C$238:$C$451,$C285,'TL03'!$J$238:$J$451),0),
IF('TL04'!$B$3=M$3,SUMIF('TL04'!$C$10:$C$224,$C285,'TL04'!$J$10:$J$224),0),
IF('TL04'!$B$229=M$3,SUMIF('TL04'!$C$238:$C$451,$C285,'TL04'!$J$238:$J$451),0),
IF('TL05'!$B$3=M$3,SUMIF('TL05'!$C$10:$C$224,$C285,'TL05'!$J$10:$J$224),0),
IF('TL05'!$B$229=M$3,SUMIF('TL05'!$C$238:$C$451,$C285,'TL05'!$J$238:$J$451),0),
IF('TL06'!$B$3=M$3,SUMIF('TL06'!$C$10:$C$224,$C285,'TL06'!$J$10:$J$224),0),
IF('TL06'!$B$229=M$3,SUMIF('TL06'!$C$238:$C$451,$C285,'TL06'!$J$238:$J$451),0),
IF('TL07'!$B$3=M$3,SUMIF('TL07'!$C$10:$C$224,$C285,'TL07'!$J$10:$J$224),0),
IF('TL07'!$B$229=M$3,SUMIF('TL07'!$C$238:$C$451,$C285,'TL07'!$J$238:$J$451),0),
IF('TL08'!$B$3=M$3,SUMIF('TL08'!$C$10:$C$224,$C285,'TL08'!$J$10:$J$224),0),
IF('TL08'!$B$229=M$3,SUMIF('TL08'!$C$238:$C$451,$C285,'TL08'!$J$238:$J$451),0),
IF('TL09'!$B$3=M$3,SUMIF('TL09'!$C$10:$C$224,$C285,'TL09'!$J$10:$J$224),0),
IF('TL09'!$B$229=M$3,SUMIF('TL09'!$C$238:$C$451,$C285,'TL09'!$J$238:$J$451),0),
IF('TL10'!$B$3=M$3,SUMIF('TL10'!$C$10:$C$224,$C285,'TL10'!$J$10:$J$224),0),
IF('TL10'!$B$229=M$3,SUMIF('TL10'!$C$238:$C$451,$C285,'TL10'!$J$238:$J$451),0),
IF('TL11'!$B$3=M$3,SUMIF('TL11'!$C$10:$C$224,$C285,'TL11'!$J$10:$J$224),0),
IF('TL11'!$B$229=M$3,SUMIF('TL11'!$C$238:$C$451,$C285,'TL11'!$J$238:$J$451),0),
IF('TL12'!$B$3=M$3,SUMIF('TL12'!$C$10:$C$224,$C285,'TL12'!$J$10:$J$224),0),
IF('TL12'!$B$229=M$3,SUMIF('TL12'!$C$238:$C$451,$C285,'TL12'!$J$238:$J$451),0),
IF('TL13'!$B$3=M$3,SUMIF('TL13'!$C$10:$C$224,$C285,'TL13'!$J$10:$J$224),0),
IF('TL13'!$B$229=M$3,SUMIF('TL13'!$C$238:$C$451,$C285,'TL13'!$J$238:$J$451),0),
IF('TL14'!$B$3=M$3,SUMIF('TL14'!$C$10:$C$224,$C285,'TL14'!$J$10:$J$224),0),
IF('TL14'!$B$229=M$3,SUMIF('TL14'!$C$238:$C$451,$C285,'TL14'!$J$238:$J$451),0),
IF('TL15'!$B$3=M$3,SUMIF('TL15'!$C$10:$C$224,$C285,'TL15'!$J$10:$J$224),0),
IF('TL15'!$B$229=M$3,SUMIF('TL15'!$C$238:$C$451,$C285,'TL15'!$J$238:$J$451),0),
IF('TL16'!$B$3=M$3,SUMIF('TL16'!$C$10:$C$224,$C285,'TL16'!$J$10:$J$224),0),
IF('TL16'!$B$229=M$3,SUMIF('TL16'!$C$238:$C$451,$C285,'TL16'!$J$238:$J$451),0),
IF('TL17'!$B$3=M$3,SUMIF('TL17'!$C$10:$C$224,$C285,'TL17'!$J$10:$J$224),0),
IF('TL17'!$B$229=M$3,SUMIF('TL17'!$C$238:$C$451,$C285,'TL17'!$J$238:$J$451),0),
IF('TL18'!$B$3=M$3,SUMIF('TL18'!$C$10:$C$224,$C285,'TL18'!$J$10:$J$224),0),
IF('TL18'!$B$229=M$3,SUMIF('TL18'!$C$238:$C$451,$C285,'TL18'!$J$238:$J$451),0),
IF('TL19'!$B$3=M$3,SUMIF('TL19'!$C$10:$C$224,$C285,'TL19'!$J$10:$J$224),0),
IF('TL19'!$B$229=M$3,SUMIF('TL19'!$C$238:$C$451,$C285,'TL19'!$J$238:$J$451),0)
),0)</f>
        <v>0</v>
      </c>
      <c r="N285" s="9">
        <f>IFERROR(SUM(
IF('TL01'!$B$3=N$3,SUMIF('TL01'!$C$10:$C$224,$C285,'TL01'!$J$10:$J$224),0),
IF('TL01'!$B$229=N$3,SUMIF('TL01'!$C$238:$C$451,$C285,'TL01'!$J$238:$J$451),0),
IF('TL02'!$B$3=N$3,SUMIF('TL02'!$C$10:$C$224,$C285,'TL02'!$J$10:$J$224),0),
IF('TL02'!$B$229=N$3,SUMIF('TL02'!$C$238:$C$451,$C285,'TL02'!$J$238:$J$451),0),
IF('TL03'!$B$3=N$3,SUMIF('TL03'!$C$10:$C$224,$C285,'TL03'!$J$10:$J$224),0),
IF('TL03'!$B$229=N$3,SUMIF('TL03'!$C$238:$C$451,$C285,'TL03'!$J$238:$J$451),0),
IF('TL04'!$B$3=N$3,SUMIF('TL04'!$C$10:$C$224,$C285,'TL04'!$J$10:$J$224),0),
IF('TL04'!$B$229=N$3,SUMIF('TL04'!$C$238:$C$451,$C285,'TL04'!$J$238:$J$451),0),
IF('TL05'!$B$3=N$3,SUMIF('TL05'!$C$10:$C$224,$C285,'TL05'!$J$10:$J$224),0),
IF('TL05'!$B$229=N$3,SUMIF('TL05'!$C$238:$C$451,$C285,'TL05'!$J$238:$J$451),0),
IF('TL06'!$B$3=N$3,SUMIF('TL06'!$C$10:$C$224,$C285,'TL06'!$J$10:$J$224),0),
IF('TL06'!$B$229=N$3,SUMIF('TL06'!$C$238:$C$451,$C285,'TL06'!$J$238:$J$451),0),
IF('TL07'!$B$3=N$3,SUMIF('TL07'!$C$10:$C$224,$C285,'TL07'!$J$10:$J$224),0),
IF('TL07'!$B$229=N$3,SUMIF('TL07'!$C$238:$C$451,$C285,'TL07'!$J$238:$J$451),0),
IF('TL08'!$B$3=N$3,SUMIF('TL08'!$C$10:$C$224,$C285,'TL08'!$J$10:$J$224),0),
IF('TL08'!$B$229=N$3,SUMIF('TL08'!$C$238:$C$451,$C285,'TL08'!$J$238:$J$451),0),
IF('TL09'!$B$3=N$3,SUMIF('TL09'!$C$10:$C$224,$C285,'TL09'!$J$10:$J$224),0),
IF('TL09'!$B$229=N$3,SUMIF('TL09'!$C$238:$C$451,$C285,'TL09'!$J$238:$J$451),0),
IF('TL10'!$B$3=N$3,SUMIF('TL10'!$C$10:$C$224,$C285,'TL10'!$J$10:$J$224),0),
IF('TL10'!$B$229=N$3,SUMIF('TL10'!$C$238:$C$451,$C285,'TL10'!$J$238:$J$451),0),
IF('TL11'!$B$3=N$3,SUMIF('TL11'!$C$10:$C$224,$C285,'TL11'!$J$10:$J$224),0),
IF('TL11'!$B$229=N$3,SUMIF('TL11'!$C$238:$C$451,$C285,'TL11'!$J$238:$J$451),0),
IF('TL12'!$B$3=N$3,SUMIF('TL12'!$C$10:$C$224,$C285,'TL12'!$J$10:$J$224),0),
IF('TL12'!$B$229=N$3,SUMIF('TL12'!$C$238:$C$451,$C285,'TL12'!$J$238:$J$451),0),
IF('TL13'!$B$3=N$3,SUMIF('TL13'!$C$10:$C$224,$C285,'TL13'!$J$10:$J$224),0),
IF('TL13'!$B$229=N$3,SUMIF('TL13'!$C$238:$C$451,$C285,'TL13'!$J$238:$J$451),0),
IF('TL14'!$B$3=N$3,SUMIF('TL14'!$C$10:$C$224,$C285,'TL14'!$J$10:$J$224),0),
IF('TL14'!$B$229=N$3,SUMIF('TL14'!$C$238:$C$451,$C285,'TL14'!$J$238:$J$451),0),
IF('TL15'!$B$3=N$3,SUMIF('TL15'!$C$10:$C$224,$C285,'TL15'!$J$10:$J$224),0),
IF('TL15'!$B$229=N$3,SUMIF('TL15'!$C$238:$C$451,$C285,'TL15'!$J$238:$J$451),0),
IF('TL16'!$B$3=N$3,SUMIF('TL16'!$C$10:$C$224,$C285,'TL16'!$J$10:$J$224),0),
IF('TL16'!$B$229=N$3,SUMIF('TL16'!$C$238:$C$451,$C285,'TL16'!$J$238:$J$451),0),
IF('TL17'!$B$3=N$3,SUMIF('TL17'!$C$10:$C$224,$C285,'TL17'!$J$10:$J$224),0),
IF('TL17'!$B$229=N$3,SUMIF('TL17'!$C$238:$C$451,$C285,'TL17'!$J$238:$J$451),0),
IF('TL18'!$B$3=N$3,SUMIF('TL18'!$C$10:$C$224,$C285,'TL18'!$J$10:$J$224),0),
IF('TL18'!$B$229=N$3,SUMIF('TL18'!$C$238:$C$451,$C285,'TL18'!$J$238:$J$451),0),
IF('TL19'!$B$3=N$3,SUMIF('TL19'!$C$10:$C$224,$C285,'TL19'!$J$10:$J$224),0),
IF('TL19'!$B$229=N$3,SUMIF('TL19'!$C$238:$C$451,$C285,'TL19'!$J$238:$J$451),0)
),0)</f>
        <v>0</v>
      </c>
      <c r="O285" s="9">
        <f>IFERROR(SUM(
IF('TL01'!$B$3=O$3,SUMIF('TL01'!$C$10:$C$224,$C285,'TL01'!$J$10:$J$224),0),
IF('TL01'!$B$229=O$3,SUMIF('TL01'!$C$238:$C$451,$C285,'TL01'!$J$238:$J$451),0),
IF('TL02'!$B$3=O$3,SUMIF('TL02'!$C$10:$C$224,$C285,'TL02'!$J$10:$J$224),0),
IF('TL02'!$B$229=O$3,SUMIF('TL02'!$C$238:$C$451,$C285,'TL02'!$J$238:$J$451),0),
IF('TL03'!$B$3=O$3,SUMIF('TL03'!$C$10:$C$224,$C285,'TL03'!$J$10:$J$224),0),
IF('TL03'!$B$229=O$3,SUMIF('TL03'!$C$238:$C$451,$C285,'TL03'!$J$238:$J$451),0),
IF('TL04'!$B$3=O$3,SUMIF('TL04'!$C$10:$C$224,$C285,'TL04'!$J$10:$J$224),0),
IF('TL04'!$B$229=O$3,SUMIF('TL04'!$C$238:$C$451,$C285,'TL04'!$J$238:$J$451),0),
IF('TL05'!$B$3=O$3,SUMIF('TL05'!$C$10:$C$224,$C285,'TL05'!$J$10:$J$224),0),
IF('TL05'!$B$229=O$3,SUMIF('TL05'!$C$238:$C$451,$C285,'TL05'!$J$238:$J$451),0),
IF('TL06'!$B$3=O$3,SUMIF('TL06'!$C$10:$C$224,$C285,'TL06'!$J$10:$J$224),0),
IF('TL06'!$B$229=O$3,SUMIF('TL06'!$C$238:$C$451,$C285,'TL06'!$J$238:$J$451),0),
IF('TL07'!$B$3=O$3,SUMIF('TL07'!$C$10:$C$224,$C285,'TL07'!$J$10:$J$224),0),
IF('TL07'!$B$229=O$3,SUMIF('TL07'!$C$238:$C$451,$C285,'TL07'!$J$238:$J$451),0),
IF('TL08'!$B$3=O$3,SUMIF('TL08'!$C$10:$C$224,$C285,'TL08'!$J$10:$J$224),0),
IF('TL08'!$B$229=O$3,SUMIF('TL08'!$C$238:$C$451,$C285,'TL08'!$J$238:$J$451),0),
IF('TL09'!$B$3=O$3,SUMIF('TL09'!$C$10:$C$224,$C285,'TL09'!$J$10:$J$224),0),
IF('TL09'!$B$229=O$3,SUMIF('TL09'!$C$238:$C$451,$C285,'TL09'!$J$238:$J$451),0),
IF('TL10'!$B$3=O$3,SUMIF('TL10'!$C$10:$C$224,$C285,'TL10'!$J$10:$J$224),0),
IF('TL10'!$B$229=O$3,SUMIF('TL10'!$C$238:$C$451,$C285,'TL10'!$J$238:$J$451),0),
IF('TL11'!$B$3=O$3,SUMIF('TL11'!$C$10:$C$224,$C285,'TL11'!$J$10:$J$224),0),
IF('TL11'!$B$229=O$3,SUMIF('TL11'!$C$238:$C$451,$C285,'TL11'!$J$238:$J$451),0),
IF('TL12'!$B$3=O$3,SUMIF('TL12'!$C$10:$C$224,$C285,'TL12'!$J$10:$J$224),0),
IF('TL12'!$B$229=O$3,SUMIF('TL12'!$C$238:$C$451,$C285,'TL12'!$J$238:$J$451),0),
IF('TL13'!$B$3=O$3,SUMIF('TL13'!$C$10:$C$224,$C285,'TL13'!$J$10:$J$224),0),
IF('TL13'!$B$229=O$3,SUMIF('TL13'!$C$238:$C$451,$C285,'TL13'!$J$238:$J$451),0),
IF('TL14'!$B$3=O$3,SUMIF('TL14'!$C$10:$C$224,$C285,'TL14'!$J$10:$J$224),0),
IF('TL14'!$B$229=O$3,SUMIF('TL14'!$C$238:$C$451,$C285,'TL14'!$J$238:$J$451),0),
IF('TL15'!$B$3=O$3,SUMIF('TL15'!$C$10:$C$224,$C285,'TL15'!$J$10:$J$224),0),
IF('TL15'!$B$229=O$3,SUMIF('TL15'!$C$238:$C$451,$C285,'TL15'!$J$238:$J$451),0),
IF('TL16'!$B$3=O$3,SUMIF('TL16'!$C$10:$C$224,$C285,'TL16'!$J$10:$J$224),0),
IF('TL16'!$B$229=O$3,SUMIF('TL16'!$C$238:$C$451,$C285,'TL16'!$J$238:$J$451),0),
IF('TL17'!$B$3=O$3,SUMIF('TL17'!$C$10:$C$224,$C285,'TL17'!$J$10:$J$224),0),
IF('TL17'!$B$229=O$3,SUMIF('TL17'!$C$238:$C$451,$C285,'TL17'!$J$238:$J$451),0),
IF('TL18'!$B$3=O$3,SUMIF('TL18'!$C$10:$C$224,$C285,'TL18'!$J$10:$J$224),0),
IF('TL18'!$B$229=O$3,SUMIF('TL18'!$C$238:$C$451,$C285,'TL18'!$J$238:$J$451),0),
IF('TL19'!$B$3=O$3,SUMIF('TL19'!$C$10:$C$224,$C285,'TL19'!$J$10:$J$224),0),
IF('TL19'!$B$229=O$3,SUMIF('TL19'!$C$238:$C$451,$C285,'TL19'!$J$238:$J$451),0)
),0)</f>
        <v>0</v>
      </c>
      <c r="P285" s="9">
        <f>IFERROR(SUM(
IF('TL01'!$B$3=P$3,SUMIF('TL01'!$C$10:$C$224,$C285,'TL01'!$J$10:$J$224),0),
IF('TL01'!$B$229=P$3,SUMIF('TL01'!$C$238:$C$451,$C285,'TL01'!$J$238:$J$451),0),
IF('TL02'!$B$3=P$3,SUMIF('TL02'!$C$10:$C$224,$C285,'TL02'!$J$10:$J$224),0),
IF('TL02'!$B$229=P$3,SUMIF('TL02'!$C$238:$C$451,$C285,'TL02'!$J$238:$J$451),0),
IF('TL03'!$B$3=P$3,SUMIF('TL03'!$C$10:$C$224,$C285,'TL03'!$J$10:$J$224),0),
IF('TL03'!$B$229=P$3,SUMIF('TL03'!$C$238:$C$451,$C285,'TL03'!$J$238:$J$451),0),
IF('TL04'!$B$3=P$3,SUMIF('TL04'!$C$10:$C$224,$C285,'TL04'!$J$10:$J$224),0),
IF('TL04'!$B$229=P$3,SUMIF('TL04'!$C$238:$C$451,$C285,'TL04'!$J$238:$J$451),0),
IF('TL05'!$B$3=P$3,SUMIF('TL05'!$C$10:$C$224,$C285,'TL05'!$J$10:$J$224),0),
IF('TL05'!$B$229=P$3,SUMIF('TL05'!$C$238:$C$451,$C285,'TL05'!$J$238:$J$451),0),
IF('TL06'!$B$3=P$3,SUMIF('TL06'!$C$10:$C$224,$C285,'TL06'!$J$10:$J$224),0),
IF('TL06'!$B$229=P$3,SUMIF('TL06'!$C$238:$C$451,$C285,'TL06'!$J$238:$J$451),0),
IF('TL07'!$B$3=P$3,SUMIF('TL07'!$C$10:$C$224,$C285,'TL07'!$J$10:$J$224),0),
IF('TL07'!$B$229=P$3,SUMIF('TL07'!$C$238:$C$451,$C285,'TL07'!$J$238:$J$451),0),
IF('TL08'!$B$3=P$3,SUMIF('TL08'!$C$10:$C$224,$C285,'TL08'!$J$10:$J$224),0),
IF('TL08'!$B$229=P$3,SUMIF('TL08'!$C$238:$C$451,$C285,'TL08'!$J$238:$J$451),0),
IF('TL09'!$B$3=P$3,SUMIF('TL09'!$C$10:$C$224,$C285,'TL09'!$J$10:$J$224),0),
IF('TL09'!$B$229=P$3,SUMIF('TL09'!$C$238:$C$451,$C285,'TL09'!$J$238:$J$451),0),
IF('TL10'!$B$3=P$3,SUMIF('TL10'!$C$10:$C$224,$C285,'TL10'!$J$10:$J$224),0),
IF('TL10'!$B$229=P$3,SUMIF('TL10'!$C$238:$C$451,$C285,'TL10'!$J$238:$J$451),0),
IF('TL11'!$B$3=P$3,SUMIF('TL11'!$C$10:$C$224,$C285,'TL11'!$J$10:$J$224),0),
IF('TL11'!$B$229=P$3,SUMIF('TL11'!$C$238:$C$451,$C285,'TL11'!$J$238:$J$451),0),
IF('TL12'!$B$3=P$3,SUMIF('TL12'!$C$10:$C$224,$C285,'TL12'!$J$10:$J$224),0),
IF('TL12'!$B$229=P$3,SUMIF('TL12'!$C$238:$C$451,$C285,'TL12'!$J$238:$J$451),0),
IF('TL13'!$B$3=P$3,SUMIF('TL13'!$C$10:$C$224,$C285,'TL13'!$J$10:$J$224),0),
IF('TL13'!$B$229=P$3,SUMIF('TL13'!$C$238:$C$451,$C285,'TL13'!$J$238:$J$451),0),
IF('TL14'!$B$3=P$3,SUMIF('TL14'!$C$10:$C$224,$C285,'TL14'!$J$10:$J$224),0),
IF('TL14'!$B$229=P$3,SUMIF('TL14'!$C$238:$C$451,$C285,'TL14'!$J$238:$J$451),0),
IF('TL15'!$B$3=P$3,SUMIF('TL15'!$C$10:$C$224,$C285,'TL15'!$J$10:$J$224),0),
IF('TL15'!$B$229=P$3,SUMIF('TL15'!$C$238:$C$451,$C285,'TL15'!$J$238:$J$451),0),
IF('TL16'!$B$3=P$3,SUMIF('TL16'!$C$10:$C$224,$C285,'TL16'!$J$10:$J$224),0),
IF('TL16'!$B$229=P$3,SUMIF('TL16'!$C$238:$C$451,$C285,'TL16'!$J$238:$J$451),0),
IF('TL17'!$B$3=P$3,SUMIF('TL17'!$C$10:$C$224,$C285,'TL17'!$J$10:$J$224),0),
IF('TL17'!$B$229=P$3,SUMIF('TL17'!$C$238:$C$451,$C285,'TL17'!$J$238:$J$451),0),
IF('TL18'!$B$3=P$3,SUMIF('TL18'!$C$10:$C$224,$C285,'TL18'!$J$10:$J$224),0),
IF('TL18'!$B$229=P$3,SUMIF('TL18'!$C$238:$C$451,$C285,'TL18'!$J$238:$J$451),0),
IF('TL19'!$B$3=P$3,SUMIF('TL19'!$C$10:$C$224,$C285,'TL19'!$J$10:$J$224),0),
IF('TL19'!$B$229=P$3,SUMIF('TL19'!$C$238:$C$451,$C285,'TL19'!$J$238:$J$451),0)
),0)</f>
        <v>0</v>
      </c>
      <c r="Q285" s="9">
        <f>IFERROR(SUM(
IF('TL01'!$B$3=Q$3,SUMIF('TL01'!$C$10:$C$224,$C285,'TL01'!$J$10:$J$224),0),
IF('TL01'!$B$229=Q$3,SUMIF('TL01'!$C$238:$C$451,$C285,'TL01'!$J$238:$J$451),0),
IF('TL02'!$B$3=Q$3,SUMIF('TL02'!$C$10:$C$224,$C285,'TL02'!$J$10:$J$224),0),
IF('TL02'!$B$229=Q$3,SUMIF('TL02'!$C$238:$C$451,$C285,'TL02'!$J$238:$J$451),0),
IF('TL03'!$B$3=Q$3,SUMIF('TL03'!$C$10:$C$224,$C285,'TL03'!$J$10:$J$224),0),
IF('TL03'!$B$229=Q$3,SUMIF('TL03'!$C$238:$C$451,$C285,'TL03'!$J$238:$J$451),0),
IF('TL04'!$B$3=Q$3,SUMIF('TL04'!$C$10:$C$224,$C285,'TL04'!$J$10:$J$224),0),
IF('TL04'!$B$229=Q$3,SUMIF('TL04'!$C$238:$C$451,$C285,'TL04'!$J$238:$J$451),0),
IF('TL05'!$B$3=Q$3,SUMIF('TL05'!$C$10:$C$224,$C285,'TL05'!$J$10:$J$224),0),
IF('TL05'!$B$229=Q$3,SUMIF('TL05'!$C$238:$C$451,$C285,'TL05'!$J$238:$J$451),0),
IF('TL06'!$B$3=Q$3,SUMIF('TL06'!$C$10:$C$224,$C285,'TL06'!$J$10:$J$224),0),
IF('TL06'!$B$229=Q$3,SUMIF('TL06'!$C$238:$C$451,$C285,'TL06'!$J$238:$J$451),0),
IF('TL07'!$B$3=Q$3,SUMIF('TL07'!$C$10:$C$224,$C285,'TL07'!$J$10:$J$224),0),
IF('TL07'!$B$229=Q$3,SUMIF('TL07'!$C$238:$C$451,$C285,'TL07'!$J$238:$J$451),0),
IF('TL08'!$B$3=Q$3,SUMIF('TL08'!$C$10:$C$224,$C285,'TL08'!$J$10:$J$224),0),
IF('TL08'!$B$229=Q$3,SUMIF('TL08'!$C$238:$C$451,$C285,'TL08'!$J$238:$J$451),0),
IF('TL09'!$B$3=Q$3,SUMIF('TL09'!$C$10:$C$224,$C285,'TL09'!$J$10:$J$224),0),
IF('TL09'!$B$229=Q$3,SUMIF('TL09'!$C$238:$C$451,$C285,'TL09'!$J$238:$J$451),0),
IF('TL10'!$B$3=Q$3,SUMIF('TL10'!$C$10:$C$224,$C285,'TL10'!$J$10:$J$224),0),
IF('TL10'!$B$229=Q$3,SUMIF('TL10'!$C$238:$C$451,$C285,'TL10'!$J$238:$J$451),0),
IF('TL11'!$B$3=Q$3,SUMIF('TL11'!$C$10:$C$224,$C285,'TL11'!$J$10:$J$224),0),
IF('TL11'!$B$229=Q$3,SUMIF('TL11'!$C$238:$C$451,$C285,'TL11'!$J$238:$J$451),0),
IF('TL12'!$B$3=Q$3,SUMIF('TL12'!$C$10:$C$224,$C285,'TL12'!$J$10:$J$224),0),
IF('TL12'!$B$229=Q$3,SUMIF('TL12'!$C$238:$C$451,$C285,'TL12'!$J$238:$J$451),0),
IF('TL13'!$B$3=Q$3,SUMIF('TL13'!$C$10:$C$224,$C285,'TL13'!$J$10:$J$224),0),
IF('TL13'!$B$229=Q$3,SUMIF('TL13'!$C$238:$C$451,$C285,'TL13'!$J$238:$J$451),0),
IF('TL14'!$B$3=Q$3,SUMIF('TL14'!$C$10:$C$224,$C285,'TL14'!$J$10:$J$224),0),
IF('TL14'!$B$229=Q$3,SUMIF('TL14'!$C$238:$C$451,$C285,'TL14'!$J$238:$J$451),0),
IF('TL15'!$B$3=Q$3,SUMIF('TL15'!$C$10:$C$224,$C285,'TL15'!$J$10:$J$224),0),
IF('TL15'!$B$229=Q$3,SUMIF('TL15'!$C$238:$C$451,$C285,'TL15'!$J$238:$J$451),0),
IF('TL16'!$B$3=Q$3,SUMIF('TL16'!$C$10:$C$224,$C285,'TL16'!$J$10:$J$224),0),
IF('TL16'!$B$229=Q$3,SUMIF('TL16'!$C$238:$C$451,$C285,'TL16'!$J$238:$J$451),0),
IF('TL17'!$B$3=Q$3,SUMIF('TL17'!$C$10:$C$224,$C285,'TL17'!$J$10:$J$224),0),
IF('TL17'!$B$229=Q$3,SUMIF('TL17'!$C$238:$C$451,$C285,'TL17'!$J$238:$J$451),0),
IF('TL18'!$B$3=Q$3,SUMIF('TL18'!$C$10:$C$224,$C285,'TL18'!$J$10:$J$224),0),
IF('TL18'!$B$229=Q$3,SUMIF('TL18'!$C$238:$C$451,$C285,'TL18'!$J$238:$J$451),0),
IF('TL19'!$B$3=Q$3,SUMIF('TL19'!$C$10:$C$224,$C285,'TL19'!$J$10:$J$224),0),
IF('TL19'!$B$229=Q$3,SUMIF('TL19'!$C$238:$C$451,$C285,'TL19'!$J$238:$J$451),0)
),0)</f>
        <v>0</v>
      </c>
      <c r="R285" s="9">
        <f>IFERROR(
SUM(
SUMIF('TL01'!C:C,C285,'TL01'!J:J),
SUMIF('TL02'!C:C,C285,'TL02'!J:J),
SUMIF('TL03'!C:C,C285,'TL03'!J:J),
SUMIF('TL04'!C:C,C285,'TL04'!J:J),
SUMIF('TL05'!C:C,C285,'TL05'!J:J),
SUMIF('TL06'!C:C,C285,'TL06'!J:J),
SUMIF('TL07'!C:C,C285,'TL07'!J:J),
SUMIF('TL08'!C:C,C285,'TL08'!J:J),
SUMIF('TL09'!C:C,C285,'TL09'!J:J),
SUMIF('TL10'!C:C,C285,'TL10'!J:J),
SUMIF('TL11'!C:C,C285,'TL11'!J:J),
SUMIF('TL12'!C:C,C285,'TL12'!J:J),
SUMIF('TL13'!C:C,C285,'TL13'!J:J),
SUMIF('TL14'!C:C,C285,'TL14'!J:J),
SUMIF('TL15'!C:C,C285,'TL15'!J:J),
SUMIF('TL16'!C:C,C285,'TL16'!J:J),
SUMIF('TL17'!C:C,C285,'TL17'!J:J),
SUMIF('TL18'!C:C,C285,'TL18'!J:J),SUMIF('TL19'!C:C,C285,'TL19'!J:J))
,0)</f>
        <v>0</v>
      </c>
      <c r="S285" s="17">
        <f>IFERROR(__xludf.DUMMYFUNCTION("IFERROR(VLOOKUP(C285,
IMPORTRANGE(""1wULbzX32WdYsx-lj2U3uUNBBe2INVIRDtcK0d-Dvl90"",
""26-27!C:G""),
5,
FALSE),
"""")"),8.51)</f>
        <v>8.51</v>
      </c>
      <c r="T285" s="9"/>
      <c r="U285" s="92">
        <f t="shared" si="2"/>
        <v>0</v>
      </c>
      <c r="V285" s="93">
        <f t="shared" si="3"/>
        <v>0</v>
      </c>
    </row>
    <row r="286" ht="15.75" hidden="1" customHeight="1">
      <c r="A286" s="4" t="s">
        <v>992</v>
      </c>
      <c r="B286" s="125" t="s">
        <v>9</v>
      </c>
      <c r="C286" s="4" t="s">
        <v>994</v>
      </c>
      <c r="D286" s="6"/>
      <c r="E286" s="9"/>
      <c r="F286" s="4" t="s">
        <v>343</v>
      </c>
      <c r="G286" s="9"/>
      <c r="H286" s="9">
        <v>3.0</v>
      </c>
      <c r="I286" s="1"/>
      <c r="J286" s="9">
        <f>IFERROR(SUM(
IF('TL01'!$B$3=J$3,SUMIF('TL01'!$C$10:$C$224,$C286,'TL01'!$J$10:$J$224),0),
IF('TL01'!$B$229=J$3,SUMIF('TL01'!$C$238:$C$451,$C286,'TL01'!$J$238:$J$451),0),
IF('TL02'!$B$3=J$3,SUMIF('TL02'!$C$10:$C$224,$C286,'TL02'!$J$10:$J$224),0),
IF('TL02'!$B$229=J$3,SUMIF('TL02'!$C$238:$C$451,$C286,'TL02'!$J$238:$J$451),0),
IF('TL03'!$B$3=J$3,SUMIF('TL03'!$C$10:$C$224,$C286,'TL03'!$J$10:$J$224),0),
IF('TL03'!$B$229=J$3,SUMIF('TL03'!$C$238:$C$451,$C286,'TL03'!$J$238:$J$451),0),
IF('TL04'!$B$3=J$3,SUMIF('TL04'!$C$10:$C$224,$C286,'TL04'!$J$10:$J$224),0),
IF('TL04'!$B$229=J$3,SUMIF('TL04'!$C$238:$C$451,$C286,'TL04'!$J$238:$J$451),0),
IF('TL05'!$B$3=J$3,SUMIF('TL05'!$C$10:$C$224,$C286,'TL05'!$J$10:$J$224),0),
IF('TL05'!$B$229=J$3,SUMIF('TL05'!$C$238:$C$451,$C286,'TL05'!$J$238:$J$451),0),
IF('TL06'!$B$3=J$3,SUMIF('TL06'!$C$10:$C$224,$C286,'TL06'!$J$10:$J$224),0),
IF('TL06'!$B$229=J$3,SUMIF('TL06'!$C$238:$C$451,$C286,'TL06'!$J$238:$J$451),0),
IF('TL07'!$B$3=J$3,SUMIF('TL07'!$C$10:$C$224,$C286,'TL07'!$J$10:$J$224),0),
IF('TL07'!$B$229=J$3,SUMIF('TL07'!$C$238:$C$451,$C286,'TL07'!$J$238:$J$451),0),
IF('TL08'!$B$3=J$3,SUMIF('TL08'!$C$10:$C$224,$C286,'TL08'!$J$10:$J$224),0),
IF('TL08'!$B$229=J$3,SUMIF('TL08'!$C$238:$C$451,$C286,'TL08'!$J$238:$J$451),0),
IF('TL09'!$B$3=J$3,SUMIF('TL09'!$C$10:$C$224,$C286,'TL09'!$J$10:$J$224),0),
IF('TL09'!$B$229=J$3,SUMIF('TL09'!$C$238:$C$451,$C286,'TL09'!$J$238:$J$451),0),
IF('TL10'!$B$3=J$3,SUMIF('TL10'!$C$10:$C$224,$C286,'TL10'!$J$10:$J$224),0),
IF('TL10'!$B$229=J$3,SUMIF('TL10'!$C$238:$C$451,$C286,'TL10'!$J$238:$J$451),0),
IF('TL11'!$B$3=J$3,SUMIF('TL11'!$C$10:$C$224,$C286,'TL11'!$J$10:$J$224),0),
IF('TL11'!$B$229=J$3,SUMIF('TL11'!$C$238:$C$451,$C286,'TL11'!$J$238:$J$451),0),
IF('TL12'!$B$3=J$3,SUMIF('TL12'!$C$10:$C$224,$C286,'TL12'!$J$10:$J$224),0),
IF('TL12'!$B$229=J$3,SUMIF('TL12'!$C$238:$C$451,$C286,'TL12'!$J$238:$J$451),0),
IF('TL13'!$B$3=J$3,SUMIF('TL13'!$C$10:$C$224,$C286,'TL13'!$J$10:$J$224),0),
IF('TL13'!$B$229=J$3,SUMIF('TL13'!$C$238:$C$451,$C286,'TL13'!$J$238:$J$451),0),
IF('TL14'!$B$3=J$3,SUMIF('TL14'!$C$10:$C$224,$C286,'TL14'!$J$10:$J$224),0),
IF('TL14'!$B$229=J$3,SUMIF('TL14'!$C$238:$C$451,$C286,'TL14'!$J$238:$J$451),0),
IF('TL15'!$B$3=J$3,SUMIF('TL15'!$C$10:$C$224,$C286,'TL15'!$J$10:$J$224),0),
IF('TL15'!$B$229=J$3,SUMIF('TL15'!$C$238:$C$451,$C286,'TL15'!$J$238:$J$451),0),
IF('TL16'!$B$3=J$3,SUMIF('TL16'!$C$10:$C$224,$C286,'TL16'!$J$10:$J$224),0),
IF('TL16'!$B$229=J$3,SUMIF('TL16'!$C$238:$C$451,$C286,'TL16'!$J$238:$J$451),0),
IF('TL17'!$B$3=J$3,SUMIF('TL17'!$C$10:$C$224,$C286,'TL17'!$J$10:$J$224),0),
IF('TL17'!$B$229=J$3,SUMIF('TL17'!$C$238:$C$451,$C286,'TL17'!$J$238:$J$451),0),
IF('TL18'!$B$3=J$3,SUMIF('TL18'!$C$10:$C$224,$C286,'TL18'!$J$10:$J$224),0),
IF('TL18'!$B$229=J$3,SUMIF('TL18'!$C$238:$C$451,$C286,'TL18'!$J$238:$J$451),0),
IF('TL19'!$B$3=J$3,SUMIF('TL19'!$C$10:$C$224,$C286,'TL19'!$J$10:$J$224),0),
IF('TL19'!$B$229=J$3,SUMIF('TL19'!$C$238:$C$451,$C286,'TL19'!$J$238:$J$451),0)
),0)</f>
        <v>0</v>
      </c>
      <c r="K286" s="9">
        <f>IFERROR(SUM(
IF('TL01'!$B$3=K$3,SUMIF('TL01'!$C$10:$C$224,$C286,'TL01'!$J$10:$J$224),0),
IF('TL01'!$B$229=K$3,SUMIF('TL01'!$C$238:$C$451,$C286,'TL01'!$J$238:$J$451),0),
IF('TL02'!$B$3=K$3,SUMIF('TL02'!$C$10:$C$224,$C286,'TL02'!$J$10:$J$224),0),
IF('TL02'!$B$229=K$3,SUMIF('TL02'!$C$238:$C$451,$C286,'TL02'!$J$238:$J$451),0),
IF('TL03'!$B$3=K$3,SUMIF('TL03'!$C$10:$C$224,$C286,'TL03'!$J$10:$J$224),0),
IF('TL03'!$B$229=K$3,SUMIF('TL03'!$C$238:$C$451,$C286,'TL03'!$J$238:$J$451),0),
IF('TL04'!$B$3=K$3,SUMIF('TL04'!$C$10:$C$224,$C286,'TL04'!$J$10:$J$224),0),
IF('TL04'!$B$229=K$3,SUMIF('TL04'!$C$238:$C$451,$C286,'TL04'!$J$238:$J$451),0),
IF('TL05'!$B$3=K$3,SUMIF('TL05'!$C$10:$C$224,$C286,'TL05'!$J$10:$J$224),0),
IF('TL05'!$B$229=K$3,SUMIF('TL05'!$C$238:$C$451,$C286,'TL05'!$J$238:$J$451),0),
IF('TL06'!$B$3=K$3,SUMIF('TL06'!$C$10:$C$224,$C286,'TL06'!$J$10:$J$224),0),
IF('TL06'!$B$229=K$3,SUMIF('TL06'!$C$238:$C$451,$C286,'TL06'!$J$238:$J$451),0),
IF('TL07'!$B$3=K$3,SUMIF('TL07'!$C$10:$C$224,$C286,'TL07'!$J$10:$J$224),0),
IF('TL07'!$B$229=K$3,SUMIF('TL07'!$C$238:$C$451,$C286,'TL07'!$J$238:$J$451),0),
IF('TL08'!$B$3=K$3,SUMIF('TL08'!$C$10:$C$224,$C286,'TL08'!$J$10:$J$224),0),
IF('TL08'!$B$229=K$3,SUMIF('TL08'!$C$238:$C$451,$C286,'TL08'!$J$238:$J$451),0),
IF('TL09'!$B$3=K$3,SUMIF('TL09'!$C$10:$C$224,$C286,'TL09'!$J$10:$J$224),0),
IF('TL09'!$B$229=K$3,SUMIF('TL09'!$C$238:$C$451,$C286,'TL09'!$J$238:$J$451),0),
IF('TL10'!$B$3=K$3,SUMIF('TL10'!$C$10:$C$224,$C286,'TL10'!$J$10:$J$224),0),
IF('TL10'!$B$229=K$3,SUMIF('TL10'!$C$238:$C$451,$C286,'TL10'!$J$238:$J$451),0),
IF('TL11'!$B$3=K$3,SUMIF('TL11'!$C$10:$C$224,$C286,'TL11'!$J$10:$J$224),0),
IF('TL11'!$B$229=K$3,SUMIF('TL11'!$C$238:$C$451,$C286,'TL11'!$J$238:$J$451),0),
IF('TL12'!$B$3=K$3,SUMIF('TL12'!$C$10:$C$224,$C286,'TL12'!$J$10:$J$224),0),
IF('TL12'!$B$229=K$3,SUMIF('TL12'!$C$238:$C$451,$C286,'TL12'!$J$238:$J$451),0),
IF('TL13'!$B$3=K$3,SUMIF('TL13'!$C$10:$C$224,$C286,'TL13'!$J$10:$J$224),0),
IF('TL13'!$B$229=K$3,SUMIF('TL13'!$C$238:$C$451,$C286,'TL13'!$J$238:$J$451),0),
IF('TL14'!$B$3=K$3,SUMIF('TL14'!$C$10:$C$224,$C286,'TL14'!$J$10:$J$224),0),
IF('TL14'!$B$229=K$3,SUMIF('TL14'!$C$238:$C$451,$C286,'TL14'!$J$238:$J$451),0),
IF('TL15'!$B$3=K$3,SUMIF('TL15'!$C$10:$C$224,$C286,'TL15'!$J$10:$J$224),0),
IF('TL15'!$B$229=K$3,SUMIF('TL15'!$C$238:$C$451,$C286,'TL15'!$J$238:$J$451),0),
IF('TL16'!$B$3=K$3,SUMIF('TL16'!$C$10:$C$224,$C286,'TL16'!$J$10:$J$224),0),
IF('TL16'!$B$229=K$3,SUMIF('TL16'!$C$238:$C$451,$C286,'TL16'!$J$238:$J$451),0),
IF('TL17'!$B$3=K$3,SUMIF('TL17'!$C$10:$C$224,$C286,'TL17'!$J$10:$J$224),0),
IF('TL17'!$B$229=K$3,SUMIF('TL17'!$C$238:$C$451,$C286,'TL17'!$J$238:$J$451),0),
IF('TL18'!$B$3=K$3,SUMIF('TL18'!$C$10:$C$224,$C286,'TL18'!$J$10:$J$224),0),
IF('TL18'!$B$229=K$3,SUMIF('TL18'!$C$238:$C$451,$C286,'TL18'!$J$238:$J$451),0),
IF('TL19'!$B$3=K$3,SUMIF('TL19'!$C$10:$C$224,$C286,'TL19'!$J$10:$J$224),0),
IF('TL19'!$B$229=K$3,SUMIF('TL19'!$C$238:$C$451,$C286,'TL19'!$J$238:$J$451),0)
),0)</f>
        <v>0</v>
      </c>
      <c r="L286" s="9">
        <f>IFERROR(SUM(
IF('TL01'!$B$3=L$3,SUMIF('TL01'!$C$10:$C$224,$C286,'TL01'!$J$10:$J$224),0),
IF('TL01'!$B$229=L$3,SUMIF('TL01'!$C$238:$C$451,$C286,'TL01'!$J$238:$J$451),0),
IF('TL02'!$B$3=L$3,SUMIF('TL02'!$C$10:$C$224,$C286,'TL02'!$J$10:$J$224),0),
IF('TL02'!$B$229=L$3,SUMIF('TL02'!$C$238:$C$451,$C286,'TL02'!$J$238:$J$451),0),
IF('TL03'!$B$3=L$3,SUMIF('TL03'!$C$10:$C$224,$C286,'TL03'!$J$10:$J$224),0),
IF('TL03'!$B$229=L$3,SUMIF('TL03'!$C$238:$C$451,$C286,'TL03'!$J$238:$J$451),0),
IF('TL04'!$B$3=L$3,SUMIF('TL04'!$C$10:$C$224,$C286,'TL04'!$J$10:$J$224),0),
IF('TL04'!$B$229=L$3,SUMIF('TL04'!$C$238:$C$451,$C286,'TL04'!$J$238:$J$451),0),
IF('TL05'!$B$3=L$3,SUMIF('TL05'!$C$10:$C$224,$C286,'TL05'!$J$10:$J$224),0),
IF('TL05'!$B$229=L$3,SUMIF('TL05'!$C$238:$C$451,$C286,'TL05'!$J$238:$J$451),0),
IF('TL06'!$B$3=L$3,SUMIF('TL06'!$C$10:$C$224,$C286,'TL06'!$J$10:$J$224),0),
IF('TL06'!$B$229=L$3,SUMIF('TL06'!$C$238:$C$451,$C286,'TL06'!$J$238:$J$451),0),
IF('TL07'!$B$3=L$3,SUMIF('TL07'!$C$10:$C$224,$C286,'TL07'!$J$10:$J$224),0),
IF('TL07'!$B$229=L$3,SUMIF('TL07'!$C$238:$C$451,$C286,'TL07'!$J$238:$J$451),0),
IF('TL08'!$B$3=L$3,SUMIF('TL08'!$C$10:$C$224,$C286,'TL08'!$J$10:$J$224),0),
IF('TL08'!$B$229=L$3,SUMIF('TL08'!$C$238:$C$451,$C286,'TL08'!$J$238:$J$451),0),
IF('TL09'!$B$3=L$3,SUMIF('TL09'!$C$10:$C$224,$C286,'TL09'!$J$10:$J$224),0),
IF('TL09'!$B$229=L$3,SUMIF('TL09'!$C$238:$C$451,$C286,'TL09'!$J$238:$J$451),0),
IF('TL10'!$B$3=L$3,SUMIF('TL10'!$C$10:$C$224,$C286,'TL10'!$J$10:$J$224),0),
IF('TL10'!$B$229=L$3,SUMIF('TL10'!$C$238:$C$451,$C286,'TL10'!$J$238:$J$451),0),
IF('TL11'!$B$3=L$3,SUMIF('TL11'!$C$10:$C$224,$C286,'TL11'!$J$10:$J$224),0),
IF('TL11'!$B$229=L$3,SUMIF('TL11'!$C$238:$C$451,$C286,'TL11'!$J$238:$J$451),0),
IF('TL12'!$B$3=L$3,SUMIF('TL12'!$C$10:$C$224,$C286,'TL12'!$J$10:$J$224),0),
IF('TL12'!$B$229=L$3,SUMIF('TL12'!$C$238:$C$451,$C286,'TL12'!$J$238:$J$451),0),
IF('TL13'!$B$3=L$3,SUMIF('TL13'!$C$10:$C$224,$C286,'TL13'!$J$10:$J$224),0),
IF('TL13'!$B$229=L$3,SUMIF('TL13'!$C$238:$C$451,$C286,'TL13'!$J$238:$J$451),0),
IF('TL14'!$B$3=L$3,SUMIF('TL14'!$C$10:$C$224,$C286,'TL14'!$J$10:$J$224),0),
IF('TL14'!$B$229=L$3,SUMIF('TL14'!$C$238:$C$451,$C286,'TL14'!$J$238:$J$451),0),
IF('TL15'!$B$3=L$3,SUMIF('TL15'!$C$10:$C$224,$C286,'TL15'!$J$10:$J$224),0),
IF('TL15'!$B$229=L$3,SUMIF('TL15'!$C$238:$C$451,$C286,'TL15'!$J$238:$J$451),0),
IF('TL16'!$B$3=L$3,SUMIF('TL16'!$C$10:$C$224,$C286,'TL16'!$J$10:$J$224),0),
IF('TL16'!$B$229=L$3,SUMIF('TL16'!$C$238:$C$451,$C286,'TL16'!$J$238:$J$451),0),
IF('TL17'!$B$3=L$3,SUMIF('TL17'!$C$10:$C$224,$C286,'TL17'!$J$10:$J$224),0),
IF('TL17'!$B$229=L$3,SUMIF('TL17'!$C$238:$C$451,$C286,'TL17'!$J$238:$J$451),0),
IF('TL18'!$B$3=L$3,SUMIF('TL18'!$C$10:$C$224,$C286,'TL18'!$J$10:$J$224),0),
IF('TL18'!$B$229=L$3,SUMIF('TL18'!$C$238:$C$451,$C286,'TL18'!$J$238:$J$451),0),
IF('TL19'!$B$3=L$3,SUMIF('TL19'!$C$10:$C$224,$C286,'TL19'!$J$10:$J$224),0),
IF('TL19'!$B$229=L$3,SUMIF('TL19'!$C$238:$C$451,$C286,'TL19'!$J$238:$J$451),0)
),0)</f>
        <v>0</v>
      </c>
      <c r="M286" s="9">
        <f>IFERROR(SUM(
IF('TL01'!$B$3=M$3,SUMIF('TL01'!$C$10:$C$224,$C286,'TL01'!$J$10:$J$224),0),
IF('TL01'!$B$229=M$3,SUMIF('TL01'!$C$238:$C$451,$C286,'TL01'!$J$238:$J$451),0),
IF('TL02'!$B$3=M$3,SUMIF('TL02'!$C$10:$C$224,$C286,'TL02'!$J$10:$J$224),0),
IF('TL02'!$B$229=M$3,SUMIF('TL02'!$C$238:$C$451,$C286,'TL02'!$J$238:$J$451),0),
IF('TL03'!$B$3=M$3,SUMIF('TL03'!$C$10:$C$224,$C286,'TL03'!$J$10:$J$224),0),
IF('TL03'!$B$229=M$3,SUMIF('TL03'!$C$238:$C$451,$C286,'TL03'!$J$238:$J$451),0),
IF('TL04'!$B$3=M$3,SUMIF('TL04'!$C$10:$C$224,$C286,'TL04'!$J$10:$J$224),0),
IF('TL04'!$B$229=M$3,SUMIF('TL04'!$C$238:$C$451,$C286,'TL04'!$J$238:$J$451),0),
IF('TL05'!$B$3=M$3,SUMIF('TL05'!$C$10:$C$224,$C286,'TL05'!$J$10:$J$224),0),
IF('TL05'!$B$229=M$3,SUMIF('TL05'!$C$238:$C$451,$C286,'TL05'!$J$238:$J$451),0),
IF('TL06'!$B$3=M$3,SUMIF('TL06'!$C$10:$C$224,$C286,'TL06'!$J$10:$J$224),0),
IF('TL06'!$B$229=M$3,SUMIF('TL06'!$C$238:$C$451,$C286,'TL06'!$J$238:$J$451),0),
IF('TL07'!$B$3=M$3,SUMIF('TL07'!$C$10:$C$224,$C286,'TL07'!$J$10:$J$224),0),
IF('TL07'!$B$229=M$3,SUMIF('TL07'!$C$238:$C$451,$C286,'TL07'!$J$238:$J$451),0),
IF('TL08'!$B$3=M$3,SUMIF('TL08'!$C$10:$C$224,$C286,'TL08'!$J$10:$J$224),0),
IF('TL08'!$B$229=M$3,SUMIF('TL08'!$C$238:$C$451,$C286,'TL08'!$J$238:$J$451),0),
IF('TL09'!$B$3=M$3,SUMIF('TL09'!$C$10:$C$224,$C286,'TL09'!$J$10:$J$224),0),
IF('TL09'!$B$229=M$3,SUMIF('TL09'!$C$238:$C$451,$C286,'TL09'!$J$238:$J$451),0),
IF('TL10'!$B$3=M$3,SUMIF('TL10'!$C$10:$C$224,$C286,'TL10'!$J$10:$J$224),0),
IF('TL10'!$B$229=M$3,SUMIF('TL10'!$C$238:$C$451,$C286,'TL10'!$J$238:$J$451),0),
IF('TL11'!$B$3=M$3,SUMIF('TL11'!$C$10:$C$224,$C286,'TL11'!$J$10:$J$224),0),
IF('TL11'!$B$229=M$3,SUMIF('TL11'!$C$238:$C$451,$C286,'TL11'!$J$238:$J$451),0),
IF('TL12'!$B$3=M$3,SUMIF('TL12'!$C$10:$C$224,$C286,'TL12'!$J$10:$J$224),0),
IF('TL12'!$B$229=M$3,SUMIF('TL12'!$C$238:$C$451,$C286,'TL12'!$J$238:$J$451),0),
IF('TL13'!$B$3=M$3,SUMIF('TL13'!$C$10:$C$224,$C286,'TL13'!$J$10:$J$224),0),
IF('TL13'!$B$229=M$3,SUMIF('TL13'!$C$238:$C$451,$C286,'TL13'!$J$238:$J$451),0),
IF('TL14'!$B$3=M$3,SUMIF('TL14'!$C$10:$C$224,$C286,'TL14'!$J$10:$J$224),0),
IF('TL14'!$B$229=M$3,SUMIF('TL14'!$C$238:$C$451,$C286,'TL14'!$J$238:$J$451),0),
IF('TL15'!$B$3=M$3,SUMIF('TL15'!$C$10:$C$224,$C286,'TL15'!$J$10:$J$224),0),
IF('TL15'!$B$229=M$3,SUMIF('TL15'!$C$238:$C$451,$C286,'TL15'!$J$238:$J$451),0),
IF('TL16'!$B$3=M$3,SUMIF('TL16'!$C$10:$C$224,$C286,'TL16'!$J$10:$J$224),0),
IF('TL16'!$B$229=M$3,SUMIF('TL16'!$C$238:$C$451,$C286,'TL16'!$J$238:$J$451),0),
IF('TL17'!$B$3=M$3,SUMIF('TL17'!$C$10:$C$224,$C286,'TL17'!$J$10:$J$224),0),
IF('TL17'!$B$229=M$3,SUMIF('TL17'!$C$238:$C$451,$C286,'TL17'!$J$238:$J$451),0),
IF('TL18'!$B$3=M$3,SUMIF('TL18'!$C$10:$C$224,$C286,'TL18'!$J$10:$J$224),0),
IF('TL18'!$B$229=M$3,SUMIF('TL18'!$C$238:$C$451,$C286,'TL18'!$J$238:$J$451),0),
IF('TL19'!$B$3=M$3,SUMIF('TL19'!$C$10:$C$224,$C286,'TL19'!$J$10:$J$224),0),
IF('TL19'!$B$229=M$3,SUMIF('TL19'!$C$238:$C$451,$C286,'TL19'!$J$238:$J$451),0)
),0)</f>
        <v>0</v>
      </c>
      <c r="N286" s="9">
        <f>IFERROR(SUM(
IF('TL01'!$B$3=N$3,SUMIF('TL01'!$C$10:$C$224,$C286,'TL01'!$J$10:$J$224),0),
IF('TL01'!$B$229=N$3,SUMIF('TL01'!$C$238:$C$451,$C286,'TL01'!$J$238:$J$451),0),
IF('TL02'!$B$3=N$3,SUMIF('TL02'!$C$10:$C$224,$C286,'TL02'!$J$10:$J$224),0),
IF('TL02'!$B$229=N$3,SUMIF('TL02'!$C$238:$C$451,$C286,'TL02'!$J$238:$J$451),0),
IF('TL03'!$B$3=N$3,SUMIF('TL03'!$C$10:$C$224,$C286,'TL03'!$J$10:$J$224),0),
IF('TL03'!$B$229=N$3,SUMIF('TL03'!$C$238:$C$451,$C286,'TL03'!$J$238:$J$451),0),
IF('TL04'!$B$3=N$3,SUMIF('TL04'!$C$10:$C$224,$C286,'TL04'!$J$10:$J$224),0),
IF('TL04'!$B$229=N$3,SUMIF('TL04'!$C$238:$C$451,$C286,'TL04'!$J$238:$J$451),0),
IF('TL05'!$B$3=N$3,SUMIF('TL05'!$C$10:$C$224,$C286,'TL05'!$J$10:$J$224),0),
IF('TL05'!$B$229=N$3,SUMIF('TL05'!$C$238:$C$451,$C286,'TL05'!$J$238:$J$451),0),
IF('TL06'!$B$3=N$3,SUMIF('TL06'!$C$10:$C$224,$C286,'TL06'!$J$10:$J$224),0),
IF('TL06'!$B$229=N$3,SUMIF('TL06'!$C$238:$C$451,$C286,'TL06'!$J$238:$J$451),0),
IF('TL07'!$B$3=N$3,SUMIF('TL07'!$C$10:$C$224,$C286,'TL07'!$J$10:$J$224),0),
IF('TL07'!$B$229=N$3,SUMIF('TL07'!$C$238:$C$451,$C286,'TL07'!$J$238:$J$451),0),
IF('TL08'!$B$3=N$3,SUMIF('TL08'!$C$10:$C$224,$C286,'TL08'!$J$10:$J$224),0),
IF('TL08'!$B$229=N$3,SUMIF('TL08'!$C$238:$C$451,$C286,'TL08'!$J$238:$J$451),0),
IF('TL09'!$B$3=N$3,SUMIF('TL09'!$C$10:$C$224,$C286,'TL09'!$J$10:$J$224),0),
IF('TL09'!$B$229=N$3,SUMIF('TL09'!$C$238:$C$451,$C286,'TL09'!$J$238:$J$451),0),
IF('TL10'!$B$3=N$3,SUMIF('TL10'!$C$10:$C$224,$C286,'TL10'!$J$10:$J$224),0),
IF('TL10'!$B$229=N$3,SUMIF('TL10'!$C$238:$C$451,$C286,'TL10'!$J$238:$J$451),0),
IF('TL11'!$B$3=N$3,SUMIF('TL11'!$C$10:$C$224,$C286,'TL11'!$J$10:$J$224),0),
IF('TL11'!$B$229=N$3,SUMIF('TL11'!$C$238:$C$451,$C286,'TL11'!$J$238:$J$451),0),
IF('TL12'!$B$3=N$3,SUMIF('TL12'!$C$10:$C$224,$C286,'TL12'!$J$10:$J$224),0),
IF('TL12'!$B$229=N$3,SUMIF('TL12'!$C$238:$C$451,$C286,'TL12'!$J$238:$J$451),0),
IF('TL13'!$B$3=N$3,SUMIF('TL13'!$C$10:$C$224,$C286,'TL13'!$J$10:$J$224),0),
IF('TL13'!$B$229=N$3,SUMIF('TL13'!$C$238:$C$451,$C286,'TL13'!$J$238:$J$451),0),
IF('TL14'!$B$3=N$3,SUMIF('TL14'!$C$10:$C$224,$C286,'TL14'!$J$10:$J$224),0),
IF('TL14'!$B$229=N$3,SUMIF('TL14'!$C$238:$C$451,$C286,'TL14'!$J$238:$J$451),0),
IF('TL15'!$B$3=N$3,SUMIF('TL15'!$C$10:$C$224,$C286,'TL15'!$J$10:$J$224),0),
IF('TL15'!$B$229=N$3,SUMIF('TL15'!$C$238:$C$451,$C286,'TL15'!$J$238:$J$451),0),
IF('TL16'!$B$3=N$3,SUMIF('TL16'!$C$10:$C$224,$C286,'TL16'!$J$10:$J$224),0),
IF('TL16'!$B$229=N$3,SUMIF('TL16'!$C$238:$C$451,$C286,'TL16'!$J$238:$J$451),0),
IF('TL17'!$B$3=N$3,SUMIF('TL17'!$C$10:$C$224,$C286,'TL17'!$J$10:$J$224),0),
IF('TL17'!$B$229=N$3,SUMIF('TL17'!$C$238:$C$451,$C286,'TL17'!$J$238:$J$451),0),
IF('TL18'!$B$3=N$3,SUMIF('TL18'!$C$10:$C$224,$C286,'TL18'!$J$10:$J$224),0),
IF('TL18'!$B$229=N$3,SUMIF('TL18'!$C$238:$C$451,$C286,'TL18'!$J$238:$J$451),0),
IF('TL19'!$B$3=N$3,SUMIF('TL19'!$C$10:$C$224,$C286,'TL19'!$J$10:$J$224),0),
IF('TL19'!$B$229=N$3,SUMIF('TL19'!$C$238:$C$451,$C286,'TL19'!$J$238:$J$451),0)
),0)</f>
        <v>0</v>
      </c>
      <c r="O286" s="9">
        <f>IFERROR(SUM(
IF('TL01'!$B$3=O$3,SUMIF('TL01'!$C$10:$C$224,$C286,'TL01'!$J$10:$J$224),0),
IF('TL01'!$B$229=O$3,SUMIF('TL01'!$C$238:$C$451,$C286,'TL01'!$J$238:$J$451),0),
IF('TL02'!$B$3=O$3,SUMIF('TL02'!$C$10:$C$224,$C286,'TL02'!$J$10:$J$224),0),
IF('TL02'!$B$229=O$3,SUMIF('TL02'!$C$238:$C$451,$C286,'TL02'!$J$238:$J$451),0),
IF('TL03'!$B$3=O$3,SUMIF('TL03'!$C$10:$C$224,$C286,'TL03'!$J$10:$J$224),0),
IF('TL03'!$B$229=O$3,SUMIF('TL03'!$C$238:$C$451,$C286,'TL03'!$J$238:$J$451),0),
IF('TL04'!$B$3=O$3,SUMIF('TL04'!$C$10:$C$224,$C286,'TL04'!$J$10:$J$224),0),
IF('TL04'!$B$229=O$3,SUMIF('TL04'!$C$238:$C$451,$C286,'TL04'!$J$238:$J$451),0),
IF('TL05'!$B$3=O$3,SUMIF('TL05'!$C$10:$C$224,$C286,'TL05'!$J$10:$J$224),0),
IF('TL05'!$B$229=O$3,SUMIF('TL05'!$C$238:$C$451,$C286,'TL05'!$J$238:$J$451),0),
IF('TL06'!$B$3=O$3,SUMIF('TL06'!$C$10:$C$224,$C286,'TL06'!$J$10:$J$224),0),
IF('TL06'!$B$229=O$3,SUMIF('TL06'!$C$238:$C$451,$C286,'TL06'!$J$238:$J$451),0),
IF('TL07'!$B$3=O$3,SUMIF('TL07'!$C$10:$C$224,$C286,'TL07'!$J$10:$J$224),0),
IF('TL07'!$B$229=O$3,SUMIF('TL07'!$C$238:$C$451,$C286,'TL07'!$J$238:$J$451),0),
IF('TL08'!$B$3=O$3,SUMIF('TL08'!$C$10:$C$224,$C286,'TL08'!$J$10:$J$224),0),
IF('TL08'!$B$229=O$3,SUMIF('TL08'!$C$238:$C$451,$C286,'TL08'!$J$238:$J$451),0),
IF('TL09'!$B$3=O$3,SUMIF('TL09'!$C$10:$C$224,$C286,'TL09'!$J$10:$J$224),0),
IF('TL09'!$B$229=O$3,SUMIF('TL09'!$C$238:$C$451,$C286,'TL09'!$J$238:$J$451),0),
IF('TL10'!$B$3=O$3,SUMIF('TL10'!$C$10:$C$224,$C286,'TL10'!$J$10:$J$224),0),
IF('TL10'!$B$229=O$3,SUMIF('TL10'!$C$238:$C$451,$C286,'TL10'!$J$238:$J$451),0),
IF('TL11'!$B$3=O$3,SUMIF('TL11'!$C$10:$C$224,$C286,'TL11'!$J$10:$J$224),0),
IF('TL11'!$B$229=O$3,SUMIF('TL11'!$C$238:$C$451,$C286,'TL11'!$J$238:$J$451),0),
IF('TL12'!$B$3=O$3,SUMIF('TL12'!$C$10:$C$224,$C286,'TL12'!$J$10:$J$224),0),
IF('TL12'!$B$229=O$3,SUMIF('TL12'!$C$238:$C$451,$C286,'TL12'!$J$238:$J$451),0),
IF('TL13'!$B$3=O$3,SUMIF('TL13'!$C$10:$C$224,$C286,'TL13'!$J$10:$J$224),0),
IF('TL13'!$B$229=O$3,SUMIF('TL13'!$C$238:$C$451,$C286,'TL13'!$J$238:$J$451),0),
IF('TL14'!$B$3=O$3,SUMIF('TL14'!$C$10:$C$224,$C286,'TL14'!$J$10:$J$224),0),
IF('TL14'!$B$229=O$3,SUMIF('TL14'!$C$238:$C$451,$C286,'TL14'!$J$238:$J$451),0),
IF('TL15'!$B$3=O$3,SUMIF('TL15'!$C$10:$C$224,$C286,'TL15'!$J$10:$J$224),0),
IF('TL15'!$B$229=O$3,SUMIF('TL15'!$C$238:$C$451,$C286,'TL15'!$J$238:$J$451),0),
IF('TL16'!$B$3=O$3,SUMIF('TL16'!$C$10:$C$224,$C286,'TL16'!$J$10:$J$224),0),
IF('TL16'!$B$229=O$3,SUMIF('TL16'!$C$238:$C$451,$C286,'TL16'!$J$238:$J$451),0),
IF('TL17'!$B$3=O$3,SUMIF('TL17'!$C$10:$C$224,$C286,'TL17'!$J$10:$J$224),0),
IF('TL17'!$B$229=O$3,SUMIF('TL17'!$C$238:$C$451,$C286,'TL17'!$J$238:$J$451),0),
IF('TL18'!$B$3=O$3,SUMIF('TL18'!$C$10:$C$224,$C286,'TL18'!$J$10:$J$224),0),
IF('TL18'!$B$229=O$3,SUMIF('TL18'!$C$238:$C$451,$C286,'TL18'!$J$238:$J$451),0),
IF('TL19'!$B$3=O$3,SUMIF('TL19'!$C$10:$C$224,$C286,'TL19'!$J$10:$J$224),0),
IF('TL19'!$B$229=O$3,SUMIF('TL19'!$C$238:$C$451,$C286,'TL19'!$J$238:$J$451),0)
),0)</f>
        <v>0</v>
      </c>
      <c r="P286" s="9">
        <f>IFERROR(SUM(
IF('TL01'!$B$3=P$3,SUMIF('TL01'!$C$10:$C$224,$C286,'TL01'!$J$10:$J$224),0),
IF('TL01'!$B$229=P$3,SUMIF('TL01'!$C$238:$C$451,$C286,'TL01'!$J$238:$J$451),0),
IF('TL02'!$B$3=P$3,SUMIF('TL02'!$C$10:$C$224,$C286,'TL02'!$J$10:$J$224),0),
IF('TL02'!$B$229=P$3,SUMIF('TL02'!$C$238:$C$451,$C286,'TL02'!$J$238:$J$451),0),
IF('TL03'!$B$3=P$3,SUMIF('TL03'!$C$10:$C$224,$C286,'TL03'!$J$10:$J$224),0),
IF('TL03'!$B$229=P$3,SUMIF('TL03'!$C$238:$C$451,$C286,'TL03'!$J$238:$J$451),0),
IF('TL04'!$B$3=P$3,SUMIF('TL04'!$C$10:$C$224,$C286,'TL04'!$J$10:$J$224),0),
IF('TL04'!$B$229=P$3,SUMIF('TL04'!$C$238:$C$451,$C286,'TL04'!$J$238:$J$451),0),
IF('TL05'!$B$3=P$3,SUMIF('TL05'!$C$10:$C$224,$C286,'TL05'!$J$10:$J$224),0),
IF('TL05'!$B$229=P$3,SUMIF('TL05'!$C$238:$C$451,$C286,'TL05'!$J$238:$J$451),0),
IF('TL06'!$B$3=P$3,SUMIF('TL06'!$C$10:$C$224,$C286,'TL06'!$J$10:$J$224),0),
IF('TL06'!$B$229=P$3,SUMIF('TL06'!$C$238:$C$451,$C286,'TL06'!$J$238:$J$451),0),
IF('TL07'!$B$3=P$3,SUMIF('TL07'!$C$10:$C$224,$C286,'TL07'!$J$10:$J$224),0),
IF('TL07'!$B$229=P$3,SUMIF('TL07'!$C$238:$C$451,$C286,'TL07'!$J$238:$J$451),0),
IF('TL08'!$B$3=P$3,SUMIF('TL08'!$C$10:$C$224,$C286,'TL08'!$J$10:$J$224),0),
IF('TL08'!$B$229=P$3,SUMIF('TL08'!$C$238:$C$451,$C286,'TL08'!$J$238:$J$451),0),
IF('TL09'!$B$3=P$3,SUMIF('TL09'!$C$10:$C$224,$C286,'TL09'!$J$10:$J$224),0),
IF('TL09'!$B$229=P$3,SUMIF('TL09'!$C$238:$C$451,$C286,'TL09'!$J$238:$J$451),0),
IF('TL10'!$B$3=P$3,SUMIF('TL10'!$C$10:$C$224,$C286,'TL10'!$J$10:$J$224),0),
IF('TL10'!$B$229=P$3,SUMIF('TL10'!$C$238:$C$451,$C286,'TL10'!$J$238:$J$451),0),
IF('TL11'!$B$3=P$3,SUMIF('TL11'!$C$10:$C$224,$C286,'TL11'!$J$10:$J$224),0),
IF('TL11'!$B$229=P$3,SUMIF('TL11'!$C$238:$C$451,$C286,'TL11'!$J$238:$J$451),0),
IF('TL12'!$B$3=P$3,SUMIF('TL12'!$C$10:$C$224,$C286,'TL12'!$J$10:$J$224),0),
IF('TL12'!$B$229=P$3,SUMIF('TL12'!$C$238:$C$451,$C286,'TL12'!$J$238:$J$451),0),
IF('TL13'!$B$3=P$3,SUMIF('TL13'!$C$10:$C$224,$C286,'TL13'!$J$10:$J$224),0),
IF('TL13'!$B$229=P$3,SUMIF('TL13'!$C$238:$C$451,$C286,'TL13'!$J$238:$J$451),0),
IF('TL14'!$B$3=P$3,SUMIF('TL14'!$C$10:$C$224,$C286,'TL14'!$J$10:$J$224),0),
IF('TL14'!$B$229=P$3,SUMIF('TL14'!$C$238:$C$451,$C286,'TL14'!$J$238:$J$451),0),
IF('TL15'!$B$3=P$3,SUMIF('TL15'!$C$10:$C$224,$C286,'TL15'!$J$10:$J$224),0),
IF('TL15'!$B$229=P$3,SUMIF('TL15'!$C$238:$C$451,$C286,'TL15'!$J$238:$J$451),0),
IF('TL16'!$B$3=P$3,SUMIF('TL16'!$C$10:$C$224,$C286,'TL16'!$J$10:$J$224),0),
IF('TL16'!$B$229=P$3,SUMIF('TL16'!$C$238:$C$451,$C286,'TL16'!$J$238:$J$451),0),
IF('TL17'!$B$3=P$3,SUMIF('TL17'!$C$10:$C$224,$C286,'TL17'!$J$10:$J$224),0),
IF('TL17'!$B$229=P$3,SUMIF('TL17'!$C$238:$C$451,$C286,'TL17'!$J$238:$J$451),0),
IF('TL18'!$B$3=P$3,SUMIF('TL18'!$C$10:$C$224,$C286,'TL18'!$J$10:$J$224),0),
IF('TL18'!$B$229=P$3,SUMIF('TL18'!$C$238:$C$451,$C286,'TL18'!$J$238:$J$451),0),
IF('TL19'!$B$3=P$3,SUMIF('TL19'!$C$10:$C$224,$C286,'TL19'!$J$10:$J$224),0),
IF('TL19'!$B$229=P$3,SUMIF('TL19'!$C$238:$C$451,$C286,'TL19'!$J$238:$J$451),0)
),0)</f>
        <v>0</v>
      </c>
      <c r="Q286" s="9">
        <f>IFERROR(SUM(
IF('TL01'!$B$3=Q$3,SUMIF('TL01'!$C$10:$C$224,$C286,'TL01'!$J$10:$J$224),0),
IF('TL01'!$B$229=Q$3,SUMIF('TL01'!$C$238:$C$451,$C286,'TL01'!$J$238:$J$451),0),
IF('TL02'!$B$3=Q$3,SUMIF('TL02'!$C$10:$C$224,$C286,'TL02'!$J$10:$J$224),0),
IF('TL02'!$B$229=Q$3,SUMIF('TL02'!$C$238:$C$451,$C286,'TL02'!$J$238:$J$451),0),
IF('TL03'!$B$3=Q$3,SUMIF('TL03'!$C$10:$C$224,$C286,'TL03'!$J$10:$J$224),0),
IF('TL03'!$B$229=Q$3,SUMIF('TL03'!$C$238:$C$451,$C286,'TL03'!$J$238:$J$451),0),
IF('TL04'!$B$3=Q$3,SUMIF('TL04'!$C$10:$C$224,$C286,'TL04'!$J$10:$J$224),0),
IF('TL04'!$B$229=Q$3,SUMIF('TL04'!$C$238:$C$451,$C286,'TL04'!$J$238:$J$451),0),
IF('TL05'!$B$3=Q$3,SUMIF('TL05'!$C$10:$C$224,$C286,'TL05'!$J$10:$J$224),0),
IF('TL05'!$B$229=Q$3,SUMIF('TL05'!$C$238:$C$451,$C286,'TL05'!$J$238:$J$451),0),
IF('TL06'!$B$3=Q$3,SUMIF('TL06'!$C$10:$C$224,$C286,'TL06'!$J$10:$J$224),0),
IF('TL06'!$B$229=Q$3,SUMIF('TL06'!$C$238:$C$451,$C286,'TL06'!$J$238:$J$451),0),
IF('TL07'!$B$3=Q$3,SUMIF('TL07'!$C$10:$C$224,$C286,'TL07'!$J$10:$J$224),0),
IF('TL07'!$B$229=Q$3,SUMIF('TL07'!$C$238:$C$451,$C286,'TL07'!$J$238:$J$451),0),
IF('TL08'!$B$3=Q$3,SUMIF('TL08'!$C$10:$C$224,$C286,'TL08'!$J$10:$J$224),0),
IF('TL08'!$B$229=Q$3,SUMIF('TL08'!$C$238:$C$451,$C286,'TL08'!$J$238:$J$451),0),
IF('TL09'!$B$3=Q$3,SUMIF('TL09'!$C$10:$C$224,$C286,'TL09'!$J$10:$J$224),0),
IF('TL09'!$B$229=Q$3,SUMIF('TL09'!$C$238:$C$451,$C286,'TL09'!$J$238:$J$451),0),
IF('TL10'!$B$3=Q$3,SUMIF('TL10'!$C$10:$C$224,$C286,'TL10'!$J$10:$J$224),0),
IF('TL10'!$B$229=Q$3,SUMIF('TL10'!$C$238:$C$451,$C286,'TL10'!$J$238:$J$451),0),
IF('TL11'!$B$3=Q$3,SUMIF('TL11'!$C$10:$C$224,$C286,'TL11'!$J$10:$J$224),0),
IF('TL11'!$B$229=Q$3,SUMIF('TL11'!$C$238:$C$451,$C286,'TL11'!$J$238:$J$451),0),
IF('TL12'!$B$3=Q$3,SUMIF('TL12'!$C$10:$C$224,$C286,'TL12'!$J$10:$J$224),0),
IF('TL12'!$B$229=Q$3,SUMIF('TL12'!$C$238:$C$451,$C286,'TL12'!$J$238:$J$451),0),
IF('TL13'!$B$3=Q$3,SUMIF('TL13'!$C$10:$C$224,$C286,'TL13'!$J$10:$J$224),0),
IF('TL13'!$B$229=Q$3,SUMIF('TL13'!$C$238:$C$451,$C286,'TL13'!$J$238:$J$451),0),
IF('TL14'!$B$3=Q$3,SUMIF('TL14'!$C$10:$C$224,$C286,'TL14'!$J$10:$J$224),0),
IF('TL14'!$B$229=Q$3,SUMIF('TL14'!$C$238:$C$451,$C286,'TL14'!$J$238:$J$451),0),
IF('TL15'!$B$3=Q$3,SUMIF('TL15'!$C$10:$C$224,$C286,'TL15'!$J$10:$J$224),0),
IF('TL15'!$B$229=Q$3,SUMIF('TL15'!$C$238:$C$451,$C286,'TL15'!$J$238:$J$451),0),
IF('TL16'!$B$3=Q$3,SUMIF('TL16'!$C$10:$C$224,$C286,'TL16'!$J$10:$J$224),0),
IF('TL16'!$B$229=Q$3,SUMIF('TL16'!$C$238:$C$451,$C286,'TL16'!$J$238:$J$451),0),
IF('TL17'!$B$3=Q$3,SUMIF('TL17'!$C$10:$C$224,$C286,'TL17'!$J$10:$J$224),0),
IF('TL17'!$B$229=Q$3,SUMIF('TL17'!$C$238:$C$451,$C286,'TL17'!$J$238:$J$451),0),
IF('TL18'!$B$3=Q$3,SUMIF('TL18'!$C$10:$C$224,$C286,'TL18'!$J$10:$J$224),0),
IF('TL18'!$B$229=Q$3,SUMIF('TL18'!$C$238:$C$451,$C286,'TL18'!$J$238:$J$451),0),
IF('TL19'!$B$3=Q$3,SUMIF('TL19'!$C$10:$C$224,$C286,'TL19'!$J$10:$J$224),0),
IF('TL19'!$B$229=Q$3,SUMIF('TL19'!$C$238:$C$451,$C286,'TL19'!$J$238:$J$451),0)
),0)</f>
        <v>0</v>
      </c>
      <c r="R286" s="9">
        <f>IFERROR(
SUM(
SUMIF('TL01'!C:C,C286,'TL01'!J:J),
SUMIF('TL02'!C:C,C286,'TL02'!J:J),
SUMIF('TL03'!C:C,C286,'TL03'!J:J),
SUMIF('TL04'!C:C,C286,'TL04'!J:J),
SUMIF('TL05'!C:C,C286,'TL05'!J:J),
SUMIF('TL06'!C:C,C286,'TL06'!J:J),
SUMIF('TL07'!C:C,C286,'TL07'!J:J),
SUMIF('TL08'!C:C,C286,'TL08'!J:J),
SUMIF('TL09'!C:C,C286,'TL09'!J:J),
SUMIF('TL10'!C:C,C286,'TL10'!J:J),
SUMIF('TL11'!C:C,C286,'TL11'!J:J),
SUMIF('TL12'!C:C,C286,'TL12'!J:J),
SUMIF('TL13'!C:C,C286,'TL13'!J:J),
SUMIF('TL14'!C:C,C286,'TL14'!J:J),
SUMIF('TL15'!C:C,C286,'TL15'!J:J),
SUMIF('TL16'!C:C,C286,'TL16'!J:J),
SUMIF('TL17'!C:C,C286,'TL17'!J:J),
SUMIF('TL18'!C:C,C286,'TL18'!J:J),SUMIF('TL19'!C:C,C286,'TL19'!J:J))
,0)</f>
        <v>0</v>
      </c>
      <c r="S286" s="17">
        <f>IFERROR(__xludf.DUMMYFUNCTION("IFERROR(VLOOKUP(C286,
IMPORTRANGE(""1wULbzX32WdYsx-lj2U3uUNBBe2INVIRDtcK0d-Dvl90"",
""26-27!C:G""),
5,
FALSE),
"""")"),101.0)</f>
        <v>101</v>
      </c>
      <c r="T286" s="9"/>
      <c r="U286" s="92">
        <f t="shared" si="2"/>
        <v>0</v>
      </c>
      <c r="V286" s="93">
        <f t="shared" si="3"/>
        <v>0</v>
      </c>
    </row>
    <row r="287" ht="15.75" hidden="1" customHeight="1">
      <c r="A287" s="4"/>
      <c r="B287" s="125" t="s">
        <v>9</v>
      </c>
      <c r="C287" s="4" t="s">
        <v>995</v>
      </c>
      <c r="D287" s="6"/>
      <c r="E287" s="9"/>
      <c r="F287" s="4" t="s">
        <v>392</v>
      </c>
      <c r="G287" s="9"/>
      <c r="H287" s="9">
        <v>0.3</v>
      </c>
      <c r="I287" s="1"/>
      <c r="J287" s="9">
        <f>IFERROR(SUM(
IF('TL01'!$B$3=J$3,SUMIF('TL01'!$C$10:$C$224,$C287,'TL01'!$J$10:$J$224),0),
IF('TL01'!$B$229=J$3,SUMIF('TL01'!$C$238:$C$451,$C287,'TL01'!$J$238:$J$451),0),
IF('TL02'!$B$3=J$3,SUMIF('TL02'!$C$10:$C$224,$C287,'TL02'!$J$10:$J$224),0),
IF('TL02'!$B$229=J$3,SUMIF('TL02'!$C$238:$C$451,$C287,'TL02'!$J$238:$J$451),0),
IF('TL03'!$B$3=J$3,SUMIF('TL03'!$C$10:$C$224,$C287,'TL03'!$J$10:$J$224),0),
IF('TL03'!$B$229=J$3,SUMIF('TL03'!$C$238:$C$451,$C287,'TL03'!$J$238:$J$451),0),
IF('TL04'!$B$3=J$3,SUMIF('TL04'!$C$10:$C$224,$C287,'TL04'!$J$10:$J$224),0),
IF('TL04'!$B$229=J$3,SUMIF('TL04'!$C$238:$C$451,$C287,'TL04'!$J$238:$J$451),0),
IF('TL05'!$B$3=J$3,SUMIF('TL05'!$C$10:$C$224,$C287,'TL05'!$J$10:$J$224),0),
IF('TL05'!$B$229=J$3,SUMIF('TL05'!$C$238:$C$451,$C287,'TL05'!$J$238:$J$451),0),
IF('TL06'!$B$3=J$3,SUMIF('TL06'!$C$10:$C$224,$C287,'TL06'!$J$10:$J$224),0),
IF('TL06'!$B$229=J$3,SUMIF('TL06'!$C$238:$C$451,$C287,'TL06'!$J$238:$J$451),0),
IF('TL07'!$B$3=J$3,SUMIF('TL07'!$C$10:$C$224,$C287,'TL07'!$J$10:$J$224),0),
IF('TL07'!$B$229=J$3,SUMIF('TL07'!$C$238:$C$451,$C287,'TL07'!$J$238:$J$451),0),
IF('TL08'!$B$3=J$3,SUMIF('TL08'!$C$10:$C$224,$C287,'TL08'!$J$10:$J$224),0),
IF('TL08'!$B$229=J$3,SUMIF('TL08'!$C$238:$C$451,$C287,'TL08'!$J$238:$J$451),0),
IF('TL09'!$B$3=J$3,SUMIF('TL09'!$C$10:$C$224,$C287,'TL09'!$J$10:$J$224),0),
IF('TL09'!$B$229=J$3,SUMIF('TL09'!$C$238:$C$451,$C287,'TL09'!$J$238:$J$451),0),
IF('TL10'!$B$3=J$3,SUMIF('TL10'!$C$10:$C$224,$C287,'TL10'!$J$10:$J$224),0),
IF('TL10'!$B$229=J$3,SUMIF('TL10'!$C$238:$C$451,$C287,'TL10'!$J$238:$J$451),0),
IF('TL11'!$B$3=J$3,SUMIF('TL11'!$C$10:$C$224,$C287,'TL11'!$J$10:$J$224),0),
IF('TL11'!$B$229=J$3,SUMIF('TL11'!$C$238:$C$451,$C287,'TL11'!$J$238:$J$451),0),
IF('TL12'!$B$3=J$3,SUMIF('TL12'!$C$10:$C$224,$C287,'TL12'!$J$10:$J$224),0),
IF('TL12'!$B$229=J$3,SUMIF('TL12'!$C$238:$C$451,$C287,'TL12'!$J$238:$J$451),0),
IF('TL13'!$B$3=J$3,SUMIF('TL13'!$C$10:$C$224,$C287,'TL13'!$J$10:$J$224),0),
IF('TL13'!$B$229=J$3,SUMIF('TL13'!$C$238:$C$451,$C287,'TL13'!$J$238:$J$451),0),
IF('TL14'!$B$3=J$3,SUMIF('TL14'!$C$10:$C$224,$C287,'TL14'!$J$10:$J$224),0),
IF('TL14'!$B$229=J$3,SUMIF('TL14'!$C$238:$C$451,$C287,'TL14'!$J$238:$J$451),0),
IF('TL15'!$B$3=J$3,SUMIF('TL15'!$C$10:$C$224,$C287,'TL15'!$J$10:$J$224),0),
IF('TL15'!$B$229=J$3,SUMIF('TL15'!$C$238:$C$451,$C287,'TL15'!$J$238:$J$451),0),
IF('TL16'!$B$3=J$3,SUMIF('TL16'!$C$10:$C$224,$C287,'TL16'!$J$10:$J$224),0),
IF('TL16'!$B$229=J$3,SUMIF('TL16'!$C$238:$C$451,$C287,'TL16'!$J$238:$J$451),0),
IF('TL17'!$B$3=J$3,SUMIF('TL17'!$C$10:$C$224,$C287,'TL17'!$J$10:$J$224),0),
IF('TL17'!$B$229=J$3,SUMIF('TL17'!$C$238:$C$451,$C287,'TL17'!$J$238:$J$451),0),
IF('TL18'!$B$3=J$3,SUMIF('TL18'!$C$10:$C$224,$C287,'TL18'!$J$10:$J$224),0),
IF('TL18'!$B$229=J$3,SUMIF('TL18'!$C$238:$C$451,$C287,'TL18'!$J$238:$J$451),0),
IF('TL19'!$B$3=J$3,SUMIF('TL19'!$C$10:$C$224,$C287,'TL19'!$J$10:$J$224),0),
IF('TL19'!$B$229=J$3,SUMIF('TL19'!$C$238:$C$451,$C287,'TL19'!$J$238:$J$451),0)
),0)</f>
        <v>0</v>
      </c>
      <c r="K287" s="9">
        <f>IFERROR(SUM(
IF('TL01'!$B$3=K$3,SUMIF('TL01'!$C$10:$C$224,$C287,'TL01'!$J$10:$J$224),0),
IF('TL01'!$B$229=K$3,SUMIF('TL01'!$C$238:$C$451,$C287,'TL01'!$J$238:$J$451),0),
IF('TL02'!$B$3=K$3,SUMIF('TL02'!$C$10:$C$224,$C287,'TL02'!$J$10:$J$224),0),
IF('TL02'!$B$229=K$3,SUMIF('TL02'!$C$238:$C$451,$C287,'TL02'!$J$238:$J$451),0),
IF('TL03'!$B$3=K$3,SUMIF('TL03'!$C$10:$C$224,$C287,'TL03'!$J$10:$J$224),0),
IF('TL03'!$B$229=K$3,SUMIF('TL03'!$C$238:$C$451,$C287,'TL03'!$J$238:$J$451),0),
IF('TL04'!$B$3=K$3,SUMIF('TL04'!$C$10:$C$224,$C287,'TL04'!$J$10:$J$224),0),
IF('TL04'!$B$229=K$3,SUMIF('TL04'!$C$238:$C$451,$C287,'TL04'!$J$238:$J$451),0),
IF('TL05'!$B$3=K$3,SUMIF('TL05'!$C$10:$C$224,$C287,'TL05'!$J$10:$J$224),0),
IF('TL05'!$B$229=K$3,SUMIF('TL05'!$C$238:$C$451,$C287,'TL05'!$J$238:$J$451),0),
IF('TL06'!$B$3=K$3,SUMIF('TL06'!$C$10:$C$224,$C287,'TL06'!$J$10:$J$224),0),
IF('TL06'!$B$229=K$3,SUMIF('TL06'!$C$238:$C$451,$C287,'TL06'!$J$238:$J$451),0),
IF('TL07'!$B$3=K$3,SUMIF('TL07'!$C$10:$C$224,$C287,'TL07'!$J$10:$J$224),0),
IF('TL07'!$B$229=K$3,SUMIF('TL07'!$C$238:$C$451,$C287,'TL07'!$J$238:$J$451),0),
IF('TL08'!$B$3=K$3,SUMIF('TL08'!$C$10:$C$224,$C287,'TL08'!$J$10:$J$224),0),
IF('TL08'!$B$229=K$3,SUMIF('TL08'!$C$238:$C$451,$C287,'TL08'!$J$238:$J$451),0),
IF('TL09'!$B$3=K$3,SUMIF('TL09'!$C$10:$C$224,$C287,'TL09'!$J$10:$J$224),0),
IF('TL09'!$B$229=K$3,SUMIF('TL09'!$C$238:$C$451,$C287,'TL09'!$J$238:$J$451),0),
IF('TL10'!$B$3=K$3,SUMIF('TL10'!$C$10:$C$224,$C287,'TL10'!$J$10:$J$224),0),
IF('TL10'!$B$229=K$3,SUMIF('TL10'!$C$238:$C$451,$C287,'TL10'!$J$238:$J$451),0),
IF('TL11'!$B$3=K$3,SUMIF('TL11'!$C$10:$C$224,$C287,'TL11'!$J$10:$J$224),0),
IF('TL11'!$B$229=K$3,SUMIF('TL11'!$C$238:$C$451,$C287,'TL11'!$J$238:$J$451),0),
IF('TL12'!$B$3=K$3,SUMIF('TL12'!$C$10:$C$224,$C287,'TL12'!$J$10:$J$224),0),
IF('TL12'!$B$229=K$3,SUMIF('TL12'!$C$238:$C$451,$C287,'TL12'!$J$238:$J$451),0),
IF('TL13'!$B$3=K$3,SUMIF('TL13'!$C$10:$C$224,$C287,'TL13'!$J$10:$J$224),0),
IF('TL13'!$B$229=K$3,SUMIF('TL13'!$C$238:$C$451,$C287,'TL13'!$J$238:$J$451),0),
IF('TL14'!$B$3=K$3,SUMIF('TL14'!$C$10:$C$224,$C287,'TL14'!$J$10:$J$224),0),
IF('TL14'!$B$229=K$3,SUMIF('TL14'!$C$238:$C$451,$C287,'TL14'!$J$238:$J$451),0),
IF('TL15'!$B$3=K$3,SUMIF('TL15'!$C$10:$C$224,$C287,'TL15'!$J$10:$J$224),0),
IF('TL15'!$B$229=K$3,SUMIF('TL15'!$C$238:$C$451,$C287,'TL15'!$J$238:$J$451),0),
IF('TL16'!$B$3=K$3,SUMIF('TL16'!$C$10:$C$224,$C287,'TL16'!$J$10:$J$224),0),
IF('TL16'!$B$229=K$3,SUMIF('TL16'!$C$238:$C$451,$C287,'TL16'!$J$238:$J$451),0),
IF('TL17'!$B$3=K$3,SUMIF('TL17'!$C$10:$C$224,$C287,'TL17'!$J$10:$J$224),0),
IF('TL17'!$B$229=K$3,SUMIF('TL17'!$C$238:$C$451,$C287,'TL17'!$J$238:$J$451),0),
IF('TL18'!$B$3=K$3,SUMIF('TL18'!$C$10:$C$224,$C287,'TL18'!$J$10:$J$224),0),
IF('TL18'!$B$229=K$3,SUMIF('TL18'!$C$238:$C$451,$C287,'TL18'!$J$238:$J$451),0),
IF('TL19'!$B$3=K$3,SUMIF('TL19'!$C$10:$C$224,$C287,'TL19'!$J$10:$J$224),0),
IF('TL19'!$B$229=K$3,SUMIF('TL19'!$C$238:$C$451,$C287,'TL19'!$J$238:$J$451),0)
),0)</f>
        <v>0</v>
      </c>
      <c r="L287" s="9">
        <f>IFERROR(SUM(
IF('TL01'!$B$3=L$3,SUMIF('TL01'!$C$10:$C$224,$C287,'TL01'!$J$10:$J$224),0),
IF('TL01'!$B$229=L$3,SUMIF('TL01'!$C$238:$C$451,$C287,'TL01'!$J$238:$J$451),0),
IF('TL02'!$B$3=L$3,SUMIF('TL02'!$C$10:$C$224,$C287,'TL02'!$J$10:$J$224),0),
IF('TL02'!$B$229=L$3,SUMIF('TL02'!$C$238:$C$451,$C287,'TL02'!$J$238:$J$451),0),
IF('TL03'!$B$3=L$3,SUMIF('TL03'!$C$10:$C$224,$C287,'TL03'!$J$10:$J$224),0),
IF('TL03'!$B$229=L$3,SUMIF('TL03'!$C$238:$C$451,$C287,'TL03'!$J$238:$J$451),0),
IF('TL04'!$B$3=L$3,SUMIF('TL04'!$C$10:$C$224,$C287,'TL04'!$J$10:$J$224),0),
IF('TL04'!$B$229=L$3,SUMIF('TL04'!$C$238:$C$451,$C287,'TL04'!$J$238:$J$451),0),
IF('TL05'!$B$3=L$3,SUMIF('TL05'!$C$10:$C$224,$C287,'TL05'!$J$10:$J$224),0),
IF('TL05'!$B$229=L$3,SUMIF('TL05'!$C$238:$C$451,$C287,'TL05'!$J$238:$J$451),0),
IF('TL06'!$B$3=L$3,SUMIF('TL06'!$C$10:$C$224,$C287,'TL06'!$J$10:$J$224),0),
IF('TL06'!$B$229=L$3,SUMIF('TL06'!$C$238:$C$451,$C287,'TL06'!$J$238:$J$451),0),
IF('TL07'!$B$3=L$3,SUMIF('TL07'!$C$10:$C$224,$C287,'TL07'!$J$10:$J$224),0),
IF('TL07'!$B$229=L$3,SUMIF('TL07'!$C$238:$C$451,$C287,'TL07'!$J$238:$J$451),0),
IF('TL08'!$B$3=L$3,SUMIF('TL08'!$C$10:$C$224,$C287,'TL08'!$J$10:$J$224),0),
IF('TL08'!$B$229=L$3,SUMIF('TL08'!$C$238:$C$451,$C287,'TL08'!$J$238:$J$451),0),
IF('TL09'!$B$3=L$3,SUMIF('TL09'!$C$10:$C$224,$C287,'TL09'!$J$10:$J$224),0),
IF('TL09'!$B$229=L$3,SUMIF('TL09'!$C$238:$C$451,$C287,'TL09'!$J$238:$J$451),0),
IF('TL10'!$B$3=L$3,SUMIF('TL10'!$C$10:$C$224,$C287,'TL10'!$J$10:$J$224),0),
IF('TL10'!$B$229=L$3,SUMIF('TL10'!$C$238:$C$451,$C287,'TL10'!$J$238:$J$451),0),
IF('TL11'!$B$3=L$3,SUMIF('TL11'!$C$10:$C$224,$C287,'TL11'!$J$10:$J$224),0),
IF('TL11'!$B$229=L$3,SUMIF('TL11'!$C$238:$C$451,$C287,'TL11'!$J$238:$J$451),0),
IF('TL12'!$B$3=L$3,SUMIF('TL12'!$C$10:$C$224,$C287,'TL12'!$J$10:$J$224),0),
IF('TL12'!$B$229=L$3,SUMIF('TL12'!$C$238:$C$451,$C287,'TL12'!$J$238:$J$451),0),
IF('TL13'!$B$3=L$3,SUMIF('TL13'!$C$10:$C$224,$C287,'TL13'!$J$10:$J$224),0),
IF('TL13'!$B$229=L$3,SUMIF('TL13'!$C$238:$C$451,$C287,'TL13'!$J$238:$J$451),0),
IF('TL14'!$B$3=L$3,SUMIF('TL14'!$C$10:$C$224,$C287,'TL14'!$J$10:$J$224),0),
IF('TL14'!$B$229=L$3,SUMIF('TL14'!$C$238:$C$451,$C287,'TL14'!$J$238:$J$451),0),
IF('TL15'!$B$3=L$3,SUMIF('TL15'!$C$10:$C$224,$C287,'TL15'!$J$10:$J$224),0),
IF('TL15'!$B$229=L$3,SUMIF('TL15'!$C$238:$C$451,$C287,'TL15'!$J$238:$J$451),0),
IF('TL16'!$B$3=L$3,SUMIF('TL16'!$C$10:$C$224,$C287,'TL16'!$J$10:$J$224),0),
IF('TL16'!$B$229=L$3,SUMIF('TL16'!$C$238:$C$451,$C287,'TL16'!$J$238:$J$451),0),
IF('TL17'!$B$3=L$3,SUMIF('TL17'!$C$10:$C$224,$C287,'TL17'!$J$10:$J$224),0),
IF('TL17'!$B$229=L$3,SUMIF('TL17'!$C$238:$C$451,$C287,'TL17'!$J$238:$J$451),0),
IF('TL18'!$B$3=L$3,SUMIF('TL18'!$C$10:$C$224,$C287,'TL18'!$J$10:$J$224),0),
IF('TL18'!$B$229=L$3,SUMIF('TL18'!$C$238:$C$451,$C287,'TL18'!$J$238:$J$451),0),
IF('TL19'!$B$3=L$3,SUMIF('TL19'!$C$10:$C$224,$C287,'TL19'!$J$10:$J$224),0),
IF('TL19'!$B$229=L$3,SUMIF('TL19'!$C$238:$C$451,$C287,'TL19'!$J$238:$J$451),0)
),0)</f>
        <v>0</v>
      </c>
      <c r="M287" s="9">
        <f>IFERROR(SUM(
IF('TL01'!$B$3=M$3,SUMIF('TL01'!$C$10:$C$224,$C287,'TL01'!$J$10:$J$224),0),
IF('TL01'!$B$229=M$3,SUMIF('TL01'!$C$238:$C$451,$C287,'TL01'!$J$238:$J$451),0),
IF('TL02'!$B$3=M$3,SUMIF('TL02'!$C$10:$C$224,$C287,'TL02'!$J$10:$J$224),0),
IF('TL02'!$B$229=M$3,SUMIF('TL02'!$C$238:$C$451,$C287,'TL02'!$J$238:$J$451),0),
IF('TL03'!$B$3=M$3,SUMIF('TL03'!$C$10:$C$224,$C287,'TL03'!$J$10:$J$224),0),
IF('TL03'!$B$229=M$3,SUMIF('TL03'!$C$238:$C$451,$C287,'TL03'!$J$238:$J$451),0),
IF('TL04'!$B$3=M$3,SUMIF('TL04'!$C$10:$C$224,$C287,'TL04'!$J$10:$J$224),0),
IF('TL04'!$B$229=M$3,SUMIF('TL04'!$C$238:$C$451,$C287,'TL04'!$J$238:$J$451),0),
IF('TL05'!$B$3=M$3,SUMIF('TL05'!$C$10:$C$224,$C287,'TL05'!$J$10:$J$224),0),
IF('TL05'!$B$229=M$3,SUMIF('TL05'!$C$238:$C$451,$C287,'TL05'!$J$238:$J$451),0),
IF('TL06'!$B$3=M$3,SUMIF('TL06'!$C$10:$C$224,$C287,'TL06'!$J$10:$J$224),0),
IF('TL06'!$B$229=M$3,SUMIF('TL06'!$C$238:$C$451,$C287,'TL06'!$J$238:$J$451),0),
IF('TL07'!$B$3=M$3,SUMIF('TL07'!$C$10:$C$224,$C287,'TL07'!$J$10:$J$224),0),
IF('TL07'!$B$229=M$3,SUMIF('TL07'!$C$238:$C$451,$C287,'TL07'!$J$238:$J$451),0),
IF('TL08'!$B$3=M$3,SUMIF('TL08'!$C$10:$C$224,$C287,'TL08'!$J$10:$J$224),0),
IF('TL08'!$B$229=M$3,SUMIF('TL08'!$C$238:$C$451,$C287,'TL08'!$J$238:$J$451),0),
IF('TL09'!$B$3=M$3,SUMIF('TL09'!$C$10:$C$224,$C287,'TL09'!$J$10:$J$224),0),
IF('TL09'!$B$229=M$3,SUMIF('TL09'!$C$238:$C$451,$C287,'TL09'!$J$238:$J$451),0),
IF('TL10'!$B$3=M$3,SUMIF('TL10'!$C$10:$C$224,$C287,'TL10'!$J$10:$J$224),0),
IF('TL10'!$B$229=M$3,SUMIF('TL10'!$C$238:$C$451,$C287,'TL10'!$J$238:$J$451),0),
IF('TL11'!$B$3=M$3,SUMIF('TL11'!$C$10:$C$224,$C287,'TL11'!$J$10:$J$224),0),
IF('TL11'!$B$229=M$3,SUMIF('TL11'!$C$238:$C$451,$C287,'TL11'!$J$238:$J$451),0),
IF('TL12'!$B$3=M$3,SUMIF('TL12'!$C$10:$C$224,$C287,'TL12'!$J$10:$J$224),0),
IF('TL12'!$B$229=M$3,SUMIF('TL12'!$C$238:$C$451,$C287,'TL12'!$J$238:$J$451),0),
IF('TL13'!$B$3=M$3,SUMIF('TL13'!$C$10:$C$224,$C287,'TL13'!$J$10:$J$224),0),
IF('TL13'!$B$229=M$3,SUMIF('TL13'!$C$238:$C$451,$C287,'TL13'!$J$238:$J$451),0),
IF('TL14'!$B$3=M$3,SUMIF('TL14'!$C$10:$C$224,$C287,'TL14'!$J$10:$J$224),0),
IF('TL14'!$B$229=M$3,SUMIF('TL14'!$C$238:$C$451,$C287,'TL14'!$J$238:$J$451),0),
IF('TL15'!$B$3=M$3,SUMIF('TL15'!$C$10:$C$224,$C287,'TL15'!$J$10:$J$224),0),
IF('TL15'!$B$229=M$3,SUMIF('TL15'!$C$238:$C$451,$C287,'TL15'!$J$238:$J$451),0),
IF('TL16'!$B$3=M$3,SUMIF('TL16'!$C$10:$C$224,$C287,'TL16'!$J$10:$J$224),0),
IF('TL16'!$B$229=M$3,SUMIF('TL16'!$C$238:$C$451,$C287,'TL16'!$J$238:$J$451),0),
IF('TL17'!$B$3=M$3,SUMIF('TL17'!$C$10:$C$224,$C287,'TL17'!$J$10:$J$224),0),
IF('TL17'!$B$229=M$3,SUMIF('TL17'!$C$238:$C$451,$C287,'TL17'!$J$238:$J$451),0),
IF('TL18'!$B$3=M$3,SUMIF('TL18'!$C$10:$C$224,$C287,'TL18'!$J$10:$J$224),0),
IF('TL18'!$B$229=M$3,SUMIF('TL18'!$C$238:$C$451,$C287,'TL18'!$J$238:$J$451),0),
IF('TL19'!$B$3=M$3,SUMIF('TL19'!$C$10:$C$224,$C287,'TL19'!$J$10:$J$224),0),
IF('TL19'!$B$229=M$3,SUMIF('TL19'!$C$238:$C$451,$C287,'TL19'!$J$238:$J$451),0)
),0)</f>
        <v>0</v>
      </c>
      <c r="N287" s="9">
        <f>IFERROR(SUM(
IF('TL01'!$B$3=N$3,SUMIF('TL01'!$C$10:$C$224,$C287,'TL01'!$J$10:$J$224),0),
IF('TL01'!$B$229=N$3,SUMIF('TL01'!$C$238:$C$451,$C287,'TL01'!$J$238:$J$451),0),
IF('TL02'!$B$3=N$3,SUMIF('TL02'!$C$10:$C$224,$C287,'TL02'!$J$10:$J$224),0),
IF('TL02'!$B$229=N$3,SUMIF('TL02'!$C$238:$C$451,$C287,'TL02'!$J$238:$J$451),0),
IF('TL03'!$B$3=N$3,SUMIF('TL03'!$C$10:$C$224,$C287,'TL03'!$J$10:$J$224),0),
IF('TL03'!$B$229=N$3,SUMIF('TL03'!$C$238:$C$451,$C287,'TL03'!$J$238:$J$451),0),
IF('TL04'!$B$3=N$3,SUMIF('TL04'!$C$10:$C$224,$C287,'TL04'!$J$10:$J$224),0),
IF('TL04'!$B$229=N$3,SUMIF('TL04'!$C$238:$C$451,$C287,'TL04'!$J$238:$J$451),0),
IF('TL05'!$B$3=N$3,SUMIF('TL05'!$C$10:$C$224,$C287,'TL05'!$J$10:$J$224),0),
IF('TL05'!$B$229=N$3,SUMIF('TL05'!$C$238:$C$451,$C287,'TL05'!$J$238:$J$451),0),
IF('TL06'!$B$3=N$3,SUMIF('TL06'!$C$10:$C$224,$C287,'TL06'!$J$10:$J$224),0),
IF('TL06'!$B$229=N$3,SUMIF('TL06'!$C$238:$C$451,$C287,'TL06'!$J$238:$J$451),0),
IF('TL07'!$B$3=N$3,SUMIF('TL07'!$C$10:$C$224,$C287,'TL07'!$J$10:$J$224),0),
IF('TL07'!$B$229=N$3,SUMIF('TL07'!$C$238:$C$451,$C287,'TL07'!$J$238:$J$451),0),
IF('TL08'!$B$3=N$3,SUMIF('TL08'!$C$10:$C$224,$C287,'TL08'!$J$10:$J$224),0),
IF('TL08'!$B$229=N$3,SUMIF('TL08'!$C$238:$C$451,$C287,'TL08'!$J$238:$J$451),0),
IF('TL09'!$B$3=N$3,SUMIF('TL09'!$C$10:$C$224,$C287,'TL09'!$J$10:$J$224),0),
IF('TL09'!$B$229=N$3,SUMIF('TL09'!$C$238:$C$451,$C287,'TL09'!$J$238:$J$451),0),
IF('TL10'!$B$3=N$3,SUMIF('TL10'!$C$10:$C$224,$C287,'TL10'!$J$10:$J$224),0),
IF('TL10'!$B$229=N$3,SUMIF('TL10'!$C$238:$C$451,$C287,'TL10'!$J$238:$J$451),0),
IF('TL11'!$B$3=N$3,SUMIF('TL11'!$C$10:$C$224,$C287,'TL11'!$J$10:$J$224),0),
IF('TL11'!$B$229=N$3,SUMIF('TL11'!$C$238:$C$451,$C287,'TL11'!$J$238:$J$451),0),
IF('TL12'!$B$3=N$3,SUMIF('TL12'!$C$10:$C$224,$C287,'TL12'!$J$10:$J$224),0),
IF('TL12'!$B$229=N$3,SUMIF('TL12'!$C$238:$C$451,$C287,'TL12'!$J$238:$J$451),0),
IF('TL13'!$B$3=N$3,SUMIF('TL13'!$C$10:$C$224,$C287,'TL13'!$J$10:$J$224),0),
IF('TL13'!$B$229=N$3,SUMIF('TL13'!$C$238:$C$451,$C287,'TL13'!$J$238:$J$451),0),
IF('TL14'!$B$3=N$3,SUMIF('TL14'!$C$10:$C$224,$C287,'TL14'!$J$10:$J$224),0),
IF('TL14'!$B$229=N$3,SUMIF('TL14'!$C$238:$C$451,$C287,'TL14'!$J$238:$J$451),0),
IF('TL15'!$B$3=N$3,SUMIF('TL15'!$C$10:$C$224,$C287,'TL15'!$J$10:$J$224),0),
IF('TL15'!$B$229=N$3,SUMIF('TL15'!$C$238:$C$451,$C287,'TL15'!$J$238:$J$451),0),
IF('TL16'!$B$3=N$3,SUMIF('TL16'!$C$10:$C$224,$C287,'TL16'!$J$10:$J$224),0),
IF('TL16'!$B$229=N$3,SUMIF('TL16'!$C$238:$C$451,$C287,'TL16'!$J$238:$J$451),0),
IF('TL17'!$B$3=N$3,SUMIF('TL17'!$C$10:$C$224,$C287,'TL17'!$J$10:$J$224),0),
IF('TL17'!$B$229=N$3,SUMIF('TL17'!$C$238:$C$451,$C287,'TL17'!$J$238:$J$451),0),
IF('TL18'!$B$3=N$3,SUMIF('TL18'!$C$10:$C$224,$C287,'TL18'!$J$10:$J$224),0),
IF('TL18'!$B$229=N$3,SUMIF('TL18'!$C$238:$C$451,$C287,'TL18'!$J$238:$J$451),0),
IF('TL19'!$B$3=N$3,SUMIF('TL19'!$C$10:$C$224,$C287,'TL19'!$J$10:$J$224),0),
IF('TL19'!$B$229=N$3,SUMIF('TL19'!$C$238:$C$451,$C287,'TL19'!$J$238:$J$451),0)
),0)</f>
        <v>0</v>
      </c>
      <c r="O287" s="9">
        <f>IFERROR(SUM(
IF('TL01'!$B$3=O$3,SUMIF('TL01'!$C$10:$C$224,$C287,'TL01'!$J$10:$J$224),0),
IF('TL01'!$B$229=O$3,SUMIF('TL01'!$C$238:$C$451,$C287,'TL01'!$J$238:$J$451),0),
IF('TL02'!$B$3=O$3,SUMIF('TL02'!$C$10:$C$224,$C287,'TL02'!$J$10:$J$224),0),
IF('TL02'!$B$229=O$3,SUMIF('TL02'!$C$238:$C$451,$C287,'TL02'!$J$238:$J$451),0),
IF('TL03'!$B$3=O$3,SUMIF('TL03'!$C$10:$C$224,$C287,'TL03'!$J$10:$J$224),0),
IF('TL03'!$B$229=O$3,SUMIF('TL03'!$C$238:$C$451,$C287,'TL03'!$J$238:$J$451),0),
IF('TL04'!$B$3=O$3,SUMIF('TL04'!$C$10:$C$224,$C287,'TL04'!$J$10:$J$224),0),
IF('TL04'!$B$229=O$3,SUMIF('TL04'!$C$238:$C$451,$C287,'TL04'!$J$238:$J$451),0),
IF('TL05'!$B$3=O$3,SUMIF('TL05'!$C$10:$C$224,$C287,'TL05'!$J$10:$J$224),0),
IF('TL05'!$B$229=O$3,SUMIF('TL05'!$C$238:$C$451,$C287,'TL05'!$J$238:$J$451),0),
IF('TL06'!$B$3=O$3,SUMIF('TL06'!$C$10:$C$224,$C287,'TL06'!$J$10:$J$224),0),
IF('TL06'!$B$229=O$3,SUMIF('TL06'!$C$238:$C$451,$C287,'TL06'!$J$238:$J$451),0),
IF('TL07'!$B$3=O$3,SUMIF('TL07'!$C$10:$C$224,$C287,'TL07'!$J$10:$J$224),0),
IF('TL07'!$B$229=O$3,SUMIF('TL07'!$C$238:$C$451,$C287,'TL07'!$J$238:$J$451),0),
IF('TL08'!$B$3=O$3,SUMIF('TL08'!$C$10:$C$224,$C287,'TL08'!$J$10:$J$224),0),
IF('TL08'!$B$229=O$3,SUMIF('TL08'!$C$238:$C$451,$C287,'TL08'!$J$238:$J$451),0),
IF('TL09'!$B$3=O$3,SUMIF('TL09'!$C$10:$C$224,$C287,'TL09'!$J$10:$J$224),0),
IF('TL09'!$B$229=O$3,SUMIF('TL09'!$C$238:$C$451,$C287,'TL09'!$J$238:$J$451),0),
IF('TL10'!$B$3=O$3,SUMIF('TL10'!$C$10:$C$224,$C287,'TL10'!$J$10:$J$224),0),
IF('TL10'!$B$229=O$3,SUMIF('TL10'!$C$238:$C$451,$C287,'TL10'!$J$238:$J$451),0),
IF('TL11'!$B$3=O$3,SUMIF('TL11'!$C$10:$C$224,$C287,'TL11'!$J$10:$J$224),0),
IF('TL11'!$B$229=O$3,SUMIF('TL11'!$C$238:$C$451,$C287,'TL11'!$J$238:$J$451),0),
IF('TL12'!$B$3=O$3,SUMIF('TL12'!$C$10:$C$224,$C287,'TL12'!$J$10:$J$224),0),
IF('TL12'!$B$229=O$3,SUMIF('TL12'!$C$238:$C$451,$C287,'TL12'!$J$238:$J$451),0),
IF('TL13'!$B$3=O$3,SUMIF('TL13'!$C$10:$C$224,$C287,'TL13'!$J$10:$J$224),0),
IF('TL13'!$B$229=O$3,SUMIF('TL13'!$C$238:$C$451,$C287,'TL13'!$J$238:$J$451),0),
IF('TL14'!$B$3=O$3,SUMIF('TL14'!$C$10:$C$224,$C287,'TL14'!$J$10:$J$224),0),
IF('TL14'!$B$229=O$3,SUMIF('TL14'!$C$238:$C$451,$C287,'TL14'!$J$238:$J$451),0),
IF('TL15'!$B$3=O$3,SUMIF('TL15'!$C$10:$C$224,$C287,'TL15'!$J$10:$J$224),0),
IF('TL15'!$B$229=O$3,SUMIF('TL15'!$C$238:$C$451,$C287,'TL15'!$J$238:$J$451),0),
IF('TL16'!$B$3=O$3,SUMIF('TL16'!$C$10:$C$224,$C287,'TL16'!$J$10:$J$224),0),
IF('TL16'!$B$229=O$3,SUMIF('TL16'!$C$238:$C$451,$C287,'TL16'!$J$238:$J$451),0),
IF('TL17'!$B$3=O$3,SUMIF('TL17'!$C$10:$C$224,$C287,'TL17'!$J$10:$J$224),0),
IF('TL17'!$B$229=O$3,SUMIF('TL17'!$C$238:$C$451,$C287,'TL17'!$J$238:$J$451),0),
IF('TL18'!$B$3=O$3,SUMIF('TL18'!$C$10:$C$224,$C287,'TL18'!$J$10:$J$224),0),
IF('TL18'!$B$229=O$3,SUMIF('TL18'!$C$238:$C$451,$C287,'TL18'!$J$238:$J$451),0),
IF('TL19'!$B$3=O$3,SUMIF('TL19'!$C$10:$C$224,$C287,'TL19'!$J$10:$J$224),0),
IF('TL19'!$B$229=O$3,SUMIF('TL19'!$C$238:$C$451,$C287,'TL19'!$J$238:$J$451),0)
),0)</f>
        <v>0</v>
      </c>
      <c r="P287" s="9">
        <f>IFERROR(SUM(
IF('TL01'!$B$3=P$3,SUMIF('TL01'!$C$10:$C$224,$C287,'TL01'!$J$10:$J$224),0),
IF('TL01'!$B$229=P$3,SUMIF('TL01'!$C$238:$C$451,$C287,'TL01'!$J$238:$J$451),0),
IF('TL02'!$B$3=P$3,SUMIF('TL02'!$C$10:$C$224,$C287,'TL02'!$J$10:$J$224),0),
IF('TL02'!$B$229=P$3,SUMIF('TL02'!$C$238:$C$451,$C287,'TL02'!$J$238:$J$451),0),
IF('TL03'!$B$3=P$3,SUMIF('TL03'!$C$10:$C$224,$C287,'TL03'!$J$10:$J$224),0),
IF('TL03'!$B$229=P$3,SUMIF('TL03'!$C$238:$C$451,$C287,'TL03'!$J$238:$J$451),0),
IF('TL04'!$B$3=P$3,SUMIF('TL04'!$C$10:$C$224,$C287,'TL04'!$J$10:$J$224),0),
IF('TL04'!$B$229=P$3,SUMIF('TL04'!$C$238:$C$451,$C287,'TL04'!$J$238:$J$451),0),
IF('TL05'!$B$3=P$3,SUMIF('TL05'!$C$10:$C$224,$C287,'TL05'!$J$10:$J$224),0),
IF('TL05'!$B$229=P$3,SUMIF('TL05'!$C$238:$C$451,$C287,'TL05'!$J$238:$J$451),0),
IF('TL06'!$B$3=P$3,SUMIF('TL06'!$C$10:$C$224,$C287,'TL06'!$J$10:$J$224),0),
IF('TL06'!$B$229=P$3,SUMIF('TL06'!$C$238:$C$451,$C287,'TL06'!$J$238:$J$451),0),
IF('TL07'!$B$3=P$3,SUMIF('TL07'!$C$10:$C$224,$C287,'TL07'!$J$10:$J$224),0),
IF('TL07'!$B$229=P$3,SUMIF('TL07'!$C$238:$C$451,$C287,'TL07'!$J$238:$J$451),0),
IF('TL08'!$B$3=P$3,SUMIF('TL08'!$C$10:$C$224,$C287,'TL08'!$J$10:$J$224),0),
IF('TL08'!$B$229=P$3,SUMIF('TL08'!$C$238:$C$451,$C287,'TL08'!$J$238:$J$451),0),
IF('TL09'!$B$3=P$3,SUMIF('TL09'!$C$10:$C$224,$C287,'TL09'!$J$10:$J$224),0),
IF('TL09'!$B$229=P$3,SUMIF('TL09'!$C$238:$C$451,$C287,'TL09'!$J$238:$J$451),0),
IF('TL10'!$B$3=P$3,SUMIF('TL10'!$C$10:$C$224,$C287,'TL10'!$J$10:$J$224),0),
IF('TL10'!$B$229=P$3,SUMIF('TL10'!$C$238:$C$451,$C287,'TL10'!$J$238:$J$451),0),
IF('TL11'!$B$3=P$3,SUMIF('TL11'!$C$10:$C$224,$C287,'TL11'!$J$10:$J$224),0),
IF('TL11'!$B$229=P$3,SUMIF('TL11'!$C$238:$C$451,$C287,'TL11'!$J$238:$J$451),0),
IF('TL12'!$B$3=P$3,SUMIF('TL12'!$C$10:$C$224,$C287,'TL12'!$J$10:$J$224),0),
IF('TL12'!$B$229=P$3,SUMIF('TL12'!$C$238:$C$451,$C287,'TL12'!$J$238:$J$451),0),
IF('TL13'!$B$3=P$3,SUMIF('TL13'!$C$10:$C$224,$C287,'TL13'!$J$10:$J$224),0),
IF('TL13'!$B$229=P$3,SUMIF('TL13'!$C$238:$C$451,$C287,'TL13'!$J$238:$J$451),0),
IF('TL14'!$B$3=P$3,SUMIF('TL14'!$C$10:$C$224,$C287,'TL14'!$J$10:$J$224),0),
IF('TL14'!$B$229=P$3,SUMIF('TL14'!$C$238:$C$451,$C287,'TL14'!$J$238:$J$451),0),
IF('TL15'!$B$3=P$3,SUMIF('TL15'!$C$10:$C$224,$C287,'TL15'!$J$10:$J$224),0),
IF('TL15'!$B$229=P$3,SUMIF('TL15'!$C$238:$C$451,$C287,'TL15'!$J$238:$J$451),0),
IF('TL16'!$B$3=P$3,SUMIF('TL16'!$C$10:$C$224,$C287,'TL16'!$J$10:$J$224),0),
IF('TL16'!$B$229=P$3,SUMIF('TL16'!$C$238:$C$451,$C287,'TL16'!$J$238:$J$451),0),
IF('TL17'!$B$3=P$3,SUMIF('TL17'!$C$10:$C$224,$C287,'TL17'!$J$10:$J$224),0),
IF('TL17'!$B$229=P$3,SUMIF('TL17'!$C$238:$C$451,$C287,'TL17'!$J$238:$J$451),0),
IF('TL18'!$B$3=P$3,SUMIF('TL18'!$C$10:$C$224,$C287,'TL18'!$J$10:$J$224),0),
IF('TL18'!$B$229=P$3,SUMIF('TL18'!$C$238:$C$451,$C287,'TL18'!$J$238:$J$451),0),
IF('TL19'!$B$3=P$3,SUMIF('TL19'!$C$10:$C$224,$C287,'TL19'!$J$10:$J$224),0),
IF('TL19'!$B$229=P$3,SUMIF('TL19'!$C$238:$C$451,$C287,'TL19'!$J$238:$J$451),0)
),0)</f>
        <v>0</v>
      </c>
      <c r="Q287" s="9">
        <f>IFERROR(SUM(
IF('TL01'!$B$3=Q$3,SUMIF('TL01'!$C$10:$C$224,$C287,'TL01'!$J$10:$J$224),0),
IF('TL01'!$B$229=Q$3,SUMIF('TL01'!$C$238:$C$451,$C287,'TL01'!$J$238:$J$451),0),
IF('TL02'!$B$3=Q$3,SUMIF('TL02'!$C$10:$C$224,$C287,'TL02'!$J$10:$J$224),0),
IF('TL02'!$B$229=Q$3,SUMIF('TL02'!$C$238:$C$451,$C287,'TL02'!$J$238:$J$451),0),
IF('TL03'!$B$3=Q$3,SUMIF('TL03'!$C$10:$C$224,$C287,'TL03'!$J$10:$J$224),0),
IF('TL03'!$B$229=Q$3,SUMIF('TL03'!$C$238:$C$451,$C287,'TL03'!$J$238:$J$451),0),
IF('TL04'!$B$3=Q$3,SUMIF('TL04'!$C$10:$C$224,$C287,'TL04'!$J$10:$J$224),0),
IF('TL04'!$B$229=Q$3,SUMIF('TL04'!$C$238:$C$451,$C287,'TL04'!$J$238:$J$451),0),
IF('TL05'!$B$3=Q$3,SUMIF('TL05'!$C$10:$C$224,$C287,'TL05'!$J$10:$J$224),0),
IF('TL05'!$B$229=Q$3,SUMIF('TL05'!$C$238:$C$451,$C287,'TL05'!$J$238:$J$451),0),
IF('TL06'!$B$3=Q$3,SUMIF('TL06'!$C$10:$C$224,$C287,'TL06'!$J$10:$J$224),0),
IF('TL06'!$B$229=Q$3,SUMIF('TL06'!$C$238:$C$451,$C287,'TL06'!$J$238:$J$451),0),
IF('TL07'!$B$3=Q$3,SUMIF('TL07'!$C$10:$C$224,$C287,'TL07'!$J$10:$J$224),0),
IF('TL07'!$B$229=Q$3,SUMIF('TL07'!$C$238:$C$451,$C287,'TL07'!$J$238:$J$451),0),
IF('TL08'!$B$3=Q$3,SUMIF('TL08'!$C$10:$C$224,$C287,'TL08'!$J$10:$J$224),0),
IF('TL08'!$B$229=Q$3,SUMIF('TL08'!$C$238:$C$451,$C287,'TL08'!$J$238:$J$451),0),
IF('TL09'!$B$3=Q$3,SUMIF('TL09'!$C$10:$C$224,$C287,'TL09'!$J$10:$J$224),0),
IF('TL09'!$B$229=Q$3,SUMIF('TL09'!$C$238:$C$451,$C287,'TL09'!$J$238:$J$451),0),
IF('TL10'!$B$3=Q$3,SUMIF('TL10'!$C$10:$C$224,$C287,'TL10'!$J$10:$J$224),0),
IF('TL10'!$B$229=Q$3,SUMIF('TL10'!$C$238:$C$451,$C287,'TL10'!$J$238:$J$451),0),
IF('TL11'!$B$3=Q$3,SUMIF('TL11'!$C$10:$C$224,$C287,'TL11'!$J$10:$J$224),0),
IF('TL11'!$B$229=Q$3,SUMIF('TL11'!$C$238:$C$451,$C287,'TL11'!$J$238:$J$451),0),
IF('TL12'!$B$3=Q$3,SUMIF('TL12'!$C$10:$C$224,$C287,'TL12'!$J$10:$J$224),0),
IF('TL12'!$B$229=Q$3,SUMIF('TL12'!$C$238:$C$451,$C287,'TL12'!$J$238:$J$451),0),
IF('TL13'!$B$3=Q$3,SUMIF('TL13'!$C$10:$C$224,$C287,'TL13'!$J$10:$J$224),0),
IF('TL13'!$B$229=Q$3,SUMIF('TL13'!$C$238:$C$451,$C287,'TL13'!$J$238:$J$451),0),
IF('TL14'!$B$3=Q$3,SUMIF('TL14'!$C$10:$C$224,$C287,'TL14'!$J$10:$J$224),0),
IF('TL14'!$B$229=Q$3,SUMIF('TL14'!$C$238:$C$451,$C287,'TL14'!$J$238:$J$451),0),
IF('TL15'!$B$3=Q$3,SUMIF('TL15'!$C$10:$C$224,$C287,'TL15'!$J$10:$J$224),0),
IF('TL15'!$B$229=Q$3,SUMIF('TL15'!$C$238:$C$451,$C287,'TL15'!$J$238:$J$451),0),
IF('TL16'!$B$3=Q$3,SUMIF('TL16'!$C$10:$C$224,$C287,'TL16'!$J$10:$J$224),0),
IF('TL16'!$B$229=Q$3,SUMIF('TL16'!$C$238:$C$451,$C287,'TL16'!$J$238:$J$451),0),
IF('TL17'!$B$3=Q$3,SUMIF('TL17'!$C$10:$C$224,$C287,'TL17'!$J$10:$J$224),0),
IF('TL17'!$B$229=Q$3,SUMIF('TL17'!$C$238:$C$451,$C287,'TL17'!$J$238:$J$451),0),
IF('TL18'!$B$3=Q$3,SUMIF('TL18'!$C$10:$C$224,$C287,'TL18'!$J$10:$J$224),0),
IF('TL18'!$B$229=Q$3,SUMIF('TL18'!$C$238:$C$451,$C287,'TL18'!$J$238:$J$451),0),
IF('TL19'!$B$3=Q$3,SUMIF('TL19'!$C$10:$C$224,$C287,'TL19'!$J$10:$J$224),0),
IF('TL19'!$B$229=Q$3,SUMIF('TL19'!$C$238:$C$451,$C287,'TL19'!$J$238:$J$451),0)
),0)</f>
        <v>0</v>
      </c>
      <c r="R287" s="9">
        <f>IFERROR(
SUM(
SUMIF('TL01'!C:C,C287,'TL01'!J:J),
SUMIF('TL02'!C:C,C287,'TL02'!J:J),
SUMIF('TL03'!C:C,C287,'TL03'!J:J),
SUMIF('TL04'!C:C,C287,'TL04'!J:J),
SUMIF('TL05'!C:C,C287,'TL05'!J:J),
SUMIF('TL06'!C:C,C287,'TL06'!J:J),
SUMIF('TL07'!C:C,C287,'TL07'!J:J),
SUMIF('TL08'!C:C,C287,'TL08'!J:J),
SUMIF('TL09'!C:C,C287,'TL09'!J:J),
SUMIF('TL10'!C:C,C287,'TL10'!J:J),
SUMIF('TL11'!C:C,C287,'TL11'!J:J),
SUMIF('TL12'!C:C,C287,'TL12'!J:J),
SUMIF('TL13'!C:C,C287,'TL13'!J:J),
SUMIF('TL14'!C:C,C287,'TL14'!J:J),
SUMIF('TL15'!C:C,C287,'TL15'!J:J),
SUMIF('TL16'!C:C,C287,'TL16'!J:J),
SUMIF('TL17'!C:C,C287,'TL17'!J:J),
SUMIF('TL18'!C:C,C287,'TL18'!J:J),SUMIF('TL19'!C:C,C287,'TL19'!J:J))
,0)</f>
        <v>0</v>
      </c>
      <c r="S287" s="17">
        <f>IFERROR(__xludf.DUMMYFUNCTION("IFERROR(VLOOKUP(C287,
IMPORTRANGE(""1wULbzX32WdYsx-lj2U3uUNBBe2INVIRDtcK0d-Dvl90"",
""26-27!C:G""),
5,
FALSE),
"""")"),90.0)</f>
        <v>90</v>
      </c>
      <c r="T287" s="9"/>
      <c r="U287" s="92">
        <f t="shared" si="2"/>
        <v>0</v>
      </c>
      <c r="V287" s="93">
        <f t="shared" si="3"/>
        <v>0</v>
      </c>
    </row>
    <row r="288" ht="15.75" hidden="1" customHeight="1">
      <c r="A288" s="4"/>
      <c r="B288" s="125" t="s">
        <v>9</v>
      </c>
      <c r="C288" s="4" t="s">
        <v>996</v>
      </c>
      <c r="D288" s="6"/>
      <c r="E288" s="9"/>
      <c r="F288" s="4" t="s">
        <v>392</v>
      </c>
      <c r="G288" s="9"/>
      <c r="H288" s="9">
        <v>0.3</v>
      </c>
      <c r="I288" s="1"/>
      <c r="J288" s="9">
        <f>IFERROR(SUM(
IF('TL01'!$B$3=J$3,SUMIF('TL01'!$C$10:$C$224,$C288,'TL01'!$J$10:$J$224),0),
IF('TL01'!$B$229=J$3,SUMIF('TL01'!$C$238:$C$451,$C288,'TL01'!$J$238:$J$451),0),
IF('TL02'!$B$3=J$3,SUMIF('TL02'!$C$10:$C$224,$C288,'TL02'!$J$10:$J$224),0),
IF('TL02'!$B$229=J$3,SUMIF('TL02'!$C$238:$C$451,$C288,'TL02'!$J$238:$J$451),0),
IF('TL03'!$B$3=J$3,SUMIF('TL03'!$C$10:$C$224,$C288,'TL03'!$J$10:$J$224),0),
IF('TL03'!$B$229=J$3,SUMIF('TL03'!$C$238:$C$451,$C288,'TL03'!$J$238:$J$451),0),
IF('TL04'!$B$3=J$3,SUMIF('TL04'!$C$10:$C$224,$C288,'TL04'!$J$10:$J$224),0),
IF('TL04'!$B$229=J$3,SUMIF('TL04'!$C$238:$C$451,$C288,'TL04'!$J$238:$J$451),0),
IF('TL05'!$B$3=J$3,SUMIF('TL05'!$C$10:$C$224,$C288,'TL05'!$J$10:$J$224),0),
IF('TL05'!$B$229=J$3,SUMIF('TL05'!$C$238:$C$451,$C288,'TL05'!$J$238:$J$451),0),
IF('TL06'!$B$3=J$3,SUMIF('TL06'!$C$10:$C$224,$C288,'TL06'!$J$10:$J$224),0),
IF('TL06'!$B$229=J$3,SUMIF('TL06'!$C$238:$C$451,$C288,'TL06'!$J$238:$J$451),0),
IF('TL07'!$B$3=J$3,SUMIF('TL07'!$C$10:$C$224,$C288,'TL07'!$J$10:$J$224),0),
IF('TL07'!$B$229=J$3,SUMIF('TL07'!$C$238:$C$451,$C288,'TL07'!$J$238:$J$451),0),
IF('TL08'!$B$3=J$3,SUMIF('TL08'!$C$10:$C$224,$C288,'TL08'!$J$10:$J$224),0),
IF('TL08'!$B$229=J$3,SUMIF('TL08'!$C$238:$C$451,$C288,'TL08'!$J$238:$J$451),0),
IF('TL09'!$B$3=J$3,SUMIF('TL09'!$C$10:$C$224,$C288,'TL09'!$J$10:$J$224),0),
IF('TL09'!$B$229=J$3,SUMIF('TL09'!$C$238:$C$451,$C288,'TL09'!$J$238:$J$451),0),
IF('TL10'!$B$3=J$3,SUMIF('TL10'!$C$10:$C$224,$C288,'TL10'!$J$10:$J$224),0),
IF('TL10'!$B$229=J$3,SUMIF('TL10'!$C$238:$C$451,$C288,'TL10'!$J$238:$J$451),0),
IF('TL11'!$B$3=J$3,SUMIF('TL11'!$C$10:$C$224,$C288,'TL11'!$J$10:$J$224),0),
IF('TL11'!$B$229=J$3,SUMIF('TL11'!$C$238:$C$451,$C288,'TL11'!$J$238:$J$451),0),
IF('TL12'!$B$3=J$3,SUMIF('TL12'!$C$10:$C$224,$C288,'TL12'!$J$10:$J$224),0),
IF('TL12'!$B$229=J$3,SUMIF('TL12'!$C$238:$C$451,$C288,'TL12'!$J$238:$J$451),0),
IF('TL13'!$B$3=J$3,SUMIF('TL13'!$C$10:$C$224,$C288,'TL13'!$J$10:$J$224),0),
IF('TL13'!$B$229=J$3,SUMIF('TL13'!$C$238:$C$451,$C288,'TL13'!$J$238:$J$451),0),
IF('TL14'!$B$3=J$3,SUMIF('TL14'!$C$10:$C$224,$C288,'TL14'!$J$10:$J$224),0),
IF('TL14'!$B$229=J$3,SUMIF('TL14'!$C$238:$C$451,$C288,'TL14'!$J$238:$J$451),0),
IF('TL15'!$B$3=J$3,SUMIF('TL15'!$C$10:$C$224,$C288,'TL15'!$J$10:$J$224),0),
IF('TL15'!$B$229=J$3,SUMIF('TL15'!$C$238:$C$451,$C288,'TL15'!$J$238:$J$451),0),
IF('TL16'!$B$3=J$3,SUMIF('TL16'!$C$10:$C$224,$C288,'TL16'!$J$10:$J$224),0),
IF('TL16'!$B$229=J$3,SUMIF('TL16'!$C$238:$C$451,$C288,'TL16'!$J$238:$J$451),0),
IF('TL17'!$B$3=J$3,SUMIF('TL17'!$C$10:$C$224,$C288,'TL17'!$J$10:$J$224),0),
IF('TL17'!$B$229=J$3,SUMIF('TL17'!$C$238:$C$451,$C288,'TL17'!$J$238:$J$451),0),
IF('TL18'!$B$3=J$3,SUMIF('TL18'!$C$10:$C$224,$C288,'TL18'!$J$10:$J$224),0),
IF('TL18'!$B$229=J$3,SUMIF('TL18'!$C$238:$C$451,$C288,'TL18'!$J$238:$J$451),0),
IF('TL19'!$B$3=J$3,SUMIF('TL19'!$C$10:$C$224,$C288,'TL19'!$J$10:$J$224),0),
IF('TL19'!$B$229=J$3,SUMIF('TL19'!$C$238:$C$451,$C288,'TL19'!$J$238:$J$451),0)
),0)</f>
        <v>0</v>
      </c>
      <c r="K288" s="9">
        <f>IFERROR(SUM(
IF('TL01'!$B$3=K$3,SUMIF('TL01'!$C$10:$C$224,$C288,'TL01'!$J$10:$J$224),0),
IF('TL01'!$B$229=K$3,SUMIF('TL01'!$C$238:$C$451,$C288,'TL01'!$J$238:$J$451),0),
IF('TL02'!$B$3=K$3,SUMIF('TL02'!$C$10:$C$224,$C288,'TL02'!$J$10:$J$224),0),
IF('TL02'!$B$229=K$3,SUMIF('TL02'!$C$238:$C$451,$C288,'TL02'!$J$238:$J$451),0),
IF('TL03'!$B$3=K$3,SUMIF('TL03'!$C$10:$C$224,$C288,'TL03'!$J$10:$J$224),0),
IF('TL03'!$B$229=K$3,SUMIF('TL03'!$C$238:$C$451,$C288,'TL03'!$J$238:$J$451),0),
IF('TL04'!$B$3=K$3,SUMIF('TL04'!$C$10:$C$224,$C288,'TL04'!$J$10:$J$224),0),
IF('TL04'!$B$229=K$3,SUMIF('TL04'!$C$238:$C$451,$C288,'TL04'!$J$238:$J$451),0),
IF('TL05'!$B$3=K$3,SUMIF('TL05'!$C$10:$C$224,$C288,'TL05'!$J$10:$J$224),0),
IF('TL05'!$B$229=K$3,SUMIF('TL05'!$C$238:$C$451,$C288,'TL05'!$J$238:$J$451),0),
IF('TL06'!$B$3=K$3,SUMIF('TL06'!$C$10:$C$224,$C288,'TL06'!$J$10:$J$224),0),
IF('TL06'!$B$229=K$3,SUMIF('TL06'!$C$238:$C$451,$C288,'TL06'!$J$238:$J$451),0),
IF('TL07'!$B$3=K$3,SUMIF('TL07'!$C$10:$C$224,$C288,'TL07'!$J$10:$J$224),0),
IF('TL07'!$B$229=K$3,SUMIF('TL07'!$C$238:$C$451,$C288,'TL07'!$J$238:$J$451),0),
IF('TL08'!$B$3=K$3,SUMIF('TL08'!$C$10:$C$224,$C288,'TL08'!$J$10:$J$224),0),
IF('TL08'!$B$229=K$3,SUMIF('TL08'!$C$238:$C$451,$C288,'TL08'!$J$238:$J$451),0),
IF('TL09'!$B$3=K$3,SUMIF('TL09'!$C$10:$C$224,$C288,'TL09'!$J$10:$J$224),0),
IF('TL09'!$B$229=K$3,SUMIF('TL09'!$C$238:$C$451,$C288,'TL09'!$J$238:$J$451),0),
IF('TL10'!$B$3=K$3,SUMIF('TL10'!$C$10:$C$224,$C288,'TL10'!$J$10:$J$224),0),
IF('TL10'!$B$229=K$3,SUMIF('TL10'!$C$238:$C$451,$C288,'TL10'!$J$238:$J$451),0),
IF('TL11'!$B$3=K$3,SUMIF('TL11'!$C$10:$C$224,$C288,'TL11'!$J$10:$J$224),0),
IF('TL11'!$B$229=K$3,SUMIF('TL11'!$C$238:$C$451,$C288,'TL11'!$J$238:$J$451),0),
IF('TL12'!$B$3=K$3,SUMIF('TL12'!$C$10:$C$224,$C288,'TL12'!$J$10:$J$224),0),
IF('TL12'!$B$229=K$3,SUMIF('TL12'!$C$238:$C$451,$C288,'TL12'!$J$238:$J$451),0),
IF('TL13'!$B$3=K$3,SUMIF('TL13'!$C$10:$C$224,$C288,'TL13'!$J$10:$J$224),0),
IF('TL13'!$B$229=K$3,SUMIF('TL13'!$C$238:$C$451,$C288,'TL13'!$J$238:$J$451),0),
IF('TL14'!$B$3=K$3,SUMIF('TL14'!$C$10:$C$224,$C288,'TL14'!$J$10:$J$224),0),
IF('TL14'!$B$229=K$3,SUMIF('TL14'!$C$238:$C$451,$C288,'TL14'!$J$238:$J$451),0),
IF('TL15'!$B$3=K$3,SUMIF('TL15'!$C$10:$C$224,$C288,'TL15'!$J$10:$J$224),0),
IF('TL15'!$B$229=K$3,SUMIF('TL15'!$C$238:$C$451,$C288,'TL15'!$J$238:$J$451),0),
IF('TL16'!$B$3=K$3,SUMIF('TL16'!$C$10:$C$224,$C288,'TL16'!$J$10:$J$224),0),
IF('TL16'!$B$229=K$3,SUMIF('TL16'!$C$238:$C$451,$C288,'TL16'!$J$238:$J$451),0),
IF('TL17'!$B$3=K$3,SUMIF('TL17'!$C$10:$C$224,$C288,'TL17'!$J$10:$J$224),0),
IF('TL17'!$B$229=K$3,SUMIF('TL17'!$C$238:$C$451,$C288,'TL17'!$J$238:$J$451),0),
IF('TL18'!$B$3=K$3,SUMIF('TL18'!$C$10:$C$224,$C288,'TL18'!$J$10:$J$224),0),
IF('TL18'!$B$229=K$3,SUMIF('TL18'!$C$238:$C$451,$C288,'TL18'!$J$238:$J$451),0),
IF('TL19'!$B$3=K$3,SUMIF('TL19'!$C$10:$C$224,$C288,'TL19'!$J$10:$J$224),0),
IF('TL19'!$B$229=K$3,SUMIF('TL19'!$C$238:$C$451,$C288,'TL19'!$J$238:$J$451),0)
),0)</f>
        <v>0</v>
      </c>
      <c r="L288" s="9">
        <f>IFERROR(SUM(
IF('TL01'!$B$3=L$3,SUMIF('TL01'!$C$10:$C$224,$C288,'TL01'!$J$10:$J$224),0),
IF('TL01'!$B$229=L$3,SUMIF('TL01'!$C$238:$C$451,$C288,'TL01'!$J$238:$J$451),0),
IF('TL02'!$B$3=L$3,SUMIF('TL02'!$C$10:$C$224,$C288,'TL02'!$J$10:$J$224),0),
IF('TL02'!$B$229=L$3,SUMIF('TL02'!$C$238:$C$451,$C288,'TL02'!$J$238:$J$451),0),
IF('TL03'!$B$3=L$3,SUMIF('TL03'!$C$10:$C$224,$C288,'TL03'!$J$10:$J$224),0),
IF('TL03'!$B$229=L$3,SUMIF('TL03'!$C$238:$C$451,$C288,'TL03'!$J$238:$J$451),0),
IF('TL04'!$B$3=L$3,SUMIF('TL04'!$C$10:$C$224,$C288,'TL04'!$J$10:$J$224),0),
IF('TL04'!$B$229=L$3,SUMIF('TL04'!$C$238:$C$451,$C288,'TL04'!$J$238:$J$451),0),
IF('TL05'!$B$3=L$3,SUMIF('TL05'!$C$10:$C$224,$C288,'TL05'!$J$10:$J$224),0),
IF('TL05'!$B$229=L$3,SUMIF('TL05'!$C$238:$C$451,$C288,'TL05'!$J$238:$J$451),0),
IF('TL06'!$B$3=L$3,SUMIF('TL06'!$C$10:$C$224,$C288,'TL06'!$J$10:$J$224),0),
IF('TL06'!$B$229=L$3,SUMIF('TL06'!$C$238:$C$451,$C288,'TL06'!$J$238:$J$451),0),
IF('TL07'!$B$3=L$3,SUMIF('TL07'!$C$10:$C$224,$C288,'TL07'!$J$10:$J$224),0),
IF('TL07'!$B$229=L$3,SUMIF('TL07'!$C$238:$C$451,$C288,'TL07'!$J$238:$J$451),0),
IF('TL08'!$B$3=L$3,SUMIF('TL08'!$C$10:$C$224,$C288,'TL08'!$J$10:$J$224),0),
IF('TL08'!$B$229=L$3,SUMIF('TL08'!$C$238:$C$451,$C288,'TL08'!$J$238:$J$451),0),
IF('TL09'!$B$3=L$3,SUMIF('TL09'!$C$10:$C$224,$C288,'TL09'!$J$10:$J$224),0),
IF('TL09'!$B$229=L$3,SUMIF('TL09'!$C$238:$C$451,$C288,'TL09'!$J$238:$J$451),0),
IF('TL10'!$B$3=L$3,SUMIF('TL10'!$C$10:$C$224,$C288,'TL10'!$J$10:$J$224),0),
IF('TL10'!$B$229=L$3,SUMIF('TL10'!$C$238:$C$451,$C288,'TL10'!$J$238:$J$451),0),
IF('TL11'!$B$3=L$3,SUMIF('TL11'!$C$10:$C$224,$C288,'TL11'!$J$10:$J$224),0),
IF('TL11'!$B$229=L$3,SUMIF('TL11'!$C$238:$C$451,$C288,'TL11'!$J$238:$J$451),0),
IF('TL12'!$B$3=L$3,SUMIF('TL12'!$C$10:$C$224,$C288,'TL12'!$J$10:$J$224),0),
IF('TL12'!$B$229=L$3,SUMIF('TL12'!$C$238:$C$451,$C288,'TL12'!$J$238:$J$451),0),
IF('TL13'!$B$3=L$3,SUMIF('TL13'!$C$10:$C$224,$C288,'TL13'!$J$10:$J$224),0),
IF('TL13'!$B$229=L$3,SUMIF('TL13'!$C$238:$C$451,$C288,'TL13'!$J$238:$J$451),0),
IF('TL14'!$B$3=L$3,SUMIF('TL14'!$C$10:$C$224,$C288,'TL14'!$J$10:$J$224),0),
IF('TL14'!$B$229=L$3,SUMIF('TL14'!$C$238:$C$451,$C288,'TL14'!$J$238:$J$451),0),
IF('TL15'!$B$3=L$3,SUMIF('TL15'!$C$10:$C$224,$C288,'TL15'!$J$10:$J$224),0),
IF('TL15'!$B$229=L$3,SUMIF('TL15'!$C$238:$C$451,$C288,'TL15'!$J$238:$J$451),0),
IF('TL16'!$B$3=L$3,SUMIF('TL16'!$C$10:$C$224,$C288,'TL16'!$J$10:$J$224),0),
IF('TL16'!$B$229=L$3,SUMIF('TL16'!$C$238:$C$451,$C288,'TL16'!$J$238:$J$451),0),
IF('TL17'!$B$3=L$3,SUMIF('TL17'!$C$10:$C$224,$C288,'TL17'!$J$10:$J$224),0),
IF('TL17'!$B$229=L$3,SUMIF('TL17'!$C$238:$C$451,$C288,'TL17'!$J$238:$J$451),0),
IF('TL18'!$B$3=L$3,SUMIF('TL18'!$C$10:$C$224,$C288,'TL18'!$J$10:$J$224),0),
IF('TL18'!$B$229=L$3,SUMIF('TL18'!$C$238:$C$451,$C288,'TL18'!$J$238:$J$451),0),
IF('TL19'!$B$3=L$3,SUMIF('TL19'!$C$10:$C$224,$C288,'TL19'!$J$10:$J$224),0),
IF('TL19'!$B$229=L$3,SUMIF('TL19'!$C$238:$C$451,$C288,'TL19'!$J$238:$J$451),0)
),0)</f>
        <v>0</v>
      </c>
      <c r="M288" s="9">
        <f>IFERROR(SUM(
IF('TL01'!$B$3=M$3,SUMIF('TL01'!$C$10:$C$224,$C288,'TL01'!$J$10:$J$224),0),
IF('TL01'!$B$229=M$3,SUMIF('TL01'!$C$238:$C$451,$C288,'TL01'!$J$238:$J$451),0),
IF('TL02'!$B$3=M$3,SUMIF('TL02'!$C$10:$C$224,$C288,'TL02'!$J$10:$J$224),0),
IF('TL02'!$B$229=M$3,SUMIF('TL02'!$C$238:$C$451,$C288,'TL02'!$J$238:$J$451),0),
IF('TL03'!$B$3=M$3,SUMIF('TL03'!$C$10:$C$224,$C288,'TL03'!$J$10:$J$224),0),
IF('TL03'!$B$229=M$3,SUMIF('TL03'!$C$238:$C$451,$C288,'TL03'!$J$238:$J$451),0),
IF('TL04'!$B$3=M$3,SUMIF('TL04'!$C$10:$C$224,$C288,'TL04'!$J$10:$J$224),0),
IF('TL04'!$B$229=M$3,SUMIF('TL04'!$C$238:$C$451,$C288,'TL04'!$J$238:$J$451),0),
IF('TL05'!$B$3=M$3,SUMIF('TL05'!$C$10:$C$224,$C288,'TL05'!$J$10:$J$224),0),
IF('TL05'!$B$229=M$3,SUMIF('TL05'!$C$238:$C$451,$C288,'TL05'!$J$238:$J$451),0),
IF('TL06'!$B$3=M$3,SUMIF('TL06'!$C$10:$C$224,$C288,'TL06'!$J$10:$J$224),0),
IF('TL06'!$B$229=M$3,SUMIF('TL06'!$C$238:$C$451,$C288,'TL06'!$J$238:$J$451),0),
IF('TL07'!$B$3=M$3,SUMIF('TL07'!$C$10:$C$224,$C288,'TL07'!$J$10:$J$224),0),
IF('TL07'!$B$229=M$3,SUMIF('TL07'!$C$238:$C$451,$C288,'TL07'!$J$238:$J$451),0),
IF('TL08'!$B$3=M$3,SUMIF('TL08'!$C$10:$C$224,$C288,'TL08'!$J$10:$J$224),0),
IF('TL08'!$B$229=M$3,SUMIF('TL08'!$C$238:$C$451,$C288,'TL08'!$J$238:$J$451),0),
IF('TL09'!$B$3=M$3,SUMIF('TL09'!$C$10:$C$224,$C288,'TL09'!$J$10:$J$224),0),
IF('TL09'!$B$229=M$3,SUMIF('TL09'!$C$238:$C$451,$C288,'TL09'!$J$238:$J$451),0),
IF('TL10'!$B$3=M$3,SUMIF('TL10'!$C$10:$C$224,$C288,'TL10'!$J$10:$J$224),0),
IF('TL10'!$B$229=M$3,SUMIF('TL10'!$C$238:$C$451,$C288,'TL10'!$J$238:$J$451),0),
IF('TL11'!$B$3=M$3,SUMIF('TL11'!$C$10:$C$224,$C288,'TL11'!$J$10:$J$224),0),
IF('TL11'!$B$229=M$3,SUMIF('TL11'!$C$238:$C$451,$C288,'TL11'!$J$238:$J$451),0),
IF('TL12'!$B$3=M$3,SUMIF('TL12'!$C$10:$C$224,$C288,'TL12'!$J$10:$J$224),0),
IF('TL12'!$B$229=M$3,SUMIF('TL12'!$C$238:$C$451,$C288,'TL12'!$J$238:$J$451),0),
IF('TL13'!$B$3=M$3,SUMIF('TL13'!$C$10:$C$224,$C288,'TL13'!$J$10:$J$224),0),
IF('TL13'!$B$229=M$3,SUMIF('TL13'!$C$238:$C$451,$C288,'TL13'!$J$238:$J$451),0),
IF('TL14'!$B$3=M$3,SUMIF('TL14'!$C$10:$C$224,$C288,'TL14'!$J$10:$J$224),0),
IF('TL14'!$B$229=M$3,SUMIF('TL14'!$C$238:$C$451,$C288,'TL14'!$J$238:$J$451),0),
IF('TL15'!$B$3=M$3,SUMIF('TL15'!$C$10:$C$224,$C288,'TL15'!$J$10:$J$224),0),
IF('TL15'!$B$229=M$3,SUMIF('TL15'!$C$238:$C$451,$C288,'TL15'!$J$238:$J$451),0),
IF('TL16'!$B$3=M$3,SUMIF('TL16'!$C$10:$C$224,$C288,'TL16'!$J$10:$J$224),0),
IF('TL16'!$B$229=M$3,SUMIF('TL16'!$C$238:$C$451,$C288,'TL16'!$J$238:$J$451),0),
IF('TL17'!$B$3=M$3,SUMIF('TL17'!$C$10:$C$224,$C288,'TL17'!$J$10:$J$224),0),
IF('TL17'!$B$229=M$3,SUMIF('TL17'!$C$238:$C$451,$C288,'TL17'!$J$238:$J$451),0),
IF('TL18'!$B$3=M$3,SUMIF('TL18'!$C$10:$C$224,$C288,'TL18'!$J$10:$J$224),0),
IF('TL18'!$B$229=M$3,SUMIF('TL18'!$C$238:$C$451,$C288,'TL18'!$J$238:$J$451),0),
IF('TL19'!$B$3=M$3,SUMIF('TL19'!$C$10:$C$224,$C288,'TL19'!$J$10:$J$224),0),
IF('TL19'!$B$229=M$3,SUMIF('TL19'!$C$238:$C$451,$C288,'TL19'!$J$238:$J$451),0)
),0)</f>
        <v>0</v>
      </c>
      <c r="N288" s="9">
        <f>IFERROR(SUM(
IF('TL01'!$B$3=N$3,SUMIF('TL01'!$C$10:$C$224,$C288,'TL01'!$J$10:$J$224),0),
IF('TL01'!$B$229=N$3,SUMIF('TL01'!$C$238:$C$451,$C288,'TL01'!$J$238:$J$451),0),
IF('TL02'!$B$3=N$3,SUMIF('TL02'!$C$10:$C$224,$C288,'TL02'!$J$10:$J$224),0),
IF('TL02'!$B$229=N$3,SUMIF('TL02'!$C$238:$C$451,$C288,'TL02'!$J$238:$J$451),0),
IF('TL03'!$B$3=N$3,SUMIF('TL03'!$C$10:$C$224,$C288,'TL03'!$J$10:$J$224),0),
IF('TL03'!$B$229=N$3,SUMIF('TL03'!$C$238:$C$451,$C288,'TL03'!$J$238:$J$451),0),
IF('TL04'!$B$3=N$3,SUMIF('TL04'!$C$10:$C$224,$C288,'TL04'!$J$10:$J$224),0),
IF('TL04'!$B$229=N$3,SUMIF('TL04'!$C$238:$C$451,$C288,'TL04'!$J$238:$J$451),0),
IF('TL05'!$B$3=N$3,SUMIF('TL05'!$C$10:$C$224,$C288,'TL05'!$J$10:$J$224),0),
IF('TL05'!$B$229=N$3,SUMIF('TL05'!$C$238:$C$451,$C288,'TL05'!$J$238:$J$451),0),
IF('TL06'!$B$3=N$3,SUMIF('TL06'!$C$10:$C$224,$C288,'TL06'!$J$10:$J$224),0),
IF('TL06'!$B$229=N$3,SUMIF('TL06'!$C$238:$C$451,$C288,'TL06'!$J$238:$J$451),0),
IF('TL07'!$B$3=N$3,SUMIF('TL07'!$C$10:$C$224,$C288,'TL07'!$J$10:$J$224),0),
IF('TL07'!$B$229=N$3,SUMIF('TL07'!$C$238:$C$451,$C288,'TL07'!$J$238:$J$451),0),
IF('TL08'!$B$3=N$3,SUMIF('TL08'!$C$10:$C$224,$C288,'TL08'!$J$10:$J$224),0),
IF('TL08'!$B$229=N$3,SUMIF('TL08'!$C$238:$C$451,$C288,'TL08'!$J$238:$J$451),0),
IF('TL09'!$B$3=N$3,SUMIF('TL09'!$C$10:$C$224,$C288,'TL09'!$J$10:$J$224),0),
IF('TL09'!$B$229=N$3,SUMIF('TL09'!$C$238:$C$451,$C288,'TL09'!$J$238:$J$451),0),
IF('TL10'!$B$3=N$3,SUMIF('TL10'!$C$10:$C$224,$C288,'TL10'!$J$10:$J$224),0),
IF('TL10'!$B$229=N$3,SUMIF('TL10'!$C$238:$C$451,$C288,'TL10'!$J$238:$J$451),0),
IF('TL11'!$B$3=N$3,SUMIF('TL11'!$C$10:$C$224,$C288,'TL11'!$J$10:$J$224),0),
IF('TL11'!$B$229=N$3,SUMIF('TL11'!$C$238:$C$451,$C288,'TL11'!$J$238:$J$451),0),
IF('TL12'!$B$3=N$3,SUMIF('TL12'!$C$10:$C$224,$C288,'TL12'!$J$10:$J$224),0),
IF('TL12'!$B$229=N$3,SUMIF('TL12'!$C$238:$C$451,$C288,'TL12'!$J$238:$J$451),0),
IF('TL13'!$B$3=N$3,SUMIF('TL13'!$C$10:$C$224,$C288,'TL13'!$J$10:$J$224),0),
IF('TL13'!$B$229=N$3,SUMIF('TL13'!$C$238:$C$451,$C288,'TL13'!$J$238:$J$451),0),
IF('TL14'!$B$3=N$3,SUMIF('TL14'!$C$10:$C$224,$C288,'TL14'!$J$10:$J$224),0),
IF('TL14'!$B$229=N$3,SUMIF('TL14'!$C$238:$C$451,$C288,'TL14'!$J$238:$J$451),0),
IF('TL15'!$B$3=N$3,SUMIF('TL15'!$C$10:$C$224,$C288,'TL15'!$J$10:$J$224),0),
IF('TL15'!$B$229=N$3,SUMIF('TL15'!$C$238:$C$451,$C288,'TL15'!$J$238:$J$451),0),
IF('TL16'!$B$3=N$3,SUMIF('TL16'!$C$10:$C$224,$C288,'TL16'!$J$10:$J$224),0),
IF('TL16'!$B$229=N$3,SUMIF('TL16'!$C$238:$C$451,$C288,'TL16'!$J$238:$J$451),0),
IF('TL17'!$B$3=N$3,SUMIF('TL17'!$C$10:$C$224,$C288,'TL17'!$J$10:$J$224),0),
IF('TL17'!$B$229=N$3,SUMIF('TL17'!$C$238:$C$451,$C288,'TL17'!$J$238:$J$451),0),
IF('TL18'!$B$3=N$3,SUMIF('TL18'!$C$10:$C$224,$C288,'TL18'!$J$10:$J$224),0),
IF('TL18'!$B$229=N$3,SUMIF('TL18'!$C$238:$C$451,$C288,'TL18'!$J$238:$J$451),0),
IF('TL19'!$B$3=N$3,SUMIF('TL19'!$C$10:$C$224,$C288,'TL19'!$J$10:$J$224),0),
IF('TL19'!$B$229=N$3,SUMIF('TL19'!$C$238:$C$451,$C288,'TL19'!$J$238:$J$451),0)
),0)</f>
        <v>0</v>
      </c>
      <c r="O288" s="9">
        <f>IFERROR(SUM(
IF('TL01'!$B$3=O$3,SUMIF('TL01'!$C$10:$C$224,$C288,'TL01'!$J$10:$J$224),0),
IF('TL01'!$B$229=O$3,SUMIF('TL01'!$C$238:$C$451,$C288,'TL01'!$J$238:$J$451),0),
IF('TL02'!$B$3=O$3,SUMIF('TL02'!$C$10:$C$224,$C288,'TL02'!$J$10:$J$224),0),
IF('TL02'!$B$229=O$3,SUMIF('TL02'!$C$238:$C$451,$C288,'TL02'!$J$238:$J$451),0),
IF('TL03'!$B$3=O$3,SUMIF('TL03'!$C$10:$C$224,$C288,'TL03'!$J$10:$J$224),0),
IF('TL03'!$B$229=O$3,SUMIF('TL03'!$C$238:$C$451,$C288,'TL03'!$J$238:$J$451),0),
IF('TL04'!$B$3=O$3,SUMIF('TL04'!$C$10:$C$224,$C288,'TL04'!$J$10:$J$224),0),
IF('TL04'!$B$229=O$3,SUMIF('TL04'!$C$238:$C$451,$C288,'TL04'!$J$238:$J$451),0),
IF('TL05'!$B$3=O$3,SUMIF('TL05'!$C$10:$C$224,$C288,'TL05'!$J$10:$J$224),0),
IF('TL05'!$B$229=O$3,SUMIF('TL05'!$C$238:$C$451,$C288,'TL05'!$J$238:$J$451),0),
IF('TL06'!$B$3=O$3,SUMIF('TL06'!$C$10:$C$224,$C288,'TL06'!$J$10:$J$224),0),
IF('TL06'!$B$229=O$3,SUMIF('TL06'!$C$238:$C$451,$C288,'TL06'!$J$238:$J$451),0),
IF('TL07'!$B$3=O$3,SUMIF('TL07'!$C$10:$C$224,$C288,'TL07'!$J$10:$J$224),0),
IF('TL07'!$B$229=O$3,SUMIF('TL07'!$C$238:$C$451,$C288,'TL07'!$J$238:$J$451),0),
IF('TL08'!$B$3=O$3,SUMIF('TL08'!$C$10:$C$224,$C288,'TL08'!$J$10:$J$224),0),
IF('TL08'!$B$229=O$3,SUMIF('TL08'!$C$238:$C$451,$C288,'TL08'!$J$238:$J$451),0),
IF('TL09'!$B$3=O$3,SUMIF('TL09'!$C$10:$C$224,$C288,'TL09'!$J$10:$J$224),0),
IF('TL09'!$B$229=O$3,SUMIF('TL09'!$C$238:$C$451,$C288,'TL09'!$J$238:$J$451),0),
IF('TL10'!$B$3=O$3,SUMIF('TL10'!$C$10:$C$224,$C288,'TL10'!$J$10:$J$224),0),
IF('TL10'!$B$229=O$3,SUMIF('TL10'!$C$238:$C$451,$C288,'TL10'!$J$238:$J$451),0),
IF('TL11'!$B$3=O$3,SUMIF('TL11'!$C$10:$C$224,$C288,'TL11'!$J$10:$J$224),0),
IF('TL11'!$B$229=O$3,SUMIF('TL11'!$C$238:$C$451,$C288,'TL11'!$J$238:$J$451),0),
IF('TL12'!$B$3=O$3,SUMIF('TL12'!$C$10:$C$224,$C288,'TL12'!$J$10:$J$224),0),
IF('TL12'!$B$229=O$3,SUMIF('TL12'!$C$238:$C$451,$C288,'TL12'!$J$238:$J$451),0),
IF('TL13'!$B$3=O$3,SUMIF('TL13'!$C$10:$C$224,$C288,'TL13'!$J$10:$J$224),0),
IF('TL13'!$B$229=O$3,SUMIF('TL13'!$C$238:$C$451,$C288,'TL13'!$J$238:$J$451),0),
IF('TL14'!$B$3=O$3,SUMIF('TL14'!$C$10:$C$224,$C288,'TL14'!$J$10:$J$224),0),
IF('TL14'!$B$229=O$3,SUMIF('TL14'!$C$238:$C$451,$C288,'TL14'!$J$238:$J$451),0),
IF('TL15'!$B$3=O$3,SUMIF('TL15'!$C$10:$C$224,$C288,'TL15'!$J$10:$J$224),0),
IF('TL15'!$B$229=O$3,SUMIF('TL15'!$C$238:$C$451,$C288,'TL15'!$J$238:$J$451),0),
IF('TL16'!$B$3=O$3,SUMIF('TL16'!$C$10:$C$224,$C288,'TL16'!$J$10:$J$224),0),
IF('TL16'!$B$229=O$3,SUMIF('TL16'!$C$238:$C$451,$C288,'TL16'!$J$238:$J$451),0),
IF('TL17'!$B$3=O$3,SUMIF('TL17'!$C$10:$C$224,$C288,'TL17'!$J$10:$J$224),0),
IF('TL17'!$B$229=O$3,SUMIF('TL17'!$C$238:$C$451,$C288,'TL17'!$J$238:$J$451),0),
IF('TL18'!$B$3=O$3,SUMIF('TL18'!$C$10:$C$224,$C288,'TL18'!$J$10:$J$224),0),
IF('TL18'!$B$229=O$3,SUMIF('TL18'!$C$238:$C$451,$C288,'TL18'!$J$238:$J$451),0),
IF('TL19'!$B$3=O$3,SUMIF('TL19'!$C$10:$C$224,$C288,'TL19'!$J$10:$J$224),0),
IF('TL19'!$B$229=O$3,SUMIF('TL19'!$C$238:$C$451,$C288,'TL19'!$J$238:$J$451),0)
),0)</f>
        <v>0</v>
      </c>
      <c r="P288" s="9">
        <f>IFERROR(SUM(
IF('TL01'!$B$3=P$3,SUMIF('TL01'!$C$10:$C$224,$C288,'TL01'!$J$10:$J$224),0),
IF('TL01'!$B$229=P$3,SUMIF('TL01'!$C$238:$C$451,$C288,'TL01'!$J$238:$J$451),0),
IF('TL02'!$B$3=P$3,SUMIF('TL02'!$C$10:$C$224,$C288,'TL02'!$J$10:$J$224),0),
IF('TL02'!$B$229=P$3,SUMIF('TL02'!$C$238:$C$451,$C288,'TL02'!$J$238:$J$451),0),
IF('TL03'!$B$3=P$3,SUMIF('TL03'!$C$10:$C$224,$C288,'TL03'!$J$10:$J$224),0),
IF('TL03'!$B$229=P$3,SUMIF('TL03'!$C$238:$C$451,$C288,'TL03'!$J$238:$J$451),0),
IF('TL04'!$B$3=P$3,SUMIF('TL04'!$C$10:$C$224,$C288,'TL04'!$J$10:$J$224),0),
IF('TL04'!$B$229=P$3,SUMIF('TL04'!$C$238:$C$451,$C288,'TL04'!$J$238:$J$451),0),
IF('TL05'!$B$3=P$3,SUMIF('TL05'!$C$10:$C$224,$C288,'TL05'!$J$10:$J$224),0),
IF('TL05'!$B$229=P$3,SUMIF('TL05'!$C$238:$C$451,$C288,'TL05'!$J$238:$J$451),0),
IF('TL06'!$B$3=P$3,SUMIF('TL06'!$C$10:$C$224,$C288,'TL06'!$J$10:$J$224),0),
IF('TL06'!$B$229=P$3,SUMIF('TL06'!$C$238:$C$451,$C288,'TL06'!$J$238:$J$451),0),
IF('TL07'!$B$3=P$3,SUMIF('TL07'!$C$10:$C$224,$C288,'TL07'!$J$10:$J$224),0),
IF('TL07'!$B$229=P$3,SUMIF('TL07'!$C$238:$C$451,$C288,'TL07'!$J$238:$J$451),0),
IF('TL08'!$B$3=P$3,SUMIF('TL08'!$C$10:$C$224,$C288,'TL08'!$J$10:$J$224),0),
IF('TL08'!$B$229=P$3,SUMIF('TL08'!$C$238:$C$451,$C288,'TL08'!$J$238:$J$451),0),
IF('TL09'!$B$3=P$3,SUMIF('TL09'!$C$10:$C$224,$C288,'TL09'!$J$10:$J$224),0),
IF('TL09'!$B$229=P$3,SUMIF('TL09'!$C$238:$C$451,$C288,'TL09'!$J$238:$J$451),0),
IF('TL10'!$B$3=P$3,SUMIF('TL10'!$C$10:$C$224,$C288,'TL10'!$J$10:$J$224),0),
IF('TL10'!$B$229=P$3,SUMIF('TL10'!$C$238:$C$451,$C288,'TL10'!$J$238:$J$451),0),
IF('TL11'!$B$3=P$3,SUMIF('TL11'!$C$10:$C$224,$C288,'TL11'!$J$10:$J$224),0),
IF('TL11'!$B$229=P$3,SUMIF('TL11'!$C$238:$C$451,$C288,'TL11'!$J$238:$J$451),0),
IF('TL12'!$B$3=P$3,SUMIF('TL12'!$C$10:$C$224,$C288,'TL12'!$J$10:$J$224),0),
IF('TL12'!$B$229=P$3,SUMIF('TL12'!$C$238:$C$451,$C288,'TL12'!$J$238:$J$451),0),
IF('TL13'!$B$3=P$3,SUMIF('TL13'!$C$10:$C$224,$C288,'TL13'!$J$10:$J$224),0),
IF('TL13'!$B$229=P$3,SUMIF('TL13'!$C$238:$C$451,$C288,'TL13'!$J$238:$J$451),0),
IF('TL14'!$B$3=P$3,SUMIF('TL14'!$C$10:$C$224,$C288,'TL14'!$J$10:$J$224),0),
IF('TL14'!$B$229=P$3,SUMIF('TL14'!$C$238:$C$451,$C288,'TL14'!$J$238:$J$451),0),
IF('TL15'!$B$3=P$3,SUMIF('TL15'!$C$10:$C$224,$C288,'TL15'!$J$10:$J$224),0),
IF('TL15'!$B$229=P$3,SUMIF('TL15'!$C$238:$C$451,$C288,'TL15'!$J$238:$J$451),0),
IF('TL16'!$B$3=P$3,SUMIF('TL16'!$C$10:$C$224,$C288,'TL16'!$J$10:$J$224),0),
IF('TL16'!$B$229=P$3,SUMIF('TL16'!$C$238:$C$451,$C288,'TL16'!$J$238:$J$451),0),
IF('TL17'!$B$3=P$3,SUMIF('TL17'!$C$10:$C$224,$C288,'TL17'!$J$10:$J$224),0),
IF('TL17'!$B$229=P$3,SUMIF('TL17'!$C$238:$C$451,$C288,'TL17'!$J$238:$J$451),0),
IF('TL18'!$B$3=P$3,SUMIF('TL18'!$C$10:$C$224,$C288,'TL18'!$J$10:$J$224),0),
IF('TL18'!$B$229=P$3,SUMIF('TL18'!$C$238:$C$451,$C288,'TL18'!$J$238:$J$451),0),
IF('TL19'!$B$3=P$3,SUMIF('TL19'!$C$10:$C$224,$C288,'TL19'!$J$10:$J$224),0),
IF('TL19'!$B$229=P$3,SUMIF('TL19'!$C$238:$C$451,$C288,'TL19'!$J$238:$J$451),0)
),0)</f>
        <v>0</v>
      </c>
      <c r="Q288" s="9">
        <f>IFERROR(SUM(
IF('TL01'!$B$3=Q$3,SUMIF('TL01'!$C$10:$C$224,$C288,'TL01'!$J$10:$J$224),0),
IF('TL01'!$B$229=Q$3,SUMIF('TL01'!$C$238:$C$451,$C288,'TL01'!$J$238:$J$451),0),
IF('TL02'!$B$3=Q$3,SUMIF('TL02'!$C$10:$C$224,$C288,'TL02'!$J$10:$J$224),0),
IF('TL02'!$B$229=Q$3,SUMIF('TL02'!$C$238:$C$451,$C288,'TL02'!$J$238:$J$451),0),
IF('TL03'!$B$3=Q$3,SUMIF('TL03'!$C$10:$C$224,$C288,'TL03'!$J$10:$J$224),0),
IF('TL03'!$B$229=Q$3,SUMIF('TL03'!$C$238:$C$451,$C288,'TL03'!$J$238:$J$451),0),
IF('TL04'!$B$3=Q$3,SUMIF('TL04'!$C$10:$C$224,$C288,'TL04'!$J$10:$J$224),0),
IF('TL04'!$B$229=Q$3,SUMIF('TL04'!$C$238:$C$451,$C288,'TL04'!$J$238:$J$451),0),
IF('TL05'!$B$3=Q$3,SUMIF('TL05'!$C$10:$C$224,$C288,'TL05'!$J$10:$J$224),0),
IF('TL05'!$B$229=Q$3,SUMIF('TL05'!$C$238:$C$451,$C288,'TL05'!$J$238:$J$451),0),
IF('TL06'!$B$3=Q$3,SUMIF('TL06'!$C$10:$C$224,$C288,'TL06'!$J$10:$J$224),0),
IF('TL06'!$B$229=Q$3,SUMIF('TL06'!$C$238:$C$451,$C288,'TL06'!$J$238:$J$451),0),
IF('TL07'!$B$3=Q$3,SUMIF('TL07'!$C$10:$C$224,$C288,'TL07'!$J$10:$J$224),0),
IF('TL07'!$B$229=Q$3,SUMIF('TL07'!$C$238:$C$451,$C288,'TL07'!$J$238:$J$451),0),
IF('TL08'!$B$3=Q$3,SUMIF('TL08'!$C$10:$C$224,$C288,'TL08'!$J$10:$J$224),0),
IF('TL08'!$B$229=Q$3,SUMIF('TL08'!$C$238:$C$451,$C288,'TL08'!$J$238:$J$451),0),
IF('TL09'!$B$3=Q$3,SUMIF('TL09'!$C$10:$C$224,$C288,'TL09'!$J$10:$J$224),0),
IF('TL09'!$B$229=Q$3,SUMIF('TL09'!$C$238:$C$451,$C288,'TL09'!$J$238:$J$451),0),
IF('TL10'!$B$3=Q$3,SUMIF('TL10'!$C$10:$C$224,$C288,'TL10'!$J$10:$J$224),0),
IF('TL10'!$B$229=Q$3,SUMIF('TL10'!$C$238:$C$451,$C288,'TL10'!$J$238:$J$451),0),
IF('TL11'!$B$3=Q$3,SUMIF('TL11'!$C$10:$C$224,$C288,'TL11'!$J$10:$J$224),0),
IF('TL11'!$B$229=Q$3,SUMIF('TL11'!$C$238:$C$451,$C288,'TL11'!$J$238:$J$451),0),
IF('TL12'!$B$3=Q$3,SUMIF('TL12'!$C$10:$C$224,$C288,'TL12'!$J$10:$J$224),0),
IF('TL12'!$B$229=Q$3,SUMIF('TL12'!$C$238:$C$451,$C288,'TL12'!$J$238:$J$451),0),
IF('TL13'!$B$3=Q$3,SUMIF('TL13'!$C$10:$C$224,$C288,'TL13'!$J$10:$J$224),0),
IF('TL13'!$B$229=Q$3,SUMIF('TL13'!$C$238:$C$451,$C288,'TL13'!$J$238:$J$451),0),
IF('TL14'!$B$3=Q$3,SUMIF('TL14'!$C$10:$C$224,$C288,'TL14'!$J$10:$J$224),0),
IF('TL14'!$B$229=Q$3,SUMIF('TL14'!$C$238:$C$451,$C288,'TL14'!$J$238:$J$451),0),
IF('TL15'!$B$3=Q$3,SUMIF('TL15'!$C$10:$C$224,$C288,'TL15'!$J$10:$J$224),0),
IF('TL15'!$B$229=Q$3,SUMIF('TL15'!$C$238:$C$451,$C288,'TL15'!$J$238:$J$451),0),
IF('TL16'!$B$3=Q$3,SUMIF('TL16'!$C$10:$C$224,$C288,'TL16'!$J$10:$J$224),0),
IF('TL16'!$B$229=Q$3,SUMIF('TL16'!$C$238:$C$451,$C288,'TL16'!$J$238:$J$451),0),
IF('TL17'!$B$3=Q$3,SUMIF('TL17'!$C$10:$C$224,$C288,'TL17'!$J$10:$J$224),0),
IF('TL17'!$B$229=Q$3,SUMIF('TL17'!$C$238:$C$451,$C288,'TL17'!$J$238:$J$451),0),
IF('TL18'!$B$3=Q$3,SUMIF('TL18'!$C$10:$C$224,$C288,'TL18'!$J$10:$J$224),0),
IF('TL18'!$B$229=Q$3,SUMIF('TL18'!$C$238:$C$451,$C288,'TL18'!$J$238:$J$451),0),
IF('TL19'!$B$3=Q$3,SUMIF('TL19'!$C$10:$C$224,$C288,'TL19'!$J$10:$J$224),0),
IF('TL19'!$B$229=Q$3,SUMIF('TL19'!$C$238:$C$451,$C288,'TL19'!$J$238:$J$451),0)
),0)</f>
        <v>0</v>
      </c>
      <c r="R288" s="9">
        <f>IFERROR(
SUM(
SUMIF('TL01'!C:C,C288,'TL01'!J:J),
SUMIF('TL02'!C:C,C288,'TL02'!J:J),
SUMIF('TL03'!C:C,C288,'TL03'!J:J),
SUMIF('TL04'!C:C,C288,'TL04'!J:J),
SUMIF('TL05'!C:C,C288,'TL05'!J:J),
SUMIF('TL06'!C:C,C288,'TL06'!J:J),
SUMIF('TL07'!C:C,C288,'TL07'!J:J),
SUMIF('TL08'!C:C,C288,'TL08'!J:J),
SUMIF('TL09'!C:C,C288,'TL09'!J:J),
SUMIF('TL10'!C:C,C288,'TL10'!J:J),
SUMIF('TL11'!C:C,C288,'TL11'!J:J),
SUMIF('TL12'!C:C,C288,'TL12'!J:J),
SUMIF('TL13'!C:C,C288,'TL13'!J:J),
SUMIF('TL14'!C:C,C288,'TL14'!J:J),
SUMIF('TL15'!C:C,C288,'TL15'!J:J),
SUMIF('TL16'!C:C,C288,'TL16'!J:J),
SUMIF('TL17'!C:C,C288,'TL17'!J:J),
SUMIF('TL18'!C:C,C288,'TL18'!J:J),SUMIF('TL19'!C:C,C288,'TL19'!J:J))
,0)</f>
        <v>0</v>
      </c>
      <c r="S288" s="17">
        <f>IFERROR(__xludf.DUMMYFUNCTION("IFERROR(VLOOKUP(C288,
IMPORTRANGE(""1wULbzX32WdYsx-lj2U3uUNBBe2INVIRDtcK0d-Dvl90"",
""26-27!C:G""),
5,
FALSE),
"""")"),198.0)</f>
        <v>198</v>
      </c>
      <c r="T288" s="9"/>
      <c r="U288" s="92">
        <f t="shared" si="2"/>
        <v>0</v>
      </c>
      <c r="V288" s="93">
        <f t="shared" si="3"/>
        <v>0</v>
      </c>
    </row>
    <row r="289" ht="15.75" hidden="1" customHeight="1">
      <c r="A289" s="4"/>
      <c r="B289" s="125" t="s">
        <v>9</v>
      </c>
      <c r="C289" s="4" t="s">
        <v>997</v>
      </c>
      <c r="D289" s="6"/>
      <c r="E289" s="9"/>
      <c r="F289" s="4" t="s">
        <v>343</v>
      </c>
      <c r="G289" s="9"/>
      <c r="H289" s="9"/>
      <c r="I289" s="1"/>
      <c r="J289" s="9">
        <f>IFERROR(SUM(
IF('TL01'!$B$3=J$3,SUMIF('TL01'!$C$10:$C$224,$C289,'TL01'!$J$10:$J$224),0),
IF('TL01'!$B$229=J$3,SUMIF('TL01'!$C$238:$C$451,$C289,'TL01'!$J$238:$J$451),0),
IF('TL02'!$B$3=J$3,SUMIF('TL02'!$C$10:$C$224,$C289,'TL02'!$J$10:$J$224),0),
IF('TL02'!$B$229=J$3,SUMIF('TL02'!$C$238:$C$451,$C289,'TL02'!$J$238:$J$451),0),
IF('TL03'!$B$3=J$3,SUMIF('TL03'!$C$10:$C$224,$C289,'TL03'!$J$10:$J$224),0),
IF('TL03'!$B$229=J$3,SUMIF('TL03'!$C$238:$C$451,$C289,'TL03'!$J$238:$J$451),0),
IF('TL04'!$B$3=J$3,SUMIF('TL04'!$C$10:$C$224,$C289,'TL04'!$J$10:$J$224),0),
IF('TL04'!$B$229=J$3,SUMIF('TL04'!$C$238:$C$451,$C289,'TL04'!$J$238:$J$451),0),
IF('TL05'!$B$3=J$3,SUMIF('TL05'!$C$10:$C$224,$C289,'TL05'!$J$10:$J$224),0),
IF('TL05'!$B$229=J$3,SUMIF('TL05'!$C$238:$C$451,$C289,'TL05'!$J$238:$J$451),0),
IF('TL06'!$B$3=J$3,SUMIF('TL06'!$C$10:$C$224,$C289,'TL06'!$J$10:$J$224),0),
IF('TL06'!$B$229=J$3,SUMIF('TL06'!$C$238:$C$451,$C289,'TL06'!$J$238:$J$451),0),
IF('TL07'!$B$3=J$3,SUMIF('TL07'!$C$10:$C$224,$C289,'TL07'!$J$10:$J$224),0),
IF('TL07'!$B$229=J$3,SUMIF('TL07'!$C$238:$C$451,$C289,'TL07'!$J$238:$J$451),0),
IF('TL08'!$B$3=J$3,SUMIF('TL08'!$C$10:$C$224,$C289,'TL08'!$J$10:$J$224),0),
IF('TL08'!$B$229=J$3,SUMIF('TL08'!$C$238:$C$451,$C289,'TL08'!$J$238:$J$451),0),
IF('TL09'!$B$3=J$3,SUMIF('TL09'!$C$10:$C$224,$C289,'TL09'!$J$10:$J$224),0),
IF('TL09'!$B$229=J$3,SUMIF('TL09'!$C$238:$C$451,$C289,'TL09'!$J$238:$J$451),0),
IF('TL10'!$B$3=J$3,SUMIF('TL10'!$C$10:$C$224,$C289,'TL10'!$J$10:$J$224),0),
IF('TL10'!$B$229=J$3,SUMIF('TL10'!$C$238:$C$451,$C289,'TL10'!$J$238:$J$451),0),
IF('TL11'!$B$3=J$3,SUMIF('TL11'!$C$10:$C$224,$C289,'TL11'!$J$10:$J$224),0),
IF('TL11'!$B$229=J$3,SUMIF('TL11'!$C$238:$C$451,$C289,'TL11'!$J$238:$J$451),0),
IF('TL12'!$B$3=J$3,SUMIF('TL12'!$C$10:$C$224,$C289,'TL12'!$J$10:$J$224),0),
IF('TL12'!$B$229=J$3,SUMIF('TL12'!$C$238:$C$451,$C289,'TL12'!$J$238:$J$451),0),
IF('TL13'!$B$3=J$3,SUMIF('TL13'!$C$10:$C$224,$C289,'TL13'!$J$10:$J$224),0),
IF('TL13'!$B$229=J$3,SUMIF('TL13'!$C$238:$C$451,$C289,'TL13'!$J$238:$J$451),0),
IF('TL14'!$B$3=J$3,SUMIF('TL14'!$C$10:$C$224,$C289,'TL14'!$J$10:$J$224),0),
IF('TL14'!$B$229=J$3,SUMIF('TL14'!$C$238:$C$451,$C289,'TL14'!$J$238:$J$451),0),
IF('TL15'!$B$3=J$3,SUMIF('TL15'!$C$10:$C$224,$C289,'TL15'!$J$10:$J$224),0),
IF('TL15'!$B$229=J$3,SUMIF('TL15'!$C$238:$C$451,$C289,'TL15'!$J$238:$J$451),0),
IF('TL16'!$B$3=J$3,SUMIF('TL16'!$C$10:$C$224,$C289,'TL16'!$J$10:$J$224),0),
IF('TL16'!$B$229=J$3,SUMIF('TL16'!$C$238:$C$451,$C289,'TL16'!$J$238:$J$451),0),
IF('TL17'!$B$3=J$3,SUMIF('TL17'!$C$10:$C$224,$C289,'TL17'!$J$10:$J$224),0),
IF('TL17'!$B$229=J$3,SUMIF('TL17'!$C$238:$C$451,$C289,'TL17'!$J$238:$J$451),0),
IF('TL18'!$B$3=J$3,SUMIF('TL18'!$C$10:$C$224,$C289,'TL18'!$J$10:$J$224),0),
IF('TL18'!$B$229=J$3,SUMIF('TL18'!$C$238:$C$451,$C289,'TL18'!$J$238:$J$451),0),
IF('TL19'!$B$3=J$3,SUMIF('TL19'!$C$10:$C$224,$C289,'TL19'!$J$10:$J$224),0),
IF('TL19'!$B$229=J$3,SUMIF('TL19'!$C$238:$C$451,$C289,'TL19'!$J$238:$J$451),0)
),0)</f>
        <v>0</v>
      </c>
      <c r="K289" s="9">
        <f>IFERROR(SUM(
IF('TL01'!$B$3=K$3,SUMIF('TL01'!$C$10:$C$224,$C289,'TL01'!$J$10:$J$224),0),
IF('TL01'!$B$229=K$3,SUMIF('TL01'!$C$238:$C$451,$C289,'TL01'!$J$238:$J$451),0),
IF('TL02'!$B$3=K$3,SUMIF('TL02'!$C$10:$C$224,$C289,'TL02'!$J$10:$J$224),0),
IF('TL02'!$B$229=K$3,SUMIF('TL02'!$C$238:$C$451,$C289,'TL02'!$J$238:$J$451),0),
IF('TL03'!$B$3=K$3,SUMIF('TL03'!$C$10:$C$224,$C289,'TL03'!$J$10:$J$224),0),
IF('TL03'!$B$229=K$3,SUMIF('TL03'!$C$238:$C$451,$C289,'TL03'!$J$238:$J$451),0),
IF('TL04'!$B$3=K$3,SUMIF('TL04'!$C$10:$C$224,$C289,'TL04'!$J$10:$J$224),0),
IF('TL04'!$B$229=K$3,SUMIF('TL04'!$C$238:$C$451,$C289,'TL04'!$J$238:$J$451),0),
IF('TL05'!$B$3=K$3,SUMIF('TL05'!$C$10:$C$224,$C289,'TL05'!$J$10:$J$224),0),
IF('TL05'!$B$229=K$3,SUMIF('TL05'!$C$238:$C$451,$C289,'TL05'!$J$238:$J$451),0),
IF('TL06'!$B$3=K$3,SUMIF('TL06'!$C$10:$C$224,$C289,'TL06'!$J$10:$J$224),0),
IF('TL06'!$B$229=K$3,SUMIF('TL06'!$C$238:$C$451,$C289,'TL06'!$J$238:$J$451),0),
IF('TL07'!$B$3=K$3,SUMIF('TL07'!$C$10:$C$224,$C289,'TL07'!$J$10:$J$224),0),
IF('TL07'!$B$229=K$3,SUMIF('TL07'!$C$238:$C$451,$C289,'TL07'!$J$238:$J$451),0),
IF('TL08'!$B$3=K$3,SUMIF('TL08'!$C$10:$C$224,$C289,'TL08'!$J$10:$J$224),0),
IF('TL08'!$B$229=K$3,SUMIF('TL08'!$C$238:$C$451,$C289,'TL08'!$J$238:$J$451),0),
IF('TL09'!$B$3=K$3,SUMIF('TL09'!$C$10:$C$224,$C289,'TL09'!$J$10:$J$224),0),
IF('TL09'!$B$229=K$3,SUMIF('TL09'!$C$238:$C$451,$C289,'TL09'!$J$238:$J$451),0),
IF('TL10'!$B$3=K$3,SUMIF('TL10'!$C$10:$C$224,$C289,'TL10'!$J$10:$J$224),0),
IF('TL10'!$B$229=K$3,SUMIF('TL10'!$C$238:$C$451,$C289,'TL10'!$J$238:$J$451),0),
IF('TL11'!$B$3=K$3,SUMIF('TL11'!$C$10:$C$224,$C289,'TL11'!$J$10:$J$224),0),
IF('TL11'!$B$229=K$3,SUMIF('TL11'!$C$238:$C$451,$C289,'TL11'!$J$238:$J$451),0),
IF('TL12'!$B$3=K$3,SUMIF('TL12'!$C$10:$C$224,$C289,'TL12'!$J$10:$J$224),0),
IF('TL12'!$B$229=K$3,SUMIF('TL12'!$C$238:$C$451,$C289,'TL12'!$J$238:$J$451),0),
IF('TL13'!$B$3=K$3,SUMIF('TL13'!$C$10:$C$224,$C289,'TL13'!$J$10:$J$224),0),
IF('TL13'!$B$229=K$3,SUMIF('TL13'!$C$238:$C$451,$C289,'TL13'!$J$238:$J$451),0),
IF('TL14'!$B$3=K$3,SUMIF('TL14'!$C$10:$C$224,$C289,'TL14'!$J$10:$J$224),0),
IF('TL14'!$B$229=K$3,SUMIF('TL14'!$C$238:$C$451,$C289,'TL14'!$J$238:$J$451),0),
IF('TL15'!$B$3=K$3,SUMIF('TL15'!$C$10:$C$224,$C289,'TL15'!$J$10:$J$224),0),
IF('TL15'!$B$229=K$3,SUMIF('TL15'!$C$238:$C$451,$C289,'TL15'!$J$238:$J$451),0),
IF('TL16'!$B$3=K$3,SUMIF('TL16'!$C$10:$C$224,$C289,'TL16'!$J$10:$J$224),0),
IF('TL16'!$B$229=K$3,SUMIF('TL16'!$C$238:$C$451,$C289,'TL16'!$J$238:$J$451),0),
IF('TL17'!$B$3=K$3,SUMIF('TL17'!$C$10:$C$224,$C289,'TL17'!$J$10:$J$224),0),
IF('TL17'!$B$229=K$3,SUMIF('TL17'!$C$238:$C$451,$C289,'TL17'!$J$238:$J$451),0),
IF('TL18'!$B$3=K$3,SUMIF('TL18'!$C$10:$C$224,$C289,'TL18'!$J$10:$J$224),0),
IF('TL18'!$B$229=K$3,SUMIF('TL18'!$C$238:$C$451,$C289,'TL18'!$J$238:$J$451),0),
IF('TL19'!$B$3=K$3,SUMIF('TL19'!$C$10:$C$224,$C289,'TL19'!$J$10:$J$224),0),
IF('TL19'!$B$229=K$3,SUMIF('TL19'!$C$238:$C$451,$C289,'TL19'!$J$238:$J$451),0)
),0)</f>
        <v>0</v>
      </c>
      <c r="L289" s="9">
        <f>IFERROR(SUM(
IF('TL01'!$B$3=L$3,SUMIF('TL01'!$C$10:$C$224,$C289,'TL01'!$J$10:$J$224),0),
IF('TL01'!$B$229=L$3,SUMIF('TL01'!$C$238:$C$451,$C289,'TL01'!$J$238:$J$451),0),
IF('TL02'!$B$3=L$3,SUMIF('TL02'!$C$10:$C$224,$C289,'TL02'!$J$10:$J$224),0),
IF('TL02'!$B$229=L$3,SUMIF('TL02'!$C$238:$C$451,$C289,'TL02'!$J$238:$J$451),0),
IF('TL03'!$B$3=L$3,SUMIF('TL03'!$C$10:$C$224,$C289,'TL03'!$J$10:$J$224),0),
IF('TL03'!$B$229=L$3,SUMIF('TL03'!$C$238:$C$451,$C289,'TL03'!$J$238:$J$451),0),
IF('TL04'!$B$3=L$3,SUMIF('TL04'!$C$10:$C$224,$C289,'TL04'!$J$10:$J$224),0),
IF('TL04'!$B$229=L$3,SUMIF('TL04'!$C$238:$C$451,$C289,'TL04'!$J$238:$J$451),0),
IF('TL05'!$B$3=L$3,SUMIF('TL05'!$C$10:$C$224,$C289,'TL05'!$J$10:$J$224),0),
IF('TL05'!$B$229=L$3,SUMIF('TL05'!$C$238:$C$451,$C289,'TL05'!$J$238:$J$451),0),
IF('TL06'!$B$3=L$3,SUMIF('TL06'!$C$10:$C$224,$C289,'TL06'!$J$10:$J$224),0),
IF('TL06'!$B$229=L$3,SUMIF('TL06'!$C$238:$C$451,$C289,'TL06'!$J$238:$J$451),0),
IF('TL07'!$B$3=L$3,SUMIF('TL07'!$C$10:$C$224,$C289,'TL07'!$J$10:$J$224),0),
IF('TL07'!$B$229=L$3,SUMIF('TL07'!$C$238:$C$451,$C289,'TL07'!$J$238:$J$451),0),
IF('TL08'!$B$3=L$3,SUMIF('TL08'!$C$10:$C$224,$C289,'TL08'!$J$10:$J$224),0),
IF('TL08'!$B$229=L$3,SUMIF('TL08'!$C$238:$C$451,$C289,'TL08'!$J$238:$J$451),0),
IF('TL09'!$B$3=L$3,SUMIF('TL09'!$C$10:$C$224,$C289,'TL09'!$J$10:$J$224),0),
IF('TL09'!$B$229=L$3,SUMIF('TL09'!$C$238:$C$451,$C289,'TL09'!$J$238:$J$451),0),
IF('TL10'!$B$3=L$3,SUMIF('TL10'!$C$10:$C$224,$C289,'TL10'!$J$10:$J$224),0),
IF('TL10'!$B$229=L$3,SUMIF('TL10'!$C$238:$C$451,$C289,'TL10'!$J$238:$J$451),0),
IF('TL11'!$B$3=L$3,SUMIF('TL11'!$C$10:$C$224,$C289,'TL11'!$J$10:$J$224),0),
IF('TL11'!$B$229=L$3,SUMIF('TL11'!$C$238:$C$451,$C289,'TL11'!$J$238:$J$451),0),
IF('TL12'!$B$3=L$3,SUMIF('TL12'!$C$10:$C$224,$C289,'TL12'!$J$10:$J$224),0),
IF('TL12'!$B$229=L$3,SUMIF('TL12'!$C$238:$C$451,$C289,'TL12'!$J$238:$J$451),0),
IF('TL13'!$B$3=L$3,SUMIF('TL13'!$C$10:$C$224,$C289,'TL13'!$J$10:$J$224),0),
IF('TL13'!$B$229=L$3,SUMIF('TL13'!$C$238:$C$451,$C289,'TL13'!$J$238:$J$451),0),
IF('TL14'!$B$3=L$3,SUMIF('TL14'!$C$10:$C$224,$C289,'TL14'!$J$10:$J$224),0),
IF('TL14'!$B$229=L$3,SUMIF('TL14'!$C$238:$C$451,$C289,'TL14'!$J$238:$J$451),0),
IF('TL15'!$B$3=L$3,SUMIF('TL15'!$C$10:$C$224,$C289,'TL15'!$J$10:$J$224),0),
IF('TL15'!$B$229=L$3,SUMIF('TL15'!$C$238:$C$451,$C289,'TL15'!$J$238:$J$451),0),
IF('TL16'!$B$3=L$3,SUMIF('TL16'!$C$10:$C$224,$C289,'TL16'!$J$10:$J$224),0),
IF('TL16'!$B$229=L$3,SUMIF('TL16'!$C$238:$C$451,$C289,'TL16'!$J$238:$J$451),0),
IF('TL17'!$B$3=L$3,SUMIF('TL17'!$C$10:$C$224,$C289,'TL17'!$J$10:$J$224),0),
IF('TL17'!$B$229=L$3,SUMIF('TL17'!$C$238:$C$451,$C289,'TL17'!$J$238:$J$451),0),
IF('TL18'!$B$3=L$3,SUMIF('TL18'!$C$10:$C$224,$C289,'TL18'!$J$10:$J$224),0),
IF('TL18'!$B$229=L$3,SUMIF('TL18'!$C$238:$C$451,$C289,'TL18'!$J$238:$J$451),0),
IF('TL19'!$B$3=L$3,SUMIF('TL19'!$C$10:$C$224,$C289,'TL19'!$J$10:$J$224),0),
IF('TL19'!$B$229=L$3,SUMIF('TL19'!$C$238:$C$451,$C289,'TL19'!$J$238:$J$451),0)
),0)</f>
        <v>0</v>
      </c>
      <c r="M289" s="9">
        <f>IFERROR(SUM(
IF('TL01'!$B$3=M$3,SUMIF('TL01'!$C$10:$C$224,$C289,'TL01'!$J$10:$J$224),0),
IF('TL01'!$B$229=M$3,SUMIF('TL01'!$C$238:$C$451,$C289,'TL01'!$J$238:$J$451),0),
IF('TL02'!$B$3=M$3,SUMIF('TL02'!$C$10:$C$224,$C289,'TL02'!$J$10:$J$224),0),
IF('TL02'!$B$229=M$3,SUMIF('TL02'!$C$238:$C$451,$C289,'TL02'!$J$238:$J$451),0),
IF('TL03'!$B$3=M$3,SUMIF('TL03'!$C$10:$C$224,$C289,'TL03'!$J$10:$J$224),0),
IF('TL03'!$B$229=M$3,SUMIF('TL03'!$C$238:$C$451,$C289,'TL03'!$J$238:$J$451),0),
IF('TL04'!$B$3=M$3,SUMIF('TL04'!$C$10:$C$224,$C289,'TL04'!$J$10:$J$224),0),
IF('TL04'!$B$229=M$3,SUMIF('TL04'!$C$238:$C$451,$C289,'TL04'!$J$238:$J$451),0),
IF('TL05'!$B$3=M$3,SUMIF('TL05'!$C$10:$C$224,$C289,'TL05'!$J$10:$J$224),0),
IF('TL05'!$B$229=M$3,SUMIF('TL05'!$C$238:$C$451,$C289,'TL05'!$J$238:$J$451),0),
IF('TL06'!$B$3=M$3,SUMIF('TL06'!$C$10:$C$224,$C289,'TL06'!$J$10:$J$224),0),
IF('TL06'!$B$229=M$3,SUMIF('TL06'!$C$238:$C$451,$C289,'TL06'!$J$238:$J$451),0),
IF('TL07'!$B$3=M$3,SUMIF('TL07'!$C$10:$C$224,$C289,'TL07'!$J$10:$J$224),0),
IF('TL07'!$B$229=M$3,SUMIF('TL07'!$C$238:$C$451,$C289,'TL07'!$J$238:$J$451),0),
IF('TL08'!$B$3=M$3,SUMIF('TL08'!$C$10:$C$224,$C289,'TL08'!$J$10:$J$224),0),
IF('TL08'!$B$229=M$3,SUMIF('TL08'!$C$238:$C$451,$C289,'TL08'!$J$238:$J$451),0),
IF('TL09'!$B$3=M$3,SUMIF('TL09'!$C$10:$C$224,$C289,'TL09'!$J$10:$J$224),0),
IF('TL09'!$B$229=M$3,SUMIF('TL09'!$C$238:$C$451,$C289,'TL09'!$J$238:$J$451),0),
IF('TL10'!$B$3=M$3,SUMIF('TL10'!$C$10:$C$224,$C289,'TL10'!$J$10:$J$224),0),
IF('TL10'!$B$229=M$3,SUMIF('TL10'!$C$238:$C$451,$C289,'TL10'!$J$238:$J$451),0),
IF('TL11'!$B$3=M$3,SUMIF('TL11'!$C$10:$C$224,$C289,'TL11'!$J$10:$J$224),0),
IF('TL11'!$B$229=M$3,SUMIF('TL11'!$C$238:$C$451,$C289,'TL11'!$J$238:$J$451),0),
IF('TL12'!$B$3=M$3,SUMIF('TL12'!$C$10:$C$224,$C289,'TL12'!$J$10:$J$224),0),
IF('TL12'!$B$229=M$3,SUMIF('TL12'!$C$238:$C$451,$C289,'TL12'!$J$238:$J$451),0),
IF('TL13'!$B$3=M$3,SUMIF('TL13'!$C$10:$C$224,$C289,'TL13'!$J$10:$J$224),0),
IF('TL13'!$B$229=M$3,SUMIF('TL13'!$C$238:$C$451,$C289,'TL13'!$J$238:$J$451),0),
IF('TL14'!$B$3=M$3,SUMIF('TL14'!$C$10:$C$224,$C289,'TL14'!$J$10:$J$224),0),
IF('TL14'!$B$229=M$3,SUMIF('TL14'!$C$238:$C$451,$C289,'TL14'!$J$238:$J$451),0),
IF('TL15'!$B$3=M$3,SUMIF('TL15'!$C$10:$C$224,$C289,'TL15'!$J$10:$J$224),0),
IF('TL15'!$B$229=M$3,SUMIF('TL15'!$C$238:$C$451,$C289,'TL15'!$J$238:$J$451),0),
IF('TL16'!$B$3=M$3,SUMIF('TL16'!$C$10:$C$224,$C289,'TL16'!$J$10:$J$224),0),
IF('TL16'!$B$229=M$3,SUMIF('TL16'!$C$238:$C$451,$C289,'TL16'!$J$238:$J$451),0),
IF('TL17'!$B$3=M$3,SUMIF('TL17'!$C$10:$C$224,$C289,'TL17'!$J$10:$J$224),0),
IF('TL17'!$B$229=M$3,SUMIF('TL17'!$C$238:$C$451,$C289,'TL17'!$J$238:$J$451),0),
IF('TL18'!$B$3=M$3,SUMIF('TL18'!$C$10:$C$224,$C289,'TL18'!$J$10:$J$224),0),
IF('TL18'!$B$229=M$3,SUMIF('TL18'!$C$238:$C$451,$C289,'TL18'!$J$238:$J$451),0),
IF('TL19'!$B$3=M$3,SUMIF('TL19'!$C$10:$C$224,$C289,'TL19'!$J$10:$J$224),0),
IF('TL19'!$B$229=M$3,SUMIF('TL19'!$C$238:$C$451,$C289,'TL19'!$J$238:$J$451),0)
),0)</f>
        <v>0</v>
      </c>
      <c r="N289" s="9">
        <f>IFERROR(SUM(
IF('TL01'!$B$3=N$3,SUMIF('TL01'!$C$10:$C$224,$C289,'TL01'!$J$10:$J$224),0),
IF('TL01'!$B$229=N$3,SUMIF('TL01'!$C$238:$C$451,$C289,'TL01'!$J$238:$J$451),0),
IF('TL02'!$B$3=N$3,SUMIF('TL02'!$C$10:$C$224,$C289,'TL02'!$J$10:$J$224),0),
IF('TL02'!$B$229=N$3,SUMIF('TL02'!$C$238:$C$451,$C289,'TL02'!$J$238:$J$451),0),
IF('TL03'!$B$3=N$3,SUMIF('TL03'!$C$10:$C$224,$C289,'TL03'!$J$10:$J$224),0),
IF('TL03'!$B$229=N$3,SUMIF('TL03'!$C$238:$C$451,$C289,'TL03'!$J$238:$J$451),0),
IF('TL04'!$B$3=N$3,SUMIF('TL04'!$C$10:$C$224,$C289,'TL04'!$J$10:$J$224),0),
IF('TL04'!$B$229=N$3,SUMIF('TL04'!$C$238:$C$451,$C289,'TL04'!$J$238:$J$451),0),
IF('TL05'!$B$3=N$3,SUMIF('TL05'!$C$10:$C$224,$C289,'TL05'!$J$10:$J$224),0),
IF('TL05'!$B$229=N$3,SUMIF('TL05'!$C$238:$C$451,$C289,'TL05'!$J$238:$J$451),0),
IF('TL06'!$B$3=N$3,SUMIF('TL06'!$C$10:$C$224,$C289,'TL06'!$J$10:$J$224),0),
IF('TL06'!$B$229=N$3,SUMIF('TL06'!$C$238:$C$451,$C289,'TL06'!$J$238:$J$451),0),
IF('TL07'!$B$3=N$3,SUMIF('TL07'!$C$10:$C$224,$C289,'TL07'!$J$10:$J$224),0),
IF('TL07'!$B$229=N$3,SUMIF('TL07'!$C$238:$C$451,$C289,'TL07'!$J$238:$J$451),0),
IF('TL08'!$B$3=N$3,SUMIF('TL08'!$C$10:$C$224,$C289,'TL08'!$J$10:$J$224),0),
IF('TL08'!$B$229=N$3,SUMIF('TL08'!$C$238:$C$451,$C289,'TL08'!$J$238:$J$451),0),
IF('TL09'!$B$3=N$3,SUMIF('TL09'!$C$10:$C$224,$C289,'TL09'!$J$10:$J$224),0),
IF('TL09'!$B$229=N$3,SUMIF('TL09'!$C$238:$C$451,$C289,'TL09'!$J$238:$J$451),0),
IF('TL10'!$B$3=N$3,SUMIF('TL10'!$C$10:$C$224,$C289,'TL10'!$J$10:$J$224),0),
IF('TL10'!$B$229=N$3,SUMIF('TL10'!$C$238:$C$451,$C289,'TL10'!$J$238:$J$451),0),
IF('TL11'!$B$3=N$3,SUMIF('TL11'!$C$10:$C$224,$C289,'TL11'!$J$10:$J$224),0),
IF('TL11'!$B$229=N$3,SUMIF('TL11'!$C$238:$C$451,$C289,'TL11'!$J$238:$J$451),0),
IF('TL12'!$B$3=N$3,SUMIF('TL12'!$C$10:$C$224,$C289,'TL12'!$J$10:$J$224),0),
IF('TL12'!$B$229=N$3,SUMIF('TL12'!$C$238:$C$451,$C289,'TL12'!$J$238:$J$451),0),
IF('TL13'!$B$3=N$3,SUMIF('TL13'!$C$10:$C$224,$C289,'TL13'!$J$10:$J$224),0),
IF('TL13'!$B$229=N$3,SUMIF('TL13'!$C$238:$C$451,$C289,'TL13'!$J$238:$J$451),0),
IF('TL14'!$B$3=N$3,SUMIF('TL14'!$C$10:$C$224,$C289,'TL14'!$J$10:$J$224),0),
IF('TL14'!$B$229=N$3,SUMIF('TL14'!$C$238:$C$451,$C289,'TL14'!$J$238:$J$451),0),
IF('TL15'!$B$3=N$3,SUMIF('TL15'!$C$10:$C$224,$C289,'TL15'!$J$10:$J$224),0),
IF('TL15'!$B$229=N$3,SUMIF('TL15'!$C$238:$C$451,$C289,'TL15'!$J$238:$J$451),0),
IF('TL16'!$B$3=N$3,SUMIF('TL16'!$C$10:$C$224,$C289,'TL16'!$J$10:$J$224),0),
IF('TL16'!$B$229=N$3,SUMIF('TL16'!$C$238:$C$451,$C289,'TL16'!$J$238:$J$451),0),
IF('TL17'!$B$3=N$3,SUMIF('TL17'!$C$10:$C$224,$C289,'TL17'!$J$10:$J$224),0),
IF('TL17'!$B$229=N$3,SUMIF('TL17'!$C$238:$C$451,$C289,'TL17'!$J$238:$J$451),0),
IF('TL18'!$B$3=N$3,SUMIF('TL18'!$C$10:$C$224,$C289,'TL18'!$J$10:$J$224),0),
IF('TL18'!$B$229=N$3,SUMIF('TL18'!$C$238:$C$451,$C289,'TL18'!$J$238:$J$451),0),
IF('TL19'!$B$3=N$3,SUMIF('TL19'!$C$10:$C$224,$C289,'TL19'!$J$10:$J$224),0),
IF('TL19'!$B$229=N$3,SUMIF('TL19'!$C$238:$C$451,$C289,'TL19'!$J$238:$J$451),0)
),0)</f>
        <v>0</v>
      </c>
      <c r="O289" s="9">
        <f>IFERROR(SUM(
IF('TL01'!$B$3=O$3,SUMIF('TL01'!$C$10:$C$224,$C289,'TL01'!$J$10:$J$224),0),
IF('TL01'!$B$229=O$3,SUMIF('TL01'!$C$238:$C$451,$C289,'TL01'!$J$238:$J$451),0),
IF('TL02'!$B$3=O$3,SUMIF('TL02'!$C$10:$C$224,$C289,'TL02'!$J$10:$J$224),0),
IF('TL02'!$B$229=O$3,SUMIF('TL02'!$C$238:$C$451,$C289,'TL02'!$J$238:$J$451),0),
IF('TL03'!$B$3=O$3,SUMIF('TL03'!$C$10:$C$224,$C289,'TL03'!$J$10:$J$224),0),
IF('TL03'!$B$229=O$3,SUMIF('TL03'!$C$238:$C$451,$C289,'TL03'!$J$238:$J$451),0),
IF('TL04'!$B$3=O$3,SUMIF('TL04'!$C$10:$C$224,$C289,'TL04'!$J$10:$J$224),0),
IF('TL04'!$B$229=O$3,SUMIF('TL04'!$C$238:$C$451,$C289,'TL04'!$J$238:$J$451),0),
IF('TL05'!$B$3=O$3,SUMIF('TL05'!$C$10:$C$224,$C289,'TL05'!$J$10:$J$224),0),
IF('TL05'!$B$229=O$3,SUMIF('TL05'!$C$238:$C$451,$C289,'TL05'!$J$238:$J$451),0),
IF('TL06'!$B$3=O$3,SUMIF('TL06'!$C$10:$C$224,$C289,'TL06'!$J$10:$J$224),0),
IF('TL06'!$B$229=O$3,SUMIF('TL06'!$C$238:$C$451,$C289,'TL06'!$J$238:$J$451),0),
IF('TL07'!$B$3=O$3,SUMIF('TL07'!$C$10:$C$224,$C289,'TL07'!$J$10:$J$224),0),
IF('TL07'!$B$229=O$3,SUMIF('TL07'!$C$238:$C$451,$C289,'TL07'!$J$238:$J$451),0),
IF('TL08'!$B$3=O$3,SUMIF('TL08'!$C$10:$C$224,$C289,'TL08'!$J$10:$J$224),0),
IF('TL08'!$B$229=O$3,SUMIF('TL08'!$C$238:$C$451,$C289,'TL08'!$J$238:$J$451),0),
IF('TL09'!$B$3=O$3,SUMIF('TL09'!$C$10:$C$224,$C289,'TL09'!$J$10:$J$224),0),
IF('TL09'!$B$229=O$3,SUMIF('TL09'!$C$238:$C$451,$C289,'TL09'!$J$238:$J$451),0),
IF('TL10'!$B$3=O$3,SUMIF('TL10'!$C$10:$C$224,$C289,'TL10'!$J$10:$J$224),0),
IF('TL10'!$B$229=O$3,SUMIF('TL10'!$C$238:$C$451,$C289,'TL10'!$J$238:$J$451),0),
IF('TL11'!$B$3=O$3,SUMIF('TL11'!$C$10:$C$224,$C289,'TL11'!$J$10:$J$224),0),
IF('TL11'!$B$229=O$3,SUMIF('TL11'!$C$238:$C$451,$C289,'TL11'!$J$238:$J$451),0),
IF('TL12'!$B$3=O$3,SUMIF('TL12'!$C$10:$C$224,$C289,'TL12'!$J$10:$J$224),0),
IF('TL12'!$B$229=O$3,SUMIF('TL12'!$C$238:$C$451,$C289,'TL12'!$J$238:$J$451),0),
IF('TL13'!$B$3=O$3,SUMIF('TL13'!$C$10:$C$224,$C289,'TL13'!$J$10:$J$224),0),
IF('TL13'!$B$229=O$3,SUMIF('TL13'!$C$238:$C$451,$C289,'TL13'!$J$238:$J$451),0),
IF('TL14'!$B$3=O$3,SUMIF('TL14'!$C$10:$C$224,$C289,'TL14'!$J$10:$J$224),0),
IF('TL14'!$B$229=O$3,SUMIF('TL14'!$C$238:$C$451,$C289,'TL14'!$J$238:$J$451),0),
IF('TL15'!$B$3=O$3,SUMIF('TL15'!$C$10:$C$224,$C289,'TL15'!$J$10:$J$224),0),
IF('TL15'!$B$229=O$3,SUMIF('TL15'!$C$238:$C$451,$C289,'TL15'!$J$238:$J$451),0),
IF('TL16'!$B$3=O$3,SUMIF('TL16'!$C$10:$C$224,$C289,'TL16'!$J$10:$J$224),0),
IF('TL16'!$B$229=O$3,SUMIF('TL16'!$C$238:$C$451,$C289,'TL16'!$J$238:$J$451),0),
IF('TL17'!$B$3=O$3,SUMIF('TL17'!$C$10:$C$224,$C289,'TL17'!$J$10:$J$224),0),
IF('TL17'!$B$229=O$3,SUMIF('TL17'!$C$238:$C$451,$C289,'TL17'!$J$238:$J$451),0),
IF('TL18'!$B$3=O$3,SUMIF('TL18'!$C$10:$C$224,$C289,'TL18'!$J$10:$J$224),0),
IF('TL18'!$B$229=O$3,SUMIF('TL18'!$C$238:$C$451,$C289,'TL18'!$J$238:$J$451),0),
IF('TL19'!$B$3=O$3,SUMIF('TL19'!$C$10:$C$224,$C289,'TL19'!$J$10:$J$224),0),
IF('TL19'!$B$229=O$3,SUMIF('TL19'!$C$238:$C$451,$C289,'TL19'!$J$238:$J$451),0)
),0)</f>
        <v>0</v>
      </c>
      <c r="P289" s="9">
        <f>IFERROR(SUM(
IF('TL01'!$B$3=P$3,SUMIF('TL01'!$C$10:$C$224,$C289,'TL01'!$J$10:$J$224),0),
IF('TL01'!$B$229=P$3,SUMIF('TL01'!$C$238:$C$451,$C289,'TL01'!$J$238:$J$451),0),
IF('TL02'!$B$3=P$3,SUMIF('TL02'!$C$10:$C$224,$C289,'TL02'!$J$10:$J$224),0),
IF('TL02'!$B$229=P$3,SUMIF('TL02'!$C$238:$C$451,$C289,'TL02'!$J$238:$J$451),0),
IF('TL03'!$B$3=P$3,SUMIF('TL03'!$C$10:$C$224,$C289,'TL03'!$J$10:$J$224),0),
IF('TL03'!$B$229=P$3,SUMIF('TL03'!$C$238:$C$451,$C289,'TL03'!$J$238:$J$451),0),
IF('TL04'!$B$3=P$3,SUMIF('TL04'!$C$10:$C$224,$C289,'TL04'!$J$10:$J$224),0),
IF('TL04'!$B$229=P$3,SUMIF('TL04'!$C$238:$C$451,$C289,'TL04'!$J$238:$J$451),0),
IF('TL05'!$B$3=P$3,SUMIF('TL05'!$C$10:$C$224,$C289,'TL05'!$J$10:$J$224),0),
IF('TL05'!$B$229=P$3,SUMIF('TL05'!$C$238:$C$451,$C289,'TL05'!$J$238:$J$451),0),
IF('TL06'!$B$3=P$3,SUMIF('TL06'!$C$10:$C$224,$C289,'TL06'!$J$10:$J$224),0),
IF('TL06'!$B$229=P$3,SUMIF('TL06'!$C$238:$C$451,$C289,'TL06'!$J$238:$J$451),0),
IF('TL07'!$B$3=P$3,SUMIF('TL07'!$C$10:$C$224,$C289,'TL07'!$J$10:$J$224),0),
IF('TL07'!$B$229=P$3,SUMIF('TL07'!$C$238:$C$451,$C289,'TL07'!$J$238:$J$451),0),
IF('TL08'!$B$3=P$3,SUMIF('TL08'!$C$10:$C$224,$C289,'TL08'!$J$10:$J$224),0),
IF('TL08'!$B$229=P$3,SUMIF('TL08'!$C$238:$C$451,$C289,'TL08'!$J$238:$J$451),0),
IF('TL09'!$B$3=P$3,SUMIF('TL09'!$C$10:$C$224,$C289,'TL09'!$J$10:$J$224),0),
IF('TL09'!$B$229=P$3,SUMIF('TL09'!$C$238:$C$451,$C289,'TL09'!$J$238:$J$451),0),
IF('TL10'!$B$3=P$3,SUMIF('TL10'!$C$10:$C$224,$C289,'TL10'!$J$10:$J$224),0),
IF('TL10'!$B$229=P$3,SUMIF('TL10'!$C$238:$C$451,$C289,'TL10'!$J$238:$J$451),0),
IF('TL11'!$B$3=P$3,SUMIF('TL11'!$C$10:$C$224,$C289,'TL11'!$J$10:$J$224),0),
IF('TL11'!$B$229=P$3,SUMIF('TL11'!$C$238:$C$451,$C289,'TL11'!$J$238:$J$451),0),
IF('TL12'!$B$3=P$3,SUMIF('TL12'!$C$10:$C$224,$C289,'TL12'!$J$10:$J$224),0),
IF('TL12'!$B$229=P$3,SUMIF('TL12'!$C$238:$C$451,$C289,'TL12'!$J$238:$J$451),0),
IF('TL13'!$B$3=P$3,SUMIF('TL13'!$C$10:$C$224,$C289,'TL13'!$J$10:$J$224),0),
IF('TL13'!$B$229=P$3,SUMIF('TL13'!$C$238:$C$451,$C289,'TL13'!$J$238:$J$451),0),
IF('TL14'!$B$3=P$3,SUMIF('TL14'!$C$10:$C$224,$C289,'TL14'!$J$10:$J$224),0),
IF('TL14'!$B$229=P$3,SUMIF('TL14'!$C$238:$C$451,$C289,'TL14'!$J$238:$J$451),0),
IF('TL15'!$B$3=P$3,SUMIF('TL15'!$C$10:$C$224,$C289,'TL15'!$J$10:$J$224),0),
IF('TL15'!$B$229=P$3,SUMIF('TL15'!$C$238:$C$451,$C289,'TL15'!$J$238:$J$451),0),
IF('TL16'!$B$3=P$3,SUMIF('TL16'!$C$10:$C$224,$C289,'TL16'!$J$10:$J$224),0),
IF('TL16'!$B$229=P$3,SUMIF('TL16'!$C$238:$C$451,$C289,'TL16'!$J$238:$J$451),0),
IF('TL17'!$B$3=P$3,SUMIF('TL17'!$C$10:$C$224,$C289,'TL17'!$J$10:$J$224),0),
IF('TL17'!$B$229=P$3,SUMIF('TL17'!$C$238:$C$451,$C289,'TL17'!$J$238:$J$451),0),
IF('TL18'!$B$3=P$3,SUMIF('TL18'!$C$10:$C$224,$C289,'TL18'!$J$10:$J$224),0),
IF('TL18'!$B$229=P$3,SUMIF('TL18'!$C$238:$C$451,$C289,'TL18'!$J$238:$J$451),0),
IF('TL19'!$B$3=P$3,SUMIF('TL19'!$C$10:$C$224,$C289,'TL19'!$J$10:$J$224),0),
IF('TL19'!$B$229=P$3,SUMIF('TL19'!$C$238:$C$451,$C289,'TL19'!$J$238:$J$451),0)
),0)</f>
        <v>0</v>
      </c>
      <c r="Q289" s="9">
        <f>IFERROR(SUM(
IF('TL01'!$B$3=Q$3,SUMIF('TL01'!$C$10:$C$224,$C289,'TL01'!$J$10:$J$224),0),
IF('TL01'!$B$229=Q$3,SUMIF('TL01'!$C$238:$C$451,$C289,'TL01'!$J$238:$J$451),0),
IF('TL02'!$B$3=Q$3,SUMIF('TL02'!$C$10:$C$224,$C289,'TL02'!$J$10:$J$224),0),
IF('TL02'!$B$229=Q$3,SUMIF('TL02'!$C$238:$C$451,$C289,'TL02'!$J$238:$J$451),0),
IF('TL03'!$B$3=Q$3,SUMIF('TL03'!$C$10:$C$224,$C289,'TL03'!$J$10:$J$224),0),
IF('TL03'!$B$229=Q$3,SUMIF('TL03'!$C$238:$C$451,$C289,'TL03'!$J$238:$J$451),0),
IF('TL04'!$B$3=Q$3,SUMIF('TL04'!$C$10:$C$224,$C289,'TL04'!$J$10:$J$224),0),
IF('TL04'!$B$229=Q$3,SUMIF('TL04'!$C$238:$C$451,$C289,'TL04'!$J$238:$J$451),0),
IF('TL05'!$B$3=Q$3,SUMIF('TL05'!$C$10:$C$224,$C289,'TL05'!$J$10:$J$224),0),
IF('TL05'!$B$229=Q$3,SUMIF('TL05'!$C$238:$C$451,$C289,'TL05'!$J$238:$J$451),0),
IF('TL06'!$B$3=Q$3,SUMIF('TL06'!$C$10:$C$224,$C289,'TL06'!$J$10:$J$224),0),
IF('TL06'!$B$229=Q$3,SUMIF('TL06'!$C$238:$C$451,$C289,'TL06'!$J$238:$J$451),0),
IF('TL07'!$B$3=Q$3,SUMIF('TL07'!$C$10:$C$224,$C289,'TL07'!$J$10:$J$224),0),
IF('TL07'!$B$229=Q$3,SUMIF('TL07'!$C$238:$C$451,$C289,'TL07'!$J$238:$J$451),0),
IF('TL08'!$B$3=Q$3,SUMIF('TL08'!$C$10:$C$224,$C289,'TL08'!$J$10:$J$224),0),
IF('TL08'!$B$229=Q$3,SUMIF('TL08'!$C$238:$C$451,$C289,'TL08'!$J$238:$J$451),0),
IF('TL09'!$B$3=Q$3,SUMIF('TL09'!$C$10:$C$224,$C289,'TL09'!$J$10:$J$224),0),
IF('TL09'!$B$229=Q$3,SUMIF('TL09'!$C$238:$C$451,$C289,'TL09'!$J$238:$J$451),0),
IF('TL10'!$B$3=Q$3,SUMIF('TL10'!$C$10:$C$224,$C289,'TL10'!$J$10:$J$224),0),
IF('TL10'!$B$229=Q$3,SUMIF('TL10'!$C$238:$C$451,$C289,'TL10'!$J$238:$J$451),0),
IF('TL11'!$B$3=Q$3,SUMIF('TL11'!$C$10:$C$224,$C289,'TL11'!$J$10:$J$224),0),
IF('TL11'!$B$229=Q$3,SUMIF('TL11'!$C$238:$C$451,$C289,'TL11'!$J$238:$J$451),0),
IF('TL12'!$B$3=Q$3,SUMIF('TL12'!$C$10:$C$224,$C289,'TL12'!$J$10:$J$224),0),
IF('TL12'!$B$229=Q$3,SUMIF('TL12'!$C$238:$C$451,$C289,'TL12'!$J$238:$J$451),0),
IF('TL13'!$B$3=Q$3,SUMIF('TL13'!$C$10:$C$224,$C289,'TL13'!$J$10:$J$224),0),
IF('TL13'!$B$229=Q$3,SUMIF('TL13'!$C$238:$C$451,$C289,'TL13'!$J$238:$J$451),0),
IF('TL14'!$B$3=Q$3,SUMIF('TL14'!$C$10:$C$224,$C289,'TL14'!$J$10:$J$224),0),
IF('TL14'!$B$229=Q$3,SUMIF('TL14'!$C$238:$C$451,$C289,'TL14'!$J$238:$J$451),0),
IF('TL15'!$B$3=Q$3,SUMIF('TL15'!$C$10:$C$224,$C289,'TL15'!$J$10:$J$224),0),
IF('TL15'!$B$229=Q$3,SUMIF('TL15'!$C$238:$C$451,$C289,'TL15'!$J$238:$J$451),0),
IF('TL16'!$B$3=Q$3,SUMIF('TL16'!$C$10:$C$224,$C289,'TL16'!$J$10:$J$224),0),
IF('TL16'!$B$229=Q$3,SUMIF('TL16'!$C$238:$C$451,$C289,'TL16'!$J$238:$J$451),0),
IF('TL17'!$B$3=Q$3,SUMIF('TL17'!$C$10:$C$224,$C289,'TL17'!$J$10:$J$224),0),
IF('TL17'!$B$229=Q$3,SUMIF('TL17'!$C$238:$C$451,$C289,'TL17'!$J$238:$J$451),0),
IF('TL18'!$B$3=Q$3,SUMIF('TL18'!$C$10:$C$224,$C289,'TL18'!$J$10:$J$224),0),
IF('TL18'!$B$229=Q$3,SUMIF('TL18'!$C$238:$C$451,$C289,'TL18'!$J$238:$J$451),0),
IF('TL19'!$B$3=Q$3,SUMIF('TL19'!$C$10:$C$224,$C289,'TL19'!$J$10:$J$224),0),
IF('TL19'!$B$229=Q$3,SUMIF('TL19'!$C$238:$C$451,$C289,'TL19'!$J$238:$J$451),0)
),0)</f>
        <v>0</v>
      </c>
      <c r="R289" s="9">
        <f>IFERROR(
SUM(
SUMIF('TL01'!C:C,C289,'TL01'!J:J),
SUMIF('TL02'!C:C,C289,'TL02'!J:J),
SUMIF('TL03'!C:C,C289,'TL03'!J:J),
SUMIF('TL04'!C:C,C289,'TL04'!J:J),
SUMIF('TL05'!C:C,C289,'TL05'!J:J),
SUMIF('TL06'!C:C,C289,'TL06'!J:J),
SUMIF('TL07'!C:C,C289,'TL07'!J:J),
SUMIF('TL08'!C:C,C289,'TL08'!J:J),
SUMIF('TL09'!C:C,C289,'TL09'!J:J),
SUMIF('TL10'!C:C,C289,'TL10'!J:J),
SUMIF('TL11'!C:C,C289,'TL11'!J:J),
SUMIF('TL12'!C:C,C289,'TL12'!J:J),
SUMIF('TL13'!C:C,C289,'TL13'!J:J),
SUMIF('TL14'!C:C,C289,'TL14'!J:J),
SUMIF('TL15'!C:C,C289,'TL15'!J:J),
SUMIF('TL16'!C:C,C289,'TL16'!J:J),
SUMIF('TL17'!C:C,C289,'TL17'!J:J),
SUMIF('TL18'!C:C,C289,'TL18'!J:J),SUMIF('TL19'!C:C,C289,'TL19'!J:J))
,0)</f>
        <v>0</v>
      </c>
      <c r="S289" s="17">
        <f>IFERROR(__xludf.DUMMYFUNCTION("IFERROR(VLOOKUP(C289,
IMPORTRANGE(""1wULbzX32WdYsx-lj2U3uUNBBe2INVIRDtcK0d-Dvl90"",
""26-27!C:G""),
5,
FALSE),
"""")"),0.0)</f>
        <v>0</v>
      </c>
      <c r="T289" s="9"/>
      <c r="U289" s="92">
        <f t="shared" si="2"/>
        <v>0</v>
      </c>
      <c r="V289" s="93">
        <f t="shared" si="3"/>
        <v>0</v>
      </c>
    </row>
    <row r="290" ht="15.75" hidden="1" customHeight="1">
      <c r="A290" s="119" t="s">
        <v>516</v>
      </c>
      <c r="B290" s="120" t="s">
        <v>3</v>
      </c>
      <c r="C290" s="119" t="s">
        <v>998</v>
      </c>
      <c r="D290" s="119" t="s">
        <v>789</v>
      </c>
      <c r="E290" s="119">
        <v>500.0</v>
      </c>
      <c r="F290" s="4" t="s">
        <v>343</v>
      </c>
      <c r="G290" s="90" t="str">
        <f t="shared" ref="G290:G397" si="5">HYPERLINK("https://www.google.com/search?q=" &amp; C290 &amp; "+bula+agrofit+pdf", "📄 Ver bula")</f>
        <v>📄 Ver bula</v>
      </c>
      <c r="H290" s="9">
        <f>IFERROR(__xludf.DUMMYFUNCTION("IFERROR(VLOOKUP(C290,
IMPORTRANGE(""1wULbzX32WdYsx-lj2U3uUNBBe2INVIRDtcK0d-Dvl90"",
""26-27!C:K""),
8,
FALSE),
"""")"),0.04)</f>
        <v>0.04</v>
      </c>
      <c r="I290" s="121"/>
      <c r="J290" s="9">
        <f>IFERROR(SUM(
IF('TL01'!$B$3=J$3,SUMIF('TL01'!$C$10:$C$224,$C290,'TL01'!$J$10:$J$224),0),
IF('TL01'!$B$229=J$3,SUMIF('TL01'!$C$238:$C$451,$C290,'TL01'!$J$238:$J$451),0),
IF('TL02'!$B$3=J$3,SUMIF('TL02'!$C$10:$C$224,$C290,'TL02'!$J$10:$J$224),0),
IF('TL02'!$B$229=J$3,SUMIF('TL02'!$C$238:$C$451,$C290,'TL02'!$J$238:$J$451),0),
IF('TL03'!$B$3=J$3,SUMIF('TL03'!$C$10:$C$224,$C290,'TL03'!$J$10:$J$224),0),
IF('TL03'!$B$229=J$3,SUMIF('TL03'!$C$238:$C$451,$C290,'TL03'!$J$238:$J$451),0),
IF('TL04'!$B$3=J$3,SUMIF('TL04'!$C$10:$C$224,$C290,'TL04'!$J$10:$J$224),0),
IF('TL04'!$B$229=J$3,SUMIF('TL04'!$C$238:$C$451,$C290,'TL04'!$J$238:$J$451),0),
IF('TL05'!$B$3=J$3,SUMIF('TL05'!$C$10:$C$224,$C290,'TL05'!$J$10:$J$224),0),
IF('TL05'!$B$229=J$3,SUMIF('TL05'!$C$238:$C$451,$C290,'TL05'!$J$238:$J$451),0),
IF('TL06'!$B$3=J$3,SUMIF('TL06'!$C$10:$C$224,$C290,'TL06'!$J$10:$J$224),0),
IF('TL06'!$B$229=J$3,SUMIF('TL06'!$C$238:$C$451,$C290,'TL06'!$J$238:$J$451),0),
IF('TL07'!$B$3=J$3,SUMIF('TL07'!$C$10:$C$224,$C290,'TL07'!$J$10:$J$224),0),
IF('TL07'!$B$229=J$3,SUMIF('TL07'!$C$238:$C$451,$C290,'TL07'!$J$238:$J$451),0),
IF('TL08'!$B$3=J$3,SUMIF('TL08'!$C$10:$C$224,$C290,'TL08'!$J$10:$J$224),0),
IF('TL08'!$B$229=J$3,SUMIF('TL08'!$C$238:$C$451,$C290,'TL08'!$J$238:$J$451),0),
IF('TL09'!$B$3=J$3,SUMIF('TL09'!$C$10:$C$224,$C290,'TL09'!$J$10:$J$224),0),
IF('TL09'!$B$229=J$3,SUMIF('TL09'!$C$238:$C$451,$C290,'TL09'!$J$238:$J$451),0),
IF('TL10'!$B$3=J$3,SUMIF('TL10'!$C$10:$C$224,$C290,'TL10'!$J$10:$J$224),0),
IF('TL10'!$B$229=J$3,SUMIF('TL10'!$C$238:$C$451,$C290,'TL10'!$J$238:$J$451),0),
IF('TL11'!$B$3=J$3,SUMIF('TL11'!$C$10:$C$224,$C290,'TL11'!$J$10:$J$224),0),
IF('TL11'!$B$229=J$3,SUMIF('TL11'!$C$238:$C$451,$C290,'TL11'!$J$238:$J$451),0),
IF('TL12'!$B$3=J$3,SUMIF('TL12'!$C$10:$C$224,$C290,'TL12'!$J$10:$J$224),0),
IF('TL12'!$B$229=J$3,SUMIF('TL12'!$C$238:$C$451,$C290,'TL12'!$J$238:$J$451),0),
IF('TL13'!$B$3=J$3,SUMIF('TL13'!$C$10:$C$224,$C290,'TL13'!$J$10:$J$224),0),
IF('TL13'!$B$229=J$3,SUMIF('TL13'!$C$238:$C$451,$C290,'TL13'!$J$238:$J$451),0),
IF('TL14'!$B$3=J$3,SUMIF('TL14'!$C$10:$C$224,$C290,'TL14'!$J$10:$J$224),0),
IF('TL14'!$B$229=J$3,SUMIF('TL14'!$C$238:$C$451,$C290,'TL14'!$J$238:$J$451),0),
IF('TL15'!$B$3=J$3,SUMIF('TL15'!$C$10:$C$224,$C290,'TL15'!$J$10:$J$224),0),
IF('TL15'!$B$229=J$3,SUMIF('TL15'!$C$238:$C$451,$C290,'TL15'!$J$238:$J$451),0),
IF('TL16'!$B$3=J$3,SUMIF('TL16'!$C$10:$C$224,$C290,'TL16'!$J$10:$J$224),0),
IF('TL16'!$B$229=J$3,SUMIF('TL16'!$C$238:$C$451,$C290,'TL16'!$J$238:$J$451),0),
IF('TL17'!$B$3=J$3,SUMIF('TL17'!$C$10:$C$224,$C290,'TL17'!$J$10:$J$224),0),
IF('TL17'!$B$229=J$3,SUMIF('TL17'!$C$238:$C$451,$C290,'TL17'!$J$238:$J$451),0),
IF('TL18'!$B$3=J$3,SUMIF('TL18'!$C$10:$C$224,$C290,'TL18'!$J$10:$J$224),0),
IF('TL18'!$B$229=J$3,SUMIF('TL18'!$C$238:$C$451,$C290,'TL18'!$J$238:$J$451),0),
IF('TL19'!$B$3=J$3,SUMIF('TL19'!$C$10:$C$224,$C290,'TL19'!$J$10:$J$224),0),
IF('TL19'!$B$229=J$3,SUMIF('TL19'!$C$238:$C$451,$C290,'TL19'!$J$238:$J$451),0)
),0)</f>
        <v>0</v>
      </c>
      <c r="K290" s="9">
        <f>IFERROR(SUM(
IF('TL01'!$B$3=K$3,SUMIF('TL01'!$C$10:$C$224,$C290,'TL01'!$J$10:$J$224),0),
IF('TL01'!$B$229=K$3,SUMIF('TL01'!$C$238:$C$451,$C290,'TL01'!$J$238:$J$451),0),
IF('TL02'!$B$3=K$3,SUMIF('TL02'!$C$10:$C$224,$C290,'TL02'!$J$10:$J$224),0),
IF('TL02'!$B$229=K$3,SUMIF('TL02'!$C$238:$C$451,$C290,'TL02'!$J$238:$J$451),0),
IF('TL03'!$B$3=K$3,SUMIF('TL03'!$C$10:$C$224,$C290,'TL03'!$J$10:$J$224),0),
IF('TL03'!$B$229=K$3,SUMIF('TL03'!$C$238:$C$451,$C290,'TL03'!$J$238:$J$451),0),
IF('TL04'!$B$3=K$3,SUMIF('TL04'!$C$10:$C$224,$C290,'TL04'!$J$10:$J$224),0),
IF('TL04'!$B$229=K$3,SUMIF('TL04'!$C$238:$C$451,$C290,'TL04'!$J$238:$J$451),0),
IF('TL05'!$B$3=K$3,SUMIF('TL05'!$C$10:$C$224,$C290,'TL05'!$J$10:$J$224),0),
IF('TL05'!$B$229=K$3,SUMIF('TL05'!$C$238:$C$451,$C290,'TL05'!$J$238:$J$451),0),
IF('TL06'!$B$3=K$3,SUMIF('TL06'!$C$10:$C$224,$C290,'TL06'!$J$10:$J$224),0),
IF('TL06'!$B$229=K$3,SUMIF('TL06'!$C$238:$C$451,$C290,'TL06'!$J$238:$J$451),0),
IF('TL07'!$B$3=K$3,SUMIF('TL07'!$C$10:$C$224,$C290,'TL07'!$J$10:$J$224),0),
IF('TL07'!$B$229=K$3,SUMIF('TL07'!$C$238:$C$451,$C290,'TL07'!$J$238:$J$451),0),
IF('TL08'!$B$3=K$3,SUMIF('TL08'!$C$10:$C$224,$C290,'TL08'!$J$10:$J$224),0),
IF('TL08'!$B$229=K$3,SUMIF('TL08'!$C$238:$C$451,$C290,'TL08'!$J$238:$J$451),0),
IF('TL09'!$B$3=K$3,SUMIF('TL09'!$C$10:$C$224,$C290,'TL09'!$J$10:$J$224),0),
IF('TL09'!$B$229=K$3,SUMIF('TL09'!$C$238:$C$451,$C290,'TL09'!$J$238:$J$451),0),
IF('TL10'!$B$3=K$3,SUMIF('TL10'!$C$10:$C$224,$C290,'TL10'!$J$10:$J$224),0),
IF('TL10'!$B$229=K$3,SUMIF('TL10'!$C$238:$C$451,$C290,'TL10'!$J$238:$J$451),0),
IF('TL11'!$B$3=K$3,SUMIF('TL11'!$C$10:$C$224,$C290,'TL11'!$J$10:$J$224),0),
IF('TL11'!$B$229=K$3,SUMIF('TL11'!$C$238:$C$451,$C290,'TL11'!$J$238:$J$451),0),
IF('TL12'!$B$3=K$3,SUMIF('TL12'!$C$10:$C$224,$C290,'TL12'!$J$10:$J$224),0),
IF('TL12'!$B$229=K$3,SUMIF('TL12'!$C$238:$C$451,$C290,'TL12'!$J$238:$J$451),0),
IF('TL13'!$B$3=K$3,SUMIF('TL13'!$C$10:$C$224,$C290,'TL13'!$J$10:$J$224),0),
IF('TL13'!$B$229=K$3,SUMIF('TL13'!$C$238:$C$451,$C290,'TL13'!$J$238:$J$451),0),
IF('TL14'!$B$3=K$3,SUMIF('TL14'!$C$10:$C$224,$C290,'TL14'!$J$10:$J$224),0),
IF('TL14'!$B$229=K$3,SUMIF('TL14'!$C$238:$C$451,$C290,'TL14'!$J$238:$J$451),0),
IF('TL15'!$B$3=K$3,SUMIF('TL15'!$C$10:$C$224,$C290,'TL15'!$J$10:$J$224),0),
IF('TL15'!$B$229=K$3,SUMIF('TL15'!$C$238:$C$451,$C290,'TL15'!$J$238:$J$451),0),
IF('TL16'!$B$3=K$3,SUMIF('TL16'!$C$10:$C$224,$C290,'TL16'!$J$10:$J$224),0),
IF('TL16'!$B$229=K$3,SUMIF('TL16'!$C$238:$C$451,$C290,'TL16'!$J$238:$J$451),0),
IF('TL17'!$B$3=K$3,SUMIF('TL17'!$C$10:$C$224,$C290,'TL17'!$J$10:$J$224),0),
IF('TL17'!$B$229=K$3,SUMIF('TL17'!$C$238:$C$451,$C290,'TL17'!$J$238:$J$451),0),
IF('TL18'!$B$3=K$3,SUMIF('TL18'!$C$10:$C$224,$C290,'TL18'!$J$10:$J$224),0),
IF('TL18'!$B$229=K$3,SUMIF('TL18'!$C$238:$C$451,$C290,'TL18'!$J$238:$J$451),0),
IF('TL19'!$B$3=K$3,SUMIF('TL19'!$C$10:$C$224,$C290,'TL19'!$J$10:$J$224),0),
IF('TL19'!$B$229=K$3,SUMIF('TL19'!$C$238:$C$451,$C290,'TL19'!$J$238:$J$451),0)
),0)</f>
        <v>0</v>
      </c>
      <c r="L290" s="9">
        <f>IFERROR(SUM(
IF('TL01'!$B$3=L$3,SUMIF('TL01'!$C$10:$C$224,$C290,'TL01'!$J$10:$J$224),0),
IF('TL01'!$B$229=L$3,SUMIF('TL01'!$C$238:$C$451,$C290,'TL01'!$J$238:$J$451),0),
IF('TL02'!$B$3=L$3,SUMIF('TL02'!$C$10:$C$224,$C290,'TL02'!$J$10:$J$224),0),
IF('TL02'!$B$229=L$3,SUMIF('TL02'!$C$238:$C$451,$C290,'TL02'!$J$238:$J$451),0),
IF('TL03'!$B$3=L$3,SUMIF('TL03'!$C$10:$C$224,$C290,'TL03'!$J$10:$J$224),0),
IF('TL03'!$B$229=L$3,SUMIF('TL03'!$C$238:$C$451,$C290,'TL03'!$J$238:$J$451),0),
IF('TL04'!$B$3=L$3,SUMIF('TL04'!$C$10:$C$224,$C290,'TL04'!$J$10:$J$224),0),
IF('TL04'!$B$229=L$3,SUMIF('TL04'!$C$238:$C$451,$C290,'TL04'!$J$238:$J$451),0),
IF('TL05'!$B$3=L$3,SUMIF('TL05'!$C$10:$C$224,$C290,'TL05'!$J$10:$J$224),0),
IF('TL05'!$B$229=L$3,SUMIF('TL05'!$C$238:$C$451,$C290,'TL05'!$J$238:$J$451),0),
IF('TL06'!$B$3=L$3,SUMIF('TL06'!$C$10:$C$224,$C290,'TL06'!$J$10:$J$224),0),
IF('TL06'!$B$229=L$3,SUMIF('TL06'!$C$238:$C$451,$C290,'TL06'!$J$238:$J$451),0),
IF('TL07'!$B$3=L$3,SUMIF('TL07'!$C$10:$C$224,$C290,'TL07'!$J$10:$J$224),0),
IF('TL07'!$B$229=L$3,SUMIF('TL07'!$C$238:$C$451,$C290,'TL07'!$J$238:$J$451),0),
IF('TL08'!$B$3=L$3,SUMIF('TL08'!$C$10:$C$224,$C290,'TL08'!$J$10:$J$224),0),
IF('TL08'!$B$229=L$3,SUMIF('TL08'!$C$238:$C$451,$C290,'TL08'!$J$238:$J$451),0),
IF('TL09'!$B$3=L$3,SUMIF('TL09'!$C$10:$C$224,$C290,'TL09'!$J$10:$J$224),0),
IF('TL09'!$B$229=L$3,SUMIF('TL09'!$C$238:$C$451,$C290,'TL09'!$J$238:$J$451),0),
IF('TL10'!$B$3=L$3,SUMIF('TL10'!$C$10:$C$224,$C290,'TL10'!$J$10:$J$224),0),
IF('TL10'!$B$229=L$3,SUMIF('TL10'!$C$238:$C$451,$C290,'TL10'!$J$238:$J$451),0),
IF('TL11'!$B$3=L$3,SUMIF('TL11'!$C$10:$C$224,$C290,'TL11'!$J$10:$J$224),0),
IF('TL11'!$B$229=L$3,SUMIF('TL11'!$C$238:$C$451,$C290,'TL11'!$J$238:$J$451),0),
IF('TL12'!$B$3=L$3,SUMIF('TL12'!$C$10:$C$224,$C290,'TL12'!$J$10:$J$224),0),
IF('TL12'!$B$229=L$3,SUMIF('TL12'!$C$238:$C$451,$C290,'TL12'!$J$238:$J$451),0),
IF('TL13'!$B$3=L$3,SUMIF('TL13'!$C$10:$C$224,$C290,'TL13'!$J$10:$J$224),0),
IF('TL13'!$B$229=L$3,SUMIF('TL13'!$C$238:$C$451,$C290,'TL13'!$J$238:$J$451),0),
IF('TL14'!$B$3=L$3,SUMIF('TL14'!$C$10:$C$224,$C290,'TL14'!$J$10:$J$224),0),
IF('TL14'!$B$229=L$3,SUMIF('TL14'!$C$238:$C$451,$C290,'TL14'!$J$238:$J$451),0),
IF('TL15'!$B$3=L$3,SUMIF('TL15'!$C$10:$C$224,$C290,'TL15'!$J$10:$J$224),0),
IF('TL15'!$B$229=L$3,SUMIF('TL15'!$C$238:$C$451,$C290,'TL15'!$J$238:$J$451),0),
IF('TL16'!$B$3=L$3,SUMIF('TL16'!$C$10:$C$224,$C290,'TL16'!$J$10:$J$224),0),
IF('TL16'!$B$229=L$3,SUMIF('TL16'!$C$238:$C$451,$C290,'TL16'!$J$238:$J$451),0),
IF('TL17'!$B$3=L$3,SUMIF('TL17'!$C$10:$C$224,$C290,'TL17'!$J$10:$J$224),0),
IF('TL17'!$B$229=L$3,SUMIF('TL17'!$C$238:$C$451,$C290,'TL17'!$J$238:$J$451),0),
IF('TL18'!$B$3=L$3,SUMIF('TL18'!$C$10:$C$224,$C290,'TL18'!$J$10:$J$224),0),
IF('TL18'!$B$229=L$3,SUMIF('TL18'!$C$238:$C$451,$C290,'TL18'!$J$238:$J$451),0),
IF('TL19'!$B$3=L$3,SUMIF('TL19'!$C$10:$C$224,$C290,'TL19'!$J$10:$J$224),0),
IF('TL19'!$B$229=L$3,SUMIF('TL19'!$C$238:$C$451,$C290,'TL19'!$J$238:$J$451),0)
),0)</f>
        <v>0</v>
      </c>
      <c r="M290" s="9">
        <f>IFERROR(SUM(
IF('TL01'!$B$3=M$3,SUMIF('TL01'!$C$10:$C$224,$C290,'TL01'!$J$10:$J$224),0),
IF('TL01'!$B$229=M$3,SUMIF('TL01'!$C$238:$C$451,$C290,'TL01'!$J$238:$J$451),0),
IF('TL02'!$B$3=M$3,SUMIF('TL02'!$C$10:$C$224,$C290,'TL02'!$J$10:$J$224),0),
IF('TL02'!$B$229=M$3,SUMIF('TL02'!$C$238:$C$451,$C290,'TL02'!$J$238:$J$451),0),
IF('TL03'!$B$3=M$3,SUMIF('TL03'!$C$10:$C$224,$C290,'TL03'!$J$10:$J$224),0),
IF('TL03'!$B$229=M$3,SUMIF('TL03'!$C$238:$C$451,$C290,'TL03'!$J$238:$J$451),0),
IF('TL04'!$B$3=M$3,SUMIF('TL04'!$C$10:$C$224,$C290,'TL04'!$J$10:$J$224),0),
IF('TL04'!$B$229=M$3,SUMIF('TL04'!$C$238:$C$451,$C290,'TL04'!$J$238:$J$451),0),
IF('TL05'!$B$3=M$3,SUMIF('TL05'!$C$10:$C$224,$C290,'TL05'!$J$10:$J$224),0),
IF('TL05'!$B$229=M$3,SUMIF('TL05'!$C$238:$C$451,$C290,'TL05'!$J$238:$J$451),0),
IF('TL06'!$B$3=M$3,SUMIF('TL06'!$C$10:$C$224,$C290,'TL06'!$J$10:$J$224),0),
IF('TL06'!$B$229=M$3,SUMIF('TL06'!$C$238:$C$451,$C290,'TL06'!$J$238:$J$451),0),
IF('TL07'!$B$3=M$3,SUMIF('TL07'!$C$10:$C$224,$C290,'TL07'!$J$10:$J$224),0),
IF('TL07'!$B$229=M$3,SUMIF('TL07'!$C$238:$C$451,$C290,'TL07'!$J$238:$J$451),0),
IF('TL08'!$B$3=M$3,SUMIF('TL08'!$C$10:$C$224,$C290,'TL08'!$J$10:$J$224),0),
IF('TL08'!$B$229=M$3,SUMIF('TL08'!$C$238:$C$451,$C290,'TL08'!$J$238:$J$451),0),
IF('TL09'!$B$3=M$3,SUMIF('TL09'!$C$10:$C$224,$C290,'TL09'!$J$10:$J$224),0),
IF('TL09'!$B$229=M$3,SUMIF('TL09'!$C$238:$C$451,$C290,'TL09'!$J$238:$J$451),0),
IF('TL10'!$B$3=M$3,SUMIF('TL10'!$C$10:$C$224,$C290,'TL10'!$J$10:$J$224),0),
IF('TL10'!$B$229=M$3,SUMIF('TL10'!$C$238:$C$451,$C290,'TL10'!$J$238:$J$451),0),
IF('TL11'!$B$3=M$3,SUMIF('TL11'!$C$10:$C$224,$C290,'TL11'!$J$10:$J$224),0),
IF('TL11'!$B$229=M$3,SUMIF('TL11'!$C$238:$C$451,$C290,'TL11'!$J$238:$J$451),0),
IF('TL12'!$B$3=M$3,SUMIF('TL12'!$C$10:$C$224,$C290,'TL12'!$J$10:$J$224),0),
IF('TL12'!$B$229=M$3,SUMIF('TL12'!$C$238:$C$451,$C290,'TL12'!$J$238:$J$451),0),
IF('TL13'!$B$3=M$3,SUMIF('TL13'!$C$10:$C$224,$C290,'TL13'!$J$10:$J$224),0),
IF('TL13'!$B$229=M$3,SUMIF('TL13'!$C$238:$C$451,$C290,'TL13'!$J$238:$J$451),0),
IF('TL14'!$B$3=M$3,SUMIF('TL14'!$C$10:$C$224,$C290,'TL14'!$J$10:$J$224),0),
IF('TL14'!$B$229=M$3,SUMIF('TL14'!$C$238:$C$451,$C290,'TL14'!$J$238:$J$451),0),
IF('TL15'!$B$3=M$3,SUMIF('TL15'!$C$10:$C$224,$C290,'TL15'!$J$10:$J$224),0),
IF('TL15'!$B$229=M$3,SUMIF('TL15'!$C$238:$C$451,$C290,'TL15'!$J$238:$J$451),0),
IF('TL16'!$B$3=M$3,SUMIF('TL16'!$C$10:$C$224,$C290,'TL16'!$J$10:$J$224),0),
IF('TL16'!$B$229=M$3,SUMIF('TL16'!$C$238:$C$451,$C290,'TL16'!$J$238:$J$451),0),
IF('TL17'!$B$3=M$3,SUMIF('TL17'!$C$10:$C$224,$C290,'TL17'!$J$10:$J$224),0),
IF('TL17'!$B$229=M$3,SUMIF('TL17'!$C$238:$C$451,$C290,'TL17'!$J$238:$J$451),0),
IF('TL18'!$B$3=M$3,SUMIF('TL18'!$C$10:$C$224,$C290,'TL18'!$J$10:$J$224),0),
IF('TL18'!$B$229=M$3,SUMIF('TL18'!$C$238:$C$451,$C290,'TL18'!$J$238:$J$451),0),
IF('TL19'!$B$3=M$3,SUMIF('TL19'!$C$10:$C$224,$C290,'TL19'!$J$10:$J$224),0),
IF('TL19'!$B$229=M$3,SUMIF('TL19'!$C$238:$C$451,$C290,'TL19'!$J$238:$J$451),0)
),0)</f>
        <v>0</v>
      </c>
      <c r="N290" s="9">
        <f>IFERROR(SUM(
IF('TL01'!$B$3=N$3,SUMIF('TL01'!$C$10:$C$224,$C290,'TL01'!$J$10:$J$224),0),
IF('TL01'!$B$229=N$3,SUMIF('TL01'!$C$238:$C$451,$C290,'TL01'!$J$238:$J$451),0),
IF('TL02'!$B$3=N$3,SUMIF('TL02'!$C$10:$C$224,$C290,'TL02'!$J$10:$J$224),0),
IF('TL02'!$B$229=N$3,SUMIF('TL02'!$C$238:$C$451,$C290,'TL02'!$J$238:$J$451),0),
IF('TL03'!$B$3=N$3,SUMIF('TL03'!$C$10:$C$224,$C290,'TL03'!$J$10:$J$224),0),
IF('TL03'!$B$229=N$3,SUMIF('TL03'!$C$238:$C$451,$C290,'TL03'!$J$238:$J$451),0),
IF('TL04'!$B$3=N$3,SUMIF('TL04'!$C$10:$C$224,$C290,'TL04'!$J$10:$J$224),0),
IF('TL04'!$B$229=N$3,SUMIF('TL04'!$C$238:$C$451,$C290,'TL04'!$J$238:$J$451),0),
IF('TL05'!$B$3=N$3,SUMIF('TL05'!$C$10:$C$224,$C290,'TL05'!$J$10:$J$224),0),
IF('TL05'!$B$229=N$3,SUMIF('TL05'!$C$238:$C$451,$C290,'TL05'!$J$238:$J$451),0),
IF('TL06'!$B$3=N$3,SUMIF('TL06'!$C$10:$C$224,$C290,'TL06'!$J$10:$J$224),0),
IF('TL06'!$B$229=N$3,SUMIF('TL06'!$C$238:$C$451,$C290,'TL06'!$J$238:$J$451),0),
IF('TL07'!$B$3=N$3,SUMIF('TL07'!$C$10:$C$224,$C290,'TL07'!$J$10:$J$224),0),
IF('TL07'!$B$229=N$3,SUMIF('TL07'!$C$238:$C$451,$C290,'TL07'!$J$238:$J$451),0),
IF('TL08'!$B$3=N$3,SUMIF('TL08'!$C$10:$C$224,$C290,'TL08'!$J$10:$J$224),0),
IF('TL08'!$B$229=N$3,SUMIF('TL08'!$C$238:$C$451,$C290,'TL08'!$J$238:$J$451),0),
IF('TL09'!$B$3=N$3,SUMIF('TL09'!$C$10:$C$224,$C290,'TL09'!$J$10:$J$224),0),
IF('TL09'!$B$229=N$3,SUMIF('TL09'!$C$238:$C$451,$C290,'TL09'!$J$238:$J$451),0),
IF('TL10'!$B$3=N$3,SUMIF('TL10'!$C$10:$C$224,$C290,'TL10'!$J$10:$J$224),0),
IF('TL10'!$B$229=N$3,SUMIF('TL10'!$C$238:$C$451,$C290,'TL10'!$J$238:$J$451),0),
IF('TL11'!$B$3=N$3,SUMIF('TL11'!$C$10:$C$224,$C290,'TL11'!$J$10:$J$224),0),
IF('TL11'!$B$229=N$3,SUMIF('TL11'!$C$238:$C$451,$C290,'TL11'!$J$238:$J$451),0),
IF('TL12'!$B$3=N$3,SUMIF('TL12'!$C$10:$C$224,$C290,'TL12'!$J$10:$J$224),0),
IF('TL12'!$B$229=N$3,SUMIF('TL12'!$C$238:$C$451,$C290,'TL12'!$J$238:$J$451),0),
IF('TL13'!$B$3=N$3,SUMIF('TL13'!$C$10:$C$224,$C290,'TL13'!$J$10:$J$224),0),
IF('TL13'!$B$229=N$3,SUMIF('TL13'!$C$238:$C$451,$C290,'TL13'!$J$238:$J$451),0),
IF('TL14'!$B$3=N$3,SUMIF('TL14'!$C$10:$C$224,$C290,'TL14'!$J$10:$J$224),0),
IF('TL14'!$B$229=N$3,SUMIF('TL14'!$C$238:$C$451,$C290,'TL14'!$J$238:$J$451),0),
IF('TL15'!$B$3=N$3,SUMIF('TL15'!$C$10:$C$224,$C290,'TL15'!$J$10:$J$224),0),
IF('TL15'!$B$229=N$3,SUMIF('TL15'!$C$238:$C$451,$C290,'TL15'!$J$238:$J$451),0),
IF('TL16'!$B$3=N$3,SUMIF('TL16'!$C$10:$C$224,$C290,'TL16'!$J$10:$J$224),0),
IF('TL16'!$B$229=N$3,SUMIF('TL16'!$C$238:$C$451,$C290,'TL16'!$J$238:$J$451),0),
IF('TL17'!$B$3=N$3,SUMIF('TL17'!$C$10:$C$224,$C290,'TL17'!$J$10:$J$224),0),
IF('TL17'!$B$229=N$3,SUMIF('TL17'!$C$238:$C$451,$C290,'TL17'!$J$238:$J$451),0),
IF('TL18'!$B$3=N$3,SUMIF('TL18'!$C$10:$C$224,$C290,'TL18'!$J$10:$J$224),0),
IF('TL18'!$B$229=N$3,SUMIF('TL18'!$C$238:$C$451,$C290,'TL18'!$J$238:$J$451),0),
IF('TL19'!$B$3=N$3,SUMIF('TL19'!$C$10:$C$224,$C290,'TL19'!$J$10:$J$224),0),
IF('TL19'!$B$229=N$3,SUMIF('TL19'!$C$238:$C$451,$C290,'TL19'!$J$238:$J$451),0)
),0)</f>
        <v>0</v>
      </c>
      <c r="O290" s="9">
        <f>IFERROR(SUM(
IF('TL01'!$B$3=O$3,SUMIF('TL01'!$C$10:$C$224,$C290,'TL01'!$J$10:$J$224),0),
IF('TL01'!$B$229=O$3,SUMIF('TL01'!$C$238:$C$451,$C290,'TL01'!$J$238:$J$451),0),
IF('TL02'!$B$3=O$3,SUMIF('TL02'!$C$10:$C$224,$C290,'TL02'!$J$10:$J$224),0),
IF('TL02'!$B$229=O$3,SUMIF('TL02'!$C$238:$C$451,$C290,'TL02'!$J$238:$J$451),0),
IF('TL03'!$B$3=O$3,SUMIF('TL03'!$C$10:$C$224,$C290,'TL03'!$J$10:$J$224),0),
IF('TL03'!$B$229=O$3,SUMIF('TL03'!$C$238:$C$451,$C290,'TL03'!$J$238:$J$451),0),
IF('TL04'!$B$3=O$3,SUMIF('TL04'!$C$10:$C$224,$C290,'TL04'!$J$10:$J$224),0),
IF('TL04'!$B$229=O$3,SUMIF('TL04'!$C$238:$C$451,$C290,'TL04'!$J$238:$J$451),0),
IF('TL05'!$B$3=O$3,SUMIF('TL05'!$C$10:$C$224,$C290,'TL05'!$J$10:$J$224),0),
IF('TL05'!$B$229=O$3,SUMIF('TL05'!$C$238:$C$451,$C290,'TL05'!$J$238:$J$451),0),
IF('TL06'!$B$3=O$3,SUMIF('TL06'!$C$10:$C$224,$C290,'TL06'!$J$10:$J$224),0),
IF('TL06'!$B$229=O$3,SUMIF('TL06'!$C$238:$C$451,$C290,'TL06'!$J$238:$J$451),0),
IF('TL07'!$B$3=O$3,SUMIF('TL07'!$C$10:$C$224,$C290,'TL07'!$J$10:$J$224),0),
IF('TL07'!$B$229=O$3,SUMIF('TL07'!$C$238:$C$451,$C290,'TL07'!$J$238:$J$451),0),
IF('TL08'!$B$3=O$3,SUMIF('TL08'!$C$10:$C$224,$C290,'TL08'!$J$10:$J$224),0),
IF('TL08'!$B$229=O$3,SUMIF('TL08'!$C$238:$C$451,$C290,'TL08'!$J$238:$J$451),0),
IF('TL09'!$B$3=O$3,SUMIF('TL09'!$C$10:$C$224,$C290,'TL09'!$J$10:$J$224),0),
IF('TL09'!$B$229=O$3,SUMIF('TL09'!$C$238:$C$451,$C290,'TL09'!$J$238:$J$451),0),
IF('TL10'!$B$3=O$3,SUMIF('TL10'!$C$10:$C$224,$C290,'TL10'!$J$10:$J$224),0),
IF('TL10'!$B$229=O$3,SUMIF('TL10'!$C$238:$C$451,$C290,'TL10'!$J$238:$J$451),0),
IF('TL11'!$B$3=O$3,SUMIF('TL11'!$C$10:$C$224,$C290,'TL11'!$J$10:$J$224),0),
IF('TL11'!$B$229=O$3,SUMIF('TL11'!$C$238:$C$451,$C290,'TL11'!$J$238:$J$451),0),
IF('TL12'!$B$3=O$3,SUMIF('TL12'!$C$10:$C$224,$C290,'TL12'!$J$10:$J$224),0),
IF('TL12'!$B$229=O$3,SUMIF('TL12'!$C$238:$C$451,$C290,'TL12'!$J$238:$J$451),0),
IF('TL13'!$B$3=O$3,SUMIF('TL13'!$C$10:$C$224,$C290,'TL13'!$J$10:$J$224),0),
IF('TL13'!$B$229=O$3,SUMIF('TL13'!$C$238:$C$451,$C290,'TL13'!$J$238:$J$451),0),
IF('TL14'!$B$3=O$3,SUMIF('TL14'!$C$10:$C$224,$C290,'TL14'!$J$10:$J$224),0),
IF('TL14'!$B$229=O$3,SUMIF('TL14'!$C$238:$C$451,$C290,'TL14'!$J$238:$J$451),0),
IF('TL15'!$B$3=O$3,SUMIF('TL15'!$C$10:$C$224,$C290,'TL15'!$J$10:$J$224),0),
IF('TL15'!$B$229=O$3,SUMIF('TL15'!$C$238:$C$451,$C290,'TL15'!$J$238:$J$451),0),
IF('TL16'!$B$3=O$3,SUMIF('TL16'!$C$10:$C$224,$C290,'TL16'!$J$10:$J$224),0),
IF('TL16'!$B$229=O$3,SUMIF('TL16'!$C$238:$C$451,$C290,'TL16'!$J$238:$J$451),0),
IF('TL17'!$B$3=O$3,SUMIF('TL17'!$C$10:$C$224,$C290,'TL17'!$J$10:$J$224),0),
IF('TL17'!$B$229=O$3,SUMIF('TL17'!$C$238:$C$451,$C290,'TL17'!$J$238:$J$451),0),
IF('TL18'!$B$3=O$3,SUMIF('TL18'!$C$10:$C$224,$C290,'TL18'!$J$10:$J$224),0),
IF('TL18'!$B$229=O$3,SUMIF('TL18'!$C$238:$C$451,$C290,'TL18'!$J$238:$J$451),0),
IF('TL19'!$B$3=O$3,SUMIF('TL19'!$C$10:$C$224,$C290,'TL19'!$J$10:$J$224),0),
IF('TL19'!$B$229=O$3,SUMIF('TL19'!$C$238:$C$451,$C290,'TL19'!$J$238:$J$451),0)
),0)</f>
        <v>0</v>
      </c>
      <c r="P290" s="9">
        <f>IFERROR(SUM(
IF('TL01'!$B$3=P$3,SUMIF('TL01'!$C$10:$C$224,$C290,'TL01'!$J$10:$J$224),0),
IF('TL01'!$B$229=P$3,SUMIF('TL01'!$C$238:$C$451,$C290,'TL01'!$J$238:$J$451),0),
IF('TL02'!$B$3=P$3,SUMIF('TL02'!$C$10:$C$224,$C290,'TL02'!$J$10:$J$224),0),
IF('TL02'!$B$229=P$3,SUMIF('TL02'!$C$238:$C$451,$C290,'TL02'!$J$238:$J$451),0),
IF('TL03'!$B$3=P$3,SUMIF('TL03'!$C$10:$C$224,$C290,'TL03'!$J$10:$J$224),0),
IF('TL03'!$B$229=P$3,SUMIF('TL03'!$C$238:$C$451,$C290,'TL03'!$J$238:$J$451),0),
IF('TL04'!$B$3=P$3,SUMIF('TL04'!$C$10:$C$224,$C290,'TL04'!$J$10:$J$224),0),
IF('TL04'!$B$229=P$3,SUMIF('TL04'!$C$238:$C$451,$C290,'TL04'!$J$238:$J$451),0),
IF('TL05'!$B$3=P$3,SUMIF('TL05'!$C$10:$C$224,$C290,'TL05'!$J$10:$J$224),0),
IF('TL05'!$B$229=P$3,SUMIF('TL05'!$C$238:$C$451,$C290,'TL05'!$J$238:$J$451),0),
IF('TL06'!$B$3=P$3,SUMIF('TL06'!$C$10:$C$224,$C290,'TL06'!$J$10:$J$224),0),
IF('TL06'!$B$229=P$3,SUMIF('TL06'!$C$238:$C$451,$C290,'TL06'!$J$238:$J$451),0),
IF('TL07'!$B$3=P$3,SUMIF('TL07'!$C$10:$C$224,$C290,'TL07'!$J$10:$J$224),0),
IF('TL07'!$B$229=P$3,SUMIF('TL07'!$C$238:$C$451,$C290,'TL07'!$J$238:$J$451),0),
IF('TL08'!$B$3=P$3,SUMIF('TL08'!$C$10:$C$224,$C290,'TL08'!$J$10:$J$224),0),
IF('TL08'!$B$229=P$3,SUMIF('TL08'!$C$238:$C$451,$C290,'TL08'!$J$238:$J$451),0),
IF('TL09'!$B$3=P$3,SUMIF('TL09'!$C$10:$C$224,$C290,'TL09'!$J$10:$J$224),0),
IF('TL09'!$B$229=P$3,SUMIF('TL09'!$C$238:$C$451,$C290,'TL09'!$J$238:$J$451),0),
IF('TL10'!$B$3=P$3,SUMIF('TL10'!$C$10:$C$224,$C290,'TL10'!$J$10:$J$224),0),
IF('TL10'!$B$229=P$3,SUMIF('TL10'!$C$238:$C$451,$C290,'TL10'!$J$238:$J$451),0),
IF('TL11'!$B$3=P$3,SUMIF('TL11'!$C$10:$C$224,$C290,'TL11'!$J$10:$J$224),0),
IF('TL11'!$B$229=P$3,SUMIF('TL11'!$C$238:$C$451,$C290,'TL11'!$J$238:$J$451),0),
IF('TL12'!$B$3=P$3,SUMIF('TL12'!$C$10:$C$224,$C290,'TL12'!$J$10:$J$224),0),
IF('TL12'!$B$229=P$3,SUMIF('TL12'!$C$238:$C$451,$C290,'TL12'!$J$238:$J$451),0),
IF('TL13'!$B$3=P$3,SUMIF('TL13'!$C$10:$C$224,$C290,'TL13'!$J$10:$J$224),0),
IF('TL13'!$B$229=P$3,SUMIF('TL13'!$C$238:$C$451,$C290,'TL13'!$J$238:$J$451),0),
IF('TL14'!$B$3=P$3,SUMIF('TL14'!$C$10:$C$224,$C290,'TL14'!$J$10:$J$224),0),
IF('TL14'!$B$229=P$3,SUMIF('TL14'!$C$238:$C$451,$C290,'TL14'!$J$238:$J$451),0),
IF('TL15'!$B$3=P$3,SUMIF('TL15'!$C$10:$C$224,$C290,'TL15'!$J$10:$J$224),0),
IF('TL15'!$B$229=P$3,SUMIF('TL15'!$C$238:$C$451,$C290,'TL15'!$J$238:$J$451),0),
IF('TL16'!$B$3=P$3,SUMIF('TL16'!$C$10:$C$224,$C290,'TL16'!$J$10:$J$224),0),
IF('TL16'!$B$229=P$3,SUMIF('TL16'!$C$238:$C$451,$C290,'TL16'!$J$238:$J$451),0),
IF('TL17'!$B$3=P$3,SUMIF('TL17'!$C$10:$C$224,$C290,'TL17'!$J$10:$J$224),0),
IF('TL17'!$B$229=P$3,SUMIF('TL17'!$C$238:$C$451,$C290,'TL17'!$J$238:$J$451),0),
IF('TL18'!$B$3=P$3,SUMIF('TL18'!$C$10:$C$224,$C290,'TL18'!$J$10:$J$224),0),
IF('TL18'!$B$229=P$3,SUMIF('TL18'!$C$238:$C$451,$C290,'TL18'!$J$238:$J$451),0),
IF('TL19'!$B$3=P$3,SUMIF('TL19'!$C$10:$C$224,$C290,'TL19'!$J$10:$J$224),0),
IF('TL19'!$B$229=P$3,SUMIF('TL19'!$C$238:$C$451,$C290,'TL19'!$J$238:$J$451),0)
),0)</f>
        <v>0</v>
      </c>
      <c r="Q290" s="9">
        <f>IFERROR(SUM(
IF('TL01'!$B$3=Q$3,SUMIF('TL01'!$C$10:$C$224,$C290,'TL01'!$J$10:$J$224),0),
IF('TL01'!$B$229=Q$3,SUMIF('TL01'!$C$238:$C$451,$C290,'TL01'!$J$238:$J$451),0),
IF('TL02'!$B$3=Q$3,SUMIF('TL02'!$C$10:$C$224,$C290,'TL02'!$J$10:$J$224),0),
IF('TL02'!$B$229=Q$3,SUMIF('TL02'!$C$238:$C$451,$C290,'TL02'!$J$238:$J$451),0),
IF('TL03'!$B$3=Q$3,SUMIF('TL03'!$C$10:$C$224,$C290,'TL03'!$J$10:$J$224),0),
IF('TL03'!$B$229=Q$3,SUMIF('TL03'!$C$238:$C$451,$C290,'TL03'!$J$238:$J$451),0),
IF('TL04'!$B$3=Q$3,SUMIF('TL04'!$C$10:$C$224,$C290,'TL04'!$J$10:$J$224),0),
IF('TL04'!$B$229=Q$3,SUMIF('TL04'!$C$238:$C$451,$C290,'TL04'!$J$238:$J$451),0),
IF('TL05'!$B$3=Q$3,SUMIF('TL05'!$C$10:$C$224,$C290,'TL05'!$J$10:$J$224),0),
IF('TL05'!$B$229=Q$3,SUMIF('TL05'!$C$238:$C$451,$C290,'TL05'!$J$238:$J$451),0),
IF('TL06'!$B$3=Q$3,SUMIF('TL06'!$C$10:$C$224,$C290,'TL06'!$J$10:$J$224),0),
IF('TL06'!$B$229=Q$3,SUMIF('TL06'!$C$238:$C$451,$C290,'TL06'!$J$238:$J$451),0),
IF('TL07'!$B$3=Q$3,SUMIF('TL07'!$C$10:$C$224,$C290,'TL07'!$J$10:$J$224),0),
IF('TL07'!$B$229=Q$3,SUMIF('TL07'!$C$238:$C$451,$C290,'TL07'!$J$238:$J$451),0),
IF('TL08'!$B$3=Q$3,SUMIF('TL08'!$C$10:$C$224,$C290,'TL08'!$J$10:$J$224),0),
IF('TL08'!$B$229=Q$3,SUMIF('TL08'!$C$238:$C$451,$C290,'TL08'!$J$238:$J$451),0),
IF('TL09'!$B$3=Q$3,SUMIF('TL09'!$C$10:$C$224,$C290,'TL09'!$J$10:$J$224),0),
IF('TL09'!$B$229=Q$3,SUMIF('TL09'!$C$238:$C$451,$C290,'TL09'!$J$238:$J$451),0),
IF('TL10'!$B$3=Q$3,SUMIF('TL10'!$C$10:$C$224,$C290,'TL10'!$J$10:$J$224),0),
IF('TL10'!$B$229=Q$3,SUMIF('TL10'!$C$238:$C$451,$C290,'TL10'!$J$238:$J$451),0),
IF('TL11'!$B$3=Q$3,SUMIF('TL11'!$C$10:$C$224,$C290,'TL11'!$J$10:$J$224),0),
IF('TL11'!$B$229=Q$3,SUMIF('TL11'!$C$238:$C$451,$C290,'TL11'!$J$238:$J$451),0),
IF('TL12'!$B$3=Q$3,SUMIF('TL12'!$C$10:$C$224,$C290,'TL12'!$J$10:$J$224),0),
IF('TL12'!$B$229=Q$3,SUMIF('TL12'!$C$238:$C$451,$C290,'TL12'!$J$238:$J$451),0),
IF('TL13'!$B$3=Q$3,SUMIF('TL13'!$C$10:$C$224,$C290,'TL13'!$J$10:$J$224),0),
IF('TL13'!$B$229=Q$3,SUMIF('TL13'!$C$238:$C$451,$C290,'TL13'!$J$238:$J$451),0),
IF('TL14'!$B$3=Q$3,SUMIF('TL14'!$C$10:$C$224,$C290,'TL14'!$J$10:$J$224),0),
IF('TL14'!$B$229=Q$3,SUMIF('TL14'!$C$238:$C$451,$C290,'TL14'!$J$238:$J$451),0),
IF('TL15'!$B$3=Q$3,SUMIF('TL15'!$C$10:$C$224,$C290,'TL15'!$J$10:$J$224),0),
IF('TL15'!$B$229=Q$3,SUMIF('TL15'!$C$238:$C$451,$C290,'TL15'!$J$238:$J$451),0),
IF('TL16'!$B$3=Q$3,SUMIF('TL16'!$C$10:$C$224,$C290,'TL16'!$J$10:$J$224),0),
IF('TL16'!$B$229=Q$3,SUMIF('TL16'!$C$238:$C$451,$C290,'TL16'!$J$238:$J$451),0),
IF('TL17'!$B$3=Q$3,SUMIF('TL17'!$C$10:$C$224,$C290,'TL17'!$J$10:$J$224),0),
IF('TL17'!$B$229=Q$3,SUMIF('TL17'!$C$238:$C$451,$C290,'TL17'!$J$238:$J$451),0),
IF('TL18'!$B$3=Q$3,SUMIF('TL18'!$C$10:$C$224,$C290,'TL18'!$J$10:$J$224),0),
IF('TL18'!$B$229=Q$3,SUMIF('TL18'!$C$238:$C$451,$C290,'TL18'!$J$238:$J$451),0),
IF('TL19'!$B$3=Q$3,SUMIF('TL19'!$C$10:$C$224,$C290,'TL19'!$J$10:$J$224),0),
IF('TL19'!$B$229=Q$3,SUMIF('TL19'!$C$238:$C$451,$C290,'TL19'!$J$238:$J$451),0)
),0)</f>
        <v>0</v>
      </c>
      <c r="R290" s="9">
        <f>IFERROR(
SUM(
SUMIF('TL01'!C:C,C290,'TL01'!J:J),
SUMIF('TL02'!C:C,C290,'TL02'!J:J),
SUMIF('TL03'!C:C,C290,'TL03'!J:J),
SUMIF('TL04'!C:C,C290,'TL04'!J:J),
SUMIF('TL05'!C:C,C290,'TL05'!J:J),
SUMIF('TL06'!C:C,C290,'TL06'!J:J),
SUMIF('TL07'!C:C,C290,'TL07'!J:J),
SUMIF('TL08'!C:C,C290,'TL08'!J:J),
SUMIF('TL09'!C:C,C290,'TL09'!J:J),
SUMIF('TL10'!C:C,C290,'TL10'!J:J),
SUMIF('TL11'!C:C,C290,'TL11'!J:J),
SUMIF('TL12'!C:C,C290,'TL12'!J:J),
SUMIF('TL13'!C:C,C290,'TL13'!J:J),
SUMIF('TL14'!C:C,C290,'TL14'!J:J),
SUMIF('TL15'!C:C,C290,'TL15'!J:J),
SUMIF('TL16'!C:C,C290,'TL16'!J:J),
SUMIF('TL17'!C:C,C290,'TL17'!J:J),
SUMIF('TL18'!C:C,C290,'TL18'!J:J),SUMIF('TL19'!C:C,C290,'TL19'!J:J))
,0)</f>
        <v>0</v>
      </c>
      <c r="S290" s="17">
        <f>IFERROR(__xludf.DUMMYFUNCTION("IFERROR(VLOOKUP(C290,
IMPORTRANGE(""1wULbzX32WdYsx-lj2U3uUNBBe2INVIRDtcK0d-Dvl90"",
""26-27!C:G""),
5,
FALSE),
"""")"),157.47199999999998)</f>
        <v>157.472</v>
      </c>
      <c r="T290" s="9"/>
      <c r="U290" s="92">
        <f t="shared" si="2"/>
        <v>0</v>
      </c>
      <c r="V290" s="93">
        <f t="shared" si="3"/>
        <v>0</v>
      </c>
    </row>
    <row r="291" ht="15.75" hidden="1" customHeight="1">
      <c r="A291" s="122" t="s">
        <v>358</v>
      </c>
      <c r="B291" s="124" t="s">
        <v>3</v>
      </c>
      <c r="C291" s="122" t="s">
        <v>999</v>
      </c>
      <c r="D291" s="122" t="s">
        <v>1000</v>
      </c>
      <c r="E291" s="122" t="s">
        <v>1001</v>
      </c>
      <c r="F291" s="4"/>
      <c r="G291" s="90" t="str">
        <f t="shared" si="5"/>
        <v>📄 Ver bula</v>
      </c>
      <c r="H291" s="9">
        <f>IFERROR(__xludf.DUMMYFUNCTION("IFERROR(VLOOKUP(C291,
IMPORTRANGE(""1wULbzX32WdYsx-lj2U3uUNBBe2INVIRDtcK0d-Dvl90"",
""26-27!C:K""),
8,
FALSE),
"""")"),0.05)</f>
        <v>0.05</v>
      </c>
      <c r="I291" s="123"/>
      <c r="J291" s="9">
        <f>IFERROR(SUM(
IF('TL01'!$B$3=J$3,SUMIF('TL01'!$C$10:$C$224,$C291,'TL01'!$J$10:$J$224),0),
IF('TL01'!$B$229=J$3,SUMIF('TL01'!$C$238:$C$451,$C291,'TL01'!$J$238:$J$451),0),
IF('TL02'!$B$3=J$3,SUMIF('TL02'!$C$10:$C$224,$C291,'TL02'!$J$10:$J$224),0),
IF('TL02'!$B$229=J$3,SUMIF('TL02'!$C$238:$C$451,$C291,'TL02'!$J$238:$J$451),0),
IF('TL03'!$B$3=J$3,SUMIF('TL03'!$C$10:$C$224,$C291,'TL03'!$J$10:$J$224),0),
IF('TL03'!$B$229=J$3,SUMIF('TL03'!$C$238:$C$451,$C291,'TL03'!$J$238:$J$451),0),
IF('TL04'!$B$3=J$3,SUMIF('TL04'!$C$10:$C$224,$C291,'TL04'!$J$10:$J$224),0),
IF('TL04'!$B$229=J$3,SUMIF('TL04'!$C$238:$C$451,$C291,'TL04'!$J$238:$J$451),0),
IF('TL05'!$B$3=J$3,SUMIF('TL05'!$C$10:$C$224,$C291,'TL05'!$J$10:$J$224),0),
IF('TL05'!$B$229=J$3,SUMIF('TL05'!$C$238:$C$451,$C291,'TL05'!$J$238:$J$451),0),
IF('TL06'!$B$3=J$3,SUMIF('TL06'!$C$10:$C$224,$C291,'TL06'!$J$10:$J$224),0),
IF('TL06'!$B$229=J$3,SUMIF('TL06'!$C$238:$C$451,$C291,'TL06'!$J$238:$J$451),0),
IF('TL07'!$B$3=J$3,SUMIF('TL07'!$C$10:$C$224,$C291,'TL07'!$J$10:$J$224),0),
IF('TL07'!$B$229=J$3,SUMIF('TL07'!$C$238:$C$451,$C291,'TL07'!$J$238:$J$451),0),
IF('TL08'!$B$3=J$3,SUMIF('TL08'!$C$10:$C$224,$C291,'TL08'!$J$10:$J$224),0),
IF('TL08'!$B$229=J$3,SUMIF('TL08'!$C$238:$C$451,$C291,'TL08'!$J$238:$J$451),0),
IF('TL09'!$B$3=J$3,SUMIF('TL09'!$C$10:$C$224,$C291,'TL09'!$J$10:$J$224),0),
IF('TL09'!$B$229=J$3,SUMIF('TL09'!$C$238:$C$451,$C291,'TL09'!$J$238:$J$451),0),
IF('TL10'!$B$3=J$3,SUMIF('TL10'!$C$10:$C$224,$C291,'TL10'!$J$10:$J$224),0),
IF('TL10'!$B$229=J$3,SUMIF('TL10'!$C$238:$C$451,$C291,'TL10'!$J$238:$J$451),0),
IF('TL11'!$B$3=J$3,SUMIF('TL11'!$C$10:$C$224,$C291,'TL11'!$J$10:$J$224),0),
IF('TL11'!$B$229=J$3,SUMIF('TL11'!$C$238:$C$451,$C291,'TL11'!$J$238:$J$451),0),
IF('TL12'!$B$3=J$3,SUMIF('TL12'!$C$10:$C$224,$C291,'TL12'!$J$10:$J$224),0),
IF('TL12'!$B$229=J$3,SUMIF('TL12'!$C$238:$C$451,$C291,'TL12'!$J$238:$J$451),0),
IF('TL13'!$B$3=J$3,SUMIF('TL13'!$C$10:$C$224,$C291,'TL13'!$J$10:$J$224),0),
IF('TL13'!$B$229=J$3,SUMIF('TL13'!$C$238:$C$451,$C291,'TL13'!$J$238:$J$451),0),
IF('TL14'!$B$3=J$3,SUMIF('TL14'!$C$10:$C$224,$C291,'TL14'!$J$10:$J$224),0),
IF('TL14'!$B$229=J$3,SUMIF('TL14'!$C$238:$C$451,$C291,'TL14'!$J$238:$J$451),0),
IF('TL15'!$B$3=J$3,SUMIF('TL15'!$C$10:$C$224,$C291,'TL15'!$J$10:$J$224),0),
IF('TL15'!$B$229=J$3,SUMIF('TL15'!$C$238:$C$451,$C291,'TL15'!$J$238:$J$451),0),
IF('TL16'!$B$3=J$3,SUMIF('TL16'!$C$10:$C$224,$C291,'TL16'!$J$10:$J$224),0),
IF('TL16'!$B$229=J$3,SUMIF('TL16'!$C$238:$C$451,$C291,'TL16'!$J$238:$J$451),0),
IF('TL17'!$B$3=J$3,SUMIF('TL17'!$C$10:$C$224,$C291,'TL17'!$J$10:$J$224),0),
IF('TL17'!$B$229=J$3,SUMIF('TL17'!$C$238:$C$451,$C291,'TL17'!$J$238:$J$451),0),
IF('TL18'!$B$3=J$3,SUMIF('TL18'!$C$10:$C$224,$C291,'TL18'!$J$10:$J$224),0),
IF('TL18'!$B$229=J$3,SUMIF('TL18'!$C$238:$C$451,$C291,'TL18'!$J$238:$J$451),0),
IF('TL19'!$B$3=J$3,SUMIF('TL19'!$C$10:$C$224,$C291,'TL19'!$J$10:$J$224),0),
IF('TL19'!$B$229=J$3,SUMIF('TL19'!$C$238:$C$451,$C291,'TL19'!$J$238:$J$451),0)
),0)</f>
        <v>0</v>
      </c>
      <c r="K291" s="9">
        <f>IFERROR(SUM(
IF('TL01'!$B$3=K$3,SUMIF('TL01'!$C$10:$C$224,$C291,'TL01'!$J$10:$J$224),0),
IF('TL01'!$B$229=K$3,SUMIF('TL01'!$C$238:$C$451,$C291,'TL01'!$J$238:$J$451),0),
IF('TL02'!$B$3=K$3,SUMIF('TL02'!$C$10:$C$224,$C291,'TL02'!$J$10:$J$224),0),
IF('TL02'!$B$229=K$3,SUMIF('TL02'!$C$238:$C$451,$C291,'TL02'!$J$238:$J$451),0),
IF('TL03'!$B$3=K$3,SUMIF('TL03'!$C$10:$C$224,$C291,'TL03'!$J$10:$J$224),0),
IF('TL03'!$B$229=K$3,SUMIF('TL03'!$C$238:$C$451,$C291,'TL03'!$J$238:$J$451),0),
IF('TL04'!$B$3=K$3,SUMIF('TL04'!$C$10:$C$224,$C291,'TL04'!$J$10:$J$224),0),
IF('TL04'!$B$229=K$3,SUMIF('TL04'!$C$238:$C$451,$C291,'TL04'!$J$238:$J$451),0),
IF('TL05'!$B$3=K$3,SUMIF('TL05'!$C$10:$C$224,$C291,'TL05'!$J$10:$J$224),0),
IF('TL05'!$B$229=K$3,SUMIF('TL05'!$C$238:$C$451,$C291,'TL05'!$J$238:$J$451),0),
IF('TL06'!$B$3=K$3,SUMIF('TL06'!$C$10:$C$224,$C291,'TL06'!$J$10:$J$224),0),
IF('TL06'!$B$229=K$3,SUMIF('TL06'!$C$238:$C$451,$C291,'TL06'!$J$238:$J$451),0),
IF('TL07'!$B$3=K$3,SUMIF('TL07'!$C$10:$C$224,$C291,'TL07'!$J$10:$J$224),0),
IF('TL07'!$B$229=K$3,SUMIF('TL07'!$C$238:$C$451,$C291,'TL07'!$J$238:$J$451),0),
IF('TL08'!$B$3=K$3,SUMIF('TL08'!$C$10:$C$224,$C291,'TL08'!$J$10:$J$224),0),
IF('TL08'!$B$229=K$3,SUMIF('TL08'!$C$238:$C$451,$C291,'TL08'!$J$238:$J$451),0),
IF('TL09'!$B$3=K$3,SUMIF('TL09'!$C$10:$C$224,$C291,'TL09'!$J$10:$J$224),0),
IF('TL09'!$B$229=K$3,SUMIF('TL09'!$C$238:$C$451,$C291,'TL09'!$J$238:$J$451),0),
IF('TL10'!$B$3=K$3,SUMIF('TL10'!$C$10:$C$224,$C291,'TL10'!$J$10:$J$224),0),
IF('TL10'!$B$229=K$3,SUMIF('TL10'!$C$238:$C$451,$C291,'TL10'!$J$238:$J$451),0),
IF('TL11'!$B$3=K$3,SUMIF('TL11'!$C$10:$C$224,$C291,'TL11'!$J$10:$J$224),0),
IF('TL11'!$B$229=K$3,SUMIF('TL11'!$C$238:$C$451,$C291,'TL11'!$J$238:$J$451),0),
IF('TL12'!$B$3=K$3,SUMIF('TL12'!$C$10:$C$224,$C291,'TL12'!$J$10:$J$224),0),
IF('TL12'!$B$229=K$3,SUMIF('TL12'!$C$238:$C$451,$C291,'TL12'!$J$238:$J$451),0),
IF('TL13'!$B$3=K$3,SUMIF('TL13'!$C$10:$C$224,$C291,'TL13'!$J$10:$J$224),0),
IF('TL13'!$B$229=K$3,SUMIF('TL13'!$C$238:$C$451,$C291,'TL13'!$J$238:$J$451),0),
IF('TL14'!$B$3=K$3,SUMIF('TL14'!$C$10:$C$224,$C291,'TL14'!$J$10:$J$224),0),
IF('TL14'!$B$229=K$3,SUMIF('TL14'!$C$238:$C$451,$C291,'TL14'!$J$238:$J$451),0),
IF('TL15'!$B$3=K$3,SUMIF('TL15'!$C$10:$C$224,$C291,'TL15'!$J$10:$J$224),0),
IF('TL15'!$B$229=K$3,SUMIF('TL15'!$C$238:$C$451,$C291,'TL15'!$J$238:$J$451),0),
IF('TL16'!$B$3=K$3,SUMIF('TL16'!$C$10:$C$224,$C291,'TL16'!$J$10:$J$224),0),
IF('TL16'!$B$229=K$3,SUMIF('TL16'!$C$238:$C$451,$C291,'TL16'!$J$238:$J$451),0),
IF('TL17'!$B$3=K$3,SUMIF('TL17'!$C$10:$C$224,$C291,'TL17'!$J$10:$J$224),0),
IF('TL17'!$B$229=K$3,SUMIF('TL17'!$C$238:$C$451,$C291,'TL17'!$J$238:$J$451),0),
IF('TL18'!$B$3=K$3,SUMIF('TL18'!$C$10:$C$224,$C291,'TL18'!$J$10:$J$224),0),
IF('TL18'!$B$229=K$3,SUMIF('TL18'!$C$238:$C$451,$C291,'TL18'!$J$238:$J$451),0),
IF('TL19'!$B$3=K$3,SUMIF('TL19'!$C$10:$C$224,$C291,'TL19'!$J$10:$J$224),0),
IF('TL19'!$B$229=K$3,SUMIF('TL19'!$C$238:$C$451,$C291,'TL19'!$J$238:$J$451),0)
),0)</f>
        <v>0</v>
      </c>
      <c r="L291" s="9">
        <f>IFERROR(SUM(
IF('TL01'!$B$3=L$3,SUMIF('TL01'!$C$10:$C$224,$C291,'TL01'!$J$10:$J$224),0),
IF('TL01'!$B$229=L$3,SUMIF('TL01'!$C$238:$C$451,$C291,'TL01'!$J$238:$J$451),0),
IF('TL02'!$B$3=L$3,SUMIF('TL02'!$C$10:$C$224,$C291,'TL02'!$J$10:$J$224),0),
IF('TL02'!$B$229=L$3,SUMIF('TL02'!$C$238:$C$451,$C291,'TL02'!$J$238:$J$451),0),
IF('TL03'!$B$3=L$3,SUMIF('TL03'!$C$10:$C$224,$C291,'TL03'!$J$10:$J$224),0),
IF('TL03'!$B$229=L$3,SUMIF('TL03'!$C$238:$C$451,$C291,'TL03'!$J$238:$J$451),0),
IF('TL04'!$B$3=L$3,SUMIF('TL04'!$C$10:$C$224,$C291,'TL04'!$J$10:$J$224),0),
IF('TL04'!$B$229=L$3,SUMIF('TL04'!$C$238:$C$451,$C291,'TL04'!$J$238:$J$451),0),
IF('TL05'!$B$3=L$3,SUMIF('TL05'!$C$10:$C$224,$C291,'TL05'!$J$10:$J$224),0),
IF('TL05'!$B$229=L$3,SUMIF('TL05'!$C$238:$C$451,$C291,'TL05'!$J$238:$J$451),0),
IF('TL06'!$B$3=L$3,SUMIF('TL06'!$C$10:$C$224,$C291,'TL06'!$J$10:$J$224),0),
IF('TL06'!$B$229=L$3,SUMIF('TL06'!$C$238:$C$451,$C291,'TL06'!$J$238:$J$451),0),
IF('TL07'!$B$3=L$3,SUMIF('TL07'!$C$10:$C$224,$C291,'TL07'!$J$10:$J$224),0),
IF('TL07'!$B$229=L$3,SUMIF('TL07'!$C$238:$C$451,$C291,'TL07'!$J$238:$J$451),0),
IF('TL08'!$B$3=L$3,SUMIF('TL08'!$C$10:$C$224,$C291,'TL08'!$J$10:$J$224),0),
IF('TL08'!$B$229=L$3,SUMIF('TL08'!$C$238:$C$451,$C291,'TL08'!$J$238:$J$451),0),
IF('TL09'!$B$3=L$3,SUMIF('TL09'!$C$10:$C$224,$C291,'TL09'!$J$10:$J$224),0),
IF('TL09'!$B$229=L$3,SUMIF('TL09'!$C$238:$C$451,$C291,'TL09'!$J$238:$J$451),0),
IF('TL10'!$B$3=L$3,SUMIF('TL10'!$C$10:$C$224,$C291,'TL10'!$J$10:$J$224),0),
IF('TL10'!$B$229=L$3,SUMIF('TL10'!$C$238:$C$451,$C291,'TL10'!$J$238:$J$451),0),
IF('TL11'!$B$3=L$3,SUMIF('TL11'!$C$10:$C$224,$C291,'TL11'!$J$10:$J$224),0),
IF('TL11'!$B$229=L$3,SUMIF('TL11'!$C$238:$C$451,$C291,'TL11'!$J$238:$J$451),0),
IF('TL12'!$B$3=L$3,SUMIF('TL12'!$C$10:$C$224,$C291,'TL12'!$J$10:$J$224),0),
IF('TL12'!$B$229=L$3,SUMIF('TL12'!$C$238:$C$451,$C291,'TL12'!$J$238:$J$451),0),
IF('TL13'!$B$3=L$3,SUMIF('TL13'!$C$10:$C$224,$C291,'TL13'!$J$10:$J$224),0),
IF('TL13'!$B$229=L$3,SUMIF('TL13'!$C$238:$C$451,$C291,'TL13'!$J$238:$J$451),0),
IF('TL14'!$B$3=L$3,SUMIF('TL14'!$C$10:$C$224,$C291,'TL14'!$J$10:$J$224),0),
IF('TL14'!$B$229=L$3,SUMIF('TL14'!$C$238:$C$451,$C291,'TL14'!$J$238:$J$451),0),
IF('TL15'!$B$3=L$3,SUMIF('TL15'!$C$10:$C$224,$C291,'TL15'!$J$10:$J$224),0),
IF('TL15'!$B$229=L$3,SUMIF('TL15'!$C$238:$C$451,$C291,'TL15'!$J$238:$J$451),0),
IF('TL16'!$B$3=L$3,SUMIF('TL16'!$C$10:$C$224,$C291,'TL16'!$J$10:$J$224),0),
IF('TL16'!$B$229=L$3,SUMIF('TL16'!$C$238:$C$451,$C291,'TL16'!$J$238:$J$451),0),
IF('TL17'!$B$3=L$3,SUMIF('TL17'!$C$10:$C$224,$C291,'TL17'!$J$10:$J$224),0),
IF('TL17'!$B$229=L$3,SUMIF('TL17'!$C$238:$C$451,$C291,'TL17'!$J$238:$J$451),0),
IF('TL18'!$B$3=L$3,SUMIF('TL18'!$C$10:$C$224,$C291,'TL18'!$J$10:$J$224),0),
IF('TL18'!$B$229=L$3,SUMIF('TL18'!$C$238:$C$451,$C291,'TL18'!$J$238:$J$451),0),
IF('TL19'!$B$3=L$3,SUMIF('TL19'!$C$10:$C$224,$C291,'TL19'!$J$10:$J$224),0),
IF('TL19'!$B$229=L$3,SUMIF('TL19'!$C$238:$C$451,$C291,'TL19'!$J$238:$J$451),0)
),0)</f>
        <v>0</v>
      </c>
      <c r="M291" s="9">
        <f>IFERROR(SUM(
IF('TL01'!$B$3=M$3,SUMIF('TL01'!$C$10:$C$224,$C291,'TL01'!$J$10:$J$224),0),
IF('TL01'!$B$229=M$3,SUMIF('TL01'!$C$238:$C$451,$C291,'TL01'!$J$238:$J$451),0),
IF('TL02'!$B$3=M$3,SUMIF('TL02'!$C$10:$C$224,$C291,'TL02'!$J$10:$J$224),0),
IF('TL02'!$B$229=M$3,SUMIF('TL02'!$C$238:$C$451,$C291,'TL02'!$J$238:$J$451),0),
IF('TL03'!$B$3=M$3,SUMIF('TL03'!$C$10:$C$224,$C291,'TL03'!$J$10:$J$224),0),
IF('TL03'!$B$229=M$3,SUMIF('TL03'!$C$238:$C$451,$C291,'TL03'!$J$238:$J$451),0),
IF('TL04'!$B$3=M$3,SUMIF('TL04'!$C$10:$C$224,$C291,'TL04'!$J$10:$J$224),0),
IF('TL04'!$B$229=M$3,SUMIF('TL04'!$C$238:$C$451,$C291,'TL04'!$J$238:$J$451),0),
IF('TL05'!$B$3=M$3,SUMIF('TL05'!$C$10:$C$224,$C291,'TL05'!$J$10:$J$224),0),
IF('TL05'!$B$229=M$3,SUMIF('TL05'!$C$238:$C$451,$C291,'TL05'!$J$238:$J$451),0),
IF('TL06'!$B$3=M$3,SUMIF('TL06'!$C$10:$C$224,$C291,'TL06'!$J$10:$J$224),0),
IF('TL06'!$B$229=M$3,SUMIF('TL06'!$C$238:$C$451,$C291,'TL06'!$J$238:$J$451),0),
IF('TL07'!$B$3=M$3,SUMIF('TL07'!$C$10:$C$224,$C291,'TL07'!$J$10:$J$224),0),
IF('TL07'!$B$229=M$3,SUMIF('TL07'!$C$238:$C$451,$C291,'TL07'!$J$238:$J$451),0),
IF('TL08'!$B$3=M$3,SUMIF('TL08'!$C$10:$C$224,$C291,'TL08'!$J$10:$J$224),0),
IF('TL08'!$B$229=M$3,SUMIF('TL08'!$C$238:$C$451,$C291,'TL08'!$J$238:$J$451),0),
IF('TL09'!$B$3=M$3,SUMIF('TL09'!$C$10:$C$224,$C291,'TL09'!$J$10:$J$224),0),
IF('TL09'!$B$229=M$3,SUMIF('TL09'!$C$238:$C$451,$C291,'TL09'!$J$238:$J$451),0),
IF('TL10'!$B$3=M$3,SUMIF('TL10'!$C$10:$C$224,$C291,'TL10'!$J$10:$J$224),0),
IF('TL10'!$B$229=M$3,SUMIF('TL10'!$C$238:$C$451,$C291,'TL10'!$J$238:$J$451),0),
IF('TL11'!$B$3=M$3,SUMIF('TL11'!$C$10:$C$224,$C291,'TL11'!$J$10:$J$224),0),
IF('TL11'!$B$229=M$3,SUMIF('TL11'!$C$238:$C$451,$C291,'TL11'!$J$238:$J$451),0),
IF('TL12'!$B$3=M$3,SUMIF('TL12'!$C$10:$C$224,$C291,'TL12'!$J$10:$J$224),0),
IF('TL12'!$B$229=M$3,SUMIF('TL12'!$C$238:$C$451,$C291,'TL12'!$J$238:$J$451),0),
IF('TL13'!$B$3=M$3,SUMIF('TL13'!$C$10:$C$224,$C291,'TL13'!$J$10:$J$224),0),
IF('TL13'!$B$229=M$3,SUMIF('TL13'!$C$238:$C$451,$C291,'TL13'!$J$238:$J$451),0),
IF('TL14'!$B$3=M$3,SUMIF('TL14'!$C$10:$C$224,$C291,'TL14'!$J$10:$J$224),0),
IF('TL14'!$B$229=M$3,SUMIF('TL14'!$C$238:$C$451,$C291,'TL14'!$J$238:$J$451),0),
IF('TL15'!$B$3=M$3,SUMIF('TL15'!$C$10:$C$224,$C291,'TL15'!$J$10:$J$224),0),
IF('TL15'!$B$229=M$3,SUMIF('TL15'!$C$238:$C$451,$C291,'TL15'!$J$238:$J$451),0),
IF('TL16'!$B$3=M$3,SUMIF('TL16'!$C$10:$C$224,$C291,'TL16'!$J$10:$J$224),0),
IF('TL16'!$B$229=M$3,SUMIF('TL16'!$C$238:$C$451,$C291,'TL16'!$J$238:$J$451),0),
IF('TL17'!$B$3=M$3,SUMIF('TL17'!$C$10:$C$224,$C291,'TL17'!$J$10:$J$224),0),
IF('TL17'!$B$229=M$3,SUMIF('TL17'!$C$238:$C$451,$C291,'TL17'!$J$238:$J$451),0),
IF('TL18'!$B$3=M$3,SUMIF('TL18'!$C$10:$C$224,$C291,'TL18'!$J$10:$J$224),0),
IF('TL18'!$B$229=M$3,SUMIF('TL18'!$C$238:$C$451,$C291,'TL18'!$J$238:$J$451),0),
IF('TL19'!$B$3=M$3,SUMIF('TL19'!$C$10:$C$224,$C291,'TL19'!$J$10:$J$224),0),
IF('TL19'!$B$229=M$3,SUMIF('TL19'!$C$238:$C$451,$C291,'TL19'!$J$238:$J$451),0)
),0)</f>
        <v>0</v>
      </c>
      <c r="N291" s="9">
        <f>IFERROR(SUM(
IF('TL01'!$B$3=N$3,SUMIF('TL01'!$C$10:$C$224,$C291,'TL01'!$J$10:$J$224),0),
IF('TL01'!$B$229=N$3,SUMIF('TL01'!$C$238:$C$451,$C291,'TL01'!$J$238:$J$451),0),
IF('TL02'!$B$3=N$3,SUMIF('TL02'!$C$10:$C$224,$C291,'TL02'!$J$10:$J$224),0),
IF('TL02'!$B$229=N$3,SUMIF('TL02'!$C$238:$C$451,$C291,'TL02'!$J$238:$J$451),0),
IF('TL03'!$B$3=N$3,SUMIF('TL03'!$C$10:$C$224,$C291,'TL03'!$J$10:$J$224),0),
IF('TL03'!$B$229=N$3,SUMIF('TL03'!$C$238:$C$451,$C291,'TL03'!$J$238:$J$451),0),
IF('TL04'!$B$3=N$3,SUMIF('TL04'!$C$10:$C$224,$C291,'TL04'!$J$10:$J$224),0),
IF('TL04'!$B$229=N$3,SUMIF('TL04'!$C$238:$C$451,$C291,'TL04'!$J$238:$J$451),0),
IF('TL05'!$B$3=N$3,SUMIF('TL05'!$C$10:$C$224,$C291,'TL05'!$J$10:$J$224),0),
IF('TL05'!$B$229=N$3,SUMIF('TL05'!$C$238:$C$451,$C291,'TL05'!$J$238:$J$451),0),
IF('TL06'!$B$3=N$3,SUMIF('TL06'!$C$10:$C$224,$C291,'TL06'!$J$10:$J$224),0),
IF('TL06'!$B$229=N$3,SUMIF('TL06'!$C$238:$C$451,$C291,'TL06'!$J$238:$J$451),0),
IF('TL07'!$B$3=N$3,SUMIF('TL07'!$C$10:$C$224,$C291,'TL07'!$J$10:$J$224),0),
IF('TL07'!$B$229=N$3,SUMIF('TL07'!$C$238:$C$451,$C291,'TL07'!$J$238:$J$451),0),
IF('TL08'!$B$3=N$3,SUMIF('TL08'!$C$10:$C$224,$C291,'TL08'!$J$10:$J$224),0),
IF('TL08'!$B$229=N$3,SUMIF('TL08'!$C$238:$C$451,$C291,'TL08'!$J$238:$J$451),0),
IF('TL09'!$B$3=N$3,SUMIF('TL09'!$C$10:$C$224,$C291,'TL09'!$J$10:$J$224),0),
IF('TL09'!$B$229=N$3,SUMIF('TL09'!$C$238:$C$451,$C291,'TL09'!$J$238:$J$451),0),
IF('TL10'!$B$3=N$3,SUMIF('TL10'!$C$10:$C$224,$C291,'TL10'!$J$10:$J$224),0),
IF('TL10'!$B$229=N$3,SUMIF('TL10'!$C$238:$C$451,$C291,'TL10'!$J$238:$J$451),0),
IF('TL11'!$B$3=N$3,SUMIF('TL11'!$C$10:$C$224,$C291,'TL11'!$J$10:$J$224),0),
IF('TL11'!$B$229=N$3,SUMIF('TL11'!$C$238:$C$451,$C291,'TL11'!$J$238:$J$451),0),
IF('TL12'!$B$3=N$3,SUMIF('TL12'!$C$10:$C$224,$C291,'TL12'!$J$10:$J$224),0),
IF('TL12'!$B$229=N$3,SUMIF('TL12'!$C$238:$C$451,$C291,'TL12'!$J$238:$J$451),0),
IF('TL13'!$B$3=N$3,SUMIF('TL13'!$C$10:$C$224,$C291,'TL13'!$J$10:$J$224),0),
IF('TL13'!$B$229=N$3,SUMIF('TL13'!$C$238:$C$451,$C291,'TL13'!$J$238:$J$451),0),
IF('TL14'!$B$3=N$3,SUMIF('TL14'!$C$10:$C$224,$C291,'TL14'!$J$10:$J$224),0),
IF('TL14'!$B$229=N$3,SUMIF('TL14'!$C$238:$C$451,$C291,'TL14'!$J$238:$J$451),0),
IF('TL15'!$B$3=N$3,SUMIF('TL15'!$C$10:$C$224,$C291,'TL15'!$J$10:$J$224),0),
IF('TL15'!$B$229=N$3,SUMIF('TL15'!$C$238:$C$451,$C291,'TL15'!$J$238:$J$451),0),
IF('TL16'!$B$3=N$3,SUMIF('TL16'!$C$10:$C$224,$C291,'TL16'!$J$10:$J$224),0),
IF('TL16'!$B$229=N$3,SUMIF('TL16'!$C$238:$C$451,$C291,'TL16'!$J$238:$J$451),0),
IF('TL17'!$B$3=N$3,SUMIF('TL17'!$C$10:$C$224,$C291,'TL17'!$J$10:$J$224),0),
IF('TL17'!$B$229=N$3,SUMIF('TL17'!$C$238:$C$451,$C291,'TL17'!$J$238:$J$451),0),
IF('TL18'!$B$3=N$3,SUMIF('TL18'!$C$10:$C$224,$C291,'TL18'!$J$10:$J$224),0),
IF('TL18'!$B$229=N$3,SUMIF('TL18'!$C$238:$C$451,$C291,'TL18'!$J$238:$J$451),0),
IF('TL19'!$B$3=N$3,SUMIF('TL19'!$C$10:$C$224,$C291,'TL19'!$J$10:$J$224),0),
IF('TL19'!$B$229=N$3,SUMIF('TL19'!$C$238:$C$451,$C291,'TL19'!$J$238:$J$451),0)
),0)</f>
        <v>0</v>
      </c>
      <c r="O291" s="9">
        <f>IFERROR(SUM(
IF('TL01'!$B$3=O$3,SUMIF('TL01'!$C$10:$C$224,$C291,'TL01'!$J$10:$J$224),0),
IF('TL01'!$B$229=O$3,SUMIF('TL01'!$C$238:$C$451,$C291,'TL01'!$J$238:$J$451),0),
IF('TL02'!$B$3=O$3,SUMIF('TL02'!$C$10:$C$224,$C291,'TL02'!$J$10:$J$224),0),
IF('TL02'!$B$229=O$3,SUMIF('TL02'!$C$238:$C$451,$C291,'TL02'!$J$238:$J$451),0),
IF('TL03'!$B$3=O$3,SUMIF('TL03'!$C$10:$C$224,$C291,'TL03'!$J$10:$J$224),0),
IF('TL03'!$B$229=O$3,SUMIF('TL03'!$C$238:$C$451,$C291,'TL03'!$J$238:$J$451),0),
IF('TL04'!$B$3=O$3,SUMIF('TL04'!$C$10:$C$224,$C291,'TL04'!$J$10:$J$224),0),
IF('TL04'!$B$229=O$3,SUMIF('TL04'!$C$238:$C$451,$C291,'TL04'!$J$238:$J$451),0),
IF('TL05'!$B$3=O$3,SUMIF('TL05'!$C$10:$C$224,$C291,'TL05'!$J$10:$J$224),0),
IF('TL05'!$B$229=O$3,SUMIF('TL05'!$C$238:$C$451,$C291,'TL05'!$J$238:$J$451),0),
IF('TL06'!$B$3=O$3,SUMIF('TL06'!$C$10:$C$224,$C291,'TL06'!$J$10:$J$224),0),
IF('TL06'!$B$229=O$3,SUMIF('TL06'!$C$238:$C$451,$C291,'TL06'!$J$238:$J$451),0),
IF('TL07'!$B$3=O$3,SUMIF('TL07'!$C$10:$C$224,$C291,'TL07'!$J$10:$J$224),0),
IF('TL07'!$B$229=O$3,SUMIF('TL07'!$C$238:$C$451,$C291,'TL07'!$J$238:$J$451),0),
IF('TL08'!$B$3=O$3,SUMIF('TL08'!$C$10:$C$224,$C291,'TL08'!$J$10:$J$224),0),
IF('TL08'!$B$229=O$3,SUMIF('TL08'!$C$238:$C$451,$C291,'TL08'!$J$238:$J$451),0),
IF('TL09'!$B$3=O$3,SUMIF('TL09'!$C$10:$C$224,$C291,'TL09'!$J$10:$J$224),0),
IF('TL09'!$B$229=O$3,SUMIF('TL09'!$C$238:$C$451,$C291,'TL09'!$J$238:$J$451),0),
IF('TL10'!$B$3=O$3,SUMIF('TL10'!$C$10:$C$224,$C291,'TL10'!$J$10:$J$224),0),
IF('TL10'!$B$229=O$3,SUMIF('TL10'!$C$238:$C$451,$C291,'TL10'!$J$238:$J$451),0),
IF('TL11'!$B$3=O$3,SUMIF('TL11'!$C$10:$C$224,$C291,'TL11'!$J$10:$J$224),0),
IF('TL11'!$B$229=O$3,SUMIF('TL11'!$C$238:$C$451,$C291,'TL11'!$J$238:$J$451),0),
IF('TL12'!$B$3=O$3,SUMIF('TL12'!$C$10:$C$224,$C291,'TL12'!$J$10:$J$224),0),
IF('TL12'!$B$229=O$3,SUMIF('TL12'!$C$238:$C$451,$C291,'TL12'!$J$238:$J$451),0),
IF('TL13'!$B$3=O$3,SUMIF('TL13'!$C$10:$C$224,$C291,'TL13'!$J$10:$J$224),0),
IF('TL13'!$B$229=O$3,SUMIF('TL13'!$C$238:$C$451,$C291,'TL13'!$J$238:$J$451),0),
IF('TL14'!$B$3=O$3,SUMIF('TL14'!$C$10:$C$224,$C291,'TL14'!$J$10:$J$224),0),
IF('TL14'!$B$229=O$3,SUMIF('TL14'!$C$238:$C$451,$C291,'TL14'!$J$238:$J$451),0),
IF('TL15'!$B$3=O$3,SUMIF('TL15'!$C$10:$C$224,$C291,'TL15'!$J$10:$J$224),0),
IF('TL15'!$B$229=O$3,SUMIF('TL15'!$C$238:$C$451,$C291,'TL15'!$J$238:$J$451),0),
IF('TL16'!$B$3=O$3,SUMIF('TL16'!$C$10:$C$224,$C291,'TL16'!$J$10:$J$224),0),
IF('TL16'!$B$229=O$3,SUMIF('TL16'!$C$238:$C$451,$C291,'TL16'!$J$238:$J$451),0),
IF('TL17'!$B$3=O$3,SUMIF('TL17'!$C$10:$C$224,$C291,'TL17'!$J$10:$J$224),0),
IF('TL17'!$B$229=O$3,SUMIF('TL17'!$C$238:$C$451,$C291,'TL17'!$J$238:$J$451),0),
IF('TL18'!$B$3=O$3,SUMIF('TL18'!$C$10:$C$224,$C291,'TL18'!$J$10:$J$224),0),
IF('TL18'!$B$229=O$3,SUMIF('TL18'!$C$238:$C$451,$C291,'TL18'!$J$238:$J$451),0),
IF('TL19'!$B$3=O$3,SUMIF('TL19'!$C$10:$C$224,$C291,'TL19'!$J$10:$J$224),0),
IF('TL19'!$B$229=O$3,SUMIF('TL19'!$C$238:$C$451,$C291,'TL19'!$J$238:$J$451),0)
),0)</f>
        <v>0</v>
      </c>
      <c r="P291" s="9">
        <f>IFERROR(SUM(
IF('TL01'!$B$3=P$3,SUMIF('TL01'!$C$10:$C$224,$C291,'TL01'!$J$10:$J$224),0),
IF('TL01'!$B$229=P$3,SUMIF('TL01'!$C$238:$C$451,$C291,'TL01'!$J$238:$J$451),0),
IF('TL02'!$B$3=P$3,SUMIF('TL02'!$C$10:$C$224,$C291,'TL02'!$J$10:$J$224),0),
IF('TL02'!$B$229=P$3,SUMIF('TL02'!$C$238:$C$451,$C291,'TL02'!$J$238:$J$451),0),
IF('TL03'!$B$3=P$3,SUMIF('TL03'!$C$10:$C$224,$C291,'TL03'!$J$10:$J$224),0),
IF('TL03'!$B$229=P$3,SUMIF('TL03'!$C$238:$C$451,$C291,'TL03'!$J$238:$J$451),0),
IF('TL04'!$B$3=P$3,SUMIF('TL04'!$C$10:$C$224,$C291,'TL04'!$J$10:$J$224),0),
IF('TL04'!$B$229=P$3,SUMIF('TL04'!$C$238:$C$451,$C291,'TL04'!$J$238:$J$451),0),
IF('TL05'!$B$3=P$3,SUMIF('TL05'!$C$10:$C$224,$C291,'TL05'!$J$10:$J$224),0),
IF('TL05'!$B$229=P$3,SUMIF('TL05'!$C$238:$C$451,$C291,'TL05'!$J$238:$J$451),0),
IF('TL06'!$B$3=P$3,SUMIF('TL06'!$C$10:$C$224,$C291,'TL06'!$J$10:$J$224),0),
IF('TL06'!$B$229=P$3,SUMIF('TL06'!$C$238:$C$451,$C291,'TL06'!$J$238:$J$451),0),
IF('TL07'!$B$3=P$3,SUMIF('TL07'!$C$10:$C$224,$C291,'TL07'!$J$10:$J$224),0),
IF('TL07'!$B$229=P$3,SUMIF('TL07'!$C$238:$C$451,$C291,'TL07'!$J$238:$J$451),0),
IF('TL08'!$B$3=P$3,SUMIF('TL08'!$C$10:$C$224,$C291,'TL08'!$J$10:$J$224),0),
IF('TL08'!$B$229=P$3,SUMIF('TL08'!$C$238:$C$451,$C291,'TL08'!$J$238:$J$451),0),
IF('TL09'!$B$3=P$3,SUMIF('TL09'!$C$10:$C$224,$C291,'TL09'!$J$10:$J$224),0),
IF('TL09'!$B$229=P$3,SUMIF('TL09'!$C$238:$C$451,$C291,'TL09'!$J$238:$J$451),0),
IF('TL10'!$B$3=P$3,SUMIF('TL10'!$C$10:$C$224,$C291,'TL10'!$J$10:$J$224),0),
IF('TL10'!$B$229=P$3,SUMIF('TL10'!$C$238:$C$451,$C291,'TL10'!$J$238:$J$451),0),
IF('TL11'!$B$3=P$3,SUMIF('TL11'!$C$10:$C$224,$C291,'TL11'!$J$10:$J$224),0),
IF('TL11'!$B$229=P$3,SUMIF('TL11'!$C$238:$C$451,$C291,'TL11'!$J$238:$J$451),0),
IF('TL12'!$B$3=P$3,SUMIF('TL12'!$C$10:$C$224,$C291,'TL12'!$J$10:$J$224),0),
IF('TL12'!$B$229=P$3,SUMIF('TL12'!$C$238:$C$451,$C291,'TL12'!$J$238:$J$451),0),
IF('TL13'!$B$3=P$3,SUMIF('TL13'!$C$10:$C$224,$C291,'TL13'!$J$10:$J$224),0),
IF('TL13'!$B$229=P$3,SUMIF('TL13'!$C$238:$C$451,$C291,'TL13'!$J$238:$J$451),0),
IF('TL14'!$B$3=P$3,SUMIF('TL14'!$C$10:$C$224,$C291,'TL14'!$J$10:$J$224),0),
IF('TL14'!$B$229=P$3,SUMIF('TL14'!$C$238:$C$451,$C291,'TL14'!$J$238:$J$451),0),
IF('TL15'!$B$3=P$3,SUMIF('TL15'!$C$10:$C$224,$C291,'TL15'!$J$10:$J$224),0),
IF('TL15'!$B$229=P$3,SUMIF('TL15'!$C$238:$C$451,$C291,'TL15'!$J$238:$J$451),0),
IF('TL16'!$B$3=P$3,SUMIF('TL16'!$C$10:$C$224,$C291,'TL16'!$J$10:$J$224),0),
IF('TL16'!$B$229=P$3,SUMIF('TL16'!$C$238:$C$451,$C291,'TL16'!$J$238:$J$451),0),
IF('TL17'!$B$3=P$3,SUMIF('TL17'!$C$10:$C$224,$C291,'TL17'!$J$10:$J$224),0),
IF('TL17'!$B$229=P$3,SUMIF('TL17'!$C$238:$C$451,$C291,'TL17'!$J$238:$J$451),0),
IF('TL18'!$B$3=P$3,SUMIF('TL18'!$C$10:$C$224,$C291,'TL18'!$J$10:$J$224),0),
IF('TL18'!$B$229=P$3,SUMIF('TL18'!$C$238:$C$451,$C291,'TL18'!$J$238:$J$451),0),
IF('TL19'!$B$3=P$3,SUMIF('TL19'!$C$10:$C$224,$C291,'TL19'!$J$10:$J$224),0),
IF('TL19'!$B$229=P$3,SUMIF('TL19'!$C$238:$C$451,$C291,'TL19'!$J$238:$J$451),0)
),0)</f>
        <v>0</v>
      </c>
      <c r="Q291" s="9">
        <f>IFERROR(SUM(
IF('TL01'!$B$3=Q$3,SUMIF('TL01'!$C$10:$C$224,$C291,'TL01'!$J$10:$J$224),0),
IF('TL01'!$B$229=Q$3,SUMIF('TL01'!$C$238:$C$451,$C291,'TL01'!$J$238:$J$451),0),
IF('TL02'!$B$3=Q$3,SUMIF('TL02'!$C$10:$C$224,$C291,'TL02'!$J$10:$J$224),0),
IF('TL02'!$B$229=Q$3,SUMIF('TL02'!$C$238:$C$451,$C291,'TL02'!$J$238:$J$451),0),
IF('TL03'!$B$3=Q$3,SUMIF('TL03'!$C$10:$C$224,$C291,'TL03'!$J$10:$J$224),0),
IF('TL03'!$B$229=Q$3,SUMIF('TL03'!$C$238:$C$451,$C291,'TL03'!$J$238:$J$451),0),
IF('TL04'!$B$3=Q$3,SUMIF('TL04'!$C$10:$C$224,$C291,'TL04'!$J$10:$J$224),0),
IF('TL04'!$B$229=Q$3,SUMIF('TL04'!$C$238:$C$451,$C291,'TL04'!$J$238:$J$451),0),
IF('TL05'!$B$3=Q$3,SUMIF('TL05'!$C$10:$C$224,$C291,'TL05'!$J$10:$J$224),0),
IF('TL05'!$B$229=Q$3,SUMIF('TL05'!$C$238:$C$451,$C291,'TL05'!$J$238:$J$451),0),
IF('TL06'!$B$3=Q$3,SUMIF('TL06'!$C$10:$C$224,$C291,'TL06'!$J$10:$J$224),0),
IF('TL06'!$B$229=Q$3,SUMIF('TL06'!$C$238:$C$451,$C291,'TL06'!$J$238:$J$451),0),
IF('TL07'!$B$3=Q$3,SUMIF('TL07'!$C$10:$C$224,$C291,'TL07'!$J$10:$J$224),0),
IF('TL07'!$B$229=Q$3,SUMIF('TL07'!$C$238:$C$451,$C291,'TL07'!$J$238:$J$451),0),
IF('TL08'!$B$3=Q$3,SUMIF('TL08'!$C$10:$C$224,$C291,'TL08'!$J$10:$J$224),0),
IF('TL08'!$B$229=Q$3,SUMIF('TL08'!$C$238:$C$451,$C291,'TL08'!$J$238:$J$451),0),
IF('TL09'!$B$3=Q$3,SUMIF('TL09'!$C$10:$C$224,$C291,'TL09'!$J$10:$J$224),0),
IF('TL09'!$B$229=Q$3,SUMIF('TL09'!$C$238:$C$451,$C291,'TL09'!$J$238:$J$451),0),
IF('TL10'!$B$3=Q$3,SUMIF('TL10'!$C$10:$C$224,$C291,'TL10'!$J$10:$J$224),0),
IF('TL10'!$B$229=Q$3,SUMIF('TL10'!$C$238:$C$451,$C291,'TL10'!$J$238:$J$451),0),
IF('TL11'!$B$3=Q$3,SUMIF('TL11'!$C$10:$C$224,$C291,'TL11'!$J$10:$J$224),0),
IF('TL11'!$B$229=Q$3,SUMIF('TL11'!$C$238:$C$451,$C291,'TL11'!$J$238:$J$451),0),
IF('TL12'!$B$3=Q$3,SUMIF('TL12'!$C$10:$C$224,$C291,'TL12'!$J$10:$J$224),0),
IF('TL12'!$B$229=Q$3,SUMIF('TL12'!$C$238:$C$451,$C291,'TL12'!$J$238:$J$451),0),
IF('TL13'!$B$3=Q$3,SUMIF('TL13'!$C$10:$C$224,$C291,'TL13'!$J$10:$J$224),0),
IF('TL13'!$B$229=Q$3,SUMIF('TL13'!$C$238:$C$451,$C291,'TL13'!$J$238:$J$451),0),
IF('TL14'!$B$3=Q$3,SUMIF('TL14'!$C$10:$C$224,$C291,'TL14'!$J$10:$J$224),0),
IF('TL14'!$B$229=Q$3,SUMIF('TL14'!$C$238:$C$451,$C291,'TL14'!$J$238:$J$451),0),
IF('TL15'!$B$3=Q$3,SUMIF('TL15'!$C$10:$C$224,$C291,'TL15'!$J$10:$J$224),0),
IF('TL15'!$B$229=Q$3,SUMIF('TL15'!$C$238:$C$451,$C291,'TL15'!$J$238:$J$451),0),
IF('TL16'!$B$3=Q$3,SUMIF('TL16'!$C$10:$C$224,$C291,'TL16'!$J$10:$J$224),0),
IF('TL16'!$B$229=Q$3,SUMIF('TL16'!$C$238:$C$451,$C291,'TL16'!$J$238:$J$451),0),
IF('TL17'!$B$3=Q$3,SUMIF('TL17'!$C$10:$C$224,$C291,'TL17'!$J$10:$J$224),0),
IF('TL17'!$B$229=Q$3,SUMIF('TL17'!$C$238:$C$451,$C291,'TL17'!$J$238:$J$451),0),
IF('TL18'!$B$3=Q$3,SUMIF('TL18'!$C$10:$C$224,$C291,'TL18'!$J$10:$J$224),0),
IF('TL18'!$B$229=Q$3,SUMIF('TL18'!$C$238:$C$451,$C291,'TL18'!$J$238:$J$451),0),
IF('TL19'!$B$3=Q$3,SUMIF('TL19'!$C$10:$C$224,$C291,'TL19'!$J$10:$J$224),0),
IF('TL19'!$B$229=Q$3,SUMIF('TL19'!$C$238:$C$451,$C291,'TL19'!$J$238:$J$451),0)
),0)</f>
        <v>0</v>
      </c>
      <c r="R291" s="9">
        <f>IFERROR(
SUM(
SUMIF('TL01'!C:C,C291,'TL01'!J:J),
SUMIF('TL02'!C:C,C291,'TL02'!J:J),
SUMIF('TL03'!C:C,C291,'TL03'!J:J),
SUMIF('TL04'!C:C,C291,'TL04'!J:J),
SUMIF('TL05'!C:C,C291,'TL05'!J:J),
SUMIF('TL06'!C:C,C291,'TL06'!J:J),
SUMIF('TL07'!C:C,C291,'TL07'!J:J),
SUMIF('TL08'!C:C,C291,'TL08'!J:J),
SUMIF('TL09'!C:C,C291,'TL09'!J:J),
SUMIF('TL10'!C:C,C291,'TL10'!J:J),
SUMIF('TL11'!C:C,C291,'TL11'!J:J),
SUMIF('TL12'!C:C,C291,'TL12'!J:J),
SUMIF('TL13'!C:C,C291,'TL13'!J:J),
SUMIF('TL14'!C:C,C291,'TL14'!J:J),
SUMIF('TL15'!C:C,C291,'TL15'!J:J),
SUMIF('TL16'!C:C,C291,'TL16'!J:J),
SUMIF('TL17'!C:C,C291,'TL17'!J:J),
SUMIF('TL18'!C:C,C291,'TL18'!J:J),SUMIF('TL19'!C:C,C291,'TL19'!J:J))
,0)</f>
        <v>0</v>
      </c>
      <c r="S291" s="17">
        <f>IFERROR(__xludf.DUMMYFUNCTION("IFERROR(VLOOKUP(C291,
IMPORTRANGE(""1wULbzX32WdYsx-lj2U3uUNBBe2INVIRDtcK0d-Dvl90"",
""26-27!C:G""),
5,
FALSE),
"""")"),217.987)</f>
        <v>217.987</v>
      </c>
      <c r="T291" s="9"/>
      <c r="U291" s="92">
        <f t="shared" si="2"/>
        <v>0</v>
      </c>
      <c r="V291" s="93">
        <f t="shared" si="3"/>
        <v>0</v>
      </c>
    </row>
    <row r="292" ht="15.75" hidden="1" customHeight="1">
      <c r="A292" s="119" t="s">
        <v>358</v>
      </c>
      <c r="B292" s="120" t="s">
        <v>3</v>
      </c>
      <c r="C292" s="119" t="s">
        <v>1002</v>
      </c>
      <c r="D292" s="119" t="s">
        <v>1003</v>
      </c>
      <c r="E292" s="119" t="s">
        <v>1004</v>
      </c>
      <c r="F292" s="4"/>
      <c r="G292" s="90" t="str">
        <f t="shared" si="5"/>
        <v>📄 Ver bula</v>
      </c>
      <c r="H292" s="9">
        <f>IFERROR(__xludf.DUMMYFUNCTION("IFERROR(VLOOKUP(C292,
IMPORTRANGE(""1wULbzX32WdYsx-lj2U3uUNBBe2INVIRDtcK0d-Dvl90"",
""26-27!C:K""),
8,
FALSE),
"""")"),0.05)</f>
        <v>0.05</v>
      </c>
      <c r="I292" s="123"/>
      <c r="J292" s="9">
        <f>IFERROR(SUM(
IF('TL01'!$B$3=J$3,SUMIF('TL01'!$C$10:$C$224,$C292,'TL01'!$J$10:$J$224),0),
IF('TL01'!$B$229=J$3,SUMIF('TL01'!$C$238:$C$451,$C292,'TL01'!$J$238:$J$451),0),
IF('TL02'!$B$3=J$3,SUMIF('TL02'!$C$10:$C$224,$C292,'TL02'!$J$10:$J$224),0),
IF('TL02'!$B$229=J$3,SUMIF('TL02'!$C$238:$C$451,$C292,'TL02'!$J$238:$J$451),0),
IF('TL03'!$B$3=J$3,SUMIF('TL03'!$C$10:$C$224,$C292,'TL03'!$J$10:$J$224),0),
IF('TL03'!$B$229=J$3,SUMIF('TL03'!$C$238:$C$451,$C292,'TL03'!$J$238:$J$451),0),
IF('TL04'!$B$3=J$3,SUMIF('TL04'!$C$10:$C$224,$C292,'TL04'!$J$10:$J$224),0),
IF('TL04'!$B$229=J$3,SUMIF('TL04'!$C$238:$C$451,$C292,'TL04'!$J$238:$J$451),0),
IF('TL05'!$B$3=J$3,SUMIF('TL05'!$C$10:$C$224,$C292,'TL05'!$J$10:$J$224),0),
IF('TL05'!$B$229=J$3,SUMIF('TL05'!$C$238:$C$451,$C292,'TL05'!$J$238:$J$451),0),
IF('TL06'!$B$3=J$3,SUMIF('TL06'!$C$10:$C$224,$C292,'TL06'!$J$10:$J$224),0),
IF('TL06'!$B$229=J$3,SUMIF('TL06'!$C$238:$C$451,$C292,'TL06'!$J$238:$J$451),0),
IF('TL07'!$B$3=J$3,SUMIF('TL07'!$C$10:$C$224,$C292,'TL07'!$J$10:$J$224),0),
IF('TL07'!$B$229=J$3,SUMIF('TL07'!$C$238:$C$451,$C292,'TL07'!$J$238:$J$451),0),
IF('TL08'!$B$3=J$3,SUMIF('TL08'!$C$10:$C$224,$C292,'TL08'!$J$10:$J$224),0),
IF('TL08'!$B$229=J$3,SUMIF('TL08'!$C$238:$C$451,$C292,'TL08'!$J$238:$J$451),0),
IF('TL09'!$B$3=J$3,SUMIF('TL09'!$C$10:$C$224,$C292,'TL09'!$J$10:$J$224),0),
IF('TL09'!$B$229=J$3,SUMIF('TL09'!$C$238:$C$451,$C292,'TL09'!$J$238:$J$451),0),
IF('TL10'!$B$3=J$3,SUMIF('TL10'!$C$10:$C$224,$C292,'TL10'!$J$10:$J$224),0),
IF('TL10'!$B$229=J$3,SUMIF('TL10'!$C$238:$C$451,$C292,'TL10'!$J$238:$J$451),0),
IF('TL11'!$B$3=J$3,SUMIF('TL11'!$C$10:$C$224,$C292,'TL11'!$J$10:$J$224),0),
IF('TL11'!$B$229=J$3,SUMIF('TL11'!$C$238:$C$451,$C292,'TL11'!$J$238:$J$451),0),
IF('TL12'!$B$3=J$3,SUMIF('TL12'!$C$10:$C$224,$C292,'TL12'!$J$10:$J$224),0),
IF('TL12'!$B$229=J$3,SUMIF('TL12'!$C$238:$C$451,$C292,'TL12'!$J$238:$J$451),0),
IF('TL13'!$B$3=J$3,SUMIF('TL13'!$C$10:$C$224,$C292,'TL13'!$J$10:$J$224),0),
IF('TL13'!$B$229=J$3,SUMIF('TL13'!$C$238:$C$451,$C292,'TL13'!$J$238:$J$451),0),
IF('TL14'!$B$3=J$3,SUMIF('TL14'!$C$10:$C$224,$C292,'TL14'!$J$10:$J$224),0),
IF('TL14'!$B$229=J$3,SUMIF('TL14'!$C$238:$C$451,$C292,'TL14'!$J$238:$J$451),0),
IF('TL15'!$B$3=J$3,SUMIF('TL15'!$C$10:$C$224,$C292,'TL15'!$J$10:$J$224),0),
IF('TL15'!$B$229=J$3,SUMIF('TL15'!$C$238:$C$451,$C292,'TL15'!$J$238:$J$451),0),
IF('TL16'!$B$3=J$3,SUMIF('TL16'!$C$10:$C$224,$C292,'TL16'!$J$10:$J$224),0),
IF('TL16'!$B$229=J$3,SUMIF('TL16'!$C$238:$C$451,$C292,'TL16'!$J$238:$J$451),0),
IF('TL17'!$B$3=J$3,SUMIF('TL17'!$C$10:$C$224,$C292,'TL17'!$J$10:$J$224),0),
IF('TL17'!$B$229=J$3,SUMIF('TL17'!$C$238:$C$451,$C292,'TL17'!$J$238:$J$451),0),
IF('TL18'!$B$3=J$3,SUMIF('TL18'!$C$10:$C$224,$C292,'TL18'!$J$10:$J$224),0),
IF('TL18'!$B$229=J$3,SUMIF('TL18'!$C$238:$C$451,$C292,'TL18'!$J$238:$J$451),0),
IF('TL19'!$B$3=J$3,SUMIF('TL19'!$C$10:$C$224,$C292,'TL19'!$J$10:$J$224),0),
IF('TL19'!$B$229=J$3,SUMIF('TL19'!$C$238:$C$451,$C292,'TL19'!$J$238:$J$451),0)
),0)</f>
        <v>0</v>
      </c>
      <c r="K292" s="9">
        <f>IFERROR(SUM(
IF('TL01'!$B$3=K$3,SUMIF('TL01'!$C$10:$C$224,$C292,'TL01'!$J$10:$J$224),0),
IF('TL01'!$B$229=K$3,SUMIF('TL01'!$C$238:$C$451,$C292,'TL01'!$J$238:$J$451),0),
IF('TL02'!$B$3=K$3,SUMIF('TL02'!$C$10:$C$224,$C292,'TL02'!$J$10:$J$224),0),
IF('TL02'!$B$229=K$3,SUMIF('TL02'!$C$238:$C$451,$C292,'TL02'!$J$238:$J$451),0),
IF('TL03'!$B$3=K$3,SUMIF('TL03'!$C$10:$C$224,$C292,'TL03'!$J$10:$J$224),0),
IF('TL03'!$B$229=K$3,SUMIF('TL03'!$C$238:$C$451,$C292,'TL03'!$J$238:$J$451),0),
IF('TL04'!$B$3=K$3,SUMIF('TL04'!$C$10:$C$224,$C292,'TL04'!$J$10:$J$224),0),
IF('TL04'!$B$229=K$3,SUMIF('TL04'!$C$238:$C$451,$C292,'TL04'!$J$238:$J$451),0),
IF('TL05'!$B$3=K$3,SUMIF('TL05'!$C$10:$C$224,$C292,'TL05'!$J$10:$J$224),0),
IF('TL05'!$B$229=K$3,SUMIF('TL05'!$C$238:$C$451,$C292,'TL05'!$J$238:$J$451),0),
IF('TL06'!$B$3=K$3,SUMIF('TL06'!$C$10:$C$224,$C292,'TL06'!$J$10:$J$224),0),
IF('TL06'!$B$229=K$3,SUMIF('TL06'!$C$238:$C$451,$C292,'TL06'!$J$238:$J$451),0),
IF('TL07'!$B$3=K$3,SUMIF('TL07'!$C$10:$C$224,$C292,'TL07'!$J$10:$J$224),0),
IF('TL07'!$B$229=K$3,SUMIF('TL07'!$C$238:$C$451,$C292,'TL07'!$J$238:$J$451),0),
IF('TL08'!$B$3=K$3,SUMIF('TL08'!$C$10:$C$224,$C292,'TL08'!$J$10:$J$224),0),
IF('TL08'!$B$229=K$3,SUMIF('TL08'!$C$238:$C$451,$C292,'TL08'!$J$238:$J$451),0),
IF('TL09'!$B$3=K$3,SUMIF('TL09'!$C$10:$C$224,$C292,'TL09'!$J$10:$J$224),0),
IF('TL09'!$B$229=K$3,SUMIF('TL09'!$C$238:$C$451,$C292,'TL09'!$J$238:$J$451),0),
IF('TL10'!$B$3=K$3,SUMIF('TL10'!$C$10:$C$224,$C292,'TL10'!$J$10:$J$224),0),
IF('TL10'!$B$229=K$3,SUMIF('TL10'!$C$238:$C$451,$C292,'TL10'!$J$238:$J$451),0),
IF('TL11'!$B$3=K$3,SUMIF('TL11'!$C$10:$C$224,$C292,'TL11'!$J$10:$J$224),0),
IF('TL11'!$B$229=K$3,SUMIF('TL11'!$C$238:$C$451,$C292,'TL11'!$J$238:$J$451),0),
IF('TL12'!$B$3=K$3,SUMIF('TL12'!$C$10:$C$224,$C292,'TL12'!$J$10:$J$224),0),
IF('TL12'!$B$229=K$3,SUMIF('TL12'!$C$238:$C$451,$C292,'TL12'!$J$238:$J$451),0),
IF('TL13'!$B$3=K$3,SUMIF('TL13'!$C$10:$C$224,$C292,'TL13'!$J$10:$J$224),0),
IF('TL13'!$B$229=K$3,SUMIF('TL13'!$C$238:$C$451,$C292,'TL13'!$J$238:$J$451),0),
IF('TL14'!$B$3=K$3,SUMIF('TL14'!$C$10:$C$224,$C292,'TL14'!$J$10:$J$224),0),
IF('TL14'!$B$229=K$3,SUMIF('TL14'!$C$238:$C$451,$C292,'TL14'!$J$238:$J$451),0),
IF('TL15'!$B$3=K$3,SUMIF('TL15'!$C$10:$C$224,$C292,'TL15'!$J$10:$J$224),0),
IF('TL15'!$B$229=K$3,SUMIF('TL15'!$C$238:$C$451,$C292,'TL15'!$J$238:$J$451),0),
IF('TL16'!$B$3=K$3,SUMIF('TL16'!$C$10:$C$224,$C292,'TL16'!$J$10:$J$224),0),
IF('TL16'!$B$229=K$3,SUMIF('TL16'!$C$238:$C$451,$C292,'TL16'!$J$238:$J$451),0),
IF('TL17'!$B$3=K$3,SUMIF('TL17'!$C$10:$C$224,$C292,'TL17'!$J$10:$J$224),0),
IF('TL17'!$B$229=K$3,SUMIF('TL17'!$C$238:$C$451,$C292,'TL17'!$J$238:$J$451),0),
IF('TL18'!$B$3=K$3,SUMIF('TL18'!$C$10:$C$224,$C292,'TL18'!$J$10:$J$224),0),
IF('TL18'!$B$229=K$3,SUMIF('TL18'!$C$238:$C$451,$C292,'TL18'!$J$238:$J$451),0),
IF('TL19'!$B$3=K$3,SUMIF('TL19'!$C$10:$C$224,$C292,'TL19'!$J$10:$J$224),0),
IF('TL19'!$B$229=K$3,SUMIF('TL19'!$C$238:$C$451,$C292,'TL19'!$J$238:$J$451),0)
),0)</f>
        <v>0</v>
      </c>
      <c r="L292" s="9">
        <f>IFERROR(SUM(
IF('TL01'!$B$3=L$3,SUMIF('TL01'!$C$10:$C$224,$C292,'TL01'!$J$10:$J$224),0),
IF('TL01'!$B$229=L$3,SUMIF('TL01'!$C$238:$C$451,$C292,'TL01'!$J$238:$J$451),0),
IF('TL02'!$B$3=L$3,SUMIF('TL02'!$C$10:$C$224,$C292,'TL02'!$J$10:$J$224),0),
IF('TL02'!$B$229=L$3,SUMIF('TL02'!$C$238:$C$451,$C292,'TL02'!$J$238:$J$451),0),
IF('TL03'!$B$3=L$3,SUMIF('TL03'!$C$10:$C$224,$C292,'TL03'!$J$10:$J$224),0),
IF('TL03'!$B$229=L$3,SUMIF('TL03'!$C$238:$C$451,$C292,'TL03'!$J$238:$J$451),0),
IF('TL04'!$B$3=L$3,SUMIF('TL04'!$C$10:$C$224,$C292,'TL04'!$J$10:$J$224),0),
IF('TL04'!$B$229=L$3,SUMIF('TL04'!$C$238:$C$451,$C292,'TL04'!$J$238:$J$451),0),
IF('TL05'!$B$3=L$3,SUMIF('TL05'!$C$10:$C$224,$C292,'TL05'!$J$10:$J$224),0),
IF('TL05'!$B$229=L$3,SUMIF('TL05'!$C$238:$C$451,$C292,'TL05'!$J$238:$J$451),0),
IF('TL06'!$B$3=L$3,SUMIF('TL06'!$C$10:$C$224,$C292,'TL06'!$J$10:$J$224),0),
IF('TL06'!$B$229=L$3,SUMIF('TL06'!$C$238:$C$451,$C292,'TL06'!$J$238:$J$451),0),
IF('TL07'!$B$3=L$3,SUMIF('TL07'!$C$10:$C$224,$C292,'TL07'!$J$10:$J$224),0),
IF('TL07'!$B$229=L$3,SUMIF('TL07'!$C$238:$C$451,$C292,'TL07'!$J$238:$J$451),0),
IF('TL08'!$B$3=L$3,SUMIF('TL08'!$C$10:$C$224,$C292,'TL08'!$J$10:$J$224),0),
IF('TL08'!$B$229=L$3,SUMIF('TL08'!$C$238:$C$451,$C292,'TL08'!$J$238:$J$451),0),
IF('TL09'!$B$3=L$3,SUMIF('TL09'!$C$10:$C$224,$C292,'TL09'!$J$10:$J$224),0),
IF('TL09'!$B$229=L$3,SUMIF('TL09'!$C$238:$C$451,$C292,'TL09'!$J$238:$J$451),0),
IF('TL10'!$B$3=L$3,SUMIF('TL10'!$C$10:$C$224,$C292,'TL10'!$J$10:$J$224),0),
IF('TL10'!$B$229=L$3,SUMIF('TL10'!$C$238:$C$451,$C292,'TL10'!$J$238:$J$451),0),
IF('TL11'!$B$3=L$3,SUMIF('TL11'!$C$10:$C$224,$C292,'TL11'!$J$10:$J$224),0),
IF('TL11'!$B$229=L$3,SUMIF('TL11'!$C$238:$C$451,$C292,'TL11'!$J$238:$J$451),0),
IF('TL12'!$B$3=L$3,SUMIF('TL12'!$C$10:$C$224,$C292,'TL12'!$J$10:$J$224),0),
IF('TL12'!$B$229=L$3,SUMIF('TL12'!$C$238:$C$451,$C292,'TL12'!$J$238:$J$451),0),
IF('TL13'!$B$3=L$3,SUMIF('TL13'!$C$10:$C$224,$C292,'TL13'!$J$10:$J$224),0),
IF('TL13'!$B$229=L$3,SUMIF('TL13'!$C$238:$C$451,$C292,'TL13'!$J$238:$J$451),0),
IF('TL14'!$B$3=L$3,SUMIF('TL14'!$C$10:$C$224,$C292,'TL14'!$J$10:$J$224),0),
IF('TL14'!$B$229=L$3,SUMIF('TL14'!$C$238:$C$451,$C292,'TL14'!$J$238:$J$451),0),
IF('TL15'!$B$3=L$3,SUMIF('TL15'!$C$10:$C$224,$C292,'TL15'!$J$10:$J$224),0),
IF('TL15'!$B$229=L$3,SUMIF('TL15'!$C$238:$C$451,$C292,'TL15'!$J$238:$J$451),0),
IF('TL16'!$B$3=L$3,SUMIF('TL16'!$C$10:$C$224,$C292,'TL16'!$J$10:$J$224),0),
IF('TL16'!$B$229=L$3,SUMIF('TL16'!$C$238:$C$451,$C292,'TL16'!$J$238:$J$451),0),
IF('TL17'!$B$3=L$3,SUMIF('TL17'!$C$10:$C$224,$C292,'TL17'!$J$10:$J$224),0),
IF('TL17'!$B$229=L$3,SUMIF('TL17'!$C$238:$C$451,$C292,'TL17'!$J$238:$J$451),0),
IF('TL18'!$B$3=L$3,SUMIF('TL18'!$C$10:$C$224,$C292,'TL18'!$J$10:$J$224),0),
IF('TL18'!$B$229=L$3,SUMIF('TL18'!$C$238:$C$451,$C292,'TL18'!$J$238:$J$451),0),
IF('TL19'!$B$3=L$3,SUMIF('TL19'!$C$10:$C$224,$C292,'TL19'!$J$10:$J$224),0),
IF('TL19'!$B$229=L$3,SUMIF('TL19'!$C$238:$C$451,$C292,'TL19'!$J$238:$J$451),0)
),0)</f>
        <v>0</v>
      </c>
      <c r="M292" s="9">
        <f>IFERROR(SUM(
IF('TL01'!$B$3=M$3,SUMIF('TL01'!$C$10:$C$224,$C292,'TL01'!$J$10:$J$224),0),
IF('TL01'!$B$229=M$3,SUMIF('TL01'!$C$238:$C$451,$C292,'TL01'!$J$238:$J$451),0),
IF('TL02'!$B$3=M$3,SUMIF('TL02'!$C$10:$C$224,$C292,'TL02'!$J$10:$J$224),0),
IF('TL02'!$B$229=M$3,SUMIF('TL02'!$C$238:$C$451,$C292,'TL02'!$J$238:$J$451),0),
IF('TL03'!$B$3=M$3,SUMIF('TL03'!$C$10:$C$224,$C292,'TL03'!$J$10:$J$224),0),
IF('TL03'!$B$229=M$3,SUMIF('TL03'!$C$238:$C$451,$C292,'TL03'!$J$238:$J$451),0),
IF('TL04'!$B$3=M$3,SUMIF('TL04'!$C$10:$C$224,$C292,'TL04'!$J$10:$J$224),0),
IF('TL04'!$B$229=M$3,SUMIF('TL04'!$C$238:$C$451,$C292,'TL04'!$J$238:$J$451),0),
IF('TL05'!$B$3=M$3,SUMIF('TL05'!$C$10:$C$224,$C292,'TL05'!$J$10:$J$224),0),
IF('TL05'!$B$229=M$3,SUMIF('TL05'!$C$238:$C$451,$C292,'TL05'!$J$238:$J$451),0),
IF('TL06'!$B$3=M$3,SUMIF('TL06'!$C$10:$C$224,$C292,'TL06'!$J$10:$J$224),0),
IF('TL06'!$B$229=M$3,SUMIF('TL06'!$C$238:$C$451,$C292,'TL06'!$J$238:$J$451),0),
IF('TL07'!$B$3=M$3,SUMIF('TL07'!$C$10:$C$224,$C292,'TL07'!$J$10:$J$224),0),
IF('TL07'!$B$229=M$3,SUMIF('TL07'!$C$238:$C$451,$C292,'TL07'!$J$238:$J$451),0),
IF('TL08'!$B$3=M$3,SUMIF('TL08'!$C$10:$C$224,$C292,'TL08'!$J$10:$J$224),0),
IF('TL08'!$B$229=M$3,SUMIF('TL08'!$C$238:$C$451,$C292,'TL08'!$J$238:$J$451),0),
IF('TL09'!$B$3=M$3,SUMIF('TL09'!$C$10:$C$224,$C292,'TL09'!$J$10:$J$224),0),
IF('TL09'!$B$229=M$3,SUMIF('TL09'!$C$238:$C$451,$C292,'TL09'!$J$238:$J$451),0),
IF('TL10'!$B$3=M$3,SUMIF('TL10'!$C$10:$C$224,$C292,'TL10'!$J$10:$J$224),0),
IF('TL10'!$B$229=M$3,SUMIF('TL10'!$C$238:$C$451,$C292,'TL10'!$J$238:$J$451),0),
IF('TL11'!$B$3=M$3,SUMIF('TL11'!$C$10:$C$224,$C292,'TL11'!$J$10:$J$224),0),
IF('TL11'!$B$229=M$3,SUMIF('TL11'!$C$238:$C$451,$C292,'TL11'!$J$238:$J$451),0),
IF('TL12'!$B$3=M$3,SUMIF('TL12'!$C$10:$C$224,$C292,'TL12'!$J$10:$J$224),0),
IF('TL12'!$B$229=M$3,SUMIF('TL12'!$C$238:$C$451,$C292,'TL12'!$J$238:$J$451),0),
IF('TL13'!$B$3=M$3,SUMIF('TL13'!$C$10:$C$224,$C292,'TL13'!$J$10:$J$224),0),
IF('TL13'!$B$229=M$3,SUMIF('TL13'!$C$238:$C$451,$C292,'TL13'!$J$238:$J$451),0),
IF('TL14'!$B$3=M$3,SUMIF('TL14'!$C$10:$C$224,$C292,'TL14'!$J$10:$J$224),0),
IF('TL14'!$B$229=M$3,SUMIF('TL14'!$C$238:$C$451,$C292,'TL14'!$J$238:$J$451),0),
IF('TL15'!$B$3=M$3,SUMIF('TL15'!$C$10:$C$224,$C292,'TL15'!$J$10:$J$224),0),
IF('TL15'!$B$229=M$3,SUMIF('TL15'!$C$238:$C$451,$C292,'TL15'!$J$238:$J$451),0),
IF('TL16'!$B$3=M$3,SUMIF('TL16'!$C$10:$C$224,$C292,'TL16'!$J$10:$J$224),0),
IF('TL16'!$B$229=M$3,SUMIF('TL16'!$C$238:$C$451,$C292,'TL16'!$J$238:$J$451),0),
IF('TL17'!$B$3=M$3,SUMIF('TL17'!$C$10:$C$224,$C292,'TL17'!$J$10:$J$224),0),
IF('TL17'!$B$229=M$3,SUMIF('TL17'!$C$238:$C$451,$C292,'TL17'!$J$238:$J$451),0),
IF('TL18'!$B$3=M$3,SUMIF('TL18'!$C$10:$C$224,$C292,'TL18'!$J$10:$J$224),0),
IF('TL18'!$B$229=M$3,SUMIF('TL18'!$C$238:$C$451,$C292,'TL18'!$J$238:$J$451),0),
IF('TL19'!$B$3=M$3,SUMIF('TL19'!$C$10:$C$224,$C292,'TL19'!$J$10:$J$224),0),
IF('TL19'!$B$229=M$3,SUMIF('TL19'!$C$238:$C$451,$C292,'TL19'!$J$238:$J$451),0)
),0)</f>
        <v>0</v>
      </c>
      <c r="N292" s="9">
        <f>IFERROR(SUM(
IF('TL01'!$B$3=N$3,SUMIF('TL01'!$C$10:$C$224,$C292,'TL01'!$J$10:$J$224),0),
IF('TL01'!$B$229=N$3,SUMIF('TL01'!$C$238:$C$451,$C292,'TL01'!$J$238:$J$451),0),
IF('TL02'!$B$3=N$3,SUMIF('TL02'!$C$10:$C$224,$C292,'TL02'!$J$10:$J$224),0),
IF('TL02'!$B$229=N$3,SUMIF('TL02'!$C$238:$C$451,$C292,'TL02'!$J$238:$J$451),0),
IF('TL03'!$B$3=N$3,SUMIF('TL03'!$C$10:$C$224,$C292,'TL03'!$J$10:$J$224),0),
IF('TL03'!$B$229=N$3,SUMIF('TL03'!$C$238:$C$451,$C292,'TL03'!$J$238:$J$451),0),
IF('TL04'!$B$3=N$3,SUMIF('TL04'!$C$10:$C$224,$C292,'TL04'!$J$10:$J$224),0),
IF('TL04'!$B$229=N$3,SUMIF('TL04'!$C$238:$C$451,$C292,'TL04'!$J$238:$J$451),0),
IF('TL05'!$B$3=N$3,SUMIF('TL05'!$C$10:$C$224,$C292,'TL05'!$J$10:$J$224),0),
IF('TL05'!$B$229=N$3,SUMIF('TL05'!$C$238:$C$451,$C292,'TL05'!$J$238:$J$451),0),
IF('TL06'!$B$3=N$3,SUMIF('TL06'!$C$10:$C$224,$C292,'TL06'!$J$10:$J$224),0),
IF('TL06'!$B$229=N$3,SUMIF('TL06'!$C$238:$C$451,$C292,'TL06'!$J$238:$J$451),0),
IF('TL07'!$B$3=N$3,SUMIF('TL07'!$C$10:$C$224,$C292,'TL07'!$J$10:$J$224),0),
IF('TL07'!$B$229=N$3,SUMIF('TL07'!$C$238:$C$451,$C292,'TL07'!$J$238:$J$451),0),
IF('TL08'!$B$3=N$3,SUMIF('TL08'!$C$10:$C$224,$C292,'TL08'!$J$10:$J$224),0),
IF('TL08'!$B$229=N$3,SUMIF('TL08'!$C$238:$C$451,$C292,'TL08'!$J$238:$J$451),0),
IF('TL09'!$B$3=N$3,SUMIF('TL09'!$C$10:$C$224,$C292,'TL09'!$J$10:$J$224),0),
IF('TL09'!$B$229=N$3,SUMIF('TL09'!$C$238:$C$451,$C292,'TL09'!$J$238:$J$451),0),
IF('TL10'!$B$3=N$3,SUMIF('TL10'!$C$10:$C$224,$C292,'TL10'!$J$10:$J$224),0),
IF('TL10'!$B$229=N$3,SUMIF('TL10'!$C$238:$C$451,$C292,'TL10'!$J$238:$J$451),0),
IF('TL11'!$B$3=N$3,SUMIF('TL11'!$C$10:$C$224,$C292,'TL11'!$J$10:$J$224),0),
IF('TL11'!$B$229=N$3,SUMIF('TL11'!$C$238:$C$451,$C292,'TL11'!$J$238:$J$451),0),
IF('TL12'!$B$3=N$3,SUMIF('TL12'!$C$10:$C$224,$C292,'TL12'!$J$10:$J$224),0),
IF('TL12'!$B$229=N$3,SUMIF('TL12'!$C$238:$C$451,$C292,'TL12'!$J$238:$J$451),0),
IF('TL13'!$B$3=N$3,SUMIF('TL13'!$C$10:$C$224,$C292,'TL13'!$J$10:$J$224),0),
IF('TL13'!$B$229=N$3,SUMIF('TL13'!$C$238:$C$451,$C292,'TL13'!$J$238:$J$451),0),
IF('TL14'!$B$3=N$3,SUMIF('TL14'!$C$10:$C$224,$C292,'TL14'!$J$10:$J$224),0),
IF('TL14'!$B$229=N$3,SUMIF('TL14'!$C$238:$C$451,$C292,'TL14'!$J$238:$J$451),0),
IF('TL15'!$B$3=N$3,SUMIF('TL15'!$C$10:$C$224,$C292,'TL15'!$J$10:$J$224),0),
IF('TL15'!$B$229=N$3,SUMIF('TL15'!$C$238:$C$451,$C292,'TL15'!$J$238:$J$451),0),
IF('TL16'!$B$3=N$3,SUMIF('TL16'!$C$10:$C$224,$C292,'TL16'!$J$10:$J$224),0),
IF('TL16'!$B$229=N$3,SUMIF('TL16'!$C$238:$C$451,$C292,'TL16'!$J$238:$J$451),0),
IF('TL17'!$B$3=N$3,SUMIF('TL17'!$C$10:$C$224,$C292,'TL17'!$J$10:$J$224),0),
IF('TL17'!$B$229=N$3,SUMIF('TL17'!$C$238:$C$451,$C292,'TL17'!$J$238:$J$451),0),
IF('TL18'!$B$3=N$3,SUMIF('TL18'!$C$10:$C$224,$C292,'TL18'!$J$10:$J$224),0),
IF('TL18'!$B$229=N$3,SUMIF('TL18'!$C$238:$C$451,$C292,'TL18'!$J$238:$J$451),0),
IF('TL19'!$B$3=N$3,SUMIF('TL19'!$C$10:$C$224,$C292,'TL19'!$J$10:$J$224),0),
IF('TL19'!$B$229=N$3,SUMIF('TL19'!$C$238:$C$451,$C292,'TL19'!$J$238:$J$451),0)
),0)</f>
        <v>0</v>
      </c>
      <c r="O292" s="9">
        <f>IFERROR(SUM(
IF('TL01'!$B$3=O$3,SUMIF('TL01'!$C$10:$C$224,$C292,'TL01'!$J$10:$J$224),0),
IF('TL01'!$B$229=O$3,SUMIF('TL01'!$C$238:$C$451,$C292,'TL01'!$J$238:$J$451),0),
IF('TL02'!$B$3=O$3,SUMIF('TL02'!$C$10:$C$224,$C292,'TL02'!$J$10:$J$224),0),
IF('TL02'!$B$229=O$3,SUMIF('TL02'!$C$238:$C$451,$C292,'TL02'!$J$238:$J$451),0),
IF('TL03'!$B$3=O$3,SUMIF('TL03'!$C$10:$C$224,$C292,'TL03'!$J$10:$J$224),0),
IF('TL03'!$B$229=O$3,SUMIF('TL03'!$C$238:$C$451,$C292,'TL03'!$J$238:$J$451),0),
IF('TL04'!$B$3=O$3,SUMIF('TL04'!$C$10:$C$224,$C292,'TL04'!$J$10:$J$224),0),
IF('TL04'!$B$229=O$3,SUMIF('TL04'!$C$238:$C$451,$C292,'TL04'!$J$238:$J$451),0),
IF('TL05'!$B$3=O$3,SUMIF('TL05'!$C$10:$C$224,$C292,'TL05'!$J$10:$J$224),0),
IF('TL05'!$B$229=O$3,SUMIF('TL05'!$C$238:$C$451,$C292,'TL05'!$J$238:$J$451),0),
IF('TL06'!$B$3=O$3,SUMIF('TL06'!$C$10:$C$224,$C292,'TL06'!$J$10:$J$224),0),
IF('TL06'!$B$229=O$3,SUMIF('TL06'!$C$238:$C$451,$C292,'TL06'!$J$238:$J$451),0),
IF('TL07'!$B$3=O$3,SUMIF('TL07'!$C$10:$C$224,$C292,'TL07'!$J$10:$J$224),0),
IF('TL07'!$B$229=O$3,SUMIF('TL07'!$C$238:$C$451,$C292,'TL07'!$J$238:$J$451),0),
IF('TL08'!$B$3=O$3,SUMIF('TL08'!$C$10:$C$224,$C292,'TL08'!$J$10:$J$224),0),
IF('TL08'!$B$229=O$3,SUMIF('TL08'!$C$238:$C$451,$C292,'TL08'!$J$238:$J$451),0),
IF('TL09'!$B$3=O$3,SUMIF('TL09'!$C$10:$C$224,$C292,'TL09'!$J$10:$J$224),0),
IF('TL09'!$B$229=O$3,SUMIF('TL09'!$C$238:$C$451,$C292,'TL09'!$J$238:$J$451),0),
IF('TL10'!$B$3=O$3,SUMIF('TL10'!$C$10:$C$224,$C292,'TL10'!$J$10:$J$224),0),
IF('TL10'!$B$229=O$3,SUMIF('TL10'!$C$238:$C$451,$C292,'TL10'!$J$238:$J$451),0),
IF('TL11'!$B$3=O$3,SUMIF('TL11'!$C$10:$C$224,$C292,'TL11'!$J$10:$J$224),0),
IF('TL11'!$B$229=O$3,SUMIF('TL11'!$C$238:$C$451,$C292,'TL11'!$J$238:$J$451),0),
IF('TL12'!$B$3=O$3,SUMIF('TL12'!$C$10:$C$224,$C292,'TL12'!$J$10:$J$224),0),
IF('TL12'!$B$229=O$3,SUMIF('TL12'!$C$238:$C$451,$C292,'TL12'!$J$238:$J$451),0),
IF('TL13'!$B$3=O$3,SUMIF('TL13'!$C$10:$C$224,$C292,'TL13'!$J$10:$J$224),0),
IF('TL13'!$B$229=O$3,SUMIF('TL13'!$C$238:$C$451,$C292,'TL13'!$J$238:$J$451),0),
IF('TL14'!$B$3=O$3,SUMIF('TL14'!$C$10:$C$224,$C292,'TL14'!$J$10:$J$224),0),
IF('TL14'!$B$229=O$3,SUMIF('TL14'!$C$238:$C$451,$C292,'TL14'!$J$238:$J$451),0),
IF('TL15'!$B$3=O$3,SUMIF('TL15'!$C$10:$C$224,$C292,'TL15'!$J$10:$J$224),0),
IF('TL15'!$B$229=O$3,SUMIF('TL15'!$C$238:$C$451,$C292,'TL15'!$J$238:$J$451),0),
IF('TL16'!$B$3=O$3,SUMIF('TL16'!$C$10:$C$224,$C292,'TL16'!$J$10:$J$224),0),
IF('TL16'!$B$229=O$3,SUMIF('TL16'!$C$238:$C$451,$C292,'TL16'!$J$238:$J$451),0),
IF('TL17'!$B$3=O$3,SUMIF('TL17'!$C$10:$C$224,$C292,'TL17'!$J$10:$J$224),0),
IF('TL17'!$B$229=O$3,SUMIF('TL17'!$C$238:$C$451,$C292,'TL17'!$J$238:$J$451),0),
IF('TL18'!$B$3=O$3,SUMIF('TL18'!$C$10:$C$224,$C292,'TL18'!$J$10:$J$224),0),
IF('TL18'!$B$229=O$3,SUMIF('TL18'!$C$238:$C$451,$C292,'TL18'!$J$238:$J$451),0),
IF('TL19'!$B$3=O$3,SUMIF('TL19'!$C$10:$C$224,$C292,'TL19'!$J$10:$J$224),0),
IF('TL19'!$B$229=O$3,SUMIF('TL19'!$C$238:$C$451,$C292,'TL19'!$J$238:$J$451),0)
),0)</f>
        <v>0</v>
      </c>
      <c r="P292" s="9">
        <f>IFERROR(SUM(
IF('TL01'!$B$3=P$3,SUMIF('TL01'!$C$10:$C$224,$C292,'TL01'!$J$10:$J$224),0),
IF('TL01'!$B$229=P$3,SUMIF('TL01'!$C$238:$C$451,$C292,'TL01'!$J$238:$J$451),0),
IF('TL02'!$B$3=P$3,SUMIF('TL02'!$C$10:$C$224,$C292,'TL02'!$J$10:$J$224),0),
IF('TL02'!$B$229=P$3,SUMIF('TL02'!$C$238:$C$451,$C292,'TL02'!$J$238:$J$451),0),
IF('TL03'!$B$3=P$3,SUMIF('TL03'!$C$10:$C$224,$C292,'TL03'!$J$10:$J$224),0),
IF('TL03'!$B$229=P$3,SUMIF('TL03'!$C$238:$C$451,$C292,'TL03'!$J$238:$J$451),0),
IF('TL04'!$B$3=P$3,SUMIF('TL04'!$C$10:$C$224,$C292,'TL04'!$J$10:$J$224),0),
IF('TL04'!$B$229=P$3,SUMIF('TL04'!$C$238:$C$451,$C292,'TL04'!$J$238:$J$451),0),
IF('TL05'!$B$3=P$3,SUMIF('TL05'!$C$10:$C$224,$C292,'TL05'!$J$10:$J$224),0),
IF('TL05'!$B$229=P$3,SUMIF('TL05'!$C$238:$C$451,$C292,'TL05'!$J$238:$J$451),0),
IF('TL06'!$B$3=P$3,SUMIF('TL06'!$C$10:$C$224,$C292,'TL06'!$J$10:$J$224),0),
IF('TL06'!$B$229=P$3,SUMIF('TL06'!$C$238:$C$451,$C292,'TL06'!$J$238:$J$451),0),
IF('TL07'!$B$3=P$3,SUMIF('TL07'!$C$10:$C$224,$C292,'TL07'!$J$10:$J$224),0),
IF('TL07'!$B$229=P$3,SUMIF('TL07'!$C$238:$C$451,$C292,'TL07'!$J$238:$J$451),0),
IF('TL08'!$B$3=P$3,SUMIF('TL08'!$C$10:$C$224,$C292,'TL08'!$J$10:$J$224),0),
IF('TL08'!$B$229=P$3,SUMIF('TL08'!$C$238:$C$451,$C292,'TL08'!$J$238:$J$451),0),
IF('TL09'!$B$3=P$3,SUMIF('TL09'!$C$10:$C$224,$C292,'TL09'!$J$10:$J$224),0),
IF('TL09'!$B$229=P$3,SUMIF('TL09'!$C$238:$C$451,$C292,'TL09'!$J$238:$J$451),0),
IF('TL10'!$B$3=P$3,SUMIF('TL10'!$C$10:$C$224,$C292,'TL10'!$J$10:$J$224),0),
IF('TL10'!$B$229=P$3,SUMIF('TL10'!$C$238:$C$451,$C292,'TL10'!$J$238:$J$451),0),
IF('TL11'!$B$3=P$3,SUMIF('TL11'!$C$10:$C$224,$C292,'TL11'!$J$10:$J$224),0),
IF('TL11'!$B$229=P$3,SUMIF('TL11'!$C$238:$C$451,$C292,'TL11'!$J$238:$J$451),0),
IF('TL12'!$B$3=P$3,SUMIF('TL12'!$C$10:$C$224,$C292,'TL12'!$J$10:$J$224),0),
IF('TL12'!$B$229=P$3,SUMIF('TL12'!$C$238:$C$451,$C292,'TL12'!$J$238:$J$451),0),
IF('TL13'!$B$3=P$3,SUMIF('TL13'!$C$10:$C$224,$C292,'TL13'!$J$10:$J$224),0),
IF('TL13'!$B$229=P$3,SUMIF('TL13'!$C$238:$C$451,$C292,'TL13'!$J$238:$J$451),0),
IF('TL14'!$B$3=P$3,SUMIF('TL14'!$C$10:$C$224,$C292,'TL14'!$J$10:$J$224),0),
IF('TL14'!$B$229=P$3,SUMIF('TL14'!$C$238:$C$451,$C292,'TL14'!$J$238:$J$451),0),
IF('TL15'!$B$3=P$3,SUMIF('TL15'!$C$10:$C$224,$C292,'TL15'!$J$10:$J$224),0),
IF('TL15'!$B$229=P$3,SUMIF('TL15'!$C$238:$C$451,$C292,'TL15'!$J$238:$J$451),0),
IF('TL16'!$B$3=P$3,SUMIF('TL16'!$C$10:$C$224,$C292,'TL16'!$J$10:$J$224),0),
IF('TL16'!$B$229=P$3,SUMIF('TL16'!$C$238:$C$451,$C292,'TL16'!$J$238:$J$451),0),
IF('TL17'!$B$3=P$3,SUMIF('TL17'!$C$10:$C$224,$C292,'TL17'!$J$10:$J$224),0),
IF('TL17'!$B$229=P$3,SUMIF('TL17'!$C$238:$C$451,$C292,'TL17'!$J$238:$J$451),0),
IF('TL18'!$B$3=P$3,SUMIF('TL18'!$C$10:$C$224,$C292,'TL18'!$J$10:$J$224),0),
IF('TL18'!$B$229=P$3,SUMIF('TL18'!$C$238:$C$451,$C292,'TL18'!$J$238:$J$451),0),
IF('TL19'!$B$3=P$3,SUMIF('TL19'!$C$10:$C$224,$C292,'TL19'!$J$10:$J$224),0),
IF('TL19'!$B$229=P$3,SUMIF('TL19'!$C$238:$C$451,$C292,'TL19'!$J$238:$J$451),0)
),0)</f>
        <v>0</v>
      </c>
      <c r="Q292" s="9">
        <f>IFERROR(SUM(
IF('TL01'!$B$3=Q$3,SUMIF('TL01'!$C$10:$C$224,$C292,'TL01'!$J$10:$J$224),0),
IF('TL01'!$B$229=Q$3,SUMIF('TL01'!$C$238:$C$451,$C292,'TL01'!$J$238:$J$451),0),
IF('TL02'!$B$3=Q$3,SUMIF('TL02'!$C$10:$C$224,$C292,'TL02'!$J$10:$J$224),0),
IF('TL02'!$B$229=Q$3,SUMIF('TL02'!$C$238:$C$451,$C292,'TL02'!$J$238:$J$451),0),
IF('TL03'!$B$3=Q$3,SUMIF('TL03'!$C$10:$C$224,$C292,'TL03'!$J$10:$J$224),0),
IF('TL03'!$B$229=Q$3,SUMIF('TL03'!$C$238:$C$451,$C292,'TL03'!$J$238:$J$451),0),
IF('TL04'!$B$3=Q$3,SUMIF('TL04'!$C$10:$C$224,$C292,'TL04'!$J$10:$J$224),0),
IF('TL04'!$B$229=Q$3,SUMIF('TL04'!$C$238:$C$451,$C292,'TL04'!$J$238:$J$451),0),
IF('TL05'!$B$3=Q$3,SUMIF('TL05'!$C$10:$C$224,$C292,'TL05'!$J$10:$J$224),0),
IF('TL05'!$B$229=Q$3,SUMIF('TL05'!$C$238:$C$451,$C292,'TL05'!$J$238:$J$451),0),
IF('TL06'!$B$3=Q$3,SUMIF('TL06'!$C$10:$C$224,$C292,'TL06'!$J$10:$J$224),0),
IF('TL06'!$B$229=Q$3,SUMIF('TL06'!$C$238:$C$451,$C292,'TL06'!$J$238:$J$451),0),
IF('TL07'!$B$3=Q$3,SUMIF('TL07'!$C$10:$C$224,$C292,'TL07'!$J$10:$J$224),0),
IF('TL07'!$B$229=Q$3,SUMIF('TL07'!$C$238:$C$451,$C292,'TL07'!$J$238:$J$451),0),
IF('TL08'!$B$3=Q$3,SUMIF('TL08'!$C$10:$C$224,$C292,'TL08'!$J$10:$J$224),0),
IF('TL08'!$B$229=Q$3,SUMIF('TL08'!$C$238:$C$451,$C292,'TL08'!$J$238:$J$451),0),
IF('TL09'!$B$3=Q$3,SUMIF('TL09'!$C$10:$C$224,$C292,'TL09'!$J$10:$J$224),0),
IF('TL09'!$B$229=Q$3,SUMIF('TL09'!$C$238:$C$451,$C292,'TL09'!$J$238:$J$451),0),
IF('TL10'!$B$3=Q$3,SUMIF('TL10'!$C$10:$C$224,$C292,'TL10'!$J$10:$J$224),0),
IF('TL10'!$B$229=Q$3,SUMIF('TL10'!$C$238:$C$451,$C292,'TL10'!$J$238:$J$451),0),
IF('TL11'!$B$3=Q$3,SUMIF('TL11'!$C$10:$C$224,$C292,'TL11'!$J$10:$J$224),0),
IF('TL11'!$B$229=Q$3,SUMIF('TL11'!$C$238:$C$451,$C292,'TL11'!$J$238:$J$451),0),
IF('TL12'!$B$3=Q$3,SUMIF('TL12'!$C$10:$C$224,$C292,'TL12'!$J$10:$J$224),0),
IF('TL12'!$B$229=Q$3,SUMIF('TL12'!$C$238:$C$451,$C292,'TL12'!$J$238:$J$451),0),
IF('TL13'!$B$3=Q$3,SUMIF('TL13'!$C$10:$C$224,$C292,'TL13'!$J$10:$J$224),0),
IF('TL13'!$B$229=Q$3,SUMIF('TL13'!$C$238:$C$451,$C292,'TL13'!$J$238:$J$451),0),
IF('TL14'!$B$3=Q$3,SUMIF('TL14'!$C$10:$C$224,$C292,'TL14'!$J$10:$J$224),0),
IF('TL14'!$B$229=Q$3,SUMIF('TL14'!$C$238:$C$451,$C292,'TL14'!$J$238:$J$451),0),
IF('TL15'!$B$3=Q$3,SUMIF('TL15'!$C$10:$C$224,$C292,'TL15'!$J$10:$J$224),0),
IF('TL15'!$B$229=Q$3,SUMIF('TL15'!$C$238:$C$451,$C292,'TL15'!$J$238:$J$451),0),
IF('TL16'!$B$3=Q$3,SUMIF('TL16'!$C$10:$C$224,$C292,'TL16'!$J$10:$J$224),0),
IF('TL16'!$B$229=Q$3,SUMIF('TL16'!$C$238:$C$451,$C292,'TL16'!$J$238:$J$451),0),
IF('TL17'!$B$3=Q$3,SUMIF('TL17'!$C$10:$C$224,$C292,'TL17'!$J$10:$J$224),0),
IF('TL17'!$B$229=Q$3,SUMIF('TL17'!$C$238:$C$451,$C292,'TL17'!$J$238:$J$451),0),
IF('TL18'!$B$3=Q$3,SUMIF('TL18'!$C$10:$C$224,$C292,'TL18'!$J$10:$J$224),0),
IF('TL18'!$B$229=Q$3,SUMIF('TL18'!$C$238:$C$451,$C292,'TL18'!$J$238:$J$451),0),
IF('TL19'!$B$3=Q$3,SUMIF('TL19'!$C$10:$C$224,$C292,'TL19'!$J$10:$J$224),0),
IF('TL19'!$B$229=Q$3,SUMIF('TL19'!$C$238:$C$451,$C292,'TL19'!$J$238:$J$451),0)
),0)</f>
        <v>0</v>
      </c>
      <c r="R292" s="9">
        <f>IFERROR(
SUM(
SUMIF('TL01'!C:C,C292,'TL01'!J:J),
SUMIF('TL02'!C:C,C292,'TL02'!J:J),
SUMIF('TL03'!C:C,C292,'TL03'!J:J),
SUMIF('TL04'!C:C,C292,'TL04'!J:J),
SUMIF('TL05'!C:C,C292,'TL05'!J:J),
SUMIF('TL06'!C:C,C292,'TL06'!J:J),
SUMIF('TL07'!C:C,C292,'TL07'!J:J),
SUMIF('TL08'!C:C,C292,'TL08'!J:J),
SUMIF('TL09'!C:C,C292,'TL09'!J:J),
SUMIF('TL10'!C:C,C292,'TL10'!J:J),
SUMIF('TL11'!C:C,C292,'TL11'!J:J),
SUMIF('TL12'!C:C,C292,'TL12'!J:J),
SUMIF('TL13'!C:C,C292,'TL13'!J:J),
SUMIF('TL14'!C:C,C292,'TL14'!J:J),
SUMIF('TL15'!C:C,C292,'TL15'!J:J),
SUMIF('TL16'!C:C,C292,'TL16'!J:J),
SUMIF('TL17'!C:C,C292,'TL17'!J:J),
SUMIF('TL18'!C:C,C292,'TL18'!J:J),SUMIF('TL19'!C:C,C292,'TL19'!J:J))
,0)</f>
        <v>0</v>
      </c>
      <c r="S292" s="17">
        <f>IFERROR(__xludf.DUMMYFUNCTION("IFERROR(VLOOKUP(C292,
IMPORTRANGE(""1wULbzX32WdYsx-lj2U3uUNBBe2INVIRDtcK0d-Dvl90"",
""26-27!C:G""),
5,
FALSE),
"""")"),133.0)</f>
        <v>133</v>
      </c>
      <c r="T292" s="9"/>
      <c r="U292" s="92">
        <f t="shared" si="2"/>
        <v>0</v>
      </c>
      <c r="V292" s="93">
        <f t="shared" si="3"/>
        <v>0</v>
      </c>
    </row>
    <row r="293" ht="15.75" hidden="1" customHeight="1">
      <c r="A293" s="122" t="s">
        <v>358</v>
      </c>
      <c r="B293" s="124" t="s">
        <v>3</v>
      </c>
      <c r="C293" s="122" t="s">
        <v>1005</v>
      </c>
      <c r="D293" s="122" t="s">
        <v>1006</v>
      </c>
      <c r="E293" s="122">
        <v>500.0</v>
      </c>
      <c r="F293" s="4"/>
      <c r="G293" s="90" t="str">
        <f t="shared" si="5"/>
        <v>📄 Ver bula</v>
      </c>
      <c r="H293" s="9">
        <f>IFERROR(__xludf.DUMMYFUNCTION("IFERROR(VLOOKUP(C293,
IMPORTRANGE(""1wULbzX32WdYsx-lj2U3uUNBBe2INVIRDtcK0d-Dvl90"",
""26-27!C:K""),
8,
FALSE),
"""")"),0.02)</f>
        <v>0.02</v>
      </c>
      <c r="I293" s="123"/>
      <c r="J293" s="9">
        <f>IFERROR(SUM(
IF('TL01'!$B$3=J$3,SUMIF('TL01'!$C$10:$C$224,$C293,'TL01'!$J$10:$J$224),0),
IF('TL01'!$B$229=J$3,SUMIF('TL01'!$C$238:$C$451,$C293,'TL01'!$J$238:$J$451),0),
IF('TL02'!$B$3=J$3,SUMIF('TL02'!$C$10:$C$224,$C293,'TL02'!$J$10:$J$224),0),
IF('TL02'!$B$229=J$3,SUMIF('TL02'!$C$238:$C$451,$C293,'TL02'!$J$238:$J$451),0),
IF('TL03'!$B$3=J$3,SUMIF('TL03'!$C$10:$C$224,$C293,'TL03'!$J$10:$J$224),0),
IF('TL03'!$B$229=J$3,SUMIF('TL03'!$C$238:$C$451,$C293,'TL03'!$J$238:$J$451),0),
IF('TL04'!$B$3=J$3,SUMIF('TL04'!$C$10:$C$224,$C293,'TL04'!$J$10:$J$224),0),
IF('TL04'!$B$229=J$3,SUMIF('TL04'!$C$238:$C$451,$C293,'TL04'!$J$238:$J$451),0),
IF('TL05'!$B$3=J$3,SUMIF('TL05'!$C$10:$C$224,$C293,'TL05'!$J$10:$J$224),0),
IF('TL05'!$B$229=J$3,SUMIF('TL05'!$C$238:$C$451,$C293,'TL05'!$J$238:$J$451),0),
IF('TL06'!$B$3=J$3,SUMIF('TL06'!$C$10:$C$224,$C293,'TL06'!$J$10:$J$224),0),
IF('TL06'!$B$229=J$3,SUMIF('TL06'!$C$238:$C$451,$C293,'TL06'!$J$238:$J$451),0),
IF('TL07'!$B$3=J$3,SUMIF('TL07'!$C$10:$C$224,$C293,'TL07'!$J$10:$J$224),0),
IF('TL07'!$B$229=J$3,SUMIF('TL07'!$C$238:$C$451,$C293,'TL07'!$J$238:$J$451),0),
IF('TL08'!$B$3=J$3,SUMIF('TL08'!$C$10:$C$224,$C293,'TL08'!$J$10:$J$224),0),
IF('TL08'!$B$229=J$3,SUMIF('TL08'!$C$238:$C$451,$C293,'TL08'!$J$238:$J$451),0),
IF('TL09'!$B$3=J$3,SUMIF('TL09'!$C$10:$C$224,$C293,'TL09'!$J$10:$J$224),0),
IF('TL09'!$B$229=J$3,SUMIF('TL09'!$C$238:$C$451,$C293,'TL09'!$J$238:$J$451),0),
IF('TL10'!$B$3=J$3,SUMIF('TL10'!$C$10:$C$224,$C293,'TL10'!$J$10:$J$224),0),
IF('TL10'!$B$229=J$3,SUMIF('TL10'!$C$238:$C$451,$C293,'TL10'!$J$238:$J$451),0),
IF('TL11'!$B$3=J$3,SUMIF('TL11'!$C$10:$C$224,$C293,'TL11'!$J$10:$J$224),0),
IF('TL11'!$B$229=J$3,SUMIF('TL11'!$C$238:$C$451,$C293,'TL11'!$J$238:$J$451),0),
IF('TL12'!$B$3=J$3,SUMIF('TL12'!$C$10:$C$224,$C293,'TL12'!$J$10:$J$224),0),
IF('TL12'!$B$229=J$3,SUMIF('TL12'!$C$238:$C$451,$C293,'TL12'!$J$238:$J$451),0),
IF('TL13'!$B$3=J$3,SUMIF('TL13'!$C$10:$C$224,$C293,'TL13'!$J$10:$J$224),0),
IF('TL13'!$B$229=J$3,SUMIF('TL13'!$C$238:$C$451,$C293,'TL13'!$J$238:$J$451),0),
IF('TL14'!$B$3=J$3,SUMIF('TL14'!$C$10:$C$224,$C293,'TL14'!$J$10:$J$224),0),
IF('TL14'!$B$229=J$3,SUMIF('TL14'!$C$238:$C$451,$C293,'TL14'!$J$238:$J$451),0),
IF('TL15'!$B$3=J$3,SUMIF('TL15'!$C$10:$C$224,$C293,'TL15'!$J$10:$J$224),0),
IF('TL15'!$B$229=J$3,SUMIF('TL15'!$C$238:$C$451,$C293,'TL15'!$J$238:$J$451),0),
IF('TL16'!$B$3=J$3,SUMIF('TL16'!$C$10:$C$224,$C293,'TL16'!$J$10:$J$224),0),
IF('TL16'!$B$229=J$3,SUMIF('TL16'!$C$238:$C$451,$C293,'TL16'!$J$238:$J$451),0),
IF('TL17'!$B$3=J$3,SUMIF('TL17'!$C$10:$C$224,$C293,'TL17'!$J$10:$J$224),0),
IF('TL17'!$B$229=J$3,SUMIF('TL17'!$C$238:$C$451,$C293,'TL17'!$J$238:$J$451),0),
IF('TL18'!$B$3=J$3,SUMIF('TL18'!$C$10:$C$224,$C293,'TL18'!$J$10:$J$224),0),
IF('TL18'!$B$229=J$3,SUMIF('TL18'!$C$238:$C$451,$C293,'TL18'!$J$238:$J$451),0),
IF('TL19'!$B$3=J$3,SUMIF('TL19'!$C$10:$C$224,$C293,'TL19'!$J$10:$J$224),0),
IF('TL19'!$B$229=J$3,SUMIF('TL19'!$C$238:$C$451,$C293,'TL19'!$J$238:$J$451),0)
),0)</f>
        <v>0</v>
      </c>
      <c r="K293" s="9">
        <f>IFERROR(SUM(
IF('TL01'!$B$3=K$3,SUMIF('TL01'!$C$10:$C$224,$C293,'TL01'!$J$10:$J$224),0),
IF('TL01'!$B$229=K$3,SUMIF('TL01'!$C$238:$C$451,$C293,'TL01'!$J$238:$J$451),0),
IF('TL02'!$B$3=K$3,SUMIF('TL02'!$C$10:$C$224,$C293,'TL02'!$J$10:$J$224),0),
IF('TL02'!$B$229=K$3,SUMIF('TL02'!$C$238:$C$451,$C293,'TL02'!$J$238:$J$451),0),
IF('TL03'!$B$3=K$3,SUMIF('TL03'!$C$10:$C$224,$C293,'TL03'!$J$10:$J$224),0),
IF('TL03'!$B$229=K$3,SUMIF('TL03'!$C$238:$C$451,$C293,'TL03'!$J$238:$J$451),0),
IF('TL04'!$B$3=K$3,SUMIF('TL04'!$C$10:$C$224,$C293,'TL04'!$J$10:$J$224),0),
IF('TL04'!$B$229=K$3,SUMIF('TL04'!$C$238:$C$451,$C293,'TL04'!$J$238:$J$451),0),
IF('TL05'!$B$3=K$3,SUMIF('TL05'!$C$10:$C$224,$C293,'TL05'!$J$10:$J$224),0),
IF('TL05'!$B$229=K$3,SUMIF('TL05'!$C$238:$C$451,$C293,'TL05'!$J$238:$J$451),0),
IF('TL06'!$B$3=K$3,SUMIF('TL06'!$C$10:$C$224,$C293,'TL06'!$J$10:$J$224),0),
IF('TL06'!$B$229=K$3,SUMIF('TL06'!$C$238:$C$451,$C293,'TL06'!$J$238:$J$451),0),
IF('TL07'!$B$3=K$3,SUMIF('TL07'!$C$10:$C$224,$C293,'TL07'!$J$10:$J$224),0),
IF('TL07'!$B$229=K$3,SUMIF('TL07'!$C$238:$C$451,$C293,'TL07'!$J$238:$J$451),0),
IF('TL08'!$B$3=K$3,SUMIF('TL08'!$C$10:$C$224,$C293,'TL08'!$J$10:$J$224),0),
IF('TL08'!$B$229=K$3,SUMIF('TL08'!$C$238:$C$451,$C293,'TL08'!$J$238:$J$451),0),
IF('TL09'!$B$3=K$3,SUMIF('TL09'!$C$10:$C$224,$C293,'TL09'!$J$10:$J$224),0),
IF('TL09'!$B$229=K$3,SUMIF('TL09'!$C$238:$C$451,$C293,'TL09'!$J$238:$J$451),0),
IF('TL10'!$B$3=K$3,SUMIF('TL10'!$C$10:$C$224,$C293,'TL10'!$J$10:$J$224),0),
IF('TL10'!$B$229=K$3,SUMIF('TL10'!$C$238:$C$451,$C293,'TL10'!$J$238:$J$451),0),
IF('TL11'!$B$3=K$3,SUMIF('TL11'!$C$10:$C$224,$C293,'TL11'!$J$10:$J$224),0),
IF('TL11'!$B$229=K$3,SUMIF('TL11'!$C$238:$C$451,$C293,'TL11'!$J$238:$J$451),0),
IF('TL12'!$B$3=K$3,SUMIF('TL12'!$C$10:$C$224,$C293,'TL12'!$J$10:$J$224),0),
IF('TL12'!$B$229=K$3,SUMIF('TL12'!$C$238:$C$451,$C293,'TL12'!$J$238:$J$451),0),
IF('TL13'!$B$3=K$3,SUMIF('TL13'!$C$10:$C$224,$C293,'TL13'!$J$10:$J$224),0),
IF('TL13'!$B$229=K$3,SUMIF('TL13'!$C$238:$C$451,$C293,'TL13'!$J$238:$J$451),0),
IF('TL14'!$B$3=K$3,SUMIF('TL14'!$C$10:$C$224,$C293,'TL14'!$J$10:$J$224),0),
IF('TL14'!$B$229=K$3,SUMIF('TL14'!$C$238:$C$451,$C293,'TL14'!$J$238:$J$451),0),
IF('TL15'!$B$3=K$3,SUMIF('TL15'!$C$10:$C$224,$C293,'TL15'!$J$10:$J$224),0),
IF('TL15'!$B$229=K$3,SUMIF('TL15'!$C$238:$C$451,$C293,'TL15'!$J$238:$J$451),0),
IF('TL16'!$B$3=K$3,SUMIF('TL16'!$C$10:$C$224,$C293,'TL16'!$J$10:$J$224),0),
IF('TL16'!$B$229=K$3,SUMIF('TL16'!$C$238:$C$451,$C293,'TL16'!$J$238:$J$451),0),
IF('TL17'!$B$3=K$3,SUMIF('TL17'!$C$10:$C$224,$C293,'TL17'!$J$10:$J$224),0),
IF('TL17'!$B$229=K$3,SUMIF('TL17'!$C$238:$C$451,$C293,'TL17'!$J$238:$J$451),0),
IF('TL18'!$B$3=K$3,SUMIF('TL18'!$C$10:$C$224,$C293,'TL18'!$J$10:$J$224),0),
IF('TL18'!$B$229=K$3,SUMIF('TL18'!$C$238:$C$451,$C293,'TL18'!$J$238:$J$451),0),
IF('TL19'!$B$3=K$3,SUMIF('TL19'!$C$10:$C$224,$C293,'TL19'!$J$10:$J$224),0),
IF('TL19'!$B$229=K$3,SUMIF('TL19'!$C$238:$C$451,$C293,'TL19'!$J$238:$J$451),0)
),0)</f>
        <v>12</v>
      </c>
      <c r="L293" s="9">
        <f>IFERROR(SUM(
IF('TL01'!$B$3=L$3,SUMIF('TL01'!$C$10:$C$224,$C293,'TL01'!$J$10:$J$224),0),
IF('TL01'!$B$229=L$3,SUMIF('TL01'!$C$238:$C$451,$C293,'TL01'!$J$238:$J$451),0),
IF('TL02'!$B$3=L$3,SUMIF('TL02'!$C$10:$C$224,$C293,'TL02'!$J$10:$J$224),0),
IF('TL02'!$B$229=L$3,SUMIF('TL02'!$C$238:$C$451,$C293,'TL02'!$J$238:$J$451),0),
IF('TL03'!$B$3=L$3,SUMIF('TL03'!$C$10:$C$224,$C293,'TL03'!$J$10:$J$224),0),
IF('TL03'!$B$229=L$3,SUMIF('TL03'!$C$238:$C$451,$C293,'TL03'!$J$238:$J$451),0),
IF('TL04'!$B$3=L$3,SUMIF('TL04'!$C$10:$C$224,$C293,'TL04'!$J$10:$J$224),0),
IF('TL04'!$B$229=L$3,SUMIF('TL04'!$C$238:$C$451,$C293,'TL04'!$J$238:$J$451),0),
IF('TL05'!$B$3=L$3,SUMIF('TL05'!$C$10:$C$224,$C293,'TL05'!$J$10:$J$224),0),
IF('TL05'!$B$229=L$3,SUMIF('TL05'!$C$238:$C$451,$C293,'TL05'!$J$238:$J$451),0),
IF('TL06'!$B$3=L$3,SUMIF('TL06'!$C$10:$C$224,$C293,'TL06'!$J$10:$J$224),0),
IF('TL06'!$B$229=L$3,SUMIF('TL06'!$C$238:$C$451,$C293,'TL06'!$J$238:$J$451),0),
IF('TL07'!$B$3=L$3,SUMIF('TL07'!$C$10:$C$224,$C293,'TL07'!$J$10:$J$224),0),
IF('TL07'!$B$229=L$3,SUMIF('TL07'!$C$238:$C$451,$C293,'TL07'!$J$238:$J$451),0),
IF('TL08'!$B$3=L$3,SUMIF('TL08'!$C$10:$C$224,$C293,'TL08'!$J$10:$J$224),0),
IF('TL08'!$B$229=L$3,SUMIF('TL08'!$C$238:$C$451,$C293,'TL08'!$J$238:$J$451),0),
IF('TL09'!$B$3=L$3,SUMIF('TL09'!$C$10:$C$224,$C293,'TL09'!$J$10:$J$224),0),
IF('TL09'!$B$229=L$3,SUMIF('TL09'!$C$238:$C$451,$C293,'TL09'!$J$238:$J$451),0),
IF('TL10'!$B$3=L$3,SUMIF('TL10'!$C$10:$C$224,$C293,'TL10'!$J$10:$J$224),0),
IF('TL10'!$B$229=L$3,SUMIF('TL10'!$C$238:$C$451,$C293,'TL10'!$J$238:$J$451),0),
IF('TL11'!$B$3=L$3,SUMIF('TL11'!$C$10:$C$224,$C293,'TL11'!$J$10:$J$224),0),
IF('TL11'!$B$229=L$3,SUMIF('TL11'!$C$238:$C$451,$C293,'TL11'!$J$238:$J$451),0),
IF('TL12'!$B$3=L$3,SUMIF('TL12'!$C$10:$C$224,$C293,'TL12'!$J$10:$J$224),0),
IF('TL12'!$B$229=L$3,SUMIF('TL12'!$C$238:$C$451,$C293,'TL12'!$J$238:$J$451),0),
IF('TL13'!$B$3=L$3,SUMIF('TL13'!$C$10:$C$224,$C293,'TL13'!$J$10:$J$224),0),
IF('TL13'!$B$229=L$3,SUMIF('TL13'!$C$238:$C$451,$C293,'TL13'!$J$238:$J$451),0),
IF('TL14'!$B$3=L$3,SUMIF('TL14'!$C$10:$C$224,$C293,'TL14'!$J$10:$J$224),0),
IF('TL14'!$B$229=L$3,SUMIF('TL14'!$C$238:$C$451,$C293,'TL14'!$J$238:$J$451),0),
IF('TL15'!$B$3=L$3,SUMIF('TL15'!$C$10:$C$224,$C293,'TL15'!$J$10:$J$224),0),
IF('TL15'!$B$229=L$3,SUMIF('TL15'!$C$238:$C$451,$C293,'TL15'!$J$238:$J$451),0),
IF('TL16'!$B$3=L$3,SUMIF('TL16'!$C$10:$C$224,$C293,'TL16'!$J$10:$J$224),0),
IF('TL16'!$B$229=L$3,SUMIF('TL16'!$C$238:$C$451,$C293,'TL16'!$J$238:$J$451),0),
IF('TL17'!$B$3=L$3,SUMIF('TL17'!$C$10:$C$224,$C293,'TL17'!$J$10:$J$224),0),
IF('TL17'!$B$229=L$3,SUMIF('TL17'!$C$238:$C$451,$C293,'TL17'!$J$238:$J$451),0),
IF('TL18'!$B$3=L$3,SUMIF('TL18'!$C$10:$C$224,$C293,'TL18'!$J$10:$J$224),0),
IF('TL18'!$B$229=L$3,SUMIF('TL18'!$C$238:$C$451,$C293,'TL18'!$J$238:$J$451),0),
IF('TL19'!$B$3=L$3,SUMIF('TL19'!$C$10:$C$224,$C293,'TL19'!$J$10:$J$224),0),
IF('TL19'!$B$229=L$3,SUMIF('TL19'!$C$238:$C$451,$C293,'TL19'!$J$238:$J$451),0)
),0)</f>
        <v>8.8</v>
      </c>
      <c r="M293" s="9">
        <f>IFERROR(SUM(
IF('TL01'!$B$3=M$3,SUMIF('TL01'!$C$10:$C$224,$C293,'TL01'!$J$10:$J$224),0),
IF('TL01'!$B$229=M$3,SUMIF('TL01'!$C$238:$C$451,$C293,'TL01'!$J$238:$J$451),0),
IF('TL02'!$B$3=M$3,SUMIF('TL02'!$C$10:$C$224,$C293,'TL02'!$J$10:$J$224),0),
IF('TL02'!$B$229=M$3,SUMIF('TL02'!$C$238:$C$451,$C293,'TL02'!$J$238:$J$451),0),
IF('TL03'!$B$3=M$3,SUMIF('TL03'!$C$10:$C$224,$C293,'TL03'!$J$10:$J$224),0),
IF('TL03'!$B$229=M$3,SUMIF('TL03'!$C$238:$C$451,$C293,'TL03'!$J$238:$J$451),0),
IF('TL04'!$B$3=M$3,SUMIF('TL04'!$C$10:$C$224,$C293,'TL04'!$J$10:$J$224),0),
IF('TL04'!$B$229=M$3,SUMIF('TL04'!$C$238:$C$451,$C293,'TL04'!$J$238:$J$451),0),
IF('TL05'!$B$3=M$3,SUMIF('TL05'!$C$10:$C$224,$C293,'TL05'!$J$10:$J$224),0),
IF('TL05'!$B$229=M$3,SUMIF('TL05'!$C$238:$C$451,$C293,'TL05'!$J$238:$J$451),0),
IF('TL06'!$B$3=M$3,SUMIF('TL06'!$C$10:$C$224,$C293,'TL06'!$J$10:$J$224),0),
IF('TL06'!$B$229=M$3,SUMIF('TL06'!$C$238:$C$451,$C293,'TL06'!$J$238:$J$451),0),
IF('TL07'!$B$3=M$3,SUMIF('TL07'!$C$10:$C$224,$C293,'TL07'!$J$10:$J$224),0),
IF('TL07'!$B$229=M$3,SUMIF('TL07'!$C$238:$C$451,$C293,'TL07'!$J$238:$J$451),0),
IF('TL08'!$B$3=M$3,SUMIF('TL08'!$C$10:$C$224,$C293,'TL08'!$J$10:$J$224),0),
IF('TL08'!$B$229=M$3,SUMIF('TL08'!$C$238:$C$451,$C293,'TL08'!$J$238:$J$451),0),
IF('TL09'!$B$3=M$3,SUMIF('TL09'!$C$10:$C$224,$C293,'TL09'!$J$10:$J$224),0),
IF('TL09'!$B$229=M$3,SUMIF('TL09'!$C$238:$C$451,$C293,'TL09'!$J$238:$J$451),0),
IF('TL10'!$B$3=M$3,SUMIF('TL10'!$C$10:$C$224,$C293,'TL10'!$J$10:$J$224),0),
IF('TL10'!$B$229=M$3,SUMIF('TL10'!$C$238:$C$451,$C293,'TL10'!$J$238:$J$451),0),
IF('TL11'!$B$3=M$3,SUMIF('TL11'!$C$10:$C$224,$C293,'TL11'!$J$10:$J$224),0),
IF('TL11'!$B$229=M$3,SUMIF('TL11'!$C$238:$C$451,$C293,'TL11'!$J$238:$J$451),0),
IF('TL12'!$B$3=M$3,SUMIF('TL12'!$C$10:$C$224,$C293,'TL12'!$J$10:$J$224),0),
IF('TL12'!$B$229=M$3,SUMIF('TL12'!$C$238:$C$451,$C293,'TL12'!$J$238:$J$451),0),
IF('TL13'!$B$3=M$3,SUMIF('TL13'!$C$10:$C$224,$C293,'TL13'!$J$10:$J$224),0),
IF('TL13'!$B$229=M$3,SUMIF('TL13'!$C$238:$C$451,$C293,'TL13'!$J$238:$J$451),0),
IF('TL14'!$B$3=M$3,SUMIF('TL14'!$C$10:$C$224,$C293,'TL14'!$J$10:$J$224),0),
IF('TL14'!$B$229=M$3,SUMIF('TL14'!$C$238:$C$451,$C293,'TL14'!$J$238:$J$451),0),
IF('TL15'!$B$3=M$3,SUMIF('TL15'!$C$10:$C$224,$C293,'TL15'!$J$10:$J$224),0),
IF('TL15'!$B$229=M$3,SUMIF('TL15'!$C$238:$C$451,$C293,'TL15'!$J$238:$J$451),0),
IF('TL16'!$B$3=M$3,SUMIF('TL16'!$C$10:$C$224,$C293,'TL16'!$J$10:$J$224),0),
IF('TL16'!$B$229=M$3,SUMIF('TL16'!$C$238:$C$451,$C293,'TL16'!$J$238:$J$451),0),
IF('TL17'!$B$3=M$3,SUMIF('TL17'!$C$10:$C$224,$C293,'TL17'!$J$10:$J$224),0),
IF('TL17'!$B$229=M$3,SUMIF('TL17'!$C$238:$C$451,$C293,'TL17'!$J$238:$J$451),0),
IF('TL18'!$B$3=M$3,SUMIF('TL18'!$C$10:$C$224,$C293,'TL18'!$J$10:$J$224),0),
IF('TL18'!$B$229=M$3,SUMIF('TL18'!$C$238:$C$451,$C293,'TL18'!$J$238:$J$451),0),
IF('TL19'!$B$3=M$3,SUMIF('TL19'!$C$10:$C$224,$C293,'TL19'!$J$10:$J$224),0),
IF('TL19'!$B$229=M$3,SUMIF('TL19'!$C$238:$C$451,$C293,'TL19'!$J$238:$J$451),0)
),0)</f>
        <v>0</v>
      </c>
      <c r="N293" s="9">
        <f>IFERROR(SUM(
IF('TL01'!$B$3=N$3,SUMIF('TL01'!$C$10:$C$224,$C293,'TL01'!$J$10:$J$224),0),
IF('TL01'!$B$229=N$3,SUMIF('TL01'!$C$238:$C$451,$C293,'TL01'!$J$238:$J$451),0),
IF('TL02'!$B$3=N$3,SUMIF('TL02'!$C$10:$C$224,$C293,'TL02'!$J$10:$J$224),0),
IF('TL02'!$B$229=N$3,SUMIF('TL02'!$C$238:$C$451,$C293,'TL02'!$J$238:$J$451),0),
IF('TL03'!$B$3=N$3,SUMIF('TL03'!$C$10:$C$224,$C293,'TL03'!$J$10:$J$224),0),
IF('TL03'!$B$229=N$3,SUMIF('TL03'!$C$238:$C$451,$C293,'TL03'!$J$238:$J$451),0),
IF('TL04'!$B$3=N$3,SUMIF('TL04'!$C$10:$C$224,$C293,'TL04'!$J$10:$J$224),0),
IF('TL04'!$B$229=N$3,SUMIF('TL04'!$C$238:$C$451,$C293,'TL04'!$J$238:$J$451),0),
IF('TL05'!$B$3=N$3,SUMIF('TL05'!$C$10:$C$224,$C293,'TL05'!$J$10:$J$224),0),
IF('TL05'!$B$229=N$3,SUMIF('TL05'!$C$238:$C$451,$C293,'TL05'!$J$238:$J$451),0),
IF('TL06'!$B$3=N$3,SUMIF('TL06'!$C$10:$C$224,$C293,'TL06'!$J$10:$J$224),0),
IF('TL06'!$B$229=N$3,SUMIF('TL06'!$C$238:$C$451,$C293,'TL06'!$J$238:$J$451),0),
IF('TL07'!$B$3=N$3,SUMIF('TL07'!$C$10:$C$224,$C293,'TL07'!$J$10:$J$224),0),
IF('TL07'!$B$229=N$3,SUMIF('TL07'!$C$238:$C$451,$C293,'TL07'!$J$238:$J$451),0),
IF('TL08'!$B$3=N$3,SUMIF('TL08'!$C$10:$C$224,$C293,'TL08'!$J$10:$J$224),0),
IF('TL08'!$B$229=N$3,SUMIF('TL08'!$C$238:$C$451,$C293,'TL08'!$J$238:$J$451),0),
IF('TL09'!$B$3=N$3,SUMIF('TL09'!$C$10:$C$224,$C293,'TL09'!$J$10:$J$224),0),
IF('TL09'!$B$229=N$3,SUMIF('TL09'!$C$238:$C$451,$C293,'TL09'!$J$238:$J$451),0),
IF('TL10'!$B$3=N$3,SUMIF('TL10'!$C$10:$C$224,$C293,'TL10'!$J$10:$J$224),0),
IF('TL10'!$B$229=N$3,SUMIF('TL10'!$C$238:$C$451,$C293,'TL10'!$J$238:$J$451),0),
IF('TL11'!$B$3=N$3,SUMIF('TL11'!$C$10:$C$224,$C293,'TL11'!$J$10:$J$224),0),
IF('TL11'!$B$229=N$3,SUMIF('TL11'!$C$238:$C$451,$C293,'TL11'!$J$238:$J$451),0),
IF('TL12'!$B$3=N$3,SUMIF('TL12'!$C$10:$C$224,$C293,'TL12'!$J$10:$J$224),0),
IF('TL12'!$B$229=N$3,SUMIF('TL12'!$C$238:$C$451,$C293,'TL12'!$J$238:$J$451),0),
IF('TL13'!$B$3=N$3,SUMIF('TL13'!$C$10:$C$224,$C293,'TL13'!$J$10:$J$224),0),
IF('TL13'!$B$229=N$3,SUMIF('TL13'!$C$238:$C$451,$C293,'TL13'!$J$238:$J$451),0),
IF('TL14'!$B$3=N$3,SUMIF('TL14'!$C$10:$C$224,$C293,'TL14'!$J$10:$J$224),0),
IF('TL14'!$B$229=N$3,SUMIF('TL14'!$C$238:$C$451,$C293,'TL14'!$J$238:$J$451),0),
IF('TL15'!$B$3=N$3,SUMIF('TL15'!$C$10:$C$224,$C293,'TL15'!$J$10:$J$224),0),
IF('TL15'!$B$229=N$3,SUMIF('TL15'!$C$238:$C$451,$C293,'TL15'!$J$238:$J$451),0),
IF('TL16'!$B$3=N$3,SUMIF('TL16'!$C$10:$C$224,$C293,'TL16'!$J$10:$J$224),0),
IF('TL16'!$B$229=N$3,SUMIF('TL16'!$C$238:$C$451,$C293,'TL16'!$J$238:$J$451),0),
IF('TL17'!$B$3=N$3,SUMIF('TL17'!$C$10:$C$224,$C293,'TL17'!$J$10:$J$224),0),
IF('TL17'!$B$229=N$3,SUMIF('TL17'!$C$238:$C$451,$C293,'TL17'!$J$238:$J$451),0),
IF('TL18'!$B$3=N$3,SUMIF('TL18'!$C$10:$C$224,$C293,'TL18'!$J$10:$J$224),0),
IF('TL18'!$B$229=N$3,SUMIF('TL18'!$C$238:$C$451,$C293,'TL18'!$J$238:$J$451),0),
IF('TL19'!$B$3=N$3,SUMIF('TL19'!$C$10:$C$224,$C293,'TL19'!$J$10:$J$224),0),
IF('TL19'!$B$229=N$3,SUMIF('TL19'!$C$238:$C$451,$C293,'TL19'!$J$238:$J$451),0)
),0)</f>
        <v>0</v>
      </c>
      <c r="O293" s="9">
        <f>IFERROR(SUM(
IF('TL01'!$B$3=O$3,SUMIF('TL01'!$C$10:$C$224,$C293,'TL01'!$J$10:$J$224),0),
IF('TL01'!$B$229=O$3,SUMIF('TL01'!$C$238:$C$451,$C293,'TL01'!$J$238:$J$451),0),
IF('TL02'!$B$3=O$3,SUMIF('TL02'!$C$10:$C$224,$C293,'TL02'!$J$10:$J$224),0),
IF('TL02'!$B$229=O$3,SUMIF('TL02'!$C$238:$C$451,$C293,'TL02'!$J$238:$J$451),0),
IF('TL03'!$B$3=O$3,SUMIF('TL03'!$C$10:$C$224,$C293,'TL03'!$J$10:$J$224),0),
IF('TL03'!$B$229=O$3,SUMIF('TL03'!$C$238:$C$451,$C293,'TL03'!$J$238:$J$451),0),
IF('TL04'!$B$3=O$3,SUMIF('TL04'!$C$10:$C$224,$C293,'TL04'!$J$10:$J$224),0),
IF('TL04'!$B$229=O$3,SUMIF('TL04'!$C$238:$C$451,$C293,'TL04'!$J$238:$J$451),0),
IF('TL05'!$B$3=O$3,SUMIF('TL05'!$C$10:$C$224,$C293,'TL05'!$J$10:$J$224),0),
IF('TL05'!$B$229=O$3,SUMIF('TL05'!$C$238:$C$451,$C293,'TL05'!$J$238:$J$451),0),
IF('TL06'!$B$3=O$3,SUMIF('TL06'!$C$10:$C$224,$C293,'TL06'!$J$10:$J$224),0),
IF('TL06'!$B$229=O$3,SUMIF('TL06'!$C$238:$C$451,$C293,'TL06'!$J$238:$J$451),0),
IF('TL07'!$B$3=O$3,SUMIF('TL07'!$C$10:$C$224,$C293,'TL07'!$J$10:$J$224),0),
IF('TL07'!$B$229=O$3,SUMIF('TL07'!$C$238:$C$451,$C293,'TL07'!$J$238:$J$451),0),
IF('TL08'!$B$3=O$3,SUMIF('TL08'!$C$10:$C$224,$C293,'TL08'!$J$10:$J$224),0),
IF('TL08'!$B$229=O$3,SUMIF('TL08'!$C$238:$C$451,$C293,'TL08'!$J$238:$J$451),0),
IF('TL09'!$B$3=O$3,SUMIF('TL09'!$C$10:$C$224,$C293,'TL09'!$J$10:$J$224),0),
IF('TL09'!$B$229=O$3,SUMIF('TL09'!$C$238:$C$451,$C293,'TL09'!$J$238:$J$451),0),
IF('TL10'!$B$3=O$3,SUMIF('TL10'!$C$10:$C$224,$C293,'TL10'!$J$10:$J$224),0),
IF('TL10'!$B$229=O$3,SUMIF('TL10'!$C$238:$C$451,$C293,'TL10'!$J$238:$J$451),0),
IF('TL11'!$B$3=O$3,SUMIF('TL11'!$C$10:$C$224,$C293,'TL11'!$J$10:$J$224),0),
IF('TL11'!$B$229=O$3,SUMIF('TL11'!$C$238:$C$451,$C293,'TL11'!$J$238:$J$451),0),
IF('TL12'!$B$3=O$3,SUMIF('TL12'!$C$10:$C$224,$C293,'TL12'!$J$10:$J$224),0),
IF('TL12'!$B$229=O$3,SUMIF('TL12'!$C$238:$C$451,$C293,'TL12'!$J$238:$J$451),0),
IF('TL13'!$B$3=O$3,SUMIF('TL13'!$C$10:$C$224,$C293,'TL13'!$J$10:$J$224),0),
IF('TL13'!$B$229=O$3,SUMIF('TL13'!$C$238:$C$451,$C293,'TL13'!$J$238:$J$451),0),
IF('TL14'!$B$3=O$3,SUMIF('TL14'!$C$10:$C$224,$C293,'TL14'!$J$10:$J$224),0),
IF('TL14'!$B$229=O$3,SUMIF('TL14'!$C$238:$C$451,$C293,'TL14'!$J$238:$J$451),0),
IF('TL15'!$B$3=O$3,SUMIF('TL15'!$C$10:$C$224,$C293,'TL15'!$J$10:$J$224),0),
IF('TL15'!$B$229=O$3,SUMIF('TL15'!$C$238:$C$451,$C293,'TL15'!$J$238:$J$451),0),
IF('TL16'!$B$3=O$3,SUMIF('TL16'!$C$10:$C$224,$C293,'TL16'!$J$10:$J$224),0),
IF('TL16'!$B$229=O$3,SUMIF('TL16'!$C$238:$C$451,$C293,'TL16'!$J$238:$J$451),0),
IF('TL17'!$B$3=O$3,SUMIF('TL17'!$C$10:$C$224,$C293,'TL17'!$J$10:$J$224),0),
IF('TL17'!$B$229=O$3,SUMIF('TL17'!$C$238:$C$451,$C293,'TL17'!$J$238:$J$451),0),
IF('TL18'!$B$3=O$3,SUMIF('TL18'!$C$10:$C$224,$C293,'TL18'!$J$10:$J$224),0),
IF('TL18'!$B$229=O$3,SUMIF('TL18'!$C$238:$C$451,$C293,'TL18'!$J$238:$J$451),0),
IF('TL19'!$B$3=O$3,SUMIF('TL19'!$C$10:$C$224,$C293,'TL19'!$J$10:$J$224),0),
IF('TL19'!$B$229=O$3,SUMIF('TL19'!$C$238:$C$451,$C293,'TL19'!$J$238:$J$451),0)
),0)</f>
        <v>0</v>
      </c>
      <c r="P293" s="9">
        <f>IFERROR(SUM(
IF('TL01'!$B$3=P$3,SUMIF('TL01'!$C$10:$C$224,$C293,'TL01'!$J$10:$J$224),0),
IF('TL01'!$B$229=P$3,SUMIF('TL01'!$C$238:$C$451,$C293,'TL01'!$J$238:$J$451),0),
IF('TL02'!$B$3=P$3,SUMIF('TL02'!$C$10:$C$224,$C293,'TL02'!$J$10:$J$224),0),
IF('TL02'!$B$229=P$3,SUMIF('TL02'!$C$238:$C$451,$C293,'TL02'!$J$238:$J$451),0),
IF('TL03'!$B$3=P$3,SUMIF('TL03'!$C$10:$C$224,$C293,'TL03'!$J$10:$J$224),0),
IF('TL03'!$B$229=P$3,SUMIF('TL03'!$C$238:$C$451,$C293,'TL03'!$J$238:$J$451),0),
IF('TL04'!$B$3=P$3,SUMIF('TL04'!$C$10:$C$224,$C293,'TL04'!$J$10:$J$224),0),
IF('TL04'!$B$229=P$3,SUMIF('TL04'!$C$238:$C$451,$C293,'TL04'!$J$238:$J$451),0),
IF('TL05'!$B$3=P$3,SUMIF('TL05'!$C$10:$C$224,$C293,'TL05'!$J$10:$J$224),0),
IF('TL05'!$B$229=P$3,SUMIF('TL05'!$C$238:$C$451,$C293,'TL05'!$J$238:$J$451),0),
IF('TL06'!$B$3=P$3,SUMIF('TL06'!$C$10:$C$224,$C293,'TL06'!$J$10:$J$224),0),
IF('TL06'!$B$229=P$3,SUMIF('TL06'!$C$238:$C$451,$C293,'TL06'!$J$238:$J$451),0),
IF('TL07'!$B$3=P$3,SUMIF('TL07'!$C$10:$C$224,$C293,'TL07'!$J$10:$J$224),0),
IF('TL07'!$B$229=P$3,SUMIF('TL07'!$C$238:$C$451,$C293,'TL07'!$J$238:$J$451),0),
IF('TL08'!$B$3=P$3,SUMIF('TL08'!$C$10:$C$224,$C293,'TL08'!$J$10:$J$224),0),
IF('TL08'!$B$229=P$3,SUMIF('TL08'!$C$238:$C$451,$C293,'TL08'!$J$238:$J$451),0),
IF('TL09'!$B$3=P$3,SUMIF('TL09'!$C$10:$C$224,$C293,'TL09'!$J$10:$J$224),0),
IF('TL09'!$B$229=P$3,SUMIF('TL09'!$C$238:$C$451,$C293,'TL09'!$J$238:$J$451),0),
IF('TL10'!$B$3=P$3,SUMIF('TL10'!$C$10:$C$224,$C293,'TL10'!$J$10:$J$224),0),
IF('TL10'!$B$229=P$3,SUMIF('TL10'!$C$238:$C$451,$C293,'TL10'!$J$238:$J$451),0),
IF('TL11'!$B$3=P$3,SUMIF('TL11'!$C$10:$C$224,$C293,'TL11'!$J$10:$J$224),0),
IF('TL11'!$B$229=P$3,SUMIF('TL11'!$C$238:$C$451,$C293,'TL11'!$J$238:$J$451),0),
IF('TL12'!$B$3=P$3,SUMIF('TL12'!$C$10:$C$224,$C293,'TL12'!$J$10:$J$224),0),
IF('TL12'!$B$229=P$3,SUMIF('TL12'!$C$238:$C$451,$C293,'TL12'!$J$238:$J$451),0),
IF('TL13'!$B$3=P$3,SUMIF('TL13'!$C$10:$C$224,$C293,'TL13'!$J$10:$J$224),0),
IF('TL13'!$B$229=P$3,SUMIF('TL13'!$C$238:$C$451,$C293,'TL13'!$J$238:$J$451),0),
IF('TL14'!$B$3=P$3,SUMIF('TL14'!$C$10:$C$224,$C293,'TL14'!$J$10:$J$224),0),
IF('TL14'!$B$229=P$3,SUMIF('TL14'!$C$238:$C$451,$C293,'TL14'!$J$238:$J$451),0),
IF('TL15'!$B$3=P$3,SUMIF('TL15'!$C$10:$C$224,$C293,'TL15'!$J$10:$J$224),0),
IF('TL15'!$B$229=P$3,SUMIF('TL15'!$C$238:$C$451,$C293,'TL15'!$J$238:$J$451),0),
IF('TL16'!$B$3=P$3,SUMIF('TL16'!$C$10:$C$224,$C293,'TL16'!$J$10:$J$224),0),
IF('TL16'!$B$229=P$3,SUMIF('TL16'!$C$238:$C$451,$C293,'TL16'!$J$238:$J$451),0),
IF('TL17'!$B$3=P$3,SUMIF('TL17'!$C$10:$C$224,$C293,'TL17'!$J$10:$J$224),0),
IF('TL17'!$B$229=P$3,SUMIF('TL17'!$C$238:$C$451,$C293,'TL17'!$J$238:$J$451),0),
IF('TL18'!$B$3=P$3,SUMIF('TL18'!$C$10:$C$224,$C293,'TL18'!$J$10:$J$224),0),
IF('TL18'!$B$229=P$3,SUMIF('TL18'!$C$238:$C$451,$C293,'TL18'!$J$238:$J$451),0),
IF('TL19'!$B$3=P$3,SUMIF('TL19'!$C$10:$C$224,$C293,'TL19'!$J$10:$J$224),0),
IF('TL19'!$B$229=P$3,SUMIF('TL19'!$C$238:$C$451,$C293,'TL19'!$J$238:$J$451),0)
),0)</f>
        <v>7.52</v>
      </c>
      <c r="Q293" s="9">
        <f>IFERROR(SUM(
IF('TL01'!$B$3=Q$3,SUMIF('TL01'!$C$10:$C$224,$C293,'TL01'!$J$10:$J$224),0),
IF('TL01'!$B$229=Q$3,SUMIF('TL01'!$C$238:$C$451,$C293,'TL01'!$J$238:$J$451),0),
IF('TL02'!$B$3=Q$3,SUMIF('TL02'!$C$10:$C$224,$C293,'TL02'!$J$10:$J$224),0),
IF('TL02'!$B$229=Q$3,SUMIF('TL02'!$C$238:$C$451,$C293,'TL02'!$J$238:$J$451),0),
IF('TL03'!$B$3=Q$3,SUMIF('TL03'!$C$10:$C$224,$C293,'TL03'!$J$10:$J$224),0),
IF('TL03'!$B$229=Q$3,SUMIF('TL03'!$C$238:$C$451,$C293,'TL03'!$J$238:$J$451),0),
IF('TL04'!$B$3=Q$3,SUMIF('TL04'!$C$10:$C$224,$C293,'TL04'!$J$10:$J$224),0),
IF('TL04'!$B$229=Q$3,SUMIF('TL04'!$C$238:$C$451,$C293,'TL04'!$J$238:$J$451),0),
IF('TL05'!$B$3=Q$3,SUMIF('TL05'!$C$10:$C$224,$C293,'TL05'!$J$10:$J$224),0),
IF('TL05'!$B$229=Q$3,SUMIF('TL05'!$C$238:$C$451,$C293,'TL05'!$J$238:$J$451),0),
IF('TL06'!$B$3=Q$3,SUMIF('TL06'!$C$10:$C$224,$C293,'TL06'!$J$10:$J$224),0),
IF('TL06'!$B$229=Q$3,SUMIF('TL06'!$C$238:$C$451,$C293,'TL06'!$J$238:$J$451),0),
IF('TL07'!$B$3=Q$3,SUMIF('TL07'!$C$10:$C$224,$C293,'TL07'!$J$10:$J$224),0),
IF('TL07'!$B$229=Q$3,SUMIF('TL07'!$C$238:$C$451,$C293,'TL07'!$J$238:$J$451),0),
IF('TL08'!$B$3=Q$3,SUMIF('TL08'!$C$10:$C$224,$C293,'TL08'!$J$10:$J$224),0),
IF('TL08'!$B$229=Q$3,SUMIF('TL08'!$C$238:$C$451,$C293,'TL08'!$J$238:$J$451),0),
IF('TL09'!$B$3=Q$3,SUMIF('TL09'!$C$10:$C$224,$C293,'TL09'!$J$10:$J$224),0),
IF('TL09'!$B$229=Q$3,SUMIF('TL09'!$C$238:$C$451,$C293,'TL09'!$J$238:$J$451),0),
IF('TL10'!$B$3=Q$3,SUMIF('TL10'!$C$10:$C$224,$C293,'TL10'!$J$10:$J$224),0),
IF('TL10'!$B$229=Q$3,SUMIF('TL10'!$C$238:$C$451,$C293,'TL10'!$J$238:$J$451),0),
IF('TL11'!$B$3=Q$3,SUMIF('TL11'!$C$10:$C$224,$C293,'TL11'!$J$10:$J$224),0),
IF('TL11'!$B$229=Q$3,SUMIF('TL11'!$C$238:$C$451,$C293,'TL11'!$J$238:$J$451),0),
IF('TL12'!$B$3=Q$3,SUMIF('TL12'!$C$10:$C$224,$C293,'TL12'!$J$10:$J$224),0),
IF('TL12'!$B$229=Q$3,SUMIF('TL12'!$C$238:$C$451,$C293,'TL12'!$J$238:$J$451),0),
IF('TL13'!$B$3=Q$3,SUMIF('TL13'!$C$10:$C$224,$C293,'TL13'!$J$10:$J$224),0),
IF('TL13'!$B$229=Q$3,SUMIF('TL13'!$C$238:$C$451,$C293,'TL13'!$J$238:$J$451),0),
IF('TL14'!$B$3=Q$3,SUMIF('TL14'!$C$10:$C$224,$C293,'TL14'!$J$10:$J$224),0),
IF('TL14'!$B$229=Q$3,SUMIF('TL14'!$C$238:$C$451,$C293,'TL14'!$J$238:$J$451),0),
IF('TL15'!$B$3=Q$3,SUMIF('TL15'!$C$10:$C$224,$C293,'TL15'!$J$10:$J$224),0),
IF('TL15'!$B$229=Q$3,SUMIF('TL15'!$C$238:$C$451,$C293,'TL15'!$J$238:$J$451),0),
IF('TL16'!$B$3=Q$3,SUMIF('TL16'!$C$10:$C$224,$C293,'TL16'!$J$10:$J$224),0),
IF('TL16'!$B$229=Q$3,SUMIF('TL16'!$C$238:$C$451,$C293,'TL16'!$J$238:$J$451),0),
IF('TL17'!$B$3=Q$3,SUMIF('TL17'!$C$10:$C$224,$C293,'TL17'!$J$10:$J$224),0),
IF('TL17'!$B$229=Q$3,SUMIF('TL17'!$C$238:$C$451,$C293,'TL17'!$J$238:$J$451),0),
IF('TL18'!$B$3=Q$3,SUMIF('TL18'!$C$10:$C$224,$C293,'TL18'!$J$10:$J$224),0),
IF('TL18'!$B$229=Q$3,SUMIF('TL18'!$C$238:$C$451,$C293,'TL18'!$J$238:$J$451),0),
IF('TL19'!$B$3=Q$3,SUMIF('TL19'!$C$10:$C$224,$C293,'TL19'!$J$10:$J$224),0),
IF('TL19'!$B$229=Q$3,SUMIF('TL19'!$C$238:$C$451,$C293,'TL19'!$J$238:$J$451),0)
),0)</f>
        <v>4</v>
      </c>
      <c r="R293" s="9">
        <f>IFERROR(
SUM(
SUMIF('TL01'!C:C,C293,'TL01'!J:J),
SUMIF('TL02'!C:C,C293,'TL02'!J:J),
SUMIF('TL03'!C:C,C293,'TL03'!J:J),
SUMIF('TL04'!C:C,C293,'TL04'!J:J),
SUMIF('TL05'!C:C,C293,'TL05'!J:J),
SUMIF('TL06'!C:C,C293,'TL06'!J:J),
SUMIF('TL07'!C:C,C293,'TL07'!J:J),
SUMIF('TL08'!C:C,C293,'TL08'!J:J),
SUMIF('TL09'!C:C,C293,'TL09'!J:J),
SUMIF('TL10'!C:C,C293,'TL10'!J:J),
SUMIF('TL11'!C:C,C293,'TL11'!J:J),
SUMIF('TL12'!C:C,C293,'TL12'!J:J),
SUMIF('TL13'!C:C,C293,'TL13'!J:J),
SUMIF('TL14'!C:C,C293,'TL14'!J:J),
SUMIF('TL15'!C:C,C293,'TL15'!J:J),
SUMIF('TL16'!C:C,C293,'TL16'!J:J),
SUMIF('TL17'!C:C,C293,'TL17'!J:J),
SUMIF('TL18'!C:C,C293,'TL18'!J:J),SUMIF('TL19'!C:C,C293,'TL19'!J:J))
,0)</f>
        <v>32.32</v>
      </c>
      <c r="S293" s="17">
        <f>IFERROR(__xludf.DUMMYFUNCTION("IFERROR(VLOOKUP(C293,
IMPORTRANGE(""1wULbzX32WdYsx-lj2U3uUNBBe2INVIRDtcK0d-Dvl90"",
""26-27!C:G""),
5,
FALSE),
"""")"),4385.409)</f>
        <v>4385.409</v>
      </c>
      <c r="T293" s="9"/>
      <c r="U293" s="92">
        <f t="shared" si="2"/>
        <v>32.32</v>
      </c>
      <c r="V293" s="93">
        <f t="shared" si="3"/>
        <v>141736.4189</v>
      </c>
    </row>
    <row r="294" ht="15.75" hidden="1" customHeight="1">
      <c r="A294" s="119" t="s">
        <v>358</v>
      </c>
      <c r="B294" s="120" t="s">
        <v>3</v>
      </c>
      <c r="C294" s="119" t="s">
        <v>1007</v>
      </c>
      <c r="D294" s="119" t="s">
        <v>508</v>
      </c>
      <c r="E294" s="119">
        <v>150.0</v>
      </c>
      <c r="F294" s="4"/>
      <c r="G294" s="90" t="str">
        <f t="shared" si="5"/>
        <v>📄 Ver bula</v>
      </c>
      <c r="H294" s="9">
        <f>IFERROR(__xludf.DUMMYFUNCTION("IFERROR(VLOOKUP(C294,
IMPORTRANGE(""1wULbzX32WdYsx-lj2U3uUNBBe2INVIRDtcK0d-Dvl90"",
""26-27!C:K""),
8,
FALSE),
"""")"),0.015)</f>
        <v>0.015</v>
      </c>
      <c r="I294" s="123"/>
      <c r="J294" s="9">
        <f>IFERROR(SUM(
IF('TL01'!$B$3=J$3,SUMIF('TL01'!$C$10:$C$224,$C294,'TL01'!$J$10:$J$224),0),
IF('TL01'!$B$229=J$3,SUMIF('TL01'!$C$238:$C$451,$C294,'TL01'!$J$238:$J$451),0),
IF('TL02'!$B$3=J$3,SUMIF('TL02'!$C$10:$C$224,$C294,'TL02'!$J$10:$J$224),0),
IF('TL02'!$B$229=J$3,SUMIF('TL02'!$C$238:$C$451,$C294,'TL02'!$J$238:$J$451),0),
IF('TL03'!$B$3=J$3,SUMIF('TL03'!$C$10:$C$224,$C294,'TL03'!$J$10:$J$224),0),
IF('TL03'!$B$229=J$3,SUMIF('TL03'!$C$238:$C$451,$C294,'TL03'!$J$238:$J$451),0),
IF('TL04'!$B$3=J$3,SUMIF('TL04'!$C$10:$C$224,$C294,'TL04'!$J$10:$J$224),0),
IF('TL04'!$B$229=J$3,SUMIF('TL04'!$C$238:$C$451,$C294,'TL04'!$J$238:$J$451),0),
IF('TL05'!$B$3=J$3,SUMIF('TL05'!$C$10:$C$224,$C294,'TL05'!$J$10:$J$224),0),
IF('TL05'!$B$229=J$3,SUMIF('TL05'!$C$238:$C$451,$C294,'TL05'!$J$238:$J$451),0),
IF('TL06'!$B$3=J$3,SUMIF('TL06'!$C$10:$C$224,$C294,'TL06'!$J$10:$J$224),0),
IF('TL06'!$B$229=J$3,SUMIF('TL06'!$C$238:$C$451,$C294,'TL06'!$J$238:$J$451),0),
IF('TL07'!$B$3=J$3,SUMIF('TL07'!$C$10:$C$224,$C294,'TL07'!$J$10:$J$224),0),
IF('TL07'!$B$229=J$3,SUMIF('TL07'!$C$238:$C$451,$C294,'TL07'!$J$238:$J$451),0),
IF('TL08'!$B$3=J$3,SUMIF('TL08'!$C$10:$C$224,$C294,'TL08'!$J$10:$J$224),0),
IF('TL08'!$B$229=J$3,SUMIF('TL08'!$C$238:$C$451,$C294,'TL08'!$J$238:$J$451),0),
IF('TL09'!$B$3=J$3,SUMIF('TL09'!$C$10:$C$224,$C294,'TL09'!$J$10:$J$224),0),
IF('TL09'!$B$229=J$3,SUMIF('TL09'!$C$238:$C$451,$C294,'TL09'!$J$238:$J$451),0),
IF('TL10'!$B$3=J$3,SUMIF('TL10'!$C$10:$C$224,$C294,'TL10'!$J$10:$J$224),0),
IF('TL10'!$B$229=J$3,SUMIF('TL10'!$C$238:$C$451,$C294,'TL10'!$J$238:$J$451),0),
IF('TL11'!$B$3=J$3,SUMIF('TL11'!$C$10:$C$224,$C294,'TL11'!$J$10:$J$224),0),
IF('TL11'!$B$229=J$3,SUMIF('TL11'!$C$238:$C$451,$C294,'TL11'!$J$238:$J$451),0),
IF('TL12'!$B$3=J$3,SUMIF('TL12'!$C$10:$C$224,$C294,'TL12'!$J$10:$J$224),0),
IF('TL12'!$B$229=J$3,SUMIF('TL12'!$C$238:$C$451,$C294,'TL12'!$J$238:$J$451),0),
IF('TL13'!$B$3=J$3,SUMIF('TL13'!$C$10:$C$224,$C294,'TL13'!$J$10:$J$224),0),
IF('TL13'!$B$229=J$3,SUMIF('TL13'!$C$238:$C$451,$C294,'TL13'!$J$238:$J$451),0),
IF('TL14'!$B$3=J$3,SUMIF('TL14'!$C$10:$C$224,$C294,'TL14'!$J$10:$J$224),0),
IF('TL14'!$B$229=J$3,SUMIF('TL14'!$C$238:$C$451,$C294,'TL14'!$J$238:$J$451),0),
IF('TL15'!$B$3=J$3,SUMIF('TL15'!$C$10:$C$224,$C294,'TL15'!$J$10:$J$224),0),
IF('TL15'!$B$229=J$3,SUMIF('TL15'!$C$238:$C$451,$C294,'TL15'!$J$238:$J$451),0),
IF('TL16'!$B$3=J$3,SUMIF('TL16'!$C$10:$C$224,$C294,'TL16'!$J$10:$J$224),0),
IF('TL16'!$B$229=J$3,SUMIF('TL16'!$C$238:$C$451,$C294,'TL16'!$J$238:$J$451),0),
IF('TL17'!$B$3=J$3,SUMIF('TL17'!$C$10:$C$224,$C294,'TL17'!$J$10:$J$224),0),
IF('TL17'!$B$229=J$3,SUMIF('TL17'!$C$238:$C$451,$C294,'TL17'!$J$238:$J$451),0),
IF('TL18'!$B$3=J$3,SUMIF('TL18'!$C$10:$C$224,$C294,'TL18'!$J$10:$J$224),0),
IF('TL18'!$B$229=J$3,SUMIF('TL18'!$C$238:$C$451,$C294,'TL18'!$J$238:$J$451),0),
IF('TL19'!$B$3=J$3,SUMIF('TL19'!$C$10:$C$224,$C294,'TL19'!$J$10:$J$224),0),
IF('TL19'!$B$229=J$3,SUMIF('TL19'!$C$238:$C$451,$C294,'TL19'!$J$238:$J$451),0)
),0)</f>
        <v>0</v>
      </c>
      <c r="K294" s="9">
        <f>IFERROR(SUM(
IF('TL01'!$B$3=K$3,SUMIF('TL01'!$C$10:$C$224,$C294,'TL01'!$J$10:$J$224),0),
IF('TL01'!$B$229=K$3,SUMIF('TL01'!$C$238:$C$451,$C294,'TL01'!$J$238:$J$451),0),
IF('TL02'!$B$3=K$3,SUMIF('TL02'!$C$10:$C$224,$C294,'TL02'!$J$10:$J$224),0),
IF('TL02'!$B$229=K$3,SUMIF('TL02'!$C$238:$C$451,$C294,'TL02'!$J$238:$J$451),0),
IF('TL03'!$B$3=K$3,SUMIF('TL03'!$C$10:$C$224,$C294,'TL03'!$J$10:$J$224),0),
IF('TL03'!$B$229=K$3,SUMIF('TL03'!$C$238:$C$451,$C294,'TL03'!$J$238:$J$451),0),
IF('TL04'!$B$3=K$3,SUMIF('TL04'!$C$10:$C$224,$C294,'TL04'!$J$10:$J$224),0),
IF('TL04'!$B$229=K$3,SUMIF('TL04'!$C$238:$C$451,$C294,'TL04'!$J$238:$J$451),0),
IF('TL05'!$B$3=K$3,SUMIF('TL05'!$C$10:$C$224,$C294,'TL05'!$J$10:$J$224),0),
IF('TL05'!$B$229=K$3,SUMIF('TL05'!$C$238:$C$451,$C294,'TL05'!$J$238:$J$451),0),
IF('TL06'!$B$3=K$3,SUMIF('TL06'!$C$10:$C$224,$C294,'TL06'!$J$10:$J$224),0),
IF('TL06'!$B$229=K$3,SUMIF('TL06'!$C$238:$C$451,$C294,'TL06'!$J$238:$J$451),0),
IF('TL07'!$B$3=K$3,SUMIF('TL07'!$C$10:$C$224,$C294,'TL07'!$J$10:$J$224),0),
IF('TL07'!$B$229=K$3,SUMIF('TL07'!$C$238:$C$451,$C294,'TL07'!$J$238:$J$451),0),
IF('TL08'!$B$3=K$3,SUMIF('TL08'!$C$10:$C$224,$C294,'TL08'!$J$10:$J$224),0),
IF('TL08'!$B$229=K$3,SUMIF('TL08'!$C$238:$C$451,$C294,'TL08'!$J$238:$J$451),0),
IF('TL09'!$B$3=K$3,SUMIF('TL09'!$C$10:$C$224,$C294,'TL09'!$J$10:$J$224),0),
IF('TL09'!$B$229=K$3,SUMIF('TL09'!$C$238:$C$451,$C294,'TL09'!$J$238:$J$451),0),
IF('TL10'!$B$3=K$3,SUMIF('TL10'!$C$10:$C$224,$C294,'TL10'!$J$10:$J$224),0),
IF('TL10'!$B$229=K$3,SUMIF('TL10'!$C$238:$C$451,$C294,'TL10'!$J$238:$J$451),0),
IF('TL11'!$B$3=K$3,SUMIF('TL11'!$C$10:$C$224,$C294,'TL11'!$J$10:$J$224),0),
IF('TL11'!$B$229=K$3,SUMIF('TL11'!$C$238:$C$451,$C294,'TL11'!$J$238:$J$451),0),
IF('TL12'!$B$3=K$3,SUMIF('TL12'!$C$10:$C$224,$C294,'TL12'!$J$10:$J$224),0),
IF('TL12'!$B$229=K$3,SUMIF('TL12'!$C$238:$C$451,$C294,'TL12'!$J$238:$J$451),0),
IF('TL13'!$B$3=K$3,SUMIF('TL13'!$C$10:$C$224,$C294,'TL13'!$J$10:$J$224),0),
IF('TL13'!$B$229=K$3,SUMIF('TL13'!$C$238:$C$451,$C294,'TL13'!$J$238:$J$451),0),
IF('TL14'!$B$3=K$3,SUMIF('TL14'!$C$10:$C$224,$C294,'TL14'!$J$10:$J$224),0),
IF('TL14'!$B$229=K$3,SUMIF('TL14'!$C$238:$C$451,$C294,'TL14'!$J$238:$J$451),0),
IF('TL15'!$B$3=K$3,SUMIF('TL15'!$C$10:$C$224,$C294,'TL15'!$J$10:$J$224),0),
IF('TL15'!$B$229=K$3,SUMIF('TL15'!$C$238:$C$451,$C294,'TL15'!$J$238:$J$451),0),
IF('TL16'!$B$3=K$3,SUMIF('TL16'!$C$10:$C$224,$C294,'TL16'!$J$10:$J$224),0),
IF('TL16'!$B$229=K$3,SUMIF('TL16'!$C$238:$C$451,$C294,'TL16'!$J$238:$J$451),0),
IF('TL17'!$B$3=K$3,SUMIF('TL17'!$C$10:$C$224,$C294,'TL17'!$J$10:$J$224),0),
IF('TL17'!$B$229=K$3,SUMIF('TL17'!$C$238:$C$451,$C294,'TL17'!$J$238:$J$451),0),
IF('TL18'!$B$3=K$3,SUMIF('TL18'!$C$10:$C$224,$C294,'TL18'!$J$10:$J$224),0),
IF('TL18'!$B$229=K$3,SUMIF('TL18'!$C$238:$C$451,$C294,'TL18'!$J$238:$J$451),0),
IF('TL19'!$B$3=K$3,SUMIF('TL19'!$C$10:$C$224,$C294,'TL19'!$J$10:$J$224),0),
IF('TL19'!$B$229=K$3,SUMIF('TL19'!$C$238:$C$451,$C294,'TL19'!$J$238:$J$451),0)
),0)</f>
        <v>6</v>
      </c>
      <c r="L294" s="9">
        <f>IFERROR(SUM(
IF('TL01'!$B$3=L$3,SUMIF('TL01'!$C$10:$C$224,$C294,'TL01'!$J$10:$J$224),0),
IF('TL01'!$B$229=L$3,SUMIF('TL01'!$C$238:$C$451,$C294,'TL01'!$J$238:$J$451),0),
IF('TL02'!$B$3=L$3,SUMIF('TL02'!$C$10:$C$224,$C294,'TL02'!$J$10:$J$224),0),
IF('TL02'!$B$229=L$3,SUMIF('TL02'!$C$238:$C$451,$C294,'TL02'!$J$238:$J$451),0),
IF('TL03'!$B$3=L$3,SUMIF('TL03'!$C$10:$C$224,$C294,'TL03'!$J$10:$J$224),0),
IF('TL03'!$B$229=L$3,SUMIF('TL03'!$C$238:$C$451,$C294,'TL03'!$J$238:$J$451),0),
IF('TL04'!$B$3=L$3,SUMIF('TL04'!$C$10:$C$224,$C294,'TL04'!$J$10:$J$224),0),
IF('TL04'!$B$229=L$3,SUMIF('TL04'!$C$238:$C$451,$C294,'TL04'!$J$238:$J$451),0),
IF('TL05'!$B$3=L$3,SUMIF('TL05'!$C$10:$C$224,$C294,'TL05'!$J$10:$J$224),0),
IF('TL05'!$B$229=L$3,SUMIF('TL05'!$C$238:$C$451,$C294,'TL05'!$J$238:$J$451),0),
IF('TL06'!$B$3=L$3,SUMIF('TL06'!$C$10:$C$224,$C294,'TL06'!$J$10:$J$224),0),
IF('TL06'!$B$229=L$3,SUMIF('TL06'!$C$238:$C$451,$C294,'TL06'!$J$238:$J$451),0),
IF('TL07'!$B$3=L$3,SUMIF('TL07'!$C$10:$C$224,$C294,'TL07'!$J$10:$J$224),0),
IF('TL07'!$B$229=L$3,SUMIF('TL07'!$C$238:$C$451,$C294,'TL07'!$J$238:$J$451),0),
IF('TL08'!$B$3=L$3,SUMIF('TL08'!$C$10:$C$224,$C294,'TL08'!$J$10:$J$224),0),
IF('TL08'!$B$229=L$3,SUMIF('TL08'!$C$238:$C$451,$C294,'TL08'!$J$238:$J$451),0),
IF('TL09'!$B$3=L$3,SUMIF('TL09'!$C$10:$C$224,$C294,'TL09'!$J$10:$J$224),0),
IF('TL09'!$B$229=L$3,SUMIF('TL09'!$C$238:$C$451,$C294,'TL09'!$J$238:$J$451),0),
IF('TL10'!$B$3=L$3,SUMIF('TL10'!$C$10:$C$224,$C294,'TL10'!$J$10:$J$224),0),
IF('TL10'!$B$229=L$3,SUMIF('TL10'!$C$238:$C$451,$C294,'TL10'!$J$238:$J$451),0),
IF('TL11'!$B$3=L$3,SUMIF('TL11'!$C$10:$C$224,$C294,'TL11'!$J$10:$J$224),0),
IF('TL11'!$B$229=L$3,SUMIF('TL11'!$C$238:$C$451,$C294,'TL11'!$J$238:$J$451),0),
IF('TL12'!$B$3=L$3,SUMIF('TL12'!$C$10:$C$224,$C294,'TL12'!$J$10:$J$224),0),
IF('TL12'!$B$229=L$3,SUMIF('TL12'!$C$238:$C$451,$C294,'TL12'!$J$238:$J$451),0),
IF('TL13'!$B$3=L$3,SUMIF('TL13'!$C$10:$C$224,$C294,'TL13'!$J$10:$J$224),0),
IF('TL13'!$B$229=L$3,SUMIF('TL13'!$C$238:$C$451,$C294,'TL13'!$J$238:$J$451),0),
IF('TL14'!$B$3=L$3,SUMIF('TL14'!$C$10:$C$224,$C294,'TL14'!$J$10:$J$224),0),
IF('TL14'!$B$229=L$3,SUMIF('TL14'!$C$238:$C$451,$C294,'TL14'!$J$238:$J$451),0),
IF('TL15'!$B$3=L$3,SUMIF('TL15'!$C$10:$C$224,$C294,'TL15'!$J$10:$J$224),0),
IF('TL15'!$B$229=L$3,SUMIF('TL15'!$C$238:$C$451,$C294,'TL15'!$J$238:$J$451),0),
IF('TL16'!$B$3=L$3,SUMIF('TL16'!$C$10:$C$224,$C294,'TL16'!$J$10:$J$224),0),
IF('TL16'!$B$229=L$3,SUMIF('TL16'!$C$238:$C$451,$C294,'TL16'!$J$238:$J$451),0),
IF('TL17'!$B$3=L$3,SUMIF('TL17'!$C$10:$C$224,$C294,'TL17'!$J$10:$J$224),0),
IF('TL17'!$B$229=L$3,SUMIF('TL17'!$C$238:$C$451,$C294,'TL17'!$J$238:$J$451),0),
IF('TL18'!$B$3=L$3,SUMIF('TL18'!$C$10:$C$224,$C294,'TL18'!$J$10:$J$224),0),
IF('TL18'!$B$229=L$3,SUMIF('TL18'!$C$238:$C$451,$C294,'TL18'!$J$238:$J$451),0),
IF('TL19'!$B$3=L$3,SUMIF('TL19'!$C$10:$C$224,$C294,'TL19'!$J$10:$J$224),0),
IF('TL19'!$B$229=L$3,SUMIF('TL19'!$C$238:$C$451,$C294,'TL19'!$J$238:$J$451),0)
),0)</f>
        <v>4.4</v>
      </c>
      <c r="M294" s="9">
        <f>IFERROR(SUM(
IF('TL01'!$B$3=M$3,SUMIF('TL01'!$C$10:$C$224,$C294,'TL01'!$J$10:$J$224),0),
IF('TL01'!$B$229=M$3,SUMIF('TL01'!$C$238:$C$451,$C294,'TL01'!$J$238:$J$451),0),
IF('TL02'!$B$3=M$3,SUMIF('TL02'!$C$10:$C$224,$C294,'TL02'!$J$10:$J$224),0),
IF('TL02'!$B$229=M$3,SUMIF('TL02'!$C$238:$C$451,$C294,'TL02'!$J$238:$J$451),0),
IF('TL03'!$B$3=M$3,SUMIF('TL03'!$C$10:$C$224,$C294,'TL03'!$J$10:$J$224),0),
IF('TL03'!$B$229=M$3,SUMIF('TL03'!$C$238:$C$451,$C294,'TL03'!$J$238:$J$451),0),
IF('TL04'!$B$3=M$3,SUMIF('TL04'!$C$10:$C$224,$C294,'TL04'!$J$10:$J$224),0),
IF('TL04'!$B$229=M$3,SUMIF('TL04'!$C$238:$C$451,$C294,'TL04'!$J$238:$J$451),0),
IF('TL05'!$B$3=M$3,SUMIF('TL05'!$C$10:$C$224,$C294,'TL05'!$J$10:$J$224),0),
IF('TL05'!$B$229=M$3,SUMIF('TL05'!$C$238:$C$451,$C294,'TL05'!$J$238:$J$451),0),
IF('TL06'!$B$3=M$3,SUMIF('TL06'!$C$10:$C$224,$C294,'TL06'!$J$10:$J$224),0),
IF('TL06'!$B$229=M$3,SUMIF('TL06'!$C$238:$C$451,$C294,'TL06'!$J$238:$J$451),0),
IF('TL07'!$B$3=M$3,SUMIF('TL07'!$C$10:$C$224,$C294,'TL07'!$J$10:$J$224),0),
IF('TL07'!$B$229=M$3,SUMIF('TL07'!$C$238:$C$451,$C294,'TL07'!$J$238:$J$451),0),
IF('TL08'!$B$3=M$3,SUMIF('TL08'!$C$10:$C$224,$C294,'TL08'!$J$10:$J$224),0),
IF('TL08'!$B$229=M$3,SUMIF('TL08'!$C$238:$C$451,$C294,'TL08'!$J$238:$J$451),0),
IF('TL09'!$B$3=M$3,SUMIF('TL09'!$C$10:$C$224,$C294,'TL09'!$J$10:$J$224),0),
IF('TL09'!$B$229=M$3,SUMIF('TL09'!$C$238:$C$451,$C294,'TL09'!$J$238:$J$451),0),
IF('TL10'!$B$3=M$3,SUMIF('TL10'!$C$10:$C$224,$C294,'TL10'!$J$10:$J$224),0),
IF('TL10'!$B$229=M$3,SUMIF('TL10'!$C$238:$C$451,$C294,'TL10'!$J$238:$J$451),0),
IF('TL11'!$B$3=M$3,SUMIF('TL11'!$C$10:$C$224,$C294,'TL11'!$J$10:$J$224),0),
IF('TL11'!$B$229=M$3,SUMIF('TL11'!$C$238:$C$451,$C294,'TL11'!$J$238:$J$451),0),
IF('TL12'!$B$3=M$3,SUMIF('TL12'!$C$10:$C$224,$C294,'TL12'!$J$10:$J$224),0),
IF('TL12'!$B$229=M$3,SUMIF('TL12'!$C$238:$C$451,$C294,'TL12'!$J$238:$J$451),0),
IF('TL13'!$B$3=M$3,SUMIF('TL13'!$C$10:$C$224,$C294,'TL13'!$J$10:$J$224),0),
IF('TL13'!$B$229=M$3,SUMIF('TL13'!$C$238:$C$451,$C294,'TL13'!$J$238:$J$451),0),
IF('TL14'!$B$3=M$3,SUMIF('TL14'!$C$10:$C$224,$C294,'TL14'!$J$10:$J$224),0),
IF('TL14'!$B$229=M$3,SUMIF('TL14'!$C$238:$C$451,$C294,'TL14'!$J$238:$J$451),0),
IF('TL15'!$B$3=M$3,SUMIF('TL15'!$C$10:$C$224,$C294,'TL15'!$J$10:$J$224),0),
IF('TL15'!$B$229=M$3,SUMIF('TL15'!$C$238:$C$451,$C294,'TL15'!$J$238:$J$451),0),
IF('TL16'!$B$3=M$3,SUMIF('TL16'!$C$10:$C$224,$C294,'TL16'!$J$10:$J$224),0),
IF('TL16'!$B$229=M$3,SUMIF('TL16'!$C$238:$C$451,$C294,'TL16'!$J$238:$J$451),0),
IF('TL17'!$B$3=M$3,SUMIF('TL17'!$C$10:$C$224,$C294,'TL17'!$J$10:$J$224),0),
IF('TL17'!$B$229=M$3,SUMIF('TL17'!$C$238:$C$451,$C294,'TL17'!$J$238:$J$451),0),
IF('TL18'!$B$3=M$3,SUMIF('TL18'!$C$10:$C$224,$C294,'TL18'!$J$10:$J$224),0),
IF('TL18'!$B$229=M$3,SUMIF('TL18'!$C$238:$C$451,$C294,'TL18'!$J$238:$J$451),0),
IF('TL19'!$B$3=M$3,SUMIF('TL19'!$C$10:$C$224,$C294,'TL19'!$J$10:$J$224),0),
IF('TL19'!$B$229=M$3,SUMIF('TL19'!$C$238:$C$451,$C294,'TL19'!$J$238:$J$451),0)
),0)</f>
        <v>0</v>
      </c>
      <c r="N294" s="9">
        <f>IFERROR(SUM(
IF('TL01'!$B$3=N$3,SUMIF('TL01'!$C$10:$C$224,$C294,'TL01'!$J$10:$J$224),0),
IF('TL01'!$B$229=N$3,SUMIF('TL01'!$C$238:$C$451,$C294,'TL01'!$J$238:$J$451),0),
IF('TL02'!$B$3=N$3,SUMIF('TL02'!$C$10:$C$224,$C294,'TL02'!$J$10:$J$224),0),
IF('TL02'!$B$229=N$3,SUMIF('TL02'!$C$238:$C$451,$C294,'TL02'!$J$238:$J$451),0),
IF('TL03'!$B$3=N$3,SUMIF('TL03'!$C$10:$C$224,$C294,'TL03'!$J$10:$J$224),0),
IF('TL03'!$B$229=N$3,SUMIF('TL03'!$C$238:$C$451,$C294,'TL03'!$J$238:$J$451),0),
IF('TL04'!$B$3=N$3,SUMIF('TL04'!$C$10:$C$224,$C294,'TL04'!$J$10:$J$224),0),
IF('TL04'!$B$229=N$3,SUMIF('TL04'!$C$238:$C$451,$C294,'TL04'!$J$238:$J$451),0),
IF('TL05'!$B$3=N$3,SUMIF('TL05'!$C$10:$C$224,$C294,'TL05'!$J$10:$J$224),0),
IF('TL05'!$B$229=N$3,SUMIF('TL05'!$C$238:$C$451,$C294,'TL05'!$J$238:$J$451),0),
IF('TL06'!$B$3=N$3,SUMIF('TL06'!$C$10:$C$224,$C294,'TL06'!$J$10:$J$224),0),
IF('TL06'!$B$229=N$3,SUMIF('TL06'!$C$238:$C$451,$C294,'TL06'!$J$238:$J$451),0),
IF('TL07'!$B$3=N$3,SUMIF('TL07'!$C$10:$C$224,$C294,'TL07'!$J$10:$J$224),0),
IF('TL07'!$B$229=N$3,SUMIF('TL07'!$C$238:$C$451,$C294,'TL07'!$J$238:$J$451),0),
IF('TL08'!$B$3=N$3,SUMIF('TL08'!$C$10:$C$224,$C294,'TL08'!$J$10:$J$224),0),
IF('TL08'!$B$229=N$3,SUMIF('TL08'!$C$238:$C$451,$C294,'TL08'!$J$238:$J$451),0),
IF('TL09'!$B$3=N$3,SUMIF('TL09'!$C$10:$C$224,$C294,'TL09'!$J$10:$J$224),0),
IF('TL09'!$B$229=N$3,SUMIF('TL09'!$C$238:$C$451,$C294,'TL09'!$J$238:$J$451),0),
IF('TL10'!$B$3=N$3,SUMIF('TL10'!$C$10:$C$224,$C294,'TL10'!$J$10:$J$224),0),
IF('TL10'!$B$229=N$3,SUMIF('TL10'!$C$238:$C$451,$C294,'TL10'!$J$238:$J$451),0),
IF('TL11'!$B$3=N$3,SUMIF('TL11'!$C$10:$C$224,$C294,'TL11'!$J$10:$J$224),0),
IF('TL11'!$B$229=N$3,SUMIF('TL11'!$C$238:$C$451,$C294,'TL11'!$J$238:$J$451),0),
IF('TL12'!$B$3=N$3,SUMIF('TL12'!$C$10:$C$224,$C294,'TL12'!$J$10:$J$224),0),
IF('TL12'!$B$229=N$3,SUMIF('TL12'!$C$238:$C$451,$C294,'TL12'!$J$238:$J$451),0),
IF('TL13'!$B$3=N$3,SUMIF('TL13'!$C$10:$C$224,$C294,'TL13'!$J$10:$J$224),0),
IF('TL13'!$B$229=N$3,SUMIF('TL13'!$C$238:$C$451,$C294,'TL13'!$J$238:$J$451),0),
IF('TL14'!$B$3=N$3,SUMIF('TL14'!$C$10:$C$224,$C294,'TL14'!$J$10:$J$224),0),
IF('TL14'!$B$229=N$3,SUMIF('TL14'!$C$238:$C$451,$C294,'TL14'!$J$238:$J$451),0),
IF('TL15'!$B$3=N$3,SUMIF('TL15'!$C$10:$C$224,$C294,'TL15'!$J$10:$J$224),0),
IF('TL15'!$B$229=N$3,SUMIF('TL15'!$C$238:$C$451,$C294,'TL15'!$J$238:$J$451),0),
IF('TL16'!$B$3=N$3,SUMIF('TL16'!$C$10:$C$224,$C294,'TL16'!$J$10:$J$224),0),
IF('TL16'!$B$229=N$3,SUMIF('TL16'!$C$238:$C$451,$C294,'TL16'!$J$238:$J$451),0),
IF('TL17'!$B$3=N$3,SUMIF('TL17'!$C$10:$C$224,$C294,'TL17'!$J$10:$J$224),0),
IF('TL17'!$B$229=N$3,SUMIF('TL17'!$C$238:$C$451,$C294,'TL17'!$J$238:$J$451),0),
IF('TL18'!$B$3=N$3,SUMIF('TL18'!$C$10:$C$224,$C294,'TL18'!$J$10:$J$224),0),
IF('TL18'!$B$229=N$3,SUMIF('TL18'!$C$238:$C$451,$C294,'TL18'!$J$238:$J$451),0),
IF('TL19'!$B$3=N$3,SUMIF('TL19'!$C$10:$C$224,$C294,'TL19'!$J$10:$J$224),0),
IF('TL19'!$B$229=N$3,SUMIF('TL19'!$C$238:$C$451,$C294,'TL19'!$J$238:$J$451),0)
),0)</f>
        <v>0</v>
      </c>
      <c r="O294" s="9">
        <f>IFERROR(SUM(
IF('TL01'!$B$3=O$3,SUMIF('TL01'!$C$10:$C$224,$C294,'TL01'!$J$10:$J$224),0),
IF('TL01'!$B$229=O$3,SUMIF('TL01'!$C$238:$C$451,$C294,'TL01'!$J$238:$J$451),0),
IF('TL02'!$B$3=O$3,SUMIF('TL02'!$C$10:$C$224,$C294,'TL02'!$J$10:$J$224),0),
IF('TL02'!$B$229=O$3,SUMIF('TL02'!$C$238:$C$451,$C294,'TL02'!$J$238:$J$451),0),
IF('TL03'!$B$3=O$3,SUMIF('TL03'!$C$10:$C$224,$C294,'TL03'!$J$10:$J$224),0),
IF('TL03'!$B$229=O$3,SUMIF('TL03'!$C$238:$C$451,$C294,'TL03'!$J$238:$J$451),0),
IF('TL04'!$B$3=O$3,SUMIF('TL04'!$C$10:$C$224,$C294,'TL04'!$J$10:$J$224),0),
IF('TL04'!$B$229=O$3,SUMIF('TL04'!$C$238:$C$451,$C294,'TL04'!$J$238:$J$451),0),
IF('TL05'!$B$3=O$3,SUMIF('TL05'!$C$10:$C$224,$C294,'TL05'!$J$10:$J$224),0),
IF('TL05'!$B$229=O$3,SUMIF('TL05'!$C$238:$C$451,$C294,'TL05'!$J$238:$J$451),0),
IF('TL06'!$B$3=O$3,SUMIF('TL06'!$C$10:$C$224,$C294,'TL06'!$J$10:$J$224),0),
IF('TL06'!$B$229=O$3,SUMIF('TL06'!$C$238:$C$451,$C294,'TL06'!$J$238:$J$451),0),
IF('TL07'!$B$3=O$3,SUMIF('TL07'!$C$10:$C$224,$C294,'TL07'!$J$10:$J$224),0),
IF('TL07'!$B$229=O$3,SUMIF('TL07'!$C$238:$C$451,$C294,'TL07'!$J$238:$J$451),0),
IF('TL08'!$B$3=O$3,SUMIF('TL08'!$C$10:$C$224,$C294,'TL08'!$J$10:$J$224),0),
IF('TL08'!$B$229=O$3,SUMIF('TL08'!$C$238:$C$451,$C294,'TL08'!$J$238:$J$451),0),
IF('TL09'!$B$3=O$3,SUMIF('TL09'!$C$10:$C$224,$C294,'TL09'!$J$10:$J$224),0),
IF('TL09'!$B$229=O$3,SUMIF('TL09'!$C$238:$C$451,$C294,'TL09'!$J$238:$J$451),0),
IF('TL10'!$B$3=O$3,SUMIF('TL10'!$C$10:$C$224,$C294,'TL10'!$J$10:$J$224),0),
IF('TL10'!$B$229=O$3,SUMIF('TL10'!$C$238:$C$451,$C294,'TL10'!$J$238:$J$451),0),
IF('TL11'!$B$3=O$3,SUMIF('TL11'!$C$10:$C$224,$C294,'TL11'!$J$10:$J$224),0),
IF('TL11'!$B$229=O$3,SUMIF('TL11'!$C$238:$C$451,$C294,'TL11'!$J$238:$J$451),0),
IF('TL12'!$B$3=O$3,SUMIF('TL12'!$C$10:$C$224,$C294,'TL12'!$J$10:$J$224),0),
IF('TL12'!$B$229=O$3,SUMIF('TL12'!$C$238:$C$451,$C294,'TL12'!$J$238:$J$451),0),
IF('TL13'!$B$3=O$3,SUMIF('TL13'!$C$10:$C$224,$C294,'TL13'!$J$10:$J$224),0),
IF('TL13'!$B$229=O$3,SUMIF('TL13'!$C$238:$C$451,$C294,'TL13'!$J$238:$J$451),0),
IF('TL14'!$B$3=O$3,SUMIF('TL14'!$C$10:$C$224,$C294,'TL14'!$J$10:$J$224),0),
IF('TL14'!$B$229=O$3,SUMIF('TL14'!$C$238:$C$451,$C294,'TL14'!$J$238:$J$451),0),
IF('TL15'!$B$3=O$3,SUMIF('TL15'!$C$10:$C$224,$C294,'TL15'!$J$10:$J$224),0),
IF('TL15'!$B$229=O$3,SUMIF('TL15'!$C$238:$C$451,$C294,'TL15'!$J$238:$J$451),0),
IF('TL16'!$B$3=O$3,SUMIF('TL16'!$C$10:$C$224,$C294,'TL16'!$J$10:$J$224),0),
IF('TL16'!$B$229=O$3,SUMIF('TL16'!$C$238:$C$451,$C294,'TL16'!$J$238:$J$451),0),
IF('TL17'!$B$3=O$3,SUMIF('TL17'!$C$10:$C$224,$C294,'TL17'!$J$10:$J$224),0),
IF('TL17'!$B$229=O$3,SUMIF('TL17'!$C$238:$C$451,$C294,'TL17'!$J$238:$J$451),0),
IF('TL18'!$B$3=O$3,SUMIF('TL18'!$C$10:$C$224,$C294,'TL18'!$J$10:$J$224),0),
IF('TL18'!$B$229=O$3,SUMIF('TL18'!$C$238:$C$451,$C294,'TL18'!$J$238:$J$451),0),
IF('TL19'!$B$3=O$3,SUMIF('TL19'!$C$10:$C$224,$C294,'TL19'!$J$10:$J$224),0),
IF('TL19'!$B$229=O$3,SUMIF('TL19'!$C$238:$C$451,$C294,'TL19'!$J$238:$J$451),0)
),0)</f>
        <v>0</v>
      </c>
      <c r="P294" s="9">
        <f>IFERROR(SUM(
IF('TL01'!$B$3=P$3,SUMIF('TL01'!$C$10:$C$224,$C294,'TL01'!$J$10:$J$224),0),
IF('TL01'!$B$229=P$3,SUMIF('TL01'!$C$238:$C$451,$C294,'TL01'!$J$238:$J$451),0),
IF('TL02'!$B$3=P$3,SUMIF('TL02'!$C$10:$C$224,$C294,'TL02'!$J$10:$J$224),0),
IF('TL02'!$B$229=P$3,SUMIF('TL02'!$C$238:$C$451,$C294,'TL02'!$J$238:$J$451),0),
IF('TL03'!$B$3=P$3,SUMIF('TL03'!$C$10:$C$224,$C294,'TL03'!$J$10:$J$224),0),
IF('TL03'!$B$229=P$3,SUMIF('TL03'!$C$238:$C$451,$C294,'TL03'!$J$238:$J$451),0),
IF('TL04'!$B$3=P$3,SUMIF('TL04'!$C$10:$C$224,$C294,'TL04'!$J$10:$J$224),0),
IF('TL04'!$B$229=P$3,SUMIF('TL04'!$C$238:$C$451,$C294,'TL04'!$J$238:$J$451),0),
IF('TL05'!$B$3=P$3,SUMIF('TL05'!$C$10:$C$224,$C294,'TL05'!$J$10:$J$224),0),
IF('TL05'!$B$229=P$3,SUMIF('TL05'!$C$238:$C$451,$C294,'TL05'!$J$238:$J$451),0),
IF('TL06'!$B$3=P$3,SUMIF('TL06'!$C$10:$C$224,$C294,'TL06'!$J$10:$J$224),0),
IF('TL06'!$B$229=P$3,SUMIF('TL06'!$C$238:$C$451,$C294,'TL06'!$J$238:$J$451),0),
IF('TL07'!$B$3=P$3,SUMIF('TL07'!$C$10:$C$224,$C294,'TL07'!$J$10:$J$224),0),
IF('TL07'!$B$229=P$3,SUMIF('TL07'!$C$238:$C$451,$C294,'TL07'!$J$238:$J$451),0),
IF('TL08'!$B$3=P$3,SUMIF('TL08'!$C$10:$C$224,$C294,'TL08'!$J$10:$J$224),0),
IF('TL08'!$B$229=P$3,SUMIF('TL08'!$C$238:$C$451,$C294,'TL08'!$J$238:$J$451),0),
IF('TL09'!$B$3=P$3,SUMIF('TL09'!$C$10:$C$224,$C294,'TL09'!$J$10:$J$224),0),
IF('TL09'!$B$229=P$3,SUMIF('TL09'!$C$238:$C$451,$C294,'TL09'!$J$238:$J$451),0),
IF('TL10'!$B$3=P$3,SUMIF('TL10'!$C$10:$C$224,$C294,'TL10'!$J$10:$J$224),0),
IF('TL10'!$B$229=P$3,SUMIF('TL10'!$C$238:$C$451,$C294,'TL10'!$J$238:$J$451),0),
IF('TL11'!$B$3=P$3,SUMIF('TL11'!$C$10:$C$224,$C294,'TL11'!$J$10:$J$224),0),
IF('TL11'!$B$229=P$3,SUMIF('TL11'!$C$238:$C$451,$C294,'TL11'!$J$238:$J$451),0),
IF('TL12'!$B$3=P$3,SUMIF('TL12'!$C$10:$C$224,$C294,'TL12'!$J$10:$J$224),0),
IF('TL12'!$B$229=P$3,SUMIF('TL12'!$C$238:$C$451,$C294,'TL12'!$J$238:$J$451),0),
IF('TL13'!$B$3=P$3,SUMIF('TL13'!$C$10:$C$224,$C294,'TL13'!$J$10:$J$224),0),
IF('TL13'!$B$229=P$3,SUMIF('TL13'!$C$238:$C$451,$C294,'TL13'!$J$238:$J$451),0),
IF('TL14'!$B$3=P$3,SUMIF('TL14'!$C$10:$C$224,$C294,'TL14'!$J$10:$J$224),0),
IF('TL14'!$B$229=P$3,SUMIF('TL14'!$C$238:$C$451,$C294,'TL14'!$J$238:$J$451),0),
IF('TL15'!$B$3=P$3,SUMIF('TL15'!$C$10:$C$224,$C294,'TL15'!$J$10:$J$224),0),
IF('TL15'!$B$229=P$3,SUMIF('TL15'!$C$238:$C$451,$C294,'TL15'!$J$238:$J$451),0),
IF('TL16'!$B$3=P$3,SUMIF('TL16'!$C$10:$C$224,$C294,'TL16'!$J$10:$J$224),0),
IF('TL16'!$B$229=P$3,SUMIF('TL16'!$C$238:$C$451,$C294,'TL16'!$J$238:$J$451),0),
IF('TL17'!$B$3=P$3,SUMIF('TL17'!$C$10:$C$224,$C294,'TL17'!$J$10:$J$224),0),
IF('TL17'!$B$229=P$3,SUMIF('TL17'!$C$238:$C$451,$C294,'TL17'!$J$238:$J$451),0),
IF('TL18'!$B$3=P$3,SUMIF('TL18'!$C$10:$C$224,$C294,'TL18'!$J$10:$J$224),0),
IF('TL18'!$B$229=P$3,SUMIF('TL18'!$C$238:$C$451,$C294,'TL18'!$J$238:$J$451),0),
IF('TL19'!$B$3=P$3,SUMIF('TL19'!$C$10:$C$224,$C294,'TL19'!$J$10:$J$224),0),
IF('TL19'!$B$229=P$3,SUMIF('TL19'!$C$238:$C$451,$C294,'TL19'!$J$238:$J$451),0)
),0)</f>
        <v>24.36</v>
      </c>
      <c r="Q294" s="9">
        <f>IFERROR(SUM(
IF('TL01'!$B$3=Q$3,SUMIF('TL01'!$C$10:$C$224,$C294,'TL01'!$J$10:$J$224),0),
IF('TL01'!$B$229=Q$3,SUMIF('TL01'!$C$238:$C$451,$C294,'TL01'!$J$238:$J$451),0),
IF('TL02'!$B$3=Q$3,SUMIF('TL02'!$C$10:$C$224,$C294,'TL02'!$J$10:$J$224),0),
IF('TL02'!$B$229=Q$3,SUMIF('TL02'!$C$238:$C$451,$C294,'TL02'!$J$238:$J$451),0),
IF('TL03'!$B$3=Q$3,SUMIF('TL03'!$C$10:$C$224,$C294,'TL03'!$J$10:$J$224),0),
IF('TL03'!$B$229=Q$3,SUMIF('TL03'!$C$238:$C$451,$C294,'TL03'!$J$238:$J$451),0),
IF('TL04'!$B$3=Q$3,SUMIF('TL04'!$C$10:$C$224,$C294,'TL04'!$J$10:$J$224),0),
IF('TL04'!$B$229=Q$3,SUMIF('TL04'!$C$238:$C$451,$C294,'TL04'!$J$238:$J$451),0),
IF('TL05'!$B$3=Q$3,SUMIF('TL05'!$C$10:$C$224,$C294,'TL05'!$J$10:$J$224),0),
IF('TL05'!$B$229=Q$3,SUMIF('TL05'!$C$238:$C$451,$C294,'TL05'!$J$238:$J$451),0),
IF('TL06'!$B$3=Q$3,SUMIF('TL06'!$C$10:$C$224,$C294,'TL06'!$J$10:$J$224),0),
IF('TL06'!$B$229=Q$3,SUMIF('TL06'!$C$238:$C$451,$C294,'TL06'!$J$238:$J$451),0),
IF('TL07'!$B$3=Q$3,SUMIF('TL07'!$C$10:$C$224,$C294,'TL07'!$J$10:$J$224),0),
IF('TL07'!$B$229=Q$3,SUMIF('TL07'!$C$238:$C$451,$C294,'TL07'!$J$238:$J$451),0),
IF('TL08'!$B$3=Q$3,SUMIF('TL08'!$C$10:$C$224,$C294,'TL08'!$J$10:$J$224),0),
IF('TL08'!$B$229=Q$3,SUMIF('TL08'!$C$238:$C$451,$C294,'TL08'!$J$238:$J$451),0),
IF('TL09'!$B$3=Q$3,SUMIF('TL09'!$C$10:$C$224,$C294,'TL09'!$J$10:$J$224),0),
IF('TL09'!$B$229=Q$3,SUMIF('TL09'!$C$238:$C$451,$C294,'TL09'!$J$238:$J$451),0),
IF('TL10'!$B$3=Q$3,SUMIF('TL10'!$C$10:$C$224,$C294,'TL10'!$J$10:$J$224),0),
IF('TL10'!$B$229=Q$3,SUMIF('TL10'!$C$238:$C$451,$C294,'TL10'!$J$238:$J$451),0),
IF('TL11'!$B$3=Q$3,SUMIF('TL11'!$C$10:$C$224,$C294,'TL11'!$J$10:$J$224),0),
IF('TL11'!$B$229=Q$3,SUMIF('TL11'!$C$238:$C$451,$C294,'TL11'!$J$238:$J$451),0),
IF('TL12'!$B$3=Q$3,SUMIF('TL12'!$C$10:$C$224,$C294,'TL12'!$J$10:$J$224),0),
IF('TL12'!$B$229=Q$3,SUMIF('TL12'!$C$238:$C$451,$C294,'TL12'!$J$238:$J$451),0),
IF('TL13'!$B$3=Q$3,SUMIF('TL13'!$C$10:$C$224,$C294,'TL13'!$J$10:$J$224),0),
IF('TL13'!$B$229=Q$3,SUMIF('TL13'!$C$238:$C$451,$C294,'TL13'!$J$238:$J$451),0),
IF('TL14'!$B$3=Q$3,SUMIF('TL14'!$C$10:$C$224,$C294,'TL14'!$J$10:$J$224),0),
IF('TL14'!$B$229=Q$3,SUMIF('TL14'!$C$238:$C$451,$C294,'TL14'!$J$238:$J$451),0),
IF('TL15'!$B$3=Q$3,SUMIF('TL15'!$C$10:$C$224,$C294,'TL15'!$J$10:$J$224),0),
IF('TL15'!$B$229=Q$3,SUMIF('TL15'!$C$238:$C$451,$C294,'TL15'!$J$238:$J$451),0),
IF('TL16'!$B$3=Q$3,SUMIF('TL16'!$C$10:$C$224,$C294,'TL16'!$J$10:$J$224),0),
IF('TL16'!$B$229=Q$3,SUMIF('TL16'!$C$238:$C$451,$C294,'TL16'!$J$238:$J$451),0),
IF('TL17'!$B$3=Q$3,SUMIF('TL17'!$C$10:$C$224,$C294,'TL17'!$J$10:$J$224),0),
IF('TL17'!$B$229=Q$3,SUMIF('TL17'!$C$238:$C$451,$C294,'TL17'!$J$238:$J$451),0),
IF('TL18'!$B$3=Q$3,SUMIF('TL18'!$C$10:$C$224,$C294,'TL18'!$J$10:$J$224),0),
IF('TL18'!$B$229=Q$3,SUMIF('TL18'!$C$238:$C$451,$C294,'TL18'!$J$238:$J$451),0),
IF('TL19'!$B$3=Q$3,SUMIF('TL19'!$C$10:$C$224,$C294,'TL19'!$J$10:$J$224),0),
IF('TL19'!$B$229=Q$3,SUMIF('TL19'!$C$238:$C$451,$C294,'TL19'!$J$238:$J$451),0)
),0)</f>
        <v>6.4</v>
      </c>
      <c r="R294" s="9">
        <f>IFERROR(
SUM(
SUMIF('TL01'!C:C,C294,'TL01'!J:J),
SUMIF('TL02'!C:C,C294,'TL02'!J:J),
SUMIF('TL03'!C:C,C294,'TL03'!J:J),
SUMIF('TL04'!C:C,C294,'TL04'!J:J),
SUMIF('TL05'!C:C,C294,'TL05'!J:J),
SUMIF('TL06'!C:C,C294,'TL06'!J:J),
SUMIF('TL07'!C:C,C294,'TL07'!J:J),
SUMIF('TL08'!C:C,C294,'TL08'!J:J),
SUMIF('TL09'!C:C,C294,'TL09'!J:J),
SUMIF('TL10'!C:C,C294,'TL10'!J:J),
SUMIF('TL11'!C:C,C294,'TL11'!J:J),
SUMIF('TL12'!C:C,C294,'TL12'!J:J),
SUMIF('TL13'!C:C,C294,'TL13'!J:J),
SUMIF('TL14'!C:C,C294,'TL14'!J:J),
SUMIF('TL15'!C:C,C294,'TL15'!J:J),
SUMIF('TL16'!C:C,C294,'TL16'!J:J),
SUMIF('TL17'!C:C,C294,'TL17'!J:J),
SUMIF('TL18'!C:C,C294,'TL18'!J:J),SUMIF('TL19'!C:C,C294,'TL19'!J:J))
,0)</f>
        <v>41.16</v>
      </c>
      <c r="S294" s="17">
        <f>IFERROR(__xludf.DUMMYFUNCTION("IFERROR(VLOOKUP(C294,
IMPORTRANGE(""1wULbzX32WdYsx-lj2U3uUNBBe2INVIRDtcK0d-Dvl90"",
""26-27!C:G""),
5,
FALSE),
"""")"),89.24300000000001)</f>
        <v>89.243</v>
      </c>
      <c r="T294" s="9"/>
      <c r="U294" s="92">
        <f t="shared" si="2"/>
        <v>41.16</v>
      </c>
      <c r="V294" s="93">
        <f t="shared" si="3"/>
        <v>3673.24188</v>
      </c>
    </row>
    <row r="295" ht="15.75" hidden="1" customHeight="1">
      <c r="A295" s="122" t="s">
        <v>345</v>
      </c>
      <c r="B295" s="124" t="s">
        <v>3</v>
      </c>
      <c r="C295" s="122" t="s">
        <v>1008</v>
      </c>
      <c r="D295" s="122" t="s">
        <v>1009</v>
      </c>
      <c r="E295" s="122" t="s">
        <v>1010</v>
      </c>
      <c r="F295" s="4"/>
      <c r="G295" s="90" t="str">
        <f t="shared" si="5"/>
        <v>📄 Ver bula</v>
      </c>
      <c r="H295" s="9">
        <f>IFERROR(__xludf.DUMMYFUNCTION("IFERROR(VLOOKUP(C295,
IMPORTRANGE(""1wULbzX32WdYsx-lj2U3uUNBBe2INVIRDtcK0d-Dvl90"",
""26-27!C:K""),
8,
FALSE),
"""")"),0.1)</f>
        <v>0.1</v>
      </c>
      <c r="I295" s="123"/>
      <c r="J295" s="9">
        <f>IFERROR(SUM(
IF('TL01'!$B$3=J$3,SUMIF('TL01'!$C$10:$C$224,$C295,'TL01'!$J$10:$J$224),0),
IF('TL01'!$B$229=J$3,SUMIF('TL01'!$C$238:$C$451,$C295,'TL01'!$J$238:$J$451),0),
IF('TL02'!$B$3=J$3,SUMIF('TL02'!$C$10:$C$224,$C295,'TL02'!$J$10:$J$224),0),
IF('TL02'!$B$229=J$3,SUMIF('TL02'!$C$238:$C$451,$C295,'TL02'!$J$238:$J$451),0),
IF('TL03'!$B$3=J$3,SUMIF('TL03'!$C$10:$C$224,$C295,'TL03'!$J$10:$J$224),0),
IF('TL03'!$B$229=J$3,SUMIF('TL03'!$C$238:$C$451,$C295,'TL03'!$J$238:$J$451),0),
IF('TL04'!$B$3=J$3,SUMIF('TL04'!$C$10:$C$224,$C295,'TL04'!$J$10:$J$224),0),
IF('TL04'!$B$229=J$3,SUMIF('TL04'!$C$238:$C$451,$C295,'TL04'!$J$238:$J$451),0),
IF('TL05'!$B$3=J$3,SUMIF('TL05'!$C$10:$C$224,$C295,'TL05'!$J$10:$J$224),0),
IF('TL05'!$B$229=J$3,SUMIF('TL05'!$C$238:$C$451,$C295,'TL05'!$J$238:$J$451),0),
IF('TL06'!$B$3=J$3,SUMIF('TL06'!$C$10:$C$224,$C295,'TL06'!$J$10:$J$224),0),
IF('TL06'!$B$229=J$3,SUMIF('TL06'!$C$238:$C$451,$C295,'TL06'!$J$238:$J$451),0),
IF('TL07'!$B$3=J$3,SUMIF('TL07'!$C$10:$C$224,$C295,'TL07'!$J$10:$J$224),0),
IF('TL07'!$B$229=J$3,SUMIF('TL07'!$C$238:$C$451,$C295,'TL07'!$J$238:$J$451),0),
IF('TL08'!$B$3=J$3,SUMIF('TL08'!$C$10:$C$224,$C295,'TL08'!$J$10:$J$224),0),
IF('TL08'!$B$229=J$3,SUMIF('TL08'!$C$238:$C$451,$C295,'TL08'!$J$238:$J$451),0),
IF('TL09'!$B$3=J$3,SUMIF('TL09'!$C$10:$C$224,$C295,'TL09'!$J$10:$J$224),0),
IF('TL09'!$B$229=J$3,SUMIF('TL09'!$C$238:$C$451,$C295,'TL09'!$J$238:$J$451),0),
IF('TL10'!$B$3=J$3,SUMIF('TL10'!$C$10:$C$224,$C295,'TL10'!$J$10:$J$224),0),
IF('TL10'!$B$229=J$3,SUMIF('TL10'!$C$238:$C$451,$C295,'TL10'!$J$238:$J$451),0),
IF('TL11'!$B$3=J$3,SUMIF('TL11'!$C$10:$C$224,$C295,'TL11'!$J$10:$J$224),0),
IF('TL11'!$B$229=J$3,SUMIF('TL11'!$C$238:$C$451,$C295,'TL11'!$J$238:$J$451),0),
IF('TL12'!$B$3=J$3,SUMIF('TL12'!$C$10:$C$224,$C295,'TL12'!$J$10:$J$224),0),
IF('TL12'!$B$229=J$3,SUMIF('TL12'!$C$238:$C$451,$C295,'TL12'!$J$238:$J$451),0),
IF('TL13'!$B$3=J$3,SUMIF('TL13'!$C$10:$C$224,$C295,'TL13'!$J$10:$J$224),0),
IF('TL13'!$B$229=J$3,SUMIF('TL13'!$C$238:$C$451,$C295,'TL13'!$J$238:$J$451),0),
IF('TL14'!$B$3=J$3,SUMIF('TL14'!$C$10:$C$224,$C295,'TL14'!$J$10:$J$224),0),
IF('TL14'!$B$229=J$3,SUMIF('TL14'!$C$238:$C$451,$C295,'TL14'!$J$238:$J$451),0),
IF('TL15'!$B$3=J$3,SUMIF('TL15'!$C$10:$C$224,$C295,'TL15'!$J$10:$J$224),0),
IF('TL15'!$B$229=J$3,SUMIF('TL15'!$C$238:$C$451,$C295,'TL15'!$J$238:$J$451),0),
IF('TL16'!$B$3=J$3,SUMIF('TL16'!$C$10:$C$224,$C295,'TL16'!$J$10:$J$224),0),
IF('TL16'!$B$229=J$3,SUMIF('TL16'!$C$238:$C$451,$C295,'TL16'!$J$238:$J$451),0),
IF('TL17'!$B$3=J$3,SUMIF('TL17'!$C$10:$C$224,$C295,'TL17'!$J$10:$J$224),0),
IF('TL17'!$B$229=J$3,SUMIF('TL17'!$C$238:$C$451,$C295,'TL17'!$J$238:$J$451),0),
IF('TL18'!$B$3=J$3,SUMIF('TL18'!$C$10:$C$224,$C295,'TL18'!$J$10:$J$224),0),
IF('TL18'!$B$229=J$3,SUMIF('TL18'!$C$238:$C$451,$C295,'TL18'!$J$238:$J$451),0),
IF('TL19'!$B$3=J$3,SUMIF('TL19'!$C$10:$C$224,$C295,'TL19'!$J$10:$J$224),0),
IF('TL19'!$B$229=J$3,SUMIF('TL19'!$C$238:$C$451,$C295,'TL19'!$J$238:$J$451),0)
),0)</f>
        <v>0</v>
      </c>
      <c r="K295" s="9">
        <f>IFERROR(SUM(
IF('TL01'!$B$3=K$3,SUMIF('TL01'!$C$10:$C$224,$C295,'TL01'!$J$10:$J$224),0),
IF('TL01'!$B$229=K$3,SUMIF('TL01'!$C$238:$C$451,$C295,'TL01'!$J$238:$J$451),0),
IF('TL02'!$B$3=K$3,SUMIF('TL02'!$C$10:$C$224,$C295,'TL02'!$J$10:$J$224),0),
IF('TL02'!$B$229=K$3,SUMIF('TL02'!$C$238:$C$451,$C295,'TL02'!$J$238:$J$451),0),
IF('TL03'!$B$3=K$3,SUMIF('TL03'!$C$10:$C$224,$C295,'TL03'!$J$10:$J$224),0),
IF('TL03'!$B$229=K$3,SUMIF('TL03'!$C$238:$C$451,$C295,'TL03'!$J$238:$J$451),0),
IF('TL04'!$B$3=K$3,SUMIF('TL04'!$C$10:$C$224,$C295,'TL04'!$J$10:$J$224),0),
IF('TL04'!$B$229=K$3,SUMIF('TL04'!$C$238:$C$451,$C295,'TL04'!$J$238:$J$451),0),
IF('TL05'!$B$3=K$3,SUMIF('TL05'!$C$10:$C$224,$C295,'TL05'!$J$10:$J$224),0),
IF('TL05'!$B$229=K$3,SUMIF('TL05'!$C$238:$C$451,$C295,'TL05'!$J$238:$J$451),0),
IF('TL06'!$B$3=K$3,SUMIF('TL06'!$C$10:$C$224,$C295,'TL06'!$J$10:$J$224),0),
IF('TL06'!$B$229=K$3,SUMIF('TL06'!$C$238:$C$451,$C295,'TL06'!$J$238:$J$451),0),
IF('TL07'!$B$3=K$3,SUMIF('TL07'!$C$10:$C$224,$C295,'TL07'!$J$10:$J$224),0),
IF('TL07'!$B$229=K$3,SUMIF('TL07'!$C$238:$C$451,$C295,'TL07'!$J$238:$J$451),0),
IF('TL08'!$B$3=K$3,SUMIF('TL08'!$C$10:$C$224,$C295,'TL08'!$J$10:$J$224),0),
IF('TL08'!$B$229=K$3,SUMIF('TL08'!$C$238:$C$451,$C295,'TL08'!$J$238:$J$451),0),
IF('TL09'!$B$3=K$3,SUMIF('TL09'!$C$10:$C$224,$C295,'TL09'!$J$10:$J$224),0),
IF('TL09'!$B$229=K$3,SUMIF('TL09'!$C$238:$C$451,$C295,'TL09'!$J$238:$J$451),0),
IF('TL10'!$B$3=K$3,SUMIF('TL10'!$C$10:$C$224,$C295,'TL10'!$J$10:$J$224),0),
IF('TL10'!$B$229=K$3,SUMIF('TL10'!$C$238:$C$451,$C295,'TL10'!$J$238:$J$451),0),
IF('TL11'!$B$3=K$3,SUMIF('TL11'!$C$10:$C$224,$C295,'TL11'!$J$10:$J$224),0),
IF('TL11'!$B$229=K$3,SUMIF('TL11'!$C$238:$C$451,$C295,'TL11'!$J$238:$J$451),0),
IF('TL12'!$B$3=K$3,SUMIF('TL12'!$C$10:$C$224,$C295,'TL12'!$J$10:$J$224),0),
IF('TL12'!$B$229=K$3,SUMIF('TL12'!$C$238:$C$451,$C295,'TL12'!$J$238:$J$451),0),
IF('TL13'!$B$3=K$3,SUMIF('TL13'!$C$10:$C$224,$C295,'TL13'!$J$10:$J$224),0),
IF('TL13'!$B$229=K$3,SUMIF('TL13'!$C$238:$C$451,$C295,'TL13'!$J$238:$J$451),0),
IF('TL14'!$B$3=K$3,SUMIF('TL14'!$C$10:$C$224,$C295,'TL14'!$J$10:$J$224),0),
IF('TL14'!$B$229=K$3,SUMIF('TL14'!$C$238:$C$451,$C295,'TL14'!$J$238:$J$451),0),
IF('TL15'!$B$3=K$3,SUMIF('TL15'!$C$10:$C$224,$C295,'TL15'!$J$10:$J$224),0),
IF('TL15'!$B$229=K$3,SUMIF('TL15'!$C$238:$C$451,$C295,'TL15'!$J$238:$J$451),0),
IF('TL16'!$B$3=K$3,SUMIF('TL16'!$C$10:$C$224,$C295,'TL16'!$J$10:$J$224),0),
IF('TL16'!$B$229=K$3,SUMIF('TL16'!$C$238:$C$451,$C295,'TL16'!$J$238:$J$451),0),
IF('TL17'!$B$3=K$3,SUMIF('TL17'!$C$10:$C$224,$C295,'TL17'!$J$10:$J$224),0),
IF('TL17'!$B$229=K$3,SUMIF('TL17'!$C$238:$C$451,$C295,'TL17'!$J$238:$J$451),0),
IF('TL18'!$B$3=K$3,SUMIF('TL18'!$C$10:$C$224,$C295,'TL18'!$J$10:$J$224),0),
IF('TL18'!$B$229=K$3,SUMIF('TL18'!$C$238:$C$451,$C295,'TL18'!$J$238:$J$451),0),
IF('TL19'!$B$3=K$3,SUMIF('TL19'!$C$10:$C$224,$C295,'TL19'!$J$10:$J$224),0),
IF('TL19'!$B$229=K$3,SUMIF('TL19'!$C$238:$C$451,$C295,'TL19'!$J$238:$J$451),0)
),0)</f>
        <v>0</v>
      </c>
      <c r="L295" s="9">
        <f>IFERROR(SUM(
IF('TL01'!$B$3=L$3,SUMIF('TL01'!$C$10:$C$224,$C295,'TL01'!$J$10:$J$224),0),
IF('TL01'!$B$229=L$3,SUMIF('TL01'!$C$238:$C$451,$C295,'TL01'!$J$238:$J$451),0),
IF('TL02'!$B$3=L$3,SUMIF('TL02'!$C$10:$C$224,$C295,'TL02'!$J$10:$J$224),0),
IF('TL02'!$B$229=L$3,SUMIF('TL02'!$C$238:$C$451,$C295,'TL02'!$J$238:$J$451),0),
IF('TL03'!$B$3=L$3,SUMIF('TL03'!$C$10:$C$224,$C295,'TL03'!$J$10:$J$224),0),
IF('TL03'!$B$229=L$3,SUMIF('TL03'!$C$238:$C$451,$C295,'TL03'!$J$238:$J$451),0),
IF('TL04'!$B$3=L$3,SUMIF('TL04'!$C$10:$C$224,$C295,'TL04'!$J$10:$J$224),0),
IF('TL04'!$B$229=L$3,SUMIF('TL04'!$C$238:$C$451,$C295,'TL04'!$J$238:$J$451),0),
IF('TL05'!$B$3=L$3,SUMIF('TL05'!$C$10:$C$224,$C295,'TL05'!$J$10:$J$224),0),
IF('TL05'!$B$229=L$3,SUMIF('TL05'!$C$238:$C$451,$C295,'TL05'!$J$238:$J$451),0),
IF('TL06'!$B$3=L$3,SUMIF('TL06'!$C$10:$C$224,$C295,'TL06'!$J$10:$J$224),0),
IF('TL06'!$B$229=L$3,SUMIF('TL06'!$C$238:$C$451,$C295,'TL06'!$J$238:$J$451),0),
IF('TL07'!$B$3=L$3,SUMIF('TL07'!$C$10:$C$224,$C295,'TL07'!$J$10:$J$224),0),
IF('TL07'!$B$229=L$3,SUMIF('TL07'!$C$238:$C$451,$C295,'TL07'!$J$238:$J$451),0),
IF('TL08'!$B$3=L$3,SUMIF('TL08'!$C$10:$C$224,$C295,'TL08'!$J$10:$J$224),0),
IF('TL08'!$B$229=L$3,SUMIF('TL08'!$C$238:$C$451,$C295,'TL08'!$J$238:$J$451),0),
IF('TL09'!$B$3=L$3,SUMIF('TL09'!$C$10:$C$224,$C295,'TL09'!$J$10:$J$224),0),
IF('TL09'!$B$229=L$3,SUMIF('TL09'!$C$238:$C$451,$C295,'TL09'!$J$238:$J$451),0),
IF('TL10'!$B$3=L$3,SUMIF('TL10'!$C$10:$C$224,$C295,'TL10'!$J$10:$J$224),0),
IF('TL10'!$B$229=L$3,SUMIF('TL10'!$C$238:$C$451,$C295,'TL10'!$J$238:$J$451),0),
IF('TL11'!$B$3=L$3,SUMIF('TL11'!$C$10:$C$224,$C295,'TL11'!$J$10:$J$224),0),
IF('TL11'!$B$229=L$3,SUMIF('TL11'!$C$238:$C$451,$C295,'TL11'!$J$238:$J$451),0),
IF('TL12'!$B$3=L$3,SUMIF('TL12'!$C$10:$C$224,$C295,'TL12'!$J$10:$J$224),0),
IF('TL12'!$B$229=L$3,SUMIF('TL12'!$C$238:$C$451,$C295,'TL12'!$J$238:$J$451),0),
IF('TL13'!$B$3=L$3,SUMIF('TL13'!$C$10:$C$224,$C295,'TL13'!$J$10:$J$224),0),
IF('TL13'!$B$229=L$3,SUMIF('TL13'!$C$238:$C$451,$C295,'TL13'!$J$238:$J$451),0),
IF('TL14'!$B$3=L$3,SUMIF('TL14'!$C$10:$C$224,$C295,'TL14'!$J$10:$J$224),0),
IF('TL14'!$B$229=L$3,SUMIF('TL14'!$C$238:$C$451,$C295,'TL14'!$J$238:$J$451),0),
IF('TL15'!$B$3=L$3,SUMIF('TL15'!$C$10:$C$224,$C295,'TL15'!$J$10:$J$224),0),
IF('TL15'!$B$229=L$3,SUMIF('TL15'!$C$238:$C$451,$C295,'TL15'!$J$238:$J$451),0),
IF('TL16'!$B$3=L$3,SUMIF('TL16'!$C$10:$C$224,$C295,'TL16'!$J$10:$J$224),0),
IF('TL16'!$B$229=L$3,SUMIF('TL16'!$C$238:$C$451,$C295,'TL16'!$J$238:$J$451),0),
IF('TL17'!$B$3=L$3,SUMIF('TL17'!$C$10:$C$224,$C295,'TL17'!$J$10:$J$224),0),
IF('TL17'!$B$229=L$3,SUMIF('TL17'!$C$238:$C$451,$C295,'TL17'!$J$238:$J$451),0),
IF('TL18'!$B$3=L$3,SUMIF('TL18'!$C$10:$C$224,$C295,'TL18'!$J$10:$J$224),0),
IF('TL18'!$B$229=L$3,SUMIF('TL18'!$C$238:$C$451,$C295,'TL18'!$J$238:$J$451),0),
IF('TL19'!$B$3=L$3,SUMIF('TL19'!$C$10:$C$224,$C295,'TL19'!$J$10:$J$224),0),
IF('TL19'!$B$229=L$3,SUMIF('TL19'!$C$238:$C$451,$C295,'TL19'!$J$238:$J$451),0)
),0)</f>
        <v>0</v>
      </c>
      <c r="M295" s="9">
        <f>IFERROR(SUM(
IF('TL01'!$B$3=M$3,SUMIF('TL01'!$C$10:$C$224,$C295,'TL01'!$J$10:$J$224),0),
IF('TL01'!$B$229=M$3,SUMIF('TL01'!$C$238:$C$451,$C295,'TL01'!$J$238:$J$451),0),
IF('TL02'!$B$3=M$3,SUMIF('TL02'!$C$10:$C$224,$C295,'TL02'!$J$10:$J$224),0),
IF('TL02'!$B$229=M$3,SUMIF('TL02'!$C$238:$C$451,$C295,'TL02'!$J$238:$J$451),0),
IF('TL03'!$B$3=M$3,SUMIF('TL03'!$C$10:$C$224,$C295,'TL03'!$J$10:$J$224),0),
IF('TL03'!$B$229=M$3,SUMIF('TL03'!$C$238:$C$451,$C295,'TL03'!$J$238:$J$451),0),
IF('TL04'!$B$3=M$3,SUMIF('TL04'!$C$10:$C$224,$C295,'TL04'!$J$10:$J$224),0),
IF('TL04'!$B$229=M$3,SUMIF('TL04'!$C$238:$C$451,$C295,'TL04'!$J$238:$J$451),0),
IF('TL05'!$B$3=M$3,SUMIF('TL05'!$C$10:$C$224,$C295,'TL05'!$J$10:$J$224),0),
IF('TL05'!$B$229=M$3,SUMIF('TL05'!$C$238:$C$451,$C295,'TL05'!$J$238:$J$451),0),
IF('TL06'!$B$3=M$3,SUMIF('TL06'!$C$10:$C$224,$C295,'TL06'!$J$10:$J$224),0),
IF('TL06'!$B$229=M$3,SUMIF('TL06'!$C$238:$C$451,$C295,'TL06'!$J$238:$J$451),0),
IF('TL07'!$B$3=M$3,SUMIF('TL07'!$C$10:$C$224,$C295,'TL07'!$J$10:$J$224),0),
IF('TL07'!$B$229=M$3,SUMIF('TL07'!$C$238:$C$451,$C295,'TL07'!$J$238:$J$451),0),
IF('TL08'!$B$3=M$3,SUMIF('TL08'!$C$10:$C$224,$C295,'TL08'!$J$10:$J$224),0),
IF('TL08'!$B$229=M$3,SUMIF('TL08'!$C$238:$C$451,$C295,'TL08'!$J$238:$J$451),0),
IF('TL09'!$B$3=M$3,SUMIF('TL09'!$C$10:$C$224,$C295,'TL09'!$J$10:$J$224),0),
IF('TL09'!$B$229=M$3,SUMIF('TL09'!$C$238:$C$451,$C295,'TL09'!$J$238:$J$451),0),
IF('TL10'!$B$3=M$3,SUMIF('TL10'!$C$10:$C$224,$C295,'TL10'!$J$10:$J$224),0),
IF('TL10'!$B$229=M$3,SUMIF('TL10'!$C$238:$C$451,$C295,'TL10'!$J$238:$J$451),0),
IF('TL11'!$B$3=M$3,SUMIF('TL11'!$C$10:$C$224,$C295,'TL11'!$J$10:$J$224),0),
IF('TL11'!$B$229=M$3,SUMIF('TL11'!$C$238:$C$451,$C295,'TL11'!$J$238:$J$451),0),
IF('TL12'!$B$3=M$3,SUMIF('TL12'!$C$10:$C$224,$C295,'TL12'!$J$10:$J$224),0),
IF('TL12'!$B$229=M$3,SUMIF('TL12'!$C$238:$C$451,$C295,'TL12'!$J$238:$J$451),0),
IF('TL13'!$B$3=M$3,SUMIF('TL13'!$C$10:$C$224,$C295,'TL13'!$J$10:$J$224),0),
IF('TL13'!$B$229=M$3,SUMIF('TL13'!$C$238:$C$451,$C295,'TL13'!$J$238:$J$451),0),
IF('TL14'!$B$3=M$3,SUMIF('TL14'!$C$10:$C$224,$C295,'TL14'!$J$10:$J$224),0),
IF('TL14'!$B$229=M$3,SUMIF('TL14'!$C$238:$C$451,$C295,'TL14'!$J$238:$J$451),0),
IF('TL15'!$B$3=M$3,SUMIF('TL15'!$C$10:$C$224,$C295,'TL15'!$J$10:$J$224),0),
IF('TL15'!$B$229=M$3,SUMIF('TL15'!$C$238:$C$451,$C295,'TL15'!$J$238:$J$451),0),
IF('TL16'!$B$3=M$3,SUMIF('TL16'!$C$10:$C$224,$C295,'TL16'!$J$10:$J$224),0),
IF('TL16'!$B$229=M$3,SUMIF('TL16'!$C$238:$C$451,$C295,'TL16'!$J$238:$J$451),0),
IF('TL17'!$B$3=M$3,SUMIF('TL17'!$C$10:$C$224,$C295,'TL17'!$J$10:$J$224),0),
IF('TL17'!$B$229=M$3,SUMIF('TL17'!$C$238:$C$451,$C295,'TL17'!$J$238:$J$451),0),
IF('TL18'!$B$3=M$3,SUMIF('TL18'!$C$10:$C$224,$C295,'TL18'!$J$10:$J$224),0),
IF('TL18'!$B$229=M$3,SUMIF('TL18'!$C$238:$C$451,$C295,'TL18'!$J$238:$J$451),0),
IF('TL19'!$B$3=M$3,SUMIF('TL19'!$C$10:$C$224,$C295,'TL19'!$J$10:$J$224),0),
IF('TL19'!$B$229=M$3,SUMIF('TL19'!$C$238:$C$451,$C295,'TL19'!$J$238:$J$451),0)
),0)</f>
        <v>0</v>
      </c>
      <c r="N295" s="9">
        <f>IFERROR(SUM(
IF('TL01'!$B$3=N$3,SUMIF('TL01'!$C$10:$C$224,$C295,'TL01'!$J$10:$J$224),0),
IF('TL01'!$B$229=N$3,SUMIF('TL01'!$C$238:$C$451,$C295,'TL01'!$J$238:$J$451),0),
IF('TL02'!$B$3=N$3,SUMIF('TL02'!$C$10:$C$224,$C295,'TL02'!$J$10:$J$224),0),
IF('TL02'!$B$229=N$3,SUMIF('TL02'!$C$238:$C$451,$C295,'TL02'!$J$238:$J$451),0),
IF('TL03'!$B$3=N$3,SUMIF('TL03'!$C$10:$C$224,$C295,'TL03'!$J$10:$J$224),0),
IF('TL03'!$B$229=N$3,SUMIF('TL03'!$C$238:$C$451,$C295,'TL03'!$J$238:$J$451),0),
IF('TL04'!$B$3=N$3,SUMIF('TL04'!$C$10:$C$224,$C295,'TL04'!$J$10:$J$224),0),
IF('TL04'!$B$229=N$3,SUMIF('TL04'!$C$238:$C$451,$C295,'TL04'!$J$238:$J$451),0),
IF('TL05'!$B$3=N$3,SUMIF('TL05'!$C$10:$C$224,$C295,'TL05'!$J$10:$J$224),0),
IF('TL05'!$B$229=N$3,SUMIF('TL05'!$C$238:$C$451,$C295,'TL05'!$J$238:$J$451),0),
IF('TL06'!$B$3=N$3,SUMIF('TL06'!$C$10:$C$224,$C295,'TL06'!$J$10:$J$224),0),
IF('TL06'!$B$229=N$3,SUMIF('TL06'!$C$238:$C$451,$C295,'TL06'!$J$238:$J$451),0),
IF('TL07'!$B$3=N$3,SUMIF('TL07'!$C$10:$C$224,$C295,'TL07'!$J$10:$J$224),0),
IF('TL07'!$B$229=N$3,SUMIF('TL07'!$C$238:$C$451,$C295,'TL07'!$J$238:$J$451),0),
IF('TL08'!$B$3=N$3,SUMIF('TL08'!$C$10:$C$224,$C295,'TL08'!$J$10:$J$224),0),
IF('TL08'!$B$229=N$3,SUMIF('TL08'!$C$238:$C$451,$C295,'TL08'!$J$238:$J$451),0),
IF('TL09'!$B$3=N$3,SUMIF('TL09'!$C$10:$C$224,$C295,'TL09'!$J$10:$J$224),0),
IF('TL09'!$B$229=N$3,SUMIF('TL09'!$C$238:$C$451,$C295,'TL09'!$J$238:$J$451),0),
IF('TL10'!$B$3=N$3,SUMIF('TL10'!$C$10:$C$224,$C295,'TL10'!$J$10:$J$224),0),
IF('TL10'!$B$229=N$3,SUMIF('TL10'!$C$238:$C$451,$C295,'TL10'!$J$238:$J$451),0),
IF('TL11'!$B$3=N$3,SUMIF('TL11'!$C$10:$C$224,$C295,'TL11'!$J$10:$J$224),0),
IF('TL11'!$B$229=N$3,SUMIF('TL11'!$C$238:$C$451,$C295,'TL11'!$J$238:$J$451),0),
IF('TL12'!$B$3=N$3,SUMIF('TL12'!$C$10:$C$224,$C295,'TL12'!$J$10:$J$224),0),
IF('TL12'!$B$229=N$3,SUMIF('TL12'!$C$238:$C$451,$C295,'TL12'!$J$238:$J$451),0),
IF('TL13'!$B$3=N$3,SUMIF('TL13'!$C$10:$C$224,$C295,'TL13'!$J$10:$J$224),0),
IF('TL13'!$B$229=N$3,SUMIF('TL13'!$C$238:$C$451,$C295,'TL13'!$J$238:$J$451),0),
IF('TL14'!$B$3=N$3,SUMIF('TL14'!$C$10:$C$224,$C295,'TL14'!$J$10:$J$224),0),
IF('TL14'!$B$229=N$3,SUMIF('TL14'!$C$238:$C$451,$C295,'TL14'!$J$238:$J$451),0),
IF('TL15'!$B$3=N$3,SUMIF('TL15'!$C$10:$C$224,$C295,'TL15'!$J$10:$J$224),0),
IF('TL15'!$B$229=N$3,SUMIF('TL15'!$C$238:$C$451,$C295,'TL15'!$J$238:$J$451),0),
IF('TL16'!$B$3=N$3,SUMIF('TL16'!$C$10:$C$224,$C295,'TL16'!$J$10:$J$224),0),
IF('TL16'!$B$229=N$3,SUMIF('TL16'!$C$238:$C$451,$C295,'TL16'!$J$238:$J$451),0),
IF('TL17'!$B$3=N$3,SUMIF('TL17'!$C$10:$C$224,$C295,'TL17'!$J$10:$J$224),0),
IF('TL17'!$B$229=N$3,SUMIF('TL17'!$C$238:$C$451,$C295,'TL17'!$J$238:$J$451),0),
IF('TL18'!$B$3=N$3,SUMIF('TL18'!$C$10:$C$224,$C295,'TL18'!$J$10:$J$224),0),
IF('TL18'!$B$229=N$3,SUMIF('TL18'!$C$238:$C$451,$C295,'TL18'!$J$238:$J$451),0),
IF('TL19'!$B$3=N$3,SUMIF('TL19'!$C$10:$C$224,$C295,'TL19'!$J$10:$J$224),0),
IF('TL19'!$B$229=N$3,SUMIF('TL19'!$C$238:$C$451,$C295,'TL19'!$J$238:$J$451),0)
),0)</f>
        <v>0</v>
      </c>
      <c r="O295" s="9">
        <f>IFERROR(SUM(
IF('TL01'!$B$3=O$3,SUMIF('TL01'!$C$10:$C$224,$C295,'TL01'!$J$10:$J$224),0),
IF('TL01'!$B$229=O$3,SUMIF('TL01'!$C$238:$C$451,$C295,'TL01'!$J$238:$J$451),0),
IF('TL02'!$B$3=O$3,SUMIF('TL02'!$C$10:$C$224,$C295,'TL02'!$J$10:$J$224),0),
IF('TL02'!$B$229=O$3,SUMIF('TL02'!$C$238:$C$451,$C295,'TL02'!$J$238:$J$451),0),
IF('TL03'!$B$3=O$3,SUMIF('TL03'!$C$10:$C$224,$C295,'TL03'!$J$10:$J$224),0),
IF('TL03'!$B$229=O$3,SUMIF('TL03'!$C$238:$C$451,$C295,'TL03'!$J$238:$J$451),0),
IF('TL04'!$B$3=O$3,SUMIF('TL04'!$C$10:$C$224,$C295,'TL04'!$J$10:$J$224),0),
IF('TL04'!$B$229=O$3,SUMIF('TL04'!$C$238:$C$451,$C295,'TL04'!$J$238:$J$451),0),
IF('TL05'!$B$3=O$3,SUMIF('TL05'!$C$10:$C$224,$C295,'TL05'!$J$10:$J$224),0),
IF('TL05'!$B$229=O$3,SUMIF('TL05'!$C$238:$C$451,$C295,'TL05'!$J$238:$J$451),0),
IF('TL06'!$B$3=O$3,SUMIF('TL06'!$C$10:$C$224,$C295,'TL06'!$J$10:$J$224),0),
IF('TL06'!$B$229=O$3,SUMIF('TL06'!$C$238:$C$451,$C295,'TL06'!$J$238:$J$451),0),
IF('TL07'!$B$3=O$3,SUMIF('TL07'!$C$10:$C$224,$C295,'TL07'!$J$10:$J$224),0),
IF('TL07'!$B$229=O$3,SUMIF('TL07'!$C$238:$C$451,$C295,'TL07'!$J$238:$J$451),0),
IF('TL08'!$B$3=O$3,SUMIF('TL08'!$C$10:$C$224,$C295,'TL08'!$J$10:$J$224),0),
IF('TL08'!$B$229=O$3,SUMIF('TL08'!$C$238:$C$451,$C295,'TL08'!$J$238:$J$451),0),
IF('TL09'!$B$3=O$3,SUMIF('TL09'!$C$10:$C$224,$C295,'TL09'!$J$10:$J$224),0),
IF('TL09'!$B$229=O$3,SUMIF('TL09'!$C$238:$C$451,$C295,'TL09'!$J$238:$J$451),0),
IF('TL10'!$B$3=O$3,SUMIF('TL10'!$C$10:$C$224,$C295,'TL10'!$J$10:$J$224),0),
IF('TL10'!$B$229=O$3,SUMIF('TL10'!$C$238:$C$451,$C295,'TL10'!$J$238:$J$451),0),
IF('TL11'!$B$3=O$3,SUMIF('TL11'!$C$10:$C$224,$C295,'TL11'!$J$10:$J$224),0),
IF('TL11'!$B$229=O$3,SUMIF('TL11'!$C$238:$C$451,$C295,'TL11'!$J$238:$J$451),0),
IF('TL12'!$B$3=O$3,SUMIF('TL12'!$C$10:$C$224,$C295,'TL12'!$J$10:$J$224),0),
IF('TL12'!$B$229=O$3,SUMIF('TL12'!$C$238:$C$451,$C295,'TL12'!$J$238:$J$451),0),
IF('TL13'!$B$3=O$3,SUMIF('TL13'!$C$10:$C$224,$C295,'TL13'!$J$10:$J$224),0),
IF('TL13'!$B$229=O$3,SUMIF('TL13'!$C$238:$C$451,$C295,'TL13'!$J$238:$J$451),0),
IF('TL14'!$B$3=O$3,SUMIF('TL14'!$C$10:$C$224,$C295,'TL14'!$J$10:$J$224),0),
IF('TL14'!$B$229=O$3,SUMIF('TL14'!$C$238:$C$451,$C295,'TL14'!$J$238:$J$451),0),
IF('TL15'!$B$3=O$3,SUMIF('TL15'!$C$10:$C$224,$C295,'TL15'!$J$10:$J$224),0),
IF('TL15'!$B$229=O$3,SUMIF('TL15'!$C$238:$C$451,$C295,'TL15'!$J$238:$J$451),0),
IF('TL16'!$B$3=O$3,SUMIF('TL16'!$C$10:$C$224,$C295,'TL16'!$J$10:$J$224),0),
IF('TL16'!$B$229=O$3,SUMIF('TL16'!$C$238:$C$451,$C295,'TL16'!$J$238:$J$451),0),
IF('TL17'!$B$3=O$3,SUMIF('TL17'!$C$10:$C$224,$C295,'TL17'!$J$10:$J$224),0),
IF('TL17'!$B$229=O$3,SUMIF('TL17'!$C$238:$C$451,$C295,'TL17'!$J$238:$J$451),0),
IF('TL18'!$B$3=O$3,SUMIF('TL18'!$C$10:$C$224,$C295,'TL18'!$J$10:$J$224),0),
IF('TL18'!$B$229=O$3,SUMIF('TL18'!$C$238:$C$451,$C295,'TL18'!$J$238:$J$451),0),
IF('TL19'!$B$3=O$3,SUMIF('TL19'!$C$10:$C$224,$C295,'TL19'!$J$10:$J$224),0),
IF('TL19'!$B$229=O$3,SUMIF('TL19'!$C$238:$C$451,$C295,'TL19'!$J$238:$J$451),0)
),0)</f>
        <v>0</v>
      </c>
      <c r="P295" s="9">
        <f>IFERROR(SUM(
IF('TL01'!$B$3=P$3,SUMIF('TL01'!$C$10:$C$224,$C295,'TL01'!$J$10:$J$224),0),
IF('TL01'!$B$229=P$3,SUMIF('TL01'!$C$238:$C$451,$C295,'TL01'!$J$238:$J$451),0),
IF('TL02'!$B$3=P$3,SUMIF('TL02'!$C$10:$C$224,$C295,'TL02'!$J$10:$J$224),0),
IF('TL02'!$B$229=P$3,SUMIF('TL02'!$C$238:$C$451,$C295,'TL02'!$J$238:$J$451),0),
IF('TL03'!$B$3=P$3,SUMIF('TL03'!$C$10:$C$224,$C295,'TL03'!$J$10:$J$224),0),
IF('TL03'!$B$229=P$3,SUMIF('TL03'!$C$238:$C$451,$C295,'TL03'!$J$238:$J$451),0),
IF('TL04'!$B$3=P$3,SUMIF('TL04'!$C$10:$C$224,$C295,'TL04'!$J$10:$J$224),0),
IF('TL04'!$B$229=P$3,SUMIF('TL04'!$C$238:$C$451,$C295,'TL04'!$J$238:$J$451),0),
IF('TL05'!$B$3=P$3,SUMIF('TL05'!$C$10:$C$224,$C295,'TL05'!$J$10:$J$224),0),
IF('TL05'!$B$229=P$3,SUMIF('TL05'!$C$238:$C$451,$C295,'TL05'!$J$238:$J$451),0),
IF('TL06'!$B$3=P$3,SUMIF('TL06'!$C$10:$C$224,$C295,'TL06'!$J$10:$J$224),0),
IF('TL06'!$B$229=P$3,SUMIF('TL06'!$C$238:$C$451,$C295,'TL06'!$J$238:$J$451),0),
IF('TL07'!$B$3=P$3,SUMIF('TL07'!$C$10:$C$224,$C295,'TL07'!$J$10:$J$224),0),
IF('TL07'!$B$229=P$3,SUMIF('TL07'!$C$238:$C$451,$C295,'TL07'!$J$238:$J$451),0),
IF('TL08'!$B$3=P$3,SUMIF('TL08'!$C$10:$C$224,$C295,'TL08'!$J$10:$J$224),0),
IF('TL08'!$B$229=P$3,SUMIF('TL08'!$C$238:$C$451,$C295,'TL08'!$J$238:$J$451),0),
IF('TL09'!$B$3=P$3,SUMIF('TL09'!$C$10:$C$224,$C295,'TL09'!$J$10:$J$224),0),
IF('TL09'!$B$229=P$3,SUMIF('TL09'!$C$238:$C$451,$C295,'TL09'!$J$238:$J$451),0),
IF('TL10'!$B$3=P$3,SUMIF('TL10'!$C$10:$C$224,$C295,'TL10'!$J$10:$J$224),0),
IF('TL10'!$B$229=P$3,SUMIF('TL10'!$C$238:$C$451,$C295,'TL10'!$J$238:$J$451),0),
IF('TL11'!$B$3=P$3,SUMIF('TL11'!$C$10:$C$224,$C295,'TL11'!$J$10:$J$224),0),
IF('TL11'!$B$229=P$3,SUMIF('TL11'!$C$238:$C$451,$C295,'TL11'!$J$238:$J$451),0),
IF('TL12'!$B$3=P$3,SUMIF('TL12'!$C$10:$C$224,$C295,'TL12'!$J$10:$J$224),0),
IF('TL12'!$B$229=P$3,SUMIF('TL12'!$C$238:$C$451,$C295,'TL12'!$J$238:$J$451),0),
IF('TL13'!$B$3=P$3,SUMIF('TL13'!$C$10:$C$224,$C295,'TL13'!$J$10:$J$224),0),
IF('TL13'!$B$229=P$3,SUMIF('TL13'!$C$238:$C$451,$C295,'TL13'!$J$238:$J$451),0),
IF('TL14'!$B$3=P$3,SUMIF('TL14'!$C$10:$C$224,$C295,'TL14'!$J$10:$J$224),0),
IF('TL14'!$B$229=P$3,SUMIF('TL14'!$C$238:$C$451,$C295,'TL14'!$J$238:$J$451),0),
IF('TL15'!$B$3=P$3,SUMIF('TL15'!$C$10:$C$224,$C295,'TL15'!$J$10:$J$224),0),
IF('TL15'!$B$229=P$3,SUMIF('TL15'!$C$238:$C$451,$C295,'TL15'!$J$238:$J$451),0),
IF('TL16'!$B$3=P$3,SUMIF('TL16'!$C$10:$C$224,$C295,'TL16'!$J$10:$J$224),0),
IF('TL16'!$B$229=P$3,SUMIF('TL16'!$C$238:$C$451,$C295,'TL16'!$J$238:$J$451),0),
IF('TL17'!$B$3=P$3,SUMIF('TL17'!$C$10:$C$224,$C295,'TL17'!$J$10:$J$224),0),
IF('TL17'!$B$229=P$3,SUMIF('TL17'!$C$238:$C$451,$C295,'TL17'!$J$238:$J$451),0),
IF('TL18'!$B$3=P$3,SUMIF('TL18'!$C$10:$C$224,$C295,'TL18'!$J$10:$J$224),0),
IF('TL18'!$B$229=P$3,SUMIF('TL18'!$C$238:$C$451,$C295,'TL18'!$J$238:$J$451),0),
IF('TL19'!$B$3=P$3,SUMIF('TL19'!$C$10:$C$224,$C295,'TL19'!$J$10:$J$224),0),
IF('TL19'!$B$229=P$3,SUMIF('TL19'!$C$238:$C$451,$C295,'TL19'!$J$238:$J$451),0)
),0)</f>
        <v>0</v>
      </c>
      <c r="Q295" s="9">
        <f>IFERROR(SUM(
IF('TL01'!$B$3=Q$3,SUMIF('TL01'!$C$10:$C$224,$C295,'TL01'!$J$10:$J$224),0),
IF('TL01'!$B$229=Q$3,SUMIF('TL01'!$C$238:$C$451,$C295,'TL01'!$J$238:$J$451),0),
IF('TL02'!$B$3=Q$3,SUMIF('TL02'!$C$10:$C$224,$C295,'TL02'!$J$10:$J$224),0),
IF('TL02'!$B$229=Q$3,SUMIF('TL02'!$C$238:$C$451,$C295,'TL02'!$J$238:$J$451),0),
IF('TL03'!$B$3=Q$3,SUMIF('TL03'!$C$10:$C$224,$C295,'TL03'!$J$10:$J$224),0),
IF('TL03'!$B$229=Q$3,SUMIF('TL03'!$C$238:$C$451,$C295,'TL03'!$J$238:$J$451),0),
IF('TL04'!$B$3=Q$3,SUMIF('TL04'!$C$10:$C$224,$C295,'TL04'!$J$10:$J$224),0),
IF('TL04'!$B$229=Q$3,SUMIF('TL04'!$C$238:$C$451,$C295,'TL04'!$J$238:$J$451),0),
IF('TL05'!$B$3=Q$3,SUMIF('TL05'!$C$10:$C$224,$C295,'TL05'!$J$10:$J$224),0),
IF('TL05'!$B$229=Q$3,SUMIF('TL05'!$C$238:$C$451,$C295,'TL05'!$J$238:$J$451),0),
IF('TL06'!$B$3=Q$3,SUMIF('TL06'!$C$10:$C$224,$C295,'TL06'!$J$10:$J$224),0),
IF('TL06'!$B$229=Q$3,SUMIF('TL06'!$C$238:$C$451,$C295,'TL06'!$J$238:$J$451),0),
IF('TL07'!$B$3=Q$3,SUMIF('TL07'!$C$10:$C$224,$C295,'TL07'!$J$10:$J$224),0),
IF('TL07'!$B$229=Q$3,SUMIF('TL07'!$C$238:$C$451,$C295,'TL07'!$J$238:$J$451),0),
IF('TL08'!$B$3=Q$3,SUMIF('TL08'!$C$10:$C$224,$C295,'TL08'!$J$10:$J$224),0),
IF('TL08'!$B$229=Q$3,SUMIF('TL08'!$C$238:$C$451,$C295,'TL08'!$J$238:$J$451),0),
IF('TL09'!$B$3=Q$3,SUMIF('TL09'!$C$10:$C$224,$C295,'TL09'!$J$10:$J$224),0),
IF('TL09'!$B$229=Q$3,SUMIF('TL09'!$C$238:$C$451,$C295,'TL09'!$J$238:$J$451),0),
IF('TL10'!$B$3=Q$3,SUMIF('TL10'!$C$10:$C$224,$C295,'TL10'!$J$10:$J$224),0),
IF('TL10'!$B$229=Q$3,SUMIF('TL10'!$C$238:$C$451,$C295,'TL10'!$J$238:$J$451),0),
IF('TL11'!$B$3=Q$3,SUMIF('TL11'!$C$10:$C$224,$C295,'TL11'!$J$10:$J$224),0),
IF('TL11'!$B$229=Q$3,SUMIF('TL11'!$C$238:$C$451,$C295,'TL11'!$J$238:$J$451),0),
IF('TL12'!$B$3=Q$3,SUMIF('TL12'!$C$10:$C$224,$C295,'TL12'!$J$10:$J$224),0),
IF('TL12'!$B$229=Q$3,SUMIF('TL12'!$C$238:$C$451,$C295,'TL12'!$J$238:$J$451),0),
IF('TL13'!$B$3=Q$3,SUMIF('TL13'!$C$10:$C$224,$C295,'TL13'!$J$10:$J$224),0),
IF('TL13'!$B$229=Q$3,SUMIF('TL13'!$C$238:$C$451,$C295,'TL13'!$J$238:$J$451),0),
IF('TL14'!$B$3=Q$3,SUMIF('TL14'!$C$10:$C$224,$C295,'TL14'!$J$10:$J$224),0),
IF('TL14'!$B$229=Q$3,SUMIF('TL14'!$C$238:$C$451,$C295,'TL14'!$J$238:$J$451),0),
IF('TL15'!$B$3=Q$3,SUMIF('TL15'!$C$10:$C$224,$C295,'TL15'!$J$10:$J$224),0),
IF('TL15'!$B$229=Q$3,SUMIF('TL15'!$C$238:$C$451,$C295,'TL15'!$J$238:$J$451),0),
IF('TL16'!$B$3=Q$3,SUMIF('TL16'!$C$10:$C$224,$C295,'TL16'!$J$10:$J$224),0),
IF('TL16'!$B$229=Q$3,SUMIF('TL16'!$C$238:$C$451,$C295,'TL16'!$J$238:$J$451),0),
IF('TL17'!$B$3=Q$3,SUMIF('TL17'!$C$10:$C$224,$C295,'TL17'!$J$10:$J$224),0),
IF('TL17'!$B$229=Q$3,SUMIF('TL17'!$C$238:$C$451,$C295,'TL17'!$J$238:$J$451),0),
IF('TL18'!$B$3=Q$3,SUMIF('TL18'!$C$10:$C$224,$C295,'TL18'!$J$10:$J$224),0),
IF('TL18'!$B$229=Q$3,SUMIF('TL18'!$C$238:$C$451,$C295,'TL18'!$J$238:$J$451),0),
IF('TL19'!$B$3=Q$3,SUMIF('TL19'!$C$10:$C$224,$C295,'TL19'!$J$10:$J$224),0),
IF('TL19'!$B$229=Q$3,SUMIF('TL19'!$C$238:$C$451,$C295,'TL19'!$J$238:$J$451),0)
),0)</f>
        <v>0</v>
      </c>
      <c r="R295" s="9">
        <f>IFERROR(
SUM(
SUMIF('TL01'!C:C,C295,'TL01'!J:J),
SUMIF('TL02'!C:C,C295,'TL02'!J:J),
SUMIF('TL03'!C:C,C295,'TL03'!J:J),
SUMIF('TL04'!C:C,C295,'TL04'!J:J),
SUMIF('TL05'!C:C,C295,'TL05'!J:J),
SUMIF('TL06'!C:C,C295,'TL06'!J:J),
SUMIF('TL07'!C:C,C295,'TL07'!J:J),
SUMIF('TL08'!C:C,C295,'TL08'!J:J),
SUMIF('TL09'!C:C,C295,'TL09'!J:J),
SUMIF('TL10'!C:C,C295,'TL10'!J:J),
SUMIF('TL11'!C:C,C295,'TL11'!J:J),
SUMIF('TL12'!C:C,C295,'TL12'!J:J),
SUMIF('TL13'!C:C,C295,'TL13'!J:J),
SUMIF('TL14'!C:C,C295,'TL14'!J:J),
SUMIF('TL15'!C:C,C295,'TL15'!J:J),
SUMIF('TL16'!C:C,C295,'TL16'!J:J),
SUMIF('TL17'!C:C,C295,'TL17'!J:J),
SUMIF('TL18'!C:C,C295,'TL18'!J:J),SUMIF('TL19'!C:C,C295,'TL19'!J:J))
,0)</f>
        <v>0</v>
      </c>
      <c r="S295" s="17">
        <f>IFERROR(__xludf.DUMMYFUNCTION("IFERROR(VLOOKUP(C295,
IMPORTRANGE(""1wULbzX32WdYsx-lj2U3uUNBBe2INVIRDtcK0d-Dvl90"",
""26-27!C:G""),
5,
FALSE),
"""")"),325.717)</f>
        <v>325.717</v>
      </c>
      <c r="T295" s="9"/>
      <c r="U295" s="92">
        <f t="shared" si="2"/>
        <v>0</v>
      </c>
      <c r="V295" s="93">
        <f t="shared" si="3"/>
        <v>0</v>
      </c>
    </row>
    <row r="296" ht="15.75" hidden="1" customHeight="1">
      <c r="A296" s="119" t="s">
        <v>358</v>
      </c>
      <c r="B296" s="120" t="s">
        <v>3</v>
      </c>
      <c r="C296" s="119" t="s">
        <v>1011</v>
      </c>
      <c r="D296" s="119" t="s">
        <v>1012</v>
      </c>
      <c r="E296" s="119" t="s">
        <v>1013</v>
      </c>
      <c r="F296" s="4"/>
      <c r="G296" s="90" t="str">
        <f t="shared" si="5"/>
        <v>📄 Ver bula</v>
      </c>
      <c r="H296" s="9">
        <f>IFERROR(__xludf.DUMMYFUNCTION("IFERROR(VLOOKUP(C296,
IMPORTRANGE(""1wULbzX32WdYsx-lj2U3uUNBBe2INVIRDtcK0d-Dvl90"",
""26-27!C:K""),
8,
FALSE),
"""")"),0.05)</f>
        <v>0.05</v>
      </c>
      <c r="I296" s="123"/>
      <c r="J296" s="9">
        <f>IFERROR(SUM(
IF('TL01'!$B$3=J$3,SUMIF('TL01'!$C$10:$C$224,$C296,'TL01'!$J$10:$J$224),0),
IF('TL01'!$B$229=J$3,SUMIF('TL01'!$C$238:$C$451,$C296,'TL01'!$J$238:$J$451),0),
IF('TL02'!$B$3=J$3,SUMIF('TL02'!$C$10:$C$224,$C296,'TL02'!$J$10:$J$224),0),
IF('TL02'!$B$229=J$3,SUMIF('TL02'!$C$238:$C$451,$C296,'TL02'!$J$238:$J$451),0),
IF('TL03'!$B$3=J$3,SUMIF('TL03'!$C$10:$C$224,$C296,'TL03'!$J$10:$J$224),0),
IF('TL03'!$B$229=J$3,SUMIF('TL03'!$C$238:$C$451,$C296,'TL03'!$J$238:$J$451),0),
IF('TL04'!$B$3=J$3,SUMIF('TL04'!$C$10:$C$224,$C296,'TL04'!$J$10:$J$224),0),
IF('TL04'!$B$229=J$3,SUMIF('TL04'!$C$238:$C$451,$C296,'TL04'!$J$238:$J$451),0),
IF('TL05'!$B$3=J$3,SUMIF('TL05'!$C$10:$C$224,$C296,'TL05'!$J$10:$J$224),0),
IF('TL05'!$B$229=J$3,SUMIF('TL05'!$C$238:$C$451,$C296,'TL05'!$J$238:$J$451),0),
IF('TL06'!$B$3=J$3,SUMIF('TL06'!$C$10:$C$224,$C296,'TL06'!$J$10:$J$224),0),
IF('TL06'!$B$229=J$3,SUMIF('TL06'!$C$238:$C$451,$C296,'TL06'!$J$238:$J$451),0),
IF('TL07'!$B$3=J$3,SUMIF('TL07'!$C$10:$C$224,$C296,'TL07'!$J$10:$J$224),0),
IF('TL07'!$B$229=J$3,SUMIF('TL07'!$C$238:$C$451,$C296,'TL07'!$J$238:$J$451),0),
IF('TL08'!$B$3=J$3,SUMIF('TL08'!$C$10:$C$224,$C296,'TL08'!$J$10:$J$224),0),
IF('TL08'!$B$229=J$3,SUMIF('TL08'!$C$238:$C$451,$C296,'TL08'!$J$238:$J$451),0),
IF('TL09'!$B$3=J$3,SUMIF('TL09'!$C$10:$C$224,$C296,'TL09'!$J$10:$J$224),0),
IF('TL09'!$B$229=J$3,SUMIF('TL09'!$C$238:$C$451,$C296,'TL09'!$J$238:$J$451),0),
IF('TL10'!$B$3=J$3,SUMIF('TL10'!$C$10:$C$224,$C296,'TL10'!$J$10:$J$224),0),
IF('TL10'!$B$229=J$3,SUMIF('TL10'!$C$238:$C$451,$C296,'TL10'!$J$238:$J$451),0),
IF('TL11'!$B$3=J$3,SUMIF('TL11'!$C$10:$C$224,$C296,'TL11'!$J$10:$J$224),0),
IF('TL11'!$B$229=J$3,SUMIF('TL11'!$C$238:$C$451,$C296,'TL11'!$J$238:$J$451),0),
IF('TL12'!$B$3=J$3,SUMIF('TL12'!$C$10:$C$224,$C296,'TL12'!$J$10:$J$224),0),
IF('TL12'!$B$229=J$3,SUMIF('TL12'!$C$238:$C$451,$C296,'TL12'!$J$238:$J$451),0),
IF('TL13'!$B$3=J$3,SUMIF('TL13'!$C$10:$C$224,$C296,'TL13'!$J$10:$J$224),0),
IF('TL13'!$B$229=J$3,SUMIF('TL13'!$C$238:$C$451,$C296,'TL13'!$J$238:$J$451),0),
IF('TL14'!$B$3=J$3,SUMIF('TL14'!$C$10:$C$224,$C296,'TL14'!$J$10:$J$224),0),
IF('TL14'!$B$229=J$3,SUMIF('TL14'!$C$238:$C$451,$C296,'TL14'!$J$238:$J$451),0),
IF('TL15'!$B$3=J$3,SUMIF('TL15'!$C$10:$C$224,$C296,'TL15'!$J$10:$J$224),0),
IF('TL15'!$B$229=J$3,SUMIF('TL15'!$C$238:$C$451,$C296,'TL15'!$J$238:$J$451),0),
IF('TL16'!$B$3=J$3,SUMIF('TL16'!$C$10:$C$224,$C296,'TL16'!$J$10:$J$224),0),
IF('TL16'!$B$229=J$3,SUMIF('TL16'!$C$238:$C$451,$C296,'TL16'!$J$238:$J$451),0),
IF('TL17'!$B$3=J$3,SUMIF('TL17'!$C$10:$C$224,$C296,'TL17'!$J$10:$J$224),0),
IF('TL17'!$B$229=J$3,SUMIF('TL17'!$C$238:$C$451,$C296,'TL17'!$J$238:$J$451),0),
IF('TL18'!$B$3=J$3,SUMIF('TL18'!$C$10:$C$224,$C296,'TL18'!$J$10:$J$224),0),
IF('TL18'!$B$229=J$3,SUMIF('TL18'!$C$238:$C$451,$C296,'TL18'!$J$238:$J$451),0),
IF('TL19'!$B$3=J$3,SUMIF('TL19'!$C$10:$C$224,$C296,'TL19'!$J$10:$J$224),0),
IF('TL19'!$B$229=J$3,SUMIF('TL19'!$C$238:$C$451,$C296,'TL19'!$J$238:$J$451),0)
),0)</f>
        <v>0</v>
      </c>
      <c r="K296" s="9">
        <f>IFERROR(SUM(
IF('TL01'!$B$3=K$3,SUMIF('TL01'!$C$10:$C$224,$C296,'TL01'!$J$10:$J$224),0),
IF('TL01'!$B$229=K$3,SUMIF('TL01'!$C$238:$C$451,$C296,'TL01'!$J$238:$J$451),0),
IF('TL02'!$B$3=K$3,SUMIF('TL02'!$C$10:$C$224,$C296,'TL02'!$J$10:$J$224),0),
IF('TL02'!$B$229=K$3,SUMIF('TL02'!$C$238:$C$451,$C296,'TL02'!$J$238:$J$451),0),
IF('TL03'!$B$3=K$3,SUMIF('TL03'!$C$10:$C$224,$C296,'TL03'!$J$10:$J$224),0),
IF('TL03'!$B$229=K$3,SUMIF('TL03'!$C$238:$C$451,$C296,'TL03'!$J$238:$J$451),0),
IF('TL04'!$B$3=K$3,SUMIF('TL04'!$C$10:$C$224,$C296,'TL04'!$J$10:$J$224),0),
IF('TL04'!$B$229=K$3,SUMIF('TL04'!$C$238:$C$451,$C296,'TL04'!$J$238:$J$451),0),
IF('TL05'!$B$3=K$3,SUMIF('TL05'!$C$10:$C$224,$C296,'TL05'!$J$10:$J$224),0),
IF('TL05'!$B$229=K$3,SUMIF('TL05'!$C$238:$C$451,$C296,'TL05'!$J$238:$J$451),0),
IF('TL06'!$B$3=K$3,SUMIF('TL06'!$C$10:$C$224,$C296,'TL06'!$J$10:$J$224),0),
IF('TL06'!$B$229=K$3,SUMIF('TL06'!$C$238:$C$451,$C296,'TL06'!$J$238:$J$451),0),
IF('TL07'!$B$3=K$3,SUMIF('TL07'!$C$10:$C$224,$C296,'TL07'!$J$10:$J$224),0),
IF('TL07'!$B$229=K$3,SUMIF('TL07'!$C$238:$C$451,$C296,'TL07'!$J$238:$J$451),0),
IF('TL08'!$B$3=K$3,SUMIF('TL08'!$C$10:$C$224,$C296,'TL08'!$J$10:$J$224),0),
IF('TL08'!$B$229=K$3,SUMIF('TL08'!$C$238:$C$451,$C296,'TL08'!$J$238:$J$451),0),
IF('TL09'!$B$3=K$3,SUMIF('TL09'!$C$10:$C$224,$C296,'TL09'!$J$10:$J$224),0),
IF('TL09'!$B$229=K$3,SUMIF('TL09'!$C$238:$C$451,$C296,'TL09'!$J$238:$J$451),0),
IF('TL10'!$B$3=K$3,SUMIF('TL10'!$C$10:$C$224,$C296,'TL10'!$J$10:$J$224),0),
IF('TL10'!$B$229=K$3,SUMIF('TL10'!$C$238:$C$451,$C296,'TL10'!$J$238:$J$451),0),
IF('TL11'!$B$3=K$3,SUMIF('TL11'!$C$10:$C$224,$C296,'TL11'!$J$10:$J$224),0),
IF('TL11'!$B$229=K$3,SUMIF('TL11'!$C$238:$C$451,$C296,'TL11'!$J$238:$J$451),0),
IF('TL12'!$B$3=K$3,SUMIF('TL12'!$C$10:$C$224,$C296,'TL12'!$J$10:$J$224),0),
IF('TL12'!$B$229=K$3,SUMIF('TL12'!$C$238:$C$451,$C296,'TL12'!$J$238:$J$451),0),
IF('TL13'!$B$3=K$3,SUMIF('TL13'!$C$10:$C$224,$C296,'TL13'!$J$10:$J$224),0),
IF('TL13'!$B$229=K$3,SUMIF('TL13'!$C$238:$C$451,$C296,'TL13'!$J$238:$J$451),0),
IF('TL14'!$B$3=K$3,SUMIF('TL14'!$C$10:$C$224,$C296,'TL14'!$J$10:$J$224),0),
IF('TL14'!$B$229=K$3,SUMIF('TL14'!$C$238:$C$451,$C296,'TL14'!$J$238:$J$451),0),
IF('TL15'!$B$3=K$3,SUMIF('TL15'!$C$10:$C$224,$C296,'TL15'!$J$10:$J$224),0),
IF('TL15'!$B$229=K$3,SUMIF('TL15'!$C$238:$C$451,$C296,'TL15'!$J$238:$J$451),0),
IF('TL16'!$B$3=K$3,SUMIF('TL16'!$C$10:$C$224,$C296,'TL16'!$J$10:$J$224),0),
IF('TL16'!$B$229=K$3,SUMIF('TL16'!$C$238:$C$451,$C296,'TL16'!$J$238:$J$451),0),
IF('TL17'!$B$3=K$3,SUMIF('TL17'!$C$10:$C$224,$C296,'TL17'!$J$10:$J$224),0),
IF('TL17'!$B$229=K$3,SUMIF('TL17'!$C$238:$C$451,$C296,'TL17'!$J$238:$J$451),0),
IF('TL18'!$B$3=K$3,SUMIF('TL18'!$C$10:$C$224,$C296,'TL18'!$J$10:$J$224),0),
IF('TL18'!$B$229=K$3,SUMIF('TL18'!$C$238:$C$451,$C296,'TL18'!$J$238:$J$451),0),
IF('TL19'!$B$3=K$3,SUMIF('TL19'!$C$10:$C$224,$C296,'TL19'!$J$10:$J$224),0),
IF('TL19'!$B$229=K$3,SUMIF('TL19'!$C$238:$C$451,$C296,'TL19'!$J$238:$J$451),0)
),0)</f>
        <v>15</v>
      </c>
      <c r="L296" s="9">
        <f>IFERROR(SUM(
IF('TL01'!$B$3=L$3,SUMIF('TL01'!$C$10:$C$224,$C296,'TL01'!$J$10:$J$224),0),
IF('TL01'!$B$229=L$3,SUMIF('TL01'!$C$238:$C$451,$C296,'TL01'!$J$238:$J$451),0),
IF('TL02'!$B$3=L$3,SUMIF('TL02'!$C$10:$C$224,$C296,'TL02'!$J$10:$J$224),0),
IF('TL02'!$B$229=L$3,SUMIF('TL02'!$C$238:$C$451,$C296,'TL02'!$J$238:$J$451),0),
IF('TL03'!$B$3=L$3,SUMIF('TL03'!$C$10:$C$224,$C296,'TL03'!$J$10:$J$224),0),
IF('TL03'!$B$229=L$3,SUMIF('TL03'!$C$238:$C$451,$C296,'TL03'!$J$238:$J$451),0),
IF('TL04'!$B$3=L$3,SUMIF('TL04'!$C$10:$C$224,$C296,'TL04'!$J$10:$J$224),0),
IF('TL04'!$B$229=L$3,SUMIF('TL04'!$C$238:$C$451,$C296,'TL04'!$J$238:$J$451),0),
IF('TL05'!$B$3=L$3,SUMIF('TL05'!$C$10:$C$224,$C296,'TL05'!$J$10:$J$224),0),
IF('TL05'!$B$229=L$3,SUMIF('TL05'!$C$238:$C$451,$C296,'TL05'!$J$238:$J$451),0),
IF('TL06'!$B$3=L$3,SUMIF('TL06'!$C$10:$C$224,$C296,'TL06'!$J$10:$J$224),0),
IF('TL06'!$B$229=L$3,SUMIF('TL06'!$C$238:$C$451,$C296,'TL06'!$J$238:$J$451),0),
IF('TL07'!$B$3=L$3,SUMIF('TL07'!$C$10:$C$224,$C296,'TL07'!$J$10:$J$224),0),
IF('TL07'!$B$229=L$3,SUMIF('TL07'!$C$238:$C$451,$C296,'TL07'!$J$238:$J$451),0),
IF('TL08'!$B$3=L$3,SUMIF('TL08'!$C$10:$C$224,$C296,'TL08'!$J$10:$J$224),0),
IF('TL08'!$B$229=L$3,SUMIF('TL08'!$C$238:$C$451,$C296,'TL08'!$J$238:$J$451),0),
IF('TL09'!$B$3=L$3,SUMIF('TL09'!$C$10:$C$224,$C296,'TL09'!$J$10:$J$224),0),
IF('TL09'!$B$229=L$3,SUMIF('TL09'!$C$238:$C$451,$C296,'TL09'!$J$238:$J$451),0),
IF('TL10'!$B$3=L$3,SUMIF('TL10'!$C$10:$C$224,$C296,'TL10'!$J$10:$J$224),0),
IF('TL10'!$B$229=L$3,SUMIF('TL10'!$C$238:$C$451,$C296,'TL10'!$J$238:$J$451),0),
IF('TL11'!$B$3=L$3,SUMIF('TL11'!$C$10:$C$224,$C296,'TL11'!$J$10:$J$224),0),
IF('TL11'!$B$229=L$3,SUMIF('TL11'!$C$238:$C$451,$C296,'TL11'!$J$238:$J$451),0),
IF('TL12'!$B$3=L$3,SUMIF('TL12'!$C$10:$C$224,$C296,'TL12'!$J$10:$J$224),0),
IF('TL12'!$B$229=L$3,SUMIF('TL12'!$C$238:$C$451,$C296,'TL12'!$J$238:$J$451),0),
IF('TL13'!$B$3=L$3,SUMIF('TL13'!$C$10:$C$224,$C296,'TL13'!$J$10:$J$224),0),
IF('TL13'!$B$229=L$3,SUMIF('TL13'!$C$238:$C$451,$C296,'TL13'!$J$238:$J$451),0),
IF('TL14'!$B$3=L$3,SUMIF('TL14'!$C$10:$C$224,$C296,'TL14'!$J$10:$J$224),0),
IF('TL14'!$B$229=L$3,SUMIF('TL14'!$C$238:$C$451,$C296,'TL14'!$J$238:$J$451),0),
IF('TL15'!$B$3=L$3,SUMIF('TL15'!$C$10:$C$224,$C296,'TL15'!$J$10:$J$224),0),
IF('TL15'!$B$229=L$3,SUMIF('TL15'!$C$238:$C$451,$C296,'TL15'!$J$238:$J$451),0),
IF('TL16'!$B$3=L$3,SUMIF('TL16'!$C$10:$C$224,$C296,'TL16'!$J$10:$J$224),0),
IF('TL16'!$B$229=L$3,SUMIF('TL16'!$C$238:$C$451,$C296,'TL16'!$J$238:$J$451),0),
IF('TL17'!$B$3=L$3,SUMIF('TL17'!$C$10:$C$224,$C296,'TL17'!$J$10:$J$224),0),
IF('TL17'!$B$229=L$3,SUMIF('TL17'!$C$238:$C$451,$C296,'TL17'!$J$238:$J$451),0),
IF('TL18'!$B$3=L$3,SUMIF('TL18'!$C$10:$C$224,$C296,'TL18'!$J$10:$J$224),0),
IF('TL18'!$B$229=L$3,SUMIF('TL18'!$C$238:$C$451,$C296,'TL18'!$J$238:$J$451),0),
IF('TL19'!$B$3=L$3,SUMIF('TL19'!$C$10:$C$224,$C296,'TL19'!$J$10:$J$224),0),
IF('TL19'!$B$229=L$3,SUMIF('TL19'!$C$238:$C$451,$C296,'TL19'!$J$238:$J$451),0)
),0)</f>
        <v>11</v>
      </c>
      <c r="M296" s="9">
        <f>IFERROR(SUM(
IF('TL01'!$B$3=M$3,SUMIF('TL01'!$C$10:$C$224,$C296,'TL01'!$J$10:$J$224),0),
IF('TL01'!$B$229=M$3,SUMIF('TL01'!$C$238:$C$451,$C296,'TL01'!$J$238:$J$451),0),
IF('TL02'!$B$3=M$3,SUMIF('TL02'!$C$10:$C$224,$C296,'TL02'!$J$10:$J$224),0),
IF('TL02'!$B$229=M$3,SUMIF('TL02'!$C$238:$C$451,$C296,'TL02'!$J$238:$J$451),0),
IF('TL03'!$B$3=M$3,SUMIF('TL03'!$C$10:$C$224,$C296,'TL03'!$J$10:$J$224),0),
IF('TL03'!$B$229=M$3,SUMIF('TL03'!$C$238:$C$451,$C296,'TL03'!$J$238:$J$451),0),
IF('TL04'!$B$3=M$3,SUMIF('TL04'!$C$10:$C$224,$C296,'TL04'!$J$10:$J$224),0),
IF('TL04'!$B$229=M$3,SUMIF('TL04'!$C$238:$C$451,$C296,'TL04'!$J$238:$J$451),0),
IF('TL05'!$B$3=M$3,SUMIF('TL05'!$C$10:$C$224,$C296,'TL05'!$J$10:$J$224),0),
IF('TL05'!$B$229=M$3,SUMIF('TL05'!$C$238:$C$451,$C296,'TL05'!$J$238:$J$451),0),
IF('TL06'!$B$3=M$3,SUMIF('TL06'!$C$10:$C$224,$C296,'TL06'!$J$10:$J$224),0),
IF('TL06'!$B$229=M$3,SUMIF('TL06'!$C$238:$C$451,$C296,'TL06'!$J$238:$J$451),0),
IF('TL07'!$B$3=M$3,SUMIF('TL07'!$C$10:$C$224,$C296,'TL07'!$J$10:$J$224),0),
IF('TL07'!$B$229=M$3,SUMIF('TL07'!$C$238:$C$451,$C296,'TL07'!$J$238:$J$451),0),
IF('TL08'!$B$3=M$3,SUMIF('TL08'!$C$10:$C$224,$C296,'TL08'!$J$10:$J$224),0),
IF('TL08'!$B$229=M$3,SUMIF('TL08'!$C$238:$C$451,$C296,'TL08'!$J$238:$J$451),0),
IF('TL09'!$B$3=M$3,SUMIF('TL09'!$C$10:$C$224,$C296,'TL09'!$J$10:$J$224),0),
IF('TL09'!$B$229=M$3,SUMIF('TL09'!$C$238:$C$451,$C296,'TL09'!$J$238:$J$451),0),
IF('TL10'!$B$3=M$3,SUMIF('TL10'!$C$10:$C$224,$C296,'TL10'!$J$10:$J$224),0),
IF('TL10'!$B$229=M$3,SUMIF('TL10'!$C$238:$C$451,$C296,'TL10'!$J$238:$J$451),0),
IF('TL11'!$B$3=M$3,SUMIF('TL11'!$C$10:$C$224,$C296,'TL11'!$J$10:$J$224),0),
IF('TL11'!$B$229=M$3,SUMIF('TL11'!$C$238:$C$451,$C296,'TL11'!$J$238:$J$451),0),
IF('TL12'!$B$3=M$3,SUMIF('TL12'!$C$10:$C$224,$C296,'TL12'!$J$10:$J$224),0),
IF('TL12'!$B$229=M$3,SUMIF('TL12'!$C$238:$C$451,$C296,'TL12'!$J$238:$J$451),0),
IF('TL13'!$B$3=M$3,SUMIF('TL13'!$C$10:$C$224,$C296,'TL13'!$J$10:$J$224),0),
IF('TL13'!$B$229=M$3,SUMIF('TL13'!$C$238:$C$451,$C296,'TL13'!$J$238:$J$451),0),
IF('TL14'!$B$3=M$3,SUMIF('TL14'!$C$10:$C$224,$C296,'TL14'!$J$10:$J$224),0),
IF('TL14'!$B$229=M$3,SUMIF('TL14'!$C$238:$C$451,$C296,'TL14'!$J$238:$J$451),0),
IF('TL15'!$B$3=M$3,SUMIF('TL15'!$C$10:$C$224,$C296,'TL15'!$J$10:$J$224),0),
IF('TL15'!$B$229=M$3,SUMIF('TL15'!$C$238:$C$451,$C296,'TL15'!$J$238:$J$451),0),
IF('TL16'!$B$3=M$3,SUMIF('TL16'!$C$10:$C$224,$C296,'TL16'!$J$10:$J$224),0),
IF('TL16'!$B$229=M$3,SUMIF('TL16'!$C$238:$C$451,$C296,'TL16'!$J$238:$J$451),0),
IF('TL17'!$B$3=M$3,SUMIF('TL17'!$C$10:$C$224,$C296,'TL17'!$J$10:$J$224),0),
IF('TL17'!$B$229=M$3,SUMIF('TL17'!$C$238:$C$451,$C296,'TL17'!$J$238:$J$451),0),
IF('TL18'!$B$3=M$3,SUMIF('TL18'!$C$10:$C$224,$C296,'TL18'!$J$10:$J$224),0),
IF('TL18'!$B$229=M$3,SUMIF('TL18'!$C$238:$C$451,$C296,'TL18'!$J$238:$J$451),0),
IF('TL19'!$B$3=M$3,SUMIF('TL19'!$C$10:$C$224,$C296,'TL19'!$J$10:$J$224),0),
IF('TL19'!$B$229=M$3,SUMIF('TL19'!$C$238:$C$451,$C296,'TL19'!$J$238:$J$451),0)
),0)</f>
        <v>0</v>
      </c>
      <c r="N296" s="9">
        <f>IFERROR(SUM(
IF('TL01'!$B$3=N$3,SUMIF('TL01'!$C$10:$C$224,$C296,'TL01'!$J$10:$J$224),0),
IF('TL01'!$B$229=N$3,SUMIF('TL01'!$C$238:$C$451,$C296,'TL01'!$J$238:$J$451),0),
IF('TL02'!$B$3=N$3,SUMIF('TL02'!$C$10:$C$224,$C296,'TL02'!$J$10:$J$224),0),
IF('TL02'!$B$229=N$3,SUMIF('TL02'!$C$238:$C$451,$C296,'TL02'!$J$238:$J$451),0),
IF('TL03'!$B$3=N$3,SUMIF('TL03'!$C$10:$C$224,$C296,'TL03'!$J$10:$J$224),0),
IF('TL03'!$B$229=N$3,SUMIF('TL03'!$C$238:$C$451,$C296,'TL03'!$J$238:$J$451),0),
IF('TL04'!$B$3=N$3,SUMIF('TL04'!$C$10:$C$224,$C296,'TL04'!$J$10:$J$224),0),
IF('TL04'!$B$229=N$3,SUMIF('TL04'!$C$238:$C$451,$C296,'TL04'!$J$238:$J$451),0),
IF('TL05'!$B$3=N$3,SUMIF('TL05'!$C$10:$C$224,$C296,'TL05'!$J$10:$J$224),0),
IF('TL05'!$B$229=N$3,SUMIF('TL05'!$C$238:$C$451,$C296,'TL05'!$J$238:$J$451),0),
IF('TL06'!$B$3=N$3,SUMIF('TL06'!$C$10:$C$224,$C296,'TL06'!$J$10:$J$224),0),
IF('TL06'!$B$229=N$3,SUMIF('TL06'!$C$238:$C$451,$C296,'TL06'!$J$238:$J$451),0),
IF('TL07'!$B$3=N$3,SUMIF('TL07'!$C$10:$C$224,$C296,'TL07'!$J$10:$J$224),0),
IF('TL07'!$B$229=N$3,SUMIF('TL07'!$C$238:$C$451,$C296,'TL07'!$J$238:$J$451),0),
IF('TL08'!$B$3=N$3,SUMIF('TL08'!$C$10:$C$224,$C296,'TL08'!$J$10:$J$224),0),
IF('TL08'!$B$229=N$3,SUMIF('TL08'!$C$238:$C$451,$C296,'TL08'!$J$238:$J$451),0),
IF('TL09'!$B$3=N$3,SUMIF('TL09'!$C$10:$C$224,$C296,'TL09'!$J$10:$J$224),0),
IF('TL09'!$B$229=N$3,SUMIF('TL09'!$C$238:$C$451,$C296,'TL09'!$J$238:$J$451),0),
IF('TL10'!$B$3=N$3,SUMIF('TL10'!$C$10:$C$224,$C296,'TL10'!$J$10:$J$224),0),
IF('TL10'!$B$229=N$3,SUMIF('TL10'!$C$238:$C$451,$C296,'TL10'!$J$238:$J$451),0),
IF('TL11'!$B$3=N$3,SUMIF('TL11'!$C$10:$C$224,$C296,'TL11'!$J$10:$J$224),0),
IF('TL11'!$B$229=N$3,SUMIF('TL11'!$C$238:$C$451,$C296,'TL11'!$J$238:$J$451),0),
IF('TL12'!$B$3=N$3,SUMIF('TL12'!$C$10:$C$224,$C296,'TL12'!$J$10:$J$224),0),
IF('TL12'!$B$229=N$3,SUMIF('TL12'!$C$238:$C$451,$C296,'TL12'!$J$238:$J$451),0),
IF('TL13'!$B$3=N$3,SUMIF('TL13'!$C$10:$C$224,$C296,'TL13'!$J$10:$J$224),0),
IF('TL13'!$B$229=N$3,SUMIF('TL13'!$C$238:$C$451,$C296,'TL13'!$J$238:$J$451),0),
IF('TL14'!$B$3=N$3,SUMIF('TL14'!$C$10:$C$224,$C296,'TL14'!$J$10:$J$224),0),
IF('TL14'!$B$229=N$3,SUMIF('TL14'!$C$238:$C$451,$C296,'TL14'!$J$238:$J$451),0),
IF('TL15'!$B$3=N$3,SUMIF('TL15'!$C$10:$C$224,$C296,'TL15'!$J$10:$J$224),0),
IF('TL15'!$B$229=N$3,SUMIF('TL15'!$C$238:$C$451,$C296,'TL15'!$J$238:$J$451),0),
IF('TL16'!$B$3=N$3,SUMIF('TL16'!$C$10:$C$224,$C296,'TL16'!$J$10:$J$224),0),
IF('TL16'!$B$229=N$3,SUMIF('TL16'!$C$238:$C$451,$C296,'TL16'!$J$238:$J$451),0),
IF('TL17'!$B$3=N$3,SUMIF('TL17'!$C$10:$C$224,$C296,'TL17'!$J$10:$J$224),0),
IF('TL17'!$B$229=N$3,SUMIF('TL17'!$C$238:$C$451,$C296,'TL17'!$J$238:$J$451),0),
IF('TL18'!$B$3=N$3,SUMIF('TL18'!$C$10:$C$224,$C296,'TL18'!$J$10:$J$224),0),
IF('TL18'!$B$229=N$3,SUMIF('TL18'!$C$238:$C$451,$C296,'TL18'!$J$238:$J$451),0),
IF('TL19'!$B$3=N$3,SUMIF('TL19'!$C$10:$C$224,$C296,'TL19'!$J$10:$J$224),0),
IF('TL19'!$B$229=N$3,SUMIF('TL19'!$C$238:$C$451,$C296,'TL19'!$J$238:$J$451),0)
),0)</f>
        <v>18.8</v>
      </c>
      <c r="O296" s="9">
        <f>IFERROR(SUM(
IF('TL01'!$B$3=O$3,SUMIF('TL01'!$C$10:$C$224,$C296,'TL01'!$J$10:$J$224),0),
IF('TL01'!$B$229=O$3,SUMIF('TL01'!$C$238:$C$451,$C296,'TL01'!$J$238:$J$451),0),
IF('TL02'!$B$3=O$3,SUMIF('TL02'!$C$10:$C$224,$C296,'TL02'!$J$10:$J$224),0),
IF('TL02'!$B$229=O$3,SUMIF('TL02'!$C$238:$C$451,$C296,'TL02'!$J$238:$J$451),0),
IF('TL03'!$B$3=O$3,SUMIF('TL03'!$C$10:$C$224,$C296,'TL03'!$J$10:$J$224),0),
IF('TL03'!$B$229=O$3,SUMIF('TL03'!$C$238:$C$451,$C296,'TL03'!$J$238:$J$451),0),
IF('TL04'!$B$3=O$3,SUMIF('TL04'!$C$10:$C$224,$C296,'TL04'!$J$10:$J$224),0),
IF('TL04'!$B$229=O$3,SUMIF('TL04'!$C$238:$C$451,$C296,'TL04'!$J$238:$J$451),0),
IF('TL05'!$B$3=O$3,SUMIF('TL05'!$C$10:$C$224,$C296,'TL05'!$J$10:$J$224),0),
IF('TL05'!$B$229=O$3,SUMIF('TL05'!$C$238:$C$451,$C296,'TL05'!$J$238:$J$451),0),
IF('TL06'!$B$3=O$3,SUMIF('TL06'!$C$10:$C$224,$C296,'TL06'!$J$10:$J$224),0),
IF('TL06'!$B$229=O$3,SUMIF('TL06'!$C$238:$C$451,$C296,'TL06'!$J$238:$J$451),0),
IF('TL07'!$B$3=O$3,SUMIF('TL07'!$C$10:$C$224,$C296,'TL07'!$J$10:$J$224),0),
IF('TL07'!$B$229=O$3,SUMIF('TL07'!$C$238:$C$451,$C296,'TL07'!$J$238:$J$451),0),
IF('TL08'!$B$3=O$3,SUMIF('TL08'!$C$10:$C$224,$C296,'TL08'!$J$10:$J$224),0),
IF('TL08'!$B$229=O$3,SUMIF('TL08'!$C$238:$C$451,$C296,'TL08'!$J$238:$J$451),0),
IF('TL09'!$B$3=O$3,SUMIF('TL09'!$C$10:$C$224,$C296,'TL09'!$J$10:$J$224),0),
IF('TL09'!$B$229=O$3,SUMIF('TL09'!$C$238:$C$451,$C296,'TL09'!$J$238:$J$451),0),
IF('TL10'!$B$3=O$3,SUMIF('TL10'!$C$10:$C$224,$C296,'TL10'!$J$10:$J$224),0),
IF('TL10'!$B$229=O$3,SUMIF('TL10'!$C$238:$C$451,$C296,'TL10'!$J$238:$J$451),0),
IF('TL11'!$B$3=O$3,SUMIF('TL11'!$C$10:$C$224,$C296,'TL11'!$J$10:$J$224),0),
IF('TL11'!$B$229=O$3,SUMIF('TL11'!$C$238:$C$451,$C296,'TL11'!$J$238:$J$451),0),
IF('TL12'!$B$3=O$3,SUMIF('TL12'!$C$10:$C$224,$C296,'TL12'!$J$10:$J$224),0),
IF('TL12'!$B$229=O$3,SUMIF('TL12'!$C$238:$C$451,$C296,'TL12'!$J$238:$J$451),0),
IF('TL13'!$B$3=O$3,SUMIF('TL13'!$C$10:$C$224,$C296,'TL13'!$J$10:$J$224),0),
IF('TL13'!$B$229=O$3,SUMIF('TL13'!$C$238:$C$451,$C296,'TL13'!$J$238:$J$451),0),
IF('TL14'!$B$3=O$3,SUMIF('TL14'!$C$10:$C$224,$C296,'TL14'!$J$10:$J$224),0),
IF('TL14'!$B$229=O$3,SUMIF('TL14'!$C$238:$C$451,$C296,'TL14'!$J$238:$J$451),0),
IF('TL15'!$B$3=O$3,SUMIF('TL15'!$C$10:$C$224,$C296,'TL15'!$J$10:$J$224),0),
IF('TL15'!$B$229=O$3,SUMIF('TL15'!$C$238:$C$451,$C296,'TL15'!$J$238:$J$451),0),
IF('TL16'!$B$3=O$3,SUMIF('TL16'!$C$10:$C$224,$C296,'TL16'!$J$10:$J$224),0),
IF('TL16'!$B$229=O$3,SUMIF('TL16'!$C$238:$C$451,$C296,'TL16'!$J$238:$J$451),0),
IF('TL17'!$B$3=O$3,SUMIF('TL17'!$C$10:$C$224,$C296,'TL17'!$J$10:$J$224),0),
IF('TL17'!$B$229=O$3,SUMIF('TL17'!$C$238:$C$451,$C296,'TL17'!$J$238:$J$451),0),
IF('TL18'!$B$3=O$3,SUMIF('TL18'!$C$10:$C$224,$C296,'TL18'!$J$10:$J$224),0),
IF('TL18'!$B$229=O$3,SUMIF('TL18'!$C$238:$C$451,$C296,'TL18'!$J$238:$J$451),0),
IF('TL19'!$B$3=O$3,SUMIF('TL19'!$C$10:$C$224,$C296,'TL19'!$J$10:$J$224),0),
IF('TL19'!$B$229=O$3,SUMIF('TL19'!$C$238:$C$451,$C296,'TL19'!$J$238:$J$451),0)
),0)</f>
        <v>0</v>
      </c>
      <c r="P296" s="9">
        <f>IFERROR(SUM(
IF('TL01'!$B$3=P$3,SUMIF('TL01'!$C$10:$C$224,$C296,'TL01'!$J$10:$J$224),0),
IF('TL01'!$B$229=P$3,SUMIF('TL01'!$C$238:$C$451,$C296,'TL01'!$J$238:$J$451),0),
IF('TL02'!$B$3=P$3,SUMIF('TL02'!$C$10:$C$224,$C296,'TL02'!$J$10:$J$224),0),
IF('TL02'!$B$229=P$3,SUMIF('TL02'!$C$238:$C$451,$C296,'TL02'!$J$238:$J$451),0),
IF('TL03'!$B$3=P$3,SUMIF('TL03'!$C$10:$C$224,$C296,'TL03'!$J$10:$J$224),0),
IF('TL03'!$B$229=P$3,SUMIF('TL03'!$C$238:$C$451,$C296,'TL03'!$J$238:$J$451),0),
IF('TL04'!$B$3=P$3,SUMIF('TL04'!$C$10:$C$224,$C296,'TL04'!$J$10:$J$224),0),
IF('TL04'!$B$229=P$3,SUMIF('TL04'!$C$238:$C$451,$C296,'TL04'!$J$238:$J$451),0),
IF('TL05'!$B$3=P$3,SUMIF('TL05'!$C$10:$C$224,$C296,'TL05'!$J$10:$J$224),0),
IF('TL05'!$B$229=P$3,SUMIF('TL05'!$C$238:$C$451,$C296,'TL05'!$J$238:$J$451),0),
IF('TL06'!$B$3=P$3,SUMIF('TL06'!$C$10:$C$224,$C296,'TL06'!$J$10:$J$224),0),
IF('TL06'!$B$229=P$3,SUMIF('TL06'!$C$238:$C$451,$C296,'TL06'!$J$238:$J$451),0),
IF('TL07'!$B$3=P$3,SUMIF('TL07'!$C$10:$C$224,$C296,'TL07'!$J$10:$J$224),0),
IF('TL07'!$B$229=P$3,SUMIF('TL07'!$C$238:$C$451,$C296,'TL07'!$J$238:$J$451),0),
IF('TL08'!$B$3=P$3,SUMIF('TL08'!$C$10:$C$224,$C296,'TL08'!$J$10:$J$224),0),
IF('TL08'!$B$229=P$3,SUMIF('TL08'!$C$238:$C$451,$C296,'TL08'!$J$238:$J$451),0),
IF('TL09'!$B$3=P$3,SUMIF('TL09'!$C$10:$C$224,$C296,'TL09'!$J$10:$J$224),0),
IF('TL09'!$B$229=P$3,SUMIF('TL09'!$C$238:$C$451,$C296,'TL09'!$J$238:$J$451),0),
IF('TL10'!$B$3=P$3,SUMIF('TL10'!$C$10:$C$224,$C296,'TL10'!$J$10:$J$224),0),
IF('TL10'!$B$229=P$3,SUMIF('TL10'!$C$238:$C$451,$C296,'TL10'!$J$238:$J$451),0),
IF('TL11'!$B$3=P$3,SUMIF('TL11'!$C$10:$C$224,$C296,'TL11'!$J$10:$J$224),0),
IF('TL11'!$B$229=P$3,SUMIF('TL11'!$C$238:$C$451,$C296,'TL11'!$J$238:$J$451),0),
IF('TL12'!$B$3=P$3,SUMIF('TL12'!$C$10:$C$224,$C296,'TL12'!$J$10:$J$224),0),
IF('TL12'!$B$229=P$3,SUMIF('TL12'!$C$238:$C$451,$C296,'TL12'!$J$238:$J$451),0),
IF('TL13'!$B$3=P$3,SUMIF('TL13'!$C$10:$C$224,$C296,'TL13'!$J$10:$J$224),0),
IF('TL13'!$B$229=P$3,SUMIF('TL13'!$C$238:$C$451,$C296,'TL13'!$J$238:$J$451),0),
IF('TL14'!$B$3=P$3,SUMIF('TL14'!$C$10:$C$224,$C296,'TL14'!$J$10:$J$224),0),
IF('TL14'!$B$229=P$3,SUMIF('TL14'!$C$238:$C$451,$C296,'TL14'!$J$238:$J$451),0),
IF('TL15'!$B$3=P$3,SUMIF('TL15'!$C$10:$C$224,$C296,'TL15'!$J$10:$J$224),0),
IF('TL15'!$B$229=P$3,SUMIF('TL15'!$C$238:$C$451,$C296,'TL15'!$J$238:$J$451),0),
IF('TL16'!$B$3=P$3,SUMIF('TL16'!$C$10:$C$224,$C296,'TL16'!$J$10:$J$224),0),
IF('TL16'!$B$229=P$3,SUMIF('TL16'!$C$238:$C$451,$C296,'TL16'!$J$238:$J$451),0),
IF('TL17'!$B$3=P$3,SUMIF('TL17'!$C$10:$C$224,$C296,'TL17'!$J$10:$J$224),0),
IF('TL17'!$B$229=P$3,SUMIF('TL17'!$C$238:$C$451,$C296,'TL17'!$J$238:$J$451),0),
IF('TL18'!$B$3=P$3,SUMIF('TL18'!$C$10:$C$224,$C296,'TL18'!$J$10:$J$224),0),
IF('TL18'!$B$229=P$3,SUMIF('TL18'!$C$238:$C$451,$C296,'TL18'!$J$238:$J$451),0),
IF('TL19'!$B$3=P$3,SUMIF('TL19'!$C$10:$C$224,$C296,'TL19'!$J$10:$J$224),0),
IF('TL19'!$B$229=P$3,SUMIF('TL19'!$C$238:$C$451,$C296,'TL19'!$J$238:$J$451),0)
),0)</f>
        <v>60.9</v>
      </c>
      <c r="Q296" s="9">
        <f>IFERROR(SUM(
IF('TL01'!$B$3=Q$3,SUMIF('TL01'!$C$10:$C$224,$C296,'TL01'!$J$10:$J$224),0),
IF('TL01'!$B$229=Q$3,SUMIF('TL01'!$C$238:$C$451,$C296,'TL01'!$J$238:$J$451),0),
IF('TL02'!$B$3=Q$3,SUMIF('TL02'!$C$10:$C$224,$C296,'TL02'!$J$10:$J$224),0),
IF('TL02'!$B$229=Q$3,SUMIF('TL02'!$C$238:$C$451,$C296,'TL02'!$J$238:$J$451),0),
IF('TL03'!$B$3=Q$3,SUMIF('TL03'!$C$10:$C$224,$C296,'TL03'!$J$10:$J$224),0),
IF('TL03'!$B$229=Q$3,SUMIF('TL03'!$C$238:$C$451,$C296,'TL03'!$J$238:$J$451),0),
IF('TL04'!$B$3=Q$3,SUMIF('TL04'!$C$10:$C$224,$C296,'TL04'!$J$10:$J$224),0),
IF('TL04'!$B$229=Q$3,SUMIF('TL04'!$C$238:$C$451,$C296,'TL04'!$J$238:$J$451),0),
IF('TL05'!$B$3=Q$3,SUMIF('TL05'!$C$10:$C$224,$C296,'TL05'!$J$10:$J$224),0),
IF('TL05'!$B$229=Q$3,SUMIF('TL05'!$C$238:$C$451,$C296,'TL05'!$J$238:$J$451),0),
IF('TL06'!$B$3=Q$3,SUMIF('TL06'!$C$10:$C$224,$C296,'TL06'!$J$10:$J$224),0),
IF('TL06'!$B$229=Q$3,SUMIF('TL06'!$C$238:$C$451,$C296,'TL06'!$J$238:$J$451),0),
IF('TL07'!$B$3=Q$3,SUMIF('TL07'!$C$10:$C$224,$C296,'TL07'!$J$10:$J$224),0),
IF('TL07'!$B$229=Q$3,SUMIF('TL07'!$C$238:$C$451,$C296,'TL07'!$J$238:$J$451),0),
IF('TL08'!$B$3=Q$3,SUMIF('TL08'!$C$10:$C$224,$C296,'TL08'!$J$10:$J$224),0),
IF('TL08'!$B$229=Q$3,SUMIF('TL08'!$C$238:$C$451,$C296,'TL08'!$J$238:$J$451),0),
IF('TL09'!$B$3=Q$3,SUMIF('TL09'!$C$10:$C$224,$C296,'TL09'!$J$10:$J$224),0),
IF('TL09'!$B$229=Q$3,SUMIF('TL09'!$C$238:$C$451,$C296,'TL09'!$J$238:$J$451),0),
IF('TL10'!$B$3=Q$3,SUMIF('TL10'!$C$10:$C$224,$C296,'TL10'!$J$10:$J$224),0),
IF('TL10'!$B$229=Q$3,SUMIF('TL10'!$C$238:$C$451,$C296,'TL10'!$J$238:$J$451),0),
IF('TL11'!$B$3=Q$3,SUMIF('TL11'!$C$10:$C$224,$C296,'TL11'!$J$10:$J$224),0),
IF('TL11'!$B$229=Q$3,SUMIF('TL11'!$C$238:$C$451,$C296,'TL11'!$J$238:$J$451),0),
IF('TL12'!$B$3=Q$3,SUMIF('TL12'!$C$10:$C$224,$C296,'TL12'!$J$10:$J$224),0),
IF('TL12'!$B$229=Q$3,SUMIF('TL12'!$C$238:$C$451,$C296,'TL12'!$J$238:$J$451),0),
IF('TL13'!$B$3=Q$3,SUMIF('TL13'!$C$10:$C$224,$C296,'TL13'!$J$10:$J$224),0),
IF('TL13'!$B$229=Q$3,SUMIF('TL13'!$C$238:$C$451,$C296,'TL13'!$J$238:$J$451),0),
IF('TL14'!$B$3=Q$3,SUMIF('TL14'!$C$10:$C$224,$C296,'TL14'!$J$10:$J$224),0),
IF('TL14'!$B$229=Q$3,SUMIF('TL14'!$C$238:$C$451,$C296,'TL14'!$J$238:$J$451),0),
IF('TL15'!$B$3=Q$3,SUMIF('TL15'!$C$10:$C$224,$C296,'TL15'!$J$10:$J$224),0),
IF('TL15'!$B$229=Q$3,SUMIF('TL15'!$C$238:$C$451,$C296,'TL15'!$J$238:$J$451),0),
IF('TL16'!$B$3=Q$3,SUMIF('TL16'!$C$10:$C$224,$C296,'TL16'!$J$10:$J$224),0),
IF('TL16'!$B$229=Q$3,SUMIF('TL16'!$C$238:$C$451,$C296,'TL16'!$J$238:$J$451),0),
IF('TL17'!$B$3=Q$3,SUMIF('TL17'!$C$10:$C$224,$C296,'TL17'!$J$10:$J$224),0),
IF('TL17'!$B$229=Q$3,SUMIF('TL17'!$C$238:$C$451,$C296,'TL17'!$J$238:$J$451),0),
IF('TL18'!$B$3=Q$3,SUMIF('TL18'!$C$10:$C$224,$C296,'TL18'!$J$10:$J$224),0),
IF('TL18'!$B$229=Q$3,SUMIF('TL18'!$C$238:$C$451,$C296,'TL18'!$J$238:$J$451),0),
IF('TL19'!$B$3=Q$3,SUMIF('TL19'!$C$10:$C$224,$C296,'TL19'!$J$10:$J$224),0),
IF('TL19'!$B$229=Q$3,SUMIF('TL19'!$C$238:$C$451,$C296,'TL19'!$J$238:$J$451),0)
),0)</f>
        <v>16</v>
      </c>
      <c r="R296" s="9">
        <f>IFERROR(
SUM(
SUMIF('TL01'!C:C,C296,'TL01'!J:J),
SUMIF('TL02'!C:C,C296,'TL02'!J:J),
SUMIF('TL03'!C:C,C296,'TL03'!J:J),
SUMIF('TL04'!C:C,C296,'TL04'!J:J),
SUMIF('TL05'!C:C,C296,'TL05'!J:J),
SUMIF('TL06'!C:C,C296,'TL06'!J:J),
SUMIF('TL07'!C:C,C296,'TL07'!J:J),
SUMIF('TL08'!C:C,C296,'TL08'!J:J),
SUMIF('TL09'!C:C,C296,'TL09'!J:J),
SUMIF('TL10'!C:C,C296,'TL10'!J:J),
SUMIF('TL11'!C:C,C296,'TL11'!J:J),
SUMIF('TL12'!C:C,C296,'TL12'!J:J),
SUMIF('TL13'!C:C,C296,'TL13'!J:J),
SUMIF('TL14'!C:C,C296,'TL14'!J:J),
SUMIF('TL15'!C:C,C296,'TL15'!J:J),
SUMIF('TL16'!C:C,C296,'TL16'!J:J),
SUMIF('TL17'!C:C,C296,'TL17'!J:J),
SUMIF('TL18'!C:C,C296,'TL18'!J:J),SUMIF('TL19'!C:C,C296,'TL19'!J:J))
,0)</f>
        <v>121.7</v>
      </c>
      <c r="S296" s="17">
        <f>IFERROR(__xludf.DUMMYFUNCTION("IFERROR(VLOOKUP(C296,
IMPORTRANGE(""1wULbzX32WdYsx-lj2U3uUNBBe2INVIRDtcK0d-Dvl90"",
""26-27!C:G""),
5,
FALSE),
"""")"),505.4)</f>
        <v>505.4</v>
      </c>
      <c r="T296" s="9"/>
      <c r="U296" s="92">
        <f t="shared" si="2"/>
        <v>121.7</v>
      </c>
      <c r="V296" s="93">
        <f t="shared" si="3"/>
        <v>61507.18</v>
      </c>
    </row>
    <row r="297" ht="15.75" hidden="1" customHeight="1">
      <c r="A297" s="122" t="s">
        <v>356</v>
      </c>
      <c r="B297" s="124" t="s">
        <v>3</v>
      </c>
      <c r="C297" s="122" t="s">
        <v>1014</v>
      </c>
      <c r="D297" s="122" t="s">
        <v>1015</v>
      </c>
      <c r="E297" s="122" t="s">
        <v>1016</v>
      </c>
      <c r="F297" s="4"/>
      <c r="G297" s="90" t="str">
        <f t="shared" si="5"/>
        <v>📄 Ver bula</v>
      </c>
      <c r="H297" s="9">
        <f>IFERROR(__xludf.DUMMYFUNCTION("IFERROR(VLOOKUP(C297,
IMPORTRANGE(""1wULbzX32WdYsx-lj2U3uUNBBe2INVIRDtcK0d-Dvl90"",
""26-27!C:K""),
8,
FALSE),
"""")"),0.1)</f>
        <v>0.1</v>
      </c>
      <c r="I297" s="123"/>
      <c r="J297" s="9">
        <f>IFERROR(SUM(
IF('TL01'!$B$3=J$3,SUMIF('TL01'!$C$10:$C$224,$C297,'TL01'!$J$10:$J$224),0),
IF('TL01'!$B$229=J$3,SUMIF('TL01'!$C$238:$C$451,$C297,'TL01'!$J$238:$J$451),0),
IF('TL02'!$B$3=J$3,SUMIF('TL02'!$C$10:$C$224,$C297,'TL02'!$J$10:$J$224),0),
IF('TL02'!$B$229=J$3,SUMIF('TL02'!$C$238:$C$451,$C297,'TL02'!$J$238:$J$451),0),
IF('TL03'!$B$3=J$3,SUMIF('TL03'!$C$10:$C$224,$C297,'TL03'!$J$10:$J$224),0),
IF('TL03'!$B$229=J$3,SUMIF('TL03'!$C$238:$C$451,$C297,'TL03'!$J$238:$J$451),0),
IF('TL04'!$B$3=J$3,SUMIF('TL04'!$C$10:$C$224,$C297,'TL04'!$J$10:$J$224),0),
IF('TL04'!$B$229=J$3,SUMIF('TL04'!$C$238:$C$451,$C297,'TL04'!$J$238:$J$451),0),
IF('TL05'!$B$3=J$3,SUMIF('TL05'!$C$10:$C$224,$C297,'TL05'!$J$10:$J$224),0),
IF('TL05'!$B$229=J$3,SUMIF('TL05'!$C$238:$C$451,$C297,'TL05'!$J$238:$J$451),0),
IF('TL06'!$B$3=J$3,SUMIF('TL06'!$C$10:$C$224,$C297,'TL06'!$J$10:$J$224),0),
IF('TL06'!$B$229=J$3,SUMIF('TL06'!$C$238:$C$451,$C297,'TL06'!$J$238:$J$451),0),
IF('TL07'!$B$3=J$3,SUMIF('TL07'!$C$10:$C$224,$C297,'TL07'!$J$10:$J$224),0),
IF('TL07'!$B$229=J$3,SUMIF('TL07'!$C$238:$C$451,$C297,'TL07'!$J$238:$J$451),0),
IF('TL08'!$B$3=J$3,SUMIF('TL08'!$C$10:$C$224,$C297,'TL08'!$J$10:$J$224),0),
IF('TL08'!$B$229=J$3,SUMIF('TL08'!$C$238:$C$451,$C297,'TL08'!$J$238:$J$451),0),
IF('TL09'!$B$3=J$3,SUMIF('TL09'!$C$10:$C$224,$C297,'TL09'!$J$10:$J$224),0),
IF('TL09'!$B$229=J$3,SUMIF('TL09'!$C$238:$C$451,$C297,'TL09'!$J$238:$J$451),0),
IF('TL10'!$B$3=J$3,SUMIF('TL10'!$C$10:$C$224,$C297,'TL10'!$J$10:$J$224),0),
IF('TL10'!$B$229=J$3,SUMIF('TL10'!$C$238:$C$451,$C297,'TL10'!$J$238:$J$451),0),
IF('TL11'!$B$3=J$3,SUMIF('TL11'!$C$10:$C$224,$C297,'TL11'!$J$10:$J$224),0),
IF('TL11'!$B$229=J$3,SUMIF('TL11'!$C$238:$C$451,$C297,'TL11'!$J$238:$J$451),0),
IF('TL12'!$B$3=J$3,SUMIF('TL12'!$C$10:$C$224,$C297,'TL12'!$J$10:$J$224),0),
IF('TL12'!$B$229=J$3,SUMIF('TL12'!$C$238:$C$451,$C297,'TL12'!$J$238:$J$451),0),
IF('TL13'!$B$3=J$3,SUMIF('TL13'!$C$10:$C$224,$C297,'TL13'!$J$10:$J$224),0),
IF('TL13'!$B$229=J$3,SUMIF('TL13'!$C$238:$C$451,$C297,'TL13'!$J$238:$J$451),0),
IF('TL14'!$B$3=J$3,SUMIF('TL14'!$C$10:$C$224,$C297,'TL14'!$J$10:$J$224),0),
IF('TL14'!$B$229=J$3,SUMIF('TL14'!$C$238:$C$451,$C297,'TL14'!$J$238:$J$451),0),
IF('TL15'!$B$3=J$3,SUMIF('TL15'!$C$10:$C$224,$C297,'TL15'!$J$10:$J$224),0),
IF('TL15'!$B$229=J$3,SUMIF('TL15'!$C$238:$C$451,$C297,'TL15'!$J$238:$J$451),0),
IF('TL16'!$B$3=J$3,SUMIF('TL16'!$C$10:$C$224,$C297,'TL16'!$J$10:$J$224),0),
IF('TL16'!$B$229=J$3,SUMIF('TL16'!$C$238:$C$451,$C297,'TL16'!$J$238:$J$451),0),
IF('TL17'!$B$3=J$3,SUMIF('TL17'!$C$10:$C$224,$C297,'TL17'!$J$10:$J$224),0),
IF('TL17'!$B$229=J$3,SUMIF('TL17'!$C$238:$C$451,$C297,'TL17'!$J$238:$J$451),0),
IF('TL18'!$B$3=J$3,SUMIF('TL18'!$C$10:$C$224,$C297,'TL18'!$J$10:$J$224),0),
IF('TL18'!$B$229=J$3,SUMIF('TL18'!$C$238:$C$451,$C297,'TL18'!$J$238:$J$451),0),
IF('TL19'!$B$3=J$3,SUMIF('TL19'!$C$10:$C$224,$C297,'TL19'!$J$10:$J$224),0),
IF('TL19'!$B$229=J$3,SUMIF('TL19'!$C$238:$C$451,$C297,'TL19'!$J$238:$J$451),0)
),0)</f>
        <v>0</v>
      </c>
      <c r="K297" s="9">
        <f>IFERROR(SUM(
IF('TL01'!$B$3=K$3,SUMIF('TL01'!$C$10:$C$224,$C297,'TL01'!$J$10:$J$224),0),
IF('TL01'!$B$229=K$3,SUMIF('TL01'!$C$238:$C$451,$C297,'TL01'!$J$238:$J$451),0),
IF('TL02'!$B$3=K$3,SUMIF('TL02'!$C$10:$C$224,$C297,'TL02'!$J$10:$J$224),0),
IF('TL02'!$B$229=K$3,SUMIF('TL02'!$C$238:$C$451,$C297,'TL02'!$J$238:$J$451),0),
IF('TL03'!$B$3=K$3,SUMIF('TL03'!$C$10:$C$224,$C297,'TL03'!$J$10:$J$224),0),
IF('TL03'!$B$229=K$3,SUMIF('TL03'!$C$238:$C$451,$C297,'TL03'!$J$238:$J$451),0),
IF('TL04'!$B$3=K$3,SUMIF('TL04'!$C$10:$C$224,$C297,'TL04'!$J$10:$J$224),0),
IF('TL04'!$B$229=K$3,SUMIF('TL04'!$C$238:$C$451,$C297,'TL04'!$J$238:$J$451),0),
IF('TL05'!$B$3=K$3,SUMIF('TL05'!$C$10:$C$224,$C297,'TL05'!$J$10:$J$224),0),
IF('TL05'!$B$229=K$3,SUMIF('TL05'!$C$238:$C$451,$C297,'TL05'!$J$238:$J$451),0),
IF('TL06'!$B$3=K$3,SUMIF('TL06'!$C$10:$C$224,$C297,'TL06'!$J$10:$J$224),0),
IF('TL06'!$B$229=K$3,SUMIF('TL06'!$C$238:$C$451,$C297,'TL06'!$J$238:$J$451),0),
IF('TL07'!$B$3=K$3,SUMIF('TL07'!$C$10:$C$224,$C297,'TL07'!$J$10:$J$224),0),
IF('TL07'!$B$229=K$3,SUMIF('TL07'!$C$238:$C$451,$C297,'TL07'!$J$238:$J$451),0),
IF('TL08'!$B$3=K$3,SUMIF('TL08'!$C$10:$C$224,$C297,'TL08'!$J$10:$J$224),0),
IF('TL08'!$B$229=K$3,SUMIF('TL08'!$C$238:$C$451,$C297,'TL08'!$J$238:$J$451),0),
IF('TL09'!$B$3=K$3,SUMIF('TL09'!$C$10:$C$224,$C297,'TL09'!$J$10:$J$224),0),
IF('TL09'!$B$229=K$3,SUMIF('TL09'!$C$238:$C$451,$C297,'TL09'!$J$238:$J$451),0),
IF('TL10'!$B$3=K$3,SUMIF('TL10'!$C$10:$C$224,$C297,'TL10'!$J$10:$J$224),0),
IF('TL10'!$B$229=K$3,SUMIF('TL10'!$C$238:$C$451,$C297,'TL10'!$J$238:$J$451),0),
IF('TL11'!$B$3=K$3,SUMIF('TL11'!$C$10:$C$224,$C297,'TL11'!$J$10:$J$224),0),
IF('TL11'!$B$229=K$3,SUMIF('TL11'!$C$238:$C$451,$C297,'TL11'!$J$238:$J$451),0),
IF('TL12'!$B$3=K$3,SUMIF('TL12'!$C$10:$C$224,$C297,'TL12'!$J$10:$J$224),0),
IF('TL12'!$B$229=K$3,SUMIF('TL12'!$C$238:$C$451,$C297,'TL12'!$J$238:$J$451),0),
IF('TL13'!$B$3=K$3,SUMIF('TL13'!$C$10:$C$224,$C297,'TL13'!$J$10:$J$224),0),
IF('TL13'!$B$229=K$3,SUMIF('TL13'!$C$238:$C$451,$C297,'TL13'!$J$238:$J$451),0),
IF('TL14'!$B$3=K$3,SUMIF('TL14'!$C$10:$C$224,$C297,'TL14'!$J$10:$J$224),0),
IF('TL14'!$B$229=K$3,SUMIF('TL14'!$C$238:$C$451,$C297,'TL14'!$J$238:$J$451),0),
IF('TL15'!$B$3=K$3,SUMIF('TL15'!$C$10:$C$224,$C297,'TL15'!$J$10:$J$224),0),
IF('TL15'!$B$229=K$3,SUMIF('TL15'!$C$238:$C$451,$C297,'TL15'!$J$238:$J$451),0),
IF('TL16'!$B$3=K$3,SUMIF('TL16'!$C$10:$C$224,$C297,'TL16'!$J$10:$J$224),0),
IF('TL16'!$B$229=K$3,SUMIF('TL16'!$C$238:$C$451,$C297,'TL16'!$J$238:$J$451),0),
IF('TL17'!$B$3=K$3,SUMIF('TL17'!$C$10:$C$224,$C297,'TL17'!$J$10:$J$224),0),
IF('TL17'!$B$229=K$3,SUMIF('TL17'!$C$238:$C$451,$C297,'TL17'!$J$238:$J$451),0),
IF('TL18'!$B$3=K$3,SUMIF('TL18'!$C$10:$C$224,$C297,'TL18'!$J$10:$J$224),0),
IF('TL18'!$B$229=K$3,SUMIF('TL18'!$C$238:$C$451,$C297,'TL18'!$J$238:$J$451),0),
IF('TL19'!$B$3=K$3,SUMIF('TL19'!$C$10:$C$224,$C297,'TL19'!$J$10:$J$224),0),
IF('TL19'!$B$229=K$3,SUMIF('TL19'!$C$238:$C$451,$C297,'TL19'!$J$238:$J$451),0)
),0)</f>
        <v>0</v>
      </c>
      <c r="L297" s="9">
        <f>IFERROR(SUM(
IF('TL01'!$B$3=L$3,SUMIF('TL01'!$C$10:$C$224,$C297,'TL01'!$J$10:$J$224),0),
IF('TL01'!$B$229=L$3,SUMIF('TL01'!$C$238:$C$451,$C297,'TL01'!$J$238:$J$451),0),
IF('TL02'!$B$3=L$3,SUMIF('TL02'!$C$10:$C$224,$C297,'TL02'!$J$10:$J$224),0),
IF('TL02'!$B$229=L$3,SUMIF('TL02'!$C$238:$C$451,$C297,'TL02'!$J$238:$J$451),0),
IF('TL03'!$B$3=L$3,SUMIF('TL03'!$C$10:$C$224,$C297,'TL03'!$J$10:$J$224),0),
IF('TL03'!$B$229=L$3,SUMIF('TL03'!$C$238:$C$451,$C297,'TL03'!$J$238:$J$451),0),
IF('TL04'!$B$3=L$3,SUMIF('TL04'!$C$10:$C$224,$C297,'TL04'!$J$10:$J$224),0),
IF('TL04'!$B$229=L$3,SUMIF('TL04'!$C$238:$C$451,$C297,'TL04'!$J$238:$J$451),0),
IF('TL05'!$B$3=L$3,SUMIF('TL05'!$C$10:$C$224,$C297,'TL05'!$J$10:$J$224),0),
IF('TL05'!$B$229=L$3,SUMIF('TL05'!$C$238:$C$451,$C297,'TL05'!$J$238:$J$451),0),
IF('TL06'!$B$3=L$3,SUMIF('TL06'!$C$10:$C$224,$C297,'TL06'!$J$10:$J$224),0),
IF('TL06'!$B$229=L$3,SUMIF('TL06'!$C$238:$C$451,$C297,'TL06'!$J$238:$J$451),0),
IF('TL07'!$B$3=L$3,SUMIF('TL07'!$C$10:$C$224,$C297,'TL07'!$J$10:$J$224),0),
IF('TL07'!$B$229=L$3,SUMIF('TL07'!$C$238:$C$451,$C297,'TL07'!$J$238:$J$451),0),
IF('TL08'!$B$3=L$3,SUMIF('TL08'!$C$10:$C$224,$C297,'TL08'!$J$10:$J$224),0),
IF('TL08'!$B$229=L$3,SUMIF('TL08'!$C$238:$C$451,$C297,'TL08'!$J$238:$J$451),0),
IF('TL09'!$B$3=L$3,SUMIF('TL09'!$C$10:$C$224,$C297,'TL09'!$J$10:$J$224),0),
IF('TL09'!$B$229=L$3,SUMIF('TL09'!$C$238:$C$451,$C297,'TL09'!$J$238:$J$451),0),
IF('TL10'!$B$3=L$3,SUMIF('TL10'!$C$10:$C$224,$C297,'TL10'!$J$10:$J$224),0),
IF('TL10'!$B$229=L$3,SUMIF('TL10'!$C$238:$C$451,$C297,'TL10'!$J$238:$J$451),0),
IF('TL11'!$B$3=L$3,SUMIF('TL11'!$C$10:$C$224,$C297,'TL11'!$J$10:$J$224),0),
IF('TL11'!$B$229=L$3,SUMIF('TL11'!$C$238:$C$451,$C297,'TL11'!$J$238:$J$451),0),
IF('TL12'!$B$3=L$3,SUMIF('TL12'!$C$10:$C$224,$C297,'TL12'!$J$10:$J$224),0),
IF('TL12'!$B$229=L$3,SUMIF('TL12'!$C$238:$C$451,$C297,'TL12'!$J$238:$J$451),0),
IF('TL13'!$B$3=L$3,SUMIF('TL13'!$C$10:$C$224,$C297,'TL13'!$J$10:$J$224),0),
IF('TL13'!$B$229=L$3,SUMIF('TL13'!$C$238:$C$451,$C297,'TL13'!$J$238:$J$451),0),
IF('TL14'!$B$3=L$3,SUMIF('TL14'!$C$10:$C$224,$C297,'TL14'!$J$10:$J$224),0),
IF('TL14'!$B$229=L$3,SUMIF('TL14'!$C$238:$C$451,$C297,'TL14'!$J$238:$J$451),0),
IF('TL15'!$B$3=L$3,SUMIF('TL15'!$C$10:$C$224,$C297,'TL15'!$J$10:$J$224),0),
IF('TL15'!$B$229=L$3,SUMIF('TL15'!$C$238:$C$451,$C297,'TL15'!$J$238:$J$451),0),
IF('TL16'!$B$3=L$3,SUMIF('TL16'!$C$10:$C$224,$C297,'TL16'!$J$10:$J$224),0),
IF('TL16'!$B$229=L$3,SUMIF('TL16'!$C$238:$C$451,$C297,'TL16'!$J$238:$J$451),0),
IF('TL17'!$B$3=L$3,SUMIF('TL17'!$C$10:$C$224,$C297,'TL17'!$J$10:$J$224),0),
IF('TL17'!$B$229=L$3,SUMIF('TL17'!$C$238:$C$451,$C297,'TL17'!$J$238:$J$451),0),
IF('TL18'!$B$3=L$3,SUMIF('TL18'!$C$10:$C$224,$C297,'TL18'!$J$10:$J$224),0),
IF('TL18'!$B$229=L$3,SUMIF('TL18'!$C$238:$C$451,$C297,'TL18'!$J$238:$J$451),0),
IF('TL19'!$B$3=L$3,SUMIF('TL19'!$C$10:$C$224,$C297,'TL19'!$J$10:$J$224),0),
IF('TL19'!$B$229=L$3,SUMIF('TL19'!$C$238:$C$451,$C297,'TL19'!$J$238:$J$451),0)
),0)</f>
        <v>0</v>
      </c>
      <c r="M297" s="9">
        <f>IFERROR(SUM(
IF('TL01'!$B$3=M$3,SUMIF('TL01'!$C$10:$C$224,$C297,'TL01'!$J$10:$J$224),0),
IF('TL01'!$B$229=M$3,SUMIF('TL01'!$C$238:$C$451,$C297,'TL01'!$J$238:$J$451),0),
IF('TL02'!$B$3=M$3,SUMIF('TL02'!$C$10:$C$224,$C297,'TL02'!$J$10:$J$224),0),
IF('TL02'!$B$229=M$3,SUMIF('TL02'!$C$238:$C$451,$C297,'TL02'!$J$238:$J$451),0),
IF('TL03'!$B$3=M$3,SUMIF('TL03'!$C$10:$C$224,$C297,'TL03'!$J$10:$J$224),0),
IF('TL03'!$B$229=M$3,SUMIF('TL03'!$C$238:$C$451,$C297,'TL03'!$J$238:$J$451),0),
IF('TL04'!$B$3=M$3,SUMIF('TL04'!$C$10:$C$224,$C297,'TL04'!$J$10:$J$224),0),
IF('TL04'!$B$229=M$3,SUMIF('TL04'!$C$238:$C$451,$C297,'TL04'!$J$238:$J$451),0),
IF('TL05'!$B$3=M$3,SUMIF('TL05'!$C$10:$C$224,$C297,'TL05'!$J$10:$J$224),0),
IF('TL05'!$B$229=M$3,SUMIF('TL05'!$C$238:$C$451,$C297,'TL05'!$J$238:$J$451),0),
IF('TL06'!$B$3=M$3,SUMIF('TL06'!$C$10:$C$224,$C297,'TL06'!$J$10:$J$224),0),
IF('TL06'!$B$229=M$3,SUMIF('TL06'!$C$238:$C$451,$C297,'TL06'!$J$238:$J$451),0),
IF('TL07'!$B$3=M$3,SUMIF('TL07'!$C$10:$C$224,$C297,'TL07'!$J$10:$J$224),0),
IF('TL07'!$B$229=M$3,SUMIF('TL07'!$C$238:$C$451,$C297,'TL07'!$J$238:$J$451),0),
IF('TL08'!$B$3=M$3,SUMIF('TL08'!$C$10:$C$224,$C297,'TL08'!$J$10:$J$224),0),
IF('TL08'!$B$229=M$3,SUMIF('TL08'!$C$238:$C$451,$C297,'TL08'!$J$238:$J$451),0),
IF('TL09'!$B$3=M$3,SUMIF('TL09'!$C$10:$C$224,$C297,'TL09'!$J$10:$J$224),0),
IF('TL09'!$B$229=M$3,SUMIF('TL09'!$C$238:$C$451,$C297,'TL09'!$J$238:$J$451),0),
IF('TL10'!$B$3=M$3,SUMIF('TL10'!$C$10:$C$224,$C297,'TL10'!$J$10:$J$224),0),
IF('TL10'!$B$229=M$3,SUMIF('TL10'!$C$238:$C$451,$C297,'TL10'!$J$238:$J$451),0),
IF('TL11'!$B$3=M$3,SUMIF('TL11'!$C$10:$C$224,$C297,'TL11'!$J$10:$J$224),0),
IF('TL11'!$B$229=M$3,SUMIF('TL11'!$C$238:$C$451,$C297,'TL11'!$J$238:$J$451),0),
IF('TL12'!$B$3=M$3,SUMIF('TL12'!$C$10:$C$224,$C297,'TL12'!$J$10:$J$224),0),
IF('TL12'!$B$229=M$3,SUMIF('TL12'!$C$238:$C$451,$C297,'TL12'!$J$238:$J$451),0),
IF('TL13'!$B$3=M$3,SUMIF('TL13'!$C$10:$C$224,$C297,'TL13'!$J$10:$J$224),0),
IF('TL13'!$B$229=M$3,SUMIF('TL13'!$C$238:$C$451,$C297,'TL13'!$J$238:$J$451),0),
IF('TL14'!$B$3=M$3,SUMIF('TL14'!$C$10:$C$224,$C297,'TL14'!$J$10:$J$224),0),
IF('TL14'!$B$229=M$3,SUMIF('TL14'!$C$238:$C$451,$C297,'TL14'!$J$238:$J$451),0),
IF('TL15'!$B$3=M$3,SUMIF('TL15'!$C$10:$C$224,$C297,'TL15'!$J$10:$J$224),0),
IF('TL15'!$B$229=M$3,SUMIF('TL15'!$C$238:$C$451,$C297,'TL15'!$J$238:$J$451),0),
IF('TL16'!$B$3=M$3,SUMIF('TL16'!$C$10:$C$224,$C297,'TL16'!$J$10:$J$224),0),
IF('TL16'!$B$229=M$3,SUMIF('TL16'!$C$238:$C$451,$C297,'TL16'!$J$238:$J$451),0),
IF('TL17'!$B$3=M$3,SUMIF('TL17'!$C$10:$C$224,$C297,'TL17'!$J$10:$J$224),0),
IF('TL17'!$B$229=M$3,SUMIF('TL17'!$C$238:$C$451,$C297,'TL17'!$J$238:$J$451),0),
IF('TL18'!$B$3=M$3,SUMIF('TL18'!$C$10:$C$224,$C297,'TL18'!$J$10:$J$224),0),
IF('TL18'!$B$229=M$3,SUMIF('TL18'!$C$238:$C$451,$C297,'TL18'!$J$238:$J$451),0),
IF('TL19'!$B$3=M$3,SUMIF('TL19'!$C$10:$C$224,$C297,'TL19'!$J$10:$J$224),0),
IF('TL19'!$B$229=M$3,SUMIF('TL19'!$C$238:$C$451,$C297,'TL19'!$J$238:$J$451),0)
),0)</f>
        <v>0</v>
      </c>
      <c r="N297" s="9">
        <f>IFERROR(SUM(
IF('TL01'!$B$3=N$3,SUMIF('TL01'!$C$10:$C$224,$C297,'TL01'!$J$10:$J$224),0),
IF('TL01'!$B$229=N$3,SUMIF('TL01'!$C$238:$C$451,$C297,'TL01'!$J$238:$J$451),0),
IF('TL02'!$B$3=N$3,SUMIF('TL02'!$C$10:$C$224,$C297,'TL02'!$J$10:$J$224),0),
IF('TL02'!$B$229=N$3,SUMIF('TL02'!$C$238:$C$451,$C297,'TL02'!$J$238:$J$451),0),
IF('TL03'!$B$3=N$3,SUMIF('TL03'!$C$10:$C$224,$C297,'TL03'!$J$10:$J$224),0),
IF('TL03'!$B$229=N$3,SUMIF('TL03'!$C$238:$C$451,$C297,'TL03'!$J$238:$J$451),0),
IF('TL04'!$B$3=N$3,SUMIF('TL04'!$C$10:$C$224,$C297,'TL04'!$J$10:$J$224),0),
IF('TL04'!$B$229=N$3,SUMIF('TL04'!$C$238:$C$451,$C297,'TL04'!$J$238:$J$451),0),
IF('TL05'!$B$3=N$3,SUMIF('TL05'!$C$10:$C$224,$C297,'TL05'!$J$10:$J$224),0),
IF('TL05'!$B$229=N$3,SUMIF('TL05'!$C$238:$C$451,$C297,'TL05'!$J$238:$J$451),0),
IF('TL06'!$B$3=N$3,SUMIF('TL06'!$C$10:$C$224,$C297,'TL06'!$J$10:$J$224),0),
IF('TL06'!$B$229=N$3,SUMIF('TL06'!$C$238:$C$451,$C297,'TL06'!$J$238:$J$451),0),
IF('TL07'!$B$3=N$3,SUMIF('TL07'!$C$10:$C$224,$C297,'TL07'!$J$10:$J$224),0),
IF('TL07'!$B$229=N$3,SUMIF('TL07'!$C$238:$C$451,$C297,'TL07'!$J$238:$J$451),0),
IF('TL08'!$B$3=N$3,SUMIF('TL08'!$C$10:$C$224,$C297,'TL08'!$J$10:$J$224),0),
IF('TL08'!$B$229=N$3,SUMIF('TL08'!$C$238:$C$451,$C297,'TL08'!$J$238:$J$451),0),
IF('TL09'!$B$3=N$3,SUMIF('TL09'!$C$10:$C$224,$C297,'TL09'!$J$10:$J$224),0),
IF('TL09'!$B$229=N$3,SUMIF('TL09'!$C$238:$C$451,$C297,'TL09'!$J$238:$J$451),0),
IF('TL10'!$B$3=N$3,SUMIF('TL10'!$C$10:$C$224,$C297,'TL10'!$J$10:$J$224),0),
IF('TL10'!$B$229=N$3,SUMIF('TL10'!$C$238:$C$451,$C297,'TL10'!$J$238:$J$451),0),
IF('TL11'!$B$3=N$3,SUMIF('TL11'!$C$10:$C$224,$C297,'TL11'!$J$10:$J$224),0),
IF('TL11'!$B$229=N$3,SUMIF('TL11'!$C$238:$C$451,$C297,'TL11'!$J$238:$J$451),0),
IF('TL12'!$B$3=N$3,SUMIF('TL12'!$C$10:$C$224,$C297,'TL12'!$J$10:$J$224),0),
IF('TL12'!$B$229=N$3,SUMIF('TL12'!$C$238:$C$451,$C297,'TL12'!$J$238:$J$451),0),
IF('TL13'!$B$3=N$3,SUMIF('TL13'!$C$10:$C$224,$C297,'TL13'!$J$10:$J$224),0),
IF('TL13'!$B$229=N$3,SUMIF('TL13'!$C$238:$C$451,$C297,'TL13'!$J$238:$J$451),0),
IF('TL14'!$B$3=N$3,SUMIF('TL14'!$C$10:$C$224,$C297,'TL14'!$J$10:$J$224),0),
IF('TL14'!$B$229=N$3,SUMIF('TL14'!$C$238:$C$451,$C297,'TL14'!$J$238:$J$451),0),
IF('TL15'!$B$3=N$3,SUMIF('TL15'!$C$10:$C$224,$C297,'TL15'!$J$10:$J$224),0),
IF('TL15'!$B$229=N$3,SUMIF('TL15'!$C$238:$C$451,$C297,'TL15'!$J$238:$J$451),0),
IF('TL16'!$B$3=N$3,SUMIF('TL16'!$C$10:$C$224,$C297,'TL16'!$J$10:$J$224),0),
IF('TL16'!$B$229=N$3,SUMIF('TL16'!$C$238:$C$451,$C297,'TL16'!$J$238:$J$451),0),
IF('TL17'!$B$3=N$3,SUMIF('TL17'!$C$10:$C$224,$C297,'TL17'!$J$10:$J$224),0),
IF('TL17'!$B$229=N$3,SUMIF('TL17'!$C$238:$C$451,$C297,'TL17'!$J$238:$J$451),0),
IF('TL18'!$B$3=N$3,SUMIF('TL18'!$C$10:$C$224,$C297,'TL18'!$J$10:$J$224),0),
IF('TL18'!$B$229=N$3,SUMIF('TL18'!$C$238:$C$451,$C297,'TL18'!$J$238:$J$451),0),
IF('TL19'!$B$3=N$3,SUMIF('TL19'!$C$10:$C$224,$C297,'TL19'!$J$10:$J$224),0),
IF('TL19'!$B$229=N$3,SUMIF('TL19'!$C$238:$C$451,$C297,'TL19'!$J$238:$J$451),0)
),0)</f>
        <v>0</v>
      </c>
      <c r="O297" s="9">
        <f>IFERROR(SUM(
IF('TL01'!$B$3=O$3,SUMIF('TL01'!$C$10:$C$224,$C297,'TL01'!$J$10:$J$224),0),
IF('TL01'!$B$229=O$3,SUMIF('TL01'!$C$238:$C$451,$C297,'TL01'!$J$238:$J$451),0),
IF('TL02'!$B$3=O$3,SUMIF('TL02'!$C$10:$C$224,$C297,'TL02'!$J$10:$J$224),0),
IF('TL02'!$B$229=O$3,SUMIF('TL02'!$C$238:$C$451,$C297,'TL02'!$J$238:$J$451),0),
IF('TL03'!$B$3=O$3,SUMIF('TL03'!$C$10:$C$224,$C297,'TL03'!$J$10:$J$224),0),
IF('TL03'!$B$229=O$3,SUMIF('TL03'!$C$238:$C$451,$C297,'TL03'!$J$238:$J$451),0),
IF('TL04'!$B$3=O$3,SUMIF('TL04'!$C$10:$C$224,$C297,'TL04'!$J$10:$J$224),0),
IF('TL04'!$B$229=O$3,SUMIF('TL04'!$C$238:$C$451,$C297,'TL04'!$J$238:$J$451),0),
IF('TL05'!$B$3=O$3,SUMIF('TL05'!$C$10:$C$224,$C297,'TL05'!$J$10:$J$224),0),
IF('TL05'!$B$229=O$3,SUMIF('TL05'!$C$238:$C$451,$C297,'TL05'!$J$238:$J$451),0),
IF('TL06'!$B$3=O$3,SUMIF('TL06'!$C$10:$C$224,$C297,'TL06'!$J$10:$J$224),0),
IF('TL06'!$B$229=O$3,SUMIF('TL06'!$C$238:$C$451,$C297,'TL06'!$J$238:$J$451),0),
IF('TL07'!$B$3=O$3,SUMIF('TL07'!$C$10:$C$224,$C297,'TL07'!$J$10:$J$224),0),
IF('TL07'!$B$229=O$3,SUMIF('TL07'!$C$238:$C$451,$C297,'TL07'!$J$238:$J$451),0),
IF('TL08'!$B$3=O$3,SUMIF('TL08'!$C$10:$C$224,$C297,'TL08'!$J$10:$J$224),0),
IF('TL08'!$B$229=O$3,SUMIF('TL08'!$C$238:$C$451,$C297,'TL08'!$J$238:$J$451),0),
IF('TL09'!$B$3=O$3,SUMIF('TL09'!$C$10:$C$224,$C297,'TL09'!$J$10:$J$224),0),
IF('TL09'!$B$229=O$3,SUMIF('TL09'!$C$238:$C$451,$C297,'TL09'!$J$238:$J$451),0),
IF('TL10'!$B$3=O$3,SUMIF('TL10'!$C$10:$C$224,$C297,'TL10'!$J$10:$J$224),0),
IF('TL10'!$B$229=O$3,SUMIF('TL10'!$C$238:$C$451,$C297,'TL10'!$J$238:$J$451),0),
IF('TL11'!$B$3=O$3,SUMIF('TL11'!$C$10:$C$224,$C297,'TL11'!$J$10:$J$224),0),
IF('TL11'!$B$229=O$3,SUMIF('TL11'!$C$238:$C$451,$C297,'TL11'!$J$238:$J$451),0),
IF('TL12'!$B$3=O$3,SUMIF('TL12'!$C$10:$C$224,$C297,'TL12'!$J$10:$J$224),0),
IF('TL12'!$B$229=O$3,SUMIF('TL12'!$C$238:$C$451,$C297,'TL12'!$J$238:$J$451),0),
IF('TL13'!$B$3=O$3,SUMIF('TL13'!$C$10:$C$224,$C297,'TL13'!$J$10:$J$224),0),
IF('TL13'!$B$229=O$3,SUMIF('TL13'!$C$238:$C$451,$C297,'TL13'!$J$238:$J$451),0),
IF('TL14'!$B$3=O$3,SUMIF('TL14'!$C$10:$C$224,$C297,'TL14'!$J$10:$J$224),0),
IF('TL14'!$B$229=O$3,SUMIF('TL14'!$C$238:$C$451,$C297,'TL14'!$J$238:$J$451),0),
IF('TL15'!$B$3=O$3,SUMIF('TL15'!$C$10:$C$224,$C297,'TL15'!$J$10:$J$224),0),
IF('TL15'!$B$229=O$3,SUMIF('TL15'!$C$238:$C$451,$C297,'TL15'!$J$238:$J$451),0),
IF('TL16'!$B$3=O$3,SUMIF('TL16'!$C$10:$C$224,$C297,'TL16'!$J$10:$J$224),0),
IF('TL16'!$B$229=O$3,SUMIF('TL16'!$C$238:$C$451,$C297,'TL16'!$J$238:$J$451),0),
IF('TL17'!$B$3=O$3,SUMIF('TL17'!$C$10:$C$224,$C297,'TL17'!$J$10:$J$224),0),
IF('TL17'!$B$229=O$3,SUMIF('TL17'!$C$238:$C$451,$C297,'TL17'!$J$238:$J$451),0),
IF('TL18'!$B$3=O$3,SUMIF('TL18'!$C$10:$C$224,$C297,'TL18'!$J$10:$J$224),0),
IF('TL18'!$B$229=O$3,SUMIF('TL18'!$C$238:$C$451,$C297,'TL18'!$J$238:$J$451),0),
IF('TL19'!$B$3=O$3,SUMIF('TL19'!$C$10:$C$224,$C297,'TL19'!$J$10:$J$224),0),
IF('TL19'!$B$229=O$3,SUMIF('TL19'!$C$238:$C$451,$C297,'TL19'!$J$238:$J$451),0)
),0)</f>
        <v>0</v>
      </c>
      <c r="P297" s="9">
        <f>IFERROR(SUM(
IF('TL01'!$B$3=P$3,SUMIF('TL01'!$C$10:$C$224,$C297,'TL01'!$J$10:$J$224),0),
IF('TL01'!$B$229=P$3,SUMIF('TL01'!$C$238:$C$451,$C297,'TL01'!$J$238:$J$451),0),
IF('TL02'!$B$3=P$3,SUMIF('TL02'!$C$10:$C$224,$C297,'TL02'!$J$10:$J$224),0),
IF('TL02'!$B$229=P$3,SUMIF('TL02'!$C$238:$C$451,$C297,'TL02'!$J$238:$J$451),0),
IF('TL03'!$B$3=P$3,SUMIF('TL03'!$C$10:$C$224,$C297,'TL03'!$J$10:$J$224),0),
IF('TL03'!$B$229=P$3,SUMIF('TL03'!$C$238:$C$451,$C297,'TL03'!$J$238:$J$451),0),
IF('TL04'!$B$3=P$3,SUMIF('TL04'!$C$10:$C$224,$C297,'TL04'!$J$10:$J$224),0),
IF('TL04'!$B$229=P$3,SUMIF('TL04'!$C$238:$C$451,$C297,'TL04'!$J$238:$J$451),0),
IF('TL05'!$B$3=P$3,SUMIF('TL05'!$C$10:$C$224,$C297,'TL05'!$J$10:$J$224),0),
IF('TL05'!$B$229=P$3,SUMIF('TL05'!$C$238:$C$451,$C297,'TL05'!$J$238:$J$451),0),
IF('TL06'!$B$3=P$3,SUMIF('TL06'!$C$10:$C$224,$C297,'TL06'!$J$10:$J$224),0),
IF('TL06'!$B$229=P$3,SUMIF('TL06'!$C$238:$C$451,$C297,'TL06'!$J$238:$J$451),0),
IF('TL07'!$B$3=P$3,SUMIF('TL07'!$C$10:$C$224,$C297,'TL07'!$J$10:$J$224),0),
IF('TL07'!$B$229=P$3,SUMIF('TL07'!$C$238:$C$451,$C297,'TL07'!$J$238:$J$451),0),
IF('TL08'!$B$3=P$3,SUMIF('TL08'!$C$10:$C$224,$C297,'TL08'!$J$10:$J$224),0),
IF('TL08'!$B$229=P$3,SUMIF('TL08'!$C$238:$C$451,$C297,'TL08'!$J$238:$J$451),0),
IF('TL09'!$B$3=P$3,SUMIF('TL09'!$C$10:$C$224,$C297,'TL09'!$J$10:$J$224),0),
IF('TL09'!$B$229=P$3,SUMIF('TL09'!$C$238:$C$451,$C297,'TL09'!$J$238:$J$451),0),
IF('TL10'!$B$3=P$3,SUMIF('TL10'!$C$10:$C$224,$C297,'TL10'!$J$10:$J$224),0),
IF('TL10'!$B$229=P$3,SUMIF('TL10'!$C$238:$C$451,$C297,'TL10'!$J$238:$J$451),0),
IF('TL11'!$B$3=P$3,SUMIF('TL11'!$C$10:$C$224,$C297,'TL11'!$J$10:$J$224),0),
IF('TL11'!$B$229=P$3,SUMIF('TL11'!$C$238:$C$451,$C297,'TL11'!$J$238:$J$451),0),
IF('TL12'!$B$3=P$3,SUMIF('TL12'!$C$10:$C$224,$C297,'TL12'!$J$10:$J$224),0),
IF('TL12'!$B$229=P$3,SUMIF('TL12'!$C$238:$C$451,$C297,'TL12'!$J$238:$J$451),0),
IF('TL13'!$B$3=P$3,SUMIF('TL13'!$C$10:$C$224,$C297,'TL13'!$J$10:$J$224),0),
IF('TL13'!$B$229=P$3,SUMIF('TL13'!$C$238:$C$451,$C297,'TL13'!$J$238:$J$451),0),
IF('TL14'!$B$3=P$3,SUMIF('TL14'!$C$10:$C$224,$C297,'TL14'!$J$10:$J$224),0),
IF('TL14'!$B$229=P$3,SUMIF('TL14'!$C$238:$C$451,$C297,'TL14'!$J$238:$J$451),0),
IF('TL15'!$B$3=P$3,SUMIF('TL15'!$C$10:$C$224,$C297,'TL15'!$J$10:$J$224),0),
IF('TL15'!$B$229=P$3,SUMIF('TL15'!$C$238:$C$451,$C297,'TL15'!$J$238:$J$451),0),
IF('TL16'!$B$3=P$3,SUMIF('TL16'!$C$10:$C$224,$C297,'TL16'!$J$10:$J$224),0),
IF('TL16'!$B$229=P$3,SUMIF('TL16'!$C$238:$C$451,$C297,'TL16'!$J$238:$J$451),0),
IF('TL17'!$B$3=P$3,SUMIF('TL17'!$C$10:$C$224,$C297,'TL17'!$J$10:$J$224),0),
IF('TL17'!$B$229=P$3,SUMIF('TL17'!$C$238:$C$451,$C297,'TL17'!$J$238:$J$451),0),
IF('TL18'!$B$3=P$3,SUMIF('TL18'!$C$10:$C$224,$C297,'TL18'!$J$10:$J$224),0),
IF('TL18'!$B$229=P$3,SUMIF('TL18'!$C$238:$C$451,$C297,'TL18'!$J$238:$J$451),0),
IF('TL19'!$B$3=P$3,SUMIF('TL19'!$C$10:$C$224,$C297,'TL19'!$J$10:$J$224),0),
IF('TL19'!$B$229=P$3,SUMIF('TL19'!$C$238:$C$451,$C297,'TL19'!$J$238:$J$451),0)
),0)</f>
        <v>0</v>
      </c>
      <c r="Q297" s="9">
        <f>IFERROR(SUM(
IF('TL01'!$B$3=Q$3,SUMIF('TL01'!$C$10:$C$224,$C297,'TL01'!$J$10:$J$224),0),
IF('TL01'!$B$229=Q$3,SUMIF('TL01'!$C$238:$C$451,$C297,'TL01'!$J$238:$J$451),0),
IF('TL02'!$B$3=Q$3,SUMIF('TL02'!$C$10:$C$224,$C297,'TL02'!$J$10:$J$224),0),
IF('TL02'!$B$229=Q$3,SUMIF('TL02'!$C$238:$C$451,$C297,'TL02'!$J$238:$J$451),0),
IF('TL03'!$B$3=Q$3,SUMIF('TL03'!$C$10:$C$224,$C297,'TL03'!$J$10:$J$224),0),
IF('TL03'!$B$229=Q$3,SUMIF('TL03'!$C$238:$C$451,$C297,'TL03'!$J$238:$J$451),0),
IF('TL04'!$B$3=Q$3,SUMIF('TL04'!$C$10:$C$224,$C297,'TL04'!$J$10:$J$224),0),
IF('TL04'!$B$229=Q$3,SUMIF('TL04'!$C$238:$C$451,$C297,'TL04'!$J$238:$J$451),0),
IF('TL05'!$B$3=Q$3,SUMIF('TL05'!$C$10:$C$224,$C297,'TL05'!$J$10:$J$224),0),
IF('TL05'!$B$229=Q$3,SUMIF('TL05'!$C$238:$C$451,$C297,'TL05'!$J$238:$J$451),0),
IF('TL06'!$B$3=Q$3,SUMIF('TL06'!$C$10:$C$224,$C297,'TL06'!$J$10:$J$224),0),
IF('TL06'!$B$229=Q$3,SUMIF('TL06'!$C$238:$C$451,$C297,'TL06'!$J$238:$J$451),0),
IF('TL07'!$B$3=Q$3,SUMIF('TL07'!$C$10:$C$224,$C297,'TL07'!$J$10:$J$224),0),
IF('TL07'!$B$229=Q$3,SUMIF('TL07'!$C$238:$C$451,$C297,'TL07'!$J$238:$J$451),0),
IF('TL08'!$B$3=Q$3,SUMIF('TL08'!$C$10:$C$224,$C297,'TL08'!$J$10:$J$224),0),
IF('TL08'!$B$229=Q$3,SUMIF('TL08'!$C$238:$C$451,$C297,'TL08'!$J$238:$J$451),0),
IF('TL09'!$B$3=Q$3,SUMIF('TL09'!$C$10:$C$224,$C297,'TL09'!$J$10:$J$224),0),
IF('TL09'!$B$229=Q$3,SUMIF('TL09'!$C$238:$C$451,$C297,'TL09'!$J$238:$J$451),0),
IF('TL10'!$B$3=Q$3,SUMIF('TL10'!$C$10:$C$224,$C297,'TL10'!$J$10:$J$224),0),
IF('TL10'!$B$229=Q$3,SUMIF('TL10'!$C$238:$C$451,$C297,'TL10'!$J$238:$J$451),0),
IF('TL11'!$B$3=Q$3,SUMIF('TL11'!$C$10:$C$224,$C297,'TL11'!$J$10:$J$224),0),
IF('TL11'!$B$229=Q$3,SUMIF('TL11'!$C$238:$C$451,$C297,'TL11'!$J$238:$J$451),0),
IF('TL12'!$B$3=Q$3,SUMIF('TL12'!$C$10:$C$224,$C297,'TL12'!$J$10:$J$224),0),
IF('TL12'!$B$229=Q$3,SUMIF('TL12'!$C$238:$C$451,$C297,'TL12'!$J$238:$J$451),0),
IF('TL13'!$B$3=Q$3,SUMIF('TL13'!$C$10:$C$224,$C297,'TL13'!$J$10:$J$224),0),
IF('TL13'!$B$229=Q$3,SUMIF('TL13'!$C$238:$C$451,$C297,'TL13'!$J$238:$J$451),0),
IF('TL14'!$B$3=Q$3,SUMIF('TL14'!$C$10:$C$224,$C297,'TL14'!$J$10:$J$224),0),
IF('TL14'!$B$229=Q$3,SUMIF('TL14'!$C$238:$C$451,$C297,'TL14'!$J$238:$J$451),0),
IF('TL15'!$B$3=Q$3,SUMIF('TL15'!$C$10:$C$224,$C297,'TL15'!$J$10:$J$224),0),
IF('TL15'!$B$229=Q$3,SUMIF('TL15'!$C$238:$C$451,$C297,'TL15'!$J$238:$J$451),0),
IF('TL16'!$B$3=Q$3,SUMIF('TL16'!$C$10:$C$224,$C297,'TL16'!$J$10:$J$224),0),
IF('TL16'!$B$229=Q$3,SUMIF('TL16'!$C$238:$C$451,$C297,'TL16'!$J$238:$J$451),0),
IF('TL17'!$B$3=Q$3,SUMIF('TL17'!$C$10:$C$224,$C297,'TL17'!$J$10:$J$224),0),
IF('TL17'!$B$229=Q$3,SUMIF('TL17'!$C$238:$C$451,$C297,'TL17'!$J$238:$J$451),0),
IF('TL18'!$B$3=Q$3,SUMIF('TL18'!$C$10:$C$224,$C297,'TL18'!$J$10:$J$224),0),
IF('TL18'!$B$229=Q$3,SUMIF('TL18'!$C$238:$C$451,$C297,'TL18'!$J$238:$J$451),0),
IF('TL19'!$B$3=Q$3,SUMIF('TL19'!$C$10:$C$224,$C297,'TL19'!$J$10:$J$224),0),
IF('TL19'!$B$229=Q$3,SUMIF('TL19'!$C$238:$C$451,$C297,'TL19'!$J$238:$J$451),0)
),0)</f>
        <v>0</v>
      </c>
      <c r="R297" s="9">
        <f>IFERROR(
SUM(
SUMIF('TL01'!C:C,C297,'TL01'!J:J),
SUMIF('TL02'!C:C,C297,'TL02'!J:J),
SUMIF('TL03'!C:C,C297,'TL03'!J:J),
SUMIF('TL04'!C:C,C297,'TL04'!J:J),
SUMIF('TL05'!C:C,C297,'TL05'!J:J),
SUMIF('TL06'!C:C,C297,'TL06'!J:J),
SUMIF('TL07'!C:C,C297,'TL07'!J:J),
SUMIF('TL08'!C:C,C297,'TL08'!J:J),
SUMIF('TL09'!C:C,C297,'TL09'!J:J),
SUMIF('TL10'!C:C,C297,'TL10'!J:J),
SUMIF('TL11'!C:C,C297,'TL11'!J:J),
SUMIF('TL12'!C:C,C297,'TL12'!J:J),
SUMIF('TL13'!C:C,C297,'TL13'!J:J),
SUMIF('TL14'!C:C,C297,'TL14'!J:J),
SUMIF('TL15'!C:C,C297,'TL15'!J:J),
SUMIF('TL16'!C:C,C297,'TL16'!J:J),
SUMIF('TL17'!C:C,C297,'TL17'!J:J),
SUMIF('TL18'!C:C,C297,'TL18'!J:J),SUMIF('TL19'!C:C,C297,'TL19'!J:J))
,0)</f>
        <v>0</v>
      </c>
      <c r="S297" s="17">
        <f>IFERROR(__xludf.DUMMYFUNCTION("IFERROR(VLOOKUP(C297,
IMPORTRANGE(""1wULbzX32WdYsx-lj2U3uUNBBe2INVIRDtcK0d-Dvl90"",
""26-27!C:G""),
5,
FALSE),
"""")"),66.5)</f>
        <v>66.5</v>
      </c>
      <c r="T297" s="9"/>
      <c r="U297" s="92">
        <f t="shared" si="2"/>
        <v>0</v>
      </c>
      <c r="V297" s="93">
        <f t="shared" si="3"/>
        <v>0</v>
      </c>
    </row>
    <row r="298" ht="15.75" hidden="1" customHeight="1">
      <c r="A298" s="119" t="s">
        <v>340</v>
      </c>
      <c r="B298" s="120" t="s">
        <v>3</v>
      </c>
      <c r="C298" s="119" t="s">
        <v>1017</v>
      </c>
      <c r="D298" s="119" t="s">
        <v>843</v>
      </c>
      <c r="E298" s="119">
        <v>600.0</v>
      </c>
      <c r="F298" s="4"/>
      <c r="G298" s="90" t="str">
        <f t="shared" si="5"/>
        <v>📄 Ver bula</v>
      </c>
      <c r="H298" s="9">
        <f>IFERROR(__xludf.DUMMYFUNCTION("IFERROR(VLOOKUP(C298,
IMPORTRANGE(""1wULbzX32WdYsx-lj2U3uUNBBe2INVIRDtcK0d-Dvl90"",
""26-27!C:K""),
8,
FALSE),
"""")"),0.125)</f>
        <v>0.125</v>
      </c>
      <c r="I298" s="123"/>
      <c r="J298" s="9">
        <f>IFERROR(SUM(
IF('TL01'!$B$3=J$3,SUMIF('TL01'!$C$10:$C$224,$C298,'TL01'!$J$10:$J$224),0),
IF('TL01'!$B$229=J$3,SUMIF('TL01'!$C$238:$C$451,$C298,'TL01'!$J$238:$J$451),0),
IF('TL02'!$B$3=J$3,SUMIF('TL02'!$C$10:$C$224,$C298,'TL02'!$J$10:$J$224),0),
IF('TL02'!$B$229=J$3,SUMIF('TL02'!$C$238:$C$451,$C298,'TL02'!$J$238:$J$451),0),
IF('TL03'!$B$3=J$3,SUMIF('TL03'!$C$10:$C$224,$C298,'TL03'!$J$10:$J$224),0),
IF('TL03'!$B$229=J$3,SUMIF('TL03'!$C$238:$C$451,$C298,'TL03'!$J$238:$J$451),0),
IF('TL04'!$B$3=J$3,SUMIF('TL04'!$C$10:$C$224,$C298,'TL04'!$J$10:$J$224),0),
IF('TL04'!$B$229=J$3,SUMIF('TL04'!$C$238:$C$451,$C298,'TL04'!$J$238:$J$451),0),
IF('TL05'!$B$3=J$3,SUMIF('TL05'!$C$10:$C$224,$C298,'TL05'!$J$10:$J$224),0),
IF('TL05'!$B$229=J$3,SUMIF('TL05'!$C$238:$C$451,$C298,'TL05'!$J$238:$J$451),0),
IF('TL06'!$B$3=J$3,SUMIF('TL06'!$C$10:$C$224,$C298,'TL06'!$J$10:$J$224),0),
IF('TL06'!$B$229=J$3,SUMIF('TL06'!$C$238:$C$451,$C298,'TL06'!$J$238:$J$451),0),
IF('TL07'!$B$3=J$3,SUMIF('TL07'!$C$10:$C$224,$C298,'TL07'!$J$10:$J$224),0),
IF('TL07'!$B$229=J$3,SUMIF('TL07'!$C$238:$C$451,$C298,'TL07'!$J$238:$J$451),0),
IF('TL08'!$B$3=J$3,SUMIF('TL08'!$C$10:$C$224,$C298,'TL08'!$J$10:$J$224),0),
IF('TL08'!$B$229=J$3,SUMIF('TL08'!$C$238:$C$451,$C298,'TL08'!$J$238:$J$451),0),
IF('TL09'!$B$3=J$3,SUMIF('TL09'!$C$10:$C$224,$C298,'TL09'!$J$10:$J$224),0),
IF('TL09'!$B$229=J$3,SUMIF('TL09'!$C$238:$C$451,$C298,'TL09'!$J$238:$J$451),0),
IF('TL10'!$B$3=J$3,SUMIF('TL10'!$C$10:$C$224,$C298,'TL10'!$J$10:$J$224),0),
IF('TL10'!$B$229=J$3,SUMIF('TL10'!$C$238:$C$451,$C298,'TL10'!$J$238:$J$451),0),
IF('TL11'!$B$3=J$3,SUMIF('TL11'!$C$10:$C$224,$C298,'TL11'!$J$10:$J$224),0),
IF('TL11'!$B$229=J$3,SUMIF('TL11'!$C$238:$C$451,$C298,'TL11'!$J$238:$J$451),0),
IF('TL12'!$B$3=J$3,SUMIF('TL12'!$C$10:$C$224,$C298,'TL12'!$J$10:$J$224),0),
IF('TL12'!$B$229=J$3,SUMIF('TL12'!$C$238:$C$451,$C298,'TL12'!$J$238:$J$451),0),
IF('TL13'!$B$3=J$3,SUMIF('TL13'!$C$10:$C$224,$C298,'TL13'!$J$10:$J$224),0),
IF('TL13'!$B$229=J$3,SUMIF('TL13'!$C$238:$C$451,$C298,'TL13'!$J$238:$J$451),0),
IF('TL14'!$B$3=J$3,SUMIF('TL14'!$C$10:$C$224,$C298,'TL14'!$J$10:$J$224),0),
IF('TL14'!$B$229=J$3,SUMIF('TL14'!$C$238:$C$451,$C298,'TL14'!$J$238:$J$451),0),
IF('TL15'!$B$3=J$3,SUMIF('TL15'!$C$10:$C$224,$C298,'TL15'!$J$10:$J$224),0),
IF('TL15'!$B$229=J$3,SUMIF('TL15'!$C$238:$C$451,$C298,'TL15'!$J$238:$J$451),0),
IF('TL16'!$B$3=J$3,SUMIF('TL16'!$C$10:$C$224,$C298,'TL16'!$J$10:$J$224),0),
IF('TL16'!$B$229=J$3,SUMIF('TL16'!$C$238:$C$451,$C298,'TL16'!$J$238:$J$451),0),
IF('TL17'!$B$3=J$3,SUMIF('TL17'!$C$10:$C$224,$C298,'TL17'!$J$10:$J$224),0),
IF('TL17'!$B$229=J$3,SUMIF('TL17'!$C$238:$C$451,$C298,'TL17'!$J$238:$J$451),0),
IF('TL18'!$B$3=J$3,SUMIF('TL18'!$C$10:$C$224,$C298,'TL18'!$J$10:$J$224),0),
IF('TL18'!$B$229=J$3,SUMIF('TL18'!$C$238:$C$451,$C298,'TL18'!$J$238:$J$451),0),
IF('TL19'!$B$3=J$3,SUMIF('TL19'!$C$10:$C$224,$C298,'TL19'!$J$10:$J$224),0),
IF('TL19'!$B$229=J$3,SUMIF('TL19'!$C$238:$C$451,$C298,'TL19'!$J$238:$J$451),0)
),0)</f>
        <v>0</v>
      </c>
      <c r="K298" s="9">
        <f>IFERROR(SUM(
IF('TL01'!$B$3=K$3,SUMIF('TL01'!$C$10:$C$224,$C298,'TL01'!$J$10:$J$224),0),
IF('TL01'!$B$229=K$3,SUMIF('TL01'!$C$238:$C$451,$C298,'TL01'!$J$238:$J$451),0),
IF('TL02'!$B$3=K$3,SUMIF('TL02'!$C$10:$C$224,$C298,'TL02'!$J$10:$J$224),0),
IF('TL02'!$B$229=K$3,SUMIF('TL02'!$C$238:$C$451,$C298,'TL02'!$J$238:$J$451),0),
IF('TL03'!$B$3=K$3,SUMIF('TL03'!$C$10:$C$224,$C298,'TL03'!$J$10:$J$224),0),
IF('TL03'!$B$229=K$3,SUMIF('TL03'!$C$238:$C$451,$C298,'TL03'!$J$238:$J$451),0),
IF('TL04'!$B$3=K$3,SUMIF('TL04'!$C$10:$C$224,$C298,'TL04'!$J$10:$J$224),0),
IF('TL04'!$B$229=K$3,SUMIF('TL04'!$C$238:$C$451,$C298,'TL04'!$J$238:$J$451),0),
IF('TL05'!$B$3=K$3,SUMIF('TL05'!$C$10:$C$224,$C298,'TL05'!$J$10:$J$224),0),
IF('TL05'!$B$229=K$3,SUMIF('TL05'!$C$238:$C$451,$C298,'TL05'!$J$238:$J$451),0),
IF('TL06'!$B$3=K$3,SUMIF('TL06'!$C$10:$C$224,$C298,'TL06'!$J$10:$J$224),0),
IF('TL06'!$B$229=K$3,SUMIF('TL06'!$C$238:$C$451,$C298,'TL06'!$J$238:$J$451),0),
IF('TL07'!$B$3=K$3,SUMIF('TL07'!$C$10:$C$224,$C298,'TL07'!$J$10:$J$224),0),
IF('TL07'!$B$229=K$3,SUMIF('TL07'!$C$238:$C$451,$C298,'TL07'!$J$238:$J$451),0),
IF('TL08'!$B$3=K$3,SUMIF('TL08'!$C$10:$C$224,$C298,'TL08'!$J$10:$J$224),0),
IF('TL08'!$B$229=K$3,SUMIF('TL08'!$C$238:$C$451,$C298,'TL08'!$J$238:$J$451),0),
IF('TL09'!$B$3=K$3,SUMIF('TL09'!$C$10:$C$224,$C298,'TL09'!$J$10:$J$224),0),
IF('TL09'!$B$229=K$3,SUMIF('TL09'!$C$238:$C$451,$C298,'TL09'!$J$238:$J$451),0),
IF('TL10'!$B$3=K$3,SUMIF('TL10'!$C$10:$C$224,$C298,'TL10'!$J$10:$J$224),0),
IF('TL10'!$B$229=K$3,SUMIF('TL10'!$C$238:$C$451,$C298,'TL10'!$J$238:$J$451),0),
IF('TL11'!$B$3=K$3,SUMIF('TL11'!$C$10:$C$224,$C298,'TL11'!$J$10:$J$224),0),
IF('TL11'!$B$229=K$3,SUMIF('TL11'!$C$238:$C$451,$C298,'TL11'!$J$238:$J$451),0),
IF('TL12'!$B$3=K$3,SUMIF('TL12'!$C$10:$C$224,$C298,'TL12'!$J$10:$J$224),0),
IF('TL12'!$B$229=K$3,SUMIF('TL12'!$C$238:$C$451,$C298,'TL12'!$J$238:$J$451),0),
IF('TL13'!$B$3=K$3,SUMIF('TL13'!$C$10:$C$224,$C298,'TL13'!$J$10:$J$224),0),
IF('TL13'!$B$229=K$3,SUMIF('TL13'!$C$238:$C$451,$C298,'TL13'!$J$238:$J$451),0),
IF('TL14'!$B$3=K$3,SUMIF('TL14'!$C$10:$C$224,$C298,'TL14'!$J$10:$J$224),0),
IF('TL14'!$B$229=K$3,SUMIF('TL14'!$C$238:$C$451,$C298,'TL14'!$J$238:$J$451),0),
IF('TL15'!$B$3=K$3,SUMIF('TL15'!$C$10:$C$224,$C298,'TL15'!$J$10:$J$224),0),
IF('TL15'!$B$229=K$3,SUMIF('TL15'!$C$238:$C$451,$C298,'TL15'!$J$238:$J$451),0),
IF('TL16'!$B$3=K$3,SUMIF('TL16'!$C$10:$C$224,$C298,'TL16'!$J$10:$J$224),0),
IF('TL16'!$B$229=K$3,SUMIF('TL16'!$C$238:$C$451,$C298,'TL16'!$J$238:$J$451),0),
IF('TL17'!$B$3=K$3,SUMIF('TL17'!$C$10:$C$224,$C298,'TL17'!$J$10:$J$224),0),
IF('TL17'!$B$229=K$3,SUMIF('TL17'!$C$238:$C$451,$C298,'TL17'!$J$238:$J$451),0),
IF('TL18'!$B$3=K$3,SUMIF('TL18'!$C$10:$C$224,$C298,'TL18'!$J$10:$J$224),0),
IF('TL18'!$B$229=K$3,SUMIF('TL18'!$C$238:$C$451,$C298,'TL18'!$J$238:$J$451),0),
IF('TL19'!$B$3=K$3,SUMIF('TL19'!$C$10:$C$224,$C298,'TL19'!$J$10:$J$224),0),
IF('TL19'!$B$229=K$3,SUMIF('TL19'!$C$238:$C$451,$C298,'TL19'!$J$238:$J$451),0)
),0)</f>
        <v>0</v>
      </c>
      <c r="L298" s="9">
        <f>IFERROR(SUM(
IF('TL01'!$B$3=L$3,SUMIF('TL01'!$C$10:$C$224,$C298,'TL01'!$J$10:$J$224),0),
IF('TL01'!$B$229=L$3,SUMIF('TL01'!$C$238:$C$451,$C298,'TL01'!$J$238:$J$451),0),
IF('TL02'!$B$3=L$3,SUMIF('TL02'!$C$10:$C$224,$C298,'TL02'!$J$10:$J$224),0),
IF('TL02'!$B$229=L$3,SUMIF('TL02'!$C$238:$C$451,$C298,'TL02'!$J$238:$J$451),0),
IF('TL03'!$B$3=L$3,SUMIF('TL03'!$C$10:$C$224,$C298,'TL03'!$J$10:$J$224),0),
IF('TL03'!$B$229=L$3,SUMIF('TL03'!$C$238:$C$451,$C298,'TL03'!$J$238:$J$451),0),
IF('TL04'!$B$3=L$3,SUMIF('TL04'!$C$10:$C$224,$C298,'TL04'!$J$10:$J$224),0),
IF('TL04'!$B$229=L$3,SUMIF('TL04'!$C$238:$C$451,$C298,'TL04'!$J$238:$J$451),0),
IF('TL05'!$B$3=L$3,SUMIF('TL05'!$C$10:$C$224,$C298,'TL05'!$J$10:$J$224),0),
IF('TL05'!$B$229=L$3,SUMIF('TL05'!$C$238:$C$451,$C298,'TL05'!$J$238:$J$451),0),
IF('TL06'!$B$3=L$3,SUMIF('TL06'!$C$10:$C$224,$C298,'TL06'!$J$10:$J$224),0),
IF('TL06'!$B$229=L$3,SUMIF('TL06'!$C$238:$C$451,$C298,'TL06'!$J$238:$J$451),0),
IF('TL07'!$B$3=L$3,SUMIF('TL07'!$C$10:$C$224,$C298,'TL07'!$J$10:$J$224),0),
IF('TL07'!$B$229=L$3,SUMIF('TL07'!$C$238:$C$451,$C298,'TL07'!$J$238:$J$451),0),
IF('TL08'!$B$3=L$3,SUMIF('TL08'!$C$10:$C$224,$C298,'TL08'!$J$10:$J$224),0),
IF('TL08'!$B$229=L$3,SUMIF('TL08'!$C$238:$C$451,$C298,'TL08'!$J$238:$J$451),0),
IF('TL09'!$B$3=L$3,SUMIF('TL09'!$C$10:$C$224,$C298,'TL09'!$J$10:$J$224),0),
IF('TL09'!$B$229=L$3,SUMIF('TL09'!$C$238:$C$451,$C298,'TL09'!$J$238:$J$451),0),
IF('TL10'!$B$3=L$3,SUMIF('TL10'!$C$10:$C$224,$C298,'TL10'!$J$10:$J$224),0),
IF('TL10'!$B$229=L$3,SUMIF('TL10'!$C$238:$C$451,$C298,'TL10'!$J$238:$J$451),0),
IF('TL11'!$B$3=L$3,SUMIF('TL11'!$C$10:$C$224,$C298,'TL11'!$J$10:$J$224),0),
IF('TL11'!$B$229=L$3,SUMIF('TL11'!$C$238:$C$451,$C298,'TL11'!$J$238:$J$451),0),
IF('TL12'!$B$3=L$3,SUMIF('TL12'!$C$10:$C$224,$C298,'TL12'!$J$10:$J$224),0),
IF('TL12'!$B$229=L$3,SUMIF('TL12'!$C$238:$C$451,$C298,'TL12'!$J$238:$J$451),0),
IF('TL13'!$B$3=L$3,SUMIF('TL13'!$C$10:$C$224,$C298,'TL13'!$J$10:$J$224),0),
IF('TL13'!$B$229=L$3,SUMIF('TL13'!$C$238:$C$451,$C298,'TL13'!$J$238:$J$451),0),
IF('TL14'!$B$3=L$3,SUMIF('TL14'!$C$10:$C$224,$C298,'TL14'!$J$10:$J$224),0),
IF('TL14'!$B$229=L$3,SUMIF('TL14'!$C$238:$C$451,$C298,'TL14'!$J$238:$J$451),0),
IF('TL15'!$B$3=L$3,SUMIF('TL15'!$C$10:$C$224,$C298,'TL15'!$J$10:$J$224),0),
IF('TL15'!$B$229=L$3,SUMIF('TL15'!$C$238:$C$451,$C298,'TL15'!$J$238:$J$451),0),
IF('TL16'!$B$3=L$3,SUMIF('TL16'!$C$10:$C$224,$C298,'TL16'!$J$10:$J$224),0),
IF('TL16'!$B$229=L$3,SUMIF('TL16'!$C$238:$C$451,$C298,'TL16'!$J$238:$J$451),0),
IF('TL17'!$B$3=L$3,SUMIF('TL17'!$C$10:$C$224,$C298,'TL17'!$J$10:$J$224),0),
IF('TL17'!$B$229=L$3,SUMIF('TL17'!$C$238:$C$451,$C298,'TL17'!$J$238:$J$451),0),
IF('TL18'!$B$3=L$3,SUMIF('TL18'!$C$10:$C$224,$C298,'TL18'!$J$10:$J$224),0),
IF('TL18'!$B$229=L$3,SUMIF('TL18'!$C$238:$C$451,$C298,'TL18'!$J$238:$J$451),0),
IF('TL19'!$B$3=L$3,SUMIF('TL19'!$C$10:$C$224,$C298,'TL19'!$J$10:$J$224),0),
IF('TL19'!$B$229=L$3,SUMIF('TL19'!$C$238:$C$451,$C298,'TL19'!$J$238:$J$451),0)
),0)</f>
        <v>0</v>
      </c>
      <c r="M298" s="9">
        <f>IFERROR(SUM(
IF('TL01'!$B$3=M$3,SUMIF('TL01'!$C$10:$C$224,$C298,'TL01'!$J$10:$J$224),0),
IF('TL01'!$B$229=M$3,SUMIF('TL01'!$C$238:$C$451,$C298,'TL01'!$J$238:$J$451),0),
IF('TL02'!$B$3=M$3,SUMIF('TL02'!$C$10:$C$224,$C298,'TL02'!$J$10:$J$224),0),
IF('TL02'!$B$229=M$3,SUMIF('TL02'!$C$238:$C$451,$C298,'TL02'!$J$238:$J$451),0),
IF('TL03'!$B$3=M$3,SUMIF('TL03'!$C$10:$C$224,$C298,'TL03'!$J$10:$J$224),0),
IF('TL03'!$B$229=M$3,SUMIF('TL03'!$C$238:$C$451,$C298,'TL03'!$J$238:$J$451),0),
IF('TL04'!$B$3=M$3,SUMIF('TL04'!$C$10:$C$224,$C298,'TL04'!$J$10:$J$224),0),
IF('TL04'!$B$229=M$3,SUMIF('TL04'!$C$238:$C$451,$C298,'TL04'!$J$238:$J$451),0),
IF('TL05'!$B$3=M$3,SUMIF('TL05'!$C$10:$C$224,$C298,'TL05'!$J$10:$J$224),0),
IF('TL05'!$B$229=M$3,SUMIF('TL05'!$C$238:$C$451,$C298,'TL05'!$J$238:$J$451),0),
IF('TL06'!$B$3=M$3,SUMIF('TL06'!$C$10:$C$224,$C298,'TL06'!$J$10:$J$224),0),
IF('TL06'!$B$229=M$3,SUMIF('TL06'!$C$238:$C$451,$C298,'TL06'!$J$238:$J$451),0),
IF('TL07'!$B$3=M$3,SUMIF('TL07'!$C$10:$C$224,$C298,'TL07'!$J$10:$J$224),0),
IF('TL07'!$B$229=M$3,SUMIF('TL07'!$C$238:$C$451,$C298,'TL07'!$J$238:$J$451),0),
IF('TL08'!$B$3=M$3,SUMIF('TL08'!$C$10:$C$224,$C298,'TL08'!$J$10:$J$224),0),
IF('TL08'!$B$229=M$3,SUMIF('TL08'!$C$238:$C$451,$C298,'TL08'!$J$238:$J$451),0),
IF('TL09'!$B$3=M$3,SUMIF('TL09'!$C$10:$C$224,$C298,'TL09'!$J$10:$J$224),0),
IF('TL09'!$B$229=M$3,SUMIF('TL09'!$C$238:$C$451,$C298,'TL09'!$J$238:$J$451),0),
IF('TL10'!$B$3=M$3,SUMIF('TL10'!$C$10:$C$224,$C298,'TL10'!$J$10:$J$224),0),
IF('TL10'!$B$229=M$3,SUMIF('TL10'!$C$238:$C$451,$C298,'TL10'!$J$238:$J$451),0),
IF('TL11'!$B$3=M$3,SUMIF('TL11'!$C$10:$C$224,$C298,'TL11'!$J$10:$J$224),0),
IF('TL11'!$B$229=M$3,SUMIF('TL11'!$C$238:$C$451,$C298,'TL11'!$J$238:$J$451),0),
IF('TL12'!$B$3=M$3,SUMIF('TL12'!$C$10:$C$224,$C298,'TL12'!$J$10:$J$224),0),
IF('TL12'!$B$229=M$3,SUMIF('TL12'!$C$238:$C$451,$C298,'TL12'!$J$238:$J$451),0),
IF('TL13'!$B$3=M$3,SUMIF('TL13'!$C$10:$C$224,$C298,'TL13'!$J$10:$J$224),0),
IF('TL13'!$B$229=M$3,SUMIF('TL13'!$C$238:$C$451,$C298,'TL13'!$J$238:$J$451),0),
IF('TL14'!$B$3=M$3,SUMIF('TL14'!$C$10:$C$224,$C298,'TL14'!$J$10:$J$224),0),
IF('TL14'!$B$229=M$3,SUMIF('TL14'!$C$238:$C$451,$C298,'TL14'!$J$238:$J$451),0),
IF('TL15'!$B$3=M$3,SUMIF('TL15'!$C$10:$C$224,$C298,'TL15'!$J$10:$J$224),0),
IF('TL15'!$B$229=M$3,SUMIF('TL15'!$C$238:$C$451,$C298,'TL15'!$J$238:$J$451),0),
IF('TL16'!$B$3=M$3,SUMIF('TL16'!$C$10:$C$224,$C298,'TL16'!$J$10:$J$224),0),
IF('TL16'!$B$229=M$3,SUMIF('TL16'!$C$238:$C$451,$C298,'TL16'!$J$238:$J$451),0),
IF('TL17'!$B$3=M$3,SUMIF('TL17'!$C$10:$C$224,$C298,'TL17'!$J$10:$J$224),0),
IF('TL17'!$B$229=M$3,SUMIF('TL17'!$C$238:$C$451,$C298,'TL17'!$J$238:$J$451),0),
IF('TL18'!$B$3=M$3,SUMIF('TL18'!$C$10:$C$224,$C298,'TL18'!$J$10:$J$224),0),
IF('TL18'!$B$229=M$3,SUMIF('TL18'!$C$238:$C$451,$C298,'TL18'!$J$238:$J$451),0),
IF('TL19'!$B$3=M$3,SUMIF('TL19'!$C$10:$C$224,$C298,'TL19'!$J$10:$J$224),0),
IF('TL19'!$B$229=M$3,SUMIF('TL19'!$C$238:$C$451,$C298,'TL19'!$J$238:$J$451),0)
),0)</f>
        <v>0</v>
      </c>
      <c r="N298" s="9">
        <f>IFERROR(SUM(
IF('TL01'!$B$3=N$3,SUMIF('TL01'!$C$10:$C$224,$C298,'TL01'!$J$10:$J$224),0),
IF('TL01'!$B$229=N$3,SUMIF('TL01'!$C$238:$C$451,$C298,'TL01'!$J$238:$J$451),0),
IF('TL02'!$B$3=N$3,SUMIF('TL02'!$C$10:$C$224,$C298,'TL02'!$J$10:$J$224),0),
IF('TL02'!$B$229=N$3,SUMIF('TL02'!$C$238:$C$451,$C298,'TL02'!$J$238:$J$451),0),
IF('TL03'!$B$3=N$3,SUMIF('TL03'!$C$10:$C$224,$C298,'TL03'!$J$10:$J$224),0),
IF('TL03'!$B$229=N$3,SUMIF('TL03'!$C$238:$C$451,$C298,'TL03'!$J$238:$J$451),0),
IF('TL04'!$B$3=N$3,SUMIF('TL04'!$C$10:$C$224,$C298,'TL04'!$J$10:$J$224),0),
IF('TL04'!$B$229=N$3,SUMIF('TL04'!$C$238:$C$451,$C298,'TL04'!$J$238:$J$451),0),
IF('TL05'!$B$3=N$3,SUMIF('TL05'!$C$10:$C$224,$C298,'TL05'!$J$10:$J$224),0),
IF('TL05'!$B$229=N$3,SUMIF('TL05'!$C$238:$C$451,$C298,'TL05'!$J$238:$J$451),0),
IF('TL06'!$B$3=N$3,SUMIF('TL06'!$C$10:$C$224,$C298,'TL06'!$J$10:$J$224),0),
IF('TL06'!$B$229=N$3,SUMIF('TL06'!$C$238:$C$451,$C298,'TL06'!$J$238:$J$451),0),
IF('TL07'!$B$3=N$3,SUMIF('TL07'!$C$10:$C$224,$C298,'TL07'!$J$10:$J$224),0),
IF('TL07'!$B$229=N$3,SUMIF('TL07'!$C$238:$C$451,$C298,'TL07'!$J$238:$J$451),0),
IF('TL08'!$B$3=N$3,SUMIF('TL08'!$C$10:$C$224,$C298,'TL08'!$J$10:$J$224),0),
IF('TL08'!$B$229=N$3,SUMIF('TL08'!$C$238:$C$451,$C298,'TL08'!$J$238:$J$451),0),
IF('TL09'!$B$3=N$3,SUMIF('TL09'!$C$10:$C$224,$C298,'TL09'!$J$10:$J$224),0),
IF('TL09'!$B$229=N$3,SUMIF('TL09'!$C$238:$C$451,$C298,'TL09'!$J$238:$J$451),0),
IF('TL10'!$B$3=N$3,SUMIF('TL10'!$C$10:$C$224,$C298,'TL10'!$J$10:$J$224),0),
IF('TL10'!$B$229=N$3,SUMIF('TL10'!$C$238:$C$451,$C298,'TL10'!$J$238:$J$451),0),
IF('TL11'!$B$3=N$3,SUMIF('TL11'!$C$10:$C$224,$C298,'TL11'!$J$10:$J$224),0),
IF('TL11'!$B$229=N$3,SUMIF('TL11'!$C$238:$C$451,$C298,'TL11'!$J$238:$J$451),0),
IF('TL12'!$B$3=N$3,SUMIF('TL12'!$C$10:$C$224,$C298,'TL12'!$J$10:$J$224),0),
IF('TL12'!$B$229=N$3,SUMIF('TL12'!$C$238:$C$451,$C298,'TL12'!$J$238:$J$451),0),
IF('TL13'!$B$3=N$3,SUMIF('TL13'!$C$10:$C$224,$C298,'TL13'!$J$10:$J$224),0),
IF('TL13'!$B$229=N$3,SUMIF('TL13'!$C$238:$C$451,$C298,'TL13'!$J$238:$J$451),0),
IF('TL14'!$B$3=N$3,SUMIF('TL14'!$C$10:$C$224,$C298,'TL14'!$J$10:$J$224),0),
IF('TL14'!$B$229=N$3,SUMIF('TL14'!$C$238:$C$451,$C298,'TL14'!$J$238:$J$451),0),
IF('TL15'!$B$3=N$3,SUMIF('TL15'!$C$10:$C$224,$C298,'TL15'!$J$10:$J$224),0),
IF('TL15'!$B$229=N$3,SUMIF('TL15'!$C$238:$C$451,$C298,'TL15'!$J$238:$J$451),0),
IF('TL16'!$B$3=N$3,SUMIF('TL16'!$C$10:$C$224,$C298,'TL16'!$J$10:$J$224),0),
IF('TL16'!$B$229=N$3,SUMIF('TL16'!$C$238:$C$451,$C298,'TL16'!$J$238:$J$451),0),
IF('TL17'!$B$3=N$3,SUMIF('TL17'!$C$10:$C$224,$C298,'TL17'!$J$10:$J$224),0),
IF('TL17'!$B$229=N$3,SUMIF('TL17'!$C$238:$C$451,$C298,'TL17'!$J$238:$J$451),0),
IF('TL18'!$B$3=N$3,SUMIF('TL18'!$C$10:$C$224,$C298,'TL18'!$J$10:$J$224),0),
IF('TL18'!$B$229=N$3,SUMIF('TL18'!$C$238:$C$451,$C298,'TL18'!$J$238:$J$451),0),
IF('TL19'!$B$3=N$3,SUMIF('TL19'!$C$10:$C$224,$C298,'TL19'!$J$10:$J$224),0),
IF('TL19'!$B$229=N$3,SUMIF('TL19'!$C$238:$C$451,$C298,'TL19'!$J$238:$J$451),0)
),0)</f>
        <v>0</v>
      </c>
      <c r="O298" s="9">
        <f>IFERROR(SUM(
IF('TL01'!$B$3=O$3,SUMIF('TL01'!$C$10:$C$224,$C298,'TL01'!$J$10:$J$224),0),
IF('TL01'!$B$229=O$3,SUMIF('TL01'!$C$238:$C$451,$C298,'TL01'!$J$238:$J$451),0),
IF('TL02'!$B$3=O$3,SUMIF('TL02'!$C$10:$C$224,$C298,'TL02'!$J$10:$J$224),0),
IF('TL02'!$B$229=O$3,SUMIF('TL02'!$C$238:$C$451,$C298,'TL02'!$J$238:$J$451),0),
IF('TL03'!$B$3=O$3,SUMIF('TL03'!$C$10:$C$224,$C298,'TL03'!$J$10:$J$224),0),
IF('TL03'!$B$229=O$3,SUMIF('TL03'!$C$238:$C$451,$C298,'TL03'!$J$238:$J$451),0),
IF('TL04'!$B$3=O$3,SUMIF('TL04'!$C$10:$C$224,$C298,'TL04'!$J$10:$J$224),0),
IF('TL04'!$B$229=O$3,SUMIF('TL04'!$C$238:$C$451,$C298,'TL04'!$J$238:$J$451),0),
IF('TL05'!$B$3=O$3,SUMIF('TL05'!$C$10:$C$224,$C298,'TL05'!$J$10:$J$224),0),
IF('TL05'!$B$229=O$3,SUMIF('TL05'!$C$238:$C$451,$C298,'TL05'!$J$238:$J$451),0),
IF('TL06'!$B$3=O$3,SUMIF('TL06'!$C$10:$C$224,$C298,'TL06'!$J$10:$J$224),0),
IF('TL06'!$B$229=O$3,SUMIF('TL06'!$C$238:$C$451,$C298,'TL06'!$J$238:$J$451),0),
IF('TL07'!$B$3=O$3,SUMIF('TL07'!$C$10:$C$224,$C298,'TL07'!$J$10:$J$224),0),
IF('TL07'!$B$229=O$3,SUMIF('TL07'!$C$238:$C$451,$C298,'TL07'!$J$238:$J$451),0),
IF('TL08'!$B$3=O$3,SUMIF('TL08'!$C$10:$C$224,$C298,'TL08'!$J$10:$J$224),0),
IF('TL08'!$B$229=O$3,SUMIF('TL08'!$C$238:$C$451,$C298,'TL08'!$J$238:$J$451),0),
IF('TL09'!$B$3=O$3,SUMIF('TL09'!$C$10:$C$224,$C298,'TL09'!$J$10:$J$224),0),
IF('TL09'!$B$229=O$3,SUMIF('TL09'!$C$238:$C$451,$C298,'TL09'!$J$238:$J$451),0),
IF('TL10'!$B$3=O$3,SUMIF('TL10'!$C$10:$C$224,$C298,'TL10'!$J$10:$J$224),0),
IF('TL10'!$B$229=O$3,SUMIF('TL10'!$C$238:$C$451,$C298,'TL10'!$J$238:$J$451),0),
IF('TL11'!$B$3=O$3,SUMIF('TL11'!$C$10:$C$224,$C298,'TL11'!$J$10:$J$224),0),
IF('TL11'!$B$229=O$3,SUMIF('TL11'!$C$238:$C$451,$C298,'TL11'!$J$238:$J$451),0),
IF('TL12'!$B$3=O$3,SUMIF('TL12'!$C$10:$C$224,$C298,'TL12'!$J$10:$J$224),0),
IF('TL12'!$B$229=O$3,SUMIF('TL12'!$C$238:$C$451,$C298,'TL12'!$J$238:$J$451),0),
IF('TL13'!$B$3=O$3,SUMIF('TL13'!$C$10:$C$224,$C298,'TL13'!$J$10:$J$224),0),
IF('TL13'!$B$229=O$3,SUMIF('TL13'!$C$238:$C$451,$C298,'TL13'!$J$238:$J$451),0),
IF('TL14'!$B$3=O$3,SUMIF('TL14'!$C$10:$C$224,$C298,'TL14'!$J$10:$J$224),0),
IF('TL14'!$B$229=O$3,SUMIF('TL14'!$C$238:$C$451,$C298,'TL14'!$J$238:$J$451),0),
IF('TL15'!$B$3=O$3,SUMIF('TL15'!$C$10:$C$224,$C298,'TL15'!$J$10:$J$224),0),
IF('TL15'!$B$229=O$3,SUMIF('TL15'!$C$238:$C$451,$C298,'TL15'!$J$238:$J$451),0),
IF('TL16'!$B$3=O$3,SUMIF('TL16'!$C$10:$C$224,$C298,'TL16'!$J$10:$J$224),0),
IF('TL16'!$B$229=O$3,SUMIF('TL16'!$C$238:$C$451,$C298,'TL16'!$J$238:$J$451),0),
IF('TL17'!$B$3=O$3,SUMIF('TL17'!$C$10:$C$224,$C298,'TL17'!$J$10:$J$224),0),
IF('TL17'!$B$229=O$3,SUMIF('TL17'!$C$238:$C$451,$C298,'TL17'!$J$238:$J$451),0),
IF('TL18'!$B$3=O$3,SUMIF('TL18'!$C$10:$C$224,$C298,'TL18'!$J$10:$J$224),0),
IF('TL18'!$B$229=O$3,SUMIF('TL18'!$C$238:$C$451,$C298,'TL18'!$J$238:$J$451),0),
IF('TL19'!$B$3=O$3,SUMIF('TL19'!$C$10:$C$224,$C298,'TL19'!$J$10:$J$224),0),
IF('TL19'!$B$229=O$3,SUMIF('TL19'!$C$238:$C$451,$C298,'TL19'!$J$238:$J$451),0)
),0)</f>
        <v>0</v>
      </c>
      <c r="P298" s="9">
        <f>IFERROR(SUM(
IF('TL01'!$B$3=P$3,SUMIF('TL01'!$C$10:$C$224,$C298,'TL01'!$J$10:$J$224),0),
IF('TL01'!$B$229=P$3,SUMIF('TL01'!$C$238:$C$451,$C298,'TL01'!$J$238:$J$451),0),
IF('TL02'!$B$3=P$3,SUMIF('TL02'!$C$10:$C$224,$C298,'TL02'!$J$10:$J$224),0),
IF('TL02'!$B$229=P$3,SUMIF('TL02'!$C$238:$C$451,$C298,'TL02'!$J$238:$J$451),0),
IF('TL03'!$B$3=P$3,SUMIF('TL03'!$C$10:$C$224,$C298,'TL03'!$J$10:$J$224),0),
IF('TL03'!$B$229=P$3,SUMIF('TL03'!$C$238:$C$451,$C298,'TL03'!$J$238:$J$451),0),
IF('TL04'!$B$3=P$3,SUMIF('TL04'!$C$10:$C$224,$C298,'TL04'!$J$10:$J$224),0),
IF('TL04'!$B$229=P$3,SUMIF('TL04'!$C$238:$C$451,$C298,'TL04'!$J$238:$J$451),0),
IF('TL05'!$B$3=P$3,SUMIF('TL05'!$C$10:$C$224,$C298,'TL05'!$J$10:$J$224),0),
IF('TL05'!$B$229=P$3,SUMIF('TL05'!$C$238:$C$451,$C298,'TL05'!$J$238:$J$451),0),
IF('TL06'!$B$3=P$3,SUMIF('TL06'!$C$10:$C$224,$C298,'TL06'!$J$10:$J$224),0),
IF('TL06'!$B$229=P$3,SUMIF('TL06'!$C$238:$C$451,$C298,'TL06'!$J$238:$J$451),0),
IF('TL07'!$B$3=P$3,SUMIF('TL07'!$C$10:$C$224,$C298,'TL07'!$J$10:$J$224),0),
IF('TL07'!$B$229=P$3,SUMIF('TL07'!$C$238:$C$451,$C298,'TL07'!$J$238:$J$451),0),
IF('TL08'!$B$3=P$3,SUMIF('TL08'!$C$10:$C$224,$C298,'TL08'!$J$10:$J$224),0),
IF('TL08'!$B$229=P$3,SUMIF('TL08'!$C$238:$C$451,$C298,'TL08'!$J$238:$J$451),0),
IF('TL09'!$B$3=P$3,SUMIF('TL09'!$C$10:$C$224,$C298,'TL09'!$J$10:$J$224),0),
IF('TL09'!$B$229=P$3,SUMIF('TL09'!$C$238:$C$451,$C298,'TL09'!$J$238:$J$451),0),
IF('TL10'!$B$3=P$3,SUMIF('TL10'!$C$10:$C$224,$C298,'TL10'!$J$10:$J$224),0),
IF('TL10'!$B$229=P$3,SUMIF('TL10'!$C$238:$C$451,$C298,'TL10'!$J$238:$J$451),0),
IF('TL11'!$B$3=P$3,SUMIF('TL11'!$C$10:$C$224,$C298,'TL11'!$J$10:$J$224),0),
IF('TL11'!$B$229=P$3,SUMIF('TL11'!$C$238:$C$451,$C298,'TL11'!$J$238:$J$451),0),
IF('TL12'!$B$3=P$3,SUMIF('TL12'!$C$10:$C$224,$C298,'TL12'!$J$10:$J$224),0),
IF('TL12'!$B$229=P$3,SUMIF('TL12'!$C$238:$C$451,$C298,'TL12'!$J$238:$J$451),0),
IF('TL13'!$B$3=P$3,SUMIF('TL13'!$C$10:$C$224,$C298,'TL13'!$J$10:$J$224),0),
IF('TL13'!$B$229=P$3,SUMIF('TL13'!$C$238:$C$451,$C298,'TL13'!$J$238:$J$451),0),
IF('TL14'!$B$3=P$3,SUMIF('TL14'!$C$10:$C$224,$C298,'TL14'!$J$10:$J$224),0),
IF('TL14'!$B$229=P$3,SUMIF('TL14'!$C$238:$C$451,$C298,'TL14'!$J$238:$J$451),0),
IF('TL15'!$B$3=P$3,SUMIF('TL15'!$C$10:$C$224,$C298,'TL15'!$J$10:$J$224),0),
IF('TL15'!$B$229=P$3,SUMIF('TL15'!$C$238:$C$451,$C298,'TL15'!$J$238:$J$451),0),
IF('TL16'!$B$3=P$3,SUMIF('TL16'!$C$10:$C$224,$C298,'TL16'!$J$10:$J$224),0),
IF('TL16'!$B$229=P$3,SUMIF('TL16'!$C$238:$C$451,$C298,'TL16'!$J$238:$J$451),0),
IF('TL17'!$B$3=P$3,SUMIF('TL17'!$C$10:$C$224,$C298,'TL17'!$J$10:$J$224),0),
IF('TL17'!$B$229=P$3,SUMIF('TL17'!$C$238:$C$451,$C298,'TL17'!$J$238:$J$451),0),
IF('TL18'!$B$3=P$3,SUMIF('TL18'!$C$10:$C$224,$C298,'TL18'!$J$10:$J$224),0),
IF('TL18'!$B$229=P$3,SUMIF('TL18'!$C$238:$C$451,$C298,'TL18'!$J$238:$J$451),0),
IF('TL19'!$B$3=P$3,SUMIF('TL19'!$C$10:$C$224,$C298,'TL19'!$J$10:$J$224),0),
IF('TL19'!$B$229=P$3,SUMIF('TL19'!$C$238:$C$451,$C298,'TL19'!$J$238:$J$451),0)
),0)</f>
        <v>0</v>
      </c>
      <c r="Q298" s="9">
        <f>IFERROR(SUM(
IF('TL01'!$B$3=Q$3,SUMIF('TL01'!$C$10:$C$224,$C298,'TL01'!$J$10:$J$224),0),
IF('TL01'!$B$229=Q$3,SUMIF('TL01'!$C$238:$C$451,$C298,'TL01'!$J$238:$J$451),0),
IF('TL02'!$B$3=Q$3,SUMIF('TL02'!$C$10:$C$224,$C298,'TL02'!$J$10:$J$224),0),
IF('TL02'!$B$229=Q$3,SUMIF('TL02'!$C$238:$C$451,$C298,'TL02'!$J$238:$J$451),0),
IF('TL03'!$B$3=Q$3,SUMIF('TL03'!$C$10:$C$224,$C298,'TL03'!$J$10:$J$224),0),
IF('TL03'!$B$229=Q$3,SUMIF('TL03'!$C$238:$C$451,$C298,'TL03'!$J$238:$J$451),0),
IF('TL04'!$B$3=Q$3,SUMIF('TL04'!$C$10:$C$224,$C298,'TL04'!$J$10:$J$224),0),
IF('TL04'!$B$229=Q$3,SUMIF('TL04'!$C$238:$C$451,$C298,'TL04'!$J$238:$J$451),0),
IF('TL05'!$B$3=Q$3,SUMIF('TL05'!$C$10:$C$224,$C298,'TL05'!$J$10:$J$224),0),
IF('TL05'!$B$229=Q$3,SUMIF('TL05'!$C$238:$C$451,$C298,'TL05'!$J$238:$J$451),0),
IF('TL06'!$B$3=Q$3,SUMIF('TL06'!$C$10:$C$224,$C298,'TL06'!$J$10:$J$224),0),
IF('TL06'!$B$229=Q$3,SUMIF('TL06'!$C$238:$C$451,$C298,'TL06'!$J$238:$J$451),0),
IF('TL07'!$B$3=Q$3,SUMIF('TL07'!$C$10:$C$224,$C298,'TL07'!$J$10:$J$224),0),
IF('TL07'!$B$229=Q$3,SUMIF('TL07'!$C$238:$C$451,$C298,'TL07'!$J$238:$J$451),0),
IF('TL08'!$B$3=Q$3,SUMIF('TL08'!$C$10:$C$224,$C298,'TL08'!$J$10:$J$224),0),
IF('TL08'!$B$229=Q$3,SUMIF('TL08'!$C$238:$C$451,$C298,'TL08'!$J$238:$J$451),0),
IF('TL09'!$B$3=Q$3,SUMIF('TL09'!$C$10:$C$224,$C298,'TL09'!$J$10:$J$224),0),
IF('TL09'!$B$229=Q$3,SUMIF('TL09'!$C$238:$C$451,$C298,'TL09'!$J$238:$J$451),0),
IF('TL10'!$B$3=Q$3,SUMIF('TL10'!$C$10:$C$224,$C298,'TL10'!$J$10:$J$224),0),
IF('TL10'!$B$229=Q$3,SUMIF('TL10'!$C$238:$C$451,$C298,'TL10'!$J$238:$J$451),0),
IF('TL11'!$B$3=Q$3,SUMIF('TL11'!$C$10:$C$224,$C298,'TL11'!$J$10:$J$224),0),
IF('TL11'!$B$229=Q$3,SUMIF('TL11'!$C$238:$C$451,$C298,'TL11'!$J$238:$J$451),0),
IF('TL12'!$B$3=Q$3,SUMIF('TL12'!$C$10:$C$224,$C298,'TL12'!$J$10:$J$224),0),
IF('TL12'!$B$229=Q$3,SUMIF('TL12'!$C$238:$C$451,$C298,'TL12'!$J$238:$J$451),0),
IF('TL13'!$B$3=Q$3,SUMIF('TL13'!$C$10:$C$224,$C298,'TL13'!$J$10:$J$224),0),
IF('TL13'!$B$229=Q$3,SUMIF('TL13'!$C$238:$C$451,$C298,'TL13'!$J$238:$J$451),0),
IF('TL14'!$B$3=Q$3,SUMIF('TL14'!$C$10:$C$224,$C298,'TL14'!$J$10:$J$224),0),
IF('TL14'!$B$229=Q$3,SUMIF('TL14'!$C$238:$C$451,$C298,'TL14'!$J$238:$J$451),0),
IF('TL15'!$B$3=Q$3,SUMIF('TL15'!$C$10:$C$224,$C298,'TL15'!$J$10:$J$224),0),
IF('TL15'!$B$229=Q$3,SUMIF('TL15'!$C$238:$C$451,$C298,'TL15'!$J$238:$J$451),0),
IF('TL16'!$B$3=Q$3,SUMIF('TL16'!$C$10:$C$224,$C298,'TL16'!$J$10:$J$224),0),
IF('TL16'!$B$229=Q$3,SUMIF('TL16'!$C$238:$C$451,$C298,'TL16'!$J$238:$J$451),0),
IF('TL17'!$B$3=Q$3,SUMIF('TL17'!$C$10:$C$224,$C298,'TL17'!$J$10:$J$224),0),
IF('TL17'!$B$229=Q$3,SUMIF('TL17'!$C$238:$C$451,$C298,'TL17'!$J$238:$J$451),0),
IF('TL18'!$B$3=Q$3,SUMIF('TL18'!$C$10:$C$224,$C298,'TL18'!$J$10:$J$224),0),
IF('TL18'!$B$229=Q$3,SUMIF('TL18'!$C$238:$C$451,$C298,'TL18'!$J$238:$J$451),0),
IF('TL19'!$B$3=Q$3,SUMIF('TL19'!$C$10:$C$224,$C298,'TL19'!$J$10:$J$224),0),
IF('TL19'!$B$229=Q$3,SUMIF('TL19'!$C$238:$C$451,$C298,'TL19'!$J$238:$J$451),0)
),0)</f>
        <v>0</v>
      </c>
      <c r="R298" s="9">
        <f>IFERROR(
SUM(
SUMIF('TL01'!C:C,C298,'TL01'!J:J),
SUMIF('TL02'!C:C,C298,'TL02'!J:J),
SUMIF('TL03'!C:C,C298,'TL03'!J:J),
SUMIF('TL04'!C:C,C298,'TL04'!J:J),
SUMIF('TL05'!C:C,C298,'TL05'!J:J),
SUMIF('TL06'!C:C,C298,'TL06'!J:J),
SUMIF('TL07'!C:C,C298,'TL07'!J:J),
SUMIF('TL08'!C:C,C298,'TL08'!J:J),
SUMIF('TL09'!C:C,C298,'TL09'!J:J),
SUMIF('TL10'!C:C,C298,'TL10'!J:J),
SUMIF('TL11'!C:C,C298,'TL11'!J:J),
SUMIF('TL12'!C:C,C298,'TL12'!J:J),
SUMIF('TL13'!C:C,C298,'TL13'!J:J),
SUMIF('TL14'!C:C,C298,'TL14'!J:J),
SUMIF('TL15'!C:C,C298,'TL15'!J:J),
SUMIF('TL16'!C:C,C298,'TL16'!J:J),
SUMIF('TL17'!C:C,C298,'TL17'!J:J),
SUMIF('TL18'!C:C,C298,'TL18'!J:J),SUMIF('TL19'!C:C,C298,'TL19'!J:J))
,0)</f>
        <v>0</v>
      </c>
      <c r="S298" s="17">
        <f>IFERROR(__xludf.DUMMYFUNCTION("IFERROR(VLOOKUP(C298,
IMPORTRANGE(""1wULbzX32WdYsx-lj2U3uUNBBe2INVIRDtcK0d-Dvl90"",
""26-27!C:G""),
5,
FALSE),
"""")"),71.68699999999998)</f>
        <v>71.687</v>
      </c>
      <c r="T298" s="9"/>
      <c r="U298" s="92">
        <f t="shared" si="2"/>
        <v>0</v>
      </c>
      <c r="V298" s="93">
        <f t="shared" si="3"/>
        <v>0</v>
      </c>
    </row>
    <row r="299" ht="15.75" hidden="1" customHeight="1">
      <c r="A299" s="122" t="s">
        <v>350</v>
      </c>
      <c r="B299" s="124" t="s">
        <v>3</v>
      </c>
      <c r="C299" s="122" t="s">
        <v>1018</v>
      </c>
      <c r="D299" s="122" t="s">
        <v>1019</v>
      </c>
      <c r="E299" s="122" t="s">
        <v>1020</v>
      </c>
      <c r="F299" s="4" t="s">
        <v>343</v>
      </c>
      <c r="G299" s="90" t="str">
        <f t="shared" si="5"/>
        <v>📄 Ver bula</v>
      </c>
      <c r="H299" s="9">
        <f>IFERROR(__xludf.DUMMYFUNCTION("IFERROR(VLOOKUP(C299,
IMPORTRANGE(""1wULbzX32WdYsx-lj2U3uUNBBe2INVIRDtcK0d-Dvl90"",
""26-27!C:K""),
8,
FALSE),
"""")"),0.25)</f>
        <v>0.25</v>
      </c>
      <c r="I299" s="123"/>
      <c r="J299" s="9">
        <f>IFERROR(SUM(
IF('TL01'!$B$3=J$3,SUMIF('TL01'!$C$10:$C$224,$C299,'TL01'!$J$10:$J$224),0),
IF('TL01'!$B$229=J$3,SUMIF('TL01'!$C$238:$C$451,$C299,'TL01'!$J$238:$J$451),0),
IF('TL02'!$B$3=J$3,SUMIF('TL02'!$C$10:$C$224,$C299,'TL02'!$J$10:$J$224),0),
IF('TL02'!$B$229=J$3,SUMIF('TL02'!$C$238:$C$451,$C299,'TL02'!$J$238:$J$451),0),
IF('TL03'!$B$3=J$3,SUMIF('TL03'!$C$10:$C$224,$C299,'TL03'!$J$10:$J$224),0),
IF('TL03'!$B$229=J$3,SUMIF('TL03'!$C$238:$C$451,$C299,'TL03'!$J$238:$J$451),0),
IF('TL04'!$B$3=J$3,SUMIF('TL04'!$C$10:$C$224,$C299,'TL04'!$J$10:$J$224),0),
IF('TL04'!$B$229=J$3,SUMIF('TL04'!$C$238:$C$451,$C299,'TL04'!$J$238:$J$451),0),
IF('TL05'!$B$3=J$3,SUMIF('TL05'!$C$10:$C$224,$C299,'TL05'!$J$10:$J$224),0),
IF('TL05'!$B$229=J$3,SUMIF('TL05'!$C$238:$C$451,$C299,'TL05'!$J$238:$J$451),0),
IF('TL06'!$B$3=J$3,SUMIF('TL06'!$C$10:$C$224,$C299,'TL06'!$J$10:$J$224),0),
IF('TL06'!$B$229=J$3,SUMIF('TL06'!$C$238:$C$451,$C299,'TL06'!$J$238:$J$451),0),
IF('TL07'!$B$3=J$3,SUMIF('TL07'!$C$10:$C$224,$C299,'TL07'!$J$10:$J$224),0),
IF('TL07'!$B$229=J$3,SUMIF('TL07'!$C$238:$C$451,$C299,'TL07'!$J$238:$J$451),0),
IF('TL08'!$B$3=J$3,SUMIF('TL08'!$C$10:$C$224,$C299,'TL08'!$J$10:$J$224),0),
IF('TL08'!$B$229=J$3,SUMIF('TL08'!$C$238:$C$451,$C299,'TL08'!$J$238:$J$451),0),
IF('TL09'!$B$3=J$3,SUMIF('TL09'!$C$10:$C$224,$C299,'TL09'!$J$10:$J$224),0),
IF('TL09'!$B$229=J$3,SUMIF('TL09'!$C$238:$C$451,$C299,'TL09'!$J$238:$J$451),0),
IF('TL10'!$B$3=J$3,SUMIF('TL10'!$C$10:$C$224,$C299,'TL10'!$J$10:$J$224),0),
IF('TL10'!$B$229=J$3,SUMIF('TL10'!$C$238:$C$451,$C299,'TL10'!$J$238:$J$451),0),
IF('TL11'!$B$3=J$3,SUMIF('TL11'!$C$10:$C$224,$C299,'TL11'!$J$10:$J$224),0),
IF('TL11'!$B$229=J$3,SUMIF('TL11'!$C$238:$C$451,$C299,'TL11'!$J$238:$J$451),0),
IF('TL12'!$B$3=J$3,SUMIF('TL12'!$C$10:$C$224,$C299,'TL12'!$J$10:$J$224),0),
IF('TL12'!$B$229=J$3,SUMIF('TL12'!$C$238:$C$451,$C299,'TL12'!$J$238:$J$451),0),
IF('TL13'!$B$3=J$3,SUMIF('TL13'!$C$10:$C$224,$C299,'TL13'!$J$10:$J$224),0),
IF('TL13'!$B$229=J$3,SUMIF('TL13'!$C$238:$C$451,$C299,'TL13'!$J$238:$J$451),0),
IF('TL14'!$B$3=J$3,SUMIF('TL14'!$C$10:$C$224,$C299,'TL14'!$J$10:$J$224),0),
IF('TL14'!$B$229=J$3,SUMIF('TL14'!$C$238:$C$451,$C299,'TL14'!$J$238:$J$451),0),
IF('TL15'!$B$3=J$3,SUMIF('TL15'!$C$10:$C$224,$C299,'TL15'!$J$10:$J$224),0),
IF('TL15'!$B$229=J$3,SUMIF('TL15'!$C$238:$C$451,$C299,'TL15'!$J$238:$J$451),0),
IF('TL16'!$B$3=J$3,SUMIF('TL16'!$C$10:$C$224,$C299,'TL16'!$J$10:$J$224),0),
IF('TL16'!$B$229=J$3,SUMIF('TL16'!$C$238:$C$451,$C299,'TL16'!$J$238:$J$451),0),
IF('TL17'!$B$3=J$3,SUMIF('TL17'!$C$10:$C$224,$C299,'TL17'!$J$10:$J$224),0),
IF('TL17'!$B$229=J$3,SUMIF('TL17'!$C$238:$C$451,$C299,'TL17'!$J$238:$J$451),0),
IF('TL18'!$B$3=J$3,SUMIF('TL18'!$C$10:$C$224,$C299,'TL18'!$J$10:$J$224),0),
IF('TL18'!$B$229=J$3,SUMIF('TL18'!$C$238:$C$451,$C299,'TL18'!$J$238:$J$451),0),
IF('TL19'!$B$3=J$3,SUMIF('TL19'!$C$10:$C$224,$C299,'TL19'!$J$10:$J$224),0),
IF('TL19'!$B$229=J$3,SUMIF('TL19'!$C$238:$C$451,$C299,'TL19'!$J$238:$J$451),0)
),0)</f>
        <v>0</v>
      </c>
      <c r="K299" s="9">
        <f>IFERROR(SUM(
IF('TL01'!$B$3=K$3,SUMIF('TL01'!$C$10:$C$224,$C299,'TL01'!$J$10:$J$224),0),
IF('TL01'!$B$229=K$3,SUMIF('TL01'!$C$238:$C$451,$C299,'TL01'!$J$238:$J$451),0),
IF('TL02'!$B$3=K$3,SUMIF('TL02'!$C$10:$C$224,$C299,'TL02'!$J$10:$J$224),0),
IF('TL02'!$B$229=K$3,SUMIF('TL02'!$C$238:$C$451,$C299,'TL02'!$J$238:$J$451),0),
IF('TL03'!$B$3=K$3,SUMIF('TL03'!$C$10:$C$224,$C299,'TL03'!$J$10:$J$224),0),
IF('TL03'!$B$229=K$3,SUMIF('TL03'!$C$238:$C$451,$C299,'TL03'!$J$238:$J$451),0),
IF('TL04'!$B$3=K$3,SUMIF('TL04'!$C$10:$C$224,$C299,'TL04'!$J$10:$J$224),0),
IF('TL04'!$B$229=K$3,SUMIF('TL04'!$C$238:$C$451,$C299,'TL04'!$J$238:$J$451),0),
IF('TL05'!$B$3=K$3,SUMIF('TL05'!$C$10:$C$224,$C299,'TL05'!$J$10:$J$224),0),
IF('TL05'!$B$229=K$3,SUMIF('TL05'!$C$238:$C$451,$C299,'TL05'!$J$238:$J$451),0),
IF('TL06'!$B$3=K$3,SUMIF('TL06'!$C$10:$C$224,$C299,'TL06'!$J$10:$J$224),0),
IF('TL06'!$B$229=K$3,SUMIF('TL06'!$C$238:$C$451,$C299,'TL06'!$J$238:$J$451),0),
IF('TL07'!$B$3=K$3,SUMIF('TL07'!$C$10:$C$224,$C299,'TL07'!$J$10:$J$224),0),
IF('TL07'!$B$229=K$3,SUMIF('TL07'!$C$238:$C$451,$C299,'TL07'!$J$238:$J$451),0),
IF('TL08'!$B$3=K$3,SUMIF('TL08'!$C$10:$C$224,$C299,'TL08'!$J$10:$J$224),0),
IF('TL08'!$B$229=K$3,SUMIF('TL08'!$C$238:$C$451,$C299,'TL08'!$J$238:$J$451),0),
IF('TL09'!$B$3=K$3,SUMIF('TL09'!$C$10:$C$224,$C299,'TL09'!$J$10:$J$224),0),
IF('TL09'!$B$229=K$3,SUMIF('TL09'!$C$238:$C$451,$C299,'TL09'!$J$238:$J$451),0),
IF('TL10'!$B$3=K$3,SUMIF('TL10'!$C$10:$C$224,$C299,'TL10'!$J$10:$J$224),0),
IF('TL10'!$B$229=K$3,SUMIF('TL10'!$C$238:$C$451,$C299,'TL10'!$J$238:$J$451),0),
IF('TL11'!$B$3=K$3,SUMIF('TL11'!$C$10:$C$224,$C299,'TL11'!$J$10:$J$224),0),
IF('TL11'!$B$229=K$3,SUMIF('TL11'!$C$238:$C$451,$C299,'TL11'!$J$238:$J$451),0),
IF('TL12'!$B$3=K$3,SUMIF('TL12'!$C$10:$C$224,$C299,'TL12'!$J$10:$J$224),0),
IF('TL12'!$B$229=K$3,SUMIF('TL12'!$C$238:$C$451,$C299,'TL12'!$J$238:$J$451),0),
IF('TL13'!$B$3=K$3,SUMIF('TL13'!$C$10:$C$224,$C299,'TL13'!$J$10:$J$224),0),
IF('TL13'!$B$229=K$3,SUMIF('TL13'!$C$238:$C$451,$C299,'TL13'!$J$238:$J$451),0),
IF('TL14'!$B$3=K$3,SUMIF('TL14'!$C$10:$C$224,$C299,'TL14'!$J$10:$J$224),0),
IF('TL14'!$B$229=K$3,SUMIF('TL14'!$C$238:$C$451,$C299,'TL14'!$J$238:$J$451),0),
IF('TL15'!$B$3=K$3,SUMIF('TL15'!$C$10:$C$224,$C299,'TL15'!$J$10:$J$224),0),
IF('TL15'!$B$229=K$3,SUMIF('TL15'!$C$238:$C$451,$C299,'TL15'!$J$238:$J$451),0),
IF('TL16'!$B$3=K$3,SUMIF('TL16'!$C$10:$C$224,$C299,'TL16'!$J$10:$J$224),0),
IF('TL16'!$B$229=K$3,SUMIF('TL16'!$C$238:$C$451,$C299,'TL16'!$J$238:$J$451),0),
IF('TL17'!$B$3=K$3,SUMIF('TL17'!$C$10:$C$224,$C299,'TL17'!$J$10:$J$224),0),
IF('TL17'!$B$229=K$3,SUMIF('TL17'!$C$238:$C$451,$C299,'TL17'!$J$238:$J$451),0),
IF('TL18'!$B$3=K$3,SUMIF('TL18'!$C$10:$C$224,$C299,'TL18'!$J$10:$J$224),0),
IF('TL18'!$B$229=K$3,SUMIF('TL18'!$C$238:$C$451,$C299,'TL18'!$J$238:$J$451),0),
IF('TL19'!$B$3=K$3,SUMIF('TL19'!$C$10:$C$224,$C299,'TL19'!$J$10:$J$224),0),
IF('TL19'!$B$229=K$3,SUMIF('TL19'!$C$238:$C$451,$C299,'TL19'!$J$238:$J$451),0)
),0)</f>
        <v>0</v>
      </c>
      <c r="L299" s="9">
        <f>IFERROR(SUM(
IF('TL01'!$B$3=L$3,SUMIF('TL01'!$C$10:$C$224,$C299,'TL01'!$J$10:$J$224),0),
IF('TL01'!$B$229=L$3,SUMIF('TL01'!$C$238:$C$451,$C299,'TL01'!$J$238:$J$451),0),
IF('TL02'!$B$3=L$3,SUMIF('TL02'!$C$10:$C$224,$C299,'TL02'!$J$10:$J$224),0),
IF('TL02'!$B$229=L$3,SUMIF('TL02'!$C$238:$C$451,$C299,'TL02'!$J$238:$J$451),0),
IF('TL03'!$B$3=L$3,SUMIF('TL03'!$C$10:$C$224,$C299,'TL03'!$J$10:$J$224),0),
IF('TL03'!$B$229=L$3,SUMIF('TL03'!$C$238:$C$451,$C299,'TL03'!$J$238:$J$451),0),
IF('TL04'!$B$3=L$3,SUMIF('TL04'!$C$10:$C$224,$C299,'TL04'!$J$10:$J$224),0),
IF('TL04'!$B$229=L$3,SUMIF('TL04'!$C$238:$C$451,$C299,'TL04'!$J$238:$J$451),0),
IF('TL05'!$B$3=L$3,SUMIF('TL05'!$C$10:$C$224,$C299,'TL05'!$J$10:$J$224),0),
IF('TL05'!$B$229=L$3,SUMIF('TL05'!$C$238:$C$451,$C299,'TL05'!$J$238:$J$451),0),
IF('TL06'!$B$3=L$3,SUMIF('TL06'!$C$10:$C$224,$C299,'TL06'!$J$10:$J$224),0),
IF('TL06'!$B$229=L$3,SUMIF('TL06'!$C$238:$C$451,$C299,'TL06'!$J$238:$J$451),0),
IF('TL07'!$B$3=L$3,SUMIF('TL07'!$C$10:$C$224,$C299,'TL07'!$J$10:$J$224),0),
IF('TL07'!$B$229=L$3,SUMIF('TL07'!$C$238:$C$451,$C299,'TL07'!$J$238:$J$451),0),
IF('TL08'!$B$3=L$3,SUMIF('TL08'!$C$10:$C$224,$C299,'TL08'!$J$10:$J$224),0),
IF('TL08'!$B$229=L$3,SUMIF('TL08'!$C$238:$C$451,$C299,'TL08'!$J$238:$J$451),0),
IF('TL09'!$B$3=L$3,SUMIF('TL09'!$C$10:$C$224,$C299,'TL09'!$J$10:$J$224),0),
IF('TL09'!$B$229=L$3,SUMIF('TL09'!$C$238:$C$451,$C299,'TL09'!$J$238:$J$451),0),
IF('TL10'!$B$3=L$3,SUMIF('TL10'!$C$10:$C$224,$C299,'TL10'!$J$10:$J$224),0),
IF('TL10'!$B$229=L$3,SUMIF('TL10'!$C$238:$C$451,$C299,'TL10'!$J$238:$J$451),0),
IF('TL11'!$B$3=L$3,SUMIF('TL11'!$C$10:$C$224,$C299,'TL11'!$J$10:$J$224),0),
IF('TL11'!$B$229=L$3,SUMIF('TL11'!$C$238:$C$451,$C299,'TL11'!$J$238:$J$451),0),
IF('TL12'!$B$3=L$3,SUMIF('TL12'!$C$10:$C$224,$C299,'TL12'!$J$10:$J$224),0),
IF('TL12'!$B$229=L$3,SUMIF('TL12'!$C$238:$C$451,$C299,'TL12'!$J$238:$J$451),0),
IF('TL13'!$B$3=L$3,SUMIF('TL13'!$C$10:$C$224,$C299,'TL13'!$J$10:$J$224),0),
IF('TL13'!$B$229=L$3,SUMIF('TL13'!$C$238:$C$451,$C299,'TL13'!$J$238:$J$451),0),
IF('TL14'!$B$3=L$3,SUMIF('TL14'!$C$10:$C$224,$C299,'TL14'!$J$10:$J$224),0),
IF('TL14'!$B$229=L$3,SUMIF('TL14'!$C$238:$C$451,$C299,'TL14'!$J$238:$J$451),0),
IF('TL15'!$B$3=L$3,SUMIF('TL15'!$C$10:$C$224,$C299,'TL15'!$J$10:$J$224),0),
IF('TL15'!$B$229=L$3,SUMIF('TL15'!$C$238:$C$451,$C299,'TL15'!$J$238:$J$451),0),
IF('TL16'!$B$3=L$3,SUMIF('TL16'!$C$10:$C$224,$C299,'TL16'!$J$10:$J$224),0),
IF('TL16'!$B$229=L$3,SUMIF('TL16'!$C$238:$C$451,$C299,'TL16'!$J$238:$J$451),0),
IF('TL17'!$B$3=L$3,SUMIF('TL17'!$C$10:$C$224,$C299,'TL17'!$J$10:$J$224),0),
IF('TL17'!$B$229=L$3,SUMIF('TL17'!$C$238:$C$451,$C299,'TL17'!$J$238:$J$451),0),
IF('TL18'!$B$3=L$3,SUMIF('TL18'!$C$10:$C$224,$C299,'TL18'!$J$10:$J$224),0),
IF('TL18'!$B$229=L$3,SUMIF('TL18'!$C$238:$C$451,$C299,'TL18'!$J$238:$J$451),0),
IF('TL19'!$B$3=L$3,SUMIF('TL19'!$C$10:$C$224,$C299,'TL19'!$J$10:$J$224),0),
IF('TL19'!$B$229=L$3,SUMIF('TL19'!$C$238:$C$451,$C299,'TL19'!$J$238:$J$451),0)
),0)</f>
        <v>0</v>
      </c>
      <c r="M299" s="9">
        <f>IFERROR(SUM(
IF('TL01'!$B$3=M$3,SUMIF('TL01'!$C$10:$C$224,$C299,'TL01'!$J$10:$J$224),0),
IF('TL01'!$B$229=M$3,SUMIF('TL01'!$C$238:$C$451,$C299,'TL01'!$J$238:$J$451),0),
IF('TL02'!$B$3=M$3,SUMIF('TL02'!$C$10:$C$224,$C299,'TL02'!$J$10:$J$224),0),
IF('TL02'!$B$229=M$3,SUMIF('TL02'!$C$238:$C$451,$C299,'TL02'!$J$238:$J$451),0),
IF('TL03'!$B$3=M$3,SUMIF('TL03'!$C$10:$C$224,$C299,'TL03'!$J$10:$J$224),0),
IF('TL03'!$B$229=M$3,SUMIF('TL03'!$C$238:$C$451,$C299,'TL03'!$J$238:$J$451),0),
IF('TL04'!$B$3=M$3,SUMIF('TL04'!$C$10:$C$224,$C299,'TL04'!$J$10:$J$224),0),
IF('TL04'!$B$229=M$3,SUMIF('TL04'!$C$238:$C$451,$C299,'TL04'!$J$238:$J$451),0),
IF('TL05'!$B$3=M$3,SUMIF('TL05'!$C$10:$C$224,$C299,'TL05'!$J$10:$J$224),0),
IF('TL05'!$B$229=M$3,SUMIF('TL05'!$C$238:$C$451,$C299,'TL05'!$J$238:$J$451),0),
IF('TL06'!$B$3=M$3,SUMIF('TL06'!$C$10:$C$224,$C299,'TL06'!$J$10:$J$224),0),
IF('TL06'!$B$229=M$3,SUMIF('TL06'!$C$238:$C$451,$C299,'TL06'!$J$238:$J$451),0),
IF('TL07'!$B$3=M$3,SUMIF('TL07'!$C$10:$C$224,$C299,'TL07'!$J$10:$J$224),0),
IF('TL07'!$B$229=M$3,SUMIF('TL07'!$C$238:$C$451,$C299,'TL07'!$J$238:$J$451),0),
IF('TL08'!$B$3=M$3,SUMIF('TL08'!$C$10:$C$224,$C299,'TL08'!$J$10:$J$224),0),
IF('TL08'!$B$229=M$3,SUMIF('TL08'!$C$238:$C$451,$C299,'TL08'!$J$238:$J$451),0),
IF('TL09'!$B$3=M$3,SUMIF('TL09'!$C$10:$C$224,$C299,'TL09'!$J$10:$J$224),0),
IF('TL09'!$B$229=M$3,SUMIF('TL09'!$C$238:$C$451,$C299,'TL09'!$J$238:$J$451),0),
IF('TL10'!$B$3=M$3,SUMIF('TL10'!$C$10:$C$224,$C299,'TL10'!$J$10:$J$224),0),
IF('TL10'!$B$229=M$3,SUMIF('TL10'!$C$238:$C$451,$C299,'TL10'!$J$238:$J$451),0),
IF('TL11'!$B$3=M$3,SUMIF('TL11'!$C$10:$C$224,$C299,'TL11'!$J$10:$J$224),0),
IF('TL11'!$B$229=M$3,SUMIF('TL11'!$C$238:$C$451,$C299,'TL11'!$J$238:$J$451),0),
IF('TL12'!$B$3=M$3,SUMIF('TL12'!$C$10:$C$224,$C299,'TL12'!$J$10:$J$224),0),
IF('TL12'!$B$229=M$3,SUMIF('TL12'!$C$238:$C$451,$C299,'TL12'!$J$238:$J$451),0),
IF('TL13'!$B$3=M$3,SUMIF('TL13'!$C$10:$C$224,$C299,'TL13'!$J$10:$J$224),0),
IF('TL13'!$B$229=M$3,SUMIF('TL13'!$C$238:$C$451,$C299,'TL13'!$J$238:$J$451),0),
IF('TL14'!$B$3=M$3,SUMIF('TL14'!$C$10:$C$224,$C299,'TL14'!$J$10:$J$224),0),
IF('TL14'!$B$229=M$3,SUMIF('TL14'!$C$238:$C$451,$C299,'TL14'!$J$238:$J$451),0),
IF('TL15'!$B$3=M$3,SUMIF('TL15'!$C$10:$C$224,$C299,'TL15'!$J$10:$J$224),0),
IF('TL15'!$B$229=M$3,SUMIF('TL15'!$C$238:$C$451,$C299,'TL15'!$J$238:$J$451),0),
IF('TL16'!$B$3=M$3,SUMIF('TL16'!$C$10:$C$224,$C299,'TL16'!$J$10:$J$224),0),
IF('TL16'!$B$229=M$3,SUMIF('TL16'!$C$238:$C$451,$C299,'TL16'!$J$238:$J$451),0),
IF('TL17'!$B$3=M$3,SUMIF('TL17'!$C$10:$C$224,$C299,'TL17'!$J$10:$J$224),0),
IF('TL17'!$B$229=M$3,SUMIF('TL17'!$C$238:$C$451,$C299,'TL17'!$J$238:$J$451),0),
IF('TL18'!$B$3=M$3,SUMIF('TL18'!$C$10:$C$224,$C299,'TL18'!$J$10:$J$224),0),
IF('TL18'!$B$229=M$3,SUMIF('TL18'!$C$238:$C$451,$C299,'TL18'!$J$238:$J$451),0),
IF('TL19'!$B$3=M$3,SUMIF('TL19'!$C$10:$C$224,$C299,'TL19'!$J$10:$J$224),0),
IF('TL19'!$B$229=M$3,SUMIF('TL19'!$C$238:$C$451,$C299,'TL19'!$J$238:$J$451),0)
),0)</f>
        <v>0</v>
      </c>
      <c r="N299" s="9">
        <f>IFERROR(SUM(
IF('TL01'!$B$3=N$3,SUMIF('TL01'!$C$10:$C$224,$C299,'TL01'!$J$10:$J$224),0),
IF('TL01'!$B$229=N$3,SUMIF('TL01'!$C$238:$C$451,$C299,'TL01'!$J$238:$J$451),0),
IF('TL02'!$B$3=N$3,SUMIF('TL02'!$C$10:$C$224,$C299,'TL02'!$J$10:$J$224),0),
IF('TL02'!$B$229=N$3,SUMIF('TL02'!$C$238:$C$451,$C299,'TL02'!$J$238:$J$451),0),
IF('TL03'!$B$3=N$3,SUMIF('TL03'!$C$10:$C$224,$C299,'TL03'!$J$10:$J$224),0),
IF('TL03'!$B$229=N$3,SUMIF('TL03'!$C$238:$C$451,$C299,'TL03'!$J$238:$J$451),0),
IF('TL04'!$B$3=N$3,SUMIF('TL04'!$C$10:$C$224,$C299,'TL04'!$J$10:$J$224),0),
IF('TL04'!$B$229=N$3,SUMIF('TL04'!$C$238:$C$451,$C299,'TL04'!$J$238:$J$451),0),
IF('TL05'!$B$3=N$3,SUMIF('TL05'!$C$10:$C$224,$C299,'TL05'!$J$10:$J$224),0),
IF('TL05'!$B$229=N$3,SUMIF('TL05'!$C$238:$C$451,$C299,'TL05'!$J$238:$J$451),0),
IF('TL06'!$B$3=N$3,SUMIF('TL06'!$C$10:$C$224,$C299,'TL06'!$J$10:$J$224),0),
IF('TL06'!$B$229=N$3,SUMIF('TL06'!$C$238:$C$451,$C299,'TL06'!$J$238:$J$451),0),
IF('TL07'!$B$3=N$3,SUMIF('TL07'!$C$10:$C$224,$C299,'TL07'!$J$10:$J$224),0),
IF('TL07'!$B$229=N$3,SUMIF('TL07'!$C$238:$C$451,$C299,'TL07'!$J$238:$J$451),0),
IF('TL08'!$B$3=N$3,SUMIF('TL08'!$C$10:$C$224,$C299,'TL08'!$J$10:$J$224),0),
IF('TL08'!$B$229=N$3,SUMIF('TL08'!$C$238:$C$451,$C299,'TL08'!$J$238:$J$451),0),
IF('TL09'!$B$3=N$3,SUMIF('TL09'!$C$10:$C$224,$C299,'TL09'!$J$10:$J$224),0),
IF('TL09'!$B$229=N$3,SUMIF('TL09'!$C$238:$C$451,$C299,'TL09'!$J$238:$J$451),0),
IF('TL10'!$B$3=N$3,SUMIF('TL10'!$C$10:$C$224,$C299,'TL10'!$J$10:$J$224),0),
IF('TL10'!$B$229=N$3,SUMIF('TL10'!$C$238:$C$451,$C299,'TL10'!$J$238:$J$451),0),
IF('TL11'!$B$3=N$3,SUMIF('TL11'!$C$10:$C$224,$C299,'TL11'!$J$10:$J$224),0),
IF('TL11'!$B$229=N$3,SUMIF('TL11'!$C$238:$C$451,$C299,'TL11'!$J$238:$J$451),0),
IF('TL12'!$B$3=N$3,SUMIF('TL12'!$C$10:$C$224,$C299,'TL12'!$J$10:$J$224),0),
IF('TL12'!$B$229=N$3,SUMIF('TL12'!$C$238:$C$451,$C299,'TL12'!$J$238:$J$451),0),
IF('TL13'!$B$3=N$3,SUMIF('TL13'!$C$10:$C$224,$C299,'TL13'!$J$10:$J$224),0),
IF('TL13'!$B$229=N$3,SUMIF('TL13'!$C$238:$C$451,$C299,'TL13'!$J$238:$J$451),0),
IF('TL14'!$B$3=N$3,SUMIF('TL14'!$C$10:$C$224,$C299,'TL14'!$J$10:$J$224),0),
IF('TL14'!$B$229=N$3,SUMIF('TL14'!$C$238:$C$451,$C299,'TL14'!$J$238:$J$451),0),
IF('TL15'!$B$3=N$3,SUMIF('TL15'!$C$10:$C$224,$C299,'TL15'!$J$10:$J$224),0),
IF('TL15'!$B$229=N$3,SUMIF('TL15'!$C$238:$C$451,$C299,'TL15'!$J$238:$J$451),0),
IF('TL16'!$B$3=N$3,SUMIF('TL16'!$C$10:$C$224,$C299,'TL16'!$J$10:$J$224),0),
IF('TL16'!$B$229=N$3,SUMIF('TL16'!$C$238:$C$451,$C299,'TL16'!$J$238:$J$451),0),
IF('TL17'!$B$3=N$3,SUMIF('TL17'!$C$10:$C$224,$C299,'TL17'!$J$10:$J$224),0),
IF('TL17'!$B$229=N$3,SUMIF('TL17'!$C$238:$C$451,$C299,'TL17'!$J$238:$J$451),0),
IF('TL18'!$B$3=N$3,SUMIF('TL18'!$C$10:$C$224,$C299,'TL18'!$J$10:$J$224),0),
IF('TL18'!$B$229=N$3,SUMIF('TL18'!$C$238:$C$451,$C299,'TL18'!$J$238:$J$451),0),
IF('TL19'!$B$3=N$3,SUMIF('TL19'!$C$10:$C$224,$C299,'TL19'!$J$10:$J$224),0),
IF('TL19'!$B$229=N$3,SUMIF('TL19'!$C$238:$C$451,$C299,'TL19'!$J$238:$J$451),0)
),0)</f>
        <v>0</v>
      </c>
      <c r="O299" s="9">
        <f>IFERROR(SUM(
IF('TL01'!$B$3=O$3,SUMIF('TL01'!$C$10:$C$224,$C299,'TL01'!$J$10:$J$224),0),
IF('TL01'!$B$229=O$3,SUMIF('TL01'!$C$238:$C$451,$C299,'TL01'!$J$238:$J$451),0),
IF('TL02'!$B$3=O$3,SUMIF('TL02'!$C$10:$C$224,$C299,'TL02'!$J$10:$J$224),0),
IF('TL02'!$B$229=O$3,SUMIF('TL02'!$C$238:$C$451,$C299,'TL02'!$J$238:$J$451),0),
IF('TL03'!$B$3=O$3,SUMIF('TL03'!$C$10:$C$224,$C299,'TL03'!$J$10:$J$224),0),
IF('TL03'!$B$229=O$3,SUMIF('TL03'!$C$238:$C$451,$C299,'TL03'!$J$238:$J$451),0),
IF('TL04'!$B$3=O$3,SUMIF('TL04'!$C$10:$C$224,$C299,'TL04'!$J$10:$J$224),0),
IF('TL04'!$B$229=O$3,SUMIF('TL04'!$C$238:$C$451,$C299,'TL04'!$J$238:$J$451),0),
IF('TL05'!$B$3=O$3,SUMIF('TL05'!$C$10:$C$224,$C299,'TL05'!$J$10:$J$224),0),
IF('TL05'!$B$229=O$3,SUMIF('TL05'!$C$238:$C$451,$C299,'TL05'!$J$238:$J$451),0),
IF('TL06'!$B$3=O$3,SUMIF('TL06'!$C$10:$C$224,$C299,'TL06'!$J$10:$J$224),0),
IF('TL06'!$B$229=O$3,SUMIF('TL06'!$C$238:$C$451,$C299,'TL06'!$J$238:$J$451),0),
IF('TL07'!$B$3=O$3,SUMIF('TL07'!$C$10:$C$224,$C299,'TL07'!$J$10:$J$224),0),
IF('TL07'!$B$229=O$3,SUMIF('TL07'!$C$238:$C$451,$C299,'TL07'!$J$238:$J$451),0),
IF('TL08'!$B$3=O$3,SUMIF('TL08'!$C$10:$C$224,$C299,'TL08'!$J$10:$J$224),0),
IF('TL08'!$B$229=O$3,SUMIF('TL08'!$C$238:$C$451,$C299,'TL08'!$J$238:$J$451),0),
IF('TL09'!$B$3=O$3,SUMIF('TL09'!$C$10:$C$224,$C299,'TL09'!$J$10:$J$224),0),
IF('TL09'!$B$229=O$3,SUMIF('TL09'!$C$238:$C$451,$C299,'TL09'!$J$238:$J$451),0),
IF('TL10'!$B$3=O$3,SUMIF('TL10'!$C$10:$C$224,$C299,'TL10'!$J$10:$J$224),0),
IF('TL10'!$B$229=O$3,SUMIF('TL10'!$C$238:$C$451,$C299,'TL10'!$J$238:$J$451),0),
IF('TL11'!$B$3=O$3,SUMIF('TL11'!$C$10:$C$224,$C299,'TL11'!$J$10:$J$224),0),
IF('TL11'!$B$229=O$3,SUMIF('TL11'!$C$238:$C$451,$C299,'TL11'!$J$238:$J$451),0),
IF('TL12'!$B$3=O$3,SUMIF('TL12'!$C$10:$C$224,$C299,'TL12'!$J$10:$J$224),0),
IF('TL12'!$B$229=O$3,SUMIF('TL12'!$C$238:$C$451,$C299,'TL12'!$J$238:$J$451),0),
IF('TL13'!$B$3=O$3,SUMIF('TL13'!$C$10:$C$224,$C299,'TL13'!$J$10:$J$224),0),
IF('TL13'!$B$229=O$3,SUMIF('TL13'!$C$238:$C$451,$C299,'TL13'!$J$238:$J$451),0),
IF('TL14'!$B$3=O$3,SUMIF('TL14'!$C$10:$C$224,$C299,'TL14'!$J$10:$J$224),0),
IF('TL14'!$B$229=O$3,SUMIF('TL14'!$C$238:$C$451,$C299,'TL14'!$J$238:$J$451),0),
IF('TL15'!$B$3=O$3,SUMIF('TL15'!$C$10:$C$224,$C299,'TL15'!$J$10:$J$224),0),
IF('TL15'!$B$229=O$3,SUMIF('TL15'!$C$238:$C$451,$C299,'TL15'!$J$238:$J$451),0),
IF('TL16'!$B$3=O$3,SUMIF('TL16'!$C$10:$C$224,$C299,'TL16'!$J$10:$J$224),0),
IF('TL16'!$B$229=O$3,SUMIF('TL16'!$C$238:$C$451,$C299,'TL16'!$J$238:$J$451),0),
IF('TL17'!$B$3=O$3,SUMIF('TL17'!$C$10:$C$224,$C299,'TL17'!$J$10:$J$224),0),
IF('TL17'!$B$229=O$3,SUMIF('TL17'!$C$238:$C$451,$C299,'TL17'!$J$238:$J$451),0),
IF('TL18'!$B$3=O$3,SUMIF('TL18'!$C$10:$C$224,$C299,'TL18'!$J$10:$J$224),0),
IF('TL18'!$B$229=O$3,SUMIF('TL18'!$C$238:$C$451,$C299,'TL18'!$J$238:$J$451),0),
IF('TL19'!$B$3=O$3,SUMIF('TL19'!$C$10:$C$224,$C299,'TL19'!$J$10:$J$224),0),
IF('TL19'!$B$229=O$3,SUMIF('TL19'!$C$238:$C$451,$C299,'TL19'!$J$238:$J$451),0)
),0)</f>
        <v>0</v>
      </c>
      <c r="P299" s="9">
        <f>IFERROR(SUM(
IF('TL01'!$B$3=P$3,SUMIF('TL01'!$C$10:$C$224,$C299,'TL01'!$J$10:$J$224),0),
IF('TL01'!$B$229=P$3,SUMIF('TL01'!$C$238:$C$451,$C299,'TL01'!$J$238:$J$451),0),
IF('TL02'!$B$3=P$3,SUMIF('TL02'!$C$10:$C$224,$C299,'TL02'!$J$10:$J$224),0),
IF('TL02'!$B$229=P$3,SUMIF('TL02'!$C$238:$C$451,$C299,'TL02'!$J$238:$J$451),0),
IF('TL03'!$B$3=P$3,SUMIF('TL03'!$C$10:$C$224,$C299,'TL03'!$J$10:$J$224),0),
IF('TL03'!$B$229=P$3,SUMIF('TL03'!$C$238:$C$451,$C299,'TL03'!$J$238:$J$451),0),
IF('TL04'!$B$3=P$3,SUMIF('TL04'!$C$10:$C$224,$C299,'TL04'!$J$10:$J$224),0),
IF('TL04'!$B$229=P$3,SUMIF('TL04'!$C$238:$C$451,$C299,'TL04'!$J$238:$J$451),0),
IF('TL05'!$B$3=P$3,SUMIF('TL05'!$C$10:$C$224,$C299,'TL05'!$J$10:$J$224),0),
IF('TL05'!$B$229=P$3,SUMIF('TL05'!$C$238:$C$451,$C299,'TL05'!$J$238:$J$451),0),
IF('TL06'!$B$3=P$3,SUMIF('TL06'!$C$10:$C$224,$C299,'TL06'!$J$10:$J$224),0),
IF('TL06'!$B$229=P$3,SUMIF('TL06'!$C$238:$C$451,$C299,'TL06'!$J$238:$J$451),0),
IF('TL07'!$B$3=P$3,SUMIF('TL07'!$C$10:$C$224,$C299,'TL07'!$J$10:$J$224),0),
IF('TL07'!$B$229=P$3,SUMIF('TL07'!$C$238:$C$451,$C299,'TL07'!$J$238:$J$451),0),
IF('TL08'!$B$3=P$3,SUMIF('TL08'!$C$10:$C$224,$C299,'TL08'!$J$10:$J$224),0),
IF('TL08'!$B$229=P$3,SUMIF('TL08'!$C$238:$C$451,$C299,'TL08'!$J$238:$J$451),0),
IF('TL09'!$B$3=P$3,SUMIF('TL09'!$C$10:$C$224,$C299,'TL09'!$J$10:$J$224),0),
IF('TL09'!$B$229=P$3,SUMIF('TL09'!$C$238:$C$451,$C299,'TL09'!$J$238:$J$451),0),
IF('TL10'!$B$3=P$3,SUMIF('TL10'!$C$10:$C$224,$C299,'TL10'!$J$10:$J$224),0),
IF('TL10'!$B$229=P$3,SUMIF('TL10'!$C$238:$C$451,$C299,'TL10'!$J$238:$J$451),0),
IF('TL11'!$B$3=P$3,SUMIF('TL11'!$C$10:$C$224,$C299,'TL11'!$J$10:$J$224),0),
IF('TL11'!$B$229=P$3,SUMIF('TL11'!$C$238:$C$451,$C299,'TL11'!$J$238:$J$451),0),
IF('TL12'!$B$3=P$3,SUMIF('TL12'!$C$10:$C$224,$C299,'TL12'!$J$10:$J$224),0),
IF('TL12'!$B$229=P$3,SUMIF('TL12'!$C$238:$C$451,$C299,'TL12'!$J$238:$J$451),0),
IF('TL13'!$B$3=P$3,SUMIF('TL13'!$C$10:$C$224,$C299,'TL13'!$J$10:$J$224),0),
IF('TL13'!$B$229=P$3,SUMIF('TL13'!$C$238:$C$451,$C299,'TL13'!$J$238:$J$451),0),
IF('TL14'!$B$3=P$3,SUMIF('TL14'!$C$10:$C$224,$C299,'TL14'!$J$10:$J$224),0),
IF('TL14'!$B$229=P$3,SUMIF('TL14'!$C$238:$C$451,$C299,'TL14'!$J$238:$J$451),0),
IF('TL15'!$B$3=P$3,SUMIF('TL15'!$C$10:$C$224,$C299,'TL15'!$J$10:$J$224),0),
IF('TL15'!$B$229=P$3,SUMIF('TL15'!$C$238:$C$451,$C299,'TL15'!$J$238:$J$451),0),
IF('TL16'!$B$3=P$3,SUMIF('TL16'!$C$10:$C$224,$C299,'TL16'!$J$10:$J$224),0),
IF('TL16'!$B$229=P$3,SUMIF('TL16'!$C$238:$C$451,$C299,'TL16'!$J$238:$J$451),0),
IF('TL17'!$B$3=P$3,SUMIF('TL17'!$C$10:$C$224,$C299,'TL17'!$J$10:$J$224),0),
IF('TL17'!$B$229=P$3,SUMIF('TL17'!$C$238:$C$451,$C299,'TL17'!$J$238:$J$451),0),
IF('TL18'!$B$3=P$3,SUMIF('TL18'!$C$10:$C$224,$C299,'TL18'!$J$10:$J$224),0),
IF('TL18'!$B$229=P$3,SUMIF('TL18'!$C$238:$C$451,$C299,'TL18'!$J$238:$J$451),0),
IF('TL19'!$B$3=P$3,SUMIF('TL19'!$C$10:$C$224,$C299,'TL19'!$J$10:$J$224),0),
IF('TL19'!$B$229=P$3,SUMIF('TL19'!$C$238:$C$451,$C299,'TL19'!$J$238:$J$451),0)
),0)</f>
        <v>0</v>
      </c>
      <c r="Q299" s="9">
        <f>IFERROR(SUM(
IF('TL01'!$B$3=Q$3,SUMIF('TL01'!$C$10:$C$224,$C299,'TL01'!$J$10:$J$224),0),
IF('TL01'!$B$229=Q$3,SUMIF('TL01'!$C$238:$C$451,$C299,'TL01'!$J$238:$J$451),0),
IF('TL02'!$B$3=Q$3,SUMIF('TL02'!$C$10:$C$224,$C299,'TL02'!$J$10:$J$224),0),
IF('TL02'!$B$229=Q$3,SUMIF('TL02'!$C$238:$C$451,$C299,'TL02'!$J$238:$J$451),0),
IF('TL03'!$B$3=Q$3,SUMIF('TL03'!$C$10:$C$224,$C299,'TL03'!$J$10:$J$224),0),
IF('TL03'!$B$229=Q$3,SUMIF('TL03'!$C$238:$C$451,$C299,'TL03'!$J$238:$J$451),0),
IF('TL04'!$B$3=Q$3,SUMIF('TL04'!$C$10:$C$224,$C299,'TL04'!$J$10:$J$224),0),
IF('TL04'!$B$229=Q$3,SUMIF('TL04'!$C$238:$C$451,$C299,'TL04'!$J$238:$J$451),0),
IF('TL05'!$B$3=Q$3,SUMIF('TL05'!$C$10:$C$224,$C299,'TL05'!$J$10:$J$224),0),
IF('TL05'!$B$229=Q$3,SUMIF('TL05'!$C$238:$C$451,$C299,'TL05'!$J$238:$J$451),0),
IF('TL06'!$B$3=Q$3,SUMIF('TL06'!$C$10:$C$224,$C299,'TL06'!$J$10:$J$224),0),
IF('TL06'!$B$229=Q$3,SUMIF('TL06'!$C$238:$C$451,$C299,'TL06'!$J$238:$J$451),0),
IF('TL07'!$B$3=Q$3,SUMIF('TL07'!$C$10:$C$224,$C299,'TL07'!$J$10:$J$224),0),
IF('TL07'!$B$229=Q$3,SUMIF('TL07'!$C$238:$C$451,$C299,'TL07'!$J$238:$J$451),0),
IF('TL08'!$B$3=Q$3,SUMIF('TL08'!$C$10:$C$224,$C299,'TL08'!$J$10:$J$224),0),
IF('TL08'!$B$229=Q$3,SUMIF('TL08'!$C$238:$C$451,$C299,'TL08'!$J$238:$J$451),0),
IF('TL09'!$B$3=Q$3,SUMIF('TL09'!$C$10:$C$224,$C299,'TL09'!$J$10:$J$224),0),
IF('TL09'!$B$229=Q$3,SUMIF('TL09'!$C$238:$C$451,$C299,'TL09'!$J$238:$J$451),0),
IF('TL10'!$B$3=Q$3,SUMIF('TL10'!$C$10:$C$224,$C299,'TL10'!$J$10:$J$224),0),
IF('TL10'!$B$229=Q$3,SUMIF('TL10'!$C$238:$C$451,$C299,'TL10'!$J$238:$J$451),0),
IF('TL11'!$B$3=Q$3,SUMIF('TL11'!$C$10:$C$224,$C299,'TL11'!$J$10:$J$224),0),
IF('TL11'!$B$229=Q$3,SUMIF('TL11'!$C$238:$C$451,$C299,'TL11'!$J$238:$J$451),0),
IF('TL12'!$B$3=Q$3,SUMIF('TL12'!$C$10:$C$224,$C299,'TL12'!$J$10:$J$224),0),
IF('TL12'!$B$229=Q$3,SUMIF('TL12'!$C$238:$C$451,$C299,'TL12'!$J$238:$J$451),0),
IF('TL13'!$B$3=Q$3,SUMIF('TL13'!$C$10:$C$224,$C299,'TL13'!$J$10:$J$224),0),
IF('TL13'!$B$229=Q$3,SUMIF('TL13'!$C$238:$C$451,$C299,'TL13'!$J$238:$J$451),0),
IF('TL14'!$B$3=Q$3,SUMIF('TL14'!$C$10:$C$224,$C299,'TL14'!$J$10:$J$224),0),
IF('TL14'!$B$229=Q$3,SUMIF('TL14'!$C$238:$C$451,$C299,'TL14'!$J$238:$J$451),0),
IF('TL15'!$B$3=Q$3,SUMIF('TL15'!$C$10:$C$224,$C299,'TL15'!$J$10:$J$224),0),
IF('TL15'!$B$229=Q$3,SUMIF('TL15'!$C$238:$C$451,$C299,'TL15'!$J$238:$J$451),0),
IF('TL16'!$B$3=Q$3,SUMIF('TL16'!$C$10:$C$224,$C299,'TL16'!$J$10:$J$224),0),
IF('TL16'!$B$229=Q$3,SUMIF('TL16'!$C$238:$C$451,$C299,'TL16'!$J$238:$J$451),0),
IF('TL17'!$B$3=Q$3,SUMIF('TL17'!$C$10:$C$224,$C299,'TL17'!$J$10:$J$224),0),
IF('TL17'!$B$229=Q$3,SUMIF('TL17'!$C$238:$C$451,$C299,'TL17'!$J$238:$J$451),0),
IF('TL18'!$B$3=Q$3,SUMIF('TL18'!$C$10:$C$224,$C299,'TL18'!$J$10:$J$224),0),
IF('TL18'!$B$229=Q$3,SUMIF('TL18'!$C$238:$C$451,$C299,'TL18'!$J$238:$J$451),0),
IF('TL19'!$B$3=Q$3,SUMIF('TL19'!$C$10:$C$224,$C299,'TL19'!$J$10:$J$224),0),
IF('TL19'!$B$229=Q$3,SUMIF('TL19'!$C$238:$C$451,$C299,'TL19'!$J$238:$J$451),0)
),0)</f>
        <v>0</v>
      </c>
      <c r="R299" s="9">
        <f>IFERROR(
SUM(
SUMIF('TL01'!C:C,C299,'TL01'!J:J),
SUMIF('TL02'!C:C,C299,'TL02'!J:J),
SUMIF('TL03'!C:C,C299,'TL03'!J:J),
SUMIF('TL04'!C:C,C299,'TL04'!J:J),
SUMIF('TL05'!C:C,C299,'TL05'!J:J),
SUMIF('TL06'!C:C,C299,'TL06'!J:J),
SUMIF('TL07'!C:C,C299,'TL07'!J:J),
SUMIF('TL08'!C:C,C299,'TL08'!J:J),
SUMIF('TL09'!C:C,C299,'TL09'!J:J),
SUMIF('TL10'!C:C,C299,'TL10'!J:J),
SUMIF('TL11'!C:C,C299,'TL11'!J:J),
SUMIF('TL12'!C:C,C299,'TL12'!J:J),
SUMIF('TL13'!C:C,C299,'TL13'!J:J),
SUMIF('TL14'!C:C,C299,'TL14'!J:J),
SUMIF('TL15'!C:C,C299,'TL15'!J:J),
SUMIF('TL16'!C:C,C299,'TL16'!J:J),
SUMIF('TL17'!C:C,C299,'TL17'!J:J),
SUMIF('TL18'!C:C,C299,'TL18'!J:J),SUMIF('TL19'!C:C,C299,'TL19'!J:J))
,0)</f>
        <v>0</v>
      </c>
      <c r="S299" s="17">
        <f>IFERROR(__xludf.DUMMYFUNCTION("IFERROR(VLOOKUP(C299,
IMPORTRANGE(""1wULbzX32WdYsx-lj2U3uUNBBe2INVIRDtcK0d-Dvl90"",
""26-27!C:G""),
5,
FALSE),
"""")"),179.81599999999997)</f>
        <v>179.816</v>
      </c>
      <c r="T299" s="9"/>
      <c r="U299" s="92">
        <f t="shared" si="2"/>
        <v>0</v>
      </c>
      <c r="V299" s="93">
        <f t="shared" si="3"/>
        <v>0</v>
      </c>
    </row>
    <row r="300" ht="15.75" hidden="1" customHeight="1">
      <c r="A300" s="119" t="s">
        <v>353</v>
      </c>
      <c r="B300" s="120" t="s">
        <v>3</v>
      </c>
      <c r="C300" s="119" t="s">
        <v>1021</v>
      </c>
      <c r="D300" s="119" t="s">
        <v>825</v>
      </c>
      <c r="E300" s="119">
        <v>625.0</v>
      </c>
      <c r="F300" s="4" t="s">
        <v>392</v>
      </c>
      <c r="G300" s="90" t="str">
        <f t="shared" si="5"/>
        <v>📄 Ver bula</v>
      </c>
      <c r="H300" s="9">
        <f>IFERROR(__xludf.DUMMYFUNCTION("IFERROR(VLOOKUP(C300,
IMPORTRANGE(""1wULbzX32WdYsx-lj2U3uUNBBe2INVIRDtcK0d-Dvl90"",
""26-27!C:K""),
8,
FALSE),
"""")"),0.15)</f>
        <v>0.15</v>
      </c>
      <c r="I300" s="121"/>
      <c r="J300" s="9">
        <f>IFERROR(SUM(
IF('TL01'!$B$3=J$3,SUMIF('TL01'!$C$10:$C$224,$C300,'TL01'!$J$10:$J$224),0),
IF('TL01'!$B$229=J$3,SUMIF('TL01'!$C$238:$C$451,$C300,'TL01'!$J$238:$J$451),0),
IF('TL02'!$B$3=J$3,SUMIF('TL02'!$C$10:$C$224,$C300,'TL02'!$J$10:$J$224),0),
IF('TL02'!$B$229=J$3,SUMIF('TL02'!$C$238:$C$451,$C300,'TL02'!$J$238:$J$451),0),
IF('TL03'!$B$3=J$3,SUMIF('TL03'!$C$10:$C$224,$C300,'TL03'!$J$10:$J$224),0),
IF('TL03'!$B$229=J$3,SUMIF('TL03'!$C$238:$C$451,$C300,'TL03'!$J$238:$J$451),0),
IF('TL04'!$B$3=J$3,SUMIF('TL04'!$C$10:$C$224,$C300,'TL04'!$J$10:$J$224),0),
IF('TL04'!$B$229=J$3,SUMIF('TL04'!$C$238:$C$451,$C300,'TL04'!$J$238:$J$451),0),
IF('TL05'!$B$3=J$3,SUMIF('TL05'!$C$10:$C$224,$C300,'TL05'!$J$10:$J$224),0),
IF('TL05'!$B$229=J$3,SUMIF('TL05'!$C$238:$C$451,$C300,'TL05'!$J$238:$J$451),0),
IF('TL06'!$B$3=J$3,SUMIF('TL06'!$C$10:$C$224,$C300,'TL06'!$J$10:$J$224),0),
IF('TL06'!$B$229=J$3,SUMIF('TL06'!$C$238:$C$451,$C300,'TL06'!$J$238:$J$451),0),
IF('TL07'!$B$3=J$3,SUMIF('TL07'!$C$10:$C$224,$C300,'TL07'!$J$10:$J$224),0),
IF('TL07'!$B$229=J$3,SUMIF('TL07'!$C$238:$C$451,$C300,'TL07'!$J$238:$J$451),0),
IF('TL08'!$B$3=J$3,SUMIF('TL08'!$C$10:$C$224,$C300,'TL08'!$J$10:$J$224),0),
IF('TL08'!$B$229=J$3,SUMIF('TL08'!$C$238:$C$451,$C300,'TL08'!$J$238:$J$451),0),
IF('TL09'!$B$3=J$3,SUMIF('TL09'!$C$10:$C$224,$C300,'TL09'!$J$10:$J$224),0),
IF('TL09'!$B$229=J$3,SUMIF('TL09'!$C$238:$C$451,$C300,'TL09'!$J$238:$J$451),0),
IF('TL10'!$B$3=J$3,SUMIF('TL10'!$C$10:$C$224,$C300,'TL10'!$J$10:$J$224),0),
IF('TL10'!$B$229=J$3,SUMIF('TL10'!$C$238:$C$451,$C300,'TL10'!$J$238:$J$451),0),
IF('TL11'!$B$3=J$3,SUMIF('TL11'!$C$10:$C$224,$C300,'TL11'!$J$10:$J$224),0),
IF('TL11'!$B$229=J$3,SUMIF('TL11'!$C$238:$C$451,$C300,'TL11'!$J$238:$J$451),0),
IF('TL12'!$B$3=J$3,SUMIF('TL12'!$C$10:$C$224,$C300,'TL12'!$J$10:$J$224),0),
IF('TL12'!$B$229=J$3,SUMIF('TL12'!$C$238:$C$451,$C300,'TL12'!$J$238:$J$451),0),
IF('TL13'!$B$3=J$3,SUMIF('TL13'!$C$10:$C$224,$C300,'TL13'!$J$10:$J$224),0),
IF('TL13'!$B$229=J$3,SUMIF('TL13'!$C$238:$C$451,$C300,'TL13'!$J$238:$J$451),0),
IF('TL14'!$B$3=J$3,SUMIF('TL14'!$C$10:$C$224,$C300,'TL14'!$J$10:$J$224),0),
IF('TL14'!$B$229=J$3,SUMIF('TL14'!$C$238:$C$451,$C300,'TL14'!$J$238:$J$451),0),
IF('TL15'!$B$3=J$3,SUMIF('TL15'!$C$10:$C$224,$C300,'TL15'!$J$10:$J$224),0),
IF('TL15'!$B$229=J$3,SUMIF('TL15'!$C$238:$C$451,$C300,'TL15'!$J$238:$J$451),0),
IF('TL16'!$B$3=J$3,SUMIF('TL16'!$C$10:$C$224,$C300,'TL16'!$J$10:$J$224),0),
IF('TL16'!$B$229=J$3,SUMIF('TL16'!$C$238:$C$451,$C300,'TL16'!$J$238:$J$451),0),
IF('TL17'!$B$3=J$3,SUMIF('TL17'!$C$10:$C$224,$C300,'TL17'!$J$10:$J$224),0),
IF('TL17'!$B$229=J$3,SUMIF('TL17'!$C$238:$C$451,$C300,'TL17'!$J$238:$J$451),0),
IF('TL18'!$B$3=J$3,SUMIF('TL18'!$C$10:$C$224,$C300,'TL18'!$J$10:$J$224),0),
IF('TL18'!$B$229=J$3,SUMIF('TL18'!$C$238:$C$451,$C300,'TL18'!$J$238:$J$451),0),
IF('TL19'!$B$3=J$3,SUMIF('TL19'!$C$10:$C$224,$C300,'TL19'!$J$10:$J$224),0),
IF('TL19'!$B$229=J$3,SUMIF('TL19'!$C$238:$C$451,$C300,'TL19'!$J$238:$J$451),0)
),0)</f>
        <v>0</v>
      </c>
      <c r="K300" s="9">
        <f>IFERROR(SUM(
IF('TL01'!$B$3=K$3,SUMIF('TL01'!$C$10:$C$224,$C300,'TL01'!$J$10:$J$224),0),
IF('TL01'!$B$229=K$3,SUMIF('TL01'!$C$238:$C$451,$C300,'TL01'!$J$238:$J$451),0),
IF('TL02'!$B$3=K$3,SUMIF('TL02'!$C$10:$C$224,$C300,'TL02'!$J$10:$J$224),0),
IF('TL02'!$B$229=K$3,SUMIF('TL02'!$C$238:$C$451,$C300,'TL02'!$J$238:$J$451),0),
IF('TL03'!$B$3=K$3,SUMIF('TL03'!$C$10:$C$224,$C300,'TL03'!$J$10:$J$224),0),
IF('TL03'!$B$229=K$3,SUMIF('TL03'!$C$238:$C$451,$C300,'TL03'!$J$238:$J$451),0),
IF('TL04'!$B$3=K$3,SUMIF('TL04'!$C$10:$C$224,$C300,'TL04'!$J$10:$J$224),0),
IF('TL04'!$B$229=K$3,SUMIF('TL04'!$C$238:$C$451,$C300,'TL04'!$J$238:$J$451),0),
IF('TL05'!$B$3=K$3,SUMIF('TL05'!$C$10:$C$224,$C300,'TL05'!$J$10:$J$224),0),
IF('TL05'!$B$229=K$3,SUMIF('TL05'!$C$238:$C$451,$C300,'TL05'!$J$238:$J$451),0),
IF('TL06'!$B$3=K$3,SUMIF('TL06'!$C$10:$C$224,$C300,'TL06'!$J$10:$J$224),0),
IF('TL06'!$B$229=K$3,SUMIF('TL06'!$C$238:$C$451,$C300,'TL06'!$J$238:$J$451),0),
IF('TL07'!$B$3=K$3,SUMIF('TL07'!$C$10:$C$224,$C300,'TL07'!$J$10:$J$224),0),
IF('TL07'!$B$229=K$3,SUMIF('TL07'!$C$238:$C$451,$C300,'TL07'!$J$238:$J$451),0),
IF('TL08'!$B$3=K$3,SUMIF('TL08'!$C$10:$C$224,$C300,'TL08'!$J$10:$J$224),0),
IF('TL08'!$B$229=K$3,SUMIF('TL08'!$C$238:$C$451,$C300,'TL08'!$J$238:$J$451),0),
IF('TL09'!$B$3=K$3,SUMIF('TL09'!$C$10:$C$224,$C300,'TL09'!$J$10:$J$224),0),
IF('TL09'!$B$229=K$3,SUMIF('TL09'!$C$238:$C$451,$C300,'TL09'!$J$238:$J$451),0),
IF('TL10'!$B$3=K$3,SUMIF('TL10'!$C$10:$C$224,$C300,'TL10'!$J$10:$J$224),0),
IF('TL10'!$B$229=K$3,SUMIF('TL10'!$C$238:$C$451,$C300,'TL10'!$J$238:$J$451),0),
IF('TL11'!$B$3=K$3,SUMIF('TL11'!$C$10:$C$224,$C300,'TL11'!$J$10:$J$224),0),
IF('TL11'!$B$229=K$3,SUMIF('TL11'!$C$238:$C$451,$C300,'TL11'!$J$238:$J$451),0),
IF('TL12'!$B$3=K$3,SUMIF('TL12'!$C$10:$C$224,$C300,'TL12'!$J$10:$J$224),0),
IF('TL12'!$B$229=K$3,SUMIF('TL12'!$C$238:$C$451,$C300,'TL12'!$J$238:$J$451),0),
IF('TL13'!$B$3=K$3,SUMIF('TL13'!$C$10:$C$224,$C300,'TL13'!$J$10:$J$224),0),
IF('TL13'!$B$229=K$3,SUMIF('TL13'!$C$238:$C$451,$C300,'TL13'!$J$238:$J$451),0),
IF('TL14'!$B$3=K$3,SUMIF('TL14'!$C$10:$C$224,$C300,'TL14'!$J$10:$J$224),0),
IF('TL14'!$B$229=K$3,SUMIF('TL14'!$C$238:$C$451,$C300,'TL14'!$J$238:$J$451),0),
IF('TL15'!$B$3=K$3,SUMIF('TL15'!$C$10:$C$224,$C300,'TL15'!$J$10:$J$224),0),
IF('TL15'!$B$229=K$3,SUMIF('TL15'!$C$238:$C$451,$C300,'TL15'!$J$238:$J$451),0),
IF('TL16'!$B$3=K$3,SUMIF('TL16'!$C$10:$C$224,$C300,'TL16'!$J$10:$J$224),0),
IF('TL16'!$B$229=K$3,SUMIF('TL16'!$C$238:$C$451,$C300,'TL16'!$J$238:$J$451),0),
IF('TL17'!$B$3=K$3,SUMIF('TL17'!$C$10:$C$224,$C300,'TL17'!$J$10:$J$224),0),
IF('TL17'!$B$229=K$3,SUMIF('TL17'!$C$238:$C$451,$C300,'TL17'!$J$238:$J$451),0),
IF('TL18'!$B$3=K$3,SUMIF('TL18'!$C$10:$C$224,$C300,'TL18'!$J$10:$J$224),0),
IF('TL18'!$B$229=K$3,SUMIF('TL18'!$C$238:$C$451,$C300,'TL18'!$J$238:$J$451),0),
IF('TL19'!$B$3=K$3,SUMIF('TL19'!$C$10:$C$224,$C300,'TL19'!$J$10:$J$224),0),
IF('TL19'!$B$229=K$3,SUMIF('TL19'!$C$238:$C$451,$C300,'TL19'!$J$238:$J$451),0)
),0)</f>
        <v>0</v>
      </c>
      <c r="L300" s="9">
        <f>IFERROR(SUM(
IF('TL01'!$B$3=L$3,SUMIF('TL01'!$C$10:$C$224,$C300,'TL01'!$J$10:$J$224),0),
IF('TL01'!$B$229=L$3,SUMIF('TL01'!$C$238:$C$451,$C300,'TL01'!$J$238:$J$451),0),
IF('TL02'!$B$3=L$3,SUMIF('TL02'!$C$10:$C$224,$C300,'TL02'!$J$10:$J$224),0),
IF('TL02'!$B$229=L$3,SUMIF('TL02'!$C$238:$C$451,$C300,'TL02'!$J$238:$J$451),0),
IF('TL03'!$B$3=L$3,SUMIF('TL03'!$C$10:$C$224,$C300,'TL03'!$J$10:$J$224),0),
IF('TL03'!$B$229=L$3,SUMIF('TL03'!$C$238:$C$451,$C300,'TL03'!$J$238:$J$451),0),
IF('TL04'!$B$3=L$3,SUMIF('TL04'!$C$10:$C$224,$C300,'TL04'!$J$10:$J$224),0),
IF('TL04'!$B$229=L$3,SUMIF('TL04'!$C$238:$C$451,$C300,'TL04'!$J$238:$J$451),0),
IF('TL05'!$B$3=L$3,SUMIF('TL05'!$C$10:$C$224,$C300,'TL05'!$J$10:$J$224),0),
IF('TL05'!$B$229=L$3,SUMIF('TL05'!$C$238:$C$451,$C300,'TL05'!$J$238:$J$451),0),
IF('TL06'!$B$3=L$3,SUMIF('TL06'!$C$10:$C$224,$C300,'TL06'!$J$10:$J$224),0),
IF('TL06'!$B$229=L$3,SUMIF('TL06'!$C$238:$C$451,$C300,'TL06'!$J$238:$J$451),0),
IF('TL07'!$B$3=L$3,SUMIF('TL07'!$C$10:$C$224,$C300,'TL07'!$J$10:$J$224),0),
IF('TL07'!$B$229=L$3,SUMIF('TL07'!$C$238:$C$451,$C300,'TL07'!$J$238:$J$451),0),
IF('TL08'!$B$3=L$3,SUMIF('TL08'!$C$10:$C$224,$C300,'TL08'!$J$10:$J$224),0),
IF('TL08'!$B$229=L$3,SUMIF('TL08'!$C$238:$C$451,$C300,'TL08'!$J$238:$J$451),0),
IF('TL09'!$B$3=L$3,SUMIF('TL09'!$C$10:$C$224,$C300,'TL09'!$J$10:$J$224),0),
IF('TL09'!$B$229=L$3,SUMIF('TL09'!$C$238:$C$451,$C300,'TL09'!$J$238:$J$451),0),
IF('TL10'!$B$3=L$3,SUMIF('TL10'!$C$10:$C$224,$C300,'TL10'!$J$10:$J$224),0),
IF('TL10'!$B$229=L$3,SUMIF('TL10'!$C$238:$C$451,$C300,'TL10'!$J$238:$J$451),0),
IF('TL11'!$B$3=L$3,SUMIF('TL11'!$C$10:$C$224,$C300,'TL11'!$J$10:$J$224),0),
IF('TL11'!$B$229=L$3,SUMIF('TL11'!$C$238:$C$451,$C300,'TL11'!$J$238:$J$451),0),
IF('TL12'!$B$3=L$3,SUMIF('TL12'!$C$10:$C$224,$C300,'TL12'!$J$10:$J$224),0),
IF('TL12'!$B$229=L$3,SUMIF('TL12'!$C$238:$C$451,$C300,'TL12'!$J$238:$J$451),0),
IF('TL13'!$B$3=L$3,SUMIF('TL13'!$C$10:$C$224,$C300,'TL13'!$J$10:$J$224),0),
IF('TL13'!$B$229=L$3,SUMIF('TL13'!$C$238:$C$451,$C300,'TL13'!$J$238:$J$451),0),
IF('TL14'!$B$3=L$3,SUMIF('TL14'!$C$10:$C$224,$C300,'TL14'!$J$10:$J$224),0),
IF('TL14'!$B$229=L$3,SUMIF('TL14'!$C$238:$C$451,$C300,'TL14'!$J$238:$J$451),0),
IF('TL15'!$B$3=L$3,SUMIF('TL15'!$C$10:$C$224,$C300,'TL15'!$J$10:$J$224),0),
IF('TL15'!$B$229=L$3,SUMIF('TL15'!$C$238:$C$451,$C300,'TL15'!$J$238:$J$451),0),
IF('TL16'!$B$3=L$3,SUMIF('TL16'!$C$10:$C$224,$C300,'TL16'!$J$10:$J$224),0),
IF('TL16'!$B$229=L$3,SUMIF('TL16'!$C$238:$C$451,$C300,'TL16'!$J$238:$J$451),0),
IF('TL17'!$B$3=L$3,SUMIF('TL17'!$C$10:$C$224,$C300,'TL17'!$J$10:$J$224),0),
IF('TL17'!$B$229=L$3,SUMIF('TL17'!$C$238:$C$451,$C300,'TL17'!$J$238:$J$451),0),
IF('TL18'!$B$3=L$3,SUMIF('TL18'!$C$10:$C$224,$C300,'TL18'!$J$10:$J$224),0),
IF('TL18'!$B$229=L$3,SUMIF('TL18'!$C$238:$C$451,$C300,'TL18'!$J$238:$J$451),0),
IF('TL19'!$B$3=L$3,SUMIF('TL19'!$C$10:$C$224,$C300,'TL19'!$J$10:$J$224),0),
IF('TL19'!$B$229=L$3,SUMIF('TL19'!$C$238:$C$451,$C300,'TL19'!$J$238:$J$451),0)
),0)</f>
        <v>0</v>
      </c>
      <c r="M300" s="9">
        <f>IFERROR(SUM(
IF('TL01'!$B$3=M$3,SUMIF('TL01'!$C$10:$C$224,$C300,'TL01'!$J$10:$J$224),0),
IF('TL01'!$B$229=M$3,SUMIF('TL01'!$C$238:$C$451,$C300,'TL01'!$J$238:$J$451),0),
IF('TL02'!$B$3=M$3,SUMIF('TL02'!$C$10:$C$224,$C300,'TL02'!$J$10:$J$224),0),
IF('TL02'!$B$229=M$3,SUMIF('TL02'!$C$238:$C$451,$C300,'TL02'!$J$238:$J$451),0),
IF('TL03'!$B$3=M$3,SUMIF('TL03'!$C$10:$C$224,$C300,'TL03'!$J$10:$J$224),0),
IF('TL03'!$B$229=M$3,SUMIF('TL03'!$C$238:$C$451,$C300,'TL03'!$J$238:$J$451),0),
IF('TL04'!$B$3=M$3,SUMIF('TL04'!$C$10:$C$224,$C300,'TL04'!$J$10:$J$224),0),
IF('TL04'!$B$229=M$3,SUMIF('TL04'!$C$238:$C$451,$C300,'TL04'!$J$238:$J$451),0),
IF('TL05'!$B$3=M$3,SUMIF('TL05'!$C$10:$C$224,$C300,'TL05'!$J$10:$J$224),0),
IF('TL05'!$B$229=M$3,SUMIF('TL05'!$C$238:$C$451,$C300,'TL05'!$J$238:$J$451),0),
IF('TL06'!$B$3=M$3,SUMIF('TL06'!$C$10:$C$224,$C300,'TL06'!$J$10:$J$224),0),
IF('TL06'!$B$229=M$3,SUMIF('TL06'!$C$238:$C$451,$C300,'TL06'!$J$238:$J$451),0),
IF('TL07'!$B$3=M$3,SUMIF('TL07'!$C$10:$C$224,$C300,'TL07'!$J$10:$J$224),0),
IF('TL07'!$B$229=M$3,SUMIF('TL07'!$C$238:$C$451,$C300,'TL07'!$J$238:$J$451),0),
IF('TL08'!$B$3=M$3,SUMIF('TL08'!$C$10:$C$224,$C300,'TL08'!$J$10:$J$224),0),
IF('TL08'!$B$229=M$3,SUMIF('TL08'!$C$238:$C$451,$C300,'TL08'!$J$238:$J$451),0),
IF('TL09'!$B$3=M$3,SUMIF('TL09'!$C$10:$C$224,$C300,'TL09'!$J$10:$J$224),0),
IF('TL09'!$B$229=M$3,SUMIF('TL09'!$C$238:$C$451,$C300,'TL09'!$J$238:$J$451),0),
IF('TL10'!$B$3=M$3,SUMIF('TL10'!$C$10:$C$224,$C300,'TL10'!$J$10:$J$224),0),
IF('TL10'!$B$229=M$3,SUMIF('TL10'!$C$238:$C$451,$C300,'TL10'!$J$238:$J$451),0),
IF('TL11'!$B$3=M$3,SUMIF('TL11'!$C$10:$C$224,$C300,'TL11'!$J$10:$J$224),0),
IF('TL11'!$B$229=M$3,SUMIF('TL11'!$C$238:$C$451,$C300,'TL11'!$J$238:$J$451),0),
IF('TL12'!$B$3=M$3,SUMIF('TL12'!$C$10:$C$224,$C300,'TL12'!$J$10:$J$224),0),
IF('TL12'!$B$229=M$3,SUMIF('TL12'!$C$238:$C$451,$C300,'TL12'!$J$238:$J$451),0),
IF('TL13'!$B$3=M$3,SUMIF('TL13'!$C$10:$C$224,$C300,'TL13'!$J$10:$J$224),0),
IF('TL13'!$B$229=M$3,SUMIF('TL13'!$C$238:$C$451,$C300,'TL13'!$J$238:$J$451),0),
IF('TL14'!$B$3=M$3,SUMIF('TL14'!$C$10:$C$224,$C300,'TL14'!$J$10:$J$224),0),
IF('TL14'!$B$229=M$3,SUMIF('TL14'!$C$238:$C$451,$C300,'TL14'!$J$238:$J$451),0),
IF('TL15'!$B$3=M$3,SUMIF('TL15'!$C$10:$C$224,$C300,'TL15'!$J$10:$J$224),0),
IF('TL15'!$B$229=M$3,SUMIF('TL15'!$C$238:$C$451,$C300,'TL15'!$J$238:$J$451),0),
IF('TL16'!$B$3=M$3,SUMIF('TL16'!$C$10:$C$224,$C300,'TL16'!$J$10:$J$224),0),
IF('TL16'!$B$229=M$3,SUMIF('TL16'!$C$238:$C$451,$C300,'TL16'!$J$238:$J$451),0),
IF('TL17'!$B$3=M$3,SUMIF('TL17'!$C$10:$C$224,$C300,'TL17'!$J$10:$J$224),0),
IF('TL17'!$B$229=M$3,SUMIF('TL17'!$C$238:$C$451,$C300,'TL17'!$J$238:$J$451),0),
IF('TL18'!$B$3=M$3,SUMIF('TL18'!$C$10:$C$224,$C300,'TL18'!$J$10:$J$224),0),
IF('TL18'!$B$229=M$3,SUMIF('TL18'!$C$238:$C$451,$C300,'TL18'!$J$238:$J$451),0),
IF('TL19'!$B$3=M$3,SUMIF('TL19'!$C$10:$C$224,$C300,'TL19'!$J$10:$J$224),0),
IF('TL19'!$B$229=M$3,SUMIF('TL19'!$C$238:$C$451,$C300,'TL19'!$J$238:$J$451),0)
),0)</f>
        <v>0</v>
      </c>
      <c r="N300" s="9">
        <f>IFERROR(SUM(
IF('TL01'!$B$3=N$3,SUMIF('TL01'!$C$10:$C$224,$C300,'TL01'!$J$10:$J$224),0),
IF('TL01'!$B$229=N$3,SUMIF('TL01'!$C$238:$C$451,$C300,'TL01'!$J$238:$J$451),0),
IF('TL02'!$B$3=N$3,SUMIF('TL02'!$C$10:$C$224,$C300,'TL02'!$J$10:$J$224),0),
IF('TL02'!$B$229=N$3,SUMIF('TL02'!$C$238:$C$451,$C300,'TL02'!$J$238:$J$451),0),
IF('TL03'!$B$3=N$3,SUMIF('TL03'!$C$10:$C$224,$C300,'TL03'!$J$10:$J$224),0),
IF('TL03'!$B$229=N$3,SUMIF('TL03'!$C$238:$C$451,$C300,'TL03'!$J$238:$J$451),0),
IF('TL04'!$B$3=N$3,SUMIF('TL04'!$C$10:$C$224,$C300,'TL04'!$J$10:$J$224),0),
IF('TL04'!$B$229=N$3,SUMIF('TL04'!$C$238:$C$451,$C300,'TL04'!$J$238:$J$451),0),
IF('TL05'!$B$3=N$3,SUMIF('TL05'!$C$10:$C$224,$C300,'TL05'!$J$10:$J$224),0),
IF('TL05'!$B$229=N$3,SUMIF('TL05'!$C$238:$C$451,$C300,'TL05'!$J$238:$J$451),0),
IF('TL06'!$B$3=N$3,SUMIF('TL06'!$C$10:$C$224,$C300,'TL06'!$J$10:$J$224),0),
IF('TL06'!$B$229=N$3,SUMIF('TL06'!$C$238:$C$451,$C300,'TL06'!$J$238:$J$451),0),
IF('TL07'!$B$3=N$3,SUMIF('TL07'!$C$10:$C$224,$C300,'TL07'!$J$10:$J$224),0),
IF('TL07'!$B$229=N$3,SUMIF('TL07'!$C$238:$C$451,$C300,'TL07'!$J$238:$J$451),0),
IF('TL08'!$B$3=N$3,SUMIF('TL08'!$C$10:$C$224,$C300,'TL08'!$J$10:$J$224),0),
IF('TL08'!$B$229=N$3,SUMIF('TL08'!$C$238:$C$451,$C300,'TL08'!$J$238:$J$451),0),
IF('TL09'!$B$3=N$3,SUMIF('TL09'!$C$10:$C$224,$C300,'TL09'!$J$10:$J$224),0),
IF('TL09'!$B$229=N$3,SUMIF('TL09'!$C$238:$C$451,$C300,'TL09'!$J$238:$J$451),0),
IF('TL10'!$B$3=N$3,SUMIF('TL10'!$C$10:$C$224,$C300,'TL10'!$J$10:$J$224),0),
IF('TL10'!$B$229=N$3,SUMIF('TL10'!$C$238:$C$451,$C300,'TL10'!$J$238:$J$451),0),
IF('TL11'!$B$3=N$3,SUMIF('TL11'!$C$10:$C$224,$C300,'TL11'!$J$10:$J$224),0),
IF('TL11'!$B$229=N$3,SUMIF('TL11'!$C$238:$C$451,$C300,'TL11'!$J$238:$J$451),0),
IF('TL12'!$B$3=N$3,SUMIF('TL12'!$C$10:$C$224,$C300,'TL12'!$J$10:$J$224),0),
IF('TL12'!$B$229=N$3,SUMIF('TL12'!$C$238:$C$451,$C300,'TL12'!$J$238:$J$451),0),
IF('TL13'!$B$3=N$3,SUMIF('TL13'!$C$10:$C$224,$C300,'TL13'!$J$10:$J$224),0),
IF('TL13'!$B$229=N$3,SUMIF('TL13'!$C$238:$C$451,$C300,'TL13'!$J$238:$J$451),0),
IF('TL14'!$B$3=N$3,SUMIF('TL14'!$C$10:$C$224,$C300,'TL14'!$J$10:$J$224),0),
IF('TL14'!$B$229=N$3,SUMIF('TL14'!$C$238:$C$451,$C300,'TL14'!$J$238:$J$451),0),
IF('TL15'!$B$3=N$3,SUMIF('TL15'!$C$10:$C$224,$C300,'TL15'!$J$10:$J$224),0),
IF('TL15'!$B$229=N$3,SUMIF('TL15'!$C$238:$C$451,$C300,'TL15'!$J$238:$J$451),0),
IF('TL16'!$B$3=N$3,SUMIF('TL16'!$C$10:$C$224,$C300,'TL16'!$J$10:$J$224),0),
IF('TL16'!$B$229=N$3,SUMIF('TL16'!$C$238:$C$451,$C300,'TL16'!$J$238:$J$451),0),
IF('TL17'!$B$3=N$3,SUMIF('TL17'!$C$10:$C$224,$C300,'TL17'!$J$10:$J$224),0),
IF('TL17'!$B$229=N$3,SUMIF('TL17'!$C$238:$C$451,$C300,'TL17'!$J$238:$J$451),0),
IF('TL18'!$B$3=N$3,SUMIF('TL18'!$C$10:$C$224,$C300,'TL18'!$J$10:$J$224),0),
IF('TL18'!$B$229=N$3,SUMIF('TL18'!$C$238:$C$451,$C300,'TL18'!$J$238:$J$451),0),
IF('TL19'!$B$3=N$3,SUMIF('TL19'!$C$10:$C$224,$C300,'TL19'!$J$10:$J$224),0),
IF('TL19'!$B$229=N$3,SUMIF('TL19'!$C$238:$C$451,$C300,'TL19'!$J$238:$J$451),0)
),0)</f>
        <v>0</v>
      </c>
      <c r="O300" s="9">
        <f>IFERROR(SUM(
IF('TL01'!$B$3=O$3,SUMIF('TL01'!$C$10:$C$224,$C300,'TL01'!$J$10:$J$224),0),
IF('TL01'!$B$229=O$3,SUMIF('TL01'!$C$238:$C$451,$C300,'TL01'!$J$238:$J$451),0),
IF('TL02'!$B$3=O$3,SUMIF('TL02'!$C$10:$C$224,$C300,'TL02'!$J$10:$J$224),0),
IF('TL02'!$B$229=O$3,SUMIF('TL02'!$C$238:$C$451,$C300,'TL02'!$J$238:$J$451),0),
IF('TL03'!$B$3=O$3,SUMIF('TL03'!$C$10:$C$224,$C300,'TL03'!$J$10:$J$224),0),
IF('TL03'!$B$229=O$3,SUMIF('TL03'!$C$238:$C$451,$C300,'TL03'!$J$238:$J$451),0),
IF('TL04'!$B$3=O$3,SUMIF('TL04'!$C$10:$C$224,$C300,'TL04'!$J$10:$J$224),0),
IF('TL04'!$B$229=O$3,SUMIF('TL04'!$C$238:$C$451,$C300,'TL04'!$J$238:$J$451),0),
IF('TL05'!$B$3=O$3,SUMIF('TL05'!$C$10:$C$224,$C300,'TL05'!$J$10:$J$224),0),
IF('TL05'!$B$229=O$3,SUMIF('TL05'!$C$238:$C$451,$C300,'TL05'!$J$238:$J$451),0),
IF('TL06'!$B$3=O$3,SUMIF('TL06'!$C$10:$C$224,$C300,'TL06'!$J$10:$J$224),0),
IF('TL06'!$B$229=O$3,SUMIF('TL06'!$C$238:$C$451,$C300,'TL06'!$J$238:$J$451),0),
IF('TL07'!$B$3=O$3,SUMIF('TL07'!$C$10:$C$224,$C300,'TL07'!$J$10:$J$224),0),
IF('TL07'!$B$229=O$3,SUMIF('TL07'!$C$238:$C$451,$C300,'TL07'!$J$238:$J$451),0),
IF('TL08'!$B$3=O$3,SUMIF('TL08'!$C$10:$C$224,$C300,'TL08'!$J$10:$J$224),0),
IF('TL08'!$B$229=O$3,SUMIF('TL08'!$C$238:$C$451,$C300,'TL08'!$J$238:$J$451),0),
IF('TL09'!$B$3=O$3,SUMIF('TL09'!$C$10:$C$224,$C300,'TL09'!$J$10:$J$224),0),
IF('TL09'!$B$229=O$3,SUMIF('TL09'!$C$238:$C$451,$C300,'TL09'!$J$238:$J$451),0),
IF('TL10'!$B$3=O$3,SUMIF('TL10'!$C$10:$C$224,$C300,'TL10'!$J$10:$J$224),0),
IF('TL10'!$B$229=O$3,SUMIF('TL10'!$C$238:$C$451,$C300,'TL10'!$J$238:$J$451),0),
IF('TL11'!$B$3=O$3,SUMIF('TL11'!$C$10:$C$224,$C300,'TL11'!$J$10:$J$224),0),
IF('TL11'!$B$229=O$3,SUMIF('TL11'!$C$238:$C$451,$C300,'TL11'!$J$238:$J$451),0),
IF('TL12'!$B$3=O$3,SUMIF('TL12'!$C$10:$C$224,$C300,'TL12'!$J$10:$J$224),0),
IF('TL12'!$B$229=O$3,SUMIF('TL12'!$C$238:$C$451,$C300,'TL12'!$J$238:$J$451),0),
IF('TL13'!$B$3=O$3,SUMIF('TL13'!$C$10:$C$224,$C300,'TL13'!$J$10:$J$224),0),
IF('TL13'!$B$229=O$3,SUMIF('TL13'!$C$238:$C$451,$C300,'TL13'!$J$238:$J$451),0),
IF('TL14'!$B$3=O$3,SUMIF('TL14'!$C$10:$C$224,$C300,'TL14'!$J$10:$J$224),0),
IF('TL14'!$B$229=O$3,SUMIF('TL14'!$C$238:$C$451,$C300,'TL14'!$J$238:$J$451),0),
IF('TL15'!$B$3=O$3,SUMIF('TL15'!$C$10:$C$224,$C300,'TL15'!$J$10:$J$224),0),
IF('TL15'!$B$229=O$3,SUMIF('TL15'!$C$238:$C$451,$C300,'TL15'!$J$238:$J$451),0),
IF('TL16'!$B$3=O$3,SUMIF('TL16'!$C$10:$C$224,$C300,'TL16'!$J$10:$J$224),0),
IF('TL16'!$B$229=O$3,SUMIF('TL16'!$C$238:$C$451,$C300,'TL16'!$J$238:$J$451),0),
IF('TL17'!$B$3=O$3,SUMIF('TL17'!$C$10:$C$224,$C300,'TL17'!$J$10:$J$224),0),
IF('TL17'!$B$229=O$3,SUMIF('TL17'!$C$238:$C$451,$C300,'TL17'!$J$238:$J$451),0),
IF('TL18'!$B$3=O$3,SUMIF('TL18'!$C$10:$C$224,$C300,'TL18'!$J$10:$J$224),0),
IF('TL18'!$B$229=O$3,SUMIF('TL18'!$C$238:$C$451,$C300,'TL18'!$J$238:$J$451),0),
IF('TL19'!$B$3=O$3,SUMIF('TL19'!$C$10:$C$224,$C300,'TL19'!$J$10:$J$224),0),
IF('TL19'!$B$229=O$3,SUMIF('TL19'!$C$238:$C$451,$C300,'TL19'!$J$238:$J$451),0)
),0)</f>
        <v>0</v>
      </c>
      <c r="P300" s="9">
        <f>IFERROR(SUM(
IF('TL01'!$B$3=P$3,SUMIF('TL01'!$C$10:$C$224,$C300,'TL01'!$J$10:$J$224),0),
IF('TL01'!$B$229=P$3,SUMIF('TL01'!$C$238:$C$451,$C300,'TL01'!$J$238:$J$451),0),
IF('TL02'!$B$3=P$3,SUMIF('TL02'!$C$10:$C$224,$C300,'TL02'!$J$10:$J$224),0),
IF('TL02'!$B$229=P$3,SUMIF('TL02'!$C$238:$C$451,$C300,'TL02'!$J$238:$J$451),0),
IF('TL03'!$B$3=P$3,SUMIF('TL03'!$C$10:$C$224,$C300,'TL03'!$J$10:$J$224),0),
IF('TL03'!$B$229=P$3,SUMIF('TL03'!$C$238:$C$451,$C300,'TL03'!$J$238:$J$451),0),
IF('TL04'!$B$3=P$3,SUMIF('TL04'!$C$10:$C$224,$C300,'TL04'!$J$10:$J$224),0),
IF('TL04'!$B$229=P$3,SUMIF('TL04'!$C$238:$C$451,$C300,'TL04'!$J$238:$J$451),0),
IF('TL05'!$B$3=P$3,SUMIF('TL05'!$C$10:$C$224,$C300,'TL05'!$J$10:$J$224),0),
IF('TL05'!$B$229=P$3,SUMIF('TL05'!$C$238:$C$451,$C300,'TL05'!$J$238:$J$451),0),
IF('TL06'!$B$3=P$3,SUMIF('TL06'!$C$10:$C$224,$C300,'TL06'!$J$10:$J$224),0),
IF('TL06'!$B$229=P$3,SUMIF('TL06'!$C$238:$C$451,$C300,'TL06'!$J$238:$J$451),0),
IF('TL07'!$B$3=P$3,SUMIF('TL07'!$C$10:$C$224,$C300,'TL07'!$J$10:$J$224),0),
IF('TL07'!$B$229=P$3,SUMIF('TL07'!$C$238:$C$451,$C300,'TL07'!$J$238:$J$451),0),
IF('TL08'!$B$3=P$3,SUMIF('TL08'!$C$10:$C$224,$C300,'TL08'!$J$10:$J$224),0),
IF('TL08'!$B$229=P$3,SUMIF('TL08'!$C$238:$C$451,$C300,'TL08'!$J$238:$J$451),0),
IF('TL09'!$B$3=P$3,SUMIF('TL09'!$C$10:$C$224,$C300,'TL09'!$J$10:$J$224),0),
IF('TL09'!$B$229=P$3,SUMIF('TL09'!$C$238:$C$451,$C300,'TL09'!$J$238:$J$451),0),
IF('TL10'!$B$3=P$3,SUMIF('TL10'!$C$10:$C$224,$C300,'TL10'!$J$10:$J$224),0),
IF('TL10'!$B$229=P$3,SUMIF('TL10'!$C$238:$C$451,$C300,'TL10'!$J$238:$J$451),0),
IF('TL11'!$B$3=P$3,SUMIF('TL11'!$C$10:$C$224,$C300,'TL11'!$J$10:$J$224),0),
IF('TL11'!$B$229=P$3,SUMIF('TL11'!$C$238:$C$451,$C300,'TL11'!$J$238:$J$451),0),
IF('TL12'!$B$3=P$3,SUMIF('TL12'!$C$10:$C$224,$C300,'TL12'!$J$10:$J$224),0),
IF('TL12'!$B$229=P$3,SUMIF('TL12'!$C$238:$C$451,$C300,'TL12'!$J$238:$J$451),0),
IF('TL13'!$B$3=P$3,SUMIF('TL13'!$C$10:$C$224,$C300,'TL13'!$J$10:$J$224),0),
IF('TL13'!$B$229=P$3,SUMIF('TL13'!$C$238:$C$451,$C300,'TL13'!$J$238:$J$451),0),
IF('TL14'!$B$3=P$3,SUMIF('TL14'!$C$10:$C$224,$C300,'TL14'!$J$10:$J$224),0),
IF('TL14'!$B$229=P$3,SUMIF('TL14'!$C$238:$C$451,$C300,'TL14'!$J$238:$J$451),0),
IF('TL15'!$B$3=P$3,SUMIF('TL15'!$C$10:$C$224,$C300,'TL15'!$J$10:$J$224),0),
IF('TL15'!$B$229=P$3,SUMIF('TL15'!$C$238:$C$451,$C300,'TL15'!$J$238:$J$451),0),
IF('TL16'!$B$3=P$3,SUMIF('TL16'!$C$10:$C$224,$C300,'TL16'!$J$10:$J$224),0),
IF('TL16'!$B$229=P$3,SUMIF('TL16'!$C$238:$C$451,$C300,'TL16'!$J$238:$J$451),0),
IF('TL17'!$B$3=P$3,SUMIF('TL17'!$C$10:$C$224,$C300,'TL17'!$J$10:$J$224),0),
IF('TL17'!$B$229=P$3,SUMIF('TL17'!$C$238:$C$451,$C300,'TL17'!$J$238:$J$451),0),
IF('TL18'!$B$3=P$3,SUMIF('TL18'!$C$10:$C$224,$C300,'TL18'!$J$10:$J$224),0),
IF('TL18'!$B$229=P$3,SUMIF('TL18'!$C$238:$C$451,$C300,'TL18'!$J$238:$J$451),0),
IF('TL19'!$B$3=P$3,SUMIF('TL19'!$C$10:$C$224,$C300,'TL19'!$J$10:$J$224),0),
IF('TL19'!$B$229=P$3,SUMIF('TL19'!$C$238:$C$451,$C300,'TL19'!$J$238:$J$451),0)
),0)</f>
        <v>0</v>
      </c>
      <c r="Q300" s="9">
        <f>IFERROR(SUM(
IF('TL01'!$B$3=Q$3,SUMIF('TL01'!$C$10:$C$224,$C300,'TL01'!$J$10:$J$224),0),
IF('TL01'!$B$229=Q$3,SUMIF('TL01'!$C$238:$C$451,$C300,'TL01'!$J$238:$J$451),0),
IF('TL02'!$B$3=Q$3,SUMIF('TL02'!$C$10:$C$224,$C300,'TL02'!$J$10:$J$224),0),
IF('TL02'!$B$229=Q$3,SUMIF('TL02'!$C$238:$C$451,$C300,'TL02'!$J$238:$J$451),0),
IF('TL03'!$B$3=Q$3,SUMIF('TL03'!$C$10:$C$224,$C300,'TL03'!$J$10:$J$224),0),
IF('TL03'!$B$229=Q$3,SUMIF('TL03'!$C$238:$C$451,$C300,'TL03'!$J$238:$J$451),0),
IF('TL04'!$B$3=Q$3,SUMIF('TL04'!$C$10:$C$224,$C300,'TL04'!$J$10:$J$224),0),
IF('TL04'!$B$229=Q$3,SUMIF('TL04'!$C$238:$C$451,$C300,'TL04'!$J$238:$J$451),0),
IF('TL05'!$B$3=Q$3,SUMIF('TL05'!$C$10:$C$224,$C300,'TL05'!$J$10:$J$224),0),
IF('TL05'!$B$229=Q$3,SUMIF('TL05'!$C$238:$C$451,$C300,'TL05'!$J$238:$J$451),0),
IF('TL06'!$B$3=Q$3,SUMIF('TL06'!$C$10:$C$224,$C300,'TL06'!$J$10:$J$224),0),
IF('TL06'!$B$229=Q$3,SUMIF('TL06'!$C$238:$C$451,$C300,'TL06'!$J$238:$J$451),0),
IF('TL07'!$B$3=Q$3,SUMIF('TL07'!$C$10:$C$224,$C300,'TL07'!$J$10:$J$224),0),
IF('TL07'!$B$229=Q$3,SUMIF('TL07'!$C$238:$C$451,$C300,'TL07'!$J$238:$J$451),0),
IF('TL08'!$B$3=Q$3,SUMIF('TL08'!$C$10:$C$224,$C300,'TL08'!$J$10:$J$224),0),
IF('TL08'!$B$229=Q$3,SUMIF('TL08'!$C$238:$C$451,$C300,'TL08'!$J$238:$J$451),0),
IF('TL09'!$B$3=Q$3,SUMIF('TL09'!$C$10:$C$224,$C300,'TL09'!$J$10:$J$224),0),
IF('TL09'!$B$229=Q$3,SUMIF('TL09'!$C$238:$C$451,$C300,'TL09'!$J$238:$J$451),0),
IF('TL10'!$B$3=Q$3,SUMIF('TL10'!$C$10:$C$224,$C300,'TL10'!$J$10:$J$224),0),
IF('TL10'!$B$229=Q$3,SUMIF('TL10'!$C$238:$C$451,$C300,'TL10'!$J$238:$J$451),0),
IF('TL11'!$B$3=Q$3,SUMIF('TL11'!$C$10:$C$224,$C300,'TL11'!$J$10:$J$224),0),
IF('TL11'!$B$229=Q$3,SUMIF('TL11'!$C$238:$C$451,$C300,'TL11'!$J$238:$J$451),0),
IF('TL12'!$B$3=Q$3,SUMIF('TL12'!$C$10:$C$224,$C300,'TL12'!$J$10:$J$224),0),
IF('TL12'!$B$229=Q$3,SUMIF('TL12'!$C$238:$C$451,$C300,'TL12'!$J$238:$J$451),0),
IF('TL13'!$B$3=Q$3,SUMIF('TL13'!$C$10:$C$224,$C300,'TL13'!$J$10:$J$224),0),
IF('TL13'!$B$229=Q$3,SUMIF('TL13'!$C$238:$C$451,$C300,'TL13'!$J$238:$J$451),0),
IF('TL14'!$B$3=Q$3,SUMIF('TL14'!$C$10:$C$224,$C300,'TL14'!$J$10:$J$224),0),
IF('TL14'!$B$229=Q$3,SUMIF('TL14'!$C$238:$C$451,$C300,'TL14'!$J$238:$J$451),0),
IF('TL15'!$B$3=Q$3,SUMIF('TL15'!$C$10:$C$224,$C300,'TL15'!$J$10:$J$224),0),
IF('TL15'!$B$229=Q$3,SUMIF('TL15'!$C$238:$C$451,$C300,'TL15'!$J$238:$J$451),0),
IF('TL16'!$B$3=Q$3,SUMIF('TL16'!$C$10:$C$224,$C300,'TL16'!$J$10:$J$224),0),
IF('TL16'!$B$229=Q$3,SUMIF('TL16'!$C$238:$C$451,$C300,'TL16'!$J$238:$J$451),0),
IF('TL17'!$B$3=Q$3,SUMIF('TL17'!$C$10:$C$224,$C300,'TL17'!$J$10:$J$224),0),
IF('TL17'!$B$229=Q$3,SUMIF('TL17'!$C$238:$C$451,$C300,'TL17'!$J$238:$J$451),0),
IF('TL18'!$B$3=Q$3,SUMIF('TL18'!$C$10:$C$224,$C300,'TL18'!$J$10:$J$224),0),
IF('TL18'!$B$229=Q$3,SUMIF('TL18'!$C$238:$C$451,$C300,'TL18'!$J$238:$J$451),0),
IF('TL19'!$B$3=Q$3,SUMIF('TL19'!$C$10:$C$224,$C300,'TL19'!$J$10:$J$224),0),
IF('TL19'!$B$229=Q$3,SUMIF('TL19'!$C$238:$C$451,$C300,'TL19'!$J$238:$J$451),0)
),0)</f>
        <v>0</v>
      </c>
      <c r="R300" s="9">
        <f>IFERROR(
SUM(
SUMIF('TL01'!C:C,C300,'TL01'!J:J),
SUMIF('TL02'!C:C,C300,'TL02'!J:J),
SUMIF('TL03'!C:C,C300,'TL03'!J:J),
SUMIF('TL04'!C:C,C300,'TL04'!J:J),
SUMIF('TL05'!C:C,C300,'TL05'!J:J),
SUMIF('TL06'!C:C,C300,'TL06'!J:J),
SUMIF('TL07'!C:C,C300,'TL07'!J:J),
SUMIF('TL08'!C:C,C300,'TL08'!J:J),
SUMIF('TL09'!C:C,C300,'TL09'!J:J),
SUMIF('TL10'!C:C,C300,'TL10'!J:J),
SUMIF('TL11'!C:C,C300,'TL11'!J:J),
SUMIF('TL12'!C:C,C300,'TL12'!J:J),
SUMIF('TL13'!C:C,C300,'TL13'!J:J),
SUMIF('TL14'!C:C,C300,'TL14'!J:J),
SUMIF('TL15'!C:C,C300,'TL15'!J:J),
SUMIF('TL16'!C:C,C300,'TL16'!J:J),
SUMIF('TL17'!C:C,C300,'TL17'!J:J),
SUMIF('TL18'!C:C,C300,'TL18'!J:J),SUMIF('TL19'!C:C,C300,'TL19'!J:J))
,0)</f>
        <v>0</v>
      </c>
      <c r="S300" s="17">
        <f>IFERROR(__xludf.DUMMYFUNCTION("IFERROR(VLOOKUP(C300,
IMPORTRANGE(""1wULbzX32WdYsx-lj2U3uUNBBe2INVIRDtcK0d-Dvl90"",
""26-27!C:G""),
5,
FALSE),
"""")"),1142.47)</f>
        <v>1142.47</v>
      </c>
      <c r="T300" s="9"/>
      <c r="U300" s="92">
        <f t="shared" si="2"/>
        <v>0</v>
      </c>
      <c r="V300" s="93">
        <f t="shared" si="3"/>
        <v>0</v>
      </c>
    </row>
    <row r="301" ht="15.75" hidden="1" customHeight="1">
      <c r="A301" s="122" t="s">
        <v>356</v>
      </c>
      <c r="B301" s="124" t="s">
        <v>3</v>
      </c>
      <c r="C301" s="122" t="s">
        <v>1022</v>
      </c>
      <c r="D301" s="122" t="s">
        <v>825</v>
      </c>
      <c r="E301" s="122">
        <v>625.0</v>
      </c>
      <c r="F301" s="4" t="s">
        <v>343</v>
      </c>
      <c r="G301" s="90" t="str">
        <f t="shared" si="5"/>
        <v>📄 Ver bula</v>
      </c>
      <c r="H301" s="9">
        <f>IFERROR(__xludf.DUMMYFUNCTION("IFERROR(VLOOKUP(C301,
IMPORTRANGE(""1wULbzX32WdYsx-lj2U3uUNBBe2INVIRDtcK0d-Dvl90"",
""26-27!C:K""),
8,
FALSE),
"""")"),0.05)</f>
        <v>0.05</v>
      </c>
      <c r="I301" s="123"/>
      <c r="J301" s="9">
        <f>IFERROR(SUM(
IF('TL01'!$B$3=J$3,SUMIF('TL01'!$C$10:$C$224,$C301,'TL01'!$J$10:$J$224),0),
IF('TL01'!$B$229=J$3,SUMIF('TL01'!$C$238:$C$451,$C301,'TL01'!$J$238:$J$451),0),
IF('TL02'!$B$3=J$3,SUMIF('TL02'!$C$10:$C$224,$C301,'TL02'!$J$10:$J$224),0),
IF('TL02'!$B$229=J$3,SUMIF('TL02'!$C$238:$C$451,$C301,'TL02'!$J$238:$J$451),0),
IF('TL03'!$B$3=J$3,SUMIF('TL03'!$C$10:$C$224,$C301,'TL03'!$J$10:$J$224),0),
IF('TL03'!$B$229=J$3,SUMIF('TL03'!$C$238:$C$451,$C301,'TL03'!$J$238:$J$451),0),
IF('TL04'!$B$3=J$3,SUMIF('TL04'!$C$10:$C$224,$C301,'TL04'!$J$10:$J$224),0),
IF('TL04'!$B$229=J$3,SUMIF('TL04'!$C$238:$C$451,$C301,'TL04'!$J$238:$J$451),0),
IF('TL05'!$B$3=J$3,SUMIF('TL05'!$C$10:$C$224,$C301,'TL05'!$J$10:$J$224),0),
IF('TL05'!$B$229=J$3,SUMIF('TL05'!$C$238:$C$451,$C301,'TL05'!$J$238:$J$451),0),
IF('TL06'!$B$3=J$3,SUMIF('TL06'!$C$10:$C$224,$C301,'TL06'!$J$10:$J$224),0),
IF('TL06'!$B$229=J$3,SUMIF('TL06'!$C$238:$C$451,$C301,'TL06'!$J$238:$J$451),0),
IF('TL07'!$B$3=J$3,SUMIF('TL07'!$C$10:$C$224,$C301,'TL07'!$J$10:$J$224),0),
IF('TL07'!$B$229=J$3,SUMIF('TL07'!$C$238:$C$451,$C301,'TL07'!$J$238:$J$451),0),
IF('TL08'!$B$3=J$3,SUMIF('TL08'!$C$10:$C$224,$C301,'TL08'!$J$10:$J$224),0),
IF('TL08'!$B$229=J$3,SUMIF('TL08'!$C$238:$C$451,$C301,'TL08'!$J$238:$J$451),0),
IF('TL09'!$B$3=J$3,SUMIF('TL09'!$C$10:$C$224,$C301,'TL09'!$J$10:$J$224),0),
IF('TL09'!$B$229=J$3,SUMIF('TL09'!$C$238:$C$451,$C301,'TL09'!$J$238:$J$451),0),
IF('TL10'!$B$3=J$3,SUMIF('TL10'!$C$10:$C$224,$C301,'TL10'!$J$10:$J$224),0),
IF('TL10'!$B$229=J$3,SUMIF('TL10'!$C$238:$C$451,$C301,'TL10'!$J$238:$J$451),0),
IF('TL11'!$B$3=J$3,SUMIF('TL11'!$C$10:$C$224,$C301,'TL11'!$J$10:$J$224),0),
IF('TL11'!$B$229=J$3,SUMIF('TL11'!$C$238:$C$451,$C301,'TL11'!$J$238:$J$451),0),
IF('TL12'!$B$3=J$3,SUMIF('TL12'!$C$10:$C$224,$C301,'TL12'!$J$10:$J$224),0),
IF('TL12'!$B$229=J$3,SUMIF('TL12'!$C$238:$C$451,$C301,'TL12'!$J$238:$J$451),0),
IF('TL13'!$B$3=J$3,SUMIF('TL13'!$C$10:$C$224,$C301,'TL13'!$J$10:$J$224),0),
IF('TL13'!$B$229=J$3,SUMIF('TL13'!$C$238:$C$451,$C301,'TL13'!$J$238:$J$451),0),
IF('TL14'!$B$3=J$3,SUMIF('TL14'!$C$10:$C$224,$C301,'TL14'!$J$10:$J$224),0),
IF('TL14'!$B$229=J$3,SUMIF('TL14'!$C$238:$C$451,$C301,'TL14'!$J$238:$J$451),0),
IF('TL15'!$B$3=J$3,SUMIF('TL15'!$C$10:$C$224,$C301,'TL15'!$J$10:$J$224),0),
IF('TL15'!$B$229=J$3,SUMIF('TL15'!$C$238:$C$451,$C301,'TL15'!$J$238:$J$451),0),
IF('TL16'!$B$3=J$3,SUMIF('TL16'!$C$10:$C$224,$C301,'TL16'!$J$10:$J$224),0),
IF('TL16'!$B$229=J$3,SUMIF('TL16'!$C$238:$C$451,$C301,'TL16'!$J$238:$J$451),0),
IF('TL17'!$B$3=J$3,SUMIF('TL17'!$C$10:$C$224,$C301,'TL17'!$J$10:$J$224),0),
IF('TL17'!$B$229=J$3,SUMIF('TL17'!$C$238:$C$451,$C301,'TL17'!$J$238:$J$451),0),
IF('TL18'!$B$3=J$3,SUMIF('TL18'!$C$10:$C$224,$C301,'TL18'!$J$10:$J$224),0),
IF('TL18'!$B$229=J$3,SUMIF('TL18'!$C$238:$C$451,$C301,'TL18'!$J$238:$J$451),0),
IF('TL19'!$B$3=J$3,SUMIF('TL19'!$C$10:$C$224,$C301,'TL19'!$J$10:$J$224),0),
IF('TL19'!$B$229=J$3,SUMIF('TL19'!$C$238:$C$451,$C301,'TL19'!$J$238:$J$451),0)
),0)</f>
        <v>0</v>
      </c>
      <c r="K301" s="9">
        <f>IFERROR(SUM(
IF('TL01'!$B$3=K$3,SUMIF('TL01'!$C$10:$C$224,$C301,'TL01'!$J$10:$J$224),0),
IF('TL01'!$B$229=K$3,SUMIF('TL01'!$C$238:$C$451,$C301,'TL01'!$J$238:$J$451),0),
IF('TL02'!$B$3=K$3,SUMIF('TL02'!$C$10:$C$224,$C301,'TL02'!$J$10:$J$224),0),
IF('TL02'!$B$229=K$3,SUMIF('TL02'!$C$238:$C$451,$C301,'TL02'!$J$238:$J$451),0),
IF('TL03'!$B$3=K$3,SUMIF('TL03'!$C$10:$C$224,$C301,'TL03'!$J$10:$J$224),0),
IF('TL03'!$B$229=K$3,SUMIF('TL03'!$C$238:$C$451,$C301,'TL03'!$J$238:$J$451),0),
IF('TL04'!$B$3=K$3,SUMIF('TL04'!$C$10:$C$224,$C301,'TL04'!$J$10:$J$224),0),
IF('TL04'!$B$229=K$3,SUMIF('TL04'!$C$238:$C$451,$C301,'TL04'!$J$238:$J$451),0),
IF('TL05'!$B$3=K$3,SUMIF('TL05'!$C$10:$C$224,$C301,'TL05'!$J$10:$J$224),0),
IF('TL05'!$B$229=K$3,SUMIF('TL05'!$C$238:$C$451,$C301,'TL05'!$J$238:$J$451),0),
IF('TL06'!$B$3=K$3,SUMIF('TL06'!$C$10:$C$224,$C301,'TL06'!$J$10:$J$224),0),
IF('TL06'!$B$229=K$3,SUMIF('TL06'!$C$238:$C$451,$C301,'TL06'!$J$238:$J$451),0),
IF('TL07'!$B$3=K$3,SUMIF('TL07'!$C$10:$C$224,$C301,'TL07'!$J$10:$J$224),0),
IF('TL07'!$B$229=K$3,SUMIF('TL07'!$C$238:$C$451,$C301,'TL07'!$J$238:$J$451),0),
IF('TL08'!$B$3=K$3,SUMIF('TL08'!$C$10:$C$224,$C301,'TL08'!$J$10:$J$224),0),
IF('TL08'!$B$229=K$3,SUMIF('TL08'!$C$238:$C$451,$C301,'TL08'!$J$238:$J$451),0),
IF('TL09'!$B$3=K$3,SUMIF('TL09'!$C$10:$C$224,$C301,'TL09'!$J$10:$J$224),0),
IF('TL09'!$B$229=K$3,SUMIF('TL09'!$C$238:$C$451,$C301,'TL09'!$J$238:$J$451),0),
IF('TL10'!$B$3=K$3,SUMIF('TL10'!$C$10:$C$224,$C301,'TL10'!$J$10:$J$224),0),
IF('TL10'!$B$229=K$3,SUMIF('TL10'!$C$238:$C$451,$C301,'TL10'!$J$238:$J$451),0),
IF('TL11'!$B$3=K$3,SUMIF('TL11'!$C$10:$C$224,$C301,'TL11'!$J$10:$J$224),0),
IF('TL11'!$B$229=K$3,SUMIF('TL11'!$C$238:$C$451,$C301,'TL11'!$J$238:$J$451),0),
IF('TL12'!$B$3=K$3,SUMIF('TL12'!$C$10:$C$224,$C301,'TL12'!$J$10:$J$224),0),
IF('TL12'!$B$229=K$3,SUMIF('TL12'!$C$238:$C$451,$C301,'TL12'!$J$238:$J$451),0),
IF('TL13'!$B$3=K$3,SUMIF('TL13'!$C$10:$C$224,$C301,'TL13'!$J$10:$J$224),0),
IF('TL13'!$B$229=K$3,SUMIF('TL13'!$C$238:$C$451,$C301,'TL13'!$J$238:$J$451),0),
IF('TL14'!$B$3=K$3,SUMIF('TL14'!$C$10:$C$224,$C301,'TL14'!$J$10:$J$224),0),
IF('TL14'!$B$229=K$3,SUMIF('TL14'!$C$238:$C$451,$C301,'TL14'!$J$238:$J$451),0),
IF('TL15'!$B$3=K$3,SUMIF('TL15'!$C$10:$C$224,$C301,'TL15'!$J$10:$J$224),0),
IF('TL15'!$B$229=K$3,SUMIF('TL15'!$C$238:$C$451,$C301,'TL15'!$J$238:$J$451),0),
IF('TL16'!$B$3=K$3,SUMIF('TL16'!$C$10:$C$224,$C301,'TL16'!$J$10:$J$224),0),
IF('TL16'!$B$229=K$3,SUMIF('TL16'!$C$238:$C$451,$C301,'TL16'!$J$238:$J$451),0),
IF('TL17'!$B$3=K$3,SUMIF('TL17'!$C$10:$C$224,$C301,'TL17'!$J$10:$J$224),0),
IF('TL17'!$B$229=K$3,SUMIF('TL17'!$C$238:$C$451,$C301,'TL17'!$J$238:$J$451),0),
IF('TL18'!$B$3=K$3,SUMIF('TL18'!$C$10:$C$224,$C301,'TL18'!$J$10:$J$224),0),
IF('TL18'!$B$229=K$3,SUMIF('TL18'!$C$238:$C$451,$C301,'TL18'!$J$238:$J$451),0),
IF('TL19'!$B$3=K$3,SUMIF('TL19'!$C$10:$C$224,$C301,'TL19'!$J$10:$J$224),0),
IF('TL19'!$B$229=K$3,SUMIF('TL19'!$C$238:$C$451,$C301,'TL19'!$J$238:$J$451),0)
),0)</f>
        <v>0</v>
      </c>
      <c r="L301" s="9">
        <f>IFERROR(SUM(
IF('TL01'!$B$3=L$3,SUMIF('TL01'!$C$10:$C$224,$C301,'TL01'!$J$10:$J$224),0),
IF('TL01'!$B$229=L$3,SUMIF('TL01'!$C$238:$C$451,$C301,'TL01'!$J$238:$J$451),0),
IF('TL02'!$B$3=L$3,SUMIF('TL02'!$C$10:$C$224,$C301,'TL02'!$J$10:$J$224),0),
IF('TL02'!$B$229=L$3,SUMIF('TL02'!$C$238:$C$451,$C301,'TL02'!$J$238:$J$451),0),
IF('TL03'!$B$3=L$3,SUMIF('TL03'!$C$10:$C$224,$C301,'TL03'!$J$10:$J$224),0),
IF('TL03'!$B$229=L$3,SUMIF('TL03'!$C$238:$C$451,$C301,'TL03'!$J$238:$J$451),0),
IF('TL04'!$B$3=L$3,SUMIF('TL04'!$C$10:$C$224,$C301,'TL04'!$J$10:$J$224),0),
IF('TL04'!$B$229=L$3,SUMIF('TL04'!$C$238:$C$451,$C301,'TL04'!$J$238:$J$451),0),
IF('TL05'!$B$3=L$3,SUMIF('TL05'!$C$10:$C$224,$C301,'TL05'!$J$10:$J$224),0),
IF('TL05'!$B$229=L$3,SUMIF('TL05'!$C$238:$C$451,$C301,'TL05'!$J$238:$J$451),0),
IF('TL06'!$B$3=L$3,SUMIF('TL06'!$C$10:$C$224,$C301,'TL06'!$J$10:$J$224),0),
IF('TL06'!$B$229=L$3,SUMIF('TL06'!$C$238:$C$451,$C301,'TL06'!$J$238:$J$451),0),
IF('TL07'!$B$3=L$3,SUMIF('TL07'!$C$10:$C$224,$C301,'TL07'!$J$10:$J$224),0),
IF('TL07'!$B$229=L$3,SUMIF('TL07'!$C$238:$C$451,$C301,'TL07'!$J$238:$J$451),0),
IF('TL08'!$B$3=L$3,SUMIF('TL08'!$C$10:$C$224,$C301,'TL08'!$J$10:$J$224),0),
IF('TL08'!$B$229=L$3,SUMIF('TL08'!$C$238:$C$451,$C301,'TL08'!$J$238:$J$451),0),
IF('TL09'!$B$3=L$3,SUMIF('TL09'!$C$10:$C$224,$C301,'TL09'!$J$10:$J$224),0),
IF('TL09'!$B$229=L$3,SUMIF('TL09'!$C$238:$C$451,$C301,'TL09'!$J$238:$J$451),0),
IF('TL10'!$B$3=L$3,SUMIF('TL10'!$C$10:$C$224,$C301,'TL10'!$J$10:$J$224),0),
IF('TL10'!$B$229=L$3,SUMIF('TL10'!$C$238:$C$451,$C301,'TL10'!$J$238:$J$451),0),
IF('TL11'!$B$3=L$3,SUMIF('TL11'!$C$10:$C$224,$C301,'TL11'!$J$10:$J$224),0),
IF('TL11'!$B$229=L$3,SUMIF('TL11'!$C$238:$C$451,$C301,'TL11'!$J$238:$J$451),0),
IF('TL12'!$B$3=L$3,SUMIF('TL12'!$C$10:$C$224,$C301,'TL12'!$J$10:$J$224),0),
IF('TL12'!$B$229=L$3,SUMIF('TL12'!$C$238:$C$451,$C301,'TL12'!$J$238:$J$451),0),
IF('TL13'!$B$3=L$3,SUMIF('TL13'!$C$10:$C$224,$C301,'TL13'!$J$10:$J$224),0),
IF('TL13'!$B$229=L$3,SUMIF('TL13'!$C$238:$C$451,$C301,'TL13'!$J$238:$J$451),0),
IF('TL14'!$B$3=L$3,SUMIF('TL14'!$C$10:$C$224,$C301,'TL14'!$J$10:$J$224),0),
IF('TL14'!$B$229=L$3,SUMIF('TL14'!$C$238:$C$451,$C301,'TL14'!$J$238:$J$451),0),
IF('TL15'!$B$3=L$3,SUMIF('TL15'!$C$10:$C$224,$C301,'TL15'!$J$10:$J$224),0),
IF('TL15'!$B$229=L$3,SUMIF('TL15'!$C$238:$C$451,$C301,'TL15'!$J$238:$J$451),0),
IF('TL16'!$B$3=L$3,SUMIF('TL16'!$C$10:$C$224,$C301,'TL16'!$J$10:$J$224),0),
IF('TL16'!$B$229=L$3,SUMIF('TL16'!$C$238:$C$451,$C301,'TL16'!$J$238:$J$451),0),
IF('TL17'!$B$3=L$3,SUMIF('TL17'!$C$10:$C$224,$C301,'TL17'!$J$10:$J$224),0),
IF('TL17'!$B$229=L$3,SUMIF('TL17'!$C$238:$C$451,$C301,'TL17'!$J$238:$J$451),0),
IF('TL18'!$B$3=L$3,SUMIF('TL18'!$C$10:$C$224,$C301,'TL18'!$J$10:$J$224),0),
IF('TL18'!$B$229=L$3,SUMIF('TL18'!$C$238:$C$451,$C301,'TL18'!$J$238:$J$451),0),
IF('TL19'!$B$3=L$3,SUMIF('TL19'!$C$10:$C$224,$C301,'TL19'!$J$10:$J$224),0),
IF('TL19'!$B$229=L$3,SUMIF('TL19'!$C$238:$C$451,$C301,'TL19'!$J$238:$J$451),0)
),0)</f>
        <v>0</v>
      </c>
      <c r="M301" s="9">
        <f>IFERROR(SUM(
IF('TL01'!$B$3=M$3,SUMIF('TL01'!$C$10:$C$224,$C301,'TL01'!$J$10:$J$224),0),
IF('TL01'!$B$229=M$3,SUMIF('TL01'!$C$238:$C$451,$C301,'TL01'!$J$238:$J$451),0),
IF('TL02'!$B$3=M$3,SUMIF('TL02'!$C$10:$C$224,$C301,'TL02'!$J$10:$J$224),0),
IF('TL02'!$B$229=M$3,SUMIF('TL02'!$C$238:$C$451,$C301,'TL02'!$J$238:$J$451),0),
IF('TL03'!$B$3=M$3,SUMIF('TL03'!$C$10:$C$224,$C301,'TL03'!$J$10:$J$224),0),
IF('TL03'!$B$229=M$3,SUMIF('TL03'!$C$238:$C$451,$C301,'TL03'!$J$238:$J$451),0),
IF('TL04'!$B$3=M$3,SUMIF('TL04'!$C$10:$C$224,$C301,'TL04'!$J$10:$J$224),0),
IF('TL04'!$B$229=M$3,SUMIF('TL04'!$C$238:$C$451,$C301,'TL04'!$J$238:$J$451),0),
IF('TL05'!$B$3=M$3,SUMIF('TL05'!$C$10:$C$224,$C301,'TL05'!$J$10:$J$224),0),
IF('TL05'!$B$229=M$3,SUMIF('TL05'!$C$238:$C$451,$C301,'TL05'!$J$238:$J$451),0),
IF('TL06'!$B$3=M$3,SUMIF('TL06'!$C$10:$C$224,$C301,'TL06'!$J$10:$J$224),0),
IF('TL06'!$B$229=M$3,SUMIF('TL06'!$C$238:$C$451,$C301,'TL06'!$J$238:$J$451),0),
IF('TL07'!$B$3=M$3,SUMIF('TL07'!$C$10:$C$224,$C301,'TL07'!$J$10:$J$224),0),
IF('TL07'!$B$229=M$3,SUMIF('TL07'!$C$238:$C$451,$C301,'TL07'!$J$238:$J$451),0),
IF('TL08'!$B$3=M$3,SUMIF('TL08'!$C$10:$C$224,$C301,'TL08'!$J$10:$J$224),0),
IF('TL08'!$B$229=M$3,SUMIF('TL08'!$C$238:$C$451,$C301,'TL08'!$J$238:$J$451),0),
IF('TL09'!$B$3=M$3,SUMIF('TL09'!$C$10:$C$224,$C301,'TL09'!$J$10:$J$224),0),
IF('TL09'!$B$229=M$3,SUMIF('TL09'!$C$238:$C$451,$C301,'TL09'!$J$238:$J$451),0),
IF('TL10'!$B$3=M$3,SUMIF('TL10'!$C$10:$C$224,$C301,'TL10'!$J$10:$J$224),0),
IF('TL10'!$B$229=M$3,SUMIF('TL10'!$C$238:$C$451,$C301,'TL10'!$J$238:$J$451),0),
IF('TL11'!$B$3=M$3,SUMIF('TL11'!$C$10:$C$224,$C301,'TL11'!$J$10:$J$224),0),
IF('TL11'!$B$229=M$3,SUMIF('TL11'!$C$238:$C$451,$C301,'TL11'!$J$238:$J$451),0),
IF('TL12'!$B$3=M$3,SUMIF('TL12'!$C$10:$C$224,$C301,'TL12'!$J$10:$J$224),0),
IF('TL12'!$B$229=M$3,SUMIF('TL12'!$C$238:$C$451,$C301,'TL12'!$J$238:$J$451),0),
IF('TL13'!$B$3=M$3,SUMIF('TL13'!$C$10:$C$224,$C301,'TL13'!$J$10:$J$224),0),
IF('TL13'!$B$229=M$3,SUMIF('TL13'!$C$238:$C$451,$C301,'TL13'!$J$238:$J$451),0),
IF('TL14'!$B$3=M$3,SUMIF('TL14'!$C$10:$C$224,$C301,'TL14'!$J$10:$J$224),0),
IF('TL14'!$B$229=M$3,SUMIF('TL14'!$C$238:$C$451,$C301,'TL14'!$J$238:$J$451),0),
IF('TL15'!$B$3=M$3,SUMIF('TL15'!$C$10:$C$224,$C301,'TL15'!$J$10:$J$224),0),
IF('TL15'!$B$229=M$3,SUMIF('TL15'!$C$238:$C$451,$C301,'TL15'!$J$238:$J$451),0),
IF('TL16'!$B$3=M$3,SUMIF('TL16'!$C$10:$C$224,$C301,'TL16'!$J$10:$J$224),0),
IF('TL16'!$B$229=M$3,SUMIF('TL16'!$C$238:$C$451,$C301,'TL16'!$J$238:$J$451),0),
IF('TL17'!$B$3=M$3,SUMIF('TL17'!$C$10:$C$224,$C301,'TL17'!$J$10:$J$224),0),
IF('TL17'!$B$229=M$3,SUMIF('TL17'!$C$238:$C$451,$C301,'TL17'!$J$238:$J$451),0),
IF('TL18'!$B$3=M$3,SUMIF('TL18'!$C$10:$C$224,$C301,'TL18'!$J$10:$J$224),0),
IF('TL18'!$B$229=M$3,SUMIF('TL18'!$C$238:$C$451,$C301,'TL18'!$J$238:$J$451),0),
IF('TL19'!$B$3=M$3,SUMIF('TL19'!$C$10:$C$224,$C301,'TL19'!$J$10:$J$224),0),
IF('TL19'!$B$229=M$3,SUMIF('TL19'!$C$238:$C$451,$C301,'TL19'!$J$238:$J$451),0)
),0)</f>
        <v>0</v>
      </c>
      <c r="N301" s="9">
        <f>IFERROR(SUM(
IF('TL01'!$B$3=N$3,SUMIF('TL01'!$C$10:$C$224,$C301,'TL01'!$J$10:$J$224),0),
IF('TL01'!$B$229=N$3,SUMIF('TL01'!$C$238:$C$451,$C301,'TL01'!$J$238:$J$451),0),
IF('TL02'!$B$3=N$3,SUMIF('TL02'!$C$10:$C$224,$C301,'TL02'!$J$10:$J$224),0),
IF('TL02'!$B$229=N$3,SUMIF('TL02'!$C$238:$C$451,$C301,'TL02'!$J$238:$J$451),0),
IF('TL03'!$B$3=N$3,SUMIF('TL03'!$C$10:$C$224,$C301,'TL03'!$J$10:$J$224),0),
IF('TL03'!$B$229=N$3,SUMIF('TL03'!$C$238:$C$451,$C301,'TL03'!$J$238:$J$451),0),
IF('TL04'!$B$3=N$3,SUMIF('TL04'!$C$10:$C$224,$C301,'TL04'!$J$10:$J$224),0),
IF('TL04'!$B$229=N$3,SUMIF('TL04'!$C$238:$C$451,$C301,'TL04'!$J$238:$J$451),0),
IF('TL05'!$B$3=N$3,SUMIF('TL05'!$C$10:$C$224,$C301,'TL05'!$J$10:$J$224),0),
IF('TL05'!$B$229=N$3,SUMIF('TL05'!$C$238:$C$451,$C301,'TL05'!$J$238:$J$451),0),
IF('TL06'!$B$3=N$3,SUMIF('TL06'!$C$10:$C$224,$C301,'TL06'!$J$10:$J$224),0),
IF('TL06'!$B$229=N$3,SUMIF('TL06'!$C$238:$C$451,$C301,'TL06'!$J$238:$J$451),0),
IF('TL07'!$B$3=N$3,SUMIF('TL07'!$C$10:$C$224,$C301,'TL07'!$J$10:$J$224),0),
IF('TL07'!$B$229=N$3,SUMIF('TL07'!$C$238:$C$451,$C301,'TL07'!$J$238:$J$451),0),
IF('TL08'!$B$3=N$3,SUMIF('TL08'!$C$10:$C$224,$C301,'TL08'!$J$10:$J$224),0),
IF('TL08'!$B$229=N$3,SUMIF('TL08'!$C$238:$C$451,$C301,'TL08'!$J$238:$J$451),0),
IF('TL09'!$B$3=N$3,SUMIF('TL09'!$C$10:$C$224,$C301,'TL09'!$J$10:$J$224),0),
IF('TL09'!$B$229=N$3,SUMIF('TL09'!$C$238:$C$451,$C301,'TL09'!$J$238:$J$451),0),
IF('TL10'!$B$3=N$3,SUMIF('TL10'!$C$10:$C$224,$C301,'TL10'!$J$10:$J$224),0),
IF('TL10'!$B$229=N$3,SUMIF('TL10'!$C$238:$C$451,$C301,'TL10'!$J$238:$J$451),0),
IF('TL11'!$B$3=N$3,SUMIF('TL11'!$C$10:$C$224,$C301,'TL11'!$J$10:$J$224),0),
IF('TL11'!$B$229=N$3,SUMIF('TL11'!$C$238:$C$451,$C301,'TL11'!$J$238:$J$451),0),
IF('TL12'!$B$3=N$3,SUMIF('TL12'!$C$10:$C$224,$C301,'TL12'!$J$10:$J$224),0),
IF('TL12'!$B$229=N$3,SUMIF('TL12'!$C$238:$C$451,$C301,'TL12'!$J$238:$J$451),0),
IF('TL13'!$B$3=N$3,SUMIF('TL13'!$C$10:$C$224,$C301,'TL13'!$J$10:$J$224),0),
IF('TL13'!$B$229=N$3,SUMIF('TL13'!$C$238:$C$451,$C301,'TL13'!$J$238:$J$451),0),
IF('TL14'!$B$3=N$3,SUMIF('TL14'!$C$10:$C$224,$C301,'TL14'!$J$10:$J$224),0),
IF('TL14'!$B$229=N$3,SUMIF('TL14'!$C$238:$C$451,$C301,'TL14'!$J$238:$J$451),0),
IF('TL15'!$B$3=N$3,SUMIF('TL15'!$C$10:$C$224,$C301,'TL15'!$J$10:$J$224),0),
IF('TL15'!$B$229=N$3,SUMIF('TL15'!$C$238:$C$451,$C301,'TL15'!$J$238:$J$451),0),
IF('TL16'!$B$3=N$3,SUMIF('TL16'!$C$10:$C$224,$C301,'TL16'!$J$10:$J$224),0),
IF('TL16'!$B$229=N$3,SUMIF('TL16'!$C$238:$C$451,$C301,'TL16'!$J$238:$J$451),0),
IF('TL17'!$B$3=N$3,SUMIF('TL17'!$C$10:$C$224,$C301,'TL17'!$J$10:$J$224),0),
IF('TL17'!$B$229=N$3,SUMIF('TL17'!$C$238:$C$451,$C301,'TL17'!$J$238:$J$451),0),
IF('TL18'!$B$3=N$3,SUMIF('TL18'!$C$10:$C$224,$C301,'TL18'!$J$10:$J$224),0),
IF('TL18'!$B$229=N$3,SUMIF('TL18'!$C$238:$C$451,$C301,'TL18'!$J$238:$J$451),0),
IF('TL19'!$B$3=N$3,SUMIF('TL19'!$C$10:$C$224,$C301,'TL19'!$J$10:$J$224),0),
IF('TL19'!$B$229=N$3,SUMIF('TL19'!$C$238:$C$451,$C301,'TL19'!$J$238:$J$451),0)
),0)</f>
        <v>0</v>
      </c>
      <c r="O301" s="9">
        <f>IFERROR(SUM(
IF('TL01'!$B$3=O$3,SUMIF('TL01'!$C$10:$C$224,$C301,'TL01'!$J$10:$J$224),0),
IF('TL01'!$B$229=O$3,SUMIF('TL01'!$C$238:$C$451,$C301,'TL01'!$J$238:$J$451),0),
IF('TL02'!$B$3=O$3,SUMIF('TL02'!$C$10:$C$224,$C301,'TL02'!$J$10:$J$224),0),
IF('TL02'!$B$229=O$3,SUMIF('TL02'!$C$238:$C$451,$C301,'TL02'!$J$238:$J$451),0),
IF('TL03'!$B$3=O$3,SUMIF('TL03'!$C$10:$C$224,$C301,'TL03'!$J$10:$J$224),0),
IF('TL03'!$B$229=O$3,SUMIF('TL03'!$C$238:$C$451,$C301,'TL03'!$J$238:$J$451),0),
IF('TL04'!$B$3=O$3,SUMIF('TL04'!$C$10:$C$224,$C301,'TL04'!$J$10:$J$224),0),
IF('TL04'!$B$229=O$3,SUMIF('TL04'!$C$238:$C$451,$C301,'TL04'!$J$238:$J$451),0),
IF('TL05'!$B$3=O$3,SUMIF('TL05'!$C$10:$C$224,$C301,'TL05'!$J$10:$J$224),0),
IF('TL05'!$B$229=O$3,SUMIF('TL05'!$C$238:$C$451,$C301,'TL05'!$J$238:$J$451),0),
IF('TL06'!$B$3=O$3,SUMIF('TL06'!$C$10:$C$224,$C301,'TL06'!$J$10:$J$224),0),
IF('TL06'!$B$229=O$3,SUMIF('TL06'!$C$238:$C$451,$C301,'TL06'!$J$238:$J$451),0),
IF('TL07'!$B$3=O$3,SUMIF('TL07'!$C$10:$C$224,$C301,'TL07'!$J$10:$J$224),0),
IF('TL07'!$B$229=O$3,SUMIF('TL07'!$C$238:$C$451,$C301,'TL07'!$J$238:$J$451),0),
IF('TL08'!$B$3=O$3,SUMIF('TL08'!$C$10:$C$224,$C301,'TL08'!$J$10:$J$224),0),
IF('TL08'!$B$229=O$3,SUMIF('TL08'!$C$238:$C$451,$C301,'TL08'!$J$238:$J$451),0),
IF('TL09'!$B$3=O$3,SUMIF('TL09'!$C$10:$C$224,$C301,'TL09'!$J$10:$J$224),0),
IF('TL09'!$B$229=O$3,SUMIF('TL09'!$C$238:$C$451,$C301,'TL09'!$J$238:$J$451),0),
IF('TL10'!$B$3=O$3,SUMIF('TL10'!$C$10:$C$224,$C301,'TL10'!$J$10:$J$224),0),
IF('TL10'!$B$229=O$3,SUMIF('TL10'!$C$238:$C$451,$C301,'TL10'!$J$238:$J$451),0),
IF('TL11'!$B$3=O$3,SUMIF('TL11'!$C$10:$C$224,$C301,'TL11'!$J$10:$J$224),0),
IF('TL11'!$B$229=O$3,SUMIF('TL11'!$C$238:$C$451,$C301,'TL11'!$J$238:$J$451),0),
IF('TL12'!$B$3=O$3,SUMIF('TL12'!$C$10:$C$224,$C301,'TL12'!$J$10:$J$224),0),
IF('TL12'!$B$229=O$3,SUMIF('TL12'!$C$238:$C$451,$C301,'TL12'!$J$238:$J$451),0),
IF('TL13'!$B$3=O$3,SUMIF('TL13'!$C$10:$C$224,$C301,'TL13'!$J$10:$J$224),0),
IF('TL13'!$B$229=O$3,SUMIF('TL13'!$C$238:$C$451,$C301,'TL13'!$J$238:$J$451),0),
IF('TL14'!$B$3=O$3,SUMIF('TL14'!$C$10:$C$224,$C301,'TL14'!$J$10:$J$224),0),
IF('TL14'!$B$229=O$3,SUMIF('TL14'!$C$238:$C$451,$C301,'TL14'!$J$238:$J$451),0),
IF('TL15'!$B$3=O$3,SUMIF('TL15'!$C$10:$C$224,$C301,'TL15'!$J$10:$J$224),0),
IF('TL15'!$B$229=O$3,SUMIF('TL15'!$C$238:$C$451,$C301,'TL15'!$J$238:$J$451),0),
IF('TL16'!$B$3=O$3,SUMIF('TL16'!$C$10:$C$224,$C301,'TL16'!$J$10:$J$224),0),
IF('TL16'!$B$229=O$3,SUMIF('TL16'!$C$238:$C$451,$C301,'TL16'!$J$238:$J$451),0),
IF('TL17'!$B$3=O$3,SUMIF('TL17'!$C$10:$C$224,$C301,'TL17'!$J$10:$J$224),0),
IF('TL17'!$B$229=O$3,SUMIF('TL17'!$C$238:$C$451,$C301,'TL17'!$J$238:$J$451),0),
IF('TL18'!$B$3=O$3,SUMIF('TL18'!$C$10:$C$224,$C301,'TL18'!$J$10:$J$224),0),
IF('TL18'!$B$229=O$3,SUMIF('TL18'!$C$238:$C$451,$C301,'TL18'!$J$238:$J$451),0),
IF('TL19'!$B$3=O$3,SUMIF('TL19'!$C$10:$C$224,$C301,'TL19'!$J$10:$J$224),0),
IF('TL19'!$B$229=O$3,SUMIF('TL19'!$C$238:$C$451,$C301,'TL19'!$J$238:$J$451),0)
),0)</f>
        <v>0</v>
      </c>
      <c r="P301" s="9">
        <f>IFERROR(SUM(
IF('TL01'!$B$3=P$3,SUMIF('TL01'!$C$10:$C$224,$C301,'TL01'!$J$10:$J$224),0),
IF('TL01'!$B$229=P$3,SUMIF('TL01'!$C$238:$C$451,$C301,'TL01'!$J$238:$J$451),0),
IF('TL02'!$B$3=P$3,SUMIF('TL02'!$C$10:$C$224,$C301,'TL02'!$J$10:$J$224),0),
IF('TL02'!$B$229=P$3,SUMIF('TL02'!$C$238:$C$451,$C301,'TL02'!$J$238:$J$451),0),
IF('TL03'!$B$3=P$3,SUMIF('TL03'!$C$10:$C$224,$C301,'TL03'!$J$10:$J$224),0),
IF('TL03'!$B$229=P$3,SUMIF('TL03'!$C$238:$C$451,$C301,'TL03'!$J$238:$J$451),0),
IF('TL04'!$B$3=P$3,SUMIF('TL04'!$C$10:$C$224,$C301,'TL04'!$J$10:$J$224),0),
IF('TL04'!$B$229=P$3,SUMIF('TL04'!$C$238:$C$451,$C301,'TL04'!$J$238:$J$451),0),
IF('TL05'!$B$3=P$3,SUMIF('TL05'!$C$10:$C$224,$C301,'TL05'!$J$10:$J$224),0),
IF('TL05'!$B$229=P$3,SUMIF('TL05'!$C$238:$C$451,$C301,'TL05'!$J$238:$J$451),0),
IF('TL06'!$B$3=P$3,SUMIF('TL06'!$C$10:$C$224,$C301,'TL06'!$J$10:$J$224),0),
IF('TL06'!$B$229=P$3,SUMIF('TL06'!$C$238:$C$451,$C301,'TL06'!$J$238:$J$451),0),
IF('TL07'!$B$3=P$3,SUMIF('TL07'!$C$10:$C$224,$C301,'TL07'!$J$10:$J$224),0),
IF('TL07'!$B$229=P$3,SUMIF('TL07'!$C$238:$C$451,$C301,'TL07'!$J$238:$J$451),0),
IF('TL08'!$B$3=P$3,SUMIF('TL08'!$C$10:$C$224,$C301,'TL08'!$J$10:$J$224),0),
IF('TL08'!$B$229=P$3,SUMIF('TL08'!$C$238:$C$451,$C301,'TL08'!$J$238:$J$451),0),
IF('TL09'!$B$3=P$3,SUMIF('TL09'!$C$10:$C$224,$C301,'TL09'!$J$10:$J$224),0),
IF('TL09'!$B$229=P$3,SUMIF('TL09'!$C$238:$C$451,$C301,'TL09'!$J$238:$J$451),0),
IF('TL10'!$B$3=P$3,SUMIF('TL10'!$C$10:$C$224,$C301,'TL10'!$J$10:$J$224),0),
IF('TL10'!$B$229=P$3,SUMIF('TL10'!$C$238:$C$451,$C301,'TL10'!$J$238:$J$451),0),
IF('TL11'!$B$3=P$3,SUMIF('TL11'!$C$10:$C$224,$C301,'TL11'!$J$10:$J$224),0),
IF('TL11'!$B$229=P$3,SUMIF('TL11'!$C$238:$C$451,$C301,'TL11'!$J$238:$J$451),0),
IF('TL12'!$B$3=P$3,SUMIF('TL12'!$C$10:$C$224,$C301,'TL12'!$J$10:$J$224),0),
IF('TL12'!$B$229=P$3,SUMIF('TL12'!$C$238:$C$451,$C301,'TL12'!$J$238:$J$451),0),
IF('TL13'!$B$3=P$3,SUMIF('TL13'!$C$10:$C$224,$C301,'TL13'!$J$10:$J$224),0),
IF('TL13'!$B$229=P$3,SUMIF('TL13'!$C$238:$C$451,$C301,'TL13'!$J$238:$J$451),0),
IF('TL14'!$B$3=P$3,SUMIF('TL14'!$C$10:$C$224,$C301,'TL14'!$J$10:$J$224),0),
IF('TL14'!$B$229=P$3,SUMIF('TL14'!$C$238:$C$451,$C301,'TL14'!$J$238:$J$451),0),
IF('TL15'!$B$3=P$3,SUMIF('TL15'!$C$10:$C$224,$C301,'TL15'!$J$10:$J$224),0),
IF('TL15'!$B$229=P$3,SUMIF('TL15'!$C$238:$C$451,$C301,'TL15'!$J$238:$J$451),0),
IF('TL16'!$B$3=P$3,SUMIF('TL16'!$C$10:$C$224,$C301,'TL16'!$J$10:$J$224),0),
IF('TL16'!$B$229=P$3,SUMIF('TL16'!$C$238:$C$451,$C301,'TL16'!$J$238:$J$451),0),
IF('TL17'!$B$3=P$3,SUMIF('TL17'!$C$10:$C$224,$C301,'TL17'!$J$10:$J$224),0),
IF('TL17'!$B$229=P$3,SUMIF('TL17'!$C$238:$C$451,$C301,'TL17'!$J$238:$J$451),0),
IF('TL18'!$B$3=P$3,SUMIF('TL18'!$C$10:$C$224,$C301,'TL18'!$J$10:$J$224),0),
IF('TL18'!$B$229=P$3,SUMIF('TL18'!$C$238:$C$451,$C301,'TL18'!$J$238:$J$451),0),
IF('TL19'!$B$3=P$3,SUMIF('TL19'!$C$10:$C$224,$C301,'TL19'!$J$10:$J$224),0),
IF('TL19'!$B$229=P$3,SUMIF('TL19'!$C$238:$C$451,$C301,'TL19'!$J$238:$J$451),0)
),0)</f>
        <v>0</v>
      </c>
      <c r="Q301" s="9">
        <f>IFERROR(SUM(
IF('TL01'!$B$3=Q$3,SUMIF('TL01'!$C$10:$C$224,$C301,'TL01'!$J$10:$J$224),0),
IF('TL01'!$B$229=Q$3,SUMIF('TL01'!$C$238:$C$451,$C301,'TL01'!$J$238:$J$451),0),
IF('TL02'!$B$3=Q$3,SUMIF('TL02'!$C$10:$C$224,$C301,'TL02'!$J$10:$J$224),0),
IF('TL02'!$B$229=Q$3,SUMIF('TL02'!$C$238:$C$451,$C301,'TL02'!$J$238:$J$451),0),
IF('TL03'!$B$3=Q$3,SUMIF('TL03'!$C$10:$C$224,$C301,'TL03'!$J$10:$J$224),0),
IF('TL03'!$B$229=Q$3,SUMIF('TL03'!$C$238:$C$451,$C301,'TL03'!$J$238:$J$451),0),
IF('TL04'!$B$3=Q$3,SUMIF('TL04'!$C$10:$C$224,$C301,'TL04'!$J$10:$J$224),0),
IF('TL04'!$B$229=Q$3,SUMIF('TL04'!$C$238:$C$451,$C301,'TL04'!$J$238:$J$451),0),
IF('TL05'!$B$3=Q$3,SUMIF('TL05'!$C$10:$C$224,$C301,'TL05'!$J$10:$J$224),0),
IF('TL05'!$B$229=Q$3,SUMIF('TL05'!$C$238:$C$451,$C301,'TL05'!$J$238:$J$451),0),
IF('TL06'!$B$3=Q$3,SUMIF('TL06'!$C$10:$C$224,$C301,'TL06'!$J$10:$J$224),0),
IF('TL06'!$B$229=Q$3,SUMIF('TL06'!$C$238:$C$451,$C301,'TL06'!$J$238:$J$451),0),
IF('TL07'!$B$3=Q$3,SUMIF('TL07'!$C$10:$C$224,$C301,'TL07'!$J$10:$J$224),0),
IF('TL07'!$B$229=Q$3,SUMIF('TL07'!$C$238:$C$451,$C301,'TL07'!$J$238:$J$451),0),
IF('TL08'!$B$3=Q$3,SUMIF('TL08'!$C$10:$C$224,$C301,'TL08'!$J$10:$J$224),0),
IF('TL08'!$B$229=Q$3,SUMIF('TL08'!$C$238:$C$451,$C301,'TL08'!$J$238:$J$451),0),
IF('TL09'!$B$3=Q$3,SUMIF('TL09'!$C$10:$C$224,$C301,'TL09'!$J$10:$J$224),0),
IF('TL09'!$B$229=Q$3,SUMIF('TL09'!$C$238:$C$451,$C301,'TL09'!$J$238:$J$451),0),
IF('TL10'!$B$3=Q$3,SUMIF('TL10'!$C$10:$C$224,$C301,'TL10'!$J$10:$J$224),0),
IF('TL10'!$B$229=Q$3,SUMIF('TL10'!$C$238:$C$451,$C301,'TL10'!$J$238:$J$451),0),
IF('TL11'!$B$3=Q$3,SUMIF('TL11'!$C$10:$C$224,$C301,'TL11'!$J$10:$J$224),0),
IF('TL11'!$B$229=Q$3,SUMIF('TL11'!$C$238:$C$451,$C301,'TL11'!$J$238:$J$451),0),
IF('TL12'!$B$3=Q$3,SUMIF('TL12'!$C$10:$C$224,$C301,'TL12'!$J$10:$J$224),0),
IF('TL12'!$B$229=Q$3,SUMIF('TL12'!$C$238:$C$451,$C301,'TL12'!$J$238:$J$451),0),
IF('TL13'!$B$3=Q$3,SUMIF('TL13'!$C$10:$C$224,$C301,'TL13'!$J$10:$J$224),0),
IF('TL13'!$B$229=Q$3,SUMIF('TL13'!$C$238:$C$451,$C301,'TL13'!$J$238:$J$451),0),
IF('TL14'!$B$3=Q$3,SUMIF('TL14'!$C$10:$C$224,$C301,'TL14'!$J$10:$J$224),0),
IF('TL14'!$B$229=Q$3,SUMIF('TL14'!$C$238:$C$451,$C301,'TL14'!$J$238:$J$451),0),
IF('TL15'!$B$3=Q$3,SUMIF('TL15'!$C$10:$C$224,$C301,'TL15'!$J$10:$J$224),0),
IF('TL15'!$B$229=Q$3,SUMIF('TL15'!$C$238:$C$451,$C301,'TL15'!$J$238:$J$451),0),
IF('TL16'!$B$3=Q$3,SUMIF('TL16'!$C$10:$C$224,$C301,'TL16'!$J$10:$J$224),0),
IF('TL16'!$B$229=Q$3,SUMIF('TL16'!$C$238:$C$451,$C301,'TL16'!$J$238:$J$451),0),
IF('TL17'!$B$3=Q$3,SUMIF('TL17'!$C$10:$C$224,$C301,'TL17'!$J$10:$J$224),0),
IF('TL17'!$B$229=Q$3,SUMIF('TL17'!$C$238:$C$451,$C301,'TL17'!$J$238:$J$451),0),
IF('TL18'!$B$3=Q$3,SUMIF('TL18'!$C$10:$C$224,$C301,'TL18'!$J$10:$J$224),0),
IF('TL18'!$B$229=Q$3,SUMIF('TL18'!$C$238:$C$451,$C301,'TL18'!$J$238:$J$451),0),
IF('TL19'!$B$3=Q$3,SUMIF('TL19'!$C$10:$C$224,$C301,'TL19'!$J$10:$J$224),0),
IF('TL19'!$B$229=Q$3,SUMIF('TL19'!$C$238:$C$451,$C301,'TL19'!$J$238:$J$451),0)
),0)</f>
        <v>0</v>
      </c>
      <c r="R301" s="9">
        <f>IFERROR(
SUM(
SUMIF('TL01'!C:C,C301,'TL01'!J:J),
SUMIF('TL02'!C:C,C301,'TL02'!J:J),
SUMIF('TL03'!C:C,C301,'TL03'!J:J),
SUMIF('TL04'!C:C,C301,'TL04'!J:J),
SUMIF('TL05'!C:C,C301,'TL05'!J:J),
SUMIF('TL06'!C:C,C301,'TL06'!J:J),
SUMIF('TL07'!C:C,C301,'TL07'!J:J),
SUMIF('TL08'!C:C,C301,'TL08'!J:J),
SUMIF('TL09'!C:C,C301,'TL09'!J:J),
SUMIF('TL10'!C:C,C301,'TL10'!J:J),
SUMIF('TL11'!C:C,C301,'TL11'!J:J),
SUMIF('TL12'!C:C,C301,'TL12'!J:J),
SUMIF('TL13'!C:C,C301,'TL13'!J:J),
SUMIF('TL14'!C:C,C301,'TL14'!J:J),
SUMIF('TL15'!C:C,C301,'TL15'!J:J),
SUMIF('TL16'!C:C,C301,'TL16'!J:J),
SUMIF('TL17'!C:C,C301,'TL17'!J:J),
SUMIF('TL18'!C:C,C301,'TL18'!J:J),SUMIF('TL19'!C:C,C301,'TL19'!J:J))
,0)</f>
        <v>0</v>
      </c>
      <c r="S301" s="17">
        <f>IFERROR(__xludf.DUMMYFUNCTION("IFERROR(VLOOKUP(C301,
IMPORTRANGE(""1wULbzX32WdYsx-lj2U3uUNBBe2INVIRDtcK0d-Dvl90"",
""26-27!C:G""),
5,
FALSE),
"""")"),1104.8310000000001)</f>
        <v>1104.831</v>
      </c>
      <c r="T301" s="9"/>
      <c r="U301" s="92">
        <f t="shared" si="2"/>
        <v>0</v>
      </c>
      <c r="V301" s="93">
        <f t="shared" si="3"/>
        <v>0</v>
      </c>
    </row>
    <row r="302" ht="15.75" hidden="1" customHeight="1">
      <c r="A302" s="119" t="s">
        <v>358</v>
      </c>
      <c r="B302" s="120" t="s">
        <v>3</v>
      </c>
      <c r="C302" s="119" t="s">
        <v>1023</v>
      </c>
      <c r="D302" s="119" t="s">
        <v>833</v>
      </c>
      <c r="E302" s="119">
        <v>500.0</v>
      </c>
      <c r="F302" s="4" t="s">
        <v>343</v>
      </c>
      <c r="G302" s="90" t="str">
        <f t="shared" si="5"/>
        <v>📄 Ver bula</v>
      </c>
      <c r="H302" s="9">
        <f>IFERROR(__xludf.DUMMYFUNCTION("IFERROR(VLOOKUP(C302,
IMPORTRANGE(""1wULbzX32WdYsx-lj2U3uUNBBe2INVIRDtcK0d-Dvl90"",
""26-27!C:K""),
8,
FALSE),
"""")"),0.25)</f>
        <v>0.25</v>
      </c>
      <c r="I302" s="121"/>
      <c r="J302" s="9">
        <f>IFERROR(SUM(
IF('TL01'!$B$3=J$3,SUMIF('TL01'!$C$10:$C$224,$C302,'TL01'!$J$10:$J$224),0),
IF('TL01'!$B$229=J$3,SUMIF('TL01'!$C$238:$C$451,$C302,'TL01'!$J$238:$J$451),0),
IF('TL02'!$B$3=J$3,SUMIF('TL02'!$C$10:$C$224,$C302,'TL02'!$J$10:$J$224),0),
IF('TL02'!$B$229=J$3,SUMIF('TL02'!$C$238:$C$451,$C302,'TL02'!$J$238:$J$451),0),
IF('TL03'!$B$3=J$3,SUMIF('TL03'!$C$10:$C$224,$C302,'TL03'!$J$10:$J$224),0),
IF('TL03'!$B$229=J$3,SUMIF('TL03'!$C$238:$C$451,$C302,'TL03'!$J$238:$J$451),0),
IF('TL04'!$B$3=J$3,SUMIF('TL04'!$C$10:$C$224,$C302,'TL04'!$J$10:$J$224),0),
IF('TL04'!$B$229=J$3,SUMIF('TL04'!$C$238:$C$451,$C302,'TL04'!$J$238:$J$451),0),
IF('TL05'!$B$3=J$3,SUMIF('TL05'!$C$10:$C$224,$C302,'TL05'!$J$10:$J$224),0),
IF('TL05'!$B$229=J$3,SUMIF('TL05'!$C$238:$C$451,$C302,'TL05'!$J$238:$J$451),0),
IF('TL06'!$B$3=J$3,SUMIF('TL06'!$C$10:$C$224,$C302,'TL06'!$J$10:$J$224),0),
IF('TL06'!$B$229=J$3,SUMIF('TL06'!$C$238:$C$451,$C302,'TL06'!$J$238:$J$451),0),
IF('TL07'!$B$3=J$3,SUMIF('TL07'!$C$10:$C$224,$C302,'TL07'!$J$10:$J$224),0),
IF('TL07'!$B$229=J$3,SUMIF('TL07'!$C$238:$C$451,$C302,'TL07'!$J$238:$J$451),0),
IF('TL08'!$B$3=J$3,SUMIF('TL08'!$C$10:$C$224,$C302,'TL08'!$J$10:$J$224),0),
IF('TL08'!$B$229=J$3,SUMIF('TL08'!$C$238:$C$451,$C302,'TL08'!$J$238:$J$451),0),
IF('TL09'!$B$3=J$3,SUMIF('TL09'!$C$10:$C$224,$C302,'TL09'!$J$10:$J$224),0),
IF('TL09'!$B$229=J$3,SUMIF('TL09'!$C$238:$C$451,$C302,'TL09'!$J$238:$J$451),0),
IF('TL10'!$B$3=J$3,SUMIF('TL10'!$C$10:$C$224,$C302,'TL10'!$J$10:$J$224),0),
IF('TL10'!$B$229=J$3,SUMIF('TL10'!$C$238:$C$451,$C302,'TL10'!$J$238:$J$451),0),
IF('TL11'!$B$3=J$3,SUMIF('TL11'!$C$10:$C$224,$C302,'TL11'!$J$10:$J$224),0),
IF('TL11'!$B$229=J$3,SUMIF('TL11'!$C$238:$C$451,$C302,'TL11'!$J$238:$J$451),0),
IF('TL12'!$B$3=J$3,SUMIF('TL12'!$C$10:$C$224,$C302,'TL12'!$J$10:$J$224),0),
IF('TL12'!$B$229=J$3,SUMIF('TL12'!$C$238:$C$451,$C302,'TL12'!$J$238:$J$451),0),
IF('TL13'!$B$3=J$3,SUMIF('TL13'!$C$10:$C$224,$C302,'TL13'!$J$10:$J$224),0),
IF('TL13'!$B$229=J$3,SUMIF('TL13'!$C$238:$C$451,$C302,'TL13'!$J$238:$J$451),0),
IF('TL14'!$B$3=J$3,SUMIF('TL14'!$C$10:$C$224,$C302,'TL14'!$J$10:$J$224),0),
IF('TL14'!$B$229=J$3,SUMIF('TL14'!$C$238:$C$451,$C302,'TL14'!$J$238:$J$451),0),
IF('TL15'!$B$3=J$3,SUMIF('TL15'!$C$10:$C$224,$C302,'TL15'!$J$10:$J$224),0),
IF('TL15'!$B$229=J$3,SUMIF('TL15'!$C$238:$C$451,$C302,'TL15'!$J$238:$J$451),0),
IF('TL16'!$B$3=J$3,SUMIF('TL16'!$C$10:$C$224,$C302,'TL16'!$J$10:$J$224),0),
IF('TL16'!$B$229=J$3,SUMIF('TL16'!$C$238:$C$451,$C302,'TL16'!$J$238:$J$451),0),
IF('TL17'!$B$3=J$3,SUMIF('TL17'!$C$10:$C$224,$C302,'TL17'!$J$10:$J$224),0),
IF('TL17'!$B$229=J$3,SUMIF('TL17'!$C$238:$C$451,$C302,'TL17'!$J$238:$J$451),0),
IF('TL18'!$B$3=J$3,SUMIF('TL18'!$C$10:$C$224,$C302,'TL18'!$J$10:$J$224),0),
IF('TL18'!$B$229=J$3,SUMIF('TL18'!$C$238:$C$451,$C302,'TL18'!$J$238:$J$451),0),
IF('TL19'!$B$3=J$3,SUMIF('TL19'!$C$10:$C$224,$C302,'TL19'!$J$10:$J$224),0),
IF('TL19'!$B$229=J$3,SUMIF('TL19'!$C$238:$C$451,$C302,'TL19'!$J$238:$J$451),0)
),0)</f>
        <v>0</v>
      </c>
      <c r="K302" s="9">
        <f>IFERROR(SUM(
IF('TL01'!$B$3=K$3,SUMIF('TL01'!$C$10:$C$224,$C302,'TL01'!$J$10:$J$224),0),
IF('TL01'!$B$229=K$3,SUMIF('TL01'!$C$238:$C$451,$C302,'TL01'!$J$238:$J$451),0),
IF('TL02'!$B$3=K$3,SUMIF('TL02'!$C$10:$C$224,$C302,'TL02'!$J$10:$J$224),0),
IF('TL02'!$B$229=K$3,SUMIF('TL02'!$C$238:$C$451,$C302,'TL02'!$J$238:$J$451),0),
IF('TL03'!$B$3=K$3,SUMIF('TL03'!$C$10:$C$224,$C302,'TL03'!$J$10:$J$224),0),
IF('TL03'!$B$229=K$3,SUMIF('TL03'!$C$238:$C$451,$C302,'TL03'!$J$238:$J$451),0),
IF('TL04'!$B$3=K$3,SUMIF('TL04'!$C$10:$C$224,$C302,'TL04'!$J$10:$J$224),0),
IF('TL04'!$B$229=K$3,SUMIF('TL04'!$C$238:$C$451,$C302,'TL04'!$J$238:$J$451),0),
IF('TL05'!$B$3=K$3,SUMIF('TL05'!$C$10:$C$224,$C302,'TL05'!$J$10:$J$224),0),
IF('TL05'!$B$229=K$3,SUMIF('TL05'!$C$238:$C$451,$C302,'TL05'!$J$238:$J$451),0),
IF('TL06'!$B$3=K$3,SUMIF('TL06'!$C$10:$C$224,$C302,'TL06'!$J$10:$J$224),0),
IF('TL06'!$B$229=K$3,SUMIF('TL06'!$C$238:$C$451,$C302,'TL06'!$J$238:$J$451),0),
IF('TL07'!$B$3=K$3,SUMIF('TL07'!$C$10:$C$224,$C302,'TL07'!$J$10:$J$224),0),
IF('TL07'!$B$229=K$3,SUMIF('TL07'!$C$238:$C$451,$C302,'TL07'!$J$238:$J$451),0),
IF('TL08'!$B$3=K$3,SUMIF('TL08'!$C$10:$C$224,$C302,'TL08'!$J$10:$J$224),0),
IF('TL08'!$B$229=K$3,SUMIF('TL08'!$C$238:$C$451,$C302,'TL08'!$J$238:$J$451),0),
IF('TL09'!$B$3=K$3,SUMIF('TL09'!$C$10:$C$224,$C302,'TL09'!$J$10:$J$224),0),
IF('TL09'!$B$229=K$3,SUMIF('TL09'!$C$238:$C$451,$C302,'TL09'!$J$238:$J$451),0),
IF('TL10'!$B$3=K$3,SUMIF('TL10'!$C$10:$C$224,$C302,'TL10'!$J$10:$J$224),0),
IF('TL10'!$B$229=K$3,SUMIF('TL10'!$C$238:$C$451,$C302,'TL10'!$J$238:$J$451),0),
IF('TL11'!$B$3=K$3,SUMIF('TL11'!$C$10:$C$224,$C302,'TL11'!$J$10:$J$224),0),
IF('TL11'!$B$229=K$3,SUMIF('TL11'!$C$238:$C$451,$C302,'TL11'!$J$238:$J$451),0),
IF('TL12'!$B$3=K$3,SUMIF('TL12'!$C$10:$C$224,$C302,'TL12'!$J$10:$J$224),0),
IF('TL12'!$B$229=K$3,SUMIF('TL12'!$C$238:$C$451,$C302,'TL12'!$J$238:$J$451),0),
IF('TL13'!$B$3=K$3,SUMIF('TL13'!$C$10:$C$224,$C302,'TL13'!$J$10:$J$224),0),
IF('TL13'!$B$229=K$3,SUMIF('TL13'!$C$238:$C$451,$C302,'TL13'!$J$238:$J$451),0),
IF('TL14'!$B$3=K$3,SUMIF('TL14'!$C$10:$C$224,$C302,'TL14'!$J$10:$J$224),0),
IF('TL14'!$B$229=K$3,SUMIF('TL14'!$C$238:$C$451,$C302,'TL14'!$J$238:$J$451),0),
IF('TL15'!$B$3=K$3,SUMIF('TL15'!$C$10:$C$224,$C302,'TL15'!$J$10:$J$224),0),
IF('TL15'!$B$229=K$3,SUMIF('TL15'!$C$238:$C$451,$C302,'TL15'!$J$238:$J$451),0),
IF('TL16'!$B$3=K$3,SUMIF('TL16'!$C$10:$C$224,$C302,'TL16'!$J$10:$J$224),0),
IF('TL16'!$B$229=K$3,SUMIF('TL16'!$C$238:$C$451,$C302,'TL16'!$J$238:$J$451),0),
IF('TL17'!$B$3=K$3,SUMIF('TL17'!$C$10:$C$224,$C302,'TL17'!$J$10:$J$224),0),
IF('TL17'!$B$229=K$3,SUMIF('TL17'!$C$238:$C$451,$C302,'TL17'!$J$238:$J$451),0),
IF('TL18'!$B$3=K$3,SUMIF('TL18'!$C$10:$C$224,$C302,'TL18'!$J$10:$J$224),0),
IF('TL18'!$B$229=K$3,SUMIF('TL18'!$C$238:$C$451,$C302,'TL18'!$J$238:$J$451),0),
IF('TL19'!$B$3=K$3,SUMIF('TL19'!$C$10:$C$224,$C302,'TL19'!$J$10:$J$224),0),
IF('TL19'!$B$229=K$3,SUMIF('TL19'!$C$238:$C$451,$C302,'TL19'!$J$238:$J$451),0)
),0)</f>
        <v>0</v>
      </c>
      <c r="L302" s="9">
        <f>IFERROR(SUM(
IF('TL01'!$B$3=L$3,SUMIF('TL01'!$C$10:$C$224,$C302,'TL01'!$J$10:$J$224),0),
IF('TL01'!$B$229=L$3,SUMIF('TL01'!$C$238:$C$451,$C302,'TL01'!$J$238:$J$451),0),
IF('TL02'!$B$3=L$3,SUMIF('TL02'!$C$10:$C$224,$C302,'TL02'!$J$10:$J$224),0),
IF('TL02'!$B$229=L$3,SUMIF('TL02'!$C$238:$C$451,$C302,'TL02'!$J$238:$J$451),0),
IF('TL03'!$B$3=L$3,SUMIF('TL03'!$C$10:$C$224,$C302,'TL03'!$J$10:$J$224),0),
IF('TL03'!$B$229=L$3,SUMIF('TL03'!$C$238:$C$451,$C302,'TL03'!$J$238:$J$451),0),
IF('TL04'!$B$3=L$3,SUMIF('TL04'!$C$10:$C$224,$C302,'TL04'!$J$10:$J$224),0),
IF('TL04'!$B$229=L$3,SUMIF('TL04'!$C$238:$C$451,$C302,'TL04'!$J$238:$J$451),0),
IF('TL05'!$B$3=L$3,SUMIF('TL05'!$C$10:$C$224,$C302,'TL05'!$J$10:$J$224),0),
IF('TL05'!$B$229=L$3,SUMIF('TL05'!$C$238:$C$451,$C302,'TL05'!$J$238:$J$451),0),
IF('TL06'!$B$3=L$3,SUMIF('TL06'!$C$10:$C$224,$C302,'TL06'!$J$10:$J$224),0),
IF('TL06'!$B$229=L$3,SUMIF('TL06'!$C$238:$C$451,$C302,'TL06'!$J$238:$J$451),0),
IF('TL07'!$B$3=L$3,SUMIF('TL07'!$C$10:$C$224,$C302,'TL07'!$J$10:$J$224),0),
IF('TL07'!$B$229=L$3,SUMIF('TL07'!$C$238:$C$451,$C302,'TL07'!$J$238:$J$451),0),
IF('TL08'!$B$3=L$3,SUMIF('TL08'!$C$10:$C$224,$C302,'TL08'!$J$10:$J$224),0),
IF('TL08'!$B$229=L$3,SUMIF('TL08'!$C$238:$C$451,$C302,'TL08'!$J$238:$J$451),0),
IF('TL09'!$B$3=L$3,SUMIF('TL09'!$C$10:$C$224,$C302,'TL09'!$J$10:$J$224),0),
IF('TL09'!$B$229=L$3,SUMIF('TL09'!$C$238:$C$451,$C302,'TL09'!$J$238:$J$451),0),
IF('TL10'!$B$3=L$3,SUMIF('TL10'!$C$10:$C$224,$C302,'TL10'!$J$10:$J$224),0),
IF('TL10'!$B$229=L$3,SUMIF('TL10'!$C$238:$C$451,$C302,'TL10'!$J$238:$J$451),0),
IF('TL11'!$B$3=L$3,SUMIF('TL11'!$C$10:$C$224,$C302,'TL11'!$J$10:$J$224),0),
IF('TL11'!$B$229=L$3,SUMIF('TL11'!$C$238:$C$451,$C302,'TL11'!$J$238:$J$451),0),
IF('TL12'!$B$3=L$3,SUMIF('TL12'!$C$10:$C$224,$C302,'TL12'!$J$10:$J$224),0),
IF('TL12'!$B$229=L$3,SUMIF('TL12'!$C$238:$C$451,$C302,'TL12'!$J$238:$J$451),0),
IF('TL13'!$B$3=L$3,SUMIF('TL13'!$C$10:$C$224,$C302,'TL13'!$J$10:$J$224),0),
IF('TL13'!$B$229=L$3,SUMIF('TL13'!$C$238:$C$451,$C302,'TL13'!$J$238:$J$451),0),
IF('TL14'!$B$3=L$3,SUMIF('TL14'!$C$10:$C$224,$C302,'TL14'!$J$10:$J$224),0),
IF('TL14'!$B$229=L$3,SUMIF('TL14'!$C$238:$C$451,$C302,'TL14'!$J$238:$J$451),0),
IF('TL15'!$B$3=L$3,SUMIF('TL15'!$C$10:$C$224,$C302,'TL15'!$J$10:$J$224),0),
IF('TL15'!$B$229=L$3,SUMIF('TL15'!$C$238:$C$451,$C302,'TL15'!$J$238:$J$451),0),
IF('TL16'!$B$3=L$3,SUMIF('TL16'!$C$10:$C$224,$C302,'TL16'!$J$10:$J$224),0),
IF('TL16'!$B$229=L$3,SUMIF('TL16'!$C$238:$C$451,$C302,'TL16'!$J$238:$J$451),0),
IF('TL17'!$B$3=L$3,SUMIF('TL17'!$C$10:$C$224,$C302,'TL17'!$J$10:$J$224),0),
IF('TL17'!$B$229=L$3,SUMIF('TL17'!$C$238:$C$451,$C302,'TL17'!$J$238:$J$451),0),
IF('TL18'!$B$3=L$3,SUMIF('TL18'!$C$10:$C$224,$C302,'TL18'!$J$10:$J$224),0),
IF('TL18'!$B$229=L$3,SUMIF('TL18'!$C$238:$C$451,$C302,'TL18'!$J$238:$J$451),0),
IF('TL19'!$B$3=L$3,SUMIF('TL19'!$C$10:$C$224,$C302,'TL19'!$J$10:$J$224),0),
IF('TL19'!$B$229=L$3,SUMIF('TL19'!$C$238:$C$451,$C302,'TL19'!$J$238:$J$451),0)
),0)</f>
        <v>0</v>
      </c>
      <c r="M302" s="9">
        <f>IFERROR(SUM(
IF('TL01'!$B$3=M$3,SUMIF('TL01'!$C$10:$C$224,$C302,'TL01'!$J$10:$J$224),0),
IF('TL01'!$B$229=M$3,SUMIF('TL01'!$C$238:$C$451,$C302,'TL01'!$J$238:$J$451),0),
IF('TL02'!$B$3=M$3,SUMIF('TL02'!$C$10:$C$224,$C302,'TL02'!$J$10:$J$224),0),
IF('TL02'!$B$229=M$3,SUMIF('TL02'!$C$238:$C$451,$C302,'TL02'!$J$238:$J$451),0),
IF('TL03'!$B$3=M$3,SUMIF('TL03'!$C$10:$C$224,$C302,'TL03'!$J$10:$J$224),0),
IF('TL03'!$B$229=M$3,SUMIF('TL03'!$C$238:$C$451,$C302,'TL03'!$J$238:$J$451),0),
IF('TL04'!$B$3=M$3,SUMIF('TL04'!$C$10:$C$224,$C302,'TL04'!$J$10:$J$224),0),
IF('TL04'!$B$229=M$3,SUMIF('TL04'!$C$238:$C$451,$C302,'TL04'!$J$238:$J$451),0),
IF('TL05'!$B$3=M$3,SUMIF('TL05'!$C$10:$C$224,$C302,'TL05'!$J$10:$J$224),0),
IF('TL05'!$B$229=M$3,SUMIF('TL05'!$C$238:$C$451,$C302,'TL05'!$J$238:$J$451),0),
IF('TL06'!$B$3=M$3,SUMIF('TL06'!$C$10:$C$224,$C302,'TL06'!$J$10:$J$224),0),
IF('TL06'!$B$229=M$3,SUMIF('TL06'!$C$238:$C$451,$C302,'TL06'!$J$238:$J$451),0),
IF('TL07'!$B$3=M$3,SUMIF('TL07'!$C$10:$C$224,$C302,'TL07'!$J$10:$J$224),0),
IF('TL07'!$B$229=M$3,SUMIF('TL07'!$C$238:$C$451,$C302,'TL07'!$J$238:$J$451),0),
IF('TL08'!$B$3=M$3,SUMIF('TL08'!$C$10:$C$224,$C302,'TL08'!$J$10:$J$224),0),
IF('TL08'!$B$229=M$3,SUMIF('TL08'!$C$238:$C$451,$C302,'TL08'!$J$238:$J$451),0),
IF('TL09'!$B$3=M$3,SUMIF('TL09'!$C$10:$C$224,$C302,'TL09'!$J$10:$J$224),0),
IF('TL09'!$B$229=M$3,SUMIF('TL09'!$C$238:$C$451,$C302,'TL09'!$J$238:$J$451),0),
IF('TL10'!$B$3=M$3,SUMIF('TL10'!$C$10:$C$224,$C302,'TL10'!$J$10:$J$224),0),
IF('TL10'!$B$229=M$3,SUMIF('TL10'!$C$238:$C$451,$C302,'TL10'!$J$238:$J$451),0),
IF('TL11'!$B$3=M$3,SUMIF('TL11'!$C$10:$C$224,$C302,'TL11'!$J$10:$J$224),0),
IF('TL11'!$B$229=M$3,SUMIF('TL11'!$C$238:$C$451,$C302,'TL11'!$J$238:$J$451),0),
IF('TL12'!$B$3=M$3,SUMIF('TL12'!$C$10:$C$224,$C302,'TL12'!$J$10:$J$224),0),
IF('TL12'!$B$229=M$3,SUMIF('TL12'!$C$238:$C$451,$C302,'TL12'!$J$238:$J$451),0),
IF('TL13'!$B$3=M$3,SUMIF('TL13'!$C$10:$C$224,$C302,'TL13'!$J$10:$J$224),0),
IF('TL13'!$B$229=M$3,SUMIF('TL13'!$C$238:$C$451,$C302,'TL13'!$J$238:$J$451),0),
IF('TL14'!$B$3=M$3,SUMIF('TL14'!$C$10:$C$224,$C302,'TL14'!$J$10:$J$224),0),
IF('TL14'!$B$229=M$3,SUMIF('TL14'!$C$238:$C$451,$C302,'TL14'!$J$238:$J$451),0),
IF('TL15'!$B$3=M$3,SUMIF('TL15'!$C$10:$C$224,$C302,'TL15'!$J$10:$J$224),0),
IF('TL15'!$B$229=M$3,SUMIF('TL15'!$C$238:$C$451,$C302,'TL15'!$J$238:$J$451),0),
IF('TL16'!$B$3=M$3,SUMIF('TL16'!$C$10:$C$224,$C302,'TL16'!$J$10:$J$224),0),
IF('TL16'!$B$229=M$3,SUMIF('TL16'!$C$238:$C$451,$C302,'TL16'!$J$238:$J$451),0),
IF('TL17'!$B$3=M$3,SUMIF('TL17'!$C$10:$C$224,$C302,'TL17'!$J$10:$J$224),0),
IF('TL17'!$B$229=M$3,SUMIF('TL17'!$C$238:$C$451,$C302,'TL17'!$J$238:$J$451),0),
IF('TL18'!$B$3=M$3,SUMIF('TL18'!$C$10:$C$224,$C302,'TL18'!$J$10:$J$224),0),
IF('TL18'!$B$229=M$3,SUMIF('TL18'!$C$238:$C$451,$C302,'TL18'!$J$238:$J$451),0),
IF('TL19'!$B$3=M$3,SUMIF('TL19'!$C$10:$C$224,$C302,'TL19'!$J$10:$J$224),0),
IF('TL19'!$B$229=M$3,SUMIF('TL19'!$C$238:$C$451,$C302,'TL19'!$J$238:$J$451),0)
),0)</f>
        <v>0</v>
      </c>
      <c r="N302" s="9">
        <f>IFERROR(SUM(
IF('TL01'!$B$3=N$3,SUMIF('TL01'!$C$10:$C$224,$C302,'TL01'!$J$10:$J$224),0),
IF('TL01'!$B$229=N$3,SUMIF('TL01'!$C$238:$C$451,$C302,'TL01'!$J$238:$J$451),0),
IF('TL02'!$B$3=N$3,SUMIF('TL02'!$C$10:$C$224,$C302,'TL02'!$J$10:$J$224),0),
IF('TL02'!$B$229=N$3,SUMIF('TL02'!$C$238:$C$451,$C302,'TL02'!$J$238:$J$451),0),
IF('TL03'!$B$3=N$3,SUMIF('TL03'!$C$10:$C$224,$C302,'TL03'!$J$10:$J$224),0),
IF('TL03'!$B$229=N$3,SUMIF('TL03'!$C$238:$C$451,$C302,'TL03'!$J$238:$J$451),0),
IF('TL04'!$B$3=N$3,SUMIF('TL04'!$C$10:$C$224,$C302,'TL04'!$J$10:$J$224),0),
IF('TL04'!$B$229=N$3,SUMIF('TL04'!$C$238:$C$451,$C302,'TL04'!$J$238:$J$451),0),
IF('TL05'!$B$3=N$3,SUMIF('TL05'!$C$10:$C$224,$C302,'TL05'!$J$10:$J$224),0),
IF('TL05'!$B$229=N$3,SUMIF('TL05'!$C$238:$C$451,$C302,'TL05'!$J$238:$J$451),0),
IF('TL06'!$B$3=N$3,SUMIF('TL06'!$C$10:$C$224,$C302,'TL06'!$J$10:$J$224),0),
IF('TL06'!$B$229=N$3,SUMIF('TL06'!$C$238:$C$451,$C302,'TL06'!$J$238:$J$451),0),
IF('TL07'!$B$3=N$3,SUMIF('TL07'!$C$10:$C$224,$C302,'TL07'!$J$10:$J$224),0),
IF('TL07'!$B$229=N$3,SUMIF('TL07'!$C$238:$C$451,$C302,'TL07'!$J$238:$J$451),0),
IF('TL08'!$B$3=N$3,SUMIF('TL08'!$C$10:$C$224,$C302,'TL08'!$J$10:$J$224),0),
IF('TL08'!$B$229=N$3,SUMIF('TL08'!$C$238:$C$451,$C302,'TL08'!$J$238:$J$451),0),
IF('TL09'!$B$3=N$3,SUMIF('TL09'!$C$10:$C$224,$C302,'TL09'!$J$10:$J$224),0),
IF('TL09'!$B$229=N$3,SUMIF('TL09'!$C$238:$C$451,$C302,'TL09'!$J$238:$J$451),0),
IF('TL10'!$B$3=N$3,SUMIF('TL10'!$C$10:$C$224,$C302,'TL10'!$J$10:$J$224),0),
IF('TL10'!$B$229=N$3,SUMIF('TL10'!$C$238:$C$451,$C302,'TL10'!$J$238:$J$451),0),
IF('TL11'!$B$3=N$3,SUMIF('TL11'!$C$10:$C$224,$C302,'TL11'!$J$10:$J$224),0),
IF('TL11'!$B$229=N$3,SUMIF('TL11'!$C$238:$C$451,$C302,'TL11'!$J$238:$J$451),0),
IF('TL12'!$B$3=N$3,SUMIF('TL12'!$C$10:$C$224,$C302,'TL12'!$J$10:$J$224),0),
IF('TL12'!$B$229=N$3,SUMIF('TL12'!$C$238:$C$451,$C302,'TL12'!$J$238:$J$451),0),
IF('TL13'!$B$3=N$3,SUMIF('TL13'!$C$10:$C$224,$C302,'TL13'!$J$10:$J$224),0),
IF('TL13'!$B$229=N$3,SUMIF('TL13'!$C$238:$C$451,$C302,'TL13'!$J$238:$J$451),0),
IF('TL14'!$B$3=N$3,SUMIF('TL14'!$C$10:$C$224,$C302,'TL14'!$J$10:$J$224),0),
IF('TL14'!$B$229=N$3,SUMIF('TL14'!$C$238:$C$451,$C302,'TL14'!$J$238:$J$451),0),
IF('TL15'!$B$3=N$3,SUMIF('TL15'!$C$10:$C$224,$C302,'TL15'!$J$10:$J$224),0),
IF('TL15'!$B$229=N$3,SUMIF('TL15'!$C$238:$C$451,$C302,'TL15'!$J$238:$J$451),0),
IF('TL16'!$B$3=N$3,SUMIF('TL16'!$C$10:$C$224,$C302,'TL16'!$J$10:$J$224),0),
IF('TL16'!$B$229=N$3,SUMIF('TL16'!$C$238:$C$451,$C302,'TL16'!$J$238:$J$451),0),
IF('TL17'!$B$3=N$3,SUMIF('TL17'!$C$10:$C$224,$C302,'TL17'!$J$10:$J$224),0),
IF('TL17'!$B$229=N$3,SUMIF('TL17'!$C$238:$C$451,$C302,'TL17'!$J$238:$J$451),0),
IF('TL18'!$B$3=N$3,SUMIF('TL18'!$C$10:$C$224,$C302,'TL18'!$J$10:$J$224),0),
IF('TL18'!$B$229=N$3,SUMIF('TL18'!$C$238:$C$451,$C302,'TL18'!$J$238:$J$451),0),
IF('TL19'!$B$3=N$3,SUMIF('TL19'!$C$10:$C$224,$C302,'TL19'!$J$10:$J$224),0),
IF('TL19'!$B$229=N$3,SUMIF('TL19'!$C$238:$C$451,$C302,'TL19'!$J$238:$J$451),0)
),0)</f>
        <v>0</v>
      </c>
      <c r="O302" s="9">
        <f>IFERROR(SUM(
IF('TL01'!$B$3=O$3,SUMIF('TL01'!$C$10:$C$224,$C302,'TL01'!$J$10:$J$224),0),
IF('TL01'!$B$229=O$3,SUMIF('TL01'!$C$238:$C$451,$C302,'TL01'!$J$238:$J$451),0),
IF('TL02'!$B$3=O$3,SUMIF('TL02'!$C$10:$C$224,$C302,'TL02'!$J$10:$J$224),0),
IF('TL02'!$B$229=O$3,SUMIF('TL02'!$C$238:$C$451,$C302,'TL02'!$J$238:$J$451),0),
IF('TL03'!$B$3=O$3,SUMIF('TL03'!$C$10:$C$224,$C302,'TL03'!$J$10:$J$224),0),
IF('TL03'!$B$229=O$3,SUMIF('TL03'!$C$238:$C$451,$C302,'TL03'!$J$238:$J$451),0),
IF('TL04'!$B$3=O$3,SUMIF('TL04'!$C$10:$C$224,$C302,'TL04'!$J$10:$J$224),0),
IF('TL04'!$B$229=O$3,SUMIF('TL04'!$C$238:$C$451,$C302,'TL04'!$J$238:$J$451),0),
IF('TL05'!$B$3=O$3,SUMIF('TL05'!$C$10:$C$224,$C302,'TL05'!$J$10:$J$224),0),
IF('TL05'!$B$229=O$3,SUMIF('TL05'!$C$238:$C$451,$C302,'TL05'!$J$238:$J$451),0),
IF('TL06'!$B$3=O$3,SUMIF('TL06'!$C$10:$C$224,$C302,'TL06'!$J$10:$J$224),0),
IF('TL06'!$B$229=O$3,SUMIF('TL06'!$C$238:$C$451,$C302,'TL06'!$J$238:$J$451),0),
IF('TL07'!$B$3=O$3,SUMIF('TL07'!$C$10:$C$224,$C302,'TL07'!$J$10:$J$224),0),
IF('TL07'!$B$229=O$3,SUMIF('TL07'!$C$238:$C$451,$C302,'TL07'!$J$238:$J$451),0),
IF('TL08'!$B$3=O$3,SUMIF('TL08'!$C$10:$C$224,$C302,'TL08'!$J$10:$J$224),0),
IF('TL08'!$B$229=O$3,SUMIF('TL08'!$C$238:$C$451,$C302,'TL08'!$J$238:$J$451),0),
IF('TL09'!$B$3=O$3,SUMIF('TL09'!$C$10:$C$224,$C302,'TL09'!$J$10:$J$224),0),
IF('TL09'!$B$229=O$3,SUMIF('TL09'!$C$238:$C$451,$C302,'TL09'!$J$238:$J$451),0),
IF('TL10'!$B$3=O$3,SUMIF('TL10'!$C$10:$C$224,$C302,'TL10'!$J$10:$J$224),0),
IF('TL10'!$B$229=O$3,SUMIF('TL10'!$C$238:$C$451,$C302,'TL10'!$J$238:$J$451),0),
IF('TL11'!$B$3=O$3,SUMIF('TL11'!$C$10:$C$224,$C302,'TL11'!$J$10:$J$224),0),
IF('TL11'!$B$229=O$3,SUMIF('TL11'!$C$238:$C$451,$C302,'TL11'!$J$238:$J$451),0),
IF('TL12'!$B$3=O$3,SUMIF('TL12'!$C$10:$C$224,$C302,'TL12'!$J$10:$J$224),0),
IF('TL12'!$B$229=O$3,SUMIF('TL12'!$C$238:$C$451,$C302,'TL12'!$J$238:$J$451),0),
IF('TL13'!$B$3=O$3,SUMIF('TL13'!$C$10:$C$224,$C302,'TL13'!$J$10:$J$224),0),
IF('TL13'!$B$229=O$3,SUMIF('TL13'!$C$238:$C$451,$C302,'TL13'!$J$238:$J$451),0),
IF('TL14'!$B$3=O$3,SUMIF('TL14'!$C$10:$C$224,$C302,'TL14'!$J$10:$J$224),0),
IF('TL14'!$B$229=O$3,SUMIF('TL14'!$C$238:$C$451,$C302,'TL14'!$J$238:$J$451),0),
IF('TL15'!$B$3=O$3,SUMIF('TL15'!$C$10:$C$224,$C302,'TL15'!$J$10:$J$224),0),
IF('TL15'!$B$229=O$3,SUMIF('TL15'!$C$238:$C$451,$C302,'TL15'!$J$238:$J$451),0),
IF('TL16'!$B$3=O$3,SUMIF('TL16'!$C$10:$C$224,$C302,'TL16'!$J$10:$J$224),0),
IF('TL16'!$B$229=O$3,SUMIF('TL16'!$C$238:$C$451,$C302,'TL16'!$J$238:$J$451),0),
IF('TL17'!$B$3=O$3,SUMIF('TL17'!$C$10:$C$224,$C302,'TL17'!$J$10:$J$224),0),
IF('TL17'!$B$229=O$3,SUMIF('TL17'!$C$238:$C$451,$C302,'TL17'!$J$238:$J$451),0),
IF('TL18'!$B$3=O$3,SUMIF('TL18'!$C$10:$C$224,$C302,'TL18'!$J$10:$J$224),0),
IF('TL18'!$B$229=O$3,SUMIF('TL18'!$C$238:$C$451,$C302,'TL18'!$J$238:$J$451),0),
IF('TL19'!$B$3=O$3,SUMIF('TL19'!$C$10:$C$224,$C302,'TL19'!$J$10:$J$224),0),
IF('TL19'!$B$229=O$3,SUMIF('TL19'!$C$238:$C$451,$C302,'TL19'!$J$238:$J$451),0)
),0)</f>
        <v>0</v>
      </c>
      <c r="P302" s="9">
        <f>IFERROR(SUM(
IF('TL01'!$B$3=P$3,SUMIF('TL01'!$C$10:$C$224,$C302,'TL01'!$J$10:$J$224),0),
IF('TL01'!$B$229=P$3,SUMIF('TL01'!$C$238:$C$451,$C302,'TL01'!$J$238:$J$451),0),
IF('TL02'!$B$3=P$3,SUMIF('TL02'!$C$10:$C$224,$C302,'TL02'!$J$10:$J$224),0),
IF('TL02'!$B$229=P$3,SUMIF('TL02'!$C$238:$C$451,$C302,'TL02'!$J$238:$J$451),0),
IF('TL03'!$B$3=P$3,SUMIF('TL03'!$C$10:$C$224,$C302,'TL03'!$J$10:$J$224),0),
IF('TL03'!$B$229=P$3,SUMIF('TL03'!$C$238:$C$451,$C302,'TL03'!$J$238:$J$451),0),
IF('TL04'!$B$3=P$3,SUMIF('TL04'!$C$10:$C$224,$C302,'TL04'!$J$10:$J$224),0),
IF('TL04'!$B$229=P$3,SUMIF('TL04'!$C$238:$C$451,$C302,'TL04'!$J$238:$J$451),0),
IF('TL05'!$B$3=P$3,SUMIF('TL05'!$C$10:$C$224,$C302,'TL05'!$J$10:$J$224),0),
IF('TL05'!$B$229=P$3,SUMIF('TL05'!$C$238:$C$451,$C302,'TL05'!$J$238:$J$451),0),
IF('TL06'!$B$3=P$3,SUMIF('TL06'!$C$10:$C$224,$C302,'TL06'!$J$10:$J$224),0),
IF('TL06'!$B$229=P$3,SUMIF('TL06'!$C$238:$C$451,$C302,'TL06'!$J$238:$J$451),0),
IF('TL07'!$B$3=P$3,SUMIF('TL07'!$C$10:$C$224,$C302,'TL07'!$J$10:$J$224),0),
IF('TL07'!$B$229=P$3,SUMIF('TL07'!$C$238:$C$451,$C302,'TL07'!$J$238:$J$451),0),
IF('TL08'!$B$3=P$3,SUMIF('TL08'!$C$10:$C$224,$C302,'TL08'!$J$10:$J$224),0),
IF('TL08'!$B$229=P$3,SUMIF('TL08'!$C$238:$C$451,$C302,'TL08'!$J$238:$J$451),0),
IF('TL09'!$B$3=P$3,SUMIF('TL09'!$C$10:$C$224,$C302,'TL09'!$J$10:$J$224),0),
IF('TL09'!$B$229=P$3,SUMIF('TL09'!$C$238:$C$451,$C302,'TL09'!$J$238:$J$451),0),
IF('TL10'!$B$3=P$3,SUMIF('TL10'!$C$10:$C$224,$C302,'TL10'!$J$10:$J$224),0),
IF('TL10'!$B$229=P$3,SUMIF('TL10'!$C$238:$C$451,$C302,'TL10'!$J$238:$J$451),0),
IF('TL11'!$B$3=P$3,SUMIF('TL11'!$C$10:$C$224,$C302,'TL11'!$J$10:$J$224),0),
IF('TL11'!$B$229=P$3,SUMIF('TL11'!$C$238:$C$451,$C302,'TL11'!$J$238:$J$451),0),
IF('TL12'!$B$3=P$3,SUMIF('TL12'!$C$10:$C$224,$C302,'TL12'!$J$10:$J$224),0),
IF('TL12'!$B$229=P$3,SUMIF('TL12'!$C$238:$C$451,$C302,'TL12'!$J$238:$J$451),0),
IF('TL13'!$B$3=P$3,SUMIF('TL13'!$C$10:$C$224,$C302,'TL13'!$J$10:$J$224),0),
IF('TL13'!$B$229=P$3,SUMIF('TL13'!$C$238:$C$451,$C302,'TL13'!$J$238:$J$451),0),
IF('TL14'!$B$3=P$3,SUMIF('TL14'!$C$10:$C$224,$C302,'TL14'!$J$10:$J$224),0),
IF('TL14'!$B$229=P$3,SUMIF('TL14'!$C$238:$C$451,$C302,'TL14'!$J$238:$J$451),0),
IF('TL15'!$B$3=P$3,SUMIF('TL15'!$C$10:$C$224,$C302,'TL15'!$J$10:$J$224),0),
IF('TL15'!$B$229=P$3,SUMIF('TL15'!$C$238:$C$451,$C302,'TL15'!$J$238:$J$451),0),
IF('TL16'!$B$3=P$3,SUMIF('TL16'!$C$10:$C$224,$C302,'TL16'!$J$10:$J$224),0),
IF('TL16'!$B$229=P$3,SUMIF('TL16'!$C$238:$C$451,$C302,'TL16'!$J$238:$J$451),0),
IF('TL17'!$B$3=P$3,SUMIF('TL17'!$C$10:$C$224,$C302,'TL17'!$J$10:$J$224),0),
IF('TL17'!$B$229=P$3,SUMIF('TL17'!$C$238:$C$451,$C302,'TL17'!$J$238:$J$451),0),
IF('TL18'!$B$3=P$3,SUMIF('TL18'!$C$10:$C$224,$C302,'TL18'!$J$10:$J$224),0),
IF('TL18'!$B$229=P$3,SUMIF('TL18'!$C$238:$C$451,$C302,'TL18'!$J$238:$J$451),0),
IF('TL19'!$B$3=P$3,SUMIF('TL19'!$C$10:$C$224,$C302,'TL19'!$J$10:$J$224),0),
IF('TL19'!$B$229=P$3,SUMIF('TL19'!$C$238:$C$451,$C302,'TL19'!$J$238:$J$451),0)
),0)</f>
        <v>0</v>
      </c>
      <c r="Q302" s="9">
        <f>IFERROR(SUM(
IF('TL01'!$B$3=Q$3,SUMIF('TL01'!$C$10:$C$224,$C302,'TL01'!$J$10:$J$224),0),
IF('TL01'!$B$229=Q$3,SUMIF('TL01'!$C$238:$C$451,$C302,'TL01'!$J$238:$J$451),0),
IF('TL02'!$B$3=Q$3,SUMIF('TL02'!$C$10:$C$224,$C302,'TL02'!$J$10:$J$224),0),
IF('TL02'!$B$229=Q$3,SUMIF('TL02'!$C$238:$C$451,$C302,'TL02'!$J$238:$J$451),0),
IF('TL03'!$B$3=Q$3,SUMIF('TL03'!$C$10:$C$224,$C302,'TL03'!$J$10:$J$224),0),
IF('TL03'!$B$229=Q$3,SUMIF('TL03'!$C$238:$C$451,$C302,'TL03'!$J$238:$J$451),0),
IF('TL04'!$B$3=Q$3,SUMIF('TL04'!$C$10:$C$224,$C302,'TL04'!$J$10:$J$224),0),
IF('TL04'!$B$229=Q$3,SUMIF('TL04'!$C$238:$C$451,$C302,'TL04'!$J$238:$J$451),0),
IF('TL05'!$B$3=Q$3,SUMIF('TL05'!$C$10:$C$224,$C302,'TL05'!$J$10:$J$224),0),
IF('TL05'!$B$229=Q$3,SUMIF('TL05'!$C$238:$C$451,$C302,'TL05'!$J$238:$J$451),0),
IF('TL06'!$B$3=Q$3,SUMIF('TL06'!$C$10:$C$224,$C302,'TL06'!$J$10:$J$224),0),
IF('TL06'!$B$229=Q$3,SUMIF('TL06'!$C$238:$C$451,$C302,'TL06'!$J$238:$J$451),0),
IF('TL07'!$B$3=Q$3,SUMIF('TL07'!$C$10:$C$224,$C302,'TL07'!$J$10:$J$224),0),
IF('TL07'!$B$229=Q$3,SUMIF('TL07'!$C$238:$C$451,$C302,'TL07'!$J$238:$J$451),0),
IF('TL08'!$B$3=Q$3,SUMIF('TL08'!$C$10:$C$224,$C302,'TL08'!$J$10:$J$224),0),
IF('TL08'!$B$229=Q$3,SUMIF('TL08'!$C$238:$C$451,$C302,'TL08'!$J$238:$J$451),0),
IF('TL09'!$B$3=Q$3,SUMIF('TL09'!$C$10:$C$224,$C302,'TL09'!$J$10:$J$224),0),
IF('TL09'!$B$229=Q$3,SUMIF('TL09'!$C$238:$C$451,$C302,'TL09'!$J$238:$J$451),0),
IF('TL10'!$B$3=Q$3,SUMIF('TL10'!$C$10:$C$224,$C302,'TL10'!$J$10:$J$224),0),
IF('TL10'!$B$229=Q$3,SUMIF('TL10'!$C$238:$C$451,$C302,'TL10'!$J$238:$J$451),0),
IF('TL11'!$B$3=Q$3,SUMIF('TL11'!$C$10:$C$224,$C302,'TL11'!$J$10:$J$224),0),
IF('TL11'!$B$229=Q$3,SUMIF('TL11'!$C$238:$C$451,$C302,'TL11'!$J$238:$J$451),0),
IF('TL12'!$B$3=Q$3,SUMIF('TL12'!$C$10:$C$224,$C302,'TL12'!$J$10:$J$224),0),
IF('TL12'!$B$229=Q$3,SUMIF('TL12'!$C$238:$C$451,$C302,'TL12'!$J$238:$J$451),0),
IF('TL13'!$B$3=Q$3,SUMIF('TL13'!$C$10:$C$224,$C302,'TL13'!$J$10:$J$224),0),
IF('TL13'!$B$229=Q$3,SUMIF('TL13'!$C$238:$C$451,$C302,'TL13'!$J$238:$J$451),0),
IF('TL14'!$B$3=Q$3,SUMIF('TL14'!$C$10:$C$224,$C302,'TL14'!$J$10:$J$224),0),
IF('TL14'!$B$229=Q$3,SUMIF('TL14'!$C$238:$C$451,$C302,'TL14'!$J$238:$J$451),0),
IF('TL15'!$B$3=Q$3,SUMIF('TL15'!$C$10:$C$224,$C302,'TL15'!$J$10:$J$224),0),
IF('TL15'!$B$229=Q$3,SUMIF('TL15'!$C$238:$C$451,$C302,'TL15'!$J$238:$J$451),0),
IF('TL16'!$B$3=Q$3,SUMIF('TL16'!$C$10:$C$224,$C302,'TL16'!$J$10:$J$224),0),
IF('TL16'!$B$229=Q$3,SUMIF('TL16'!$C$238:$C$451,$C302,'TL16'!$J$238:$J$451),0),
IF('TL17'!$B$3=Q$3,SUMIF('TL17'!$C$10:$C$224,$C302,'TL17'!$J$10:$J$224),0),
IF('TL17'!$B$229=Q$3,SUMIF('TL17'!$C$238:$C$451,$C302,'TL17'!$J$238:$J$451),0),
IF('TL18'!$B$3=Q$3,SUMIF('TL18'!$C$10:$C$224,$C302,'TL18'!$J$10:$J$224),0),
IF('TL18'!$B$229=Q$3,SUMIF('TL18'!$C$238:$C$451,$C302,'TL18'!$J$238:$J$451),0),
IF('TL19'!$B$3=Q$3,SUMIF('TL19'!$C$10:$C$224,$C302,'TL19'!$J$10:$J$224),0),
IF('TL19'!$B$229=Q$3,SUMIF('TL19'!$C$238:$C$451,$C302,'TL19'!$J$238:$J$451),0)
),0)</f>
        <v>0</v>
      </c>
      <c r="R302" s="9">
        <f>IFERROR(
SUM(
SUMIF('TL01'!C:C,C302,'TL01'!J:J),
SUMIF('TL02'!C:C,C302,'TL02'!J:J),
SUMIF('TL03'!C:C,C302,'TL03'!J:J),
SUMIF('TL04'!C:C,C302,'TL04'!J:J),
SUMIF('TL05'!C:C,C302,'TL05'!J:J),
SUMIF('TL06'!C:C,C302,'TL06'!J:J),
SUMIF('TL07'!C:C,C302,'TL07'!J:J),
SUMIF('TL08'!C:C,C302,'TL08'!J:J),
SUMIF('TL09'!C:C,C302,'TL09'!J:J),
SUMIF('TL10'!C:C,C302,'TL10'!J:J),
SUMIF('TL11'!C:C,C302,'TL11'!J:J),
SUMIF('TL12'!C:C,C302,'TL12'!J:J),
SUMIF('TL13'!C:C,C302,'TL13'!J:J),
SUMIF('TL14'!C:C,C302,'TL14'!J:J),
SUMIF('TL15'!C:C,C302,'TL15'!J:J),
SUMIF('TL16'!C:C,C302,'TL16'!J:J),
SUMIF('TL17'!C:C,C302,'TL17'!J:J),
SUMIF('TL18'!C:C,C302,'TL18'!J:J),SUMIF('TL19'!C:C,C302,'TL19'!J:J))
,0)</f>
        <v>0</v>
      </c>
      <c r="S302" s="17">
        <f>IFERROR(__xludf.DUMMYFUNCTION("IFERROR(VLOOKUP(C302,
IMPORTRANGE(""1wULbzX32WdYsx-lj2U3uUNBBe2INVIRDtcK0d-Dvl90"",
""26-27!C:G""),
5,
FALSE),
"""")"),1095.787)</f>
        <v>1095.787</v>
      </c>
      <c r="T302" s="9"/>
      <c r="U302" s="92">
        <f t="shared" si="2"/>
        <v>0</v>
      </c>
      <c r="V302" s="93">
        <f t="shared" si="3"/>
        <v>0</v>
      </c>
    </row>
    <row r="303" ht="15.75" hidden="1" customHeight="1">
      <c r="A303" s="122" t="s">
        <v>358</v>
      </c>
      <c r="B303" s="124" t="s">
        <v>3</v>
      </c>
      <c r="C303" s="122" t="s">
        <v>1024</v>
      </c>
      <c r="D303" s="122" t="s">
        <v>873</v>
      </c>
      <c r="E303" s="122">
        <v>350.0</v>
      </c>
      <c r="F303" s="4" t="s">
        <v>343</v>
      </c>
      <c r="G303" s="90" t="str">
        <f t="shared" si="5"/>
        <v>📄 Ver bula</v>
      </c>
      <c r="H303" s="9">
        <f>IFERROR(__xludf.DUMMYFUNCTION("IFERROR(VLOOKUP(C303,
IMPORTRANGE(""1wULbzX32WdYsx-lj2U3uUNBBe2INVIRDtcK0d-Dvl90"",
""26-27!C:K""),
8,
FALSE),
"""")"),0.05)</f>
        <v>0.05</v>
      </c>
      <c r="I303" s="123"/>
      <c r="J303" s="9">
        <f>IFERROR(SUM(
IF('TL01'!$B$3=J$3,SUMIF('TL01'!$C$10:$C$224,$C303,'TL01'!$J$10:$J$224),0),
IF('TL01'!$B$229=J$3,SUMIF('TL01'!$C$238:$C$451,$C303,'TL01'!$J$238:$J$451),0),
IF('TL02'!$B$3=J$3,SUMIF('TL02'!$C$10:$C$224,$C303,'TL02'!$J$10:$J$224),0),
IF('TL02'!$B$229=J$3,SUMIF('TL02'!$C$238:$C$451,$C303,'TL02'!$J$238:$J$451),0),
IF('TL03'!$B$3=J$3,SUMIF('TL03'!$C$10:$C$224,$C303,'TL03'!$J$10:$J$224),0),
IF('TL03'!$B$229=J$3,SUMIF('TL03'!$C$238:$C$451,$C303,'TL03'!$J$238:$J$451),0),
IF('TL04'!$B$3=J$3,SUMIF('TL04'!$C$10:$C$224,$C303,'TL04'!$J$10:$J$224),0),
IF('TL04'!$B$229=J$3,SUMIF('TL04'!$C$238:$C$451,$C303,'TL04'!$J$238:$J$451),0),
IF('TL05'!$B$3=J$3,SUMIF('TL05'!$C$10:$C$224,$C303,'TL05'!$J$10:$J$224),0),
IF('TL05'!$B$229=J$3,SUMIF('TL05'!$C$238:$C$451,$C303,'TL05'!$J$238:$J$451),0),
IF('TL06'!$B$3=J$3,SUMIF('TL06'!$C$10:$C$224,$C303,'TL06'!$J$10:$J$224),0),
IF('TL06'!$B$229=J$3,SUMIF('TL06'!$C$238:$C$451,$C303,'TL06'!$J$238:$J$451),0),
IF('TL07'!$B$3=J$3,SUMIF('TL07'!$C$10:$C$224,$C303,'TL07'!$J$10:$J$224),0),
IF('TL07'!$B$229=J$3,SUMIF('TL07'!$C$238:$C$451,$C303,'TL07'!$J$238:$J$451),0),
IF('TL08'!$B$3=J$3,SUMIF('TL08'!$C$10:$C$224,$C303,'TL08'!$J$10:$J$224),0),
IF('TL08'!$B$229=J$3,SUMIF('TL08'!$C$238:$C$451,$C303,'TL08'!$J$238:$J$451),0),
IF('TL09'!$B$3=J$3,SUMIF('TL09'!$C$10:$C$224,$C303,'TL09'!$J$10:$J$224),0),
IF('TL09'!$B$229=J$3,SUMIF('TL09'!$C$238:$C$451,$C303,'TL09'!$J$238:$J$451),0),
IF('TL10'!$B$3=J$3,SUMIF('TL10'!$C$10:$C$224,$C303,'TL10'!$J$10:$J$224),0),
IF('TL10'!$B$229=J$3,SUMIF('TL10'!$C$238:$C$451,$C303,'TL10'!$J$238:$J$451),0),
IF('TL11'!$B$3=J$3,SUMIF('TL11'!$C$10:$C$224,$C303,'TL11'!$J$10:$J$224),0),
IF('TL11'!$B$229=J$3,SUMIF('TL11'!$C$238:$C$451,$C303,'TL11'!$J$238:$J$451),0),
IF('TL12'!$B$3=J$3,SUMIF('TL12'!$C$10:$C$224,$C303,'TL12'!$J$10:$J$224),0),
IF('TL12'!$B$229=J$3,SUMIF('TL12'!$C$238:$C$451,$C303,'TL12'!$J$238:$J$451),0),
IF('TL13'!$B$3=J$3,SUMIF('TL13'!$C$10:$C$224,$C303,'TL13'!$J$10:$J$224),0),
IF('TL13'!$B$229=J$3,SUMIF('TL13'!$C$238:$C$451,$C303,'TL13'!$J$238:$J$451),0),
IF('TL14'!$B$3=J$3,SUMIF('TL14'!$C$10:$C$224,$C303,'TL14'!$J$10:$J$224),0),
IF('TL14'!$B$229=J$3,SUMIF('TL14'!$C$238:$C$451,$C303,'TL14'!$J$238:$J$451),0),
IF('TL15'!$B$3=J$3,SUMIF('TL15'!$C$10:$C$224,$C303,'TL15'!$J$10:$J$224),0),
IF('TL15'!$B$229=J$3,SUMIF('TL15'!$C$238:$C$451,$C303,'TL15'!$J$238:$J$451),0),
IF('TL16'!$B$3=J$3,SUMIF('TL16'!$C$10:$C$224,$C303,'TL16'!$J$10:$J$224),0),
IF('TL16'!$B$229=J$3,SUMIF('TL16'!$C$238:$C$451,$C303,'TL16'!$J$238:$J$451),0),
IF('TL17'!$B$3=J$3,SUMIF('TL17'!$C$10:$C$224,$C303,'TL17'!$J$10:$J$224),0),
IF('TL17'!$B$229=J$3,SUMIF('TL17'!$C$238:$C$451,$C303,'TL17'!$J$238:$J$451),0),
IF('TL18'!$B$3=J$3,SUMIF('TL18'!$C$10:$C$224,$C303,'TL18'!$J$10:$J$224),0),
IF('TL18'!$B$229=J$3,SUMIF('TL18'!$C$238:$C$451,$C303,'TL18'!$J$238:$J$451),0),
IF('TL19'!$B$3=J$3,SUMIF('TL19'!$C$10:$C$224,$C303,'TL19'!$J$10:$J$224),0),
IF('TL19'!$B$229=J$3,SUMIF('TL19'!$C$238:$C$451,$C303,'TL19'!$J$238:$J$451),0)
),0)</f>
        <v>0</v>
      </c>
      <c r="K303" s="9">
        <f>IFERROR(SUM(
IF('TL01'!$B$3=K$3,SUMIF('TL01'!$C$10:$C$224,$C303,'TL01'!$J$10:$J$224),0),
IF('TL01'!$B$229=K$3,SUMIF('TL01'!$C$238:$C$451,$C303,'TL01'!$J$238:$J$451),0),
IF('TL02'!$B$3=K$3,SUMIF('TL02'!$C$10:$C$224,$C303,'TL02'!$J$10:$J$224),0),
IF('TL02'!$B$229=K$3,SUMIF('TL02'!$C$238:$C$451,$C303,'TL02'!$J$238:$J$451),0),
IF('TL03'!$B$3=K$3,SUMIF('TL03'!$C$10:$C$224,$C303,'TL03'!$J$10:$J$224),0),
IF('TL03'!$B$229=K$3,SUMIF('TL03'!$C$238:$C$451,$C303,'TL03'!$J$238:$J$451),0),
IF('TL04'!$B$3=K$3,SUMIF('TL04'!$C$10:$C$224,$C303,'TL04'!$J$10:$J$224),0),
IF('TL04'!$B$229=K$3,SUMIF('TL04'!$C$238:$C$451,$C303,'TL04'!$J$238:$J$451),0),
IF('TL05'!$B$3=K$3,SUMIF('TL05'!$C$10:$C$224,$C303,'TL05'!$J$10:$J$224),0),
IF('TL05'!$B$229=K$3,SUMIF('TL05'!$C$238:$C$451,$C303,'TL05'!$J$238:$J$451),0),
IF('TL06'!$B$3=K$3,SUMIF('TL06'!$C$10:$C$224,$C303,'TL06'!$J$10:$J$224),0),
IF('TL06'!$B$229=K$3,SUMIF('TL06'!$C$238:$C$451,$C303,'TL06'!$J$238:$J$451),0),
IF('TL07'!$B$3=K$3,SUMIF('TL07'!$C$10:$C$224,$C303,'TL07'!$J$10:$J$224),0),
IF('TL07'!$B$229=K$3,SUMIF('TL07'!$C$238:$C$451,$C303,'TL07'!$J$238:$J$451),0),
IF('TL08'!$B$3=K$3,SUMIF('TL08'!$C$10:$C$224,$C303,'TL08'!$J$10:$J$224),0),
IF('TL08'!$B$229=K$3,SUMIF('TL08'!$C$238:$C$451,$C303,'TL08'!$J$238:$J$451),0),
IF('TL09'!$B$3=K$3,SUMIF('TL09'!$C$10:$C$224,$C303,'TL09'!$J$10:$J$224),0),
IF('TL09'!$B$229=K$3,SUMIF('TL09'!$C$238:$C$451,$C303,'TL09'!$J$238:$J$451),0),
IF('TL10'!$B$3=K$3,SUMIF('TL10'!$C$10:$C$224,$C303,'TL10'!$J$10:$J$224),0),
IF('TL10'!$B$229=K$3,SUMIF('TL10'!$C$238:$C$451,$C303,'TL10'!$J$238:$J$451),0),
IF('TL11'!$B$3=K$3,SUMIF('TL11'!$C$10:$C$224,$C303,'TL11'!$J$10:$J$224),0),
IF('TL11'!$B$229=K$3,SUMIF('TL11'!$C$238:$C$451,$C303,'TL11'!$J$238:$J$451),0),
IF('TL12'!$B$3=K$3,SUMIF('TL12'!$C$10:$C$224,$C303,'TL12'!$J$10:$J$224),0),
IF('TL12'!$B$229=K$3,SUMIF('TL12'!$C$238:$C$451,$C303,'TL12'!$J$238:$J$451),0),
IF('TL13'!$B$3=K$3,SUMIF('TL13'!$C$10:$C$224,$C303,'TL13'!$J$10:$J$224),0),
IF('TL13'!$B$229=K$3,SUMIF('TL13'!$C$238:$C$451,$C303,'TL13'!$J$238:$J$451),0),
IF('TL14'!$B$3=K$3,SUMIF('TL14'!$C$10:$C$224,$C303,'TL14'!$J$10:$J$224),0),
IF('TL14'!$B$229=K$3,SUMIF('TL14'!$C$238:$C$451,$C303,'TL14'!$J$238:$J$451),0),
IF('TL15'!$B$3=K$3,SUMIF('TL15'!$C$10:$C$224,$C303,'TL15'!$J$10:$J$224),0),
IF('TL15'!$B$229=K$3,SUMIF('TL15'!$C$238:$C$451,$C303,'TL15'!$J$238:$J$451),0),
IF('TL16'!$B$3=K$3,SUMIF('TL16'!$C$10:$C$224,$C303,'TL16'!$J$10:$J$224),0),
IF('TL16'!$B$229=K$3,SUMIF('TL16'!$C$238:$C$451,$C303,'TL16'!$J$238:$J$451),0),
IF('TL17'!$B$3=K$3,SUMIF('TL17'!$C$10:$C$224,$C303,'TL17'!$J$10:$J$224),0),
IF('TL17'!$B$229=K$3,SUMIF('TL17'!$C$238:$C$451,$C303,'TL17'!$J$238:$J$451),0),
IF('TL18'!$B$3=K$3,SUMIF('TL18'!$C$10:$C$224,$C303,'TL18'!$J$10:$J$224),0),
IF('TL18'!$B$229=K$3,SUMIF('TL18'!$C$238:$C$451,$C303,'TL18'!$J$238:$J$451),0),
IF('TL19'!$B$3=K$3,SUMIF('TL19'!$C$10:$C$224,$C303,'TL19'!$J$10:$J$224),0),
IF('TL19'!$B$229=K$3,SUMIF('TL19'!$C$238:$C$451,$C303,'TL19'!$J$238:$J$451),0)
),0)</f>
        <v>0</v>
      </c>
      <c r="L303" s="9">
        <f>IFERROR(SUM(
IF('TL01'!$B$3=L$3,SUMIF('TL01'!$C$10:$C$224,$C303,'TL01'!$J$10:$J$224),0),
IF('TL01'!$B$229=L$3,SUMIF('TL01'!$C$238:$C$451,$C303,'TL01'!$J$238:$J$451),0),
IF('TL02'!$B$3=L$3,SUMIF('TL02'!$C$10:$C$224,$C303,'TL02'!$J$10:$J$224),0),
IF('TL02'!$B$229=L$3,SUMIF('TL02'!$C$238:$C$451,$C303,'TL02'!$J$238:$J$451),0),
IF('TL03'!$B$3=L$3,SUMIF('TL03'!$C$10:$C$224,$C303,'TL03'!$J$10:$J$224),0),
IF('TL03'!$B$229=L$3,SUMIF('TL03'!$C$238:$C$451,$C303,'TL03'!$J$238:$J$451),0),
IF('TL04'!$B$3=L$3,SUMIF('TL04'!$C$10:$C$224,$C303,'TL04'!$J$10:$J$224),0),
IF('TL04'!$B$229=L$3,SUMIF('TL04'!$C$238:$C$451,$C303,'TL04'!$J$238:$J$451),0),
IF('TL05'!$B$3=L$3,SUMIF('TL05'!$C$10:$C$224,$C303,'TL05'!$J$10:$J$224),0),
IF('TL05'!$B$229=L$3,SUMIF('TL05'!$C$238:$C$451,$C303,'TL05'!$J$238:$J$451),0),
IF('TL06'!$B$3=L$3,SUMIF('TL06'!$C$10:$C$224,$C303,'TL06'!$J$10:$J$224),0),
IF('TL06'!$B$229=L$3,SUMIF('TL06'!$C$238:$C$451,$C303,'TL06'!$J$238:$J$451),0),
IF('TL07'!$B$3=L$3,SUMIF('TL07'!$C$10:$C$224,$C303,'TL07'!$J$10:$J$224),0),
IF('TL07'!$B$229=L$3,SUMIF('TL07'!$C$238:$C$451,$C303,'TL07'!$J$238:$J$451),0),
IF('TL08'!$B$3=L$3,SUMIF('TL08'!$C$10:$C$224,$C303,'TL08'!$J$10:$J$224),0),
IF('TL08'!$B$229=L$3,SUMIF('TL08'!$C$238:$C$451,$C303,'TL08'!$J$238:$J$451),0),
IF('TL09'!$B$3=L$3,SUMIF('TL09'!$C$10:$C$224,$C303,'TL09'!$J$10:$J$224),0),
IF('TL09'!$B$229=L$3,SUMIF('TL09'!$C$238:$C$451,$C303,'TL09'!$J$238:$J$451),0),
IF('TL10'!$B$3=L$3,SUMIF('TL10'!$C$10:$C$224,$C303,'TL10'!$J$10:$J$224),0),
IF('TL10'!$B$229=L$3,SUMIF('TL10'!$C$238:$C$451,$C303,'TL10'!$J$238:$J$451),0),
IF('TL11'!$B$3=L$3,SUMIF('TL11'!$C$10:$C$224,$C303,'TL11'!$J$10:$J$224),0),
IF('TL11'!$B$229=L$3,SUMIF('TL11'!$C$238:$C$451,$C303,'TL11'!$J$238:$J$451),0),
IF('TL12'!$B$3=L$3,SUMIF('TL12'!$C$10:$C$224,$C303,'TL12'!$J$10:$J$224),0),
IF('TL12'!$B$229=L$3,SUMIF('TL12'!$C$238:$C$451,$C303,'TL12'!$J$238:$J$451),0),
IF('TL13'!$B$3=L$3,SUMIF('TL13'!$C$10:$C$224,$C303,'TL13'!$J$10:$J$224),0),
IF('TL13'!$B$229=L$3,SUMIF('TL13'!$C$238:$C$451,$C303,'TL13'!$J$238:$J$451),0),
IF('TL14'!$B$3=L$3,SUMIF('TL14'!$C$10:$C$224,$C303,'TL14'!$J$10:$J$224),0),
IF('TL14'!$B$229=L$3,SUMIF('TL14'!$C$238:$C$451,$C303,'TL14'!$J$238:$J$451),0),
IF('TL15'!$B$3=L$3,SUMIF('TL15'!$C$10:$C$224,$C303,'TL15'!$J$10:$J$224),0),
IF('TL15'!$B$229=L$3,SUMIF('TL15'!$C$238:$C$451,$C303,'TL15'!$J$238:$J$451),0),
IF('TL16'!$B$3=L$3,SUMIF('TL16'!$C$10:$C$224,$C303,'TL16'!$J$10:$J$224),0),
IF('TL16'!$B$229=L$3,SUMIF('TL16'!$C$238:$C$451,$C303,'TL16'!$J$238:$J$451),0),
IF('TL17'!$B$3=L$3,SUMIF('TL17'!$C$10:$C$224,$C303,'TL17'!$J$10:$J$224),0),
IF('TL17'!$B$229=L$3,SUMIF('TL17'!$C$238:$C$451,$C303,'TL17'!$J$238:$J$451),0),
IF('TL18'!$B$3=L$3,SUMIF('TL18'!$C$10:$C$224,$C303,'TL18'!$J$10:$J$224),0),
IF('TL18'!$B$229=L$3,SUMIF('TL18'!$C$238:$C$451,$C303,'TL18'!$J$238:$J$451),0),
IF('TL19'!$B$3=L$3,SUMIF('TL19'!$C$10:$C$224,$C303,'TL19'!$J$10:$J$224),0),
IF('TL19'!$B$229=L$3,SUMIF('TL19'!$C$238:$C$451,$C303,'TL19'!$J$238:$J$451),0)
),0)</f>
        <v>0</v>
      </c>
      <c r="M303" s="9">
        <f>IFERROR(SUM(
IF('TL01'!$B$3=M$3,SUMIF('TL01'!$C$10:$C$224,$C303,'TL01'!$J$10:$J$224),0),
IF('TL01'!$B$229=M$3,SUMIF('TL01'!$C$238:$C$451,$C303,'TL01'!$J$238:$J$451),0),
IF('TL02'!$B$3=M$3,SUMIF('TL02'!$C$10:$C$224,$C303,'TL02'!$J$10:$J$224),0),
IF('TL02'!$B$229=M$3,SUMIF('TL02'!$C$238:$C$451,$C303,'TL02'!$J$238:$J$451),0),
IF('TL03'!$B$3=M$3,SUMIF('TL03'!$C$10:$C$224,$C303,'TL03'!$J$10:$J$224),0),
IF('TL03'!$B$229=M$3,SUMIF('TL03'!$C$238:$C$451,$C303,'TL03'!$J$238:$J$451),0),
IF('TL04'!$B$3=M$3,SUMIF('TL04'!$C$10:$C$224,$C303,'TL04'!$J$10:$J$224),0),
IF('TL04'!$B$229=M$3,SUMIF('TL04'!$C$238:$C$451,$C303,'TL04'!$J$238:$J$451),0),
IF('TL05'!$B$3=M$3,SUMIF('TL05'!$C$10:$C$224,$C303,'TL05'!$J$10:$J$224),0),
IF('TL05'!$B$229=M$3,SUMIF('TL05'!$C$238:$C$451,$C303,'TL05'!$J$238:$J$451),0),
IF('TL06'!$B$3=M$3,SUMIF('TL06'!$C$10:$C$224,$C303,'TL06'!$J$10:$J$224),0),
IF('TL06'!$B$229=M$3,SUMIF('TL06'!$C$238:$C$451,$C303,'TL06'!$J$238:$J$451),0),
IF('TL07'!$B$3=M$3,SUMIF('TL07'!$C$10:$C$224,$C303,'TL07'!$J$10:$J$224),0),
IF('TL07'!$B$229=M$3,SUMIF('TL07'!$C$238:$C$451,$C303,'TL07'!$J$238:$J$451),0),
IF('TL08'!$B$3=M$3,SUMIF('TL08'!$C$10:$C$224,$C303,'TL08'!$J$10:$J$224),0),
IF('TL08'!$B$229=M$3,SUMIF('TL08'!$C$238:$C$451,$C303,'TL08'!$J$238:$J$451),0),
IF('TL09'!$B$3=M$3,SUMIF('TL09'!$C$10:$C$224,$C303,'TL09'!$J$10:$J$224),0),
IF('TL09'!$B$229=M$3,SUMIF('TL09'!$C$238:$C$451,$C303,'TL09'!$J$238:$J$451),0),
IF('TL10'!$B$3=M$3,SUMIF('TL10'!$C$10:$C$224,$C303,'TL10'!$J$10:$J$224),0),
IF('TL10'!$B$229=M$3,SUMIF('TL10'!$C$238:$C$451,$C303,'TL10'!$J$238:$J$451),0),
IF('TL11'!$B$3=M$3,SUMIF('TL11'!$C$10:$C$224,$C303,'TL11'!$J$10:$J$224),0),
IF('TL11'!$B$229=M$3,SUMIF('TL11'!$C$238:$C$451,$C303,'TL11'!$J$238:$J$451),0),
IF('TL12'!$B$3=M$3,SUMIF('TL12'!$C$10:$C$224,$C303,'TL12'!$J$10:$J$224),0),
IF('TL12'!$B$229=M$3,SUMIF('TL12'!$C$238:$C$451,$C303,'TL12'!$J$238:$J$451),0),
IF('TL13'!$B$3=M$3,SUMIF('TL13'!$C$10:$C$224,$C303,'TL13'!$J$10:$J$224),0),
IF('TL13'!$B$229=M$3,SUMIF('TL13'!$C$238:$C$451,$C303,'TL13'!$J$238:$J$451),0),
IF('TL14'!$B$3=M$3,SUMIF('TL14'!$C$10:$C$224,$C303,'TL14'!$J$10:$J$224),0),
IF('TL14'!$B$229=M$3,SUMIF('TL14'!$C$238:$C$451,$C303,'TL14'!$J$238:$J$451),0),
IF('TL15'!$B$3=M$3,SUMIF('TL15'!$C$10:$C$224,$C303,'TL15'!$J$10:$J$224),0),
IF('TL15'!$B$229=M$3,SUMIF('TL15'!$C$238:$C$451,$C303,'TL15'!$J$238:$J$451),0),
IF('TL16'!$B$3=M$3,SUMIF('TL16'!$C$10:$C$224,$C303,'TL16'!$J$10:$J$224),0),
IF('TL16'!$B$229=M$3,SUMIF('TL16'!$C$238:$C$451,$C303,'TL16'!$J$238:$J$451),0),
IF('TL17'!$B$3=M$3,SUMIF('TL17'!$C$10:$C$224,$C303,'TL17'!$J$10:$J$224),0),
IF('TL17'!$B$229=M$3,SUMIF('TL17'!$C$238:$C$451,$C303,'TL17'!$J$238:$J$451),0),
IF('TL18'!$B$3=M$3,SUMIF('TL18'!$C$10:$C$224,$C303,'TL18'!$J$10:$J$224),0),
IF('TL18'!$B$229=M$3,SUMIF('TL18'!$C$238:$C$451,$C303,'TL18'!$J$238:$J$451),0),
IF('TL19'!$B$3=M$3,SUMIF('TL19'!$C$10:$C$224,$C303,'TL19'!$J$10:$J$224),0),
IF('TL19'!$B$229=M$3,SUMIF('TL19'!$C$238:$C$451,$C303,'TL19'!$J$238:$J$451),0)
),0)</f>
        <v>0</v>
      </c>
      <c r="N303" s="9">
        <f>IFERROR(SUM(
IF('TL01'!$B$3=N$3,SUMIF('TL01'!$C$10:$C$224,$C303,'TL01'!$J$10:$J$224),0),
IF('TL01'!$B$229=N$3,SUMIF('TL01'!$C$238:$C$451,$C303,'TL01'!$J$238:$J$451),0),
IF('TL02'!$B$3=N$3,SUMIF('TL02'!$C$10:$C$224,$C303,'TL02'!$J$10:$J$224),0),
IF('TL02'!$B$229=N$3,SUMIF('TL02'!$C$238:$C$451,$C303,'TL02'!$J$238:$J$451),0),
IF('TL03'!$B$3=N$3,SUMIF('TL03'!$C$10:$C$224,$C303,'TL03'!$J$10:$J$224),0),
IF('TL03'!$B$229=N$3,SUMIF('TL03'!$C$238:$C$451,$C303,'TL03'!$J$238:$J$451),0),
IF('TL04'!$B$3=N$3,SUMIF('TL04'!$C$10:$C$224,$C303,'TL04'!$J$10:$J$224),0),
IF('TL04'!$B$229=N$3,SUMIF('TL04'!$C$238:$C$451,$C303,'TL04'!$J$238:$J$451),0),
IF('TL05'!$B$3=N$3,SUMIF('TL05'!$C$10:$C$224,$C303,'TL05'!$J$10:$J$224),0),
IF('TL05'!$B$229=N$3,SUMIF('TL05'!$C$238:$C$451,$C303,'TL05'!$J$238:$J$451),0),
IF('TL06'!$B$3=N$3,SUMIF('TL06'!$C$10:$C$224,$C303,'TL06'!$J$10:$J$224),0),
IF('TL06'!$B$229=N$3,SUMIF('TL06'!$C$238:$C$451,$C303,'TL06'!$J$238:$J$451),0),
IF('TL07'!$B$3=N$3,SUMIF('TL07'!$C$10:$C$224,$C303,'TL07'!$J$10:$J$224),0),
IF('TL07'!$B$229=N$3,SUMIF('TL07'!$C$238:$C$451,$C303,'TL07'!$J$238:$J$451),0),
IF('TL08'!$B$3=N$3,SUMIF('TL08'!$C$10:$C$224,$C303,'TL08'!$J$10:$J$224),0),
IF('TL08'!$B$229=N$3,SUMIF('TL08'!$C$238:$C$451,$C303,'TL08'!$J$238:$J$451),0),
IF('TL09'!$B$3=N$3,SUMIF('TL09'!$C$10:$C$224,$C303,'TL09'!$J$10:$J$224),0),
IF('TL09'!$B$229=N$3,SUMIF('TL09'!$C$238:$C$451,$C303,'TL09'!$J$238:$J$451),0),
IF('TL10'!$B$3=N$3,SUMIF('TL10'!$C$10:$C$224,$C303,'TL10'!$J$10:$J$224),0),
IF('TL10'!$B$229=N$3,SUMIF('TL10'!$C$238:$C$451,$C303,'TL10'!$J$238:$J$451),0),
IF('TL11'!$B$3=N$3,SUMIF('TL11'!$C$10:$C$224,$C303,'TL11'!$J$10:$J$224),0),
IF('TL11'!$B$229=N$3,SUMIF('TL11'!$C$238:$C$451,$C303,'TL11'!$J$238:$J$451),0),
IF('TL12'!$B$3=N$3,SUMIF('TL12'!$C$10:$C$224,$C303,'TL12'!$J$10:$J$224),0),
IF('TL12'!$B$229=N$3,SUMIF('TL12'!$C$238:$C$451,$C303,'TL12'!$J$238:$J$451),0),
IF('TL13'!$B$3=N$3,SUMIF('TL13'!$C$10:$C$224,$C303,'TL13'!$J$10:$J$224),0),
IF('TL13'!$B$229=N$3,SUMIF('TL13'!$C$238:$C$451,$C303,'TL13'!$J$238:$J$451),0),
IF('TL14'!$B$3=N$3,SUMIF('TL14'!$C$10:$C$224,$C303,'TL14'!$J$10:$J$224),0),
IF('TL14'!$B$229=N$3,SUMIF('TL14'!$C$238:$C$451,$C303,'TL14'!$J$238:$J$451),0),
IF('TL15'!$B$3=N$3,SUMIF('TL15'!$C$10:$C$224,$C303,'TL15'!$J$10:$J$224),0),
IF('TL15'!$B$229=N$3,SUMIF('TL15'!$C$238:$C$451,$C303,'TL15'!$J$238:$J$451),0),
IF('TL16'!$B$3=N$3,SUMIF('TL16'!$C$10:$C$224,$C303,'TL16'!$J$10:$J$224),0),
IF('TL16'!$B$229=N$3,SUMIF('TL16'!$C$238:$C$451,$C303,'TL16'!$J$238:$J$451),0),
IF('TL17'!$B$3=N$3,SUMIF('TL17'!$C$10:$C$224,$C303,'TL17'!$J$10:$J$224),0),
IF('TL17'!$B$229=N$3,SUMIF('TL17'!$C$238:$C$451,$C303,'TL17'!$J$238:$J$451),0),
IF('TL18'!$B$3=N$3,SUMIF('TL18'!$C$10:$C$224,$C303,'TL18'!$J$10:$J$224),0),
IF('TL18'!$B$229=N$3,SUMIF('TL18'!$C$238:$C$451,$C303,'TL18'!$J$238:$J$451),0),
IF('TL19'!$B$3=N$3,SUMIF('TL19'!$C$10:$C$224,$C303,'TL19'!$J$10:$J$224),0),
IF('TL19'!$B$229=N$3,SUMIF('TL19'!$C$238:$C$451,$C303,'TL19'!$J$238:$J$451),0)
),0)</f>
        <v>0</v>
      </c>
      <c r="O303" s="9">
        <f>IFERROR(SUM(
IF('TL01'!$B$3=O$3,SUMIF('TL01'!$C$10:$C$224,$C303,'TL01'!$J$10:$J$224),0),
IF('TL01'!$B$229=O$3,SUMIF('TL01'!$C$238:$C$451,$C303,'TL01'!$J$238:$J$451),0),
IF('TL02'!$B$3=O$3,SUMIF('TL02'!$C$10:$C$224,$C303,'TL02'!$J$10:$J$224),0),
IF('TL02'!$B$229=O$3,SUMIF('TL02'!$C$238:$C$451,$C303,'TL02'!$J$238:$J$451),0),
IF('TL03'!$B$3=O$3,SUMIF('TL03'!$C$10:$C$224,$C303,'TL03'!$J$10:$J$224),0),
IF('TL03'!$B$229=O$3,SUMIF('TL03'!$C$238:$C$451,$C303,'TL03'!$J$238:$J$451),0),
IF('TL04'!$B$3=O$3,SUMIF('TL04'!$C$10:$C$224,$C303,'TL04'!$J$10:$J$224),0),
IF('TL04'!$B$229=O$3,SUMIF('TL04'!$C$238:$C$451,$C303,'TL04'!$J$238:$J$451),0),
IF('TL05'!$B$3=O$3,SUMIF('TL05'!$C$10:$C$224,$C303,'TL05'!$J$10:$J$224),0),
IF('TL05'!$B$229=O$3,SUMIF('TL05'!$C$238:$C$451,$C303,'TL05'!$J$238:$J$451),0),
IF('TL06'!$B$3=O$3,SUMIF('TL06'!$C$10:$C$224,$C303,'TL06'!$J$10:$J$224),0),
IF('TL06'!$B$229=O$3,SUMIF('TL06'!$C$238:$C$451,$C303,'TL06'!$J$238:$J$451),0),
IF('TL07'!$B$3=O$3,SUMIF('TL07'!$C$10:$C$224,$C303,'TL07'!$J$10:$J$224),0),
IF('TL07'!$B$229=O$3,SUMIF('TL07'!$C$238:$C$451,$C303,'TL07'!$J$238:$J$451),0),
IF('TL08'!$B$3=O$3,SUMIF('TL08'!$C$10:$C$224,$C303,'TL08'!$J$10:$J$224),0),
IF('TL08'!$B$229=O$3,SUMIF('TL08'!$C$238:$C$451,$C303,'TL08'!$J$238:$J$451),0),
IF('TL09'!$B$3=O$3,SUMIF('TL09'!$C$10:$C$224,$C303,'TL09'!$J$10:$J$224),0),
IF('TL09'!$B$229=O$3,SUMIF('TL09'!$C$238:$C$451,$C303,'TL09'!$J$238:$J$451),0),
IF('TL10'!$B$3=O$3,SUMIF('TL10'!$C$10:$C$224,$C303,'TL10'!$J$10:$J$224),0),
IF('TL10'!$B$229=O$3,SUMIF('TL10'!$C$238:$C$451,$C303,'TL10'!$J$238:$J$451),0),
IF('TL11'!$B$3=O$3,SUMIF('TL11'!$C$10:$C$224,$C303,'TL11'!$J$10:$J$224),0),
IF('TL11'!$B$229=O$3,SUMIF('TL11'!$C$238:$C$451,$C303,'TL11'!$J$238:$J$451),0),
IF('TL12'!$B$3=O$3,SUMIF('TL12'!$C$10:$C$224,$C303,'TL12'!$J$10:$J$224),0),
IF('TL12'!$B$229=O$3,SUMIF('TL12'!$C$238:$C$451,$C303,'TL12'!$J$238:$J$451),0),
IF('TL13'!$B$3=O$3,SUMIF('TL13'!$C$10:$C$224,$C303,'TL13'!$J$10:$J$224),0),
IF('TL13'!$B$229=O$3,SUMIF('TL13'!$C$238:$C$451,$C303,'TL13'!$J$238:$J$451),0),
IF('TL14'!$B$3=O$3,SUMIF('TL14'!$C$10:$C$224,$C303,'TL14'!$J$10:$J$224),0),
IF('TL14'!$B$229=O$3,SUMIF('TL14'!$C$238:$C$451,$C303,'TL14'!$J$238:$J$451),0),
IF('TL15'!$B$3=O$3,SUMIF('TL15'!$C$10:$C$224,$C303,'TL15'!$J$10:$J$224),0),
IF('TL15'!$B$229=O$3,SUMIF('TL15'!$C$238:$C$451,$C303,'TL15'!$J$238:$J$451),0),
IF('TL16'!$B$3=O$3,SUMIF('TL16'!$C$10:$C$224,$C303,'TL16'!$J$10:$J$224),0),
IF('TL16'!$B$229=O$3,SUMIF('TL16'!$C$238:$C$451,$C303,'TL16'!$J$238:$J$451),0),
IF('TL17'!$B$3=O$3,SUMIF('TL17'!$C$10:$C$224,$C303,'TL17'!$J$10:$J$224),0),
IF('TL17'!$B$229=O$3,SUMIF('TL17'!$C$238:$C$451,$C303,'TL17'!$J$238:$J$451),0),
IF('TL18'!$B$3=O$3,SUMIF('TL18'!$C$10:$C$224,$C303,'TL18'!$J$10:$J$224),0),
IF('TL18'!$B$229=O$3,SUMIF('TL18'!$C$238:$C$451,$C303,'TL18'!$J$238:$J$451),0),
IF('TL19'!$B$3=O$3,SUMIF('TL19'!$C$10:$C$224,$C303,'TL19'!$J$10:$J$224),0),
IF('TL19'!$B$229=O$3,SUMIF('TL19'!$C$238:$C$451,$C303,'TL19'!$J$238:$J$451),0)
),0)</f>
        <v>0</v>
      </c>
      <c r="P303" s="9">
        <f>IFERROR(SUM(
IF('TL01'!$B$3=P$3,SUMIF('TL01'!$C$10:$C$224,$C303,'TL01'!$J$10:$J$224),0),
IF('TL01'!$B$229=P$3,SUMIF('TL01'!$C$238:$C$451,$C303,'TL01'!$J$238:$J$451),0),
IF('TL02'!$B$3=P$3,SUMIF('TL02'!$C$10:$C$224,$C303,'TL02'!$J$10:$J$224),0),
IF('TL02'!$B$229=P$3,SUMIF('TL02'!$C$238:$C$451,$C303,'TL02'!$J$238:$J$451),0),
IF('TL03'!$B$3=P$3,SUMIF('TL03'!$C$10:$C$224,$C303,'TL03'!$J$10:$J$224),0),
IF('TL03'!$B$229=P$3,SUMIF('TL03'!$C$238:$C$451,$C303,'TL03'!$J$238:$J$451),0),
IF('TL04'!$B$3=P$3,SUMIF('TL04'!$C$10:$C$224,$C303,'TL04'!$J$10:$J$224),0),
IF('TL04'!$B$229=P$3,SUMIF('TL04'!$C$238:$C$451,$C303,'TL04'!$J$238:$J$451),0),
IF('TL05'!$B$3=P$3,SUMIF('TL05'!$C$10:$C$224,$C303,'TL05'!$J$10:$J$224),0),
IF('TL05'!$B$229=P$3,SUMIF('TL05'!$C$238:$C$451,$C303,'TL05'!$J$238:$J$451),0),
IF('TL06'!$B$3=P$3,SUMIF('TL06'!$C$10:$C$224,$C303,'TL06'!$J$10:$J$224),0),
IF('TL06'!$B$229=P$3,SUMIF('TL06'!$C$238:$C$451,$C303,'TL06'!$J$238:$J$451),0),
IF('TL07'!$B$3=P$3,SUMIF('TL07'!$C$10:$C$224,$C303,'TL07'!$J$10:$J$224),0),
IF('TL07'!$B$229=P$3,SUMIF('TL07'!$C$238:$C$451,$C303,'TL07'!$J$238:$J$451),0),
IF('TL08'!$B$3=P$3,SUMIF('TL08'!$C$10:$C$224,$C303,'TL08'!$J$10:$J$224),0),
IF('TL08'!$B$229=P$3,SUMIF('TL08'!$C$238:$C$451,$C303,'TL08'!$J$238:$J$451),0),
IF('TL09'!$B$3=P$3,SUMIF('TL09'!$C$10:$C$224,$C303,'TL09'!$J$10:$J$224),0),
IF('TL09'!$B$229=P$3,SUMIF('TL09'!$C$238:$C$451,$C303,'TL09'!$J$238:$J$451),0),
IF('TL10'!$B$3=P$3,SUMIF('TL10'!$C$10:$C$224,$C303,'TL10'!$J$10:$J$224),0),
IF('TL10'!$B$229=P$3,SUMIF('TL10'!$C$238:$C$451,$C303,'TL10'!$J$238:$J$451),0),
IF('TL11'!$B$3=P$3,SUMIF('TL11'!$C$10:$C$224,$C303,'TL11'!$J$10:$J$224),0),
IF('TL11'!$B$229=P$3,SUMIF('TL11'!$C$238:$C$451,$C303,'TL11'!$J$238:$J$451),0),
IF('TL12'!$B$3=P$3,SUMIF('TL12'!$C$10:$C$224,$C303,'TL12'!$J$10:$J$224),0),
IF('TL12'!$B$229=P$3,SUMIF('TL12'!$C$238:$C$451,$C303,'TL12'!$J$238:$J$451),0),
IF('TL13'!$B$3=P$3,SUMIF('TL13'!$C$10:$C$224,$C303,'TL13'!$J$10:$J$224),0),
IF('TL13'!$B$229=P$3,SUMIF('TL13'!$C$238:$C$451,$C303,'TL13'!$J$238:$J$451),0),
IF('TL14'!$B$3=P$3,SUMIF('TL14'!$C$10:$C$224,$C303,'TL14'!$J$10:$J$224),0),
IF('TL14'!$B$229=P$3,SUMIF('TL14'!$C$238:$C$451,$C303,'TL14'!$J$238:$J$451),0),
IF('TL15'!$B$3=P$3,SUMIF('TL15'!$C$10:$C$224,$C303,'TL15'!$J$10:$J$224),0),
IF('TL15'!$B$229=P$3,SUMIF('TL15'!$C$238:$C$451,$C303,'TL15'!$J$238:$J$451),0),
IF('TL16'!$B$3=P$3,SUMIF('TL16'!$C$10:$C$224,$C303,'TL16'!$J$10:$J$224),0),
IF('TL16'!$B$229=P$3,SUMIF('TL16'!$C$238:$C$451,$C303,'TL16'!$J$238:$J$451),0),
IF('TL17'!$B$3=P$3,SUMIF('TL17'!$C$10:$C$224,$C303,'TL17'!$J$10:$J$224),0),
IF('TL17'!$B$229=P$3,SUMIF('TL17'!$C$238:$C$451,$C303,'TL17'!$J$238:$J$451),0),
IF('TL18'!$B$3=P$3,SUMIF('TL18'!$C$10:$C$224,$C303,'TL18'!$J$10:$J$224),0),
IF('TL18'!$B$229=P$3,SUMIF('TL18'!$C$238:$C$451,$C303,'TL18'!$J$238:$J$451),0),
IF('TL19'!$B$3=P$3,SUMIF('TL19'!$C$10:$C$224,$C303,'TL19'!$J$10:$J$224),0),
IF('TL19'!$B$229=P$3,SUMIF('TL19'!$C$238:$C$451,$C303,'TL19'!$J$238:$J$451),0)
),0)</f>
        <v>0</v>
      </c>
      <c r="Q303" s="9">
        <f>IFERROR(SUM(
IF('TL01'!$B$3=Q$3,SUMIF('TL01'!$C$10:$C$224,$C303,'TL01'!$J$10:$J$224),0),
IF('TL01'!$B$229=Q$3,SUMIF('TL01'!$C$238:$C$451,$C303,'TL01'!$J$238:$J$451),0),
IF('TL02'!$B$3=Q$3,SUMIF('TL02'!$C$10:$C$224,$C303,'TL02'!$J$10:$J$224),0),
IF('TL02'!$B$229=Q$3,SUMIF('TL02'!$C$238:$C$451,$C303,'TL02'!$J$238:$J$451),0),
IF('TL03'!$B$3=Q$3,SUMIF('TL03'!$C$10:$C$224,$C303,'TL03'!$J$10:$J$224),0),
IF('TL03'!$B$229=Q$3,SUMIF('TL03'!$C$238:$C$451,$C303,'TL03'!$J$238:$J$451),0),
IF('TL04'!$B$3=Q$3,SUMIF('TL04'!$C$10:$C$224,$C303,'TL04'!$J$10:$J$224),0),
IF('TL04'!$B$229=Q$3,SUMIF('TL04'!$C$238:$C$451,$C303,'TL04'!$J$238:$J$451),0),
IF('TL05'!$B$3=Q$3,SUMIF('TL05'!$C$10:$C$224,$C303,'TL05'!$J$10:$J$224),0),
IF('TL05'!$B$229=Q$3,SUMIF('TL05'!$C$238:$C$451,$C303,'TL05'!$J$238:$J$451),0),
IF('TL06'!$B$3=Q$3,SUMIF('TL06'!$C$10:$C$224,$C303,'TL06'!$J$10:$J$224),0),
IF('TL06'!$B$229=Q$3,SUMIF('TL06'!$C$238:$C$451,$C303,'TL06'!$J$238:$J$451),0),
IF('TL07'!$B$3=Q$3,SUMIF('TL07'!$C$10:$C$224,$C303,'TL07'!$J$10:$J$224),0),
IF('TL07'!$B$229=Q$3,SUMIF('TL07'!$C$238:$C$451,$C303,'TL07'!$J$238:$J$451),0),
IF('TL08'!$B$3=Q$3,SUMIF('TL08'!$C$10:$C$224,$C303,'TL08'!$J$10:$J$224),0),
IF('TL08'!$B$229=Q$3,SUMIF('TL08'!$C$238:$C$451,$C303,'TL08'!$J$238:$J$451),0),
IF('TL09'!$B$3=Q$3,SUMIF('TL09'!$C$10:$C$224,$C303,'TL09'!$J$10:$J$224),0),
IF('TL09'!$B$229=Q$3,SUMIF('TL09'!$C$238:$C$451,$C303,'TL09'!$J$238:$J$451),0),
IF('TL10'!$B$3=Q$3,SUMIF('TL10'!$C$10:$C$224,$C303,'TL10'!$J$10:$J$224),0),
IF('TL10'!$B$229=Q$3,SUMIF('TL10'!$C$238:$C$451,$C303,'TL10'!$J$238:$J$451),0),
IF('TL11'!$B$3=Q$3,SUMIF('TL11'!$C$10:$C$224,$C303,'TL11'!$J$10:$J$224),0),
IF('TL11'!$B$229=Q$3,SUMIF('TL11'!$C$238:$C$451,$C303,'TL11'!$J$238:$J$451),0),
IF('TL12'!$B$3=Q$3,SUMIF('TL12'!$C$10:$C$224,$C303,'TL12'!$J$10:$J$224),0),
IF('TL12'!$B$229=Q$3,SUMIF('TL12'!$C$238:$C$451,$C303,'TL12'!$J$238:$J$451),0),
IF('TL13'!$B$3=Q$3,SUMIF('TL13'!$C$10:$C$224,$C303,'TL13'!$J$10:$J$224),0),
IF('TL13'!$B$229=Q$3,SUMIF('TL13'!$C$238:$C$451,$C303,'TL13'!$J$238:$J$451),0),
IF('TL14'!$B$3=Q$3,SUMIF('TL14'!$C$10:$C$224,$C303,'TL14'!$J$10:$J$224),0),
IF('TL14'!$B$229=Q$3,SUMIF('TL14'!$C$238:$C$451,$C303,'TL14'!$J$238:$J$451),0),
IF('TL15'!$B$3=Q$3,SUMIF('TL15'!$C$10:$C$224,$C303,'TL15'!$J$10:$J$224),0),
IF('TL15'!$B$229=Q$3,SUMIF('TL15'!$C$238:$C$451,$C303,'TL15'!$J$238:$J$451),0),
IF('TL16'!$B$3=Q$3,SUMIF('TL16'!$C$10:$C$224,$C303,'TL16'!$J$10:$J$224),0),
IF('TL16'!$B$229=Q$3,SUMIF('TL16'!$C$238:$C$451,$C303,'TL16'!$J$238:$J$451),0),
IF('TL17'!$B$3=Q$3,SUMIF('TL17'!$C$10:$C$224,$C303,'TL17'!$J$10:$J$224),0),
IF('TL17'!$B$229=Q$3,SUMIF('TL17'!$C$238:$C$451,$C303,'TL17'!$J$238:$J$451),0),
IF('TL18'!$B$3=Q$3,SUMIF('TL18'!$C$10:$C$224,$C303,'TL18'!$J$10:$J$224),0),
IF('TL18'!$B$229=Q$3,SUMIF('TL18'!$C$238:$C$451,$C303,'TL18'!$J$238:$J$451),0),
IF('TL19'!$B$3=Q$3,SUMIF('TL19'!$C$10:$C$224,$C303,'TL19'!$J$10:$J$224),0),
IF('TL19'!$B$229=Q$3,SUMIF('TL19'!$C$238:$C$451,$C303,'TL19'!$J$238:$J$451),0)
),0)</f>
        <v>0</v>
      </c>
      <c r="R303" s="9">
        <f>IFERROR(
SUM(
SUMIF('TL01'!C:C,C303,'TL01'!J:J),
SUMIF('TL02'!C:C,C303,'TL02'!J:J),
SUMIF('TL03'!C:C,C303,'TL03'!J:J),
SUMIF('TL04'!C:C,C303,'TL04'!J:J),
SUMIF('TL05'!C:C,C303,'TL05'!J:J),
SUMIF('TL06'!C:C,C303,'TL06'!J:J),
SUMIF('TL07'!C:C,C303,'TL07'!J:J),
SUMIF('TL08'!C:C,C303,'TL08'!J:J),
SUMIF('TL09'!C:C,C303,'TL09'!J:J),
SUMIF('TL10'!C:C,C303,'TL10'!J:J),
SUMIF('TL11'!C:C,C303,'TL11'!J:J),
SUMIF('TL12'!C:C,C303,'TL12'!J:J),
SUMIF('TL13'!C:C,C303,'TL13'!J:J),
SUMIF('TL14'!C:C,C303,'TL14'!J:J),
SUMIF('TL15'!C:C,C303,'TL15'!J:J),
SUMIF('TL16'!C:C,C303,'TL16'!J:J),
SUMIF('TL17'!C:C,C303,'TL17'!J:J),
SUMIF('TL18'!C:C,C303,'TL18'!J:J),SUMIF('TL19'!C:C,C303,'TL19'!J:J))
,0)</f>
        <v>0</v>
      </c>
      <c r="S303" s="17">
        <f>IFERROR(__xludf.DUMMYFUNCTION("IFERROR(VLOOKUP(C303,
IMPORTRANGE(""1wULbzX32WdYsx-lj2U3uUNBBe2INVIRDtcK0d-Dvl90"",
""26-27!C:G""),
5,
FALSE),
"""")"),505.4)</f>
        <v>505.4</v>
      </c>
      <c r="T303" s="9"/>
      <c r="U303" s="92">
        <f t="shared" si="2"/>
        <v>0</v>
      </c>
      <c r="V303" s="93">
        <f t="shared" si="3"/>
        <v>0</v>
      </c>
    </row>
    <row r="304" ht="15.75" hidden="1" customHeight="1">
      <c r="A304" s="119" t="s">
        <v>358</v>
      </c>
      <c r="B304" s="120" t="s">
        <v>3</v>
      </c>
      <c r="C304" s="119" t="s">
        <v>1025</v>
      </c>
      <c r="D304" s="119" t="s">
        <v>814</v>
      </c>
      <c r="E304" s="119">
        <v>600.0</v>
      </c>
      <c r="F304" s="4" t="s">
        <v>343</v>
      </c>
      <c r="G304" s="90" t="str">
        <f t="shared" si="5"/>
        <v>📄 Ver bula</v>
      </c>
      <c r="H304" s="9">
        <f>IFERROR(__xludf.DUMMYFUNCTION("IFERROR(VLOOKUP(C304,
IMPORTRANGE(""1wULbzX32WdYsx-lj2U3uUNBBe2INVIRDtcK0d-Dvl90"",
""26-27!C:K""),
8,
FALSE),
"""")"),0.05)</f>
        <v>0.05</v>
      </c>
      <c r="I304" s="121"/>
      <c r="J304" s="9">
        <f>IFERROR(SUM(
IF('TL01'!$B$3=J$3,SUMIF('TL01'!$C$10:$C$224,$C304,'TL01'!$J$10:$J$224),0),
IF('TL01'!$B$229=J$3,SUMIF('TL01'!$C$238:$C$451,$C304,'TL01'!$J$238:$J$451),0),
IF('TL02'!$B$3=J$3,SUMIF('TL02'!$C$10:$C$224,$C304,'TL02'!$J$10:$J$224),0),
IF('TL02'!$B$229=J$3,SUMIF('TL02'!$C$238:$C$451,$C304,'TL02'!$J$238:$J$451),0),
IF('TL03'!$B$3=J$3,SUMIF('TL03'!$C$10:$C$224,$C304,'TL03'!$J$10:$J$224),0),
IF('TL03'!$B$229=J$3,SUMIF('TL03'!$C$238:$C$451,$C304,'TL03'!$J$238:$J$451),0),
IF('TL04'!$B$3=J$3,SUMIF('TL04'!$C$10:$C$224,$C304,'TL04'!$J$10:$J$224),0),
IF('TL04'!$B$229=J$3,SUMIF('TL04'!$C$238:$C$451,$C304,'TL04'!$J$238:$J$451),0),
IF('TL05'!$B$3=J$3,SUMIF('TL05'!$C$10:$C$224,$C304,'TL05'!$J$10:$J$224),0),
IF('TL05'!$B$229=J$3,SUMIF('TL05'!$C$238:$C$451,$C304,'TL05'!$J$238:$J$451),0),
IF('TL06'!$B$3=J$3,SUMIF('TL06'!$C$10:$C$224,$C304,'TL06'!$J$10:$J$224),0),
IF('TL06'!$B$229=J$3,SUMIF('TL06'!$C$238:$C$451,$C304,'TL06'!$J$238:$J$451),0),
IF('TL07'!$B$3=J$3,SUMIF('TL07'!$C$10:$C$224,$C304,'TL07'!$J$10:$J$224),0),
IF('TL07'!$B$229=J$3,SUMIF('TL07'!$C$238:$C$451,$C304,'TL07'!$J$238:$J$451),0),
IF('TL08'!$B$3=J$3,SUMIF('TL08'!$C$10:$C$224,$C304,'TL08'!$J$10:$J$224),0),
IF('TL08'!$B$229=J$3,SUMIF('TL08'!$C$238:$C$451,$C304,'TL08'!$J$238:$J$451),0),
IF('TL09'!$B$3=J$3,SUMIF('TL09'!$C$10:$C$224,$C304,'TL09'!$J$10:$J$224),0),
IF('TL09'!$B$229=J$3,SUMIF('TL09'!$C$238:$C$451,$C304,'TL09'!$J$238:$J$451),0),
IF('TL10'!$B$3=J$3,SUMIF('TL10'!$C$10:$C$224,$C304,'TL10'!$J$10:$J$224),0),
IF('TL10'!$B$229=J$3,SUMIF('TL10'!$C$238:$C$451,$C304,'TL10'!$J$238:$J$451),0),
IF('TL11'!$B$3=J$3,SUMIF('TL11'!$C$10:$C$224,$C304,'TL11'!$J$10:$J$224),0),
IF('TL11'!$B$229=J$3,SUMIF('TL11'!$C$238:$C$451,$C304,'TL11'!$J$238:$J$451),0),
IF('TL12'!$B$3=J$3,SUMIF('TL12'!$C$10:$C$224,$C304,'TL12'!$J$10:$J$224),0),
IF('TL12'!$B$229=J$3,SUMIF('TL12'!$C$238:$C$451,$C304,'TL12'!$J$238:$J$451),0),
IF('TL13'!$B$3=J$3,SUMIF('TL13'!$C$10:$C$224,$C304,'TL13'!$J$10:$J$224),0),
IF('TL13'!$B$229=J$3,SUMIF('TL13'!$C$238:$C$451,$C304,'TL13'!$J$238:$J$451),0),
IF('TL14'!$B$3=J$3,SUMIF('TL14'!$C$10:$C$224,$C304,'TL14'!$J$10:$J$224),0),
IF('TL14'!$B$229=J$3,SUMIF('TL14'!$C$238:$C$451,$C304,'TL14'!$J$238:$J$451),0),
IF('TL15'!$B$3=J$3,SUMIF('TL15'!$C$10:$C$224,$C304,'TL15'!$J$10:$J$224),0),
IF('TL15'!$B$229=J$3,SUMIF('TL15'!$C$238:$C$451,$C304,'TL15'!$J$238:$J$451),0),
IF('TL16'!$B$3=J$3,SUMIF('TL16'!$C$10:$C$224,$C304,'TL16'!$J$10:$J$224),0),
IF('TL16'!$B$229=J$3,SUMIF('TL16'!$C$238:$C$451,$C304,'TL16'!$J$238:$J$451),0),
IF('TL17'!$B$3=J$3,SUMIF('TL17'!$C$10:$C$224,$C304,'TL17'!$J$10:$J$224),0),
IF('TL17'!$B$229=J$3,SUMIF('TL17'!$C$238:$C$451,$C304,'TL17'!$J$238:$J$451),0),
IF('TL18'!$B$3=J$3,SUMIF('TL18'!$C$10:$C$224,$C304,'TL18'!$J$10:$J$224),0),
IF('TL18'!$B$229=J$3,SUMIF('TL18'!$C$238:$C$451,$C304,'TL18'!$J$238:$J$451),0),
IF('TL19'!$B$3=J$3,SUMIF('TL19'!$C$10:$C$224,$C304,'TL19'!$J$10:$J$224),0),
IF('TL19'!$B$229=J$3,SUMIF('TL19'!$C$238:$C$451,$C304,'TL19'!$J$238:$J$451),0)
),0)</f>
        <v>0</v>
      </c>
      <c r="K304" s="9">
        <f>IFERROR(SUM(
IF('TL01'!$B$3=K$3,SUMIF('TL01'!$C$10:$C$224,$C304,'TL01'!$J$10:$J$224),0),
IF('TL01'!$B$229=K$3,SUMIF('TL01'!$C$238:$C$451,$C304,'TL01'!$J$238:$J$451),0),
IF('TL02'!$B$3=K$3,SUMIF('TL02'!$C$10:$C$224,$C304,'TL02'!$J$10:$J$224),0),
IF('TL02'!$B$229=K$3,SUMIF('TL02'!$C$238:$C$451,$C304,'TL02'!$J$238:$J$451),0),
IF('TL03'!$B$3=K$3,SUMIF('TL03'!$C$10:$C$224,$C304,'TL03'!$J$10:$J$224),0),
IF('TL03'!$B$229=K$3,SUMIF('TL03'!$C$238:$C$451,$C304,'TL03'!$J$238:$J$451),0),
IF('TL04'!$B$3=K$3,SUMIF('TL04'!$C$10:$C$224,$C304,'TL04'!$J$10:$J$224),0),
IF('TL04'!$B$229=K$3,SUMIF('TL04'!$C$238:$C$451,$C304,'TL04'!$J$238:$J$451),0),
IF('TL05'!$B$3=K$3,SUMIF('TL05'!$C$10:$C$224,$C304,'TL05'!$J$10:$J$224),0),
IF('TL05'!$B$229=K$3,SUMIF('TL05'!$C$238:$C$451,$C304,'TL05'!$J$238:$J$451),0),
IF('TL06'!$B$3=K$3,SUMIF('TL06'!$C$10:$C$224,$C304,'TL06'!$J$10:$J$224),0),
IF('TL06'!$B$229=K$3,SUMIF('TL06'!$C$238:$C$451,$C304,'TL06'!$J$238:$J$451),0),
IF('TL07'!$B$3=K$3,SUMIF('TL07'!$C$10:$C$224,$C304,'TL07'!$J$10:$J$224),0),
IF('TL07'!$B$229=K$3,SUMIF('TL07'!$C$238:$C$451,$C304,'TL07'!$J$238:$J$451),0),
IF('TL08'!$B$3=K$3,SUMIF('TL08'!$C$10:$C$224,$C304,'TL08'!$J$10:$J$224),0),
IF('TL08'!$B$229=K$3,SUMIF('TL08'!$C$238:$C$451,$C304,'TL08'!$J$238:$J$451),0),
IF('TL09'!$B$3=K$3,SUMIF('TL09'!$C$10:$C$224,$C304,'TL09'!$J$10:$J$224),0),
IF('TL09'!$B$229=K$3,SUMIF('TL09'!$C$238:$C$451,$C304,'TL09'!$J$238:$J$451),0),
IF('TL10'!$B$3=K$3,SUMIF('TL10'!$C$10:$C$224,$C304,'TL10'!$J$10:$J$224),0),
IF('TL10'!$B$229=K$3,SUMIF('TL10'!$C$238:$C$451,$C304,'TL10'!$J$238:$J$451),0),
IF('TL11'!$B$3=K$3,SUMIF('TL11'!$C$10:$C$224,$C304,'TL11'!$J$10:$J$224),0),
IF('TL11'!$B$229=K$3,SUMIF('TL11'!$C$238:$C$451,$C304,'TL11'!$J$238:$J$451),0),
IF('TL12'!$B$3=K$3,SUMIF('TL12'!$C$10:$C$224,$C304,'TL12'!$J$10:$J$224),0),
IF('TL12'!$B$229=K$3,SUMIF('TL12'!$C$238:$C$451,$C304,'TL12'!$J$238:$J$451),0),
IF('TL13'!$B$3=K$3,SUMIF('TL13'!$C$10:$C$224,$C304,'TL13'!$J$10:$J$224),0),
IF('TL13'!$B$229=K$3,SUMIF('TL13'!$C$238:$C$451,$C304,'TL13'!$J$238:$J$451),0),
IF('TL14'!$B$3=K$3,SUMIF('TL14'!$C$10:$C$224,$C304,'TL14'!$J$10:$J$224),0),
IF('TL14'!$B$229=K$3,SUMIF('TL14'!$C$238:$C$451,$C304,'TL14'!$J$238:$J$451),0),
IF('TL15'!$B$3=K$3,SUMIF('TL15'!$C$10:$C$224,$C304,'TL15'!$J$10:$J$224),0),
IF('TL15'!$B$229=K$3,SUMIF('TL15'!$C$238:$C$451,$C304,'TL15'!$J$238:$J$451),0),
IF('TL16'!$B$3=K$3,SUMIF('TL16'!$C$10:$C$224,$C304,'TL16'!$J$10:$J$224),0),
IF('TL16'!$B$229=K$3,SUMIF('TL16'!$C$238:$C$451,$C304,'TL16'!$J$238:$J$451),0),
IF('TL17'!$B$3=K$3,SUMIF('TL17'!$C$10:$C$224,$C304,'TL17'!$J$10:$J$224),0),
IF('TL17'!$B$229=K$3,SUMIF('TL17'!$C$238:$C$451,$C304,'TL17'!$J$238:$J$451),0),
IF('TL18'!$B$3=K$3,SUMIF('TL18'!$C$10:$C$224,$C304,'TL18'!$J$10:$J$224),0),
IF('TL18'!$B$229=K$3,SUMIF('TL18'!$C$238:$C$451,$C304,'TL18'!$J$238:$J$451),0),
IF('TL19'!$B$3=K$3,SUMIF('TL19'!$C$10:$C$224,$C304,'TL19'!$J$10:$J$224),0),
IF('TL19'!$B$229=K$3,SUMIF('TL19'!$C$238:$C$451,$C304,'TL19'!$J$238:$J$451),0)
),0)</f>
        <v>0</v>
      </c>
      <c r="L304" s="9">
        <f>IFERROR(SUM(
IF('TL01'!$B$3=L$3,SUMIF('TL01'!$C$10:$C$224,$C304,'TL01'!$J$10:$J$224),0),
IF('TL01'!$B$229=L$3,SUMIF('TL01'!$C$238:$C$451,$C304,'TL01'!$J$238:$J$451),0),
IF('TL02'!$B$3=L$3,SUMIF('TL02'!$C$10:$C$224,$C304,'TL02'!$J$10:$J$224),0),
IF('TL02'!$B$229=L$3,SUMIF('TL02'!$C$238:$C$451,$C304,'TL02'!$J$238:$J$451),0),
IF('TL03'!$B$3=L$3,SUMIF('TL03'!$C$10:$C$224,$C304,'TL03'!$J$10:$J$224),0),
IF('TL03'!$B$229=L$3,SUMIF('TL03'!$C$238:$C$451,$C304,'TL03'!$J$238:$J$451),0),
IF('TL04'!$B$3=L$3,SUMIF('TL04'!$C$10:$C$224,$C304,'TL04'!$J$10:$J$224),0),
IF('TL04'!$B$229=L$3,SUMIF('TL04'!$C$238:$C$451,$C304,'TL04'!$J$238:$J$451),0),
IF('TL05'!$B$3=L$3,SUMIF('TL05'!$C$10:$C$224,$C304,'TL05'!$J$10:$J$224),0),
IF('TL05'!$B$229=L$3,SUMIF('TL05'!$C$238:$C$451,$C304,'TL05'!$J$238:$J$451),0),
IF('TL06'!$B$3=L$3,SUMIF('TL06'!$C$10:$C$224,$C304,'TL06'!$J$10:$J$224),0),
IF('TL06'!$B$229=L$3,SUMIF('TL06'!$C$238:$C$451,$C304,'TL06'!$J$238:$J$451),0),
IF('TL07'!$B$3=L$3,SUMIF('TL07'!$C$10:$C$224,$C304,'TL07'!$J$10:$J$224),0),
IF('TL07'!$B$229=L$3,SUMIF('TL07'!$C$238:$C$451,$C304,'TL07'!$J$238:$J$451),0),
IF('TL08'!$B$3=L$3,SUMIF('TL08'!$C$10:$C$224,$C304,'TL08'!$J$10:$J$224),0),
IF('TL08'!$B$229=L$3,SUMIF('TL08'!$C$238:$C$451,$C304,'TL08'!$J$238:$J$451),0),
IF('TL09'!$B$3=L$3,SUMIF('TL09'!$C$10:$C$224,$C304,'TL09'!$J$10:$J$224),0),
IF('TL09'!$B$229=L$3,SUMIF('TL09'!$C$238:$C$451,$C304,'TL09'!$J$238:$J$451),0),
IF('TL10'!$B$3=L$3,SUMIF('TL10'!$C$10:$C$224,$C304,'TL10'!$J$10:$J$224),0),
IF('TL10'!$B$229=L$3,SUMIF('TL10'!$C$238:$C$451,$C304,'TL10'!$J$238:$J$451),0),
IF('TL11'!$B$3=L$3,SUMIF('TL11'!$C$10:$C$224,$C304,'TL11'!$J$10:$J$224),0),
IF('TL11'!$B$229=L$3,SUMIF('TL11'!$C$238:$C$451,$C304,'TL11'!$J$238:$J$451),0),
IF('TL12'!$B$3=L$3,SUMIF('TL12'!$C$10:$C$224,$C304,'TL12'!$J$10:$J$224),0),
IF('TL12'!$B$229=L$3,SUMIF('TL12'!$C$238:$C$451,$C304,'TL12'!$J$238:$J$451),0),
IF('TL13'!$B$3=L$3,SUMIF('TL13'!$C$10:$C$224,$C304,'TL13'!$J$10:$J$224),0),
IF('TL13'!$B$229=L$3,SUMIF('TL13'!$C$238:$C$451,$C304,'TL13'!$J$238:$J$451),0),
IF('TL14'!$B$3=L$3,SUMIF('TL14'!$C$10:$C$224,$C304,'TL14'!$J$10:$J$224),0),
IF('TL14'!$B$229=L$3,SUMIF('TL14'!$C$238:$C$451,$C304,'TL14'!$J$238:$J$451),0),
IF('TL15'!$B$3=L$3,SUMIF('TL15'!$C$10:$C$224,$C304,'TL15'!$J$10:$J$224),0),
IF('TL15'!$B$229=L$3,SUMIF('TL15'!$C$238:$C$451,$C304,'TL15'!$J$238:$J$451),0),
IF('TL16'!$B$3=L$3,SUMIF('TL16'!$C$10:$C$224,$C304,'TL16'!$J$10:$J$224),0),
IF('TL16'!$B$229=L$3,SUMIF('TL16'!$C$238:$C$451,$C304,'TL16'!$J$238:$J$451),0),
IF('TL17'!$B$3=L$3,SUMIF('TL17'!$C$10:$C$224,$C304,'TL17'!$J$10:$J$224),0),
IF('TL17'!$B$229=L$3,SUMIF('TL17'!$C$238:$C$451,$C304,'TL17'!$J$238:$J$451),0),
IF('TL18'!$B$3=L$3,SUMIF('TL18'!$C$10:$C$224,$C304,'TL18'!$J$10:$J$224),0),
IF('TL18'!$B$229=L$3,SUMIF('TL18'!$C$238:$C$451,$C304,'TL18'!$J$238:$J$451),0),
IF('TL19'!$B$3=L$3,SUMIF('TL19'!$C$10:$C$224,$C304,'TL19'!$J$10:$J$224),0),
IF('TL19'!$B$229=L$3,SUMIF('TL19'!$C$238:$C$451,$C304,'TL19'!$J$238:$J$451),0)
),0)</f>
        <v>0</v>
      </c>
      <c r="M304" s="9">
        <f>IFERROR(SUM(
IF('TL01'!$B$3=M$3,SUMIF('TL01'!$C$10:$C$224,$C304,'TL01'!$J$10:$J$224),0),
IF('TL01'!$B$229=M$3,SUMIF('TL01'!$C$238:$C$451,$C304,'TL01'!$J$238:$J$451),0),
IF('TL02'!$B$3=M$3,SUMIF('TL02'!$C$10:$C$224,$C304,'TL02'!$J$10:$J$224),0),
IF('TL02'!$B$229=M$3,SUMIF('TL02'!$C$238:$C$451,$C304,'TL02'!$J$238:$J$451),0),
IF('TL03'!$B$3=M$3,SUMIF('TL03'!$C$10:$C$224,$C304,'TL03'!$J$10:$J$224),0),
IF('TL03'!$B$229=M$3,SUMIF('TL03'!$C$238:$C$451,$C304,'TL03'!$J$238:$J$451),0),
IF('TL04'!$B$3=M$3,SUMIF('TL04'!$C$10:$C$224,$C304,'TL04'!$J$10:$J$224),0),
IF('TL04'!$B$229=M$3,SUMIF('TL04'!$C$238:$C$451,$C304,'TL04'!$J$238:$J$451),0),
IF('TL05'!$B$3=M$3,SUMIF('TL05'!$C$10:$C$224,$C304,'TL05'!$J$10:$J$224),0),
IF('TL05'!$B$229=M$3,SUMIF('TL05'!$C$238:$C$451,$C304,'TL05'!$J$238:$J$451),0),
IF('TL06'!$B$3=M$3,SUMIF('TL06'!$C$10:$C$224,$C304,'TL06'!$J$10:$J$224),0),
IF('TL06'!$B$229=M$3,SUMIF('TL06'!$C$238:$C$451,$C304,'TL06'!$J$238:$J$451),0),
IF('TL07'!$B$3=M$3,SUMIF('TL07'!$C$10:$C$224,$C304,'TL07'!$J$10:$J$224),0),
IF('TL07'!$B$229=M$3,SUMIF('TL07'!$C$238:$C$451,$C304,'TL07'!$J$238:$J$451),0),
IF('TL08'!$B$3=M$3,SUMIF('TL08'!$C$10:$C$224,$C304,'TL08'!$J$10:$J$224),0),
IF('TL08'!$B$229=M$3,SUMIF('TL08'!$C$238:$C$451,$C304,'TL08'!$J$238:$J$451),0),
IF('TL09'!$B$3=M$3,SUMIF('TL09'!$C$10:$C$224,$C304,'TL09'!$J$10:$J$224),0),
IF('TL09'!$B$229=M$3,SUMIF('TL09'!$C$238:$C$451,$C304,'TL09'!$J$238:$J$451),0),
IF('TL10'!$B$3=M$3,SUMIF('TL10'!$C$10:$C$224,$C304,'TL10'!$J$10:$J$224),0),
IF('TL10'!$B$229=M$3,SUMIF('TL10'!$C$238:$C$451,$C304,'TL10'!$J$238:$J$451),0),
IF('TL11'!$B$3=M$3,SUMIF('TL11'!$C$10:$C$224,$C304,'TL11'!$J$10:$J$224),0),
IF('TL11'!$B$229=M$3,SUMIF('TL11'!$C$238:$C$451,$C304,'TL11'!$J$238:$J$451),0),
IF('TL12'!$B$3=M$3,SUMIF('TL12'!$C$10:$C$224,$C304,'TL12'!$J$10:$J$224),0),
IF('TL12'!$B$229=M$3,SUMIF('TL12'!$C$238:$C$451,$C304,'TL12'!$J$238:$J$451),0),
IF('TL13'!$B$3=M$3,SUMIF('TL13'!$C$10:$C$224,$C304,'TL13'!$J$10:$J$224),0),
IF('TL13'!$B$229=M$3,SUMIF('TL13'!$C$238:$C$451,$C304,'TL13'!$J$238:$J$451),0),
IF('TL14'!$B$3=M$3,SUMIF('TL14'!$C$10:$C$224,$C304,'TL14'!$J$10:$J$224),0),
IF('TL14'!$B$229=M$3,SUMIF('TL14'!$C$238:$C$451,$C304,'TL14'!$J$238:$J$451),0),
IF('TL15'!$B$3=M$3,SUMIF('TL15'!$C$10:$C$224,$C304,'TL15'!$J$10:$J$224),0),
IF('TL15'!$B$229=M$3,SUMIF('TL15'!$C$238:$C$451,$C304,'TL15'!$J$238:$J$451),0),
IF('TL16'!$B$3=M$3,SUMIF('TL16'!$C$10:$C$224,$C304,'TL16'!$J$10:$J$224),0),
IF('TL16'!$B$229=M$3,SUMIF('TL16'!$C$238:$C$451,$C304,'TL16'!$J$238:$J$451),0),
IF('TL17'!$B$3=M$3,SUMIF('TL17'!$C$10:$C$224,$C304,'TL17'!$J$10:$J$224),0),
IF('TL17'!$B$229=M$3,SUMIF('TL17'!$C$238:$C$451,$C304,'TL17'!$J$238:$J$451),0),
IF('TL18'!$B$3=M$3,SUMIF('TL18'!$C$10:$C$224,$C304,'TL18'!$J$10:$J$224),0),
IF('TL18'!$B$229=M$3,SUMIF('TL18'!$C$238:$C$451,$C304,'TL18'!$J$238:$J$451),0),
IF('TL19'!$B$3=M$3,SUMIF('TL19'!$C$10:$C$224,$C304,'TL19'!$J$10:$J$224),0),
IF('TL19'!$B$229=M$3,SUMIF('TL19'!$C$238:$C$451,$C304,'TL19'!$J$238:$J$451),0)
),0)</f>
        <v>0</v>
      </c>
      <c r="N304" s="9">
        <f>IFERROR(SUM(
IF('TL01'!$B$3=N$3,SUMIF('TL01'!$C$10:$C$224,$C304,'TL01'!$J$10:$J$224),0),
IF('TL01'!$B$229=N$3,SUMIF('TL01'!$C$238:$C$451,$C304,'TL01'!$J$238:$J$451),0),
IF('TL02'!$B$3=N$3,SUMIF('TL02'!$C$10:$C$224,$C304,'TL02'!$J$10:$J$224),0),
IF('TL02'!$B$229=N$3,SUMIF('TL02'!$C$238:$C$451,$C304,'TL02'!$J$238:$J$451),0),
IF('TL03'!$B$3=N$3,SUMIF('TL03'!$C$10:$C$224,$C304,'TL03'!$J$10:$J$224),0),
IF('TL03'!$B$229=N$3,SUMIF('TL03'!$C$238:$C$451,$C304,'TL03'!$J$238:$J$451),0),
IF('TL04'!$B$3=N$3,SUMIF('TL04'!$C$10:$C$224,$C304,'TL04'!$J$10:$J$224),0),
IF('TL04'!$B$229=N$3,SUMIF('TL04'!$C$238:$C$451,$C304,'TL04'!$J$238:$J$451),0),
IF('TL05'!$B$3=N$3,SUMIF('TL05'!$C$10:$C$224,$C304,'TL05'!$J$10:$J$224),0),
IF('TL05'!$B$229=N$3,SUMIF('TL05'!$C$238:$C$451,$C304,'TL05'!$J$238:$J$451),0),
IF('TL06'!$B$3=N$3,SUMIF('TL06'!$C$10:$C$224,$C304,'TL06'!$J$10:$J$224),0),
IF('TL06'!$B$229=N$3,SUMIF('TL06'!$C$238:$C$451,$C304,'TL06'!$J$238:$J$451),0),
IF('TL07'!$B$3=N$3,SUMIF('TL07'!$C$10:$C$224,$C304,'TL07'!$J$10:$J$224),0),
IF('TL07'!$B$229=N$3,SUMIF('TL07'!$C$238:$C$451,$C304,'TL07'!$J$238:$J$451),0),
IF('TL08'!$B$3=N$3,SUMIF('TL08'!$C$10:$C$224,$C304,'TL08'!$J$10:$J$224),0),
IF('TL08'!$B$229=N$3,SUMIF('TL08'!$C$238:$C$451,$C304,'TL08'!$J$238:$J$451),0),
IF('TL09'!$B$3=N$3,SUMIF('TL09'!$C$10:$C$224,$C304,'TL09'!$J$10:$J$224),0),
IF('TL09'!$B$229=N$3,SUMIF('TL09'!$C$238:$C$451,$C304,'TL09'!$J$238:$J$451),0),
IF('TL10'!$B$3=N$3,SUMIF('TL10'!$C$10:$C$224,$C304,'TL10'!$J$10:$J$224),0),
IF('TL10'!$B$229=N$3,SUMIF('TL10'!$C$238:$C$451,$C304,'TL10'!$J$238:$J$451),0),
IF('TL11'!$B$3=N$3,SUMIF('TL11'!$C$10:$C$224,$C304,'TL11'!$J$10:$J$224),0),
IF('TL11'!$B$229=N$3,SUMIF('TL11'!$C$238:$C$451,$C304,'TL11'!$J$238:$J$451),0),
IF('TL12'!$B$3=N$3,SUMIF('TL12'!$C$10:$C$224,$C304,'TL12'!$J$10:$J$224),0),
IF('TL12'!$B$229=N$3,SUMIF('TL12'!$C$238:$C$451,$C304,'TL12'!$J$238:$J$451),0),
IF('TL13'!$B$3=N$3,SUMIF('TL13'!$C$10:$C$224,$C304,'TL13'!$J$10:$J$224),0),
IF('TL13'!$B$229=N$3,SUMIF('TL13'!$C$238:$C$451,$C304,'TL13'!$J$238:$J$451),0),
IF('TL14'!$B$3=N$3,SUMIF('TL14'!$C$10:$C$224,$C304,'TL14'!$J$10:$J$224),0),
IF('TL14'!$B$229=N$3,SUMIF('TL14'!$C$238:$C$451,$C304,'TL14'!$J$238:$J$451),0),
IF('TL15'!$B$3=N$3,SUMIF('TL15'!$C$10:$C$224,$C304,'TL15'!$J$10:$J$224),0),
IF('TL15'!$B$229=N$3,SUMIF('TL15'!$C$238:$C$451,$C304,'TL15'!$J$238:$J$451),0),
IF('TL16'!$B$3=N$3,SUMIF('TL16'!$C$10:$C$224,$C304,'TL16'!$J$10:$J$224),0),
IF('TL16'!$B$229=N$3,SUMIF('TL16'!$C$238:$C$451,$C304,'TL16'!$J$238:$J$451),0),
IF('TL17'!$B$3=N$3,SUMIF('TL17'!$C$10:$C$224,$C304,'TL17'!$J$10:$J$224),0),
IF('TL17'!$B$229=N$3,SUMIF('TL17'!$C$238:$C$451,$C304,'TL17'!$J$238:$J$451),0),
IF('TL18'!$B$3=N$3,SUMIF('TL18'!$C$10:$C$224,$C304,'TL18'!$J$10:$J$224),0),
IF('TL18'!$B$229=N$3,SUMIF('TL18'!$C$238:$C$451,$C304,'TL18'!$J$238:$J$451),0),
IF('TL19'!$B$3=N$3,SUMIF('TL19'!$C$10:$C$224,$C304,'TL19'!$J$10:$J$224),0),
IF('TL19'!$B$229=N$3,SUMIF('TL19'!$C$238:$C$451,$C304,'TL19'!$J$238:$J$451),0)
),0)</f>
        <v>18.8</v>
      </c>
      <c r="O304" s="9">
        <f>IFERROR(SUM(
IF('TL01'!$B$3=O$3,SUMIF('TL01'!$C$10:$C$224,$C304,'TL01'!$J$10:$J$224),0),
IF('TL01'!$B$229=O$3,SUMIF('TL01'!$C$238:$C$451,$C304,'TL01'!$J$238:$J$451),0),
IF('TL02'!$B$3=O$3,SUMIF('TL02'!$C$10:$C$224,$C304,'TL02'!$J$10:$J$224),0),
IF('TL02'!$B$229=O$3,SUMIF('TL02'!$C$238:$C$451,$C304,'TL02'!$J$238:$J$451),0),
IF('TL03'!$B$3=O$3,SUMIF('TL03'!$C$10:$C$224,$C304,'TL03'!$J$10:$J$224),0),
IF('TL03'!$B$229=O$3,SUMIF('TL03'!$C$238:$C$451,$C304,'TL03'!$J$238:$J$451),0),
IF('TL04'!$B$3=O$3,SUMIF('TL04'!$C$10:$C$224,$C304,'TL04'!$J$10:$J$224),0),
IF('TL04'!$B$229=O$3,SUMIF('TL04'!$C$238:$C$451,$C304,'TL04'!$J$238:$J$451),0),
IF('TL05'!$B$3=O$3,SUMIF('TL05'!$C$10:$C$224,$C304,'TL05'!$J$10:$J$224),0),
IF('TL05'!$B$229=O$3,SUMIF('TL05'!$C$238:$C$451,$C304,'TL05'!$J$238:$J$451),0),
IF('TL06'!$B$3=O$3,SUMIF('TL06'!$C$10:$C$224,$C304,'TL06'!$J$10:$J$224),0),
IF('TL06'!$B$229=O$3,SUMIF('TL06'!$C$238:$C$451,$C304,'TL06'!$J$238:$J$451),0),
IF('TL07'!$B$3=O$3,SUMIF('TL07'!$C$10:$C$224,$C304,'TL07'!$J$10:$J$224),0),
IF('TL07'!$B$229=O$3,SUMIF('TL07'!$C$238:$C$451,$C304,'TL07'!$J$238:$J$451),0),
IF('TL08'!$B$3=O$3,SUMIF('TL08'!$C$10:$C$224,$C304,'TL08'!$J$10:$J$224),0),
IF('TL08'!$B$229=O$3,SUMIF('TL08'!$C$238:$C$451,$C304,'TL08'!$J$238:$J$451),0),
IF('TL09'!$B$3=O$3,SUMIF('TL09'!$C$10:$C$224,$C304,'TL09'!$J$10:$J$224),0),
IF('TL09'!$B$229=O$3,SUMIF('TL09'!$C$238:$C$451,$C304,'TL09'!$J$238:$J$451),0),
IF('TL10'!$B$3=O$3,SUMIF('TL10'!$C$10:$C$224,$C304,'TL10'!$J$10:$J$224),0),
IF('TL10'!$B$229=O$3,SUMIF('TL10'!$C$238:$C$451,$C304,'TL10'!$J$238:$J$451),0),
IF('TL11'!$B$3=O$3,SUMIF('TL11'!$C$10:$C$224,$C304,'TL11'!$J$10:$J$224),0),
IF('TL11'!$B$229=O$3,SUMIF('TL11'!$C$238:$C$451,$C304,'TL11'!$J$238:$J$451),0),
IF('TL12'!$B$3=O$3,SUMIF('TL12'!$C$10:$C$224,$C304,'TL12'!$J$10:$J$224),0),
IF('TL12'!$B$229=O$3,SUMIF('TL12'!$C$238:$C$451,$C304,'TL12'!$J$238:$J$451),0),
IF('TL13'!$B$3=O$3,SUMIF('TL13'!$C$10:$C$224,$C304,'TL13'!$J$10:$J$224),0),
IF('TL13'!$B$229=O$3,SUMIF('TL13'!$C$238:$C$451,$C304,'TL13'!$J$238:$J$451),0),
IF('TL14'!$B$3=O$3,SUMIF('TL14'!$C$10:$C$224,$C304,'TL14'!$J$10:$J$224),0),
IF('TL14'!$B$229=O$3,SUMIF('TL14'!$C$238:$C$451,$C304,'TL14'!$J$238:$J$451),0),
IF('TL15'!$B$3=O$3,SUMIF('TL15'!$C$10:$C$224,$C304,'TL15'!$J$10:$J$224),0),
IF('TL15'!$B$229=O$3,SUMIF('TL15'!$C$238:$C$451,$C304,'TL15'!$J$238:$J$451),0),
IF('TL16'!$B$3=O$3,SUMIF('TL16'!$C$10:$C$224,$C304,'TL16'!$J$10:$J$224),0),
IF('TL16'!$B$229=O$3,SUMIF('TL16'!$C$238:$C$451,$C304,'TL16'!$J$238:$J$451),0),
IF('TL17'!$B$3=O$3,SUMIF('TL17'!$C$10:$C$224,$C304,'TL17'!$J$10:$J$224),0),
IF('TL17'!$B$229=O$3,SUMIF('TL17'!$C$238:$C$451,$C304,'TL17'!$J$238:$J$451),0),
IF('TL18'!$B$3=O$3,SUMIF('TL18'!$C$10:$C$224,$C304,'TL18'!$J$10:$J$224),0),
IF('TL18'!$B$229=O$3,SUMIF('TL18'!$C$238:$C$451,$C304,'TL18'!$J$238:$J$451),0),
IF('TL19'!$B$3=O$3,SUMIF('TL19'!$C$10:$C$224,$C304,'TL19'!$J$10:$J$224),0),
IF('TL19'!$B$229=O$3,SUMIF('TL19'!$C$238:$C$451,$C304,'TL19'!$J$238:$J$451),0)
),0)</f>
        <v>0</v>
      </c>
      <c r="P304" s="9">
        <f>IFERROR(SUM(
IF('TL01'!$B$3=P$3,SUMIF('TL01'!$C$10:$C$224,$C304,'TL01'!$J$10:$J$224),0),
IF('TL01'!$B$229=P$3,SUMIF('TL01'!$C$238:$C$451,$C304,'TL01'!$J$238:$J$451),0),
IF('TL02'!$B$3=P$3,SUMIF('TL02'!$C$10:$C$224,$C304,'TL02'!$J$10:$J$224),0),
IF('TL02'!$B$229=P$3,SUMIF('TL02'!$C$238:$C$451,$C304,'TL02'!$J$238:$J$451),0),
IF('TL03'!$B$3=P$3,SUMIF('TL03'!$C$10:$C$224,$C304,'TL03'!$J$10:$J$224),0),
IF('TL03'!$B$229=P$3,SUMIF('TL03'!$C$238:$C$451,$C304,'TL03'!$J$238:$J$451),0),
IF('TL04'!$B$3=P$3,SUMIF('TL04'!$C$10:$C$224,$C304,'TL04'!$J$10:$J$224),0),
IF('TL04'!$B$229=P$3,SUMIF('TL04'!$C$238:$C$451,$C304,'TL04'!$J$238:$J$451),0),
IF('TL05'!$B$3=P$3,SUMIF('TL05'!$C$10:$C$224,$C304,'TL05'!$J$10:$J$224),0),
IF('TL05'!$B$229=P$3,SUMIF('TL05'!$C$238:$C$451,$C304,'TL05'!$J$238:$J$451),0),
IF('TL06'!$B$3=P$3,SUMIF('TL06'!$C$10:$C$224,$C304,'TL06'!$J$10:$J$224),0),
IF('TL06'!$B$229=P$3,SUMIF('TL06'!$C$238:$C$451,$C304,'TL06'!$J$238:$J$451),0),
IF('TL07'!$B$3=P$3,SUMIF('TL07'!$C$10:$C$224,$C304,'TL07'!$J$10:$J$224),0),
IF('TL07'!$B$229=P$3,SUMIF('TL07'!$C$238:$C$451,$C304,'TL07'!$J$238:$J$451),0),
IF('TL08'!$B$3=P$3,SUMIF('TL08'!$C$10:$C$224,$C304,'TL08'!$J$10:$J$224),0),
IF('TL08'!$B$229=P$3,SUMIF('TL08'!$C$238:$C$451,$C304,'TL08'!$J$238:$J$451),0),
IF('TL09'!$B$3=P$3,SUMIF('TL09'!$C$10:$C$224,$C304,'TL09'!$J$10:$J$224),0),
IF('TL09'!$B$229=P$3,SUMIF('TL09'!$C$238:$C$451,$C304,'TL09'!$J$238:$J$451),0),
IF('TL10'!$B$3=P$3,SUMIF('TL10'!$C$10:$C$224,$C304,'TL10'!$J$10:$J$224),0),
IF('TL10'!$B$229=P$3,SUMIF('TL10'!$C$238:$C$451,$C304,'TL10'!$J$238:$J$451),0),
IF('TL11'!$B$3=P$3,SUMIF('TL11'!$C$10:$C$224,$C304,'TL11'!$J$10:$J$224),0),
IF('TL11'!$B$229=P$3,SUMIF('TL11'!$C$238:$C$451,$C304,'TL11'!$J$238:$J$451),0),
IF('TL12'!$B$3=P$3,SUMIF('TL12'!$C$10:$C$224,$C304,'TL12'!$J$10:$J$224),0),
IF('TL12'!$B$229=P$3,SUMIF('TL12'!$C$238:$C$451,$C304,'TL12'!$J$238:$J$451),0),
IF('TL13'!$B$3=P$3,SUMIF('TL13'!$C$10:$C$224,$C304,'TL13'!$J$10:$J$224),0),
IF('TL13'!$B$229=P$3,SUMIF('TL13'!$C$238:$C$451,$C304,'TL13'!$J$238:$J$451),0),
IF('TL14'!$B$3=P$3,SUMIF('TL14'!$C$10:$C$224,$C304,'TL14'!$J$10:$J$224),0),
IF('TL14'!$B$229=P$3,SUMIF('TL14'!$C$238:$C$451,$C304,'TL14'!$J$238:$J$451),0),
IF('TL15'!$B$3=P$3,SUMIF('TL15'!$C$10:$C$224,$C304,'TL15'!$J$10:$J$224),0),
IF('TL15'!$B$229=P$3,SUMIF('TL15'!$C$238:$C$451,$C304,'TL15'!$J$238:$J$451),0),
IF('TL16'!$B$3=P$3,SUMIF('TL16'!$C$10:$C$224,$C304,'TL16'!$J$10:$J$224),0),
IF('TL16'!$B$229=P$3,SUMIF('TL16'!$C$238:$C$451,$C304,'TL16'!$J$238:$J$451),0),
IF('TL17'!$B$3=P$3,SUMIF('TL17'!$C$10:$C$224,$C304,'TL17'!$J$10:$J$224),0),
IF('TL17'!$B$229=P$3,SUMIF('TL17'!$C$238:$C$451,$C304,'TL17'!$J$238:$J$451),0),
IF('TL18'!$B$3=P$3,SUMIF('TL18'!$C$10:$C$224,$C304,'TL18'!$J$10:$J$224),0),
IF('TL18'!$B$229=P$3,SUMIF('TL18'!$C$238:$C$451,$C304,'TL18'!$J$238:$J$451),0),
IF('TL19'!$B$3=P$3,SUMIF('TL19'!$C$10:$C$224,$C304,'TL19'!$J$10:$J$224),0),
IF('TL19'!$B$229=P$3,SUMIF('TL19'!$C$238:$C$451,$C304,'TL19'!$J$238:$J$451),0)
),0)</f>
        <v>0</v>
      </c>
      <c r="Q304" s="9">
        <f>IFERROR(SUM(
IF('TL01'!$B$3=Q$3,SUMIF('TL01'!$C$10:$C$224,$C304,'TL01'!$J$10:$J$224),0),
IF('TL01'!$B$229=Q$3,SUMIF('TL01'!$C$238:$C$451,$C304,'TL01'!$J$238:$J$451),0),
IF('TL02'!$B$3=Q$3,SUMIF('TL02'!$C$10:$C$224,$C304,'TL02'!$J$10:$J$224),0),
IF('TL02'!$B$229=Q$3,SUMIF('TL02'!$C$238:$C$451,$C304,'TL02'!$J$238:$J$451),0),
IF('TL03'!$B$3=Q$3,SUMIF('TL03'!$C$10:$C$224,$C304,'TL03'!$J$10:$J$224),0),
IF('TL03'!$B$229=Q$3,SUMIF('TL03'!$C$238:$C$451,$C304,'TL03'!$J$238:$J$451),0),
IF('TL04'!$B$3=Q$3,SUMIF('TL04'!$C$10:$C$224,$C304,'TL04'!$J$10:$J$224),0),
IF('TL04'!$B$229=Q$3,SUMIF('TL04'!$C$238:$C$451,$C304,'TL04'!$J$238:$J$451),0),
IF('TL05'!$B$3=Q$3,SUMIF('TL05'!$C$10:$C$224,$C304,'TL05'!$J$10:$J$224),0),
IF('TL05'!$B$229=Q$3,SUMIF('TL05'!$C$238:$C$451,$C304,'TL05'!$J$238:$J$451),0),
IF('TL06'!$B$3=Q$3,SUMIF('TL06'!$C$10:$C$224,$C304,'TL06'!$J$10:$J$224),0),
IF('TL06'!$B$229=Q$3,SUMIF('TL06'!$C$238:$C$451,$C304,'TL06'!$J$238:$J$451),0),
IF('TL07'!$B$3=Q$3,SUMIF('TL07'!$C$10:$C$224,$C304,'TL07'!$J$10:$J$224),0),
IF('TL07'!$B$229=Q$3,SUMIF('TL07'!$C$238:$C$451,$C304,'TL07'!$J$238:$J$451),0),
IF('TL08'!$B$3=Q$3,SUMIF('TL08'!$C$10:$C$224,$C304,'TL08'!$J$10:$J$224),0),
IF('TL08'!$B$229=Q$3,SUMIF('TL08'!$C$238:$C$451,$C304,'TL08'!$J$238:$J$451),0),
IF('TL09'!$B$3=Q$3,SUMIF('TL09'!$C$10:$C$224,$C304,'TL09'!$J$10:$J$224),0),
IF('TL09'!$B$229=Q$3,SUMIF('TL09'!$C$238:$C$451,$C304,'TL09'!$J$238:$J$451),0),
IF('TL10'!$B$3=Q$3,SUMIF('TL10'!$C$10:$C$224,$C304,'TL10'!$J$10:$J$224),0),
IF('TL10'!$B$229=Q$3,SUMIF('TL10'!$C$238:$C$451,$C304,'TL10'!$J$238:$J$451),0),
IF('TL11'!$B$3=Q$3,SUMIF('TL11'!$C$10:$C$224,$C304,'TL11'!$J$10:$J$224),0),
IF('TL11'!$B$229=Q$3,SUMIF('TL11'!$C$238:$C$451,$C304,'TL11'!$J$238:$J$451),0),
IF('TL12'!$B$3=Q$3,SUMIF('TL12'!$C$10:$C$224,$C304,'TL12'!$J$10:$J$224),0),
IF('TL12'!$B$229=Q$3,SUMIF('TL12'!$C$238:$C$451,$C304,'TL12'!$J$238:$J$451),0),
IF('TL13'!$B$3=Q$3,SUMIF('TL13'!$C$10:$C$224,$C304,'TL13'!$J$10:$J$224),0),
IF('TL13'!$B$229=Q$3,SUMIF('TL13'!$C$238:$C$451,$C304,'TL13'!$J$238:$J$451),0),
IF('TL14'!$B$3=Q$3,SUMIF('TL14'!$C$10:$C$224,$C304,'TL14'!$J$10:$J$224),0),
IF('TL14'!$B$229=Q$3,SUMIF('TL14'!$C$238:$C$451,$C304,'TL14'!$J$238:$J$451),0),
IF('TL15'!$B$3=Q$3,SUMIF('TL15'!$C$10:$C$224,$C304,'TL15'!$J$10:$J$224),0),
IF('TL15'!$B$229=Q$3,SUMIF('TL15'!$C$238:$C$451,$C304,'TL15'!$J$238:$J$451),0),
IF('TL16'!$B$3=Q$3,SUMIF('TL16'!$C$10:$C$224,$C304,'TL16'!$J$10:$J$224),0),
IF('TL16'!$B$229=Q$3,SUMIF('TL16'!$C$238:$C$451,$C304,'TL16'!$J$238:$J$451),0),
IF('TL17'!$B$3=Q$3,SUMIF('TL17'!$C$10:$C$224,$C304,'TL17'!$J$10:$J$224),0),
IF('TL17'!$B$229=Q$3,SUMIF('TL17'!$C$238:$C$451,$C304,'TL17'!$J$238:$J$451),0),
IF('TL18'!$B$3=Q$3,SUMIF('TL18'!$C$10:$C$224,$C304,'TL18'!$J$10:$J$224),0),
IF('TL18'!$B$229=Q$3,SUMIF('TL18'!$C$238:$C$451,$C304,'TL18'!$J$238:$J$451),0),
IF('TL19'!$B$3=Q$3,SUMIF('TL19'!$C$10:$C$224,$C304,'TL19'!$J$10:$J$224),0),
IF('TL19'!$B$229=Q$3,SUMIF('TL19'!$C$238:$C$451,$C304,'TL19'!$J$238:$J$451),0)
),0)</f>
        <v>0</v>
      </c>
      <c r="R304" s="9">
        <f>IFERROR(
SUM(
SUMIF('TL01'!C:C,C304,'TL01'!J:J),
SUMIF('TL02'!C:C,C304,'TL02'!J:J),
SUMIF('TL03'!C:C,C304,'TL03'!J:J),
SUMIF('TL04'!C:C,C304,'TL04'!J:J),
SUMIF('TL05'!C:C,C304,'TL05'!J:J),
SUMIF('TL06'!C:C,C304,'TL06'!J:J),
SUMIF('TL07'!C:C,C304,'TL07'!J:J),
SUMIF('TL08'!C:C,C304,'TL08'!J:J),
SUMIF('TL09'!C:C,C304,'TL09'!J:J),
SUMIF('TL10'!C:C,C304,'TL10'!J:J),
SUMIF('TL11'!C:C,C304,'TL11'!J:J),
SUMIF('TL12'!C:C,C304,'TL12'!J:J),
SUMIF('TL13'!C:C,C304,'TL13'!J:J),
SUMIF('TL14'!C:C,C304,'TL14'!J:J),
SUMIF('TL15'!C:C,C304,'TL15'!J:J),
SUMIF('TL16'!C:C,C304,'TL16'!J:J),
SUMIF('TL17'!C:C,C304,'TL17'!J:J),
SUMIF('TL18'!C:C,C304,'TL18'!J:J),SUMIF('TL19'!C:C,C304,'TL19'!J:J))
,0)</f>
        <v>18.8</v>
      </c>
      <c r="S304" s="17">
        <f>IFERROR(__xludf.DUMMYFUNCTION("IFERROR(VLOOKUP(C304,
IMPORTRANGE(""1wULbzX32WdYsx-lj2U3uUNBBe2INVIRDtcK0d-Dvl90"",
""26-27!C:G""),
5,
FALSE),
"""")"),1088.2060000000001)</f>
        <v>1088.206</v>
      </c>
      <c r="T304" s="9"/>
      <c r="U304" s="92">
        <f t="shared" si="2"/>
        <v>18.8</v>
      </c>
      <c r="V304" s="93">
        <f t="shared" si="3"/>
        <v>20458.2728</v>
      </c>
    </row>
    <row r="305" ht="15.75" hidden="1" customHeight="1">
      <c r="A305" s="122" t="s">
        <v>345</v>
      </c>
      <c r="B305" s="124" t="s">
        <v>3</v>
      </c>
      <c r="C305" s="122" t="s">
        <v>1026</v>
      </c>
      <c r="D305" s="122" t="s">
        <v>463</v>
      </c>
      <c r="E305" s="122">
        <v>600.0</v>
      </c>
      <c r="F305" s="4" t="s">
        <v>343</v>
      </c>
      <c r="G305" s="90" t="str">
        <f t="shared" si="5"/>
        <v>📄 Ver bula</v>
      </c>
      <c r="H305" s="9" t="str">
        <f>IFERROR(__xludf.DUMMYFUNCTION("IFERROR(VLOOKUP(C305,
IMPORTRANGE(""1wULbzX32WdYsx-lj2U3uUNBBe2INVIRDtcK0d-Dvl90"",
""26-27!C:K""),
8,
FALSE),
"""")"),"")</f>
        <v/>
      </c>
      <c r="I305" s="123"/>
      <c r="J305" s="9">
        <f>IFERROR(SUM(
IF('TL01'!$B$3=J$3,SUMIF('TL01'!$C$10:$C$224,$C305,'TL01'!$J$10:$J$224),0),
IF('TL01'!$B$229=J$3,SUMIF('TL01'!$C$238:$C$451,$C305,'TL01'!$J$238:$J$451),0),
IF('TL02'!$B$3=J$3,SUMIF('TL02'!$C$10:$C$224,$C305,'TL02'!$J$10:$J$224),0),
IF('TL02'!$B$229=J$3,SUMIF('TL02'!$C$238:$C$451,$C305,'TL02'!$J$238:$J$451),0),
IF('TL03'!$B$3=J$3,SUMIF('TL03'!$C$10:$C$224,$C305,'TL03'!$J$10:$J$224),0),
IF('TL03'!$B$229=J$3,SUMIF('TL03'!$C$238:$C$451,$C305,'TL03'!$J$238:$J$451),0),
IF('TL04'!$B$3=J$3,SUMIF('TL04'!$C$10:$C$224,$C305,'TL04'!$J$10:$J$224),0),
IF('TL04'!$B$229=J$3,SUMIF('TL04'!$C$238:$C$451,$C305,'TL04'!$J$238:$J$451),0),
IF('TL05'!$B$3=J$3,SUMIF('TL05'!$C$10:$C$224,$C305,'TL05'!$J$10:$J$224),0),
IF('TL05'!$B$229=J$3,SUMIF('TL05'!$C$238:$C$451,$C305,'TL05'!$J$238:$J$451),0),
IF('TL06'!$B$3=J$3,SUMIF('TL06'!$C$10:$C$224,$C305,'TL06'!$J$10:$J$224),0),
IF('TL06'!$B$229=J$3,SUMIF('TL06'!$C$238:$C$451,$C305,'TL06'!$J$238:$J$451),0),
IF('TL07'!$B$3=J$3,SUMIF('TL07'!$C$10:$C$224,$C305,'TL07'!$J$10:$J$224),0),
IF('TL07'!$B$229=J$3,SUMIF('TL07'!$C$238:$C$451,$C305,'TL07'!$J$238:$J$451),0),
IF('TL08'!$B$3=J$3,SUMIF('TL08'!$C$10:$C$224,$C305,'TL08'!$J$10:$J$224),0),
IF('TL08'!$B$229=J$3,SUMIF('TL08'!$C$238:$C$451,$C305,'TL08'!$J$238:$J$451),0),
IF('TL09'!$B$3=J$3,SUMIF('TL09'!$C$10:$C$224,$C305,'TL09'!$J$10:$J$224),0),
IF('TL09'!$B$229=J$3,SUMIF('TL09'!$C$238:$C$451,$C305,'TL09'!$J$238:$J$451),0),
IF('TL10'!$B$3=J$3,SUMIF('TL10'!$C$10:$C$224,$C305,'TL10'!$J$10:$J$224),0),
IF('TL10'!$B$229=J$3,SUMIF('TL10'!$C$238:$C$451,$C305,'TL10'!$J$238:$J$451),0),
IF('TL11'!$B$3=J$3,SUMIF('TL11'!$C$10:$C$224,$C305,'TL11'!$J$10:$J$224),0),
IF('TL11'!$B$229=J$3,SUMIF('TL11'!$C$238:$C$451,$C305,'TL11'!$J$238:$J$451),0),
IF('TL12'!$B$3=J$3,SUMIF('TL12'!$C$10:$C$224,$C305,'TL12'!$J$10:$J$224),0),
IF('TL12'!$B$229=J$3,SUMIF('TL12'!$C$238:$C$451,$C305,'TL12'!$J$238:$J$451),0),
IF('TL13'!$B$3=J$3,SUMIF('TL13'!$C$10:$C$224,$C305,'TL13'!$J$10:$J$224),0),
IF('TL13'!$B$229=J$3,SUMIF('TL13'!$C$238:$C$451,$C305,'TL13'!$J$238:$J$451),0),
IF('TL14'!$B$3=J$3,SUMIF('TL14'!$C$10:$C$224,$C305,'TL14'!$J$10:$J$224),0),
IF('TL14'!$B$229=J$3,SUMIF('TL14'!$C$238:$C$451,$C305,'TL14'!$J$238:$J$451),0),
IF('TL15'!$B$3=J$3,SUMIF('TL15'!$C$10:$C$224,$C305,'TL15'!$J$10:$J$224),0),
IF('TL15'!$B$229=J$3,SUMIF('TL15'!$C$238:$C$451,$C305,'TL15'!$J$238:$J$451),0),
IF('TL16'!$B$3=J$3,SUMIF('TL16'!$C$10:$C$224,$C305,'TL16'!$J$10:$J$224),0),
IF('TL16'!$B$229=J$3,SUMIF('TL16'!$C$238:$C$451,$C305,'TL16'!$J$238:$J$451),0),
IF('TL17'!$B$3=J$3,SUMIF('TL17'!$C$10:$C$224,$C305,'TL17'!$J$10:$J$224),0),
IF('TL17'!$B$229=J$3,SUMIF('TL17'!$C$238:$C$451,$C305,'TL17'!$J$238:$J$451),0),
IF('TL18'!$B$3=J$3,SUMIF('TL18'!$C$10:$C$224,$C305,'TL18'!$J$10:$J$224),0),
IF('TL18'!$B$229=J$3,SUMIF('TL18'!$C$238:$C$451,$C305,'TL18'!$J$238:$J$451),0),
IF('TL19'!$B$3=J$3,SUMIF('TL19'!$C$10:$C$224,$C305,'TL19'!$J$10:$J$224),0),
IF('TL19'!$B$229=J$3,SUMIF('TL19'!$C$238:$C$451,$C305,'TL19'!$J$238:$J$451),0)
),0)</f>
        <v>0</v>
      </c>
      <c r="K305" s="9">
        <f>IFERROR(SUM(
IF('TL01'!$B$3=K$3,SUMIF('TL01'!$C$10:$C$224,$C305,'TL01'!$J$10:$J$224),0),
IF('TL01'!$B$229=K$3,SUMIF('TL01'!$C$238:$C$451,$C305,'TL01'!$J$238:$J$451),0),
IF('TL02'!$B$3=K$3,SUMIF('TL02'!$C$10:$C$224,$C305,'TL02'!$J$10:$J$224),0),
IF('TL02'!$B$229=K$3,SUMIF('TL02'!$C$238:$C$451,$C305,'TL02'!$J$238:$J$451),0),
IF('TL03'!$B$3=K$3,SUMIF('TL03'!$C$10:$C$224,$C305,'TL03'!$J$10:$J$224),0),
IF('TL03'!$B$229=K$3,SUMIF('TL03'!$C$238:$C$451,$C305,'TL03'!$J$238:$J$451),0),
IF('TL04'!$B$3=K$3,SUMIF('TL04'!$C$10:$C$224,$C305,'TL04'!$J$10:$J$224),0),
IF('TL04'!$B$229=K$3,SUMIF('TL04'!$C$238:$C$451,$C305,'TL04'!$J$238:$J$451),0),
IF('TL05'!$B$3=K$3,SUMIF('TL05'!$C$10:$C$224,$C305,'TL05'!$J$10:$J$224),0),
IF('TL05'!$B$229=K$3,SUMIF('TL05'!$C$238:$C$451,$C305,'TL05'!$J$238:$J$451),0),
IF('TL06'!$B$3=K$3,SUMIF('TL06'!$C$10:$C$224,$C305,'TL06'!$J$10:$J$224),0),
IF('TL06'!$B$229=K$3,SUMIF('TL06'!$C$238:$C$451,$C305,'TL06'!$J$238:$J$451),0),
IF('TL07'!$B$3=K$3,SUMIF('TL07'!$C$10:$C$224,$C305,'TL07'!$J$10:$J$224),0),
IF('TL07'!$B$229=K$3,SUMIF('TL07'!$C$238:$C$451,$C305,'TL07'!$J$238:$J$451),0),
IF('TL08'!$B$3=K$3,SUMIF('TL08'!$C$10:$C$224,$C305,'TL08'!$J$10:$J$224),0),
IF('TL08'!$B$229=K$3,SUMIF('TL08'!$C$238:$C$451,$C305,'TL08'!$J$238:$J$451),0),
IF('TL09'!$B$3=K$3,SUMIF('TL09'!$C$10:$C$224,$C305,'TL09'!$J$10:$J$224),0),
IF('TL09'!$B$229=K$3,SUMIF('TL09'!$C$238:$C$451,$C305,'TL09'!$J$238:$J$451),0),
IF('TL10'!$B$3=K$3,SUMIF('TL10'!$C$10:$C$224,$C305,'TL10'!$J$10:$J$224),0),
IF('TL10'!$B$229=K$3,SUMIF('TL10'!$C$238:$C$451,$C305,'TL10'!$J$238:$J$451),0),
IF('TL11'!$B$3=K$3,SUMIF('TL11'!$C$10:$C$224,$C305,'TL11'!$J$10:$J$224),0),
IF('TL11'!$B$229=K$3,SUMIF('TL11'!$C$238:$C$451,$C305,'TL11'!$J$238:$J$451),0),
IF('TL12'!$B$3=K$3,SUMIF('TL12'!$C$10:$C$224,$C305,'TL12'!$J$10:$J$224),0),
IF('TL12'!$B$229=K$3,SUMIF('TL12'!$C$238:$C$451,$C305,'TL12'!$J$238:$J$451),0),
IF('TL13'!$B$3=K$3,SUMIF('TL13'!$C$10:$C$224,$C305,'TL13'!$J$10:$J$224),0),
IF('TL13'!$B$229=K$3,SUMIF('TL13'!$C$238:$C$451,$C305,'TL13'!$J$238:$J$451),0),
IF('TL14'!$B$3=K$3,SUMIF('TL14'!$C$10:$C$224,$C305,'TL14'!$J$10:$J$224),0),
IF('TL14'!$B$229=K$3,SUMIF('TL14'!$C$238:$C$451,$C305,'TL14'!$J$238:$J$451),0),
IF('TL15'!$B$3=K$3,SUMIF('TL15'!$C$10:$C$224,$C305,'TL15'!$J$10:$J$224),0),
IF('TL15'!$B$229=K$3,SUMIF('TL15'!$C$238:$C$451,$C305,'TL15'!$J$238:$J$451),0),
IF('TL16'!$B$3=K$3,SUMIF('TL16'!$C$10:$C$224,$C305,'TL16'!$J$10:$J$224),0),
IF('TL16'!$B$229=K$3,SUMIF('TL16'!$C$238:$C$451,$C305,'TL16'!$J$238:$J$451),0),
IF('TL17'!$B$3=K$3,SUMIF('TL17'!$C$10:$C$224,$C305,'TL17'!$J$10:$J$224),0),
IF('TL17'!$B$229=K$3,SUMIF('TL17'!$C$238:$C$451,$C305,'TL17'!$J$238:$J$451),0),
IF('TL18'!$B$3=K$3,SUMIF('TL18'!$C$10:$C$224,$C305,'TL18'!$J$10:$J$224),0),
IF('TL18'!$B$229=K$3,SUMIF('TL18'!$C$238:$C$451,$C305,'TL18'!$J$238:$J$451),0),
IF('TL19'!$B$3=K$3,SUMIF('TL19'!$C$10:$C$224,$C305,'TL19'!$J$10:$J$224),0),
IF('TL19'!$B$229=K$3,SUMIF('TL19'!$C$238:$C$451,$C305,'TL19'!$J$238:$J$451),0)
),0)</f>
        <v>0</v>
      </c>
      <c r="L305" s="9">
        <f>IFERROR(SUM(
IF('TL01'!$B$3=L$3,SUMIF('TL01'!$C$10:$C$224,$C305,'TL01'!$J$10:$J$224),0),
IF('TL01'!$B$229=L$3,SUMIF('TL01'!$C$238:$C$451,$C305,'TL01'!$J$238:$J$451),0),
IF('TL02'!$B$3=L$3,SUMIF('TL02'!$C$10:$C$224,$C305,'TL02'!$J$10:$J$224),0),
IF('TL02'!$B$229=L$3,SUMIF('TL02'!$C$238:$C$451,$C305,'TL02'!$J$238:$J$451),0),
IF('TL03'!$B$3=L$3,SUMIF('TL03'!$C$10:$C$224,$C305,'TL03'!$J$10:$J$224),0),
IF('TL03'!$B$229=L$3,SUMIF('TL03'!$C$238:$C$451,$C305,'TL03'!$J$238:$J$451),0),
IF('TL04'!$B$3=L$3,SUMIF('TL04'!$C$10:$C$224,$C305,'TL04'!$J$10:$J$224),0),
IF('TL04'!$B$229=L$3,SUMIF('TL04'!$C$238:$C$451,$C305,'TL04'!$J$238:$J$451),0),
IF('TL05'!$B$3=L$3,SUMIF('TL05'!$C$10:$C$224,$C305,'TL05'!$J$10:$J$224),0),
IF('TL05'!$B$229=L$3,SUMIF('TL05'!$C$238:$C$451,$C305,'TL05'!$J$238:$J$451),0),
IF('TL06'!$B$3=L$3,SUMIF('TL06'!$C$10:$C$224,$C305,'TL06'!$J$10:$J$224),0),
IF('TL06'!$B$229=L$3,SUMIF('TL06'!$C$238:$C$451,$C305,'TL06'!$J$238:$J$451),0),
IF('TL07'!$B$3=L$3,SUMIF('TL07'!$C$10:$C$224,$C305,'TL07'!$J$10:$J$224),0),
IF('TL07'!$B$229=L$3,SUMIF('TL07'!$C$238:$C$451,$C305,'TL07'!$J$238:$J$451),0),
IF('TL08'!$B$3=L$3,SUMIF('TL08'!$C$10:$C$224,$C305,'TL08'!$J$10:$J$224),0),
IF('TL08'!$B$229=L$3,SUMIF('TL08'!$C$238:$C$451,$C305,'TL08'!$J$238:$J$451),0),
IF('TL09'!$B$3=L$3,SUMIF('TL09'!$C$10:$C$224,$C305,'TL09'!$J$10:$J$224),0),
IF('TL09'!$B$229=L$3,SUMIF('TL09'!$C$238:$C$451,$C305,'TL09'!$J$238:$J$451),0),
IF('TL10'!$B$3=L$3,SUMIF('TL10'!$C$10:$C$224,$C305,'TL10'!$J$10:$J$224),0),
IF('TL10'!$B$229=L$3,SUMIF('TL10'!$C$238:$C$451,$C305,'TL10'!$J$238:$J$451),0),
IF('TL11'!$B$3=L$3,SUMIF('TL11'!$C$10:$C$224,$C305,'TL11'!$J$10:$J$224),0),
IF('TL11'!$B$229=L$3,SUMIF('TL11'!$C$238:$C$451,$C305,'TL11'!$J$238:$J$451),0),
IF('TL12'!$B$3=L$3,SUMIF('TL12'!$C$10:$C$224,$C305,'TL12'!$J$10:$J$224),0),
IF('TL12'!$B$229=L$3,SUMIF('TL12'!$C$238:$C$451,$C305,'TL12'!$J$238:$J$451),0),
IF('TL13'!$B$3=L$3,SUMIF('TL13'!$C$10:$C$224,$C305,'TL13'!$J$10:$J$224),0),
IF('TL13'!$B$229=L$3,SUMIF('TL13'!$C$238:$C$451,$C305,'TL13'!$J$238:$J$451),0),
IF('TL14'!$B$3=L$3,SUMIF('TL14'!$C$10:$C$224,$C305,'TL14'!$J$10:$J$224),0),
IF('TL14'!$B$229=L$3,SUMIF('TL14'!$C$238:$C$451,$C305,'TL14'!$J$238:$J$451),0),
IF('TL15'!$B$3=L$3,SUMIF('TL15'!$C$10:$C$224,$C305,'TL15'!$J$10:$J$224),0),
IF('TL15'!$B$229=L$3,SUMIF('TL15'!$C$238:$C$451,$C305,'TL15'!$J$238:$J$451),0),
IF('TL16'!$B$3=L$3,SUMIF('TL16'!$C$10:$C$224,$C305,'TL16'!$J$10:$J$224),0),
IF('TL16'!$B$229=L$3,SUMIF('TL16'!$C$238:$C$451,$C305,'TL16'!$J$238:$J$451),0),
IF('TL17'!$B$3=L$3,SUMIF('TL17'!$C$10:$C$224,$C305,'TL17'!$J$10:$J$224),0),
IF('TL17'!$B$229=L$3,SUMIF('TL17'!$C$238:$C$451,$C305,'TL17'!$J$238:$J$451),0),
IF('TL18'!$B$3=L$3,SUMIF('TL18'!$C$10:$C$224,$C305,'TL18'!$J$10:$J$224),0),
IF('TL18'!$B$229=L$3,SUMIF('TL18'!$C$238:$C$451,$C305,'TL18'!$J$238:$J$451),0),
IF('TL19'!$B$3=L$3,SUMIF('TL19'!$C$10:$C$224,$C305,'TL19'!$J$10:$J$224),0),
IF('TL19'!$B$229=L$3,SUMIF('TL19'!$C$238:$C$451,$C305,'TL19'!$J$238:$J$451),0)
),0)</f>
        <v>0</v>
      </c>
      <c r="M305" s="9">
        <f>IFERROR(SUM(
IF('TL01'!$B$3=M$3,SUMIF('TL01'!$C$10:$C$224,$C305,'TL01'!$J$10:$J$224),0),
IF('TL01'!$B$229=M$3,SUMIF('TL01'!$C$238:$C$451,$C305,'TL01'!$J$238:$J$451),0),
IF('TL02'!$B$3=M$3,SUMIF('TL02'!$C$10:$C$224,$C305,'TL02'!$J$10:$J$224),0),
IF('TL02'!$B$229=M$3,SUMIF('TL02'!$C$238:$C$451,$C305,'TL02'!$J$238:$J$451),0),
IF('TL03'!$B$3=M$3,SUMIF('TL03'!$C$10:$C$224,$C305,'TL03'!$J$10:$J$224),0),
IF('TL03'!$B$229=M$3,SUMIF('TL03'!$C$238:$C$451,$C305,'TL03'!$J$238:$J$451),0),
IF('TL04'!$B$3=M$3,SUMIF('TL04'!$C$10:$C$224,$C305,'TL04'!$J$10:$J$224),0),
IF('TL04'!$B$229=M$3,SUMIF('TL04'!$C$238:$C$451,$C305,'TL04'!$J$238:$J$451),0),
IF('TL05'!$B$3=M$3,SUMIF('TL05'!$C$10:$C$224,$C305,'TL05'!$J$10:$J$224),0),
IF('TL05'!$B$229=M$3,SUMIF('TL05'!$C$238:$C$451,$C305,'TL05'!$J$238:$J$451),0),
IF('TL06'!$B$3=M$3,SUMIF('TL06'!$C$10:$C$224,$C305,'TL06'!$J$10:$J$224),0),
IF('TL06'!$B$229=M$3,SUMIF('TL06'!$C$238:$C$451,$C305,'TL06'!$J$238:$J$451),0),
IF('TL07'!$B$3=M$3,SUMIF('TL07'!$C$10:$C$224,$C305,'TL07'!$J$10:$J$224),0),
IF('TL07'!$B$229=M$3,SUMIF('TL07'!$C$238:$C$451,$C305,'TL07'!$J$238:$J$451),0),
IF('TL08'!$B$3=M$3,SUMIF('TL08'!$C$10:$C$224,$C305,'TL08'!$J$10:$J$224),0),
IF('TL08'!$B$229=M$3,SUMIF('TL08'!$C$238:$C$451,$C305,'TL08'!$J$238:$J$451),0),
IF('TL09'!$B$3=M$3,SUMIF('TL09'!$C$10:$C$224,$C305,'TL09'!$J$10:$J$224),0),
IF('TL09'!$B$229=M$3,SUMIF('TL09'!$C$238:$C$451,$C305,'TL09'!$J$238:$J$451),0),
IF('TL10'!$B$3=M$3,SUMIF('TL10'!$C$10:$C$224,$C305,'TL10'!$J$10:$J$224),0),
IF('TL10'!$B$229=M$3,SUMIF('TL10'!$C$238:$C$451,$C305,'TL10'!$J$238:$J$451),0),
IF('TL11'!$B$3=M$3,SUMIF('TL11'!$C$10:$C$224,$C305,'TL11'!$J$10:$J$224),0),
IF('TL11'!$B$229=M$3,SUMIF('TL11'!$C$238:$C$451,$C305,'TL11'!$J$238:$J$451),0),
IF('TL12'!$B$3=M$3,SUMIF('TL12'!$C$10:$C$224,$C305,'TL12'!$J$10:$J$224),0),
IF('TL12'!$B$229=M$3,SUMIF('TL12'!$C$238:$C$451,$C305,'TL12'!$J$238:$J$451),0),
IF('TL13'!$B$3=M$3,SUMIF('TL13'!$C$10:$C$224,$C305,'TL13'!$J$10:$J$224),0),
IF('TL13'!$B$229=M$3,SUMIF('TL13'!$C$238:$C$451,$C305,'TL13'!$J$238:$J$451),0),
IF('TL14'!$B$3=M$3,SUMIF('TL14'!$C$10:$C$224,$C305,'TL14'!$J$10:$J$224),0),
IF('TL14'!$B$229=M$3,SUMIF('TL14'!$C$238:$C$451,$C305,'TL14'!$J$238:$J$451),0),
IF('TL15'!$B$3=M$3,SUMIF('TL15'!$C$10:$C$224,$C305,'TL15'!$J$10:$J$224),0),
IF('TL15'!$B$229=M$3,SUMIF('TL15'!$C$238:$C$451,$C305,'TL15'!$J$238:$J$451),0),
IF('TL16'!$B$3=M$3,SUMIF('TL16'!$C$10:$C$224,$C305,'TL16'!$J$10:$J$224),0),
IF('TL16'!$B$229=M$3,SUMIF('TL16'!$C$238:$C$451,$C305,'TL16'!$J$238:$J$451),0),
IF('TL17'!$B$3=M$3,SUMIF('TL17'!$C$10:$C$224,$C305,'TL17'!$J$10:$J$224),0),
IF('TL17'!$B$229=M$3,SUMIF('TL17'!$C$238:$C$451,$C305,'TL17'!$J$238:$J$451),0),
IF('TL18'!$B$3=M$3,SUMIF('TL18'!$C$10:$C$224,$C305,'TL18'!$J$10:$J$224),0),
IF('TL18'!$B$229=M$3,SUMIF('TL18'!$C$238:$C$451,$C305,'TL18'!$J$238:$J$451),0),
IF('TL19'!$B$3=M$3,SUMIF('TL19'!$C$10:$C$224,$C305,'TL19'!$J$10:$J$224),0),
IF('TL19'!$B$229=M$3,SUMIF('TL19'!$C$238:$C$451,$C305,'TL19'!$J$238:$J$451),0)
),0)</f>
        <v>0</v>
      </c>
      <c r="N305" s="9">
        <f>IFERROR(SUM(
IF('TL01'!$B$3=N$3,SUMIF('TL01'!$C$10:$C$224,$C305,'TL01'!$J$10:$J$224),0),
IF('TL01'!$B$229=N$3,SUMIF('TL01'!$C$238:$C$451,$C305,'TL01'!$J$238:$J$451),0),
IF('TL02'!$B$3=N$3,SUMIF('TL02'!$C$10:$C$224,$C305,'TL02'!$J$10:$J$224),0),
IF('TL02'!$B$229=N$3,SUMIF('TL02'!$C$238:$C$451,$C305,'TL02'!$J$238:$J$451),0),
IF('TL03'!$B$3=N$3,SUMIF('TL03'!$C$10:$C$224,$C305,'TL03'!$J$10:$J$224),0),
IF('TL03'!$B$229=N$3,SUMIF('TL03'!$C$238:$C$451,$C305,'TL03'!$J$238:$J$451),0),
IF('TL04'!$B$3=N$3,SUMIF('TL04'!$C$10:$C$224,$C305,'TL04'!$J$10:$J$224),0),
IF('TL04'!$B$229=N$3,SUMIF('TL04'!$C$238:$C$451,$C305,'TL04'!$J$238:$J$451),0),
IF('TL05'!$B$3=N$3,SUMIF('TL05'!$C$10:$C$224,$C305,'TL05'!$J$10:$J$224),0),
IF('TL05'!$B$229=N$3,SUMIF('TL05'!$C$238:$C$451,$C305,'TL05'!$J$238:$J$451),0),
IF('TL06'!$B$3=N$3,SUMIF('TL06'!$C$10:$C$224,$C305,'TL06'!$J$10:$J$224),0),
IF('TL06'!$B$229=N$3,SUMIF('TL06'!$C$238:$C$451,$C305,'TL06'!$J$238:$J$451),0),
IF('TL07'!$B$3=N$3,SUMIF('TL07'!$C$10:$C$224,$C305,'TL07'!$J$10:$J$224),0),
IF('TL07'!$B$229=N$3,SUMIF('TL07'!$C$238:$C$451,$C305,'TL07'!$J$238:$J$451),0),
IF('TL08'!$B$3=N$3,SUMIF('TL08'!$C$10:$C$224,$C305,'TL08'!$J$10:$J$224),0),
IF('TL08'!$B$229=N$3,SUMIF('TL08'!$C$238:$C$451,$C305,'TL08'!$J$238:$J$451),0),
IF('TL09'!$B$3=N$3,SUMIF('TL09'!$C$10:$C$224,$C305,'TL09'!$J$10:$J$224),0),
IF('TL09'!$B$229=N$3,SUMIF('TL09'!$C$238:$C$451,$C305,'TL09'!$J$238:$J$451),0),
IF('TL10'!$B$3=N$3,SUMIF('TL10'!$C$10:$C$224,$C305,'TL10'!$J$10:$J$224),0),
IF('TL10'!$B$229=N$3,SUMIF('TL10'!$C$238:$C$451,$C305,'TL10'!$J$238:$J$451),0),
IF('TL11'!$B$3=N$3,SUMIF('TL11'!$C$10:$C$224,$C305,'TL11'!$J$10:$J$224),0),
IF('TL11'!$B$229=N$3,SUMIF('TL11'!$C$238:$C$451,$C305,'TL11'!$J$238:$J$451),0),
IF('TL12'!$B$3=N$3,SUMIF('TL12'!$C$10:$C$224,$C305,'TL12'!$J$10:$J$224),0),
IF('TL12'!$B$229=N$3,SUMIF('TL12'!$C$238:$C$451,$C305,'TL12'!$J$238:$J$451),0),
IF('TL13'!$B$3=N$3,SUMIF('TL13'!$C$10:$C$224,$C305,'TL13'!$J$10:$J$224),0),
IF('TL13'!$B$229=N$3,SUMIF('TL13'!$C$238:$C$451,$C305,'TL13'!$J$238:$J$451),0),
IF('TL14'!$B$3=N$3,SUMIF('TL14'!$C$10:$C$224,$C305,'TL14'!$J$10:$J$224),0),
IF('TL14'!$B$229=N$3,SUMIF('TL14'!$C$238:$C$451,$C305,'TL14'!$J$238:$J$451),0),
IF('TL15'!$B$3=N$3,SUMIF('TL15'!$C$10:$C$224,$C305,'TL15'!$J$10:$J$224),0),
IF('TL15'!$B$229=N$3,SUMIF('TL15'!$C$238:$C$451,$C305,'TL15'!$J$238:$J$451),0),
IF('TL16'!$B$3=N$3,SUMIF('TL16'!$C$10:$C$224,$C305,'TL16'!$J$10:$J$224),0),
IF('TL16'!$B$229=N$3,SUMIF('TL16'!$C$238:$C$451,$C305,'TL16'!$J$238:$J$451),0),
IF('TL17'!$B$3=N$3,SUMIF('TL17'!$C$10:$C$224,$C305,'TL17'!$J$10:$J$224),0),
IF('TL17'!$B$229=N$3,SUMIF('TL17'!$C$238:$C$451,$C305,'TL17'!$J$238:$J$451),0),
IF('TL18'!$B$3=N$3,SUMIF('TL18'!$C$10:$C$224,$C305,'TL18'!$J$10:$J$224),0),
IF('TL18'!$B$229=N$3,SUMIF('TL18'!$C$238:$C$451,$C305,'TL18'!$J$238:$J$451),0),
IF('TL19'!$B$3=N$3,SUMIF('TL19'!$C$10:$C$224,$C305,'TL19'!$J$10:$J$224),0),
IF('TL19'!$B$229=N$3,SUMIF('TL19'!$C$238:$C$451,$C305,'TL19'!$J$238:$J$451),0)
),0)</f>
        <v>0</v>
      </c>
      <c r="O305" s="9">
        <f>IFERROR(SUM(
IF('TL01'!$B$3=O$3,SUMIF('TL01'!$C$10:$C$224,$C305,'TL01'!$J$10:$J$224),0),
IF('TL01'!$B$229=O$3,SUMIF('TL01'!$C$238:$C$451,$C305,'TL01'!$J$238:$J$451),0),
IF('TL02'!$B$3=O$3,SUMIF('TL02'!$C$10:$C$224,$C305,'TL02'!$J$10:$J$224),0),
IF('TL02'!$B$229=O$3,SUMIF('TL02'!$C$238:$C$451,$C305,'TL02'!$J$238:$J$451),0),
IF('TL03'!$B$3=O$3,SUMIF('TL03'!$C$10:$C$224,$C305,'TL03'!$J$10:$J$224),0),
IF('TL03'!$B$229=O$3,SUMIF('TL03'!$C$238:$C$451,$C305,'TL03'!$J$238:$J$451),0),
IF('TL04'!$B$3=O$3,SUMIF('TL04'!$C$10:$C$224,$C305,'TL04'!$J$10:$J$224),0),
IF('TL04'!$B$229=O$3,SUMIF('TL04'!$C$238:$C$451,$C305,'TL04'!$J$238:$J$451),0),
IF('TL05'!$B$3=O$3,SUMIF('TL05'!$C$10:$C$224,$C305,'TL05'!$J$10:$J$224),0),
IF('TL05'!$B$229=O$3,SUMIF('TL05'!$C$238:$C$451,$C305,'TL05'!$J$238:$J$451),0),
IF('TL06'!$B$3=O$3,SUMIF('TL06'!$C$10:$C$224,$C305,'TL06'!$J$10:$J$224),0),
IF('TL06'!$B$229=O$3,SUMIF('TL06'!$C$238:$C$451,$C305,'TL06'!$J$238:$J$451),0),
IF('TL07'!$B$3=O$3,SUMIF('TL07'!$C$10:$C$224,$C305,'TL07'!$J$10:$J$224),0),
IF('TL07'!$B$229=O$3,SUMIF('TL07'!$C$238:$C$451,$C305,'TL07'!$J$238:$J$451),0),
IF('TL08'!$B$3=O$3,SUMIF('TL08'!$C$10:$C$224,$C305,'TL08'!$J$10:$J$224),0),
IF('TL08'!$B$229=O$3,SUMIF('TL08'!$C$238:$C$451,$C305,'TL08'!$J$238:$J$451),0),
IF('TL09'!$B$3=O$3,SUMIF('TL09'!$C$10:$C$224,$C305,'TL09'!$J$10:$J$224),0),
IF('TL09'!$B$229=O$3,SUMIF('TL09'!$C$238:$C$451,$C305,'TL09'!$J$238:$J$451),0),
IF('TL10'!$B$3=O$3,SUMIF('TL10'!$C$10:$C$224,$C305,'TL10'!$J$10:$J$224),0),
IF('TL10'!$B$229=O$3,SUMIF('TL10'!$C$238:$C$451,$C305,'TL10'!$J$238:$J$451),0),
IF('TL11'!$B$3=O$3,SUMIF('TL11'!$C$10:$C$224,$C305,'TL11'!$J$10:$J$224),0),
IF('TL11'!$B$229=O$3,SUMIF('TL11'!$C$238:$C$451,$C305,'TL11'!$J$238:$J$451),0),
IF('TL12'!$B$3=O$3,SUMIF('TL12'!$C$10:$C$224,$C305,'TL12'!$J$10:$J$224),0),
IF('TL12'!$B$229=O$3,SUMIF('TL12'!$C$238:$C$451,$C305,'TL12'!$J$238:$J$451),0),
IF('TL13'!$B$3=O$3,SUMIF('TL13'!$C$10:$C$224,$C305,'TL13'!$J$10:$J$224),0),
IF('TL13'!$B$229=O$3,SUMIF('TL13'!$C$238:$C$451,$C305,'TL13'!$J$238:$J$451),0),
IF('TL14'!$B$3=O$3,SUMIF('TL14'!$C$10:$C$224,$C305,'TL14'!$J$10:$J$224),0),
IF('TL14'!$B$229=O$3,SUMIF('TL14'!$C$238:$C$451,$C305,'TL14'!$J$238:$J$451),0),
IF('TL15'!$B$3=O$3,SUMIF('TL15'!$C$10:$C$224,$C305,'TL15'!$J$10:$J$224),0),
IF('TL15'!$B$229=O$3,SUMIF('TL15'!$C$238:$C$451,$C305,'TL15'!$J$238:$J$451),0),
IF('TL16'!$B$3=O$3,SUMIF('TL16'!$C$10:$C$224,$C305,'TL16'!$J$10:$J$224),0),
IF('TL16'!$B$229=O$3,SUMIF('TL16'!$C$238:$C$451,$C305,'TL16'!$J$238:$J$451),0),
IF('TL17'!$B$3=O$3,SUMIF('TL17'!$C$10:$C$224,$C305,'TL17'!$J$10:$J$224),0),
IF('TL17'!$B$229=O$3,SUMIF('TL17'!$C$238:$C$451,$C305,'TL17'!$J$238:$J$451),0),
IF('TL18'!$B$3=O$3,SUMIF('TL18'!$C$10:$C$224,$C305,'TL18'!$J$10:$J$224),0),
IF('TL18'!$B$229=O$3,SUMIF('TL18'!$C$238:$C$451,$C305,'TL18'!$J$238:$J$451),0),
IF('TL19'!$B$3=O$3,SUMIF('TL19'!$C$10:$C$224,$C305,'TL19'!$J$10:$J$224),0),
IF('TL19'!$B$229=O$3,SUMIF('TL19'!$C$238:$C$451,$C305,'TL19'!$J$238:$J$451),0)
),0)</f>
        <v>0</v>
      </c>
      <c r="P305" s="9">
        <f>IFERROR(SUM(
IF('TL01'!$B$3=P$3,SUMIF('TL01'!$C$10:$C$224,$C305,'TL01'!$J$10:$J$224),0),
IF('TL01'!$B$229=P$3,SUMIF('TL01'!$C$238:$C$451,$C305,'TL01'!$J$238:$J$451),0),
IF('TL02'!$B$3=P$3,SUMIF('TL02'!$C$10:$C$224,$C305,'TL02'!$J$10:$J$224),0),
IF('TL02'!$B$229=P$3,SUMIF('TL02'!$C$238:$C$451,$C305,'TL02'!$J$238:$J$451),0),
IF('TL03'!$B$3=P$3,SUMIF('TL03'!$C$10:$C$224,$C305,'TL03'!$J$10:$J$224),0),
IF('TL03'!$B$229=P$3,SUMIF('TL03'!$C$238:$C$451,$C305,'TL03'!$J$238:$J$451),0),
IF('TL04'!$B$3=P$3,SUMIF('TL04'!$C$10:$C$224,$C305,'TL04'!$J$10:$J$224),0),
IF('TL04'!$B$229=P$3,SUMIF('TL04'!$C$238:$C$451,$C305,'TL04'!$J$238:$J$451),0),
IF('TL05'!$B$3=P$3,SUMIF('TL05'!$C$10:$C$224,$C305,'TL05'!$J$10:$J$224),0),
IF('TL05'!$B$229=P$3,SUMIF('TL05'!$C$238:$C$451,$C305,'TL05'!$J$238:$J$451),0),
IF('TL06'!$B$3=P$3,SUMIF('TL06'!$C$10:$C$224,$C305,'TL06'!$J$10:$J$224),0),
IF('TL06'!$B$229=P$3,SUMIF('TL06'!$C$238:$C$451,$C305,'TL06'!$J$238:$J$451),0),
IF('TL07'!$B$3=P$3,SUMIF('TL07'!$C$10:$C$224,$C305,'TL07'!$J$10:$J$224),0),
IF('TL07'!$B$229=P$3,SUMIF('TL07'!$C$238:$C$451,$C305,'TL07'!$J$238:$J$451),0),
IF('TL08'!$B$3=P$3,SUMIF('TL08'!$C$10:$C$224,$C305,'TL08'!$J$10:$J$224),0),
IF('TL08'!$B$229=P$3,SUMIF('TL08'!$C$238:$C$451,$C305,'TL08'!$J$238:$J$451),0),
IF('TL09'!$B$3=P$3,SUMIF('TL09'!$C$10:$C$224,$C305,'TL09'!$J$10:$J$224),0),
IF('TL09'!$B$229=P$3,SUMIF('TL09'!$C$238:$C$451,$C305,'TL09'!$J$238:$J$451),0),
IF('TL10'!$B$3=P$3,SUMIF('TL10'!$C$10:$C$224,$C305,'TL10'!$J$10:$J$224),0),
IF('TL10'!$B$229=P$3,SUMIF('TL10'!$C$238:$C$451,$C305,'TL10'!$J$238:$J$451),0),
IF('TL11'!$B$3=P$3,SUMIF('TL11'!$C$10:$C$224,$C305,'TL11'!$J$10:$J$224),0),
IF('TL11'!$B$229=P$3,SUMIF('TL11'!$C$238:$C$451,$C305,'TL11'!$J$238:$J$451),0),
IF('TL12'!$B$3=P$3,SUMIF('TL12'!$C$10:$C$224,$C305,'TL12'!$J$10:$J$224),0),
IF('TL12'!$B$229=P$3,SUMIF('TL12'!$C$238:$C$451,$C305,'TL12'!$J$238:$J$451),0),
IF('TL13'!$B$3=P$3,SUMIF('TL13'!$C$10:$C$224,$C305,'TL13'!$J$10:$J$224),0),
IF('TL13'!$B$229=P$3,SUMIF('TL13'!$C$238:$C$451,$C305,'TL13'!$J$238:$J$451),0),
IF('TL14'!$B$3=P$3,SUMIF('TL14'!$C$10:$C$224,$C305,'TL14'!$J$10:$J$224),0),
IF('TL14'!$B$229=P$3,SUMIF('TL14'!$C$238:$C$451,$C305,'TL14'!$J$238:$J$451),0),
IF('TL15'!$B$3=P$3,SUMIF('TL15'!$C$10:$C$224,$C305,'TL15'!$J$10:$J$224),0),
IF('TL15'!$B$229=P$3,SUMIF('TL15'!$C$238:$C$451,$C305,'TL15'!$J$238:$J$451),0),
IF('TL16'!$B$3=P$3,SUMIF('TL16'!$C$10:$C$224,$C305,'TL16'!$J$10:$J$224),0),
IF('TL16'!$B$229=P$3,SUMIF('TL16'!$C$238:$C$451,$C305,'TL16'!$J$238:$J$451),0),
IF('TL17'!$B$3=P$3,SUMIF('TL17'!$C$10:$C$224,$C305,'TL17'!$J$10:$J$224),0),
IF('TL17'!$B$229=P$3,SUMIF('TL17'!$C$238:$C$451,$C305,'TL17'!$J$238:$J$451),0),
IF('TL18'!$B$3=P$3,SUMIF('TL18'!$C$10:$C$224,$C305,'TL18'!$J$10:$J$224),0),
IF('TL18'!$B$229=P$3,SUMIF('TL18'!$C$238:$C$451,$C305,'TL18'!$J$238:$J$451),0),
IF('TL19'!$B$3=P$3,SUMIF('TL19'!$C$10:$C$224,$C305,'TL19'!$J$10:$J$224),0),
IF('TL19'!$B$229=P$3,SUMIF('TL19'!$C$238:$C$451,$C305,'TL19'!$J$238:$J$451),0)
),0)</f>
        <v>0</v>
      </c>
      <c r="Q305" s="9">
        <f>IFERROR(SUM(
IF('TL01'!$B$3=Q$3,SUMIF('TL01'!$C$10:$C$224,$C305,'TL01'!$J$10:$J$224),0),
IF('TL01'!$B$229=Q$3,SUMIF('TL01'!$C$238:$C$451,$C305,'TL01'!$J$238:$J$451),0),
IF('TL02'!$B$3=Q$3,SUMIF('TL02'!$C$10:$C$224,$C305,'TL02'!$J$10:$J$224),0),
IF('TL02'!$B$229=Q$3,SUMIF('TL02'!$C$238:$C$451,$C305,'TL02'!$J$238:$J$451),0),
IF('TL03'!$B$3=Q$3,SUMIF('TL03'!$C$10:$C$224,$C305,'TL03'!$J$10:$J$224),0),
IF('TL03'!$B$229=Q$3,SUMIF('TL03'!$C$238:$C$451,$C305,'TL03'!$J$238:$J$451),0),
IF('TL04'!$B$3=Q$3,SUMIF('TL04'!$C$10:$C$224,$C305,'TL04'!$J$10:$J$224),0),
IF('TL04'!$B$229=Q$3,SUMIF('TL04'!$C$238:$C$451,$C305,'TL04'!$J$238:$J$451),0),
IF('TL05'!$B$3=Q$3,SUMIF('TL05'!$C$10:$C$224,$C305,'TL05'!$J$10:$J$224),0),
IF('TL05'!$B$229=Q$3,SUMIF('TL05'!$C$238:$C$451,$C305,'TL05'!$J$238:$J$451),0),
IF('TL06'!$B$3=Q$3,SUMIF('TL06'!$C$10:$C$224,$C305,'TL06'!$J$10:$J$224),0),
IF('TL06'!$B$229=Q$3,SUMIF('TL06'!$C$238:$C$451,$C305,'TL06'!$J$238:$J$451),0),
IF('TL07'!$B$3=Q$3,SUMIF('TL07'!$C$10:$C$224,$C305,'TL07'!$J$10:$J$224),0),
IF('TL07'!$B$229=Q$3,SUMIF('TL07'!$C$238:$C$451,$C305,'TL07'!$J$238:$J$451),0),
IF('TL08'!$B$3=Q$3,SUMIF('TL08'!$C$10:$C$224,$C305,'TL08'!$J$10:$J$224),0),
IF('TL08'!$B$229=Q$3,SUMIF('TL08'!$C$238:$C$451,$C305,'TL08'!$J$238:$J$451),0),
IF('TL09'!$B$3=Q$3,SUMIF('TL09'!$C$10:$C$224,$C305,'TL09'!$J$10:$J$224),0),
IF('TL09'!$B$229=Q$3,SUMIF('TL09'!$C$238:$C$451,$C305,'TL09'!$J$238:$J$451),0),
IF('TL10'!$B$3=Q$3,SUMIF('TL10'!$C$10:$C$224,$C305,'TL10'!$J$10:$J$224),0),
IF('TL10'!$B$229=Q$3,SUMIF('TL10'!$C$238:$C$451,$C305,'TL10'!$J$238:$J$451),0),
IF('TL11'!$B$3=Q$3,SUMIF('TL11'!$C$10:$C$224,$C305,'TL11'!$J$10:$J$224),0),
IF('TL11'!$B$229=Q$3,SUMIF('TL11'!$C$238:$C$451,$C305,'TL11'!$J$238:$J$451),0),
IF('TL12'!$B$3=Q$3,SUMIF('TL12'!$C$10:$C$224,$C305,'TL12'!$J$10:$J$224),0),
IF('TL12'!$B$229=Q$3,SUMIF('TL12'!$C$238:$C$451,$C305,'TL12'!$J$238:$J$451),0),
IF('TL13'!$B$3=Q$3,SUMIF('TL13'!$C$10:$C$224,$C305,'TL13'!$J$10:$J$224),0),
IF('TL13'!$B$229=Q$3,SUMIF('TL13'!$C$238:$C$451,$C305,'TL13'!$J$238:$J$451),0),
IF('TL14'!$B$3=Q$3,SUMIF('TL14'!$C$10:$C$224,$C305,'TL14'!$J$10:$J$224),0),
IF('TL14'!$B$229=Q$3,SUMIF('TL14'!$C$238:$C$451,$C305,'TL14'!$J$238:$J$451),0),
IF('TL15'!$B$3=Q$3,SUMIF('TL15'!$C$10:$C$224,$C305,'TL15'!$J$10:$J$224),0),
IF('TL15'!$B$229=Q$3,SUMIF('TL15'!$C$238:$C$451,$C305,'TL15'!$J$238:$J$451),0),
IF('TL16'!$B$3=Q$3,SUMIF('TL16'!$C$10:$C$224,$C305,'TL16'!$J$10:$J$224),0),
IF('TL16'!$B$229=Q$3,SUMIF('TL16'!$C$238:$C$451,$C305,'TL16'!$J$238:$J$451),0),
IF('TL17'!$B$3=Q$3,SUMIF('TL17'!$C$10:$C$224,$C305,'TL17'!$J$10:$J$224),0),
IF('TL17'!$B$229=Q$3,SUMIF('TL17'!$C$238:$C$451,$C305,'TL17'!$J$238:$J$451),0),
IF('TL18'!$B$3=Q$3,SUMIF('TL18'!$C$10:$C$224,$C305,'TL18'!$J$10:$J$224),0),
IF('TL18'!$B$229=Q$3,SUMIF('TL18'!$C$238:$C$451,$C305,'TL18'!$J$238:$J$451),0),
IF('TL19'!$B$3=Q$3,SUMIF('TL19'!$C$10:$C$224,$C305,'TL19'!$J$10:$J$224),0),
IF('TL19'!$B$229=Q$3,SUMIF('TL19'!$C$238:$C$451,$C305,'TL19'!$J$238:$J$451),0)
),0)</f>
        <v>0</v>
      </c>
      <c r="R305" s="9">
        <f>IFERROR(
SUM(
SUMIF('TL01'!C:C,C305,'TL01'!J:J),
SUMIF('TL02'!C:C,C305,'TL02'!J:J),
SUMIF('TL03'!C:C,C305,'TL03'!J:J),
SUMIF('TL04'!C:C,C305,'TL04'!J:J),
SUMIF('TL05'!C:C,C305,'TL05'!J:J),
SUMIF('TL06'!C:C,C305,'TL06'!J:J),
SUMIF('TL07'!C:C,C305,'TL07'!J:J),
SUMIF('TL08'!C:C,C305,'TL08'!J:J),
SUMIF('TL09'!C:C,C305,'TL09'!J:J),
SUMIF('TL10'!C:C,C305,'TL10'!J:J),
SUMIF('TL11'!C:C,C305,'TL11'!J:J),
SUMIF('TL12'!C:C,C305,'TL12'!J:J),
SUMIF('TL13'!C:C,C305,'TL13'!J:J),
SUMIF('TL14'!C:C,C305,'TL14'!J:J),
SUMIF('TL15'!C:C,C305,'TL15'!J:J),
SUMIF('TL16'!C:C,C305,'TL16'!J:J),
SUMIF('TL17'!C:C,C305,'TL17'!J:J),
SUMIF('TL18'!C:C,C305,'TL18'!J:J),SUMIF('TL19'!C:C,C305,'TL19'!J:J))
,0)</f>
        <v>0</v>
      </c>
      <c r="S305" s="17">
        <f>IFERROR(__xludf.DUMMYFUNCTION("IFERROR(VLOOKUP(C305,
IMPORTRANGE(""1wULbzX32WdYsx-lj2U3uUNBBe2INVIRDtcK0d-Dvl90"",
""26-27!C:G""),
5,
FALSE),
"""")"),1552.6419999999998)</f>
        <v>1552.642</v>
      </c>
      <c r="T305" s="9"/>
      <c r="U305" s="92">
        <f t="shared" si="2"/>
        <v>0</v>
      </c>
      <c r="V305" s="93">
        <f t="shared" si="3"/>
        <v>0</v>
      </c>
    </row>
    <row r="306" ht="15.75" hidden="1" customHeight="1">
      <c r="A306" s="122" t="s">
        <v>378</v>
      </c>
      <c r="B306" s="124" t="s">
        <v>3</v>
      </c>
      <c r="C306" s="122" t="s">
        <v>1027</v>
      </c>
      <c r="D306" s="122" t="s">
        <v>1028</v>
      </c>
      <c r="E306" s="122">
        <v>800.0</v>
      </c>
      <c r="F306" s="4" t="s">
        <v>343</v>
      </c>
      <c r="G306" s="90" t="str">
        <f t="shared" si="5"/>
        <v>📄 Ver bula</v>
      </c>
      <c r="H306" s="9" t="str">
        <f>IFERROR(__xludf.DUMMYFUNCTION("IFERROR(VLOOKUP(C306,
IMPORTRANGE(""1wULbzX32WdYsx-lj2U3uUNBBe2INVIRDtcK0d-Dvl90"",
""26-27!C:K""),
8,
FALSE),
"""")"),"")</f>
        <v/>
      </c>
      <c r="I306" s="121"/>
      <c r="J306" s="9">
        <f>IFERROR(SUM(
IF('TL01'!$B$3=J$3,SUMIF('TL01'!$C$10:$C$224,$C306,'TL01'!$J$10:$J$224),0),
IF('TL01'!$B$229=J$3,SUMIF('TL01'!$C$238:$C$451,$C306,'TL01'!$J$238:$J$451),0),
IF('TL02'!$B$3=J$3,SUMIF('TL02'!$C$10:$C$224,$C306,'TL02'!$J$10:$J$224),0),
IF('TL02'!$B$229=J$3,SUMIF('TL02'!$C$238:$C$451,$C306,'TL02'!$J$238:$J$451),0),
IF('TL03'!$B$3=J$3,SUMIF('TL03'!$C$10:$C$224,$C306,'TL03'!$J$10:$J$224),0),
IF('TL03'!$B$229=J$3,SUMIF('TL03'!$C$238:$C$451,$C306,'TL03'!$J$238:$J$451),0),
IF('TL04'!$B$3=J$3,SUMIF('TL04'!$C$10:$C$224,$C306,'TL04'!$J$10:$J$224),0),
IF('TL04'!$B$229=J$3,SUMIF('TL04'!$C$238:$C$451,$C306,'TL04'!$J$238:$J$451),0),
IF('TL05'!$B$3=J$3,SUMIF('TL05'!$C$10:$C$224,$C306,'TL05'!$J$10:$J$224),0),
IF('TL05'!$B$229=J$3,SUMIF('TL05'!$C$238:$C$451,$C306,'TL05'!$J$238:$J$451),0),
IF('TL06'!$B$3=J$3,SUMIF('TL06'!$C$10:$C$224,$C306,'TL06'!$J$10:$J$224),0),
IF('TL06'!$B$229=J$3,SUMIF('TL06'!$C$238:$C$451,$C306,'TL06'!$J$238:$J$451),0),
IF('TL07'!$B$3=J$3,SUMIF('TL07'!$C$10:$C$224,$C306,'TL07'!$J$10:$J$224),0),
IF('TL07'!$B$229=J$3,SUMIF('TL07'!$C$238:$C$451,$C306,'TL07'!$J$238:$J$451),0),
IF('TL08'!$B$3=J$3,SUMIF('TL08'!$C$10:$C$224,$C306,'TL08'!$J$10:$J$224),0),
IF('TL08'!$B$229=J$3,SUMIF('TL08'!$C$238:$C$451,$C306,'TL08'!$J$238:$J$451),0),
IF('TL09'!$B$3=J$3,SUMIF('TL09'!$C$10:$C$224,$C306,'TL09'!$J$10:$J$224),0),
IF('TL09'!$B$229=J$3,SUMIF('TL09'!$C$238:$C$451,$C306,'TL09'!$J$238:$J$451),0),
IF('TL10'!$B$3=J$3,SUMIF('TL10'!$C$10:$C$224,$C306,'TL10'!$J$10:$J$224),0),
IF('TL10'!$B$229=J$3,SUMIF('TL10'!$C$238:$C$451,$C306,'TL10'!$J$238:$J$451),0),
IF('TL11'!$B$3=J$3,SUMIF('TL11'!$C$10:$C$224,$C306,'TL11'!$J$10:$J$224),0),
IF('TL11'!$B$229=J$3,SUMIF('TL11'!$C$238:$C$451,$C306,'TL11'!$J$238:$J$451),0),
IF('TL12'!$B$3=J$3,SUMIF('TL12'!$C$10:$C$224,$C306,'TL12'!$J$10:$J$224),0),
IF('TL12'!$B$229=J$3,SUMIF('TL12'!$C$238:$C$451,$C306,'TL12'!$J$238:$J$451),0),
IF('TL13'!$B$3=J$3,SUMIF('TL13'!$C$10:$C$224,$C306,'TL13'!$J$10:$J$224),0),
IF('TL13'!$B$229=J$3,SUMIF('TL13'!$C$238:$C$451,$C306,'TL13'!$J$238:$J$451),0),
IF('TL14'!$B$3=J$3,SUMIF('TL14'!$C$10:$C$224,$C306,'TL14'!$J$10:$J$224),0),
IF('TL14'!$B$229=J$3,SUMIF('TL14'!$C$238:$C$451,$C306,'TL14'!$J$238:$J$451),0),
IF('TL15'!$B$3=J$3,SUMIF('TL15'!$C$10:$C$224,$C306,'TL15'!$J$10:$J$224),0),
IF('TL15'!$B$229=J$3,SUMIF('TL15'!$C$238:$C$451,$C306,'TL15'!$J$238:$J$451),0),
IF('TL16'!$B$3=J$3,SUMIF('TL16'!$C$10:$C$224,$C306,'TL16'!$J$10:$J$224),0),
IF('TL16'!$B$229=J$3,SUMIF('TL16'!$C$238:$C$451,$C306,'TL16'!$J$238:$J$451),0),
IF('TL17'!$B$3=J$3,SUMIF('TL17'!$C$10:$C$224,$C306,'TL17'!$J$10:$J$224),0),
IF('TL17'!$B$229=J$3,SUMIF('TL17'!$C$238:$C$451,$C306,'TL17'!$J$238:$J$451),0),
IF('TL18'!$B$3=J$3,SUMIF('TL18'!$C$10:$C$224,$C306,'TL18'!$J$10:$J$224),0),
IF('TL18'!$B$229=J$3,SUMIF('TL18'!$C$238:$C$451,$C306,'TL18'!$J$238:$J$451),0),
IF('TL19'!$B$3=J$3,SUMIF('TL19'!$C$10:$C$224,$C306,'TL19'!$J$10:$J$224),0),
IF('TL19'!$B$229=J$3,SUMIF('TL19'!$C$238:$C$451,$C306,'TL19'!$J$238:$J$451),0)
),0)</f>
        <v>0</v>
      </c>
      <c r="K306" s="9">
        <f>IFERROR(SUM(
IF('TL01'!$B$3=K$3,SUMIF('TL01'!$C$10:$C$224,$C306,'TL01'!$J$10:$J$224),0),
IF('TL01'!$B$229=K$3,SUMIF('TL01'!$C$238:$C$451,$C306,'TL01'!$J$238:$J$451),0),
IF('TL02'!$B$3=K$3,SUMIF('TL02'!$C$10:$C$224,$C306,'TL02'!$J$10:$J$224),0),
IF('TL02'!$B$229=K$3,SUMIF('TL02'!$C$238:$C$451,$C306,'TL02'!$J$238:$J$451),0),
IF('TL03'!$B$3=K$3,SUMIF('TL03'!$C$10:$C$224,$C306,'TL03'!$J$10:$J$224),0),
IF('TL03'!$B$229=K$3,SUMIF('TL03'!$C$238:$C$451,$C306,'TL03'!$J$238:$J$451),0),
IF('TL04'!$B$3=K$3,SUMIF('TL04'!$C$10:$C$224,$C306,'TL04'!$J$10:$J$224),0),
IF('TL04'!$B$229=K$3,SUMIF('TL04'!$C$238:$C$451,$C306,'TL04'!$J$238:$J$451),0),
IF('TL05'!$B$3=K$3,SUMIF('TL05'!$C$10:$C$224,$C306,'TL05'!$J$10:$J$224),0),
IF('TL05'!$B$229=K$3,SUMIF('TL05'!$C$238:$C$451,$C306,'TL05'!$J$238:$J$451),0),
IF('TL06'!$B$3=K$3,SUMIF('TL06'!$C$10:$C$224,$C306,'TL06'!$J$10:$J$224),0),
IF('TL06'!$B$229=K$3,SUMIF('TL06'!$C$238:$C$451,$C306,'TL06'!$J$238:$J$451),0),
IF('TL07'!$B$3=K$3,SUMIF('TL07'!$C$10:$C$224,$C306,'TL07'!$J$10:$J$224),0),
IF('TL07'!$B$229=K$3,SUMIF('TL07'!$C$238:$C$451,$C306,'TL07'!$J$238:$J$451),0),
IF('TL08'!$B$3=K$3,SUMIF('TL08'!$C$10:$C$224,$C306,'TL08'!$J$10:$J$224),0),
IF('TL08'!$B$229=K$3,SUMIF('TL08'!$C$238:$C$451,$C306,'TL08'!$J$238:$J$451),0),
IF('TL09'!$B$3=K$3,SUMIF('TL09'!$C$10:$C$224,$C306,'TL09'!$J$10:$J$224),0),
IF('TL09'!$B$229=K$3,SUMIF('TL09'!$C$238:$C$451,$C306,'TL09'!$J$238:$J$451),0),
IF('TL10'!$B$3=K$3,SUMIF('TL10'!$C$10:$C$224,$C306,'TL10'!$J$10:$J$224),0),
IF('TL10'!$B$229=K$3,SUMIF('TL10'!$C$238:$C$451,$C306,'TL10'!$J$238:$J$451),0),
IF('TL11'!$B$3=K$3,SUMIF('TL11'!$C$10:$C$224,$C306,'TL11'!$J$10:$J$224),0),
IF('TL11'!$B$229=K$3,SUMIF('TL11'!$C$238:$C$451,$C306,'TL11'!$J$238:$J$451),0),
IF('TL12'!$B$3=K$3,SUMIF('TL12'!$C$10:$C$224,$C306,'TL12'!$J$10:$J$224),0),
IF('TL12'!$B$229=K$3,SUMIF('TL12'!$C$238:$C$451,$C306,'TL12'!$J$238:$J$451),0),
IF('TL13'!$B$3=K$3,SUMIF('TL13'!$C$10:$C$224,$C306,'TL13'!$J$10:$J$224),0),
IF('TL13'!$B$229=K$3,SUMIF('TL13'!$C$238:$C$451,$C306,'TL13'!$J$238:$J$451),0),
IF('TL14'!$B$3=K$3,SUMIF('TL14'!$C$10:$C$224,$C306,'TL14'!$J$10:$J$224),0),
IF('TL14'!$B$229=K$3,SUMIF('TL14'!$C$238:$C$451,$C306,'TL14'!$J$238:$J$451),0),
IF('TL15'!$B$3=K$3,SUMIF('TL15'!$C$10:$C$224,$C306,'TL15'!$J$10:$J$224),0),
IF('TL15'!$B$229=K$3,SUMIF('TL15'!$C$238:$C$451,$C306,'TL15'!$J$238:$J$451),0),
IF('TL16'!$B$3=K$3,SUMIF('TL16'!$C$10:$C$224,$C306,'TL16'!$J$10:$J$224),0),
IF('TL16'!$B$229=K$3,SUMIF('TL16'!$C$238:$C$451,$C306,'TL16'!$J$238:$J$451),0),
IF('TL17'!$B$3=K$3,SUMIF('TL17'!$C$10:$C$224,$C306,'TL17'!$J$10:$J$224),0),
IF('TL17'!$B$229=K$3,SUMIF('TL17'!$C$238:$C$451,$C306,'TL17'!$J$238:$J$451),0),
IF('TL18'!$B$3=K$3,SUMIF('TL18'!$C$10:$C$224,$C306,'TL18'!$J$10:$J$224),0),
IF('TL18'!$B$229=K$3,SUMIF('TL18'!$C$238:$C$451,$C306,'TL18'!$J$238:$J$451),0),
IF('TL19'!$B$3=K$3,SUMIF('TL19'!$C$10:$C$224,$C306,'TL19'!$J$10:$J$224),0),
IF('TL19'!$B$229=K$3,SUMIF('TL19'!$C$238:$C$451,$C306,'TL19'!$J$238:$J$451),0)
),0)</f>
        <v>0</v>
      </c>
      <c r="L306" s="9">
        <f>IFERROR(SUM(
IF('TL01'!$B$3=L$3,SUMIF('TL01'!$C$10:$C$224,$C306,'TL01'!$J$10:$J$224),0),
IF('TL01'!$B$229=L$3,SUMIF('TL01'!$C$238:$C$451,$C306,'TL01'!$J$238:$J$451),0),
IF('TL02'!$B$3=L$3,SUMIF('TL02'!$C$10:$C$224,$C306,'TL02'!$J$10:$J$224),0),
IF('TL02'!$B$229=L$3,SUMIF('TL02'!$C$238:$C$451,$C306,'TL02'!$J$238:$J$451),0),
IF('TL03'!$B$3=L$3,SUMIF('TL03'!$C$10:$C$224,$C306,'TL03'!$J$10:$J$224),0),
IF('TL03'!$B$229=L$3,SUMIF('TL03'!$C$238:$C$451,$C306,'TL03'!$J$238:$J$451),0),
IF('TL04'!$B$3=L$3,SUMIF('TL04'!$C$10:$C$224,$C306,'TL04'!$J$10:$J$224),0),
IF('TL04'!$B$229=L$3,SUMIF('TL04'!$C$238:$C$451,$C306,'TL04'!$J$238:$J$451),0),
IF('TL05'!$B$3=L$3,SUMIF('TL05'!$C$10:$C$224,$C306,'TL05'!$J$10:$J$224),0),
IF('TL05'!$B$229=L$3,SUMIF('TL05'!$C$238:$C$451,$C306,'TL05'!$J$238:$J$451),0),
IF('TL06'!$B$3=L$3,SUMIF('TL06'!$C$10:$C$224,$C306,'TL06'!$J$10:$J$224),0),
IF('TL06'!$B$229=L$3,SUMIF('TL06'!$C$238:$C$451,$C306,'TL06'!$J$238:$J$451),0),
IF('TL07'!$B$3=L$3,SUMIF('TL07'!$C$10:$C$224,$C306,'TL07'!$J$10:$J$224),0),
IF('TL07'!$B$229=L$3,SUMIF('TL07'!$C$238:$C$451,$C306,'TL07'!$J$238:$J$451),0),
IF('TL08'!$B$3=L$3,SUMIF('TL08'!$C$10:$C$224,$C306,'TL08'!$J$10:$J$224),0),
IF('TL08'!$B$229=L$3,SUMIF('TL08'!$C$238:$C$451,$C306,'TL08'!$J$238:$J$451),0),
IF('TL09'!$B$3=L$3,SUMIF('TL09'!$C$10:$C$224,$C306,'TL09'!$J$10:$J$224),0),
IF('TL09'!$B$229=L$3,SUMIF('TL09'!$C$238:$C$451,$C306,'TL09'!$J$238:$J$451),0),
IF('TL10'!$B$3=L$3,SUMIF('TL10'!$C$10:$C$224,$C306,'TL10'!$J$10:$J$224),0),
IF('TL10'!$B$229=L$3,SUMIF('TL10'!$C$238:$C$451,$C306,'TL10'!$J$238:$J$451),0),
IF('TL11'!$B$3=L$3,SUMIF('TL11'!$C$10:$C$224,$C306,'TL11'!$J$10:$J$224),0),
IF('TL11'!$B$229=L$3,SUMIF('TL11'!$C$238:$C$451,$C306,'TL11'!$J$238:$J$451),0),
IF('TL12'!$B$3=L$3,SUMIF('TL12'!$C$10:$C$224,$C306,'TL12'!$J$10:$J$224),0),
IF('TL12'!$B$229=L$3,SUMIF('TL12'!$C$238:$C$451,$C306,'TL12'!$J$238:$J$451),0),
IF('TL13'!$B$3=L$3,SUMIF('TL13'!$C$10:$C$224,$C306,'TL13'!$J$10:$J$224),0),
IF('TL13'!$B$229=L$3,SUMIF('TL13'!$C$238:$C$451,$C306,'TL13'!$J$238:$J$451),0),
IF('TL14'!$B$3=L$3,SUMIF('TL14'!$C$10:$C$224,$C306,'TL14'!$J$10:$J$224),0),
IF('TL14'!$B$229=L$3,SUMIF('TL14'!$C$238:$C$451,$C306,'TL14'!$J$238:$J$451),0),
IF('TL15'!$B$3=L$3,SUMIF('TL15'!$C$10:$C$224,$C306,'TL15'!$J$10:$J$224),0),
IF('TL15'!$B$229=L$3,SUMIF('TL15'!$C$238:$C$451,$C306,'TL15'!$J$238:$J$451),0),
IF('TL16'!$B$3=L$3,SUMIF('TL16'!$C$10:$C$224,$C306,'TL16'!$J$10:$J$224),0),
IF('TL16'!$B$229=L$3,SUMIF('TL16'!$C$238:$C$451,$C306,'TL16'!$J$238:$J$451),0),
IF('TL17'!$B$3=L$3,SUMIF('TL17'!$C$10:$C$224,$C306,'TL17'!$J$10:$J$224),0),
IF('TL17'!$B$229=L$3,SUMIF('TL17'!$C$238:$C$451,$C306,'TL17'!$J$238:$J$451),0),
IF('TL18'!$B$3=L$3,SUMIF('TL18'!$C$10:$C$224,$C306,'TL18'!$J$10:$J$224),0),
IF('TL18'!$B$229=L$3,SUMIF('TL18'!$C$238:$C$451,$C306,'TL18'!$J$238:$J$451),0),
IF('TL19'!$B$3=L$3,SUMIF('TL19'!$C$10:$C$224,$C306,'TL19'!$J$10:$J$224),0),
IF('TL19'!$B$229=L$3,SUMIF('TL19'!$C$238:$C$451,$C306,'TL19'!$J$238:$J$451),0)
),0)</f>
        <v>0</v>
      </c>
      <c r="M306" s="9">
        <f>IFERROR(SUM(
IF('TL01'!$B$3=M$3,SUMIF('TL01'!$C$10:$C$224,$C306,'TL01'!$J$10:$J$224),0),
IF('TL01'!$B$229=M$3,SUMIF('TL01'!$C$238:$C$451,$C306,'TL01'!$J$238:$J$451),0),
IF('TL02'!$B$3=M$3,SUMIF('TL02'!$C$10:$C$224,$C306,'TL02'!$J$10:$J$224),0),
IF('TL02'!$B$229=M$3,SUMIF('TL02'!$C$238:$C$451,$C306,'TL02'!$J$238:$J$451),0),
IF('TL03'!$B$3=M$3,SUMIF('TL03'!$C$10:$C$224,$C306,'TL03'!$J$10:$J$224),0),
IF('TL03'!$B$229=M$3,SUMIF('TL03'!$C$238:$C$451,$C306,'TL03'!$J$238:$J$451),0),
IF('TL04'!$B$3=M$3,SUMIF('TL04'!$C$10:$C$224,$C306,'TL04'!$J$10:$J$224),0),
IF('TL04'!$B$229=M$3,SUMIF('TL04'!$C$238:$C$451,$C306,'TL04'!$J$238:$J$451),0),
IF('TL05'!$B$3=M$3,SUMIF('TL05'!$C$10:$C$224,$C306,'TL05'!$J$10:$J$224),0),
IF('TL05'!$B$229=M$3,SUMIF('TL05'!$C$238:$C$451,$C306,'TL05'!$J$238:$J$451),0),
IF('TL06'!$B$3=M$3,SUMIF('TL06'!$C$10:$C$224,$C306,'TL06'!$J$10:$J$224),0),
IF('TL06'!$B$229=M$3,SUMIF('TL06'!$C$238:$C$451,$C306,'TL06'!$J$238:$J$451),0),
IF('TL07'!$B$3=M$3,SUMIF('TL07'!$C$10:$C$224,$C306,'TL07'!$J$10:$J$224),0),
IF('TL07'!$B$229=M$3,SUMIF('TL07'!$C$238:$C$451,$C306,'TL07'!$J$238:$J$451),0),
IF('TL08'!$B$3=M$3,SUMIF('TL08'!$C$10:$C$224,$C306,'TL08'!$J$10:$J$224),0),
IF('TL08'!$B$229=M$3,SUMIF('TL08'!$C$238:$C$451,$C306,'TL08'!$J$238:$J$451),0),
IF('TL09'!$B$3=M$3,SUMIF('TL09'!$C$10:$C$224,$C306,'TL09'!$J$10:$J$224),0),
IF('TL09'!$B$229=M$3,SUMIF('TL09'!$C$238:$C$451,$C306,'TL09'!$J$238:$J$451),0),
IF('TL10'!$B$3=M$3,SUMIF('TL10'!$C$10:$C$224,$C306,'TL10'!$J$10:$J$224),0),
IF('TL10'!$B$229=M$3,SUMIF('TL10'!$C$238:$C$451,$C306,'TL10'!$J$238:$J$451),0),
IF('TL11'!$B$3=M$3,SUMIF('TL11'!$C$10:$C$224,$C306,'TL11'!$J$10:$J$224),0),
IF('TL11'!$B$229=M$3,SUMIF('TL11'!$C$238:$C$451,$C306,'TL11'!$J$238:$J$451),0),
IF('TL12'!$B$3=M$3,SUMIF('TL12'!$C$10:$C$224,$C306,'TL12'!$J$10:$J$224),0),
IF('TL12'!$B$229=M$3,SUMIF('TL12'!$C$238:$C$451,$C306,'TL12'!$J$238:$J$451),0),
IF('TL13'!$B$3=M$3,SUMIF('TL13'!$C$10:$C$224,$C306,'TL13'!$J$10:$J$224),0),
IF('TL13'!$B$229=M$3,SUMIF('TL13'!$C$238:$C$451,$C306,'TL13'!$J$238:$J$451),0),
IF('TL14'!$B$3=M$3,SUMIF('TL14'!$C$10:$C$224,$C306,'TL14'!$J$10:$J$224),0),
IF('TL14'!$B$229=M$3,SUMIF('TL14'!$C$238:$C$451,$C306,'TL14'!$J$238:$J$451),0),
IF('TL15'!$B$3=M$3,SUMIF('TL15'!$C$10:$C$224,$C306,'TL15'!$J$10:$J$224),0),
IF('TL15'!$B$229=M$3,SUMIF('TL15'!$C$238:$C$451,$C306,'TL15'!$J$238:$J$451),0),
IF('TL16'!$B$3=M$3,SUMIF('TL16'!$C$10:$C$224,$C306,'TL16'!$J$10:$J$224),0),
IF('TL16'!$B$229=M$3,SUMIF('TL16'!$C$238:$C$451,$C306,'TL16'!$J$238:$J$451),0),
IF('TL17'!$B$3=M$3,SUMIF('TL17'!$C$10:$C$224,$C306,'TL17'!$J$10:$J$224),0),
IF('TL17'!$B$229=M$3,SUMIF('TL17'!$C$238:$C$451,$C306,'TL17'!$J$238:$J$451),0),
IF('TL18'!$B$3=M$3,SUMIF('TL18'!$C$10:$C$224,$C306,'TL18'!$J$10:$J$224),0),
IF('TL18'!$B$229=M$3,SUMIF('TL18'!$C$238:$C$451,$C306,'TL18'!$J$238:$J$451),0),
IF('TL19'!$B$3=M$3,SUMIF('TL19'!$C$10:$C$224,$C306,'TL19'!$J$10:$J$224),0),
IF('TL19'!$B$229=M$3,SUMIF('TL19'!$C$238:$C$451,$C306,'TL19'!$J$238:$J$451),0)
),0)</f>
        <v>0</v>
      </c>
      <c r="N306" s="9">
        <f>IFERROR(SUM(
IF('TL01'!$B$3=N$3,SUMIF('TL01'!$C$10:$C$224,$C306,'TL01'!$J$10:$J$224),0),
IF('TL01'!$B$229=N$3,SUMIF('TL01'!$C$238:$C$451,$C306,'TL01'!$J$238:$J$451),0),
IF('TL02'!$B$3=N$3,SUMIF('TL02'!$C$10:$C$224,$C306,'TL02'!$J$10:$J$224),0),
IF('TL02'!$B$229=N$3,SUMIF('TL02'!$C$238:$C$451,$C306,'TL02'!$J$238:$J$451),0),
IF('TL03'!$B$3=N$3,SUMIF('TL03'!$C$10:$C$224,$C306,'TL03'!$J$10:$J$224),0),
IF('TL03'!$B$229=N$3,SUMIF('TL03'!$C$238:$C$451,$C306,'TL03'!$J$238:$J$451),0),
IF('TL04'!$B$3=N$3,SUMIF('TL04'!$C$10:$C$224,$C306,'TL04'!$J$10:$J$224),0),
IF('TL04'!$B$229=N$3,SUMIF('TL04'!$C$238:$C$451,$C306,'TL04'!$J$238:$J$451),0),
IF('TL05'!$B$3=N$3,SUMIF('TL05'!$C$10:$C$224,$C306,'TL05'!$J$10:$J$224),0),
IF('TL05'!$B$229=N$3,SUMIF('TL05'!$C$238:$C$451,$C306,'TL05'!$J$238:$J$451),0),
IF('TL06'!$B$3=N$3,SUMIF('TL06'!$C$10:$C$224,$C306,'TL06'!$J$10:$J$224),0),
IF('TL06'!$B$229=N$3,SUMIF('TL06'!$C$238:$C$451,$C306,'TL06'!$J$238:$J$451),0),
IF('TL07'!$B$3=N$3,SUMIF('TL07'!$C$10:$C$224,$C306,'TL07'!$J$10:$J$224),0),
IF('TL07'!$B$229=N$3,SUMIF('TL07'!$C$238:$C$451,$C306,'TL07'!$J$238:$J$451),0),
IF('TL08'!$B$3=N$3,SUMIF('TL08'!$C$10:$C$224,$C306,'TL08'!$J$10:$J$224),0),
IF('TL08'!$B$229=N$3,SUMIF('TL08'!$C$238:$C$451,$C306,'TL08'!$J$238:$J$451),0),
IF('TL09'!$B$3=N$3,SUMIF('TL09'!$C$10:$C$224,$C306,'TL09'!$J$10:$J$224),0),
IF('TL09'!$B$229=N$3,SUMIF('TL09'!$C$238:$C$451,$C306,'TL09'!$J$238:$J$451),0),
IF('TL10'!$B$3=N$3,SUMIF('TL10'!$C$10:$C$224,$C306,'TL10'!$J$10:$J$224),0),
IF('TL10'!$B$229=N$3,SUMIF('TL10'!$C$238:$C$451,$C306,'TL10'!$J$238:$J$451),0),
IF('TL11'!$B$3=N$3,SUMIF('TL11'!$C$10:$C$224,$C306,'TL11'!$J$10:$J$224),0),
IF('TL11'!$B$229=N$3,SUMIF('TL11'!$C$238:$C$451,$C306,'TL11'!$J$238:$J$451),0),
IF('TL12'!$B$3=N$3,SUMIF('TL12'!$C$10:$C$224,$C306,'TL12'!$J$10:$J$224),0),
IF('TL12'!$B$229=N$3,SUMIF('TL12'!$C$238:$C$451,$C306,'TL12'!$J$238:$J$451),0),
IF('TL13'!$B$3=N$3,SUMIF('TL13'!$C$10:$C$224,$C306,'TL13'!$J$10:$J$224),0),
IF('TL13'!$B$229=N$3,SUMIF('TL13'!$C$238:$C$451,$C306,'TL13'!$J$238:$J$451),0),
IF('TL14'!$B$3=N$3,SUMIF('TL14'!$C$10:$C$224,$C306,'TL14'!$J$10:$J$224),0),
IF('TL14'!$B$229=N$3,SUMIF('TL14'!$C$238:$C$451,$C306,'TL14'!$J$238:$J$451),0),
IF('TL15'!$B$3=N$3,SUMIF('TL15'!$C$10:$C$224,$C306,'TL15'!$J$10:$J$224),0),
IF('TL15'!$B$229=N$3,SUMIF('TL15'!$C$238:$C$451,$C306,'TL15'!$J$238:$J$451),0),
IF('TL16'!$B$3=N$3,SUMIF('TL16'!$C$10:$C$224,$C306,'TL16'!$J$10:$J$224),0),
IF('TL16'!$B$229=N$3,SUMIF('TL16'!$C$238:$C$451,$C306,'TL16'!$J$238:$J$451),0),
IF('TL17'!$B$3=N$3,SUMIF('TL17'!$C$10:$C$224,$C306,'TL17'!$J$10:$J$224),0),
IF('TL17'!$B$229=N$3,SUMIF('TL17'!$C$238:$C$451,$C306,'TL17'!$J$238:$J$451),0),
IF('TL18'!$B$3=N$3,SUMIF('TL18'!$C$10:$C$224,$C306,'TL18'!$J$10:$J$224),0),
IF('TL18'!$B$229=N$3,SUMIF('TL18'!$C$238:$C$451,$C306,'TL18'!$J$238:$J$451),0),
IF('TL19'!$B$3=N$3,SUMIF('TL19'!$C$10:$C$224,$C306,'TL19'!$J$10:$J$224),0),
IF('TL19'!$B$229=N$3,SUMIF('TL19'!$C$238:$C$451,$C306,'TL19'!$J$238:$J$451),0)
),0)</f>
        <v>0</v>
      </c>
      <c r="O306" s="9">
        <f>IFERROR(SUM(
IF('TL01'!$B$3=O$3,SUMIF('TL01'!$C$10:$C$224,$C306,'TL01'!$J$10:$J$224),0),
IF('TL01'!$B$229=O$3,SUMIF('TL01'!$C$238:$C$451,$C306,'TL01'!$J$238:$J$451),0),
IF('TL02'!$B$3=O$3,SUMIF('TL02'!$C$10:$C$224,$C306,'TL02'!$J$10:$J$224),0),
IF('TL02'!$B$229=O$3,SUMIF('TL02'!$C$238:$C$451,$C306,'TL02'!$J$238:$J$451),0),
IF('TL03'!$B$3=O$3,SUMIF('TL03'!$C$10:$C$224,$C306,'TL03'!$J$10:$J$224),0),
IF('TL03'!$B$229=O$3,SUMIF('TL03'!$C$238:$C$451,$C306,'TL03'!$J$238:$J$451),0),
IF('TL04'!$B$3=O$3,SUMIF('TL04'!$C$10:$C$224,$C306,'TL04'!$J$10:$J$224),0),
IF('TL04'!$B$229=O$3,SUMIF('TL04'!$C$238:$C$451,$C306,'TL04'!$J$238:$J$451),0),
IF('TL05'!$B$3=O$3,SUMIF('TL05'!$C$10:$C$224,$C306,'TL05'!$J$10:$J$224),0),
IF('TL05'!$B$229=O$3,SUMIF('TL05'!$C$238:$C$451,$C306,'TL05'!$J$238:$J$451),0),
IF('TL06'!$B$3=O$3,SUMIF('TL06'!$C$10:$C$224,$C306,'TL06'!$J$10:$J$224),0),
IF('TL06'!$B$229=O$3,SUMIF('TL06'!$C$238:$C$451,$C306,'TL06'!$J$238:$J$451),0),
IF('TL07'!$B$3=O$3,SUMIF('TL07'!$C$10:$C$224,$C306,'TL07'!$J$10:$J$224),0),
IF('TL07'!$B$229=O$3,SUMIF('TL07'!$C$238:$C$451,$C306,'TL07'!$J$238:$J$451),0),
IF('TL08'!$B$3=O$3,SUMIF('TL08'!$C$10:$C$224,$C306,'TL08'!$J$10:$J$224),0),
IF('TL08'!$B$229=O$3,SUMIF('TL08'!$C$238:$C$451,$C306,'TL08'!$J$238:$J$451),0),
IF('TL09'!$B$3=O$3,SUMIF('TL09'!$C$10:$C$224,$C306,'TL09'!$J$10:$J$224),0),
IF('TL09'!$B$229=O$3,SUMIF('TL09'!$C$238:$C$451,$C306,'TL09'!$J$238:$J$451),0),
IF('TL10'!$B$3=O$3,SUMIF('TL10'!$C$10:$C$224,$C306,'TL10'!$J$10:$J$224),0),
IF('TL10'!$B$229=O$3,SUMIF('TL10'!$C$238:$C$451,$C306,'TL10'!$J$238:$J$451),0),
IF('TL11'!$B$3=O$3,SUMIF('TL11'!$C$10:$C$224,$C306,'TL11'!$J$10:$J$224),0),
IF('TL11'!$B$229=O$3,SUMIF('TL11'!$C$238:$C$451,$C306,'TL11'!$J$238:$J$451),0),
IF('TL12'!$B$3=O$3,SUMIF('TL12'!$C$10:$C$224,$C306,'TL12'!$J$10:$J$224),0),
IF('TL12'!$B$229=O$3,SUMIF('TL12'!$C$238:$C$451,$C306,'TL12'!$J$238:$J$451),0),
IF('TL13'!$B$3=O$3,SUMIF('TL13'!$C$10:$C$224,$C306,'TL13'!$J$10:$J$224),0),
IF('TL13'!$B$229=O$3,SUMIF('TL13'!$C$238:$C$451,$C306,'TL13'!$J$238:$J$451),0),
IF('TL14'!$B$3=O$3,SUMIF('TL14'!$C$10:$C$224,$C306,'TL14'!$J$10:$J$224),0),
IF('TL14'!$B$229=O$3,SUMIF('TL14'!$C$238:$C$451,$C306,'TL14'!$J$238:$J$451),0),
IF('TL15'!$B$3=O$3,SUMIF('TL15'!$C$10:$C$224,$C306,'TL15'!$J$10:$J$224),0),
IF('TL15'!$B$229=O$3,SUMIF('TL15'!$C$238:$C$451,$C306,'TL15'!$J$238:$J$451),0),
IF('TL16'!$B$3=O$3,SUMIF('TL16'!$C$10:$C$224,$C306,'TL16'!$J$10:$J$224),0),
IF('TL16'!$B$229=O$3,SUMIF('TL16'!$C$238:$C$451,$C306,'TL16'!$J$238:$J$451),0),
IF('TL17'!$B$3=O$3,SUMIF('TL17'!$C$10:$C$224,$C306,'TL17'!$J$10:$J$224),0),
IF('TL17'!$B$229=O$3,SUMIF('TL17'!$C$238:$C$451,$C306,'TL17'!$J$238:$J$451),0),
IF('TL18'!$B$3=O$3,SUMIF('TL18'!$C$10:$C$224,$C306,'TL18'!$J$10:$J$224),0),
IF('TL18'!$B$229=O$3,SUMIF('TL18'!$C$238:$C$451,$C306,'TL18'!$J$238:$J$451),0),
IF('TL19'!$B$3=O$3,SUMIF('TL19'!$C$10:$C$224,$C306,'TL19'!$J$10:$J$224),0),
IF('TL19'!$B$229=O$3,SUMIF('TL19'!$C$238:$C$451,$C306,'TL19'!$J$238:$J$451),0)
),0)</f>
        <v>0</v>
      </c>
      <c r="P306" s="9">
        <f>IFERROR(SUM(
IF('TL01'!$B$3=P$3,SUMIF('TL01'!$C$10:$C$224,$C306,'TL01'!$J$10:$J$224),0),
IF('TL01'!$B$229=P$3,SUMIF('TL01'!$C$238:$C$451,$C306,'TL01'!$J$238:$J$451),0),
IF('TL02'!$B$3=P$3,SUMIF('TL02'!$C$10:$C$224,$C306,'TL02'!$J$10:$J$224),0),
IF('TL02'!$B$229=P$3,SUMIF('TL02'!$C$238:$C$451,$C306,'TL02'!$J$238:$J$451),0),
IF('TL03'!$B$3=P$3,SUMIF('TL03'!$C$10:$C$224,$C306,'TL03'!$J$10:$J$224),0),
IF('TL03'!$B$229=P$3,SUMIF('TL03'!$C$238:$C$451,$C306,'TL03'!$J$238:$J$451),0),
IF('TL04'!$B$3=P$3,SUMIF('TL04'!$C$10:$C$224,$C306,'TL04'!$J$10:$J$224),0),
IF('TL04'!$B$229=P$3,SUMIF('TL04'!$C$238:$C$451,$C306,'TL04'!$J$238:$J$451),0),
IF('TL05'!$B$3=P$3,SUMIF('TL05'!$C$10:$C$224,$C306,'TL05'!$J$10:$J$224),0),
IF('TL05'!$B$229=P$3,SUMIF('TL05'!$C$238:$C$451,$C306,'TL05'!$J$238:$J$451),0),
IF('TL06'!$B$3=P$3,SUMIF('TL06'!$C$10:$C$224,$C306,'TL06'!$J$10:$J$224),0),
IF('TL06'!$B$229=P$3,SUMIF('TL06'!$C$238:$C$451,$C306,'TL06'!$J$238:$J$451),0),
IF('TL07'!$B$3=P$3,SUMIF('TL07'!$C$10:$C$224,$C306,'TL07'!$J$10:$J$224),0),
IF('TL07'!$B$229=P$3,SUMIF('TL07'!$C$238:$C$451,$C306,'TL07'!$J$238:$J$451),0),
IF('TL08'!$B$3=P$3,SUMIF('TL08'!$C$10:$C$224,$C306,'TL08'!$J$10:$J$224),0),
IF('TL08'!$B$229=P$3,SUMIF('TL08'!$C$238:$C$451,$C306,'TL08'!$J$238:$J$451),0),
IF('TL09'!$B$3=P$3,SUMIF('TL09'!$C$10:$C$224,$C306,'TL09'!$J$10:$J$224),0),
IF('TL09'!$B$229=P$3,SUMIF('TL09'!$C$238:$C$451,$C306,'TL09'!$J$238:$J$451),0),
IF('TL10'!$B$3=P$3,SUMIF('TL10'!$C$10:$C$224,$C306,'TL10'!$J$10:$J$224),0),
IF('TL10'!$B$229=P$3,SUMIF('TL10'!$C$238:$C$451,$C306,'TL10'!$J$238:$J$451),0),
IF('TL11'!$B$3=P$3,SUMIF('TL11'!$C$10:$C$224,$C306,'TL11'!$J$10:$J$224),0),
IF('TL11'!$B$229=P$3,SUMIF('TL11'!$C$238:$C$451,$C306,'TL11'!$J$238:$J$451),0),
IF('TL12'!$B$3=P$3,SUMIF('TL12'!$C$10:$C$224,$C306,'TL12'!$J$10:$J$224),0),
IF('TL12'!$B$229=P$3,SUMIF('TL12'!$C$238:$C$451,$C306,'TL12'!$J$238:$J$451),0),
IF('TL13'!$B$3=P$3,SUMIF('TL13'!$C$10:$C$224,$C306,'TL13'!$J$10:$J$224),0),
IF('TL13'!$B$229=P$3,SUMIF('TL13'!$C$238:$C$451,$C306,'TL13'!$J$238:$J$451),0),
IF('TL14'!$B$3=P$3,SUMIF('TL14'!$C$10:$C$224,$C306,'TL14'!$J$10:$J$224),0),
IF('TL14'!$B$229=P$3,SUMIF('TL14'!$C$238:$C$451,$C306,'TL14'!$J$238:$J$451),0),
IF('TL15'!$B$3=P$3,SUMIF('TL15'!$C$10:$C$224,$C306,'TL15'!$J$10:$J$224),0),
IF('TL15'!$B$229=P$3,SUMIF('TL15'!$C$238:$C$451,$C306,'TL15'!$J$238:$J$451),0),
IF('TL16'!$B$3=P$3,SUMIF('TL16'!$C$10:$C$224,$C306,'TL16'!$J$10:$J$224),0),
IF('TL16'!$B$229=P$3,SUMIF('TL16'!$C$238:$C$451,$C306,'TL16'!$J$238:$J$451),0),
IF('TL17'!$B$3=P$3,SUMIF('TL17'!$C$10:$C$224,$C306,'TL17'!$J$10:$J$224),0),
IF('TL17'!$B$229=P$3,SUMIF('TL17'!$C$238:$C$451,$C306,'TL17'!$J$238:$J$451),0),
IF('TL18'!$B$3=P$3,SUMIF('TL18'!$C$10:$C$224,$C306,'TL18'!$J$10:$J$224),0),
IF('TL18'!$B$229=P$3,SUMIF('TL18'!$C$238:$C$451,$C306,'TL18'!$J$238:$J$451),0),
IF('TL19'!$B$3=P$3,SUMIF('TL19'!$C$10:$C$224,$C306,'TL19'!$J$10:$J$224),0),
IF('TL19'!$B$229=P$3,SUMIF('TL19'!$C$238:$C$451,$C306,'TL19'!$J$238:$J$451),0)
),0)</f>
        <v>0</v>
      </c>
      <c r="Q306" s="9">
        <f>IFERROR(SUM(
IF('TL01'!$B$3=Q$3,SUMIF('TL01'!$C$10:$C$224,$C306,'TL01'!$J$10:$J$224),0),
IF('TL01'!$B$229=Q$3,SUMIF('TL01'!$C$238:$C$451,$C306,'TL01'!$J$238:$J$451),0),
IF('TL02'!$B$3=Q$3,SUMIF('TL02'!$C$10:$C$224,$C306,'TL02'!$J$10:$J$224),0),
IF('TL02'!$B$229=Q$3,SUMIF('TL02'!$C$238:$C$451,$C306,'TL02'!$J$238:$J$451),0),
IF('TL03'!$B$3=Q$3,SUMIF('TL03'!$C$10:$C$224,$C306,'TL03'!$J$10:$J$224),0),
IF('TL03'!$B$229=Q$3,SUMIF('TL03'!$C$238:$C$451,$C306,'TL03'!$J$238:$J$451),0),
IF('TL04'!$B$3=Q$3,SUMIF('TL04'!$C$10:$C$224,$C306,'TL04'!$J$10:$J$224),0),
IF('TL04'!$B$229=Q$3,SUMIF('TL04'!$C$238:$C$451,$C306,'TL04'!$J$238:$J$451),0),
IF('TL05'!$B$3=Q$3,SUMIF('TL05'!$C$10:$C$224,$C306,'TL05'!$J$10:$J$224),0),
IF('TL05'!$B$229=Q$3,SUMIF('TL05'!$C$238:$C$451,$C306,'TL05'!$J$238:$J$451),0),
IF('TL06'!$B$3=Q$3,SUMIF('TL06'!$C$10:$C$224,$C306,'TL06'!$J$10:$J$224),0),
IF('TL06'!$B$229=Q$3,SUMIF('TL06'!$C$238:$C$451,$C306,'TL06'!$J$238:$J$451),0),
IF('TL07'!$B$3=Q$3,SUMIF('TL07'!$C$10:$C$224,$C306,'TL07'!$J$10:$J$224),0),
IF('TL07'!$B$229=Q$3,SUMIF('TL07'!$C$238:$C$451,$C306,'TL07'!$J$238:$J$451),0),
IF('TL08'!$B$3=Q$3,SUMIF('TL08'!$C$10:$C$224,$C306,'TL08'!$J$10:$J$224),0),
IF('TL08'!$B$229=Q$3,SUMIF('TL08'!$C$238:$C$451,$C306,'TL08'!$J$238:$J$451),0),
IF('TL09'!$B$3=Q$3,SUMIF('TL09'!$C$10:$C$224,$C306,'TL09'!$J$10:$J$224),0),
IF('TL09'!$B$229=Q$3,SUMIF('TL09'!$C$238:$C$451,$C306,'TL09'!$J$238:$J$451),0),
IF('TL10'!$B$3=Q$3,SUMIF('TL10'!$C$10:$C$224,$C306,'TL10'!$J$10:$J$224),0),
IF('TL10'!$B$229=Q$3,SUMIF('TL10'!$C$238:$C$451,$C306,'TL10'!$J$238:$J$451),0),
IF('TL11'!$B$3=Q$3,SUMIF('TL11'!$C$10:$C$224,$C306,'TL11'!$J$10:$J$224),0),
IF('TL11'!$B$229=Q$3,SUMIF('TL11'!$C$238:$C$451,$C306,'TL11'!$J$238:$J$451),0),
IF('TL12'!$B$3=Q$3,SUMIF('TL12'!$C$10:$C$224,$C306,'TL12'!$J$10:$J$224),0),
IF('TL12'!$B$229=Q$3,SUMIF('TL12'!$C$238:$C$451,$C306,'TL12'!$J$238:$J$451),0),
IF('TL13'!$B$3=Q$3,SUMIF('TL13'!$C$10:$C$224,$C306,'TL13'!$J$10:$J$224),0),
IF('TL13'!$B$229=Q$3,SUMIF('TL13'!$C$238:$C$451,$C306,'TL13'!$J$238:$J$451),0),
IF('TL14'!$B$3=Q$3,SUMIF('TL14'!$C$10:$C$224,$C306,'TL14'!$J$10:$J$224),0),
IF('TL14'!$B$229=Q$3,SUMIF('TL14'!$C$238:$C$451,$C306,'TL14'!$J$238:$J$451),0),
IF('TL15'!$B$3=Q$3,SUMIF('TL15'!$C$10:$C$224,$C306,'TL15'!$J$10:$J$224),0),
IF('TL15'!$B$229=Q$3,SUMIF('TL15'!$C$238:$C$451,$C306,'TL15'!$J$238:$J$451),0),
IF('TL16'!$B$3=Q$3,SUMIF('TL16'!$C$10:$C$224,$C306,'TL16'!$J$10:$J$224),0),
IF('TL16'!$B$229=Q$3,SUMIF('TL16'!$C$238:$C$451,$C306,'TL16'!$J$238:$J$451),0),
IF('TL17'!$B$3=Q$3,SUMIF('TL17'!$C$10:$C$224,$C306,'TL17'!$J$10:$J$224),0),
IF('TL17'!$B$229=Q$3,SUMIF('TL17'!$C$238:$C$451,$C306,'TL17'!$J$238:$J$451),0),
IF('TL18'!$B$3=Q$3,SUMIF('TL18'!$C$10:$C$224,$C306,'TL18'!$J$10:$J$224),0),
IF('TL18'!$B$229=Q$3,SUMIF('TL18'!$C$238:$C$451,$C306,'TL18'!$J$238:$J$451),0),
IF('TL19'!$B$3=Q$3,SUMIF('TL19'!$C$10:$C$224,$C306,'TL19'!$J$10:$J$224),0),
IF('TL19'!$B$229=Q$3,SUMIF('TL19'!$C$238:$C$451,$C306,'TL19'!$J$238:$J$451),0)
),0)</f>
        <v>0</v>
      </c>
      <c r="R306" s="9">
        <f>IFERROR(
SUM(
SUMIF('TL01'!C:C,C306,'TL01'!J:J),
SUMIF('TL02'!C:C,C306,'TL02'!J:J),
SUMIF('TL03'!C:C,C306,'TL03'!J:J),
SUMIF('TL04'!C:C,C306,'TL04'!J:J),
SUMIF('TL05'!C:C,C306,'TL05'!J:J),
SUMIF('TL06'!C:C,C306,'TL06'!J:J),
SUMIF('TL07'!C:C,C306,'TL07'!J:J),
SUMIF('TL08'!C:C,C306,'TL08'!J:J),
SUMIF('TL09'!C:C,C306,'TL09'!J:J),
SUMIF('TL10'!C:C,C306,'TL10'!J:J),
SUMIF('TL11'!C:C,C306,'TL11'!J:J),
SUMIF('TL12'!C:C,C306,'TL12'!J:J),
SUMIF('TL13'!C:C,C306,'TL13'!J:J),
SUMIF('TL14'!C:C,C306,'TL14'!J:J),
SUMIF('TL15'!C:C,C306,'TL15'!J:J),
SUMIF('TL16'!C:C,C306,'TL16'!J:J),
SUMIF('TL17'!C:C,C306,'TL17'!J:J),
SUMIF('TL18'!C:C,C306,'TL18'!J:J),SUMIF('TL19'!C:C,C306,'TL19'!J:J))
,0)</f>
        <v>0</v>
      </c>
      <c r="S306" s="17">
        <f>IFERROR(__xludf.DUMMYFUNCTION("IFERROR(VLOOKUP(C306,
IMPORTRANGE(""1wULbzX32WdYsx-lj2U3uUNBBe2INVIRDtcK0d-Dvl90"",
""26-27!C:G""),
5,
FALSE),
"""")"),420.812)</f>
        <v>420.812</v>
      </c>
      <c r="T306" s="9"/>
      <c r="U306" s="92">
        <f t="shared" si="2"/>
        <v>0</v>
      </c>
      <c r="V306" s="93">
        <f t="shared" si="3"/>
        <v>0</v>
      </c>
    </row>
    <row r="307" ht="15.75" hidden="1" customHeight="1">
      <c r="A307" s="4"/>
      <c r="B307" s="125" t="s">
        <v>5</v>
      </c>
      <c r="C307" s="4" t="s">
        <v>1029</v>
      </c>
      <c r="D307" s="6"/>
      <c r="E307" s="9"/>
      <c r="F307" s="4"/>
      <c r="G307" s="90" t="str">
        <f t="shared" si="5"/>
        <v>📄 Ver bula</v>
      </c>
      <c r="H307" s="9"/>
      <c r="I307" s="1"/>
      <c r="J307" s="9">
        <f>IFERROR(SUM(
IF('TL01'!$B$3=J$3,SUMIF('TL01'!$C$10:$C$224,$C307,'TL01'!$J$10:$J$224),0),
IF('TL01'!$B$229=J$3,SUMIF('TL01'!$C$238:$C$451,$C307,'TL01'!$J$238:$J$451),0),
IF('TL02'!$B$3=J$3,SUMIF('TL02'!$C$10:$C$224,$C307,'TL02'!$J$10:$J$224),0),
IF('TL02'!$B$229=J$3,SUMIF('TL02'!$C$238:$C$451,$C307,'TL02'!$J$238:$J$451),0),
IF('TL03'!$B$3=J$3,SUMIF('TL03'!$C$10:$C$224,$C307,'TL03'!$J$10:$J$224),0),
IF('TL03'!$B$229=J$3,SUMIF('TL03'!$C$238:$C$451,$C307,'TL03'!$J$238:$J$451),0),
IF('TL04'!$B$3=J$3,SUMIF('TL04'!$C$10:$C$224,$C307,'TL04'!$J$10:$J$224),0),
IF('TL04'!$B$229=J$3,SUMIF('TL04'!$C$238:$C$451,$C307,'TL04'!$J$238:$J$451),0),
IF('TL05'!$B$3=J$3,SUMIF('TL05'!$C$10:$C$224,$C307,'TL05'!$J$10:$J$224),0),
IF('TL05'!$B$229=J$3,SUMIF('TL05'!$C$238:$C$451,$C307,'TL05'!$J$238:$J$451),0),
IF('TL06'!$B$3=J$3,SUMIF('TL06'!$C$10:$C$224,$C307,'TL06'!$J$10:$J$224),0),
IF('TL06'!$B$229=J$3,SUMIF('TL06'!$C$238:$C$451,$C307,'TL06'!$J$238:$J$451),0),
IF('TL07'!$B$3=J$3,SUMIF('TL07'!$C$10:$C$224,$C307,'TL07'!$J$10:$J$224),0),
IF('TL07'!$B$229=J$3,SUMIF('TL07'!$C$238:$C$451,$C307,'TL07'!$J$238:$J$451),0),
IF('TL08'!$B$3=J$3,SUMIF('TL08'!$C$10:$C$224,$C307,'TL08'!$J$10:$J$224),0),
IF('TL08'!$B$229=J$3,SUMIF('TL08'!$C$238:$C$451,$C307,'TL08'!$J$238:$J$451),0),
IF('TL09'!$B$3=J$3,SUMIF('TL09'!$C$10:$C$224,$C307,'TL09'!$J$10:$J$224),0),
IF('TL09'!$B$229=J$3,SUMIF('TL09'!$C$238:$C$451,$C307,'TL09'!$J$238:$J$451),0),
IF('TL10'!$B$3=J$3,SUMIF('TL10'!$C$10:$C$224,$C307,'TL10'!$J$10:$J$224),0),
IF('TL10'!$B$229=J$3,SUMIF('TL10'!$C$238:$C$451,$C307,'TL10'!$J$238:$J$451),0),
IF('TL11'!$B$3=J$3,SUMIF('TL11'!$C$10:$C$224,$C307,'TL11'!$J$10:$J$224),0),
IF('TL11'!$B$229=J$3,SUMIF('TL11'!$C$238:$C$451,$C307,'TL11'!$J$238:$J$451),0),
IF('TL12'!$B$3=J$3,SUMIF('TL12'!$C$10:$C$224,$C307,'TL12'!$J$10:$J$224),0),
IF('TL12'!$B$229=J$3,SUMIF('TL12'!$C$238:$C$451,$C307,'TL12'!$J$238:$J$451),0),
IF('TL13'!$B$3=J$3,SUMIF('TL13'!$C$10:$C$224,$C307,'TL13'!$J$10:$J$224),0),
IF('TL13'!$B$229=J$3,SUMIF('TL13'!$C$238:$C$451,$C307,'TL13'!$J$238:$J$451),0),
IF('TL14'!$B$3=J$3,SUMIF('TL14'!$C$10:$C$224,$C307,'TL14'!$J$10:$J$224),0),
IF('TL14'!$B$229=J$3,SUMIF('TL14'!$C$238:$C$451,$C307,'TL14'!$J$238:$J$451),0),
IF('TL15'!$B$3=J$3,SUMIF('TL15'!$C$10:$C$224,$C307,'TL15'!$J$10:$J$224),0),
IF('TL15'!$B$229=J$3,SUMIF('TL15'!$C$238:$C$451,$C307,'TL15'!$J$238:$J$451),0),
IF('TL16'!$B$3=J$3,SUMIF('TL16'!$C$10:$C$224,$C307,'TL16'!$J$10:$J$224),0),
IF('TL16'!$B$229=J$3,SUMIF('TL16'!$C$238:$C$451,$C307,'TL16'!$J$238:$J$451),0),
IF('TL17'!$B$3=J$3,SUMIF('TL17'!$C$10:$C$224,$C307,'TL17'!$J$10:$J$224),0),
IF('TL17'!$B$229=J$3,SUMIF('TL17'!$C$238:$C$451,$C307,'TL17'!$J$238:$J$451),0),
IF('TL18'!$B$3=J$3,SUMIF('TL18'!$C$10:$C$224,$C307,'TL18'!$J$10:$J$224),0),
IF('TL18'!$B$229=J$3,SUMIF('TL18'!$C$238:$C$451,$C307,'TL18'!$J$238:$J$451),0),
IF('TL19'!$B$3=J$3,SUMIF('TL19'!$C$10:$C$224,$C307,'TL19'!$J$10:$J$224),0),
IF('TL19'!$B$229=J$3,SUMIF('TL19'!$C$238:$C$451,$C307,'TL19'!$J$238:$J$451),0)
),0)</f>
        <v>0</v>
      </c>
      <c r="K307" s="9">
        <f>IFERROR(SUM(
IF('TL01'!$B$3=K$3,SUMIF('TL01'!$C$10:$C$224,$C307,'TL01'!$J$10:$J$224),0),
IF('TL01'!$B$229=K$3,SUMIF('TL01'!$C$238:$C$451,$C307,'TL01'!$J$238:$J$451),0),
IF('TL02'!$B$3=K$3,SUMIF('TL02'!$C$10:$C$224,$C307,'TL02'!$J$10:$J$224),0),
IF('TL02'!$B$229=K$3,SUMIF('TL02'!$C$238:$C$451,$C307,'TL02'!$J$238:$J$451),0),
IF('TL03'!$B$3=K$3,SUMIF('TL03'!$C$10:$C$224,$C307,'TL03'!$J$10:$J$224),0),
IF('TL03'!$B$229=K$3,SUMIF('TL03'!$C$238:$C$451,$C307,'TL03'!$J$238:$J$451),0),
IF('TL04'!$B$3=K$3,SUMIF('TL04'!$C$10:$C$224,$C307,'TL04'!$J$10:$J$224),0),
IF('TL04'!$B$229=K$3,SUMIF('TL04'!$C$238:$C$451,$C307,'TL04'!$J$238:$J$451),0),
IF('TL05'!$B$3=K$3,SUMIF('TL05'!$C$10:$C$224,$C307,'TL05'!$J$10:$J$224),0),
IF('TL05'!$B$229=K$3,SUMIF('TL05'!$C$238:$C$451,$C307,'TL05'!$J$238:$J$451),0),
IF('TL06'!$B$3=K$3,SUMIF('TL06'!$C$10:$C$224,$C307,'TL06'!$J$10:$J$224),0),
IF('TL06'!$B$229=K$3,SUMIF('TL06'!$C$238:$C$451,$C307,'TL06'!$J$238:$J$451),0),
IF('TL07'!$B$3=K$3,SUMIF('TL07'!$C$10:$C$224,$C307,'TL07'!$J$10:$J$224),0),
IF('TL07'!$B$229=K$3,SUMIF('TL07'!$C$238:$C$451,$C307,'TL07'!$J$238:$J$451),0),
IF('TL08'!$B$3=K$3,SUMIF('TL08'!$C$10:$C$224,$C307,'TL08'!$J$10:$J$224),0),
IF('TL08'!$B$229=K$3,SUMIF('TL08'!$C$238:$C$451,$C307,'TL08'!$J$238:$J$451),0),
IF('TL09'!$B$3=K$3,SUMIF('TL09'!$C$10:$C$224,$C307,'TL09'!$J$10:$J$224),0),
IF('TL09'!$B$229=K$3,SUMIF('TL09'!$C$238:$C$451,$C307,'TL09'!$J$238:$J$451),0),
IF('TL10'!$B$3=K$3,SUMIF('TL10'!$C$10:$C$224,$C307,'TL10'!$J$10:$J$224),0),
IF('TL10'!$B$229=K$3,SUMIF('TL10'!$C$238:$C$451,$C307,'TL10'!$J$238:$J$451),0),
IF('TL11'!$B$3=K$3,SUMIF('TL11'!$C$10:$C$224,$C307,'TL11'!$J$10:$J$224),0),
IF('TL11'!$B$229=K$3,SUMIF('TL11'!$C$238:$C$451,$C307,'TL11'!$J$238:$J$451),0),
IF('TL12'!$B$3=K$3,SUMIF('TL12'!$C$10:$C$224,$C307,'TL12'!$J$10:$J$224),0),
IF('TL12'!$B$229=K$3,SUMIF('TL12'!$C$238:$C$451,$C307,'TL12'!$J$238:$J$451),0),
IF('TL13'!$B$3=K$3,SUMIF('TL13'!$C$10:$C$224,$C307,'TL13'!$J$10:$J$224),0),
IF('TL13'!$B$229=K$3,SUMIF('TL13'!$C$238:$C$451,$C307,'TL13'!$J$238:$J$451),0),
IF('TL14'!$B$3=K$3,SUMIF('TL14'!$C$10:$C$224,$C307,'TL14'!$J$10:$J$224),0),
IF('TL14'!$B$229=K$3,SUMIF('TL14'!$C$238:$C$451,$C307,'TL14'!$J$238:$J$451),0),
IF('TL15'!$B$3=K$3,SUMIF('TL15'!$C$10:$C$224,$C307,'TL15'!$J$10:$J$224),0),
IF('TL15'!$B$229=K$3,SUMIF('TL15'!$C$238:$C$451,$C307,'TL15'!$J$238:$J$451),0),
IF('TL16'!$B$3=K$3,SUMIF('TL16'!$C$10:$C$224,$C307,'TL16'!$J$10:$J$224),0),
IF('TL16'!$B$229=K$3,SUMIF('TL16'!$C$238:$C$451,$C307,'TL16'!$J$238:$J$451),0),
IF('TL17'!$B$3=K$3,SUMIF('TL17'!$C$10:$C$224,$C307,'TL17'!$J$10:$J$224),0),
IF('TL17'!$B$229=K$3,SUMIF('TL17'!$C$238:$C$451,$C307,'TL17'!$J$238:$J$451),0),
IF('TL18'!$B$3=K$3,SUMIF('TL18'!$C$10:$C$224,$C307,'TL18'!$J$10:$J$224),0),
IF('TL18'!$B$229=K$3,SUMIF('TL18'!$C$238:$C$451,$C307,'TL18'!$J$238:$J$451),0),
IF('TL19'!$B$3=K$3,SUMIF('TL19'!$C$10:$C$224,$C307,'TL19'!$J$10:$J$224),0),
IF('TL19'!$B$229=K$3,SUMIF('TL19'!$C$238:$C$451,$C307,'TL19'!$J$238:$J$451),0)
),0)</f>
        <v>0</v>
      </c>
      <c r="L307" s="9">
        <f>IFERROR(SUM(
IF('TL01'!$B$3=L$3,SUMIF('TL01'!$C$10:$C$224,$C307,'TL01'!$J$10:$J$224),0),
IF('TL01'!$B$229=L$3,SUMIF('TL01'!$C$238:$C$451,$C307,'TL01'!$J$238:$J$451),0),
IF('TL02'!$B$3=L$3,SUMIF('TL02'!$C$10:$C$224,$C307,'TL02'!$J$10:$J$224),0),
IF('TL02'!$B$229=L$3,SUMIF('TL02'!$C$238:$C$451,$C307,'TL02'!$J$238:$J$451),0),
IF('TL03'!$B$3=L$3,SUMIF('TL03'!$C$10:$C$224,$C307,'TL03'!$J$10:$J$224),0),
IF('TL03'!$B$229=L$3,SUMIF('TL03'!$C$238:$C$451,$C307,'TL03'!$J$238:$J$451),0),
IF('TL04'!$B$3=L$3,SUMIF('TL04'!$C$10:$C$224,$C307,'TL04'!$J$10:$J$224),0),
IF('TL04'!$B$229=L$3,SUMIF('TL04'!$C$238:$C$451,$C307,'TL04'!$J$238:$J$451),0),
IF('TL05'!$B$3=L$3,SUMIF('TL05'!$C$10:$C$224,$C307,'TL05'!$J$10:$J$224),0),
IF('TL05'!$B$229=L$3,SUMIF('TL05'!$C$238:$C$451,$C307,'TL05'!$J$238:$J$451),0),
IF('TL06'!$B$3=L$3,SUMIF('TL06'!$C$10:$C$224,$C307,'TL06'!$J$10:$J$224),0),
IF('TL06'!$B$229=L$3,SUMIF('TL06'!$C$238:$C$451,$C307,'TL06'!$J$238:$J$451),0),
IF('TL07'!$B$3=L$3,SUMIF('TL07'!$C$10:$C$224,$C307,'TL07'!$J$10:$J$224),0),
IF('TL07'!$B$229=L$3,SUMIF('TL07'!$C$238:$C$451,$C307,'TL07'!$J$238:$J$451),0),
IF('TL08'!$B$3=L$3,SUMIF('TL08'!$C$10:$C$224,$C307,'TL08'!$J$10:$J$224),0),
IF('TL08'!$B$229=L$3,SUMIF('TL08'!$C$238:$C$451,$C307,'TL08'!$J$238:$J$451),0),
IF('TL09'!$B$3=L$3,SUMIF('TL09'!$C$10:$C$224,$C307,'TL09'!$J$10:$J$224),0),
IF('TL09'!$B$229=L$3,SUMIF('TL09'!$C$238:$C$451,$C307,'TL09'!$J$238:$J$451),0),
IF('TL10'!$B$3=L$3,SUMIF('TL10'!$C$10:$C$224,$C307,'TL10'!$J$10:$J$224),0),
IF('TL10'!$B$229=L$3,SUMIF('TL10'!$C$238:$C$451,$C307,'TL10'!$J$238:$J$451),0),
IF('TL11'!$B$3=L$3,SUMIF('TL11'!$C$10:$C$224,$C307,'TL11'!$J$10:$J$224),0),
IF('TL11'!$B$229=L$3,SUMIF('TL11'!$C$238:$C$451,$C307,'TL11'!$J$238:$J$451),0),
IF('TL12'!$B$3=L$3,SUMIF('TL12'!$C$10:$C$224,$C307,'TL12'!$J$10:$J$224),0),
IF('TL12'!$B$229=L$3,SUMIF('TL12'!$C$238:$C$451,$C307,'TL12'!$J$238:$J$451),0),
IF('TL13'!$B$3=L$3,SUMIF('TL13'!$C$10:$C$224,$C307,'TL13'!$J$10:$J$224),0),
IF('TL13'!$B$229=L$3,SUMIF('TL13'!$C$238:$C$451,$C307,'TL13'!$J$238:$J$451),0),
IF('TL14'!$B$3=L$3,SUMIF('TL14'!$C$10:$C$224,$C307,'TL14'!$J$10:$J$224),0),
IF('TL14'!$B$229=L$3,SUMIF('TL14'!$C$238:$C$451,$C307,'TL14'!$J$238:$J$451),0),
IF('TL15'!$B$3=L$3,SUMIF('TL15'!$C$10:$C$224,$C307,'TL15'!$J$10:$J$224),0),
IF('TL15'!$B$229=L$3,SUMIF('TL15'!$C$238:$C$451,$C307,'TL15'!$J$238:$J$451),0),
IF('TL16'!$B$3=L$3,SUMIF('TL16'!$C$10:$C$224,$C307,'TL16'!$J$10:$J$224),0),
IF('TL16'!$B$229=L$3,SUMIF('TL16'!$C$238:$C$451,$C307,'TL16'!$J$238:$J$451),0),
IF('TL17'!$B$3=L$3,SUMIF('TL17'!$C$10:$C$224,$C307,'TL17'!$J$10:$J$224),0),
IF('TL17'!$B$229=L$3,SUMIF('TL17'!$C$238:$C$451,$C307,'TL17'!$J$238:$J$451),0),
IF('TL18'!$B$3=L$3,SUMIF('TL18'!$C$10:$C$224,$C307,'TL18'!$J$10:$J$224),0),
IF('TL18'!$B$229=L$3,SUMIF('TL18'!$C$238:$C$451,$C307,'TL18'!$J$238:$J$451),0),
IF('TL19'!$B$3=L$3,SUMIF('TL19'!$C$10:$C$224,$C307,'TL19'!$J$10:$J$224),0),
IF('TL19'!$B$229=L$3,SUMIF('TL19'!$C$238:$C$451,$C307,'TL19'!$J$238:$J$451),0)
),0)</f>
        <v>0</v>
      </c>
      <c r="M307" s="9">
        <f>IFERROR(SUM(
IF('TL01'!$B$3=M$3,SUMIF('TL01'!$C$10:$C$224,$C307,'TL01'!$J$10:$J$224),0),
IF('TL01'!$B$229=M$3,SUMIF('TL01'!$C$238:$C$451,$C307,'TL01'!$J$238:$J$451),0),
IF('TL02'!$B$3=M$3,SUMIF('TL02'!$C$10:$C$224,$C307,'TL02'!$J$10:$J$224),0),
IF('TL02'!$B$229=M$3,SUMIF('TL02'!$C$238:$C$451,$C307,'TL02'!$J$238:$J$451),0),
IF('TL03'!$B$3=M$3,SUMIF('TL03'!$C$10:$C$224,$C307,'TL03'!$J$10:$J$224),0),
IF('TL03'!$B$229=M$3,SUMIF('TL03'!$C$238:$C$451,$C307,'TL03'!$J$238:$J$451),0),
IF('TL04'!$B$3=M$3,SUMIF('TL04'!$C$10:$C$224,$C307,'TL04'!$J$10:$J$224),0),
IF('TL04'!$B$229=M$3,SUMIF('TL04'!$C$238:$C$451,$C307,'TL04'!$J$238:$J$451),0),
IF('TL05'!$B$3=M$3,SUMIF('TL05'!$C$10:$C$224,$C307,'TL05'!$J$10:$J$224),0),
IF('TL05'!$B$229=M$3,SUMIF('TL05'!$C$238:$C$451,$C307,'TL05'!$J$238:$J$451),0),
IF('TL06'!$B$3=M$3,SUMIF('TL06'!$C$10:$C$224,$C307,'TL06'!$J$10:$J$224),0),
IF('TL06'!$B$229=M$3,SUMIF('TL06'!$C$238:$C$451,$C307,'TL06'!$J$238:$J$451),0),
IF('TL07'!$B$3=M$3,SUMIF('TL07'!$C$10:$C$224,$C307,'TL07'!$J$10:$J$224),0),
IF('TL07'!$B$229=M$3,SUMIF('TL07'!$C$238:$C$451,$C307,'TL07'!$J$238:$J$451),0),
IF('TL08'!$B$3=M$3,SUMIF('TL08'!$C$10:$C$224,$C307,'TL08'!$J$10:$J$224),0),
IF('TL08'!$B$229=M$3,SUMIF('TL08'!$C$238:$C$451,$C307,'TL08'!$J$238:$J$451),0),
IF('TL09'!$B$3=M$3,SUMIF('TL09'!$C$10:$C$224,$C307,'TL09'!$J$10:$J$224),0),
IF('TL09'!$B$229=M$3,SUMIF('TL09'!$C$238:$C$451,$C307,'TL09'!$J$238:$J$451),0),
IF('TL10'!$B$3=M$3,SUMIF('TL10'!$C$10:$C$224,$C307,'TL10'!$J$10:$J$224),0),
IF('TL10'!$B$229=M$3,SUMIF('TL10'!$C$238:$C$451,$C307,'TL10'!$J$238:$J$451),0),
IF('TL11'!$B$3=M$3,SUMIF('TL11'!$C$10:$C$224,$C307,'TL11'!$J$10:$J$224),0),
IF('TL11'!$B$229=M$3,SUMIF('TL11'!$C$238:$C$451,$C307,'TL11'!$J$238:$J$451),0),
IF('TL12'!$B$3=M$3,SUMIF('TL12'!$C$10:$C$224,$C307,'TL12'!$J$10:$J$224),0),
IF('TL12'!$B$229=M$3,SUMIF('TL12'!$C$238:$C$451,$C307,'TL12'!$J$238:$J$451),0),
IF('TL13'!$B$3=M$3,SUMIF('TL13'!$C$10:$C$224,$C307,'TL13'!$J$10:$J$224),0),
IF('TL13'!$B$229=M$3,SUMIF('TL13'!$C$238:$C$451,$C307,'TL13'!$J$238:$J$451),0),
IF('TL14'!$B$3=M$3,SUMIF('TL14'!$C$10:$C$224,$C307,'TL14'!$J$10:$J$224),0),
IF('TL14'!$B$229=M$3,SUMIF('TL14'!$C$238:$C$451,$C307,'TL14'!$J$238:$J$451),0),
IF('TL15'!$B$3=M$3,SUMIF('TL15'!$C$10:$C$224,$C307,'TL15'!$J$10:$J$224),0),
IF('TL15'!$B$229=M$3,SUMIF('TL15'!$C$238:$C$451,$C307,'TL15'!$J$238:$J$451),0),
IF('TL16'!$B$3=M$3,SUMIF('TL16'!$C$10:$C$224,$C307,'TL16'!$J$10:$J$224),0),
IF('TL16'!$B$229=M$3,SUMIF('TL16'!$C$238:$C$451,$C307,'TL16'!$J$238:$J$451),0),
IF('TL17'!$B$3=M$3,SUMIF('TL17'!$C$10:$C$224,$C307,'TL17'!$J$10:$J$224),0),
IF('TL17'!$B$229=M$3,SUMIF('TL17'!$C$238:$C$451,$C307,'TL17'!$J$238:$J$451),0),
IF('TL18'!$B$3=M$3,SUMIF('TL18'!$C$10:$C$224,$C307,'TL18'!$J$10:$J$224),0),
IF('TL18'!$B$229=M$3,SUMIF('TL18'!$C$238:$C$451,$C307,'TL18'!$J$238:$J$451),0),
IF('TL19'!$B$3=M$3,SUMIF('TL19'!$C$10:$C$224,$C307,'TL19'!$J$10:$J$224),0),
IF('TL19'!$B$229=M$3,SUMIF('TL19'!$C$238:$C$451,$C307,'TL19'!$J$238:$J$451),0)
),0)</f>
        <v>0</v>
      </c>
      <c r="N307" s="9">
        <f>IFERROR(SUM(
IF('TL01'!$B$3=N$3,SUMIF('TL01'!$C$10:$C$224,$C307,'TL01'!$J$10:$J$224),0),
IF('TL01'!$B$229=N$3,SUMIF('TL01'!$C$238:$C$451,$C307,'TL01'!$J$238:$J$451),0),
IF('TL02'!$B$3=N$3,SUMIF('TL02'!$C$10:$C$224,$C307,'TL02'!$J$10:$J$224),0),
IF('TL02'!$B$229=N$3,SUMIF('TL02'!$C$238:$C$451,$C307,'TL02'!$J$238:$J$451),0),
IF('TL03'!$B$3=N$3,SUMIF('TL03'!$C$10:$C$224,$C307,'TL03'!$J$10:$J$224),0),
IF('TL03'!$B$229=N$3,SUMIF('TL03'!$C$238:$C$451,$C307,'TL03'!$J$238:$J$451),0),
IF('TL04'!$B$3=N$3,SUMIF('TL04'!$C$10:$C$224,$C307,'TL04'!$J$10:$J$224),0),
IF('TL04'!$B$229=N$3,SUMIF('TL04'!$C$238:$C$451,$C307,'TL04'!$J$238:$J$451),0),
IF('TL05'!$B$3=N$3,SUMIF('TL05'!$C$10:$C$224,$C307,'TL05'!$J$10:$J$224),0),
IF('TL05'!$B$229=N$3,SUMIF('TL05'!$C$238:$C$451,$C307,'TL05'!$J$238:$J$451),0),
IF('TL06'!$B$3=N$3,SUMIF('TL06'!$C$10:$C$224,$C307,'TL06'!$J$10:$J$224),0),
IF('TL06'!$B$229=N$3,SUMIF('TL06'!$C$238:$C$451,$C307,'TL06'!$J$238:$J$451),0),
IF('TL07'!$B$3=N$3,SUMIF('TL07'!$C$10:$C$224,$C307,'TL07'!$J$10:$J$224),0),
IF('TL07'!$B$229=N$3,SUMIF('TL07'!$C$238:$C$451,$C307,'TL07'!$J$238:$J$451),0),
IF('TL08'!$B$3=N$3,SUMIF('TL08'!$C$10:$C$224,$C307,'TL08'!$J$10:$J$224),0),
IF('TL08'!$B$229=N$3,SUMIF('TL08'!$C$238:$C$451,$C307,'TL08'!$J$238:$J$451),0),
IF('TL09'!$B$3=N$3,SUMIF('TL09'!$C$10:$C$224,$C307,'TL09'!$J$10:$J$224),0),
IF('TL09'!$B$229=N$3,SUMIF('TL09'!$C$238:$C$451,$C307,'TL09'!$J$238:$J$451),0),
IF('TL10'!$B$3=N$3,SUMIF('TL10'!$C$10:$C$224,$C307,'TL10'!$J$10:$J$224),0),
IF('TL10'!$B$229=N$3,SUMIF('TL10'!$C$238:$C$451,$C307,'TL10'!$J$238:$J$451),0),
IF('TL11'!$B$3=N$3,SUMIF('TL11'!$C$10:$C$224,$C307,'TL11'!$J$10:$J$224),0),
IF('TL11'!$B$229=N$3,SUMIF('TL11'!$C$238:$C$451,$C307,'TL11'!$J$238:$J$451),0),
IF('TL12'!$B$3=N$3,SUMIF('TL12'!$C$10:$C$224,$C307,'TL12'!$J$10:$J$224),0),
IF('TL12'!$B$229=N$3,SUMIF('TL12'!$C$238:$C$451,$C307,'TL12'!$J$238:$J$451),0),
IF('TL13'!$B$3=N$3,SUMIF('TL13'!$C$10:$C$224,$C307,'TL13'!$J$10:$J$224),0),
IF('TL13'!$B$229=N$3,SUMIF('TL13'!$C$238:$C$451,$C307,'TL13'!$J$238:$J$451),0),
IF('TL14'!$B$3=N$3,SUMIF('TL14'!$C$10:$C$224,$C307,'TL14'!$J$10:$J$224),0),
IF('TL14'!$B$229=N$3,SUMIF('TL14'!$C$238:$C$451,$C307,'TL14'!$J$238:$J$451),0),
IF('TL15'!$B$3=N$3,SUMIF('TL15'!$C$10:$C$224,$C307,'TL15'!$J$10:$J$224),0),
IF('TL15'!$B$229=N$3,SUMIF('TL15'!$C$238:$C$451,$C307,'TL15'!$J$238:$J$451),0),
IF('TL16'!$B$3=N$3,SUMIF('TL16'!$C$10:$C$224,$C307,'TL16'!$J$10:$J$224),0),
IF('TL16'!$B$229=N$3,SUMIF('TL16'!$C$238:$C$451,$C307,'TL16'!$J$238:$J$451),0),
IF('TL17'!$B$3=N$3,SUMIF('TL17'!$C$10:$C$224,$C307,'TL17'!$J$10:$J$224),0),
IF('TL17'!$B$229=N$3,SUMIF('TL17'!$C$238:$C$451,$C307,'TL17'!$J$238:$J$451),0),
IF('TL18'!$B$3=N$3,SUMIF('TL18'!$C$10:$C$224,$C307,'TL18'!$J$10:$J$224),0),
IF('TL18'!$B$229=N$3,SUMIF('TL18'!$C$238:$C$451,$C307,'TL18'!$J$238:$J$451),0),
IF('TL19'!$B$3=N$3,SUMIF('TL19'!$C$10:$C$224,$C307,'TL19'!$J$10:$J$224),0),
IF('TL19'!$B$229=N$3,SUMIF('TL19'!$C$238:$C$451,$C307,'TL19'!$J$238:$J$451),0)
),0)</f>
        <v>0</v>
      </c>
      <c r="O307" s="9">
        <f>IFERROR(SUM(
IF('TL01'!$B$3=O$3,SUMIF('TL01'!$C$10:$C$224,$C307,'TL01'!$J$10:$J$224),0),
IF('TL01'!$B$229=O$3,SUMIF('TL01'!$C$238:$C$451,$C307,'TL01'!$J$238:$J$451),0),
IF('TL02'!$B$3=O$3,SUMIF('TL02'!$C$10:$C$224,$C307,'TL02'!$J$10:$J$224),0),
IF('TL02'!$B$229=O$3,SUMIF('TL02'!$C$238:$C$451,$C307,'TL02'!$J$238:$J$451),0),
IF('TL03'!$B$3=O$3,SUMIF('TL03'!$C$10:$C$224,$C307,'TL03'!$J$10:$J$224),0),
IF('TL03'!$B$229=O$3,SUMIF('TL03'!$C$238:$C$451,$C307,'TL03'!$J$238:$J$451),0),
IF('TL04'!$B$3=O$3,SUMIF('TL04'!$C$10:$C$224,$C307,'TL04'!$J$10:$J$224),0),
IF('TL04'!$B$229=O$3,SUMIF('TL04'!$C$238:$C$451,$C307,'TL04'!$J$238:$J$451),0),
IF('TL05'!$B$3=O$3,SUMIF('TL05'!$C$10:$C$224,$C307,'TL05'!$J$10:$J$224),0),
IF('TL05'!$B$229=O$3,SUMIF('TL05'!$C$238:$C$451,$C307,'TL05'!$J$238:$J$451),0),
IF('TL06'!$B$3=O$3,SUMIF('TL06'!$C$10:$C$224,$C307,'TL06'!$J$10:$J$224),0),
IF('TL06'!$B$229=O$3,SUMIF('TL06'!$C$238:$C$451,$C307,'TL06'!$J$238:$J$451),0),
IF('TL07'!$B$3=O$3,SUMIF('TL07'!$C$10:$C$224,$C307,'TL07'!$J$10:$J$224),0),
IF('TL07'!$B$229=O$3,SUMIF('TL07'!$C$238:$C$451,$C307,'TL07'!$J$238:$J$451),0),
IF('TL08'!$B$3=O$3,SUMIF('TL08'!$C$10:$C$224,$C307,'TL08'!$J$10:$J$224),0),
IF('TL08'!$B$229=O$3,SUMIF('TL08'!$C$238:$C$451,$C307,'TL08'!$J$238:$J$451),0),
IF('TL09'!$B$3=O$3,SUMIF('TL09'!$C$10:$C$224,$C307,'TL09'!$J$10:$J$224),0),
IF('TL09'!$B$229=O$3,SUMIF('TL09'!$C$238:$C$451,$C307,'TL09'!$J$238:$J$451),0),
IF('TL10'!$B$3=O$3,SUMIF('TL10'!$C$10:$C$224,$C307,'TL10'!$J$10:$J$224),0),
IF('TL10'!$B$229=O$3,SUMIF('TL10'!$C$238:$C$451,$C307,'TL10'!$J$238:$J$451),0),
IF('TL11'!$B$3=O$3,SUMIF('TL11'!$C$10:$C$224,$C307,'TL11'!$J$10:$J$224),0),
IF('TL11'!$B$229=O$3,SUMIF('TL11'!$C$238:$C$451,$C307,'TL11'!$J$238:$J$451),0),
IF('TL12'!$B$3=O$3,SUMIF('TL12'!$C$10:$C$224,$C307,'TL12'!$J$10:$J$224),0),
IF('TL12'!$B$229=O$3,SUMIF('TL12'!$C$238:$C$451,$C307,'TL12'!$J$238:$J$451),0),
IF('TL13'!$B$3=O$3,SUMIF('TL13'!$C$10:$C$224,$C307,'TL13'!$J$10:$J$224),0),
IF('TL13'!$B$229=O$3,SUMIF('TL13'!$C$238:$C$451,$C307,'TL13'!$J$238:$J$451),0),
IF('TL14'!$B$3=O$3,SUMIF('TL14'!$C$10:$C$224,$C307,'TL14'!$J$10:$J$224),0),
IF('TL14'!$B$229=O$3,SUMIF('TL14'!$C$238:$C$451,$C307,'TL14'!$J$238:$J$451),0),
IF('TL15'!$B$3=O$3,SUMIF('TL15'!$C$10:$C$224,$C307,'TL15'!$J$10:$J$224),0),
IF('TL15'!$B$229=O$3,SUMIF('TL15'!$C$238:$C$451,$C307,'TL15'!$J$238:$J$451),0),
IF('TL16'!$B$3=O$3,SUMIF('TL16'!$C$10:$C$224,$C307,'TL16'!$J$10:$J$224),0),
IF('TL16'!$B$229=O$3,SUMIF('TL16'!$C$238:$C$451,$C307,'TL16'!$J$238:$J$451),0),
IF('TL17'!$B$3=O$3,SUMIF('TL17'!$C$10:$C$224,$C307,'TL17'!$J$10:$J$224),0),
IF('TL17'!$B$229=O$3,SUMIF('TL17'!$C$238:$C$451,$C307,'TL17'!$J$238:$J$451),0),
IF('TL18'!$B$3=O$3,SUMIF('TL18'!$C$10:$C$224,$C307,'TL18'!$J$10:$J$224),0),
IF('TL18'!$B$229=O$3,SUMIF('TL18'!$C$238:$C$451,$C307,'TL18'!$J$238:$J$451),0),
IF('TL19'!$B$3=O$3,SUMIF('TL19'!$C$10:$C$224,$C307,'TL19'!$J$10:$J$224),0),
IF('TL19'!$B$229=O$3,SUMIF('TL19'!$C$238:$C$451,$C307,'TL19'!$J$238:$J$451),0)
),0)</f>
        <v>0</v>
      </c>
      <c r="P307" s="9">
        <f>IFERROR(SUM(
IF('TL01'!$B$3=P$3,SUMIF('TL01'!$C$10:$C$224,$C307,'TL01'!$J$10:$J$224),0),
IF('TL01'!$B$229=P$3,SUMIF('TL01'!$C$238:$C$451,$C307,'TL01'!$J$238:$J$451),0),
IF('TL02'!$B$3=P$3,SUMIF('TL02'!$C$10:$C$224,$C307,'TL02'!$J$10:$J$224),0),
IF('TL02'!$B$229=P$3,SUMIF('TL02'!$C$238:$C$451,$C307,'TL02'!$J$238:$J$451),0),
IF('TL03'!$B$3=P$3,SUMIF('TL03'!$C$10:$C$224,$C307,'TL03'!$J$10:$J$224),0),
IF('TL03'!$B$229=P$3,SUMIF('TL03'!$C$238:$C$451,$C307,'TL03'!$J$238:$J$451),0),
IF('TL04'!$B$3=P$3,SUMIF('TL04'!$C$10:$C$224,$C307,'TL04'!$J$10:$J$224),0),
IF('TL04'!$B$229=P$3,SUMIF('TL04'!$C$238:$C$451,$C307,'TL04'!$J$238:$J$451),0),
IF('TL05'!$B$3=P$3,SUMIF('TL05'!$C$10:$C$224,$C307,'TL05'!$J$10:$J$224),0),
IF('TL05'!$B$229=P$3,SUMIF('TL05'!$C$238:$C$451,$C307,'TL05'!$J$238:$J$451),0),
IF('TL06'!$B$3=P$3,SUMIF('TL06'!$C$10:$C$224,$C307,'TL06'!$J$10:$J$224),0),
IF('TL06'!$B$229=P$3,SUMIF('TL06'!$C$238:$C$451,$C307,'TL06'!$J$238:$J$451),0),
IF('TL07'!$B$3=P$3,SUMIF('TL07'!$C$10:$C$224,$C307,'TL07'!$J$10:$J$224),0),
IF('TL07'!$B$229=P$3,SUMIF('TL07'!$C$238:$C$451,$C307,'TL07'!$J$238:$J$451),0),
IF('TL08'!$B$3=P$3,SUMIF('TL08'!$C$10:$C$224,$C307,'TL08'!$J$10:$J$224),0),
IF('TL08'!$B$229=P$3,SUMIF('TL08'!$C$238:$C$451,$C307,'TL08'!$J$238:$J$451),0),
IF('TL09'!$B$3=P$3,SUMIF('TL09'!$C$10:$C$224,$C307,'TL09'!$J$10:$J$224),0),
IF('TL09'!$B$229=P$3,SUMIF('TL09'!$C$238:$C$451,$C307,'TL09'!$J$238:$J$451),0),
IF('TL10'!$B$3=P$3,SUMIF('TL10'!$C$10:$C$224,$C307,'TL10'!$J$10:$J$224),0),
IF('TL10'!$B$229=P$3,SUMIF('TL10'!$C$238:$C$451,$C307,'TL10'!$J$238:$J$451),0),
IF('TL11'!$B$3=P$3,SUMIF('TL11'!$C$10:$C$224,$C307,'TL11'!$J$10:$J$224),0),
IF('TL11'!$B$229=P$3,SUMIF('TL11'!$C$238:$C$451,$C307,'TL11'!$J$238:$J$451),0),
IF('TL12'!$B$3=P$3,SUMIF('TL12'!$C$10:$C$224,$C307,'TL12'!$J$10:$J$224),0),
IF('TL12'!$B$229=P$3,SUMIF('TL12'!$C$238:$C$451,$C307,'TL12'!$J$238:$J$451),0),
IF('TL13'!$B$3=P$3,SUMIF('TL13'!$C$10:$C$224,$C307,'TL13'!$J$10:$J$224),0),
IF('TL13'!$B$229=P$3,SUMIF('TL13'!$C$238:$C$451,$C307,'TL13'!$J$238:$J$451),0),
IF('TL14'!$B$3=P$3,SUMIF('TL14'!$C$10:$C$224,$C307,'TL14'!$J$10:$J$224),0),
IF('TL14'!$B$229=P$3,SUMIF('TL14'!$C$238:$C$451,$C307,'TL14'!$J$238:$J$451),0),
IF('TL15'!$B$3=P$3,SUMIF('TL15'!$C$10:$C$224,$C307,'TL15'!$J$10:$J$224),0),
IF('TL15'!$B$229=P$3,SUMIF('TL15'!$C$238:$C$451,$C307,'TL15'!$J$238:$J$451),0),
IF('TL16'!$B$3=P$3,SUMIF('TL16'!$C$10:$C$224,$C307,'TL16'!$J$10:$J$224),0),
IF('TL16'!$B$229=P$3,SUMIF('TL16'!$C$238:$C$451,$C307,'TL16'!$J$238:$J$451),0),
IF('TL17'!$B$3=P$3,SUMIF('TL17'!$C$10:$C$224,$C307,'TL17'!$J$10:$J$224),0),
IF('TL17'!$B$229=P$3,SUMIF('TL17'!$C$238:$C$451,$C307,'TL17'!$J$238:$J$451),0),
IF('TL18'!$B$3=P$3,SUMIF('TL18'!$C$10:$C$224,$C307,'TL18'!$J$10:$J$224),0),
IF('TL18'!$B$229=P$3,SUMIF('TL18'!$C$238:$C$451,$C307,'TL18'!$J$238:$J$451),0),
IF('TL19'!$B$3=P$3,SUMIF('TL19'!$C$10:$C$224,$C307,'TL19'!$J$10:$J$224),0),
IF('TL19'!$B$229=P$3,SUMIF('TL19'!$C$238:$C$451,$C307,'TL19'!$J$238:$J$451),0)
),0)</f>
        <v>0</v>
      </c>
      <c r="Q307" s="9">
        <f>IFERROR(SUM(
IF('TL01'!$B$3=Q$3,SUMIF('TL01'!$C$10:$C$224,$C307,'TL01'!$J$10:$J$224),0),
IF('TL01'!$B$229=Q$3,SUMIF('TL01'!$C$238:$C$451,$C307,'TL01'!$J$238:$J$451),0),
IF('TL02'!$B$3=Q$3,SUMIF('TL02'!$C$10:$C$224,$C307,'TL02'!$J$10:$J$224),0),
IF('TL02'!$B$229=Q$3,SUMIF('TL02'!$C$238:$C$451,$C307,'TL02'!$J$238:$J$451),0),
IF('TL03'!$B$3=Q$3,SUMIF('TL03'!$C$10:$C$224,$C307,'TL03'!$J$10:$J$224),0),
IF('TL03'!$B$229=Q$3,SUMIF('TL03'!$C$238:$C$451,$C307,'TL03'!$J$238:$J$451),0),
IF('TL04'!$B$3=Q$3,SUMIF('TL04'!$C$10:$C$224,$C307,'TL04'!$J$10:$J$224),0),
IF('TL04'!$B$229=Q$3,SUMIF('TL04'!$C$238:$C$451,$C307,'TL04'!$J$238:$J$451),0),
IF('TL05'!$B$3=Q$3,SUMIF('TL05'!$C$10:$C$224,$C307,'TL05'!$J$10:$J$224),0),
IF('TL05'!$B$229=Q$3,SUMIF('TL05'!$C$238:$C$451,$C307,'TL05'!$J$238:$J$451),0),
IF('TL06'!$B$3=Q$3,SUMIF('TL06'!$C$10:$C$224,$C307,'TL06'!$J$10:$J$224),0),
IF('TL06'!$B$229=Q$3,SUMIF('TL06'!$C$238:$C$451,$C307,'TL06'!$J$238:$J$451),0),
IF('TL07'!$B$3=Q$3,SUMIF('TL07'!$C$10:$C$224,$C307,'TL07'!$J$10:$J$224),0),
IF('TL07'!$B$229=Q$3,SUMIF('TL07'!$C$238:$C$451,$C307,'TL07'!$J$238:$J$451),0),
IF('TL08'!$B$3=Q$3,SUMIF('TL08'!$C$10:$C$224,$C307,'TL08'!$J$10:$J$224),0),
IF('TL08'!$B$229=Q$3,SUMIF('TL08'!$C$238:$C$451,$C307,'TL08'!$J$238:$J$451),0),
IF('TL09'!$B$3=Q$3,SUMIF('TL09'!$C$10:$C$224,$C307,'TL09'!$J$10:$J$224),0),
IF('TL09'!$B$229=Q$3,SUMIF('TL09'!$C$238:$C$451,$C307,'TL09'!$J$238:$J$451),0),
IF('TL10'!$B$3=Q$3,SUMIF('TL10'!$C$10:$C$224,$C307,'TL10'!$J$10:$J$224),0),
IF('TL10'!$B$229=Q$3,SUMIF('TL10'!$C$238:$C$451,$C307,'TL10'!$J$238:$J$451),0),
IF('TL11'!$B$3=Q$3,SUMIF('TL11'!$C$10:$C$224,$C307,'TL11'!$J$10:$J$224),0),
IF('TL11'!$B$229=Q$3,SUMIF('TL11'!$C$238:$C$451,$C307,'TL11'!$J$238:$J$451),0),
IF('TL12'!$B$3=Q$3,SUMIF('TL12'!$C$10:$C$224,$C307,'TL12'!$J$10:$J$224),0),
IF('TL12'!$B$229=Q$3,SUMIF('TL12'!$C$238:$C$451,$C307,'TL12'!$J$238:$J$451),0),
IF('TL13'!$B$3=Q$3,SUMIF('TL13'!$C$10:$C$224,$C307,'TL13'!$J$10:$J$224),0),
IF('TL13'!$B$229=Q$3,SUMIF('TL13'!$C$238:$C$451,$C307,'TL13'!$J$238:$J$451),0),
IF('TL14'!$B$3=Q$3,SUMIF('TL14'!$C$10:$C$224,$C307,'TL14'!$J$10:$J$224),0),
IF('TL14'!$B$229=Q$3,SUMIF('TL14'!$C$238:$C$451,$C307,'TL14'!$J$238:$J$451),0),
IF('TL15'!$B$3=Q$3,SUMIF('TL15'!$C$10:$C$224,$C307,'TL15'!$J$10:$J$224),0),
IF('TL15'!$B$229=Q$3,SUMIF('TL15'!$C$238:$C$451,$C307,'TL15'!$J$238:$J$451),0),
IF('TL16'!$B$3=Q$3,SUMIF('TL16'!$C$10:$C$224,$C307,'TL16'!$J$10:$J$224),0),
IF('TL16'!$B$229=Q$3,SUMIF('TL16'!$C$238:$C$451,$C307,'TL16'!$J$238:$J$451),0),
IF('TL17'!$B$3=Q$3,SUMIF('TL17'!$C$10:$C$224,$C307,'TL17'!$J$10:$J$224),0),
IF('TL17'!$B$229=Q$3,SUMIF('TL17'!$C$238:$C$451,$C307,'TL17'!$J$238:$J$451),0),
IF('TL18'!$B$3=Q$3,SUMIF('TL18'!$C$10:$C$224,$C307,'TL18'!$J$10:$J$224),0),
IF('TL18'!$B$229=Q$3,SUMIF('TL18'!$C$238:$C$451,$C307,'TL18'!$J$238:$J$451),0),
IF('TL19'!$B$3=Q$3,SUMIF('TL19'!$C$10:$C$224,$C307,'TL19'!$J$10:$J$224),0),
IF('TL19'!$B$229=Q$3,SUMIF('TL19'!$C$238:$C$451,$C307,'TL19'!$J$238:$J$451),0)
),0)</f>
        <v>0</v>
      </c>
      <c r="R307" s="9">
        <f>IFERROR(
SUM(
SUMIF('TL01'!C:C,C307,'TL01'!J:J),
SUMIF('TL02'!C:C,C307,'TL02'!J:J),
SUMIF('TL03'!C:C,C307,'TL03'!J:J),
SUMIF('TL04'!C:C,C307,'TL04'!J:J),
SUMIF('TL05'!C:C,C307,'TL05'!J:J),
SUMIF('TL06'!C:C,C307,'TL06'!J:J),
SUMIF('TL07'!C:C,C307,'TL07'!J:J),
SUMIF('TL08'!C:C,C307,'TL08'!J:J),
SUMIF('TL09'!C:C,C307,'TL09'!J:J),
SUMIF('TL10'!C:C,C307,'TL10'!J:J),
SUMIF('TL11'!C:C,C307,'TL11'!J:J),
SUMIF('TL12'!C:C,C307,'TL12'!J:J),
SUMIF('TL13'!C:C,C307,'TL13'!J:J),
SUMIF('TL14'!C:C,C307,'TL14'!J:J),
SUMIF('TL15'!C:C,C307,'TL15'!J:J),
SUMIF('TL16'!C:C,C307,'TL16'!J:J),
SUMIF('TL17'!C:C,C307,'TL17'!J:J),
SUMIF('TL18'!C:C,C307,'TL18'!J:J),SUMIF('TL19'!C:C,C307,'TL19'!J:J))
,0)</f>
        <v>0</v>
      </c>
      <c r="S307" s="17" t="str">
        <f>IFERROR(__xludf.DUMMYFUNCTION("IFERROR(VLOOKUP(C307,
IMPORTRANGE(""1wULbzX32WdYsx-lj2U3uUNBBe2INVIRDtcK0d-Dvl90"",
""26-27!C:G""),
5,
FALSE),
"""")"),"")</f>
        <v/>
      </c>
      <c r="T307" s="9"/>
      <c r="U307" s="92">
        <f t="shared" si="2"/>
        <v>0</v>
      </c>
      <c r="V307" s="93">
        <f t="shared" si="3"/>
        <v>0</v>
      </c>
    </row>
    <row r="308" ht="15.75" hidden="1" customHeight="1">
      <c r="A308" s="4"/>
      <c r="B308" s="125" t="s">
        <v>5</v>
      </c>
      <c r="C308" s="4" t="s">
        <v>1030</v>
      </c>
      <c r="D308" s="6"/>
      <c r="E308" s="9"/>
      <c r="F308" s="4"/>
      <c r="G308" s="90" t="str">
        <f t="shared" si="5"/>
        <v>📄 Ver bula</v>
      </c>
      <c r="H308" s="9"/>
      <c r="I308" s="1"/>
      <c r="J308" s="9">
        <f>IFERROR(SUM(
IF('TL01'!$B$3=J$3,SUMIF('TL01'!$C$10:$C$224,$C308,'TL01'!$J$10:$J$224),0),
IF('TL01'!$B$229=J$3,SUMIF('TL01'!$C$238:$C$451,$C308,'TL01'!$J$238:$J$451),0),
IF('TL02'!$B$3=J$3,SUMIF('TL02'!$C$10:$C$224,$C308,'TL02'!$J$10:$J$224),0),
IF('TL02'!$B$229=J$3,SUMIF('TL02'!$C$238:$C$451,$C308,'TL02'!$J$238:$J$451),0),
IF('TL03'!$B$3=J$3,SUMIF('TL03'!$C$10:$C$224,$C308,'TL03'!$J$10:$J$224),0),
IF('TL03'!$B$229=J$3,SUMIF('TL03'!$C$238:$C$451,$C308,'TL03'!$J$238:$J$451),0),
IF('TL04'!$B$3=J$3,SUMIF('TL04'!$C$10:$C$224,$C308,'TL04'!$J$10:$J$224),0),
IF('TL04'!$B$229=J$3,SUMIF('TL04'!$C$238:$C$451,$C308,'TL04'!$J$238:$J$451),0),
IF('TL05'!$B$3=J$3,SUMIF('TL05'!$C$10:$C$224,$C308,'TL05'!$J$10:$J$224),0),
IF('TL05'!$B$229=J$3,SUMIF('TL05'!$C$238:$C$451,$C308,'TL05'!$J$238:$J$451),0),
IF('TL06'!$B$3=J$3,SUMIF('TL06'!$C$10:$C$224,$C308,'TL06'!$J$10:$J$224),0),
IF('TL06'!$B$229=J$3,SUMIF('TL06'!$C$238:$C$451,$C308,'TL06'!$J$238:$J$451),0),
IF('TL07'!$B$3=J$3,SUMIF('TL07'!$C$10:$C$224,$C308,'TL07'!$J$10:$J$224),0),
IF('TL07'!$B$229=J$3,SUMIF('TL07'!$C$238:$C$451,$C308,'TL07'!$J$238:$J$451),0),
IF('TL08'!$B$3=J$3,SUMIF('TL08'!$C$10:$C$224,$C308,'TL08'!$J$10:$J$224),0),
IF('TL08'!$B$229=J$3,SUMIF('TL08'!$C$238:$C$451,$C308,'TL08'!$J$238:$J$451),0),
IF('TL09'!$B$3=J$3,SUMIF('TL09'!$C$10:$C$224,$C308,'TL09'!$J$10:$J$224),0),
IF('TL09'!$B$229=J$3,SUMIF('TL09'!$C$238:$C$451,$C308,'TL09'!$J$238:$J$451),0),
IF('TL10'!$B$3=J$3,SUMIF('TL10'!$C$10:$C$224,$C308,'TL10'!$J$10:$J$224),0),
IF('TL10'!$B$229=J$3,SUMIF('TL10'!$C$238:$C$451,$C308,'TL10'!$J$238:$J$451),0),
IF('TL11'!$B$3=J$3,SUMIF('TL11'!$C$10:$C$224,$C308,'TL11'!$J$10:$J$224),0),
IF('TL11'!$B$229=J$3,SUMIF('TL11'!$C$238:$C$451,$C308,'TL11'!$J$238:$J$451),0),
IF('TL12'!$B$3=J$3,SUMIF('TL12'!$C$10:$C$224,$C308,'TL12'!$J$10:$J$224),0),
IF('TL12'!$B$229=J$3,SUMIF('TL12'!$C$238:$C$451,$C308,'TL12'!$J$238:$J$451),0),
IF('TL13'!$B$3=J$3,SUMIF('TL13'!$C$10:$C$224,$C308,'TL13'!$J$10:$J$224),0),
IF('TL13'!$B$229=J$3,SUMIF('TL13'!$C$238:$C$451,$C308,'TL13'!$J$238:$J$451),0),
IF('TL14'!$B$3=J$3,SUMIF('TL14'!$C$10:$C$224,$C308,'TL14'!$J$10:$J$224),0),
IF('TL14'!$B$229=J$3,SUMIF('TL14'!$C$238:$C$451,$C308,'TL14'!$J$238:$J$451),0),
IF('TL15'!$B$3=J$3,SUMIF('TL15'!$C$10:$C$224,$C308,'TL15'!$J$10:$J$224),0),
IF('TL15'!$B$229=J$3,SUMIF('TL15'!$C$238:$C$451,$C308,'TL15'!$J$238:$J$451),0),
IF('TL16'!$B$3=J$3,SUMIF('TL16'!$C$10:$C$224,$C308,'TL16'!$J$10:$J$224),0),
IF('TL16'!$B$229=J$3,SUMIF('TL16'!$C$238:$C$451,$C308,'TL16'!$J$238:$J$451),0),
IF('TL17'!$B$3=J$3,SUMIF('TL17'!$C$10:$C$224,$C308,'TL17'!$J$10:$J$224),0),
IF('TL17'!$B$229=J$3,SUMIF('TL17'!$C$238:$C$451,$C308,'TL17'!$J$238:$J$451),0),
IF('TL18'!$B$3=J$3,SUMIF('TL18'!$C$10:$C$224,$C308,'TL18'!$J$10:$J$224),0),
IF('TL18'!$B$229=J$3,SUMIF('TL18'!$C$238:$C$451,$C308,'TL18'!$J$238:$J$451),0),
IF('TL19'!$B$3=J$3,SUMIF('TL19'!$C$10:$C$224,$C308,'TL19'!$J$10:$J$224),0),
IF('TL19'!$B$229=J$3,SUMIF('TL19'!$C$238:$C$451,$C308,'TL19'!$J$238:$J$451),0)
),0)</f>
        <v>0</v>
      </c>
      <c r="K308" s="9">
        <f>IFERROR(SUM(
IF('TL01'!$B$3=K$3,SUMIF('TL01'!$C$10:$C$224,$C308,'TL01'!$J$10:$J$224),0),
IF('TL01'!$B$229=K$3,SUMIF('TL01'!$C$238:$C$451,$C308,'TL01'!$J$238:$J$451),0),
IF('TL02'!$B$3=K$3,SUMIF('TL02'!$C$10:$C$224,$C308,'TL02'!$J$10:$J$224),0),
IF('TL02'!$B$229=K$3,SUMIF('TL02'!$C$238:$C$451,$C308,'TL02'!$J$238:$J$451),0),
IF('TL03'!$B$3=K$3,SUMIF('TL03'!$C$10:$C$224,$C308,'TL03'!$J$10:$J$224),0),
IF('TL03'!$B$229=K$3,SUMIF('TL03'!$C$238:$C$451,$C308,'TL03'!$J$238:$J$451),0),
IF('TL04'!$B$3=K$3,SUMIF('TL04'!$C$10:$C$224,$C308,'TL04'!$J$10:$J$224),0),
IF('TL04'!$B$229=K$3,SUMIF('TL04'!$C$238:$C$451,$C308,'TL04'!$J$238:$J$451),0),
IF('TL05'!$B$3=K$3,SUMIF('TL05'!$C$10:$C$224,$C308,'TL05'!$J$10:$J$224),0),
IF('TL05'!$B$229=K$3,SUMIF('TL05'!$C$238:$C$451,$C308,'TL05'!$J$238:$J$451),0),
IF('TL06'!$B$3=K$3,SUMIF('TL06'!$C$10:$C$224,$C308,'TL06'!$J$10:$J$224),0),
IF('TL06'!$B$229=K$3,SUMIF('TL06'!$C$238:$C$451,$C308,'TL06'!$J$238:$J$451),0),
IF('TL07'!$B$3=K$3,SUMIF('TL07'!$C$10:$C$224,$C308,'TL07'!$J$10:$J$224),0),
IF('TL07'!$B$229=K$3,SUMIF('TL07'!$C$238:$C$451,$C308,'TL07'!$J$238:$J$451),0),
IF('TL08'!$B$3=K$3,SUMIF('TL08'!$C$10:$C$224,$C308,'TL08'!$J$10:$J$224),0),
IF('TL08'!$B$229=K$3,SUMIF('TL08'!$C$238:$C$451,$C308,'TL08'!$J$238:$J$451),0),
IF('TL09'!$B$3=K$3,SUMIF('TL09'!$C$10:$C$224,$C308,'TL09'!$J$10:$J$224),0),
IF('TL09'!$B$229=K$3,SUMIF('TL09'!$C$238:$C$451,$C308,'TL09'!$J$238:$J$451),0),
IF('TL10'!$B$3=K$3,SUMIF('TL10'!$C$10:$C$224,$C308,'TL10'!$J$10:$J$224),0),
IF('TL10'!$B$229=K$3,SUMIF('TL10'!$C$238:$C$451,$C308,'TL10'!$J$238:$J$451),0),
IF('TL11'!$B$3=K$3,SUMIF('TL11'!$C$10:$C$224,$C308,'TL11'!$J$10:$J$224),0),
IF('TL11'!$B$229=K$3,SUMIF('TL11'!$C$238:$C$451,$C308,'TL11'!$J$238:$J$451),0),
IF('TL12'!$B$3=K$3,SUMIF('TL12'!$C$10:$C$224,$C308,'TL12'!$J$10:$J$224),0),
IF('TL12'!$B$229=K$3,SUMIF('TL12'!$C$238:$C$451,$C308,'TL12'!$J$238:$J$451),0),
IF('TL13'!$B$3=K$3,SUMIF('TL13'!$C$10:$C$224,$C308,'TL13'!$J$10:$J$224),0),
IF('TL13'!$B$229=K$3,SUMIF('TL13'!$C$238:$C$451,$C308,'TL13'!$J$238:$J$451),0),
IF('TL14'!$B$3=K$3,SUMIF('TL14'!$C$10:$C$224,$C308,'TL14'!$J$10:$J$224),0),
IF('TL14'!$B$229=K$3,SUMIF('TL14'!$C$238:$C$451,$C308,'TL14'!$J$238:$J$451),0),
IF('TL15'!$B$3=K$3,SUMIF('TL15'!$C$10:$C$224,$C308,'TL15'!$J$10:$J$224),0),
IF('TL15'!$B$229=K$3,SUMIF('TL15'!$C$238:$C$451,$C308,'TL15'!$J$238:$J$451),0),
IF('TL16'!$B$3=K$3,SUMIF('TL16'!$C$10:$C$224,$C308,'TL16'!$J$10:$J$224),0),
IF('TL16'!$B$229=K$3,SUMIF('TL16'!$C$238:$C$451,$C308,'TL16'!$J$238:$J$451),0),
IF('TL17'!$B$3=K$3,SUMIF('TL17'!$C$10:$C$224,$C308,'TL17'!$J$10:$J$224),0),
IF('TL17'!$B$229=K$3,SUMIF('TL17'!$C$238:$C$451,$C308,'TL17'!$J$238:$J$451),0),
IF('TL18'!$B$3=K$3,SUMIF('TL18'!$C$10:$C$224,$C308,'TL18'!$J$10:$J$224),0),
IF('TL18'!$B$229=K$3,SUMIF('TL18'!$C$238:$C$451,$C308,'TL18'!$J$238:$J$451),0),
IF('TL19'!$B$3=K$3,SUMIF('TL19'!$C$10:$C$224,$C308,'TL19'!$J$10:$J$224),0),
IF('TL19'!$B$229=K$3,SUMIF('TL19'!$C$238:$C$451,$C308,'TL19'!$J$238:$J$451),0)
),0)</f>
        <v>0</v>
      </c>
      <c r="L308" s="9">
        <f>IFERROR(SUM(
IF('TL01'!$B$3=L$3,SUMIF('TL01'!$C$10:$C$224,$C308,'TL01'!$J$10:$J$224),0),
IF('TL01'!$B$229=L$3,SUMIF('TL01'!$C$238:$C$451,$C308,'TL01'!$J$238:$J$451),0),
IF('TL02'!$B$3=L$3,SUMIF('TL02'!$C$10:$C$224,$C308,'TL02'!$J$10:$J$224),0),
IF('TL02'!$B$229=L$3,SUMIF('TL02'!$C$238:$C$451,$C308,'TL02'!$J$238:$J$451),0),
IF('TL03'!$B$3=L$3,SUMIF('TL03'!$C$10:$C$224,$C308,'TL03'!$J$10:$J$224),0),
IF('TL03'!$B$229=L$3,SUMIF('TL03'!$C$238:$C$451,$C308,'TL03'!$J$238:$J$451),0),
IF('TL04'!$B$3=L$3,SUMIF('TL04'!$C$10:$C$224,$C308,'TL04'!$J$10:$J$224),0),
IF('TL04'!$B$229=L$3,SUMIF('TL04'!$C$238:$C$451,$C308,'TL04'!$J$238:$J$451),0),
IF('TL05'!$B$3=L$3,SUMIF('TL05'!$C$10:$C$224,$C308,'TL05'!$J$10:$J$224),0),
IF('TL05'!$B$229=L$3,SUMIF('TL05'!$C$238:$C$451,$C308,'TL05'!$J$238:$J$451),0),
IF('TL06'!$B$3=L$3,SUMIF('TL06'!$C$10:$C$224,$C308,'TL06'!$J$10:$J$224),0),
IF('TL06'!$B$229=L$3,SUMIF('TL06'!$C$238:$C$451,$C308,'TL06'!$J$238:$J$451),0),
IF('TL07'!$B$3=L$3,SUMIF('TL07'!$C$10:$C$224,$C308,'TL07'!$J$10:$J$224),0),
IF('TL07'!$B$229=L$3,SUMIF('TL07'!$C$238:$C$451,$C308,'TL07'!$J$238:$J$451),0),
IF('TL08'!$B$3=L$3,SUMIF('TL08'!$C$10:$C$224,$C308,'TL08'!$J$10:$J$224),0),
IF('TL08'!$B$229=L$3,SUMIF('TL08'!$C$238:$C$451,$C308,'TL08'!$J$238:$J$451),0),
IF('TL09'!$B$3=L$3,SUMIF('TL09'!$C$10:$C$224,$C308,'TL09'!$J$10:$J$224),0),
IF('TL09'!$B$229=L$3,SUMIF('TL09'!$C$238:$C$451,$C308,'TL09'!$J$238:$J$451),0),
IF('TL10'!$B$3=L$3,SUMIF('TL10'!$C$10:$C$224,$C308,'TL10'!$J$10:$J$224),0),
IF('TL10'!$B$229=L$3,SUMIF('TL10'!$C$238:$C$451,$C308,'TL10'!$J$238:$J$451),0),
IF('TL11'!$B$3=L$3,SUMIF('TL11'!$C$10:$C$224,$C308,'TL11'!$J$10:$J$224),0),
IF('TL11'!$B$229=L$3,SUMIF('TL11'!$C$238:$C$451,$C308,'TL11'!$J$238:$J$451),0),
IF('TL12'!$B$3=L$3,SUMIF('TL12'!$C$10:$C$224,$C308,'TL12'!$J$10:$J$224),0),
IF('TL12'!$B$229=L$3,SUMIF('TL12'!$C$238:$C$451,$C308,'TL12'!$J$238:$J$451),0),
IF('TL13'!$B$3=L$3,SUMIF('TL13'!$C$10:$C$224,$C308,'TL13'!$J$10:$J$224),0),
IF('TL13'!$B$229=L$3,SUMIF('TL13'!$C$238:$C$451,$C308,'TL13'!$J$238:$J$451),0),
IF('TL14'!$B$3=L$3,SUMIF('TL14'!$C$10:$C$224,$C308,'TL14'!$J$10:$J$224),0),
IF('TL14'!$B$229=L$3,SUMIF('TL14'!$C$238:$C$451,$C308,'TL14'!$J$238:$J$451),0),
IF('TL15'!$B$3=L$3,SUMIF('TL15'!$C$10:$C$224,$C308,'TL15'!$J$10:$J$224),0),
IF('TL15'!$B$229=L$3,SUMIF('TL15'!$C$238:$C$451,$C308,'TL15'!$J$238:$J$451),0),
IF('TL16'!$B$3=L$3,SUMIF('TL16'!$C$10:$C$224,$C308,'TL16'!$J$10:$J$224),0),
IF('TL16'!$B$229=L$3,SUMIF('TL16'!$C$238:$C$451,$C308,'TL16'!$J$238:$J$451),0),
IF('TL17'!$B$3=L$3,SUMIF('TL17'!$C$10:$C$224,$C308,'TL17'!$J$10:$J$224),0),
IF('TL17'!$B$229=L$3,SUMIF('TL17'!$C$238:$C$451,$C308,'TL17'!$J$238:$J$451),0),
IF('TL18'!$B$3=L$3,SUMIF('TL18'!$C$10:$C$224,$C308,'TL18'!$J$10:$J$224),0),
IF('TL18'!$B$229=L$3,SUMIF('TL18'!$C$238:$C$451,$C308,'TL18'!$J$238:$J$451),0),
IF('TL19'!$B$3=L$3,SUMIF('TL19'!$C$10:$C$224,$C308,'TL19'!$J$10:$J$224),0),
IF('TL19'!$B$229=L$3,SUMIF('TL19'!$C$238:$C$451,$C308,'TL19'!$J$238:$J$451),0)
),0)</f>
        <v>0</v>
      </c>
      <c r="M308" s="9">
        <f>IFERROR(SUM(
IF('TL01'!$B$3=M$3,SUMIF('TL01'!$C$10:$C$224,$C308,'TL01'!$J$10:$J$224),0),
IF('TL01'!$B$229=M$3,SUMIF('TL01'!$C$238:$C$451,$C308,'TL01'!$J$238:$J$451),0),
IF('TL02'!$B$3=M$3,SUMIF('TL02'!$C$10:$C$224,$C308,'TL02'!$J$10:$J$224),0),
IF('TL02'!$B$229=M$3,SUMIF('TL02'!$C$238:$C$451,$C308,'TL02'!$J$238:$J$451),0),
IF('TL03'!$B$3=M$3,SUMIF('TL03'!$C$10:$C$224,$C308,'TL03'!$J$10:$J$224),0),
IF('TL03'!$B$229=M$3,SUMIF('TL03'!$C$238:$C$451,$C308,'TL03'!$J$238:$J$451),0),
IF('TL04'!$B$3=M$3,SUMIF('TL04'!$C$10:$C$224,$C308,'TL04'!$J$10:$J$224),0),
IF('TL04'!$B$229=M$3,SUMIF('TL04'!$C$238:$C$451,$C308,'TL04'!$J$238:$J$451),0),
IF('TL05'!$B$3=M$3,SUMIF('TL05'!$C$10:$C$224,$C308,'TL05'!$J$10:$J$224),0),
IF('TL05'!$B$229=M$3,SUMIF('TL05'!$C$238:$C$451,$C308,'TL05'!$J$238:$J$451),0),
IF('TL06'!$B$3=M$3,SUMIF('TL06'!$C$10:$C$224,$C308,'TL06'!$J$10:$J$224),0),
IF('TL06'!$B$229=M$3,SUMIF('TL06'!$C$238:$C$451,$C308,'TL06'!$J$238:$J$451),0),
IF('TL07'!$B$3=M$3,SUMIF('TL07'!$C$10:$C$224,$C308,'TL07'!$J$10:$J$224),0),
IF('TL07'!$B$229=M$3,SUMIF('TL07'!$C$238:$C$451,$C308,'TL07'!$J$238:$J$451),0),
IF('TL08'!$B$3=M$3,SUMIF('TL08'!$C$10:$C$224,$C308,'TL08'!$J$10:$J$224),0),
IF('TL08'!$B$229=M$3,SUMIF('TL08'!$C$238:$C$451,$C308,'TL08'!$J$238:$J$451),0),
IF('TL09'!$B$3=M$3,SUMIF('TL09'!$C$10:$C$224,$C308,'TL09'!$J$10:$J$224),0),
IF('TL09'!$B$229=M$3,SUMIF('TL09'!$C$238:$C$451,$C308,'TL09'!$J$238:$J$451),0),
IF('TL10'!$B$3=M$3,SUMIF('TL10'!$C$10:$C$224,$C308,'TL10'!$J$10:$J$224),0),
IF('TL10'!$B$229=M$3,SUMIF('TL10'!$C$238:$C$451,$C308,'TL10'!$J$238:$J$451),0),
IF('TL11'!$B$3=M$3,SUMIF('TL11'!$C$10:$C$224,$C308,'TL11'!$J$10:$J$224),0),
IF('TL11'!$B$229=M$3,SUMIF('TL11'!$C$238:$C$451,$C308,'TL11'!$J$238:$J$451),0),
IF('TL12'!$B$3=M$3,SUMIF('TL12'!$C$10:$C$224,$C308,'TL12'!$J$10:$J$224),0),
IF('TL12'!$B$229=M$3,SUMIF('TL12'!$C$238:$C$451,$C308,'TL12'!$J$238:$J$451),0),
IF('TL13'!$B$3=M$3,SUMIF('TL13'!$C$10:$C$224,$C308,'TL13'!$J$10:$J$224),0),
IF('TL13'!$B$229=M$3,SUMIF('TL13'!$C$238:$C$451,$C308,'TL13'!$J$238:$J$451),0),
IF('TL14'!$B$3=M$3,SUMIF('TL14'!$C$10:$C$224,$C308,'TL14'!$J$10:$J$224),0),
IF('TL14'!$B$229=M$3,SUMIF('TL14'!$C$238:$C$451,$C308,'TL14'!$J$238:$J$451),0),
IF('TL15'!$B$3=M$3,SUMIF('TL15'!$C$10:$C$224,$C308,'TL15'!$J$10:$J$224),0),
IF('TL15'!$B$229=M$3,SUMIF('TL15'!$C$238:$C$451,$C308,'TL15'!$J$238:$J$451),0),
IF('TL16'!$B$3=M$3,SUMIF('TL16'!$C$10:$C$224,$C308,'TL16'!$J$10:$J$224),0),
IF('TL16'!$B$229=M$3,SUMIF('TL16'!$C$238:$C$451,$C308,'TL16'!$J$238:$J$451),0),
IF('TL17'!$B$3=M$3,SUMIF('TL17'!$C$10:$C$224,$C308,'TL17'!$J$10:$J$224),0),
IF('TL17'!$B$229=M$3,SUMIF('TL17'!$C$238:$C$451,$C308,'TL17'!$J$238:$J$451),0),
IF('TL18'!$B$3=M$3,SUMIF('TL18'!$C$10:$C$224,$C308,'TL18'!$J$10:$J$224),0),
IF('TL18'!$B$229=M$3,SUMIF('TL18'!$C$238:$C$451,$C308,'TL18'!$J$238:$J$451),0),
IF('TL19'!$B$3=M$3,SUMIF('TL19'!$C$10:$C$224,$C308,'TL19'!$J$10:$J$224),0),
IF('TL19'!$B$229=M$3,SUMIF('TL19'!$C$238:$C$451,$C308,'TL19'!$J$238:$J$451),0)
),0)</f>
        <v>0</v>
      </c>
      <c r="N308" s="9">
        <f>IFERROR(SUM(
IF('TL01'!$B$3=N$3,SUMIF('TL01'!$C$10:$C$224,$C308,'TL01'!$J$10:$J$224),0),
IF('TL01'!$B$229=N$3,SUMIF('TL01'!$C$238:$C$451,$C308,'TL01'!$J$238:$J$451),0),
IF('TL02'!$B$3=N$3,SUMIF('TL02'!$C$10:$C$224,$C308,'TL02'!$J$10:$J$224),0),
IF('TL02'!$B$229=N$3,SUMIF('TL02'!$C$238:$C$451,$C308,'TL02'!$J$238:$J$451),0),
IF('TL03'!$B$3=N$3,SUMIF('TL03'!$C$10:$C$224,$C308,'TL03'!$J$10:$J$224),0),
IF('TL03'!$B$229=N$3,SUMIF('TL03'!$C$238:$C$451,$C308,'TL03'!$J$238:$J$451),0),
IF('TL04'!$B$3=N$3,SUMIF('TL04'!$C$10:$C$224,$C308,'TL04'!$J$10:$J$224),0),
IF('TL04'!$B$229=N$3,SUMIF('TL04'!$C$238:$C$451,$C308,'TL04'!$J$238:$J$451),0),
IF('TL05'!$B$3=N$3,SUMIF('TL05'!$C$10:$C$224,$C308,'TL05'!$J$10:$J$224),0),
IF('TL05'!$B$229=N$3,SUMIF('TL05'!$C$238:$C$451,$C308,'TL05'!$J$238:$J$451),0),
IF('TL06'!$B$3=N$3,SUMIF('TL06'!$C$10:$C$224,$C308,'TL06'!$J$10:$J$224),0),
IF('TL06'!$B$229=N$3,SUMIF('TL06'!$C$238:$C$451,$C308,'TL06'!$J$238:$J$451),0),
IF('TL07'!$B$3=N$3,SUMIF('TL07'!$C$10:$C$224,$C308,'TL07'!$J$10:$J$224),0),
IF('TL07'!$B$229=N$3,SUMIF('TL07'!$C$238:$C$451,$C308,'TL07'!$J$238:$J$451),0),
IF('TL08'!$B$3=N$3,SUMIF('TL08'!$C$10:$C$224,$C308,'TL08'!$J$10:$J$224),0),
IF('TL08'!$B$229=N$3,SUMIF('TL08'!$C$238:$C$451,$C308,'TL08'!$J$238:$J$451),0),
IF('TL09'!$B$3=N$3,SUMIF('TL09'!$C$10:$C$224,$C308,'TL09'!$J$10:$J$224),0),
IF('TL09'!$B$229=N$3,SUMIF('TL09'!$C$238:$C$451,$C308,'TL09'!$J$238:$J$451),0),
IF('TL10'!$B$3=N$3,SUMIF('TL10'!$C$10:$C$224,$C308,'TL10'!$J$10:$J$224),0),
IF('TL10'!$B$229=N$3,SUMIF('TL10'!$C$238:$C$451,$C308,'TL10'!$J$238:$J$451),0),
IF('TL11'!$B$3=N$3,SUMIF('TL11'!$C$10:$C$224,$C308,'TL11'!$J$10:$J$224),0),
IF('TL11'!$B$229=N$3,SUMIF('TL11'!$C$238:$C$451,$C308,'TL11'!$J$238:$J$451),0),
IF('TL12'!$B$3=N$3,SUMIF('TL12'!$C$10:$C$224,$C308,'TL12'!$J$10:$J$224),0),
IF('TL12'!$B$229=N$3,SUMIF('TL12'!$C$238:$C$451,$C308,'TL12'!$J$238:$J$451),0),
IF('TL13'!$B$3=N$3,SUMIF('TL13'!$C$10:$C$224,$C308,'TL13'!$J$10:$J$224),0),
IF('TL13'!$B$229=N$3,SUMIF('TL13'!$C$238:$C$451,$C308,'TL13'!$J$238:$J$451),0),
IF('TL14'!$B$3=N$3,SUMIF('TL14'!$C$10:$C$224,$C308,'TL14'!$J$10:$J$224),0),
IF('TL14'!$B$229=N$3,SUMIF('TL14'!$C$238:$C$451,$C308,'TL14'!$J$238:$J$451),0),
IF('TL15'!$B$3=N$3,SUMIF('TL15'!$C$10:$C$224,$C308,'TL15'!$J$10:$J$224),0),
IF('TL15'!$B$229=N$3,SUMIF('TL15'!$C$238:$C$451,$C308,'TL15'!$J$238:$J$451),0),
IF('TL16'!$B$3=N$3,SUMIF('TL16'!$C$10:$C$224,$C308,'TL16'!$J$10:$J$224),0),
IF('TL16'!$B$229=N$3,SUMIF('TL16'!$C$238:$C$451,$C308,'TL16'!$J$238:$J$451),0),
IF('TL17'!$B$3=N$3,SUMIF('TL17'!$C$10:$C$224,$C308,'TL17'!$J$10:$J$224),0),
IF('TL17'!$B$229=N$3,SUMIF('TL17'!$C$238:$C$451,$C308,'TL17'!$J$238:$J$451),0),
IF('TL18'!$B$3=N$3,SUMIF('TL18'!$C$10:$C$224,$C308,'TL18'!$J$10:$J$224),0),
IF('TL18'!$B$229=N$3,SUMIF('TL18'!$C$238:$C$451,$C308,'TL18'!$J$238:$J$451),0),
IF('TL19'!$B$3=N$3,SUMIF('TL19'!$C$10:$C$224,$C308,'TL19'!$J$10:$J$224),0),
IF('TL19'!$B$229=N$3,SUMIF('TL19'!$C$238:$C$451,$C308,'TL19'!$J$238:$J$451),0)
),0)</f>
        <v>0</v>
      </c>
      <c r="O308" s="9">
        <f>IFERROR(SUM(
IF('TL01'!$B$3=O$3,SUMIF('TL01'!$C$10:$C$224,$C308,'TL01'!$J$10:$J$224),0),
IF('TL01'!$B$229=O$3,SUMIF('TL01'!$C$238:$C$451,$C308,'TL01'!$J$238:$J$451),0),
IF('TL02'!$B$3=O$3,SUMIF('TL02'!$C$10:$C$224,$C308,'TL02'!$J$10:$J$224),0),
IF('TL02'!$B$229=O$3,SUMIF('TL02'!$C$238:$C$451,$C308,'TL02'!$J$238:$J$451),0),
IF('TL03'!$B$3=O$3,SUMIF('TL03'!$C$10:$C$224,$C308,'TL03'!$J$10:$J$224),0),
IF('TL03'!$B$229=O$3,SUMIF('TL03'!$C$238:$C$451,$C308,'TL03'!$J$238:$J$451),0),
IF('TL04'!$B$3=O$3,SUMIF('TL04'!$C$10:$C$224,$C308,'TL04'!$J$10:$J$224),0),
IF('TL04'!$B$229=O$3,SUMIF('TL04'!$C$238:$C$451,$C308,'TL04'!$J$238:$J$451),0),
IF('TL05'!$B$3=O$3,SUMIF('TL05'!$C$10:$C$224,$C308,'TL05'!$J$10:$J$224),0),
IF('TL05'!$B$229=O$3,SUMIF('TL05'!$C$238:$C$451,$C308,'TL05'!$J$238:$J$451),0),
IF('TL06'!$B$3=O$3,SUMIF('TL06'!$C$10:$C$224,$C308,'TL06'!$J$10:$J$224),0),
IF('TL06'!$B$229=O$3,SUMIF('TL06'!$C$238:$C$451,$C308,'TL06'!$J$238:$J$451),0),
IF('TL07'!$B$3=O$3,SUMIF('TL07'!$C$10:$C$224,$C308,'TL07'!$J$10:$J$224),0),
IF('TL07'!$B$229=O$3,SUMIF('TL07'!$C$238:$C$451,$C308,'TL07'!$J$238:$J$451),0),
IF('TL08'!$B$3=O$3,SUMIF('TL08'!$C$10:$C$224,$C308,'TL08'!$J$10:$J$224),0),
IF('TL08'!$B$229=O$3,SUMIF('TL08'!$C$238:$C$451,$C308,'TL08'!$J$238:$J$451),0),
IF('TL09'!$B$3=O$3,SUMIF('TL09'!$C$10:$C$224,$C308,'TL09'!$J$10:$J$224),0),
IF('TL09'!$B$229=O$3,SUMIF('TL09'!$C$238:$C$451,$C308,'TL09'!$J$238:$J$451),0),
IF('TL10'!$B$3=O$3,SUMIF('TL10'!$C$10:$C$224,$C308,'TL10'!$J$10:$J$224),0),
IF('TL10'!$B$229=O$3,SUMIF('TL10'!$C$238:$C$451,$C308,'TL10'!$J$238:$J$451),0),
IF('TL11'!$B$3=O$3,SUMIF('TL11'!$C$10:$C$224,$C308,'TL11'!$J$10:$J$224),0),
IF('TL11'!$B$229=O$3,SUMIF('TL11'!$C$238:$C$451,$C308,'TL11'!$J$238:$J$451),0),
IF('TL12'!$B$3=O$3,SUMIF('TL12'!$C$10:$C$224,$C308,'TL12'!$J$10:$J$224),0),
IF('TL12'!$B$229=O$3,SUMIF('TL12'!$C$238:$C$451,$C308,'TL12'!$J$238:$J$451),0),
IF('TL13'!$B$3=O$3,SUMIF('TL13'!$C$10:$C$224,$C308,'TL13'!$J$10:$J$224),0),
IF('TL13'!$B$229=O$3,SUMIF('TL13'!$C$238:$C$451,$C308,'TL13'!$J$238:$J$451),0),
IF('TL14'!$B$3=O$3,SUMIF('TL14'!$C$10:$C$224,$C308,'TL14'!$J$10:$J$224),0),
IF('TL14'!$B$229=O$3,SUMIF('TL14'!$C$238:$C$451,$C308,'TL14'!$J$238:$J$451),0),
IF('TL15'!$B$3=O$3,SUMIF('TL15'!$C$10:$C$224,$C308,'TL15'!$J$10:$J$224),0),
IF('TL15'!$B$229=O$3,SUMIF('TL15'!$C$238:$C$451,$C308,'TL15'!$J$238:$J$451),0),
IF('TL16'!$B$3=O$3,SUMIF('TL16'!$C$10:$C$224,$C308,'TL16'!$J$10:$J$224),0),
IF('TL16'!$B$229=O$3,SUMIF('TL16'!$C$238:$C$451,$C308,'TL16'!$J$238:$J$451),0),
IF('TL17'!$B$3=O$3,SUMIF('TL17'!$C$10:$C$224,$C308,'TL17'!$J$10:$J$224),0),
IF('TL17'!$B$229=O$3,SUMIF('TL17'!$C$238:$C$451,$C308,'TL17'!$J$238:$J$451),0),
IF('TL18'!$B$3=O$3,SUMIF('TL18'!$C$10:$C$224,$C308,'TL18'!$J$10:$J$224),0),
IF('TL18'!$B$229=O$3,SUMIF('TL18'!$C$238:$C$451,$C308,'TL18'!$J$238:$J$451),0),
IF('TL19'!$B$3=O$3,SUMIF('TL19'!$C$10:$C$224,$C308,'TL19'!$J$10:$J$224),0),
IF('TL19'!$B$229=O$3,SUMIF('TL19'!$C$238:$C$451,$C308,'TL19'!$J$238:$J$451),0)
),0)</f>
        <v>0</v>
      </c>
      <c r="P308" s="9">
        <f>IFERROR(SUM(
IF('TL01'!$B$3=P$3,SUMIF('TL01'!$C$10:$C$224,$C308,'TL01'!$J$10:$J$224),0),
IF('TL01'!$B$229=P$3,SUMIF('TL01'!$C$238:$C$451,$C308,'TL01'!$J$238:$J$451),0),
IF('TL02'!$B$3=P$3,SUMIF('TL02'!$C$10:$C$224,$C308,'TL02'!$J$10:$J$224),0),
IF('TL02'!$B$229=P$3,SUMIF('TL02'!$C$238:$C$451,$C308,'TL02'!$J$238:$J$451),0),
IF('TL03'!$B$3=P$3,SUMIF('TL03'!$C$10:$C$224,$C308,'TL03'!$J$10:$J$224),0),
IF('TL03'!$B$229=P$3,SUMIF('TL03'!$C$238:$C$451,$C308,'TL03'!$J$238:$J$451),0),
IF('TL04'!$B$3=P$3,SUMIF('TL04'!$C$10:$C$224,$C308,'TL04'!$J$10:$J$224),0),
IF('TL04'!$B$229=P$3,SUMIF('TL04'!$C$238:$C$451,$C308,'TL04'!$J$238:$J$451),0),
IF('TL05'!$B$3=P$3,SUMIF('TL05'!$C$10:$C$224,$C308,'TL05'!$J$10:$J$224),0),
IF('TL05'!$B$229=P$3,SUMIF('TL05'!$C$238:$C$451,$C308,'TL05'!$J$238:$J$451),0),
IF('TL06'!$B$3=P$3,SUMIF('TL06'!$C$10:$C$224,$C308,'TL06'!$J$10:$J$224),0),
IF('TL06'!$B$229=P$3,SUMIF('TL06'!$C$238:$C$451,$C308,'TL06'!$J$238:$J$451),0),
IF('TL07'!$B$3=P$3,SUMIF('TL07'!$C$10:$C$224,$C308,'TL07'!$J$10:$J$224),0),
IF('TL07'!$B$229=P$3,SUMIF('TL07'!$C$238:$C$451,$C308,'TL07'!$J$238:$J$451),0),
IF('TL08'!$B$3=P$3,SUMIF('TL08'!$C$10:$C$224,$C308,'TL08'!$J$10:$J$224),0),
IF('TL08'!$B$229=P$3,SUMIF('TL08'!$C$238:$C$451,$C308,'TL08'!$J$238:$J$451),0),
IF('TL09'!$B$3=P$3,SUMIF('TL09'!$C$10:$C$224,$C308,'TL09'!$J$10:$J$224),0),
IF('TL09'!$B$229=P$3,SUMIF('TL09'!$C$238:$C$451,$C308,'TL09'!$J$238:$J$451),0),
IF('TL10'!$B$3=P$3,SUMIF('TL10'!$C$10:$C$224,$C308,'TL10'!$J$10:$J$224),0),
IF('TL10'!$B$229=P$3,SUMIF('TL10'!$C$238:$C$451,$C308,'TL10'!$J$238:$J$451),0),
IF('TL11'!$B$3=P$3,SUMIF('TL11'!$C$10:$C$224,$C308,'TL11'!$J$10:$J$224),0),
IF('TL11'!$B$229=P$3,SUMIF('TL11'!$C$238:$C$451,$C308,'TL11'!$J$238:$J$451),0),
IF('TL12'!$B$3=P$3,SUMIF('TL12'!$C$10:$C$224,$C308,'TL12'!$J$10:$J$224),0),
IF('TL12'!$B$229=P$3,SUMIF('TL12'!$C$238:$C$451,$C308,'TL12'!$J$238:$J$451),0),
IF('TL13'!$B$3=P$3,SUMIF('TL13'!$C$10:$C$224,$C308,'TL13'!$J$10:$J$224),0),
IF('TL13'!$B$229=P$3,SUMIF('TL13'!$C$238:$C$451,$C308,'TL13'!$J$238:$J$451),0),
IF('TL14'!$B$3=P$3,SUMIF('TL14'!$C$10:$C$224,$C308,'TL14'!$J$10:$J$224),0),
IF('TL14'!$B$229=P$3,SUMIF('TL14'!$C$238:$C$451,$C308,'TL14'!$J$238:$J$451),0),
IF('TL15'!$B$3=P$3,SUMIF('TL15'!$C$10:$C$224,$C308,'TL15'!$J$10:$J$224),0),
IF('TL15'!$B$229=P$3,SUMIF('TL15'!$C$238:$C$451,$C308,'TL15'!$J$238:$J$451),0),
IF('TL16'!$B$3=P$3,SUMIF('TL16'!$C$10:$C$224,$C308,'TL16'!$J$10:$J$224),0),
IF('TL16'!$B$229=P$3,SUMIF('TL16'!$C$238:$C$451,$C308,'TL16'!$J$238:$J$451),0),
IF('TL17'!$B$3=P$3,SUMIF('TL17'!$C$10:$C$224,$C308,'TL17'!$J$10:$J$224),0),
IF('TL17'!$B$229=P$3,SUMIF('TL17'!$C$238:$C$451,$C308,'TL17'!$J$238:$J$451),0),
IF('TL18'!$B$3=P$3,SUMIF('TL18'!$C$10:$C$224,$C308,'TL18'!$J$10:$J$224),0),
IF('TL18'!$B$229=P$3,SUMIF('TL18'!$C$238:$C$451,$C308,'TL18'!$J$238:$J$451),0),
IF('TL19'!$B$3=P$3,SUMIF('TL19'!$C$10:$C$224,$C308,'TL19'!$J$10:$J$224),0),
IF('TL19'!$B$229=P$3,SUMIF('TL19'!$C$238:$C$451,$C308,'TL19'!$J$238:$J$451),0)
),0)</f>
        <v>0</v>
      </c>
      <c r="Q308" s="9">
        <f>IFERROR(SUM(
IF('TL01'!$B$3=Q$3,SUMIF('TL01'!$C$10:$C$224,$C308,'TL01'!$J$10:$J$224),0),
IF('TL01'!$B$229=Q$3,SUMIF('TL01'!$C$238:$C$451,$C308,'TL01'!$J$238:$J$451),0),
IF('TL02'!$B$3=Q$3,SUMIF('TL02'!$C$10:$C$224,$C308,'TL02'!$J$10:$J$224),0),
IF('TL02'!$B$229=Q$3,SUMIF('TL02'!$C$238:$C$451,$C308,'TL02'!$J$238:$J$451),0),
IF('TL03'!$B$3=Q$3,SUMIF('TL03'!$C$10:$C$224,$C308,'TL03'!$J$10:$J$224),0),
IF('TL03'!$B$229=Q$3,SUMIF('TL03'!$C$238:$C$451,$C308,'TL03'!$J$238:$J$451),0),
IF('TL04'!$B$3=Q$3,SUMIF('TL04'!$C$10:$C$224,$C308,'TL04'!$J$10:$J$224),0),
IF('TL04'!$B$229=Q$3,SUMIF('TL04'!$C$238:$C$451,$C308,'TL04'!$J$238:$J$451),0),
IF('TL05'!$B$3=Q$3,SUMIF('TL05'!$C$10:$C$224,$C308,'TL05'!$J$10:$J$224),0),
IF('TL05'!$B$229=Q$3,SUMIF('TL05'!$C$238:$C$451,$C308,'TL05'!$J$238:$J$451),0),
IF('TL06'!$B$3=Q$3,SUMIF('TL06'!$C$10:$C$224,$C308,'TL06'!$J$10:$J$224),0),
IF('TL06'!$B$229=Q$3,SUMIF('TL06'!$C$238:$C$451,$C308,'TL06'!$J$238:$J$451),0),
IF('TL07'!$B$3=Q$3,SUMIF('TL07'!$C$10:$C$224,$C308,'TL07'!$J$10:$J$224),0),
IF('TL07'!$B$229=Q$3,SUMIF('TL07'!$C$238:$C$451,$C308,'TL07'!$J$238:$J$451),0),
IF('TL08'!$B$3=Q$3,SUMIF('TL08'!$C$10:$C$224,$C308,'TL08'!$J$10:$J$224),0),
IF('TL08'!$B$229=Q$3,SUMIF('TL08'!$C$238:$C$451,$C308,'TL08'!$J$238:$J$451),0),
IF('TL09'!$B$3=Q$3,SUMIF('TL09'!$C$10:$C$224,$C308,'TL09'!$J$10:$J$224),0),
IF('TL09'!$B$229=Q$3,SUMIF('TL09'!$C$238:$C$451,$C308,'TL09'!$J$238:$J$451),0),
IF('TL10'!$B$3=Q$3,SUMIF('TL10'!$C$10:$C$224,$C308,'TL10'!$J$10:$J$224),0),
IF('TL10'!$B$229=Q$3,SUMIF('TL10'!$C$238:$C$451,$C308,'TL10'!$J$238:$J$451),0),
IF('TL11'!$B$3=Q$3,SUMIF('TL11'!$C$10:$C$224,$C308,'TL11'!$J$10:$J$224),0),
IF('TL11'!$B$229=Q$3,SUMIF('TL11'!$C$238:$C$451,$C308,'TL11'!$J$238:$J$451),0),
IF('TL12'!$B$3=Q$3,SUMIF('TL12'!$C$10:$C$224,$C308,'TL12'!$J$10:$J$224),0),
IF('TL12'!$B$229=Q$3,SUMIF('TL12'!$C$238:$C$451,$C308,'TL12'!$J$238:$J$451),0),
IF('TL13'!$B$3=Q$3,SUMIF('TL13'!$C$10:$C$224,$C308,'TL13'!$J$10:$J$224),0),
IF('TL13'!$B$229=Q$3,SUMIF('TL13'!$C$238:$C$451,$C308,'TL13'!$J$238:$J$451),0),
IF('TL14'!$B$3=Q$3,SUMIF('TL14'!$C$10:$C$224,$C308,'TL14'!$J$10:$J$224),0),
IF('TL14'!$B$229=Q$3,SUMIF('TL14'!$C$238:$C$451,$C308,'TL14'!$J$238:$J$451),0),
IF('TL15'!$B$3=Q$3,SUMIF('TL15'!$C$10:$C$224,$C308,'TL15'!$J$10:$J$224),0),
IF('TL15'!$B$229=Q$3,SUMIF('TL15'!$C$238:$C$451,$C308,'TL15'!$J$238:$J$451),0),
IF('TL16'!$B$3=Q$3,SUMIF('TL16'!$C$10:$C$224,$C308,'TL16'!$J$10:$J$224),0),
IF('TL16'!$B$229=Q$3,SUMIF('TL16'!$C$238:$C$451,$C308,'TL16'!$J$238:$J$451),0),
IF('TL17'!$B$3=Q$3,SUMIF('TL17'!$C$10:$C$224,$C308,'TL17'!$J$10:$J$224),0),
IF('TL17'!$B$229=Q$3,SUMIF('TL17'!$C$238:$C$451,$C308,'TL17'!$J$238:$J$451),0),
IF('TL18'!$B$3=Q$3,SUMIF('TL18'!$C$10:$C$224,$C308,'TL18'!$J$10:$J$224),0),
IF('TL18'!$B$229=Q$3,SUMIF('TL18'!$C$238:$C$451,$C308,'TL18'!$J$238:$J$451),0),
IF('TL19'!$B$3=Q$3,SUMIF('TL19'!$C$10:$C$224,$C308,'TL19'!$J$10:$J$224),0),
IF('TL19'!$B$229=Q$3,SUMIF('TL19'!$C$238:$C$451,$C308,'TL19'!$J$238:$J$451),0)
),0)</f>
        <v>0</v>
      </c>
      <c r="R308" s="9">
        <f>IFERROR(
SUM(
SUMIF('TL01'!C:C,C308,'TL01'!J:J),
SUMIF('TL02'!C:C,C308,'TL02'!J:J),
SUMIF('TL03'!C:C,C308,'TL03'!J:J),
SUMIF('TL04'!C:C,C308,'TL04'!J:J),
SUMIF('TL05'!C:C,C308,'TL05'!J:J),
SUMIF('TL06'!C:C,C308,'TL06'!J:J),
SUMIF('TL07'!C:C,C308,'TL07'!J:J),
SUMIF('TL08'!C:C,C308,'TL08'!J:J),
SUMIF('TL09'!C:C,C308,'TL09'!J:J),
SUMIF('TL10'!C:C,C308,'TL10'!J:J),
SUMIF('TL11'!C:C,C308,'TL11'!J:J),
SUMIF('TL12'!C:C,C308,'TL12'!J:J),
SUMIF('TL13'!C:C,C308,'TL13'!J:J),
SUMIF('TL14'!C:C,C308,'TL14'!J:J),
SUMIF('TL15'!C:C,C308,'TL15'!J:J),
SUMIF('TL16'!C:C,C308,'TL16'!J:J),
SUMIF('TL17'!C:C,C308,'TL17'!J:J),
SUMIF('TL18'!C:C,C308,'TL18'!J:J),SUMIF('TL19'!C:C,C308,'TL19'!J:J))
,0)</f>
        <v>0</v>
      </c>
      <c r="S308" s="17" t="str">
        <f>IFERROR(__xludf.DUMMYFUNCTION("IFERROR(VLOOKUP(C308,
IMPORTRANGE(""1wULbzX32WdYsx-lj2U3uUNBBe2INVIRDtcK0d-Dvl90"",
""26-27!C:G""),
5,
FALSE),
"""")"),"")</f>
        <v/>
      </c>
      <c r="T308" s="9"/>
      <c r="U308" s="92">
        <f t="shared" si="2"/>
        <v>0</v>
      </c>
      <c r="V308" s="93">
        <f t="shared" si="3"/>
        <v>0</v>
      </c>
    </row>
    <row r="309" ht="15.75" hidden="1" customHeight="1">
      <c r="A309" s="4"/>
      <c r="B309" s="125" t="s">
        <v>5</v>
      </c>
      <c r="C309" s="4" t="s">
        <v>1031</v>
      </c>
      <c r="D309" s="6"/>
      <c r="E309" s="9"/>
      <c r="F309" s="4" t="s">
        <v>1032</v>
      </c>
      <c r="G309" s="90" t="str">
        <f t="shared" si="5"/>
        <v>📄 Ver bula</v>
      </c>
      <c r="H309" s="9">
        <v>1.2</v>
      </c>
      <c r="I309" s="1"/>
      <c r="J309" s="9">
        <f>IFERROR(SUM(
IF('TL01'!$B$3=J$3,SUMIF('TL01'!$C$10:$C$224,$C309,'TL01'!$J$10:$J$224),0),
IF('TL01'!$B$229=J$3,SUMIF('TL01'!$C$238:$C$451,$C309,'TL01'!$J$238:$J$451),0),
IF('TL02'!$B$3=J$3,SUMIF('TL02'!$C$10:$C$224,$C309,'TL02'!$J$10:$J$224),0),
IF('TL02'!$B$229=J$3,SUMIF('TL02'!$C$238:$C$451,$C309,'TL02'!$J$238:$J$451),0),
IF('TL03'!$B$3=J$3,SUMIF('TL03'!$C$10:$C$224,$C309,'TL03'!$J$10:$J$224),0),
IF('TL03'!$B$229=J$3,SUMIF('TL03'!$C$238:$C$451,$C309,'TL03'!$J$238:$J$451),0),
IF('TL04'!$B$3=J$3,SUMIF('TL04'!$C$10:$C$224,$C309,'TL04'!$J$10:$J$224),0),
IF('TL04'!$B$229=J$3,SUMIF('TL04'!$C$238:$C$451,$C309,'TL04'!$J$238:$J$451),0),
IF('TL05'!$B$3=J$3,SUMIF('TL05'!$C$10:$C$224,$C309,'TL05'!$J$10:$J$224),0),
IF('TL05'!$B$229=J$3,SUMIF('TL05'!$C$238:$C$451,$C309,'TL05'!$J$238:$J$451),0),
IF('TL06'!$B$3=J$3,SUMIF('TL06'!$C$10:$C$224,$C309,'TL06'!$J$10:$J$224),0),
IF('TL06'!$B$229=J$3,SUMIF('TL06'!$C$238:$C$451,$C309,'TL06'!$J$238:$J$451),0),
IF('TL07'!$B$3=J$3,SUMIF('TL07'!$C$10:$C$224,$C309,'TL07'!$J$10:$J$224),0),
IF('TL07'!$B$229=J$3,SUMIF('TL07'!$C$238:$C$451,$C309,'TL07'!$J$238:$J$451),0),
IF('TL08'!$B$3=J$3,SUMIF('TL08'!$C$10:$C$224,$C309,'TL08'!$J$10:$J$224),0),
IF('TL08'!$B$229=J$3,SUMIF('TL08'!$C$238:$C$451,$C309,'TL08'!$J$238:$J$451),0),
IF('TL09'!$B$3=J$3,SUMIF('TL09'!$C$10:$C$224,$C309,'TL09'!$J$10:$J$224),0),
IF('TL09'!$B$229=J$3,SUMIF('TL09'!$C$238:$C$451,$C309,'TL09'!$J$238:$J$451),0),
IF('TL10'!$B$3=J$3,SUMIF('TL10'!$C$10:$C$224,$C309,'TL10'!$J$10:$J$224),0),
IF('TL10'!$B$229=J$3,SUMIF('TL10'!$C$238:$C$451,$C309,'TL10'!$J$238:$J$451),0),
IF('TL11'!$B$3=J$3,SUMIF('TL11'!$C$10:$C$224,$C309,'TL11'!$J$10:$J$224),0),
IF('TL11'!$B$229=J$3,SUMIF('TL11'!$C$238:$C$451,$C309,'TL11'!$J$238:$J$451),0),
IF('TL12'!$B$3=J$3,SUMIF('TL12'!$C$10:$C$224,$C309,'TL12'!$J$10:$J$224),0),
IF('TL12'!$B$229=J$3,SUMIF('TL12'!$C$238:$C$451,$C309,'TL12'!$J$238:$J$451),0),
IF('TL13'!$B$3=J$3,SUMIF('TL13'!$C$10:$C$224,$C309,'TL13'!$J$10:$J$224),0),
IF('TL13'!$B$229=J$3,SUMIF('TL13'!$C$238:$C$451,$C309,'TL13'!$J$238:$J$451),0),
IF('TL14'!$B$3=J$3,SUMIF('TL14'!$C$10:$C$224,$C309,'TL14'!$J$10:$J$224),0),
IF('TL14'!$B$229=J$3,SUMIF('TL14'!$C$238:$C$451,$C309,'TL14'!$J$238:$J$451),0),
IF('TL15'!$B$3=J$3,SUMIF('TL15'!$C$10:$C$224,$C309,'TL15'!$J$10:$J$224),0),
IF('TL15'!$B$229=J$3,SUMIF('TL15'!$C$238:$C$451,$C309,'TL15'!$J$238:$J$451),0),
IF('TL16'!$B$3=J$3,SUMIF('TL16'!$C$10:$C$224,$C309,'TL16'!$J$10:$J$224),0),
IF('TL16'!$B$229=J$3,SUMIF('TL16'!$C$238:$C$451,$C309,'TL16'!$J$238:$J$451),0),
IF('TL17'!$B$3=J$3,SUMIF('TL17'!$C$10:$C$224,$C309,'TL17'!$J$10:$J$224),0),
IF('TL17'!$B$229=J$3,SUMIF('TL17'!$C$238:$C$451,$C309,'TL17'!$J$238:$J$451),0),
IF('TL18'!$B$3=J$3,SUMIF('TL18'!$C$10:$C$224,$C309,'TL18'!$J$10:$J$224),0),
IF('TL18'!$B$229=J$3,SUMIF('TL18'!$C$238:$C$451,$C309,'TL18'!$J$238:$J$451),0),
IF('TL19'!$B$3=J$3,SUMIF('TL19'!$C$10:$C$224,$C309,'TL19'!$J$10:$J$224),0),
IF('TL19'!$B$229=J$3,SUMIF('TL19'!$C$238:$C$451,$C309,'TL19'!$J$238:$J$451),0)
),0)</f>
        <v>0</v>
      </c>
      <c r="K309" s="9">
        <f>IFERROR(SUM(
IF('TL01'!$B$3=K$3,SUMIF('TL01'!$C$10:$C$224,$C309,'TL01'!$J$10:$J$224),0),
IF('TL01'!$B$229=K$3,SUMIF('TL01'!$C$238:$C$451,$C309,'TL01'!$J$238:$J$451),0),
IF('TL02'!$B$3=K$3,SUMIF('TL02'!$C$10:$C$224,$C309,'TL02'!$J$10:$J$224),0),
IF('TL02'!$B$229=K$3,SUMIF('TL02'!$C$238:$C$451,$C309,'TL02'!$J$238:$J$451),0),
IF('TL03'!$B$3=K$3,SUMIF('TL03'!$C$10:$C$224,$C309,'TL03'!$J$10:$J$224),0),
IF('TL03'!$B$229=K$3,SUMIF('TL03'!$C$238:$C$451,$C309,'TL03'!$J$238:$J$451),0),
IF('TL04'!$B$3=K$3,SUMIF('TL04'!$C$10:$C$224,$C309,'TL04'!$J$10:$J$224),0),
IF('TL04'!$B$229=K$3,SUMIF('TL04'!$C$238:$C$451,$C309,'TL04'!$J$238:$J$451),0),
IF('TL05'!$B$3=K$3,SUMIF('TL05'!$C$10:$C$224,$C309,'TL05'!$J$10:$J$224),0),
IF('TL05'!$B$229=K$3,SUMIF('TL05'!$C$238:$C$451,$C309,'TL05'!$J$238:$J$451),0),
IF('TL06'!$B$3=K$3,SUMIF('TL06'!$C$10:$C$224,$C309,'TL06'!$J$10:$J$224),0),
IF('TL06'!$B$229=K$3,SUMIF('TL06'!$C$238:$C$451,$C309,'TL06'!$J$238:$J$451),0),
IF('TL07'!$B$3=K$3,SUMIF('TL07'!$C$10:$C$224,$C309,'TL07'!$J$10:$J$224),0),
IF('TL07'!$B$229=K$3,SUMIF('TL07'!$C$238:$C$451,$C309,'TL07'!$J$238:$J$451),0),
IF('TL08'!$B$3=K$3,SUMIF('TL08'!$C$10:$C$224,$C309,'TL08'!$J$10:$J$224),0),
IF('TL08'!$B$229=K$3,SUMIF('TL08'!$C$238:$C$451,$C309,'TL08'!$J$238:$J$451),0),
IF('TL09'!$B$3=K$3,SUMIF('TL09'!$C$10:$C$224,$C309,'TL09'!$J$10:$J$224),0),
IF('TL09'!$B$229=K$3,SUMIF('TL09'!$C$238:$C$451,$C309,'TL09'!$J$238:$J$451),0),
IF('TL10'!$B$3=K$3,SUMIF('TL10'!$C$10:$C$224,$C309,'TL10'!$J$10:$J$224),0),
IF('TL10'!$B$229=K$3,SUMIF('TL10'!$C$238:$C$451,$C309,'TL10'!$J$238:$J$451),0),
IF('TL11'!$B$3=K$3,SUMIF('TL11'!$C$10:$C$224,$C309,'TL11'!$J$10:$J$224),0),
IF('TL11'!$B$229=K$3,SUMIF('TL11'!$C$238:$C$451,$C309,'TL11'!$J$238:$J$451),0),
IF('TL12'!$B$3=K$3,SUMIF('TL12'!$C$10:$C$224,$C309,'TL12'!$J$10:$J$224),0),
IF('TL12'!$B$229=K$3,SUMIF('TL12'!$C$238:$C$451,$C309,'TL12'!$J$238:$J$451),0),
IF('TL13'!$B$3=K$3,SUMIF('TL13'!$C$10:$C$224,$C309,'TL13'!$J$10:$J$224),0),
IF('TL13'!$B$229=K$3,SUMIF('TL13'!$C$238:$C$451,$C309,'TL13'!$J$238:$J$451),0),
IF('TL14'!$B$3=K$3,SUMIF('TL14'!$C$10:$C$224,$C309,'TL14'!$J$10:$J$224),0),
IF('TL14'!$B$229=K$3,SUMIF('TL14'!$C$238:$C$451,$C309,'TL14'!$J$238:$J$451),0),
IF('TL15'!$B$3=K$3,SUMIF('TL15'!$C$10:$C$224,$C309,'TL15'!$J$10:$J$224),0),
IF('TL15'!$B$229=K$3,SUMIF('TL15'!$C$238:$C$451,$C309,'TL15'!$J$238:$J$451),0),
IF('TL16'!$B$3=K$3,SUMIF('TL16'!$C$10:$C$224,$C309,'TL16'!$J$10:$J$224),0),
IF('TL16'!$B$229=K$3,SUMIF('TL16'!$C$238:$C$451,$C309,'TL16'!$J$238:$J$451),0),
IF('TL17'!$B$3=K$3,SUMIF('TL17'!$C$10:$C$224,$C309,'TL17'!$J$10:$J$224),0),
IF('TL17'!$B$229=K$3,SUMIF('TL17'!$C$238:$C$451,$C309,'TL17'!$J$238:$J$451),0),
IF('TL18'!$B$3=K$3,SUMIF('TL18'!$C$10:$C$224,$C309,'TL18'!$J$10:$J$224),0),
IF('TL18'!$B$229=K$3,SUMIF('TL18'!$C$238:$C$451,$C309,'TL18'!$J$238:$J$451),0),
IF('TL19'!$B$3=K$3,SUMIF('TL19'!$C$10:$C$224,$C309,'TL19'!$J$10:$J$224),0),
IF('TL19'!$B$229=K$3,SUMIF('TL19'!$C$238:$C$451,$C309,'TL19'!$J$238:$J$451),0)
),0)</f>
        <v>0</v>
      </c>
      <c r="L309" s="9">
        <f>IFERROR(SUM(
IF('TL01'!$B$3=L$3,SUMIF('TL01'!$C$10:$C$224,$C309,'TL01'!$J$10:$J$224),0),
IF('TL01'!$B$229=L$3,SUMIF('TL01'!$C$238:$C$451,$C309,'TL01'!$J$238:$J$451),0),
IF('TL02'!$B$3=L$3,SUMIF('TL02'!$C$10:$C$224,$C309,'TL02'!$J$10:$J$224),0),
IF('TL02'!$B$229=L$3,SUMIF('TL02'!$C$238:$C$451,$C309,'TL02'!$J$238:$J$451),0),
IF('TL03'!$B$3=L$3,SUMIF('TL03'!$C$10:$C$224,$C309,'TL03'!$J$10:$J$224),0),
IF('TL03'!$B$229=L$3,SUMIF('TL03'!$C$238:$C$451,$C309,'TL03'!$J$238:$J$451),0),
IF('TL04'!$B$3=L$3,SUMIF('TL04'!$C$10:$C$224,$C309,'TL04'!$J$10:$J$224),0),
IF('TL04'!$B$229=L$3,SUMIF('TL04'!$C$238:$C$451,$C309,'TL04'!$J$238:$J$451),0),
IF('TL05'!$B$3=L$3,SUMIF('TL05'!$C$10:$C$224,$C309,'TL05'!$J$10:$J$224),0),
IF('TL05'!$B$229=L$3,SUMIF('TL05'!$C$238:$C$451,$C309,'TL05'!$J$238:$J$451),0),
IF('TL06'!$B$3=L$3,SUMIF('TL06'!$C$10:$C$224,$C309,'TL06'!$J$10:$J$224),0),
IF('TL06'!$B$229=L$3,SUMIF('TL06'!$C$238:$C$451,$C309,'TL06'!$J$238:$J$451),0),
IF('TL07'!$B$3=L$3,SUMIF('TL07'!$C$10:$C$224,$C309,'TL07'!$J$10:$J$224),0),
IF('TL07'!$B$229=L$3,SUMIF('TL07'!$C$238:$C$451,$C309,'TL07'!$J$238:$J$451),0),
IF('TL08'!$B$3=L$3,SUMIF('TL08'!$C$10:$C$224,$C309,'TL08'!$J$10:$J$224),0),
IF('TL08'!$B$229=L$3,SUMIF('TL08'!$C$238:$C$451,$C309,'TL08'!$J$238:$J$451),0),
IF('TL09'!$B$3=L$3,SUMIF('TL09'!$C$10:$C$224,$C309,'TL09'!$J$10:$J$224),0),
IF('TL09'!$B$229=L$3,SUMIF('TL09'!$C$238:$C$451,$C309,'TL09'!$J$238:$J$451),0),
IF('TL10'!$B$3=L$3,SUMIF('TL10'!$C$10:$C$224,$C309,'TL10'!$J$10:$J$224),0),
IF('TL10'!$B$229=L$3,SUMIF('TL10'!$C$238:$C$451,$C309,'TL10'!$J$238:$J$451),0),
IF('TL11'!$B$3=L$3,SUMIF('TL11'!$C$10:$C$224,$C309,'TL11'!$J$10:$J$224),0),
IF('TL11'!$B$229=L$3,SUMIF('TL11'!$C$238:$C$451,$C309,'TL11'!$J$238:$J$451),0),
IF('TL12'!$B$3=L$3,SUMIF('TL12'!$C$10:$C$224,$C309,'TL12'!$J$10:$J$224),0),
IF('TL12'!$B$229=L$3,SUMIF('TL12'!$C$238:$C$451,$C309,'TL12'!$J$238:$J$451),0),
IF('TL13'!$B$3=L$3,SUMIF('TL13'!$C$10:$C$224,$C309,'TL13'!$J$10:$J$224),0),
IF('TL13'!$B$229=L$3,SUMIF('TL13'!$C$238:$C$451,$C309,'TL13'!$J$238:$J$451),0),
IF('TL14'!$B$3=L$3,SUMIF('TL14'!$C$10:$C$224,$C309,'TL14'!$J$10:$J$224),0),
IF('TL14'!$B$229=L$3,SUMIF('TL14'!$C$238:$C$451,$C309,'TL14'!$J$238:$J$451),0),
IF('TL15'!$B$3=L$3,SUMIF('TL15'!$C$10:$C$224,$C309,'TL15'!$J$10:$J$224),0),
IF('TL15'!$B$229=L$3,SUMIF('TL15'!$C$238:$C$451,$C309,'TL15'!$J$238:$J$451),0),
IF('TL16'!$B$3=L$3,SUMIF('TL16'!$C$10:$C$224,$C309,'TL16'!$J$10:$J$224),0),
IF('TL16'!$B$229=L$3,SUMIF('TL16'!$C$238:$C$451,$C309,'TL16'!$J$238:$J$451),0),
IF('TL17'!$B$3=L$3,SUMIF('TL17'!$C$10:$C$224,$C309,'TL17'!$J$10:$J$224),0),
IF('TL17'!$B$229=L$3,SUMIF('TL17'!$C$238:$C$451,$C309,'TL17'!$J$238:$J$451),0),
IF('TL18'!$B$3=L$3,SUMIF('TL18'!$C$10:$C$224,$C309,'TL18'!$J$10:$J$224),0),
IF('TL18'!$B$229=L$3,SUMIF('TL18'!$C$238:$C$451,$C309,'TL18'!$J$238:$J$451),0),
IF('TL19'!$B$3=L$3,SUMIF('TL19'!$C$10:$C$224,$C309,'TL19'!$J$10:$J$224),0),
IF('TL19'!$B$229=L$3,SUMIF('TL19'!$C$238:$C$451,$C309,'TL19'!$J$238:$J$451),0)
),0)</f>
        <v>0</v>
      </c>
      <c r="M309" s="9">
        <f>IFERROR(SUM(
IF('TL01'!$B$3=M$3,SUMIF('TL01'!$C$10:$C$224,$C309,'TL01'!$J$10:$J$224),0),
IF('TL01'!$B$229=M$3,SUMIF('TL01'!$C$238:$C$451,$C309,'TL01'!$J$238:$J$451),0),
IF('TL02'!$B$3=M$3,SUMIF('TL02'!$C$10:$C$224,$C309,'TL02'!$J$10:$J$224),0),
IF('TL02'!$B$229=M$3,SUMIF('TL02'!$C$238:$C$451,$C309,'TL02'!$J$238:$J$451),0),
IF('TL03'!$B$3=M$3,SUMIF('TL03'!$C$10:$C$224,$C309,'TL03'!$J$10:$J$224),0),
IF('TL03'!$B$229=M$3,SUMIF('TL03'!$C$238:$C$451,$C309,'TL03'!$J$238:$J$451),0),
IF('TL04'!$B$3=M$3,SUMIF('TL04'!$C$10:$C$224,$C309,'TL04'!$J$10:$J$224),0),
IF('TL04'!$B$229=M$3,SUMIF('TL04'!$C$238:$C$451,$C309,'TL04'!$J$238:$J$451),0),
IF('TL05'!$B$3=M$3,SUMIF('TL05'!$C$10:$C$224,$C309,'TL05'!$J$10:$J$224),0),
IF('TL05'!$B$229=M$3,SUMIF('TL05'!$C$238:$C$451,$C309,'TL05'!$J$238:$J$451),0),
IF('TL06'!$B$3=M$3,SUMIF('TL06'!$C$10:$C$224,$C309,'TL06'!$J$10:$J$224),0),
IF('TL06'!$B$229=M$3,SUMIF('TL06'!$C$238:$C$451,$C309,'TL06'!$J$238:$J$451),0),
IF('TL07'!$B$3=M$3,SUMIF('TL07'!$C$10:$C$224,$C309,'TL07'!$J$10:$J$224),0),
IF('TL07'!$B$229=M$3,SUMIF('TL07'!$C$238:$C$451,$C309,'TL07'!$J$238:$J$451),0),
IF('TL08'!$B$3=M$3,SUMIF('TL08'!$C$10:$C$224,$C309,'TL08'!$J$10:$J$224),0),
IF('TL08'!$B$229=M$3,SUMIF('TL08'!$C$238:$C$451,$C309,'TL08'!$J$238:$J$451),0),
IF('TL09'!$B$3=M$3,SUMIF('TL09'!$C$10:$C$224,$C309,'TL09'!$J$10:$J$224),0),
IF('TL09'!$B$229=M$3,SUMIF('TL09'!$C$238:$C$451,$C309,'TL09'!$J$238:$J$451),0),
IF('TL10'!$B$3=M$3,SUMIF('TL10'!$C$10:$C$224,$C309,'TL10'!$J$10:$J$224),0),
IF('TL10'!$B$229=M$3,SUMIF('TL10'!$C$238:$C$451,$C309,'TL10'!$J$238:$J$451),0),
IF('TL11'!$B$3=M$3,SUMIF('TL11'!$C$10:$C$224,$C309,'TL11'!$J$10:$J$224),0),
IF('TL11'!$B$229=M$3,SUMIF('TL11'!$C$238:$C$451,$C309,'TL11'!$J$238:$J$451),0),
IF('TL12'!$B$3=M$3,SUMIF('TL12'!$C$10:$C$224,$C309,'TL12'!$J$10:$J$224),0),
IF('TL12'!$B$229=M$3,SUMIF('TL12'!$C$238:$C$451,$C309,'TL12'!$J$238:$J$451),0),
IF('TL13'!$B$3=M$3,SUMIF('TL13'!$C$10:$C$224,$C309,'TL13'!$J$10:$J$224),0),
IF('TL13'!$B$229=M$3,SUMIF('TL13'!$C$238:$C$451,$C309,'TL13'!$J$238:$J$451),0),
IF('TL14'!$B$3=M$3,SUMIF('TL14'!$C$10:$C$224,$C309,'TL14'!$J$10:$J$224),0),
IF('TL14'!$B$229=M$3,SUMIF('TL14'!$C$238:$C$451,$C309,'TL14'!$J$238:$J$451),0),
IF('TL15'!$B$3=M$3,SUMIF('TL15'!$C$10:$C$224,$C309,'TL15'!$J$10:$J$224),0),
IF('TL15'!$B$229=M$3,SUMIF('TL15'!$C$238:$C$451,$C309,'TL15'!$J$238:$J$451),0),
IF('TL16'!$B$3=M$3,SUMIF('TL16'!$C$10:$C$224,$C309,'TL16'!$J$10:$J$224),0),
IF('TL16'!$B$229=M$3,SUMIF('TL16'!$C$238:$C$451,$C309,'TL16'!$J$238:$J$451),0),
IF('TL17'!$B$3=M$3,SUMIF('TL17'!$C$10:$C$224,$C309,'TL17'!$J$10:$J$224),0),
IF('TL17'!$B$229=M$3,SUMIF('TL17'!$C$238:$C$451,$C309,'TL17'!$J$238:$J$451),0),
IF('TL18'!$B$3=M$3,SUMIF('TL18'!$C$10:$C$224,$C309,'TL18'!$J$10:$J$224),0),
IF('TL18'!$B$229=M$3,SUMIF('TL18'!$C$238:$C$451,$C309,'TL18'!$J$238:$J$451),0),
IF('TL19'!$B$3=M$3,SUMIF('TL19'!$C$10:$C$224,$C309,'TL19'!$J$10:$J$224),0),
IF('TL19'!$B$229=M$3,SUMIF('TL19'!$C$238:$C$451,$C309,'TL19'!$J$238:$J$451),0)
),0)</f>
        <v>0</v>
      </c>
      <c r="N309" s="9">
        <f>IFERROR(SUM(
IF('TL01'!$B$3=N$3,SUMIF('TL01'!$C$10:$C$224,$C309,'TL01'!$J$10:$J$224),0),
IF('TL01'!$B$229=N$3,SUMIF('TL01'!$C$238:$C$451,$C309,'TL01'!$J$238:$J$451),0),
IF('TL02'!$B$3=N$3,SUMIF('TL02'!$C$10:$C$224,$C309,'TL02'!$J$10:$J$224),0),
IF('TL02'!$B$229=N$3,SUMIF('TL02'!$C$238:$C$451,$C309,'TL02'!$J$238:$J$451),0),
IF('TL03'!$B$3=N$3,SUMIF('TL03'!$C$10:$C$224,$C309,'TL03'!$J$10:$J$224),0),
IF('TL03'!$B$229=N$3,SUMIF('TL03'!$C$238:$C$451,$C309,'TL03'!$J$238:$J$451),0),
IF('TL04'!$B$3=N$3,SUMIF('TL04'!$C$10:$C$224,$C309,'TL04'!$J$10:$J$224),0),
IF('TL04'!$B$229=N$3,SUMIF('TL04'!$C$238:$C$451,$C309,'TL04'!$J$238:$J$451),0),
IF('TL05'!$B$3=N$3,SUMIF('TL05'!$C$10:$C$224,$C309,'TL05'!$J$10:$J$224),0),
IF('TL05'!$B$229=N$3,SUMIF('TL05'!$C$238:$C$451,$C309,'TL05'!$J$238:$J$451),0),
IF('TL06'!$B$3=N$3,SUMIF('TL06'!$C$10:$C$224,$C309,'TL06'!$J$10:$J$224),0),
IF('TL06'!$B$229=N$3,SUMIF('TL06'!$C$238:$C$451,$C309,'TL06'!$J$238:$J$451),0),
IF('TL07'!$B$3=N$3,SUMIF('TL07'!$C$10:$C$224,$C309,'TL07'!$J$10:$J$224),0),
IF('TL07'!$B$229=N$3,SUMIF('TL07'!$C$238:$C$451,$C309,'TL07'!$J$238:$J$451),0),
IF('TL08'!$B$3=N$3,SUMIF('TL08'!$C$10:$C$224,$C309,'TL08'!$J$10:$J$224),0),
IF('TL08'!$B$229=N$3,SUMIF('TL08'!$C$238:$C$451,$C309,'TL08'!$J$238:$J$451),0),
IF('TL09'!$B$3=N$3,SUMIF('TL09'!$C$10:$C$224,$C309,'TL09'!$J$10:$J$224),0),
IF('TL09'!$B$229=N$3,SUMIF('TL09'!$C$238:$C$451,$C309,'TL09'!$J$238:$J$451),0),
IF('TL10'!$B$3=N$3,SUMIF('TL10'!$C$10:$C$224,$C309,'TL10'!$J$10:$J$224),0),
IF('TL10'!$B$229=N$3,SUMIF('TL10'!$C$238:$C$451,$C309,'TL10'!$J$238:$J$451),0),
IF('TL11'!$B$3=N$3,SUMIF('TL11'!$C$10:$C$224,$C309,'TL11'!$J$10:$J$224),0),
IF('TL11'!$B$229=N$3,SUMIF('TL11'!$C$238:$C$451,$C309,'TL11'!$J$238:$J$451),0),
IF('TL12'!$B$3=N$3,SUMIF('TL12'!$C$10:$C$224,$C309,'TL12'!$J$10:$J$224),0),
IF('TL12'!$B$229=N$3,SUMIF('TL12'!$C$238:$C$451,$C309,'TL12'!$J$238:$J$451),0),
IF('TL13'!$B$3=N$3,SUMIF('TL13'!$C$10:$C$224,$C309,'TL13'!$J$10:$J$224),0),
IF('TL13'!$B$229=N$3,SUMIF('TL13'!$C$238:$C$451,$C309,'TL13'!$J$238:$J$451),0),
IF('TL14'!$B$3=N$3,SUMIF('TL14'!$C$10:$C$224,$C309,'TL14'!$J$10:$J$224),0),
IF('TL14'!$B$229=N$3,SUMIF('TL14'!$C$238:$C$451,$C309,'TL14'!$J$238:$J$451),0),
IF('TL15'!$B$3=N$3,SUMIF('TL15'!$C$10:$C$224,$C309,'TL15'!$J$10:$J$224),0),
IF('TL15'!$B$229=N$3,SUMIF('TL15'!$C$238:$C$451,$C309,'TL15'!$J$238:$J$451),0),
IF('TL16'!$B$3=N$3,SUMIF('TL16'!$C$10:$C$224,$C309,'TL16'!$J$10:$J$224),0),
IF('TL16'!$B$229=N$3,SUMIF('TL16'!$C$238:$C$451,$C309,'TL16'!$J$238:$J$451),0),
IF('TL17'!$B$3=N$3,SUMIF('TL17'!$C$10:$C$224,$C309,'TL17'!$J$10:$J$224),0),
IF('TL17'!$B$229=N$3,SUMIF('TL17'!$C$238:$C$451,$C309,'TL17'!$J$238:$J$451),0),
IF('TL18'!$B$3=N$3,SUMIF('TL18'!$C$10:$C$224,$C309,'TL18'!$J$10:$J$224),0),
IF('TL18'!$B$229=N$3,SUMIF('TL18'!$C$238:$C$451,$C309,'TL18'!$J$238:$J$451),0),
IF('TL19'!$B$3=N$3,SUMIF('TL19'!$C$10:$C$224,$C309,'TL19'!$J$10:$J$224),0),
IF('TL19'!$B$229=N$3,SUMIF('TL19'!$C$238:$C$451,$C309,'TL19'!$J$238:$J$451),0)
),0)</f>
        <v>0</v>
      </c>
      <c r="O309" s="9">
        <f>IFERROR(SUM(
IF('TL01'!$B$3=O$3,SUMIF('TL01'!$C$10:$C$224,$C309,'TL01'!$J$10:$J$224),0),
IF('TL01'!$B$229=O$3,SUMIF('TL01'!$C$238:$C$451,$C309,'TL01'!$J$238:$J$451),0),
IF('TL02'!$B$3=O$3,SUMIF('TL02'!$C$10:$C$224,$C309,'TL02'!$J$10:$J$224),0),
IF('TL02'!$B$229=O$3,SUMIF('TL02'!$C$238:$C$451,$C309,'TL02'!$J$238:$J$451),0),
IF('TL03'!$B$3=O$3,SUMIF('TL03'!$C$10:$C$224,$C309,'TL03'!$J$10:$J$224),0),
IF('TL03'!$B$229=O$3,SUMIF('TL03'!$C$238:$C$451,$C309,'TL03'!$J$238:$J$451),0),
IF('TL04'!$B$3=O$3,SUMIF('TL04'!$C$10:$C$224,$C309,'TL04'!$J$10:$J$224),0),
IF('TL04'!$B$229=O$3,SUMIF('TL04'!$C$238:$C$451,$C309,'TL04'!$J$238:$J$451),0),
IF('TL05'!$B$3=O$3,SUMIF('TL05'!$C$10:$C$224,$C309,'TL05'!$J$10:$J$224),0),
IF('TL05'!$B$229=O$3,SUMIF('TL05'!$C$238:$C$451,$C309,'TL05'!$J$238:$J$451),0),
IF('TL06'!$B$3=O$3,SUMIF('TL06'!$C$10:$C$224,$C309,'TL06'!$J$10:$J$224),0),
IF('TL06'!$B$229=O$3,SUMIF('TL06'!$C$238:$C$451,$C309,'TL06'!$J$238:$J$451),0),
IF('TL07'!$B$3=O$3,SUMIF('TL07'!$C$10:$C$224,$C309,'TL07'!$J$10:$J$224),0),
IF('TL07'!$B$229=O$3,SUMIF('TL07'!$C$238:$C$451,$C309,'TL07'!$J$238:$J$451),0),
IF('TL08'!$B$3=O$3,SUMIF('TL08'!$C$10:$C$224,$C309,'TL08'!$J$10:$J$224),0),
IF('TL08'!$B$229=O$3,SUMIF('TL08'!$C$238:$C$451,$C309,'TL08'!$J$238:$J$451),0),
IF('TL09'!$B$3=O$3,SUMIF('TL09'!$C$10:$C$224,$C309,'TL09'!$J$10:$J$224),0),
IF('TL09'!$B$229=O$3,SUMIF('TL09'!$C$238:$C$451,$C309,'TL09'!$J$238:$J$451),0),
IF('TL10'!$B$3=O$3,SUMIF('TL10'!$C$10:$C$224,$C309,'TL10'!$J$10:$J$224),0),
IF('TL10'!$B$229=O$3,SUMIF('TL10'!$C$238:$C$451,$C309,'TL10'!$J$238:$J$451),0),
IF('TL11'!$B$3=O$3,SUMIF('TL11'!$C$10:$C$224,$C309,'TL11'!$J$10:$J$224),0),
IF('TL11'!$B$229=O$3,SUMIF('TL11'!$C$238:$C$451,$C309,'TL11'!$J$238:$J$451),0),
IF('TL12'!$B$3=O$3,SUMIF('TL12'!$C$10:$C$224,$C309,'TL12'!$J$10:$J$224),0),
IF('TL12'!$B$229=O$3,SUMIF('TL12'!$C$238:$C$451,$C309,'TL12'!$J$238:$J$451),0),
IF('TL13'!$B$3=O$3,SUMIF('TL13'!$C$10:$C$224,$C309,'TL13'!$J$10:$J$224),0),
IF('TL13'!$B$229=O$3,SUMIF('TL13'!$C$238:$C$451,$C309,'TL13'!$J$238:$J$451),0),
IF('TL14'!$B$3=O$3,SUMIF('TL14'!$C$10:$C$224,$C309,'TL14'!$J$10:$J$224),0),
IF('TL14'!$B$229=O$3,SUMIF('TL14'!$C$238:$C$451,$C309,'TL14'!$J$238:$J$451),0),
IF('TL15'!$B$3=O$3,SUMIF('TL15'!$C$10:$C$224,$C309,'TL15'!$J$10:$J$224),0),
IF('TL15'!$B$229=O$3,SUMIF('TL15'!$C$238:$C$451,$C309,'TL15'!$J$238:$J$451),0),
IF('TL16'!$B$3=O$3,SUMIF('TL16'!$C$10:$C$224,$C309,'TL16'!$J$10:$J$224),0),
IF('TL16'!$B$229=O$3,SUMIF('TL16'!$C$238:$C$451,$C309,'TL16'!$J$238:$J$451),0),
IF('TL17'!$B$3=O$3,SUMIF('TL17'!$C$10:$C$224,$C309,'TL17'!$J$10:$J$224),0),
IF('TL17'!$B$229=O$3,SUMIF('TL17'!$C$238:$C$451,$C309,'TL17'!$J$238:$J$451),0),
IF('TL18'!$B$3=O$3,SUMIF('TL18'!$C$10:$C$224,$C309,'TL18'!$J$10:$J$224),0),
IF('TL18'!$B$229=O$3,SUMIF('TL18'!$C$238:$C$451,$C309,'TL18'!$J$238:$J$451),0),
IF('TL19'!$B$3=O$3,SUMIF('TL19'!$C$10:$C$224,$C309,'TL19'!$J$10:$J$224),0),
IF('TL19'!$B$229=O$3,SUMIF('TL19'!$C$238:$C$451,$C309,'TL19'!$J$238:$J$451),0)
),0)</f>
        <v>264</v>
      </c>
      <c r="P309" s="9">
        <f>IFERROR(SUM(
IF('TL01'!$B$3=P$3,SUMIF('TL01'!$C$10:$C$224,$C309,'TL01'!$J$10:$J$224),0),
IF('TL01'!$B$229=P$3,SUMIF('TL01'!$C$238:$C$451,$C309,'TL01'!$J$238:$J$451),0),
IF('TL02'!$B$3=P$3,SUMIF('TL02'!$C$10:$C$224,$C309,'TL02'!$J$10:$J$224),0),
IF('TL02'!$B$229=P$3,SUMIF('TL02'!$C$238:$C$451,$C309,'TL02'!$J$238:$J$451),0),
IF('TL03'!$B$3=P$3,SUMIF('TL03'!$C$10:$C$224,$C309,'TL03'!$J$10:$J$224),0),
IF('TL03'!$B$229=P$3,SUMIF('TL03'!$C$238:$C$451,$C309,'TL03'!$J$238:$J$451),0),
IF('TL04'!$B$3=P$3,SUMIF('TL04'!$C$10:$C$224,$C309,'TL04'!$J$10:$J$224),0),
IF('TL04'!$B$229=P$3,SUMIF('TL04'!$C$238:$C$451,$C309,'TL04'!$J$238:$J$451),0),
IF('TL05'!$B$3=P$3,SUMIF('TL05'!$C$10:$C$224,$C309,'TL05'!$J$10:$J$224),0),
IF('TL05'!$B$229=P$3,SUMIF('TL05'!$C$238:$C$451,$C309,'TL05'!$J$238:$J$451),0),
IF('TL06'!$B$3=P$3,SUMIF('TL06'!$C$10:$C$224,$C309,'TL06'!$J$10:$J$224),0),
IF('TL06'!$B$229=P$3,SUMIF('TL06'!$C$238:$C$451,$C309,'TL06'!$J$238:$J$451),0),
IF('TL07'!$B$3=P$3,SUMIF('TL07'!$C$10:$C$224,$C309,'TL07'!$J$10:$J$224),0),
IF('TL07'!$B$229=P$3,SUMIF('TL07'!$C$238:$C$451,$C309,'TL07'!$J$238:$J$451),0),
IF('TL08'!$B$3=P$3,SUMIF('TL08'!$C$10:$C$224,$C309,'TL08'!$J$10:$J$224),0),
IF('TL08'!$B$229=P$3,SUMIF('TL08'!$C$238:$C$451,$C309,'TL08'!$J$238:$J$451),0),
IF('TL09'!$B$3=P$3,SUMIF('TL09'!$C$10:$C$224,$C309,'TL09'!$J$10:$J$224),0),
IF('TL09'!$B$229=P$3,SUMIF('TL09'!$C$238:$C$451,$C309,'TL09'!$J$238:$J$451),0),
IF('TL10'!$B$3=P$3,SUMIF('TL10'!$C$10:$C$224,$C309,'TL10'!$J$10:$J$224),0),
IF('TL10'!$B$229=P$3,SUMIF('TL10'!$C$238:$C$451,$C309,'TL10'!$J$238:$J$451),0),
IF('TL11'!$B$3=P$3,SUMIF('TL11'!$C$10:$C$224,$C309,'TL11'!$J$10:$J$224),0),
IF('TL11'!$B$229=P$3,SUMIF('TL11'!$C$238:$C$451,$C309,'TL11'!$J$238:$J$451),0),
IF('TL12'!$B$3=P$3,SUMIF('TL12'!$C$10:$C$224,$C309,'TL12'!$J$10:$J$224),0),
IF('TL12'!$B$229=P$3,SUMIF('TL12'!$C$238:$C$451,$C309,'TL12'!$J$238:$J$451),0),
IF('TL13'!$B$3=P$3,SUMIF('TL13'!$C$10:$C$224,$C309,'TL13'!$J$10:$J$224),0),
IF('TL13'!$B$229=P$3,SUMIF('TL13'!$C$238:$C$451,$C309,'TL13'!$J$238:$J$451),0),
IF('TL14'!$B$3=P$3,SUMIF('TL14'!$C$10:$C$224,$C309,'TL14'!$J$10:$J$224),0),
IF('TL14'!$B$229=P$3,SUMIF('TL14'!$C$238:$C$451,$C309,'TL14'!$J$238:$J$451),0),
IF('TL15'!$B$3=P$3,SUMIF('TL15'!$C$10:$C$224,$C309,'TL15'!$J$10:$J$224),0),
IF('TL15'!$B$229=P$3,SUMIF('TL15'!$C$238:$C$451,$C309,'TL15'!$J$238:$J$451),0),
IF('TL16'!$B$3=P$3,SUMIF('TL16'!$C$10:$C$224,$C309,'TL16'!$J$10:$J$224),0),
IF('TL16'!$B$229=P$3,SUMIF('TL16'!$C$238:$C$451,$C309,'TL16'!$J$238:$J$451),0),
IF('TL17'!$B$3=P$3,SUMIF('TL17'!$C$10:$C$224,$C309,'TL17'!$J$10:$J$224),0),
IF('TL17'!$B$229=P$3,SUMIF('TL17'!$C$238:$C$451,$C309,'TL17'!$J$238:$J$451),0),
IF('TL18'!$B$3=P$3,SUMIF('TL18'!$C$10:$C$224,$C309,'TL18'!$J$10:$J$224),0),
IF('TL18'!$B$229=P$3,SUMIF('TL18'!$C$238:$C$451,$C309,'TL18'!$J$238:$J$451),0),
IF('TL19'!$B$3=P$3,SUMIF('TL19'!$C$10:$C$224,$C309,'TL19'!$J$10:$J$224),0),
IF('TL19'!$B$229=P$3,SUMIF('TL19'!$C$238:$C$451,$C309,'TL19'!$J$238:$J$451),0)
),0)</f>
        <v>0</v>
      </c>
      <c r="Q309" s="9">
        <f>IFERROR(SUM(
IF('TL01'!$B$3=Q$3,SUMIF('TL01'!$C$10:$C$224,$C309,'TL01'!$J$10:$J$224),0),
IF('TL01'!$B$229=Q$3,SUMIF('TL01'!$C$238:$C$451,$C309,'TL01'!$J$238:$J$451),0),
IF('TL02'!$B$3=Q$3,SUMIF('TL02'!$C$10:$C$224,$C309,'TL02'!$J$10:$J$224),0),
IF('TL02'!$B$229=Q$3,SUMIF('TL02'!$C$238:$C$451,$C309,'TL02'!$J$238:$J$451),0),
IF('TL03'!$B$3=Q$3,SUMIF('TL03'!$C$10:$C$224,$C309,'TL03'!$J$10:$J$224),0),
IF('TL03'!$B$229=Q$3,SUMIF('TL03'!$C$238:$C$451,$C309,'TL03'!$J$238:$J$451),0),
IF('TL04'!$B$3=Q$3,SUMIF('TL04'!$C$10:$C$224,$C309,'TL04'!$J$10:$J$224),0),
IF('TL04'!$B$229=Q$3,SUMIF('TL04'!$C$238:$C$451,$C309,'TL04'!$J$238:$J$451),0),
IF('TL05'!$B$3=Q$3,SUMIF('TL05'!$C$10:$C$224,$C309,'TL05'!$J$10:$J$224),0),
IF('TL05'!$B$229=Q$3,SUMIF('TL05'!$C$238:$C$451,$C309,'TL05'!$J$238:$J$451),0),
IF('TL06'!$B$3=Q$3,SUMIF('TL06'!$C$10:$C$224,$C309,'TL06'!$J$10:$J$224),0),
IF('TL06'!$B$229=Q$3,SUMIF('TL06'!$C$238:$C$451,$C309,'TL06'!$J$238:$J$451),0),
IF('TL07'!$B$3=Q$3,SUMIF('TL07'!$C$10:$C$224,$C309,'TL07'!$J$10:$J$224),0),
IF('TL07'!$B$229=Q$3,SUMIF('TL07'!$C$238:$C$451,$C309,'TL07'!$J$238:$J$451),0),
IF('TL08'!$B$3=Q$3,SUMIF('TL08'!$C$10:$C$224,$C309,'TL08'!$J$10:$J$224),0),
IF('TL08'!$B$229=Q$3,SUMIF('TL08'!$C$238:$C$451,$C309,'TL08'!$J$238:$J$451),0),
IF('TL09'!$B$3=Q$3,SUMIF('TL09'!$C$10:$C$224,$C309,'TL09'!$J$10:$J$224),0),
IF('TL09'!$B$229=Q$3,SUMIF('TL09'!$C$238:$C$451,$C309,'TL09'!$J$238:$J$451),0),
IF('TL10'!$B$3=Q$3,SUMIF('TL10'!$C$10:$C$224,$C309,'TL10'!$J$10:$J$224),0),
IF('TL10'!$B$229=Q$3,SUMIF('TL10'!$C$238:$C$451,$C309,'TL10'!$J$238:$J$451),0),
IF('TL11'!$B$3=Q$3,SUMIF('TL11'!$C$10:$C$224,$C309,'TL11'!$J$10:$J$224),0),
IF('TL11'!$B$229=Q$3,SUMIF('TL11'!$C$238:$C$451,$C309,'TL11'!$J$238:$J$451),0),
IF('TL12'!$B$3=Q$3,SUMIF('TL12'!$C$10:$C$224,$C309,'TL12'!$J$10:$J$224),0),
IF('TL12'!$B$229=Q$3,SUMIF('TL12'!$C$238:$C$451,$C309,'TL12'!$J$238:$J$451),0),
IF('TL13'!$B$3=Q$3,SUMIF('TL13'!$C$10:$C$224,$C309,'TL13'!$J$10:$J$224),0),
IF('TL13'!$B$229=Q$3,SUMIF('TL13'!$C$238:$C$451,$C309,'TL13'!$J$238:$J$451),0),
IF('TL14'!$B$3=Q$3,SUMIF('TL14'!$C$10:$C$224,$C309,'TL14'!$J$10:$J$224),0),
IF('TL14'!$B$229=Q$3,SUMIF('TL14'!$C$238:$C$451,$C309,'TL14'!$J$238:$J$451),0),
IF('TL15'!$B$3=Q$3,SUMIF('TL15'!$C$10:$C$224,$C309,'TL15'!$J$10:$J$224),0),
IF('TL15'!$B$229=Q$3,SUMIF('TL15'!$C$238:$C$451,$C309,'TL15'!$J$238:$J$451),0),
IF('TL16'!$B$3=Q$3,SUMIF('TL16'!$C$10:$C$224,$C309,'TL16'!$J$10:$J$224),0),
IF('TL16'!$B$229=Q$3,SUMIF('TL16'!$C$238:$C$451,$C309,'TL16'!$J$238:$J$451),0),
IF('TL17'!$B$3=Q$3,SUMIF('TL17'!$C$10:$C$224,$C309,'TL17'!$J$10:$J$224),0),
IF('TL17'!$B$229=Q$3,SUMIF('TL17'!$C$238:$C$451,$C309,'TL17'!$J$238:$J$451),0),
IF('TL18'!$B$3=Q$3,SUMIF('TL18'!$C$10:$C$224,$C309,'TL18'!$J$10:$J$224),0),
IF('TL18'!$B$229=Q$3,SUMIF('TL18'!$C$238:$C$451,$C309,'TL18'!$J$238:$J$451),0),
IF('TL19'!$B$3=Q$3,SUMIF('TL19'!$C$10:$C$224,$C309,'TL19'!$J$10:$J$224),0),
IF('TL19'!$B$229=Q$3,SUMIF('TL19'!$C$238:$C$451,$C309,'TL19'!$J$238:$J$451),0)
),0)</f>
        <v>0</v>
      </c>
      <c r="R309" s="9">
        <f>IFERROR(
SUM(
SUMIF('TL01'!C:C,C309,'TL01'!J:J),
SUMIF('TL02'!C:C,C309,'TL02'!J:J),
SUMIF('TL03'!C:C,C309,'TL03'!J:J),
SUMIF('TL04'!C:C,C309,'TL04'!J:J),
SUMIF('TL05'!C:C,C309,'TL05'!J:J),
SUMIF('TL06'!C:C,C309,'TL06'!J:J),
SUMIF('TL07'!C:C,C309,'TL07'!J:J),
SUMIF('TL08'!C:C,C309,'TL08'!J:J),
SUMIF('TL09'!C:C,C309,'TL09'!J:J),
SUMIF('TL10'!C:C,C309,'TL10'!J:J),
SUMIF('TL11'!C:C,C309,'TL11'!J:J),
SUMIF('TL12'!C:C,C309,'TL12'!J:J),
SUMIF('TL13'!C:C,C309,'TL13'!J:J),
SUMIF('TL14'!C:C,C309,'TL14'!J:J),
SUMIF('TL15'!C:C,C309,'TL15'!J:J),
SUMIF('TL16'!C:C,C309,'TL16'!J:J),
SUMIF('TL17'!C:C,C309,'TL17'!J:J),
SUMIF('TL18'!C:C,C309,'TL18'!J:J),SUMIF('TL19'!C:C,C309,'TL19'!J:J))
,0)</f>
        <v>264</v>
      </c>
      <c r="S309" s="17" t="str">
        <f>IFERROR(__xludf.DUMMYFUNCTION("IFERROR(VLOOKUP(C309,
IMPORTRANGE(""1wULbzX32WdYsx-lj2U3uUNBBe2INVIRDtcK0d-Dvl90"",
""26-27!C:G""),
5,
FALSE),
"""")"),"")</f>
        <v/>
      </c>
      <c r="T309" s="9"/>
      <c r="U309" s="92">
        <f t="shared" si="2"/>
        <v>264</v>
      </c>
      <c r="V309" s="93">
        <f t="shared" si="3"/>
        <v>0</v>
      </c>
    </row>
    <row r="310" ht="15.75" hidden="1" customHeight="1">
      <c r="A310" s="4"/>
      <c r="B310" s="125" t="s">
        <v>5</v>
      </c>
      <c r="C310" s="4" t="s">
        <v>1033</v>
      </c>
      <c r="D310" s="6"/>
      <c r="E310" s="9"/>
      <c r="F310" s="4" t="s">
        <v>1032</v>
      </c>
      <c r="G310" s="90" t="str">
        <f t="shared" si="5"/>
        <v>📄 Ver bula</v>
      </c>
      <c r="H310" s="9">
        <v>1.2</v>
      </c>
      <c r="I310" s="1"/>
      <c r="J310" s="9">
        <f>IFERROR(SUM(
IF('TL01'!$B$3=J$3,SUMIF('TL01'!$C$10:$C$224,$C310,'TL01'!$J$10:$J$224),0),
IF('TL01'!$B$229=J$3,SUMIF('TL01'!$C$238:$C$451,$C310,'TL01'!$J$238:$J$451),0),
IF('TL02'!$B$3=J$3,SUMIF('TL02'!$C$10:$C$224,$C310,'TL02'!$J$10:$J$224),0),
IF('TL02'!$B$229=J$3,SUMIF('TL02'!$C$238:$C$451,$C310,'TL02'!$J$238:$J$451),0),
IF('TL03'!$B$3=J$3,SUMIF('TL03'!$C$10:$C$224,$C310,'TL03'!$J$10:$J$224),0),
IF('TL03'!$B$229=J$3,SUMIF('TL03'!$C$238:$C$451,$C310,'TL03'!$J$238:$J$451),0),
IF('TL04'!$B$3=J$3,SUMIF('TL04'!$C$10:$C$224,$C310,'TL04'!$J$10:$J$224),0),
IF('TL04'!$B$229=J$3,SUMIF('TL04'!$C$238:$C$451,$C310,'TL04'!$J$238:$J$451),0),
IF('TL05'!$B$3=J$3,SUMIF('TL05'!$C$10:$C$224,$C310,'TL05'!$J$10:$J$224),0),
IF('TL05'!$B$229=J$3,SUMIF('TL05'!$C$238:$C$451,$C310,'TL05'!$J$238:$J$451),0),
IF('TL06'!$B$3=J$3,SUMIF('TL06'!$C$10:$C$224,$C310,'TL06'!$J$10:$J$224),0),
IF('TL06'!$B$229=J$3,SUMIF('TL06'!$C$238:$C$451,$C310,'TL06'!$J$238:$J$451),0),
IF('TL07'!$B$3=J$3,SUMIF('TL07'!$C$10:$C$224,$C310,'TL07'!$J$10:$J$224),0),
IF('TL07'!$B$229=J$3,SUMIF('TL07'!$C$238:$C$451,$C310,'TL07'!$J$238:$J$451),0),
IF('TL08'!$B$3=J$3,SUMIF('TL08'!$C$10:$C$224,$C310,'TL08'!$J$10:$J$224),0),
IF('TL08'!$B$229=J$3,SUMIF('TL08'!$C$238:$C$451,$C310,'TL08'!$J$238:$J$451),0),
IF('TL09'!$B$3=J$3,SUMIF('TL09'!$C$10:$C$224,$C310,'TL09'!$J$10:$J$224),0),
IF('TL09'!$B$229=J$3,SUMIF('TL09'!$C$238:$C$451,$C310,'TL09'!$J$238:$J$451),0),
IF('TL10'!$B$3=J$3,SUMIF('TL10'!$C$10:$C$224,$C310,'TL10'!$J$10:$J$224),0),
IF('TL10'!$B$229=J$3,SUMIF('TL10'!$C$238:$C$451,$C310,'TL10'!$J$238:$J$451),0),
IF('TL11'!$B$3=J$3,SUMIF('TL11'!$C$10:$C$224,$C310,'TL11'!$J$10:$J$224),0),
IF('TL11'!$B$229=J$3,SUMIF('TL11'!$C$238:$C$451,$C310,'TL11'!$J$238:$J$451),0),
IF('TL12'!$B$3=J$3,SUMIF('TL12'!$C$10:$C$224,$C310,'TL12'!$J$10:$J$224),0),
IF('TL12'!$B$229=J$3,SUMIF('TL12'!$C$238:$C$451,$C310,'TL12'!$J$238:$J$451),0),
IF('TL13'!$B$3=J$3,SUMIF('TL13'!$C$10:$C$224,$C310,'TL13'!$J$10:$J$224),0),
IF('TL13'!$B$229=J$3,SUMIF('TL13'!$C$238:$C$451,$C310,'TL13'!$J$238:$J$451),0),
IF('TL14'!$B$3=J$3,SUMIF('TL14'!$C$10:$C$224,$C310,'TL14'!$J$10:$J$224),0),
IF('TL14'!$B$229=J$3,SUMIF('TL14'!$C$238:$C$451,$C310,'TL14'!$J$238:$J$451),0),
IF('TL15'!$B$3=J$3,SUMIF('TL15'!$C$10:$C$224,$C310,'TL15'!$J$10:$J$224),0),
IF('TL15'!$B$229=J$3,SUMIF('TL15'!$C$238:$C$451,$C310,'TL15'!$J$238:$J$451),0),
IF('TL16'!$B$3=J$3,SUMIF('TL16'!$C$10:$C$224,$C310,'TL16'!$J$10:$J$224),0),
IF('TL16'!$B$229=J$3,SUMIF('TL16'!$C$238:$C$451,$C310,'TL16'!$J$238:$J$451),0),
IF('TL17'!$B$3=J$3,SUMIF('TL17'!$C$10:$C$224,$C310,'TL17'!$J$10:$J$224),0),
IF('TL17'!$B$229=J$3,SUMIF('TL17'!$C$238:$C$451,$C310,'TL17'!$J$238:$J$451),0),
IF('TL18'!$B$3=J$3,SUMIF('TL18'!$C$10:$C$224,$C310,'TL18'!$J$10:$J$224),0),
IF('TL18'!$B$229=J$3,SUMIF('TL18'!$C$238:$C$451,$C310,'TL18'!$J$238:$J$451),0),
IF('TL19'!$B$3=J$3,SUMIF('TL19'!$C$10:$C$224,$C310,'TL19'!$J$10:$J$224),0),
IF('TL19'!$B$229=J$3,SUMIF('TL19'!$C$238:$C$451,$C310,'TL19'!$J$238:$J$451),0)
),0)</f>
        <v>0</v>
      </c>
      <c r="K310" s="9">
        <f>IFERROR(SUM(
IF('TL01'!$B$3=K$3,SUMIF('TL01'!$C$10:$C$224,$C310,'TL01'!$J$10:$J$224),0),
IF('TL01'!$B$229=K$3,SUMIF('TL01'!$C$238:$C$451,$C310,'TL01'!$J$238:$J$451),0),
IF('TL02'!$B$3=K$3,SUMIF('TL02'!$C$10:$C$224,$C310,'TL02'!$J$10:$J$224),0),
IF('TL02'!$B$229=K$3,SUMIF('TL02'!$C$238:$C$451,$C310,'TL02'!$J$238:$J$451),0),
IF('TL03'!$B$3=K$3,SUMIF('TL03'!$C$10:$C$224,$C310,'TL03'!$J$10:$J$224),0),
IF('TL03'!$B$229=K$3,SUMIF('TL03'!$C$238:$C$451,$C310,'TL03'!$J$238:$J$451),0),
IF('TL04'!$B$3=K$3,SUMIF('TL04'!$C$10:$C$224,$C310,'TL04'!$J$10:$J$224),0),
IF('TL04'!$B$229=K$3,SUMIF('TL04'!$C$238:$C$451,$C310,'TL04'!$J$238:$J$451),0),
IF('TL05'!$B$3=K$3,SUMIF('TL05'!$C$10:$C$224,$C310,'TL05'!$J$10:$J$224),0),
IF('TL05'!$B$229=K$3,SUMIF('TL05'!$C$238:$C$451,$C310,'TL05'!$J$238:$J$451),0),
IF('TL06'!$B$3=K$3,SUMIF('TL06'!$C$10:$C$224,$C310,'TL06'!$J$10:$J$224),0),
IF('TL06'!$B$229=K$3,SUMIF('TL06'!$C$238:$C$451,$C310,'TL06'!$J$238:$J$451),0),
IF('TL07'!$B$3=K$3,SUMIF('TL07'!$C$10:$C$224,$C310,'TL07'!$J$10:$J$224),0),
IF('TL07'!$B$229=K$3,SUMIF('TL07'!$C$238:$C$451,$C310,'TL07'!$J$238:$J$451),0),
IF('TL08'!$B$3=K$3,SUMIF('TL08'!$C$10:$C$224,$C310,'TL08'!$J$10:$J$224),0),
IF('TL08'!$B$229=K$3,SUMIF('TL08'!$C$238:$C$451,$C310,'TL08'!$J$238:$J$451),0),
IF('TL09'!$B$3=K$3,SUMIF('TL09'!$C$10:$C$224,$C310,'TL09'!$J$10:$J$224),0),
IF('TL09'!$B$229=K$3,SUMIF('TL09'!$C$238:$C$451,$C310,'TL09'!$J$238:$J$451),0),
IF('TL10'!$B$3=K$3,SUMIF('TL10'!$C$10:$C$224,$C310,'TL10'!$J$10:$J$224),0),
IF('TL10'!$B$229=K$3,SUMIF('TL10'!$C$238:$C$451,$C310,'TL10'!$J$238:$J$451),0),
IF('TL11'!$B$3=K$3,SUMIF('TL11'!$C$10:$C$224,$C310,'TL11'!$J$10:$J$224),0),
IF('TL11'!$B$229=K$3,SUMIF('TL11'!$C$238:$C$451,$C310,'TL11'!$J$238:$J$451),0),
IF('TL12'!$B$3=K$3,SUMIF('TL12'!$C$10:$C$224,$C310,'TL12'!$J$10:$J$224),0),
IF('TL12'!$B$229=K$3,SUMIF('TL12'!$C$238:$C$451,$C310,'TL12'!$J$238:$J$451),0),
IF('TL13'!$B$3=K$3,SUMIF('TL13'!$C$10:$C$224,$C310,'TL13'!$J$10:$J$224),0),
IF('TL13'!$B$229=K$3,SUMIF('TL13'!$C$238:$C$451,$C310,'TL13'!$J$238:$J$451),0),
IF('TL14'!$B$3=K$3,SUMIF('TL14'!$C$10:$C$224,$C310,'TL14'!$J$10:$J$224),0),
IF('TL14'!$B$229=K$3,SUMIF('TL14'!$C$238:$C$451,$C310,'TL14'!$J$238:$J$451),0),
IF('TL15'!$B$3=K$3,SUMIF('TL15'!$C$10:$C$224,$C310,'TL15'!$J$10:$J$224),0),
IF('TL15'!$B$229=K$3,SUMIF('TL15'!$C$238:$C$451,$C310,'TL15'!$J$238:$J$451),0),
IF('TL16'!$B$3=K$3,SUMIF('TL16'!$C$10:$C$224,$C310,'TL16'!$J$10:$J$224),0),
IF('TL16'!$B$229=K$3,SUMIF('TL16'!$C$238:$C$451,$C310,'TL16'!$J$238:$J$451),0),
IF('TL17'!$B$3=K$3,SUMIF('TL17'!$C$10:$C$224,$C310,'TL17'!$J$10:$J$224),0),
IF('TL17'!$B$229=K$3,SUMIF('TL17'!$C$238:$C$451,$C310,'TL17'!$J$238:$J$451),0),
IF('TL18'!$B$3=K$3,SUMIF('TL18'!$C$10:$C$224,$C310,'TL18'!$J$10:$J$224),0),
IF('TL18'!$B$229=K$3,SUMIF('TL18'!$C$238:$C$451,$C310,'TL18'!$J$238:$J$451),0),
IF('TL19'!$B$3=K$3,SUMIF('TL19'!$C$10:$C$224,$C310,'TL19'!$J$10:$J$224),0),
IF('TL19'!$B$229=K$3,SUMIF('TL19'!$C$238:$C$451,$C310,'TL19'!$J$238:$J$451),0)
),0)</f>
        <v>0</v>
      </c>
      <c r="L310" s="9">
        <f>IFERROR(SUM(
IF('TL01'!$B$3=L$3,SUMIF('TL01'!$C$10:$C$224,$C310,'TL01'!$J$10:$J$224),0),
IF('TL01'!$B$229=L$3,SUMIF('TL01'!$C$238:$C$451,$C310,'TL01'!$J$238:$J$451),0),
IF('TL02'!$B$3=L$3,SUMIF('TL02'!$C$10:$C$224,$C310,'TL02'!$J$10:$J$224),0),
IF('TL02'!$B$229=L$3,SUMIF('TL02'!$C$238:$C$451,$C310,'TL02'!$J$238:$J$451),0),
IF('TL03'!$B$3=L$3,SUMIF('TL03'!$C$10:$C$224,$C310,'TL03'!$J$10:$J$224),0),
IF('TL03'!$B$229=L$3,SUMIF('TL03'!$C$238:$C$451,$C310,'TL03'!$J$238:$J$451),0),
IF('TL04'!$B$3=L$3,SUMIF('TL04'!$C$10:$C$224,$C310,'TL04'!$J$10:$J$224),0),
IF('TL04'!$B$229=L$3,SUMIF('TL04'!$C$238:$C$451,$C310,'TL04'!$J$238:$J$451),0),
IF('TL05'!$B$3=L$3,SUMIF('TL05'!$C$10:$C$224,$C310,'TL05'!$J$10:$J$224),0),
IF('TL05'!$B$229=L$3,SUMIF('TL05'!$C$238:$C$451,$C310,'TL05'!$J$238:$J$451),0),
IF('TL06'!$B$3=L$3,SUMIF('TL06'!$C$10:$C$224,$C310,'TL06'!$J$10:$J$224),0),
IF('TL06'!$B$229=L$3,SUMIF('TL06'!$C$238:$C$451,$C310,'TL06'!$J$238:$J$451),0),
IF('TL07'!$B$3=L$3,SUMIF('TL07'!$C$10:$C$224,$C310,'TL07'!$J$10:$J$224),0),
IF('TL07'!$B$229=L$3,SUMIF('TL07'!$C$238:$C$451,$C310,'TL07'!$J$238:$J$451),0),
IF('TL08'!$B$3=L$3,SUMIF('TL08'!$C$10:$C$224,$C310,'TL08'!$J$10:$J$224),0),
IF('TL08'!$B$229=L$3,SUMIF('TL08'!$C$238:$C$451,$C310,'TL08'!$J$238:$J$451),0),
IF('TL09'!$B$3=L$3,SUMIF('TL09'!$C$10:$C$224,$C310,'TL09'!$J$10:$J$224),0),
IF('TL09'!$B$229=L$3,SUMIF('TL09'!$C$238:$C$451,$C310,'TL09'!$J$238:$J$451),0),
IF('TL10'!$B$3=L$3,SUMIF('TL10'!$C$10:$C$224,$C310,'TL10'!$J$10:$J$224),0),
IF('TL10'!$B$229=L$3,SUMIF('TL10'!$C$238:$C$451,$C310,'TL10'!$J$238:$J$451),0),
IF('TL11'!$B$3=L$3,SUMIF('TL11'!$C$10:$C$224,$C310,'TL11'!$J$10:$J$224),0),
IF('TL11'!$B$229=L$3,SUMIF('TL11'!$C$238:$C$451,$C310,'TL11'!$J$238:$J$451),0),
IF('TL12'!$B$3=L$3,SUMIF('TL12'!$C$10:$C$224,$C310,'TL12'!$J$10:$J$224),0),
IF('TL12'!$B$229=L$3,SUMIF('TL12'!$C$238:$C$451,$C310,'TL12'!$J$238:$J$451),0),
IF('TL13'!$B$3=L$3,SUMIF('TL13'!$C$10:$C$224,$C310,'TL13'!$J$10:$J$224),0),
IF('TL13'!$B$229=L$3,SUMIF('TL13'!$C$238:$C$451,$C310,'TL13'!$J$238:$J$451),0),
IF('TL14'!$B$3=L$3,SUMIF('TL14'!$C$10:$C$224,$C310,'TL14'!$J$10:$J$224),0),
IF('TL14'!$B$229=L$3,SUMIF('TL14'!$C$238:$C$451,$C310,'TL14'!$J$238:$J$451),0),
IF('TL15'!$B$3=L$3,SUMIF('TL15'!$C$10:$C$224,$C310,'TL15'!$J$10:$J$224),0),
IF('TL15'!$B$229=L$3,SUMIF('TL15'!$C$238:$C$451,$C310,'TL15'!$J$238:$J$451),0),
IF('TL16'!$B$3=L$3,SUMIF('TL16'!$C$10:$C$224,$C310,'TL16'!$J$10:$J$224),0),
IF('TL16'!$B$229=L$3,SUMIF('TL16'!$C$238:$C$451,$C310,'TL16'!$J$238:$J$451),0),
IF('TL17'!$B$3=L$3,SUMIF('TL17'!$C$10:$C$224,$C310,'TL17'!$J$10:$J$224),0),
IF('TL17'!$B$229=L$3,SUMIF('TL17'!$C$238:$C$451,$C310,'TL17'!$J$238:$J$451),0),
IF('TL18'!$B$3=L$3,SUMIF('TL18'!$C$10:$C$224,$C310,'TL18'!$J$10:$J$224),0),
IF('TL18'!$B$229=L$3,SUMIF('TL18'!$C$238:$C$451,$C310,'TL18'!$J$238:$J$451),0),
IF('TL19'!$B$3=L$3,SUMIF('TL19'!$C$10:$C$224,$C310,'TL19'!$J$10:$J$224),0),
IF('TL19'!$B$229=L$3,SUMIF('TL19'!$C$238:$C$451,$C310,'TL19'!$J$238:$J$451),0)
),0)</f>
        <v>0</v>
      </c>
      <c r="M310" s="9">
        <f>IFERROR(SUM(
IF('TL01'!$B$3=M$3,SUMIF('TL01'!$C$10:$C$224,$C310,'TL01'!$J$10:$J$224),0),
IF('TL01'!$B$229=M$3,SUMIF('TL01'!$C$238:$C$451,$C310,'TL01'!$J$238:$J$451),0),
IF('TL02'!$B$3=M$3,SUMIF('TL02'!$C$10:$C$224,$C310,'TL02'!$J$10:$J$224),0),
IF('TL02'!$B$229=M$3,SUMIF('TL02'!$C$238:$C$451,$C310,'TL02'!$J$238:$J$451),0),
IF('TL03'!$B$3=M$3,SUMIF('TL03'!$C$10:$C$224,$C310,'TL03'!$J$10:$J$224),0),
IF('TL03'!$B$229=M$3,SUMIF('TL03'!$C$238:$C$451,$C310,'TL03'!$J$238:$J$451),0),
IF('TL04'!$B$3=M$3,SUMIF('TL04'!$C$10:$C$224,$C310,'TL04'!$J$10:$J$224),0),
IF('TL04'!$B$229=M$3,SUMIF('TL04'!$C$238:$C$451,$C310,'TL04'!$J$238:$J$451),0),
IF('TL05'!$B$3=M$3,SUMIF('TL05'!$C$10:$C$224,$C310,'TL05'!$J$10:$J$224),0),
IF('TL05'!$B$229=M$3,SUMIF('TL05'!$C$238:$C$451,$C310,'TL05'!$J$238:$J$451),0),
IF('TL06'!$B$3=M$3,SUMIF('TL06'!$C$10:$C$224,$C310,'TL06'!$J$10:$J$224),0),
IF('TL06'!$B$229=M$3,SUMIF('TL06'!$C$238:$C$451,$C310,'TL06'!$J$238:$J$451),0),
IF('TL07'!$B$3=M$3,SUMIF('TL07'!$C$10:$C$224,$C310,'TL07'!$J$10:$J$224),0),
IF('TL07'!$B$229=M$3,SUMIF('TL07'!$C$238:$C$451,$C310,'TL07'!$J$238:$J$451),0),
IF('TL08'!$B$3=M$3,SUMIF('TL08'!$C$10:$C$224,$C310,'TL08'!$J$10:$J$224),0),
IF('TL08'!$B$229=M$3,SUMIF('TL08'!$C$238:$C$451,$C310,'TL08'!$J$238:$J$451),0),
IF('TL09'!$B$3=M$3,SUMIF('TL09'!$C$10:$C$224,$C310,'TL09'!$J$10:$J$224),0),
IF('TL09'!$B$229=M$3,SUMIF('TL09'!$C$238:$C$451,$C310,'TL09'!$J$238:$J$451),0),
IF('TL10'!$B$3=M$3,SUMIF('TL10'!$C$10:$C$224,$C310,'TL10'!$J$10:$J$224),0),
IF('TL10'!$B$229=M$3,SUMIF('TL10'!$C$238:$C$451,$C310,'TL10'!$J$238:$J$451),0),
IF('TL11'!$B$3=M$3,SUMIF('TL11'!$C$10:$C$224,$C310,'TL11'!$J$10:$J$224),0),
IF('TL11'!$B$229=M$3,SUMIF('TL11'!$C$238:$C$451,$C310,'TL11'!$J$238:$J$451),0),
IF('TL12'!$B$3=M$3,SUMIF('TL12'!$C$10:$C$224,$C310,'TL12'!$J$10:$J$224),0),
IF('TL12'!$B$229=M$3,SUMIF('TL12'!$C$238:$C$451,$C310,'TL12'!$J$238:$J$451),0),
IF('TL13'!$B$3=M$3,SUMIF('TL13'!$C$10:$C$224,$C310,'TL13'!$J$10:$J$224),0),
IF('TL13'!$B$229=M$3,SUMIF('TL13'!$C$238:$C$451,$C310,'TL13'!$J$238:$J$451),0),
IF('TL14'!$B$3=M$3,SUMIF('TL14'!$C$10:$C$224,$C310,'TL14'!$J$10:$J$224),0),
IF('TL14'!$B$229=M$3,SUMIF('TL14'!$C$238:$C$451,$C310,'TL14'!$J$238:$J$451),0),
IF('TL15'!$B$3=M$3,SUMIF('TL15'!$C$10:$C$224,$C310,'TL15'!$J$10:$J$224),0),
IF('TL15'!$B$229=M$3,SUMIF('TL15'!$C$238:$C$451,$C310,'TL15'!$J$238:$J$451),0),
IF('TL16'!$B$3=M$3,SUMIF('TL16'!$C$10:$C$224,$C310,'TL16'!$J$10:$J$224),0),
IF('TL16'!$B$229=M$3,SUMIF('TL16'!$C$238:$C$451,$C310,'TL16'!$J$238:$J$451),0),
IF('TL17'!$B$3=M$3,SUMIF('TL17'!$C$10:$C$224,$C310,'TL17'!$J$10:$J$224),0),
IF('TL17'!$B$229=M$3,SUMIF('TL17'!$C$238:$C$451,$C310,'TL17'!$J$238:$J$451),0),
IF('TL18'!$B$3=M$3,SUMIF('TL18'!$C$10:$C$224,$C310,'TL18'!$J$10:$J$224),0),
IF('TL18'!$B$229=M$3,SUMIF('TL18'!$C$238:$C$451,$C310,'TL18'!$J$238:$J$451),0),
IF('TL19'!$B$3=M$3,SUMIF('TL19'!$C$10:$C$224,$C310,'TL19'!$J$10:$J$224),0),
IF('TL19'!$B$229=M$3,SUMIF('TL19'!$C$238:$C$451,$C310,'TL19'!$J$238:$J$451),0)
),0)</f>
        <v>0</v>
      </c>
      <c r="N310" s="9">
        <f>IFERROR(SUM(
IF('TL01'!$B$3=N$3,SUMIF('TL01'!$C$10:$C$224,$C310,'TL01'!$J$10:$J$224),0),
IF('TL01'!$B$229=N$3,SUMIF('TL01'!$C$238:$C$451,$C310,'TL01'!$J$238:$J$451),0),
IF('TL02'!$B$3=N$3,SUMIF('TL02'!$C$10:$C$224,$C310,'TL02'!$J$10:$J$224),0),
IF('TL02'!$B$229=N$3,SUMIF('TL02'!$C$238:$C$451,$C310,'TL02'!$J$238:$J$451),0),
IF('TL03'!$B$3=N$3,SUMIF('TL03'!$C$10:$C$224,$C310,'TL03'!$J$10:$J$224),0),
IF('TL03'!$B$229=N$3,SUMIF('TL03'!$C$238:$C$451,$C310,'TL03'!$J$238:$J$451),0),
IF('TL04'!$B$3=N$3,SUMIF('TL04'!$C$10:$C$224,$C310,'TL04'!$J$10:$J$224),0),
IF('TL04'!$B$229=N$3,SUMIF('TL04'!$C$238:$C$451,$C310,'TL04'!$J$238:$J$451),0),
IF('TL05'!$B$3=N$3,SUMIF('TL05'!$C$10:$C$224,$C310,'TL05'!$J$10:$J$224),0),
IF('TL05'!$B$229=N$3,SUMIF('TL05'!$C$238:$C$451,$C310,'TL05'!$J$238:$J$451),0),
IF('TL06'!$B$3=N$3,SUMIF('TL06'!$C$10:$C$224,$C310,'TL06'!$J$10:$J$224),0),
IF('TL06'!$B$229=N$3,SUMIF('TL06'!$C$238:$C$451,$C310,'TL06'!$J$238:$J$451),0),
IF('TL07'!$B$3=N$3,SUMIF('TL07'!$C$10:$C$224,$C310,'TL07'!$J$10:$J$224),0),
IF('TL07'!$B$229=N$3,SUMIF('TL07'!$C$238:$C$451,$C310,'TL07'!$J$238:$J$451),0),
IF('TL08'!$B$3=N$3,SUMIF('TL08'!$C$10:$C$224,$C310,'TL08'!$J$10:$J$224),0),
IF('TL08'!$B$229=N$3,SUMIF('TL08'!$C$238:$C$451,$C310,'TL08'!$J$238:$J$451),0),
IF('TL09'!$B$3=N$3,SUMIF('TL09'!$C$10:$C$224,$C310,'TL09'!$J$10:$J$224),0),
IF('TL09'!$B$229=N$3,SUMIF('TL09'!$C$238:$C$451,$C310,'TL09'!$J$238:$J$451),0),
IF('TL10'!$B$3=N$3,SUMIF('TL10'!$C$10:$C$224,$C310,'TL10'!$J$10:$J$224),0),
IF('TL10'!$B$229=N$3,SUMIF('TL10'!$C$238:$C$451,$C310,'TL10'!$J$238:$J$451),0),
IF('TL11'!$B$3=N$3,SUMIF('TL11'!$C$10:$C$224,$C310,'TL11'!$J$10:$J$224),0),
IF('TL11'!$B$229=N$3,SUMIF('TL11'!$C$238:$C$451,$C310,'TL11'!$J$238:$J$451),0),
IF('TL12'!$B$3=N$3,SUMIF('TL12'!$C$10:$C$224,$C310,'TL12'!$J$10:$J$224),0),
IF('TL12'!$B$229=N$3,SUMIF('TL12'!$C$238:$C$451,$C310,'TL12'!$J$238:$J$451),0),
IF('TL13'!$B$3=N$3,SUMIF('TL13'!$C$10:$C$224,$C310,'TL13'!$J$10:$J$224),0),
IF('TL13'!$B$229=N$3,SUMIF('TL13'!$C$238:$C$451,$C310,'TL13'!$J$238:$J$451),0),
IF('TL14'!$B$3=N$3,SUMIF('TL14'!$C$10:$C$224,$C310,'TL14'!$J$10:$J$224),0),
IF('TL14'!$B$229=N$3,SUMIF('TL14'!$C$238:$C$451,$C310,'TL14'!$J$238:$J$451),0),
IF('TL15'!$B$3=N$3,SUMIF('TL15'!$C$10:$C$224,$C310,'TL15'!$J$10:$J$224),0),
IF('TL15'!$B$229=N$3,SUMIF('TL15'!$C$238:$C$451,$C310,'TL15'!$J$238:$J$451),0),
IF('TL16'!$B$3=N$3,SUMIF('TL16'!$C$10:$C$224,$C310,'TL16'!$J$10:$J$224),0),
IF('TL16'!$B$229=N$3,SUMIF('TL16'!$C$238:$C$451,$C310,'TL16'!$J$238:$J$451),0),
IF('TL17'!$B$3=N$3,SUMIF('TL17'!$C$10:$C$224,$C310,'TL17'!$J$10:$J$224),0),
IF('TL17'!$B$229=N$3,SUMIF('TL17'!$C$238:$C$451,$C310,'TL17'!$J$238:$J$451),0),
IF('TL18'!$B$3=N$3,SUMIF('TL18'!$C$10:$C$224,$C310,'TL18'!$J$10:$J$224),0),
IF('TL18'!$B$229=N$3,SUMIF('TL18'!$C$238:$C$451,$C310,'TL18'!$J$238:$J$451),0),
IF('TL19'!$B$3=N$3,SUMIF('TL19'!$C$10:$C$224,$C310,'TL19'!$J$10:$J$224),0),
IF('TL19'!$B$229=N$3,SUMIF('TL19'!$C$238:$C$451,$C310,'TL19'!$J$238:$J$451),0)
),0)</f>
        <v>0</v>
      </c>
      <c r="O310" s="9">
        <f>IFERROR(SUM(
IF('TL01'!$B$3=O$3,SUMIF('TL01'!$C$10:$C$224,$C310,'TL01'!$J$10:$J$224),0),
IF('TL01'!$B$229=O$3,SUMIF('TL01'!$C$238:$C$451,$C310,'TL01'!$J$238:$J$451),0),
IF('TL02'!$B$3=O$3,SUMIF('TL02'!$C$10:$C$224,$C310,'TL02'!$J$10:$J$224),0),
IF('TL02'!$B$229=O$3,SUMIF('TL02'!$C$238:$C$451,$C310,'TL02'!$J$238:$J$451),0),
IF('TL03'!$B$3=O$3,SUMIF('TL03'!$C$10:$C$224,$C310,'TL03'!$J$10:$J$224),0),
IF('TL03'!$B$229=O$3,SUMIF('TL03'!$C$238:$C$451,$C310,'TL03'!$J$238:$J$451),0),
IF('TL04'!$B$3=O$3,SUMIF('TL04'!$C$10:$C$224,$C310,'TL04'!$J$10:$J$224),0),
IF('TL04'!$B$229=O$3,SUMIF('TL04'!$C$238:$C$451,$C310,'TL04'!$J$238:$J$451),0),
IF('TL05'!$B$3=O$3,SUMIF('TL05'!$C$10:$C$224,$C310,'TL05'!$J$10:$J$224),0),
IF('TL05'!$B$229=O$3,SUMIF('TL05'!$C$238:$C$451,$C310,'TL05'!$J$238:$J$451),0),
IF('TL06'!$B$3=O$3,SUMIF('TL06'!$C$10:$C$224,$C310,'TL06'!$J$10:$J$224),0),
IF('TL06'!$B$229=O$3,SUMIF('TL06'!$C$238:$C$451,$C310,'TL06'!$J$238:$J$451),0),
IF('TL07'!$B$3=O$3,SUMIF('TL07'!$C$10:$C$224,$C310,'TL07'!$J$10:$J$224),0),
IF('TL07'!$B$229=O$3,SUMIF('TL07'!$C$238:$C$451,$C310,'TL07'!$J$238:$J$451),0),
IF('TL08'!$B$3=O$3,SUMIF('TL08'!$C$10:$C$224,$C310,'TL08'!$J$10:$J$224),0),
IF('TL08'!$B$229=O$3,SUMIF('TL08'!$C$238:$C$451,$C310,'TL08'!$J$238:$J$451),0),
IF('TL09'!$B$3=O$3,SUMIF('TL09'!$C$10:$C$224,$C310,'TL09'!$J$10:$J$224),0),
IF('TL09'!$B$229=O$3,SUMIF('TL09'!$C$238:$C$451,$C310,'TL09'!$J$238:$J$451),0),
IF('TL10'!$B$3=O$3,SUMIF('TL10'!$C$10:$C$224,$C310,'TL10'!$J$10:$J$224),0),
IF('TL10'!$B$229=O$3,SUMIF('TL10'!$C$238:$C$451,$C310,'TL10'!$J$238:$J$451),0),
IF('TL11'!$B$3=O$3,SUMIF('TL11'!$C$10:$C$224,$C310,'TL11'!$J$10:$J$224),0),
IF('TL11'!$B$229=O$3,SUMIF('TL11'!$C$238:$C$451,$C310,'TL11'!$J$238:$J$451),0),
IF('TL12'!$B$3=O$3,SUMIF('TL12'!$C$10:$C$224,$C310,'TL12'!$J$10:$J$224),0),
IF('TL12'!$B$229=O$3,SUMIF('TL12'!$C$238:$C$451,$C310,'TL12'!$J$238:$J$451),0),
IF('TL13'!$B$3=O$3,SUMIF('TL13'!$C$10:$C$224,$C310,'TL13'!$J$10:$J$224),0),
IF('TL13'!$B$229=O$3,SUMIF('TL13'!$C$238:$C$451,$C310,'TL13'!$J$238:$J$451),0),
IF('TL14'!$B$3=O$3,SUMIF('TL14'!$C$10:$C$224,$C310,'TL14'!$J$10:$J$224),0),
IF('TL14'!$B$229=O$3,SUMIF('TL14'!$C$238:$C$451,$C310,'TL14'!$J$238:$J$451),0),
IF('TL15'!$B$3=O$3,SUMIF('TL15'!$C$10:$C$224,$C310,'TL15'!$J$10:$J$224),0),
IF('TL15'!$B$229=O$3,SUMIF('TL15'!$C$238:$C$451,$C310,'TL15'!$J$238:$J$451),0),
IF('TL16'!$B$3=O$3,SUMIF('TL16'!$C$10:$C$224,$C310,'TL16'!$J$10:$J$224),0),
IF('TL16'!$B$229=O$3,SUMIF('TL16'!$C$238:$C$451,$C310,'TL16'!$J$238:$J$451),0),
IF('TL17'!$B$3=O$3,SUMIF('TL17'!$C$10:$C$224,$C310,'TL17'!$J$10:$J$224),0),
IF('TL17'!$B$229=O$3,SUMIF('TL17'!$C$238:$C$451,$C310,'TL17'!$J$238:$J$451),0),
IF('TL18'!$B$3=O$3,SUMIF('TL18'!$C$10:$C$224,$C310,'TL18'!$J$10:$J$224),0),
IF('TL18'!$B$229=O$3,SUMIF('TL18'!$C$238:$C$451,$C310,'TL18'!$J$238:$J$451),0),
IF('TL19'!$B$3=O$3,SUMIF('TL19'!$C$10:$C$224,$C310,'TL19'!$J$10:$J$224),0),
IF('TL19'!$B$229=O$3,SUMIF('TL19'!$C$238:$C$451,$C310,'TL19'!$J$238:$J$451),0)
),0)</f>
        <v>0</v>
      </c>
      <c r="P310" s="9">
        <f>IFERROR(SUM(
IF('TL01'!$B$3=P$3,SUMIF('TL01'!$C$10:$C$224,$C310,'TL01'!$J$10:$J$224),0),
IF('TL01'!$B$229=P$3,SUMIF('TL01'!$C$238:$C$451,$C310,'TL01'!$J$238:$J$451),0),
IF('TL02'!$B$3=P$3,SUMIF('TL02'!$C$10:$C$224,$C310,'TL02'!$J$10:$J$224),0),
IF('TL02'!$B$229=P$3,SUMIF('TL02'!$C$238:$C$451,$C310,'TL02'!$J$238:$J$451),0),
IF('TL03'!$B$3=P$3,SUMIF('TL03'!$C$10:$C$224,$C310,'TL03'!$J$10:$J$224),0),
IF('TL03'!$B$229=P$3,SUMIF('TL03'!$C$238:$C$451,$C310,'TL03'!$J$238:$J$451),0),
IF('TL04'!$B$3=P$3,SUMIF('TL04'!$C$10:$C$224,$C310,'TL04'!$J$10:$J$224),0),
IF('TL04'!$B$229=P$3,SUMIF('TL04'!$C$238:$C$451,$C310,'TL04'!$J$238:$J$451),0),
IF('TL05'!$B$3=P$3,SUMIF('TL05'!$C$10:$C$224,$C310,'TL05'!$J$10:$J$224),0),
IF('TL05'!$B$229=P$3,SUMIF('TL05'!$C$238:$C$451,$C310,'TL05'!$J$238:$J$451),0),
IF('TL06'!$B$3=P$3,SUMIF('TL06'!$C$10:$C$224,$C310,'TL06'!$J$10:$J$224),0),
IF('TL06'!$B$229=P$3,SUMIF('TL06'!$C$238:$C$451,$C310,'TL06'!$J$238:$J$451),0),
IF('TL07'!$B$3=P$3,SUMIF('TL07'!$C$10:$C$224,$C310,'TL07'!$J$10:$J$224),0),
IF('TL07'!$B$229=P$3,SUMIF('TL07'!$C$238:$C$451,$C310,'TL07'!$J$238:$J$451),0),
IF('TL08'!$B$3=P$3,SUMIF('TL08'!$C$10:$C$224,$C310,'TL08'!$J$10:$J$224),0),
IF('TL08'!$B$229=P$3,SUMIF('TL08'!$C$238:$C$451,$C310,'TL08'!$J$238:$J$451),0),
IF('TL09'!$B$3=P$3,SUMIF('TL09'!$C$10:$C$224,$C310,'TL09'!$J$10:$J$224),0),
IF('TL09'!$B$229=P$3,SUMIF('TL09'!$C$238:$C$451,$C310,'TL09'!$J$238:$J$451),0),
IF('TL10'!$B$3=P$3,SUMIF('TL10'!$C$10:$C$224,$C310,'TL10'!$J$10:$J$224),0),
IF('TL10'!$B$229=P$3,SUMIF('TL10'!$C$238:$C$451,$C310,'TL10'!$J$238:$J$451),0),
IF('TL11'!$B$3=P$3,SUMIF('TL11'!$C$10:$C$224,$C310,'TL11'!$J$10:$J$224),0),
IF('TL11'!$B$229=P$3,SUMIF('TL11'!$C$238:$C$451,$C310,'TL11'!$J$238:$J$451),0),
IF('TL12'!$B$3=P$3,SUMIF('TL12'!$C$10:$C$224,$C310,'TL12'!$J$10:$J$224),0),
IF('TL12'!$B$229=P$3,SUMIF('TL12'!$C$238:$C$451,$C310,'TL12'!$J$238:$J$451),0),
IF('TL13'!$B$3=P$3,SUMIF('TL13'!$C$10:$C$224,$C310,'TL13'!$J$10:$J$224),0),
IF('TL13'!$B$229=P$3,SUMIF('TL13'!$C$238:$C$451,$C310,'TL13'!$J$238:$J$451),0),
IF('TL14'!$B$3=P$3,SUMIF('TL14'!$C$10:$C$224,$C310,'TL14'!$J$10:$J$224),0),
IF('TL14'!$B$229=P$3,SUMIF('TL14'!$C$238:$C$451,$C310,'TL14'!$J$238:$J$451),0),
IF('TL15'!$B$3=P$3,SUMIF('TL15'!$C$10:$C$224,$C310,'TL15'!$J$10:$J$224),0),
IF('TL15'!$B$229=P$3,SUMIF('TL15'!$C$238:$C$451,$C310,'TL15'!$J$238:$J$451),0),
IF('TL16'!$B$3=P$3,SUMIF('TL16'!$C$10:$C$224,$C310,'TL16'!$J$10:$J$224),0),
IF('TL16'!$B$229=P$3,SUMIF('TL16'!$C$238:$C$451,$C310,'TL16'!$J$238:$J$451),0),
IF('TL17'!$B$3=P$3,SUMIF('TL17'!$C$10:$C$224,$C310,'TL17'!$J$10:$J$224),0),
IF('TL17'!$B$229=P$3,SUMIF('TL17'!$C$238:$C$451,$C310,'TL17'!$J$238:$J$451),0),
IF('TL18'!$B$3=P$3,SUMIF('TL18'!$C$10:$C$224,$C310,'TL18'!$J$10:$J$224),0),
IF('TL18'!$B$229=P$3,SUMIF('TL18'!$C$238:$C$451,$C310,'TL18'!$J$238:$J$451),0),
IF('TL19'!$B$3=P$3,SUMIF('TL19'!$C$10:$C$224,$C310,'TL19'!$J$10:$J$224),0),
IF('TL19'!$B$229=P$3,SUMIF('TL19'!$C$238:$C$451,$C310,'TL19'!$J$238:$J$451),0)
),0)</f>
        <v>0</v>
      </c>
      <c r="Q310" s="9">
        <f>IFERROR(SUM(
IF('TL01'!$B$3=Q$3,SUMIF('TL01'!$C$10:$C$224,$C310,'TL01'!$J$10:$J$224),0),
IF('TL01'!$B$229=Q$3,SUMIF('TL01'!$C$238:$C$451,$C310,'TL01'!$J$238:$J$451),0),
IF('TL02'!$B$3=Q$3,SUMIF('TL02'!$C$10:$C$224,$C310,'TL02'!$J$10:$J$224),0),
IF('TL02'!$B$229=Q$3,SUMIF('TL02'!$C$238:$C$451,$C310,'TL02'!$J$238:$J$451),0),
IF('TL03'!$B$3=Q$3,SUMIF('TL03'!$C$10:$C$224,$C310,'TL03'!$J$10:$J$224),0),
IF('TL03'!$B$229=Q$3,SUMIF('TL03'!$C$238:$C$451,$C310,'TL03'!$J$238:$J$451),0),
IF('TL04'!$B$3=Q$3,SUMIF('TL04'!$C$10:$C$224,$C310,'TL04'!$J$10:$J$224),0),
IF('TL04'!$B$229=Q$3,SUMIF('TL04'!$C$238:$C$451,$C310,'TL04'!$J$238:$J$451),0),
IF('TL05'!$B$3=Q$3,SUMIF('TL05'!$C$10:$C$224,$C310,'TL05'!$J$10:$J$224),0),
IF('TL05'!$B$229=Q$3,SUMIF('TL05'!$C$238:$C$451,$C310,'TL05'!$J$238:$J$451),0),
IF('TL06'!$B$3=Q$3,SUMIF('TL06'!$C$10:$C$224,$C310,'TL06'!$J$10:$J$224),0),
IF('TL06'!$B$229=Q$3,SUMIF('TL06'!$C$238:$C$451,$C310,'TL06'!$J$238:$J$451),0),
IF('TL07'!$B$3=Q$3,SUMIF('TL07'!$C$10:$C$224,$C310,'TL07'!$J$10:$J$224),0),
IF('TL07'!$B$229=Q$3,SUMIF('TL07'!$C$238:$C$451,$C310,'TL07'!$J$238:$J$451),0),
IF('TL08'!$B$3=Q$3,SUMIF('TL08'!$C$10:$C$224,$C310,'TL08'!$J$10:$J$224),0),
IF('TL08'!$B$229=Q$3,SUMIF('TL08'!$C$238:$C$451,$C310,'TL08'!$J$238:$J$451),0),
IF('TL09'!$B$3=Q$3,SUMIF('TL09'!$C$10:$C$224,$C310,'TL09'!$J$10:$J$224),0),
IF('TL09'!$B$229=Q$3,SUMIF('TL09'!$C$238:$C$451,$C310,'TL09'!$J$238:$J$451),0),
IF('TL10'!$B$3=Q$3,SUMIF('TL10'!$C$10:$C$224,$C310,'TL10'!$J$10:$J$224),0),
IF('TL10'!$B$229=Q$3,SUMIF('TL10'!$C$238:$C$451,$C310,'TL10'!$J$238:$J$451),0),
IF('TL11'!$B$3=Q$3,SUMIF('TL11'!$C$10:$C$224,$C310,'TL11'!$J$10:$J$224),0),
IF('TL11'!$B$229=Q$3,SUMIF('TL11'!$C$238:$C$451,$C310,'TL11'!$J$238:$J$451),0),
IF('TL12'!$B$3=Q$3,SUMIF('TL12'!$C$10:$C$224,$C310,'TL12'!$J$10:$J$224),0),
IF('TL12'!$B$229=Q$3,SUMIF('TL12'!$C$238:$C$451,$C310,'TL12'!$J$238:$J$451),0),
IF('TL13'!$B$3=Q$3,SUMIF('TL13'!$C$10:$C$224,$C310,'TL13'!$J$10:$J$224),0),
IF('TL13'!$B$229=Q$3,SUMIF('TL13'!$C$238:$C$451,$C310,'TL13'!$J$238:$J$451),0),
IF('TL14'!$B$3=Q$3,SUMIF('TL14'!$C$10:$C$224,$C310,'TL14'!$J$10:$J$224),0),
IF('TL14'!$B$229=Q$3,SUMIF('TL14'!$C$238:$C$451,$C310,'TL14'!$J$238:$J$451),0),
IF('TL15'!$B$3=Q$3,SUMIF('TL15'!$C$10:$C$224,$C310,'TL15'!$J$10:$J$224),0),
IF('TL15'!$B$229=Q$3,SUMIF('TL15'!$C$238:$C$451,$C310,'TL15'!$J$238:$J$451),0),
IF('TL16'!$B$3=Q$3,SUMIF('TL16'!$C$10:$C$224,$C310,'TL16'!$J$10:$J$224),0),
IF('TL16'!$B$229=Q$3,SUMIF('TL16'!$C$238:$C$451,$C310,'TL16'!$J$238:$J$451),0),
IF('TL17'!$B$3=Q$3,SUMIF('TL17'!$C$10:$C$224,$C310,'TL17'!$J$10:$J$224),0),
IF('TL17'!$B$229=Q$3,SUMIF('TL17'!$C$238:$C$451,$C310,'TL17'!$J$238:$J$451),0),
IF('TL18'!$B$3=Q$3,SUMIF('TL18'!$C$10:$C$224,$C310,'TL18'!$J$10:$J$224),0),
IF('TL18'!$B$229=Q$3,SUMIF('TL18'!$C$238:$C$451,$C310,'TL18'!$J$238:$J$451),0),
IF('TL19'!$B$3=Q$3,SUMIF('TL19'!$C$10:$C$224,$C310,'TL19'!$J$10:$J$224),0),
IF('TL19'!$B$229=Q$3,SUMIF('TL19'!$C$238:$C$451,$C310,'TL19'!$J$238:$J$451),0)
),0)</f>
        <v>0</v>
      </c>
      <c r="R310" s="9">
        <f>IFERROR(
SUM(
SUMIF('TL01'!C:C,C310,'TL01'!J:J),
SUMIF('TL02'!C:C,C310,'TL02'!J:J),
SUMIF('TL03'!C:C,C310,'TL03'!J:J),
SUMIF('TL04'!C:C,C310,'TL04'!J:J),
SUMIF('TL05'!C:C,C310,'TL05'!J:J),
SUMIF('TL06'!C:C,C310,'TL06'!J:J),
SUMIF('TL07'!C:C,C310,'TL07'!J:J),
SUMIF('TL08'!C:C,C310,'TL08'!J:J),
SUMIF('TL09'!C:C,C310,'TL09'!J:J),
SUMIF('TL10'!C:C,C310,'TL10'!J:J),
SUMIF('TL11'!C:C,C310,'TL11'!J:J),
SUMIF('TL12'!C:C,C310,'TL12'!J:J),
SUMIF('TL13'!C:C,C310,'TL13'!J:J),
SUMIF('TL14'!C:C,C310,'TL14'!J:J),
SUMIF('TL15'!C:C,C310,'TL15'!J:J),
SUMIF('TL16'!C:C,C310,'TL16'!J:J),
SUMIF('TL17'!C:C,C310,'TL17'!J:J),
SUMIF('TL18'!C:C,C310,'TL18'!J:J),SUMIF('TL19'!C:C,C310,'TL19'!J:J))
,0)</f>
        <v>0</v>
      </c>
      <c r="S310" s="17" t="str">
        <f>IFERROR(__xludf.DUMMYFUNCTION("IFERROR(VLOOKUP(C310,
IMPORTRANGE(""1wULbzX32WdYsx-lj2U3uUNBBe2INVIRDtcK0d-Dvl90"",
""26-27!C:G""),
5,
FALSE),
"""")"),"")</f>
        <v/>
      </c>
      <c r="T310" s="9"/>
      <c r="U310" s="92">
        <f t="shared" si="2"/>
        <v>0</v>
      </c>
      <c r="V310" s="93">
        <f t="shared" si="3"/>
        <v>0</v>
      </c>
    </row>
    <row r="311" ht="15.75" hidden="1" customHeight="1">
      <c r="A311" s="4"/>
      <c r="B311" s="125" t="s">
        <v>5</v>
      </c>
      <c r="C311" s="4" t="s">
        <v>1034</v>
      </c>
      <c r="D311" s="6"/>
      <c r="E311" s="9"/>
      <c r="F311" s="4" t="s">
        <v>1032</v>
      </c>
      <c r="G311" s="90" t="str">
        <f t="shared" si="5"/>
        <v>📄 Ver bula</v>
      </c>
      <c r="H311" s="9">
        <v>1.2</v>
      </c>
      <c r="I311" s="1"/>
      <c r="J311" s="9">
        <f>IFERROR(SUM(
IF('TL01'!$B$3=J$3,SUMIF('TL01'!$C$10:$C$224,$C311,'TL01'!$J$10:$J$224),0),
IF('TL01'!$B$229=J$3,SUMIF('TL01'!$C$238:$C$451,$C311,'TL01'!$J$238:$J$451),0),
IF('TL02'!$B$3=J$3,SUMIF('TL02'!$C$10:$C$224,$C311,'TL02'!$J$10:$J$224),0),
IF('TL02'!$B$229=J$3,SUMIF('TL02'!$C$238:$C$451,$C311,'TL02'!$J$238:$J$451),0),
IF('TL03'!$B$3=J$3,SUMIF('TL03'!$C$10:$C$224,$C311,'TL03'!$J$10:$J$224),0),
IF('TL03'!$B$229=J$3,SUMIF('TL03'!$C$238:$C$451,$C311,'TL03'!$J$238:$J$451),0),
IF('TL04'!$B$3=J$3,SUMIF('TL04'!$C$10:$C$224,$C311,'TL04'!$J$10:$J$224),0),
IF('TL04'!$B$229=J$3,SUMIF('TL04'!$C$238:$C$451,$C311,'TL04'!$J$238:$J$451),0),
IF('TL05'!$B$3=J$3,SUMIF('TL05'!$C$10:$C$224,$C311,'TL05'!$J$10:$J$224),0),
IF('TL05'!$B$229=J$3,SUMIF('TL05'!$C$238:$C$451,$C311,'TL05'!$J$238:$J$451),0),
IF('TL06'!$B$3=J$3,SUMIF('TL06'!$C$10:$C$224,$C311,'TL06'!$J$10:$J$224),0),
IF('TL06'!$B$229=J$3,SUMIF('TL06'!$C$238:$C$451,$C311,'TL06'!$J$238:$J$451),0),
IF('TL07'!$B$3=J$3,SUMIF('TL07'!$C$10:$C$224,$C311,'TL07'!$J$10:$J$224),0),
IF('TL07'!$B$229=J$3,SUMIF('TL07'!$C$238:$C$451,$C311,'TL07'!$J$238:$J$451),0),
IF('TL08'!$B$3=J$3,SUMIF('TL08'!$C$10:$C$224,$C311,'TL08'!$J$10:$J$224),0),
IF('TL08'!$B$229=J$3,SUMIF('TL08'!$C$238:$C$451,$C311,'TL08'!$J$238:$J$451),0),
IF('TL09'!$B$3=J$3,SUMIF('TL09'!$C$10:$C$224,$C311,'TL09'!$J$10:$J$224),0),
IF('TL09'!$B$229=J$3,SUMIF('TL09'!$C$238:$C$451,$C311,'TL09'!$J$238:$J$451),0),
IF('TL10'!$B$3=J$3,SUMIF('TL10'!$C$10:$C$224,$C311,'TL10'!$J$10:$J$224),0),
IF('TL10'!$B$229=J$3,SUMIF('TL10'!$C$238:$C$451,$C311,'TL10'!$J$238:$J$451),0),
IF('TL11'!$B$3=J$3,SUMIF('TL11'!$C$10:$C$224,$C311,'TL11'!$J$10:$J$224),0),
IF('TL11'!$B$229=J$3,SUMIF('TL11'!$C$238:$C$451,$C311,'TL11'!$J$238:$J$451),0),
IF('TL12'!$B$3=J$3,SUMIF('TL12'!$C$10:$C$224,$C311,'TL12'!$J$10:$J$224),0),
IF('TL12'!$B$229=J$3,SUMIF('TL12'!$C$238:$C$451,$C311,'TL12'!$J$238:$J$451),0),
IF('TL13'!$B$3=J$3,SUMIF('TL13'!$C$10:$C$224,$C311,'TL13'!$J$10:$J$224),0),
IF('TL13'!$B$229=J$3,SUMIF('TL13'!$C$238:$C$451,$C311,'TL13'!$J$238:$J$451),0),
IF('TL14'!$B$3=J$3,SUMIF('TL14'!$C$10:$C$224,$C311,'TL14'!$J$10:$J$224),0),
IF('TL14'!$B$229=J$3,SUMIF('TL14'!$C$238:$C$451,$C311,'TL14'!$J$238:$J$451),0),
IF('TL15'!$B$3=J$3,SUMIF('TL15'!$C$10:$C$224,$C311,'TL15'!$J$10:$J$224),0),
IF('TL15'!$B$229=J$3,SUMIF('TL15'!$C$238:$C$451,$C311,'TL15'!$J$238:$J$451),0),
IF('TL16'!$B$3=J$3,SUMIF('TL16'!$C$10:$C$224,$C311,'TL16'!$J$10:$J$224),0),
IF('TL16'!$B$229=J$3,SUMIF('TL16'!$C$238:$C$451,$C311,'TL16'!$J$238:$J$451),0),
IF('TL17'!$B$3=J$3,SUMIF('TL17'!$C$10:$C$224,$C311,'TL17'!$J$10:$J$224),0),
IF('TL17'!$B$229=J$3,SUMIF('TL17'!$C$238:$C$451,$C311,'TL17'!$J$238:$J$451),0),
IF('TL18'!$B$3=J$3,SUMIF('TL18'!$C$10:$C$224,$C311,'TL18'!$J$10:$J$224),0),
IF('TL18'!$B$229=J$3,SUMIF('TL18'!$C$238:$C$451,$C311,'TL18'!$J$238:$J$451),0),
IF('TL19'!$B$3=J$3,SUMIF('TL19'!$C$10:$C$224,$C311,'TL19'!$J$10:$J$224),0),
IF('TL19'!$B$229=J$3,SUMIF('TL19'!$C$238:$C$451,$C311,'TL19'!$J$238:$J$451),0)
),0)</f>
        <v>0</v>
      </c>
      <c r="K311" s="9">
        <f>IFERROR(SUM(
IF('TL01'!$B$3=K$3,SUMIF('TL01'!$C$10:$C$224,$C311,'TL01'!$J$10:$J$224),0),
IF('TL01'!$B$229=K$3,SUMIF('TL01'!$C$238:$C$451,$C311,'TL01'!$J$238:$J$451),0),
IF('TL02'!$B$3=K$3,SUMIF('TL02'!$C$10:$C$224,$C311,'TL02'!$J$10:$J$224),0),
IF('TL02'!$B$229=K$3,SUMIF('TL02'!$C$238:$C$451,$C311,'TL02'!$J$238:$J$451),0),
IF('TL03'!$B$3=K$3,SUMIF('TL03'!$C$10:$C$224,$C311,'TL03'!$J$10:$J$224),0),
IF('TL03'!$B$229=K$3,SUMIF('TL03'!$C$238:$C$451,$C311,'TL03'!$J$238:$J$451),0),
IF('TL04'!$B$3=K$3,SUMIF('TL04'!$C$10:$C$224,$C311,'TL04'!$J$10:$J$224),0),
IF('TL04'!$B$229=K$3,SUMIF('TL04'!$C$238:$C$451,$C311,'TL04'!$J$238:$J$451),0),
IF('TL05'!$B$3=K$3,SUMIF('TL05'!$C$10:$C$224,$C311,'TL05'!$J$10:$J$224),0),
IF('TL05'!$B$229=K$3,SUMIF('TL05'!$C$238:$C$451,$C311,'TL05'!$J$238:$J$451),0),
IF('TL06'!$B$3=K$3,SUMIF('TL06'!$C$10:$C$224,$C311,'TL06'!$J$10:$J$224),0),
IF('TL06'!$B$229=K$3,SUMIF('TL06'!$C$238:$C$451,$C311,'TL06'!$J$238:$J$451),0),
IF('TL07'!$B$3=K$3,SUMIF('TL07'!$C$10:$C$224,$C311,'TL07'!$J$10:$J$224),0),
IF('TL07'!$B$229=K$3,SUMIF('TL07'!$C$238:$C$451,$C311,'TL07'!$J$238:$J$451),0),
IF('TL08'!$B$3=K$3,SUMIF('TL08'!$C$10:$C$224,$C311,'TL08'!$J$10:$J$224),0),
IF('TL08'!$B$229=K$3,SUMIF('TL08'!$C$238:$C$451,$C311,'TL08'!$J$238:$J$451),0),
IF('TL09'!$B$3=K$3,SUMIF('TL09'!$C$10:$C$224,$C311,'TL09'!$J$10:$J$224),0),
IF('TL09'!$B$229=K$3,SUMIF('TL09'!$C$238:$C$451,$C311,'TL09'!$J$238:$J$451),0),
IF('TL10'!$B$3=K$3,SUMIF('TL10'!$C$10:$C$224,$C311,'TL10'!$J$10:$J$224),0),
IF('TL10'!$B$229=K$3,SUMIF('TL10'!$C$238:$C$451,$C311,'TL10'!$J$238:$J$451),0),
IF('TL11'!$B$3=K$3,SUMIF('TL11'!$C$10:$C$224,$C311,'TL11'!$J$10:$J$224),0),
IF('TL11'!$B$229=K$3,SUMIF('TL11'!$C$238:$C$451,$C311,'TL11'!$J$238:$J$451),0),
IF('TL12'!$B$3=K$3,SUMIF('TL12'!$C$10:$C$224,$C311,'TL12'!$J$10:$J$224),0),
IF('TL12'!$B$229=K$3,SUMIF('TL12'!$C$238:$C$451,$C311,'TL12'!$J$238:$J$451),0),
IF('TL13'!$B$3=K$3,SUMIF('TL13'!$C$10:$C$224,$C311,'TL13'!$J$10:$J$224),0),
IF('TL13'!$B$229=K$3,SUMIF('TL13'!$C$238:$C$451,$C311,'TL13'!$J$238:$J$451),0),
IF('TL14'!$B$3=K$3,SUMIF('TL14'!$C$10:$C$224,$C311,'TL14'!$J$10:$J$224),0),
IF('TL14'!$B$229=K$3,SUMIF('TL14'!$C$238:$C$451,$C311,'TL14'!$J$238:$J$451),0),
IF('TL15'!$B$3=K$3,SUMIF('TL15'!$C$10:$C$224,$C311,'TL15'!$J$10:$J$224),0),
IF('TL15'!$B$229=K$3,SUMIF('TL15'!$C$238:$C$451,$C311,'TL15'!$J$238:$J$451),0),
IF('TL16'!$B$3=K$3,SUMIF('TL16'!$C$10:$C$224,$C311,'TL16'!$J$10:$J$224),0),
IF('TL16'!$B$229=K$3,SUMIF('TL16'!$C$238:$C$451,$C311,'TL16'!$J$238:$J$451),0),
IF('TL17'!$B$3=K$3,SUMIF('TL17'!$C$10:$C$224,$C311,'TL17'!$J$10:$J$224),0),
IF('TL17'!$B$229=K$3,SUMIF('TL17'!$C$238:$C$451,$C311,'TL17'!$J$238:$J$451),0),
IF('TL18'!$B$3=K$3,SUMIF('TL18'!$C$10:$C$224,$C311,'TL18'!$J$10:$J$224),0),
IF('TL18'!$B$229=K$3,SUMIF('TL18'!$C$238:$C$451,$C311,'TL18'!$J$238:$J$451),0),
IF('TL19'!$B$3=K$3,SUMIF('TL19'!$C$10:$C$224,$C311,'TL19'!$J$10:$J$224),0),
IF('TL19'!$B$229=K$3,SUMIF('TL19'!$C$238:$C$451,$C311,'TL19'!$J$238:$J$451),0)
),0)</f>
        <v>0</v>
      </c>
      <c r="L311" s="9">
        <f>IFERROR(SUM(
IF('TL01'!$B$3=L$3,SUMIF('TL01'!$C$10:$C$224,$C311,'TL01'!$J$10:$J$224),0),
IF('TL01'!$B$229=L$3,SUMIF('TL01'!$C$238:$C$451,$C311,'TL01'!$J$238:$J$451),0),
IF('TL02'!$B$3=L$3,SUMIF('TL02'!$C$10:$C$224,$C311,'TL02'!$J$10:$J$224),0),
IF('TL02'!$B$229=L$3,SUMIF('TL02'!$C$238:$C$451,$C311,'TL02'!$J$238:$J$451),0),
IF('TL03'!$B$3=L$3,SUMIF('TL03'!$C$10:$C$224,$C311,'TL03'!$J$10:$J$224),0),
IF('TL03'!$B$229=L$3,SUMIF('TL03'!$C$238:$C$451,$C311,'TL03'!$J$238:$J$451),0),
IF('TL04'!$B$3=L$3,SUMIF('TL04'!$C$10:$C$224,$C311,'TL04'!$J$10:$J$224),0),
IF('TL04'!$B$229=L$3,SUMIF('TL04'!$C$238:$C$451,$C311,'TL04'!$J$238:$J$451),0),
IF('TL05'!$B$3=L$3,SUMIF('TL05'!$C$10:$C$224,$C311,'TL05'!$J$10:$J$224),0),
IF('TL05'!$B$229=L$3,SUMIF('TL05'!$C$238:$C$451,$C311,'TL05'!$J$238:$J$451),0),
IF('TL06'!$B$3=L$3,SUMIF('TL06'!$C$10:$C$224,$C311,'TL06'!$J$10:$J$224),0),
IF('TL06'!$B$229=L$3,SUMIF('TL06'!$C$238:$C$451,$C311,'TL06'!$J$238:$J$451),0),
IF('TL07'!$B$3=L$3,SUMIF('TL07'!$C$10:$C$224,$C311,'TL07'!$J$10:$J$224),0),
IF('TL07'!$B$229=L$3,SUMIF('TL07'!$C$238:$C$451,$C311,'TL07'!$J$238:$J$451),0),
IF('TL08'!$B$3=L$3,SUMIF('TL08'!$C$10:$C$224,$C311,'TL08'!$J$10:$J$224),0),
IF('TL08'!$B$229=L$3,SUMIF('TL08'!$C$238:$C$451,$C311,'TL08'!$J$238:$J$451),0),
IF('TL09'!$B$3=L$3,SUMIF('TL09'!$C$10:$C$224,$C311,'TL09'!$J$10:$J$224),0),
IF('TL09'!$B$229=L$3,SUMIF('TL09'!$C$238:$C$451,$C311,'TL09'!$J$238:$J$451),0),
IF('TL10'!$B$3=L$3,SUMIF('TL10'!$C$10:$C$224,$C311,'TL10'!$J$10:$J$224),0),
IF('TL10'!$B$229=L$3,SUMIF('TL10'!$C$238:$C$451,$C311,'TL10'!$J$238:$J$451),0),
IF('TL11'!$B$3=L$3,SUMIF('TL11'!$C$10:$C$224,$C311,'TL11'!$J$10:$J$224),0),
IF('TL11'!$B$229=L$3,SUMIF('TL11'!$C$238:$C$451,$C311,'TL11'!$J$238:$J$451),0),
IF('TL12'!$B$3=L$3,SUMIF('TL12'!$C$10:$C$224,$C311,'TL12'!$J$10:$J$224),0),
IF('TL12'!$B$229=L$3,SUMIF('TL12'!$C$238:$C$451,$C311,'TL12'!$J$238:$J$451),0),
IF('TL13'!$B$3=L$3,SUMIF('TL13'!$C$10:$C$224,$C311,'TL13'!$J$10:$J$224),0),
IF('TL13'!$B$229=L$3,SUMIF('TL13'!$C$238:$C$451,$C311,'TL13'!$J$238:$J$451),0),
IF('TL14'!$B$3=L$3,SUMIF('TL14'!$C$10:$C$224,$C311,'TL14'!$J$10:$J$224),0),
IF('TL14'!$B$229=L$3,SUMIF('TL14'!$C$238:$C$451,$C311,'TL14'!$J$238:$J$451),0),
IF('TL15'!$B$3=L$3,SUMIF('TL15'!$C$10:$C$224,$C311,'TL15'!$J$10:$J$224),0),
IF('TL15'!$B$229=L$3,SUMIF('TL15'!$C$238:$C$451,$C311,'TL15'!$J$238:$J$451),0),
IF('TL16'!$B$3=L$3,SUMIF('TL16'!$C$10:$C$224,$C311,'TL16'!$J$10:$J$224),0),
IF('TL16'!$B$229=L$3,SUMIF('TL16'!$C$238:$C$451,$C311,'TL16'!$J$238:$J$451),0),
IF('TL17'!$B$3=L$3,SUMIF('TL17'!$C$10:$C$224,$C311,'TL17'!$J$10:$J$224),0),
IF('TL17'!$B$229=L$3,SUMIF('TL17'!$C$238:$C$451,$C311,'TL17'!$J$238:$J$451),0),
IF('TL18'!$B$3=L$3,SUMIF('TL18'!$C$10:$C$224,$C311,'TL18'!$J$10:$J$224),0),
IF('TL18'!$B$229=L$3,SUMIF('TL18'!$C$238:$C$451,$C311,'TL18'!$J$238:$J$451),0),
IF('TL19'!$B$3=L$3,SUMIF('TL19'!$C$10:$C$224,$C311,'TL19'!$J$10:$J$224),0),
IF('TL19'!$B$229=L$3,SUMIF('TL19'!$C$238:$C$451,$C311,'TL19'!$J$238:$J$451),0)
),0)</f>
        <v>0</v>
      </c>
      <c r="M311" s="9">
        <f>IFERROR(SUM(
IF('TL01'!$B$3=M$3,SUMIF('TL01'!$C$10:$C$224,$C311,'TL01'!$J$10:$J$224),0),
IF('TL01'!$B$229=M$3,SUMIF('TL01'!$C$238:$C$451,$C311,'TL01'!$J$238:$J$451),0),
IF('TL02'!$B$3=M$3,SUMIF('TL02'!$C$10:$C$224,$C311,'TL02'!$J$10:$J$224),0),
IF('TL02'!$B$229=M$3,SUMIF('TL02'!$C$238:$C$451,$C311,'TL02'!$J$238:$J$451),0),
IF('TL03'!$B$3=M$3,SUMIF('TL03'!$C$10:$C$224,$C311,'TL03'!$J$10:$J$224),0),
IF('TL03'!$B$229=M$3,SUMIF('TL03'!$C$238:$C$451,$C311,'TL03'!$J$238:$J$451),0),
IF('TL04'!$B$3=M$3,SUMIF('TL04'!$C$10:$C$224,$C311,'TL04'!$J$10:$J$224),0),
IF('TL04'!$B$229=M$3,SUMIF('TL04'!$C$238:$C$451,$C311,'TL04'!$J$238:$J$451),0),
IF('TL05'!$B$3=M$3,SUMIF('TL05'!$C$10:$C$224,$C311,'TL05'!$J$10:$J$224),0),
IF('TL05'!$B$229=M$3,SUMIF('TL05'!$C$238:$C$451,$C311,'TL05'!$J$238:$J$451),0),
IF('TL06'!$B$3=M$3,SUMIF('TL06'!$C$10:$C$224,$C311,'TL06'!$J$10:$J$224),0),
IF('TL06'!$B$229=M$3,SUMIF('TL06'!$C$238:$C$451,$C311,'TL06'!$J$238:$J$451),0),
IF('TL07'!$B$3=M$3,SUMIF('TL07'!$C$10:$C$224,$C311,'TL07'!$J$10:$J$224),0),
IF('TL07'!$B$229=M$3,SUMIF('TL07'!$C$238:$C$451,$C311,'TL07'!$J$238:$J$451),0),
IF('TL08'!$B$3=M$3,SUMIF('TL08'!$C$10:$C$224,$C311,'TL08'!$J$10:$J$224),0),
IF('TL08'!$B$229=M$3,SUMIF('TL08'!$C$238:$C$451,$C311,'TL08'!$J$238:$J$451),0),
IF('TL09'!$B$3=M$3,SUMIF('TL09'!$C$10:$C$224,$C311,'TL09'!$J$10:$J$224),0),
IF('TL09'!$B$229=M$3,SUMIF('TL09'!$C$238:$C$451,$C311,'TL09'!$J$238:$J$451),0),
IF('TL10'!$B$3=M$3,SUMIF('TL10'!$C$10:$C$224,$C311,'TL10'!$J$10:$J$224),0),
IF('TL10'!$B$229=M$3,SUMIF('TL10'!$C$238:$C$451,$C311,'TL10'!$J$238:$J$451),0),
IF('TL11'!$B$3=M$3,SUMIF('TL11'!$C$10:$C$224,$C311,'TL11'!$J$10:$J$224),0),
IF('TL11'!$B$229=M$3,SUMIF('TL11'!$C$238:$C$451,$C311,'TL11'!$J$238:$J$451),0),
IF('TL12'!$B$3=M$3,SUMIF('TL12'!$C$10:$C$224,$C311,'TL12'!$J$10:$J$224),0),
IF('TL12'!$B$229=M$3,SUMIF('TL12'!$C$238:$C$451,$C311,'TL12'!$J$238:$J$451),0),
IF('TL13'!$B$3=M$3,SUMIF('TL13'!$C$10:$C$224,$C311,'TL13'!$J$10:$J$224),0),
IF('TL13'!$B$229=M$3,SUMIF('TL13'!$C$238:$C$451,$C311,'TL13'!$J$238:$J$451),0),
IF('TL14'!$B$3=M$3,SUMIF('TL14'!$C$10:$C$224,$C311,'TL14'!$J$10:$J$224),0),
IF('TL14'!$B$229=M$3,SUMIF('TL14'!$C$238:$C$451,$C311,'TL14'!$J$238:$J$451),0),
IF('TL15'!$B$3=M$3,SUMIF('TL15'!$C$10:$C$224,$C311,'TL15'!$J$10:$J$224),0),
IF('TL15'!$B$229=M$3,SUMIF('TL15'!$C$238:$C$451,$C311,'TL15'!$J$238:$J$451),0),
IF('TL16'!$B$3=M$3,SUMIF('TL16'!$C$10:$C$224,$C311,'TL16'!$J$10:$J$224),0),
IF('TL16'!$B$229=M$3,SUMIF('TL16'!$C$238:$C$451,$C311,'TL16'!$J$238:$J$451),0),
IF('TL17'!$B$3=M$3,SUMIF('TL17'!$C$10:$C$224,$C311,'TL17'!$J$10:$J$224),0),
IF('TL17'!$B$229=M$3,SUMIF('TL17'!$C$238:$C$451,$C311,'TL17'!$J$238:$J$451),0),
IF('TL18'!$B$3=M$3,SUMIF('TL18'!$C$10:$C$224,$C311,'TL18'!$J$10:$J$224),0),
IF('TL18'!$B$229=M$3,SUMIF('TL18'!$C$238:$C$451,$C311,'TL18'!$J$238:$J$451),0),
IF('TL19'!$B$3=M$3,SUMIF('TL19'!$C$10:$C$224,$C311,'TL19'!$J$10:$J$224),0),
IF('TL19'!$B$229=M$3,SUMIF('TL19'!$C$238:$C$451,$C311,'TL19'!$J$238:$J$451),0)
),0)</f>
        <v>0</v>
      </c>
      <c r="N311" s="9">
        <f>IFERROR(SUM(
IF('TL01'!$B$3=N$3,SUMIF('TL01'!$C$10:$C$224,$C311,'TL01'!$J$10:$J$224),0),
IF('TL01'!$B$229=N$3,SUMIF('TL01'!$C$238:$C$451,$C311,'TL01'!$J$238:$J$451),0),
IF('TL02'!$B$3=N$3,SUMIF('TL02'!$C$10:$C$224,$C311,'TL02'!$J$10:$J$224),0),
IF('TL02'!$B$229=N$3,SUMIF('TL02'!$C$238:$C$451,$C311,'TL02'!$J$238:$J$451),0),
IF('TL03'!$B$3=N$3,SUMIF('TL03'!$C$10:$C$224,$C311,'TL03'!$J$10:$J$224),0),
IF('TL03'!$B$229=N$3,SUMIF('TL03'!$C$238:$C$451,$C311,'TL03'!$J$238:$J$451),0),
IF('TL04'!$B$3=N$3,SUMIF('TL04'!$C$10:$C$224,$C311,'TL04'!$J$10:$J$224),0),
IF('TL04'!$B$229=N$3,SUMIF('TL04'!$C$238:$C$451,$C311,'TL04'!$J$238:$J$451),0),
IF('TL05'!$B$3=N$3,SUMIF('TL05'!$C$10:$C$224,$C311,'TL05'!$J$10:$J$224),0),
IF('TL05'!$B$229=N$3,SUMIF('TL05'!$C$238:$C$451,$C311,'TL05'!$J$238:$J$451),0),
IF('TL06'!$B$3=N$3,SUMIF('TL06'!$C$10:$C$224,$C311,'TL06'!$J$10:$J$224),0),
IF('TL06'!$B$229=N$3,SUMIF('TL06'!$C$238:$C$451,$C311,'TL06'!$J$238:$J$451),0),
IF('TL07'!$B$3=N$3,SUMIF('TL07'!$C$10:$C$224,$C311,'TL07'!$J$10:$J$224),0),
IF('TL07'!$B$229=N$3,SUMIF('TL07'!$C$238:$C$451,$C311,'TL07'!$J$238:$J$451),0),
IF('TL08'!$B$3=N$3,SUMIF('TL08'!$C$10:$C$224,$C311,'TL08'!$J$10:$J$224),0),
IF('TL08'!$B$229=N$3,SUMIF('TL08'!$C$238:$C$451,$C311,'TL08'!$J$238:$J$451),0),
IF('TL09'!$B$3=N$3,SUMIF('TL09'!$C$10:$C$224,$C311,'TL09'!$J$10:$J$224),0),
IF('TL09'!$B$229=N$3,SUMIF('TL09'!$C$238:$C$451,$C311,'TL09'!$J$238:$J$451),0),
IF('TL10'!$B$3=N$3,SUMIF('TL10'!$C$10:$C$224,$C311,'TL10'!$J$10:$J$224),0),
IF('TL10'!$B$229=N$3,SUMIF('TL10'!$C$238:$C$451,$C311,'TL10'!$J$238:$J$451),0),
IF('TL11'!$B$3=N$3,SUMIF('TL11'!$C$10:$C$224,$C311,'TL11'!$J$10:$J$224),0),
IF('TL11'!$B$229=N$3,SUMIF('TL11'!$C$238:$C$451,$C311,'TL11'!$J$238:$J$451),0),
IF('TL12'!$B$3=N$3,SUMIF('TL12'!$C$10:$C$224,$C311,'TL12'!$J$10:$J$224),0),
IF('TL12'!$B$229=N$3,SUMIF('TL12'!$C$238:$C$451,$C311,'TL12'!$J$238:$J$451),0),
IF('TL13'!$B$3=N$3,SUMIF('TL13'!$C$10:$C$224,$C311,'TL13'!$J$10:$J$224),0),
IF('TL13'!$B$229=N$3,SUMIF('TL13'!$C$238:$C$451,$C311,'TL13'!$J$238:$J$451),0),
IF('TL14'!$B$3=N$3,SUMIF('TL14'!$C$10:$C$224,$C311,'TL14'!$J$10:$J$224),0),
IF('TL14'!$B$229=N$3,SUMIF('TL14'!$C$238:$C$451,$C311,'TL14'!$J$238:$J$451),0),
IF('TL15'!$B$3=N$3,SUMIF('TL15'!$C$10:$C$224,$C311,'TL15'!$J$10:$J$224),0),
IF('TL15'!$B$229=N$3,SUMIF('TL15'!$C$238:$C$451,$C311,'TL15'!$J$238:$J$451),0),
IF('TL16'!$B$3=N$3,SUMIF('TL16'!$C$10:$C$224,$C311,'TL16'!$J$10:$J$224),0),
IF('TL16'!$B$229=N$3,SUMIF('TL16'!$C$238:$C$451,$C311,'TL16'!$J$238:$J$451),0),
IF('TL17'!$B$3=N$3,SUMIF('TL17'!$C$10:$C$224,$C311,'TL17'!$J$10:$J$224),0),
IF('TL17'!$B$229=N$3,SUMIF('TL17'!$C$238:$C$451,$C311,'TL17'!$J$238:$J$451),0),
IF('TL18'!$B$3=N$3,SUMIF('TL18'!$C$10:$C$224,$C311,'TL18'!$J$10:$J$224),0),
IF('TL18'!$B$229=N$3,SUMIF('TL18'!$C$238:$C$451,$C311,'TL18'!$J$238:$J$451),0),
IF('TL19'!$B$3=N$3,SUMIF('TL19'!$C$10:$C$224,$C311,'TL19'!$J$10:$J$224),0),
IF('TL19'!$B$229=N$3,SUMIF('TL19'!$C$238:$C$451,$C311,'TL19'!$J$238:$J$451),0)
),0)</f>
        <v>0</v>
      </c>
      <c r="O311" s="9">
        <f>IFERROR(SUM(
IF('TL01'!$B$3=O$3,SUMIF('TL01'!$C$10:$C$224,$C311,'TL01'!$J$10:$J$224),0),
IF('TL01'!$B$229=O$3,SUMIF('TL01'!$C$238:$C$451,$C311,'TL01'!$J$238:$J$451),0),
IF('TL02'!$B$3=O$3,SUMIF('TL02'!$C$10:$C$224,$C311,'TL02'!$J$10:$J$224),0),
IF('TL02'!$B$229=O$3,SUMIF('TL02'!$C$238:$C$451,$C311,'TL02'!$J$238:$J$451),0),
IF('TL03'!$B$3=O$3,SUMIF('TL03'!$C$10:$C$224,$C311,'TL03'!$J$10:$J$224),0),
IF('TL03'!$B$229=O$3,SUMIF('TL03'!$C$238:$C$451,$C311,'TL03'!$J$238:$J$451),0),
IF('TL04'!$B$3=O$3,SUMIF('TL04'!$C$10:$C$224,$C311,'TL04'!$J$10:$J$224),0),
IF('TL04'!$B$229=O$3,SUMIF('TL04'!$C$238:$C$451,$C311,'TL04'!$J$238:$J$451),0),
IF('TL05'!$B$3=O$3,SUMIF('TL05'!$C$10:$C$224,$C311,'TL05'!$J$10:$J$224),0),
IF('TL05'!$B$229=O$3,SUMIF('TL05'!$C$238:$C$451,$C311,'TL05'!$J$238:$J$451),0),
IF('TL06'!$B$3=O$3,SUMIF('TL06'!$C$10:$C$224,$C311,'TL06'!$J$10:$J$224),0),
IF('TL06'!$B$229=O$3,SUMIF('TL06'!$C$238:$C$451,$C311,'TL06'!$J$238:$J$451),0),
IF('TL07'!$B$3=O$3,SUMIF('TL07'!$C$10:$C$224,$C311,'TL07'!$J$10:$J$224),0),
IF('TL07'!$B$229=O$3,SUMIF('TL07'!$C$238:$C$451,$C311,'TL07'!$J$238:$J$451),0),
IF('TL08'!$B$3=O$3,SUMIF('TL08'!$C$10:$C$224,$C311,'TL08'!$J$10:$J$224),0),
IF('TL08'!$B$229=O$3,SUMIF('TL08'!$C$238:$C$451,$C311,'TL08'!$J$238:$J$451),0),
IF('TL09'!$B$3=O$3,SUMIF('TL09'!$C$10:$C$224,$C311,'TL09'!$J$10:$J$224),0),
IF('TL09'!$B$229=O$3,SUMIF('TL09'!$C$238:$C$451,$C311,'TL09'!$J$238:$J$451),0),
IF('TL10'!$B$3=O$3,SUMIF('TL10'!$C$10:$C$224,$C311,'TL10'!$J$10:$J$224),0),
IF('TL10'!$B$229=O$3,SUMIF('TL10'!$C$238:$C$451,$C311,'TL10'!$J$238:$J$451),0),
IF('TL11'!$B$3=O$3,SUMIF('TL11'!$C$10:$C$224,$C311,'TL11'!$J$10:$J$224),0),
IF('TL11'!$B$229=O$3,SUMIF('TL11'!$C$238:$C$451,$C311,'TL11'!$J$238:$J$451),0),
IF('TL12'!$B$3=O$3,SUMIF('TL12'!$C$10:$C$224,$C311,'TL12'!$J$10:$J$224),0),
IF('TL12'!$B$229=O$3,SUMIF('TL12'!$C$238:$C$451,$C311,'TL12'!$J$238:$J$451),0),
IF('TL13'!$B$3=O$3,SUMIF('TL13'!$C$10:$C$224,$C311,'TL13'!$J$10:$J$224),0),
IF('TL13'!$B$229=O$3,SUMIF('TL13'!$C$238:$C$451,$C311,'TL13'!$J$238:$J$451),0),
IF('TL14'!$B$3=O$3,SUMIF('TL14'!$C$10:$C$224,$C311,'TL14'!$J$10:$J$224),0),
IF('TL14'!$B$229=O$3,SUMIF('TL14'!$C$238:$C$451,$C311,'TL14'!$J$238:$J$451),0),
IF('TL15'!$B$3=O$3,SUMIF('TL15'!$C$10:$C$224,$C311,'TL15'!$J$10:$J$224),0),
IF('TL15'!$B$229=O$3,SUMIF('TL15'!$C$238:$C$451,$C311,'TL15'!$J$238:$J$451),0),
IF('TL16'!$B$3=O$3,SUMIF('TL16'!$C$10:$C$224,$C311,'TL16'!$J$10:$J$224),0),
IF('TL16'!$B$229=O$3,SUMIF('TL16'!$C$238:$C$451,$C311,'TL16'!$J$238:$J$451),0),
IF('TL17'!$B$3=O$3,SUMIF('TL17'!$C$10:$C$224,$C311,'TL17'!$J$10:$J$224),0),
IF('TL17'!$B$229=O$3,SUMIF('TL17'!$C$238:$C$451,$C311,'TL17'!$J$238:$J$451),0),
IF('TL18'!$B$3=O$3,SUMIF('TL18'!$C$10:$C$224,$C311,'TL18'!$J$10:$J$224),0),
IF('TL18'!$B$229=O$3,SUMIF('TL18'!$C$238:$C$451,$C311,'TL18'!$J$238:$J$451),0),
IF('TL19'!$B$3=O$3,SUMIF('TL19'!$C$10:$C$224,$C311,'TL19'!$J$10:$J$224),0),
IF('TL19'!$B$229=O$3,SUMIF('TL19'!$C$238:$C$451,$C311,'TL19'!$J$238:$J$451),0)
),0)</f>
        <v>0</v>
      </c>
      <c r="P311" s="9">
        <f>IFERROR(SUM(
IF('TL01'!$B$3=P$3,SUMIF('TL01'!$C$10:$C$224,$C311,'TL01'!$J$10:$J$224),0),
IF('TL01'!$B$229=P$3,SUMIF('TL01'!$C$238:$C$451,$C311,'TL01'!$J$238:$J$451),0),
IF('TL02'!$B$3=P$3,SUMIF('TL02'!$C$10:$C$224,$C311,'TL02'!$J$10:$J$224),0),
IF('TL02'!$B$229=P$3,SUMIF('TL02'!$C$238:$C$451,$C311,'TL02'!$J$238:$J$451),0),
IF('TL03'!$B$3=P$3,SUMIF('TL03'!$C$10:$C$224,$C311,'TL03'!$J$10:$J$224),0),
IF('TL03'!$B$229=P$3,SUMIF('TL03'!$C$238:$C$451,$C311,'TL03'!$J$238:$J$451),0),
IF('TL04'!$B$3=P$3,SUMIF('TL04'!$C$10:$C$224,$C311,'TL04'!$J$10:$J$224),0),
IF('TL04'!$B$229=P$3,SUMIF('TL04'!$C$238:$C$451,$C311,'TL04'!$J$238:$J$451),0),
IF('TL05'!$B$3=P$3,SUMIF('TL05'!$C$10:$C$224,$C311,'TL05'!$J$10:$J$224),0),
IF('TL05'!$B$229=P$3,SUMIF('TL05'!$C$238:$C$451,$C311,'TL05'!$J$238:$J$451),0),
IF('TL06'!$B$3=P$3,SUMIF('TL06'!$C$10:$C$224,$C311,'TL06'!$J$10:$J$224),0),
IF('TL06'!$B$229=P$3,SUMIF('TL06'!$C$238:$C$451,$C311,'TL06'!$J$238:$J$451),0),
IF('TL07'!$B$3=P$3,SUMIF('TL07'!$C$10:$C$224,$C311,'TL07'!$J$10:$J$224),0),
IF('TL07'!$B$229=P$3,SUMIF('TL07'!$C$238:$C$451,$C311,'TL07'!$J$238:$J$451),0),
IF('TL08'!$B$3=P$3,SUMIF('TL08'!$C$10:$C$224,$C311,'TL08'!$J$10:$J$224),0),
IF('TL08'!$B$229=P$3,SUMIF('TL08'!$C$238:$C$451,$C311,'TL08'!$J$238:$J$451),0),
IF('TL09'!$B$3=P$3,SUMIF('TL09'!$C$10:$C$224,$C311,'TL09'!$J$10:$J$224),0),
IF('TL09'!$B$229=P$3,SUMIF('TL09'!$C$238:$C$451,$C311,'TL09'!$J$238:$J$451),0),
IF('TL10'!$B$3=P$3,SUMIF('TL10'!$C$10:$C$224,$C311,'TL10'!$J$10:$J$224),0),
IF('TL10'!$B$229=P$3,SUMIF('TL10'!$C$238:$C$451,$C311,'TL10'!$J$238:$J$451),0),
IF('TL11'!$B$3=P$3,SUMIF('TL11'!$C$10:$C$224,$C311,'TL11'!$J$10:$J$224),0),
IF('TL11'!$B$229=P$3,SUMIF('TL11'!$C$238:$C$451,$C311,'TL11'!$J$238:$J$451),0),
IF('TL12'!$B$3=P$3,SUMIF('TL12'!$C$10:$C$224,$C311,'TL12'!$J$10:$J$224),0),
IF('TL12'!$B$229=P$3,SUMIF('TL12'!$C$238:$C$451,$C311,'TL12'!$J$238:$J$451),0),
IF('TL13'!$B$3=P$3,SUMIF('TL13'!$C$10:$C$224,$C311,'TL13'!$J$10:$J$224),0),
IF('TL13'!$B$229=P$3,SUMIF('TL13'!$C$238:$C$451,$C311,'TL13'!$J$238:$J$451),0),
IF('TL14'!$B$3=P$3,SUMIF('TL14'!$C$10:$C$224,$C311,'TL14'!$J$10:$J$224),0),
IF('TL14'!$B$229=P$3,SUMIF('TL14'!$C$238:$C$451,$C311,'TL14'!$J$238:$J$451),0),
IF('TL15'!$B$3=P$3,SUMIF('TL15'!$C$10:$C$224,$C311,'TL15'!$J$10:$J$224),0),
IF('TL15'!$B$229=P$3,SUMIF('TL15'!$C$238:$C$451,$C311,'TL15'!$J$238:$J$451),0),
IF('TL16'!$B$3=P$3,SUMIF('TL16'!$C$10:$C$224,$C311,'TL16'!$J$10:$J$224),0),
IF('TL16'!$B$229=P$3,SUMIF('TL16'!$C$238:$C$451,$C311,'TL16'!$J$238:$J$451),0),
IF('TL17'!$B$3=P$3,SUMIF('TL17'!$C$10:$C$224,$C311,'TL17'!$J$10:$J$224),0),
IF('TL17'!$B$229=P$3,SUMIF('TL17'!$C$238:$C$451,$C311,'TL17'!$J$238:$J$451),0),
IF('TL18'!$B$3=P$3,SUMIF('TL18'!$C$10:$C$224,$C311,'TL18'!$J$10:$J$224),0),
IF('TL18'!$B$229=P$3,SUMIF('TL18'!$C$238:$C$451,$C311,'TL18'!$J$238:$J$451),0),
IF('TL19'!$B$3=P$3,SUMIF('TL19'!$C$10:$C$224,$C311,'TL19'!$J$10:$J$224),0),
IF('TL19'!$B$229=P$3,SUMIF('TL19'!$C$238:$C$451,$C311,'TL19'!$J$238:$J$451),0)
),0)</f>
        <v>0</v>
      </c>
      <c r="Q311" s="9">
        <f>IFERROR(SUM(
IF('TL01'!$B$3=Q$3,SUMIF('TL01'!$C$10:$C$224,$C311,'TL01'!$J$10:$J$224),0),
IF('TL01'!$B$229=Q$3,SUMIF('TL01'!$C$238:$C$451,$C311,'TL01'!$J$238:$J$451),0),
IF('TL02'!$B$3=Q$3,SUMIF('TL02'!$C$10:$C$224,$C311,'TL02'!$J$10:$J$224),0),
IF('TL02'!$B$229=Q$3,SUMIF('TL02'!$C$238:$C$451,$C311,'TL02'!$J$238:$J$451),0),
IF('TL03'!$B$3=Q$3,SUMIF('TL03'!$C$10:$C$224,$C311,'TL03'!$J$10:$J$224),0),
IF('TL03'!$B$229=Q$3,SUMIF('TL03'!$C$238:$C$451,$C311,'TL03'!$J$238:$J$451),0),
IF('TL04'!$B$3=Q$3,SUMIF('TL04'!$C$10:$C$224,$C311,'TL04'!$J$10:$J$224),0),
IF('TL04'!$B$229=Q$3,SUMIF('TL04'!$C$238:$C$451,$C311,'TL04'!$J$238:$J$451),0),
IF('TL05'!$B$3=Q$3,SUMIF('TL05'!$C$10:$C$224,$C311,'TL05'!$J$10:$J$224),0),
IF('TL05'!$B$229=Q$3,SUMIF('TL05'!$C$238:$C$451,$C311,'TL05'!$J$238:$J$451),0),
IF('TL06'!$B$3=Q$3,SUMIF('TL06'!$C$10:$C$224,$C311,'TL06'!$J$10:$J$224),0),
IF('TL06'!$B$229=Q$3,SUMIF('TL06'!$C$238:$C$451,$C311,'TL06'!$J$238:$J$451),0),
IF('TL07'!$B$3=Q$3,SUMIF('TL07'!$C$10:$C$224,$C311,'TL07'!$J$10:$J$224),0),
IF('TL07'!$B$229=Q$3,SUMIF('TL07'!$C$238:$C$451,$C311,'TL07'!$J$238:$J$451),0),
IF('TL08'!$B$3=Q$3,SUMIF('TL08'!$C$10:$C$224,$C311,'TL08'!$J$10:$J$224),0),
IF('TL08'!$B$229=Q$3,SUMIF('TL08'!$C$238:$C$451,$C311,'TL08'!$J$238:$J$451),0),
IF('TL09'!$B$3=Q$3,SUMIF('TL09'!$C$10:$C$224,$C311,'TL09'!$J$10:$J$224),0),
IF('TL09'!$B$229=Q$3,SUMIF('TL09'!$C$238:$C$451,$C311,'TL09'!$J$238:$J$451),0),
IF('TL10'!$B$3=Q$3,SUMIF('TL10'!$C$10:$C$224,$C311,'TL10'!$J$10:$J$224),0),
IF('TL10'!$B$229=Q$3,SUMIF('TL10'!$C$238:$C$451,$C311,'TL10'!$J$238:$J$451),0),
IF('TL11'!$B$3=Q$3,SUMIF('TL11'!$C$10:$C$224,$C311,'TL11'!$J$10:$J$224),0),
IF('TL11'!$B$229=Q$3,SUMIF('TL11'!$C$238:$C$451,$C311,'TL11'!$J$238:$J$451),0),
IF('TL12'!$B$3=Q$3,SUMIF('TL12'!$C$10:$C$224,$C311,'TL12'!$J$10:$J$224),0),
IF('TL12'!$B$229=Q$3,SUMIF('TL12'!$C$238:$C$451,$C311,'TL12'!$J$238:$J$451),0),
IF('TL13'!$B$3=Q$3,SUMIF('TL13'!$C$10:$C$224,$C311,'TL13'!$J$10:$J$224),0),
IF('TL13'!$B$229=Q$3,SUMIF('TL13'!$C$238:$C$451,$C311,'TL13'!$J$238:$J$451),0),
IF('TL14'!$B$3=Q$3,SUMIF('TL14'!$C$10:$C$224,$C311,'TL14'!$J$10:$J$224),0),
IF('TL14'!$B$229=Q$3,SUMIF('TL14'!$C$238:$C$451,$C311,'TL14'!$J$238:$J$451),0),
IF('TL15'!$B$3=Q$3,SUMIF('TL15'!$C$10:$C$224,$C311,'TL15'!$J$10:$J$224),0),
IF('TL15'!$B$229=Q$3,SUMIF('TL15'!$C$238:$C$451,$C311,'TL15'!$J$238:$J$451),0),
IF('TL16'!$B$3=Q$3,SUMIF('TL16'!$C$10:$C$224,$C311,'TL16'!$J$10:$J$224),0),
IF('TL16'!$B$229=Q$3,SUMIF('TL16'!$C$238:$C$451,$C311,'TL16'!$J$238:$J$451),0),
IF('TL17'!$B$3=Q$3,SUMIF('TL17'!$C$10:$C$224,$C311,'TL17'!$J$10:$J$224),0),
IF('TL17'!$B$229=Q$3,SUMIF('TL17'!$C$238:$C$451,$C311,'TL17'!$J$238:$J$451),0),
IF('TL18'!$B$3=Q$3,SUMIF('TL18'!$C$10:$C$224,$C311,'TL18'!$J$10:$J$224),0),
IF('TL18'!$B$229=Q$3,SUMIF('TL18'!$C$238:$C$451,$C311,'TL18'!$J$238:$J$451),0),
IF('TL19'!$B$3=Q$3,SUMIF('TL19'!$C$10:$C$224,$C311,'TL19'!$J$10:$J$224),0),
IF('TL19'!$B$229=Q$3,SUMIF('TL19'!$C$238:$C$451,$C311,'TL19'!$J$238:$J$451),0)
),0)</f>
        <v>0</v>
      </c>
      <c r="R311" s="9">
        <f>IFERROR(
SUM(
SUMIF('TL01'!C:C,C311,'TL01'!J:J),
SUMIF('TL02'!C:C,C311,'TL02'!J:J),
SUMIF('TL03'!C:C,C311,'TL03'!J:J),
SUMIF('TL04'!C:C,C311,'TL04'!J:J),
SUMIF('TL05'!C:C,C311,'TL05'!J:J),
SUMIF('TL06'!C:C,C311,'TL06'!J:J),
SUMIF('TL07'!C:C,C311,'TL07'!J:J),
SUMIF('TL08'!C:C,C311,'TL08'!J:J),
SUMIF('TL09'!C:C,C311,'TL09'!J:J),
SUMIF('TL10'!C:C,C311,'TL10'!J:J),
SUMIF('TL11'!C:C,C311,'TL11'!J:J),
SUMIF('TL12'!C:C,C311,'TL12'!J:J),
SUMIF('TL13'!C:C,C311,'TL13'!J:J),
SUMIF('TL14'!C:C,C311,'TL14'!J:J),
SUMIF('TL15'!C:C,C311,'TL15'!J:J),
SUMIF('TL16'!C:C,C311,'TL16'!J:J),
SUMIF('TL17'!C:C,C311,'TL17'!J:J),
SUMIF('TL18'!C:C,C311,'TL18'!J:J),SUMIF('TL19'!C:C,C311,'TL19'!J:J))
,0)</f>
        <v>0</v>
      </c>
      <c r="S311" s="17" t="str">
        <f>IFERROR(__xludf.DUMMYFUNCTION("IFERROR(VLOOKUP(C311,
IMPORTRANGE(""1wULbzX32WdYsx-lj2U3uUNBBe2INVIRDtcK0d-Dvl90"",
""26-27!C:G""),
5,
FALSE),
"""")"),"")</f>
        <v/>
      </c>
      <c r="T311" s="9"/>
      <c r="U311" s="92">
        <f t="shared" si="2"/>
        <v>0</v>
      </c>
      <c r="V311" s="93">
        <f t="shared" si="3"/>
        <v>0</v>
      </c>
    </row>
    <row r="312" ht="15.75" hidden="1" customHeight="1">
      <c r="A312" s="4"/>
      <c r="B312" s="125" t="s">
        <v>5</v>
      </c>
      <c r="C312" s="4" t="s">
        <v>1035</v>
      </c>
      <c r="D312" s="6"/>
      <c r="E312" s="9"/>
      <c r="F312" s="4" t="s">
        <v>1032</v>
      </c>
      <c r="G312" s="90" t="str">
        <f t="shared" si="5"/>
        <v>📄 Ver bula</v>
      </c>
      <c r="H312" s="9">
        <v>1.2</v>
      </c>
      <c r="I312" s="1"/>
      <c r="J312" s="9">
        <f>IFERROR(SUM(
IF('TL01'!$B$3=J$3,SUMIF('TL01'!$C$10:$C$224,$C312,'TL01'!$J$10:$J$224),0),
IF('TL01'!$B$229=J$3,SUMIF('TL01'!$C$238:$C$451,$C312,'TL01'!$J$238:$J$451),0),
IF('TL02'!$B$3=J$3,SUMIF('TL02'!$C$10:$C$224,$C312,'TL02'!$J$10:$J$224),0),
IF('TL02'!$B$229=J$3,SUMIF('TL02'!$C$238:$C$451,$C312,'TL02'!$J$238:$J$451),0),
IF('TL03'!$B$3=J$3,SUMIF('TL03'!$C$10:$C$224,$C312,'TL03'!$J$10:$J$224),0),
IF('TL03'!$B$229=J$3,SUMIF('TL03'!$C$238:$C$451,$C312,'TL03'!$J$238:$J$451),0),
IF('TL04'!$B$3=J$3,SUMIF('TL04'!$C$10:$C$224,$C312,'TL04'!$J$10:$J$224),0),
IF('TL04'!$B$229=J$3,SUMIF('TL04'!$C$238:$C$451,$C312,'TL04'!$J$238:$J$451),0),
IF('TL05'!$B$3=J$3,SUMIF('TL05'!$C$10:$C$224,$C312,'TL05'!$J$10:$J$224),0),
IF('TL05'!$B$229=J$3,SUMIF('TL05'!$C$238:$C$451,$C312,'TL05'!$J$238:$J$451),0),
IF('TL06'!$B$3=J$3,SUMIF('TL06'!$C$10:$C$224,$C312,'TL06'!$J$10:$J$224),0),
IF('TL06'!$B$229=J$3,SUMIF('TL06'!$C$238:$C$451,$C312,'TL06'!$J$238:$J$451),0),
IF('TL07'!$B$3=J$3,SUMIF('TL07'!$C$10:$C$224,$C312,'TL07'!$J$10:$J$224),0),
IF('TL07'!$B$229=J$3,SUMIF('TL07'!$C$238:$C$451,$C312,'TL07'!$J$238:$J$451),0),
IF('TL08'!$B$3=J$3,SUMIF('TL08'!$C$10:$C$224,$C312,'TL08'!$J$10:$J$224),0),
IF('TL08'!$B$229=J$3,SUMIF('TL08'!$C$238:$C$451,$C312,'TL08'!$J$238:$J$451),0),
IF('TL09'!$B$3=J$3,SUMIF('TL09'!$C$10:$C$224,$C312,'TL09'!$J$10:$J$224),0),
IF('TL09'!$B$229=J$3,SUMIF('TL09'!$C$238:$C$451,$C312,'TL09'!$J$238:$J$451),0),
IF('TL10'!$B$3=J$3,SUMIF('TL10'!$C$10:$C$224,$C312,'TL10'!$J$10:$J$224),0),
IF('TL10'!$B$229=J$3,SUMIF('TL10'!$C$238:$C$451,$C312,'TL10'!$J$238:$J$451),0),
IF('TL11'!$B$3=J$3,SUMIF('TL11'!$C$10:$C$224,$C312,'TL11'!$J$10:$J$224),0),
IF('TL11'!$B$229=J$3,SUMIF('TL11'!$C$238:$C$451,$C312,'TL11'!$J$238:$J$451),0),
IF('TL12'!$B$3=J$3,SUMIF('TL12'!$C$10:$C$224,$C312,'TL12'!$J$10:$J$224),0),
IF('TL12'!$B$229=J$3,SUMIF('TL12'!$C$238:$C$451,$C312,'TL12'!$J$238:$J$451),0),
IF('TL13'!$B$3=J$3,SUMIF('TL13'!$C$10:$C$224,$C312,'TL13'!$J$10:$J$224),0),
IF('TL13'!$B$229=J$3,SUMIF('TL13'!$C$238:$C$451,$C312,'TL13'!$J$238:$J$451),0),
IF('TL14'!$B$3=J$3,SUMIF('TL14'!$C$10:$C$224,$C312,'TL14'!$J$10:$J$224),0),
IF('TL14'!$B$229=J$3,SUMIF('TL14'!$C$238:$C$451,$C312,'TL14'!$J$238:$J$451),0),
IF('TL15'!$B$3=J$3,SUMIF('TL15'!$C$10:$C$224,$C312,'TL15'!$J$10:$J$224),0),
IF('TL15'!$B$229=J$3,SUMIF('TL15'!$C$238:$C$451,$C312,'TL15'!$J$238:$J$451),0),
IF('TL16'!$B$3=J$3,SUMIF('TL16'!$C$10:$C$224,$C312,'TL16'!$J$10:$J$224),0),
IF('TL16'!$B$229=J$3,SUMIF('TL16'!$C$238:$C$451,$C312,'TL16'!$J$238:$J$451),0),
IF('TL17'!$B$3=J$3,SUMIF('TL17'!$C$10:$C$224,$C312,'TL17'!$J$10:$J$224),0),
IF('TL17'!$B$229=J$3,SUMIF('TL17'!$C$238:$C$451,$C312,'TL17'!$J$238:$J$451),0),
IF('TL18'!$B$3=J$3,SUMIF('TL18'!$C$10:$C$224,$C312,'TL18'!$J$10:$J$224),0),
IF('TL18'!$B$229=J$3,SUMIF('TL18'!$C$238:$C$451,$C312,'TL18'!$J$238:$J$451),0),
IF('TL19'!$B$3=J$3,SUMIF('TL19'!$C$10:$C$224,$C312,'TL19'!$J$10:$J$224),0),
IF('TL19'!$B$229=J$3,SUMIF('TL19'!$C$238:$C$451,$C312,'TL19'!$J$238:$J$451),0)
),0)</f>
        <v>0</v>
      </c>
      <c r="K312" s="9">
        <f>IFERROR(SUM(
IF('TL01'!$B$3=K$3,SUMIF('TL01'!$C$10:$C$224,$C312,'TL01'!$J$10:$J$224),0),
IF('TL01'!$B$229=K$3,SUMIF('TL01'!$C$238:$C$451,$C312,'TL01'!$J$238:$J$451),0),
IF('TL02'!$B$3=K$3,SUMIF('TL02'!$C$10:$C$224,$C312,'TL02'!$J$10:$J$224),0),
IF('TL02'!$B$229=K$3,SUMIF('TL02'!$C$238:$C$451,$C312,'TL02'!$J$238:$J$451),0),
IF('TL03'!$B$3=K$3,SUMIF('TL03'!$C$10:$C$224,$C312,'TL03'!$J$10:$J$224),0),
IF('TL03'!$B$229=K$3,SUMIF('TL03'!$C$238:$C$451,$C312,'TL03'!$J$238:$J$451),0),
IF('TL04'!$B$3=K$3,SUMIF('TL04'!$C$10:$C$224,$C312,'TL04'!$J$10:$J$224),0),
IF('TL04'!$B$229=K$3,SUMIF('TL04'!$C$238:$C$451,$C312,'TL04'!$J$238:$J$451),0),
IF('TL05'!$B$3=K$3,SUMIF('TL05'!$C$10:$C$224,$C312,'TL05'!$J$10:$J$224),0),
IF('TL05'!$B$229=K$3,SUMIF('TL05'!$C$238:$C$451,$C312,'TL05'!$J$238:$J$451),0),
IF('TL06'!$B$3=K$3,SUMIF('TL06'!$C$10:$C$224,$C312,'TL06'!$J$10:$J$224),0),
IF('TL06'!$B$229=K$3,SUMIF('TL06'!$C$238:$C$451,$C312,'TL06'!$J$238:$J$451),0),
IF('TL07'!$B$3=K$3,SUMIF('TL07'!$C$10:$C$224,$C312,'TL07'!$J$10:$J$224),0),
IF('TL07'!$B$229=K$3,SUMIF('TL07'!$C$238:$C$451,$C312,'TL07'!$J$238:$J$451),0),
IF('TL08'!$B$3=K$3,SUMIF('TL08'!$C$10:$C$224,$C312,'TL08'!$J$10:$J$224),0),
IF('TL08'!$B$229=K$3,SUMIF('TL08'!$C$238:$C$451,$C312,'TL08'!$J$238:$J$451),0),
IF('TL09'!$B$3=K$3,SUMIF('TL09'!$C$10:$C$224,$C312,'TL09'!$J$10:$J$224),0),
IF('TL09'!$B$229=K$3,SUMIF('TL09'!$C$238:$C$451,$C312,'TL09'!$J$238:$J$451),0),
IF('TL10'!$B$3=K$3,SUMIF('TL10'!$C$10:$C$224,$C312,'TL10'!$J$10:$J$224),0),
IF('TL10'!$B$229=K$3,SUMIF('TL10'!$C$238:$C$451,$C312,'TL10'!$J$238:$J$451),0),
IF('TL11'!$B$3=K$3,SUMIF('TL11'!$C$10:$C$224,$C312,'TL11'!$J$10:$J$224),0),
IF('TL11'!$B$229=K$3,SUMIF('TL11'!$C$238:$C$451,$C312,'TL11'!$J$238:$J$451),0),
IF('TL12'!$B$3=K$3,SUMIF('TL12'!$C$10:$C$224,$C312,'TL12'!$J$10:$J$224),0),
IF('TL12'!$B$229=K$3,SUMIF('TL12'!$C$238:$C$451,$C312,'TL12'!$J$238:$J$451),0),
IF('TL13'!$B$3=K$3,SUMIF('TL13'!$C$10:$C$224,$C312,'TL13'!$J$10:$J$224),0),
IF('TL13'!$B$229=K$3,SUMIF('TL13'!$C$238:$C$451,$C312,'TL13'!$J$238:$J$451),0),
IF('TL14'!$B$3=K$3,SUMIF('TL14'!$C$10:$C$224,$C312,'TL14'!$J$10:$J$224),0),
IF('TL14'!$B$229=K$3,SUMIF('TL14'!$C$238:$C$451,$C312,'TL14'!$J$238:$J$451),0),
IF('TL15'!$B$3=K$3,SUMIF('TL15'!$C$10:$C$224,$C312,'TL15'!$J$10:$J$224),0),
IF('TL15'!$B$229=K$3,SUMIF('TL15'!$C$238:$C$451,$C312,'TL15'!$J$238:$J$451),0),
IF('TL16'!$B$3=K$3,SUMIF('TL16'!$C$10:$C$224,$C312,'TL16'!$J$10:$J$224),0),
IF('TL16'!$B$229=K$3,SUMIF('TL16'!$C$238:$C$451,$C312,'TL16'!$J$238:$J$451),0),
IF('TL17'!$B$3=K$3,SUMIF('TL17'!$C$10:$C$224,$C312,'TL17'!$J$10:$J$224),0),
IF('TL17'!$B$229=K$3,SUMIF('TL17'!$C$238:$C$451,$C312,'TL17'!$J$238:$J$451),0),
IF('TL18'!$B$3=K$3,SUMIF('TL18'!$C$10:$C$224,$C312,'TL18'!$J$10:$J$224),0),
IF('TL18'!$B$229=K$3,SUMIF('TL18'!$C$238:$C$451,$C312,'TL18'!$J$238:$J$451),0),
IF('TL19'!$B$3=K$3,SUMIF('TL19'!$C$10:$C$224,$C312,'TL19'!$J$10:$J$224),0),
IF('TL19'!$B$229=K$3,SUMIF('TL19'!$C$238:$C$451,$C312,'TL19'!$J$238:$J$451),0)
),0)</f>
        <v>0</v>
      </c>
      <c r="L312" s="9">
        <f>IFERROR(SUM(
IF('TL01'!$B$3=L$3,SUMIF('TL01'!$C$10:$C$224,$C312,'TL01'!$J$10:$J$224),0),
IF('TL01'!$B$229=L$3,SUMIF('TL01'!$C$238:$C$451,$C312,'TL01'!$J$238:$J$451),0),
IF('TL02'!$B$3=L$3,SUMIF('TL02'!$C$10:$C$224,$C312,'TL02'!$J$10:$J$224),0),
IF('TL02'!$B$229=L$3,SUMIF('TL02'!$C$238:$C$451,$C312,'TL02'!$J$238:$J$451),0),
IF('TL03'!$B$3=L$3,SUMIF('TL03'!$C$10:$C$224,$C312,'TL03'!$J$10:$J$224),0),
IF('TL03'!$B$229=L$3,SUMIF('TL03'!$C$238:$C$451,$C312,'TL03'!$J$238:$J$451),0),
IF('TL04'!$B$3=L$3,SUMIF('TL04'!$C$10:$C$224,$C312,'TL04'!$J$10:$J$224),0),
IF('TL04'!$B$229=L$3,SUMIF('TL04'!$C$238:$C$451,$C312,'TL04'!$J$238:$J$451),0),
IF('TL05'!$B$3=L$3,SUMIF('TL05'!$C$10:$C$224,$C312,'TL05'!$J$10:$J$224),0),
IF('TL05'!$B$229=L$3,SUMIF('TL05'!$C$238:$C$451,$C312,'TL05'!$J$238:$J$451),0),
IF('TL06'!$B$3=L$3,SUMIF('TL06'!$C$10:$C$224,$C312,'TL06'!$J$10:$J$224),0),
IF('TL06'!$B$229=L$3,SUMIF('TL06'!$C$238:$C$451,$C312,'TL06'!$J$238:$J$451),0),
IF('TL07'!$B$3=L$3,SUMIF('TL07'!$C$10:$C$224,$C312,'TL07'!$J$10:$J$224),0),
IF('TL07'!$B$229=L$3,SUMIF('TL07'!$C$238:$C$451,$C312,'TL07'!$J$238:$J$451),0),
IF('TL08'!$B$3=L$3,SUMIF('TL08'!$C$10:$C$224,$C312,'TL08'!$J$10:$J$224),0),
IF('TL08'!$B$229=L$3,SUMIF('TL08'!$C$238:$C$451,$C312,'TL08'!$J$238:$J$451),0),
IF('TL09'!$B$3=L$3,SUMIF('TL09'!$C$10:$C$224,$C312,'TL09'!$J$10:$J$224),0),
IF('TL09'!$B$229=L$3,SUMIF('TL09'!$C$238:$C$451,$C312,'TL09'!$J$238:$J$451),0),
IF('TL10'!$B$3=L$3,SUMIF('TL10'!$C$10:$C$224,$C312,'TL10'!$J$10:$J$224),0),
IF('TL10'!$B$229=L$3,SUMIF('TL10'!$C$238:$C$451,$C312,'TL10'!$J$238:$J$451),0),
IF('TL11'!$B$3=L$3,SUMIF('TL11'!$C$10:$C$224,$C312,'TL11'!$J$10:$J$224),0),
IF('TL11'!$B$229=L$3,SUMIF('TL11'!$C$238:$C$451,$C312,'TL11'!$J$238:$J$451),0),
IF('TL12'!$B$3=L$3,SUMIF('TL12'!$C$10:$C$224,$C312,'TL12'!$J$10:$J$224),0),
IF('TL12'!$B$229=L$3,SUMIF('TL12'!$C$238:$C$451,$C312,'TL12'!$J$238:$J$451),0),
IF('TL13'!$B$3=L$3,SUMIF('TL13'!$C$10:$C$224,$C312,'TL13'!$J$10:$J$224),0),
IF('TL13'!$B$229=L$3,SUMIF('TL13'!$C$238:$C$451,$C312,'TL13'!$J$238:$J$451),0),
IF('TL14'!$B$3=L$3,SUMIF('TL14'!$C$10:$C$224,$C312,'TL14'!$J$10:$J$224),0),
IF('TL14'!$B$229=L$3,SUMIF('TL14'!$C$238:$C$451,$C312,'TL14'!$J$238:$J$451),0),
IF('TL15'!$B$3=L$3,SUMIF('TL15'!$C$10:$C$224,$C312,'TL15'!$J$10:$J$224),0),
IF('TL15'!$B$229=L$3,SUMIF('TL15'!$C$238:$C$451,$C312,'TL15'!$J$238:$J$451),0),
IF('TL16'!$B$3=L$3,SUMIF('TL16'!$C$10:$C$224,$C312,'TL16'!$J$10:$J$224),0),
IF('TL16'!$B$229=L$3,SUMIF('TL16'!$C$238:$C$451,$C312,'TL16'!$J$238:$J$451),0),
IF('TL17'!$B$3=L$3,SUMIF('TL17'!$C$10:$C$224,$C312,'TL17'!$J$10:$J$224),0),
IF('TL17'!$B$229=L$3,SUMIF('TL17'!$C$238:$C$451,$C312,'TL17'!$J$238:$J$451),0),
IF('TL18'!$B$3=L$3,SUMIF('TL18'!$C$10:$C$224,$C312,'TL18'!$J$10:$J$224),0),
IF('TL18'!$B$229=L$3,SUMIF('TL18'!$C$238:$C$451,$C312,'TL18'!$J$238:$J$451),0),
IF('TL19'!$B$3=L$3,SUMIF('TL19'!$C$10:$C$224,$C312,'TL19'!$J$10:$J$224),0),
IF('TL19'!$B$229=L$3,SUMIF('TL19'!$C$238:$C$451,$C312,'TL19'!$J$238:$J$451),0)
),0)</f>
        <v>0</v>
      </c>
      <c r="M312" s="9">
        <f>IFERROR(SUM(
IF('TL01'!$B$3=M$3,SUMIF('TL01'!$C$10:$C$224,$C312,'TL01'!$J$10:$J$224),0),
IF('TL01'!$B$229=M$3,SUMIF('TL01'!$C$238:$C$451,$C312,'TL01'!$J$238:$J$451),0),
IF('TL02'!$B$3=M$3,SUMIF('TL02'!$C$10:$C$224,$C312,'TL02'!$J$10:$J$224),0),
IF('TL02'!$B$229=M$3,SUMIF('TL02'!$C$238:$C$451,$C312,'TL02'!$J$238:$J$451),0),
IF('TL03'!$B$3=M$3,SUMIF('TL03'!$C$10:$C$224,$C312,'TL03'!$J$10:$J$224),0),
IF('TL03'!$B$229=M$3,SUMIF('TL03'!$C$238:$C$451,$C312,'TL03'!$J$238:$J$451),0),
IF('TL04'!$B$3=M$3,SUMIF('TL04'!$C$10:$C$224,$C312,'TL04'!$J$10:$J$224),0),
IF('TL04'!$B$229=M$3,SUMIF('TL04'!$C$238:$C$451,$C312,'TL04'!$J$238:$J$451),0),
IF('TL05'!$B$3=M$3,SUMIF('TL05'!$C$10:$C$224,$C312,'TL05'!$J$10:$J$224),0),
IF('TL05'!$B$229=M$3,SUMIF('TL05'!$C$238:$C$451,$C312,'TL05'!$J$238:$J$451),0),
IF('TL06'!$B$3=M$3,SUMIF('TL06'!$C$10:$C$224,$C312,'TL06'!$J$10:$J$224),0),
IF('TL06'!$B$229=M$3,SUMIF('TL06'!$C$238:$C$451,$C312,'TL06'!$J$238:$J$451),0),
IF('TL07'!$B$3=M$3,SUMIF('TL07'!$C$10:$C$224,$C312,'TL07'!$J$10:$J$224),0),
IF('TL07'!$B$229=M$3,SUMIF('TL07'!$C$238:$C$451,$C312,'TL07'!$J$238:$J$451),0),
IF('TL08'!$B$3=M$3,SUMIF('TL08'!$C$10:$C$224,$C312,'TL08'!$J$10:$J$224),0),
IF('TL08'!$B$229=M$3,SUMIF('TL08'!$C$238:$C$451,$C312,'TL08'!$J$238:$J$451),0),
IF('TL09'!$B$3=M$3,SUMIF('TL09'!$C$10:$C$224,$C312,'TL09'!$J$10:$J$224),0),
IF('TL09'!$B$229=M$3,SUMIF('TL09'!$C$238:$C$451,$C312,'TL09'!$J$238:$J$451),0),
IF('TL10'!$B$3=M$3,SUMIF('TL10'!$C$10:$C$224,$C312,'TL10'!$J$10:$J$224),0),
IF('TL10'!$B$229=M$3,SUMIF('TL10'!$C$238:$C$451,$C312,'TL10'!$J$238:$J$451),0),
IF('TL11'!$B$3=M$3,SUMIF('TL11'!$C$10:$C$224,$C312,'TL11'!$J$10:$J$224),0),
IF('TL11'!$B$229=M$3,SUMIF('TL11'!$C$238:$C$451,$C312,'TL11'!$J$238:$J$451),0),
IF('TL12'!$B$3=M$3,SUMIF('TL12'!$C$10:$C$224,$C312,'TL12'!$J$10:$J$224),0),
IF('TL12'!$B$229=M$3,SUMIF('TL12'!$C$238:$C$451,$C312,'TL12'!$J$238:$J$451),0),
IF('TL13'!$B$3=M$3,SUMIF('TL13'!$C$10:$C$224,$C312,'TL13'!$J$10:$J$224),0),
IF('TL13'!$B$229=M$3,SUMIF('TL13'!$C$238:$C$451,$C312,'TL13'!$J$238:$J$451),0),
IF('TL14'!$B$3=M$3,SUMIF('TL14'!$C$10:$C$224,$C312,'TL14'!$J$10:$J$224),0),
IF('TL14'!$B$229=M$3,SUMIF('TL14'!$C$238:$C$451,$C312,'TL14'!$J$238:$J$451),0),
IF('TL15'!$B$3=M$3,SUMIF('TL15'!$C$10:$C$224,$C312,'TL15'!$J$10:$J$224),0),
IF('TL15'!$B$229=M$3,SUMIF('TL15'!$C$238:$C$451,$C312,'TL15'!$J$238:$J$451),0),
IF('TL16'!$B$3=M$3,SUMIF('TL16'!$C$10:$C$224,$C312,'TL16'!$J$10:$J$224),0),
IF('TL16'!$B$229=M$3,SUMIF('TL16'!$C$238:$C$451,$C312,'TL16'!$J$238:$J$451),0),
IF('TL17'!$B$3=M$3,SUMIF('TL17'!$C$10:$C$224,$C312,'TL17'!$J$10:$J$224),0),
IF('TL17'!$B$229=M$3,SUMIF('TL17'!$C$238:$C$451,$C312,'TL17'!$J$238:$J$451),0),
IF('TL18'!$B$3=M$3,SUMIF('TL18'!$C$10:$C$224,$C312,'TL18'!$J$10:$J$224),0),
IF('TL18'!$B$229=M$3,SUMIF('TL18'!$C$238:$C$451,$C312,'TL18'!$J$238:$J$451),0),
IF('TL19'!$B$3=M$3,SUMIF('TL19'!$C$10:$C$224,$C312,'TL19'!$J$10:$J$224),0),
IF('TL19'!$B$229=M$3,SUMIF('TL19'!$C$238:$C$451,$C312,'TL19'!$J$238:$J$451),0)
),0)</f>
        <v>0</v>
      </c>
      <c r="N312" s="9">
        <f>IFERROR(SUM(
IF('TL01'!$B$3=N$3,SUMIF('TL01'!$C$10:$C$224,$C312,'TL01'!$J$10:$J$224),0),
IF('TL01'!$B$229=N$3,SUMIF('TL01'!$C$238:$C$451,$C312,'TL01'!$J$238:$J$451),0),
IF('TL02'!$B$3=N$3,SUMIF('TL02'!$C$10:$C$224,$C312,'TL02'!$J$10:$J$224),0),
IF('TL02'!$B$229=N$3,SUMIF('TL02'!$C$238:$C$451,$C312,'TL02'!$J$238:$J$451),0),
IF('TL03'!$B$3=N$3,SUMIF('TL03'!$C$10:$C$224,$C312,'TL03'!$J$10:$J$224),0),
IF('TL03'!$B$229=N$3,SUMIF('TL03'!$C$238:$C$451,$C312,'TL03'!$J$238:$J$451),0),
IF('TL04'!$B$3=N$3,SUMIF('TL04'!$C$10:$C$224,$C312,'TL04'!$J$10:$J$224),0),
IF('TL04'!$B$229=N$3,SUMIF('TL04'!$C$238:$C$451,$C312,'TL04'!$J$238:$J$451),0),
IF('TL05'!$B$3=N$3,SUMIF('TL05'!$C$10:$C$224,$C312,'TL05'!$J$10:$J$224),0),
IF('TL05'!$B$229=N$3,SUMIF('TL05'!$C$238:$C$451,$C312,'TL05'!$J$238:$J$451),0),
IF('TL06'!$B$3=N$3,SUMIF('TL06'!$C$10:$C$224,$C312,'TL06'!$J$10:$J$224),0),
IF('TL06'!$B$229=N$3,SUMIF('TL06'!$C$238:$C$451,$C312,'TL06'!$J$238:$J$451),0),
IF('TL07'!$B$3=N$3,SUMIF('TL07'!$C$10:$C$224,$C312,'TL07'!$J$10:$J$224),0),
IF('TL07'!$B$229=N$3,SUMIF('TL07'!$C$238:$C$451,$C312,'TL07'!$J$238:$J$451),0),
IF('TL08'!$B$3=N$3,SUMIF('TL08'!$C$10:$C$224,$C312,'TL08'!$J$10:$J$224),0),
IF('TL08'!$B$229=N$3,SUMIF('TL08'!$C$238:$C$451,$C312,'TL08'!$J$238:$J$451),0),
IF('TL09'!$B$3=N$3,SUMIF('TL09'!$C$10:$C$224,$C312,'TL09'!$J$10:$J$224),0),
IF('TL09'!$B$229=N$3,SUMIF('TL09'!$C$238:$C$451,$C312,'TL09'!$J$238:$J$451),0),
IF('TL10'!$B$3=N$3,SUMIF('TL10'!$C$10:$C$224,$C312,'TL10'!$J$10:$J$224),0),
IF('TL10'!$B$229=N$3,SUMIF('TL10'!$C$238:$C$451,$C312,'TL10'!$J$238:$J$451),0),
IF('TL11'!$B$3=N$3,SUMIF('TL11'!$C$10:$C$224,$C312,'TL11'!$J$10:$J$224),0),
IF('TL11'!$B$229=N$3,SUMIF('TL11'!$C$238:$C$451,$C312,'TL11'!$J$238:$J$451),0),
IF('TL12'!$B$3=N$3,SUMIF('TL12'!$C$10:$C$224,$C312,'TL12'!$J$10:$J$224),0),
IF('TL12'!$B$229=N$3,SUMIF('TL12'!$C$238:$C$451,$C312,'TL12'!$J$238:$J$451),0),
IF('TL13'!$B$3=N$3,SUMIF('TL13'!$C$10:$C$224,$C312,'TL13'!$J$10:$J$224),0),
IF('TL13'!$B$229=N$3,SUMIF('TL13'!$C$238:$C$451,$C312,'TL13'!$J$238:$J$451),0),
IF('TL14'!$B$3=N$3,SUMIF('TL14'!$C$10:$C$224,$C312,'TL14'!$J$10:$J$224),0),
IF('TL14'!$B$229=N$3,SUMIF('TL14'!$C$238:$C$451,$C312,'TL14'!$J$238:$J$451),0),
IF('TL15'!$B$3=N$3,SUMIF('TL15'!$C$10:$C$224,$C312,'TL15'!$J$10:$J$224),0),
IF('TL15'!$B$229=N$3,SUMIF('TL15'!$C$238:$C$451,$C312,'TL15'!$J$238:$J$451),0),
IF('TL16'!$B$3=N$3,SUMIF('TL16'!$C$10:$C$224,$C312,'TL16'!$J$10:$J$224),0),
IF('TL16'!$B$229=N$3,SUMIF('TL16'!$C$238:$C$451,$C312,'TL16'!$J$238:$J$451),0),
IF('TL17'!$B$3=N$3,SUMIF('TL17'!$C$10:$C$224,$C312,'TL17'!$J$10:$J$224),0),
IF('TL17'!$B$229=N$3,SUMIF('TL17'!$C$238:$C$451,$C312,'TL17'!$J$238:$J$451),0),
IF('TL18'!$B$3=N$3,SUMIF('TL18'!$C$10:$C$224,$C312,'TL18'!$J$10:$J$224),0),
IF('TL18'!$B$229=N$3,SUMIF('TL18'!$C$238:$C$451,$C312,'TL18'!$J$238:$J$451),0),
IF('TL19'!$B$3=N$3,SUMIF('TL19'!$C$10:$C$224,$C312,'TL19'!$J$10:$J$224),0),
IF('TL19'!$B$229=N$3,SUMIF('TL19'!$C$238:$C$451,$C312,'TL19'!$J$238:$J$451),0)
),0)</f>
        <v>0</v>
      </c>
      <c r="O312" s="9">
        <f>IFERROR(SUM(
IF('TL01'!$B$3=O$3,SUMIF('TL01'!$C$10:$C$224,$C312,'TL01'!$J$10:$J$224),0),
IF('TL01'!$B$229=O$3,SUMIF('TL01'!$C$238:$C$451,$C312,'TL01'!$J$238:$J$451),0),
IF('TL02'!$B$3=O$3,SUMIF('TL02'!$C$10:$C$224,$C312,'TL02'!$J$10:$J$224),0),
IF('TL02'!$B$229=O$3,SUMIF('TL02'!$C$238:$C$451,$C312,'TL02'!$J$238:$J$451),0),
IF('TL03'!$B$3=O$3,SUMIF('TL03'!$C$10:$C$224,$C312,'TL03'!$J$10:$J$224),0),
IF('TL03'!$B$229=O$3,SUMIF('TL03'!$C$238:$C$451,$C312,'TL03'!$J$238:$J$451),0),
IF('TL04'!$B$3=O$3,SUMIF('TL04'!$C$10:$C$224,$C312,'TL04'!$J$10:$J$224),0),
IF('TL04'!$B$229=O$3,SUMIF('TL04'!$C$238:$C$451,$C312,'TL04'!$J$238:$J$451),0),
IF('TL05'!$B$3=O$3,SUMIF('TL05'!$C$10:$C$224,$C312,'TL05'!$J$10:$J$224),0),
IF('TL05'!$B$229=O$3,SUMIF('TL05'!$C$238:$C$451,$C312,'TL05'!$J$238:$J$451),0),
IF('TL06'!$B$3=O$3,SUMIF('TL06'!$C$10:$C$224,$C312,'TL06'!$J$10:$J$224),0),
IF('TL06'!$B$229=O$3,SUMIF('TL06'!$C$238:$C$451,$C312,'TL06'!$J$238:$J$451),0),
IF('TL07'!$B$3=O$3,SUMIF('TL07'!$C$10:$C$224,$C312,'TL07'!$J$10:$J$224),0),
IF('TL07'!$B$229=O$3,SUMIF('TL07'!$C$238:$C$451,$C312,'TL07'!$J$238:$J$451),0),
IF('TL08'!$B$3=O$3,SUMIF('TL08'!$C$10:$C$224,$C312,'TL08'!$J$10:$J$224),0),
IF('TL08'!$B$229=O$3,SUMIF('TL08'!$C$238:$C$451,$C312,'TL08'!$J$238:$J$451),0),
IF('TL09'!$B$3=O$3,SUMIF('TL09'!$C$10:$C$224,$C312,'TL09'!$J$10:$J$224),0),
IF('TL09'!$B$229=O$3,SUMIF('TL09'!$C$238:$C$451,$C312,'TL09'!$J$238:$J$451),0),
IF('TL10'!$B$3=O$3,SUMIF('TL10'!$C$10:$C$224,$C312,'TL10'!$J$10:$J$224),0),
IF('TL10'!$B$229=O$3,SUMIF('TL10'!$C$238:$C$451,$C312,'TL10'!$J$238:$J$451),0),
IF('TL11'!$B$3=O$3,SUMIF('TL11'!$C$10:$C$224,$C312,'TL11'!$J$10:$J$224),0),
IF('TL11'!$B$229=O$3,SUMIF('TL11'!$C$238:$C$451,$C312,'TL11'!$J$238:$J$451),0),
IF('TL12'!$B$3=O$3,SUMIF('TL12'!$C$10:$C$224,$C312,'TL12'!$J$10:$J$224),0),
IF('TL12'!$B$229=O$3,SUMIF('TL12'!$C$238:$C$451,$C312,'TL12'!$J$238:$J$451),0),
IF('TL13'!$B$3=O$3,SUMIF('TL13'!$C$10:$C$224,$C312,'TL13'!$J$10:$J$224),0),
IF('TL13'!$B$229=O$3,SUMIF('TL13'!$C$238:$C$451,$C312,'TL13'!$J$238:$J$451),0),
IF('TL14'!$B$3=O$3,SUMIF('TL14'!$C$10:$C$224,$C312,'TL14'!$J$10:$J$224),0),
IF('TL14'!$B$229=O$3,SUMIF('TL14'!$C$238:$C$451,$C312,'TL14'!$J$238:$J$451),0),
IF('TL15'!$B$3=O$3,SUMIF('TL15'!$C$10:$C$224,$C312,'TL15'!$J$10:$J$224),0),
IF('TL15'!$B$229=O$3,SUMIF('TL15'!$C$238:$C$451,$C312,'TL15'!$J$238:$J$451),0),
IF('TL16'!$B$3=O$3,SUMIF('TL16'!$C$10:$C$224,$C312,'TL16'!$J$10:$J$224),0),
IF('TL16'!$B$229=O$3,SUMIF('TL16'!$C$238:$C$451,$C312,'TL16'!$J$238:$J$451),0),
IF('TL17'!$B$3=O$3,SUMIF('TL17'!$C$10:$C$224,$C312,'TL17'!$J$10:$J$224),0),
IF('TL17'!$B$229=O$3,SUMIF('TL17'!$C$238:$C$451,$C312,'TL17'!$J$238:$J$451),0),
IF('TL18'!$B$3=O$3,SUMIF('TL18'!$C$10:$C$224,$C312,'TL18'!$J$10:$J$224),0),
IF('TL18'!$B$229=O$3,SUMIF('TL18'!$C$238:$C$451,$C312,'TL18'!$J$238:$J$451),0),
IF('TL19'!$B$3=O$3,SUMIF('TL19'!$C$10:$C$224,$C312,'TL19'!$J$10:$J$224),0),
IF('TL19'!$B$229=O$3,SUMIF('TL19'!$C$238:$C$451,$C312,'TL19'!$J$238:$J$451),0)
),0)</f>
        <v>0</v>
      </c>
      <c r="P312" s="9">
        <f>IFERROR(SUM(
IF('TL01'!$B$3=P$3,SUMIF('TL01'!$C$10:$C$224,$C312,'TL01'!$J$10:$J$224),0),
IF('TL01'!$B$229=P$3,SUMIF('TL01'!$C$238:$C$451,$C312,'TL01'!$J$238:$J$451),0),
IF('TL02'!$B$3=P$3,SUMIF('TL02'!$C$10:$C$224,$C312,'TL02'!$J$10:$J$224),0),
IF('TL02'!$B$229=P$3,SUMIF('TL02'!$C$238:$C$451,$C312,'TL02'!$J$238:$J$451),0),
IF('TL03'!$B$3=P$3,SUMIF('TL03'!$C$10:$C$224,$C312,'TL03'!$J$10:$J$224),0),
IF('TL03'!$B$229=P$3,SUMIF('TL03'!$C$238:$C$451,$C312,'TL03'!$J$238:$J$451),0),
IF('TL04'!$B$3=P$3,SUMIF('TL04'!$C$10:$C$224,$C312,'TL04'!$J$10:$J$224),0),
IF('TL04'!$B$229=P$3,SUMIF('TL04'!$C$238:$C$451,$C312,'TL04'!$J$238:$J$451),0),
IF('TL05'!$B$3=P$3,SUMIF('TL05'!$C$10:$C$224,$C312,'TL05'!$J$10:$J$224),0),
IF('TL05'!$B$229=P$3,SUMIF('TL05'!$C$238:$C$451,$C312,'TL05'!$J$238:$J$451),0),
IF('TL06'!$B$3=P$3,SUMIF('TL06'!$C$10:$C$224,$C312,'TL06'!$J$10:$J$224),0),
IF('TL06'!$B$229=P$3,SUMIF('TL06'!$C$238:$C$451,$C312,'TL06'!$J$238:$J$451),0),
IF('TL07'!$B$3=P$3,SUMIF('TL07'!$C$10:$C$224,$C312,'TL07'!$J$10:$J$224),0),
IF('TL07'!$B$229=P$3,SUMIF('TL07'!$C$238:$C$451,$C312,'TL07'!$J$238:$J$451),0),
IF('TL08'!$B$3=P$3,SUMIF('TL08'!$C$10:$C$224,$C312,'TL08'!$J$10:$J$224),0),
IF('TL08'!$B$229=P$3,SUMIF('TL08'!$C$238:$C$451,$C312,'TL08'!$J$238:$J$451),0),
IF('TL09'!$B$3=P$3,SUMIF('TL09'!$C$10:$C$224,$C312,'TL09'!$J$10:$J$224),0),
IF('TL09'!$B$229=P$3,SUMIF('TL09'!$C$238:$C$451,$C312,'TL09'!$J$238:$J$451),0),
IF('TL10'!$B$3=P$3,SUMIF('TL10'!$C$10:$C$224,$C312,'TL10'!$J$10:$J$224),0),
IF('TL10'!$B$229=P$3,SUMIF('TL10'!$C$238:$C$451,$C312,'TL10'!$J$238:$J$451),0),
IF('TL11'!$B$3=P$3,SUMIF('TL11'!$C$10:$C$224,$C312,'TL11'!$J$10:$J$224),0),
IF('TL11'!$B$229=P$3,SUMIF('TL11'!$C$238:$C$451,$C312,'TL11'!$J$238:$J$451),0),
IF('TL12'!$B$3=P$3,SUMIF('TL12'!$C$10:$C$224,$C312,'TL12'!$J$10:$J$224),0),
IF('TL12'!$B$229=P$3,SUMIF('TL12'!$C$238:$C$451,$C312,'TL12'!$J$238:$J$451),0),
IF('TL13'!$B$3=P$3,SUMIF('TL13'!$C$10:$C$224,$C312,'TL13'!$J$10:$J$224),0),
IF('TL13'!$B$229=P$3,SUMIF('TL13'!$C$238:$C$451,$C312,'TL13'!$J$238:$J$451),0),
IF('TL14'!$B$3=P$3,SUMIF('TL14'!$C$10:$C$224,$C312,'TL14'!$J$10:$J$224),0),
IF('TL14'!$B$229=P$3,SUMIF('TL14'!$C$238:$C$451,$C312,'TL14'!$J$238:$J$451),0),
IF('TL15'!$B$3=P$3,SUMIF('TL15'!$C$10:$C$224,$C312,'TL15'!$J$10:$J$224),0),
IF('TL15'!$B$229=P$3,SUMIF('TL15'!$C$238:$C$451,$C312,'TL15'!$J$238:$J$451),0),
IF('TL16'!$B$3=P$3,SUMIF('TL16'!$C$10:$C$224,$C312,'TL16'!$J$10:$J$224),0),
IF('TL16'!$B$229=P$3,SUMIF('TL16'!$C$238:$C$451,$C312,'TL16'!$J$238:$J$451),0),
IF('TL17'!$B$3=P$3,SUMIF('TL17'!$C$10:$C$224,$C312,'TL17'!$J$10:$J$224),0),
IF('TL17'!$B$229=P$3,SUMIF('TL17'!$C$238:$C$451,$C312,'TL17'!$J$238:$J$451),0),
IF('TL18'!$B$3=P$3,SUMIF('TL18'!$C$10:$C$224,$C312,'TL18'!$J$10:$J$224),0),
IF('TL18'!$B$229=P$3,SUMIF('TL18'!$C$238:$C$451,$C312,'TL18'!$J$238:$J$451),0),
IF('TL19'!$B$3=P$3,SUMIF('TL19'!$C$10:$C$224,$C312,'TL19'!$J$10:$J$224),0),
IF('TL19'!$B$229=P$3,SUMIF('TL19'!$C$238:$C$451,$C312,'TL19'!$J$238:$J$451),0)
),0)</f>
        <v>0</v>
      </c>
      <c r="Q312" s="9">
        <f>IFERROR(SUM(
IF('TL01'!$B$3=Q$3,SUMIF('TL01'!$C$10:$C$224,$C312,'TL01'!$J$10:$J$224),0),
IF('TL01'!$B$229=Q$3,SUMIF('TL01'!$C$238:$C$451,$C312,'TL01'!$J$238:$J$451),0),
IF('TL02'!$B$3=Q$3,SUMIF('TL02'!$C$10:$C$224,$C312,'TL02'!$J$10:$J$224),0),
IF('TL02'!$B$229=Q$3,SUMIF('TL02'!$C$238:$C$451,$C312,'TL02'!$J$238:$J$451),0),
IF('TL03'!$B$3=Q$3,SUMIF('TL03'!$C$10:$C$224,$C312,'TL03'!$J$10:$J$224),0),
IF('TL03'!$B$229=Q$3,SUMIF('TL03'!$C$238:$C$451,$C312,'TL03'!$J$238:$J$451),0),
IF('TL04'!$B$3=Q$3,SUMIF('TL04'!$C$10:$C$224,$C312,'TL04'!$J$10:$J$224),0),
IF('TL04'!$B$229=Q$3,SUMIF('TL04'!$C$238:$C$451,$C312,'TL04'!$J$238:$J$451),0),
IF('TL05'!$B$3=Q$3,SUMIF('TL05'!$C$10:$C$224,$C312,'TL05'!$J$10:$J$224),0),
IF('TL05'!$B$229=Q$3,SUMIF('TL05'!$C$238:$C$451,$C312,'TL05'!$J$238:$J$451),0),
IF('TL06'!$B$3=Q$3,SUMIF('TL06'!$C$10:$C$224,$C312,'TL06'!$J$10:$J$224),0),
IF('TL06'!$B$229=Q$3,SUMIF('TL06'!$C$238:$C$451,$C312,'TL06'!$J$238:$J$451),0),
IF('TL07'!$B$3=Q$3,SUMIF('TL07'!$C$10:$C$224,$C312,'TL07'!$J$10:$J$224),0),
IF('TL07'!$B$229=Q$3,SUMIF('TL07'!$C$238:$C$451,$C312,'TL07'!$J$238:$J$451),0),
IF('TL08'!$B$3=Q$3,SUMIF('TL08'!$C$10:$C$224,$C312,'TL08'!$J$10:$J$224),0),
IF('TL08'!$B$229=Q$3,SUMIF('TL08'!$C$238:$C$451,$C312,'TL08'!$J$238:$J$451),0),
IF('TL09'!$B$3=Q$3,SUMIF('TL09'!$C$10:$C$224,$C312,'TL09'!$J$10:$J$224),0),
IF('TL09'!$B$229=Q$3,SUMIF('TL09'!$C$238:$C$451,$C312,'TL09'!$J$238:$J$451),0),
IF('TL10'!$B$3=Q$3,SUMIF('TL10'!$C$10:$C$224,$C312,'TL10'!$J$10:$J$224),0),
IF('TL10'!$B$229=Q$3,SUMIF('TL10'!$C$238:$C$451,$C312,'TL10'!$J$238:$J$451),0),
IF('TL11'!$B$3=Q$3,SUMIF('TL11'!$C$10:$C$224,$C312,'TL11'!$J$10:$J$224),0),
IF('TL11'!$B$229=Q$3,SUMIF('TL11'!$C$238:$C$451,$C312,'TL11'!$J$238:$J$451),0),
IF('TL12'!$B$3=Q$3,SUMIF('TL12'!$C$10:$C$224,$C312,'TL12'!$J$10:$J$224),0),
IF('TL12'!$B$229=Q$3,SUMIF('TL12'!$C$238:$C$451,$C312,'TL12'!$J$238:$J$451),0),
IF('TL13'!$B$3=Q$3,SUMIF('TL13'!$C$10:$C$224,$C312,'TL13'!$J$10:$J$224),0),
IF('TL13'!$B$229=Q$3,SUMIF('TL13'!$C$238:$C$451,$C312,'TL13'!$J$238:$J$451),0),
IF('TL14'!$B$3=Q$3,SUMIF('TL14'!$C$10:$C$224,$C312,'TL14'!$J$10:$J$224),0),
IF('TL14'!$B$229=Q$3,SUMIF('TL14'!$C$238:$C$451,$C312,'TL14'!$J$238:$J$451),0),
IF('TL15'!$B$3=Q$3,SUMIF('TL15'!$C$10:$C$224,$C312,'TL15'!$J$10:$J$224),0),
IF('TL15'!$B$229=Q$3,SUMIF('TL15'!$C$238:$C$451,$C312,'TL15'!$J$238:$J$451),0),
IF('TL16'!$B$3=Q$3,SUMIF('TL16'!$C$10:$C$224,$C312,'TL16'!$J$10:$J$224),0),
IF('TL16'!$B$229=Q$3,SUMIF('TL16'!$C$238:$C$451,$C312,'TL16'!$J$238:$J$451),0),
IF('TL17'!$B$3=Q$3,SUMIF('TL17'!$C$10:$C$224,$C312,'TL17'!$J$10:$J$224),0),
IF('TL17'!$B$229=Q$3,SUMIF('TL17'!$C$238:$C$451,$C312,'TL17'!$J$238:$J$451),0),
IF('TL18'!$B$3=Q$3,SUMIF('TL18'!$C$10:$C$224,$C312,'TL18'!$J$10:$J$224),0),
IF('TL18'!$B$229=Q$3,SUMIF('TL18'!$C$238:$C$451,$C312,'TL18'!$J$238:$J$451),0),
IF('TL19'!$B$3=Q$3,SUMIF('TL19'!$C$10:$C$224,$C312,'TL19'!$J$10:$J$224),0),
IF('TL19'!$B$229=Q$3,SUMIF('TL19'!$C$238:$C$451,$C312,'TL19'!$J$238:$J$451),0)
),0)</f>
        <v>0</v>
      </c>
      <c r="R312" s="9">
        <f>IFERROR(
SUM(
SUMIF('TL01'!C:C,C312,'TL01'!J:J),
SUMIF('TL02'!C:C,C312,'TL02'!J:J),
SUMIF('TL03'!C:C,C312,'TL03'!J:J),
SUMIF('TL04'!C:C,C312,'TL04'!J:J),
SUMIF('TL05'!C:C,C312,'TL05'!J:J),
SUMIF('TL06'!C:C,C312,'TL06'!J:J),
SUMIF('TL07'!C:C,C312,'TL07'!J:J),
SUMIF('TL08'!C:C,C312,'TL08'!J:J),
SUMIF('TL09'!C:C,C312,'TL09'!J:J),
SUMIF('TL10'!C:C,C312,'TL10'!J:J),
SUMIF('TL11'!C:C,C312,'TL11'!J:J),
SUMIF('TL12'!C:C,C312,'TL12'!J:J),
SUMIF('TL13'!C:C,C312,'TL13'!J:J),
SUMIF('TL14'!C:C,C312,'TL14'!J:J),
SUMIF('TL15'!C:C,C312,'TL15'!J:J),
SUMIF('TL16'!C:C,C312,'TL16'!J:J),
SUMIF('TL17'!C:C,C312,'TL17'!J:J),
SUMIF('TL18'!C:C,C312,'TL18'!J:J),SUMIF('TL19'!C:C,C312,'TL19'!J:J))
,0)</f>
        <v>0</v>
      </c>
      <c r="S312" s="17" t="str">
        <f>IFERROR(__xludf.DUMMYFUNCTION("IFERROR(VLOOKUP(C312,
IMPORTRANGE(""1wULbzX32WdYsx-lj2U3uUNBBe2INVIRDtcK0d-Dvl90"",
""26-27!C:G""),
5,
FALSE),
"""")"),"")</f>
        <v/>
      </c>
      <c r="T312" s="9"/>
      <c r="U312" s="92">
        <f t="shared" si="2"/>
        <v>0</v>
      </c>
      <c r="V312" s="93">
        <f t="shared" si="3"/>
        <v>0</v>
      </c>
    </row>
    <row r="313" ht="15.75" hidden="1" customHeight="1">
      <c r="A313" s="4"/>
      <c r="B313" s="125" t="s">
        <v>5</v>
      </c>
      <c r="C313" s="4" t="s">
        <v>1036</v>
      </c>
      <c r="D313" s="6"/>
      <c r="E313" s="9"/>
      <c r="F313" s="4" t="s">
        <v>1032</v>
      </c>
      <c r="G313" s="90" t="str">
        <f t="shared" si="5"/>
        <v>📄 Ver bula</v>
      </c>
      <c r="H313" s="9">
        <v>1.2</v>
      </c>
      <c r="I313" s="1"/>
      <c r="J313" s="9">
        <f>IFERROR(SUM(
IF('TL01'!$B$3=J$3,SUMIF('TL01'!$C$10:$C$224,$C313,'TL01'!$J$10:$J$224),0),
IF('TL01'!$B$229=J$3,SUMIF('TL01'!$C$238:$C$451,$C313,'TL01'!$J$238:$J$451),0),
IF('TL02'!$B$3=J$3,SUMIF('TL02'!$C$10:$C$224,$C313,'TL02'!$J$10:$J$224),0),
IF('TL02'!$B$229=J$3,SUMIF('TL02'!$C$238:$C$451,$C313,'TL02'!$J$238:$J$451),0),
IF('TL03'!$B$3=J$3,SUMIF('TL03'!$C$10:$C$224,$C313,'TL03'!$J$10:$J$224),0),
IF('TL03'!$B$229=J$3,SUMIF('TL03'!$C$238:$C$451,$C313,'TL03'!$J$238:$J$451),0),
IF('TL04'!$B$3=J$3,SUMIF('TL04'!$C$10:$C$224,$C313,'TL04'!$J$10:$J$224),0),
IF('TL04'!$B$229=J$3,SUMIF('TL04'!$C$238:$C$451,$C313,'TL04'!$J$238:$J$451),0),
IF('TL05'!$B$3=J$3,SUMIF('TL05'!$C$10:$C$224,$C313,'TL05'!$J$10:$J$224),0),
IF('TL05'!$B$229=J$3,SUMIF('TL05'!$C$238:$C$451,$C313,'TL05'!$J$238:$J$451),0),
IF('TL06'!$B$3=J$3,SUMIF('TL06'!$C$10:$C$224,$C313,'TL06'!$J$10:$J$224),0),
IF('TL06'!$B$229=J$3,SUMIF('TL06'!$C$238:$C$451,$C313,'TL06'!$J$238:$J$451),0),
IF('TL07'!$B$3=J$3,SUMIF('TL07'!$C$10:$C$224,$C313,'TL07'!$J$10:$J$224),0),
IF('TL07'!$B$229=J$3,SUMIF('TL07'!$C$238:$C$451,$C313,'TL07'!$J$238:$J$451),0),
IF('TL08'!$B$3=J$3,SUMIF('TL08'!$C$10:$C$224,$C313,'TL08'!$J$10:$J$224),0),
IF('TL08'!$B$229=J$3,SUMIF('TL08'!$C$238:$C$451,$C313,'TL08'!$J$238:$J$451),0),
IF('TL09'!$B$3=J$3,SUMIF('TL09'!$C$10:$C$224,$C313,'TL09'!$J$10:$J$224),0),
IF('TL09'!$B$229=J$3,SUMIF('TL09'!$C$238:$C$451,$C313,'TL09'!$J$238:$J$451),0),
IF('TL10'!$B$3=J$3,SUMIF('TL10'!$C$10:$C$224,$C313,'TL10'!$J$10:$J$224),0),
IF('TL10'!$B$229=J$3,SUMIF('TL10'!$C$238:$C$451,$C313,'TL10'!$J$238:$J$451),0),
IF('TL11'!$B$3=J$3,SUMIF('TL11'!$C$10:$C$224,$C313,'TL11'!$J$10:$J$224),0),
IF('TL11'!$B$229=J$3,SUMIF('TL11'!$C$238:$C$451,$C313,'TL11'!$J$238:$J$451),0),
IF('TL12'!$B$3=J$3,SUMIF('TL12'!$C$10:$C$224,$C313,'TL12'!$J$10:$J$224),0),
IF('TL12'!$B$229=J$3,SUMIF('TL12'!$C$238:$C$451,$C313,'TL12'!$J$238:$J$451),0),
IF('TL13'!$B$3=J$3,SUMIF('TL13'!$C$10:$C$224,$C313,'TL13'!$J$10:$J$224),0),
IF('TL13'!$B$229=J$3,SUMIF('TL13'!$C$238:$C$451,$C313,'TL13'!$J$238:$J$451),0),
IF('TL14'!$B$3=J$3,SUMIF('TL14'!$C$10:$C$224,$C313,'TL14'!$J$10:$J$224),0),
IF('TL14'!$B$229=J$3,SUMIF('TL14'!$C$238:$C$451,$C313,'TL14'!$J$238:$J$451),0),
IF('TL15'!$B$3=J$3,SUMIF('TL15'!$C$10:$C$224,$C313,'TL15'!$J$10:$J$224),0),
IF('TL15'!$B$229=J$3,SUMIF('TL15'!$C$238:$C$451,$C313,'TL15'!$J$238:$J$451),0),
IF('TL16'!$B$3=J$3,SUMIF('TL16'!$C$10:$C$224,$C313,'TL16'!$J$10:$J$224),0),
IF('TL16'!$B$229=J$3,SUMIF('TL16'!$C$238:$C$451,$C313,'TL16'!$J$238:$J$451),0),
IF('TL17'!$B$3=J$3,SUMIF('TL17'!$C$10:$C$224,$C313,'TL17'!$J$10:$J$224),0),
IF('TL17'!$B$229=J$3,SUMIF('TL17'!$C$238:$C$451,$C313,'TL17'!$J$238:$J$451),0),
IF('TL18'!$B$3=J$3,SUMIF('TL18'!$C$10:$C$224,$C313,'TL18'!$J$10:$J$224),0),
IF('TL18'!$B$229=J$3,SUMIF('TL18'!$C$238:$C$451,$C313,'TL18'!$J$238:$J$451),0),
IF('TL19'!$B$3=J$3,SUMIF('TL19'!$C$10:$C$224,$C313,'TL19'!$J$10:$J$224),0),
IF('TL19'!$B$229=J$3,SUMIF('TL19'!$C$238:$C$451,$C313,'TL19'!$J$238:$J$451),0)
),0)</f>
        <v>0</v>
      </c>
      <c r="K313" s="9">
        <f>IFERROR(SUM(
IF('TL01'!$B$3=K$3,SUMIF('TL01'!$C$10:$C$224,$C313,'TL01'!$J$10:$J$224),0),
IF('TL01'!$B$229=K$3,SUMIF('TL01'!$C$238:$C$451,$C313,'TL01'!$J$238:$J$451),0),
IF('TL02'!$B$3=K$3,SUMIF('TL02'!$C$10:$C$224,$C313,'TL02'!$J$10:$J$224),0),
IF('TL02'!$B$229=K$3,SUMIF('TL02'!$C$238:$C$451,$C313,'TL02'!$J$238:$J$451),0),
IF('TL03'!$B$3=K$3,SUMIF('TL03'!$C$10:$C$224,$C313,'TL03'!$J$10:$J$224),0),
IF('TL03'!$B$229=K$3,SUMIF('TL03'!$C$238:$C$451,$C313,'TL03'!$J$238:$J$451),0),
IF('TL04'!$B$3=K$3,SUMIF('TL04'!$C$10:$C$224,$C313,'TL04'!$J$10:$J$224),0),
IF('TL04'!$B$229=K$3,SUMIF('TL04'!$C$238:$C$451,$C313,'TL04'!$J$238:$J$451),0),
IF('TL05'!$B$3=K$3,SUMIF('TL05'!$C$10:$C$224,$C313,'TL05'!$J$10:$J$224),0),
IF('TL05'!$B$229=K$3,SUMIF('TL05'!$C$238:$C$451,$C313,'TL05'!$J$238:$J$451),0),
IF('TL06'!$B$3=K$3,SUMIF('TL06'!$C$10:$C$224,$C313,'TL06'!$J$10:$J$224),0),
IF('TL06'!$B$229=K$3,SUMIF('TL06'!$C$238:$C$451,$C313,'TL06'!$J$238:$J$451),0),
IF('TL07'!$B$3=K$3,SUMIF('TL07'!$C$10:$C$224,$C313,'TL07'!$J$10:$J$224),0),
IF('TL07'!$B$229=K$3,SUMIF('TL07'!$C$238:$C$451,$C313,'TL07'!$J$238:$J$451),0),
IF('TL08'!$B$3=K$3,SUMIF('TL08'!$C$10:$C$224,$C313,'TL08'!$J$10:$J$224),0),
IF('TL08'!$B$229=K$3,SUMIF('TL08'!$C$238:$C$451,$C313,'TL08'!$J$238:$J$451),0),
IF('TL09'!$B$3=K$3,SUMIF('TL09'!$C$10:$C$224,$C313,'TL09'!$J$10:$J$224),0),
IF('TL09'!$B$229=K$3,SUMIF('TL09'!$C$238:$C$451,$C313,'TL09'!$J$238:$J$451),0),
IF('TL10'!$B$3=K$3,SUMIF('TL10'!$C$10:$C$224,$C313,'TL10'!$J$10:$J$224),0),
IF('TL10'!$B$229=K$3,SUMIF('TL10'!$C$238:$C$451,$C313,'TL10'!$J$238:$J$451),0),
IF('TL11'!$B$3=K$3,SUMIF('TL11'!$C$10:$C$224,$C313,'TL11'!$J$10:$J$224),0),
IF('TL11'!$B$229=K$3,SUMIF('TL11'!$C$238:$C$451,$C313,'TL11'!$J$238:$J$451),0),
IF('TL12'!$B$3=K$3,SUMIF('TL12'!$C$10:$C$224,$C313,'TL12'!$J$10:$J$224),0),
IF('TL12'!$B$229=K$3,SUMIF('TL12'!$C$238:$C$451,$C313,'TL12'!$J$238:$J$451),0),
IF('TL13'!$B$3=K$3,SUMIF('TL13'!$C$10:$C$224,$C313,'TL13'!$J$10:$J$224),0),
IF('TL13'!$B$229=K$3,SUMIF('TL13'!$C$238:$C$451,$C313,'TL13'!$J$238:$J$451),0),
IF('TL14'!$B$3=K$3,SUMIF('TL14'!$C$10:$C$224,$C313,'TL14'!$J$10:$J$224),0),
IF('TL14'!$B$229=K$3,SUMIF('TL14'!$C$238:$C$451,$C313,'TL14'!$J$238:$J$451),0),
IF('TL15'!$B$3=K$3,SUMIF('TL15'!$C$10:$C$224,$C313,'TL15'!$J$10:$J$224),0),
IF('TL15'!$B$229=K$3,SUMIF('TL15'!$C$238:$C$451,$C313,'TL15'!$J$238:$J$451),0),
IF('TL16'!$B$3=K$3,SUMIF('TL16'!$C$10:$C$224,$C313,'TL16'!$J$10:$J$224),0),
IF('TL16'!$B$229=K$3,SUMIF('TL16'!$C$238:$C$451,$C313,'TL16'!$J$238:$J$451),0),
IF('TL17'!$B$3=K$3,SUMIF('TL17'!$C$10:$C$224,$C313,'TL17'!$J$10:$J$224),0),
IF('TL17'!$B$229=K$3,SUMIF('TL17'!$C$238:$C$451,$C313,'TL17'!$J$238:$J$451),0),
IF('TL18'!$B$3=K$3,SUMIF('TL18'!$C$10:$C$224,$C313,'TL18'!$J$10:$J$224),0),
IF('TL18'!$B$229=K$3,SUMIF('TL18'!$C$238:$C$451,$C313,'TL18'!$J$238:$J$451),0),
IF('TL19'!$B$3=K$3,SUMIF('TL19'!$C$10:$C$224,$C313,'TL19'!$J$10:$J$224),0),
IF('TL19'!$B$229=K$3,SUMIF('TL19'!$C$238:$C$451,$C313,'TL19'!$J$238:$J$451),0)
),0)</f>
        <v>0</v>
      </c>
      <c r="L313" s="9">
        <f>IFERROR(SUM(
IF('TL01'!$B$3=L$3,SUMIF('TL01'!$C$10:$C$224,$C313,'TL01'!$J$10:$J$224),0),
IF('TL01'!$B$229=L$3,SUMIF('TL01'!$C$238:$C$451,$C313,'TL01'!$J$238:$J$451),0),
IF('TL02'!$B$3=L$3,SUMIF('TL02'!$C$10:$C$224,$C313,'TL02'!$J$10:$J$224),0),
IF('TL02'!$B$229=L$3,SUMIF('TL02'!$C$238:$C$451,$C313,'TL02'!$J$238:$J$451),0),
IF('TL03'!$B$3=L$3,SUMIF('TL03'!$C$10:$C$224,$C313,'TL03'!$J$10:$J$224),0),
IF('TL03'!$B$229=L$3,SUMIF('TL03'!$C$238:$C$451,$C313,'TL03'!$J$238:$J$451),0),
IF('TL04'!$B$3=L$3,SUMIF('TL04'!$C$10:$C$224,$C313,'TL04'!$J$10:$J$224),0),
IF('TL04'!$B$229=L$3,SUMIF('TL04'!$C$238:$C$451,$C313,'TL04'!$J$238:$J$451),0),
IF('TL05'!$B$3=L$3,SUMIF('TL05'!$C$10:$C$224,$C313,'TL05'!$J$10:$J$224),0),
IF('TL05'!$B$229=L$3,SUMIF('TL05'!$C$238:$C$451,$C313,'TL05'!$J$238:$J$451),0),
IF('TL06'!$B$3=L$3,SUMIF('TL06'!$C$10:$C$224,$C313,'TL06'!$J$10:$J$224),0),
IF('TL06'!$B$229=L$3,SUMIF('TL06'!$C$238:$C$451,$C313,'TL06'!$J$238:$J$451),0),
IF('TL07'!$B$3=L$3,SUMIF('TL07'!$C$10:$C$224,$C313,'TL07'!$J$10:$J$224),0),
IF('TL07'!$B$229=L$3,SUMIF('TL07'!$C$238:$C$451,$C313,'TL07'!$J$238:$J$451),0),
IF('TL08'!$B$3=L$3,SUMIF('TL08'!$C$10:$C$224,$C313,'TL08'!$J$10:$J$224),0),
IF('TL08'!$B$229=L$3,SUMIF('TL08'!$C$238:$C$451,$C313,'TL08'!$J$238:$J$451),0),
IF('TL09'!$B$3=L$3,SUMIF('TL09'!$C$10:$C$224,$C313,'TL09'!$J$10:$J$224),0),
IF('TL09'!$B$229=L$3,SUMIF('TL09'!$C$238:$C$451,$C313,'TL09'!$J$238:$J$451),0),
IF('TL10'!$B$3=L$3,SUMIF('TL10'!$C$10:$C$224,$C313,'TL10'!$J$10:$J$224),0),
IF('TL10'!$B$229=L$3,SUMIF('TL10'!$C$238:$C$451,$C313,'TL10'!$J$238:$J$451),0),
IF('TL11'!$B$3=L$3,SUMIF('TL11'!$C$10:$C$224,$C313,'TL11'!$J$10:$J$224),0),
IF('TL11'!$B$229=L$3,SUMIF('TL11'!$C$238:$C$451,$C313,'TL11'!$J$238:$J$451),0),
IF('TL12'!$B$3=L$3,SUMIF('TL12'!$C$10:$C$224,$C313,'TL12'!$J$10:$J$224),0),
IF('TL12'!$B$229=L$3,SUMIF('TL12'!$C$238:$C$451,$C313,'TL12'!$J$238:$J$451),0),
IF('TL13'!$B$3=L$3,SUMIF('TL13'!$C$10:$C$224,$C313,'TL13'!$J$10:$J$224),0),
IF('TL13'!$B$229=L$3,SUMIF('TL13'!$C$238:$C$451,$C313,'TL13'!$J$238:$J$451),0),
IF('TL14'!$B$3=L$3,SUMIF('TL14'!$C$10:$C$224,$C313,'TL14'!$J$10:$J$224),0),
IF('TL14'!$B$229=L$3,SUMIF('TL14'!$C$238:$C$451,$C313,'TL14'!$J$238:$J$451),0),
IF('TL15'!$B$3=L$3,SUMIF('TL15'!$C$10:$C$224,$C313,'TL15'!$J$10:$J$224),0),
IF('TL15'!$B$229=L$3,SUMIF('TL15'!$C$238:$C$451,$C313,'TL15'!$J$238:$J$451),0),
IF('TL16'!$B$3=L$3,SUMIF('TL16'!$C$10:$C$224,$C313,'TL16'!$J$10:$J$224),0),
IF('TL16'!$B$229=L$3,SUMIF('TL16'!$C$238:$C$451,$C313,'TL16'!$J$238:$J$451),0),
IF('TL17'!$B$3=L$3,SUMIF('TL17'!$C$10:$C$224,$C313,'TL17'!$J$10:$J$224),0),
IF('TL17'!$B$229=L$3,SUMIF('TL17'!$C$238:$C$451,$C313,'TL17'!$J$238:$J$451),0),
IF('TL18'!$B$3=L$3,SUMIF('TL18'!$C$10:$C$224,$C313,'TL18'!$J$10:$J$224),0),
IF('TL18'!$B$229=L$3,SUMIF('TL18'!$C$238:$C$451,$C313,'TL18'!$J$238:$J$451),0),
IF('TL19'!$B$3=L$3,SUMIF('TL19'!$C$10:$C$224,$C313,'TL19'!$J$10:$J$224),0),
IF('TL19'!$B$229=L$3,SUMIF('TL19'!$C$238:$C$451,$C313,'TL19'!$J$238:$J$451),0)
),0)</f>
        <v>0</v>
      </c>
      <c r="M313" s="9">
        <f>IFERROR(SUM(
IF('TL01'!$B$3=M$3,SUMIF('TL01'!$C$10:$C$224,$C313,'TL01'!$J$10:$J$224),0),
IF('TL01'!$B$229=M$3,SUMIF('TL01'!$C$238:$C$451,$C313,'TL01'!$J$238:$J$451),0),
IF('TL02'!$B$3=M$3,SUMIF('TL02'!$C$10:$C$224,$C313,'TL02'!$J$10:$J$224),0),
IF('TL02'!$B$229=M$3,SUMIF('TL02'!$C$238:$C$451,$C313,'TL02'!$J$238:$J$451),0),
IF('TL03'!$B$3=M$3,SUMIF('TL03'!$C$10:$C$224,$C313,'TL03'!$J$10:$J$224),0),
IF('TL03'!$B$229=M$3,SUMIF('TL03'!$C$238:$C$451,$C313,'TL03'!$J$238:$J$451),0),
IF('TL04'!$B$3=M$3,SUMIF('TL04'!$C$10:$C$224,$C313,'TL04'!$J$10:$J$224),0),
IF('TL04'!$B$229=M$3,SUMIF('TL04'!$C$238:$C$451,$C313,'TL04'!$J$238:$J$451),0),
IF('TL05'!$B$3=M$3,SUMIF('TL05'!$C$10:$C$224,$C313,'TL05'!$J$10:$J$224),0),
IF('TL05'!$B$229=M$3,SUMIF('TL05'!$C$238:$C$451,$C313,'TL05'!$J$238:$J$451),0),
IF('TL06'!$B$3=M$3,SUMIF('TL06'!$C$10:$C$224,$C313,'TL06'!$J$10:$J$224),0),
IF('TL06'!$B$229=M$3,SUMIF('TL06'!$C$238:$C$451,$C313,'TL06'!$J$238:$J$451),0),
IF('TL07'!$B$3=M$3,SUMIF('TL07'!$C$10:$C$224,$C313,'TL07'!$J$10:$J$224),0),
IF('TL07'!$B$229=M$3,SUMIF('TL07'!$C$238:$C$451,$C313,'TL07'!$J$238:$J$451),0),
IF('TL08'!$B$3=M$3,SUMIF('TL08'!$C$10:$C$224,$C313,'TL08'!$J$10:$J$224),0),
IF('TL08'!$B$229=M$3,SUMIF('TL08'!$C$238:$C$451,$C313,'TL08'!$J$238:$J$451),0),
IF('TL09'!$B$3=M$3,SUMIF('TL09'!$C$10:$C$224,$C313,'TL09'!$J$10:$J$224),0),
IF('TL09'!$B$229=M$3,SUMIF('TL09'!$C$238:$C$451,$C313,'TL09'!$J$238:$J$451),0),
IF('TL10'!$B$3=M$3,SUMIF('TL10'!$C$10:$C$224,$C313,'TL10'!$J$10:$J$224),0),
IF('TL10'!$B$229=M$3,SUMIF('TL10'!$C$238:$C$451,$C313,'TL10'!$J$238:$J$451),0),
IF('TL11'!$B$3=M$3,SUMIF('TL11'!$C$10:$C$224,$C313,'TL11'!$J$10:$J$224),0),
IF('TL11'!$B$229=M$3,SUMIF('TL11'!$C$238:$C$451,$C313,'TL11'!$J$238:$J$451),0),
IF('TL12'!$B$3=M$3,SUMIF('TL12'!$C$10:$C$224,$C313,'TL12'!$J$10:$J$224),0),
IF('TL12'!$B$229=M$3,SUMIF('TL12'!$C$238:$C$451,$C313,'TL12'!$J$238:$J$451),0),
IF('TL13'!$B$3=M$3,SUMIF('TL13'!$C$10:$C$224,$C313,'TL13'!$J$10:$J$224),0),
IF('TL13'!$B$229=M$3,SUMIF('TL13'!$C$238:$C$451,$C313,'TL13'!$J$238:$J$451),0),
IF('TL14'!$B$3=M$3,SUMIF('TL14'!$C$10:$C$224,$C313,'TL14'!$J$10:$J$224),0),
IF('TL14'!$B$229=M$3,SUMIF('TL14'!$C$238:$C$451,$C313,'TL14'!$J$238:$J$451),0),
IF('TL15'!$B$3=M$3,SUMIF('TL15'!$C$10:$C$224,$C313,'TL15'!$J$10:$J$224),0),
IF('TL15'!$B$229=M$3,SUMIF('TL15'!$C$238:$C$451,$C313,'TL15'!$J$238:$J$451),0),
IF('TL16'!$B$3=M$3,SUMIF('TL16'!$C$10:$C$224,$C313,'TL16'!$J$10:$J$224),0),
IF('TL16'!$B$229=M$3,SUMIF('TL16'!$C$238:$C$451,$C313,'TL16'!$J$238:$J$451),0),
IF('TL17'!$B$3=M$3,SUMIF('TL17'!$C$10:$C$224,$C313,'TL17'!$J$10:$J$224),0),
IF('TL17'!$B$229=M$3,SUMIF('TL17'!$C$238:$C$451,$C313,'TL17'!$J$238:$J$451),0),
IF('TL18'!$B$3=M$3,SUMIF('TL18'!$C$10:$C$224,$C313,'TL18'!$J$10:$J$224),0),
IF('TL18'!$B$229=M$3,SUMIF('TL18'!$C$238:$C$451,$C313,'TL18'!$J$238:$J$451),0),
IF('TL19'!$B$3=M$3,SUMIF('TL19'!$C$10:$C$224,$C313,'TL19'!$J$10:$J$224),0),
IF('TL19'!$B$229=M$3,SUMIF('TL19'!$C$238:$C$451,$C313,'TL19'!$J$238:$J$451),0)
),0)</f>
        <v>0</v>
      </c>
      <c r="N313" s="9">
        <f>IFERROR(SUM(
IF('TL01'!$B$3=N$3,SUMIF('TL01'!$C$10:$C$224,$C313,'TL01'!$J$10:$J$224),0),
IF('TL01'!$B$229=N$3,SUMIF('TL01'!$C$238:$C$451,$C313,'TL01'!$J$238:$J$451),0),
IF('TL02'!$B$3=N$3,SUMIF('TL02'!$C$10:$C$224,$C313,'TL02'!$J$10:$J$224),0),
IF('TL02'!$B$229=N$3,SUMIF('TL02'!$C$238:$C$451,$C313,'TL02'!$J$238:$J$451),0),
IF('TL03'!$B$3=N$3,SUMIF('TL03'!$C$10:$C$224,$C313,'TL03'!$J$10:$J$224),0),
IF('TL03'!$B$229=N$3,SUMIF('TL03'!$C$238:$C$451,$C313,'TL03'!$J$238:$J$451),0),
IF('TL04'!$B$3=N$3,SUMIF('TL04'!$C$10:$C$224,$C313,'TL04'!$J$10:$J$224),0),
IF('TL04'!$B$229=N$3,SUMIF('TL04'!$C$238:$C$451,$C313,'TL04'!$J$238:$J$451),0),
IF('TL05'!$B$3=N$3,SUMIF('TL05'!$C$10:$C$224,$C313,'TL05'!$J$10:$J$224),0),
IF('TL05'!$B$229=N$3,SUMIF('TL05'!$C$238:$C$451,$C313,'TL05'!$J$238:$J$451),0),
IF('TL06'!$B$3=N$3,SUMIF('TL06'!$C$10:$C$224,$C313,'TL06'!$J$10:$J$224),0),
IF('TL06'!$B$229=N$3,SUMIF('TL06'!$C$238:$C$451,$C313,'TL06'!$J$238:$J$451),0),
IF('TL07'!$B$3=N$3,SUMIF('TL07'!$C$10:$C$224,$C313,'TL07'!$J$10:$J$224),0),
IF('TL07'!$B$229=N$3,SUMIF('TL07'!$C$238:$C$451,$C313,'TL07'!$J$238:$J$451),0),
IF('TL08'!$B$3=N$3,SUMIF('TL08'!$C$10:$C$224,$C313,'TL08'!$J$10:$J$224),0),
IF('TL08'!$B$229=N$3,SUMIF('TL08'!$C$238:$C$451,$C313,'TL08'!$J$238:$J$451),0),
IF('TL09'!$B$3=N$3,SUMIF('TL09'!$C$10:$C$224,$C313,'TL09'!$J$10:$J$224),0),
IF('TL09'!$B$229=N$3,SUMIF('TL09'!$C$238:$C$451,$C313,'TL09'!$J$238:$J$451),0),
IF('TL10'!$B$3=N$3,SUMIF('TL10'!$C$10:$C$224,$C313,'TL10'!$J$10:$J$224),0),
IF('TL10'!$B$229=N$3,SUMIF('TL10'!$C$238:$C$451,$C313,'TL10'!$J$238:$J$451),0),
IF('TL11'!$B$3=N$3,SUMIF('TL11'!$C$10:$C$224,$C313,'TL11'!$J$10:$J$224),0),
IF('TL11'!$B$229=N$3,SUMIF('TL11'!$C$238:$C$451,$C313,'TL11'!$J$238:$J$451),0),
IF('TL12'!$B$3=N$3,SUMIF('TL12'!$C$10:$C$224,$C313,'TL12'!$J$10:$J$224),0),
IF('TL12'!$B$229=N$3,SUMIF('TL12'!$C$238:$C$451,$C313,'TL12'!$J$238:$J$451),0),
IF('TL13'!$B$3=N$3,SUMIF('TL13'!$C$10:$C$224,$C313,'TL13'!$J$10:$J$224),0),
IF('TL13'!$B$229=N$3,SUMIF('TL13'!$C$238:$C$451,$C313,'TL13'!$J$238:$J$451),0),
IF('TL14'!$B$3=N$3,SUMIF('TL14'!$C$10:$C$224,$C313,'TL14'!$J$10:$J$224),0),
IF('TL14'!$B$229=N$3,SUMIF('TL14'!$C$238:$C$451,$C313,'TL14'!$J$238:$J$451),0),
IF('TL15'!$B$3=N$3,SUMIF('TL15'!$C$10:$C$224,$C313,'TL15'!$J$10:$J$224),0),
IF('TL15'!$B$229=N$3,SUMIF('TL15'!$C$238:$C$451,$C313,'TL15'!$J$238:$J$451),0),
IF('TL16'!$B$3=N$3,SUMIF('TL16'!$C$10:$C$224,$C313,'TL16'!$J$10:$J$224),0),
IF('TL16'!$B$229=N$3,SUMIF('TL16'!$C$238:$C$451,$C313,'TL16'!$J$238:$J$451),0),
IF('TL17'!$B$3=N$3,SUMIF('TL17'!$C$10:$C$224,$C313,'TL17'!$J$10:$J$224),0),
IF('TL17'!$B$229=N$3,SUMIF('TL17'!$C$238:$C$451,$C313,'TL17'!$J$238:$J$451),0),
IF('TL18'!$B$3=N$3,SUMIF('TL18'!$C$10:$C$224,$C313,'TL18'!$J$10:$J$224),0),
IF('TL18'!$B$229=N$3,SUMIF('TL18'!$C$238:$C$451,$C313,'TL18'!$J$238:$J$451),0),
IF('TL19'!$B$3=N$3,SUMIF('TL19'!$C$10:$C$224,$C313,'TL19'!$J$10:$J$224),0),
IF('TL19'!$B$229=N$3,SUMIF('TL19'!$C$238:$C$451,$C313,'TL19'!$J$238:$J$451),0)
),0)</f>
        <v>0</v>
      </c>
      <c r="O313" s="9">
        <f>IFERROR(SUM(
IF('TL01'!$B$3=O$3,SUMIF('TL01'!$C$10:$C$224,$C313,'TL01'!$J$10:$J$224),0),
IF('TL01'!$B$229=O$3,SUMIF('TL01'!$C$238:$C$451,$C313,'TL01'!$J$238:$J$451),0),
IF('TL02'!$B$3=O$3,SUMIF('TL02'!$C$10:$C$224,$C313,'TL02'!$J$10:$J$224),0),
IF('TL02'!$B$229=O$3,SUMIF('TL02'!$C$238:$C$451,$C313,'TL02'!$J$238:$J$451),0),
IF('TL03'!$B$3=O$3,SUMIF('TL03'!$C$10:$C$224,$C313,'TL03'!$J$10:$J$224),0),
IF('TL03'!$B$229=O$3,SUMIF('TL03'!$C$238:$C$451,$C313,'TL03'!$J$238:$J$451),0),
IF('TL04'!$B$3=O$3,SUMIF('TL04'!$C$10:$C$224,$C313,'TL04'!$J$10:$J$224),0),
IF('TL04'!$B$229=O$3,SUMIF('TL04'!$C$238:$C$451,$C313,'TL04'!$J$238:$J$451),0),
IF('TL05'!$B$3=O$3,SUMIF('TL05'!$C$10:$C$224,$C313,'TL05'!$J$10:$J$224),0),
IF('TL05'!$B$229=O$3,SUMIF('TL05'!$C$238:$C$451,$C313,'TL05'!$J$238:$J$451),0),
IF('TL06'!$B$3=O$3,SUMIF('TL06'!$C$10:$C$224,$C313,'TL06'!$J$10:$J$224),0),
IF('TL06'!$B$229=O$3,SUMIF('TL06'!$C$238:$C$451,$C313,'TL06'!$J$238:$J$451),0),
IF('TL07'!$B$3=O$3,SUMIF('TL07'!$C$10:$C$224,$C313,'TL07'!$J$10:$J$224),0),
IF('TL07'!$B$229=O$3,SUMIF('TL07'!$C$238:$C$451,$C313,'TL07'!$J$238:$J$451),0),
IF('TL08'!$B$3=O$3,SUMIF('TL08'!$C$10:$C$224,$C313,'TL08'!$J$10:$J$224),0),
IF('TL08'!$B$229=O$3,SUMIF('TL08'!$C$238:$C$451,$C313,'TL08'!$J$238:$J$451),0),
IF('TL09'!$B$3=O$3,SUMIF('TL09'!$C$10:$C$224,$C313,'TL09'!$J$10:$J$224),0),
IF('TL09'!$B$229=O$3,SUMIF('TL09'!$C$238:$C$451,$C313,'TL09'!$J$238:$J$451),0),
IF('TL10'!$B$3=O$3,SUMIF('TL10'!$C$10:$C$224,$C313,'TL10'!$J$10:$J$224),0),
IF('TL10'!$B$229=O$3,SUMIF('TL10'!$C$238:$C$451,$C313,'TL10'!$J$238:$J$451),0),
IF('TL11'!$B$3=O$3,SUMIF('TL11'!$C$10:$C$224,$C313,'TL11'!$J$10:$J$224),0),
IF('TL11'!$B$229=O$3,SUMIF('TL11'!$C$238:$C$451,$C313,'TL11'!$J$238:$J$451),0),
IF('TL12'!$B$3=O$3,SUMIF('TL12'!$C$10:$C$224,$C313,'TL12'!$J$10:$J$224),0),
IF('TL12'!$B$229=O$3,SUMIF('TL12'!$C$238:$C$451,$C313,'TL12'!$J$238:$J$451),0),
IF('TL13'!$B$3=O$3,SUMIF('TL13'!$C$10:$C$224,$C313,'TL13'!$J$10:$J$224),0),
IF('TL13'!$B$229=O$3,SUMIF('TL13'!$C$238:$C$451,$C313,'TL13'!$J$238:$J$451),0),
IF('TL14'!$B$3=O$3,SUMIF('TL14'!$C$10:$C$224,$C313,'TL14'!$J$10:$J$224),0),
IF('TL14'!$B$229=O$3,SUMIF('TL14'!$C$238:$C$451,$C313,'TL14'!$J$238:$J$451),0),
IF('TL15'!$B$3=O$3,SUMIF('TL15'!$C$10:$C$224,$C313,'TL15'!$J$10:$J$224),0),
IF('TL15'!$B$229=O$3,SUMIF('TL15'!$C$238:$C$451,$C313,'TL15'!$J$238:$J$451),0),
IF('TL16'!$B$3=O$3,SUMIF('TL16'!$C$10:$C$224,$C313,'TL16'!$J$10:$J$224),0),
IF('TL16'!$B$229=O$3,SUMIF('TL16'!$C$238:$C$451,$C313,'TL16'!$J$238:$J$451),0),
IF('TL17'!$B$3=O$3,SUMIF('TL17'!$C$10:$C$224,$C313,'TL17'!$J$10:$J$224),0),
IF('TL17'!$B$229=O$3,SUMIF('TL17'!$C$238:$C$451,$C313,'TL17'!$J$238:$J$451),0),
IF('TL18'!$B$3=O$3,SUMIF('TL18'!$C$10:$C$224,$C313,'TL18'!$J$10:$J$224),0),
IF('TL18'!$B$229=O$3,SUMIF('TL18'!$C$238:$C$451,$C313,'TL18'!$J$238:$J$451),0),
IF('TL19'!$B$3=O$3,SUMIF('TL19'!$C$10:$C$224,$C313,'TL19'!$J$10:$J$224),0),
IF('TL19'!$B$229=O$3,SUMIF('TL19'!$C$238:$C$451,$C313,'TL19'!$J$238:$J$451),0)
),0)</f>
        <v>0</v>
      </c>
      <c r="P313" s="9">
        <f>IFERROR(SUM(
IF('TL01'!$B$3=P$3,SUMIF('TL01'!$C$10:$C$224,$C313,'TL01'!$J$10:$J$224),0),
IF('TL01'!$B$229=P$3,SUMIF('TL01'!$C$238:$C$451,$C313,'TL01'!$J$238:$J$451),0),
IF('TL02'!$B$3=P$3,SUMIF('TL02'!$C$10:$C$224,$C313,'TL02'!$J$10:$J$224),0),
IF('TL02'!$B$229=P$3,SUMIF('TL02'!$C$238:$C$451,$C313,'TL02'!$J$238:$J$451),0),
IF('TL03'!$B$3=P$3,SUMIF('TL03'!$C$10:$C$224,$C313,'TL03'!$J$10:$J$224),0),
IF('TL03'!$B$229=P$3,SUMIF('TL03'!$C$238:$C$451,$C313,'TL03'!$J$238:$J$451),0),
IF('TL04'!$B$3=P$3,SUMIF('TL04'!$C$10:$C$224,$C313,'TL04'!$J$10:$J$224),0),
IF('TL04'!$B$229=P$3,SUMIF('TL04'!$C$238:$C$451,$C313,'TL04'!$J$238:$J$451),0),
IF('TL05'!$B$3=P$3,SUMIF('TL05'!$C$10:$C$224,$C313,'TL05'!$J$10:$J$224),0),
IF('TL05'!$B$229=P$3,SUMIF('TL05'!$C$238:$C$451,$C313,'TL05'!$J$238:$J$451),0),
IF('TL06'!$B$3=P$3,SUMIF('TL06'!$C$10:$C$224,$C313,'TL06'!$J$10:$J$224),0),
IF('TL06'!$B$229=P$3,SUMIF('TL06'!$C$238:$C$451,$C313,'TL06'!$J$238:$J$451),0),
IF('TL07'!$B$3=P$3,SUMIF('TL07'!$C$10:$C$224,$C313,'TL07'!$J$10:$J$224),0),
IF('TL07'!$B$229=P$3,SUMIF('TL07'!$C$238:$C$451,$C313,'TL07'!$J$238:$J$451),0),
IF('TL08'!$B$3=P$3,SUMIF('TL08'!$C$10:$C$224,$C313,'TL08'!$J$10:$J$224),0),
IF('TL08'!$B$229=P$3,SUMIF('TL08'!$C$238:$C$451,$C313,'TL08'!$J$238:$J$451),0),
IF('TL09'!$B$3=P$3,SUMIF('TL09'!$C$10:$C$224,$C313,'TL09'!$J$10:$J$224),0),
IF('TL09'!$B$229=P$3,SUMIF('TL09'!$C$238:$C$451,$C313,'TL09'!$J$238:$J$451),0),
IF('TL10'!$B$3=P$3,SUMIF('TL10'!$C$10:$C$224,$C313,'TL10'!$J$10:$J$224),0),
IF('TL10'!$B$229=P$3,SUMIF('TL10'!$C$238:$C$451,$C313,'TL10'!$J$238:$J$451),0),
IF('TL11'!$B$3=P$3,SUMIF('TL11'!$C$10:$C$224,$C313,'TL11'!$J$10:$J$224),0),
IF('TL11'!$B$229=P$3,SUMIF('TL11'!$C$238:$C$451,$C313,'TL11'!$J$238:$J$451),0),
IF('TL12'!$B$3=P$3,SUMIF('TL12'!$C$10:$C$224,$C313,'TL12'!$J$10:$J$224),0),
IF('TL12'!$B$229=P$3,SUMIF('TL12'!$C$238:$C$451,$C313,'TL12'!$J$238:$J$451),0),
IF('TL13'!$B$3=P$3,SUMIF('TL13'!$C$10:$C$224,$C313,'TL13'!$J$10:$J$224),0),
IF('TL13'!$B$229=P$3,SUMIF('TL13'!$C$238:$C$451,$C313,'TL13'!$J$238:$J$451),0),
IF('TL14'!$B$3=P$3,SUMIF('TL14'!$C$10:$C$224,$C313,'TL14'!$J$10:$J$224),0),
IF('TL14'!$B$229=P$3,SUMIF('TL14'!$C$238:$C$451,$C313,'TL14'!$J$238:$J$451),0),
IF('TL15'!$B$3=P$3,SUMIF('TL15'!$C$10:$C$224,$C313,'TL15'!$J$10:$J$224),0),
IF('TL15'!$B$229=P$3,SUMIF('TL15'!$C$238:$C$451,$C313,'TL15'!$J$238:$J$451),0),
IF('TL16'!$B$3=P$3,SUMIF('TL16'!$C$10:$C$224,$C313,'TL16'!$J$10:$J$224),0),
IF('TL16'!$B$229=P$3,SUMIF('TL16'!$C$238:$C$451,$C313,'TL16'!$J$238:$J$451),0),
IF('TL17'!$B$3=P$3,SUMIF('TL17'!$C$10:$C$224,$C313,'TL17'!$J$10:$J$224),0),
IF('TL17'!$B$229=P$3,SUMIF('TL17'!$C$238:$C$451,$C313,'TL17'!$J$238:$J$451),0),
IF('TL18'!$B$3=P$3,SUMIF('TL18'!$C$10:$C$224,$C313,'TL18'!$J$10:$J$224),0),
IF('TL18'!$B$229=P$3,SUMIF('TL18'!$C$238:$C$451,$C313,'TL18'!$J$238:$J$451),0),
IF('TL19'!$B$3=P$3,SUMIF('TL19'!$C$10:$C$224,$C313,'TL19'!$J$10:$J$224),0),
IF('TL19'!$B$229=P$3,SUMIF('TL19'!$C$238:$C$451,$C313,'TL19'!$J$238:$J$451),0)
),0)</f>
        <v>0</v>
      </c>
      <c r="Q313" s="9">
        <f>IFERROR(SUM(
IF('TL01'!$B$3=Q$3,SUMIF('TL01'!$C$10:$C$224,$C313,'TL01'!$J$10:$J$224),0),
IF('TL01'!$B$229=Q$3,SUMIF('TL01'!$C$238:$C$451,$C313,'TL01'!$J$238:$J$451),0),
IF('TL02'!$B$3=Q$3,SUMIF('TL02'!$C$10:$C$224,$C313,'TL02'!$J$10:$J$224),0),
IF('TL02'!$B$229=Q$3,SUMIF('TL02'!$C$238:$C$451,$C313,'TL02'!$J$238:$J$451),0),
IF('TL03'!$B$3=Q$3,SUMIF('TL03'!$C$10:$C$224,$C313,'TL03'!$J$10:$J$224),0),
IF('TL03'!$B$229=Q$3,SUMIF('TL03'!$C$238:$C$451,$C313,'TL03'!$J$238:$J$451),0),
IF('TL04'!$B$3=Q$3,SUMIF('TL04'!$C$10:$C$224,$C313,'TL04'!$J$10:$J$224),0),
IF('TL04'!$B$229=Q$3,SUMIF('TL04'!$C$238:$C$451,$C313,'TL04'!$J$238:$J$451),0),
IF('TL05'!$B$3=Q$3,SUMIF('TL05'!$C$10:$C$224,$C313,'TL05'!$J$10:$J$224),0),
IF('TL05'!$B$229=Q$3,SUMIF('TL05'!$C$238:$C$451,$C313,'TL05'!$J$238:$J$451),0),
IF('TL06'!$B$3=Q$3,SUMIF('TL06'!$C$10:$C$224,$C313,'TL06'!$J$10:$J$224),0),
IF('TL06'!$B$229=Q$3,SUMIF('TL06'!$C$238:$C$451,$C313,'TL06'!$J$238:$J$451),0),
IF('TL07'!$B$3=Q$3,SUMIF('TL07'!$C$10:$C$224,$C313,'TL07'!$J$10:$J$224),0),
IF('TL07'!$B$229=Q$3,SUMIF('TL07'!$C$238:$C$451,$C313,'TL07'!$J$238:$J$451),0),
IF('TL08'!$B$3=Q$3,SUMIF('TL08'!$C$10:$C$224,$C313,'TL08'!$J$10:$J$224),0),
IF('TL08'!$B$229=Q$3,SUMIF('TL08'!$C$238:$C$451,$C313,'TL08'!$J$238:$J$451),0),
IF('TL09'!$B$3=Q$3,SUMIF('TL09'!$C$10:$C$224,$C313,'TL09'!$J$10:$J$224),0),
IF('TL09'!$B$229=Q$3,SUMIF('TL09'!$C$238:$C$451,$C313,'TL09'!$J$238:$J$451),0),
IF('TL10'!$B$3=Q$3,SUMIF('TL10'!$C$10:$C$224,$C313,'TL10'!$J$10:$J$224),0),
IF('TL10'!$B$229=Q$3,SUMIF('TL10'!$C$238:$C$451,$C313,'TL10'!$J$238:$J$451),0),
IF('TL11'!$B$3=Q$3,SUMIF('TL11'!$C$10:$C$224,$C313,'TL11'!$J$10:$J$224),0),
IF('TL11'!$B$229=Q$3,SUMIF('TL11'!$C$238:$C$451,$C313,'TL11'!$J$238:$J$451),0),
IF('TL12'!$B$3=Q$3,SUMIF('TL12'!$C$10:$C$224,$C313,'TL12'!$J$10:$J$224),0),
IF('TL12'!$B$229=Q$3,SUMIF('TL12'!$C$238:$C$451,$C313,'TL12'!$J$238:$J$451),0),
IF('TL13'!$B$3=Q$3,SUMIF('TL13'!$C$10:$C$224,$C313,'TL13'!$J$10:$J$224),0),
IF('TL13'!$B$229=Q$3,SUMIF('TL13'!$C$238:$C$451,$C313,'TL13'!$J$238:$J$451),0),
IF('TL14'!$B$3=Q$3,SUMIF('TL14'!$C$10:$C$224,$C313,'TL14'!$J$10:$J$224),0),
IF('TL14'!$B$229=Q$3,SUMIF('TL14'!$C$238:$C$451,$C313,'TL14'!$J$238:$J$451),0),
IF('TL15'!$B$3=Q$3,SUMIF('TL15'!$C$10:$C$224,$C313,'TL15'!$J$10:$J$224),0),
IF('TL15'!$B$229=Q$3,SUMIF('TL15'!$C$238:$C$451,$C313,'TL15'!$J$238:$J$451),0),
IF('TL16'!$B$3=Q$3,SUMIF('TL16'!$C$10:$C$224,$C313,'TL16'!$J$10:$J$224),0),
IF('TL16'!$B$229=Q$3,SUMIF('TL16'!$C$238:$C$451,$C313,'TL16'!$J$238:$J$451),0),
IF('TL17'!$B$3=Q$3,SUMIF('TL17'!$C$10:$C$224,$C313,'TL17'!$J$10:$J$224),0),
IF('TL17'!$B$229=Q$3,SUMIF('TL17'!$C$238:$C$451,$C313,'TL17'!$J$238:$J$451),0),
IF('TL18'!$B$3=Q$3,SUMIF('TL18'!$C$10:$C$224,$C313,'TL18'!$J$10:$J$224),0),
IF('TL18'!$B$229=Q$3,SUMIF('TL18'!$C$238:$C$451,$C313,'TL18'!$J$238:$J$451),0),
IF('TL19'!$B$3=Q$3,SUMIF('TL19'!$C$10:$C$224,$C313,'TL19'!$J$10:$J$224),0),
IF('TL19'!$B$229=Q$3,SUMIF('TL19'!$C$238:$C$451,$C313,'TL19'!$J$238:$J$451),0)
),0)</f>
        <v>0</v>
      </c>
      <c r="R313" s="9">
        <f>IFERROR(
SUM(
SUMIF('TL01'!C:C,C313,'TL01'!J:J),
SUMIF('TL02'!C:C,C313,'TL02'!J:J),
SUMIF('TL03'!C:C,C313,'TL03'!J:J),
SUMIF('TL04'!C:C,C313,'TL04'!J:J),
SUMIF('TL05'!C:C,C313,'TL05'!J:J),
SUMIF('TL06'!C:C,C313,'TL06'!J:J),
SUMIF('TL07'!C:C,C313,'TL07'!J:J),
SUMIF('TL08'!C:C,C313,'TL08'!J:J),
SUMIF('TL09'!C:C,C313,'TL09'!J:J),
SUMIF('TL10'!C:C,C313,'TL10'!J:J),
SUMIF('TL11'!C:C,C313,'TL11'!J:J),
SUMIF('TL12'!C:C,C313,'TL12'!J:J),
SUMIF('TL13'!C:C,C313,'TL13'!J:J),
SUMIF('TL14'!C:C,C313,'TL14'!J:J),
SUMIF('TL15'!C:C,C313,'TL15'!J:J),
SUMIF('TL16'!C:C,C313,'TL16'!J:J),
SUMIF('TL17'!C:C,C313,'TL17'!J:J),
SUMIF('TL18'!C:C,C313,'TL18'!J:J),SUMIF('TL19'!C:C,C313,'TL19'!J:J))
,0)</f>
        <v>0</v>
      </c>
      <c r="S313" s="17" t="str">
        <f>IFERROR(__xludf.DUMMYFUNCTION("IFERROR(VLOOKUP(C313,
IMPORTRANGE(""1wULbzX32WdYsx-lj2U3uUNBBe2INVIRDtcK0d-Dvl90"",
""26-27!C:G""),
5,
FALSE),
"""")"),"")</f>
        <v/>
      </c>
      <c r="T313" s="9"/>
      <c r="U313" s="92">
        <f t="shared" si="2"/>
        <v>0</v>
      </c>
      <c r="V313" s="93">
        <f t="shared" si="3"/>
        <v>0</v>
      </c>
    </row>
    <row r="314" ht="15.75" hidden="1" customHeight="1">
      <c r="A314" s="4"/>
      <c r="B314" s="125" t="s">
        <v>5</v>
      </c>
      <c r="C314" s="4" t="s">
        <v>1037</v>
      </c>
      <c r="D314" s="6"/>
      <c r="E314" s="9"/>
      <c r="F314" s="4" t="s">
        <v>1032</v>
      </c>
      <c r="G314" s="90" t="str">
        <f t="shared" si="5"/>
        <v>📄 Ver bula</v>
      </c>
      <c r="H314" s="9">
        <v>1.2</v>
      </c>
      <c r="I314" s="1"/>
      <c r="J314" s="9">
        <f>IFERROR(SUM(
IF('TL01'!$B$3=J$3,SUMIF('TL01'!$C$10:$C$224,$C314,'TL01'!$J$10:$J$224),0),
IF('TL01'!$B$229=J$3,SUMIF('TL01'!$C$238:$C$451,$C314,'TL01'!$J$238:$J$451),0),
IF('TL02'!$B$3=J$3,SUMIF('TL02'!$C$10:$C$224,$C314,'TL02'!$J$10:$J$224),0),
IF('TL02'!$B$229=J$3,SUMIF('TL02'!$C$238:$C$451,$C314,'TL02'!$J$238:$J$451),0),
IF('TL03'!$B$3=J$3,SUMIF('TL03'!$C$10:$C$224,$C314,'TL03'!$J$10:$J$224),0),
IF('TL03'!$B$229=J$3,SUMIF('TL03'!$C$238:$C$451,$C314,'TL03'!$J$238:$J$451),0),
IF('TL04'!$B$3=J$3,SUMIF('TL04'!$C$10:$C$224,$C314,'TL04'!$J$10:$J$224),0),
IF('TL04'!$B$229=J$3,SUMIF('TL04'!$C$238:$C$451,$C314,'TL04'!$J$238:$J$451),0),
IF('TL05'!$B$3=J$3,SUMIF('TL05'!$C$10:$C$224,$C314,'TL05'!$J$10:$J$224),0),
IF('TL05'!$B$229=J$3,SUMIF('TL05'!$C$238:$C$451,$C314,'TL05'!$J$238:$J$451),0),
IF('TL06'!$B$3=J$3,SUMIF('TL06'!$C$10:$C$224,$C314,'TL06'!$J$10:$J$224),0),
IF('TL06'!$B$229=J$3,SUMIF('TL06'!$C$238:$C$451,$C314,'TL06'!$J$238:$J$451),0),
IF('TL07'!$B$3=J$3,SUMIF('TL07'!$C$10:$C$224,$C314,'TL07'!$J$10:$J$224),0),
IF('TL07'!$B$229=J$3,SUMIF('TL07'!$C$238:$C$451,$C314,'TL07'!$J$238:$J$451),0),
IF('TL08'!$B$3=J$3,SUMIF('TL08'!$C$10:$C$224,$C314,'TL08'!$J$10:$J$224),0),
IF('TL08'!$B$229=J$3,SUMIF('TL08'!$C$238:$C$451,$C314,'TL08'!$J$238:$J$451),0),
IF('TL09'!$B$3=J$3,SUMIF('TL09'!$C$10:$C$224,$C314,'TL09'!$J$10:$J$224),0),
IF('TL09'!$B$229=J$3,SUMIF('TL09'!$C$238:$C$451,$C314,'TL09'!$J$238:$J$451),0),
IF('TL10'!$B$3=J$3,SUMIF('TL10'!$C$10:$C$224,$C314,'TL10'!$J$10:$J$224),0),
IF('TL10'!$B$229=J$3,SUMIF('TL10'!$C$238:$C$451,$C314,'TL10'!$J$238:$J$451),0),
IF('TL11'!$B$3=J$3,SUMIF('TL11'!$C$10:$C$224,$C314,'TL11'!$J$10:$J$224),0),
IF('TL11'!$B$229=J$3,SUMIF('TL11'!$C$238:$C$451,$C314,'TL11'!$J$238:$J$451),0),
IF('TL12'!$B$3=J$3,SUMIF('TL12'!$C$10:$C$224,$C314,'TL12'!$J$10:$J$224),0),
IF('TL12'!$B$229=J$3,SUMIF('TL12'!$C$238:$C$451,$C314,'TL12'!$J$238:$J$451),0),
IF('TL13'!$B$3=J$3,SUMIF('TL13'!$C$10:$C$224,$C314,'TL13'!$J$10:$J$224),0),
IF('TL13'!$B$229=J$3,SUMIF('TL13'!$C$238:$C$451,$C314,'TL13'!$J$238:$J$451),0),
IF('TL14'!$B$3=J$3,SUMIF('TL14'!$C$10:$C$224,$C314,'TL14'!$J$10:$J$224),0),
IF('TL14'!$B$229=J$3,SUMIF('TL14'!$C$238:$C$451,$C314,'TL14'!$J$238:$J$451),0),
IF('TL15'!$B$3=J$3,SUMIF('TL15'!$C$10:$C$224,$C314,'TL15'!$J$10:$J$224),0),
IF('TL15'!$B$229=J$3,SUMIF('TL15'!$C$238:$C$451,$C314,'TL15'!$J$238:$J$451),0),
IF('TL16'!$B$3=J$3,SUMIF('TL16'!$C$10:$C$224,$C314,'TL16'!$J$10:$J$224),0),
IF('TL16'!$B$229=J$3,SUMIF('TL16'!$C$238:$C$451,$C314,'TL16'!$J$238:$J$451),0),
IF('TL17'!$B$3=J$3,SUMIF('TL17'!$C$10:$C$224,$C314,'TL17'!$J$10:$J$224),0),
IF('TL17'!$B$229=J$3,SUMIF('TL17'!$C$238:$C$451,$C314,'TL17'!$J$238:$J$451),0),
IF('TL18'!$B$3=J$3,SUMIF('TL18'!$C$10:$C$224,$C314,'TL18'!$J$10:$J$224),0),
IF('TL18'!$B$229=J$3,SUMIF('TL18'!$C$238:$C$451,$C314,'TL18'!$J$238:$J$451),0),
IF('TL19'!$B$3=J$3,SUMIF('TL19'!$C$10:$C$224,$C314,'TL19'!$J$10:$J$224),0),
IF('TL19'!$B$229=J$3,SUMIF('TL19'!$C$238:$C$451,$C314,'TL19'!$J$238:$J$451),0)
),0)</f>
        <v>0</v>
      </c>
      <c r="K314" s="9">
        <f>IFERROR(SUM(
IF('TL01'!$B$3=K$3,SUMIF('TL01'!$C$10:$C$224,$C314,'TL01'!$J$10:$J$224),0),
IF('TL01'!$B$229=K$3,SUMIF('TL01'!$C$238:$C$451,$C314,'TL01'!$J$238:$J$451),0),
IF('TL02'!$B$3=K$3,SUMIF('TL02'!$C$10:$C$224,$C314,'TL02'!$J$10:$J$224),0),
IF('TL02'!$B$229=K$3,SUMIF('TL02'!$C$238:$C$451,$C314,'TL02'!$J$238:$J$451),0),
IF('TL03'!$B$3=K$3,SUMIF('TL03'!$C$10:$C$224,$C314,'TL03'!$J$10:$J$224),0),
IF('TL03'!$B$229=K$3,SUMIF('TL03'!$C$238:$C$451,$C314,'TL03'!$J$238:$J$451),0),
IF('TL04'!$B$3=K$3,SUMIF('TL04'!$C$10:$C$224,$C314,'TL04'!$J$10:$J$224),0),
IF('TL04'!$B$229=K$3,SUMIF('TL04'!$C$238:$C$451,$C314,'TL04'!$J$238:$J$451),0),
IF('TL05'!$B$3=K$3,SUMIF('TL05'!$C$10:$C$224,$C314,'TL05'!$J$10:$J$224),0),
IF('TL05'!$B$229=K$3,SUMIF('TL05'!$C$238:$C$451,$C314,'TL05'!$J$238:$J$451),0),
IF('TL06'!$B$3=K$3,SUMIF('TL06'!$C$10:$C$224,$C314,'TL06'!$J$10:$J$224),0),
IF('TL06'!$B$229=K$3,SUMIF('TL06'!$C$238:$C$451,$C314,'TL06'!$J$238:$J$451),0),
IF('TL07'!$B$3=K$3,SUMIF('TL07'!$C$10:$C$224,$C314,'TL07'!$J$10:$J$224),0),
IF('TL07'!$B$229=K$3,SUMIF('TL07'!$C$238:$C$451,$C314,'TL07'!$J$238:$J$451),0),
IF('TL08'!$B$3=K$3,SUMIF('TL08'!$C$10:$C$224,$C314,'TL08'!$J$10:$J$224),0),
IF('TL08'!$B$229=K$3,SUMIF('TL08'!$C$238:$C$451,$C314,'TL08'!$J$238:$J$451),0),
IF('TL09'!$B$3=K$3,SUMIF('TL09'!$C$10:$C$224,$C314,'TL09'!$J$10:$J$224),0),
IF('TL09'!$B$229=K$3,SUMIF('TL09'!$C$238:$C$451,$C314,'TL09'!$J$238:$J$451),0),
IF('TL10'!$B$3=K$3,SUMIF('TL10'!$C$10:$C$224,$C314,'TL10'!$J$10:$J$224),0),
IF('TL10'!$B$229=K$3,SUMIF('TL10'!$C$238:$C$451,$C314,'TL10'!$J$238:$J$451),0),
IF('TL11'!$B$3=K$3,SUMIF('TL11'!$C$10:$C$224,$C314,'TL11'!$J$10:$J$224),0),
IF('TL11'!$B$229=K$3,SUMIF('TL11'!$C$238:$C$451,$C314,'TL11'!$J$238:$J$451),0),
IF('TL12'!$B$3=K$3,SUMIF('TL12'!$C$10:$C$224,$C314,'TL12'!$J$10:$J$224),0),
IF('TL12'!$B$229=K$3,SUMIF('TL12'!$C$238:$C$451,$C314,'TL12'!$J$238:$J$451),0),
IF('TL13'!$B$3=K$3,SUMIF('TL13'!$C$10:$C$224,$C314,'TL13'!$J$10:$J$224),0),
IF('TL13'!$B$229=K$3,SUMIF('TL13'!$C$238:$C$451,$C314,'TL13'!$J$238:$J$451),0),
IF('TL14'!$B$3=K$3,SUMIF('TL14'!$C$10:$C$224,$C314,'TL14'!$J$10:$J$224),0),
IF('TL14'!$B$229=K$3,SUMIF('TL14'!$C$238:$C$451,$C314,'TL14'!$J$238:$J$451),0),
IF('TL15'!$B$3=K$3,SUMIF('TL15'!$C$10:$C$224,$C314,'TL15'!$J$10:$J$224),0),
IF('TL15'!$B$229=K$3,SUMIF('TL15'!$C$238:$C$451,$C314,'TL15'!$J$238:$J$451),0),
IF('TL16'!$B$3=K$3,SUMIF('TL16'!$C$10:$C$224,$C314,'TL16'!$J$10:$J$224),0),
IF('TL16'!$B$229=K$3,SUMIF('TL16'!$C$238:$C$451,$C314,'TL16'!$J$238:$J$451),0),
IF('TL17'!$B$3=K$3,SUMIF('TL17'!$C$10:$C$224,$C314,'TL17'!$J$10:$J$224),0),
IF('TL17'!$B$229=K$3,SUMIF('TL17'!$C$238:$C$451,$C314,'TL17'!$J$238:$J$451),0),
IF('TL18'!$B$3=K$3,SUMIF('TL18'!$C$10:$C$224,$C314,'TL18'!$J$10:$J$224),0),
IF('TL18'!$B$229=K$3,SUMIF('TL18'!$C$238:$C$451,$C314,'TL18'!$J$238:$J$451),0),
IF('TL19'!$B$3=K$3,SUMIF('TL19'!$C$10:$C$224,$C314,'TL19'!$J$10:$J$224),0),
IF('TL19'!$B$229=K$3,SUMIF('TL19'!$C$238:$C$451,$C314,'TL19'!$J$238:$J$451),0)
),0)</f>
        <v>0</v>
      </c>
      <c r="L314" s="9">
        <f>IFERROR(SUM(
IF('TL01'!$B$3=L$3,SUMIF('TL01'!$C$10:$C$224,$C314,'TL01'!$J$10:$J$224),0),
IF('TL01'!$B$229=L$3,SUMIF('TL01'!$C$238:$C$451,$C314,'TL01'!$J$238:$J$451),0),
IF('TL02'!$B$3=L$3,SUMIF('TL02'!$C$10:$C$224,$C314,'TL02'!$J$10:$J$224),0),
IF('TL02'!$B$229=L$3,SUMIF('TL02'!$C$238:$C$451,$C314,'TL02'!$J$238:$J$451),0),
IF('TL03'!$B$3=L$3,SUMIF('TL03'!$C$10:$C$224,$C314,'TL03'!$J$10:$J$224),0),
IF('TL03'!$B$229=L$3,SUMIF('TL03'!$C$238:$C$451,$C314,'TL03'!$J$238:$J$451),0),
IF('TL04'!$B$3=L$3,SUMIF('TL04'!$C$10:$C$224,$C314,'TL04'!$J$10:$J$224),0),
IF('TL04'!$B$229=L$3,SUMIF('TL04'!$C$238:$C$451,$C314,'TL04'!$J$238:$J$451),0),
IF('TL05'!$B$3=L$3,SUMIF('TL05'!$C$10:$C$224,$C314,'TL05'!$J$10:$J$224),0),
IF('TL05'!$B$229=L$3,SUMIF('TL05'!$C$238:$C$451,$C314,'TL05'!$J$238:$J$451),0),
IF('TL06'!$B$3=L$3,SUMIF('TL06'!$C$10:$C$224,$C314,'TL06'!$J$10:$J$224),0),
IF('TL06'!$B$229=L$3,SUMIF('TL06'!$C$238:$C$451,$C314,'TL06'!$J$238:$J$451),0),
IF('TL07'!$B$3=L$3,SUMIF('TL07'!$C$10:$C$224,$C314,'TL07'!$J$10:$J$224),0),
IF('TL07'!$B$229=L$3,SUMIF('TL07'!$C$238:$C$451,$C314,'TL07'!$J$238:$J$451),0),
IF('TL08'!$B$3=L$3,SUMIF('TL08'!$C$10:$C$224,$C314,'TL08'!$J$10:$J$224),0),
IF('TL08'!$B$229=L$3,SUMIF('TL08'!$C$238:$C$451,$C314,'TL08'!$J$238:$J$451),0),
IF('TL09'!$B$3=L$3,SUMIF('TL09'!$C$10:$C$224,$C314,'TL09'!$J$10:$J$224),0),
IF('TL09'!$B$229=L$3,SUMIF('TL09'!$C$238:$C$451,$C314,'TL09'!$J$238:$J$451),0),
IF('TL10'!$B$3=L$3,SUMIF('TL10'!$C$10:$C$224,$C314,'TL10'!$J$10:$J$224),0),
IF('TL10'!$B$229=L$3,SUMIF('TL10'!$C$238:$C$451,$C314,'TL10'!$J$238:$J$451),0),
IF('TL11'!$B$3=L$3,SUMIF('TL11'!$C$10:$C$224,$C314,'TL11'!$J$10:$J$224),0),
IF('TL11'!$B$229=L$3,SUMIF('TL11'!$C$238:$C$451,$C314,'TL11'!$J$238:$J$451),0),
IF('TL12'!$B$3=L$3,SUMIF('TL12'!$C$10:$C$224,$C314,'TL12'!$J$10:$J$224),0),
IF('TL12'!$B$229=L$3,SUMIF('TL12'!$C$238:$C$451,$C314,'TL12'!$J$238:$J$451),0),
IF('TL13'!$B$3=L$3,SUMIF('TL13'!$C$10:$C$224,$C314,'TL13'!$J$10:$J$224),0),
IF('TL13'!$B$229=L$3,SUMIF('TL13'!$C$238:$C$451,$C314,'TL13'!$J$238:$J$451),0),
IF('TL14'!$B$3=L$3,SUMIF('TL14'!$C$10:$C$224,$C314,'TL14'!$J$10:$J$224),0),
IF('TL14'!$B$229=L$3,SUMIF('TL14'!$C$238:$C$451,$C314,'TL14'!$J$238:$J$451),0),
IF('TL15'!$B$3=L$3,SUMIF('TL15'!$C$10:$C$224,$C314,'TL15'!$J$10:$J$224),0),
IF('TL15'!$B$229=L$3,SUMIF('TL15'!$C$238:$C$451,$C314,'TL15'!$J$238:$J$451),0),
IF('TL16'!$B$3=L$3,SUMIF('TL16'!$C$10:$C$224,$C314,'TL16'!$J$10:$J$224),0),
IF('TL16'!$B$229=L$3,SUMIF('TL16'!$C$238:$C$451,$C314,'TL16'!$J$238:$J$451),0),
IF('TL17'!$B$3=L$3,SUMIF('TL17'!$C$10:$C$224,$C314,'TL17'!$J$10:$J$224),0),
IF('TL17'!$B$229=L$3,SUMIF('TL17'!$C$238:$C$451,$C314,'TL17'!$J$238:$J$451),0),
IF('TL18'!$B$3=L$3,SUMIF('TL18'!$C$10:$C$224,$C314,'TL18'!$J$10:$J$224),0),
IF('TL18'!$B$229=L$3,SUMIF('TL18'!$C$238:$C$451,$C314,'TL18'!$J$238:$J$451),0),
IF('TL19'!$B$3=L$3,SUMIF('TL19'!$C$10:$C$224,$C314,'TL19'!$J$10:$J$224),0),
IF('TL19'!$B$229=L$3,SUMIF('TL19'!$C$238:$C$451,$C314,'TL19'!$J$238:$J$451),0)
),0)</f>
        <v>0</v>
      </c>
      <c r="M314" s="9">
        <f>IFERROR(SUM(
IF('TL01'!$B$3=M$3,SUMIF('TL01'!$C$10:$C$224,$C314,'TL01'!$J$10:$J$224),0),
IF('TL01'!$B$229=M$3,SUMIF('TL01'!$C$238:$C$451,$C314,'TL01'!$J$238:$J$451),0),
IF('TL02'!$B$3=M$3,SUMIF('TL02'!$C$10:$C$224,$C314,'TL02'!$J$10:$J$224),0),
IF('TL02'!$B$229=M$3,SUMIF('TL02'!$C$238:$C$451,$C314,'TL02'!$J$238:$J$451),0),
IF('TL03'!$B$3=M$3,SUMIF('TL03'!$C$10:$C$224,$C314,'TL03'!$J$10:$J$224),0),
IF('TL03'!$B$229=M$3,SUMIF('TL03'!$C$238:$C$451,$C314,'TL03'!$J$238:$J$451),0),
IF('TL04'!$B$3=M$3,SUMIF('TL04'!$C$10:$C$224,$C314,'TL04'!$J$10:$J$224),0),
IF('TL04'!$B$229=M$3,SUMIF('TL04'!$C$238:$C$451,$C314,'TL04'!$J$238:$J$451),0),
IF('TL05'!$B$3=M$3,SUMIF('TL05'!$C$10:$C$224,$C314,'TL05'!$J$10:$J$224),0),
IF('TL05'!$B$229=M$3,SUMIF('TL05'!$C$238:$C$451,$C314,'TL05'!$J$238:$J$451),0),
IF('TL06'!$B$3=M$3,SUMIF('TL06'!$C$10:$C$224,$C314,'TL06'!$J$10:$J$224),0),
IF('TL06'!$B$229=M$3,SUMIF('TL06'!$C$238:$C$451,$C314,'TL06'!$J$238:$J$451),0),
IF('TL07'!$B$3=M$3,SUMIF('TL07'!$C$10:$C$224,$C314,'TL07'!$J$10:$J$224),0),
IF('TL07'!$B$229=M$3,SUMIF('TL07'!$C$238:$C$451,$C314,'TL07'!$J$238:$J$451),0),
IF('TL08'!$B$3=M$3,SUMIF('TL08'!$C$10:$C$224,$C314,'TL08'!$J$10:$J$224),0),
IF('TL08'!$B$229=M$3,SUMIF('TL08'!$C$238:$C$451,$C314,'TL08'!$J$238:$J$451),0),
IF('TL09'!$B$3=M$3,SUMIF('TL09'!$C$10:$C$224,$C314,'TL09'!$J$10:$J$224),0),
IF('TL09'!$B$229=M$3,SUMIF('TL09'!$C$238:$C$451,$C314,'TL09'!$J$238:$J$451),0),
IF('TL10'!$B$3=M$3,SUMIF('TL10'!$C$10:$C$224,$C314,'TL10'!$J$10:$J$224),0),
IF('TL10'!$B$229=M$3,SUMIF('TL10'!$C$238:$C$451,$C314,'TL10'!$J$238:$J$451),0),
IF('TL11'!$B$3=M$3,SUMIF('TL11'!$C$10:$C$224,$C314,'TL11'!$J$10:$J$224),0),
IF('TL11'!$B$229=M$3,SUMIF('TL11'!$C$238:$C$451,$C314,'TL11'!$J$238:$J$451),0),
IF('TL12'!$B$3=M$3,SUMIF('TL12'!$C$10:$C$224,$C314,'TL12'!$J$10:$J$224),0),
IF('TL12'!$B$229=M$3,SUMIF('TL12'!$C$238:$C$451,$C314,'TL12'!$J$238:$J$451),0),
IF('TL13'!$B$3=M$3,SUMIF('TL13'!$C$10:$C$224,$C314,'TL13'!$J$10:$J$224),0),
IF('TL13'!$B$229=M$3,SUMIF('TL13'!$C$238:$C$451,$C314,'TL13'!$J$238:$J$451),0),
IF('TL14'!$B$3=M$3,SUMIF('TL14'!$C$10:$C$224,$C314,'TL14'!$J$10:$J$224),0),
IF('TL14'!$B$229=M$3,SUMIF('TL14'!$C$238:$C$451,$C314,'TL14'!$J$238:$J$451),0),
IF('TL15'!$B$3=M$3,SUMIF('TL15'!$C$10:$C$224,$C314,'TL15'!$J$10:$J$224),0),
IF('TL15'!$B$229=M$3,SUMIF('TL15'!$C$238:$C$451,$C314,'TL15'!$J$238:$J$451),0),
IF('TL16'!$B$3=M$3,SUMIF('TL16'!$C$10:$C$224,$C314,'TL16'!$J$10:$J$224),0),
IF('TL16'!$B$229=M$3,SUMIF('TL16'!$C$238:$C$451,$C314,'TL16'!$J$238:$J$451),0),
IF('TL17'!$B$3=M$3,SUMIF('TL17'!$C$10:$C$224,$C314,'TL17'!$J$10:$J$224),0),
IF('TL17'!$B$229=M$3,SUMIF('TL17'!$C$238:$C$451,$C314,'TL17'!$J$238:$J$451),0),
IF('TL18'!$B$3=M$3,SUMIF('TL18'!$C$10:$C$224,$C314,'TL18'!$J$10:$J$224),0),
IF('TL18'!$B$229=M$3,SUMIF('TL18'!$C$238:$C$451,$C314,'TL18'!$J$238:$J$451),0),
IF('TL19'!$B$3=M$3,SUMIF('TL19'!$C$10:$C$224,$C314,'TL19'!$J$10:$J$224),0),
IF('TL19'!$B$229=M$3,SUMIF('TL19'!$C$238:$C$451,$C314,'TL19'!$J$238:$J$451),0)
),0)</f>
        <v>0</v>
      </c>
      <c r="N314" s="9">
        <f>IFERROR(SUM(
IF('TL01'!$B$3=N$3,SUMIF('TL01'!$C$10:$C$224,$C314,'TL01'!$J$10:$J$224),0),
IF('TL01'!$B$229=N$3,SUMIF('TL01'!$C$238:$C$451,$C314,'TL01'!$J$238:$J$451),0),
IF('TL02'!$B$3=N$3,SUMIF('TL02'!$C$10:$C$224,$C314,'TL02'!$J$10:$J$224),0),
IF('TL02'!$B$229=N$3,SUMIF('TL02'!$C$238:$C$451,$C314,'TL02'!$J$238:$J$451),0),
IF('TL03'!$B$3=N$3,SUMIF('TL03'!$C$10:$C$224,$C314,'TL03'!$J$10:$J$224),0),
IF('TL03'!$B$229=N$3,SUMIF('TL03'!$C$238:$C$451,$C314,'TL03'!$J$238:$J$451),0),
IF('TL04'!$B$3=N$3,SUMIF('TL04'!$C$10:$C$224,$C314,'TL04'!$J$10:$J$224),0),
IF('TL04'!$B$229=N$3,SUMIF('TL04'!$C$238:$C$451,$C314,'TL04'!$J$238:$J$451),0),
IF('TL05'!$B$3=N$3,SUMIF('TL05'!$C$10:$C$224,$C314,'TL05'!$J$10:$J$224),0),
IF('TL05'!$B$229=N$3,SUMIF('TL05'!$C$238:$C$451,$C314,'TL05'!$J$238:$J$451),0),
IF('TL06'!$B$3=N$3,SUMIF('TL06'!$C$10:$C$224,$C314,'TL06'!$J$10:$J$224),0),
IF('TL06'!$B$229=N$3,SUMIF('TL06'!$C$238:$C$451,$C314,'TL06'!$J$238:$J$451),0),
IF('TL07'!$B$3=N$3,SUMIF('TL07'!$C$10:$C$224,$C314,'TL07'!$J$10:$J$224),0),
IF('TL07'!$B$229=N$3,SUMIF('TL07'!$C$238:$C$451,$C314,'TL07'!$J$238:$J$451),0),
IF('TL08'!$B$3=N$3,SUMIF('TL08'!$C$10:$C$224,$C314,'TL08'!$J$10:$J$224),0),
IF('TL08'!$B$229=N$3,SUMIF('TL08'!$C$238:$C$451,$C314,'TL08'!$J$238:$J$451),0),
IF('TL09'!$B$3=N$3,SUMIF('TL09'!$C$10:$C$224,$C314,'TL09'!$J$10:$J$224),0),
IF('TL09'!$B$229=N$3,SUMIF('TL09'!$C$238:$C$451,$C314,'TL09'!$J$238:$J$451),0),
IF('TL10'!$B$3=N$3,SUMIF('TL10'!$C$10:$C$224,$C314,'TL10'!$J$10:$J$224),0),
IF('TL10'!$B$229=N$3,SUMIF('TL10'!$C$238:$C$451,$C314,'TL10'!$J$238:$J$451),0),
IF('TL11'!$B$3=N$3,SUMIF('TL11'!$C$10:$C$224,$C314,'TL11'!$J$10:$J$224),0),
IF('TL11'!$B$229=N$3,SUMIF('TL11'!$C$238:$C$451,$C314,'TL11'!$J$238:$J$451),0),
IF('TL12'!$B$3=N$3,SUMIF('TL12'!$C$10:$C$224,$C314,'TL12'!$J$10:$J$224),0),
IF('TL12'!$B$229=N$3,SUMIF('TL12'!$C$238:$C$451,$C314,'TL12'!$J$238:$J$451),0),
IF('TL13'!$B$3=N$3,SUMIF('TL13'!$C$10:$C$224,$C314,'TL13'!$J$10:$J$224),0),
IF('TL13'!$B$229=N$3,SUMIF('TL13'!$C$238:$C$451,$C314,'TL13'!$J$238:$J$451),0),
IF('TL14'!$B$3=N$3,SUMIF('TL14'!$C$10:$C$224,$C314,'TL14'!$J$10:$J$224),0),
IF('TL14'!$B$229=N$3,SUMIF('TL14'!$C$238:$C$451,$C314,'TL14'!$J$238:$J$451),0),
IF('TL15'!$B$3=N$3,SUMIF('TL15'!$C$10:$C$224,$C314,'TL15'!$J$10:$J$224),0),
IF('TL15'!$B$229=N$3,SUMIF('TL15'!$C$238:$C$451,$C314,'TL15'!$J$238:$J$451),0),
IF('TL16'!$B$3=N$3,SUMIF('TL16'!$C$10:$C$224,$C314,'TL16'!$J$10:$J$224),0),
IF('TL16'!$B$229=N$3,SUMIF('TL16'!$C$238:$C$451,$C314,'TL16'!$J$238:$J$451),0),
IF('TL17'!$B$3=N$3,SUMIF('TL17'!$C$10:$C$224,$C314,'TL17'!$J$10:$J$224),0),
IF('TL17'!$B$229=N$3,SUMIF('TL17'!$C$238:$C$451,$C314,'TL17'!$J$238:$J$451),0),
IF('TL18'!$B$3=N$3,SUMIF('TL18'!$C$10:$C$224,$C314,'TL18'!$J$10:$J$224),0),
IF('TL18'!$B$229=N$3,SUMIF('TL18'!$C$238:$C$451,$C314,'TL18'!$J$238:$J$451),0),
IF('TL19'!$B$3=N$3,SUMIF('TL19'!$C$10:$C$224,$C314,'TL19'!$J$10:$J$224),0),
IF('TL19'!$B$229=N$3,SUMIF('TL19'!$C$238:$C$451,$C314,'TL19'!$J$238:$J$451),0)
),0)</f>
        <v>0</v>
      </c>
      <c r="O314" s="9">
        <f>IFERROR(SUM(
IF('TL01'!$B$3=O$3,SUMIF('TL01'!$C$10:$C$224,$C314,'TL01'!$J$10:$J$224),0),
IF('TL01'!$B$229=O$3,SUMIF('TL01'!$C$238:$C$451,$C314,'TL01'!$J$238:$J$451),0),
IF('TL02'!$B$3=O$3,SUMIF('TL02'!$C$10:$C$224,$C314,'TL02'!$J$10:$J$224),0),
IF('TL02'!$B$229=O$3,SUMIF('TL02'!$C$238:$C$451,$C314,'TL02'!$J$238:$J$451),0),
IF('TL03'!$B$3=O$3,SUMIF('TL03'!$C$10:$C$224,$C314,'TL03'!$J$10:$J$224),0),
IF('TL03'!$B$229=O$3,SUMIF('TL03'!$C$238:$C$451,$C314,'TL03'!$J$238:$J$451),0),
IF('TL04'!$B$3=O$3,SUMIF('TL04'!$C$10:$C$224,$C314,'TL04'!$J$10:$J$224),0),
IF('TL04'!$B$229=O$3,SUMIF('TL04'!$C$238:$C$451,$C314,'TL04'!$J$238:$J$451),0),
IF('TL05'!$B$3=O$3,SUMIF('TL05'!$C$10:$C$224,$C314,'TL05'!$J$10:$J$224),0),
IF('TL05'!$B$229=O$3,SUMIF('TL05'!$C$238:$C$451,$C314,'TL05'!$J$238:$J$451),0),
IF('TL06'!$B$3=O$3,SUMIF('TL06'!$C$10:$C$224,$C314,'TL06'!$J$10:$J$224),0),
IF('TL06'!$B$229=O$3,SUMIF('TL06'!$C$238:$C$451,$C314,'TL06'!$J$238:$J$451),0),
IF('TL07'!$B$3=O$3,SUMIF('TL07'!$C$10:$C$224,$C314,'TL07'!$J$10:$J$224),0),
IF('TL07'!$B$229=O$3,SUMIF('TL07'!$C$238:$C$451,$C314,'TL07'!$J$238:$J$451),0),
IF('TL08'!$B$3=O$3,SUMIF('TL08'!$C$10:$C$224,$C314,'TL08'!$J$10:$J$224),0),
IF('TL08'!$B$229=O$3,SUMIF('TL08'!$C$238:$C$451,$C314,'TL08'!$J$238:$J$451),0),
IF('TL09'!$B$3=O$3,SUMIF('TL09'!$C$10:$C$224,$C314,'TL09'!$J$10:$J$224),0),
IF('TL09'!$B$229=O$3,SUMIF('TL09'!$C$238:$C$451,$C314,'TL09'!$J$238:$J$451),0),
IF('TL10'!$B$3=O$3,SUMIF('TL10'!$C$10:$C$224,$C314,'TL10'!$J$10:$J$224),0),
IF('TL10'!$B$229=O$3,SUMIF('TL10'!$C$238:$C$451,$C314,'TL10'!$J$238:$J$451),0),
IF('TL11'!$B$3=O$3,SUMIF('TL11'!$C$10:$C$224,$C314,'TL11'!$J$10:$J$224),0),
IF('TL11'!$B$229=O$3,SUMIF('TL11'!$C$238:$C$451,$C314,'TL11'!$J$238:$J$451),0),
IF('TL12'!$B$3=O$3,SUMIF('TL12'!$C$10:$C$224,$C314,'TL12'!$J$10:$J$224),0),
IF('TL12'!$B$229=O$3,SUMIF('TL12'!$C$238:$C$451,$C314,'TL12'!$J$238:$J$451),0),
IF('TL13'!$B$3=O$3,SUMIF('TL13'!$C$10:$C$224,$C314,'TL13'!$J$10:$J$224),0),
IF('TL13'!$B$229=O$3,SUMIF('TL13'!$C$238:$C$451,$C314,'TL13'!$J$238:$J$451),0),
IF('TL14'!$B$3=O$3,SUMIF('TL14'!$C$10:$C$224,$C314,'TL14'!$J$10:$J$224),0),
IF('TL14'!$B$229=O$3,SUMIF('TL14'!$C$238:$C$451,$C314,'TL14'!$J$238:$J$451),0),
IF('TL15'!$B$3=O$3,SUMIF('TL15'!$C$10:$C$224,$C314,'TL15'!$J$10:$J$224),0),
IF('TL15'!$B$229=O$3,SUMIF('TL15'!$C$238:$C$451,$C314,'TL15'!$J$238:$J$451),0),
IF('TL16'!$B$3=O$3,SUMIF('TL16'!$C$10:$C$224,$C314,'TL16'!$J$10:$J$224),0),
IF('TL16'!$B$229=O$3,SUMIF('TL16'!$C$238:$C$451,$C314,'TL16'!$J$238:$J$451),0),
IF('TL17'!$B$3=O$3,SUMIF('TL17'!$C$10:$C$224,$C314,'TL17'!$J$10:$J$224),0),
IF('TL17'!$B$229=O$3,SUMIF('TL17'!$C$238:$C$451,$C314,'TL17'!$J$238:$J$451),0),
IF('TL18'!$B$3=O$3,SUMIF('TL18'!$C$10:$C$224,$C314,'TL18'!$J$10:$J$224),0),
IF('TL18'!$B$229=O$3,SUMIF('TL18'!$C$238:$C$451,$C314,'TL18'!$J$238:$J$451),0),
IF('TL19'!$B$3=O$3,SUMIF('TL19'!$C$10:$C$224,$C314,'TL19'!$J$10:$J$224),0),
IF('TL19'!$B$229=O$3,SUMIF('TL19'!$C$238:$C$451,$C314,'TL19'!$J$238:$J$451),0)
),0)</f>
        <v>0</v>
      </c>
      <c r="P314" s="9">
        <f>IFERROR(SUM(
IF('TL01'!$B$3=P$3,SUMIF('TL01'!$C$10:$C$224,$C314,'TL01'!$J$10:$J$224),0),
IF('TL01'!$B$229=P$3,SUMIF('TL01'!$C$238:$C$451,$C314,'TL01'!$J$238:$J$451),0),
IF('TL02'!$B$3=P$3,SUMIF('TL02'!$C$10:$C$224,$C314,'TL02'!$J$10:$J$224),0),
IF('TL02'!$B$229=P$3,SUMIF('TL02'!$C$238:$C$451,$C314,'TL02'!$J$238:$J$451),0),
IF('TL03'!$B$3=P$3,SUMIF('TL03'!$C$10:$C$224,$C314,'TL03'!$J$10:$J$224),0),
IF('TL03'!$B$229=P$3,SUMIF('TL03'!$C$238:$C$451,$C314,'TL03'!$J$238:$J$451),0),
IF('TL04'!$B$3=P$3,SUMIF('TL04'!$C$10:$C$224,$C314,'TL04'!$J$10:$J$224),0),
IF('TL04'!$B$229=P$3,SUMIF('TL04'!$C$238:$C$451,$C314,'TL04'!$J$238:$J$451),0),
IF('TL05'!$B$3=P$3,SUMIF('TL05'!$C$10:$C$224,$C314,'TL05'!$J$10:$J$224),0),
IF('TL05'!$B$229=P$3,SUMIF('TL05'!$C$238:$C$451,$C314,'TL05'!$J$238:$J$451),0),
IF('TL06'!$B$3=P$3,SUMIF('TL06'!$C$10:$C$224,$C314,'TL06'!$J$10:$J$224),0),
IF('TL06'!$B$229=P$3,SUMIF('TL06'!$C$238:$C$451,$C314,'TL06'!$J$238:$J$451),0),
IF('TL07'!$B$3=P$3,SUMIF('TL07'!$C$10:$C$224,$C314,'TL07'!$J$10:$J$224),0),
IF('TL07'!$B$229=P$3,SUMIF('TL07'!$C$238:$C$451,$C314,'TL07'!$J$238:$J$451),0),
IF('TL08'!$B$3=P$3,SUMIF('TL08'!$C$10:$C$224,$C314,'TL08'!$J$10:$J$224),0),
IF('TL08'!$B$229=P$3,SUMIF('TL08'!$C$238:$C$451,$C314,'TL08'!$J$238:$J$451),0),
IF('TL09'!$B$3=P$3,SUMIF('TL09'!$C$10:$C$224,$C314,'TL09'!$J$10:$J$224),0),
IF('TL09'!$B$229=P$3,SUMIF('TL09'!$C$238:$C$451,$C314,'TL09'!$J$238:$J$451),0),
IF('TL10'!$B$3=P$3,SUMIF('TL10'!$C$10:$C$224,$C314,'TL10'!$J$10:$J$224),0),
IF('TL10'!$B$229=P$3,SUMIF('TL10'!$C$238:$C$451,$C314,'TL10'!$J$238:$J$451),0),
IF('TL11'!$B$3=P$3,SUMIF('TL11'!$C$10:$C$224,$C314,'TL11'!$J$10:$J$224),0),
IF('TL11'!$B$229=P$3,SUMIF('TL11'!$C$238:$C$451,$C314,'TL11'!$J$238:$J$451),0),
IF('TL12'!$B$3=P$3,SUMIF('TL12'!$C$10:$C$224,$C314,'TL12'!$J$10:$J$224),0),
IF('TL12'!$B$229=P$3,SUMIF('TL12'!$C$238:$C$451,$C314,'TL12'!$J$238:$J$451),0),
IF('TL13'!$B$3=P$3,SUMIF('TL13'!$C$10:$C$224,$C314,'TL13'!$J$10:$J$224),0),
IF('TL13'!$B$229=P$3,SUMIF('TL13'!$C$238:$C$451,$C314,'TL13'!$J$238:$J$451),0),
IF('TL14'!$B$3=P$3,SUMIF('TL14'!$C$10:$C$224,$C314,'TL14'!$J$10:$J$224),0),
IF('TL14'!$B$229=P$3,SUMIF('TL14'!$C$238:$C$451,$C314,'TL14'!$J$238:$J$451),0),
IF('TL15'!$B$3=P$3,SUMIF('TL15'!$C$10:$C$224,$C314,'TL15'!$J$10:$J$224),0),
IF('TL15'!$B$229=P$3,SUMIF('TL15'!$C$238:$C$451,$C314,'TL15'!$J$238:$J$451),0),
IF('TL16'!$B$3=P$3,SUMIF('TL16'!$C$10:$C$224,$C314,'TL16'!$J$10:$J$224),0),
IF('TL16'!$B$229=P$3,SUMIF('TL16'!$C$238:$C$451,$C314,'TL16'!$J$238:$J$451),0),
IF('TL17'!$B$3=P$3,SUMIF('TL17'!$C$10:$C$224,$C314,'TL17'!$J$10:$J$224),0),
IF('TL17'!$B$229=P$3,SUMIF('TL17'!$C$238:$C$451,$C314,'TL17'!$J$238:$J$451),0),
IF('TL18'!$B$3=P$3,SUMIF('TL18'!$C$10:$C$224,$C314,'TL18'!$J$10:$J$224),0),
IF('TL18'!$B$229=P$3,SUMIF('TL18'!$C$238:$C$451,$C314,'TL18'!$J$238:$J$451),0),
IF('TL19'!$B$3=P$3,SUMIF('TL19'!$C$10:$C$224,$C314,'TL19'!$J$10:$J$224),0),
IF('TL19'!$B$229=P$3,SUMIF('TL19'!$C$238:$C$451,$C314,'TL19'!$J$238:$J$451),0)
),0)</f>
        <v>0</v>
      </c>
      <c r="Q314" s="9">
        <f>IFERROR(SUM(
IF('TL01'!$B$3=Q$3,SUMIF('TL01'!$C$10:$C$224,$C314,'TL01'!$J$10:$J$224),0),
IF('TL01'!$B$229=Q$3,SUMIF('TL01'!$C$238:$C$451,$C314,'TL01'!$J$238:$J$451),0),
IF('TL02'!$B$3=Q$3,SUMIF('TL02'!$C$10:$C$224,$C314,'TL02'!$J$10:$J$224),0),
IF('TL02'!$B$229=Q$3,SUMIF('TL02'!$C$238:$C$451,$C314,'TL02'!$J$238:$J$451),0),
IF('TL03'!$B$3=Q$3,SUMIF('TL03'!$C$10:$C$224,$C314,'TL03'!$J$10:$J$224),0),
IF('TL03'!$B$229=Q$3,SUMIF('TL03'!$C$238:$C$451,$C314,'TL03'!$J$238:$J$451),0),
IF('TL04'!$B$3=Q$3,SUMIF('TL04'!$C$10:$C$224,$C314,'TL04'!$J$10:$J$224),0),
IF('TL04'!$B$229=Q$3,SUMIF('TL04'!$C$238:$C$451,$C314,'TL04'!$J$238:$J$451),0),
IF('TL05'!$B$3=Q$3,SUMIF('TL05'!$C$10:$C$224,$C314,'TL05'!$J$10:$J$224),0),
IF('TL05'!$B$229=Q$3,SUMIF('TL05'!$C$238:$C$451,$C314,'TL05'!$J$238:$J$451),0),
IF('TL06'!$B$3=Q$3,SUMIF('TL06'!$C$10:$C$224,$C314,'TL06'!$J$10:$J$224),0),
IF('TL06'!$B$229=Q$3,SUMIF('TL06'!$C$238:$C$451,$C314,'TL06'!$J$238:$J$451),0),
IF('TL07'!$B$3=Q$3,SUMIF('TL07'!$C$10:$C$224,$C314,'TL07'!$J$10:$J$224),0),
IF('TL07'!$B$229=Q$3,SUMIF('TL07'!$C$238:$C$451,$C314,'TL07'!$J$238:$J$451),0),
IF('TL08'!$B$3=Q$3,SUMIF('TL08'!$C$10:$C$224,$C314,'TL08'!$J$10:$J$224),0),
IF('TL08'!$B$229=Q$3,SUMIF('TL08'!$C$238:$C$451,$C314,'TL08'!$J$238:$J$451),0),
IF('TL09'!$B$3=Q$3,SUMIF('TL09'!$C$10:$C$224,$C314,'TL09'!$J$10:$J$224),0),
IF('TL09'!$B$229=Q$3,SUMIF('TL09'!$C$238:$C$451,$C314,'TL09'!$J$238:$J$451),0),
IF('TL10'!$B$3=Q$3,SUMIF('TL10'!$C$10:$C$224,$C314,'TL10'!$J$10:$J$224),0),
IF('TL10'!$B$229=Q$3,SUMIF('TL10'!$C$238:$C$451,$C314,'TL10'!$J$238:$J$451),0),
IF('TL11'!$B$3=Q$3,SUMIF('TL11'!$C$10:$C$224,$C314,'TL11'!$J$10:$J$224),0),
IF('TL11'!$B$229=Q$3,SUMIF('TL11'!$C$238:$C$451,$C314,'TL11'!$J$238:$J$451),0),
IF('TL12'!$B$3=Q$3,SUMIF('TL12'!$C$10:$C$224,$C314,'TL12'!$J$10:$J$224),0),
IF('TL12'!$B$229=Q$3,SUMIF('TL12'!$C$238:$C$451,$C314,'TL12'!$J$238:$J$451),0),
IF('TL13'!$B$3=Q$3,SUMIF('TL13'!$C$10:$C$224,$C314,'TL13'!$J$10:$J$224),0),
IF('TL13'!$B$229=Q$3,SUMIF('TL13'!$C$238:$C$451,$C314,'TL13'!$J$238:$J$451),0),
IF('TL14'!$B$3=Q$3,SUMIF('TL14'!$C$10:$C$224,$C314,'TL14'!$J$10:$J$224),0),
IF('TL14'!$B$229=Q$3,SUMIF('TL14'!$C$238:$C$451,$C314,'TL14'!$J$238:$J$451),0),
IF('TL15'!$B$3=Q$3,SUMIF('TL15'!$C$10:$C$224,$C314,'TL15'!$J$10:$J$224),0),
IF('TL15'!$B$229=Q$3,SUMIF('TL15'!$C$238:$C$451,$C314,'TL15'!$J$238:$J$451),0),
IF('TL16'!$B$3=Q$3,SUMIF('TL16'!$C$10:$C$224,$C314,'TL16'!$J$10:$J$224),0),
IF('TL16'!$B$229=Q$3,SUMIF('TL16'!$C$238:$C$451,$C314,'TL16'!$J$238:$J$451),0),
IF('TL17'!$B$3=Q$3,SUMIF('TL17'!$C$10:$C$224,$C314,'TL17'!$J$10:$J$224),0),
IF('TL17'!$B$229=Q$3,SUMIF('TL17'!$C$238:$C$451,$C314,'TL17'!$J$238:$J$451),0),
IF('TL18'!$B$3=Q$3,SUMIF('TL18'!$C$10:$C$224,$C314,'TL18'!$J$10:$J$224),0),
IF('TL18'!$B$229=Q$3,SUMIF('TL18'!$C$238:$C$451,$C314,'TL18'!$J$238:$J$451),0),
IF('TL19'!$B$3=Q$3,SUMIF('TL19'!$C$10:$C$224,$C314,'TL19'!$J$10:$J$224),0),
IF('TL19'!$B$229=Q$3,SUMIF('TL19'!$C$238:$C$451,$C314,'TL19'!$J$238:$J$451),0)
),0)</f>
        <v>0</v>
      </c>
      <c r="R314" s="9">
        <f>IFERROR(
SUM(
SUMIF('TL01'!C:C,C314,'TL01'!J:J),
SUMIF('TL02'!C:C,C314,'TL02'!J:J),
SUMIF('TL03'!C:C,C314,'TL03'!J:J),
SUMIF('TL04'!C:C,C314,'TL04'!J:J),
SUMIF('TL05'!C:C,C314,'TL05'!J:J),
SUMIF('TL06'!C:C,C314,'TL06'!J:J),
SUMIF('TL07'!C:C,C314,'TL07'!J:J),
SUMIF('TL08'!C:C,C314,'TL08'!J:J),
SUMIF('TL09'!C:C,C314,'TL09'!J:J),
SUMIF('TL10'!C:C,C314,'TL10'!J:J),
SUMIF('TL11'!C:C,C314,'TL11'!J:J),
SUMIF('TL12'!C:C,C314,'TL12'!J:J),
SUMIF('TL13'!C:C,C314,'TL13'!J:J),
SUMIF('TL14'!C:C,C314,'TL14'!J:J),
SUMIF('TL15'!C:C,C314,'TL15'!J:J),
SUMIF('TL16'!C:C,C314,'TL16'!J:J),
SUMIF('TL17'!C:C,C314,'TL17'!J:J),
SUMIF('TL18'!C:C,C314,'TL18'!J:J),SUMIF('TL19'!C:C,C314,'TL19'!J:J))
,0)</f>
        <v>0</v>
      </c>
      <c r="S314" s="17" t="str">
        <f>IFERROR(__xludf.DUMMYFUNCTION("IFERROR(VLOOKUP(C314,
IMPORTRANGE(""1wULbzX32WdYsx-lj2U3uUNBBe2INVIRDtcK0d-Dvl90"",
""26-27!C:G""),
5,
FALSE),
"""")"),"")</f>
        <v/>
      </c>
      <c r="T314" s="9"/>
      <c r="U314" s="92">
        <f t="shared" si="2"/>
        <v>0</v>
      </c>
      <c r="V314" s="93">
        <f t="shared" si="3"/>
        <v>0</v>
      </c>
    </row>
    <row r="315" ht="15.75" hidden="1" customHeight="1">
      <c r="A315" s="4"/>
      <c r="B315" s="125" t="s">
        <v>5</v>
      </c>
      <c r="C315" s="4" t="s">
        <v>1038</v>
      </c>
      <c r="D315" s="6"/>
      <c r="E315" s="9"/>
      <c r="F315" s="4" t="s">
        <v>1032</v>
      </c>
      <c r="G315" s="90" t="str">
        <f t="shared" si="5"/>
        <v>📄 Ver bula</v>
      </c>
      <c r="H315" s="9">
        <v>1.2</v>
      </c>
      <c r="I315" s="1"/>
      <c r="J315" s="9">
        <f>IFERROR(SUM(
IF('TL01'!$B$3=J$3,SUMIF('TL01'!$C$10:$C$224,$C315,'TL01'!$J$10:$J$224),0),
IF('TL01'!$B$229=J$3,SUMIF('TL01'!$C$238:$C$451,$C315,'TL01'!$J$238:$J$451),0),
IF('TL02'!$B$3=J$3,SUMIF('TL02'!$C$10:$C$224,$C315,'TL02'!$J$10:$J$224),0),
IF('TL02'!$B$229=J$3,SUMIF('TL02'!$C$238:$C$451,$C315,'TL02'!$J$238:$J$451),0),
IF('TL03'!$B$3=J$3,SUMIF('TL03'!$C$10:$C$224,$C315,'TL03'!$J$10:$J$224),0),
IF('TL03'!$B$229=J$3,SUMIF('TL03'!$C$238:$C$451,$C315,'TL03'!$J$238:$J$451),0),
IF('TL04'!$B$3=J$3,SUMIF('TL04'!$C$10:$C$224,$C315,'TL04'!$J$10:$J$224),0),
IF('TL04'!$B$229=J$3,SUMIF('TL04'!$C$238:$C$451,$C315,'TL04'!$J$238:$J$451),0),
IF('TL05'!$B$3=J$3,SUMIF('TL05'!$C$10:$C$224,$C315,'TL05'!$J$10:$J$224),0),
IF('TL05'!$B$229=J$3,SUMIF('TL05'!$C$238:$C$451,$C315,'TL05'!$J$238:$J$451),0),
IF('TL06'!$B$3=J$3,SUMIF('TL06'!$C$10:$C$224,$C315,'TL06'!$J$10:$J$224),0),
IF('TL06'!$B$229=J$3,SUMIF('TL06'!$C$238:$C$451,$C315,'TL06'!$J$238:$J$451),0),
IF('TL07'!$B$3=J$3,SUMIF('TL07'!$C$10:$C$224,$C315,'TL07'!$J$10:$J$224),0),
IF('TL07'!$B$229=J$3,SUMIF('TL07'!$C$238:$C$451,$C315,'TL07'!$J$238:$J$451),0),
IF('TL08'!$B$3=J$3,SUMIF('TL08'!$C$10:$C$224,$C315,'TL08'!$J$10:$J$224),0),
IF('TL08'!$B$229=J$3,SUMIF('TL08'!$C$238:$C$451,$C315,'TL08'!$J$238:$J$451),0),
IF('TL09'!$B$3=J$3,SUMIF('TL09'!$C$10:$C$224,$C315,'TL09'!$J$10:$J$224),0),
IF('TL09'!$B$229=J$3,SUMIF('TL09'!$C$238:$C$451,$C315,'TL09'!$J$238:$J$451),0),
IF('TL10'!$B$3=J$3,SUMIF('TL10'!$C$10:$C$224,$C315,'TL10'!$J$10:$J$224),0),
IF('TL10'!$B$229=J$3,SUMIF('TL10'!$C$238:$C$451,$C315,'TL10'!$J$238:$J$451),0),
IF('TL11'!$B$3=J$3,SUMIF('TL11'!$C$10:$C$224,$C315,'TL11'!$J$10:$J$224),0),
IF('TL11'!$B$229=J$3,SUMIF('TL11'!$C$238:$C$451,$C315,'TL11'!$J$238:$J$451),0),
IF('TL12'!$B$3=J$3,SUMIF('TL12'!$C$10:$C$224,$C315,'TL12'!$J$10:$J$224),0),
IF('TL12'!$B$229=J$3,SUMIF('TL12'!$C$238:$C$451,$C315,'TL12'!$J$238:$J$451),0),
IF('TL13'!$B$3=J$3,SUMIF('TL13'!$C$10:$C$224,$C315,'TL13'!$J$10:$J$224),0),
IF('TL13'!$B$229=J$3,SUMIF('TL13'!$C$238:$C$451,$C315,'TL13'!$J$238:$J$451),0),
IF('TL14'!$B$3=J$3,SUMIF('TL14'!$C$10:$C$224,$C315,'TL14'!$J$10:$J$224),0),
IF('TL14'!$B$229=J$3,SUMIF('TL14'!$C$238:$C$451,$C315,'TL14'!$J$238:$J$451),0),
IF('TL15'!$B$3=J$3,SUMIF('TL15'!$C$10:$C$224,$C315,'TL15'!$J$10:$J$224),0),
IF('TL15'!$B$229=J$3,SUMIF('TL15'!$C$238:$C$451,$C315,'TL15'!$J$238:$J$451),0),
IF('TL16'!$B$3=J$3,SUMIF('TL16'!$C$10:$C$224,$C315,'TL16'!$J$10:$J$224),0),
IF('TL16'!$B$229=J$3,SUMIF('TL16'!$C$238:$C$451,$C315,'TL16'!$J$238:$J$451),0),
IF('TL17'!$B$3=J$3,SUMIF('TL17'!$C$10:$C$224,$C315,'TL17'!$J$10:$J$224),0),
IF('TL17'!$B$229=J$3,SUMIF('TL17'!$C$238:$C$451,$C315,'TL17'!$J$238:$J$451),0),
IF('TL18'!$B$3=J$3,SUMIF('TL18'!$C$10:$C$224,$C315,'TL18'!$J$10:$J$224),0),
IF('TL18'!$B$229=J$3,SUMIF('TL18'!$C$238:$C$451,$C315,'TL18'!$J$238:$J$451),0),
IF('TL19'!$B$3=J$3,SUMIF('TL19'!$C$10:$C$224,$C315,'TL19'!$J$10:$J$224),0),
IF('TL19'!$B$229=J$3,SUMIF('TL19'!$C$238:$C$451,$C315,'TL19'!$J$238:$J$451),0)
),0)</f>
        <v>0</v>
      </c>
      <c r="K315" s="9">
        <f>IFERROR(SUM(
IF('TL01'!$B$3=K$3,SUMIF('TL01'!$C$10:$C$224,$C315,'TL01'!$J$10:$J$224),0),
IF('TL01'!$B$229=K$3,SUMIF('TL01'!$C$238:$C$451,$C315,'TL01'!$J$238:$J$451),0),
IF('TL02'!$B$3=K$3,SUMIF('TL02'!$C$10:$C$224,$C315,'TL02'!$J$10:$J$224),0),
IF('TL02'!$B$229=K$3,SUMIF('TL02'!$C$238:$C$451,$C315,'TL02'!$J$238:$J$451),0),
IF('TL03'!$B$3=K$3,SUMIF('TL03'!$C$10:$C$224,$C315,'TL03'!$J$10:$J$224),0),
IF('TL03'!$B$229=K$3,SUMIF('TL03'!$C$238:$C$451,$C315,'TL03'!$J$238:$J$451),0),
IF('TL04'!$B$3=K$3,SUMIF('TL04'!$C$10:$C$224,$C315,'TL04'!$J$10:$J$224),0),
IF('TL04'!$B$229=K$3,SUMIF('TL04'!$C$238:$C$451,$C315,'TL04'!$J$238:$J$451),0),
IF('TL05'!$B$3=K$3,SUMIF('TL05'!$C$10:$C$224,$C315,'TL05'!$J$10:$J$224),0),
IF('TL05'!$B$229=K$3,SUMIF('TL05'!$C$238:$C$451,$C315,'TL05'!$J$238:$J$451),0),
IF('TL06'!$B$3=K$3,SUMIF('TL06'!$C$10:$C$224,$C315,'TL06'!$J$10:$J$224),0),
IF('TL06'!$B$229=K$3,SUMIF('TL06'!$C$238:$C$451,$C315,'TL06'!$J$238:$J$451),0),
IF('TL07'!$B$3=K$3,SUMIF('TL07'!$C$10:$C$224,$C315,'TL07'!$J$10:$J$224),0),
IF('TL07'!$B$229=K$3,SUMIF('TL07'!$C$238:$C$451,$C315,'TL07'!$J$238:$J$451),0),
IF('TL08'!$B$3=K$3,SUMIF('TL08'!$C$10:$C$224,$C315,'TL08'!$J$10:$J$224),0),
IF('TL08'!$B$229=K$3,SUMIF('TL08'!$C$238:$C$451,$C315,'TL08'!$J$238:$J$451),0),
IF('TL09'!$B$3=K$3,SUMIF('TL09'!$C$10:$C$224,$C315,'TL09'!$J$10:$J$224),0),
IF('TL09'!$B$229=K$3,SUMIF('TL09'!$C$238:$C$451,$C315,'TL09'!$J$238:$J$451),0),
IF('TL10'!$B$3=K$3,SUMIF('TL10'!$C$10:$C$224,$C315,'TL10'!$J$10:$J$224),0),
IF('TL10'!$B$229=K$3,SUMIF('TL10'!$C$238:$C$451,$C315,'TL10'!$J$238:$J$451),0),
IF('TL11'!$B$3=K$3,SUMIF('TL11'!$C$10:$C$224,$C315,'TL11'!$J$10:$J$224),0),
IF('TL11'!$B$229=K$3,SUMIF('TL11'!$C$238:$C$451,$C315,'TL11'!$J$238:$J$451),0),
IF('TL12'!$B$3=K$3,SUMIF('TL12'!$C$10:$C$224,$C315,'TL12'!$J$10:$J$224),0),
IF('TL12'!$B$229=K$3,SUMIF('TL12'!$C$238:$C$451,$C315,'TL12'!$J$238:$J$451),0),
IF('TL13'!$B$3=K$3,SUMIF('TL13'!$C$10:$C$224,$C315,'TL13'!$J$10:$J$224),0),
IF('TL13'!$B$229=K$3,SUMIF('TL13'!$C$238:$C$451,$C315,'TL13'!$J$238:$J$451),0),
IF('TL14'!$B$3=K$3,SUMIF('TL14'!$C$10:$C$224,$C315,'TL14'!$J$10:$J$224),0),
IF('TL14'!$B$229=K$3,SUMIF('TL14'!$C$238:$C$451,$C315,'TL14'!$J$238:$J$451),0),
IF('TL15'!$B$3=K$3,SUMIF('TL15'!$C$10:$C$224,$C315,'TL15'!$J$10:$J$224),0),
IF('TL15'!$B$229=K$3,SUMIF('TL15'!$C$238:$C$451,$C315,'TL15'!$J$238:$J$451),0),
IF('TL16'!$B$3=K$3,SUMIF('TL16'!$C$10:$C$224,$C315,'TL16'!$J$10:$J$224),0),
IF('TL16'!$B$229=K$3,SUMIF('TL16'!$C$238:$C$451,$C315,'TL16'!$J$238:$J$451),0),
IF('TL17'!$B$3=K$3,SUMIF('TL17'!$C$10:$C$224,$C315,'TL17'!$J$10:$J$224),0),
IF('TL17'!$B$229=K$3,SUMIF('TL17'!$C$238:$C$451,$C315,'TL17'!$J$238:$J$451),0),
IF('TL18'!$B$3=K$3,SUMIF('TL18'!$C$10:$C$224,$C315,'TL18'!$J$10:$J$224),0),
IF('TL18'!$B$229=K$3,SUMIF('TL18'!$C$238:$C$451,$C315,'TL18'!$J$238:$J$451),0),
IF('TL19'!$B$3=K$3,SUMIF('TL19'!$C$10:$C$224,$C315,'TL19'!$J$10:$J$224),0),
IF('TL19'!$B$229=K$3,SUMIF('TL19'!$C$238:$C$451,$C315,'TL19'!$J$238:$J$451),0)
),0)</f>
        <v>0</v>
      </c>
      <c r="L315" s="9">
        <f>IFERROR(SUM(
IF('TL01'!$B$3=L$3,SUMIF('TL01'!$C$10:$C$224,$C315,'TL01'!$J$10:$J$224),0),
IF('TL01'!$B$229=L$3,SUMIF('TL01'!$C$238:$C$451,$C315,'TL01'!$J$238:$J$451),0),
IF('TL02'!$B$3=L$3,SUMIF('TL02'!$C$10:$C$224,$C315,'TL02'!$J$10:$J$224),0),
IF('TL02'!$B$229=L$3,SUMIF('TL02'!$C$238:$C$451,$C315,'TL02'!$J$238:$J$451),0),
IF('TL03'!$B$3=L$3,SUMIF('TL03'!$C$10:$C$224,$C315,'TL03'!$J$10:$J$224),0),
IF('TL03'!$B$229=L$3,SUMIF('TL03'!$C$238:$C$451,$C315,'TL03'!$J$238:$J$451),0),
IF('TL04'!$B$3=L$3,SUMIF('TL04'!$C$10:$C$224,$C315,'TL04'!$J$10:$J$224),0),
IF('TL04'!$B$229=L$3,SUMIF('TL04'!$C$238:$C$451,$C315,'TL04'!$J$238:$J$451),0),
IF('TL05'!$B$3=L$3,SUMIF('TL05'!$C$10:$C$224,$C315,'TL05'!$J$10:$J$224),0),
IF('TL05'!$B$229=L$3,SUMIF('TL05'!$C$238:$C$451,$C315,'TL05'!$J$238:$J$451),0),
IF('TL06'!$B$3=L$3,SUMIF('TL06'!$C$10:$C$224,$C315,'TL06'!$J$10:$J$224),0),
IF('TL06'!$B$229=L$3,SUMIF('TL06'!$C$238:$C$451,$C315,'TL06'!$J$238:$J$451),0),
IF('TL07'!$B$3=L$3,SUMIF('TL07'!$C$10:$C$224,$C315,'TL07'!$J$10:$J$224),0),
IF('TL07'!$B$229=L$3,SUMIF('TL07'!$C$238:$C$451,$C315,'TL07'!$J$238:$J$451),0),
IF('TL08'!$B$3=L$3,SUMIF('TL08'!$C$10:$C$224,$C315,'TL08'!$J$10:$J$224),0),
IF('TL08'!$B$229=L$3,SUMIF('TL08'!$C$238:$C$451,$C315,'TL08'!$J$238:$J$451),0),
IF('TL09'!$B$3=L$3,SUMIF('TL09'!$C$10:$C$224,$C315,'TL09'!$J$10:$J$224),0),
IF('TL09'!$B$229=L$3,SUMIF('TL09'!$C$238:$C$451,$C315,'TL09'!$J$238:$J$451),0),
IF('TL10'!$B$3=L$3,SUMIF('TL10'!$C$10:$C$224,$C315,'TL10'!$J$10:$J$224),0),
IF('TL10'!$B$229=L$3,SUMIF('TL10'!$C$238:$C$451,$C315,'TL10'!$J$238:$J$451),0),
IF('TL11'!$B$3=L$3,SUMIF('TL11'!$C$10:$C$224,$C315,'TL11'!$J$10:$J$224),0),
IF('TL11'!$B$229=L$3,SUMIF('TL11'!$C$238:$C$451,$C315,'TL11'!$J$238:$J$451),0),
IF('TL12'!$B$3=L$3,SUMIF('TL12'!$C$10:$C$224,$C315,'TL12'!$J$10:$J$224),0),
IF('TL12'!$B$229=L$3,SUMIF('TL12'!$C$238:$C$451,$C315,'TL12'!$J$238:$J$451),0),
IF('TL13'!$B$3=L$3,SUMIF('TL13'!$C$10:$C$224,$C315,'TL13'!$J$10:$J$224),0),
IF('TL13'!$B$229=L$3,SUMIF('TL13'!$C$238:$C$451,$C315,'TL13'!$J$238:$J$451),0),
IF('TL14'!$B$3=L$3,SUMIF('TL14'!$C$10:$C$224,$C315,'TL14'!$J$10:$J$224),0),
IF('TL14'!$B$229=L$3,SUMIF('TL14'!$C$238:$C$451,$C315,'TL14'!$J$238:$J$451),0),
IF('TL15'!$B$3=L$3,SUMIF('TL15'!$C$10:$C$224,$C315,'TL15'!$J$10:$J$224),0),
IF('TL15'!$B$229=L$3,SUMIF('TL15'!$C$238:$C$451,$C315,'TL15'!$J$238:$J$451),0),
IF('TL16'!$B$3=L$3,SUMIF('TL16'!$C$10:$C$224,$C315,'TL16'!$J$10:$J$224),0),
IF('TL16'!$B$229=L$3,SUMIF('TL16'!$C$238:$C$451,$C315,'TL16'!$J$238:$J$451),0),
IF('TL17'!$B$3=L$3,SUMIF('TL17'!$C$10:$C$224,$C315,'TL17'!$J$10:$J$224),0),
IF('TL17'!$B$229=L$3,SUMIF('TL17'!$C$238:$C$451,$C315,'TL17'!$J$238:$J$451),0),
IF('TL18'!$B$3=L$3,SUMIF('TL18'!$C$10:$C$224,$C315,'TL18'!$J$10:$J$224),0),
IF('TL18'!$B$229=L$3,SUMIF('TL18'!$C$238:$C$451,$C315,'TL18'!$J$238:$J$451),0),
IF('TL19'!$B$3=L$3,SUMIF('TL19'!$C$10:$C$224,$C315,'TL19'!$J$10:$J$224),0),
IF('TL19'!$B$229=L$3,SUMIF('TL19'!$C$238:$C$451,$C315,'TL19'!$J$238:$J$451),0)
),0)</f>
        <v>0</v>
      </c>
      <c r="M315" s="9">
        <f>IFERROR(SUM(
IF('TL01'!$B$3=M$3,SUMIF('TL01'!$C$10:$C$224,$C315,'TL01'!$J$10:$J$224),0),
IF('TL01'!$B$229=M$3,SUMIF('TL01'!$C$238:$C$451,$C315,'TL01'!$J$238:$J$451),0),
IF('TL02'!$B$3=M$3,SUMIF('TL02'!$C$10:$C$224,$C315,'TL02'!$J$10:$J$224),0),
IF('TL02'!$B$229=M$3,SUMIF('TL02'!$C$238:$C$451,$C315,'TL02'!$J$238:$J$451),0),
IF('TL03'!$B$3=M$3,SUMIF('TL03'!$C$10:$C$224,$C315,'TL03'!$J$10:$J$224),0),
IF('TL03'!$B$229=M$3,SUMIF('TL03'!$C$238:$C$451,$C315,'TL03'!$J$238:$J$451),0),
IF('TL04'!$B$3=M$3,SUMIF('TL04'!$C$10:$C$224,$C315,'TL04'!$J$10:$J$224),0),
IF('TL04'!$B$229=M$3,SUMIF('TL04'!$C$238:$C$451,$C315,'TL04'!$J$238:$J$451),0),
IF('TL05'!$B$3=M$3,SUMIF('TL05'!$C$10:$C$224,$C315,'TL05'!$J$10:$J$224),0),
IF('TL05'!$B$229=M$3,SUMIF('TL05'!$C$238:$C$451,$C315,'TL05'!$J$238:$J$451),0),
IF('TL06'!$B$3=M$3,SUMIF('TL06'!$C$10:$C$224,$C315,'TL06'!$J$10:$J$224),0),
IF('TL06'!$B$229=M$3,SUMIF('TL06'!$C$238:$C$451,$C315,'TL06'!$J$238:$J$451),0),
IF('TL07'!$B$3=M$3,SUMIF('TL07'!$C$10:$C$224,$C315,'TL07'!$J$10:$J$224),0),
IF('TL07'!$B$229=M$3,SUMIF('TL07'!$C$238:$C$451,$C315,'TL07'!$J$238:$J$451),0),
IF('TL08'!$B$3=M$3,SUMIF('TL08'!$C$10:$C$224,$C315,'TL08'!$J$10:$J$224),0),
IF('TL08'!$B$229=M$3,SUMIF('TL08'!$C$238:$C$451,$C315,'TL08'!$J$238:$J$451),0),
IF('TL09'!$B$3=M$3,SUMIF('TL09'!$C$10:$C$224,$C315,'TL09'!$J$10:$J$224),0),
IF('TL09'!$B$229=M$3,SUMIF('TL09'!$C$238:$C$451,$C315,'TL09'!$J$238:$J$451),0),
IF('TL10'!$B$3=M$3,SUMIF('TL10'!$C$10:$C$224,$C315,'TL10'!$J$10:$J$224),0),
IF('TL10'!$B$229=M$3,SUMIF('TL10'!$C$238:$C$451,$C315,'TL10'!$J$238:$J$451),0),
IF('TL11'!$B$3=M$3,SUMIF('TL11'!$C$10:$C$224,$C315,'TL11'!$J$10:$J$224),0),
IF('TL11'!$B$229=M$3,SUMIF('TL11'!$C$238:$C$451,$C315,'TL11'!$J$238:$J$451),0),
IF('TL12'!$B$3=M$3,SUMIF('TL12'!$C$10:$C$224,$C315,'TL12'!$J$10:$J$224),0),
IF('TL12'!$B$229=M$3,SUMIF('TL12'!$C$238:$C$451,$C315,'TL12'!$J$238:$J$451),0),
IF('TL13'!$B$3=M$3,SUMIF('TL13'!$C$10:$C$224,$C315,'TL13'!$J$10:$J$224),0),
IF('TL13'!$B$229=M$3,SUMIF('TL13'!$C$238:$C$451,$C315,'TL13'!$J$238:$J$451),0),
IF('TL14'!$B$3=M$3,SUMIF('TL14'!$C$10:$C$224,$C315,'TL14'!$J$10:$J$224),0),
IF('TL14'!$B$229=M$3,SUMIF('TL14'!$C$238:$C$451,$C315,'TL14'!$J$238:$J$451),0),
IF('TL15'!$B$3=M$3,SUMIF('TL15'!$C$10:$C$224,$C315,'TL15'!$J$10:$J$224),0),
IF('TL15'!$B$229=M$3,SUMIF('TL15'!$C$238:$C$451,$C315,'TL15'!$J$238:$J$451),0),
IF('TL16'!$B$3=M$3,SUMIF('TL16'!$C$10:$C$224,$C315,'TL16'!$J$10:$J$224),0),
IF('TL16'!$B$229=M$3,SUMIF('TL16'!$C$238:$C$451,$C315,'TL16'!$J$238:$J$451),0),
IF('TL17'!$B$3=M$3,SUMIF('TL17'!$C$10:$C$224,$C315,'TL17'!$J$10:$J$224),0),
IF('TL17'!$B$229=M$3,SUMIF('TL17'!$C$238:$C$451,$C315,'TL17'!$J$238:$J$451),0),
IF('TL18'!$B$3=M$3,SUMIF('TL18'!$C$10:$C$224,$C315,'TL18'!$J$10:$J$224),0),
IF('TL18'!$B$229=M$3,SUMIF('TL18'!$C$238:$C$451,$C315,'TL18'!$J$238:$J$451),0),
IF('TL19'!$B$3=M$3,SUMIF('TL19'!$C$10:$C$224,$C315,'TL19'!$J$10:$J$224),0),
IF('TL19'!$B$229=M$3,SUMIF('TL19'!$C$238:$C$451,$C315,'TL19'!$J$238:$J$451),0)
),0)</f>
        <v>0</v>
      </c>
      <c r="N315" s="9">
        <f>IFERROR(SUM(
IF('TL01'!$B$3=N$3,SUMIF('TL01'!$C$10:$C$224,$C315,'TL01'!$J$10:$J$224),0),
IF('TL01'!$B$229=N$3,SUMIF('TL01'!$C$238:$C$451,$C315,'TL01'!$J$238:$J$451),0),
IF('TL02'!$B$3=N$3,SUMIF('TL02'!$C$10:$C$224,$C315,'TL02'!$J$10:$J$224),0),
IF('TL02'!$B$229=N$3,SUMIF('TL02'!$C$238:$C$451,$C315,'TL02'!$J$238:$J$451),0),
IF('TL03'!$B$3=N$3,SUMIF('TL03'!$C$10:$C$224,$C315,'TL03'!$J$10:$J$224),0),
IF('TL03'!$B$229=N$3,SUMIF('TL03'!$C$238:$C$451,$C315,'TL03'!$J$238:$J$451),0),
IF('TL04'!$B$3=N$3,SUMIF('TL04'!$C$10:$C$224,$C315,'TL04'!$J$10:$J$224),0),
IF('TL04'!$B$229=N$3,SUMIF('TL04'!$C$238:$C$451,$C315,'TL04'!$J$238:$J$451),0),
IF('TL05'!$B$3=N$3,SUMIF('TL05'!$C$10:$C$224,$C315,'TL05'!$J$10:$J$224),0),
IF('TL05'!$B$229=N$3,SUMIF('TL05'!$C$238:$C$451,$C315,'TL05'!$J$238:$J$451),0),
IF('TL06'!$B$3=N$3,SUMIF('TL06'!$C$10:$C$224,$C315,'TL06'!$J$10:$J$224),0),
IF('TL06'!$B$229=N$3,SUMIF('TL06'!$C$238:$C$451,$C315,'TL06'!$J$238:$J$451),0),
IF('TL07'!$B$3=N$3,SUMIF('TL07'!$C$10:$C$224,$C315,'TL07'!$J$10:$J$224),0),
IF('TL07'!$B$229=N$3,SUMIF('TL07'!$C$238:$C$451,$C315,'TL07'!$J$238:$J$451),0),
IF('TL08'!$B$3=N$3,SUMIF('TL08'!$C$10:$C$224,$C315,'TL08'!$J$10:$J$224),0),
IF('TL08'!$B$229=N$3,SUMIF('TL08'!$C$238:$C$451,$C315,'TL08'!$J$238:$J$451),0),
IF('TL09'!$B$3=N$3,SUMIF('TL09'!$C$10:$C$224,$C315,'TL09'!$J$10:$J$224),0),
IF('TL09'!$B$229=N$3,SUMIF('TL09'!$C$238:$C$451,$C315,'TL09'!$J$238:$J$451),0),
IF('TL10'!$B$3=N$3,SUMIF('TL10'!$C$10:$C$224,$C315,'TL10'!$J$10:$J$224),0),
IF('TL10'!$B$229=N$3,SUMIF('TL10'!$C$238:$C$451,$C315,'TL10'!$J$238:$J$451),0),
IF('TL11'!$B$3=N$3,SUMIF('TL11'!$C$10:$C$224,$C315,'TL11'!$J$10:$J$224),0),
IF('TL11'!$B$229=N$3,SUMIF('TL11'!$C$238:$C$451,$C315,'TL11'!$J$238:$J$451),0),
IF('TL12'!$B$3=N$3,SUMIF('TL12'!$C$10:$C$224,$C315,'TL12'!$J$10:$J$224),0),
IF('TL12'!$B$229=N$3,SUMIF('TL12'!$C$238:$C$451,$C315,'TL12'!$J$238:$J$451),0),
IF('TL13'!$B$3=N$3,SUMIF('TL13'!$C$10:$C$224,$C315,'TL13'!$J$10:$J$224),0),
IF('TL13'!$B$229=N$3,SUMIF('TL13'!$C$238:$C$451,$C315,'TL13'!$J$238:$J$451),0),
IF('TL14'!$B$3=N$3,SUMIF('TL14'!$C$10:$C$224,$C315,'TL14'!$J$10:$J$224),0),
IF('TL14'!$B$229=N$3,SUMIF('TL14'!$C$238:$C$451,$C315,'TL14'!$J$238:$J$451),0),
IF('TL15'!$B$3=N$3,SUMIF('TL15'!$C$10:$C$224,$C315,'TL15'!$J$10:$J$224),0),
IF('TL15'!$B$229=N$3,SUMIF('TL15'!$C$238:$C$451,$C315,'TL15'!$J$238:$J$451),0),
IF('TL16'!$B$3=N$3,SUMIF('TL16'!$C$10:$C$224,$C315,'TL16'!$J$10:$J$224),0),
IF('TL16'!$B$229=N$3,SUMIF('TL16'!$C$238:$C$451,$C315,'TL16'!$J$238:$J$451),0),
IF('TL17'!$B$3=N$3,SUMIF('TL17'!$C$10:$C$224,$C315,'TL17'!$J$10:$J$224),0),
IF('TL17'!$B$229=N$3,SUMIF('TL17'!$C$238:$C$451,$C315,'TL17'!$J$238:$J$451),0),
IF('TL18'!$B$3=N$3,SUMIF('TL18'!$C$10:$C$224,$C315,'TL18'!$J$10:$J$224),0),
IF('TL18'!$B$229=N$3,SUMIF('TL18'!$C$238:$C$451,$C315,'TL18'!$J$238:$J$451),0),
IF('TL19'!$B$3=N$3,SUMIF('TL19'!$C$10:$C$224,$C315,'TL19'!$J$10:$J$224),0),
IF('TL19'!$B$229=N$3,SUMIF('TL19'!$C$238:$C$451,$C315,'TL19'!$J$238:$J$451),0)
),0)</f>
        <v>0</v>
      </c>
      <c r="O315" s="9">
        <f>IFERROR(SUM(
IF('TL01'!$B$3=O$3,SUMIF('TL01'!$C$10:$C$224,$C315,'TL01'!$J$10:$J$224),0),
IF('TL01'!$B$229=O$3,SUMIF('TL01'!$C$238:$C$451,$C315,'TL01'!$J$238:$J$451),0),
IF('TL02'!$B$3=O$3,SUMIF('TL02'!$C$10:$C$224,$C315,'TL02'!$J$10:$J$224),0),
IF('TL02'!$B$229=O$3,SUMIF('TL02'!$C$238:$C$451,$C315,'TL02'!$J$238:$J$451),0),
IF('TL03'!$B$3=O$3,SUMIF('TL03'!$C$10:$C$224,$C315,'TL03'!$J$10:$J$224),0),
IF('TL03'!$B$229=O$3,SUMIF('TL03'!$C$238:$C$451,$C315,'TL03'!$J$238:$J$451),0),
IF('TL04'!$B$3=O$3,SUMIF('TL04'!$C$10:$C$224,$C315,'TL04'!$J$10:$J$224),0),
IF('TL04'!$B$229=O$3,SUMIF('TL04'!$C$238:$C$451,$C315,'TL04'!$J$238:$J$451),0),
IF('TL05'!$B$3=O$3,SUMIF('TL05'!$C$10:$C$224,$C315,'TL05'!$J$10:$J$224),0),
IF('TL05'!$B$229=O$3,SUMIF('TL05'!$C$238:$C$451,$C315,'TL05'!$J$238:$J$451),0),
IF('TL06'!$B$3=O$3,SUMIF('TL06'!$C$10:$C$224,$C315,'TL06'!$J$10:$J$224),0),
IF('TL06'!$B$229=O$3,SUMIF('TL06'!$C$238:$C$451,$C315,'TL06'!$J$238:$J$451),0),
IF('TL07'!$B$3=O$3,SUMIF('TL07'!$C$10:$C$224,$C315,'TL07'!$J$10:$J$224),0),
IF('TL07'!$B$229=O$3,SUMIF('TL07'!$C$238:$C$451,$C315,'TL07'!$J$238:$J$451),0),
IF('TL08'!$B$3=O$3,SUMIF('TL08'!$C$10:$C$224,$C315,'TL08'!$J$10:$J$224),0),
IF('TL08'!$B$229=O$3,SUMIF('TL08'!$C$238:$C$451,$C315,'TL08'!$J$238:$J$451),0),
IF('TL09'!$B$3=O$3,SUMIF('TL09'!$C$10:$C$224,$C315,'TL09'!$J$10:$J$224),0),
IF('TL09'!$B$229=O$3,SUMIF('TL09'!$C$238:$C$451,$C315,'TL09'!$J$238:$J$451),0),
IF('TL10'!$B$3=O$3,SUMIF('TL10'!$C$10:$C$224,$C315,'TL10'!$J$10:$J$224),0),
IF('TL10'!$B$229=O$3,SUMIF('TL10'!$C$238:$C$451,$C315,'TL10'!$J$238:$J$451),0),
IF('TL11'!$B$3=O$3,SUMIF('TL11'!$C$10:$C$224,$C315,'TL11'!$J$10:$J$224),0),
IF('TL11'!$B$229=O$3,SUMIF('TL11'!$C$238:$C$451,$C315,'TL11'!$J$238:$J$451),0),
IF('TL12'!$B$3=O$3,SUMIF('TL12'!$C$10:$C$224,$C315,'TL12'!$J$10:$J$224),0),
IF('TL12'!$B$229=O$3,SUMIF('TL12'!$C$238:$C$451,$C315,'TL12'!$J$238:$J$451),0),
IF('TL13'!$B$3=O$3,SUMIF('TL13'!$C$10:$C$224,$C315,'TL13'!$J$10:$J$224),0),
IF('TL13'!$B$229=O$3,SUMIF('TL13'!$C$238:$C$451,$C315,'TL13'!$J$238:$J$451),0),
IF('TL14'!$B$3=O$3,SUMIF('TL14'!$C$10:$C$224,$C315,'TL14'!$J$10:$J$224),0),
IF('TL14'!$B$229=O$3,SUMIF('TL14'!$C$238:$C$451,$C315,'TL14'!$J$238:$J$451),0),
IF('TL15'!$B$3=O$3,SUMIF('TL15'!$C$10:$C$224,$C315,'TL15'!$J$10:$J$224),0),
IF('TL15'!$B$229=O$3,SUMIF('TL15'!$C$238:$C$451,$C315,'TL15'!$J$238:$J$451),0),
IF('TL16'!$B$3=O$3,SUMIF('TL16'!$C$10:$C$224,$C315,'TL16'!$J$10:$J$224),0),
IF('TL16'!$B$229=O$3,SUMIF('TL16'!$C$238:$C$451,$C315,'TL16'!$J$238:$J$451),0),
IF('TL17'!$B$3=O$3,SUMIF('TL17'!$C$10:$C$224,$C315,'TL17'!$J$10:$J$224),0),
IF('TL17'!$B$229=O$3,SUMIF('TL17'!$C$238:$C$451,$C315,'TL17'!$J$238:$J$451),0),
IF('TL18'!$B$3=O$3,SUMIF('TL18'!$C$10:$C$224,$C315,'TL18'!$J$10:$J$224),0),
IF('TL18'!$B$229=O$3,SUMIF('TL18'!$C$238:$C$451,$C315,'TL18'!$J$238:$J$451),0),
IF('TL19'!$B$3=O$3,SUMIF('TL19'!$C$10:$C$224,$C315,'TL19'!$J$10:$J$224),0),
IF('TL19'!$B$229=O$3,SUMIF('TL19'!$C$238:$C$451,$C315,'TL19'!$J$238:$J$451),0)
),0)</f>
        <v>0</v>
      </c>
      <c r="P315" s="9">
        <f>IFERROR(SUM(
IF('TL01'!$B$3=P$3,SUMIF('TL01'!$C$10:$C$224,$C315,'TL01'!$J$10:$J$224),0),
IF('TL01'!$B$229=P$3,SUMIF('TL01'!$C$238:$C$451,$C315,'TL01'!$J$238:$J$451),0),
IF('TL02'!$B$3=P$3,SUMIF('TL02'!$C$10:$C$224,$C315,'TL02'!$J$10:$J$224),0),
IF('TL02'!$B$229=P$3,SUMIF('TL02'!$C$238:$C$451,$C315,'TL02'!$J$238:$J$451),0),
IF('TL03'!$B$3=P$3,SUMIF('TL03'!$C$10:$C$224,$C315,'TL03'!$J$10:$J$224),0),
IF('TL03'!$B$229=P$3,SUMIF('TL03'!$C$238:$C$451,$C315,'TL03'!$J$238:$J$451),0),
IF('TL04'!$B$3=P$3,SUMIF('TL04'!$C$10:$C$224,$C315,'TL04'!$J$10:$J$224),0),
IF('TL04'!$B$229=P$3,SUMIF('TL04'!$C$238:$C$451,$C315,'TL04'!$J$238:$J$451),0),
IF('TL05'!$B$3=P$3,SUMIF('TL05'!$C$10:$C$224,$C315,'TL05'!$J$10:$J$224),0),
IF('TL05'!$B$229=P$3,SUMIF('TL05'!$C$238:$C$451,$C315,'TL05'!$J$238:$J$451),0),
IF('TL06'!$B$3=P$3,SUMIF('TL06'!$C$10:$C$224,$C315,'TL06'!$J$10:$J$224),0),
IF('TL06'!$B$229=P$3,SUMIF('TL06'!$C$238:$C$451,$C315,'TL06'!$J$238:$J$451),0),
IF('TL07'!$B$3=P$3,SUMIF('TL07'!$C$10:$C$224,$C315,'TL07'!$J$10:$J$224),0),
IF('TL07'!$B$229=P$3,SUMIF('TL07'!$C$238:$C$451,$C315,'TL07'!$J$238:$J$451),0),
IF('TL08'!$B$3=P$3,SUMIF('TL08'!$C$10:$C$224,$C315,'TL08'!$J$10:$J$224),0),
IF('TL08'!$B$229=P$3,SUMIF('TL08'!$C$238:$C$451,$C315,'TL08'!$J$238:$J$451),0),
IF('TL09'!$B$3=P$3,SUMIF('TL09'!$C$10:$C$224,$C315,'TL09'!$J$10:$J$224),0),
IF('TL09'!$B$229=P$3,SUMIF('TL09'!$C$238:$C$451,$C315,'TL09'!$J$238:$J$451),0),
IF('TL10'!$B$3=P$3,SUMIF('TL10'!$C$10:$C$224,$C315,'TL10'!$J$10:$J$224),0),
IF('TL10'!$B$229=P$3,SUMIF('TL10'!$C$238:$C$451,$C315,'TL10'!$J$238:$J$451),0),
IF('TL11'!$B$3=P$3,SUMIF('TL11'!$C$10:$C$224,$C315,'TL11'!$J$10:$J$224),0),
IF('TL11'!$B$229=P$3,SUMIF('TL11'!$C$238:$C$451,$C315,'TL11'!$J$238:$J$451),0),
IF('TL12'!$B$3=P$3,SUMIF('TL12'!$C$10:$C$224,$C315,'TL12'!$J$10:$J$224),0),
IF('TL12'!$B$229=P$3,SUMIF('TL12'!$C$238:$C$451,$C315,'TL12'!$J$238:$J$451),0),
IF('TL13'!$B$3=P$3,SUMIF('TL13'!$C$10:$C$224,$C315,'TL13'!$J$10:$J$224),0),
IF('TL13'!$B$229=P$3,SUMIF('TL13'!$C$238:$C$451,$C315,'TL13'!$J$238:$J$451),0),
IF('TL14'!$B$3=P$3,SUMIF('TL14'!$C$10:$C$224,$C315,'TL14'!$J$10:$J$224),0),
IF('TL14'!$B$229=P$3,SUMIF('TL14'!$C$238:$C$451,$C315,'TL14'!$J$238:$J$451),0),
IF('TL15'!$B$3=P$3,SUMIF('TL15'!$C$10:$C$224,$C315,'TL15'!$J$10:$J$224),0),
IF('TL15'!$B$229=P$3,SUMIF('TL15'!$C$238:$C$451,$C315,'TL15'!$J$238:$J$451),0),
IF('TL16'!$B$3=P$3,SUMIF('TL16'!$C$10:$C$224,$C315,'TL16'!$J$10:$J$224),0),
IF('TL16'!$B$229=P$3,SUMIF('TL16'!$C$238:$C$451,$C315,'TL16'!$J$238:$J$451),0),
IF('TL17'!$B$3=P$3,SUMIF('TL17'!$C$10:$C$224,$C315,'TL17'!$J$10:$J$224),0),
IF('TL17'!$B$229=P$3,SUMIF('TL17'!$C$238:$C$451,$C315,'TL17'!$J$238:$J$451),0),
IF('TL18'!$B$3=P$3,SUMIF('TL18'!$C$10:$C$224,$C315,'TL18'!$J$10:$J$224),0),
IF('TL18'!$B$229=P$3,SUMIF('TL18'!$C$238:$C$451,$C315,'TL18'!$J$238:$J$451),0),
IF('TL19'!$B$3=P$3,SUMIF('TL19'!$C$10:$C$224,$C315,'TL19'!$J$10:$J$224),0),
IF('TL19'!$B$229=P$3,SUMIF('TL19'!$C$238:$C$451,$C315,'TL19'!$J$238:$J$451),0)
),0)</f>
        <v>0</v>
      </c>
      <c r="Q315" s="9">
        <f>IFERROR(SUM(
IF('TL01'!$B$3=Q$3,SUMIF('TL01'!$C$10:$C$224,$C315,'TL01'!$J$10:$J$224),0),
IF('TL01'!$B$229=Q$3,SUMIF('TL01'!$C$238:$C$451,$C315,'TL01'!$J$238:$J$451),0),
IF('TL02'!$B$3=Q$3,SUMIF('TL02'!$C$10:$C$224,$C315,'TL02'!$J$10:$J$224),0),
IF('TL02'!$B$229=Q$3,SUMIF('TL02'!$C$238:$C$451,$C315,'TL02'!$J$238:$J$451),0),
IF('TL03'!$B$3=Q$3,SUMIF('TL03'!$C$10:$C$224,$C315,'TL03'!$J$10:$J$224),0),
IF('TL03'!$B$229=Q$3,SUMIF('TL03'!$C$238:$C$451,$C315,'TL03'!$J$238:$J$451),0),
IF('TL04'!$B$3=Q$3,SUMIF('TL04'!$C$10:$C$224,$C315,'TL04'!$J$10:$J$224),0),
IF('TL04'!$B$229=Q$3,SUMIF('TL04'!$C$238:$C$451,$C315,'TL04'!$J$238:$J$451),0),
IF('TL05'!$B$3=Q$3,SUMIF('TL05'!$C$10:$C$224,$C315,'TL05'!$J$10:$J$224),0),
IF('TL05'!$B$229=Q$3,SUMIF('TL05'!$C$238:$C$451,$C315,'TL05'!$J$238:$J$451),0),
IF('TL06'!$B$3=Q$3,SUMIF('TL06'!$C$10:$C$224,$C315,'TL06'!$J$10:$J$224),0),
IF('TL06'!$B$229=Q$3,SUMIF('TL06'!$C$238:$C$451,$C315,'TL06'!$J$238:$J$451),0),
IF('TL07'!$B$3=Q$3,SUMIF('TL07'!$C$10:$C$224,$C315,'TL07'!$J$10:$J$224),0),
IF('TL07'!$B$229=Q$3,SUMIF('TL07'!$C$238:$C$451,$C315,'TL07'!$J$238:$J$451),0),
IF('TL08'!$B$3=Q$3,SUMIF('TL08'!$C$10:$C$224,$C315,'TL08'!$J$10:$J$224),0),
IF('TL08'!$B$229=Q$3,SUMIF('TL08'!$C$238:$C$451,$C315,'TL08'!$J$238:$J$451),0),
IF('TL09'!$B$3=Q$3,SUMIF('TL09'!$C$10:$C$224,$C315,'TL09'!$J$10:$J$224),0),
IF('TL09'!$B$229=Q$3,SUMIF('TL09'!$C$238:$C$451,$C315,'TL09'!$J$238:$J$451),0),
IF('TL10'!$B$3=Q$3,SUMIF('TL10'!$C$10:$C$224,$C315,'TL10'!$J$10:$J$224),0),
IF('TL10'!$B$229=Q$3,SUMIF('TL10'!$C$238:$C$451,$C315,'TL10'!$J$238:$J$451),0),
IF('TL11'!$B$3=Q$3,SUMIF('TL11'!$C$10:$C$224,$C315,'TL11'!$J$10:$J$224),0),
IF('TL11'!$B$229=Q$3,SUMIF('TL11'!$C$238:$C$451,$C315,'TL11'!$J$238:$J$451),0),
IF('TL12'!$B$3=Q$3,SUMIF('TL12'!$C$10:$C$224,$C315,'TL12'!$J$10:$J$224),0),
IF('TL12'!$B$229=Q$3,SUMIF('TL12'!$C$238:$C$451,$C315,'TL12'!$J$238:$J$451),0),
IF('TL13'!$B$3=Q$3,SUMIF('TL13'!$C$10:$C$224,$C315,'TL13'!$J$10:$J$224),0),
IF('TL13'!$B$229=Q$3,SUMIF('TL13'!$C$238:$C$451,$C315,'TL13'!$J$238:$J$451),0),
IF('TL14'!$B$3=Q$3,SUMIF('TL14'!$C$10:$C$224,$C315,'TL14'!$J$10:$J$224),0),
IF('TL14'!$B$229=Q$3,SUMIF('TL14'!$C$238:$C$451,$C315,'TL14'!$J$238:$J$451),0),
IF('TL15'!$B$3=Q$3,SUMIF('TL15'!$C$10:$C$224,$C315,'TL15'!$J$10:$J$224),0),
IF('TL15'!$B$229=Q$3,SUMIF('TL15'!$C$238:$C$451,$C315,'TL15'!$J$238:$J$451),0),
IF('TL16'!$B$3=Q$3,SUMIF('TL16'!$C$10:$C$224,$C315,'TL16'!$J$10:$J$224),0),
IF('TL16'!$B$229=Q$3,SUMIF('TL16'!$C$238:$C$451,$C315,'TL16'!$J$238:$J$451),0),
IF('TL17'!$B$3=Q$3,SUMIF('TL17'!$C$10:$C$224,$C315,'TL17'!$J$10:$J$224),0),
IF('TL17'!$B$229=Q$3,SUMIF('TL17'!$C$238:$C$451,$C315,'TL17'!$J$238:$J$451),0),
IF('TL18'!$B$3=Q$3,SUMIF('TL18'!$C$10:$C$224,$C315,'TL18'!$J$10:$J$224),0),
IF('TL18'!$B$229=Q$3,SUMIF('TL18'!$C$238:$C$451,$C315,'TL18'!$J$238:$J$451),0),
IF('TL19'!$B$3=Q$3,SUMIF('TL19'!$C$10:$C$224,$C315,'TL19'!$J$10:$J$224),0),
IF('TL19'!$B$229=Q$3,SUMIF('TL19'!$C$238:$C$451,$C315,'TL19'!$J$238:$J$451),0)
),0)</f>
        <v>0</v>
      </c>
      <c r="R315" s="9">
        <f>IFERROR(
SUM(
SUMIF('TL01'!C:C,C315,'TL01'!J:J),
SUMIF('TL02'!C:C,C315,'TL02'!J:J),
SUMIF('TL03'!C:C,C315,'TL03'!J:J),
SUMIF('TL04'!C:C,C315,'TL04'!J:J),
SUMIF('TL05'!C:C,C315,'TL05'!J:J),
SUMIF('TL06'!C:C,C315,'TL06'!J:J),
SUMIF('TL07'!C:C,C315,'TL07'!J:J),
SUMIF('TL08'!C:C,C315,'TL08'!J:J),
SUMIF('TL09'!C:C,C315,'TL09'!J:J),
SUMIF('TL10'!C:C,C315,'TL10'!J:J),
SUMIF('TL11'!C:C,C315,'TL11'!J:J),
SUMIF('TL12'!C:C,C315,'TL12'!J:J),
SUMIF('TL13'!C:C,C315,'TL13'!J:J),
SUMIF('TL14'!C:C,C315,'TL14'!J:J),
SUMIF('TL15'!C:C,C315,'TL15'!J:J),
SUMIF('TL16'!C:C,C315,'TL16'!J:J),
SUMIF('TL17'!C:C,C315,'TL17'!J:J),
SUMIF('TL18'!C:C,C315,'TL18'!J:J),SUMIF('TL19'!C:C,C315,'TL19'!J:J))
,0)</f>
        <v>0</v>
      </c>
      <c r="S315" s="17" t="str">
        <f>IFERROR(__xludf.DUMMYFUNCTION("IFERROR(VLOOKUP(C315,
IMPORTRANGE(""1wULbzX32WdYsx-lj2U3uUNBBe2INVIRDtcK0d-Dvl90"",
""26-27!C:G""),
5,
FALSE),
"""")"),"")</f>
        <v/>
      </c>
      <c r="T315" s="9"/>
      <c r="U315" s="92">
        <f t="shared" si="2"/>
        <v>0</v>
      </c>
      <c r="V315" s="93">
        <f t="shared" si="3"/>
        <v>0</v>
      </c>
    </row>
    <row r="316" ht="15.75" hidden="1" customHeight="1">
      <c r="A316" s="4"/>
      <c r="B316" s="125" t="s">
        <v>5</v>
      </c>
      <c r="C316" s="4" t="s">
        <v>1039</v>
      </c>
      <c r="D316" s="6"/>
      <c r="E316" s="9"/>
      <c r="F316" s="4" t="s">
        <v>1032</v>
      </c>
      <c r="G316" s="90" t="str">
        <f t="shared" si="5"/>
        <v>📄 Ver bula</v>
      </c>
      <c r="H316" s="9">
        <v>1.2</v>
      </c>
      <c r="I316" s="1"/>
      <c r="J316" s="9">
        <f>IFERROR(SUM(
IF('TL01'!$B$3=J$3,SUMIF('TL01'!$C$10:$C$224,$C316,'TL01'!$J$10:$J$224),0),
IF('TL01'!$B$229=J$3,SUMIF('TL01'!$C$238:$C$451,$C316,'TL01'!$J$238:$J$451),0),
IF('TL02'!$B$3=J$3,SUMIF('TL02'!$C$10:$C$224,$C316,'TL02'!$J$10:$J$224),0),
IF('TL02'!$B$229=J$3,SUMIF('TL02'!$C$238:$C$451,$C316,'TL02'!$J$238:$J$451),0),
IF('TL03'!$B$3=J$3,SUMIF('TL03'!$C$10:$C$224,$C316,'TL03'!$J$10:$J$224),0),
IF('TL03'!$B$229=J$3,SUMIF('TL03'!$C$238:$C$451,$C316,'TL03'!$J$238:$J$451),0),
IF('TL04'!$B$3=J$3,SUMIF('TL04'!$C$10:$C$224,$C316,'TL04'!$J$10:$J$224),0),
IF('TL04'!$B$229=J$3,SUMIF('TL04'!$C$238:$C$451,$C316,'TL04'!$J$238:$J$451),0),
IF('TL05'!$B$3=J$3,SUMIF('TL05'!$C$10:$C$224,$C316,'TL05'!$J$10:$J$224),0),
IF('TL05'!$B$229=J$3,SUMIF('TL05'!$C$238:$C$451,$C316,'TL05'!$J$238:$J$451),0),
IF('TL06'!$B$3=J$3,SUMIF('TL06'!$C$10:$C$224,$C316,'TL06'!$J$10:$J$224),0),
IF('TL06'!$B$229=J$3,SUMIF('TL06'!$C$238:$C$451,$C316,'TL06'!$J$238:$J$451),0),
IF('TL07'!$B$3=J$3,SUMIF('TL07'!$C$10:$C$224,$C316,'TL07'!$J$10:$J$224),0),
IF('TL07'!$B$229=J$3,SUMIF('TL07'!$C$238:$C$451,$C316,'TL07'!$J$238:$J$451),0),
IF('TL08'!$B$3=J$3,SUMIF('TL08'!$C$10:$C$224,$C316,'TL08'!$J$10:$J$224),0),
IF('TL08'!$B$229=J$3,SUMIF('TL08'!$C$238:$C$451,$C316,'TL08'!$J$238:$J$451),0),
IF('TL09'!$B$3=J$3,SUMIF('TL09'!$C$10:$C$224,$C316,'TL09'!$J$10:$J$224),0),
IF('TL09'!$B$229=J$3,SUMIF('TL09'!$C$238:$C$451,$C316,'TL09'!$J$238:$J$451),0),
IF('TL10'!$B$3=J$3,SUMIF('TL10'!$C$10:$C$224,$C316,'TL10'!$J$10:$J$224),0),
IF('TL10'!$B$229=J$3,SUMIF('TL10'!$C$238:$C$451,$C316,'TL10'!$J$238:$J$451),0),
IF('TL11'!$B$3=J$3,SUMIF('TL11'!$C$10:$C$224,$C316,'TL11'!$J$10:$J$224),0),
IF('TL11'!$B$229=J$3,SUMIF('TL11'!$C$238:$C$451,$C316,'TL11'!$J$238:$J$451),0),
IF('TL12'!$B$3=J$3,SUMIF('TL12'!$C$10:$C$224,$C316,'TL12'!$J$10:$J$224),0),
IF('TL12'!$B$229=J$3,SUMIF('TL12'!$C$238:$C$451,$C316,'TL12'!$J$238:$J$451),0),
IF('TL13'!$B$3=J$3,SUMIF('TL13'!$C$10:$C$224,$C316,'TL13'!$J$10:$J$224),0),
IF('TL13'!$B$229=J$3,SUMIF('TL13'!$C$238:$C$451,$C316,'TL13'!$J$238:$J$451),0),
IF('TL14'!$B$3=J$3,SUMIF('TL14'!$C$10:$C$224,$C316,'TL14'!$J$10:$J$224),0),
IF('TL14'!$B$229=J$3,SUMIF('TL14'!$C$238:$C$451,$C316,'TL14'!$J$238:$J$451),0),
IF('TL15'!$B$3=J$3,SUMIF('TL15'!$C$10:$C$224,$C316,'TL15'!$J$10:$J$224),0),
IF('TL15'!$B$229=J$3,SUMIF('TL15'!$C$238:$C$451,$C316,'TL15'!$J$238:$J$451),0),
IF('TL16'!$B$3=J$3,SUMIF('TL16'!$C$10:$C$224,$C316,'TL16'!$J$10:$J$224),0),
IF('TL16'!$B$229=J$3,SUMIF('TL16'!$C$238:$C$451,$C316,'TL16'!$J$238:$J$451),0),
IF('TL17'!$B$3=J$3,SUMIF('TL17'!$C$10:$C$224,$C316,'TL17'!$J$10:$J$224),0),
IF('TL17'!$B$229=J$3,SUMIF('TL17'!$C$238:$C$451,$C316,'TL17'!$J$238:$J$451),0),
IF('TL18'!$B$3=J$3,SUMIF('TL18'!$C$10:$C$224,$C316,'TL18'!$J$10:$J$224),0),
IF('TL18'!$B$229=J$3,SUMIF('TL18'!$C$238:$C$451,$C316,'TL18'!$J$238:$J$451),0),
IF('TL19'!$B$3=J$3,SUMIF('TL19'!$C$10:$C$224,$C316,'TL19'!$J$10:$J$224),0),
IF('TL19'!$B$229=J$3,SUMIF('TL19'!$C$238:$C$451,$C316,'TL19'!$J$238:$J$451),0)
),0)</f>
        <v>0</v>
      </c>
      <c r="K316" s="9">
        <f>IFERROR(SUM(
IF('TL01'!$B$3=K$3,SUMIF('TL01'!$C$10:$C$224,$C316,'TL01'!$J$10:$J$224),0),
IF('TL01'!$B$229=K$3,SUMIF('TL01'!$C$238:$C$451,$C316,'TL01'!$J$238:$J$451),0),
IF('TL02'!$B$3=K$3,SUMIF('TL02'!$C$10:$C$224,$C316,'TL02'!$J$10:$J$224),0),
IF('TL02'!$B$229=K$3,SUMIF('TL02'!$C$238:$C$451,$C316,'TL02'!$J$238:$J$451),0),
IF('TL03'!$B$3=K$3,SUMIF('TL03'!$C$10:$C$224,$C316,'TL03'!$J$10:$J$224),0),
IF('TL03'!$B$229=K$3,SUMIF('TL03'!$C$238:$C$451,$C316,'TL03'!$J$238:$J$451),0),
IF('TL04'!$B$3=K$3,SUMIF('TL04'!$C$10:$C$224,$C316,'TL04'!$J$10:$J$224),0),
IF('TL04'!$B$229=K$3,SUMIF('TL04'!$C$238:$C$451,$C316,'TL04'!$J$238:$J$451),0),
IF('TL05'!$B$3=K$3,SUMIF('TL05'!$C$10:$C$224,$C316,'TL05'!$J$10:$J$224),0),
IF('TL05'!$B$229=K$3,SUMIF('TL05'!$C$238:$C$451,$C316,'TL05'!$J$238:$J$451),0),
IF('TL06'!$B$3=K$3,SUMIF('TL06'!$C$10:$C$224,$C316,'TL06'!$J$10:$J$224),0),
IF('TL06'!$B$229=K$3,SUMIF('TL06'!$C$238:$C$451,$C316,'TL06'!$J$238:$J$451),0),
IF('TL07'!$B$3=K$3,SUMIF('TL07'!$C$10:$C$224,$C316,'TL07'!$J$10:$J$224),0),
IF('TL07'!$B$229=K$3,SUMIF('TL07'!$C$238:$C$451,$C316,'TL07'!$J$238:$J$451),0),
IF('TL08'!$B$3=K$3,SUMIF('TL08'!$C$10:$C$224,$C316,'TL08'!$J$10:$J$224),0),
IF('TL08'!$B$229=K$3,SUMIF('TL08'!$C$238:$C$451,$C316,'TL08'!$J$238:$J$451),0),
IF('TL09'!$B$3=K$3,SUMIF('TL09'!$C$10:$C$224,$C316,'TL09'!$J$10:$J$224),0),
IF('TL09'!$B$229=K$3,SUMIF('TL09'!$C$238:$C$451,$C316,'TL09'!$J$238:$J$451),0),
IF('TL10'!$B$3=K$3,SUMIF('TL10'!$C$10:$C$224,$C316,'TL10'!$J$10:$J$224),0),
IF('TL10'!$B$229=K$3,SUMIF('TL10'!$C$238:$C$451,$C316,'TL10'!$J$238:$J$451),0),
IF('TL11'!$B$3=K$3,SUMIF('TL11'!$C$10:$C$224,$C316,'TL11'!$J$10:$J$224),0),
IF('TL11'!$B$229=K$3,SUMIF('TL11'!$C$238:$C$451,$C316,'TL11'!$J$238:$J$451),0),
IF('TL12'!$B$3=K$3,SUMIF('TL12'!$C$10:$C$224,$C316,'TL12'!$J$10:$J$224),0),
IF('TL12'!$B$229=K$3,SUMIF('TL12'!$C$238:$C$451,$C316,'TL12'!$J$238:$J$451),0),
IF('TL13'!$B$3=K$3,SUMIF('TL13'!$C$10:$C$224,$C316,'TL13'!$J$10:$J$224),0),
IF('TL13'!$B$229=K$3,SUMIF('TL13'!$C$238:$C$451,$C316,'TL13'!$J$238:$J$451),0),
IF('TL14'!$B$3=K$3,SUMIF('TL14'!$C$10:$C$224,$C316,'TL14'!$J$10:$J$224),0),
IF('TL14'!$B$229=K$3,SUMIF('TL14'!$C$238:$C$451,$C316,'TL14'!$J$238:$J$451),0),
IF('TL15'!$B$3=K$3,SUMIF('TL15'!$C$10:$C$224,$C316,'TL15'!$J$10:$J$224),0),
IF('TL15'!$B$229=K$3,SUMIF('TL15'!$C$238:$C$451,$C316,'TL15'!$J$238:$J$451),0),
IF('TL16'!$B$3=K$3,SUMIF('TL16'!$C$10:$C$224,$C316,'TL16'!$J$10:$J$224),0),
IF('TL16'!$B$229=K$3,SUMIF('TL16'!$C$238:$C$451,$C316,'TL16'!$J$238:$J$451),0),
IF('TL17'!$B$3=K$3,SUMIF('TL17'!$C$10:$C$224,$C316,'TL17'!$J$10:$J$224),0),
IF('TL17'!$B$229=K$3,SUMIF('TL17'!$C$238:$C$451,$C316,'TL17'!$J$238:$J$451),0),
IF('TL18'!$B$3=K$3,SUMIF('TL18'!$C$10:$C$224,$C316,'TL18'!$J$10:$J$224),0),
IF('TL18'!$B$229=K$3,SUMIF('TL18'!$C$238:$C$451,$C316,'TL18'!$J$238:$J$451),0),
IF('TL19'!$B$3=K$3,SUMIF('TL19'!$C$10:$C$224,$C316,'TL19'!$J$10:$J$224),0),
IF('TL19'!$B$229=K$3,SUMIF('TL19'!$C$238:$C$451,$C316,'TL19'!$J$238:$J$451),0)
),0)</f>
        <v>0</v>
      </c>
      <c r="L316" s="9">
        <f>IFERROR(SUM(
IF('TL01'!$B$3=L$3,SUMIF('TL01'!$C$10:$C$224,$C316,'TL01'!$J$10:$J$224),0),
IF('TL01'!$B$229=L$3,SUMIF('TL01'!$C$238:$C$451,$C316,'TL01'!$J$238:$J$451),0),
IF('TL02'!$B$3=L$3,SUMIF('TL02'!$C$10:$C$224,$C316,'TL02'!$J$10:$J$224),0),
IF('TL02'!$B$229=L$3,SUMIF('TL02'!$C$238:$C$451,$C316,'TL02'!$J$238:$J$451),0),
IF('TL03'!$B$3=L$3,SUMIF('TL03'!$C$10:$C$224,$C316,'TL03'!$J$10:$J$224),0),
IF('TL03'!$B$229=L$3,SUMIF('TL03'!$C$238:$C$451,$C316,'TL03'!$J$238:$J$451),0),
IF('TL04'!$B$3=L$3,SUMIF('TL04'!$C$10:$C$224,$C316,'TL04'!$J$10:$J$224),0),
IF('TL04'!$B$229=L$3,SUMIF('TL04'!$C$238:$C$451,$C316,'TL04'!$J$238:$J$451),0),
IF('TL05'!$B$3=L$3,SUMIF('TL05'!$C$10:$C$224,$C316,'TL05'!$J$10:$J$224),0),
IF('TL05'!$B$229=L$3,SUMIF('TL05'!$C$238:$C$451,$C316,'TL05'!$J$238:$J$451),0),
IF('TL06'!$B$3=L$3,SUMIF('TL06'!$C$10:$C$224,$C316,'TL06'!$J$10:$J$224),0),
IF('TL06'!$B$229=L$3,SUMIF('TL06'!$C$238:$C$451,$C316,'TL06'!$J$238:$J$451),0),
IF('TL07'!$B$3=L$3,SUMIF('TL07'!$C$10:$C$224,$C316,'TL07'!$J$10:$J$224),0),
IF('TL07'!$B$229=L$3,SUMIF('TL07'!$C$238:$C$451,$C316,'TL07'!$J$238:$J$451),0),
IF('TL08'!$B$3=L$3,SUMIF('TL08'!$C$10:$C$224,$C316,'TL08'!$J$10:$J$224),0),
IF('TL08'!$B$229=L$3,SUMIF('TL08'!$C$238:$C$451,$C316,'TL08'!$J$238:$J$451),0),
IF('TL09'!$B$3=L$3,SUMIF('TL09'!$C$10:$C$224,$C316,'TL09'!$J$10:$J$224),0),
IF('TL09'!$B$229=L$3,SUMIF('TL09'!$C$238:$C$451,$C316,'TL09'!$J$238:$J$451),0),
IF('TL10'!$B$3=L$3,SUMIF('TL10'!$C$10:$C$224,$C316,'TL10'!$J$10:$J$224),0),
IF('TL10'!$B$229=L$3,SUMIF('TL10'!$C$238:$C$451,$C316,'TL10'!$J$238:$J$451),0),
IF('TL11'!$B$3=L$3,SUMIF('TL11'!$C$10:$C$224,$C316,'TL11'!$J$10:$J$224),0),
IF('TL11'!$B$229=L$3,SUMIF('TL11'!$C$238:$C$451,$C316,'TL11'!$J$238:$J$451),0),
IF('TL12'!$B$3=L$3,SUMIF('TL12'!$C$10:$C$224,$C316,'TL12'!$J$10:$J$224),0),
IF('TL12'!$B$229=L$3,SUMIF('TL12'!$C$238:$C$451,$C316,'TL12'!$J$238:$J$451),0),
IF('TL13'!$B$3=L$3,SUMIF('TL13'!$C$10:$C$224,$C316,'TL13'!$J$10:$J$224),0),
IF('TL13'!$B$229=L$3,SUMIF('TL13'!$C$238:$C$451,$C316,'TL13'!$J$238:$J$451),0),
IF('TL14'!$B$3=L$3,SUMIF('TL14'!$C$10:$C$224,$C316,'TL14'!$J$10:$J$224),0),
IF('TL14'!$B$229=L$3,SUMIF('TL14'!$C$238:$C$451,$C316,'TL14'!$J$238:$J$451),0),
IF('TL15'!$B$3=L$3,SUMIF('TL15'!$C$10:$C$224,$C316,'TL15'!$J$10:$J$224),0),
IF('TL15'!$B$229=L$3,SUMIF('TL15'!$C$238:$C$451,$C316,'TL15'!$J$238:$J$451),0),
IF('TL16'!$B$3=L$3,SUMIF('TL16'!$C$10:$C$224,$C316,'TL16'!$J$10:$J$224),0),
IF('TL16'!$B$229=L$3,SUMIF('TL16'!$C$238:$C$451,$C316,'TL16'!$J$238:$J$451),0),
IF('TL17'!$B$3=L$3,SUMIF('TL17'!$C$10:$C$224,$C316,'TL17'!$J$10:$J$224),0),
IF('TL17'!$B$229=L$3,SUMIF('TL17'!$C$238:$C$451,$C316,'TL17'!$J$238:$J$451),0),
IF('TL18'!$B$3=L$3,SUMIF('TL18'!$C$10:$C$224,$C316,'TL18'!$J$10:$J$224),0),
IF('TL18'!$B$229=L$3,SUMIF('TL18'!$C$238:$C$451,$C316,'TL18'!$J$238:$J$451),0),
IF('TL19'!$B$3=L$3,SUMIF('TL19'!$C$10:$C$224,$C316,'TL19'!$J$10:$J$224),0),
IF('TL19'!$B$229=L$3,SUMIF('TL19'!$C$238:$C$451,$C316,'TL19'!$J$238:$J$451),0)
),0)</f>
        <v>0</v>
      </c>
      <c r="M316" s="9">
        <f>IFERROR(SUM(
IF('TL01'!$B$3=M$3,SUMIF('TL01'!$C$10:$C$224,$C316,'TL01'!$J$10:$J$224),0),
IF('TL01'!$B$229=M$3,SUMIF('TL01'!$C$238:$C$451,$C316,'TL01'!$J$238:$J$451),0),
IF('TL02'!$B$3=M$3,SUMIF('TL02'!$C$10:$C$224,$C316,'TL02'!$J$10:$J$224),0),
IF('TL02'!$B$229=M$3,SUMIF('TL02'!$C$238:$C$451,$C316,'TL02'!$J$238:$J$451),0),
IF('TL03'!$B$3=M$3,SUMIF('TL03'!$C$10:$C$224,$C316,'TL03'!$J$10:$J$224),0),
IF('TL03'!$B$229=M$3,SUMIF('TL03'!$C$238:$C$451,$C316,'TL03'!$J$238:$J$451),0),
IF('TL04'!$B$3=M$3,SUMIF('TL04'!$C$10:$C$224,$C316,'TL04'!$J$10:$J$224),0),
IF('TL04'!$B$229=M$3,SUMIF('TL04'!$C$238:$C$451,$C316,'TL04'!$J$238:$J$451),0),
IF('TL05'!$B$3=M$3,SUMIF('TL05'!$C$10:$C$224,$C316,'TL05'!$J$10:$J$224),0),
IF('TL05'!$B$229=M$3,SUMIF('TL05'!$C$238:$C$451,$C316,'TL05'!$J$238:$J$451),0),
IF('TL06'!$B$3=M$3,SUMIF('TL06'!$C$10:$C$224,$C316,'TL06'!$J$10:$J$224),0),
IF('TL06'!$B$229=M$3,SUMIF('TL06'!$C$238:$C$451,$C316,'TL06'!$J$238:$J$451),0),
IF('TL07'!$B$3=M$3,SUMIF('TL07'!$C$10:$C$224,$C316,'TL07'!$J$10:$J$224),0),
IF('TL07'!$B$229=M$3,SUMIF('TL07'!$C$238:$C$451,$C316,'TL07'!$J$238:$J$451),0),
IF('TL08'!$B$3=M$3,SUMIF('TL08'!$C$10:$C$224,$C316,'TL08'!$J$10:$J$224),0),
IF('TL08'!$B$229=M$3,SUMIF('TL08'!$C$238:$C$451,$C316,'TL08'!$J$238:$J$451),0),
IF('TL09'!$B$3=M$3,SUMIF('TL09'!$C$10:$C$224,$C316,'TL09'!$J$10:$J$224),0),
IF('TL09'!$B$229=M$3,SUMIF('TL09'!$C$238:$C$451,$C316,'TL09'!$J$238:$J$451),0),
IF('TL10'!$B$3=M$3,SUMIF('TL10'!$C$10:$C$224,$C316,'TL10'!$J$10:$J$224),0),
IF('TL10'!$B$229=M$3,SUMIF('TL10'!$C$238:$C$451,$C316,'TL10'!$J$238:$J$451),0),
IF('TL11'!$B$3=M$3,SUMIF('TL11'!$C$10:$C$224,$C316,'TL11'!$J$10:$J$224),0),
IF('TL11'!$B$229=M$3,SUMIF('TL11'!$C$238:$C$451,$C316,'TL11'!$J$238:$J$451),0),
IF('TL12'!$B$3=M$3,SUMIF('TL12'!$C$10:$C$224,$C316,'TL12'!$J$10:$J$224),0),
IF('TL12'!$B$229=M$3,SUMIF('TL12'!$C$238:$C$451,$C316,'TL12'!$J$238:$J$451),0),
IF('TL13'!$B$3=M$3,SUMIF('TL13'!$C$10:$C$224,$C316,'TL13'!$J$10:$J$224),0),
IF('TL13'!$B$229=M$3,SUMIF('TL13'!$C$238:$C$451,$C316,'TL13'!$J$238:$J$451),0),
IF('TL14'!$B$3=M$3,SUMIF('TL14'!$C$10:$C$224,$C316,'TL14'!$J$10:$J$224),0),
IF('TL14'!$B$229=M$3,SUMIF('TL14'!$C$238:$C$451,$C316,'TL14'!$J$238:$J$451),0),
IF('TL15'!$B$3=M$3,SUMIF('TL15'!$C$10:$C$224,$C316,'TL15'!$J$10:$J$224),0),
IF('TL15'!$B$229=M$3,SUMIF('TL15'!$C$238:$C$451,$C316,'TL15'!$J$238:$J$451),0),
IF('TL16'!$B$3=M$3,SUMIF('TL16'!$C$10:$C$224,$C316,'TL16'!$J$10:$J$224),0),
IF('TL16'!$B$229=M$3,SUMIF('TL16'!$C$238:$C$451,$C316,'TL16'!$J$238:$J$451),0),
IF('TL17'!$B$3=M$3,SUMIF('TL17'!$C$10:$C$224,$C316,'TL17'!$J$10:$J$224),0),
IF('TL17'!$B$229=M$3,SUMIF('TL17'!$C$238:$C$451,$C316,'TL17'!$J$238:$J$451),0),
IF('TL18'!$B$3=M$3,SUMIF('TL18'!$C$10:$C$224,$C316,'TL18'!$J$10:$J$224),0),
IF('TL18'!$B$229=M$3,SUMIF('TL18'!$C$238:$C$451,$C316,'TL18'!$J$238:$J$451),0),
IF('TL19'!$B$3=M$3,SUMIF('TL19'!$C$10:$C$224,$C316,'TL19'!$J$10:$J$224),0),
IF('TL19'!$B$229=M$3,SUMIF('TL19'!$C$238:$C$451,$C316,'TL19'!$J$238:$J$451),0)
),0)</f>
        <v>0</v>
      </c>
      <c r="N316" s="9">
        <f>IFERROR(SUM(
IF('TL01'!$B$3=N$3,SUMIF('TL01'!$C$10:$C$224,$C316,'TL01'!$J$10:$J$224),0),
IF('TL01'!$B$229=N$3,SUMIF('TL01'!$C$238:$C$451,$C316,'TL01'!$J$238:$J$451),0),
IF('TL02'!$B$3=N$3,SUMIF('TL02'!$C$10:$C$224,$C316,'TL02'!$J$10:$J$224),0),
IF('TL02'!$B$229=N$3,SUMIF('TL02'!$C$238:$C$451,$C316,'TL02'!$J$238:$J$451),0),
IF('TL03'!$B$3=N$3,SUMIF('TL03'!$C$10:$C$224,$C316,'TL03'!$J$10:$J$224),0),
IF('TL03'!$B$229=N$3,SUMIF('TL03'!$C$238:$C$451,$C316,'TL03'!$J$238:$J$451),0),
IF('TL04'!$B$3=N$3,SUMIF('TL04'!$C$10:$C$224,$C316,'TL04'!$J$10:$J$224),0),
IF('TL04'!$B$229=N$3,SUMIF('TL04'!$C$238:$C$451,$C316,'TL04'!$J$238:$J$451),0),
IF('TL05'!$B$3=N$3,SUMIF('TL05'!$C$10:$C$224,$C316,'TL05'!$J$10:$J$224),0),
IF('TL05'!$B$229=N$3,SUMIF('TL05'!$C$238:$C$451,$C316,'TL05'!$J$238:$J$451),0),
IF('TL06'!$B$3=N$3,SUMIF('TL06'!$C$10:$C$224,$C316,'TL06'!$J$10:$J$224),0),
IF('TL06'!$B$229=N$3,SUMIF('TL06'!$C$238:$C$451,$C316,'TL06'!$J$238:$J$451),0),
IF('TL07'!$B$3=N$3,SUMIF('TL07'!$C$10:$C$224,$C316,'TL07'!$J$10:$J$224),0),
IF('TL07'!$B$229=N$3,SUMIF('TL07'!$C$238:$C$451,$C316,'TL07'!$J$238:$J$451),0),
IF('TL08'!$B$3=N$3,SUMIF('TL08'!$C$10:$C$224,$C316,'TL08'!$J$10:$J$224),0),
IF('TL08'!$B$229=N$3,SUMIF('TL08'!$C$238:$C$451,$C316,'TL08'!$J$238:$J$451),0),
IF('TL09'!$B$3=N$3,SUMIF('TL09'!$C$10:$C$224,$C316,'TL09'!$J$10:$J$224),0),
IF('TL09'!$B$229=N$3,SUMIF('TL09'!$C$238:$C$451,$C316,'TL09'!$J$238:$J$451),0),
IF('TL10'!$B$3=N$3,SUMIF('TL10'!$C$10:$C$224,$C316,'TL10'!$J$10:$J$224),0),
IF('TL10'!$B$229=N$3,SUMIF('TL10'!$C$238:$C$451,$C316,'TL10'!$J$238:$J$451),0),
IF('TL11'!$B$3=N$3,SUMIF('TL11'!$C$10:$C$224,$C316,'TL11'!$J$10:$J$224),0),
IF('TL11'!$B$229=N$3,SUMIF('TL11'!$C$238:$C$451,$C316,'TL11'!$J$238:$J$451),0),
IF('TL12'!$B$3=N$3,SUMIF('TL12'!$C$10:$C$224,$C316,'TL12'!$J$10:$J$224),0),
IF('TL12'!$B$229=N$3,SUMIF('TL12'!$C$238:$C$451,$C316,'TL12'!$J$238:$J$451),0),
IF('TL13'!$B$3=N$3,SUMIF('TL13'!$C$10:$C$224,$C316,'TL13'!$J$10:$J$224),0),
IF('TL13'!$B$229=N$3,SUMIF('TL13'!$C$238:$C$451,$C316,'TL13'!$J$238:$J$451),0),
IF('TL14'!$B$3=N$3,SUMIF('TL14'!$C$10:$C$224,$C316,'TL14'!$J$10:$J$224),0),
IF('TL14'!$B$229=N$3,SUMIF('TL14'!$C$238:$C$451,$C316,'TL14'!$J$238:$J$451),0),
IF('TL15'!$B$3=N$3,SUMIF('TL15'!$C$10:$C$224,$C316,'TL15'!$J$10:$J$224),0),
IF('TL15'!$B$229=N$3,SUMIF('TL15'!$C$238:$C$451,$C316,'TL15'!$J$238:$J$451),0),
IF('TL16'!$B$3=N$3,SUMIF('TL16'!$C$10:$C$224,$C316,'TL16'!$J$10:$J$224),0),
IF('TL16'!$B$229=N$3,SUMIF('TL16'!$C$238:$C$451,$C316,'TL16'!$J$238:$J$451),0),
IF('TL17'!$B$3=N$3,SUMIF('TL17'!$C$10:$C$224,$C316,'TL17'!$J$10:$J$224),0),
IF('TL17'!$B$229=N$3,SUMIF('TL17'!$C$238:$C$451,$C316,'TL17'!$J$238:$J$451),0),
IF('TL18'!$B$3=N$3,SUMIF('TL18'!$C$10:$C$224,$C316,'TL18'!$J$10:$J$224),0),
IF('TL18'!$B$229=N$3,SUMIF('TL18'!$C$238:$C$451,$C316,'TL18'!$J$238:$J$451),0),
IF('TL19'!$B$3=N$3,SUMIF('TL19'!$C$10:$C$224,$C316,'TL19'!$J$10:$J$224),0),
IF('TL19'!$B$229=N$3,SUMIF('TL19'!$C$238:$C$451,$C316,'TL19'!$J$238:$J$451),0)
),0)</f>
        <v>0</v>
      </c>
      <c r="O316" s="9">
        <f>IFERROR(SUM(
IF('TL01'!$B$3=O$3,SUMIF('TL01'!$C$10:$C$224,$C316,'TL01'!$J$10:$J$224),0),
IF('TL01'!$B$229=O$3,SUMIF('TL01'!$C$238:$C$451,$C316,'TL01'!$J$238:$J$451),0),
IF('TL02'!$B$3=O$3,SUMIF('TL02'!$C$10:$C$224,$C316,'TL02'!$J$10:$J$224),0),
IF('TL02'!$B$229=O$3,SUMIF('TL02'!$C$238:$C$451,$C316,'TL02'!$J$238:$J$451),0),
IF('TL03'!$B$3=O$3,SUMIF('TL03'!$C$10:$C$224,$C316,'TL03'!$J$10:$J$224),0),
IF('TL03'!$B$229=O$3,SUMIF('TL03'!$C$238:$C$451,$C316,'TL03'!$J$238:$J$451),0),
IF('TL04'!$B$3=O$3,SUMIF('TL04'!$C$10:$C$224,$C316,'TL04'!$J$10:$J$224),0),
IF('TL04'!$B$229=O$3,SUMIF('TL04'!$C$238:$C$451,$C316,'TL04'!$J$238:$J$451),0),
IF('TL05'!$B$3=O$3,SUMIF('TL05'!$C$10:$C$224,$C316,'TL05'!$J$10:$J$224),0),
IF('TL05'!$B$229=O$3,SUMIF('TL05'!$C$238:$C$451,$C316,'TL05'!$J$238:$J$451),0),
IF('TL06'!$B$3=O$3,SUMIF('TL06'!$C$10:$C$224,$C316,'TL06'!$J$10:$J$224),0),
IF('TL06'!$B$229=O$3,SUMIF('TL06'!$C$238:$C$451,$C316,'TL06'!$J$238:$J$451),0),
IF('TL07'!$B$3=O$3,SUMIF('TL07'!$C$10:$C$224,$C316,'TL07'!$J$10:$J$224),0),
IF('TL07'!$B$229=O$3,SUMIF('TL07'!$C$238:$C$451,$C316,'TL07'!$J$238:$J$451),0),
IF('TL08'!$B$3=O$3,SUMIF('TL08'!$C$10:$C$224,$C316,'TL08'!$J$10:$J$224),0),
IF('TL08'!$B$229=O$3,SUMIF('TL08'!$C$238:$C$451,$C316,'TL08'!$J$238:$J$451),0),
IF('TL09'!$B$3=O$3,SUMIF('TL09'!$C$10:$C$224,$C316,'TL09'!$J$10:$J$224),0),
IF('TL09'!$B$229=O$3,SUMIF('TL09'!$C$238:$C$451,$C316,'TL09'!$J$238:$J$451),0),
IF('TL10'!$B$3=O$3,SUMIF('TL10'!$C$10:$C$224,$C316,'TL10'!$J$10:$J$224),0),
IF('TL10'!$B$229=O$3,SUMIF('TL10'!$C$238:$C$451,$C316,'TL10'!$J$238:$J$451),0),
IF('TL11'!$B$3=O$3,SUMIF('TL11'!$C$10:$C$224,$C316,'TL11'!$J$10:$J$224),0),
IF('TL11'!$B$229=O$3,SUMIF('TL11'!$C$238:$C$451,$C316,'TL11'!$J$238:$J$451),0),
IF('TL12'!$B$3=O$3,SUMIF('TL12'!$C$10:$C$224,$C316,'TL12'!$J$10:$J$224),0),
IF('TL12'!$B$229=O$3,SUMIF('TL12'!$C$238:$C$451,$C316,'TL12'!$J$238:$J$451),0),
IF('TL13'!$B$3=O$3,SUMIF('TL13'!$C$10:$C$224,$C316,'TL13'!$J$10:$J$224),0),
IF('TL13'!$B$229=O$3,SUMIF('TL13'!$C$238:$C$451,$C316,'TL13'!$J$238:$J$451),0),
IF('TL14'!$B$3=O$3,SUMIF('TL14'!$C$10:$C$224,$C316,'TL14'!$J$10:$J$224),0),
IF('TL14'!$B$229=O$3,SUMIF('TL14'!$C$238:$C$451,$C316,'TL14'!$J$238:$J$451),0),
IF('TL15'!$B$3=O$3,SUMIF('TL15'!$C$10:$C$224,$C316,'TL15'!$J$10:$J$224),0),
IF('TL15'!$B$229=O$3,SUMIF('TL15'!$C$238:$C$451,$C316,'TL15'!$J$238:$J$451),0),
IF('TL16'!$B$3=O$3,SUMIF('TL16'!$C$10:$C$224,$C316,'TL16'!$J$10:$J$224),0),
IF('TL16'!$B$229=O$3,SUMIF('TL16'!$C$238:$C$451,$C316,'TL16'!$J$238:$J$451),0),
IF('TL17'!$B$3=O$3,SUMIF('TL17'!$C$10:$C$224,$C316,'TL17'!$J$10:$J$224),0),
IF('TL17'!$B$229=O$3,SUMIF('TL17'!$C$238:$C$451,$C316,'TL17'!$J$238:$J$451),0),
IF('TL18'!$B$3=O$3,SUMIF('TL18'!$C$10:$C$224,$C316,'TL18'!$J$10:$J$224),0),
IF('TL18'!$B$229=O$3,SUMIF('TL18'!$C$238:$C$451,$C316,'TL18'!$J$238:$J$451),0),
IF('TL19'!$B$3=O$3,SUMIF('TL19'!$C$10:$C$224,$C316,'TL19'!$J$10:$J$224),0),
IF('TL19'!$B$229=O$3,SUMIF('TL19'!$C$238:$C$451,$C316,'TL19'!$J$238:$J$451),0)
),0)</f>
        <v>0</v>
      </c>
      <c r="P316" s="9">
        <f>IFERROR(SUM(
IF('TL01'!$B$3=P$3,SUMIF('TL01'!$C$10:$C$224,$C316,'TL01'!$J$10:$J$224),0),
IF('TL01'!$B$229=P$3,SUMIF('TL01'!$C$238:$C$451,$C316,'TL01'!$J$238:$J$451),0),
IF('TL02'!$B$3=P$3,SUMIF('TL02'!$C$10:$C$224,$C316,'TL02'!$J$10:$J$224),0),
IF('TL02'!$B$229=P$3,SUMIF('TL02'!$C$238:$C$451,$C316,'TL02'!$J$238:$J$451),0),
IF('TL03'!$B$3=P$3,SUMIF('TL03'!$C$10:$C$224,$C316,'TL03'!$J$10:$J$224),0),
IF('TL03'!$B$229=P$3,SUMIF('TL03'!$C$238:$C$451,$C316,'TL03'!$J$238:$J$451),0),
IF('TL04'!$B$3=P$3,SUMIF('TL04'!$C$10:$C$224,$C316,'TL04'!$J$10:$J$224),0),
IF('TL04'!$B$229=P$3,SUMIF('TL04'!$C$238:$C$451,$C316,'TL04'!$J$238:$J$451),0),
IF('TL05'!$B$3=P$3,SUMIF('TL05'!$C$10:$C$224,$C316,'TL05'!$J$10:$J$224),0),
IF('TL05'!$B$229=P$3,SUMIF('TL05'!$C$238:$C$451,$C316,'TL05'!$J$238:$J$451),0),
IF('TL06'!$B$3=P$3,SUMIF('TL06'!$C$10:$C$224,$C316,'TL06'!$J$10:$J$224),0),
IF('TL06'!$B$229=P$3,SUMIF('TL06'!$C$238:$C$451,$C316,'TL06'!$J$238:$J$451),0),
IF('TL07'!$B$3=P$3,SUMIF('TL07'!$C$10:$C$224,$C316,'TL07'!$J$10:$J$224),0),
IF('TL07'!$B$229=P$3,SUMIF('TL07'!$C$238:$C$451,$C316,'TL07'!$J$238:$J$451),0),
IF('TL08'!$B$3=P$3,SUMIF('TL08'!$C$10:$C$224,$C316,'TL08'!$J$10:$J$224),0),
IF('TL08'!$B$229=P$3,SUMIF('TL08'!$C$238:$C$451,$C316,'TL08'!$J$238:$J$451),0),
IF('TL09'!$B$3=P$3,SUMIF('TL09'!$C$10:$C$224,$C316,'TL09'!$J$10:$J$224),0),
IF('TL09'!$B$229=P$3,SUMIF('TL09'!$C$238:$C$451,$C316,'TL09'!$J$238:$J$451),0),
IF('TL10'!$B$3=P$3,SUMIF('TL10'!$C$10:$C$224,$C316,'TL10'!$J$10:$J$224),0),
IF('TL10'!$B$229=P$3,SUMIF('TL10'!$C$238:$C$451,$C316,'TL10'!$J$238:$J$451),0),
IF('TL11'!$B$3=P$3,SUMIF('TL11'!$C$10:$C$224,$C316,'TL11'!$J$10:$J$224),0),
IF('TL11'!$B$229=P$3,SUMIF('TL11'!$C$238:$C$451,$C316,'TL11'!$J$238:$J$451),0),
IF('TL12'!$B$3=P$3,SUMIF('TL12'!$C$10:$C$224,$C316,'TL12'!$J$10:$J$224),0),
IF('TL12'!$B$229=P$3,SUMIF('TL12'!$C$238:$C$451,$C316,'TL12'!$J$238:$J$451),0),
IF('TL13'!$B$3=P$3,SUMIF('TL13'!$C$10:$C$224,$C316,'TL13'!$J$10:$J$224),0),
IF('TL13'!$B$229=P$3,SUMIF('TL13'!$C$238:$C$451,$C316,'TL13'!$J$238:$J$451),0),
IF('TL14'!$B$3=P$3,SUMIF('TL14'!$C$10:$C$224,$C316,'TL14'!$J$10:$J$224),0),
IF('TL14'!$B$229=P$3,SUMIF('TL14'!$C$238:$C$451,$C316,'TL14'!$J$238:$J$451),0),
IF('TL15'!$B$3=P$3,SUMIF('TL15'!$C$10:$C$224,$C316,'TL15'!$J$10:$J$224),0),
IF('TL15'!$B$229=P$3,SUMIF('TL15'!$C$238:$C$451,$C316,'TL15'!$J$238:$J$451),0),
IF('TL16'!$B$3=P$3,SUMIF('TL16'!$C$10:$C$224,$C316,'TL16'!$J$10:$J$224),0),
IF('TL16'!$B$229=P$3,SUMIF('TL16'!$C$238:$C$451,$C316,'TL16'!$J$238:$J$451),0),
IF('TL17'!$B$3=P$3,SUMIF('TL17'!$C$10:$C$224,$C316,'TL17'!$J$10:$J$224),0),
IF('TL17'!$B$229=P$3,SUMIF('TL17'!$C$238:$C$451,$C316,'TL17'!$J$238:$J$451),0),
IF('TL18'!$B$3=P$3,SUMIF('TL18'!$C$10:$C$224,$C316,'TL18'!$J$10:$J$224),0),
IF('TL18'!$B$229=P$3,SUMIF('TL18'!$C$238:$C$451,$C316,'TL18'!$J$238:$J$451),0),
IF('TL19'!$B$3=P$3,SUMIF('TL19'!$C$10:$C$224,$C316,'TL19'!$J$10:$J$224),0),
IF('TL19'!$B$229=P$3,SUMIF('TL19'!$C$238:$C$451,$C316,'TL19'!$J$238:$J$451),0)
),0)</f>
        <v>0</v>
      </c>
      <c r="Q316" s="9">
        <f>IFERROR(SUM(
IF('TL01'!$B$3=Q$3,SUMIF('TL01'!$C$10:$C$224,$C316,'TL01'!$J$10:$J$224),0),
IF('TL01'!$B$229=Q$3,SUMIF('TL01'!$C$238:$C$451,$C316,'TL01'!$J$238:$J$451),0),
IF('TL02'!$B$3=Q$3,SUMIF('TL02'!$C$10:$C$224,$C316,'TL02'!$J$10:$J$224),0),
IF('TL02'!$B$229=Q$3,SUMIF('TL02'!$C$238:$C$451,$C316,'TL02'!$J$238:$J$451),0),
IF('TL03'!$B$3=Q$3,SUMIF('TL03'!$C$10:$C$224,$C316,'TL03'!$J$10:$J$224),0),
IF('TL03'!$B$229=Q$3,SUMIF('TL03'!$C$238:$C$451,$C316,'TL03'!$J$238:$J$451),0),
IF('TL04'!$B$3=Q$3,SUMIF('TL04'!$C$10:$C$224,$C316,'TL04'!$J$10:$J$224),0),
IF('TL04'!$B$229=Q$3,SUMIF('TL04'!$C$238:$C$451,$C316,'TL04'!$J$238:$J$451),0),
IF('TL05'!$B$3=Q$3,SUMIF('TL05'!$C$10:$C$224,$C316,'TL05'!$J$10:$J$224),0),
IF('TL05'!$B$229=Q$3,SUMIF('TL05'!$C$238:$C$451,$C316,'TL05'!$J$238:$J$451),0),
IF('TL06'!$B$3=Q$3,SUMIF('TL06'!$C$10:$C$224,$C316,'TL06'!$J$10:$J$224),0),
IF('TL06'!$B$229=Q$3,SUMIF('TL06'!$C$238:$C$451,$C316,'TL06'!$J$238:$J$451),0),
IF('TL07'!$B$3=Q$3,SUMIF('TL07'!$C$10:$C$224,$C316,'TL07'!$J$10:$J$224),0),
IF('TL07'!$B$229=Q$3,SUMIF('TL07'!$C$238:$C$451,$C316,'TL07'!$J$238:$J$451),0),
IF('TL08'!$B$3=Q$3,SUMIF('TL08'!$C$10:$C$224,$C316,'TL08'!$J$10:$J$224),0),
IF('TL08'!$B$229=Q$3,SUMIF('TL08'!$C$238:$C$451,$C316,'TL08'!$J$238:$J$451),0),
IF('TL09'!$B$3=Q$3,SUMIF('TL09'!$C$10:$C$224,$C316,'TL09'!$J$10:$J$224),0),
IF('TL09'!$B$229=Q$3,SUMIF('TL09'!$C$238:$C$451,$C316,'TL09'!$J$238:$J$451),0),
IF('TL10'!$B$3=Q$3,SUMIF('TL10'!$C$10:$C$224,$C316,'TL10'!$J$10:$J$224),0),
IF('TL10'!$B$229=Q$3,SUMIF('TL10'!$C$238:$C$451,$C316,'TL10'!$J$238:$J$451),0),
IF('TL11'!$B$3=Q$3,SUMIF('TL11'!$C$10:$C$224,$C316,'TL11'!$J$10:$J$224),0),
IF('TL11'!$B$229=Q$3,SUMIF('TL11'!$C$238:$C$451,$C316,'TL11'!$J$238:$J$451),0),
IF('TL12'!$B$3=Q$3,SUMIF('TL12'!$C$10:$C$224,$C316,'TL12'!$J$10:$J$224),0),
IF('TL12'!$B$229=Q$3,SUMIF('TL12'!$C$238:$C$451,$C316,'TL12'!$J$238:$J$451),0),
IF('TL13'!$B$3=Q$3,SUMIF('TL13'!$C$10:$C$224,$C316,'TL13'!$J$10:$J$224),0),
IF('TL13'!$B$229=Q$3,SUMIF('TL13'!$C$238:$C$451,$C316,'TL13'!$J$238:$J$451),0),
IF('TL14'!$B$3=Q$3,SUMIF('TL14'!$C$10:$C$224,$C316,'TL14'!$J$10:$J$224),0),
IF('TL14'!$B$229=Q$3,SUMIF('TL14'!$C$238:$C$451,$C316,'TL14'!$J$238:$J$451),0),
IF('TL15'!$B$3=Q$3,SUMIF('TL15'!$C$10:$C$224,$C316,'TL15'!$J$10:$J$224),0),
IF('TL15'!$B$229=Q$3,SUMIF('TL15'!$C$238:$C$451,$C316,'TL15'!$J$238:$J$451),0),
IF('TL16'!$B$3=Q$3,SUMIF('TL16'!$C$10:$C$224,$C316,'TL16'!$J$10:$J$224),0),
IF('TL16'!$B$229=Q$3,SUMIF('TL16'!$C$238:$C$451,$C316,'TL16'!$J$238:$J$451),0),
IF('TL17'!$B$3=Q$3,SUMIF('TL17'!$C$10:$C$224,$C316,'TL17'!$J$10:$J$224),0),
IF('TL17'!$B$229=Q$3,SUMIF('TL17'!$C$238:$C$451,$C316,'TL17'!$J$238:$J$451),0),
IF('TL18'!$B$3=Q$3,SUMIF('TL18'!$C$10:$C$224,$C316,'TL18'!$J$10:$J$224),0),
IF('TL18'!$B$229=Q$3,SUMIF('TL18'!$C$238:$C$451,$C316,'TL18'!$J$238:$J$451),0),
IF('TL19'!$B$3=Q$3,SUMIF('TL19'!$C$10:$C$224,$C316,'TL19'!$J$10:$J$224),0),
IF('TL19'!$B$229=Q$3,SUMIF('TL19'!$C$238:$C$451,$C316,'TL19'!$J$238:$J$451),0)
),0)</f>
        <v>0</v>
      </c>
      <c r="R316" s="9">
        <f>IFERROR(
SUM(
SUMIF('TL01'!C:C,C316,'TL01'!J:J),
SUMIF('TL02'!C:C,C316,'TL02'!J:J),
SUMIF('TL03'!C:C,C316,'TL03'!J:J),
SUMIF('TL04'!C:C,C316,'TL04'!J:J),
SUMIF('TL05'!C:C,C316,'TL05'!J:J),
SUMIF('TL06'!C:C,C316,'TL06'!J:J),
SUMIF('TL07'!C:C,C316,'TL07'!J:J),
SUMIF('TL08'!C:C,C316,'TL08'!J:J),
SUMIF('TL09'!C:C,C316,'TL09'!J:J),
SUMIF('TL10'!C:C,C316,'TL10'!J:J),
SUMIF('TL11'!C:C,C316,'TL11'!J:J),
SUMIF('TL12'!C:C,C316,'TL12'!J:J),
SUMIF('TL13'!C:C,C316,'TL13'!J:J),
SUMIF('TL14'!C:C,C316,'TL14'!J:J),
SUMIF('TL15'!C:C,C316,'TL15'!J:J),
SUMIF('TL16'!C:C,C316,'TL16'!J:J),
SUMIF('TL17'!C:C,C316,'TL17'!J:J),
SUMIF('TL18'!C:C,C316,'TL18'!J:J),SUMIF('TL19'!C:C,C316,'TL19'!J:J))
,0)</f>
        <v>0</v>
      </c>
      <c r="S316" s="17" t="str">
        <f>IFERROR(__xludf.DUMMYFUNCTION("IFERROR(VLOOKUP(C316,
IMPORTRANGE(""1wULbzX32WdYsx-lj2U3uUNBBe2INVIRDtcK0d-Dvl90"",
""26-27!C:G""),
5,
FALSE),
"""")"),"")</f>
        <v/>
      </c>
      <c r="T316" s="9"/>
      <c r="U316" s="92">
        <f t="shared" si="2"/>
        <v>0</v>
      </c>
      <c r="V316" s="93">
        <f t="shared" si="3"/>
        <v>0</v>
      </c>
    </row>
    <row r="317" ht="15.75" hidden="1" customHeight="1">
      <c r="A317" s="4"/>
      <c r="B317" s="125" t="s">
        <v>5</v>
      </c>
      <c r="C317" s="4" t="s">
        <v>1040</v>
      </c>
      <c r="D317" s="6"/>
      <c r="E317" s="9"/>
      <c r="F317" s="4"/>
      <c r="G317" s="90" t="str">
        <f t="shared" si="5"/>
        <v>📄 Ver bula</v>
      </c>
      <c r="H317" s="9"/>
      <c r="I317" s="1"/>
      <c r="J317" s="9">
        <f>IFERROR(SUM(
IF('TL01'!$B$3=J$3,SUMIF('TL01'!$C$10:$C$224,$C317,'TL01'!$J$10:$J$224),0),
IF('TL01'!$B$229=J$3,SUMIF('TL01'!$C$238:$C$451,$C317,'TL01'!$J$238:$J$451),0),
IF('TL02'!$B$3=J$3,SUMIF('TL02'!$C$10:$C$224,$C317,'TL02'!$J$10:$J$224),0),
IF('TL02'!$B$229=J$3,SUMIF('TL02'!$C$238:$C$451,$C317,'TL02'!$J$238:$J$451),0),
IF('TL03'!$B$3=J$3,SUMIF('TL03'!$C$10:$C$224,$C317,'TL03'!$J$10:$J$224),0),
IF('TL03'!$B$229=J$3,SUMIF('TL03'!$C$238:$C$451,$C317,'TL03'!$J$238:$J$451),0),
IF('TL04'!$B$3=J$3,SUMIF('TL04'!$C$10:$C$224,$C317,'TL04'!$J$10:$J$224),0),
IF('TL04'!$B$229=J$3,SUMIF('TL04'!$C$238:$C$451,$C317,'TL04'!$J$238:$J$451),0),
IF('TL05'!$B$3=J$3,SUMIF('TL05'!$C$10:$C$224,$C317,'TL05'!$J$10:$J$224),0),
IF('TL05'!$B$229=J$3,SUMIF('TL05'!$C$238:$C$451,$C317,'TL05'!$J$238:$J$451),0),
IF('TL06'!$B$3=J$3,SUMIF('TL06'!$C$10:$C$224,$C317,'TL06'!$J$10:$J$224),0),
IF('TL06'!$B$229=J$3,SUMIF('TL06'!$C$238:$C$451,$C317,'TL06'!$J$238:$J$451),0),
IF('TL07'!$B$3=J$3,SUMIF('TL07'!$C$10:$C$224,$C317,'TL07'!$J$10:$J$224),0),
IF('TL07'!$B$229=J$3,SUMIF('TL07'!$C$238:$C$451,$C317,'TL07'!$J$238:$J$451),0),
IF('TL08'!$B$3=J$3,SUMIF('TL08'!$C$10:$C$224,$C317,'TL08'!$J$10:$J$224),0),
IF('TL08'!$B$229=J$3,SUMIF('TL08'!$C$238:$C$451,$C317,'TL08'!$J$238:$J$451),0),
IF('TL09'!$B$3=J$3,SUMIF('TL09'!$C$10:$C$224,$C317,'TL09'!$J$10:$J$224),0),
IF('TL09'!$B$229=J$3,SUMIF('TL09'!$C$238:$C$451,$C317,'TL09'!$J$238:$J$451),0),
IF('TL10'!$B$3=J$3,SUMIF('TL10'!$C$10:$C$224,$C317,'TL10'!$J$10:$J$224),0),
IF('TL10'!$B$229=J$3,SUMIF('TL10'!$C$238:$C$451,$C317,'TL10'!$J$238:$J$451),0),
IF('TL11'!$B$3=J$3,SUMIF('TL11'!$C$10:$C$224,$C317,'TL11'!$J$10:$J$224),0),
IF('TL11'!$B$229=J$3,SUMIF('TL11'!$C$238:$C$451,$C317,'TL11'!$J$238:$J$451),0),
IF('TL12'!$B$3=J$3,SUMIF('TL12'!$C$10:$C$224,$C317,'TL12'!$J$10:$J$224),0),
IF('TL12'!$B$229=J$3,SUMIF('TL12'!$C$238:$C$451,$C317,'TL12'!$J$238:$J$451),0),
IF('TL13'!$B$3=J$3,SUMIF('TL13'!$C$10:$C$224,$C317,'TL13'!$J$10:$J$224),0),
IF('TL13'!$B$229=J$3,SUMIF('TL13'!$C$238:$C$451,$C317,'TL13'!$J$238:$J$451),0),
IF('TL14'!$B$3=J$3,SUMIF('TL14'!$C$10:$C$224,$C317,'TL14'!$J$10:$J$224),0),
IF('TL14'!$B$229=J$3,SUMIF('TL14'!$C$238:$C$451,$C317,'TL14'!$J$238:$J$451),0),
IF('TL15'!$B$3=J$3,SUMIF('TL15'!$C$10:$C$224,$C317,'TL15'!$J$10:$J$224),0),
IF('TL15'!$B$229=J$3,SUMIF('TL15'!$C$238:$C$451,$C317,'TL15'!$J$238:$J$451),0),
IF('TL16'!$B$3=J$3,SUMIF('TL16'!$C$10:$C$224,$C317,'TL16'!$J$10:$J$224),0),
IF('TL16'!$B$229=J$3,SUMIF('TL16'!$C$238:$C$451,$C317,'TL16'!$J$238:$J$451),0),
IF('TL17'!$B$3=J$3,SUMIF('TL17'!$C$10:$C$224,$C317,'TL17'!$J$10:$J$224),0),
IF('TL17'!$B$229=J$3,SUMIF('TL17'!$C$238:$C$451,$C317,'TL17'!$J$238:$J$451),0),
IF('TL18'!$B$3=J$3,SUMIF('TL18'!$C$10:$C$224,$C317,'TL18'!$J$10:$J$224),0),
IF('TL18'!$B$229=J$3,SUMIF('TL18'!$C$238:$C$451,$C317,'TL18'!$J$238:$J$451),0),
IF('TL19'!$B$3=J$3,SUMIF('TL19'!$C$10:$C$224,$C317,'TL19'!$J$10:$J$224),0),
IF('TL19'!$B$229=J$3,SUMIF('TL19'!$C$238:$C$451,$C317,'TL19'!$J$238:$J$451),0)
),0)</f>
        <v>0</v>
      </c>
      <c r="K317" s="9">
        <f>IFERROR(SUM(
IF('TL01'!$B$3=K$3,SUMIF('TL01'!$C$10:$C$224,$C317,'TL01'!$J$10:$J$224),0),
IF('TL01'!$B$229=K$3,SUMIF('TL01'!$C$238:$C$451,$C317,'TL01'!$J$238:$J$451),0),
IF('TL02'!$B$3=K$3,SUMIF('TL02'!$C$10:$C$224,$C317,'TL02'!$J$10:$J$224),0),
IF('TL02'!$B$229=K$3,SUMIF('TL02'!$C$238:$C$451,$C317,'TL02'!$J$238:$J$451),0),
IF('TL03'!$B$3=K$3,SUMIF('TL03'!$C$10:$C$224,$C317,'TL03'!$J$10:$J$224),0),
IF('TL03'!$B$229=K$3,SUMIF('TL03'!$C$238:$C$451,$C317,'TL03'!$J$238:$J$451),0),
IF('TL04'!$B$3=K$3,SUMIF('TL04'!$C$10:$C$224,$C317,'TL04'!$J$10:$J$224),0),
IF('TL04'!$B$229=K$3,SUMIF('TL04'!$C$238:$C$451,$C317,'TL04'!$J$238:$J$451),0),
IF('TL05'!$B$3=K$3,SUMIF('TL05'!$C$10:$C$224,$C317,'TL05'!$J$10:$J$224),0),
IF('TL05'!$B$229=K$3,SUMIF('TL05'!$C$238:$C$451,$C317,'TL05'!$J$238:$J$451),0),
IF('TL06'!$B$3=K$3,SUMIF('TL06'!$C$10:$C$224,$C317,'TL06'!$J$10:$J$224),0),
IF('TL06'!$B$229=K$3,SUMIF('TL06'!$C$238:$C$451,$C317,'TL06'!$J$238:$J$451),0),
IF('TL07'!$B$3=K$3,SUMIF('TL07'!$C$10:$C$224,$C317,'TL07'!$J$10:$J$224),0),
IF('TL07'!$B$229=K$3,SUMIF('TL07'!$C$238:$C$451,$C317,'TL07'!$J$238:$J$451),0),
IF('TL08'!$B$3=K$3,SUMIF('TL08'!$C$10:$C$224,$C317,'TL08'!$J$10:$J$224),0),
IF('TL08'!$B$229=K$3,SUMIF('TL08'!$C$238:$C$451,$C317,'TL08'!$J$238:$J$451),0),
IF('TL09'!$B$3=K$3,SUMIF('TL09'!$C$10:$C$224,$C317,'TL09'!$J$10:$J$224),0),
IF('TL09'!$B$229=K$3,SUMIF('TL09'!$C$238:$C$451,$C317,'TL09'!$J$238:$J$451),0),
IF('TL10'!$B$3=K$3,SUMIF('TL10'!$C$10:$C$224,$C317,'TL10'!$J$10:$J$224),0),
IF('TL10'!$B$229=K$3,SUMIF('TL10'!$C$238:$C$451,$C317,'TL10'!$J$238:$J$451),0),
IF('TL11'!$B$3=K$3,SUMIF('TL11'!$C$10:$C$224,$C317,'TL11'!$J$10:$J$224),0),
IF('TL11'!$B$229=K$3,SUMIF('TL11'!$C$238:$C$451,$C317,'TL11'!$J$238:$J$451),0),
IF('TL12'!$B$3=K$3,SUMIF('TL12'!$C$10:$C$224,$C317,'TL12'!$J$10:$J$224),0),
IF('TL12'!$B$229=K$3,SUMIF('TL12'!$C$238:$C$451,$C317,'TL12'!$J$238:$J$451),0),
IF('TL13'!$B$3=K$3,SUMIF('TL13'!$C$10:$C$224,$C317,'TL13'!$J$10:$J$224),0),
IF('TL13'!$B$229=K$3,SUMIF('TL13'!$C$238:$C$451,$C317,'TL13'!$J$238:$J$451),0),
IF('TL14'!$B$3=K$3,SUMIF('TL14'!$C$10:$C$224,$C317,'TL14'!$J$10:$J$224),0),
IF('TL14'!$B$229=K$3,SUMIF('TL14'!$C$238:$C$451,$C317,'TL14'!$J$238:$J$451),0),
IF('TL15'!$B$3=K$3,SUMIF('TL15'!$C$10:$C$224,$C317,'TL15'!$J$10:$J$224),0),
IF('TL15'!$B$229=K$3,SUMIF('TL15'!$C$238:$C$451,$C317,'TL15'!$J$238:$J$451),0),
IF('TL16'!$B$3=K$3,SUMIF('TL16'!$C$10:$C$224,$C317,'TL16'!$J$10:$J$224),0),
IF('TL16'!$B$229=K$3,SUMIF('TL16'!$C$238:$C$451,$C317,'TL16'!$J$238:$J$451),0),
IF('TL17'!$B$3=K$3,SUMIF('TL17'!$C$10:$C$224,$C317,'TL17'!$J$10:$J$224),0),
IF('TL17'!$B$229=K$3,SUMIF('TL17'!$C$238:$C$451,$C317,'TL17'!$J$238:$J$451),0),
IF('TL18'!$B$3=K$3,SUMIF('TL18'!$C$10:$C$224,$C317,'TL18'!$J$10:$J$224),0),
IF('TL18'!$B$229=K$3,SUMIF('TL18'!$C$238:$C$451,$C317,'TL18'!$J$238:$J$451),0),
IF('TL19'!$B$3=K$3,SUMIF('TL19'!$C$10:$C$224,$C317,'TL19'!$J$10:$J$224),0),
IF('TL19'!$B$229=K$3,SUMIF('TL19'!$C$238:$C$451,$C317,'TL19'!$J$238:$J$451),0)
),0)</f>
        <v>0</v>
      </c>
      <c r="L317" s="9">
        <f>IFERROR(SUM(
IF('TL01'!$B$3=L$3,SUMIF('TL01'!$C$10:$C$224,$C317,'TL01'!$J$10:$J$224),0),
IF('TL01'!$B$229=L$3,SUMIF('TL01'!$C$238:$C$451,$C317,'TL01'!$J$238:$J$451),0),
IF('TL02'!$B$3=L$3,SUMIF('TL02'!$C$10:$C$224,$C317,'TL02'!$J$10:$J$224),0),
IF('TL02'!$B$229=L$3,SUMIF('TL02'!$C$238:$C$451,$C317,'TL02'!$J$238:$J$451),0),
IF('TL03'!$B$3=L$3,SUMIF('TL03'!$C$10:$C$224,$C317,'TL03'!$J$10:$J$224),0),
IF('TL03'!$B$229=L$3,SUMIF('TL03'!$C$238:$C$451,$C317,'TL03'!$J$238:$J$451),0),
IF('TL04'!$B$3=L$3,SUMIF('TL04'!$C$10:$C$224,$C317,'TL04'!$J$10:$J$224),0),
IF('TL04'!$B$229=L$3,SUMIF('TL04'!$C$238:$C$451,$C317,'TL04'!$J$238:$J$451),0),
IF('TL05'!$B$3=L$3,SUMIF('TL05'!$C$10:$C$224,$C317,'TL05'!$J$10:$J$224),0),
IF('TL05'!$B$229=L$3,SUMIF('TL05'!$C$238:$C$451,$C317,'TL05'!$J$238:$J$451),0),
IF('TL06'!$B$3=L$3,SUMIF('TL06'!$C$10:$C$224,$C317,'TL06'!$J$10:$J$224),0),
IF('TL06'!$B$229=L$3,SUMIF('TL06'!$C$238:$C$451,$C317,'TL06'!$J$238:$J$451),0),
IF('TL07'!$B$3=L$3,SUMIF('TL07'!$C$10:$C$224,$C317,'TL07'!$J$10:$J$224),0),
IF('TL07'!$B$229=L$3,SUMIF('TL07'!$C$238:$C$451,$C317,'TL07'!$J$238:$J$451),0),
IF('TL08'!$B$3=L$3,SUMIF('TL08'!$C$10:$C$224,$C317,'TL08'!$J$10:$J$224),0),
IF('TL08'!$B$229=L$3,SUMIF('TL08'!$C$238:$C$451,$C317,'TL08'!$J$238:$J$451),0),
IF('TL09'!$B$3=L$3,SUMIF('TL09'!$C$10:$C$224,$C317,'TL09'!$J$10:$J$224),0),
IF('TL09'!$B$229=L$3,SUMIF('TL09'!$C$238:$C$451,$C317,'TL09'!$J$238:$J$451),0),
IF('TL10'!$B$3=L$3,SUMIF('TL10'!$C$10:$C$224,$C317,'TL10'!$J$10:$J$224),0),
IF('TL10'!$B$229=L$3,SUMIF('TL10'!$C$238:$C$451,$C317,'TL10'!$J$238:$J$451),0),
IF('TL11'!$B$3=L$3,SUMIF('TL11'!$C$10:$C$224,$C317,'TL11'!$J$10:$J$224),0),
IF('TL11'!$B$229=L$3,SUMIF('TL11'!$C$238:$C$451,$C317,'TL11'!$J$238:$J$451),0),
IF('TL12'!$B$3=L$3,SUMIF('TL12'!$C$10:$C$224,$C317,'TL12'!$J$10:$J$224),0),
IF('TL12'!$B$229=L$3,SUMIF('TL12'!$C$238:$C$451,$C317,'TL12'!$J$238:$J$451),0),
IF('TL13'!$B$3=L$3,SUMIF('TL13'!$C$10:$C$224,$C317,'TL13'!$J$10:$J$224),0),
IF('TL13'!$B$229=L$3,SUMIF('TL13'!$C$238:$C$451,$C317,'TL13'!$J$238:$J$451),0),
IF('TL14'!$B$3=L$3,SUMIF('TL14'!$C$10:$C$224,$C317,'TL14'!$J$10:$J$224),0),
IF('TL14'!$B$229=L$3,SUMIF('TL14'!$C$238:$C$451,$C317,'TL14'!$J$238:$J$451),0),
IF('TL15'!$B$3=L$3,SUMIF('TL15'!$C$10:$C$224,$C317,'TL15'!$J$10:$J$224),0),
IF('TL15'!$B$229=L$3,SUMIF('TL15'!$C$238:$C$451,$C317,'TL15'!$J$238:$J$451),0),
IF('TL16'!$B$3=L$3,SUMIF('TL16'!$C$10:$C$224,$C317,'TL16'!$J$10:$J$224),0),
IF('TL16'!$B$229=L$3,SUMIF('TL16'!$C$238:$C$451,$C317,'TL16'!$J$238:$J$451),0),
IF('TL17'!$B$3=L$3,SUMIF('TL17'!$C$10:$C$224,$C317,'TL17'!$J$10:$J$224),0),
IF('TL17'!$B$229=L$3,SUMIF('TL17'!$C$238:$C$451,$C317,'TL17'!$J$238:$J$451),0),
IF('TL18'!$B$3=L$3,SUMIF('TL18'!$C$10:$C$224,$C317,'TL18'!$J$10:$J$224),0),
IF('TL18'!$B$229=L$3,SUMIF('TL18'!$C$238:$C$451,$C317,'TL18'!$J$238:$J$451),0),
IF('TL19'!$B$3=L$3,SUMIF('TL19'!$C$10:$C$224,$C317,'TL19'!$J$10:$J$224),0),
IF('TL19'!$B$229=L$3,SUMIF('TL19'!$C$238:$C$451,$C317,'TL19'!$J$238:$J$451),0)
),0)</f>
        <v>0</v>
      </c>
      <c r="M317" s="9">
        <f>IFERROR(SUM(
IF('TL01'!$B$3=M$3,SUMIF('TL01'!$C$10:$C$224,$C317,'TL01'!$J$10:$J$224),0),
IF('TL01'!$B$229=M$3,SUMIF('TL01'!$C$238:$C$451,$C317,'TL01'!$J$238:$J$451),0),
IF('TL02'!$B$3=M$3,SUMIF('TL02'!$C$10:$C$224,$C317,'TL02'!$J$10:$J$224),0),
IF('TL02'!$B$229=M$3,SUMIF('TL02'!$C$238:$C$451,$C317,'TL02'!$J$238:$J$451),0),
IF('TL03'!$B$3=M$3,SUMIF('TL03'!$C$10:$C$224,$C317,'TL03'!$J$10:$J$224),0),
IF('TL03'!$B$229=M$3,SUMIF('TL03'!$C$238:$C$451,$C317,'TL03'!$J$238:$J$451),0),
IF('TL04'!$B$3=M$3,SUMIF('TL04'!$C$10:$C$224,$C317,'TL04'!$J$10:$J$224),0),
IF('TL04'!$B$229=M$3,SUMIF('TL04'!$C$238:$C$451,$C317,'TL04'!$J$238:$J$451),0),
IF('TL05'!$B$3=M$3,SUMIF('TL05'!$C$10:$C$224,$C317,'TL05'!$J$10:$J$224),0),
IF('TL05'!$B$229=M$3,SUMIF('TL05'!$C$238:$C$451,$C317,'TL05'!$J$238:$J$451),0),
IF('TL06'!$B$3=M$3,SUMIF('TL06'!$C$10:$C$224,$C317,'TL06'!$J$10:$J$224),0),
IF('TL06'!$B$229=M$3,SUMIF('TL06'!$C$238:$C$451,$C317,'TL06'!$J$238:$J$451),0),
IF('TL07'!$B$3=M$3,SUMIF('TL07'!$C$10:$C$224,$C317,'TL07'!$J$10:$J$224),0),
IF('TL07'!$B$229=M$3,SUMIF('TL07'!$C$238:$C$451,$C317,'TL07'!$J$238:$J$451),0),
IF('TL08'!$B$3=M$3,SUMIF('TL08'!$C$10:$C$224,$C317,'TL08'!$J$10:$J$224),0),
IF('TL08'!$B$229=M$3,SUMIF('TL08'!$C$238:$C$451,$C317,'TL08'!$J$238:$J$451),0),
IF('TL09'!$B$3=M$3,SUMIF('TL09'!$C$10:$C$224,$C317,'TL09'!$J$10:$J$224),0),
IF('TL09'!$B$229=M$3,SUMIF('TL09'!$C$238:$C$451,$C317,'TL09'!$J$238:$J$451),0),
IF('TL10'!$B$3=M$3,SUMIF('TL10'!$C$10:$C$224,$C317,'TL10'!$J$10:$J$224),0),
IF('TL10'!$B$229=M$3,SUMIF('TL10'!$C$238:$C$451,$C317,'TL10'!$J$238:$J$451),0),
IF('TL11'!$B$3=M$3,SUMIF('TL11'!$C$10:$C$224,$C317,'TL11'!$J$10:$J$224),0),
IF('TL11'!$B$229=M$3,SUMIF('TL11'!$C$238:$C$451,$C317,'TL11'!$J$238:$J$451),0),
IF('TL12'!$B$3=M$3,SUMIF('TL12'!$C$10:$C$224,$C317,'TL12'!$J$10:$J$224),0),
IF('TL12'!$B$229=M$3,SUMIF('TL12'!$C$238:$C$451,$C317,'TL12'!$J$238:$J$451),0),
IF('TL13'!$B$3=M$3,SUMIF('TL13'!$C$10:$C$224,$C317,'TL13'!$J$10:$J$224),0),
IF('TL13'!$B$229=M$3,SUMIF('TL13'!$C$238:$C$451,$C317,'TL13'!$J$238:$J$451),0),
IF('TL14'!$B$3=M$3,SUMIF('TL14'!$C$10:$C$224,$C317,'TL14'!$J$10:$J$224),0),
IF('TL14'!$B$229=M$3,SUMIF('TL14'!$C$238:$C$451,$C317,'TL14'!$J$238:$J$451),0),
IF('TL15'!$B$3=M$3,SUMIF('TL15'!$C$10:$C$224,$C317,'TL15'!$J$10:$J$224),0),
IF('TL15'!$B$229=M$3,SUMIF('TL15'!$C$238:$C$451,$C317,'TL15'!$J$238:$J$451),0),
IF('TL16'!$B$3=M$3,SUMIF('TL16'!$C$10:$C$224,$C317,'TL16'!$J$10:$J$224),0),
IF('TL16'!$B$229=M$3,SUMIF('TL16'!$C$238:$C$451,$C317,'TL16'!$J$238:$J$451),0),
IF('TL17'!$B$3=M$3,SUMIF('TL17'!$C$10:$C$224,$C317,'TL17'!$J$10:$J$224),0),
IF('TL17'!$B$229=M$3,SUMIF('TL17'!$C$238:$C$451,$C317,'TL17'!$J$238:$J$451),0),
IF('TL18'!$B$3=M$3,SUMIF('TL18'!$C$10:$C$224,$C317,'TL18'!$J$10:$J$224),0),
IF('TL18'!$B$229=M$3,SUMIF('TL18'!$C$238:$C$451,$C317,'TL18'!$J$238:$J$451),0),
IF('TL19'!$B$3=M$3,SUMIF('TL19'!$C$10:$C$224,$C317,'TL19'!$J$10:$J$224),0),
IF('TL19'!$B$229=M$3,SUMIF('TL19'!$C$238:$C$451,$C317,'TL19'!$J$238:$J$451),0)
),0)</f>
        <v>0</v>
      </c>
      <c r="N317" s="9">
        <f>IFERROR(SUM(
IF('TL01'!$B$3=N$3,SUMIF('TL01'!$C$10:$C$224,$C317,'TL01'!$J$10:$J$224),0),
IF('TL01'!$B$229=N$3,SUMIF('TL01'!$C$238:$C$451,$C317,'TL01'!$J$238:$J$451),0),
IF('TL02'!$B$3=N$3,SUMIF('TL02'!$C$10:$C$224,$C317,'TL02'!$J$10:$J$224),0),
IF('TL02'!$B$229=N$3,SUMIF('TL02'!$C$238:$C$451,$C317,'TL02'!$J$238:$J$451),0),
IF('TL03'!$B$3=N$3,SUMIF('TL03'!$C$10:$C$224,$C317,'TL03'!$J$10:$J$224),0),
IF('TL03'!$B$229=N$3,SUMIF('TL03'!$C$238:$C$451,$C317,'TL03'!$J$238:$J$451),0),
IF('TL04'!$B$3=N$3,SUMIF('TL04'!$C$10:$C$224,$C317,'TL04'!$J$10:$J$224),0),
IF('TL04'!$B$229=N$3,SUMIF('TL04'!$C$238:$C$451,$C317,'TL04'!$J$238:$J$451),0),
IF('TL05'!$B$3=N$3,SUMIF('TL05'!$C$10:$C$224,$C317,'TL05'!$J$10:$J$224),0),
IF('TL05'!$B$229=N$3,SUMIF('TL05'!$C$238:$C$451,$C317,'TL05'!$J$238:$J$451),0),
IF('TL06'!$B$3=N$3,SUMIF('TL06'!$C$10:$C$224,$C317,'TL06'!$J$10:$J$224),0),
IF('TL06'!$B$229=N$3,SUMIF('TL06'!$C$238:$C$451,$C317,'TL06'!$J$238:$J$451),0),
IF('TL07'!$B$3=N$3,SUMIF('TL07'!$C$10:$C$224,$C317,'TL07'!$J$10:$J$224),0),
IF('TL07'!$B$229=N$3,SUMIF('TL07'!$C$238:$C$451,$C317,'TL07'!$J$238:$J$451),0),
IF('TL08'!$B$3=N$3,SUMIF('TL08'!$C$10:$C$224,$C317,'TL08'!$J$10:$J$224),0),
IF('TL08'!$B$229=N$3,SUMIF('TL08'!$C$238:$C$451,$C317,'TL08'!$J$238:$J$451),0),
IF('TL09'!$B$3=N$3,SUMIF('TL09'!$C$10:$C$224,$C317,'TL09'!$J$10:$J$224),0),
IF('TL09'!$B$229=N$3,SUMIF('TL09'!$C$238:$C$451,$C317,'TL09'!$J$238:$J$451),0),
IF('TL10'!$B$3=N$3,SUMIF('TL10'!$C$10:$C$224,$C317,'TL10'!$J$10:$J$224),0),
IF('TL10'!$B$229=N$3,SUMIF('TL10'!$C$238:$C$451,$C317,'TL10'!$J$238:$J$451),0),
IF('TL11'!$B$3=N$3,SUMIF('TL11'!$C$10:$C$224,$C317,'TL11'!$J$10:$J$224),0),
IF('TL11'!$B$229=N$3,SUMIF('TL11'!$C$238:$C$451,$C317,'TL11'!$J$238:$J$451),0),
IF('TL12'!$B$3=N$3,SUMIF('TL12'!$C$10:$C$224,$C317,'TL12'!$J$10:$J$224),0),
IF('TL12'!$B$229=N$3,SUMIF('TL12'!$C$238:$C$451,$C317,'TL12'!$J$238:$J$451),0),
IF('TL13'!$B$3=N$3,SUMIF('TL13'!$C$10:$C$224,$C317,'TL13'!$J$10:$J$224),0),
IF('TL13'!$B$229=N$3,SUMIF('TL13'!$C$238:$C$451,$C317,'TL13'!$J$238:$J$451),0),
IF('TL14'!$B$3=N$3,SUMIF('TL14'!$C$10:$C$224,$C317,'TL14'!$J$10:$J$224),0),
IF('TL14'!$B$229=N$3,SUMIF('TL14'!$C$238:$C$451,$C317,'TL14'!$J$238:$J$451),0),
IF('TL15'!$B$3=N$3,SUMIF('TL15'!$C$10:$C$224,$C317,'TL15'!$J$10:$J$224),0),
IF('TL15'!$B$229=N$3,SUMIF('TL15'!$C$238:$C$451,$C317,'TL15'!$J$238:$J$451),0),
IF('TL16'!$B$3=N$3,SUMIF('TL16'!$C$10:$C$224,$C317,'TL16'!$J$10:$J$224),0),
IF('TL16'!$B$229=N$3,SUMIF('TL16'!$C$238:$C$451,$C317,'TL16'!$J$238:$J$451),0),
IF('TL17'!$B$3=N$3,SUMIF('TL17'!$C$10:$C$224,$C317,'TL17'!$J$10:$J$224),0),
IF('TL17'!$B$229=N$3,SUMIF('TL17'!$C$238:$C$451,$C317,'TL17'!$J$238:$J$451),0),
IF('TL18'!$B$3=N$3,SUMIF('TL18'!$C$10:$C$224,$C317,'TL18'!$J$10:$J$224),0),
IF('TL18'!$B$229=N$3,SUMIF('TL18'!$C$238:$C$451,$C317,'TL18'!$J$238:$J$451),0),
IF('TL19'!$B$3=N$3,SUMIF('TL19'!$C$10:$C$224,$C317,'TL19'!$J$10:$J$224),0),
IF('TL19'!$B$229=N$3,SUMIF('TL19'!$C$238:$C$451,$C317,'TL19'!$J$238:$J$451),0)
),0)</f>
        <v>0</v>
      </c>
      <c r="O317" s="9">
        <f>IFERROR(SUM(
IF('TL01'!$B$3=O$3,SUMIF('TL01'!$C$10:$C$224,$C317,'TL01'!$J$10:$J$224),0),
IF('TL01'!$B$229=O$3,SUMIF('TL01'!$C$238:$C$451,$C317,'TL01'!$J$238:$J$451),0),
IF('TL02'!$B$3=O$3,SUMIF('TL02'!$C$10:$C$224,$C317,'TL02'!$J$10:$J$224),0),
IF('TL02'!$B$229=O$3,SUMIF('TL02'!$C$238:$C$451,$C317,'TL02'!$J$238:$J$451),0),
IF('TL03'!$B$3=O$3,SUMIF('TL03'!$C$10:$C$224,$C317,'TL03'!$J$10:$J$224),0),
IF('TL03'!$B$229=O$3,SUMIF('TL03'!$C$238:$C$451,$C317,'TL03'!$J$238:$J$451),0),
IF('TL04'!$B$3=O$3,SUMIF('TL04'!$C$10:$C$224,$C317,'TL04'!$J$10:$J$224),0),
IF('TL04'!$B$229=O$3,SUMIF('TL04'!$C$238:$C$451,$C317,'TL04'!$J$238:$J$451),0),
IF('TL05'!$B$3=O$3,SUMIF('TL05'!$C$10:$C$224,$C317,'TL05'!$J$10:$J$224),0),
IF('TL05'!$B$229=O$3,SUMIF('TL05'!$C$238:$C$451,$C317,'TL05'!$J$238:$J$451),0),
IF('TL06'!$B$3=O$3,SUMIF('TL06'!$C$10:$C$224,$C317,'TL06'!$J$10:$J$224),0),
IF('TL06'!$B$229=O$3,SUMIF('TL06'!$C$238:$C$451,$C317,'TL06'!$J$238:$J$451),0),
IF('TL07'!$B$3=O$3,SUMIF('TL07'!$C$10:$C$224,$C317,'TL07'!$J$10:$J$224),0),
IF('TL07'!$B$229=O$3,SUMIF('TL07'!$C$238:$C$451,$C317,'TL07'!$J$238:$J$451),0),
IF('TL08'!$B$3=O$3,SUMIF('TL08'!$C$10:$C$224,$C317,'TL08'!$J$10:$J$224),0),
IF('TL08'!$B$229=O$3,SUMIF('TL08'!$C$238:$C$451,$C317,'TL08'!$J$238:$J$451),0),
IF('TL09'!$B$3=O$3,SUMIF('TL09'!$C$10:$C$224,$C317,'TL09'!$J$10:$J$224),0),
IF('TL09'!$B$229=O$3,SUMIF('TL09'!$C$238:$C$451,$C317,'TL09'!$J$238:$J$451),0),
IF('TL10'!$B$3=O$3,SUMIF('TL10'!$C$10:$C$224,$C317,'TL10'!$J$10:$J$224),0),
IF('TL10'!$B$229=O$3,SUMIF('TL10'!$C$238:$C$451,$C317,'TL10'!$J$238:$J$451),0),
IF('TL11'!$B$3=O$3,SUMIF('TL11'!$C$10:$C$224,$C317,'TL11'!$J$10:$J$224),0),
IF('TL11'!$B$229=O$3,SUMIF('TL11'!$C$238:$C$451,$C317,'TL11'!$J$238:$J$451),0),
IF('TL12'!$B$3=O$3,SUMIF('TL12'!$C$10:$C$224,$C317,'TL12'!$J$10:$J$224),0),
IF('TL12'!$B$229=O$3,SUMIF('TL12'!$C$238:$C$451,$C317,'TL12'!$J$238:$J$451),0),
IF('TL13'!$B$3=O$3,SUMIF('TL13'!$C$10:$C$224,$C317,'TL13'!$J$10:$J$224),0),
IF('TL13'!$B$229=O$3,SUMIF('TL13'!$C$238:$C$451,$C317,'TL13'!$J$238:$J$451),0),
IF('TL14'!$B$3=O$3,SUMIF('TL14'!$C$10:$C$224,$C317,'TL14'!$J$10:$J$224),0),
IF('TL14'!$B$229=O$3,SUMIF('TL14'!$C$238:$C$451,$C317,'TL14'!$J$238:$J$451),0),
IF('TL15'!$B$3=O$3,SUMIF('TL15'!$C$10:$C$224,$C317,'TL15'!$J$10:$J$224),0),
IF('TL15'!$B$229=O$3,SUMIF('TL15'!$C$238:$C$451,$C317,'TL15'!$J$238:$J$451),0),
IF('TL16'!$B$3=O$3,SUMIF('TL16'!$C$10:$C$224,$C317,'TL16'!$J$10:$J$224),0),
IF('TL16'!$B$229=O$3,SUMIF('TL16'!$C$238:$C$451,$C317,'TL16'!$J$238:$J$451),0),
IF('TL17'!$B$3=O$3,SUMIF('TL17'!$C$10:$C$224,$C317,'TL17'!$J$10:$J$224),0),
IF('TL17'!$B$229=O$3,SUMIF('TL17'!$C$238:$C$451,$C317,'TL17'!$J$238:$J$451),0),
IF('TL18'!$B$3=O$3,SUMIF('TL18'!$C$10:$C$224,$C317,'TL18'!$J$10:$J$224),0),
IF('TL18'!$B$229=O$3,SUMIF('TL18'!$C$238:$C$451,$C317,'TL18'!$J$238:$J$451),0),
IF('TL19'!$B$3=O$3,SUMIF('TL19'!$C$10:$C$224,$C317,'TL19'!$J$10:$J$224),0),
IF('TL19'!$B$229=O$3,SUMIF('TL19'!$C$238:$C$451,$C317,'TL19'!$J$238:$J$451),0)
),0)</f>
        <v>0</v>
      </c>
      <c r="P317" s="9">
        <f>IFERROR(SUM(
IF('TL01'!$B$3=P$3,SUMIF('TL01'!$C$10:$C$224,$C317,'TL01'!$J$10:$J$224),0),
IF('TL01'!$B$229=P$3,SUMIF('TL01'!$C$238:$C$451,$C317,'TL01'!$J$238:$J$451),0),
IF('TL02'!$B$3=P$3,SUMIF('TL02'!$C$10:$C$224,$C317,'TL02'!$J$10:$J$224),0),
IF('TL02'!$B$229=P$3,SUMIF('TL02'!$C$238:$C$451,$C317,'TL02'!$J$238:$J$451),0),
IF('TL03'!$B$3=P$3,SUMIF('TL03'!$C$10:$C$224,$C317,'TL03'!$J$10:$J$224),0),
IF('TL03'!$B$229=P$3,SUMIF('TL03'!$C$238:$C$451,$C317,'TL03'!$J$238:$J$451),0),
IF('TL04'!$B$3=P$3,SUMIF('TL04'!$C$10:$C$224,$C317,'TL04'!$J$10:$J$224),0),
IF('TL04'!$B$229=P$3,SUMIF('TL04'!$C$238:$C$451,$C317,'TL04'!$J$238:$J$451),0),
IF('TL05'!$B$3=P$3,SUMIF('TL05'!$C$10:$C$224,$C317,'TL05'!$J$10:$J$224),0),
IF('TL05'!$B$229=P$3,SUMIF('TL05'!$C$238:$C$451,$C317,'TL05'!$J$238:$J$451),0),
IF('TL06'!$B$3=P$3,SUMIF('TL06'!$C$10:$C$224,$C317,'TL06'!$J$10:$J$224),0),
IF('TL06'!$B$229=P$3,SUMIF('TL06'!$C$238:$C$451,$C317,'TL06'!$J$238:$J$451),0),
IF('TL07'!$B$3=P$3,SUMIF('TL07'!$C$10:$C$224,$C317,'TL07'!$J$10:$J$224),0),
IF('TL07'!$B$229=P$3,SUMIF('TL07'!$C$238:$C$451,$C317,'TL07'!$J$238:$J$451),0),
IF('TL08'!$B$3=P$3,SUMIF('TL08'!$C$10:$C$224,$C317,'TL08'!$J$10:$J$224),0),
IF('TL08'!$B$229=P$3,SUMIF('TL08'!$C$238:$C$451,$C317,'TL08'!$J$238:$J$451),0),
IF('TL09'!$B$3=P$3,SUMIF('TL09'!$C$10:$C$224,$C317,'TL09'!$J$10:$J$224),0),
IF('TL09'!$B$229=P$3,SUMIF('TL09'!$C$238:$C$451,$C317,'TL09'!$J$238:$J$451),0),
IF('TL10'!$B$3=P$3,SUMIF('TL10'!$C$10:$C$224,$C317,'TL10'!$J$10:$J$224),0),
IF('TL10'!$B$229=P$3,SUMIF('TL10'!$C$238:$C$451,$C317,'TL10'!$J$238:$J$451),0),
IF('TL11'!$B$3=P$3,SUMIF('TL11'!$C$10:$C$224,$C317,'TL11'!$J$10:$J$224),0),
IF('TL11'!$B$229=P$3,SUMIF('TL11'!$C$238:$C$451,$C317,'TL11'!$J$238:$J$451),0),
IF('TL12'!$B$3=P$3,SUMIF('TL12'!$C$10:$C$224,$C317,'TL12'!$J$10:$J$224),0),
IF('TL12'!$B$229=P$3,SUMIF('TL12'!$C$238:$C$451,$C317,'TL12'!$J$238:$J$451),0),
IF('TL13'!$B$3=P$3,SUMIF('TL13'!$C$10:$C$224,$C317,'TL13'!$J$10:$J$224),0),
IF('TL13'!$B$229=P$3,SUMIF('TL13'!$C$238:$C$451,$C317,'TL13'!$J$238:$J$451),0),
IF('TL14'!$B$3=P$3,SUMIF('TL14'!$C$10:$C$224,$C317,'TL14'!$J$10:$J$224),0),
IF('TL14'!$B$229=P$3,SUMIF('TL14'!$C$238:$C$451,$C317,'TL14'!$J$238:$J$451),0),
IF('TL15'!$B$3=P$3,SUMIF('TL15'!$C$10:$C$224,$C317,'TL15'!$J$10:$J$224),0),
IF('TL15'!$B$229=P$3,SUMIF('TL15'!$C$238:$C$451,$C317,'TL15'!$J$238:$J$451),0),
IF('TL16'!$B$3=P$3,SUMIF('TL16'!$C$10:$C$224,$C317,'TL16'!$J$10:$J$224),0),
IF('TL16'!$B$229=P$3,SUMIF('TL16'!$C$238:$C$451,$C317,'TL16'!$J$238:$J$451),0),
IF('TL17'!$B$3=P$3,SUMIF('TL17'!$C$10:$C$224,$C317,'TL17'!$J$10:$J$224),0),
IF('TL17'!$B$229=P$3,SUMIF('TL17'!$C$238:$C$451,$C317,'TL17'!$J$238:$J$451),0),
IF('TL18'!$B$3=P$3,SUMIF('TL18'!$C$10:$C$224,$C317,'TL18'!$J$10:$J$224),0),
IF('TL18'!$B$229=P$3,SUMIF('TL18'!$C$238:$C$451,$C317,'TL18'!$J$238:$J$451),0),
IF('TL19'!$B$3=P$3,SUMIF('TL19'!$C$10:$C$224,$C317,'TL19'!$J$10:$J$224),0),
IF('TL19'!$B$229=P$3,SUMIF('TL19'!$C$238:$C$451,$C317,'TL19'!$J$238:$J$451),0)
),0)</f>
        <v>0</v>
      </c>
      <c r="Q317" s="9">
        <f>IFERROR(SUM(
IF('TL01'!$B$3=Q$3,SUMIF('TL01'!$C$10:$C$224,$C317,'TL01'!$J$10:$J$224),0),
IF('TL01'!$B$229=Q$3,SUMIF('TL01'!$C$238:$C$451,$C317,'TL01'!$J$238:$J$451),0),
IF('TL02'!$B$3=Q$3,SUMIF('TL02'!$C$10:$C$224,$C317,'TL02'!$J$10:$J$224),0),
IF('TL02'!$B$229=Q$3,SUMIF('TL02'!$C$238:$C$451,$C317,'TL02'!$J$238:$J$451),0),
IF('TL03'!$B$3=Q$3,SUMIF('TL03'!$C$10:$C$224,$C317,'TL03'!$J$10:$J$224),0),
IF('TL03'!$B$229=Q$3,SUMIF('TL03'!$C$238:$C$451,$C317,'TL03'!$J$238:$J$451),0),
IF('TL04'!$B$3=Q$3,SUMIF('TL04'!$C$10:$C$224,$C317,'TL04'!$J$10:$J$224),0),
IF('TL04'!$B$229=Q$3,SUMIF('TL04'!$C$238:$C$451,$C317,'TL04'!$J$238:$J$451),0),
IF('TL05'!$B$3=Q$3,SUMIF('TL05'!$C$10:$C$224,$C317,'TL05'!$J$10:$J$224),0),
IF('TL05'!$B$229=Q$3,SUMIF('TL05'!$C$238:$C$451,$C317,'TL05'!$J$238:$J$451),0),
IF('TL06'!$B$3=Q$3,SUMIF('TL06'!$C$10:$C$224,$C317,'TL06'!$J$10:$J$224),0),
IF('TL06'!$B$229=Q$3,SUMIF('TL06'!$C$238:$C$451,$C317,'TL06'!$J$238:$J$451),0),
IF('TL07'!$B$3=Q$3,SUMIF('TL07'!$C$10:$C$224,$C317,'TL07'!$J$10:$J$224),0),
IF('TL07'!$B$229=Q$3,SUMIF('TL07'!$C$238:$C$451,$C317,'TL07'!$J$238:$J$451),0),
IF('TL08'!$B$3=Q$3,SUMIF('TL08'!$C$10:$C$224,$C317,'TL08'!$J$10:$J$224),0),
IF('TL08'!$B$229=Q$3,SUMIF('TL08'!$C$238:$C$451,$C317,'TL08'!$J$238:$J$451),0),
IF('TL09'!$B$3=Q$3,SUMIF('TL09'!$C$10:$C$224,$C317,'TL09'!$J$10:$J$224),0),
IF('TL09'!$B$229=Q$3,SUMIF('TL09'!$C$238:$C$451,$C317,'TL09'!$J$238:$J$451),0),
IF('TL10'!$B$3=Q$3,SUMIF('TL10'!$C$10:$C$224,$C317,'TL10'!$J$10:$J$224),0),
IF('TL10'!$B$229=Q$3,SUMIF('TL10'!$C$238:$C$451,$C317,'TL10'!$J$238:$J$451),0),
IF('TL11'!$B$3=Q$3,SUMIF('TL11'!$C$10:$C$224,$C317,'TL11'!$J$10:$J$224),0),
IF('TL11'!$B$229=Q$3,SUMIF('TL11'!$C$238:$C$451,$C317,'TL11'!$J$238:$J$451),0),
IF('TL12'!$B$3=Q$3,SUMIF('TL12'!$C$10:$C$224,$C317,'TL12'!$J$10:$J$224),0),
IF('TL12'!$B$229=Q$3,SUMIF('TL12'!$C$238:$C$451,$C317,'TL12'!$J$238:$J$451),0),
IF('TL13'!$B$3=Q$3,SUMIF('TL13'!$C$10:$C$224,$C317,'TL13'!$J$10:$J$224),0),
IF('TL13'!$B$229=Q$3,SUMIF('TL13'!$C$238:$C$451,$C317,'TL13'!$J$238:$J$451),0),
IF('TL14'!$B$3=Q$3,SUMIF('TL14'!$C$10:$C$224,$C317,'TL14'!$J$10:$J$224),0),
IF('TL14'!$B$229=Q$3,SUMIF('TL14'!$C$238:$C$451,$C317,'TL14'!$J$238:$J$451),0),
IF('TL15'!$B$3=Q$3,SUMIF('TL15'!$C$10:$C$224,$C317,'TL15'!$J$10:$J$224),0),
IF('TL15'!$B$229=Q$3,SUMIF('TL15'!$C$238:$C$451,$C317,'TL15'!$J$238:$J$451),0),
IF('TL16'!$B$3=Q$3,SUMIF('TL16'!$C$10:$C$224,$C317,'TL16'!$J$10:$J$224),0),
IF('TL16'!$B$229=Q$3,SUMIF('TL16'!$C$238:$C$451,$C317,'TL16'!$J$238:$J$451),0),
IF('TL17'!$B$3=Q$3,SUMIF('TL17'!$C$10:$C$224,$C317,'TL17'!$J$10:$J$224),0),
IF('TL17'!$B$229=Q$3,SUMIF('TL17'!$C$238:$C$451,$C317,'TL17'!$J$238:$J$451),0),
IF('TL18'!$B$3=Q$3,SUMIF('TL18'!$C$10:$C$224,$C317,'TL18'!$J$10:$J$224),0),
IF('TL18'!$B$229=Q$3,SUMIF('TL18'!$C$238:$C$451,$C317,'TL18'!$J$238:$J$451),0),
IF('TL19'!$B$3=Q$3,SUMIF('TL19'!$C$10:$C$224,$C317,'TL19'!$J$10:$J$224),0),
IF('TL19'!$B$229=Q$3,SUMIF('TL19'!$C$238:$C$451,$C317,'TL19'!$J$238:$J$451),0)
),0)</f>
        <v>0</v>
      </c>
      <c r="R317" s="9">
        <f>IFERROR(
SUM(
SUMIF('TL01'!C:C,C317,'TL01'!J:J),
SUMIF('TL02'!C:C,C317,'TL02'!J:J),
SUMIF('TL03'!C:C,C317,'TL03'!J:J),
SUMIF('TL04'!C:C,C317,'TL04'!J:J),
SUMIF('TL05'!C:C,C317,'TL05'!J:J),
SUMIF('TL06'!C:C,C317,'TL06'!J:J),
SUMIF('TL07'!C:C,C317,'TL07'!J:J),
SUMIF('TL08'!C:C,C317,'TL08'!J:J),
SUMIF('TL09'!C:C,C317,'TL09'!J:J),
SUMIF('TL10'!C:C,C317,'TL10'!J:J),
SUMIF('TL11'!C:C,C317,'TL11'!J:J),
SUMIF('TL12'!C:C,C317,'TL12'!J:J),
SUMIF('TL13'!C:C,C317,'TL13'!J:J),
SUMIF('TL14'!C:C,C317,'TL14'!J:J),
SUMIF('TL15'!C:C,C317,'TL15'!J:J),
SUMIF('TL16'!C:C,C317,'TL16'!J:J),
SUMIF('TL17'!C:C,C317,'TL17'!J:J),
SUMIF('TL18'!C:C,C317,'TL18'!J:J),SUMIF('TL19'!C:C,C317,'TL19'!J:J))
,0)</f>
        <v>0</v>
      </c>
      <c r="S317" s="17" t="str">
        <f>IFERROR(__xludf.DUMMYFUNCTION("IFERROR(VLOOKUP(C317,
IMPORTRANGE(""1wULbzX32WdYsx-lj2U3uUNBBe2INVIRDtcK0d-Dvl90"",
""26-27!C:G""),
5,
FALSE),
"""")"),"")</f>
        <v/>
      </c>
      <c r="T317" s="9"/>
      <c r="U317" s="92">
        <f t="shared" si="2"/>
        <v>0</v>
      </c>
      <c r="V317" s="93">
        <f t="shared" si="3"/>
        <v>0</v>
      </c>
    </row>
    <row r="318" ht="15.75" hidden="1" customHeight="1">
      <c r="A318" s="4"/>
      <c r="B318" s="125" t="s">
        <v>5</v>
      </c>
      <c r="C318" s="4" t="s">
        <v>1041</v>
      </c>
      <c r="D318" s="6"/>
      <c r="E318" s="9"/>
      <c r="F318" s="4" t="s">
        <v>1042</v>
      </c>
      <c r="G318" s="90" t="str">
        <f t="shared" si="5"/>
        <v>📄 Ver bula</v>
      </c>
      <c r="H318" s="9"/>
      <c r="I318" s="1" t="s">
        <v>1043</v>
      </c>
      <c r="J318" s="9">
        <f>IFERROR(SUM(
IF('TL01'!$B$3=J$3,SUMIF('TL01'!$C$10:$C$224,$C318,'TL01'!$J$10:$J$224),0),
IF('TL01'!$B$229=J$3,SUMIF('TL01'!$C$238:$C$451,$C318,'TL01'!$J$238:$J$451),0),
IF('TL02'!$B$3=J$3,SUMIF('TL02'!$C$10:$C$224,$C318,'TL02'!$J$10:$J$224),0),
IF('TL02'!$B$229=J$3,SUMIF('TL02'!$C$238:$C$451,$C318,'TL02'!$J$238:$J$451),0),
IF('TL03'!$B$3=J$3,SUMIF('TL03'!$C$10:$C$224,$C318,'TL03'!$J$10:$J$224),0),
IF('TL03'!$B$229=J$3,SUMIF('TL03'!$C$238:$C$451,$C318,'TL03'!$J$238:$J$451),0),
IF('TL04'!$B$3=J$3,SUMIF('TL04'!$C$10:$C$224,$C318,'TL04'!$J$10:$J$224),0),
IF('TL04'!$B$229=J$3,SUMIF('TL04'!$C$238:$C$451,$C318,'TL04'!$J$238:$J$451),0),
IF('TL05'!$B$3=J$3,SUMIF('TL05'!$C$10:$C$224,$C318,'TL05'!$J$10:$J$224),0),
IF('TL05'!$B$229=J$3,SUMIF('TL05'!$C$238:$C$451,$C318,'TL05'!$J$238:$J$451),0),
IF('TL06'!$B$3=J$3,SUMIF('TL06'!$C$10:$C$224,$C318,'TL06'!$J$10:$J$224),0),
IF('TL06'!$B$229=J$3,SUMIF('TL06'!$C$238:$C$451,$C318,'TL06'!$J$238:$J$451),0),
IF('TL07'!$B$3=J$3,SUMIF('TL07'!$C$10:$C$224,$C318,'TL07'!$J$10:$J$224),0),
IF('TL07'!$B$229=J$3,SUMIF('TL07'!$C$238:$C$451,$C318,'TL07'!$J$238:$J$451),0),
IF('TL08'!$B$3=J$3,SUMIF('TL08'!$C$10:$C$224,$C318,'TL08'!$J$10:$J$224),0),
IF('TL08'!$B$229=J$3,SUMIF('TL08'!$C$238:$C$451,$C318,'TL08'!$J$238:$J$451),0),
IF('TL09'!$B$3=J$3,SUMIF('TL09'!$C$10:$C$224,$C318,'TL09'!$J$10:$J$224),0),
IF('TL09'!$B$229=J$3,SUMIF('TL09'!$C$238:$C$451,$C318,'TL09'!$J$238:$J$451),0),
IF('TL10'!$B$3=J$3,SUMIF('TL10'!$C$10:$C$224,$C318,'TL10'!$J$10:$J$224),0),
IF('TL10'!$B$229=J$3,SUMIF('TL10'!$C$238:$C$451,$C318,'TL10'!$J$238:$J$451),0),
IF('TL11'!$B$3=J$3,SUMIF('TL11'!$C$10:$C$224,$C318,'TL11'!$J$10:$J$224),0),
IF('TL11'!$B$229=J$3,SUMIF('TL11'!$C$238:$C$451,$C318,'TL11'!$J$238:$J$451),0),
IF('TL12'!$B$3=J$3,SUMIF('TL12'!$C$10:$C$224,$C318,'TL12'!$J$10:$J$224),0),
IF('TL12'!$B$229=J$3,SUMIF('TL12'!$C$238:$C$451,$C318,'TL12'!$J$238:$J$451),0),
IF('TL13'!$B$3=J$3,SUMIF('TL13'!$C$10:$C$224,$C318,'TL13'!$J$10:$J$224),0),
IF('TL13'!$B$229=J$3,SUMIF('TL13'!$C$238:$C$451,$C318,'TL13'!$J$238:$J$451),0),
IF('TL14'!$B$3=J$3,SUMIF('TL14'!$C$10:$C$224,$C318,'TL14'!$J$10:$J$224),0),
IF('TL14'!$B$229=J$3,SUMIF('TL14'!$C$238:$C$451,$C318,'TL14'!$J$238:$J$451),0),
IF('TL15'!$B$3=J$3,SUMIF('TL15'!$C$10:$C$224,$C318,'TL15'!$J$10:$J$224),0),
IF('TL15'!$B$229=J$3,SUMIF('TL15'!$C$238:$C$451,$C318,'TL15'!$J$238:$J$451),0),
IF('TL16'!$B$3=J$3,SUMIF('TL16'!$C$10:$C$224,$C318,'TL16'!$J$10:$J$224),0),
IF('TL16'!$B$229=J$3,SUMIF('TL16'!$C$238:$C$451,$C318,'TL16'!$J$238:$J$451),0),
IF('TL17'!$B$3=J$3,SUMIF('TL17'!$C$10:$C$224,$C318,'TL17'!$J$10:$J$224),0),
IF('TL17'!$B$229=J$3,SUMIF('TL17'!$C$238:$C$451,$C318,'TL17'!$J$238:$J$451),0),
IF('TL18'!$B$3=J$3,SUMIF('TL18'!$C$10:$C$224,$C318,'TL18'!$J$10:$J$224),0),
IF('TL18'!$B$229=J$3,SUMIF('TL18'!$C$238:$C$451,$C318,'TL18'!$J$238:$J$451),0),
IF('TL19'!$B$3=J$3,SUMIF('TL19'!$C$10:$C$224,$C318,'TL19'!$J$10:$J$224),0),
IF('TL19'!$B$229=J$3,SUMIF('TL19'!$C$238:$C$451,$C318,'TL19'!$J$238:$J$451),0)
),0)</f>
        <v>0</v>
      </c>
      <c r="K318" s="9">
        <f>IFERROR(SUM(
IF('TL01'!$B$3=K$3,SUMIF('TL01'!$C$10:$C$224,$C318,'TL01'!$J$10:$J$224),0),
IF('TL01'!$B$229=K$3,SUMIF('TL01'!$C$238:$C$451,$C318,'TL01'!$J$238:$J$451),0),
IF('TL02'!$B$3=K$3,SUMIF('TL02'!$C$10:$C$224,$C318,'TL02'!$J$10:$J$224),0),
IF('TL02'!$B$229=K$3,SUMIF('TL02'!$C$238:$C$451,$C318,'TL02'!$J$238:$J$451),0),
IF('TL03'!$B$3=K$3,SUMIF('TL03'!$C$10:$C$224,$C318,'TL03'!$J$10:$J$224),0),
IF('TL03'!$B$229=K$3,SUMIF('TL03'!$C$238:$C$451,$C318,'TL03'!$J$238:$J$451),0),
IF('TL04'!$B$3=K$3,SUMIF('TL04'!$C$10:$C$224,$C318,'TL04'!$J$10:$J$224),0),
IF('TL04'!$B$229=K$3,SUMIF('TL04'!$C$238:$C$451,$C318,'TL04'!$J$238:$J$451),0),
IF('TL05'!$B$3=K$3,SUMIF('TL05'!$C$10:$C$224,$C318,'TL05'!$J$10:$J$224),0),
IF('TL05'!$B$229=K$3,SUMIF('TL05'!$C$238:$C$451,$C318,'TL05'!$J$238:$J$451),0),
IF('TL06'!$B$3=K$3,SUMIF('TL06'!$C$10:$C$224,$C318,'TL06'!$J$10:$J$224),0),
IF('TL06'!$B$229=K$3,SUMIF('TL06'!$C$238:$C$451,$C318,'TL06'!$J$238:$J$451),0),
IF('TL07'!$B$3=K$3,SUMIF('TL07'!$C$10:$C$224,$C318,'TL07'!$J$10:$J$224),0),
IF('TL07'!$B$229=K$3,SUMIF('TL07'!$C$238:$C$451,$C318,'TL07'!$J$238:$J$451),0),
IF('TL08'!$B$3=K$3,SUMIF('TL08'!$C$10:$C$224,$C318,'TL08'!$J$10:$J$224),0),
IF('TL08'!$B$229=K$3,SUMIF('TL08'!$C$238:$C$451,$C318,'TL08'!$J$238:$J$451),0),
IF('TL09'!$B$3=K$3,SUMIF('TL09'!$C$10:$C$224,$C318,'TL09'!$J$10:$J$224),0),
IF('TL09'!$B$229=K$3,SUMIF('TL09'!$C$238:$C$451,$C318,'TL09'!$J$238:$J$451),0),
IF('TL10'!$B$3=K$3,SUMIF('TL10'!$C$10:$C$224,$C318,'TL10'!$J$10:$J$224),0),
IF('TL10'!$B$229=K$3,SUMIF('TL10'!$C$238:$C$451,$C318,'TL10'!$J$238:$J$451),0),
IF('TL11'!$B$3=K$3,SUMIF('TL11'!$C$10:$C$224,$C318,'TL11'!$J$10:$J$224),0),
IF('TL11'!$B$229=K$3,SUMIF('TL11'!$C$238:$C$451,$C318,'TL11'!$J$238:$J$451),0),
IF('TL12'!$B$3=K$3,SUMIF('TL12'!$C$10:$C$224,$C318,'TL12'!$J$10:$J$224),0),
IF('TL12'!$B$229=K$3,SUMIF('TL12'!$C$238:$C$451,$C318,'TL12'!$J$238:$J$451),0),
IF('TL13'!$B$3=K$3,SUMIF('TL13'!$C$10:$C$224,$C318,'TL13'!$J$10:$J$224),0),
IF('TL13'!$B$229=K$3,SUMIF('TL13'!$C$238:$C$451,$C318,'TL13'!$J$238:$J$451),0),
IF('TL14'!$B$3=K$3,SUMIF('TL14'!$C$10:$C$224,$C318,'TL14'!$J$10:$J$224),0),
IF('TL14'!$B$229=K$3,SUMIF('TL14'!$C$238:$C$451,$C318,'TL14'!$J$238:$J$451),0),
IF('TL15'!$B$3=K$3,SUMIF('TL15'!$C$10:$C$224,$C318,'TL15'!$J$10:$J$224),0),
IF('TL15'!$B$229=K$3,SUMIF('TL15'!$C$238:$C$451,$C318,'TL15'!$J$238:$J$451),0),
IF('TL16'!$B$3=K$3,SUMIF('TL16'!$C$10:$C$224,$C318,'TL16'!$J$10:$J$224),0),
IF('TL16'!$B$229=K$3,SUMIF('TL16'!$C$238:$C$451,$C318,'TL16'!$J$238:$J$451),0),
IF('TL17'!$B$3=K$3,SUMIF('TL17'!$C$10:$C$224,$C318,'TL17'!$J$10:$J$224),0),
IF('TL17'!$B$229=K$3,SUMIF('TL17'!$C$238:$C$451,$C318,'TL17'!$J$238:$J$451),0),
IF('TL18'!$B$3=K$3,SUMIF('TL18'!$C$10:$C$224,$C318,'TL18'!$J$10:$J$224),0),
IF('TL18'!$B$229=K$3,SUMIF('TL18'!$C$238:$C$451,$C318,'TL18'!$J$238:$J$451),0),
IF('TL19'!$B$3=K$3,SUMIF('TL19'!$C$10:$C$224,$C318,'TL19'!$J$10:$J$224),0),
IF('TL19'!$B$229=K$3,SUMIF('TL19'!$C$238:$C$451,$C318,'TL19'!$J$238:$J$451),0)
),0)</f>
        <v>0</v>
      </c>
      <c r="L318" s="9">
        <f>IFERROR(SUM(
IF('TL01'!$B$3=L$3,SUMIF('TL01'!$C$10:$C$224,$C318,'TL01'!$J$10:$J$224),0),
IF('TL01'!$B$229=L$3,SUMIF('TL01'!$C$238:$C$451,$C318,'TL01'!$J$238:$J$451),0),
IF('TL02'!$B$3=L$3,SUMIF('TL02'!$C$10:$C$224,$C318,'TL02'!$J$10:$J$224),0),
IF('TL02'!$B$229=L$3,SUMIF('TL02'!$C$238:$C$451,$C318,'TL02'!$J$238:$J$451),0),
IF('TL03'!$B$3=L$3,SUMIF('TL03'!$C$10:$C$224,$C318,'TL03'!$J$10:$J$224),0),
IF('TL03'!$B$229=L$3,SUMIF('TL03'!$C$238:$C$451,$C318,'TL03'!$J$238:$J$451),0),
IF('TL04'!$B$3=L$3,SUMIF('TL04'!$C$10:$C$224,$C318,'TL04'!$J$10:$J$224),0),
IF('TL04'!$B$229=L$3,SUMIF('TL04'!$C$238:$C$451,$C318,'TL04'!$J$238:$J$451),0),
IF('TL05'!$B$3=L$3,SUMIF('TL05'!$C$10:$C$224,$C318,'TL05'!$J$10:$J$224),0),
IF('TL05'!$B$229=L$3,SUMIF('TL05'!$C$238:$C$451,$C318,'TL05'!$J$238:$J$451),0),
IF('TL06'!$B$3=L$3,SUMIF('TL06'!$C$10:$C$224,$C318,'TL06'!$J$10:$J$224),0),
IF('TL06'!$B$229=L$3,SUMIF('TL06'!$C$238:$C$451,$C318,'TL06'!$J$238:$J$451),0),
IF('TL07'!$B$3=L$3,SUMIF('TL07'!$C$10:$C$224,$C318,'TL07'!$J$10:$J$224),0),
IF('TL07'!$B$229=L$3,SUMIF('TL07'!$C$238:$C$451,$C318,'TL07'!$J$238:$J$451),0),
IF('TL08'!$B$3=L$3,SUMIF('TL08'!$C$10:$C$224,$C318,'TL08'!$J$10:$J$224),0),
IF('TL08'!$B$229=L$3,SUMIF('TL08'!$C$238:$C$451,$C318,'TL08'!$J$238:$J$451),0),
IF('TL09'!$B$3=L$3,SUMIF('TL09'!$C$10:$C$224,$C318,'TL09'!$J$10:$J$224),0),
IF('TL09'!$B$229=L$3,SUMIF('TL09'!$C$238:$C$451,$C318,'TL09'!$J$238:$J$451),0),
IF('TL10'!$B$3=L$3,SUMIF('TL10'!$C$10:$C$224,$C318,'TL10'!$J$10:$J$224),0),
IF('TL10'!$B$229=L$3,SUMIF('TL10'!$C$238:$C$451,$C318,'TL10'!$J$238:$J$451),0),
IF('TL11'!$B$3=L$3,SUMIF('TL11'!$C$10:$C$224,$C318,'TL11'!$J$10:$J$224),0),
IF('TL11'!$B$229=L$3,SUMIF('TL11'!$C$238:$C$451,$C318,'TL11'!$J$238:$J$451),0),
IF('TL12'!$B$3=L$3,SUMIF('TL12'!$C$10:$C$224,$C318,'TL12'!$J$10:$J$224),0),
IF('TL12'!$B$229=L$3,SUMIF('TL12'!$C$238:$C$451,$C318,'TL12'!$J$238:$J$451),0),
IF('TL13'!$B$3=L$3,SUMIF('TL13'!$C$10:$C$224,$C318,'TL13'!$J$10:$J$224),0),
IF('TL13'!$B$229=L$3,SUMIF('TL13'!$C$238:$C$451,$C318,'TL13'!$J$238:$J$451),0),
IF('TL14'!$B$3=L$3,SUMIF('TL14'!$C$10:$C$224,$C318,'TL14'!$J$10:$J$224),0),
IF('TL14'!$B$229=L$3,SUMIF('TL14'!$C$238:$C$451,$C318,'TL14'!$J$238:$J$451),0),
IF('TL15'!$B$3=L$3,SUMIF('TL15'!$C$10:$C$224,$C318,'TL15'!$J$10:$J$224),0),
IF('TL15'!$B$229=L$3,SUMIF('TL15'!$C$238:$C$451,$C318,'TL15'!$J$238:$J$451),0),
IF('TL16'!$B$3=L$3,SUMIF('TL16'!$C$10:$C$224,$C318,'TL16'!$J$10:$J$224),0),
IF('TL16'!$B$229=L$3,SUMIF('TL16'!$C$238:$C$451,$C318,'TL16'!$J$238:$J$451),0),
IF('TL17'!$B$3=L$3,SUMIF('TL17'!$C$10:$C$224,$C318,'TL17'!$J$10:$J$224),0),
IF('TL17'!$B$229=L$3,SUMIF('TL17'!$C$238:$C$451,$C318,'TL17'!$J$238:$J$451),0),
IF('TL18'!$B$3=L$3,SUMIF('TL18'!$C$10:$C$224,$C318,'TL18'!$J$10:$J$224),0),
IF('TL18'!$B$229=L$3,SUMIF('TL18'!$C$238:$C$451,$C318,'TL18'!$J$238:$J$451),0),
IF('TL19'!$B$3=L$3,SUMIF('TL19'!$C$10:$C$224,$C318,'TL19'!$J$10:$J$224),0),
IF('TL19'!$B$229=L$3,SUMIF('TL19'!$C$238:$C$451,$C318,'TL19'!$J$238:$J$451),0)
),0)</f>
        <v>0</v>
      </c>
      <c r="M318" s="9">
        <f>IFERROR(SUM(
IF('TL01'!$B$3=M$3,SUMIF('TL01'!$C$10:$C$224,$C318,'TL01'!$J$10:$J$224),0),
IF('TL01'!$B$229=M$3,SUMIF('TL01'!$C$238:$C$451,$C318,'TL01'!$J$238:$J$451),0),
IF('TL02'!$B$3=M$3,SUMIF('TL02'!$C$10:$C$224,$C318,'TL02'!$J$10:$J$224),0),
IF('TL02'!$B$229=M$3,SUMIF('TL02'!$C$238:$C$451,$C318,'TL02'!$J$238:$J$451),0),
IF('TL03'!$B$3=M$3,SUMIF('TL03'!$C$10:$C$224,$C318,'TL03'!$J$10:$J$224),0),
IF('TL03'!$B$229=M$3,SUMIF('TL03'!$C$238:$C$451,$C318,'TL03'!$J$238:$J$451),0),
IF('TL04'!$B$3=M$3,SUMIF('TL04'!$C$10:$C$224,$C318,'TL04'!$J$10:$J$224),0),
IF('TL04'!$B$229=M$3,SUMIF('TL04'!$C$238:$C$451,$C318,'TL04'!$J$238:$J$451),0),
IF('TL05'!$B$3=M$3,SUMIF('TL05'!$C$10:$C$224,$C318,'TL05'!$J$10:$J$224),0),
IF('TL05'!$B$229=M$3,SUMIF('TL05'!$C$238:$C$451,$C318,'TL05'!$J$238:$J$451),0),
IF('TL06'!$B$3=M$3,SUMIF('TL06'!$C$10:$C$224,$C318,'TL06'!$J$10:$J$224),0),
IF('TL06'!$B$229=M$3,SUMIF('TL06'!$C$238:$C$451,$C318,'TL06'!$J$238:$J$451),0),
IF('TL07'!$B$3=M$3,SUMIF('TL07'!$C$10:$C$224,$C318,'TL07'!$J$10:$J$224),0),
IF('TL07'!$B$229=M$3,SUMIF('TL07'!$C$238:$C$451,$C318,'TL07'!$J$238:$J$451),0),
IF('TL08'!$B$3=M$3,SUMIF('TL08'!$C$10:$C$224,$C318,'TL08'!$J$10:$J$224),0),
IF('TL08'!$B$229=M$3,SUMIF('TL08'!$C$238:$C$451,$C318,'TL08'!$J$238:$J$451),0),
IF('TL09'!$B$3=M$3,SUMIF('TL09'!$C$10:$C$224,$C318,'TL09'!$J$10:$J$224),0),
IF('TL09'!$B$229=M$3,SUMIF('TL09'!$C$238:$C$451,$C318,'TL09'!$J$238:$J$451),0),
IF('TL10'!$B$3=M$3,SUMIF('TL10'!$C$10:$C$224,$C318,'TL10'!$J$10:$J$224),0),
IF('TL10'!$B$229=M$3,SUMIF('TL10'!$C$238:$C$451,$C318,'TL10'!$J$238:$J$451),0),
IF('TL11'!$B$3=M$3,SUMIF('TL11'!$C$10:$C$224,$C318,'TL11'!$J$10:$J$224),0),
IF('TL11'!$B$229=M$3,SUMIF('TL11'!$C$238:$C$451,$C318,'TL11'!$J$238:$J$451),0),
IF('TL12'!$B$3=M$3,SUMIF('TL12'!$C$10:$C$224,$C318,'TL12'!$J$10:$J$224),0),
IF('TL12'!$B$229=M$3,SUMIF('TL12'!$C$238:$C$451,$C318,'TL12'!$J$238:$J$451),0),
IF('TL13'!$B$3=M$3,SUMIF('TL13'!$C$10:$C$224,$C318,'TL13'!$J$10:$J$224),0),
IF('TL13'!$B$229=M$3,SUMIF('TL13'!$C$238:$C$451,$C318,'TL13'!$J$238:$J$451),0),
IF('TL14'!$B$3=M$3,SUMIF('TL14'!$C$10:$C$224,$C318,'TL14'!$J$10:$J$224),0),
IF('TL14'!$B$229=M$3,SUMIF('TL14'!$C$238:$C$451,$C318,'TL14'!$J$238:$J$451),0),
IF('TL15'!$B$3=M$3,SUMIF('TL15'!$C$10:$C$224,$C318,'TL15'!$J$10:$J$224),0),
IF('TL15'!$B$229=M$3,SUMIF('TL15'!$C$238:$C$451,$C318,'TL15'!$J$238:$J$451),0),
IF('TL16'!$B$3=M$3,SUMIF('TL16'!$C$10:$C$224,$C318,'TL16'!$J$10:$J$224),0),
IF('TL16'!$B$229=M$3,SUMIF('TL16'!$C$238:$C$451,$C318,'TL16'!$J$238:$J$451),0),
IF('TL17'!$B$3=M$3,SUMIF('TL17'!$C$10:$C$224,$C318,'TL17'!$J$10:$J$224),0),
IF('TL17'!$B$229=M$3,SUMIF('TL17'!$C$238:$C$451,$C318,'TL17'!$J$238:$J$451),0),
IF('TL18'!$B$3=M$3,SUMIF('TL18'!$C$10:$C$224,$C318,'TL18'!$J$10:$J$224),0),
IF('TL18'!$B$229=M$3,SUMIF('TL18'!$C$238:$C$451,$C318,'TL18'!$J$238:$J$451),0),
IF('TL19'!$B$3=M$3,SUMIF('TL19'!$C$10:$C$224,$C318,'TL19'!$J$10:$J$224),0),
IF('TL19'!$B$229=M$3,SUMIF('TL19'!$C$238:$C$451,$C318,'TL19'!$J$238:$J$451),0)
),0)</f>
        <v>0</v>
      </c>
      <c r="N318" s="9">
        <f>IFERROR(SUM(
IF('TL01'!$B$3=N$3,SUMIF('TL01'!$C$10:$C$224,$C318,'TL01'!$J$10:$J$224),0),
IF('TL01'!$B$229=N$3,SUMIF('TL01'!$C$238:$C$451,$C318,'TL01'!$J$238:$J$451),0),
IF('TL02'!$B$3=N$3,SUMIF('TL02'!$C$10:$C$224,$C318,'TL02'!$J$10:$J$224),0),
IF('TL02'!$B$229=N$3,SUMIF('TL02'!$C$238:$C$451,$C318,'TL02'!$J$238:$J$451),0),
IF('TL03'!$B$3=N$3,SUMIF('TL03'!$C$10:$C$224,$C318,'TL03'!$J$10:$J$224),0),
IF('TL03'!$B$229=N$3,SUMIF('TL03'!$C$238:$C$451,$C318,'TL03'!$J$238:$J$451),0),
IF('TL04'!$B$3=N$3,SUMIF('TL04'!$C$10:$C$224,$C318,'TL04'!$J$10:$J$224),0),
IF('TL04'!$B$229=N$3,SUMIF('TL04'!$C$238:$C$451,$C318,'TL04'!$J$238:$J$451),0),
IF('TL05'!$B$3=N$3,SUMIF('TL05'!$C$10:$C$224,$C318,'TL05'!$J$10:$J$224),0),
IF('TL05'!$B$229=N$3,SUMIF('TL05'!$C$238:$C$451,$C318,'TL05'!$J$238:$J$451),0),
IF('TL06'!$B$3=N$3,SUMIF('TL06'!$C$10:$C$224,$C318,'TL06'!$J$10:$J$224),0),
IF('TL06'!$B$229=N$3,SUMIF('TL06'!$C$238:$C$451,$C318,'TL06'!$J$238:$J$451),0),
IF('TL07'!$B$3=N$3,SUMIF('TL07'!$C$10:$C$224,$C318,'TL07'!$J$10:$J$224),0),
IF('TL07'!$B$229=N$3,SUMIF('TL07'!$C$238:$C$451,$C318,'TL07'!$J$238:$J$451),0),
IF('TL08'!$B$3=N$3,SUMIF('TL08'!$C$10:$C$224,$C318,'TL08'!$J$10:$J$224),0),
IF('TL08'!$B$229=N$3,SUMIF('TL08'!$C$238:$C$451,$C318,'TL08'!$J$238:$J$451),0),
IF('TL09'!$B$3=N$3,SUMIF('TL09'!$C$10:$C$224,$C318,'TL09'!$J$10:$J$224),0),
IF('TL09'!$B$229=N$3,SUMIF('TL09'!$C$238:$C$451,$C318,'TL09'!$J$238:$J$451),0),
IF('TL10'!$B$3=N$3,SUMIF('TL10'!$C$10:$C$224,$C318,'TL10'!$J$10:$J$224),0),
IF('TL10'!$B$229=N$3,SUMIF('TL10'!$C$238:$C$451,$C318,'TL10'!$J$238:$J$451),0),
IF('TL11'!$B$3=N$3,SUMIF('TL11'!$C$10:$C$224,$C318,'TL11'!$J$10:$J$224),0),
IF('TL11'!$B$229=N$3,SUMIF('TL11'!$C$238:$C$451,$C318,'TL11'!$J$238:$J$451),0),
IF('TL12'!$B$3=N$3,SUMIF('TL12'!$C$10:$C$224,$C318,'TL12'!$J$10:$J$224),0),
IF('TL12'!$B$229=N$3,SUMIF('TL12'!$C$238:$C$451,$C318,'TL12'!$J$238:$J$451),0),
IF('TL13'!$B$3=N$3,SUMIF('TL13'!$C$10:$C$224,$C318,'TL13'!$J$10:$J$224),0),
IF('TL13'!$B$229=N$3,SUMIF('TL13'!$C$238:$C$451,$C318,'TL13'!$J$238:$J$451),0),
IF('TL14'!$B$3=N$3,SUMIF('TL14'!$C$10:$C$224,$C318,'TL14'!$J$10:$J$224),0),
IF('TL14'!$B$229=N$3,SUMIF('TL14'!$C$238:$C$451,$C318,'TL14'!$J$238:$J$451),0),
IF('TL15'!$B$3=N$3,SUMIF('TL15'!$C$10:$C$224,$C318,'TL15'!$J$10:$J$224),0),
IF('TL15'!$B$229=N$3,SUMIF('TL15'!$C$238:$C$451,$C318,'TL15'!$J$238:$J$451),0),
IF('TL16'!$B$3=N$3,SUMIF('TL16'!$C$10:$C$224,$C318,'TL16'!$J$10:$J$224),0),
IF('TL16'!$B$229=N$3,SUMIF('TL16'!$C$238:$C$451,$C318,'TL16'!$J$238:$J$451),0),
IF('TL17'!$B$3=N$3,SUMIF('TL17'!$C$10:$C$224,$C318,'TL17'!$J$10:$J$224),0),
IF('TL17'!$B$229=N$3,SUMIF('TL17'!$C$238:$C$451,$C318,'TL17'!$J$238:$J$451),0),
IF('TL18'!$B$3=N$3,SUMIF('TL18'!$C$10:$C$224,$C318,'TL18'!$J$10:$J$224),0),
IF('TL18'!$B$229=N$3,SUMIF('TL18'!$C$238:$C$451,$C318,'TL18'!$J$238:$J$451),0),
IF('TL19'!$B$3=N$3,SUMIF('TL19'!$C$10:$C$224,$C318,'TL19'!$J$10:$J$224),0),
IF('TL19'!$B$229=N$3,SUMIF('TL19'!$C$238:$C$451,$C318,'TL19'!$J$238:$J$451),0)
),0)</f>
        <v>0</v>
      </c>
      <c r="O318" s="9">
        <f>IFERROR(SUM(
IF('TL01'!$B$3=O$3,SUMIF('TL01'!$C$10:$C$224,$C318,'TL01'!$J$10:$J$224),0),
IF('TL01'!$B$229=O$3,SUMIF('TL01'!$C$238:$C$451,$C318,'TL01'!$J$238:$J$451),0),
IF('TL02'!$B$3=O$3,SUMIF('TL02'!$C$10:$C$224,$C318,'TL02'!$J$10:$J$224),0),
IF('TL02'!$B$229=O$3,SUMIF('TL02'!$C$238:$C$451,$C318,'TL02'!$J$238:$J$451),0),
IF('TL03'!$B$3=O$3,SUMIF('TL03'!$C$10:$C$224,$C318,'TL03'!$J$10:$J$224),0),
IF('TL03'!$B$229=O$3,SUMIF('TL03'!$C$238:$C$451,$C318,'TL03'!$J$238:$J$451),0),
IF('TL04'!$B$3=O$3,SUMIF('TL04'!$C$10:$C$224,$C318,'TL04'!$J$10:$J$224),0),
IF('TL04'!$B$229=O$3,SUMIF('TL04'!$C$238:$C$451,$C318,'TL04'!$J$238:$J$451),0),
IF('TL05'!$B$3=O$3,SUMIF('TL05'!$C$10:$C$224,$C318,'TL05'!$J$10:$J$224),0),
IF('TL05'!$B$229=O$3,SUMIF('TL05'!$C$238:$C$451,$C318,'TL05'!$J$238:$J$451),0),
IF('TL06'!$B$3=O$3,SUMIF('TL06'!$C$10:$C$224,$C318,'TL06'!$J$10:$J$224),0),
IF('TL06'!$B$229=O$3,SUMIF('TL06'!$C$238:$C$451,$C318,'TL06'!$J$238:$J$451),0),
IF('TL07'!$B$3=O$3,SUMIF('TL07'!$C$10:$C$224,$C318,'TL07'!$J$10:$J$224),0),
IF('TL07'!$B$229=O$3,SUMIF('TL07'!$C$238:$C$451,$C318,'TL07'!$J$238:$J$451),0),
IF('TL08'!$B$3=O$3,SUMIF('TL08'!$C$10:$C$224,$C318,'TL08'!$J$10:$J$224),0),
IF('TL08'!$B$229=O$3,SUMIF('TL08'!$C$238:$C$451,$C318,'TL08'!$J$238:$J$451),0),
IF('TL09'!$B$3=O$3,SUMIF('TL09'!$C$10:$C$224,$C318,'TL09'!$J$10:$J$224),0),
IF('TL09'!$B$229=O$3,SUMIF('TL09'!$C$238:$C$451,$C318,'TL09'!$J$238:$J$451),0),
IF('TL10'!$B$3=O$3,SUMIF('TL10'!$C$10:$C$224,$C318,'TL10'!$J$10:$J$224),0),
IF('TL10'!$B$229=O$3,SUMIF('TL10'!$C$238:$C$451,$C318,'TL10'!$J$238:$J$451),0),
IF('TL11'!$B$3=O$3,SUMIF('TL11'!$C$10:$C$224,$C318,'TL11'!$J$10:$J$224),0),
IF('TL11'!$B$229=O$3,SUMIF('TL11'!$C$238:$C$451,$C318,'TL11'!$J$238:$J$451),0),
IF('TL12'!$B$3=O$3,SUMIF('TL12'!$C$10:$C$224,$C318,'TL12'!$J$10:$J$224),0),
IF('TL12'!$B$229=O$3,SUMIF('TL12'!$C$238:$C$451,$C318,'TL12'!$J$238:$J$451),0),
IF('TL13'!$B$3=O$3,SUMIF('TL13'!$C$10:$C$224,$C318,'TL13'!$J$10:$J$224),0),
IF('TL13'!$B$229=O$3,SUMIF('TL13'!$C$238:$C$451,$C318,'TL13'!$J$238:$J$451),0),
IF('TL14'!$B$3=O$3,SUMIF('TL14'!$C$10:$C$224,$C318,'TL14'!$J$10:$J$224),0),
IF('TL14'!$B$229=O$3,SUMIF('TL14'!$C$238:$C$451,$C318,'TL14'!$J$238:$J$451),0),
IF('TL15'!$B$3=O$3,SUMIF('TL15'!$C$10:$C$224,$C318,'TL15'!$J$10:$J$224),0),
IF('TL15'!$B$229=O$3,SUMIF('TL15'!$C$238:$C$451,$C318,'TL15'!$J$238:$J$451),0),
IF('TL16'!$B$3=O$3,SUMIF('TL16'!$C$10:$C$224,$C318,'TL16'!$J$10:$J$224),0),
IF('TL16'!$B$229=O$3,SUMIF('TL16'!$C$238:$C$451,$C318,'TL16'!$J$238:$J$451),0),
IF('TL17'!$B$3=O$3,SUMIF('TL17'!$C$10:$C$224,$C318,'TL17'!$J$10:$J$224),0),
IF('TL17'!$B$229=O$3,SUMIF('TL17'!$C$238:$C$451,$C318,'TL17'!$J$238:$J$451),0),
IF('TL18'!$B$3=O$3,SUMIF('TL18'!$C$10:$C$224,$C318,'TL18'!$J$10:$J$224),0),
IF('TL18'!$B$229=O$3,SUMIF('TL18'!$C$238:$C$451,$C318,'TL18'!$J$238:$J$451),0),
IF('TL19'!$B$3=O$3,SUMIF('TL19'!$C$10:$C$224,$C318,'TL19'!$J$10:$J$224),0),
IF('TL19'!$B$229=O$3,SUMIF('TL19'!$C$238:$C$451,$C318,'TL19'!$J$238:$J$451),0)
),0)</f>
        <v>0</v>
      </c>
      <c r="P318" s="9">
        <f>IFERROR(SUM(
IF('TL01'!$B$3=P$3,SUMIF('TL01'!$C$10:$C$224,$C318,'TL01'!$J$10:$J$224),0),
IF('TL01'!$B$229=P$3,SUMIF('TL01'!$C$238:$C$451,$C318,'TL01'!$J$238:$J$451),0),
IF('TL02'!$B$3=P$3,SUMIF('TL02'!$C$10:$C$224,$C318,'TL02'!$J$10:$J$224),0),
IF('TL02'!$B$229=P$3,SUMIF('TL02'!$C$238:$C$451,$C318,'TL02'!$J$238:$J$451),0),
IF('TL03'!$B$3=P$3,SUMIF('TL03'!$C$10:$C$224,$C318,'TL03'!$J$10:$J$224),0),
IF('TL03'!$B$229=P$3,SUMIF('TL03'!$C$238:$C$451,$C318,'TL03'!$J$238:$J$451),0),
IF('TL04'!$B$3=P$3,SUMIF('TL04'!$C$10:$C$224,$C318,'TL04'!$J$10:$J$224),0),
IF('TL04'!$B$229=P$3,SUMIF('TL04'!$C$238:$C$451,$C318,'TL04'!$J$238:$J$451),0),
IF('TL05'!$B$3=P$3,SUMIF('TL05'!$C$10:$C$224,$C318,'TL05'!$J$10:$J$224),0),
IF('TL05'!$B$229=P$3,SUMIF('TL05'!$C$238:$C$451,$C318,'TL05'!$J$238:$J$451),0),
IF('TL06'!$B$3=P$3,SUMIF('TL06'!$C$10:$C$224,$C318,'TL06'!$J$10:$J$224),0),
IF('TL06'!$B$229=P$3,SUMIF('TL06'!$C$238:$C$451,$C318,'TL06'!$J$238:$J$451),0),
IF('TL07'!$B$3=P$3,SUMIF('TL07'!$C$10:$C$224,$C318,'TL07'!$J$10:$J$224),0),
IF('TL07'!$B$229=P$3,SUMIF('TL07'!$C$238:$C$451,$C318,'TL07'!$J$238:$J$451),0),
IF('TL08'!$B$3=P$3,SUMIF('TL08'!$C$10:$C$224,$C318,'TL08'!$J$10:$J$224),0),
IF('TL08'!$B$229=P$3,SUMIF('TL08'!$C$238:$C$451,$C318,'TL08'!$J$238:$J$451),0),
IF('TL09'!$B$3=P$3,SUMIF('TL09'!$C$10:$C$224,$C318,'TL09'!$J$10:$J$224),0),
IF('TL09'!$B$229=P$3,SUMIF('TL09'!$C$238:$C$451,$C318,'TL09'!$J$238:$J$451),0),
IF('TL10'!$B$3=P$3,SUMIF('TL10'!$C$10:$C$224,$C318,'TL10'!$J$10:$J$224),0),
IF('TL10'!$B$229=P$3,SUMIF('TL10'!$C$238:$C$451,$C318,'TL10'!$J$238:$J$451),0),
IF('TL11'!$B$3=P$3,SUMIF('TL11'!$C$10:$C$224,$C318,'TL11'!$J$10:$J$224),0),
IF('TL11'!$B$229=P$3,SUMIF('TL11'!$C$238:$C$451,$C318,'TL11'!$J$238:$J$451),0),
IF('TL12'!$B$3=P$3,SUMIF('TL12'!$C$10:$C$224,$C318,'TL12'!$J$10:$J$224),0),
IF('TL12'!$B$229=P$3,SUMIF('TL12'!$C$238:$C$451,$C318,'TL12'!$J$238:$J$451),0),
IF('TL13'!$B$3=P$3,SUMIF('TL13'!$C$10:$C$224,$C318,'TL13'!$J$10:$J$224),0),
IF('TL13'!$B$229=P$3,SUMIF('TL13'!$C$238:$C$451,$C318,'TL13'!$J$238:$J$451),0),
IF('TL14'!$B$3=P$3,SUMIF('TL14'!$C$10:$C$224,$C318,'TL14'!$J$10:$J$224),0),
IF('TL14'!$B$229=P$3,SUMIF('TL14'!$C$238:$C$451,$C318,'TL14'!$J$238:$J$451),0),
IF('TL15'!$B$3=P$3,SUMIF('TL15'!$C$10:$C$224,$C318,'TL15'!$J$10:$J$224),0),
IF('TL15'!$B$229=P$3,SUMIF('TL15'!$C$238:$C$451,$C318,'TL15'!$J$238:$J$451),0),
IF('TL16'!$B$3=P$3,SUMIF('TL16'!$C$10:$C$224,$C318,'TL16'!$J$10:$J$224),0),
IF('TL16'!$B$229=P$3,SUMIF('TL16'!$C$238:$C$451,$C318,'TL16'!$J$238:$J$451),0),
IF('TL17'!$B$3=P$3,SUMIF('TL17'!$C$10:$C$224,$C318,'TL17'!$J$10:$J$224),0),
IF('TL17'!$B$229=P$3,SUMIF('TL17'!$C$238:$C$451,$C318,'TL17'!$J$238:$J$451),0),
IF('TL18'!$B$3=P$3,SUMIF('TL18'!$C$10:$C$224,$C318,'TL18'!$J$10:$J$224),0),
IF('TL18'!$B$229=P$3,SUMIF('TL18'!$C$238:$C$451,$C318,'TL18'!$J$238:$J$451),0),
IF('TL19'!$B$3=P$3,SUMIF('TL19'!$C$10:$C$224,$C318,'TL19'!$J$10:$J$224),0),
IF('TL19'!$B$229=P$3,SUMIF('TL19'!$C$238:$C$451,$C318,'TL19'!$J$238:$J$451),0)
),0)</f>
        <v>0</v>
      </c>
      <c r="Q318" s="9">
        <f>IFERROR(SUM(
IF('TL01'!$B$3=Q$3,SUMIF('TL01'!$C$10:$C$224,$C318,'TL01'!$J$10:$J$224),0),
IF('TL01'!$B$229=Q$3,SUMIF('TL01'!$C$238:$C$451,$C318,'TL01'!$J$238:$J$451),0),
IF('TL02'!$B$3=Q$3,SUMIF('TL02'!$C$10:$C$224,$C318,'TL02'!$J$10:$J$224),0),
IF('TL02'!$B$229=Q$3,SUMIF('TL02'!$C$238:$C$451,$C318,'TL02'!$J$238:$J$451),0),
IF('TL03'!$B$3=Q$3,SUMIF('TL03'!$C$10:$C$224,$C318,'TL03'!$J$10:$J$224),0),
IF('TL03'!$B$229=Q$3,SUMIF('TL03'!$C$238:$C$451,$C318,'TL03'!$J$238:$J$451),0),
IF('TL04'!$B$3=Q$3,SUMIF('TL04'!$C$10:$C$224,$C318,'TL04'!$J$10:$J$224),0),
IF('TL04'!$B$229=Q$3,SUMIF('TL04'!$C$238:$C$451,$C318,'TL04'!$J$238:$J$451),0),
IF('TL05'!$B$3=Q$3,SUMIF('TL05'!$C$10:$C$224,$C318,'TL05'!$J$10:$J$224),0),
IF('TL05'!$B$229=Q$3,SUMIF('TL05'!$C$238:$C$451,$C318,'TL05'!$J$238:$J$451),0),
IF('TL06'!$B$3=Q$3,SUMIF('TL06'!$C$10:$C$224,$C318,'TL06'!$J$10:$J$224),0),
IF('TL06'!$B$229=Q$3,SUMIF('TL06'!$C$238:$C$451,$C318,'TL06'!$J$238:$J$451),0),
IF('TL07'!$B$3=Q$3,SUMIF('TL07'!$C$10:$C$224,$C318,'TL07'!$J$10:$J$224),0),
IF('TL07'!$B$229=Q$3,SUMIF('TL07'!$C$238:$C$451,$C318,'TL07'!$J$238:$J$451),0),
IF('TL08'!$B$3=Q$3,SUMIF('TL08'!$C$10:$C$224,$C318,'TL08'!$J$10:$J$224),0),
IF('TL08'!$B$229=Q$3,SUMIF('TL08'!$C$238:$C$451,$C318,'TL08'!$J$238:$J$451),0),
IF('TL09'!$B$3=Q$3,SUMIF('TL09'!$C$10:$C$224,$C318,'TL09'!$J$10:$J$224),0),
IF('TL09'!$B$229=Q$3,SUMIF('TL09'!$C$238:$C$451,$C318,'TL09'!$J$238:$J$451),0),
IF('TL10'!$B$3=Q$3,SUMIF('TL10'!$C$10:$C$224,$C318,'TL10'!$J$10:$J$224),0),
IF('TL10'!$B$229=Q$3,SUMIF('TL10'!$C$238:$C$451,$C318,'TL10'!$J$238:$J$451),0),
IF('TL11'!$B$3=Q$3,SUMIF('TL11'!$C$10:$C$224,$C318,'TL11'!$J$10:$J$224),0),
IF('TL11'!$B$229=Q$3,SUMIF('TL11'!$C$238:$C$451,$C318,'TL11'!$J$238:$J$451),0),
IF('TL12'!$B$3=Q$3,SUMIF('TL12'!$C$10:$C$224,$C318,'TL12'!$J$10:$J$224),0),
IF('TL12'!$B$229=Q$3,SUMIF('TL12'!$C$238:$C$451,$C318,'TL12'!$J$238:$J$451),0),
IF('TL13'!$B$3=Q$3,SUMIF('TL13'!$C$10:$C$224,$C318,'TL13'!$J$10:$J$224),0),
IF('TL13'!$B$229=Q$3,SUMIF('TL13'!$C$238:$C$451,$C318,'TL13'!$J$238:$J$451),0),
IF('TL14'!$B$3=Q$3,SUMIF('TL14'!$C$10:$C$224,$C318,'TL14'!$J$10:$J$224),0),
IF('TL14'!$B$229=Q$3,SUMIF('TL14'!$C$238:$C$451,$C318,'TL14'!$J$238:$J$451),0),
IF('TL15'!$B$3=Q$3,SUMIF('TL15'!$C$10:$C$224,$C318,'TL15'!$J$10:$J$224),0),
IF('TL15'!$B$229=Q$3,SUMIF('TL15'!$C$238:$C$451,$C318,'TL15'!$J$238:$J$451),0),
IF('TL16'!$B$3=Q$3,SUMIF('TL16'!$C$10:$C$224,$C318,'TL16'!$J$10:$J$224),0),
IF('TL16'!$B$229=Q$3,SUMIF('TL16'!$C$238:$C$451,$C318,'TL16'!$J$238:$J$451),0),
IF('TL17'!$B$3=Q$3,SUMIF('TL17'!$C$10:$C$224,$C318,'TL17'!$J$10:$J$224),0),
IF('TL17'!$B$229=Q$3,SUMIF('TL17'!$C$238:$C$451,$C318,'TL17'!$J$238:$J$451),0),
IF('TL18'!$B$3=Q$3,SUMIF('TL18'!$C$10:$C$224,$C318,'TL18'!$J$10:$J$224),0),
IF('TL18'!$B$229=Q$3,SUMIF('TL18'!$C$238:$C$451,$C318,'TL18'!$J$238:$J$451),0),
IF('TL19'!$B$3=Q$3,SUMIF('TL19'!$C$10:$C$224,$C318,'TL19'!$J$10:$J$224),0),
IF('TL19'!$B$229=Q$3,SUMIF('TL19'!$C$238:$C$451,$C318,'TL19'!$J$238:$J$451),0)
),0)</f>
        <v>0</v>
      </c>
      <c r="R318" s="9">
        <f>IFERROR(
SUM(
SUMIF('TL01'!C:C,C318,'TL01'!J:J),
SUMIF('TL02'!C:C,C318,'TL02'!J:J),
SUMIF('TL03'!C:C,C318,'TL03'!J:J),
SUMIF('TL04'!C:C,C318,'TL04'!J:J),
SUMIF('TL05'!C:C,C318,'TL05'!J:J),
SUMIF('TL06'!C:C,C318,'TL06'!J:J),
SUMIF('TL07'!C:C,C318,'TL07'!J:J),
SUMIF('TL08'!C:C,C318,'TL08'!J:J),
SUMIF('TL09'!C:C,C318,'TL09'!J:J),
SUMIF('TL10'!C:C,C318,'TL10'!J:J),
SUMIF('TL11'!C:C,C318,'TL11'!J:J),
SUMIF('TL12'!C:C,C318,'TL12'!J:J),
SUMIF('TL13'!C:C,C318,'TL13'!J:J),
SUMIF('TL14'!C:C,C318,'TL14'!J:J),
SUMIF('TL15'!C:C,C318,'TL15'!J:J),
SUMIF('TL16'!C:C,C318,'TL16'!J:J),
SUMIF('TL17'!C:C,C318,'TL17'!J:J),
SUMIF('TL18'!C:C,C318,'TL18'!J:J),SUMIF('TL19'!C:C,C318,'TL19'!J:J))
,0)</f>
        <v>0</v>
      </c>
      <c r="S318" s="17" t="str">
        <f>IFERROR(__xludf.DUMMYFUNCTION("IFERROR(VLOOKUP(C318,
IMPORTRANGE(""1wULbzX32WdYsx-lj2U3uUNBBe2INVIRDtcK0d-Dvl90"",
""26-27!C:G""),
5,
FALSE),
"""")"),"")</f>
        <v/>
      </c>
      <c r="T318" s="9"/>
      <c r="U318" s="92">
        <f t="shared" si="2"/>
        <v>0</v>
      </c>
      <c r="V318" s="93">
        <f t="shared" si="3"/>
        <v>0</v>
      </c>
    </row>
    <row r="319" ht="15.75" hidden="1" customHeight="1">
      <c r="A319" s="4"/>
      <c r="B319" s="125" t="s">
        <v>5</v>
      </c>
      <c r="C319" s="4" t="s">
        <v>1044</v>
      </c>
      <c r="D319" s="6"/>
      <c r="E319" s="9"/>
      <c r="F319" s="4" t="s">
        <v>1042</v>
      </c>
      <c r="G319" s="90" t="str">
        <f t="shared" si="5"/>
        <v>📄 Ver bula</v>
      </c>
      <c r="H319" s="9"/>
      <c r="I319" s="1"/>
      <c r="J319" s="9">
        <f>IFERROR(SUM(
IF('TL01'!$B$3=J$3,SUMIF('TL01'!$C$10:$C$224,$C319,'TL01'!$J$10:$J$224),0),
IF('TL01'!$B$229=J$3,SUMIF('TL01'!$C$238:$C$451,$C319,'TL01'!$J$238:$J$451),0),
IF('TL02'!$B$3=J$3,SUMIF('TL02'!$C$10:$C$224,$C319,'TL02'!$J$10:$J$224),0),
IF('TL02'!$B$229=J$3,SUMIF('TL02'!$C$238:$C$451,$C319,'TL02'!$J$238:$J$451),0),
IF('TL03'!$B$3=J$3,SUMIF('TL03'!$C$10:$C$224,$C319,'TL03'!$J$10:$J$224),0),
IF('TL03'!$B$229=J$3,SUMIF('TL03'!$C$238:$C$451,$C319,'TL03'!$J$238:$J$451),0),
IF('TL04'!$B$3=J$3,SUMIF('TL04'!$C$10:$C$224,$C319,'TL04'!$J$10:$J$224),0),
IF('TL04'!$B$229=J$3,SUMIF('TL04'!$C$238:$C$451,$C319,'TL04'!$J$238:$J$451),0),
IF('TL05'!$B$3=J$3,SUMIF('TL05'!$C$10:$C$224,$C319,'TL05'!$J$10:$J$224),0),
IF('TL05'!$B$229=J$3,SUMIF('TL05'!$C$238:$C$451,$C319,'TL05'!$J$238:$J$451),0),
IF('TL06'!$B$3=J$3,SUMIF('TL06'!$C$10:$C$224,$C319,'TL06'!$J$10:$J$224),0),
IF('TL06'!$B$229=J$3,SUMIF('TL06'!$C$238:$C$451,$C319,'TL06'!$J$238:$J$451),0),
IF('TL07'!$B$3=J$3,SUMIF('TL07'!$C$10:$C$224,$C319,'TL07'!$J$10:$J$224),0),
IF('TL07'!$B$229=J$3,SUMIF('TL07'!$C$238:$C$451,$C319,'TL07'!$J$238:$J$451),0),
IF('TL08'!$B$3=J$3,SUMIF('TL08'!$C$10:$C$224,$C319,'TL08'!$J$10:$J$224),0),
IF('TL08'!$B$229=J$3,SUMIF('TL08'!$C$238:$C$451,$C319,'TL08'!$J$238:$J$451),0),
IF('TL09'!$B$3=J$3,SUMIF('TL09'!$C$10:$C$224,$C319,'TL09'!$J$10:$J$224),0),
IF('TL09'!$B$229=J$3,SUMIF('TL09'!$C$238:$C$451,$C319,'TL09'!$J$238:$J$451),0),
IF('TL10'!$B$3=J$3,SUMIF('TL10'!$C$10:$C$224,$C319,'TL10'!$J$10:$J$224),0),
IF('TL10'!$B$229=J$3,SUMIF('TL10'!$C$238:$C$451,$C319,'TL10'!$J$238:$J$451),0),
IF('TL11'!$B$3=J$3,SUMIF('TL11'!$C$10:$C$224,$C319,'TL11'!$J$10:$J$224),0),
IF('TL11'!$B$229=J$3,SUMIF('TL11'!$C$238:$C$451,$C319,'TL11'!$J$238:$J$451),0),
IF('TL12'!$B$3=J$3,SUMIF('TL12'!$C$10:$C$224,$C319,'TL12'!$J$10:$J$224),0),
IF('TL12'!$B$229=J$3,SUMIF('TL12'!$C$238:$C$451,$C319,'TL12'!$J$238:$J$451),0),
IF('TL13'!$B$3=J$3,SUMIF('TL13'!$C$10:$C$224,$C319,'TL13'!$J$10:$J$224),0),
IF('TL13'!$B$229=J$3,SUMIF('TL13'!$C$238:$C$451,$C319,'TL13'!$J$238:$J$451),0),
IF('TL14'!$B$3=J$3,SUMIF('TL14'!$C$10:$C$224,$C319,'TL14'!$J$10:$J$224),0),
IF('TL14'!$B$229=J$3,SUMIF('TL14'!$C$238:$C$451,$C319,'TL14'!$J$238:$J$451),0),
IF('TL15'!$B$3=J$3,SUMIF('TL15'!$C$10:$C$224,$C319,'TL15'!$J$10:$J$224),0),
IF('TL15'!$B$229=J$3,SUMIF('TL15'!$C$238:$C$451,$C319,'TL15'!$J$238:$J$451),0),
IF('TL16'!$B$3=J$3,SUMIF('TL16'!$C$10:$C$224,$C319,'TL16'!$J$10:$J$224),0),
IF('TL16'!$B$229=J$3,SUMIF('TL16'!$C$238:$C$451,$C319,'TL16'!$J$238:$J$451),0),
IF('TL17'!$B$3=J$3,SUMIF('TL17'!$C$10:$C$224,$C319,'TL17'!$J$10:$J$224),0),
IF('TL17'!$B$229=J$3,SUMIF('TL17'!$C$238:$C$451,$C319,'TL17'!$J$238:$J$451),0),
IF('TL18'!$B$3=J$3,SUMIF('TL18'!$C$10:$C$224,$C319,'TL18'!$J$10:$J$224),0),
IF('TL18'!$B$229=J$3,SUMIF('TL18'!$C$238:$C$451,$C319,'TL18'!$J$238:$J$451),0),
IF('TL19'!$B$3=J$3,SUMIF('TL19'!$C$10:$C$224,$C319,'TL19'!$J$10:$J$224),0),
IF('TL19'!$B$229=J$3,SUMIF('TL19'!$C$238:$C$451,$C319,'TL19'!$J$238:$J$451),0)
),0)</f>
        <v>0</v>
      </c>
      <c r="K319" s="9">
        <f>IFERROR(SUM(
IF('TL01'!$B$3=K$3,SUMIF('TL01'!$C$10:$C$224,$C319,'TL01'!$J$10:$J$224),0),
IF('TL01'!$B$229=K$3,SUMIF('TL01'!$C$238:$C$451,$C319,'TL01'!$J$238:$J$451),0),
IF('TL02'!$B$3=K$3,SUMIF('TL02'!$C$10:$C$224,$C319,'TL02'!$J$10:$J$224),0),
IF('TL02'!$B$229=K$3,SUMIF('TL02'!$C$238:$C$451,$C319,'TL02'!$J$238:$J$451),0),
IF('TL03'!$B$3=K$3,SUMIF('TL03'!$C$10:$C$224,$C319,'TL03'!$J$10:$J$224),0),
IF('TL03'!$B$229=K$3,SUMIF('TL03'!$C$238:$C$451,$C319,'TL03'!$J$238:$J$451),0),
IF('TL04'!$B$3=K$3,SUMIF('TL04'!$C$10:$C$224,$C319,'TL04'!$J$10:$J$224),0),
IF('TL04'!$B$229=K$3,SUMIF('TL04'!$C$238:$C$451,$C319,'TL04'!$J$238:$J$451),0),
IF('TL05'!$B$3=K$3,SUMIF('TL05'!$C$10:$C$224,$C319,'TL05'!$J$10:$J$224),0),
IF('TL05'!$B$229=K$3,SUMIF('TL05'!$C$238:$C$451,$C319,'TL05'!$J$238:$J$451),0),
IF('TL06'!$B$3=K$3,SUMIF('TL06'!$C$10:$C$224,$C319,'TL06'!$J$10:$J$224),0),
IF('TL06'!$B$229=K$3,SUMIF('TL06'!$C$238:$C$451,$C319,'TL06'!$J$238:$J$451),0),
IF('TL07'!$B$3=K$3,SUMIF('TL07'!$C$10:$C$224,$C319,'TL07'!$J$10:$J$224),0),
IF('TL07'!$B$229=K$3,SUMIF('TL07'!$C$238:$C$451,$C319,'TL07'!$J$238:$J$451),0),
IF('TL08'!$B$3=K$3,SUMIF('TL08'!$C$10:$C$224,$C319,'TL08'!$J$10:$J$224),0),
IF('TL08'!$B$229=K$3,SUMIF('TL08'!$C$238:$C$451,$C319,'TL08'!$J$238:$J$451),0),
IF('TL09'!$B$3=K$3,SUMIF('TL09'!$C$10:$C$224,$C319,'TL09'!$J$10:$J$224),0),
IF('TL09'!$B$229=K$3,SUMIF('TL09'!$C$238:$C$451,$C319,'TL09'!$J$238:$J$451),0),
IF('TL10'!$B$3=K$3,SUMIF('TL10'!$C$10:$C$224,$C319,'TL10'!$J$10:$J$224),0),
IF('TL10'!$B$229=K$3,SUMIF('TL10'!$C$238:$C$451,$C319,'TL10'!$J$238:$J$451),0),
IF('TL11'!$B$3=K$3,SUMIF('TL11'!$C$10:$C$224,$C319,'TL11'!$J$10:$J$224),0),
IF('TL11'!$B$229=K$3,SUMIF('TL11'!$C$238:$C$451,$C319,'TL11'!$J$238:$J$451),0),
IF('TL12'!$B$3=K$3,SUMIF('TL12'!$C$10:$C$224,$C319,'TL12'!$J$10:$J$224),0),
IF('TL12'!$B$229=K$3,SUMIF('TL12'!$C$238:$C$451,$C319,'TL12'!$J$238:$J$451),0),
IF('TL13'!$B$3=K$3,SUMIF('TL13'!$C$10:$C$224,$C319,'TL13'!$J$10:$J$224),0),
IF('TL13'!$B$229=K$3,SUMIF('TL13'!$C$238:$C$451,$C319,'TL13'!$J$238:$J$451),0),
IF('TL14'!$B$3=K$3,SUMIF('TL14'!$C$10:$C$224,$C319,'TL14'!$J$10:$J$224),0),
IF('TL14'!$B$229=K$3,SUMIF('TL14'!$C$238:$C$451,$C319,'TL14'!$J$238:$J$451),0),
IF('TL15'!$B$3=K$3,SUMIF('TL15'!$C$10:$C$224,$C319,'TL15'!$J$10:$J$224),0),
IF('TL15'!$B$229=K$3,SUMIF('TL15'!$C$238:$C$451,$C319,'TL15'!$J$238:$J$451),0),
IF('TL16'!$B$3=K$3,SUMIF('TL16'!$C$10:$C$224,$C319,'TL16'!$J$10:$J$224),0),
IF('TL16'!$B$229=K$3,SUMIF('TL16'!$C$238:$C$451,$C319,'TL16'!$J$238:$J$451),0),
IF('TL17'!$B$3=K$3,SUMIF('TL17'!$C$10:$C$224,$C319,'TL17'!$J$10:$J$224),0),
IF('TL17'!$B$229=K$3,SUMIF('TL17'!$C$238:$C$451,$C319,'TL17'!$J$238:$J$451),0),
IF('TL18'!$B$3=K$3,SUMIF('TL18'!$C$10:$C$224,$C319,'TL18'!$J$10:$J$224),0),
IF('TL18'!$B$229=K$3,SUMIF('TL18'!$C$238:$C$451,$C319,'TL18'!$J$238:$J$451),0),
IF('TL19'!$B$3=K$3,SUMIF('TL19'!$C$10:$C$224,$C319,'TL19'!$J$10:$J$224),0),
IF('TL19'!$B$229=K$3,SUMIF('TL19'!$C$238:$C$451,$C319,'TL19'!$J$238:$J$451),0)
),0)</f>
        <v>0</v>
      </c>
      <c r="L319" s="9">
        <f>IFERROR(SUM(
IF('TL01'!$B$3=L$3,SUMIF('TL01'!$C$10:$C$224,$C319,'TL01'!$J$10:$J$224),0),
IF('TL01'!$B$229=L$3,SUMIF('TL01'!$C$238:$C$451,$C319,'TL01'!$J$238:$J$451),0),
IF('TL02'!$B$3=L$3,SUMIF('TL02'!$C$10:$C$224,$C319,'TL02'!$J$10:$J$224),0),
IF('TL02'!$B$229=L$3,SUMIF('TL02'!$C$238:$C$451,$C319,'TL02'!$J$238:$J$451),0),
IF('TL03'!$B$3=L$3,SUMIF('TL03'!$C$10:$C$224,$C319,'TL03'!$J$10:$J$224),0),
IF('TL03'!$B$229=L$3,SUMIF('TL03'!$C$238:$C$451,$C319,'TL03'!$J$238:$J$451),0),
IF('TL04'!$B$3=L$3,SUMIF('TL04'!$C$10:$C$224,$C319,'TL04'!$J$10:$J$224),0),
IF('TL04'!$B$229=L$3,SUMIF('TL04'!$C$238:$C$451,$C319,'TL04'!$J$238:$J$451),0),
IF('TL05'!$B$3=L$3,SUMIF('TL05'!$C$10:$C$224,$C319,'TL05'!$J$10:$J$224),0),
IF('TL05'!$B$229=L$3,SUMIF('TL05'!$C$238:$C$451,$C319,'TL05'!$J$238:$J$451),0),
IF('TL06'!$B$3=L$3,SUMIF('TL06'!$C$10:$C$224,$C319,'TL06'!$J$10:$J$224),0),
IF('TL06'!$B$229=L$3,SUMIF('TL06'!$C$238:$C$451,$C319,'TL06'!$J$238:$J$451),0),
IF('TL07'!$B$3=L$3,SUMIF('TL07'!$C$10:$C$224,$C319,'TL07'!$J$10:$J$224),0),
IF('TL07'!$B$229=L$3,SUMIF('TL07'!$C$238:$C$451,$C319,'TL07'!$J$238:$J$451),0),
IF('TL08'!$B$3=L$3,SUMIF('TL08'!$C$10:$C$224,$C319,'TL08'!$J$10:$J$224),0),
IF('TL08'!$B$229=L$3,SUMIF('TL08'!$C$238:$C$451,$C319,'TL08'!$J$238:$J$451),0),
IF('TL09'!$B$3=L$3,SUMIF('TL09'!$C$10:$C$224,$C319,'TL09'!$J$10:$J$224),0),
IF('TL09'!$B$229=L$3,SUMIF('TL09'!$C$238:$C$451,$C319,'TL09'!$J$238:$J$451),0),
IF('TL10'!$B$3=L$3,SUMIF('TL10'!$C$10:$C$224,$C319,'TL10'!$J$10:$J$224),0),
IF('TL10'!$B$229=L$3,SUMIF('TL10'!$C$238:$C$451,$C319,'TL10'!$J$238:$J$451),0),
IF('TL11'!$B$3=L$3,SUMIF('TL11'!$C$10:$C$224,$C319,'TL11'!$J$10:$J$224),0),
IF('TL11'!$B$229=L$3,SUMIF('TL11'!$C$238:$C$451,$C319,'TL11'!$J$238:$J$451),0),
IF('TL12'!$B$3=L$3,SUMIF('TL12'!$C$10:$C$224,$C319,'TL12'!$J$10:$J$224),0),
IF('TL12'!$B$229=L$3,SUMIF('TL12'!$C$238:$C$451,$C319,'TL12'!$J$238:$J$451),0),
IF('TL13'!$B$3=L$3,SUMIF('TL13'!$C$10:$C$224,$C319,'TL13'!$J$10:$J$224),0),
IF('TL13'!$B$229=L$3,SUMIF('TL13'!$C$238:$C$451,$C319,'TL13'!$J$238:$J$451),0),
IF('TL14'!$B$3=L$3,SUMIF('TL14'!$C$10:$C$224,$C319,'TL14'!$J$10:$J$224),0),
IF('TL14'!$B$229=L$3,SUMIF('TL14'!$C$238:$C$451,$C319,'TL14'!$J$238:$J$451),0),
IF('TL15'!$B$3=L$3,SUMIF('TL15'!$C$10:$C$224,$C319,'TL15'!$J$10:$J$224),0),
IF('TL15'!$B$229=L$3,SUMIF('TL15'!$C$238:$C$451,$C319,'TL15'!$J$238:$J$451),0),
IF('TL16'!$B$3=L$3,SUMIF('TL16'!$C$10:$C$224,$C319,'TL16'!$J$10:$J$224),0),
IF('TL16'!$B$229=L$3,SUMIF('TL16'!$C$238:$C$451,$C319,'TL16'!$J$238:$J$451),0),
IF('TL17'!$B$3=L$3,SUMIF('TL17'!$C$10:$C$224,$C319,'TL17'!$J$10:$J$224),0),
IF('TL17'!$B$229=L$3,SUMIF('TL17'!$C$238:$C$451,$C319,'TL17'!$J$238:$J$451),0),
IF('TL18'!$B$3=L$3,SUMIF('TL18'!$C$10:$C$224,$C319,'TL18'!$J$10:$J$224),0),
IF('TL18'!$B$229=L$3,SUMIF('TL18'!$C$238:$C$451,$C319,'TL18'!$J$238:$J$451),0),
IF('TL19'!$B$3=L$3,SUMIF('TL19'!$C$10:$C$224,$C319,'TL19'!$J$10:$J$224),0),
IF('TL19'!$B$229=L$3,SUMIF('TL19'!$C$238:$C$451,$C319,'TL19'!$J$238:$J$451),0)
),0)</f>
        <v>0</v>
      </c>
      <c r="M319" s="9">
        <f>IFERROR(SUM(
IF('TL01'!$B$3=M$3,SUMIF('TL01'!$C$10:$C$224,$C319,'TL01'!$J$10:$J$224),0),
IF('TL01'!$B$229=M$3,SUMIF('TL01'!$C$238:$C$451,$C319,'TL01'!$J$238:$J$451),0),
IF('TL02'!$B$3=M$3,SUMIF('TL02'!$C$10:$C$224,$C319,'TL02'!$J$10:$J$224),0),
IF('TL02'!$B$229=M$3,SUMIF('TL02'!$C$238:$C$451,$C319,'TL02'!$J$238:$J$451),0),
IF('TL03'!$B$3=M$3,SUMIF('TL03'!$C$10:$C$224,$C319,'TL03'!$J$10:$J$224),0),
IF('TL03'!$B$229=M$3,SUMIF('TL03'!$C$238:$C$451,$C319,'TL03'!$J$238:$J$451),0),
IF('TL04'!$B$3=M$3,SUMIF('TL04'!$C$10:$C$224,$C319,'TL04'!$J$10:$J$224),0),
IF('TL04'!$B$229=M$3,SUMIF('TL04'!$C$238:$C$451,$C319,'TL04'!$J$238:$J$451),0),
IF('TL05'!$B$3=M$3,SUMIF('TL05'!$C$10:$C$224,$C319,'TL05'!$J$10:$J$224),0),
IF('TL05'!$B$229=M$3,SUMIF('TL05'!$C$238:$C$451,$C319,'TL05'!$J$238:$J$451),0),
IF('TL06'!$B$3=M$3,SUMIF('TL06'!$C$10:$C$224,$C319,'TL06'!$J$10:$J$224),0),
IF('TL06'!$B$229=M$3,SUMIF('TL06'!$C$238:$C$451,$C319,'TL06'!$J$238:$J$451),0),
IF('TL07'!$B$3=M$3,SUMIF('TL07'!$C$10:$C$224,$C319,'TL07'!$J$10:$J$224),0),
IF('TL07'!$B$229=M$3,SUMIF('TL07'!$C$238:$C$451,$C319,'TL07'!$J$238:$J$451),0),
IF('TL08'!$B$3=M$3,SUMIF('TL08'!$C$10:$C$224,$C319,'TL08'!$J$10:$J$224),0),
IF('TL08'!$B$229=M$3,SUMIF('TL08'!$C$238:$C$451,$C319,'TL08'!$J$238:$J$451),0),
IF('TL09'!$B$3=M$3,SUMIF('TL09'!$C$10:$C$224,$C319,'TL09'!$J$10:$J$224),0),
IF('TL09'!$B$229=M$3,SUMIF('TL09'!$C$238:$C$451,$C319,'TL09'!$J$238:$J$451),0),
IF('TL10'!$B$3=M$3,SUMIF('TL10'!$C$10:$C$224,$C319,'TL10'!$J$10:$J$224),0),
IF('TL10'!$B$229=M$3,SUMIF('TL10'!$C$238:$C$451,$C319,'TL10'!$J$238:$J$451),0),
IF('TL11'!$B$3=M$3,SUMIF('TL11'!$C$10:$C$224,$C319,'TL11'!$J$10:$J$224),0),
IF('TL11'!$B$229=M$3,SUMIF('TL11'!$C$238:$C$451,$C319,'TL11'!$J$238:$J$451),0),
IF('TL12'!$B$3=M$3,SUMIF('TL12'!$C$10:$C$224,$C319,'TL12'!$J$10:$J$224),0),
IF('TL12'!$B$229=M$3,SUMIF('TL12'!$C$238:$C$451,$C319,'TL12'!$J$238:$J$451),0),
IF('TL13'!$B$3=M$3,SUMIF('TL13'!$C$10:$C$224,$C319,'TL13'!$J$10:$J$224),0),
IF('TL13'!$B$229=M$3,SUMIF('TL13'!$C$238:$C$451,$C319,'TL13'!$J$238:$J$451),0),
IF('TL14'!$B$3=M$3,SUMIF('TL14'!$C$10:$C$224,$C319,'TL14'!$J$10:$J$224),0),
IF('TL14'!$B$229=M$3,SUMIF('TL14'!$C$238:$C$451,$C319,'TL14'!$J$238:$J$451),0),
IF('TL15'!$B$3=M$3,SUMIF('TL15'!$C$10:$C$224,$C319,'TL15'!$J$10:$J$224),0),
IF('TL15'!$B$229=M$3,SUMIF('TL15'!$C$238:$C$451,$C319,'TL15'!$J$238:$J$451),0),
IF('TL16'!$B$3=M$3,SUMIF('TL16'!$C$10:$C$224,$C319,'TL16'!$J$10:$J$224),0),
IF('TL16'!$B$229=M$3,SUMIF('TL16'!$C$238:$C$451,$C319,'TL16'!$J$238:$J$451),0),
IF('TL17'!$B$3=M$3,SUMIF('TL17'!$C$10:$C$224,$C319,'TL17'!$J$10:$J$224),0),
IF('TL17'!$B$229=M$3,SUMIF('TL17'!$C$238:$C$451,$C319,'TL17'!$J$238:$J$451),0),
IF('TL18'!$B$3=M$3,SUMIF('TL18'!$C$10:$C$224,$C319,'TL18'!$J$10:$J$224),0),
IF('TL18'!$B$229=M$3,SUMIF('TL18'!$C$238:$C$451,$C319,'TL18'!$J$238:$J$451),0),
IF('TL19'!$B$3=M$3,SUMIF('TL19'!$C$10:$C$224,$C319,'TL19'!$J$10:$J$224),0),
IF('TL19'!$B$229=M$3,SUMIF('TL19'!$C$238:$C$451,$C319,'TL19'!$J$238:$J$451),0)
),0)</f>
        <v>0</v>
      </c>
      <c r="N319" s="9">
        <f>IFERROR(SUM(
IF('TL01'!$B$3=N$3,SUMIF('TL01'!$C$10:$C$224,$C319,'TL01'!$J$10:$J$224),0),
IF('TL01'!$B$229=N$3,SUMIF('TL01'!$C$238:$C$451,$C319,'TL01'!$J$238:$J$451),0),
IF('TL02'!$B$3=N$3,SUMIF('TL02'!$C$10:$C$224,$C319,'TL02'!$J$10:$J$224),0),
IF('TL02'!$B$229=N$3,SUMIF('TL02'!$C$238:$C$451,$C319,'TL02'!$J$238:$J$451),0),
IF('TL03'!$B$3=N$3,SUMIF('TL03'!$C$10:$C$224,$C319,'TL03'!$J$10:$J$224),0),
IF('TL03'!$B$229=N$3,SUMIF('TL03'!$C$238:$C$451,$C319,'TL03'!$J$238:$J$451),0),
IF('TL04'!$B$3=N$3,SUMIF('TL04'!$C$10:$C$224,$C319,'TL04'!$J$10:$J$224),0),
IF('TL04'!$B$229=N$3,SUMIF('TL04'!$C$238:$C$451,$C319,'TL04'!$J$238:$J$451),0),
IF('TL05'!$B$3=N$3,SUMIF('TL05'!$C$10:$C$224,$C319,'TL05'!$J$10:$J$224),0),
IF('TL05'!$B$229=N$3,SUMIF('TL05'!$C$238:$C$451,$C319,'TL05'!$J$238:$J$451),0),
IF('TL06'!$B$3=N$3,SUMIF('TL06'!$C$10:$C$224,$C319,'TL06'!$J$10:$J$224),0),
IF('TL06'!$B$229=N$3,SUMIF('TL06'!$C$238:$C$451,$C319,'TL06'!$J$238:$J$451),0),
IF('TL07'!$B$3=N$3,SUMIF('TL07'!$C$10:$C$224,$C319,'TL07'!$J$10:$J$224),0),
IF('TL07'!$B$229=N$3,SUMIF('TL07'!$C$238:$C$451,$C319,'TL07'!$J$238:$J$451),0),
IF('TL08'!$B$3=N$3,SUMIF('TL08'!$C$10:$C$224,$C319,'TL08'!$J$10:$J$224),0),
IF('TL08'!$B$229=N$3,SUMIF('TL08'!$C$238:$C$451,$C319,'TL08'!$J$238:$J$451),0),
IF('TL09'!$B$3=N$3,SUMIF('TL09'!$C$10:$C$224,$C319,'TL09'!$J$10:$J$224),0),
IF('TL09'!$B$229=N$3,SUMIF('TL09'!$C$238:$C$451,$C319,'TL09'!$J$238:$J$451),0),
IF('TL10'!$B$3=N$3,SUMIF('TL10'!$C$10:$C$224,$C319,'TL10'!$J$10:$J$224),0),
IF('TL10'!$B$229=N$3,SUMIF('TL10'!$C$238:$C$451,$C319,'TL10'!$J$238:$J$451),0),
IF('TL11'!$B$3=N$3,SUMIF('TL11'!$C$10:$C$224,$C319,'TL11'!$J$10:$J$224),0),
IF('TL11'!$B$229=N$3,SUMIF('TL11'!$C$238:$C$451,$C319,'TL11'!$J$238:$J$451),0),
IF('TL12'!$B$3=N$3,SUMIF('TL12'!$C$10:$C$224,$C319,'TL12'!$J$10:$J$224),0),
IF('TL12'!$B$229=N$3,SUMIF('TL12'!$C$238:$C$451,$C319,'TL12'!$J$238:$J$451),0),
IF('TL13'!$B$3=N$3,SUMIF('TL13'!$C$10:$C$224,$C319,'TL13'!$J$10:$J$224),0),
IF('TL13'!$B$229=N$3,SUMIF('TL13'!$C$238:$C$451,$C319,'TL13'!$J$238:$J$451),0),
IF('TL14'!$B$3=N$3,SUMIF('TL14'!$C$10:$C$224,$C319,'TL14'!$J$10:$J$224),0),
IF('TL14'!$B$229=N$3,SUMIF('TL14'!$C$238:$C$451,$C319,'TL14'!$J$238:$J$451),0),
IF('TL15'!$B$3=N$3,SUMIF('TL15'!$C$10:$C$224,$C319,'TL15'!$J$10:$J$224),0),
IF('TL15'!$B$229=N$3,SUMIF('TL15'!$C$238:$C$451,$C319,'TL15'!$J$238:$J$451),0),
IF('TL16'!$B$3=N$3,SUMIF('TL16'!$C$10:$C$224,$C319,'TL16'!$J$10:$J$224),0),
IF('TL16'!$B$229=N$3,SUMIF('TL16'!$C$238:$C$451,$C319,'TL16'!$J$238:$J$451),0),
IF('TL17'!$B$3=N$3,SUMIF('TL17'!$C$10:$C$224,$C319,'TL17'!$J$10:$J$224),0),
IF('TL17'!$B$229=N$3,SUMIF('TL17'!$C$238:$C$451,$C319,'TL17'!$J$238:$J$451),0),
IF('TL18'!$B$3=N$3,SUMIF('TL18'!$C$10:$C$224,$C319,'TL18'!$J$10:$J$224),0),
IF('TL18'!$B$229=N$3,SUMIF('TL18'!$C$238:$C$451,$C319,'TL18'!$J$238:$J$451),0),
IF('TL19'!$B$3=N$3,SUMIF('TL19'!$C$10:$C$224,$C319,'TL19'!$J$10:$J$224),0),
IF('TL19'!$B$229=N$3,SUMIF('TL19'!$C$238:$C$451,$C319,'TL19'!$J$238:$J$451),0)
),0)</f>
        <v>0</v>
      </c>
      <c r="O319" s="9">
        <f>IFERROR(SUM(
IF('TL01'!$B$3=O$3,SUMIF('TL01'!$C$10:$C$224,$C319,'TL01'!$J$10:$J$224),0),
IF('TL01'!$B$229=O$3,SUMIF('TL01'!$C$238:$C$451,$C319,'TL01'!$J$238:$J$451),0),
IF('TL02'!$B$3=O$3,SUMIF('TL02'!$C$10:$C$224,$C319,'TL02'!$J$10:$J$224),0),
IF('TL02'!$B$229=O$3,SUMIF('TL02'!$C$238:$C$451,$C319,'TL02'!$J$238:$J$451),0),
IF('TL03'!$B$3=O$3,SUMIF('TL03'!$C$10:$C$224,$C319,'TL03'!$J$10:$J$224),0),
IF('TL03'!$B$229=O$3,SUMIF('TL03'!$C$238:$C$451,$C319,'TL03'!$J$238:$J$451),0),
IF('TL04'!$B$3=O$3,SUMIF('TL04'!$C$10:$C$224,$C319,'TL04'!$J$10:$J$224),0),
IF('TL04'!$B$229=O$3,SUMIF('TL04'!$C$238:$C$451,$C319,'TL04'!$J$238:$J$451),0),
IF('TL05'!$B$3=O$3,SUMIF('TL05'!$C$10:$C$224,$C319,'TL05'!$J$10:$J$224),0),
IF('TL05'!$B$229=O$3,SUMIF('TL05'!$C$238:$C$451,$C319,'TL05'!$J$238:$J$451),0),
IF('TL06'!$B$3=O$3,SUMIF('TL06'!$C$10:$C$224,$C319,'TL06'!$J$10:$J$224),0),
IF('TL06'!$B$229=O$3,SUMIF('TL06'!$C$238:$C$451,$C319,'TL06'!$J$238:$J$451),0),
IF('TL07'!$B$3=O$3,SUMIF('TL07'!$C$10:$C$224,$C319,'TL07'!$J$10:$J$224),0),
IF('TL07'!$B$229=O$3,SUMIF('TL07'!$C$238:$C$451,$C319,'TL07'!$J$238:$J$451),0),
IF('TL08'!$B$3=O$3,SUMIF('TL08'!$C$10:$C$224,$C319,'TL08'!$J$10:$J$224),0),
IF('TL08'!$B$229=O$3,SUMIF('TL08'!$C$238:$C$451,$C319,'TL08'!$J$238:$J$451),0),
IF('TL09'!$B$3=O$3,SUMIF('TL09'!$C$10:$C$224,$C319,'TL09'!$J$10:$J$224),0),
IF('TL09'!$B$229=O$3,SUMIF('TL09'!$C$238:$C$451,$C319,'TL09'!$J$238:$J$451),0),
IF('TL10'!$B$3=O$3,SUMIF('TL10'!$C$10:$C$224,$C319,'TL10'!$J$10:$J$224),0),
IF('TL10'!$B$229=O$3,SUMIF('TL10'!$C$238:$C$451,$C319,'TL10'!$J$238:$J$451),0),
IF('TL11'!$B$3=O$3,SUMIF('TL11'!$C$10:$C$224,$C319,'TL11'!$J$10:$J$224),0),
IF('TL11'!$B$229=O$3,SUMIF('TL11'!$C$238:$C$451,$C319,'TL11'!$J$238:$J$451),0),
IF('TL12'!$B$3=O$3,SUMIF('TL12'!$C$10:$C$224,$C319,'TL12'!$J$10:$J$224),0),
IF('TL12'!$B$229=O$3,SUMIF('TL12'!$C$238:$C$451,$C319,'TL12'!$J$238:$J$451),0),
IF('TL13'!$B$3=O$3,SUMIF('TL13'!$C$10:$C$224,$C319,'TL13'!$J$10:$J$224),0),
IF('TL13'!$B$229=O$3,SUMIF('TL13'!$C$238:$C$451,$C319,'TL13'!$J$238:$J$451),0),
IF('TL14'!$B$3=O$3,SUMIF('TL14'!$C$10:$C$224,$C319,'TL14'!$J$10:$J$224),0),
IF('TL14'!$B$229=O$3,SUMIF('TL14'!$C$238:$C$451,$C319,'TL14'!$J$238:$J$451),0),
IF('TL15'!$B$3=O$3,SUMIF('TL15'!$C$10:$C$224,$C319,'TL15'!$J$10:$J$224),0),
IF('TL15'!$B$229=O$3,SUMIF('TL15'!$C$238:$C$451,$C319,'TL15'!$J$238:$J$451),0),
IF('TL16'!$B$3=O$3,SUMIF('TL16'!$C$10:$C$224,$C319,'TL16'!$J$10:$J$224),0),
IF('TL16'!$B$229=O$3,SUMIF('TL16'!$C$238:$C$451,$C319,'TL16'!$J$238:$J$451),0),
IF('TL17'!$B$3=O$3,SUMIF('TL17'!$C$10:$C$224,$C319,'TL17'!$J$10:$J$224),0),
IF('TL17'!$B$229=O$3,SUMIF('TL17'!$C$238:$C$451,$C319,'TL17'!$J$238:$J$451),0),
IF('TL18'!$B$3=O$3,SUMIF('TL18'!$C$10:$C$224,$C319,'TL18'!$J$10:$J$224),0),
IF('TL18'!$B$229=O$3,SUMIF('TL18'!$C$238:$C$451,$C319,'TL18'!$J$238:$J$451),0),
IF('TL19'!$B$3=O$3,SUMIF('TL19'!$C$10:$C$224,$C319,'TL19'!$J$10:$J$224),0),
IF('TL19'!$B$229=O$3,SUMIF('TL19'!$C$238:$C$451,$C319,'TL19'!$J$238:$J$451),0)
),0)</f>
        <v>0</v>
      </c>
      <c r="P319" s="9">
        <f>IFERROR(SUM(
IF('TL01'!$B$3=P$3,SUMIF('TL01'!$C$10:$C$224,$C319,'TL01'!$J$10:$J$224),0),
IF('TL01'!$B$229=P$3,SUMIF('TL01'!$C$238:$C$451,$C319,'TL01'!$J$238:$J$451),0),
IF('TL02'!$B$3=P$3,SUMIF('TL02'!$C$10:$C$224,$C319,'TL02'!$J$10:$J$224),0),
IF('TL02'!$B$229=P$3,SUMIF('TL02'!$C$238:$C$451,$C319,'TL02'!$J$238:$J$451),0),
IF('TL03'!$B$3=P$3,SUMIF('TL03'!$C$10:$C$224,$C319,'TL03'!$J$10:$J$224),0),
IF('TL03'!$B$229=P$3,SUMIF('TL03'!$C$238:$C$451,$C319,'TL03'!$J$238:$J$451),0),
IF('TL04'!$B$3=P$3,SUMIF('TL04'!$C$10:$C$224,$C319,'TL04'!$J$10:$J$224),0),
IF('TL04'!$B$229=P$3,SUMIF('TL04'!$C$238:$C$451,$C319,'TL04'!$J$238:$J$451),0),
IF('TL05'!$B$3=P$3,SUMIF('TL05'!$C$10:$C$224,$C319,'TL05'!$J$10:$J$224),0),
IF('TL05'!$B$229=P$3,SUMIF('TL05'!$C$238:$C$451,$C319,'TL05'!$J$238:$J$451),0),
IF('TL06'!$B$3=P$3,SUMIF('TL06'!$C$10:$C$224,$C319,'TL06'!$J$10:$J$224),0),
IF('TL06'!$B$229=P$3,SUMIF('TL06'!$C$238:$C$451,$C319,'TL06'!$J$238:$J$451),0),
IF('TL07'!$B$3=P$3,SUMIF('TL07'!$C$10:$C$224,$C319,'TL07'!$J$10:$J$224),0),
IF('TL07'!$B$229=P$3,SUMIF('TL07'!$C$238:$C$451,$C319,'TL07'!$J$238:$J$451),0),
IF('TL08'!$B$3=P$3,SUMIF('TL08'!$C$10:$C$224,$C319,'TL08'!$J$10:$J$224),0),
IF('TL08'!$B$229=P$3,SUMIF('TL08'!$C$238:$C$451,$C319,'TL08'!$J$238:$J$451),0),
IF('TL09'!$B$3=P$3,SUMIF('TL09'!$C$10:$C$224,$C319,'TL09'!$J$10:$J$224),0),
IF('TL09'!$B$229=P$3,SUMIF('TL09'!$C$238:$C$451,$C319,'TL09'!$J$238:$J$451),0),
IF('TL10'!$B$3=P$3,SUMIF('TL10'!$C$10:$C$224,$C319,'TL10'!$J$10:$J$224),0),
IF('TL10'!$B$229=P$3,SUMIF('TL10'!$C$238:$C$451,$C319,'TL10'!$J$238:$J$451),0),
IF('TL11'!$B$3=P$3,SUMIF('TL11'!$C$10:$C$224,$C319,'TL11'!$J$10:$J$224),0),
IF('TL11'!$B$229=P$3,SUMIF('TL11'!$C$238:$C$451,$C319,'TL11'!$J$238:$J$451),0),
IF('TL12'!$B$3=P$3,SUMIF('TL12'!$C$10:$C$224,$C319,'TL12'!$J$10:$J$224),0),
IF('TL12'!$B$229=P$3,SUMIF('TL12'!$C$238:$C$451,$C319,'TL12'!$J$238:$J$451),0),
IF('TL13'!$B$3=P$3,SUMIF('TL13'!$C$10:$C$224,$C319,'TL13'!$J$10:$J$224),0),
IF('TL13'!$B$229=P$3,SUMIF('TL13'!$C$238:$C$451,$C319,'TL13'!$J$238:$J$451),0),
IF('TL14'!$B$3=P$3,SUMIF('TL14'!$C$10:$C$224,$C319,'TL14'!$J$10:$J$224),0),
IF('TL14'!$B$229=P$3,SUMIF('TL14'!$C$238:$C$451,$C319,'TL14'!$J$238:$J$451),0),
IF('TL15'!$B$3=P$3,SUMIF('TL15'!$C$10:$C$224,$C319,'TL15'!$J$10:$J$224),0),
IF('TL15'!$B$229=P$3,SUMIF('TL15'!$C$238:$C$451,$C319,'TL15'!$J$238:$J$451),0),
IF('TL16'!$B$3=P$3,SUMIF('TL16'!$C$10:$C$224,$C319,'TL16'!$J$10:$J$224),0),
IF('TL16'!$B$229=P$3,SUMIF('TL16'!$C$238:$C$451,$C319,'TL16'!$J$238:$J$451),0),
IF('TL17'!$B$3=P$3,SUMIF('TL17'!$C$10:$C$224,$C319,'TL17'!$J$10:$J$224),0),
IF('TL17'!$B$229=P$3,SUMIF('TL17'!$C$238:$C$451,$C319,'TL17'!$J$238:$J$451),0),
IF('TL18'!$B$3=P$3,SUMIF('TL18'!$C$10:$C$224,$C319,'TL18'!$J$10:$J$224),0),
IF('TL18'!$B$229=P$3,SUMIF('TL18'!$C$238:$C$451,$C319,'TL18'!$J$238:$J$451),0),
IF('TL19'!$B$3=P$3,SUMIF('TL19'!$C$10:$C$224,$C319,'TL19'!$J$10:$J$224),0),
IF('TL19'!$B$229=P$3,SUMIF('TL19'!$C$238:$C$451,$C319,'TL19'!$J$238:$J$451),0)
),0)</f>
        <v>0</v>
      </c>
      <c r="Q319" s="9">
        <f>IFERROR(SUM(
IF('TL01'!$B$3=Q$3,SUMIF('TL01'!$C$10:$C$224,$C319,'TL01'!$J$10:$J$224),0),
IF('TL01'!$B$229=Q$3,SUMIF('TL01'!$C$238:$C$451,$C319,'TL01'!$J$238:$J$451),0),
IF('TL02'!$B$3=Q$3,SUMIF('TL02'!$C$10:$C$224,$C319,'TL02'!$J$10:$J$224),0),
IF('TL02'!$B$229=Q$3,SUMIF('TL02'!$C$238:$C$451,$C319,'TL02'!$J$238:$J$451),0),
IF('TL03'!$B$3=Q$3,SUMIF('TL03'!$C$10:$C$224,$C319,'TL03'!$J$10:$J$224),0),
IF('TL03'!$B$229=Q$3,SUMIF('TL03'!$C$238:$C$451,$C319,'TL03'!$J$238:$J$451),0),
IF('TL04'!$B$3=Q$3,SUMIF('TL04'!$C$10:$C$224,$C319,'TL04'!$J$10:$J$224),0),
IF('TL04'!$B$229=Q$3,SUMIF('TL04'!$C$238:$C$451,$C319,'TL04'!$J$238:$J$451),0),
IF('TL05'!$B$3=Q$3,SUMIF('TL05'!$C$10:$C$224,$C319,'TL05'!$J$10:$J$224),0),
IF('TL05'!$B$229=Q$3,SUMIF('TL05'!$C$238:$C$451,$C319,'TL05'!$J$238:$J$451),0),
IF('TL06'!$B$3=Q$3,SUMIF('TL06'!$C$10:$C$224,$C319,'TL06'!$J$10:$J$224),0),
IF('TL06'!$B$229=Q$3,SUMIF('TL06'!$C$238:$C$451,$C319,'TL06'!$J$238:$J$451),0),
IF('TL07'!$B$3=Q$3,SUMIF('TL07'!$C$10:$C$224,$C319,'TL07'!$J$10:$J$224),0),
IF('TL07'!$B$229=Q$3,SUMIF('TL07'!$C$238:$C$451,$C319,'TL07'!$J$238:$J$451),0),
IF('TL08'!$B$3=Q$3,SUMIF('TL08'!$C$10:$C$224,$C319,'TL08'!$J$10:$J$224),0),
IF('TL08'!$B$229=Q$3,SUMIF('TL08'!$C$238:$C$451,$C319,'TL08'!$J$238:$J$451),0),
IF('TL09'!$B$3=Q$3,SUMIF('TL09'!$C$10:$C$224,$C319,'TL09'!$J$10:$J$224),0),
IF('TL09'!$B$229=Q$3,SUMIF('TL09'!$C$238:$C$451,$C319,'TL09'!$J$238:$J$451),0),
IF('TL10'!$B$3=Q$3,SUMIF('TL10'!$C$10:$C$224,$C319,'TL10'!$J$10:$J$224),0),
IF('TL10'!$B$229=Q$3,SUMIF('TL10'!$C$238:$C$451,$C319,'TL10'!$J$238:$J$451),0),
IF('TL11'!$B$3=Q$3,SUMIF('TL11'!$C$10:$C$224,$C319,'TL11'!$J$10:$J$224),0),
IF('TL11'!$B$229=Q$3,SUMIF('TL11'!$C$238:$C$451,$C319,'TL11'!$J$238:$J$451),0),
IF('TL12'!$B$3=Q$3,SUMIF('TL12'!$C$10:$C$224,$C319,'TL12'!$J$10:$J$224),0),
IF('TL12'!$B$229=Q$3,SUMIF('TL12'!$C$238:$C$451,$C319,'TL12'!$J$238:$J$451),0),
IF('TL13'!$B$3=Q$3,SUMIF('TL13'!$C$10:$C$224,$C319,'TL13'!$J$10:$J$224),0),
IF('TL13'!$B$229=Q$3,SUMIF('TL13'!$C$238:$C$451,$C319,'TL13'!$J$238:$J$451),0),
IF('TL14'!$B$3=Q$3,SUMIF('TL14'!$C$10:$C$224,$C319,'TL14'!$J$10:$J$224),0),
IF('TL14'!$B$229=Q$3,SUMIF('TL14'!$C$238:$C$451,$C319,'TL14'!$J$238:$J$451),0),
IF('TL15'!$B$3=Q$3,SUMIF('TL15'!$C$10:$C$224,$C319,'TL15'!$J$10:$J$224),0),
IF('TL15'!$B$229=Q$3,SUMIF('TL15'!$C$238:$C$451,$C319,'TL15'!$J$238:$J$451),0),
IF('TL16'!$B$3=Q$3,SUMIF('TL16'!$C$10:$C$224,$C319,'TL16'!$J$10:$J$224),0),
IF('TL16'!$B$229=Q$3,SUMIF('TL16'!$C$238:$C$451,$C319,'TL16'!$J$238:$J$451),0),
IF('TL17'!$B$3=Q$3,SUMIF('TL17'!$C$10:$C$224,$C319,'TL17'!$J$10:$J$224),0),
IF('TL17'!$B$229=Q$3,SUMIF('TL17'!$C$238:$C$451,$C319,'TL17'!$J$238:$J$451),0),
IF('TL18'!$B$3=Q$3,SUMIF('TL18'!$C$10:$C$224,$C319,'TL18'!$J$10:$J$224),0),
IF('TL18'!$B$229=Q$3,SUMIF('TL18'!$C$238:$C$451,$C319,'TL18'!$J$238:$J$451),0),
IF('TL19'!$B$3=Q$3,SUMIF('TL19'!$C$10:$C$224,$C319,'TL19'!$J$10:$J$224),0),
IF('TL19'!$B$229=Q$3,SUMIF('TL19'!$C$238:$C$451,$C319,'TL19'!$J$238:$J$451),0)
),0)</f>
        <v>0</v>
      </c>
      <c r="R319" s="9">
        <f>IFERROR(
SUM(
SUMIF('TL01'!C:C,C319,'TL01'!J:J),
SUMIF('TL02'!C:C,C319,'TL02'!J:J),
SUMIF('TL03'!C:C,C319,'TL03'!J:J),
SUMIF('TL04'!C:C,C319,'TL04'!J:J),
SUMIF('TL05'!C:C,C319,'TL05'!J:J),
SUMIF('TL06'!C:C,C319,'TL06'!J:J),
SUMIF('TL07'!C:C,C319,'TL07'!J:J),
SUMIF('TL08'!C:C,C319,'TL08'!J:J),
SUMIF('TL09'!C:C,C319,'TL09'!J:J),
SUMIF('TL10'!C:C,C319,'TL10'!J:J),
SUMIF('TL11'!C:C,C319,'TL11'!J:J),
SUMIF('TL12'!C:C,C319,'TL12'!J:J),
SUMIF('TL13'!C:C,C319,'TL13'!J:J),
SUMIF('TL14'!C:C,C319,'TL14'!J:J),
SUMIF('TL15'!C:C,C319,'TL15'!J:J),
SUMIF('TL16'!C:C,C319,'TL16'!J:J),
SUMIF('TL17'!C:C,C319,'TL17'!J:J),
SUMIF('TL18'!C:C,C319,'TL18'!J:J),SUMIF('TL19'!C:C,C319,'TL19'!J:J))
,0)</f>
        <v>0</v>
      </c>
      <c r="S319" s="17" t="str">
        <f>IFERROR(__xludf.DUMMYFUNCTION("IFERROR(VLOOKUP(C319,
IMPORTRANGE(""1wULbzX32WdYsx-lj2U3uUNBBe2INVIRDtcK0d-Dvl90"",
""26-27!C:G""),
5,
FALSE),
"""")"),"")</f>
        <v/>
      </c>
      <c r="T319" s="9"/>
      <c r="U319" s="92">
        <f t="shared" si="2"/>
        <v>0</v>
      </c>
      <c r="V319" s="93">
        <f t="shared" si="3"/>
        <v>0</v>
      </c>
    </row>
    <row r="320" ht="15.75" hidden="1" customHeight="1">
      <c r="A320" s="4"/>
      <c r="B320" s="125" t="s">
        <v>5</v>
      </c>
      <c r="C320" s="4" t="s">
        <v>1045</v>
      </c>
      <c r="D320" s="4" t="s">
        <v>1046</v>
      </c>
      <c r="E320" s="9"/>
      <c r="F320" s="4"/>
      <c r="G320" s="90" t="str">
        <f t="shared" si="5"/>
        <v>📄 Ver bula</v>
      </c>
      <c r="H320" s="9"/>
      <c r="I320" s="1" t="s">
        <v>1043</v>
      </c>
      <c r="J320" s="9">
        <f>IFERROR(SUM(
IF('TL01'!$B$3=J$3,SUMIF('TL01'!$C$10:$C$224,$C320,'TL01'!$J$10:$J$224),0),
IF('TL01'!$B$229=J$3,SUMIF('TL01'!$C$238:$C$451,$C320,'TL01'!$J$238:$J$451),0),
IF('TL02'!$B$3=J$3,SUMIF('TL02'!$C$10:$C$224,$C320,'TL02'!$J$10:$J$224),0),
IF('TL02'!$B$229=J$3,SUMIF('TL02'!$C$238:$C$451,$C320,'TL02'!$J$238:$J$451),0),
IF('TL03'!$B$3=J$3,SUMIF('TL03'!$C$10:$C$224,$C320,'TL03'!$J$10:$J$224),0),
IF('TL03'!$B$229=J$3,SUMIF('TL03'!$C$238:$C$451,$C320,'TL03'!$J$238:$J$451),0),
IF('TL04'!$B$3=J$3,SUMIF('TL04'!$C$10:$C$224,$C320,'TL04'!$J$10:$J$224),0),
IF('TL04'!$B$229=J$3,SUMIF('TL04'!$C$238:$C$451,$C320,'TL04'!$J$238:$J$451),0),
IF('TL05'!$B$3=J$3,SUMIF('TL05'!$C$10:$C$224,$C320,'TL05'!$J$10:$J$224),0),
IF('TL05'!$B$229=J$3,SUMIF('TL05'!$C$238:$C$451,$C320,'TL05'!$J$238:$J$451),0),
IF('TL06'!$B$3=J$3,SUMIF('TL06'!$C$10:$C$224,$C320,'TL06'!$J$10:$J$224),0),
IF('TL06'!$B$229=J$3,SUMIF('TL06'!$C$238:$C$451,$C320,'TL06'!$J$238:$J$451),0),
IF('TL07'!$B$3=J$3,SUMIF('TL07'!$C$10:$C$224,$C320,'TL07'!$J$10:$J$224),0),
IF('TL07'!$B$229=J$3,SUMIF('TL07'!$C$238:$C$451,$C320,'TL07'!$J$238:$J$451),0),
IF('TL08'!$B$3=J$3,SUMIF('TL08'!$C$10:$C$224,$C320,'TL08'!$J$10:$J$224),0),
IF('TL08'!$B$229=J$3,SUMIF('TL08'!$C$238:$C$451,$C320,'TL08'!$J$238:$J$451),0),
IF('TL09'!$B$3=J$3,SUMIF('TL09'!$C$10:$C$224,$C320,'TL09'!$J$10:$J$224),0),
IF('TL09'!$B$229=J$3,SUMIF('TL09'!$C$238:$C$451,$C320,'TL09'!$J$238:$J$451),0),
IF('TL10'!$B$3=J$3,SUMIF('TL10'!$C$10:$C$224,$C320,'TL10'!$J$10:$J$224),0),
IF('TL10'!$B$229=J$3,SUMIF('TL10'!$C$238:$C$451,$C320,'TL10'!$J$238:$J$451),0),
IF('TL11'!$B$3=J$3,SUMIF('TL11'!$C$10:$C$224,$C320,'TL11'!$J$10:$J$224),0),
IF('TL11'!$B$229=J$3,SUMIF('TL11'!$C$238:$C$451,$C320,'TL11'!$J$238:$J$451),0),
IF('TL12'!$B$3=J$3,SUMIF('TL12'!$C$10:$C$224,$C320,'TL12'!$J$10:$J$224),0),
IF('TL12'!$B$229=J$3,SUMIF('TL12'!$C$238:$C$451,$C320,'TL12'!$J$238:$J$451),0),
IF('TL13'!$B$3=J$3,SUMIF('TL13'!$C$10:$C$224,$C320,'TL13'!$J$10:$J$224),0),
IF('TL13'!$B$229=J$3,SUMIF('TL13'!$C$238:$C$451,$C320,'TL13'!$J$238:$J$451),0),
IF('TL14'!$B$3=J$3,SUMIF('TL14'!$C$10:$C$224,$C320,'TL14'!$J$10:$J$224),0),
IF('TL14'!$B$229=J$3,SUMIF('TL14'!$C$238:$C$451,$C320,'TL14'!$J$238:$J$451),0),
IF('TL15'!$B$3=J$3,SUMIF('TL15'!$C$10:$C$224,$C320,'TL15'!$J$10:$J$224),0),
IF('TL15'!$B$229=J$3,SUMIF('TL15'!$C$238:$C$451,$C320,'TL15'!$J$238:$J$451),0),
IF('TL16'!$B$3=J$3,SUMIF('TL16'!$C$10:$C$224,$C320,'TL16'!$J$10:$J$224),0),
IF('TL16'!$B$229=J$3,SUMIF('TL16'!$C$238:$C$451,$C320,'TL16'!$J$238:$J$451),0),
IF('TL17'!$B$3=J$3,SUMIF('TL17'!$C$10:$C$224,$C320,'TL17'!$J$10:$J$224),0),
IF('TL17'!$B$229=J$3,SUMIF('TL17'!$C$238:$C$451,$C320,'TL17'!$J$238:$J$451),0),
IF('TL18'!$B$3=J$3,SUMIF('TL18'!$C$10:$C$224,$C320,'TL18'!$J$10:$J$224),0),
IF('TL18'!$B$229=J$3,SUMIF('TL18'!$C$238:$C$451,$C320,'TL18'!$J$238:$J$451),0),
IF('TL19'!$B$3=J$3,SUMIF('TL19'!$C$10:$C$224,$C320,'TL19'!$J$10:$J$224),0),
IF('TL19'!$B$229=J$3,SUMIF('TL19'!$C$238:$C$451,$C320,'TL19'!$J$238:$J$451),0)
),0)</f>
        <v>0</v>
      </c>
      <c r="K320" s="9">
        <f>IFERROR(SUM(
IF('TL01'!$B$3=K$3,SUMIF('TL01'!$C$10:$C$224,$C320,'TL01'!$J$10:$J$224),0),
IF('TL01'!$B$229=K$3,SUMIF('TL01'!$C$238:$C$451,$C320,'TL01'!$J$238:$J$451),0),
IF('TL02'!$B$3=K$3,SUMIF('TL02'!$C$10:$C$224,$C320,'TL02'!$J$10:$J$224),0),
IF('TL02'!$B$229=K$3,SUMIF('TL02'!$C$238:$C$451,$C320,'TL02'!$J$238:$J$451),0),
IF('TL03'!$B$3=K$3,SUMIF('TL03'!$C$10:$C$224,$C320,'TL03'!$J$10:$J$224),0),
IF('TL03'!$B$229=K$3,SUMIF('TL03'!$C$238:$C$451,$C320,'TL03'!$J$238:$J$451),0),
IF('TL04'!$B$3=K$3,SUMIF('TL04'!$C$10:$C$224,$C320,'TL04'!$J$10:$J$224),0),
IF('TL04'!$B$229=K$3,SUMIF('TL04'!$C$238:$C$451,$C320,'TL04'!$J$238:$J$451),0),
IF('TL05'!$B$3=K$3,SUMIF('TL05'!$C$10:$C$224,$C320,'TL05'!$J$10:$J$224),0),
IF('TL05'!$B$229=K$3,SUMIF('TL05'!$C$238:$C$451,$C320,'TL05'!$J$238:$J$451),0),
IF('TL06'!$B$3=K$3,SUMIF('TL06'!$C$10:$C$224,$C320,'TL06'!$J$10:$J$224),0),
IF('TL06'!$B$229=K$3,SUMIF('TL06'!$C$238:$C$451,$C320,'TL06'!$J$238:$J$451),0),
IF('TL07'!$B$3=K$3,SUMIF('TL07'!$C$10:$C$224,$C320,'TL07'!$J$10:$J$224),0),
IF('TL07'!$B$229=K$3,SUMIF('TL07'!$C$238:$C$451,$C320,'TL07'!$J$238:$J$451),0),
IF('TL08'!$B$3=K$3,SUMIF('TL08'!$C$10:$C$224,$C320,'TL08'!$J$10:$J$224),0),
IF('TL08'!$B$229=K$3,SUMIF('TL08'!$C$238:$C$451,$C320,'TL08'!$J$238:$J$451),0),
IF('TL09'!$B$3=K$3,SUMIF('TL09'!$C$10:$C$224,$C320,'TL09'!$J$10:$J$224),0),
IF('TL09'!$B$229=K$3,SUMIF('TL09'!$C$238:$C$451,$C320,'TL09'!$J$238:$J$451),0),
IF('TL10'!$B$3=K$3,SUMIF('TL10'!$C$10:$C$224,$C320,'TL10'!$J$10:$J$224),0),
IF('TL10'!$B$229=K$3,SUMIF('TL10'!$C$238:$C$451,$C320,'TL10'!$J$238:$J$451),0),
IF('TL11'!$B$3=K$3,SUMIF('TL11'!$C$10:$C$224,$C320,'TL11'!$J$10:$J$224),0),
IF('TL11'!$B$229=K$3,SUMIF('TL11'!$C$238:$C$451,$C320,'TL11'!$J$238:$J$451),0),
IF('TL12'!$B$3=K$3,SUMIF('TL12'!$C$10:$C$224,$C320,'TL12'!$J$10:$J$224),0),
IF('TL12'!$B$229=K$3,SUMIF('TL12'!$C$238:$C$451,$C320,'TL12'!$J$238:$J$451),0),
IF('TL13'!$B$3=K$3,SUMIF('TL13'!$C$10:$C$224,$C320,'TL13'!$J$10:$J$224),0),
IF('TL13'!$B$229=K$3,SUMIF('TL13'!$C$238:$C$451,$C320,'TL13'!$J$238:$J$451),0),
IF('TL14'!$B$3=K$3,SUMIF('TL14'!$C$10:$C$224,$C320,'TL14'!$J$10:$J$224),0),
IF('TL14'!$B$229=K$3,SUMIF('TL14'!$C$238:$C$451,$C320,'TL14'!$J$238:$J$451),0),
IF('TL15'!$B$3=K$3,SUMIF('TL15'!$C$10:$C$224,$C320,'TL15'!$J$10:$J$224),0),
IF('TL15'!$B$229=K$3,SUMIF('TL15'!$C$238:$C$451,$C320,'TL15'!$J$238:$J$451),0),
IF('TL16'!$B$3=K$3,SUMIF('TL16'!$C$10:$C$224,$C320,'TL16'!$J$10:$J$224),0),
IF('TL16'!$B$229=K$3,SUMIF('TL16'!$C$238:$C$451,$C320,'TL16'!$J$238:$J$451),0),
IF('TL17'!$B$3=K$3,SUMIF('TL17'!$C$10:$C$224,$C320,'TL17'!$J$10:$J$224),0),
IF('TL17'!$B$229=K$3,SUMIF('TL17'!$C$238:$C$451,$C320,'TL17'!$J$238:$J$451),0),
IF('TL18'!$B$3=K$3,SUMIF('TL18'!$C$10:$C$224,$C320,'TL18'!$J$10:$J$224),0),
IF('TL18'!$B$229=K$3,SUMIF('TL18'!$C$238:$C$451,$C320,'TL18'!$J$238:$J$451),0),
IF('TL19'!$B$3=K$3,SUMIF('TL19'!$C$10:$C$224,$C320,'TL19'!$J$10:$J$224),0),
IF('TL19'!$B$229=K$3,SUMIF('TL19'!$C$238:$C$451,$C320,'TL19'!$J$238:$J$451),0)
),0)</f>
        <v>0</v>
      </c>
      <c r="L320" s="9">
        <f>IFERROR(SUM(
IF('TL01'!$B$3=L$3,SUMIF('TL01'!$C$10:$C$224,$C320,'TL01'!$J$10:$J$224),0),
IF('TL01'!$B$229=L$3,SUMIF('TL01'!$C$238:$C$451,$C320,'TL01'!$J$238:$J$451),0),
IF('TL02'!$B$3=L$3,SUMIF('TL02'!$C$10:$C$224,$C320,'TL02'!$J$10:$J$224),0),
IF('TL02'!$B$229=L$3,SUMIF('TL02'!$C$238:$C$451,$C320,'TL02'!$J$238:$J$451),0),
IF('TL03'!$B$3=L$3,SUMIF('TL03'!$C$10:$C$224,$C320,'TL03'!$J$10:$J$224),0),
IF('TL03'!$B$229=L$3,SUMIF('TL03'!$C$238:$C$451,$C320,'TL03'!$J$238:$J$451),0),
IF('TL04'!$B$3=L$3,SUMIF('TL04'!$C$10:$C$224,$C320,'TL04'!$J$10:$J$224),0),
IF('TL04'!$B$229=L$3,SUMIF('TL04'!$C$238:$C$451,$C320,'TL04'!$J$238:$J$451),0),
IF('TL05'!$B$3=L$3,SUMIF('TL05'!$C$10:$C$224,$C320,'TL05'!$J$10:$J$224),0),
IF('TL05'!$B$229=L$3,SUMIF('TL05'!$C$238:$C$451,$C320,'TL05'!$J$238:$J$451),0),
IF('TL06'!$B$3=L$3,SUMIF('TL06'!$C$10:$C$224,$C320,'TL06'!$J$10:$J$224),0),
IF('TL06'!$B$229=L$3,SUMIF('TL06'!$C$238:$C$451,$C320,'TL06'!$J$238:$J$451),0),
IF('TL07'!$B$3=L$3,SUMIF('TL07'!$C$10:$C$224,$C320,'TL07'!$J$10:$J$224),0),
IF('TL07'!$B$229=L$3,SUMIF('TL07'!$C$238:$C$451,$C320,'TL07'!$J$238:$J$451),0),
IF('TL08'!$B$3=L$3,SUMIF('TL08'!$C$10:$C$224,$C320,'TL08'!$J$10:$J$224),0),
IF('TL08'!$B$229=L$3,SUMIF('TL08'!$C$238:$C$451,$C320,'TL08'!$J$238:$J$451),0),
IF('TL09'!$B$3=L$3,SUMIF('TL09'!$C$10:$C$224,$C320,'TL09'!$J$10:$J$224),0),
IF('TL09'!$B$229=L$3,SUMIF('TL09'!$C$238:$C$451,$C320,'TL09'!$J$238:$J$451),0),
IF('TL10'!$B$3=L$3,SUMIF('TL10'!$C$10:$C$224,$C320,'TL10'!$J$10:$J$224),0),
IF('TL10'!$B$229=L$3,SUMIF('TL10'!$C$238:$C$451,$C320,'TL10'!$J$238:$J$451),0),
IF('TL11'!$B$3=L$3,SUMIF('TL11'!$C$10:$C$224,$C320,'TL11'!$J$10:$J$224),0),
IF('TL11'!$B$229=L$3,SUMIF('TL11'!$C$238:$C$451,$C320,'TL11'!$J$238:$J$451),0),
IF('TL12'!$B$3=L$3,SUMIF('TL12'!$C$10:$C$224,$C320,'TL12'!$J$10:$J$224),0),
IF('TL12'!$B$229=L$3,SUMIF('TL12'!$C$238:$C$451,$C320,'TL12'!$J$238:$J$451),0),
IF('TL13'!$B$3=L$3,SUMIF('TL13'!$C$10:$C$224,$C320,'TL13'!$J$10:$J$224),0),
IF('TL13'!$B$229=L$3,SUMIF('TL13'!$C$238:$C$451,$C320,'TL13'!$J$238:$J$451),0),
IF('TL14'!$B$3=L$3,SUMIF('TL14'!$C$10:$C$224,$C320,'TL14'!$J$10:$J$224),0),
IF('TL14'!$B$229=L$3,SUMIF('TL14'!$C$238:$C$451,$C320,'TL14'!$J$238:$J$451),0),
IF('TL15'!$B$3=L$3,SUMIF('TL15'!$C$10:$C$224,$C320,'TL15'!$J$10:$J$224),0),
IF('TL15'!$B$229=L$3,SUMIF('TL15'!$C$238:$C$451,$C320,'TL15'!$J$238:$J$451),0),
IF('TL16'!$B$3=L$3,SUMIF('TL16'!$C$10:$C$224,$C320,'TL16'!$J$10:$J$224),0),
IF('TL16'!$B$229=L$3,SUMIF('TL16'!$C$238:$C$451,$C320,'TL16'!$J$238:$J$451),0),
IF('TL17'!$B$3=L$3,SUMIF('TL17'!$C$10:$C$224,$C320,'TL17'!$J$10:$J$224),0),
IF('TL17'!$B$229=L$3,SUMIF('TL17'!$C$238:$C$451,$C320,'TL17'!$J$238:$J$451),0),
IF('TL18'!$B$3=L$3,SUMIF('TL18'!$C$10:$C$224,$C320,'TL18'!$J$10:$J$224),0),
IF('TL18'!$B$229=L$3,SUMIF('TL18'!$C$238:$C$451,$C320,'TL18'!$J$238:$J$451),0),
IF('TL19'!$B$3=L$3,SUMIF('TL19'!$C$10:$C$224,$C320,'TL19'!$J$10:$J$224),0),
IF('TL19'!$B$229=L$3,SUMIF('TL19'!$C$238:$C$451,$C320,'TL19'!$J$238:$J$451),0)
),0)</f>
        <v>0</v>
      </c>
      <c r="M320" s="9">
        <f>IFERROR(SUM(
IF('TL01'!$B$3=M$3,SUMIF('TL01'!$C$10:$C$224,$C320,'TL01'!$J$10:$J$224),0),
IF('TL01'!$B$229=M$3,SUMIF('TL01'!$C$238:$C$451,$C320,'TL01'!$J$238:$J$451),0),
IF('TL02'!$B$3=M$3,SUMIF('TL02'!$C$10:$C$224,$C320,'TL02'!$J$10:$J$224),0),
IF('TL02'!$B$229=M$3,SUMIF('TL02'!$C$238:$C$451,$C320,'TL02'!$J$238:$J$451),0),
IF('TL03'!$B$3=M$3,SUMIF('TL03'!$C$10:$C$224,$C320,'TL03'!$J$10:$J$224),0),
IF('TL03'!$B$229=M$3,SUMIF('TL03'!$C$238:$C$451,$C320,'TL03'!$J$238:$J$451),0),
IF('TL04'!$B$3=M$3,SUMIF('TL04'!$C$10:$C$224,$C320,'TL04'!$J$10:$J$224),0),
IF('TL04'!$B$229=M$3,SUMIF('TL04'!$C$238:$C$451,$C320,'TL04'!$J$238:$J$451),0),
IF('TL05'!$B$3=M$3,SUMIF('TL05'!$C$10:$C$224,$C320,'TL05'!$J$10:$J$224),0),
IF('TL05'!$B$229=M$3,SUMIF('TL05'!$C$238:$C$451,$C320,'TL05'!$J$238:$J$451),0),
IF('TL06'!$B$3=M$3,SUMIF('TL06'!$C$10:$C$224,$C320,'TL06'!$J$10:$J$224),0),
IF('TL06'!$B$229=M$3,SUMIF('TL06'!$C$238:$C$451,$C320,'TL06'!$J$238:$J$451),0),
IF('TL07'!$B$3=M$3,SUMIF('TL07'!$C$10:$C$224,$C320,'TL07'!$J$10:$J$224),0),
IF('TL07'!$B$229=M$3,SUMIF('TL07'!$C$238:$C$451,$C320,'TL07'!$J$238:$J$451),0),
IF('TL08'!$B$3=M$3,SUMIF('TL08'!$C$10:$C$224,$C320,'TL08'!$J$10:$J$224),0),
IF('TL08'!$B$229=M$3,SUMIF('TL08'!$C$238:$C$451,$C320,'TL08'!$J$238:$J$451),0),
IF('TL09'!$B$3=M$3,SUMIF('TL09'!$C$10:$C$224,$C320,'TL09'!$J$10:$J$224),0),
IF('TL09'!$B$229=M$3,SUMIF('TL09'!$C$238:$C$451,$C320,'TL09'!$J$238:$J$451),0),
IF('TL10'!$B$3=M$3,SUMIF('TL10'!$C$10:$C$224,$C320,'TL10'!$J$10:$J$224),0),
IF('TL10'!$B$229=M$3,SUMIF('TL10'!$C$238:$C$451,$C320,'TL10'!$J$238:$J$451),0),
IF('TL11'!$B$3=M$3,SUMIF('TL11'!$C$10:$C$224,$C320,'TL11'!$J$10:$J$224),0),
IF('TL11'!$B$229=M$3,SUMIF('TL11'!$C$238:$C$451,$C320,'TL11'!$J$238:$J$451),0),
IF('TL12'!$B$3=M$3,SUMIF('TL12'!$C$10:$C$224,$C320,'TL12'!$J$10:$J$224),0),
IF('TL12'!$B$229=M$3,SUMIF('TL12'!$C$238:$C$451,$C320,'TL12'!$J$238:$J$451),0),
IF('TL13'!$B$3=M$3,SUMIF('TL13'!$C$10:$C$224,$C320,'TL13'!$J$10:$J$224),0),
IF('TL13'!$B$229=M$3,SUMIF('TL13'!$C$238:$C$451,$C320,'TL13'!$J$238:$J$451),0),
IF('TL14'!$B$3=M$3,SUMIF('TL14'!$C$10:$C$224,$C320,'TL14'!$J$10:$J$224),0),
IF('TL14'!$B$229=M$3,SUMIF('TL14'!$C$238:$C$451,$C320,'TL14'!$J$238:$J$451),0),
IF('TL15'!$B$3=M$3,SUMIF('TL15'!$C$10:$C$224,$C320,'TL15'!$J$10:$J$224),0),
IF('TL15'!$B$229=M$3,SUMIF('TL15'!$C$238:$C$451,$C320,'TL15'!$J$238:$J$451),0),
IF('TL16'!$B$3=M$3,SUMIF('TL16'!$C$10:$C$224,$C320,'TL16'!$J$10:$J$224),0),
IF('TL16'!$B$229=M$3,SUMIF('TL16'!$C$238:$C$451,$C320,'TL16'!$J$238:$J$451),0),
IF('TL17'!$B$3=M$3,SUMIF('TL17'!$C$10:$C$224,$C320,'TL17'!$J$10:$J$224),0),
IF('TL17'!$B$229=M$3,SUMIF('TL17'!$C$238:$C$451,$C320,'TL17'!$J$238:$J$451),0),
IF('TL18'!$B$3=M$3,SUMIF('TL18'!$C$10:$C$224,$C320,'TL18'!$J$10:$J$224),0),
IF('TL18'!$B$229=M$3,SUMIF('TL18'!$C$238:$C$451,$C320,'TL18'!$J$238:$J$451),0),
IF('TL19'!$B$3=M$3,SUMIF('TL19'!$C$10:$C$224,$C320,'TL19'!$J$10:$J$224),0),
IF('TL19'!$B$229=M$3,SUMIF('TL19'!$C$238:$C$451,$C320,'TL19'!$J$238:$J$451),0)
),0)</f>
        <v>0</v>
      </c>
      <c r="N320" s="9">
        <f>IFERROR(SUM(
IF('TL01'!$B$3=N$3,SUMIF('TL01'!$C$10:$C$224,$C320,'TL01'!$J$10:$J$224),0),
IF('TL01'!$B$229=N$3,SUMIF('TL01'!$C$238:$C$451,$C320,'TL01'!$J$238:$J$451),0),
IF('TL02'!$B$3=N$3,SUMIF('TL02'!$C$10:$C$224,$C320,'TL02'!$J$10:$J$224),0),
IF('TL02'!$B$229=N$3,SUMIF('TL02'!$C$238:$C$451,$C320,'TL02'!$J$238:$J$451),0),
IF('TL03'!$B$3=N$3,SUMIF('TL03'!$C$10:$C$224,$C320,'TL03'!$J$10:$J$224),0),
IF('TL03'!$B$229=N$3,SUMIF('TL03'!$C$238:$C$451,$C320,'TL03'!$J$238:$J$451),0),
IF('TL04'!$B$3=N$3,SUMIF('TL04'!$C$10:$C$224,$C320,'TL04'!$J$10:$J$224),0),
IF('TL04'!$B$229=N$3,SUMIF('TL04'!$C$238:$C$451,$C320,'TL04'!$J$238:$J$451),0),
IF('TL05'!$B$3=N$3,SUMIF('TL05'!$C$10:$C$224,$C320,'TL05'!$J$10:$J$224),0),
IF('TL05'!$B$229=N$3,SUMIF('TL05'!$C$238:$C$451,$C320,'TL05'!$J$238:$J$451),0),
IF('TL06'!$B$3=N$3,SUMIF('TL06'!$C$10:$C$224,$C320,'TL06'!$J$10:$J$224),0),
IF('TL06'!$B$229=N$3,SUMIF('TL06'!$C$238:$C$451,$C320,'TL06'!$J$238:$J$451),0),
IF('TL07'!$B$3=N$3,SUMIF('TL07'!$C$10:$C$224,$C320,'TL07'!$J$10:$J$224),0),
IF('TL07'!$B$229=N$3,SUMIF('TL07'!$C$238:$C$451,$C320,'TL07'!$J$238:$J$451),0),
IF('TL08'!$B$3=N$3,SUMIF('TL08'!$C$10:$C$224,$C320,'TL08'!$J$10:$J$224),0),
IF('TL08'!$B$229=N$3,SUMIF('TL08'!$C$238:$C$451,$C320,'TL08'!$J$238:$J$451),0),
IF('TL09'!$B$3=N$3,SUMIF('TL09'!$C$10:$C$224,$C320,'TL09'!$J$10:$J$224),0),
IF('TL09'!$B$229=N$3,SUMIF('TL09'!$C$238:$C$451,$C320,'TL09'!$J$238:$J$451),0),
IF('TL10'!$B$3=N$3,SUMIF('TL10'!$C$10:$C$224,$C320,'TL10'!$J$10:$J$224),0),
IF('TL10'!$B$229=N$3,SUMIF('TL10'!$C$238:$C$451,$C320,'TL10'!$J$238:$J$451),0),
IF('TL11'!$B$3=N$3,SUMIF('TL11'!$C$10:$C$224,$C320,'TL11'!$J$10:$J$224),0),
IF('TL11'!$B$229=N$3,SUMIF('TL11'!$C$238:$C$451,$C320,'TL11'!$J$238:$J$451),0),
IF('TL12'!$B$3=N$3,SUMIF('TL12'!$C$10:$C$224,$C320,'TL12'!$J$10:$J$224),0),
IF('TL12'!$B$229=N$3,SUMIF('TL12'!$C$238:$C$451,$C320,'TL12'!$J$238:$J$451),0),
IF('TL13'!$B$3=N$3,SUMIF('TL13'!$C$10:$C$224,$C320,'TL13'!$J$10:$J$224),0),
IF('TL13'!$B$229=N$3,SUMIF('TL13'!$C$238:$C$451,$C320,'TL13'!$J$238:$J$451),0),
IF('TL14'!$B$3=N$3,SUMIF('TL14'!$C$10:$C$224,$C320,'TL14'!$J$10:$J$224),0),
IF('TL14'!$B$229=N$3,SUMIF('TL14'!$C$238:$C$451,$C320,'TL14'!$J$238:$J$451),0),
IF('TL15'!$B$3=N$3,SUMIF('TL15'!$C$10:$C$224,$C320,'TL15'!$J$10:$J$224),0),
IF('TL15'!$B$229=N$3,SUMIF('TL15'!$C$238:$C$451,$C320,'TL15'!$J$238:$J$451),0),
IF('TL16'!$B$3=N$3,SUMIF('TL16'!$C$10:$C$224,$C320,'TL16'!$J$10:$J$224),0),
IF('TL16'!$B$229=N$3,SUMIF('TL16'!$C$238:$C$451,$C320,'TL16'!$J$238:$J$451),0),
IF('TL17'!$B$3=N$3,SUMIF('TL17'!$C$10:$C$224,$C320,'TL17'!$J$10:$J$224),0),
IF('TL17'!$B$229=N$3,SUMIF('TL17'!$C$238:$C$451,$C320,'TL17'!$J$238:$J$451),0),
IF('TL18'!$B$3=N$3,SUMIF('TL18'!$C$10:$C$224,$C320,'TL18'!$J$10:$J$224),0),
IF('TL18'!$B$229=N$3,SUMIF('TL18'!$C$238:$C$451,$C320,'TL18'!$J$238:$J$451),0),
IF('TL19'!$B$3=N$3,SUMIF('TL19'!$C$10:$C$224,$C320,'TL19'!$J$10:$J$224),0),
IF('TL19'!$B$229=N$3,SUMIF('TL19'!$C$238:$C$451,$C320,'TL19'!$J$238:$J$451),0)
),0)</f>
        <v>0</v>
      </c>
      <c r="O320" s="9">
        <f>IFERROR(SUM(
IF('TL01'!$B$3=O$3,SUMIF('TL01'!$C$10:$C$224,$C320,'TL01'!$J$10:$J$224),0),
IF('TL01'!$B$229=O$3,SUMIF('TL01'!$C$238:$C$451,$C320,'TL01'!$J$238:$J$451),0),
IF('TL02'!$B$3=O$3,SUMIF('TL02'!$C$10:$C$224,$C320,'TL02'!$J$10:$J$224),0),
IF('TL02'!$B$229=O$3,SUMIF('TL02'!$C$238:$C$451,$C320,'TL02'!$J$238:$J$451),0),
IF('TL03'!$B$3=O$3,SUMIF('TL03'!$C$10:$C$224,$C320,'TL03'!$J$10:$J$224),0),
IF('TL03'!$B$229=O$3,SUMIF('TL03'!$C$238:$C$451,$C320,'TL03'!$J$238:$J$451),0),
IF('TL04'!$B$3=O$3,SUMIF('TL04'!$C$10:$C$224,$C320,'TL04'!$J$10:$J$224),0),
IF('TL04'!$B$229=O$3,SUMIF('TL04'!$C$238:$C$451,$C320,'TL04'!$J$238:$J$451),0),
IF('TL05'!$B$3=O$3,SUMIF('TL05'!$C$10:$C$224,$C320,'TL05'!$J$10:$J$224),0),
IF('TL05'!$B$229=O$3,SUMIF('TL05'!$C$238:$C$451,$C320,'TL05'!$J$238:$J$451),0),
IF('TL06'!$B$3=O$3,SUMIF('TL06'!$C$10:$C$224,$C320,'TL06'!$J$10:$J$224),0),
IF('TL06'!$B$229=O$3,SUMIF('TL06'!$C$238:$C$451,$C320,'TL06'!$J$238:$J$451),0),
IF('TL07'!$B$3=O$3,SUMIF('TL07'!$C$10:$C$224,$C320,'TL07'!$J$10:$J$224),0),
IF('TL07'!$B$229=O$3,SUMIF('TL07'!$C$238:$C$451,$C320,'TL07'!$J$238:$J$451),0),
IF('TL08'!$B$3=O$3,SUMIF('TL08'!$C$10:$C$224,$C320,'TL08'!$J$10:$J$224),0),
IF('TL08'!$B$229=O$3,SUMIF('TL08'!$C$238:$C$451,$C320,'TL08'!$J$238:$J$451),0),
IF('TL09'!$B$3=O$3,SUMIF('TL09'!$C$10:$C$224,$C320,'TL09'!$J$10:$J$224),0),
IF('TL09'!$B$229=O$3,SUMIF('TL09'!$C$238:$C$451,$C320,'TL09'!$J$238:$J$451),0),
IF('TL10'!$B$3=O$3,SUMIF('TL10'!$C$10:$C$224,$C320,'TL10'!$J$10:$J$224),0),
IF('TL10'!$B$229=O$3,SUMIF('TL10'!$C$238:$C$451,$C320,'TL10'!$J$238:$J$451),0),
IF('TL11'!$B$3=O$3,SUMIF('TL11'!$C$10:$C$224,$C320,'TL11'!$J$10:$J$224),0),
IF('TL11'!$B$229=O$3,SUMIF('TL11'!$C$238:$C$451,$C320,'TL11'!$J$238:$J$451),0),
IF('TL12'!$B$3=O$3,SUMIF('TL12'!$C$10:$C$224,$C320,'TL12'!$J$10:$J$224),0),
IF('TL12'!$B$229=O$3,SUMIF('TL12'!$C$238:$C$451,$C320,'TL12'!$J$238:$J$451),0),
IF('TL13'!$B$3=O$3,SUMIF('TL13'!$C$10:$C$224,$C320,'TL13'!$J$10:$J$224),0),
IF('TL13'!$B$229=O$3,SUMIF('TL13'!$C$238:$C$451,$C320,'TL13'!$J$238:$J$451),0),
IF('TL14'!$B$3=O$3,SUMIF('TL14'!$C$10:$C$224,$C320,'TL14'!$J$10:$J$224),0),
IF('TL14'!$B$229=O$3,SUMIF('TL14'!$C$238:$C$451,$C320,'TL14'!$J$238:$J$451),0),
IF('TL15'!$B$3=O$3,SUMIF('TL15'!$C$10:$C$224,$C320,'TL15'!$J$10:$J$224),0),
IF('TL15'!$B$229=O$3,SUMIF('TL15'!$C$238:$C$451,$C320,'TL15'!$J$238:$J$451),0),
IF('TL16'!$B$3=O$3,SUMIF('TL16'!$C$10:$C$224,$C320,'TL16'!$J$10:$J$224),0),
IF('TL16'!$B$229=O$3,SUMIF('TL16'!$C$238:$C$451,$C320,'TL16'!$J$238:$J$451),0),
IF('TL17'!$B$3=O$3,SUMIF('TL17'!$C$10:$C$224,$C320,'TL17'!$J$10:$J$224),0),
IF('TL17'!$B$229=O$3,SUMIF('TL17'!$C$238:$C$451,$C320,'TL17'!$J$238:$J$451),0),
IF('TL18'!$B$3=O$3,SUMIF('TL18'!$C$10:$C$224,$C320,'TL18'!$J$10:$J$224),0),
IF('TL18'!$B$229=O$3,SUMIF('TL18'!$C$238:$C$451,$C320,'TL18'!$J$238:$J$451),0),
IF('TL19'!$B$3=O$3,SUMIF('TL19'!$C$10:$C$224,$C320,'TL19'!$J$10:$J$224),0),
IF('TL19'!$B$229=O$3,SUMIF('TL19'!$C$238:$C$451,$C320,'TL19'!$J$238:$J$451),0)
),0)</f>
        <v>0</v>
      </c>
      <c r="P320" s="9">
        <f>IFERROR(SUM(
IF('TL01'!$B$3=P$3,SUMIF('TL01'!$C$10:$C$224,$C320,'TL01'!$J$10:$J$224),0),
IF('TL01'!$B$229=P$3,SUMIF('TL01'!$C$238:$C$451,$C320,'TL01'!$J$238:$J$451),0),
IF('TL02'!$B$3=P$3,SUMIF('TL02'!$C$10:$C$224,$C320,'TL02'!$J$10:$J$224),0),
IF('TL02'!$B$229=P$3,SUMIF('TL02'!$C$238:$C$451,$C320,'TL02'!$J$238:$J$451),0),
IF('TL03'!$B$3=P$3,SUMIF('TL03'!$C$10:$C$224,$C320,'TL03'!$J$10:$J$224),0),
IF('TL03'!$B$229=P$3,SUMIF('TL03'!$C$238:$C$451,$C320,'TL03'!$J$238:$J$451),0),
IF('TL04'!$B$3=P$3,SUMIF('TL04'!$C$10:$C$224,$C320,'TL04'!$J$10:$J$224),0),
IF('TL04'!$B$229=P$3,SUMIF('TL04'!$C$238:$C$451,$C320,'TL04'!$J$238:$J$451),0),
IF('TL05'!$B$3=P$3,SUMIF('TL05'!$C$10:$C$224,$C320,'TL05'!$J$10:$J$224),0),
IF('TL05'!$B$229=P$3,SUMIF('TL05'!$C$238:$C$451,$C320,'TL05'!$J$238:$J$451),0),
IF('TL06'!$B$3=P$3,SUMIF('TL06'!$C$10:$C$224,$C320,'TL06'!$J$10:$J$224),0),
IF('TL06'!$B$229=P$3,SUMIF('TL06'!$C$238:$C$451,$C320,'TL06'!$J$238:$J$451),0),
IF('TL07'!$B$3=P$3,SUMIF('TL07'!$C$10:$C$224,$C320,'TL07'!$J$10:$J$224),0),
IF('TL07'!$B$229=P$3,SUMIF('TL07'!$C$238:$C$451,$C320,'TL07'!$J$238:$J$451),0),
IF('TL08'!$B$3=P$3,SUMIF('TL08'!$C$10:$C$224,$C320,'TL08'!$J$10:$J$224),0),
IF('TL08'!$B$229=P$3,SUMIF('TL08'!$C$238:$C$451,$C320,'TL08'!$J$238:$J$451),0),
IF('TL09'!$B$3=P$3,SUMIF('TL09'!$C$10:$C$224,$C320,'TL09'!$J$10:$J$224),0),
IF('TL09'!$B$229=P$3,SUMIF('TL09'!$C$238:$C$451,$C320,'TL09'!$J$238:$J$451),0),
IF('TL10'!$B$3=P$3,SUMIF('TL10'!$C$10:$C$224,$C320,'TL10'!$J$10:$J$224),0),
IF('TL10'!$B$229=P$3,SUMIF('TL10'!$C$238:$C$451,$C320,'TL10'!$J$238:$J$451),0),
IF('TL11'!$B$3=P$3,SUMIF('TL11'!$C$10:$C$224,$C320,'TL11'!$J$10:$J$224),0),
IF('TL11'!$B$229=P$3,SUMIF('TL11'!$C$238:$C$451,$C320,'TL11'!$J$238:$J$451),0),
IF('TL12'!$B$3=P$3,SUMIF('TL12'!$C$10:$C$224,$C320,'TL12'!$J$10:$J$224),0),
IF('TL12'!$B$229=P$3,SUMIF('TL12'!$C$238:$C$451,$C320,'TL12'!$J$238:$J$451),0),
IF('TL13'!$B$3=P$3,SUMIF('TL13'!$C$10:$C$224,$C320,'TL13'!$J$10:$J$224),0),
IF('TL13'!$B$229=P$3,SUMIF('TL13'!$C$238:$C$451,$C320,'TL13'!$J$238:$J$451),0),
IF('TL14'!$B$3=P$3,SUMIF('TL14'!$C$10:$C$224,$C320,'TL14'!$J$10:$J$224),0),
IF('TL14'!$B$229=P$3,SUMIF('TL14'!$C$238:$C$451,$C320,'TL14'!$J$238:$J$451),0),
IF('TL15'!$B$3=P$3,SUMIF('TL15'!$C$10:$C$224,$C320,'TL15'!$J$10:$J$224),0),
IF('TL15'!$B$229=P$3,SUMIF('TL15'!$C$238:$C$451,$C320,'TL15'!$J$238:$J$451),0),
IF('TL16'!$B$3=P$3,SUMIF('TL16'!$C$10:$C$224,$C320,'TL16'!$J$10:$J$224),0),
IF('TL16'!$B$229=P$3,SUMIF('TL16'!$C$238:$C$451,$C320,'TL16'!$J$238:$J$451),0),
IF('TL17'!$B$3=P$3,SUMIF('TL17'!$C$10:$C$224,$C320,'TL17'!$J$10:$J$224),0),
IF('TL17'!$B$229=P$3,SUMIF('TL17'!$C$238:$C$451,$C320,'TL17'!$J$238:$J$451),0),
IF('TL18'!$B$3=P$3,SUMIF('TL18'!$C$10:$C$224,$C320,'TL18'!$J$10:$J$224),0),
IF('TL18'!$B$229=P$3,SUMIF('TL18'!$C$238:$C$451,$C320,'TL18'!$J$238:$J$451),0),
IF('TL19'!$B$3=P$3,SUMIF('TL19'!$C$10:$C$224,$C320,'TL19'!$J$10:$J$224),0),
IF('TL19'!$B$229=P$3,SUMIF('TL19'!$C$238:$C$451,$C320,'TL19'!$J$238:$J$451),0)
),0)</f>
        <v>0</v>
      </c>
      <c r="Q320" s="9">
        <f>IFERROR(SUM(
IF('TL01'!$B$3=Q$3,SUMIF('TL01'!$C$10:$C$224,$C320,'TL01'!$J$10:$J$224),0),
IF('TL01'!$B$229=Q$3,SUMIF('TL01'!$C$238:$C$451,$C320,'TL01'!$J$238:$J$451),0),
IF('TL02'!$B$3=Q$3,SUMIF('TL02'!$C$10:$C$224,$C320,'TL02'!$J$10:$J$224),0),
IF('TL02'!$B$229=Q$3,SUMIF('TL02'!$C$238:$C$451,$C320,'TL02'!$J$238:$J$451),0),
IF('TL03'!$B$3=Q$3,SUMIF('TL03'!$C$10:$C$224,$C320,'TL03'!$J$10:$J$224),0),
IF('TL03'!$B$229=Q$3,SUMIF('TL03'!$C$238:$C$451,$C320,'TL03'!$J$238:$J$451),0),
IF('TL04'!$B$3=Q$3,SUMIF('TL04'!$C$10:$C$224,$C320,'TL04'!$J$10:$J$224),0),
IF('TL04'!$B$229=Q$3,SUMIF('TL04'!$C$238:$C$451,$C320,'TL04'!$J$238:$J$451),0),
IF('TL05'!$B$3=Q$3,SUMIF('TL05'!$C$10:$C$224,$C320,'TL05'!$J$10:$J$224),0),
IF('TL05'!$B$229=Q$3,SUMIF('TL05'!$C$238:$C$451,$C320,'TL05'!$J$238:$J$451),0),
IF('TL06'!$B$3=Q$3,SUMIF('TL06'!$C$10:$C$224,$C320,'TL06'!$J$10:$J$224),0),
IF('TL06'!$B$229=Q$3,SUMIF('TL06'!$C$238:$C$451,$C320,'TL06'!$J$238:$J$451),0),
IF('TL07'!$B$3=Q$3,SUMIF('TL07'!$C$10:$C$224,$C320,'TL07'!$J$10:$J$224),0),
IF('TL07'!$B$229=Q$3,SUMIF('TL07'!$C$238:$C$451,$C320,'TL07'!$J$238:$J$451),0),
IF('TL08'!$B$3=Q$3,SUMIF('TL08'!$C$10:$C$224,$C320,'TL08'!$J$10:$J$224),0),
IF('TL08'!$B$229=Q$3,SUMIF('TL08'!$C$238:$C$451,$C320,'TL08'!$J$238:$J$451),0),
IF('TL09'!$B$3=Q$3,SUMIF('TL09'!$C$10:$C$224,$C320,'TL09'!$J$10:$J$224),0),
IF('TL09'!$B$229=Q$3,SUMIF('TL09'!$C$238:$C$451,$C320,'TL09'!$J$238:$J$451),0),
IF('TL10'!$B$3=Q$3,SUMIF('TL10'!$C$10:$C$224,$C320,'TL10'!$J$10:$J$224),0),
IF('TL10'!$B$229=Q$3,SUMIF('TL10'!$C$238:$C$451,$C320,'TL10'!$J$238:$J$451),0),
IF('TL11'!$B$3=Q$3,SUMIF('TL11'!$C$10:$C$224,$C320,'TL11'!$J$10:$J$224),0),
IF('TL11'!$B$229=Q$3,SUMIF('TL11'!$C$238:$C$451,$C320,'TL11'!$J$238:$J$451),0),
IF('TL12'!$B$3=Q$3,SUMIF('TL12'!$C$10:$C$224,$C320,'TL12'!$J$10:$J$224),0),
IF('TL12'!$B$229=Q$3,SUMIF('TL12'!$C$238:$C$451,$C320,'TL12'!$J$238:$J$451),0),
IF('TL13'!$B$3=Q$3,SUMIF('TL13'!$C$10:$C$224,$C320,'TL13'!$J$10:$J$224),0),
IF('TL13'!$B$229=Q$3,SUMIF('TL13'!$C$238:$C$451,$C320,'TL13'!$J$238:$J$451),0),
IF('TL14'!$B$3=Q$3,SUMIF('TL14'!$C$10:$C$224,$C320,'TL14'!$J$10:$J$224),0),
IF('TL14'!$B$229=Q$3,SUMIF('TL14'!$C$238:$C$451,$C320,'TL14'!$J$238:$J$451),0),
IF('TL15'!$B$3=Q$3,SUMIF('TL15'!$C$10:$C$224,$C320,'TL15'!$J$10:$J$224),0),
IF('TL15'!$B$229=Q$3,SUMIF('TL15'!$C$238:$C$451,$C320,'TL15'!$J$238:$J$451),0),
IF('TL16'!$B$3=Q$3,SUMIF('TL16'!$C$10:$C$224,$C320,'TL16'!$J$10:$J$224),0),
IF('TL16'!$B$229=Q$3,SUMIF('TL16'!$C$238:$C$451,$C320,'TL16'!$J$238:$J$451),0),
IF('TL17'!$B$3=Q$3,SUMIF('TL17'!$C$10:$C$224,$C320,'TL17'!$J$10:$J$224),0),
IF('TL17'!$B$229=Q$3,SUMIF('TL17'!$C$238:$C$451,$C320,'TL17'!$J$238:$J$451),0),
IF('TL18'!$B$3=Q$3,SUMIF('TL18'!$C$10:$C$224,$C320,'TL18'!$J$10:$J$224),0),
IF('TL18'!$B$229=Q$3,SUMIF('TL18'!$C$238:$C$451,$C320,'TL18'!$J$238:$J$451),0),
IF('TL19'!$B$3=Q$3,SUMIF('TL19'!$C$10:$C$224,$C320,'TL19'!$J$10:$J$224),0),
IF('TL19'!$B$229=Q$3,SUMIF('TL19'!$C$238:$C$451,$C320,'TL19'!$J$238:$J$451),0)
),0)</f>
        <v>0</v>
      </c>
      <c r="R320" s="9">
        <f>IFERROR(
SUM(
SUMIF('TL01'!C:C,C320,'TL01'!J:J),
SUMIF('TL02'!C:C,C320,'TL02'!J:J),
SUMIF('TL03'!C:C,C320,'TL03'!J:J),
SUMIF('TL04'!C:C,C320,'TL04'!J:J),
SUMIF('TL05'!C:C,C320,'TL05'!J:J),
SUMIF('TL06'!C:C,C320,'TL06'!J:J),
SUMIF('TL07'!C:C,C320,'TL07'!J:J),
SUMIF('TL08'!C:C,C320,'TL08'!J:J),
SUMIF('TL09'!C:C,C320,'TL09'!J:J),
SUMIF('TL10'!C:C,C320,'TL10'!J:J),
SUMIF('TL11'!C:C,C320,'TL11'!J:J),
SUMIF('TL12'!C:C,C320,'TL12'!J:J),
SUMIF('TL13'!C:C,C320,'TL13'!J:J),
SUMIF('TL14'!C:C,C320,'TL14'!J:J),
SUMIF('TL15'!C:C,C320,'TL15'!J:J),
SUMIF('TL16'!C:C,C320,'TL16'!J:J),
SUMIF('TL17'!C:C,C320,'TL17'!J:J),
SUMIF('TL18'!C:C,C320,'TL18'!J:J),SUMIF('TL19'!C:C,C320,'TL19'!J:J))
,0)</f>
        <v>0</v>
      </c>
      <c r="S320" s="17" t="str">
        <f>IFERROR(__xludf.DUMMYFUNCTION("IFERROR(VLOOKUP(C320,
IMPORTRANGE(""1wULbzX32WdYsx-lj2U3uUNBBe2INVIRDtcK0d-Dvl90"",
""26-27!C:G""),
5,
FALSE),
"""")"),"")</f>
        <v/>
      </c>
      <c r="T320" s="9"/>
      <c r="U320" s="92">
        <f t="shared" si="2"/>
        <v>0</v>
      </c>
      <c r="V320" s="93">
        <f t="shared" si="3"/>
        <v>0</v>
      </c>
    </row>
    <row r="321" ht="15.75" hidden="1" customHeight="1">
      <c r="A321" s="4"/>
      <c r="B321" s="125" t="s">
        <v>5</v>
      </c>
      <c r="C321" s="4" t="s">
        <v>1047</v>
      </c>
      <c r="D321" s="6"/>
      <c r="E321" s="9"/>
      <c r="F321" s="4"/>
      <c r="G321" s="90" t="str">
        <f t="shared" si="5"/>
        <v>📄 Ver bula</v>
      </c>
      <c r="H321" s="9"/>
      <c r="I321" s="1"/>
      <c r="J321" s="9">
        <f>IFERROR(SUM(
IF('TL01'!$B$3=J$3,SUMIF('TL01'!$C$10:$C$224,$C321,'TL01'!$J$10:$J$224),0),
IF('TL01'!$B$229=J$3,SUMIF('TL01'!$C$238:$C$451,$C321,'TL01'!$J$238:$J$451),0),
IF('TL02'!$B$3=J$3,SUMIF('TL02'!$C$10:$C$224,$C321,'TL02'!$J$10:$J$224),0),
IF('TL02'!$B$229=J$3,SUMIF('TL02'!$C$238:$C$451,$C321,'TL02'!$J$238:$J$451),0),
IF('TL03'!$B$3=J$3,SUMIF('TL03'!$C$10:$C$224,$C321,'TL03'!$J$10:$J$224),0),
IF('TL03'!$B$229=J$3,SUMIF('TL03'!$C$238:$C$451,$C321,'TL03'!$J$238:$J$451),0),
IF('TL04'!$B$3=J$3,SUMIF('TL04'!$C$10:$C$224,$C321,'TL04'!$J$10:$J$224),0),
IF('TL04'!$B$229=J$3,SUMIF('TL04'!$C$238:$C$451,$C321,'TL04'!$J$238:$J$451),0),
IF('TL05'!$B$3=J$3,SUMIF('TL05'!$C$10:$C$224,$C321,'TL05'!$J$10:$J$224),0),
IF('TL05'!$B$229=J$3,SUMIF('TL05'!$C$238:$C$451,$C321,'TL05'!$J$238:$J$451),0),
IF('TL06'!$B$3=J$3,SUMIF('TL06'!$C$10:$C$224,$C321,'TL06'!$J$10:$J$224),0),
IF('TL06'!$B$229=J$3,SUMIF('TL06'!$C$238:$C$451,$C321,'TL06'!$J$238:$J$451),0),
IF('TL07'!$B$3=J$3,SUMIF('TL07'!$C$10:$C$224,$C321,'TL07'!$J$10:$J$224),0),
IF('TL07'!$B$229=J$3,SUMIF('TL07'!$C$238:$C$451,$C321,'TL07'!$J$238:$J$451),0),
IF('TL08'!$B$3=J$3,SUMIF('TL08'!$C$10:$C$224,$C321,'TL08'!$J$10:$J$224),0),
IF('TL08'!$B$229=J$3,SUMIF('TL08'!$C$238:$C$451,$C321,'TL08'!$J$238:$J$451),0),
IF('TL09'!$B$3=J$3,SUMIF('TL09'!$C$10:$C$224,$C321,'TL09'!$J$10:$J$224),0),
IF('TL09'!$B$229=J$3,SUMIF('TL09'!$C$238:$C$451,$C321,'TL09'!$J$238:$J$451),0),
IF('TL10'!$B$3=J$3,SUMIF('TL10'!$C$10:$C$224,$C321,'TL10'!$J$10:$J$224),0),
IF('TL10'!$B$229=J$3,SUMIF('TL10'!$C$238:$C$451,$C321,'TL10'!$J$238:$J$451),0),
IF('TL11'!$B$3=J$3,SUMIF('TL11'!$C$10:$C$224,$C321,'TL11'!$J$10:$J$224),0),
IF('TL11'!$B$229=J$3,SUMIF('TL11'!$C$238:$C$451,$C321,'TL11'!$J$238:$J$451),0),
IF('TL12'!$B$3=J$3,SUMIF('TL12'!$C$10:$C$224,$C321,'TL12'!$J$10:$J$224),0),
IF('TL12'!$B$229=J$3,SUMIF('TL12'!$C$238:$C$451,$C321,'TL12'!$J$238:$J$451),0),
IF('TL13'!$B$3=J$3,SUMIF('TL13'!$C$10:$C$224,$C321,'TL13'!$J$10:$J$224),0),
IF('TL13'!$B$229=J$3,SUMIF('TL13'!$C$238:$C$451,$C321,'TL13'!$J$238:$J$451),0),
IF('TL14'!$B$3=J$3,SUMIF('TL14'!$C$10:$C$224,$C321,'TL14'!$J$10:$J$224),0),
IF('TL14'!$B$229=J$3,SUMIF('TL14'!$C$238:$C$451,$C321,'TL14'!$J$238:$J$451),0),
IF('TL15'!$B$3=J$3,SUMIF('TL15'!$C$10:$C$224,$C321,'TL15'!$J$10:$J$224),0),
IF('TL15'!$B$229=J$3,SUMIF('TL15'!$C$238:$C$451,$C321,'TL15'!$J$238:$J$451),0),
IF('TL16'!$B$3=J$3,SUMIF('TL16'!$C$10:$C$224,$C321,'TL16'!$J$10:$J$224),0),
IF('TL16'!$B$229=J$3,SUMIF('TL16'!$C$238:$C$451,$C321,'TL16'!$J$238:$J$451),0),
IF('TL17'!$B$3=J$3,SUMIF('TL17'!$C$10:$C$224,$C321,'TL17'!$J$10:$J$224),0),
IF('TL17'!$B$229=J$3,SUMIF('TL17'!$C$238:$C$451,$C321,'TL17'!$J$238:$J$451),0),
IF('TL18'!$B$3=J$3,SUMIF('TL18'!$C$10:$C$224,$C321,'TL18'!$J$10:$J$224),0),
IF('TL18'!$B$229=J$3,SUMIF('TL18'!$C$238:$C$451,$C321,'TL18'!$J$238:$J$451),0),
IF('TL19'!$B$3=J$3,SUMIF('TL19'!$C$10:$C$224,$C321,'TL19'!$J$10:$J$224),0),
IF('TL19'!$B$229=J$3,SUMIF('TL19'!$C$238:$C$451,$C321,'TL19'!$J$238:$J$451),0)
),0)</f>
        <v>0</v>
      </c>
      <c r="K321" s="9">
        <f>IFERROR(SUM(
IF('TL01'!$B$3=K$3,SUMIF('TL01'!$C$10:$C$224,$C321,'TL01'!$J$10:$J$224),0),
IF('TL01'!$B$229=K$3,SUMIF('TL01'!$C$238:$C$451,$C321,'TL01'!$J$238:$J$451),0),
IF('TL02'!$B$3=K$3,SUMIF('TL02'!$C$10:$C$224,$C321,'TL02'!$J$10:$J$224),0),
IF('TL02'!$B$229=K$3,SUMIF('TL02'!$C$238:$C$451,$C321,'TL02'!$J$238:$J$451),0),
IF('TL03'!$B$3=K$3,SUMIF('TL03'!$C$10:$C$224,$C321,'TL03'!$J$10:$J$224),0),
IF('TL03'!$B$229=K$3,SUMIF('TL03'!$C$238:$C$451,$C321,'TL03'!$J$238:$J$451),0),
IF('TL04'!$B$3=K$3,SUMIF('TL04'!$C$10:$C$224,$C321,'TL04'!$J$10:$J$224),0),
IF('TL04'!$B$229=K$3,SUMIF('TL04'!$C$238:$C$451,$C321,'TL04'!$J$238:$J$451),0),
IF('TL05'!$B$3=K$3,SUMIF('TL05'!$C$10:$C$224,$C321,'TL05'!$J$10:$J$224),0),
IF('TL05'!$B$229=K$3,SUMIF('TL05'!$C$238:$C$451,$C321,'TL05'!$J$238:$J$451),0),
IF('TL06'!$B$3=K$3,SUMIF('TL06'!$C$10:$C$224,$C321,'TL06'!$J$10:$J$224),0),
IF('TL06'!$B$229=K$3,SUMIF('TL06'!$C$238:$C$451,$C321,'TL06'!$J$238:$J$451),0),
IF('TL07'!$B$3=K$3,SUMIF('TL07'!$C$10:$C$224,$C321,'TL07'!$J$10:$J$224),0),
IF('TL07'!$B$229=K$3,SUMIF('TL07'!$C$238:$C$451,$C321,'TL07'!$J$238:$J$451),0),
IF('TL08'!$B$3=K$3,SUMIF('TL08'!$C$10:$C$224,$C321,'TL08'!$J$10:$J$224),0),
IF('TL08'!$B$229=K$3,SUMIF('TL08'!$C$238:$C$451,$C321,'TL08'!$J$238:$J$451),0),
IF('TL09'!$B$3=K$3,SUMIF('TL09'!$C$10:$C$224,$C321,'TL09'!$J$10:$J$224),0),
IF('TL09'!$B$229=K$3,SUMIF('TL09'!$C$238:$C$451,$C321,'TL09'!$J$238:$J$451),0),
IF('TL10'!$B$3=K$3,SUMIF('TL10'!$C$10:$C$224,$C321,'TL10'!$J$10:$J$224),0),
IF('TL10'!$B$229=K$3,SUMIF('TL10'!$C$238:$C$451,$C321,'TL10'!$J$238:$J$451),0),
IF('TL11'!$B$3=K$3,SUMIF('TL11'!$C$10:$C$224,$C321,'TL11'!$J$10:$J$224),0),
IF('TL11'!$B$229=K$3,SUMIF('TL11'!$C$238:$C$451,$C321,'TL11'!$J$238:$J$451),0),
IF('TL12'!$B$3=K$3,SUMIF('TL12'!$C$10:$C$224,$C321,'TL12'!$J$10:$J$224),0),
IF('TL12'!$B$229=K$3,SUMIF('TL12'!$C$238:$C$451,$C321,'TL12'!$J$238:$J$451),0),
IF('TL13'!$B$3=K$3,SUMIF('TL13'!$C$10:$C$224,$C321,'TL13'!$J$10:$J$224),0),
IF('TL13'!$B$229=K$3,SUMIF('TL13'!$C$238:$C$451,$C321,'TL13'!$J$238:$J$451),0),
IF('TL14'!$B$3=K$3,SUMIF('TL14'!$C$10:$C$224,$C321,'TL14'!$J$10:$J$224),0),
IF('TL14'!$B$229=K$3,SUMIF('TL14'!$C$238:$C$451,$C321,'TL14'!$J$238:$J$451),0),
IF('TL15'!$B$3=K$3,SUMIF('TL15'!$C$10:$C$224,$C321,'TL15'!$J$10:$J$224),0),
IF('TL15'!$B$229=K$3,SUMIF('TL15'!$C$238:$C$451,$C321,'TL15'!$J$238:$J$451),0),
IF('TL16'!$B$3=K$3,SUMIF('TL16'!$C$10:$C$224,$C321,'TL16'!$J$10:$J$224),0),
IF('TL16'!$B$229=K$3,SUMIF('TL16'!$C$238:$C$451,$C321,'TL16'!$J$238:$J$451),0),
IF('TL17'!$B$3=K$3,SUMIF('TL17'!$C$10:$C$224,$C321,'TL17'!$J$10:$J$224),0),
IF('TL17'!$B$229=K$3,SUMIF('TL17'!$C$238:$C$451,$C321,'TL17'!$J$238:$J$451),0),
IF('TL18'!$B$3=K$3,SUMIF('TL18'!$C$10:$C$224,$C321,'TL18'!$J$10:$J$224),0),
IF('TL18'!$B$229=K$3,SUMIF('TL18'!$C$238:$C$451,$C321,'TL18'!$J$238:$J$451),0),
IF('TL19'!$B$3=K$3,SUMIF('TL19'!$C$10:$C$224,$C321,'TL19'!$J$10:$J$224),0),
IF('TL19'!$B$229=K$3,SUMIF('TL19'!$C$238:$C$451,$C321,'TL19'!$J$238:$J$451),0)
),0)</f>
        <v>0</v>
      </c>
      <c r="L321" s="9">
        <f>IFERROR(SUM(
IF('TL01'!$B$3=L$3,SUMIF('TL01'!$C$10:$C$224,$C321,'TL01'!$J$10:$J$224),0),
IF('TL01'!$B$229=L$3,SUMIF('TL01'!$C$238:$C$451,$C321,'TL01'!$J$238:$J$451),0),
IF('TL02'!$B$3=L$3,SUMIF('TL02'!$C$10:$C$224,$C321,'TL02'!$J$10:$J$224),0),
IF('TL02'!$B$229=L$3,SUMIF('TL02'!$C$238:$C$451,$C321,'TL02'!$J$238:$J$451),0),
IF('TL03'!$B$3=L$3,SUMIF('TL03'!$C$10:$C$224,$C321,'TL03'!$J$10:$J$224),0),
IF('TL03'!$B$229=L$3,SUMIF('TL03'!$C$238:$C$451,$C321,'TL03'!$J$238:$J$451),0),
IF('TL04'!$B$3=L$3,SUMIF('TL04'!$C$10:$C$224,$C321,'TL04'!$J$10:$J$224),0),
IF('TL04'!$B$229=L$3,SUMIF('TL04'!$C$238:$C$451,$C321,'TL04'!$J$238:$J$451),0),
IF('TL05'!$B$3=L$3,SUMIF('TL05'!$C$10:$C$224,$C321,'TL05'!$J$10:$J$224),0),
IF('TL05'!$B$229=L$3,SUMIF('TL05'!$C$238:$C$451,$C321,'TL05'!$J$238:$J$451),0),
IF('TL06'!$B$3=L$3,SUMIF('TL06'!$C$10:$C$224,$C321,'TL06'!$J$10:$J$224),0),
IF('TL06'!$B$229=L$3,SUMIF('TL06'!$C$238:$C$451,$C321,'TL06'!$J$238:$J$451),0),
IF('TL07'!$B$3=L$3,SUMIF('TL07'!$C$10:$C$224,$C321,'TL07'!$J$10:$J$224),0),
IF('TL07'!$B$229=L$3,SUMIF('TL07'!$C$238:$C$451,$C321,'TL07'!$J$238:$J$451),0),
IF('TL08'!$B$3=L$3,SUMIF('TL08'!$C$10:$C$224,$C321,'TL08'!$J$10:$J$224),0),
IF('TL08'!$B$229=L$3,SUMIF('TL08'!$C$238:$C$451,$C321,'TL08'!$J$238:$J$451),0),
IF('TL09'!$B$3=L$3,SUMIF('TL09'!$C$10:$C$224,$C321,'TL09'!$J$10:$J$224),0),
IF('TL09'!$B$229=L$3,SUMIF('TL09'!$C$238:$C$451,$C321,'TL09'!$J$238:$J$451),0),
IF('TL10'!$B$3=L$3,SUMIF('TL10'!$C$10:$C$224,$C321,'TL10'!$J$10:$J$224),0),
IF('TL10'!$B$229=L$3,SUMIF('TL10'!$C$238:$C$451,$C321,'TL10'!$J$238:$J$451),0),
IF('TL11'!$B$3=L$3,SUMIF('TL11'!$C$10:$C$224,$C321,'TL11'!$J$10:$J$224),0),
IF('TL11'!$B$229=L$3,SUMIF('TL11'!$C$238:$C$451,$C321,'TL11'!$J$238:$J$451),0),
IF('TL12'!$B$3=L$3,SUMIF('TL12'!$C$10:$C$224,$C321,'TL12'!$J$10:$J$224),0),
IF('TL12'!$B$229=L$3,SUMIF('TL12'!$C$238:$C$451,$C321,'TL12'!$J$238:$J$451),0),
IF('TL13'!$B$3=L$3,SUMIF('TL13'!$C$10:$C$224,$C321,'TL13'!$J$10:$J$224),0),
IF('TL13'!$B$229=L$3,SUMIF('TL13'!$C$238:$C$451,$C321,'TL13'!$J$238:$J$451),0),
IF('TL14'!$B$3=L$3,SUMIF('TL14'!$C$10:$C$224,$C321,'TL14'!$J$10:$J$224),0),
IF('TL14'!$B$229=L$3,SUMIF('TL14'!$C$238:$C$451,$C321,'TL14'!$J$238:$J$451),0),
IF('TL15'!$B$3=L$3,SUMIF('TL15'!$C$10:$C$224,$C321,'TL15'!$J$10:$J$224),0),
IF('TL15'!$B$229=L$3,SUMIF('TL15'!$C$238:$C$451,$C321,'TL15'!$J$238:$J$451),0),
IF('TL16'!$B$3=L$3,SUMIF('TL16'!$C$10:$C$224,$C321,'TL16'!$J$10:$J$224),0),
IF('TL16'!$B$229=L$3,SUMIF('TL16'!$C$238:$C$451,$C321,'TL16'!$J$238:$J$451),0),
IF('TL17'!$B$3=L$3,SUMIF('TL17'!$C$10:$C$224,$C321,'TL17'!$J$10:$J$224),0),
IF('TL17'!$B$229=L$3,SUMIF('TL17'!$C$238:$C$451,$C321,'TL17'!$J$238:$J$451),0),
IF('TL18'!$B$3=L$3,SUMIF('TL18'!$C$10:$C$224,$C321,'TL18'!$J$10:$J$224),0),
IF('TL18'!$B$229=L$3,SUMIF('TL18'!$C$238:$C$451,$C321,'TL18'!$J$238:$J$451),0),
IF('TL19'!$B$3=L$3,SUMIF('TL19'!$C$10:$C$224,$C321,'TL19'!$J$10:$J$224),0),
IF('TL19'!$B$229=L$3,SUMIF('TL19'!$C$238:$C$451,$C321,'TL19'!$J$238:$J$451),0)
),0)</f>
        <v>0</v>
      </c>
      <c r="M321" s="9">
        <f>IFERROR(SUM(
IF('TL01'!$B$3=M$3,SUMIF('TL01'!$C$10:$C$224,$C321,'TL01'!$J$10:$J$224),0),
IF('TL01'!$B$229=M$3,SUMIF('TL01'!$C$238:$C$451,$C321,'TL01'!$J$238:$J$451),0),
IF('TL02'!$B$3=M$3,SUMIF('TL02'!$C$10:$C$224,$C321,'TL02'!$J$10:$J$224),0),
IF('TL02'!$B$229=M$3,SUMIF('TL02'!$C$238:$C$451,$C321,'TL02'!$J$238:$J$451),0),
IF('TL03'!$B$3=M$3,SUMIF('TL03'!$C$10:$C$224,$C321,'TL03'!$J$10:$J$224),0),
IF('TL03'!$B$229=M$3,SUMIF('TL03'!$C$238:$C$451,$C321,'TL03'!$J$238:$J$451),0),
IF('TL04'!$B$3=M$3,SUMIF('TL04'!$C$10:$C$224,$C321,'TL04'!$J$10:$J$224),0),
IF('TL04'!$B$229=M$3,SUMIF('TL04'!$C$238:$C$451,$C321,'TL04'!$J$238:$J$451),0),
IF('TL05'!$B$3=M$3,SUMIF('TL05'!$C$10:$C$224,$C321,'TL05'!$J$10:$J$224),0),
IF('TL05'!$B$229=M$3,SUMIF('TL05'!$C$238:$C$451,$C321,'TL05'!$J$238:$J$451),0),
IF('TL06'!$B$3=M$3,SUMIF('TL06'!$C$10:$C$224,$C321,'TL06'!$J$10:$J$224),0),
IF('TL06'!$B$229=M$3,SUMIF('TL06'!$C$238:$C$451,$C321,'TL06'!$J$238:$J$451),0),
IF('TL07'!$B$3=M$3,SUMIF('TL07'!$C$10:$C$224,$C321,'TL07'!$J$10:$J$224),0),
IF('TL07'!$B$229=M$3,SUMIF('TL07'!$C$238:$C$451,$C321,'TL07'!$J$238:$J$451),0),
IF('TL08'!$B$3=M$3,SUMIF('TL08'!$C$10:$C$224,$C321,'TL08'!$J$10:$J$224),0),
IF('TL08'!$B$229=M$3,SUMIF('TL08'!$C$238:$C$451,$C321,'TL08'!$J$238:$J$451),0),
IF('TL09'!$B$3=M$3,SUMIF('TL09'!$C$10:$C$224,$C321,'TL09'!$J$10:$J$224),0),
IF('TL09'!$B$229=M$3,SUMIF('TL09'!$C$238:$C$451,$C321,'TL09'!$J$238:$J$451),0),
IF('TL10'!$B$3=M$3,SUMIF('TL10'!$C$10:$C$224,$C321,'TL10'!$J$10:$J$224),0),
IF('TL10'!$B$229=M$3,SUMIF('TL10'!$C$238:$C$451,$C321,'TL10'!$J$238:$J$451),0),
IF('TL11'!$B$3=M$3,SUMIF('TL11'!$C$10:$C$224,$C321,'TL11'!$J$10:$J$224),0),
IF('TL11'!$B$229=M$3,SUMIF('TL11'!$C$238:$C$451,$C321,'TL11'!$J$238:$J$451),0),
IF('TL12'!$B$3=M$3,SUMIF('TL12'!$C$10:$C$224,$C321,'TL12'!$J$10:$J$224),0),
IF('TL12'!$B$229=M$3,SUMIF('TL12'!$C$238:$C$451,$C321,'TL12'!$J$238:$J$451),0),
IF('TL13'!$B$3=M$3,SUMIF('TL13'!$C$10:$C$224,$C321,'TL13'!$J$10:$J$224),0),
IF('TL13'!$B$229=M$3,SUMIF('TL13'!$C$238:$C$451,$C321,'TL13'!$J$238:$J$451),0),
IF('TL14'!$B$3=M$3,SUMIF('TL14'!$C$10:$C$224,$C321,'TL14'!$J$10:$J$224),0),
IF('TL14'!$B$229=M$3,SUMIF('TL14'!$C$238:$C$451,$C321,'TL14'!$J$238:$J$451),0),
IF('TL15'!$B$3=M$3,SUMIF('TL15'!$C$10:$C$224,$C321,'TL15'!$J$10:$J$224),0),
IF('TL15'!$B$229=M$3,SUMIF('TL15'!$C$238:$C$451,$C321,'TL15'!$J$238:$J$451),0),
IF('TL16'!$B$3=M$3,SUMIF('TL16'!$C$10:$C$224,$C321,'TL16'!$J$10:$J$224),0),
IF('TL16'!$B$229=M$3,SUMIF('TL16'!$C$238:$C$451,$C321,'TL16'!$J$238:$J$451),0),
IF('TL17'!$B$3=M$3,SUMIF('TL17'!$C$10:$C$224,$C321,'TL17'!$J$10:$J$224),0),
IF('TL17'!$B$229=M$3,SUMIF('TL17'!$C$238:$C$451,$C321,'TL17'!$J$238:$J$451),0),
IF('TL18'!$B$3=M$3,SUMIF('TL18'!$C$10:$C$224,$C321,'TL18'!$J$10:$J$224),0),
IF('TL18'!$B$229=M$3,SUMIF('TL18'!$C$238:$C$451,$C321,'TL18'!$J$238:$J$451),0),
IF('TL19'!$B$3=M$3,SUMIF('TL19'!$C$10:$C$224,$C321,'TL19'!$J$10:$J$224),0),
IF('TL19'!$B$229=M$3,SUMIF('TL19'!$C$238:$C$451,$C321,'TL19'!$J$238:$J$451),0)
),0)</f>
        <v>0</v>
      </c>
      <c r="N321" s="9">
        <f>IFERROR(SUM(
IF('TL01'!$B$3=N$3,SUMIF('TL01'!$C$10:$C$224,$C321,'TL01'!$J$10:$J$224),0),
IF('TL01'!$B$229=N$3,SUMIF('TL01'!$C$238:$C$451,$C321,'TL01'!$J$238:$J$451),0),
IF('TL02'!$B$3=N$3,SUMIF('TL02'!$C$10:$C$224,$C321,'TL02'!$J$10:$J$224),0),
IF('TL02'!$B$229=N$3,SUMIF('TL02'!$C$238:$C$451,$C321,'TL02'!$J$238:$J$451),0),
IF('TL03'!$B$3=N$3,SUMIF('TL03'!$C$10:$C$224,$C321,'TL03'!$J$10:$J$224),0),
IF('TL03'!$B$229=N$3,SUMIF('TL03'!$C$238:$C$451,$C321,'TL03'!$J$238:$J$451),0),
IF('TL04'!$B$3=N$3,SUMIF('TL04'!$C$10:$C$224,$C321,'TL04'!$J$10:$J$224),0),
IF('TL04'!$B$229=N$3,SUMIF('TL04'!$C$238:$C$451,$C321,'TL04'!$J$238:$J$451),0),
IF('TL05'!$B$3=N$3,SUMIF('TL05'!$C$10:$C$224,$C321,'TL05'!$J$10:$J$224),0),
IF('TL05'!$B$229=N$3,SUMIF('TL05'!$C$238:$C$451,$C321,'TL05'!$J$238:$J$451),0),
IF('TL06'!$B$3=N$3,SUMIF('TL06'!$C$10:$C$224,$C321,'TL06'!$J$10:$J$224),0),
IF('TL06'!$B$229=N$3,SUMIF('TL06'!$C$238:$C$451,$C321,'TL06'!$J$238:$J$451),0),
IF('TL07'!$B$3=N$3,SUMIF('TL07'!$C$10:$C$224,$C321,'TL07'!$J$10:$J$224),0),
IF('TL07'!$B$229=N$3,SUMIF('TL07'!$C$238:$C$451,$C321,'TL07'!$J$238:$J$451),0),
IF('TL08'!$B$3=N$3,SUMIF('TL08'!$C$10:$C$224,$C321,'TL08'!$J$10:$J$224),0),
IF('TL08'!$B$229=N$3,SUMIF('TL08'!$C$238:$C$451,$C321,'TL08'!$J$238:$J$451),0),
IF('TL09'!$B$3=N$3,SUMIF('TL09'!$C$10:$C$224,$C321,'TL09'!$J$10:$J$224),0),
IF('TL09'!$B$229=N$3,SUMIF('TL09'!$C$238:$C$451,$C321,'TL09'!$J$238:$J$451),0),
IF('TL10'!$B$3=N$3,SUMIF('TL10'!$C$10:$C$224,$C321,'TL10'!$J$10:$J$224),0),
IF('TL10'!$B$229=N$3,SUMIF('TL10'!$C$238:$C$451,$C321,'TL10'!$J$238:$J$451),0),
IF('TL11'!$B$3=N$3,SUMIF('TL11'!$C$10:$C$224,$C321,'TL11'!$J$10:$J$224),0),
IF('TL11'!$B$229=N$3,SUMIF('TL11'!$C$238:$C$451,$C321,'TL11'!$J$238:$J$451),0),
IF('TL12'!$B$3=N$3,SUMIF('TL12'!$C$10:$C$224,$C321,'TL12'!$J$10:$J$224),0),
IF('TL12'!$B$229=N$3,SUMIF('TL12'!$C$238:$C$451,$C321,'TL12'!$J$238:$J$451),0),
IF('TL13'!$B$3=N$3,SUMIF('TL13'!$C$10:$C$224,$C321,'TL13'!$J$10:$J$224),0),
IF('TL13'!$B$229=N$3,SUMIF('TL13'!$C$238:$C$451,$C321,'TL13'!$J$238:$J$451),0),
IF('TL14'!$B$3=N$3,SUMIF('TL14'!$C$10:$C$224,$C321,'TL14'!$J$10:$J$224),0),
IF('TL14'!$B$229=N$3,SUMIF('TL14'!$C$238:$C$451,$C321,'TL14'!$J$238:$J$451),0),
IF('TL15'!$B$3=N$3,SUMIF('TL15'!$C$10:$C$224,$C321,'TL15'!$J$10:$J$224),0),
IF('TL15'!$B$229=N$3,SUMIF('TL15'!$C$238:$C$451,$C321,'TL15'!$J$238:$J$451),0),
IF('TL16'!$B$3=N$3,SUMIF('TL16'!$C$10:$C$224,$C321,'TL16'!$J$10:$J$224),0),
IF('TL16'!$B$229=N$3,SUMIF('TL16'!$C$238:$C$451,$C321,'TL16'!$J$238:$J$451),0),
IF('TL17'!$B$3=N$3,SUMIF('TL17'!$C$10:$C$224,$C321,'TL17'!$J$10:$J$224),0),
IF('TL17'!$B$229=N$3,SUMIF('TL17'!$C$238:$C$451,$C321,'TL17'!$J$238:$J$451),0),
IF('TL18'!$B$3=N$3,SUMIF('TL18'!$C$10:$C$224,$C321,'TL18'!$J$10:$J$224),0),
IF('TL18'!$B$229=N$3,SUMIF('TL18'!$C$238:$C$451,$C321,'TL18'!$J$238:$J$451),0),
IF('TL19'!$B$3=N$3,SUMIF('TL19'!$C$10:$C$224,$C321,'TL19'!$J$10:$J$224),0),
IF('TL19'!$B$229=N$3,SUMIF('TL19'!$C$238:$C$451,$C321,'TL19'!$J$238:$J$451),0)
),0)</f>
        <v>0</v>
      </c>
      <c r="O321" s="9">
        <f>IFERROR(SUM(
IF('TL01'!$B$3=O$3,SUMIF('TL01'!$C$10:$C$224,$C321,'TL01'!$J$10:$J$224),0),
IF('TL01'!$B$229=O$3,SUMIF('TL01'!$C$238:$C$451,$C321,'TL01'!$J$238:$J$451),0),
IF('TL02'!$B$3=O$3,SUMIF('TL02'!$C$10:$C$224,$C321,'TL02'!$J$10:$J$224),0),
IF('TL02'!$B$229=O$3,SUMIF('TL02'!$C$238:$C$451,$C321,'TL02'!$J$238:$J$451),0),
IF('TL03'!$B$3=O$3,SUMIF('TL03'!$C$10:$C$224,$C321,'TL03'!$J$10:$J$224),0),
IF('TL03'!$B$229=O$3,SUMIF('TL03'!$C$238:$C$451,$C321,'TL03'!$J$238:$J$451),0),
IF('TL04'!$B$3=O$3,SUMIF('TL04'!$C$10:$C$224,$C321,'TL04'!$J$10:$J$224),0),
IF('TL04'!$B$229=O$3,SUMIF('TL04'!$C$238:$C$451,$C321,'TL04'!$J$238:$J$451),0),
IF('TL05'!$B$3=O$3,SUMIF('TL05'!$C$10:$C$224,$C321,'TL05'!$J$10:$J$224),0),
IF('TL05'!$B$229=O$3,SUMIF('TL05'!$C$238:$C$451,$C321,'TL05'!$J$238:$J$451),0),
IF('TL06'!$B$3=O$3,SUMIF('TL06'!$C$10:$C$224,$C321,'TL06'!$J$10:$J$224),0),
IF('TL06'!$B$229=O$3,SUMIF('TL06'!$C$238:$C$451,$C321,'TL06'!$J$238:$J$451),0),
IF('TL07'!$B$3=O$3,SUMIF('TL07'!$C$10:$C$224,$C321,'TL07'!$J$10:$J$224),0),
IF('TL07'!$B$229=O$3,SUMIF('TL07'!$C$238:$C$451,$C321,'TL07'!$J$238:$J$451),0),
IF('TL08'!$B$3=O$3,SUMIF('TL08'!$C$10:$C$224,$C321,'TL08'!$J$10:$J$224),0),
IF('TL08'!$B$229=O$3,SUMIF('TL08'!$C$238:$C$451,$C321,'TL08'!$J$238:$J$451),0),
IF('TL09'!$B$3=O$3,SUMIF('TL09'!$C$10:$C$224,$C321,'TL09'!$J$10:$J$224),0),
IF('TL09'!$B$229=O$3,SUMIF('TL09'!$C$238:$C$451,$C321,'TL09'!$J$238:$J$451),0),
IF('TL10'!$B$3=O$3,SUMIF('TL10'!$C$10:$C$224,$C321,'TL10'!$J$10:$J$224),0),
IF('TL10'!$B$229=O$3,SUMIF('TL10'!$C$238:$C$451,$C321,'TL10'!$J$238:$J$451),0),
IF('TL11'!$B$3=O$3,SUMIF('TL11'!$C$10:$C$224,$C321,'TL11'!$J$10:$J$224),0),
IF('TL11'!$B$229=O$3,SUMIF('TL11'!$C$238:$C$451,$C321,'TL11'!$J$238:$J$451),0),
IF('TL12'!$B$3=O$3,SUMIF('TL12'!$C$10:$C$224,$C321,'TL12'!$J$10:$J$224),0),
IF('TL12'!$B$229=O$3,SUMIF('TL12'!$C$238:$C$451,$C321,'TL12'!$J$238:$J$451),0),
IF('TL13'!$B$3=O$3,SUMIF('TL13'!$C$10:$C$224,$C321,'TL13'!$J$10:$J$224),0),
IF('TL13'!$B$229=O$3,SUMIF('TL13'!$C$238:$C$451,$C321,'TL13'!$J$238:$J$451),0),
IF('TL14'!$B$3=O$3,SUMIF('TL14'!$C$10:$C$224,$C321,'TL14'!$J$10:$J$224),0),
IF('TL14'!$B$229=O$3,SUMIF('TL14'!$C$238:$C$451,$C321,'TL14'!$J$238:$J$451),0),
IF('TL15'!$B$3=O$3,SUMIF('TL15'!$C$10:$C$224,$C321,'TL15'!$J$10:$J$224),0),
IF('TL15'!$B$229=O$3,SUMIF('TL15'!$C$238:$C$451,$C321,'TL15'!$J$238:$J$451),0),
IF('TL16'!$B$3=O$3,SUMIF('TL16'!$C$10:$C$224,$C321,'TL16'!$J$10:$J$224),0),
IF('TL16'!$B$229=O$3,SUMIF('TL16'!$C$238:$C$451,$C321,'TL16'!$J$238:$J$451),0),
IF('TL17'!$B$3=O$3,SUMIF('TL17'!$C$10:$C$224,$C321,'TL17'!$J$10:$J$224),0),
IF('TL17'!$B$229=O$3,SUMIF('TL17'!$C$238:$C$451,$C321,'TL17'!$J$238:$J$451),0),
IF('TL18'!$B$3=O$3,SUMIF('TL18'!$C$10:$C$224,$C321,'TL18'!$J$10:$J$224),0),
IF('TL18'!$B$229=O$3,SUMIF('TL18'!$C$238:$C$451,$C321,'TL18'!$J$238:$J$451),0),
IF('TL19'!$B$3=O$3,SUMIF('TL19'!$C$10:$C$224,$C321,'TL19'!$J$10:$J$224),0),
IF('TL19'!$B$229=O$3,SUMIF('TL19'!$C$238:$C$451,$C321,'TL19'!$J$238:$J$451),0)
),0)</f>
        <v>0</v>
      </c>
      <c r="P321" s="9">
        <f>IFERROR(SUM(
IF('TL01'!$B$3=P$3,SUMIF('TL01'!$C$10:$C$224,$C321,'TL01'!$J$10:$J$224),0),
IF('TL01'!$B$229=P$3,SUMIF('TL01'!$C$238:$C$451,$C321,'TL01'!$J$238:$J$451),0),
IF('TL02'!$B$3=P$3,SUMIF('TL02'!$C$10:$C$224,$C321,'TL02'!$J$10:$J$224),0),
IF('TL02'!$B$229=P$3,SUMIF('TL02'!$C$238:$C$451,$C321,'TL02'!$J$238:$J$451),0),
IF('TL03'!$B$3=P$3,SUMIF('TL03'!$C$10:$C$224,$C321,'TL03'!$J$10:$J$224),0),
IF('TL03'!$B$229=P$3,SUMIF('TL03'!$C$238:$C$451,$C321,'TL03'!$J$238:$J$451),0),
IF('TL04'!$B$3=P$3,SUMIF('TL04'!$C$10:$C$224,$C321,'TL04'!$J$10:$J$224),0),
IF('TL04'!$B$229=P$3,SUMIF('TL04'!$C$238:$C$451,$C321,'TL04'!$J$238:$J$451),0),
IF('TL05'!$B$3=P$3,SUMIF('TL05'!$C$10:$C$224,$C321,'TL05'!$J$10:$J$224),0),
IF('TL05'!$B$229=P$3,SUMIF('TL05'!$C$238:$C$451,$C321,'TL05'!$J$238:$J$451),0),
IF('TL06'!$B$3=P$3,SUMIF('TL06'!$C$10:$C$224,$C321,'TL06'!$J$10:$J$224),0),
IF('TL06'!$B$229=P$3,SUMIF('TL06'!$C$238:$C$451,$C321,'TL06'!$J$238:$J$451),0),
IF('TL07'!$B$3=P$3,SUMIF('TL07'!$C$10:$C$224,$C321,'TL07'!$J$10:$J$224),0),
IF('TL07'!$B$229=P$3,SUMIF('TL07'!$C$238:$C$451,$C321,'TL07'!$J$238:$J$451),0),
IF('TL08'!$B$3=P$3,SUMIF('TL08'!$C$10:$C$224,$C321,'TL08'!$J$10:$J$224),0),
IF('TL08'!$B$229=P$3,SUMIF('TL08'!$C$238:$C$451,$C321,'TL08'!$J$238:$J$451),0),
IF('TL09'!$B$3=P$3,SUMIF('TL09'!$C$10:$C$224,$C321,'TL09'!$J$10:$J$224),0),
IF('TL09'!$B$229=P$3,SUMIF('TL09'!$C$238:$C$451,$C321,'TL09'!$J$238:$J$451),0),
IF('TL10'!$B$3=P$3,SUMIF('TL10'!$C$10:$C$224,$C321,'TL10'!$J$10:$J$224),0),
IF('TL10'!$B$229=P$3,SUMIF('TL10'!$C$238:$C$451,$C321,'TL10'!$J$238:$J$451),0),
IF('TL11'!$B$3=P$3,SUMIF('TL11'!$C$10:$C$224,$C321,'TL11'!$J$10:$J$224),0),
IF('TL11'!$B$229=P$3,SUMIF('TL11'!$C$238:$C$451,$C321,'TL11'!$J$238:$J$451),0),
IF('TL12'!$B$3=P$3,SUMIF('TL12'!$C$10:$C$224,$C321,'TL12'!$J$10:$J$224),0),
IF('TL12'!$B$229=P$3,SUMIF('TL12'!$C$238:$C$451,$C321,'TL12'!$J$238:$J$451),0),
IF('TL13'!$B$3=P$3,SUMIF('TL13'!$C$10:$C$224,$C321,'TL13'!$J$10:$J$224),0),
IF('TL13'!$B$229=P$3,SUMIF('TL13'!$C$238:$C$451,$C321,'TL13'!$J$238:$J$451),0),
IF('TL14'!$B$3=P$3,SUMIF('TL14'!$C$10:$C$224,$C321,'TL14'!$J$10:$J$224),0),
IF('TL14'!$B$229=P$3,SUMIF('TL14'!$C$238:$C$451,$C321,'TL14'!$J$238:$J$451),0),
IF('TL15'!$B$3=P$3,SUMIF('TL15'!$C$10:$C$224,$C321,'TL15'!$J$10:$J$224),0),
IF('TL15'!$B$229=P$3,SUMIF('TL15'!$C$238:$C$451,$C321,'TL15'!$J$238:$J$451),0),
IF('TL16'!$B$3=P$3,SUMIF('TL16'!$C$10:$C$224,$C321,'TL16'!$J$10:$J$224),0),
IF('TL16'!$B$229=P$3,SUMIF('TL16'!$C$238:$C$451,$C321,'TL16'!$J$238:$J$451),0),
IF('TL17'!$B$3=P$3,SUMIF('TL17'!$C$10:$C$224,$C321,'TL17'!$J$10:$J$224),0),
IF('TL17'!$B$229=P$3,SUMIF('TL17'!$C$238:$C$451,$C321,'TL17'!$J$238:$J$451),0),
IF('TL18'!$B$3=P$3,SUMIF('TL18'!$C$10:$C$224,$C321,'TL18'!$J$10:$J$224),0),
IF('TL18'!$B$229=P$3,SUMIF('TL18'!$C$238:$C$451,$C321,'TL18'!$J$238:$J$451),0),
IF('TL19'!$B$3=P$3,SUMIF('TL19'!$C$10:$C$224,$C321,'TL19'!$J$10:$J$224),0),
IF('TL19'!$B$229=P$3,SUMIF('TL19'!$C$238:$C$451,$C321,'TL19'!$J$238:$J$451),0)
),0)</f>
        <v>12.52</v>
      </c>
      <c r="Q321" s="9">
        <f>IFERROR(SUM(
IF('TL01'!$B$3=Q$3,SUMIF('TL01'!$C$10:$C$224,$C321,'TL01'!$J$10:$J$224),0),
IF('TL01'!$B$229=Q$3,SUMIF('TL01'!$C$238:$C$451,$C321,'TL01'!$J$238:$J$451),0),
IF('TL02'!$B$3=Q$3,SUMIF('TL02'!$C$10:$C$224,$C321,'TL02'!$J$10:$J$224),0),
IF('TL02'!$B$229=Q$3,SUMIF('TL02'!$C$238:$C$451,$C321,'TL02'!$J$238:$J$451),0),
IF('TL03'!$B$3=Q$3,SUMIF('TL03'!$C$10:$C$224,$C321,'TL03'!$J$10:$J$224),0),
IF('TL03'!$B$229=Q$3,SUMIF('TL03'!$C$238:$C$451,$C321,'TL03'!$J$238:$J$451),0),
IF('TL04'!$B$3=Q$3,SUMIF('TL04'!$C$10:$C$224,$C321,'TL04'!$J$10:$J$224),0),
IF('TL04'!$B$229=Q$3,SUMIF('TL04'!$C$238:$C$451,$C321,'TL04'!$J$238:$J$451),0),
IF('TL05'!$B$3=Q$3,SUMIF('TL05'!$C$10:$C$224,$C321,'TL05'!$J$10:$J$224),0),
IF('TL05'!$B$229=Q$3,SUMIF('TL05'!$C$238:$C$451,$C321,'TL05'!$J$238:$J$451),0),
IF('TL06'!$B$3=Q$3,SUMIF('TL06'!$C$10:$C$224,$C321,'TL06'!$J$10:$J$224),0),
IF('TL06'!$B$229=Q$3,SUMIF('TL06'!$C$238:$C$451,$C321,'TL06'!$J$238:$J$451),0),
IF('TL07'!$B$3=Q$3,SUMIF('TL07'!$C$10:$C$224,$C321,'TL07'!$J$10:$J$224),0),
IF('TL07'!$B$229=Q$3,SUMIF('TL07'!$C$238:$C$451,$C321,'TL07'!$J$238:$J$451),0),
IF('TL08'!$B$3=Q$3,SUMIF('TL08'!$C$10:$C$224,$C321,'TL08'!$J$10:$J$224),0),
IF('TL08'!$B$229=Q$3,SUMIF('TL08'!$C$238:$C$451,$C321,'TL08'!$J$238:$J$451),0),
IF('TL09'!$B$3=Q$3,SUMIF('TL09'!$C$10:$C$224,$C321,'TL09'!$J$10:$J$224),0),
IF('TL09'!$B$229=Q$3,SUMIF('TL09'!$C$238:$C$451,$C321,'TL09'!$J$238:$J$451),0),
IF('TL10'!$B$3=Q$3,SUMIF('TL10'!$C$10:$C$224,$C321,'TL10'!$J$10:$J$224),0),
IF('TL10'!$B$229=Q$3,SUMIF('TL10'!$C$238:$C$451,$C321,'TL10'!$J$238:$J$451),0),
IF('TL11'!$B$3=Q$3,SUMIF('TL11'!$C$10:$C$224,$C321,'TL11'!$J$10:$J$224),0),
IF('TL11'!$B$229=Q$3,SUMIF('TL11'!$C$238:$C$451,$C321,'TL11'!$J$238:$J$451),0),
IF('TL12'!$B$3=Q$3,SUMIF('TL12'!$C$10:$C$224,$C321,'TL12'!$J$10:$J$224),0),
IF('TL12'!$B$229=Q$3,SUMIF('TL12'!$C$238:$C$451,$C321,'TL12'!$J$238:$J$451),0),
IF('TL13'!$B$3=Q$3,SUMIF('TL13'!$C$10:$C$224,$C321,'TL13'!$J$10:$J$224),0),
IF('TL13'!$B$229=Q$3,SUMIF('TL13'!$C$238:$C$451,$C321,'TL13'!$J$238:$J$451),0),
IF('TL14'!$B$3=Q$3,SUMIF('TL14'!$C$10:$C$224,$C321,'TL14'!$J$10:$J$224),0),
IF('TL14'!$B$229=Q$3,SUMIF('TL14'!$C$238:$C$451,$C321,'TL14'!$J$238:$J$451),0),
IF('TL15'!$B$3=Q$3,SUMIF('TL15'!$C$10:$C$224,$C321,'TL15'!$J$10:$J$224),0),
IF('TL15'!$B$229=Q$3,SUMIF('TL15'!$C$238:$C$451,$C321,'TL15'!$J$238:$J$451),0),
IF('TL16'!$B$3=Q$3,SUMIF('TL16'!$C$10:$C$224,$C321,'TL16'!$J$10:$J$224),0),
IF('TL16'!$B$229=Q$3,SUMIF('TL16'!$C$238:$C$451,$C321,'TL16'!$J$238:$J$451),0),
IF('TL17'!$B$3=Q$3,SUMIF('TL17'!$C$10:$C$224,$C321,'TL17'!$J$10:$J$224),0),
IF('TL17'!$B$229=Q$3,SUMIF('TL17'!$C$238:$C$451,$C321,'TL17'!$J$238:$J$451),0),
IF('TL18'!$B$3=Q$3,SUMIF('TL18'!$C$10:$C$224,$C321,'TL18'!$J$10:$J$224),0),
IF('TL18'!$B$229=Q$3,SUMIF('TL18'!$C$238:$C$451,$C321,'TL18'!$J$238:$J$451),0),
IF('TL19'!$B$3=Q$3,SUMIF('TL19'!$C$10:$C$224,$C321,'TL19'!$J$10:$J$224),0),
IF('TL19'!$B$229=Q$3,SUMIF('TL19'!$C$238:$C$451,$C321,'TL19'!$J$238:$J$451),0)
),0)</f>
        <v>0</v>
      </c>
      <c r="R321" s="9">
        <f>IFERROR(
SUM(
SUMIF('TL01'!C:C,C321,'TL01'!J:J),
SUMIF('TL02'!C:C,C321,'TL02'!J:J),
SUMIF('TL03'!C:C,C321,'TL03'!J:J),
SUMIF('TL04'!C:C,C321,'TL04'!J:J),
SUMIF('TL05'!C:C,C321,'TL05'!J:J),
SUMIF('TL06'!C:C,C321,'TL06'!J:J),
SUMIF('TL07'!C:C,C321,'TL07'!J:J),
SUMIF('TL08'!C:C,C321,'TL08'!J:J),
SUMIF('TL09'!C:C,C321,'TL09'!J:J),
SUMIF('TL10'!C:C,C321,'TL10'!J:J),
SUMIF('TL11'!C:C,C321,'TL11'!J:J),
SUMIF('TL12'!C:C,C321,'TL12'!J:J),
SUMIF('TL13'!C:C,C321,'TL13'!J:J),
SUMIF('TL14'!C:C,C321,'TL14'!J:J),
SUMIF('TL15'!C:C,C321,'TL15'!J:J),
SUMIF('TL16'!C:C,C321,'TL16'!J:J),
SUMIF('TL17'!C:C,C321,'TL17'!J:J),
SUMIF('TL18'!C:C,C321,'TL18'!J:J),SUMIF('TL19'!C:C,C321,'TL19'!J:J))
,0)</f>
        <v>12.52</v>
      </c>
      <c r="S321" s="17" t="str">
        <f>IFERROR(__xludf.DUMMYFUNCTION("IFERROR(VLOOKUP(C321,
IMPORTRANGE(""1wULbzX32WdYsx-lj2U3uUNBBe2INVIRDtcK0d-Dvl90"",
""26-27!C:G""),
5,
FALSE),
"""")"),"")</f>
        <v/>
      </c>
      <c r="T321" s="9"/>
      <c r="U321" s="92">
        <f t="shared" si="2"/>
        <v>12.52</v>
      </c>
      <c r="V321" s="93">
        <f t="shared" si="3"/>
        <v>0</v>
      </c>
    </row>
    <row r="322" ht="15.75" hidden="1" customHeight="1">
      <c r="A322" s="4"/>
      <c r="B322" s="125" t="s">
        <v>5</v>
      </c>
      <c r="C322" s="4" t="s">
        <v>1048</v>
      </c>
      <c r="D322" s="6"/>
      <c r="E322" s="9"/>
      <c r="F322" s="4" t="s">
        <v>1042</v>
      </c>
      <c r="G322" s="90" t="str">
        <f t="shared" si="5"/>
        <v>📄 Ver bula</v>
      </c>
      <c r="H322" s="9"/>
      <c r="I322" s="1" t="s">
        <v>1043</v>
      </c>
      <c r="J322" s="9">
        <f>IFERROR(SUM(
IF('TL01'!$B$3=J$3,SUMIF('TL01'!$C$10:$C$224,$C322,'TL01'!$J$10:$J$224),0),
IF('TL01'!$B$229=J$3,SUMIF('TL01'!$C$238:$C$451,$C322,'TL01'!$J$238:$J$451),0),
IF('TL02'!$B$3=J$3,SUMIF('TL02'!$C$10:$C$224,$C322,'TL02'!$J$10:$J$224),0),
IF('TL02'!$B$229=J$3,SUMIF('TL02'!$C$238:$C$451,$C322,'TL02'!$J$238:$J$451),0),
IF('TL03'!$B$3=J$3,SUMIF('TL03'!$C$10:$C$224,$C322,'TL03'!$J$10:$J$224),0),
IF('TL03'!$B$229=J$3,SUMIF('TL03'!$C$238:$C$451,$C322,'TL03'!$J$238:$J$451),0),
IF('TL04'!$B$3=J$3,SUMIF('TL04'!$C$10:$C$224,$C322,'TL04'!$J$10:$J$224),0),
IF('TL04'!$B$229=J$3,SUMIF('TL04'!$C$238:$C$451,$C322,'TL04'!$J$238:$J$451),0),
IF('TL05'!$B$3=J$3,SUMIF('TL05'!$C$10:$C$224,$C322,'TL05'!$J$10:$J$224),0),
IF('TL05'!$B$229=J$3,SUMIF('TL05'!$C$238:$C$451,$C322,'TL05'!$J$238:$J$451),0),
IF('TL06'!$B$3=J$3,SUMIF('TL06'!$C$10:$C$224,$C322,'TL06'!$J$10:$J$224),0),
IF('TL06'!$B$229=J$3,SUMIF('TL06'!$C$238:$C$451,$C322,'TL06'!$J$238:$J$451),0),
IF('TL07'!$B$3=J$3,SUMIF('TL07'!$C$10:$C$224,$C322,'TL07'!$J$10:$J$224),0),
IF('TL07'!$B$229=J$3,SUMIF('TL07'!$C$238:$C$451,$C322,'TL07'!$J$238:$J$451),0),
IF('TL08'!$B$3=J$3,SUMIF('TL08'!$C$10:$C$224,$C322,'TL08'!$J$10:$J$224),0),
IF('TL08'!$B$229=J$3,SUMIF('TL08'!$C$238:$C$451,$C322,'TL08'!$J$238:$J$451),0),
IF('TL09'!$B$3=J$3,SUMIF('TL09'!$C$10:$C$224,$C322,'TL09'!$J$10:$J$224),0),
IF('TL09'!$B$229=J$3,SUMIF('TL09'!$C$238:$C$451,$C322,'TL09'!$J$238:$J$451),0),
IF('TL10'!$B$3=J$3,SUMIF('TL10'!$C$10:$C$224,$C322,'TL10'!$J$10:$J$224),0),
IF('TL10'!$B$229=J$3,SUMIF('TL10'!$C$238:$C$451,$C322,'TL10'!$J$238:$J$451),0),
IF('TL11'!$B$3=J$3,SUMIF('TL11'!$C$10:$C$224,$C322,'TL11'!$J$10:$J$224),0),
IF('TL11'!$B$229=J$3,SUMIF('TL11'!$C$238:$C$451,$C322,'TL11'!$J$238:$J$451),0),
IF('TL12'!$B$3=J$3,SUMIF('TL12'!$C$10:$C$224,$C322,'TL12'!$J$10:$J$224),0),
IF('TL12'!$B$229=J$3,SUMIF('TL12'!$C$238:$C$451,$C322,'TL12'!$J$238:$J$451),0),
IF('TL13'!$B$3=J$3,SUMIF('TL13'!$C$10:$C$224,$C322,'TL13'!$J$10:$J$224),0),
IF('TL13'!$B$229=J$3,SUMIF('TL13'!$C$238:$C$451,$C322,'TL13'!$J$238:$J$451),0),
IF('TL14'!$B$3=J$3,SUMIF('TL14'!$C$10:$C$224,$C322,'TL14'!$J$10:$J$224),0),
IF('TL14'!$B$229=J$3,SUMIF('TL14'!$C$238:$C$451,$C322,'TL14'!$J$238:$J$451),0),
IF('TL15'!$B$3=J$3,SUMIF('TL15'!$C$10:$C$224,$C322,'TL15'!$J$10:$J$224),0),
IF('TL15'!$B$229=J$3,SUMIF('TL15'!$C$238:$C$451,$C322,'TL15'!$J$238:$J$451),0),
IF('TL16'!$B$3=J$3,SUMIF('TL16'!$C$10:$C$224,$C322,'TL16'!$J$10:$J$224),0),
IF('TL16'!$B$229=J$3,SUMIF('TL16'!$C$238:$C$451,$C322,'TL16'!$J$238:$J$451),0),
IF('TL17'!$B$3=J$3,SUMIF('TL17'!$C$10:$C$224,$C322,'TL17'!$J$10:$J$224),0),
IF('TL17'!$B$229=J$3,SUMIF('TL17'!$C$238:$C$451,$C322,'TL17'!$J$238:$J$451),0),
IF('TL18'!$B$3=J$3,SUMIF('TL18'!$C$10:$C$224,$C322,'TL18'!$J$10:$J$224),0),
IF('TL18'!$B$229=J$3,SUMIF('TL18'!$C$238:$C$451,$C322,'TL18'!$J$238:$J$451),0),
IF('TL19'!$B$3=J$3,SUMIF('TL19'!$C$10:$C$224,$C322,'TL19'!$J$10:$J$224),0),
IF('TL19'!$B$229=J$3,SUMIF('TL19'!$C$238:$C$451,$C322,'TL19'!$J$238:$J$451),0)
),0)</f>
        <v>0</v>
      </c>
      <c r="K322" s="9">
        <f>IFERROR(SUM(
IF('TL01'!$B$3=K$3,SUMIF('TL01'!$C$10:$C$224,$C322,'TL01'!$J$10:$J$224),0),
IF('TL01'!$B$229=K$3,SUMIF('TL01'!$C$238:$C$451,$C322,'TL01'!$J$238:$J$451),0),
IF('TL02'!$B$3=K$3,SUMIF('TL02'!$C$10:$C$224,$C322,'TL02'!$J$10:$J$224),0),
IF('TL02'!$B$229=K$3,SUMIF('TL02'!$C$238:$C$451,$C322,'TL02'!$J$238:$J$451),0),
IF('TL03'!$B$3=K$3,SUMIF('TL03'!$C$10:$C$224,$C322,'TL03'!$J$10:$J$224),0),
IF('TL03'!$B$229=K$3,SUMIF('TL03'!$C$238:$C$451,$C322,'TL03'!$J$238:$J$451),0),
IF('TL04'!$B$3=K$3,SUMIF('TL04'!$C$10:$C$224,$C322,'TL04'!$J$10:$J$224),0),
IF('TL04'!$B$229=K$3,SUMIF('TL04'!$C$238:$C$451,$C322,'TL04'!$J$238:$J$451),0),
IF('TL05'!$B$3=K$3,SUMIF('TL05'!$C$10:$C$224,$C322,'TL05'!$J$10:$J$224),0),
IF('TL05'!$B$229=K$3,SUMIF('TL05'!$C$238:$C$451,$C322,'TL05'!$J$238:$J$451),0),
IF('TL06'!$B$3=K$3,SUMIF('TL06'!$C$10:$C$224,$C322,'TL06'!$J$10:$J$224),0),
IF('TL06'!$B$229=K$3,SUMIF('TL06'!$C$238:$C$451,$C322,'TL06'!$J$238:$J$451),0),
IF('TL07'!$B$3=K$3,SUMIF('TL07'!$C$10:$C$224,$C322,'TL07'!$J$10:$J$224),0),
IF('TL07'!$B$229=K$3,SUMIF('TL07'!$C$238:$C$451,$C322,'TL07'!$J$238:$J$451),0),
IF('TL08'!$B$3=K$3,SUMIF('TL08'!$C$10:$C$224,$C322,'TL08'!$J$10:$J$224),0),
IF('TL08'!$B$229=K$3,SUMIF('TL08'!$C$238:$C$451,$C322,'TL08'!$J$238:$J$451),0),
IF('TL09'!$B$3=K$3,SUMIF('TL09'!$C$10:$C$224,$C322,'TL09'!$J$10:$J$224),0),
IF('TL09'!$B$229=K$3,SUMIF('TL09'!$C$238:$C$451,$C322,'TL09'!$J$238:$J$451),0),
IF('TL10'!$B$3=K$3,SUMIF('TL10'!$C$10:$C$224,$C322,'TL10'!$J$10:$J$224),0),
IF('TL10'!$B$229=K$3,SUMIF('TL10'!$C$238:$C$451,$C322,'TL10'!$J$238:$J$451),0),
IF('TL11'!$B$3=K$3,SUMIF('TL11'!$C$10:$C$224,$C322,'TL11'!$J$10:$J$224),0),
IF('TL11'!$B$229=K$3,SUMIF('TL11'!$C$238:$C$451,$C322,'TL11'!$J$238:$J$451),0),
IF('TL12'!$B$3=K$3,SUMIF('TL12'!$C$10:$C$224,$C322,'TL12'!$J$10:$J$224),0),
IF('TL12'!$B$229=K$3,SUMIF('TL12'!$C$238:$C$451,$C322,'TL12'!$J$238:$J$451),0),
IF('TL13'!$B$3=K$3,SUMIF('TL13'!$C$10:$C$224,$C322,'TL13'!$J$10:$J$224),0),
IF('TL13'!$B$229=K$3,SUMIF('TL13'!$C$238:$C$451,$C322,'TL13'!$J$238:$J$451),0),
IF('TL14'!$B$3=K$3,SUMIF('TL14'!$C$10:$C$224,$C322,'TL14'!$J$10:$J$224),0),
IF('TL14'!$B$229=K$3,SUMIF('TL14'!$C$238:$C$451,$C322,'TL14'!$J$238:$J$451),0),
IF('TL15'!$B$3=K$3,SUMIF('TL15'!$C$10:$C$224,$C322,'TL15'!$J$10:$J$224),0),
IF('TL15'!$B$229=K$3,SUMIF('TL15'!$C$238:$C$451,$C322,'TL15'!$J$238:$J$451),0),
IF('TL16'!$B$3=K$3,SUMIF('TL16'!$C$10:$C$224,$C322,'TL16'!$J$10:$J$224),0),
IF('TL16'!$B$229=K$3,SUMIF('TL16'!$C$238:$C$451,$C322,'TL16'!$J$238:$J$451),0),
IF('TL17'!$B$3=K$3,SUMIF('TL17'!$C$10:$C$224,$C322,'TL17'!$J$10:$J$224),0),
IF('TL17'!$B$229=K$3,SUMIF('TL17'!$C$238:$C$451,$C322,'TL17'!$J$238:$J$451),0),
IF('TL18'!$B$3=K$3,SUMIF('TL18'!$C$10:$C$224,$C322,'TL18'!$J$10:$J$224),0),
IF('TL18'!$B$229=K$3,SUMIF('TL18'!$C$238:$C$451,$C322,'TL18'!$J$238:$J$451),0),
IF('TL19'!$B$3=K$3,SUMIF('TL19'!$C$10:$C$224,$C322,'TL19'!$J$10:$J$224),0),
IF('TL19'!$B$229=K$3,SUMIF('TL19'!$C$238:$C$451,$C322,'TL19'!$J$238:$J$451),0)
),0)</f>
        <v>0</v>
      </c>
      <c r="L322" s="9">
        <f>IFERROR(SUM(
IF('TL01'!$B$3=L$3,SUMIF('TL01'!$C$10:$C$224,$C322,'TL01'!$J$10:$J$224),0),
IF('TL01'!$B$229=L$3,SUMIF('TL01'!$C$238:$C$451,$C322,'TL01'!$J$238:$J$451),0),
IF('TL02'!$B$3=L$3,SUMIF('TL02'!$C$10:$C$224,$C322,'TL02'!$J$10:$J$224),0),
IF('TL02'!$B$229=L$3,SUMIF('TL02'!$C$238:$C$451,$C322,'TL02'!$J$238:$J$451),0),
IF('TL03'!$B$3=L$3,SUMIF('TL03'!$C$10:$C$224,$C322,'TL03'!$J$10:$J$224),0),
IF('TL03'!$B$229=L$3,SUMIF('TL03'!$C$238:$C$451,$C322,'TL03'!$J$238:$J$451),0),
IF('TL04'!$B$3=L$3,SUMIF('TL04'!$C$10:$C$224,$C322,'TL04'!$J$10:$J$224),0),
IF('TL04'!$B$229=L$3,SUMIF('TL04'!$C$238:$C$451,$C322,'TL04'!$J$238:$J$451),0),
IF('TL05'!$B$3=L$3,SUMIF('TL05'!$C$10:$C$224,$C322,'TL05'!$J$10:$J$224),0),
IF('TL05'!$B$229=L$3,SUMIF('TL05'!$C$238:$C$451,$C322,'TL05'!$J$238:$J$451),0),
IF('TL06'!$B$3=L$3,SUMIF('TL06'!$C$10:$C$224,$C322,'TL06'!$J$10:$J$224),0),
IF('TL06'!$B$229=L$3,SUMIF('TL06'!$C$238:$C$451,$C322,'TL06'!$J$238:$J$451),0),
IF('TL07'!$B$3=L$3,SUMIF('TL07'!$C$10:$C$224,$C322,'TL07'!$J$10:$J$224),0),
IF('TL07'!$B$229=L$3,SUMIF('TL07'!$C$238:$C$451,$C322,'TL07'!$J$238:$J$451),0),
IF('TL08'!$B$3=L$3,SUMIF('TL08'!$C$10:$C$224,$C322,'TL08'!$J$10:$J$224),0),
IF('TL08'!$B$229=L$3,SUMIF('TL08'!$C$238:$C$451,$C322,'TL08'!$J$238:$J$451),0),
IF('TL09'!$B$3=L$3,SUMIF('TL09'!$C$10:$C$224,$C322,'TL09'!$J$10:$J$224),0),
IF('TL09'!$B$229=L$3,SUMIF('TL09'!$C$238:$C$451,$C322,'TL09'!$J$238:$J$451),0),
IF('TL10'!$B$3=L$3,SUMIF('TL10'!$C$10:$C$224,$C322,'TL10'!$J$10:$J$224),0),
IF('TL10'!$B$229=L$3,SUMIF('TL10'!$C$238:$C$451,$C322,'TL10'!$J$238:$J$451),0),
IF('TL11'!$B$3=L$3,SUMIF('TL11'!$C$10:$C$224,$C322,'TL11'!$J$10:$J$224),0),
IF('TL11'!$B$229=L$3,SUMIF('TL11'!$C$238:$C$451,$C322,'TL11'!$J$238:$J$451),0),
IF('TL12'!$B$3=L$3,SUMIF('TL12'!$C$10:$C$224,$C322,'TL12'!$J$10:$J$224),0),
IF('TL12'!$B$229=L$3,SUMIF('TL12'!$C$238:$C$451,$C322,'TL12'!$J$238:$J$451),0),
IF('TL13'!$B$3=L$3,SUMIF('TL13'!$C$10:$C$224,$C322,'TL13'!$J$10:$J$224),0),
IF('TL13'!$B$229=L$3,SUMIF('TL13'!$C$238:$C$451,$C322,'TL13'!$J$238:$J$451),0),
IF('TL14'!$B$3=L$3,SUMIF('TL14'!$C$10:$C$224,$C322,'TL14'!$J$10:$J$224),0),
IF('TL14'!$B$229=L$3,SUMIF('TL14'!$C$238:$C$451,$C322,'TL14'!$J$238:$J$451),0),
IF('TL15'!$B$3=L$3,SUMIF('TL15'!$C$10:$C$224,$C322,'TL15'!$J$10:$J$224),0),
IF('TL15'!$B$229=L$3,SUMIF('TL15'!$C$238:$C$451,$C322,'TL15'!$J$238:$J$451),0),
IF('TL16'!$B$3=L$3,SUMIF('TL16'!$C$10:$C$224,$C322,'TL16'!$J$10:$J$224),0),
IF('TL16'!$B$229=L$3,SUMIF('TL16'!$C$238:$C$451,$C322,'TL16'!$J$238:$J$451),0),
IF('TL17'!$B$3=L$3,SUMIF('TL17'!$C$10:$C$224,$C322,'TL17'!$J$10:$J$224),0),
IF('TL17'!$B$229=L$3,SUMIF('TL17'!$C$238:$C$451,$C322,'TL17'!$J$238:$J$451),0),
IF('TL18'!$B$3=L$3,SUMIF('TL18'!$C$10:$C$224,$C322,'TL18'!$J$10:$J$224),0),
IF('TL18'!$B$229=L$3,SUMIF('TL18'!$C$238:$C$451,$C322,'TL18'!$J$238:$J$451),0),
IF('TL19'!$B$3=L$3,SUMIF('TL19'!$C$10:$C$224,$C322,'TL19'!$J$10:$J$224),0),
IF('TL19'!$B$229=L$3,SUMIF('TL19'!$C$238:$C$451,$C322,'TL19'!$J$238:$J$451),0)
),0)</f>
        <v>0</v>
      </c>
      <c r="M322" s="9">
        <f>IFERROR(SUM(
IF('TL01'!$B$3=M$3,SUMIF('TL01'!$C$10:$C$224,$C322,'TL01'!$J$10:$J$224),0),
IF('TL01'!$B$229=M$3,SUMIF('TL01'!$C$238:$C$451,$C322,'TL01'!$J$238:$J$451),0),
IF('TL02'!$B$3=M$3,SUMIF('TL02'!$C$10:$C$224,$C322,'TL02'!$J$10:$J$224),0),
IF('TL02'!$B$229=M$3,SUMIF('TL02'!$C$238:$C$451,$C322,'TL02'!$J$238:$J$451),0),
IF('TL03'!$B$3=M$3,SUMIF('TL03'!$C$10:$C$224,$C322,'TL03'!$J$10:$J$224),0),
IF('TL03'!$B$229=M$3,SUMIF('TL03'!$C$238:$C$451,$C322,'TL03'!$J$238:$J$451),0),
IF('TL04'!$B$3=M$3,SUMIF('TL04'!$C$10:$C$224,$C322,'TL04'!$J$10:$J$224),0),
IF('TL04'!$B$229=M$3,SUMIF('TL04'!$C$238:$C$451,$C322,'TL04'!$J$238:$J$451),0),
IF('TL05'!$B$3=M$3,SUMIF('TL05'!$C$10:$C$224,$C322,'TL05'!$J$10:$J$224),0),
IF('TL05'!$B$229=M$3,SUMIF('TL05'!$C$238:$C$451,$C322,'TL05'!$J$238:$J$451),0),
IF('TL06'!$B$3=M$3,SUMIF('TL06'!$C$10:$C$224,$C322,'TL06'!$J$10:$J$224),0),
IF('TL06'!$B$229=M$3,SUMIF('TL06'!$C$238:$C$451,$C322,'TL06'!$J$238:$J$451),0),
IF('TL07'!$B$3=M$3,SUMIF('TL07'!$C$10:$C$224,$C322,'TL07'!$J$10:$J$224),0),
IF('TL07'!$B$229=M$3,SUMIF('TL07'!$C$238:$C$451,$C322,'TL07'!$J$238:$J$451),0),
IF('TL08'!$B$3=M$3,SUMIF('TL08'!$C$10:$C$224,$C322,'TL08'!$J$10:$J$224),0),
IF('TL08'!$B$229=M$3,SUMIF('TL08'!$C$238:$C$451,$C322,'TL08'!$J$238:$J$451),0),
IF('TL09'!$B$3=M$3,SUMIF('TL09'!$C$10:$C$224,$C322,'TL09'!$J$10:$J$224),0),
IF('TL09'!$B$229=M$3,SUMIF('TL09'!$C$238:$C$451,$C322,'TL09'!$J$238:$J$451),0),
IF('TL10'!$B$3=M$3,SUMIF('TL10'!$C$10:$C$224,$C322,'TL10'!$J$10:$J$224),0),
IF('TL10'!$B$229=M$3,SUMIF('TL10'!$C$238:$C$451,$C322,'TL10'!$J$238:$J$451),0),
IF('TL11'!$B$3=M$3,SUMIF('TL11'!$C$10:$C$224,$C322,'TL11'!$J$10:$J$224),0),
IF('TL11'!$B$229=M$3,SUMIF('TL11'!$C$238:$C$451,$C322,'TL11'!$J$238:$J$451),0),
IF('TL12'!$B$3=M$3,SUMIF('TL12'!$C$10:$C$224,$C322,'TL12'!$J$10:$J$224),0),
IF('TL12'!$B$229=M$3,SUMIF('TL12'!$C$238:$C$451,$C322,'TL12'!$J$238:$J$451),0),
IF('TL13'!$B$3=M$3,SUMIF('TL13'!$C$10:$C$224,$C322,'TL13'!$J$10:$J$224),0),
IF('TL13'!$B$229=M$3,SUMIF('TL13'!$C$238:$C$451,$C322,'TL13'!$J$238:$J$451),0),
IF('TL14'!$B$3=M$3,SUMIF('TL14'!$C$10:$C$224,$C322,'TL14'!$J$10:$J$224),0),
IF('TL14'!$B$229=M$3,SUMIF('TL14'!$C$238:$C$451,$C322,'TL14'!$J$238:$J$451),0),
IF('TL15'!$B$3=M$3,SUMIF('TL15'!$C$10:$C$224,$C322,'TL15'!$J$10:$J$224),0),
IF('TL15'!$B$229=M$3,SUMIF('TL15'!$C$238:$C$451,$C322,'TL15'!$J$238:$J$451),0),
IF('TL16'!$B$3=M$3,SUMIF('TL16'!$C$10:$C$224,$C322,'TL16'!$J$10:$J$224),0),
IF('TL16'!$B$229=M$3,SUMIF('TL16'!$C$238:$C$451,$C322,'TL16'!$J$238:$J$451),0),
IF('TL17'!$B$3=M$3,SUMIF('TL17'!$C$10:$C$224,$C322,'TL17'!$J$10:$J$224),0),
IF('TL17'!$B$229=M$3,SUMIF('TL17'!$C$238:$C$451,$C322,'TL17'!$J$238:$J$451),0),
IF('TL18'!$B$3=M$3,SUMIF('TL18'!$C$10:$C$224,$C322,'TL18'!$J$10:$J$224),0),
IF('TL18'!$B$229=M$3,SUMIF('TL18'!$C$238:$C$451,$C322,'TL18'!$J$238:$J$451),0),
IF('TL19'!$B$3=M$3,SUMIF('TL19'!$C$10:$C$224,$C322,'TL19'!$J$10:$J$224),0),
IF('TL19'!$B$229=M$3,SUMIF('TL19'!$C$238:$C$451,$C322,'TL19'!$J$238:$J$451),0)
),0)</f>
        <v>0</v>
      </c>
      <c r="N322" s="9">
        <f>IFERROR(SUM(
IF('TL01'!$B$3=N$3,SUMIF('TL01'!$C$10:$C$224,$C322,'TL01'!$J$10:$J$224),0),
IF('TL01'!$B$229=N$3,SUMIF('TL01'!$C$238:$C$451,$C322,'TL01'!$J$238:$J$451),0),
IF('TL02'!$B$3=N$3,SUMIF('TL02'!$C$10:$C$224,$C322,'TL02'!$J$10:$J$224),0),
IF('TL02'!$B$229=N$3,SUMIF('TL02'!$C$238:$C$451,$C322,'TL02'!$J$238:$J$451),0),
IF('TL03'!$B$3=N$3,SUMIF('TL03'!$C$10:$C$224,$C322,'TL03'!$J$10:$J$224),0),
IF('TL03'!$B$229=N$3,SUMIF('TL03'!$C$238:$C$451,$C322,'TL03'!$J$238:$J$451),0),
IF('TL04'!$B$3=N$3,SUMIF('TL04'!$C$10:$C$224,$C322,'TL04'!$J$10:$J$224),0),
IF('TL04'!$B$229=N$3,SUMIF('TL04'!$C$238:$C$451,$C322,'TL04'!$J$238:$J$451),0),
IF('TL05'!$B$3=N$3,SUMIF('TL05'!$C$10:$C$224,$C322,'TL05'!$J$10:$J$224),0),
IF('TL05'!$B$229=N$3,SUMIF('TL05'!$C$238:$C$451,$C322,'TL05'!$J$238:$J$451),0),
IF('TL06'!$B$3=N$3,SUMIF('TL06'!$C$10:$C$224,$C322,'TL06'!$J$10:$J$224),0),
IF('TL06'!$B$229=N$3,SUMIF('TL06'!$C$238:$C$451,$C322,'TL06'!$J$238:$J$451),0),
IF('TL07'!$B$3=N$3,SUMIF('TL07'!$C$10:$C$224,$C322,'TL07'!$J$10:$J$224),0),
IF('TL07'!$B$229=N$3,SUMIF('TL07'!$C$238:$C$451,$C322,'TL07'!$J$238:$J$451),0),
IF('TL08'!$B$3=N$3,SUMIF('TL08'!$C$10:$C$224,$C322,'TL08'!$J$10:$J$224),0),
IF('TL08'!$B$229=N$3,SUMIF('TL08'!$C$238:$C$451,$C322,'TL08'!$J$238:$J$451),0),
IF('TL09'!$B$3=N$3,SUMIF('TL09'!$C$10:$C$224,$C322,'TL09'!$J$10:$J$224),0),
IF('TL09'!$B$229=N$3,SUMIF('TL09'!$C$238:$C$451,$C322,'TL09'!$J$238:$J$451),0),
IF('TL10'!$B$3=N$3,SUMIF('TL10'!$C$10:$C$224,$C322,'TL10'!$J$10:$J$224),0),
IF('TL10'!$B$229=N$3,SUMIF('TL10'!$C$238:$C$451,$C322,'TL10'!$J$238:$J$451),0),
IF('TL11'!$B$3=N$3,SUMIF('TL11'!$C$10:$C$224,$C322,'TL11'!$J$10:$J$224),0),
IF('TL11'!$B$229=N$3,SUMIF('TL11'!$C$238:$C$451,$C322,'TL11'!$J$238:$J$451),0),
IF('TL12'!$B$3=N$3,SUMIF('TL12'!$C$10:$C$224,$C322,'TL12'!$J$10:$J$224),0),
IF('TL12'!$B$229=N$3,SUMIF('TL12'!$C$238:$C$451,$C322,'TL12'!$J$238:$J$451),0),
IF('TL13'!$B$3=N$3,SUMIF('TL13'!$C$10:$C$224,$C322,'TL13'!$J$10:$J$224),0),
IF('TL13'!$B$229=N$3,SUMIF('TL13'!$C$238:$C$451,$C322,'TL13'!$J$238:$J$451),0),
IF('TL14'!$B$3=N$3,SUMIF('TL14'!$C$10:$C$224,$C322,'TL14'!$J$10:$J$224),0),
IF('TL14'!$B$229=N$3,SUMIF('TL14'!$C$238:$C$451,$C322,'TL14'!$J$238:$J$451),0),
IF('TL15'!$B$3=N$3,SUMIF('TL15'!$C$10:$C$224,$C322,'TL15'!$J$10:$J$224),0),
IF('TL15'!$B$229=N$3,SUMIF('TL15'!$C$238:$C$451,$C322,'TL15'!$J$238:$J$451),0),
IF('TL16'!$B$3=N$3,SUMIF('TL16'!$C$10:$C$224,$C322,'TL16'!$J$10:$J$224),0),
IF('TL16'!$B$229=N$3,SUMIF('TL16'!$C$238:$C$451,$C322,'TL16'!$J$238:$J$451),0),
IF('TL17'!$B$3=N$3,SUMIF('TL17'!$C$10:$C$224,$C322,'TL17'!$J$10:$J$224),0),
IF('TL17'!$B$229=N$3,SUMIF('TL17'!$C$238:$C$451,$C322,'TL17'!$J$238:$J$451),0),
IF('TL18'!$B$3=N$3,SUMIF('TL18'!$C$10:$C$224,$C322,'TL18'!$J$10:$J$224),0),
IF('TL18'!$B$229=N$3,SUMIF('TL18'!$C$238:$C$451,$C322,'TL18'!$J$238:$J$451),0),
IF('TL19'!$B$3=N$3,SUMIF('TL19'!$C$10:$C$224,$C322,'TL19'!$J$10:$J$224),0),
IF('TL19'!$B$229=N$3,SUMIF('TL19'!$C$238:$C$451,$C322,'TL19'!$J$238:$J$451),0)
),0)</f>
        <v>0</v>
      </c>
      <c r="O322" s="9">
        <f>IFERROR(SUM(
IF('TL01'!$B$3=O$3,SUMIF('TL01'!$C$10:$C$224,$C322,'TL01'!$J$10:$J$224),0),
IF('TL01'!$B$229=O$3,SUMIF('TL01'!$C$238:$C$451,$C322,'TL01'!$J$238:$J$451),0),
IF('TL02'!$B$3=O$3,SUMIF('TL02'!$C$10:$C$224,$C322,'TL02'!$J$10:$J$224),0),
IF('TL02'!$B$229=O$3,SUMIF('TL02'!$C$238:$C$451,$C322,'TL02'!$J$238:$J$451),0),
IF('TL03'!$B$3=O$3,SUMIF('TL03'!$C$10:$C$224,$C322,'TL03'!$J$10:$J$224),0),
IF('TL03'!$B$229=O$3,SUMIF('TL03'!$C$238:$C$451,$C322,'TL03'!$J$238:$J$451),0),
IF('TL04'!$B$3=O$3,SUMIF('TL04'!$C$10:$C$224,$C322,'TL04'!$J$10:$J$224),0),
IF('TL04'!$B$229=O$3,SUMIF('TL04'!$C$238:$C$451,$C322,'TL04'!$J$238:$J$451),0),
IF('TL05'!$B$3=O$3,SUMIF('TL05'!$C$10:$C$224,$C322,'TL05'!$J$10:$J$224),0),
IF('TL05'!$B$229=O$3,SUMIF('TL05'!$C$238:$C$451,$C322,'TL05'!$J$238:$J$451),0),
IF('TL06'!$B$3=O$3,SUMIF('TL06'!$C$10:$C$224,$C322,'TL06'!$J$10:$J$224),0),
IF('TL06'!$B$229=O$3,SUMIF('TL06'!$C$238:$C$451,$C322,'TL06'!$J$238:$J$451),0),
IF('TL07'!$B$3=O$3,SUMIF('TL07'!$C$10:$C$224,$C322,'TL07'!$J$10:$J$224),0),
IF('TL07'!$B$229=O$3,SUMIF('TL07'!$C$238:$C$451,$C322,'TL07'!$J$238:$J$451),0),
IF('TL08'!$B$3=O$3,SUMIF('TL08'!$C$10:$C$224,$C322,'TL08'!$J$10:$J$224),0),
IF('TL08'!$B$229=O$3,SUMIF('TL08'!$C$238:$C$451,$C322,'TL08'!$J$238:$J$451),0),
IF('TL09'!$B$3=O$3,SUMIF('TL09'!$C$10:$C$224,$C322,'TL09'!$J$10:$J$224),0),
IF('TL09'!$B$229=O$3,SUMIF('TL09'!$C$238:$C$451,$C322,'TL09'!$J$238:$J$451),0),
IF('TL10'!$B$3=O$3,SUMIF('TL10'!$C$10:$C$224,$C322,'TL10'!$J$10:$J$224),0),
IF('TL10'!$B$229=O$3,SUMIF('TL10'!$C$238:$C$451,$C322,'TL10'!$J$238:$J$451),0),
IF('TL11'!$B$3=O$3,SUMIF('TL11'!$C$10:$C$224,$C322,'TL11'!$J$10:$J$224),0),
IF('TL11'!$B$229=O$3,SUMIF('TL11'!$C$238:$C$451,$C322,'TL11'!$J$238:$J$451),0),
IF('TL12'!$B$3=O$3,SUMIF('TL12'!$C$10:$C$224,$C322,'TL12'!$J$10:$J$224),0),
IF('TL12'!$B$229=O$3,SUMIF('TL12'!$C$238:$C$451,$C322,'TL12'!$J$238:$J$451),0),
IF('TL13'!$B$3=O$3,SUMIF('TL13'!$C$10:$C$224,$C322,'TL13'!$J$10:$J$224),0),
IF('TL13'!$B$229=O$3,SUMIF('TL13'!$C$238:$C$451,$C322,'TL13'!$J$238:$J$451),0),
IF('TL14'!$B$3=O$3,SUMIF('TL14'!$C$10:$C$224,$C322,'TL14'!$J$10:$J$224),0),
IF('TL14'!$B$229=O$3,SUMIF('TL14'!$C$238:$C$451,$C322,'TL14'!$J$238:$J$451),0),
IF('TL15'!$B$3=O$3,SUMIF('TL15'!$C$10:$C$224,$C322,'TL15'!$J$10:$J$224),0),
IF('TL15'!$B$229=O$3,SUMIF('TL15'!$C$238:$C$451,$C322,'TL15'!$J$238:$J$451),0),
IF('TL16'!$B$3=O$3,SUMIF('TL16'!$C$10:$C$224,$C322,'TL16'!$J$10:$J$224),0),
IF('TL16'!$B$229=O$3,SUMIF('TL16'!$C$238:$C$451,$C322,'TL16'!$J$238:$J$451),0),
IF('TL17'!$B$3=O$3,SUMIF('TL17'!$C$10:$C$224,$C322,'TL17'!$J$10:$J$224),0),
IF('TL17'!$B$229=O$3,SUMIF('TL17'!$C$238:$C$451,$C322,'TL17'!$J$238:$J$451),0),
IF('TL18'!$B$3=O$3,SUMIF('TL18'!$C$10:$C$224,$C322,'TL18'!$J$10:$J$224),0),
IF('TL18'!$B$229=O$3,SUMIF('TL18'!$C$238:$C$451,$C322,'TL18'!$J$238:$J$451),0),
IF('TL19'!$B$3=O$3,SUMIF('TL19'!$C$10:$C$224,$C322,'TL19'!$J$10:$J$224),0),
IF('TL19'!$B$229=O$3,SUMIF('TL19'!$C$238:$C$451,$C322,'TL19'!$J$238:$J$451),0)
),0)</f>
        <v>0</v>
      </c>
      <c r="P322" s="9">
        <f>IFERROR(SUM(
IF('TL01'!$B$3=P$3,SUMIF('TL01'!$C$10:$C$224,$C322,'TL01'!$J$10:$J$224),0),
IF('TL01'!$B$229=P$3,SUMIF('TL01'!$C$238:$C$451,$C322,'TL01'!$J$238:$J$451),0),
IF('TL02'!$B$3=P$3,SUMIF('TL02'!$C$10:$C$224,$C322,'TL02'!$J$10:$J$224),0),
IF('TL02'!$B$229=P$3,SUMIF('TL02'!$C$238:$C$451,$C322,'TL02'!$J$238:$J$451),0),
IF('TL03'!$B$3=P$3,SUMIF('TL03'!$C$10:$C$224,$C322,'TL03'!$J$10:$J$224),0),
IF('TL03'!$B$229=P$3,SUMIF('TL03'!$C$238:$C$451,$C322,'TL03'!$J$238:$J$451),0),
IF('TL04'!$B$3=P$3,SUMIF('TL04'!$C$10:$C$224,$C322,'TL04'!$J$10:$J$224),0),
IF('TL04'!$B$229=P$3,SUMIF('TL04'!$C$238:$C$451,$C322,'TL04'!$J$238:$J$451),0),
IF('TL05'!$B$3=P$3,SUMIF('TL05'!$C$10:$C$224,$C322,'TL05'!$J$10:$J$224),0),
IF('TL05'!$B$229=P$3,SUMIF('TL05'!$C$238:$C$451,$C322,'TL05'!$J$238:$J$451),0),
IF('TL06'!$B$3=P$3,SUMIF('TL06'!$C$10:$C$224,$C322,'TL06'!$J$10:$J$224),0),
IF('TL06'!$B$229=P$3,SUMIF('TL06'!$C$238:$C$451,$C322,'TL06'!$J$238:$J$451),0),
IF('TL07'!$B$3=P$3,SUMIF('TL07'!$C$10:$C$224,$C322,'TL07'!$J$10:$J$224),0),
IF('TL07'!$B$229=P$3,SUMIF('TL07'!$C$238:$C$451,$C322,'TL07'!$J$238:$J$451),0),
IF('TL08'!$B$3=P$3,SUMIF('TL08'!$C$10:$C$224,$C322,'TL08'!$J$10:$J$224),0),
IF('TL08'!$B$229=P$3,SUMIF('TL08'!$C$238:$C$451,$C322,'TL08'!$J$238:$J$451),0),
IF('TL09'!$B$3=P$3,SUMIF('TL09'!$C$10:$C$224,$C322,'TL09'!$J$10:$J$224),0),
IF('TL09'!$B$229=P$3,SUMIF('TL09'!$C$238:$C$451,$C322,'TL09'!$J$238:$J$451),0),
IF('TL10'!$B$3=P$3,SUMIF('TL10'!$C$10:$C$224,$C322,'TL10'!$J$10:$J$224),0),
IF('TL10'!$B$229=P$3,SUMIF('TL10'!$C$238:$C$451,$C322,'TL10'!$J$238:$J$451),0),
IF('TL11'!$B$3=P$3,SUMIF('TL11'!$C$10:$C$224,$C322,'TL11'!$J$10:$J$224),0),
IF('TL11'!$B$229=P$3,SUMIF('TL11'!$C$238:$C$451,$C322,'TL11'!$J$238:$J$451),0),
IF('TL12'!$B$3=P$3,SUMIF('TL12'!$C$10:$C$224,$C322,'TL12'!$J$10:$J$224),0),
IF('TL12'!$B$229=P$3,SUMIF('TL12'!$C$238:$C$451,$C322,'TL12'!$J$238:$J$451),0),
IF('TL13'!$B$3=P$3,SUMIF('TL13'!$C$10:$C$224,$C322,'TL13'!$J$10:$J$224),0),
IF('TL13'!$B$229=P$3,SUMIF('TL13'!$C$238:$C$451,$C322,'TL13'!$J$238:$J$451),0),
IF('TL14'!$B$3=P$3,SUMIF('TL14'!$C$10:$C$224,$C322,'TL14'!$J$10:$J$224),0),
IF('TL14'!$B$229=P$3,SUMIF('TL14'!$C$238:$C$451,$C322,'TL14'!$J$238:$J$451),0),
IF('TL15'!$B$3=P$3,SUMIF('TL15'!$C$10:$C$224,$C322,'TL15'!$J$10:$J$224),0),
IF('TL15'!$B$229=P$3,SUMIF('TL15'!$C$238:$C$451,$C322,'TL15'!$J$238:$J$451),0),
IF('TL16'!$B$3=P$3,SUMIF('TL16'!$C$10:$C$224,$C322,'TL16'!$J$10:$J$224),0),
IF('TL16'!$B$229=P$3,SUMIF('TL16'!$C$238:$C$451,$C322,'TL16'!$J$238:$J$451),0),
IF('TL17'!$B$3=P$3,SUMIF('TL17'!$C$10:$C$224,$C322,'TL17'!$J$10:$J$224),0),
IF('TL17'!$B$229=P$3,SUMIF('TL17'!$C$238:$C$451,$C322,'TL17'!$J$238:$J$451),0),
IF('TL18'!$B$3=P$3,SUMIF('TL18'!$C$10:$C$224,$C322,'TL18'!$J$10:$J$224),0),
IF('TL18'!$B$229=P$3,SUMIF('TL18'!$C$238:$C$451,$C322,'TL18'!$J$238:$J$451),0),
IF('TL19'!$B$3=P$3,SUMIF('TL19'!$C$10:$C$224,$C322,'TL19'!$J$10:$J$224),0),
IF('TL19'!$B$229=P$3,SUMIF('TL19'!$C$238:$C$451,$C322,'TL19'!$J$238:$J$451),0)
),0)</f>
        <v>0</v>
      </c>
      <c r="Q322" s="9">
        <f>IFERROR(SUM(
IF('TL01'!$B$3=Q$3,SUMIF('TL01'!$C$10:$C$224,$C322,'TL01'!$J$10:$J$224),0),
IF('TL01'!$B$229=Q$3,SUMIF('TL01'!$C$238:$C$451,$C322,'TL01'!$J$238:$J$451),0),
IF('TL02'!$B$3=Q$3,SUMIF('TL02'!$C$10:$C$224,$C322,'TL02'!$J$10:$J$224),0),
IF('TL02'!$B$229=Q$3,SUMIF('TL02'!$C$238:$C$451,$C322,'TL02'!$J$238:$J$451),0),
IF('TL03'!$B$3=Q$3,SUMIF('TL03'!$C$10:$C$224,$C322,'TL03'!$J$10:$J$224),0),
IF('TL03'!$B$229=Q$3,SUMIF('TL03'!$C$238:$C$451,$C322,'TL03'!$J$238:$J$451),0),
IF('TL04'!$B$3=Q$3,SUMIF('TL04'!$C$10:$C$224,$C322,'TL04'!$J$10:$J$224),0),
IF('TL04'!$B$229=Q$3,SUMIF('TL04'!$C$238:$C$451,$C322,'TL04'!$J$238:$J$451),0),
IF('TL05'!$B$3=Q$3,SUMIF('TL05'!$C$10:$C$224,$C322,'TL05'!$J$10:$J$224),0),
IF('TL05'!$B$229=Q$3,SUMIF('TL05'!$C$238:$C$451,$C322,'TL05'!$J$238:$J$451),0),
IF('TL06'!$B$3=Q$3,SUMIF('TL06'!$C$10:$C$224,$C322,'TL06'!$J$10:$J$224),0),
IF('TL06'!$B$229=Q$3,SUMIF('TL06'!$C$238:$C$451,$C322,'TL06'!$J$238:$J$451),0),
IF('TL07'!$B$3=Q$3,SUMIF('TL07'!$C$10:$C$224,$C322,'TL07'!$J$10:$J$224),0),
IF('TL07'!$B$229=Q$3,SUMIF('TL07'!$C$238:$C$451,$C322,'TL07'!$J$238:$J$451),0),
IF('TL08'!$B$3=Q$3,SUMIF('TL08'!$C$10:$C$224,$C322,'TL08'!$J$10:$J$224),0),
IF('TL08'!$B$229=Q$3,SUMIF('TL08'!$C$238:$C$451,$C322,'TL08'!$J$238:$J$451),0),
IF('TL09'!$B$3=Q$3,SUMIF('TL09'!$C$10:$C$224,$C322,'TL09'!$J$10:$J$224),0),
IF('TL09'!$B$229=Q$3,SUMIF('TL09'!$C$238:$C$451,$C322,'TL09'!$J$238:$J$451),0),
IF('TL10'!$B$3=Q$3,SUMIF('TL10'!$C$10:$C$224,$C322,'TL10'!$J$10:$J$224),0),
IF('TL10'!$B$229=Q$3,SUMIF('TL10'!$C$238:$C$451,$C322,'TL10'!$J$238:$J$451),0),
IF('TL11'!$B$3=Q$3,SUMIF('TL11'!$C$10:$C$224,$C322,'TL11'!$J$10:$J$224),0),
IF('TL11'!$B$229=Q$3,SUMIF('TL11'!$C$238:$C$451,$C322,'TL11'!$J$238:$J$451),0),
IF('TL12'!$B$3=Q$3,SUMIF('TL12'!$C$10:$C$224,$C322,'TL12'!$J$10:$J$224),0),
IF('TL12'!$B$229=Q$3,SUMIF('TL12'!$C$238:$C$451,$C322,'TL12'!$J$238:$J$451),0),
IF('TL13'!$B$3=Q$3,SUMIF('TL13'!$C$10:$C$224,$C322,'TL13'!$J$10:$J$224),0),
IF('TL13'!$B$229=Q$3,SUMIF('TL13'!$C$238:$C$451,$C322,'TL13'!$J$238:$J$451),0),
IF('TL14'!$B$3=Q$3,SUMIF('TL14'!$C$10:$C$224,$C322,'TL14'!$J$10:$J$224),0),
IF('TL14'!$B$229=Q$3,SUMIF('TL14'!$C$238:$C$451,$C322,'TL14'!$J$238:$J$451),0),
IF('TL15'!$B$3=Q$3,SUMIF('TL15'!$C$10:$C$224,$C322,'TL15'!$J$10:$J$224),0),
IF('TL15'!$B$229=Q$3,SUMIF('TL15'!$C$238:$C$451,$C322,'TL15'!$J$238:$J$451),0),
IF('TL16'!$B$3=Q$3,SUMIF('TL16'!$C$10:$C$224,$C322,'TL16'!$J$10:$J$224),0),
IF('TL16'!$B$229=Q$3,SUMIF('TL16'!$C$238:$C$451,$C322,'TL16'!$J$238:$J$451),0),
IF('TL17'!$B$3=Q$3,SUMIF('TL17'!$C$10:$C$224,$C322,'TL17'!$J$10:$J$224),0),
IF('TL17'!$B$229=Q$3,SUMIF('TL17'!$C$238:$C$451,$C322,'TL17'!$J$238:$J$451),0),
IF('TL18'!$B$3=Q$3,SUMIF('TL18'!$C$10:$C$224,$C322,'TL18'!$J$10:$J$224),0),
IF('TL18'!$B$229=Q$3,SUMIF('TL18'!$C$238:$C$451,$C322,'TL18'!$J$238:$J$451),0),
IF('TL19'!$B$3=Q$3,SUMIF('TL19'!$C$10:$C$224,$C322,'TL19'!$J$10:$J$224),0),
IF('TL19'!$B$229=Q$3,SUMIF('TL19'!$C$238:$C$451,$C322,'TL19'!$J$238:$J$451),0)
),0)</f>
        <v>0</v>
      </c>
      <c r="R322" s="9">
        <f>IFERROR(
SUM(
SUMIF('TL01'!C:C,C322,'TL01'!J:J),
SUMIF('TL02'!C:C,C322,'TL02'!J:J),
SUMIF('TL03'!C:C,C322,'TL03'!J:J),
SUMIF('TL04'!C:C,C322,'TL04'!J:J),
SUMIF('TL05'!C:C,C322,'TL05'!J:J),
SUMIF('TL06'!C:C,C322,'TL06'!J:J),
SUMIF('TL07'!C:C,C322,'TL07'!J:J),
SUMIF('TL08'!C:C,C322,'TL08'!J:J),
SUMIF('TL09'!C:C,C322,'TL09'!J:J),
SUMIF('TL10'!C:C,C322,'TL10'!J:J),
SUMIF('TL11'!C:C,C322,'TL11'!J:J),
SUMIF('TL12'!C:C,C322,'TL12'!J:J),
SUMIF('TL13'!C:C,C322,'TL13'!J:J),
SUMIF('TL14'!C:C,C322,'TL14'!J:J),
SUMIF('TL15'!C:C,C322,'TL15'!J:J),
SUMIF('TL16'!C:C,C322,'TL16'!J:J),
SUMIF('TL17'!C:C,C322,'TL17'!J:J),
SUMIF('TL18'!C:C,C322,'TL18'!J:J),SUMIF('TL19'!C:C,C322,'TL19'!J:J))
,0)</f>
        <v>0</v>
      </c>
      <c r="S322" s="17" t="str">
        <f>IFERROR(__xludf.DUMMYFUNCTION("IFERROR(VLOOKUP(C322,
IMPORTRANGE(""1wULbzX32WdYsx-lj2U3uUNBBe2INVIRDtcK0d-Dvl90"",
""26-27!C:G""),
5,
FALSE),
"""")"),"")</f>
        <v/>
      </c>
      <c r="T322" s="9"/>
      <c r="U322" s="92">
        <f t="shared" si="2"/>
        <v>0</v>
      </c>
      <c r="V322" s="93">
        <f t="shared" si="3"/>
        <v>0</v>
      </c>
    </row>
    <row r="323" ht="15.75" hidden="1" customHeight="1">
      <c r="A323" s="4"/>
      <c r="B323" s="125" t="s">
        <v>5</v>
      </c>
      <c r="C323" s="4" t="s">
        <v>1049</v>
      </c>
      <c r="D323" s="6"/>
      <c r="E323" s="9"/>
      <c r="F323" s="4"/>
      <c r="G323" s="90" t="str">
        <f t="shared" si="5"/>
        <v>📄 Ver bula</v>
      </c>
      <c r="H323" s="9"/>
      <c r="I323" s="1"/>
      <c r="J323" s="9">
        <f>IFERROR(SUM(
IF('TL01'!$B$3=J$3,SUMIF('TL01'!$C$10:$C$224,$C323,'TL01'!$J$10:$J$224),0),
IF('TL01'!$B$229=J$3,SUMIF('TL01'!$C$238:$C$451,$C323,'TL01'!$J$238:$J$451),0),
IF('TL02'!$B$3=J$3,SUMIF('TL02'!$C$10:$C$224,$C323,'TL02'!$J$10:$J$224),0),
IF('TL02'!$B$229=J$3,SUMIF('TL02'!$C$238:$C$451,$C323,'TL02'!$J$238:$J$451),0),
IF('TL03'!$B$3=J$3,SUMIF('TL03'!$C$10:$C$224,$C323,'TL03'!$J$10:$J$224),0),
IF('TL03'!$B$229=J$3,SUMIF('TL03'!$C$238:$C$451,$C323,'TL03'!$J$238:$J$451),0),
IF('TL04'!$B$3=J$3,SUMIF('TL04'!$C$10:$C$224,$C323,'TL04'!$J$10:$J$224),0),
IF('TL04'!$B$229=J$3,SUMIF('TL04'!$C$238:$C$451,$C323,'TL04'!$J$238:$J$451),0),
IF('TL05'!$B$3=J$3,SUMIF('TL05'!$C$10:$C$224,$C323,'TL05'!$J$10:$J$224),0),
IF('TL05'!$B$229=J$3,SUMIF('TL05'!$C$238:$C$451,$C323,'TL05'!$J$238:$J$451),0),
IF('TL06'!$B$3=J$3,SUMIF('TL06'!$C$10:$C$224,$C323,'TL06'!$J$10:$J$224),0),
IF('TL06'!$B$229=J$3,SUMIF('TL06'!$C$238:$C$451,$C323,'TL06'!$J$238:$J$451),0),
IF('TL07'!$B$3=J$3,SUMIF('TL07'!$C$10:$C$224,$C323,'TL07'!$J$10:$J$224),0),
IF('TL07'!$B$229=J$3,SUMIF('TL07'!$C$238:$C$451,$C323,'TL07'!$J$238:$J$451),0),
IF('TL08'!$B$3=J$3,SUMIF('TL08'!$C$10:$C$224,$C323,'TL08'!$J$10:$J$224),0),
IF('TL08'!$B$229=J$3,SUMIF('TL08'!$C$238:$C$451,$C323,'TL08'!$J$238:$J$451),0),
IF('TL09'!$B$3=J$3,SUMIF('TL09'!$C$10:$C$224,$C323,'TL09'!$J$10:$J$224),0),
IF('TL09'!$B$229=J$3,SUMIF('TL09'!$C$238:$C$451,$C323,'TL09'!$J$238:$J$451),0),
IF('TL10'!$B$3=J$3,SUMIF('TL10'!$C$10:$C$224,$C323,'TL10'!$J$10:$J$224),0),
IF('TL10'!$B$229=J$3,SUMIF('TL10'!$C$238:$C$451,$C323,'TL10'!$J$238:$J$451),0),
IF('TL11'!$B$3=J$3,SUMIF('TL11'!$C$10:$C$224,$C323,'TL11'!$J$10:$J$224),0),
IF('TL11'!$B$229=J$3,SUMIF('TL11'!$C$238:$C$451,$C323,'TL11'!$J$238:$J$451),0),
IF('TL12'!$B$3=J$3,SUMIF('TL12'!$C$10:$C$224,$C323,'TL12'!$J$10:$J$224),0),
IF('TL12'!$B$229=J$3,SUMIF('TL12'!$C$238:$C$451,$C323,'TL12'!$J$238:$J$451),0),
IF('TL13'!$B$3=J$3,SUMIF('TL13'!$C$10:$C$224,$C323,'TL13'!$J$10:$J$224),0),
IF('TL13'!$B$229=J$3,SUMIF('TL13'!$C$238:$C$451,$C323,'TL13'!$J$238:$J$451),0),
IF('TL14'!$B$3=J$3,SUMIF('TL14'!$C$10:$C$224,$C323,'TL14'!$J$10:$J$224),0),
IF('TL14'!$B$229=J$3,SUMIF('TL14'!$C$238:$C$451,$C323,'TL14'!$J$238:$J$451),0),
IF('TL15'!$B$3=J$3,SUMIF('TL15'!$C$10:$C$224,$C323,'TL15'!$J$10:$J$224),0),
IF('TL15'!$B$229=J$3,SUMIF('TL15'!$C$238:$C$451,$C323,'TL15'!$J$238:$J$451),0),
IF('TL16'!$B$3=J$3,SUMIF('TL16'!$C$10:$C$224,$C323,'TL16'!$J$10:$J$224),0),
IF('TL16'!$B$229=J$3,SUMIF('TL16'!$C$238:$C$451,$C323,'TL16'!$J$238:$J$451),0),
IF('TL17'!$B$3=J$3,SUMIF('TL17'!$C$10:$C$224,$C323,'TL17'!$J$10:$J$224),0),
IF('TL17'!$B$229=J$3,SUMIF('TL17'!$C$238:$C$451,$C323,'TL17'!$J$238:$J$451),0),
IF('TL18'!$B$3=J$3,SUMIF('TL18'!$C$10:$C$224,$C323,'TL18'!$J$10:$J$224),0),
IF('TL18'!$B$229=J$3,SUMIF('TL18'!$C$238:$C$451,$C323,'TL18'!$J$238:$J$451),0),
IF('TL19'!$B$3=J$3,SUMIF('TL19'!$C$10:$C$224,$C323,'TL19'!$J$10:$J$224),0),
IF('TL19'!$B$229=J$3,SUMIF('TL19'!$C$238:$C$451,$C323,'TL19'!$J$238:$J$451),0)
),0)</f>
        <v>0</v>
      </c>
      <c r="K323" s="9">
        <f>IFERROR(SUM(
IF('TL01'!$B$3=K$3,SUMIF('TL01'!$C$10:$C$224,$C323,'TL01'!$J$10:$J$224),0),
IF('TL01'!$B$229=K$3,SUMIF('TL01'!$C$238:$C$451,$C323,'TL01'!$J$238:$J$451),0),
IF('TL02'!$B$3=K$3,SUMIF('TL02'!$C$10:$C$224,$C323,'TL02'!$J$10:$J$224),0),
IF('TL02'!$B$229=K$3,SUMIF('TL02'!$C$238:$C$451,$C323,'TL02'!$J$238:$J$451),0),
IF('TL03'!$B$3=K$3,SUMIF('TL03'!$C$10:$C$224,$C323,'TL03'!$J$10:$J$224),0),
IF('TL03'!$B$229=K$3,SUMIF('TL03'!$C$238:$C$451,$C323,'TL03'!$J$238:$J$451),0),
IF('TL04'!$B$3=K$3,SUMIF('TL04'!$C$10:$C$224,$C323,'TL04'!$J$10:$J$224),0),
IF('TL04'!$B$229=K$3,SUMIF('TL04'!$C$238:$C$451,$C323,'TL04'!$J$238:$J$451),0),
IF('TL05'!$B$3=K$3,SUMIF('TL05'!$C$10:$C$224,$C323,'TL05'!$J$10:$J$224),0),
IF('TL05'!$B$229=K$3,SUMIF('TL05'!$C$238:$C$451,$C323,'TL05'!$J$238:$J$451),0),
IF('TL06'!$B$3=K$3,SUMIF('TL06'!$C$10:$C$224,$C323,'TL06'!$J$10:$J$224),0),
IF('TL06'!$B$229=K$3,SUMIF('TL06'!$C$238:$C$451,$C323,'TL06'!$J$238:$J$451),0),
IF('TL07'!$B$3=K$3,SUMIF('TL07'!$C$10:$C$224,$C323,'TL07'!$J$10:$J$224),0),
IF('TL07'!$B$229=K$3,SUMIF('TL07'!$C$238:$C$451,$C323,'TL07'!$J$238:$J$451),0),
IF('TL08'!$B$3=K$3,SUMIF('TL08'!$C$10:$C$224,$C323,'TL08'!$J$10:$J$224),0),
IF('TL08'!$B$229=K$3,SUMIF('TL08'!$C$238:$C$451,$C323,'TL08'!$J$238:$J$451),0),
IF('TL09'!$B$3=K$3,SUMIF('TL09'!$C$10:$C$224,$C323,'TL09'!$J$10:$J$224),0),
IF('TL09'!$B$229=K$3,SUMIF('TL09'!$C$238:$C$451,$C323,'TL09'!$J$238:$J$451),0),
IF('TL10'!$B$3=K$3,SUMIF('TL10'!$C$10:$C$224,$C323,'TL10'!$J$10:$J$224),0),
IF('TL10'!$B$229=K$3,SUMIF('TL10'!$C$238:$C$451,$C323,'TL10'!$J$238:$J$451),0),
IF('TL11'!$B$3=K$3,SUMIF('TL11'!$C$10:$C$224,$C323,'TL11'!$J$10:$J$224),0),
IF('TL11'!$B$229=K$3,SUMIF('TL11'!$C$238:$C$451,$C323,'TL11'!$J$238:$J$451),0),
IF('TL12'!$B$3=K$3,SUMIF('TL12'!$C$10:$C$224,$C323,'TL12'!$J$10:$J$224),0),
IF('TL12'!$B$229=K$3,SUMIF('TL12'!$C$238:$C$451,$C323,'TL12'!$J$238:$J$451),0),
IF('TL13'!$B$3=K$3,SUMIF('TL13'!$C$10:$C$224,$C323,'TL13'!$J$10:$J$224),0),
IF('TL13'!$B$229=K$3,SUMIF('TL13'!$C$238:$C$451,$C323,'TL13'!$J$238:$J$451),0),
IF('TL14'!$B$3=K$3,SUMIF('TL14'!$C$10:$C$224,$C323,'TL14'!$J$10:$J$224),0),
IF('TL14'!$B$229=K$3,SUMIF('TL14'!$C$238:$C$451,$C323,'TL14'!$J$238:$J$451),0),
IF('TL15'!$B$3=K$3,SUMIF('TL15'!$C$10:$C$224,$C323,'TL15'!$J$10:$J$224),0),
IF('TL15'!$B$229=K$3,SUMIF('TL15'!$C$238:$C$451,$C323,'TL15'!$J$238:$J$451),0),
IF('TL16'!$B$3=K$3,SUMIF('TL16'!$C$10:$C$224,$C323,'TL16'!$J$10:$J$224),0),
IF('TL16'!$B$229=K$3,SUMIF('TL16'!$C$238:$C$451,$C323,'TL16'!$J$238:$J$451),0),
IF('TL17'!$B$3=K$3,SUMIF('TL17'!$C$10:$C$224,$C323,'TL17'!$J$10:$J$224),0),
IF('TL17'!$B$229=K$3,SUMIF('TL17'!$C$238:$C$451,$C323,'TL17'!$J$238:$J$451),0),
IF('TL18'!$B$3=K$3,SUMIF('TL18'!$C$10:$C$224,$C323,'TL18'!$J$10:$J$224),0),
IF('TL18'!$B$229=K$3,SUMIF('TL18'!$C$238:$C$451,$C323,'TL18'!$J$238:$J$451),0),
IF('TL19'!$B$3=K$3,SUMIF('TL19'!$C$10:$C$224,$C323,'TL19'!$J$10:$J$224),0),
IF('TL19'!$B$229=K$3,SUMIF('TL19'!$C$238:$C$451,$C323,'TL19'!$J$238:$J$451),0)
),0)</f>
        <v>0</v>
      </c>
      <c r="L323" s="9">
        <f>IFERROR(SUM(
IF('TL01'!$B$3=L$3,SUMIF('TL01'!$C$10:$C$224,$C323,'TL01'!$J$10:$J$224),0),
IF('TL01'!$B$229=L$3,SUMIF('TL01'!$C$238:$C$451,$C323,'TL01'!$J$238:$J$451),0),
IF('TL02'!$B$3=L$3,SUMIF('TL02'!$C$10:$C$224,$C323,'TL02'!$J$10:$J$224),0),
IF('TL02'!$B$229=L$3,SUMIF('TL02'!$C$238:$C$451,$C323,'TL02'!$J$238:$J$451),0),
IF('TL03'!$B$3=L$3,SUMIF('TL03'!$C$10:$C$224,$C323,'TL03'!$J$10:$J$224),0),
IF('TL03'!$B$229=L$3,SUMIF('TL03'!$C$238:$C$451,$C323,'TL03'!$J$238:$J$451),0),
IF('TL04'!$B$3=L$3,SUMIF('TL04'!$C$10:$C$224,$C323,'TL04'!$J$10:$J$224),0),
IF('TL04'!$B$229=L$3,SUMIF('TL04'!$C$238:$C$451,$C323,'TL04'!$J$238:$J$451),0),
IF('TL05'!$B$3=L$3,SUMIF('TL05'!$C$10:$C$224,$C323,'TL05'!$J$10:$J$224),0),
IF('TL05'!$B$229=L$3,SUMIF('TL05'!$C$238:$C$451,$C323,'TL05'!$J$238:$J$451),0),
IF('TL06'!$B$3=L$3,SUMIF('TL06'!$C$10:$C$224,$C323,'TL06'!$J$10:$J$224),0),
IF('TL06'!$B$229=L$3,SUMIF('TL06'!$C$238:$C$451,$C323,'TL06'!$J$238:$J$451),0),
IF('TL07'!$B$3=L$3,SUMIF('TL07'!$C$10:$C$224,$C323,'TL07'!$J$10:$J$224),0),
IF('TL07'!$B$229=L$3,SUMIF('TL07'!$C$238:$C$451,$C323,'TL07'!$J$238:$J$451),0),
IF('TL08'!$B$3=L$3,SUMIF('TL08'!$C$10:$C$224,$C323,'TL08'!$J$10:$J$224),0),
IF('TL08'!$B$229=L$3,SUMIF('TL08'!$C$238:$C$451,$C323,'TL08'!$J$238:$J$451),0),
IF('TL09'!$B$3=L$3,SUMIF('TL09'!$C$10:$C$224,$C323,'TL09'!$J$10:$J$224),0),
IF('TL09'!$B$229=L$3,SUMIF('TL09'!$C$238:$C$451,$C323,'TL09'!$J$238:$J$451),0),
IF('TL10'!$B$3=L$3,SUMIF('TL10'!$C$10:$C$224,$C323,'TL10'!$J$10:$J$224),0),
IF('TL10'!$B$229=L$3,SUMIF('TL10'!$C$238:$C$451,$C323,'TL10'!$J$238:$J$451),0),
IF('TL11'!$B$3=L$3,SUMIF('TL11'!$C$10:$C$224,$C323,'TL11'!$J$10:$J$224),0),
IF('TL11'!$B$229=L$3,SUMIF('TL11'!$C$238:$C$451,$C323,'TL11'!$J$238:$J$451),0),
IF('TL12'!$B$3=L$3,SUMIF('TL12'!$C$10:$C$224,$C323,'TL12'!$J$10:$J$224),0),
IF('TL12'!$B$229=L$3,SUMIF('TL12'!$C$238:$C$451,$C323,'TL12'!$J$238:$J$451),0),
IF('TL13'!$B$3=L$3,SUMIF('TL13'!$C$10:$C$224,$C323,'TL13'!$J$10:$J$224),0),
IF('TL13'!$B$229=L$3,SUMIF('TL13'!$C$238:$C$451,$C323,'TL13'!$J$238:$J$451),0),
IF('TL14'!$B$3=L$3,SUMIF('TL14'!$C$10:$C$224,$C323,'TL14'!$J$10:$J$224),0),
IF('TL14'!$B$229=L$3,SUMIF('TL14'!$C$238:$C$451,$C323,'TL14'!$J$238:$J$451),0),
IF('TL15'!$B$3=L$3,SUMIF('TL15'!$C$10:$C$224,$C323,'TL15'!$J$10:$J$224),0),
IF('TL15'!$B$229=L$3,SUMIF('TL15'!$C$238:$C$451,$C323,'TL15'!$J$238:$J$451),0),
IF('TL16'!$B$3=L$3,SUMIF('TL16'!$C$10:$C$224,$C323,'TL16'!$J$10:$J$224),0),
IF('TL16'!$B$229=L$3,SUMIF('TL16'!$C$238:$C$451,$C323,'TL16'!$J$238:$J$451),0),
IF('TL17'!$B$3=L$3,SUMIF('TL17'!$C$10:$C$224,$C323,'TL17'!$J$10:$J$224),0),
IF('TL17'!$B$229=L$3,SUMIF('TL17'!$C$238:$C$451,$C323,'TL17'!$J$238:$J$451),0),
IF('TL18'!$B$3=L$3,SUMIF('TL18'!$C$10:$C$224,$C323,'TL18'!$J$10:$J$224),0),
IF('TL18'!$B$229=L$3,SUMIF('TL18'!$C$238:$C$451,$C323,'TL18'!$J$238:$J$451),0),
IF('TL19'!$B$3=L$3,SUMIF('TL19'!$C$10:$C$224,$C323,'TL19'!$J$10:$J$224),0),
IF('TL19'!$B$229=L$3,SUMIF('TL19'!$C$238:$C$451,$C323,'TL19'!$J$238:$J$451),0)
),0)</f>
        <v>0</v>
      </c>
      <c r="M323" s="9">
        <f>IFERROR(SUM(
IF('TL01'!$B$3=M$3,SUMIF('TL01'!$C$10:$C$224,$C323,'TL01'!$J$10:$J$224),0),
IF('TL01'!$B$229=M$3,SUMIF('TL01'!$C$238:$C$451,$C323,'TL01'!$J$238:$J$451),0),
IF('TL02'!$B$3=M$3,SUMIF('TL02'!$C$10:$C$224,$C323,'TL02'!$J$10:$J$224),0),
IF('TL02'!$B$229=M$3,SUMIF('TL02'!$C$238:$C$451,$C323,'TL02'!$J$238:$J$451),0),
IF('TL03'!$B$3=M$3,SUMIF('TL03'!$C$10:$C$224,$C323,'TL03'!$J$10:$J$224),0),
IF('TL03'!$B$229=M$3,SUMIF('TL03'!$C$238:$C$451,$C323,'TL03'!$J$238:$J$451),0),
IF('TL04'!$B$3=M$3,SUMIF('TL04'!$C$10:$C$224,$C323,'TL04'!$J$10:$J$224),0),
IF('TL04'!$B$229=M$3,SUMIF('TL04'!$C$238:$C$451,$C323,'TL04'!$J$238:$J$451),0),
IF('TL05'!$B$3=M$3,SUMIF('TL05'!$C$10:$C$224,$C323,'TL05'!$J$10:$J$224),0),
IF('TL05'!$B$229=M$3,SUMIF('TL05'!$C$238:$C$451,$C323,'TL05'!$J$238:$J$451),0),
IF('TL06'!$B$3=M$3,SUMIF('TL06'!$C$10:$C$224,$C323,'TL06'!$J$10:$J$224),0),
IF('TL06'!$B$229=M$3,SUMIF('TL06'!$C$238:$C$451,$C323,'TL06'!$J$238:$J$451),0),
IF('TL07'!$B$3=M$3,SUMIF('TL07'!$C$10:$C$224,$C323,'TL07'!$J$10:$J$224),0),
IF('TL07'!$B$229=M$3,SUMIF('TL07'!$C$238:$C$451,$C323,'TL07'!$J$238:$J$451),0),
IF('TL08'!$B$3=M$3,SUMIF('TL08'!$C$10:$C$224,$C323,'TL08'!$J$10:$J$224),0),
IF('TL08'!$B$229=M$3,SUMIF('TL08'!$C$238:$C$451,$C323,'TL08'!$J$238:$J$451),0),
IF('TL09'!$B$3=M$3,SUMIF('TL09'!$C$10:$C$224,$C323,'TL09'!$J$10:$J$224),0),
IF('TL09'!$B$229=M$3,SUMIF('TL09'!$C$238:$C$451,$C323,'TL09'!$J$238:$J$451),0),
IF('TL10'!$B$3=M$3,SUMIF('TL10'!$C$10:$C$224,$C323,'TL10'!$J$10:$J$224),0),
IF('TL10'!$B$229=M$3,SUMIF('TL10'!$C$238:$C$451,$C323,'TL10'!$J$238:$J$451),0),
IF('TL11'!$B$3=M$3,SUMIF('TL11'!$C$10:$C$224,$C323,'TL11'!$J$10:$J$224),0),
IF('TL11'!$B$229=M$3,SUMIF('TL11'!$C$238:$C$451,$C323,'TL11'!$J$238:$J$451),0),
IF('TL12'!$B$3=M$3,SUMIF('TL12'!$C$10:$C$224,$C323,'TL12'!$J$10:$J$224),0),
IF('TL12'!$B$229=M$3,SUMIF('TL12'!$C$238:$C$451,$C323,'TL12'!$J$238:$J$451),0),
IF('TL13'!$B$3=M$3,SUMIF('TL13'!$C$10:$C$224,$C323,'TL13'!$J$10:$J$224),0),
IF('TL13'!$B$229=M$3,SUMIF('TL13'!$C$238:$C$451,$C323,'TL13'!$J$238:$J$451),0),
IF('TL14'!$B$3=M$3,SUMIF('TL14'!$C$10:$C$224,$C323,'TL14'!$J$10:$J$224),0),
IF('TL14'!$B$229=M$3,SUMIF('TL14'!$C$238:$C$451,$C323,'TL14'!$J$238:$J$451),0),
IF('TL15'!$B$3=M$3,SUMIF('TL15'!$C$10:$C$224,$C323,'TL15'!$J$10:$J$224),0),
IF('TL15'!$B$229=M$3,SUMIF('TL15'!$C$238:$C$451,$C323,'TL15'!$J$238:$J$451),0),
IF('TL16'!$B$3=M$3,SUMIF('TL16'!$C$10:$C$224,$C323,'TL16'!$J$10:$J$224),0),
IF('TL16'!$B$229=M$3,SUMIF('TL16'!$C$238:$C$451,$C323,'TL16'!$J$238:$J$451),0),
IF('TL17'!$B$3=M$3,SUMIF('TL17'!$C$10:$C$224,$C323,'TL17'!$J$10:$J$224),0),
IF('TL17'!$B$229=M$3,SUMIF('TL17'!$C$238:$C$451,$C323,'TL17'!$J$238:$J$451),0),
IF('TL18'!$B$3=M$3,SUMIF('TL18'!$C$10:$C$224,$C323,'TL18'!$J$10:$J$224),0),
IF('TL18'!$B$229=M$3,SUMIF('TL18'!$C$238:$C$451,$C323,'TL18'!$J$238:$J$451),0),
IF('TL19'!$B$3=M$3,SUMIF('TL19'!$C$10:$C$224,$C323,'TL19'!$J$10:$J$224),0),
IF('TL19'!$B$229=M$3,SUMIF('TL19'!$C$238:$C$451,$C323,'TL19'!$J$238:$J$451),0)
),0)</f>
        <v>0</v>
      </c>
      <c r="N323" s="9">
        <f>IFERROR(SUM(
IF('TL01'!$B$3=N$3,SUMIF('TL01'!$C$10:$C$224,$C323,'TL01'!$J$10:$J$224),0),
IF('TL01'!$B$229=N$3,SUMIF('TL01'!$C$238:$C$451,$C323,'TL01'!$J$238:$J$451),0),
IF('TL02'!$B$3=N$3,SUMIF('TL02'!$C$10:$C$224,$C323,'TL02'!$J$10:$J$224),0),
IF('TL02'!$B$229=N$3,SUMIF('TL02'!$C$238:$C$451,$C323,'TL02'!$J$238:$J$451),0),
IF('TL03'!$B$3=N$3,SUMIF('TL03'!$C$10:$C$224,$C323,'TL03'!$J$10:$J$224),0),
IF('TL03'!$B$229=N$3,SUMIF('TL03'!$C$238:$C$451,$C323,'TL03'!$J$238:$J$451),0),
IF('TL04'!$B$3=N$3,SUMIF('TL04'!$C$10:$C$224,$C323,'TL04'!$J$10:$J$224),0),
IF('TL04'!$B$229=N$3,SUMIF('TL04'!$C$238:$C$451,$C323,'TL04'!$J$238:$J$451),0),
IF('TL05'!$B$3=N$3,SUMIF('TL05'!$C$10:$C$224,$C323,'TL05'!$J$10:$J$224),0),
IF('TL05'!$B$229=N$3,SUMIF('TL05'!$C$238:$C$451,$C323,'TL05'!$J$238:$J$451),0),
IF('TL06'!$B$3=N$3,SUMIF('TL06'!$C$10:$C$224,$C323,'TL06'!$J$10:$J$224),0),
IF('TL06'!$B$229=N$3,SUMIF('TL06'!$C$238:$C$451,$C323,'TL06'!$J$238:$J$451),0),
IF('TL07'!$B$3=N$3,SUMIF('TL07'!$C$10:$C$224,$C323,'TL07'!$J$10:$J$224),0),
IF('TL07'!$B$229=N$3,SUMIF('TL07'!$C$238:$C$451,$C323,'TL07'!$J$238:$J$451),0),
IF('TL08'!$B$3=N$3,SUMIF('TL08'!$C$10:$C$224,$C323,'TL08'!$J$10:$J$224),0),
IF('TL08'!$B$229=N$3,SUMIF('TL08'!$C$238:$C$451,$C323,'TL08'!$J$238:$J$451),0),
IF('TL09'!$B$3=N$3,SUMIF('TL09'!$C$10:$C$224,$C323,'TL09'!$J$10:$J$224),0),
IF('TL09'!$B$229=N$3,SUMIF('TL09'!$C$238:$C$451,$C323,'TL09'!$J$238:$J$451),0),
IF('TL10'!$B$3=N$3,SUMIF('TL10'!$C$10:$C$224,$C323,'TL10'!$J$10:$J$224),0),
IF('TL10'!$B$229=N$3,SUMIF('TL10'!$C$238:$C$451,$C323,'TL10'!$J$238:$J$451),0),
IF('TL11'!$B$3=N$3,SUMIF('TL11'!$C$10:$C$224,$C323,'TL11'!$J$10:$J$224),0),
IF('TL11'!$B$229=N$3,SUMIF('TL11'!$C$238:$C$451,$C323,'TL11'!$J$238:$J$451),0),
IF('TL12'!$B$3=N$3,SUMIF('TL12'!$C$10:$C$224,$C323,'TL12'!$J$10:$J$224),0),
IF('TL12'!$B$229=N$3,SUMIF('TL12'!$C$238:$C$451,$C323,'TL12'!$J$238:$J$451),0),
IF('TL13'!$B$3=N$3,SUMIF('TL13'!$C$10:$C$224,$C323,'TL13'!$J$10:$J$224),0),
IF('TL13'!$B$229=N$3,SUMIF('TL13'!$C$238:$C$451,$C323,'TL13'!$J$238:$J$451),0),
IF('TL14'!$B$3=N$3,SUMIF('TL14'!$C$10:$C$224,$C323,'TL14'!$J$10:$J$224),0),
IF('TL14'!$B$229=N$3,SUMIF('TL14'!$C$238:$C$451,$C323,'TL14'!$J$238:$J$451),0),
IF('TL15'!$B$3=N$3,SUMIF('TL15'!$C$10:$C$224,$C323,'TL15'!$J$10:$J$224),0),
IF('TL15'!$B$229=N$3,SUMIF('TL15'!$C$238:$C$451,$C323,'TL15'!$J$238:$J$451),0),
IF('TL16'!$B$3=N$3,SUMIF('TL16'!$C$10:$C$224,$C323,'TL16'!$J$10:$J$224),0),
IF('TL16'!$B$229=N$3,SUMIF('TL16'!$C$238:$C$451,$C323,'TL16'!$J$238:$J$451),0),
IF('TL17'!$B$3=N$3,SUMIF('TL17'!$C$10:$C$224,$C323,'TL17'!$J$10:$J$224),0),
IF('TL17'!$B$229=N$3,SUMIF('TL17'!$C$238:$C$451,$C323,'TL17'!$J$238:$J$451),0),
IF('TL18'!$B$3=N$3,SUMIF('TL18'!$C$10:$C$224,$C323,'TL18'!$J$10:$J$224),0),
IF('TL18'!$B$229=N$3,SUMIF('TL18'!$C$238:$C$451,$C323,'TL18'!$J$238:$J$451),0),
IF('TL19'!$B$3=N$3,SUMIF('TL19'!$C$10:$C$224,$C323,'TL19'!$J$10:$J$224),0),
IF('TL19'!$B$229=N$3,SUMIF('TL19'!$C$238:$C$451,$C323,'TL19'!$J$238:$J$451),0)
),0)</f>
        <v>0</v>
      </c>
      <c r="O323" s="9">
        <f>IFERROR(SUM(
IF('TL01'!$B$3=O$3,SUMIF('TL01'!$C$10:$C$224,$C323,'TL01'!$J$10:$J$224),0),
IF('TL01'!$B$229=O$3,SUMIF('TL01'!$C$238:$C$451,$C323,'TL01'!$J$238:$J$451),0),
IF('TL02'!$B$3=O$3,SUMIF('TL02'!$C$10:$C$224,$C323,'TL02'!$J$10:$J$224),0),
IF('TL02'!$B$229=O$3,SUMIF('TL02'!$C$238:$C$451,$C323,'TL02'!$J$238:$J$451),0),
IF('TL03'!$B$3=O$3,SUMIF('TL03'!$C$10:$C$224,$C323,'TL03'!$J$10:$J$224),0),
IF('TL03'!$B$229=O$3,SUMIF('TL03'!$C$238:$C$451,$C323,'TL03'!$J$238:$J$451),0),
IF('TL04'!$B$3=O$3,SUMIF('TL04'!$C$10:$C$224,$C323,'TL04'!$J$10:$J$224),0),
IF('TL04'!$B$229=O$3,SUMIF('TL04'!$C$238:$C$451,$C323,'TL04'!$J$238:$J$451),0),
IF('TL05'!$B$3=O$3,SUMIF('TL05'!$C$10:$C$224,$C323,'TL05'!$J$10:$J$224),0),
IF('TL05'!$B$229=O$3,SUMIF('TL05'!$C$238:$C$451,$C323,'TL05'!$J$238:$J$451),0),
IF('TL06'!$B$3=O$3,SUMIF('TL06'!$C$10:$C$224,$C323,'TL06'!$J$10:$J$224),0),
IF('TL06'!$B$229=O$3,SUMIF('TL06'!$C$238:$C$451,$C323,'TL06'!$J$238:$J$451),0),
IF('TL07'!$B$3=O$3,SUMIF('TL07'!$C$10:$C$224,$C323,'TL07'!$J$10:$J$224),0),
IF('TL07'!$B$229=O$3,SUMIF('TL07'!$C$238:$C$451,$C323,'TL07'!$J$238:$J$451),0),
IF('TL08'!$B$3=O$3,SUMIF('TL08'!$C$10:$C$224,$C323,'TL08'!$J$10:$J$224),0),
IF('TL08'!$B$229=O$3,SUMIF('TL08'!$C$238:$C$451,$C323,'TL08'!$J$238:$J$451),0),
IF('TL09'!$B$3=O$3,SUMIF('TL09'!$C$10:$C$224,$C323,'TL09'!$J$10:$J$224),0),
IF('TL09'!$B$229=O$3,SUMIF('TL09'!$C$238:$C$451,$C323,'TL09'!$J$238:$J$451),0),
IF('TL10'!$B$3=O$3,SUMIF('TL10'!$C$10:$C$224,$C323,'TL10'!$J$10:$J$224),0),
IF('TL10'!$B$229=O$3,SUMIF('TL10'!$C$238:$C$451,$C323,'TL10'!$J$238:$J$451),0),
IF('TL11'!$B$3=O$3,SUMIF('TL11'!$C$10:$C$224,$C323,'TL11'!$J$10:$J$224),0),
IF('TL11'!$B$229=O$3,SUMIF('TL11'!$C$238:$C$451,$C323,'TL11'!$J$238:$J$451),0),
IF('TL12'!$B$3=O$3,SUMIF('TL12'!$C$10:$C$224,$C323,'TL12'!$J$10:$J$224),0),
IF('TL12'!$B$229=O$3,SUMIF('TL12'!$C$238:$C$451,$C323,'TL12'!$J$238:$J$451),0),
IF('TL13'!$B$3=O$3,SUMIF('TL13'!$C$10:$C$224,$C323,'TL13'!$J$10:$J$224),0),
IF('TL13'!$B$229=O$3,SUMIF('TL13'!$C$238:$C$451,$C323,'TL13'!$J$238:$J$451),0),
IF('TL14'!$B$3=O$3,SUMIF('TL14'!$C$10:$C$224,$C323,'TL14'!$J$10:$J$224),0),
IF('TL14'!$B$229=O$3,SUMIF('TL14'!$C$238:$C$451,$C323,'TL14'!$J$238:$J$451),0),
IF('TL15'!$B$3=O$3,SUMIF('TL15'!$C$10:$C$224,$C323,'TL15'!$J$10:$J$224),0),
IF('TL15'!$B$229=O$3,SUMIF('TL15'!$C$238:$C$451,$C323,'TL15'!$J$238:$J$451),0),
IF('TL16'!$B$3=O$3,SUMIF('TL16'!$C$10:$C$224,$C323,'TL16'!$J$10:$J$224),0),
IF('TL16'!$B$229=O$3,SUMIF('TL16'!$C$238:$C$451,$C323,'TL16'!$J$238:$J$451),0),
IF('TL17'!$B$3=O$3,SUMIF('TL17'!$C$10:$C$224,$C323,'TL17'!$J$10:$J$224),0),
IF('TL17'!$B$229=O$3,SUMIF('TL17'!$C$238:$C$451,$C323,'TL17'!$J$238:$J$451),0),
IF('TL18'!$B$3=O$3,SUMIF('TL18'!$C$10:$C$224,$C323,'TL18'!$J$10:$J$224),0),
IF('TL18'!$B$229=O$3,SUMIF('TL18'!$C$238:$C$451,$C323,'TL18'!$J$238:$J$451),0),
IF('TL19'!$B$3=O$3,SUMIF('TL19'!$C$10:$C$224,$C323,'TL19'!$J$10:$J$224),0),
IF('TL19'!$B$229=O$3,SUMIF('TL19'!$C$238:$C$451,$C323,'TL19'!$J$238:$J$451),0)
),0)</f>
        <v>0</v>
      </c>
      <c r="P323" s="9">
        <f>IFERROR(SUM(
IF('TL01'!$B$3=P$3,SUMIF('TL01'!$C$10:$C$224,$C323,'TL01'!$J$10:$J$224),0),
IF('TL01'!$B$229=P$3,SUMIF('TL01'!$C$238:$C$451,$C323,'TL01'!$J$238:$J$451),0),
IF('TL02'!$B$3=P$3,SUMIF('TL02'!$C$10:$C$224,$C323,'TL02'!$J$10:$J$224),0),
IF('TL02'!$B$229=P$3,SUMIF('TL02'!$C$238:$C$451,$C323,'TL02'!$J$238:$J$451),0),
IF('TL03'!$B$3=P$3,SUMIF('TL03'!$C$10:$C$224,$C323,'TL03'!$J$10:$J$224),0),
IF('TL03'!$B$229=P$3,SUMIF('TL03'!$C$238:$C$451,$C323,'TL03'!$J$238:$J$451),0),
IF('TL04'!$B$3=P$3,SUMIF('TL04'!$C$10:$C$224,$C323,'TL04'!$J$10:$J$224),0),
IF('TL04'!$B$229=P$3,SUMIF('TL04'!$C$238:$C$451,$C323,'TL04'!$J$238:$J$451),0),
IF('TL05'!$B$3=P$3,SUMIF('TL05'!$C$10:$C$224,$C323,'TL05'!$J$10:$J$224),0),
IF('TL05'!$B$229=P$3,SUMIF('TL05'!$C$238:$C$451,$C323,'TL05'!$J$238:$J$451),0),
IF('TL06'!$B$3=P$3,SUMIF('TL06'!$C$10:$C$224,$C323,'TL06'!$J$10:$J$224),0),
IF('TL06'!$B$229=P$3,SUMIF('TL06'!$C$238:$C$451,$C323,'TL06'!$J$238:$J$451),0),
IF('TL07'!$B$3=P$3,SUMIF('TL07'!$C$10:$C$224,$C323,'TL07'!$J$10:$J$224),0),
IF('TL07'!$B$229=P$3,SUMIF('TL07'!$C$238:$C$451,$C323,'TL07'!$J$238:$J$451),0),
IF('TL08'!$B$3=P$3,SUMIF('TL08'!$C$10:$C$224,$C323,'TL08'!$J$10:$J$224),0),
IF('TL08'!$B$229=P$3,SUMIF('TL08'!$C$238:$C$451,$C323,'TL08'!$J$238:$J$451),0),
IF('TL09'!$B$3=P$3,SUMIF('TL09'!$C$10:$C$224,$C323,'TL09'!$J$10:$J$224),0),
IF('TL09'!$B$229=P$3,SUMIF('TL09'!$C$238:$C$451,$C323,'TL09'!$J$238:$J$451),0),
IF('TL10'!$B$3=P$3,SUMIF('TL10'!$C$10:$C$224,$C323,'TL10'!$J$10:$J$224),0),
IF('TL10'!$B$229=P$3,SUMIF('TL10'!$C$238:$C$451,$C323,'TL10'!$J$238:$J$451),0),
IF('TL11'!$B$3=P$3,SUMIF('TL11'!$C$10:$C$224,$C323,'TL11'!$J$10:$J$224),0),
IF('TL11'!$B$229=P$3,SUMIF('TL11'!$C$238:$C$451,$C323,'TL11'!$J$238:$J$451),0),
IF('TL12'!$B$3=P$3,SUMIF('TL12'!$C$10:$C$224,$C323,'TL12'!$J$10:$J$224),0),
IF('TL12'!$B$229=P$3,SUMIF('TL12'!$C$238:$C$451,$C323,'TL12'!$J$238:$J$451),0),
IF('TL13'!$B$3=P$3,SUMIF('TL13'!$C$10:$C$224,$C323,'TL13'!$J$10:$J$224),0),
IF('TL13'!$B$229=P$3,SUMIF('TL13'!$C$238:$C$451,$C323,'TL13'!$J$238:$J$451),0),
IF('TL14'!$B$3=P$3,SUMIF('TL14'!$C$10:$C$224,$C323,'TL14'!$J$10:$J$224),0),
IF('TL14'!$B$229=P$3,SUMIF('TL14'!$C$238:$C$451,$C323,'TL14'!$J$238:$J$451),0),
IF('TL15'!$B$3=P$3,SUMIF('TL15'!$C$10:$C$224,$C323,'TL15'!$J$10:$J$224),0),
IF('TL15'!$B$229=P$3,SUMIF('TL15'!$C$238:$C$451,$C323,'TL15'!$J$238:$J$451),0),
IF('TL16'!$B$3=P$3,SUMIF('TL16'!$C$10:$C$224,$C323,'TL16'!$J$10:$J$224),0),
IF('TL16'!$B$229=P$3,SUMIF('TL16'!$C$238:$C$451,$C323,'TL16'!$J$238:$J$451),0),
IF('TL17'!$B$3=P$3,SUMIF('TL17'!$C$10:$C$224,$C323,'TL17'!$J$10:$J$224),0),
IF('TL17'!$B$229=P$3,SUMIF('TL17'!$C$238:$C$451,$C323,'TL17'!$J$238:$J$451),0),
IF('TL18'!$B$3=P$3,SUMIF('TL18'!$C$10:$C$224,$C323,'TL18'!$J$10:$J$224),0),
IF('TL18'!$B$229=P$3,SUMIF('TL18'!$C$238:$C$451,$C323,'TL18'!$J$238:$J$451),0),
IF('TL19'!$B$3=P$3,SUMIF('TL19'!$C$10:$C$224,$C323,'TL19'!$J$10:$J$224),0),
IF('TL19'!$B$229=P$3,SUMIF('TL19'!$C$238:$C$451,$C323,'TL19'!$J$238:$J$451),0)
),0)</f>
        <v>4.4</v>
      </c>
      <c r="Q323" s="9">
        <f>IFERROR(SUM(
IF('TL01'!$B$3=Q$3,SUMIF('TL01'!$C$10:$C$224,$C323,'TL01'!$J$10:$J$224),0),
IF('TL01'!$B$229=Q$3,SUMIF('TL01'!$C$238:$C$451,$C323,'TL01'!$J$238:$J$451),0),
IF('TL02'!$B$3=Q$3,SUMIF('TL02'!$C$10:$C$224,$C323,'TL02'!$J$10:$J$224),0),
IF('TL02'!$B$229=Q$3,SUMIF('TL02'!$C$238:$C$451,$C323,'TL02'!$J$238:$J$451),0),
IF('TL03'!$B$3=Q$3,SUMIF('TL03'!$C$10:$C$224,$C323,'TL03'!$J$10:$J$224),0),
IF('TL03'!$B$229=Q$3,SUMIF('TL03'!$C$238:$C$451,$C323,'TL03'!$J$238:$J$451),0),
IF('TL04'!$B$3=Q$3,SUMIF('TL04'!$C$10:$C$224,$C323,'TL04'!$J$10:$J$224),0),
IF('TL04'!$B$229=Q$3,SUMIF('TL04'!$C$238:$C$451,$C323,'TL04'!$J$238:$J$451),0),
IF('TL05'!$B$3=Q$3,SUMIF('TL05'!$C$10:$C$224,$C323,'TL05'!$J$10:$J$224),0),
IF('TL05'!$B$229=Q$3,SUMIF('TL05'!$C$238:$C$451,$C323,'TL05'!$J$238:$J$451),0),
IF('TL06'!$B$3=Q$3,SUMIF('TL06'!$C$10:$C$224,$C323,'TL06'!$J$10:$J$224),0),
IF('TL06'!$B$229=Q$3,SUMIF('TL06'!$C$238:$C$451,$C323,'TL06'!$J$238:$J$451),0),
IF('TL07'!$B$3=Q$3,SUMIF('TL07'!$C$10:$C$224,$C323,'TL07'!$J$10:$J$224),0),
IF('TL07'!$B$229=Q$3,SUMIF('TL07'!$C$238:$C$451,$C323,'TL07'!$J$238:$J$451),0),
IF('TL08'!$B$3=Q$3,SUMIF('TL08'!$C$10:$C$224,$C323,'TL08'!$J$10:$J$224),0),
IF('TL08'!$B$229=Q$3,SUMIF('TL08'!$C$238:$C$451,$C323,'TL08'!$J$238:$J$451),0),
IF('TL09'!$B$3=Q$3,SUMIF('TL09'!$C$10:$C$224,$C323,'TL09'!$J$10:$J$224),0),
IF('TL09'!$B$229=Q$3,SUMIF('TL09'!$C$238:$C$451,$C323,'TL09'!$J$238:$J$451),0),
IF('TL10'!$B$3=Q$3,SUMIF('TL10'!$C$10:$C$224,$C323,'TL10'!$J$10:$J$224),0),
IF('TL10'!$B$229=Q$3,SUMIF('TL10'!$C$238:$C$451,$C323,'TL10'!$J$238:$J$451),0),
IF('TL11'!$B$3=Q$3,SUMIF('TL11'!$C$10:$C$224,$C323,'TL11'!$J$10:$J$224),0),
IF('TL11'!$B$229=Q$3,SUMIF('TL11'!$C$238:$C$451,$C323,'TL11'!$J$238:$J$451),0),
IF('TL12'!$B$3=Q$3,SUMIF('TL12'!$C$10:$C$224,$C323,'TL12'!$J$10:$J$224),0),
IF('TL12'!$B$229=Q$3,SUMIF('TL12'!$C$238:$C$451,$C323,'TL12'!$J$238:$J$451),0),
IF('TL13'!$B$3=Q$3,SUMIF('TL13'!$C$10:$C$224,$C323,'TL13'!$J$10:$J$224),0),
IF('TL13'!$B$229=Q$3,SUMIF('TL13'!$C$238:$C$451,$C323,'TL13'!$J$238:$J$451),0),
IF('TL14'!$B$3=Q$3,SUMIF('TL14'!$C$10:$C$224,$C323,'TL14'!$J$10:$J$224),0),
IF('TL14'!$B$229=Q$3,SUMIF('TL14'!$C$238:$C$451,$C323,'TL14'!$J$238:$J$451),0),
IF('TL15'!$B$3=Q$3,SUMIF('TL15'!$C$10:$C$224,$C323,'TL15'!$J$10:$J$224),0),
IF('TL15'!$B$229=Q$3,SUMIF('TL15'!$C$238:$C$451,$C323,'TL15'!$J$238:$J$451),0),
IF('TL16'!$B$3=Q$3,SUMIF('TL16'!$C$10:$C$224,$C323,'TL16'!$J$10:$J$224),0),
IF('TL16'!$B$229=Q$3,SUMIF('TL16'!$C$238:$C$451,$C323,'TL16'!$J$238:$J$451),0),
IF('TL17'!$B$3=Q$3,SUMIF('TL17'!$C$10:$C$224,$C323,'TL17'!$J$10:$J$224),0),
IF('TL17'!$B$229=Q$3,SUMIF('TL17'!$C$238:$C$451,$C323,'TL17'!$J$238:$J$451),0),
IF('TL18'!$B$3=Q$3,SUMIF('TL18'!$C$10:$C$224,$C323,'TL18'!$J$10:$J$224),0),
IF('TL18'!$B$229=Q$3,SUMIF('TL18'!$C$238:$C$451,$C323,'TL18'!$J$238:$J$451),0),
IF('TL19'!$B$3=Q$3,SUMIF('TL19'!$C$10:$C$224,$C323,'TL19'!$J$10:$J$224),0),
IF('TL19'!$B$229=Q$3,SUMIF('TL19'!$C$238:$C$451,$C323,'TL19'!$J$238:$J$451),0)
),0)</f>
        <v>0</v>
      </c>
      <c r="R323" s="9">
        <f>IFERROR(
SUM(
SUMIF('TL01'!C:C,C323,'TL01'!J:J),
SUMIF('TL02'!C:C,C323,'TL02'!J:J),
SUMIF('TL03'!C:C,C323,'TL03'!J:J),
SUMIF('TL04'!C:C,C323,'TL04'!J:J),
SUMIF('TL05'!C:C,C323,'TL05'!J:J),
SUMIF('TL06'!C:C,C323,'TL06'!J:J),
SUMIF('TL07'!C:C,C323,'TL07'!J:J),
SUMIF('TL08'!C:C,C323,'TL08'!J:J),
SUMIF('TL09'!C:C,C323,'TL09'!J:J),
SUMIF('TL10'!C:C,C323,'TL10'!J:J),
SUMIF('TL11'!C:C,C323,'TL11'!J:J),
SUMIF('TL12'!C:C,C323,'TL12'!J:J),
SUMIF('TL13'!C:C,C323,'TL13'!J:J),
SUMIF('TL14'!C:C,C323,'TL14'!J:J),
SUMIF('TL15'!C:C,C323,'TL15'!J:J),
SUMIF('TL16'!C:C,C323,'TL16'!J:J),
SUMIF('TL17'!C:C,C323,'TL17'!J:J),
SUMIF('TL18'!C:C,C323,'TL18'!J:J),SUMIF('TL19'!C:C,C323,'TL19'!J:J))
,0)</f>
        <v>4.4</v>
      </c>
      <c r="S323" s="17" t="str">
        <f>IFERROR(__xludf.DUMMYFUNCTION("IFERROR(VLOOKUP(C323,
IMPORTRANGE(""1wULbzX32WdYsx-lj2U3uUNBBe2INVIRDtcK0d-Dvl90"",
""26-27!C:G""),
5,
FALSE),
"""")"),"")</f>
        <v/>
      </c>
      <c r="T323" s="9"/>
      <c r="U323" s="92">
        <f t="shared" si="2"/>
        <v>4.4</v>
      </c>
      <c r="V323" s="93">
        <f t="shared" si="3"/>
        <v>0</v>
      </c>
    </row>
    <row r="324" ht="15.75" hidden="1" customHeight="1">
      <c r="A324" s="4"/>
      <c r="B324" s="125" t="s">
        <v>5</v>
      </c>
      <c r="C324" s="4" t="s">
        <v>1050</v>
      </c>
      <c r="D324" s="6"/>
      <c r="E324" s="9"/>
      <c r="F324" s="4" t="s">
        <v>1042</v>
      </c>
      <c r="G324" s="90" t="str">
        <f t="shared" si="5"/>
        <v>📄 Ver bula</v>
      </c>
      <c r="H324" s="9"/>
      <c r="I324" s="1"/>
      <c r="J324" s="9">
        <f>IFERROR(SUM(
IF('TL01'!$B$3=J$3,SUMIF('TL01'!$C$10:$C$224,$C324,'TL01'!$J$10:$J$224),0),
IF('TL01'!$B$229=J$3,SUMIF('TL01'!$C$238:$C$451,$C324,'TL01'!$J$238:$J$451),0),
IF('TL02'!$B$3=J$3,SUMIF('TL02'!$C$10:$C$224,$C324,'TL02'!$J$10:$J$224),0),
IF('TL02'!$B$229=J$3,SUMIF('TL02'!$C$238:$C$451,$C324,'TL02'!$J$238:$J$451),0),
IF('TL03'!$B$3=J$3,SUMIF('TL03'!$C$10:$C$224,$C324,'TL03'!$J$10:$J$224),0),
IF('TL03'!$B$229=J$3,SUMIF('TL03'!$C$238:$C$451,$C324,'TL03'!$J$238:$J$451),0),
IF('TL04'!$B$3=J$3,SUMIF('TL04'!$C$10:$C$224,$C324,'TL04'!$J$10:$J$224),0),
IF('TL04'!$B$229=J$3,SUMIF('TL04'!$C$238:$C$451,$C324,'TL04'!$J$238:$J$451),0),
IF('TL05'!$B$3=J$3,SUMIF('TL05'!$C$10:$C$224,$C324,'TL05'!$J$10:$J$224),0),
IF('TL05'!$B$229=J$3,SUMIF('TL05'!$C$238:$C$451,$C324,'TL05'!$J$238:$J$451),0),
IF('TL06'!$B$3=J$3,SUMIF('TL06'!$C$10:$C$224,$C324,'TL06'!$J$10:$J$224),0),
IF('TL06'!$B$229=J$3,SUMIF('TL06'!$C$238:$C$451,$C324,'TL06'!$J$238:$J$451),0),
IF('TL07'!$B$3=J$3,SUMIF('TL07'!$C$10:$C$224,$C324,'TL07'!$J$10:$J$224),0),
IF('TL07'!$B$229=J$3,SUMIF('TL07'!$C$238:$C$451,$C324,'TL07'!$J$238:$J$451),0),
IF('TL08'!$B$3=J$3,SUMIF('TL08'!$C$10:$C$224,$C324,'TL08'!$J$10:$J$224),0),
IF('TL08'!$B$229=J$3,SUMIF('TL08'!$C$238:$C$451,$C324,'TL08'!$J$238:$J$451),0),
IF('TL09'!$B$3=J$3,SUMIF('TL09'!$C$10:$C$224,$C324,'TL09'!$J$10:$J$224),0),
IF('TL09'!$B$229=J$3,SUMIF('TL09'!$C$238:$C$451,$C324,'TL09'!$J$238:$J$451),0),
IF('TL10'!$B$3=J$3,SUMIF('TL10'!$C$10:$C$224,$C324,'TL10'!$J$10:$J$224),0),
IF('TL10'!$B$229=J$3,SUMIF('TL10'!$C$238:$C$451,$C324,'TL10'!$J$238:$J$451),0),
IF('TL11'!$B$3=J$3,SUMIF('TL11'!$C$10:$C$224,$C324,'TL11'!$J$10:$J$224),0),
IF('TL11'!$B$229=J$3,SUMIF('TL11'!$C$238:$C$451,$C324,'TL11'!$J$238:$J$451),0),
IF('TL12'!$B$3=J$3,SUMIF('TL12'!$C$10:$C$224,$C324,'TL12'!$J$10:$J$224),0),
IF('TL12'!$B$229=J$3,SUMIF('TL12'!$C$238:$C$451,$C324,'TL12'!$J$238:$J$451),0),
IF('TL13'!$B$3=J$3,SUMIF('TL13'!$C$10:$C$224,$C324,'TL13'!$J$10:$J$224),0),
IF('TL13'!$B$229=J$3,SUMIF('TL13'!$C$238:$C$451,$C324,'TL13'!$J$238:$J$451),0),
IF('TL14'!$B$3=J$3,SUMIF('TL14'!$C$10:$C$224,$C324,'TL14'!$J$10:$J$224),0),
IF('TL14'!$B$229=J$3,SUMIF('TL14'!$C$238:$C$451,$C324,'TL14'!$J$238:$J$451),0),
IF('TL15'!$B$3=J$3,SUMIF('TL15'!$C$10:$C$224,$C324,'TL15'!$J$10:$J$224),0),
IF('TL15'!$B$229=J$3,SUMIF('TL15'!$C$238:$C$451,$C324,'TL15'!$J$238:$J$451),0),
IF('TL16'!$B$3=J$3,SUMIF('TL16'!$C$10:$C$224,$C324,'TL16'!$J$10:$J$224),0),
IF('TL16'!$B$229=J$3,SUMIF('TL16'!$C$238:$C$451,$C324,'TL16'!$J$238:$J$451),0),
IF('TL17'!$B$3=J$3,SUMIF('TL17'!$C$10:$C$224,$C324,'TL17'!$J$10:$J$224),0),
IF('TL17'!$B$229=J$3,SUMIF('TL17'!$C$238:$C$451,$C324,'TL17'!$J$238:$J$451),0),
IF('TL18'!$B$3=J$3,SUMIF('TL18'!$C$10:$C$224,$C324,'TL18'!$J$10:$J$224),0),
IF('TL18'!$B$229=J$3,SUMIF('TL18'!$C$238:$C$451,$C324,'TL18'!$J$238:$J$451),0),
IF('TL19'!$B$3=J$3,SUMIF('TL19'!$C$10:$C$224,$C324,'TL19'!$J$10:$J$224),0),
IF('TL19'!$B$229=J$3,SUMIF('TL19'!$C$238:$C$451,$C324,'TL19'!$J$238:$J$451),0)
),0)</f>
        <v>0</v>
      </c>
      <c r="K324" s="9">
        <f>IFERROR(SUM(
IF('TL01'!$B$3=K$3,SUMIF('TL01'!$C$10:$C$224,$C324,'TL01'!$J$10:$J$224),0),
IF('TL01'!$B$229=K$3,SUMIF('TL01'!$C$238:$C$451,$C324,'TL01'!$J$238:$J$451),0),
IF('TL02'!$B$3=K$3,SUMIF('TL02'!$C$10:$C$224,$C324,'TL02'!$J$10:$J$224),0),
IF('TL02'!$B$229=K$3,SUMIF('TL02'!$C$238:$C$451,$C324,'TL02'!$J$238:$J$451),0),
IF('TL03'!$B$3=K$3,SUMIF('TL03'!$C$10:$C$224,$C324,'TL03'!$J$10:$J$224),0),
IF('TL03'!$B$229=K$3,SUMIF('TL03'!$C$238:$C$451,$C324,'TL03'!$J$238:$J$451),0),
IF('TL04'!$B$3=K$3,SUMIF('TL04'!$C$10:$C$224,$C324,'TL04'!$J$10:$J$224),0),
IF('TL04'!$B$229=K$3,SUMIF('TL04'!$C$238:$C$451,$C324,'TL04'!$J$238:$J$451),0),
IF('TL05'!$B$3=K$3,SUMIF('TL05'!$C$10:$C$224,$C324,'TL05'!$J$10:$J$224),0),
IF('TL05'!$B$229=K$3,SUMIF('TL05'!$C$238:$C$451,$C324,'TL05'!$J$238:$J$451),0),
IF('TL06'!$B$3=K$3,SUMIF('TL06'!$C$10:$C$224,$C324,'TL06'!$J$10:$J$224),0),
IF('TL06'!$B$229=K$3,SUMIF('TL06'!$C$238:$C$451,$C324,'TL06'!$J$238:$J$451),0),
IF('TL07'!$B$3=K$3,SUMIF('TL07'!$C$10:$C$224,$C324,'TL07'!$J$10:$J$224),0),
IF('TL07'!$B$229=K$3,SUMIF('TL07'!$C$238:$C$451,$C324,'TL07'!$J$238:$J$451),0),
IF('TL08'!$B$3=K$3,SUMIF('TL08'!$C$10:$C$224,$C324,'TL08'!$J$10:$J$224),0),
IF('TL08'!$B$229=K$3,SUMIF('TL08'!$C$238:$C$451,$C324,'TL08'!$J$238:$J$451),0),
IF('TL09'!$B$3=K$3,SUMIF('TL09'!$C$10:$C$224,$C324,'TL09'!$J$10:$J$224),0),
IF('TL09'!$B$229=K$3,SUMIF('TL09'!$C$238:$C$451,$C324,'TL09'!$J$238:$J$451),0),
IF('TL10'!$B$3=K$3,SUMIF('TL10'!$C$10:$C$224,$C324,'TL10'!$J$10:$J$224),0),
IF('TL10'!$B$229=K$3,SUMIF('TL10'!$C$238:$C$451,$C324,'TL10'!$J$238:$J$451),0),
IF('TL11'!$B$3=K$3,SUMIF('TL11'!$C$10:$C$224,$C324,'TL11'!$J$10:$J$224),0),
IF('TL11'!$B$229=K$3,SUMIF('TL11'!$C$238:$C$451,$C324,'TL11'!$J$238:$J$451),0),
IF('TL12'!$B$3=K$3,SUMIF('TL12'!$C$10:$C$224,$C324,'TL12'!$J$10:$J$224),0),
IF('TL12'!$B$229=K$3,SUMIF('TL12'!$C$238:$C$451,$C324,'TL12'!$J$238:$J$451),0),
IF('TL13'!$B$3=K$3,SUMIF('TL13'!$C$10:$C$224,$C324,'TL13'!$J$10:$J$224),0),
IF('TL13'!$B$229=K$3,SUMIF('TL13'!$C$238:$C$451,$C324,'TL13'!$J$238:$J$451),0),
IF('TL14'!$B$3=K$3,SUMIF('TL14'!$C$10:$C$224,$C324,'TL14'!$J$10:$J$224),0),
IF('TL14'!$B$229=K$3,SUMIF('TL14'!$C$238:$C$451,$C324,'TL14'!$J$238:$J$451),0),
IF('TL15'!$B$3=K$3,SUMIF('TL15'!$C$10:$C$224,$C324,'TL15'!$J$10:$J$224),0),
IF('TL15'!$B$229=K$3,SUMIF('TL15'!$C$238:$C$451,$C324,'TL15'!$J$238:$J$451),0),
IF('TL16'!$B$3=K$3,SUMIF('TL16'!$C$10:$C$224,$C324,'TL16'!$J$10:$J$224),0),
IF('TL16'!$B$229=K$3,SUMIF('TL16'!$C$238:$C$451,$C324,'TL16'!$J$238:$J$451),0),
IF('TL17'!$B$3=K$3,SUMIF('TL17'!$C$10:$C$224,$C324,'TL17'!$J$10:$J$224),0),
IF('TL17'!$B$229=K$3,SUMIF('TL17'!$C$238:$C$451,$C324,'TL17'!$J$238:$J$451),0),
IF('TL18'!$B$3=K$3,SUMIF('TL18'!$C$10:$C$224,$C324,'TL18'!$J$10:$J$224),0),
IF('TL18'!$B$229=K$3,SUMIF('TL18'!$C$238:$C$451,$C324,'TL18'!$J$238:$J$451),0),
IF('TL19'!$B$3=K$3,SUMIF('TL19'!$C$10:$C$224,$C324,'TL19'!$J$10:$J$224),0),
IF('TL19'!$B$229=K$3,SUMIF('TL19'!$C$238:$C$451,$C324,'TL19'!$J$238:$J$451),0)
),0)</f>
        <v>0</v>
      </c>
      <c r="L324" s="9">
        <f>IFERROR(SUM(
IF('TL01'!$B$3=L$3,SUMIF('TL01'!$C$10:$C$224,$C324,'TL01'!$J$10:$J$224),0),
IF('TL01'!$B$229=L$3,SUMIF('TL01'!$C$238:$C$451,$C324,'TL01'!$J$238:$J$451),0),
IF('TL02'!$B$3=L$3,SUMIF('TL02'!$C$10:$C$224,$C324,'TL02'!$J$10:$J$224),0),
IF('TL02'!$B$229=L$3,SUMIF('TL02'!$C$238:$C$451,$C324,'TL02'!$J$238:$J$451),0),
IF('TL03'!$B$3=L$3,SUMIF('TL03'!$C$10:$C$224,$C324,'TL03'!$J$10:$J$224),0),
IF('TL03'!$B$229=L$3,SUMIF('TL03'!$C$238:$C$451,$C324,'TL03'!$J$238:$J$451),0),
IF('TL04'!$B$3=L$3,SUMIF('TL04'!$C$10:$C$224,$C324,'TL04'!$J$10:$J$224),0),
IF('TL04'!$B$229=L$3,SUMIF('TL04'!$C$238:$C$451,$C324,'TL04'!$J$238:$J$451),0),
IF('TL05'!$B$3=L$3,SUMIF('TL05'!$C$10:$C$224,$C324,'TL05'!$J$10:$J$224),0),
IF('TL05'!$B$229=L$3,SUMIF('TL05'!$C$238:$C$451,$C324,'TL05'!$J$238:$J$451),0),
IF('TL06'!$B$3=L$3,SUMIF('TL06'!$C$10:$C$224,$C324,'TL06'!$J$10:$J$224),0),
IF('TL06'!$B$229=L$3,SUMIF('TL06'!$C$238:$C$451,$C324,'TL06'!$J$238:$J$451),0),
IF('TL07'!$B$3=L$3,SUMIF('TL07'!$C$10:$C$224,$C324,'TL07'!$J$10:$J$224),0),
IF('TL07'!$B$229=L$3,SUMIF('TL07'!$C$238:$C$451,$C324,'TL07'!$J$238:$J$451),0),
IF('TL08'!$B$3=L$3,SUMIF('TL08'!$C$10:$C$224,$C324,'TL08'!$J$10:$J$224),0),
IF('TL08'!$B$229=L$3,SUMIF('TL08'!$C$238:$C$451,$C324,'TL08'!$J$238:$J$451),0),
IF('TL09'!$B$3=L$3,SUMIF('TL09'!$C$10:$C$224,$C324,'TL09'!$J$10:$J$224),0),
IF('TL09'!$B$229=L$3,SUMIF('TL09'!$C$238:$C$451,$C324,'TL09'!$J$238:$J$451),0),
IF('TL10'!$B$3=L$3,SUMIF('TL10'!$C$10:$C$224,$C324,'TL10'!$J$10:$J$224),0),
IF('TL10'!$B$229=L$3,SUMIF('TL10'!$C$238:$C$451,$C324,'TL10'!$J$238:$J$451),0),
IF('TL11'!$B$3=L$3,SUMIF('TL11'!$C$10:$C$224,$C324,'TL11'!$J$10:$J$224),0),
IF('TL11'!$B$229=L$3,SUMIF('TL11'!$C$238:$C$451,$C324,'TL11'!$J$238:$J$451),0),
IF('TL12'!$B$3=L$3,SUMIF('TL12'!$C$10:$C$224,$C324,'TL12'!$J$10:$J$224),0),
IF('TL12'!$B$229=L$3,SUMIF('TL12'!$C$238:$C$451,$C324,'TL12'!$J$238:$J$451),0),
IF('TL13'!$B$3=L$3,SUMIF('TL13'!$C$10:$C$224,$C324,'TL13'!$J$10:$J$224),0),
IF('TL13'!$B$229=L$3,SUMIF('TL13'!$C$238:$C$451,$C324,'TL13'!$J$238:$J$451),0),
IF('TL14'!$B$3=L$3,SUMIF('TL14'!$C$10:$C$224,$C324,'TL14'!$J$10:$J$224),0),
IF('TL14'!$B$229=L$3,SUMIF('TL14'!$C$238:$C$451,$C324,'TL14'!$J$238:$J$451),0),
IF('TL15'!$B$3=L$3,SUMIF('TL15'!$C$10:$C$224,$C324,'TL15'!$J$10:$J$224),0),
IF('TL15'!$B$229=L$3,SUMIF('TL15'!$C$238:$C$451,$C324,'TL15'!$J$238:$J$451),0),
IF('TL16'!$B$3=L$3,SUMIF('TL16'!$C$10:$C$224,$C324,'TL16'!$J$10:$J$224),0),
IF('TL16'!$B$229=L$3,SUMIF('TL16'!$C$238:$C$451,$C324,'TL16'!$J$238:$J$451),0),
IF('TL17'!$B$3=L$3,SUMIF('TL17'!$C$10:$C$224,$C324,'TL17'!$J$10:$J$224),0),
IF('TL17'!$B$229=L$3,SUMIF('TL17'!$C$238:$C$451,$C324,'TL17'!$J$238:$J$451),0),
IF('TL18'!$B$3=L$3,SUMIF('TL18'!$C$10:$C$224,$C324,'TL18'!$J$10:$J$224),0),
IF('TL18'!$B$229=L$3,SUMIF('TL18'!$C$238:$C$451,$C324,'TL18'!$J$238:$J$451),0),
IF('TL19'!$B$3=L$3,SUMIF('TL19'!$C$10:$C$224,$C324,'TL19'!$J$10:$J$224),0),
IF('TL19'!$B$229=L$3,SUMIF('TL19'!$C$238:$C$451,$C324,'TL19'!$J$238:$J$451),0)
),0)</f>
        <v>0</v>
      </c>
      <c r="M324" s="9">
        <f>IFERROR(SUM(
IF('TL01'!$B$3=M$3,SUMIF('TL01'!$C$10:$C$224,$C324,'TL01'!$J$10:$J$224),0),
IF('TL01'!$B$229=M$3,SUMIF('TL01'!$C$238:$C$451,$C324,'TL01'!$J$238:$J$451),0),
IF('TL02'!$B$3=M$3,SUMIF('TL02'!$C$10:$C$224,$C324,'TL02'!$J$10:$J$224),0),
IF('TL02'!$B$229=M$3,SUMIF('TL02'!$C$238:$C$451,$C324,'TL02'!$J$238:$J$451),0),
IF('TL03'!$B$3=M$3,SUMIF('TL03'!$C$10:$C$224,$C324,'TL03'!$J$10:$J$224),0),
IF('TL03'!$B$229=M$3,SUMIF('TL03'!$C$238:$C$451,$C324,'TL03'!$J$238:$J$451),0),
IF('TL04'!$B$3=M$3,SUMIF('TL04'!$C$10:$C$224,$C324,'TL04'!$J$10:$J$224),0),
IF('TL04'!$B$229=M$3,SUMIF('TL04'!$C$238:$C$451,$C324,'TL04'!$J$238:$J$451),0),
IF('TL05'!$B$3=M$3,SUMIF('TL05'!$C$10:$C$224,$C324,'TL05'!$J$10:$J$224),0),
IF('TL05'!$B$229=M$3,SUMIF('TL05'!$C$238:$C$451,$C324,'TL05'!$J$238:$J$451),0),
IF('TL06'!$B$3=M$3,SUMIF('TL06'!$C$10:$C$224,$C324,'TL06'!$J$10:$J$224),0),
IF('TL06'!$B$229=M$3,SUMIF('TL06'!$C$238:$C$451,$C324,'TL06'!$J$238:$J$451),0),
IF('TL07'!$B$3=M$3,SUMIF('TL07'!$C$10:$C$224,$C324,'TL07'!$J$10:$J$224),0),
IF('TL07'!$B$229=M$3,SUMIF('TL07'!$C$238:$C$451,$C324,'TL07'!$J$238:$J$451),0),
IF('TL08'!$B$3=M$3,SUMIF('TL08'!$C$10:$C$224,$C324,'TL08'!$J$10:$J$224),0),
IF('TL08'!$B$229=M$3,SUMIF('TL08'!$C$238:$C$451,$C324,'TL08'!$J$238:$J$451),0),
IF('TL09'!$B$3=M$3,SUMIF('TL09'!$C$10:$C$224,$C324,'TL09'!$J$10:$J$224),0),
IF('TL09'!$B$229=M$3,SUMIF('TL09'!$C$238:$C$451,$C324,'TL09'!$J$238:$J$451),0),
IF('TL10'!$B$3=M$3,SUMIF('TL10'!$C$10:$C$224,$C324,'TL10'!$J$10:$J$224),0),
IF('TL10'!$B$229=M$3,SUMIF('TL10'!$C$238:$C$451,$C324,'TL10'!$J$238:$J$451),0),
IF('TL11'!$B$3=M$3,SUMIF('TL11'!$C$10:$C$224,$C324,'TL11'!$J$10:$J$224),0),
IF('TL11'!$B$229=M$3,SUMIF('TL11'!$C$238:$C$451,$C324,'TL11'!$J$238:$J$451),0),
IF('TL12'!$B$3=M$3,SUMIF('TL12'!$C$10:$C$224,$C324,'TL12'!$J$10:$J$224),0),
IF('TL12'!$B$229=M$3,SUMIF('TL12'!$C$238:$C$451,$C324,'TL12'!$J$238:$J$451),0),
IF('TL13'!$B$3=M$3,SUMIF('TL13'!$C$10:$C$224,$C324,'TL13'!$J$10:$J$224),0),
IF('TL13'!$B$229=M$3,SUMIF('TL13'!$C$238:$C$451,$C324,'TL13'!$J$238:$J$451),0),
IF('TL14'!$B$3=M$3,SUMIF('TL14'!$C$10:$C$224,$C324,'TL14'!$J$10:$J$224),0),
IF('TL14'!$B$229=M$3,SUMIF('TL14'!$C$238:$C$451,$C324,'TL14'!$J$238:$J$451),0),
IF('TL15'!$B$3=M$3,SUMIF('TL15'!$C$10:$C$224,$C324,'TL15'!$J$10:$J$224),0),
IF('TL15'!$B$229=M$3,SUMIF('TL15'!$C$238:$C$451,$C324,'TL15'!$J$238:$J$451),0),
IF('TL16'!$B$3=M$3,SUMIF('TL16'!$C$10:$C$224,$C324,'TL16'!$J$10:$J$224),0),
IF('TL16'!$B$229=M$3,SUMIF('TL16'!$C$238:$C$451,$C324,'TL16'!$J$238:$J$451),0),
IF('TL17'!$B$3=M$3,SUMIF('TL17'!$C$10:$C$224,$C324,'TL17'!$J$10:$J$224),0),
IF('TL17'!$B$229=M$3,SUMIF('TL17'!$C$238:$C$451,$C324,'TL17'!$J$238:$J$451),0),
IF('TL18'!$B$3=M$3,SUMIF('TL18'!$C$10:$C$224,$C324,'TL18'!$J$10:$J$224),0),
IF('TL18'!$B$229=M$3,SUMIF('TL18'!$C$238:$C$451,$C324,'TL18'!$J$238:$J$451),0),
IF('TL19'!$B$3=M$3,SUMIF('TL19'!$C$10:$C$224,$C324,'TL19'!$J$10:$J$224),0),
IF('TL19'!$B$229=M$3,SUMIF('TL19'!$C$238:$C$451,$C324,'TL19'!$J$238:$J$451),0)
),0)</f>
        <v>0</v>
      </c>
      <c r="N324" s="9">
        <f>IFERROR(SUM(
IF('TL01'!$B$3=N$3,SUMIF('TL01'!$C$10:$C$224,$C324,'TL01'!$J$10:$J$224),0),
IF('TL01'!$B$229=N$3,SUMIF('TL01'!$C$238:$C$451,$C324,'TL01'!$J$238:$J$451),0),
IF('TL02'!$B$3=N$3,SUMIF('TL02'!$C$10:$C$224,$C324,'TL02'!$J$10:$J$224),0),
IF('TL02'!$B$229=N$3,SUMIF('TL02'!$C$238:$C$451,$C324,'TL02'!$J$238:$J$451),0),
IF('TL03'!$B$3=N$3,SUMIF('TL03'!$C$10:$C$224,$C324,'TL03'!$J$10:$J$224),0),
IF('TL03'!$B$229=N$3,SUMIF('TL03'!$C$238:$C$451,$C324,'TL03'!$J$238:$J$451),0),
IF('TL04'!$B$3=N$3,SUMIF('TL04'!$C$10:$C$224,$C324,'TL04'!$J$10:$J$224),0),
IF('TL04'!$B$229=N$3,SUMIF('TL04'!$C$238:$C$451,$C324,'TL04'!$J$238:$J$451),0),
IF('TL05'!$B$3=N$3,SUMIF('TL05'!$C$10:$C$224,$C324,'TL05'!$J$10:$J$224),0),
IF('TL05'!$B$229=N$3,SUMIF('TL05'!$C$238:$C$451,$C324,'TL05'!$J$238:$J$451),0),
IF('TL06'!$B$3=N$3,SUMIF('TL06'!$C$10:$C$224,$C324,'TL06'!$J$10:$J$224),0),
IF('TL06'!$B$229=N$3,SUMIF('TL06'!$C$238:$C$451,$C324,'TL06'!$J$238:$J$451),0),
IF('TL07'!$B$3=N$3,SUMIF('TL07'!$C$10:$C$224,$C324,'TL07'!$J$10:$J$224),0),
IF('TL07'!$B$229=N$3,SUMIF('TL07'!$C$238:$C$451,$C324,'TL07'!$J$238:$J$451),0),
IF('TL08'!$B$3=N$3,SUMIF('TL08'!$C$10:$C$224,$C324,'TL08'!$J$10:$J$224),0),
IF('TL08'!$B$229=N$3,SUMIF('TL08'!$C$238:$C$451,$C324,'TL08'!$J$238:$J$451),0),
IF('TL09'!$B$3=N$3,SUMIF('TL09'!$C$10:$C$224,$C324,'TL09'!$J$10:$J$224),0),
IF('TL09'!$B$229=N$3,SUMIF('TL09'!$C$238:$C$451,$C324,'TL09'!$J$238:$J$451),0),
IF('TL10'!$B$3=N$3,SUMIF('TL10'!$C$10:$C$224,$C324,'TL10'!$J$10:$J$224),0),
IF('TL10'!$B$229=N$3,SUMIF('TL10'!$C$238:$C$451,$C324,'TL10'!$J$238:$J$451),0),
IF('TL11'!$B$3=N$3,SUMIF('TL11'!$C$10:$C$224,$C324,'TL11'!$J$10:$J$224),0),
IF('TL11'!$B$229=N$3,SUMIF('TL11'!$C$238:$C$451,$C324,'TL11'!$J$238:$J$451),0),
IF('TL12'!$B$3=N$3,SUMIF('TL12'!$C$10:$C$224,$C324,'TL12'!$J$10:$J$224),0),
IF('TL12'!$B$229=N$3,SUMIF('TL12'!$C$238:$C$451,$C324,'TL12'!$J$238:$J$451),0),
IF('TL13'!$B$3=N$3,SUMIF('TL13'!$C$10:$C$224,$C324,'TL13'!$J$10:$J$224),0),
IF('TL13'!$B$229=N$3,SUMIF('TL13'!$C$238:$C$451,$C324,'TL13'!$J$238:$J$451),0),
IF('TL14'!$B$3=N$3,SUMIF('TL14'!$C$10:$C$224,$C324,'TL14'!$J$10:$J$224),0),
IF('TL14'!$B$229=N$3,SUMIF('TL14'!$C$238:$C$451,$C324,'TL14'!$J$238:$J$451),0),
IF('TL15'!$B$3=N$3,SUMIF('TL15'!$C$10:$C$224,$C324,'TL15'!$J$10:$J$224),0),
IF('TL15'!$B$229=N$3,SUMIF('TL15'!$C$238:$C$451,$C324,'TL15'!$J$238:$J$451),0),
IF('TL16'!$B$3=N$3,SUMIF('TL16'!$C$10:$C$224,$C324,'TL16'!$J$10:$J$224),0),
IF('TL16'!$B$229=N$3,SUMIF('TL16'!$C$238:$C$451,$C324,'TL16'!$J$238:$J$451),0),
IF('TL17'!$B$3=N$3,SUMIF('TL17'!$C$10:$C$224,$C324,'TL17'!$J$10:$J$224),0),
IF('TL17'!$B$229=N$3,SUMIF('TL17'!$C$238:$C$451,$C324,'TL17'!$J$238:$J$451),0),
IF('TL18'!$B$3=N$3,SUMIF('TL18'!$C$10:$C$224,$C324,'TL18'!$J$10:$J$224),0),
IF('TL18'!$B$229=N$3,SUMIF('TL18'!$C$238:$C$451,$C324,'TL18'!$J$238:$J$451),0),
IF('TL19'!$B$3=N$3,SUMIF('TL19'!$C$10:$C$224,$C324,'TL19'!$J$10:$J$224),0),
IF('TL19'!$B$229=N$3,SUMIF('TL19'!$C$238:$C$451,$C324,'TL19'!$J$238:$J$451),0)
),0)</f>
        <v>0</v>
      </c>
      <c r="O324" s="9">
        <f>IFERROR(SUM(
IF('TL01'!$B$3=O$3,SUMIF('TL01'!$C$10:$C$224,$C324,'TL01'!$J$10:$J$224),0),
IF('TL01'!$B$229=O$3,SUMIF('TL01'!$C$238:$C$451,$C324,'TL01'!$J$238:$J$451),0),
IF('TL02'!$B$3=O$3,SUMIF('TL02'!$C$10:$C$224,$C324,'TL02'!$J$10:$J$224),0),
IF('TL02'!$B$229=O$3,SUMIF('TL02'!$C$238:$C$451,$C324,'TL02'!$J$238:$J$451),0),
IF('TL03'!$B$3=O$3,SUMIF('TL03'!$C$10:$C$224,$C324,'TL03'!$J$10:$J$224),0),
IF('TL03'!$B$229=O$3,SUMIF('TL03'!$C$238:$C$451,$C324,'TL03'!$J$238:$J$451),0),
IF('TL04'!$B$3=O$3,SUMIF('TL04'!$C$10:$C$224,$C324,'TL04'!$J$10:$J$224),0),
IF('TL04'!$B$229=O$3,SUMIF('TL04'!$C$238:$C$451,$C324,'TL04'!$J$238:$J$451),0),
IF('TL05'!$B$3=O$3,SUMIF('TL05'!$C$10:$C$224,$C324,'TL05'!$J$10:$J$224),0),
IF('TL05'!$B$229=O$3,SUMIF('TL05'!$C$238:$C$451,$C324,'TL05'!$J$238:$J$451),0),
IF('TL06'!$B$3=O$3,SUMIF('TL06'!$C$10:$C$224,$C324,'TL06'!$J$10:$J$224),0),
IF('TL06'!$B$229=O$3,SUMIF('TL06'!$C$238:$C$451,$C324,'TL06'!$J$238:$J$451),0),
IF('TL07'!$B$3=O$3,SUMIF('TL07'!$C$10:$C$224,$C324,'TL07'!$J$10:$J$224),0),
IF('TL07'!$B$229=O$3,SUMIF('TL07'!$C$238:$C$451,$C324,'TL07'!$J$238:$J$451),0),
IF('TL08'!$B$3=O$3,SUMIF('TL08'!$C$10:$C$224,$C324,'TL08'!$J$10:$J$224),0),
IF('TL08'!$B$229=O$3,SUMIF('TL08'!$C$238:$C$451,$C324,'TL08'!$J$238:$J$451),0),
IF('TL09'!$B$3=O$3,SUMIF('TL09'!$C$10:$C$224,$C324,'TL09'!$J$10:$J$224),0),
IF('TL09'!$B$229=O$3,SUMIF('TL09'!$C$238:$C$451,$C324,'TL09'!$J$238:$J$451),0),
IF('TL10'!$B$3=O$3,SUMIF('TL10'!$C$10:$C$224,$C324,'TL10'!$J$10:$J$224),0),
IF('TL10'!$B$229=O$3,SUMIF('TL10'!$C$238:$C$451,$C324,'TL10'!$J$238:$J$451),0),
IF('TL11'!$B$3=O$3,SUMIF('TL11'!$C$10:$C$224,$C324,'TL11'!$J$10:$J$224),0),
IF('TL11'!$B$229=O$3,SUMIF('TL11'!$C$238:$C$451,$C324,'TL11'!$J$238:$J$451),0),
IF('TL12'!$B$3=O$3,SUMIF('TL12'!$C$10:$C$224,$C324,'TL12'!$J$10:$J$224),0),
IF('TL12'!$B$229=O$3,SUMIF('TL12'!$C$238:$C$451,$C324,'TL12'!$J$238:$J$451),0),
IF('TL13'!$B$3=O$3,SUMIF('TL13'!$C$10:$C$224,$C324,'TL13'!$J$10:$J$224),0),
IF('TL13'!$B$229=O$3,SUMIF('TL13'!$C$238:$C$451,$C324,'TL13'!$J$238:$J$451),0),
IF('TL14'!$B$3=O$3,SUMIF('TL14'!$C$10:$C$224,$C324,'TL14'!$J$10:$J$224),0),
IF('TL14'!$B$229=O$3,SUMIF('TL14'!$C$238:$C$451,$C324,'TL14'!$J$238:$J$451),0),
IF('TL15'!$B$3=O$3,SUMIF('TL15'!$C$10:$C$224,$C324,'TL15'!$J$10:$J$224),0),
IF('TL15'!$B$229=O$3,SUMIF('TL15'!$C$238:$C$451,$C324,'TL15'!$J$238:$J$451),0),
IF('TL16'!$B$3=O$3,SUMIF('TL16'!$C$10:$C$224,$C324,'TL16'!$J$10:$J$224),0),
IF('TL16'!$B$229=O$3,SUMIF('TL16'!$C$238:$C$451,$C324,'TL16'!$J$238:$J$451),0),
IF('TL17'!$B$3=O$3,SUMIF('TL17'!$C$10:$C$224,$C324,'TL17'!$J$10:$J$224),0),
IF('TL17'!$B$229=O$3,SUMIF('TL17'!$C$238:$C$451,$C324,'TL17'!$J$238:$J$451),0),
IF('TL18'!$B$3=O$3,SUMIF('TL18'!$C$10:$C$224,$C324,'TL18'!$J$10:$J$224),0),
IF('TL18'!$B$229=O$3,SUMIF('TL18'!$C$238:$C$451,$C324,'TL18'!$J$238:$J$451),0),
IF('TL19'!$B$3=O$3,SUMIF('TL19'!$C$10:$C$224,$C324,'TL19'!$J$10:$J$224),0),
IF('TL19'!$B$229=O$3,SUMIF('TL19'!$C$238:$C$451,$C324,'TL19'!$J$238:$J$451),0)
),0)</f>
        <v>0</v>
      </c>
      <c r="P324" s="9">
        <f>IFERROR(SUM(
IF('TL01'!$B$3=P$3,SUMIF('TL01'!$C$10:$C$224,$C324,'TL01'!$J$10:$J$224),0),
IF('TL01'!$B$229=P$3,SUMIF('TL01'!$C$238:$C$451,$C324,'TL01'!$J$238:$J$451),0),
IF('TL02'!$B$3=P$3,SUMIF('TL02'!$C$10:$C$224,$C324,'TL02'!$J$10:$J$224),0),
IF('TL02'!$B$229=P$3,SUMIF('TL02'!$C$238:$C$451,$C324,'TL02'!$J$238:$J$451),0),
IF('TL03'!$B$3=P$3,SUMIF('TL03'!$C$10:$C$224,$C324,'TL03'!$J$10:$J$224),0),
IF('TL03'!$B$229=P$3,SUMIF('TL03'!$C$238:$C$451,$C324,'TL03'!$J$238:$J$451),0),
IF('TL04'!$B$3=P$3,SUMIF('TL04'!$C$10:$C$224,$C324,'TL04'!$J$10:$J$224),0),
IF('TL04'!$B$229=P$3,SUMIF('TL04'!$C$238:$C$451,$C324,'TL04'!$J$238:$J$451),0),
IF('TL05'!$B$3=P$3,SUMIF('TL05'!$C$10:$C$224,$C324,'TL05'!$J$10:$J$224),0),
IF('TL05'!$B$229=P$3,SUMIF('TL05'!$C$238:$C$451,$C324,'TL05'!$J$238:$J$451),0),
IF('TL06'!$B$3=P$3,SUMIF('TL06'!$C$10:$C$224,$C324,'TL06'!$J$10:$J$224),0),
IF('TL06'!$B$229=P$3,SUMIF('TL06'!$C$238:$C$451,$C324,'TL06'!$J$238:$J$451),0),
IF('TL07'!$B$3=P$3,SUMIF('TL07'!$C$10:$C$224,$C324,'TL07'!$J$10:$J$224),0),
IF('TL07'!$B$229=P$3,SUMIF('TL07'!$C$238:$C$451,$C324,'TL07'!$J$238:$J$451),0),
IF('TL08'!$B$3=P$3,SUMIF('TL08'!$C$10:$C$224,$C324,'TL08'!$J$10:$J$224),0),
IF('TL08'!$B$229=P$3,SUMIF('TL08'!$C$238:$C$451,$C324,'TL08'!$J$238:$J$451),0),
IF('TL09'!$B$3=P$3,SUMIF('TL09'!$C$10:$C$224,$C324,'TL09'!$J$10:$J$224),0),
IF('TL09'!$B$229=P$3,SUMIF('TL09'!$C$238:$C$451,$C324,'TL09'!$J$238:$J$451),0),
IF('TL10'!$B$3=P$3,SUMIF('TL10'!$C$10:$C$224,$C324,'TL10'!$J$10:$J$224),0),
IF('TL10'!$B$229=P$3,SUMIF('TL10'!$C$238:$C$451,$C324,'TL10'!$J$238:$J$451),0),
IF('TL11'!$B$3=P$3,SUMIF('TL11'!$C$10:$C$224,$C324,'TL11'!$J$10:$J$224),0),
IF('TL11'!$B$229=P$3,SUMIF('TL11'!$C$238:$C$451,$C324,'TL11'!$J$238:$J$451),0),
IF('TL12'!$B$3=P$3,SUMIF('TL12'!$C$10:$C$224,$C324,'TL12'!$J$10:$J$224),0),
IF('TL12'!$B$229=P$3,SUMIF('TL12'!$C$238:$C$451,$C324,'TL12'!$J$238:$J$451),0),
IF('TL13'!$B$3=P$3,SUMIF('TL13'!$C$10:$C$224,$C324,'TL13'!$J$10:$J$224),0),
IF('TL13'!$B$229=P$3,SUMIF('TL13'!$C$238:$C$451,$C324,'TL13'!$J$238:$J$451),0),
IF('TL14'!$B$3=P$3,SUMIF('TL14'!$C$10:$C$224,$C324,'TL14'!$J$10:$J$224),0),
IF('TL14'!$B$229=P$3,SUMIF('TL14'!$C$238:$C$451,$C324,'TL14'!$J$238:$J$451),0),
IF('TL15'!$B$3=P$3,SUMIF('TL15'!$C$10:$C$224,$C324,'TL15'!$J$10:$J$224),0),
IF('TL15'!$B$229=P$3,SUMIF('TL15'!$C$238:$C$451,$C324,'TL15'!$J$238:$J$451),0),
IF('TL16'!$B$3=P$3,SUMIF('TL16'!$C$10:$C$224,$C324,'TL16'!$J$10:$J$224),0),
IF('TL16'!$B$229=P$3,SUMIF('TL16'!$C$238:$C$451,$C324,'TL16'!$J$238:$J$451),0),
IF('TL17'!$B$3=P$3,SUMIF('TL17'!$C$10:$C$224,$C324,'TL17'!$J$10:$J$224),0),
IF('TL17'!$B$229=P$3,SUMIF('TL17'!$C$238:$C$451,$C324,'TL17'!$J$238:$J$451),0),
IF('TL18'!$B$3=P$3,SUMIF('TL18'!$C$10:$C$224,$C324,'TL18'!$J$10:$J$224),0),
IF('TL18'!$B$229=P$3,SUMIF('TL18'!$C$238:$C$451,$C324,'TL18'!$J$238:$J$451),0),
IF('TL19'!$B$3=P$3,SUMIF('TL19'!$C$10:$C$224,$C324,'TL19'!$J$10:$J$224),0),
IF('TL19'!$B$229=P$3,SUMIF('TL19'!$C$238:$C$451,$C324,'TL19'!$J$238:$J$451),0)
),0)</f>
        <v>0</v>
      </c>
      <c r="Q324" s="9">
        <f>IFERROR(SUM(
IF('TL01'!$B$3=Q$3,SUMIF('TL01'!$C$10:$C$224,$C324,'TL01'!$J$10:$J$224),0),
IF('TL01'!$B$229=Q$3,SUMIF('TL01'!$C$238:$C$451,$C324,'TL01'!$J$238:$J$451),0),
IF('TL02'!$B$3=Q$3,SUMIF('TL02'!$C$10:$C$224,$C324,'TL02'!$J$10:$J$224),0),
IF('TL02'!$B$229=Q$3,SUMIF('TL02'!$C$238:$C$451,$C324,'TL02'!$J$238:$J$451),0),
IF('TL03'!$B$3=Q$3,SUMIF('TL03'!$C$10:$C$224,$C324,'TL03'!$J$10:$J$224),0),
IF('TL03'!$B$229=Q$3,SUMIF('TL03'!$C$238:$C$451,$C324,'TL03'!$J$238:$J$451),0),
IF('TL04'!$B$3=Q$3,SUMIF('TL04'!$C$10:$C$224,$C324,'TL04'!$J$10:$J$224),0),
IF('TL04'!$B$229=Q$3,SUMIF('TL04'!$C$238:$C$451,$C324,'TL04'!$J$238:$J$451),0),
IF('TL05'!$B$3=Q$3,SUMIF('TL05'!$C$10:$C$224,$C324,'TL05'!$J$10:$J$224),0),
IF('TL05'!$B$229=Q$3,SUMIF('TL05'!$C$238:$C$451,$C324,'TL05'!$J$238:$J$451),0),
IF('TL06'!$B$3=Q$3,SUMIF('TL06'!$C$10:$C$224,$C324,'TL06'!$J$10:$J$224),0),
IF('TL06'!$B$229=Q$3,SUMIF('TL06'!$C$238:$C$451,$C324,'TL06'!$J$238:$J$451),0),
IF('TL07'!$B$3=Q$3,SUMIF('TL07'!$C$10:$C$224,$C324,'TL07'!$J$10:$J$224),0),
IF('TL07'!$B$229=Q$3,SUMIF('TL07'!$C$238:$C$451,$C324,'TL07'!$J$238:$J$451),0),
IF('TL08'!$B$3=Q$3,SUMIF('TL08'!$C$10:$C$224,$C324,'TL08'!$J$10:$J$224),0),
IF('TL08'!$B$229=Q$3,SUMIF('TL08'!$C$238:$C$451,$C324,'TL08'!$J$238:$J$451),0),
IF('TL09'!$B$3=Q$3,SUMIF('TL09'!$C$10:$C$224,$C324,'TL09'!$J$10:$J$224),0),
IF('TL09'!$B$229=Q$3,SUMIF('TL09'!$C$238:$C$451,$C324,'TL09'!$J$238:$J$451),0),
IF('TL10'!$B$3=Q$3,SUMIF('TL10'!$C$10:$C$224,$C324,'TL10'!$J$10:$J$224),0),
IF('TL10'!$B$229=Q$3,SUMIF('TL10'!$C$238:$C$451,$C324,'TL10'!$J$238:$J$451),0),
IF('TL11'!$B$3=Q$3,SUMIF('TL11'!$C$10:$C$224,$C324,'TL11'!$J$10:$J$224),0),
IF('TL11'!$B$229=Q$3,SUMIF('TL11'!$C$238:$C$451,$C324,'TL11'!$J$238:$J$451),0),
IF('TL12'!$B$3=Q$3,SUMIF('TL12'!$C$10:$C$224,$C324,'TL12'!$J$10:$J$224),0),
IF('TL12'!$B$229=Q$3,SUMIF('TL12'!$C$238:$C$451,$C324,'TL12'!$J$238:$J$451),0),
IF('TL13'!$B$3=Q$3,SUMIF('TL13'!$C$10:$C$224,$C324,'TL13'!$J$10:$J$224),0),
IF('TL13'!$B$229=Q$3,SUMIF('TL13'!$C$238:$C$451,$C324,'TL13'!$J$238:$J$451),0),
IF('TL14'!$B$3=Q$3,SUMIF('TL14'!$C$10:$C$224,$C324,'TL14'!$J$10:$J$224),0),
IF('TL14'!$B$229=Q$3,SUMIF('TL14'!$C$238:$C$451,$C324,'TL14'!$J$238:$J$451),0),
IF('TL15'!$B$3=Q$3,SUMIF('TL15'!$C$10:$C$224,$C324,'TL15'!$J$10:$J$224),0),
IF('TL15'!$B$229=Q$3,SUMIF('TL15'!$C$238:$C$451,$C324,'TL15'!$J$238:$J$451),0),
IF('TL16'!$B$3=Q$3,SUMIF('TL16'!$C$10:$C$224,$C324,'TL16'!$J$10:$J$224),0),
IF('TL16'!$B$229=Q$3,SUMIF('TL16'!$C$238:$C$451,$C324,'TL16'!$J$238:$J$451),0),
IF('TL17'!$B$3=Q$3,SUMIF('TL17'!$C$10:$C$224,$C324,'TL17'!$J$10:$J$224),0),
IF('TL17'!$B$229=Q$3,SUMIF('TL17'!$C$238:$C$451,$C324,'TL17'!$J$238:$J$451),0),
IF('TL18'!$B$3=Q$3,SUMIF('TL18'!$C$10:$C$224,$C324,'TL18'!$J$10:$J$224),0),
IF('TL18'!$B$229=Q$3,SUMIF('TL18'!$C$238:$C$451,$C324,'TL18'!$J$238:$J$451),0),
IF('TL19'!$B$3=Q$3,SUMIF('TL19'!$C$10:$C$224,$C324,'TL19'!$J$10:$J$224),0),
IF('TL19'!$B$229=Q$3,SUMIF('TL19'!$C$238:$C$451,$C324,'TL19'!$J$238:$J$451),0)
),0)</f>
        <v>0</v>
      </c>
      <c r="R324" s="9">
        <f>IFERROR(
SUM(
SUMIF('TL01'!C:C,C324,'TL01'!J:J),
SUMIF('TL02'!C:C,C324,'TL02'!J:J),
SUMIF('TL03'!C:C,C324,'TL03'!J:J),
SUMIF('TL04'!C:C,C324,'TL04'!J:J),
SUMIF('TL05'!C:C,C324,'TL05'!J:J),
SUMIF('TL06'!C:C,C324,'TL06'!J:J),
SUMIF('TL07'!C:C,C324,'TL07'!J:J),
SUMIF('TL08'!C:C,C324,'TL08'!J:J),
SUMIF('TL09'!C:C,C324,'TL09'!J:J),
SUMIF('TL10'!C:C,C324,'TL10'!J:J),
SUMIF('TL11'!C:C,C324,'TL11'!J:J),
SUMIF('TL12'!C:C,C324,'TL12'!J:J),
SUMIF('TL13'!C:C,C324,'TL13'!J:J),
SUMIF('TL14'!C:C,C324,'TL14'!J:J),
SUMIF('TL15'!C:C,C324,'TL15'!J:J),
SUMIF('TL16'!C:C,C324,'TL16'!J:J),
SUMIF('TL17'!C:C,C324,'TL17'!J:J),
SUMIF('TL18'!C:C,C324,'TL18'!J:J),SUMIF('TL19'!C:C,C324,'TL19'!J:J))
,0)</f>
        <v>0</v>
      </c>
      <c r="S324" s="17" t="str">
        <f>IFERROR(__xludf.DUMMYFUNCTION("IFERROR(VLOOKUP(C324,
IMPORTRANGE(""1wULbzX32WdYsx-lj2U3uUNBBe2INVIRDtcK0d-Dvl90"",
""26-27!C:G""),
5,
FALSE),
"""")"),"")</f>
        <v/>
      </c>
      <c r="T324" s="9"/>
      <c r="U324" s="92">
        <f t="shared" si="2"/>
        <v>0</v>
      </c>
      <c r="V324" s="93">
        <f t="shared" si="3"/>
        <v>0</v>
      </c>
    </row>
    <row r="325" ht="15.75" hidden="1" customHeight="1">
      <c r="A325" s="4"/>
      <c r="B325" s="125" t="s">
        <v>5</v>
      </c>
      <c r="C325" s="4" t="s">
        <v>1051</v>
      </c>
      <c r="D325" s="6"/>
      <c r="E325" s="9"/>
      <c r="F325" s="4" t="s">
        <v>1042</v>
      </c>
      <c r="G325" s="90" t="str">
        <f t="shared" si="5"/>
        <v>📄 Ver bula</v>
      </c>
      <c r="H325" s="9"/>
      <c r="I325" s="1"/>
      <c r="J325" s="9">
        <f>IFERROR(SUM(
IF('TL01'!$B$3=J$3,SUMIF('TL01'!$C$10:$C$224,$C325,'TL01'!$J$10:$J$224),0),
IF('TL01'!$B$229=J$3,SUMIF('TL01'!$C$238:$C$451,$C325,'TL01'!$J$238:$J$451),0),
IF('TL02'!$B$3=J$3,SUMIF('TL02'!$C$10:$C$224,$C325,'TL02'!$J$10:$J$224),0),
IF('TL02'!$B$229=J$3,SUMIF('TL02'!$C$238:$C$451,$C325,'TL02'!$J$238:$J$451),0),
IF('TL03'!$B$3=J$3,SUMIF('TL03'!$C$10:$C$224,$C325,'TL03'!$J$10:$J$224),0),
IF('TL03'!$B$229=J$3,SUMIF('TL03'!$C$238:$C$451,$C325,'TL03'!$J$238:$J$451),0),
IF('TL04'!$B$3=J$3,SUMIF('TL04'!$C$10:$C$224,$C325,'TL04'!$J$10:$J$224),0),
IF('TL04'!$B$229=J$3,SUMIF('TL04'!$C$238:$C$451,$C325,'TL04'!$J$238:$J$451),0),
IF('TL05'!$B$3=J$3,SUMIF('TL05'!$C$10:$C$224,$C325,'TL05'!$J$10:$J$224),0),
IF('TL05'!$B$229=J$3,SUMIF('TL05'!$C$238:$C$451,$C325,'TL05'!$J$238:$J$451),0),
IF('TL06'!$B$3=J$3,SUMIF('TL06'!$C$10:$C$224,$C325,'TL06'!$J$10:$J$224),0),
IF('TL06'!$B$229=J$3,SUMIF('TL06'!$C$238:$C$451,$C325,'TL06'!$J$238:$J$451),0),
IF('TL07'!$B$3=J$3,SUMIF('TL07'!$C$10:$C$224,$C325,'TL07'!$J$10:$J$224),0),
IF('TL07'!$B$229=J$3,SUMIF('TL07'!$C$238:$C$451,$C325,'TL07'!$J$238:$J$451),0),
IF('TL08'!$B$3=J$3,SUMIF('TL08'!$C$10:$C$224,$C325,'TL08'!$J$10:$J$224),0),
IF('TL08'!$B$229=J$3,SUMIF('TL08'!$C$238:$C$451,$C325,'TL08'!$J$238:$J$451),0),
IF('TL09'!$B$3=J$3,SUMIF('TL09'!$C$10:$C$224,$C325,'TL09'!$J$10:$J$224),0),
IF('TL09'!$B$229=J$3,SUMIF('TL09'!$C$238:$C$451,$C325,'TL09'!$J$238:$J$451),0),
IF('TL10'!$B$3=J$3,SUMIF('TL10'!$C$10:$C$224,$C325,'TL10'!$J$10:$J$224),0),
IF('TL10'!$B$229=J$3,SUMIF('TL10'!$C$238:$C$451,$C325,'TL10'!$J$238:$J$451),0),
IF('TL11'!$B$3=J$3,SUMIF('TL11'!$C$10:$C$224,$C325,'TL11'!$J$10:$J$224),0),
IF('TL11'!$B$229=J$3,SUMIF('TL11'!$C$238:$C$451,$C325,'TL11'!$J$238:$J$451),0),
IF('TL12'!$B$3=J$3,SUMIF('TL12'!$C$10:$C$224,$C325,'TL12'!$J$10:$J$224),0),
IF('TL12'!$B$229=J$3,SUMIF('TL12'!$C$238:$C$451,$C325,'TL12'!$J$238:$J$451),0),
IF('TL13'!$B$3=J$3,SUMIF('TL13'!$C$10:$C$224,$C325,'TL13'!$J$10:$J$224),0),
IF('TL13'!$B$229=J$3,SUMIF('TL13'!$C$238:$C$451,$C325,'TL13'!$J$238:$J$451),0),
IF('TL14'!$B$3=J$3,SUMIF('TL14'!$C$10:$C$224,$C325,'TL14'!$J$10:$J$224),0),
IF('TL14'!$B$229=J$3,SUMIF('TL14'!$C$238:$C$451,$C325,'TL14'!$J$238:$J$451),0),
IF('TL15'!$B$3=J$3,SUMIF('TL15'!$C$10:$C$224,$C325,'TL15'!$J$10:$J$224),0),
IF('TL15'!$B$229=J$3,SUMIF('TL15'!$C$238:$C$451,$C325,'TL15'!$J$238:$J$451),0),
IF('TL16'!$B$3=J$3,SUMIF('TL16'!$C$10:$C$224,$C325,'TL16'!$J$10:$J$224),0),
IF('TL16'!$B$229=J$3,SUMIF('TL16'!$C$238:$C$451,$C325,'TL16'!$J$238:$J$451),0),
IF('TL17'!$B$3=J$3,SUMIF('TL17'!$C$10:$C$224,$C325,'TL17'!$J$10:$J$224),0),
IF('TL17'!$B$229=J$3,SUMIF('TL17'!$C$238:$C$451,$C325,'TL17'!$J$238:$J$451),0),
IF('TL18'!$B$3=J$3,SUMIF('TL18'!$C$10:$C$224,$C325,'TL18'!$J$10:$J$224),0),
IF('TL18'!$B$229=J$3,SUMIF('TL18'!$C$238:$C$451,$C325,'TL18'!$J$238:$J$451),0),
IF('TL19'!$B$3=J$3,SUMIF('TL19'!$C$10:$C$224,$C325,'TL19'!$J$10:$J$224),0),
IF('TL19'!$B$229=J$3,SUMIF('TL19'!$C$238:$C$451,$C325,'TL19'!$J$238:$J$451),0)
),0)</f>
        <v>0</v>
      </c>
      <c r="K325" s="9">
        <f>IFERROR(SUM(
IF('TL01'!$B$3=K$3,SUMIF('TL01'!$C$10:$C$224,$C325,'TL01'!$J$10:$J$224),0),
IF('TL01'!$B$229=K$3,SUMIF('TL01'!$C$238:$C$451,$C325,'TL01'!$J$238:$J$451),0),
IF('TL02'!$B$3=K$3,SUMIF('TL02'!$C$10:$C$224,$C325,'TL02'!$J$10:$J$224),0),
IF('TL02'!$B$229=K$3,SUMIF('TL02'!$C$238:$C$451,$C325,'TL02'!$J$238:$J$451),0),
IF('TL03'!$B$3=K$3,SUMIF('TL03'!$C$10:$C$224,$C325,'TL03'!$J$10:$J$224),0),
IF('TL03'!$B$229=K$3,SUMIF('TL03'!$C$238:$C$451,$C325,'TL03'!$J$238:$J$451),0),
IF('TL04'!$B$3=K$3,SUMIF('TL04'!$C$10:$C$224,$C325,'TL04'!$J$10:$J$224),0),
IF('TL04'!$B$229=K$3,SUMIF('TL04'!$C$238:$C$451,$C325,'TL04'!$J$238:$J$451),0),
IF('TL05'!$B$3=K$3,SUMIF('TL05'!$C$10:$C$224,$C325,'TL05'!$J$10:$J$224),0),
IF('TL05'!$B$229=K$3,SUMIF('TL05'!$C$238:$C$451,$C325,'TL05'!$J$238:$J$451),0),
IF('TL06'!$B$3=K$3,SUMIF('TL06'!$C$10:$C$224,$C325,'TL06'!$J$10:$J$224),0),
IF('TL06'!$B$229=K$3,SUMIF('TL06'!$C$238:$C$451,$C325,'TL06'!$J$238:$J$451),0),
IF('TL07'!$B$3=K$3,SUMIF('TL07'!$C$10:$C$224,$C325,'TL07'!$J$10:$J$224),0),
IF('TL07'!$B$229=K$3,SUMIF('TL07'!$C$238:$C$451,$C325,'TL07'!$J$238:$J$451),0),
IF('TL08'!$B$3=K$3,SUMIF('TL08'!$C$10:$C$224,$C325,'TL08'!$J$10:$J$224),0),
IF('TL08'!$B$229=K$3,SUMIF('TL08'!$C$238:$C$451,$C325,'TL08'!$J$238:$J$451),0),
IF('TL09'!$B$3=K$3,SUMIF('TL09'!$C$10:$C$224,$C325,'TL09'!$J$10:$J$224),0),
IF('TL09'!$B$229=K$3,SUMIF('TL09'!$C$238:$C$451,$C325,'TL09'!$J$238:$J$451),0),
IF('TL10'!$B$3=K$3,SUMIF('TL10'!$C$10:$C$224,$C325,'TL10'!$J$10:$J$224),0),
IF('TL10'!$B$229=K$3,SUMIF('TL10'!$C$238:$C$451,$C325,'TL10'!$J$238:$J$451),0),
IF('TL11'!$B$3=K$3,SUMIF('TL11'!$C$10:$C$224,$C325,'TL11'!$J$10:$J$224),0),
IF('TL11'!$B$229=K$3,SUMIF('TL11'!$C$238:$C$451,$C325,'TL11'!$J$238:$J$451),0),
IF('TL12'!$B$3=K$3,SUMIF('TL12'!$C$10:$C$224,$C325,'TL12'!$J$10:$J$224),0),
IF('TL12'!$B$229=K$3,SUMIF('TL12'!$C$238:$C$451,$C325,'TL12'!$J$238:$J$451),0),
IF('TL13'!$B$3=K$3,SUMIF('TL13'!$C$10:$C$224,$C325,'TL13'!$J$10:$J$224),0),
IF('TL13'!$B$229=K$3,SUMIF('TL13'!$C$238:$C$451,$C325,'TL13'!$J$238:$J$451),0),
IF('TL14'!$B$3=K$3,SUMIF('TL14'!$C$10:$C$224,$C325,'TL14'!$J$10:$J$224),0),
IF('TL14'!$B$229=K$3,SUMIF('TL14'!$C$238:$C$451,$C325,'TL14'!$J$238:$J$451),0),
IF('TL15'!$B$3=K$3,SUMIF('TL15'!$C$10:$C$224,$C325,'TL15'!$J$10:$J$224),0),
IF('TL15'!$B$229=K$3,SUMIF('TL15'!$C$238:$C$451,$C325,'TL15'!$J$238:$J$451),0),
IF('TL16'!$B$3=K$3,SUMIF('TL16'!$C$10:$C$224,$C325,'TL16'!$J$10:$J$224),0),
IF('TL16'!$B$229=K$3,SUMIF('TL16'!$C$238:$C$451,$C325,'TL16'!$J$238:$J$451),0),
IF('TL17'!$B$3=K$3,SUMIF('TL17'!$C$10:$C$224,$C325,'TL17'!$J$10:$J$224),0),
IF('TL17'!$B$229=K$3,SUMIF('TL17'!$C$238:$C$451,$C325,'TL17'!$J$238:$J$451),0),
IF('TL18'!$B$3=K$3,SUMIF('TL18'!$C$10:$C$224,$C325,'TL18'!$J$10:$J$224),0),
IF('TL18'!$B$229=K$3,SUMIF('TL18'!$C$238:$C$451,$C325,'TL18'!$J$238:$J$451),0),
IF('TL19'!$B$3=K$3,SUMIF('TL19'!$C$10:$C$224,$C325,'TL19'!$J$10:$J$224),0),
IF('TL19'!$B$229=K$3,SUMIF('TL19'!$C$238:$C$451,$C325,'TL19'!$J$238:$J$451),0)
),0)</f>
        <v>0</v>
      </c>
      <c r="L325" s="9">
        <f>IFERROR(SUM(
IF('TL01'!$B$3=L$3,SUMIF('TL01'!$C$10:$C$224,$C325,'TL01'!$J$10:$J$224),0),
IF('TL01'!$B$229=L$3,SUMIF('TL01'!$C$238:$C$451,$C325,'TL01'!$J$238:$J$451),0),
IF('TL02'!$B$3=L$3,SUMIF('TL02'!$C$10:$C$224,$C325,'TL02'!$J$10:$J$224),0),
IF('TL02'!$B$229=L$3,SUMIF('TL02'!$C$238:$C$451,$C325,'TL02'!$J$238:$J$451),0),
IF('TL03'!$B$3=L$3,SUMIF('TL03'!$C$10:$C$224,$C325,'TL03'!$J$10:$J$224),0),
IF('TL03'!$B$229=L$3,SUMIF('TL03'!$C$238:$C$451,$C325,'TL03'!$J$238:$J$451),0),
IF('TL04'!$B$3=L$3,SUMIF('TL04'!$C$10:$C$224,$C325,'TL04'!$J$10:$J$224),0),
IF('TL04'!$B$229=L$3,SUMIF('TL04'!$C$238:$C$451,$C325,'TL04'!$J$238:$J$451),0),
IF('TL05'!$B$3=L$3,SUMIF('TL05'!$C$10:$C$224,$C325,'TL05'!$J$10:$J$224),0),
IF('TL05'!$B$229=L$3,SUMIF('TL05'!$C$238:$C$451,$C325,'TL05'!$J$238:$J$451),0),
IF('TL06'!$B$3=L$3,SUMIF('TL06'!$C$10:$C$224,$C325,'TL06'!$J$10:$J$224),0),
IF('TL06'!$B$229=L$3,SUMIF('TL06'!$C$238:$C$451,$C325,'TL06'!$J$238:$J$451),0),
IF('TL07'!$B$3=L$3,SUMIF('TL07'!$C$10:$C$224,$C325,'TL07'!$J$10:$J$224),0),
IF('TL07'!$B$229=L$3,SUMIF('TL07'!$C$238:$C$451,$C325,'TL07'!$J$238:$J$451),0),
IF('TL08'!$B$3=L$3,SUMIF('TL08'!$C$10:$C$224,$C325,'TL08'!$J$10:$J$224),0),
IF('TL08'!$B$229=L$3,SUMIF('TL08'!$C$238:$C$451,$C325,'TL08'!$J$238:$J$451),0),
IF('TL09'!$B$3=L$3,SUMIF('TL09'!$C$10:$C$224,$C325,'TL09'!$J$10:$J$224),0),
IF('TL09'!$B$229=L$3,SUMIF('TL09'!$C$238:$C$451,$C325,'TL09'!$J$238:$J$451),0),
IF('TL10'!$B$3=L$3,SUMIF('TL10'!$C$10:$C$224,$C325,'TL10'!$J$10:$J$224),0),
IF('TL10'!$B$229=L$3,SUMIF('TL10'!$C$238:$C$451,$C325,'TL10'!$J$238:$J$451),0),
IF('TL11'!$B$3=L$3,SUMIF('TL11'!$C$10:$C$224,$C325,'TL11'!$J$10:$J$224),0),
IF('TL11'!$B$229=L$3,SUMIF('TL11'!$C$238:$C$451,$C325,'TL11'!$J$238:$J$451),0),
IF('TL12'!$B$3=L$3,SUMIF('TL12'!$C$10:$C$224,$C325,'TL12'!$J$10:$J$224),0),
IF('TL12'!$B$229=L$3,SUMIF('TL12'!$C$238:$C$451,$C325,'TL12'!$J$238:$J$451),0),
IF('TL13'!$B$3=L$3,SUMIF('TL13'!$C$10:$C$224,$C325,'TL13'!$J$10:$J$224),0),
IF('TL13'!$B$229=L$3,SUMIF('TL13'!$C$238:$C$451,$C325,'TL13'!$J$238:$J$451),0),
IF('TL14'!$B$3=L$3,SUMIF('TL14'!$C$10:$C$224,$C325,'TL14'!$J$10:$J$224),0),
IF('TL14'!$B$229=L$3,SUMIF('TL14'!$C$238:$C$451,$C325,'TL14'!$J$238:$J$451),0),
IF('TL15'!$B$3=L$3,SUMIF('TL15'!$C$10:$C$224,$C325,'TL15'!$J$10:$J$224),0),
IF('TL15'!$B$229=L$3,SUMIF('TL15'!$C$238:$C$451,$C325,'TL15'!$J$238:$J$451),0),
IF('TL16'!$B$3=L$3,SUMIF('TL16'!$C$10:$C$224,$C325,'TL16'!$J$10:$J$224),0),
IF('TL16'!$B$229=L$3,SUMIF('TL16'!$C$238:$C$451,$C325,'TL16'!$J$238:$J$451),0),
IF('TL17'!$B$3=L$3,SUMIF('TL17'!$C$10:$C$224,$C325,'TL17'!$J$10:$J$224),0),
IF('TL17'!$B$229=L$3,SUMIF('TL17'!$C$238:$C$451,$C325,'TL17'!$J$238:$J$451),0),
IF('TL18'!$B$3=L$3,SUMIF('TL18'!$C$10:$C$224,$C325,'TL18'!$J$10:$J$224),0),
IF('TL18'!$B$229=L$3,SUMIF('TL18'!$C$238:$C$451,$C325,'TL18'!$J$238:$J$451),0),
IF('TL19'!$B$3=L$3,SUMIF('TL19'!$C$10:$C$224,$C325,'TL19'!$J$10:$J$224),0),
IF('TL19'!$B$229=L$3,SUMIF('TL19'!$C$238:$C$451,$C325,'TL19'!$J$238:$J$451),0)
),0)</f>
        <v>0</v>
      </c>
      <c r="M325" s="9">
        <f>IFERROR(SUM(
IF('TL01'!$B$3=M$3,SUMIF('TL01'!$C$10:$C$224,$C325,'TL01'!$J$10:$J$224),0),
IF('TL01'!$B$229=M$3,SUMIF('TL01'!$C$238:$C$451,$C325,'TL01'!$J$238:$J$451),0),
IF('TL02'!$B$3=M$3,SUMIF('TL02'!$C$10:$C$224,$C325,'TL02'!$J$10:$J$224),0),
IF('TL02'!$B$229=M$3,SUMIF('TL02'!$C$238:$C$451,$C325,'TL02'!$J$238:$J$451),0),
IF('TL03'!$B$3=M$3,SUMIF('TL03'!$C$10:$C$224,$C325,'TL03'!$J$10:$J$224),0),
IF('TL03'!$B$229=M$3,SUMIF('TL03'!$C$238:$C$451,$C325,'TL03'!$J$238:$J$451),0),
IF('TL04'!$B$3=M$3,SUMIF('TL04'!$C$10:$C$224,$C325,'TL04'!$J$10:$J$224),0),
IF('TL04'!$B$229=M$3,SUMIF('TL04'!$C$238:$C$451,$C325,'TL04'!$J$238:$J$451),0),
IF('TL05'!$B$3=M$3,SUMIF('TL05'!$C$10:$C$224,$C325,'TL05'!$J$10:$J$224),0),
IF('TL05'!$B$229=M$3,SUMIF('TL05'!$C$238:$C$451,$C325,'TL05'!$J$238:$J$451),0),
IF('TL06'!$B$3=M$3,SUMIF('TL06'!$C$10:$C$224,$C325,'TL06'!$J$10:$J$224),0),
IF('TL06'!$B$229=M$3,SUMIF('TL06'!$C$238:$C$451,$C325,'TL06'!$J$238:$J$451),0),
IF('TL07'!$B$3=M$3,SUMIF('TL07'!$C$10:$C$224,$C325,'TL07'!$J$10:$J$224),0),
IF('TL07'!$B$229=M$3,SUMIF('TL07'!$C$238:$C$451,$C325,'TL07'!$J$238:$J$451),0),
IF('TL08'!$B$3=M$3,SUMIF('TL08'!$C$10:$C$224,$C325,'TL08'!$J$10:$J$224),0),
IF('TL08'!$B$229=M$3,SUMIF('TL08'!$C$238:$C$451,$C325,'TL08'!$J$238:$J$451),0),
IF('TL09'!$B$3=M$3,SUMIF('TL09'!$C$10:$C$224,$C325,'TL09'!$J$10:$J$224),0),
IF('TL09'!$B$229=M$3,SUMIF('TL09'!$C$238:$C$451,$C325,'TL09'!$J$238:$J$451),0),
IF('TL10'!$B$3=M$3,SUMIF('TL10'!$C$10:$C$224,$C325,'TL10'!$J$10:$J$224),0),
IF('TL10'!$B$229=M$3,SUMIF('TL10'!$C$238:$C$451,$C325,'TL10'!$J$238:$J$451),0),
IF('TL11'!$B$3=M$3,SUMIF('TL11'!$C$10:$C$224,$C325,'TL11'!$J$10:$J$224),0),
IF('TL11'!$B$229=M$3,SUMIF('TL11'!$C$238:$C$451,$C325,'TL11'!$J$238:$J$451),0),
IF('TL12'!$B$3=M$3,SUMIF('TL12'!$C$10:$C$224,$C325,'TL12'!$J$10:$J$224),0),
IF('TL12'!$B$229=M$3,SUMIF('TL12'!$C$238:$C$451,$C325,'TL12'!$J$238:$J$451),0),
IF('TL13'!$B$3=M$3,SUMIF('TL13'!$C$10:$C$224,$C325,'TL13'!$J$10:$J$224),0),
IF('TL13'!$B$229=M$3,SUMIF('TL13'!$C$238:$C$451,$C325,'TL13'!$J$238:$J$451),0),
IF('TL14'!$B$3=M$3,SUMIF('TL14'!$C$10:$C$224,$C325,'TL14'!$J$10:$J$224),0),
IF('TL14'!$B$229=M$3,SUMIF('TL14'!$C$238:$C$451,$C325,'TL14'!$J$238:$J$451),0),
IF('TL15'!$B$3=M$3,SUMIF('TL15'!$C$10:$C$224,$C325,'TL15'!$J$10:$J$224),0),
IF('TL15'!$B$229=M$3,SUMIF('TL15'!$C$238:$C$451,$C325,'TL15'!$J$238:$J$451),0),
IF('TL16'!$B$3=M$3,SUMIF('TL16'!$C$10:$C$224,$C325,'TL16'!$J$10:$J$224),0),
IF('TL16'!$B$229=M$3,SUMIF('TL16'!$C$238:$C$451,$C325,'TL16'!$J$238:$J$451),0),
IF('TL17'!$B$3=M$3,SUMIF('TL17'!$C$10:$C$224,$C325,'TL17'!$J$10:$J$224),0),
IF('TL17'!$B$229=M$3,SUMIF('TL17'!$C$238:$C$451,$C325,'TL17'!$J$238:$J$451),0),
IF('TL18'!$B$3=M$3,SUMIF('TL18'!$C$10:$C$224,$C325,'TL18'!$J$10:$J$224),0),
IF('TL18'!$B$229=M$3,SUMIF('TL18'!$C$238:$C$451,$C325,'TL18'!$J$238:$J$451),0),
IF('TL19'!$B$3=M$3,SUMIF('TL19'!$C$10:$C$224,$C325,'TL19'!$J$10:$J$224),0),
IF('TL19'!$B$229=M$3,SUMIF('TL19'!$C$238:$C$451,$C325,'TL19'!$J$238:$J$451),0)
),0)</f>
        <v>0</v>
      </c>
      <c r="N325" s="9">
        <f>IFERROR(SUM(
IF('TL01'!$B$3=N$3,SUMIF('TL01'!$C$10:$C$224,$C325,'TL01'!$J$10:$J$224),0),
IF('TL01'!$B$229=N$3,SUMIF('TL01'!$C$238:$C$451,$C325,'TL01'!$J$238:$J$451),0),
IF('TL02'!$B$3=N$3,SUMIF('TL02'!$C$10:$C$224,$C325,'TL02'!$J$10:$J$224),0),
IF('TL02'!$B$229=N$3,SUMIF('TL02'!$C$238:$C$451,$C325,'TL02'!$J$238:$J$451),0),
IF('TL03'!$B$3=N$3,SUMIF('TL03'!$C$10:$C$224,$C325,'TL03'!$J$10:$J$224),0),
IF('TL03'!$B$229=N$3,SUMIF('TL03'!$C$238:$C$451,$C325,'TL03'!$J$238:$J$451),0),
IF('TL04'!$B$3=N$3,SUMIF('TL04'!$C$10:$C$224,$C325,'TL04'!$J$10:$J$224),0),
IF('TL04'!$B$229=N$3,SUMIF('TL04'!$C$238:$C$451,$C325,'TL04'!$J$238:$J$451),0),
IF('TL05'!$B$3=N$3,SUMIF('TL05'!$C$10:$C$224,$C325,'TL05'!$J$10:$J$224),0),
IF('TL05'!$B$229=N$3,SUMIF('TL05'!$C$238:$C$451,$C325,'TL05'!$J$238:$J$451),0),
IF('TL06'!$B$3=N$3,SUMIF('TL06'!$C$10:$C$224,$C325,'TL06'!$J$10:$J$224),0),
IF('TL06'!$B$229=N$3,SUMIF('TL06'!$C$238:$C$451,$C325,'TL06'!$J$238:$J$451),0),
IF('TL07'!$B$3=N$3,SUMIF('TL07'!$C$10:$C$224,$C325,'TL07'!$J$10:$J$224),0),
IF('TL07'!$B$229=N$3,SUMIF('TL07'!$C$238:$C$451,$C325,'TL07'!$J$238:$J$451),0),
IF('TL08'!$B$3=N$3,SUMIF('TL08'!$C$10:$C$224,$C325,'TL08'!$J$10:$J$224),0),
IF('TL08'!$B$229=N$3,SUMIF('TL08'!$C$238:$C$451,$C325,'TL08'!$J$238:$J$451),0),
IF('TL09'!$B$3=N$3,SUMIF('TL09'!$C$10:$C$224,$C325,'TL09'!$J$10:$J$224),0),
IF('TL09'!$B$229=N$3,SUMIF('TL09'!$C$238:$C$451,$C325,'TL09'!$J$238:$J$451),0),
IF('TL10'!$B$3=N$3,SUMIF('TL10'!$C$10:$C$224,$C325,'TL10'!$J$10:$J$224),0),
IF('TL10'!$B$229=N$3,SUMIF('TL10'!$C$238:$C$451,$C325,'TL10'!$J$238:$J$451),0),
IF('TL11'!$B$3=N$3,SUMIF('TL11'!$C$10:$C$224,$C325,'TL11'!$J$10:$J$224),0),
IF('TL11'!$B$229=N$3,SUMIF('TL11'!$C$238:$C$451,$C325,'TL11'!$J$238:$J$451),0),
IF('TL12'!$B$3=N$3,SUMIF('TL12'!$C$10:$C$224,$C325,'TL12'!$J$10:$J$224),0),
IF('TL12'!$B$229=N$3,SUMIF('TL12'!$C$238:$C$451,$C325,'TL12'!$J$238:$J$451),0),
IF('TL13'!$B$3=N$3,SUMIF('TL13'!$C$10:$C$224,$C325,'TL13'!$J$10:$J$224),0),
IF('TL13'!$B$229=N$3,SUMIF('TL13'!$C$238:$C$451,$C325,'TL13'!$J$238:$J$451),0),
IF('TL14'!$B$3=N$3,SUMIF('TL14'!$C$10:$C$224,$C325,'TL14'!$J$10:$J$224),0),
IF('TL14'!$B$229=N$3,SUMIF('TL14'!$C$238:$C$451,$C325,'TL14'!$J$238:$J$451),0),
IF('TL15'!$B$3=N$3,SUMIF('TL15'!$C$10:$C$224,$C325,'TL15'!$J$10:$J$224),0),
IF('TL15'!$B$229=N$3,SUMIF('TL15'!$C$238:$C$451,$C325,'TL15'!$J$238:$J$451),0),
IF('TL16'!$B$3=N$3,SUMIF('TL16'!$C$10:$C$224,$C325,'TL16'!$J$10:$J$224),0),
IF('TL16'!$B$229=N$3,SUMIF('TL16'!$C$238:$C$451,$C325,'TL16'!$J$238:$J$451),0),
IF('TL17'!$B$3=N$3,SUMIF('TL17'!$C$10:$C$224,$C325,'TL17'!$J$10:$J$224),0),
IF('TL17'!$B$229=N$3,SUMIF('TL17'!$C$238:$C$451,$C325,'TL17'!$J$238:$J$451),0),
IF('TL18'!$B$3=N$3,SUMIF('TL18'!$C$10:$C$224,$C325,'TL18'!$J$10:$J$224),0),
IF('TL18'!$B$229=N$3,SUMIF('TL18'!$C$238:$C$451,$C325,'TL18'!$J$238:$J$451),0),
IF('TL19'!$B$3=N$3,SUMIF('TL19'!$C$10:$C$224,$C325,'TL19'!$J$10:$J$224),0),
IF('TL19'!$B$229=N$3,SUMIF('TL19'!$C$238:$C$451,$C325,'TL19'!$J$238:$J$451),0)
),0)</f>
        <v>0</v>
      </c>
      <c r="O325" s="9">
        <f>IFERROR(SUM(
IF('TL01'!$B$3=O$3,SUMIF('TL01'!$C$10:$C$224,$C325,'TL01'!$J$10:$J$224),0),
IF('TL01'!$B$229=O$3,SUMIF('TL01'!$C$238:$C$451,$C325,'TL01'!$J$238:$J$451),0),
IF('TL02'!$B$3=O$3,SUMIF('TL02'!$C$10:$C$224,$C325,'TL02'!$J$10:$J$224),0),
IF('TL02'!$B$229=O$3,SUMIF('TL02'!$C$238:$C$451,$C325,'TL02'!$J$238:$J$451),0),
IF('TL03'!$B$3=O$3,SUMIF('TL03'!$C$10:$C$224,$C325,'TL03'!$J$10:$J$224),0),
IF('TL03'!$B$229=O$3,SUMIF('TL03'!$C$238:$C$451,$C325,'TL03'!$J$238:$J$451),0),
IF('TL04'!$B$3=O$3,SUMIF('TL04'!$C$10:$C$224,$C325,'TL04'!$J$10:$J$224),0),
IF('TL04'!$B$229=O$3,SUMIF('TL04'!$C$238:$C$451,$C325,'TL04'!$J$238:$J$451),0),
IF('TL05'!$B$3=O$3,SUMIF('TL05'!$C$10:$C$224,$C325,'TL05'!$J$10:$J$224),0),
IF('TL05'!$B$229=O$3,SUMIF('TL05'!$C$238:$C$451,$C325,'TL05'!$J$238:$J$451),0),
IF('TL06'!$B$3=O$3,SUMIF('TL06'!$C$10:$C$224,$C325,'TL06'!$J$10:$J$224),0),
IF('TL06'!$B$229=O$3,SUMIF('TL06'!$C$238:$C$451,$C325,'TL06'!$J$238:$J$451),0),
IF('TL07'!$B$3=O$3,SUMIF('TL07'!$C$10:$C$224,$C325,'TL07'!$J$10:$J$224),0),
IF('TL07'!$B$229=O$3,SUMIF('TL07'!$C$238:$C$451,$C325,'TL07'!$J$238:$J$451),0),
IF('TL08'!$B$3=O$3,SUMIF('TL08'!$C$10:$C$224,$C325,'TL08'!$J$10:$J$224),0),
IF('TL08'!$B$229=O$3,SUMIF('TL08'!$C$238:$C$451,$C325,'TL08'!$J$238:$J$451),0),
IF('TL09'!$B$3=O$3,SUMIF('TL09'!$C$10:$C$224,$C325,'TL09'!$J$10:$J$224),0),
IF('TL09'!$B$229=O$3,SUMIF('TL09'!$C$238:$C$451,$C325,'TL09'!$J$238:$J$451),0),
IF('TL10'!$B$3=O$3,SUMIF('TL10'!$C$10:$C$224,$C325,'TL10'!$J$10:$J$224),0),
IF('TL10'!$B$229=O$3,SUMIF('TL10'!$C$238:$C$451,$C325,'TL10'!$J$238:$J$451),0),
IF('TL11'!$B$3=O$3,SUMIF('TL11'!$C$10:$C$224,$C325,'TL11'!$J$10:$J$224),0),
IF('TL11'!$B$229=O$3,SUMIF('TL11'!$C$238:$C$451,$C325,'TL11'!$J$238:$J$451),0),
IF('TL12'!$B$3=O$3,SUMIF('TL12'!$C$10:$C$224,$C325,'TL12'!$J$10:$J$224),0),
IF('TL12'!$B$229=O$3,SUMIF('TL12'!$C$238:$C$451,$C325,'TL12'!$J$238:$J$451),0),
IF('TL13'!$B$3=O$3,SUMIF('TL13'!$C$10:$C$224,$C325,'TL13'!$J$10:$J$224),0),
IF('TL13'!$B$229=O$3,SUMIF('TL13'!$C$238:$C$451,$C325,'TL13'!$J$238:$J$451),0),
IF('TL14'!$B$3=O$3,SUMIF('TL14'!$C$10:$C$224,$C325,'TL14'!$J$10:$J$224),0),
IF('TL14'!$B$229=O$3,SUMIF('TL14'!$C$238:$C$451,$C325,'TL14'!$J$238:$J$451),0),
IF('TL15'!$B$3=O$3,SUMIF('TL15'!$C$10:$C$224,$C325,'TL15'!$J$10:$J$224),0),
IF('TL15'!$B$229=O$3,SUMIF('TL15'!$C$238:$C$451,$C325,'TL15'!$J$238:$J$451),0),
IF('TL16'!$B$3=O$3,SUMIF('TL16'!$C$10:$C$224,$C325,'TL16'!$J$10:$J$224),0),
IF('TL16'!$B$229=O$3,SUMIF('TL16'!$C$238:$C$451,$C325,'TL16'!$J$238:$J$451),0),
IF('TL17'!$B$3=O$3,SUMIF('TL17'!$C$10:$C$224,$C325,'TL17'!$J$10:$J$224),0),
IF('TL17'!$B$229=O$3,SUMIF('TL17'!$C$238:$C$451,$C325,'TL17'!$J$238:$J$451),0),
IF('TL18'!$B$3=O$3,SUMIF('TL18'!$C$10:$C$224,$C325,'TL18'!$J$10:$J$224),0),
IF('TL18'!$B$229=O$3,SUMIF('TL18'!$C$238:$C$451,$C325,'TL18'!$J$238:$J$451),0),
IF('TL19'!$B$3=O$3,SUMIF('TL19'!$C$10:$C$224,$C325,'TL19'!$J$10:$J$224),0),
IF('TL19'!$B$229=O$3,SUMIF('TL19'!$C$238:$C$451,$C325,'TL19'!$J$238:$J$451),0)
),0)</f>
        <v>0</v>
      </c>
      <c r="P325" s="9">
        <f>IFERROR(SUM(
IF('TL01'!$B$3=P$3,SUMIF('TL01'!$C$10:$C$224,$C325,'TL01'!$J$10:$J$224),0),
IF('TL01'!$B$229=P$3,SUMIF('TL01'!$C$238:$C$451,$C325,'TL01'!$J$238:$J$451),0),
IF('TL02'!$B$3=P$3,SUMIF('TL02'!$C$10:$C$224,$C325,'TL02'!$J$10:$J$224),0),
IF('TL02'!$B$229=P$3,SUMIF('TL02'!$C$238:$C$451,$C325,'TL02'!$J$238:$J$451),0),
IF('TL03'!$B$3=P$3,SUMIF('TL03'!$C$10:$C$224,$C325,'TL03'!$J$10:$J$224),0),
IF('TL03'!$B$229=P$3,SUMIF('TL03'!$C$238:$C$451,$C325,'TL03'!$J$238:$J$451),0),
IF('TL04'!$B$3=P$3,SUMIF('TL04'!$C$10:$C$224,$C325,'TL04'!$J$10:$J$224),0),
IF('TL04'!$B$229=P$3,SUMIF('TL04'!$C$238:$C$451,$C325,'TL04'!$J$238:$J$451),0),
IF('TL05'!$B$3=P$3,SUMIF('TL05'!$C$10:$C$224,$C325,'TL05'!$J$10:$J$224),0),
IF('TL05'!$B$229=P$3,SUMIF('TL05'!$C$238:$C$451,$C325,'TL05'!$J$238:$J$451),0),
IF('TL06'!$B$3=P$3,SUMIF('TL06'!$C$10:$C$224,$C325,'TL06'!$J$10:$J$224),0),
IF('TL06'!$B$229=P$3,SUMIF('TL06'!$C$238:$C$451,$C325,'TL06'!$J$238:$J$451),0),
IF('TL07'!$B$3=P$3,SUMIF('TL07'!$C$10:$C$224,$C325,'TL07'!$J$10:$J$224),0),
IF('TL07'!$B$229=P$3,SUMIF('TL07'!$C$238:$C$451,$C325,'TL07'!$J$238:$J$451),0),
IF('TL08'!$B$3=P$3,SUMIF('TL08'!$C$10:$C$224,$C325,'TL08'!$J$10:$J$224),0),
IF('TL08'!$B$229=P$3,SUMIF('TL08'!$C$238:$C$451,$C325,'TL08'!$J$238:$J$451),0),
IF('TL09'!$B$3=P$3,SUMIF('TL09'!$C$10:$C$224,$C325,'TL09'!$J$10:$J$224),0),
IF('TL09'!$B$229=P$3,SUMIF('TL09'!$C$238:$C$451,$C325,'TL09'!$J$238:$J$451),0),
IF('TL10'!$B$3=P$3,SUMIF('TL10'!$C$10:$C$224,$C325,'TL10'!$J$10:$J$224),0),
IF('TL10'!$B$229=P$3,SUMIF('TL10'!$C$238:$C$451,$C325,'TL10'!$J$238:$J$451),0),
IF('TL11'!$B$3=P$3,SUMIF('TL11'!$C$10:$C$224,$C325,'TL11'!$J$10:$J$224),0),
IF('TL11'!$B$229=P$3,SUMIF('TL11'!$C$238:$C$451,$C325,'TL11'!$J$238:$J$451),0),
IF('TL12'!$B$3=P$3,SUMIF('TL12'!$C$10:$C$224,$C325,'TL12'!$J$10:$J$224),0),
IF('TL12'!$B$229=P$3,SUMIF('TL12'!$C$238:$C$451,$C325,'TL12'!$J$238:$J$451),0),
IF('TL13'!$B$3=P$3,SUMIF('TL13'!$C$10:$C$224,$C325,'TL13'!$J$10:$J$224),0),
IF('TL13'!$B$229=P$3,SUMIF('TL13'!$C$238:$C$451,$C325,'TL13'!$J$238:$J$451),0),
IF('TL14'!$B$3=P$3,SUMIF('TL14'!$C$10:$C$224,$C325,'TL14'!$J$10:$J$224),0),
IF('TL14'!$B$229=P$3,SUMIF('TL14'!$C$238:$C$451,$C325,'TL14'!$J$238:$J$451),0),
IF('TL15'!$B$3=P$3,SUMIF('TL15'!$C$10:$C$224,$C325,'TL15'!$J$10:$J$224),0),
IF('TL15'!$B$229=P$3,SUMIF('TL15'!$C$238:$C$451,$C325,'TL15'!$J$238:$J$451),0),
IF('TL16'!$B$3=P$3,SUMIF('TL16'!$C$10:$C$224,$C325,'TL16'!$J$10:$J$224),0),
IF('TL16'!$B$229=P$3,SUMIF('TL16'!$C$238:$C$451,$C325,'TL16'!$J$238:$J$451),0),
IF('TL17'!$B$3=P$3,SUMIF('TL17'!$C$10:$C$224,$C325,'TL17'!$J$10:$J$224),0),
IF('TL17'!$B$229=P$3,SUMIF('TL17'!$C$238:$C$451,$C325,'TL17'!$J$238:$J$451),0),
IF('TL18'!$B$3=P$3,SUMIF('TL18'!$C$10:$C$224,$C325,'TL18'!$J$10:$J$224),0),
IF('TL18'!$B$229=P$3,SUMIF('TL18'!$C$238:$C$451,$C325,'TL18'!$J$238:$J$451),0),
IF('TL19'!$B$3=P$3,SUMIF('TL19'!$C$10:$C$224,$C325,'TL19'!$J$10:$J$224),0),
IF('TL19'!$B$229=P$3,SUMIF('TL19'!$C$238:$C$451,$C325,'TL19'!$J$238:$J$451),0)
),0)</f>
        <v>0</v>
      </c>
      <c r="Q325" s="9">
        <f>IFERROR(SUM(
IF('TL01'!$B$3=Q$3,SUMIF('TL01'!$C$10:$C$224,$C325,'TL01'!$J$10:$J$224),0),
IF('TL01'!$B$229=Q$3,SUMIF('TL01'!$C$238:$C$451,$C325,'TL01'!$J$238:$J$451),0),
IF('TL02'!$B$3=Q$3,SUMIF('TL02'!$C$10:$C$224,$C325,'TL02'!$J$10:$J$224),0),
IF('TL02'!$B$229=Q$3,SUMIF('TL02'!$C$238:$C$451,$C325,'TL02'!$J$238:$J$451),0),
IF('TL03'!$B$3=Q$3,SUMIF('TL03'!$C$10:$C$224,$C325,'TL03'!$J$10:$J$224),0),
IF('TL03'!$B$229=Q$3,SUMIF('TL03'!$C$238:$C$451,$C325,'TL03'!$J$238:$J$451),0),
IF('TL04'!$B$3=Q$3,SUMIF('TL04'!$C$10:$C$224,$C325,'TL04'!$J$10:$J$224),0),
IF('TL04'!$B$229=Q$3,SUMIF('TL04'!$C$238:$C$451,$C325,'TL04'!$J$238:$J$451),0),
IF('TL05'!$B$3=Q$3,SUMIF('TL05'!$C$10:$C$224,$C325,'TL05'!$J$10:$J$224),0),
IF('TL05'!$B$229=Q$3,SUMIF('TL05'!$C$238:$C$451,$C325,'TL05'!$J$238:$J$451),0),
IF('TL06'!$B$3=Q$3,SUMIF('TL06'!$C$10:$C$224,$C325,'TL06'!$J$10:$J$224),0),
IF('TL06'!$B$229=Q$3,SUMIF('TL06'!$C$238:$C$451,$C325,'TL06'!$J$238:$J$451),0),
IF('TL07'!$B$3=Q$3,SUMIF('TL07'!$C$10:$C$224,$C325,'TL07'!$J$10:$J$224),0),
IF('TL07'!$B$229=Q$3,SUMIF('TL07'!$C$238:$C$451,$C325,'TL07'!$J$238:$J$451),0),
IF('TL08'!$B$3=Q$3,SUMIF('TL08'!$C$10:$C$224,$C325,'TL08'!$J$10:$J$224),0),
IF('TL08'!$B$229=Q$3,SUMIF('TL08'!$C$238:$C$451,$C325,'TL08'!$J$238:$J$451),0),
IF('TL09'!$B$3=Q$3,SUMIF('TL09'!$C$10:$C$224,$C325,'TL09'!$J$10:$J$224),0),
IF('TL09'!$B$229=Q$3,SUMIF('TL09'!$C$238:$C$451,$C325,'TL09'!$J$238:$J$451),0),
IF('TL10'!$B$3=Q$3,SUMIF('TL10'!$C$10:$C$224,$C325,'TL10'!$J$10:$J$224),0),
IF('TL10'!$B$229=Q$3,SUMIF('TL10'!$C$238:$C$451,$C325,'TL10'!$J$238:$J$451),0),
IF('TL11'!$B$3=Q$3,SUMIF('TL11'!$C$10:$C$224,$C325,'TL11'!$J$10:$J$224),0),
IF('TL11'!$B$229=Q$3,SUMIF('TL11'!$C$238:$C$451,$C325,'TL11'!$J$238:$J$451),0),
IF('TL12'!$B$3=Q$3,SUMIF('TL12'!$C$10:$C$224,$C325,'TL12'!$J$10:$J$224),0),
IF('TL12'!$B$229=Q$3,SUMIF('TL12'!$C$238:$C$451,$C325,'TL12'!$J$238:$J$451),0),
IF('TL13'!$B$3=Q$3,SUMIF('TL13'!$C$10:$C$224,$C325,'TL13'!$J$10:$J$224),0),
IF('TL13'!$B$229=Q$3,SUMIF('TL13'!$C$238:$C$451,$C325,'TL13'!$J$238:$J$451),0),
IF('TL14'!$B$3=Q$3,SUMIF('TL14'!$C$10:$C$224,$C325,'TL14'!$J$10:$J$224),0),
IF('TL14'!$B$229=Q$3,SUMIF('TL14'!$C$238:$C$451,$C325,'TL14'!$J$238:$J$451),0),
IF('TL15'!$B$3=Q$3,SUMIF('TL15'!$C$10:$C$224,$C325,'TL15'!$J$10:$J$224),0),
IF('TL15'!$B$229=Q$3,SUMIF('TL15'!$C$238:$C$451,$C325,'TL15'!$J$238:$J$451),0),
IF('TL16'!$B$3=Q$3,SUMIF('TL16'!$C$10:$C$224,$C325,'TL16'!$J$10:$J$224),0),
IF('TL16'!$B$229=Q$3,SUMIF('TL16'!$C$238:$C$451,$C325,'TL16'!$J$238:$J$451),0),
IF('TL17'!$B$3=Q$3,SUMIF('TL17'!$C$10:$C$224,$C325,'TL17'!$J$10:$J$224),0),
IF('TL17'!$B$229=Q$3,SUMIF('TL17'!$C$238:$C$451,$C325,'TL17'!$J$238:$J$451),0),
IF('TL18'!$B$3=Q$3,SUMIF('TL18'!$C$10:$C$224,$C325,'TL18'!$J$10:$J$224),0),
IF('TL18'!$B$229=Q$3,SUMIF('TL18'!$C$238:$C$451,$C325,'TL18'!$J$238:$J$451),0),
IF('TL19'!$B$3=Q$3,SUMIF('TL19'!$C$10:$C$224,$C325,'TL19'!$J$10:$J$224),0),
IF('TL19'!$B$229=Q$3,SUMIF('TL19'!$C$238:$C$451,$C325,'TL19'!$J$238:$J$451),0)
),0)</f>
        <v>0</v>
      </c>
      <c r="R325" s="9">
        <f>IFERROR(
SUM(
SUMIF('TL01'!C:C,C325,'TL01'!J:J),
SUMIF('TL02'!C:C,C325,'TL02'!J:J),
SUMIF('TL03'!C:C,C325,'TL03'!J:J),
SUMIF('TL04'!C:C,C325,'TL04'!J:J),
SUMIF('TL05'!C:C,C325,'TL05'!J:J),
SUMIF('TL06'!C:C,C325,'TL06'!J:J),
SUMIF('TL07'!C:C,C325,'TL07'!J:J),
SUMIF('TL08'!C:C,C325,'TL08'!J:J),
SUMIF('TL09'!C:C,C325,'TL09'!J:J),
SUMIF('TL10'!C:C,C325,'TL10'!J:J),
SUMIF('TL11'!C:C,C325,'TL11'!J:J),
SUMIF('TL12'!C:C,C325,'TL12'!J:J),
SUMIF('TL13'!C:C,C325,'TL13'!J:J),
SUMIF('TL14'!C:C,C325,'TL14'!J:J),
SUMIF('TL15'!C:C,C325,'TL15'!J:J),
SUMIF('TL16'!C:C,C325,'TL16'!J:J),
SUMIF('TL17'!C:C,C325,'TL17'!J:J),
SUMIF('TL18'!C:C,C325,'TL18'!J:J),SUMIF('TL19'!C:C,C325,'TL19'!J:J))
,0)</f>
        <v>0</v>
      </c>
      <c r="S325" s="17" t="str">
        <f>IFERROR(__xludf.DUMMYFUNCTION("IFERROR(VLOOKUP(C325,
IMPORTRANGE(""1wULbzX32WdYsx-lj2U3uUNBBe2INVIRDtcK0d-Dvl90"",
""26-27!C:G""),
5,
FALSE),
"""")"),"")</f>
        <v/>
      </c>
      <c r="T325" s="9"/>
      <c r="U325" s="92">
        <f t="shared" si="2"/>
        <v>0</v>
      </c>
      <c r="V325" s="93">
        <f t="shared" si="3"/>
        <v>0</v>
      </c>
    </row>
    <row r="326" ht="15.75" hidden="1" customHeight="1">
      <c r="A326" s="4"/>
      <c r="B326" s="125" t="s">
        <v>5</v>
      </c>
      <c r="C326" s="4" t="s">
        <v>1052</v>
      </c>
      <c r="D326" s="6"/>
      <c r="E326" s="9"/>
      <c r="F326" s="4" t="s">
        <v>1042</v>
      </c>
      <c r="G326" s="90" t="str">
        <f t="shared" si="5"/>
        <v>📄 Ver bula</v>
      </c>
      <c r="H326" s="9"/>
      <c r="I326" s="1" t="s">
        <v>1043</v>
      </c>
      <c r="J326" s="9">
        <f>IFERROR(SUM(
IF('TL01'!$B$3=J$3,SUMIF('TL01'!$C$10:$C$224,$C326,'TL01'!$J$10:$J$224),0),
IF('TL01'!$B$229=J$3,SUMIF('TL01'!$C$238:$C$451,$C326,'TL01'!$J$238:$J$451),0),
IF('TL02'!$B$3=J$3,SUMIF('TL02'!$C$10:$C$224,$C326,'TL02'!$J$10:$J$224),0),
IF('TL02'!$B$229=J$3,SUMIF('TL02'!$C$238:$C$451,$C326,'TL02'!$J$238:$J$451),0),
IF('TL03'!$B$3=J$3,SUMIF('TL03'!$C$10:$C$224,$C326,'TL03'!$J$10:$J$224),0),
IF('TL03'!$B$229=J$3,SUMIF('TL03'!$C$238:$C$451,$C326,'TL03'!$J$238:$J$451),0),
IF('TL04'!$B$3=J$3,SUMIF('TL04'!$C$10:$C$224,$C326,'TL04'!$J$10:$J$224),0),
IF('TL04'!$B$229=J$3,SUMIF('TL04'!$C$238:$C$451,$C326,'TL04'!$J$238:$J$451),0),
IF('TL05'!$B$3=J$3,SUMIF('TL05'!$C$10:$C$224,$C326,'TL05'!$J$10:$J$224),0),
IF('TL05'!$B$229=J$3,SUMIF('TL05'!$C$238:$C$451,$C326,'TL05'!$J$238:$J$451),0),
IF('TL06'!$B$3=J$3,SUMIF('TL06'!$C$10:$C$224,$C326,'TL06'!$J$10:$J$224),0),
IF('TL06'!$B$229=J$3,SUMIF('TL06'!$C$238:$C$451,$C326,'TL06'!$J$238:$J$451),0),
IF('TL07'!$B$3=J$3,SUMIF('TL07'!$C$10:$C$224,$C326,'TL07'!$J$10:$J$224),0),
IF('TL07'!$B$229=J$3,SUMIF('TL07'!$C$238:$C$451,$C326,'TL07'!$J$238:$J$451),0),
IF('TL08'!$B$3=J$3,SUMIF('TL08'!$C$10:$C$224,$C326,'TL08'!$J$10:$J$224),0),
IF('TL08'!$B$229=J$3,SUMIF('TL08'!$C$238:$C$451,$C326,'TL08'!$J$238:$J$451),0),
IF('TL09'!$B$3=J$3,SUMIF('TL09'!$C$10:$C$224,$C326,'TL09'!$J$10:$J$224),0),
IF('TL09'!$B$229=J$3,SUMIF('TL09'!$C$238:$C$451,$C326,'TL09'!$J$238:$J$451),0),
IF('TL10'!$B$3=J$3,SUMIF('TL10'!$C$10:$C$224,$C326,'TL10'!$J$10:$J$224),0),
IF('TL10'!$B$229=J$3,SUMIF('TL10'!$C$238:$C$451,$C326,'TL10'!$J$238:$J$451),0),
IF('TL11'!$B$3=J$3,SUMIF('TL11'!$C$10:$C$224,$C326,'TL11'!$J$10:$J$224),0),
IF('TL11'!$B$229=J$3,SUMIF('TL11'!$C$238:$C$451,$C326,'TL11'!$J$238:$J$451),0),
IF('TL12'!$B$3=J$3,SUMIF('TL12'!$C$10:$C$224,$C326,'TL12'!$J$10:$J$224),0),
IF('TL12'!$B$229=J$3,SUMIF('TL12'!$C$238:$C$451,$C326,'TL12'!$J$238:$J$451),0),
IF('TL13'!$B$3=J$3,SUMIF('TL13'!$C$10:$C$224,$C326,'TL13'!$J$10:$J$224),0),
IF('TL13'!$B$229=J$3,SUMIF('TL13'!$C$238:$C$451,$C326,'TL13'!$J$238:$J$451),0),
IF('TL14'!$B$3=J$3,SUMIF('TL14'!$C$10:$C$224,$C326,'TL14'!$J$10:$J$224),0),
IF('TL14'!$B$229=J$3,SUMIF('TL14'!$C$238:$C$451,$C326,'TL14'!$J$238:$J$451),0),
IF('TL15'!$B$3=J$3,SUMIF('TL15'!$C$10:$C$224,$C326,'TL15'!$J$10:$J$224),0),
IF('TL15'!$B$229=J$3,SUMIF('TL15'!$C$238:$C$451,$C326,'TL15'!$J$238:$J$451),0),
IF('TL16'!$B$3=J$3,SUMIF('TL16'!$C$10:$C$224,$C326,'TL16'!$J$10:$J$224),0),
IF('TL16'!$B$229=J$3,SUMIF('TL16'!$C$238:$C$451,$C326,'TL16'!$J$238:$J$451),0),
IF('TL17'!$B$3=J$3,SUMIF('TL17'!$C$10:$C$224,$C326,'TL17'!$J$10:$J$224),0),
IF('TL17'!$B$229=J$3,SUMIF('TL17'!$C$238:$C$451,$C326,'TL17'!$J$238:$J$451),0),
IF('TL18'!$B$3=J$3,SUMIF('TL18'!$C$10:$C$224,$C326,'TL18'!$J$10:$J$224),0),
IF('TL18'!$B$229=J$3,SUMIF('TL18'!$C$238:$C$451,$C326,'TL18'!$J$238:$J$451),0),
IF('TL19'!$B$3=J$3,SUMIF('TL19'!$C$10:$C$224,$C326,'TL19'!$J$10:$J$224),0),
IF('TL19'!$B$229=J$3,SUMIF('TL19'!$C$238:$C$451,$C326,'TL19'!$J$238:$J$451),0)
),0)</f>
        <v>0</v>
      </c>
      <c r="K326" s="9">
        <f>IFERROR(SUM(
IF('TL01'!$B$3=K$3,SUMIF('TL01'!$C$10:$C$224,$C326,'TL01'!$J$10:$J$224),0),
IF('TL01'!$B$229=K$3,SUMIF('TL01'!$C$238:$C$451,$C326,'TL01'!$J$238:$J$451),0),
IF('TL02'!$B$3=K$3,SUMIF('TL02'!$C$10:$C$224,$C326,'TL02'!$J$10:$J$224),0),
IF('TL02'!$B$229=K$3,SUMIF('TL02'!$C$238:$C$451,$C326,'TL02'!$J$238:$J$451),0),
IF('TL03'!$B$3=K$3,SUMIF('TL03'!$C$10:$C$224,$C326,'TL03'!$J$10:$J$224),0),
IF('TL03'!$B$229=K$3,SUMIF('TL03'!$C$238:$C$451,$C326,'TL03'!$J$238:$J$451),0),
IF('TL04'!$B$3=K$3,SUMIF('TL04'!$C$10:$C$224,$C326,'TL04'!$J$10:$J$224),0),
IF('TL04'!$B$229=K$3,SUMIF('TL04'!$C$238:$C$451,$C326,'TL04'!$J$238:$J$451),0),
IF('TL05'!$B$3=K$3,SUMIF('TL05'!$C$10:$C$224,$C326,'TL05'!$J$10:$J$224),0),
IF('TL05'!$B$229=K$3,SUMIF('TL05'!$C$238:$C$451,$C326,'TL05'!$J$238:$J$451),0),
IF('TL06'!$B$3=K$3,SUMIF('TL06'!$C$10:$C$224,$C326,'TL06'!$J$10:$J$224),0),
IF('TL06'!$B$229=K$3,SUMIF('TL06'!$C$238:$C$451,$C326,'TL06'!$J$238:$J$451),0),
IF('TL07'!$B$3=K$3,SUMIF('TL07'!$C$10:$C$224,$C326,'TL07'!$J$10:$J$224),0),
IF('TL07'!$B$229=K$3,SUMIF('TL07'!$C$238:$C$451,$C326,'TL07'!$J$238:$J$451),0),
IF('TL08'!$B$3=K$3,SUMIF('TL08'!$C$10:$C$224,$C326,'TL08'!$J$10:$J$224),0),
IF('TL08'!$B$229=K$3,SUMIF('TL08'!$C$238:$C$451,$C326,'TL08'!$J$238:$J$451),0),
IF('TL09'!$B$3=K$3,SUMIF('TL09'!$C$10:$C$224,$C326,'TL09'!$J$10:$J$224),0),
IF('TL09'!$B$229=K$3,SUMIF('TL09'!$C$238:$C$451,$C326,'TL09'!$J$238:$J$451),0),
IF('TL10'!$B$3=K$3,SUMIF('TL10'!$C$10:$C$224,$C326,'TL10'!$J$10:$J$224),0),
IF('TL10'!$B$229=K$3,SUMIF('TL10'!$C$238:$C$451,$C326,'TL10'!$J$238:$J$451),0),
IF('TL11'!$B$3=K$3,SUMIF('TL11'!$C$10:$C$224,$C326,'TL11'!$J$10:$J$224),0),
IF('TL11'!$B$229=K$3,SUMIF('TL11'!$C$238:$C$451,$C326,'TL11'!$J$238:$J$451),0),
IF('TL12'!$B$3=K$3,SUMIF('TL12'!$C$10:$C$224,$C326,'TL12'!$J$10:$J$224),0),
IF('TL12'!$B$229=K$3,SUMIF('TL12'!$C$238:$C$451,$C326,'TL12'!$J$238:$J$451),0),
IF('TL13'!$B$3=K$3,SUMIF('TL13'!$C$10:$C$224,$C326,'TL13'!$J$10:$J$224),0),
IF('TL13'!$B$229=K$3,SUMIF('TL13'!$C$238:$C$451,$C326,'TL13'!$J$238:$J$451),0),
IF('TL14'!$B$3=K$3,SUMIF('TL14'!$C$10:$C$224,$C326,'TL14'!$J$10:$J$224),0),
IF('TL14'!$B$229=K$3,SUMIF('TL14'!$C$238:$C$451,$C326,'TL14'!$J$238:$J$451),0),
IF('TL15'!$B$3=K$3,SUMIF('TL15'!$C$10:$C$224,$C326,'TL15'!$J$10:$J$224),0),
IF('TL15'!$B$229=K$3,SUMIF('TL15'!$C$238:$C$451,$C326,'TL15'!$J$238:$J$451),0),
IF('TL16'!$B$3=K$3,SUMIF('TL16'!$C$10:$C$224,$C326,'TL16'!$J$10:$J$224),0),
IF('TL16'!$B$229=K$3,SUMIF('TL16'!$C$238:$C$451,$C326,'TL16'!$J$238:$J$451),0),
IF('TL17'!$B$3=K$3,SUMIF('TL17'!$C$10:$C$224,$C326,'TL17'!$J$10:$J$224),0),
IF('TL17'!$B$229=K$3,SUMIF('TL17'!$C$238:$C$451,$C326,'TL17'!$J$238:$J$451),0),
IF('TL18'!$B$3=K$3,SUMIF('TL18'!$C$10:$C$224,$C326,'TL18'!$J$10:$J$224),0),
IF('TL18'!$B$229=K$3,SUMIF('TL18'!$C$238:$C$451,$C326,'TL18'!$J$238:$J$451),0),
IF('TL19'!$B$3=K$3,SUMIF('TL19'!$C$10:$C$224,$C326,'TL19'!$J$10:$J$224),0),
IF('TL19'!$B$229=K$3,SUMIF('TL19'!$C$238:$C$451,$C326,'TL19'!$J$238:$J$451),0)
),0)</f>
        <v>0</v>
      </c>
      <c r="L326" s="9">
        <f>IFERROR(SUM(
IF('TL01'!$B$3=L$3,SUMIF('TL01'!$C$10:$C$224,$C326,'TL01'!$J$10:$J$224),0),
IF('TL01'!$B$229=L$3,SUMIF('TL01'!$C$238:$C$451,$C326,'TL01'!$J$238:$J$451),0),
IF('TL02'!$B$3=L$3,SUMIF('TL02'!$C$10:$C$224,$C326,'TL02'!$J$10:$J$224),0),
IF('TL02'!$B$229=L$3,SUMIF('TL02'!$C$238:$C$451,$C326,'TL02'!$J$238:$J$451),0),
IF('TL03'!$B$3=L$3,SUMIF('TL03'!$C$10:$C$224,$C326,'TL03'!$J$10:$J$224),0),
IF('TL03'!$B$229=L$3,SUMIF('TL03'!$C$238:$C$451,$C326,'TL03'!$J$238:$J$451),0),
IF('TL04'!$B$3=L$3,SUMIF('TL04'!$C$10:$C$224,$C326,'TL04'!$J$10:$J$224),0),
IF('TL04'!$B$229=L$3,SUMIF('TL04'!$C$238:$C$451,$C326,'TL04'!$J$238:$J$451),0),
IF('TL05'!$B$3=L$3,SUMIF('TL05'!$C$10:$C$224,$C326,'TL05'!$J$10:$J$224),0),
IF('TL05'!$B$229=L$3,SUMIF('TL05'!$C$238:$C$451,$C326,'TL05'!$J$238:$J$451),0),
IF('TL06'!$B$3=L$3,SUMIF('TL06'!$C$10:$C$224,$C326,'TL06'!$J$10:$J$224),0),
IF('TL06'!$B$229=L$3,SUMIF('TL06'!$C$238:$C$451,$C326,'TL06'!$J$238:$J$451),0),
IF('TL07'!$B$3=L$3,SUMIF('TL07'!$C$10:$C$224,$C326,'TL07'!$J$10:$J$224),0),
IF('TL07'!$B$229=L$3,SUMIF('TL07'!$C$238:$C$451,$C326,'TL07'!$J$238:$J$451),0),
IF('TL08'!$B$3=L$3,SUMIF('TL08'!$C$10:$C$224,$C326,'TL08'!$J$10:$J$224),0),
IF('TL08'!$B$229=L$3,SUMIF('TL08'!$C$238:$C$451,$C326,'TL08'!$J$238:$J$451),0),
IF('TL09'!$B$3=L$3,SUMIF('TL09'!$C$10:$C$224,$C326,'TL09'!$J$10:$J$224),0),
IF('TL09'!$B$229=L$3,SUMIF('TL09'!$C$238:$C$451,$C326,'TL09'!$J$238:$J$451),0),
IF('TL10'!$B$3=L$3,SUMIF('TL10'!$C$10:$C$224,$C326,'TL10'!$J$10:$J$224),0),
IF('TL10'!$B$229=L$3,SUMIF('TL10'!$C$238:$C$451,$C326,'TL10'!$J$238:$J$451),0),
IF('TL11'!$B$3=L$3,SUMIF('TL11'!$C$10:$C$224,$C326,'TL11'!$J$10:$J$224),0),
IF('TL11'!$B$229=L$3,SUMIF('TL11'!$C$238:$C$451,$C326,'TL11'!$J$238:$J$451),0),
IF('TL12'!$B$3=L$3,SUMIF('TL12'!$C$10:$C$224,$C326,'TL12'!$J$10:$J$224),0),
IF('TL12'!$B$229=L$3,SUMIF('TL12'!$C$238:$C$451,$C326,'TL12'!$J$238:$J$451),0),
IF('TL13'!$B$3=L$3,SUMIF('TL13'!$C$10:$C$224,$C326,'TL13'!$J$10:$J$224),0),
IF('TL13'!$B$229=L$3,SUMIF('TL13'!$C$238:$C$451,$C326,'TL13'!$J$238:$J$451),0),
IF('TL14'!$B$3=L$3,SUMIF('TL14'!$C$10:$C$224,$C326,'TL14'!$J$10:$J$224),0),
IF('TL14'!$B$229=L$3,SUMIF('TL14'!$C$238:$C$451,$C326,'TL14'!$J$238:$J$451),0),
IF('TL15'!$B$3=L$3,SUMIF('TL15'!$C$10:$C$224,$C326,'TL15'!$J$10:$J$224),0),
IF('TL15'!$B$229=L$3,SUMIF('TL15'!$C$238:$C$451,$C326,'TL15'!$J$238:$J$451),0),
IF('TL16'!$B$3=L$3,SUMIF('TL16'!$C$10:$C$224,$C326,'TL16'!$J$10:$J$224),0),
IF('TL16'!$B$229=L$3,SUMIF('TL16'!$C$238:$C$451,$C326,'TL16'!$J$238:$J$451),0),
IF('TL17'!$B$3=L$3,SUMIF('TL17'!$C$10:$C$224,$C326,'TL17'!$J$10:$J$224),0),
IF('TL17'!$B$229=L$3,SUMIF('TL17'!$C$238:$C$451,$C326,'TL17'!$J$238:$J$451),0),
IF('TL18'!$B$3=L$3,SUMIF('TL18'!$C$10:$C$224,$C326,'TL18'!$J$10:$J$224),0),
IF('TL18'!$B$229=L$3,SUMIF('TL18'!$C$238:$C$451,$C326,'TL18'!$J$238:$J$451),0),
IF('TL19'!$B$3=L$3,SUMIF('TL19'!$C$10:$C$224,$C326,'TL19'!$J$10:$J$224),0),
IF('TL19'!$B$229=L$3,SUMIF('TL19'!$C$238:$C$451,$C326,'TL19'!$J$238:$J$451),0)
),0)</f>
        <v>0</v>
      </c>
      <c r="M326" s="9">
        <f>IFERROR(SUM(
IF('TL01'!$B$3=M$3,SUMIF('TL01'!$C$10:$C$224,$C326,'TL01'!$J$10:$J$224),0),
IF('TL01'!$B$229=M$3,SUMIF('TL01'!$C$238:$C$451,$C326,'TL01'!$J$238:$J$451),0),
IF('TL02'!$B$3=M$3,SUMIF('TL02'!$C$10:$C$224,$C326,'TL02'!$J$10:$J$224),0),
IF('TL02'!$B$229=M$3,SUMIF('TL02'!$C$238:$C$451,$C326,'TL02'!$J$238:$J$451),0),
IF('TL03'!$B$3=M$3,SUMIF('TL03'!$C$10:$C$224,$C326,'TL03'!$J$10:$J$224),0),
IF('TL03'!$B$229=M$3,SUMIF('TL03'!$C$238:$C$451,$C326,'TL03'!$J$238:$J$451),0),
IF('TL04'!$B$3=M$3,SUMIF('TL04'!$C$10:$C$224,$C326,'TL04'!$J$10:$J$224),0),
IF('TL04'!$B$229=M$3,SUMIF('TL04'!$C$238:$C$451,$C326,'TL04'!$J$238:$J$451),0),
IF('TL05'!$B$3=M$3,SUMIF('TL05'!$C$10:$C$224,$C326,'TL05'!$J$10:$J$224),0),
IF('TL05'!$B$229=M$3,SUMIF('TL05'!$C$238:$C$451,$C326,'TL05'!$J$238:$J$451),0),
IF('TL06'!$B$3=M$3,SUMIF('TL06'!$C$10:$C$224,$C326,'TL06'!$J$10:$J$224),0),
IF('TL06'!$B$229=M$3,SUMIF('TL06'!$C$238:$C$451,$C326,'TL06'!$J$238:$J$451),0),
IF('TL07'!$B$3=M$3,SUMIF('TL07'!$C$10:$C$224,$C326,'TL07'!$J$10:$J$224),0),
IF('TL07'!$B$229=M$3,SUMIF('TL07'!$C$238:$C$451,$C326,'TL07'!$J$238:$J$451),0),
IF('TL08'!$B$3=M$3,SUMIF('TL08'!$C$10:$C$224,$C326,'TL08'!$J$10:$J$224),0),
IF('TL08'!$B$229=M$3,SUMIF('TL08'!$C$238:$C$451,$C326,'TL08'!$J$238:$J$451),0),
IF('TL09'!$B$3=M$3,SUMIF('TL09'!$C$10:$C$224,$C326,'TL09'!$J$10:$J$224),0),
IF('TL09'!$B$229=M$3,SUMIF('TL09'!$C$238:$C$451,$C326,'TL09'!$J$238:$J$451),0),
IF('TL10'!$B$3=M$3,SUMIF('TL10'!$C$10:$C$224,$C326,'TL10'!$J$10:$J$224),0),
IF('TL10'!$B$229=M$3,SUMIF('TL10'!$C$238:$C$451,$C326,'TL10'!$J$238:$J$451),0),
IF('TL11'!$B$3=M$3,SUMIF('TL11'!$C$10:$C$224,$C326,'TL11'!$J$10:$J$224),0),
IF('TL11'!$B$229=M$3,SUMIF('TL11'!$C$238:$C$451,$C326,'TL11'!$J$238:$J$451),0),
IF('TL12'!$B$3=M$3,SUMIF('TL12'!$C$10:$C$224,$C326,'TL12'!$J$10:$J$224),0),
IF('TL12'!$B$229=M$3,SUMIF('TL12'!$C$238:$C$451,$C326,'TL12'!$J$238:$J$451),0),
IF('TL13'!$B$3=M$3,SUMIF('TL13'!$C$10:$C$224,$C326,'TL13'!$J$10:$J$224),0),
IF('TL13'!$B$229=M$3,SUMIF('TL13'!$C$238:$C$451,$C326,'TL13'!$J$238:$J$451),0),
IF('TL14'!$B$3=M$3,SUMIF('TL14'!$C$10:$C$224,$C326,'TL14'!$J$10:$J$224),0),
IF('TL14'!$B$229=M$3,SUMIF('TL14'!$C$238:$C$451,$C326,'TL14'!$J$238:$J$451),0),
IF('TL15'!$B$3=M$3,SUMIF('TL15'!$C$10:$C$224,$C326,'TL15'!$J$10:$J$224),0),
IF('TL15'!$B$229=M$3,SUMIF('TL15'!$C$238:$C$451,$C326,'TL15'!$J$238:$J$451),0),
IF('TL16'!$B$3=M$3,SUMIF('TL16'!$C$10:$C$224,$C326,'TL16'!$J$10:$J$224),0),
IF('TL16'!$B$229=M$3,SUMIF('TL16'!$C$238:$C$451,$C326,'TL16'!$J$238:$J$451),0),
IF('TL17'!$B$3=M$3,SUMIF('TL17'!$C$10:$C$224,$C326,'TL17'!$J$10:$J$224),0),
IF('TL17'!$B$229=M$3,SUMIF('TL17'!$C$238:$C$451,$C326,'TL17'!$J$238:$J$451),0),
IF('TL18'!$B$3=M$3,SUMIF('TL18'!$C$10:$C$224,$C326,'TL18'!$J$10:$J$224),0),
IF('TL18'!$B$229=M$3,SUMIF('TL18'!$C$238:$C$451,$C326,'TL18'!$J$238:$J$451),0),
IF('TL19'!$B$3=M$3,SUMIF('TL19'!$C$10:$C$224,$C326,'TL19'!$J$10:$J$224),0),
IF('TL19'!$B$229=M$3,SUMIF('TL19'!$C$238:$C$451,$C326,'TL19'!$J$238:$J$451),0)
),0)</f>
        <v>0</v>
      </c>
      <c r="N326" s="9">
        <f>IFERROR(SUM(
IF('TL01'!$B$3=N$3,SUMIF('TL01'!$C$10:$C$224,$C326,'TL01'!$J$10:$J$224),0),
IF('TL01'!$B$229=N$3,SUMIF('TL01'!$C$238:$C$451,$C326,'TL01'!$J$238:$J$451),0),
IF('TL02'!$B$3=N$3,SUMIF('TL02'!$C$10:$C$224,$C326,'TL02'!$J$10:$J$224),0),
IF('TL02'!$B$229=N$3,SUMIF('TL02'!$C$238:$C$451,$C326,'TL02'!$J$238:$J$451),0),
IF('TL03'!$B$3=N$3,SUMIF('TL03'!$C$10:$C$224,$C326,'TL03'!$J$10:$J$224),0),
IF('TL03'!$B$229=N$3,SUMIF('TL03'!$C$238:$C$451,$C326,'TL03'!$J$238:$J$451),0),
IF('TL04'!$B$3=N$3,SUMIF('TL04'!$C$10:$C$224,$C326,'TL04'!$J$10:$J$224),0),
IF('TL04'!$B$229=N$3,SUMIF('TL04'!$C$238:$C$451,$C326,'TL04'!$J$238:$J$451),0),
IF('TL05'!$B$3=N$3,SUMIF('TL05'!$C$10:$C$224,$C326,'TL05'!$J$10:$J$224),0),
IF('TL05'!$B$229=N$3,SUMIF('TL05'!$C$238:$C$451,$C326,'TL05'!$J$238:$J$451),0),
IF('TL06'!$B$3=N$3,SUMIF('TL06'!$C$10:$C$224,$C326,'TL06'!$J$10:$J$224),0),
IF('TL06'!$B$229=N$3,SUMIF('TL06'!$C$238:$C$451,$C326,'TL06'!$J$238:$J$451),0),
IF('TL07'!$B$3=N$3,SUMIF('TL07'!$C$10:$C$224,$C326,'TL07'!$J$10:$J$224),0),
IF('TL07'!$B$229=N$3,SUMIF('TL07'!$C$238:$C$451,$C326,'TL07'!$J$238:$J$451),0),
IF('TL08'!$B$3=N$3,SUMIF('TL08'!$C$10:$C$224,$C326,'TL08'!$J$10:$J$224),0),
IF('TL08'!$B$229=N$3,SUMIF('TL08'!$C$238:$C$451,$C326,'TL08'!$J$238:$J$451),0),
IF('TL09'!$B$3=N$3,SUMIF('TL09'!$C$10:$C$224,$C326,'TL09'!$J$10:$J$224),0),
IF('TL09'!$B$229=N$3,SUMIF('TL09'!$C$238:$C$451,$C326,'TL09'!$J$238:$J$451),0),
IF('TL10'!$B$3=N$3,SUMIF('TL10'!$C$10:$C$224,$C326,'TL10'!$J$10:$J$224),0),
IF('TL10'!$B$229=N$3,SUMIF('TL10'!$C$238:$C$451,$C326,'TL10'!$J$238:$J$451),0),
IF('TL11'!$B$3=N$3,SUMIF('TL11'!$C$10:$C$224,$C326,'TL11'!$J$10:$J$224),0),
IF('TL11'!$B$229=N$3,SUMIF('TL11'!$C$238:$C$451,$C326,'TL11'!$J$238:$J$451),0),
IF('TL12'!$B$3=N$3,SUMIF('TL12'!$C$10:$C$224,$C326,'TL12'!$J$10:$J$224),0),
IF('TL12'!$B$229=N$3,SUMIF('TL12'!$C$238:$C$451,$C326,'TL12'!$J$238:$J$451),0),
IF('TL13'!$B$3=N$3,SUMIF('TL13'!$C$10:$C$224,$C326,'TL13'!$J$10:$J$224),0),
IF('TL13'!$B$229=N$3,SUMIF('TL13'!$C$238:$C$451,$C326,'TL13'!$J$238:$J$451),0),
IF('TL14'!$B$3=N$3,SUMIF('TL14'!$C$10:$C$224,$C326,'TL14'!$J$10:$J$224),0),
IF('TL14'!$B$229=N$3,SUMIF('TL14'!$C$238:$C$451,$C326,'TL14'!$J$238:$J$451),0),
IF('TL15'!$B$3=N$3,SUMIF('TL15'!$C$10:$C$224,$C326,'TL15'!$J$10:$J$224),0),
IF('TL15'!$B$229=N$3,SUMIF('TL15'!$C$238:$C$451,$C326,'TL15'!$J$238:$J$451),0),
IF('TL16'!$B$3=N$3,SUMIF('TL16'!$C$10:$C$224,$C326,'TL16'!$J$10:$J$224),0),
IF('TL16'!$B$229=N$3,SUMIF('TL16'!$C$238:$C$451,$C326,'TL16'!$J$238:$J$451),0),
IF('TL17'!$B$3=N$3,SUMIF('TL17'!$C$10:$C$224,$C326,'TL17'!$J$10:$J$224),0),
IF('TL17'!$B$229=N$3,SUMIF('TL17'!$C$238:$C$451,$C326,'TL17'!$J$238:$J$451),0),
IF('TL18'!$B$3=N$3,SUMIF('TL18'!$C$10:$C$224,$C326,'TL18'!$J$10:$J$224),0),
IF('TL18'!$B$229=N$3,SUMIF('TL18'!$C$238:$C$451,$C326,'TL18'!$J$238:$J$451),0),
IF('TL19'!$B$3=N$3,SUMIF('TL19'!$C$10:$C$224,$C326,'TL19'!$J$10:$J$224),0),
IF('TL19'!$B$229=N$3,SUMIF('TL19'!$C$238:$C$451,$C326,'TL19'!$J$238:$J$451),0)
),0)</f>
        <v>0</v>
      </c>
      <c r="O326" s="9">
        <f>IFERROR(SUM(
IF('TL01'!$B$3=O$3,SUMIF('TL01'!$C$10:$C$224,$C326,'TL01'!$J$10:$J$224),0),
IF('TL01'!$B$229=O$3,SUMIF('TL01'!$C$238:$C$451,$C326,'TL01'!$J$238:$J$451),0),
IF('TL02'!$B$3=O$3,SUMIF('TL02'!$C$10:$C$224,$C326,'TL02'!$J$10:$J$224),0),
IF('TL02'!$B$229=O$3,SUMIF('TL02'!$C$238:$C$451,$C326,'TL02'!$J$238:$J$451),0),
IF('TL03'!$B$3=O$3,SUMIF('TL03'!$C$10:$C$224,$C326,'TL03'!$J$10:$J$224),0),
IF('TL03'!$B$229=O$3,SUMIF('TL03'!$C$238:$C$451,$C326,'TL03'!$J$238:$J$451),0),
IF('TL04'!$B$3=O$3,SUMIF('TL04'!$C$10:$C$224,$C326,'TL04'!$J$10:$J$224),0),
IF('TL04'!$B$229=O$3,SUMIF('TL04'!$C$238:$C$451,$C326,'TL04'!$J$238:$J$451),0),
IF('TL05'!$B$3=O$3,SUMIF('TL05'!$C$10:$C$224,$C326,'TL05'!$J$10:$J$224),0),
IF('TL05'!$B$229=O$3,SUMIF('TL05'!$C$238:$C$451,$C326,'TL05'!$J$238:$J$451),0),
IF('TL06'!$B$3=O$3,SUMIF('TL06'!$C$10:$C$224,$C326,'TL06'!$J$10:$J$224),0),
IF('TL06'!$B$229=O$3,SUMIF('TL06'!$C$238:$C$451,$C326,'TL06'!$J$238:$J$451),0),
IF('TL07'!$B$3=O$3,SUMIF('TL07'!$C$10:$C$224,$C326,'TL07'!$J$10:$J$224),0),
IF('TL07'!$B$229=O$3,SUMIF('TL07'!$C$238:$C$451,$C326,'TL07'!$J$238:$J$451),0),
IF('TL08'!$B$3=O$3,SUMIF('TL08'!$C$10:$C$224,$C326,'TL08'!$J$10:$J$224),0),
IF('TL08'!$B$229=O$3,SUMIF('TL08'!$C$238:$C$451,$C326,'TL08'!$J$238:$J$451),0),
IF('TL09'!$B$3=O$3,SUMIF('TL09'!$C$10:$C$224,$C326,'TL09'!$J$10:$J$224),0),
IF('TL09'!$B$229=O$3,SUMIF('TL09'!$C$238:$C$451,$C326,'TL09'!$J$238:$J$451),0),
IF('TL10'!$B$3=O$3,SUMIF('TL10'!$C$10:$C$224,$C326,'TL10'!$J$10:$J$224),0),
IF('TL10'!$B$229=O$3,SUMIF('TL10'!$C$238:$C$451,$C326,'TL10'!$J$238:$J$451),0),
IF('TL11'!$B$3=O$3,SUMIF('TL11'!$C$10:$C$224,$C326,'TL11'!$J$10:$J$224),0),
IF('TL11'!$B$229=O$3,SUMIF('TL11'!$C$238:$C$451,$C326,'TL11'!$J$238:$J$451),0),
IF('TL12'!$B$3=O$3,SUMIF('TL12'!$C$10:$C$224,$C326,'TL12'!$J$10:$J$224),0),
IF('TL12'!$B$229=O$3,SUMIF('TL12'!$C$238:$C$451,$C326,'TL12'!$J$238:$J$451),0),
IF('TL13'!$B$3=O$3,SUMIF('TL13'!$C$10:$C$224,$C326,'TL13'!$J$10:$J$224),0),
IF('TL13'!$B$229=O$3,SUMIF('TL13'!$C$238:$C$451,$C326,'TL13'!$J$238:$J$451),0),
IF('TL14'!$B$3=O$3,SUMIF('TL14'!$C$10:$C$224,$C326,'TL14'!$J$10:$J$224),0),
IF('TL14'!$B$229=O$3,SUMIF('TL14'!$C$238:$C$451,$C326,'TL14'!$J$238:$J$451),0),
IF('TL15'!$B$3=O$3,SUMIF('TL15'!$C$10:$C$224,$C326,'TL15'!$J$10:$J$224),0),
IF('TL15'!$B$229=O$3,SUMIF('TL15'!$C$238:$C$451,$C326,'TL15'!$J$238:$J$451),0),
IF('TL16'!$B$3=O$3,SUMIF('TL16'!$C$10:$C$224,$C326,'TL16'!$J$10:$J$224),0),
IF('TL16'!$B$229=O$3,SUMIF('TL16'!$C$238:$C$451,$C326,'TL16'!$J$238:$J$451),0),
IF('TL17'!$B$3=O$3,SUMIF('TL17'!$C$10:$C$224,$C326,'TL17'!$J$10:$J$224),0),
IF('TL17'!$B$229=O$3,SUMIF('TL17'!$C$238:$C$451,$C326,'TL17'!$J$238:$J$451),0),
IF('TL18'!$B$3=O$3,SUMIF('TL18'!$C$10:$C$224,$C326,'TL18'!$J$10:$J$224),0),
IF('TL18'!$B$229=O$3,SUMIF('TL18'!$C$238:$C$451,$C326,'TL18'!$J$238:$J$451),0),
IF('TL19'!$B$3=O$3,SUMIF('TL19'!$C$10:$C$224,$C326,'TL19'!$J$10:$J$224),0),
IF('TL19'!$B$229=O$3,SUMIF('TL19'!$C$238:$C$451,$C326,'TL19'!$J$238:$J$451),0)
),0)</f>
        <v>0</v>
      </c>
      <c r="P326" s="9">
        <f>IFERROR(SUM(
IF('TL01'!$B$3=P$3,SUMIF('TL01'!$C$10:$C$224,$C326,'TL01'!$J$10:$J$224),0),
IF('TL01'!$B$229=P$3,SUMIF('TL01'!$C$238:$C$451,$C326,'TL01'!$J$238:$J$451),0),
IF('TL02'!$B$3=P$3,SUMIF('TL02'!$C$10:$C$224,$C326,'TL02'!$J$10:$J$224),0),
IF('TL02'!$B$229=P$3,SUMIF('TL02'!$C$238:$C$451,$C326,'TL02'!$J$238:$J$451),0),
IF('TL03'!$B$3=P$3,SUMIF('TL03'!$C$10:$C$224,$C326,'TL03'!$J$10:$J$224),0),
IF('TL03'!$B$229=P$3,SUMIF('TL03'!$C$238:$C$451,$C326,'TL03'!$J$238:$J$451),0),
IF('TL04'!$B$3=P$3,SUMIF('TL04'!$C$10:$C$224,$C326,'TL04'!$J$10:$J$224),0),
IF('TL04'!$B$229=P$3,SUMIF('TL04'!$C$238:$C$451,$C326,'TL04'!$J$238:$J$451),0),
IF('TL05'!$B$3=P$3,SUMIF('TL05'!$C$10:$C$224,$C326,'TL05'!$J$10:$J$224),0),
IF('TL05'!$B$229=P$3,SUMIF('TL05'!$C$238:$C$451,$C326,'TL05'!$J$238:$J$451),0),
IF('TL06'!$B$3=P$3,SUMIF('TL06'!$C$10:$C$224,$C326,'TL06'!$J$10:$J$224),0),
IF('TL06'!$B$229=P$3,SUMIF('TL06'!$C$238:$C$451,$C326,'TL06'!$J$238:$J$451),0),
IF('TL07'!$B$3=P$3,SUMIF('TL07'!$C$10:$C$224,$C326,'TL07'!$J$10:$J$224),0),
IF('TL07'!$B$229=P$3,SUMIF('TL07'!$C$238:$C$451,$C326,'TL07'!$J$238:$J$451),0),
IF('TL08'!$B$3=P$3,SUMIF('TL08'!$C$10:$C$224,$C326,'TL08'!$J$10:$J$224),0),
IF('TL08'!$B$229=P$3,SUMIF('TL08'!$C$238:$C$451,$C326,'TL08'!$J$238:$J$451),0),
IF('TL09'!$B$3=P$3,SUMIF('TL09'!$C$10:$C$224,$C326,'TL09'!$J$10:$J$224),0),
IF('TL09'!$B$229=P$3,SUMIF('TL09'!$C$238:$C$451,$C326,'TL09'!$J$238:$J$451),0),
IF('TL10'!$B$3=P$3,SUMIF('TL10'!$C$10:$C$224,$C326,'TL10'!$J$10:$J$224),0),
IF('TL10'!$B$229=P$3,SUMIF('TL10'!$C$238:$C$451,$C326,'TL10'!$J$238:$J$451),0),
IF('TL11'!$B$3=P$3,SUMIF('TL11'!$C$10:$C$224,$C326,'TL11'!$J$10:$J$224),0),
IF('TL11'!$B$229=P$3,SUMIF('TL11'!$C$238:$C$451,$C326,'TL11'!$J$238:$J$451),0),
IF('TL12'!$B$3=P$3,SUMIF('TL12'!$C$10:$C$224,$C326,'TL12'!$J$10:$J$224),0),
IF('TL12'!$B$229=P$3,SUMIF('TL12'!$C$238:$C$451,$C326,'TL12'!$J$238:$J$451),0),
IF('TL13'!$B$3=P$3,SUMIF('TL13'!$C$10:$C$224,$C326,'TL13'!$J$10:$J$224),0),
IF('TL13'!$B$229=P$3,SUMIF('TL13'!$C$238:$C$451,$C326,'TL13'!$J$238:$J$451),0),
IF('TL14'!$B$3=P$3,SUMIF('TL14'!$C$10:$C$224,$C326,'TL14'!$J$10:$J$224),0),
IF('TL14'!$B$229=P$3,SUMIF('TL14'!$C$238:$C$451,$C326,'TL14'!$J$238:$J$451),0),
IF('TL15'!$B$3=P$3,SUMIF('TL15'!$C$10:$C$224,$C326,'TL15'!$J$10:$J$224),0),
IF('TL15'!$B$229=P$3,SUMIF('TL15'!$C$238:$C$451,$C326,'TL15'!$J$238:$J$451),0),
IF('TL16'!$B$3=P$3,SUMIF('TL16'!$C$10:$C$224,$C326,'TL16'!$J$10:$J$224),0),
IF('TL16'!$B$229=P$3,SUMIF('TL16'!$C$238:$C$451,$C326,'TL16'!$J$238:$J$451),0),
IF('TL17'!$B$3=P$3,SUMIF('TL17'!$C$10:$C$224,$C326,'TL17'!$J$10:$J$224),0),
IF('TL17'!$B$229=P$3,SUMIF('TL17'!$C$238:$C$451,$C326,'TL17'!$J$238:$J$451),0),
IF('TL18'!$B$3=P$3,SUMIF('TL18'!$C$10:$C$224,$C326,'TL18'!$J$10:$J$224),0),
IF('TL18'!$B$229=P$3,SUMIF('TL18'!$C$238:$C$451,$C326,'TL18'!$J$238:$J$451),0),
IF('TL19'!$B$3=P$3,SUMIF('TL19'!$C$10:$C$224,$C326,'TL19'!$J$10:$J$224),0),
IF('TL19'!$B$229=P$3,SUMIF('TL19'!$C$238:$C$451,$C326,'TL19'!$J$238:$J$451),0)
),0)</f>
        <v>0</v>
      </c>
      <c r="Q326" s="9">
        <f>IFERROR(SUM(
IF('TL01'!$B$3=Q$3,SUMIF('TL01'!$C$10:$C$224,$C326,'TL01'!$J$10:$J$224),0),
IF('TL01'!$B$229=Q$3,SUMIF('TL01'!$C$238:$C$451,$C326,'TL01'!$J$238:$J$451),0),
IF('TL02'!$B$3=Q$3,SUMIF('TL02'!$C$10:$C$224,$C326,'TL02'!$J$10:$J$224),0),
IF('TL02'!$B$229=Q$3,SUMIF('TL02'!$C$238:$C$451,$C326,'TL02'!$J$238:$J$451),0),
IF('TL03'!$B$3=Q$3,SUMIF('TL03'!$C$10:$C$224,$C326,'TL03'!$J$10:$J$224),0),
IF('TL03'!$B$229=Q$3,SUMIF('TL03'!$C$238:$C$451,$C326,'TL03'!$J$238:$J$451),0),
IF('TL04'!$B$3=Q$3,SUMIF('TL04'!$C$10:$C$224,$C326,'TL04'!$J$10:$J$224),0),
IF('TL04'!$B$229=Q$3,SUMIF('TL04'!$C$238:$C$451,$C326,'TL04'!$J$238:$J$451),0),
IF('TL05'!$B$3=Q$3,SUMIF('TL05'!$C$10:$C$224,$C326,'TL05'!$J$10:$J$224),0),
IF('TL05'!$B$229=Q$3,SUMIF('TL05'!$C$238:$C$451,$C326,'TL05'!$J$238:$J$451),0),
IF('TL06'!$B$3=Q$3,SUMIF('TL06'!$C$10:$C$224,$C326,'TL06'!$J$10:$J$224),0),
IF('TL06'!$B$229=Q$3,SUMIF('TL06'!$C$238:$C$451,$C326,'TL06'!$J$238:$J$451),0),
IF('TL07'!$B$3=Q$3,SUMIF('TL07'!$C$10:$C$224,$C326,'TL07'!$J$10:$J$224),0),
IF('TL07'!$B$229=Q$3,SUMIF('TL07'!$C$238:$C$451,$C326,'TL07'!$J$238:$J$451),0),
IF('TL08'!$B$3=Q$3,SUMIF('TL08'!$C$10:$C$224,$C326,'TL08'!$J$10:$J$224),0),
IF('TL08'!$B$229=Q$3,SUMIF('TL08'!$C$238:$C$451,$C326,'TL08'!$J$238:$J$451),0),
IF('TL09'!$B$3=Q$3,SUMIF('TL09'!$C$10:$C$224,$C326,'TL09'!$J$10:$J$224),0),
IF('TL09'!$B$229=Q$3,SUMIF('TL09'!$C$238:$C$451,$C326,'TL09'!$J$238:$J$451),0),
IF('TL10'!$B$3=Q$3,SUMIF('TL10'!$C$10:$C$224,$C326,'TL10'!$J$10:$J$224),0),
IF('TL10'!$B$229=Q$3,SUMIF('TL10'!$C$238:$C$451,$C326,'TL10'!$J$238:$J$451),0),
IF('TL11'!$B$3=Q$3,SUMIF('TL11'!$C$10:$C$224,$C326,'TL11'!$J$10:$J$224),0),
IF('TL11'!$B$229=Q$3,SUMIF('TL11'!$C$238:$C$451,$C326,'TL11'!$J$238:$J$451),0),
IF('TL12'!$B$3=Q$3,SUMIF('TL12'!$C$10:$C$224,$C326,'TL12'!$J$10:$J$224),0),
IF('TL12'!$B$229=Q$3,SUMIF('TL12'!$C$238:$C$451,$C326,'TL12'!$J$238:$J$451),0),
IF('TL13'!$B$3=Q$3,SUMIF('TL13'!$C$10:$C$224,$C326,'TL13'!$J$10:$J$224),0),
IF('TL13'!$B$229=Q$3,SUMIF('TL13'!$C$238:$C$451,$C326,'TL13'!$J$238:$J$451),0),
IF('TL14'!$B$3=Q$3,SUMIF('TL14'!$C$10:$C$224,$C326,'TL14'!$J$10:$J$224),0),
IF('TL14'!$B$229=Q$3,SUMIF('TL14'!$C$238:$C$451,$C326,'TL14'!$J$238:$J$451),0),
IF('TL15'!$B$3=Q$3,SUMIF('TL15'!$C$10:$C$224,$C326,'TL15'!$J$10:$J$224),0),
IF('TL15'!$B$229=Q$3,SUMIF('TL15'!$C$238:$C$451,$C326,'TL15'!$J$238:$J$451),0),
IF('TL16'!$B$3=Q$3,SUMIF('TL16'!$C$10:$C$224,$C326,'TL16'!$J$10:$J$224),0),
IF('TL16'!$B$229=Q$3,SUMIF('TL16'!$C$238:$C$451,$C326,'TL16'!$J$238:$J$451),0),
IF('TL17'!$B$3=Q$3,SUMIF('TL17'!$C$10:$C$224,$C326,'TL17'!$J$10:$J$224),0),
IF('TL17'!$B$229=Q$3,SUMIF('TL17'!$C$238:$C$451,$C326,'TL17'!$J$238:$J$451),0),
IF('TL18'!$B$3=Q$3,SUMIF('TL18'!$C$10:$C$224,$C326,'TL18'!$J$10:$J$224),0),
IF('TL18'!$B$229=Q$3,SUMIF('TL18'!$C$238:$C$451,$C326,'TL18'!$J$238:$J$451),0),
IF('TL19'!$B$3=Q$3,SUMIF('TL19'!$C$10:$C$224,$C326,'TL19'!$J$10:$J$224),0),
IF('TL19'!$B$229=Q$3,SUMIF('TL19'!$C$238:$C$451,$C326,'TL19'!$J$238:$J$451),0)
),0)</f>
        <v>0</v>
      </c>
      <c r="R326" s="9">
        <f>IFERROR(
SUM(
SUMIF('TL01'!C:C,C326,'TL01'!J:J),
SUMIF('TL02'!C:C,C326,'TL02'!J:J),
SUMIF('TL03'!C:C,C326,'TL03'!J:J),
SUMIF('TL04'!C:C,C326,'TL04'!J:J),
SUMIF('TL05'!C:C,C326,'TL05'!J:J),
SUMIF('TL06'!C:C,C326,'TL06'!J:J),
SUMIF('TL07'!C:C,C326,'TL07'!J:J),
SUMIF('TL08'!C:C,C326,'TL08'!J:J),
SUMIF('TL09'!C:C,C326,'TL09'!J:J),
SUMIF('TL10'!C:C,C326,'TL10'!J:J),
SUMIF('TL11'!C:C,C326,'TL11'!J:J),
SUMIF('TL12'!C:C,C326,'TL12'!J:J),
SUMIF('TL13'!C:C,C326,'TL13'!J:J),
SUMIF('TL14'!C:C,C326,'TL14'!J:J),
SUMIF('TL15'!C:C,C326,'TL15'!J:J),
SUMIF('TL16'!C:C,C326,'TL16'!J:J),
SUMIF('TL17'!C:C,C326,'TL17'!J:J),
SUMIF('TL18'!C:C,C326,'TL18'!J:J),SUMIF('TL19'!C:C,C326,'TL19'!J:J))
,0)</f>
        <v>0</v>
      </c>
      <c r="S326" s="17" t="str">
        <f>IFERROR(__xludf.DUMMYFUNCTION("IFERROR(VLOOKUP(C326,
IMPORTRANGE(""1wULbzX32WdYsx-lj2U3uUNBBe2INVIRDtcK0d-Dvl90"",
""26-27!C:G""),
5,
FALSE),
"""")"),"")</f>
        <v/>
      </c>
      <c r="T326" s="9"/>
      <c r="U326" s="92">
        <f t="shared" si="2"/>
        <v>0</v>
      </c>
      <c r="V326" s="93">
        <f t="shared" si="3"/>
        <v>0</v>
      </c>
    </row>
    <row r="327" ht="15.75" hidden="1" customHeight="1">
      <c r="A327" s="4"/>
      <c r="B327" s="125" t="s">
        <v>5</v>
      </c>
      <c r="C327" s="4" t="s">
        <v>1053</v>
      </c>
      <c r="D327" s="6"/>
      <c r="E327" s="9"/>
      <c r="F327" s="4" t="s">
        <v>1042</v>
      </c>
      <c r="G327" s="90" t="str">
        <f t="shared" si="5"/>
        <v>📄 Ver bula</v>
      </c>
      <c r="H327" s="9"/>
      <c r="I327" s="1" t="s">
        <v>1043</v>
      </c>
      <c r="J327" s="9">
        <f>IFERROR(SUM(
IF('TL01'!$B$3=J$3,SUMIF('TL01'!$C$10:$C$224,$C327,'TL01'!$J$10:$J$224),0),
IF('TL01'!$B$229=J$3,SUMIF('TL01'!$C$238:$C$451,$C327,'TL01'!$J$238:$J$451),0),
IF('TL02'!$B$3=J$3,SUMIF('TL02'!$C$10:$C$224,$C327,'TL02'!$J$10:$J$224),0),
IF('TL02'!$B$229=J$3,SUMIF('TL02'!$C$238:$C$451,$C327,'TL02'!$J$238:$J$451),0),
IF('TL03'!$B$3=J$3,SUMIF('TL03'!$C$10:$C$224,$C327,'TL03'!$J$10:$J$224),0),
IF('TL03'!$B$229=J$3,SUMIF('TL03'!$C$238:$C$451,$C327,'TL03'!$J$238:$J$451),0),
IF('TL04'!$B$3=J$3,SUMIF('TL04'!$C$10:$C$224,$C327,'TL04'!$J$10:$J$224),0),
IF('TL04'!$B$229=J$3,SUMIF('TL04'!$C$238:$C$451,$C327,'TL04'!$J$238:$J$451),0),
IF('TL05'!$B$3=J$3,SUMIF('TL05'!$C$10:$C$224,$C327,'TL05'!$J$10:$J$224),0),
IF('TL05'!$B$229=J$3,SUMIF('TL05'!$C$238:$C$451,$C327,'TL05'!$J$238:$J$451),0),
IF('TL06'!$B$3=J$3,SUMIF('TL06'!$C$10:$C$224,$C327,'TL06'!$J$10:$J$224),0),
IF('TL06'!$B$229=J$3,SUMIF('TL06'!$C$238:$C$451,$C327,'TL06'!$J$238:$J$451),0),
IF('TL07'!$B$3=J$3,SUMIF('TL07'!$C$10:$C$224,$C327,'TL07'!$J$10:$J$224),0),
IF('TL07'!$B$229=J$3,SUMIF('TL07'!$C$238:$C$451,$C327,'TL07'!$J$238:$J$451),0),
IF('TL08'!$B$3=J$3,SUMIF('TL08'!$C$10:$C$224,$C327,'TL08'!$J$10:$J$224),0),
IF('TL08'!$B$229=J$3,SUMIF('TL08'!$C$238:$C$451,$C327,'TL08'!$J$238:$J$451),0),
IF('TL09'!$B$3=J$3,SUMIF('TL09'!$C$10:$C$224,$C327,'TL09'!$J$10:$J$224),0),
IF('TL09'!$B$229=J$3,SUMIF('TL09'!$C$238:$C$451,$C327,'TL09'!$J$238:$J$451),0),
IF('TL10'!$B$3=J$3,SUMIF('TL10'!$C$10:$C$224,$C327,'TL10'!$J$10:$J$224),0),
IF('TL10'!$B$229=J$3,SUMIF('TL10'!$C$238:$C$451,$C327,'TL10'!$J$238:$J$451),0),
IF('TL11'!$B$3=J$3,SUMIF('TL11'!$C$10:$C$224,$C327,'TL11'!$J$10:$J$224),0),
IF('TL11'!$B$229=J$3,SUMIF('TL11'!$C$238:$C$451,$C327,'TL11'!$J$238:$J$451),0),
IF('TL12'!$B$3=J$3,SUMIF('TL12'!$C$10:$C$224,$C327,'TL12'!$J$10:$J$224),0),
IF('TL12'!$B$229=J$3,SUMIF('TL12'!$C$238:$C$451,$C327,'TL12'!$J$238:$J$451),0),
IF('TL13'!$B$3=J$3,SUMIF('TL13'!$C$10:$C$224,$C327,'TL13'!$J$10:$J$224),0),
IF('TL13'!$B$229=J$3,SUMIF('TL13'!$C$238:$C$451,$C327,'TL13'!$J$238:$J$451),0),
IF('TL14'!$B$3=J$3,SUMIF('TL14'!$C$10:$C$224,$C327,'TL14'!$J$10:$J$224),0),
IF('TL14'!$B$229=J$3,SUMIF('TL14'!$C$238:$C$451,$C327,'TL14'!$J$238:$J$451),0),
IF('TL15'!$B$3=J$3,SUMIF('TL15'!$C$10:$C$224,$C327,'TL15'!$J$10:$J$224),0),
IF('TL15'!$B$229=J$3,SUMIF('TL15'!$C$238:$C$451,$C327,'TL15'!$J$238:$J$451),0),
IF('TL16'!$B$3=J$3,SUMIF('TL16'!$C$10:$C$224,$C327,'TL16'!$J$10:$J$224),0),
IF('TL16'!$B$229=J$3,SUMIF('TL16'!$C$238:$C$451,$C327,'TL16'!$J$238:$J$451),0),
IF('TL17'!$B$3=J$3,SUMIF('TL17'!$C$10:$C$224,$C327,'TL17'!$J$10:$J$224),0),
IF('TL17'!$B$229=J$3,SUMIF('TL17'!$C$238:$C$451,$C327,'TL17'!$J$238:$J$451),0),
IF('TL18'!$B$3=J$3,SUMIF('TL18'!$C$10:$C$224,$C327,'TL18'!$J$10:$J$224),0),
IF('TL18'!$B$229=J$3,SUMIF('TL18'!$C$238:$C$451,$C327,'TL18'!$J$238:$J$451),0),
IF('TL19'!$B$3=J$3,SUMIF('TL19'!$C$10:$C$224,$C327,'TL19'!$J$10:$J$224),0),
IF('TL19'!$B$229=J$3,SUMIF('TL19'!$C$238:$C$451,$C327,'TL19'!$J$238:$J$451),0)
),0)</f>
        <v>0</v>
      </c>
      <c r="K327" s="9">
        <f>IFERROR(SUM(
IF('TL01'!$B$3=K$3,SUMIF('TL01'!$C$10:$C$224,$C327,'TL01'!$J$10:$J$224),0),
IF('TL01'!$B$229=K$3,SUMIF('TL01'!$C$238:$C$451,$C327,'TL01'!$J$238:$J$451),0),
IF('TL02'!$B$3=K$3,SUMIF('TL02'!$C$10:$C$224,$C327,'TL02'!$J$10:$J$224),0),
IF('TL02'!$B$229=K$3,SUMIF('TL02'!$C$238:$C$451,$C327,'TL02'!$J$238:$J$451),0),
IF('TL03'!$B$3=K$3,SUMIF('TL03'!$C$10:$C$224,$C327,'TL03'!$J$10:$J$224),0),
IF('TL03'!$B$229=K$3,SUMIF('TL03'!$C$238:$C$451,$C327,'TL03'!$J$238:$J$451),0),
IF('TL04'!$B$3=K$3,SUMIF('TL04'!$C$10:$C$224,$C327,'TL04'!$J$10:$J$224),0),
IF('TL04'!$B$229=K$3,SUMIF('TL04'!$C$238:$C$451,$C327,'TL04'!$J$238:$J$451),0),
IF('TL05'!$B$3=K$3,SUMIF('TL05'!$C$10:$C$224,$C327,'TL05'!$J$10:$J$224),0),
IF('TL05'!$B$229=K$3,SUMIF('TL05'!$C$238:$C$451,$C327,'TL05'!$J$238:$J$451),0),
IF('TL06'!$B$3=K$3,SUMIF('TL06'!$C$10:$C$224,$C327,'TL06'!$J$10:$J$224),0),
IF('TL06'!$B$229=K$3,SUMIF('TL06'!$C$238:$C$451,$C327,'TL06'!$J$238:$J$451),0),
IF('TL07'!$B$3=K$3,SUMIF('TL07'!$C$10:$C$224,$C327,'TL07'!$J$10:$J$224),0),
IF('TL07'!$B$229=K$3,SUMIF('TL07'!$C$238:$C$451,$C327,'TL07'!$J$238:$J$451),0),
IF('TL08'!$B$3=K$3,SUMIF('TL08'!$C$10:$C$224,$C327,'TL08'!$J$10:$J$224),0),
IF('TL08'!$B$229=K$3,SUMIF('TL08'!$C$238:$C$451,$C327,'TL08'!$J$238:$J$451),0),
IF('TL09'!$B$3=K$3,SUMIF('TL09'!$C$10:$C$224,$C327,'TL09'!$J$10:$J$224),0),
IF('TL09'!$B$229=K$3,SUMIF('TL09'!$C$238:$C$451,$C327,'TL09'!$J$238:$J$451),0),
IF('TL10'!$B$3=K$3,SUMIF('TL10'!$C$10:$C$224,$C327,'TL10'!$J$10:$J$224),0),
IF('TL10'!$B$229=K$3,SUMIF('TL10'!$C$238:$C$451,$C327,'TL10'!$J$238:$J$451),0),
IF('TL11'!$B$3=K$3,SUMIF('TL11'!$C$10:$C$224,$C327,'TL11'!$J$10:$J$224),0),
IF('TL11'!$B$229=K$3,SUMIF('TL11'!$C$238:$C$451,$C327,'TL11'!$J$238:$J$451),0),
IF('TL12'!$B$3=K$3,SUMIF('TL12'!$C$10:$C$224,$C327,'TL12'!$J$10:$J$224),0),
IF('TL12'!$B$229=K$3,SUMIF('TL12'!$C$238:$C$451,$C327,'TL12'!$J$238:$J$451),0),
IF('TL13'!$B$3=K$3,SUMIF('TL13'!$C$10:$C$224,$C327,'TL13'!$J$10:$J$224),0),
IF('TL13'!$B$229=K$3,SUMIF('TL13'!$C$238:$C$451,$C327,'TL13'!$J$238:$J$451),0),
IF('TL14'!$B$3=K$3,SUMIF('TL14'!$C$10:$C$224,$C327,'TL14'!$J$10:$J$224),0),
IF('TL14'!$B$229=K$3,SUMIF('TL14'!$C$238:$C$451,$C327,'TL14'!$J$238:$J$451),0),
IF('TL15'!$B$3=K$3,SUMIF('TL15'!$C$10:$C$224,$C327,'TL15'!$J$10:$J$224),0),
IF('TL15'!$B$229=K$3,SUMIF('TL15'!$C$238:$C$451,$C327,'TL15'!$J$238:$J$451),0),
IF('TL16'!$B$3=K$3,SUMIF('TL16'!$C$10:$C$224,$C327,'TL16'!$J$10:$J$224),0),
IF('TL16'!$B$229=K$3,SUMIF('TL16'!$C$238:$C$451,$C327,'TL16'!$J$238:$J$451),0),
IF('TL17'!$B$3=K$3,SUMIF('TL17'!$C$10:$C$224,$C327,'TL17'!$J$10:$J$224),0),
IF('TL17'!$B$229=K$3,SUMIF('TL17'!$C$238:$C$451,$C327,'TL17'!$J$238:$J$451),0),
IF('TL18'!$B$3=K$3,SUMIF('TL18'!$C$10:$C$224,$C327,'TL18'!$J$10:$J$224),0),
IF('TL18'!$B$229=K$3,SUMIF('TL18'!$C$238:$C$451,$C327,'TL18'!$J$238:$J$451),0),
IF('TL19'!$B$3=K$3,SUMIF('TL19'!$C$10:$C$224,$C327,'TL19'!$J$10:$J$224),0),
IF('TL19'!$B$229=K$3,SUMIF('TL19'!$C$238:$C$451,$C327,'TL19'!$J$238:$J$451),0)
),0)</f>
        <v>0</v>
      </c>
      <c r="L327" s="9">
        <f>IFERROR(SUM(
IF('TL01'!$B$3=L$3,SUMIF('TL01'!$C$10:$C$224,$C327,'TL01'!$J$10:$J$224),0),
IF('TL01'!$B$229=L$3,SUMIF('TL01'!$C$238:$C$451,$C327,'TL01'!$J$238:$J$451),0),
IF('TL02'!$B$3=L$3,SUMIF('TL02'!$C$10:$C$224,$C327,'TL02'!$J$10:$J$224),0),
IF('TL02'!$B$229=L$3,SUMIF('TL02'!$C$238:$C$451,$C327,'TL02'!$J$238:$J$451),0),
IF('TL03'!$B$3=L$3,SUMIF('TL03'!$C$10:$C$224,$C327,'TL03'!$J$10:$J$224),0),
IF('TL03'!$B$229=L$3,SUMIF('TL03'!$C$238:$C$451,$C327,'TL03'!$J$238:$J$451),0),
IF('TL04'!$B$3=L$3,SUMIF('TL04'!$C$10:$C$224,$C327,'TL04'!$J$10:$J$224),0),
IF('TL04'!$B$229=L$3,SUMIF('TL04'!$C$238:$C$451,$C327,'TL04'!$J$238:$J$451),0),
IF('TL05'!$B$3=L$3,SUMIF('TL05'!$C$10:$C$224,$C327,'TL05'!$J$10:$J$224),0),
IF('TL05'!$B$229=L$3,SUMIF('TL05'!$C$238:$C$451,$C327,'TL05'!$J$238:$J$451),0),
IF('TL06'!$B$3=L$3,SUMIF('TL06'!$C$10:$C$224,$C327,'TL06'!$J$10:$J$224),0),
IF('TL06'!$B$229=L$3,SUMIF('TL06'!$C$238:$C$451,$C327,'TL06'!$J$238:$J$451),0),
IF('TL07'!$B$3=L$3,SUMIF('TL07'!$C$10:$C$224,$C327,'TL07'!$J$10:$J$224),0),
IF('TL07'!$B$229=L$3,SUMIF('TL07'!$C$238:$C$451,$C327,'TL07'!$J$238:$J$451),0),
IF('TL08'!$B$3=L$3,SUMIF('TL08'!$C$10:$C$224,$C327,'TL08'!$J$10:$J$224),0),
IF('TL08'!$B$229=L$3,SUMIF('TL08'!$C$238:$C$451,$C327,'TL08'!$J$238:$J$451),0),
IF('TL09'!$B$3=L$3,SUMIF('TL09'!$C$10:$C$224,$C327,'TL09'!$J$10:$J$224),0),
IF('TL09'!$B$229=L$3,SUMIF('TL09'!$C$238:$C$451,$C327,'TL09'!$J$238:$J$451),0),
IF('TL10'!$B$3=L$3,SUMIF('TL10'!$C$10:$C$224,$C327,'TL10'!$J$10:$J$224),0),
IF('TL10'!$B$229=L$3,SUMIF('TL10'!$C$238:$C$451,$C327,'TL10'!$J$238:$J$451),0),
IF('TL11'!$B$3=L$3,SUMIF('TL11'!$C$10:$C$224,$C327,'TL11'!$J$10:$J$224),0),
IF('TL11'!$B$229=L$3,SUMIF('TL11'!$C$238:$C$451,$C327,'TL11'!$J$238:$J$451),0),
IF('TL12'!$B$3=L$3,SUMIF('TL12'!$C$10:$C$224,$C327,'TL12'!$J$10:$J$224),0),
IF('TL12'!$B$229=L$3,SUMIF('TL12'!$C$238:$C$451,$C327,'TL12'!$J$238:$J$451),0),
IF('TL13'!$B$3=L$3,SUMIF('TL13'!$C$10:$C$224,$C327,'TL13'!$J$10:$J$224),0),
IF('TL13'!$B$229=L$3,SUMIF('TL13'!$C$238:$C$451,$C327,'TL13'!$J$238:$J$451),0),
IF('TL14'!$B$3=L$3,SUMIF('TL14'!$C$10:$C$224,$C327,'TL14'!$J$10:$J$224),0),
IF('TL14'!$B$229=L$3,SUMIF('TL14'!$C$238:$C$451,$C327,'TL14'!$J$238:$J$451),0),
IF('TL15'!$B$3=L$3,SUMIF('TL15'!$C$10:$C$224,$C327,'TL15'!$J$10:$J$224),0),
IF('TL15'!$B$229=L$3,SUMIF('TL15'!$C$238:$C$451,$C327,'TL15'!$J$238:$J$451),0),
IF('TL16'!$B$3=L$3,SUMIF('TL16'!$C$10:$C$224,$C327,'TL16'!$J$10:$J$224),0),
IF('TL16'!$B$229=L$3,SUMIF('TL16'!$C$238:$C$451,$C327,'TL16'!$J$238:$J$451),0),
IF('TL17'!$B$3=L$3,SUMIF('TL17'!$C$10:$C$224,$C327,'TL17'!$J$10:$J$224),0),
IF('TL17'!$B$229=L$3,SUMIF('TL17'!$C$238:$C$451,$C327,'TL17'!$J$238:$J$451),0),
IF('TL18'!$B$3=L$3,SUMIF('TL18'!$C$10:$C$224,$C327,'TL18'!$J$10:$J$224),0),
IF('TL18'!$B$229=L$3,SUMIF('TL18'!$C$238:$C$451,$C327,'TL18'!$J$238:$J$451),0),
IF('TL19'!$B$3=L$3,SUMIF('TL19'!$C$10:$C$224,$C327,'TL19'!$J$10:$J$224),0),
IF('TL19'!$B$229=L$3,SUMIF('TL19'!$C$238:$C$451,$C327,'TL19'!$J$238:$J$451),0)
),0)</f>
        <v>0</v>
      </c>
      <c r="M327" s="9">
        <f>IFERROR(SUM(
IF('TL01'!$B$3=M$3,SUMIF('TL01'!$C$10:$C$224,$C327,'TL01'!$J$10:$J$224),0),
IF('TL01'!$B$229=M$3,SUMIF('TL01'!$C$238:$C$451,$C327,'TL01'!$J$238:$J$451),0),
IF('TL02'!$B$3=M$3,SUMIF('TL02'!$C$10:$C$224,$C327,'TL02'!$J$10:$J$224),0),
IF('TL02'!$B$229=M$3,SUMIF('TL02'!$C$238:$C$451,$C327,'TL02'!$J$238:$J$451),0),
IF('TL03'!$B$3=M$3,SUMIF('TL03'!$C$10:$C$224,$C327,'TL03'!$J$10:$J$224),0),
IF('TL03'!$B$229=M$3,SUMIF('TL03'!$C$238:$C$451,$C327,'TL03'!$J$238:$J$451),0),
IF('TL04'!$B$3=M$3,SUMIF('TL04'!$C$10:$C$224,$C327,'TL04'!$J$10:$J$224),0),
IF('TL04'!$B$229=M$3,SUMIF('TL04'!$C$238:$C$451,$C327,'TL04'!$J$238:$J$451),0),
IF('TL05'!$B$3=M$3,SUMIF('TL05'!$C$10:$C$224,$C327,'TL05'!$J$10:$J$224),0),
IF('TL05'!$B$229=M$3,SUMIF('TL05'!$C$238:$C$451,$C327,'TL05'!$J$238:$J$451),0),
IF('TL06'!$B$3=M$3,SUMIF('TL06'!$C$10:$C$224,$C327,'TL06'!$J$10:$J$224),0),
IF('TL06'!$B$229=M$3,SUMIF('TL06'!$C$238:$C$451,$C327,'TL06'!$J$238:$J$451),0),
IF('TL07'!$B$3=M$3,SUMIF('TL07'!$C$10:$C$224,$C327,'TL07'!$J$10:$J$224),0),
IF('TL07'!$B$229=M$3,SUMIF('TL07'!$C$238:$C$451,$C327,'TL07'!$J$238:$J$451),0),
IF('TL08'!$B$3=M$3,SUMIF('TL08'!$C$10:$C$224,$C327,'TL08'!$J$10:$J$224),0),
IF('TL08'!$B$229=M$3,SUMIF('TL08'!$C$238:$C$451,$C327,'TL08'!$J$238:$J$451),0),
IF('TL09'!$B$3=M$3,SUMIF('TL09'!$C$10:$C$224,$C327,'TL09'!$J$10:$J$224),0),
IF('TL09'!$B$229=M$3,SUMIF('TL09'!$C$238:$C$451,$C327,'TL09'!$J$238:$J$451),0),
IF('TL10'!$B$3=M$3,SUMIF('TL10'!$C$10:$C$224,$C327,'TL10'!$J$10:$J$224),0),
IF('TL10'!$B$229=M$3,SUMIF('TL10'!$C$238:$C$451,$C327,'TL10'!$J$238:$J$451),0),
IF('TL11'!$B$3=M$3,SUMIF('TL11'!$C$10:$C$224,$C327,'TL11'!$J$10:$J$224),0),
IF('TL11'!$B$229=M$3,SUMIF('TL11'!$C$238:$C$451,$C327,'TL11'!$J$238:$J$451),0),
IF('TL12'!$B$3=M$3,SUMIF('TL12'!$C$10:$C$224,$C327,'TL12'!$J$10:$J$224),0),
IF('TL12'!$B$229=M$3,SUMIF('TL12'!$C$238:$C$451,$C327,'TL12'!$J$238:$J$451),0),
IF('TL13'!$B$3=M$3,SUMIF('TL13'!$C$10:$C$224,$C327,'TL13'!$J$10:$J$224),0),
IF('TL13'!$B$229=M$3,SUMIF('TL13'!$C$238:$C$451,$C327,'TL13'!$J$238:$J$451),0),
IF('TL14'!$B$3=M$3,SUMIF('TL14'!$C$10:$C$224,$C327,'TL14'!$J$10:$J$224),0),
IF('TL14'!$B$229=M$3,SUMIF('TL14'!$C$238:$C$451,$C327,'TL14'!$J$238:$J$451),0),
IF('TL15'!$B$3=M$3,SUMIF('TL15'!$C$10:$C$224,$C327,'TL15'!$J$10:$J$224),0),
IF('TL15'!$B$229=M$3,SUMIF('TL15'!$C$238:$C$451,$C327,'TL15'!$J$238:$J$451),0),
IF('TL16'!$B$3=M$3,SUMIF('TL16'!$C$10:$C$224,$C327,'TL16'!$J$10:$J$224),0),
IF('TL16'!$B$229=M$3,SUMIF('TL16'!$C$238:$C$451,$C327,'TL16'!$J$238:$J$451),0),
IF('TL17'!$B$3=M$3,SUMIF('TL17'!$C$10:$C$224,$C327,'TL17'!$J$10:$J$224),0),
IF('TL17'!$B$229=M$3,SUMIF('TL17'!$C$238:$C$451,$C327,'TL17'!$J$238:$J$451),0),
IF('TL18'!$B$3=M$3,SUMIF('TL18'!$C$10:$C$224,$C327,'TL18'!$J$10:$J$224),0),
IF('TL18'!$B$229=M$3,SUMIF('TL18'!$C$238:$C$451,$C327,'TL18'!$J$238:$J$451),0),
IF('TL19'!$B$3=M$3,SUMIF('TL19'!$C$10:$C$224,$C327,'TL19'!$J$10:$J$224),0),
IF('TL19'!$B$229=M$3,SUMIF('TL19'!$C$238:$C$451,$C327,'TL19'!$J$238:$J$451),0)
),0)</f>
        <v>0</v>
      </c>
      <c r="N327" s="9">
        <f>IFERROR(SUM(
IF('TL01'!$B$3=N$3,SUMIF('TL01'!$C$10:$C$224,$C327,'TL01'!$J$10:$J$224),0),
IF('TL01'!$B$229=N$3,SUMIF('TL01'!$C$238:$C$451,$C327,'TL01'!$J$238:$J$451),0),
IF('TL02'!$B$3=N$3,SUMIF('TL02'!$C$10:$C$224,$C327,'TL02'!$J$10:$J$224),0),
IF('TL02'!$B$229=N$3,SUMIF('TL02'!$C$238:$C$451,$C327,'TL02'!$J$238:$J$451),0),
IF('TL03'!$B$3=N$3,SUMIF('TL03'!$C$10:$C$224,$C327,'TL03'!$J$10:$J$224),0),
IF('TL03'!$B$229=N$3,SUMIF('TL03'!$C$238:$C$451,$C327,'TL03'!$J$238:$J$451),0),
IF('TL04'!$B$3=N$3,SUMIF('TL04'!$C$10:$C$224,$C327,'TL04'!$J$10:$J$224),0),
IF('TL04'!$B$229=N$3,SUMIF('TL04'!$C$238:$C$451,$C327,'TL04'!$J$238:$J$451),0),
IF('TL05'!$B$3=N$3,SUMIF('TL05'!$C$10:$C$224,$C327,'TL05'!$J$10:$J$224),0),
IF('TL05'!$B$229=N$3,SUMIF('TL05'!$C$238:$C$451,$C327,'TL05'!$J$238:$J$451),0),
IF('TL06'!$B$3=N$3,SUMIF('TL06'!$C$10:$C$224,$C327,'TL06'!$J$10:$J$224),0),
IF('TL06'!$B$229=N$3,SUMIF('TL06'!$C$238:$C$451,$C327,'TL06'!$J$238:$J$451),0),
IF('TL07'!$B$3=N$3,SUMIF('TL07'!$C$10:$C$224,$C327,'TL07'!$J$10:$J$224),0),
IF('TL07'!$B$229=N$3,SUMIF('TL07'!$C$238:$C$451,$C327,'TL07'!$J$238:$J$451),0),
IF('TL08'!$B$3=N$3,SUMIF('TL08'!$C$10:$C$224,$C327,'TL08'!$J$10:$J$224),0),
IF('TL08'!$B$229=N$3,SUMIF('TL08'!$C$238:$C$451,$C327,'TL08'!$J$238:$J$451),0),
IF('TL09'!$B$3=N$3,SUMIF('TL09'!$C$10:$C$224,$C327,'TL09'!$J$10:$J$224),0),
IF('TL09'!$B$229=N$3,SUMIF('TL09'!$C$238:$C$451,$C327,'TL09'!$J$238:$J$451),0),
IF('TL10'!$B$3=N$3,SUMIF('TL10'!$C$10:$C$224,$C327,'TL10'!$J$10:$J$224),0),
IF('TL10'!$B$229=N$3,SUMIF('TL10'!$C$238:$C$451,$C327,'TL10'!$J$238:$J$451),0),
IF('TL11'!$B$3=N$3,SUMIF('TL11'!$C$10:$C$224,$C327,'TL11'!$J$10:$J$224),0),
IF('TL11'!$B$229=N$3,SUMIF('TL11'!$C$238:$C$451,$C327,'TL11'!$J$238:$J$451),0),
IF('TL12'!$B$3=N$3,SUMIF('TL12'!$C$10:$C$224,$C327,'TL12'!$J$10:$J$224),0),
IF('TL12'!$B$229=N$3,SUMIF('TL12'!$C$238:$C$451,$C327,'TL12'!$J$238:$J$451),0),
IF('TL13'!$B$3=N$3,SUMIF('TL13'!$C$10:$C$224,$C327,'TL13'!$J$10:$J$224),0),
IF('TL13'!$B$229=N$3,SUMIF('TL13'!$C$238:$C$451,$C327,'TL13'!$J$238:$J$451),0),
IF('TL14'!$B$3=N$3,SUMIF('TL14'!$C$10:$C$224,$C327,'TL14'!$J$10:$J$224),0),
IF('TL14'!$B$229=N$3,SUMIF('TL14'!$C$238:$C$451,$C327,'TL14'!$J$238:$J$451),0),
IF('TL15'!$B$3=N$3,SUMIF('TL15'!$C$10:$C$224,$C327,'TL15'!$J$10:$J$224),0),
IF('TL15'!$B$229=N$3,SUMIF('TL15'!$C$238:$C$451,$C327,'TL15'!$J$238:$J$451),0),
IF('TL16'!$B$3=N$3,SUMIF('TL16'!$C$10:$C$224,$C327,'TL16'!$J$10:$J$224),0),
IF('TL16'!$B$229=N$3,SUMIF('TL16'!$C$238:$C$451,$C327,'TL16'!$J$238:$J$451),0),
IF('TL17'!$B$3=N$3,SUMIF('TL17'!$C$10:$C$224,$C327,'TL17'!$J$10:$J$224),0),
IF('TL17'!$B$229=N$3,SUMIF('TL17'!$C$238:$C$451,$C327,'TL17'!$J$238:$J$451),0),
IF('TL18'!$B$3=N$3,SUMIF('TL18'!$C$10:$C$224,$C327,'TL18'!$J$10:$J$224),0),
IF('TL18'!$B$229=N$3,SUMIF('TL18'!$C$238:$C$451,$C327,'TL18'!$J$238:$J$451),0),
IF('TL19'!$B$3=N$3,SUMIF('TL19'!$C$10:$C$224,$C327,'TL19'!$J$10:$J$224),0),
IF('TL19'!$B$229=N$3,SUMIF('TL19'!$C$238:$C$451,$C327,'TL19'!$J$238:$J$451),0)
),0)</f>
        <v>0</v>
      </c>
      <c r="O327" s="9">
        <f>IFERROR(SUM(
IF('TL01'!$B$3=O$3,SUMIF('TL01'!$C$10:$C$224,$C327,'TL01'!$J$10:$J$224),0),
IF('TL01'!$B$229=O$3,SUMIF('TL01'!$C$238:$C$451,$C327,'TL01'!$J$238:$J$451),0),
IF('TL02'!$B$3=O$3,SUMIF('TL02'!$C$10:$C$224,$C327,'TL02'!$J$10:$J$224),0),
IF('TL02'!$B$229=O$3,SUMIF('TL02'!$C$238:$C$451,$C327,'TL02'!$J$238:$J$451),0),
IF('TL03'!$B$3=O$3,SUMIF('TL03'!$C$10:$C$224,$C327,'TL03'!$J$10:$J$224),0),
IF('TL03'!$B$229=O$3,SUMIF('TL03'!$C$238:$C$451,$C327,'TL03'!$J$238:$J$451),0),
IF('TL04'!$B$3=O$3,SUMIF('TL04'!$C$10:$C$224,$C327,'TL04'!$J$10:$J$224),0),
IF('TL04'!$B$229=O$3,SUMIF('TL04'!$C$238:$C$451,$C327,'TL04'!$J$238:$J$451),0),
IF('TL05'!$B$3=O$3,SUMIF('TL05'!$C$10:$C$224,$C327,'TL05'!$J$10:$J$224),0),
IF('TL05'!$B$229=O$3,SUMIF('TL05'!$C$238:$C$451,$C327,'TL05'!$J$238:$J$451),0),
IF('TL06'!$B$3=O$3,SUMIF('TL06'!$C$10:$C$224,$C327,'TL06'!$J$10:$J$224),0),
IF('TL06'!$B$229=O$3,SUMIF('TL06'!$C$238:$C$451,$C327,'TL06'!$J$238:$J$451),0),
IF('TL07'!$B$3=O$3,SUMIF('TL07'!$C$10:$C$224,$C327,'TL07'!$J$10:$J$224),0),
IF('TL07'!$B$229=O$3,SUMIF('TL07'!$C$238:$C$451,$C327,'TL07'!$J$238:$J$451),0),
IF('TL08'!$B$3=O$3,SUMIF('TL08'!$C$10:$C$224,$C327,'TL08'!$J$10:$J$224),0),
IF('TL08'!$B$229=O$3,SUMIF('TL08'!$C$238:$C$451,$C327,'TL08'!$J$238:$J$451),0),
IF('TL09'!$B$3=O$3,SUMIF('TL09'!$C$10:$C$224,$C327,'TL09'!$J$10:$J$224),0),
IF('TL09'!$B$229=O$3,SUMIF('TL09'!$C$238:$C$451,$C327,'TL09'!$J$238:$J$451),0),
IF('TL10'!$B$3=O$3,SUMIF('TL10'!$C$10:$C$224,$C327,'TL10'!$J$10:$J$224),0),
IF('TL10'!$B$229=O$3,SUMIF('TL10'!$C$238:$C$451,$C327,'TL10'!$J$238:$J$451),0),
IF('TL11'!$B$3=O$3,SUMIF('TL11'!$C$10:$C$224,$C327,'TL11'!$J$10:$J$224),0),
IF('TL11'!$B$229=O$3,SUMIF('TL11'!$C$238:$C$451,$C327,'TL11'!$J$238:$J$451),0),
IF('TL12'!$B$3=O$3,SUMIF('TL12'!$C$10:$C$224,$C327,'TL12'!$J$10:$J$224),0),
IF('TL12'!$B$229=O$3,SUMIF('TL12'!$C$238:$C$451,$C327,'TL12'!$J$238:$J$451),0),
IF('TL13'!$B$3=O$3,SUMIF('TL13'!$C$10:$C$224,$C327,'TL13'!$J$10:$J$224),0),
IF('TL13'!$B$229=O$3,SUMIF('TL13'!$C$238:$C$451,$C327,'TL13'!$J$238:$J$451),0),
IF('TL14'!$B$3=O$3,SUMIF('TL14'!$C$10:$C$224,$C327,'TL14'!$J$10:$J$224),0),
IF('TL14'!$B$229=O$3,SUMIF('TL14'!$C$238:$C$451,$C327,'TL14'!$J$238:$J$451),0),
IF('TL15'!$B$3=O$3,SUMIF('TL15'!$C$10:$C$224,$C327,'TL15'!$J$10:$J$224),0),
IF('TL15'!$B$229=O$3,SUMIF('TL15'!$C$238:$C$451,$C327,'TL15'!$J$238:$J$451),0),
IF('TL16'!$B$3=O$3,SUMIF('TL16'!$C$10:$C$224,$C327,'TL16'!$J$10:$J$224),0),
IF('TL16'!$B$229=O$3,SUMIF('TL16'!$C$238:$C$451,$C327,'TL16'!$J$238:$J$451),0),
IF('TL17'!$B$3=O$3,SUMIF('TL17'!$C$10:$C$224,$C327,'TL17'!$J$10:$J$224),0),
IF('TL17'!$B$229=O$3,SUMIF('TL17'!$C$238:$C$451,$C327,'TL17'!$J$238:$J$451),0),
IF('TL18'!$B$3=O$3,SUMIF('TL18'!$C$10:$C$224,$C327,'TL18'!$J$10:$J$224),0),
IF('TL18'!$B$229=O$3,SUMIF('TL18'!$C$238:$C$451,$C327,'TL18'!$J$238:$J$451),0),
IF('TL19'!$B$3=O$3,SUMIF('TL19'!$C$10:$C$224,$C327,'TL19'!$J$10:$J$224),0),
IF('TL19'!$B$229=O$3,SUMIF('TL19'!$C$238:$C$451,$C327,'TL19'!$J$238:$J$451),0)
),0)</f>
        <v>0</v>
      </c>
      <c r="P327" s="9">
        <f>IFERROR(SUM(
IF('TL01'!$B$3=P$3,SUMIF('TL01'!$C$10:$C$224,$C327,'TL01'!$J$10:$J$224),0),
IF('TL01'!$B$229=P$3,SUMIF('TL01'!$C$238:$C$451,$C327,'TL01'!$J$238:$J$451),0),
IF('TL02'!$B$3=P$3,SUMIF('TL02'!$C$10:$C$224,$C327,'TL02'!$J$10:$J$224),0),
IF('TL02'!$B$229=P$3,SUMIF('TL02'!$C$238:$C$451,$C327,'TL02'!$J$238:$J$451),0),
IF('TL03'!$B$3=P$3,SUMIF('TL03'!$C$10:$C$224,$C327,'TL03'!$J$10:$J$224),0),
IF('TL03'!$B$229=P$3,SUMIF('TL03'!$C$238:$C$451,$C327,'TL03'!$J$238:$J$451),0),
IF('TL04'!$B$3=P$3,SUMIF('TL04'!$C$10:$C$224,$C327,'TL04'!$J$10:$J$224),0),
IF('TL04'!$B$229=P$3,SUMIF('TL04'!$C$238:$C$451,$C327,'TL04'!$J$238:$J$451),0),
IF('TL05'!$B$3=P$3,SUMIF('TL05'!$C$10:$C$224,$C327,'TL05'!$J$10:$J$224),0),
IF('TL05'!$B$229=P$3,SUMIF('TL05'!$C$238:$C$451,$C327,'TL05'!$J$238:$J$451),0),
IF('TL06'!$B$3=P$3,SUMIF('TL06'!$C$10:$C$224,$C327,'TL06'!$J$10:$J$224),0),
IF('TL06'!$B$229=P$3,SUMIF('TL06'!$C$238:$C$451,$C327,'TL06'!$J$238:$J$451),0),
IF('TL07'!$B$3=P$3,SUMIF('TL07'!$C$10:$C$224,$C327,'TL07'!$J$10:$J$224),0),
IF('TL07'!$B$229=P$3,SUMIF('TL07'!$C$238:$C$451,$C327,'TL07'!$J$238:$J$451),0),
IF('TL08'!$B$3=P$3,SUMIF('TL08'!$C$10:$C$224,$C327,'TL08'!$J$10:$J$224),0),
IF('TL08'!$B$229=P$3,SUMIF('TL08'!$C$238:$C$451,$C327,'TL08'!$J$238:$J$451),0),
IF('TL09'!$B$3=P$3,SUMIF('TL09'!$C$10:$C$224,$C327,'TL09'!$J$10:$J$224),0),
IF('TL09'!$B$229=P$3,SUMIF('TL09'!$C$238:$C$451,$C327,'TL09'!$J$238:$J$451),0),
IF('TL10'!$B$3=P$3,SUMIF('TL10'!$C$10:$C$224,$C327,'TL10'!$J$10:$J$224),0),
IF('TL10'!$B$229=P$3,SUMIF('TL10'!$C$238:$C$451,$C327,'TL10'!$J$238:$J$451),0),
IF('TL11'!$B$3=P$3,SUMIF('TL11'!$C$10:$C$224,$C327,'TL11'!$J$10:$J$224),0),
IF('TL11'!$B$229=P$3,SUMIF('TL11'!$C$238:$C$451,$C327,'TL11'!$J$238:$J$451),0),
IF('TL12'!$B$3=P$3,SUMIF('TL12'!$C$10:$C$224,$C327,'TL12'!$J$10:$J$224),0),
IF('TL12'!$B$229=P$3,SUMIF('TL12'!$C$238:$C$451,$C327,'TL12'!$J$238:$J$451),0),
IF('TL13'!$B$3=P$3,SUMIF('TL13'!$C$10:$C$224,$C327,'TL13'!$J$10:$J$224),0),
IF('TL13'!$B$229=P$3,SUMIF('TL13'!$C$238:$C$451,$C327,'TL13'!$J$238:$J$451),0),
IF('TL14'!$B$3=P$3,SUMIF('TL14'!$C$10:$C$224,$C327,'TL14'!$J$10:$J$224),0),
IF('TL14'!$B$229=P$3,SUMIF('TL14'!$C$238:$C$451,$C327,'TL14'!$J$238:$J$451),0),
IF('TL15'!$B$3=P$3,SUMIF('TL15'!$C$10:$C$224,$C327,'TL15'!$J$10:$J$224),0),
IF('TL15'!$B$229=P$3,SUMIF('TL15'!$C$238:$C$451,$C327,'TL15'!$J$238:$J$451),0),
IF('TL16'!$B$3=P$3,SUMIF('TL16'!$C$10:$C$224,$C327,'TL16'!$J$10:$J$224),0),
IF('TL16'!$B$229=P$3,SUMIF('TL16'!$C$238:$C$451,$C327,'TL16'!$J$238:$J$451),0),
IF('TL17'!$B$3=P$3,SUMIF('TL17'!$C$10:$C$224,$C327,'TL17'!$J$10:$J$224),0),
IF('TL17'!$B$229=P$3,SUMIF('TL17'!$C$238:$C$451,$C327,'TL17'!$J$238:$J$451),0),
IF('TL18'!$B$3=P$3,SUMIF('TL18'!$C$10:$C$224,$C327,'TL18'!$J$10:$J$224),0),
IF('TL18'!$B$229=P$3,SUMIF('TL18'!$C$238:$C$451,$C327,'TL18'!$J$238:$J$451),0),
IF('TL19'!$B$3=P$3,SUMIF('TL19'!$C$10:$C$224,$C327,'TL19'!$J$10:$J$224),0),
IF('TL19'!$B$229=P$3,SUMIF('TL19'!$C$238:$C$451,$C327,'TL19'!$J$238:$J$451),0)
),0)</f>
        <v>0</v>
      </c>
      <c r="Q327" s="9">
        <f>IFERROR(SUM(
IF('TL01'!$B$3=Q$3,SUMIF('TL01'!$C$10:$C$224,$C327,'TL01'!$J$10:$J$224),0),
IF('TL01'!$B$229=Q$3,SUMIF('TL01'!$C$238:$C$451,$C327,'TL01'!$J$238:$J$451),0),
IF('TL02'!$B$3=Q$3,SUMIF('TL02'!$C$10:$C$224,$C327,'TL02'!$J$10:$J$224),0),
IF('TL02'!$B$229=Q$3,SUMIF('TL02'!$C$238:$C$451,$C327,'TL02'!$J$238:$J$451),0),
IF('TL03'!$B$3=Q$3,SUMIF('TL03'!$C$10:$C$224,$C327,'TL03'!$J$10:$J$224),0),
IF('TL03'!$B$229=Q$3,SUMIF('TL03'!$C$238:$C$451,$C327,'TL03'!$J$238:$J$451),0),
IF('TL04'!$B$3=Q$3,SUMIF('TL04'!$C$10:$C$224,$C327,'TL04'!$J$10:$J$224),0),
IF('TL04'!$B$229=Q$3,SUMIF('TL04'!$C$238:$C$451,$C327,'TL04'!$J$238:$J$451),0),
IF('TL05'!$B$3=Q$3,SUMIF('TL05'!$C$10:$C$224,$C327,'TL05'!$J$10:$J$224),0),
IF('TL05'!$B$229=Q$3,SUMIF('TL05'!$C$238:$C$451,$C327,'TL05'!$J$238:$J$451),0),
IF('TL06'!$B$3=Q$3,SUMIF('TL06'!$C$10:$C$224,$C327,'TL06'!$J$10:$J$224),0),
IF('TL06'!$B$229=Q$3,SUMIF('TL06'!$C$238:$C$451,$C327,'TL06'!$J$238:$J$451),0),
IF('TL07'!$B$3=Q$3,SUMIF('TL07'!$C$10:$C$224,$C327,'TL07'!$J$10:$J$224),0),
IF('TL07'!$B$229=Q$3,SUMIF('TL07'!$C$238:$C$451,$C327,'TL07'!$J$238:$J$451),0),
IF('TL08'!$B$3=Q$3,SUMIF('TL08'!$C$10:$C$224,$C327,'TL08'!$J$10:$J$224),0),
IF('TL08'!$B$229=Q$3,SUMIF('TL08'!$C$238:$C$451,$C327,'TL08'!$J$238:$J$451),0),
IF('TL09'!$B$3=Q$3,SUMIF('TL09'!$C$10:$C$224,$C327,'TL09'!$J$10:$J$224),0),
IF('TL09'!$B$229=Q$3,SUMIF('TL09'!$C$238:$C$451,$C327,'TL09'!$J$238:$J$451),0),
IF('TL10'!$B$3=Q$3,SUMIF('TL10'!$C$10:$C$224,$C327,'TL10'!$J$10:$J$224),0),
IF('TL10'!$B$229=Q$3,SUMIF('TL10'!$C$238:$C$451,$C327,'TL10'!$J$238:$J$451),0),
IF('TL11'!$B$3=Q$3,SUMIF('TL11'!$C$10:$C$224,$C327,'TL11'!$J$10:$J$224),0),
IF('TL11'!$B$229=Q$3,SUMIF('TL11'!$C$238:$C$451,$C327,'TL11'!$J$238:$J$451),0),
IF('TL12'!$B$3=Q$3,SUMIF('TL12'!$C$10:$C$224,$C327,'TL12'!$J$10:$J$224),0),
IF('TL12'!$B$229=Q$3,SUMIF('TL12'!$C$238:$C$451,$C327,'TL12'!$J$238:$J$451),0),
IF('TL13'!$B$3=Q$3,SUMIF('TL13'!$C$10:$C$224,$C327,'TL13'!$J$10:$J$224),0),
IF('TL13'!$B$229=Q$3,SUMIF('TL13'!$C$238:$C$451,$C327,'TL13'!$J$238:$J$451),0),
IF('TL14'!$B$3=Q$3,SUMIF('TL14'!$C$10:$C$224,$C327,'TL14'!$J$10:$J$224),0),
IF('TL14'!$B$229=Q$3,SUMIF('TL14'!$C$238:$C$451,$C327,'TL14'!$J$238:$J$451),0),
IF('TL15'!$B$3=Q$3,SUMIF('TL15'!$C$10:$C$224,$C327,'TL15'!$J$10:$J$224),0),
IF('TL15'!$B$229=Q$3,SUMIF('TL15'!$C$238:$C$451,$C327,'TL15'!$J$238:$J$451),0),
IF('TL16'!$B$3=Q$3,SUMIF('TL16'!$C$10:$C$224,$C327,'TL16'!$J$10:$J$224),0),
IF('TL16'!$B$229=Q$3,SUMIF('TL16'!$C$238:$C$451,$C327,'TL16'!$J$238:$J$451),0),
IF('TL17'!$B$3=Q$3,SUMIF('TL17'!$C$10:$C$224,$C327,'TL17'!$J$10:$J$224),0),
IF('TL17'!$B$229=Q$3,SUMIF('TL17'!$C$238:$C$451,$C327,'TL17'!$J$238:$J$451),0),
IF('TL18'!$B$3=Q$3,SUMIF('TL18'!$C$10:$C$224,$C327,'TL18'!$J$10:$J$224),0),
IF('TL18'!$B$229=Q$3,SUMIF('TL18'!$C$238:$C$451,$C327,'TL18'!$J$238:$J$451),0),
IF('TL19'!$B$3=Q$3,SUMIF('TL19'!$C$10:$C$224,$C327,'TL19'!$J$10:$J$224),0),
IF('TL19'!$B$229=Q$3,SUMIF('TL19'!$C$238:$C$451,$C327,'TL19'!$J$238:$J$451),0)
),0)</f>
        <v>0</v>
      </c>
      <c r="R327" s="9">
        <f>IFERROR(
SUM(
SUMIF('TL01'!C:C,C327,'TL01'!J:J),
SUMIF('TL02'!C:C,C327,'TL02'!J:J),
SUMIF('TL03'!C:C,C327,'TL03'!J:J),
SUMIF('TL04'!C:C,C327,'TL04'!J:J),
SUMIF('TL05'!C:C,C327,'TL05'!J:J),
SUMIF('TL06'!C:C,C327,'TL06'!J:J),
SUMIF('TL07'!C:C,C327,'TL07'!J:J),
SUMIF('TL08'!C:C,C327,'TL08'!J:J),
SUMIF('TL09'!C:C,C327,'TL09'!J:J),
SUMIF('TL10'!C:C,C327,'TL10'!J:J),
SUMIF('TL11'!C:C,C327,'TL11'!J:J),
SUMIF('TL12'!C:C,C327,'TL12'!J:J),
SUMIF('TL13'!C:C,C327,'TL13'!J:J),
SUMIF('TL14'!C:C,C327,'TL14'!J:J),
SUMIF('TL15'!C:C,C327,'TL15'!J:J),
SUMIF('TL16'!C:C,C327,'TL16'!J:J),
SUMIF('TL17'!C:C,C327,'TL17'!J:J),
SUMIF('TL18'!C:C,C327,'TL18'!J:J),SUMIF('TL19'!C:C,C327,'TL19'!J:J))
,0)</f>
        <v>0</v>
      </c>
      <c r="S327" s="17" t="str">
        <f>IFERROR(__xludf.DUMMYFUNCTION("IFERROR(VLOOKUP(C327,
IMPORTRANGE(""1wULbzX32WdYsx-lj2U3uUNBBe2INVIRDtcK0d-Dvl90"",
""26-27!C:G""),
5,
FALSE),
"""")"),"")</f>
        <v/>
      </c>
      <c r="T327" s="9"/>
      <c r="U327" s="92">
        <f t="shared" si="2"/>
        <v>0</v>
      </c>
      <c r="V327" s="93">
        <f t="shared" si="3"/>
        <v>0</v>
      </c>
    </row>
    <row r="328" ht="15.75" hidden="1" customHeight="1">
      <c r="A328" s="4"/>
      <c r="B328" s="125" t="s">
        <v>5</v>
      </c>
      <c r="C328" s="4" t="s">
        <v>1054</v>
      </c>
      <c r="D328" s="6"/>
      <c r="E328" s="9"/>
      <c r="F328" s="4" t="s">
        <v>1042</v>
      </c>
      <c r="G328" s="90" t="str">
        <f t="shared" si="5"/>
        <v>📄 Ver bula</v>
      </c>
      <c r="H328" s="9"/>
      <c r="I328" s="1" t="s">
        <v>1043</v>
      </c>
      <c r="J328" s="9">
        <f>IFERROR(SUM(
IF('TL01'!$B$3=J$3,SUMIF('TL01'!$C$10:$C$224,$C328,'TL01'!$J$10:$J$224),0),
IF('TL01'!$B$229=J$3,SUMIF('TL01'!$C$238:$C$451,$C328,'TL01'!$J$238:$J$451),0),
IF('TL02'!$B$3=J$3,SUMIF('TL02'!$C$10:$C$224,$C328,'TL02'!$J$10:$J$224),0),
IF('TL02'!$B$229=J$3,SUMIF('TL02'!$C$238:$C$451,$C328,'TL02'!$J$238:$J$451),0),
IF('TL03'!$B$3=J$3,SUMIF('TL03'!$C$10:$C$224,$C328,'TL03'!$J$10:$J$224),0),
IF('TL03'!$B$229=J$3,SUMIF('TL03'!$C$238:$C$451,$C328,'TL03'!$J$238:$J$451),0),
IF('TL04'!$B$3=J$3,SUMIF('TL04'!$C$10:$C$224,$C328,'TL04'!$J$10:$J$224),0),
IF('TL04'!$B$229=J$3,SUMIF('TL04'!$C$238:$C$451,$C328,'TL04'!$J$238:$J$451),0),
IF('TL05'!$B$3=J$3,SUMIF('TL05'!$C$10:$C$224,$C328,'TL05'!$J$10:$J$224),0),
IF('TL05'!$B$229=J$3,SUMIF('TL05'!$C$238:$C$451,$C328,'TL05'!$J$238:$J$451),0),
IF('TL06'!$B$3=J$3,SUMIF('TL06'!$C$10:$C$224,$C328,'TL06'!$J$10:$J$224),0),
IF('TL06'!$B$229=J$3,SUMIF('TL06'!$C$238:$C$451,$C328,'TL06'!$J$238:$J$451),0),
IF('TL07'!$B$3=J$3,SUMIF('TL07'!$C$10:$C$224,$C328,'TL07'!$J$10:$J$224),0),
IF('TL07'!$B$229=J$3,SUMIF('TL07'!$C$238:$C$451,$C328,'TL07'!$J$238:$J$451),0),
IF('TL08'!$B$3=J$3,SUMIF('TL08'!$C$10:$C$224,$C328,'TL08'!$J$10:$J$224),0),
IF('TL08'!$B$229=J$3,SUMIF('TL08'!$C$238:$C$451,$C328,'TL08'!$J$238:$J$451),0),
IF('TL09'!$B$3=J$3,SUMIF('TL09'!$C$10:$C$224,$C328,'TL09'!$J$10:$J$224),0),
IF('TL09'!$B$229=J$3,SUMIF('TL09'!$C$238:$C$451,$C328,'TL09'!$J$238:$J$451),0),
IF('TL10'!$B$3=J$3,SUMIF('TL10'!$C$10:$C$224,$C328,'TL10'!$J$10:$J$224),0),
IF('TL10'!$B$229=J$3,SUMIF('TL10'!$C$238:$C$451,$C328,'TL10'!$J$238:$J$451),0),
IF('TL11'!$B$3=J$3,SUMIF('TL11'!$C$10:$C$224,$C328,'TL11'!$J$10:$J$224),0),
IF('TL11'!$B$229=J$3,SUMIF('TL11'!$C$238:$C$451,$C328,'TL11'!$J$238:$J$451),0),
IF('TL12'!$B$3=J$3,SUMIF('TL12'!$C$10:$C$224,$C328,'TL12'!$J$10:$J$224),0),
IF('TL12'!$B$229=J$3,SUMIF('TL12'!$C$238:$C$451,$C328,'TL12'!$J$238:$J$451),0),
IF('TL13'!$B$3=J$3,SUMIF('TL13'!$C$10:$C$224,$C328,'TL13'!$J$10:$J$224),0),
IF('TL13'!$B$229=J$3,SUMIF('TL13'!$C$238:$C$451,$C328,'TL13'!$J$238:$J$451),0),
IF('TL14'!$B$3=J$3,SUMIF('TL14'!$C$10:$C$224,$C328,'TL14'!$J$10:$J$224),0),
IF('TL14'!$B$229=J$3,SUMIF('TL14'!$C$238:$C$451,$C328,'TL14'!$J$238:$J$451),0),
IF('TL15'!$B$3=J$3,SUMIF('TL15'!$C$10:$C$224,$C328,'TL15'!$J$10:$J$224),0),
IF('TL15'!$B$229=J$3,SUMIF('TL15'!$C$238:$C$451,$C328,'TL15'!$J$238:$J$451),0),
IF('TL16'!$B$3=J$3,SUMIF('TL16'!$C$10:$C$224,$C328,'TL16'!$J$10:$J$224),0),
IF('TL16'!$B$229=J$3,SUMIF('TL16'!$C$238:$C$451,$C328,'TL16'!$J$238:$J$451),0),
IF('TL17'!$B$3=J$3,SUMIF('TL17'!$C$10:$C$224,$C328,'TL17'!$J$10:$J$224),0),
IF('TL17'!$B$229=J$3,SUMIF('TL17'!$C$238:$C$451,$C328,'TL17'!$J$238:$J$451),0),
IF('TL18'!$B$3=J$3,SUMIF('TL18'!$C$10:$C$224,$C328,'TL18'!$J$10:$J$224),0),
IF('TL18'!$B$229=J$3,SUMIF('TL18'!$C$238:$C$451,$C328,'TL18'!$J$238:$J$451),0),
IF('TL19'!$B$3=J$3,SUMIF('TL19'!$C$10:$C$224,$C328,'TL19'!$J$10:$J$224),0),
IF('TL19'!$B$229=J$3,SUMIF('TL19'!$C$238:$C$451,$C328,'TL19'!$J$238:$J$451),0)
),0)</f>
        <v>0</v>
      </c>
      <c r="K328" s="9">
        <f>IFERROR(SUM(
IF('TL01'!$B$3=K$3,SUMIF('TL01'!$C$10:$C$224,$C328,'TL01'!$J$10:$J$224),0),
IF('TL01'!$B$229=K$3,SUMIF('TL01'!$C$238:$C$451,$C328,'TL01'!$J$238:$J$451),0),
IF('TL02'!$B$3=K$3,SUMIF('TL02'!$C$10:$C$224,$C328,'TL02'!$J$10:$J$224),0),
IF('TL02'!$B$229=K$3,SUMIF('TL02'!$C$238:$C$451,$C328,'TL02'!$J$238:$J$451),0),
IF('TL03'!$B$3=K$3,SUMIF('TL03'!$C$10:$C$224,$C328,'TL03'!$J$10:$J$224),0),
IF('TL03'!$B$229=K$3,SUMIF('TL03'!$C$238:$C$451,$C328,'TL03'!$J$238:$J$451),0),
IF('TL04'!$B$3=K$3,SUMIF('TL04'!$C$10:$C$224,$C328,'TL04'!$J$10:$J$224),0),
IF('TL04'!$B$229=K$3,SUMIF('TL04'!$C$238:$C$451,$C328,'TL04'!$J$238:$J$451),0),
IF('TL05'!$B$3=K$3,SUMIF('TL05'!$C$10:$C$224,$C328,'TL05'!$J$10:$J$224),0),
IF('TL05'!$B$229=K$3,SUMIF('TL05'!$C$238:$C$451,$C328,'TL05'!$J$238:$J$451),0),
IF('TL06'!$B$3=K$3,SUMIF('TL06'!$C$10:$C$224,$C328,'TL06'!$J$10:$J$224),0),
IF('TL06'!$B$229=K$3,SUMIF('TL06'!$C$238:$C$451,$C328,'TL06'!$J$238:$J$451),0),
IF('TL07'!$B$3=K$3,SUMIF('TL07'!$C$10:$C$224,$C328,'TL07'!$J$10:$J$224),0),
IF('TL07'!$B$229=K$3,SUMIF('TL07'!$C$238:$C$451,$C328,'TL07'!$J$238:$J$451),0),
IF('TL08'!$B$3=K$3,SUMIF('TL08'!$C$10:$C$224,$C328,'TL08'!$J$10:$J$224),0),
IF('TL08'!$B$229=K$3,SUMIF('TL08'!$C$238:$C$451,$C328,'TL08'!$J$238:$J$451),0),
IF('TL09'!$B$3=K$3,SUMIF('TL09'!$C$10:$C$224,$C328,'TL09'!$J$10:$J$224),0),
IF('TL09'!$B$229=K$3,SUMIF('TL09'!$C$238:$C$451,$C328,'TL09'!$J$238:$J$451),0),
IF('TL10'!$B$3=K$3,SUMIF('TL10'!$C$10:$C$224,$C328,'TL10'!$J$10:$J$224),0),
IF('TL10'!$B$229=K$3,SUMIF('TL10'!$C$238:$C$451,$C328,'TL10'!$J$238:$J$451),0),
IF('TL11'!$B$3=K$3,SUMIF('TL11'!$C$10:$C$224,$C328,'TL11'!$J$10:$J$224),0),
IF('TL11'!$B$229=K$3,SUMIF('TL11'!$C$238:$C$451,$C328,'TL11'!$J$238:$J$451),0),
IF('TL12'!$B$3=K$3,SUMIF('TL12'!$C$10:$C$224,$C328,'TL12'!$J$10:$J$224),0),
IF('TL12'!$B$229=K$3,SUMIF('TL12'!$C$238:$C$451,$C328,'TL12'!$J$238:$J$451),0),
IF('TL13'!$B$3=K$3,SUMIF('TL13'!$C$10:$C$224,$C328,'TL13'!$J$10:$J$224),0),
IF('TL13'!$B$229=K$3,SUMIF('TL13'!$C$238:$C$451,$C328,'TL13'!$J$238:$J$451),0),
IF('TL14'!$B$3=K$3,SUMIF('TL14'!$C$10:$C$224,$C328,'TL14'!$J$10:$J$224),0),
IF('TL14'!$B$229=K$3,SUMIF('TL14'!$C$238:$C$451,$C328,'TL14'!$J$238:$J$451),0),
IF('TL15'!$B$3=K$3,SUMIF('TL15'!$C$10:$C$224,$C328,'TL15'!$J$10:$J$224),0),
IF('TL15'!$B$229=K$3,SUMIF('TL15'!$C$238:$C$451,$C328,'TL15'!$J$238:$J$451),0),
IF('TL16'!$B$3=K$3,SUMIF('TL16'!$C$10:$C$224,$C328,'TL16'!$J$10:$J$224),0),
IF('TL16'!$B$229=K$3,SUMIF('TL16'!$C$238:$C$451,$C328,'TL16'!$J$238:$J$451),0),
IF('TL17'!$B$3=K$3,SUMIF('TL17'!$C$10:$C$224,$C328,'TL17'!$J$10:$J$224),0),
IF('TL17'!$B$229=K$3,SUMIF('TL17'!$C$238:$C$451,$C328,'TL17'!$J$238:$J$451),0),
IF('TL18'!$B$3=K$3,SUMIF('TL18'!$C$10:$C$224,$C328,'TL18'!$J$10:$J$224),0),
IF('TL18'!$B$229=K$3,SUMIF('TL18'!$C$238:$C$451,$C328,'TL18'!$J$238:$J$451),0),
IF('TL19'!$B$3=K$3,SUMIF('TL19'!$C$10:$C$224,$C328,'TL19'!$J$10:$J$224),0),
IF('TL19'!$B$229=K$3,SUMIF('TL19'!$C$238:$C$451,$C328,'TL19'!$J$238:$J$451),0)
),0)</f>
        <v>0</v>
      </c>
      <c r="L328" s="9">
        <f>IFERROR(SUM(
IF('TL01'!$B$3=L$3,SUMIF('TL01'!$C$10:$C$224,$C328,'TL01'!$J$10:$J$224),0),
IF('TL01'!$B$229=L$3,SUMIF('TL01'!$C$238:$C$451,$C328,'TL01'!$J$238:$J$451),0),
IF('TL02'!$B$3=L$3,SUMIF('TL02'!$C$10:$C$224,$C328,'TL02'!$J$10:$J$224),0),
IF('TL02'!$B$229=L$3,SUMIF('TL02'!$C$238:$C$451,$C328,'TL02'!$J$238:$J$451),0),
IF('TL03'!$B$3=L$3,SUMIF('TL03'!$C$10:$C$224,$C328,'TL03'!$J$10:$J$224),0),
IF('TL03'!$B$229=L$3,SUMIF('TL03'!$C$238:$C$451,$C328,'TL03'!$J$238:$J$451),0),
IF('TL04'!$B$3=L$3,SUMIF('TL04'!$C$10:$C$224,$C328,'TL04'!$J$10:$J$224),0),
IF('TL04'!$B$229=L$3,SUMIF('TL04'!$C$238:$C$451,$C328,'TL04'!$J$238:$J$451),0),
IF('TL05'!$B$3=L$3,SUMIF('TL05'!$C$10:$C$224,$C328,'TL05'!$J$10:$J$224),0),
IF('TL05'!$B$229=L$3,SUMIF('TL05'!$C$238:$C$451,$C328,'TL05'!$J$238:$J$451),0),
IF('TL06'!$B$3=L$3,SUMIF('TL06'!$C$10:$C$224,$C328,'TL06'!$J$10:$J$224),0),
IF('TL06'!$B$229=L$3,SUMIF('TL06'!$C$238:$C$451,$C328,'TL06'!$J$238:$J$451),0),
IF('TL07'!$B$3=L$3,SUMIF('TL07'!$C$10:$C$224,$C328,'TL07'!$J$10:$J$224),0),
IF('TL07'!$B$229=L$3,SUMIF('TL07'!$C$238:$C$451,$C328,'TL07'!$J$238:$J$451),0),
IF('TL08'!$B$3=L$3,SUMIF('TL08'!$C$10:$C$224,$C328,'TL08'!$J$10:$J$224),0),
IF('TL08'!$B$229=L$3,SUMIF('TL08'!$C$238:$C$451,$C328,'TL08'!$J$238:$J$451),0),
IF('TL09'!$B$3=L$3,SUMIF('TL09'!$C$10:$C$224,$C328,'TL09'!$J$10:$J$224),0),
IF('TL09'!$B$229=L$3,SUMIF('TL09'!$C$238:$C$451,$C328,'TL09'!$J$238:$J$451),0),
IF('TL10'!$B$3=L$3,SUMIF('TL10'!$C$10:$C$224,$C328,'TL10'!$J$10:$J$224),0),
IF('TL10'!$B$229=L$3,SUMIF('TL10'!$C$238:$C$451,$C328,'TL10'!$J$238:$J$451),0),
IF('TL11'!$B$3=L$3,SUMIF('TL11'!$C$10:$C$224,$C328,'TL11'!$J$10:$J$224),0),
IF('TL11'!$B$229=L$3,SUMIF('TL11'!$C$238:$C$451,$C328,'TL11'!$J$238:$J$451),0),
IF('TL12'!$B$3=L$3,SUMIF('TL12'!$C$10:$C$224,$C328,'TL12'!$J$10:$J$224),0),
IF('TL12'!$B$229=L$3,SUMIF('TL12'!$C$238:$C$451,$C328,'TL12'!$J$238:$J$451),0),
IF('TL13'!$B$3=L$3,SUMIF('TL13'!$C$10:$C$224,$C328,'TL13'!$J$10:$J$224),0),
IF('TL13'!$B$229=L$3,SUMIF('TL13'!$C$238:$C$451,$C328,'TL13'!$J$238:$J$451),0),
IF('TL14'!$B$3=L$3,SUMIF('TL14'!$C$10:$C$224,$C328,'TL14'!$J$10:$J$224),0),
IF('TL14'!$B$229=L$3,SUMIF('TL14'!$C$238:$C$451,$C328,'TL14'!$J$238:$J$451),0),
IF('TL15'!$B$3=L$3,SUMIF('TL15'!$C$10:$C$224,$C328,'TL15'!$J$10:$J$224),0),
IF('TL15'!$B$229=L$3,SUMIF('TL15'!$C$238:$C$451,$C328,'TL15'!$J$238:$J$451),0),
IF('TL16'!$B$3=L$3,SUMIF('TL16'!$C$10:$C$224,$C328,'TL16'!$J$10:$J$224),0),
IF('TL16'!$B$229=L$3,SUMIF('TL16'!$C$238:$C$451,$C328,'TL16'!$J$238:$J$451),0),
IF('TL17'!$B$3=L$3,SUMIF('TL17'!$C$10:$C$224,$C328,'TL17'!$J$10:$J$224),0),
IF('TL17'!$B$229=L$3,SUMIF('TL17'!$C$238:$C$451,$C328,'TL17'!$J$238:$J$451),0),
IF('TL18'!$B$3=L$3,SUMIF('TL18'!$C$10:$C$224,$C328,'TL18'!$J$10:$J$224),0),
IF('TL18'!$B$229=L$3,SUMIF('TL18'!$C$238:$C$451,$C328,'TL18'!$J$238:$J$451),0),
IF('TL19'!$B$3=L$3,SUMIF('TL19'!$C$10:$C$224,$C328,'TL19'!$J$10:$J$224),0),
IF('TL19'!$B$229=L$3,SUMIF('TL19'!$C$238:$C$451,$C328,'TL19'!$J$238:$J$451),0)
),0)</f>
        <v>0</v>
      </c>
      <c r="M328" s="9">
        <f>IFERROR(SUM(
IF('TL01'!$B$3=M$3,SUMIF('TL01'!$C$10:$C$224,$C328,'TL01'!$J$10:$J$224),0),
IF('TL01'!$B$229=M$3,SUMIF('TL01'!$C$238:$C$451,$C328,'TL01'!$J$238:$J$451),0),
IF('TL02'!$B$3=M$3,SUMIF('TL02'!$C$10:$C$224,$C328,'TL02'!$J$10:$J$224),0),
IF('TL02'!$B$229=M$3,SUMIF('TL02'!$C$238:$C$451,$C328,'TL02'!$J$238:$J$451),0),
IF('TL03'!$B$3=M$3,SUMIF('TL03'!$C$10:$C$224,$C328,'TL03'!$J$10:$J$224),0),
IF('TL03'!$B$229=M$3,SUMIF('TL03'!$C$238:$C$451,$C328,'TL03'!$J$238:$J$451),0),
IF('TL04'!$B$3=M$3,SUMIF('TL04'!$C$10:$C$224,$C328,'TL04'!$J$10:$J$224),0),
IF('TL04'!$B$229=M$3,SUMIF('TL04'!$C$238:$C$451,$C328,'TL04'!$J$238:$J$451),0),
IF('TL05'!$B$3=M$3,SUMIF('TL05'!$C$10:$C$224,$C328,'TL05'!$J$10:$J$224),0),
IF('TL05'!$B$229=M$3,SUMIF('TL05'!$C$238:$C$451,$C328,'TL05'!$J$238:$J$451),0),
IF('TL06'!$B$3=M$3,SUMIF('TL06'!$C$10:$C$224,$C328,'TL06'!$J$10:$J$224),0),
IF('TL06'!$B$229=M$3,SUMIF('TL06'!$C$238:$C$451,$C328,'TL06'!$J$238:$J$451),0),
IF('TL07'!$B$3=M$3,SUMIF('TL07'!$C$10:$C$224,$C328,'TL07'!$J$10:$J$224),0),
IF('TL07'!$B$229=M$3,SUMIF('TL07'!$C$238:$C$451,$C328,'TL07'!$J$238:$J$451),0),
IF('TL08'!$B$3=M$3,SUMIF('TL08'!$C$10:$C$224,$C328,'TL08'!$J$10:$J$224),0),
IF('TL08'!$B$229=M$3,SUMIF('TL08'!$C$238:$C$451,$C328,'TL08'!$J$238:$J$451),0),
IF('TL09'!$B$3=M$3,SUMIF('TL09'!$C$10:$C$224,$C328,'TL09'!$J$10:$J$224),0),
IF('TL09'!$B$229=M$3,SUMIF('TL09'!$C$238:$C$451,$C328,'TL09'!$J$238:$J$451),0),
IF('TL10'!$B$3=M$3,SUMIF('TL10'!$C$10:$C$224,$C328,'TL10'!$J$10:$J$224),0),
IF('TL10'!$B$229=M$3,SUMIF('TL10'!$C$238:$C$451,$C328,'TL10'!$J$238:$J$451),0),
IF('TL11'!$B$3=M$3,SUMIF('TL11'!$C$10:$C$224,$C328,'TL11'!$J$10:$J$224),0),
IF('TL11'!$B$229=M$3,SUMIF('TL11'!$C$238:$C$451,$C328,'TL11'!$J$238:$J$451),0),
IF('TL12'!$B$3=M$3,SUMIF('TL12'!$C$10:$C$224,$C328,'TL12'!$J$10:$J$224),0),
IF('TL12'!$B$229=M$3,SUMIF('TL12'!$C$238:$C$451,$C328,'TL12'!$J$238:$J$451),0),
IF('TL13'!$B$3=M$3,SUMIF('TL13'!$C$10:$C$224,$C328,'TL13'!$J$10:$J$224),0),
IF('TL13'!$B$229=M$3,SUMIF('TL13'!$C$238:$C$451,$C328,'TL13'!$J$238:$J$451),0),
IF('TL14'!$B$3=M$3,SUMIF('TL14'!$C$10:$C$224,$C328,'TL14'!$J$10:$J$224),0),
IF('TL14'!$B$229=M$3,SUMIF('TL14'!$C$238:$C$451,$C328,'TL14'!$J$238:$J$451),0),
IF('TL15'!$B$3=M$3,SUMIF('TL15'!$C$10:$C$224,$C328,'TL15'!$J$10:$J$224),0),
IF('TL15'!$B$229=M$3,SUMIF('TL15'!$C$238:$C$451,$C328,'TL15'!$J$238:$J$451),0),
IF('TL16'!$B$3=M$3,SUMIF('TL16'!$C$10:$C$224,$C328,'TL16'!$J$10:$J$224),0),
IF('TL16'!$B$229=M$3,SUMIF('TL16'!$C$238:$C$451,$C328,'TL16'!$J$238:$J$451),0),
IF('TL17'!$B$3=M$3,SUMIF('TL17'!$C$10:$C$224,$C328,'TL17'!$J$10:$J$224),0),
IF('TL17'!$B$229=M$3,SUMIF('TL17'!$C$238:$C$451,$C328,'TL17'!$J$238:$J$451),0),
IF('TL18'!$B$3=M$3,SUMIF('TL18'!$C$10:$C$224,$C328,'TL18'!$J$10:$J$224),0),
IF('TL18'!$B$229=M$3,SUMIF('TL18'!$C$238:$C$451,$C328,'TL18'!$J$238:$J$451),0),
IF('TL19'!$B$3=M$3,SUMIF('TL19'!$C$10:$C$224,$C328,'TL19'!$J$10:$J$224),0),
IF('TL19'!$B$229=M$3,SUMIF('TL19'!$C$238:$C$451,$C328,'TL19'!$J$238:$J$451),0)
),0)</f>
        <v>0</v>
      </c>
      <c r="N328" s="9">
        <f>IFERROR(SUM(
IF('TL01'!$B$3=N$3,SUMIF('TL01'!$C$10:$C$224,$C328,'TL01'!$J$10:$J$224),0),
IF('TL01'!$B$229=N$3,SUMIF('TL01'!$C$238:$C$451,$C328,'TL01'!$J$238:$J$451),0),
IF('TL02'!$B$3=N$3,SUMIF('TL02'!$C$10:$C$224,$C328,'TL02'!$J$10:$J$224),0),
IF('TL02'!$B$229=N$3,SUMIF('TL02'!$C$238:$C$451,$C328,'TL02'!$J$238:$J$451),0),
IF('TL03'!$B$3=N$3,SUMIF('TL03'!$C$10:$C$224,$C328,'TL03'!$J$10:$J$224),0),
IF('TL03'!$B$229=N$3,SUMIF('TL03'!$C$238:$C$451,$C328,'TL03'!$J$238:$J$451),0),
IF('TL04'!$B$3=N$3,SUMIF('TL04'!$C$10:$C$224,$C328,'TL04'!$J$10:$J$224),0),
IF('TL04'!$B$229=N$3,SUMIF('TL04'!$C$238:$C$451,$C328,'TL04'!$J$238:$J$451),0),
IF('TL05'!$B$3=N$3,SUMIF('TL05'!$C$10:$C$224,$C328,'TL05'!$J$10:$J$224),0),
IF('TL05'!$B$229=N$3,SUMIF('TL05'!$C$238:$C$451,$C328,'TL05'!$J$238:$J$451),0),
IF('TL06'!$B$3=N$3,SUMIF('TL06'!$C$10:$C$224,$C328,'TL06'!$J$10:$J$224),0),
IF('TL06'!$B$229=N$3,SUMIF('TL06'!$C$238:$C$451,$C328,'TL06'!$J$238:$J$451),0),
IF('TL07'!$B$3=N$3,SUMIF('TL07'!$C$10:$C$224,$C328,'TL07'!$J$10:$J$224),0),
IF('TL07'!$B$229=N$3,SUMIF('TL07'!$C$238:$C$451,$C328,'TL07'!$J$238:$J$451),0),
IF('TL08'!$B$3=N$3,SUMIF('TL08'!$C$10:$C$224,$C328,'TL08'!$J$10:$J$224),0),
IF('TL08'!$B$229=N$3,SUMIF('TL08'!$C$238:$C$451,$C328,'TL08'!$J$238:$J$451),0),
IF('TL09'!$B$3=N$3,SUMIF('TL09'!$C$10:$C$224,$C328,'TL09'!$J$10:$J$224),0),
IF('TL09'!$B$229=N$3,SUMIF('TL09'!$C$238:$C$451,$C328,'TL09'!$J$238:$J$451),0),
IF('TL10'!$B$3=N$3,SUMIF('TL10'!$C$10:$C$224,$C328,'TL10'!$J$10:$J$224),0),
IF('TL10'!$B$229=N$3,SUMIF('TL10'!$C$238:$C$451,$C328,'TL10'!$J$238:$J$451),0),
IF('TL11'!$B$3=N$3,SUMIF('TL11'!$C$10:$C$224,$C328,'TL11'!$J$10:$J$224),0),
IF('TL11'!$B$229=N$3,SUMIF('TL11'!$C$238:$C$451,$C328,'TL11'!$J$238:$J$451),0),
IF('TL12'!$B$3=N$3,SUMIF('TL12'!$C$10:$C$224,$C328,'TL12'!$J$10:$J$224),0),
IF('TL12'!$B$229=N$3,SUMIF('TL12'!$C$238:$C$451,$C328,'TL12'!$J$238:$J$451),0),
IF('TL13'!$B$3=N$3,SUMIF('TL13'!$C$10:$C$224,$C328,'TL13'!$J$10:$J$224),0),
IF('TL13'!$B$229=N$3,SUMIF('TL13'!$C$238:$C$451,$C328,'TL13'!$J$238:$J$451),0),
IF('TL14'!$B$3=N$3,SUMIF('TL14'!$C$10:$C$224,$C328,'TL14'!$J$10:$J$224),0),
IF('TL14'!$B$229=N$3,SUMIF('TL14'!$C$238:$C$451,$C328,'TL14'!$J$238:$J$451),0),
IF('TL15'!$B$3=N$3,SUMIF('TL15'!$C$10:$C$224,$C328,'TL15'!$J$10:$J$224),0),
IF('TL15'!$B$229=N$3,SUMIF('TL15'!$C$238:$C$451,$C328,'TL15'!$J$238:$J$451),0),
IF('TL16'!$B$3=N$3,SUMIF('TL16'!$C$10:$C$224,$C328,'TL16'!$J$10:$J$224),0),
IF('TL16'!$B$229=N$3,SUMIF('TL16'!$C$238:$C$451,$C328,'TL16'!$J$238:$J$451),0),
IF('TL17'!$B$3=N$3,SUMIF('TL17'!$C$10:$C$224,$C328,'TL17'!$J$10:$J$224),0),
IF('TL17'!$B$229=N$3,SUMIF('TL17'!$C$238:$C$451,$C328,'TL17'!$J$238:$J$451),0),
IF('TL18'!$B$3=N$3,SUMIF('TL18'!$C$10:$C$224,$C328,'TL18'!$J$10:$J$224),0),
IF('TL18'!$B$229=N$3,SUMIF('TL18'!$C$238:$C$451,$C328,'TL18'!$J$238:$J$451),0),
IF('TL19'!$B$3=N$3,SUMIF('TL19'!$C$10:$C$224,$C328,'TL19'!$J$10:$J$224),0),
IF('TL19'!$B$229=N$3,SUMIF('TL19'!$C$238:$C$451,$C328,'TL19'!$J$238:$J$451),0)
),0)</f>
        <v>0</v>
      </c>
      <c r="O328" s="9">
        <f>IFERROR(SUM(
IF('TL01'!$B$3=O$3,SUMIF('TL01'!$C$10:$C$224,$C328,'TL01'!$J$10:$J$224),0),
IF('TL01'!$B$229=O$3,SUMIF('TL01'!$C$238:$C$451,$C328,'TL01'!$J$238:$J$451),0),
IF('TL02'!$B$3=O$3,SUMIF('TL02'!$C$10:$C$224,$C328,'TL02'!$J$10:$J$224),0),
IF('TL02'!$B$229=O$3,SUMIF('TL02'!$C$238:$C$451,$C328,'TL02'!$J$238:$J$451),0),
IF('TL03'!$B$3=O$3,SUMIF('TL03'!$C$10:$C$224,$C328,'TL03'!$J$10:$J$224),0),
IF('TL03'!$B$229=O$3,SUMIF('TL03'!$C$238:$C$451,$C328,'TL03'!$J$238:$J$451),0),
IF('TL04'!$B$3=O$3,SUMIF('TL04'!$C$10:$C$224,$C328,'TL04'!$J$10:$J$224),0),
IF('TL04'!$B$229=O$3,SUMIF('TL04'!$C$238:$C$451,$C328,'TL04'!$J$238:$J$451),0),
IF('TL05'!$B$3=O$3,SUMIF('TL05'!$C$10:$C$224,$C328,'TL05'!$J$10:$J$224),0),
IF('TL05'!$B$229=O$3,SUMIF('TL05'!$C$238:$C$451,$C328,'TL05'!$J$238:$J$451),0),
IF('TL06'!$B$3=O$3,SUMIF('TL06'!$C$10:$C$224,$C328,'TL06'!$J$10:$J$224),0),
IF('TL06'!$B$229=O$3,SUMIF('TL06'!$C$238:$C$451,$C328,'TL06'!$J$238:$J$451),0),
IF('TL07'!$B$3=O$3,SUMIF('TL07'!$C$10:$C$224,$C328,'TL07'!$J$10:$J$224),0),
IF('TL07'!$B$229=O$3,SUMIF('TL07'!$C$238:$C$451,$C328,'TL07'!$J$238:$J$451),0),
IF('TL08'!$B$3=O$3,SUMIF('TL08'!$C$10:$C$224,$C328,'TL08'!$J$10:$J$224),0),
IF('TL08'!$B$229=O$3,SUMIF('TL08'!$C$238:$C$451,$C328,'TL08'!$J$238:$J$451),0),
IF('TL09'!$B$3=O$3,SUMIF('TL09'!$C$10:$C$224,$C328,'TL09'!$J$10:$J$224),0),
IF('TL09'!$B$229=O$3,SUMIF('TL09'!$C$238:$C$451,$C328,'TL09'!$J$238:$J$451),0),
IF('TL10'!$B$3=O$3,SUMIF('TL10'!$C$10:$C$224,$C328,'TL10'!$J$10:$J$224),0),
IF('TL10'!$B$229=O$3,SUMIF('TL10'!$C$238:$C$451,$C328,'TL10'!$J$238:$J$451),0),
IF('TL11'!$B$3=O$3,SUMIF('TL11'!$C$10:$C$224,$C328,'TL11'!$J$10:$J$224),0),
IF('TL11'!$B$229=O$3,SUMIF('TL11'!$C$238:$C$451,$C328,'TL11'!$J$238:$J$451),0),
IF('TL12'!$B$3=O$3,SUMIF('TL12'!$C$10:$C$224,$C328,'TL12'!$J$10:$J$224),0),
IF('TL12'!$B$229=O$3,SUMIF('TL12'!$C$238:$C$451,$C328,'TL12'!$J$238:$J$451),0),
IF('TL13'!$B$3=O$3,SUMIF('TL13'!$C$10:$C$224,$C328,'TL13'!$J$10:$J$224),0),
IF('TL13'!$B$229=O$3,SUMIF('TL13'!$C$238:$C$451,$C328,'TL13'!$J$238:$J$451),0),
IF('TL14'!$B$3=O$3,SUMIF('TL14'!$C$10:$C$224,$C328,'TL14'!$J$10:$J$224),0),
IF('TL14'!$B$229=O$3,SUMIF('TL14'!$C$238:$C$451,$C328,'TL14'!$J$238:$J$451),0),
IF('TL15'!$B$3=O$3,SUMIF('TL15'!$C$10:$C$224,$C328,'TL15'!$J$10:$J$224),0),
IF('TL15'!$B$229=O$3,SUMIF('TL15'!$C$238:$C$451,$C328,'TL15'!$J$238:$J$451),0),
IF('TL16'!$B$3=O$3,SUMIF('TL16'!$C$10:$C$224,$C328,'TL16'!$J$10:$J$224),0),
IF('TL16'!$B$229=O$3,SUMIF('TL16'!$C$238:$C$451,$C328,'TL16'!$J$238:$J$451),0),
IF('TL17'!$B$3=O$3,SUMIF('TL17'!$C$10:$C$224,$C328,'TL17'!$J$10:$J$224),0),
IF('TL17'!$B$229=O$3,SUMIF('TL17'!$C$238:$C$451,$C328,'TL17'!$J$238:$J$451),0),
IF('TL18'!$B$3=O$3,SUMIF('TL18'!$C$10:$C$224,$C328,'TL18'!$J$10:$J$224),0),
IF('TL18'!$B$229=O$3,SUMIF('TL18'!$C$238:$C$451,$C328,'TL18'!$J$238:$J$451),0),
IF('TL19'!$B$3=O$3,SUMIF('TL19'!$C$10:$C$224,$C328,'TL19'!$J$10:$J$224),0),
IF('TL19'!$B$229=O$3,SUMIF('TL19'!$C$238:$C$451,$C328,'TL19'!$J$238:$J$451),0)
),0)</f>
        <v>0</v>
      </c>
      <c r="P328" s="9">
        <f>IFERROR(SUM(
IF('TL01'!$B$3=P$3,SUMIF('TL01'!$C$10:$C$224,$C328,'TL01'!$J$10:$J$224),0),
IF('TL01'!$B$229=P$3,SUMIF('TL01'!$C$238:$C$451,$C328,'TL01'!$J$238:$J$451),0),
IF('TL02'!$B$3=P$3,SUMIF('TL02'!$C$10:$C$224,$C328,'TL02'!$J$10:$J$224),0),
IF('TL02'!$B$229=P$3,SUMIF('TL02'!$C$238:$C$451,$C328,'TL02'!$J$238:$J$451),0),
IF('TL03'!$B$3=P$3,SUMIF('TL03'!$C$10:$C$224,$C328,'TL03'!$J$10:$J$224),0),
IF('TL03'!$B$229=P$3,SUMIF('TL03'!$C$238:$C$451,$C328,'TL03'!$J$238:$J$451),0),
IF('TL04'!$B$3=P$3,SUMIF('TL04'!$C$10:$C$224,$C328,'TL04'!$J$10:$J$224),0),
IF('TL04'!$B$229=P$3,SUMIF('TL04'!$C$238:$C$451,$C328,'TL04'!$J$238:$J$451),0),
IF('TL05'!$B$3=P$3,SUMIF('TL05'!$C$10:$C$224,$C328,'TL05'!$J$10:$J$224),0),
IF('TL05'!$B$229=P$3,SUMIF('TL05'!$C$238:$C$451,$C328,'TL05'!$J$238:$J$451),0),
IF('TL06'!$B$3=P$3,SUMIF('TL06'!$C$10:$C$224,$C328,'TL06'!$J$10:$J$224),0),
IF('TL06'!$B$229=P$3,SUMIF('TL06'!$C$238:$C$451,$C328,'TL06'!$J$238:$J$451),0),
IF('TL07'!$B$3=P$3,SUMIF('TL07'!$C$10:$C$224,$C328,'TL07'!$J$10:$J$224),0),
IF('TL07'!$B$229=P$3,SUMIF('TL07'!$C$238:$C$451,$C328,'TL07'!$J$238:$J$451),0),
IF('TL08'!$B$3=P$3,SUMIF('TL08'!$C$10:$C$224,$C328,'TL08'!$J$10:$J$224),0),
IF('TL08'!$B$229=P$3,SUMIF('TL08'!$C$238:$C$451,$C328,'TL08'!$J$238:$J$451),0),
IF('TL09'!$B$3=P$3,SUMIF('TL09'!$C$10:$C$224,$C328,'TL09'!$J$10:$J$224),0),
IF('TL09'!$B$229=P$3,SUMIF('TL09'!$C$238:$C$451,$C328,'TL09'!$J$238:$J$451),0),
IF('TL10'!$B$3=P$3,SUMIF('TL10'!$C$10:$C$224,$C328,'TL10'!$J$10:$J$224),0),
IF('TL10'!$B$229=P$3,SUMIF('TL10'!$C$238:$C$451,$C328,'TL10'!$J$238:$J$451),0),
IF('TL11'!$B$3=P$3,SUMIF('TL11'!$C$10:$C$224,$C328,'TL11'!$J$10:$J$224),0),
IF('TL11'!$B$229=P$3,SUMIF('TL11'!$C$238:$C$451,$C328,'TL11'!$J$238:$J$451),0),
IF('TL12'!$B$3=P$3,SUMIF('TL12'!$C$10:$C$224,$C328,'TL12'!$J$10:$J$224),0),
IF('TL12'!$B$229=P$3,SUMIF('TL12'!$C$238:$C$451,$C328,'TL12'!$J$238:$J$451),0),
IF('TL13'!$B$3=P$3,SUMIF('TL13'!$C$10:$C$224,$C328,'TL13'!$J$10:$J$224),0),
IF('TL13'!$B$229=P$3,SUMIF('TL13'!$C$238:$C$451,$C328,'TL13'!$J$238:$J$451),0),
IF('TL14'!$B$3=P$3,SUMIF('TL14'!$C$10:$C$224,$C328,'TL14'!$J$10:$J$224),0),
IF('TL14'!$B$229=P$3,SUMIF('TL14'!$C$238:$C$451,$C328,'TL14'!$J$238:$J$451),0),
IF('TL15'!$B$3=P$3,SUMIF('TL15'!$C$10:$C$224,$C328,'TL15'!$J$10:$J$224),0),
IF('TL15'!$B$229=P$3,SUMIF('TL15'!$C$238:$C$451,$C328,'TL15'!$J$238:$J$451),0),
IF('TL16'!$B$3=P$3,SUMIF('TL16'!$C$10:$C$224,$C328,'TL16'!$J$10:$J$224),0),
IF('TL16'!$B$229=P$3,SUMIF('TL16'!$C$238:$C$451,$C328,'TL16'!$J$238:$J$451),0),
IF('TL17'!$B$3=P$3,SUMIF('TL17'!$C$10:$C$224,$C328,'TL17'!$J$10:$J$224),0),
IF('TL17'!$B$229=P$3,SUMIF('TL17'!$C$238:$C$451,$C328,'TL17'!$J$238:$J$451),0),
IF('TL18'!$B$3=P$3,SUMIF('TL18'!$C$10:$C$224,$C328,'TL18'!$J$10:$J$224),0),
IF('TL18'!$B$229=P$3,SUMIF('TL18'!$C$238:$C$451,$C328,'TL18'!$J$238:$J$451),0),
IF('TL19'!$B$3=P$3,SUMIF('TL19'!$C$10:$C$224,$C328,'TL19'!$J$10:$J$224),0),
IF('TL19'!$B$229=P$3,SUMIF('TL19'!$C$238:$C$451,$C328,'TL19'!$J$238:$J$451),0)
),0)</f>
        <v>0</v>
      </c>
      <c r="Q328" s="9">
        <f>IFERROR(SUM(
IF('TL01'!$B$3=Q$3,SUMIF('TL01'!$C$10:$C$224,$C328,'TL01'!$J$10:$J$224),0),
IF('TL01'!$B$229=Q$3,SUMIF('TL01'!$C$238:$C$451,$C328,'TL01'!$J$238:$J$451),0),
IF('TL02'!$B$3=Q$3,SUMIF('TL02'!$C$10:$C$224,$C328,'TL02'!$J$10:$J$224),0),
IF('TL02'!$B$229=Q$3,SUMIF('TL02'!$C$238:$C$451,$C328,'TL02'!$J$238:$J$451),0),
IF('TL03'!$B$3=Q$3,SUMIF('TL03'!$C$10:$C$224,$C328,'TL03'!$J$10:$J$224),0),
IF('TL03'!$B$229=Q$3,SUMIF('TL03'!$C$238:$C$451,$C328,'TL03'!$J$238:$J$451),0),
IF('TL04'!$B$3=Q$3,SUMIF('TL04'!$C$10:$C$224,$C328,'TL04'!$J$10:$J$224),0),
IF('TL04'!$B$229=Q$3,SUMIF('TL04'!$C$238:$C$451,$C328,'TL04'!$J$238:$J$451),0),
IF('TL05'!$B$3=Q$3,SUMIF('TL05'!$C$10:$C$224,$C328,'TL05'!$J$10:$J$224),0),
IF('TL05'!$B$229=Q$3,SUMIF('TL05'!$C$238:$C$451,$C328,'TL05'!$J$238:$J$451),0),
IF('TL06'!$B$3=Q$3,SUMIF('TL06'!$C$10:$C$224,$C328,'TL06'!$J$10:$J$224),0),
IF('TL06'!$B$229=Q$3,SUMIF('TL06'!$C$238:$C$451,$C328,'TL06'!$J$238:$J$451),0),
IF('TL07'!$B$3=Q$3,SUMIF('TL07'!$C$10:$C$224,$C328,'TL07'!$J$10:$J$224),0),
IF('TL07'!$B$229=Q$3,SUMIF('TL07'!$C$238:$C$451,$C328,'TL07'!$J$238:$J$451),0),
IF('TL08'!$B$3=Q$3,SUMIF('TL08'!$C$10:$C$224,$C328,'TL08'!$J$10:$J$224),0),
IF('TL08'!$B$229=Q$3,SUMIF('TL08'!$C$238:$C$451,$C328,'TL08'!$J$238:$J$451),0),
IF('TL09'!$B$3=Q$3,SUMIF('TL09'!$C$10:$C$224,$C328,'TL09'!$J$10:$J$224),0),
IF('TL09'!$B$229=Q$3,SUMIF('TL09'!$C$238:$C$451,$C328,'TL09'!$J$238:$J$451),0),
IF('TL10'!$B$3=Q$3,SUMIF('TL10'!$C$10:$C$224,$C328,'TL10'!$J$10:$J$224),0),
IF('TL10'!$B$229=Q$3,SUMIF('TL10'!$C$238:$C$451,$C328,'TL10'!$J$238:$J$451),0),
IF('TL11'!$B$3=Q$3,SUMIF('TL11'!$C$10:$C$224,$C328,'TL11'!$J$10:$J$224),0),
IF('TL11'!$B$229=Q$3,SUMIF('TL11'!$C$238:$C$451,$C328,'TL11'!$J$238:$J$451),0),
IF('TL12'!$B$3=Q$3,SUMIF('TL12'!$C$10:$C$224,$C328,'TL12'!$J$10:$J$224),0),
IF('TL12'!$B$229=Q$3,SUMIF('TL12'!$C$238:$C$451,$C328,'TL12'!$J$238:$J$451),0),
IF('TL13'!$B$3=Q$3,SUMIF('TL13'!$C$10:$C$224,$C328,'TL13'!$J$10:$J$224),0),
IF('TL13'!$B$229=Q$3,SUMIF('TL13'!$C$238:$C$451,$C328,'TL13'!$J$238:$J$451),0),
IF('TL14'!$B$3=Q$3,SUMIF('TL14'!$C$10:$C$224,$C328,'TL14'!$J$10:$J$224),0),
IF('TL14'!$B$229=Q$3,SUMIF('TL14'!$C$238:$C$451,$C328,'TL14'!$J$238:$J$451),0),
IF('TL15'!$B$3=Q$3,SUMIF('TL15'!$C$10:$C$224,$C328,'TL15'!$J$10:$J$224),0),
IF('TL15'!$B$229=Q$3,SUMIF('TL15'!$C$238:$C$451,$C328,'TL15'!$J$238:$J$451),0),
IF('TL16'!$B$3=Q$3,SUMIF('TL16'!$C$10:$C$224,$C328,'TL16'!$J$10:$J$224),0),
IF('TL16'!$B$229=Q$3,SUMIF('TL16'!$C$238:$C$451,$C328,'TL16'!$J$238:$J$451),0),
IF('TL17'!$B$3=Q$3,SUMIF('TL17'!$C$10:$C$224,$C328,'TL17'!$J$10:$J$224),0),
IF('TL17'!$B$229=Q$3,SUMIF('TL17'!$C$238:$C$451,$C328,'TL17'!$J$238:$J$451),0),
IF('TL18'!$B$3=Q$3,SUMIF('TL18'!$C$10:$C$224,$C328,'TL18'!$J$10:$J$224),0),
IF('TL18'!$B$229=Q$3,SUMIF('TL18'!$C$238:$C$451,$C328,'TL18'!$J$238:$J$451),0),
IF('TL19'!$B$3=Q$3,SUMIF('TL19'!$C$10:$C$224,$C328,'TL19'!$J$10:$J$224),0),
IF('TL19'!$B$229=Q$3,SUMIF('TL19'!$C$238:$C$451,$C328,'TL19'!$J$238:$J$451),0)
),0)</f>
        <v>8</v>
      </c>
      <c r="R328" s="9">
        <f>IFERROR(
SUM(
SUMIF('TL01'!C:C,C328,'TL01'!J:J),
SUMIF('TL02'!C:C,C328,'TL02'!J:J),
SUMIF('TL03'!C:C,C328,'TL03'!J:J),
SUMIF('TL04'!C:C,C328,'TL04'!J:J),
SUMIF('TL05'!C:C,C328,'TL05'!J:J),
SUMIF('TL06'!C:C,C328,'TL06'!J:J),
SUMIF('TL07'!C:C,C328,'TL07'!J:J),
SUMIF('TL08'!C:C,C328,'TL08'!J:J),
SUMIF('TL09'!C:C,C328,'TL09'!J:J),
SUMIF('TL10'!C:C,C328,'TL10'!J:J),
SUMIF('TL11'!C:C,C328,'TL11'!J:J),
SUMIF('TL12'!C:C,C328,'TL12'!J:J),
SUMIF('TL13'!C:C,C328,'TL13'!J:J),
SUMIF('TL14'!C:C,C328,'TL14'!J:J),
SUMIF('TL15'!C:C,C328,'TL15'!J:J),
SUMIF('TL16'!C:C,C328,'TL16'!J:J),
SUMIF('TL17'!C:C,C328,'TL17'!J:J),
SUMIF('TL18'!C:C,C328,'TL18'!J:J),SUMIF('TL19'!C:C,C328,'TL19'!J:J))
,0)</f>
        <v>8</v>
      </c>
      <c r="S328" s="17" t="str">
        <f>IFERROR(__xludf.DUMMYFUNCTION("IFERROR(VLOOKUP(C328,
IMPORTRANGE(""1wULbzX32WdYsx-lj2U3uUNBBe2INVIRDtcK0d-Dvl90"",
""26-27!C:G""),
5,
FALSE),
"""")"),"")</f>
        <v/>
      </c>
      <c r="T328" s="9"/>
      <c r="U328" s="92">
        <f t="shared" si="2"/>
        <v>8</v>
      </c>
      <c r="V328" s="93">
        <f t="shared" si="3"/>
        <v>0</v>
      </c>
    </row>
    <row r="329" ht="15.75" hidden="1" customHeight="1">
      <c r="A329" s="4"/>
      <c r="B329" s="125" t="s">
        <v>5</v>
      </c>
      <c r="C329" s="4" t="s">
        <v>1055</v>
      </c>
      <c r="D329" s="6"/>
      <c r="E329" s="9"/>
      <c r="F329" s="4" t="s">
        <v>1042</v>
      </c>
      <c r="G329" s="90" t="str">
        <f t="shared" si="5"/>
        <v>📄 Ver bula</v>
      </c>
      <c r="H329" s="9"/>
      <c r="I329" s="1"/>
      <c r="J329" s="9">
        <f>IFERROR(SUM(
IF('TL01'!$B$3=J$3,SUMIF('TL01'!$C$10:$C$224,$C329,'TL01'!$J$10:$J$224),0),
IF('TL01'!$B$229=J$3,SUMIF('TL01'!$C$238:$C$451,$C329,'TL01'!$J$238:$J$451),0),
IF('TL02'!$B$3=J$3,SUMIF('TL02'!$C$10:$C$224,$C329,'TL02'!$J$10:$J$224),0),
IF('TL02'!$B$229=J$3,SUMIF('TL02'!$C$238:$C$451,$C329,'TL02'!$J$238:$J$451),0),
IF('TL03'!$B$3=J$3,SUMIF('TL03'!$C$10:$C$224,$C329,'TL03'!$J$10:$J$224),0),
IF('TL03'!$B$229=J$3,SUMIF('TL03'!$C$238:$C$451,$C329,'TL03'!$J$238:$J$451),0),
IF('TL04'!$B$3=J$3,SUMIF('TL04'!$C$10:$C$224,$C329,'TL04'!$J$10:$J$224),0),
IF('TL04'!$B$229=J$3,SUMIF('TL04'!$C$238:$C$451,$C329,'TL04'!$J$238:$J$451),0),
IF('TL05'!$B$3=J$3,SUMIF('TL05'!$C$10:$C$224,$C329,'TL05'!$J$10:$J$224),0),
IF('TL05'!$B$229=J$3,SUMIF('TL05'!$C$238:$C$451,$C329,'TL05'!$J$238:$J$451),0),
IF('TL06'!$B$3=J$3,SUMIF('TL06'!$C$10:$C$224,$C329,'TL06'!$J$10:$J$224),0),
IF('TL06'!$B$229=J$3,SUMIF('TL06'!$C$238:$C$451,$C329,'TL06'!$J$238:$J$451),0),
IF('TL07'!$B$3=J$3,SUMIF('TL07'!$C$10:$C$224,$C329,'TL07'!$J$10:$J$224),0),
IF('TL07'!$B$229=J$3,SUMIF('TL07'!$C$238:$C$451,$C329,'TL07'!$J$238:$J$451),0),
IF('TL08'!$B$3=J$3,SUMIF('TL08'!$C$10:$C$224,$C329,'TL08'!$J$10:$J$224),0),
IF('TL08'!$B$229=J$3,SUMIF('TL08'!$C$238:$C$451,$C329,'TL08'!$J$238:$J$451),0),
IF('TL09'!$B$3=J$3,SUMIF('TL09'!$C$10:$C$224,$C329,'TL09'!$J$10:$J$224),0),
IF('TL09'!$B$229=J$3,SUMIF('TL09'!$C$238:$C$451,$C329,'TL09'!$J$238:$J$451),0),
IF('TL10'!$B$3=J$3,SUMIF('TL10'!$C$10:$C$224,$C329,'TL10'!$J$10:$J$224),0),
IF('TL10'!$B$229=J$3,SUMIF('TL10'!$C$238:$C$451,$C329,'TL10'!$J$238:$J$451),0),
IF('TL11'!$B$3=J$3,SUMIF('TL11'!$C$10:$C$224,$C329,'TL11'!$J$10:$J$224),0),
IF('TL11'!$B$229=J$3,SUMIF('TL11'!$C$238:$C$451,$C329,'TL11'!$J$238:$J$451),0),
IF('TL12'!$B$3=J$3,SUMIF('TL12'!$C$10:$C$224,$C329,'TL12'!$J$10:$J$224),0),
IF('TL12'!$B$229=J$3,SUMIF('TL12'!$C$238:$C$451,$C329,'TL12'!$J$238:$J$451),0),
IF('TL13'!$B$3=J$3,SUMIF('TL13'!$C$10:$C$224,$C329,'TL13'!$J$10:$J$224),0),
IF('TL13'!$B$229=J$3,SUMIF('TL13'!$C$238:$C$451,$C329,'TL13'!$J$238:$J$451),0),
IF('TL14'!$B$3=J$3,SUMIF('TL14'!$C$10:$C$224,$C329,'TL14'!$J$10:$J$224),0),
IF('TL14'!$B$229=J$3,SUMIF('TL14'!$C$238:$C$451,$C329,'TL14'!$J$238:$J$451),0),
IF('TL15'!$B$3=J$3,SUMIF('TL15'!$C$10:$C$224,$C329,'TL15'!$J$10:$J$224),0),
IF('TL15'!$B$229=J$3,SUMIF('TL15'!$C$238:$C$451,$C329,'TL15'!$J$238:$J$451),0),
IF('TL16'!$B$3=J$3,SUMIF('TL16'!$C$10:$C$224,$C329,'TL16'!$J$10:$J$224),0),
IF('TL16'!$B$229=J$3,SUMIF('TL16'!$C$238:$C$451,$C329,'TL16'!$J$238:$J$451),0),
IF('TL17'!$B$3=J$3,SUMIF('TL17'!$C$10:$C$224,$C329,'TL17'!$J$10:$J$224),0),
IF('TL17'!$B$229=J$3,SUMIF('TL17'!$C$238:$C$451,$C329,'TL17'!$J$238:$J$451),0),
IF('TL18'!$B$3=J$3,SUMIF('TL18'!$C$10:$C$224,$C329,'TL18'!$J$10:$J$224),0),
IF('TL18'!$B$229=J$3,SUMIF('TL18'!$C$238:$C$451,$C329,'TL18'!$J$238:$J$451),0),
IF('TL19'!$B$3=J$3,SUMIF('TL19'!$C$10:$C$224,$C329,'TL19'!$J$10:$J$224),0),
IF('TL19'!$B$229=J$3,SUMIF('TL19'!$C$238:$C$451,$C329,'TL19'!$J$238:$J$451),0)
),0)</f>
        <v>0</v>
      </c>
      <c r="K329" s="9">
        <f>IFERROR(SUM(
IF('TL01'!$B$3=K$3,SUMIF('TL01'!$C$10:$C$224,$C329,'TL01'!$J$10:$J$224),0),
IF('TL01'!$B$229=K$3,SUMIF('TL01'!$C$238:$C$451,$C329,'TL01'!$J$238:$J$451),0),
IF('TL02'!$B$3=K$3,SUMIF('TL02'!$C$10:$C$224,$C329,'TL02'!$J$10:$J$224),0),
IF('TL02'!$B$229=K$3,SUMIF('TL02'!$C$238:$C$451,$C329,'TL02'!$J$238:$J$451),0),
IF('TL03'!$B$3=K$3,SUMIF('TL03'!$C$10:$C$224,$C329,'TL03'!$J$10:$J$224),0),
IF('TL03'!$B$229=K$3,SUMIF('TL03'!$C$238:$C$451,$C329,'TL03'!$J$238:$J$451),0),
IF('TL04'!$B$3=K$3,SUMIF('TL04'!$C$10:$C$224,$C329,'TL04'!$J$10:$J$224),0),
IF('TL04'!$B$229=K$3,SUMIF('TL04'!$C$238:$C$451,$C329,'TL04'!$J$238:$J$451),0),
IF('TL05'!$B$3=K$3,SUMIF('TL05'!$C$10:$C$224,$C329,'TL05'!$J$10:$J$224),0),
IF('TL05'!$B$229=K$3,SUMIF('TL05'!$C$238:$C$451,$C329,'TL05'!$J$238:$J$451),0),
IF('TL06'!$B$3=K$3,SUMIF('TL06'!$C$10:$C$224,$C329,'TL06'!$J$10:$J$224),0),
IF('TL06'!$B$229=K$3,SUMIF('TL06'!$C$238:$C$451,$C329,'TL06'!$J$238:$J$451),0),
IF('TL07'!$B$3=K$3,SUMIF('TL07'!$C$10:$C$224,$C329,'TL07'!$J$10:$J$224),0),
IF('TL07'!$B$229=K$3,SUMIF('TL07'!$C$238:$C$451,$C329,'TL07'!$J$238:$J$451),0),
IF('TL08'!$B$3=K$3,SUMIF('TL08'!$C$10:$C$224,$C329,'TL08'!$J$10:$J$224),0),
IF('TL08'!$B$229=K$3,SUMIF('TL08'!$C$238:$C$451,$C329,'TL08'!$J$238:$J$451),0),
IF('TL09'!$B$3=K$3,SUMIF('TL09'!$C$10:$C$224,$C329,'TL09'!$J$10:$J$224),0),
IF('TL09'!$B$229=K$3,SUMIF('TL09'!$C$238:$C$451,$C329,'TL09'!$J$238:$J$451),0),
IF('TL10'!$B$3=K$3,SUMIF('TL10'!$C$10:$C$224,$C329,'TL10'!$J$10:$J$224),0),
IF('TL10'!$B$229=K$3,SUMIF('TL10'!$C$238:$C$451,$C329,'TL10'!$J$238:$J$451),0),
IF('TL11'!$B$3=K$3,SUMIF('TL11'!$C$10:$C$224,$C329,'TL11'!$J$10:$J$224),0),
IF('TL11'!$B$229=K$3,SUMIF('TL11'!$C$238:$C$451,$C329,'TL11'!$J$238:$J$451),0),
IF('TL12'!$B$3=K$3,SUMIF('TL12'!$C$10:$C$224,$C329,'TL12'!$J$10:$J$224),0),
IF('TL12'!$B$229=K$3,SUMIF('TL12'!$C$238:$C$451,$C329,'TL12'!$J$238:$J$451),0),
IF('TL13'!$B$3=K$3,SUMIF('TL13'!$C$10:$C$224,$C329,'TL13'!$J$10:$J$224),0),
IF('TL13'!$B$229=K$3,SUMIF('TL13'!$C$238:$C$451,$C329,'TL13'!$J$238:$J$451),0),
IF('TL14'!$B$3=K$3,SUMIF('TL14'!$C$10:$C$224,$C329,'TL14'!$J$10:$J$224),0),
IF('TL14'!$B$229=K$3,SUMIF('TL14'!$C$238:$C$451,$C329,'TL14'!$J$238:$J$451),0),
IF('TL15'!$B$3=K$3,SUMIF('TL15'!$C$10:$C$224,$C329,'TL15'!$J$10:$J$224),0),
IF('TL15'!$B$229=K$3,SUMIF('TL15'!$C$238:$C$451,$C329,'TL15'!$J$238:$J$451),0),
IF('TL16'!$B$3=K$3,SUMIF('TL16'!$C$10:$C$224,$C329,'TL16'!$J$10:$J$224),0),
IF('TL16'!$B$229=K$3,SUMIF('TL16'!$C$238:$C$451,$C329,'TL16'!$J$238:$J$451),0),
IF('TL17'!$B$3=K$3,SUMIF('TL17'!$C$10:$C$224,$C329,'TL17'!$J$10:$J$224),0),
IF('TL17'!$B$229=K$3,SUMIF('TL17'!$C$238:$C$451,$C329,'TL17'!$J$238:$J$451),0),
IF('TL18'!$B$3=K$3,SUMIF('TL18'!$C$10:$C$224,$C329,'TL18'!$J$10:$J$224),0),
IF('TL18'!$B$229=K$3,SUMIF('TL18'!$C$238:$C$451,$C329,'TL18'!$J$238:$J$451),0),
IF('TL19'!$B$3=K$3,SUMIF('TL19'!$C$10:$C$224,$C329,'TL19'!$J$10:$J$224),0),
IF('TL19'!$B$229=K$3,SUMIF('TL19'!$C$238:$C$451,$C329,'TL19'!$J$238:$J$451),0)
),0)</f>
        <v>0</v>
      </c>
      <c r="L329" s="9">
        <f>IFERROR(SUM(
IF('TL01'!$B$3=L$3,SUMIF('TL01'!$C$10:$C$224,$C329,'TL01'!$J$10:$J$224),0),
IF('TL01'!$B$229=L$3,SUMIF('TL01'!$C$238:$C$451,$C329,'TL01'!$J$238:$J$451),0),
IF('TL02'!$B$3=L$3,SUMIF('TL02'!$C$10:$C$224,$C329,'TL02'!$J$10:$J$224),0),
IF('TL02'!$B$229=L$3,SUMIF('TL02'!$C$238:$C$451,$C329,'TL02'!$J$238:$J$451),0),
IF('TL03'!$B$3=L$3,SUMIF('TL03'!$C$10:$C$224,$C329,'TL03'!$J$10:$J$224),0),
IF('TL03'!$B$229=L$3,SUMIF('TL03'!$C$238:$C$451,$C329,'TL03'!$J$238:$J$451),0),
IF('TL04'!$B$3=L$3,SUMIF('TL04'!$C$10:$C$224,$C329,'TL04'!$J$10:$J$224),0),
IF('TL04'!$B$229=L$3,SUMIF('TL04'!$C$238:$C$451,$C329,'TL04'!$J$238:$J$451),0),
IF('TL05'!$B$3=L$3,SUMIF('TL05'!$C$10:$C$224,$C329,'TL05'!$J$10:$J$224),0),
IF('TL05'!$B$229=L$3,SUMIF('TL05'!$C$238:$C$451,$C329,'TL05'!$J$238:$J$451),0),
IF('TL06'!$B$3=L$3,SUMIF('TL06'!$C$10:$C$224,$C329,'TL06'!$J$10:$J$224),0),
IF('TL06'!$B$229=L$3,SUMIF('TL06'!$C$238:$C$451,$C329,'TL06'!$J$238:$J$451),0),
IF('TL07'!$B$3=L$3,SUMIF('TL07'!$C$10:$C$224,$C329,'TL07'!$J$10:$J$224),0),
IF('TL07'!$B$229=L$3,SUMIF('TL07'!$C$238:$C$451,$C329,'TL07'!$J$238:$J$451),0),
IF('TL08'!$B$3=L$3,SUMIF('TL08'!$C$10:$C$224,$C329,'TL08'!$J$10:$J$224),0),
IF('TL08'!$B$229=L$3,SUMIF('TL08'!$C$238:$C$451,$C329,'TL08'!$J$238:$J$451),0),
IF('TL09'!$B$3=L$3,SUMIF('TL09'!$C$10:$C$224,$C329,'TL09'!$J$10:$J$224),0),
IF('TL09'!$B$229=L$3,SUMIF('TL09'!$C$238:$C$451,$C329,'TL09'!$J$238:$J$451),0),
IF('TL10'!$B$3=L$3,SUMIF('TL10'!$C$10:$C$224,$C329,'TL10'!$J$10:$J$224),0),
IF('TL10'!$B$229=L$3,SUMIF('TL10'!$C$238:$C$451,$C329,'TL10'!$J$238:$J$451),0),
IF('TL11'!$B$3=L$3,SUMIF('TL11'!$C$10:$C$224,$C329,'TL11'!$J$10:$J$224),0),
IF('TL11'!$B$229=L$3,SUMIF('TL11'!$C$238:$C$451,$C329,'TL11'!$J$238:$J$451),0),
IF('TL12'!$B$3=L$3,SUMIF('TL12'!$C$10:$C$224,$C329,'TL12'!$J$10:$J$224),0),
IF('TL12'!$B$229=L$3,SUMIF('TL12'!$C$238:$C$451,$C329,'TL12'!$J$238:$J$451),0),
IF('TL13'!$B$3=L$3,SUMIF('TL13'!$C$10:$C$224,$C329,'TL13'!$J$10:$J$224),0),
IF('TL13'!$B$229=L$3,SUMIF('TL13'!$C$238:$C$451,$C329,'TL13'!$J$238:$J$451),0),
IF('TL14'!$B$3=L$3,SUMIF('TL14'!$C$10:$C$224,$C329,'TL14'!$J$10:$J$224),0),
IF('TL14'!$B$229=L$3,SUMIF('TL14'!$C$238:$C$451,$C329,'TL14'!$J$238:$J$451),0),
IF('TL15'!$B$3=L$3,SUMIF('TL15'!$C$10:$C$224,$C329,'TL15'!$J$10:$J$224),0),
IF('TL15'!$B$229=L$3,SUMIF('TL15'!$C$238:$C$451,$C329,'TL15'!$J$238:$J$451),0),
IF('TL16'!$B$3=L$3,SUMIF('TL16'!$C$10:$C$224,$C329,'TL16'!$J$10:$J$224),0),
IF('TL16'!$B$229=L$3,SUMIF('TL16'!$C$238:$C$451,$C329,'TL16'!$J$238:$J$451),0),
IF('TL17'!$B$3=L$3,SUMIF('TL17'!$C$10:$C$224,$C329,'TL17'!$J$10:$J$224),0),
IF('TL17'!$B$229=L$3,SUMIF('TL17'!$C$238:$C$451,$C329,'TL17'!$J$238:$J$451),0),
IF('TL18'!$B$3=L$3,SUMIF('TL18'!$C$10:$C$224,$C329,'TL18'!$J$10:$J$224),0),
IF('TL18'!$B$229=L$3,SUMIF('TL18'!$C$238:$C$451,$C329,'TL18'!$J$238:$J$451),0),
IF('TL19'!$B$3=L$3,SUMIF('TL19'!$C$10:$C$224,$C329,'TL19'!$J$10:$J$224),0),
IF('TL19'!$B$229=L$3,SUMIF('TL19'!$C$238:$C$451,$C329,'TL19'!$J$238:$J$451),0)
),0)</f>
        <v>0</v>
      </c>
      <c r="M329" s="9">
        <f>IFERROR(SUM(
IF('TL01'!$B$3=M$3,SUMIF('TL01'!$C$10:$C$224,$C329,'TL01'!$J$10:$J$224),0),
IF('TL01'!$B$229=M$3,SUMIF('TL01'!$C$238:$C$451,$C329,'TL01'!$J$238:$J$451),0),
IF('TL02'!$B$3=M$3,SUMIF('TL02'!$C$10:$C$224,$C329,'TL02'!$J$10:$J$224),0),
IF('TL02'!$B$229=M$3,SUMIF('TL02'!$C$238:$C$451,$C329,'TL02'!$J$238:$J$451),0),
IF('TL03'!$B$3=M$3,SUMIF('TL03'!$C$10:$C$224,$C329,'TL03'!$J$10:$J$224),0),
IF('TL03'!$B$229=M$3,SUMIF('TL03'!$C$238:$C$451,$C329,'TL03'!$J$238:$J$451),0),
IF('TL04'!$B$3=M$3,SUMIF('TL04'!$C$10:$C$224,$C329,'TL04'!$J$10:$J$224),0),
IF('TL04'!$B$229=M$3,SUMIF('TL04'!$C$238:$C$451,$C329,'TL04'!$J$238:$J$451),0),
IF('TL05'!$B$3=M$3,SUMIF('TL05'!$C$10:$C$224,$C329,'TL05'!$J$10:$J$224),0),
IF('TL05'!$B$229=M$3,SUMIF('TL05'!$C$238:$C$451,$C329,'TL05'!$J$238:$J$451),0),
IF('TL06'!$B$3=M$3,SUMIF('TL06'!$C$10:$C$224,$C329,'TL06'!$J$10:$J$224),0),
IF('TL06'!$B$229=M$3,SUMIF('TL06'!$C$238:$C$451,$C329,'TL06'!$J$238:$J$451),0),
IF('TL07'!$B$3=M$3,SUMIF('TL07'!$C$10:$C$224,$C329,'TL07'!$J$10:$J$224),0),
IF('TL07'!$B$229=M$3,SUMIF('TL07'!$C$238:$C$451,$C329,'TL07'!$J$238:$J$451),0),
IF('TL08'!$B$3=M$3,SUMIF('TL08'!$C$10:$C$224,$C329,'TL08'!$J$10:$J$224),0),
IF('TL08'!$B$229=M$3,SUMIF('TL08'!$C$238:$C$451,$C329,'TL08'!$J$238:$J$451),0),
IF('TL09'!$B$3=M$3,SUMIF('TL09'!$C$10:$C$224,$C329,'TL09'!$J$10:$J$224),0),
IF('TL09'!$B$229=M$3,SUMIF('TL09'!$C$238:$C$451,$C329,'TL09'!$J$238:$J$451),0),
IF('TL10'!$B$3=M$3,SUMIF('TL10'!$C$10:$C$224,$C329,'TL10'!$J$10:$J$224),0),
IF('TL10'!$B$229=M$3,SUMIF('TL10'!$C$238:$C$451,$C329,'TL10'!$J$238:$J$451),0),
IF('TL11'!$B$3=M$3,SUMIF('TL11'!$C$10:$C$224,$C329,'TL11'!$J$10:$J$224),0),
IF('TL11'!$B$229=M$3,SUMIF('TL11'!$C$238:$C$451,$C329,'TL11'!$J$238:$J$451),0),
IF('TL12'!$B$3=M$3,SUMIF('TL12'!$C$10:$C$224,$C329,'TL12'!$J$10:$J$224),0),
IF('TL12'!$B$229=M$3,SUMIF('TL12'!$C$238:$C$451,$C329,'TL12'!$J$238:$J$451),0),
IF('TL13'!$B$3=M$3,SUMIF('TL13'!$C$10:$C$224,$C329,'TL13'!$J$10:$J$224),0),
IF('TL13'!$B$229=M$3,SUMIF('TL13'!$C$238:$C$451,$C329,'TL13'!$J$238:$J$451),0),
IF('TL14'!$B$3=M$3,SUMIF('TL14'!$C$10:$C$224,$C329,'TL14'!$J$10:$J$224),0),
IF('TL14'!$B$229=M$3,SUMIF('TL14'!$C$238:$C$451,$C329,'TL14'!$J$238:$J$451),0),
IF('TL15'!$B$3=M$3,SUMIF('TL15'!$C$10:$C$224,$C329,'TL15'!$J$10:$J$224),0),
IF('TL15'!$B$229=M$3,SUMIF('TL15'!$C$238:$C$451,$C329,'TL15'!$J$238:$J$451),0),
IF('TL16'!$B$3=M$3,SUMIF('TL16'!$C$10:$C$224,$C329,'TL16'!$J$10:$J$224),0),
IF('TL16'!$B$229=M$3,SUMIF('TL16'!$C$238:$C$451,$C329,'TL16'!$J$238:$J$451),0),
IF('TL17'!$B$3=M$3,SUMIF('TL17'!$C$10:$C$224,$C329,'TL17'!$J$10:$J$224),0),
IF('TL17'!$B$229=M$3,SUMIF('TL17'!$C$238:$C$451,$C329,'TL17'!$J$238:$J$451),0),
IF('TL18'!$B$3=M$3,SUMIF('TL18'!$C$10:$C$224,$C329,'TL18'!$J$10:$J$224),0),
IF('TL18'!$B$229=M$3,SUMIF('TL18'!$C$238:$C$451,$C329,'TL18'!$J$238:$J$451),0),
IF('TL19'!$B$3=M$3,SUMIF('TL19'!$C$10:$C$224,$C329,'TL19'!$J$10:$J$224),0),
IF('TL19'!$B$229=M$3,SUMIF('TL19'!$C$238:$C$451,$C329,'TL19'!$J$238:$J$451),0)
),0)</f>
        <v>0</v>
      </c>
      <c r="N329" s="9">
        <f>IFERROR(SUM(
IF('TL01'!$B$3=N$3,SUMIF('TL01'!$C$10:$C$224,$C329,'TL01'!$J$10:$J$224),0),
IF('TL01'!$B$229=N$3,SUMIF('TL01'!$C$238:$C$451,$C329,'TL01'!$J$238:$J$451),0),
IF('TL02'!$B$3=N$3,SUMIF('TL02'!$C$10:$C$224,$C329,'TL02'!$J$10:$J$224),0),
IF('TL02'!$B$229=N$3,SUMIF('TL02'!$C$238:$C$451,$C329,'TL02'!$J$238:$J$451),0),
IF('TL03'!$B$3=N$3,SUMIF('TL03'!$C$10:$C$224,$C329,'TL03'!$J$10:$J$224),0),
IF('TL03'!$B$229=N$3,SUMIF('TL03'!$C$238:$C$451,$C329,'TL03'!$J$238:$J$451),0),
IF('TL04'!$B$3=N$3,SUMIF('TL04'!$C$10:$C$224,$C329,'TL04'!$J$10:$J$224),0),
IF('TL04'!$B$229=N$3,SUMIF('TL04'!$C$238:$C$451,$C329,'TL04'!$J$238:$J$451),0),
IF('TL05'!$B$3=N$3,SUMIF('TL05'!$C$10:$C$224,$C329,'TL05'!$J$10:$J$224),0),
IF('TL05'!$B$229=N$3,SUMIF('TL05'!$C$238:$C$451,$C329,'TL05'!$J$238:$J$451),0),
IF('TL06'!$B$3=N$3,SUMIF('TL06'!$C$10:$C$224,$C329,'TL06'!$J$10:$J$224),0),
IF('TL06'!$B$229=N$3,SUMIF('TL06'!$C$238:$C$451,$C329,'TL06'!$J$238:$J$451),0),
IF('TL07'!$B$3=N$3,SUMIF('TL07'!$C$10:$C$224,$C329,'TL07'!$J$10:$J$224),0),
IF('TL07'!$B$229=N$3,SUMIF('TL07'!$C$238:$C$451,$C329,'TL07'!$J$238:$J$451),0),
IF('TL08'!$B$3=N$3,SUMIF('TL08'!$C$10:$C$224,$C329,'TL08'!$J$10:$J$224),0),
IF('TL08'!$B$229=N$3,SUMIF('TL08'!$C$238:$C$451,$C329,'TL08'!$J$238:$J$451),0),
IF('TL09'!$B$3=N$3,SUMIF('TL09'!$C$10:$C$224,$C329,'TL09'!$J$10:$J$224),0),
IF('TL09'!$B$229=N$3,SUMIF('TL09'!$C$238:$C$451,$C329,'TL09'!$J$238:$J$451),0),
IF('TL10'!$B$3=N$3,SUMIF('TL10'!$C$10:$C$224,$C329,'TL10'!$J$10:$J$224),0),
IF('TL10'!$B$229=N$3,SUMIF('TL10'!$C$238:$C$451,$C329,'TL10'!$J$238:$J$451),0),
IF('TL11'!$B$3=N$3,SUMIF('TL11'!$C$10:$C$224,$C329,'TL11'!$J$10:$J$224),0),
IF('TL11'!$B$229=N$3,SUMIF('TL11'!$C$238:$C$451,$C329,'TL11'!$J$238:$J$451),0),
IF('TL12'!$B$3=N$3,SUMIF('TL12'!$C$10:$C$224,$C329,'TL12'!$J$10:$J$224),0),
IF('TL12'!$B$229=N$3,SUMIF('TL12'!$C$238:$C$451,$C329,'TL12'!$J$238:$J$451),0),
IF('TL13'!$B$3=N$3,SUMIF('TL13'!$C$10:$C$224,$C329,'TL13'!$J$10:$J$224),0),
IF('TL13'!$B$229=N$3,SUMIF('TL13'!$C$238:$C$451,$C329,'TL13'!$J$238:$J$451),0),
IF('TL14'!$B$3=N$3,SUMIF('TL14'!$C$10:$C$224,$C329,'TL14'!$J$10:$J$224),0),
IF('TL14'!$B$229=N$3,SUMIF('TL14'!$C$238:$C$451,$C329,'TL14'!$J$238:$J$451),0),
IF('TL15'!$B$3=N$3,SUMIF('TL15'!$C$10:$C$224,$C329,'TL15'!$J$10:$J$224),0),
IF('TL15'!$B$229=N$3,SUMIF('TL15'!$C$238:$C$451,$C329,'TL15'!$J$238:$J$451),0),
IF('TL16'!$B$3=N$3,SUMIF('TL16'!$C$10:$C$224,$C329,'TL16'!$J$10:$J$224),0),
IF('TL16'!$B$229=N$3,SUMIF('TL16'!$C$238:$C$451,$C329,'TL16'!$J$238:$J$451),0),
IF('TL17'!$B$3=N$3,SUMIF('TL17'!$C$10:$C$224,$C329,'TL17'!$J$10:$J$224),0),
IF('TL17'!$B$229=N$3,SUMIF('TL17'!$C$238:$C$451,$C329,'TL17'!$J$238:$J$451),0),
IF('TL18'!$B$3=N$3,SUMIF('TL18'!$C$10:$C$224,$C329,'TL18'!$J$10:$J$224),0),
IF('TL18'!$B$229=N$3,SUMIF('TL18'!$C$238:$C$451,$C329,'TL18'!$J$238:$J$451),0),
IF('TL19'!$B$3=N$3,SUMIF('TL19'!$C$10:$C$224,$C329,'TL19'!$J$10:$J$224),0),
IF('TL19'!$B$229=N$3,SUMIF('TL19'!$C$238:$C$451,$C329,'TL19'!$J$238:$J$451),0)
),0)</f>
        <v>0</v>
      </c>
      <c r="O329" s="9">
        <f>IFERROR(SUM(
IF('TL01'!$B$3=O$3,SUMIF('TL01'!$C$10:$C$224,$C329,'TL01'!$J$10:$J$224),0),
IF('TL01'!$B$229=O$3,SUMIF('TL01'!$C$238:$C$451,$C329,'TL01'!$J$238:$J$451),0),
IF('TL02'!$B$3=O$3,SUMIF('TL02'!$C$10:$C$224,$C329,'TL02'!$J$10:$J$224),0),
IF('TL02'!$B$229=O$3,SUMIF('TL02'!$C$238:$C$451,$C329,'TL02'!$J$238:$J$451),0),
IF('TL03'!$B$3=O$3,SUMIF('TL03'!$C$10:$C$224,$C329,'TL03'!$J$10:$J$224),0),
IF('TL03'!$B$229=O$3,SUMIF('TL03'!$C$238:$C$451,$C329,'TL03'!$J$238:$J$451),0),
IF('TL04'!$B$3=O$3,SUMIF('TL04'!$C$10:$C$224,$C329,'TL04'!$J$10:$J$224),0),
IF('TL04'!$B$229=O$3,SUMIF('TL04'!$C$238:$C$451,$C329,'TL04'!$J$238:$J$451),0),
IF('TL05'!$B$3=O$3,SUMIF('TL05'!$C$10:$C$224,$C329,'TL05'!$J$10:$J$224),0),
IF('TL05'!$B$229=O$3,SUMIF('TL05'!$C$238:$C$451,$C329,'TL05'!$J$238:$J$451),0),
IF('TL06'!$B$3=O$3,SUMIF('TL06'!$C$10:$C$224,$C329,'TL06'!$J$10:$J$224),0),
IF('TL06'!$B$229=O$3,SUMIF('TL06'!$C$238:$C$451,$C329,'TL06'!$J$238:$J$451),0),
IF('TL07'!$B$3=O$3,SUMIF('TL07'!$C$10:$C$224,$C329,'TL07'!$J$10:$J$224),0),
IF('TL07'!$B$229=O$3,SUMIF('TL07'!$C$238:$C$451,$C329,'TL07'!$J$238:$J$451),0),
IF('TL08'!$B$3=O$3,SUMIF('TL08'!$C$10:$C$224,$C329,'TL08'!$J$10:$J$224),0),
IF('TL08'!$B$229=O$3,SUMIF('TL08'!$C$238:$C$451,$C329,'TL08'!$J$238:$J$451),0),
IF('TL09'!$B$3=O$3,SUMIF('TL09'!$C$10:$C$224,$C329,'TL09'!$J$10:$J$224),0),
IF('TL09'!$B$229=O$3,SUMIF('TL09'!$C$238:$C$451,$C329,'TL09'!$J$238:$J$451),0),
IF('TL10'!$B$3=O$3,SUMIF('TL10'!$C$10:$C$224,$C329,'TL10'!$J$10:$J$224),0),
IF('TL10'!$B$229=O$3,SUMIF('TL10'!$C$238:$C$451,$C329,'TL10'!$J$238:$J$451),0),
IF('TL11'!$B$3=O$3,SUMIF('TL11'!$C$10:$C$224,$C329,'TL11'!$J$10:$J$224),0),
IF('TL11'!$B$229=O$3,SUMIF('TL11'!$C$238:$C$451,$C329,'TL11'!$J$238:$J$451),0),
IF('TL12'!$B$3=O$3,SUMIF('TL12'!$C$10:$C$224,$C329,'TL12'!$J$10:$J$224),0),
IF('TL12'!$B$229=O$3,SUMIF('TL12'!$C$238:$C$451,$C329,'TL12'!$J$238:$J$451),0),
IF('TL13'!$B$3=O$3,SUMIF('TL13'!$C$10:$C$224,$C329,'TL13'!$J$10:$J$224),0),
IF('TL13'!$B$229=O$3,SUMIF('TL13'!$C$238:$C$451,$C329,'TL13'!$J$238:$J$451),0),
IF('TL14'!$B$3=O$3,SUMIF('TL14'!$C$10:$C$224,$C329,'TL14'!$J$10:$J$224),0),
IF('TL14'!$B$229=O$3,SUMIF('TL14'!$C$238:$C$451,$C329,'TL14'!$J$238:$J$451),0),
IF('TL15'!$B$3=O$3,SUMIF('TL15'!$C$10:$C$224,$C329,'TL15'!$J$10:$J$224),0),
IF('TL15'!$B$229=O$3,SUMIF('TL15'!$C$238:$C$451,$C329,'TL15'!$J$238:$J$451),0),
IF('TL16'!$B$3=O$3,SUMIF('TL16'!$C$10:$C$224,$C329,'TL16'!$J$10:$J$224),0),
IF('TL16'!$B$229=O$3,SUMIF('TL16'!$C$238:$C$451,$C329,'TL16'!$J$238:$J$451),0),
IF('TL17'!$B$3=O$3,SUMIF('TL17'!$C$10:$C$224,$C329,'TL17'!$J$10:$J$224),0),
IF('TL17'!$B$229=O$3,SUMIF('TL17'!$C$238:$C$451,$C329,'TL17'!$J$238:$J$451),0),
IF('TL18'!$B$3=O$3,SUMIF('TL18'!$C$10:$C$224,$C329,'TL18'!$J$10:$J$224),0),
IF('TL18'!$B$229=O$3,SUMIF('TL18'!$C$238:$C$451,$C329,'TL18'!$J$238:$J$451),0),
IF('TL19'!$B$3=O$3,SUMIF('TL19'!$C$10:$C$224,$C329,'TL19'!$J$10:$J$224),0),
IF('TL19'!$B$229=O$3,SUMIF('TL19'!$C$238:$C$451,$C329,'TL19'!$J$238:$J$451),0)
),0)</f>
        <v>0</v>
      </c>
      <c r="P329" s="9">
        <f>IFERROR(SUM(
IF('TL01'!$B$3=P$3,SUMIF('TL01'!$C$10:$C$224,$C329,'TL01'!$J$10:$J$224),0),
IF('TL01'!$B$229=P$3,SUMIF('TL01'!$C$238:$C$451,$C329,'TL01'!$J$238:$J$451),0),
IF('TL02'!$B$3=P$3,SUMIF('TL02'!$C$10:$C$224,$C329,'TL02'!$J$10:$J$224),0),
IF('TL02'!$B$229=P$3,SUMIF('TL02'!$C$238:$C$451,$C329,'TL02'!$J$238:$J$451),0),
IF('TL03'!$B$3=P$3,SUMIF('TL03'!$C$10:$C$224,$C329,'TL03'!$J$10:$J$224),0),
IF('TL03'!$B$229=P$3,SUMIF('TL03'!$C$238:$C$451,$C329,'TL03'!$J$238:$J$451),0),
IF('TL04'!$B$3=P$3,SUMIF('TL04'!$C$10:$C$224,$C329,'TL04'!$J$10:$J$224),0),
IF('TL04'!$B$229=P$3,SUMIF('TL04'!$C$238:$C$451,$C329,'TL04'!$J$238:$J$451),0),
IF('TL05'!$B$3=P$3,SUMIF('TL05'!$C$10:$C$224,$C329,'TL05'!$J$10:$J$224),0),
IF('TL05'!$B$229=P$3,SUMIF('TL05'!$C$238:$C$451,$C329,'TL05'!$J$238:$J$451),0),
IF('TL06'!$B$3=P$3,SUMIF('TL06'!$C$10:$C$224,$C329,'TL06'!$J$10:$J$224),0),
IF('TL06'!$B$229=P$3,SUMIF('TL06'!$C$238:$C$451,$C329,'TL06'!$J$238:$J$451),0),
IF('TL07'!$B$3=P$3,SUMIF('TL07'!$C$10:$C$224,$C329,'TL07'!$J$10:$J$224),0),
IF('TL07'!$B$229=P$3,SUMIF('TL07'!$C$238:$C$451,$C329,'TL07'!$J$238:$J$451),0),
IF('TL08'!$B$3=P$3,SUMIF('TL08'!$C$10:$C$224,$C329,'TL08'!$J$10:$J$224),0),
IF('TL08'!$B$229=P$3,SUMIF('TL08'!$C$238:$C$451,$C329,'TL08'!$J$238:$J$451),0),
IF('TL09'!$B$3=P$3,SUMIF('TL09'!$C$10:$C$224,$C329,'TL09'!$J$10:$J$224),0),
IF('TL09'!$B$229=P$3,SUMIF('TL09'!$C$238:$C$451,$C329,'TL09'!$J$238:$J$451),0),
IF('TL10'!$B$3=P$3,SUMIF('TL10'!$C$10:$C$224,$C329,'TL10'!$J$10:$J$224),0),
IF('TL10'!$B$229=P$3,SUMIF('TL10'!$C$238:$C$451,$C329,'TL10'!$J$238:$J$451),0),
IF('TL11'!$B$3=P$3,SUMIF('TL11'!$C$10:$C$224,$C329,'TL11'!$J$10:$J$224),0),
IF('TL11'!$B$229=P$3,SUMIF('TL11'!$C$238:$C$451,$C329,'TL11'!$J$238:$J$451),0),
IF('TL12'!$B$3=P$3,SUMIF('TL12'!$C$10:$C$224,$C329,'TL12'!$J$10:$J$224),0),
IF('TL12'!$B$229=P$3,SUMIF('TL12'!$C$238:$C$451,$C329,'TL12'!$J$238:$J$451),0),
IF('TL13'!$B$3=P$3,SUMIF('TL13'!$C$10:$C$224,$C329,'TL13'!$J$10:$J$224),0),
IF('TL13'!$B$229=P$3,SUMIF('TL13'!$C$238:$C$451,$C329,'TL13'!$J$238:$J$451),0),
IF('TL14'!$B$3=P$3,SUMIF('TL14'!$C$10:$C$224,$C329,'TL14'!$J$10:$J$224),0),
IF('TL14'!$B$229=P$3,SUMIF('TL14'!$C$238:$C$451,$C329,'TL14'!$J$238:$J$451),0),
IF('TL15'!$B$3=P$3,SUMIF('TL15'!$C$10:$C$224,$C329,'TL15'!$J$10:$J$224),0),
IF('TL15'!$B$229=P$3,SUMIF('TL15'!$C$238:$C$451,$C329,'TL15'!$J$238:$J$451),0),
IF('TL16'!$B$3=P$3,SUMIF('TL16'!$C$10:$C$224,$C329,'TL16'!$J$10:$J$224),0),
IF('TL16'!$B$229=P$3,SUMIF('TL16'!$C$238:$C$451,$C329,'TL16'!$J$238:$J$451),0),
IF('TL17'!$B$3=P$3,SUMIF('TL17'!$C$10:$C$224,$C329,'TL17'!$J$10:$J$224),0),
IF('TL17'!$B$229=P$3,SUMIF('TL17'!$C$238:$C$451,$C329,'TL17'!$J$238:$J$451),0),
IF('TL18'!$B$3=P$3,SUMIF('TL18'!$C$10:$C$224,$C329,'TL18'!$J$10:$J$224),0),
IF('TL18'!$B$229=P$3,SUMIF('TL18'!$C$238:$C$451,$C329,'TL18'!$J$238:$J$451),0),
IF('TL19'!$B$3=P$3,SUMIF('TL19'!$C$10:$C$224,$C329,'TL19'!$J$10:$J$224),0),
IF('TL19'!$B$229=P$3,SUMIF('TL19'!$C$238:$C$451,$C329,'TL19'!$J$238:$J$451),0)
),0)</f>
        <v>0</v>
      </c>
      <c r="Q329" s="9">
        <f>IFERROR(SUM(
IF('TL01'!$B$3=Q$3,SUMIF('TL01'!$C$10:$C$224,$C329,'TL01'!$J$10:$J$224),0),
IF('TL01'!$B$229=Q$3,SUMIF('TL01'!$C$238:$C$451,$C329,'TL01'!$J$238:$J$451),0),
IF('TL02'!$B$3=Q$3,SUMIF('TL02'!$C$10:$C$224,$C329,'TL02'!$J$10:$J$224),0),
IF('TL02'!$B$229=Q$3,SUMIF('TL02'!$C$238:$C$451,$C329,'TL02'!$J$238:$J$451),0),
IF('TL03'!$B$3=Q$3,SUMIF('TL03'!$C$10:$C$224,$C329,'TL03'!$J$10:$J$224),0),
IF('TL03'!$B$229=Q$3,SUMIF('TL03'!$C$238:$C$451,$C329,'TL03'!$J$238:$J$451),0),
IF('TL04'!$B$3=Q$3,SUMIF('TL04'!$C$10:$C$224,$C329,'TL04'!$J$10:$J$224),0),
IF('TL04'!$B$229=Q$3,SUMIF('TL04'!$C$238:$C$451,$C329,'TL04'!$J$238:$J$451),0),
IF('TL05'!$B$3=Q$3,SUMIF('TL05'!$C$10:$C$224,$C329,'TL05'!$J$10:$J$224),0),
IF('TL05'!$B$229=Q$3,SUMIF('TL05'!$C$238:$C$451,$C329,'TL05'!$J$238:$J$451),0),
IF('TL06'!$B$3=Q$3,SUMIF('TL06'!$C$10:$C$224,$C329,'TL06'!$J$10:$J$224),0),
IF('TL06'!$B$229=Q$3,SUMIF('TL06'!$C$238:$C$451,$C329,'TL06'!$J$238:$J$451),0),
IF('TL07'!$B$3=Q$3,SUMIF('TL07'!$C$10:$C$224,$C329,'TL07'!$J$10:$J$224),0),
IF('TL07'!$B$229=Q$3,SUMIF('TL07'!$C$238:$C$451,$C329,'TL07'!$J$238:$J$451),0),
IF('TL08'!$B$3=Q$3,SUMIF('TL08'!$C$10:$C$224,$C329,'TL08'!$J$10:$J$224),0),
IF('TL08'!$B$229=Q$3,SUMIF('TL08'!$C$238:$C$451,$C329,'TL08'!$J$238:$J$451),0),
IF('TL09'!$B$3=Q$3,SUMIF('TL09'!$C$10:$C$224,$C329,'TL09'!$J$10:$J$224),0),
IF('TL09'!$B$229=Q$3,SUMIF('TL09'!$C$238:$C$451,$C329,'TL09'!$J$238:$J$451),0),
IF('TL10'!$B$3=Q$3,SUMIF('TL10'!$C$10:$C$224,$C329,'TL10'!$J$10:$J$224),0),
IF('TL10'!$B$229=Q$3,SUMIF('TL10'!$C$238:$C$451,$C329,'TL10'!$J$238:$J$451),0),
IF('TL11'!$B$3=Q$3,SUMIF('TL11'!$C$10:$C$224,$C329,'TL11'!$J$10:$J$224),0),
IF('TL11'!$B$229=Q$3,SUMIF('TL11'!$C$238:$C$451,$C329,'TL11'!$J$238:$J$451),0),
IF('TL12'!$B$3=Q$3,SUMIF('TL12'!$C$10:$C$224,$C329,'TL12'!$J$10:$J$224),0),
IF('TL12'!$B$229=Q$3,SUMIF('TL12'!$C$238:$C$451,$C329,'TL12'!$J$238:$J$451),0),
IF('TL13'!$B$3=Q$3,SUMIF('TL13'!$C$10:$C$224,$C329,'TL13'!$J$10:$J$224),0),
IF('TL13'!$B$229=Q$3,SUMIF('TL13'!$C$238:$C$451,$C329,'TL13'!$J$238:$J$451),0),
IF('TL14'!$B$3=Q$3,SUMIF('TL14'!$C$10:$C$224,$C329,'TL14'!$J$10:$J$224),0),
IF('TL14'!$B$229=Q$3,SUMIF('TL14'!$C$238:$C$451,$C329,'TL14'!$J$238:$J$451),0),
IF('TL15'!$B$3=Q$3,SUMIF('TL15'!$C$10:$C$224,$C329,'TL15'!$J$10:$J$224),0),
IF('TL15'!$B$229=Q$3,SUMIF('TL15'!$C$238:$C$451,$C329,'TL15'!$J$238:$J$451),0),
IF('TL16'!$B$3=Q$3,SUMIF('TL16'!$C$10:$C$224,$C329,'TL16'!$J$10:$J$224),0),
IF('TL16'!$B$229=Q$3,SUMIF('TL16'!$C$238:$C$451,$C329,'TL16'!$J$238:$J$451),0),
IF('TL17'!$B$3=Q$3,SUMIF('TL17'!$C$10:$C$224,$C329,'TL17'!$J$10:$J$224),0),
IF('TL17'!$B$229=Q$3,SUMIF('TL17'!$C$238:$C$451,$C329,'TL17'!$J$238:$J$451),0),
IF('TL18'!$B$3=Q$3,SUMIF('TL18'!$C$10:$C$224,$C329,'TL18'!$J$10:$J$224),0),
IF('TL18'!$B$229=Q$3,SUMIF('TL18'!$C$238:$C$451,$C329,'TL18'!$J$238:$J$451),0),
IF('TL19'!$B$3=Q$3,SUMIF('TL19'!$C$10:$C$224,$C329,'TL19'!$J$10:$J$224),0),
IF('TL19'!$B$229=Q$3,SUMIF('TL19'!$C$238:$C$451,$C329,'TL19'!$J$238:$J$451),0)
),0)</f>
        <v>0</v>
      </c>
      <c r="R329" s="9">
        <f>IFERROR(
SUM(
SUMIF('TL01'!C:C,C329,'TL01'!J:J),
SUMIF('TL02'!C:C,C329,'TL02'!J:J),
SUMIF('TL03'!C:C,C329,'TL03'!J:J),
SUMIF('TL04'!C:C,C329,'TL04'!J:J),
SUMIF('TL05'!C:C,C329,'TL05'!J:J),
SUMIF('TL06'!C:C,C329,'TL06'!J:J),
SUMIF('TL07'!C:C,C329,'TL07'!J:J),
SUMIF('TL08'!C:C,C329,'TL08'!J:J),
SUMIF('TL09'!C:C,C329,'TL09'!J:J),
SUMIF('TL10'!C:C,C329,'TL10'!J:J),
SUMIF('TL11'!C:C,C329,'TL11'!J:J),
SUMIF('TL12'!C:C,C329,'TL12'!J:J),
SUMIF('TL13'!C:C,C329,'TL13'!J:J),
SUMIF('TL14'!C:C,C329,'TL14'!J:J),
SUMIF('TL15'!C:C,C329,'TL15'!J:J),
SUMIF('TL16'!C:C,C329,'TL16'!J:J),
SUMIF('TL17'!C:C,C329,'TL17'!J:J),
SUMIF('TL18'!C:C,C329,'TL18'!J:J),SUMIF('TL19'!C:C,C329,'TL19'!J:J))
,0)</f>
        <v>0</v>
      </c>
      <c r="S329" s="17" t="str">
        <f>IFERROR(__xludf.DUMMYFUNCTION("IFERROR(VLOOKUP(C329,
IMPORTRANGE(""1wULbzX32WdYsx-lj2U3uUNBBe2INVIRDtcK0d-Dvl90"",
""26-27!C:G""),
5,
FALSE),
"""")"),"")</f>
        <v/>
      </c>
      <c r="T329" s="9"/>
      <c r="U329" s="92">
        <f t="shared" si="2"/>
        <v>0</v>
      </c>
      <c r="V329" s="93">
        <f t="shared" si="3"/>
        <v>0</v>
      </c>
    </row>
    <row r="330" ht="15.75" hidden="1" customHeight="1">
      <c r="A330" s="4"/>
      <c r="B330" s="125" t="s">
        <v>5</v>
      </c>
      <c r="C330" s="4" t="s">
        <v>1056</v>
      </c>
      <c r="D330" s="6"/>
      <c r="E330" s="9"/>
      <c r="F330" s="4" t="s">
        <v>392</v>
      </c>
      <c r="G330" s="90" t="str">
        <f t="shared" si="5"/>
        <v>📄 Ver bula</v>
      </c>
      <c r="H330" s="9"/>
      <c r="I330" s="1"/>
      <c r="J330" s="9">
        <f>IFERROR(SUM(
IF('TL01'!$B$3=J$3,SUMIF('TL01'!$C$10:$C$224,$C330,'TL01'!$J$10:$J$224),0),
IF('TL01'!$B$229=J$3,SUMIF('TL01'!$C$238:$C$451,$C330,'TL01'!$J$238:$J$451),0),
IF('TL02'!$B$3=J$3,SUMIF('TL02'!$C$10:$C$224,$C330,'TL02'!$J$10:$J$224),0),
IF('TL02'!$B$229=J$3,SUMIF('TL02'!$C$238:$C$451,$C330,'TL02'!$J$238:$J$451),0),
IF('TL03'!$B$3=J$3,SUMIF('TL03'!$C$10:$C$224,$C330,'TL03'!$J$10:$J$224),0),
IF('TL03'!$B$229=J$3,SUMIF('TL03'!$C$238:$C$451,$C330,'TL03'!$J$238:$J$451),0),
IF('TL04'!$B$3=J$3,SUMIF('TL04'!$C$10:$C$224,$C330,'TL04'!$J$10:$J$224),0),
IF('TL04'!$B$229=J$3,SUMIF('TL04'!$C$238:$C$451,$C330,'TL04'!$J$238:$J$451),0),
IF('TL05'!$B$3=J$3,SUMIF('TL05'!$C$10:$C$224,$C330,'TL05'!$J$10:$J$224),0),
IF('TL05'!$B$229=J$3,SUMIF('TL05'!$C$238:$C$451,$C330,'TL05'!$J$238:$J$451),0),
IF('TL06'!$B$3=J$3,SUMIF('TL06'!$C$10:$C$224,$C330,'TL06'!$J$10:$J$224),0),
IF('TL06'!$B$229=J$3,SUMIF('TL06'!$C$238:$C$451,$C330,'TL06'!$J$238:$J$451),0),
IF('TL07'!$B$3=J$3,SUMIF('TL07'!$C$10:$C$224,$C330,'TL07'!$J$10:$J$224),0),
IF('TL07'!$B$229=J$3,SUMIF('TL07'!$C$238:$C$451,$C330,'TL07'!$J$238:$J$451),0),
IF('TL08'!$B$3=J$3,SUMIF('TL08'!$C$10:$C$224,$C330,'TL08'!$J$10:$J$224),0),
IF('TL08'!$B$229=J$3,SUMIF('TL08'!$C$238:$C$451,$C330,'TL08'!$J$238:$J$451),0),
IF('TL09'!$B$3=J$3,SUMIF('TL09'!$C$10:$C$224,$C330,'TL09'!$J$10:$J$224),0),
IF('TL09'!$B$229=J$3,SUMIF('TL09'!$C$238:$C$451,$C330,'TL09'!$J$238:$J$451),0),
IF('TL10'!$B$3=J$3,SUMIF('TL10'!$C$10:$C$224,$C330,'TL10'!$J$10:$J$224),0),
IF('TL10'!$B$229=J$3,SUMIF('TL10'!$C$238:$C$451,$C330,'TL10'!$J$238:$J$451),0),
IF('TL11'!$B$3=J$3,SUMIF('TL11'!$C$10:$C$224,$C330,'TL11'!$J$10:$J$224),0),
IF('TL11'!$B$229=J$3,SUMIF('TL11'!$C$238:$C$451,$C330,'TL11'!$J$238:$J$451),0),
IF('TL12'!$B$3=J$3,SUMIF('TL12'!$C$10:$C$224,$C330,'TL12'!$J$10:$J$224),0),
IF('TL12'!$B$229=J$3,SUMIF('TL12'!$C$238:$C$451,$C330,'TL12'!$J$238:$J$451),0),
IF('TL13'!$B$3=J$3,SUMIF('TL13'!$C$10:$C$224,$C330,'TL13'!$J$10:$J$224),0),
IF('TL13'!$B$229=J$3,SUMIF('TL13'!$C$238:$C$451,$C330,'TL13'!$J$238:$J$451),0),
IF('TL14'!$B$3=J$3,SUMIF('TL14'!$C$10:$C$224,$C330,'TL14'!$J$10:$J$224),0),
IF('TL14'!$B$229=J$3,SUMIF('TL14'!$C$238:$C$451,$C330,'TL14'!$J$238:$J$451),0),
IF('TL15'!$B$3=J$3,SUMIF('TL15'!$C$10:$C$224,$C330,'TL15'!$J$10:$J$224),0),
IF('TL15'!$B$229=J$3,SUMIF('TL15'!$C$238:$C$451,$C330,'TL15'!$J$238:$J$451),0),
IF('TL16'!$B$3=J$3,SUMIF('TL16'!$C$10:$C$224,$C330,'TL16'!$J$10:$J$224),0),
IF('TL16'!$B$229=J$3,SUMIF('TL16'!$C$238:$C$451,$C330,'TL16'!$J$238:$J$451),0),
IF('TL17'!$B$3=J$3,SUMIF('TL17'!$C$10:$C$224,$C330,'TL17'!$J$10:$J$224),0),
IF('TL17'!$B$229=J$3,SUMIF('TL17'!$C$238:$C$451,$C330,'TL17'!$J$238:$J$451),0),
IF('TL18'!$B$3=J$3,SUMIF('TL18'!$C$10:$C$224,$C330,'TL18'!$J$10:$J$224),0),
IF('TL18'!$B$229=J$3,SUMIF('TL18'!$C$238:$C$451,$C330,'TL18'!$J$238:$J$451),0),
IF('TL19'!$B$3=J$3,SUMIF('TL19'!$C$10:$C$224,$C330,'TL19'!$J$10:$J$224),0),
IF('TL19'!$B$229=J$3,SUMIF('TL19'!$C$238:$C$451,$C330,'TL19'!$J$238:$J$451),0)
),0)</f>
        <v>0</v>
      </c>
      <c r="K330" s="9">
        <f>IFERROR(SUM(
IF('TL01'!$B$3=K$3,SUMIF('TL01'!$C$10:$C$224,$C330,'TL01'!$J$10:$J$224),0),
IF('TL01'!$B$229=K$3,SUMIF('TL01'!$C$238:$C$451,$C330,'TL01'!$J$238:$J$451),0),
IF('TL02'!$B$3=K$3,SUMIF('TL02'!$C$10:$C$224,$C330,'TL02'!$J$10:$J$224),0),
IF('TL02'!$B$229=K$3,SUMIF('TL02'!$C$238:$C$451,$C330,'TL02'!$J$238:$J$451),0),
IF('TL03'!$B$3=K$3,SUMIF('TL03'!$C$10:$C$224,$C330,'TL03'!$J$10:$J$224),0),
IF('TL03'!$B$229=K$3,SUMIF('TL03'!$C$238:$C$451,$C330,'TL03'!$J$238:$J$451),0),
IF('TL04'!$B$3=K$3,SUMIF('TL04'!$C$10:$C$224,$C330,'TL04'!$J$10:$J$224),0),
IF('TL04'!$B$229=K$3,SUMIF('TL04'!$C$238:$C$451,$C330,'TL04'!$J$238:$J$451),0),
IF('TL05'!$B$3=K$3,SUMIF('TL05'!$C$10:$C$224,$C330,'TL05'!$J$10:$J$224),0),
IF('TL05'!$B$229=K$3,SUMIF('TL05'!$C$238:$C$451,$C330,'TL05'!$J$238:$J$451),0),
IF('TL06'!$B$3=K$3,SUMIF('TL06'!$C$10:$C$224,$C330,'TL06'!$J$10:$J$224),0),
IF('TL06'!$B$229=K$3,SUMIF('TL06'!$C$238:$C$451,$C330,'TL06'!$J$238:$J$451),0),
IF('TL07'!$B$3=K$3,SUMIF('TL07'!$C$10:$C$224,$C330,'TL07'!$J$10:$J$224),0),
IF('TL07'!$B$229=K$3,SUMIF('TL07'!$C$238:$C$451,$C330,'TL07'!$J$238:$J$451),0),
IF('TL08'!$B$3=K$3,SUMIF('TL08'!$C$10:$C$224,$C330,'TL08'!$J$10:$J$224),0),
IF('TL08'!$B$229=K$3,SUMIF('TL08'!$C$238:$C$451,$C330,'TL08'!$J$238:$J$451),0),
IF('TL09'!$B$3=K$3,SUMIF('TL09'!$C$10:$C$224,$C330,'TL09'!$J$10:$J$224),0),
IF('TL09'!$B$229=K$3,SUMIF('TL09'!$C$238:$C$451,$C330,'TL09'!$J$238:$J$451),0),
IF('TL10'!$B$3=K$3,SUMIF('TL10'!$C$10:$C$224,$C330,'TL10'!$J$10:$J$224),0),
IF('TL10'!$B$229=K$3,SUMIF('TL10'!$C$238:$C$451,$C330,'TL10'!$J$238:$J$451),0),
IF('TL11'!$B$3=K$3,SUMIF('TL11'!$C$10:$C$224,$C330,'TL11'!$J$10:$J$224),0),
IF('TL11'!$B$229=K$3,SUMIF('TL11'!$C$238:$C$451,$C330,'TL11'!$J$238:$J$451),0),
IF('TL12'!$B$3=K$3,SUMIF('TL12'!$C$10:$C$224,$C330,'TL12'!$J$10:$J$224),0),
IF('TL12'!$B$229=K$3,SUMIF('TL12'!$C$238:$C$451,$C330,'TL12'!$J$238:$J$451),0),
IF('TL13'!$B$3=K$3,SUMIF('TL13'!$C$10:$C$224,$C330,'TL13'!$J$10:$J$224),0),
IF('TL13'!$B$229=K$3,SUMIF('TL13'!$C$238:$C$451,$C330,'TL13'!$J$238:$J$451),0),
IF('TL14'!$B$3=K$3,SUMIF('TL14'!$C$10:$C$224,$C330,'TL14'!$J$10:$J$224),0),
IF('TL14'!$B$229=K$3,SUMIF('TL14'!$C$238:$C$451,$C330,'TL14'!$J$238:$J$451),0),
IF('TL15'!$B$3=K$3,SUMIF('TL15'!$C$10:$C$224,$C330,'TL15'!$J$10:$J$224),0),
IF('TL15'!$B$229=K$3,SUMIF('TL15'!$C$238:$C$451,$C330,'TL15'!$J$238:$J$451),0),
IF('TL16'!$B$3=K$3,SUMIF('TL16'!$C$10:$C$224,$C330,'TL16'!$J$10:$J$224),0),
IF('TL16'!$B$229=K$3,SUMIF('TL16'!$C$238:$C$451,$C330,'TL16'!$J$238:$J$451),0),
IF('TL17'!$B$3=K$3,SUMIF('TL17'!$C$10:$C$224,$C330,'TL17'!$J$10:$J$224),0),
IF('TL17'!$B$229=K$3,SUMIF('TL17'!$C$238:$C$451,$C330,'TL17'!$J$238:$J$451),0),
IF('TL18'!$B$3=K$3,SUMIF('TL18'!$C$10:$C$224,$C330,'TL18'!$J$10:$J$224),0),
IF('TL18'!$B$229=K$3,SUMIF('TL18'!$C$238:$C$451,$C330,'TL18'!$J$238:$J$451),0),
IF('TL19'!$B$3=K$3,SUMIF('TL19'!$C$10:$C$224,$C330,'TL19'!$J$10:$J$224),0),
IF('TL19'!$B$229=K$3,SUMIF('TL19'!$C$238:$C$451,$C330,'TL19'!$J$238:$J$451),0)
),0)</f>
        <v>0</v>
      </c>
      <c r="L330" s="9">
        <f>IFERROR(SUM(
IF('TL01'!$B$3=L$3,SUMIF('TL01'!$C$10:$C$224,$C330,'TL01'!$J$10:$J$224),0),
IF('TL01'!$B$229=L$3,SUMIF('TL01'!$C$238:$C$451,$C330,'TL01'!$J$238:$J$451),0),
IF('TL02'!$B$3=L$3,SUMIF('TL02'!$C$10:$C$224,$C330,'TL02'!$J$10:$J$224),0),
IF('TL02'!$B$229=L$3,SUMIF('TL02'!$C$238:$C$451,$C330,'TL02'!$J$238:$J$451),0),
IF('TL03'!$B$3=L$3,SUMIF('TL03'!$C$10:$C$224,$C330,'TL03'!$J$10:$J$224),0),
IF('TL03'!$B$229=L$3,SUMIF('TL03'!$C$238:$C$451,$C330,'TL03'!$J$238:$J$451),0),
IF('TL04'!$B$3=L$3,SUMIF('TL04'!$C$10:$C$224,$C330,'TL04'!$J$10:$J$224),0),
IF('TL04'!$B$229=L$3,SUMIF('TL04'!$C$238:$C$451,$C330,'TL04'!$J$238:$J$451),0),
IF('TL05'!$B$3=L$3,SUMIF('TL05'!$C$10:$C$224,$C330,'TL05'!$J$10:$J$224),0),
IF('TL05'!$B$229=L$3,SUMIF('TL05'!$C$238:$C$451,$C330,'TL05'!$J$238:$J$451),0),
IF('TL06'!$B$3=L$3,SUMIF('TL06'!$C$10:$C$224,$C330,'TL06'!$J$10:$J$224),0),
IF('TL06'!$B$229=L$3,SUMIF('TL06'!$C$238:$C$451,$C330,'TL06'!$J$238:$J$451),0),
IF('TL07'!$B$3=L$3,SUMIF('TL07'!$C$10:$C$224,$C330,'TL07'!$J$10:$J$224),0),
IF('TL07'!$B$229=L$3,SUMIF('TL07'!$C$238:$C$451,$C330,'TL07'!$J$238:$J$451),0),
IF('TL08'!$B$3=L$3,SUMIF('TL08'!$C$10:$C$224,$C330,'TL08'!$J$10:$J$224),0),
IF('TL08'!$B$229=L$3,SUMIF('TL08'!$C$238:$C$451,$C330,'TL08'!$J$238:$J$451),0),
IF('TL09'!$B$3=L$3,SUMIF('TL09'!$C$10:$C$224,$C330,'TL09'!$J$10:$J$224),0),
IF('TL09'!$B$229=L$3,SUMIF('TL09'!$C$238:$C$451,$C330,'TL09'!$J$238:$J$451),0),
IF('TL10'!$B$3=L$3,SUMIF('TL10'!$C$10:$C$224,$C330,'TL10'!$J$10:$J$224),0),
IF('TL10'!$B$229=L$3,SUMIF('TL10'!$C$238:$C$451,$C330,'TL10'!$J$238:$J$451),0),
IF('TL11'!$B$3=L$3,SUMIF('TL11'!$C$10:$C$224,$C330,'TL11'!$J$10:$J$224),0),
IF('TL11'!$B$229=L$3,SUMIF('TL11'!$C$238:$C$451,$C330,'TL11'!$J$238:$J$451),0),
IF('TL12'!$B$3=L$3,SUMIF('TL12'!$C$10:$C$224,$C330,'TL12'!$J$10:$J$224),0),
IF('TL12'!$B$229=L$3,SUMIF('TL12'!$C$238:$C$451,$C330,'TL12'!$J$238:$J$451),0),
IF('TL13'!$B$3=L$3,SUMIF('TL13'!$C$10:$C$224,$C330,'TL13'!$J$10:$J$224),0),
IF('TL13'!$B$229=L$3,SUMIF('TL13'!$C$238:$C$451,$C330,'TL13'!$J$238:$J$451),0),
IF('TL14'!$B$3=L$3,SUMIF('TL14'!$C$10:$C$224,$C330,'TL14'!$J$10:$J$224),0),
IF('TL14'!$B$229=L$3,SUMIF('TL14'!$C$238:$C$451,$C330,'TL14'!$J$238:$J$451),0),
IF('TL15'!$B$3=L$3,SUMIF('TL15'!$C$10:$C$224,$C330,'TL15'!$J$10:$J$224),0),
IF('TL15'!$B$229=L$3,SUMIF('TL15'!$C$238:$C$451,$C330,'TL15'!$J$238:$J$451),0),
IF('TL16'!$B$3=L$3,SUMIF('TL16'!$C$10:$C$224,$C330,'TL16'!$J$10:$J$224),0),
IF('TL16'!$B$229=L$3,SUMIF('TL16'!$C$238:$C$451,$C330,'TL16'!$J$238:$J$451),0),
IF('TL17'!$B$3=L$3,SUMIF('TL17'!$C$10:$C$224,$C330,'TL17'!$J$10:$J$224),0),
IF('TL17'!$B$229=L$3,SUMIF('TL17'!$C$238:$C$451,$C330,'TL17'!$J$238:$J$451),0),
IF('TL18'!$B$3=L$3,SUMIF('TL18'!$C$10:$C$224,$C330,'TL18'!$J$10:$J$224),0),
IF('TL18'!$B$229=L$3,SUMIF('TL18'!$C$238:$C$451,$C330,'TL18'!$J$238:$J$451),0),
IF('TL19'!$B$3=L$3,SUMIF('TL19'!$C$10:$C$224,$C330,'TL19'!$J$10:$J$224),0),
IF('TL19'!$B$229=L$3,SUMIF('TL19'!$C$238:$C$451,$C330,'TL19'!$J$238:$J$451),0)
),0)</f>
        <v>0</v>
      </c>
      <c r="M330" s="9">
        <f>IFERROR(SUM(
IF('TL01'!$B$3=M$3,SUMIF('TL01'!$C$10:$C$224,$C330,'TL01'!$J$10:$J$224),0),
IF('TL01'!$B$229=M$3,SUMIF('TL01'!$C$238:$C$451,$C330,'TL01'!$J$238:$J$451),0),
IF('TL02'!$B$3=M$3,SUMIF('TL02'!$C$10:$C$224,$C330,'TL02'!$J$10:$J$224),0),
IF('TL02'!$B$229=M$3,SUMIF('TL02'!$C$238:$C$451,$C330,'TL02'!$J$238:$J$451),0),
IF('TL03'!$B$3=M$3,SUMIF('TL03'!$C$10:$C$224,$C330,'TL03'!$J$10:$J$224),0),
IF('TL03'!$B$229=M$3,SUMIF('TL03'!$C$238:$C$451,$C330,'TL03'!$J$238:$J$451),0),
IF('TL04'!$B$3=M$3,SUMIF('TL04'!$C$10:$C$224,$C330,'TL04'!$J$10:$J$224),0),
IF('TL04'!$B$229=M$3,SUMIF('TL04'!$C$238:$C$451,$C330,'TL04'!$J$238:$J$451),0),
IF('TL05'!$B$3=M$3,SUMIF('TL05'!$C$10:$C$224,$C330,'TL05'!$J$10:$J$224),0),
IF('TL05'!$B$229=M$3,SUMIF('TL05'!$C$238:$C$451,$C330,'TL05'!$J$238:$J$451),0),
IF('TL06'!$B$3=M$3,SUMIF('TL06'!$C$10:$C$224,$C330,'TL06'!$J$10:$J$224),0),
IF('TL06'!$B$229=M$3,SUMIF('TL06'!$C$238:$C$451,$C330,'TL06'!$J$238:$J$451),0),
IF('TL07'!$B$3=M$3,SUMIF('TL07'!$C$10:$C$224,$C330,'TL07'!$J$10:$J$224),0),
IF('TL07'!$B$229=M$3,SUMIF('TL07'!$C$238:$C$451,$C330,'TL07'!$J$238:$J$451),0),
IF('TL08'!$B$3=M$3,SUMIF('TL08'!$C$10:$C$224,$C330,'TL08'!$J$10:$J$224),0),
IF('TL08'!$B$229=M$3,SUMIF('TL08'!$C$238:$C$451,$C330,'TL08'!$J$238:$J$451),0),
IF('TL09'!$B$3=M$3,SUMIF('TL09'!$C$10:$C$224,$C330,'TL09'!$J$10:$J$224),0),
IF('TL09'!$B$229=M$3,SUMIF('TL09'!$C$238:$C$451,$C330,'TL09'!$J$238:$J$451),0),
IF('TL10'!$B$3=M$3,SUMIF('TL10'!$C$10:$C$224,$C330,'TL10'!$J$10:$J$224),0),
IF('TL10'!$B$229=M$3,SUMIF('TL10'!$C$238:$C$451,$C330,'TL10'!$J$238:$J$451),0),
IF('TL11'!$B$3=M$3,SUMIF('TL11'!$C$10:$C$224,$C330,'TL11'!$J$10:$J$224),0),
IF('TL11'!$B$229=M$3,SUMIF('TL11'!$C$238:$C$451,$C330,'TL11'!$J$238:$J$451),0),
IF('TL12'!$B$3=M$3,SUMIF('TL12'!$C$10:$C$224,$C330,'TL12'!$J$10:$J$224),0),
IF('TL12'!$B$229=M$3,SUMIF('TL12'!$C$238:$C$451,$C330,'TL12'!$J$238:$J$451),0),
IF('TL13'!$B$3=M$3,SUMIF('TL13'!$C$10:$C$224,$C330,'TL13'!$J$10:$J$224),0),
IF('TL13'!$B$229=M$3,SUMIF('TL13'!$C$238:$C$451,$C330,'TL13'!$J$238:$J$451),0),
IF('TL14'!$B$3=M$3,SUMIF('TL14'!$C$10:$C$224,$C330,'TL14'!$J$10:$J$224),0),
IF('TL14'!$B$229=M$3,SUMIF('TL14'!$C$238:$C$451,$C330,'TL14'!$J$238:$J$451),0),
IF('TL15'!$B$3=M$3,SUMIF('TL15'!$C$10:$C$224,$C330,'TL15'!$J$10:$J$224),0),
IF('TL15'!$B$229=M$3,SUMIF('TL15'!$C$238:$C$451,$C330,'TL15'!$J$238:$J$451),0),
IF('TL16'!$B$3=M$3,SUMIF('TL16'!$C$10:$C$224,$C330,'TL16'!$J$10:$J$224),0),
IF('TL16'!$B$229=M$3,SUMIF('TL16'!$C$238:$C$451,$C330,'TL16'!$J$238:$J$451),0),
IF('TL17'!$B$3=M$3,SUMIF('TL17'!$C$10:$C$224,$C330,'TL17'!$J$10:$J$224),0),
IF('TL17'!$B$229=M$3,SUMIF('TL17'!$C$238:$C$451,$C330,'TL17'!$J$238:$J$451),0),
IF('TL18'!$B$3=M$3,SUMIF('TL18'!$C$10:$C$224,$C330,'TL18'!$J$10:$J$224),0),
IF('TL18'!$B$229=M$3,SUMIF('TL18'!$C$238:$C$451,$C330,'TL18'!$J$238:$J$451),0),
IF('TL19'!$B$3=M$3,SUMIF('TL19'!$C$10:$C$224,$C330,'TL19'!$J$10:$J$224),0),
IF('TL19'!$B$229=M$3,SUMIF('TL19'!$C$238:$C$451,$C330,'TL19'!$J$238:$J$451),0)
),0)</f>
        <v>0</v>
      </c>
      <c r="N330" s="9">
        <f>IFERROR(SUM(
IF('TL01'!$B$3=N$3,SUMIF('TL01'!$C$10:$C$224,$C330,'TL01'!$J$10:$J$224),0),
IF('TL01'!$B$229=N$3,SUMIF('TL01'!$C$238:$C$451,$C330,'TL01'!$J$238:$J$451),0),
IF('TL02'!$B$3=N$3,SUMIF('TL02'!$C$10:$C$224,$C330,'TL02'!$J$10:$J$224),0),
IF('TL02'!$B$229=N$3,SUMIF('TL02'!$C$238:$C$451,$C330,'TL02'!$J$238:$J$451),0),
IF('TL03'!$B$3=N$3,SUMIF('TL03'!$C$10:$C$224,$C330,'TL03'!$J$10:$J$224),0),
IF('TL03'!$B$229=N$3,SUMIF('TL03'!$C$238:$C$451,$C330,'TL03'!$J$238:$J$451),0),
IF('TL04'!$B$3=N$3,SUMIF('TL04'!$C$10:$C$224,$C330,'TL04'!$J$10:$J$224),0),
IF('TL04'!$B$229=N$3,SUMIF('TL04'!$C$238:$C$451,$C330,'TL04'!$J$238:$J$451),0),
IF('TL05'!$B$3=N$3,SUMIF('TL05'!$C$10:$C$224,$C330,'TL05'!$J$10:$J$224),0),
IF('TL05'!$B$229=N$3,SUMIF('TL05'!$C$238:$C$451,$C330,'TL05'!$J$238:$J$451),0),
IF('TL06'!$B$3=N$3,SUMIF('TL06'!$C$10:$C$224,$C330,'TL06'!$J$10:$J$224),0),
IF('TL06'!$B$229=N$3,SUMIF('TL06'!$C$238:$C$451,$C330,'TL06'!$J$238:$J$451),0),
IF('TL07'!$B$3=N$3,SUMIF('TL07'!$C$10:$C$224,$C330,'TL07'!$J$10:$J$224),0),
IF('TL07'!$B$229=N$3,SUMIF('TL07'!$C$238:$C$451,$C330,'TL07'!$J$238:$J$451),0),
IF('TL08'!$B$3=N$3,SUMIF('TL08'!$C$10:$C$224,$C330,'TL08'!$J$10:$J$224),0),
IF('TL08'!$B$229=N$3,SUMIF('TL08'!$C$238:$C$451,$C330,'TL08'!$J$238:$J$451),0),
IF('TL09'!$B$3=N$3,SUMIF('TL09'!$C$10:$C$224,$C330,'TL09'!$J$10:$J$224),0),
IF('TL09'!$B$229=N$3,SUMIF('TL09'!$C$238:$C$451,$C330,'TL09'!$J$238:$J$451),0),
IF('TL10'!$B$3=N$3,SUMIF('TL10'!$C$10:$C$224,$C330,'TL10'!$J$10:$J$224),0),
IF('TL10'!$B$229=N$3,SUMIF('TL10'!$C$238:$C$451,$C330,'TL10'!$J$238:$J$451),0),
IF('TL11'!$B$3=N$3,SUMIF('TL11'!$C$10:$C$224,$C330,'TL11'!$J$10:$J$224),0),
IF('TL11'!$B$229=N$3,SUMIF('TL11'!$C$238:$C$451,$C330,'TL11'!$J$238:$J$451),0),
IF('TL12'!$B$3=N$3,SUMIF('TL12'!$C$10:$C$224,$C330,'TL12'!$J$10:$J$224),0),
IF('TL12'!$B$229=N$3,SUMIF('TL12'!$C$238:$C$451,$C330,'TL12'!$J$238:$J$451),0),
IF('TL13'!$B$3=N$3,SUMIF('TL13'!$C$10:$C$224,$C330,'TL13'!$J$10:$J$224),0),
IF('TL13'!$B$229=N$3,SUMIF('TL13'!$C$238:$C$451,$C330,'TL13'!$J$238:$J$451),0),
IF('TL14'!$B$3=N$3,SUMIF('TL14'!$C$10:$C$224,$C330,'TL14'!$J$10:$J$224),0),
IF('TL14'!$B$229=N$3,SUMIF('TL14'!$C$238:$C$451,$C330,'TL14'!$J$238:$J$451),0),
IF('TL15'!$B$3=N$3,SUMIF('TL15'!$C$10:$C$224,$C330,'TL15'!$J$10:$J$224),0),
IF('TL15'!$B$229=N$3,SUMIF('TL15'!$C$238:$C$451,$C330,'TL15'!$J$238:$J$451),0),
IF('TL16'!$B$3=N$3,SUMIF('TL16'!$C$10:$C$224,$C330,'TL16'!$J$10:$J$224),0),
IF('TL16'!$B$229=N$3,SUMIF('TL16'!$C$238:$C$451,$C330,'TL16'!$J$238:$J$451),0),
IF('TL17'!$B$3=N$3,SUMIF('TL17'!$C$10:$C$224,$C330,'TL17'!$J$10:$J$224),0),
IF('TL17'!$B$229=N$3,SUMIF('TL17'!$C$238:$C$451,$C330,'TL17'!$J$238:$J$451),0),
IF('TL18'!$B$3=N$3,SUMIF('TL18'!$C$10:$C$224,$C330,'TL18'!$J$10:$J$224),0),
IF('TL18'!$B$229=N$3,SUMIF('TL18'!$C$238:$C$451,$C330,'TL18'!$J$238:$J$451),0),
IF('TL19'!$B$3=N$3,SUMIF('TL19'!$C$10:$C$224,$C330,'TL19'!$J$10:$J$224),0),
IF('TL19'!$B$229=N$3,SUMIF('TL19'!$C$238:$C$451,$C330,'TL19'!$J$238:$J$451),0)
),0)</f>
        <v>0</v>
      </c>
      <c r="O330" s="9">
        <f>IFERROR(SUM(
IF('TL01'!$B$3=O$3,SUMIF('TL01'!$C$10:$C$224,$C330,'TL01'!$J$10:$J$224),0),
IF('TL01'!$B$229=O$3,SUMIF('TL01'!$C$238:$C$451,$C330,'TL01'!$J$238:$J$451),0),
IF('TL02'!$B$3=O$3,SUMIF('TL02'!$C$10:$C$224,$C330,'TL02'!$J$10:$J$224),0),
IF('TL02'!$B$229=O$3,SUMIF('TL02'!$C$238:$C$451,$C330,'TL02'!$J$238:$J$451),0),
IF('TL03'!$B$3=O$3,SUMIF('TL03'!$C$10:$C$224,$C330,'TL03'!$J$10:$J$224),0),
IF('TL03'!$B$229=O$3,SUMIF('TL03'!$C$238:$C$451,$C330,'TL03'!$J$238:$J$451),0),
IF('TL04'!$B$3=O$3,SUMIF('TL04'!$C$10:$C$224,$C330,'TL04'!$J$10:$J$224),0),
IF('TL04'!$B$229=O$3,SUMIF('TL04'!$C$238:$C$451,$C330,'TL04'!$J$238:$J$451),0),
IF('TL05'!$B$3=O$3,SUMIF('TL05'!$C$10:$C$224,$C330,'TL05'!$J$10:$J$224),0),
IF('TL05'!$B$229=O$3,SUMIF('TL05'!$C$238:$C$451,$C330,'TL05'!$J$238:$J$451),0),
IF('TL06'!$B$3=O$3,SUMIF('TL06'!$C$10:$C$224,$C330,'TL06'!$J$10:$J$224),0),
IF('TL06'!$B$229=O$3,SUMIF('TL06'!$C$238:$C$451,$C330,'TL06'!$J$238:$J$451),0),
IF('TL07'!$B$3=O$3,SUMIF('TL07'!$C$10:$C$224,$C330,'TL07'!$J$10:$J$224),0),
IF('TL07'!$B$229=O$3,SUMIF('TL07'!$C$238:$C$451,$C330,'TL07'!$J$238:$J$451),0),
IF('TL08'!$B$3=O$3,SUMIF('TL08'!$C$10:$C$224,$C330,'TL08'!$J$10:$J$224),0),
IF('TL08'!$B$229=O$3,SUMIF('TL08'!$C$238:$C$451,$C330,'TL08'!$J$238:$J$451),0),
IF('TL09'!$B$3=O$3,SUMIF('TL09'!$C$10:$C$224,$C330,'TL09'!$J$10:$J$224),0),
IF('TL09'!$B$229=O$3,SUMIF('TL09'!$C$238:$C$451,$C330,'TL09'!$J$238:$J$451),0),
IF('TL10'!$B$3=O$3,SUMIF('TL10'!$C$10:$C$224,$C330,'TL10'!$J$10:$J$224),0),
IF('TL10'!$B$229=O$3,SUMIF('TL10'!$C$238:$C$451,$C330,'TL10'!$J$238:$J$451),0),
IF('TL11'!$B$3=O$3,SUMIF('TL11'!$C$10:$C$224,$C330,'TL11'!$J$10:$J$224),0),
IF('TL11'!$B$229=O$3,SUMIF('TL11'!$C$238:$C$451,$C330,'TL11'!$J$238:$J$451),0),
IF('TL12'!$B$3=O$3,SUMIF('TL12'!$C$10:$C$224,$C330,'TL12'!$J$10:$J$224),0),
IF('TL12'!$B$229=O$3,SUMIF('TL12'!$C$238:$C$451,$C330,'TL12'!$J$238:$J$451),0),
IF('TL13'!$B$3=O$3,SUMIF('TL13'!$C$10:$C$224,$C330,'TL13'!$J$10:$J$224),0),
IF('TL13'!$B$229=O$3,SUMIF('TL13'!$C$238:$C$451,$C330,'TL13'!$J$238:$J$451),0),
IF('TL14'!$B$3=O$3,SUMIF('TL14'!$C$10:$C$224,$C330,'TL14'!$J$10:$J$224),0),
IF('TL14'!$B$229=O$3,SUMIF('TL14'!$C$238:$C$451,$C330,'TL14'!$J$238:$J$451),0),
IF('TL15'!$B$3=O$3,SUMIF('TL15'!$C$10:$C$224,$C330,'TL15'!$J$10:$J$224),0),
IF('TL15'!$B$229=O$3,SUMIF('TL15'!$C$238:$C$451,$C330,'TL15'!$J$238:$J$451),0),
IF('TL16'!$B$3=O$3,SUMIF('TL16'!$C$10:$C$224,$C330,'TL16'!$J$10:$J$224),0),
IF('TL16'!$B$229=O$3,SUMIF('TL16'!$C$238:$C$451,$C330,'TL16'!$J$238:$J$451),0),
IF('TL17'!$B$3=O$3,SUMIF('TL17'!$C$10:$C$224,$C330,'TL17'!$J$10:$J$224),0),
IF('TL17'!$B$229=O$3,SUMIF('TL17'!$C$238:$C$451,$C330,'TL17'!$J$238:$J$451),0),
IF('TL18'!$B$3=O$3,SUMIF('TL18'!$C$10:$C$224,$C330,'TL18'!$J$10:$J$224),0),
IF('TL18'!$B$229=O$3,SUMIF('TL18'!$C$238:$C$451,$C330,'TL18'!$J$238:$J$451),0),
IF('TL19'!$B$3=O$3,SUMIF('TL19'!$C$10:$C$224,$C330,'TL19'!$J$10:$J$224),0),
IF('TL19'!$B$229=O$3,SUMIF('TL19'!$C$238:$C$451,$C330,'TL19'!$J$238:$J$451),0)
),0)</f>
        <v>0</v>
      </c>
      <c r="P330" s="9">
        <f>IFERROR(SUM(
IF('TL01'!$B$3=P$3,SUMIF('TL01'!$C$10:$C$224,$C330,'TL01'!$J$10:$J$224),0),
IF('TL01'!$B$229=P$3,SUMIF('TL01'!$C$238:$C$451,$C330,'TL01'!$J$238:$J$451),0),
IF('TL02'!$B$3=P$3,SUMIF('TL02'!$C$10:$C$224,$C330,'TL02'!$J$10:$J$224),0),
IF('TL02'!$B$229=P$3,SUMIF('TL02'!$C$238:$C$451,$C330,'TL02'!$J$238:$J$451),0),
IF('TL03'!$B$3=P$3,SUMIF('TL03'!$C$10:$C$224,$C330,'TL03'!$J$10:$J$224),0),
IF('TL03'!$B$229=P$3,SUMIF('TL03'!$C$238:$C$451,$C330,'TL03'!$J$238:$J$451),0),
IF('TL04'!$B$3=P$3,SUMIF('TL04'!$C$10:$C$224,$C330,'TL04'!$J$10:$J$224),0),
IF('TL04'!$B$229=P$3,SUMIF('TL04'!$C$238:$C$451,$C330,'TL04'!$J$238:$J$451),0),
IF('TL05'!$B$3=P$3,SUMIF('TL05'!$C$10:$C$224,$C330,'TL05'!$J$10:$J$224),0),
IF('TL05'!$B$229=P$3,SUMIF('TL05'!$C$238:$C$451,$C330,'TL05'!$J$238:$J$451),0),
IF('TL06'!$B$3=P$3,SUMIF('TL06'!$C$10:$C$224,$C330,'TL06'!$J$10:$J$224),0),
IF('TL06'!$B$229=P$3,SUMIF('TL06'!$C$238:$C$451,$C330,'TL06'!$J$238:$J$451),0),
IF('TL07'!$B$3=P$3,SUMIF('TL07'!$C$10:$C$224,$C330,'TL07'!$J$10:$J$224),0),
IF('TL07'!$B$229=P$3,SUMIF('TL07'!$C$238:$C$451,$C330,'TL07'!$J$238:$J$451),0),
IF('TL08'!$B$3=P$3,SUMIF('TL08'!$C$10:$C$224,$C330,'TL08'!$J$10:$J$224),0),
IF('TL08'!$B$229=P$3,SUMIF('TL08'!$C$238:$C$451,$C330,'TL08'!$J$238:$J$451),0),
IF('TL09'!$B$3=P$3,SUMIF('TL09'!$C$10:$C$224,$C330,'TL09'!$J$10:$J$224),0),
IF('TL09'!$B$229=P$3,SUMIF('TL09'!$C$238:$C$451,$C330,'TL09'!$J$238:$J$451),0),
IF('TL10'!$B$3=P$3,SUMIF('TL10'!$C$10:$C$224,$C330,'TL10'!$J$10:$J$224),0),
IF('TL10'!$B$229=P$3,SUMIF('TL10'!$C$238:$C$451,$C330,'TL10'!$J$238:$J$451),0),
IF('TL11'!$B$3=P$3,SUMIF('TL11'!$C$10:$C$224,$C330,'TL11'!$J$10:$J$224),0),
IF('TL11'!$B$229=P$3,SUMIF('TL11'!$C$238:$C$451,$C330,'TL11'!$J$238:$J$451),0),
IF('TL12'!$B$3=P$3,SUMIF('TL12'!$C$10:$C$224,$C330,'TL12'!$J$10:$J$224),0),
IF('TL12'!$B$229=P$3,SUMIF('TL12'!$C$238:$C$451,$C330,'TL12'!$J$238:$J$451),0),
IF('TL13'!$B$3=P$3,SUMIF('TL13'!$C$10:$C$224,$C330,'TL13'!$J$10:$J$224),0),
IF('TL13'!$B$229=P$3,SUMIF('TL13'!$C$238:$C$451,$C330,'TL13'!$J$238:$J$451),0),
IF('TL14'!$B$3=P$3,SUMIF('TL14'!$C$10:$C$224,$C330,'TL14'!$J$10:$J$224),0),
IF('TL14'!$B$229=P$3,SUMIF('TL14'!$C$238:$C$451,$C330,'TL14'!$J$238:$J$451),0),
IF('TL15'!$B$3=P$3,SUMIF('TL15'!$C$10:$C$224,$C330,'TL15'!$J$10:$J$224),0),
IF('TL15'!$B$229=P$3,SUMIF('TL15'!$C$238:$C$451,$C330,'TL15'!$J$238:$J$451),0),
IF('TL16'!$B$3=P$3,SUMIF('TL16'!$C$10:$C$224,$C330,'TL16'!$J$10:$J$224),0),
IF('TL16'!$B$229=P$3,SUMIF('TL16'!$C$238:$C$451,$C330,'TL16'!$J$238:$J$451),0),
IF('TL17'!$B$3=P$3,SUMIF('TL17'!$C$10:$C$224,$C330,'TL17'!$J$10:$J$224),0),
IF('TL17'!$B$229=P$3,SUMIF('TL17'!$C$238:$C$451,$C330,'TL17'!$J$238:$J$451),0),
IF('TL18'!$B$3=P$3,SUMIF('TL18'!$C$10:$C$224,$C330,'TL18'!$J$10:$J$224),0),
IF('TL18'!$B$229=P$3,SUMIF('TL18'!$C$238:$C$451,$C330,'TL18'!$J$238:$J$451),0),
IF('TL19'!$B$3=P$3,SUMIF('TL19'!$C$10:$C$224,$C330,'TL19'!$J$10:$J$224),0),
IF('TL19'!$B$229=P$3,SUMIF('TL19'!$C$238:$C$451,$C330,'TL19'!$J$238:$J$451),0)
),0)</f>
        <v>0</v>
      </c>
      <c r="Q330" s="9">
        <f>IFERROR(SUM(
IF('TL01'!$B$3=Q$3,SUMIF('TL01'!$C$10:$C$224,$C330,'TL01'!$J$10:$J$224),0),
IF('TL01'!$B$229=Q$3,SUMIF('TL01'!$C$238:$C$451,$C330,'TL01'!$J$238:$J$451),0),
IF('TL02'!$B$3=Q$3,SUMIF('TL02'!$C$10:$C$224,$C330,'TL02'!$J$10:$J$224),0),
IF('TL02'!$B$229=Q$3,SUMIF('TL02'!$C$238:$C$451,$C330,'TL02'!$J$238:$J$451),0),
IF('TL03'!$B$3=Q$3,SUMIF('TL03'!$C$10:$C$224,$C330,'TL03'!$J$10:$J$224),0),
IF('TL03'!$B$229=Q$3,SUMIF('TL03'!$C$238:$C$451,$C330,'TL03'!$J$238:$J$451),0),
IF('TL04'!$B$3=Q$3,SUMIF('TL04'!$C$10:$C$224,$C330,'TL04'!$J$10:$J$224),0),
IF('TL04'!$B$229=Q$3,SUMIF('TL04'!$C$238:$C$451,$C330,'TL04'!$J$238:$J$451),0),
IF('TL05'!$B$3=Q$3,SUMIF('TL05'!$C$10:$C$224,$C330,'TL05'!$J$10:$J$224),0),
IF('TL05'!$B$229=Q$3,SUMIF('TL05'!$C$238:$C$451,$C330,'TL05'!$J$238:$J$451),0),
IF('TL06'!$B$3=Q$3,SUMIF('TL06'!$C$10:$C$224,$C330,'TL06'!$J$10:$J$224),0),
IF('TL06'!$B$229=Q$3,SUMIF('TL06'!$C$238:$C$451,$C330,'TL06'!$J$238:$J$451),0),
IF('TL07'!$B$3=Q$3,SUMIF('TL07'!$C$10:$C$224,$C330,'TL07'!$J$10:$J$224),0),
IF('TL07'!$B$229=Q$3,SUMIF('TL07'!$C$238:$C$451,$C330,'TL07'!$J$238:$J$451),0),
IF('TL08'!$B$3=Q$3,SUMIF('TL08'!$C$10:$C$224,$C330,'TL08'!$J$10:$J$224),0),
IF('TL08'!$B$229=Q$3,SUMIF('TL08'!$C$238:$C$451,$C330,'TL08'!$J$238:$J$451),0),
IF('TL09'!$B$3=Q$3,SUMIF('TL09'!$C$10:$C$224,$C330,'TL09'!$J$10:$J$224),0),
IF('TL09'!$B$229=Q$3,SUMIF('TL09'!$C$238:$C$451,$C330,'TL09'!$J$238:$J$451),0),
IF('TL10'!$B$3=Q$3,SUMIF('TL10'!$C$10:$C$224,$C330,'TL10'!$J$10:$J$224),0),
IF('TL10'!$B$229=Q$3,SUMIF('TL10'!$C$238:$C$451,$C330,'TL10'!$J$238:$J$451),0),
IF('TL11'!$B$3=Q$3,SUMIF('TL11'!$C$10:$C$224,$C330,'TL11'!$J$10:$J$224),0),
IF('TL11'!$B$229=Q$3,SUMIF('TL11'!$C$238:$C$451,$C330,'TL11'!$J$238:$J$451),0),
IF('TL12'!$B$3=Q$3,SUMIF('TL12'!$C$10:$C$224,$C330,'TL12'!$J$10:$J$224),0),
IF('TL12'!$B$229=Q$3,SUMIF('TL12'!$C$238:$C$451,$C330,'TL12'!$J$238:$J$451),0),
IF('TL13'!$B$3=Q$3,SUMIF('TL13'!$C$10:$C$224,$C330,'TL13'!$J$10:$J$224),0),
IF('TL13'!$B$229=Q$3,SUMIF('TL13'!$C$238:$C$451,$C330,'TL13'!$J$238:$J$451),0),
IF('TL14'!$B$3=Q$3,SUMIF('TL14'!$C$10:$C$224,$C330,'TL14'!$J$10:$J$224),0),
IF('TL14'!$B$229=Q$3,SUMIF('TL14'!$C$238:$C$451,$C330,'TL14'!$J$238:$J$451),0),
IF('TL15'!$B$3=Q$3,SUMIF('TL15'!$C$10:$C$224,$C330,'TL15'!$J$10:$J$224),0),
IF('TL15'!$B$229=Q$3,SUMIF('TL15'!$C$238:$C$451,$C330,'TL15'!$J$238:$J$451),0),
IF('TL16'!$B$3=Q$3,SUMIF('TL16'!$C$10:$C$224,$C330,'TL16'!$J$10:$J$224),0),
IF('TL16'!$B$229=Q$3,SUMIF('TL16'!$C$238:$C$451,$C330,'TL16'!$J$238:$J$451),0),
IF('TL17'!$B$3=Q$3,SUMIF('TL17'!$C$10:$C$224,$C330,'TL17'!$J$10:$J$224),0),
IF('TL17'!$B$229=Q$3,SUMIF('TL17'!$C$238:$C$451,$C330,'TL17'!$J$238:$J$451),0),
IF('TL18'!$B$3=Q$3,SUMIF('TL18'!$C$10:$C$224,$C330,'TL18'!$J$10:$J$224),0),
IF('TL18'!$B$229=Q$3,SUMIF('TL18'!$C$238:$C$451,$C330,'TL18'!$J$238:$J$451),0),
IF('TL19'!$B$3=Q$3,SUMIF('TL19'!$C$10:$C$224,$C330,'TL19'!$J$10:$J$224),0),
IF('TL19'!$B$229=Q$3,SUMIF('TL19'!$C$238:$C$451,$C330,'TL19'!$J$238:$J$451),0)
),0)</f>
        <v>0</v>
      </c>
      <c r="R330" s="9">
        <f>IFERROR(
SUM(
SUMIF('TL01'!C:C,C330,'TL01'!J:J),
SUMIF('TL02'!C:C,C330,'TL02'!J:J),
SUMIF('TL03'!C:C,C330,'TL03'!J:J),
SUMIF('TL04'!C:C,C330,'TL04'!J:J),
SUMIF('TL05'!C:C,C330,'TL05'!J:J),
SUMIF('TL06'!C:C,C330,'TL06'!J:J),
SUMIF('TL07'!C:C,C330,'TL07'!J:J),
SUMIF('TL08'!C:C,C330,'TL08'!J:J),
SUMIF('TL09'!C:C,C330,'TL09'!J:J),
SUMIF('TL10'!C:C,C330,'TL10'!J:J),
SUMIF('TL11'!C:C,C330,'TL11'!J:J),
SUMIF('TL12'!C:C,C330,'TL12'!J:J),
SUMIF('TL13'!C:C,C330,'TL13'!J:J),
SUMIF('TL14'!C:C,C330,'TL14'!J:J),
SUMIF('TL15'!C:C,C330,'TL15'!J:J),
SUMIF('TL16'!C:C,C330,'TL16'!J:J),
SUMIF('TL17'!C:C,C330,'TL17'!J:J),
SUMIF('TL18'!C:C,C330,'TL18'!J:J),SUMIF('TL19'!C:C,C330,'TL19'!J:J))
,0)</f>
        <v>0</v>
      </c>
      <c r="S330" s="17" t="str">
        <f>IFERROR(__xludf.DUMMYFUNCTION("IFERROR(VLOOKUP(C330,
IMPORTRANGE(""1wULbzX32WdYsx-lj2U3uUNBBe2INVIRDtcK0d-Dvl90"",
""26-27!C:G""),
5,
FALSE),
"""")"),"")</f>
        <v/>
      </c>
      <c r="T330" s="9"/>
      <c r="U330" s="92">
        <f t="shared" si="2"/>
        <v>0</v>
      </c>
      <c r="V330" s="93">
        <f t="shared" si="3"/>
        <v>0</v>
      </c>
    </row>
    <row r="331" ht="15.75" hidden="1" customHeight="1">
      <c r="A331" s="4"/>
      <c r="B331" s="125" t="s">
        <v>5</v>
      </c>
      <c r="C331" s="4" t="s">
        <v>1057</v>
      </c>
      <c r="D331" s="6"/>
      <c r="E331" s="9"/>
      <c r="F331" s="4" t="s">
        <v>1042</v>
      </c>
      <c r="G331" s="90" t="str">
        <f t="shared" si="5"/>
        <v>📄 Ver bula</v>
      </c>
      <c r="H331" s="9"/>
      <c r="I331" s="1"/>
      <c r="J331" s="9">
        <f>IFERROR(SUM(
IF('TL01'!$B$3=J$3,SUMIF('TL01'!$C$10:$C$224,$C331,'TL01'!$J$10:$J$224),0),
IF('TL01'!$B$229=J$3,SUMIF('TL01'!$C$238:$C$451,$C331,'TL01'!$J$238:$J$451),0),
IF('TL02'!$B$3=J$3,SUMIF('TL02'!$C$10:$C$224,$C331,'TL02'!$J$10:$J$224),0),
IF('TL02'!$B$229=J$3,SUMIF('TL02'!$C$238:$C$451,$C331,'TL02'!$J$238:$J$451),0),
IF('TL03'!$B$3=J$3,SUMIF('TL03'!$C$10:$C$224,$C331,'TL03'!$J$10:$J$224),0),
IF('TL03'!$B$229=J$3,SUMIF('TL03'!$C$238:$C$451,$C331,'TL03'!$J$238:$J$451),0),
IF('TL04'!$B$3=J$3,SUMIF('TL04'!$C$10:$C$224,$C331,'TL04'!$J$10:$J$224),0),
IF('TL04'!$B$229=J$3,SUMIF('TL04'!$C$238:$C$451,$C331,'TL04'!$J$238:$J$451),0),
IF('TL05'!$B$3=J$3,SUMIF('TL05'!$C$10:$C$224,$C331,'TL05'!$J$10:$J$224),0),
IF('TL05'!$B$229=J$3,SUMIF('TL05'!$C$238:$C$451,$C331,'TL05'!$J$238:$J$451),0),
IF('TL06'!$B$3=J$3,SUMIF('TL06'!$C$10:$C$224,$C331,'TL06'!$J$10:$J$224),0),
IF('TL06'!$B$229=J$3,SUMIF('TL06'!$C$238:$C$451,$C331,'TL06'!$J$238:$J$451),0),
IF('TL07'!$B$3=J$3,SUMIF('TL07'!$C$10:$C$224,$C331,'TL07'!$J$10:$J$224),0),
IF('TL07'!$B$229=J$3,SUMIF('TL07'!$C$238:$C$451,$C331,'TL07'!$J$238:$J$451),0),
IF('TL08'!$B$3=J$3,SUMIF('TL08'!$C$10:$C$224,$C331,'TL08'!$J$10:$J$224),0),
IF('TL08'!$B$229=J$3,SUMIF('TL08'!$C$238:$C$451,$C331,'TL08'!$J$238:$J$451),0),
IF('TL09'!$B$3=J$3,SUMIF('TL09'!$C$10:$C$224,$C331,'TL09'!$J$10:$J$224),0),
IF('TL09'!$B$229=J$3,SUMIF('TL09'!$C$238:$C$451,$C331,'TL09'!$J$238:$J$451),0),
IF('TL10'!$B$3=J$3,SUMIF('TL10'!$C$10:$C$224,$C331,'TL10'!$J$10:$J$224),0),
IF('TL10'!$B$229=J$3,SUMIF('TL10'!$C$238:$C$451,$C331,'TL10'!$J$238:$J$451),0),
IF('TL11'!$B$3=J$3,SUMIF('TL11'!$C$10:$C$224,$C331,'TL11'!$J$10:$J$224),0),
IF('TL11'!$B$229=J$3,SUMIF('TL11'!$C$238:$C$451,$C331,'TL11'!$J$238:$J$451),0),
IF('TL12'!$B$3=J$3,SUMIF('TL12'!$C$10:$C$224,$C331,'TL12'!$J$10:$J$224),0),
IF('TL12'!$B$229=J$3,SUMIF('TL12'!$C$238:$C$451,$C331,'TL12'!$J$238:$J$451),0),
IF('TL13'!$B$3=J$3,SUMIF('TL13'!$C$10:$C$224,$C331,'TL13'!$J$10:$J$224),0),
IF('TL13'!$B$229=J$3,SUMIF('TL13'!$C$238:$C$451,$C331,'TL13'!$J$238:$J$451),0),
IF('TL14'!$B$3=J$3,SUMIF('TL14'!$C$10:$C$224,$C331,'TL14'!$J$10:$J$224),0),
IF('TL14'!$B$229=J$3,SUMIF('TL14'!$C$238:$C$451,$C331,'TL14'!$J$238:$J$451),0),
IF('TL15'!$B$3=J$3,SUMIF('TL15'!$C$10:$C$224,$C331,'TL15'!$J$10:$J$224),0),
IF('TL15'!$B$229=J$3,SUMIF('TL15'!$C$238:$C$451,$C331,'TL15'!$J$238:$J$451),0),
IF('TL16'!$B$3=J$3,SUMIF('TL16'!$C$10:$C$224,$C331,'TL16'!$J$10:$J$224),0),
IF('TL16'!$B$229=J$3,SUMIF('TL16'!$C$238:$C$451,$C331,'TL16'!$J$238:$J$451),0),
IF('TL17'!$B$3=J$3,SUMIF('TL17'!$C$10:$C$224,$C331,'TL17'!$J$10:$J$224),0),
IF('TL17'!$B$229=J$3,SUMIF('TL17'!$C$238:$C$451,$C331,'TL17'!$J$238:$J$451),0),
IF('TL18'!$B$3=J$3,SUMIF('TL18'!$C$10:$C$224,$C331,'TL18'!$J$10:$J$224),0),
IF('TL18'!$B$229=J$3,SUMIF('TL18'!$C$238:$C$451,$C331,'TL18'!$J$238:$J$451),0),
IF('TL19'!$B$3=J$3,SUMIF('TL19'!$C$10:$C$224,$C331,'TL19'!$J$10:$J$224),0),
IF('TL19'!$B$229=J$3,SUMIF('TL19'!$C$238:$C$451,$C331,'TL19'!$J$238:$J$451),0)
),0)</f>
        <v>0</v>
      </c>
      <c r="K331" s="9">
        <f>IFERROR(SUM(
IF('TL01'!$B$3=K$3,SUMIF('TL01'!$C$10:$C$224,$C331,'TL01'!$J$10:$J$224),0),
IF('TL01'!$B$229=K$3,SUMIF('TL01'!$C$238:$C$451,$C331,'TL01'!$J$238:$J$451),0),
IF('TL02'!$B$3=K$3,SUMIF('TL02'!$C$10:$C$224,$C331,'TL02'!$J$10:$J$224),0),
IF('TL02'!$B$229=K$3,SUMIF('TL02'!$C$238:$C$451,$C331,'TL02'!$J$238:$J$451),0),
IF('TL03'!$B$3=K$3,SUMIF('TL03'!$C$10:$C$224,$C331,'TL03'!$J$10:$J$224),0),
IF('TL03'!$B$229=K$3,SUMIF('TL03'!$C$238:$C$451,$C331,'TL03'!$J$238:$J$451),0),
IF('TL04'!$B$3=K$3,SUMIF('TL04'!$C$10:$C$224,$C331,'TL04'!$J$10:$J$224),0),
IF('TL04'!$B$229=K$3,SUMIF('TL04'!$C$238:$C$451,$C331,'TL04'!$J$238:$J$451),0),
IF('TL05'!$B$3=K$3,SUMIF('TL05'!$C$10:$C$224,$C331,'TL05'!$J$10:$J$224),0),
IF('TL05'!$B$229=K$3,SUMIF('TL05'!$C$238:$C$451,$C331,'TL05'!$J$238:$J$451),0),
IF('TL06'!$B$3=K$3,SUMIF('TL06'!$C$10:$C$224,$C331,'TL06'!$J$10:$J$224),0),
IF('TL06'!$B$229=K$3,SUMIF('TL06'!$C$238:$C$451,$C331,'TL06'!$J$238:$J$451),0),
IF('TL07'!$B$3=K$3,SUMIF('TL07'!$C$10:$C$224,$C331,'TL07'!$J$10:$J$224),0),
IF('TL07'!$B$229=K$3,SUMIF('TL07'!$C$238:$C$451,$C331,'TL07'!$J$238:$J$451),0),
IF('TL08'!$B$3=K$3,SUMIF('TL08'!$C$10:$C$224,$C331,'TL08'!$J$10:$J$224),0),
IF('TL08'!$B$229=K$3,SUMIF('TL08'!$C$238:$C$451,$C331,'TL08'!$J$238:$J$451),0),
IF('TL09'!$B$3=K$3,SUMIF('TL09'!$C$10:$C$224,$C331,'TL09'!$J$10:$J$224),0),
IF('TL09'!$B$229=K$3,SUMIF('TL09'!$C$238:$C$451,$C331,'TL09'!$J$238:$J$451),0),
IF('TL10'!$B$3=K$3,SUMIF('TL10'!$C$10:$C$224,$C331,'TL10'!$J$10:$J$224),0),
IF('TL10'!$B$229=K$3,SUMIF('TL10'!$C$238:$C$451,$C331,'TL10'!$J$238:$J$451),0),
IF('TL11'!$B$3=K$3,SUMIF('TL11'!$C$10:$C$224,$C331,'TL11'!$J$10:$J$224),0),
IF('TL11'!$B$229=K$3,SUMIF('TL11'!$C$238:$C$451,$C331,'TL11'!$J$238:$J$451),0),
IF('TL12'!$B$3=K$3,SUMIF('TL12'!$C$10:$C$224,$C331,'TL12'!$J$10:$J$224),0),
IF('TL12'!$B$229=K$3,SUMIF('TL12'!$C$238:$C$451,$C331,'TL12'!$J$238:$J$451),0),
IF('TL13'!$B$3=K$3,SUMIF('TL13'!$C$10:$C$224,$C331,'TL13'!$J$10:$J$224),0),
IF('TL13'!$B$229=K$3,SUMIF('TL13'!$C$238:$C$451,$C331,'TL13'!$J$238:$J$451),0),
IF('TL14'!$B$3=K$3,SUMIF('TL14'!$C$10:$C$224,$C331,'TL14'!$J$10:$J$224),0),
IF('TL14'!$B$229=K$3,SUMIF('TL14'!$C$238:$C$451,$C331,'TL14'!$J$238:$J$451),0),
IF('TL15'!$B$3=K$3,SUMIF('TL15'!$C$10:$C$224,$C331,'TL15'!$J$10:$J$224),0),
IF('TL15'!$B$229=K$3,SUMIF('TL15'!$C$238:$C$451,$C331,'TL15'!$J$238:$J$451),0),
IF('TL16'!$B$3=K$3,SUMIF('TL16'!$C$10:$C$224,$C331,'TL16'!$J$10:$J$224),0),
IF('TL16'!$B$229=K$3,SUMIF('TL16'!$C$238:$C$451,$C331,'TL16'!$J$238:$J$451),0),
IF('TL17'!$B$3=K$3,SUMIF('TL17'!$C$10:$C$224,$C331,'TL17'!$J$10:$J$224),0),
IF('TL17'!$B$229=K$3,SUMIF('TL17'!$C$238:$C$451,$C331,'TL17'!$J$238:$J$451),0),
IF('TL18'!$B$3=K$3,SUMIF('TL18'!$C$10:$C$224,$C331,'TL18'!$J$10:$J$224),0),
IF('TL18'!$B$229=K$3,SUMIF('TL18'!$C$238:$C$451,$C331,'TL18'!$J$238:$J$451),0),
IF('TL19'!$B$3=K$3,SUMIF('TL19'!$C$10:$C$224,$C331,'TL19'!$J$10:$J$224),0),
IF('TL19'!$B$229=K$3,SUMIF('TL19'!$C$238:$C$451,$C331,'TL19'!$J$238:$J$451),0)
),0)</f>
        <v>12</v>
      </c>
      <c r="L331" s="9">
        <f>IFERROR(SUM(
IF('TL01'!$B$3=L$3,SUMIF('TL01'!$C$10:$C$224,$C331,'TL01'!$J$10:$J$224),0),
IF('TL01'!$B$229=L$3,SUMIF('TL01'!$C$238:$C$451,$C331,'TL01'!$J$238:$J$451),0),
IF('TL02'!$B$3=L$3,SUMIF('TL02'!$C$10:$C$224,$C331,'TL02'!$J$10:$J$224),0),
IF('TL02'!$B$229=L$3,SUMIF('TL02'!$C$238:$C$451,$C331,'TL02'!$J$238:$J$451),0),
IF('TL03'!$B$3=L$3,SUMIF('TL03'!$C$10:$C$224,$C331,'TL03'!$J$10:$J$224),0),
IF('TL03'!$B$229=L$3,SUMIF('TL03'!$C$238:$C$451,$C331,'TL03'!$J$238:$J$451),0),
IF('TL04'!$B$3=L$3,SUMIF('TL04'!$C$10:$C$224,$C331,'TL04'!$J$10:$J$224),0),
IF('TL04'!$B$229=L$3,SUMIF('TL04'!$C$238:$C$451,$C331,'TL04'!$J$238:$J$451),0),
IF('TL05'!$B$3=L$3,SUMIF('TL05'!$C$10:$C$224,$C331,'TL05'!$J$10:$J$224),0),
IF('TL05'!$B$229=L$3,SUMIF('TL05'!$C$238:$C$451,$C331,'TL05'!$J$238:$J$451),0),
IF('TL06'!$B$3=L$3,SUMIF('TL06'!$C$10:$C$224,$C331,'TL06'!$J$10:$J$224),0),
IF('TL06'!$B$229=L$3,SUMIF('TL06'!$C$238:$C$451,$C331,'TL06'!$J$238:$J$451),0),
IF('TL07'!$B$3=L$3,SUMIF('TL07'!$C$10:$C$224,$C331,'TL07'!$J$10:$J$224),0),
IF('TL07'!$B$229=L$3,SUMIF('TL07'!$C$238:$C$451,$C331,'TL07'!$J$238:$J$451),0),
IF('TL08'!$B$3=L$3,SUMIF('TL08'!$C$10:$C$224,$C331,'TL08'!$J$10:$J$224),0),
IF('TL08'!$B$229=L$3,SUMIF('TL08'!$C$238:$C$451,$C331,'TL08'!$J$238:$J$451),0),
IF('TL09'!$B$3=L$3,SUMIF('TL09'!$C$10:$C$224,$C331,'TL09'!$J$10:$J$224),0),
IF('TL09'!$B$229=L$3,SUMIF('TL09'!$C$238:$C$451,$C331,'TL09'!$J$238:$J$451),0),
IF('TL10'!$B$3=L$3,SUMIF('TL10'!$C$10:$C$224,$C331,'TL10'!$J$10:$J$224),0),
IF('TL10'!$B$229=L$3,SUMIF('TL10'!$C$238:$C$451,$C331,'TL10'!$J$238:$J$451),0),
IF('TL11'!$B$3=L$3,SUMIF('TL11'!$C$10:$C$224,$C331,'TL11'!$J$10:$J$224),0),
IF('TL11'!$B$229=L$3,SUMIF('TL11'!$C$238:$C$451,$C331,'TL11'!$J$238:$J$451),0),
IF('TL12'!$B$3=L$3,SUMIF('TL12'!$C$10:$C$224,$C331,'TL12'!$J$10:$J$224),0),
IF('TL12'!$B$229=L$3,SUMIF('TL12'!$C$238:$C$451,$C331,'TL12'!$J$238:$J$451),0),
IF('TL13'!$B$3=L$3,SUMIF('TL13'!$C$10:$C$224,$C331,'TL13'!$J$10:$J$224),0),
IF('TL13'!$B$229=L$3,SUMIF('TL13'!$C$238:$C$451,$C331,'TL13'!$J$238:$J$451),0),
IF('TL14'!$B$3=L$3,SUMIF('TL14'!$C$10:$C$224,$C331,'TL14'!$J$10:$J$224),0),
IF('TL14'!$B$229=L$3,SUMIF('TL14'!$C$238:$C$451,$C331,'TL14'!$J$238:$J$451),0),
IF('TL15'!$B$3=L$3,SUMIF('TL15'!$C$10:$C$224,$C331,'TL15'!$J$10:$J$224),0),
IF('TL15'!$B$229=L$3,SUMIF('TL15'!$C$238:$C$451,$C331,'TL15'!$J$238:$J$451),0),
IF('TL16'!$B$3=L$3,SUMIF('TL16'!$C$10:$C$224,$C331,'TL16'!$J$10:$J$224),0),
IF('TL16'!$B$229=L$3,SUMIF('TL16'!$C$238:$C$451,$C331,'TL16'!$J$238:$J$451),0),
IF('TL17'!$B$3=L$3,SUMIF('TL17'!$C$10:$C$224,$C331,'TL17'!$J$10:$J$224),0),
IF('TL17'!$B$229=L$3,SUMIF('TL17'!$C$238:$C$451,$C331,'TL17'!$J$238:$J$451),0),
IF('TL18'!$B$3=L$3,SUMIF('TL18'!$C$10:$C$224,$C331,'TL18'!$J$10:$J$224),0),
IF('TL18'!$B$229=L$3,SUMIF('TL18'!$C$238:$C$451,$C331,'TL18'!$J$238:$J$451),0),
IF('TL19'!$B$3=L$3,SUMIF('TL19'!$C$10:$C$224,$C331,'TL19'!$J$10:$J$224),0),
IF('TL19'!$B$229=L$3,SUMIF('TL19'!$C$238:$C$451,$C331,'TL19'!$J$238:$J$451),0)
),0)</f>
        <v>8.8</v>
      </c>
      <c r="M331" s="9">
        <f>IFERROR(SUM(
IF('TL01'!$B$3=M$3,SUMIF('TL01'!$C$10:$C$224,$C331,'TL01'!$J$10:$J$224),0),
IF('TL01'!$B$229=M$3,SUMIF('TL01'!$C$238:$C$451,$C331,'TL01'!$J$238:$J$451),0),
IF('TL02'!$B$3=M$3,SUMIF('TL02'!$C$10:$C$224,$C331,'TL02'!$J$10:$J$224),0),
IF('TL02'!$B$229=M$3,SUMIF('TL02'!$C$238:$C$451,$C331,'TL02'!$J$238:$J$451),0),
IF('TL03'!$B$3=M$3,SUMIF('TL03'!$C$10:$C$224,$C331,'TL03'!$J$10:$J$224),0),
IF('TL03'!$B$229=M$3,SUMIF('TL03'!$C$238:$C$451,$C331,'TL03'!$J$238:$J$451),0),
IF('TL04'!$B$3=M$3,SUMIF('TL04'!$C$10:$C$224,$C331,'TL04'!$J$10:$J$224),0),
IF('TL04'!$B$229=M$3,SUMIF('TL04'!$C$238:$C$451,$C331,'TL04'!$J$238:$J$451),0),
IF('TL05'!$B$3=M$3,SUMIF('TL05'!$C$10:$C$224,$C331,'TL05'!$J$10:$J$224),0),
IF('TL05'!$B$229=M$3,SUMIF('TL05'!$C$238:$C$451,$C331,'TL05'!$J$238:$J$451),0),
IF('TL06'!$B$3=M$3,SUMIF('TL06'!$C$10:$C$224,$C331,'TL06'!$J$10:$J$224),0),
IF('TL06'!$B$229=M$3,SUMIF('TL06'!$C$238:$C$451,$C331,'TL06'!$J$238:$J$451),0),
IF('TL07'!$B$3=M$3,SUMIF('TL07'!$C$10:$C$224,$C331,'TL07'!$J$10:$J$224),0),
IF('TL07'!$B$229=M$3,SUMIF('TL07'!$C$238:$C$451,$C331,'TL07'!$J$238:$J$451),0),
IF('TL08'!$B$3=M$3,SUMIF('TL08'!$C$10:$C$224,$C331,'TL08'!$J$10:$J$224),0),
IF('TL08'!$B$229=M$3,SUMIF('TL08'!$C$238:$C$451,$C331,'TL08'!$J$238:$J$451),0),
IF('TL09'!$B$3=M$3,SUMIF('TL09'!$C$10:$C$224,$C331,'TL09'!$J$10:$J$224),0),
IF('TL09'!$B$229=M$3,SUMIF('TL09'!$C$238:$C$451,$C331,'TL09'!$J$238:$J$451),0),
IF('TL10'!$B$3=M$3,SUMIF('TL10'!$C$10:$C$224,$C331,'TL10'!$J$10:$J$224),0),
IF('TL10'!$B$229=M$3,SUMIF('TL10'!$C$238:$C$451,$C331,'TL10'!$J$238:$J$451),0),
IF('TL11'!$B$3=M$3,SUMIF('TL11'!$C$10:$C$224,$C331,'TL11'!$J$10:$J$224),0),
IF('TL11'!$B$229=M$3,SUMIF('TL11'!$C$238:$C$451,$C331,'TL11'!$J$238:$J$451),0),
IF('TL12'!$B$3=M$3,SUMIF('TL12'!$C$10:$C$224,$C331,'TL12'!$J$10:$J$224),0),
IF('TL12'!$B$229=M$3,SUMIF('TL12'!$C$238:$C$451,$C331,'TL12'!$J$238:$J$451),0),
IF('TL13'!$B$3=M$3,SUMIF('TL13'!$C$10:$C$224,$C331,'TL13'!$J$10:$J$224),0),
IF('TL13'!$B$229=M$3,SUMIF('TL13'!$C$238:$C$451,$C331,'TL13'!$J$238:$J$451),0),
IF('TL14'!$B$3=M$3,SUMIF('TL14'!$C$10:$C$224,$C331,'TL14'!$J$10:$J$224),0),
IF('TL14'!$B$229=M$3,SUMIF('TL14'!$C$238:$C$451,$C331,'TL14'!$J$238:$J$451),0),
IF('TL15'!$B$3=M$3,SUMIF('TL15'!$C$10:$C$224,$C331,'TL15'!$J$10:$J$224),0),
IF('TL15'!$B$229=M$3,SUMIF('TL15'!$C$238:$C$451,$C331,'TL15'!$J$238:$J$451),0),
IF('TL16'!$B$3=M$3,SUMIF('TL16'!$C$10:$C$224,$C331,'TL16'!$J$10:$J$224),0),
IF('TL16'!$B$229=M$3,SUMIF('TL16'!$C$238:$C$451,$C331,'TL16'!$J$238:$J$451),0),
IF('TL17'!$B$3=M$3,SUMIF('TL17'!$C$10:$C$224,$C331,'TL17'!$J$10:$J$224),0),
IF('TL17'!$B$229=M$3,SUMIF('TL17'!$C$238:$C$451,$C331,'TL17'!$J$238:$J$451),0),
IF('TL18'!$B$3=M$3,SUMIF('TL18'!$C$10:$C$224,$C331,'TL18'!$J$10:$J$224),0),
IF('TL18'!$B$229=M$3,SUMIF('TL18'!$C$238:$C$451,$C331,'TL18'!$J$238:$J$451),0),
IF('TL19'!$B$3=M$3,SUMIF('TL19'!$C$10:$C$224,$C331,'TL19'!$J$10:$J$224),0),
IF('TL19'!$B$229=M$3,SUMIF('TL19'!$C$238:$C$451,$C331,'TL19'!$J$238:$J$451),0)
),0)</f>
        <v>0</v>
      </c>
      <c r="N331" s="9">
        <f>IFERROR(SUM(
IF('TL01'!$B$3=N$3,SUMIF('TL01'!$C$10:$C$224,$C331,'TL01'!$J$10:$J$224),0),
IF('TL01'!$B$229=N$3,SUMIF('TL01'!$C$238:$C$451,$C331,'TL01'!$J$238:$J$451),0),
IF('TL02'!$B$3=N$3,SUMIF('TL02'!$C$10:$C$224,$C331,'TL02'!$J$10:$J$224),0),
IF('TL02'!$B$229=N$3,SUMIF('TL02'!$C$238:$C$451,$C331,'TL02'!$J$238:$J$451),0),
IF('TL03'!$B$3=N$3,SUMIF('TL03'!$C$10:$C$224,$C331,'TL03'!$J$10:$J$224),0),
IF('TL03'!$B$229=N$3,SUMIF('TL03'!$C$238:$C$451,$C331,'TL03'!$J$238:$J$451),0),
IF('TL04'!$B$3=N$3,SUMIF('TL04'!$C$10:$C$224,$C331,'TL04'!$J$10:$J$224),0),
IF('TL04'!$B$229=N$3,SUMIF('TL04'!$C$238:$C$451,$C331,'TL04'!$J$238:$J$451),0),
IF('TL05'!$B$3=N$3,SUMIF('TL05'!$C$10:$C$224,$C331,'TL05'!$J$10:$J$224),0),
IF('TL05'!$B$229=N$3,SUMIF('TL05'!$C$238:$C$451,$C331,'TL05'!$J$238:$J$451),0),
IF('TL06'!$B$3=N$3,SUMIF('TL06'!$C$10:$C$224,$C331,'TL06'!$J$10:$J$224),0),
IF('TL06'!$B$229=N$3,SUMIF('TL06'!$C$238:$C$451,$C331,'TL06'!$J$238:$J$451),0),
IF('TL07'!$B$3=N$3,SUMIF('TL07'!$C$10:$C$224,$C331,'TL07'!$J$10:$J$224),0),
IF('TL07'!$B$229=N$3,SUMIF('TL07'!$C$238:$C$451,$C331,'TL07'!$J$238:$J$451),0),
IF('TL08'!$B$3=N$3,SUMIF('TL08'!$C$10:$C$224,$C331,'TL08'!$J$10:$J$224),0),
IF('TL08'!$B$229=N$3,SUMIF('TL08'!$C$238:$C$451,$C331,'TL08'!$J$238:$J$451),0),
IF('TL09'!$B$3=N$3,SUMIF('TL09'!$C$10:$C$224,$C331,'TL09'!$J$10:$J$224),0),
IF('TL09'!$B$229=N$3,SUMIF('TL09'!$C$238:$C$451,$C331,'TL09'!$J$238:$J$451),0),
IF('TL10'!$B$3=N$3,SUMIF('TL10'!$C$10:$C$224,$C331,'TL10'!$J$10:$J$224),0),
IF('TL10'!$B$229=N$3,SUMIF('TL10'!$C$238:$C$451,$C331,'TL10'!$J$238:$J$451),0),
IF('TL11'!$B$3=N$3,SUMIF('TL11'!$C$10:$C$224,$C331,'TL11'!$J$10:$J$224),0),
IF('TL11'!$B$229=N$3,SUMIF('TL11'!$C$238:$C$451,$C331,'TL11'!$J$238:$J$451),0),
IF('TL12'!$B$3=N$3,SUMIF('TL12'!$C$10:$C$224,$C331,'TL12'!$J$10:$J$224),0),
IF('TL12'!$B$229=N$3,SUMIF('TL12'!$C$238:$C$451,$C331,'TL12'!$J$238:$J$451),0),
IF('TL13'!$B$3=N$3,SUMIF('TL13'!$C$10:$C$224,$C331,'TL13'!$J$10:$J$224),0),
IF('TL13'!$B$229=N$3,SUMIF('TL13'!$C$238:$C$451,$C331,'TL13'!$J$238:$J$451),0),
IF('TL14'!$B$3=N$3,SUMIF('TL14'!$C$10:$C$224,$C331,'TL14'!$J$10:$J$224),0),
IF('TL14'!$B$229=N$3,SUMIF('TL14'!$C$238:$C$451,$C331,'TL14'!$J$238:$J$451),0),
IF('TL15'!$B$3=N$3,SUMIF('TL15'!$C$10:$C$224,$C331,'TL15'!$J$10:$J$224),0),
IF('TL15'!$B$229=N$3,SUMIF('TL15'!$C$238:$C$451,$C331,'TL15'!$J$238:$J$451),0),
IF('TL16'!$B$3=N$3,SUMIF('TL16'!$C$10:$C$224,$C331,'TL16'!$J$10:$J$224),0),
IF('TL16'!$B$229=N$3,SUMIF('TL16'!$C$238:$C$451,$C331,'TL16'!$J$238:$J$451),0),
IF('TL17'!$B$3=N$3,SUMIF('TL17'!$C$10:$C$224,$C331,'TL17'!$J$10:$J$224),0),
IF('TL17'!$B$229=N$3,SUMIF('TL17'!$C$238:$C$451,$C331,'TL17'!$J$238:$J$451),0),
IF('TL18'!$B$3=N$3,SUMIF('TL18'!$C$10:$C$224,$C331,'TL18'!$J$10:$J$224),0),
IF('TL18'!$B$229=N$3,SUMIF('TL18'!$C$238:$C$451,$C331,'TL18'!$J$238:$J$451),0),
IF('TL19'!$B$3=N$3,SUMIF('TL19'!$C$10:$C$224,$C331,'TL19'!$J$10:$J$224),0),
IF('TL19'!$B$229=N$3,SUMIF('TL19'!$C$238:$C$451,$C331,'TL19'!$J$238:$J$451),0)
),0)</f>
        <v>0</v>
      </c>
      <c r="O331" s="9">
        <f>IFERROR(SUM(
IF('TL01'!$B$3=O$3,SUMIF('TL01'!$C$10:$C$224,$C331,'TL01'!$J$10:$J$224),0),
IF('TL01'!$B$229=O$3,SUMIF('TL01'!$C$238:$C$451,$C331,'TL01'!$J$238:$J$451),0),
IF('TL02'!$B$3=O$3,SUMIF('TL02'!$C$10:$C$224,$C331,'TL02'!$J$10:$J$224),0),
IF('TL02'!$B$229=O$3,SUMIF('TL02'!$C$238:$C$451,$C331,'TL02'!$J$238:$J$451),0),
IF('TL03'!$B$3=O$3,SUMIF('TL03'!$C$10:$C$224,$C331,'TL03'!$J$10:$J$224),0),
IF('TL03'!$B$229=O$3,SUMIF('TL03'!$C$238:$C$451,$C331,'TL03'!$J$238:$J$451),0),
IF('TL04'!$B$3=O$3,SUMIF('TL04'!$C$10:$C$224,$C331,'TL04'!$J$10:$J$224),0),
IF('TL04'!$B$229=O$3,SUMIF('TL04'!$C$238:$C$451,$C331,'TL04'!$J$238:$J$451),0),
IF('TL05'!$B$3=O$3,SUMIF('TL05'!$C$10:$C$224,$C331,'TL05'!$J$10:$J$224),0),
IF('TL05'!$B$229=O$3,SUMIF('TL05'!$C$238:$C$451,$C331,'TL05'!$J$238:$J$451),0),
IF('TL06'!$B$3=O$3,SUMIF('TL06'!$C$10:$C$224,$C331,'TL06'!$J$10:$J$224),0),
IF('TL06'!$B$229=O$3,SUMIF('TL06'!$C$238:$C$451,$C331,'TL06'!$J$238:$J$451),0),
IF('TL07'!$B$3=O$3,SUMIF('TL07'!$C$10:$C$224,$C331,'TL07'!$J$10:$J$224),0),
IF('TL07'!$B$229=O$3,SUMIF('TL07'!$C$238:$C$451,$C331,'TL07'!$J$238:$J$451),0),
IF('TL08'!$B$3=O$3,SUMIF('TL08'!$C$10:$C$224,$C331,'TL08'!$J$10:$J$224),0),
IF('TL08'!$B$229=O$3,SUMIF('TL08'!$C$238:$C$451,$C331,'TL08'!$J$238:$J$451),0),
IF('TL09'!$B$3=O$3,SUMIF('TL09'!$C$10:$C$224,$C331,'TL09'!$J$10:$J$224),0),
IF('TL09'!$B$229=O$3,SUMIF('TL09'!$C$238:$C$451,$C331,'TL09'!$J$238:$J$451),0),
IF('TL10'!$B$3=O$3,SUMIF('TL10'!$C$10:$C$224,$C331,'TL10'!$J$10:$J$224),0),
IF('TL10'!$B$229=O$3,SUMIF('TL10'!$C$238:$C$451,$C331,'TL10'!$J$238:$J$451),0),
IF('TL11'!$B$3=O$3,SUMIF('TL11'!$C$10:$C$224,$C331,'TL11'!$J$10:$J$224),0),
IF('TL11'!$B$229=O$3,SUMIF('TL11'!$C$238:$C$451,$C331,'TL11'!$J$238:$J$451),0),
IF('TL12'!$B$3=O$3,SUMIF('TL12'!$C$10:$C$224,$C331,'TL12'!$J$10:$J$224),0),
IF('TL12'!$B$229=O$3,SUMIF('TL12'!$C$238:$C$451,$C331,'TL12'!$J$238:$J$451),0),
IF('TL13'!$B$3=O$3,SUMIF('TL13'!$C$10:$C$224,$C331,'TL13'!$J$10:$J$224),0),
IF('TL13'!$B$229=O$3,SUMIF('TL13'!$C$238:$C$451,$C331,'TL13'!$J$238:$J$451),0),
IF('TL14'!$B$3=O$3,SUMIF('TL14'!$C$10:$C$224,$C331,'TL14'!$J$10:$J$224),0),
IF('TL14'!$B$229=O$3,SUMIF('TL14'!$C$238:$C$451,$C331,'TL14'!$J$238:$J$451),0),
IF('TL15'!$B$3=O$3,SUMIF('TL15'!$C$10:$C$224,$C331,'TL15'!$J$10:$J$224),0),
IF('TL15'!$B$229=O$3,SUMIF('TL15'!$C$238:$C$451,$C331,'TL15'!$J$238:$J$451),0),
IF('TL16'!$B$3=O$3,SUMIF('TL16'!$C$10:$C$224,$C331,'TL16'!$J$10:$J$224),0),
IF('TL16'!$B$229=O$3,SUMIF('TL16'!$C$238:$C$451,$C331,'TL16'!$J$238:$J$451),0),
IF('TL17'!$B$3=O$3,SUMIF('TL17'!$C$10:$C$224,$C331,'TL17'!$J$10:$J$224),0),
IF('TL17'!$B$229=O$3,SUMIF('TL17'!$C$238:$C$451,$C331,'TL17'!$J$238:$J$451),0),
IF('TL18'!$B$3=O$3,SUMIF('TL18'!$C$10:$C$224,$C331,'TL18'!$J$10:$J$224),0),
IF('TL18'!$B$229=O$3,SUMIF('TL18'!$C$238:$C$451,$C331,'TL18'!$J$238:$J$451),0),
IF('TL19'!$B$3=O$3,SUMIF('TL19'!$C$10:$C$224,$C331,'TL19'!$J$10:$J$224),0),
IF('TL19'!$B$229=O$3,SUMIF('TL19'!$C$238:$C$451,$C331,'TL19'!$J$238:$J$451),0)
),0)</f>
        <v>0</v>
      </c>
      <c r="P331" s="9">
        <f>IFERROR(SUM(
IF('TL01'!$B$3=P$3,SUMIF('TL01'!$C$10:$C$224,$C331,'TL01'!$J$10:$J$224),0),
IF('TL01'!$B$229=P$3,SUMIF('TL01'!$C$238:$C$451,$C331,'TL01'!$J$238:$J$451),0),
IF('TL02'!$B$3=P$3,SUMIF('TL02'!$C$10:$C$224,$C331,'TL02'!$J$10:$J$224),0),
IF('TL02'!$B$229=P$3,SUMIF('TL02'!$C$238:$C$451,$C331,'TL02'!$J$238:$J$451),0),
IF('TL03'!$B$3=P$3,SUMIF('TL03'!$C$10:$C$224,$C331,'TL03'!$J$10:$J$224),0),
IF('TL03'!$B$229=P$3,SUMIF('TL03'!$C$238:$C$451,$C331,'TL03'!$J$238:$J$451),0),
IF('TL04'!$B$3=P$3,SUMIF('TL04'!$C$10:$C$224,$C331,'TL04'!$J$10:$J$224),0),
IF('TL04'!$B$229=P$3,SUMIF('TL04'!$C$238:$C$451,$C331,'TL04'!$J$238:$J$451),0),
IF('TL05'!$B$3=P$3,SUMIF('TL05'!$C$10:$C$224,$C331,'TL05'!$J$10:$J$224),0),
IF('TL05'!$B$229=P$3,SUMIF('TL05'!$C$238:$C$451,$C331,'TL05'!$J$238:$J$451),0),
IF('TL06'!$B$3=P$3,SUMIF('TL06'!$C$10:$C$224,$C331,'TL06'!$J$10:$J$224),0),
IF('TL06'!$B$229=P$3,SUMIF('TL06'!$C$238:$C$451,$C331,'TL06'!$J$238:$J$451),0),
IF('TL07'!$B$3=P$3,SUMIF('TL07'!$C$10:$C$224,$C331,'TL07'!$J$10:$J$224),0),
IF('TL07'!$B$229=P$3,SUMIF('TL07'!$C$238:$C$451,$C331,'TL07'!$J$238:$J$451),0),
IF('TL08'!$B$3=P$3,SUMIF('TL08'!$C$10:$C$224,$C331,'TL08'!$J$10:$J$224),0),
IF('TL08'!$B$229=P$3,SUMIF('TL08'!$C$238:$C$451,$C331,'TL08'!$J$238:$J$451),0),
IF('TL09'!$B$3=P$3,SUMIF('TL09'!$C$10:$C$224,$C331,'TL09'!$J$10:$J$224),0),
IF('TL09'!$B$229=P$3,SUMIF('TL09'!$C$238:$C$451,$C331,'TL09'!$J$238:$J$451),0),
IF('TL10'!$B$3=P$3,SUMIF('TL10'!$C$10:$C$224,$C331,'TL10'!$J$10:$J$224),0),
IF('TL10'!$B$229=P$3,SUMIF('TL10'!$C$238:$C$451,$C331,'TL10'!$J$238:$J$451),0),
IF('TL11'!$B$3=P$3,SUMIF('TL11'!$C$10:$C$224,$C331,'TL11'!$J$10:$J$224),0),
IF('TL11'!$B$229=P$3,SUMIF('TL11'!$C$238:$C$451,$C331,'TL11'!$J$238:$J$451),0),
IF('TL12'!$B$3=P$3,SUMIF('TL12'!$C$10:$C$224,$C331,'TL12'!$J$10:$J$224),0),
IF('TL12'!$B$229=P$3,SUMIF('TL12'!$C$238:$C$451,$C331,'TL12'!$J$238:$J$451),0),
IF('TL13'!$B$3=P$3,SUMIF('TL13'!$C$10:$C$224,$C331,'TL13'!$J$10:$J$224),0),
IF('TL13'!$B$229=P$3,SUMIF('TL13'!$C$238:$C$451,$C331,'TL13'!$J$238:$J$451),0),
IF('TL14'!$B$3=P$3,SUMIF('TL14'!$C$10:$C$224,$C331,'TL14'!$J$10:$J$224),0),
IF('TL14'!$B$229=P$3,SUMIF('TL14'!$C$238:$C$451,$C331,'TL14'!$J$238:$J$451),0),
IF('TL15'!$B$3=P$3,SUMIF('TL15'!$C$10:$C$224,$C331,'TL15'!$J$10:$J$224),0),
IF('TL15'!$B$229=P$3,SUMIF('TL15'!$C$238:$C$451,$C331,'TL15'!$J$238:$J$451),0),
IF('TL16'!$B$3=P$3,SUMIF('TL16'!$C$10:$C$224,$C331,'TL16'!$J$10:$J$224),0),
IF('TL16'!$B$229=P$3,SUMIF('TL16'!$C$238:$C$451,$C331,'TL16'!$J$238:$J$451),0),
IF('TL17'!$B$3=P$3,SUMIF('TL17'!$C$10:$C$224,$C331,'TL17'!$J$10:$J$224),0),
IF('TL17'!$B$229=P$3,SUMIF('TL17'!$C$238:$C$451,$C331,'TL17'!$J$238:$J$451),0),
IF('TL18'!$B$3=P$3,SUMIF('TL18'!$C$10:$C$224,$C331,'TL18'!$J$10:$J$224),0),
IF('TL18'!$B$229=P$3,SUMIF('TL18'!$C$238:$C$451,$C331,'TL18'!$J$238:$J$451),0),
IF('TL19'!$B$3=P$3,SUMIF('TL19'!$C$10:$C$224,$C331,'TL19'!$J$10:$J$224),0),
IF('TL19'!$B$229=P$3,SUMIF('TL19'!$C$238:$C$451,$C331,'TL19'!$J$238:$J$451),0)
),0)</f>
        <v>0</v>
      </c>
      <c r="Q331" s="9">
        <f>IFERROR(SUM(
IF('TL01'!$B$3=Q$3,SUMIF('TL01'!$C$10:$C$224,$C331,'TL01'!$J$10:$J$224),0),
IF('TL01'!$B$229=Q$3,SUMIF('TL01'!$C$238:$C$451,$C331,'TL01'!$J$238:$J$451),0),
IF('TL02'!$B$3=Q$3,SUMIF('TL02'!$C$10:$C$224,$C331,'TL02'!$J$10:$J$224),0),
IF('TL02'!$B$229=Q$3,SUMIF('TL02'!$C$238:$C$451,$C331,'TL02'!$J$238:$J$451),0),
IF('TL03'!$B$3=Q$3,SUMIF('TL03'!$C$10:$C$224,$C331,'TL03'!$J$10:$J$224),0),
IF('TL03'!$B$229=Q$3,SUMIF('TL03'!$C$238:$C$451,$C331,'TL03'!$J$238:$J$451),0),
IF('TL04'!$B$3=Q$3,SUMIF('TL04'!$C$10:$C$224,$C331,'TL04'!$J$10:$J$224),0),
IF('TL04'!$B$229=Q$3,SUMIF('TL04'!$C$238:$C$451,$C331,'TL04'!$J$238:$J$451),0),
IF('TL05'!$B$3=Q$3,SUMIF('TL05'!$C$10:$C$224,$C331,'TL05'!$J$10:$J$224),0),
IF('TL05'!$B$229=Q$3,SUMIF('TL05'!$C$238:$C$451,$C331,'TL05'!$J$238:$J$451),0),
IF('TL06'!$B$3=Q$3,SUMIF('TL06'!$C$10:$C$224,$C331,'TL06'!$J$10:$J$224),0),
IF('TL06'!$B$229=Q$3,SUMIF('TL06'!$C$238:$C$451,$C331,'TL06'!$J$238:$J$451),0),
IF('TL07'!$B$3=Q$3,SUMIF('TL07'!$C$10:$C$224,$C331,'TL07'!$J$10:$J$224),0),
IF('TL07'!$B$229=Q$3,SUMIF('TL07'!$C$238:$C$451,$C331,'TL07'!$J$238:$J$451),0),
IF('TL08'!$B$3=Q$3,SUMIF('TL08'!$C$10:$C$224,$C331,'TL08'!$J$10:$J$224),0),
IF('TL08'!$B$229=Q$3,SUMIF('TL08'!$C$238:$C$451,$C331,'TL08'!$J$238:$J$451),0),
IF('TL09'!$B$3=Q$3,SUMIF('TL09'!$C$10:$C$224,$C331,'TL09'!$J$10:$J$224),0),
IF('TL09'!$B$229=Q$3,SUMIF('TL09'!$C$238:$C$451,$C331,'TL09'!$J$238:$J$451),0),
IF('TL10'!$B$3=Q$3,SUMIF('TL10'!$C$10:$C$224,$C331,'TL10'!$J$10:$J$224),0),
IF('TL10'!$B$229=Q$3,SUMIF('TL10'!$C$238:$C$451,$C331,'TL10'!$J$238:$J$451),0),
IF('TL11'!$B$3=Q$3,SUMIF('TL11'!$C$10:$C$224,$C331,'TL11'!$J$10:$J$224),0),
IF('TL11'!$B$229=Q$3,SUMIF('TL11'!$C$238:$C$451,$C331,'TL11'!$J$238:$J$451),0),
IF('TL12'!$B$3=Q$3,SUMIF('TL12'!$C$10:$C$224,$C331,'TL12'!$J$10:$J$224),0),
IF('TL12'!$B$229=Q$3,SUMIF('TL12'!$C$238:$C$451,$C331,'TL12'!$J$238:$J$451),0),
IF('TL13'!$B$3=Q$3,SUMIF('TL13'!$C$10:$C$224,$C331,'TL13'!$J$10:$J$224),0),
IF('TL13'!$B$229=Q$3,SUMIF('TL13'!$C$238:$C$451,$C331,'TL13'!$J$238:$J$451),0),
IF('TL14'!$B$3=Q$3,SUMIF('TL14'!$C$10:$C$224,$C331,'TL14'!$J$10:$J$224),0),
IF('TL14'!$B$229=Q$3,SUMIF('TL14'!$C$238:$C$451,$C331,'TL14'!$J$238:$J$451),0),
IF('TL15'!$B$3=Q$3,SUMIF('TL15'!$C$10:$C$224,$C331,'TL15'!$J$10:$J$224),0),
IF('TL15'!$B$229=Q$3,SUMIF('TL15'!$C$238:$C$451,$C331,'TL15'!$J$238:$J$451),0),
IF('TL16'!$B$3=Q$3,SUMIF('TL16'!$C$10:$C$224,$C331,'TL16'!$J$10:$J$224),0),
IF('TL16'!$B$229=Q$3,SUMIF('TL16'!$C$238:$C$451,$C331,'TL16'!$J$238:$J$451),0),
IF('TL17'!$B$3=Q$3,SUMIF('TL17'!$C$10:$C$224,$C331,'TL17'!$J$10:$J$224),0),
IF('TL17'!$B$229=Q$3,SUMIF('TL17'!$C$238:$C$451,$C331,'TL17'!$J$238:$J$451),0),
IF('TL18'!$B$3=Q$3,SUMIF('TL18'!$C$10:$C$224,$C331,'TL18'!$J$10:$J$224),0),
IF('TL18'!$B$229=Q$3,SUMIF('TL18'!$C$238:$C$451,$C331,'TL18'!$J$238:$J$451),0),
IF('TL19'!$B$3=Q$3,SUMIF('TL19'!$C$10:$C$224,$C331,'TL19'!$J$10:$J$224),0),
IF('TL19'!$B$229=Q$3,SUMIF('TL19'!$C$238:$C$451,$C331,'TL19'!$J$238:$J$451),0)
),0)</f>
        <v>0</v>
      </c>
      <c r="R331" s="9">
        <f>IFERROR(
SUM(
SUMIF('TL01'!C:C,C331,'TL01'!J:J),
SUMIF('TL02'!C:C,C331,'TL02'!J:J),
SUMIF('TL03'!C:C,C331,'TL03'!J:J),
SUMIF('TL04'!C:C,C331,'TL04'!J:J),
SUMIF('TL05'!C:C,C331,'TL05'!J:J),
SUMIF('TL06'!C:C,C331,'TL06'!J:J),
SUMIF('TL07'!C:C,C331,'TL07'!J:J),
SUMIF('TL08'!C:C,C331,'TL08'!J:J),
SUMIF('TL09'!C:C,C331,'TL09'!J:J),
SUMIF('TL10'!C:C,C331,'TL10'!J:J),
SUMIF('TL11'!C:C,C331,'TL11'!J:J),
SUMIF('TL12'!C:C,C331,'TL12'!J:J),
SUMIF('TL13'!C:C,C331,'TL13'!J:J),
SUMIF('TL14'!C:C,C331,'TL14'!J:J),
SUMIF('TL15'!C:C,C331,'TL15'!J:J),
SUMIF('TL16'!C:C,C331,'TL16'!J:J),
SUMIF('TL17'!C:C,C331,'TL17'!J:J),
SUMIF('TL18'!C:C,C331,'TL18'!J:J),SUMIF('TL19'!C:C,C331,'TL19'!J:J))
,0)</f>
        <v>20.8</v>
      </c>
      <c r="S331" s="17" t="str">
        <f>IFERROR(__xludf.DUMMYFUNCTION("IFERROR(VLOOKUP(C331,
IMPORTRANGE(""1wULbzX32WdYsx-lj2U3uUNBBe2INVIRDtcK0d-Dvl90"",
""26-27!C:G""),
5,
FALSE),
"""")"),"")</f>
        <v/>
      </c>
      <c r="T331" s="9"/>
      <c r="U331" s="92">
        <f t="shared" si="2"/>
        <v>20.8</v>
      </c>
      <c r="V331" s="93">
        <f t="shared" si="3"/>
        <v>0</v>
      </c>
    </row>
    <row r="332" ht="15.75" hidden="1" customHeight="1">
      <c r="A332" s="4"/>
      <c r="B332" s="125" t="s">
        <v>5</v>
      </c>
      <c r="C332" s="4" t="s">
        <v>1058</v>
      </c>
      <c r="D332" s="6"/>
      <c r="E332" s="9"/>
      <c r="F332" s="4"/>
      <c r="G332" s="90" t="str">
        <f t="shared" si="5"/>
        <v>📄 Ver bula</v>
      </c>
      <c r="H332" s="9"/>
      <c r="I332" s="1"/>
      <c r="J332" s="9">
        <f>IFERROR(SUM(
IF('TL01'!$B$3=J$3,SUMIF('TL01'!$C$10:$C$224,$C332,'TL01'!$J$10:$J$224),0),
IF('TL01'!$B$229=J$3,SUMIF('TL01'!$C$238:$C$451,$C332,'TL01'!$J$238:$J$451),0),
IF('TL02'!$B$3=J$3,SUMIF('TL02'!$C$10:$C$224,$C332,'TL02'!$J$10:$J$224),0),
IF('TL02'!$B$229=J$3,SUMIF('TL02'!$C$238:$C$451,$C332,'TL02'!$J$238:$J$451),0),
IF('TL03'!$B$3=J$3,SUMIF('TL03'!$C$10:$C$224,$C332,'TL03'!$J$10:$J$224),0),
IF('TL03'!$B$229=J$3,SUMIF('TL03'!$C$238:$C$451,$C332,'TL03'!$J$238:$J$451),0),
IF('TL04'!$B$3=J$3,SUMIF('TL04'!$C$10:$C$224,$C332,'TL04'!$J$10:$J$224),0),
IF('TL04'!$B$229=J$3,SUMIF('TL04'!$C$238:$C$451,$C332,'TL04'!$J$238:$J$451),0),
IF('TL05'!$B$3=J$3,SUMIF('TL05'!$C$10:$C$224,$C332,'TL05'!$J$10:$J$224),0),
IF('TL05'!$B$229=J$3,SUMIF('TL05'!$C$238:$C$451,$C332,'TL05'!$J$238:$J$451),0),
IF('TL06'!$B$3=J$3,SUMIF('TL06'!$C$10:$C$224,$C332,'TL06'!$J$10:$J$224),0),
IF('TL06'!$B$229=J$3,SUMIF('TL06'!$C$238:$C$451,$C332,'TL06'!$J$238:$J$451),0),
IF('TL07'!$B$3=J$3,SUMIF('TL07'!$C$10:$C$224,$C332,'TL07'!$J$10:$J$224),0),
IF('TL07'!$B$229=J$3,SUMIF('TL07'!$C$238:$C$451,$C332,'TL07'!$J$238:$J$451),0),
IF('TL08'!$B$3=J$3,SUMIF('TL08'!$C$10:$C$224,$C332,'TL08'!$J$10:$J$224),0),
IF('TL08'!$B$229=J$3,SUMIF('TL08'!$C$238:$C$451,$C332,'TL08'!$J$238:$J$451),0),
IF('TL09'!$B$3=J$3,SUMIF('TL09'!$C$10:$C$224,$C332,'TL09'!$J$10:$J$224),0),
IF('TL09'!$B$229=J$3,SUMIF('TL09'!$C$238:$C$451,$C332,'TL09'!$J$238:$J$451),0),
IF('TL10'!$B$3=J$3,SUMIF('TL10'!$C$10:$C$224,$C332,'TL10'!$J$10:$J$224),0),
IF('TL10'!$B$229=J$3,SUMIF('TL10'!$C$238:$C$451,$C332,'TL10'!$J$238:$J$451),0),
IF('TL11'!$B$3=J$3,SUMIF('TL11'!$C$10:$C$224,$C332,'TL11'!$J$10:$J$224),0),
IF('TL11'!$B$229=J$3,SUMIF('TL11'!$C$238:$C$451,$C332,'TL11'!$J$238:$J$451),0),
IF('TL12'!$B$3=J$3,SUMIF('TL12'!$C$10:$C$224,$C332,'TL12'!$J$10:$J$224),0),
IF('TL12'!$B$229=J$3,SUMIF('TL12'!$C$238:$C$451,$C332,'TL12'!$J$238:$J$451),0),
IF('TL13'!$B$3=J$3,SUMIF('TL13'!$C$10:$C$224,$C332,'TL13'!$J$10:$J$224),0),
IF('TL13'!$B$229=J$3,SUMIF('TL13'!$C$238:$C$451,$C332,'TL13'!$J$238:$J$451),0),
IF('TL14'!$B$3=J$3,SUMIF('TL14'!$C$10:$C$224,$C332,'TL14'!$J$10:$J$224),0),
IF('TL14'!$B$229=J$3,SUMIF('TL14'!$C$238:$C$451,$C332,'TL14'!$J$238:$J$451),0),
IF('TL15'!$B$3=J$3,SUMIF('TL15'!$C$10:$C$224,$C332,'TL15'!$J$10:$J$224),0),
IF('TL15'!$B$229=J$3,SUMIF('TL15'!$C$238:$C$451,$C332,'TL15'!$J$238:$J$451),0),
IF('TL16'!$B$3=J$3,SUMIF('TL16'!$C$10:$C$224,$C332,'TL16'!$J$10:$J$224),0),
IF('TL16'!$B$229=J$3,SUMIF('TL16'!$C$238:$C$451,$C332,'TL16'!$J$238:$J$451),0),
IF('TL17'!$B$3=J$3,SUMIF('TL17'!$C$10:$C$224,$C332,'TL17'!$J$10:$J$224),0),
IF('TL17'!$B$229=J$3,SUMIF('TL17'!$C$238:$C$451,$C332,'TL17'!$J$238:$J$451),0),
IF('TL18'!$B$3=J$3,SUMIF('TL18'!$C$10:$C$224,$C332,'TL18'!$J$10:$J$224),0),
IF('TL18'!$B$229=J$3,SUMIF('TL18'!$C$238:$C$451,$C332,'TL18'!$J$238:$J$451),0),
IF('TL19'!$B$3=J$3,SUMIF('TL19'!$C$10:$C$224,$C332,'TL19'!$J$10:$J$224),0),
IF('TL19'!$B$229=J$3,SUMIF('TL19'!$C$238:$C$451,$C332,'TL19'!$J$238:$J$451),0)
),0)</f>
        <v>0</v>
      </c>
      <c r="K332" s="9">
        <f>IFERROR(SUM(
IF('TL01'!$B$3=K$3,SUMIF('TL01'!$C$10:$C$224,$C332,'TL01'!$J$10:$J$224),0),
IF('TL01'!$B$229=K$3,SUMIF('TL01'!$C$238:$C$451,$C332,'TL01'!$J$238:$J$451),0),
IF('TL02'!$B$3=K$3,SUMIF('TL02'!$C$10:$C$224,$C332,'TL02'!$J$10:$J$224),0),
IF('TL02'!$B$229=K$3,SUMIF('TL02'!$C$238:$C$451,$C332,'TL02'!$J$238:$J$451),0),
IF('TL03'!$B$3=K$3,SUMIF('TL03'!$C$10:$C$224,$C332,'TL03'!$J$10:$J$224),0),
IF('TL03'!$B$229=K$3,SUMIF('TL03'!$C$238:$C$451,$C332,'TL03'!$J$238:$J$451),0),
IF('TL04'!$B$3=K$3,SUMIF('TL04'!$C$10:$C$224,$C332,'TL04'!$J$10:$J$224),0),
IF('TL04'!$B$229=K$3,SUMIF('TL04'!$C$238:$C$451,$C332,'TL04'!$J$238:$J$451),0),
IF('TL05'!$B$3=K$3,SUMIF('TL05'!$C$10:$C$224,$C332,'TL05'!$J$10:$J$224),0),
IF('TL05'!$B$229=K$3,SUMIF('TL05'!$C$238:$C$451,$C332,'TL05'!$J$238:$J$451),0),
IF('TL06'!$B$3=K$3,SUMIF('TL06'!$C$10:$C$224,$C332,'TL06'!$J$10:$J$224),0),
IF('TL06'!$B$229=K$3,SUMIF('TL06'!$C$238:$C$451,$C332,'TL06'!$J$238:$J$451),0),
IF('TL07'!$B$3=K$3,SUMIF('TL07'!$C$10:$C$224,$C332,'TL07'!$J$10:$J$224),0),
IF('TL07'!$B$229=K$3,SUMIF('TL07'!$C$238:$C$451,$C332,'TL07'!$J$238:$J$451),0),
IF('TL08'!$B$3=K$3,SUMIF('TL08'!$C$10:$C$224,$C332,'TL08'!$J$10:$J$224),0),
IF('TL08'!$B$229=K$3,SUMIF('TL08'!$C$238:$C$451,$C332,'TL08'!$J$238:$J$451),0),
IF('TL09'!$B$3=K$3,SUMIF('TL09'!$C$10:$C$224,$C332,'TL09'!$J$10:$J$224),0),
IF('TL09'!$B$229=K$3,SUMIF('TL09'!$C$238:$C$451,$C332,'TL09'!$J$238:$J$451),0),
IF('TL10'!$B$3=K$3,SUMIF('TL10'!$C$10:$C$224,$C332,'TL10'!$J$10:$J$224),0),
IF('TL10'!$B$229=K$3,SUMIF('TL10'!$C$238:$C$451,$C332,'TL10'!$J$238:$J$451),0),
IF('TL11'!$B$3=K$3,SUMIF('TL11'!$C$10:$C$224,$C332,'TL11'!$J$10:$J$224),0),
IF('TL11'!$B$229=K$3,SUMIF('TL11'!$C$238:$C$451,$C332,'TL11'!$J$238:$J$451),0),
IF('TL12'!$B$3=K$3,SUMIF('TL12'!$C$10:$C$224,$C332,'TL12'!$J$10:$J$224),0),
IF('TL12'!$B$229=K$3,SUMIF('TL12'!$C$238:$C$451,$C332,'TL12'!$J$238:$J$451),0),
IF('TL13'!$B$3=K$3,SUMIF('TL13'!$C$10:$C$224,$C332,'TL13'!$J$10:$J$224),0),
IF('TL13'!$B$229=K$3,SUMIF('TL13'!$C$238:$C$451,$C332,'TL13'!$J$238:$J$451),0),
IF('TL14'!$B$3=K$3,SUMIF('TL14'!$C$10:$C$224,$C332,'TL14'!$J$10:$J$224),0),
IF('TL14'!$B$229=K$3,SUMIF('TL14'!$C$238:$C$451,$C332,'TL14'!$J$238:$J$451),0),
IF('TL15'!$B$3=K$3,SUMIF('TL15'!$C$10:$C$224,$C332,'TL15'!$J$10:$J$224),0),
IF('TL15'!$B$229=K$3,SUMIF('TL15'!$C$238:$C$451,$C332,'TL15'!$J$238:$J$451),0),
IF('TL16'!$B$3=K$3,SUMIF('TL16'!$C$10:$C$224,$C332,'TL16'!$J$10:$J$224),0),
IF('TL16'!$B$229=K$3,SUMIF('TL16'!$C$238:$C$451,$C332,'TL16'!$J$238:$J$451),0),
IF('TL17'!$B$3=K$3,SUMIF('TL17'!$C$10:$C$224,$C332,'TL17'!$J$10:$J$224),0),
IF('TL17'!$B$229=K$3,SUMIF('TL17'!$C$238:$C$451,$C332,'TL17'!$J$238:$J$451),0),
IF('TL18'!$B$3=K$3,SUMIF('TL18'!$C$10:$C$224,$C332,'TL18'!$J$10:$J$224),0),
IF('TL18'!$B$229=K$3,SUMIF('TL18'!$C$238:$C$451,$C332,'TL18'!$J$238:$J$451),0),
IF('TL19'!$B$3=K$3,SUMIF('TL19'!$C$10:$C$224,$C332,'TL19'!$J$10:$J$224),0),
IF('TL19'!$B$229=K$3,SUMIF('TL19'!$C$238:$C$451,$C332,'TL19'!$J$238:$J$451),0)
),0)</f>
        <v>0</v>
      </c>
      <c r="L332" s="9">
        <f>IFERROR(SUM(
IF('TL01'!$B$3=L$3,SUMIF('TL01'!$C$10:$C$224,$C332,'TL01'!$J$10:$J$224),0),
IF('TL01'!$B$229=L$3,SUMIF('TL01'!$C$238:$C$451,$C332,'TL01'!$J$238:$J$451),0),
IF('TL02'!$B$3=L$3,SUMIF('TL02'!$C$10:$C$224,$C332,'TL02'!$J$10:$J$224),0),
IF('TL02'!$B$229=L$3,SUMIF('TL02'!$C$238:$C$451,$C332,'TL02'!$J$238:$J$451),0),
IF('TL03'!$B$3=L$3,SUMIF('TL03'!$C$10:$C$224,$C332,'TL03'!$J$10:$J$224),0),
IF('TL03'!$B$229=L$3,SUMIF('TL03'!$C$238:$C$451,$C332,'TL03'!$J$238:$J$451),0),
IF('TL04'!$B$3=L$3,SUMIF('TL04'!$C$10:$C$224,$C332,'TL04'!$J$10:$J$224),0),
IF('TL04'!$B$229=L$3,SUMIF('TL04'!$C$238:$C$451,$C332,'TL04'!$J$238:$J$451),0),
IF('TL05'!$B$3=L$3,SUMIF('TL05'!$C$10:$C$224,$C332,'TL05'!$J$10:$J$224),0),
IF('TL05'!$B$229=L$3,SUMIF('TL05'!$C$238:$C$451,$C332,'TL05'!$J$238:$J$451),0),
IF('TL06'!$B$3=L$3,SUMIF('TL06'!$C$10:$C$224,$C332,'TL06'!$J$10:$J$224),0),
IF('TL06'!$B$229=L$3,SUMIF('TL06'!$C$238:$C$451,$C332,'TL06'!$J$238:$J$451),0),
IF('TL07'!$B$3=L$3,SUMIF('TL07'!$C$10:$C$224,$C332,'TL07'!$J$10:$J$224),0),
IF('TL07'!$B$229=L$3,SUMIF('TL07'!$C$238:$C$451,$C332,'TL07'!$J$238:$J$451),0),
IF('TL08'!$B$3=L$3,SUMIF('TL08'!$C$10:$C$224,$C332,'TL08'!$J$10:$J$224),0),
IF('TL08'!$B$229=L$3,SUMIF('TL08'!$C$238:$C$451,$C332,'TL08'!$J$238:$J$451),0),
IF('TL09'!$B$3=L$3,SUMIF('TL09'!$C$10:$C$224,$C332,'TL09'!$J$10:$J$224),0),
IF('TL09'!$B$229=L$3,SUMIF('TL09'!$C$238:$C$451,$C332,'TL09'!$J$238:$J$451),0),
IF('TL10'!$B$3=L$3,SUMIF('TL10'!$C$10:$C$224,$C332,'TL10'!$J$10:$J$224),0),
IF('TL10'!$B$229=L$3,SUMIF('TL10'!$C$238:$C$451,$C332,'TL10'!$J$238:$J$451),0),
IF('TL11'!$B$3=L$3,SUMIF('TL11'!$C$10:$C$224,$C332,'TL11'!$J$10:$J$224),0),
IF('TL11'!$B$229=L$3,SUMIF('TL11'!$C$238:$C$451,$C332,'TL11'!$J$238:$J$451),0),
IF('TL12'!$B$3=L$3,SUMIF('TL12'!$C$10:$C$224,$C332,'TL12'!$J$10:$J$224),0),
IF('TL12'!$B$229=L$3,SUMIF('TL12'!$C$238:$C$451,$C332,'TL12'!$J$238:$J$451),0),
IF('TL13'!$B$3=L$3,SUMIF('TL13'!$C$10:$C$224,$C332,'TL13'!$J$10:$J$224),0),
IF('TL13'!$B$229=L$3,SUMIF('TL13'!$C$238:$C$451,$C332,'TL13'!$J$238:$J$451),0),
IF('TL14'!$B$3=L$3,SUMIF('TL14'!$C$10:$C$224,$C332,'TL14'!$J$10:$J$224),0),
IF('TL14'!$B$229=L$3,SUMIF('TL14'!$C$238:$C$451,$C332,'TL14'!$J$238:$J$451),0),
IF('TL15'!$B$3=L$3,SUMIF('TL15'!$C$10:$C$224,$C332,'TL15'!$J$10:$J$224),0),
IF('TL15'!$B$229=L$3,SUMIF('TL15'!$C$238:$C$451,$C332,'TL15'!$J$238:$J$451),0),
IF('TL16'!$B$3=L$3,SUMIF('TL16'!$C$10:$C$224,$C332,'TL16'!$J$10:$J$224),0),
IF('TL16'!$B$229=L$3,SUMIF('TL16'!$C$238:$C$451,$C332,'TL16'!$J$238:$J$451),0),
IF('TL17'!$B$3=L$3,SUMIF('TL17'!$C$10:$C$224,$C332,'TL17'!$J$10:$J$224),0),
IF('TL17'!$B$229=L$3,SUMIF('TL17'!$C$238:$C$451,$C332,'TL17'!$J$238:$J$451),0),
IF('TL18'!$B$3=L$3,SUMIF('TL18'!$C$10:$C$224,$C332,'TL18'!$J$10:$J$224),0),
IF('TL18'!$B$229=L$3,SUMIF('TL18'!$C$238:$C$451,$C332,'TL18'!$J$238:$J$451),0),
IF('TL19'!$B$3=L$3,SUMIF('TL19'!$C$10:$C$224,$C332,'TL19'!$J$10:$J$224),0),
IF('TL19'!$B$229=L$3,SUMIF('TL19'!$C$238:$C$451,$C332,'TL19'!$J$238:$J$451),0)
),0)</f>
        <v>0</v>
      </c>
      <c r="M332" s="9">
        <f>IFERROR(SUM(
IF('TL01'!$B$3=M$3,SUMIF('TL01'!$C$10:$C$224,$C332,'TL01'!$J$10:$J$224),0),
IF('TL01'!$B$229=M$3,SUMIF('TL01'!$C$238:$C$451,$C332,'TL01'!$J$238:$J$451),0),
IF('TL02'!$B$3=M$3,SUMIF('TL02'!$C$10:$C$224,$C332,'TL02'!$J$10:$J$224),0),
IF('TL02'!$B$229=M$3,SUMIF('TL02'!$C$238:$C$451,$C332,'TL02'!$J$238:$J$451),0),
IF('TL03'!$B$3=M$3,SUMIF('TL03'!$C$10:$C$224,$C332,'TL03'!$J$10:$J$224),0),
IF('TL03'!$B$229=M$3,SUMIF('TL03'!$C$238:$C$451,$C332,'TL03'!$J$238:$J$451),0),
IF('TL04'!$B$3=M$3,SUMIF('TL04'!$C$10:$C$224,$C332,'TL04'!$J$10:$J$224),0),
IF('TL04'!$B$229=M$3,SUMIF('TL04'!$C$238:$C$451,$C332,'TL04'!$J$238:$J$451),0),
IF('TL05'!$B$3=M$3,SUMIF('TL05'!$C$10:$C$224,$C332,'TL05'!$J$10:$J$224),0),
IF('TL05'!$B$229=M$3,SUMIF('TL05'!$C$238:$C$451,$C332,'TL05'!$J$238:$J$451),0),
IF('TL06'!$B$3=M$3,SUMIF('TL06'!$C$10:$C$224,$C332,'TL06'!$J$10:$J$224),0),
IF('TL06'!$B$229=M$3,SUMIF('TL06'!$C$238:$C$451,$C332,'TL06'!$J$238:$J$451),0),
IF('TL07'!$B$3=M$3,SUMIF('TL07'!$C$10:$C$224,$C332,'TL07'!$J$10:$J$224),0),
IF('TL07'!$B$229=M$3,SUMIF('TL07'!$C$238:$C$451,$C332,'TL07'!$J$238:$J$451),0),
IF('TL08'!$B$3=M$3,SUMIF('TL08'!$C$10:$C$224,$C332,'TL08'!$J$10:$J$224),0),
IF('TL08'!$B$229=M$3,SUMIF('TL08'!$C$238:$C$451,$C332,'TL08'!$J$238:$J$451),0),
IF('TL09'!$B$3=M$3,SUMIF('TL09'!$C$10:$C$224,$C332,'TL09'!$J$10:$J$224),0),
IF('TL09'!$B$229=M$3,SUMIF('TL09'!$C$238:$C$451,$C332,'TL09'!$J$238:$J$451),0),
IF('TL10'!$B$3=M$3,SUMIF('TL10'!$C$10:$C$224,$C332,'TL10'!$J$10:$J$224),0),
IF('TL10'!$B$229=M$3,SUMIF('TL10'!$C$238:$C$451,$C332,'TL10'!$J$238:$J$451),0),
IF('TL11'!$B$3=M$3,SUMIF('TL11'!$C$10:$C$224,$C332,'TL11'!$J$10:$J$224),0),
IF('TL11'!$B$229=M$3,SUMIF('TL11'!$C$238:$C$451,$C332,'TL11'!$J$238:$J$451),0),
IF('TL12'!$B$3=M$3,SUMIF('TL12'!$C$10:$C$224,$C332,'TL12'!$J$10:$J$224),0),
IF('TL12'!$B$229=M$3,SUMIF('TL12'!$C$238:$C$451,$C332,'TL12'!$J$238:$J$451),0),
IF('TL13'!$B$3=M$3,SUMIF('TL13'!$C$10:$C$224,$C332,'TL13'!$J$10:$J$224),0),
IF('TL13'!$B$229=M$3,SUMIF('TL13'!$C$238:$C$451,$C332,'TL13'!$J$238:$J$451),0),
IF('TL14'!$B$3=M$3,SUMIF('TL14'!$C$10:$C$224,$C332,'TL14'!$J$10:$J$224),0),
IF('TL14'!$B$229=M$3,SUMIF('TL14'!$C$238:$C$451,$C332,'TL14'!$J$238:$J$451),0),
IF('TL15'!$B$3=M$3,SUMIF('TL15'!$C$10:$C$224,$C332,'TL15'!$J$10:$J$224),0),
IF('TL15'!$B$229=M$3,SUMIF('TL15'!$C$238:$C$451,$C332,'TL15'!$J$238:$J$451),0),
IF('TL16'!$B$3=M$3,SUMIF('TL16'!$C$10:$C$224,$C332,'TL16'!$J$10:$J$224),0),
IF('TL16'!$B$229=M$3,SUMIF('TL16'!$C$238:$C$451,$C332,'TL16'!$J$238:$J$451),0),
IF('TL17'!$B$3=M$3,SUMIF('TL17'!$C$10:$C$224,$C332,'TL17'!$J$10:$J$224),0),
IF('TL17'!$B$229=M$3,SUMIF('TL17'!$C$238:$C$451,$C332,'TL17'!$J$238:$J$451),0),
IF('TL18'!$B$3=M$3,SUMIF('TL18'!$C$10:$C$224,$C332,'TL18'!$J$10:$J$224),0),
IF('TL18'!$B$229=M$3,SUMIF('TL18'!$C$238:$C$451,$C332,'TL18'!$J$238:$J$451),0),
IF('TL19'!$B$3=M$3,SUMIF('TL19'!$C$10:$C$224,$C332,'TL19'!$J$10:$J$224),0),
IF('TL19'!$B$229=M$3,SUMIF('TL19'!$C$238:$C$451,$C332,'TL19'!$J$238:$J$451),0)
),0)</f>
        <v>0</v>
      </c>
      <c r="N332" s="9">
        <f>IFERROR(SUM(
IF('TL01'!$B$3=N$3,SUMIF('TL01'!$C$10:$C$224,$C332,'TL01'!$J$10:$J$224),0),
IF('TL01'!$B$229=N$3,SUMIF('TL01'!$C$238:$C$451,$C332,'TL01'!$J$238:$J$451),0),
IF('TL02'!$B$3=N$3,SUMIF('TL02'!$C$10:$C$224,$C332,'TL02'!$J$10:$J$224),0),
IF('TL02'!$B$229=N$3,SUMIF('TL02'!$C$238:$C$451,$C332,'TL02'!$J$238:$J$451),0),
IF('TL03'!$B$3=N$3,SUMIF('TL03'!$C$10:$C$224,$C332,'TL03'!$J$10:$J$224),0),
IF('TL03'!$B$229=N$3,SUMIF('TL03'!$C$238:$C$451,$C332,'TL03'!$J$238:$J$451),0),
IF('TL04'!$B$3=N$3,SUMIF('TL04'!$C$10:$C$224,$C332,'TL04'!$J$10:$J$224),0),
IF('TL04'!$B$229=N$3,SUMIF('TL04'!$C$238:$C$451,$C332,'TL04'!$J$238:$J$451),0),
IF('TL05'!$B$3=N$3,SUMIF('TL05'!$C$10:$C$224,$C332,'TL05'!$J$10:$J$224),0),
IF('TL05'!$B$229=N$3,SUMIF('TL05'!$C$238:$C$451,$C332,'TL05'!$J$238:$J$451),0),
IF('TL06'!$B$3=N$3,SUMIF('TL06'!$C$10:$C$224,$C332,'TL06'!$J$10:$J$224),0),
IF('TL06'!$B$229=N$3,SUMIF('TL06'!$C$238:$C$451,$C332,'TL06'!$J$238:$J$451),0),
IF('TL07'!$B$3=N$3,SUMIF('TL07'!$C$10:$C$224,$C332,'TL07'!$J$10:$J$224),0),
IF('TL07'!$B$229=N$3,SUMIF('TL07'!$C$238:$C$451,$C332,'TL07'!$J$238:$J$451),0),
IF('TL08'!$B$3=N$3,SUMIF('TL08'!$C$10:$C$224,$C332,'TL08'!$J$10:$J$224),0),
IF('TL08'!$B$229=N$3,SUMIF('TL08'!$C$238:$C$451,$C332,'TL08'!$J$238:$J$451),0),
IF('TL09'!$B$3=N$3,SUMIF('TL09'!$C$10:$C$224,$C332,'TL09'!$J$10:$J$224),0),
IF('TL09'!$B$229=N$3,SUMIF('TL09'!$C$238:$C$451,$C332,'TL09'!$J$238:$J$451),0),
IF('TL10'!$B$3=N$3,SUMIF('TL10'!$C$10:$C$224,$C332,'TL10'!$J$10:$J$224),0),
IF('TL10'!$B$229=N$3,SUMIF('TL10'!$C$238:$C$451,$C332,'TL10'!$J$238:$J$451),0),
IF('TL11'!$B$3=N$3,SUMIF('TL11'!$C$10:$C$224,$C332,'TL11'!$J$10:$J$224),0),
IF('TL11'!$B$229=N$3,SUMIF('TL11'!$C$238:$C$451,$C332,'TL11'!$J$238:$J$451),0),
IF('TL12'!$B$3=N$3,SUMIF('TL12'!$C$10:$C$224,$C332,'TL12'!$J$10:$J$224),0),
IF('TL12'!$B$229=N$3,SUMIF('TL12'!$C$238:$C$451,$C332,'TL12'!$J$238:$J$451),0),
IF('TL13'!$B$3=N$3,SUMIF('TL13'!$C$10:$C$224,$C332,'TL13'!$J$10:$J$224),0),
IF('TL13'!$B$229=N$3,SUMIF('TL13'!$C$238:$C$451,$C332,'TL13'!$J$238:$J$451),0),
IF('TL14'!$B$3=N$3,SUMIF('TL14'!$C$10:$C$224,$C332,'TL14'!$J$10:$J$224),0),
IF('TL14'!$B$229=N$3,SUMIF('TL14'!$C$238:$C$451,$C332,'TL14'!$J$238:$J$451),0),
IF('TL15'!$B$3=N$3,SUMIF('TL15'!$C$10:$C$224,$C332,'TL15'!$J$10:$J$224),0),
IF('TL15'!$B$229=N$3,SUMIF('TL15'!$C$238:$C$451,$C332,'TL15'!$J$238:$J$451),0),
IF('TL16'!$B$3=N$3,SUMIF('TL16'!$C$10:$C$224,$C332,'TL16'!$J$10:$J$224),0),
IF('TL16'!$B$229=N$3,SUMIF('TL16'!$C$238:$C$451,$C332,'TL16'!$J$238:$J$451),0),
IF('TL17'!$B$3=N$3,SUMIF('TL17'!$C$10:$C$224,$C332,'TL17'!$J$10:$J$224),0),
IF('TL17'!$B$229=N$3,SUMIF('TL17'!$C$238:$C$451,$C332,'TL17'!$J$238:$J$451),0),
IF('TL18'!$B$3=N$3,SUMIF('TL18'!$C$10:$C$224,$C332,'TL18'!$J$10:$J$224),0),
IF('TL18'!$B$229=N$3,SUMIF('TL18'!$C$238:$C$451,$C332,'TL18'!$J$238:$J$451),0),
IF('TL19'!$B$3=N$3,SUMIF('TL19'!$C$10:$C$224,$C332,'TL19'!$J$10:$J$224),0),
IF('TL19'!$B$229=N$3,SUMIF('TL19'!$C$238:$C$451,$C332,'TL19'!$J$238:$J$451),0)
),0)</f>
        <v>0</v>
      </c>
      <c r="O332" s="9">
        <f>IFERROR(SUM(
IF('TL01'!$B$3=O$3,SUMIF('TL01'!$C$10:$C$224,$C332,'TL01'!$J$10:$J$224),0),
IF('TL01'!$B$229=O$3,SUMIF('TL01'!$C$238:$C$451,$C332,'TL01'!$J$238:$J$451),0),
IF('TL02'!$B$3=O$3,SUMIF('TL02'!$C$10:$C$224,$C332,'TL02'!$J$10:$J$224),0),
IF('TL02'!$B$229=O$3,SUMIF('TL02'!$C$238:$C$451,$C332,'TL02'!$J$238:$J$451),0),
IF('TL03'!$B$3=O$3,SUMIF('TL03'!$C$10:$C$224,$C332,'TL03'!$J$10:$J$224),0),
IF('TL03'!$B$229=O$3,SUMIF('TL03'!$C$238:$C$451,$C332,'TL03'!$J$238:$J$451),0),
IF('TL04'!$B$3=O$3,SUMIF('TL04'!$C$10:$C$224,$C332,'TL04'!$J$10:$J$224),0),
IF('TL04'!$B$229=O$3,SUMIF('TL04'!$C$238:$C$451,$C332,'TL04'!$J$238:$J$451),0),
IF('TL05'!$B$3=O$3,SUMIF('TL05'!$C$10:$C$224,$C332,'TL05'!$J$10:$J$224),0),
IF('TL05'!$B$229=O$3,SUMIF('TL05'!$C$238:$C$451,$C332,'TL05'!$J$238:$J$451),0),
IF('TL06'!$B$3=O$3,SUMIF('TL06'!$C$10:$C$224,$C332,'TL06'!$J$10:$J$224),0),
IF('TL06'!$B$229=O$3,SUMIF('TL06'!$C$238:$C$451,$C332,'TL06'!$J$238:$J$451),0),
IF('TL07'!$B$3=O$3,SUMIF('TL07'!$C$10:$C$224,$C332,'TL07'!$J$10:$J$224),0),
IF('TL07'!$B$229=O$3,SUMIF('TL07'!$C$238:$C$451,$C332,'TL07'!$J$238:$J$451),0),
IF('TL08'!$B$3=O$3,SUMIF('TL08'!$C$10:$C$224,$C332,'TL08'!$J$10:$J$224),0),
IF('TL08'!$B$229=O$3,SUMIF('TL08'!$C$238:$C$451,$C332,'TL08'!$J$238:$J$451),0),
IF('TL09'!$B$3=O$3,SUMIF('TL09'!$C$10:$C$224,$C332,'TL09'!$J$10:$J$224),0),
IF('TL09'!$B$229=O$3,SUMIF('TL09'!$C$238:$C$451,$C332,'TL09'!$J$238:$J$451),0),
IF('TL10'!$B$3=O$3,SUMIF('TL10'!$C$10:$C$224,$C332,'TL10'!$J$10:$J$224),0),
IF('TL10'!$B$229=O$3,SUMIF('TL10'!$C$238:$C$451,$C332,'TL10'!$J$238:$J$451),0),
IF('TL11'!$B$3=O$3,SUMIF('TL11'!$C$10:$C$224,$C332,'TL11'!$J$10:$J$224),0),
IF('TL11'!$B$229=O$3,SUMIF('TL11'!$C$238:$C$451,$C332,'TL11'!$J$238:$J$451),0),
IF('TL12'!$B$3=O$3,SUMIF('TL12'!$C$10:$C$224,$C332,'TL12'!$J$10:$J$224),0),
IF('TL12'!$B$229=O$3,SUMIF('TL12'!$C$238:$C$451,$C332,'TL12'!$J$238:$J$451),0),
IF('TL13'!$B$3=O$3,SUMIF('TL13'!$C$10:$C$224,$C332,'TL13'!$J$10:$J$224),0),
IF('TL13'!$B$229=O$3,SUMIF('TL13'!$C$238:$C$451,$C332,'TL13'!$J$238:$J$451),0),
IF('TL14'!$B$3=O$3,SUMIF('TL14'!$C$10:$C$224,$C332,'TL14'!$J$10:$J$224),0),
IF('TL14'!$B$229=O$3,SUMIF('TL14'!$C$238:$C$451,$C332,'TL14'!$J$238:$J$451),0),
IF('TL15'!$B$3=O$3,SUMIF('TL15'!$C$10:$C$224,$C332,'TL15'!$J$10:$J$224),0),
IF('TL15'!$B$229=O$3,SUMIF('TL15'!$C$238:$C$451,$C332,'TL15'!$J$238:$J$451),0),
IF('TL16'!$B$3=O$3,SUMIF('TL16'!$C$10:$C$224,$C332,'TL16'!$J$10:$J$224),0),
IF('TL16'!$B$229=O$3,SUMIF('TL16'!$C$238:$C$451,$C332,'TL16'!$J$238:$J$451),0),
IF('TL17'!$B$3=O$3,SUMIF('TL17'!$C$10:$C$224,$C332,'TL17'!$J$10:$J$224),0),
IF('TL17'!$B$229=O$3,SUMIF('TL17'!$C$238:$C$451,$C332,'TL17'!$J$238:$J$451),0),
IF('TL18'!$B$3=O$3,SUMIF('TL18'!$C$10:$C$224,$C332,'TL18'!$J$10:$J$224),0),
IF('TL18'!$B$229=O$3,SUMIF('TL18'!$C$238:$C$451,$C332,'TL18'!$J$238:$J$451),0),
IF('TL19'!$B$3=O$3,SUMIF('TL19'!$C$10:$C$224,$C332,'TL19'!$J$10:$J$224),0),
IF('TL19'!$B$229=O$3,SUMIF('TL19'!$C$238:$C$451,$C332,'TL19'!$J$238:$J$451),0)
),0)</f>
        <v>0</v>
      </c>
      <c r="P332" s="9">
        <f>IFERROR(SUM(
IF('TL01'!$B$3=P$3,SUMIF('TL01'!$C$10:$C$224,$C332,'TL01'!$J$10:$J$224),0),
IF('TL01'!$B$229=P$3,SUMIF('TL01'!$C$238:$C$451,$C332,'TL01'!$J$238:$J$451),0),
IF('TL02'!$B$3=P$3,SUMIF('TL02'!$C$10:$C$224,$C332,'TL02'!$J$10:$J$224),0),
IF('TL02'!$B$229=P$3,SUMIF('TL02'!$C$238:$C$451,$C332,'TL02'!$J$238:$J$451),0),
IF('TL03'!$B$3=P$3,SUMIF('TL03'!$C$10:$C$224,$C332,'TL03'!$J$10:$J$224),0),
IF('TL03'!$B$229=P$3,SUMIF('TL03'!$C$238:$C$451,$C332,'TL03'!$J$238:$J$451),0),
IF('TL04'!$B$3=P$3,SUMIF('TL04'!$C$10:$C$224,$C332,'TL04'!$J$10:$J$224),0),
IF('TL04'!$B$229=P$3,SUMIF('TL04'!$C$238:$C$451,$C332,'TL04'!$J$238:$J$451),0),
IF('TL05'!$B$3=P$3,SUMIF('TL05'!$C$10:$C$224,$C332,'TL05'!$J$10:$J$224),0),
IF('TL05'!$B$229=P$3,SUMIF('TL05'!$C$238:$C$451,$C332,'TL05'!$J$238:$J$451),0),
IF('TL06'!$B$3=P$3,SUMIF('TL06'!$C$10:$C$224,$C332,'TL06'!$J$10:$J$224),0),
IF('TL06'!$B$229=P$3,SUMIF('TL06'!$C$238:$C$451,$C332,'TL06'!$J$238:$J$451),0),
IF('TL07'!$B$3=P$3,SUMIF('TL07'!$C$10:$C$224,$C332,'TL07'!$J$10:$J$224),0),
IF('TL07'!$B$229=P$3,SUMIF('TL07'!$C$238:$C$451,$C332,'TL07'!$J$238:$J$451),0),
IF('TL08'!$B$3=P$3,SUMIF('TL08'!$C$10:$C$224,$C332,'TL08'!$J$10:$J$224),0),
IF('TL08'!$B$229=P$3,SUMIF('TL08'!$C$238:$C$451,$C332,'TL08'!$J$238:$J$451),0),
IF('TL09'!$B$3=P$3,SUMIF('TL09'!$C$10:$C$224,$C332,'TL09'!$J$10:$J$224),0),
IF('TL09'!$B$229=P$3,SUMIF('TL09'!$C$238:$C$451,$C332,'TL09'!$J$238:$J$451),0),
IF('TL10'!$B$3=P$3,SUMIF('TL10'!$C$10:$C$224,$C332,'TL10'!$J$10:$J$224),0),
IF('TL10'!$B$229=P$3,SUMIF('TL10'!$C$238:$C$451,$C332,'TL10'!$J$238:$J$451),0),
IF('TL11'!$B$3=P$3,SUMIF('TL11'!$C$10:$C$224,$C332,'TL11'!$J$10:$J$224),0),
IF('TL11'!$B$229=P$3,SUMIF('TL11'!$C$238:$C$451,$C332,'TL11'!$J$238:$J$451),0),
IF('TL12'!$B$3=P$3,SUMIF('TL12'!$C$10:$C$224,$C332,'TL12'!$J$10:$J$224),0),
IF('TL12'!$B$229=P$3,SUMIF('TL12'!$C$238:$C$451,$C332,'TL12'!$J$238:$J$451),0),
IF('TL13'!$B$3=P$3,SUMIF('TL13'!$C$10:$C$224,$C332,'TL13'!$J$10:$J$224),0),
IF('TL13'!$B$229=P$3,SUMIF('TL13'!$C$238:$C$451,$C332,'TL13'!$J$238:$J$451),0),
IF('TL14'!$B$3=P$3,SUMIF('TL14'!$C$10:$C$224,$C332,'TL14'!$J$10:$J$224),0),
IF('TL14'!$B$229=P$3,SUMIF('TL14'!$C$238:$C$451,$C332,'TL14'!$J$238:$J$451),0),
IF('TL15'!$B$3=P$3,SUMIF('TL15'!$C$10:$C$224,$C332,'TL15'!$J$10:$J$224),0),
IF('TL15'!$B$229=P$3,SUMIF('TL15'!$C$238:$C$451,$C332,'TL15'!$J$238:$J$451),0),
IF('TL16'!$B$3=P$3,SUMIF('TL16'!$C$10:$C$224,$C332,'TL16'!$J$10:$J$224),0),
IF('TL16'!$B$229=P$3,SUMIF('TL16'!$C$238:$C$451,$C332,'TL16'!$J$238:$J$451),0),
IF('TL17'!$B$3=P$3,SUMIF('TL17'!$C$10:$C$224,$C332,'TL17'!$J$10:$J$224),0),
IF('TL17'!$B$229=P$3,SUMIF('TL17'!$C$238:$C$451,$C332,'TL17'!$J$238:$J$451),0),
IF('TL18'!$B$3=P$3,SUMIF('TL18'!$C$10:$C$224,$C332,'TL18'!$J$10:$J$224),0),
IF('TL18'!$B$229=P$3,SUMIF('TL18'!$C$238:$C$451,$C332,'TL18'!$J$238:$J$451),0),
IF('TL19'!$B$3=P$3,SUMIF('TL19'!$C$10:$C$224,$C332,'TL19'!$J$10:$J$224),0),
IF('TL19'!$B$229=P$3,SUMIF('TL19'!$C$238:$C$451,$C332,'TL19'!$J$238:$J$451),0)
),0)</f>
        <v>12.48</v>
      </c>
      <c r="Q332" s="9">
        <f>IFERROR(SUM(
IF('TL01'!$B$3=Q$3,SUMIF('TL01'!$C$10:$C$224,$C332,'TL01'!$J$10:$J$224),0),
IF('TL01'!$B$229=Q$3,SUMIF('TL01'!$C$238:$C$451,$C332,'TL01'!$J$238:$J$451),0),
IF('TL02'!$B$3=Q$3,SUMIF('TL02'!$C$10:$C$224,$C332,'TL02'!$J$10:$J$224),0),
IF('TL02'!$B$229=Q$3,SUMIF('TL02'!$C$238:$C$451,$C332,'TL02'!$J$238:$J$451),0),
IF('TL03'!$B$3=Q$3,SUMIF('TL03'!$C$10:$C$224,$C332,'TL03'!$J$10:$J$224),0),
IF('TL03'!$B$229=Q$3,SUMIF('TL03'!$C$238:$C$451,$C332,'TL03'!$J$238:$J$451),0),
IF('TL04'!$B$3=Q$3,SUMIF('TL04'!$C$10:$C$224,$C332,'TL04'!$J$10:$J$224),0),
IF('TL04'!$B$229=Q$3,SUMIF('TL04'!$C$238:$C$451,$C332,'TL04'!$J$238:$J$451),0),
IF('TL05'!$B$3=Q$3,SUMIF('TL05'!$C$10:$C$224,$C332,'TL05'!$J$10:$J$224),0),
IF('TL05'!$B$229=Q$3,SUMIF('TL05'!$C$238:$C$451,$C332,'TL05'!$J$238:$J$451),0),
IF('TL06'!$B$3=Q$3,SUMIF('TL06'!$C$10:$C$224,$C332,'TL06'!$J$10:$J$224),0),
IF('TL06'!$B$229=Q$3,SUMIF('TL06'!$C$238:$C$451,$C332,'TL06'!$J$238:$J$451),0),
IF('TL07'!$B$3=Q$3,SUMIF('TL07'!$C$10:$C$224,$C332,'TL07'!$J$10:$J$224),0),
IF('TL07'!$B$229=Q$3,SUMIF('TL07'!$C$238:$C$451,$C332,'TL07'!$J$238:$J$451),0),
IF('TL08'!$B$3=Q$3,SUMIF('TL08'!$C$10:$C$224,$C332,'TL08'!$J$10:$J$224),0),
IF('TL08'!$B$229=Q$3,SUMIF('TL08'!$C$238:$C$451,$C332,'TL08'!$J$238:$J$451),0),
IF('TL09'!$B$3=Q$3,SUMIF('TL09'!$C$10:$C$224,$C332,'TL09'!$J$10:$J$224),0),
IF('TL09'!$B$229=Q$3,SUMIF('TL09'!$C$238:$C$451,$C332,'TL09'!$J$238:$J$451),0),
IF('TL10'!$B$3=Q$3,SUMIF('TL10'!$C$10:$C$224,$C332,'TL10'!$J$10:$J$224),0),
IF('TL10'!$B$229=Q$3,SUMIF('TL10'!$C$238:$C$451,$C332,'TL10'!$J$238:$J$451),0),
IF('TL11'!$B$3=Q$3,SUMIF('TL11'!$C$10:$C$224,$C332,'TL11'!$J$10:$J$224),0),
IF('TL11'!$B$229=Q$3,SUMIF('TL11'!$C$238:$C$451,$C332,'TL11'!$J$238:$J$451),0),
IF('TL12'!$B$3=Q$3,SUMIF('TL12'!$C$10:$C$224,$C332,'TL12'!$J$10:$J$224),0),
IF('TL12'!$B$229=Q$3,SUMIF('TL12'!$C$238:$C$451,$C332,'TL12'!$J$238:$J$451),0),
IF('TL13'!$B$3=Q$3,SUMIF('TL13'!$C$10:$C$224,$C332,'TL13'!$J$10:$J$224),0),
IF('TL13'!$B$229=Q$3,SUMIF('TL13'!$C$238:$C$451,$C332,'TL13'!$J$238:$J$451),0),
IF('TL14'!$B$3=Q$3,SUMIF('TL14'!$C$10:$C$224,$C332,'TL14'!$J$10:$J$224),0),
IF('TL14'!$B$229=Q$3,SUMIF('TL14'!$C$238:$C$451,$C332,'TL14'!$J$238:$J$451),0),
IF('TL15'!$B$3=Q$3,SUMIF('TL15'!$C$10:$C$224,$C332,'TL15'!$J$10:$J$224),0),
IF('TL15'!$B$229=Q$3,SUMIF('TL15'!$C$238:$C$451,$C332,'TL15'!$J$238:$J$451),0),
IF('TL16'!$B$3=Q$3,SUMIF('TL16'!$C$10:$C$224,$C332,'TL16'!$J$10:$J$224),0),
IF('TL16'!$B$229=Q$3,SUMIF('TL16'!$C$238:$C$451,$C332,'TL16'!$J$238:$J$451),0),
IF('TL17'!$B$3=Q$3,SUMIF('TL17'!$C$10:$C$224,$C332,'TL17'!$J$10:$J$224),0),
IF('TL17'!$B$229=Q$3,SUMIF('TL17'!$C$238:$C$451,$C332,'TL17'!$J$238:$J$451),0),
IF('TL18'!$B$3=Q$3,SUMIF('TL18'!$C$10:$C$224,$C332,'TL18'!$J$10:$J$224),0),
IF('TL18'!$B$229=Q$3,SUMIF('TL18'!$C$238:$C$451,$C332,'TL18'!$J$238:$J$451),0),
IF('TL19'!$B$3=Q$3,SUMIF('TL19'!$C$10:$C$224,$C332,'TL19'!$J$10:$J$224),0),
IF('TL19'!$B$229=Q$3,SUMIF('TL19'!$C$238:$C$451,$C332,'TL19'!$J$238:$J$451),0)
),0)</f>
        <v>0</v>
      </c>
      <c r="R332" s="9">
        <f>IFERROR(
SUM(
SUMIF('TL01'!C:C,C332,'TL01'!J:J),
SUMIF('TL02'!C:C,C332,'TL02'!J:J),
SUMIF('TL03'!C:C,C332,'TL03'!J:J),
SUMIF('TL04'!C:C,C332,'TL04'!J:J),
SUMIF('TL05'!C:C,C332,'TL05'!J:J),
SUMIF('TL06'!C:C,C332,'TL06'!J:J),
SUMIF('TL07'!C:C,C332,'TL07'!J:J),
SUMIF('TL08'!C:C,C332,'TL08'!J:J),
SUMIF('TL09'!C:C,C332,'TL09'!J:J),
SUMIF('TL10'!C:C,C332,'TL10'!J:J),
SUMIF('TL11'!C:C,C332,'TL11'!J:J),
SUMIF('TL12'!C:C,C332,'TL12'!J:J),
SUMIF('TL13'!C:C,C332,'TL13'!J:J),
SUMIF('TL14'!C:C,C332,'TL14'!J:J),
SUMIF('TL15'!C:C,C332,'TL15'!J:J),
SUMIF('TL16'!C:C,C332,'TL16'!J:J),
SUMIF('TL17'!C:C,C332,'TL17'!J:J),
SUMIF('TL18'!C:C,C332,'TL18'!J:J),SUMIF('TL19'!C:C,C332,'TL19'!J:J))
,0)</f>
        <v>12.48</v>
      </c>
      <c r="S332" s="17" t="str">
        <f>IFERROR(__xludf.DUMMYFUNCTION("IFERROR(VLOOKUP(C332,
IMPORTRANGE(""1wULbzX32WdYsx-lj2U3uUNBBe2INVIRDtcK0d-Dvl90"",
""26-27!C:G""),
5,
FALSE),
"""")"),"")</f>
        <v/>
      </c>
      <c r="T332" s="9"/>
      <c r="U332" s="92">
        <f t="shared" si="2"/>
        <v>12.48</v>
      </c>
      <c r="V332" s="93">
        <f t="shared" si="3"/>
        <v>0</v>
      </c>
    </row>
    <row r="333" ht="15.75" hidden="1" customHeight="1">
      <c r="A333" s="4"/>
      <c r="B333" s="125" t="s">
        <v>5</v>
      </c>
      <c r="C333" s="4" t="s">
        <v>1059</v>
      </c>
      <c r="D333" s="6"/>
      <c r="E333" s="9"/>
      <c r="F333" s="4"/>
      <c r="G333" s="90" t="str">
        <f t="shared" si="5"/>
        <v>📄 Ver bula</v>
      </c>
      <c r="H333" s="9"/>
      <c r="I333" s="1"/>
      <c r="J333" s="9">
        <f>IFERROR(SUM(
IF('TL01'!$B$3=J$3,SUMIF('TL01'!$C$10:$C$224,$C333,'TL01'!$J$10:$J$224),0),
IF('TL01'!$B$229=J$3,SUMIF('TL01'!$C$238:$C$451,$C333,'TL01'!$J$238:$J$451),0),
IF('TL02'!$B$3=J$3,SUMIF('TL02'!$C$10:$C$224,$C333,'TL02'!$J$10:$J$224),0),
IF('TL02'!$B$229=J$3,SUMIF('TL02'!$C$238:$C$451,$C333,'TL02'!$J$238:$J$451),0),
IF('TL03'!$B$3=J$3,SUMIF('TL03'!$C$10:$C$224,$C333,'TL03'!$J$10:$J$224),0),
IF('TL03'!$B$229=J$3,SUMIF('TL03'!$C$238:$C$451,$C333,'TL03'!$J$238:$J$451),0),
IF('TL04'!$B$3=J$3,SUMIF('TL04'!$C$10:$C$224,$C333,'TL04'!$J$10:$J$224),0),
IF('TL04'!$B$229=J$3,SUMIF('TL04'!$C$238:$C$451,$C333,'TL04'!$J$238:$J$451),0),
IF('TL05'!$B$3=J$3,SUMIF('TL05'!$C$10:$C$224,$C333,'TL05'!$J$10:$J$224),0),
IF('TL05'!$B$229=J$3,SUMIF('TL05'!$C$238:$C$451,$C333,'TL05'!$J$238:$J$451),0),
IF('TL06'!$B$3=J$3,SUMIF('TL06'!$C$10:$C$224,$C333,'TL06'!$J$10:$J$224),0),
IF('TL06'!$B$229=J$3,SUMIF('TL06'!$C$238:$C$451,$C333,'TL06'!$J$238:$J$451),0),
IF('TL07'!$B$3=J$3,SUMIF('TL07'!$C$10:$C$224,$C333,'TL07'!$J$10:$J$224),0),
IF('TL07'!$B$229=J$3,SUMIF('TL07'!$C$238:$C$451,$C333,'TL07'!$J$238:$J$451),0),
IF('TL08'!$B$3=J$3,SUMIF('TL08'!$C$10:$C$224,$C333,'TL08'!$J$10:$J$224),0),
IF('TL08'!$B$229=J$3,SUMIF('TL08'!$C$238:$C$451,$C333,'TL08'!$J$238:$J$451),0),
IF('TL09'!$B$3=J$3,SUMIF('TL09'!$C$10:$C$224,$C333,'TL09'!$J$10:$J$224),0),
IF('TL09'!$B$229=J$3,SUMIF('TL09'!$C$238:$C$451,$C333,'TL09'!$J$238:$J$451),0),
IF('TL10'!$B$3=J$3,SUMIF('TL10'!$C$10:$C$224,$C333,'TL10'!$J$10:$J$224),0),
IF('TL10'!$B$229=J$3,SUMIF('TL10'!$C$238:$C$451,$C333,'TL10'!$J$238:$J$451),0),
IF('TL11'!$B$3=J$3,SUMIF('TL11'!$C$10:$C$224,$C333,'TL11'!$J$10:$J$224),0),
IF('TL11'!$B$229=J$3,SUMIF('TL11'!$C$238:$C$451,$C333,'TL11'!$J$238:$J$451),0),
IF('TL12'!$B$3=J$3,SUMIF('TL12'!$C$10:$C$224,$C333,'TL12'!$J$10:$J$224),0),
IF('TL12'!$B$229=J$3,SUMIF('TL12'!$C$238:$C$451,$C333,'TL12'!$J$238:$J$451),0),
IF('TL13'!$B$3=J$3,SUMIF('TL13'!$C$10:$C$224,$C333,'TL13'!$J$10:$J$224),0),
IF('TL13'!$B$229=J$3,SUMIF('TL13'!$C$238:$C$451,$C333,'TL13'!$J$238:$J$451),0),
IF('TL14'!$B$3=J$3,SUMIF('TL14'!$C$10:$C$224,$C333,'TL14'!$J$10:$J$224),0),
IF('TL14'!$B$229=J$3,SUMIF('TL14'!$C$238:$C$451,$C333,'TL14'!$J$238:$J$451),0),
IF('TL15'!$B$3=J$3,SUMIF('TL15'!$C$10:$C$224,$C333,'TL15'!$J$10:$J$224),0),
IF('TL15'!$B$229=J$3,SUMIF('TL15'!$C$238:$C$451,$C333,'TL15'!$J$238:$J$451),0),
IF('TL16'!$B$3=J$3,SUMIF('TL16'!$C$10:$C$224,$C333,'TL16'!$J$10:$J$224),0),
IF('TL16'!$B$229=J$3,SUMIF('TL16'!$C$238:$C$451,$C333,'TL16'!$J$238:$J$451),0),
IF('TL17'!$B$3=J$3,SUMIF('TL17'!$C$10:$C$224,$C333,'TL17'!$J$10:$J$224),0),
IF('TL17'!$B$229=J$3,SUMIF('TL17'!$C$238:$C$451,$C333,'TL17'!$J$238:$J$451),0),
IF('TL18'!$B$3=J$3,SUMIF('TL18'!$C$10:$C$224,$C333,'TL18'!$J$10:$J$224),0),
IF('TL18'!$B$229=J$3,SUMIF('TL18'!$C$238:$C$451,$C333,'TL18'!$J$238:$J$451),0),
IF('TL19'!$B$3=J$3,SUMIF('TL19'!$C$10:$C$224,$C333,'TL19'!$J$10:$J$224),0),
IF('TL19'!$B$229=J$3,SUMIF('TL19'!$C$238:$C$451,$C333,'TL19'!$J$238:$J$451),0)
),0)</f>
        <v>0</v>
      </c>
      <c r="K333" s="9">
        <f>IFERROR(SUM(
IF('TL01'!$B$3=K$3,SUMIF('TL01'!$C$10:$C$224,$C333,'TL01'!$J$10:$J$224),0),
IF('TL01'!$B$229=K$3,SUMIF('TL01'!$C$238:$C$451,$C333,'TL01'!$J$238:$J$451),0),
IF('TL02'!$B$3=K$3,SUMIF('TL02'!$C$10:$C$224,$C333,'TL02'!$J$10:$J$224),0),
IF('TL02'!$B$229=K$3,SUMIF('TL02'!$C$238:$C$451,$C333,'TL02'!$J$238:$J$451),0),
IF('TL03'!$B$3=K$3,SUMIF('TL03'!$C$10:$C$224,$C333,'TL03'!$J$10:$J$224),0),
IF('TL03'!$B$229=K$3,SUMIF('TL03'!$C$238:$C$451,$C333,'TL03'!$J$238:$J$451),0),
IF('TL04'!$B$3=K$3,SUMIF('TL04'!$C$10:$C$224,$C333,'TL04'!$J$10:$J$224),0),
IF('TL04'!$B$229=K$3,SUMIF('TL04'!$C$238:$C$451,$C333,'TL04'!$J$238:$J$451),0),
IF('TL05'!$B$3=K$3,SUMIF('TL05'!$C$10:$C$224,$C333,'TL05'!$J$10:$J$224),0),
IF('TL05'!$B$229=K$3,SUMIF('TL05'!$C$238:$C$451,$C333,'TL05'!$J$238:$J$451),0),
IF('TL06'!$B$3=K$3,SUMIF('TL06'!$C$10:$C$224,$C333,'TL06'!$J$10:$J$224),0),
IF('TL06'!$B$229=K$3,SUMIF('TL06'!$C$238:$C$451,$C333,'TL06'!$J$238:$J$451),0),
IF('TL07'!$B$3=K$3,SUMIF('TL07'!$C$10:$C$224,$C333,'TL07'!$J$10:$J$224),0),
IF('TL07'!$B$229=K$3,SUMIF('TL07'!$C$238:$C$451,$C333,'TL07'!$J$238:$J$451),0),
IF('TL08'!$B$3=K$3,SUMIF('TL08'!$C$10:$C$224,$C333,'TL08'!$J$10:$J$224),0),
IF('TL08'!$B$229=K$3,SUMIF('TL08'!$C$238:$C$451,$C333,'TL08'!$J$238:$J$451),0),
IF('TL09'!$B$3=K$3,SUMIF('TL09'!$C$10:$C$224,$C333,'TL09'!$J$10:$J$224),0),
IF('TL09'!$B$229=K$3,SUMIF('TL09'!$C$238:$C$451,$C333,'TL09'!$J$238:$J$451),0),
IF('TL10'!$B$3=K$3,SUMIF('TL10'!$C$10:$C$224,$C333,'TL10'!$J$10:$J$224),0),
IF('TL10'!$B$229=K$3,SUMIF('TL10'!$C$238:$C$451,$C333,'TL10'!$J$238:$J$451),0),
IF('TL11'!$B$3=K$3,SUMIF('TL11'!$C$10:$C$224,$C333,'TL11'!$J$10:$J$224),0),
IF('TL11'!$B$229=K$3,SUMIF('TL11'!$C$238:$C$451,$C333,'TL11'!$J$238:$J$451),0),
IF('TL12'!$B$3=K$3,SUMIF('TL12'!$C$10:$C$224,$C333,'TL12'!$J$10:$J$224),0),
IF('TL12'!$B$229=K$3,SUMIF('TL12'!$C$238:$C$451,$C333,'TL12'!$J$238:$J$451),0),
IF('TL13'!$B$3=K$3,SUMIF('TL13'!$C$10:$C$224,$C333,'TL13'!$J$10:$J$224),0),
IF('TL13'!$B$229=K$3,SUMIF('TL13'!$C$238:$C$451,$C333,'TL13'!$J$238:$J$451),0),
IF('TL14'!$B$3=K$3,SUMIF('TL14'!$C$10:$C$224,$C333,'TL14'!$J$10:$J$224),0),
IF('TL14'!$B$229=K$3,SUMIF('TL14'!$C$238:$C$451,$C333,'TL14'!$J$238:$J$451),0),
IF('TL15'!$B$3=K$3,SUMIF('TL15'!$C$10:$C$224,$C333,'TL15'!$J$10:$J$224),0),
IF('TL15'!$B$229=K$3,SUMIF('TL15'!$C$238:$C$451,$C333,'TL15'!$J$238:$J$451),0),
IF('TL16'!$B$3=K$3,SUMIF('TL16'!$C$10:$C$224,$C333,'TL16'!$J$10:$J$224),0),
IF('TL16'!$B$229=K$3,SUMIF('TL16'!$C$238:$C$451,$C333,'TL16'!$J$238:$J$451),0),
IF('TL17'!$B$3=K$3,SUMIF('TL17'!$C$10:$C$224,$C333,'TL17'!$J$10:$J$224),0),
IF('TL17'!$B$229=K$3,SUMIF('TL17'!$C$238:$C$451,$C333,'TL17'!$J$238:$J$451),0),
IF('TL18'!$B$3=K$3,SUMIF('TL18'!$C$10:$C$224,$C333,'TL18'!$J$10:$J$224),0),
IF('TL18'!$B$229=K$3,SUMIF('TL18'!$C$238:$C$451,$C333,'TL18'!$J$238:$J$451),0),
IF('TL19'!$B$3=K$3,SUMIF('TL19'!$C$10:$C$224,$C333,'TL19'!$J$10:$J$224),0),
IF('TL19'!$B$229=K$3,SUMIF('TL19'!$C$238:$C$451,$C333,'TL19'!$J$238:$J$451),0)
),0)</f>
        <v>0</v>
      </c>
      <c r="L333" s="9">
        <f>IFERROR(SUM(
IF('TL01'!$B$3=L$3,SUMIF('TL01'!$C$10:$C$224,$C333,'TL01'!$J$10:$J$224),0),
IF('TL01'!$B$229=L$3,SUMIF('TL01'!$C$238:$C$451,$C333,'TL01'!$J$238:$J$451),0),
IF('TL02'!$B$3=L$3,SUMIF('TL02'!$C$10:$C$224,$C333,'TL02'!$J$10:$J$224),0),
IF('TL02'!$B$229=L$3,SUMIF('TL02'!$C$238:$C$451,$C333,'TL02'!$J$238:$J$451),0),
IF('TL03'!$B$3=L$3,SUMIF('TL03'!$C$10:$C$224,$C333,'TL03'!$J$10:$J$224),0),
IF('TL03'!$B$229=L$3,SUMIF('TL03'!$C$238:$C$451,$C333,'TL03'!$J$238:$J$451),0),
IF('TL04'!$B$3=L$3,SUMIF('TL04'!$C$10:$C$224,$C333,'TL04'!$J$10:$J$224),0),
IF('TL04'!$B$229=L$3,SUMIF('TL04'!$C$238:$C$451,$C333,'TL04'!$J$238:$J$451),0),
IF('TL05'!$B$3=L$3,SUMIF('TL05'!$C$10:$C$224,$C333,'TL05'!$J$10:$J$224),0),
IF('TL05'!$B$229=L$3,SUMIF('TL05'!$C$238:$C$451,$C333,'TL05'!$J$238:$J$451),0),
IF('TL06'!$B$3=L$3,SUMIF('TL06'!$C$10:$C$224,$C333,'TL06'!$J$10:$J$224),0),
IF('TL06'!$B$229=L$3,SUMIF('TL06'!$C$238:$C$451,$C333,'TL06'!$J$238:$J$451),0),
IF('TL07'!$B$3=L$3,SUMIF('TL07'!$C$10:$C$224,$C333,'TL07'!$J$10:$J$224),0),
IF('TL07'!$B$229=L$3,SUMIF('TL07'!$C$238:$C$451,$C333,'TL07'!$J$238:$J$451),0),
IF('TL08'!$B$3=L$3,SUMIF('TL08'!$C$10:$C$224,$C333,'TL08'!$J$10:$J$224),0),
IF('TL08'!$B$229=L$3,SUMIF('TL08'!$C$238:$C$451,$C333,'TL08'!$J$238:$J$451),0),
IF('TL09'!$B$3=L$3,SUMIF('TL09'!$C$10:$C$224,$C333,'TL09'!$J$10:$J$224),0),
IF('TL09'!$B$229=L$3,SUMIF('TL09'!$C$238:$C$451,$C333,'TL09'!$J$238:$J$451),0),
IF('TL10'!$B$3=L$3,SUMIF('TL10'!$C$10:$C$224,$C333,'TL10'!$J$10:$J$224),0),
IF('TL10'!$B$229=L$3,SUMIF('TL10'!$C$238:$C$451,$C333,'TL10'!$J$238:$J$451),0),
IF('TL11'!$B$3=L$3,SUMIF('TL11'!$C$10:$C$224,$C333,'TL11'!$J$10:$J$224),0),
IF('TL11'!$B$229=L$3,SUMIF('TL11'!$C$238:$C$451,$C333,'TL11'!$J$238:$J$451),0),
IF('TL12'!$B$3=L$3,SUMIF('TL12'!$C$10:$C$224,$C333,'TL12'!$J$10:$J$224),0),
IF('TL12'!$B$229=L$3,SUMIF('TL12'!$C$238:$C$451,$C333,'TL12'!$J$238:$J$451),0),
IF('TL13'!$B$3=L$3,SUMIF('TL13'!$C$10:$C$224,$C333,'TL13'!$J$10:$J$224),0),
IF('TL13'!$B$229=L$3,SUMIF('TL13'!$C$238:$C$451,$C333,'TL13'!$J$238:$J$451),0),
IF('TL14'!$B$3=L$3,SUMIF('TL14'!$C$10:$C$224,$C333,'TL14'!$J$10:$J$224),0),
IF('TL14'!$B$229=L$3,SUMIF('TL14'!$C$238:$C$451,$C333,'TL14'!$J$238:$J$451),0),
IF('TL15'!$B$3=L$3,SUMIF('TL15'!$C$10:$C$224,$C333,'TL15'!$J$10:$J$224),0),
IF('TL15'!$B$229=L$3,SUMIF('TL15'!$C$238:$C$451,$C333,'TL15'!$J$238:$J$451),0),
IF('TL16'!$B$3=L$3,SUMIF('TL16'!$C$10:$C$224,$C333,'TL16'!$J$10:$J$224),0),
IF('TL16'!$B$229=L$3,SUMIF('TL16'!$C$238:$C$451,$C333,'TL16'!$J$238:$J$451),0),
IF('TL17'!$B$3=L$3,SUMIF('TL17'!$C$10:$C$224,$C333,'TL17'!$J$10:$J$224),0),
IF('TL17'!$B$229=L$3,SUMIF('TL17'!$C$238:$C$451,$C333,'TL17'!$J$238:$J$451),0),
IF('TL18'!$B$3=L$3,SUMIF('TL18'!$C$10:$C$224,$C333,'TL18'!$J$10:$J$224),0),
IF('TL18'!$B$229=L$3,SUMIF('TL18'!$C$238:$C$451,$C333,'TL18'!$J$238:$J$451),0),
IF('TL19'!$B$3=L$3,SUMIF('TL19'!$C$10:$C$224,$C333,'TL19'!$J$10:$J$224),0),
IF('TL19'!$B$229=L$3,SUMIF('TL19'!$C$238:$C$451,$C333,'TL19'!$J$238:$J$451),0)
),0)</f>
        <v>0</v>
      </c>
      <c r="M333" s="9">
        <f>IFERROR(SUM(
IF('TL01'!$B$3=M$3,SUMIF('TL01'!$C$10:$C$224,$C333,'TL01'!$J$10:$J$224),0),
IF('TL01'!$B$229=M$3,SUMIF('TL01'!$C$238:$C$451,$C333,'TL01'!$J$238:$J$451),0),
IF('TL02'!$B$3=M$3,SUMIF('TL02'!$C$10:$C$224,$C333,'TL02'!$J$10:$J$224),0),
IF('TL02'!$B$229=M$3,SUMIF('TL02'!$C$238:$C$451,$C333,'TL02'!$J$238:$J$451),0),
IF('TL03'!$B$3=M$3,SUMIF('TL03'!$C$10:$C$224,$C333,'TL03'!$J$10:$J$224),0),
IF('TL03'!$B$229=M$3,SUMIF('TL03'!$C$238:$C$451,$C333,'TL03'!$J$238:$J$451),0),
IF('TL04'!$B$3=M$3,SUMIF('TL04'!$C$10:$C$224,$C333,'TL04'!$J$10:$J$224),0),
IF('TL04'!$B$229=M$3,SUMIF('TL04'!$C$238:$C$451,$C333,'TL04'!$J$238:$J$451),0),
IF('TL05'!$B$3=M$3,SUMIF('TL05'!$C$10:$C$224,$C333,'TL05'!$J$10:$J$224),0),
IF('TL05'!$B$229=M$3,SUMIF('TL05'!$C$238:$C$451,$C333,'TL05'!$J$238:$J$451),0),
IF('TL06'!$B$3=M$3,SUMIF('TL06'!$C$10:$C$224,$C333,'TL06'!$J$10:$J$224),0),
IF('TL06'!$B$229=M$3,SUMIF('TL06'!$C$238:$C$451,$C333,'TL06'!$J$238:$J$451),0),
IF('TL07'!$B$3=M$3,SUMIF('TL07'!$C$10:$C$224,$C333,'TL07'!$J$10:$J$224),0),
IF('TL07'!$B$229=M$3,SUMIF('TL07'!$C$238:$C$451,$C333,'TL07'!$J$238:$J$451),0),
IF('TL08'!$B$3=M$3,SUMIF('TL08'!$C$10:$C$224,$C333,'TL08'!$J$10:$J$224),0),
IF('TL08'!$B$229=M$3,SUMIF('TL08'!$C$238:$C$451,$C333,'TL08'!$J$238:$J$451),0),
IF('TL09'!$B$3=M$3,SUMIF('TL09'!$C$10:$C$224,$C333,'TL09'!$J$10:$J$224),0),
IF('TL09'!$B$229=M$3,SUMIF('TL09'!$C$238:$C$451,$C333,'TL09'!$J$238:$J$451),0),
IF('TL10'!$B$3=M$3,SUMIF('TL10'!$C$10:$C$224,$C333,'TL10'!$J$10:$J$224),0),
IF('TL10'!$B$229=M$3,SUMIF('TL10'!$C$238:$C$451,$C333,'TL10'!$J$238:$J$451),0),
IF('TL11'!$B$3=M$3,SUMIF('TL11'!$C$10:$C$224,$C333,'TL11'!$J$10:$J$224),0),
IF('TL11'!$B$229=M$3,SUMIF('TL11'!$C$238:$C$451,$C333,'TL11'!$J$238:$J$451),0),
IF('TL12'!$B$3=M$3,SUMIF('TL12'!$C$10:$C$224,$C333,'TL12'!$J$10:$J$224),0),
IF('TL12'!$B$229=M$3,SUMIF('TL12'!$C$238:$C$451,$C333,'TL12'!$J$238:$J$451),0),
IF('TL13'!$B$3=M$3,SUMIF('TL13'!$C$10:$C$224,$C333,'TL13'!$J$10:$J$224),0),
IF('TL13'!$B$229=M$3,SUMIF('TL13'!$C$238:$C$451,$C333,'TL13'!$J$238:$J$451),0),
IF('TL14'!$B$3=M$3,SUMIF('TL14'!$C$10:$C$224,$C333,'TL14'!$J$10:$J$224),0),
IF('TL14'!$B$229=M$3,SUMIF('TL14'!$C$238:$C$451,$C333,'TL14'!$J$238:$J$451),0),
IF('TL15'!$B$3=M$3,SUMIF('TL15'!$C$10:$C$224,$C333,'TL15'!$J$10:$J$224),0),
IF('TL15'!$B$229=M$3,SUMIF('TL15'!$C$238:$C$451,$C333,'TL15'!$J$238:$J$451),0),
IF('TL16'!$B$3=M$3,SUMIF('TL16'!$C$10:$C$224,$C333,'TL16'!$J$10:$J$224),0),
IF('TL16'!$B$229=M$3,SUMIF('TL16'!$C$238:$C$451,$C333,'TL16'!$J$238:$J$451),0),
IF('TL17'!$B$3=M$3,SUMIF('TL17'!$C$10:$C$224,$C333,'TL17'!$J$10:$J$224),0),
IF('TL17'!$B$229=M$3,SUMIF('TL17'!$C$238:$C$451,$C333,'TL17'!$J$238:$J$451),0),
IF('TL18'!$B$3=M$3,SUMIF('TL18'!$C$10:$C$224,$C333,'TL18'!$J$10:$J$224),0),
IF('TL18'!$B$229=M$3,SUMIF('TL18'!$C$238:$C$451,$C333,'TL18'!$J$238:$J$451),0),
IF('TL19'!$B$3=M$3,SUMIF('TL19'!$C$10:$C$224,$C333,'TL19'!$J$10:$J$224),0),
IF('TL19'!$B$229=M$3,SUMIF('TL19'!$C$238:$C$451,$C333,'TL19'!$J$238:$J$451),0)
),0)</f>
        <v>0</v>
      </c>
      <c r="N333" s="9">
        <f>IFERROR(SUM(
IF('TL01'!$B$3=N$3,SUMIF('TL01'!$C$10:$C$224,$C333,'TL01'!$J$10:$J$224),0),
IF('TL01'!$B$229=N$3,SUMIF('TL01'!$C$238:$C$451,$C333,'TL01'!$J$238:$J$451),0),
IF('TL02'!$B$3=N$3,SUMIF('TL02'!$C$10:$C$224,$C333,'TL02'!$J$10:$J$224),0),
IF('TL02'!$B$229=N$3,SUMIF('TL02'!$C$238:$C$451,$C333,'TL02'!$J$238:$J$451),0),
IF('TL03'!$B$3=N$3,SUMIF('TL03'!$C$10:$C$224,$C333,'TL03'!$J$10:$J$224),0),
IF('TL03'!$B$229=N$3,SUMIF('TL03'!$C$238:$C$451,$C333,'TL03'!$J$238:$J$451),0),
IF('TL04'!$B$3=N$3,SUMIF('TL04'!$C$10:$C$224,$C333,'TL04'!$J$10:$J$224),0),
IF('TL04'!$B$229=N$3,SUMIF('TL04'!$C$238:$C$451,$C333,'TL04'!$J$238:$J$451),0),
IF('TL05'!$B$3=N$3,SUMIF('TL05'!$C$10:$C$224,$C333,'TL05'!$J$10:$J$224),0),
IF('TL05'!$B$229=N$3,SUMIF('TL05'!$C$238:$C$451,$C333,'TL05'!$J$238:$J$451),0),
IF('TL06'!$B$3=N$3,SUMIF('TL06'!$C$10:$C$224,$C333,'TL06'!$J$10:$J$224),0),
IF('TL06'!$B$229=N$3,SUMIF('TL06'!$C$238:$C$451,$C333,'TL06'!$J$238:$J$451),0),
IF('TL07'!$B$3=N$3,SUMIF('TL07'!$C$10:$C$224,$C333,'TL07'!$J$10:$J$224),0),
IF('TL07'!$B$229=N$3,SUMIF('TL07'!$C$238:$C$451,$C333,'TL07'!$J$238:$J$451),0),
IF('TL08'!$B$3=N$3,SUMIF('TL08'!$C$10:$C$224,$C333,'TL08'!$J$10:$J$224),0),
IF('TL08'!$B$229=N$3,SUMIF('TL08'!$C$238:$C$451,$C333,'TL08'!$J$238:$J$451),0),
IF('TL09'!$B$3=N$3,SUMIF('TL09'!$C$10:$C$224,$C333,'TL09'!$J$10:$J$224),0),
IF('TL09'!$B$229=N$3,SUMIF('TL09'!$C$238:$C$451,$C333,'TL09'!$J$238:$J$451),0),
IF('TL10'!$B$3=N$3,SUMIF('TL10'!$C$10:$C$224,$C333,'TL10'!$J$10:$J$224),0),
IF('TL10'!$B$229=N$3,SUMIF('TL10'!$C$238:$C$451,$C333,'TL10'!$J$238:$J$451),0),
IF('TL11'!$B$3=N$3,SUMIF('TL11'!$C$10:$C$224,$C333,'TL11'!$J$10:$J$224),0),
IF('TL11'!$B$229=N$3,SUMIF('TL11'!$C$238:$C$451,$C333,'TL11'!$J$238:$J$451),0),
IF('TL12'!$B$3=N$3,SUMIF('TL12'!$C$10:$C$224,$C333,'TL12'!$J$10:$J$224),0),
IF('TL12'!$B$229=N$3,SUMIF('TL12'!$C$238:$C$451,$C333,'TL12'!$J$238:$J$451),0),
IF('TL13'!$B$3=N$3,SUMIF('TL13'!$C$10:$C$224,$C333,'TL13'!$J$10:$J$224),0),
IF('TL13'!$B$229=N$3,SUMIF('TL13'!$C$238:$C$451,$C333,'TL13'!$J$238:$J$451),0),
IF('TL14'!$B$3=N$3,SUMIF('TL14'!$C$10:$C$224,$C333,'TL14'!$J$10:$J$224),0),
IF('TL14'!$B$229=N$3,SUMIF('TL14'!$C$238:$C$451,$C333,'TL14'!$J$238:$J$451),0),
IF('TL15'!$B$3=N$3,SUMIF('TL15'!$C$10:$C$224,$C333,'TL15'!$J$10:$J$224),0),
IF('TL15'!$B$229=N$3,SUMIF('TL15'!$C$238:$C$451,$C333,'TL15'!$J$238:$J$451),0),
IF('TL16'!$B$3=N$3,SUMIF('TL16'!$C$10:$C$224,$C333,'TL16'!$J$10:$J$224),0),
IF('TL16'!$B$229=N$3,SUMIF('TL16'!$C$238:$C$451,$C333,'TL16'!$J$238:$J$451),0),
IF('TL17'!$B$3=N$3,SUMIF('TL17'!$C$10:$C$224,$C333,'TL17'!$J$10:$J$224),0),
IF('TL17'!$B$229=N$3,SUMIF('TL17'!$C$238:$C$451,$C333,'TL17'!$J$238:$J$451),0),
IF('TL18'!$B$3=N$3,SUMIF('TL18'!$C$10:$C$224,$C333,'TL18'!$J$10:$J$224),0),
IF('TL18'!$B$229=N$3,SUMIF('TL18'!$C$238:$C$451,$C333,'TL18'!$J$238:$J$451),0),
IF('TL19'!$B$3=N$3,SUMIF('TL19'!$C$10:$C$224,$C333,'TL19'!$J$10:$J$224),0),
IF('TL19'!$B$229=N$3,SUMIF('TL19'!$C$238:$C$451,$C333,'TL19'!$J$238:$J$451),0)
),0)</f>
        <v>0</v>
      </c>
      <c r="O333" s="9">
        <f>IFERROR(SUM(
IF('TL01'!$B$3=O$3,SUMIF('TL01'!$C$10:$C$224,$C333,'TL01'!$J$10:$J$224),0),
IF('TL01'!$B$229=O$3,SUMIF('TL01'!$C$238:$C$451,$C333,'TL01'!$J$238:$J$451),0),
IF('TL02'!$B$3=O$3,SUMIF('TL02'!$C$10:$C$224,$C333,'TL02'!$J$10:$J$224),0),
IF('TL02'!$B$229=O$3,SUMIF('TL02'!$C$238:$C$451,$C333,'TL02'!$J$238:$J$451),0),
IF('TL03'!$B$3=O$3,SUMIF('TL03'!$C$10:$C$224,$C333,'TL03'!$J$10:$J$224),0),
IF('TL03'!$B$229=O$3,SUMIF('TL03'!$C$238:$C$451,$C333,'TL03'!$J$238:$J$451),0),
IF('TL04'!$B$3=O$3,SUMIF('TL04'!$C$10:$C$224,$C333,'TL04'!$J$10:$J$224),0),
IF('TL04'!$B$229=O$3,SUMIF('TL04'!$C$238:$C$451,$C333,'TL04'!$J$238:$J$451),0),
IF('TL05'!$B$3=O$3,SUMIF('TL05'!$C$10:$C$224,$C333,'TL05'!$J$10:$J$224),0),
IF('TL05'!$B$229=O$3,SUMIF('TL05'!$C$238:$C$451,$C333,'TL05'!$J$238:$J$451),0),
IF('TL06'!$B$3=O$3,SUMIF('TL06'!$C$10:$C$224,$C333,'TL06'!$J$10:$J$224),0),
IF('TL06'!$B$229=O$3,SUMIF('TL06'!$C$238:$C$451,$C333,'TL06'!$J$238:$J$451),0),
IF('TL07'!$B$3=O$3,SUMIF('TL07'!$C$10:$C$224,$C333,'TL07'!$J$10:$J$224),0),
IF('TL07'!$B$229=O$3,SUMIF('TL07'!$C$238:$C$451,$C333,'TL07'!$J$238:$J$451),0),
IF('TL08'!$B$3=O$3,SUMIF('TL08'!$C$10:$C$224,$C333,'TL08'!$J$10:$J$224),0),
IF('TL08'!$B$229=O$3,SUMIF('TL08'!$C$238:$C$451,$C333,'TL08'!$J$238:$J$451),0),
IF('TL09'!$B$3=O$3,SUMIF('TL09'!$C$10:$C$224,$C333,'TL09'!$J$10:$J$224),0),
IF('TL09'!$B$229=O$3,SUMIF('TL09'!$C$238:$C$451,$C333,'TL09'!$J$238:$J$451),0),
IF('TL10'!$B$3=O$3,SUMIF('TL10'!$C$10:$C$224,$C333,'TL10'!$J$10:$J$224),0),
IF('TL10'!$B$229=O$3,SUMIF('TL10'!$C$238:$C$451,$C333,'TL10'!$J$238:$J$451),0),
IF('TL11'!$B$3=O$3,SUMIF('TL11'!$C$10:$C$224,$C333,'TL11'!$J$10:$J$224),0),
IF('TL11'!$B$229=O$3,SUMIF('TL11'!$C$238:$C$451,$C333,'TL11'!$J$238:$J$451),0),
IF('TL12'!$B$3=O$3,SUMIF('TL12'!$C$10:$C$224,$C333,'TL12'!$J$10:$J$224),0),
IF('TL12'!$B$229=O$3,SUMIF('TL12'!$C$238:$C$451,$C333,'TL12'!$J$238:$J$451),0),
IF('TL13'!$B$3=O$3,SUMIF('TL13'!$C$10:$C$224,$C333,'TL13'!$J$10:$J$224),0),
IF('TL13'!$B$229=O$3,SUMIF('TL13'!$C$238:$C$451,$C333,'TL13'!$J$238:$J$451),0),
IF('TL14'!$B$3=O$3,SUMIF('TL14'!$C$10:$C$224,$C333,'TL14'!$J$10:$J$224),0),
IF('TL14'!$B$229=O$3,SUMIF('TL14'!$C$238:$C$451,$C333,'TL14'!$J$238:$J$451),0),
IF('TL15'!$B$3=O$3,SUMIF('TL15'!$C$10:$C$224,$C333,'TL15'!$J$10:$J$224),0),
IF('TL15'!$B$229=O$3,SUMIF('TL15'!$C$238:$C$451,$C333,'TL15'!$J$238:$J$451),0),
IF('TL16'!$B$3=O$3,SUMIF('TL16'!$C$10:$C$224,$C333,'TL16'!$J$10:$J$224),0),
IF('TL16'!$B$229=O$3,SUMIF('TL16'!$C$238:$C$451,$C333,'TL16'!$J$238:$J$451),0),
IF('TL17'!$B$3=O$3,SUMIF('TL17'!$C$10:$C$224,$C333,'TL17'!$J$10:$J$224),0),
IF('TL17'!$B$229=O$3,SUMIF('TL17'!$C$238:$C$451,$C333,'TL17'!$J$238:$J$451),0),
IF('TL18'!$B$3=O$3,SUMIF('TL18'!$C$10:$C$224,$C333,'TL18'!$J$10:$J$224),0),
IF('TL18'!$B$229=O$3,SUMIF('TL18'!$C$238:$C$451,$C333,'TL18'!$J$238:$J$451),0),
IF('TL19'!$B$3=O$3,SUMIF('TL19'!$C$10:$C$224,$C333,'TL19'!$J$10:$J$224),0),
IF('TL19'!$B$229=O$3,SUMIF('TL19'!$C$238:$C$451,$C333,'TL19'!$J$238:$J$451),0)
),0)</f>
        <v>0</v>
      </c>
      <c r="P333" s="9">
        <f>IFERROR(SUM(
IF('TL01'!$B$3=P$3,SUMIF('TL01'!$C$10:$C$224,$C333,'TL01'!$J$10:$J$224),0),
IF('TL01'!$B$229=P$3,SUMIF('TL01'!$C$238:$C$451,$C333,'TL01'!$J$238:$J$451),0),
IF('TL02'!$B$3=P$3,SUMIF('TL02'!$C$10:$C$224,$C333,'TL02'!$J$10:$J$224),0),
IF('TL02'!$B$229=P$3,SUMIF('TL02'!$C$238:$C$451,$C333,'TL02'!$J$238:$J$451),0),
IF('TL03'!$B$3=P$3,SUMIF('TL03'!$C$10:$C$224,$C333,'TL03'!$J$10:$J$224),0),
IF('TL03'!$B$229=P$3,SUMIF('TL03'!$C$238:$C$451,$C333,'TL03'!$J$238:$J$451),0),
IF('TL04'!$B$3=P$3,SUMIF('TL04'!$C$10:$C$224,$C333,'TL04'!$J$10:$J$224),0),
IF('TL04'!$B$229=P$3,SUMIF('TL04'!$C$238:$C$451,$C333,'TL04'!$J$238:$J$451),0),
IF('TL05'!$B$3=P$3,SUMIF('TL05'!$C$10:$C$224,$C333,'TL05'!$J$10:$J$224),0),
IF('TL05'!$B$229=P$3,SUMIF('TL05'!$C$238:$C$451,$C333,'TL05'!$J$238:$J$451),0),
IF('TL06'!$B$3=P$3,SUMIF('TL06'!$C$10:$C$224,$C333,'TL06'!$J$10:$J$224),0),
IF('TL06'!$B$229=P$3,SUMIF('TL06'!$C$238:$C$451,$C333,'TL06'!$J$238:$J$451),0),
IF('TL07'!$B$3=P$3,SUMIF('TL07'!$C$10:$C$224,$C333,'TL07'!$J$10:$J$224),0),
IF('TL07'!$B$229=P$3,SUMIF('TL07'!$C$238:$C$451,$C333,'TL07'!$J$238:$J$451),0),
IF('TL08'!$B$3=P$3,SUMIF('TL08'!$C$10:$C$224,$C333,'TL08'!$J$10:$J$224),0),
IF('TL08'!$B$229=P$3,SUMIF('TL08'!$C$238:$C$451,$C333,'TL08'!$J$238:$J$451),0),
IF('TL09'!$B$3=P$3,SUMIF('TL09'!$C$10:$C$224,$C333,'TL09'!$J$10:$J$224),0),
IF('TL09'!$B$229=P$3,SUMIF('TL09'!$C$238:$C$451,$C333,'TL09'!$J$238:$J$451),0),
IF('TL10'!$B$3=P$3,SUMIF('TL10'!$C$10:$C$224,$C333,'TL10'!$J$10:$J$224),0),
IF('TL10'!$B$229=P$3,SUMIF('TL10'!$C$238:$C$451,$C333,'TL10'!$J$238:$J$451),0),
IF('TL11'!$B$3=P$3,SUMIF('TL11'!$C$10:$C$224,$C333,'TL11'!$J$10:$J$224),0),
IF('TL11'!$B$229=P$3,SUMIF('TL11'!$C$238:$C$451,$C333,'TL11'!$J$238:$J$451),0),
IF('TL12'!$B$3=P$3,SUMIF('TL12'!$C$10:$C$224,$C333,'TL12'!$J$10:$J$224),0),
IF('TL12'!$B$229=P$3,SUMIF('TL12'!$C$238:$C$451,$C333,'TL12'!$J$238:$J$451),0),
IF('TL13'!$B$3=P$3,SUMIF('TL13'!$C$10:$C$224,$C333,'TL13'!$J$10:$J$224),0),
IF('TL13'!$B$229=P$3,SUMIF('TL13'!$C$238:$C$451,$C333,'TL13'!$J$238:$J$451),0),
IF('TL14'!$B$3=P$3,SUMIF('TL14'!$C$10:$C$224,$C333,'TL14'!$J$10:$J$224),0),
IF('TL14'!$B$229=P$3,SUMIF('TL14'!$C$238:$C$451,$C333,'TL14'!$J$238:$J$451),0),
IF('TL15'!$B$3=P$3,SUMIF('TL15'!$C$10:$C$224,$C333,'TL15'!$J$10:$J$224),0),
IF('TL15'!$B$229=P$3,SUMIF('TL15'!$C$238:$C$451,$C333,'TL15'!$J$238:$J$451),0),
IF('TL16'!$B$3=P$3,SUMIF('TL16'!$C$10:$C$224,$C333,'TL16'!$J$10:$J$224),0),
IF('TL16'!$B$229=P$3,SUMIF('TL16'!$C$238:$C$451,$C333,'TL16'!$J$238:$J$451),0),
IF('TL17'!$B$3=P$3,SUMIF('TL17'!$C$10:$C$224,$C333,'TL17'!$J$10:$J$224),0),
IF('TL17'!$B$229=P$3,SUMIF('TL17'!$C$238:$C$451,$C333,'TL17'!$J$238:$J$451),0),
IF('TL18'!$B$3=P$3,SUMIF('TL18'!$C$10:$C$224,$C333,'TL18'!$J$10:$J$224),0),
IF('TL18'!$B$229=P$3,SUMIF('TL18'!$C$238:$C$451,$C333,'TL18'!$J$238:$J$451),0),
IF('TL19'!$B$3=P$3,SUMIF('TL19'!$C$10:$C$224,$C333,'TL19'!$J$10:$J$224),0),
IF('TL19'!$B$229=P$3,SUMIF('TL19'!$C$238:$C$451,$C333,'TL19'!$J$238:$J$451),0)
),0)</f>
        <v>15.04</v>
      </c>
      <c r="Q333" s="9">
        <f>IFERROR(SUM(
IF('TL01'!$B$3=Q$3,SUMIF('TL01'!$C$10:$C$224,$C333,'TL01'!$J$10:$J$224),0),
IF('TL01'!$B$229=Q$3,SUMIF('TL01'!$C$238:$C$451,$C333,'TL01'!$J$238:$J$451),0),
IF('TL02'!$B$3=Q$3,SUMIF('TL02'!$C$10:$C$224,$C333,'TL02'!$J$10:$J$224),0),
IF('TL02'!$B$229=Q$3,SUMIF('TL02'!$C$238:$C$451,$C333,'TL02'!$J$238:$J$451),0),
IF('TL03'!$B$3=Q$3,SUMIF('TL03'!$C$10:$C$224,$C333,'TL03'!$J$10:$J$224),0),
IF('TL03'!$B$229=Q$3,SUMIF('TL03'!$C$238:$C$451,$C333,'TL03'!$J$238:$J$451),0),
IF('TL04'!$B$3=Q$3,SUMIF('TL04'!$C$10:$C$224,$C333,'TL04'!$J$10:$J$224),0),
IF('TL04'!$B$229=Q$3,SUMIF('TL04'!$C$238:$C$451,$C333,'TL04'!$J$238:$J$451),0),
IF('TL05'!$B$3=Q$3,SUMIF('TL05'!$C$10:$C$224,$C333,'TL05'!$J$10:$J$224),0),
IF('TL05'!$B$229=Q$3,SUMIF('TL05'!$C$238:$C$451,$C333,'TL05'!$J$238:$J$451),0),
IF('TL06'!$B$3=Q$3,SUMIF('TL06'!$C$10:$C$224,$C333,'TL06'!$J$10:$J$224),0),
IF('TL06'!$B$229=Q$3,SUMIF('TL06'!$C$238:$C$451,$C333,'TL06'!$J$238:$J$451),0),
IF('TL07'!$B$3=Q$3,SUMIF('TL07'!$C$10:$C$224,$C333,'TL07'!$J$10:$J$224),0),
IF('TL07'!$B$229=Q$3,SUMIF('TL07'!$C$238:$C$451,$C333,'TL07'!$J$238:$J$451),0),
IF('TL08'!$B$3=Q$3,SUMIF('TL08'!$C$10:$C$224,$C333,'TL08'!$J$10:$J$224),0),
IF('TL08'!$B$229=Q$3,SUMIF('TL08'!$C$238:$C$451,$C333,'TL08'!$J$238:$J$451),0),
IF('TL09'!$B$3=Q$3,SUMIF('TL09'!$C$10:$C$224,$C333,'TL09'!$J$10:$J$224),0),
IF('TL09'!$B$229=Q$3,SUMIF('TL09'!$C$238:$C$451,$C333,'TL09'!$J$238:$J$451),0),
IF('TL10'!$B$3=Q$3,SUMIF('TL10'!$C$10:$C$224,$C333,'TL10'!$J$10:$J$224),0),
IF('TL10'!$B$229=Q$3,SUMIF('TL10'!$C$238:$C$451,$C333,'TL10'!$J$238:$J$451),0),
IF('TL11'!$B$3=Q$3,SUMIF('TL11'!$C$10:$C$224,$C333,'TL11'!$J$10:$J$224),0),
IF('TL11'!$B$229=Q$3,SUMIF('TL11'!$C$238:$C$451,$C333,'TL11'!$J$238:$J$451),0),
IF('TL12'!$B$3=Q$3,SUMIF('TL12'!$C$10:$C$224,$C333,'TL12'!$J$10:$J$224),0),
IF('TL12'!$B$229=Q$3,SUMIF('TL12'!$C$238:$C$451,$C333,'TL12'!$J$238:$J$451),0),
IF('TL13'!$B$3=Q$3,SUMIF('TL13'!$C$10:$C$224,$C333,'TL13'!$J$10:$J$224),0),
IF('TL13'!$B$229=Q$3,SUMIF('TL13'!$C$238:$C$451,$C333,'TL13'!$J$238:$J$451),0),
IF('TL14'!$B$3=Q$3,SUMIF('TL14'!$C$10:$C$224,$C333,'TL14'!$J$10:$J$224),0),
IF('TL14'!$B$229=Q$3,SUMIF('TL14'!$C$238:$C$451,$C333,'TL14'!$J$238:$J$451),0),
IF('TL15'!$B$3=Q$3,SUMIF('TL15'!$C$10:$C$224,$C333,'TL15'!$J$10:$J$224),0),
IF('TL15'!$B$229=Q$3,SUMIF('TL15'!$C$238:$C$451,$C333,'TL15'!$J$238:$J$451),0),
IF('TL16'!$B$3=Q$3,SUMIF('TL16'!$C$10:$C$224,$C333,'TL16'!$J$10:$J$224),0),
IF('TL16'!$B$229=Q$3,SUMIF('TL16'!$C$238:$C$451,$C333,'TL16'!$J$238:$J$451),0),
IF('TL17'!$B$3=Q$3,SUMIF('TL17'!$C$10:$C$224,$C333,'TL17'!$J$10:$J$224),0),
IF('TL17'!$B$229=Q$3,SUMIF('TL17'!$C$238:$C$451,$C333,'TL17'!$J$238:$J$451),0),
IF('TL18'!$B$3=Q$3,SUMIF('TL18'!$C$10:$C$224,$C333,'TL18'!$J$10:$J$224),0),
IF('TL18'!$B$229=Q$3,SUMIF('TL18'!$C$238:$C$451,$C333,'TL18'!$J$238:$J$451),0),
IF('TL19'!$B$3=Q$3,SUMIF('TL19'!$C$10:$C$224,$C333,'TL19'!$J$10:$J$224),0),
IF('TL19'!$B$229=Q$3,SUMIF('TL19'!$C$238:$C$451,$C333,'TL19'!$J$238:$J$451),0)
),0)</f>
        <v>0</v>
      </c>
      <c r="R333" s="9">
        <f>IFERROR(
SUM(
SUMIF('TL01'!C:C,C333,'TL01'!J:J),
SUMIF('TL02'!C:C,C333,'TL02'!J:J),
SUMIF('TL03'!C:C,C333,'TL03'!J:J),
SUMIF('TL04'!C:C,C333,'TL04'!J:J),
SUMIF('TL05'!C:C,C333,'TL05'!J:J),
SUMIF('TL06'!C:C,C333,'TL06'!J:J),
SUMIF('TL07'!C:C,C333,'TL07'!J:J),
SUMIF('TL08'!C:C,C333,'TL08'!J:J),
SUMIF('TL09'!C:C,C333,'TL09'!J:J),
SUMIF('TL10'!C:C,C333,'TL10'!J:J),
SUMIF('TL11'!C:C,C333,'TL11'!J:J),
SUMIF('TL12'!C:C,C333,'TL12'!J:J),
SUMIF('TL13'!C:C,C333,'TL13'!J:J),
SUMIF('TL14'!C:C,C333,'TL14'!J:J),
SUMIF('TL15'!C:C,C333,'TL15'!J:J),
SUMIF('TL16'!C:C,C333,'TL16'!J:J),
SUMIF('TL17'!C:C,C333,'TL17'!J:J),
SUMIF('TL18'!C:C,C333,'TL18'!J:J),SUMIF('TL19'!C:C,C333,'TL19'!J:J))
,0)</f>
        <v>15.04</v>
      </c>
      <c r="S333" s="17" t="str">
        <f>IFERROR(__xludf.DUMMYFUNCTION("IFERROR(VLOOKUP(C333,
IMPORTRANGE(""1wULbzX32WdYsx-lj2U3uUNBBe2INVIRDtcK0d-Dvl90"",
""26-27!C:G""),
5,
FALSE),
"""")"),"")</f>
        <v/>
      </c>
      <c r="T333" s="9"/>
      <c r="U333" s="92">
        <f t="shared" si="2"/>
        <v>15.04</v>
      </c>
      <c r="V333" s="93">
        <f t="shared" si="3"/>
        <v>0</v>
      </c>
    </row>
    <row r="334" ht="15.75" hidden="1" customHeight="1">
      <c r="A334" s="4"/>
      <c r="B334" s="125" t="s">
        <v>5</v>
      </c>
      <c r="C334" s="4" t="s">
        <v>1060</v>
      </c>
      <c r="D334" s="6"/>
      <c r="E334" s="9"/>
      <c r="F334" s="4"/>
      <c r="G334" s="90" t="str">
        <f t="shared" si="5"/>
        <v>📄 Ver bula</v>
      </c>
      <c r="H334" s="9"/>
      <c r="I334" s="1"/>
      <c r="J334" s="9">
        <f>IFERROR(SUM(
IF('TL01'!$B$3=J$3,SUMIF('TL01'!$C$10:$C$224,$C334,'TL01'!$J$10:$J$224),0),
IF('TL01'!$B$229=J$3,SUMIF('TL01'!$C$238:$C$451,$C334,'TL01'!$J$238:$J$451),0),
IF('TL02'!$B$3=J$3,SUMIF('TL02'!$C$10:$C$224,$C334,'TL02'!$J$10:$J$224),0),
IF('TL02'!$B$229=J$3,SUMIF('TL02'!$C$238:$C$451,$C334,'TL02'!$J$238:$J$451),0),
IF('TL03'!$B$3=J$3,SUMIF('TL03'!$C$10:$C$224,$C334,'TL03'!$J$10:$J$224),0),
IF('TL03'!$B$229=J$3,SUMIF('TL03'!$C$238:$C$451,$C334,'TL03'!$J$238:$J$451),0),
IF('TL04'!$B$3=J$3,SUMIF('TL04'!$C$10:$C$224,$C334,'TL04'!$J$10:$J$224),0),
IF('TL04'!$B$229=J$3,SUMIF('TL04'!$C$238:$C$451,$C334,'TL04'!$J$238:$J$451),0),
IF('TL05'!$B$3=J$3,SUMIF('TL05'!$C$10:$C$224,$C334,'TL05'!$J$10:$J$224),0),
IF('TL05'!$B$229=J$3,SUMIF('TL05'!$C$238:$C$451,$C334,'TL05'!$J$238:$J$451),0),
IF('TL06'!$B$3=J$3,SUMIF('TL06'!$C$10:$C$224,$C334,'TL06'!$J$10:$J$224),0),
IF('TL06'!$B$229=J$3,SUMIF('TL06'!$C$238:$C$451,$C334,'TL06'!$J$238:$J$451),0),
IF('TL07'!$B$3=J$3,SUMIF('TL07'!$C$10:$C$224,$C334,'TL07'!$J$10:$J$224),0),
IF('TL07'!$B$229=J$3,SUMIF('TL07'!$C$238:$C$451,$C334,'TL07'!$J$238:$J$451),0),
IF('TL08'!$B$3=J$3,SUMIF('TL08'!$C$10:$C$224,$C334,'TL08'!$J$10:$J$224),0),
IF('TL08'!$B$229=J$3,SUMIF('TL08'!$C$238:$C$451,$C334,'TL08'!$J$238:$J$451),0),
IF('TL09'!$B$3=J$3,SUMIF('TL09'!$C$10:$C$224,$C334,'TL09'!$J$10:$J$224),0),
IF('TL09'!$B$229=J$3,SUMIF('TL09'!$C$238:$C$451,$C334,'TL09'!$J$238:$J$451),0),
IF('TL10'!$B$3=J$3,SUMIF('TL10'!$C$10:$C$224,$C334,'TL10'!$J$10:$J$224),0),
IF('TL10'!$B$229=J$3,SUMIF('TL10'!$C$238:$C$451,$C334,'TL10'!$J$238:$J$451),0),
IF('TL11'!$B$3=J$3,SUMIF('TL11'!$C$10:$C$224,$C334,'TL11'!$J$10:$J$224),0),
IF('TL11'!$B$229=J$3,SUMIF('TL11'!$C$238:$C$451,$C334,'TL11'!$J$238:$J$451),0),
IF('TL12'!$B$3=J$3,SUMIF('TL12'!$C$10:$C$224,$C334,'TL12'!$J$10:$J$224),0),
IF('TL12'!$B$229=J$3,SUMIF('TL12'!$C$238:$C$451,$C334,'TL12'!$J$238:$J$451),0),
IF('TL13'!$B$3=J$3,SUMIF('TL13'!$C$10:$C$224,$C334,'TL13'!$J$10:$J$224),0),
IF('TL13'!$B$229=J$3,SUMIF('TL13'!$C$238:$C$451,$C334,'TL13'!$J$238:$J$451),0),
IF('TL14'!$B$3=J$3,SUMIF('TL14'!$C$10:$C$224,$C334,'TL14'!$J$10:$J$224),0),
IF('TL14'!$B$229=J$3,SUMIF('TL14'!$C$238:$C$451,$C334,'TL14'!$J$238:$J$451),0),
IF('TL15'!$B$3=J$3,SUMIF('TL15'!$C$10:$C$224,$C334,'TL15'!$J$10:$J$224),0),
IF('TL15'!$B$229=J$3,SUMIF('TL15'!$C$238:$C$451,$C334,'TL15'!$J$238:$J$451),0),
IF('TL16'!$B$3=J$3,SUMIF('TL16'!$C$10:$C$224,$C334,'TL16'!$J$10:$J$224),0),
IF('TL16'!$B$229=J$3,SUMIF('TL16'!$C$238:$C$451,$C334,'TL16'!$J$238:$J$451),0),
IF('TL17'!$B$3=J$3,SUMIF('TL17'!$C$10:$C$224,$C334,'TL17'!$J$10:$J$224),0),
IF('TL17'!$B$229=J$3,SUMIF('TL17'!$C$238:$C$451,$C334,'TL17'!$J$238:$J$451),0),
IF('TL18'!$B$3=J$3,SUMIF('TL18'!$C$10:$C$224,$C334,'TL18'!$J$10:$J$224),0),
IF('TL18'!$B$229=J$3,SUMIF('TL18'!$C$238:$C$451,$C334,'TL18'!$J$238:$J$451),0),
IF('TL19'!$B$3=J$3,SUMIF('TL19'!$C$10:$C$224,$C334,'TL19'!$J$10:$J$224),0),
IF('TL19'!$B$229=J$3,SUMIF('TL19'!$C$238:$C$451,$C334,'TL19'!$J$238:$J$451),0)
),0)</f>
        <v>0</v>
      </c>
      <c r="K334" s="9">
        <f>IFERROR(SUM(
IF('TL01'!$B$3=K$3,SUMIF('TL01'!$C$10:$C$224,$C334,'TL01'!$J$10:$J$224),0),
IF('TL01'!$B$229=K$3,SUMIF('TL01'!$C$238:$C$451,$C334,'TL01'!$J$238:$J$451),0),
IF('TL02'!$B$3=K$3,SUMIF('TL02'!$C$10:$C$224,$C334,'TL02'!$J$10:$J$224),0),
IF('TL02'!$B$229=K$3,SUMIF('TL02'!$C$238:$C$451,$C334,'TL02'!$J$238:$J$451),0),
IF('TL03'!$B$3=K$3,SUMIF('TL03'!$C$10:$C$224,$C334,'TL03'!$J$10:$J$224),0),
IF('TL03'!$B$229=K$3,SUMIF('TL03'!$C$238:$C$451,$C334,'TL03'!$J$238:$J$451),0),
IF('TL04'!$B$3=K$3,SUMIF('TL04'!$C$10:$C$224,$C334,'TL04'!$J$10:$J$224),0),
IF('TL04'!$B$229=K$3,SUMIF('TL04'!$C$238:$C$451,$C334,'TL04'!$J$238:$J$451),0),
IF('TL05'!$B$3=K$3,SUMIF('TL05'!$C$10:$C$224,$C334,'TL05'!$J$10:$J$224),0),
IF('TL05'!$B$229=K$3,SUMIF('TL05'!$C$238:$C$451,$C334,'TL05'!$J$238:$J$451),0),
IF('TL06'!$B$3=K$3,SUMIF('TL06'!$C$10:$C$224,$C334,'TL06'!$J$10:$J$224),0),
IF('TL06'!$B$229=K$3,SUMIF('TL06'!$C$238:$C$451,$C334,'TL06'!$J$238:$J$451),0),
IF('TL07'!$B$3=K$3,SUMIF('TL07'!$C$10:$C$224,$C334,'TL07'!$J$10:$J$224),0),
IF('TL07'!$B$229=K$3,SUMIF('TL07'!$C$238:$C$451,$C334,'TL07'!$J$238:$J$451),0),
IF('TL08'!$B$3=K$3,SUMIF('TL08'!$C$10:$C$224,$C334,'TL08'!$J$10:$J$224),0),
IF('TL08'!$B$229=K$3,SUMIF('TL08'!$C$238:$C$451,$C334,'TL08'!$J$238:$J$451),0),
IF('TL09'!$B$3=K$3,SUMIF('TL09'!$C$10:$C$224,$C334,'TL09'!$J$10:$J$224),0),
IF('TL09'!$B$229=K$3,SUMIF('TL09'!$C$238:$C$451,$C334,'TL09'!$J$238:$J$451),0),
IF('TL10'!$B$3=K$3,SUMIF('TL10'!$C$10:$C$224,$C334,'TL10'!$J$10:$J$224),0),
IF('TL10'!$B$229=K$3,SUMIF('TL10'!$C$238:$C$451,$C334,'TL10'!$J$238:$J$451),0),
IF('TL11'!$B$3=K$3,SUMIF('TL11'!$C$10:$C$224,$C334,'TL11'!$J$10:$J$224),0),
IF('TL11'!$B$229=K$3,SUMIF('TL11'!$C$238:$C$451,$C334,'TL11'!$J$238:$J$451),0),
IF('TL12'!$B$3=K$3,SUMIF('TL12'!$C$10:$C$224,$C334,'TL12'!$J$10:$J$224),0),
IF('TL12'!$B$229=K$3,SUMIF('TL12'!$C$238:$C$451,$C334,'TL12'!$J$238:$J$451),0),
IF('TL13'!$B$3=K$3,SUMIF('TL13'!$C$10:$C$224,$C334,'TL13'!$J$10:$J$224),0),
IF('TL13'!$B$229=K$3,SUMIF('TL13'!$C$238:$C$451,$C334,'TL13'!$J$238:$J$451),0),
IF('TL14'!$B$3=K$3,SUMIF('TL14'!$C$10:$C$224,$C334,'TL14'!$J$10:$J$224),0),
IF('TL14'!$B$229=K$3,SUMIF('TL14'!$C$238:$C$451,$C334,'TL14'!$J$238:$J$451),0),
IF('TL15'!$B$3=K$3,SUMIF('TL15'!$C$10:$C$224,$C334,'TL15'!$J$10:$J$224),0),
IF('TL15'!$B$229=K$3,SUMIF('TL15'!$C$238:$C$451,$C334,'TL15'!$J$238:$J$451),0),
IF('TL16'!$B$3=K$3,SUMIF('TL16'!$C$10:$C$224,$C334,'TL16'!$J$10:$J$224),0),
IF('TL16'!$B$229=K$3,SUMIF('TL16'!$C$238:$C$451,$C334,'TL16'!$J$238:$J$451),0),
IF('TL17'!$B$3=K$3,SUMIF('TL17'!$C$10:$C$224,$C334,'TL17'!$J$10:$J$224),0),
IF('TL17'!$B$229=K$3,SUMIF('TL17'!$C$238:$C$451,$C334,'TL17'!$J$238:$J$451),0),
IF('TL18'!$B$3=K$3,SUMIF('TL18'!$C$10:$C$224,$C334,'TL18'!$J$10:$J$224),0),
IF('TL18'!$B$229=K$3,SUMIF('TL18'!$C$238:$C$451,$C334,'TL18'!$J$238:$J$451),0),
IF('TL19'!$B$3=K$3,SUMIF('TL19'!$C$10:$C$224,$C334,'TL19'!$J$10:$J$224),0),
IF('TL19'!$B$229=K$3,SUMIF('TL19'!$C$238:$C$451,$C334,'TL19'!$J$238:$J$451),0)
),0)</f>
        <v>0</v>
      </c>
      <c r="L334" s="9">
        <f>IFERROR(SUM(
IF('TL01'!$B$3=L$3,SUMIF('TL01'!$C$10:$C$224,$C334,'TL01'!$J$10:$J$224),0),
IF('TL01'!$B$229=L$3,SUMIF('TL01'!$C$238:$C$451,$C334,'TL01'!$J$238:$J$451),0),
IF('TL02'!$B$3=L$3,SUMIF('TL02'!$C$10:$C$224,$C334,'TL02'!$J$10:$J$224),0),
IF('TL02'!$B$229=L$3,SUMIF('TL02'!$C$238:$C$451,$C334,'TL02'!$J$238:$J$451),0),
IF('TL03'!$B$3=L$3,SUMIF('TL03'!$C$10:$C$224,$C334,'TL03'!$J$10:$J$224),0),
IF('TL03'!$B$229=L$3,SUMIF('TL03'!$C$238:$C$451,$C334,'TL03'!$J$238:$J$451),0),
IF('TL04'!$B$3=L$3,SUMIF('TL04'!$C$10:$C$224,$C334,'TL04'!$J$10:$J$224),0),
IF('TL04'!$B$229=L$3,SUMIF('TL04'!$C$238:$C$451,$C334,'TL04'!$J$238:$J$451),0),
IF('TL05'!$B$3=L$3,SUMIF('TL05'!$C$10:$C$224,$C334,'TL05'!$J$10:$J$224),0),
IF('TL05'!$B$229=L$3,SUMIF('TL05'!$C$238:$C$451,$C334,'TL05'!$J$238:$J$451),0),
IF('TL06'!$B$3=L$3,SUMIF('TL06'!$C$10:$C$224,$C334,'TL06'!$J$10:$J$224),0),
IF('TL06'!$B$229=L$3,SUMIF('TL06'!$C$238:$C$451,$C334,'TL06'!$J$238:$J$451),0),
IF('TL07'!$B$3=L$3,SUMIF('TL07'!$C$10:$C$224,$C334,'TL07'!$J$10:$J$224),0),
IF('TL07'!$B$229=L$3,SUMIF('TL07'!$C$238:$C$451,$C334,'TL07'!$J$238:$J$451),0),
IF('TL08'!$B$3=L$3,SUMIF('TL08'!$C$10:$C$224,$C334,'TL08'!$J$10:$J$224),0),
IF('TL08'!$B$229=L$3,SUMIF('TL08'!$C$238:$C$451,$C334,'TL08'!$J$238:$J$451),0),
IF('TL09'!$B$3=L$3,SUMIF('TL09'!$C$10:$C$224,$C334,'TL09'!$J$10:$J$224),0),
IF('TL09'!$B$229=L$3,SUMIF('TL09'!$C$238:$C$451,$C334,'TL09'!$J$238:$J$451),0),
IF('TL10'!$B$3=L$3,SUMIF('TL10'!$C$10:$C$224,$C334,'TL10'!$J$10:$J$224),0),
IF('TL10'!$B$229=L$3,SUMIF('TL10'!$C$238:$C$451,$C334,'TL10'!$J$238:$J$451),0),
IF('TL11'!$B$3=L$3,SUMIF('TL11'!$C$10:$C$224,$C334,'TL11'!$J$10:$J$224),0),
IF('TL11'!$B$229=L$3,SUMIF('TL11'!$C$238:$C$451,$C334,'TL11'!$J$238:$J$451),0),
IF('TL12'!$B$3=L$3,SUMIF('TL12'!$C$10:$C$224,$C334,'TL12'!$J$10:$J$224),0),
IF('TL12'!$B$229=L$3,SUMIF('TL12'!$C$238:$C$451,$C334,'TL12'!$J$238:$J$451),0),
IF('TL13'!$B$3=L$3,SUMIF('TL13'!$C$10:$C$224,$C334,'TL13'!$J$10:$J$224),0),
IF('TL13'!$B$229=L$3,SUMIF('TL13'!$C$238:$C$451,$C334,'TL13'!$J$238:$J$451),0),
IF('TL14'!$B$3=L$3,SUMIF('TL14'!$C$10:$C$224,$C334,'TL14'!$J$10:$J$224),0),
IF('TL14'!$B$229=L$3,SUMIF('TL14'!$C$238:$C$451,$C334,'TL14'!$J$238:$J$451),0),
IF('TL15'!$B$3=L$3,SUMIF('TL15'!$C$10:$C$224,$C334,'TL15'!$J$10:$J$224),0),
IF('TL15'!$B$229=L$3,SUMIF('TL15'!$C$238:$C$451,$C334,'TL15'!$J$238:$J$451),0),
IF('TL16'!$B$3=L$3,SUMIF('TL16'!$C$10:$C$224,$C334,'TL16'!$J$10:$J$224),0),
IF('TL16'!$B$229=L$3,SUMIF('TL16'!$C$238:$C$451,$C334,'TL16'!$J$238:$J$451),0),
IF('TL17'!$B$3=L$3,SUMIF('TL17'!$C$10:$C$224,$C334,'TL17'!$J$10:$J$224),0),
IF('TL17'!$B$229=L$3,SUMIF('TL17'!$C$238:$C$451,$C334,'TL17'!$J$238:$J$451),0),
IF('TL18'!$B$3=L$3,SUMIF('TL18'!$C$10:$C$224,$C334,'TL18'!$J$10:$J$224),0),
IF('TL18'!$B$229=L$3,SUMIF('TL18'!$C$238:$C$451,$C334,'TL18'!$J$238:$J$451),0),
IF('TL19'!$B$3=L$3,SUMIF('TL19'!$C$10:$C$224,$C334,'TL19'!$J$10:$J$224),0),
IF('TL19'!$B$229=L$3,SUMIF('TL19'!$C$238:$C$451,$C334,'TL19'!$J$238:$J$451),0)
),0)</f>
        <v>0</v>
      </c>
      <c r="M334" s="9">
        <f>IFERROR(SUM(
IF('TL01'!$B$3=M$3,SUMIF('TL01'!$C$10:$C$224,$C334,'TL01'!$J$10:$J$224),0),
IF('TL01'!$B$229=M$3,SUMIF('TL01'!$C$238:$C$451,$C334,'TL01'!$J$238:$J$451),0),
IF('TL02'!$B$3=M$3,SUMIF('TL02'!$C$10:$C$224,$C334,'TL02'!$J$10:$J$224),0),
IF('TL02'!$B$229=M$3,SUMIF('TL02'!$C$238:$C$451,$C334,'TL02'!$J$238:$J$451),0),
IF('TL03'!$B$3=M$3,SUMIF('TL03'!$C$10:$C$224,$C334,'TL03'!$J$10:$J$224),0),
IF('TL03'!$B$229=M$3,SUMIF('TL03'!$C$238:$C$451,$C334,'TL03'!$J$238:$J$451),0),
IF('TL04'!$B$3=M$3,SUMIF('TL04'!$C$10:$C$224,$C334,'TL04'!$J$10:$J$224),0),
IF('TL04'!$B$229=M$3,SUMIF('TL04'!$C$238:$C$451,$C334,'TL04'!$J$238:$J$451),0),
IF('TL05'!$B$3=M$3,SUMIF('TL05'!$C$10:$C$224,$C334,'TL05'!$J$10:$J$224),0),
IF('TL05'!$B$229=M$3,SUMIF('TL05'!$C$238:$C$451,$C334,'TL05'!$J$238:$J$451),0),
IF('TL06'!$B$3=M$3,SUMIF('TL06'!$C$10:$C$224,$C334,'TL06'!$J$10:$J$224),0),
IF('TL06'!$B$229=M$3,SUMIF('TL06'!$C$238:$C$451,$C334,'TL06'!$J$238:$J$451),0),
IF('TL07'!$B$3=M$3,SUMIF('TL07'!$C$10:$C$224,$C334,'TL07'!$J$10:$J$224),0),
IF('TL07'!$B$229=M$3,SUMIF('TL07'!$C$238:$C$451,$C334,'TL07'!$J$238:$J$451),0),
IF('TL08'!$B$3=M$3,SUMIF('TL08'!$C$10:$C$224,$C334,'TL08'!$J$10:$J$224),0),
IF('TL08'!$B$229=M$3,SUMIF('TL08'!$C$238:$C$451,$C334,'TL08'!$J$238:$J$451),0),
IF('TL09'!$B$3=M$3,SUMIF('TL09'!$C$10:$C$224,$C334,'TL09'!$J$10:$J$224),0),
IF('TL09'!$B$229=M$3,SUMIF('TL09'!$C$238:$C$451,$C334,'TL09'!$J$238:$J$451),0),
IF('TL10'!$B$3=M$3,SUMIF('TL10'!$C$10:$C$224,$C334,'TL10'!$J$10:$J$224),0),
IF('TL10'!$B$229=M$3,SUMIF('TL10'!$C$238:$C$451,$C334,'TL10'!$J$238:$J$451),0),
IF('TL11'!$B$3=M$3,SUMIF('TL11'!$C$10:$C$224,$C334,'TL11'!$J$10:$J$224),0),
IF('TL11'!$B$229=M$3,SUMIF('TL11'!$C$238:$C$451,$C334,'TL11'!$J$238:$J$451),0),
IF('TL12'!$B$3=M$3,SUMIF('TL12'!$C$10:$C$224,$C334,'TL12'!$J$10:$J$224),0),
IF('TL12'!$B$229=M$3,SUMIF('TL12'!$C$238:$C$451,$C334,'TL12'!$J$238:$J$451),0),
IF('TL13'!$B$3=M$3,SUMIF('TL13'!$C$10:$C$224,$C334,'TL13'!$J$10:$J$224),0),
IF('TL13'!$B$229=M$3,SUMIF('TL13'!$C$238:$C$451,$C334,'TL13'!$J$238:$J$451),0),
IF('TL14'!$B$3=M$3,SUMIF('TL14'!$C$10:$C$224,$C334,'TL14'!$J$10:$J$224),0),
IF('TL14'!$B$229=M$3,SUMIF('TL14'!$C$238:$C$451,$C334,'TL14'!$J$238:$J$451),0),
IF('TL15'!$B$3=M$3,SUMIF('TL15'!$C$10:$C$224,$C334,'TL15'!$J$10:$J$224),0),
IF('TL15'!$B$229=M$3,SUMIF('TL15'!$C$238:$C$451,$C334,'TL15'!$J$238:$J$451),0),
IF('TL16'!$B$3=M$3,SUMIF('TL16'!$C$10:$C$224,$C334,'TL16'!$J$10:$J$224),0),
IF('TL16'!$B$229=M$3,SUMIF('TL16'!$C$238:$C$451,$C334,'TL16'!$J$238:$J$451),0),
IF('TL17'!$B$3=M$3,SUMIF('TL17'!$C$10:$C$224,$C334,'TL17'!$J$10:$J$224),0),
IF('TL17'!$B$229=M$3,SUMIF('TL17'!$C$238:$C$451,$C334,'TL17'!$J$238:$J$451),0),
IF('TL18'!$B$3=M$3,SUMIF('TL18'!$C$10:$C$224,$C334,'TL18'!$J$10:$J$224),0),
IF('TL18'!$B$229=M$3,SUMIF('TL18'!$C$238:$C$451,$C334,'TL18'!$J$238:$J$451),0),
IF('TL19'!$B$3=M$3,SUMIF('TL19'!$C$10:$C$224,$C334,'TL19'!$J$10:$J$224),0),
IF('TL19'!$B$229=M$3,SUMIF('TL19'!$C$238:$C$451,$C334,'TL19'!$J$238:$J$451),0)
),0)</f>
        <v>0</v>
      </c>
      <c r="N334" s="9">
        <f>IFERROR(SUM(
IF('TL01'!$B$3=N$3,SUMIF('TL01'!$C$10:$C$224,$C334,'TL01'!$J$10:$J$224),0),
IF('TL01'!$B$229=N$3,SUMIF('TL01'!$C$238:$C$451,$C334,'TL01'!$J$238:$J$451),0),
IF('TL02'!$B$3=N$3,SUMIF('TL02'!$C$10:$C$224,$C334,'TL02'!$J$10:$J$224),0),
IF('TL02'!$B$229=N$3,SUMIF('TL02'!$C$238:$C$451,$C334,'TL02'!$J$238:$J$451),0),
IF('TL03'!$B$3=N$3,SUMIF('TL03'!$C$10:$C$224,$C334,'TL03'!$J$10:$J$224),0),
IF('TL03'!$B$229=N$3,SUMIF('TL03'!$C$238:$C$451,$C334,'TL03'!$J$238:$J$451),0),
IF('TL04'!$B$3=N$3,SUMIF('TL04'!$C$10:$C$224,$C334,'TL04'!$J$10:$J$224),0),
IF('TL04'!$B$229=N$3,SUMIF('TL04'!$C$238:$C$451,$C334,'TL04'!$J$238:$J$451),0),
IF('TL05'!$B$3=N$3,SUMIF('TL05'!$C$10:$C$224,$C334,'TL05'!$J$10:$J$224),0),
IF('TL05'!$B$229=N$3,SUMIF('TL05'!$C$238:$C$451,$C334,'TL05'!$J$238:$J$451),0),
IF('TL06'!$B$3=N$3,SUMIF('TL06'!$C$10:$C$224,$C334,'TL06'!$J$10:$J$224),0),
IF('TL06'!$B$229=N$3,SUMIF('TL06'!$C$238:$C$451,$C334,'TL06'!$J$238:$J$451),0),
IF('TL07'!$B$3=N$3,SUMIF('TL07'!$C$10:$C$224,$C334,'TL07'!$J$10:$J$224),0),
IF('TL07'!$B$229=N$3,SUMIF('TL07'!$C$238:$C$451,$C334,'TL07'!$J$238:$J$451),0),
IF('TL08'!$B$3=N$3,SUMIF('TL08'!$C$10:$C$224,$C334,'TL08'!$J$10:$J$224),0),
IF('TL08'!$B$229=N$3,SUMIF('TL08'!$C$238:$C$451,$C334,'TL08'!$J$238:$J$451),0),
IF('TL09'!$B$3=N$3,SUMIF('TL09'!$C$10:$C$224,$C334,'TL09'!$J$10:$J$224),0),
IF('TL09'!$B$229=N$3,SUMIF('TL09'!$C$238:$C$451,$C334,'TL09'!$J$238:$J$451),0),
IF('TL10'!$B$3=N$3,SUMIF('TL10'!$C$10:$C$224,$C334,'TL10'!$J$10:$J$224),0),
IF('TL10'!$B$229=N$3,SUMIF('TL10'!$C$238:$C$451,$C334,'TL10'!$J$238:$J$451),0),
IF('TL11'!$B$3=N$3,SUMIF('TL11'!$C$10:$C$224,$C334,'TL11'!$J$10:$J$224),0),
IF('TL11'!$B$229=N$3,SUMIF('TL11'!$C$238:$C$451,$C334,'TL11'!$J$238:$J$451),0),
IF('TL12'!$B$3=N$3,SUMIF('TL12'!$C$10:$C$224,$C334,'TL12'!$J$10:$J$224),0),
IF('TL12'!$B$229=N$3,SUMIF('TL12'!$C$238:$C$451,$C334,'TL12'!$J$238:$J$451),0),
IF('TL13'!$B$3=N$3,SUMIF('TL13'!$C$10:$C$224,$C334,'TL13'!$J$10:$J$224),0),
IF('TL13'!$B$229=N$3,SUMIF('TL13'!$C$238:$C$451,$C334,'TL13'!$J$238:$J$451),0),
IF('TL14'!$B$3=N$3,SUMIF('TL14'!$C$10:$C$224,$C334,'TL14'!$J$10:$J$224),0),
IF('TL14'!$B$229=N$3,SUMIF('TL14'!$C$238:$C$451,$C334,'TL14'!$J$238:$J$451),0),
IF('TL15'!$B$3=N$3,SUMIF('TL15'!$C$10:$C$224,$C334,'TL15'!$J$10:$J$224),0),
IF('TL15'!$B$229=N$3,SUMIF('TL15'!$C$238:$C$451,$C334,'TL15'!$J$238:$J$451),0),
IF('TL16'!$B$3=N$3,SUMIF('TL16'!$C$10:$C$224,$C334,'TL16'!$J$10:$J$224),0),
IF('TL16'!$B$229=N$3,SUMIF('TL16'!$C$238:$C$451,$C334,'TL16'!$J$238:$J$451),0),
IF('TL17'!$B$3=N$3,SUMIF('TL17'!$C$10:$C$224,$C334,'TL17'!$J$10:$J$224),0),
IF('TL17'!$B$229=N$3,SUMIF('TL17'!$C$238:$C$451,$C334,'TL17'!$J$238:$J$451),0),
IF('TL18'!$B$3=N$3,SUMIF('TL18'!$C$10:$C$224,$C334,'TL18'!$J$10:$J$224),0),
IF('TL18'!$B$229=N$3,SUMIF('TL18'!$C$238:$C$451,$C334,'TL18'!$J$238:$J$451),0),
IF('TL19'!$B$3=N$3,SUMIF('TL19'!$C$10:$C$224,$C334,'TL19'!$J$10:$J$224),0),
IF('TL19'!$B$229=N$3,SUMIF('TL19'!$C$238:$C$451,$C334,'TL19'!$J$238:$J$451),0)
),0)</f>
        <v>0</v>
      </c>
      <c r="O334" s="9">
        <f>IFERROR(SUM(
IF('TL01'!$B$3=O$3,SUMIF('TL01'!$C$10:$C$224,$C334,'TL01'!$J$10:$J$224),0),
IF('TL01'!$B$229=O$3,SUMIF('TL01'!$C$238:$C$451,$C334,'TL01'!$J$238:$J$451),0),
IF('TL02'!$B$3=O$3,SUMIF('TL02'!$C$10:$C$224,$C334,'TL02'!$J$10:$J$224),0),
IF('TL02'!$B$229=O$3,SUMIF('TL02'!$C$238:$C$451,$C334,'TL02'!$J$238:$J$451),0),
IF('TL03'!$B$3=O$3,SUMIF('TL03'!$C$10:$C$224,$C334,'TL03'!$J$10:$J$224),0),
IF('TL03'!$B$229=O$3,SUMIF('TL03'!$C$238:$C$451,$C334,'TL03'!$J$238:$J$451),0),
IF('TL04'!$B$3=O$3,SUMIF('TL04'!$C$10:$C$224,$C334,'TL04'!$J$10:$J$224),0),
IF('TL04'!$B$229=O$3,SUMIF('TL04'!$C$238:$C$451,$C334,'TL04'!$J$238:$J$451),0),
IF('TL05'!$B$3=O$3,SUMIF('TL05'!$C$10:$C$224,$C334,'TL05'!$J$10:$J$224),0),
IF('TL05'!$B$229=O$3,SUMIF('TL05'!$C$238:$C$451,$C334,'TL05'!$J$238:$J$451),0),
IF('TL06'!$B$3=O$3,SUMIF('TL06'!$C$10:$C$224,$C334,'TL06'!$J$10:$J$224),0),
IF('TL06'!$B$229=O$3,SUMIF('TL06'!$C$238:$C$451,$C334,'TL06'!$J$238:$J$451),0),
IF('TL07'!$B$3=O$3,SUMIF('TL07'!$C$10:$C$224,$C334,'TL07'!$J$10:$J$224),0),
IF('TL07'!$B$229=O$3,SUMIF('TL07'!$C$238:$C$451,$C334,'TL07'!$J$238:$J$451),0),
IF('TL08'!$B$3=O$3,SUMIF('TL08'!$C$10:$C$224,$C334,'TL08'!$J$10:$J$224),0),
IF('TL08'!$B$229=O$3,SUMIF('TL08'!$C$238:$C$451,$C334,'TL08'!$J$238:$J$451),0),
IF('TL09'!$B$3=O$3,SUMIF('TL09'!$C$10:$C$224,$C334,'TL09'!$J$10:$J$224),0),
IF('TL09'!$B$229=O$3,SUMIF('TL09'!$C$238:$C$451,$C334,'TL09'!$J$238:$J$451),0),
IF('TL10'!$B$3=O$3,SUMIF('TL10'!$C$10:$C$224,$C334,'TL10'!$J$10:$J$224),0),
IF('TL10'!$B$229=O$3,SUMIF('TL10'!$C$238:$C$451,$C334,'TL10'!$J$238:$J$451),0),
IF('TL11'!$B$3=O$3,SUMIF('TL11'!$C$10:$C$224,$C334,'TL11'!$J$10:$J$224),0),
IF('TL11'!$B$229=O$3,SUMIF('TL11'!$C$238:$C$451,$C334,'TL11'!$J$238:$J$451),0),
IF('TL12'!$B$3=O$3,SUMIF('TL12'!$C$10:$C$224,$C334,'TL12'!$J$10:$J$224),0),
IF('TL12'!$B$229=O$3,SUMIF('TL12'!$C$238:$C$451,$C334,'TL12'!$J$238:$J$451),0),
IF('TL13'!$B$3=O$3,SUMIF('TL13'!$C$10:$C$224,$C334,'TL13'!$J$10:$J$224),0),
IF('TL13'!$B$229=O$3,SUMIF('TL13'!$C$238:$C$451,$C334,'TL13'!$J$238:$J$451),0),
IF('TL14'!$B$3=O$3,SUMIF('TL14'!$C$10:$C$224,$C334,'TL14'!$J$10:$J$224),0),
IF('TL14'!$B$229=O$3,SUMIF('TL14'!$C$238:$C$451,$C334,'TL14'!$J$238:$J$451),0),
IF('TL15'!$B$3=O$3,SUMIF('TL15'!$C$10:$C$224,$C334,'TL15'!$J$10:$J$224),0),
IF('TL15'!$B$229=O$3,SUMIF('TL15'!$C$238:$C$451,$C334,'TL15'!$J$238:$J$451),0),
IF('TL16'!$B$3=O$3,SUMIF('TL16'!$C$10:$C$224,$C334,'TL16'!$J$10:$J$224),0),
IF('TL16'!$B$229=O$3,SUMIF('TL16'!$C$238:$C$451,$C334,'TL16'!$J$238:$J$451),0),
IF('TL17'!$B$3=O$3,SUMIF('TL17'!$C$10:$C$224,$C334,'TL17'!$J$10:$J$224),0),
IF('TL17'!$B$229=O$3,SUMIF('TL17'!$C$238:$C$451,$C334,'TL17'!$J$238:$J$451),0),
IF('TL18'!$B$3=O$3,SUMIF('TL18'!$C$10:$C$224,$C334,'TL18'!$J$10:$J$224),0),
IF('TL18'!$B$229=O$3,SUMIF('TL18'!$C$238:$C$451,$C334,'TL18'!$J$238:$J$451),0),
IF('TL19'!$B$3=O$3,SUMIF('TL19'!$C$10:$C$224,$C334,'TL19'!$J$10:$J$224),0),
IF('TL19'!$B$229=O$3,SUMIF('TL19'!$C$238:$C$451,$C334,'TL19'!$J$238:$J$451),0)
),0)</f>
        <v>0</v>
      </c>
      <c r="P334" s="9">
        <f>IFERROR(SUM(
IF('TL01'!$B$3=P$3,SUMIF('TL01'!$C$10:$C$224,$C334,'TL01'!$J$10:$J$224),0),
IF('TL01'!$B$229=P$3,SUMIF('TL01'!$C$238:$C$451,$C334,'TL01'!$J$238:$J$451),0),
IF('TL02'!$B$3=P$3,SUMIF('TL02'!$C$10:$C$224,$C334,'TL02'!$J$10:$J$224),0),
IF('TL02'!$B$229=P$3,SUMIF('TL02'!$C$238:$C$451,$C334,'TL02'!$J$238:$J$451),0),
IF('TL03'!$B$3=P$3,SUMIF('TL03'!$C$10:$C$224,$C334,'TL03'!$J$10:$J$224),0),
IF('TL03'!$B$229=P$3,SUMIF('TL03'!$C$238:$C$451,$C334,'TL03'!$J$238:$J$451),0),
IF('TL04'!$B$3=P$3,SUMIF('TL04'!$C$10:$C$224,$C334,'TL04'!$J$10:$J$224),0),
IF('TL04'!$B$229=P$3,SUMIF('TL04'!$C$238:$C$451,$C334,'TL04'!$J$238:$J$451),0),
IF('TL05'!$B$3=P$3,SUMIF('TL05'!$C$10:$C$224,$C334,'TL05'!$J$10:$J$224),0),
IF('TL05'!$B$229=P$3,SUMIF('TL05'!$C$238:$C$451,$C334,'TL05'!$J$238:$J$451),0),
IF('TL06'!$B$3=P$3,SUMIF('TL06'!$C$10:$C$224,$C334,'TL06'!$J$10:$J$224),0),
IF('TL06'!$B$229=P$3,SUMIF('TL06'!$C$238:$C$451,$C334,'TL06'!$J$238:$J$451),0),
IF('TL07'!$B$3=P$3,SUMIF('TL07'!$C$10:$C$224,$C334,'TL07'!$J$10:$J$224),0),
IF('TL07'!$B$229=P$3,SUMIF('TL07'!$C$238:$C$451,$C334,'TL07'!$J$238:$J$451),0),
IF('TL08'!$B$3=P$3,SUMIF('TL08'!$C$10:$C$224,$C334,'TL08'!$J$10:$J$224),0),
IF('TL08'!$B$229=P$3,SUMIF('TL08'!$C$238:$C$451,$C334,'TL08'!$J$238:$J$451),0),
IF('TL09'!$B$3=P$3,SUMIF('TL09'!$C$10:$C$224,$C334,'TL09'!$J$10:$J$224),0),
IF('TL09'!$B$229=P$3,SUMIF('TL09'!$C$238:$C$451,$C334,'TL09'!$J$238:$J$451),0),
IF('TL10'!$B$3=P$3,SUMIF('TL10'!$C$10:$C$224,$C334,'TL10'!$J$10:$J$224),0),
IF('TL10'!$B$229=P$3,SUMIF('TL10'!$C$238:$C$451,$C334,'TL10'!$J$238:$J$451),0),
IF('TL11'!$B$3=P$3,SUMIF('TL11'!$C$10:$C$224,$C334,'TL11'!$J$10:$J$224),0),
IF('TL11'!$B$229=P$3,SUMIF('TL11'!$C$238:$C$451,$C334,'TL11'!$J$238:$J$451),0),
IF('TL12'!$B$3=P$3,SUMIF('TL12'!$C$10:$C$224,$C334,'TL12'!$J$10:$J$224),0),
IF('TL12'!$B$229=P$3,SUMIF('TL12'!$C$238:$C$451,$C334,'TL12'!$J$238:$J$451),0),
IF('TL13'!$B$3=P$3,SUMIF('TL13'!$C$10:$C$224,$C334,'TL13'!$J$10:$J$224),0),
IF('TL13'!$B$229=P$3,SUMIF('TL13'!$C$238:$C$451,$C334,'TL13'!$J$238:$J$451),0),
IF('TL14'!$B$3=P$3,SUMIF('TL14'!$C$10:$C$224,$C334,'TL14'!$J$10:$J$224),0),
IF('TL14'!$B$229=P$3,SUMIF('TL14'!$C$238:$C$451,$C334,'TL14'!$J$238:$J$451),0),
IF('TL15'!$B$3=P$3,SUMIF('TL15'!$C$10:$C$224,$C334,'TL15'!$J$10:$J$224),0),
IF('TL15'!$B$229=P$3,SUMIF('TL15'!$C$238:$C$451,$C334,'TL15'!$J$238:$J$451),0),
IF('TL16'!$B$3=P$3,SUMIF('TL16'!$C$10:$C$224,$C334,'TL16'!$J$10:$J$224),0),
IF('TL16'!$B$229=P$3,SUMIF('TL16'!$C$238:$C$451,$C334,'TL16'!$J$238:$J$451),0),
IF('TL17'!$B$3=P$3,SUMIF('TL17'!$C$10:$C$224,$C334,'TL17'!$J$10:$J$224),0),
IF('TL17'!$B$229=P$3,SUMIF('TL17'!$C$238:$C$451,$C334,'TL17'!$J$238:$J$451),0),
IF('TL18'!$B$3=P$3,SUMIF('TL18'!$C$10:$C$224,$C334,'TL18'!$J$10:$J$224),0),
IF('TL18'!$B$229=P$3,SUMIF('TL18'!$C$238:$C$451,$C334,'TL18'!$J$238:$J$451),0),
IF('TL19'!$B$3=P$3,SUMIF('TL19'!$C$10:$C$224,$C334,'TL19'!$J$10:$J$224),0),
IF('TL19'!$B$229=P$3,SUMIF('TL19'!$C$238:$C$451,$C334,'TL19'!$J$238:$J$451),0)
),0)</f>
        <v>0</v>
      </c>
      <c r="Q334" s="9">
        <f>IFERROR(SUM(
IF('TL01'!$B$3=Q$3,SUMIF('TL01'!$C$10:$C$224,$C334,'TL01'!$J$10:$J$224),0),
IF('TL01'!$B$229=Q$3,SUMIF('TL01'!$C$238:$C$451,$C334,'TL01'!$J$238:$J$451),0),
IF('TL02'!$B$3=Q$3,SUMIF('TL02'!$C$10:$C$224,$C334,'TL02'!$J$10:$J$224),0),
IF('TL02'!$B$229=Q$3,SUMIF('TL02'!$C$238:$C$451,$C334,'TL02'!$J$238:$J$451),0),
IF('TL03'!$B$3=Q$3,SUMIF('TL03'!$C$10:$C$224,$C334,'TL03'!$J$10:$J$224),0),
IF('TL03'!$B$229=Q$3,SUMIF('TL03'!$C$238:$C$451,$C334,'TL03'!$J$238:$J$451),0),
IF('TL04'!$B$3=Q$3,SUMIF('TL04'!$C$10:$C$224,$C334,'TL04'!$J$10:$J$224),0),
IF('TL04'!$B$229=Q$3,SUMIF('TL04'!$C$238:$C$451,$C334,'TL04'!$J$238:$J$451),0),
IF('TL05'!$B$3=Q$3,SUMIF('TL05'!$C$10:$C$224,$C334,'TL05'!$J$10:$J$224),0),
IF('TL05'!$B$229=Q$3,SUMIF('TL05'!$C$238:$C$451,$C334,'TL05'!$J$238:$J$451),0),
IF('TL06'!$B$3=Q$3,SUMIF('TL06'!$C$10:$C$224,$C334,'TL06'!$J$10:$J$224),0),
IF('TL06'!$B$229=Q$3,SUMIF('TL06'!$C$238:$C$451,$C334,'TL06'!$J$238:$J$451),0),
IF('TL07'!$B$3=Q$3,SUMIF('TL07'!$C$10:$C$224,$C334,'TL07'!$J$10:$J$224),0),
IF('TL07'!$B$229=Q$3,SUMIF('TL07'!$C$238:$C$451,$C334,'TL07'!$J$238:$J$451),0),
IF('TL08'!$B$3=Q$3,SUMIF('TL08'!$C$10:$C$224,$C334,'TL08'!$J$10:$J$224),0),
IF('TL08'!$B$229=Q$3,SUMIF('TL08'!$C$238:$C$451,$C334,'TL08'!$J$238:$J$451),0),
IF('TL09'!$B$3=Q$3,SUMIF('TL09'!$C$10:$C$224,$C334,'TL09'!$J$10:$J$224),0),
IF('TL09'!$B$229=Q$3,SUMIF('TL09'!$C$238:$C$451,$C334,'TL09'!$J$238:$J$451),0),
IF('TL10'!$B$3=Q$3,SUMIF('TL10'!$C$10:$C$224,$C334,'TL10'!$J$10:$J$224),0),
IF('TL10'!$B$229=Q$3,SUMIF('TL10'!$C$238:$C$451,$C334,'TL10'!$J$238:$J$451),0),
IF('TL11'!$B$3=Q$3,SUMIF('TL11'!$C$10:$C$224,$C334,'TL11'!$J$10:$J$224),0),
IF('TL11'!$B$229=Q$3,SUMIF('TL11'!$C$238:$C$451,$C334,'TL11'!$J$238:$J$451),0),
IF('TL12'!$B$3=Q$3,SUMIF('TL12'!$C$10:$C$224,$C334,'TL12'!$J$10:$J$224),0),
IF('TL12'!$B$229=Q$3,SUMIF('TL12'!$C$238:$C$451,$C334,'TL12'!$J$238:$J$451),0),
IF('TL13'!$B$3=Q$3,SUMIF('TL13'!$C$10:$C$224,$C334,'TL13'!$J$10:$J$224),0),
IF('TL13'!$B$229=Q$3,SUMIF('TL13'!$C$238:$C$451,$C334,'TL13'!$J$238:$J$451),0),
IF('TL14'!$B$3=Q$3,SUMIF('TL14'!$C$10:$C$224,$C334,'TL14'!$J$10:$J$224),0),
IF('TL14'!$B$229=Q$3,SUMIF('TL14'!$C$238:$C$451,$C334,'TL14'!$J$238:$J$451),0),
IF('TL15'!$B$3=Q$3,SUMIF('TL15'!$C$10:$C$224,$C334,'TL15'!$J$10:$J$224),0),
IF('TL15'!$B$229=Q$3,SUMIF('TL15'!$C$238:$C$451,$C334,'TL15'!$J$238:$J$451),0),
IF('TL16'!$B$3=Q$3,SUMIF('TL16'!$C$10:$C$224,$C334,'TL16'!$J$10:$J$224),0),
IF('TL16'!$B$229=Q$3,SUMIF('TL16'!$C$238:$C$451,$C334,'TL16'!$J$238:$J$451),0),
IF('TL17'!$B$3=Q$3,SUMIF('TL17'!$C$10:$C$224,$C334,'TL17'!$J$10:$J$224),0),
IF('TL17'!$B$229=Q$3,SUMIF('TL17'!$C$238:$C$451,$C334,'TL17'!$J$238:$J$451),0),
IF('TL18'!$B$3=Q$3,SUMIF('TL18'!$C$10:$C$224,$C334,'TL18'!$J$10:$J$224),0),
IF('TL18'!$B$229=Q$3,SUMIF('TL18'!$C$238:$C$451,$C334,'TL18'!$J$238:$J$451),0),
IF('TL19'!$B$3=Q$3,SUMIF('TL19'!$C$10:$C$224,$C334,'TL19'!$J$10:$J$224),0),
IF('TL19'!$B$229=Q$3,SUMIF('TL19'!$C$238:$C$451,$C334,'TL19'!$J$238:$J$451),0)
),0)</f>
        <v>4.8</v>
      </c>
      <c r="R334" s="9">
        <f>IFERROR(
SUM(
SUMIF('TL01'!C:C,C334,'TL01'!J:J),
SUMIF('TL02'!C:C,C334,'TL02'!J:J),
SUMIF('TL03'!C:C,C334,'TL03'!J:J),
SUMIF('TL04'!C:C,C334,'TL04'!J:J),
SUMIF('TL05'!C:C,C334,'TL05'!J:J),
SUMIF('TL06'!C:C,C334,'TL06'!J:J),
SUMIF('TL07'!C:C,C334,'TL07'!J:J),
SUMIF('TL08'!C:C,C334,'TL08'!J:J),
SUMIF('TL09'!C:C,C334,'TL09'!J:J),
SUMIF('TL10'!C:C,C334,'TL10'!J:J),
SUMIF('TL11'!C:C,C334,'TL11'!J:J),
SUMIF('TL12'!C:C,C334,'TL12'!J:J),
SUMIF('TL13'!C:C,C334,'TL13'!J:J),
SUMIF('TL14'!C:C,C334,'TL14'!J:J),
SUMIF('TL15'!C:C,C334,'TL15'!J:J),
SUMIF('TL16'!C:C,C334,'TL16'!J:J),
SUMIF('TL17'!C:C,C334,'TL17'!J:J),
SUMIF('TL18'!C:C,C334,'TL18'!J:J),SUMIF('TL19'!C:C,C334,'TL19'!J:J))
,0)</f>
        <v>4.8</v>
      </c>
      <c r="S334" s="17" t="str">
        <f>IFERROR(__xludf.DUMMYFUNCTION("IFERROR(VLOOKUP(C334,
IMPORTRANGE(""1wULbzX32WdYsx-lj2U3uUNBBe2INVIRDtcK0d-Dvl90"",
""26-27!C:G""),
5,
FALSE),
"""")"),"")</f>
        <v/>
      </c>
      <c r="T334" s="9"/>
      <c r="U334" s="92">
        <f t="shared" si="2"/>
        <v>4.8</v>
      </c>
      <c r="V334" s="93">
        <f t="shared" si="3"/>
        <v>0</v>
      </c>
    </row>
    <row r="335" ht="15.75" hidden="1" customHeight="1">
      <c r="A335" s="4"/>
      <c r="B335" s="125" t="s">
        <v>5</v>
      </c>
      <c r="C335" s="4" t="s">
        <v>1061</v>
      </c>
      <c r="D335" s="6"/>
      <c r="E335" s="9"/>
      <c r="F335" s="4"/>
      <c r="G335" s="90" t="str">
        <f t="shared" si="5"/>
        <v>📄 Ver bula</v>
      </c>
      <c r="H335" s="9"/>
      <c r="I335" s="1"/>
      <c r="J335" s="9">
        <f>IFERROR(SUM(
IF('TL01'!$B$3=J$3,SUMIF('TL01'!$C$10:$C$224,$C335,'TL01'!$J$10:$J$224),0),
IF('TL01'!$B$229=J$3,SUMIF('TL01'!$C$238:$C$451,$C335,'TL01'!$J$238:$J$451),0),
IF('TL02'!$B$3=J$3,SUMIF('TL02'!$C$10:$C$224,$C335,'TL02'!$J$10:$J$224),0),
IF('TL02'!$B$229=J$3,SUMIF('TL02'!$C$238:$C$451,$C335,'TL02'!$J$238:$J$451),0),
IF('TL03'!$B$3=J$3,SUMIF('TL03'!$C$10:$C$224,$C335,'TL03'!$J$10:$J$224),0),
IF('TL03'!$B$229=J$3,SUMIF('TL03'!$C$238:$C$451,$C335,'TL03'!$J$238:$J$451),0),
IF('TL04'!$B$3=J$3,SUMIF('TL04'!$C$10:$C$224,$C335,'TL04'!$J$10:$J$224),0),
IF('TL04'!$B$229=J$3,SUMIF('TL04'!$C$238:$C$451,$C335,'TL04'!$J$238:$J$451),0),
IF('TL05'!$B$3=J$3,SUMIF('TL05'!$C$10:$C$224,$C335,'TL05'!$J$10:$J$224),0),
IF('TL05'!$B$229=J$3,SUMIF('TL05'!$C$238:$C$451,$C335,'TL05'!$J$238:$J$451),0),
IF('TL06'!$B$3=J$3,SUMIF('TL06'!$C$10:$C$224,$C335,'TL06'!$J$10:$J$224),0),
IF('TL06'!$B$229=J$3,SUMIF('TL06'!$C$238:$C$451,$C335,'TL06'!$J$238:$J$451),0),
IF('TL07'!$B$3=J$3,SUMIF('TL07'!$C$10:$C$224,$C335,'TL07'!$J$10:$J$224),0),
IF('TL07'!$B$229=J$3,SUMIF('TL07'!$C$238:$C$451,$C335,'TL07'!$J$238:$J$451),0),
IF('TL08'!$B$3=J$3,SUMIF('TL08'!$C$10:$C$224,$C335,'TL08'!$J$10:$J$224),0),
IF('TL08'!$B$229=J$3,SUMIF('TL08'!$C$238:$C$451,$C335,'TL08'!$J$238:$J$451),0),
IF('TL09'!$B$3=J$3,SUMIF('TL09'!$C$10:$C$224,$C335,'TL09'!$J$10:$J$224),0),
IF('TL09'!$B$229=J$3,SUMIF('TL09'!$C$238:$C$451,$C335,'TL09'!$J$238:$J$451),0),
IF('TL10'!$B$3=J$3,SUMIF('TL10'!$C$10:$C$224,$C335,'TL10'!$J$10:$J$224),0),
IF('TL10'!$B$229=J$3,SUMIF('TL10'!$C$238:$C$451,$C335,'TL10'!$J$238:$J$451),0),
IF('TL11'!$B$3=J$3,SUMIF('TL11'!$C$10:$C$224,$C335,'TL11'!$J$10:$J$224),0),
IF('TL11'!$B$229=J$3,SUMIF('TL11'!$C$238:$C$451,$C335,'TL11'!$J$238:$J$451),0),
IF('TL12'!$B$3=J$3,SUMIF('TL12'!$C$10:$C$224,$C335,'TL12'!$J$10:$J$224),0),
IF('TL12'!$B$229=J$3,SUMIF('TL12'!$C$238:$C$451,$C335,'TL12'!$J$238:$J$451),0),
IF('TL13'!$B$3=J$3,SUMIF('TL13'!$C$10:$C$224,$C335,'TL13'!$J$10:$J$224),0),
IF('TL13'!$B$229=J$3,SUMIF('TL13'!$C$238:$C$451,$C335,'TL13'!$J$238:$J$451),0),
IF('TL14'!$B$3=J$3,SUMIF('TL14'!$C$10:$C$224,$C335,'TL14'!$J$10:$J$224),0),
IF('TL14'!$B$229=J$3,SUMIF('TL14'!$C$238:$C$451,$C335,'TL14'!$J$238:$J$451),0),
IF('TL15'!$B$3=J$3,SUMIF('TL15'!$C$10:$C$224,$C335,'TL15'!$J$10:$J$224),0),
IF('TL15'!$B$229=J$3,SUMIF('TL15'!$C$238:$C$451,$C335,'TL15'!$J$238:$J$451),0),
IF('TL16'!$B$3=J$3,SUMIF('TL16'!$C$10:$C$224,$C335,'TL16'!$J$10:$J$224),0),
IF('TL16'!$B$229=J$3,SUMIF('TL16'!$C$238:$C$451,$C335,'TL16'!$J$238:$J$451),0),
IF('TL17'!$B$3=J$3,SUMIF('TL17'!$C$10:$C$224,$C335,'TL17'!$J$10:$J$224),0),
IF('TL17'!$B$229=J$3,SUMIF('TL17'!$C$238:$C$451,$C335,'TL17'!$J$238:$J$451),0),
IF('TL18'!$B$3=J$3,SUMIF('TL18'!$C$10:$C$224,$C335,'TL18'!$J$10:$J$224),0),
IF('TL18'!$B$229=J$3,SUMIF('TL18'!$C$238:$C$451,$C335,'TL18'!$J$238:$J$451),0),
IF('TL19'!$B$3=J$3,SUMIF('TL19'!$C$10:$C$224,$C335,'TL19'!$J$10:$J$224),0),
IF('TL19'!$B$229=J$3,SUMIF('TL19'!$C$238:$C$451,$C335,'TL19'!$J$238:$J$451),0)
),0)</f>
        <v>0</v>
      </c>
      <c r="K335" s="9">
        <f>IFERROR(SUM(
IF('TL01'!$B$3=K$3,SUMIF('TL01'!$C$10:$C$224,$C335,'TL01'!$J$10:$J$224),0),
IF('TL01'!$B$229=K$3,SUMIF('TL01'!$C$238:$C$451,$C335,'TL01'!$J$238:$J$451),0),
IF('TL02'!$B$3=K$3,SUMIF('TL02'!$C$10:$C$224,$C335,'TL02'!$J$10:$J$224),0),
IF('TL02'!$B$229=K$3,SUMIF('TL02'!$C$238:$C$451,$C335,'TL02'!$J$238:$J$451),0),
IF('TL03'!$B$3=K$3,SUMIF('TL03'!$C$10:$C$224,$C335,'TL03'!$J$10:$J$224),0),
IF('TL03'!$B$229=K$3,SUMIF('TL03'!$C$238:$C$451,$C335,'TL03'!$J$238:$J$451),0),
IF('TL04'!$B$3=K$3,SUMIF('TL04'!$C$10:$C$224,$C335,'TL04'!$J$10:$J$224),0),
IF('TL04'!$B$229=K$3,SUMIF('TL04'!$C$238:$C$451,$C335,'TL04'!$J$238:$J$451),0),
IF('TL05'!$B$3=K$3,SUMIF('TL05'!$C$10:$C$224,$C335,'TL05'!$J$10:$J$224),0),
IF('TL05'!$B$229=K$3,SUMIF('TL05'!$C$238:$C$451,$C335,'TL05'!$J$238:$J$451),0),
IF('TL06'!$B$3=K$3,SUMIF('TL06'!$C$10:$C$224,$C335,'TL06'!$J$10:$J$224),0),
IF('TL06'!$B$229=K$3,SUMIF('TL06'!$C$238:$C$451,$C335,'TL06'!$J$238:$J$451),0),
IF('TL07'!$B$3=K$3,SUMIF('TL07'!$C$10:$C$224,$C335,'TL07'!$J$10:$J$224),0),
IF('TL07'!$B$229=K$3,SUMIF('TL07'!$C$238:$C$451,$C335,'TL07'!$J$238:$J$451),0),
IF('TL08'!$B$3=K$3,SUMIF('TL08'!$C$10:$C$224,$C335,'TL08'!$J$10:$J$224),0),
IF('TL08'!$B$229=K$3,SUMIF('TL08'!$C$238:$C$451,$C335,'TL08'!$J$238:$J$451),0),
IF('TL09'!$B$3=K$3,SUMIF('TL09'!$C$10:$C$224,$C335,'TL09'!$J$10:$J$224),0),
IF('TL09'!$B$229=K$3,SUMIF('TL09'!$C$238:$C$451,$C335,'TL09'!$J$238:$J$451),0),
IF('TL10'!$B$3=K$3,SUMIF('TL10'!$C$10:$C$224,$C335,'TL10'!$J$10:$J$224),0),
IF('TL10'!$B$229=K$3,SUMIF('TL10'!$C$238:$C$451,$C335,'TL10'!$J$238:$J$451),0),
IF('TL11'!$B$3=K$3,SUMIF('TL11'!$C$10:$C$224,$C335,'TL11'!$J$10:$J$224),0),
IF('TL11'!$B$229=K$3,SUMIF('TL11'!$C$238:$C$451,$C335,'TL11'!$J$238:$J$451),0),
IF('TL12'!$B$3=K$3,SUMIF('TL12'!$C$10:$C$224,$C335,'TL12'!$J$10:$J$224),0),
IF('TL12'!$B$229=K$3,SUMIF('TL12'!$C$238:$C$451,$C335,'TL12'!$J$238:$J$451),0),
IF('TL13'!$B$3=K$3,SUMIF('TL13'!$C$10:$C$224,$C335,'TL13'!$J$10:$J$224),0),
IF('TL13'!$B$229=K$3,SUMIF('TL13'!$C$238:$C$451,$C335,'TL13'!$J$238:$J$451),0),
IF('TL14'!$B$3=K$3,SUMIF('TL14'!$C$10:$C$224,$C335,'TL14'!$J$10:$J$224),0),
IF('TL14'!$B$229=K$3,SUMIF('TL14'!$C$238:$C$451,$C335,'TL14'!$J$238:$J$451),0),
IF('TL15'!$B$3=K$3,SUMIF('TL15'!$C$10:$C$224,$C335,'TL15'!$J$10:$J$224),0),
IF('TL15'!$B$229=K$3,SUMIF('TL15'!$C$238:$C$451,$C335,'TL15'!$J$238:$J$451),0),
IF('TL16'!$B$3=K$3,SUMIF('TL16'!$C$10:$C$224,$C335,'TL16'!$J$10:$J$224),0),
IF('TL16'!$B$229=K$3,SUMIF('TL16'!$C$238:$C$451,$C335,'TL16'!$J$238:$J$451),0),
IF('TL17'!$B$3=K$3,SUMIF('TL17'!$C$10:$C$224,$C335,'TL17'!$J$10:$J$224),0),
IF('TL17'!$B$229=K$3,SUMIF('TL17'!$C$238:$C$451,$C335,'TL17'!$J$238:$J$451),0),
IF('TL18'!$B$3=K$3,SUMIF('TL18'!$C$10:$C$224,$C335,'TL18'!$J$10:$J$224),0),
IF('TL18'!$B$229=K$3,SUMIF('TL18'!$C$238:$C$451,$C335,'TL18'!$J$238:$J$451),0),
IF('TL19'!$B$3=K$3,SUMIF('TL19'!$C$10:$C$224,$C335,'TL19'!$J$10:$J$224),0),
IF('TL19'!$B$229=K$3,SUMIF('TL19'!$C$238:$C$451,$C335,'TL19'!$J$238:$J$451),0)
),0)</f>
        <v>0</v>
      </c>
      <c r="L335" s="9">
        <f>IFERROR(SUM(
IF('TL01'!$B$3=L$3,SUMIF('TL01'!$C$10:$C$224,$C335,'TL01'!$J$10:$J$224),0),
IF('TL01'!$B$229=L$3,SUMIF('TL01'!$C$238:$C$451,$C335,'TL01'!$J$238:$J$451),0),
IF('TL02'!$B$3=L$3,SUMIF('TL02'!$C$10:$C$224,$C335,'TL02'!$J$10:$J$224),0),
IF('TL02'!$B$229=L$3,SUMIF('TL02'!$C$238:$C$451,$C335,'TL02'!$J$238:$J$451),0),
IF('TL03'!$B$3=L$3,SUMIF('TL03'!$C$10:$C$224,$C335,'TL03'!$J$10:$J$224),0),
IF('TL03'!$B$229=L$3,SUMIF('TL03'!$C$238:$C$451,$C335,'TL03'!$J$238:$J$451),0),
IF('TL04'!$B$3=L$3,SUMIF('TL04'!$C$10:$C$224,$C335,'TL04'!$J$10:$J$224),0),
IF('TL04'!$B$229=L$3,SUMIF('TL04'!$C$238:$C$451,$C335,'TL04'!$J$238:$J$451),0),
IF('TL05'!$B$3=L$3,SUMIF('TL05'!$C$10:$C$224,$C335,'TL05'!$J$10:$J$224),0),
IF('TL05'!$B$229=L$3,SUMIF('TL05'!$C$238:$C$451,$C335,'TL05'!$J$238:$J$451),0),
IF('TL06'!$B$3=L$3,SUMIF('TL06'!$C$10:$C$224,$C335,'TL06'!$J$10:$J$224),0),
IF('TL06'!$B$229=L$3,SUMIF('TL06'!$C$238:$C$451,$C335,'TL06'!$J$238:$J$451),0),
IF('TL07'!$B$3=L$3,SUMIF('TL07'!$C$10:$C$224,$C335,'TL07'!$J$10:$J$224),0),
IF('TL07'!$B$229=L$3,SUMIF('TL07'!$C$238:$C$451,$C335,'TL07'!$J$238:$J$451),0),
IF('TL08'!$B$3=L$3,SUMIF('TL08'!$C$10:$C$224,$C335,'TL08'!$J$10:$J$224),0),
IF('TL08'!$B$229=L$3,SUMIF('TL08'!$C$238:$C$451,$C335,'TL08'!$J$238:$J$451),0),
IF('TL09'!$B$3=L$3,SUMIF('TL09'!$C$10:$C$224,$C335,'TL09'!$J$10:$J$224),0),
IF('TL09'!$B$229=L$3,SUMIF('TL09'!$C$238:$C$451,$C335,'TL09'!$J$238:$J$451),0),
IF('TL10'!$B$3=L$3,SUMIF('TL10'!$C$10:$C$224,$C335,'TL10'!$J$10:$J$224),0),
IF('TL10'!$B$229=L$3,SUMIF('TL10'!$C$238:$C$451,$C335,'TL10'!$J$238:$J$451),0),
IF('TL11'!$B$3=L$3,SUMIF('TL11'!$C$10:$C$224,$C335,'TL11'!$J$10:$J$224),0),
IF('TL11'!$B$229=L$3,SUMIF('TL11'!$C$238:$C$451,$C335,'TL11'!$J$238:$J$451),0),
IF('TL12'!$B$3=L$3,SUMIF('TL12'!$C$10:$C$224,$C335,'TL12'!$J$10:$J$224),0),
IF('TL12'!$B$229=L$3,SUMIF('TL12'!$C$238:$C$451,$C335,'TL12'!$J$238:$J$451),0),
IF('TL13'!$B$3=L$3,SUMIF('TL13'!$C$10:$C$224,$C335,'TL13'!$J$10:$J$224),0),
IF('TL13'!$B$229=L$3,SUMIF('TL13'!$C$238:$C$451,$C335,'TL13'!$J$238:$J$451),0),
IF('TL14'!$B$3=L$3,SUMIF('TL14'!$C$10:$C$224,$C335,'TL14'!$J$10:$J$224),0),
IF('TL14'!$B$229=L$3,SUMIF('TL14'!$C$238:$C$451,$C335,'TL14'!$J$238:$J$451),0),
IF('TL15'!$B$3=L$3,SUMIF('TL15'!$C$10:$C$224,$C335,'TL15'!$J$10:$J$224),0),
IF('TL15'!$B$229=L$3,SUMIF('TL15'!$C$238:$C$451,$C335,'TL15'!$J$238:$J$451),0),
IF('TL16'!$B$3=L$3,SUMIF('TL16'!$C$10:$C$224,$C335,'TL16'!$J$10:$J$224),0),
IF('TL16'!$B$229=L$3,SUMIF('TL16'!$C$238:$C$451,$C335,'TL16'!$J$238:$J$451),0),
IF('TL17'!$B$3=L$3,SUMIF('TL17'!$C$10:$C$224,$C335,'TL17'!$J$10:$J$224),0),
IF('TL17'!$B$229=L$3,SUMIF('TL17'!$C$238:$C$451,$C335,'TL17'!$J$238:$J$451),0),
IF('TL18'!$B$3=L$3,SUMIF('TL18'!$C$10:$C$224,$C335,'TL18'!$J$10:$J$224),0),
IF('TL18'!$B$229=L$3,SUMIF('TL18'!$C$238:$C$451,$C335,'TL18'!$J$238:$J$451),0),
IF('TL19'!$B$3=L$3,SUMIF('TL19'!$C$10:$C$224,$C335,'TL19'!$J$10:$J$224),0),
IF('TL19'!$B$229=L$3,SUMIF('TL19'!$C$238:$C$451,$C335,'TL19'!$J$238:$J$451),0)
),0)</f>
        <v>0</v>
      </c>
      <c r="M335" s="9">
        <f>IFERROR(SUM(
IF('TL01'!$B$3=M$3,SUMIF('TL01'!$C$10:$C$224,$C335,'TL01'!$J$10:$J$224),0),
IF('TL01'!$B$229=M$3,SUMIF('TL01'!$C$238:$C$451,$C335,'TL01'!$J$238:$J$451),0),
IF('TL02'!$B$3=M$3,SUMIF('TL02'!$C$10:$C$224,$C335,'TL02'!$J$10:$J$224),0),
IF('TL02'!$B$229=M$3,SUMIF('TL02'!$C$238:$C$451,$C335,'TL02'!$J$238:$J$451),0),
IF('TL03'!$B$3=M$3,SUMIF('TL03'!$C$10:$C$224,$C335,'TL03'!$J$10:$J$224),0),
IF('TL03'!$B$229=M$3,SUMIF('TL03'!$C$238:$C$451,$C335,'TL03'!$J$238:$J$451),0),
IF('TL04'!$B$3=M$3,SUMIF('TL04'!$C$10:$C$224,$C335,'TL04'!$J$10:$J$224),0),
IF('TL04'!$B$229=M$3,SUMIF('TL04'!$C$238:$C$451,$C335,'TL04'!$J$238:$J$451),0),
IF('TL05'!$B$3=M$3,SUMIF('TL05'!$C$10:$C$224,$C335,'TL05'!$J$10:$J$224),0),
IF('TL05'!$B$229=M$3,SUMIF('TL05'!$C$238:$C$451,$C335,'TL05'!$J$238:$J$451),0),
IF('TL06'!$B$3=M$3,SUMIF('TL06'!$C$10:$C$224,$C335,'TL06'!$J$10:$J$224),0),
IF('TL06'!$B$229=M$3,SUMIF('TL06'!$C$238:$C$451,$C335,'TL06'!$J$238:$J$451),0),
IF('TL07'!$B$3=M$3,SUMIF('TL07'!$C$10:$C$224,$C335,'TL07'!$J$10:$J$224),0),
IF('TL07'!$B$229=M$3,SUMIF('TL07'!$C$238:$C$451,$C335,'TL07'!$J$238:$J$451),0),
IF('TL08'!$B$3=M$3,SUMIF('TL08'!$C$10:$C$224,$C335,'TL08'!$J$10:$J$224),0),
IF('TL08'!$B$229=M$3,SUMIF('TL08'!$C$238:$C$451,$C335,'TL08'!$J$238:$J$451),0),
IF('TL09'!$B$3=M$3,SUMIF('TL09'!$C$10:$C$224,$C335,'TL09'!$J$10:$J$224),0),
IF('TL09'!$B$229=M$3,SUMIF('TL09'!$C$238:$C$451,$C335,'TL09'!$J$238:$J$451),0),
IF('TL10'!$B$3=M$3,SUMIF('TL10'!$C$10:$C$224,$C335,'TL10'!$J$10:$J$224),0),
IF('TL10'!$B$229=M$3,SUMIF('TL10'!$C$238:$C$451,$C335,'TL10'!$J$238:$J$451),0),
IF('TL11'!$B$3=M$3,SUMIF('TL11'!$C$10:$C$224,$C335,'TL11'!$J$10:$J$224),0),
IF('TL11'!$B$229=M$3,SUMIF('TL11'!$C$238:$C$451,$C335,'TL11'!$J$238:$J$451),0),
IF('TL12'!$B$3=M$3,SUMIF('TL12'!$C$10:$C$224,$C335,'TL12'!$J$10:$J$224),0),
IF('TL12'!$B$229=M$3,SUMIF('TL12'!$C$238:$C$451,$C335,'TL12'!$J$238:$J$451),0),
IF('TL13'!$B$3=M$3,SUMIF('TL13'!$C$10:$C$224,$C335,'TL13'!$J$10:$J$224),0),
IF('TL13'!$B$229=M$3,SUMIF('TL13'!$C$238:$C$451,$C335,'TL13'!$J$238:$J$451),0),
IF('TL14'!$B$3=M$3,SUMIF('TL14'!$C$10:$C$224,$C335,'TL14'!$J$10:$J$224),0),
IF('TL14'!$B$229=M$3,SUMIF('TL14'!$C$238:$C$451,$C335,'TL14'!$J$238:$J$451),0),
IF('TL15'!$B$3=M$3,SUMIF('TL15'!$C$10:$C$224,$C335,'TL15'!$J$10:$J$224),0),
IF('TL15'!$B$229=M$3,SUMIF('TL15'!$C$238:$C$451,$C335,'TL15'!$J$238:$J$451),0),
IF('TL16'!$B$3=M$3,SUMIF('TL16'!$C$10:$C$224,$C335,'TL16'!$J$10:$J$224),0),
IF('TL16'!$B$229=M$3,SUMIF('TL16'!$C$238:$C$451,$C335,'TL16'!$J$238:$J$451),0),
IF('TL17'!$B$3=M$3,SUMIF('TL17'!$C$10:$C$224,$C335,'TL17'!$J$10:$J$224),0),
IF('TL17'!$B$229=M$3,SUMIF('TL17'!$C$238:$C$451,$C335,'TL17'!$J$238:$J$451),0),
IF('TL18'!$B$3=M$3,SUMIF('TL18'!$C$10:$C$224,$C335,'TL18'!$J$10:$J$224),0),
IF('TL18'!$B$229=M$3,SUMIF('TL18'!$C$238:$C$451,$C335,'TL18'!$J$238:$J$451),0),
IF('TL19'!$B$3=M$3,SUMIF('TL19'!$C$10:$C$224,$C335,'TL19'!$J$10:$J$224),0),
IF('TL19'!$B$229=M$3,SUMIF('TL19'!$C$238:$C$451,$C335,'TL19'!$J$238:$J$451),0)
),0)</f>
        <v>0</v>
      </c>
      <c r="N335" s="9">
        <f>IFERROR(SUM(
IF('TL01'!$B$3=N$3,SUMIF('TL01'!$C$10:$C$224,$C335,'TL01'!$J$10:$J$224),0),
IF('TL01'!$B$229=N$3,SUMIF('TL01'!$C$238:$C$451,$C335,'TL01'!$J$238:$J$451),0),
IF('TL02'!$B$3=N$3,SUMIF('TL02'!$C$10:$C$224,$C335,'TL02'!$J$10:$J$224),0),
IF('TL02'!$B$229=N$3,SUMIF('TL02'!$C$238:$C$451,$C335,'TL02'!$J$238:$J$451),0),
IF('TL03'!$B$3=N$3,SUMIF('TL03'!$C$10:$C$224,$C335,'TL03'!$J$10:$J$224),0),
IF('TL03'!$B$229=N$3,SUMIF('TL03'!$C$238:$C$451,$C335,'TL03'!$J$238:$J$451),0),
IF('TL04'!$B$3=N$3,SUMIF('TL04'!$C$10:$C$224,$C335,'TL04'!$J$10:$J$224),0),
IF('TL04'!$B$229=N$3,SUMIF('TL04'!$C$238:$C$451,$C335,'TL04'!$J$238:$J$451),0),
IF('TL05'!$B$3=N$3,SUMIF('TL05'!$C$10:$C$224,$C335,'TL05'!$J$10:$J$224),0),
IF('TL05'!$B$229=N$3,SUMIF('TL05'!$C$238:$C$451,$C335,'TL05'!$J$238:$J$451),0),
IF('TL06'!$B$3=N$3,SUMIF('TL06'!$C$10:$C$224,$C335,'TL06'!$J$10:$J$224),0),
IF('TL06'!$B$229=N$3,SUMIF('TL06'!$C$238:$C$451,$C335,'TL06'!$J$238:$J$451),0),
IF('TL07'!$B$3=N$3,SUMIF('TL07'!$C$10:$C$224,$C335,'TL07'!$J$10:$J$224),0),
IF('TL07'!$B$229=N$3,SUMIF('TL07'!$C$238:$C$451,$C335,'TL07'!$J$238:$J$451),0),
IF('TL08'!$B$3=N$3,SUMIF('TL08'!$C$10:$C$224,$C335,'TL08'!$J$10:$J$224),0),
IF('TL08'!$B$229=N$3,SUMIF('TL08'!$C$238:$C$451,$C335,'TL08'!$J$238:$J$451),0),
IF('TL09'!$B$3=N$3,SUMIF('TL09'!$C$10:$C$224,$C335,'TL09'!$J$10:$J$224),0),
IF('TL09'!$B$229=N$3,SUMIF('TL09'!$C$238:$C$451,$C335,'TL09'!$J$238:$J$451),0),
IF('TL10'!$B$3=N$3,SUMIF('TL10'!$C$10:$C$224,$C335,'TL10'!$J$10:$J$224),0),
IF('TL10'!$B$229=N$3,SUMIF('TL10'!$C$238:$C$451,$C335,'TL10'!$J$238:$J$451),0),
IF('TL11'!$B$3=N$3,SUMIF('TL11'!$C$10:$C$224,$C335,'TL11'!$J$10:$J$224),0),
IF('TL11'!$B$229=N$3,SUMIF('TL11'!$C$238:$C$451,$C335,'TL11'!$J$238:$J$451),0),
IF('TL12'!$B$3=N$3,SUMIF('TL12'!$C$10:$C$224,$C335,'TL12'!$J$10:$J$224),0),
IF('TL12'!$B$229=N$3,SUMIF('TL12'!$C$238:$C$451,$C335,'TL12'!$J$238:$J$451),0),
IF('TL13'!$B$3=N$3,SUMIF('TL13'!$C$10:$C$224,$C335,'TL13'!$J$10:$J$224),0),
IF('TL13'!$B$229=N$3,SUMIF('TL13'!$C$238:$C$451,$C335,'TL13'!$J$238:$J$451),0),
IF('TL14'!$B$3=N$3,SUMIF('TL14'!$C$10:$C$224,$C335,'TL14'!$J$10:$J$224),0),
IF('TL14'!$B$229=N$3,SUMIF('TL14'!$C$238:$C$451,$C335,'TL14'!$J$238:$J$451),0),
IF('TL15'!$B$3=N$3,SUMIF('TL15'!$C$10:$C$224,$C335,'TL15'!$J$10:$J$224),0),
IF('TL15'!$B$229=N$3,SUMIF('TL15'!$C$238:$C$451,$C335,'TL15'!$J$238:$J$451),0),
IF('TL16'!$B$3=N$3,SUMIF('TL16'!$C$10:$C$224,$C335,'TL16'!$J$10:$J$224),0),
IF('TL16'!$B$229=N$3,SUMIF('TL16'!$C$238:$C$451,$C335,'TL16'!$J$238:$J$451),0),
IF('TL17'!$B$3=N$3,SUMIF('TL17'!$C$10:$C$224,$C335,'TL17'!$J$10:$J$224),0),
IF('TL17'!$B$229=N$3,SUMIF('TL17'!$C$238:$C$451,$C335,'TL17'!$J$238:$J$451),0),
IF('TL18'!$B$3=N$3,SUMIF('TL18'!$C$10:$C$224,$C335,'TL18'!$J$10:$J$224),0),
IF('TL18'!$B$229=N$3,SUMIF('TL18'!$C$238:$C$451,$C335,'TL18'!$J$238:$J$451),0),
IF('TL19'!$B$3=N$3,SUMIF('TL19'!$C$10:$C$224,$C335,'TL19'!$J$10:$J$224),0),
IF('TL19'!$B$229=N$3,SUMIF('TL19'!$C$238:$C$451,$C335,'TL19'!$J$238:$J$451),0)
),0)</f>
        <v>0</v>
      </c>
      <c r="O335" s="9">
        <f>IFERROR(SUM(
IF('TL01'!$B$3=O$3,SUMIF('TL01'!$C$10:$C$224,$C335,'TL01'!$J$10:$J$224),0),
IF('TL01'!$B$229=O$3,SUMIF('TL01'!$C$238:$C$451,$C335,'TL01'!$J$238:$J$451),0),
IF('TL02'!$B$3=O$3,SUMIF('TL02'!$C$10:$C$224,$C335,'TL02'!$J$10:$J$224),0),
IF('TL02'!$B$229=O$3,SUMIF('TL02'!$C$238:$C$451,$C335,'TL02'!$J$238:$J$451),0),
IF('TL03'!$B$3=O$3,SUMIF('TL03'!$C$10:$C$224,$C335,'TL03'!$J$10:$J$224),0),
IF('TL03'!$B$229=O$3,SUMIF('TL03'!$C$238:$C$451,$C335,'TL03'!$J$238:$J$451),0),
IF('TL04'!$B$3=O$3,SUMIF('TL04'!$C$10:$C$224,$C335,'TL04'!$J$10:$J$224),0),
IF('TL04'!$B$229=O$3,SUMIF('TL04'!$C$238:$C$451,$C335,'TL04'!$J$238:$J$451),0),
IF('TL05'!$B$3=O$3,SUMIF('TL05'!$C$10:$C$224,$C335,'TL05'!$J$10:$J$224),0),
IF('TL05'!$B$229=O$3,SUMIF('TL05'!$C$238:$C$451,$C335,'TL05'!$J$238:$J$451),0),
IF('TL06'!$B$3=O$3,SUMIF('TL06'!$C$10:$C$224,$C335,'TL06'!$J$10:$J$224),0),
IF('TL06'!$B$229=O$3,SUMIF('TL06'!$C$238:$C$451,$C335,'TL06'!$J$238:$J$451),0),
IF('TL07'!$B$3=O$3,SUMIF('TL07'!$C$10:$C$224,$C335,'TL07'!$J$10:$J$224),0),
IF('TL07'!$B$229=O$3,SUMIF('TL07'!$C$238:$C$451,$C335,'TL07'!$J$238:$J$451),0),
IF('TL08'!$B$3=O$3,SUMIF('TL08'!$C$10:$C$224,$C335,'TL08'!$J$10:$J$224),0),
IF('TL08'!$B$229=O$3,SUMIF('TL08'!$C$238:$C$451,$C335,'TL08'!$J$238:$J$451),0),
IF('TL09'!$B$3=O$3,SUMIF('TL09'!$C$10:$C$224,$C335,'TL09'!$J$10:$J$224),0),
IF('TL09'!$B$229=O$3,SUMIF('TL09'!$C$238:$C$451,$C335,'TL09'!$J$238:$J$451),0),
IF('TL10'!$B$3=O$3,SUMIF('TL10'!$C$10:$C$224,$C335,'TL10'!$J$10:$J$224),0),
IF('TL10'!$B$229=O$3,SUMIF('TL10'!$C$238:$C$451,$C335,'TL10'!$J$238:$J$451),0),
IF('TL11'!$B$3=O$3,SUMIF('TL11'!$C$10:$C$224,$C335,'TL11'!$J$10:$J$224),0),
IF('TL11'!$B$229=O$3,SUMIF('TL11'!$C$238:$C$451,$C335,'TL11'!$J$238:$J$451),0),
IF('TL12'!$B$3=O$3,SUMIF('TL12'!$C$10:$C$224,$C335,'TL12'!$J$10:$J$224),0),
IF('TL12'!$B$229=O$3,SUMIF('TL12'!$C$238:$C$451,$C335,'TL12'!$J$238:$J$451),0),
IF('TL13'!$B$3=O$3,SUMIF('TL13'!$C$10:$C$224,$C335,'TL13'!$J$10:$J$224),0),
IF('TL13'!$B$229=O$3,SUMIF('TL13'!$C$238:$C$451,$C335,'TL13'!$J$238:$J$451),0),
IF('TL14'!$B$3=O$3,SUMIF('TL14'!$C$10:$C$224,$C335,'TL14'!$J$10:$J$224),0),
IF('TL14'!$B$229=O$3,SUMIF('TL14'!$C$238:$C$451,$C335,'TL14'!$J$238:$J$451),0),
IF('TL15'!$B$3=O$3,SUMIF('TL15'!$C$10:$C$224,$C335,'TL15'!$J$10:$J$224),0),
IF('TL15'!$B$229=O$3,SUMIF('TL15'!$C$238:$C$451,$C335,'TL15'!$J$238:$J$451),0),
IF('TL16'!$B$3=O$3,SUMIF('TL16'!$C$10:$C$224,$C335,'TL16'!$J$10:$J$224),0),
IF('TL16'!$B$229=O$3,SUMIF('TL16'!$C$238:$C$451,$C335,'TL16'!$J$238:$J$451),0),
IF('TL17'!$B$3=O$3,SUMIF('TL17'!$C$10:$C$224,$C335,'TL17'!$J$10:$J$224),0),
IF('TL17'!$B$229=O$3,SUMIF('TL17'!$C$238:$C$451,$C335,'TL17'!$J$238:$J$451),0),
IF('TL18'!$B$3=O$3,SUMIF('TL18'!$C$10:$C$224,$C335,'TL18'!$J$10:$J$224),0),
IF('TL18'!$B$229=O$3,SUMIF('TL18'!$C$238:$C$451,$C335,'TL18'!$J$238:$J$451),0),
IF('TL19'!$B$3=O$3,SUMIF('TL19'!$C$10:$C$224,$C335,'TL19'!$J$10:$J$224),0),
IF('TL19'!$B$229=O$3,SUMIF('TL19'!$C$238:$C$451,$C335,'TL19'!$J$238:$J$451),0)
),0)</f>
        <v>0</v>
      </c>
      <c r="P335" s="9">
        <f>IFERROR(SUM(
IF('TL01'!$B$3=P$3,SUMIF('TL01'!$C$10:$C$224,$C335,'TL01'!$J$10:$J$224),0),
IF('TL01'!$B$229=P$3,SUMIF('TL01'!$C$238:$C$451,$C335,'TL01'!$J$238:$J$451),0),
IF('TL02'!$B$3=P$3,SUMIF('TL02'!$C$10:$C$224,$C335,'TL02'!$J$10:$J$224),0),
IF('TL02'!$B$229=P$3,SUMIF('TL02'!$C$238:$C$451,$C335,'TL02'!$J$238:$J$451),0),
IF('TL03'!$B$3=P$3,SUMIF('TL03'!$C$10:$C$224,$C335,'TL03'!$J$10:$J$224),0),
IF('TL03'!$B$229=P$3,SUMIF('TL03'!$C$238:$C$451,$C335,'TL03'!$J$238:$J$451),0),
IF('TL04'!$B$3=P$3,SUMIF('TL04'!$C$10:$C$224,$C335,'TL04'!$J$10:$J$224),0),
IF('TL04'!$B$229=P$3,SUMIF('TL04'!$C$238:$C$451,$C335,'TL04'!$J$238:$J$451),0),
IF('TL05'!$B$3=P$3,SUMIF('TL05'!$C$10:$C$224,$C335,'TL05'!$J$10:$J$224),0),
IF('TL05'!$B$229=P$3,SUMIF('TL05'!$C$238:$C$451,$C335,'TL05'!$J$238:$J$451),0),
IF('TL06'!$B$3=P$3,SUMIF('TL06'!$C$10:$C$224,$C335,'TL06'!$J$10:$J$224),0),
IF('TL06'!$B$229=P$3,SUMIF('TL06'!$C$238:$C$451,$C335,'TL06'!$J$238:$J$451),0),
IF('TL07'!$B$3=P$3,SUMIF('TL07'!$C$10:$C$224,$C335,'TL07'!$J$10:$J$224),0),
IF('TL07'!$B$229=P$3,SUMIF('TL07'!$C$238:$C$451,$C335,'TL07'!$J$238:$J$451),0),
IF('TL08'!$B$3=P$3,SUMIF('TL08'!$C$10:$C$224,$C335,'TL08'!$J$10:$J$224),0),
IF('TL08'!$B$229=P$3,SUMIF('TL08'!$C$238:$C$451,$C335,'TL08'!$J$238:$J$451),0),
IF('TL09'!$B$3=P$3,SUMIF('TL09'!$C$10:$C$224,$C335,'TL09'!$J$10:$J$224),0),
IF('TL09'!$B$229=P$3,SUMIF('TL09'!$C$238:$C$451,$C335,'TL09'!$J$238:$J$451),0),
IF('TL10'!$B$3=P$3,SUMIF('TL10'!$C$10:$C$224,$C335,'TL10'!$J$10:$J$224),0),
IF('TL10'!$B$229=P$3,SUMIF('TL10'!$C$238:$C$451,$C335,'TL10'!$J$238:$J$451),0),
IF('TL11'!$B$3=P$3,SUMIF('TL11'!$C$10:$C$224,$C335,'TL11'!$J$10:$J$224),0),
IF('TL11'!$B$229=P$3,SUMIF('TL11'!$C$238:$C$451,$C335,'TL11'!$J$238:$J$451),0),
IF('TL12'!$B$3=P$3,SUMIF('TL12'!$C$10:$C$224,$C335,'TL12'!$J$10:$J$224),0),
IF('TL12'!$B$229=P$3,SUMIF('TL12'!$C$238:$C$451,$C335,'TL12'!$J$238:$J$451),0),
IF('TL13'!$B$3=P$3,SUMIF('TL13'!$C$10:$C$224,$C335,'TL13'!$J$10:$J$224),0),
IF('TL13'!$B$229=P$3,SUMIF('TL13'!$C$238:$C$451,$C335,'TL13'!$J$238:$J$451),0),
IF('TL14'!$B$3=P$3,SUMIF('TL14'!$C$10:$C$224,$C335,'TL14'!$J$10:$J$224),0),
IF('TL14'!$B$229=P$3,SUMIF('TL14'!$C$238:$C$451,$C335,'TL14'!$J$238:$J$451),0),
IF('TL15'!$B$3=P$3,SUMIF('TL15'!$C$10:$C$224,$C335,'TL15'!$J$10:$J$224),0),
IF('TL15'!$B$229=P$3,SUMIF('TL15'!$C$238:$C$451,$C335,'TL15'!$J$238:$J$451),0),
IF('TL16'!$B$3=P$3,SUMIF('TL16'!$C$10:$C$224,$C335,'TL16'!$J$10:$J$224),0),
IF('TL16'!$B$229=P$3,SUMIF('TL16'!$C$238:$C$451,$C335,'TL16'!$J$238:$J$451),0),
IF('TL17'!$B$3=P$3,SUMIF('TL17'!$C$10:$C$224,$C335,'TL17'!$J$10:$J$224),0),
IF('TL17'!$B$229=P$3,SUMIF('TL17'!$C$238:$C$451,$C335,'TL17'!$J$238:$J$451),0),
IF('TL18'!$B$3=P$3,SUMIF('TL18'!$C$10:$C$224,$C335,'TL18'!$J$10:$J$224),0),
IF('TL18'!$B$229=P$3,SUMIF('TL18'!$C$238:$C$451,$C335,'TL18'!$J$238:$J$451),0),
IF('TL19'!$B$3=P$3,SUMIF('TL19'!$C$10:$C$224,$C335,'TL19'!$J$10:$J$224),0),
IF('TL19'!$B$229=P$3,SUMIF('TL19'!$C$238:$C$451,$C335,'TL19'!$J$238:$J$451),0)
),0)</f>
        <v>4.28</v>
      </c>
      <c r="Q335" s="9">
        <f>IFERROR(SUM(
IF('TL01'!$B$3=Q$3,SUMIF('TL01'!$C$10:$C$224,$C335,'TL01'!$J$10:$J$224),0),
IF('TL01'!$B$229=Q$3,SUMIF('TL01'!$C$238:$C$451,$C335,'TL01'!$J$238:$J$451),0),
IF('TL02'!$B$3=Q$3,SUMIF('TL02'!$C$10:$C$224,$C335,'TL02'!$J$10:$J$224),0),
IF('TL02'!$B$229=Q$3,SUMIF('TL02'!$C$238:$C$451,$C335,'TL02'!$J$238:$J$451),0),
IF('TL03'!$B$3=Q$3,SUMIF('TL03'!$C$10:$C$224,$C335,'TL03'!$J$10:$J$224),0),
IF('TL03'!$B$229=Q$3,SUMIF('TL03'!$C$238:$C$451,$C335,'TL03'!$J$238:$J$451),0),
IF('TL04'!$B$3=Q$3,SUMIF('TL04'!$C$10:$C$224,$C335,'TL04'!$J$10:$J$224),0),
IF('TL04'!$B$229=Q$3,SUMIF('TL04'!$C$238:$C$451,$C335,'TL04'!$J$238:$J$451),0),
IF('TL05'!$B$3=Q$3,SUMIF('TL05'!$C$10:$C$224,$C335,'TL05'!$J$10:$J$224),0),
IF('TL05'!$B$229=Q$3,SUMIF('TL05'!$C$238:$C$451,$C335,'TL05'!$J$238:$J$451),0),
IF('TL06'!$B$3=Q$3,SUMIF('TL06'!$C$10:$C$224,$C335,'TL06'!$J$10:$J$224),0),
IF('TL06'!$B$229=Q$3,SUMIF('TL06'!$C$238:$C$451,$C335,'TL06'!$J$238:$J$451),0),
IF('TL07'!$B$3=Q$3,SUMIF('TL07'!$C$10:$C$224,$C335,'TL07'!$J$10:$J$224),0),
IF('TL07'!$B$229=Q$3,SUMIF('TL07'!$C$238:$C$451,$C335,'TL07'!$J$238:$J$451),0),
IF('TL08'!$B$3=Q$3,SUMIF('TL08'!$C$10:$C$224,$C335,'TL08'!$J$10:$J$224),0),
IF('TL08'!$B$229=Q$3,SUMIF('TL08'!$C$238:$C$451,$C335,'TL08'!$J$238:$J$451),0),
IF('TL09'!$B$3=Q$3,SUMIF('TL09'!$C$10:$C$224,$C335,'TL09'!$J$10:$J$224),0),
IF('TL09'!$B$229=Q$3,SUMIF('TL09'!$C$238:$C$451,$C335,'TL09'!$J$238:$J$451),0),
IF('TL10'!$B$3=Q$3,SUMIF('TL10'!$C$10:$C$224,$C335,'TL10'!$J$10:$J$224),0),
IF('TL10'!$B$229=Q$3,SUMIF('TL10'!$C$238:$C$451,$C335,'TL10'!$J$238:$J$451),0),
IF('TL11'!$B$3=Q$3,SUMIF('TL11'!$C$10:$C$224,$C335,'TL11'!$J$10:$J$224),0),
IF('TL11'!$B$229=Q$3,SUMIF('TL11'!$C$238:$C$451,$C335,'TL11'!$J$238:$J$451),0),
IF('TL12'!$B$3=Q$3,SUMIF('TL12'!$C$10:$C$224,$C335,'TL12'!$J$10:$J$224),0),
IF('TL12'!$B$229=Q$3,SUMIF('TL12'!$C$238:$C$451,$C335,'TL12'!$J$238:$J$451),0),
IF('TL13'!$B$3=Q$3,SUMIF('TL13'!$C$10:$C$224,$C335,'TL13'!$J$10:$J$224),0),
IF('TL13'!$B$229=Q$3,SUMIF('TL13'!$C$238:$C$451,$C335,'TL13'!$J$238:$J$451),0),
IF('TL14'!$B$3=Q$3,SUMIF('TL14'!$C$10:$C$224,$C335,'TL14'!$J$10:$J$224),0),
IF('TL14'!$B$229=Q$3,SUMIF('TL14'!$C$238:$C$451,$C335,'TL14'!$J$238:$J$451),0),
IF('TL15'!$B$3=Q$3,SUMIF('TL15'!$C$10:$C$224,$C335,'TL15'!$J$10:$J$224),0),
IF('TL15'!$B$229=Q$3,SUMIF('TL15'!$C$238:$C$451,$C335,'TL15'!$J$238:$J$451),0),
IF('TL16'!$B$3=Q$3,SUMIF('TL16'!$C$10:$C$224,$C335,'TL16'!$J$10:$J$224),0),
IF('TL16'!$B$229=Q$3,SUMIF('TL16'!$C$238:$C$451,$C335,'TL16'!$J$238:$J$451),0),
IF('TL17'!$B$3=Q$3,SUMIF('TL17'!$C$10:$C$224,$C335,'TL17'!$J$10:$J$224),0),
IF('TL17'!$B$229=Q$3,SUMIF('TL17'!$C$238:$C$451,$C335,'TL17'!$J$238:$J$451),0),
IF('TL18'!$B$3=Q$3,SUMIF('TL18'!$C$10:$C$224,$C335,'TL18'!$J$10:$J$224),0),
IF('TL18'!$B$229=Q$3,SUMIF('TL18'!$C$238:$C$451,$C335,'TL18'!$J$238:$J$451),0),
IF('TL19'!$B$3=Q$3,SUMIF('TL19'!$C$10:$C$224,$C335,'TL19'!$J$10:$J$224),0),
IF('TL19'!$B$229=Q$3,SUMIF('TL19'!$C$238:$C$451,$C335,'TL19'!$J$238:$J$451),0)
),0)</f>
        <v>0</v>
      </c>
      <c r="R335" s="9">
        <f>IFERROR(
SUM(
SUMIF('TL01'!C:C,C335,'TL01'!J:J),
SUMIF('TL02'!C:C,C335,'TL02'!J:J),
SUMIF('TL03'!C:C,C335,'TL03'!J:J),
SUMIF('TL04'!C:C,C335,'TL04'!J:J),
SUMIF('TL05'!C:C,C335,'TL05'!J:J),
SUMIF('TL06'!C:C,C335,'TL06'!J:J),
SUMIF('TL07'!C:C,C335,'TL07'!J:J),
SUMIF('TL08'!C:C,C335,'TL08'!J:J),
SUMIF('TL09'!C:C,C335,'TL09'!J:J),
SUMIF('TL10'!C:C,C335,'TL10'!J:J),
SUMIF('TL11'!C:C,C335,'TL11'!J:J),
SUMIF('TL12'!C:C,C335,'TL12'!J:J),
SUMIF('TL13'!C:C,C335,'TL13'!J:J),
SUMIF('TL14'!C:C,C335,'TL14'!J:J),
SUMIF('TL15'!C:C,C335,'TL15'!J:J),
SUMIF('TL16'!C:C,C335,'TL16'!J:J),
SUMIF('TL17'!C:C,C335,'TL17'!J:J),
SUMIF('TL18'!C:C,C335,'TL18'!J:J),SUMIF('TL19'!C:C,C335,'TL19'!J:J))
,0)</f>
        <v>4.28</v>
      </c>
      <c r="S335" s="17" t="str">
        <f>IFERROR(__xludf.DUMMYFUNCTION("IFERROR(VLOOKUP(C335,
IMPORTRANGE(""1wULbzX32WdYsx-lj2U3uUNBBe2INVIRDtcK0d-Dvl90"",
""26-27!C:G""),
5,
FALSE),
"""")"),"")</f>
        <v/>
      </c>
      <c r="T335" s="9"/>
      <c r="U335" s="92">
        <f t="shared" si="2"/>
        <v>4.28</v>
      </c>
      <c r="V335" s="93">
        <f t="shared" si="3"/>
        <v>0</v>
      </c>
    </row>
    <row r="336" ht="15.75" hidden="1" customHeight="1">
      <c r="A336" s="4"/>
      <c r="B336" s="125" t="s">
        <v>5</v>
      </c>
      <c r="C336" s="6"/>
      <c r="D336" s="6"/>
      <c r="E336" s="9"/>
      <c r="F336" s="4"/>
      <c r="G336" s="90" t="str">
        <f t="shared" si="5"/>
        <v>📄 Ver bula</v>
      </c>
      <c r="H336" s="9"/>
      <c r="I336" s="1"/>
      <c r="J336" s="9">
        <f>IFERROR(SUM(
IF('TL01'!$B$3=J$3,SUMIF('TL01'!$C$10:$C$224,$C336,'TL01'!$J$10:$J$224),0),
IF('TL01'!$B$229=J$3,SUMIF('TL01'!$C$238:$C$451,$C336,'TL01'!$J$238:$J$451),0),
IF('TL02'!$B$3=J$3,SUMIF('TL02'!$C$10:$C$224,$C336,'TL02'!$J$10:$J$224),0),
IF('TL02'!$B$229=J$3,SUMIF('TL02'!$C$238:$C$451,$C336,'TL02'!$J$238:$J$451),0),
IF('TL03'!$B$3=J$3,SUMIF('TL03'!$C$10:$C$224,$C336,'TL03'!$J$10:$J$224),0),
IF('TL03'!$B$229=J$3,SUMIF('TL03'!$C$238:$C$451,$C336,'TL03'!$J$238:$J$451),0),
IF('TL04'!$B$3=J$3,SUMIF('TL04'!$C$10:$C$224,$C336,'TL04'!$J$10:$J$224),0),
IF('TL04'!$B$229=J$3,SUMIF('TL04'!$C$238:$C$451,$C336,'TL04'!$J$238:$J$451),0),
IF('TL05'!$B$3=J$3,SUMIF('TL05'!$C$10:$C$224,$C336,'TL05'!$J$10:$J$224),0),
IF('TL05'!$B$229=J$3,SUMIF('TL05'!$C$238:$C$451,$C336,'TL05'!$J$238:$J$451),0),
IF('TL06'!$B$3=J$3,SUMIF('TL06'!$C$10:$C$224,$C336,'TL06'!$J$10:$J$224),0),
IF('TL06'!$B$229=J$3,SUMIF('TL06'!$C$238:$C$451,$C336,'TL06'!$J$238:$J$451),0),
IF('TL07'!$B$3=J$3,SUMIF('TL07'!$C$10:$C$224,$C336,'TL07'!$J$10:$J$224),0),
IF('TL07'!$B$229=J$3,SUMIF('TL07'!$C$238:$C$451,$C336,'TL07'!$J$238:$J$451),0),
IF('TL08'!$B$3=J$3,SUMIF('TL08'!$C$10:$C$224,$C336,'TL08'!$J$10:$J$224),0),
IF('TL08'!$B$229=J$3,SUMIF('TL08'!$C$238:$C$451,$C336,'TL08'!$J$238:$J$451),0),
IF('TL09'!$B$3=J$3,SUMIF('TL09'!$C$10:$C$224,$C336,'TL09'!$J$10:$J$224),0),
IF('TL09'!$B$229=J$3,SUMIF('TL09'!$C$238:$C$451,$C336,'TL09'!$J$238:$J$451),0),
IF('TL10'!$B$3=J$3,SUMIF('TL10'!$C$10:$C$224,$C336,'TL10'!$J$10:$J$224),0),
IF('TL10'!$B$229=J$3,SUMIF('TL10'!$C$238:$C$451,$C336,'TL10'!$J$238:$J$451),0),
IF('TL11'!$B$3=J$3,SUMIF('TL11'!$C$10:$C$224,$C336,'TL11'!$J$10:$J$224),0),
IF('TL11'!$B$229=J$3,SUMIF('TL11'!$C$238:$C$451,$C336,'TL11'!$J$238:$J$451),0),
IF('TL12'!$B$3=J$3,SUMIF('TL12'!$C$10:$C$224,$C336,'TL12'!$J$10:$J$224),0),
IF('TL12'!$B$229=J$3,SUMIF('TL12'!$C$238:$C$451,$C336,'TL12'!$J$238:$J$451),0),
IF('TL13'!$B$3=J$3,SUMIF('TL13'!$C$10:$C$224,$C336,'TL13'!$J$10:$J$224),0),
IF('TL13'!$B$229=J$3,SUMIF('TL13'!$C$238:$C$451,$C336,'TL13'!$J$238:$J$451),0),
IF('TL14'!$B$3=J$3,SUMIF('TL14'!$C$10:$C$224,$C336,'TL14'!$J$10:$J$224),0),
IF('TL14'!$B$229=J$3,SUMIF('TL14'!$C$238:$C$451,$C336,'TL14'!$J$238:$J$451),0),
IF('TL15'!$B$3=J$3,SUMIF('TL15'!$C$10:$C$224,$C336,'TL15'!$J$10:$J$224),0),
IF('TL15'!$B$229=J$3,SUMIF('TL15'!$C$238:$C$451,$C336,'TL15'!$J$238:$J$451),0),
IF('TL16'!$B$3=J$3,SUMIF('TL16'!$C$10:$C$224,$C336,'TL16'!$J$10:$J$224),0),
IF('TL16'!$B$229=J$3,SUMIF('TL16'!$C$238:$C$451,$C336,'TL16'!$J$238:$J$451),0),
IF('TL17'!$B$3=J$3,SUMIF('TL17'!$C$10:$C$224,$C336,'TL17'!$J$10:$J$224),0),
IF('TL17'!$B$229=J$3,SUMIF('TL17'!$C$238:$C$451,$C336,'TL17'!$J$238:$J$451),0),
IF('TL18'!$B$3=J$3,SUMIF('TL18'!$C$10:$C$224,$C336,'TL18'!$J$10:$J$224),0),
IF('TL18'!$B$229=J$3,SUMIF('TL18'!$C$238:$C$451,$C336,'TL18'!$J$238:$J$451),0),
IF('TL19'!$B$3=J$3,SUMIF('TL19'!$C$10:$C$224,$C336,'TL19'!$J$10:$J$224),0),
IF('TL19'!$B$229=J$3,SUMIF('TL19'!$C$238:$C$451,$C336,'TL19'!$J$238:$J$451),0)
),0)</f>
        <v>0</v>
      </c>
      <c r="K336" s="9">
        <f>IFERROR(SUM(
IF('TL01'!$B$3=K$3,SUMIF('TL01'!$C$10:$C$224,$C336,'TL01'!$J$10:$J$224),0),
IF('TL01'!$B$229=K$3,SUMIF('TL01'!$C$238:$C$451,$C336,'TL01'!$J$238:$J$451),0),
IF('TL02'!$B$3=K$3,SUMIF('TL02'!$C$10:$C$224,$C336,'TL02'!$J$10:$J$224),0),
IF('TL02'!$B$229=K$3,SUMIF('TL02'!$C$238:$C$451,$C336,'TL02'!$J$238:$J$451),0),
IF('TL03'!$B$3=K$3,SUMIF('TL03'!$C$10:$C$224,$C336,'TL03'!$J$10:$J$224),0),
IF('TL03'!$B$229=K$3,SUMIF('TL03'!$C$238:$C$451,$C336,'TL03'!$J$238:$J$451),0),
IF('TL04'!$B$3=K$3,SUMIF('TL04'!$C$10:$C$224,$C336,'TL04'!$J$10:$J$224),0),
IF('TL04'!$B$229=K$3,SUMIF('TL04'!$C$238:$C$451,$C336,'TL04'!$J$238:$J$451),0),
IF('TL05'!$B$3=K$3,SUMIF('TL05'!$C$10:$C$224,$C336,'TL05'!$J$10:$J$224),0),
IF('TL05'!$B$229=K$3,SUMIF('TL05'!$C$238:$C$451,$C336,'TL05'!$J$238:$J$451),0),
IF('TL06'!$B$3=K$3,SUMIF('TL06'!$C$10:$C$224,$C336,'TL06'!$J$10:$J$224),0),
IF('TL06'!$B$229=K$3,SUMIF('TL06'!$C$238:$C$451,$C336,'TL06'!$J$238:$J$451),0),
IF('TL07'!$B$3=K$3,SUMIF('TL07'!$C$10:$C$224,$C336,'TL07'!$J$10:$J$224),0),
IF('TL07'!$B$229=K$3,SUMIF('TL07'!$C$238:$C$451,$C336,'TL07'!$J$238:$J$451),0),
IF('TL08'!$B$3=K$3,SUMIF('TL08'!$C$10:$C$224,$C336,'TL08'!$J$10:$J$224),0),
IF('TL08'!$B$229=K$3,SUMIF('TL08'!$C$238:$C$451,$C336,'TL08'!$J$238:$J$451),0),
IF('TL09'!$B$3=K$3,SUMIF('TL09'!$C$10:$C$224,$C336,'TL09'!$J$10:$J$224),0),
IF('TL09'!$B$229=K$3,SUMIF('TL09'!$C$238:$C$451,$C336,'TL09'!$J$238:$J$451),0),
IF('TL10'!$B$3=K$3,SUMIF('TL10'!$C$10:$C$224,$C336,'TL10'!$J$10:$J$224),0),
IF('TL10'!$B$229=K$3,SUMIF('TL10'!$C$238:$C$451,$C336,'TL10'!$J$238:$J$451),0),
IF('TL11'!$B$3=K$3,SUMIF('TL11'!$C$10:$C$224,$C336,'TL11'!$J$10:$J$224),0),
IF('TL11'!$B$229=K$3,SUMIF('TL11'!$C$238:$C$451,$C336,'TL11'!$J$238:$J$451),0),
IF('TL12'!$B$3=K$3,SUMIF('TL12'!$C$10:$C$224,$C336,'TL12'!$J$10:$J$224),0),
IF('TL12'!$B$229=K$3,SUMIF('TL12'!$C$238:$C$451,$C336,'TL12'!$J$238:$J$451),0),
IF('TL13'!$B$3=K$3,SUMIF('TL13'!$C$10:$C$224,$C336,'TL13'!$J$10:$J$224),0),
IF('TL13'!$B$229=K$3,SUMIF('TL13'!$C$238:$C$451,$C336,'TL13'!$J$238:$J$451),0),
IF('TL14'!$B$3=K$3,SUMIF('TL14'!$C$10:$C$224,$C336,'TL14'!$J$10:$J$224),0),
IF('TL14'!$B$229=K$3,SUMIF('TL14'!$C$238:$C$451,$C336,'TL14'!$J$238:$J$451),0),
IF('TL15'!$B$3=K$3,SUMIF('TL15'!$C$10:$C$224,$C336,'TL15'!$J$10:$J$224),0),
IF('TL15'!$B$229=K$3,SUMIF('TL15'!$C$238:$C$451,$C336,'TL15'!$J$238:$J$451),0),
IF('TL16'!$B$3=K$3,SUMIF('TL16'!$C$10:$C$224,$C336,'TL16'!$J$10:$J$224),0),
IF('TL16'!$B$229=K$3,SUMIF('TL16'!$C$238:$C$451,$C336,'TL16'!$J$238:$J$451),0),
IF('TL17'!$B$3=K$3,SUMIF('TL17'!$C$10:$C$224,$C336,'TL17'!$J$10:$J$224),0),
IF('TL17'!$B$229=K$3,SUMIF('TL17'!$C$238:$C$451,$C336,'TL17'!$J$238:$J$451),0),
IF('TL18'!$B$3=K$3,SUMIF('TL18'!$C$10:$C$224,$C336,'TL18'!$J$10:$J$224),0),
IF('TL18'!$B$229=K$3,SUMIF('TL18'!$C$238:$C$451,$C336,'TL18'!$J$238:$J$451),0),
IF('TL19'!$B$3=K$3,SUMIF('TL19'!$C$10:$C$224,$C336,'TL19'!$J$10:$J$224),0),
IF('TL19'!$B$229=K$3,SUMIF('TL19'!$C$238:$C$451,$C336,'TL19'!$J$238:$J$451),0)
),0)</f>
        <v>0</v>
      </c>
      <c r="L336" s="9">
        <f>IFERROR(SUM(
IF('TL01'!$B$3=L$3,SUMIF('TL01'!$C$10:$C$224,$C336,'TL01'!$J$10:$J$224),0),
IF('TL01'!$B$229=L$3,SUMIF('TL01'!$C$238:$C$451,$C336,'TL01'!$J$238:$J$451),0),
IF('TL02'!$B$3=L$3,SUMIF('TL02'!$C$10:$C$224,$C336,'TL02'!$J$10:$J$224),0),
IF('TL02'!$B$229=L$3,SUMIF('TL02'!$C$238:$C$451,$C336,'TL02'!$J$238:$J$451),0),
IF('TL03'!$B$3=L$3,SUMIF('TL03'!$C$10:$C$224,$C336,'TL03'!$J$10:$J$224),0),
IF('TL03'!$B$229=L$3,SUMIF('TL03'!$C$238:$C$451,$C336,'TL03'!$J$238:$J$451),0),
IF('TL04'!$B$3=L$3,SUMIF('TL04'!$C$10:$C$224,$C336,'TL04'!$J$10:$J$224),0),
IF('TL04'!$B$229=L$3,SUMIF('TL04'!$C$238:$C$451,$C336,'TL04'!$J$238:$J$451),0),
IF('TL05'!$B$3=L$3,SUMIF('TL05'!$C$10:$C$224,$C336,'TL05'!$J$10:$J$224),0),
IF('TL05'!$B$229=L$3,SUMIF('TL05'!$C$238:$C$451,$C336,'TL05'!$J$238:$J$451),0),
IF('TL06'!$B$3=L$3,SUMIF('TL06'!$C$10:$C$224,$C336,'TL06'!$J$10:$J$224),0),
IF('TL06'!$B$229=L$3,SUMIF('TL06'!$C$238:$C$451,$C336,'TL06'!$J$238:$J$451),0),
IF('TL07'!$B$3=L$3,SUMIF('TL07'!$C$10:$C$224,$C336,'TL07'!$J$10:$J$224),0),
IF('TL07'!$B$229=L$3,SUMIF('TL07'!$C$238:$C$451,$C336,'TL07'!$J$238:$J$451),0),
IF('TL08'!$B$3=L$3,SUMIF('TL08'!$C$10:$C$224,$C336,'TL08'!$J$10:$J$224),0),
IF('TL08'!$B$229=L$3,SUMIF('TL08'!$C$238:$C$451,$C336,'TL08'!$J$238:$J$451),0),
IF('TL09'!$B$3=L$3,SUMIF('TL09'!$C$10:$C$224,$C336,'TL09'!$J$10:$J$224),0),
IF('TL09'!$B$229=L$3,SUMIF('TL09'!$C$238:$C$451,$C336,'TL09'!$J$238:$J$451),0),
IF('TL10'!$B$3=L$3,SUMIF('TL10'!$C$10:$C$224,$C336,'TL10'!$J$10:$J$224),0),
IF('TL10'!$B$229=L$3,SUMIF('TL10'!$C$238:$C$451,$C336,'TL10'!$J$238:$J$451),0),
IF('TL11'!$B$3=L$3,SUMIF('TL11'!$C$10:$C$224,$C336,'TL11'!$J$10:$J$224),0),
IF('TL11'!$B$229=L$3,SUMIF('TL11'!$C$238:$C$451,$C336,'TL11'!$J$238:$J$451),0),
IF('TL12'!$B$3=L$3,SUMIF('TL12'!$C$10:$C$224,$C336,'TL12'!$J$10:$J$224),0),
IF('TL12'!$B$229=L$3,SUMIF('TL12'!$C$238:$C$451,$C336,'TL12'!$J$238:$J$451),0),
IF('TL13'!$B$3=L$3,SUMIF('TL13'!$C$10:$C$224,$C336,'TL13'!$J$10:$J$224),0),
IF('TL13'!$B$229=L$3,SUMIF('TL13'!$C$238:$C$451,$C336,'TL13'!$J$238:$J$451),0),
IF('TL14'!$B$3=L$3,SUMIF('TL14'!$C$10:$C$224,$C336,'TL14'!$J$10:$J$224),0),
IF('TL14'!$B$229=L$3,SUMIF('TL14'!$C$238:$C$451,$C336,'TL14'!$J$238:$J$451),0),
IF('TL15'!$B$3=L$3,SUMIF('TL15'!$C$10:$C$224,$C336,'TL15'!$J$10:$J$224),0),
IF('TL15'!$B$229=L$3,SUMIF('TL15'!$C$238:$C$451,$C336,'TL15'!$J$238:$J$451),0),
IF('TL16'!$B$3=L$3,SUMIF('TL16'!$C$10:$C$224,$C336,'TL16'!$J$10:$J$224),0),
IF('TL16'!$B$229=L$3,SUMIF('TL16'!$C$238:$C$451,$C336,'TL16'!$J$238:$J$451),0),
IF('TL17'!$B$3=L$3,SUMIF('TL17'!$C$10:$C$224,$C336,'TL17'!$J$10:$J$224),0),
IF('TL17'!$B$229=L$3,SUMIF('TL17'!$C$238:$C$451,$C336,'TL17'!$J$238:$J$451),0),
IF('TL18'!$B$3=L$3,SUMIF('TL18'!$C$10:$C$224,$C336,'TL18'!$J$10:$J$224),0),
IF('TL18'!$B$229=L$3,SUMIF('TL18'!$C$238:$C$451,$C336,'TL18'!$J$238:$J$451),0),
IF('TL19'!$B$3=L$3,SUMIF('TL19'!$C$10:$C$224,$C336,'TL19'!$J$10:$J$224),0),
IF('TL19'!$B$229=L$3,SUMIF('TL19'!$C$238:$C$451,$C336,'TL19'!$J$238:$J$451),0)
),0)</f>
        <v>0</v>
      </c>
      <c r="M336" s="9">
        <f>IFERROR(SUM(
IF('TL01'!$B$3=M$3,SUMIF('TL01'!$C$10:$C$224,$C336,'TL01'!$J$10:$J$224),0),
IF('TL01'!$B$229=M$3,SUMIF('TL01'!$C$238:$C$451,$C336,'TL01'!$J$238:$J$451),0),
IF('TL02'!$B$3=M$3,SUMIF('TL02'!$C$10:$C$224,$C336,'TL02'!$J$10:$J$224),0),
IF('TL02'!$B$229=M$3,SUMIF('TL02'!$C$238:$C$451,$C336,'TL02'!$J$238:$J$451),0),
IF('TL03'!$B$3=M$3,SUMIF('TL03'!$C$10:$C$224,$C336,'TL03'!$J$10:$J$224),0),
IF('TL03'!$B$229=M$3,SUMIF('TL03'!$C$238:$C$451,$C336,'TL03'!$J$238:$J$451),0),
IF('TL04'!$B$3=M$3,SUMIF('TL04'!$C$10:$C$224,$C336,'TL04'!$J$10:$J$224),0),
IF('TL04'!$B$229=M$3,SUMIF('TL04'!$C$238:$C$451,$C336,'TL04'!$J$238:$J$451),0),
IF('TL05'!$B$3=M$3,SUMIF('TL05'!$C$10:$C$224,$C336,'TL05'!$J$10:$J$224),0),
IF('TL05'!$B$229=M$3,SUMIF('TL05'!$C$238:$C$451,$C336,'TL05'!$J$238:$J$451),0),
IF('TL06'!$B$3=M$3,SUMIF('TL06'!$C$10:$C$224,$C336,'TL06'!$J$10:$J$224),0),
IF('TL06'!$B$229=M$3,SUMIF('TL06'!$C$238:$C$451,$C336,'TL06'!$J$238:$J$451),0),
IF('TL07'!$B$3=M$3,SUMIF('TL07'!$C$10:$C$224,$C336,'TL07'!$J$10:$J$224),0),
IF('TL07'!$B$229=M$3,SUMIF('TL07'!$C$238:$C$451,$C336,'TL07'!$J$238:$J$451),0),
IF('TL08'!$B$3=M$3,SUMIF('TL08'!$C$10:$C$224,$C336,'TL08'!$J$10:$J$224),0),
IF('TL08'!$B$229=M$3,SUMIF('TL08'!$C$238:$C$451,$C336,'TL08'!$J$238:$J$451),0),
IF('TL09'!$B$3=M$3,SUMIF('TL09'!$C$10:$C$224,$C336,'TL09'!$J$10:$J$224),0),
IF('TL09'!$B$229=M$3,SUMIF('TL09'!$C$238:$C$451,$C336,'TL09'!$J$238:$J$451),0),
IF('TL10'!$B$3=M$3,SUMIF('TL10'!$C$10:$C$224,$C336,'TL10'!$J$10:$J$224),0),
IF('TL10'!$B$229=M$3,SUMIF('TL10'!$C$238:$C$451,$C336,'TL10'!$J$238:$J$451),0),
IF('TL11'!$B$3=M$3,SUMIF('TL11'!$C$10:$C$224,$C336,'TL11'!$J$10:$J$224),0),
IF('TL11'!$B$229=M$3,SUMIF('TL11'!$C$238:$C$451,$C336,'TL11'!$J$238:$J$451),0),
IF('TL12'!$B$3=M$3,SUMIF('TL12'!$C$10:$C$224,$C336,'TL12'!$J$10:$J$224),0),
IF('TL12'!$B$229=M$3,SUMIF('TL12'!$C$238:$C$451,$C336,'TL12'!$J$238:$J$451),0),
IF('TL13'!$B$3=M$3,SUMIF('TL13'!$C$10:$C$224,$C336,'TL13'!$J$10:$J$224),0),
IF('TL13'!$B$229=M$3,SUMIF('TL13'!$C$238:$C$451,$C336,'TL13'!$J$238:$J$451),0),
IF('TL14'!$B$3=M$3,SUMIF('TL14'!$C$10:$C$224,$C336,'TL14'!$J$10:$J$224),0),
IF('TL14'!$B$229=M$3,SUMIF('TL14'!$C$238:$C$451,$C336,'TL14'!$J$238:$J$451),0),
IF('TL15'!$B$3=M$3,SUMIF('TL15'!$C$10:$C$224,$C336,'TL15'!$J$10:$J$224),0),
IF('TL15'!$B$229=M$3,SUMIF('TL15'!$C$238:$C$451,$C336,'TL15'!$J$238:$J$451),0),
IF('TL16'!$B$3=M$3,SUMIF('TL16'!$C$10:$C$224,$C336,'TL16'!$J$10:$J$224),0),
IF('TL16'!$B$229=M$3,SUMIF('TL16'!$C$238:$C$451,$C336,'TL16'!$J$238:$J$451),0),
IF('TL17'!$B$3=M$3,SUMIF('TL17'!$C$10:$C$224,$C336,'TL17'!$J$10:$J$224),0),
IF('TL17'!$B$229=M$3,SUMIF('TL17'!$C$238:$C$451,$C336,'TL17'!$J$238:$J$451),0),
IF('TL18'!$B$3=M$3,SUMIF('TL18'!$C$10:$C$224,$C336,'TL18'!$J$10:$J$224),0),
IF('TL18'!$B$229=M$3,SUMIF('TL18'!$C$238:$C$451,$C336,'TL18'!$J$238:$J$451),0),
IF('TL19'!$B$3=M$3,SUMIF('TL19'!$C$10:$C$224,$C336,'TL19'!$J$10:$J$224),0),
IF('TL19'!$B$229=M$3,SUMIF('TL19'!$C$238:$C$451,$C336,'TL19'!$J$238:$J$451),0)
),0)</f>
        <v>0</v>
      </c>
      <c r="N336" s="9">
        <f>IFERROR(SUM(
IF('TL01'!$B$3=N$3,SUMIF('TL01'!$C$10:$C$224,$C336,'TL01'!$J$10:$J$224),0),
IF('TL01'!$B$229=N$3,SUMIF('TL01'!$C$238:$C$451,$C336,'TL01'!$J$238:$J$451),0),
IF('TL02'!$B$3=N$3,SUMIF('TL02'!$C$10:$C$224,$C336,'TL02'!$J$10:$J$224),0),
IF('TL02'!$B$229=N$3,SUMIF('TL02'!$C$238:$C$451,$C336,'TL02'!$J$238:$J$451),0),
IF('TL03'!$B$3=N$3,SUMIF('TL03'!$C$10:$C$224,$C336,'TL03'!$J$10:$J$224),0),
IF('TL03'!$B$229=N$3,SUMIF('TL03'!$C$238:$C$451,$C336,'TL03'!$J$238:$J$451),0),
IF('TL04'!$B$3=N$3,SUMIF('TL04'!$C$10:$C$224,$C336,'TL04'!$J$10:$J$224),0),
IF('TL04'!$B$229=N$3,SUMIF('TL04'!$C$238:$C$451,$C336,'TL04'!$J$238:$J$451),0),
IF('TL05'!$B$3=N$3,SUMIF('TL05'!$C$10:$C$224,$C336,'TL05'!$J$10:$J$224),0),
IF('TL05'!$B$229=N$3,SUMIF('TL05'!$C$238:$C$451,$C336,'TL05'!$J$238:$J$451),0),
IF('TL06'!$B$3=N$3,SUMIF('TL06'!$C$10:$C$224,$C336,'TL06'!$J$10:$J$224),0),
IF('TL06'!$B$229=N$3,SUMIF('TL06'!$C$238:$C$451,$C336,'TL06'!$J$238:$J$451),0),
IF('TL07'!$B$3=N$3,SUMIF('TL07'!$C$10:$C$224,$C336,'TL07'!$J$10:$J$224),0),
IF('TL07'!$B$229=N$3,SUMIF('TL07'!$C$238:$C$451,$C336,'TL07'!$J$238:$J$451),0),
IF('TL08'!$B$3=N$3,SUMIF('TL08'!$C$10:$C$224,$C336,'TL08'!$J$10:$J$224),0),
IF('TL08'!$B$229=N$3,SUMIF('TL08'!$C$238:$C$451,$C336,'TL08'!$J$238:$J$451),0),
IF('TL09'!$B$3=N$3,SUMIF('TL09'!$C$10:$C$224,$C336,'TL09'!$J$10:$J$224),0),
IF('TL09'!$B$229=N$3,SUMIF('TL09'!$C$238:$C$451,$C336,'TL09'!$J$238:$J$451),0),
IF('TL10'!$B$3=N$3,SUMIF('TL10'!$C$10:$C$224,$C336,'TL10'!$J$10:$J$224),0),
IF('TL10'!$B$229=N$3,SUMIF('TL10'!$C$238:$C$451,$C336,'TL10'!$J$238:$J$451),0),
IF('TL11'!$B$3=N$3,SUMIF('TL11'!$C$10:$C$224,$C336,'TL11'!$J$10:$J$224),0),
IF('TL11'!$B$229=N$3,SUMIF('TL11'!$C$238:$C$451,$C336,'TL11'!$J$238:$J$451),0),
IF('TL12'!$B$3=N$3,SUMIF('TL12'!$C$10:$C$224,$C336,'TL12'!$J$10:$J$224),0),
IF('TL12'!$B$229=N$3,SUMIF('TL12'!$C$238:$C$451,$C336,'TL12'!$J$238:$J$451),0),
IF('TL13'!$B$3=N$3,SUMIF('TL13'!$C$10:$C$224,$C336,'TL13'!$J$10:$J$224),0),
IF('TL13'!$B$229=N$3,SUMIF('TL13'!$C$238:$C$451,$C336,'TL13'!$J$238:$J$451),0),
IF('TL14'!$B$3=N$3,SUMIF('TL14'!$C$10:$C$224,$C336,'TL14'!$J$10:$J$224),0),
IF('TL14'!$B$229=N$3,SUMIF('TL14'!$C$238:$C$451,$C336,'TL14'!$J$238:$J$451),0),
IF('TL15'!$B$3=N$3,SUMIF('TL15'!$C$10:$C$224,$C336,'TL15'!$J$10:$J$224),0),
IF('TL15'!$B$229=N$3,SUMIF('TL15'!$C$238:$C$451,$C336,'TL15'!$J$238:$J$451),0),
IF('TL16'!$B$3=N$3,SUMIF('TL16'!$C$10:$C$224,$C336,'TL16'!$J$10:$J$224),0),
IF('TL16'!$B$229=N$3,SUMIF('TL16'!$C$238:$C$451,$C336,'TL16'!$J$238:$J$451),0),
IF('TL17'!$B$3=N$3,SUMIF('TL17'!$C$10:$C$224,$C336,'TL17'!$J$10:$J$224),0),
IF('TL17'!$B$229=N$3,SUMIF('TL17'!$C$238:$C$451,$C336,'TL17'!$J$238:$J$451),0),
IF('TL18'!$B$3=N$3,SUMIF('TL18'!$C$10:$C$224,$C336,'TL18'!$J$10:$J$224),0),
IF('TL18'!$B$229=N$3,SUMIF('TL18'!$C$238:$C$451,$C336,'TL18'!$J$238:$J$451),0),
IF('TL19'!$B$3=N$3,SUMIF('TL19'!$C$10:$C$224,$C336,'TL19'!$J$10:$J$224),0),
IF('TL19'!$B$229=N$3,SUMIF('TL19'!$C$238:$C$451,$C336,'TL19'!$J$238:$J$451),0)
),0)</f>
        <v>0</v>
      </c>
      <c r="O336" s="9">
        <f>IFERROR(SUM(
IF('TL01'!$B$3=O$3,SUMIF('TL01'!$C$10:$C$224,$C336,'TL01'!$J$10:$J$224),0),
IF('TL01'!$B$229=O$3,SUMIF('TL01'!$C$238:$C$451,$C336,'TL01'!$J$238:$J$451),0),
IF('TL02'!$B$3=O$3,SUMIF('TL02'!$C$10:$C$224,$C336,'TL02'!$J$10:$J$224),0),
IF('TL02'!$B$229=O$3,SUMIF('TL02'!$C$238:$C$451,$C336,'TL02'!$J$238:$J$451),0),
IF('TL03'!$B$3=O$3,SUMIF('TL03'!$C$10:$C$224,$C336,'TL03'!$J$10:$J$224),0),
IF('TL03'!$B$229=O$3,SUMIF('TL03'!$C$238:$C$451,$C336,'TL03'!$J$238:$J$451),0),
IF('TL04'!$B$3=O$3,SUMIF('TL04'!$C$10:$C$224,$C336,'TL04'!$J$10:$J$224),0),
IF('TL04'!$B$229=O$3,SUMIF('TL04'!$C$238:$C$451,$C336,'TL04'!$J$238:$J$451),0),
IF('TL05'!$B$3=O$3,SUMIF('TL05'!$C$10:$C$224,$C336,'TL05'!$J$10:$J$224),0),
IF('TL05'!$B$229=O$3,SUMIF('TL05'!$C$238:$C$451,$C336,'TL05'!$J$238:$J$451),0),
IF('TL06'!$B$3=O$3,SUMIF('TL06'!$C$10:$C$224,$C336,'TL06'!$J$10:$J$224),0),
IF('TL06'!$B$229=O$3,SUMIF('TL06'!$C$238:$C$451,$C336,'TL06'!$J$238:$J$451),0),
IF('TL07'!$B$3=O$3,SUMIF('TL07'!$C$10:$C$224,$C336,'TL07'!$J$10:$J$224),0),
IF('TL07'!$B$229=O$3,SUMIF('TL07'!$C$238:$C$451,$C336,'TL07'!$J$238:$J$451),0),
IF('TL08'!$B$3=O$3,SUMIF('TL08'!$C$10:$C$224,$C336,'TL08'!$J$10:$J$224),0),
IF('TL08'!$B$229=O$3,SUMIF('TL08'!$C$238:$C$451,$C336,'TL08'!$J$238:$J$451),0),
IF('TL09'!$B$3=O$3,SUMIF('TL09'!$C$10:$C$224,$C336,'TL09'!$J$10:$J$224),0),
IF('TL09'!$B$229=O$3,SUMIF('TL09'!$C$238:$C$451,$C336,'TL09'!$J$238:$J$451),0),
IF('TL10'!$B$3=O$3,SUMIF('TL10'!$C$10:$C$224,$C336,'TL10'!$J$10:$J$224),0),
IF('TL10'!$B$229=O$3,SUMIF('TL10'!$C$238:$C$451,$C336,'TL10'!$J$238:$J$451),0),
IF('TL11'!$B$3=O$3,SUMIF('TL11'!$C$10:$C$224,$C336,'TL11'!$J$10:$J$224),0),
IF('TL11'!$B$229=O$3,SUMIF('TL11'!$C$238:$C$451,$C336,'TL11'!$J$238:$J$451),0),
IF('TL12'!$B$3=O$3,SUMIF('TL12'!$C$10:$C$224,$C336,'TL12'!$J$10:$J$224),0),
IF('TL12'!$B$229=O$3,SUMIF('TL12'!$C$238:$C$451,$C336,'TL12'!$J$238:$J$451),0),
IF('TL13'!$B$3=O$3,SUMIF('TL13'!$C$10:$C$224,$C336,'TL13'!$J$10:$J$224),0),
IF('TL13'!$B$229=O$3,SUMIF('TL13'!$C$238:$C$451,$C336,'TL13'!$J$238:$J$451),0),
IF('TL14'!$B$3=O$3,SUMIF('TL14'!$C$10:$C$224,$C336,'TL14'!$J$10:$J$224),0),
IF('TL14'!$B$229=O$3,SUMIF('TL14'!$C$238:$C$451,$C336,'TL14'!$J$238:$J$451),0),
IF('TL15'!$B$3=O$3,SUMIF('TL15'!$C$10:$C$224,$C336,'TL15'!$J$10:$J$224),0),
IF('TL15'!$B$229=O$3,SUMIF('TL15'!$C$238:$C$451,$C336,'TL15'!$J$238:$J$451),0),
IF('TL16'!$B$3=O$3,SUMIF('TL16'!$C$10:$C$224,$C336,'TL16'!$J$10:$J$224),0),
IF('TL16'!$B$229=O$3,SUMIF('TL16'!$C$238:$C$451,$C336,'TL16'!$J$238:$J$451),0),
IF('TL17'!$B$3=O$3,SUMIF('TL17'!$C$10:$C$224,$C336,'TL17'!$J$10:$J$224),0),
IF('TL17'!$B$229=O$3,SUMIF('TL17'!$C$238:$C$451,$C336,'TL17'!$J$238:$J$451),0),
IF('TL18'!$B$3=O$3,SUMIF('TL18'!$C$10:$C$224,$C336,'TL18'!$J$10:$J$224),0),
IF('TL18'!$B$229=O$3,SUMIF('TL18'!$C$238:$C$451,$C336,'TL18'!$J$238:$J$451),0),
IF('TL19'!$B$3=O$3,SUMIF('TL19'!$C$10:$C$224,$C336,'TL19'!$J$10:$J$224),0),
IF('TL19'!$B$229=O$3,SUMIF('TL19'!$C$238:$C$451,$C336,'TL19'!$J$238:$J$451),0)
),0)</f>
        <v>0</v>
      </c>
      <c r="P336" s="9">
        <f>IFERROR(SUM(
IF('TL01'!$B$3=P$3,SUMIF('TL01'!$C$10:$C$224,$C336,'TL01'!$J$10:$J$224),0),
IF('TL01'!$B$229=P$3,SUMIF('TL01'!$C$238:$C$451,$C336,'TL01'!$J$238:$J$451),0),
IF('TL02'!$B$3=P$3,SUMIF('TL02'!$C$10:$C$224,$C336,'TL02'!$J$10:$J$224),0),
IF('TL02'!$B$229=P$3,SUMIF('TL02'!$C$238:$C$451,$C336,'TL02'!$J$238:$J$451),0),
IF('TL03'!$B$3=P$3,SUMIF('TL03'!$C$10:$C$224,$C336,'TL03'!$J$10:$J$224),0),
IF('TL03'!$B$229=P$3,SUMIF('TL03'!$C$238:$C$451,$C336,'TL03'!$J$238:$J$451),0),
IF('TL04'!$B$3=P$3,SUMIF('TL04'!$C$10:$C$224,$C336,'TL04'!$J$10:$J$224),0),
IF('TL04'!$B$229=P$3,SUMIF('TL04'!$C$238:$C$451,$C336,'TL04'!$J$238:$J$451),0),
IF('TL05'!$B$3=P$3,SUMIF('TL05'!$C$10:$C$224,$C336,'TL05'!$J$10:$J$224),0),
IF('TL05'!$B$229=P$3,SUMIF('TL05'!$C$238:$C$451,$C336,'TL05'!$J$238:$J$451),0),
IF('TL06'!$B$3=P$3,SUMIF('TL06'!$C$10:$C$224,$C336,'TL06'!$J$10:$J$224),0),
IF('TL06'!$B$229=P$3,SUMIF('TL06'!$C$238:$C$451,$C336,'TL06'!$J$238:$J$451),0),
IF('TL07'!$B$3=P$3,SUMIF('TL07'!$C$10:$C$224,$C336,'TL07'!$J$10:$J$224),0),
IF('TL07'!$B$229=P$3,SUMIF('TL07'!$C$238:$C$451,$C336,'TL07'!$J$238:$J$451),0),
IF('TL08'!$B$3=P$3,SUMIF('TL08'!$C$10:$C$224,$C336,'TL08'!$J$10:$J$224),0),
IF('TL08'!$B$229=P$3,SUMIF('TL08'!$C$238:$C$451,$C336,'TL08'!$J$238:$J$451),0),
IF('TL09'!$B$3=P$3,SUMIF('TL09'!$C$10:$C$224,$C336,'TL09'!$J$10:$J$224),0),
IF('TL09'!$B$229=P$3,SUMIF('TL09'!$C$238:$C$451,$C336,'TL09'!$J$238:$J$451),0),
IF('TL10'!$B$3=P$3,SUMIF('TL10'!$C$10:$C$224,$C336,'TL10'!$J$10:$J$224),0),
IF('TL10'!$B$229=P$3,SUMIF('TL10'!$C$238:$C$451,$C336,'TL10'!$J$238:$J$451),0),
IF('TL11'!$B$3=P$3,SUMIF('TL11'!$C$10:$C$224,$C336,'TL11'!$J$10:$J$224),0),
IF('TL11'!$B$229=P$3,SUMIF('TL11'!$C$238:$C$451,$C336,'TL11'!$J$238:$J$451),0),
IF('TL12'!$B$3=P$3,SUMIF('TL12'!$C$10:$C$224,$C336,'TL12'!$J$10:$J$224),0),
IF('TL12'!$B$229=P$3,SUMIF('TL12'!$C$238:$C$451,$C336,'TL12'!$J$238:$J$451),0),
IF('TL13'!$B$3=P$3,SUMIF('TL13'!$C$10:$C$224,$C336,'TL13'!$J$10:$J$224),0),
IF('TL13'!$B$229=P$3,SUMIF('TL13'!$C$238:$C$451,$C336,'TL13'!$J$238:$J$451),0),
IF('TL14'!$B$3=P$3,SUMIF('TL14'!$C$10:$C$224,$C336,'TL14'!$J$10:$J$224),0),
IF('TL14'!$B$229=P$3,SUMIF('TL14'!$C$238:$C$451,$C336,'TL14'!$J$238:$J$451),0),
IF('TL15'!$B$3=P$3,SUMIF('TL15'!$C$10:$C$224,$C336,'TL15'!$J$10:$J$224),0),
IF('TL15'!$B$229=P$3,SUMIF('TL15'!$C$238:$C$451,$C336,'TL15'!$J$238:$J$451),0),
IF('TL16'!$B$3=P$3,SUMIF('TL16'!$C$10:$C$224,$C336,'TL16'!$J$10:$J$224),0),
IF('TL16'!$B$229=P$3,SUMIF('TL16'!$C$238:$C$451,$C336,'TL16'!$J$238:$J$451),0),
IF('TL17'!$B$3=P$3,SUMIF('TL17'!$C$10:$C$224,$C336,'TL17'!$J$10:$J$224),0),
IF('TL17'!$B$229=P$3,SUMIF('TL17'!$C$238:$C$451,$C336,'TL17'!$J$238:$J$451),0),
IF('TL18'!$B$3=P$3,SUMIF('TL18'!$C$10:$C$224,$C336,'TL18'!$J$10:$J$224),0),
IF('TL18'!$B$229=P$3,SUMIF('TL18'!$C$238:$C$451,$C336,'TL18'!$J$238:$J$451),0),
IF('TL19'!$B$3=P$3,SUMIF('TL19'!$C$10:$C$224,$C336,'TL19'!$J$10:$J$224),0),
IF('TL19'!$B$229=P$3,SUMIF('TL19'!$C$238:$C$451,$C336,'TL19'!$J$238:$J$451),0)
),0)</f>
        <v>0</v>
      </c>
      <c r="Q336" s="9">
        <f>IFERROR(SUM(
IF('TL01'!$B$3=Q$3,SUMIF('TL01'!$C$10:$C$224,$C336,'TL01'!$J$10:$J$224),0),
IF('TL01'!$B$229=Q$3,SUMIF('TL01'!$C$238:$C$451,$C336,'TL01'!$J$238:$J$451),0),
IF('TL02'!$B$3=Q$3,SUMIF('TL02'!$C$10:$C$224,$C336,'TL02'!$J$10:$J$224),0),
IF('TL02'!$B$229=Q$3,SUMIF('TL02'!$C$238:$C$451,$C336,'TL02'!$J$238:$J$451),0),
IF('TL03'!$B$3=Q$3,SUMIF('TL03'!$C$10:$C$224,$C336,'TL03'!$J$10:$J$224),0),
IF('TL03'!$B$229=Q$3,SUMIF('TL03'!$C$238:$C$451,$C336,'TL03'!$J$238:$J$451),0),
IF('TL04'!$B$3=Q$3,SUMIF('TL04'!$C$10:$C$224,$C336,'TL04'!$J$10:$J$224),0),
IF('TL04'!$B$229=Q$3,SUMIF('TL04'!$C$238:$C$451,$C336,'TL04'!$J$238:$J$451),0),
IF('TL05'!$B$3=Q$3,SUMIF('TL05'!$C$10:$C$224,$C336,'TL05'!$J$10:$J$224),0),
IF('TL05'!$B$229=Q$3,SUMIF('TL05'!$C$238:$C$451,$C336,'TL05'!$J$238:$J$451),0),
IF('TL06'!$B$3=Q$3,SUMIF('TL06'!$C$10:$C$224,$C336,'TL06'!$J$10:$J$224),0),
IF('TL06'!$B$229=Q$3,SUMIF('TL06'!$C$238:$C$451,$C336,'TL06'!$J$238:$J$451),0),
IF('TL07'!$B$3=Q$3,SUMIF('TL07'!$C$10:$C$224,$C336,'TL07'!$J$10:$J$224),0),
IF('TL07'!$B$229=Q$3,SUMIF('TL07'!$C$238:$C$451,$C336,'TL07'!$J$238:$J$451),0),
IF('TL08'!$B$3=Q$3,SUMIF('TL08'!$C$10:$C$224,$C336,'TL08'!$J$10:$J$224),0),
IF('TL08'!$B$229=Q$3,SUMIF('TL08'!$C$238:$C$451,$C336,'TL08'!$J$238:$J$451),0),
IF('TL09'!$B$3=Q$3,SUMIF('TL09'!$C$10:$C$224,$C336,'TL09'!$J$10:$J$224),0),
IF('TL09'!$B$229=Q$3,SUMIF('TL09'!$C$238:$C$451,$C336,'TL09'!$J$238:$J$451),0),
IF('TL10'!$B$3=Q$3,SUMIF('TL10'!$C$10:$C$224,$C336,'TL10'!$J$10:$J$224),0),
IF('TL10'!$B$229=Q$3,SUMIF('TL10'!$C$238:$C$451,$C336,'TL10'!$J$238:$J$451),0),
IF('TL11'!$B$3=Q$3,SUMIF('TL11'!$C$10:$C$224,$C336,'TL11'!$J$10:$J$224),0),
IF('TL11'!$B$229=Q$3,SUMIF('TL11'!$C$238:$C$451,$C336,'TL11'!$J$238:$J$451),0),
IF('TL12'!$B$3=Q$3,SUMIF('TL12'!$C$10:$C$224,$C336,'TL12'!$J$10:$J$224),0),
IF('TL12'!$B$229=Q$3,SUMIF('TL12'!$C$238:$C$451,$C336,'TL12'!$J$238:$J$451),0),
IF('TL13'!$B$3=Q$3,SUMIF('TL13'!$C$10:$C$224,$C336,'TL13'!$J$10:$J$224),0),
IF('TL13'!$B$229=Q$3,SUMIF('TL13'!$C$238:$C$451,$C336,'TL13'!$J$238:$J$451),0),
IF('TL14'!$B$3=Q$3,SUMIF('TL14'!$C$10:$C$224,$C336,'TL14'!$J$10:$J$224),0),
IF('TL14'!$B$229=Q$3,SUMIF('TL14'!$C$238:$C$451,$C336,'TL14'!$J$238:$J$451),0),
IF('TL15'!$B$3=Q$3,SUMIF('TL15'!$C$10:$C$224,$C336,'TL15'!$J$10:$J$224),0),
IF('TL15'!$B$229=Q$3,SUMIF('TL15'!$C$238:$C$451,$C336,'TL15'!$J$238:$J$451),0),
IF('TL16'!$B$3=Q$3,SUMIF('TL16'!$C$10:$C$224,$C336,'TL16'!$J$10:$J$224),0),
IF('TL16'!$B$229=Q$3,SUMIF('TL16'!$C$238:$C$451,$C336,'TL16'!$J$238:$J$451),0),
IF('TL17'!$B$3=Q$3,SUMIF('TL17'!$C$10:$C$224,$C336,'TL17'!$J$10:$J$224),0),
IF('TL17'!$B$229=Q$3,SUMIF('TL17'!$C$238:$C$451,$C336,'TL17'!$J$238:$J$451),0),
IF('TL18'!$B$3=Q$3,SUMIF('TL18'!$C$10:$C$224,$C336,'TL18'!$J$10:$J$224),0),
IF('TL18'!$B$229=Q$3,SUMIF('TL18'!$C$238:$C$451,$C336,'TL18'!$J$238:$J$451),0),
IF('TL19'!$B$3=Q$3,SUMIF('TL19'!$C$10:$C$224,$C336,'TL19'!$J$10:$J$224),0),
IF('TL19'!$B$229=Q$3,SUMIF('TL19'!$C$238:$C$451,$C336,'TL19'!$J$238:$J$451),0)
),0)</f>
        <v>0</v>
      </c>
      <c r="R336" s="9">
        <f>IFERROR(
SUM(
SUMIF('TL01'!C:C,C336,'TL01'!J:J),
SUMIF('TL02'!C:C,C336,'TL02'!J:J),
SUMIF('TL03'!C:C,C336,'TL03'!J:J),
SUMIF('TL04'!C:C,C336,'TL04'!J:J),
SUMIF('TL05'!C:C,C336,'TL05'!J:J),
SUMIF('TL06'!C:C,C336,'TL06'!J:J),
SUMIF('TL07'!C:C,C336,'TL07'!J:J),
SUMIF('TL08'!C:C,C336,'TL08'!J:J),
SUMIF('TL09'!C:C,C336,'TL09'!J:J),
SUMIF('TL10'!C:C,C336,'TL10'!J:J),
SUMIF('TL11'!C:C,C336,'TL11'!J:J),
SUMIF('TL12'!C:C,C336,'TL12'!J:J),
SUMIF('TL13'!C:C,C336,'TL13'!J:J),
SUMIF('TL14'!C:C,C336,'TL14'!J:J),
SUMIF('TL15'!C:C,C336,'TL15'!J:J),
SUMIF('TL16'!C:C,C336,'TL16'!J:J),
SUMIF('TL17'!C:C,C336,'TL17'!J:J),
SUMIF('TL18'!C:C,C336,'TL18'!J:J),SUMIF('TL19'!C:C,C336,'TL19'!J:J))
,0)</f>
        <v>0</v>
      </c>
      <c r="S336" s="17" t="str">
        <f>IFERROR(__xludf.DUMMYFUNCTION("IFERROR(VLOOKUP(C336,
IMPORTRANGE(""1wULbzX32WdYsx-lj2U3uUNBBe2INVIRDtcK0d-Dvl90"",
""26-27!C:G""),
5,
FALSE),
"""")"),"")</f>
        <v/>
      </c>
      <c r="T336" s="9"/>
      <c r="U336" s="92">
        <f t="shared" si="2"/>
        <v>0</v>
      </c>
      <c r="V336" s="93">
        <f t="shared" si="3"/>
        <v>0</v>
      </c>
    </row>
    <row r="337" ht="15.75" hidden="1" customHeight="1">
      <c r="A337" s="4"/>
      <c r="B337" s="125" t="s">
        <v>5</v>
      </c>
      <c r="C337" s="6"/>
      <c r="D337" s="6"/>
      <c r="E337" s="9"/>
      <c r="F337" s="4"/>
      <c r="G337" s="90" t="str">
        <f t="shared" si="5"/>
        <v>📄 Ver bula</v>
      </c>
      <c r="H337" s="9"/>
      <c r="I337" s="1"/>
      <c r="J337" s="9">
        <f>IFERROR(SUM(
IF('TL01'!$B$3=J$3,SUMIF('TL01'!$C$10:$C$224,$C337,'TL01'!$J$10:$J$224),0),
IF('TL01'!$B$229=J$3,SUMIF('TL01'!$C$238:$C$451,$C337,'TL01'!$J$238:$J$451),0),
IF('TL02'!$B$3=J$3,SUMIF('TL02'!$C$10:$C$224,$C337,'TL02'!$J$10:$J$224),0),
IF('TL02'!$B$229=J$3,SUMIF('TL02'!$C$238:$C$451,$C337,'TL02'!$J$238:$J$451),0),
IF('TL03'!$B$3=J$3,SUMIF('TL03'!$C$10:$C$224,$C337,'TL03'!$J$10:$J$224),0),
IF('TL03'!$B$229=J$3,SUMIF('TL03'!$C$238:$C$451,$C337,'TL03'!$J$238:$J$451),0),
IF('TL04'!$B$3=J$3,SUMIF('TL04'!$C$10:$C$224,$C337,'TL04'!$J$10:$J$224),0),
IF('TL04'!$B$229=J$3,SUMIF('TL04'!$C$238:$C$451,$C337,'TL04'!$J$238:$J$451),0),
IF('TL05'!$B$3=J$3,SUMIF('TL05'!$C$10:$C$224,$C337,'TL05'!$J$10:$J$224),0),
IF('TL05'!$B$229=J$3,SUMIF('TL05'!$C$238:$C$451,$C337,'TL05'!$J$238:$J$451),0),
IF('TL06'!$B$3=J$3,SUMIF('TL06'!$C$10:$C$224,$C337,'TL06'!$J$10:$J$224),0),
IF('TL06'!$B$229=J$3,SUMIF('TL06'!$C$238:$C$451,$C337,'TL06'!$J$238:$J$451),0),
IF('TL07'!$B$3=J$3,SUMIF('TL07'!$C$10:$C$224,$C337,'TL07'!$J$10:$J$224),0),
IF('TL07'!$B$229=J$3,SUMIF('TL07'!$C$238:$C$451,$C337,'TL07'!$J$238:$J$451),0),
IF('TL08'!$B$3=J$3,SUMIF('TL08'!$C$10:$C$224,$C337,'TL08'!$J$10:$J$224),0),
IF('TL08'!$B$229=J$3,SUMIF('TL08'!$C$238:$C$451,$C337,'TL08'!$J$238:$J$451),0),
IF('TL09'!$B$3=J$3,SUMIF('TL09'!$C$10:$C$224,$C337,'TL09'!$J$10:$J$224),0),
IF('TL09'!$B$229=J$3,SUMIF('TL09'!$C$238:$C$451,$C337,'TL09'!$J$238:$J$451),0),
IF('TL10'!$B$3=J$3,SUMIF('TL10'!$C$10:$C$224,$C337,'TL10'!$J$10:$J$224),0),
IF('TL10'!$B$229=J$3,SUMIF('TL10'!$C$238:$C$451,$C337,'TL10'!$J$238:$J$451),0),
IF('TL11'!$B$3=J$3,SUMIF('TL11'!$C$10:$C$224,$C337,'TL11'!$J$10:$J$224),0),
IF('TL11'!$B$229=J$3,SUMIF('TL11'!$C$238:$C$451,$C337,'TL11'!$J$238:$J$451),0),
IF('TL12'!$B$3=J$3,SUMIF('TL12'!$C$10:$C$224,$C337,'TL12'!$J$10:$J$224),0),
IF('TL12'!$B$229=J$3,SUMIF('TL12'!$C$238:$C$451,$C337,'TL12'!$J$238:$J$451),0),
IF('TL13'!$B$3=J$3,SUMIF('TL13'!$C$10:$C$224,$C337,'TL13'!$J$10:$J$224),0),
IF('TL13'!$B$229=J$3,SUMIF('TL13'!$C$238:$C$451,$C337,'TL13'!$J$238:$J$451),0),
IF('TL14'!$B$3=J$3,SUMIF('TL14'!$C$10:$C$224,$C337,'TL14'!$J$10:$J$224),0),
IF('TL14'!$B$229=J$3,SUMIF('TL14'!$C$238:$C$451,$C337,'TL14'!$J$238:$J$451),0),
IF('TL15'!$B$3=J$3,SUMIF('TL15'!$C$10:$C$224,$C337,'TL15'!$J$10:$J$224),0),
IF('TL15'!$B$229=J$3,SUMIF('TL15'!$C$238:$C$451,$C337,'TL15'!$J$238:$J$451),0),
IF('TL16'!$B$3=J$3,SUMIF('TL16'!$C$10:$C$224,$C337,'TL16'!$J$10:$J$224),0),
IF('TL16'!$B$229=J$3,SUMIF('TL16'!$C$238:$C$451,$C337,'TL16'!$J$238:$J$451),0),
IF('TL17'!$B$3=J$3,SUMIF('TL17'!$C$10:$C$224,$C337,'TL17'!$J$10:$J$224),0),
IF('TL17'!$B$229=J$3,SUMIF('TL17'!$C$238:$C$451,$C337,'TL17'!$J$238:$J$451),0),
IF('TL18'!$B$3=J$3,SUMIF('TL18'!$C$10:$C$224,$C337,'TL18'!$J$10:$J$224),0),
IF('TL18'!$B$229=J$3,SUMIF('TL18'!$C$238:$C$451,$C337,'TL18'!$J$238:$J$451),0),
IF('TL19'!$B$3=J$3,SUMIF('TL19'!$C$10:$C$224,$C337,'TL19'!$J$10:$J$224),0),
IF('TL19'!$B$229=J$3,SUMIF('TL19'!$C$238:$C$451,$C337,'TL19'!$J$238:$J$451),0)
),0)</f>
        <v>0</v>
      </c>
      <c r="K337" s="9">
        <f>IFERROR(SUM(
IF('TL01'!$B$3=K$3,SUMIF('TL01'!$C$10:$C$224,$C337,'TL01'!$J$10:$J$224),0),
IF('TL01'!$B$229=K$3,SUMIF('TL01'!$C$238:$C$451,$C337,'TL01'!$J$238:$J$451),0),
IF('TL02'!$B$3=K$3,SUMIF('TL02'!$C$10:$C$224,$C337,'TL02'!$J$10:$J$224),0),
IF('TL02'!$B$229=K$3,SUMIF('TL02'!$C$238:$C$451,$C337,'TL02'!$J$238:$J$451),0),
IF('TL03'!$B$3=K$3,SUMIF('TL03'!$C$10:$C$224,$C337,'TL03'!$J$10:$J$224),0),
IF('TL03'!$B$229=K$3,SUMIF('TL03'!$C$238:$C$451,$C337,'TL03'!$J$238:$J$451),0),
IF('TL04'!$B$3=K$3,SUMIF('TL04'!$C$10:$C$224,$C337,'TL04'!$J$10:$J$224),0),
IF('TL04'!$B$229=K$3,SUMIF('TL04'!$C$238:$C$451,$C337,'TL04'!$J$238:$J$451),0),
IF('TL05'!$B$3=K$3,SUMIF('TL05'!$C$10:$C$224,$C337,'TL05'!$J$10:$J$224),0),
IF('TL05'!$B$229=K$3,SUMIF('TL05'!$C$238:$C$451,$C337,'TL05'!$J$238:$J$451),0),
IF('TL06'!$B$3=K$3,SUMIF('TL06'!$C$10:$C$224,$C337,'TL06'!$J$10:$J$224),0),
IF('TL06'!$B$229=K$3,SUMIF('TL06'!$C$238:$C$451,$C337,'TL06'!$J$238:$J$451),0),
IF('TL07'!$B$3=K$3,SUMIF('TL07'!$C$10:$C$224,$C337,'TL07'!$J$10:$J$224),0),
IF('TL07'!$B$229=K$3,SUMIF('TL07'!$C$238:$C$451,$C337,'TL07'!$J$238:$J$451),0),
IF('TL08'!$B$3=K$3,SUMIF('TL08'!$C$10:$C$224,$C337,'TL08'!$J$10:$J$224),0),
IF('TL08'!$B$229=K$3,SUMIF('TL08'!$C$238:$C$451,$C337,'TL08'!$J$238:$J$451),0),
IF('TL09'!$B$3=K$3,SUMIF('TL09'!$C$10:$C$224,$C337,'TL09'!$J$10:$J$224),0),
IF('TL09'!$B$229=K$3,SUMIF('TL09'!$C$238:$C$451,$C337,'TL09'!$J$238:$J$451),0),
IF('TL10'!$B$3=K$3,SUMIF('TL10'!$C$10:$C$224,$C337,'TL10'!$J$10:$J$224),0),
IF('TL10'!$B$229=K$3,SUMIF('TL10'!$C$238:$C$451,$C337,'TL10'!$J$238:$J$451),0),
IF('TL11'!$B$3=K$3,SUMIF('TL11'!$C$10:$C$224,$C337,'TL11'!$J$10:$J$224),0),
IF('TL11'!$B$229=K$3,SUMIF('TL11'!$C$238:$C$451,$C337,'TL11'!$J$238:$J$451),0),
IF('TL12'!$B$3=K$3,SUMIF('TL12'!$C$10:$C$224,$C337,'TL12'!$J$10:$J$224),0),
IF('TL12'!$B$229=K$3,SUMIF('TL12'!$C$238:$C$451,$C337,'TL12'!$J$238:$J$451),0),
IF('TL13'!$B$3=K$3,SUMIF('TL13'!$C$10:$C$224,$C337,'TL13'!$J$10:$J$224),0),
IF('TL13'!$B$229=K$3,SUMIF('TL13'!$C$238:$C$451,$C337,'TL13'!$J$238:$J$451),0),
IF('TL14'!$B$3=K$3,SUMIF('TL14'!$C$10:$C$224,$C337,'TL14'!$J$10:$J$224),0),
IF('TL14'!$B$229=K$3,SUMIF('TL14'!$C$238:$C$451,$C337,'TL14'!$J$238:$J$451),0),
IF('TL15'!$B$3=K$3,SUMIF('TL15'!$C$10:$C$224,$C337,'TL15'!$J$10:$J$224),0),
IF('TL15'!$B$229=K$3,SUMIF('TL15'!$C$238:$C$451,$C337,'TL15'!$J$238:$J$451),0),
IF('TL16'!$B$3=K$3,SUMIF('TL16'!$C$10:$C$224,$C337,'TL16'!$J$10:$J$224),0),
IF('TL16'!$B$229=K$3,SUMIF('TL16'!$C$238:$C$451,$C337,'TL16'!$J$238:$J$451),0),
IF('TL17'!$B$3=K$3,SUMIF('TL17'!$C$10:$C$224,$C337,'TL17'!$J$10:$J$224),0),
IF('TL17'!$B$229=K$3,SUMIF('TL17'!$C$238:$C$451,$C337,'TL17'!$J$238:$J$451),0),
IF('TL18'!$B$3=K$3,SUMIF('TL18'!$C$10:$C$224,$C337,'TL18'!$J$10:$J$224),0),
IF('TL18'!$B$229=K$3,SUMIF('TL18'!$C$238:$C$451,$C337,'TL18'!$J$238:$J$451),0),
IF('TL19'!$B$3=K$3,SUMIF('TL19'!$C$10:$C$224,$C337,'TL19'!$J$10:$J$224),0),
IF('TL19'!$B$229=K$3,SUMIF('TL19'!$C$238:$C$451,$C337,'TL19'!$J$238:$J$451),0)
),0)</f>
        <v>0</v>
      </c>
      <c r="L337" s="9">
        <f>IFERROR(SUM(
IF('TL01'!$B$3=L$3,SUMIF('TL01'!$C$10:$C$224,$C337,'TL01'!$J$10:$J$224),0),
IF('TL01'!$B$229=L$3,SUMIF('TL01'!$C$238:$C$451,$C337,'TL01'!$J$238:$J$451),0),
IF('TL02'!$B$3=L$3,SUMIF('TL02'!$C$10:$C$224,$C337,'TL02'!$J$10:$J$224),0),
IF('TL02'!$B$229=L$3,SUMIF('TL02'!$C$238:$C$451,$C337,'TL02'!$J$238:$J$451),0),
IF('TL03'!$B$3=L$3,SUMIF('TL03'!$C$10:$C$224,$C337,'TL03'!$J$10:$J$224),0),
IF('TL03'!$B$229=L$3,SUMIF('TL03'!$C$238:$C$451,$C337,'TL03'!$J$238:$J$451),0),
IF('TL04'!$B$3=L$3,SUMIF('TL04'!$C$10:$C$224,$C337,'TL04'!$J$10:$J$224),0),
IF('TL04'!$B$229=L$3,SUMIF('TL04'!$C$238:$C$451,$C337,'TL04'!$J$238:$J$451),0),
IF('TL05'!$B$3=L$3,SUMIF('TL05'!$C$10:$C$224,$C337,'TL05'!$J$10:$J$224),0),
IF('TL05'!$B$229=L$3,SUMIF('TL05'!$C$238:$C$451,$C337,'TL05'!$J$238:$J$451),0),
IF('TL06'!$B$3=L$3,SUMIF('TL06'!$C$10:$C$224,$C337,'TL06'!$J$10:$J$224),0),
IF('TL06'!$B$229=L$3,SUMIF('TL06'!$C$238:$C$451,$C337,'TL06'!$J$238:$J$451),0),
IF('TL07'!$B$3=L$3,SUMIF('TL07'!$C$10:$C$224,$C337,'TL07'!$J$10:$J$224),0),
IF('TL07'!$B$229=L$3,SUMIF('TL07'!$C$238:$C$451,$C337,'TL07'!$J$238:$J$451),0),
IF('TL08'!$B$3=L$3,SUMIF('TL08'!$C$10:$C$224,$C337,'TL08'!$J$10:$J$224),0),
IF('TL08'!$B$229=L$3,SUMIF('TL08'!$C$238:$C$451,$C337,'TL08'!$J$238:$J$451),0),
IF('TL09'!$B$3=L$3,SUMIF('TL09'!$C$10:$C$224,$C337,'TL09'!$J$10:$J$224),0),
IF('TL09'!$B$229=L$3,SUMIF('TL09'!$C$238:$C$451,$C337,'TL09'!$J$238:$J$451),0),
IF('TL10'!$B$3=L$3,SUMIF('TL10'!$C$10:$C$224,$C337,'TL10'!$J$10:$J$224),0),
IF('TL10'!$B$229=L$3,SUMIF('TL10'!$C$238:$C$451,$C337,'TL10'!$J$238:$J$451),0),
IF('TL11'!$B$3=L$3,SUMIF('TL11'!$C$10:$C$224,$C337,'TL11'!$J$10:$J$224),0),
IF('TL11'!$B$229=L$3,SUMIF('TL11'!$C$238:$C$451,$C337,'TL11'!$J$238:$J$451),0),
IF('TL12'!$B$3=L$3,SUMIF('TL12'!$C$10:$C$224,$C337,'TL12'!$J$10:$J$224),0),
IF('TL12'!$B$229=L$3,SUMIF('TL12'!$C$238:$C$451,$C337,'TL12'!$J$238:$J$451),0),
IF('TL13'!$B$3=L$3,SUMIF('TL13'!$C$10:$C$224,$C337,'TL13'!$J$10:$J$224),0),
IF('TL13'!$B$229=L$3,SUMIF('TL13'!$C$238:$C$451,$C337,'TL13'!$J$238:$J$451),0),
IF('TL14'!$B$3=L$3,SUMIF('TL14'!$C$10:$C$224,$C337,'TL14'!$J$10:$J$224),0),
IF('TL14'!$B$229=L$3,SUMIF('TL14'!$C$238:$C$451,$C337,'TL14'!$J$238:$J$451),0),
IF('TL15'!$B$3=L$3,SUMIF('TL15'!$C$10:$C$224,$C337,'TL15'!$J$10:$J$224),0),
IF('TL15'!$B$229=L$3,SUMIF('TL15'!$C$238:$C$451,$C337,'TL15'!$J$238:$J$451),0),
IF('TL16'!$B$3=L$3,SUMIF('TL16'!$C$10:$C$224,$C337,'TL16'!$J$10:$J$224),0),
IF('TL16'!$B$229=L$3,SUMIF('TL16'!$C$238:$C$451,$C337,'TL16'!$J$238:$J$451),0),
IF('TL17'!$B$3=L$3,SUMIF('TL17'!$C$10:$C$224,$C337,'TL17'!$J$10:$J$224),0),
IF('TL17'!$B$229=L$3,SUMIF('TL17'!$C$238:$C$451,$C337,'TL17'!$J$238:$J$451),0),
IF('TL18'!$B$3=L$3,SUMIF('TL18'!$C$10:$C$224,$C337,'TL18'!$J$10:$J$224),0),
IF('TL18'!$B$229=L$3,SUMIF('TL18'!$C$238:$C$451,$C337,'TL18'!$J$238:$J$451),0),
IF('TL19'!$B$3=L$3,SUMIF('TL19'!$C$10:$C$224,$C337,'TL19'!$J$10:$J$224),0),
IF('TL19'!$B$229=L$3,SUMIF('TL19'!$C$238:$C$451,$C337,'TL19'!$J$238:$J$451),0)
),0)</f>
        <v>0</v>
      </c>
      <c r="M337" s="9">
        <f>IFERROR(SUM(
IF('TL01'!$B$3=M$3,SUMIF('TL01'!$C$10:$C$224,$C337,'TL01'!$J$10:$J$224),0),
IF('TL01'!$B$229=M$3,SUMIF('TL01'!$C$238:$C$451,$C337,'TL01'!$J$238:$J$451),0),
IF('TL02'!$B$3=M$3,SUMIF('TL02'!$C$10:$C$224,$C337,'TL02'!$J$10:$J$224),0),
IF('TL02'!$B$229=M$3,SUMIF('TL02'!$C$238:$C$451,$C337,'TL02'!$J$238:$J$451),0),
IF('TL03'!$B$3=M$3,SUMIF('TL03'!$C$10:$C$224,$C337,'TL03'!$J$10:$J$224),0),
IF('TL03'!$B$229=M$3,SUMIF('TL03'!$C$238:$C$451,$C337,'TL03'!$J$238:$J$451),0),
IF('TL04'!$B$3=M$3,SUMIF('TL04'!$C$10:$C$224,$C337,'TL04'!$J$10:$J$224),0),
IF('TL04'!$B$229=M$3,SUMIF('TL04'!$C$238:$C$451,$C337,'TL04'!$J$238:$J$451),0),
IF('TL05'!$B$3=M$3,SUMIF('TL05'!$C$10:$C$224,$C337,'TL05'!$J$10:$J$224),0),
IF('TL05'!$B$229=M$3,SUMIF('TL05'!$C$238:$C$451,$C337,'TL05'!$J$238:$J$451),0),
IF('TL06'!$B$3=M$3,SUMIF('TL06'!$C$10:$C$224,$C337,'TL06'!$J$10:$J$224),0),
IF('TL06'!$B$229=M$3,SUMIF('TL06'!$C$238:$C$451,$C337,'TL06'!$J$238:$J$451),0),
IF('TL07'!$B$3=M$3,SUMIF('TL07'!$C$10:$C$224,$C337,'TL07'!$J$10:$J$224),0),
IF('TL07'!$B$229=M$3,SUMIF('TL07'!$C$238:$C$451,$C337,'TL07'!$J$238:$J$451),0),
IF('TL08'!$B$3=M$3,SUMIF('TL08'!$C$10:$C$224,$C337,'TL08'!$J$10:$J$224),0),
IF('TL08'!$B$229=M$3,SUMIF('TL08'!$C$238:$C$451,$C337,'TL08'!$J$238:$J$451),0),
IF('TL09'!$B$3=M$3,SUMIF('TL09'!$C$10:$C$224,$C337,'TL09'!$J$10:$J$224),0),
IF('TL09'!$B$229=M$3,SUMIF('TL09'!$C$238:$C$451,$C337,'TL09'!$J$238:$J$451),0),
IF('TL10'!$B$3=M$3,SUMIF('TL10'!$C$10:$C$224,$C337,'TL10'!$J$10:$J$224),0),
IF('TL10'!$B$229=M$3,SUMIF('TL10'!$C$238:$C$451,$C337,'TL10'!$J$238:$J$451),0),
IF('TL11'!$B$3=M$3,SUMIF('TL11'!$C$10:$C$224,$C337,'TL11'!$J$10:$J$224),0),
IF('TL11'!$B$229=M$3,SUMIF('TL11'!$C$238:$C$451,$C337,'TL11'!$J$238:$J$451),0),
IF('TL12'!$B$3=M$3,SUMIF('TL12'!$C$10:$C$224,$C337,'TL12'!$J$10:$J$224),0),
IF('TL12'!$B$229=M$3,SUMIF('TL12'!$C$238:$C$451,$C337,'TL12'!$J$238:$J$451),0),
IF('TL13'!$B$3=M$3,SUMIF('TL13'!$C$10:$C$224,$C337,'TL13'!$J$10:$J$224),0),
IF('TL13'!$B$229=M$3,SUMIF('TL13'!$C$238:$C$451,$C337,'TL13'!$J$238:$J$451),0),
IF('TL14'!$B$3=M$3,SUMIF('TL14'!$C$10:$C$224,$C337,'TL14'!$J$10:$J$224),0),
IF('TL14'!$B$229=M$3,SUMIF('TL14'!$C$238:$C$451,$C337,'TL14'!$J$238:$J$451),0),
IF('TL15'!$B$3=M$3,SUMIF('TL15'!$C$10:$C$224,$C337,'TL15'!$J$10:$J$224),0),
IF('TL15'!$B$229=M$3,SUMIF('TL15'!$C$238:$C$451,$C337,'TL15'!$J$238:$J$451),0),
IF('TL16'!$B$3=M$3,SUMIF('TL16'!$C$10:$C$224,$C337,'TL16'!$J$10:$J$224),0),
IF('TL16'!$B$229=M$3,SUMIF('TL16'!$C$238:$C$451,$C337,'TL16'!$J$238:$J$451),0),
IF('TL17'!$B$3=M$3,SUMIF('TL17'!$C$10:$C$224,$C337,'TL17'!$J$10:$J$224),0),
IF('TL17'!$B$229=M$3,SUMIF('TL17'!$C$238:$C$451,$C337,'TL17'!$J$238:$J$451),0),
IF('TL18'!$B$3=M$3,SUMIF('TL18'!$C$10:$C$224,$C337,'TL18'!$J$10:$J$224),0),
IF('TL18'!$B$229=M$3,SUMIF('TL18'!$C$238:$C$451,$C337,'TL18'!$J$238:$J$451),0),
IF('TL19'!$B$3=M$3,SUMIF('TL19'!$C$10:$C$224,$C337,'TL19'!$J$10:$J$224),0),
IF('TL19'!$B$229=M$3,SUMIF('TL19'!$C$238:$C$451,$C337,'TL19'!$J$238:$J$451),0)
),0)</f>
        <v>0</v>
      </c>
      <c r="N337" s="9">
        <f>IFERROR(SUM(
IF('TL01'!$B$3=N$3,SUMIF('TL01'!$C$10:$C$224,$C337,'TL01'!$J$10:$J$224),0),
IF('TL01'!$B$229=N$3,SUMIF('TL01'!$C$238:$C$451,$C337,'TL01'!$J$238:$J$451),0),
IF('TL02'!$B$3=N$3,SUMIF('TL02'!$C$10:$C$224,$C337,'TL02'!$J$10:$J$224),0),
IF('TL02'!$B$229=N$3,SUMIF('TL02'!$C$238:$C$451,$C337,'TL02'!$J$238:$J$451),0),
IF('TL03'!$B$3=N$3,SUMIF('TL03'!$C$10:$C$224,$C337,'TL03'!$J$10:$J$224),0),
IF('TL03'!$B$229=N$3,SUMIF('TL03'!$C$238:$C$451,$C337,'TL03'!$J$238:$J$451),0),
IF('TL04'!$B$3=N$3,SUMIF('TL04'!$C$10:$C$224,$C337,'TL04'!$J$10:$J$224),0),
IF('TL04'!$B$229=N$3,SUMIF('TL04'!$C$238:$C$451,$C337,'TL04'!$J$238:$J$451),0),
IF('TL05'!$B$3=N$3,SUMIF('TL05'!$C$10:$C$224,$C337,'TL05'!$J$10:$J$224),0),
IF('TL05'!$B$229=N$3,SUMIF('TL05'!$C$238:$C$451,$C337,'TL05'!$J$238:$J$451),0),
IF('TL06'!$B$3=N$3,SUMIF('TL06'!$C$10:$C$224,$C337,'TL06'!$J$10:$J$224),0),
IF('TL06'!$B$229=N$3,SUMIF('TL06'!$C$238:$C$451,$C337,'TL06'!$J$238:$J$451),0),
IF('TL07'!$B$3=N$3,SUMIF('TL07'!$C$10:$C$224,$C337,'TL07'!$J$10:$J$224),0),
IF('TL07'!$B$229=N$3,SUMIF('TL07'!$C$238:$C$451,$C337,'TL07'!$J$238:$J$451),0),
IF('TL08'!$B$3=N$3,SUMIF('TL08'!$C$10:$C$224,$C337,'TL08'!$J$10:$J$224),0),
IF('TL08'!$B$229=N$3,SUMIF('TL08'!$C$238:$C$451,$C337,'TL08'!$J$238:$J$451),0),
IF('TL09'!$B$3=N$3,SUMIF('TL09'!$C$10:$C$224,$C337,'TL09'!$J$10:$J$224),0),
IF('TL09'!$B$229=N$3,SUMIF('TL09'!$C$238:$C$451,$C337,'TL09'!$J$238:$J$451),0),
IF('TL10'!$B$3=N$3,SUMIF('TL10'!$C$10:$C$224,$C337,'TL10'!$J$10:$J$224),0),
IF('TL10'!$B$229=N$3,SUMIF('TL10'!$C$238:$C$451,$C337,'TL10'!$J$238:$J$451),0),
IF('TL11'!$B$3=N$3,SUMIF('TL11'!$C$10:$C$224,$C337,'TL11'!$J$10:$J$224),0),
IF('TL11'!$B$229=N$3,SUMIF('TL11'!$C$238:$C$451,$C337,'TL11'!$J$238:$J$451),0),
IF('TL12'!$B$3=N$3,SUMIF('TL12'!$C$10:$C$224,$C337,'TL12'!$J$10:$J$224),0),
IF('TL12'!$B$229=N$3,SUMIF('TL12'!$C$238:$C$451,$C337,'TL12'!$J$238:$J$451),0),
IF('TL13'!$B$3=N$3,SUMIF('TL13'!$C$10:$C$224,$C337,'TL13'!$J$10:$J$224),0),
IF('TL13'!$B$229=N$3,SUMIF('TL13'!$C$238:$C$451,$C337,'TL13'!$J$238:$J$451),0),
IF('TL14'!$B$3=N$3,SUMIF('TL14'!$C$10:$C$224,$C337,'TL14'!$J$10:$J$224),0),
IF('TL14'!$B$229=N$3,SUMIF('TL14'!$C$238:$C$451,$C337,'TL14'!$J$238:$J$451),0),
IF('TL15'!$B$3=N$3,SUMIF('TL15'!$C$10:$C$224,$C337,'TL15'!$J$10:$J$224),0),
IF('TL15'!$B$229=N$3,SUMIF('TL15'!$C$238:$C$451,$C337,'TL15'!$J$238:$J$451),0),
IF('TL16'!$B$3=N$3,SUMIF('TL16'!$C$10:$C$224,$C337,'TL16'!$J$10:$J$224),0),
IF('TL16'!$B$229=N$3,SUMIF('TL16'!$C$238:$C$451,$C337,'TL16'!$J$238:$J$451),0),
IF('TL17'!$B$3=N$3,SUMIF('TL17'!$C$10:$C$224,$C337,'TL17'!$J$10:$J$224),0),
IF('TL17'!$B$229=N$3,SUMIF('TL17'!$C$238:$C$451,$C337,'TL17'!$J$238:$J$451),0),
IF('TL18'!$B$3=N$3,SUMIF('TL18'!$C$10:$C$224,$C337,'TL18'!$J$10:$J$224),0),
IF('TL18'!$B$229=N$3,SUMIF('TL18'!$C$238:$C$451,$C337,'TL18'!$J$238:$J$451),0),
IF('TL19'!$B$3=N$3,SUMIF('TL19'!$C$10:$C$224,$C337,'TL19'!$J$10:$J$224),0),
IF('TL19'!$B$229=N$3,SUMIF('TL19'!$C$238:$C$451,$C337,'TL19'!$J$238:$J$451),0)
),0)</f>
        <v>0</v>
      </c>
      <c r="O337" s="9">
        <f>IFERROR(SUM(
IF('TL01'!$B$3=O$3,SUMIF('TL01'!$C$10:$C$224,$C337,'TL01'!$J$10:$J$224),0),
IF('TL01'!$B$229=O$3,SUMIF('TL01'!$C$238:$C$451,$C337,'TL01'!$J$238:$J$451),0),
IF('TL02'!$B$3=O$3,SUMIF('TL02'!$C$10:$C$224,$C337,'TL02'!$J$10:$J$224),0),
IF('TL02'!$B$229=O$3,SUMIF('TL02'!$C$238:$C$451,$C337,'TL02'!$J$238:$J$451),0),
IF('TL03'!$B$3=O$3,SUMIF('TL03'!$C$10:$C$224,$C337,'TL03'!$J$10:$J$224),0),
IF('TL03'!$B$229=O$3,SUMIF('TL03'!$C$238:$C$451,$C337,'TL03'!$J$238:$J$451),0),
IF('TL04'!$B$3=O$3,SUMIF('TL04'!$C$10:$C$224,$C337,'TL04'!$J$10:$J$224),0),
IF('TL04'!$B$229=O$3,SUMIF('TL04'!$C$238:$C$451,$C337,'TL04'!$J$238:$J$451),0),
IF('TL05'!$B$3=O$3,SUMIF('TL05'!$C$10:$C$224,$C337,'TL05'!$J$10:$J$224),0),
IF('TL05'!$B$229=O$3,SUMIF('TL05'!$C$238:$C$451,$C337,'TL05'!$J$238:$J$451),0),
IF('TL06'!$B$3=O$3,SUMIF('TL06'!$C$10:$C$224,$C337,'TL06'!$J$10:$J$224),0),
IF('TL06'!$B$229=O$3,SUMIF('TL06'!$C$238:$C$451,$C337,'TL06'!$J$238:$J$451),0),
IF('TL07'!$B$3=O$3,SUMIF('TL07'!$C$10:$C$224,$C337,'TL07'!$J$10:$J$224),0),
IF('TL07'!$B$229=O$3,SUMIF('TL07'!$C$238:$C$451,$C337,'TL07'!$J$238:$J$451),0),
IF('TL08'!$B$3=O$3,SUMIF('TL08'!$C$10:$C$224,$C337,'TL08'!$J$10:$J$224),0),
IF('TL08'!$B$229=O$3,SUMIF('TL08'!$C$238:$C$451,$C337,'TL08'!$J$238:$J$451),0),
IF('TL09'!$B$3=O$3,SUMIF('TL09'!$C$10:$C$224,$C337,'TL09'!$J$10:$J$224),0),
IF('TL09'!$B$229=O$3,SUMIF('TL09'!$C$238:$C$451,$C337,'TL09'!$J$238:$J$451),0),
IF('TL10'!$B$3=O$3,SUMIF('TL10'!$C$10:$C$224,$C337,'TL10'!$J$10:$J$224),0),
IF('TL10'!$B$229=O$3,SUMIF('TL10'!$C$238:$C$451,$C337,'TL10'!$J$238:$J$451),0),
IF('TL11'!$B$3=O$3,SUMIF('TL11'!$C$10:$C$224,$C337,'TL11'!$J$10:$J$224),0),
IF('TL11'!$B$229=O$3,SUMIF('TL11'!$C$238:$C$451,$C337,'TL11'!$J$238:$J$451),0),
IF('TL12'!$B$3=O$3,SUMIF('TL12'!$C$10:$C$224,$C337,'TL12'!$J$10:$J$224),0),
IF('TL12'!$B$229=O$3,SUMIF('TL12'!$C$238:$C$451,$C337,'TL12'!$J$238:$J$451),0),
IF('TL13'!$B$3=O$3,SUMIF('TL13'!$C$10:$C$224,$C337,'TL13'!$J$10:$J$224),0),
IF('TL13'!$B$229=O$3,SUMIF('TL13'!$C$238:$C$451,$C337,'TL13'!$J$238:$J$451),0),
IF('TL14'!$B$3=O$3,SUMIF('TL14'!$C$10:$C$224,$C337,'TL14'!$J$10:$J$224),0),
IF('TL14'!$B$229=O$3,SUMIF('TL14'!$C$238:$C$451,$C337,'TL14'!$J$238:$J$451),0),
IF('TL15'!$B$3=O$3,SUMIF('TL15'!$C$10:$C$224,$C337,'TL15'!$J$10:$J$224),0),
IF('TL15'!$B$229=O$3,SUMIF('TL15'!$C$238:$C$451,$C337,'TL15'!$J$238:$J$451),0),
IF('TL16'!$B$3=O$3,SUMIF('TL16'!$C$10:$C$224,$C337,'TL16'!$J$10:$J$224),0),
IF('TL16'!$B$229=O$3,SUMIF('TL16'!$C$238:$C$451,$C337,'TL16'!$J$238:$J$451),0),
IF('TL17'!$B$3=O$3,SUMIF('TL17'!$C$10:$C$224,$C337,'TL17'!$J$10:$J$224),0),
IF('TL17'!$B$229=O$3,SUMIF('TL17'!$C$238:$C$451,$C337,'TL17'!$J$238:$J$451),0),
IF('TL18'!$B$3=O$3,SUMIF('TL18'!$C$10:$C$224,$C337,'TL18'!$J$10:$J$224),0),
IF('TL18'!$B$229=O$3,SUMIF('TL18'!$C$238:$C$451,$C337,'TL18'!$J$238:$J$451),0),
IF('TL19'!$B$3=O$3,SUMIF('TL19'!$C$10:$C$224,$C337,'TL19'!$J$10:$J$224),0),
IF('TL19'!$B$229=O$3,SUMIF('TL19'!$C$238:$C$451,$C337,'TL19'!$J$238:$J$451),0)
),0)</f>
        <v>0</v>
      </c>
      <c r="P337" s="9">
        <f>IFERROR(SUM(
IF('TL01'!$B$3=P$3,SUMIF('TL01'!$C$10:$C$224,$C337,'TL01'!$J$10:$J$224),0),
IF('TL01'!$B$229=P$3,SUMIF('TL01'!$C$238:$C$451,$C337,'TL01'!$J$238:$J$451),0),
IF('TL02'!$B$3=P$3,SUMIF('TL02'!$C$10:$C$224,$C337,'TL02'!$J$10:$J$224),0),
IF('TL02'!$B$229=P$3,SUMIF('TL02'!$C$238:$C$451,$C337,'TL02'!$J$238:$J$451),0),
IF('TL03'!$B$3=P$3,SUMIF('TL03'!$C$10:$C$224,$C337,'TL03'!$J$10:$J$224),0),
IF('TL03'!$B$229=P$3,SUMIF('TL03'!$C$238:$C$451,$C337,'TL03'!$J$238:$J$451),0),
IF('TL04'!$B$3=P$3,SUMIF('TL04'!$C$10:$C$224,$C337,'TL04'!$J$10:$J$224),0),
IF('TL04'!$B$229=P$3,SUMIF('TL04'!$C$238:$C$451,$C337,'TL04'!$J$238:$J$451),0),
IF('TL05'!$B$3=P$3,SUMIF('TL05'!$C$10:$C$224,$C337,'TL05'!$J$10:$J$224),0),
IF('TL05'!$B$229=P$3,SUMIF('TL05'!$C$238:$C$451,$C337,'TL05'!$J$238:$J$451),0),
IF('TL06'!$B$3=P$3,SUMIF('TL06'!$C$10:$C$224,$C337,'TL06'!$J$10:$J$224),0),
IF('TL06'!$B$229=P$3,SUMIF('TL06'!$C$238:$C$451,$C337,'TL06'!$J$238:$J$451),0),
IF('TL07'!$B$3=P$3,SUMIF('TL07'!$C$10:$C$224,$C337,'TL07'!$J$10:$J$224),0),
IF('TL07'!$B$229=P$3,SUMIF('TL07'!$C$238:$C$451,$C337,'TL07'!$J$238:$J$451),0),
IF('TL08'!$B$3=P$3,SUMIF('TL08'!$C$10:$C$224,$C337,'TL08'!$J$10:$J$224),0),
IF('TL08'!$B$229=P$3,SUMIF('TL08'!$C$238:$C$451,$C337,'TL08'!$J$238:$J$451),0),
IF('TL09'!$B$3=P$3,SUMIF('TL09'!$C$10:$C$224,$C337,'TL09'!$J$10:$J$224),0),
IF('TL09'!$B$229=P$3,SUMIF('TL09'!$C$238:$C$451,$C337,'TL09'!$J$238:$J$451),0),
IF('TL10'!$B$3=P$3,SUMIF('TL10'!$C$10:$C$224,$C337,'TL10'!$J$10:$J$224),0),
IF('TL10'!$B$229=P$3,SUMIF('TL10'!$C$238:$C$451,$C337,'TL10'!$J$238:$J$451),0),
IF('TL11'!$B$3=P$3,SUMIF('TL11'!$C$10:$C$224,$C337,'TL11'!$J$10:$J$224),0),
IF('TL11'!$B$229=P$3,SUMIF('TL11'!$C$238:$C$451,$C337,'TL11'!$J$238:$J$451),0),
IF('TL12'!$B$3=P$3,SUMIF('TL12'!$C$10:$C$224,$C337,'TL12'!$J$10:$J$224),0),
IF('TL12'!$B$229=P$3,SUMIF('TL12'!$C$238:$C$451,$C337,'TL12'!$J$238:$J$451),0),
IF('TL13'!$B$3=P$3,SUMIF('TL13'!$C$10:$C$224,$C337,'TL13'!$J$10:$J$224),0),
IF('TL13'!$B$229=P$3,SUMIF('TL13'!$C$238:$C$451,$C337,'TL13'!$J$238:$J$451),0),
IF('TL14'!$B$3=P$3,SUMIF('TL14'!$C$10:$C$224,$C337,'TL14'!$J$10:$J$224),0),
IF('TL14'!$B$229=P$3,SUMIF('TL14'!$C$238:$C$451,$C337,'TL14'!$J$238:$J$451),0),
IF('TL15'!$B$3=P$3,SUMIF('TL15'!$C$10:$C$224,$C337,'TL15'!$J$10:$J$224),0),
IF('TL15'!$B$229=P$3,SUMIF('TL15'!$C$238:$C$451,$C337,'TL15'!$J$238:$J$451),0),
IF('TL16'!$B$3=P$3,SUMIF('TL16'!$C$10:$C$224,$C337,'TL16'!$J$10:$J$224),0),
IF('TL16'!$B$229=P$3,SUMIF('TL16'!$C$238:$C$451,$C337,'TL16'!$J$238:$J$451),0),
IF('TL17'!$B$3=P$3,SUMIF('TL17'!$C$10:$C$224,$C337,'TL17'!$J$10:$J$224),0),
IF('TL17'!$B$229=P$3,SUMIF('TL17'!$C$238:$C$451,$C337,'TL17'!$J$238:$J$451),0),
IF('TL18'!$B$3=P$3,SUMIF('TL18'!$C$10:$C$224,$C337,'TL18'!$J$10:$J$224),0),
IF('TL18'!$B$229=P$3,SUMIF('TL18'!$C$238:$C$451,$C337,'TL18'!$J$238:$J$451),0),
IF('TL19'!$B$3=P$3,SUMIF('TL19'!$C$10:$C$224,$C337,'TL19'!$J$10:$J$224),0),
IF('TL19'!$B$229=P$3,SUMIF('TL19'!$C$238:$C$451,$C337,'TL19'!$J$238:$J$451),0)
),0)</f>
        <v>0</v>
      </c>
      <c r="Q337" s="9">
        <f>IFERROR(SUM(
IF('TL01'!$B$3=Q$3,SUMIF('TL01'!$C$10:$C$224,$C337,'TL01'!$J$10:$J$224),0),
IF('TL01'!$B$229=Q$3,SUMIF('TL01'!$C$238:$C$451,$C337,'TL01'!$J$238:$J$451),0),
IF('TL02'!$B$3=Q$3,SUMIF('TL02'!$C$10:$C$224,$C337,'TL02'!$J$10:$J$224),0),
IF('TL02'!$B$229=Q$3,SUMIF('TL02'!$C$238:$C$451,$C337,'TL02'!$J$238:$J$451),0),
IF('TL03'!$B$3=Q$3,SUMIF('TL03'!$C$10:$C$224,$C337,'TL03'!$J$10:$J$224),0),
IF('TL03'!$B$229=Q$3,SUMIF('TL03'!$C$238:$C$451,$C337,'TL03'!$J$238:$J$451),0),
IF('TL04'!$B$3=Q$3,SUMIF('TL04'!$C$10:$C$224,$C337,'TL04'!$J$10:$J$224),0),
IF('TL04'!$B$229=Q$3,SUMIF('TL04'!$C$238:$C$451,$C337,'TL04'!$J$238:$J$451),0),
IF('TL05'!$B$3=Q$3,SUMIF('TL05'!$C$10:$C$224,$C337,'TL05'!$J$10:$J$224),0),
IF('TL05'!$B$229=Q$3,SUMIF('TL05'!$C$238:$C$451,$C337,'TL05'!$J$238:$J$451),0),
IF('TL06'!$B$3=Q$3,SUMIF('TL06'!$C$10:$C$224,$C337,'TL06'!$J$10:$J$224),0),
IF('TL06'!$B$229=Q$3,SUMIF('TL06'!$C$238:$C$451,$C337,'TL06'!$J$238:$J$451),0),
IF('TL07'!$B$3=Q$3,SUMIF('TL07'!$C$10:$C$224,$C337,'TL07'!$J$10:$J$224),0),
IF('TL07'!$B$229=Q$3,SUMIF('TL07'!$C$238:$C$451,$C337,'TL07'!$J$238:$J$451),0),
IF('TL08'!$B$3=Q$3,SUMIF('TL08'!$C$10:$C$224,$C337,'TL08'!$J$10:$J$224),0),
IF('TL08'!$B$229=Q$3,SUMIF('TL08'!$C$238:$C$451,$C337,'TL08'!$J$238:$J$451),0),
IF('TL09'!$B$3=Q$3,SUMIF('TL09'!$C$10:$C$224,$C337,'TL09'!$J$10:$J$224),0),
IF('TL09'!$B$229=Q$3,SUMIF('TL09'!$C$238:$C$451,$C337,'TL09'!$J$238:$J$451),0),
IF('TL10'!$B$3=Q$3,SUMIF('TL10'!$C$10:$C$224,$C337,'TL10'!$J$10:$J$224),0),
IF('TL10'!$B$229=Q$3,SUMIF('TL10'!$C$238:$C$451,$C337,'TL10'!$J$238:$J$451),0),
IF('TL11'!$B$3=Q$3,SUMIF('TL11'!$C$10:$C$224,$C337,'TL11'!$J$10:$J$224),0),
IF('TL11'!$B$229=Q$3,SUMIF('TL11'!$C$238:$C$451,$C337,'TL11'!$J$238:$J$451),0),
IF('TL12'!$B$3=Q$3,SUMIF('TL12'!$C$10:$C$224,$C337,'TL12'!$J$10:$J$224),0),
IF('TL12'!$B$229=Q$3,SUMIF('TL12'!$C$238:$C$451,$C337,'TL12'!$J$238:$J$451),0),
IF('TL13'!$B$3=Q$3,SUMIF('TL13'!$C$10:$C$224,$C337,'TL13'!$J$10:$J$224),0),
IF('TL13'!$B$229=Q$3,SUMIF('TL13'!$C$238:$C$451,$C337,'TL13'!$J$238:$J$451),0),
IF('TL14'!$B$3=Q$3,SUMIF('TL14'!$C$10:$C$224,$C337,'TL14'!$J$10:$J$224),0),
IF('TL14'!$B$229=Q$3,SUMIF('TL14'!$C$238:$C$451,$C337,'TL14'!$J$238:$J$451),0),
IF('TL15'!$B$3=Q$3,SUMIF('TL15'!$C$10:$C$224,$C337,'TL15'!$J$10:$J$224),0),
IF('TL15'!$B$229=Q$3,SUMIF('TL15'!$C$238:$C$451,$C337,'TL15'!$J$238:$J$451),0),
IF('TL16'!$B$3=Q$3,SUMIF('TL16'!$C$10:$C$224,$C337,'TL16'!$J$10:$J$224),0),
IF('TL16'!$B$229=Q$3,SUMIF('TL16'!$C$238:$C$451,$C337,'TL16'!$J$238:$J$451),0),
IF('TL17'!$B$3=Q$3,SUMIF('TL17'!$C$10:$C$224,$C337,'TL17'!$J$10:$J$224),0),
IF('TL17'!$B$229=Q$3,SUMIF('TL17'!$C$238:$C$451,$C337,'TL17'!$J$238:$J$451),0),
IF('TL18'!$B$3=Q$3,SUMIF('TL18'!$C$10:$C$224,$C337,'TL18'!$J$10:$J$224),0),
IF('TL18'!$B$229=Q$3,SUMIF('TL18'!$C$238:$C$451,$C337,'TL18'!$J$238:$J$451),0),
IF('TL19'!$B$3=Q$3,SUMIF('TL19'!$C$10:$C$224,$C337,'TL19'!$J$10:$J$224),0),
IF('TL19'!$B$229=Q$3,SUMIF('TL19'!$C$238:$C$451,$C337,'TL19'!$J$238:$J$451),0)
),0)</f>
        <v>0</v>
      </c>
      <c r="R337" s="9">
        <f>IFERROR(
SUM(
SUMIF('TL01'!C:C,C337,'TL01'!J:J),
SUMIF('TL02'!C:C,C337,'TL02'!J:J),
SUMIF('TL03'!C:C,C337,'TL03'!J:J),
SUMIF('TL04'!C:C,C337,'TL04'!J:J),
SUMIF('TL05'!C:C,C337,'TL05'!J:J),
SUMIF('TL06'!C:C,C337,'TL06'!J:J),
SUMIF('TL07'!C:C,C337,'TL07'!J:J),
SUMIF('TL08'!C:C,C337,'TL08'!J:J),
SUMIF('TL09'!C:C,C337,'TL09'!J:J),
SUMIF('TL10'!C:C,C337,'TL10'!J:J),
SUMIF('TL11'!C:C,C337,'TL11'!J:J),
SUMIF('TL12'!C:C,C337,'TL12'!J:J),
SUMIF('TL13'!C:C,C337,'TL13'!J:J),
SUMIF('TL14'!C:C,C337,'TL14'!J:J),
SUMIF('TL15'!C:C,C337,'TL15'!J:J),
SUMIF('TL16'!C:C,C337,'TL16'!J:J),
SUMIF('TL17'!C:C,C337,'TL17'!J:J),
SUMIF('TL18'!C:C,C337,'TL18'!J:J),SUMIF('TL19'!C:C,C337,'TL19'!J:J))
,0)</f>
        <v>0</v>
      </c>
      <c r="S337" s="17" t="str">
        <f>IFERROR(__xludf.DUMMYFUNCTION("IFERROR(VLOOKUP(C337,
IMPORTRANGE(""1wULbzX32WdYsx-lj2U3uUNBBe2INVIRDtcK0d-Dvl90"",
""26-27!C:G""),
5,
FALSE),
"""")"),"")</f>
        <v/>
      </c>
      <c r="T337" s="9"/>
      <c r="U337" s="92">
        <f t="shared" si="2"/>
        <v>0</v>
      </c>
      <c r="V337" s="93">
        <f t="shared" si="3"/>
        <v>0</v>
      </c>
    </row>
    <row r="338" ht="15.75" hidden="1" customHeight="1">
      <c r="A338" s="4"/>
      <c r="B338" s="125"/>
      <c r="C338" s="6"/>
      <c r="D338" s="6"/>
      <c r="E338" s="9"/>
      <c r="F338" s="4"/>
      <c r="G338" s="90" t="str">
        <f t="shared" si="5"/>
        <v>📄 Ver bula</v>
      </c>
      <c r="H338" s="9"/>
      <c r="I338" s="1"/>
      <c r="J338" s="9">
        <f>IFERROR(SUM(
IF('TL01'!$B$3=J$3,SUMIF('TL01'!$C$10:$C$224,$C338,'TL01'!$J$10:$J$224),0),
IF('TL01'!$B$229=J$3,SUMIF('TL01'!$C$238:$C$451,$C338,'TL01'!$J$238:$J$451),0),
IF('TL02'!$B$3=J$3,SUMIF('TL02'!$C$10:$C$224,$C338,'TL02'!$J$10:$J$224),0),
IF('TL02'!$B$229=J$3,SUMIF('TL02'!$C$238:$C$451,$C338,'TL02'!$J$238:$J$451),0),
IF('TL03'!$B$3=J$3,SUMIF('TL03'!$C$10:$C$224,$C338,'TL03'!$J$10:$J$224),0),
IF('TL03'!$B$229=J$3,SUMIF('TL03'!$C$238:$C$451,$C338,'TL03'!$J$238:$J$451),0),
IF('TL04'!$B$3=J$3,SUMIF('TL04'!$C$10:$C$224,$C338,'TL04'!$J$10:$J$224),0),
IF('TL04'!$B$229=J$3,SUMIF('TL04'!$C$238:$C$451,$C338,'TL04'!$J$238:$J$451),0),
IF('TL05'!$B$3=J$3,SUMIF('TL05'!$C$10:$C$224,$C338,'TL05'!$J$10:$J$224),0),
IF('TL05'!$B$229=J$3,SUMIF('TL05'!$C$238:$C$451,$C338,'TL05'!$J$238:$J$451),0),
IF('TL06'!$B$3=J$3,SUMIF('TL06'!$C$10:$C$224,$C338,'TL06'!$J$10:$J$224),0),
IF('TL06'!$B$229=J$3,SUMIF('TL06'!$C$238:$C$451,$C338,'TL06'!$J$238:$J$451),0),
IF('TL07'!$B$3=J$3,SUMIF('TL07'!$C$10:$C$224,$C338,'TL07'!$J$10:$J$224),0),
IF('TL07'!$B$229=J$3,SUMIF('TL07'!$C$238:$C$451,$C338,'TL07'!$J$238:$J$451),0),
IF('TL08'!$B$3=J$3,SUMIF('TL08'!$C$10:$C$224,$C338,'TL08'!$J$10:$J$224),0),
IF('TL08'!$B$229=J$3,SUMIF('TL08'!$C$238:$C$451,$C338,'TL08'!$J$238:$J$451),0),
IF('TL09'!$B$3=J$3,SUMIF('TL09'!$C$10:$C$224,$C338,'TL09'!$J$10:$J$224),0),
IF('TL09'!$B$229=J$3,SUMIF('TL09'!$C$238:$C$451,$C338,'TL09'!$J$238:$J$451),0),
IF('TL10'!$B$3=J$3,SUMIF('TL10'!$C$10:$C$224,$C338,'TL10'!$J$10:$J$224),0),
IF('TL10'!$B$229=J$3,SUMIF('TL10'!$C$238:$C$451,$C338,'TL10'!$J$238:$J$451),0),
IF('TL11'!$B$3=J$3,SUMIF('TL11'!$C$10:$C$224,$C338,'TL11'!$J$10:$J$224),0),
IF('TL11'!$B$229=J$3,SUMIF('TL11'!$C$238:$C$451,$C338,'TL11'!$J$238:$J$451),0),
IF('TL12'!$B$3=J$3,SUMIF('TL12'!$C$10:$C$224,$C338,'TL12'!$J$10:$J$224),0),
IF('TL12'!$B$229=J$3,SUMIF('TL12'!$C$238:$C$451,$C338,'TL12'!$J$238:$J$451),0),
IF('TL13'!$B$3=J$3,SUMIF('TL13'!$C$10:$C$224,$C338,'TL13'!$J$10:$J$224),0),
IF('TL13'!$B$229=J$3,SUMIF('TL13'!$C$238:$C$451,$C338,'TL13'!$J$238:$J$451),0),
IF('TL14'!$B$3=J$3,SUMIF('TL14'!$C$10:$C$224,$C338,'TL14'!$J$10:$J$224),0),
IF('TL14'!$B$229=J$3,SUMIF('TL14'!$C$238:$C$451,$C338,'TL14'!$J$238:$J$451),0),
IF('TL15'!$B$3=J$3,SUMIF('TL15'!$C$10:$C$224,$C338,'TL15'!$J$10:$J$224),0),
IF('TL15'!$B$229=J$3,SUMIF('TL15'!$C$238:$C$451,$C338,'TL15'!$J$238:$J$451),0),
IF('TL16'!$B$3=J$3,SUMIF('TL16'!$C$10:$C$224,$C338,'TL16'!$J$10:$J$224),0),
IF('TL16'!$B$229=J$3,SUMIF('TL16'!$C$238:$C$451,$C338,'TL16'!$J$238:$J$451),0),
IF('TL17'!$B$3=J$3,SUMIF('TL17'!$C$10:$C$224,$C338,'TL17'!$J$10:$J$224),0),
IF('TL17'!$B$229=J$3,SUMIF('TL17'!$C$238:$C$451,$C338,'TL17'!$J$238:$J$451),0),
IF('TL18'!$B$3=J$3,SUMIF('TL18'!$C$10:$C$224,$C338,'TL18'!$J$10:$J$224),0),
IF('TL18'!$B$229=J$3,SUMIF('TL18'!$C$238:$C$451,$C338,'TL18'!$J$238:$J$451),0),
IF('TL19'!$B$3=J$3,SUMIF('TL19'!$C$10:$C$224,$C338,'TL19'!$J$10:$J$224),0),
IF('TL19'!$B$229=J$3,SUMIF('TL19'!$C$238:$C$451,$C338,'TL19'!$J$238:$J$451),0)
),0)</f>
        <v>0</v>
      </c>
      <c r="K338" s="9">
        <f>IFERROR(SUM(
IF('TL01'!$B$3=K$3,SUMIF('TL01'!$C$10:$C$224,$C338,'TL01'!$J$10:$J$224),0),
IF('TL01'!$B$229=K$3,SUMIF('TL01'!$C$238:$C$451,$C338,'TL01'!$J$238:$J$451),0),
IF('TL02'!$B$3=K$3,SUMIF('TL02'!$C$10:$C$224,$C338,'TL02'!$J$10:$J$224),0),
IF('TL02'!$B$229=K$3,SUMIF('TL02'!$C$238:$C$451,$C338,'TL02'!$J$238:$J$451),0),
IF('TL03'!$B$3=K$3,SUMIF('TL03'!$C$10:$C$224,$C338,'TL03'!$J$10:$J$224),0),
IF('TL03'!$B$229=K$3,SUMIF('TL03'!$C$238:$C$451,$C338,'TL03'!$J$238:$J$451),0),
IF('TL04'!$B$3=K$3,SUMIF('TL04'!$C$10:$C$224,$C338,'TL04'!$J$10:$J$224),0),
IF('TL04'!$B$229=K$3,SUMIF('TL04'!$C$238:$C$451,$C338,'TL04'!$J$238:$J$451),0),
IF('TL05'!$B$3=K$3,SUMIF('TL05'!$C$10:$C$224,$C338,'TL05'!$J$10:$J$224),0),
IF('TL05'!$B$229=K$3,SUMIF('TL05'!$C$238:$C$451,$C338,'TL05'!$J$238:$J$451),0),
IF('TL06'!$B$3=K$3,SUMIF('TL06'!$C$10:$C$224,$C338,'TL06'!$J$10:$J$224),0),
IF('TL06'!$B$229=K$3,SUMIF('TL06'!$C$238:$C$451,$C338,'TL06'!$J$238:$J$451),0),
IF('TL07'!$B$3=K$3,SUMIF('TL07'!$C$10:$C$224,$C338,'TL07'!$J$10:$J$224),0),
IF('TL07'!$B$229=K$3,SUMIF('TL07'!$C$238:$C$451,$C338,'TL07'!$J$238:$J$451),0),
IF('TL08'!$B$3=K$3,SUMIF('TL08'!$C$10:$C$224,$C338,'TL08'!$J$10:$J$224),0),
IF('TL08'!$B$229=K$3,SUMIF('TL08'!$C$238:$C$451,$C338,'TL08'!$J$238:$J$451),0),
IF('TL09'!$B$3=K$3,SUMIF('TL09'!$C$10:$C$224,$C338,'TL09'!$J$10:$J$224),0),
IF('TL09'!$B$229=K$3,SUMIF('TL09'!$C$238:$C$451,$C338,'TL09'!$J$238:$J$451),0),
IF('TL10'!$B$3=K$3,SUMIF('TL10'!$C$10:$C$224,$C338,'TL10'!$J$10:$J$224),0),
IF('TL10'!$B$229=K$3,SUMIF('TL10'!$C$238:$C$451,$C338,'TL10'!$J$238:$J$451),0),
IF('TL11'!$B$3=K$3,SUMIF('TL11'!$C$10:$C$224,$C338,'TL11'!$J$10:$J$224),0),
IF('TL11'!$B$229=K$3,SUMIF('TL11'!$C$238:$C$451,$C338,'TL11'!$J$238:$J$451),0),
IF('TL12'!$B$3=K$3,SUMIF('TL12'!$C$10:$C$224,$C338,'TL12'!$J$10:$J$224),0),
IF('TL12'!$B$229=K$3,SUMIF('TL12'!$C$238:$C$451,$C338,'TL12'!$J$238:$J$451),0),
IF('TL13'!$B$3=K$3,SUMIF('TL13'!$C$10:$C$224,$C338,'TL13'!$J$10:$J$224),0),
IF('TL13'!$B$229=K$3,SUMIF('TL13'!$C$238:$C$451,$C338,'TL13'!$J$238:$J$451),0),
IF('TL14'!$B$3=K$3,SUMIF('TL14'!$C$10:$C$224,$C338,'TL14'!$J$10:$J$224),0),
IF('TL14'!$B$229=K$3,SUMIF('TL14'!$C$238:$C$451,$C338,'TL14'!$J$238:$J$451),0),
IF('TL15'!$B$3=K$3,SUMIF('TL15'!$C$10:$C$224,$C338,'TL15'!$J$10:$J$224),0),
IF('TL15'!$B$229=K$3,SUMIF('TL15'!$C$238:$C$451,$C338,'TL15'!$J$238:$J$451),0),
IF('TL16'!$B$3=K$3,SUMIF('TL16'!$C$10:$C$224,$C338,'TL16'!$J$10:$J$224),0),
IF('TL16'!$B$229=K$3,SUMIF('TL16'!$C$238:$C$451,$C338,'TL16'!$J$238:$J$451),0),
IF('TL17'!$B$3=K$3,SUMIF('TL17'!$C$10:$C$224,$C338,'TL17'!$J$10:$J$224),0),
IF('TL17'!$B$229=K$3,SUMIF('TL17'!$C$238:$C$451,$C338,'TL17'!$J$238:$J$451),0),
IF('TL18'!$B$3=K$3,SUMIF('TL18'!$C$10:$C$224,$C338,'TL18'!$J$10:$J$224),0),
IF('TL18'!$B$229=K$3,SUMIF('TL18'!$C$238:$C$451,$C338,'TL18'!$J$238:$J$451),0),
IF('TL19'!$B$3=K$3,SUMIF('TL19'!$C$10:$C$224,$C338,'TL19'!$J$10:$J$224),0),
IF('TL19'!$B$229=K$3,SUMIF('TL19'!$C$238:$C$451,$C338,'TL19'!$J$238:$J$451),0)
),0)</f>
        <v>0</v>
      </c>
      <c r="L338" s="9">
        <f>IFERROR(SUM(
IF('TL01'!$B$3=L$3,SUMIF('TL01'!$C$10:$C$224,$C338,'TL01'!$J$10:$J$224),0),
IF('TL01'!$B$229=L$3,SUMIF('TL01'!$C$238:$C$451,$C338,'TL01'!$J$238:$J$451),0),
IF('TL02'!$B$3=L$3,SUMIF('TL02'!$C$10:$C$224,$C338,'TL02'!$J$10:$J$224),0),
IF('TL02'!$B$229=L$3,SUMIF('TL02'!$C$238:$C$451,$C338,'TL02'!$J$238:$J$451),0),
IF('TL03'!$B$3=L$3,SUMIF('TL03'!$C$10:$C$224,$C338,'TL03'!$J$10:$J$224),0),
IF('TL03'!$B$229=L$3,SUMIF('TL03'!$C$238:$C$451,$C338,'TL03'!$J$238:$J$451),0),
IF('TL04'!$B$3=L$3,SUMIF('TL04'!$C$10:$C$224,$C338,'TL04'!$J$10:$J$224),0),
IF('TL04'!$B$229=L$3,SUMIF('TL04'!$C$238:$C$451,$C338,'TL04'!$J$238:$J$451),0),
IF('TL05'!$B$3=L$3,SUMIF('TL05'!$C$10:$C$224,$C338,'TL05'!$J$10:$J$224),0),
IF('TL05'!$B$229=L$3,SUMIF('TL05'!$C$238:$C$451,$C338,'TL05'!$J$238:$J$451),0),
IF('TL06'!$B$3=L$3,SUMIF('TL06'!$C$10:$C$224,$C338,'TL06'!$J$10:$J$224),0),
IF('TL06'!$B$229=L$3,SUMIF('TL06'!$C$238:$C$451,$C338,'TL06'!$J$238:$J$451),0),
IF('TL07'!$B$3=L$3,SUMIF('TL07'!$C$10:$C$224,$C338,'TL07'!$J$10:$J$224),0),
IF('TL07'!$B$229=L$3,SUMIF('TL07'!$C$238:$C$451,$C338,'TL07'!$J$238:$J$451),0),
IF('TL08'!$B$3=L$3,SUMIF('TL08'!$C$10:$C$224,$C338,'TL08'!$J$10:$J$224),0),
IF('TL08'!$B$229=L$3,SUMIF('TL08'!$C$238:$C$451,$C338,'TL08'!$J$238:$J$451),0),
IF('TL09'!$B$3=L$3,SUMIF('TL09'!$C$10:$C$224,$C338,'TL09'!$J$10:$J$224),0),
IF('TL09'!$B$229=L$3,SUMIF('TL09'!$C$238:$C$451,$C338,'TL09'!$J$238:$J$451),0),
IF('TL10'!$B$3=L$3,SUMIF('TL10'!$C$10:$C$224,$C338,'TL10'!$J$10:$J$224),0),
IF('TL10'!$B$229=L$3,SUMIF('TL10'!$C$238:$C$451,$C338,'TL10'!$J$238:$J$451),0),
IF('TL11'!$B$3=L$3,SUMIF('TL11'!$C$10:$C$224,$C338,'TL11'!$J$10:$J$224),0),
IF('TL11'!$B$229=L$3,SUMIF('TL11'!$C$238:$C$451,$C338,'TL11'!$J$238:$J$451),0),
IF('TL12'!$B$3=L$3,SUMIF('TL12'!$C$10:$C$224,$C338,'TL12'!$J$10:$J$224),0),
IF('TL12'!$B$229=L$3,SUMIF('TL12'!$C$238:$C$451,$C338,'TL12'!$J$238:$J$451),0),
IF('TL13'!$B$3=L$3,SUMIF('TL13'!$C$10:$C$224,$C338,'TL13'!$J$10:$J$224),0),
IF('TL13'!$B$229=L$3,SUMIF('TL13'!$C$238:$C$451,$C338,'TL13'!$J$238:$J$451),0),
IF('TL14'!$B$3=L$3,SUMIF('TL14'!$C$10:$C$224,$C338,'TL14'!$J$10:$J$224),0),
IF('TL14'!$B$229=L$3,SUMIF('TL14'!$C$238:$C$451,$C338,'TL14'!$J$238:$J$451),0),
IF('TL15'!$B$3=L$3,SUMIF('TL15'!$C$10:$C$224,$C338,'TL15'!$J$10:$J$224),0),
IF('TL15'!$B$229=L$3,SUMIF('TL15'!$C$238:$C$451,$C338,'TL15'!$J$238:$J$451),0),
IF('TL16'!$B$3=L$3,SUMIF('TL16'!$C$10:$C$224,$C338,'TL16'!$J$10:$J$224),0),
IF('TL16'!$B$229=L$3,SUMIF('TL16'!$C$238:$C$451,$C338,'TL16'!$J$238:$J$451),0),
IF('TL17'!$B$3=L$3,SUMIF('TL17'!$C$10:$C$224,$C338,'TL17'!$J$10:$J$224),0),
IF('TL17'!$B$229=L$3,SUMIF('TL17'!$C$238:$C$451,$C338,'TL17'!$J$238:$J$451),0),
IF('TL18'!$B$3=L$3,SUMIF('TL18'!$C$10:$C$224,$C338,'TL18'!$J$10:$J$224),0),
IF('TL18'!$B$229=L$3,SUMIF('TL18'!$C$238:$C$451,$C338,'TL18'!$J$238:$J$451),0),
IF('TL19'!$B$3=L$3,SUMIF('TL19'!$C$10:$C$224,$C338,'TL19'!$J$10:$J$224),0),
IF('TL19'!$B$229=L$3,SUMIF('TL19'!$C$238:$C$451,$C338,'TL19'!$J$238:$J$451),0)
),0)</f>
        <v>0</v>
      </c>
      <c r="M338" s="9">
        <f>IFERROR(SUM(
IF('TL01'!$B$3=M$3,SUMIF('TL01'!$C$10:$C$224,$C338,'TL01'!$J$10:$J$224),0),
IF('TL01'!$B$229=M$3,SUMIF('TL01'!$C$238:$C$451,$C338,'TL01'!$J$238:$J$451),0),
IF('TL02'!$B$3=M$3,SUMIF('TL02'!$C$10:$C$224,$C338,'TL02'!$J$10:$J$224),0),
IF('TL02'!$B$229=M$3,SUMIF('TL02'!$C$238:$C$451,$C338,'TL02'!$J$238:$J$451),0),
IF('TL03'!$B$3=M$3,SUMIF('TL03'!$C$10:$C$224,$C338,'TL03'!$J$10:$J$224),0),
IF('TL03'!$B$229=M$3,SUMIF('TL03'!$C$238:$C$451,$C338,'TL03'!$J$238:$J$451),0),
IF('TL04'!$B$3=M$3,SUMIF('TL04'!$C$10:$C$224,$C338,'TL04'!$J$10:$J$224),0),
IF('TL04'!$B$229=M$3,SUMIF('TL04'!$C$238:$C$451,$C338,'TL04'!$J$238:$J$451),0),
IF('TL05'!$B$3=M$3,SUMIF('TL05'!$C$10:$C$224,$C338,'TL05'!$J$10:$J$224),0),
IF('TL05'!$B$229=M$3,SUMIF('TL05'!$C$238:$C$451,$C338,'TL05'!$J$238:$J$451),0),
IF('TL06'!$B$3=M$3,SUMIF('TL06'!$C$10:$C$224,$C338,'TL06'!$J$10:$J$224),0),
IF('TL06'!$B$229=M$3,SUMIF('TL06'!$C$238:$C$451,$C338,'TL06'!$J$238:$J$451),0),
IF('TL07'!$B$3=M$3,SUMIF('TL07'!$C$10:$C$224,$C338,'TL07'!$J$10:$J$224),0),
IF('TL07'!$B$229=M$3,SUMIF('TL07'!$C$238:$C$451,$C338,'TL07'!$J$238:$J$451),0),
IF('TL08'!$B$3=M$3,SUMIF('TL08'!$C$10:$C$224,$C338,'TL08'!$J$10:$J$224),0),
IF('TL08'!$B$229=M$3,SUMIF('TL08'!$C$238:$C$451,$C338,'TL08'!$J$238:$J$451),0),
IF('TL09'!$B$3=M$3,SUMIF('TL09'!$C$10:$C$224,$C338,'TL09'!$J$10:$J$224),0),
IF('TL09'!$B$229=M$3,SUMIF('TL09'!$C$238:$C$451,$C338,'TL09'!$J$238:$J$451),0),
IF('TL10'!$B$3=M$3,SUMIF('TL10'!$C$10:$C$224,$C338,'TL10'!$J$10:$J$224),0),
IF('TL10'!$B$229=M$3,SUMIF('TL10'!$C$238:$C$451,$C338,'TL10'!$J$238:$J$451),0),
IF('TL11'!$B$3=M$3,SUMIF('TL11'!$C$10:$C$224,$C338,'TL11'!$J$10:$J$224),0),
IF('TL11'!$B$229=M$3,SUMIF('TL11'!$C$238:$C$451,$C338,'TL11'!$J$238:$J$451),0),
IF('TL12'!$B$3=M$3,SUMIF('TL12'!$C$10:$C$224,$C338,'TL12'!$J$10:$J$224),0),
IF('TL12'!$B$229=M$3,SUMIF('TL12'!$C$238:$C$451,$C338,'TL12'!$J$238:$J$451),0),
IF('TL13'!$B$3=M$3,SUMIF('TL13'!$C$10:$C$224,$C338,'TL13'!$J$10:$J$224),0),
IF('TL13'!$B$229=M$3,SUMIF('TL13'!$C$238:$C$451,$C338,'TL13'!$J$238:$J$451),0),
IF('TL14'!$B$3=M$3,SUMIF('TL14'!$C$10:$C$224,$C338,'TL14'!$J$10:$J$224),0),
IF('TL14'!$B$229=M$3,SUMIF('TL14'!$C$238:$C$451,$C338,'TL14'!$J$238:$J$451),0),
IF('TL15'!$B$3=M$3,SUMIF('TL15'!$C$10:$C$224,$C338,'TL15'!$J$10:$J$224),0),
IF('TL15'!$B$229=M$3,SUMIF('TL15'!$C$238:$C$451,$C338,'TL15'!$J$238:$J$451),0),
IF('TL16'!$B$3=M$3,SUMIF('TL16'!$C$10:$C$224,$C338,'TL16'!$J$10:$J$224),0),
IF('TL16'!$B$229=M$3,SUMIF('TL16'!$C$238:$C$451,$C338,'TL16'!$J$238:$J$451),0),
IF('TL17'!$B$3=M$3,SUMIF('TL17'!$C$10:$C$224,$C338,'TL17'!$J$10:$J$224),0),
IF('TL17'!$B$229=M$3,SUMIF('TL17'!$C$238:$C$451,$C338,'TL17'!$J$238:$J$451),0),
IF('TL18'!$B$3=M$3,SUMIF('TL18'!$C$10:$C$224,$C338,'TL18'!$J$10:$J$224),0),
IF('TL18'!$B$229=M$3,SUMIF('TL18'!$C$238:$C$451,$C338,'TL18'!$J$238:$J$451),0),
IF('TL19'!$B$3=M$3,SUMIF('TL19'!$C$10:$C$224,$C338,'TL19'!$J$10:$J$224),0),
IF('TL19'!$B$229=M$3,SUMIF('TL19'!$C$238:$C$451,$C338,'TL19'!$J$238:$J$451),0)
),0)</f>
        <v>0</v>
      </c>
      <c r="N338" s="9">
        <f>IFERROR(SUM(
IF('TL01'!$B$3=N$3,SUMIF('TL01'!$C$10:$C$224,$C338,'TL01'!$J$10:$J$224),0),
IF('TL01'!$B$229=N$3,SUMIF('TL01'!$C$238:$C$451,$C338,'TL01'!$J$238:$J$451),0),
IF('TL02'!$B$3=N$3,SUMIF('TL02'!$C$10:$C$224,$C338,'TL02'!$J$10:$J$224),0),
IF('TL02'!$B$229=N$3,SUMIF('TL02'!$C$238:$C$451,$C338,'TL02'!$J$238:$J$451),0),
IF('TL03'!$B$3=N$3,SUMIF('TL03'!$C$10:$C$224,$C338,'TL03'!$J$10:$J$224),0),
IF('TL03'!$B$229=N$3,SUMIF('TL03'!$C$238:$C$451,$C338,'TL03'!$J$238:$J$451),0),
IF('TL04'!$B$3=N$3,SUMIF('TL04'!$C$10:$C$224,$C338,'TL04'!$J$10:$J$224),0),
IF('TL04'!$B$229=N$3,SUMIF('TL04'!$C$238:$C$451,$C338,'TL04'!$J$238:$J$451),0),
IF('TL05'!$B$3=N$3,SUMIF('TL05'!$C$10:$C$224,$C338,'TL05'!$J$10:$J$224),0),
IF('TL05'!$B$229=N$3,SUMIF('TL05'!$C$238:$C$451,$C338,'TL05'!$J$238:$J$451),0),
IF('TL06'!$B$3=N$3,SUMIF('TL06'!$C$10:$C$224,$C338,'TL06'!$J$10:$J$224),0),
IF('TL06'!$B$229=N$3,SUMIF('TL06'!$C$238:$C$451,$C338,'TL06'!$J$238:$J$451),0),
IF('TL07'!$B$3=N$3,SUMIF('TL07'!$C$10:$C$224,$C338,'TL07'!$J$10:$J$224),0),
IF('TL07'!$B$229=N$3,SUMIF('TL07'!$C$238:$C$451,$C338,'TL07'!$J$238:$J$451),0),
IF('TL08'!$B$3=N$3,SUMIF('TL08'!$C$10:$C$224,$C338,'TL08'!$J$10:$J$224),0),
IF('TL08'!$B$229=N$3,SUMIF('TL08'!$C$238:$C$451,$C338,'TL08'!$J$238:$J$451),0),
IF('TL09'!$B$3=N$3,SUMIF('TL09'!$C$10:$C$224,$C338,'TL09'!$J$10:$J$224),0),
IF('TL09'!$B$229=N$3,SUMIF('TL09'!$C$238:$C$451,$C338,'TL09'!$J$238:$J$451),0),
IF('TL10'!$B$3=N$3,SUMIF('TL10'!$C$10:$C$224,$C338,'TL10'!$J$10:$J$224),0),
IF('TL10'!$B$229=N$3,SUMIF('TL10'!$C$238:$C$451,$C338,'TL10'!$J$238:$J$451),0),
IF('TL11'!$B$3=N$3,SUMIF('TL11'!$C$10:$C$224,$C338,'TL11'!$J$10:$J$224),0),
IF('TL11'!$B$229=N$3,SUMIF('TL11'!$C$238:$C$451,$C338,'TL11'!$J$238:$J$451),0),
IF('TL12'!$B$3=N$3,SUMIF('TL12'!$C$10:$C$224,$C338,'TL12'!$J$10:$J$224),0),
IF('TL12'!$B$229=N$3,SUMIF('TL12'!$C$238:$C$451,$C338,'TL12'!$J$238:$J$451),0),
IF('TL13'!$B$3=N$3,SUMIF('TL13'!$C$10:$C$224,$C338,'TL13'!$J$10:$J$224),0),
IF('TL13'!$B$229=N$3,SUMIF('TL13'!$C$238:$C$451,$C338,'TL13'!$J$238:$J$451),0),
IF('TL14'!$B$3=N$3,SUMIF('TL14'!$C$10:$C$224,$C338,'TL14'!$J$10:$J$224),0),
IF('TL14'!$B$229=N$3,SUMIF('TL14'!$C$238:$C$451,$C338,'TL14'!$J$238:$J$451),0),
IF('TL15'!$B$3=N$3,SUMIF('TL15'!$C$10:$C$224,$C338,'TL15'!$J$10:$J$224),0),
IF('TL15'!$B$229=N$3,SUMIF('TL15'!$C$238:$C$451,$C338,'TL15'!$J$238:$J$451),0),
IF('TL16'!$B$3=N$3,SUMIF('TL16'!$C$10:$C$224,$C338,'TL16'!$J$10:$J$224),0),
IF('TL16'!$B$229=N$3,SUMIF('TL16'!$C$238:$C$451,$C338,'TL16'!$J$238:$J$451),0),
IF('TL17'!$B$3=N$3,SUMIF('TL17'!$C$10:$C$224,$C338,'TL17'!$J$10:$J$224),0),
IF('TL17'!$B$229=N$3,SUMIF('TL17'!$C$238:$C$451,$C338,'TL17'!$J$238:$J$451),0),
IF('TL18'!$B$3=N$3,SUMIF('TL18'!$C$10:$C$224,$C338,'TL18'!$J$10:$J$224),0),
IF('TL18'!$B$229=N$3,SUMIF('TL18'!$C$238:$C$451,$C338,'TL18'!$J$238:$J$451),0),
IF('TL19'!$B$3=N$3,SUMIF('TL19'!$C$10:$C$224,$C338,'TL19'!$J$10:$J$224),0),
IF('TL19'!$B$229=N$3,SUMIF('TL19'!$C$238:$C$451,$C338,'TL19'!$J$238:$J$451),0)
),0)</f>
        <v>0</v>
      </c>
      <c r="O338" s="9">
        <f>IFERROR(SUM(
IF('TL01'!$B$3=O$3,SUMIF('TL01'!$C$10:$C$224,$C338,'TL01'!$J$10:$J$224),0),
IF('TL01'!$B$229=O$3,SUMIF('TL01'!$C$238:$C$451,$C338,'TL01'!$J$238:$J$451),0),
IF('TL02'!$B$3=O$3,SUMIF('TL02'!$C$10:$C$224,$C338,'TL02'!$J$10:$J$224),0),
IF('TL02'!$B$229=O$3,SUMIF('TL02'!$C$238:$C$451,$C338,'TL02'!$J$238:$J$451),0),
IF('TL03'!$B$3=O$3,SUMIF('TL03'!$C$10:$C$224,$C338,'TL03'!$J$10:$J$224),0),
IF('TL03'!$B$229=O$3,SUMIF('TL03'!$C$238:$C$451,$C338,'TL03'!$J$238:$J$451),0),
IF('TL04'!$B$3=O$3,SUMIF('TL04'!$C$10:$C$224,$C338,'TL04'!$J$10:$J$224),0),
IF('TL04'!$B$229=O$3,SUMIF('TL04'!$C$238:$C$451,$C338,'TL04'!$J$238:$J$451),0),
IF('TL05'!$B$3=O$3,SUMIF('TL05'!$C$10:$C$224,$C338,'TL05'!$J$10:$J$224),0),
IF('TL05'!$B$229=O$3,SUMIF('TL05'!$C$238:$C$451,$C338,'TL05'!$J$238:$J$451),0),
IF('TL06'!$B$3=O$3,SUMIF('TL06'!$C$10:$C$224,$C338,'TL06'!$J$10:$J$224),0),
IF('TL06'!$B$229=O$3,SUMIF('TL06'!$C$238:$C$451,$C338,'TL06'!$J$238:$J$451),0),
IF('TL07'!$B$3=O$3,SUMIF('TL07'!$C$10:$C$224,$C338,'TL07'!$J$10:$J$224),0),
IF('TL07'!$B$229=O$3,SUMIF('TL07'!$C$238:$C$451,$C338,'TL07'!$J$238:$J$451),0),
IF('TL08'!$B$3=O$3,SUMIF('TL08'!$C$10:$C$224,$C338,'TL08'!$J$10:$J$224),0),
IF('TL08'!$B$229=O$3,SUMIF('TL08'!$C$238:$C$451,$C338,'TL08'!$J$238:$J$451),0),
IF('TL09'!$B$3=O$3,SUMIF('TL09'!$C$10:$C$224,$C338,'TL09'!$J$10:$J$224),0),
IF('TL09'!$B$229=O$3,SUMIF('TL09'!$C$238:$C$451,$C338,'TL09'!$J$238:$J$451),0),
IF('TL10'!$B$3=O$3,SUMIF('TL10'!$C$10:$C$224,$C338,'TL10'!$J$10:$J$224),0),
IF('TL10'!$B$229=O$3,SUMIF('TL10'!$C$238:$C$451,$C338,'TL10'!$J$238:$J$451),0),
IF('TL11'!$B$3=O$3,SUMIF('TL11'!$C$10:$C$224,$C338,'TL11'!$J$10:$J$224),0),
IF('TL11'!$B$229=O$3,SUMIF('TL11'!$C$238:$C$451,$C338,'TL11'!$J$238:$J$451),0),
IF('TL12'!$B$3=O$3,SUMIF('TL12'!$C$10:$C$224,$C338,'TL12'!$J$10:$J$224),0),
IF('TL12'!$B$229=O$3,SUMIF('TL12'!$C$238:$C$451,$C338,'TL12'!$J$238:$J$451),0),
IF('TL13'!$B$3=O$3,SUMIF('TL13'!$C$10:$C$224,$C338,'TL13'!$J$10:$J$224),0),
IF('TL13'!$B$229=O$3,SUMIF('TL13'!$C$238:$C$451,$C338,'TL13'!$J$238:$J$451),0),
IF('TL14'!$B$3=O$3,SUMIF('TL14'!$C$10:$C$224,$C338,'TL14'!$J$10:$J$224),0),
IF('TL14'!$B$229=O$3,SUMIF('TL14'!$C$238:$C$451,$C338,'TL14'!$J$238:$J$451),0),
IF('TL15'!$B$3=O$3,SUMIF('TL15'!$C$10:$C$224,$C338,'TL15'!$J$10:$J$224),0),
IF('TL15'!$B$229=O$3,SUMIF('TL15'!$C$238:$C$451,$C338,'TL15'!$J$238:$J$451),0),
IF('TL16'!$B$3=O$3,SUMIF('TL16'!$C$10:$C$224,$C338,'TL16'!$J$10:$J$224),0),
IF('TL16'!$B$229=O$3,SUMIF('TL16'!$C$238:$C$451,$C338,'TL16'!$J$238:$J$451),0),
IF('TL17'!$B$3=O$3,SUMIF('TL17'!$C$10:$C$224,$C338,'TL17'!$J$10:$J$224),0),
IF('TL17'!$B$229=O$3,SUMIF('TL17'!$C$238:$C$451,$C338,'TL17'!$J$238:$J$451),0),
IF('TL18'!$B$3=O$3,SUMIF('TL18'!$C$10:$C$224,$C338,'TL18'!$J$10:$J$224),0),
IF('TL18'!$B$229=O$3,SUMIF('TL18'!$C$238:$C$451,$C338,'TL18'!$J$238:$J$451),0),
IF('TL19'!$B$3=O$3,SUMIF('TL19'!$C$10:$C$224,$C338,'TL19'!$J$10:$J$224),0),
IF('TL19'!$B$229=O$3,SUMIF('TL19'!$C$238:$C$451,$C338,'TL19'!$J$238:$J$451),0)
),0)</f>
        <v>0</v>
      </c>
      <c r="P338" s="9">
        <f>IFERROR(SUM(
IF('TL01'!$B$3=P$3,SUMIF('TL01'!$C$10:$C$224,$C338,'TL01'!$J$10:$J$224),0),
IF('TL01'!$B$229=P$3,SUMIF('TL01'!$C$238:$C$451,$C338,'TL01'!$J$238:$J$451),0),
IF('TL02'!$B$3=P$3,SUMIF('TL02'!$C$10:$C$224,$C338,'TL02'!$J$10:$J$224),0),
IF('TL02'!$B$229=P$3,SUMIF('TL02'!$C$238:$C$451,$C338,'TL02'!$J$238:$J$451),0),
IF('TL03'!$B$3=P$3,SUMIF('TL03'!$C$10:$C$224,$C338,'TL03'!$J$10:$J$224),0),
IF('TL03'!$B$229=P$3,SUMIF('TL03'!$C$238:$C$451,$C338,'TL03'!$J$238:$J$451),0),
IF('TL04'!$B$3=P$3,SUMIF('TL04'!$C$10:$C$224,$C338,'TL04'!$J$10:$J$224),0),
IF('TL04'!$B$229=P$3,SUMIF('TL04'!$C$238:$C$451,$C338,'TL04'!$J$238:$J$451),0),
IF('TL05'!$B$3=P$3,SUMIF('TL05'!$C$10:$C$224,$C338,'TL05'!$J$10:$J$224),0),
IF('TL05'!$B$229=P$3,SUMIF('TL05'!$C$238:$C$451,$C338,'TL05'!$J$238:$J$451),0),
IF('TL06'!$B$3=P$3,SUMIF('TL06'!$C$10:$C$224,$C338,'TL06'!$J$10:$J$224),0),
IF('TL06'!$B$229=P$3,SUMIF('TL06'!$C$238:$C$451,$C338,'TL06'!$J$238:$J$451),0),
IF('TL07'!$B$3=P$3,SUMIF('TL07'!$C$10:$C$224,$C338,'TL07'!$J$10:$J$224),0),
IF('TL07'!$B$229=P$3,SUMIF('TL07'!$C$238:$C$451,$C338,'TL07'!$J$238:$J$451),0),
IF('TL08'!$B$3=P$3,SUMIF('TL08'!$C$10:$C$224,$C338,'TL08'!$J$10:$J$224),0),
IF('TL08'!$B$229=P$3,SUMIF('TL08'!$C$238:$C$451,$C338,'TL08'!$J$238:$J$451),0),
IF('TL09'!$B$3=P$3,SUMIF('TL09'!$C$10:$C$224,$C338,'TL09'!$J$10:$J$224),0),
IF('TL09'!$B$229=P$3,SUMIF('TL09'!$C$238:$C$451,$C338,'TL09'!$J$238:$J$451),0),
IF('TL10'!$B$3=P$3,SUMIF('TL10'!$C$10:$C$224,$C338,'TL10'!$J$10:$J$224),0),
IF('TL10'!$B$229=P$3,SUMIF('TL10'!$C$238:$C$451,$C338,'TL10'!$J$238:$J$451),0),
IF('TL11'!$B$3=P$3,SUMIF('TL11'!$C$10:$C$224,$C338,'TL11'!$J$10:$J$224),0),
IF('TL11'!$B$229=P$3,SUMIF('TL11'!$C$238:$C$451,$C338,'TL11'!$J$238:$J$451),0),
IF('TL12'!$B$3=P$3,SUMIF('TL12'!$C$10:$C$224,$C338,'TL12'!$J$10:$J$224),0),
IF('TL12'!$B$229=P$3,SUMIF('TL12'!$C$238:$C$451,$C338,'TL12'!$J$238:$J$451),0),
IF('TL13'!$B$3=P$3,SUMIF('TL13'!$C$10:$C$224,$C338,'TL13'!$J$10:$J$224),0),
IF('TL13'!$B$229=P$3,SUMIF('TL13'!$C$238:$C$451,$C338,'TL13'!$J$238:$J$451),0),
IF('TL14'!$B$3=P$3,SUMIF('TL14'!$C$10:$C$224,$C338,'TL14'!$J$10:$J$224),0),
IF('TL14'!$B$229=P$3,SUMIF('TL14'!$C$238:$C$451,$C338,'TL14'!$J$238:$J$451),0),
IF('TL15'!$B$3=P$3,SUMIF('TL15'!$C$10:$C$224,$C338,'TL15'!$J$10:$J$224),0),
IF('TL15'!$B$229=P$3,SUMIF('TL15'!$C$238:$C$451,$C338,'TL15'!$J$238:$J$451),0),
IF('TL16'!$B$3=P$3,SUMIF('TL16'!$C$10:$C$224,$C338,'TL16'!$J$10:$J$224),0),
IF('TL16'!$B$229=P$3,SUMIF('TL16'!$C$238:$C$451,$C338,'TL16'!$J$238:$J$451),0),
IF('TL17'!$B$3=P$3,SUMIF('TL17'!$C$10:$C$224,$C338,'TL17'!$J$10:$J$224),0),
IF('TL17'!$B$229=P$3,SUMIF('TL17'!$C$238:$C$451,$C338,'TL17'!$J$238:$J$451),0),
IF('TL18'!$B$3=P$3,SUMIF('TL18'!$C$10:$C$224,$C338,'TL18'!$J$10:$J$224),0),
IF('TL18'!$B$229=P$3,SUMIF('TL18'!$C$238:$C$451,$C338,'TL18'!$J$238:$J$451),0),
IF('TL19'!$B$3=P$3,SUMIF('TL19'!$C$10:$C$224,$C338,'TL19'!$J$10:$J$224),0),
IF('TL19'!$B$229=P$3,SUMIF('TL19'!$C$238:$C$451,$C338,'TL19'!$J$238:$J$451),0)
),0)</f>
        <v>0</v>
      </c>
      <c r="Q338" s="9">
        <f>IFERROR(SUM(
IF('TL01'!$B$3=Q$3,SUMIF('TL01'!$C$10:$C$224,$C338,'TL01'!$J$10:$J$224),0),
IF('TL01'!$B$229=Q$3,SUMIF('TL01'!$C$238:$C$451,$C338,'TL01'!$J$238:$J$451),0),
IF('TL02'!$B$3=Q$3,SUMIF('TL02'!$C$10:$C$224,$C338,'TL02'!$J$10:$J$224),0),
IF('TL02'!$B$229=Q$3,SUMIF('TL02'!$C$238:$C$451,$C338,'TL02'!$J$238:$J$451),0),
IF('TL03'!$B$3=Q$3,SUMIF('TL03'!$C$10:$C$224,$C338,'TL03'!$J$10:$J$224),0),
IF('TL03'!$B$229=Q$3,SUMIF('TL03'!$C$238:$C$451,$C338,'TL03'!$J$238:$J$451),0),
IF('TL04'!$B$3=Q$3,SUMIF('TL04'!$C$10:$C$224,$C338,'TL04'!$J$10:$J$224),0),
IF('TL04'!$B$229=Q$3,SUMIF('TL04'!$C$238:$C$451,$C338,'TL04'!$J$238:$J$451),0),
IF('TL05'!$B$3=Q$3,SUMIF('TL05'!$C$10:$C$224,$C338,'TL05'!$J$10:$J$224),0),
IF('TL05'!$B$229=Q$3,SUMIF('TL05'!$C$238:$C$451,$C338,'TL05'!$J$238:$J$451),0),
IF('TL06'!$B$3=Q$3,SUMIF('TL06'!$C$10:$C$224,$C338,'TL06'!$J$10:$J$224),0),
IF('TL06'!$B$229=Q$3,SUMIF('TL06'!$C$238:$C$451,$C338,'TL06'!$J$238:$J$451),0),
IF('TL07'!$B$3=Q$3,SUMIF('TL07'!$C$10:$C$224,$C338,'TL07'!$J$10:$J$224),0),
IF('TL07'!$B$229=Q$3,SUMIF('TL07'!$C$238:$C$451,$C338,'TL07'!$J$238:$J$451),0),
IF('TL08'!$B$3=Q$3,SUMIF('TL08'!$C$10:$C$224,$C338,'TL08'!$J$10:$J$224),0),
IF('TL08'!$B$229=Q$3,SUMIF('TL08'!$C$238:$C$451,$C338,'TL08'!$J$238:$J$451),0),
IF('TL09'!$B$3=Q$3,SUMIF('TL09'!$C$10:$C$224,$C338,'TL09'!$J$10:$J$224),0),
IF('TL09'!$B$229=Q$3,SUMIF('TL09'!$C$238:$C$451,$C338,'TL09'!$J$238:$J$451),0),
IF('TL10'!$B$3=Q$3,SUMIF('TL10'!$C$10:$C$224,$C338,'TL10'!$J$10:$J$224),0),
IF('TL10'!$B$229=Q$3,SUMIF('TL10'!$C$238:$C$451,$C338,'TL10'!$J$238:$J$451),0),
IF('TL11'!$B$3=Q$3,SUMIF('TL11'!$C$10:$C$224,$C338,'TL11'!$J$10:$J$224),0),
IF('TL11'!$B$229=Q$3,SUMIF('TL11'!$C$238:$C$451,$C338,'TL11'!$J$238:$J$451),0),
IF('TL12'!$B$3=Q$3,SUMIF('TL12'!$C$10:$C$224,$C338,'TL12'!$J$10:$J$224),0),
IF('TL12'!$B$229=Q$3,SUMIF('TL12'!$C$238:$C$451,$C338,'TL12'!$J$238:$J$451),0),
IF('TL13'!$B$3=Q$3,SUMIF('TL13'!$C$10:$C$224,$C338,'TL13'!$J$10:$J$224),0),
IF('TL13'!$B$229=Q$3,SUMIF('TL13'!$C$238:$C$451,$C338,'TL13'!$J$238:$J$451),0),
IF('TL14'!$B$3=Q$3,SUMIF('TL14'!$C$10:$C$224,$C338,'TL14'!$J$10:$J$224),0),
IF('TL14'!$B$229=Q$3,SUMIF('TL14'!$C$238:$C$451,$C338,'TL14'!$J$238:$J$451),0),
IF('TL15'!$B$3=Q$3,SUMIF('TL15'!$C$10:$C$224,$C338,'TL15'!$J$10:$J$224),0),
IF('TL15'!$B$229=Q$3,SUMIF('TL15'!$C$238:$C$451,$C338,'TL15'!$J$238:$J$451),0),
IF('TL16'!$B$3=Q$3,SUMIF('TL16'!$C$10:$C$224,$C338,'TL16'!$J$10:$J$224),0),
IF('TL16'!$B$229=Q$3,SUMIF('TL16'!$C$238:$C$451,$C338,'TL16'!$J$238:$J$451),0),
IF('TL17'!$B$3=Q$3,SUMIF('TL17'!$C$10:$C$224,$C338,'TL17'!$J$10:$J$224),0),
IF('TL17'!$B$229=Q$3,SUMIF('TL17'!$C$238:$C$451,$C338,'TL17'!$J$238:$J$451),0),
IF('TL18'!$B$3=Q$3,SUMIF('TL18'!$C$10:$C$224,$C338,'TL18'!$J$10:$J$224),0),
IF('TL18'!$B$229=Q$3,SUMIF('TL18'!$C$238:$C$451,$C338,'TL18'!$J$238:$J$451),0),
IF('TL19'!$B$3=Q$3,SUMIF('TL19'!$C$10:$C$224,$C338,'TL19'!$J$10:$J$224),0),
IF('TL19'!$B$229=Q$3,SUMIF('TL19'!$C$238:$C$451,$C338,'TL19'!$J$238:$J$451),0)
),0)</f>
        <v>0</v>
      </c>
      <c r="R338" s="9">
        <f>IFERROR(
SUM(
SUMIF('TL01'!C:C,C338,'TL01'!J:J),
SUMIF('TL02'!C:C,C338,'TL02'!J:J),
SUMIF('TL03'!C:C,C338,'TL03'!J:J),
SUMIF('TL04'!C:C,C338,'TL04'!J:J),
SUMIF('TL05'!C:C,C338,'TL05'!J:J),
SUMIF('TL06'!C:C,C338,'TL06'!J:J),
SUMIF('TL07'!C:C,C338,'TL07'!J:J),
SUMIF('TL08'!C:C,C338,'TL08'!J:J),
SUMIF('TL09'!C:C,C338,'TL09'!J:J),
SUMIF('TL10'!C:C,C338,'TL10'!J:J),
SUMIF('TL11'!C:C,C338,'TL11'!J:J),
SUMIF('TL12'!C:C,C338,'TL12'!J:J),
SUMIF('TL13'!C:C,C338,'TL13'!J:J),
SUMIF('TL14'!C:C,C338,'TL14'!J:J),
SUMIF('TL15'!C:C,C338,'TL15'!J:J),
SUMIF('TL16'!C:C,C338,'TL16'!J:J),
SUMIF('TL17'!C:C,C338,'TL17'!J:J),
SUMIF('TL18'!C:C,C338,'TL18'!J:J),SUMIF('TL19'!C:C,C338,'TL19'!J:J))
,0)</f>
        <v>0</v>
      </c>
      <c r="S338" s="17" t="str">
        <f>IFERROR(__xludf.DUMMYFUNCTION("IFERROR(VLOOKUP(C338,
IMPORTRANGE(""1wULbzX32WdYsx-lj2U3uUNBBe2INVIRDtcK0d-Dvl90"",
""26-27!C:G""),
5,
FALSE),
"""")"),"")</f>
        <v/>
      </c>
      <c r="T338" s="9"/>
      <c r="U338" s="92">
        <f t="shared" si="2"/>
        <v>0</v>
      </c>
      <c r="V338" s="93">
        <f t="shared" si="3"/>
        <v>0</v>
      </c>
    </row>
    <row r="339" ht="15.75" hidden="1" customHeight="1">
      <c r="A339" s="4"/>
      <c r="B339" s="125"/>
      <c r="C339" s="6"/>
      <c r="D339" s="6"/>
      <c r="E339" s="9"/>
      <c r="F339" s="4"/>
      <c r="G339" s="90" t="str">
        <f t="shared" si="5"/>
        <v>📄 Ver bula</v>
      </c>
      <c r="H339" s="9"/>
      <c r="I339" s="1"/>
      <c r="J339" s="9">
        <f>IFERROR(SUM(
IF('TL01'!$B$3=J$3,SUMIF('TL01'!$C$10:$C$224,$C339,'TL01'!$J$10:$J$224),0),
IF('TL01'!$B$229=J$3,SUMIF('TL01'!$C$238:$C$451,$C339,'TL01'!$J$238:$J$451),0),
IF('TL02'!$B$3=J$3,SUMIF('TL02'!$C$10:$C$224,$C339,'TL02'!$J$10:$J$224),0),
IF('TL02'!$B$229=J$3,SUMIF('TL02'!$C$238:$C$451,$C339,'TL02'!$J$238:$J$451),0),
IF('TL03'!$B$3=J$3,SUMIF('TL03'!$C$10:$C$224,$C339,'TL03'!$J$10:$J$224),0),
IF('TL03'!$B$229=J$3,SUMIF('TL03'!$C$238:$C$451,$C339,'TL03'!$J$238:$J$451),0),
IF('TL04'!$B$3=J$3,SUMIF('TL04'!$C$10:$C$224,$C339,'TL04'!$J$10:$J$224),0),
IF('TL04'!$B$229=J$3,SUMIF('TL04'!$C$238:$C$451,$C339,'TL04'!$J$238:$J$451),0),
IF('TL05'!$B$3=J$3,SUMIF('TL05'!$C$10:$C$224,$C339,'TL05'!$J$10:$J$224),0),
IF('TL05'!$B$229=J$3,SUMIF('TL05'!$C$238:$C$451,$C339,'TL05'!$J$238:$J$451),0),
IF('TL06'!$B$3=J$3,SUMIF('TL06'!$C$10:$C$224,$C339,'TL06'!$J$10:$J$224),0),
IF('TL06'!$B$229=J$3,SUMIF('TL06'!$C$238:$C$451,$C339,'TL06'!$J$238:$J$451),0),
IF('TL07'!$B$3=J$3,SUMIF('TL07'!$C$10:$C$224,$C339,'TL07'!$J$10:$J$224),0),
IF('TL07'!$B$229=J$3,SUMIF('TL07'!$C$238:$C$451,$C339,'TL07'!$J$238:$J$451),0),
IF('TL08'!$B$3=J$3,SUMIF('TL08'!$C$10:$C$224,$C339,'TL08'!$J$10:$J$224),0),
IF('TL08'!$B$229=J$3,SUMIF('TL08'!$C$238:$C$451,$C339,'TL08'!$J$238:$J$451),0),
IF('TL09'!$B$3=J$3,SUMIF('TL09'!$C$10:$C$224,$C339,'TL09'!$J$10:$J$224),0),
IF('TL09'!$B$229=J$3,SUMIF('TL09'!$C$238:$C$451,$C339,'TL09'!$J$238:$J$451),0),
IF('TL10'!$B$3=J$3,SUMIF('TL10'!$C$10:$C$224,$C339,'TL10'!$J$10:$J$224),0),
IF('TL10'!$B$229=J$3,SUMIF('TL10'!$C$238:$C$451,$C339,'TL10'!$J$238:$J$451),0),
IF('TL11'!$B$3=J$3,SUMIF('TL11'!$C$10:$C$224,$C339,'TL11'!$J$10:$J$224),0),
IF('TL11'!$B$229=J$3,SUMIF('TL11'!$C$238:$C$451,$C339,'TL11'!$J$238:$J$451),0),
IF('TL12'!$B$3=J$3,SUMIF('TL12'!$C$10:$C$224,$C339,'TL12'!$J$10:$J$224),0),
IF('TL12'!$B$229=J$3,SUMIF('TL12'!$C$238:$C$451,$C339,'TL12'!$J$238:$J$451),0),
IF('TL13'!$B$3=J$3,SUMIF('TL13'!$C$10:$C$224,$C339,'TL13'!$J$10:$J$224),0),
IF('TL13'!$B$229=J$3,SUMIF('TL13'!$C$238:$C$451,$C339,'TL13'!$J$238:$J$451),0),
IF('TL14'!$B$3=J$3,SUMIF('TL14'!$C$10:$C$224,$C339,'TL14'!$J$10:$J$224),0),
IF('TL14'!$B$229=J$3,SUMIF('TL14'!$C$238:$C$451,$C339,'TL14'!$J$238:$J$451),0),
IF('TL15'!$B$3=J$3,SUMIF('TL15'!$C$10:$C$224,$C339,'TL15'!$J$10:$J$224),0),
IF('TL15'!$B$229=J$3,SUMIF('TL15'!$C$238:$C$451,$C339,'TL15'!$J$238:$J$451),0),
IF('TL16'!$B$3=J$3,SUMIF('TL16'!$C$10:$C$224,$C339,'TL16'!$J$10:$J$224),0),
IF('TL16'!$B$229=J$3,SUMIF('TL16'!$C$238:$C$451,$C339,'TL16'!$J$238:$J$451),0),
IF('TL17'!$B$3=J$3,SUMIF('TL17'!$C$10:$C$224,$C339,'TL17'!$J$10:$J$224),0),
IF('TL17'!$B$229=J$3,SUMIF('TL17'!$C$238:$C$451,$C339,'TL17'!$J$238:$J$451),0),
IF('TL18'!$B$3=J$3,SUMIF('TL18'!$C$10:$C$224,$C339,'TL18'!$J$10:$J$224),0),
IF('TL18'!$B$229=J$3,SUMIF('TL18'!$C$238:$C$451,$C339,'TL18'!$J$238:$J$451),0),
IF('TL19'!$B$3=J$3,SUMIF('TL19'!$C$10:$C$224,$C339,'TL19'!$J$10:$J$224),0),
IF('TL19'!$B$229=J$3,SUMIF('TL19'!$C$238:$C$451,$C339,'TL19'!$J$238:$J$451),0)
),0)</f>
        <v>0</v>
      </c>
      <c r="K339" s="9">
        <f>IFERROR(SUM(
IF('TL01'!$B$3=K$3,SUMIF('TL01'!$C$10:$C$224,$C339,'TL01'!$J$10:$J$224),0),
IF('TL01'!$B$229=K$3,SUMIF('TL01'!$C$238:$C$451,$C339,'TL01'!$J$238:$J$451),0),
IF('TL02'!$B$3=K$3,SUMIF('TL02'!$C$10:$C$224,$C339,'TL02'!$J$10:$J$224),0),
IF('TL02'!$B$229=K$3,SUMIF('TL02'!$C$238:$C$451,$C339,'TL02'!$J$238:$J$451),0),
IF('TL03'!$B$3=K$3,SUMIF('TL03'!$C$10:$C$224,$C339,'TL03'!$J$10:$J$224),0),
IF('TL03'!$B$229=K$3,SUMIF('TL03'!$C$238:$C$451,$C339,'TL03'!$J$238:$J$451),0),
IF('TL04'!$B$3=K$3,SUMIF('TL04'!$C$10:$C$224,$C339,'TL04'!$J$10:$J$224),0),
IF('TL04'!$B$229=K$3,SUMIF('TL04'!$C$238:$C$451,$C339,'TL04'!$J$238:$J$451),0),
IF('TL05'!$B$3=K$3,SUMIF('TL05'!$C$10:$C$224,$C339,'TL05'!$J$10:$J$224),0),
IF('TL05'!$B$229=K$3,SUMIF('TL05'!$C$238:$C$451,$C339,'TL05'!$J$238:$J$451),0),
IF('TL06'!$B$3=K$3,SUMIF('TL06'!$C$10:$C$224,$C339,'TL06'!$J$10:$J$224),0),
IF('TL06'!$B$229=K$3,SUMIF('TL06'!$C$238:$C$451,$C339,'TL06'!$J$238:$J$451),0),
IF('TL07'!$B$3=K$3,SUMIF('TL07'!$C$10:$C$224,$C339,'TL07'!$J$10:$J$224),0),
IF('TL07'!$B$229=K$3,SUMIF('TL07'!$C$238:$C$451,$C339,'TL07'!$J$238:$J$451),0),
IF('TL08'!$B$3=K$3,SUMIF('TL08'!$C$10:$C$224,$C339,'TL08'!$J$10:$J$224),0),
IF('TL08'!$B$229=K$3,SUMIF('TL08'!$C$238:$C$451,$C339,'TL08'!$J$238:$J$451),0),
IF('TL09'!$B$3=K$3,SUMIF('TL09'!$C$10:$C$224,$C339,'TL09'!$J$10:$J$224),0),
IF('TL09'!$B$229=K$3,SUMIF('TL09'!$C$238:$C$451,$C339,'TL09'!$J$238:$J$451),0),
IF('TL10'!$B$3=K$3,SUMIF('TL10'!$C$10:$C$224,$C339,'TL10'!$J$10:$J$224),0),
IF('TL10'!$B$229=K$3,SUMIF('TL10'!$C$238:$C$451,$C339,'TL10'!$J$238:$J$451),0),
IF('TL11'!$B$3=K$3,SUMIF('TL11'!$C$10:$C$224,$C339,'TL11'!$J$10:$J$224),0),
IF('TL11'!$B$229=K$3,SUMIF('TL11'!$C$238:$C$451,$C339,'TL11'!$J$238:$J$451),0),
IF('TL12'!$B$3=K$3,SUMIF('TL12'!$C$10:$C$224,$C339,'TL12'!$J$10:$J$224),0),
IF('TL12'!$B$229=K$3,SUMIF('TL12'!$C$238:$C$451,$C339,'TL12'!$J$238:$J$451),0),
IF('TL13'!$B$3=K$3,SUMIF('TL13'!$C$10:$C$224,$C339,'TL13'!$J$10:$J$224),0),
IF('TL13'!$B$229=K$3,SUMIF('TL13'!$C$238:$C$451,$C339,'TL13'!$J$238:$J$451),0),
IF('TL14'!$B$3=K$3,SUMIF('TL14'!$C$10:$C$224,$C339,'TL14'!$J$10:$J$224),0),
IF('TL14'!$B$229=K$3,SUMIF('TL14'!$C$238:$C$451,$C339,'TL14'!$J$238:$J$451),0),
IF('TL15'!$B$3=K$3,SUMIF('TL15'!$C$10:$C$224,$C339,'TL15'!$J$10:$J$224),0),
IF('TL15'!$B$229=K$3,SUMIF('TL15'!$C$238:$C$451,$C339,'TL15'!$J$238:$J$451),0),
IF('TL16'!$B$3=K$3,SUMIF('TL16'!$C$10:$C$224,$C339,'TL16'!$J$10:$J$224),0),
IF('TL16'!$B$229=K$3,SUMIF('TL16'!$C$238:$C$451,$C339,'TL16'!$J$238:$J$451),0),
IF('TL17'!$B$3=K$3,SUMIF('TL17'!$C$10:$C$224,$C339,'TL17'!$J$10:$J$224),0),
IF('TL17'!$B$229=K$3,SUMIF('TL17'!$C$238:$C$451,$C339,'TL17'!$J$238:$J$451),0),
IF('TL18'!$B$3=K$3,SUMIF('TL18'!$C$10:$C$224,$C339,'TL18'!$J$10:$J$224),0),
IF('TL18'!$B$229=K$3,SUMIF('TL18'!$C$238:$C$451,$C339,'TL18'!$J$238:$J$451),0),
IF('TL19'!$B$3=K$3,SUMIF('TL19'!$C$10:$C$224,$C339,'TL19'!$J$10:$J$224),0),
IF('TL19'!$B$229=K$3,SUMIF('TL19'!$C$238:$C$451,$C339,'TL19'!$J$238:$J$451),0)
),0)</f>
        <v>0</v>
      </c>
      <c r="L339" s="9">
        <f>IFERROR(SUM(
IF('TL01'!$B$3=L$3,SUMIF('TL01'!$C$10:$C$224,$C339,'TL01'!$J$10:$J$224),0),
IF('TL01'!$B$229=L$3,SUMIF('TL01'!$C$238:$C$451,$C339,'TL01'!$J$238:$J$451),0),
IF('TL02'!$B$3=L$3,SUMIF('TL02'!$C$10:$C$224,$C339,'TL02'!$J$10:$J$224),0),
IF('TL02'!$B$229=L$3,SUMIF('TL02'!$C$238:$C$451,$C339,'TL02'!$J$238:$J$451),0),
IF('TL03'!$B$3=L$3,SUMIF('TL03'!$C$10:$C$224,$C339,'TL03'!$J$10:$J$224),0),
IF('TL03'!$B$229=L$3,SUMIF('TL03'!$C$238:$C$451,$C339,'TL03'!$J$238:$J$451),0),
IF('TL04'!$B$3=L$3,SUMIF('TL04'!$C$10:$C$224,$C339,'TL04'!$J$10:$J$224),0),
IF('TL04'!$B$229=L$3,SUMIF('TL04'!$C$238:$C$451,$C339,'TL04'!$J$238:$J$451),0),
IF('TL05'!$B$3=L$3,SUMIF('TL05'!$C$10:$C$224,$C339,'TL05'!$J$10:$J$224),0),
IF('TL05'!$B$229=L$3,SUMIF('TL05'!$C$238:$C$451,$C339,'TL05'!$J$238:$J$451),0),
IF('TL06'!$B$3=L$3,SUMIF('TL06'!$C$10:$C$224,$C339,'TL06'!$J$10:$J$224),0),
IF('TL06'!$B$229=L$3,SUMIF('TL06'!$C$238:$C$451,$C339,'TL06'!$J$238:$J$451),0),
IF('TL07'!$B$3=L$3,SUMIF('TL07'!$C$10:$C$224,$C339,'TL07'!$J$10:$J$224),0),
IF('TL07'!$B$229=L$3,SUMIF('TL07'!$C$238:$C$451,$C339,'TL07'!$J$238:$J$451),0),
IF('TL08'!$B$3=L$3,SUMIF('TL08'!$C$10:$C$224,$C339,'TL08'!$J$10:$J$224),0),
IF('TL08'!$B$229=L$3,SUMIF('TL08'!$C$238:$C$451,$C339,'TL08'!$J$238:$J$451),0),
IF('TL09'!$B$3=L$3,SUMIF('TL09'!$C$10:$C$224,$C339,'TL09'!$J$10:$J$224),0),
IF('TL09'!$B$229=L$3,SUMIF('TL09'!$C$238:$C$451,$C339,'TL09'!$J$238:$J$451),0),
IF('TL10'!$B$3=L$3,SUMIF('TL10'!$C$10:$C$224,$C339,'TL10'!$J$10:$J$224),0),
IF('TL10'!$B$229=L$3,SUMIF('TL10'!$C$238:$C$451,$C339,'TL10'!$J$238:$J$451),0),
IF('TL11'!$B$3=L$3,SUMIF('TL11'!$C$10:$C$224,$C339,'TL11'!$J$10:$J$224),0),
IF('TL11'!$B$229=L$3,SUMIF('TL11'!$C$238:$C$451,$C339,'TL11'!$J$238:$J$451),0),
IF('TL12'!$B$3=L$3,SUMIF('TL12'!$C$10:$C$224,$C339,'TL12'!$J$10:$J$224),0),
IF('TL12'!$B$229=L$3,SUMIF('TL12'!$C$238:$C$451,$C339,'TL12'!$J$238:$J$451),0),
IF('TL13'!$B$3=L$3,SUMIF('TL13'!$C$10:$C$224,$C339,'TL13'!$J$10:$J$224),0),
IF('TL13'!$B$229=L$3,SUMIF('TL13'!$C$238:$C$451,$C339,'TL13'!$J$238:$J$451),0),
IF('TL14'!$B$3=L$3,SUMIF('TL14'!$C$10:$C$224,$C339,'TL14'!$J$10:$J$224),0),
IF('TL14'!$B$229=L$3,SUMIF('TL14'!$C$238:$C$451,$C339,'TL14'!$J$238:$J$451),0),
IF('TL15'!$B$3=L$3,SUMIF('TL15'!$C$10:$C$224,$C339,'TL15'!$J$10:$J$224),0),
IF('TL15'!$B$229=L$3,SUMIF('TL15'!$C$238:$C$451,$C339,'TL15'!$J$238:$J$451),0),
IF('TL16'!$B$3=L$3,SUMIF('TL16'!$C$10:$C$224,$C339,'TL16'!$J$10:$J$224),0),
IF('TL16'!$B$229=L$3,SUMIF('TL16'!$C$238:$C$451,$C339,'TL16'!$J$238:$J$451),0),
IF('TL17'!$B$3=L$3,SUMIF('TL17'!$C$10:$C$224,$C339,'TL17'!$J$10:$J$224),0),
IF('TL17'!$B$229=L$3,SUMIF('TL17'!$C$238:$C$451,$C339,'TL17'!$J$238:$J$451),0),
IF('TL18'!$B$3=L$3,SUMIF('TL18'!$C$10:$C$224,$C339,'TL18'!$J$10:$J$224),0),
IF('TL18'!$B$229=L$3,SUMIF('TL18'!$C$238:$C$451,$C339,'TL18'!$J$238:$J$451),0),
IF('TL19'!$B$3=L$3,SUMIF('TL19'!$C$10:$C$224,$C339,'TL19'!$J$10:$J$224),0),
IF('TL19'!$B$229=L$3,SUMIF('TL19'!$C$238:$C$451,$C339,'TL19'!$J$238:$J$451),0)
),0)</f>
        <v>0</v>
      </c>
      <c r="M339" s="9">
        <f>IFERROR(SUM(
IF('TL01'!$B$3=M$3,SUMIF('TL01'!$C$10:$C$224,$C339,'TL01'!$J$10:$J$224),0),
IF('TL01'!$B$229=M$3,SUMIF('TL01'!$C$238:$C$451,$C339,'TL01'!$J$238:$J$451),0),
IF('TL02'!$B$3=M$3,SUMIF('TL02'!$C$10:$C$224,$C339,'TL02'!$J$10:$J$224),0),
IF('TL02'!$B$229=M$3,SUMIF('TL02'!$C$238:$C$451,$C339,'TL02'!$J$238:$J$451),0),
IF('TL03'!$B$3=M$3,SUMIF('TL03'!$C$10:$C$224,$C339,'TL03'!$J$10:$J$224),0),
IF('TL03'!$B$229=M$3,SUMIF('TL03'!$C$238:$C$451,$C339,'TL03'!$J$238:$J$451),0),
IF('TL04'!$B$3=M$3,SUMIF('TL04'!$C$10:$C$224,$C339,'TL04'!$J$10:$J$224),0),
IF('TL04'!$B$229=M$3,SUMIF('TL04'!$C$238:$C$451,$C339,'TL04'!$J$238:$J$451),0),
IF('TL05'!$B$3=M$3,SUMIF('TL05'!$C$10:$C$224,$C339,'TL05'!$J$10:$J$224),0),
IF('TL05'!$B$229=M$3,SUMIF('TL05'!$C$238:$C$451,$C339,'TL05'!$J$238:$J$451),0),
IF('TL06'!$B$3=M$3,SUMIF('TL06'!$C$10:$C$224,$C339,'TL06'!$J$10:$J$224),0),
IF('TL06'!$B$229=M$3,SUMIF('TL06'!$C$238:$C$451,$C339,'TL06'!$J$238:$J$451),0),
IF('TL07'!$B$3=M$3,SUMIF('TL07'!$C$10:$C$224,$C339,'TL07'!$J$10:$J$224),0),
IF('TL07'!$B$229=M$3,SUMIF('TL07'!$C$238:$C$451,$C339,'TL07'!$J$238:$J$451),0),
IF('TL08'!$B$3=M$3,SUMIF('TL08'!$C$10:$C$224,$C339,'TL08'!$J$10:$J$224),0),
IF('TL08'!$B$229=M$3,SUMIF('TL08'!$C$238:$C$451,$C339,'TL08'!$J$238:$J$451),0),
IF('TL09'!$B$3=M$3,SUMIF('TL09'!$C$10:$C$224,$C339,'TL09'!$J$10:$J$224),0),
IF('TL09'!$B$229=M$3,SUMIF('TL09'!$C$238:$C$451,$C339,'TL09'!$J$238:$J$451),0),
IF('TL10'!$B$3=M$3,SUMIF('TL10'!$C$10:$C$224,$C339,'TL10'!$J$10:$J$224),0),
IF('TL10'!$B$229=M$3,SUMIF('TL10'!$C$238:$C$451,$C339,'TL10'!$J$238:$J$451),0),
IF('TL11'!$B$3=M$3,SUMIF('TL11'!$C$10:$C$224,$C339,'TL11'!$J$10:$J$224),0),
IF('TL11'!$B$229=M$3,SUMIF('TL11'!$C$238:$C$451,$C339,'TL11'!$J$238:$J$451),0),
IF('TL12'!$B$3=M$3,SUMIF('TL12'!$C$10:$C$224,$C339,'TL12'!$J$10:$J$224),0),
IF('TL12'!$B$229=M$3,SUMIF('TL12'!$C$238:$C$451,$C339,'TL12'!$J$238:$J$451),0),
IF('TL13'!$B$3=M$3,SUMIF('TL13'!$C$10:$C$224,$C339,'TL13'!$J$10:$J$224),0),
IF('TL13'!$B$229=M$3,SUMIF('TL13'!$C$238:$C$451,$C339,'TL13'!$J$238:$J$451),0),
IF('TL14'!$B$3=M$3,SUMIF('TL14'!$C$10:$C$224,$C339,'TL14'!$J$10:$J$224),0),
IF('TL14'!$B$229=M$3,SUMIF('TL14'!$C$238:$C$451,$C339,'TL14'!$J$238:$J$451),0),
IF('TL15'!$B$3=M$3,SUMIF('TL15'!$C$10:$C$224,$C339,'TL15'!$J$10:$J$224),0),
IF('TL15'!$B$229=M$3,SUMIF('TL15'!$C$238:$C$451,$C339,'TL15'!$J$238:$J$451),0),
IF('TL16'!$B$3=M$3,SUMIF('TL16'!$C$10:$C$224,$C339,'TL16'!$J$10:$J$224),0),
IF('TL16'!$B$229=M$3,SUMIF('TL16'!$C$238:$C$451,$C339,'TL16'!$J$238:$J$451),0),
IF('TL17'!$B$3=M$3,SUMIF('TL17'!$C$10:$C$224,$C339,'TL17'!$J$10:$J$224),0),
IF('TL17'!$B$229=M$3,SUMIF('TL17'!$C$238:$C$451,$C339,'TL17'!$J$238:$J$451),0),
IF('TL18'!$B$3=M$3,SUMIF('TL18'!$C$10:$C$224,$C339,'TL18'!$J$10:$J$224),0),
IF('TL18'!$B$229=M$3,SUMIF('TL18'!$C$238:$C$451,$C339,'TL18'!$J$238:$J$451),0),
IF('TL19'!$B$3=M$3,SUMIF('TL19'!$C$10:$C$224,$C339,'TL19'!$J$10:$J$224),0),
IF('TL19'!$B$229=M$3,SUMIF('TL19'!$C$238:$C$451,$C339,'TL19'!$J$238:$J$451),0)
),0)</f>
        <v>0</v>
      </c>
      <c r="N339" s="9">
        <f>IFERROR(SUM(
IF('TL01'!$B$3=N$3,SUMIF('TL01'!$C$10:$C$224,$C339,'TL01'!$J$10:$J$224),0),
IF('TL01'!$B$229=N$3,SUMIF('TL01'!$C$238:$C$451,$C339,'TL01'!$J$238:$J$451),0),
IF('TL02'!$B$3=N$3,SUMIF('TL02'!$C$10:$C$224,$C339,'TL02'!$J$10:$J$224),0),
IF('TL02'!$B$229=N$3,SUMIF('TL02'!$C$238:$C$451,$C339,'TL02'!$J$238:$J$451),0),
IF('TL03'!$B$3=N$3,SUMIF('TL03'!$C$10:$C$224,$C339,'TL03'!$J$10:$J$224),0),
IF('TL03'!$B$229=N$3,SUMIF('TL03'!$C$238:$C$451,$C339,'TL03'!$J$238:$J$451),0),
IF('TL04'!$B$3=N$3,SUMIF('TL04'!$C$10:$C$224,$C339,'TL04'!$J$10:$J$224),0),
IF('TL04'!$B$229=N$3,SUMIF('TL04'!$C$238:$C$451,$C339,'TL04'!$J$238:$J$451),0),
IF('TL05'!$B$3=N$3,SUMIF('TL05'!$C$10:$C$224,$C339,'TL05'!$J$10:$J$224),0),
IF('TL05'!$B$229=N$3,SUMIF('TL05'!$C$238:$C$451,$C339,'TL05'!$J$238:$J$451),0),
IF('TL06'!$B$3=N$3,SUMIF('TL06'!$C$10:$C$224,$C339,'TL06'!$J$10:$J$224),0),
IF('TL06'!$B$229=N$3,SUMIF('TL06'!$C$238:$C$451,$C339,'TL06'!$J$238:$J$451),0),
IF('TL07'!$B$3=N$3,SUMIF('TL07'!$C$10:$C$224,$C339,'TL07'!$J$10:$J$224),0),
IF('TL07'!$B$229=N$3,SUMIF('TL07'!$C$238:$C$451,$C339,'TL07'!$J$238:$J$451),0),
IF('TL08'!$B$3=N$3,SUMIF('TL08'!$C$10:$C$224,$C339,'TL08'!$J$10:$J$224),0),
IF('TL08'!$B$229=N$3,SUMIF('TL08'!$C$238:$C$451,$C339,'TL08'!$J$238:$J$451),0),
IF('TL09'!$B$3=N$3,SUMIF('TL09'!$C$10:$C$224,$C339,'TL09'!$J$10:$J$224),0),
IF('TL09'!$B$229=N$3,SUMIF('TL09'!$C$238:$C$451,$C339,'TL09'!$J$238:$J$451),0),
IF('TL10'!$B$3=N$3,SUMIF('TL10'!$C$10:$C$224,$C339,'TL10'!$J$10:$J$224),0),
IF('TL10'!$B$229=N$3,SUMIF('TL10'!$C$238:$C$451,$C339,'TL10'!$J$238:$J$451),0),
IF('TL11'!$B$3=N$3,SUMIF('TL11'!$C$10:$C$224,$C339,'TL11'!$J$10:$J$224),0),
IF('TL11'!$B$229=N$3,SUMIF('TL11'!$C$238:$C$451,$C339,'TL11'!$J$238:$J$451),0),
IF('TL12'!$B$3=N$3,SUMIF('TL12'!$C$10:$C$224,$C339,'TL12'!$J$10:$J$224),0),
IF('TL12'!$B$229=N$3,SUMIF('TL12'!$C$238:$C$451,$C339,'TL12'!$J$238:$J$451),0),
IF('TL13'!$B$3=N$3,SUMIF('TL13'!$C$10:$C$224,$C339,'TL13'!$J$10:$J$224),0),
IF('TL13'!$B$229=N$3,SUMIF('TL13'!$C$238:$C$451,$C339,'TL13'!$J$238:$J$451),0),
IF('TL14'!$B$3=N$3,SUMIF('TL14'!$C$10:$C$224,$C339,'TL14'!$J$10:$J$224),0),
IF('TL14'!$B$229=N$3,SUMIF('TL14'!$C$238:$C$451,$C339,'TL14'!$J$238:$J$451),0),
IF('TL15'!$B$3=N$3,SUMIF('TL15'!$C$10:$C$224,$C339,'TL15'!$J$10:$J$224),0),
IF('TL15'!$B$229=N$3,SUMIF('TL15'!$C$238:$C$451,$C339,'TL15'!$J$238:$J$451),0),
IF('TL16'!$B$3=N$3,SUMIF('TL16'!$C$10:$C$224,$C339,'TL16'!$J$10:$J$224),0),
IF('TL16'!$B$229=N$3,SUMIF('TL16'!$C$238:$C$451,$C339,'TL16'!$J$238:$J$451),0),
IF('TL17'!$B$3=N$3,SUMIF('TL17'!$C$10:$C$224,$C339,'TL17'!$J$10:$J$224),0),
IF('TL17'!$B$229=N$3,SUMIF('TL17'!$C$238:$C$451,$C339,'TL17'!$J$238:$J$451),0),
IF('TL18'!$B$3=N$3,SUMIF('TL18'!$C$10:$C$224,$C339,'TL18'!$J$10:$J$224),0),
IF('TL18'!$B$229=N$3,SUMIF('TL18'!$C$238:$C$451,$C339,'TL18'!$J$238:$J$451),0),
IF('TL19'!$B$3=N$3,SUMIF('TL19'!$C$10:$C$224,$C339,'TL19'!$J$10:$J$224),0),
IF('TL19'!$B$229=N$3,SUMIF('TL19'!$C$238:$C$451,$C339,'TL19'!$J$238:$J$451),0)
),0)</f>
        <v>0</v>
      </c>
      <c r="O339" s="9">
        <f>IFERROR(SUM(
IF('TL01'!$B$3=O$3,SUMIF('TL01'!$C$10:$C$224,$C339,'TL01'!$J$10:$J$224),0),
IF('TL01'!$B$229=O$3,SUMIF('TL01'!$C$238:$C$451,$C339,'TL01'!$J$238:$J$451),0),
IF('TL02'!$B$3=O$3,SUMIF('TL02'!$C$10:$C$224,$C339,'TL02'!$J$10:$J$224),0),
IF('TL02'!$B$229=O$3,SUMIF('TL02'!$C$238:$C$451,$C339,'TL02'!$J$238:$J$451),0),
IF('TL03'!$B$3=O$3,SUMIF('TL03'!$C$10:$C$224,$C339,'TL03'!$J$10:$J$224),0),
IF('TL03'!$B$229=O$3,SUMIF('TL03'!$C$238:$C$451,$C339,'TL03'!$J$238:$J$451),0),
IF('TL04'!$B$3=O$3,SUMIF('TL04'!$C$10:$C$224,$C339,'TL04'!$J$10:$J$224),0),
IF('TL04'!$B$229=O$3,SUMIF('TL04'!$C$238:$C$451,$C339,'TL04'!$J$238:$J$451),0),
IF('TL05'!$B$3=O$3,SUMIF('TL05'!$C$10:$C$224,$C339,'TL05'!$J$10:$J$224),0),
IF('TL05'!$B$229=O$3,SUMIF('TL05'!$C$238:$C$451,$C339,'TL05'!$J$238:$J$451),0),
IF('TL06'!$B$3=O$3,SUMIF('TL06'!$C$10:$C$224,$C339,'TL06'!$J$10:$J$224),0),
IF('TL06'!$B$229=O$3,SUMIF('TL06'!$C$238:$C$451,$C339,'TL06'!$J$238:$J$451),0),
IF('TL07'!$B$3=O$3,SUMIF('TL07'!$C$10:$C$224,$C339,'TL07'!$J$10:$J$224),0),
IF('TL07'!$B$229=O$3,SUMIF('TL07'!$C$238:$C$451,$C339,'TL07'!$J$238:$J$451),0),
IF('TL08'!$B$3=O$3,SUMIF('TL08'!$C$10:$C$224,$C339,'TL08'!$J$10:$J$224),0),
IF('TL08'!$B$229=O$3,SUMIF('TL08'!$C$238:$C$451,$C339,'TL08'!$J$238:$J$451),0),
IF('TL09'!$B$3=O$3,SUMIF('TL09'!$C$10:$C$224,$C339,'TL09'!$J$10:$J$224),0),
IF('TL09'!$B$229=O$3,SUMIF('TL09'!$C$238:$C$451,$C339,'TL09'!$J$238:$J$451),0),
IF('TL10'!$B$3=O$3,SUMIF('TL10'!$C$10:$C$224,$C339,'TL10'!$J$10:$J$224),0),
IF('TL10'!$B$229=O$3,SUMIF('TL10'!$C$238:$C$451,$C339,'TL10'!$J$238:$J$451),0),
IF('TL11'!$B$3=O$3,SUMIF('TL11'!$C$10:$C$224,$C339,'TL11'!$J$10:$J$224),0),
IF('TL11'!$B$229=O$3,SUMIF('TL11'!$C$238:$C$451,$C339,'TL11'!$J$238:$J$451),0),
IF('TL12'!$B$3=O$3,SUMIF('TL12'!$C$10:$C$224,$C339,'TL12'!$J$10:$J$224),0),
IF('TL12'!$B$229=O$3,SUMIF('TL12'!$C$238:$C$451,$C339,'TL12'!$J$238:$J$451),0),
IF('TL13'!$B$3=O$3,SUMIF('TL13'!$C$10:$C$224,$C339,'TL13'!$J$10:$J$224),0),
IF('TL13'!$B$229=O$3,SUMIF('TL13'!$C$238:$C$451,$C339,'TL13'!$J$238:$J$451),0),
IF('TL14'!$B$3=O$3,SUMIF('TL14'!$C$10:$C$224,$C339,'TL14'!$J$10:$J$224),0),
IF('TL14'!$B$229=O$3,SUMIF('TL14'!$C$238:$C$451,$C339,'TL14'!$J$238:$J$451),0),
IF('TL15'!$B$3=O$3,SUMIF('TL15'!$C$10:$C$224,$C339,'TL15'!$J$10:$J$224),0),
IF('TL15'!$B$229=O$3,SUMIF('TL15'!$C$238:$C$451,$C339,'TL15'!$J$238:$J$451),0),
IF('TL16'!$B$3=O$3,SUMIF('TL16'!$C$10:$C$224,$C339,'TL16'!$J$10:$J$224),0),
IF('TL16'!$B$229=O$3,SUMIF('TL16'!$C$238:$C$451,$C339,'TL16'!$J$238:$J$451),0),
IF('TL17'!$B$3=O$3,SUMIF('TL17'!$C$10:$C$224,$C339,'TL17'!$J$10:$J$224),0),
IF('TL17'!$B$229=O$3,SUMIF('TL17'!$C$238:$C$451,$C339,'TL17'!$J$238:$J$451),0),
IF('TL18'!$B$3=O$3,SUMIF('TL18'!$C$10:$C$224,$C339,'TL18'!$J$10:$J$224),0),
IF('TL18'!$B$229=O$3,SUMIF('TL18'!$C$238:$C$451,$C339,'TL18'!$J$238:$J$451),0),
IF('TL19'!$B$3=O$3,SUMIF('TL19'!$C$10:$C$224,$C339,'TL19'!$J$10:$J$224),0),
IF('TL19'!$B$229=O$3,SUMIF('TL19'!$C$238:$C$451,$C339,'TL19'!$J$238:$J$451),0)
),0)</f>
        <v>0</v>
      </c>
      <c r="P339" s="9">
        <f>IFERROR(SUM(
IF('TL01'!$B$3=P$3,SUMIF('TL01'!$C$10:$C$224,$C339,'TL01'!$J$10:$J$224),0),
IF('TL01'!$B$229=P$3,SUMIF('TL01'!$C$238:$C$451,$C339,'TL01'!$J$238:$J$451),0),
IF('TL02'!$B$3=P$3,SUMIF('TL02'!$C$10:$C$224,$C339,'TL02'!$J$10:$J$224),0),
IF('TL02'!$B$229=P$3,SUMIF('TL02'!$C$238:$C$451,$C339,'TL02'!$J$238:$J$451),0),
IF('TL03'!$B$3=P$3,SUMIF('TL03'!$C$10:$C$224,$C339,'TL03'!$J$10:$J$224),0),
IF('TL03'!$B$229=P$3,SUMIF('TL03'!$C$238:$C$451,$C339,'TL03'!$J$238:$J$451),0),
IF('TL04'!$B$3=P$3,SUMIF('TL04'!$C$10:$C$224,$C339,'TL04'!$J$10:$J$224),0),
IF('TL04'!$B$229=P$3,SUMIF('TL04'!$C$238:$C$451,$C339,'TL04'!$J$238:$J$451),0),
IF('TL05'!$B$3=P$3,SUMIF('TL05'!$C$10:$C$224,$C339,'TL05'!$J$10:$J$224),0),
IF('TL05'!$B$229=P$3,SUMIF('TL05'!$C$238:$C$451,$C339,'TL05'!$J$238:$J$451),0),
IF('TL06'!$B$3=P$3,SUMIF('TL06'!$C$10:$C$224,$C339,'TL06'!$J$10:$J$224),0),
IF('TL06'!$B$229=P$3,SUMIF('TL06'!$C$238:$C$451,$C339,'TL06'!$J$238:$J$451),0),
IF('TL07'!$B$3=P$3,SUMIF('TL07'!$C$10:$C$224,$C339,'TL07'!$J$10:$J$224),0),
IF('TL07'!$B$229=P$3,SUMIF('TL07'!$C$238:$C$451,$C339,'TL07'!$J$238:$J$451),0),
IF('TL08'!$B$3=P$3,SUMIF('TL08'!$C$10:$C$224,$C339,'TL08'!$J$10:$J$224),0),
IF('TL08'!$B$229=P$3,SUMIF('TL08'!$C$238:$C$451,$C339,'TL08'!$J$238:$J$451),0),
IF('TL09'!$B$3=P$3,SUMIF('TL09'!$C$10:$C$224,$C339,'TL09'!$J$10:$J$224),0),
IF('TL09'!$B$229=P$3,SUMIF('TL09'!$C$238:$C$451,$C339,'TL09'!$J$238:$J$451),0),
IF('TL10'!$B$3=P$3,SUMIF('TL10'!$C$10:$C$224,$C339,'TL10'!$J$10:$J$224),0),
IF('TL10'!$B$229=P$3,SUMIF('TL10'!$C$238:$C$451,$C339,'TL10'!$J$238:$J$451),0),
IF('TL11'!$B$3=P$3,SUMIF('TL11'!$C$10:$C$224,$C339,'TL11'!$J$10:$J$224),0),
IF('TL11'!$B$229=P$3,SUMIF('TL11'!$C$238:$C$451,$C339,'TL11'!$J$238:$J$451),0),
IF('TL12'!$B$3=P$3,SUMIF('TL12'!$C$10:$C$224,$C339,'TL12'!$J$10:$J$224),0),
IF('TL12'!$B$229=P$3,SUMIF('TL12'!$C$238:$C$451,$C339,'TL12'!$J$238:$J$451),0),
IF('TL13'!$B$3=P$3,SUMIF('TL13'!$C$10:$C$224,$C339,'TL13'!$J$10:$J$224),0),
IF('TL13'!$B$229=P$3,SUMIF('TL13'!$C$238:$C$451,$C339,'TL13'!$J$238:$J$451),0),
IF('TL14'!$B$3=P$3,SUMIF('TL14'!$C$10:$C$224,$C339,'TL14'!$J$10:$J$224),0),
IF('TL14'!$B$229=P$3,SUMIF('TL14'!$C$238:$C$451,$C339,'TL14'!$J$238:$J$451),0),
IF('TL15'!$B$3=P$3,SUMIF('TL15'!$C$10:$C$224,$C339,'TL15'!$J$10:$J$224),0),
IF('TL15'!$B$229=P$3,SUMIF('TL15'!$C$238:$C$451,$C339,'TL15'!$J$238:$J$451),0),
IF('TL16'!$B$3=P$3,SUMIF('TL16'!$C$10:$C$224,$C339,'TL16'!$J$10:$J$224),0),
IF('TL16'!$B$229=P$3,SUMIF('TL16'!$C$238:$C$451,$C339,'TL16'!$J$238:$J$451),0),
IF('TL17'!$B$3=P$3,SUMIF('TL17'!$C$10:$C$224,$C339,'TL17'!$J$10:$J$224),0),
IF('TL17'!$B$229=P$3,SUMIF('TL17'!$C$238:$C$451,$C339,'TL17'!$J$238:$J$451),0),
IF('TL18'!$B$3=P$3,SUMIF('TL18'!$C$10:$C$224,$C339,'TL18'!$J$10:$J$224),0),
IF('TL18'!$B$229=P$3,SUMIF('TL18'!$C$238:$C$451,$C339,'TL18'!$J$238:$J$451),0),
IF('TL19'!$B$3=P$3,SUMIF('TL19'!$C$10:$C$224,$C339,'TL19'!$J$10:$J$224),0),
IF('TL19'!$B$229=P$3,SUMIF('TL19'!$C$238:$C$451,$C339,'TL19'!$J$238:$J$451),0)
),0)</f>
        <v>0</v>
      </c>
      <c r="Q339" s="9">
        <f>IFERROR(SUM(
IF('TL01'!$B$3=Q$3,SUMIF('TL01'!$C$10:$C$224,$C339,'TL01'!$J$10:$J$224),0),
IF('TL01'!$B$229=Q$3,SUMIF('TL01'!$C$238:$C$451,$C339,'TL01'!$J$238:$J$451),0),
IF('TL02'!$B$3=Q$3,SUMIF('TL02'!$C$10:$C$224,$C339,'TL02'!$J$10:$J$224),0),
IF('TL02'!$B$229=Q$3,SUMIF('TL02'!$C$238:$C$451,$C339,'TL02'!$J$238:$J$451),0),
IF('TL03'!$B$3=Q$3,SUMIF('TL03'!$C$10:$C$224,$C339,'TL03'!$J$10:$J$224),0),
IF('TL03'!$B$229=Q$3,SUMIF('TL03'!$C$238:$C$451,$C339,'TL03'!$J$238:$J$451),0),
IF('TL04'!$B$3=Q$3,SUMIF('TL04'!$C$10:$C$224,$C339,'TL04'!$J$10:$J$224),0),
IF('TL04'!$B$229=Q$3,SUMIF('TL04'!$C$238:$C$451,$C339,'TL04'!$J$238:$J$451),0),
IF('TL05'!$B$3=Q$3,SUMIF('TL05'!$C$10:$C$224,$C339,'TL05'!$J$10:$J$224),0),
IF('TL05'!$B$229=Q$3,SUMIF('TL05'!$C$238:$C$451,$C339,'TL05'!$J$238:$J$451),0),
IF('TL06'!$B$3=Q$3,SUMIF('TL06'!$C$10:$C$224,$C339,'TL06'!$J$10:$J$224),0),
IF('TL06'!$B$229=Q$3,SUMIF('TL06'!$C$238:$C$451,$C339,'TL06'!$J$238:$J$451),0),
IF('TL07'!$B$3=Q$3,SUMIF('TL07'!$C$10:$C$224,$C339,'TL07'!$J$10:$J$224),0),
IF('TL07'!$B$229=Q$3,SUMIF('TL07'!$C$238:$C$451,$C339,'TL07'!$J$238:$J$451),0),
IF('TL08'!$B$3=Q$3,SUMIF('TL08'!$C$10:$C$224,$C339,'TL08'!$J$10:$J$224),0),
IF('TL08'!$B$229=Q$3,SUMIF('TL08'!$C$238:$C$451,$C339,'TL08'!$J$238:$J$451),0),
IF('TL09'!$B$3=Q$3,SUMIF('TL09'!$C$10:$C$224,$C339,'TL09'!$J$10:$J$224),0),
IF('TL09'!$B$229=Q$3,SUMIF('TL09'!$C$238:$C$451,$C339,'TL09'!$J$238:$J$451),0),
IF('TL10'!$B$3=Q$3,SUMIF('TL10'!$C$10:$C$224,$C339,'TL10'!$J$10:$J$224),0),
IF('TL10'!$B$229=Q$3,SUMIF('TL10'!$C$238:$C$451,$C339,'TL10'!$J$238:$J$451),0),
IF('TL11'!$B$3=Q$3,SUMIF('TL11'!$C$10:$C$224,$C339,'TL11'!$J$10:$J$224),0),
IF('TL11'!$B$229=Q$3,SUMIF('TL11'!$C$238:$C$451,$C339,'TL11'!$J$238:$J$451),0),
IF('TL12'!$B$3=Q$3,SUMIF('TL12'!$C$10:$C$224,$C339,'TL12'!$J$10:$J$224),0),
IF('TL12'!$B$229=Q$3,SUMIF('TL12'!$C$238:$C$451,$C339,'TL12'!$J$238:$J$451),0),
IF('TL13'!$B$3=Q$3,SUMIF('TL13'!$C$10:$C$224,$C339,'TL13'!$J$10:$J$224),0),
IF('TL13'!$B$229=Q$3,SUMIF('TL13'!$C$238:$C$451,$C339,'TL13'!$J$238:$J$451),0),
IF('TL14'!$B$3=Q$3,SUMIF('TL14'!$C$10:$C$224,$C339,'TL14'!$J$10:$J$224),0),
IF('TL14'!$B$229=Q$3,SUMIF('TL14'!$C$238:$C$451,$C339,'TL14'!$J$238:$J$451),0),
IF('TL15'!$B$3=Q$3,SUMIF('TL15'!$C$10:$C$224,$C339,'TL15'!$J$10:$J$224),0),
IF('TL15'!$B$229=Q$3,SUMIF('TL15'!$C$238:$C$451,$C339,'TL15'!$J$238:$J$451),0),
IF('TL16'!$B$3=Q$3,SUMIF('TL16'!$C$10:$C$224,$C339,'TL16'!$J$10:$J$224),0),
IF('TL16'!$B$229=Q$3,SUMIF('TL16'!$C$238:$C$451,$C339,'TL16'!$J$238:$J$451),0),
IF('TL17'!$B$3=Q$3,SUMIF('TL17'!$C$10:$C$224,$C339,'TL17'!$J$10:$J$224),0),
IF('TL17'!$B$229=Q$3,SUMIF('TL17'!$C$238:$C$451,$C339,'TL17'!$J$238:$J$451),0),
IF('TL18'!$B$3=Q$3,SUMIF('TL18'!$C$10:$C$224,$C339,'TL18'!$J$10:$J$224),0),
IF('TL18'!$B$229=Q$3,SUMIF('TL18'!$C$238:$C$451,$C339,'TL18'!$J$238:$J$451),0),
IF('TL19'!$B$3=Q$3,SUMIF('TL19'!$C$10:$C$224,$C339,'TL19'!$J$10:$J$224),0),
IF('TL19'!$B$229=Q$3,SUMIF('TL19'!$C$238:$C$451,$C339,'TL19'!$J$238:$J$451),0)
),0)</f>
        <v>0</v>
      </c>
      <c r="R339" s="9">
        <f>IFERROR(
SUM(
SUMIF('TL01'!C:C,C339,'TL01'!J:J),
SUMIF('TL02'!C:C,C339,'TL02'!J:J),
SUMIF('TL03'!C:C,C339,'TL03'!J:J),
SUMIF('TL04'!C:C,C339,'TL04'!J:J),
SUMIF('TL05'!C:C,C339,'TL05'!J:J),
SUMIF('TL06'!C:C,C339,'TL06'!J:J),
SUMIF('TL07'!C:C,C339,'TL07'!J:J),
SUMIF('TL08'!C:C,C339,'TL08'!J:J),
SUMIF('TL09'!C:C,C339,'TL09'!J:J),
SUMIF('TL10'!C:C,C339,'TL10'!J:J),
SUMIF('TL11'!C:C,C339,'TL11'!J:J),
SUMIF('TL12'!C:C,C339,'TL12'!J:J),
SUMIF('TL13'!C:C,C339,'TL13'!J:J),
SUMIF('TL14'!C:C,C339,'TL14'!J:J),
SUMIF('TL15'!C:C,C339,'TL15'!J:J),
SUMIF('TL16'!C:C,C339,'TL16'!J:J),
SUMIF('TL17'!C:C,C339,'TL17'!J:J),
SUMIF('TL18'!C:C,C339,'TL18'!J:J),SUMIF('TL19'!C:C,C339,'TL19'!J:J))
,0)</f>
        <v>0</v>
      </c>
      <c r="S339" s="17" t="str">
        <f>IFERROR(__xludf.DUMMYFUNCTION("IFERROR(VLOOKUP(C339,
IMPORTRANGE(""1wULbzX32WdYsx-lj2U3uUNBBe2INVIRDtcK0d-Dvl90"",
""26-27!C:G""),
5,
FALSE),
"""")"),"")</f>
        <v/>
      </c>
      <c r="T339" s="9"/>
      <c r="U339" s="92">
        <f t="shared" si="2"/>
        <v>0</v>
      </c>
      <c r="V339" s="93">
        <f t="shared" si="3"/>
        <v>0</v>
      </c>
    </row>
    <row r="340" ht="15.75" hidden="1" customHeight="1">
      <c r="A340" s="4"/>
      <c r="B340" s="125"/>
      <c r="C340" s="6"/>
      <c r="D340" s="6"/>
      <c r="E340" s="9"/>
      <c r="F340" s="4"/>
      <c r="G340" s="90" t="str">
        <f t="shared" si="5"/>
        <v>📄 Ver bula</v>
      </c>
      <c r="H340" s="9"/>
      <c r="I340" s="1"/>
      <c r="J340" s="9">
        <f>IFERROR(SUM(
IF('TL01'!$B$3=J$3,SUMIF('TL01'!$C$10:$C$224,$C340,'TL01'!$J$10:$J$224),0),
IF('TL01'!$B$229=J$3,SUMIF('TL01'!$C$238:$C$451,$C340,'TL01'!$J$238:$J$451),0),
IF('TL02'!$B$3=J$3,SUMIF('TL02'!$C$10:$C$224,$C340,'TL02'!$J$10:$J$224),0),
IF('TL02'!$B$229=J$3,SUMIF('TL02'!$C$238:$C$451,$C340,'TL02'!$J$238:$J$451),0),
IF('TL03'!$B$3=J$3,SUMIF('TL03'!$C$10:$C$224,$C340,'TL03'!$J$10:$J$224),0),
IF('TL03'!$B$229=J$3,SUMIF('TL03'!$C$238:$C$451,$C340,'TL03'!$J$238:$J$451),0),
IF('TL04'!$B$3=J$3,SUMIF('TL04'!$C$10:$C$224,$C340,'TL04'!$J$10:$J$224),0),
IF('TL04'!$B$229=J$3,SUMIF('TL04'!$C$238:$C$451,$C340,'TL04'!$J$238:$J$451),0),
IF('TL05'!$B$3=J$3,SUMIF('TL05'!$C$10:$C$224,$C340,'TL05'!$J$10:$J$224),0),
IF('TL05'!$B$229=J$3,SUMIF('TL05'!$C$238:$C$451,$C340,'TL05'!$J$238:$J$451),0),
IF('TL06'!$B$3=J$3,SUMIF('TL06'!$C$10:$C$224,$C340,'TL06'!$J$10:$J$224),0),
IF('TL06'!$B$229=J$3,SUMIF('TL06'!$C$238:$C$451,$C340,'TL06'!$J$238:$J$451),0),
IF('TL07'!$B$3=J$3,SUMIF('TL07'!$C$10:$C$224,$C340,'TL07'!$J$10:$J$224),0),
IF('TL07'!$B$229=J$3,SUMIF('TL07'!$C$238:$C$451,$C340,'TL07'!$J$238:$J$451),0),
IF('TL08'!$B$3=J$3,SUMIF('TL08'!$C$10:$C$224,$C340,'TL08'!$J$10:$J$224),0),
IF('TL08'!$B$229=J$3,SUMIF('TL08'!$C$238:$C$451,$C340,'TL08'!$J$238:$J$451),0),
IF('TL09'!$B$3=J$3,SUMIF('TL09'!$C$10:$C$224,$C340,'TL09'!$J$10:$J$224),0),
IF('TL09'!$B$229=J$3,SUMIF('TL09'!$C$238:$C$451,$C340,'TL09'!$J$238:$J$451),0),
IF('TL10'!$B$3=J$3,SUMIF('TL10'!$C$10:$C$224,$C340,'TL10'!$J$10:$J$224),0),
IF('TL10'!$B$229=J$3,SUMIF('TL10'!$C$238:$C$451,$C340,'TL10'!$J$238:$J$451),0),
IF('TL11'!$B$3=J$3,SUMIF('TL11'!$C$10:$C$224,$C340,'TL11'!$J$10:$J$224),0),
IF('TL11'!$B$229=J$3,SUMIF('TL11'!$C$238:$C$451,$C340,'TL11'!$J$238:$J$451),0),
IF('TL12'!$B$3=J$3,SUMIF('TL12'!$C$10:$C$224,$C340,'TL12'!$J$10:$J$224),0),
IF('TL12'!$B$229=J$3,SUMIF('TL12'!$C$238:$C$451,$C340,'TL12'!$J$238:$J$451),0),
IF('TL13'!$B$3=J$3,SUMIF('TL13'!$C$10:$C$224,$C340,'TL13'!$J$10:$J$224),0),
IF('TL13'!$B$229=J$3,SUMIF('TL13'!$C$238:$C$451,$C340,'TL13'!$J$238:$J$451),0),
IF('TL14'!$B$3=J$3,SUMIF('TL14'!$C$10:$C$224,$C340,'TL14'!$J$10:$J$224),0),
IF('TL14'!$B$229=J$3,SUMIF('TL14'!$C$238:$C$451,$C340,'TL14'!$J$238:$J$451),0),
IF('TL15'!$B$3=J$3,SUMIF('TL15'!$C$10:$C$224,$C340,'TL15'!$J$10:$J$224),0),
IF('TL15'!$B$229=J$3,SUMIF('TL15'!$C$238:$C$451,$C340,'TL15'!$J$238:$J$451),0),
IF('TL16'!$B$3=J$3,SUMIF('TL16'!$C$10:$C$224,$C340,'TL16'!$J$10:$J$224),0),
IF('TL16'!$B$229=J$3,SUMIF('TL16'!$C$238:$C$451,$C340,'TL16'!$J$238:$J$451),0),
IF('TL17'!$B$3=J$3,SUMIF('TL17'!$C$10:$C$224,$C340,'TL17'!$J$10:$J$224),0),
IF('TL17'!$B$229=J$3,SUMIF('TL17'!$C$238:$C$451,$C340,'TL17'!$J$238:$J$451),0),
IF('TL18'!$B$3=J$3,SUMIF('TL18'!$C$10:$C$224,$C340,'TL18'!$J$10:$J$224),0),
IF('TL18'!$B$229=J$3,SUMIF('TL18'!$C$238:$C$451,$C340,'TL18'!$J$238:$J$451),0),
IF('TL19'!$B$3=J$3,SUMIF('TL19'!$C$10:$C$224,$C340,'TL19'!$J$10:$J$224),0),
IF('TL19'!$B$229=J$3,SUMIF('TL19'!$C$238:$C$451,$C340,'TL19'!$J$238:$J$451),0)
),0)</f>
        <v>0</v>
      </c>
      <c r="K340" s="9">
        <f>IFERROR(SUM(
IF('TL01'!$B$3=K$3,SUMIF('TL01'!$C$10:$C$224,$C340,'TL01'!$J$10:$J$224),0),
IF('TL01'!$B$229=K$3,SUMIF('TL01'!$C$238:$C$451,$C340,'TL01'!$J$238:$J$451),0),
IF('TL02'!$B$3=K$3,SUMIF('TL02'!$C$10:$C$224,$C340,'TL02'!$J$10:$J$224),0),
IF('TL02'!$B$229=K$3,SUMIF('TL02'!$C$238:$C$451,$C340,'TL02'!$J$238:$J$451),0),
IF('TL03'!$B$3=K$3,SUMIF('TL03'!$C$10:$C$224,$C340,'TL03'!$J$10:$J$224),0),
IF('TL03'!$B$229=K$3,SUMIF('TL03'!$C$238:$C$451,$C340,'TL03'!$J$238:$J$451),0),
IF('TL04'!$B$3=K$3,SUMIF('TL04'!$C$10:$C$224,$C340,'TL04'!$J$10:$J$224),0),
IF('TL04'!$B$229=K$3,SUMIF('TL04'!$C$238:$C$451,$C340,'TL04'!$J$238:$J$451),0),
IF('TL05'!$B$3=K$3,SUMIF('TL05'!$C$10:$C$224,$C340,'TL05'!$J$10:$J$224),0),
IF('TL05'!$B$229=K$3,SUMIF('TL05'!$C$238:$C$451,$C340,'TL05'!$J$238:$J$451),0),
IF('TL06'!$B$3=K$3,SUMIF('TL06'!$C$10:$C$224,$C340,'TL06'!$J$10:$J$224),0),
IF('TL06'!$B$229=K$3,SUMIF('TL06'!$C$238:$C$451,$C340,'TL06'!$J$238:$J$451),0),
IF('TL07'!$B$3=K$3,SUMIF('TL07'!$C$10:$C$224,$C340,'TL07'!$J$10:$J$224),0),
IF('TL07'!$B$229=K$3,SUMIF('TL07'!$C$238:$C$451,$C340,'TL07'!$J$238:$J$451),0),
IF('TL08'!$B$3=K$3,SUMIF('TL08'!$C$10:$C$224,$C340,'TL08'!$J$10:$J$224),0),
IF('TL08'!$B$229=K$3,SUMIF('TL08'!$C$238:$C$451,$C340,'TL08'!$J$238:$J$451),0),
IF('TL09'!$B$3=K$3,SUMIF('TL09'!$C$10:$C$224,$C340,'TL09'!$J$10:$J$224),0),
IF('TL09'!$B$229=K$3,SUMIF('TL09'!$C$238:$C$451,$C340,'TL09'!$J$238:$J$451),0),
IF('TL10'!$B$3=K$3,SUMIF('TL10'!$C$10:$C$224,$C340,'TL10'!$J$10:$J$224),0),
IF('TL10'!$B$229=K$3,SUMIF('TL10'!$C$238:$C$451,$C340,'TL10'!$J$238:$J$451),0),
IF('TL11'!$B$3=K$3,SUMIF('TL11'!$C$10:$C$224,$C340,'TL11'!$J$10:$J$224),0),
IF('TL11'!$B$229=K$3,SUMIF('TL11'!$C$238:$C$451,$C340,'TL11'!$J$238:$J$451),0),
IF('TL12'!$B$3=K$3,SUMIF('TL12'!$C$10:$C$224,$C340,'TL12'!$J$10:$J$224),0),
IF('TL12'!$B$229=K$3,SUMIF('TL12'!$C$238:$C$451,$C340,'TL12'!$J$238:$J$451),0),
IF('TL13'!$B$3=K$3,SUMIF('TL13'!$C$10:$C$224,$C340,'TL13'!$J$10:$J$224),0),
IF('TL13'!$B$229=K$3,SUMIF('TL13'!$C$238:$C$451,$C340,'TL13'!$J$238:$J$451),0),
IF('TL14'!$B$3=K$3,SUMIF('TL14'!$C$10:$C$224,$C340,'TL14'!$J$10:$J$224),0),
IF('TL14'!$B$229=K$3,SUMIF('TL14'!$C$238:$C$451,$C340,'TL14'!$J$238:$J$451),0),
IF('TL15'!$B$3=K$3,SUMIF('TL15'!$C$10:$C$224,$C340,'TL15'!$J$10:$J$224),0),
IF('TL15'!$B$229=K$3,SUMIF('TL15'!$C$238:$C$451,$C340,'TL15'!$J$238:$J$451),0),
IF('TL16'!$B$3=K$3,SUMIF('TL16'!$C$10:$C$224,$C340,'TL16'!$J$10:$J$224),0),
IF('TL16'!$B$229=K$3,SUMIF('TL16'!$C$238:$C$451,$C340,'TL16'!$J$238:$J$451),0),
IF('TL17'!$B$3=K$3,SUMIF('TL17'!$C$10:$C$224,$C340,'TL17'!$J$10:$J$224),0),
IF('TL17'!$B$229=K$3,SUMIF('TL17'!$C$238:$C$451,$C340,'TL17'!$J$238:$J$451),0),
IF('TL18'!$B$3=K$3,SUMIF('TL18'!$C$10:$C$224,$C340,'TL18'!$J$10:$J$224),0),
IF('TL18'!$B$229=K$3,SUMIF('TL18'!$C$238:$C$451,$C340,'TL18'!$J$238:$J$451),0),
IF('TL19'!$B$3=K$3,SUMIF('TL19'!$C$10:$C$224,$C340,'TL19'!$J$10:$J$224),0),
IF('TL19'!$B$229=K$3,SUMIF('TL19'!$C$238:$C$451,$C340,'TL19'!$J$238:$J$451),0)
),0)</f>
        <v>0</v>
      </c>
      <c r="L340" s="9">
        <f>IFERROR(SUM(
IF('TL01'!$B$3=L$3,SUMIF('TL01'!$C$10:$C$224,$C340,'TL01'!$J$10:$J$224),0),
IF('TL01'!$B$229=L$3,SUMIF('TL01'!$C$238:$C$451,$C340,'TL01'!$J$238:$J$451),0),
IF('TL02'!$B$3=L$3,SUMIF('TL02'!$C$10:$C$224,$C340,'TL02'!$J$10:$J$224),0),
IF('TL02'!$B$229=L$3,SUMIF('TL02'!$C$238:$C$451,$C340,'TL02'!$J$238:$J$451),0),
IF('TL03'!$B$3=L$3,SUMIF('TL03'!$C$10:$C$224,$C340,'TL03'!$J$10:$J$224),0),
IF('TL03'!$B$229=L$3,SUMIF('TL03'!$C$238:$C$451,$C340,'TL03'!$J$238:$J$451),0),
IF('TL04'!$B$3=L$3,SUMIF('TL04'!$C$10:$C$224,$C340,'TL04'!$J$10:$J$224),0),
IF('TL04'!$B$229=L$3,SUMIF('TL04'!$C$238:$C$451,$C340,'TL04'!$J$238:$J$451),0),
IF('TL05'!$B$3=L$3,SUMIF('TL05'!$C$10:$C$224,$C340,'TL05'!$J$10:$J$224),0),
IF('TL05'!$B$229=L$3,SUMIF('TL05'!$C$238:$C$451,$C340,'TL05'!$J$238:$J$451),0),
IF('TL06'!$B$3=L$3,SUMIF('TL06'!$C$10:$C$224,$C340,'TL06'!$J$10:$J$224),0),
IF('TL06'!$B$229=L$3,SUMIF('TL06'!$C$238:$C$451,$C340,'TL06'!$J$238:$J$451),0),
IF('TL07'!$B$3=L$3,SUMIF('TL07'!$C$10:$C$224,$C340,'TL07'!$J$10:$J$224),0),
IF('TL07'!$B$229=L$3,SUMIF('TL07'!$C$238:$C$451,$C340,'TL07'!$J$238:$J$451),0),
IF('TL08'!$B$3=L$3,SUMIF('TL08'!$C$10:$C$224,$C340,'TL08'!$J$10:$J$224),0),
IF('TL08'!$B$229=L$3,SUMIF('TL08'!$C$238:$C$451,$C340,'TL08'!$J$238:$J$451),0),
IF('TL09'!$B$3=L$3,SUMIF('TL09'!$C$10:$C$224,$C340,'TL09'!$J$10:$J$224),0),
IF('TL09'!$B$229=L$3,SUMIF('TL09'!$C$238:$C$451,$C340,'TL09'!$J$238:$J$451),0),
IF('TL10'!$B$3=L$3,SUMIF('TL10'!$C$10:$C$224,$C340,'TL10'!$J$10:$J$224),0),
IF('TL10'!$B$229=L$3,SUMIF('TL10'!$C$238:$C$451,$C340,'TL10'!$J$238:$J$451),0),
IF('TL11'!$B$3=L$3,SUMIF('TL11'!$C$10:$C$224,$C340,'TL11'!$J$10:$J$224),0),
IF('TL11'!$B$229=L$3,SUMIF('TL11'!$C$238:$C$451,$C340,'TL11'!$J$238:$J$451),0),
IF('TL12'!$B$3=L$3,SUMIF('TL12'!$C$10:$C$224,$C340,'TL12'!$J$10:$J$224),0),
IF('TL12'!$B$229=L$3,SUMIF('TL12'!$C$238:$C$451,$C340,'TL12'!$J$238:$J$451),0),
IF('TL13'!$B$3=L$3,SUMIF('TL13'!$C$10:$C$224,$C340,'TL13'!$J$10:$J$224),0),
IF('TL13'!$B$229=L$3,SUMIF('TL13'!$C$238:$C$451,$C340,'TL13'!$J$238:$J$451),0),
IF('TL14'!$B$3=L$3,SUMIF('TL14'!$C$10:$C$224,$C340,'TL14'!$J$10:$J$224),0),
IF('TL14'!$B$229=L$3,SUMIF('TL14'!$C$238:$C$451,$C340,'TL14'!$J$238:$J$451),0),
IF('TL15'!$B$3=L$3,SUMIF('TL15'!$C$10:$C$224,$C340,'TL15'!$J$10:$J$224),0),
IF('TL15'!$B$229=L$3,SUMIF('TL15'!$C$238:$C$451,$C340,'TL15'!$J$238:$J$451),0),
IF('TL16'!$B$3=L$3,SUMIF('TL16'!$C$10:$C$224,$C340,'TL16'!$J$10:$J$224),0),
IF('TL16'!$B$229=L$3,SUMIF('TL16'!$C$238:$C$451,$C340,'TL16'!$J$238:$J$451),0),
IF('TL17'!$B$3=L$3,SUMIF('TL17'!$C$10:$C$224,$C340,'TL17'!$J$10:$J$224),0),
IF('TL17'!$B$229=L$3,SUMIF('TL17'!$C$238:$C$451,$C340,'TL17'!$J$238:$J$451),0),
IF('TL18'!$B$3=L$3,SUMIF('TL18'!$C$10:$C$224,$C340,'TL18'!$J$10:$J$224),0),
IF('TL18'!$B$229=L$3,SUMIF('TL18'!$C$238:$C$451,$C340,'TL18'!$J$238:$J$451),0),
IF('TL19'!$B$3=L$3,SUMIF('TL19'!$C$10:$C$224,$C340,'TL19'!$J$10:$J$224),0),
IF('TL19'!$B$229=L$3,SUMIF('TL19'!$C$238:$C$451,$C340,'TL19'!$J$238:$J$451),0)
),0)</f>
        <v>0</v>
      </c>
      <c r="M340" s="9">
        <f>IFERROR(SUM(
IF('TL01'!$B$3=M$3,SUMIF('TL01'!$C$10:$C$224,$C340,'TL01'!$J$10:$J$224),0),
IF('TL01'!$B$229=M$3,SUMIF('TL01'!$C$238:$C$451,$C340,'TL01'!$J$238:$J$451),0),
IF('TL02'!$B$3=M$3,SUMIF('TL02'!$C$10:$C$224,$C340,'TL02'!$J$10:$J$224),0),
IF('TL02'!$B$229=M$3,SUMIF('TL02'!$C$238:$C$451,$C340,'TL02'!$J$238:$J$451),0),
IF('TL03'!$B$3=M$3,SUMIF('TL03'!$C$10:$C$224,$C340,'TL03'!$J$10:$J$224),0),
IF('TL03'!$B$229=M$3,SUMIF('TL03'!$C$238:$C$451,$C340,'TL03'!$J$238:$J$451),0),
IF('TL04'!$B$3=M$3,SUMIF('TL04'!$C$10:$C$224,$C340,'TL04'!$J$10:$J$224),0),
IF('TL04'!$B$229=M$3,SUMIF('TL04'!$C$238:$C$451,$C340,'TL04'!$J$238:$J$451),0),
IF('TL05'!$B$3=M$3,SUMIF('TL05'!$C$10:$C$224,$C340,'TL05'!$J$10:$J$224),0),
IF('TL05'!$B$229=M$3,SUMIF('TL05'!$C$238:$C$451,$C340,'TL05'!$J$238:$J$451),0),
IF('TL06'!$B$3=M$3,SUMIF('TL06'!$C$10:$C$224,$C340,'TL06'!$J$10:$J$224),0),
IF('TL06'!$B$229=M$3,SUMIF('TL06'!$C$238:$C$451,$C340,'TL06'!$J$238:$J$451),0),
IF('TL07'!$B$3=M$3,SUMIF('TL07'!$C$10:$C$224,$C340,'TL07'!$J$10:$J$224),0),
IF('TL07'!$B$229=M$3,SUMIF('TL07'!$C$238:$C$451,$C340,'TL07'!$J$238:$J$451),0),
IF('TL08'!$B$3=M$3,SUMIF('TL08'!$C$10:$C$224,$C340,'TL08'!$J$10:$J$224),0),
IF('TL08'!$B$229=M$3,SUMIF('TL08'!$C$238:$C$451,$C340,'TL08'!$J$238:$J$451),0),
IF('TL09'!$B$3=M$3,SUMIF('TL09'!$C$10:$C$224,$C340,'TL09'!$J$10:$J$224),0),
IF('TL09'!$B$229=M$3,SUMIF('TL09'!$C$238:$C$451,$C340,'TL09'!$J$238:$J$451),0),
IF('TL10'!$B$3=M$3,SUMIF('TL10'!$C$10:$C$224,$C340,'TL10'!$J$10:$J$224),0),
IF('TL10'!$B$229=M$3,SUMIF('TL10'!$C$238:$C$451,$C340,'TL10'!$J$238:$J$451),0),
IF('TL11'!$B$3=M$3,SUMIF('TL11'!$C$10:$C$224,$C340,'TL11'!$J$10:$J$224),0),
IF('TL11'!$B$229=M$3,SUMIF('TL11'!$C$238:$C$451,$C340,'TL11'!$J$238:$J$451),0),
IF('TL12'!$B$3=M$3,SUMIF('TL12'!$C$10:$C$224,$C340,'TL12'!$J$10:$J$224),0),
IF('TL12'!$B$229=M$3,SUMIF('TL12'!$C$238:$C$451,$C340,'TL12'!$J$238:$J$451),0),
IF('TL13'!$B$3=M$3,SUMIF('TL13'!$C$10:$C$224,$C340,'TL13'!$J$10:$J$224),0),
IF('TL13'!$B$229=M$3,SUMIF('TL13'!$C$238:$C$451,$C340,'TL13'!$J$238:$J$451),0),
IF('TL14'!$B$3=M$3,SUMIF('TL14'!$C$10:$C$224,$C340,'TL14'!$J$10:$J$224),0),
IF('TL14'!$B$229=M$3,SUMIF('TL14'!$C$238:$C$451,$C340,'TL14'!$J$238:$J$451),0),
IF('TL15'!$B$3=M$3,SUMIF('TL15'!$C$10:$C$224,$C340,'TL15'!$J$10:$J$224),0),
IF('TL15'!$B$229=M$3,SUMIF('TL15'!$C$238:$C$451,$C340,'TL15'!$J$238:$J$451),0),
IF('TL16'!$B$3=M$3,SUMIF('TL16'!$C$10:$C$224,$C340,'TL16'!$J$10:$J$224),0),
IF('TL16'!$B$229=M$3,SUMIF('TL16'!$C$238:$C$451,$C340,'TL16'!$J$238:$J$451),0),
IF('TL17'!$B$3=M$3,SUMIF('TL17'!$C$10:$C$224,$C340,'TL17'!$J$10:$J$224),0),
IF('TL17'!$B$229=M$3,SUMIF('TL17'!$C$238:$C$451,$C340,'TL17'!$J$238:$J$451),0),
IF('TL18'!$B$3=M$3,SUMIF('TL18'!$C$10:$C$224,$C340,'TL18'!$J$10:$J$224),0),
IF('TL18'!$B$229=M$3,SUMIF('TL18'!$C$238:$C$451,$C340,'TL18'!$J$238:$J$451),0),
IF('TL19'!$B$3=M$3,SUMIF('TL19'!$C$10:$C$224,$C340,'TL19'!$J$10:$J$224),0),
IF('TL19'!$B$229=M$3,SUMIF('TL19'!$C$238:$C$451,$C340,'TL19'!$J$238:$J$451),0)
),0)</f>
        <v>0</v>
      </c>
      <c r="N340" s="9">
        <f>IFERROR(SUM(
IF('TL01'!$B$3=N$3,SUMIF('TL01'!$C$10:$C$224,$C340,'TL01'!$J$10:$J$224),0),
IF('TL01'!$B$229=N$3,SUMIF('TL01'!$C$238:$C$451,$C340,'TL01'!$J$238:$J$451),0),
IF('TL02'!$B$3=N$3,SUMIF('TL02'!$C$10:$C$224,$C340,'TL02'!$J$10:$J$224),0),
IF('TL02'!$B$229=N$3,SUMIF('TL02'!$C$238:$C$451,$C340,'TL02'!$J$238:$J$451),0),
IF('TL03'!$B$3=N$3,SUMIF('TL03'!$C$10:$C$224,$C340,'TL03'!$J$10:$J$224),0),
IF('TL03'!$B$229=N$3,SUMIF('TL03'!$C$238:$C$451,$C340,'TL03'!$J$238:$J$451),0),
IF('TL04'!$B$3=N$3,SUMIF('TL04'!$C$10:$C$224,$C340,'TL04'!$J$10:$J$224),0),
IF('TL04'!$B$229=N$3,SUMIF('TL04'!$C$238:$C$451,$C340,'TL04'!$J$238:$J$451),0),
IF('TL05'!$B$3=N$3,SUMIF('TL05'!$C$10:$C$224,$C340,'TL05'!$J$10:$J$224),0),
IF('TL05'!$B$229=N$3,SUMIF('TL05'!$C$238:$C$451,$C340,'TL05'!$J$238:$J$451),0),
IF('TL06'!$B$3=N$3,SUMIF('TL06'!$C$10:$C$224,$C340,'TL06'!$J$10:$J$224),0),
IF('TL06'!$B$229=N$3,SUMIF('TL06'!$C$238:$C$451,$C340,'TL06'!$J$238:$J$451),0),
IF('TL07'!$B$3=N$3,SUMIF('TL07'!$C$10:$C$224,$C340,'TL07'!$J$10:$J$224),0),
IF('TL07'!$B$229=N$3,SUMIF('TL07'!$C$238:$C$451,$C340,'TL07'!$J$238:$J$451),0),
IF('TL08'!$B$3=N$3,SUMIF('TL08'!$C$10:$C$224,$C340,'TL08'!$J$10:$J$224),0),
IF('TL08'!$B$229=N$3,SUMIF('TL08'!$C$238:$C$451,$C340,'TL08'!$J$238:$J$451),0),
IF('TL09'!$B$3=N$3,SUMIF('TL09'!$C$10:$C$224,$C340,'TL09'!$J$10:$J$224),0),
IF('TL09'!$B$229=N$3,SUMIF('TL09'!$C$238:$C$451,$C340,'TL09'!$J$238:$J$451),0),
IF('TL10'!$B$3=N$3,SUMIF('TL10'!$C$10:$C$224,$C340,'TL10'!$J$10:$J$224),0),
IF('TL10'!$B$229=N$3,SUMIF('TL10'!$C$238:$C$451,$C340,'TL10'!$J$238:$J$451),0),
IF('TL11'!$B$3=N$3,SUMIF('TL11'!$C$10:$C$224,$C340,'TL11'!$J$10:$J$224),0),
IF('TL11'!$B$229=N$3,SUMIF('TL11'!$C$238:$C$451,$C340,'TL11'!$J$238:$J$451),0),
IF('TL12'!$B$3=N$3,SUMIF('TL12'!$C$10:$C$224,$C340,'TL12'!$J$10:$J$224),0),
IF('TL12'!$B$229=N$3,SUMIF('TL12'!$C$238:$C$451,$C340,'TL12'!$J$238:$J$451),0),
IF('TL13'!$B$3=N$3,SUMIF('TL13'!$C$10:$C$224,$C340,'TL13'!$J$10:$J$224),0),
IF('TL13'!$B$229=N$3,SUMIF('TL13'!$C$238:$C$451,$C340,'TL13'!$J$238:$J$451),0),
IF('TL14'!$B$3=N$3,SUMIF('TL14'!$C$10:$C$224,$C340,'TL14'!$J$10:$J$224),0),
IF('TL14'!$B$229=N$3,SUMIF('TL14'!$C$238:$C$451,$C340,'TL14'!$J$238:$J$451),0),
IF('TL15'!$B$3=N$3,SUMIF('TL15'!$C$10:$C$224,$C340,'TL15'!$J$10:$J$224),0),
IF('TL15'!$B$229=N$3,SUMIF('TL15'!$C$238:$C$451,$C340,'TL15'!$J$238:$J$451),0),
IF('TL16'!$B$3=N$3,SUMIF('TL16'!$C$10:$C$224,$C340,'TL16'!$J$10:$J$224),0),
IF('TL16'!$B$229=N$3,SUMIF('TL16'!$C$238:$C$451,$C340,'TL16'!$J$238:$J$451),0),
IF('TL17'!$B$3=N$3,SUMIF('TL17'!$C$10:$C$224,$C340,'TL17'!$J$10:$J$224),0),
IF('TL17'!$B$229=N$3,SUMIF('TL17'!$C$238:$C$451,$C340,'TL17'!$J$238:$J$451),0),
IF('TL18'!$B$3=N$3,SUMIF('TL18'!$C$10:$C$224,$C340,'TL18'!$J$10:$J$224),0),
IF('TL18'!$B$229=N$3,SUMIF('TL18'!$C$238:$C$451,$C340,'TL18'!$J$238:$J$451),0),
IF('TL19'!$B$3=N$3,SUMIF('TL19'!$C$10:$C$224,$C340,'TL19'!$J$10:$J$224),0),
IF('TL19'!$B$229=N$3,SUMIF('TL19'!$C$238:$C$451,$C340,'TL19'!$J$238:$J$451),0)
),0)</f>
        <v>0</v>
      </c>
      <c r="O340" s="9">
        <f>IFERROR(SUM(
IF('TL01'!$B$3=O$3,SUMIF('TL01'!$C$10:$C$224,$C340,'TL01'!$J$10:$J$224),0),
IF('TL01'!$B$229=O$3,SUMIF('TL01'!$C$238:$C$451,$C340,'TL01'!$J$238:$J$451),0),
IF('TL02'!$B$3=O$3,SUMIF('TL02'!$C$10:$C$224,$C340,'TL02'!$J$10:$J$224),0),
IF('TL02'!$B$229=O$3,SUMIF('TL02'!$C$238:$C$451,$C340,'TL02'!$J$238:$J$451),0),
IF('TL03'!$B$3=O$3,SUMIF('TL03'!$C$10:$C$224,$C340,'TL03'!$J$10:$J$224),0),
IF('TL03'!$B$229=O$3,SUMIF('TL03'!$C$238:$C$451,$C340,'TL03'!$J$238:$J$451),0),
IF('TL04'!$B$3=O$3,SUMIF('TL04'!$C$10:$C$224,$C340,'TL04'!$J$10:$J$224),0),
IF('TL04'!$B$229=O$3,SUMIF('TL04'!$C$238:$C$451,$C340,'TL04'!$J$238:$J$451),0),
IF('TL05'!$B$3=O$3,SUMIF('TL05'!$C$10:$C$224,$C340,'TL05'!$J$10:$J$224),0),
IF('TL05'!$B$229=O$3,SUMIF('TL05'!$C$238:$C$451,$C340,'TL05'!$J$238:$J$451),0),
IF('TL06'!$B$3=O$3,SUMIF('TL06'!$C$10:$C$224,$C340,'TL06'!$J$10:$J$224),0),
IF('TL06'!$B$229=O$3,SUMIF('TL06'!$C$238:$C$451,$C340,'TL06'!$J$238:$J$451),0),
IF('TL07'!$B$3=O$3,SUMIF('TL07'!$C$10:$C$224,$C340,'TL07'!$J$10:$J$224),0),
IF('TL07'!$B$229=O$3,SUMIF('TL07'!$C$238:$C$451,$C340,'TL07'!$J$238:$J$451),0),
IF('TL08'!$B$3=O$3,SUMIF('TL08'!$C$10:$C$224,$C340,'TL08'!$J$10:$J$224),0),
IF('TL08'!$B$229=O$3,SUMIF('TL08'!$C$238:$C$451,$C340,'TL08'!$J$238:$J$451),0),
IF('TL09'!$B$3=O$3,SUMIF('TL09'!$C$10:$C$224,$C340,'TL09'!$J$10:$J$224),0),
IF('TL09'!$B$229=O$3,SUMIF('TL09'!$C$238:$C$451,$C340,'TL09'!$J$238:$J$451),0),
IF('TL10'!$B$3=O$3,SUMIF('TL10'!$C$10:$C$224,$C340,'TL10'!$J$10:$J$224),0),
IF('TL10'!$B$229=O$3,SUMIF('TL10'!$C$238:$C$451,$C340,'TL10'!$J$238:$J$451),0),
IF('TL11'!$B$3=O$3,SUMIF('TL11'!$C$10:$C$224,$C340,'TL11'!$J$10:$J$224),0),
IF('TL11'!$B$229=O$3,SUMIF('TL11'!$C$238:$C$451,$C340,'TL11'!$J$238:$J$451),0),
IF('TL12'!$B$3=O$3,SUMIF('TL12'!$C$10:$C$224,$C340,'TL12'!$J$10:$J$224),0),
IF('TL12'!$B$229=O$3,SUMIF('TL12'!$C$238:$C$451,$C340,'TL12'!$J$238:$J$451),0),
IF('TL13'!$B$3=O$3,SUMIF('TL13'!$C$10:$C$224,$C340,'TL13'!$J$10:$J$224),0),
IF('TL13'!$B$229=O$3,SUMIF('TL13'!$C$238:$C$451,$C340,'TL13'!$J$238:$J$451),0),
IF('TL14'!$B$3=O$3,SUMIF('TL14'!$C$10:$C$224,$C340,'TL14'!$J$10:$J$224),0),
IF('TL14'!$B$229=O$3,SUMIF('TL14'!$C$238:$C$451,$C340,'TL14'!$J$238:$J$451),0),
IF('TL15'!$B$3=O$3,SUMIF('TL15'!$C$10:$C$224,$C340,'TL15'!$J$10:$J$224),0),
IF('TL15'!$B$229=O$3,SUMIF('TL15'!$C$238:$C$451,$C340,'TL15'!$J$238:$J$451),0),
IF('TL16'!$B$3=O$3,SUMIF('TL16'!$C$10:$C$224,$C340,'TL16'!$J$10:$J$224),0),
IF('TL16'!$B$229=O$3,SUMIF('TL16'!$C$238:$C$451,$C340,'TL16'!$J$238:$J$451),0),
IF('TL17'!$B$3=O$3,SUMIF('TL17'!$C$10:$C$224,$C340,'TL17'!$J$10:$J$224),0),
IF('TL17'!$B$229=O$3,SUMIF('TL17'!$C$238:$C$451,$C340,'TL17'!$J$238:$J$451),0),
IF('TL18'!$B$3=O$3,SUMIF('TL18'!$C$10:$C$224,$C340,'TL18'!$J$10:$J$224),0),
IF('TL18'!$B$229=O$3,SUMIF('TL18'!$C$238:$C$451,$C340,'TL18'!$J$238:$J$451),0),
IF('TL19'!$B$3=O$3,SUMIF('TL19'!$C$10:$C$224,$C340,'TL19'!$J$10:$J$224),0),
IF('TL19'!$B$229=O$3,SUMIF('TL19'!$C$238:$C$451,$C340,'TL19'!$J$238:$J$451),0)
),0)</f>
        <v>0</v>
      </c>
      <c r="P340" s="9">
        <f>IFERROR(SUM(
IF('TL01'!$B$3=P$3,SUMIF('TL01'!$C$10:$C$224,$C340,'TL01'!$J$10:$J$224),0),
IF('TL01'!$B$229=P$3,SUMIF('TL01'!$C$238:$C$451,$C340,'TL01'!$J$238:$J$451),0),
IF('TL02'!$B$3=P$3,SUMIF('TL02'!$C$10:$C$224,$C340,'TL02'!$J$10:$J$224),0),
IF('TL02'!$B$229=P$3,SUMIF('TL02'!$C$238:$C$451,$C340,'TL02'!$J$238:$J$451),0),
IF('TL03'!$B$3=P$3,SUMIF('TL03'!$C$10:$C$224,$C340,'TL03'!$J$10:$J$224),0),
IF('TL03'!$B$229=P$3,SUMIF('TL03'!$C$238:$C$451,$C340,'TL03'!$J$238:$J$451),0),
IF('TL04'!$B$3=P$3,SUMIF('TL04'!$C$10:$C$224,$C340,'TL04'!$J$10:$J$224),0),
IF('TL04'!$B$229=P$3,SUMIF('TL04'!$C$238:$C$451,$C340,'TL04'!$J$238:$J$451),0),
IF('TL05'!$B$3=P$3,SUMIF('TL05'!$C$10:$C$224,$C340,'TL05'!$J$10:$J$224),0),
IF('TL05'!$B$229=P$3,SUMIF('TL05'!$C$238:$C$451,$C340,'TL05'!$J$238:$J$451),0),
IF('TL06'!$B$3=P$3,SUMIF('TL06'!$C$10:$C$224,$C340,'TL06'!$J$10:$J$224),0),
IF('TL06'!$B$229=P$3,SUMIF('TL06'!$C$238:$C$451,$C340,'TL06'!$J$238:$J$451),0),
IF('TL07'!$B$3=P$3,SUMIF('TL07'!$C$10:$C$224,$C340,'TL07'!$J$10:$J$224),0),
IF('TL07'!$B$229=P$3,SUMIF('TL07'!$C$238:$C$451,$C340,'TL07'!$J$238:$J$451),0),
IF('TL08'!$B$3=P$3,SUMIF('TL08'!$C$10:$C$224,$C340,'TL08'!$J$10:$J$224),0),
IF('TL08'!$B$229=P$3,SUMIF('TL08'!$C$238:$C$451,$C340,'TL08'!$J$238:$J$451),0),
IF('TL09'!$B$3=P$3,SUMIF('TL09'!$C$10:$C$224,$C340,'TL09'!$J$10:$J$224),0),
IF('TL09'!$B$229=P$3,SUMIF('TL09'!$C$238:$C$451,$C340,'TL09'!$J$238:$J$451),0),
IF('TL10'!$B$3=P$3,SUMIF('TL10'!$C$10:$C$224,$C340,'TL10'!$J$10:$J$224),0),
IF('TL10'!$B$229=P$3,SUMIF('TL10'!$C$238:$C$451,$C340,'TL10'!$J$238:$J$451),0),
IF('TL11'!$B$3=P$3,SUMIF('TL11'!$C$10:$C$224,$C340,'TL11'!$J$10:$J$224),0),
IF('TL11'!$B$229=P$3,SUMIF('TL11'!$C$238:$C$451,$C340,'TL11'!$J$238:$J$451),0),
IF('TL12'!$B$3=P$3,SUMIF('TL12'!$C$10:$C$224,$C340,'TL12'!$J$10:$J$224),0),
IF('TL12'!$B$229=P$3,SUMIF('TL12'!$C$238:$C$451,$C340,'TL12'!$J$238:$J$451),0),
IF('TL13'!$B$3=P$3,SUMIF('TL13'!$C$10:$C$224,$C340,'TL13'!$J$10:$J$224),0),
IF('TL13'!$B$229=P$3,SUMIF('TL13'!$C$238:$C$451,$C340,'TL13'!$J$238:$J$451),0),
IF('TL14'!$B$3=P$3,SUMIF('TL14'!$C$10:$C$224,$C340,'TL14'!$J$10:$J$224),0),
IF('TL14'!$B$229=P$3,SUMIF('TL14'!$C$238:$C$451,$C340,'TL14'!$J$238:$J$451),0),
IF('TL15'!$B$3=P$3,SUMIF('TL15'!$C$10:$C$224,$C340,'TL15'!$J$10:$J$224),0),
IF('TL15'!$B$229=P$3,SUMIF('TL15'!$C$238:$C$451,$C340,'TL15'!$J$238:$J$451),0),
IF('TL16'!$B$3=P$3,SUMIF('TL16'!$C$10:$C$224,$C340,'TL16'!$J$10:$J$224),0),
IF('TL16'!$B$229=P$3,SUMIF('TL16'!$C$238:$C$451,$C340,'TL16'!$J$238:$J$451),0),
IF('TL17'!$B$3=P$3,SUMIF('TL17'!$C$10:$C$224,$C340,'TL17'!$J$10:$J$224),0),
IF('TL17'!$B$229=P$3,SUMIF('TL17'!$C$238:$C$451,$C340,'TL17'!$J$238:$J$451),0),
IF('TL18'!$B$3=P$3,SUMIF('TL18'!$C$10:$C$224,$C340,'TL18'!$J$10:$J$224),0),
IF('TL18'!$B$229=P$3,SUMIF('TL18'!$C$238:$C$451,$C340,'TL18'!$J$238:$J$451),0),
IF('TL19'!$B$3=P$3,SUMIF('TL19'!$C$10:$C$224,$C340,'TL19'!$J$10:$J$224),0),
IF('TL19'!$B$229=P$3,SUMIF('TL19'!$C$238:$C$451,$C340,'TL19'!$J$238:$J$451),0)
),0)</f>
        <v>0</v>
      </c>
      <c r="Q340" s="9">
        <f>IFERROR(SUM(
IF('TL01'!$B$3=Q$3,SUMIF('TL01'!$C$10:$C$224,$C340,'TL01'!$J$10:$J$224),0),
IF('TL01'!$B$229=Q$3,SUMIF('TL01'!$C$238:$C$451,$C340,'TL01'!$J$238:$J$451),0),
IF('TL02'!$B$3=Q$3,SUMIF('TL02'!$C$10:$C$224,$C340,'TL02'!$J$10:$J$224),0),
IF('TL02'!$B$229=Q$3,SUMIF('TL02'!$C$238:$C$451,$C340,'TL02'!$J$238:$J$451),0),
IF('TL03'!$B$3=Q$3,SUMIF('TL03'!$C$10:$C$224,$C340,'TL03'!$J$10:$J$224),0),
IF('TL03'!$B$229=Q$3,SUMIF('TL03'!$C$238:$C$451,$C340,'TL03'!$J$238:$J$451),0),
IF('TL04'!$B$3=Q$3,SUMIF('TL04'!$C$10:$C$224,$C340,'TL04'!$J$10:$J$224),0),
IF('TL04'!$B$229=Q$3,SUMIF('TL04'!$C$238:$C$451,$C340,'TL04'!$J$238:$J$451),0),
IF('TL05'!$B$3=Q$3,SUMIF('TL05'!$C$10:$C$224,$C340,'TL05'!$J$10:$J$224),0),
IF('TL05'!$B$229=Q$3,SUMIF('TL05'!$C$238:$C$451,$C340,'TL05'!$J$238:$J$451),0),
IF('TL06'!$B$3=Q$3,SUMIF('TL06'!$C$10:$C$224,$C340,'TL06'!$J$10:$J$224),0),
IF('TL06'!$B$229=Q$3,SUMIF('TL06'!$C$238:$C$451,$C340,'TL06'!$J$238:$J$451),0),
IF('TL07'!$B$3=Q$3,SUMIF('TL07'!$C$10:$C$224,$C340,'TL07'!$J$10:$J$224),0),
IF('TL07'!$B$229=Q$3,SUMIF('TL07'!$C$238:$C$451,$C340,'TL07'!$J$238:$J$451),0),
IF('TL08'!$B$3=Q$3,SUMIF('TL08'!$C$10:$C$224,$C340,'TL08'!$J$10:$J$224),0),
IF('TL08'!$B$229=Q$3,SUMIF('TL08'!$C$238:$C$451,$C340,'TL08'!$J$238:$J$451),0),
IF('TL09'!$B$3=Q$3,SUMIF('TL09'!$C$10:$C$224,$C340,'TL09'!$J$10:$J$224),0),
IF('TL09'!$B$229=Q$3,SUMIF('TL09'!$C$238:$C$451,$C340,'TL09'!$J$238:$J$451),0),
IF('TL10'!$B$3=Q$3,SUMIF('TL10'!$C$10:$C$224,$C340,'TL10'!$J$10:$J$224),0),
IF('TL10'!$B$229=Q$3,SUMIF('TL10'!$C$238:$C$451,$C340,'TL10'!$J$238:$J$451),0),
IF('TL11'!$B$3=Q$3,SUMIF('TL11'!$C$10:$C$224,$C340,'TL11'!$J$10:$J$224),0),
IF('TL11'!$B$229=Q$3,SUMIF('TL11'!$C$238:$C$451,$C340,'TL11'!$J$238:$J$451),0),
IF('TL12'!$B$3=Q$3,SUMIF('TL12'!$C$10:$C$224,$C340,'TL12'!$J$10:$J$224),0),
IF('TL12'!$B$229=Q$3,SUMIF('TL12'!$C$238:$C$451,$C340,'TL12'!$J$238:$J$451),0),
IF('TL13'!$B$3=Q$3,SUMIF('TL13'!$C$10:$C$224,$C340,'TL13'!$J$10:$J$224),0),
IF('TL13'!$B$229=Q$3,SUMIF('TL13'!$C$238:$C$451,$C340,'TL13'!$J$238:$J$451),0),
IF('TL14'!$B$3=Q$3,SUMIF('TL14'!$C$10:$C$224,$C340,'TL14'!$J$10:$J$224),0),
IF('TL14'!$B$229=Q$3,SUMIF('TL14'!$C$238:$C$451,$C340,'TL14'!$J$238:$J$451),0),
IF('TL15'!$B$3=Q$3,SUMIF('TL15'!$C$10:$C$224,$C340,'TL15'!$J$10:$J$224),0),
IF('TL15'!$B$229=Q$3,SUMIF('TL15'!$C$238:$C$451,$C340,'TL15'!$J$238:$J$451),0),
IF('TL16'!$B$3=Q$3,SUMIF('TL16'!$C$10:$C$224,$C340,'TL16'!$J$10:$J$224),0),
IF('TL16'!$B$229=Q$3,SUMIF('TL16'!$C$238:$C$451,$C340,'TL16'!$J$238:$J$451),0),
IF('TL17'!$B$3=Q$3,SUMIF('TL17'!$C$10:$C$224,$C340,'TL17'!$J$10:$J$224),0),
IF('TL17'!$B$229=Q$3,SUMIF('TL17'!$C$238:$C$451,$C340,'TL17'!$J$238:$J$451),0),
IF('TL18'!$B$3=Q$3,SUMIF('TL18'!$C$10:$C$224,$C340,'TL18'!$J$10:$J$224),0),
IF('TL18'!$B$229=Q$3,SUMIF('TL18'!$C$238:$C$451,$C340,'TL18'!$J$238:$J$451),0),
IF('TL19'!$B$3=Q$3,SUMIF('TL19'!$C$10:$C$224,$C340,'TL19'!$J$10:$J$224),0),
IF('TL19'!$B$229=Q$3,SUMIF('TL19'!$C$238:$C$451,$C340,'TL19'!$J$238:$J$451),0)
),0)</f>
        <v>0</v>
      </c>
      <c r="R340" s="9">
        <f>IFERROR(
SUM(
SUMIF('TL01'!C:C,C340,'TL01'!J:J),
SUMIF('TL02'!C:C,C340,'TL02'!J:J),
SUMIF('TL03'!C:C,C340,'TL03'!J:J),
SUMIF('TL04'!C:C,C340,'TL04'!J:J),
SUMIF('TL05'!C:C,C340,'TL05'!J:J),
SUMIF('TL06'!C:C,C340,'TL06'!J:J),
SUMIF('TL07'!C:C,C340,'TL07'!J:J),
SUMIF('TL08'!C:C,C340,'TL08'!J:J),
SUMIF('TL09'!C:C,C340,'TL09'!J:J),
SUMIF('TL10'!C:C,C340,'TL10'!J:J),
SUMIF('TL11'!C:C,C340,'TL11'!J:J),
SUMIF('TL12'!C:C,C340,'TL12'!J:J),
SUMIF('TL13'!C:C,C340,'TL13'!J:J),
SUMIF('TL14'!C:C,C340,'TL14'!J:J),
SUMIF('TL15'!C:C,C340,'TL15'!J:J),
SUMIF('TL16'!C:C,C340,'TL16'!J:J),
SUMIF('TL17'!C:C,C340,'TL17'!J:J),
SUMIF('TL18'!C:C,C340,'TL18'!J:J),SUMIF('TL19'!C:C,C340,'TL19'!J:J))
,0)</f>
        <v>0</v>
      </c>
      <c r="S340" s="17" t="str">
        <f>IFERROR(__xludf.DUMMYFUNCTION("IFERROR(VLOOKUP(C340,
IMPORTRANGE(""1wULbzX32WdYsx-lj2U3uUNBBe2INVIRDtcK0d-Dvl90"",
""26-27!C:G""),
5,
FALSE),
"""")"),"")</f>
        <v/>
      </c>
      <c r="T340" s="9"/>
      <c r="U340" s="92">
        <f t="shared" si="2"/>
        <v>0</v>
      </c>
      <c r="V340" s="93">
        <f t="shared" si="3"/>
        <v>0</v>
      </c>
    </row>
    <row r="341" ht="15.75" hidden="1" customHeight="1">
      <c r="A341" s="4"/>
      <c r="B341" s="125" t="s">
        <v>5</v>
      </c>
      <c r="C341" s="4" t="s">
        <v>1062</v>
      </c>
      <c r="D341" s="6"/>
      <c r="E341" s="9"/>
      <c r="F341" s="4"/>
      <c r="G341" s="90" t="str">
        <f t="shared" si="5"/>
        <v>📄 Ver bula</v>
      </c>
      <c r="H341" s="9"/>
      <c r="I341" s="1"/>
      <c r="J341" s="9">
        <f>IFERROR(SUM(
IF('TL01'!$B$3=J$3,SUMIF('TL01'!$C$10:$C$224,$C341,'TL01'!$J$10:$J$224),0),
IF('TL01'!$B$229=J$3,SUMIF('TL01'!$C$238:$C$451,$C341,'TL01'!$J$238:$J$451),0),
IF('TL02'!$B$3=J$3,SUMIF('TL02'!$C$10:$C$224,$C341,'TL02'!$J$10:$J$224),0),
IF('TL02'!$B$229=J$3,SUMIF('TL02'!$C$238:$C$451,$C341,'TL02'!$J$238:$J$451),0),
IF('TL03'!$B$3=J$3,SUMIF('TL03'!$C$10:$C$224,$C341,'TL03'!$J$10:$J$224),0),
IF('TL03'!$B$229=J$3,SUMIF('TL03'!$C$238:$C$451,$C341,'TL03'!$J$238:$J$451),0),
IF('TL04'!$B$3=J$3,SUMIF('TL04'!$C$10:$C$224,$C341,'TL04'!$J$10:$J$224),0),
IF('TL04'!$B$229=J$3,SUMIF('TL04'!$C$238:$C$451,$C341,'TL04'!$J$238:$J$451),0),
IF('TL05'!$B$3=J$3,SUMIF('TL05'!$C$10:$C$224,$C341,'TL05'!$J$10:$J$224),0),
IF('TL05'!$B$229=J$3,SUMIF('TL05'!$C$238:$C$451,$C341,'TL05'!$J$238:$J$451),0),
IF('TL06'!$B$3=J$3,SUMIF('TL06'!$C$10:$C$224,$C341,'TL06'!$J$10:$J$224),0),
IF('TL06'!$B$229=J$3,SUMIF('TL06'!$C$238:$C$451,$C341,'TL06'!$J$238:$J$451),0),
IF('TL07'!$B$3=J$3,SUMIF('TL07'!$C$10:$C$224,$C341,'TL07'!$J$10:$J$224),0),
IF('TL07'!$B$229=J$3,SUMIF('TL07'!$C$238:$C$451,$C341,'TL07'!$J$238:$J$451),0),
IF('TL08'!$B$3=J$3,SUMIF('TL08'!$C$10:$C$224,$C341,'TL08'!$J$10:$J$224),0),
IF('TL08'!$B$229=J$3,SUMIF('TL08'!$C$238:$C$451,$C341,'TL08'!$J$238:$J$451),0),
IF('TL09'!$B$3=J$3,SUMIF('TL09'!$C$10:$C$224,$C341,'TL09'!$J$10:$J$224),0),
IF('TL09'!$B$229=J$3,SUMIF('TL09'!$C$238:$C$451,$C341,'TL09'!$J$238:$J$451),0),
IF('TL10'!$B$3=J$3,SUMIF('TL10'!$C$10:$C$224,$C341,'TL10'!$J$10:$J$224),0),
IF('TL10'!$B$229=J$3,SUMIF('TL10'!$C$238:$C$451,$C341,'TL10'!$J$238:$J$451),0),
IF('TL11'!$B$3=J$3,SUMIF('TL11'!$C$10:$C$224,$C341,'TL11'!$J$10:$J$224),0),
IF('TL11'!$B$229=J$3,SUMIF('TL11'!$C$238:$C$451,$C341,'TL11'!$J$238:$J$451),0),
IF('TL12'!$B$3=J$3,SUMIF('TL12'!$C$10:$C$224,$C341,'TL12'!$J$10:$J$224),0),
IF('TL12'!$B$229=J$3,SUMIF('TL12'!$C$238:$C$451,$C341,'TL12'!$J$238:$J$451),0),
IF('TL13'!$B$3=J$3,SUMIF('TL13'!$C$10:$C$224,$C341,'TL13'!$J$10:$J$224),0),
IF('TL13'!$B$229=J$3,SUMIF('TL13'!$C$238:$C$451,$C341,'TL13'!$J$238:$J$451),0),
IF('TL14'!$B$3=J$3,SUMIF('TL14'!$C$10:$C$224,$C341,'TL14'!$J$10:$J$224),0),
IF('TL14'!$B$229=J$3,SUMIF('TL14'!$C$238:$C$451,$C341,'TL14'!$J$238:$J$451),0),
IF('TL15'!$B$3=J$3,SUMIF('TL15'!$C$10:$C$224,$C341,'TL15'!$J$10:$J$224),0),
IF('TL15'!$B$229=J$3,SUMIF('TL15'!$C$238:$C$451,$C341,'TL15'!$J$238:$J$451),0),
IF('TL16'!$B$3=J$3,SUMIF('TL16'!$C$10:$C$224,$C341,'TL16'!$J$10:$J$224),0),
IF('TL16'!$B$229=J$3,SUMIF('TL16'!$C$238:$C$451,$C341,'TL16'!$J$238:$J$451),0),
IF('TL17'!$B$3=J$3,SUMIF('TL17'!$C$10:$C$224,$C341,'TL17'!$J$10:$J$224),0),
IF('TL17'!$B$229=J$3,SUMIF('TL17'!$C$238:$C$451,$C341,'TL17'!$J$238:$J$451),0),
IF('TL18'!$B$3=J$3,SUMIF('TL18'!$C$10:$C$224,$C341,'TL18'!$J$10:$J$224),0),
IF('TL18'!$B$229=J$3,SUMIF('TL18'!$C$238:$C$451,$C341,'TL18'!$J$238:$J$451),0),
IF('TL19'!$B$3=J$3,SUMIF('TL19'!$C$10:$C$224,$C341,'TL19'!$J$10:$J$224),0),
IF('TL19'!$B$229=J$3,SUMIF('TL19'!$C$238:$C$451,$C341,'TL19'!$J$238:$J$451),0)
),0)</f>
        <v>0</v>
      </c>
      <c r="K341" s="9">
        <f>IFERROR(SUM(
IF('TL01'!$B$3=K$3,SUMIF('TL01'!$C$10:$C$224,$C341,'TL01'!$J$10:$J$224),0),
IF('TL01'!$B$229=K$3,SUMIF('TL01'!$C$238:$C$451,$C341,'TL01'!$J$238:$J$451),0),
IF('TL02'!$B$3=K$3,SUMIF('TL02'!$C$10:$C$224,$C341,'TL02'!$J$10:$J$224),0),
IF('TL02'!$B$229=K$3,SUMIF('TL02'!$C$238:$C$451,$C341,'TL02'!$J$238:$J$451),0),
IF('TL03'!$B$3=K$3,SUMIF('TL03'!$C$10:$C$224,$C341,'TL03'!$J$10:$J$224),0),
IF('TL03'!$B$229=K$3,SUMIF('TL03'!$C$238:$C$451,$C341,'TL03'!$J$238:$J$451),0),
IF('TL04'!$B$3=K$3,SUMIF('TL04'!$C$10:$C$224,$C341,'TL04'!$J$10:$J$224),0),
IF('TL04'!$B$229=K$3,SUMIF('TL04'!$C$238:$C$451,$C341,'TL04'!$J$238:$J$451),0),
IF('TL05'!$B$3=K$3,SUMIF('TL05'!$C$10:$C$224,$C341,'TL05'!$J$10:$J$224),0),
IF('TL05'!$B$229=K$3,SUMIF('TL05'!$C$238:$C$451,$C341,'TL05'!$J$238:$J$451),0),
IF('TL06'!$B$3=K$3,SUMIF('TL06'!$C$10:$C$224,$C341,'TL06'!$J$10:$J$224),0),
IF('TL06'!$B$229=K$3,SUMIF('TL06'!$C$238:$C$451,$C341,'TL06'!$J$238:$J$451),0),
IF('TL07'!$B$3=K$3,SUMIF('TL07'!$C$10:$C$224,$C341,'TL07'!$J$10:$J$224),0),
IF('TL07'!$B$229=K$3,SUMIF('TL07'!$C$238:$C$451,$C341,'TL07'!$J$238:$J$451),0),
IF('TL08'!$B$3=K$3,SUMIF('TL08'!$C$10:$C$224,$C341,'TL08'!$J$10:$J$224),0),
IF('TL08'!$B$229=K$3,SUMIF('TL08'!$C$238:$C$451,$C341,'TL08'!$J$238:$J$451),0),
IF('TL09'!$B$3=K$3,SUMIF('TL09'!$C$10:$C$224,$C341,'TL09'!$J$10:$J$224),0),
IF('TL09'!$B$229=K$3,SUMIF('TL09'!$C$238:$C$451,$C341,'TL09'!$J$238:$J$451),0),
IF('TL10'!$B$3=K$3,SUMIF('TL10'!$C$10:$C$224,$C341,'TL10'!$J$10:$J$224),0),
IF('TL10'!$B$229=K$3,SUMIF('TL10'!$C$238:$C$451,$C341,'TL10'!$J$238:$J$451),0),
IF('TL11'!$B$3=K$3,SUMIF('TL11'!$C$10:$C$224,$C341,'TL11'!$J$10:$J$224),0),
IF('TL11'!$B$229=K$3,SUMIF('TL11'!$C$238:$C$451,$C341,'TL11'!$J$238:$J$451),0),
IF('TL12'!$B$3=K$3,SUMIF('TL12'!$C$10:$C$224,$C341,'TL12'!$J$10:$J$224),0),
IF('TL12'!$B$229=K$3,SUMIF('TL12'!$C$238:$C$451,$C341,'TL12'!$J$238:$J$451),0),
IF('TL13'!$B$3=K$3,SUMIF('TL13'!$C$10:$C$224,$C341,'TL13'!$J$10:$J$224),0),
IF('TL13'!$B$229=K$3,SUMIF('TL13'!$C$238:$C$451,$C341,'TL13'!$J$238:$J$451),0),
IF('TL14'!$B$3=K$3,SUMIF('TL14'!$C$10:$C$224,$C341,'TL14'!$J$10:$J$224),0),
IF('TL14'!$B$229=K$3,SUMIF('TL14'!$C$238:$C$451,$C341,'TL14'!$J$238:$J$451),0),
IF('TL15'!$B$3=K$3,SUMIF('TL15'!$C$10:$C$224,$C341,'TL15'!$J$10:$J$224),0),
IF('TL15'!$B$229=K$3,SUMIF('TL15'!$C$238:$C$451,$C341,'TL15'!$J$238:$J$451),0),
IF('TL16'!$B$3=K$3,SUMIF('TL16'!$C$10:$C$224,$C341,'TL16'!$J$10:$J$224),0),
IF('TL16'!$B$229=K$3,SUMIF('TL16'!$C$238:$C$451,$C341,'TL16'!$J$238:$J$451),0),
IF('TL17'!$B$3=K$3,SUMIF('TL17'!$C$10:$C$224,$C341,'TL17'!$J$10:$J$224),0),
IF('TL17'!$B$229=K$3,SUMIF('TL17'!$C$238:$C$451,$C341,'TL17'!$J$238:$J$451),0),
IF('TL18'!$B$3=K$3,SUMIF('TL18'!$C$10:$C$224,$C341,'TL18'!$J$10:$J$224),0),
IF('TL18'!$B$229=K$3,SUMIF('TL18'!$C$238:$C$451,$C341,'TL18'!$J$238:$J$451),0),
IF('TL19'!$B$3=K$3,SUMIF('TL19'!$C$10:$C$224,$C341,'TL19'!$J$10:$J$224),0),
IF('TL19'!$B$229=K$3,SUMIF('TL19'!$C$238:$C$451,$C341,'TL19'!$J$238:$J$451),0)
),0)</f>
        <v>0</v>
      </c>
      <c r="L341" s="9">
        <f>IFERROR(SUM(
IF('TL01'!$B$3=L$3,SUMIF('TL01'!$C$10:$C$224,$C341,'TL01'!$J$10:$J$224),0),
IF('TL01'!$B$229=L$3,SUMIF('TL01'!$C$238:$C$451,$C341,'TL01'!$J$238:$J$451),0),
IF('TL02'!$B$3=L$3,SUMIF('TL02'!$C$10:$C$224,$C341,'TL02'!$J$10:$J$224),0),
IF('TL02'!$B$229=L$3,SUMIF('TL02'!$C$238:$C$451,$C341,'TL02'!$J$238:$J$451),0),
IF('TL03'!$B$3=L$3,SUMIF('TL03'!$C$10:$C$224,$C341,'TL03'!$J$10:$J$224),0),
IF('TL03'!$B$229=L$3,SUMIF('TL03'!$C$238:$C$451,$C341,'TL03'!$J$238:$J$451),0),
IF('TL04'!$B$3=L$3,SUMIF('TL04'!$C$10:$C$224,$C341,'TL04'!$J$10:$J$224),0),
IF('TL04'!$B$229=L$3,SUMIF('TL04'!$C$238:$C$451,$C341,'TL04'!$J$238:$J$451),0),
IF('TL05'!$B$3=L$3,SUMIF('TL05'!$C$10:$C$224,$C341,'TL05'!$J$10:$J$224),0),
IF('TL05'!$B$229=L$3,SUMIF('TL05'!$C$238:$C$451,$C341,'TL05'!$J$238:$J$451),0),
IF('TL06'!$B$3=L$3,SUMIF('TL06'!$C$10:$C$224,$C341,'TL06'!$J$10:$J$224),0),
IF('TL06'!$B$229=L$3,SUMIF('TL06'!$C$238:$C$451,$C341,'TL06'!$J$238:$J$451),0),
IF('TL07'!$B$3=L$3,SUMIF('TL07'!$C$10:$C$224,$C341,'TL07'!$J$10:$J$224),0),
IF('TL07'!$B$229=L$3,SUMIF('TL07'!$C$238:$C$451,$C341,'TL07'!$J$238:$J$451),0),
IF('TL08'!$B$3=L$3,SUMIF('TL08'!$C$10:$C$224,$C341,'TL08'!$J$10:$J$224),0),
IF('TL08'!$B$229=L$3,SUMIF('TL08'!$C$238:$C$451,$C341,'TL08'!$J$238:$J$451),0),
IF('TL09'!$B$3=L$3,SUMIF('TL09'!$C$10:$C$224,$C341,'TL09'!$J$10:$J$224),0),
IF('TL09'!$B$229=L$3,SUMIF('TL09'!$C$238:$C$451,$C341,'TL09'!$J$238:$J$451),0),
IF('TL10'!$B$3=L$3,SUMIF('TL10'!$C$10:$C$224,$C341,'TL10'!$J$10:$J$224),0),
IF('TL10'!$B$229=L$3,SUMIF('TL10'!$C$238:$C$451,$C341,'TL10'!$J$238:$J$451),0),
IF('TL11'!$B$3=L$3,SUMIF('TL11'!$C$10:$C$224,$C341,'TL11'!$J$10:$J$224),0),
IF('TL11'!$B$229=L$3,SUMIF('TL11'!$C$238:$C$451,$C341,'TL11'!$J$238:$J$451),0),
IF('TL12'!$B$3=L$3,SUMIF('TL12'!$C$10:$C$224,$C341,'TL12'!$J$10:$J$224),0),
IF('TL12'!$B$229=L$3,SUMIF('TL12'!$C$238:$C$451,$C341,'TL12'!$J$238:$J$451),0),
IF('TL13'!$B$3=L$3,SUMIF('TL13'!$C$10:$C$224,$C341,'TL13'!$J$10:$J$224),0),
IF('TL13'!$B$229=L$3,SUMIF('TL13'!$C$238:$C$451,$C341,'TL13'!$J$238:$J$451),0),
IF('TL14'!$B$3=L$3,SUMIF('TL14'!$C$10:$C$224,$C341,'TL14'!$J$10:$J$224),0),
IF('TL14'!$B$229=L$3,SUMIF('TL14'!$C$238:$C$451,$C341,'TL14'!$J$238:$J$451),0),
IF('TL15'!$B$3=L$3,SUMIF('TL15'!$C$10:$C$224,$C341,'TL15'!$J$10:$J$224),0),
IF('TL15'!$B$229=L$3,SUMIF('TL15'!$C$238:$C$451,$C341,'TL15'!$J$238:$J$451),0),
IF('TL16'!$B$3=L$3,SUMIF('TL16'!$C$10:$C$224,$C341,'TL16'!$J$10:$J$224),0),
IF('TL16'!$B$229=L$3,SUMIF('TL16'!$C$238:$C$451,$C341,'TL16'!$J$238:$J$451),0),
IF('TL17'!$B$3=L$3,SUMIF('TL17'!$C$10:$C$224,$C341,'TL17'!$J$10:$J$224),0),
IF('TL17'!$B$229=L$3,SUMIF('TL17'!$C$238:$C$451,$C341,'TL17'!$J$238:$J$451),0),
IF('TL18'!$B$3=L$3,SUMIF('TL18'!$C$10:$C$224,$C341,'TL18'!$J$10:$J$224),0),
IF('TL18'!$B$229=L$3,SUMIF('TL18'!$C$238:$C$451,$C341,'TL18'!$J$238:$J$451),0),
IF('TL19'!$B$3=L$3,SUMIF('TL19'!$C$10:$C$224,$C341,'TL19'!$J$10:$J$224),0),
IF('TL19'!$B$229=L$3,SUMIF('TL19'!$C$238:$C$451,$C341,'TL19'!$J$238:$J$451),0)
),0)</f>
        <v>0</v>
      </c>
      <c r="M341" s="9">
        <f>IFERROR(SUM(
IF('TL01'!$B$3=M$3,SUMIF('TL01'!$C$10:$C$224,$C341,'TL01'!$J$10:$J$224),0),
IF('TL01'!$B$229=M$3,SUMIF('TL01'!$C$238:$C$451,$C341,'TL01'!$J$238:$J$451),0),
IF('TL02'!$B$3=M$3,SUMIF('TL02'!$C$10:$C$224,$C341,'TL02'!$J$10:$J$224),0),
IF('TL02'!$B$229=M$3,SUMIF('TL02'!$C$238:$C$451,$C341,'TL02'!$J$238:$J$451),0),
IF('TL03'!$B$3=M$3,SUMIF('TL03'!$C$10:$C$224,$C341,'TL03'!$J$10:$J$224),0),
IF('TL03'!$B$229=M$3,SUMIF('TL03'!$C$238:$C$451,$C341,'TL03'!$J$238:$J$451),0),
IF('TL04'!$B$3=M$3,SUMIF('TL04'!$C$10:$C$224,$C341,'TL04'!$J$10:$J$224),0),
IF('TL04'!$B$229=M$3,SUMIF('TL04'!$C$238:$C$451,$C341,'TL04'!$J$238:$J$451),0),
IF('TL05'!$B$3=M$3,SUMIF('TL05'!$C$10:$C$224,$C341,'TL05'!$J$10:$J$224),0),
IF('TL05'!$B$229=M$3,SUMIF('TL05'!$C$238:$C$451,$C341,'TL05'!$J$238:$J$451),0),
IF('TL06'!$B$3=M$3,SUMIF('TL06'!$C$10:$C$224,$C341,'TL06'!$J$10:$J$224),0),
IF('TL06'!$B$229=M$3,SUMIF('TL06'!$C$238:$C$451,$C341,'TL06'!$J$238:$J$451),0),
IF('TL07'!$B$3=M$3,SUMIF('TL07'!$C$10:$C$224,$C341,'TL07'!$J$10:$J$224),0),
IF('TL07'!$B$229=M$3,SUMIF('TL07'!$C$238:$C$451,$C341,'TL07'!$J$238:$J$451),0),
IF('TL08'!$B$3=M$3,SUMIF('TL08'!$C$10:$C$224,$C341,'TL08'!$J$10:$J$224),0),
IF('TL08'!$B$229=M$3,SUMIF('TL08'!$C$238:$C$451,$C341,'TL08'!$J$238:$J$451),0),
IF('TL09'!$B$3=M$3,SUMIF('TL09'!$C$10:$C$224,$C341,'TL09'!$J$10:$J$224),0),
IF('TL09'!$B$229=M$3,SUMIF('TL09'!$C$238:$C$451,$C341,'TL09'!$J$238:$J$451),0),
IF('TL10'!$B$3=M$3,SUMIF('TL10'!$C$10:$C$224,$C341,'TL10'!$J$10:$J$224),0),
IF('TL10'!$B$229=M$3,SUMIF('TL10'!$C$238:$C$451,$C341,'TL10'!$J$238:$J$451),0),
IF('TL11'!$B$3=M$3,SUMIF('TL11'!$C$10:$C$224,$C341,'TL11'!$J$10:$J$224),0),
IF('TL11'!$B$229=M$3,SUMIF('TL11'!$C$238:$C$451,$C341,'TL11'!$J$238:$J$451),0),
IF('TL12'!$B$3=M$3,SUMIF('TL12'!$C$10:$C$224,$C341,'TL12'!$J$10:$J$224),0),
IF('TL12'!$B$229=M$3,SUMIF('TL12'!$C$238:$C$451,$C341,'TL12'!$J$238:$J$451),0),
IF('TL13'!$B$3=M$3,SUMIF('TL13'!$C$10:$C$224,$C341,'TL13'!$J$10:$J$224),0),
IF('TL13'!$B$229=M$3,SUMIF('TL13'!$C$238:$C$451,$C341,'TL13'!$J$238:$J$451),0),
IF('TL14'!$B$3=M$3,SUMIF('TL14'!$C$10:$C$224,$C341,'TL14'!$J$10:$J$224),0),
IF('TL14'!$B$229=M$3,SUMIF('TL14'!$C$238:$C$451,$C341,'TL14'!$J$238:$J$451),0),
IF('TL15'!$B$3=M$3,SUMIF('TL15'!$C$10:$C$224,$C341,'TL15'!$J$10:$J$224),0),
IF('TL15'!$B$229=M$3,SUMIF('TL15'!$C$238:$C$451,$C341,'TL15'!$J$238:$J$451),0),
IF('TL16'!$B$3=M$3,SUMIF('TL16'!$C$10:$C$224,$C341,'TL16'!$J$10:$J$224),0),
IF('TL16'!$B$229=M$3,SUMIF('TL16'!$C$238:$C$451,$C341,'TL16'!$J$238:$J$451),0),
IF('TL17'!$B$3=M$3,SUMIF('TL17'!$C$10:$C$224,$C341,'TL17'!$J$10:$J$224),0),
IF('TL17'!$B$229=M$3,SUMIF('TL17'!$C$238:$C$451,$C341,'TL17'!$J$238:$J$451),0),
IF('TL18'!$B$3=M$3,SUMIF('TL18'!$C$10:$C$224,$C341,'TL18'!$J$10:$J$224),0),
IF('TL18'!$B$229=M$3,SUMIF('TL18'!$C$238:$C$451,$C341,'TL18'!$J$238:$J$451),0),
IF('TL19'!$B$3=M$3,SUMIF('TL19'!$C$10:$C$224,$C341,'TL19'!$J$10:$J$224),0),
IF('TL19'!$B$229=M$3,SUMIF('TL19'!$C$238:$C$451,$C341,'TL19'!$J$238:$J$451),0)
),0)</f>
        <v>0</v>
      </c>
      <c r="N341" s="9">
        <f>IFERROR(SUM(
IF('TL01'!$B$3=N$3,SUMIF('TL01'!$C$10:$C$224,$C341,'TL01'!$J$10:$J$224),0),
IF('TL01'!$B$229=N$3,SUMIF('TL01'!$C$238:$C$451,$C341,'TL01'!$J$238:$J$451),0),
IF('TL02'!$B$3=N$3,SUMIF('TL02'!$C$10:$C$224,$C341,'TL02'!$J$10:$J$224),0),
IF('TL02'!$B$229=N$3,SUMIF('TL02'!$C$238:$C$451,$C341,'TL02'!$J$238:$J$451),0),
IF('TL03'!$B$3=N$3,SUMIF('TL03'!$C$10:$C$224,$C341,'TL03'!$J$10:$J$224),0),
IF('TL03'!$B$229=N$3,SUMIF('TL03'!$C$238:$C$451,$C341,'TL03'!$J$238:$J$451),0),
IF('TL04'!$B$3=N$3,SUMIF('TL04'!$C$10:$C$224,$C341,'TL04'!$J$10:$J$224),0),
IF('TL04'!$B$229=N$3,SUMIF('TL04'!$C$238:$C$451,$C341,'TL04'!$J$238:$J$451),0),
IF('TL05'!$B$3=N$3,SUMIF('TL05'!$C$10:$C$224,$C341,'TL05'!$J$10:$J$224),0),
IF('TL05'!$B$229=N$3,SUMIF('TL05'!$C$238:$C$451,$C341,'TL05'!$J$238:$J$451),0),
IF('TL06'!$B$3=N$3,SUMIF('TL06'!$C$10:$C$224,$C341,'TL06'!$J$10:$J$224),0),
IF('TL06'!$B$229=N$3,SUMIF('TL06'!$C$238:$C$451,$C341,'TL06'!$J$238:$J$451),0),
IF('TL07'!$B$3=N$3,SUMIF('TL07'!$C$10:$C$224,$C341,'TL07'!$J$10:$J$224),0),
IF('TL07'!$B$229=N$3,SUMIF('TL07'!$C$238:$C$451,$C341,'TL07'!$J$238:$J$451),0),
IF('TL08'!$B$3=N$3,SUMIF('TL08'!$C$10:$C$224,$C341,'TL08'!$J$10:$J$224),0),
IF('TL08'!$B$229=N$3,SUMIF('TL08'!$C$238:$C$451,$C341,'TL08'!$J$238:$J$451),0),
IF('TL09'!$B$3=N$3,SUMIF('TL09'!$C$10:$C$224,$C341,'TL09'!$J$10:$J$224),0),
IF('TL09'!$B$229=N$3,SUMIF('TL09'!$C$238:$C$451,$C341,'TL09'!$J$238:$J$451),0),
IF('TL10'!$B$3=N$3,SUMIF('TL10'!$C$10:$C$224,$C341,'TL10'!$J$10:$J$224),0),
IF('TL10'!$B$229=N$3,SUMIF('TL10'!$C$238:$C$451,$C341,'TL10'!$J$238:$J$451),0),
IF('TL11'!$B$3=N$3,SUMIF('TL11'!$C$10:$C$224,$C341,'TL11'!$J$10:$J$224),0),
IF('TL11'!$B$229=N$3,SUMIF('TL11'!$C$238:$C$451,$C341,'TL11'!$J$238:$J$451),0),
IF('TL12'!$B$3=N$3,SUMIF('TL12'!$C$10:$C$224,$C341,'TL12'!$J$10:$J$224),0),
IF('TL12'!$B$229=N$3,SUMIF('TL12'!$C$238:$C$451,$C341,'TL12'!$J$238:$J$451),0),
IF('TL13'!$B$3=N$3,SUMIF('TL13'!$C$10:$C$224,$C341,'TL13'!$J$10:$J$224),0),
IF('TL13'!$B$229=N$3,SUMIF('TL13'!$C$238:$C$451,$C341,'TL13'!$J$238:$J$451),0),
IF('TL14'!$B$3=N$3,SUMIF('TL14'!$C$10:$C$224,$C341,'TL14'!$J$10:$J$224),0),
IF('TL14'!$B$229=N$3,SUMIF('TL14'!$C$238:$C$451,$C341,'TL14'!$J$238:$J$451),0),
IF('TL15'!$B$3=N$3,SUMIF('TL15'!$C$10:$C$224,$C341,'TL15'!$J$10:$J$224),0),
IF('TL15'!$B$229=N$3,SUMIF('TL15'!$C$238:$C$451,$C341,'TL15'!$J$238:$J$451),0),
IF('TL16'!$B$3=N$3,SUMIF('TL16'!$C$10:$C$224,$C341,'TL16'!$J$10:$J$224),0),
IF('TL16'!$B$229=N$3,SUMIF('TL16'!$C$238:$C$451,$C341,'TL16'!$J$238:$J$451),0),
IF('TL17'!$B$3=N$3,SUMIF('TL17'!$C$10:$C$224,$C341,'TL17'!$J$10:$J$224),0),
IF('TL17'!$B$229=N$3,SUMIF('TL17'!$C$238:$C$451,$C341,'TL17'!$J$238:$J$451),0),
IF('TL18'!$B$3=N$3,SUMIF('TL18'!$C$10:$C$224,$C341,'TL18'!$J$10:$J$224),0),
IF('TL18'!$B$229=N$3,SUMIF('TL18'!$C$238:$C$451,$C341,'TL18'!$J$238:$J$451),0),
IF('TL19'!$B$3=N$3,SUMIF('TL19'!$C$10:$C$224,$C341,'TL19'!$J$10:$J$224),0),
IF('TL19'!$B$229=N$3,SUMIF('TL19'!$C$238:$C$451,$C341,'TL19'!$J$238:$J$451),0)
),0)</f>
        <v>0</v>
      </c>
      <c r="O341" s="9">
        <f>IFERROR(SUM(
IF('TL01'!$B$3=O$3,SUMIF('TL01'!$C$10:$C$224,$C341,'TL01'!$J$10:$J$224),0),
IF('TL01'!$B$229=O$3,SUMIF('TL01'!$C$238:$C$451,$C341,'TL01'!$J$238:$J$451),0),
IF('TL02'!$B$3=O$3,SUMIF('TL02'!$C$10:$C$224,$C341,'TL02'!$J$10:$J$224),0),
IF('TL02'!$B$229=O$3,SUMIF('TL02'!$C$238:$C$451,$C341,'TL02'!$J$238:$J$451),0),
IF('TL03'!$B$3=O$3,SUMIF('TL03'!$C$10:$C$224,$C341,'TL03'!$J$10:$J$224),0),
IF('TL03'!$B$229=O$3,SUMIF('TL03'!$C$238:$C$451,$C341,'TL03'!$J$238:$J$451),0),
IF('TL04'!$B$3=O$3,SUMIF('TL04'!$C$10:$C$224,$C341,'TL04'!$J$10:$J$224),0),
IF('TL04'!$B$229=O$3,SUMIF('TL04'!$C$238:$C$451,$C341,'TL04'!$J$238:$J$451),0),
IF('TL05'!$B$3=O$3,SUMIF('TL05'!$C$10:$C$224,$C341,'TL05'!$J$10:$J$224),0),
IF('TL05'!$B$229=O$3,SUMIF('TL05'!$C$238:$C$451,$C341,'TL05'!$J$238:$J$451),0),
IF('TL06'!$B$3=O$3,SUMIF('TL06'!$C$10:$C$224,$C341,'TL06'!$J$10:$J$224),0),
IF('TL06'!$B$229=O$3,SUMIF('TL06'!$C$238:$C$451,$C341,'TL06'!$J$238:$J$451),0),
IF('TL07'!$B$3=O$3,SUMIF('TL07'!$C$10:$C$224,$C341,'TL07'!$J$10:$J$224),0),
IF('TL07'!$B$229=O$3,SUMIF('TL07'!$C$238:$C$451,$C341,'TL07'!$J$238:$J$451),0),
IF('TL08'!$B$3=O$3,SUMIF('TL08'!$C$10:$C$224,$C341,'TL08'!$J$10:$J$224),0),
IF('TL08'!$B$229=O$3,SUMIF('TL08'!$C$238:$C$451,$C341,'TL08'!$J$238:$J$451),0),
IF('TL09'!$B$3=O$3,SUMIF('TL09'!$C$10:$C$224,$C341,'TL09'!$J$10:$J$224),0),
IF('TL09'!$B$229=O$3,SUMIF('TL09'!$C$238:$C$451,$C341,'TL09'!$J$238:$J$451),0),
IF('TL10'!$B$3=O$3,SUMIF('TL10'!$C$10:$C$224,$C341,'TL10'!$J$10:$J$224),0),
IF('TL10'!$B$229=O$3,SUMIF('TL10'!$C$238:$C$451,$C341,'TL10'!$J$238:$J$451),0),
IF('TL11'!$B$3=O$3,SUMIF('TL11'!$C$10:$C$224,$C341,'TL11'!$J$10:$J$224),0),
IF('TL11'!$B$229=O$3,SUMIF('TL11'!$C$238:$C$451,$C341,'TL11'!$J$238:$J$451),0),
IF('TL12'!$B$3=O$3,SUMIF('TL12'!$C$10:$C$224,$C341,'TL12'!$J$10:$J$224),0),
IF('TL12'!$B$229=O$3,SUMIF('TL12'!$C$238:$C$451,$C341,'TL12'!$J$238:$J$451),0),
IF('TL13'!$B$3=O$3,SUMIF('TL13'!$C$10:$C$224,$C341,'TL13'!$J$10:$J$224),0),
IF('TL13'!$B$229=O$3,SUMIF('TL13'!$C$238:$C$451,$C341,'TL13'!$J$238:$J$451),0),
IF('TL14'!$B$3=O$3,SUMIF('TL14'!$C$10:$C$224,$C341,'TL14'!$J$10:$J$224),0),
IF('TL14'!$B$229=O$3,SUMIF('TL14'!$C$238:$C$451,$C341,'TL14'!$J$238:$J$451),0),
IF('TL15'!$B$3=O$3,SUMIF('TL15'!$C$10:$C$224,$C341,'TL15'!$J$10:$J$224),0),
IF('TL15'!$B$229=O$3,SUMIF('TL15'!$C$238:$C$451,$C341,'TL15'!$J$238:$J$451),0),
IF('TL16'!$B$3=O$3,SUMIF('TL16'!$C$10:$C$224,$C341,'TL16'!$J$10:$J$224),0),
IF('TL16'!$B$229=O$3,SUMIF('TL16'!$C$238:$C$451,$C341,'TL16'!$J$238:$J$451),0),
IF('TL17'!$B$3=O$3,SUMIF('TL17'!$C$10:$C$224,$C341,'TL17'!$J$10:$J$224),0),
IF('TL17'!$B$229=O$3,SUMIF('TL17'!$C$238:$C$451,$C341,'TL17'!$J$238:$J$451),0),
IF('TL18'!$B$3=O$3,SUMIF('TL18'!$C$10:$C$224,$C341,'TL18'!$J$10:$J$224),0),
IF('TL18'!$B$229=O$3,SUMIF('TL18'!$C$238:$C$451,$C341,'TL18'!$J$238:$J$451),0),
IF('TL19'!$B$3=O$3,SUMIF('TL19'!$C$10:$C$224,$C341,'TL19'!$J$10:$J$224),0),
IF('TL19'!$B$229=O$3,SUMIF('TL19'!$C$238:$C$451,$C341,'TL19'!$J$238:$J$451),0)
),0)</f>
        <v>0</v>
      </c>
      <c r="P341" s="9">
        <f>IFERROR(SUM(
IF('TL01'!$B$3=P$3,SUMIF('TL01'!$C$10:$C$224,$C341,'TL01'!$J$10:$J$224),0),
IF('TL01'!$B$229=P$3,SUMIF('TL01'!$C$238:$C$451,$C341,'TL01'!$J$238:$J$451),0),
IF('TL02'!$B$3=P$3,SUMIF('TL02'!$C$10:$C$224,$C341,'TL02'!$J$10:$J$224),0),
IF('TL02'!$B$229=P$3,SUMIF('TL02'!$C$238:$C$451,$C341,'TL02'!$J$238:$J$451),0),
IF('TL03'!$B$3=P$3,SUMIF('TL03'!$C$10:$C$224,$C341,'TL03'!$J$10:$J$224),0),
IF('TL03'!$B$229=P$3,SUMIF('TL03'!$C$238:$C$451,$C341,'TL03'!$J$238:$J$451),0),
IF('TL04'!$B$3=P$3,SUMIF('TL04'!$C$10:$C$224,$C341,'TL04'!$J$10:$J$224),0),
IF('TL04'!$B$229=P$3,SUMIF('TL04'!$C$238:$C$451,$C341,'TL04'!$J$238:$J$451),0),
IF('TL05'!$B$3=P$3,SUMIF('TL05'!$C$10:$C$224,$C341,'TL05'!$J$10:$J$224),0),
IF('TL05'!$B$229=P$3,SUMIF('TL05'!$C$238:$C$451,$C341,'TL05'!$J$238:$J$451),0),
IF('TL06'!$B$3=P$3,SUMIF('TL06'!$C$10:$C$224,$C341,'TL06'!$J$10:$J$224),0),
IF('TL06'!$B$229=P$3,SUMIF('TL06'!$C$238:$C$451,$C341,'TL06'!$J$238:$J$451),0),
IF('TL07'!$B$3=P$3,SUMIF('TL07'!$C$10:$C$224,$C341,'TL07'!$J$10:$J$224),0),
IF('TL07'!$B$229=P$3,SUMIF('TL07'!$C$238:$C$451,$C341,'TL07'!$J$238:$J$451),0),
IF('TL08'!$B$3=P$3,SUMIF('TL08'!$C$10:$C$224,$C341,'TL08'!$J$10:$J$224),0),
IF('TL08'!$B$229=P$3,SUMIF('TL08'!$C$238:$C$451,$C341,'TL08'!$J$238:$J$451),0),
IF('TL09'!$B$3=P$3,SUMIF('TL09'!$C$10:$C$224,$C341,'TL09'!$J$10:$J$224),0),
IF('TL09'!$B$229=P$3,SUMIF('TL09'!$C$238:$C$451,$C341,'TL09'!$J$238:$J$451),0),
IF('TL10'!$B$3=P$3,SUMIF('TL10'!$C$10:$C$224,$C341,'TL10'!$J$10:$J$224),0),
IF('TL10'!$B$229=P$3,SUMIF('TL10'!$C$238:$C$451,$C341,'TL10'!$J$238:$J$451),0),
IF('TL11'!$B$3=P$3,SUMIF('TL11'!$C$10:$C$224,$C341,'TL11'!$J$10:$J$224),0),
IF('TL11'!$B$229=P$3,SUMIF('TL11'!$C$238:$C$451,$C341,'TL11'!$J$238:$J$451),0),
IF('TL12'!$B$3=P$3,SUMIF('TL12'!$C$10:$C$224,$C341,'TL12'!$J$10:$J$224),0),
IF('TL12'!$B$229=P$3,SUMIF('TL12'!$C$238:$C$451,$C341,'TL12'!$J$238:$J$451),0),
IF('TL13'!$B$3=P$3,SUMIF('TL13'!$C$10:$C$224,$C341,'TL13'!$J$10:$J$224),0),
IF('TL13'!$B$229=P$3,SUMIF('TL13'!$C$238:$C$451,$C341,'TL13'!$J$238:$J$451),0),
IF('TL14'!$B$3=P$3,SUMIF('TL14'!$C$10:$C$224,$C341,'TL14'!$J$10:$J$224),0),
IF('TL14'!$B$229=P$3,SUMIF('TL14'!$C$238:$C$451,$C341,'TL14'!$J$238:$J$451),0),
IF('TL15'!$B$3=P$3,SUMIF('TL15'!$C$10:$C$224,$C341,'TL15'!$J$10:$J$224),0),
IF('TL15'!$B$229=P$3,SUMIF('TL15'!$C$238:$C$451,$C341,'TL15'!$J$238:$J$451),0),
IF('TL16'!$B$3=P$3,SUMIF('TL16'!$C$10:$C$224,$C341,'TL16'!$J$10:$J$224),0),
IF('TL16'!$B$229=P$3,SUMIF('TL16'!$C$238:$C$451,$C341,'TL16'!$J$238:$J$451),0),
IF('TL17'!$B$3=P$3,SUMIF('TL17'!$C$10:$C$224,$C341,'TL17'!$J$10:$J$224),0),
IF('TL17'!$B$229=P$3,SUMIF('TL17'!$C$238:$C$451,$C341,'TL17'!$J$238:$J$451),0),
IF('TL18'!$B$3=P$3,SUMIF('TL18'!$C$10:$C$224,$C341,'TL18'!$J$10:$J$224),0),
IF('TL18'!$B$229=P$3,SUMIF('TL18'!$C$238:$C$451,$C341,'TL18'!$J$238:$J$451),0),
IF('TL19'!$B$3=P$3,SUMIF('TL19'!$C$10:$C$224,$C341,'TL19'!$J$10:$J$224),0),
IF('TL19'!$B$229=P$3,SUMIF('TL19'!$C$238:$C$451,$C341,'TL19'!$J$238:$J$451),0)
),0)</f>
        <v>0</v>
      </c>
      <c r="Q341" s="9">
        <f>IFERROR(SUM(
IF('TL01'!$B$3=Q$3,SUMIF('TL01'!$C$10:$C$224,$C341,'TL01'!$J$10:$J$224),0),
IF('TL01'!$B$229=Q$3,SUMIF('TL01'!$C$238:$C$451,$C341,'TL01'!$J$238:$J$451),0),
IF('TL02'!$B$3=Q$3,SUMIF('TL02'!$C$10:$C$224,$C341,'TL02'!$J$10:$J$224),0),
IF('TL02'!$B$229=Q$3,SUMIF('TL02'!$C$238:$C$451,$C341,'TL02'!$J$238:$J$451),0),
IF('TL03'!$B$3=Q$3,SUMIF('TL03'!$C$10:$C$224,$C341,'TL03'!$J$10:$J$224),0),
IF('TL03'!$B$229=Q$3,SUMIF('TL03'!$C$238:$C$451,$C341,'TL03'!$J$238:$J$451),0),
IF('TL04'!$B$3=Q$3,SUMIF('TL04'!$C$10:$C$224,$C341,'TL04'!$J$10:$J$224),0),
IF('TL04'!$B$229=Q$3,SUMIF('TL04'!$C$238:$C$451,$C341,'TL04'!$J$238:$J$451),0),
IF('TL05'!$B$3=Q$3,SUMIF('TL05'!$C$10:$C$224,$C341,'TL05'!$J$10:$J$224),0),
IF('TL05'!$B$229=Q$3,SUMIF('TL05'!$C$238:$C$451,$C341,'TL05'!$J$238:$J$451),0),
IF('TL06'!$B$3=Q$3,SUMIF('TL06'!$C$10:$C$224,$C341,'TL06'!$J$10:$J$224),0),
IF('TL06'!$B$229=Q$3,SUMIF('TL06'!$C$238:$C$451,$C341,'TL06'!$J$238:$J$451),0),
IF('TL07'!$B$3=Q$3,SUMIF('TL07'!$C$10:$C$224,$C341,'TL07'!$J$10:$J$224),0),
IF('TL07'!$B$229=Q$3,SUMIF('TL07'!$C$238:$C$451,$C341,'TL07'!$J$238:$J$451),0),
IF('TL08'!$B$3=Q$3,SUMIF('TL08'!$C$10:$C$224,$C341,'TL08'!$J$10:$J$224),0),
IF('TL08'!$B$229=Q$3,SUMIF('TL08'!$C$238:$C$451,$C341,'TL08'!$J$238:$J$451),0),
IF('TL09'!$B$3=Q$3,SUMIF('TL09'!$C$10:$C$224,$C341,'TL09'!$J$10:$J$224),0),
IF('TL09'!$B$229=Q$3,SUMIF('TL09'!$C$238:$C$451,$C341,'TL09'!$J$238:$J$451),0),
IF('TL10'!$B$3=Q$3,SUMIF('TL10'!$C$10:$C$224,$C341,'TL10'!$J$10:$J$224),0),
IF('TL10'!$B$229=Q$3,SUMIF('TL10'!$C$238:$C$451,$C341,'TL10'!$J$238:$J$451),0),
IF('TL11'!$B$3=Q$3,SUMIF('TL11'!$C$10:$C$224,$C341,'TL11'!$J$10:$J$224),0),
IF('TL11'!$B$229=Q$3,SUMIF('TL11'!$C$238:$C$451,$C341,'TL11'!$J$238:$J$451),0),
IF('TL12'!$B$3=Q$3,SUMIF('TL12'!$C$10:$C$224,$C341,'TL12'!$J$10:$J$224),0),
IF('TL12'!$B$229=Q$3,SUMIF('TL12'!$C$238:$C$451,$C341,'TL12'!$J$238:$J$451),0),
IF('TL13'!$B$3=Q$3,SUMIF('TL13'!$C$10:$C$224,$C341,'TL13'!$J$10:$J$224),0),
IF('TL13'!$B$229=Q$3,SUMIF('TL13'!$C$238:$C$451,$C341,'TL13'!$J$238:$J$451),0),
IF('TL14'!$B$3=Q$3,SUMIF('TL14'!$C$10:$C$224,$C341,'TL14'!$J$10:$J$224),0),
IF('TL14'!$B$229=Q$3,SUMIF('TL14'!$C$238:$C$451,$C341,'TL14'!$J$238:$J$451),0),
IF('TL15'!$B$3=Q$3,SUMIF('TL15'!$C$10:$C$224,$C341,'TL15'!$J$10:$J$224),0),
IF('TL15'!$B$229=Q$3,SUMIF('TL15'!$C$238:$C$451,$C341,'TL15'!$J$238:$J$451),0),
IF('TL16'!$B$3=Q$3,SUMIF('TL16'!$C$10:$C$224,$C341,'TL16'!$J$10:$J$224),0),
IF('TL16'!$B$229=Q$3,SUMIF('TL16'!$C$238:$C$451,$C341,'TL16'!$J$238:$J$451),0),
IF('TL17'!$B$3=Q$3,SUMIF('TL17'!$C$10:$C$224,$C341,'TL17'!$J$10:$J$224),0),
IF('TL17'!$B$229=Q$3,SUMIF('TL17'!$C$238:$C$451,$C341,'TL17'!$J$238:$J$451),0),
IF('TL18'!$B$3=Q$3,SUMIF('TL18'!$C$10:$C$224,$C341,'TL18'!$J$10:$J$224),0),
IF('TL18'!$B$229=Q$3,SUMIF('TL18'!$C$238:$C$451,$C341,'TL18'!$J$238:$J$451),0),
IF('TL19'!$B$3=Q$3,SUMIF('TL19'!$C$10:$C$224,$C341,'TL19'!$J$10:$J$224),0),
IF('TL19'!$B$229=Q$3,SUMIF('TL19'!$C$238:$C$451,$C341,'TL19'!$J$238:$J$451),0)
),0)</f>
        <v>0</v>
      </c>
      <c r="R341" s="9">
        <f>IFERROR(
SUM(
SUMIF('TL01'!C:C,C341,'TL01'!J:J),
SUMIF('TL02'!C:C,C341,'TL02'!J:J),
SUMIF('TL03'!C:C,C341,'TL03'!J:J),
SUMIF('TL04'!C:C,C341,'TL04'!J:J),
SUMIF('TL05'!C:C,C341,'TL05'!J:J),
SUMIF('TL06'!C:C,C341,'TL06'!J:J),
SUMIF('TL07'!C:C,C341,'TL07'!J:J),
SUMIF('TL08'!C:C,C341,'TL08'!J:J),
SUMIF('TL09'!C:C,C341,'TL09'!J:J),
SUMIF('TL10'!C:C,C341,'TL10'!J:J),
SUMIF('TL11'!C:C,C341,'TL11'!J:J),
SUMIF('TL12'!C:C,C341,'TL12'!J:J),
SUMIF('TL13'!C:C,C341,'TL13'!J:J),
SUMIF('TL14'!C:C,C341,'TL14'!J:J),
SUMIF('TL15'!C:C,C341,'TL15'!J:J),
SUMIF('TL16'!C:C,C341,'TL16'!J:J),
SUMIF('TL17'!C:C,C341,'TL17'!J:J),
SUMIF('TL18'!C:C,C341,'TL18'!J:J),SUMIF('TL19'!C:C,C341,'TL19'!J:J))
,0)</f>
        <v>0</v>
      </c>
      <c r="S341" s="17" t="str">
        <f>IFERROR(__xludf.DUMMYFUNCTION("IFERROR(VLOOKUP(C341,
IMPORTRANGE(""1wULbzX32WdYsx-lj2U3uUNBBe2INVIRDtcK0d-Dvl90"",
""26-27!C:G""),
5,
FALSE),
"""")"),"")</f>
        <v/>
      </c>
      <c r="T341" s="9"/>
      <c r="U341" s="92">
        <f t="shared" si="2"/>
        <v>0</v>
      </c>
      <c r="V341" s="93">
        <f t="shared" si="3"/>
        <v>0</v>
      </c>
    </row>
    <row r="342" ht="15.75" hidden="1" customHeight="1">
      <c r="A342" s="4"/>
      <c r="B342" s="125" t="s">
        <v>5</v>
      </c>
      <c r="C342" s="4" t="s">
        <v>1063</v>
      </c>
      <c r="D342" s="6"/>
      <c r="E342" s="9"/>
      <c r="F342" s="4" t="s">
        <v>392</v>
      </c>
      <c r="G342" s="90" t="str">
        <f t="shared" si="5"/>
        <v>📄 Ver bula</v>
      </c>
      <c r="H342" s="9"/>
      <c r="I342" s="1"/>
      <c r="J342" s="9">
        <f>IFERROR(SUM(
IF('TL01'!$B$3=J$3,SUMIF('TL01'!$C$10:$C$224,$C342,'TL01'!$J$10:$J$224),0),
IF('TL01'!$B$229=J$3,SUMIF('TL01'!$C$238:$C$451,$C342,'TL01'!$J$238:$J$451),0),
IF('TL02'!$B$3=J$3,SUMIF('TL02'!$C$10:$C$224,$C342,'TL02'!$J$10:$J$224),0),
IF('TL02'!$B$229=J$3,SUMIF('TL02'!$C$238:$C$451,$C342,'TL02'!$J$238:$J$451),0),
IF('TL03'!$B$3=J$3,SUMIF('TL03'!$C$10:$C$224,$C342,'TL03'!$J$10:$J$224),0),
IF('TL03'!$B$229=J$3,SUMIF('TL03'!$C$238:$C$451,$C342,'TL03'!$J$238:$J$451),0),
IF('TL04'!$B$3=J$3,SUMIF('TL04'!$C$10:$C$224,$C342,'TL04'!$J$10:$J$224),0),
IF('TL04'!$B$229=J$3,SUMIF('TL04'!$C$238:$C$451,$C342,'TL04'!$J$238:$J$451),0),
IF('TL05'!$B$3=J$3,SUMIF('TL05'!$C$10:$C$224,$C342,'TL05'!$J$10:$J$224),0),
IF('TL05'!$B$229=J$3,SUMIF('TL05'!$C$238:$C$451,$C342,'TL05'!$J$238:$J$451),0),
IF('TL06'!$B$3=J$3,SUMIF('TL06'!$C$10:$C$224,$C342,'TL06'!$J$10:$J$224),0),
IF('TL06'!$B$229=J$3,SUMIF('TL06'!$C$238:$C$451,$C342,'TL06'!$J$238:$J$451),0),
IF('TL07'!$B$3=J$3,SUMIF('TL07'!$C$10:$C$224,$C342,'TL07'!$J$10:$J$224),0),
IF('TL07'!$B$229=J$3,SUMIF('TL07'!$C$238:$C$451,$C342,'TL07'!$J$238:$J$451),0),
IF('TL08'!$B$3=J$3,SUMIF('TL08'!$C$10:$C$224,$C342,'TL08'!$J$10:$J$224),0),
IF('TL08'!$B$229=J$3,SUMIF('TL08'!$C$238:$C$451,$C342,'TL08'!$J$238:$J$451),0),
IF('TL09'!$B$3=J$3,SUMIF('TL09'!$C$10:$C$224,$C342,'TL09'!$J$10:$J$224),0),
IF('TL09'!$B$229=J$3,SUMIF('TL09'!$C$238:$C$451,$C342,'TL09'!$J$238:$J$451),0),
IF('TL10'!$B$3=J$3,SUMIF('TL10'!$C$10:$C$224,$C342,'TL10'!$J$10:$J$224),0),
IF('TL10'!$B$229=J$3,SUMIF('TL10'!$C$238:$C$451,$C342,'TL10'!$J$238:$J$451),0),
IF('TL11'!$B$3=J$3,SUMIF('TL11'!$C$10:$C$224,$C342,'TL11'!$J$10:$J$224),0),
IF('TL11'!$B$229=J$3,SUMIF('TL11'!$C$238:$C$451,$C342,'TL11'!$J$238:$J$451),0),
IF('TL12'!$B$3=J$3,SUMIF('TL12'!$C$10:$C$224,$C342,'TL12'!$J$10:$J$224),0),
IF('TL12'!$B$229=J$3,SUMIF('TL12'!$C$238:$C$451,$C342,'TL12'!$J$238:$J$451),0),
IF('TL13'!$B$3=J$3,SUMIF('TL13'!$C$10:$C$224,$C342,'TL13'!$J$10:$J$224),0),
IF('TL13'!$B$229=J$3,SUMIF('TL13'!$C$238:$C$451,$C342,'TL13'!$J$238:$J$451),0),
IF('TL14'!$B$3=J$3,SUMIF('TL14'!$C$10:$C$224,$C342,'TL14'!$J$10:$J$224),0),
IF('TL14'!$B$229=J$3,SUMIF('TL14'!$C$238:$C$451,$C342,'TL14'!$J$238:$J$451),0),
IF('TL15'!$B$3=J$3,SUMIF('TL15'!$C$10:$C$224,$C342,'TL15'!$J$10:$J$224),0),
IF('TL15'!$B$229=J$3,SUMIF('TL15'!$C$238:$C$451,$C342,'TL15'!$J$238:$J$451),0),
IF('TL16'!$B$3=J$3,SUMIF('TL16'!$C$10:$C$224,$C342,'TL16'!$J$10:$J$224),0),
IF('TL16'!$B$229=J$3,SUMIF('TL16'!$C$238:$C$451,$C342,'TL16'!$J$238:$J$451),0),
IF('TL17'!$B$3=J$3,SUMIF('TL17'!$C$10:$C$224,$C342,'TL17'!$J$10:$J$224),0),
IF('TL17'!$B$229=J$3,SUMIF('TL17'!$C$238:$C$451,$C342,'TL17'!$J$238:$J$451),0),
IF('TL18'!$B$3=J$3,SUMIF('TL18'!$C$10:$C$224,$C342,'TL18'!$J$10:$J$224),0),
IF('TL18'!$B$229=J$3,SUMIF('TL18'!$C$238:$C$451,$C342,'TL18'!$J$238:$J$451),0),
IF('TL19'!$B$3=J$3,SUMIF('TL19'!$C$10:$C$224,$C342,'TL19'!$J$10:$J$224),0),
IF('TL19'!$B$229=J$3,SUMIF('TL19'!$C$238:$C$451,$C342,'TL19'!$J$238:$J$451),0)
),0)</f>
        <v>0</v>
      </c>
      <c r="K342" s="9">
        <f>IFERROR(SUM(
IF('TL01'!$B$3=K$3,SUMIF('TL01'!$C$10:$C$224,$C342,'TL01'!$J$10:$J$224),0),
IF('TL01'!$B$229=K$3,SUMIF('TL01'!$C$238:$C$451,$C342,'TL01'!$J$238:$J$451),0),
IF('TL02'!$B$3=K$3,SUMIF('TL02'!$C$10:$C$224,$C342,'TL02'!$J$10:$J$224),0),
IF('TL02'!$B$229=K$3,SUMIF('TL02'!$C$238:$C$451,$C342,'TL02'!$J$238:$J$451),0),
IF('TL03'!$B$3=K$3,SUMIF('TL03'!$C$10:$C$224,$C342,'TL03'!$J$10:$J$224),0),
IF('TL03'!$B$229=K$3,SUMIF('TL03'!$C$238:$C$451,$C342,'TL03'!$J$238:$J$451),0),
IF('TL04'!$B$3=K$3,SUMIF('TL04'!$C$10:$C$224,$C342,'TL04'!$J$10:$J$224),0),
IF('TL04'!$B$229=K$3,SUMIF('TL04'!$C$238:$C$451,$C342,'TL04'!$J$238:$J$451),0),
IF('TL05'!$B$3=K$3,SUMIF('TL05'!$C$10:$C$224,$C342,'TL05'!$J$10:$J$224),0),
IF('TL05'!$B$229=K$3,SUMIF('TL05'!$C$238:$C$451,$C342,'TL05'!$J$238:$J$451),0),
IF('TL06'!$B$3=K$3,SUMIF('TL06'!$C$10:$C$224,$C342,'TL06'!$J$10:$J$224),0),
IF('TL06'!$B$229=K$3,SUMIF('TL06'!$C$238:$C$451,$C342,'TL06'!$J$238:$J$451),0),
IF('TL07'!$B$3=K$3,SUMIF('TL07'!$C$10:$C$224,$C342,'TL07'!$J$10:$J$224),0),
IF('TL07'!$B$229=K$3,SUMIF('TL07'!$C$238:$C$451,$C342,'TL07'!$J$238:$J$451),0),
IF('TL08'!$B$3=K$3,SUMIF('TL08'!$C$10:$C$224,$C342,'TL08'!$J$10:$J$224),0),
IF('TL08'!$B$229=K$3,SUMIF('TL08'!$C$238:$C$451,$C342,'TL08'!$J$238:$J$451),0),
IF('TL09'!$B$3=K$3,SUMIF('TL09'!$C$10:$C$224,$C342,'TL09'!$J$10:$J$224),0),
IF('TL09'!$B$229=K$3,SUMIF('TL09'!$C$238:$C$451,$C342,'TL09'!$J$238:$J$451),0),
IF('TL10'!$B$3=K$3,SUMIF('TL10'!$C$10:$C$224,$C342,'TL10'!$J$10:$J$224),0),
IF('TL10'!$B$229=K$3,SUMIF('TL10'!$C$238:$C$451,$C342,'TL10'!$J$238:$J$451),0),
IF('TL11'!$B$3=K$3,SUMIF('TL11'!$C$10:$C$224,$C342,'TL11'!$J$10:$J$224),0),
IF('TL11'!$B$229=K$3,SUMIF('TL11'!$C$238:$C$451,$C342,'TL11'!$J$238:$J$451),0),
IF('TL12'!$B$3=K$3,SUMIF('TL12'!$C$10:$C$224,$C342,'TL12'!$J$10:$J$224),0),
IF('TL12'!$B$229=K$3,SUMIF('TL12'!$C$238:$C$451,$C342,'TL12'!$J$238:$J$451),0),
IF('TL13'!$B$3=K$3,SUMIF('TL13'!$C$10:$C$224,$C342,'TL13'!$J$10:$J$224),0),
IF('TL13'!$B$229=K$3,SUMIF('TL13'!$C$238:$C$451,$C342,'TL13'!$J$238:$J$451),0),
IF('TL14'!$B$3=K$3,SUMIF('TL14'!$C$10:$C$224,$C342,'TL14'!$J$10:$J$224),0),
IF('TL14'!$B$229=K$3,SUMIF('TL14'!$C$238:$C$451,$C342,'TL14'!$J$238:$J$451),0),
IF('TL15'!$B$3=K$3,SUMIF('TL15'!$C$10:$C$224,$C342,'TL15'!$J$10:$J$224),0),
IF('TL15'!$B$229=K$3,SUMIF('TL15'!$C$238:$C$451,$C342,'TL15'!$J$238:$J$451),0),
IF('TL16'!$B$3=K$3,SUMIF('TL16'!$C$10:$C$224,$C342,'TL16'!$J$10:$J$224),0),
IF('TL16'!$B$229=K$3,SUMIF('TL16'!$C$238:$C$451,$C342,'TL16'!$J$238:$J$451),0),
IF('TL17'!$B$3=K$3,SUMIF('TL17'!$C$10:$C$224,$C342,'TL17'!$J$10:$J$224),0),
IF('TL17'!$B$229=K$3,SUMIF('TL17'!$C$238:$C$451,$C342,'TL17'!$J$238:$J$451),0),
IF('TL18'!$B$3=K$3,SUMIF('TL18'!$C$10:$C$224,$C342,'TL18'!$J$10:$J$224),0),
IF('TL18'!$B$229=K$3,SUMIF('TL18'!$C$238:$C$451,$C342,'TL18'!$J$238:$J$451),0),
IF('TL19'!$B$3=K$3,SUMIF('TL19'!$C$10:$C$224,$C342,'TL19'!$J$10:$J$224),0),
IF('TL19'!$B$229=K$3,SUMIF('TL19'!$C$238:$C$451,$C342,'TL19'!$J$238:$J$451),0)
),0)</f>
        <v>0</v>
      </c>
      <c r="L342" s="9">
        <f>IFERROR(SUM(
IF('TL01'!$B$3=L$3,SUMIF('TL01'!$C$10:$C$224,$C342,'TL01'!$J$10:$J$224),0),
IF('TL01'!$B$229=L$3,SUMIF('TL01'!$C$238:$C$451,$C342,'TL01'!$J$238:$J$451),0),
IF('TL02'!$B$3=L$3,SUMIF('TL02'!$C$10:$C$224,$C342,'TL02'!$J$10:$J$224),0),
IF('TL02'!$B$229=L$3,SUMIF('TL02'!$C$238:$C$451,$C342,'TL02'!$J$238:$J$451),0),
IF('TL03'!$B$3=L$3,SUMIF('TL03'!$C$10:$C$224,$C342,'TL03'!$J$10:$J$224),0),
IF('TL03'!$B$229=L$3,SUMIF('TL03'!$C$238:$C$451,$C342,'TL03'!$J$238:$J$451),0),
IF('TL04'!$B$3=L$3,SUMIF('TL04'!$C$10:$C$224,$C342,'TL04'!$J$10:$J$224),0),
IF('TL04'!$B$229=L$3,SUMIF('TL04'!$C$238:$C$451,$C342,'TL04'!$J$238:$J$451),0),
IF('TL05'!$B$3=L$3,SUMIF('TL05'!$C$10:$C$224,$C342,'TL05'!$J$10:$J$224),0),
IF('TL05'!$B$229=L$3,SUMIF('TL05'!$C$238:$C$451,$C342,'TL05'!$J$238:$J$451),0),
IF('TL06'!$B$3=L$3,SUMIF('TL06'!$C$10:$C$224,$C342,'TL06'!$J$10:$J$224),0),
IF('TL06'!$B$229=L$3,SUMIF('TL06'!$C$238:$C$451,$C342,'TL06'!$J$238:$J$451),0),
IF('TL07'!$B$3=L$3,SUMIF('TL07'!$C$10:$C$224,$C342,'TL07'!$J$10:$J$224),0),
IF('TL07'!$B$229=L$3,SUMIF('TL07'!$C$238:$C$451,$C342,'TL07'!$J$238:$J$451),0),
IF('TL08'!$B$3=L$3,SUMIF('TL08'!$C$10:$C$224,$C342,'TL08'!$J$10:$J$224),0),
IF('TL08'!$B$229=L$3,SUMIF('TL08'!$C$238:$C$451,$C342,'TL08'!$J$238:$J$451),0),
IF('TL09'!$B$3=L$3,SUMIF('TL09'!$C$10:$C$224,$C342,'TL09'!$J$10:$J$224),0),
IF('TL09'!$B$229=L$3,SUMIF('TL09'!$C$238:$C$451,$C342,'TL09'!$J$238:$J$451),0),
IF('TL10'!$B$3=L$3,SUMIF('TL10'!$C$10:$C$224,$C342,'TL10'!$J$10:$J$224),0),
IF('TL10'!$B$229=L$3,SUMIF('TL10'!$C$238:$C$451,$C342,'TL10'!$J$238:$J$451),0),
IF('TL11'!$B$3=L$3,SUMIF('TL11'!$C$10:$C$224,$C342,'TL11'!$J$10:$J$224),0),
IF('TL11'!$B$229=L$3,SUMIF('TL11'!$C$238:$C$451,$C342,'TL11'!$J$238:$J$451),0),
IF('TL12'!$B$3=L$3,SUMIF('TL12'!$C$10:$C$224,$C342,'TL12'!$J$10:$J$224),0),
IF('TL12'!$B$229=L$3,SUMIF('TL12'!$C$238:$C$451,$C342,'TL12'!$J$238:$J$451),0),
IF('TL13'!$B$3=L$3,SUMIF('TL13'!$C$10:$C$224,$C342,'TL13'!$J$10:$J$224),0),
IF('TL13'!$B$229=L$3,SUMIF('TL13'!$C$238:$C$451,$C342,'TL13'!$J$238:$J$451),0),
IF('TL14'!$B$3=L$3,SUMIF('TL14'!$C$10:$C$224,$C342,'TL14'!$J$10:$J$224),0),
IF('TL14'!$B$229=L$3,SUMIF('TL14'!$C$238:$C$451,$C342,'TL14'!$J$238:$J$451),0),
IF('TL15'!$B$3=L$3,SUMIF('TL15'!$C$10:$C$224,$C342,'TL15'!$J$10:$J$224),0),
IF('TL15'!$B$229=L$3,SUMIF('TL15'!$C$238:$C$451,$C342,'TL15'!$J$238:$J$451),0),
IF('TL16'!$B$3=L$3,SUMIF('TL16'!$C$10:$C$224,$C342,'TL16'!$J$10:$J$224),0),
IF('TL16'!$B$229=L$3,SUMIF('TL16'!$C$238:$C$451,$C342,'TL16'!$J$238:$J$451),0),
IF('TL17'!$B$3=L$3,SUMIF('TL17'!$C$10:$C$224,$C342,'TL17'!$J$10:$J$224),0),
IF('TL17'!$B$229=L$3,SUMIF('TL17'!$C$238:$C$451,$C342,'TL17'!$J$238:$J$451),0),
IF('TL18'!$B$3=L$3,SUMIF('TL18'!$C$10:$C$224,$C342,'TL18'!$J$10:$J$224),0),
IF('TL18'!$B$229=L$3,SUMIF('TL18'!$C$238:$C$451,$C342,'TL18'!$J$238:$J$451),0),
IF('TL19'!$B$3=L$3,SUMIF('TL19'!$C$10:$C$224,$C342,'TL19'!$J$10:$J$224),0),
IF('TL19'!$B$229=L$3,SUMIF('TL19'!$C$238:$C$451,$C342,'TL19'!$J$238:$J$451),0)
),0)</f>
        <v>0</v>
      </c>
      <c r="M342" s="9">
        <f>IFERROR(SUM(
IF('TL01'!$B$3=M$3,SUMIF('TL01'!$C$10:$C$224,$C342,'TL01'!$J$10:$J$224),0),
IF('TL01'!$B$229=M$3,SUMIF('TL01'!$C$238:$C$451,$C342,'TL01'!$J$238:$J$451),0),
IF('TL02'!$B$3=M$3,SUMIF('TL02'!$C$10:$C$224,$C342,'TL02'!$J$10:$J$224),0),
IF('TL02'!$B$229=M$3,SUMIF('TL02'!$C$238:$C$451,$C342,'TL02'!$J$238:$J$451),0),
IF('TL03'!$B$3=M$3,SUMIF('TL03'!$C$10:$C$224,$C342,'TL03'!$J$10:$J$224),0),
IF('TL03'!$B$229=M$3,SUMIF('TL03'!$C$238:$C$451,$C342,'TL03'!$J$238:$J$451),0),
IF('TL04'!$B$3=M$3,SUMIF('TL04'!$C$10:$C$224,$C342,'TL04'!$J$10:$J$224),0),
IF('TL04'!$B$229=M$3,SUMIF('TL04'!$C$238:$C$451,$C342,'TL04'!$J$238:$J$451),0),
IF('TL05'!$B$3=M$3,SUMIF('TL05'!$C$10:$C$224,$C342,'TL05'!$J$10:$J$224),0),
IF('TL05'!$B$229=M$3,SUMIF('TL05'!$C$238:$C$451,$C342,'TL05'!$J$238:$J$451),0),
IF('TL06'!$B$3=M$3,SUMIF('TL06'!$C$10:$C$224,$C342,'TL06'!$J$10:$J$224),0),
IF('TL06'!$B$229=M$3,SUMIF('TL06'!$C$238:$C$451,$C342,'TL06'!$J$238:$J$451),0),
IF('TL07'!$B$3=M$3,SUMIF('TL07'!$C$10:$C$224,$C342,'TL07'!$J$10:$J$224),0),
IF('TL07'!$B$229=M$3,SUMIF('TL07'!$C$238:$C$451,$C342,'TL07'!$J$238:$J$451),0),
IF('TL08'!$B$3=M$3,SUMIF('TL08'!$C$10:$C$224,$C342,'TL08'!$J$10:$J$224),0),
IF('TL08'!$B$229=M$3,SUMIF('TL08'!$C$238:$C$451,$C342,'TL08'!$J$238:$J$451),0),
IF('TL09'!$B$3=M$3,SUMIF('TL09'!$C$10:$C$224,$C342,'TL09'!$J$10:$J$224),0),
IF('TL09'!$B$229=M$3,SUMIF('TL09'!$C$238:$C$451,$C342,'TL09'!$J$238:$J$451),0),
IF('TL10'!$B$3=M$3,SUMIF('TL10'!$C$10:$C$224,$C342,'TL10'!$J$10:$J$224),0),
IF('TL10'!$B$229=M$3,SUMIF('TL10'!$C$238:$C$451,$C342,'TL10'!$J$238:$J$451),0),
IF('TL11'!$B$3=M$3,SUMIF('TL11'!$C$10:$C$224,$C342,'TL11'!$J$10:$J$224),0),
IF('TL11'!$B$229=M$3,SUMIF('TL11'!$C$238:$C$451,$C342,'TL11'!$J$238:$J$451),0),
IF('TL12'!$B$3=M$3,SUMIF('TL12'!$C$10:$C$224,$C342,'TL12'!$J$10:$J$224),0),
IF('TL12'!$B$229=M$3,SUMIF('TL12'!$C$238:$C$451,$C342,'TL12'!$J$238:$J$451),0),
IF('TL13'!$B$3=M$3,SUMIF('TL13'!$C$10:$C$224,$C342,'TL13'!$J$10:$J$224),0),
IF('TL13'!$B$229=M$3,SUMIF('TL13'!$C$238:$C$451,$C342,'TL13'!$J$238:$J$451),0),
IF('TL14'!$B$3=M$3,SUMIF('TL14'!$C$10:$C$224,$C342,'TL14'!$J$10:$J$224),0),
IF('TL14'!$B$229=M$3,SUMIF('TL14'!$C$238:$C$451,$C342,'TL14'!$J$238:$J$451),0),
IF('TL15'!$B$3=M$3,SUMIF('TL15'!$C$10:$C$224,$C342,'TL15'!$J$10:$J$224),0),
IF('TL15'!$B$229=M$3,SUMIF('TL15'!$C$238:$C$451,$C342,'TL15'!$J$238:$J$451),0),
IF('TL16'!$B$3=M$3,SUMIF('TL16'!$C$10:$C$224,$C342,'TL16'!$J$10:$J$224),0),
IF('TL16'!$B$229=M$3,SUMIF('TL16'!$C$238:$C$451,$C342,'TL16'!$J$238:$J$451),0),
IF('TL17'!$B$3=M$3,SUMIF('TL17'!$C$10:$C$224,$C342,'TL17'!$J$10:$J$224),0),
IF('TL17'!$B$229=M$3,SUMIF('TL17'!$C$238:$C$451,$C342,'TL17'!$J$238:$J$451),0),
IF('TL18'!$B$3=M$3,SUMIF('TL18'!$C$10:$C$224,$C342,'TL18'!$J$10:$J$224),0),
IF('TL18'!$B$229=M$3,SUMIF('TL18'!$C$238:$C$451,$C342,'TL18'!$J$238:$J$451),0),
IF('TL19'!$B$3=M$3,SUMIF('TL19'!$C$10:$C$224,$C342,'TL19'!$J$10:$J$224),0),
IF('TL19'!$B$229=M$3,SUMIF('TL19'!$C$238:$C$451,$C342,'TL19'!$J$238:$J$451),0)
),0)</f>
        <v>0</v>
      </c>
      <c r="N342" s="9">
        <f>IFERROR(SUM(
IF('TL01'!$B$3=N$3,SUMIF('TL01'!$C$10:$C$224,$C342,'TL01'!$J$10:$J$224),0),
IF('TL01'!$B$229=N$3,SUMIF('TL01'!$C$238:$C$451,$C342,'TL01'!$J$238:$J$451),0),
IF('TL02'!$B$3=N$3,SUMIF('TL02'!$C$10:$C$224,$C342,'TL02'!$J$10:$J$224),0),
IF('TL02'!$B$229=N$3,SUMIF('TL02'!$C$238:$C$451,$C342,'TL02'!$J$238:$J$451),0),
IF('TL03'!$B$3=N$3,SUMIF('TL03'!$C$10:$C$224,$C342,'TL03'!$J$10:$J$224),0),
IF('TL03'!$B$229=N$3,SUMIF('TL03'!$C$238:$C$451,$C342,'TL03'!$J$238:$J$451),0),
IF('TL04'!$B$3=N$3,SUMIF('TL04'!$C$10:$C$224,$C342,'TL04'!$J$10:$J$224),0),
IF('TL04'!$B$229=N$3,SUMIF('TL04'!$C$238:$C$451,$C342,'TL04'!$J$238:$J$451),0),
IF('TL05'!$B$3=N$3,SUMIF('TL05'!$C$10:$C$224,$C342,'TL05'!$J$10:$J$224),0),
IF('TL05'!$B$229=N$3,SUMIF('TL05'!$C$238:$C$451,$C342,'TL05'!$J$238:$J$451),0),
IF('TL06'!$B$3=N$3,SUMIF('TL06'!$C$10:$C$224,$C342,'TL06'!$J$10:$J$224),0),
IF('TL06'!$B$229=N$3,SUMIF('TL06'!$C$238:$C$451,$C342,'TL06'!$J$238:$J$451),0),
IF('TL07'!$B$3=N$3,SUMIF('TL07'!$C$10:$C$224,$C342,'TL07'!$J$10:$J$224),0),
IF('TL07'!$B$229=N$3,SUMIF('TL07'!$C$238:$C$451,$C342,'TL07'!$J$238:$J$451),0),
IF('TL08'!$B$3=N$3,SUMIF('TL08'!$C$10:$C$224,$C342,'TL08'!$J$10:$J$224),0),
IF('TL08'!$B$229=N$3,SUMIF('TL08'!$C$238:$C$451,$C342,'TL08'!$J$238:$J$451),0),
IF('TL09'!$B$3=N$3,SUMIF('TL09'!$C$10:$C$224,$C342,'TL09'!$J$10:$J$224),0),
IF('TL09'!$B$229=N$3,SUMIF('TL09'!$C$238:$C$451,$C342,'TL09'!$J$238:$J$451),0),
IF('TL10'!$B$3=N$3,SUMIF('TL10'!$C$10:$C$224,$C342,'TL10'!$J$10:$J$224),0),
IF('TL10'!$B$229=N$3,SUMIF('TL10'!$C$238:$C$451,$C342,'TL10'!$J$238:$J$451),0),
IF('TL11'!$B$3=N$3,SUMIF('TL11'!$C$10:$C$224,$C342,'TL11'!$J$10:$J$224),0),
IF('TL11'!$B$229=N$3,SUMIF('TL11'!$C$238:$C$451,$C342,'TL11'!$J$238:$J$451),0),
IF('TL12'!$B$3=N$3,SUMIF('TL12'!$C$10:$C$224,$C342,'TL12'!$J$10:$J$224),0),
IF('TL12'!$B$229=N$3,SUMIF('TL12'!$C$238:$C$451,$C342,'TL12'!$J$238:$J$451),0),
IF('TL13'!$B$3=N$3,SUMIF('TL13'!$C$10:$C$224,$C342,'TL13'!$J$10:$J$224),0),
IF('TL13'!$B$229=N$3,SUMIF('TL13'!$C$238:$C$451,$C342,'TL13'!$J$238:$J$451),0),
IF('TL14'!$B$3=N$3,SUMIF('TL14'!$C$10:$C$224,$C342,'TL14'!$J$10:$J$224),0),
IF('TL14'!$B$229=N$3,SUMIF('TL14'!$C$238:$C$451,$C342,'TL14'!$J$238:$J$451),0),
IF('TL15'!$B$3=N$3,SUMIF('TL15'!$C$10:$C$224,$C342,'TL15'!$J$10:$J$224),0),
IF('TL15'!$B$229=N$3,SUMIF('TL15'!$C$238:$C$451,$C342,'TL15'!$J$238:$J$451),0),
IF('TL16'!$B$3=N$3,SUMIF('TL16'!$C$10:$C$224,$C342,'TL16'!$J$10:$J$224),0),
IF('TL16'!$B$229=N$3,SUMIF('TL16'!$C$238:$C$451,$C342,'TL16'!$J$238:$J$451),0),
IF('TL17'!$B$3=N$3,SUMIF('TL17'!$C$10:$C$224,$C342,'TL17'!$J$10:$J$224),0),
IF('TL17'!$B$229=N$3,SUMIF('TL17'!$C$238:$C$451,$C342,'TL17'!$J$238:$J$451),0),
IF('TL18'!$B$3=N$3,SUMIF('TL18'!$C$10:$C$224,$C342,'TL18'!$J$10:$J$224),0),
IF('TL18'!$B$229=N$3,SUMIF('TL18'!$C$238:$C$451,$C342,'TL18'!$J$238:$J$451),0),
IF('TL19'!$B$3=N$3,SUMIF('TL19'!$C$10:$C$224,$C342,'TL19'!$J$10:$J$224),0),
IF('TL19'!$B$229=N$3,SUMIF('TL19'!$C$238:$C$451,$C342,'TL19'!$J$238:$J$451),0)
),0)</f>
        <v>0</v>
      </c>
      <c r="O342" s="9">
        <f>IFERROR(SUM(
IF('TL01'!$B$3=O$3,SUMIF('TL01'!$C$10:$C$224,$C342,'TL01'!$J$10:$J$224),0),
IF('TL01'!$B$229=O$3,SUMIF('TL01'!$C$238:$C$451,$C342,'TL01'!$J$238:$J$451),0),
IF('TL02'!$B$3=O$3,SUMIF('TL02'!$C$10:$C$224,$C342,'TL02'!$J$10:$J$224),0),
IF('TL02'!$B$229=O$3,SUMIF('TL02'!$C$238:$C$451,$C342,'TL02'!$J$238:$J$451),0),
IF('TL03'!$B$3=O$3,SUMIF('TL03'!$C$10:$C$224,$C342,'TL03'!$J$10:$J$224),0),
IF('TL03'!$B$229=O$3,SUMIF('TL03'!$C$238:$C$451,$C342,'TL03'!$J$238:$J$451),0),
IF('TL04'!$B$3=O$3,SUMIF('TL04'!$C$10:$C$224,$C342,'TL04'!$J$10:$J$224),0),
IF('TL04'!$B$229=O$3,SUMIF('TL04'!$C$238:$C$451,$C342,'TL04'!$J$238:$J$451),0),
IF('TL05'!$B$3=O$3,SUMIF('TL05'!$C$10:$C$224,$C342,'TL05'!$J$10:$J$224),0),
IF('TL05'!$B$229=O$3,SUMIF('TL05'!$C$238:$C$451,$C342,'TL05'!$J$238:$J$451),0),
IF('TL06'!$B$3=O$3,SUMIF('TL06'!$C$10:$C$224,$C342,'TL06'!$J$10:$J$224),0),
IF('TL06'!$B$229=O$3,SUMIF('TL06'!$C$238:$C$451,$C342,'TL06'!$J$238:$J$451),0),
IF('TL07'!$B$3=O$3,SUMIF('TL07'!$C$10:$C$224,$C342,'TL07'!$J$10:$J$224),0),
IF('TL07'!$B$229=O$3,SUMIF('TL07'!$C$238:$C$451,$C342,'TL07'!$J$238:$J$451),0),
IF('TL08'!$B$3=O$3,SUMIF('TL08'!$C$10:$C$224,$C342,'TL08'!$J$10:$J$224),0),
IF('TL08'!$B$229=O$3,SUMIF('TL08'!$C$238:$C$451,$C342,'TL08'!$J$238:$J$451),0),
IF('TL09'!$B$3=O$3,SUMIF('TL09'!$C$10:$C$224,$C342,'TL09'!$J$10:$J$224),0),
IF('TL09'!$B$229=O$3,SUMIF('TL09'!$C$238:$C$451,$C342,'TL09'!$J$238:$J$451),0),
IF('TL10'!$B$3=O$3,SUMIF('TL10'!$C$10:$C$224,$C342,'TL10'!$J$10:$J$224),0),
IF('TL10'!$B$229=O$3,SUMIF('TL10'!$C$238:$C$451,$C342,'TL10'!$J$238:$J$451),0),
IF('TL11'!$B$3=O$3,SUMIF('TL11'!$C$10:$C$224,$C342,'TL11'!$J$10:$J$224),0),
IF('TL11'!$B$229=O$3,SUMIF('TL11'!$C$238:$C$451,$C342,'TL11'!$J$238:$J$451),0),
IF('TL12'!$B$3=O$3,SUMIF('TL12'!$C$10:$C$224,$C342,'TL12'!$J$10:$J$224),0),
IF('TL12'!$B$229=O$3,SUMIF('TL12'!$C$238:$C$451,$C342,'TL12'!$J$238:$J$451),0),
IF('TL13'!$B$3=O$3,SUMIF('TL13'!$C$10:$C$224,$C342,'TL13'!$J$10:$J$224),0),
IF('TL13'!$B$229=O$3,SUMIF('TL13'!$C$238:$C$451,$C342,'TL13'!$J$238:$J$451),0),
IF('TL14'!$B$3=O$3,SUMIF('TL14'!$C$10:$C$224,$C342,'TL14'!$J$10:$J$224),0),
IF('TL14'!$B$229=O$3,SUMIF('TL14'!$C$238:$C$451,$C342,'TL14'!$J$238:$J$451),0),
IF('TL15'!$B$3=O$3,SUMIF('TL15'!$C$10:$C$224,$C342,'TL15'!$J$10:$J$224),0),
IF('TL15'!$B$229=O$3,SUMIF('TL15'!$C$238:$C$451,$C342,'TL15'!$J$238:$J$451),0),
IF('TL16'!$B$3=O$3,SUMIF('TL16'!$C$10:$C$224,$C342,'TL16'!$J$10:$J$224),0),
IF('TL16'!$B$229=O$3,SUMIF('TL16'!$C$238:$C$451,$C342,'TL16'!$J$238:$J$451),0),
IF('TL17'!$B$3=O$3,SUMIF('TL17'!$C$10:$C$224,$C342,'TL17'!$J$10:$J$224),0),
IF('TL17'!$B$229=O$3,SUMIF('TL17'!$C$238:$C$451,$C342,'TL17'!$J$238:$J$451),0),
IF('TL18'!$B$3=O$3,SUMIF('TL18'!$C$10:$C$224,$C342,'TL18'!$J$10:$J$224),0),
IF('TL18'!$B$229=O$3,SUMIF('TL18'!$C$238:$C$451,$C342,'TL18'!$J$238:$J$451),0),
IF('TL19'!$B$3=O$3,SUMIF('TL19'!$C$10:$C$224,$C342,'TL19'!$J$10:$J$224),0),
IF('TL19'!$B$229=O$3,SUMIF('TL19'!$C$238:$C$451,$C342,'TL19'!$J$238:$J$451),0)
),0)</f>
        <v>0</v>
      </c>
      <c r="P342" s="9">
        <f>IFERROR(SUM(
IF('TL01'!$B$3=P$3,SUMIF('TL01'!$C$10:$C$224,$C342,'TL01'!$J$10:$J$224),0),
IF('TL01'!$B$229=P$3,SUMIF('TL01'!$C$238:$C$451,$C342,'TL01'!$J$238:$J$451),0),
IF('TL02'!$B$3=P$3,SUMIF('TL02'!$C$10:$C$224,$C342,'TL02'!$J$10:$J$224),0),
IF('TL02'!$B$229=P$3,SUMIF('TL02'!$C$238:$C$451,$C342,'TL02'!$J$238:$J$451),0),
IF('TL03'!$B$3=P$3,SUMIF('TL03'!$C$10:$C$224,$C342,'TL03'!$J$10:$J$224),0),
IF('TL03'!$B$229=P$3,SUMIF('TL03'!$C$238:$C$451,$C342,'TL03'!$J$238:$J$451),0),
IF('TL04'!$B$3=P$3,SUMIF('TL04'!$C$10:$C$224,$C342,'TL04'!$J$10:$J$224),0),
IF('TL04'!$B$229=P$3,SUMIF('TL04'!$C$238:$C$451,$C342,'TL04'!$J$238:$J$451),0),
IF('TL05'!$B$3=P$3,SUMIF('TL05'!$C$10:$C$224,$C342,'TL05'!$J$10:$J$224),0),
IF('TL05'!$B$229=P$3,SUMIF('TL05'!$C$238:$C$451,$C342,'TL05'!$J$238:$J$451),0),
IF('TL06'!$B$3=P$3,SUMIF('TL06'!$C$10:$C$224,$C342,'TL06'!$J$10:$J$224),0),
IF('TL06'!$B$229=P$3,SUMIF('TL06'!$C$238:$C$451,$C342,'TL06'!$J$238:$J$451),0),
IF('TL07'!$B$3=P$3,SUMIF('TL07'!$C$10:$C$224,$C342,'TL07'!$J$10:$J$224),0),
IF('TL07'!$B$229=P$3,SUMIF('TL07'!$C$238:$C$451,$C342,'TL07'!$J$238:$J$451),0),
IF('TL08'!$B$3=P$3,SUMIF('TL08'!$C$10:$C$224,$C342,'TL08'!$J$10:$J$224),0),
IF('TL08'!$B$229=P$3,SUMIF('TL08'!$C$238:$C$451,$C342,'TL08'!$J$238:$J$451),0),
IF('TL09'!$B$3=P$3,SUMIF('TL09'!$C$10:$C$224,$C342,'TL09'!$J$10:$J$224),0),
IF('TL09'!$B$229=P$3,SUMIF('TL09'!$C$238:$C$451,$C342,'TL09'!$J$238:$J$451),0),
IF('TL10'!$B$3=P$3,SUMIF('TL10'!$C$10:$C$224,$C342,'TL10'!$J$10:$J$224),0),
IF('TL10'!$B$229=P$3,SUMIF('TL10'!$C$238:$C$451,$C342,'TL10'!$J$238:$J$451),0),
IF('TL11'!$B$3=P$3,SUMIF('TL11'!$C$10:$C$224,$C342,'TL11'!$J$10:$J$224),0),
IF('TL11'!$B$229=P$3,SUMIF('TL11'!$C$238:$C$451,$C342,'TL11'!$J$238:$J$451),0),
IF('TL12'!$B$3=P$3,SUMIF('TL12'!$C$10:$C$224,$C342,'TL12'!$J$10:$J$224),0),
IF('TL12'!$B$229=P$3,SUMIF('TL12'!$C$238:$C$451,$C342,'TL12'!$J$238:$J$451),0),
IF('TL13'!$B$3=P$3,SUMIF('TL13'!$C$10:$C$224,$C342,'TL13'!$J$10:$J$224),0),
IF('TL13'!$B$229=P$3,SUMIF('TL13'!$C$238:$C$451,$C342,'TL13'!$J$238:$J$451),0),
IF('TL14'!$B$3=P$3,SUMIF('TL14'!$C$10:$C$224,$C342,'TL14'!$J$10:$J$224),0),
IF('TL14'!$B$229=P$3,SUMIF('TL14'!$C$238:$C$451,$C342,'TL14'!$J$238:$J$451),0),
IF('TL15'!$B$3=P$3,SUMIF('TL15'!$C$10:$C$224,$C342,'TL15'!$J$10:$J$224),0),
IF('TL15'!$B$229=P$3,SUMIF('TL15'!$C$238:$C$451,$C342,'TL15'!$J$238:$J$451),0),
IF('TL16'!$B$3=P$3,SUMIF('TL16'!$C$10:$C$224,$C342,'TL16'!$J$10:$J$224),0),
IF('TL16'!$B$229=P$3,SUMIF('TL16'!$C$238:$C$451,$C342,'TL16'!$J$238:$J$451),0),
IF('TL17'!$B$3=P$3,SUMIF('TL17'!$C$10:$C$224,$C342,'TL17'!$J$10:$J$224),0),
IF('TL17'!$B$229=P$3,SUMIF('TL17'!$C$238:$C$451,$C342,'TL17'!$J$238:$J$451),0),
IF('TL18'!$B$3=P$3,SUMIF('TL18'!$C$10:$C$224,$C342,'TL18'!$J$10:$J$224),0),
IF('TL18'!$B$229=P$3,SUMIF('TL18'!$C$238:$C$451,$C342,'TL18'!$J$238:$J$451),0),
IF('TL19'!$B$3=P$3,SUMIF('TL19'!$C$10:$C$224,$C342,'TL19'!$J$10:$J$224),0),
IF('TL19'!$B$229=P$3,SUMIF('TL19'!$C$238:$C$451,$C342,'TL19'!$J$238:$J$451),0)
),0)</f>
        <v>0</v>
      </c>
      <c r="Q342" s="9">
        <f>IFERROR(SUM(
IF('TL01'!$B$3=Q$3,SUMIF('TL01'!$C$10:$C$224,$C342,'TL01'!$J$10:$J$224),0),
IF('TL01'!$B$229=Q$3,SUMIF('TL01'!$C$238:$C$451,$C342,'TL01'!$J$238:$J$451),0),
IF('TL02'!$B$3=Q$3,SUMIF('TL02'!$C$10:$C$224,$C342,'TL02'!$J$10:$J$224),0),
IF('TL02'!$B$229=Q$3,SUMIF('TL02'!$C$238:$C$451,$C342,'TL02'!$J$238:$J$451),0),
IF('TL03'!$B$3=Q$3,SUMIF('TL03'!$C$10:$C$224,$C342,'TL03'!$J$10:$J$224),0),
IF('TL03'!$B$229=Q$3,SUMIF('TL03'!$C$238:$C$451,$C342,'TL03'!$J$238:$J$451),0),
IF('TL04'!$B$3=Q$3,SUMIF('TL04'!$C$10:$C$224,$C342,'TL04'!$J$10:$J$224),0),
IF('TL04'!$B$229=Q$3,SUMIF('TL04'!$C$238:$C$451,$C342,'TL04'!$J$238:$J$451),0),
IF('TL05'!$B$3=Q$3,SUMIF('TL05'!$C$10:$C$224,$C342,'TL05'!$J$10:$J$224),0),
IF('TL05'!$B$229=Q$3,SUMIF('TL05'!$C$238:$C$451,$C342,'TL05'!$J$238:$J$451),0),
IF('TL06'!$B$3=Q$3,SUMIF('TL06'!$C$10:$C$224,$C342,'TL06'!$J$10:$J$224),0),
IF('TL06'!$B$229=Q$3,SUMIF('TL06'!$C$238:$C$451,$C342,'TL06'!$J$238:$J$451),0),
IF('TL07'!$B$3=Q$3,SUMIF('TL07'!$C$10:$C$224,$C342,'TL07'!$J$10:$J$224),0),
IF('TL07'!$B$229=Q$3,SUMIF('TL07'!$C$238:$C$451,$C342,'TL07'!$J$238:$J$451),0),
IF('TL08'!$B$3=Q$3,SUMIF('TL08'!$C$10:$C$224,$C342,'TL08'!$J$10:$J$224),0),
IF('TL08'!$B$229=Q$3,SUMIF('TL08'!$C$238:$C$451,$C342,'TL08'!$J$238:$J$451),0),
IF('TL09'!$B$3=Q$3,SUMIF('TL09'!$C$10:$C$224,$C342,'TL09'!$J$10:$J$224),0),
IF('TL09'!$B$229=Q$3,SUMIF('TL09'!$C$238:$C$451,$C342,'TL09'!$J$238:$J$451),0),
IF('TL10'!$B$3=Q$3,SUMIF('TL10'!$C$10:$C$224,$C342,'TL10'!$J$10:$J$224),0),
IF('TL10'!$B$229=Q$3,SUMIF('TL10'!$C$238:$C$451,$C342,'TL10'!$J$238:$J$451),0),
IF('TL11'!$B$3=Q$3,SUMIF('TL11'!$C$10:$C$224,$C342,'TL11'!$J$10:$J$224),0),
IF('TL11'!$B$229=Q$3,SUMIF('TL11'!$C$238:$C$451,$C342,'TL11'!$J$238:$J$451),0),
IF('TL12'!$B$3=Q$3,SUMIF('TL12'!$C$10:$C$224,$C342,'TL12'!$J$10:$J$224),0),
IF('TL12'!$B$229=Q$3,SUMIF('TL12'!$C$238:$C$451,$C342,'TL12'!$J$238:$J$451),0),
IF('TL13'!$B$3=Q$3,SUMIF('TL13'!$C$10:$C$224,$C342,'TL13'!$J$10:$J$224),0),
IF('TL13'!$B$229=Q$3,SUMIF('TL13'!$C$238:$C$451,$C342,'TL13'!$J$238:$J$451),0),
IF('TL14'!$B$3=Q$3,SUMIF('TL14'!$C$10:$C$224,$C342,'TL14'!$J$10:$J$224),0),
IF('TL14'!$B$229=Q$3,SUMIF('TL14'!$C$238:$C$451,$C342,'TL14'!$J$238:$J$451),0),
IF('TL15'!$B$3=Q$3,SUMIF('TL15'!$C$10:$C$224,$C342,'TL15'!$J$10:$J$224),0),
IF('TL15'!$B$229=Q$3,SUMIF('TL15'!$C$238:$C$451,$C342,'TL15'!$J$238:$J$451),0),
IF('TL16'!$B$3=Q$3,SUMIF('TL16'!$C$10:$C$224,$C342,'TL16'!$J$10:$J$224),0),
IF('TL16'!$B$229=Q$3,SUMIF('TL16'!$C$238:$C$451,$C342,'TL16'!$J$238:$J$451),0),
IF('TL17'!$B$3=Q$3,SUMIF('TL17'!$C$10:$C$224,$C342,'TL17'!$J$10:$J$224),0),
IF('TL17'!$B$229=Q$3,SUMIF('TL17'!$C$238:$C$451,$C342,'TL17'!$J$238:$J$451),0),
IF('TL18'!$B$3=Q$3,SUMIF('TL18'!$C$10:$C$224,$C342,'TL18'!$J$10:$J$224),0),
IF('TL18'!$B$229=Q$3,SUMIF('TL18'!$C$238:$C$451,$C342,'TL18'!$J$238:$J$451),0),
IF('TL19'!$B$3=Q$3,SUMIF('TL19'!$C$10:$C$224,$C342,'TL19'!$J$10:$J$224),0),
IF('TL19'!$B$229=Q$3,SUMIF('TL19'!$C$238:$C$451,$C342,'TL19'!$J$238:$J$451),0)
),0)</f>
        <v>0</v>
      </c>
      <c r="R342" s="9">
        <f>IFERROR(
SUM(
SUMIF('TL01'!C:C,C342,'TL01'!J:J),
SUMIF('TL02'!C:C,C342,'TL02'!J:J),
SUMIF('TL03'!C:C,C342,'TL03'!J:J),
SUMIF('TL04'!C:C,C342,'TL04'!J:J),
SUMIF('TL05'!C:C,C342,'TL05'!J:J),
SUMIF('TL06'!C:C,C342,'TL06'!J:J),
SUMIF('TL07'!C:C,C342,'TL07'!J:J),
SUMIF('TL08'!C:C,C342,'TL08'!J:J),
SUMIF('TL09'!C:C,C342,'TL09'!J:J),
SUMIF('TL10'!C:C,C342,'TL10'!J:J),
SUMIF('TL11'!C:C,C342,'TL11'!J:J),
SUMIF('TL12'!C:C,C342,'TL12'!J:J),
SUMIF('TL13'!C:C,C342,'TL13'!J:J),
SUMIF('TL14'!C:C,C342,'TL14'!J:J),
SUMIF('TL15'!C:C,C342,'TL15'!J:J),
SUMIF('TL16'!C:C,C342,'TL16'!J:J),
SUMIF('TL17'!C:C,C342,'TL17'!J:J),
SUMIF('TL18'!C:C,C342,'TL18'!J:J),SUMIF('TL19'!C:C,C342,'TL19'!J:J))
,0)</f>
        <v>0</v>
      </c>
      <c r="S342" s="17" t="str">
        <f>IFERROR(__xludf.DUMMYFUNCTION("IFERROR(VLOOKUP(C342,
IMPORTRANGE(""1wULbzX32WdYsx-lj2U3uUNBBe2INVIRDtcK0d-Dvl90"",
""26-27!C:G""),
5,
FALSE),
"""")"),"")</f>
        <v/>
      </c>
      <c r="T342" s="9"/>
      <c r="U342" s="92">
        <f t="shared" si="2"/>
        <v>0</v>
      </c>
      <c r="V342" s="93">
        <f t="shared" si="3"/>
        <v>0</v>
      </c>
    </row>
    <row r="343" ht="15.75" hidden="1" customHeight="1">
      <c r="A343" s="4"/>
      <c r="B343" s="125" t="s">
        <v>5</v>
      </c>
      <c r="C343" s="4" t="s">
        <v>1064</v>
      </c>
      <c r="D343" s="6"/>
      <c r="E343" s="9"/>
      <c r="F343" s="4" t="s">
        <v>392</v>
      </c>
      <c r="G343" s="90" t="str">
        <f t="shared" si="5"/>
        <v>📄 Ver bula</v>
      </c>
      <c r="H343" s="9"/>
      <c r="I343" s="1"/>
      <c r="J343" s="9">
        <f>IFERROR(SUM(
IF('TL01'!$B$3=J$3,SUMIF('TL01'!$C$10:$C$224,$C343,'TL01'!$J$10:$J$224),0),
IF('TL01'!$B$229=J$3,SUMIF('TL01'!$C$238:$C$451,$C343,'TL01'!$J$238:$J$451),0),
IF('TL02'!$B$3=J$3,SUMIF('TL02'!$C$10:$C$224,$C343,'TL02'!$J$10:$J$224),0),
IF('TL02'!$B$229=J$3,SUMIF('TL02'!$C$238:$C$451,$C343,'TL02'!$J$238:$J$451),0),
IF('TL03'!$B$3=J$3,SUMIF('TL03'!$C$10:$C$224,$C343,'TL03'!$J$10:$J$224),0),
IF('TL03'!$B$229=J$3,SUMIF('TL03'!$C$238:$C$451,$C343,'TL03'!$J$238:$J$451),0),
IF('TL04'!$B$3=J$3,SUMIF('TL04'!$C$10:$C$224,$C343,'TL04'!$J$10:$J$224),0),
IF('TL04'!$B$229=J$3,SUMIF('TL04'!$C$238:$C$451,$C343,'TL04'!$J$238:$J$451),0),
IF('TL05'!$B$3=J$3,SUMIF('TL05'!$C$10:$C$224,$C343,'TL05'!$J$10:$J$224),0),
IF('TL05'!$B$229=J$3,SUMIF('TL05'!$C$238:$C$451,$C343,'TL05'!$J$238:$J$451),0),
IF('TL06'!$B$3=J$3,SUMIF('TL06'!$C$10:$C$224,$C343,'TL06'!$J$10:$J$224),0),
IF('TL06'!$B$229=J$3,SUMIF('TL06'!$C$238:$C$451,$C343,'TL06'!$J$238:$J$451),0),
IF('TL07'!$B$3=J$3,SUMIF('TL07'!$C$10:$C$224,$C343,'TL07'!$J$10:$J$224),0),
IF('TL07'!$B$229=J$3,SUMIF('TL07'!$C$238:$C$451,$C343,'TL07'!$J$238:$J$451),0),
IF('TL08'!$B$3=J$3,SUMIF('TL08'!$C$10:$C$224,$C343,'TL08'!$J$10:$J$224),0),
IF('TL08'!$B$229=J$3,SUMIF('TL08'!$C$238:$C$451,$C343,'TL08'!$J$238:$J$451),0),
IF('TL09'!$B$3=J$3,SUMIF('TL09'!$C$10:$C$224,$C343,'TL09'!$J$10:$J$224),0),
IF('TL09'!$B$229=J$3,SUMIF('TL09'!$C$238:$C$451,$C343,'TL09'!$J$238:$J$451),0),
IF('TL10'!$B$3=J$3,SUMIF('TL10'!$C$10:$C$224,$C343,'TL10'!$J$10:$J$224),0),
IF('TL10'!$B$229=J$3,SUMIF('TL10'!$C$238:$C$451,$C343,'TL10'!$J$238:$J$451),0),
IF('TL11'!$B$3=J$3,SUMIF('TL11'!$C$10:$C$224,$C343,'TL11'!$J$10:$J$224),0),
IF('TL11'!$B$229=J$3,SUMIF('TL11'!$C$238:$C$451,$C343,'TL11'!$J$238:$J$451),0),
IF('TL12'!$B$3=J$3,SUMIF('TL12'!$C$10:$C$224,$C343,'TL12'!$J$10:$J$224),0),
IF('TL12'!$B$229=J$3,SUMIF('TL12'!$C$238:$C$451,$C343,'TL12'!$J$238:$J$451),0),
IF('TL13'!$B$3=J$3,SUMIF('TL13'!$C$10:$C$224,$C343,'TL13'!$J$10:$J$224),0),
IF('TL13'!$B$229=J$3,SUMIF('TL13'!$C$238:$C$451,$C343,'TL13'!$J$238:$J$451),0),
IF('TL14'!$B$3=J$3,SUMIF('TL14'!$C$10:$C$224,$C343,'TL14'!$J$10:$J$224),0),
IF('TL14'!$B$229=J$3,SUMIF('TL14'!$C$238:$C$451,$C343,'TL14'!$J$238:$J$451),0),
IF('TL15'!$B$3=J$3,SUMIF('TL15'!$C$10:$C$224,$C343,'TL15'!$J$10:$J$224),0),
IF('TL15'!$B$229=J$3,SUMIF('TL15'!$C$238:$C$451,$C343,'TL15'!$J$238:$J$451),0),
IF('TL16'!$B$3=J$3,SUMIF('TL16'!$C$10:$C$224,$C343,'TL16'!$J$10:$J$224),0),
IF('TL16'!$B$229=J$3,SUMIF('TL16'!$C$238:$C$451,$C343,'TL16'!$J$238:$J$451),0),
IF('TL17'!$B$3=J$3,SUMIF('TL17'!$C$10:$C$224,$C343,'TL17'!$J$10:$J$224),0),
IF('TL17'!$B$229=J$3,SUMIF('TL17'!$C$238:$C$451,$C343,'TL17'!$J$238:$J$451),0),
IF('TL18'!$B$3=J$3,SUMIF('TL18'!$C$10:$C$224,$C343,'TL18'!$J$10:$J$224),0),
IF('TL18'!$B$229=J$3,SUMIF('TL18'!$C$238:$C$451,$C343,'TL18'!$J$238:$J$451),0),
IF('TL19'!$B$3=J$3,SUMIF('TL19'!$C$10:$C$224,$C343,'TL19'!$J$10:$J$224),0),
IF('TL19'!$B$229=J$3,SUMIF('TL19'!$C$238:$C$451,$C343,'TL19'!$J$238:$J$451),0)
),0)</f>
        <v>0</v>
      </c>
      <c r="K343" s="9">
        <f>IFERROR(SUM(
IF('TL01'!$B$3=K$3,SUMIF('TL01'!$C$10:$C$224,$C343,'TL01'!$J$10:$J$224),0),
IF('TL01'!$B$229=K$3,SUMIF('TL01'!$C$238:$C$451,$C343,'TL01'!$J$238:$J$451),0),
IF('TL02'!$B$3=K$3,SUMIF('TL02'!$C$10:$C$224,$C343,'TL02'!$J$10:$J$224),0),
IF('TL02'!$B$229=K$3,SUMIF('TL02'!$C$238:$C$451,$C343,'TL02'!$J$238:$J$451),0),
IF('TL03'!$B$3=K$3,SUMIF('TL03'!$C$10:$C$224,$C343,'TL03'!$J$10:$J$224),0),
IF('TL03'!$B$229=K$3,SUMIF('TL03'!$C$238:$C$451,$C343,'TL03'!$J$238:$J$451),0),
IF('TL04'!$B$3=K$3,SUMIF('TL04'!$C$10:$C$224,$C343,'TL04'!$J$10:$J$224),0),
IF('TL04'!$B$229=K$3,SUMIF('TL04'!$C$238:$C$451,$C343,'TL04'!$J$238:$J$451),0),
IF('TL05'!$B$3=K$3,SUMIF('TL05'!$C$10:$C$224,$C343,'TL05'!$J$10:$J$224),0),
IF('TL05'!$B$229=K$3,SUMIF('TL05'!$C$238:$C$451,$C343,'TL05'!$J$238:$J$451),0),
IF('TL06'!$B$3=K$3,SUMIF('TL06'!$C$10:$C$224,$C343,'TL06'!$J$10:$J$224),0),
IF('TL06'!$B$229=K$3,SUMIF('TL06'!$C$238:$C$451,$C343,'TL06'!$J$238:$J$451),0),
IF('TL07'!$B$3=K$3,SUMIF('TL07'!$C$10:$C$224,$C343,'TL07'!$J$10:$J$224),0),
IF('TL07'!$B$229=K$3,SUMIF('TL07'!$C$238:$C$451,$C343,'TL07'!$J$238:$J$451),0),
IF('TL08'!$B$3=K$3,SUMIF('TL08'!$C$10:$C$224,$C343,'TL08'!$J$10:$J$224),0),
IF('TL08'!$B$229=K$3,SUMIF('TL08'!$C$238:$C$451,$C343,'TL08'!$J$238:$J$451),0),
IF('TL09'!$B$3=K$3,SUMIF('TL09'!$C$10:$C$224,$C343,'TL09'!$J$10:$J$224),0),
IF('TL09'!$B$229=K$3,SUMIF('TL09'!$C$238:$C$451,$C343,'TL09'!$J$238:$J$451),0),
IF('TL10'!$B$3=K$3,SUMIF('TL10'!$C$10:$C$224,$C343,'TL10'!$J$10:$J$224),0),
IF('TL10'!$B$229=K$3,SUMIF('TL10'!$C$238:$C$451,$C343,'TL10'!$J$238:$J$451),0),
IF('TL11'!$B$3=K$3,SUMIF('TL11'!$C$10:$C$224,$C343,'TL11'!$J$10:$J$224),0),
IF('TL11'!$B$229=K$3,SUMIF('TL11'!$C$238:$C$451,$C343,'TL11'!$J$238:$J$451),0),
IF('TL12'!$B$3=K$3,SUMIF('TL12'!$C$10:$C$224,$C343,'TL12'!$J$10:$J$224),0),
IF('TL12'!$B$229=K$3,SUMIF('TL12'!$C$238:$C$451,$C343,'TL12'!$J$238:$J$451),0),
IF('TL13'!$B$3=K$3,SUMIF('TL13'!$C$10:$C$224,$C343,'TL13'!$J$10:$J$224),0),
IF('TL13'!$B$229=K$3,SUMIF('TL13'!$C$238:$C$451,$C343,'TL13'!$J$238:$J$451),0),
IF('TL14'!$B$3=K$3,SUMIF('TL14'!$C$10:$C$224,$C343,'TL14'!$J$10:$J$224),0),
IF('TL14'!$B$229=K$3,SUMIF('TL14'!$C$238:$C$451,$C343,'TL14'!$J$238:$J$451),0),
IF('TL15'!$B$3=K$3,SUMIF('TL15'!$C$10:$C$224,$C343,'TL15'!$J$10:$J$224),0),
IF('TL15'!$B$229=K$3,SUMIF('TL15'!$C$238:$C$451,$C343,'TL15'!$J$238:$J$451),0),
IF('TL16'!$B$3=K$3,SUMIF('TL16'!$C$10:$C$224,$C343,'TL16'!$J$10:$J$224),0),
IF('TL16'!$B$229=K$3,SUMIF('TL16'!$C$238:$C$451,$C343,'TL16'!$J$238:$J$451),0),
IF('TL17'!$B$3=K$3,SUMIF('TL17'!$C$10:$C$224,$C343,'TL17'!$J$10:$J$224),0),
IF('TL17'!$B$229=K$3,SUMIF('TL17'!$C$238:$C$451,$C343,'TL17'!$J$238:$J$451),0),
IF('TL18'!$B$3=K$3,SUMIF('TL18'!$C$10:$C$224,$C343,'TL18'!$J$10:$J$224),0),
IF('TL18'!$B$229=K$3,SUMIF('TL18'!$C$238:$C$451,$C343,'TL18'!$J$238:$J$451),0),
IF('TL19'!$B$3=K$3,SUMIF('TL19'!$C$10:$C$224,$C343,'TL19'!$J$10:$J$224),0),
IF('TL19'!$B$229=K$3,SUMIF('TL19'!$C$238:$C$451,$C343,'TL19'!$J$238:$J$451),0)
),0)</f>
        <v>0</v>
      </c>
      <c r="L343" s="9">
        <f>IFERROR(SUM(
IF('TL01'!$B$3=L$3,SUMIF('TL01'!$C$10:$C$224,$C343,'TL01'!$J$10:$J$224),0),
IF('TL01'!$B$229=L$3,SUMIF('TL01'!$C$238:$C$451,$C343,'TL01'!$J$238:$J$451),0),
IF('TL02'!$B$3=L$3,SUMIF('TL02'!$C$10:$C$224,$C343,'TL02'!$J$10:$J$224),0),
IF('TL02'!$B$229=L$3,SUMIF('TL02'!$C$238:$C$451,$C343,'TL02'!$J$238:$J$451),0),
IF('TL03'!$B$3=L$3,SUMIF('TL03'!$C$10:$C$224,$C343,'TL03'!$J$10:$J$224),0),
IF('TL03'!$B$229=L$3,SUMIF('TL03'!$C$238:$C$451,$C343,'TL03'!$J$238:$J$451),0),
IF('TL04'!$B$3=L$3,SUMIF('TL04'!$C$10:$C$224,$C343,'TL04'!$J$10:$J$224),0),
IF('TL04'!$B$229=L$3,SUMIF('TL04'!$C$238:$C$451,$C343,'TL04'!$J$238:$J$451),0),
IF('TL05'!$B$3=L$3,SUMIF('TL05'!$C$10:$C$224,$C343,'TL05'!$J$10:$J$224),0),
IF('TL05'!$B$229=L$3,SUMIF('TL05'!$C$238:$C$451,$C343,'TL05'!$J$238:$J$451),0),
IF('TL06'!$B$3=L$3,SUMIF('TL06'!$C$10:$C$224,$C343,'TL06'!$J$10:$J$224),0),
IF('TL06'!$B$229=L$3,SUMIF('TL06'!$C$238:$C$451,$C343,'TL06'!$J$238:$J$451),0),
IF('TL07'!$B$3=L$3,SUMIF('TL07'!$C$10:$C$224,$C343,'TL07'!$J$10:$J$224),0),
IF('TL07'!$B$229=L$3,SUMIF('TL07'!$C$238:$C$451,$C343,'TL07'!$J$238:$J$451),0),
IF('TL08'!$B$3=L$3,SUMIF('TL08'!$C$10:$C$224,$C343,'TL08'!$J$10:$J$224),0),
IF('TL08'!$B$229=L$3,SUMIF('TL08'!$C$238:$C$451,$C343,'TL08'!$J$238:$J$451),0),
IF('TL09'!$B$3=L$3,SUMIF('TL09'!$C$10:$C$224,$C343,'TL09'!$J$10:$J$224),0),
IF('TL09'!$B$229=L$3,SUMIF('TL09'!$C$238:$C$451,$C343,'TL09'!$J$238:$J$451),0),
IF('TL10'!$B$3=L$3,SUMIF('TL10'!$C$10:$C$224,$C343,'TL10'!$J$10:$J$224),0),
IF('TL10'!$B$229=L$3,SUMIF('TL10'!$C$238:$C$451,$C343,'TL10'!$J$238:$J$451),0),
IF('TL11'!$B$3=L$3,SUMIF('TL11'!$C$10:$C$224,$C343,'TL11'!$J$10:$J$224),0),
IF('TL11'!$B$229=L$3,SUMIF('TL11'!$C$238:$C$451,$C343,'TL11'!$J$238:$J$451),0),
IF('TL12'!$B$3=L$3,SUMIF('TL12'!$C$10:$C$224,$C343,'TL12'!$J$10:$J$224),0),
IF('TL12'!$B$229=L$3,SUMIF('TL12'!$C$238:$C$451,$C343,'TL12'!$J$238:$J$451),0),
IF('TL13'!$B$3=L$3,SUMIF('TL13'!$C$10:$C$224,$C343,'TL13'!$J$10:$J$224),0),
IF('TL13'!$B$229=L$3,SUMIF('TL13'!$C$238:$C$451,$C343,'TL13'!$J$238:$J$451),0),
IF('TL14'!$B$3=L$3,SUMIF('TL14'!$C$10:$C$224,$C343,'TL14'!$J$10:$J$224),0),
IF('TL14'!$B$229=L$3,SUMIF('TL14'!$C$238:$C$451,$C343,'TL14'!$J$238:$J$451),0),
IF('TL15'!$B$3=L$3,SUMIF('TL15'!$C$10:$C$224,$C343,'TL15'!$J$10:$J$224),0),
IF('TL15'!$B$229=L$3,SUMIF('TL15'!$C$238:$C$451,$C343,'TL15'!$J$238:$J$451),0),
IF('TL16'!$B$3=L$3,SUMIF('TL16'!$C$10:$C$224,$C343,'TL16'!$J$10:$J$224),0),
IF('TL16'!$B$229=L$3,SUMIF('TL16'!$C$238:$C$451,$C343,'TL16'!$J$238:$J$451),0),
IF('TL17'!$B$3=L$3,SUMIF('TL17'!$C$10:$C$224,$C343,'TL17'!$J$10:$J$224),0),
IF('TL17'!$B$229=L$3,SUMIF('TL17'!$C$238:$C$451,$C343,'TL17'!$J$238:$J$451),0),
IF('TL18'!$B$3=L$3,SUMIF('TL18'!$C$10:$C$224,$C343,'TL18'!$J$10:$J$224),0),
IF('TL18'!$B$229=L$3,SUMIF('TL18'!$C$238:$C$451,$C343,'TL18'!$J$238:$J$451),0),
IF('TL19'!$B$3=L$3,SUMIF('TL19'!$C$10:$C$224,$C343,'TL19'!$J$10:$J$224),0),
IF('TL19'!$B$229=L$3,SUMIF('TL19'!$C$238:$C$451,$C343,'TL19'!$J$238:$J$451),0)
),0)</f>
        <v>0</v>
      </c>
      <c r="M343" s="9">
        <f>IFERROR(SUM(
IF('TL01'!$B$3=M$3,SUMIF('TL01'!$C$10:$C$224,$C343,'TL01'!$J$10:$J$224),0),
IF('TL01'!$B$229=M$3,SUMIF('TL01'!$C$238:$C$451,$C343,'TL01'!$J$238:$J$451),0),
IF('TL02'!$B$3=M$3,SUMIF('TL02'!$C$10:$C$224,$C343,'TL02'!$J$10:$J$224),0),
IF('TL02'!$B$229=M$3,SUMIF('TL02'!$C$238:$C$451,$C343,'TL02'!$J$238:$J$451),0),
IF('TL03'!$B$3=M$3,SUMIF('TL03'!$C$10:$C$224,$C343,'TL03'!$J$10:$J$224),0),
IF('TL03'!$B$229=M$3,SUMIF('TL03'!$C$238:$C$451,$C343,'TL03'!$J$238:$J$451),0),
IF('TL04'!$B$3=M$3,SUMIF('TL04'!$C$10:$C$224,$C343,'TL04'!$J$10:$J$224),0),
IF('TL04'!$B$229=M$3,SUMIF('TL04'!$C$238:$C$451,$C343,'TL04'!$J$238:$J$451),0),
IF('TL05'!$B$3=M$3,SUMIF('TL05'!$C$10:$C$224,$C343,'TL05'!$J$10:$J$224),0),
IF('TL05'!$B$229=M$3,SUMIF('TL05'!$C$238:$C$451,$C343,'TL05'!$J$238:$J$451),0),
IF('TL06'!$B$3=M$3,SUMIF('TL06'!$C$10:$C$224,$C343,'TL06'!$J$10:$J$224),0),
IF('TL06'!$B$229=M$3,SUMIF('TL06'!$C$238:$C$451,$C343,'TL06'!$J$238:$J$451),0),
IF('TL07'!$B$3=M$3,SUMIF('TL07'!$C$10:$C$224,$C343,'TL07'!$J$10:$J$224),0),
IF('TL07'!$B$229=M$3,SUMIF('TL07'!$C$238:$C$451,$C343,'TL07'!$J$238:$J$451),0),
IF('TL08'!$B$3=M$3,SUMIF('TL08'!$C$10:$C$224,$C343,'TL08'!$J$10:$J$224),0),
IF('TL08'!$B$229=M$3,SUMIF('TL08'!$C$238:$C$451,$C343,'TL08'!$J$238:$J$451),0),
IF('TL09'!$B$3=M$3,SUMIF('TL09'!$C$10:$C$224,$C343,'TL09'!$J$10:$J$224),0),
IF('TL09'!$B$229=M$3,SUMIF('TL09'!$C$238:$C$451,$C343,'TL09'!$J$238:$J$451),0),
IF('TL10'!$B$3=M$3,SUMIF('TL10'!$C$10:$C$224,$C343,'TL10'!$J$10:$J$224),0),
IF('TL10'!$B$229=M$3,SUMIF('TL10'!$C$238:$C$451,$C343,'TL10'!$J$238:$J$451),0),
IF('TL11'!$B$3=M$3,SUMIF('TL11'!$C$10:$C$224,$C343,'TL11'!$J$10:$J$224),0),
IF('TL11'!$B$229=M$3,SUMIF('TL11'!$C$238:$C$451,$C343,'TL11'!$J$238:$J$451),0),
IF('TL12'!$B$3=M$3,SUMIF('TL12'!$C$10:$C$224,$C343,'TL12'!$J$10:$J$224),0),
IF('TL12'!$B$229=M$3,SUMIF('TL12'!$C$238:$C$451,$C343,'TL12'!$J$238:$J$451),0),
IF('TL13'!$B$3=M$3,SUMIF('TL13'!$C$10:$C$224,$C343,'TL13'!$J$10:$J$224),0),
IF('TL13'!$B$229=M$3,SUMIF('TL13'!$C$238:$C$451,$C343,'TL13'!$J$238:$J$451),0),
IF('TL14'!$B$3=M$3,SUMIF('TL14'!$C$10:$C$224,$C343,'TL14'!$J$10:$J$224),0),
IF('TL14'!$B$229=M$3,SUMIF('TL14'!$C$238:$C$451,$C343,'TL14'!$J$238:$J$451),0),
IF('TL15'!$B$3=M$3,SUMIF('TL15'!$C$10:$C$224,$C343,'TL15'!$J$10:$J$224),0),
IF('TL15'!$B$229=M$3,SUMIF('TL15'!$C$238:$C$451,$C343,'TL15'!$J$238:$J$451),0),
IF('TL16'!$B$3=M$3,SUMIF('TL16'!$C$10:$C$224,$C343,'TL16'!$J$10:$J$224),0),
IF('TL16'!$B$229=M$3,SUMIF('TL16'!$C$238:$C$451,$C343,'TL16'!$J$238:$J$451),0),
IF('TL17'!$B$3=M$3,SUMIF('TL17'!$C$10:$C$224,$C343,'TL17'!$J$10:$J$224),0),
IF('TL17'!$B$229=M$3,SUMIF('TL17'!$C$238:$C$451,$C343,'TL17'!$J$238:$J$451),0),
IF('TL18'!$B$3=M$3,SUMIF('TL18'!$C$10:$C$224,$C343,'TL18'!$J$10:$J$224),0),
IF('TL18'!$B$229=M$3,SUMIF('TL18'!$C$238:$C$451,$C343,'TL18'!$J$238:$J$451),0),
IF('TL19'!$B$3=M$3,SUMIF('TL19'!$C$10:$C$224,$C343,'TL19'!$J$10:$J$224),0),
IF('TL19'!$B$229=M$3,SUMIF('TL19'!$C$238:$C$451,$C343,'TL19'!$J$238:$J$451),0)
),0)</f>
        <v>0</v>
      </c>
      <c r="N343" s="9">
        <f>IFERROR(SUM(
IF('TL01'!$B$3=N$3,SUMIF('TL01'!$C$10:$C$224,$C343,'TL01'!$J$10:$J$224),0),
IF('TL01'!$B$229=N$3,SUMIF('TL01'!$C$238:$C$451,$C343,'TL01'!$J$238:$J$451),0),
IF('TL02'!$B$3=N$3,SUMIF('TL02'!$C$10:$C$224,$C343,'TL02'!$J$10:$J$224),0),
IF('TL02'!$B$229=N$3,SUMIF('TL02'!$C$238:$C$451,$C343,'TL02'!$J$238:$J$451),0),
IF('TL03'!$B$3=N$3,SUMIF('TL03'!$C$10:$C$224,$C343,'TL03'!$J$10:$J$224),0),
IF('TL03'!$B$229=N$3,SUMIF('TL03'!$C$238:$C$451,$C343,'TL03'!$J$238:$J$451),0),
IF('TL04'!$B$3=N$3,SUMIF('TL04'!$C$10:$C$224,$C343,'TL04'!$J$10:$J$224),0),
IF('TL04'!$B$229=N$3,SUMIF('TL04'!$C$238:$C$451,$C343,'TL04'!$J$238:$J$451),0),
IF('TL05'!$B$3=N$3,SUMIF('TL05'!$C$10:$C$224,$C343,'TL05'!$J$10:$J$224),0),
IF('TL05'!$B$229=N$3,SUMIF('TL05'!$C$238:$C$451,$C343,'TL05'!$J$238:$J$451),0),
IF('TL06'!$B$3=N$3,SUMIF('TL06'!$C$10:$C$224,$C343,'TL06'!$J$10:$J$224),0),
IF('TL06'!$B$229=N$3,SUMIF('TL06'!$C$238:$C$451,$C343,'TL06'!$J$238:$J$451),0),
IF('TL07'!$B$3=N$3,SUMIF('TL07'!$C$10:$C$224,$C343,'TL07'!$J$10:$J$224),0),
IF('TL07'!$B$229=N$3,SUMIF('TL07'!$C$238:$C$451,$C343,'TL07'!$J$238:$J$451),0),
IF('TL08'!$B$3=N$3,SUMIF('TL08'!$C$10:$C$224,$C343,'TL08'!$J$10:$J$224),0),
IF('TL08'!$B$229=N$3,SUMIF('TL08'!$C$238:$C$451,$C343,'TL08'!$J$238:$J$451),0),
IF('TL09'!$B$3=N$3,SUMIF('TL09'!$C$10:$C$224,$C343,'TL09'!$J$10:$J$224),0),
IF('TL09'!$B$229=N$3,SUMIF('TL09'!$C$238:$C$451,$C343,'TL09'!$J$238:$J$451),0),
IF('TL10'!$B$3=N$3,SUMIF('TL10'!$C$10:$C$224,$C343,'TL10'!$J$10:$J$224),0),
IF('TL10'!$B$229=N$3,SUMIF('TL10'!$C$238:$C$451,$C343,'TL10'!$J$238:$J$451),0),
IF('TL11'!$B$3=N$3,SUMIF('TL11'!$C$10:$C$224,$C343,'TL11'!$J$10:$J$224),0),
IF('TL11'!$B$229=N$3,SUMIF('TL11'!$C$238:$C$451,$C343,'TL11'!$J$238:$J$451),0),
IF('TL12'!$B$3=N$3,SUMIF('TL12'!$C$10:$C$224,$C343,'TL12'!$J$10:$J$224),0),
IF('TL12'!$B$229=N$3,SUMIF('TL12'!$C$238:$C$451,$C343,'TL12'!$J$238:$J$451),0),
IF('TL13'!$B$3=N$3,SUMIF('TL13'!$C$10:$C$224,$C343,'TL13'!$J$10:$J$224),0),
IF('TL13'!$B$229=N$3,SUMIF('TL13'!$C$238:$C$451,$C343,'TL13'!$J$238:$J$451),0),
IF('TL14'!$B$3=N$3,SUMIF('TL14'!$C$10:$C$224,$C343,'TL14'!$J$10:$J$224),0),
IF('TL14'!$B$229=N$3,SUMIF('TL14'!$C$238:$C$451,$C343,'TL14'!$J$238:$J$451),0),
IF('TL15'!$B$3=N$3,SUMIF('TL15'!$C$10:$C$224,$C343,'TL15'!$J$10:$J$224),0),
IF('TL15'!$B$229=N$3,SUMIF('TL15'!$C$238:$C$451,$C343,'TL15'!$J$238:$J$451),0),
IF('TL16'!$B$3=N$3,SUMIF('TL16'!$C$10:$C$224,$C343,'TL16'!$J$10:$J$224),0),
IF('TL16'!$B$229=N$3,SUMIF('TL16'!$C$238:$C$451,$C343,'TL16'!$J$238:$J$451),0),
IF('TL17'!$B$3=N$3,SUMIF('TL17'!$C$10:$C$224,$C343,'TL17'!$J$10:$J$224),0),
IF('TL17'!$B$229=N$3,SUMIF('TL17'!$C$238:$C$451,$C343,'TL17'!$J$238:$J$451),0),
IF('TL18'!$B$3=N$3,SUMIF('TL18'!$C$10:$C$224,$C343,'TL18'!$J$10:$J$224),0),
IF('TL18'!$B$229=N$3,SUMIF('TL18'!$C$238:$C$451,$C343,'TL18'!$J$238:$J$451),0),
IF('TL19'!$B$3=N$3,SUMIF('TL19'!$C$10:$C$224,$C343,'TL19'!$J$10:$J$224),0),
IF('TL19'!$B$229=N$3,SUMIF('TL19'!$C$238:$C$451,$C343,'TL19'!$J$238:$J$451),0)
),0)</f>
        <v>0</v>
      </c>
      <c r="O343" s="9">
        <f>IFERROR(SUM(
IF('TL01'!$B$3=O$3,SUMIF('TL01'!$C$10:$C$224,$C343,'TL01'!$J$10:$J$224),0),
IF('TL01'!$B$229=O$3,SUMIF('TL01'!$C$238:$C$451,$C343,'TL01'!$J$238:$J$451),0),
IF('TL02'!$B$3=O$3,SUMIF('TL02'!$C$10:$C$224,$C343,'TL02'!$J$10:$J$224),0),
IF('TL02'!$B$229=O$3,SUMIF('TL02'!$C$238:$C$451,$C343,'TL02'!$J$238:$J$451),0),
IF('TL03'!$B$3=O$3,SUMIF('TL03'!$C$10:$C$224,$C343,'TL03'!$J$10:$J$224),0),
IF('TL03'!$B$229=O$3,SUMIF('TL03'!$C$238:$C$451,$C343,'TL03'!$J$238:$J$451),0),
IF('TL04'!$B$3=O$3,SUMIF('TL04'!$C$10:$C$224,$C343,'TL04'!$J$10:$J$224),0),
IF('TL04'!$B$229=O$3,SUMIF('TL04'!$C$238:$C$451,$C343,'TL04'!$J$238:$J$451),0),
IF('TL05'!$B$3=O$3,SUMIF('TL05'!$C$10:$C$224,$C343,'TL05'!$J$10:$J$224),0),
IF('TL05'!$B$229=O$3,SUMIF('TL05'!$C$238:$C$451,$C343,'TL05'!$J$238:$J$451),0),
IF('TL06'!$B$3=O$3,SUMIF('TL06'!$C$10:$C$224,$C343,'TL06'!$J$10:$J$224),0),
IF('TL06'!$B$229=O$3,SUMIF('TL06'!$C$238:$C$451,$C343,'TL06'!$J$238:$J$451),0),
IF('TL07'!$B$3=O$3,SUMIF('TL07'!$C$10:$C$224,$C343,'TL07'!$J$10:$J$224),0),
IF('TL07'!$B$229=O$3,SUMIF('TL07'!$C$238:$C$451,$C343,'TL07'!$J$238:$J$451),0),
IF('TL08'!$B$3=O$3,SUMIF('TL08'!$C$10:$C$224,$C343,'TL08'!$J$10:$J$224),0),
IF('TL08'!$B$229=O$3,SUMIF('TL08'!$C$238:$C$451,$C343,'TL08'!$J$238:$J$451),0),
IF('TL09'!$B$3=O$3,SUMIF('TL09'!$C$10:$C$224,$C343,'TL09'!$J$10:$J$224),0),
IF('TL09'!$B$229=O$3,SUMIF('TL09'!$C$238:$C$451,$C343,'TL09'!$J$238:$J$451),0),
IF('TL10'!$B$3=O$3,SUMIF('TL10'!$C$10:$C$224,$C343,'TL10'!$J$10:$J$224),0),
IF('TL10'!$B$229=O$3,SUMIF('TL10'!$C$238:$C$451,$C343,'TL10'!$J$238:$J$451),0),
IF('TL11'!$B$3=O$3,SUMIF('TL11'!$C$10:$C$224,$C343,'TL11'!$J$10:$J$224),0),
IF('TL11'!$B$229=O$3,SUMIF('TL11'!$C$238:$C$451,$C343,'TL11'!$J$238:$J$451),0),
IF('TL12'!$B$3=O$3,SUMIF('TL12'!$C$10:$C$224,$C343,'TL12'!$J$10:$J$224),0),
IF('TL12'!$B$229=O$3,SUMIF('TL12'!$C$238:$C$451,$C343,'TL12'!$J$238:$J$451),0),
IF('TL13'!$B$3=O$3,SUMIF('TL13'!$C$10:$C$224,$C343,'TL13'!$J$10:$J$224),0),
IF('TL13'!$B$229=O$3,SUMIF('TL13'!$C$238:$C$451,$C343,'TL13'!$J$238:$J$451),0),
IF('TL14'!$B$3=O$3,SUMIF('TL14'!$C$10:$C$224,$C343,'TL14'!$J$10:$J$224),0),
IF('TL14'!$B$229=O$3,SUMIF('TL14'!$C$238:$C$451,$C343,'TL14'!$J$238:$J$451),0),
IF('TL15'!$B$3=O$3,SUMIF('TL15'!$C$10:$C$224,$C343,'TL15'!$J$10:$J$224),0),
IF('TL15'!$B$229=O$3,SUMIF('TL15'!$C$238:$C$451,$C343,'TL15'!$J$238:$J$451),0),
IF('TL16'!$B$3=O$3,SUMIF('TL16'!$C$10:$C$224,$C343,'TL16'!$J$10:$J$224),0),
IF('TL16'!$B$229=O$3,SUMIF('TL16'!$C$238:$C$451,$C343,'TL16'!$J$238:$J$451),0),
IF('TL17'!$B$3=O$3,SUMIF('TL17'!$C$10:$C$224,$C343,'TL17'!$J$10:$J$224),0),
IF('TL17'!$B$229=O$3,SUMIF('TL17'!$C$238:$C$451,$C343,'TL17'!$J$238:$J$451),0),
IF('TL18'!$B$3=O$3,SUMIF('TL18'!$C$10:$C$224,$C343,'TL18'!$J$10:$J$224),0),
IF('TL18'!$B$229=O$3,SUMIF('TL18'!$C$238:$C$451,$C343,'TL18'!$J$238:$J$451),0),
IF('TL19'!$B$3=O$3,SUMIF('TL19'!$C$10:$C$224,$C343,'TL19'!$J$10:$J$224),0),
IF('TL19'!$B$229=O$3,SUMIF('TL19'!$C$238:$C$451,$C343,'TL19'!$J$238:$J$451),0)
),0)</f>
        <v>0</v>
      </c>
      <c r="P343" s="9">
        <f>IFERROR(SUM(
IF('TL01'!$B$3=P$3,SUMIF('TL01'!$C$10:$C$224,$C343,'TL01'!$J$10:$J$224),0),
IF('TL01'!$B$229=P$3,SUMIF('TL01'!$C$238:$C$451,$C343,'TL01'!$J$238:$J$451),0),
IF('TL02'!$B$3=P$3,SUMIF('TL02'!$C$10:$C$224,$C343,'TL02'!$J$10:$J$224),0),
IF('TL02'!$B$229=P$3,SUMIF('TL02'!$C$238:$C$451,$C343,'TL02'!$J$238:$J$451),0),
IF('TL03'!$B$3=P$3,SUMIF('TL03'!$C$10:$C$224,$C343,'TL03'!$J$10:$J$224),0),
IF('TL03'!$B$229=P$3,SUMIF('TL03'!$C$238:$C$451,$C343,'TL03'!$J$238:$J$451),0),
IF('TL04'!$B$3=P$3,SUMIF('TL04'!$C$10:$C$224,$C343,'TL04'!$J$10:$J$224),0),
IF('TL04'!$B$229=P$3,SUMIF('TL04'!$C$238:$C$451,$C343,'TL04'!$J$238:$J$451),0),
IF('TL05'!$B$3=P$3,SUMIF('TL05'!$C$10:$C$224,$C343,'TL05'!$J$10:$J$224),0),
IF('TL05'!$B$229=P$3,SUMIF('TL05'!$C$238:$C$451,$C343,'TL05'!$J$238:$J$451),0),
IF('TL06'!$B$3=P$3,SUMIF('TL06'!$C$10:$C$224,$C343,'TL06'!$J$10:$J$224),0),
IF('TL06'!$B$229=P$3,SUMIF('TL06'!$C$238:$C$451,$C343,'TL06'!$J$238:$J$451),0),
IF('TL07'!$B$3=P$3,SUMIF('TL07'!$C$10:$C$224,$C343,'TL07'!$J$10:$J$224),0),
IF('TL07'!$B$229=P$3,SUMIF('TL07'!$C$238:$C$451,$C343,'TL07'!$J$238:$J$451),0),
IF('TL08'!$B$3=P$3,SUMIF('TL08'!$C$10:$C$224,$C343,'TL08'!$J$10:$J$224),0),
IF('TL08'!$B$229=P$3,SUMIF('TL08'!$C$238:$C$451,$C343,'TL08'!$J$238:$J$451),0),
IF('TL09'!$B$3=P$3,SUMIF('TL09'!$C$10:$C$224,$C343,'TL09'!$J$10:$J$224),0),
IF('TL09'!$B$229=P$3,SUMIF('TL09'!$C$238:$C$451,$C343,'TL09'!$J$238:$J$451),0),
IF('TL10'!$B$3=P$3,SUMIF('TL10'!$C$10:$C$224,$C343,'TL10'!$J$10:$J$224),0),
IF('TL10'!$B$229=P$3,SUMIF('TL10'!$C$238:$C$451,$C343,'TL10'!$J$238:$J$451),0),
IF('TL11'!$B$3=P$3,SUMIF('TL11'!$C$10:$C$224,$C343,'TL11'!$J$10:$J$224),0),
IF('TL11'!$B$229=P$3,SUMIF('TL11'!$C$238:$C$451,$C343,'TL11'!$J$238:$J$451),0),
IF('TL12'!$B$3=P$3,SUMIF('TL12'!$C$10:$C$224,$C343,'TL12'!$J$10:$J$224),0),
IF('TL12'!$B$229=P$3,SUMIF('TL12'!$C$238:$C$451,$C343,'TL12'!$J$238:$J$451),0),
IF('TL13'!$B$3=P$3,SUMIF('TL13'!$C$10:$C$224,$C343,'TL13'!$J$10:$J$224),0),
IF('TL13'!$B$229=P$3,SUMIF('TL13'!$C$238:$C$451,$C343,'TL13'!$J$238:$J$451),0),
IF('TL14'!$B$3=P$3,SUMIF('TL14'!$C$10:$C$224,$C343,'TL14'!$J$10:$J$224),0),
IF('TL14'!$B$229=P$3,SUMIF('TL14'!$C$238:$C$451,$C343,'TL14'!$J$238:$J$451),0),
IF('TL15'!$B$3=P$3,SUMIF('TL15'!$C$10:$C$224,$C343,'TL15'!$J$10:$J$224),0),
IF('TL15'!$B$229=P$3,SUMIF('TL15'!$C$238:$C$451,$C343,'TL15'!$J$238:$J$451),0),
IF('TL16'!$B$3=P$3,SUMIF('TL16'!$C$10:$C$224,$C343,'TL16'!$J$10:$J$224),0),
IF('TL16'!$B$229=P$3,SUMIF('TL16'!$C$238:$C$451,$C343,'TL16'!$J$238:$J$451),0),
IF('TL17'!$B$3=P$3,SUMIF('TL17'!$C$10:$C$224,$C343,'TL17'!$J$10:$J$224),0),
IF('TL17'!$B$229=P$3,SUMIF('TL17'!$C$238:$C$451,$C343,'TL17'!$J$238:$J$451),0),
IF('TL18'!$B$3=P$3,SUMIF('TL18'!$C$10:$C$224,$C343,'TL18'!$J$10:$J$224),0),
IF('TL18'!$B$229=P$3,SUMIF('TL18'!$C$238:$C$451,$C343,'TL18'!$J$238:$J$451),0),
IF('TL19'!$B$3=P$3,SUMIF('TL19'!$C$10:$C$224,$C343,'TL19'!$J$10:$J$224),0),
IF('TL19'!$B$229=P$3,SUMIF('TL19'!$C$238:$C$451,$C343,'TL19'!$J$238:$J$451),0)
),0)</f>
        <v>0</v>
      </c>
      <c r="Q343" s="9">
        <f>IFERROR(SUM(
IF('TL01'!$B$3=Q$3,SUMIF('TL01'!$C$10:$C$224,$C343,'TL01'!$J$10:$J$224),0),
IF('TL01'!$B$229=Q$3,SUMIF('TL01'!$C$238:$C$451,$C343,'TL01'!$J$238:$J$451),0),
IF('TL02'!$B$3=Q$3,SUMIF('TL02'!$C$10:$C$224,$C343,'TL02'!$J$10:$J$224),0),
IF('TL02'!$B$229=Q$3,SUMIF('TL02'!$C$238:$C$451,$C343,'TL02'!$J$238:$J$451),0),
IF('TL03'!$B$3=Q$3,SUMIF('TL03'!$C$10:$C$224,$C343,'TL03'!$J$10:$J$224),0),
IF('TL03'!$B$229=Q$3,SUMIF('TL03'!$C$238:$C$451,$C343,'TL03'!$J$238:$J$451),0),
IF('TL04'!$B$3=Q$3,SUMIF('TL04'!$C$10:$C$224,$C343,'TL04'!$J$10:$J$224),0),
IF('TL04'!$B$229=Q$3,SUMIF('TL04'!$C$238:$C$451,$C343,'TL04'!$J$238:$J$451),0),
IF('TL05'!$B$3=Q$3,SUMIF('TL05'!$C$10:$C$224,$C343,'TL05'!$J$10:$J$224),0),
IF('TL05'!$B$229=Q$3,SUMIF('TL05'!$C$238:$C$451,$C343,'TL05'!$J$238:$J$451),0),
IF('TL06'!$B$3=Q$3,SUMIF('TL06'!$C$10:$C$224,$C343,'TL06'!$J$10:$J$224),0),
IF('TL06'!$B$229=Q$3,SUMIF('TL06'!$C$238:$C$451,$C343,'TL06'!$J$238:$J$451),0),
IF('TL07'!$B$3=Q$3,SUMIF('TL07'!$C$10:$C$224,$C343,'TL07'!$J$10:$J$224),0),
IF('TL07'!$B$229=Q$3,SUMIF('TL07'!$C$238:$C$451,$C343,'TL07'!$J$238:$J$451),0),
IF('TL08'!$B$3=Q$3,SUMIF('TL08'!$C$10:$C$224,$C343,'TL08'!$J$10:$J$224),0),
IF('TL08'!$B$229=Q$3,SUMIF('TL08'!$C$238:$C$451,$C343,'TL08'!$J$238:$J$451),0),
IF('TL09'!$B$3=Q$3,SUMIF('TL09'!$C$10:$C$224,$C343,'TL09'!$J$10:$J$224),0),
IF('TL09'!$B$229=Q$3,SUMIF('TL09'!$C$238:$C$451,$C343,'TL09'!$J$238:$J$451),0),
IF('TL10'!$B$3=Q$3,SUMIF('TL10'!$C$10:$C$224,$C343,'TL10'!$J$10:$J$224),0),
IF('TL10'!$B$229=Q$3,SUMIF('TL10'!$C$238:$C$451,$C343,'TL10'!$J$238:$J$451),0),
IF('TL11'!$B$3=Q$3,SUMIF('TL11'!$C$10:$C$224,$C343,'TL11'!$J$10:$J$224),0),
IF('TL11'!$B$229=Q$3,SUMIF('TL11'!$C$238:$C$451,$C343,'TL11'!$J$238:$J$451),0),
IF('TL12'!$B$3=Q$3,SUMIF('TL12'!$C$10:$C$224,$C343,'TL12'!$J$10:$J$224),0),
IF('TL12'!$B$229=Q$3,SUMIF('TL12'!$C$238:$C$451,$C343,'TL12'!$J$238:$J$451),0),
IF('TL13'!$B$3=Q$3,SUMIF('TL13'!$C$10:$C$224,$C343,'TL13'!$J$10:$J$224),0),
IF('TL13'!$B$229=Q$3,SUMIF('TL13'!$C$238:$C$451,$C343,'TL13'!$J$238:$J$451),0),
IF('TL14'!$B$3=Q$3,SUMIF('TL14'!$C$10:$C$224,$C343,'TL14'!$J$10:$J$224),0),
IF('TL14'!$B$229=Q$3,SUMIF('TL14'!$C$238:$C$451,$C343,'TL14'!$J$238:$J$451),0),
IF('TL15'!$B$3=Q$3,SUMIF('TL15'!$C$10:$C$224,$C343,'TL15'!$J$10:$J$224),0),
IF('TL15'!$B$229=Q$3,SUMIF('TL15'!$C$238:$C$451,$C343,'TL15'!$J$238:$J$451),0),
IF('TL16'!$B$3=Q$3,SUMIF('TL16'!$C$10:$C$224,$C343,'TL16'!$J$10:$J$224),0),
IF('TL16'!$B$229=Q$3,SUMIF('TL16'!$C$238:$C$451,$C343,'TL16'!$J$238:$J$451),0),
IF('TL17'!$B$3=Q$3,SUMIF('TL17'!$C$10:$C$224,$C343,'TL17'!$J$10:$J$224),0),
IF('TL17'!$B$229=Q$3,SUMIF('TL17'!$C$238:$C$451,$C343,'TL17'!$J$238:$J$451),0),
IF('TL18'!$B$3=Q$3,SUMIF('TL18'!$C$10:$C$224,$C343,'TL18'!$J$10:$J$224),0),
IF('TL18'!$B$229=Q$3,SUMIF('TL18'!$C$238:$C$451,$C343,'TL18'!$J$238:$J$451),0),
IF('TL19'!$B$3=Q$3,SUMIF('TL19'!$C$10:$C$224,$C343,'TL19'!$J$10:$J$224),0),
IF('TL19'!$B$229=Q$3,SUMIF('TL19'!$C$238:$C$451,$C343,'TL19'!$J$238:$J$451),0)
),0)</f>
        <v>0</v>
      </c>
      <c r="R343" s="9">
        <f>IFERROR(
SUM(
SUMIF('TL01'!C:C,C343,'TL01'!J:J),
SUMIF('TL02'!C:C,C343,'TL02'!J:J),
SUMIF('TL03'!C:C,C343,'TL03'!J:J),
SUMIF('TL04'!C:C,C343,'TL04'!J:J),
SUMIF('TL05'!C:C,C343,'TL05'!J:J),
SUMIF('TL06'!C:C,C343,'TL06'!J:J),
SUMIF('TL07'!C:C,C343,'TL07'!J:J),
SUMIF('TL08'!C:C,C343,'TL08'!J:J),
SUMIF('TL09'!C:C,C343,'TL09'!J:J),
SUMIF('TL10'!C:C,C343,'TL10'!J:J),
SUMIF('TL11'!C:C,C343,'TL11'!J:J),
SUMIF('TL12'!C:C,C343,'TL12'!J:J),
SUMIF('TL13'!C:C,C343,'TL13'!J:J),
SUMIF('TL14'!C:C,C343,'TL14'!J:J),
SUMIF('TL15'!C:C,C343,'TL15'!J:J),
SUMIF('TL16'!C:C,C343,'TL16'!J:J),
SUMIF('TL17'!C:C,C343,'TL17'!J:J),
SUMIF('TL18'!C:C,C343,'TL18'!J:J),SUMIF('TL19'!C:C,C343,'TL19'!J:J))
,0)</f>
        <v>0</v>
      </c>
      <c r="S343" s="17" t="str">
        <f>IFERROR(__xludf.DUMMYFUNCTION("IFERROR(VLOOKUP(C343,
IMPORTRANGE(""1wULbzX32WdYsx-lj2U3uUNBBe2INVIRDtcK0d-Dvl90"",
""26-27!C:G""),
5,
FALSE),
"""")"),"")</f>
        <v/>
      </c>
      <c r="T343" s="9"/>
      <c r="U343" s="92">
        <f t="shared" si="2"/>
        <v>0</v>
      </c>
      <c r="V343" s="93">
        <f t="shared" si="3"/>
        <v>0</v>
      </c>
    </row>
    <row r="344" ht="15.75" hidden="1" customHeight="1">
      <c r="A344" s="4"/>
      <c r="B344" s="125" t="s">
        <v>5</v>
      </c>
      <c r="C344" s="4" t="s">
        <v>1065</v>
      </c>
      <c r="D344" s="6"/>
      <c r="E344" s="9"/>
      <c r="F344" s="4" t="s">
        <v>1042</v>
      </c>
      <c r="G344" s="90" t="str">
        <f t="shared" si="5"/>
        <v>📄 Ver bula</v>
      </c>
      <c r="H344" s="9"/>
      <c r="I344" s="1" t="s">
        <v>1043</v>
      </c>
      <c r="J344" s="9">
        <f>IFERROR(SUM(
IF('TL01'!$B$3=J$3,SUMIF('TL01'!$C$10:$C$224,$C344,'TL01'!$J$10:$J$224),0),
IF('TL01'!$B$229=J$3,SUMIF('TL01'!$C$238:$C$451,$C344,'TL01'!$J$238:$J$451),0),
IF('TL02'!$B$3=J$3,SUMIF('TL02'!$C$10:$C$224,$C344,'TL02'!$J$10:$J$224),0),
IF('TL02'!$B$229=J$3,SUMIF('TL02'!$C$238:$C$451,$C344,'TL02'!$J$238:$J$451),0),
IF('TL03'!$B$3=J$3,SUMIF('TL03'!$C$10:$C$224,$C344,'TL03'!$J$10:$J$224),0),
IF('TL03'!$B$229=J$3,SUMIF('TL03'!$C$238:$C$451,$C344,'TL03'!$J$238:$J$451),0),
IF('TL04'!$B$3=J$3,SUMIF('TL04'!$C$10:$C$224,$C344,'TL04'!$J$10:$J$224),0),
IF('TL04'!$B$229=J$3,SUMIF('TL04'!$C$238:$C$451,$C344,'TL04'!$J$238:$J$451),0),
IF('TL05'!$B$3=J$3,SUMIF('TL05'!$C$10:$C$224,$C344,'TL05'!$J$10:$J$224),0),
IF('TL05'!$B$229=J$3,SUMIF('TL05'!$C$238:$C$451,$C344,'TL05'!$J$238:$J$451),0),
IF('TL06'!$B$3=J$3,SUMIF('TL06'!$C$10:$C$224,$C344,'TL06'!$J$10:$J$224),0),
IF('TL06'!$B$229=J$3,SUMIF('TL06'!$C$238:$C$451,$C344,'TL06'!$J$238:$J$451),0),
IF('TL07'!$B$3=J$3,SUMIF('TL07'!$C$10:$C$224,$C344,'TL07'!$J$10:$J$224),0),
IF('TL07'!$B$229=J$3,SUMIF('TL07'!$C$238:$C$451,$C344,'TL07'!$J$238:$J$451),0),
IF('TL08'!$B$3=J$3,SUMIF('TL08'!$C$10:$C$224,$C344,'TL08'!$J$10:$J$224),0),
IF('TL08'!$B$229=J$3,SUMIF('TL08'!$C$238:$C$451,$C344,'TL08'!$J$238:$J$451),0),
IF('TL09'!$B$3=J$3,SUMIF('TL09'!$C$10:$C$224,$C344,'TL09'!$J$10:$J$224),0),
IF('TL09'!$B$229=J$3,SUMIF('TL09'!$C$238:$C$451,$C344,'TL09'!$J$238:$J$451),0),
IF('TL10'!$B$3=J$3,SUMIF('TL10'!$C$10:$C$224,$C344,'TL10'!$J$10:$J$224),0),
IF('TL10'!$B$229=J$3,SUMIF('TL10'!$C$238:$C$451,$C344,'TL10'!$J$238:$J$451),0),
IF('TL11'!$B$3=J$3,SUMIF('TL11'!$C$10:$C$224,$C344,'TL11'!$J$10:$J$224),0),
IF('TL11'!$B$229=J$3,SUMIF('TL11'!$C$238:$C$451,$C344,'TL11'!$J$238:$J$451),0),
IF('TL12'!$B$3=J$3,SUMIF('TL12'!$C$10:$C$224,$C344,'TL12'!$J$10:$J$224),0),
IF('TL12'!$B$229=J$3,SUMIF('TL12'!$C$238:$C$451,$C344,'TL12'!$J$238:$J$451),0),
IF('TL13'!$B$3=J$3,SUMIF('TL13'!$C$10:$C$224,$C344,'TL13'!$J$10:$J$224),0),
IF('TL13'!$B$229=J$3,SUMIF('TL13'!$C$238:$C$451,$C344,'TL13'!$J$238:$J$451),0),
IF('TL14'!$B$3=J$3,SUMIF('TL14'!$C$10:$C$224,$C344,'TL14'!$J$10:$J$224),0),
IF('TL14'!$B$229=J$3,SUMIF('TL14'!$C$238:$C$451,$C344,'TL14'!$J$238:$J$451),0),
IF('TL15'!$B$3=J$3,SUMIF('TL15'!$C$10:$C$224,$C344,'TL15'!$J$10:$J$224),0),
IF('TL15'!$B$229=J$3,SUMIF('TL15'!$C$238:$C$451,$C344,'TL15'!$J$238:$J$451),0),
IF('TL16'!$B$3=J$3,SUMIF('TL16'!$C$10:$C$224,$C344,'TL16'!$J$10:$J$224),0),
IF('TL16'!$B$229=J$3,SUMIF('TL16'!$C$238:$C$451,$C344,'TL16'!$J$238:$J$451),0),
IF('TL17'!$B$3=J$3,SUMIF('TL17'!$C$10:$C$224,$C344,'TL17'!$J$10:$J$224),0),
IF('TL17'!$B$229=J$3,SUMIF('TL17'!$C$238:$C$451,$C344,'TL17'!$J$238:$J$451),0),
IF('TL18'!$B$3=J$3,SUMIF('TL18'!$C$10:$C$224,$C344,'TL18'!$J$10:$J$224),0),
IF('TL18'!$B$229=J$3,SUMIF('TL18'!$C$238:$C$451,$C344,'TL18'!$J$238:$J$451),0),
IF('TL19'!$B$3=J$3,SUMIF('TL19'!$C$10:$C$224,$C344,'TL19'!$J$10:$J$224),0),
IF('TL19'!$B$229=J$3,SUMIF('TL19'!$C$238:$C$451,$C344,'TL19'!$J$238:$J$451),0)
),0)</f>
        <v>0</v>
      </c>
      <c r="K344" s="9">
        <f>IFERROR(SUM(
IF('TL01'!$B$3=K$3,SUMIF('TL01'!$C$10:$C$224,$C344,'TL01'!$J$10:$J$224),0),
IF('TL01'!$B$229=K$3,SUMIF('TL01'!$C$238:$C$451,$C344,'TL01'!$J$238:$J$451),0),
IF('TL02'!$B$3=K$3,SUMIF('TL02'!$C$10:$C$224,$C344,'TL02'!$J$10:$J$224),0),
IF('TL02'!$B$229=K$3,SUMIF('TL02'!$C$238:$C$451,$C344,'TL02'!$J$238:$J$451),0),
IF('TL03'!$B$3=K$3,SUMIF('TL03'!$C$10:$C$224,$C344,'TL03'!$J$10:$J$224),0),
IF('TL03'!$B$229=K$3,SUMIF('TL03'!$C$238:$C$451,$C344,'TL03'!$J$238:$J$451),0),
IF('TL04'!$B$3=K$3,SUMIF('TL04'!$C$10:$C$224,$C344,'TL04'!$J$10:$J$224),0),
IF('TL04'!$B$229=K$3,SUMIF('TL04'!$C$238:$C$451,$C344,'TL04'!$J$238:$J$451),0),
IF('TL05'!$B$3=K$3,SUMIF('TL05'!$C$10:$C$224,$C344,'TL05'!$J$10:$J$224),0),
IF('TL05'!$B$229=K$3,SUMIF('TL05'!$C$238:$C$451,$C344,'TL05'!$J$238:$J$451),0),
IF('TL06'!$B$3=K$3,SUMIF('TL06'!$C$10:$C$224,$C344,'TL06'!$J$10:$J$224),0),
IF('TL06'!$B$229=K$3,SUMIF('TL06'!$C$238:$C$451,$C344,'TL06'!$J$238:$J$451),0),
IF('TL07'!$B$3=K$3,SUMIF('TL07'!$C$10:$C$224,$C344,'TL07'!$J$10:$J$224),0),
IF('TL07'!$B$229=K$3,SUMIF('TL07'!$C$238:$C$451,$C344,'TL07'!$J$238:$J$451),0),
IF('TL08'!$B$3=K$3,SUMIF('TL08'!$C$10:$C$224,$C344,'TL08'!$J$10:$J$224),0),
IF('TL08'!$B$229=K$3,SUMIF('TL08'!$C$238:$C$451,$C344,'TL08'!$J$238:$J$451),0),
IF('TL09'!$B$3=K$3,SUMIF('TL09'!$C$10:$C$224,$C344,'TL09'!$J$10:$J$224),0),
IF('TL09'!$B$229=K$3,SUMIF('TL09'!$C$238:$C$451,$C344,'TL09'!$J$238:$J$451),0),
IF('TL10'!$B$3=K$3,SUMIF('TL10'!$C$10:$C$224,$C344,'TL10'!$J$10:$J$224),0),
IF('TL10'!$B$229=K$3,SUMIF('TL10'!$C$238:$C$451,$C344,'TL10'!$J$238:$J$451),0),
IF('TL11'!$B$3=K$3,SUMIF('TL11'!$C$10:$C$224,$C344,'TL11'!$J$10:$J$224),0),
IF('TL11'!$B$229=K$3,SUMIF('TL11'!$C$238:$C$451,$C344,'TL11'!$J$238:$J$451),0),
IF('TL12'!$B$3=K$3,SUMIF('TL12'!$C$10:$C$224,$C344,'TL12'!$J$10:$J$224),0),
IF('TL12'!$B$229=K$3,SUMIF('TL12'!$C$238:$C$451,$C344,'TL12'!$J$238:$J$451),0),
IF('TL13'!$B$3=K$3,SUMIF('TL13'!$C$10:$C$224,$C344,'TL13'!$J$10:$J$224),0),
IF('TL13'!$B$229=K$3,SUMIF('TL13'!$C$238:$C$451,$C344,'TL13'!$J$238:$J$451),0),
IF('TL14'!$B$3=K$3,SUMIF('TL14'!$C$10:$C$224,$C344,'TL14'!$J$10:$J$224),0),
IF('TL14'!$B$229=K$3,SUMIF('TL14'!$C$238:$C$451,$C344,'TL14'!$J$238:$J$451),0),
IF('TL15'!$B$3=K$3,SUMIF('TL15'!$C$10:$C$224,$C344,'TL15'!$J$10:$J$224),0),
IF('TL15'!$B$229=K$3,SUMIF('TL15'!$C$238:$C$451,$C344,'TL15'!$J$238:$J$451),0),
IF('TL16'!$B$3=K$3,SUMIF('TL16'!$C$10:$C$224,$C344,'TL16'!$J$10:$J$224),0),
IF('TL16'!$B$229=K$3,SUMIF('TL16'!$C$238:$C$451,$C344,'TL16'!$J$238:$J$451),0),
IF('TL17'!$B$3=K$3,SUMIF('TL17'!$C$10:$C$224,$C344,'TL17'!$J$10:$J$224),0),
IF('TL17'!$B$229=K$3,SUMIF('TL17'!$C$238:$C$451,$C344,'TL17'!$J$238:$J$451),0),
IF('TL18'!$B$3=K$3,SUMIF('TL18'!$C$10:$C$224,$C344,'TL18'!$J$10:$J$224),0),
IF('TL18'!$B$229=K$3,SUMIF('TL18'!$C$238:$C$451,$C344,'TL18'!$J$238:$J$451),0),
IF('TL19'!$B$3=K$3,SUMIF('TL19'!$C$10:$C$224,$C344,'TL19'!$J$10:$J$224),0),
IF('TL19'!$B$229=K$3,SUMIF('TL19'!$C$238:$C$451,$C344,'TL19'!$J$238:$J$451),0)
),0)</f>
        <v>0</v>
      </c>
      <c r="L344" s="9">
        <f>IFERROR(SUM(
IF('TL01'!$B$3=L$3,SUMIF('TL01'!$C$10:$C$224,$C344,'TL01'!$J$10:$J$224),0),
IF('TL01'!$B$229=L$3,SUMIF('TL01'!$C$238:$C$451,$C344,'TL01'!$J$238:$J$451),0),
IF('TL02'!$B$3=L$3,SUMIF('TL02'!$C$10:$C$224,$C344,'TL02'!$J$10:$J$224),0),
IF('TL02'!$B$229=L$3,SUMIF('TL02'!$C$238:$C$451,$C344,'TL02'!$J$238:$J$451),0),
IF('TL03'!$B$3=L$3,SUMIF('TL03'!$C$10:$C$224,$C344,'TL03'!$J$10:$J$224),0),
IF('TL03'!$B$229=L$3,SUMIF('TL03'!$C$238:$C$451,$C344,'TL03'!$J$238:$J$451),0),
IF('TL04'!$B$3=L$3,SUMIF('TL04'!$C$10:$C$224,$C344,'TL04'!$J$10:$J$224),0),
IF('TL04'!$B$229=L$3,SUMIF('TL04'!$C$238:$C$451,$C344,'TL04'!$J$238:$J$451),0),
IF('TL05'!$B$3=L$3,SUMIF('TL05'!$C$10:$C$224,$C344,'TL05'!$J$10:$J$224),0),
IF('TL05'!$B$229=L$3,SUMIF('TL05'!$C$238:$C$451,$C344,'TL05'!$J$238:$J$451),0),
IF('TL06'!$B$3=L$3,SUMIF('TL06'!$C$10:$C$224,$C344,'TL06'!$J$10:$J$224),0),
IF('TL06'!$B$229=L$3,SUMIF('TL06'!$C$238:$C$451,$C344,'TL06'!$J$238:$J$451),0),
IF('TL07'!$B$3=L$3,SUMIF('TL07'!$C$10:$C$224,$C344,'TL07'!$J$10:$J$224),0),
IF('TL07'!$B$229=L$3,SUMIF('TL07'!$C$238:$C$451,$C344,'TL07'!$J$238:$J$451),0),
IF('TL08'!$B$3=L$3,SUMIF('TL08'!$C$10:$C$224,$C344,'TL08'!$J$10:$J$224),0),
IF('TL08'!$B$229=L$3,SUMIF('TL08'!$C$238:$C$451,$C344,'TL08'!$J$238:$J$451),0),
IF('TL09'!$B$3=L$3,SUMIF('TL09'!$C$10:$C$224,$C344,'TL09'!$J$10:$J$224),0),
IF('TL09'!$B$229=L$3,SUMIF('TL09'!$C$238:$C$451,$C344,'TL09'!$J$238:$J$451),0),
IF('TL10'!$B$3=L$3,SUMIF('TL10'!$C$10:$C$224,$C344,'TL10'!$J$10:$J$224),0),
IF('TL10'!$B$229=L$3,SUMIF('TL10'!$C$238:$C$451,$C344,'TL10'!$J$238:$J$451),0),
IF('TL11'!$B$3=L$3,SUMIF('TL11'!$C$10:$C$224,$C344,'TL11'!$J$10:$J$224),0),
IF('TL11'!$B$229=L$3,SUMIF('TL11'!$C$238:$C$451,$C344,'TL11'!$J$238:$J$451),0),
IF('TL12'!$B$3=L$3,SUMIF('TL12'!$C$10:$C$224,$C344,'TL12'!$J$10:$J$224),0),
IF('TL12'!$B$229=L$3,SUMIF('TL12'!$C$238:$C$451,$C344,'TL12'!$J$238:$J$451),0),
IF('TL13'!$B$3=L$3,SUMIF('TL13'!$C$10:$C$224,$C344,'TL13'!$J$10:$J$224),0),
IF('TL13'!$B$229=L$3,SUMIF('TL13'!$C$238:$C$451,$C344,'TL13'!$J$238:$J$451),0),
IF('TL14'!$B$3=L$3,SUMIF('TL14'!$C$10:$C$224,$C344,'TL14'!$J$10:$J$224),0),
IF('TL14'!$B$229=L$3,SUMIF('TL14'!$C$238:$C$451,$C344,'TL14'!$J$238:$J$451),0),
IF('TL15'!$B$3=L$3,SUMIF('TL15'!$C$10:$C$224,$C344,'TL15'!$J$10:$J$224),0),
IF('TL15'!$B$229=L$3,SUMIF('TL15'!$C$238:$C$451,$C344,'TL15'!$J$238:$J$451),0),
IF('TL16'!$B$3=L$3,SUMIF('TL16'!$C$10:$C$224,$C344,'TL16'!$J$10:$J$224),0),
IF('TL16'!$B$229=L$3,SUMIF('TL16'!$C$238:$C$451,$C344,'TL16'!$J$238:$J$451),0),
IF('TL17'!$B$3=L$3,SUMIF('TL17'!$C$10:$C$224,$C344,'TL17'!$J$10:$J$224),0),
IF('TL17'!$B$229=L$3,SUMIF('TL17'!$C$238:$C$451,$C344,'TL17'!$J$238:$J$451),0),
IF('TL18'!$B$3=L$3,SUMIF('TL18'!$C$10:$C$224,$C344,'TL18'!$J$10:$J$224),0),
IF('TL18'!$B$229=L$3,SUMIF('TL18'!$C$238:$C$451,$C344,'TL18'!$J$238:$J$451),0),
IF('TL19'!$B$3=L$3,SUMIF('TL19'!$C$10:$C$224,$C344,'TL19'!$J$10:$J$224),0),
IF('TL19'!$B$229=L$3,SUMIF('TL19'!$C$238:$C$451,$C344,'TL19'!$J$238:$J$451),0)
),0)</f>
        <v>0</v>
      </c>
      <c r="M344" s="9">
        <f>IFERROR(SUM(
IF('TL01'!$B$3=M$3,SUMIF('TL01'!$C$10:$C$224,$C344,'TL01'!$J$10:$J$224),0),
IF('TL01'!$B$229=M$3,SUMIF('TL01'!$C$238:$C$451,$C344,'TL01'!$J$238:$J$451),0),
IF('TL02'!$B$3=M$3,SUMIF('TL02'!$C$10:$C$224,$C344,'TL02'!$J$10:$J$224),0),
IF('TL02'!$B$229=M$3,SUMIF('TL02'!$C$238:$C$451,$C344,'TL02'!$J$238:$J$451),0),
IF('TL03'!$B$3=M$3,SUMIF('TL03'!$C$10:$C$224,$C344,'TL03'!$J$10:$J$224),0),
IF('TL03'!$B$229=M$3,SUMIF('TL03'!$C$238:$C$451,$C344,'TL03'!$J$238:$J$451),0),
IF('TL04'!$B$3=M$3,SUMIF('TL04'!$C$10:$C$224,$C344,'TL04'!$J$10:$J$224),0),
IF('TL04'!$B$229=M$3,SUMIF('TL04'!$C$238:$C$451,$C344,'TL04'!$J$238:$J$451),0),
IF('TL05'!$B$3=M$3,SUMIF('TL05'!$C$10:$C$224,$C344,'TL05'!$J$10:$J$224),0),
IF('TL05'!$B$229=M$3,SUMIF('TL05'!$C$238:$C$451,$C344,'TL05'!$J$238:$J$451),0),
IF('TL06'!$B$3=M$3,SUMIF('TL06'!$C$10:$C$224,$C344,'TL06'!$J$10:$J$224),0),
IF('TL06'!$B$229=M$3,SUMIF('TL06'!$C$238:$C$451,$C344,'TL06'!$J$238:$J$451),0),
IF('TL07'!$B$3=M$3,SUMIF('TL07'!$C$10:$C$224,$C344,'TL07'!$J$10:$J$224),0),
IF('TL07'!$B$229=M$3,SUMIF('TL07'!$C$238:$C$451,$C344,'TL07'!$J$238:$J$451),0),
IF('TL08'!$B$3=M$3,SUMIF('TL08'!$C$10:$C$224,$C344,'TL08'!$J$10:$J$224),0),
IF('TL08'!$B$229=M$3,SUMIF('TL08'!$C$238:$C$451,$C344,'TL08'!$J$238:$J$451),0),
IF('TL09'!$B$3=M$3,SUMIF('TL09'!$C$10:$C$224,$C344,'TL09'!$J$10:$J$224),0),
IF('TL09'!$B$229=M$3,SUMIF('TL09'!$C$238:$C$451,$C344,'TL09'!$J$238:$J$451),0),
IF('TL10'!$B$3=M$3,SUMIF('TL10'!$C$10:$C$224,$C344,'TL10'!$J$10:$J$224),0),
IF('TL10'!$B$229=M$3,SUMIF('TL10'!$C$238:$C$451,$C344,'TL10'!$J$238:$J$451),0),
IF('TL11'!$B$3=M$3,SUMIF('TL11'!$C$10:$C$224,$C344,'TL11'!$J$10:$J$224),0),
IF('TL11'!$B$229=M$3,SUMIF('TL11'!$C$238:$C$451,$C344,'TL11'!$J$238:$J$451),0),
IF('TL12'!$B$3=M$3,SUMIF('TL12'!$C$10:$C$224,$C344,'TL12'!$J$10:$J$224),0),
IF('TL12'!$B$229=M$3,SUMIF('TL12'!$C$238:$C$451,$C344,'TL12'!$J$238:$J$451),0),
IF('TL13'!$B$3=M$3,SUMIF('TL13'!$C$10:$C$224,$C344,'TL13'!$J$10:$J$224),0),
IF('TL13'!$B$229=M$3,SUMIF('TL13'!$C$238:$C$451,$C344,'TL13'!$J$238:$J$451),0),
IF('TL14'!$B$3=M$3,SUMIF('TL14'!$C$10:$C$224,$C344,'TL14'!$J$10:$J$224),0),
IF('TL14'!$B$229=M$3,SUMIF('TL14'!$C$238:$C$451,$C344,'TL14'!$J$238:$J$451),0),
IF('TL15'!$B$3=M$3,SUMIF('TL15'!$C$10:$C$224,$C344,'TL15'!$J$10:$J$224),0),
IF('TL15'!$B$229=M$3,SUMIF('TL15'!$C$238:$C$451,$C344,'TL15'!$J$238:$J$451),0),
IF('TL16'!$B$3=M$3,SUMIF('TL16'!$C$10:$C$224,$C344,'TL16'!$J$10:$J$224),0),
IF('TL16'!$B$229=M$3,SUMIF('TL16'!$C$238:$C$451,$C344,'TL16'!$J$238:$J$451),0),
IF('TL17'!$B$3=M$3,SUMIF('TL17'!$C$10:$C$224,$C344,'TL17'!$J$10:$J$224),0),
IF('TL17'!$B$229=M$3,SUMIF('TL17'!$C$238:$C$451,$C344,'TL17'!$J$238:$J$451),0),
IF('TL18'!$B$3=M$3,SUMIF('TL18'!$C$10:$C$224,$C344,'TL18'!$J$10:$J$224),0),
IF('TL18'!$B$229=M$3,SUMIF('TL18'!$C$238:$C$451,$C344,'TL18'!$J$238:$J$451),0),
IF('TL19'!$B$3=M$3,SUMIF('TL19'!$C$10:$C$224,$C344,'TL19'!$J$10:$J$224),0),
IF('TL19'!$B$229=M$3,SUMIF('TL19'!$C$238:$C$451,$C344,'TL19'!$J$238:$J$451),0)
),0)</f>
        <v>0</v>
      </c>
      <c r="N344" s="9">
        <f>IFERROR(SUM(
IF('TL01'!$B$3=N$3,SUMIF('TL01'!$C$10:$C$224,$C344,'TL01'!$J$10:$J$224),0),
IF('TL01'!$B$229=N$3,SUMIF('TL01'!$C$238:$C$451,$C344,'TL01'!$J$238:$J$451),0),
IF('TL02'!$B$3=N$3,SUMIF('TL02'!$C$10:$C$224,$C344,'TL02'!$J$10:$J$224),0),
IF('TL02'!$B$229=N$3,SUMIF('TL02'!$C$238:$C$451,$C344,'TL02'!$J$238:$J$451),0),
IF('TL03'!$B$3=N$3,SUMIF('TL03'!$C$10:$C$224,$C344,'TL03'!$J$10:$J$224),0),
IF('TL03'!$B$229=N$3,SUMIF('TL03'!$C$238:$C$451,$C344,'TL03'!$J$238:$J$451),0),
IF('TL04'!$B$3=N$3,SUMIF('TL04'!$C$10:$C$224,$C344,'TL04'!$J$10:$J$224),0),
IF('TL04'!$B$229=N$3,SUMIF('TL04'!$C$238:$C$451,$C344,'TL04'!$J$238:$J$451),0),
IF('TL05'!$B$3=N$3,SUMIF('TL05'!$C$10:$C$224,$C344,'TL05'!$J$10:$J$224),0),
IF('TL05'!$B$229=N$3,SUMIF('TL05'!$C$238:$C$451,$C344,'TL05'!$J$238:$J$451),0),
IF('TL06'!$B$3=N$3,SUMIF('TL06'!$C$10:$C$224,$C344,'TL06'!$J$10:$J$224),0),
IF('TL06'!$B$229=N$3,SUMIF('TL06'!$C$238:$C$451,$C344,'TL06'!$J$238:$J$451),0),
IF('TL07'!$B$3=N$3,SUMIF('TL07'!$C$10:$C$224,$C344,'TL07'!$J$10:$J$224),0),
IF('TL07'!$B$229=N$3,SUMIF('TL07'!$C$238:$C$451,$C344,'TL07'!$J$238:$J$451),0),
IF('TL08'!$B$3=N$3,SUMIF('TL08'!$C$10:$C$224,$C344,'TL08'!$J$10:$J$224),0),
IF('TL08'!$B$229=N$3,SUMIF('TL08'!$C$238:$C$451,$C344,'TL08'!$J$238:$J$451),0),
IF('TL09'!$B$3=N$3,SUMIF('TL09'!$C$10:$C$224,$C344,'TL09'!$J$10:$J$224),0),
IF('TL09'!$B$229=N$3,SUMIF('TL09'!$C$238:$C$451,$C344,'TL09'!$J$238:$J$451),0),
IF('TL10'!$B$3=N$3,SUMIF('TL10'!$C$10:$C$224,$C344,'TL10'!$J$10:$J$224),0),
IF('TL10'!$B$229=N$3,SUMIF('TL10'!$C$238:$C$451,$C344,'TL10'!$J$238:$J$451),0),
IF('TL11'!$B$3=N$3,SUMIF('TL11'!$C$10:$C$224,$C344,'TL11'!$J$10:$J$224),0),
IF('TL11'!$B$229=N$3,SUMIF('TL11'!$C$238:$C$451,$C344,'TL11'!$J$238:$J$451),0),
IF('TL12'!$B$3=N$3,SUMIF('TL12'!$C$10:$C$224,$C344,'TL12'!$J$10:$J$224),0),
IF('TL12'!$B$229=N$3,SUMIF('TL12'!$C$238:$C$451,$C344,'TL12'!$J$238:$J$451),0),
IF('TL13'!$B$3=N$3,SUMIF('TL13'!$C$10:$C$224,$C344,'TL13'!$J$10:$J$224),0),
IF('TL13'!$B$229=N$3,SUMIF('TL13'!$C$238:$C$451,$C344,'TL13'!$J$238:$J$451),0),
IF('TL14'!$B$3=N$3,SUMIF('TL14'!$C$10:$C$224,$C344,'TL14'!$J$10:$J$224),0),
IF('TL14'!$B$229=N$3,SUMIF('TL14'!$C$238:$C$451,$C344,'TL14'!$J$238:$J$451),0),
IF('TL15'!$B$3=N$3,SUMIF('TL15'!$C$10:$C$224,$C344,'TL15'!$J$10:$J$224),0),
IF('TL15'!$B$229=N$3,SUMIF('TL15'!$C$238:$C$451,$C344,'TL15'!$J$238:$J$451),0),
IF('TL16'!$B$3=N$3,SUMIF('TL16'!$C$10:$C$224,$C344,'TL16'!$J$10:$J$224),0),
IF('TL16'!$B$229=N$3,SUMIF('TL16'!$C$238:$C$451,$C344,'TL16'!$J$238:$J$451),0),
IF('TL17'!$B$3=N$3,SUMIF('TL17'!$C$10:$C$224,$C344,'TL17'!$J$10:$J$224),0),
IF('TL17'!$B$229=N$3,SUMIF('TL17'!$C$238:$C$451,$C344,'TL17'!$J$238:$J$451),0),
IF('TL18'!$B$3=N$3,SUMIF('TL18'!$C$10:$C$224,$C344,'TL18'!$J$10:$J$224),0),
IF('TL18'!$B$229=N$3,SUMIF('TL18'!$C$238:$C$451,$C344,'TL18'!$J$238:$J$451),0),
IF('TL19'!$B$3=N$3,SUMIF('TL19'!$C$10:$C$224,$C344,'TL19'!$J$10:$J$224),0),
IF('TL19'!$B$229=N$3,SUMIF('TL19'!$C$238:$C$451,$C344,'TL19'!$J$238:$J$451),0)
),0)</f>
        <v>0</v>
      </c>
      <c r="O344" s="9">
        <f>IFERROR(SUM(
IF('TL01'!$B$3=O$3,SUMIF('TL01'!$C$10:$C$224,$C344,'TL01'!$J$10:$J$224),0),
IF('TL01'!$B$229=O$3,SUMIF('TL01'!$C$238:$C$451,$C344,'TL01'!$J$238:$J$451),0),
IF('TL02'!$B$3=O$3,SUMIF('TL02'!$C$10:$C$224,$C344,'TL02'!$J$10:$J$224),0),
IF('TL02'!$B$229=O$3,SUMIF('TL02'!$C$238:$C$451,$C344,'TL02'!$J$238:$J$451),0),
IF('TL03'!$B$3=O$3,SUMIF('TL03'!$C$10:$C$224,$C344,'TL03'!$J$10:$J$224),0),
IF('TL03'!$B$229=O$3,SUMIF('TL03'!$C$238:$C$451,$C344,'TL03'!$J$238:$J$451),0),
IF('TL04'!$B$3=O$3,SUMIF('TL04'!$C$10:$C$224,$C344,'TL04'!$J$10:$J$224),0),
IF('TL04'!$B$229=O$3,SUMIF('TL04'!$C$238:$C$451,$C344,'TL04'!$J$238:$J$451),0),
IF('TL05'!$B$3=O$3,SUMIF('TL05'!$C$10:$C$224,$C344,'TL05'!$J$10:$J$224),0),
IF('TL05'!$B$229=O$3,SUMIF('TL05'!$C$238:$C$451,$C344,'TL05'!$J$238:$J$451),0),
IF('TL06'!$B$3=O$3,SUMIF('TL06'!$C$10:$C$224,$C344,'TL06'!$J$10:$J$224),0),
IF('TL06'!$B$229=O$3,SUMIF('TL06'!$C$238:$C$451,$C344,'TL06'!$J$238:$J$451),0),
IF('TL07'!$B$3=O$3,SUMIF('TL07'!$C$10:$C$224,$C344,'TL07'!$J$10:$J$224),0),
IF('TL07'!$B$229=O$3,SUMIF('TL07'!$C$238:$C$451,$C344,'TL07'!$J$238:$J$451),0),
IF('TL08'!$B$3=O$3,SUMIF('TL08'!$C$10:$C$224,$C344,'TL08'!$J$10:$J$224),0),
IF('TL08'!$B$229=O$3,SUMIF('TL08'!$C$238:$C$451,$C344,'TL08'!$J$238:$J$451),0),
IF('TL09'!$B$3=O$3,SUMIF('TL09'!$C$10:$C$224,$C344,'TL09'!$J$10:$J$224),0),
IF('TL09'!$B$229=O$3,SUMIF('TL09'!$C$238:$C$451,$C344,'TL09'!$J$238:$J$451),0),
IF('TL10'!$B$3=O$3,SUMIF('TL10'!$C$10:$C$224,$C344,'TL10'!$J$10:$J$224),0),
IF('TL10'!$B$229=O$3,SUMIF('TL10'!$C$238:$C$451,$C344,'TL10'!$J$238:$J$451),0),
IF('TL11'!$B$3=O$3,SUMIF('TL11'!$C$10:$C$224,$C344,'TL11'!$J$10:$J$224),0),
IF('TL11'!$B$229=O$3,SUMIF('TL11'!$C$238:$C$451,$C344,'TL11'!$J$238:$J$451),0),
IF('TL12'!$B$3=O$3,SUMIF('TL12'!$C$10:$C$224,$C344,'TL12'!$J$10:$J$224),0),
IF('TL12'!$B$229=O$3,SUMIF('TL12'!$C$238:$C$451,$C344,'TL12'!$J$238:$J$451),0),
IF('TL13'!$B$3=O$3,SUMIF('TL13'!$C$10:$C$224,$C344,'TL13'!$J$10:$J$224),0),
IF('TL13'!$B$229=O$3,SUMIF('TL13'!$C$238:$C$451,$C344,'TL13'!$J$238:$J$451),0),
IF('TL14'!$B$3=O$3,SUMIF('TL14'!$C$10:$C$224,$C344,'TL14'!$J$10:$J$224),0),
IF('TL14'!$B$229=O$3,SUMIF('TL14'!$C$238:$C$451,$C344,'TL14'!$J$238:$J$451),0),
IF('TL15'!$B$3=O$3,SUMIF('TL15'!$C$10:$C$224,$C344,'TL15'!$J$10:$J$224),0),
IF('TL15'!$B$229=O$3,SUMIF('TL15'!$C$238:$C$451,$C344,'TL15'!$J$238:$J$451),0),
IF('TL16'!$B$3=O$3,SUMIF('TL16'!$C$10:$C$224,$C344,'TL16'!$J$10:$J$224),0),
IF('TL16'!$B$229=O$3,SUMIF('TL16'!$C$238:$C$451,$C344,'TL16'!$J$238:$J$451),0),
IF('TL17'!$B$3=O$3,SUMIF('TL17'!$C$10:$C$224,$C344,'TL17'!$J$10:$J$224),0),
IF('TL17'!$B$229=O$3,SUMIF('TL17'!$C$238:$C$451,$C344,'TL17'!$J$238:$J$451),0),
IF('TL18'!$B$3=O$3,SUMIF('TL18'!$C$10:$C$224,$C344,'TL18'!$J$10:$J$224),0),
IF('TL18'!$B$229=O$3,SUMIF('TL18'!$C$238:$C$451,$C344,'TL18'!$J$238:$J$451),0),
IF('TL19'!$B$3=O$3,SUMIF('TL19'!$C$10:$C$224,$C344,'TL19'!$J$10:$J$224),0),
IF('TL19'!$B$229=O$3,SUMIF('TL19'!$C$238:$C$451,$C344,'TL19'!$J$238:$J$451),0)
),0)</f>
        <v>0</v>
      </c>
      <c r="P344" s="9">
        <f>IFERROR(SUM(
IF('TL01'!$B$3=P$3,SUMIF('TL01'!$C$10:$C$224,$C344,'TL01'!$J$10:$J$224),0),
IF('TL01'!$B$229=P$3,SUMIF('TL01'!$C$238:$C$451,$C344,'TL01'!$J$238:$J$451),0),
IF('TL02'!$B$3=P$3,SUMIF('TL02'!$C$10:$C$224,$C344,'TL02'!$J$10:$J$224),0),
IF('TL02'!$B$229=P$3,SUMIF('TL02'!$C$238:$C$451,$C344,'TL02'!$J$238:$J$451),0),
IF('TL03'!$B$3=P$3,SUMIF('TL03'!$C$10:$C$224,$C344,'TL03'!$J$10:$J$224),0),
IF('TL03'!$B$229=P$3,SUMIF('TL03'!$C$238:$C$451,$C344,'TL03'!$J$238:$J$451),0),
IF('TL04'!$B$3=P$3,SUMIF('TL04'!$C$10:$C$224,$C344,'TL04'!$J$10:$J$224),0),
IF('TL04'!$B$229=P$3,SUMIF('TL04'!$C$238:$C$451,$C344,'TL04'!$J$238:$J$451),0),
IF('TL05'!$B$3=P$3,SUMIF('TL05'!$C$10:$C$224,$C344,'TL05'!$J$10:$J$224),0),
IF('TL05'!$B$229=P$3,SUMIF('TL05'!$C$238:$C$451,$C344,'TL05'!$J$238:$J$451),0),
IF('TL06'!$B$3=P$3,SUMIF('TL06'!$C$10:$C$224,$C344,'TL06'!$J$10:$J$224),0),
IF('TL06'!$B$229=P$3,SUMIF('TL06'!$C$238:$C$451,$C344,'TL06'!$J$238:$J$451),0),
IF('TL07'!$B$3=P$3,SUMIF('TL07'!$C$10:$C$224,$C344,'TL07'!$J$10:$J$224),0),
IF('TL07'!$B$229=P$3,SUMIF('TL07'!$C$238:$C$451,$C344,'TL07'!$J$238:$J$451),0),
IF('TL08'!$B$3=P$3,SUMIF('TL08'!$C$10:$C$224,$C344,'TL08'!$J$10:$J$224),0),
IF('TL08'!$B$229=P$3,SUMIF('TL08'!$C$238:$C$451,$C344,'TL08'!$J$238:$J$451),0),
IF('TL09'!$B$3=P$3,SUMIF('TL09'!$C$10:$C$224,$C344,'TL09'!$J$10:$J$224),0),
IF('TL09'!$B$229=P$3,SUMIF('TL09'!$C$238:$C$451,$C344,'TL09'!$J$238:$J$451),0),
IF('TL10'!$B$3=P$3,SUMIF('TL10'!$C$10:$C$224,$C344,'TL10'!$J$10:$J$224),0),
IF('TL10'!$B$229=P$3,SUMIF('TL10'!$C$238:$C$451,$C344,'TL10'!$J$238:$J$451),0),
IF('TL11'!$B$3=P$3,SUMIF('TL11'!$C$10:$C$224,$C344,'TL11'!$J$10:$J$224),0),
IF('TL11'!$B$229=P$3,SUMIF('TL11'!$C$238:$C$451,$C344,'TL11'!$J$238:$J$451),0),
IF('TL12'!$B$3=P$3,SUMIF('TL12'!$C$10:$C$224,$C344,'TL12'!$J$10:$J$224),0),
IF('TL12'!$B$229=P$3,SUMIF('TL12'!$C$238:$C$451,$C344,'TL12'!$J$238:$J$451),0),
IF('TL13'!$B$3=P$3,SUMIF('TL13'!$C$10:$C$224,$C344,'TL13'!$J$10:$J$224),0),
IF('TL13'!$B$229=P$3,SUMIF('TL13'!$C$238:$C$451,$C344,'TL13'!$J$238:$J$451),0),
IF('TL14'!$B$3=P$3,SUMIF('TL14'!$C$10:$C$224,$C344,'TL14'!$J$10:$J$224),0),
IF('TL14'!$B$229=P$3,SUMIF('TL14'!$C$238:$C$451,$C344,'TL14'!$J$238:$J$451),0),
IF('TL15'!$B$3=P$3,SUMIF('TL15'!$C$10:$C$224,$C344,'TL15'!$J$10:$J$224),0),
IF('TL15'!$B$229=P$3,SUMIF('TL15'!$C$238:$C$451,$C344,'TL15'!$J$238:$J$451),0),
IF('TL16'!$B$3=P$3,SUMIF('TL16'!$C$10:$C$224,$C344,'TL16'!$J$10:$J$224),0),
IF('TL16'!$B$229=P$3,SUMIF('TL16'!$C$238:$C$451,$C344,'TL16'!$J$238:$J$451),0),
IF('TL17'!$B$3=P$3,SUMIF('TL17'!$C$10:$C$224,$C344,'TL17'!$J$10:$J$224),0),
IF('TL17'!$B$229=P$3,SUMIF('TL17'!$C$238:$C$451,$C344,'TL17'!$J$238:$J$451),0),
IF('TL18'!$B$3=P$3,SUMIF('TL18'!$C$10:$C$224,$C344,'TL18'!$J$10:$J$224),0),
IF('TL18'!$B$229=P$3,SUMIF('TL18'!$C$238:$C$451,$C344,'TL18'!$J$238:$J$451),0),
IF('TL19'!$B$3=P$3,SUMIF('TL19'!$C$10:$C$224,$C344,'TL19'!$J$10:$J$224),0),
IF('TL19'!$B$229=P$3,SUMIF('TL19'!$C$238:$C$451,$C344,'TL19'!$J$238:$J$451),0)
),0)</f>
        <v>0</v>
      </c>
      <c r="Q344" s="9">
        <f>IFERROR(SUM(
IF('TL01'!$B$3=Q$3,SUMIF('TL01'!$C$10:$C$224,$C344,'TL01'!$J$10:$J$224),0),
IF('TL01'!$B$229=Q$3,SUMIF('TL01'!$C$238:$C$451,$C344,'TL01'!$J$238:$J$451),0),
IF('TL02'!$B$3=Q$3,SUMIF('TL02'!$C$10:$C$224,$C344,'TL02'!$J$10:$J$224),0),
IF('TL02'!$B$229=Q$3,SUMIF('TL02'!$C$238:$C$451,$C344,'TL02'!$J$238:$J$451),0),
IF('TL03'!$B$3=Q$3,SUMIF('TL03'!$C$10:$C$224,$C344,'TL03'!$J$10:$J$224),0),
IF('TL03'!$B$229=Q$3,SUMIF('TL03'!$C$238:$C$451,$C344,'TL03'!$J$238:$J$451),0),
IF('TL04'!$B$3=Q$3,SUMIF('TL04'!$C$10:$C$224,$C344,'TL04'!$J$10:$J$224),0),
IF('TL04'!$B$229=Q$3,SUMIF('TL04'!$C$238:$C$451,$C344,'TL04'!$J$238:$J$451),0),
IF('TL05'!$B$3=Q$3,SUMIF('TL05'!$C$10:$C$224,$C344,'TL05'!$J$10:$J$224),0),
IF('TL05'!$B$229=Q$3,SUMIF('TL05'!$C$238:$C$451,$C344,'TL05'!$J$238:$J$451),0),
IF('TL06'!$B$3=Q$3,SUMIF('TL06'!$C$10:$C$224,$C344,'TL06'!$J$10:$J$224),0),
IF('TL06'!$B$229=Q$3,SUMIF('TL06'!$C$238:$C$451,$C344,'TL06'!$J$238:$J$451),0),
IF('TL07'!$B$3=Q$3,SUMIF('TL07'!$C$10:$C$224,$C344,'TL07'!$J$10:$J$224),0),
IF('TL07'!$B$229=Q$3,SUMIF('TL07'!$C$238:$C$451,$C344,'TL07'!$J$238:$J$451),0),
IF('TL08'!$B$3=Q$3,SUMIF('TL08'!$C$10:$C$224,$C344,'TL08'!$J$10:$J$224),0),
IF('TL08'!$B$229=Q$3,SUMIF('TL08'!$C$238:$C$451,$C344,'TL08'!$J$238:$J$451),0),
IF('TL09'!$B$3=Q$3,SUMIF('TL09'!$C$10:$C$224,$C344,'TL09'!$J$10:$J$224),0),
IF('TL09'!$B$229=Q$3,SUMIF('TL09'!$C$238:$C$451,$C344,'TL09'!$J$238:$J$451),0),
IF('TL10'!$B$3=Q$3,SUMIF('TL10'!$C$10:$C$224,$C344,'TL10'!$J$10:$J$224),0),
IF('TL10'!$B$229=Q$3,SUMIF('TL10'!$C$238:$C$451,$C344,'TL10'!$J$238:$J$451),0),
IF('TL11'!$B$3=Q$3,SUMIF('TL11'!$C$10:$C$224,$C344,'TL11'!$J$10:$J$224),0),
IF('TL11'!$B$229=Q$3,SUMIF('TL11'!$C$238:$C$451,$C344,'TL11'!$J$238:$J$451),0),
IF('TL12'!$B$3=Q$3,SUMIF('TL12'!$C$10:$C$224,$C344,'TL12'!$J$10:$J$224),0),
IF('TL12'!$B$229=Q$3,SUMIF('TL12'!$C$238:$C$451,$C344,'TL12'!$J$238:$J$451),0),
IF('TL13'!$B$3=Q$3,SUMIF('TL13'!$C$10:$C$224,$C344,'TL13'!$J$10:$J$224),0),
IF('TL13'!$B$229=Q$3,SUMIF('TL13'!$C$238:$C$451,$C344,'TL13'!$J$238:$J$451),0),
IF('TL14'!$B$3=Q$3,SUMIF('TL14'!$C$10:$C$224,$C344,'TL14'!$J$10:$J$224),0),
IF('TL14'!$B$229=Q$3,SUMIF('TL14'!$C$238:$C$451,$C344,'TL14'!$J$238:$J$451),0),
IF('TL15'!$B$3=Q$3,SUMIF('TL15'!$C$10:$C$224,$C344,'TL15'!$J$10:$J$224),0),
IF('TL15'!$B$229=Q$3,SUMIF('TL15'!$C$238:$C$451,$C344,'TL15'!$J$238:$J$451),0),
IF('TL16'!$B$3=Q$3,SUMIF('TL16'!$C$10:$C$224,$C344,'TL16'!$J$10:$J$224),0),
IF('TL16'!$B$229=Q$3,SUMIF('TL16'!$C$238:$C$451,$C344,'TL16'!$J$238:$J$451),0),
IF('TL17'!$B$3=Q$3,SUMIF('TL17'!$C$10:$C$224,$C344,'TL17'!$J$10:$J$224),0),
IF('TL17'!$B$229=Q$3,SUMIF('TL17'!$C$238:$C$451,$C344,'TL17'!$J$238:$J$451),0),
IF('TL18'!$B$3=Q$3,SUMIF('TL18'!$C$10:$C$224,$C344,'TL18'!$J$10:$J$224),0),
IF('TL18'!$B$229=Q$3,SUMIF('TL18'!$C$238:$C$451,$C344,'TL18'!$J$238:$J$451),0),
IF('TL19'!$B$3=Q$3,SUMIF('TL19'!$C$10:$C$224,$C344,'TL19'!$J$10:$J$224),0),
IF('TL19'!$B$229=Q$3,SUMIF('TL19'!$C$238:$C$451,$C344,'TL19'!$J$238:$J$451),0)
),0)</f>
        <v>0</v>
      </c>
      <c r="R344" s="9">
        <f>IFERROR(
SUM(
SUMIF('TL01'!C:C,C344,'TL01'!J:J),
SUMIF('TL02'!C:C,C344,'TL02'!J:J),
SUMIF('TL03'!C:C,C344,'TL03'!J:J),
SUMIF('TL04'!C:C,C344,'TL04'!J:J),
SUMIF('TL05'!C:C,C344,'TL05'!J:J),
SUMIF('TL06'!C:C,C344,'TL06'!J:J),
SUMIF('TL07'!C:C,C344,'TL07'!J:J),
SUMIF('TL08'!C:C,C344,'TL08'!J:J),
SUMIF('TL09'!C:C,C344,'TL09'!J:J),
SUMIF('TL10'!C:C,C344,'TL10'!J:J),
SUMIF('TL11'!C:C,C344,'TL11'!J:J),
SUMIF('TL12'!C:C,C344,'TL12'!J:J),
SUMIF('TL13'!C:C,C344,'TL13'!J:J),
SUMIF('TL14'!C:C,C344,'TL14'!J:J),
SUMIF('TL15'!C:C,C344,'TL15'!J:J),
SUMIF('TL16'!C:C,C344,'TL16'!J:J),
SUMIF('TL17'!C:C,C344,'TL17'!J:J),
SUMIF('TL18'!C:C,C344,'TL18'!J:J),SUMIF('TL19'!C:C,C344,'TL19'!J:J))
,0)</f>
        <v>0</v>
      </c>
      <c r="S344" s="17" t="str">
        <f>IFERROR(__xludf.DUMMYFUNCTION("IFERROR(VLOOKUP(C344,
IMPORTRANGE(""1wULbzX32WdYsx-lj2U3uUNBBe2INVIRDtcK0d-Dvl90"",
""26-27!C:G""),
5,
FALSE),
"""")"),"")</f>
        <v/>
      </c>
      <c r="T344" s="9"/>
      <c r="U344" s="92">
        <f t="shared" si="2"/>
        <v>0</v>
      </c>
      <c r="V344" s="93">
        <f t="shared" si="3"/>
        <v>0</v>
      </c>
    </row>
    <row r="345" ht="15.75" hidden="1" customHeight="1">
      <c r="A345" s="4"/>
      <c r="B345" s="125" t="s">
        <v>5</v>
      </c>
      <c r="C345" s="4" t="s">
        <v>1066</v>
      </c>
      <c r="D345" s="6"/>
      <c r="E345" s="9"/>
      <c r="F345" s="4" t="s">
        <v>1042</v>
      </c>
      <c r="G345" s="90" t="str">
        <f t="shared" si="5"/>
        <v>📄 Ver bula</v>
      </c>
      <c r="H345" s="9"/>
      <c r="I345" s="1" t="s">
        <v>1043</v>
      </c>
      <c r="J345" s="9">
        <f>IFERROR(SUM(
IF('TL01'!$B$3=J$3,SUMIF('TL01'!$C$10:$C$224,$C345,'TL01'!$J$10:$J$224),0),
IF('TL01'!$B$229=J$3,SUMIF('TL01'!$C$238:$C$451,$C345,'TL01'!$J$238:$J$451),0),
IF('TL02'!$B$3=J$3,SUMIF('TL02'!$C$10:$C$224,$C345,'TL02'!$J$10:$J$224),0),
IF('TL02'!$B$229=J$3,SUMIF('TL02'!$C$238:$C$451,$C345,'TL02'!$J$238:$J$451),0),
IF('TL03'!$B$3=J$3,SUMIF('TL03'!$C$10:$C$224,$C345,'TL03'!$J$10:$J$224),0),
IF('TL03'!$B$229=J$3,SUMIF('TL03'!$C$238:$C$451,$C345,'TL03'!$J$238:$J$451),0),
IF('TL04'!$B$3=J$3,SUMIF('TL04'!$C$10:$C$224,$C345,'TL04'!$J$10:$J$224),0),
IF('TL04'!$B$229=J$3,SUMIF('TL04'!$C$238:$C$451,$C345,'TL04'!$J$238:$J$451),0),
IF('TL05'!$B$3=J$3,SUMIF('TL05'!$C$10:$C$224,$C345,'TL05'!$J$10:$J$224),0),
IF('TL05'!$B$229=J$3,SUMIF('TL05'!$C$238:$C$451,$C345,'TL05'!$J$238:$J$451),0),
IF('TL06'!$B$3=J$3,SUMIF('TL06'!$C$10:$C$224,$C345,'TL06'!$J$10:$J$224),0),
IF('TL06'!$B$229=J$3,SUMIF('TL06'!$C$238:$C$451,$C345,'TL06'!$J$238:$J$451),0),
IF('TL07'!$B$3=J$3,SUMIF('TL07'!$C$10:$C$224,$C345,'TL07'!$J$10:$J$224),0),
IF('TL07'!$B$229=J$3,SUMIF('TL07'!$C$238:$C$451,$C345,'TL07'!$J$238:$J$451),0),
IF('TL08'!$B$3=J$3,SUMIF('TL08'!$C$10:$C$224,$C345,'TL08'!$J$10:$J$224),0),
IF('TL08'!$B$229=J$3,SUMIF('TL08'!$C$238:$C$451,$C345,'TL08'!$J$238:$J$451),0),
IF('TL09'!$B$3=J$3,SUMIF('TL09'!$C$10:$C$224,$C345,'TL09'!$J$10:$J$224),0),
IF('TL09'!$B$229=J$3,SUMIF('TL09'!$C$238:$C$451,$C345,'TL09'!$J$238:$J$451),0),
IF('TL10'!$B$3=J$3,SUMIF('TL10'!$C$10:$C$224,$C345,'TL10'!$J$10:$J$224),0),
IF('TL10'!$B$229=J$3,SUMIF('TL10'!$C$238:$C$451,$C345,'TL10'!$J$238:$J$451),0),
IF('TL11'!$B$3=J$3,SUMIF('TL11'!$C$10:$C$224,$C345,'TL11'!$J$10:$J$224),0),
IF('TL11'!$B$229=J$3,SUMIF('TL11'!$C$238:$C$451,$C345,'TL11'!$J$238:$J$451),0),
IF('TL12'!$B$3=J$3,SUMIF('TL12'!$C$10:$C$224,$C345,'TL12'!$J$10:$J$224),0),
IF('TL12'!$B$229=J$3,SUMIF('TL12'!$C$238:$C$451,$C345,'TL12'!$J$238:$J$451),0),
IF('TL13'!$B$3=J$3,SUMIF('TL13'!$C$10:$C$224,$C345,'TL13'!$J$10:$J$224),0),
IF('TL13'!$B$229=J$3,SUMIF('TL13'!$C$238:$C$451,$C345,'TL13'!$J$238:$J$451),0),
IF('TL14'!$B$3=J$3,SUMIF('TL14'!$C$10:$C$224,$C345,'TL14'!$J$10:$J$224),0),
IF('TL14'!$B$229=J$3,SUMIF('TL14'!$C$238:$C$451,$C345,'TL14'!$J$238:$J$451),0),
IF('TL15'!$B$3=J$3,SUMIF('TL15'!$C$10:$C$224,$C345,'TL15'!$J$10:$J$224),0),
IF('TL15'!$B$229=J$3,SUMIF('TL15'!$C$238:$C$451,$C345,'TL15'!$J$238:$J$451),0),
IF('TL16'!$B$3=J$3,SUMIF('TL16'!$C$10:$C$224,$C345,'TL16'!$J$10:$J$224),0),
IF('TL16'!$B$229=J$3,SUMIF('TL16'!$C$238:$C$451,$C345,'TL16'!$J$238:$J$451),0),
IF('TL17'!$B$3=J$3,SUMIF('TL17'!$C$10:$C$224,$C345,'TL17'!$J$10:$J$224),0),
IF('TL17'!$B$229=J$3,SUMIF('TL17'!$C$238:$C$451,$C345,'TL17'!$J$238:$J$451),0),
IF('TL18'!$B$3=J$3,SUMIF('TL18'!$C$10:$C$224,$C345,'TL18'!$J$10:$J$224),0),
IF('TL18'!$B$229=J$3,SUMIF('TL18'!$C$238:$C$451,$C345,'TL18'!$J$238:$J$451),0),
IF('TL19'!$B$3=J$3,SUMIF('TL19'!$C$10:$C$224,$C345,'TL19'!$J$10:$J$224),0),
IF('TL19'!$B$229=J$3,SUMIF('TL19'!$C$238:$C$451,$C345,'TL19'!$J$238:$J$451),0)
),0)</f>
        <v>0</v>
      </c>
      <c r="K345" s="9">
        <f>IFERROR(SUM(
IF('TL01'!$B$3=K$3,SUMIF('TL01'!$C$10:$C$224,$C345,'TL01'!$J$10:$J$224),0),
IF('TL01'!$B$229=K$3,SUMIF('TL01'!$C$238:$C$451,$C345,'TL01'!$J$238:$J$451),0),
IF('TL02'!$B$3=K$3,SUMIF('TL02'!$C$10:$C$224,$C345,'TL02'!$J$10:$J$224),0),
IF('TL02'!$B$229=K$3,SUMIF('TL02'!$C$238:$C$451,$C345,'TL02'!$J$238:$J$451),0),
IF('TL03'!$B$3=K$3,SUMIF('TL03'!$C$10:$C$224,$C345,'TL03'!$J$10:$J$224),0),
IF('TL03'!$B$229=K$3,SUMIF('TL03'!$C$238:$C$451,$C345,'TL03'!$J$238:$J$451),0),
IF('TL04'!$B$3=K$3,SUMIF('TL04'!$C$10:$C$224,$C345,'TL04'!$J$10:$J$224),0),
IF('TL04'!$B$229=K$3,SUMIF('TL04'!$C$238:$C$451,$C345,'TL04'!$J$238:$J$451),0),
IF('TL05'!$B$3=K$3,SUMIF('TL05'!$C$10:$C$224,$C345,'TL05'!$J$10:$J$224),0),
IF('TL05'!$B$229=K$3,SUMIF('TL05'!$C$238:$C$451,$C345,'TL05'!$J$238:$J$451),0),
IF('TL06'!$B$3=K$3,SUMIF('TL06'!$C$10:$C$224,$C345,'TL06'!$J$10:$J$224),0),
IF('TL06'!$B$229=K$3,SUMIF('TL06'!$C$238:$C$451,$C345,'TL06'!$J$238:$J$451),0),
IF('TL07'!$B$3=K$3,SUMIF('TL07'!$C$10:$C$224,$C345,'TL07'!$J$10:$J$224),0),
IF('TL07'!$B$229=K$3,SUMIF('TL07'!$C$238:$C$451,$C345,'TL07'!$J$238:$J$451),0),
IF('TL08'!$B$3=K$3,SUMIF('TL08'!$C$10:$C$224,$C345,'TL08'!$J$10:$J$224),0),
IF('TL08'!$B$229=K$3,SUMIF('TL08'!$C$238:$C$451,$C345,'TL08'!$J$238:$J$451),0),
IF('TL09'!$B$3=K$3,SUMIF('TL09'!$C$10:$C$224,$C345,'TL09'!$J$10:$J$224),0),
IF('TL09'!$B$229=K$3,SUMIF('TL09'!$C$238:$C$451,$C345,'TL09'!$J$238:$J$451),0),
IF('TL10'!$B$3=K$3,SUMIF('TL10'!$C$10:$C$224,$C345,'TL10'!$J$10:$J$224),0),
IF('TL10'!$B$229=K$3,SUMIF('TL10'!$C$238:$C$451,$C345,'TL10'!$J$238:$J$451),0),
IF('TL11'!$B$3=K$3,SUMIF('TL11'!$C$10:$C$224,$C345,'TL11'!$J$10:$J$224),0),
IF('TL11'!$B$229=K$3,SUMIF('TL11'!$C$238:$C$451,$C345,'TL11'!$J$238:$J$451),0),
IF('TL12'!$B$3=K$3,SUMIF('TL12'!$C$10:$C$224,$C345,'TL12'!$J$10:$J$224),0),
IF('TL12'!$B$229=K$3,SUMIF('TL12'!$C$238:$C$451,$C345,'TL12'!$J$238:$J$451),0),
IF('TL13'!$B$3=K$3,SUMIF('TL13'!$C$10:$C$224,$C345,'TL13'!$J$10:$J$224),0),
IF('TL13'!$B$229=K$3,SUMIF('TL13'!$C$238:$C$451,$C345,'TL13'!$J$238:$J$451),0),
IF('TL14'!$B$3=K$3,SUMIF('TL14'!$C$10:$C$224,$C345,'TL14'!$J$10:$J$224),0),
IF('TL14'!$B$229=K$3,SUMIF('TL14'!$C$238:$C$451,$C345,'TL14'!$J$238:$J$451),0),
IF('TL15'!$B$3=K$3,SUMIF('TL15'!$C$10:$C$224,$C345,'TL15'!$J$10:$J$224),0),
IF('TL15'!$B$229=K$3,SUMIF('TL15'!$C$238:$C$451,$C345,'TL15'!$J$238:$J$451),0),
IF('TL16'!$B$3=K$3,SUMIF('TL16'!$C$10:$C$224,$C345,'TL16'!$J$10:$J$224),0),
IF('TL16'!$B$229=K$3,SUMIF('TL16'!$C$238:$C$451,$C345,'TL16'!$J$238:$J$451),0),
IF('TL17'!$B$3=K$3,SUMIF('TL17'!$C$10:$C$224,$C345,'TL17'!$J$10:$J$224),0),
IF('TL17'!$B$229=K$3,SUMIF('TL17'!$C$238:$C$451,$C345,'TL17'!$J$238:$J$451),0),
IF('TL18'!$B$3=K$3,SUMIF('TL18'!$C$10:$C$224,$C345,'TL18'!$J$10:$J$224),0),
IF('TL18'!$B$229=K$3,SUMIF('TL18'!$C$238:$C$451,$C345,'TL18'!$J$238:$J$451),0),
IF('TL19'!$B$3=K$3,SUMIF('TL19'!$C$10:$C$224,$C345,'TL19'!$J$10:$J$224),0),
IF('TL19'!$B$229=K$3,SUMIF('TL19'!$C$238:$C$451,$C345,'TL19'!$J$238:$J$451),0)
),0)</f>
        <v>0</v>
      </c>
      <c r="L345" s="9">
        <f>IFERROR(SUM(
IF('TL01'!$B$3=L$3,SUMIF('TL01'!$C$10:$C$224,$C345,'TL01'!$J$10:$J$224),0),
IF('TL01'!$B$229=L$3,SUMIF('TL01'!$C$238:$C$451,$C345,'TL01'!$J$238:$J$451),0),
IF('TL02'!$B$3=L$3,SUMIF('TL02'!$C$10:$C$224,$C345,'TL02'!$J$10:$J$224),0),
IF('TL02'!$B$229=L$3,SUMIF('TL02'!$C$238:$C$451,$C345,'TL02'!$J$238:$J$451),0),
IF('TL03'!$B$3=L$3,SUMIF('TL03'!$C$10:$C$224,$C345,'TL03'!$J$10:$J$224),0),
IF('TL03'!$B$229=L$3,SUMIF('TL03'!$C$238:$C$451,$C345,'TL03'!$J$238:$J$451),0),
IF('TL04'!$B$3=L$3,SUMIF('TL04'!$C$10:$C$224,$C345,'TL04'!$J$10:$J$224),0),
IF('TL04'!$B$229=L$3,SUMIF('TL04'!$C$238:$C$451,$C345,'TL04'!$J$238:$J$451),0),
IF('TL05'!$B$3=L$3,SUMIF('TL05'!$C$10:$C$224,$C345,'TL05'!$J$10:$J$224),0),
IF('TL05'!$B$229=L$3,SUMIF('TL05'!$C$238:$C$451,$C345,'TL05'!$J$238:$J$451),0),
IF('TL06'!$B$3=L$3,SUMIF('TL06'!$C$10:$C$224,$C345,'TL06'!$J$10:$J$224),0),
IF('TL06'!$B$229=L$3,SUMIF('TL06'!$C$238:$C$451,$C345,'TL06'!$J$238:$J$451),0),
IF('TL07'!$B$3=L$3,SUMIF('TL07'!$C$10:$C$224,$C345,'TL07'!$J$10:$J$224),0),
IF('TL07'!$B$229=L$3,SUMIF('TL07'!$C$238:$C$451,$C345,'TL07'!$J$238:$J$451),0),
IF('TL08'!$B$3=L$3,SUMIF('TL08'!$C$10:$C$224,$C345,'TL08'!$J$10:$J$224),0),
IF('TL08'!$B$229=L$3,SUMIF('TL08'!$C$238:$C$451,$C345,'TL08'!$J$238:$J$451),0),
IF('TL09'!$B$3=L$3,SUMIF('TL09'!$C$10:$C$224,$C345,'TL09'!$J$10:$J$224),0),
IF('TL09'!$B$229=L$3,SUMIF('TL09'!$C$238:$C$451,$C345,'TL09'!$J$238:$J$451),0),
IF('TL10'!$B$3=L$3,SUMIF('TL10'!$C$10:$C$224,$C345,'TL10'!$J$10:$J$224),0),
IF('TL10'!$B$229=L$3,SUMIF('TL10'!$C$238:$C$451,$C345,'TL10'!$J$238:$J$451),0),
IF('TL11'!$B$3=L$3,SUMIF('TL11'!$C$10:$C$224,$C345,'TL11'!$J$10:$J$224),0),
IF('TL11'!$B$229=L$3,SUMIF('TL11'!$C$238:$C$451,$C345,'TL11'!$J$238:$J$451),0),
IF('TL12'!$B$3=L$3,SUMIF('TL12'!$C$10:$C$224,$C345,'TL12'!$J$10:$J$224),0),
IF('TL12'!$B$229=L$3,SUMIF('TL12'!$C$238:$C$451,$C345,'TL12'!$J$238:$J$451),0),
IF('TL13'!$B$3=L$3,SUMIF('TL13'!$C$10:$C$224,$C345,'TL13'!$J$10:$J$224),0),
IF('TL13'!$B$229=L$3,SUMIF('TL13'!$C$238:$C$451,$C345,'TL13'!$J$238:$J$451),0),
IF('TL14'!$B$3=L$3,SUMIF('TL14'!$C$10:$C$224,$C345,'TL14'!$J$10:$J$224),0),
IF('TL14'!$B$229=L$3,SUMIF('TL14'!$C$238:$C$451,$C345,'TL14'!$J$238:$J$451),0),
IF('TL15'!$B$3=L$3,SUMIF('TL15'!$C$10:$C$224,$C345,'TL15'!$J$10:$J$224),0),
IF('TL15'!$B$229=L$3,SUMIF('TL15'!$C$238:$C$451,$C345,'TL15'!$J$238:$J$451),0),
IF('TL16'!$B$3=L$3,SUMIF('TL16'!$C$10:$C$224,$C345,'TL16'!$J$10:$J$224),0),
IF('TL16'!$B$229=L$3,SUMIF('TL16'!$C$238:$C$451,$C345,'TL16'!$J$238:$J$451),0),
IF('TL17'!$B$3=L$3,SUMIF('TL17'!$C$10:$C$224,$C345,'TL17'!$J$10:$J$224),0),
IF('TL17'!$B$229=L$3,SUMIF('TL17'!$C$238:$C$451,$C345,'TL17'!$J$238:$J$451),0),
IF('TL18'!$B$3=L$3,SUMIF('TL18'!$C$10:$C$224,$C345,'TL18'!$J$10:$J$224),0),
IF('TL18'!$B$229=L$3,SUMIF('TL18'!$C$238:$C$451,$C345,'TL18'!$J$238:$J$451),0),
IF('TL19'!$B$3=L$3,SUMIF('TL19'!$C$10:$C$224,$C345,'TL19'!$J$10:$J$224),0),
IF('TL19'!$B$229=L$3,SUMIF('TL19'!$C$238:$C$451,$C345,'TL19'!$J$238:$J$451),0)
),0)</f>
        <v>0</v>
      </c>
      <c r="M345" s="9">
        <f>IFERROR(SUM(
IF('TL01'!$B$3=M$3,SUMIF('TL01'!$C$10:$C$224,$C345,'TL01'!$J$10:$J$224),0),
IF('TL01'!$B$229=M$3,SUMIF('TL01'!$C$238:$C$451,$C345,'TL01'!$J$238:$J$451),0),
IF('TL02'!$B$3=M$3,SUMIF('TL02'!$C$10:$C$224,$C345,'TL02'!$J$10:$J$224),0),
IF('TL02'!$B$229=M$3,SUMIF('TL02'!$C$238:$C$451,$C345,'TL02'!$J$238:$J$451),0),
IF('TL03'!$B$3=M$3,SUMIF('TL03'!$C$10:$C$224,$C345,'TL03'!$J$10:$J$224),0),
IF('TL03'!$B$229=M$3,SUMIF('TL03'!$C$238:$C$451,$C345,'TL03'!$J$238:$J$451),0),
IF('TL04'!$B$3=M$3,SUMIF('TL04'!$C$10:$C$224,$C345,'TL04'!$J$10:$J$224),0),
IF('TL04'!$B$229=M$3,SUMIF('TL04'!$C$238:$C$451,$C345,'TL04'!$J$238:$J$451),0),
IF('TL05'!$B$3=M$3,SUMIF('TL05'!$C$10:$C$224,$C345,'TL05'!$J$10:$J$224),0),
IF('TL05'!$B$229=M$3,SUMIF('TL05'!$C$238:$C$451,$C345,'TL05'!$J$238:$J$451),0),
IF('TL06'!$B$3=M$3,SUMIF('TL06'!$C$10:$C$224,$C345,'TL06'!$J$10:$J$224),0),
IF('TL06'!$B$229=M$3,SUMIF('TL06'!$C$238:$C$451,$C345,'TL06'!$J$238:$J$451),0),
IF('TL07'!$B$3=M$3,SUMIF('TL07'!$C$10:$C$224,$C345,'TL07'!$J$10:$J$224),0),
IF('TL07'!$B$229=M$3,SUMIF('TL07'!$C$238:$C$451,$C345,'TL07'!$J$238:$J$451),0),
IF('TL08'!$B$3=M$3,SUMIF('TL08'!$C$10:$C$224,$C345,'TL08'!$J$10:$J$224),0),
IF('TL08'!$B$229=M$3,SUMIF('TL08'!$C$238:$C$451,$C345,'TL08'!$J$238:$J$451),0),
IF('TL09'!$B$3=M$3,SUMIF('TL09'!$C$10:$C$224,$C345,'TL09'!$J$10:$J$224),0),
IF('TL09'!$B$229=M$3,SUMIF('TL09'!$C$238:$C$451,$C345,'TL09'!$J$238:$J$451),0),
IF('TL10'!$B$3=M$3,SUMIF('TL10'!$C$10:$C$224,$C345,'TL10'!$J$10:$J$224),0),
IF('TL10'!$B$229=M$3,SUMIF('TL10'!$C$238:$C$451,$C345,'TL10'!$J$238:$J$451),0),
IF('TL11'!$B$3=M$3,SUMIF('TL11'!$C$10:$C$224,$C345,'TL11'!$J$10:$J$224),0),
IF('TL11'!$B$229=M$3,SUMIF('TL11'!$C$238:$C$451,$C345,'TL11'!$J$238:$J$451),0),
IF('TL12'!$B$3=M$3,SUMIF('TL12'!$C$10:$C$224,$C345,'TL12'!$J$10:$J$224),0),
IF('TL12'!$B$229=M$3,SUMIF('TL12'!$C$238:$C$451,$C345,'TL12'!$J$238:$J$451),0),
IF('TL13'!$B$3=M$3,SUMIF('TL13'!$C$10:$C$224,$C345,'TL13'!$J$10:$J$224),0),
IF('TL13'!$B$229=M$3,SUMIF('TL13'!$C$238:$C$451,$C345,'TL13'!$J$238:$J$451),0),
IF('TL14'!$B$3=M$3,SUMIF('TL14'!$C$10:$C$224,$C345,'TL14'!$J$10:$J$224),0),
IF('TL14'!$B$229=M$3,SUMIF('TL14'!$C$238:$C$451,$C345,'TL14'!$J$238:$J$451),0),
IF('TL15'!$B$3=M$3,SUMIF('TL15'!$C$10:$C$224,$C345,'TL15'!$J$10:$J$224),0),
IF('TL15'!$B$229=M$3,SUMIF('TL15'!$C$238:$C$451,$C345,'TL15'!$J$238:$J$451),0),
IF('TL16'!$B$3=M$3,SUMIF('TL16'!$C$10:$C$224,$C345,'TL16'!$J$10:$J$224),0),
IF('TL16'!$B$229=M$3,SUMIF('TL16'!$C$238:$C$451,$C345,'TL16'!$J$238:$J$451),0),
IF('TL17'!$B$3=M$3,SUMIF('TL17'!$C$10:$C$224,$C345,'TL17'!$J$10:$J$224),0),
IF('TL17'!$B$229=M$3,SUMIF('TL17'!$C$238:$C$451,$C345,'TL17'!$J$238:$J$451),0),
IF('TL18'!$B$3=M$3,SUMIF('TL18'!$C$10:$C$224,$C345,'TL18'!$J$10:$J$224),0),
IF('TL18'!$B$229=M$3,SUMIF('TL18'!$C$238:$C$451,$C345,'TL18'!$J$238:$J$451),0),
IF('TL19'!$B$3=M$3,SUMIF('TL19'!$C$10:$C$224,$C345,'TL19'!$J$10:$J$224),0),
IF('TL19'!$B$229=M$3,SUMIF('TL19'!$C$238:$C$451,$C345,'TL19'!$J$238:$J$451),0)
),0)</f>
        <v>0</v>
      </c>
      <c r="N345" s="9">
        <f>IFERROR(SUM(
IF('TL01'!$B$3=N$3,SUMIF('TL01'!$C$10:$C$224,$C345,'TL01'!$J$10:$J$224),0),
IF('TL01'!$B$229=N$3,SUMIF('TL01'!$C$238:$C$451,$C345,'TL01'!$J$238:$J$451),0),
IF('TL02'!$B$3=N$3,SUMIF('TL02'!$C$10:$C$224,$C345,'TL02'!$J$10:$J$224),0),
IF('TL02'!$B$229=N$3,SUMIF('TL02'!$C$238:$C$451,$C345,'TL02'!$J$238:$J$451),0),
IF('TL03'!$B$3=N$3,SUMIF('TL03'!$C$10:$C$224,$C345,'TL03'!$J$10:$J$224),0),
IF('TL03'!$B$229=N$3,SUMIF('TL03'!$C$238:$C$451,$C345,'TL03'!$J$238:$J$451),0),
IF('TL04'!$B$3=N$3,SUMIF('TL04'!$C$10:$C$224,$C345,'TL04'!$J$10:$J$224),0),
IF('TL04'!$B$229=N$3,SUMIF('TL04'!$C$238:$C$451,$C345,'TL04'!$J$238:$J$451),0),
IF('TL05'!$B$3=N$3,SUMIF('TL05'!$C$10:$C$224,$C345,'TL05'!$J$10:$J$224),0),
IF('TL05'!$B$229=N$3,SUMIF('TL05'!$C$238:$C$451,$C345,'TL05'!$J$238:$J$451),0),
IF('TL06'!$B$3=N$3,SUMIF('TL06'!$C$10:$C$224,$C345,'TL06'!$J$10:$J$224),0),
IF('TL06'!$B$229=N$3,SUMIF('TL06'!$C$238:$C$451,$C345,'TL06'!$J$238:$J$451),0),
IF('TL07'!$B$3=N$3,SUMIF('TL07'!$C$10:$C$224,$C345,'TL07'!$J$10:$J$224),0),
IF('TL07'!$B$229=N$3,SUMIF('TL07'!$C$238:$C$451,$C345,'TL07'!$J$238:$J$451),0),
IF('TL08'!$B$3=N$3,SUMIF('TL08'!$C$10:$C$224,$C345,'TL08'!$J$10:$J$224),0),
IF('TL08'!$B$229=N$3,SUMIF('TL08'!$C$238:$C$451,$C345,'TL08'!$J$238:$J$451),0),
IF('TL09'!$B$3=N$3,SUMIF('TL09'!$C$10:$C$224,$C345,'TL09'!$J$10:$J$224),0),
IF('TL09'!$B$229=N$3,SUMIF('TL09'!$C$238:$C$451,$C345,'TL09'!$J$238:$J$451),0),
IF('TL10'!$B$3=N$3,SUMIF('TL10'!$C$10:$C$224,$C345,'TL10'!$J$10:$J$224),0),
IF('TL10'!$B$229=N$3,SUMIF('TL10'!$C$238:$C$451,$C345,'TL10'!$J$238:$J$451),0),
IF('TL11'!$B$3=N$3,SUMIF('TL11'!$C$10:$C$224,$C345,'TL11'!$J$10:$J$224),0),
IF('TL11'!$B$229=N$3,SUMIF('TL11'!$C$238:$C$451,$C345,'TL11'!$J$238:$J$451),0),
IF('TL12'!$B$3=N$3,SUMIF('TL12'!$C$10:$C$224,$C345,'TL12'!$J$10:$J$224),0),
IF('TL12'!$B$229=N$3,SUMIF('TL12'!$C$238:$C$451,$C345,'TL12'!$J$238:$J$451),0),
IF('TL13'!$B$3=N$3,SUMIF('TL13'!$C$10:$C$224,$C345,'TL13'!$J$10:$J$224),0),
IF('TL13'!$B$229=N$3,SUMIF('TL13'!$C$238:$C$451,$C345,'TL13'!$J$238:$J$451),0),
IF('TL14'!$B$3=N$3,SUMIF('TL14'!$C$10:$C$224,$C345,'TL14'!$J$10:$J$224),0),
IF('TL14'!$B$229=N$3,SUMIF('TL14'!$C$238:$C$451,$C345,'TL14'!$J$238:$J$451),0),
IF('TL15'!$B$3=N$3,SUMIF('TL15'!$C$10:$C$224,$C345,'TL15'!$J$10:$J$224),0),
IF('TL15'!$B$229=N$3,SUMIF('TL15'!$C$238:$C$451,$C345,'TL15'!$J$238:$J$451),0),
IF('TL16'!$B$3=N$3,SUMIF('TL16'!$C$10:$C$224,$C345,'TL16'!$J$10:$J$224),0),
IF('TL16'!$B$229=N$3,SUMIF('TL16'!$C$238:$C$451,$C345,'TL16'!$J$238:$J$451),0),
IF('TL17'!$B$3=N$3,SUMIF('TL17'!$C$10:$C$224,$C345,'TL17'!$J$10:$J$224),0),
IF('TL17'!$B$229=N$3,SUMIF('TL17'!$C$238:$C$451,$C345,'TL17'!$J$238:$J$451),0),
IF('TL18'!$B$3=N$3,SUMIF('TL18'!$C$10:$C$224,$C345,'TL18'!$J$10:$J$224),0),
IF('TL18'!$B$229=N$3,SUMIF('TL18'!$C$238:$C$451,$C345,'TL18'!$J$238:$J$451),0),
IF('TL19'!$B$3=N$3,SUMIF('TL19'!$C$10:$C$224,$C345,'TL19'!$J$10:$J$224),0),
IF('TL19'!$B$229=N$3,SUMIF('TL19'!$C$238:$C$451,$C345,'TL19'!$J$238:$J$451),0)
),0)</f>
        <v>0</v>
      </c>
      <c r="O345" s="9">
        <f>IFERROR(SUM(
IF('TL01'!$B$3=O$3,SUMIF('TL01'!$C$10:$C$224,$C345,'TL01'!$J$10:$J$224),0),
IF('TL01'!$B$229=O$3,SUMIF('TL01'!$C$238:$C$451,$C345,'TL01'!$J$238:$J$451),0),
IF('TL02'!$B$3=O$3,SUMIF('TL02'!$C$10:$C$224,$C345,'TL02'!$J$10:$J$224),0),
IF('TL02'!$B$229=O$3,SUMIF('TL02'!$C$238:$C$451,$C345,'TL02'!$J$238:$J$451),0),
IF('TL03'!$B$3=O$3,SUMIF('TL03'!$C$10:$C$224,$C345,'TL03'!$J$10:$J$224),0),
IF('TL03'!$B$229=O$3,SUMIF('TL03'!$C$238:$C$451,$C345,'TL03'!$J$238:$J$451),0),
IF('TL04'!$B$3=O$3,SUMIF('TL04'!$C$10:$C$224,$C345,'TL04'!$J$10:$J$224),0),
IF('TL04'!$B$229=O$3,SUMIF('TL04'!$C$238:$C$451,$C345,'TL04'!$J$238:$J$451),0),
IF('TL05'!$B$3=O$3,SUMIF('TL05'!$C$10:$C$224,$C345,'TL05'!$J$10:$J$224),0),
IF('TL05'!$B$229=O$3,SUMIF('TL05'!$C$238:$C$451,$C345,'TL05'!$J$238:$J$451),0),
IF('TL06'!$B$3=O$3,SUMIF('TL06'!$C$10:$C$224,$C345,'TL06'!$J$10:$J$224),0),
IF('TL06'!$B$229=O$3,SUMIF('TL06'!$C$238:$C$451,$C345,'TL06'!$J$238:$J$451),0),
IF('TL07'!$B$3=O$3,SUMIF('TL07'!$C$10:$C$224,$C345,'TL07'!$J$10:$J$224),0),
IF('TL07'!$B$229=O$3,SUMIF('TL07'!$C$238:$C$451,$C345,'TL07'!$J$238:$J$451),0),
IF('TL08'!$B$3=O$3,SUMIF('TL08'!$C$10:$C$224,$C345,'TL08'!$J$10:$J$224),0),
IF('TL08'!$B$229=O$3,SUMIF('TL08'!$C$238:$C$451,$C345,'TL08'!$J$238:$J$451),0),
IF('TL09'!$B$3=O$3,SUMIF('TL09'!$C$10:$C$224,$C345,'TL09'!$J$10:$J$224),0),
IF('TL09'!$B$229=O$3,SUMIF('TL09'!$C$238:$C$451,$C345,'TL09'!$J$238:$J$451),0),
IF('TL10'!$B$3=O$3,SUMIF('TL10'!$C$10:$C$224,$C345,'TL10'!$J$10:$J$224),0),
IF('TL10'!$B$229=O$3,SUMIF('TL10'!$C$238:$C$451,$C345,'TL10'!$J$238:$J$451),0),
IF('TL11'!$B$3=O$3,SUMIF('TL11'!$C$10:$C$224,$C345,'TL11'!$J$10:$J$224),0),
IF('TL11'!$B$229=O$3,SUMIF('TL11'!$C$238:$C$451,$C345,'TL11'!$J$238:$J$451),0),
IF('TL12'!$B$3=O$3,SUMIF('TL12'!$C$10:$C$224,$C345,'TL12'!$J$10:$J$224),0),
IF('TL12'!$B$229=O$3,SUMIF('TL12'!$C$238:$C$451,$C345,'TL12'!$J$238:$J$451),0),
IF('TL13'!$B$3=O$3,SUMIF('TL13'!$C$10:$C$224,$C345,'TL13'!$J$10:$J$224),0),
IF('TL13'!$B$229=O$3,SUMIF('TL13'!$C$238:$C$451,$C345,'TL13'!$J$238:$J$451),0),
IF('TL14'!$B$3=O$3,SUMIF('TL14'!$C$10:$C$224,$C345,'TL14'!$J$10:$J$224),0),
IF('TL14'!$B$229=O$3,SUMIF('TL14'!$C$238:$C$451,$C345,'TL14'!$J$238:$J$451),0),
IF('TL15'!$B$3=O$3,SUMIF('TL15'!$C$10:$C$224,$C345,'TL15'!$J$10:$J$224),0),
IF('TL15'!$B$229=O$3,SUMIF('TL15'!$C$238:$C$451,$C345,'TL15'!$J$238:$J$451),0),
IF('TL16'!$B$3=O$3,SUMIF('TL16'!$C$10:$C$224,$C345,'TL16'!$J$10:$J$224),0),
IF('TL16'!$B$229=O$3,SUMIF('TL16'!$C$238:$C$451,$C345,'TL16'!$J$238:$J$451),0),
IF('TL17'!$B$3=O$3,SUMIF('TL17'!$C$10:$C$224,$C345,'TL17'!$J$10:$J$224),0),
IF('TL17'!$B$229=O$3,SUMIF('TL17'!$C$238:$C$451,$C345,'TL17'!$J$238:$J$451),0),
IF('TL18'!$B$3=O$3,SUMIF('TL18'!$C$10:$C$224,$C345,'TL18'!$J$10:$J$224),0),
IF('TL18'!$B$229=O$3,SUMIF('TL18'!$C$238:$C$451,$C345,'TL18'!$J$238:$J$451),0),
IF('TL19'!$B$3=O$3,SUMIF('TL19'!$C$10:$C$224,$C345,'TL19'!$J$10:$J$224),0),
IF('TL19'!$B$229=O$3,SUMIF('TL19'!$C$238:$C$451,$C345,'TL19'!$J$238:$J$451),0)
),0)</f>
        <v>0</v>
      </c>
      <c r="P345" s="9">
        <f>IFERROR(SUM(
IF('TL01'!$B$3=P$3,SUMIF('TL01'!$C$10:$C$224,$C345,'TL01'!$J$10:$J$224),0),
IF('TL01'!$B$229=P$3,SUMIF('TL01'!$C$238:$C$451,$C345,'TL01'!$J$238:$J$451),0),
IF('TL02'!$B$3=P$3,SUMIF('TL02'!$C$10:$C$224,$C345,'TL02'!$J$10:$J$224),0),
IF('TL02'!$B$229=P$3,SUMIF('TL02'!$C$238:$C$451,$C345,'TL02'!$J$238:$J$451),0),
IF('TL03'!$B$3=P$3,SUMIF('TL03'!$C$10:$C$224,$C345,'TL03'!$J$10:$J$224),0),
IF('TL03'!$B$229=P$3,SUMIF('TL03'!$C$238:$C$451,$C345,'TL03'!$J$238:$J$451),0),
IF('TL04'!$B$3=P$3,SUMIF('TL04'!$C$10:$C$224,$C345,'TL04'!$J$10:$J$224),0),
IF('TL04'!$B$229=P$3,SUMIF('TL04'!$C$238:$C$451,$C345,'TL04'!$J$238:$J$451),0),
IF('TL05'!$B$3=P$3,SUMIF('TL05'!$C$10:$C$224,$C345,'TL05'!$J$10:$J$224),0),
IF('TL05'!$B$229=P$3,SUMIF('TL05'!$C$238:$C$451,$C345,'TL05'!$J$238:$J$451),0),
IF('TL06'!$B$3=P$3,SUMIF('TL06'!$C$10:$C$224,$C345,'TL06'!$J$10:$J$224),0),
IF('TL06'!$B$229=P$3,SUMIF('TL06'!$C$238:$C$451,$C345,'TL06'!$J$238:$J$451),0),
IF('TL07'!$B$3=P$3,SUMIF('TL07'!$C$10:$C$224,$C345,'TL07'!$J$10:$J$224),0),
IF('TL07'!$B$229=P$3,SUMIF('TL07'!$C$238:$C$451,$C345,'TL07'!$J$238:$J$451),0),
IF('TL08'!$B$3=P$3,SUMIF('TL08'!$C$10:$C$224,$C345,'TL08'!$J$10:$J$224),0),
IF('TL08'!$B$229=P$3,SUMIF('TL08'!$C$238:$C$451,$C345,'TL08'!$J$238:$J$451),0),
IF('TL09'!$B$3=P$3,SUMIF('TL09'!$C$10:$C$224,$C345,'TL09'!$J$10:$J$224),0),
IF('TL09'!$B$229=P$3,SUMIF('TL09'!$C$238:$C$451,$C345,'TL09'!$J$238:$J$451),0),
IF('TL10'!$B$3=P$3,SUMIF('TL10'!$C$10:$C$224,$C345,'TL10'!$J$10:$J$224),0),
IF('TL10'!$B$229=P$3,SUMIF('TL10'!$C$238:$C$451,$C345,'TL10'!$J$238:$J$451),0),
IF('TL11'!$B$3=P$3,SUMIF('TL11'!$C$10:$C$224,$C345,'TL11'!$J$10:$J$224),0),
IF('TL11'!$B$229=P$3,SUMIF('TL11'!$C$238:$C$451,$C345,'TL11'!$J$238:$J$451),0),
IF('TL12'!$B$3=P$3,SUMIF('TL12'!$C$10:$C$224,$C345,'TL12'!$J$10:$J$224),0),
IF('TL12'!$B$229=P$3,SUMIF('TL12'!$C$238:$C$451,$C345,'TL12'!$J$238:$J$451),0),
IF('TL13'!$B$3=P$3,SUMIF('TL13'!$C$10:$C$224,$C345,'TL13'!$J$10:$J$224),0),
IF('TL13'!$B$229=P$3,SUMIF('TL13'!$C$238:$C$451,$C345,'TL13'!$J$238:$J$451),0),
IF('TL14'!$B$3=P$3,SUMIF('TL14'!$C$10:$C$224,$C345,'TL14'!$J$10:$J$224),0),
IF('TL14'!$B$229=P$3,SUMIF('TL14'!$C$238:$C$451,$C345,'TL14'!$J$238:$J$451),0),
IF('TL15'!$B$3=P$3,SUMIF('TL15'!$C$10:$C$224,$C345,'TL15'!$J$10:$J$224),0),
IF('TL15'!$B$229=P$3,SUMIF('TL15'!$C$238:$C$451,$C345,'TL15'!$J$238:$J$451),0),
IF('TL16'!$B$3=P$3,SUMIF('TL16'!$C$10:$C$224,$C345,'TL16'!$J$10:$J$224),0),
IF('TL16'!$B$229=P$3,SUMIF('TL16'!$C$238:$C$451,$C345,'TL16'!$J$238:$J$451),0),
IF('TL17'!$B$3=P$3,SUMIF('TL17'!$C$10:$C$224,$C345,'TL17'!$J$10:$J$224),0),
IF('TL17'!$B$229=P$3,SUMIF('TL17'!$C$238:$C$451,$C345,'TL17'!$J$238:$J$451),0),
IF('TL18'!$B$3=P$3,SUMIF('TL18'!$C$10:$C$224,$C345,'TL18'!$J$10:$J$224),0),
IF('TL18'!$B$229=P$3,SUMIF('TL18'!$C$238:$C$451,$C345,'TL18'!$J$238:$J$451),0),
IF('TL19'!$B$3=P$3,SUMIF('TL19'!$C$10:$C$224,$C345,'TL19'!$J$10:$J$224),0),
IF('TL19'!$B$229=P$3,SUMIF('TL19'!$C$238:$C$451,$C345,'TL19'!$J$238:$J$451),0)
),0)</f>
        <v>0</v>
      </c>
      <c r="Q345" s="9">
        <f>IFERROR(SUM(
IF('TL01'!$B$3=Q$3,SUMIF('TL01'!$C$10:$C$224,$C345,'TL01'!$J$10:$J$224),0),
IF('TL01'!$B$229=Q$3,SUMIF('TL01'!$C$238:$C$451,$C345,'TL01'!$J$238:$J$451),0),
IF('TL02'!$B$3=Q$3,SUMIF('TL02'!$C$10:$C$224,$C345,'TL02'!$J$10:$J$224),0),
IF('TL02'!$B$229=Q$3,SUMIF('TL02'!$C$238:$C$451,$C345,'TL02'!$J$238:$J$451),0),
IF('TL03'!$B$3=Q$3,SUMIF('TL03'!$C$10:$C$224,$C345,'TL03'!$J$10:$J$224),0),
IF('TL03'!$B$229=Q$3,SUMIF('TL03'!$C$238:$C$451,$C345,'TL03'!$J$238:$J$451),0),
IF('TL04'!$B$3=Q$3,SUMIF('TL04'!$C$10:$C$224,$C345,'TL04'!$J$10:$J$224),0),
IF('TL04'!$B$229=Q$3,SUMIF('TL04'!$C$238:$C$451,$C345,'TL04'!$J$238:$J$451),0),
IF('TL05'!$B$3=Q$3,SUMIF('TL05'!$C$10:$C$224,$C345,'TL05'!$J$10:$J$224),0),
IF('TL05'!$B$229=Q$3,SUMIF('TL05'!$C$238:$C$451,$C345,'TL05'!$J$238:$J$451),0),
IF('TL06'!$B$3=Q$3,SUMIF('TL06'!$C$10:$C$224,$C345,'TL06'!$J$10:$J$224),0),
IF('TL06'!$B$229=Q$3,SUMIF('TL06'!$C$238:$C$451,$C345,'TL06'!$J$238:$J$451),0),
IF('TL07'!$B$3=Q$3,SUMIF('TL07'!$C$10:$C$224,$C345,'TL07'!$J$10:$J$224),0),
IF('TL07'!$B$229=Q$3,SUMIF('TL07'!$C$238:$C$451,$C345,'TL07'!$J$238:$J$451),0),
IF('TL08'!$B$3=Q$3,SUMIF('TL08'!$C$10:$C$224,$C345,'TL08'!$J$10:$J$224),0),
IF('TL08'!$B$229=Q$3,SUMIF('TL08'!$C$238:$C$451,$C345,'TL08'!$J$238:$J$451),0),
IF('TL09'!$B$3=Q$3,SUMIF('TL09'!$C$10:$C$224,$C345,'TL09'!$J$10:$J$224),0),
IF('TL09'!$B$229=Q$3,SUMIF('TL09'!$C$238:$C$451,$C345,'TL09'!$J$238:$J$451),0),
IF('TL10'!$B$3=Q$3,SUMIF('TL10'!$C$10:$C$224,$C345,'TL10'!$J$10:$J$224),0),
IF('TL10'!$B$229=Q$3,SUMIF('TL10'!$C$238:$C$451,$C345,'TL10'!$J$238:$J$451),0),
IF('TL11'!$B$3=Q$3,SUMIF('TL11'!$C$10:$C$224,$C345,'TL11'!$J$10:$J$224),0),
IF('TL11'!$B$229=Q$3,SUMIF('TL11'!$C$238:$C$451,$C345,'TL11'!$J$238:$J$451),0),
IF('TL12'!$B$3=Q$3,SUMIF('TL12'!$C$10:$C$224,$C345,'TL12'!$J$10:$J$224),0),
IF('TL12'!$B$229=Q$3,SUMIF('TL12'!$C$238:$C$451,$C345,'TL12'!$J$238:$J$451),0),
IF('TL13'!$B$3=Q$3,SUMIF('TL13'!$C$10:$C$224,$C345,'TL13'!$J$10:$J$224),0),
IF('TL13'!$B$229=Q$3,SUMIF('TL13'!$C$238:$C$451,$C345,'TL13'!$J$238:$J$451),0),
IF('TL14'!$B$3=Q$3,SUMIF('TL14'!$C$10:$C$224,$C345,'TL14'!$J$10:$J$224),0),
IF('TL14'!$B$229=Q$3,SUMIF('TL14'!$C$238:$C$451,$C345,'TL14'!$J$238:$J$451),0),
IF('TL15'!$B$3=Q$3,SUMIF('TL15'!$C$10:$C$224,$C345,'TL15'!$J$10:$J$224),0),
IF('TL15'!$B$229=Q$3,SUMIF('TL15'!$C$238:$C$451,$C345,'TL15'!$J$238:$J$451),0),
IF('TL16'!$B$3=Q$3,SUMIF('TL16'!$C$10:$C$224,$C345,'TL16'!$J$10:$J$224),0),
IF('TL16'!$B$229=Q$3,SUMIF('TL16'!$C$238:$C$451,$C345,'TL16'!$J$238:$J$451),0),
IF('TL17'!$B$3=Q$3,SUMIF('TL17'!$C$10:$C$224,$C345,'TL17'!$J$10:$J$224),0),
IF('TL17'!$B$229=Q$3,SUMIF('TL17'!$C$238:$C$451,$C345,'TL17'!$J$238:$J$451),0),
IF('TL18'!$B$3=Q$3,SUMIF('TL18'!$C$10:$C$224,$C345,'TL18'!$J$10:$J$224),0),
IF('TL18'!$B$229=Q$3,SUMIF('TL18'!$C$238:$C$451,$C345,'TL18'!$J$238:$J$451),0),
IF('TL19'!$B$3=Q$3,SUMIF('TL19'!$C$10:$C$224,$C345,'TL19'!$J$10:$J$224),0),
IF('TL19'!$B$229=Q$3,SUMIF('TL19'!$C$238:$C$451,$C345,'TL19'!$J$238:$J$451),0)
),0)</f>
        <v>0</v>
      </c>
      <c r="R345" s="9">
        <f>IFERROR(
SUM(
SUMIF('TL01'!C:C,C345,'TL01'!J:J),
SUMIF('TL02'!C:C,C345,'TL02'!J:J),
SUMIF('TL03'!C:C,C345,'TL03'!J:J),
SUMIF('TL04'!C:C,C345,'TL04'!J:J),
SUMIF('TL05'!C:C,C345,'TL05'!J:J),
SUMIF('TL06'!C:C,C345,'TL06'!J:J),
SUMIF('TL07'!C:C,C345,'TL07'!J:J),
SUMIF('TL08'!C:C,C345,'TL08'!J:J),
SUMIF('TL09'!C:C,C345,'TL09'!J:J),
SUMIF('TL10'!C:C,C345,'TL10'!J:J),
SUMIF('TL11'!C:C,C345,'TL11'!J:J),
SUMIF('TL12'!C:C,C345,'TL12'!J:J),
SUMIF('TL13'!C:C,C345,'TL13'!J:J),
SUMIF('TL14'!C:C,C345,'TL14'!J:J),
SUMIF('TL15'!C:C,C345,'TL15'!J:J),
SUMIF('TL16'!C:C,C345,'TL16'!J:J),
SUMIF('TL17'!C:C,C345,'TL17'!J:J),
SUMIF('TL18'!C:C,C345,'TL18'!J:J),SUMIF('TL19'!C:C,C345,'TL19'!J:J))
,0)</f>
        <v>0</v>
      </c>
      <c r="S345" s="17" t="str">
        <f>IFERROR(__xludf.DUMMYFUNCTION("IFERROR(VLOOKUP(C345,
IMPORTRANGE(""1wULbzX32WdYsx-lj2U3uUNBBe2INVIRDtcK0d-Dvl90"",
""26-27!C:G""),
5,
FALSE),
"""")"),"")</f>
        <v/>
      </c>
      <c r="T345" s="9"/>
      <c r="U345" s="92">
        <f t="shared" si="2"/>
        <v>0</v>
      </c>
      <c r="V345" s="93">
        <f t="shared" si="3"/>
        <v>0</v>
      </c>
    </row>
    <row r="346" ht="15.75" hidden="1" customHeight="1">
      <c r="A346" s="4"/>
      <c r="B346" s="125" t="s">
        <v>5</v>
      </c>
      <c r="C346" s="4" t="s">
        <v>1067</v>
      </c>
      <c r="D346" s="6"/>
      <c r="E346" s="9"/>
      <c r="F346" s="4" t="s">
        <v>392</v>
      </c>
      <c r="G346" s="90" t="str">
        <f t="shared" si="5"/>
        <v>📄 Ver bula</v>
      </c>
      <c r="H346" s="9"/>
      <c r="I346" s="1" t="s">
        <v>1043</v>
      </c>
      <c r="J346" s="9">
        <f>IFERROR(SUM(
IF('TL01'!$B$3=J$3,SUMIF('TL01'!$C$10:$C$224,$C346,'TL01'!$J$10:$J$224),0),
IF('TL01'!$B$229=J$3,SUMIF('TL01'!$C$238:$C$451,$C346,'TL01'!$J$238:$J$451),0),
IF('TL02'!$B$3=J$3,SUMIF('TL02'!$C$10:$C$224,$C346,'TL02'!$J$10:$J$224),0),
IF('TL02'!$B$229=J$3,SUMIF('TL02'!$C$238:$C$451,$C346,'TL02'!$J$238:$J$451),0),
IF('TL03'!$B$3=J$3,SUMIF('TL03'!$C$10:$C$224,$C346,'TL03'!$J$10:$J$224),0),
IF('TL03'!$B$229=J$3,SUMIF('TL03'!$C$238:$C$451,$C346,'TL03'!$J$238:$J$451),0),
IF('TL04'!$B$3=J$3,SUMIF('TL04'!$C$10:$C$224,$C346,'TL04'!$J$10:$J$224),0),
IF('TL04'!$B$229=J$3,SUMIF('TL04'!$C$238:$C$451,$C346,'TL04'!$J$238:$J$451),0),
IF('TL05'!$B$3=J$3,SUMIF('TL05'!$C$10:$C$224,$C346,'TL05'!$J$10:$J$224),0),
IF('TL05'!$B$229=J$3,SUMIF('TL05'!$C$238:$C$451,$C346,'TL05'!$J$238:$J$451),0),
IF('TL06'!$B$3=J$3,SUMIF('TL06'!$C$10:$C$224,$C346,'TL06'!$J$10:$J$224),0),
IF('TL06'!$B$229=J$3,SUMIF('TL06'!$C$238:$C$451,$C346,'TL06'!$J$238:$J$451),0),
IF('TL07'!$B$3=J$3,SUMIF('TL07'!$C$10:$C$224,$C346,'TL07'!$J$10:$J$224),0),
IF('TL07'!$B$229=J$3,SUMIF('TL07'!$C$238:$C$451,$C346,'TL07'!$J$238:$J$451),0),
IF('TL08'!$B$3=J$3,SUMIF('TL08'!$C$10:$C$224,$C346,'TL08'!$J$10:$J$224),0),
IF('TL08'!$B$229=J$3,SUMIF('TL08'!$C$238:$C$451,$C346,'TL08'!$J$238:$J$451),0),
IF('TL09'!$B$3=J$3,SUMIF('TL09'!$C$10:$C$224,$C346,'TL09'!$J$10:$J$224),0),
IF('TL09'!$B$229=J$3,SUMIF('TL09'!$C$238:$C$451,$C346,'TL09'!$J$238:$J$451),0),
IF('TL10'!$B$3=J$3,SUMIF('TL10'!$C$10:$C$224,$C346,'TL10'!$J$10:$J$224),0),
IF('TL10'!$B$229=J$3,SUMIF('TL10'!$C$238:$C$451,$C346,'TL10'!$J$238:$J$451),0),
IF('TL11'!$B$3=J$3,SUMIF('TL11'!$C$10:$C$224,$C346,'TL11'!$J$10:$J$224),0),
IF('TL11'!$B$229=J$3,SUMIF('TL11'!$C$238:$C$451,$C346,'TL11'!$J$238:$J$451),0),
IF('TL12'!$B$3=J$3,SUMIF('TL12'!$C$10:$C$224,$C346,'TL12'!$J$10:$J$224),0),
IF('TL12'!$B$229=J$3,SUMIF('TL12'!$C$238:$C$451,$C346,'TL12'!$J$238:$J$451),0),
IF('TL13'!$B$3=J$3,SUMIF('TL13'!$C$10:$C$224,$C346,'TL13'!$J$10:$J$224),0),
IF('TL13'!$B$229=J$3,SUMIF('TL13'!$C$238:$C$451,$C346,'TL13'!$J$238:$J$451),0),
IF('TL14'!$B$3=J$3,SUMIF('TL14'!$C$10:$C$224,$C346,'TL14'!$J$10:$J$224),0),
IF('TL14'!$B$229=J$3,SUMIF('TL14'!$C$238:$C$451,$C346,'TL14'!$J$238:$J$451),0),
IF('TL15'!$B$3=J$3,SUMIF('TL15'!$C$10:$C$224,$C346,'TL15'!$J$10:$J$224),0),
IF('TL15'!$B$229=J$3,SUMIF('TL15'!$C$238:$C$451,$C346,'TL15'!$J$238:$J$451),0),
IF('TL16'!$B$3=J$3,SUMIF('TL16'!$C$10:$C$224,$C346,'TL16'!$J$10:$J$224),0),
IF('TL16'!$B$229=J$3,SUMIF('TL16'!$C$238:$C$451,$C346,'TL16'!$J$238:$J$451),0),
IF('TL17'!$B$3=J$3,SUMIF('TL17'!$C$10:$C$224,$C346,'TL17'!$J$10:$J$224),0),
IF('TL17'!$B$229=J$3,SUMIF('TL17'!$C$238:$C$451,$C346,'TL17'!$J$238:$J$451),0),
IF('TL18'!$B$3=J$3,SUMIF('TL18'!$C$10:$C$224,$C346,'TL18'!$J$10:$J$224),0),
IF('TL18'!$B$229=J$3,SUMIF('TL18'!$C$238:$C$451,$C346,'TL18'!$J$238:$J$451),0),
IF('TL19'!$B$3=J$3,SUMIF('TL19'!$C$10:$C$224,$C346,'TL19'!$J$10:$J$224),0),
IF('TL19'!$B$229=J$3,SUMIF('TL19'!$C$238:$C$451,$C346,'TL19'!$J$238:$J$451),0)
),0)</f>
        <v>1470</v>
      </c>
      <c r="K346" s="9">
        <f>IFERROR(SUM(
IF('TL01'!$B$3=K$3,SUMIF('TL01'!$C$10:$C$224,$C346,'TL01'!$J$10:$J$224),0),
IF('TL01'!$B$229=K$3,SUMIF('TL01'!$C$238:$C$451,$C346,'TL01'!$J$238:$J$451),0),
IF('TL02'!$B$3=K$3,SUMIF('TL02'!$C$10:$C$224,$C346,'TL02'!$J$10:$J$224),0),
IF('TL02'!$B$229=K$3,SUMIF('TL02'!$C$238:$C$451,$C346,'TL02'!$J$238:$J$451),0),
IF('TL03'!$B$3=K$3,SUMIF('TL03'!$C$10:$C$224,$C346,'TL03'!$J$10:$J$224),0),
IF('TL03'!$B$229=K$3,SUMIF('TL03'!$C$238:$C$451,$C346,'TL03'!$J$238:$J$451),0),
IF('TL04'!$B$3=K$3,SUMIF('TL04'!$C$10:$C$224,$C346,'TL04'!$J$10:$J$224),0),
IF('TL04'!$B$229=K$3,SUMIF('TL04'!$C$238:$C$451,$C346,'TL04'!$J$238:$J$451),0),
IF('TL05'!$B$3=K$3,SUMIF('TL05'!$C$10:$C$224,$C346,'TL05'!$J$10:$J$224),0),
IF('TL05'!$B$229=K$3,SUMIF('TL05'!$C$238:$C$451,$C346,'TL05'!$J$238:$J$451),0),
IF('TL06'!$B$3=K$3,SUMIF('TL06'!$C$10:$C$224,$C346,'TL06'!$J$10:$J$224),0),
IF('TL06'!$B$229=K$3,SUMIF('TL06'!$C$238:$C$451,$C346,'TL06'!$J$238:$J$451),0),
IF('TL07'!$B$3=K$3,SUMIF('TL07'!$C$10:$C$224,$C346,'TL07'!$J$10:$J$224),0),
IF('TL07'!$B$229=K$3,SUMIF('TL07'!$C$238:$C$451,$C346,'TL07'!$J$238:$J$451),0),
IF('TL08'!$B$3=K$3,SUMIF('TL08'!$C$10:$C$224,$C346,'TL08'!$J$10:$J$224),0),
IF('TL08'!$B$229=K$3,SUMIF('TL08'!$C$238:$C$451,$C346,'TL08'!$J$238:$J$451),0),
IF('TL09'!$B$3=K$3,SUMIF('TL09'!$C$10:$C$224,$C346,'TL09'!$J$10:$J$224),0),
IF('TL09'!$B$229=K$3,SUMIF('TL09'!$C$238:$C$451,$C346,'TL09'!$J$238:$J$451),0),
IF('TL10'!$B$3=K$3,SUMIF('TL10'!$C$10:$C$224,$C346,'TL10'!$J$10:$J$224),0),
IF('TL10'!$B$229=K$3,SUMIF('TL10'!$C$238:$C$451,$C346,'TL10'!$J$238:$J$451),0),
IF('TL11'!$B$3=K$3,SUMIF('TL11'!$C$10:$C$224,$C346,'TL11'!$J$10:$J$224),0),
IF('TL11'!$B$229=K$3,SUMIF('TL11'!$C$238:$C$451,$C346,'TL11'!$J$238:$J$451),0),
IF('TL12'!$B$3=K$3,SUMIF('TL12'!$C$10:$C$224,$C346,'TL12'!$J$10:$J$224),0),
IF('TL12'!$B$229=K$3,SUMIF('TL12'!$C$238:$C$451,$C346,'TL12'!$J$238:$J$451),0),
IF('TL13'!$B$3=K$3,SUMIF('TL13'!$C$10:$C$224,$C346,'TL13'!$J$10:$J$224),0),
IF('TL13'!$B$229=K$3,SUMIF('TL13'!$C$238:$C$451,$C346,'TL13'!$J$238:$J$451),0),
IF('TL14'!$B$3=K$3,SUMIF('TL14'!$C$10:$C$224,$C346,'TL14'!$J$10:$J$224),0),
IF('TL14'!$B$229=K$3,SUMIF('TL14'!$C$238:$C$451,$C346,'TL14'!$J$238:$J$451),0),
IF('TL15'!$B$3=K$3,SUMIF('TL15'!$C$10:$C$224,$C346,'TL15'!$J$10:$J$224),0),
IF('TL15'!$B$229=K$3,SUMIF('TL15'!$C$238:$C$451,$C346,'TL15'!$J$238:$J$451),0),
IF('TL16'!$B$3=K$3,SUMIF('TL16'!$C$10:$C$224,$C346,'TL16'!$J$10:$J$224),0),
IF('TL16'!$B$229=K$3,SUMIF('TL16'!$C$238:$C$451,$C346,'TL16'!$J$238:$J$451),0),
IF('TL17'!$B$3=K$3,SUMIF('TL17'!$C$10:$C$224,$C346,'TL17'!$J$10:$J$224),0),
IF('TL17'!$B$229=K$3,SUMIF('TL17'!$C$238:$C$451,$C346,'TL17'!$J$238:$J$451),0),
IF('TL18'!$B$3=K$3,SUMIF('TL18'!$C$10:$C$224,$C346,'TL18'!$J$10:$J$224),0),
IF('TL18'!$B$229=K$3,SUMIF('TL18'!$C$238:$C$451,$C346,'TL18'!$J$238:$J$451),0),
IF('TL19'!$B$3=K$3,SUMIF('TL19'!$C$10:$C$224,$C346,'TL19'!$J$10:$J$224),0),
IF('TL19'!$B$229=K$3,SUMIF('TL19'!$C$238:$C$451,$C346,'TL19'!$J$238:$J$451),0)
),0)</f>
        <v>0</v>
      </c>
      <c r="L346" s="9">
        <f>IFERROR(SUM(
IF('TL01'!$B$3=L$3,SUMIF('TL01'!$C$10:$C$224,$C346,'TL01'!$J$10:$J$224),0),
IF('TL01'!$B$229=L$3,SUMIF('TL01'!$C$238:$C$451,$C346,'TL01'!$J$238:$J$451),0),
IF('TL02'!$B$3=L$3,SUMIF('TL02'!$C$10:$C$224,$C346,'TL02'!$J$10:$J$224),0),
IF('TL02'!$B$229=L$3,SUMIF('TL02'!$C$238:$C$451,$C346,'TL02'!$J$238:$J$451),0),
IF('TL03'!$B$3=L$3,SUMIF('TL03'!$C$10:$C$224,$C346,'TL03'!$J$10:$J$224),0),
IF('TL03'!$B$229=L$3,SUMIF('TL03'!$C$238:$C$451,$C346,'TL03'!$J$238:$J$451),0),
IF('TL04'!$B$3=L$3,SUMIF('TL04'!$C$10:$C$224,$C346,'TL04'!$J$10:$J$224),0),
IF('TL04'!$B$229=L$3,SUMIF('TL04'!$C$238:$C$451,$C346,'TL04'!$J$238:$J$451),0),
IF('TL05'!$B$3=L$3,SUMIF('TL05'!$C$10:$C$224,$C346,'TL05'!$J$10:$J$224),0),
IF('TL05'!$B$229=L$3,SUMIF('TL05'!$C$238:$C$451,$C346,'TL05'!$J$238:$J$451),0),
IF('TL06'!$B$3=L$3,SUMIF('TL06'!$C$10:$C$224,$C346,'TL06'!$J$10:$J$224),0),
IF('TL06'!$B$229=L$3,SUMIF('TL06'!$C$238:$C$451,$C346,'TL06'!$J$238:$J$451),0),
IF('TL07'!$B$3=L$3,SUMIF('TL07'!$C$10:$C$224,$C346,'TL07'!$J$10:$J$224),0),
IF('TL07'!$B$229=L$3,SUMIF('TL07'!$C$238:$C$451,$C346,'TL07'!$J$238:$J$451),0),
IF('TL08'!$B$3=L$3,SUMIF('TL08'!$C$10:$C$224,$C346,'TL08'!$J$10:$J$224),0),
IF('TL08'!$B$229=L$3,SUMIF('TL08'!$C$238:$C$451,$C346,'TL08'!$J$238:$J$451),0),
IF('TL09'!$B$3=L$3,SUMIF('TL09'!$C$10:$C$224,$C346,'TL09'!$J$10:$J$224),0),
IF('TL09'!$B$229=L$3,SUMIF('TL09'!$C$238:$C$451,$C346,'TL09'!$J$238:$J$451),0),
IF('TL10'!$B$3=L$3,SUMIF('TL10'!$C$10:$C$224,$C346,'TL10'!$J$10:$J$224),0),
IF('TL10'!$B$229=L$3,SUMIF('TL10'!$C$238:$C$451,$C346,'TL10'!$J$238:$J$451),0),
IF('TL11'!$B$3=L$3,SUMIF('TL11'!$C$10:$C$224,$C346,'TL11'!$J$10:$J$224),0),
IF('TL11'!$B$229=L$3,SUMIF('TL11'!$C$238:$C$451,$C346,'TL11'!$J$238:$J$451),0),
IF('TL12'!$B$3=L$3,SUMIF('TL12'!$C$10:$C$224,$C346,'TL12'!$J$10:$J$224),0),
IF('TL12'!$B$229=L$3,SUMIF('TL12'!$C$238:$C$451,$C346,'TL12'!$J$238:$J$451),0),
IF('TL13'!$B$3=L$3,SUMIF('TL13'!$C$10:$C$224,$C346,'TL13'!$J$10:$J$224),0),
IF('TL13'!$B$229=L$3,SUMIF('TL13'!$C$238:$C$451,$C346,'TL13'!$J$238:$J$451),0),
IF('TL14'!$B$3=L$3,SUMIF('TL14'!$C$10:$C$224,$C346,'TL14'!$J$10:$J$224),0),
IF('TL14'!$B$229=L$3,SUMIF('TL14'!$C$238:$C$451,$C346,'TL14'!$J$238:$J$451),0),
IF('TL15'!$B$3=L$3,SUMIF('TL15'!$C$10:$C$224,$C346,'TL15'!$J$10:$J$224),0),
IF('TL15'!$B$229=L$3,SUMIF('TL15'!$C$238:$C$451,$C346,'TL15'!$J$238:$J$451),0),
IF('TL16'!$B$3=L$3,SUMIF('TL16'!$C$10:$C$224,$C346,'TL16'!$J$10:$J$224),0),
IF('TL16'!$B$229=L$3,SUMIF('TL16'!$C$238:$C$451,$C346,'TL16'!$J$238:$J$451),0),
IF('TL17'!$B$3=L$3,SUMIF('TL17'!$C$10:$C$224,$C346,'TL17'!$J$10:$J$224),0),
IF('TL17'!$B$229=L$3,SUMIF('TL17'!$C$238:$C$451,$C346,'TL17'!$J$238:$J$451),0),
IF('TL18'!$B$3=L$3,SUMIF('TL18'!$C$10:$C$224,$C346,'TL18'!$J$10:$J$224),0),
IF('TL18'!$B$229=L$3,SUMIF('TL18'!$C$238:$C$451,$C346,'TL18'!$J$238:$J$451),0),
IF('TL19'!$B$3=L$3,SUMIF('TL19'!$C$10:$C$224,$C346,'TL19'!$J$10:$J$224),0),
IF('TL19'!$B$229=L$3,SUMIF('TL19'!$C$238:$C$451,$C346,'TL19'!$J$238:$J$451),0)
),0)</f>
        <v>0</v>
      </c>
      <c r="M346" s="9">
        <f>IFERROR(SUM(
IF('TL01'!$B$3=M$3,SUMIF('TL01'!$C$10:$C$224,$C346,'TL01'!$J$10:$J$224),0),
IF('TL01'!$B$229=M$3,SUMIF('TL01'!$C$238:$C$451,$C346,'TL01'!$J$238:$J$451),0),
IF('TL02'!$B$3=M$3,SUMIF('TL02'!$C$10:$C$224,$C346,'TL02'!$J$10:$J$224),0),
IF('TL02'!$B$229=M$3,SUMIF('TL02'!$C$238:$C$451,$C346,'TL02'!$J$238:$J$451),0),
IF('TL03'!$B$3=M$3,SUMIF('TL03'!$C$10:$C$224,$C346,'TL03'!$J$10:$J$224),0),
IF('TL03'!$B$229=M$3,SUMIF('TL03'!$C$238:$C$451,$C346,'TL03'!$J$238:$J$451),0),
IF('TL04'!$B$3=M$3,SUMIF('TL04'!$C$10:$C$224,$C346,'TL04'!$J$10:$J$224),0),
IF('TL04'!$B$229=M$3,SUMIF('TL04'!$C$238:$C$451,$C346,'TL04'!$J$238:$J$451),0),
IF('TL05'!$B$3=M$3,SUMIF('TL05'!$C$10:$C$224,$C346,'TL05'!$J$10:$J$224),0),
IF('TL05'!$B$229=M$3,SUMIF('TL05'!$C$238:$C$451,$C346,'TL05'!$J$238:$J$451),0),
IF('TL06'!$B$3=M$3,SUMIF('TL06'!$C$10:$C$224,$C346,'TL06'!$J$10:$J$224),0),
IF('TL06'!$B$229=M$3,SUMIF('TL06'!$C$238:$C$451,$C346,'TL06'!$J$238:$J$451),0),
IF('TL07'!$B$3=M$3,SUMIF('TL07'!$C$10:$C$224,$C346,'TL07'!$J$10:$J$224),0),
IF('TL07'!$B$229=M$3,SUMIF('TL07'!$C$238:$C$451,$C346,'TL07'!$J$238:$J$451),0),
IF('TL08'!$B$3=M$3,SUMIF('TL08'!$C$10:$C$224,$C346,'TL08'!$J$10:$J$224),0),
IF('TL08'!$B$229=M$3,SUMIF('TL08'!$C$238:$C$451,$C346,'TL08'!$J$238:$J$451),0),
IF('TL09'!$B$3=M$3,SUMIF('TL09'!$C$10:$C$224,$C346,'TL09'!$J$10:$J$224),0),
IF('TL09'!$B$229=M$3,SUMIF('TL09'!$C$238:$C$451,$C346,'TL09'!$J$238:$J$451),0),
IF('TL10'!$B$3=M$3,SUMIF('TL10'!$C$10:$C$224,$C346,'TL10'!$J$10:$J$224),0),
IF('TL10'!$B$229=M$3,SUMIF('TL10'!$C$238:$C$451,$C346,'TL10'!$J$238:$J$451),0),
IF('TL11'!$B$3=M$3,SUMIF('TL11'!$C$10:$C$224,$C346,'TL11'!$J$10:$J$224),0),
IF('TL11'!$B$229=M$3,SUMIF('TL11'!$C$238:$C$451,$C346,'TL11'!$J$238:$J$451),0),
IF('TL12'!$B$3=M$3,SUMIF('TL12'!$C$10:$C$224,$C346,'TL12'!$J$10:$J$224),0),
IF('TL12'!$B$229=M$3,SUMIF('TL12'!$C$238:$C$451,$C346,'TL12'!$J$238:$J$451),0),
IF('TL13'!$B$3=M$3,SUMIF('TL13'!$C$10:$C$224,$C346,'TL13'!$J$10:$J$224),0),
IF('TL13'!$B$229=M$3,SUMIF('TL13'!$C$238:$C$451,$C346,'TL13'!$J$238:$J$451),0),
IF('TL14'!$B$3=M$3,SUMIF('TL14'!$C$10:$C$224,$C346,'TL14'!$J$10:$J$224),0),
IF('TL14'!$B$229=M$3,SUMIF('TL14'!$C$238:$C$451,$C346,'TL14'!$J$238:$J$451),0),
IF('TL15'!$B$3=M$3,SUMIF('TL15'!$C$10:$C$224,$C346,'TL15'!$J$10:$J$224),0),
IF('TL15'!$B$229=M$3,SUMIF('TL15'!$C$238:$C$451,$C346,'TL15'!$J$238:$J$451),0),
IF('TL16'!$B$3=M$3,SUMIF('TL16'!$C$10:$C$224,$C346,'TL16'!$J$10:$J$224),0),
IF('TL16'!$B$229=M$3,SUMIF('TL16'!$C$238:$C$451,$C346,'TL16'!$J$238:$J$451),0),
IF('TL17'!$B$3=M$3,SUMIF('TL17'!$C$10:$C$224,$C346,'TL17'!$J$10:$J$224),0),
IF('TL17'!$B$229=M$3,SUMIF('TL17'!$C$238:$C$451,$C346,'TL17'!$J$238:$J$451),0),
IF('TL18'!$B$3=M$3,SUMIF('TL18'!$C$10:$C$224,$C346,'TL18'!$J$10:$J$224),0),
IF('TL18'!$B$229=M$3,SUMIF('TL18'!$C$238:$C$451,$C346,'TL18'!$J$238:$J$451),0),
IF('TL19'!$B$3=M$3,SUMIF('TL19'!$C$10:$C$224,$C346,'TL19'!$J$10:$J$224),0),
IF('TL19'!$B$229=M$3,SUMIF('TL19'!$C$238:$C$451,$C346,'TL19'!$J$238:$J$451),0)
),0)</f>
        <v>0</v>
      </c>
      <c r="N346" s="9">
        <f>IFERROR(SUM(
IF('TL01'!$B$3=N$3,SUMIF('TL01'!$C$10:$C$224,$C346,'TL01'!$J$10:$J$224),0),
IF('TL01'!$B$229=N$3,SUMIF('TL01'!$C$238:$C$451,$C346,'TL01'!$J$238:$J$451),0),
IF('TL02'!$B$3=N$3,SUMIF('TL02'!$C$10:$C$224,$C346,'TL02'!$J$10:$J$224),0),
IF('TL02'!$B$229=N$3,SUMIF('TL02'!$C$238:$C$451,$C346,'TL02'!$J$238:$J$451),0),
IF('TL03'!$B$3=N$3,SUMIF('TL03'!$C$10:$C$224,$C346,'TL03'!$J$10:$J$224),0),
IF('TL03'!$B$229=N$3,SUMIF('TL03'!$C$238:$C$451,$C346,'TL03'!$J$238:$J$451),0),
IF('TL04'!$B$3=N$3,SUMIF('TL04'!$C$10:$C$224,$C346,'TL04'!$J$10:$J$224),0),
IF('TL04'!$B$229=N$3,SUMIF('TL04'!$C$238:$C$451,$C346,'TL04'!$J$238:$J$451),0),
IF('TL05'!$B$3=N$3,SUMIF('TL05'!$C$10:$C$224,$C346,'TL05'!$J$10:$J$224),0),
IF('TL05'!$B$229=N$3,SUMIF('TL05'!$C$238:$C$451,$C346,'TL05'!$J$238:$J$451),0),
IF('TL06'!$B$3=N$3,SUMIF('TL06'!$C$10:$C$224,$C346,'TL06'!$J$10:$J$224),0),
IF('TL06'!$B$229=N$3,SUMIF('TL06'!$C$238:$C$451,$C346,'TL06'!$J$238:$J$451),0),
IF('TL07'!$B$3=N$3,SUMIF('TL07'!$C$10:$C$224,$C346,'TL07'!$J$10:$J$224),0),
IF('TL07'!$B$229=N$3,SUMIF('TL07'!$C$238:$C$451,$C346,'TL07'!$J$238:$J$451),0),
IF('TL08'!$B$3=N$3,SUMIF('TL08'!$C$10:$C$224,$C346,'TL08'!$J$10:$J$224),0),
IF('TL08'!$B$229=N$3,SUMIF('TL08'!$C$238:$C$451,$C346,'TL08'!$J$238:$J$451),0),
IF('TL09'!$B$3=N$3,SUMIF('TL09'!$C$10:$C$224,$C346,'TL09'!$J$10:$J$224),0),
IF('TL09'!$B$229=N$3,SUMIF('TL09'!$C$238:$C$451,$C346,'TL09'!$J$238:$J$451),0),
IF('TL10'!$B$3=N$3,SUMIF('TL10'!$C$10:$C$224,$C346,'TL10'!$J$10:$J$224),0),
IF('TL10'!$B$229=N$3,SUMIF('TL10'!$C$238:$C$451,$C346,'TL10'!$J$238:$J$451),0),
IF('TL11'!$B$3=N$3,SUMIF('TL11'!$C$10:$C$224,$C346,'TL11'!$J$10:$J$224),0),
IF('TL11'!$B$229=N$3,SUMIF('TL11'!$C$238:$C$451,$C346,'TL11'!$J$238:$J$451),0),
IF('TL12'!$B$3=N$3,SUMIF('TL12'!$C$10:$C$224,$C346,'TL12'!$J$10:$J$224),0),
IF('TL12'!$B$229=N$3,SUMIF('TL12'!$C$238:$C$451,$C346,'TL12'!$J$238:$J$451),0),
IF('TL13'!$B$3=N$3,SUMIF('TL13'!$C$10:$C$224,$C346,'TL13'!$J$10:$J$224),0),
IF('TL13'!$B$229=N$3,SUMIF('TL13'!$C$238:$C$451,$C346,'TL13'!$J$238:$J$451),0),
IF('TL14'!$B$3=N$3,SUMIF('TL14'!$C$10:$C$224,$C346,'TL14'!$J$10:$J$224),0),
IF('TL14'!$B$229=N$3,SUMIF('TL14'!$C$238:$C$451,$C346,'TL14'!$J$238:$J$451),0),
IF('TL15'!$B$3=N$3,SUMIF('TL15'!$C$10:$C$224,$C346,'TL15'!$J$10:$J$224),0),
IF('TL15'!$B$229=N$3,SUMIF('TL15'!$C$238:$C$451,$C346,'TL15'!$J$238:$J$451),0),
IF('TL16'!$B$3=N$3,SUMIF('TL16'!$C$10:$C$224,$C346,'TL16'!$J$10:$J$224),0),
IF('TL16'!$B$229=N$3,SUMIF('TL16'!$C$238:$C$451,$C346,'TL16'!$J$238:$J$451),0),
IF('TL17'!$B$3=N$3,SUMIF('TL17'!$C$10:$C$224,$C346,'TL17'!$J$10:$J$224),0),
IF('TL17'!$B$229=N$3,SUMIF('TL17'!$C$238:$C$451,$C346,'TL17'!$J$238:$J$451),0),
IF('TL18'!$B$3=N$3,SUMIF('TL18'!$C$10:$C$224,$C346,'TL18'!$J$10:$J$224),0),
IF('TL18'!$B$229=N$3,SUMIF('TL18'!$C$238:$C$451,$C346,'TL18'!$J$238:$J$451),0),
IF('TL19'!$B$3=N$3,SUMIF('TL19'!$C$10:$C$224,$C346,'TL19'!$J$10:$J$224),0),
IF('TL19'!$B$229=N$3,SUMIF('TL19'!$C$238:$C$451,$C346,'TL19'!$J$238:$J$451),0)
),0)</f>
        <v>0</v>
      </c>
      <c r="O346" s="9">
        <f>IFERROR(SUM(
IF('TL01'!$B$3=O$3,SUMIF('TL01'!$C$10:$C$224,$C346,'TL01'!$J$10:$J$224),0),
IF('TL01'!$B$229=O$3,SUMIF('TL01'!$C$238:$C$451,$C346,'TL01'!$J$238:$J$451),0),
IF('TL02'!$B$3=O$3,SUMIF('TL02'!$C$10:$C$224,$C346,'TL02'!$J$10:$J$224),0),
IF('TL02'!$B$229=O$3,SUMIF('TL02'!$C$238:$C$451,$C346,'TL02'!$J$238:$J$451),0),
IF('TL03'!$B$3=O$3,SUMIF('TL03'!$C$10:$C$224,$C346,'TL03'!$J$10:$J$224),0),
IF('TL03'!$B$229=O$3,SUMIF('TL03'!$C$238:$C$451,$C346,'TL03'!$J$238:$J$451),0),
IF('TL04'!$B$3=O$3,SUMIF('TL04'!$C$10:$C$224,$C346,'TL04'!$J$10:$J$224),0),
IF('TL04'!$B$229=O$3,SUMIF('TL04'!$C$238:$C$451,$C346,'TL04'!$J$238:$J$451),0),
IF('TL05'!$B$3=O$3,SUMIF('TL05'!$C$10:$C$224,$C346,'TL05'!$J$10:$J$224),0),
IF('TL05'!$B$229=O$3,SUMIF('TL05'!$C$238:$C$451,$C346,'TL05'!$J$238:$J$451),0),
IF('TL06'!$B$3=O$3,SUMIF('TL06'!$C$10:$C$224,$C346,'TL06'!$J$10:$J$224),0),
IF('TL06'!$B$229=O$3,SUMIF('TL06'!$C$238:$C$451,$C346,'TL06'!$J$238:$J$451),0),
IF('TL07'!$B$3=O$3,SUMIF('TL07'!$C$10:$C$224,$C346,'TL07'!$J$10:$J$224),0),
IF('TL07'!$B$229=O$3,SUMIF('TL07'!$C$238:$C$451,$C346,'TL07'!$J$238:$J$451),0),
IF('TL08'!$B$3=O$3,SUMIF('TL08'!$C$10:$C$224,$C346,'TL08'!$J$10:$J$224),0),
IF('TL08'!$B$229=O$3,SUMIF('TL08'!$C$238:$C$451,$C346,'TL08'!$J$238:$J$451),0),
IF('TL09'!$B$3=O$3,SUMIF('TL09'!$C$10:$C$224,$C346,'TL09'!$J$10:$J$224),0),
IF('TL09'!$B$229=O$3,SUMIF('TL09'!$C$238:$C$451,$C346,'TL09'!$J$238:$J$451),0),
IF('TL10'!$B$3=O$3,SUMIF('TL10'!$C$10:$C$224,$C346,'TL10'!$J$10:$J$224),0),
IF('TL10'!$B$229=O$3,SUMIF('TL10'!$C$238:$C$451,$C346,'TL10'!$J$238:$J$451),0),
IF('TL11'!$B$3=O$3,SUMIF('TL11'!$C$10:$C$224,$C346,'TL11'!$J$10:$J$224),0),
IF('TL11'!$B$229=O$3,SUMIF('TL11'!$C$238:$C$451,$C346,'TL11'!$J$238:$J$451),0),
IF('TL12'!$B$3=O$3,SUMIF('TL12'!$C$10:$C$224,$C346,'TL12'!$J$10:$J$224),0),
IF('TL12'!$B$229=O$3,SUMIF('TL12'!$C$238:$C$451,$C346,'TL12'!$J$238:$J$451),0),
IF('TL13'!$B$3=O$3,SUMIF('TL13'!$C$10:$C$224,$C346,'TL13'!$J$10:$J$224),0),
IF('TL13'!$B$229=O$3,SUMIF('TL13'!$C$238:$C$451,$C346,'TL13'!$J$238:$J$451),0),
IF('TL14'!$B$3=O$3,SUMIF('TL14'!$C$10:$C$224,$C346,'TL14'!$J$10:$J$224),0),
IF('TL14'!$B$229=O$3,SUMIF('TL14'!$C$238:$C$451,$C346,'TL14'!$J$238:$J$451),0),
IF('TL15'!$B$3=O$3,SUMIF('TL15'!$C$10:$C$224,$C346,'TL15'!$J$10:$J$224),0),
IF('TL15'!$B$229=O$3,SUMIF('TL15'!$C$238:$C$451,$C346,'TL15'!$J$238:$J$451),0),
IF('TL16'!$B$3=O$3,SUMIF('TL16'!$C$10:$C$224,$C346,'TL16'!$J$10:$J$224),0),
IF('TL16'!$B$229=O$3,SUMIF('TL16'!$C$238:$C$451,$C346,'TL16'!$J$238:$J$451),0),
IF('TL17'!$B$3=O$3,SUMIF('TL17'!$C$10:$C$224,$C346,'TL17'!$J$10:$J$224),0),
IF('TL17'!$B$229=O$3,SUMIF('TL17'!$C$238:$C$451,$C346,'TL17'!$J$238:$J$451),0),
IF('TL18'!$B$3=O$3,SUMIF('TL18'!$C$10:$C$224,$C346,'TL18'!$J$10:$J$224),0),
IF('TL18'!$B$229=O$3,SUMIF('TL18'!$C$238:$C$451,$C346,'TL18'!$J$238:$J$451),0),
IF('TL19'!$B$3=O$3,SUMIF('TL19'!$C$10:$C$224,$C346,'TL19'!$J$10:$J$224),0),
IF('TL19'!$B$229=O$3,SUMIF('TL19'!$C$238:$C$451,$C346,'TL19'!$J$238:$J$451),0)
),0)</f>
        <v>0</v>
      </c>
      <c r="P346" s="9">
        <f>IFERROR(SUM(
IF('TL01'!$B$3=P$3,SUMIF('TL01'!$C$10:$C$224,$C346,'TL01'!$J$10:$J$224),0),
IF('TL01'!$B$229=P$3,SUMIF('TL01'!$C$238:$C$451,$C346,'TL01'!$J$238:$J$451),0),
IF('TL02'!$B$3=P$3,SUMIF('TL02'!$C$10:$C$224,$C346,'TL02'!$J$10:$J$224),0),
IF('TL02'!$B$229=P$3,SUMIF('TL02'!$C$238:$C$451,$C346,'TL02'!$J$238:$J$451),0),
IF('TL03'!$B$3=P$3,SUMIF('TL03'!$C$10:$C$224,$C346,'TL03'!$J$10:$J$224),0),
IF('TL03'!$B$229=P$3,SUMIF('TL03'!$C$238:$C$451,$C346,'TL03'!$J$238:$J$451),0),
IF('TL04'!$B$3=P$3,SUMIF('TL04'!$C$10:$C$224,$C346,'TL04'!$J$10:$J$224),0),
IF('TL04'!$B$229=P$3,SUMIF('TL04'!$C$238:$C$451,$C346,'TL04'!$J$238:$J$451),0),
IF('TL05'!$B$3=P$3,SUMIF('TL05'!$C$10:$C$224,$C346,'TL05'!$J$10:$J$224),0),
IF('TL05'!$B$229=P$3,SUMIF('TL05'!$C$238:$C$451,$C346,'TL05'!$J$238:$J$451),0),
IF('TL06'!$B$3=P$3,SUMIF('TL06'!$C$10:$C$224,$C346,'TL06'!$J$10:$J$224),0),
IF('TL06'!$B$229=P$3,SUMIF('TL06'!$C$238:$C$451,$C346,'TL06'!$J$238:$J$451),0),
IF('TL07'!$B$3=P$3,SUMIF('TL07'!$C$10:$C$224,$C346,'TL07'!$J$10:$J$224),0),
IF('TL07'!$B$229=P$3,SUMIF('TL07'!$C$238:$C$451,$C346,'TL07'!$J$238:$J$451),0),
IF('TL08'!$B$3=P$3,SUMIF('TL08'!$C$10:$C$224,$C346,'TL08'!$J$10:$J$224),0),
IF('TL08'!$B$229=P$3,SUMIF('TL08'!$C$238:$C$451,$C346,'TL08'!$J$238:$J$451),0),
IF('TL09'!$B$3=P$3,SUMIF('TL09'!$C$10:$C$224,$C346,'TL09'!$J$10:$J$224),0),
IF('TL09'!$B$229=P$3,SUMIF('TL09'!$C$238:$C$451,$C346,'TL09'!$J$238:$J$451),0),
IF('TL10'!$B$3=P$3,SUMIF('TL10'!$C$10:$C$224,$C346,'TL10'!$J$10:$J$224),0),
IF('TL10'!$B$229=P$3,SUMIF('TL10'!$C$238:$C$451,$C346,'TL10'!$J$238:$J$451),0),
IF('TL11'!$B$3=P$3,SUMIF('TL11'!$C$10:$C$224,$C346,'TL11'!$J$10:$J$224),0),
IF('TL11'!$B$229=P$3,SUMIF('TL11'!$C$238:$C$451,$C346,'TL11'!$J$238:$J$451),0),
IF('TL12'!$B$3=P$3,SUMIF('TL12'!$C$10:$C$224,$C346,'TL12'!$J$10:$J$224),0),
IF('TL12'!$B$229=P$3,SUMIF('TL12'!$C$238:$C$451,$C346,'TL12'!$J$238:$J$451),0),
IF('TL13'!$B$3=P$3,SUMIF('TL13'!$C$10:$C$224,$C346,'TL13'!$J$10:$J$224),0),
IF('TL13'!$B$229=P$3,SUMIF('TL13'!$C$238:$C$451,$C346,'TL13'!$J$238:$J$451),0),
IF('TL14'!$B$3=P$3,SUMIF('TL14'!$C$10:$C$224,$C346,'TL14'!$J$10:$J$224),0),
IF('TL14'!$B$229=P$3,SUMIF('TL14'!$C$238:$C$451,$C346,'TL14'!$J$238:$J$451),0),
IF('TL15'!$B$3=P$3,SUMIF('TL15'!$C$10:$C$224,$C346,'TL15'!$J$10:$J$224),0),
IF('TL15'!$B$229=P$3,SUMIF('TL15'!$C$238:$C$451,$C346,'TL15'!$J$238:$J$451),0),
IF('TL16'!$B$3=P$3,SUMIF('TL16'!$C$10:$C$224,$C346,'TL16'!$J$10:$J$224),0),
IF('TL16'!$B$229=P$3,SUMIF('TL16'!$C$238:$C$451,$C346,'TL16'!$J$238:$J$451),0),
IF('TL17'!$B$3=P$3,SUMIF('TL17'!$C$10:$C$224,$C346,'TL17'!$J$10:$J$224),0),
IF('TL17'!$B$229=P$3,SUMIF('TL17'!$C$238:$C$451,$C346,'TL17'!$J$238:$J$451),0),
IF('TL18'!$B$3=P$3,SUMIF('TL18'!$C$10:$C$224,$C346,'TL18'!$J$10:$J$224),0),
IF('TL18'!$B$229=P$3,SUMIF('TL18'!$C$238:$C$451,$C346,'TL18'!$J$238:$J$451),0),
IF('TL19'!$B$3=P$3,SUMIF('TL19'!$C$10:$C$224,$C346,'TL19'!$J$10:$J$224),0),
IF('TL19'!$B$229=P$3,SUMIF('TL19'!$C$238:$C$451,$C346,'TL19'!$J$238:$J$451),0)
),0)</f>
        <v>0</v>
      </c>
      <c r="Q346" s="9">
        <f>IFERROR(SUM(
IF('TL01'!$B$3=Q$3,SUMIF('TL01'!$C$10:$C$224,$C346,'TL01'!$J$10:$J$224),0),
IF('TL01'!$B$229=Q$3,SUMIF('TL01'!$C$238:$C$451,$C346,'TL01'!$J$238:$J$451),0),
IF('TL02'!$B$3=Q$3,SUMIF('TL02'!$C$10:$C$224,$C346,'TL02'!$J$10:$J$224),0),
IF('TL02'!$B$229=Q$3,SUMIF('TL02'!$C$238:$C$451,$C346,'TL02'!$J$238:$J$451),0),
IF('TL03'!$B$3=Q$3,SUMIF('TL03'!$C$10:$C$224,$C346,'TL03'!$J$10:$J$224),0),
IF('TL03'!$B$229=Q$3,SUMIF('TL03'!$C$238:$C$451,$C346,'TL03'!$J$238:$J$451),0),
IF('TL04'!$B$3=Q$3,SUMIF('TL04'!$C$10:$C$224,$C346,'TL04'!$J$10:$J$224),0),
IF('TL04'!$B$229=Q$3,SUMIF('TL04'!$C$238:$C$451,$C346,'TL04'!$J$238:$J$451),0),
IF('TL05'!$B$3=Q$3,SUMIF('TL05'!$C$10:$C$224,$C346,'TL05'!$J$10:$J$224),0),
IF('TL05'!$B$229=Q$3,SUMIF('TL05'!$C$238:$C$451,$C346,'TL05'!$J$238:$J$451),0),
IF('TL06'!$B$3=Q$3,SUMIF('TL06'!$C$10:$C$224,$C346,'TL06'!$J$10:$J$224),0),
IF('TL06'!$B$229=Q$3,SUMIF('TL06'!$C$238:$C$451,$C346,'TL06'!$J$238:$J$451),0),
IF('TL07'!$B$3=Q$3,SUMIF('TL07'!$C$10:$C$224,$C346,'TL07'!$J$10:$J$224),0),
IF('TL07'!$B$229=Q$3,SUMIF('TL07'!$C$238:$C$451,$C346,'TL07'!$J$238:$J$451),0),
IF('TL08'!$B$3=Q$3,SUMIF('TL08'!$C$10:$C$224,$C346,'TL08'!$J$10:$J$224),0),
IF('TL08'!$B$229=Q$3,SUMIF('TL08'!$C$238:$C$451,$C346,'TL08'!$J$238:$J$451),0),
IF('TL09'!$B$3=Q$3,SUMIF('TL09'!$C$10:$C$224,$C346,'TL09'!$J$10:$J$224),0),
IF('TL09'!$B$229=Q$3,SUMIF('TL09'!$C$238:$C$451,$C346,'TL09'!$J$238:$J$451),0),
IF('TL10'!$B$3=Q$3,SUMIF('TL10'!$C$10:$C$224,$C346,'TL10'!$J$10:$J$224),0),
IF('TL10'!$B$229=Q$3,SUMIF('TL10'!$C$238:$C$451,$C346,'TL10'!$J$238:$J$451),0),
IF('TL11'!$B$3=Q$3,SUMIF('TL11'!$C$10:$C$224,$C346,'TL11'!$J$10:$J$224),0),
IF('TL11'!$B$229=Q$3,SUMIF('TL11'!$C$238:$C$451,$C346,'TL11'!$J$238:$J$451),0),
IF('TL12'!$B$3=Q$3,SUMIF('TL12'!$C$10:$C$224,$C346,'TL12'!$J$10:$J$224),0),
IF('TL12'!$B$229=Q$3,SUMIF('TL12'!$C$238:$C$451,$C346,'TL12'!$J$238:$J$451),0),
IF('TL13'!$B$3=Q$3,SUMIF('TL13'!$C$10:$C$224,$C346,'TL13'!$J$10:$J$224),0),
IF('TL13'!$B$229=Q$3,SUMIF('TL13'!$C$238:$C$451,$C346,'TL13'!$J$238:$J$451),0),
IF('TL14'!$B$3=Q$3,SUMIF('TL14'!$C$10:$C$224,$C346,'TL14'!$J$10:$J$224),0),
IF('TL14'!$B$229=Q$3,SUMIF('TL14'!$C$238:$C$451,$C346,'TL14'!$J$238:$J$451),0),
IF('TL15'!$B$3=Q$3,SUMIF('TL15'!$C$10:$C$224,$C346,'TL15'!$J$10:$J$224),0),
IF('TL15'!$B$229=Q$3,SUMIF('TL15'!$C$238:$C$451,$C346,'TL15'!$J$238:$J$451),0),
IF('TL16'!$B$3=Q$3,SUMIF('TL16'!$C$10:$C$224,$C346,'TL16'!$J$10:$J$224),0),
IF('TL16'!$B$229=Q$3,SUMIF('TL16'!$C$238:$C$451,$C346,'TL16'!$J$238:$J$451),0),
IF('TL17'!$B$3=Q$3,SUMIF('TL17'!$C$10:$C$224,$C346,'TL17'!$J$10:$J$224),0),
IF('TL17'!$B$229=Q$3,SUMIF('TL17'!$C$238:$C$451,$C346,'TL17'!$J$238:$J$451),0),
IF('TL18'!$B$3=Q$3,SUMIF('TL18'!$C$10:$C$224,$C346,'TL18'!$J$10:$J$224),0),
IF('TL18'!$B$229=Q$3,SUMIF('TL18'!$C$238:$C$451,$C346,'TL18'!$J$238:$J$451),0),
IF('TL19'!$B$3=Q$3,SUMIF('TL19'!$C$10:$C$224,$C346,'TL19'!$J$10:$J$224),0),
IF('TL19'!$B$229=Q$3,SUMIF('TL19'!$C$238:$C$451,$C346,'TL19'!$J$238:$J$451),0)
),0)</f>
        <v>0</v>
      </c>
      <c r="R346" s="9">
        <f>IFERROR(
SUM(
SUMIF('TL01'!C:C,C346,'TL01'!J:J),
SUMIF('TL02'!C:C,C346,'TL02'!J:J),
SUMIF('TL03'!C:C,C346,'TL03'!J:J),
SUMIF('TL04'!C:C,C346,'TL04'!J:J),
SUMIF('TL05'!C:C,C346,'TL05'!J:J),
SUMIF('TL06'!C:C,C346,'TL06'!J:J),
SUMIF('TL07'!C:C,C346,'TL07'!J:J),
SUMIF('TL08'!C:C,C346,'TL08'!J:J),
SUMIF('TL09'!C:C,C346,'TL09'!J:J),
SUMIF('TL10'!C:C,C346,'TL10'!J:J),
SUMIF('TL11'!C:C,C346,'TL11'!J:J),
SUMIF('TL12'!C:C,C346,'TL12'!J:J),
SUMIF('TL13'!C:C,C346,'TL13'!J:J),
SUMIF('TL14'!C:C,C346,'TL14'!J:J),
SUMIF('TL15'!C:C,C346,'TL15'!J:J),
SUMIF('TL16'!C:C,C346,'TL16'!J:J),
SUMIF('TL17'!C:C,C346,'TL17'!J:J),
SUMIF('TL18'!C:C,C346,'TL18'!J:J),SUMIF('TL19'!C:C,C346,'TL19'!J:J))
,0)</f>
        <v>1470</v>
      </c>
      <c r="S346" s="17" t="str">
        <f>IFERROR(__xludf.DUMMYFUNCTION("IFERROR(VLOOKUP(C346,
IMPORTRANGE(""1wULbzX32WdYsx-lj2U3uUNBBe2INVIRDtcK0d-Dvl90"",
""26-27!C:G""),
5,
FALSE),
"""")"),"")</f>
        <v/>
      </c>
      <c r="T346" s="9"/>
      <c r="U346" s="92">
        <f t="shared" si="2"/>
        <v>1470</v>
      </c>
      <c r="V346" s="93">
        <f t="shared" si="3"/>
        <v>0</v>
      </c>
    </row>
    <row r="347" ht="15.75" hidden="1" customHeight="1">
      <c r="A347" s="4"/>
      <c r="B347" s="125" t="s">
        <v>5</v>
      </c>
      <c r="C347" s="4" t="s">
        <v>1068</v>
      </c>
      <c r="D347" s="6"/>
      <c r="E347" s="9"/>
      <c r="F347" s="4" t="s">
        <v>1042</v>
      </c>
      <c r="G347" s="90" t="str">
        <f t="shared" si="5"/>
        <v>📄 Ver bula</v>
      </c>
      <c r="H347" s="9"/>
      <c r="I347" s="1" t="s">
        <v>1043</v>
      </c>
      <c r="J347" s="9">
        <f>IFERROR(SUM(
IF('TL01'!$B$3=J$3,SUMIF('TL01'!$C$10:$C$224,$C347,'TL01'!$J$10:$J$224),0),
IF('TL01'!$B$229=J$3,SUMIF('TL01'!$C$238:$C$451,$C347,'TL01'!$J$238:$J$451),0),
IF('TL02'!$B$3=J$3,SUMIF('TL02'!$C$10:$C$224,$C347,'TL02'!$J$10:$J$224),0),
IF('TL02'!$B$229=J$3,SUMIF('TL02'!$C$238:$C$451,$C347,'TL02'!$J$238:$J$451),0),
IF('TL03'!$B$3=J$3,SUMIF('TL03'!$C$10:$C$224,$C347,'TL03'!$J$10:$J$224),0),
IF('TL03'!$B$229=J$3,SUMIF('TL03'!$C$238:$C$451,$C347,'TL03'!$J$238:$J$451),0),
IF('TL04'!$B$3=J$3,SUMIF('TL04'!$C$10:$C$224,$C347,'TL04'!$J$10:$J$224),0),
IF('TL04'!$B$229=J$3,SUMIF('TL04'!$C$238:$C$451,$C347,'TL04'!$J$238:$J$451),0),
IF('TL05'!$B$3=J$3,SUMIF('TL05'!$C$10:$C$224,$C347,'TL05'!$J$10:$J$224),0),
IF('TL05'!$B$229=J$3,SUMIF('TL05'!$C$238:$C$451,$C347,'TL05'!$J$238:$J$451),0),
IF('TL06'!$B$3=J$3,SUMIF('TL06'!$C$10:$C$224,$C347,'TL06'!$J$10:$J$224),0),
IF('TL06'!$B$229=J$3,SUMIF('TL06'!$C$238:$C$451,$C347,'TL06'!$J$238:$J$451),0),
IF('TL07'!$B$3=J$3,SUMIF('TL07'!$C$10:$C$224,$C347,'TL07'!$J$10:$J$224),0),
IF('TL07'!$B$229=J$3,SUMIF('TL07'!$C$238:$C$451,$C347,'TL07'!$J$238:$J$451),0),
IF('TL08'!$B$3=J$3,SUMIF('TL08'!$C$10:$C$224,$C347,'TL08'!$J$10:$J$224),0),
IF('TL08'!$B$229=J$3,SUMIF('TL08'!$C$238:$C$451,$C347,'TL08'!$J$238:$J$451),0),
IF('TL09'!$B$3=J$3,SUMIF('TL09'!$C$10:$C$224,$C347,'TL09'!$J$10:$J$224),0),
IF('TL09'!$B$229=J$3,SUMIF('TL09'!$C$238:$C$451,$C347,'TL09'!$J$238:$J$451),0),
IF('TL10'!$B$3=J$3,SUMIF('TL10'!$C$10:$C$224,$C347,'TL10'!$J$10:$J$224),0),
IF('TL10'!$B$229=J$3,SUMIF('TL10'!$C$238:$C$451,$C347,'TL10'!$J$238:$J$451),0),
IF('TL11'!$B$3=J$3,SUMIF('TL11'!$C$10:$C$224,$C347,'TL11'!$J$10:$J$224),0),
IF('TL11'!$B$229=J$3,SUMIF('TL11'!$C$238:$C$451,$C347,'TL11'!$J$238:$J$451),0),
IF('TL12'!$B$3=J$3,SUMIF('TL12'!$C$10:$C$224,$C347,'TL12'!$J$10:$J$224),0),
IF('TL12'!$B$229=J$3,SUMIF('TL12'!$C$238:$C$451,$C347,'TL12'!$J$238:$J$451),0),
IF('TL13'!$B$3=J$3,SUMIF('TL13'!$C$10:$C$224,$C347,'TL13'!$J$10:$J$224),0),
IF('TL13'!$B$229=J$3,SUMIF('TL13'!$C$238:$C$451,$C347,'TL13'!$J$238:$J$451),0),
IF('TL14'!$B$3=J$3,SUMIF('TL14'!$C$10:$C$224,$C347,'TL14'!$J$10:$J$224),0),
IF('TL14'!$B$229=J$3,SUMIF('TL14'!$C$238:$C$451,$C347,'TL14'!$J$238:$J$451),0),
IF('TL15'!$B$3=J$3,SUMIF('TL15'!$C$10:$C$224,$C347,'TL15'!$J$10:$J$224),0),
IF('TL15'!$B$229=J$3,SUMIF('TL15'!$C$238:$C$451,$C347,'TL15'!$J$238:$J$451),0),
IF('TL16'!$B$3=J$3,SUMIF('TL16'!$C$10:$C$224,$C347,'TL16'!$J$10:$J$224),0),
IF('TL16'!$B$229=J$3,SUMIF('TL16'!$C$238:$C$451,$C347,'TL16'!$J$238:$J$451),0),
IF('TL17'!$B$3=J$3,SUMIF('TL17'!$C$10:$C$224,$C347,'TL17'!$J$10:$J$224),0),
IF('TL17'!$B$229=J$3,SUMIF('TL17'!$C$238:$C$451,$C347,'TL17'!$J$238:$J$451),0),
IF('TL18'!$B$3=J$3,SUMIF('TL18'!$C$10:$C$224,$C347,'TL18'!$J$10:$J$224),0),
IF('TL18'!$B$229=J$3,SUMIF('TL18'!$C$238:$C$451,$C347,'TL18'!$J$238:$J$451),0),
IF('TL19'!$B$3=J$3,SUMIF('TL19'!$C$10:$C$224,$C347,'TL19'!$J$10:$J$224),0),
IF('TL19'!$B$229=J$3,SUMIF('TL19'!$C$238:$C$451,$C347,'TL19'!$J$238:$J$451),0)
),0)</f>
        <v>0</v>
      </c>
      <c r="K347" s="9">
        <f>IFERROR(SUM(
IF('TL01'!$B$3=K$3,SUMIF('TL01'!$C$10:$C$224,$C347,'TL01'!$J$10:$J$224),0),
IF('TL01'!$B$229=K$3,SUMIF('TL01'!$C$238:$C$451,$C347,'TL01'!$J$238:$J$451),0),
IF('TL02'!$B$3=K$3,SUMIF('TL02'!$C$10:$C$224,$C347,'TL02'!$J$10:$J$224),0),
IF('TL02'!$B$229=K$3,SUMIF('TL02'!$C$238:$C$451,$C347,'TL02'!$J$238:$J$451),0),
IF('TL03'!$B$3=K$3,SUMIF('TL03'!$C$10:$C$224,$C347,'TL03'!$J$10:$J$224),0),
IF('TL03'!$B$229=K$3,SUMIF('TL03'!$C$238:$C$451,$C347,'TL03'!$J$238:$J$451),0),
IF('TL04'!$B$3=K$3,SUMIF('TL04'!$C$10:$C$224,$C347,'TL04'!$J$10:$J$224),0),
IF('TL04'!$B$229=K$3,SUMIF('TL04'!$C$238:$C$451,$C347,'TL04'!$J$238:$J$451),0),
IF('TL05'!$B$3=K$3,SUMIF('TL05'!$C$10:$C$224,$C347,'TL05'!$J$10:$J$224),0),
IF('TL05'!$B$229=K$3,SUMIF('TL05'!$C$238:$C$451,$C347,'TL05'!$J$238:$J$451),0),
IF('TL06'!$B$3=K$3,SUMIF('TL06'!$C$10:$C$224,$C347,'TL06'!$J$10:$J$224),0),
IF('TL06'!$B$229=K$3,SUMIF('TL06'!$C$238:$C$451,$C347,'TL06'!$J$238:$J$451),0),
IF('TL07'!$B$3=K$3,SUMIF('TL07'!$C$10:$C$224,$C347,'TL07'!$J$10:$J$224),0),
IF('TL07'!$B$229=K$3,SUMIF('TL07'!$C$238:$C$451,$C347,'TL07'!$J$238:$J$451),0),
IF('TL08'!$B$3=K$3,SUMIF('TL08'!$C$10:$C$224,$C347,'TL08'!$J$10:$J$224),0),
IF('TL08'!$B$229=K$3,SUMIF('TL08'!$C$238:$C$451,$C347,'TL08'!$J$238:$J$451),0),
IF('TL09'!$B$3=K$3,SUMIF('TL09'!$C$10:$C$224,$C347,'TL09'!$J$10:$J$224),0),
IF('TL09'!$B$229=K$3,SUMIF('TL09'!$C$238:$C$451,$C347,'TL09'!$J$238:$J$451),0),
IF('TL10'!$B$3=K$3,SUMIF('TL10'!$C$10:$C$224,$C347,'TL10'!$J$10:$J$224),0),
IF('TL10'!$B$229=K$3,SUMIF('TL10'!$C$238:$C$451,$C347,'TL10'!$J$238:$J$451),0),
IF('TL11'!$B$3=K$3,SUMIF('TL11'!$C$10:$C$224,$C347,'TL11'!$J$10:$J$224),0),
IF('TL11'!$B$229=K$3,SUMIF('TL11'!$C$238:$C$451,$C347,'TL11'!$J$238:$J$451),0),
IF('TL12'!$B$3=K$3,SUMIF('TL12'!$C$10:$C$224,$C347,'TL12'!$J$10:$J$224),0),
IF('TL12'!$B$229=K$3,SUMIF('TL12'!$C$238:$C$451,$C347,'TL12'!$J$238:$J$451),0),
IF('TL13'!$B$3=K$3,SUMIF('TL13'!$C$10:$C$224,$C347,'TL13'!$J$10:$J$224),0),
IF('TL13'!$B$229=K$3,SUMIF('TL13'!$C$238:$C$451,$C347,'TL13'!$J$238:$J$451),0),
IF('TL14'!$B$3=K$3,SUMIF('TL14'!$C$10:$C$224,$C347,'TL14'!$J$10:$J$224),0),
IF('TL14'!$B$229=K$3,SUMIF('TL14'!$C$238:$C$451,$C347,'TL14'!$J$238:$J$451),0),
IF('TL15'!$B$3=K$3,SUMIF('TL15'!$C$10:$C$224,$C347,'TL15'!$J$10:$J$224),0),
IF('TL15'!$B$229=K$3,SUMIF('TL15'!$C$238:$C$451,$C347,'TL15'!$J$238:$J$451),0),
IF('TL16'!$B$3=K$3,SUMIF('TL16'!$C$10:$C$224,$C347,'TL16'!$J$10:$J$224),0),
IF('TL16'!$B$229=K$3,SUMIF('TL16'!$C$238:$C$451,$C347,'TL16'!$J$238:$J$451),0),
IF('TL17'!$B$3=K$3,SUMIF('TL17'!$C$10:$C$224,$C347,'TL17'!$J$10:$J$224),0),
IF('TL17'!$B$229=K$3,SUMIF('TL17'!$C$238:$C$451,$C347,'TL17'!$J$238:$J$451),0),
IF('TL18'!$B$3=K$3,SUMIF('TL18'!$C$10:$C$224,$C347,'TL18'!$J$10:$J$224),0),
IF('TL18'!$B$229=K$3,SUMIF('TL18'!$C$238:$C$451,$C347,'TL18'!$J$238:$J$451),0),
IF('TL19'!$B$3=K$3,SUMIF('TL19'!$C$10:$C$224,$C347,'TL19'!$J$10:$J$224),0),
IF('TL19'!$B$229=K$3,SUMIF('TL19'!$C$238:$C$451,$C347,'TL19'!$J$238:$J$451),0)
),0)</f>
        <v>0</v>
      </c>
      <c r="L347" s="9">
        <f>IFERROR(SUM(
IF('TL01'!$B$3=L$3,SUMIF('TL01'!$C$10:$C$224,$C347,'TL01'!$J$10:$J$224),0),
IF('TL01'!$B$229=L$3,SUMIF('TL01'!$C$238:$C$451,$C347,'TL01'!$J$238:$J$451),0),
IF('TL02'!$B$3=L$3,SUMIF('TL02'!$C$10:$C$224,$C347,'TL02'!$J$10:$J$224),0),
IF('TL02'!$B$229=L$3,SUMIF('TL02'!$C$238:$C$451,$C347,'TL02'!$J$238:$J$451),0),
IF('TL03'!$B$3=L$3,SUMIF('TL03'!$C$10:$C$224,$C347,'TL03'!$J$10:$J$224),0),
IF('TL03'!$B$229=L$3,SUMIF('TL03'!$C$238:$C$451,$C347,'TL03'!$J$238:$J$451),0),
IF('TL04'!$B$3=L$3,SUMIF('TL04'!$C$10:$C$224,$C347,'TL04'!$J$10:$J$224),0),
IF('TL04'!$B$229=L$3,SUMIF('TL04'!$C$238:$C$451,$C347,'TL04'!$J$238:$J$451),0),
IF('TL05'!$B$3=L$3,SUMIF('TL05'!$C$10:$C$224,$C347,'TL05'!$J$10:$J$224),0),
IF('TL05'!$B$229=L$3,SUMIF('TL05'!$C$238:$C$451,$C347,'TL05'!$J$238:$J$451),0),
IF('TL06'!$B$3=L$3,SUMIF('TL06'!$C$10:$C$224,$C347,'TL06'!$J$10:$J$224),0),
IF('TL06'!$B$229=L$3,SUMIF('TL06'!$C$238:$C$451,$C347,'TL06'!$J$238:$J$451),0),
IF('TL07'!$B$3=L$3,SUMIF('TL07'!$C$10:$C$224,$C347,'TL07'!$J$10:$J$224),0),
IF('TL07'!$B$229=L$3,SUMIF('TL07'!$C$238:$C$451,$C347,'TL07'!$J$238:$J$451),0),
IF('TL08'!$B$3=L$3,SUMIF('TL08'!$C$10:$C$224,$C347,'TL08'!$J$10:$J$224),0),
IF('TL08'!$B$229=L$3,SUMIF('TL08'!$C$238:$C$451,$C347,'TL08'!$J$238:$J$451),0),
IF('TL09'!$B$3=L$3,SUMIF('TL09'!$C$10:$C$224,$C347,'TL09'!$J$10:$J$224),0),
IF('TL09'!$B$229=L$3,SUMIF('TL09'!$C$238:$C$451,$C347,'TL09'!$J$238:$J$451),0),
IF('TL10'!$B$3=L$3,SUMIF('TL10'!$C$10:$C$224,$C347,'TL10'!$J$10:$J$224),0),
IF('TL10'!$B$229=L$3,SUMIF('TL10'!$C$238:$C$451,$C347,'TL10'!$J$238:$J$451),0),
IF('TL11'!$B$3=L$3,SUMIF('TL11'!$C$10:$C$224,$C347,'TL11'!$J$10:$J$224),0),
IF('TL11'!$B$229=L$3,SUMIF('TL11'!$C$238:$C$451,$C347,'TL11'!$J$238:$J$451),0),
IF('TL12'!$B$3=L$3,SUMIF('TL12'!$C$10:$C$224,$C347,'TL12'!$J$10:$J$224),0),
IF('TL12'!$B$229=L$3,SUMIF('TL12'!$C$238:$C$451,$C347,'TL12'!$J$238:$J$451),0),
IF('TL13'!$B$3=L$3,SUMIF('TL13'!$C$10:$C$224,$C347,'TL13'!$J$10:$J$224),0),
IF('TL13'!$B$229=L$3,SUMIF('TL13'!$C$238:$C$451,$C347,'TL13'!$J$238:$J$451),0),
IF('TL14'!$B$3=L$3,SUMIF('TL14'!$C$10:$C$224,$C347,'TL14'!$J$10:$J$224),0),
IF('TL14'!$B$229=L$3,SUMIF('TL14'!$C$238:$C$451,$C347,'TL14'!$J$238:$J$451),0),
IF('TL15'!$B$3=L$3,SUMIF('TL15'!$C$10:$C$224,$C347,'TL15'!$J$10:$J$224),0),
IF('TL15'!$B$229=L$3,SUMIF('TL15'!$C$238:$C$451,$C347,'TL15'!$J$238:$J$451),0),
IF('TL16'!$B$3=L$3,SUMIF('TL16'!$C$10:$C$224,$C347,'TL16'!$J$10:$J$224),0),
IF('TL16'!$B$229=L$3,SUMIF('TL16'!$C$238:$C$451,$C347,'TL16'!$J$238:$J$451),0),
IF('TL17'!$B$3=L$3,SUMIF('TL17'!$C$10:$C$224,$C347,'TL17'!$J$10:$J$224),0),
IF('TL17'!$B$229=L$3,SUMIF('TL17'!$C$238:$C$451,$C347,'TL17'!$J$238:$J$451),0),
IF('TL18'!$B$3=L$3,SUMIF('TL18'!$C$10:$C$224,$C347,'TL18'!$J$10:$J$224),0),
IF('TL18'!$B$229=L$3,SUMIF('TL18'!$C$238:$C$451,$C347,'TL18'!$J$238:$J$451),0),
IF('TL19'!$B$3=L$3,SUMIF('TL19'!$C$10:$C$224,$C347,'TL19'!$J$10:$J$224),0),
IF('TL19'!$B$229=L$3,SUMIF('TL19'!$C$238:$C$451,$C347,'TL19'!$J$238:$J$451),0)
),0)</f>
        <v>0</v>
      </c>
      <c r="M347" s="9">
        <f>IFERROR(SUM(
IF('TL01'!$B$3=M$3,SUMIF('TL01'!$C$10:$C$224,$C347,'TL01'!$J$10:$J$224),0),
IF('TL01'!$B$229=M$3,SUMIF('TL01'!$C$238:$C$451,$C347,'TL01'!$J$238:$J$451),0),
IF('TL02'!$B$3=M$3,SUMIF('TL02'!$C$10:$C$224,$C347,'TL02'!$J$10:$J$224),0),
IF('TL02'!$B$229=M$3,SUMIF('TL02'!$C$238:$C$451,$C347,'TL02'!$J$238:$J$451),0),
IF('TL03'!$B$3=M$3,SUMIF('TL03'!$C$10:$C$224,$C347,'TL03'!$J$10:$J$224),0),
IF('TL03'!$B$229=M$3,SUMIF('TL03'!$C$238:$C$451,$C347,'TL03'!$J$238:$J$451),0),
IF('TL04'!$B$3=M$3,SUMIF('TL04'!$C$10:$C$224,$C347,'TL04'!$J$10:$J$224),0),
IF('TL04'!$B$229=M$3,SUMIF('TL04'!$C$238:$C$451,$C347,'TL04'!$J$238:$J$451),0),
IF('TL05'!$B$3=M$3,SUMIF('TL05'!$C$10:$C$224,$C347,'TL05'!$J$10:$J$224),0),
IF('TL05'!$B$229=M$3,SUMIF('TL05'!$C$238:$C$451,$C347,'TL05'!$J$238:$J$451),0),
IF('TL06'!$B$3=M$3,SUMIF('TL06'!$C$10:$C$224,$C347,'TL06'!$J$10:$J$224),0),
IF('TL06'!$B$229=M$3,SUMIF('TL06'!$C$238:$C$451,$C347,'TL06'!$J$238:$J$451),0),
IF('TL07'!$B$3=M$3,SUMIF('TL07'!$C$10:$C$224,$C347,'TL07'!$J$10:$J$224),0),
IF('TL07'!$B$229=M$3,SUMIF('TL07'!$C$238:$C$451,$C347,'TL07'!$J$238:$J$451),0),
IF('TL08'!$B$3=M$3,SUMIF('TL08'!$C$10:$C$224,$C347,'TL08'!$J$10:$J$224),0),
IF('TL08'!$B$229=M$3,SUMIF('TL08'!$C$238:$C$451,$C347,'TL08'!$J$238:$J$451),0),
IF('TL09'!$B$3=M$3,SUMIF('TL09'!$C$10:$C$224,$C347,'TL09'!$J$10:$J$224),0),
IF('TL09'!$B$229=M$3,SUMIF('TL09'!$C$238:$C$451,$C347,'TL09'!$J$238:$J$451),0),
IF('TL10'!$B$3=M$3,SUMIF('TL10'!$C$10:$C$224,$C347,'TL10'!$J$10:$J$224),0),
IF('TL10'!$B$229=M$3,SUMIF('TL10'!$C$238:$C$451,$C347,'TL10'!$J$238:$J$451),0),
IF('TL11'!$B$3=M$3,SUMIF('TL11'!$C$10:$C$224,$C347,'TL11'!$J$10:$J$224),0),
IF('TL11'!$B$229=M$3,SUMIF('TL11'!$C$238:$C$451,$C347,'TL11'!$J$238:$J$451),0),
IF('TL12'!$B$3=M$3,SUMIF('TL12'!$C$10:$C$224,$C347,'TL12'!$J$10:$J$224),0),
IF('TL12'!$B$229=M$3,SUMIF('TL12'!$C$238:$C$451,$C347,'TL12'!$J$238:$J$451),0),
IF('TL13'!$B$3=M$3,SUMIF('TL13'!$C$10:$C$224,$C347,'TL13'!$J$10:$J$224),0),
IF('TL13'!$B$229=M$3,SUMIF('TL13'!$C$238:$C$451,$C347,'TL13'!$J$238:$J$451),0),
IF('TL14'!$B$3=M$3,SUMIF('TL14'!$C$10:$C$224,$C347,'TL14'!$J$10:$J$224),0),
IF('TL14'!$B$229=M$3,SUMIF('TL14'!$C$238:$C$451,$C347,'TL14'!$J$238:$J$451),0),
IF('TL15'!$B$3=M$3,SUMIF('TL15'!$C$10:$C$224,$C347,'TL15'!$J$10:$J$224),0),
IF('TL15'!$B$229=M$3,SUMIF('TL15'!$C$238:$C$451,$C347,'TL15'!$J$238:$J$451),0),
IF('TL16'!$B$3=M$3,SUMIF('TL16'!$C$10:$C$224,$C347,'TL16'!$J$10:$J$224),0),
IF('TL16'!$B$229=M$3,SUMIF('TL16'!$C$238:$C$451,$C347,'TL16'!$J$238:$J$451),0),
IF('TL17'!$B$3=M$3,SUMIF('TL17'!$C$10:$C$224,$C347,'TL17'!$J$10:$J$224),0),
IF('TL17'!$B$229=M$3,SUMIF('TL17'!$C$238:$C$451,$C347,'TL17'!$J$238:$J$451),0),
IF('TL18'!$B$3=M$3,SUMIF('TL18'!$C$10:$C$224,$C347,'TL18'!$J$10:$J$224),0),
IF('TL18'!$B$229=M$3,SUMIF('TL18'!$C$238:$C$451,$C347,'TL18'!$J$238:$J$451),0),
IF('TL19'!$B$3=M$3,SUMIF('TL19'!$C$10:$C$224,$C347,'TL19'!$J$10:$J$224),0),
IF('TL19'!$B$229=M$3,SUMIF('TL19'!$C$238:$C$451,$C347,'TL19'!$J$238:$J$451),0)
),0)</f>
        <v>0</v>
      </c>
      <c r="N347" s="9">
        <f>IFERROR(SUM(
IF('TL01'!$B$3=N$3,SUMIF('TL01'!$C$10:$C$224,$C347,'TL01'!$J$10:$J$224),0),
IF('TL01'!$B$229=N$3,SUMIF('TL01'!$C$238:$C$451,$C347,'TL01'!$J$238:$J$451),0),
IF('TL02'!$B$3=N$3,SUMIF('TL02'!$C$10:$C$224,$C347,'TL02'!$J$10:$J$224),0),
IF('TL02'!$B$229=N$3,SUMIF('TL02'!$C$238:$C$451,$C347,'TL02'!$J$238:$J$451),0),
IF('TL03'!$B$3=N$3,SUMIF('TL03'!$C$10:$C$224,$C347,'TL03'!$J$10:$J$224),0),
IF('TL03'!$B$229=N$3,SUMIF('TL03'!$C$238:$C$451,$C347,'TL03'!$J$238:$J$451),0),
IF('TL04'!$B$3=N$3,SUMIF('TL04'!$C$10:$C$224,$C347,'TL04'!$J$10:$J$224),0),
IF('TL04'!$B$229=N$3,SUMIF('TL04'!$C$238:$C$451,$C347,'TL04'!$J$238:$J$451),0),
IF('TL05'!$B$3=N$3,SUMIF('TL05'!$C$10:$C$224,$C347,'TL05'!$J$10:$J$224),0),
IF('TL05'!$B$229=N$3,SUMIF('TL05'!$C$238:$C$451,$C347,'TL05'!$J$238:$J$451),0),
IF('TL06'!$B$3=N$3,SUMIF('TL06'!$C$10:$C$224,$C347,'TL06'!$J$10:$J$224),0),
IF('TL06'!$B$229=N$3,SUMIF('TL06'!$C$238:$C$451,$C347,'TL06'!$J$238:$J$451),0),
IF('TL07'!$B$3=N$3,SUMIF('TL07'!$C$10:$C$224,$C347,'TL07'!$J$10:$J$224),0),
IF('TL07'!$B$229=N$3,SUMIF('TL07'!$C$238:$C$451,$C347,'TL07'!$J$238:$J$451),0),
IF('TL08'!$B$3=N$3,SUMIF('TL08'!$C$10:$C$224,$C347,'TL08'!$J$10:$J$224),0),
IF('TL08'!$B$229=N$3,SUMIF('TL08'!$C$238:$C$451,$C347,'TL08'!$J$238:$J$451),0),
IF('TL09'!$B$3=N$3,SUMIF('TL09'!$C$10:$C$224,$C347,'TL09'!$J$10:$J$224),0),
IF('TL09'!$B$229=N$3,SUMIF('TL09'!$C$238:$C$451,$C347,'TL09'!$J$238:$J$451),0),
IF('TL10'!$B$3=N$3,SUMIF('TL10'!$C$10:$C$224,$C347,'TL10'!$J$10:$J$224),0),
IF('TL10'!$B$229=N$3,SUMIF('TL10'!$C$238:$C$451,$C347,'TL10'!$J$238:$J$451),0),
IF('TL11'!$B$3=N$3,SUMIF('TL11'!$C$10:$C$224,$C347,'TL11'!$J$10:$J$224),0),
IF('TL11'!$B$229=N$3,SUMIF('TL11'!$C$238:$C$451,$C347,'TL11'!$J$238:$J$451),0),
IF('TL12'!$B$3=N$3,SUMIF('TL12'!$C$10:$C$224,$C347,'TL12'!$J$10:$J$224),0),
IF('TL12'!$B$229=N$3,SUMIF('TL12'!$C$238:$C$451,$C347,'TL12'!$J$238:$J$451),0),
IF('TL13'!$B$3=N$3,SUMIF('TL13'!$C$10:$C$224,$C347,'TL13'!$J$10:$J$224),0),
IF('TL13'!$B$229=N$3,SUMIF('TL13'!$C$238:$C$451,$C347,'TL13'!$J$238:$J$451),0),
IF('TL14'!$B$3=N$3,SUMIF('TL14'!$C$10:$C$224,$C347,'TL14'!$J$10:$J$224),0),
IF('TL14'!$B$229=N$3,SUMIF('TL14'!$C$238:$C$451,$C347,'TL14'!$J$238:$J$451),0),
IF('TL15'!$B$3=N$3,SUMIF('TL15'!$C$10:$C$224,$C347,'TL15'!$J$10:$J$224),0),
IF('TL15'!$B$229=N$3,SUMIF('TL15'!$C$238:$C$451,$C347,'TL15'!$J$238:$J$451),0),
IF('TL16'!$B$3=N$3,SUMIF('TL16'!$C$10:$C$224,$C347,'TL16'!$J$10:$J$224),0),
IF('TL16'!$B$229=N$3,SUMIF('TL16'!$C$238:$C$451,$C347,'TL16'!$J$238:$J$451),0),
IF('TL17'!$B$3=N$3,SUMIF('TL17'!$C$10:$C$224,$C347,'TL17'!$J$10:$J$224),0),
IF('TL17'!$B$229=N$3,SUMIF('TL17'!$C$238:$C$451,$C347,'TL17'!$J$238:$J$451),0),
IF('TL18'!$B$3=N$3,SUMIF('TL18'!$C$10:$C$224,$C347,'TL18'!$J$10:$J$224),0),
IF('TL18'!$B$229=N$3,SUMIF('TL18'!$C$238:$C$451,$C347,'TL18'!$J$238:$J$451),0),
IF('TL19'!$B$3=N$3,SUMIF('TL19'!$C$10:$C$224,$C347,'TL19'!$J$10:$J$224),0),
IF('TL19'!$B$229=N$3,SUMIF('TL19'!$C$238:$C$451,$C347,'TL19'!$J$238:$J$451),0)
),0)</f>
        <v>0</v>
      </c>
      <c r="O347" s="9">
        <f>IFERROR(SUM(
IF('TL01'!$B$3=O$3,SUMIF('TL01'!$C$10:$C$224,$C347,'TL01'!$J$10:$J$224),0),
IF('TL01'!$B$229=O$3,SUMIF('TL01'!$C$238:$C$451,$C347,'TL01'!$J$238:$J$451),0),
IF('TL02'!$B$3=O$3,SUMIF('TL02'!$C$10:$C$224,$C347,'TL02'!$J$10:$J$224),0),
IF('TL02'!$B$229=O$3,SUMIF('TL02'!$C$238:$C$451,$C347,'TL02'!$J$238:$J$451),0),
IF('TL03'!$B$3=O$3,SUMIF('TL03'!$C$10:$C$224,$C347,'TL03'!$J$10:$J$224),0),
IF('TL03'!$B$229=O$3,SUMIF('TL03'!$C$238:$C$451,$C347,'TL03'!$J$238:$J$451),0),
IF('TL04'!$B$3=O$3,SUMIF('TL04'!$C$10:$C$224,$C347,'TL04'!$J$10:$J$224),0),
IF('TL04'!$B$229=O$3,SUMIF('TL04'!$C$238:$C$451,$C347,'TL04'!$J$238:$J$451),0),
IF('TL05'!$B$3=O$3,SUMIF('TL05'!$C$10:$C$224,$C347,'TL05'!$J$10:$J$224),0),
IF('TL05'!$B$229=O$3,SUMIF('TL05'!$C$238:$C$451,$C347,'TL05'!$J$238:$J$451),0),
IF('TL06'!$B$3=O$3,SUMIF('TL06'!$C$10:$C$224,$C347,'TL06'!$J$10:$J$224),0),
IF('TL06'!$B$229=O$3,SUMIF('TL06'!$C$238:$C$451,$C347,'TL06'!$J$238:$J$451),0),
IF('TL07'!$B$3=O$3,SUMIF('TL07'!$C$10:$C$224,$C347,'TL07'!$J$10:$J$224),0),
IF('TL07'!$B$229=O$3,SUMIF('TL07'!$C$238:$C$451,$C347,'TL07'!$J$238:$J$451),0),
IF('TL08'!$B$3=O$3,SUMIF('TL08'!$C$10:$C$224,$C347,'TL08'!$J$10:$J$224),0),
IF('TL08'!$B$229=O$3,SUMIF('TL08'!$C$238:$C$451,$C347,'TL08'!$J$238:$J$451),0),
IF('TL09'!$B$3=O$3,SUMIF('TL09'!$C$10:$C$224,$C347,'TL09'!$J$10:$J$224),0),
IF('TL09'!$B$229=O$3,SUMIF('TL09'!$C$238:$C$451,$C347,'TL09'!$J$238:$J$451),0),
IF('TL10'!$B$3=O$3,SUMIF('TL10'!$C$10:$C$224,$C347,'TL10'!$J$10:$J$224),0),
IF('TL10'!$B$229=O$3,SUMIF('TL10'!$C$238:$C$451,$C347,'TL10'!$J$238:$J$451),0),
IF('TL11'!$B$3=O$3,SUMIF('TL11'!$C$10:$C$224,$C347,'TL11'!$J$10:$J$224),0),
IF('TL11'!$B$229=O$3,SUMIF('TL11'!$C$238:$C$451,$C347,'TL11'!$J$238:$J$451),0),
IF('TL12'!$B$3=O$3,SUMIF('TL12'!$C$10:$C$224,$C347,'TL12'!$J$10:$J$224),0),
IF('TL12'!$B$229=O$3,SUMIF('TL12'!$C$238:$C$451,$C347,'TL12'!$J$238:$J$451),0),
IF('TL13'!$B$3=O$3,SUMIF('TL13'!$C$10:$C$224,$C347,'TL13'!$J$10:$J$224),0),
IF('TL13'!$B$229=O$3,SUMIF('TL13'!$C$238:$C$451,$C347,'TL13'!$J$238:$J$451),0),
IF('TL14'!$B$3=O$3,SUMIF('TL14'!$C$10:$C$224,$C347,'TL14'!$J$10:$J$224),0),
IF('TL14'!$B$229=O$3,SUMIF('TL14'!$C$238:$C$451,$C347,'TL14'!$J$238:$J$451),0),
IF('TL15'!$B$3=O$3,SUMIF('TL15'!$C$10:$C$224,$C347,'TL15'!$J$10:$J$224),0),
IF('TL15'!$B$229=O$3,SUMIF('TL15'!$C$238:$C$451,$C347,'TL15'!$J$238:$J$451),0),
IF('TL16'!$B$3=O$3,SUMIF('TL16'!$C$10:$C$224,$C347,'TL16'!$J$10:$J$224),0),
IF('TL16'!$B$229=O$3,SUMIF('TL16'!$C$238:$C$451,$C347,'TL16'!$J$238:$J$451),0),
IF('TL17'!$B$3=O$3,SUMIF('TL17'!$C$10:$C$224,$C347,'TL17'!$J$10:$J$224),0),
IF('TL17'!$B$229=O$3,SUMIF('TL17'!$C$238:$C$451,$C347,'TL17'!$J$238:$J$451),0),
IF('TL18'!$B$3=O$3,SUMIF('TL18'!$C$10:$C$224,$C347,'TL18'!$J$10:$J$224),0),
IF('TL18'!$B$229=O$3,SUMIF('TL18'!$C$238:$C$451,$C347,'TL18'!$J$238:$J$451),0),
IF('TL19'!$B$3=O$3,SUMIF('TL19'!$C$10:$C$224,$C347,'TL19'!$J$10:$J$224),0),
IF('TL19'!$B$229=O$3,SUMIF('TL19'!$C$238:$C$451,$C347,'TL19'!$J$238:$J$451),0)
),0)</f>
        <v>0</v>
      </c>
      <c r="P347" s="9">
        <f>IFERROR(SUM(
IF('TL01'!$B$3=P$3,SUMIF('TL01'!$C$10:$C$224,$C347,'TL01'!$J$10:$J$224),0),
IF('TL01'!$B$229=P$3,SUMIF('TL01'!$C$238:$C$451,$C347,'TL01'!$J$238:$J$451),0),
IF('TL02'!$B$3=P$3,SUMIF('TL02'!$C$10:$C$224,$C347,'TL02'!$J$10:$J$224),0),
IF('TL02'!$B$229=P$3,SUMIF('TL02'!$C$238:$C$451,$C347,'TL02'!$J$238:$J$451),0),
IF('TL03'!$B$3=P$3,SUMIF('TL03'!$C$10:$C$224,$C347,'TL03'!$J$10:$J$224),0),
IF('TL03'!$B$229=P$3,SUMIF('TL03'!$C$238:$C$451,$C347,'TL03'!$J$238:$J$451),0),
IF('TL04'!$B$3=P$3,SUMIF('TL04'!$C$10:$C$224,$C347,'TL04'!$J$10:$J$224),0),
IF('TL04'!$B$229=P$3,SUMIF('TL04'!$C$238:$C$451,$C347,'TL04'!$J$238:$J$451),0),
IF('TL05'!$B$3=P$3,SUMIF('TL05'!$C$10:$C$224,$C347,'TL05'!$J$10:$J$224),0),
IF('TL05'!$B$229=P$3,SUMIF('TL05'!$C$238:$C$451,$C347,'TL05'!$J$238:$J$451),0),
IF('TL06'!$B$3=P$3,SUMIF('TL06'!$C$10:$C$224,$C347,'TL06'!$J$10:$J$224),0),
IF('TL06'!$B$229=P$3,SUMIF('TL06'!$C$238:$C$451,$C347,'TL06'!$J$238:$J$451),0),
IF('TL07'!$B$3=P$3,SUMIF('TL07'!$C$10:$C$224,$C347,'TL07'!$J$10:$J$224),0),
IF('TL07'!$B$229=P$3,SUMIF('TL07'!$C$238:$C$451,$C347,'TL07'!$J$238:$J$451),0),
IF('TL08'!$B$3=P$3,SUMIF('TL08'!$C$10:$C$224,$C347,'TL08'!$J$10:$J$224),0),
IF('TL08'!$B$229=P$3,SUMIF('TL08'!$C$238:$C$451,$C347,'TL08'!$J$238:$J$451),0),
IF('TL09'!$B$3=P$3,SUMIF('TL09'!$C$10:$C$224,$C347,'TL09'!$J$10:$J$224),0),
IF('TL09'!$B$229=P$3,SUMIF('TL09'!$C$238:$C$451,$C347,'TL09'!$J$238:$J$451),0),
IF('TL10'!$B$3=P$3,SUMIF('TL10'!$C$10:$C$224,$C347,'TL10'!$J$10:$J$224),0),
IF('TL10'!$B$229=P$3,SUMIF('TL10'!$C$238:$C$451,$C347,'TL10'!$J$238:$J$451),0),
IF('TL11'!$B$3=P$3,SUMIF('TL11'!$C$10:$C$224,$C347,'TL11'!$J$10:$J$224),0),
IF('TL11'!$B$229=P$3,SUMIF('TL11'!$C$238:$C$451,$C347,'TL11'!$J$238:$J$451),0),
IF('TL12'!$B$3=P$3,SUMIF('TL12'!$C$10:$C$224,$C347,'TL12'!$J$10:$J$224),0),
IF('TL12'!$B$229=P$3,SUMIF('TL12'!$C$238:$C$451,$C347,'TL12'!$J$238:$J$451),0),
IF('TL13'!$B$3=P$3,SUMIF('TL13'!$C$10:$C$224,$C347,'TL13'!$J$10:$J$224),0),
IF('TL13'!$B$229=P$3,SUMIF('TL13'!$C$238:$C$451,$C347,'TL13'!$J$238:$J$451),0),
IF('TL14'!$B$3=P$3,SUMIF('TL14'!$C$10:$C$224,$C347,'TL14'!$J$10:$J$224),0),
IF('TL14'!$B$229=P$3,SUMIF('TL14'!$C$238:$C$451,$C347,'TL14'!$J$238:$J$451),0),
IF('TL15'!$B$3=P$3,SUMIF('TL15'!$C$10:$C$224,$C347,'TL15'!$J$10:$J$224),0),
IF('TL15'!$B$229=P$3,SUMIF('TL15'!$C$238:$C$451,$C347,'TL15'!$J$238:$J$451),0),
IF('TL16'!$B$3=P$3,SUMIF('TL16'!$C$10:$C$224,$C347,'TL16'!$J$10:$J$224),0),
IF('TL16'!$B$229=P$3,SUMIF('TL16'!$C$238:$C$451,$C347,'TL16'!$J$238:$J$451),0),
IF('TL17'!$B$3=P$3,SUMIF('TL17'!$C$10:$C$224,$C347,'TL17'!$J$10:$J$224),0),
IF('TL17'!$B$229=P$3,SUMIF('TL17'!$C$238:$C$451,$C347,'TL17'!$J$238:$J$451),0),
IF('TL18'!$B$3=P$3,SUMIF('TL18'!$C$10:$C$224,$C347,'TL18'!$J$10:$J$224),0),
IF('TL18'!$B$229=P$3,SUMIF('TL18'!$C$238:$C$451,$C347,'TL18'!$J$238:$J$451),0),
IF('TL19'!$B$3=P$3,SUMIF('TL19'!$C$10:$C$224,$C347,'TL19'!$J$10:$J$224),0),
IF('TL19'!$B$229=P$3,SUMIF('TL19'!$C$238:$C$451,$C347,'TL19'!$J$238:$J$451),0)
),0)</f>
        <v>0</v>
      </c>
      <c r="Q347" s="9">
        <f>IFERROR(SUM(
IF('TL01'!$B$3=Q$3,SUMIF('TL01'!$C$10:$C$224,$C347,'TL01'!$J$10:$J$224),0),
IF('TL01'!$B$229=Q$3,SUMIF('TL01'!$C$238:$C$451,$C347,'TL01'!$J$238:$J$451),0),
IF('TL02'!$B$3=Q$3,SUMIF('TL02'!$C$10:$C$224,$C347,'TL02'!$J$10:$J$224),0),
IF('TL02'!$B$229=Q$3,SUMIF('TL02'!$C$238:$C$451,$C347,'TL02'!$J$238:$J$451),0),
IF('TL03'!$B$3=Q$3,SUMIF('TL03'!$C$10:$C$224,$C347,'TL03'!$J$10:$J$224),0),
IF('TL03'!$B$229=Q$3,SUMIF('TL03'!$C$238:$C$451,$C347,'TL03'!$J$238:$J$451),0),
IF('TL04'!$B$3=Q$3,SUMIF('TL04'!$C$10:$C$224,$C347,'TL04'!$J$10:$J$224),0),
IF('TL04'!$B$229=Q$3,SUMIF('TL04'!$C$238:$C$451,$C347,'TL04'!$J$238:$J$451),0),
IF('TL05'!$B$3=Q$3,SUMIF('TL05'!$C$10:$C$224,$C347,'TL05'!$J$10:$J$224),0),
IF('TL05'!$B$229=Q$3,SUMIF('TL05'!$C$238:$C$451,$C347,'TL05'!$J$238:$J$451),0),
IF('TL06'!$B$3=Q$3,SUMIF('TL06'!$C$10:$C$224,$C347,'TL06'!$J$10:$J$224),0),
IF('TL06'!$B$229=Q$3,SUMIF('TL06'!$C$238:$C$451,$C347,'TL06'!$J$238:$J$451),0),
IF('TL07'!$B$3=Q$3,SUMIF('TL07'!$C$10:$C$224,$C347,'TL07'!$J$10:$J$224),0),
IF('TL07'!$B$229=Q$3,SUMIF('TL07'!$C$238:$C$451,$C347,'TL07'!$J$238:$J$451),0),
IF('TL08'!$B$3=Q$3,SUMIF('TL08'!$C$10:$C$224,$C347,'TL08'!$J$10:$J$224),0),
IF('TL08'!$B$229=Q$3,SUMIF('TL08'!$C$238:$C$451,$C347,'TL08'!$J$238:$J$451),0),
IF('TL09'!$B$3=Q$3,SUMIF('TL09'!$C$10:$C$224,$C347,'TL09'!$J$10:$J$224),0),
IF('TL09'!$B$229=Q$3,SUMIF('TL09'!$C$238:$C$451,$C347,'TL09'!$J$238:$J$451),0),
IF('TL10'!$B$3=Q$3,SUMIF('TL10'!$C$10:$C$224,$C347,'TL10'!$J$10:$J$224),0),
IF('TL10'!$B$229=Q$3,SUMIF('TL10'!$C$238:$C$451,$C347,'TL10'!$J$238:$J$451),0),
IF('TL11'!$B$3=Q$3,SUMIF('TL11'!$C$10:$C$224,$C347,'TL11'!$J$10:$J$224),0),
IF('TL11'!$B$229=Q$3,SUMIF('TL11'!$C$238:$C$451,$C347,'TL11'!$J$238:$J$451),0),
IF('TL12'!$B$3=Q$3,SUMIF('TL12'!$C$10:$C$224,$C347,'TL12'!$J$10:$J$224),0),
IF('TL12'!$B$229=Q$3,SUMIF('TL12'!$C$238:$C$451,$C347,'TL12'!$J$238:$J$451),0),
IF('TL13'!$B$3=Q$3,SUMIF('TL13'!$C$10:$C$224,$C347,'TL13'!$J$10:$J$224),0),
IF('TL13'!$B$229=Q$3,SUMIF('TL13'!$C$238:$C$451,$C347,'TL13'!$J$238:$J$451),0),
IF('TL14'!$B$3=Q$3,SUMIF('TL14'!$C$10:$C$224,$C347,'TL14'!$J$10:$J$224),0),
IF('TL14'!$B$229=Q$3,SUMIF('TL14'!$C$238:$C$451,$C347,'TL14'!$J$238:$J$451),0),
IF('TL15'!$B$3=Q$3,SUMIF('TL15'!$C$10:$C$224,$C347,'TL15'!$J$10:$J$224),0),
IF('TL15'!$B$229=Q$3,SUMIF('TL15'!$C$238:$C$451,$C347,'TL15'!$J$238:$J$451),0),
IF('TL16'!$B$3=Q$3,SUMIF('TL16'!$C$10:$C$224,$C347,'TL16'!$J$10:$J$224),0),
IF('TL16'!$B$229=Q$3,SUMIF('TL16'!$C$238:$C$451,$C347,'TL16'!$J$238:$J$451),0),
IF('TL17'!$B$3=Q$3,SUMIF('TL17'!$C$10:$C$224,$C347,'TL17'!$J$10:$J$224),0),
IF('TL17'!$B$229=Q$3,SUMIF('TL17'!$C$238:$C$451,$C347,'TL17'!$J$238:$J$451),0),
IF('TL18'!$B$3=Q$3,SUMIF('TL18'!$C$10:$C$224,$C347,'TL18'!$J$10:$J$224),0),
IF('TL18'!$B$229=Q$3,SUMIF('TL18'!$C$238:$C$451,$C347,'TL18'!$J$238:$J$451),0),
IF('TL19'!$B$3=Q$3,SUMIF('TL19'!$C$10:$C$224,$C347,'TL19'!$J$10:$J$224),0),
IF('TL19'!$B$229=Q$3,SUMIF('TL19'!$C$238:$C$451,$C347,'TL19'!$J$238:$J$451),0)
),0)</f>
        <v>0</v>
      </c>
      <c r="R347" s="9">
        <f>IFERROR(
SUM(
SUMIF('TL01'!C:C,C347,'TL01'!J:J),
SUMIF('TL02'!C:C,C347,'TL02'!J:J),
SUMIF('TL03'!C:C,C347,'TL03'!J:J),
SUMIF('TL04'!C:C,C347,'TL04'!J:J),
SUMIF('TL05'!C:C,C347,'TL05'!J:J),
SUMIF('TL06'!C:C,C347,'TL06'!J:J),
SUMIF('TL07'!C:C,C347,'TL07'!J:J),
SUMIF('TL08'!C:C,C347,'TL08'!J:J),
SUMIF('TL09'!C:C,C347,'TL09'!J:J),
SUMIF('TL10'!C:C,C347,'TL10'!J:J),
SUMIF('TL11'!C:C,C347,'TL11'!J:J),
SUMIF('TL12'!C:C,C347,'TL12'!J:J),
SUMIF('TL13'!C:C,C347,'TL13'!J:J),
SUMIF('TL14'!C:C,C347,'TL14'!J:J),
SUMIF('TL15'!C:C,C347,'TL15'!J:J),
SUMIF('TL16'!C:C,C347,'TL16'!J:J),
SUMIF('TL17'!C:C,C347,'TL17'!J:J),
SUMIF('TL18'!C:C,C347,'TL18'!J:J),SUMIF('TL19'!C:C,C347,'TL19'!J:J))
,0)</f>
        <v>0</v>
      </c>
      <c r="S347" s="17" t="str">
        <f>IFERROR(__xludf.DUMMYFUNCTION("IFERROR(VLOOKUP(C347,
IMPORTRANGE(""1wULbzX32WdYsx-lj2U3uUNBBe2INVIRDtcK0d-Dvl90"",
""26-27!C:G""),
5,
FALSE),
"""")"),"")</f>
        <v/>
      </c>
      <c r="T347" s="9"/>
      <c r="U347" s="92">
        <f t="shared" si="2"/>
        <v>0</v>
      </c>
      <c r="V347" s="93">
        <f t="shared" si="3"/>
        <v>0</v>
      </c>
    </row>
    <row r="348" ht="15.75" hidden="1" customHeight="1">
      <c r="A348" s="4"/>
      <c r="B348" s="125" t="s">
        <v>5</v>
      </c>
      <c r="C348" s="4" t="s">
        <v>1069</v>
      </c>
      <c r="D348" s="6"/>
      <c r="E348" s="9"/>
      <c r="F348" s="4" t="s">
        <v>392</v>
      </c>
      <c r="G348" s="90" t="str">
        <f t="shared" si="5"/>
        <v>📄 Ver bula</v>
      </c>
      <c r="H348" s="9"/>
      <c r="I348" s="1" t="s">
        <v>1043</v>
      </c>
      <c r="J348" s="9">
        <f>IFERROR(SUM(
IF('TL01'!$B$3=J$3,SUMIF('TL01'!$C$10:$C$224,$C348,'TL01'!$J$10:$J$224),0),
IF('TL01'!$B$229=J$3,SUMIF('TL01'!$C$238:$C$451,$C348,'TL01'!$J$238:$J$451),0),
IF('TL02'!$B$3=J$3,SUMIF('TL02'!$C$10:$C$224,$C348,'TL02'!$J$10:$J$224),0),
IF('TL02'!$B$229=J$3,SUMIF('TL02'!$C$238:$C$451,$C348,'TL02'!$J$238:$J$451),0),
IF('TL03'!$B$3=J$3,SUMIF('TL03'!$C$10:$C$224,$C348,'TL03'!$J$10:$J$224),0),
IF('TL03'!$B$229=J$3,SUMIF('TL03'!$C$238:$C$451,$C348,'TL03'!$J$238:$J$451),0),
IF('TL04'!$B$3=J$3,SUMIF('TL04'!$C$10:$C$224,$C348,'TL04'!$J$10:$J$224),0),
IF('TL04'!$B$229=J$3,SUMIF('TL04'!$C$238:$C$451,$C348,'TL04'!$J$238:$J$451),0),
IF('TL05'!$B$3=J$3,SUMIF('TL05'!$C$10:$C$224,$C348,'TL05'!$J$10:$J$224),0),
IF('TL05'!$B$229=J$3,SUMIF('TL05'!$C$238:$C$451,$C348,'TL05'!$J$238:$J$451),0),
IF('TL06'!$B$3=J$3,SUMIF('TL06'!$C$10:$C$224,$C348,'TL06'!$J$10:$J$224),0),
IF('TL06'!$B$229=J$3,SUMIF('TL06'!$C$238:$C$451,$C348,'TL06'!$J$238:$J$451),0),
IF('TL07'!$B$3=J$3,SUMIF('TL07'!$C$10:$C$224,$C348,'TL07'!$J$10:$J$224),0),
IF('TL07'!$B$229=J$3,SUMIF('TL07'!$C$238:$C$451,$C348,'TL07'!$J$238:$J$451),0),
IF('TL08'!$B$3=J$3,SUMIF('TL08'!$C$10:$C$224,$C348,'TL08'!$J$10:$J$224),0),
IF('TL08'!$B$229=J$3,SUMIF('TL08'!$C$238:$C$451,$C348,'TL08'!$J$238:$J$451),0),
IF('TL09'!$B$3=J$3,SUMIF('TL09'!$C$10:$C$224,$C348,'TL09'!$J$10:$J$224),0),
IF('TL09'!$B$229=J$3,SUMIF('TL09'!$C$238:$C$451,$C348,'TL09'!$J$238:$J$451),0),
IF('TL10'!$B$3=J$3,SUMIF('TL10'!$C$10:$C$224,$C348,'TL10'!$J$10:$J$224),0),
IF('TL10'!$B$229=J$3,SUMIF('TL10'!$C$238:$C$451,$C348,'TL10'!$J$238:$J$451),0),
IF('TL11'!$B$3=J$3,SUMIF('TL11'!$C$10:$C$224,$C348,'TL11'!$J$10:$J$224),0),
IF('TL11'!$B$229=J$3,SUMIF('TL11'!$C$238:$C$451,$C348,'TL11'!$J$238:$J$451),0),
IF('TL12'!$B$3=J$3,SUMIF('TL12'!$C$10:$C$224,$C348,'TL12'!$J$10:$J$224),0),
IF('TL12'!$B$229=J$3,SUMIF('TL12'!$C$238:$C$451,$C348,'TL12'!$J$238:$J$451),0),
IF('TL13'!$B$3=J$3,SUMIF('TL13'!$C$10:$C$224,$C348,'TL13'!$J$10:$J$224),0),
IF('TL13'!$B$229=J$3,SUMIF('TL13'!$C$238:$C$451,$C348,'TL13'!$J$238:$J$451),0),
IF('TL14'!$B$3=J$3,SUMIF('TL14'!$C$10:$C$224,$C348,'TL14'!$J$10:$J$224),0),
IF('TL14'!$B$229=J$3,SUMIF('TL14'!$C$238:$C$451,$C348,'TL14'!$J$238:$J$451),0),
IF('TL15'!$B$3=J$3,SUMIF('TL15'!$C$10:$C$224,$C348,'TL15'!$J$10:$J$224),0),
IF('TL15'!$B$229=J$3,SUMIF('TL15'!$C$238:$C$451,$C348,'TL15'!$J$238:$J$451),0),
IF('TL16'!$B$3=J$3,SUMIF('TL16'!$C$10:$C$224,$C348,'TL16'!$J$10:$J$224),0),
IF('TL16'!$B$229=J$3,SUMIF('TL16'!$C$238:$C$451,$C348,'TL16'!$J$238:$J$451),0),
IF('TL17'!$B$3=J$3,SUMIF('TL17'!$C$10:$C$224,$C348,'TL17'!$J$10:$J$224),0),
IF('TL17'!$B$229=J$3,SUMIF('TL17'!$C$238:$C$451,$C348,'TL17'!$J$238:$J$451),0),
IF('TL18'!$B$3=J$3,SUMIF('TL18'!$C$10:$C$224,$C348,'TL18'!$J$10:$J$224),0),
IF('TL18'!$B$229=J$3,SUMIF('TL18'!$C$238:$C$451,$C348,'TL18'!$J$238:$J$451),0),
IF('TL19'!$B$3=J$3,SUMIF('TL19'!$C$10:$C$224,$C348,'TL19'!$J$10:$J$224),0),
IF('TL19'!$B$229=J$3,SUMIF('TL19'!$C$238:$C$451,$C348,'TL19'!$J$238:$J$451),0)
),0)</f>
        <v>0</v>
      </c>
      <c r="K348" s="9">
        <f>IFERROR(SUM(
IF('TL01'!$B$3=K$3,SUMIF('TL01'!$C$10:$C$224,$C348,'TL01'!$J$10:$J$224),0),
IF('TL01'!$B$229=K$3,SUMIF('TL01'!$C$238:$C$451,$C348,'TL01'!$J$238:$J$451),0),
IF('TL02'!$B$3=K$3,SUMIF('TL02'!$C$10:$C$224,$C348,'TL02'!$J$10:$J$224),0),
IF('TL02'!$B$229=K$3,SUMIF('TL02'!$C$238:$C$451,$C348,'TL02'!$J$238:$J$451),0),
IF('TL03'!$B$3=K$3,SUMIF('TL03'!$C$10:$C$224,$C348,'TL03'!$J$10:$J$224),0),
IF('TL03'!$B$229=K$3,SUMIF('TL03'!$C$238:$C$451,$C348,'TL03'!$J$238:$J$451),0),
IF('TL04'!$B$3=K$3,SUMIF('TL04'!$C$10:$C$224,$C348,'TL04'!$J$10:$J$224),0),
IF('TL04'!$B$229=K$3,SUMIF('TL04'!$C$238:$C$451,$C348,'TL04'!$J$238:$J$451),0),
IF('TL05'!$B$3=K$3,SUMIF('TL05'!$C$10:$C$224,$C348,'TL05'!$J$10:$J$224),0),
IF('TL05'!$B$229=K$3,SUMIF('TL05'!$C$238:$C$451,$C348,'TL05'!$J$238:$J$451),0),
IF('TL06'!$B$3=K$3,SUMIF('TL06'!$C$10:$C$224,$C348,'TL06'!$J$10:$J$224),0),
IF('TL06'!$B$229=K$3,SUMIF('TL06'!$C$238:$C$451,$C348,'TL06'!$J$238:$J$451),0),
IF('TL07'!$B$3=K$3,SUMIF('TL07'!$C$10:$C$224,$C348,'TL07'!$J$10:$J$224),0),
IF('TL07'!$B$229=K$3,SUMIF('TL07'!$C$238:$C$451,$C348,'TL07'!$J$238:$J$451),0),
IF('TL08'!$B$3=K$3,SUMIF('TL08'!$C$10:$C$224,$C348,'TL08'!$J$10:$J$224),0),
IF('TL08'!$B$229=K$3,SUMIF('TL08'!$C$238:$C$451,$C348,'TL08'!$J$238:$J$451),0),
IF('TL09'!$B$3=K$3,SUMIF('TL09'!$C$10:$C$224,$C348,'TL09'!$J$10:$J$224),0),
IF('TL09'!$B$229=K$3,SUMIF('TL09'!$C$238:$C$451,$C348,'TL09'!$J$238:$J$451),0),
IF('TL10'!$B$3=K$3,SUMIF('TL10'!$C$10:$C$224,$C348,'TL10'!$J$10:$J$224),0),
IF('TL10'!$B$229=K$3,SUMIF('TL10'!$C$238:$C$451,$C348,'TL10'!$J$238:$J$451),0),
IF('TL11'!$B$3=K$3,SUMIF('TL11'!$C$10:$C$224,$C348,'TL11'!$J$10:$J$224),0),
IF('TL11'!$B$229=K$3,SUMIF('TL11'!$C$238:$C$451,$C348,'TL11'!$J$238:$J$451),0),
IF('TL12'!$B$3=K$3,SUMIF('TL12'!$C$10:$C$224,$C348,'TL12'!$J$10:$J$224),0),
IF('TL12'!$B$229=K$3,SUMIF('TL12'!$C$238:$C$451,$C348,'TL12'!$J$238:$J$451),0),
IF('TL13'!$B$3=K$3,SUMIF('TL13'!$C$10:$C$224,$C348,'TL13'!$J$10:$J$224),0),
IF('TL13'!$B$229=K$3,SUMIF('TL13'!$C$238:$C$451,$C348,'TL13'!$J$238:$J$451),0),
IF('TL14'!$B$3=K$3,SUMIF('TL14'!$C$10:$C$224,$C348,'TL14'!$J$10:$J$224),0),
IF('TL14'!$B$229=K$3,SUMIF('TL14'!$C$238:$C$451,$C348,'TL14'!$J$238:$J$451),0),
IF('TL15'!$B$3=K$3,SUMIF('TL15'!$C$10:$C$224,$C348,'TL15'!$J$10:$J$224),0),
IF('TL15'!$B$229=K$3,SUMIF('TL15'!$C$238:$C$451,$C348,'TL15'!$J$238:$J$451),0),
IF('TL16'!$B$3=K$3,SUMIF('TL16'!$C$10:$C$224,$C348,'TL16'!$J$10:$J$224),0),
IF('TL16'!$B$229=K$3,SUMIF('TL16'!$C$238:$C$451,$C348,'TL16'!$J$238:$J$451),0),
IF('TL17'!$B$3=K$3,SUMIF('TL17'!$C$10:$C$224,$C348,'TL17'!$J$10:$J$224),0),
IF('TL17'!$B$229=K$3,SUMIF('TL17'!$C$238:$C$451,$C348,'TL17'!$J$238:$J$451),0),
IF('TL18'!$B$3=K$3,SUMIF('TL18'!$C$10:$C$224,$C348,'TL18'!$J$10:$J$224),0),
IF('TL18'!$B$229=K$3,SUMIF('TL18'!$C$238:$C$451,$C348,'TL18'!$J$238:$J$451),0),
IF('TL19'!$B$3=K$3,SUMIF('TL19'!$C$10:$C$224,$C348,'TL19'!$J$10:$J$224),0),
IF('TL19'!$B$229=K$3,SUMIF('TL19'!$C$238:$C$451,$C348,'TL19'!$J$238:$J$451),0)
),0)</f>
        <v>0</v>
      </c>
      <c r="L348" s="9">
        <f>IFERROR(SUM(
IF('TL01'!$B$3=L$3,SUMIF('TL01'!$C$10:$C$224,$C348,'TL01'!$J$10:$J$224),0),
IF('TL01'!$B$229=L$3,SUMIF('TL01'!$C$238:$C$451,$C348,'TL01'!$J$238:$J$451),0),
IF('TL02'!$B$3=L$3,SUMIF('TL02'!$C$10:$C$224,$C348,'TL02'!$J$10:$J$224),0),
IF('TL02'!$B$229=L$3,SUMIF('TL02'!$C$238:$C$451,$C348,'TL02'!$J$238:$J$451),0),
IF('TL03'!$B$3=L$3,SUMIF('TL03'!$C$10:$C$224,$C348,'TL03'!$J$10:$J$224),0),
IF('TL03'!$B$229=L$3,SUMIF('TL03'!$C$238:$C$451,$C348,'TL03'!$J$238:$J$451),0),
IF('TL04'!$B$3=L$3,SUMIF('TL04'!$C$10:$C$224,$C348,'TL04'!$J$10:$J$224),0),
IF('TL04'!$B$229=L$3,SUMIF('TL04'!$C$238:$C$451,$C348,'TL04'!$J$238:$J$451),0),
IF('TL05'!$B$3=L$3,SUMIF('TL05'!$C$10:$C$224,$C348,'TL05'!$J$10:$J$224),0),
IF('TL05'!$B$229=L$3,SUMIF('TL05'!$C$238:$C$451,$C348,'TL05'!$J$238:$J$451),0),
IF('TL06'!$B$3=L$3,SUMIF('TL06'!$C$10:$C$224,$C348,'TL06'!$J$10:$J$224),0),
IF('TL06'!$B$229=L$3,SUMIF('TL06'!$C$238:$C$451,$C348,'TL06'!$J$238:$J$451),0),
IF('TL07'!$B$3=L$3,SUMIF('TL07'!$C$10:$C$224,$C348,'TL07'!$J$10:$J$224),0),
IF('TL07'!$B$229=L$3,SUMIF('TL07'!$C$238:$C$451,$C348,'TL07'!$J$238:$J$451),0),
IF('TL08'!$B$3=L$3,SUMIF('TL08'!$C$10:$C$224,$C348,'TL08'!$J$10:$J$224),0),
IF('TL08'!$B$229=L$3,SUMIF('TL08'!$C$238:$C$451,$C348,'TL08'!$J$238:$J$451),0),
IF('TL09'!$B$3=L$3,SUMIF('TL09'!$C$10:$C$224,$C348,'TL09'!$J$10:$J$224),0),
IF('TL09'!$B$229=L$3,SUMIF('TL09'!$C$238:$C$451,$C348,'TL09'!$J$238:$J$451),0),
IF('TL10'!$B$3=L$3,SUMIF('TL10'!$C$10:$C$224,$C348,'TL10'!$J$10:$J$224),0),
IF('TL10'!$B$229=L$3,SUMIF('TL10'!$C$238:$C$451,$C348,'TL10'!$J$238:$J$451),0),
IF('TL11'!$B$3=L$3,SUMIF('TL11'!$C$10:$C$224,$C348,'TL11'!$J$10:$J$224),0),
IF('TL11'!$B$229=L$3,SUMIF('TL11'!$C$238:$C$451,$C348,'TL11'!$J$238:$J$451),0),
IF('TL12'!$B$3=L$3,SUMIF('TL12'!$C$10:$C$224,$C348,'TL12'!$J$10:$J$224),0),
IF('TL12'!$B$229=L$3,SUMIF('TL12'!$C$238:$C$451,$C348,'TL12'!$J$238:$J$451),0),
IF('TL13'!$B$3=L$3,SUMIF('TL13'!$C$10:$C$224,$C348,'TL13'!$J$10:$J$224),0),
IF('TL13'!$B$229=L$3,SUMIF('TL13'!$C$238:$C$451,$C348,'TL13'!$J$238:$J$451),0),
IF('TL14'!$B$3=L$3,SUMIF('TL14'!$C$10:$C$224,$C348,'TL14'!$J$10:$J$224),0),
IF('TL14'!$B$229=L$3,SUMIF('TL14'!$C$238:$C$451,$C348,'TL14'!$J$238:$J$451),0),
IF('TL15'!$B$3=L$3,SUMIF('TL15'!$C$10:$C$224,$C348,'TL15'!$J$10:$J$224),0),
IF('TL15'!$B$229=L$3,SUMIF('TL15'!$C$238:$C$451,$C348,'TL15'!$J$238:$J$451),0),
IF('TL16'!$B$3=L$3,SUMIF('TL16'!$C$10:$C$224,$C348,'TL16'!$J$10:$J$224),0),
IF('TL16'!$B$229=L$3,SUMIF('TL16'!$C$238:$C$451,$C348,'TL16'!$J$238:$J$451),0),
IF('TL17'!$B$3=L$3,SUMIF('TL17'!$C$10:$C$224,$C348,'TL17'!$J$10:$J$224),0),
IF('TL17'!$B$229=L$3,SUMIF('TL17'!$C$238:$C$451,$C348,'TL17'!$J$238:$J$451),0),
IF('TL18'!$B$3=L$3,SUMIF('TL18'!$C$10:$C$224,$C348,'TL18'!$J$10:$J$224),0),
IF('TL18'!$B$229=L$3,SUMIF('TL18'!$C$238:$C$451,$C348,'TL18'!$J$238:$J$451),0),
IF('TL19'!$B$3=L$3,SUMIF('TL19'!$C$10:$C$224,$C348,'TL19'!$J$10:$J$224),0),
IF('TL19'!$B$229=L$3,SUMIF('TL19'!$C$238:$C$451,$C348,'TL19'!$J$238:$J$451),0)
),0)</f>
        <v>0</v>
      </c>
      <c r="M348" s="9">
        <f>IFERROR(SUM(
IF('TL01'!$B$3=M$3,SUMIF('TL01'!$C$10:$C$224,$C348,'TL01'!$J$10:$J$224),0),
IF('TL01'!$B$229=M$3,SUMIF('TL01'!$C$238:$C$451,$C348,'TL01'!$J$238:$J$451),0),
IF('TL02'!$B$3=M$3,SUMIF('TL02'!$C$10:$C$224,$C348,'TL02'!$J$10:$J$224),0),
IF('TL02'!$B$229=M$3,SUMIF('TL02'!$C$238:$C$451,$C348,'TL02'!$J$238:$J$451),0),
IF('TL03'!$B$3=M$3,SUMIF('TL03'!$C$10:$C$224,$C348,'TL03'!$J$10:$J$224),0),
IF('TL03'!$B$229=M$3,SUMIF('TL03'!$C$238:$C$451,$C348,'TL03'!$J$238:$J$451),0),
IF('TL04'!$B$3=M$3,SUMIF('TL04'!$C$10:$C$224,$C348,'TL04'!$J$10:$J$224),0),
IF('TL04'!$B$229=M$3,SUMIF('TL04'!$C$238:$C$451,$C348,'TL04'!$J$238:$J$451),0),
IF('TL05'!$B$3=M$3,SUMIF('TL05'!$C$10:$C$224,$C348,'TL05'!$J$10:$J$224),0),
IF('TL05'!$B$229=M$3,SUMIF('TL05'!$C$238:$C$451,$C348,'TL05'!$J$238:$J$451),0),
IF('TL06'!$B$3=M$3,SUMIF('TL06'!$C$10:$C$224,$C348,'TL06'!$J$10:$J$224),0),
IF('TL06'!$B$229=M$3,SUMIF('TL06'!$C$238:$C$451,$C348,'TL06'!$J$238:$J$451),0),
IF('TL07'!$B$3=M$3,SUMIF('TL07'!$C$10:$C$224,$C348,'TL07'!$J$10:$J$224),0),
IF('TL07'!$B$229=M$3,SUMIF('TL07'!$C$238:$C$451,$C348,'TL07'!$J$238:$J$451),0),
IF('TL08'!$B$3=M$3,SUMIF('TL08'!$C$10:$C$224,$C348,'TL08'!$J$10:$J$224),0),
IF('TL08'!$B$229=M$3,SUMIF('TL08'!$C$238:$C$451,$C348,'TL08'!$J$238:$J$451),0),
IF('TL09'!$B$3=M$3,SUMIF('TL09'!$C$10:$C$224,$C348,'TL09'!$J$10:$J$224),0),
IF('TL09'!$B$229=M$3,SUMIF('TL09'!$C$238:$C$451,$C348,'TL09'!$J$238:$J$451),0),
IF('TL10'!$B$3=M$3,SUMIF('TL10'!$C$10:$C$224,$C348,'TL10'!$J$10:$J$224),0),
IF('TL10'!$B$229=M$3,SUMIF('TL10'!$C$238:$C$451,$C348,'TL10'!$J$238:$J$451),0),
IF('TL11'!$B$3=M$3,SUMIF('TL11'!$C$10:$C$224,$C348,'TL11'!$J$10:$J$224),0),
IF('TL11'!$B$229=M$3,SUMIF('TL11'!$C$238:$C$451,$C348,'TL11'!$J$238:$J$451),0),
IF('TL12'!$B$3=M$3,SUMIF('TL12'!$C$10:$C$224,$C348,'TL12'!$J$10:$J$224),0),
IF('TL12'!$B$229=M$3,SUMIF('TL12'!$C$238:$C$451,$C348,'TL12'!$J$238:$J$451),0),
IF('TL13'!$B$3=M$3,SUMIF('TL13'!$C$10:$C$224,$C348,'TL13'!$J$10:$J$224),0),
IF('TL13'!$B$229=M$3,SUMIF('TL13'!$C$238:$C$451,$C348,'TL13'!$J$238:$J$451),0),
IF('TL14'!$B$3=M$3,SUMIF('TL14'!$C$10:$C$224,$C348,'TL14'!$J$10:$J$224),0),
IF('TL14'!$B$229=M$3,SUMIF('TL14'!$C$238:$C$451,$C348,'TL14'!$J$238:$J$451),0),
IF('TL15'!$B$3=M$3,SUMIF('TL15'!$C$10:$C$224,$C348,'TL15'!$J$10:$J$224),0),
IF('TL15'!$B$229=M$3,SUMIF('TL15'!$C$238:$C$451,$C348,'TL15'!$J$238:$J$451),0),
IF('TL16'!$B$3=M$3,SUMIF('TL16'!$C$10:$C$224,$C348,'TL16'!$J$10:$J$224),0),
IF('TL16'!$B$229=M$3,SUMIF('TL16'!$C$238:$C$451,$C348,'TL16'!$J$238:$J$451),0),
IF('TL17'!$B$3=M$3,SUMIF('TL17'!$C$10:$C$224,$C348,'TL17'!$J$10:$J$224),0),
IF('TL17'!$B$229=M$3,SUMIF('TL17'!$C$238:$C$451,$C348,'TL17'!$J$238:$J$451),0),
IF('TL18'!$B$3=M$3,SUMIF('TL18'!$C$10:$C$224,$C348,'TL18'!$J$10:$J$224),0),
IF('TL18'!$B$229=M$3,SUMIF('TL18'!$C$238:$C$451,$C348,'TL18'!$J$238:$J$451),0),
IF('TL19'!$B$3=M$3,SUMIF('TL19'!$C$10:$C$224,$C348,'TL19'!$J$10:$J$224),0),
IF('TL19'!$B$229=M$3,SUMIF('TL19'!$C$238:$C$451,$C348,'TL19'!$J$238:$J$451),0)
),0)</f>
        <v>0</v>
      </c>
      <c r="N348" s="9">
        <f>IFERROR(SUM(
IF('TL01'!$B$3=N$3,SUMIF('TL01'!$C$10:$C$224,$C348,'TL01'!$J$10:$J$224),0),
IF('TL01'!$B$229=N$3,SUMIF('TL01'!$C$238:$C$451,$C348,'TL01'!$J$238:$J$451),0),
IF('TL02'!$B$3=N$3,SUMIF('TL02'!$C$10:$C$224,$C348,'TL02'!$J$10:$J$224),0),
IF('TL02'!$B$229=N$3,SUMIF('TL02'!$C$238:$C$451,$C348,'TL02'!$J$238:$J$451),0),
IF('TL03'!$B$3=N$3,SUMIF('TL03'!$C$10:$C$224,$C348,'TL03'!$J$10:$J$224),0),
IF('TL03'!$B$229=N$3,SUMIF('TL03'!$C$238:$C$451,$C348,'TL03'!$J$238:$J$451),0),
IF('TL04'!$B$3=N$3,SUMIF('TL04'!$C$10:$C$224,$C348,'TL04'!$J$10:$J$224),0),
IF('TL04'!$B$229=N$3,SUMIF('TL04'!$C$238:$C$451,$C348,'TL04'!$J$238:$J$451),0),
IF('TL05'!$B$3=N$3,SUMIF('TL05'!$C$10:$C$224,$C348,'TL05'!$J$10:$J$224),0),
IF('TL05'!$B$229=N$3,SUMIF('TL05'!$C$238:$C$451,$C348,'TL05'!$J$238:$J$451),0),
IF('TL06'!$B$3=N$3,SUMIF('TL06'!$C$10:$C$224,$C348,'TL06'!$J$10:$J$224),0),
IF('TL06'!$B$229=N$3,SUMIF('TL06'!$C$238:$C$451,$C348,'TL06'!$J$238:$J$451),0),
IF('TL07'!$B$3=N$3,SUMIF('TL07'!$C$10:$C$224,$C348,'TL07'!$J$10:$J$224),0),
IF('TL07'!$B$229=N$3,SUMIF('TL07'!$C$238:$C$451,$C348,'TL07'!$J$238:$J$451),0),
IF('TL08'!$B$3=N$3,SUMIF('TL08'!$C$10:$C$224,$C348,'TL08'!$J$10:$J$224),0),
IF('TL08'!$B$229=N$3,SUMIF('TL08'!$C$238:$C$451,$C348,'TL08'!$J$238:$J$451),0),
IF('TL09'!$B$3=N$3,SUMIF('TL09'!$C$10:$C$224,$C348,'TL09'!$J$10:$J$224),0),
IF('TL09'!$B$229=N$3,SUMIF('TL09'!$C$238:$C$451,$C348,'TL09'!$J$238:$J$451),0),
IF('TL10'!$B$3=N$3,SUMIF('TL10'!$C$10:$C$224,$C348,'TL10'!$J$10:$J$224),0),
IF('TL10'!$B$229=N$3,SUMIF('TL10'!$C$238:$C$451,$C348,'TL10'!$J$238:$J$451),0),
IF('TL11'!$B$3=N$3,SUMIF('TL11'!$C$10:$C$224,$C348,'TL11'!$J$10:$J$224),0),
IF('TL11'!$B$229=N$3,SUMIF('TL11'!$C$238:$C$451,$C348,'TL11'!$J$238:$J$451),0),
IF('TL12'!$B$3=N$3,SUMIF('TL12'!$C$10:$C$224,$C348,'TL12'!$J$10:$J$224),0),
IF('TL12'!$B$229=N$3,SUMIF('TL12'!$C$238:$C$451,$C348,'TL12'!$J$238:$J$451),0),
IF('TL13'!$B$3=N$3,SUMIF('TL13'!$C$10:$C$224,$C348,'TL13'!$J$10:$J$224),0),
IF('TL13'!$B$229=N$3,SUMIF('TL13'!$C$238:$C$451,$C348,'TL13'!$J$238:$J$451),0),
IF('TL14'!$B$3=N$3,SUMIF('TL14'!$C$10:$C$224,$C348,'TL14'!$J$10:$J$224),0),
IF('TL14'!$B$229=N$3,SUMIF('TL14'!$C$238:$C$451,$C348,'TL14'!$J$238:$J$451),0),
IF('TL15'!$B$3=N$3,SUMIF('TL15'!$C$10:$C$224,$C348,'TL15'!$J$10:$J$224),0),
IF('TL15'!$B$229=N$3,SUMIF('TL15'!$C$238:$C$451,$C348,'TL15'!$J$238:$J$451),0),
IF('TL16'!$B$3=N$3,SUMIF('TL16'!$C$10:$C$224,$C348,'TL16'!$J$10:$J$224),0),
IF('TL16'!$B$229=N$3,SUMIF('TL16'!$C$238:$C$451,$C348,'TL16'!$J$238:$J$451),0),
IF('TL17'!$B$3=N$3,SUMIF('TL17'!$C$10:$C$224,$C348,'TL17'!$J$10:$J$224),0),
IF('TL17'!$B$229=N$3,SUMIF('TL17'!$C$238:$C$451,$C348,'TL17'!$J$238:$J$451),0),
IF('TL18'!$B$3=N$3,SUMIF('TL18'!$C$10:$C$224,$C348,'TL18'!$J$10:$J$224),0),
IF('TL18'!$B$229=N$3,SUMIF('TL18'!$C$238:$C$451,$C348,'TL18'!$J$238:$J$451),0),
IF('TL19'!$B$3=N$3,SUMIF('TL19'!$C$10:$C$224,$C348,'TL19'!$J$10:$J$224),0),
IF('TL19'!$B$229=N$3,SUMIF('TL19'!$C$238:$C$451,$C348,'TL19'!$J$238:$J$451),0)
),0)</f>
        <v>0</v>
      </c>
      <c r="O348" s="9">
        <f>IFERROR(SUM(
IF('TL01'!$B$3=O$3,SUMIF('TL01'!$C$10:$C$224,$C348,'TL01'!$J$10:$J$224),0),
IF('TL01'!$B$229=O$3,SUMIF('TL01'!$C$238:$C$451,$C348,'TL01'!$J$238:$J$451),0),
IF('TL02'!$B$3=O$3,SUMIF('TL02'!$C$10:$C$224,$C348,'TL02'!$J$10:$J$224),0),
IF('TL02'!$B$229=O$3,SUMIF('TL02'!$C$238:$C$451,$C348,'TL02'!$J$238:$J$451),0),
IF('TL03'!$B$3=O$3,SUMIF('TL03'!$C$10:$C$224,$C348,'TL03'!$J$10:$J$224),0),
IF('TL03'!$B$229=O$3,SUMIF('TL03'!$C$238:$C$451,$C348,'TL03'!$J$238:$J$451),0),
IF('TL04'!$B$3=O$3,SUMIF('TL04'!$C$10:$C$224,$C348,'TL04'!$J$10:$J$224),0),
IF('TL04'!$B$229=O$3,SUMIF('TL04'!$C$238:$C$451,$C348,'TL04'!$J$238:$J$451),0),
IF('TL05'!$B$3=O$3,SUMIF('TL05'!$C$10:$C$224,$C348,'TL05'!$J$10:$J$224),0),
IF('TL05'!$B$229=O$3,SUMIF('TL05'!$C$238:$C$451,$C348,'TL05'!$J$238:$J$451),0),
IF('TL06'!$B$3=O$3,SUMIF('TL06'!$C$10:$C$224,$C348,'TL06'!$J$10:$J$224),0),
IF('TL06'!$B$229=O$3,SUMIF('TL06'!$C$238:$C$451,$C348,'TL06'!$J$238:$J$451),0),
IF('TL07'!$B$3=O$3,SUMIF('TL07'!$C$10:$C$224,$C348,'TL07'!$J$10:$J$224),0),
IF('TL07'!$B$229=O$3,SUMIF('TL07'!$C$238:$C$451,$C348,'TL07'!$J$238:$J$451),0),
IF('TL08'!$B$3=O$3,SUMIF('TL08'!$C$10:$C$224,$C348,'TL08'!$J$10:$J$224),0),
IF('TL08'!$B$229=O$3,SUMIF('TL08'!$C$238:$C$451,$C348,'TL08'!$J$238:$J$451),0),
IF('TL09'!$B$3=O$3,SUMIF('TL09'!$C$10:$C$224,$C348,'TL09'!$J$10:$J$224),0),
IF('TL09'!$B$229=O$3,SUMIF('TL09'!$C$238:$C$451,$C348,'TL09'!$J$238:$J$451),0),
IF('TL10'!$B$3=O$3,SUMIF('TL10'!$C$10:$C$224,$C348,'TL10'!$J$10:$J$224),0),
IF('TL10'!$B$229=O$3,SUMIF('TL10'!$C$238:$C$451,$C348,'TL10'!$J$238:$J$451),0),
IF('TL11'!$B$3=O$3,SUMIF('TL11'!$C$10:$C$224,$C348,'TL11'!$J$10:$J$224),0),
IF('TL11'!$B$229=O$3,SUMIF('TL11'!$C$238:$C$451,$C348,'TL11'!$J$238:$J$451),0),
IF('TL12'!$B$3=O$3,SUMIF('TL12'!$C$10:$C$224,$C348,'TL12'!$J$10:$J$224),0),
IF('TL12'!$B$229=O$3,SUMIF('TL12'!$C$238:$C$451,$C348,'TL12'!$J$238:$J$451),0),
IF('TL13'!$B$3=O$3,SUMIF('TL13'!$C$10:$C$224,$C348,'TL13'!$J$10:$J$224),0),
IF('TL13'!$B$229=O$3,SUMIF('TL13'!$C$238:$C$451,$C348,'TL13'!$J$238:$J$451),0),
IF('TL14'!$B$3=O$3,SUMIF('TL14'!$C$10:$C$224,$C348,'TL14'!$J$10:$J$224),0),
IF('TL14'!$B$229=O$3,SUMIF('TL14'!$C$238:$C$451,$C348,'TL14'!$J$238:$J$451),0),
IF('TL15'!$B$3=O$3,SUMIF('TL15'!$C$10:$C$224,$C348,'TL15'!$J$10:$J$224),0),
IF('TL15'!$B$229=O$3,SUMIF('TL15'!$C$238:$C$451,$C348,'TL15'!$J$238:$J$451),0),
IF('TL16'!$B$3=O$3,SUMIF('TL16'!$C$10:$C$224,$C348,'TL16'!$J$10:$J$224),0),
IF('TL16'!$B$229=O$3,SUMIF('TL16'!$C$238:$C$451,$C348,'TL16'!$J$238:$J$451),0),
IF('TL17'!$B$3=O$3,SUMIF('TL17'!$C$10:$C$224,$C348,'TL17'!$J$10:$J$224),0),
IF('TL17'!$B$229=O$3,SUMIF('TL17'!$C$238:$C$451,$C348,'TL17'!$J$238:$J$451),0),
IF('TL18'!$B$3=O$3,SUMIF('TL18'!$C$10:$C$224,$C348,'TL18'!$J$10:$J$224),0),
IF('TL18'!$B$229=O$3,SUMIF('TL18'!$C$238:$C$451,$C348,'TL18'!$J$238:$J$451),0),
IF('TL19'!$B$3=O$3,SUMIF('TL19'!$C$10:$C$224,$C348,'TL19'!$J$10:$J$224),0),
IF('TL19'!$B$229=O$3,SUMIF('TL19'!$C$238:$C$451,$C348,'TL19'!$J$238:$J$451),0)
),0)</f>
        <v>0</v>
      </c>
      <c r="P348" s="9">
        <f>IFERROR(SUM(
IF('TL01'!$B$3=P$3,SUMIF('TL01'!$C$10:$C$224,$C348,'TL01'!$J$10:$J$224),0),
IF('TL01'!$B$229=P$3,SUMIF('TL01'!$C$238:$C$451,$C348,'TL01'!$J$238:$J$451),0),
IF('TL02'!$B$3=P$3,SUMIF('TL02'!$C$10:$C$224,$C348,'TL02'!$J$10:$J$224),0),
IF('TL02'!$B$229=P$3,SUMIF('TL02'!$C$238:$C$451,$C348,'TL02'!$J$238:$J$451),0),
IF('TL03'!$B$3=P$3,SUMIF('TL03'!$C$10:$C$224,$C348,'TL03'!$J$10:$J$224),0),
IF('TL03'!$B$229=P$3,SUMIF('TL03'!$C$238:$C$451,$C348,'TL03'!$J$238:$J$451),0),
IF('TL04'!$B$3=P$3,SUMIF('TL04'!$C$10:$C$224,$C348,'TL04'!$J$10:$J$224),0),
IF('TL04'!$B$229=P$3,SUMIF('TL04'!$C$238:$C$451,$C348,'TL04'!$J$238:$J$451),0),
IF('TL05'!$B$3=P$3,SUMIF('TL05'!$C$10:$C$224,$C348,'TL05'!$J$10:$J$224),0),
IF('TL05'!$B$229=P$3,SUMIF('TL05'!$C$238:$C$451,$C348,'TL05'!$J$238:$J$451),0),
IF('TL06'!$B$3=P$3,SUMIF('TL06'!$C$10:$C$224,$C348,'TL06'!$J$10:$J$224),0),
IF('TL06'!$B$229=P$3,SUMIF('TL06'!$C$238:$C$451,$C348,'TL06'!$J$238:$J$451),0),
IF('TL07'!$B$3=P$3,SUMIF('TL07'!$C$10:$C$224,$C348,'TL07'!$J$10:$J$224),0),
IF('TL07'!$B$229=P$3,SUMIF('TL07'!$C$238:$C$451,$C348,'TL07'!$J$238:$J$451),0),
IF('TL08'!$B$3=P$3,SUMIF('TL08'!$C$10:$C$224,$C348,'TL08'!$J$10:$J$224),0),
IF('TL08'!$B$229=P$3,SUMIF('TL08'!$C$238:$C$451,$C348,'TL08'!$J$238:$J$451),0),
IF('TL09'!$B$3=P$3,SUMIF('TL09'!$C$10:$C$224,$C348,'TL09'!$J$10:$J$224),0),
IF('TL09'!$B$229=P$3,SUMIF('TL09'!$C$238:$C$451,$C348,'TL09'!$J$238:$J$451),0),
IF('TL10'!$B$3=P$3,SUMIF('TL10'!$C$10:$C$224,$C348,'TL10'!$J$10:$J$224),0),
IF('TL10'!$B$229=P$3,SUMIF('TL10'!$C$238:$C$451,$C348,'TL10'!$J$238:$J$451),0),
IF('TL11'!$B$3=P$3,SUMIF('TL11'!$C$10:$C$224,$C348,'TL11'!$J$10:$J$224),0),
IF('TL11'!$B$229=P$3,SUMIF('TL11'!$C$238:$C$451,$C348,'TL11'!$J$238:$J$451),0),
IF('TL12'!$B$3=P$3,SUMIF('TL12'!$C$10:$C$224,$C348,'TL12'!$J$10:$J$224),0),
IF('TL12'!$B$229=P$3,SUMIF('TL12'!$C$238:$C$451,$C348,'TL12'!$J$238:$J$451),0),
IF('TL13'!$B$3=P$3,SUMIF('TL13'!$C$10:$C$224,$C348,'TL13'!$J$10:$J$224),0),
IF('TL13'!$B$229=P$3,SUMIF('TL13'!$C$238:$C$451,$C348,'TL13'!$J$238:$J$451),0),
IF('TL14'!$B$3=P$3,SUMIF('TL14'!$C$10:$C$224,$C348,'TL14'!$J$10:$J$224),0),
IF('TL14'!$B$229=P$3,SUMIF('TL14'!$C$238:$C$451,$C348,'TL14'!$J$238:$J$451),0),
IF('TL15'!$B$3=P$3,SUMIF('TL15'!$C$10:$C$224,$C348,'TL15'!$J$10:$J$224),0),
IF('TL15'!$B$229=P$3,SUMIF('TL15'!$C$238:$C$451,$C348,'TL15'!$J$238:$J$451),0),
IF('TL16'!$B$3=P$3,SUMIF('TL16'!$C$10:$C$224,$C348,'TL16'!$J$10:$J$224),0),
IF('TL16'!$B$229=P$3,SUMIF('TL16'!$C$238:$C$451,$C348,'TL16'!$J$238:$J$451),0),
IF('TL17'!$B$3=P$3,SUMIF('TL17'!$C$10:$C$224,$C348,'TL17'!$J$10:$J$224),0),
IF('TL17'!$B$229=P$3,SUMIF('TL17'!$C$238:$C$451,$C348,'TL17'!$J$238:$J$451),0),
IF('TL18'!$B$3=P$3,SUMIF('TL18'!$C$10:$C$224,$C348,'TL18'!$J$10:$J$224),0),
IF('TL18'!$B$229=P$3,SUMIF('TL18'!$C$238:$C$451,$C348,'TL18'!$J$238:$J$451),0),
IF('TL19'!$B$3=P$3,SUMIF('TL19'!$C$10:$C$224,$C348,'TL19'!$J$10:$J$224),0),
IF('TL19'!$B$229=P$3,SUMIF('TL19'!$C$238:$C$451,$C348,'TL19'!$J$238:$J$451),0)
),0)</f>
        <v>0</v>
      </c>
      <c r="Q348" s="9">
        <f>IFERROR(SUM(
IF('TL01'!$B$3=Q$3,SUMIF('TL01'!$C$10:$C$224,$C348,'TL01'!$J$10:$J$224),0),
IF('TL01'!$B$229=Q$3,SUMIF('TL01'!$C$238:$C$451,$C348,'TL01'!$J$238:$J$451),0),
IF('TL02'!$B$3=Q$3,SUMIF('TL02'!$C$10:$C$224,$C348,'TL02'!$J$10:$J$224),0),
IF('TL02'!$B$229=Q$3,SUMIF('TL02'!$C$238:$C$451,$C348,'TL02'!$J$238:$J$451),0),
IF('TL03'!$B$3=Q$3,SUMIF('TL03'!$C$10:$C$224,$C348,'TL03'!$J$10:$J$224),0),
IF('TL03'!$B$229=Q$3,SUMIF('TL03'!$C$238:$C$451,$C348,'TL03'!$J$238:$J$451),0),
IF('TL04'!$B$3=Q$3,SUMIF('TL04'!$C$10:$C$224,$C348,'TL04'!$J$10:$J$224),0),
IF('TL04'!$B$229=Q$3,SUMIF('TL04'!$C$238:$C$451,$C348,'TL04'!$J$238:$J$451),0),
IF('TL05'!$B$3=Q$3,SUMIF('TL05'!$C$10:$C$224,$C348,'TL05'!$J$10:$J$224),0),
IF('TL05'!$B$229=Q$3,SUMIF('TL05'!$C$238:$C$451,$C348,'TL05'!$J$238:$J$451),0),
IF('TL06'!$B$3=Q$3,SUMIF('TL06'!$C$10:$C$224,$C348,'TL06'!$J$10:$J$224),0),
IF('TL06'!$B$229=Q$3,SUMIF('TL06'!$C$238:$C$451,$C348,'TL06'!$J$238:$J$451),0),
IF('TL07'!$B$3=Q$3,SUMIF('TL07'!$C$10:$C$224,$C348,'TL07'!$J$10:$J$224),0),
IF('TL07'!$B$229=Q$3,SUMIF('TL07'!$C$238:$C$451,$C348,'TL07'!$J$238:$J$451),0),
IF('TL08'!$B$3=Q$3,SUMIF('TL08'!$C$10:$C$224,$C348,'TL08'!$J$10:$J$224),0),
IF('TL08'!$B$229=Q$3,SUMIF('TL08'!$C$238:$C$451,$C348,'TL08'!$J$238:$J$451),0),
IF('TL09'!$B$3=Q$3,SUMIF('TL09'!$C$10:$C$224,$C348,'TL09'!$J$10:$J$224),0),
IF('TL09'!$B$229=Q$3,SUMIF('TL09'!$C$238:$C$451,$C348,'TL09'!$J$238:$J$451),0),
IF('TL10'!$B$3=Q$3,SUMIF('TL10'!$C$10:$C$224,$C348,'TL10'!$J$10:$J$224),0),
IF('TL10'!$B$229=Q$3,SUMIF('TL10'!$C$238:$C$451,$C348,'TL10'!$J$238:$J$451),0),
IF('TL11'!$B$3=Q$3,SUMIF('TL11'!$C$10:$C$224,$C348,'TL11'!$J$10:$J$224),0),
IF('TL11'!$B$229=Q$3,SUMIF('TL11'!$C$238:$C$451,$C348,'TL11'!$J$238:$J$451),0),
IF('TL12'!$B$3=Q$3,SUMIF('TL12'!$C$10:$C$224,$C348,'TL12'!$J$10:$J$224),0),
IF('TL12'!$B$229=Q$3,SUMIF('TL12'!$C$238:$C$451,$C348,'TL12'!$J$238:$J$451),0),
IF('TL13'!$B$3=Q$3,SUMIF('TL13'!$C$10:$C$224,$C348,'TL13'!$J$10:$J$224),0),
IF('TL13'!$B$229=Q$3,SUMIF('TL13'!$C$238:$C$451,$C348,'TL13'!$J$238:$J$451),0),
IF('TL14'!$B$3=Q$3,SUMIF('TL14'!$C$10:$C$224,$C348,'TL14'!$J$10:$J$224),0),
IF('TL14'!$B$229=Q$3,SUMIF('TL14'!$C$238:$C$451,$C348,'TL14'!$J$238:$J$451),0),
IF('TL15'!$B$3=Q$3,SUMIF('TL15'!$C$10:$C$224,$C348,'TL15'!$J$10:$J$224),0),
IF('TL15'!$B$229=Q$3,SUMIF('TL15'!$C$238:$C$451,$C348,'TL15'!$J$238:$J$451),0),
IF('TL16'!$B$3=Q$3,SUMIF('TL16'!$C$10:$C$224,$C348,'TL16'!$J$10:$J$224),0),
IF('TL16'!$B$229=Q$3,SUMIF('TL16'!$C$238:$C$451,$C348,'TL16'!$J$238:$J$451),0),
IF('TL17'!$B$3=Q$3,SUMIF('TL17'!$C$10:$C$224,$C348,'TL17'!$J$10:$J$224),0),
IF('TL17'!$B$229=Q$3,SUMIF('TL17'!$C$238:$C$451,$C348,'TL17'!$J$238:$J$451),0),
IF('TL18'!$B$3=Q$3,SUMIF('TL18'!$C$10:$C$224,$C348,'TL18'!$J$10:$J$224),0),
IF('TL18'!$B$229=Q$3,SUMIF('TL18'!$C$238:$C$451,$C348,'TL18'!$J$238:$J$451),0),
IF('TL19'!$B$3=Q$3,SUMIF('TL19'!$C$10:$C$224,$C348,'TL19'!$J$10:$J$224),0),
IF('TL19'!$B$229=Q$3,SUMIF('TL19'!$C$238:$C$451,$C348,'TL19'!$J$238:$J$451),0)
),0)</f>
        <v>0</v>
      </c>
      <c r="R348" s="9">
        <f>IFERROR(
SUM(
SUMIF('TL01'!C:C,C348,'TL01'!J:J),
SUMIF('TL02'!C:C,C348,'TL02'!J:J),
SUMIF('TL03'!C:C,C348,'TL03'!J:J),
SUMIF('TL04'!C:C,C348,'TL04'!J:J),
SUMIF('TL05'!C:C,C348,'TL05'!J:J),
SUMIF('TL06'!C:C,C348,'TL06'!J:J),
SUMIF('TL07'!C:C,C348,'TL07'!J:J),
SUMIF('TL08'!C:C,C348,'TL08'!J:J),
SUMIF('TL09'!C:C,C348,'TL09'!J:J),
SUMIF('TL10'!C:C,C348,'TL10'!J:J),
SUMIF('TL11'!C:C,C348,'TL11'!J:J),
SUMIF('TL12'!C:C,C348,'TL12'!J:J),
SUMIF('TL13'!C:C,C348,'TL13'!J:J),
SUMIF('TL14'!C:C,C348,'TL14'!J:J),
SUMIF('TL15'!C:C,C348,'TL15'!J:J),
SUMIF('TL16'!C:C,C348,'TL16'!J:J),
SUMIF('TL17'!C:C,C348,'TL17'!J:J),
SUMIF('TL18'!C:C,C348,'TL18'!J:J),SUMIF('TL19'!C:C,C348,'TL19'!J:J))
,0)</f>
        <v>0</v>
      </c>
      <c r="S348" s="17" t="str">
        <f>IFERROR(__xludf.DUMMYFUNCTION("IFERROR(VLOOKUP(C348,
IMPORTRANGE(""1wULbzX32WdYsx-lj2U3uUNBBe2INVIRDtcK0d-Dvl90"",
""26-27!C:G""),
5,
FALSE),
"""")"),"")</f>
        <v/>
      </c>
      <c r="T348" s="9"/>
      <c r="U348" s="92">
        <f t="shared" si="2"/>
        <v>0</v>
      </c>
      <c r="V348" s="93">
        <f t="shared" si="3"/>
        <v>0</v>
      </c>
    </row>
    <row r="349" ht="15.75" hidden="1" customHeight="1">
      <c r="A349" s="4"/>
      <c r="B349" s="125" t="s">
        <v>5</v>
      </c>
      <c r="C349" s="4" t="s">
        <v>1070</v>
      </c>
      <c r="D349" s="6"/>
      <c r="E349" s="9"/>
      <c r="F349" s="4"/>
      <c r="G349" s="90" t="str">
        <f t="shared" si="5"/>
        <v>📄 Ver bula</v>
      </c>
      <c r="H349" s="9"/>
      <c r="I349" s="1"/>
      <c r="J349" s="9">
        <f>IFERROR(SUM(
IF('TL01'!$B$3=J$3,SUMIF('TL01'!$C$10:$C$224,$C349,'TL01'!$J$10:$J$224),0),
IF('TL01'!$B$229=J$3,SUMIF('TL01'!$C$238:$C$451,$C349,'TL01'!$J$238:$J$451),0),
IF('TL02'!$B$3=J$3,SUMIF('TL02'!$C$10:$C$224,$C349,'TL02'!$J$10:$J$224),0),
IF('TL02'!$B$229=J$3,SUMIF('TL02'!$C$238:$C$451,$C349,'TL02'!$J$238:$J$451),0),
IF('TL03'!$B$3=J$3,SUMIF('TL03'!$C$10:$C$224,$C349,'TL03'!$J$10:$J$224),0),
IF('TL03'!$B$229=J$3,SUMIF('TL03'!$C$238:$C$451,$C349,'TL03'!$J$238:$J$451),0),
IF('TL04'!$B$3=J$3,SUMIF('TL04'!$C$10:$C$224,$C349,'TL04'!$J$10:$J$224),0),
IF('TL04'!$B$229=J$3,SUMIF('TL04'!$C$238:$C$451,$C349,'TL04'!$J$238:$J$451),0),
IF('TL05'!$B$3=J$3,SUMIF('TL05'!$C$10:$C$224,$C349,'TL05'!$J$10:$J$224),0),
IF('TL05'!$B$229=J$3,SUMIF('TL05'!$C$238:$C$451,$C349,'TL05'!$J$238:$J$451),0),
IF('TL06'!$B$3=J$3,SUMIF('TL06'!$C$10:$C$224,$C349,'TL06'!$J$10:$J$224),0),
IF('TL06'!$B$229=J$3,SUMIF('TL06'!$C$238:$C$451,$C349,'TL06'!$J$238:$J$451),0),
IF('TL07'!$B$3=J$3,SUMIF('TL07'!$C$10:$C$224,$C349,'TL07'!$J$10:$J$224),0),
IF('TL07'!$B$229=J$3,SUMIF('TL07'!$C$238:$C$451,$C349,'TL07'!$J$238:$J$451),0),
IF('TL08'!$B$3=J$3,SUMIF('TL08'!$C$10:$C$224,$C349,'TL08'!$J$10:$J$224),0),
IF('TL08'!$B$229=J$3,SUMIF('TL08'!$C$238:$C$451,$C349,'TL08'!$J$238:$J$451),0),
IF('TL09'!$B$3=J$3,SUMIF('TL09'!$C$10:$C$224,$C349,'TL09'!$J$10:$J$224),0),
IF('TL09'!$B$229=J$3,SUMIF('TL09'!$C$238:$C$451,$C349,'TL09'!$J$238:$J$451),0),
IF('TL10'!$B$3=J$3,SUMIF('TL10'!$C$10:$C$224,$C349,'TL10'!$J$10:$J$224),0),
IF('TL10'!$B$229=J$3,SUMIF('TL10'!$C$238:$C$451,$C349,'TL10'!$J$238:$J$451),0),
IF('TL11'!$B$3=J$3,SUMIF('TL11'!$C$10:$C$224,$C349,'TL11'!$J$10:$J$224),0),
IF('TL11'!$B$229=J$3,SUMIF('TL11'!$C$238:$C$451,$C349,'TL11'!$J$238:$J$451),0),
IF('TL12'!$B$3=J$3,SUMIF('TL12'!$C$10:$C$224,$C349,'TL12'!$J$10:$J$224),0),
IF('TL12'!$B$229=J$3,SUMIF('TL12'!$C$238:$C$451,$C349,'TL12'!$J$238:$J$451),0),
IF('TL13'!$B$3=J$3,SUMIF('TL13'!$C$10:$C$224,$C349,'TL13'!$J$10:$J$224),0),
IF('TL13'!$B$229=J$3,SUMIF('TL13'!$C$238:$C$451,$C349,'TL13'!$J$238:$J$451),0),
IF('TL14'!$B$3=J$3,SUMIF('TL14'!$C$10:$C$224,$C349,'TL14'!$J$10:$J$224),0),
IF('TL14'!$B$229=J$3,SUMIF('TL14'!$C$238:$C$451,$C349,'TL14'!$J$238:$J$451),0),
IF('TL15'!$B$3=J$3,SUMIF('TL15'!$C$10:$C$224,$C349,'TL15'!$J$10:$J$224),0),
IF('TL15'!$B$229=J$3,SUMIF('TL15'!$C$238:$C$451,$C349,'TL15'!$J$238:$J$451),0),
IF('TL16'!$B$3=J$3,SUMIF('TL16'!$C$10:$C$224,$C349,'TL16'!$J$10:$J$224),0),
IF('TL16'!$B$229=J$3,SUMIF('TL16'!$C$238:$C$451,$C349,'TL16'!$J$238:$J$451),0),
IF('TL17'!$B$3=J$3,SUMIF('TL17'!$C$10:$C$224,$C349,'TL17'!$J$10:$J$224),0),
IF('TL17'!$B$229=J$3,SUMIF('TL17'!$C$238:$C$451,$C349,'TL17'!$J$238:$J$451),0),
IF('TL18'!$B$3=J$3,SUMIF('TL18'!$C$10:$C$224,$C349,'TL18'!$J$10:$J$224),0),
IF('TL18'!$B$229=J$3,SUMIF('TL18'!$C$238:$C$451,$C349,'TL18'!$J$238:$J$451),0),
IF('TL19'!$B$3=J$3,SUMIF('TL19'!$C$10:$C$224,$C349,'TL19'!$J$10:$J$224),0),
IF('TL19'!$B$229=J$3,SUMIF('TL19'!$C$238:$C$451,$C349,'TL19'!$J$238:$J$451),0)
),0)</f>
        <v>0</v>
      </c>
      <c r="K349" s="9">
        <f>IFERROR(SUM(
IF('TL01'!$B$3=K$3,SUMIF('TL01'!$C$10:$C$224,$C349,'TL01'!$J$10:$J$224),0),
IF('TL01'!$B$229=K$3,SUMIF('TL01'!$C$238:$C$451,$C349,'TL01'!$J$238:$J$451),0),
IF('TL02'!$B$3=K$3,SUMIF('TL02'!$C$10:$C$224,$C349,'TL02'!$J$10:$J$224),0),
IF('TL02'!$B$229=K$3,SUMIF('TL02'!$C$238:$C$451,$C349,'TL02'!$J$238:$J$451),0),
IF('TL03'!$B$3=K$3,SUMIF('TL03'!$C$10:$C$224,$C349,'TL03'!$J$10:$J$224),0),
IF('TL03'!$B$229=K$3,SUMIF('TL03'!$C$238:$C$451,$C349,'TL03'!$J$238:$J$451),0),
IF('TL04'!$B$3=K$3,SUMIF('TL04'!$C$10:$C$224,$C349,'TL04'!$J$10:$J$224),0),
IF('TL04'!$B$229=K$3,SUMIF('TL04'!$C$238:$C$451,$C349,'TL04'!$J$238:$J$451),0),
IF('TL05'!$B$3=K$3,SUMIF('TL05'!$C$10:$C$224,$C349,'TL05'!$J$10:$J$224),0),
IF('TL05'!$B$229=K$3,SUMIF('TL05'!$C$238:$C$451,$C349,'TL05'!$J$238:$J$451),0),
IF('TL06'!$B$3=K$3,SUMIF('TL06'!$C$10:$C$224,$C349,'TL06'!$J$10:$J$224),0),
IF('TL06'!$B$229=K$3,SUMIF('TL06'!$C$238:$C$451,$C349,'TL06'!$J$238:$J$451),0),
IF('TL07'!$B$3=K$3,SUMIF('TL07'!$C$10:$C$224,$C349,'TL07'!$J$10:$J$224),0),
IF('TL07'!$B$229=K$3,SUMIF('TL07'!$C$238:$C$451,$C349,'TL07'!$J$238:$J$451),0),
IF('TL08'!$B$3=K$3,SUMIF('TL08'!$C$10:$C$224,$C349,'TL08'!$J$10:$J$224),0),
IF('TL08'!$B$229=K$3,SUMIF('TL08'!$C$238:$C$451,$C349,'TL08'!$J$238:$J$451),0),
IF('TL09'!$B$3=K$3,SUMIF('TL09'!$C$10:$C$224,$C349,'TL09'!$J$10:$J$224),0),
IF('TL09'!$B$229=K$3,SUMIF('TL09'!$C$238:$C$451,$C349,'TL09'!$J$238:$J$451),0),
IF('TL10'!$B$3=K$3,SUMIF('TL10'!$C$10:$C$224,$C349,'TL10'!$J$10:$J$224),0),
IF('TL10'!$B$229=K$3,SUMIF('TL10'!$C$238:$C$451,$C349,'TL10'!$J$238:$J$451),0),
IF('TL11'!$B$3=K$3,SUMIF('TL11'!$C$10:$C$224,$C349,'TL11'!$J$10:$J$224),0),
IF('TL11'!$B$229=K$3,SUMIF('TL11'!$C$238:$C$451,$C349,'TL11'!$J$238:$J$451),0),
IF('TL12'!$B$3=K$3,SUMIF('TL12'!$C$10:$C$224,$C349,'TL12'!$J$10:$J$224),0),
IF('TL12'!$B$229=K$3,SUMIF('TL12'!$C$238:$C$451,$C349,'TL12'!$J$238:$J$451),0),
IF('TL13'!$B$3=K$3,SUMIF('TL13'!$C$10:$C$224,$C349,'TL13'!$J$10:$J$224),0),
IF('TL13'!$B$229=K$3,SUMIF('TL13'!$C$238:$C$451,$C349,'TL13'!$J$238:$J$451),0),
IF('TL14'!$B$3=K$3,SUMIF('TL14'!$C$10:$C$224,$C349,'TL14'!$J$10:$J$224),0),
IF('TL14'!$B$229=K$3,SUMIF('TL14'!$C$238:$C$451,$C349,'TL14'!$J$238:$J$451),0),
IF('TL15'!$B$3=K$3,SUMIF('TL15'!$C$10:$C$224,$C349,'TL15'!$J$10:$J$224),0),
IF('TL15'!$B$229=K$3,SUMIF('TL15'!$C$238:$C$451,$C349,'TL15'!$J$238:$J$451),0),
IF('TL16'!$B$3=K$3,SUMIF('TL16'!$C$10:$C$224,$C349,'TL16'!$J$10:$J$224),0),
IF('TL16'!$B$229=K$3,SUMIF('TL16'!$C$238:$C$451,$C349,'TL16'!$J$238:$J$451),0),
IF('TL17'!$B$3=K$3,SUMIF('TL17'!$C$10:$C$224,$C349,'TL17'!$J$10:$J$224),0),
IF('TL17'!$B$229=K$3,SUMIF('TL17'!$C$238:$C$451,$C349,'TL17'!$J$238:$J$451),0),
IF('TL18'!$B$3=K$3,SUMIF('TL18'!$C$10:$C$224,$C349,'TL18'!$J$10:$J$224),0),
IF('TL18'!$B$229=K$3,SUMIF('TL18'!$C$238:$C$451,$C349,'TL18'!$J$238:$J$451),0),
IF('TL19'!$B$3=K$3,SUMIF('TL19'!$C$10:$C$224,$C349,'TL19'!$J$10:$J$224),0),
IF('TL19'!$B$229=K$3,SUMIF('TL19'!$C$238:$C$451,$C349,'TL19'!$J$238:$J$451),0)
),0)</f>
        <v>0</v>
      </c>
      <c r="L349" s="9">
        <f>IFERROR(SUM(
IF('TL01'!$B$3=L$3,SUMIF('TL01'!$C$10:$C$224,$C349,'TL01'!$J$10:$J$224),0),
IF('TL01'!$B$229=L$3,SUMIF('TL01'!$C$238:$C$451,$C349,'TL01'!$J$238:$J$451),0),
IF('TL02'!$B$3=L$3,SUMIF('TL02'!$C$10:$C$224,$C349,'TL02'!$J$10:$J$224),0),
IF('TL02'!$B$229=L$3,SUMIF('TL02'!$C$238:$C$451,$C349,'TL02'!$J$238:$J$451),0),
IF('TL03'!$B$3=L$3,SUMIF('TL03'!$C$10:$C$224,$C349,'TL03'!$J$10:$J$224),0),
IF('TL03'!$B$229=L$3,SUMIF('TL03'!$C$238:$C$451,$C349,'TL03'!$J$238:$J$451),0),
IF('TL04'!$B$3=L$3,SUMIF('TL04'!$C$10:$C$224,$C349,'TL04'!$J$10:$J$224),0),
IF('TL04'!$B$229=L$3,SUMIF('TL04'!$C$238:$C$451,$C349,'TL04'!$J$238:$J$451),0),
IF('TL05'!$B$3=L$3,SUMIF('TL05'!$C$10:$C$224,$C349,'TL05'!$J$10:$J$224),0),
IF('TL05'!$B$229=L$3,SUMIF('TL05'!$C$238:$C$451,$C349,'TL05'!$J$238:$J$451),0),
IF('TL06'!$B$3=L$3,SUMIF('TL06'!$C$10:$C$224,$C349,'TL06'!$J$10:$J$224),0),
IF('TL06'!$B$229=L$3,SUMIF('TL06'!$C$238:$C$451,$C349,'TL06'!$J$238:$J$451),0),
IF('TL07'!$B$3=L$3,SUMIF('TL07'!$C$10:$C$224,$C349,'TL07'!$J$10:$J$224),0),
IF('TL07'!$B$229=L$3,SUMIF('TL07'!$C$238:$C$451,$C349,'TL07'!$J$238:$J$451),0),
IF('TL08'!$B$3=L$3,SUMIF('TL08'!$C$10:$C$224,$C349,'TL08'!$J$10:$J$224),0),
IF('TL08'!$B$229=L$3,SUMIF('TL08'!$C$238:$C$451,$C349,'TL08'!$J$238:$J$451),0),
IF('TL09'!$B$3=L$3,SUMIF('TL09'!$C$10:$C$224,$C349,'TL09'!$J$10:$J$224),0),
IF('TL09'!$B$229=L$3,SUMIF('TL09'!$C$238:$C$451,$C349,'TL09'!$J$238:$J$451),0),
IF('TL10'!$B$3=L$3,SUMIF('TL10'!$C$10:$C$224,$C349,'TL10'!$J$10:$J$224),0),
IF('TL10'!$B$229=L$3,SUMIF('TL10'!$C$238:$C$451,$C349,'TL10'!$J$238:$J$451),0),
IF('TL11'!$B$3=L$3,SUMIF('TL11'!$C$10:$C$224,$C349,'TL11'!$J$10:$J$224),0),
IF('TL11'!$B$229=L$3,SUMIF('TL11'!$C$238:$C$451,$C349,'TL11'!$J$238:$J$451),0),
IF('TL12'!$B$3=L$3,SUMIF('TL12'!$C$10:$C$224,$C349,'TL12'!$J$10:$J$224),0),
IF('TL12'!$B$229=L$3,SUMIF('TL12'!$C$238:$C$451,$C349,'TL12'!$J$238:$J$451),0),
IF('TL13'!$B$3=L$3,SUMIF('TL13'!$C$10:$C$224,$C349,'TL13'!$J$10:$J$224),0),
IF('TL13'!$B$229=L$3,SUMIF('TL13'!$C$238:$C$451,$C349,'TL13'!$J$238:$J$451),0),
IF('TL14'!$B$3=L$3,SUMIF('TL14'!$C$10:$C$224,$C349,'TL14'!$J$10:$J$224),0),
IF('TL14'!$B$229=L$3,SUMIF('TL14'!$C$238:$C$451,$C349,'TL14'!$J$238:$J$451),0),
IF('TL15'!$B$3=L$3,SUMIF('TL15'!$C$10:$C$224,$C349,'TL15'!$J$10:$J$224),0),
IF('TL15'!$B$229=L$3,SUMIF('TL15'!$C$238:$C$451,$C349,'TL15'!$J$238:$J$451),0),
IF('TL16'!$B$3=L$3,SUMIF('TL16'!$C$10:$C$224,$C349,'TL16'!$J$10:$J$224),0),
IF('TL16'!$B$229=L$3,SUMIF('TL16'!$C$238:$C$451,$C349,'TL16'!$J$238:$J$451),0),
IF('TL17'!$B$3=L$3,SUMIF('TL17'!$C$10:$C$224,$C349,'TL17'!$J$10:$J$224),0),
IF('TL17'!$B$229=L$3,SUMIF('TL17'!$C$238:$C$451,$C349,'TL17'!$J$238:$J$451),0),
IF('TL18'!$B$3=L$3,SUMIF('TL18'!$C$10:$C$224,$C349,'TL18'!$J$10:$J$224),0),
IF('TL18'!$B$229=L$3,SUMIF('TL18'!$C$238:$C$451,$C349,'TL18'!$J$238:$J$451),0),
IF('TL19'!$B$3=L$3,SUMIF('TL19'!$C$10:$C$224,$C349,'TL19'!$J$10:$J$224),0),
IF('TL19'!$B$229=L$3,SUMIF('TL19'!$C$238:$C$451,$C349,'TL19'!$J$238:$J$451),0)
),0)</f>
        <v>0</v>
      </c>
      <c r="M349" s="9">
        <f>IFERROR(SUM(
IF('TL01'!$B$3=M$3,SUMIF('TL01'!$C$10:$C$224,$C349,'TL01'!$J$10:$J$224),0),
IF('TL01'!$B$229=M$3,SUMIF('TL01'!$C$238:$C$451,$C349,'TL01'!$J$238:$J$451),0),
IF('TL02'!$B$3=M$3,SUMIF('TL02'!$C$10:$C$224,$C349,'TL02'!$J$10:$J$224),0),
IF('TL02'!$B$229=M$3,SUMIF('TL02'!$C$238:$C$451,$C349,'TL02'!$J$238:$J$451),0),
IF('TL03'!$B$3=M$3,SUMIF('TL03'!$C$10:$C$224,$C349,'TL03'!$J$10:$J$224),0),
IF('TL03'!$B$229=M$3,SUMIF('TL03'!$C$238:$C$451,$C349,'TL03'!$J$238:$J$451),0),
IF('TL04'!$B$3=M$3,SUMIF('TL04'!$C$10:$C$224,$C349,'TL04'!$J$10:$J$224),0),
IF('TL04'!$B$229=M$3,SUMIF('TL04'!$C$238:$C$451,$C349,'TL04'!$J$238:$J$451),0),
IF('TL05'!$B$3=M$3,SUMIF('TL05'!$C$10:$C$224,$C349,'TL05'!$J$10:$J$224),0),
IF('TL05'!$B$229=M$3,SUMIF('TL05'!$C$238:$C$451,$C349,'TL05'!$J$238:$J$451),0),
IF('TL06'!$B$3=M$3,SUMIF('TL06'!$C$10:$C$224,$C349,'TL06'!$J$10:$J$224),0),
IF('TL06'!$B$229=M$3,SUMIF('TL06'!$C$238:$C$451,$C349,'TL06'!$J$238:$J$451),0),
IF('TL07'!$B$3=M$3,SUMIF('TL07'!$C$10:$C$224,$C349,'TL07'!$J$10:$J$224),0),
IF('TL07'!$B$229=M$3,SUMIF('TL07'!$C$238:$C$451,$C349,'TL07'!$J$238:$J$451),0),
IF('TL08'!$B$3=M$3,SUMIF('TL08'!$C$10:$C$224,$C349,'TL08'!$J$10:$J$224),0),
IF('TL08'!$B$229=M$3,SUMIF('TL08'!$C$238:$C$451,$C349,'TL08'!$J$238:$J$451),0),
IF('TL09'!$B$3=M$3,SUMIF('TL09'!$C$10:$C$224,$C349,'TL09'!$J$10:$J$224),0),
IF('TL09'!$B$229=M$3,SUMIF('TL09'!$C$238:$C$451,$C349,'TL09'!$J$238:$J$451),0),
IF('TL10'!$B$3=M$3,SUMIF('TL10'!$C$10:$C$224,$C349,'TL10'!$J$10:$J$224),0),
IF('TL10'!$B$229=M$3,SUMIF('TL10'!$C$238:$C$451,$C349,'TL10'!$J$238:$J$451),0),
IF('TL11'!$B$3=M$3,SUMIF('TL11'!$C$10:$C$224,$C349,'TL11'!$J$10:$J$224),0),
IF('TL11'!$B$229=M$3,SUMIF('TL11'!$C$238:$C$451,$C349,'TL11'!$J$238:$J$451),0),
IF('TL12'!$B$3=M$3,SUMIF('TL12'!$C$10:$C$224,$C349,'TL12'!$J$10:$J$224),0),
IF('TL12'!$B$229=M$3,SUMIF('TL12'!$C$238:$C$451,$C349,'TL12'!$J$238:$J$451),0),
IF('TL13'!$B$3=M$3,SUMIF('TL13'!$C$10:$C$224,$C349,'TL13'!$J$10:$J$224),0),
IF('TL13'!$B$229=M$3,SUMIF('TL13'!$C$238:$C$451,$C349,'TL13'!$J$238:$J$451),0),
IF('TL14'!$B$3=M$3,SUMIF('TL14'!$C$10:$C$224,$C349,'TL14'!$J$10:$J$224),0),
IF('TL14'!$B$229=M$3,SUMIF('TL14'!$C$238:$C$451,$C349,'TL14'!$J$238:$J$451),0),
IF('TL15'!$B$3=M$3,SUMIF('TL15'!$C$10:$C$224,$C349,'TL15'!$J$10:$J$224),0),
IF('TL15'!$B$229=M$3,SUMIF('TL15'!$C$238:$C$451,$C349,'TL15'!$J$238:$J$451),0),
IF('TL16'!$B$3=M$3,SUMIF('TL16'!$C$10:$C$224,$C349,'TL16'!$J$10:$J$224),0),
IF('TL16'!$B$229=M$3,SUMIF('TL16'!$C$238:$C$451,$C349,'TL16'!$J$238:$J$451),0),
IF('TL17'!$B$3=M$3,SUMIF('TL17'!$C$10:$C$224,$C349,'TL17'!$J$10:$J$224),0),
IF('TL17'!$B$229=M$3,SUMIF('TL17'!$C$238:$C$451,$C349,'TL17'!$J$238:$J$451),0),
IF('TL18'!$B$3=M$3,SUMIF('TL18'!$C$10:$C$224,$C349,'TL18'!$J$10:$J$224),0),
IF('TL18'!$B$229=M$3,SUMIF('TL18'!$C$238:$C$451,$C349,'TL18'!$J$238:$J$451),0),
IF('TL19'!$B$3=M$3,SUMIF('TL19'!$C$10:$C$224,$C349,'TL19'!$J$10:$J$224),0),
IF('TL19'!$B$229=M$3,SUMIF('TL19'!$C$238:$C$451,$C349,'TL19'!$J$238:$J$451),0)
),0)</f>
        <v>0</v>
      </c>
      <c r="N349" s="9">
        <f>IFERROR(SUM(
IF('TL01'!$B$3=N$3,SUMIF('TL01'!$C$10:$C$224,$C349,'TL01'!$J$10:$J$224),0),
IF('TL01'!$B$229=N$3,SUMIF('TL01'!$C$238:$C$451,$C349,'TL01'!$J$238:$J$451),0),
IF('TL02'!$B$3=N$3,SUMIF('TL02'!$C$10:$C$224,$C349,'TL02'!$J$10:$J$224),0),
IF('TL02'!$B$229=N$3,SUMIF('TL02'!$C$238:$C$451,$C349,'TL02'!$J$238:$J$451),0),
IF('TL03'!$B$3=N$3,SUMIF('TL03'!$C$10:$C$224,$C349,'TL03'!$J$10:$J$224),0),
IF('TL03'!$B$229=N$3,SUMIF('TL03'!$C$238:$C$451,$C349,'TL03'!$J$238:$J$451),0),
IF('TL04'!$B$3=N$3,SUMIF('TL04'!$C$10:$C$224,$C349,'TL04'!$J$10:$J$224),0),
IF('TL04'!$B$229=N$3,SUMIF('TL04'!$C$238:$C$451,$C349,'TL04'!$J$238:$J$451),0),
IF('TL05'!$B$3=N$3,SUMIF('TL05'!$C$10:$C$224,$C349,'TL05'!$J$10:$J$224),0),
IF('TL05'!$B$229=N$3,SUMIF('TL05'!$C$238:$C$451,$C349,'TL05'!$J$238:$J$451),0),
IF('TL06'!$B$3=N$3,SUMIF('TL06'!$C$10:$C$224,$C349,'TL06'!$J$10:$J$224),0),
IF('TL06'!$B$229=N$3,SUMIF('TL06'!$C$238:$C$451,$C349,'TL06'!$J$238:$J$451),0),
IF('TL07'!$B$3=N$3,SUMIF('TL07'!$C$10:$C$224,$C349,'TL07'!$J$10:$J$224),0),
IF('TL07'!$B$229=N$3,SUMIF('TL07'!$C$238:$C$451,$C349,'TL07'!$J$238:$J$451),0),
IF('TL08'!$B$3=N$3,SUMIF('TL08'!$C$10:$C$224,$C349,'TL08'!$J$10:$J$224),0),
IF('TL08'!$B$229=N$3,SUMIF('TL08'!$C$238:$C$451,$C349,'TL08'!$J$238:$J$451),0),
IF('TL09'!$B$3=N$3,SUMIF('TL09'!$C$10:$C$224,$C349,'TL09'!$J$10:$J$224),0),
IF('TL09'!$B$229=N$3,SUMIF('TL09'!$C$238:$C$451,$C349,'TL09'!$J$238:$J$451),0),
IF('TL10'!$B$3=N$3,SUMIF('TL10'!$C$10:$C$224,$C349,'TL10'!$J$10:$J$224),0),
IF('TL10'!$B$229=N$3,SUMIF('TL10'!$C$238:$C$451,$C349,'TL10'!$J$238:$J$451),0),
IF('TL11'!$B$3=N$3,SUMIF('TL11'!$C$10:$C$224,$C349,'TL11'!$J$10:$J$224),0),
IF('TL11'!$B$229=N$3,SUMIF('TL11'!$C$238:$C$451,$C349,'TL11'!$J$238:$J$451),0),
IF('TL12'!$B$3=N$3,SUMIF('TL12'!$C$10:$C$224,$C349,'TL12'!$J$10:$J$224),0),
IF('TL12'!$B$229=N$3,SUMIF('TL12'!$C$238:$C$451,$C349,'TL12'!$J$238:$J$451),0),
IF('TL13'!$B$3=N$3,SUMIF('TL13'!$C$10:$C$224,$C349,'TL13'!$J$10:$J$224),0),
IF('TL13'!$B$229=N$3,SUMIF('TL13'!$C$238:$C$451,$C349,'TL13'!$J$238:$J$451),0),
IF('TL14'!$B$3=N$3,SUMIF('TL14'!$C$10:$C$224,$C349,'TL14'!$J$10:$J$224),0),
IF('TL14'!$B$229=N$3,SUMIF('TL14'!$C$238:$C$451,$C349,'TL14'!$J$238:$J$451),0),
IF('TL15'!$B$3=N$3,SUMIF('TL15'!$C$10:$C$224,$C349,'TL15'!$J$10:$J$224),0),
IF('TL15'!$B$229=N$3,SUMIF('TL15'!$C$238:$C$451,$C349,'TL15'!$J$238:$J$451),0),
IF('TL16'!$B$3=N$3,SUMIF('TL16'!$C$10:$C$224,$C349,'TL16'!$J$10:$J$224),0),
IF('TL16'!$B$229=N$3,SUMIF('TL16'!$C$238:$C$451,$C349,'TL16'!$J$238:$J$451),0),
IF('TL17'!$B$3=N$3,SUMIF('TL17'!$C$10:$C$224,$C349,'TL17'!$J$10:$J$224),0),
IF('TL17'!$B$229=N$3,SUMIF('TL17'!$C$238:$C$451,$C349,'TL17'!$J$238:$J$451),0),
IF('TL18'!$B$3=N$3,SUMIF('TL18'!$C$10:$C$224,$C349,'TL18'!$J$10:$J$224),0),
IF('TL18'!$B$229=N$3,SUMIF('TL18'!$C$238:$C$451,$C349,'TL18'!$J$238:$J$451),0),
IF('TL19'!$B$3=N$3,SUMIF('TL19'!$C$10:$C$224,$C349,'TL19'!$J$10:$J$224),0),
IF('TL19'!$B$229=N$3,SUMIF('TL19'!$C$238:$C$451,$C349,'TL19'!$J$238:$J$451),0)
),0)</f>
        <v>150.4</v>
      </c>
      <c r="O349" s="9">
        <f>IFERROR(SUM(
IF('TL01'!$B$3=O$3,SUMIF('TL01'!$C$10:$C$224,$C349,'TL01'!$J$10:$J$224),0),
IF('TL01'!$B$229=O$3,SUMIF('TL01'!$C$238:$C$451,$C349,'TL01'!$J$238:$J$451),0),
IF('TL02'!$B$3=O$3,SUMIF('TL02'!$C$10:$C$224,$C349,'TL02'!$J$10:$J$224),0),
IF('TL02'!$B$229=O$3,SUMIF('TL02'!$C$238:$C$451,$C349,'TL02'!$J$238:$J$451),0),
IF('TL03'!$B$3=O$3,SUMIF('TL03'!$C$10:$C$224,$C349,'TL03'!$J$10:$J$224),0),
IF('TL03'!$B$229=O$3,SUMIF('TL03'!$C$238:$C$451,$C349,'TL03'!$J$238:$J$451),0),
IF('TL04'!$B$3=O$3,SUMIF('TL04'!$C$10:$C$224,$C349,'TL04'!$J$10:$J$224),0),
IF('TL04'!$B$229=O$3,SUMIF('TL04'!$C$238:$C$451,$C349,'TL04'!$J$238:$J$451),0),
IF('TL05'!$B$3=O$3,SUMIF('TL05'!$C$10:$C$224,$C349,'TL05'!$J$10:$J$224),0),
IF('TL05'!$B$229=O$3,SUMIF('TL05'!$C$238:$C$451,$C349,'TL05'!$J$238:$J$451),0),
IF('TL06'!$B$3=O$3,SUMIF('TL06'!$C$10:$C$224,$C349,'TL06'!$J$10:$J$224),0),
IF('TL06'!$B$229=O$3,SUMIF('TL06'!$C$238:$C$451,$C349,'TL06'!$J$238:$J$451),0),
IF('TL07'!$B$3=O$3,SUMIF('TL07'!$C$10:$C$224,$C349,'TL07'!$J$10:$J$224),0),
IF('TL07'!$B$229=O$3,SUMIF('TL07'!$C$238:$C$451,$C349,'TL07'!$J$238:$J$451),0),
IF('TL08'!$B$3=O$3,SUMIF('TL08'!$C$10:$C$224,$C349,'TL08'!$J$10:$J$224),0),
IF('TL08'!$B$229=O$3,SUMIF('TL08'!$C$238:$C$451,$C349,'TL08'!$J$238:$J$451),0),
IF('TL09'!$B$3=O$3,SUMIF('TL09'!$C$10:$C$224,$C349,'TL09'!$J$10:$J$224),0),
IF('TL09'!$B$229=O$3,SUMIF('TL09'!$C$238:$C$451,$C349,'TL09'!$J$238:$J$451),0),
IF('TL10'!$B$3=O$3,SUMIF('TL10'!$C$10:$C$224,$C349,'TL10'!$J$10:$J$224),0),
IF('TL10'!$B$229=O$3,SUMIF('TL10'!$C$238:$C$451,$C349,'TL10'!$J$238:$J$451),0),
IF('TL11'!$B$3=O$3,SUMIF('TL11'!$C$10:$C$224,$C349,'TL11'!$J$10:$J$224),0),
IF('TL11'!$B$229=O$3,SUMIF('TL11'!$C$238:$C$451,$C349,'TL11'!$J$238:$J$451),0),
IF('TL12'!$B$3=O$3,SUMIF('TL12'!$C$10:$C$224,$C349,'TL12'!$J$10:$J$224),0),
IF('TL12'!$B$229=O$3,SUMIF('TL12'!$C$238:$C$451,$C349,'TL12'!$J$238:$J$451),0),
IF('TL13'!$B$3=O$3,SUMIF('TL13'!$C$10:$C$224,$C349,'TL13'!$J$10:$J$224),0),
IF('TL13'!$B$229=O$3,SUMIF('TL13'!$C$238:$C$451,$C349,'TL13'!$J$238:$J$451),0),
IF('TL14'!$B$3=O$3,SUMIF('TL14'!$C$10:$C$224,$C349,'TL14'!$J$10:$J$224),0),
IF('TL14'!$B$229=O$3,SUMIF('TL14'!$C$238:$C$451,$C349,'TL14'!$J$238:$J$451),0),
IF('TL15'!$B$3=O$3,SUMIF('TL15'!$C$10:$C$224,$C349,'TL15'!$J$10:$J$224),0),
IF('TL15'!$B$229=O$3,SUMIF('TL15'!$C$238:$C$451,$C349,'TL15'!$J$238:$J$451),0),
IF('TL16'!$B$3=O$3,SUMIF('TL16'!$C$10:$C$224,$C349,'TL16'!$J$10:$J$224),0),
IF('TL16'!$B$229=O$3,SUMIF('TL16'!$C$238:$C$451,$C349,'TL16'!$J$238:$J$451),0),
IF('TL17'!$B$3=O$3,SUMIF('TL17'!$C$10:$C$224,$C349,'TL17'!$J$10:$J$224),0),
IF('TL17'!$B$229=O$3,SUMIF('TL17'!$C$238:$C$451,$C349,'TL17'!$J$238:$J$451),0),
IF('TL18'!$B$3=O$3,SUMIF('TL18'!$C$10:$C$224,$C349,'TL18'!$J$10:$J$224),0),
IF('TL18'!$B$229=O$3,SUMIF('TL18'!$C$238:$C$451,$C349,'TL18'!$J$238:$J$451),0),
IF('TL19'!$B$3=O$3,SUMIF('TL19'!$C$10:$C$224,$C349,'TL19'!$J$10:$J$224),0),
IF('TL19'!$B$229=O$3,SUMIF('TL19'!$C$238:$C$451,$C349,'TL19'!$J$238:$J$451),0)
),0)</f>
        <v>0</v>
      </c>
      <c r="P349" s="9">
        <f>IFERROR(SUM(
IF('TL01'!$B$3=P$3,SUMIF('TL01'!$C$10:$C$224,$C349,'TL01'!$J$10:$J$224),0),
IF('TL01'!$B$229=P$3,SUMIF('TL01'!$C$238:$C$451,$C349,'TL01'!$J$238:$J$451),0),
IF('TL02'!$B$3=P$3,SUMIF('TL02'!$C$10:$C$224,$C349,'TL02'!$J$10:$J$224),0),
IF('TL02'!$B$229=P$3,SUMIF('TL02'!$C$238:$C$451,$C349,'TL02'!$J$238:$J$451),0),
IF('TL03'!$B$3=P$3,SUMIF('TL03'!$C$10:$C$224,$C349,'TL03'!$J$10:$J$224),0),
IF('TL03'!$B$229=P$3,SUMIF('TL03'!$C$238:$C$451,$C349,'TL03'!$J$238:$J$451),0),
IF('TL04'!$B$3=P$3,SUMIF('TL04'!$C$10:$C$224,$C349,'TL04'!$J$10:$J$224),0),
IF('TL04'!$B$229=P$3,SUMIF('TL04'!$C$238:$C$451,$C349,'TL04'!$J$238:$J$451),0),
IF('TL05'!$B$3=P$3,SUMIF('TL05'!$C$10:$C$224,$C349,'TL05'!$J$10:$J$224),0),
IF('TL05'!$B$229=P$3,SUMIF('TL05'!$C$238:$C$451,$C349,'TL05'!$J$238:$J$451),0),
IF('TL06'!$B$3=P$3,SUMIF('TL06'!$C$10:$C$224,$C349,'TL06'!$J$10:$J$224),0),
IF('TL06'!$B$229=P$3,SUMIF('TL06'!$C$238:$C$451,$C349,'TL06'!$J$238:$J$451),0),
IF('TL07'!$B$3=P$3,SUMIF('TL07'!$C$10:$C$224,$C349,'TL07'!$J$10:$J$224),0),
IF('TL07'!$B$229=P$3,SUMIF('TL07'!$C$238:$C$451,$C349,'TL07'!$J$238:$J$451),0),
IF('TL08'!$B$3=P$3,SUMIF('TL08'!$C$10:$C$224,$C349,'TL08'!$J$10:$J$224),0),
IF('TL08'!$B$229=P$3,SUMIF('TL08'!$C$238:$C$451,$C349,'TL08'!$J$238:$J$451),0),
IF('TL09'!$B$3=P$3,SUMIF('TL09'!$C$10:$C$224,$C349,'TL09'!$J$10:$J$224),0),
IF('TL09'!$B$229=P$3,SUMIF('TL09'!$C$238:$C$451,$C349,'TL09'!$J$238:$J$451),0),
IF('TL10'!$B$3=P$3,SUMIF('TL10'!$C$10:$C$224,$C349,'TL10'!$J$10:$J$224),0),
IF('TL10'!$B$229=P$3,SUMIF('TL10'!$C$238:$C$451,$C349,'TL10'!$J$238:$J$451),0),
IF('TL11'!$B$3=P$3,SUMIF('TL11'!$C$10:$C$224,$C349,'TL11'!$J$10:$J$224),0),
IF('TL11'!$B$229=P$3,SUMIF('TL11'!$C$238:$C$451,$C349,'TL11'!$J$238:$J$451),0),
IF('TL12'!$B$3=P$3,SUMIF('TL12'!$C$10:$C$224,$C349,'TL12'!$J$10:$J$224),0),
IF('TL12'!$B$229=P$3,SUMIF('TL12'!$C$238:$C$451,$C349,'TL12'!$J$238:$J$451),0),
IF('TL13'!$B$3=P$3,SUMIF('TL13'!$C$10:$C$224,$C349,'TL13'!$J$10:$J$224),0),
IF('TL13'!$B$229=P$3,SUMIF('TL13'!$C$238:$C$451,$C349,'TL13'!$J$238:$J$451),0),
IF('TL14'!$B$3=P$3,SUMIF('TL14'!$C$10:$C$224,$C349,'TL14'!$J$10:$J$224),0),
IF('TL14'!$B$229=P$3,SUMIF('TL14'!$C$238:$C$451,$C349,'TL14'!$J$238:$J$451),0),
IF('TL15'!$B$3=P$3,SUMIF('TL15'!$C$10:$C$224,$C349,'TL15'!$J$10:$J$224),0),
IF('TL15'!$B$229=P$3,SUMIF('TL15'!$C$238:$C$451,$C349,'TL15'!$J$238:$J$451),0),
IF('TL16'!$B$3=P$3,SUMIF('TL16'!$C$10:$C$224,$C349,'TL16'!$J$10:$J$224),0),
IF('TL16'!$B$229=P$3,SUMIF('TL16'!$C$238:$C$451,$C349,'TL16'!$J$238:$J$451),0),
IF('TL17'!$B$3=P$3,SUMIF('TL17'!$C$10:$C$224,$C349,'TL17'!$J$10:$J$224),0),
IF('TL17'!$B$229=P$3,SUMIF('TL17'!$C$238:$C$451,$C349,'TL17'!$J$238:$J$451),0),
IF('TL18'!$B$3=P$3,SUMIF('TL18'!$C$10:$C$224,$C349,'TL18'!$J$10:$J$224),0),
IF('TL18'!$B$229=P$3,SUMIF('TL18'!$C$238:$C$451,$C349,'TL18'!$J$238:$J$451),0),
IF('TL19'!$B$3=P$3,SUMIF('TL19'!$C$10:$C$224,$C349,'TL19'!$J$10:$J$224),0),
IF('TL19'!$B$229=P$3,SUMIF('TL19'!$C$238:$C$451,$C349,'TL19'!$J$238:$J$451),0)
),0)</f>
        <v>0</v>
      </c>
      <c r="Q349" s="9">
        <f>IFERROR(SUM(
IF('TL01'!$B$3=Q$3,SUMIF('TL01'!$C$10:$C$224,$C349,'TL01'!$J$10:$J$224),0),
IF('TL01'!$B$229=Q$3,SUMIF('TL01'!$C$238:$C$451,$C349,'TL01'!$J$238:$J$451),0),
IF('TL02'!$B$3=Q$3,SUMIF('TL02'!$C$10:$C$224,$C349,'TL02'!$J$10:$J$224),0),
IF('TL02'!$B$229=Q$3,SUMIF('TL02'!$C$238:$C$451,$C349,'TL02'!$J$238:$J$451),0),
IF('TL03'!$B$3=Q$3,SUMIF('TL03'!$C$10:$C$224,$C349,'TL03'!$J$10:$J$224),0),
IF('TL03'!$B$229=Q$3,SUMIF('TL03'!$C$238:$C$451,$C349,'TL03'!$J$238:$J$451),0),
IF('TL04'!$B$3=Q$3,SUMIF('TL04'!$C$10:$C$224,$C349,'TL04'!$J$10:$J$224),0),
IF('TL04'!$B$229=Q$3,SUMIF('TL04'!$C$238:$C$451,$C349,'TL04'!$J$238:$J$451),0),
IF('TL05'!$B$3=Q$3,SUMIF('TL05'!$C$10:$C$224,$C349,'TL05'!$J$10:$J$224),0),
IF('TL05'!$B$229=Q$3,SUMIF('TL05'!$C$238:$C$451,$C349,'TL05'!$J$238:$J$451),0),
IF('TL06'!$B$3=Q$3,SUMIF('TL06'!$C$10:$C$224,$C349,'TL06'!$J$10:$J$224),0),
IF('TL06'!$B$229=Q$3,SUMIF('TL06'!$C$238:$C$451,$C349,'TL06'!$J$238:$J$451),0),
IF('TL07'!$B$3=Q$3,SUMIF('TL07'!$C$10:$C$224,$C349,'TL07'!$J$10:$J$224),0),
IF('TL07'!$B$229=Q$3,SUMIF('TL07'!$C$238:$C$451,$C349,'TL07'!$J$238:$J$451),0),
IF('TL08'!$B$3=Q$3,SUMIF('TL08'!$C$10:$C$224,$C349,'TL08'!$J$10:$J$224),0),
IF('TL08'!$B$229=Q$3,SUMIF('TL08'!$C$238:$C$451,$C349,'TL08'!$J$238:$J$451),0),
IF('TL09'!$B$3=Q$3,SUMIF('TL09'!$C$10:$C$224,$C349,'TL09'!$J$10:$J$224),0),
IF('TL09'!$B$229=Q$3,SUMIF('TL09'!$C$238:$C$451,$C349,'TL09'!$J$238:$J$451),0),
IF('TL10'!$B$3=Q$3,SUMIF('TL10'!$C$10:$C$224,$C349,'TL10'!$J$10:$J$224),0),
IF('TL10'!$B$229=Q$3,SUMIF('TL10'!$C$238:$C$451,$C349,'TL10'!$J$238:$J$451),0),
IF('TL11'!$B$3=Q$3,SUMIF('TL11'!$C$10:$C$224,$C349,'TL11'!$J$10:$J$224),0),
IF('TL11'!$B$229=Q$3,SUMIF('TL11'!$C$238:$C$451,$C349,'TL11'!$J$238:$J$451),0),
IF('TL12'!$B$3=Q$3,SUMIF('TL12'!$C$10:$C$224,$C349,'TL12'!$J$10:$J$224),0),
IF('TL12'!$B$229=Q$3,SUMIF('TL12'!$C$238:$C$451,$C349,'TL12'!$J$238:$J$451),0),
IF('TL13'!$B$3=Q$3,SUMIF('TL13'!$C$10:$C$224,$C349,'TL13'!$J$10:$J$224),0),
IF('TL13'!$B$229=Q$3,SUMIF('TL13'!$C$238:$C$451,$C349,'TL13'!$J$238:$J$451),0),
IF('TL14'!$B$3=Q$3,SUMIF('TL14'!$C$10:$C$224,$C349,'TL14'!$J$10:$J$224),0),
IF('TL14'!$B$229=Q$3,SUMIF('TL14'!$C$238:$C$451,$C349,'TL14'!$J$238:$J$451),0),
IF('TL15'!$B$3=Q$3,SUMIF('TL15'!$C$10:$C$224,$C349,'TL15'!$J$10:$J$224),0),
IF('TL15'!$B$229=Q$3,SUMIF('TL15'!$C$238:$C$451,$C349,'TL15'!$J$238:$J$451),0),
IF('TL16'!$B$3=Q$3,SUMIF('TL16'!$C$10:$C$224,$C349,'TL16'!$J$10:$J$224),0),
IF('TL16'!$B$229=Q$3,SUMIF('TL16'!$C$238:$C$451,$C349,'TL16'!$J$238:$J$451),0),
IF('TL17'!$B$3=Q$3,SUMIF('TL17'!$C$10:$C$224,$C349,'TL17'!$J$10:$J$224),0),
IF('TL17'!$B$229=Q$3,SUMIF('TL17'!$C$238:$C$451,$C349,'TL17'!$J$238:$J$451),0),
IF('TL18'!$B$3=Q$3,SUMIF('TL18'!$C$10:$C$224,$C349,'TL18'!$J$10:$J$224),0),
IF('TL18'!$B$229=Q$3,SUMIF('TL18'!$C$238:$C$451,$C349,'TL18'!$J$238:$J$451),0),
IF('TL19'!$B$3=Q$3,SUMIF('TL19'!$C$10:$C$224,$C349,'TL19'!$J$10:$J$224),0),
IF('TL19'!$B$229=Q$3,SUMIF('TL19'!$C$238:$C$451,$C349,'TL19'!$J$238:$J$451),0)
),0)</f>
        <v>0</v>
      </c>
      <c r="R349" s="9">
        <f>IFERROR(
SUM(
SUMIF('TL01'!C:C,C349,'TL01'!J:J),
SUMIF('TL02'!C:C,C349,'TL02'!J:J),
SUMIF('TL03'!C:C,C349,'TL03'!J:J),
SUMIF('TL04'!C:C,C349,'TL04'!J:J),
SUMIF('TL05'!C:C,C349,'TL05'!J:J),
SUMIF('TL06'!C:C,C349,'TL06'!J:J),
SUMIF('TL07'!C:C,C349,'TL07'!J:J),
SUMIF('TL08'!C:C,C349,'TL08'!J:J),
SUMIF('TL09'!C:C,C349,'TL09'!J:J),
SUMIF('TL10'!C:C,C349,'TL10'!J:J),
SUMIF('TL11'!C:C,C349,'TL11'!J:J),
SUMIF('TL12'!C:C,C349,'TL12'!J:J),
SUMIF('TL13'!C:C,C349,'TL13'!J:J),
SUMIF('TL14'!C:C,C349,'TL14'!J:J),
SUMIF('TL15'!C:C,C349,'TL15'!J:J),
SUMIF('TL16'!C:C,C349,'TL16'!J:J),
SUMIF('TL17'!C:C,C349,'TL17'!J:J),
SUMIF('TL18'!C:C,C349,'TL18'!J:J),SUMIF('TL19'!C:C,C349,'TL19'!J:J))
,0)</f>
        <v>150.4</v>
      </c>
      <c r="S349" s="17" t="str">
        <f>IFERROR(__xludf.DUMMYFUNCTION("IFERROR(VLOOKUP(C349,
IMPORTRANGE(""1wULbzX32WdYsx-lj2U3uUNBBe2INVIRDtcK0d-Dvl90"",
""26-27!C:G""),
5,
FALSE),
"""")"),"")</f>
        <v/>
      </c>
      <c r="T349" s="9"/>
      <c r="U349" s="92">
        <f t="shared" si="2"/>
        <v>150.4</v>
      </c>
      <c r="V349" s="93">
        <f t="shared" si="3"/>
        <v>0</v>
      </c>
    </row>
    <row r="350" ht="15.75" hidden="1" customHeight="1">
      <c r="A350" s="4" t="s">
        <v>1071</v>
      </c>
      <c r="B350" s="4" t="s">
        <v>4</v>
      </c>
      <c r="C350" s="126" t="s">
        <v>1072</v>
      </c>
      <c r="D350" s="127" t="s">
        <v>1073</v>
      </c>
      <c r="E350" s="6"/>
      <c r="F350" s="4"/>
      <c r="G350" s="90" t="str">
        <f t="shared" si="5"/>
        <v>📄 Ver bula</v>
      </c>
      <c r="H350" s="9">
        <v>4.0</v>
      </c>
      <c r="I350" s="121" t="s">
        <v>361</v>
      </c>
      <c r="J350" s="9">
        <f>IFERROR(SUM(
IF('TL01'!$B$3=J$3,SUMIF('TL01'!$C$10:$C$224,$C350,'TL01'!$J$10:$J$224),0),
IF('TL01'!$B$229=J$3,SUMIF('TL01'!$C$238:$C$451,$C350,'TL01'!$J$238:$J$451),0),
IF('TL02'!$B$3=J$3,SUMIF('TL02'!$C$10:$C$224,$C350,'TL02'!$J$10:$J$224),0),
IF('TL02'!$B$229=J$3,SUMIF('TL02'!$C$238:$C$451,$C350,'TL02'!$J$238:$J$451),0),
IF('TL03'!$B$3=J$3,SUMIF('TL03'!$C$10:$C$224,$C350,'TL03'!$J$10:$J$224),0),
IF('TL03'!$B$229=J$3,SUMIF('TL03'!$C$238:$C$451,$C350,'TL03'!$J$238:$J$451),0),
IF('TL04'!$B$3=J$3,SUMIF('TL04'!$C$10:$C$224,$C350,'TL04'!$J$10:$J$224),0),
IF('TL04'!$B$229=J$3,SUMIF('TL04'!$C$238:$C$451,$C350,'TL04'!$J$238:$J$451),0),
IF('TL05'!$B$3=J$3,SUMIF('TL05'!$C$10:$C$224,$C350,'TL05'!$J$10:$J$224),0),
IF('TL05'!$B$229=J$3,SUMIF('TL05'!$C$238:$C$451,$C350,'TL05'!$J$238:$J$451),0),
IF('TL06'!$B$3=J$3,SUMIF('TL06'!$C$10:$C$224,$C350,'TL06'!$J$10:$J$224),0),
IF('TL06'!$B$229=J$3,SUMIF('TL06'!$C$238:$C$451,$C350,'TL06'!$J$238:$J$451),0),
IF('TL07'!$B$3=J$3,SUMIF('TL07'!$C$10:$C$224,$C350,'TL07'!$J$10:$J$224),0),
IF('TL07'!$B$229=J$3,SUMIF('TL07'!$C$238:$C$451,$C350,'TL07'!$J$238:$J$451),0),
IF('TL08'!$B$3=J$3,SUMIF('TL08'!$C$10:$C$224,$C350,'TL08'!$J$10:$J$224),0),
IF('TL08'!$B$229=J$3,SUMIF('TL08'!$C$238:$C$451,$C350,'TL08'!$J$238:$J$451),0),
IF('TL09'!$B$3=J$3,SUMIF('TL09'!$C$10:$C$224,$C350,'TL09'!$J$10:$J$224),0),
IF('TL09'!$B$229=J$3,SUMIF('TL09'!$C$238:$C$451,$C350,'TL09'!$J$238:$J$451),0),
IF('TL10'!$B$3=J$3,SUMIF('TL10'!$C$10:$C$224,$C350,'TL10'!$J$10:$J$224),0),
IF('TL10'!$B$229=J$3,SUMIF('TL10'!$C$238:$C$451,$C350,'TL10'!$J$238:$J$451),0),
IF('TL11'!$B$3=J$3,SUMIF('TL11'!$C$10:$C$224,$C350,'TL11'!$J$10:$J$224),0),
IF('TL11'!$B$229=J$3,SUMIF('TL11'!$C$238:$C$451,$C350,'TL11'!$J$238:$J$451),0),
IF('TL12'!$B$3=J$3,SUMIF('TL12'!$C$10:$C$224,$C350,'TL12'!$J$10:$J$224),0),
IF('TL12'!$B$229=J$3,SUMIF('TL12'!$C$238:$C$451,$C350,'TL12'!$J$238:$J$451),0),
IF('TL13'!$B$3=J$3,SUMIF('TL13'!$C$10:$C$224,$C350,'TL13'!$J$10:$J$224),0),
IF('TL13'!$B$229=J$3,SUMIF('TL13'!$C$238:$C$451,$C350,'TL13'!$J$238:$J$451),0),
IF('TL14'!$B$3=J$3,SUMIF('TL14'!$C$10:$C$224,$C350,'TL14'!$J$10:$J$224),0),
IF('TL14'!$B$229=J$3,SUMIF('TL14'!$C$238:$C$451,$C350,'TL14'!$J$238:$J$451),0),
IF('TL15'!$B$3=J$3,SUMIF('TL15'!$C$10:$C$224,$C350,'TL15'!$J$10:$J$224),0),
IF('TL15'!$B$229=J$3,SUMIF('TL15'!$C$238:$C$451,$C350,'TL15'!$J$238:$J$451),0),
IF('TL16'!$B$3=J$3,SUMIF('TL16'!$C$10:$C$224,$C350,'TL16'!$J$10:$J$224),0),
IF('TL16'!$B$229=J$3,SUMIF('TL16'!$C$238:$C$451,$C350,'TL16'!$J$238:$J$451),0),
IF('TL17'!$B$3=J$3,SUMIF('TL17'!$C$10:$C$224,$C350,'TL17'!$J$10:$J$224),0),
IF('TL17'!$B$229=J$3,SUMIF('TL17'!$C$238:$C$451,$C350,'TL17'!$J$238:$J$451),0),
IF('TL18'!$B$3=J$3,SUMIF('TL18'!$C$10:$C$224,$C350,'TL18'!$J$10:$J$224),0),
IF('TL18'!$B$229=J$3,SUMIF('TL18'!$C$238:$C$451,$C350,'TL18'!$J$238:$J$451),0),
IF('TL19'!$B$3=J$3,SUMIF('TL19'!$C$10:$C$224,$C350,'TL19'!$J$10:$J$224),0),
IF('TL19'!$B$229=J$3,SUMIF('TL19'!$C$238:$C$451,$C350,'TL19'!$J$238:$J$451),0)
),0)</f>
        <v>0</v>
      </c>
      <c r="K350" s="9">
        <f>IFERROR(SUM(
IF('TL01'!$B$3=K$3,SUMIF('TL01'!$C$10:$C$224,$C350,'TL01'!$J$10:$J$224),0),
IF('TL01'!$B$229=K$3,SUMIF('TL01'!$C$238:$C$451,$C350,'TL01'!$J$238:$J$451),0),
IF('TL02'!$B$3=K$3,SUMIF('TL02'!$C$10:$C$224,$C350,'TL02'!$J$10:$J$224),0),
IF('TL02'!$B$229=K$3,SUMIF('TL02'!$C$238:$C$451,$C350,'TL02'!$J$238:$J$451),0),
IF('TL03'!$B$3=K$3,SUMIF('TL03'!$C$10:$C$224,$C350,'TL03'!$J$10:$J$224),0),
IF('TL03'!$B$229=K$3,SUMIF('TL03'!$C$238:$C$451,$C350,'TL03'!$J$238:$J$451),0),
IF('TL04'!$B$3=K$3,SUMIF('TL04'!$C$10:$C$224,$C350,'TL04'!$J$10:$J$224),0),
IF('TL04'!$B$229=K$3,SUMIF('TL04'!$C$238:$C$451,$C350,'TL04'!$J$238:$J$451),0),
IF('TL05'!$B$3=K$3,SUMIF('TL05'!$C$10:$C$224,$C350,'TL05'!$J$10:$J$224),0),
IF('TL05'!$B$229=K$3,SUMIF('TL05'!$C$238:$C$451,$C350,'TL05'!$J$238:$J$451),0),
IF('TL06'!$B$3=K$3,SUMIF('TL06'!$C$10:$C$224,$C350,'TL06'!$J$10:$J$224),0),
IF('TL06'!$B$229=K$3,SUMIF('TL06'!$C$238:$C$451,$C350,'TL06'!$J$238:$J$451),0),
IF('TL07'!$B$3=K$3,SUMIF('TL07'!$C$10:$C$224,$C350,'TL07'!$J$10:$J$224),0),
IF('TL07'!$B$229=K$3,SUMIF('TL07'!$C$238:$C$451,$C350,'TL07'!$J$238:$J$451),0),
IF('TL08'!$B$3=K$3,SUMIF('TL08'!$C$10:$C$224,$C350,'TL08'!$J$10:$J$224),0),
IF('TL08'!$B$229=K$3,SUMIF('TL08'!$C$238:$C$451,$C350,'TL08'!$J$238:$J$451),0),
IF('TL09'!$B$3=K$3,SUMIF('TL09'!$C$10:$C$224,$C350,'TL09'!$J$10:$J$224),0),
IF('TL09'!$B$229=K$3,SUMIF('TL09'!$C$238:$C$451,$C350,'TL09'!$J$238:$J$451),0),
IF('TL10'!$B$3=K$3,SUMIF('TL10'!$C$10:$C$224,$C350,'TL10'!$J$10:$J$224),0),
IF('TL10'!$B$229=K$3,SUMIF('TL10'!$C$238:$C$451,$C350,'TL10'!$J$238:$J$451),0),
IF('TL11'!$B$3=K$3,SUMIF('TL11'!$C$10:$C$224,$C350,'TL11'!$J$10:$J$224),0),
IF('TL11'!$B$229=K$3,SUMIF('TL11'!$C$238:$C$451,$C350,'TL11'!$J$238:$J$451),0),
IF('TL12'!$B$3=K$3,SUMIF('TL12'!$C$10:$C$224,$C350,'TL12'!$J$10:$J$224),0),
IF('TL12'!$B$229=K$3,SUMIF('TL12'!$C$238:$C$451,$C350,'TL12'!$J$238:$J$451),0),
IF('TL13'!$B$3=K$3,SUMIF('TL13'!$C$10:$C$224,$C350,'TL13'!$J$10:$J$224),0),
IF('TL13'!$B$229=K$3,SUMIF('TL13'!$C$238:$C$451,$C350,'TL13'!$J$238:$J$451),0),
IF('TL14'!$B$3=K$3,SUMIF('TL14'!$C$10:$C$224,$C350,'TL14'!$J$10:$J$224),0),
IF('TL14'!$B$229=K$3,SUMIF('TL14'!$C$238:$C$451,$C350,'TL14'!$J$238:$J$451),0),
IF('TL15'!$B$3=K$3,SUMIF('TL15'!$C$10:$C$224,$C350,'TL15'!$J$10:$J$224),0),
IF('TL15'!$B$229=K$3,SUMIF('TL15'!$C$238:$C$451,$C350,'TL15'!$J$238:$J$451),0),
IF('TL16'!$B$3=K$3,SUMIF('TL16'!$C$10:$C$224,$C350,'TL16'!$J$10:$J$224),0),
IF('TL16'!$B$229=K$3,SUMIF('TL16'!$C$238:$C$451,$C350,'TL16'!$J$238:$J$451),0),
IF('TL17'!$B$3=K$3,SUMIF('TL17'!$C$10:$C$224,$C350,'TL17'!$J$10:$J$224),0),
IF('TL17'!$B$229=K$3,SUMIF('TL17'!$C$238:$C$451,$C350,'TL17'!$J$238:$J$451),0),
IF('TL18'!$B$3=K$3,SUMIF('TL18'!$C$10:$C$224,$C350,'TL18'!$J$10:$J$224),0),
IF('TL18'!$B$229=K$3,SUMIF('TL18'!$C$238:$C$451,$C350,'TL18'!$J$238:$J$451),0),
IF('TL19'!$B$3=K$3,SUMIF('TL19'!$C$10:$C$224,$C350,'TL19'!$J$10:$J$224),0),
IF('TL19'!$B$229=K$3,SUMIF('TL19'!$C$238:$C$451,$C350,'TL19'!$J$238:$J$451),0)
),0)</f>
        <v>0</v>
      </c>
      <c r="L350" s="9">
        <f>IFERROR(SUM(
IF('TL01'!$B$3=L$3,SUMIF('TL01'!$C$10:$C$224,$C350,'TL01'!$J$10:$J$224),0),
IF('TL01'!$B$229=L$3,SUMIF('TL01'!$C$238:$C$451,$C350,'TL01'!$J$238:$J$451),0),
IF('TL02'!$B$3=L$3,SUMIF('TL02'!$C$10:$C$224,$C350,'TL02'!$J$10:$J$224),0),
IF('TL02'!$B$229=L$3,SUMIF('TL02'!$C$238:$C$451,$C350,'TL02'!$J$238:$J$451),0),
IF('TL03'!$B$3=L$3,SUMIF('TL03'!$C$10:$C$224,$C350,'TL03'!$J$10:$J$224),0),
IF('TL03'!$B$229=L$3,SUMIF('TL03'!$C$238:$C$451,$C350,'TL03'!$J$238:$J$451),0),
IF('TL04'!$B$3=L$3,SUMIF('TL04'!$C$10:$C$224,$C350,'TL04'!$J$10:$J$224),0),
IF('TL04'!$B$229=L$3,SUMIF('TL04'!$C$238:$C$451,$C350,'TL04'!$J$238:$J$451),0),
IF('TL05'!$B$3=L$3,SUMIF('TL05'!$C$10:$C$224,$C350,'TL05'!$J$10:$J$224),0),
IF('TL05'!$B$229=L$3,SUMIF('TL05'!$C$238:$C$451,$C350,'TL05'!$J$238:$J$451),0),
IF('TL06'!$B$3=L$3,SUMIF('TL06'!$C$10:$C$224,$C350,'TL06'!$J$10:$J$224),0),
IF('TL06'!$B$229=L$3,SUMIF('TL06'!$C$238:$C$451,$C350,'TL06'!$J$238:$J$451),0),
IF('TL07'!$B$3=L$3,SUMIF('TL07'!$C$10:$C$224,$C350,'TL07'!$J$10:$J$224),0),
IF('TL07'!$B$229=L$3,SUMIF('TL07'!$C$238:$C$451,$C350,'TL07'!$J$238:$J$451),0),
IF('TL08'!$B$3=L$3,SUMIF('TL08'!$C$10:$C$224,$C350,'TL08'!$J$10:$J$224),0),
IF('TL08'!$B$229=L$3,SUMIF('TL08'!$C$238:$C$451,$C350,'TL08'!$J$238:$J$451),0),
IF('TL09'!$B$3=L$3,SUMIF('TL09'!$C$10:$C$224,$C350,'TL09'!$J$10:$J$224),0),
IF('TL09'!$B$229=L$3,SUMIF('TL09'!$C$238:$C$451,$C350,'TL09'!$J$238:$J$451),0),
IF('TL10'!$B$3=L$3,SUMIF('TL10'!$C$10:$C$224,$C350,'TL10'!$J$10:$J$224),0),
IF('TL10'!$B$229=L$3,SUMIF('TL10'!$C$238:$C$451,$C350,'TL10'!$J$238:$J$451),0),
IF('TL11'!$B$3=L$3,SUMIF('TL11'!$C$10:$C$224,$C350,'TL11'!$J$10:$J$224),0),
IF('TL11'!$B$229=L$3,SUMIF('TL11'!$C$238:$C$451,$C350,'TL11'!$J$238:$J$451),0),
IF('TL12'!$B$3=L$3,SUMIF('TL12'!$C$10:$C$224,$C350,'TL12'!$J$10:$J$224),0),
IF('TL12'!$B$229=L$3,SUMIF('TL12'!$C$238:$C$451,$C350,'TL12'!$J$238:$J$451),0),
IF('TL13'!$B$3=L$3,SUMIF('TL13'!$C$10:$C$224,$C350,'TL13'!$J$10:$J$224),0),
IF('TL13'!$B$229=L$3,SUMIF('TL13'!$C$238:$C$451,$C350,'TL13'!$J$238:$J$451),0),
IF('TL14'!$B$3=L$3,SUMIF('TL14'!$C$10:$C$224,$C350,'TL14'!$J$10:$J$224),0),
IF('TL14'!$B$229=L$3,SUMIF('TL14'!$C$238:$C$451,$C350,'TL14'!$J$238:$J$451),0),
IF('TL15'!$B$3=L$3,SUMIF('TL15'!$C$10:$C$224,$C350,'TL15'!$J$10:$J$224),0),
IF('TL15'!$B$229=L$3,SUMIF('TL15'!$C$238:$C$451,$C350,'TL15'!$J$238:$J$451),0),
IF('TL16'!$B$3=L$3,SUMIF('TL16'!$C$10:$C$224,$C350,'TL16'!$J$10:$J$224),0),
IF('TL16'!$B$229=L$3,SUMIF('TL16'!$C$238:$C$451,$C350,'TL16'!$J$238:$J$451),0),
IF('TL17'!$B$3=L$3,SUMIF('TL17'!$C$10:$C$224,$C350,'TL17'!$J$10:$J$224),0),
IF('TL17'!$B$229=L$3,SUMIF('TL17'!$C$238:$C$451,$C350,'TL17'!$J$238:$J$451),0),
IF('TL18'!$B$3=L$3,SUMIF('TL18'!$C$10:$C$224,$C350,'TL18'!$J$10:$J$224),0),
IF('TL18'!$B$229=L$3,SUMIF('TL18'!$C$238:$C$451,$C350,'TL18'!$J$238:$J$451),0),
IF('TL19'!$B$3=L$3,SUMIF('TL19'!$C$10:$C$224,$C350,'TL19'!$J$10:$J$224),0),
IF('TL19'!$B$229=L$3,SUMIF('TL19'!$C$238:$C$451,$C350,'TL19'!$J$238:$J$451),0)
),0)</f>
        <v>0</v>
      </c>
      <c r="M350" s="9">
        <f>IFERROR(SUM(
IF('TL01'!$B$3=M$3,SUMIF('TL01'!$C$10:$C$224,$C350,'TL01'!$J$10:$J$224),0),
IF('TL01'!$B$229=M$3,SUMIF('TL01'!$C$238:$C$451,$C350,'TL01'!$J$238:$J$451),0),
IF('TL02'!$B$3=M$3,SUMIF('TL02'!$C$10:$C$224,$C350,'TL02'!$J$10:$J$224),0),
IF('TL02'!$B$229=M$3,SUMIF('TL02'!$C$238:$C$451,$C350,'TL02'!$J$238:$J$451),0),
IF('TL03'!$B$3=M$3,SUMIF('TL03'!$C$10:$C$224,$C350,'TL03'!$J$10:$J$224),0),
IF('TL03'!$B$229=M$3,SUMIF('TL03'!$C$238:$C$451,$C350,'TL03'!$J$238:$J$451),0),
IF('TL04'!$B$3=M$3,SUMIF('TL04'!$C$10:$C$224,$C350,'TL04'!$J$10:$J$224),0),
IF('TL04'!$B$229=M$3,SUMIF('TL04'!$C$238:$C$451,$C350,'TL04'!$J$238:$J$451),0),
IF('TL05'!$B$3=M$3,SUMIF('TL05'!$C$10:$C$224,$C350,'TL05'!$J$10:$J$224),0),
IF('TL05'!$B$229=M$3,SUMIF('TL05'!$C$238:$C$451,$C350,'TL05'!$J$238:$J$451),0),
IF('TL06'!$B$3=M$3,SUMIF('TL06'!$C$10:$C$224,$C350,'TL06'!$J$10:$J$224),0),
IF('TL06'!$B$229=M$3,SUMIF('TL06'!$C$238:$C$451,$C350,'TL06'!$J$238:$J$451),0),
IF('TL07'!$B$3=M$3,SUMIF('TL07'!$C$10:$C$224,$C350,'TL07'!$J$10:$J$224),0),
IF('TL07'!$B$229=M$3,SUMIF('TL07'!$C$238:$C$451,$C350,'TL07'!$J$238:$J$451),0),
IF('TL08'!$B$3=M$3,SUMIF('TL08'!$C$10:$C$224,$C350,'TL08'!$J$10:$J$224),0),
IF('TL08'!$B$229=M$3,SUMIF('TL08'!$C$238:$C$451,$C350,'TL08'!$J$238:$J$451),0),
IF('TL09'!$B$3=M$3,SUMIF('TL09'!$C$10:$C$224,$C350,'TL09'!$J$10:$J$224),0),
IF('TL09'!$B$229=M$3,SUMIF('TL09'!$C$238:$C$451,$C350,'TL09'!$J$238:$J$451),0),
IF('TL10'!$B$3=M$3,SUMIF('TL10'!$C$10:$C$224,$C350,'TL10'!$J$10:$J$224),0),
IF('TL10'!$B$229=M$3,SUMIF('TL10'!$C$238:$C$451,$C350,'TL10'!$J$238:$J$451),0),
IF('TL11'!$B$3=M$3,SUMIF('TL11'!$C$10:$C$224,$C350,'TL11'!$J$10:$J$224),0),
IF('TL11'!$B$229=M$3,SUMIF('TL11'!$C$238:$C$451,$C350,'TL11'!$J$238:$J$451),0),
IF('TL12'!$B$3=M$3,SUMIF('TL12'!$C$10:$C$224,$C350,'TL12'!$J$10:$J$224),0),
IF('TL12'!$B$229=M$3,SUMIF('TL12'!$C$238:$C$451,$C350,'TL12'!$J$238:$J$451),0),
IF('TL13'!$B$3=M$3,SUMIF('TL13'!$C$10:$C$224,$C350,'TL13'!$J$10:$J$224),0),
IF('TL13'!$B$229=M$3,SUMIF('TL13'!$C$238:$C$451,$C350,'TL13'!$J$238:$J$451),0),
IF('TL14'!$B$3=M$3,SUMIF('TL14'!$C$10:$C$224,$C350,'TL14'!$J$10:$J$224),0),
IF('TL14'!$B$229=M$3,SUMIF('TL14'!$C$238:$C$451,$C350,'TL14'!$J$238:$J$451),0),
IF('TL15'!$B$3=M$3,SUMIF('TL15'!$C$10:$C$224,$C350,'TL15'!$J$10:$J$224),0),
IF('TL15'!$B$229=M$3,SUMIF('TL15'!$C$238:$C$451,$C350,'TL15'!$J$238:$J$451),0),
IF('TL16'!$B$3=M$3,SUMIF('TL16'!$C$10:$C$224,$C350,'TL16'!$J$10:$J$224),0),
IF('TL16'!$B$229=M$3,SUMIF('TL16'!$C$238:$C$451,$C350,'TL16'!$J$238:$J$451),0),
IF('TL17'!$B$3=M$3,SUMIF('TL17'!$C$10:$C$224,$C350,'TL17'!$J$10:$J$224),0),
IF('TL17'!$B$229=M$3,SUMIF('TL17'!$C$238:$C$451,$C350,'TL17'!$J$238:$J$451),0),
IF('TL18'!$B$3=M$3,SUMIF('TL18'!$C$10:$C$224,$C350,'TL18'!$J$10:$J$224),0),
IF('TL18'!$B$229=M$3,SUMIF('TL18'!$C$238:$C$451,$C350,'TL18'!$J$238:$J$451),0),
IF('TL19'!$B$3=M$3,SUMIF('TL19'!$C$10:$C$224,$C350,'TL19'!$J$10:$J$224),0),
IF('TL19'!$B$229=M$3,SUMIF('TL19'!$C$238:$C$451,$C350,'TL19'!$J$238:$J$451),0)
),0)</f>
        <v>0</v>
      </c>
      <c r="N350" s="9">
        <f>IFERROR(SUM(
IF('TL01'!$B$3=N$3,SUMIF('TL01'!$C$10:$C$224,$C350,'TL01'!$J$10:$J$224),0),
IF('TL01'!$B$229=N$3,SUMIF('TL01'!$C$238:$C$451,$C350,'TL01'!$J$238:$J$451),0),
IF('TL02'!$B$3=N$3,SUMIF('TL02'!$C$10:$C$224,$C350,'TL02'!$J$10:$J$224),0),
IF('TL02'!$B$229=N$3,SUMIF('TL02'!$C$238:$C$451,$C350,'TL02'!$J$238:$J$451),0),
IF('TL03'!$B$3=N$3,SUMIF('TL03'!$C$10:$C$224,$C350,'TL03'!$J$10:$J$224),0),
IF('TL03'!$B$229=N$3,SUMIF('TL03'!$C$238:$C$451,$C350,'TL03'!$J$238:$J$451),0),
IF('TL04'!$B$3=N$3,SUMIF('TL04'!$C$10:$C$224,$C350,'TL04'!$J$10:$J$224),0),
IF('TL04'!$B$229=N$3,SUMIF('TL04'!$C$238:$C$451,$C350,'TL04'!$J$238:$J$451),0),
IF('TL05'!$B$3=N$3,SUMIF('TL05'!$C$10:$C$224,$C350,'TL05'!$J$10:$J$224),0),
IF('TL05'!$B$229=N$3,SUMIF('TL05'!$C$238:$C$451,$C350,'TL05'!$J$238:$J$451),0),
IF('TL06'!$B$3=N$3,SUMIF('TL06'!$C$10:$C$224,$C350,'TL06'!$J$10:$J$224),0),
IF('TL06'!$B$229=N$3,SUMIF('TL06'!$C$238:$C$451,$C350,'TL06'!$J$238:$J$451),0),
IF('TL07'!$B$3=N$3,SUMIF('TL07'!$C$10:$C$224,$C350,'TL07'!$J$10:$J$224),0),
IF('TL07'!$B$229=N$3,SUMIF('TL07'!$C$238:$C$451,$C350,'TL07'!$J$238:$J$451),0),
IF('TL08'!$B$3=N$3,SUMIF('TL08'!$C$10:$C$224,$C350,'TL08'!$J$10:$J$224),0),
IF('TL08'!$B$229=N$3,SUMIF('TL08'!$C$238:$C$451,$C350,'TL08'!$J$238:$J$451),0),
IF('TL09'!$B$3=N$3,SUMIF('TL09'!$C$10:$C$224,$C350,'TL09'!$J$10:$J$224),0),
IF('TL09'!$B$229=N$3,SUMIF('TL09'!$C$238:$C$451,$C350,'TL09'!$J$238:$J$451),0),
IF('TL10'!$B$3=N$3,SUMIF('TL10'!$C$10:$C$224,$C350,'TL10'!$J$10:$J$224),0),
IF('TL10'!$B$229=N$3,SUMIF('TL10'!$C$238:$C$451,$C350,'TL10'!$J$238:$J$451),0),
IF('TL11'!$B$3=N$3,SUMIF('TL11'!$C$10:$C$224,$C350,'TL11'!$J$10:$J$224),0),
IF('TL11'!$B$229=N$3,SUMIF('TL11'!$C$238:$C$451,$C350,'TL11'!$J$238:$J$451),0),
IF('TL12'!$B$3=N$3,SUMIF('TL12'!$C$10:$C$224,$C350,'TL12'!$J$10:$J$224),0),
IF('TL12'!$B$229=N$3,SUMIF('TL12'!$C$238:$C$451,$C350,'TL12'!$J$238:$J$451),0),
IF('TL13'!$B$3=N$3,SUMIF('TL13'!$C$10:$C$224,$C350,'TL13'!$J$10:$J$224),0),
IF('TL13'!$B$229=N$3,SUMIF('TL13'!$C$238:$C$451,$C350,'TL13'!$J$238:$J$451),0),
IF('TL14'!$B$3=N$3,SUMIF('TL14'!$C$10:$C$224,$C350,'TL14'!$J$10:$J$224),0),
IF('TL14'!$B$229=N$3,SUMIF('TL14'!$C$238:$C$451,$C350,'TL14'!$J$238:$J$451),0),
IF('TL15'!$B$3=N$3,SUMIF('TL15'!$C$10:$C$224,$C350,'TL15'!$J$10:$J$224),0),
IF('TL15'!$B$229=N$3,SUMIF('TL15'!$C$238:$C$451,$C350,'TL15'!$J$238:$J$451),0),
IF('TL16'!$B$3=N$3,SUMIF('TL16'!$C$10:$C$224,$C350,'TL16'!$J$10:$J$224),0),
IF('TL16'!$B$229=N$3,SUMIF('TL16'!$C$238:$C$451,$C350,'TL16'!$J$238:$J$451),0),
IF('TL17'!$B$3=N$3,SUMIF('TL17'!$C$10:$C$224,$C350,'TL17'!$J$10:$J$224),0),
IF('TL17'!$B$229=N$3,SUMIF('TL17'!$C$238:$C$451,$C350,'TL17'!$J$238:$J$451),0),
IF('TL18'!$B$3=N$3,SUMIF('TL18'!$C$10:$C$224,$C350,'TL18'!$J$10:$J$224),0),
IF('TL18'!$B$229=N$3,SUMIF('TL18'!$C$238:$C$451,$C350,'TL18'!$J$238:$J$451),0),
IF('TL19'!$B$3=N$3,SUMIF('TL19'!$C$10:$C$224,$C350,'TL19'!$J$10:$J$224),0),
IF('TL19'!$B$229=N$3,SUMIF('TL19'!$C$238:$C$451,$C350,'TL19'!$J$238:$J$451),0)
),0)</f>
        <v>0</v>
      </c>
      <c r="O350" s="9">
        <f>IFERROR(SUM(
IF('TL01'!$B$3=O$3,SUMIF('TL01'!$C$10:$C$224,$C350,'TL01'!$J$10:$J$224),0),
IF('TL01'!$B$229=O$3,SUMIF('TL01'!$C$238:$C$451,$C350,'TL01'!$J$238:$J$451),0),
IF('TL02'!$B$3=O$3,SUMIF('TL02'!$C$10:$C$224,$C350,'TL02'!$J$10:$J$224),0),
IF('TL02'!$B$229=O$3,SUMIF('TL02'!$C$238:$C$451,$C350,'TL02'!$J$238:$J$451),0),
IF('TL03'!$B$3=O$3,SUMIF('TL03'!$C$10:$C$224,$C350,'TL03'!$J$10:$J$224),0),
IF('TL03'!$B$229=O$3,SUMIF('TL03'!$C$238:$C$451,$C350,'TL03'!$J$238:$J$451),0),
IF('TL04'!$B$3=O$3,SUMIF('TL04'!$C$10:$C$224,$C350,'TL04'!$J$10:$J$224),0),
IF('TL04'!$B$229=O$3,SUMIF('TL04'!$C$238:$C$451,$C350,'TL04'!$J$238:$J$451),0),
IF('TL05'!$B$3=O$3,SUMIF('TL05'!$C$10:$C$224,$C350,'TL05'!$J$10:$J$224),0),
IF('TL05'!$B$229=O$3,SUMIF('TL05'!$C$238:$C$451,$C350,'TL05'!$J$238:$J$451),0),
IF('TL06'!$B$3=O$3,SUMIF('TL06'!$C$10:$C$224,$C350,'TL06'!$J$10:$J$224),0),
IF('TL06'!$B$229=O$3,SUMIF('TL06'!$C$238:$C$451,$C350,'TL06'!$J$238:$J$451),0),
IF('TL07'!$B$3=O$3,SUMIF('TL07'!$C$10:$C$224,$C350,'TL07'!$J$10:$J$224),0),
IF('TL07'!$B$229=O$3,SUMIF('TL07'!$C$238:$C$451,$C350,'TL07'!$J$238:$J$451),0),
IF('TL08'!$B$3=O$3,SUMIF('TL08'!$C$10:$C$224,$C350,'TL08'!$J$10:$J$224),0),
IF('TL08'!$B$229=O$3,SUMIF('TL08'!$C$238:$C$451,$C350,'TL08'!$J$238:$J$451),0),
IF('TL09'!$B$3=O$3,SUMIF('TL09'!$C$10:$C$224,$C350,'TL09'!$J$10:$J$224),0),
IF('TL09'!$B$229=O$3,SUMIF('TL09'!$C$238:$C$451,$C350,'TL09'!$J$238:$J$451),0),
IF('TL10'!$B$3=O$3,SUMIF('TL10'!$C$10:$C$224,$C350,'TL10'!$J$10:$J$224),0),
IF('TL10'!$B$229=O$3,SUMIF('TL10'!$C$238:$C$451,$C350,'TL10'!$J$238:$J$451),0),
IF('TL11'!$B$3=O$3,SUMIF('TL11'!$C$10:$C$224,$C350,'TL11'!$J$10:$J$224),0),
IF('TL11'!$B$229=O$3,SUMIF('TL11'!$C$238:$C$451,$C350,'TL11'!$J$238:$J$451),0),
IF('TL12'!$B$3=O$3,SUMIF('TL12'!$C$10:$C$224,$C350,'TL12'!$J$10:$J$224),0),
IF('TL12'!$B$229=O$3,SUMIF('TL12'!$C$238:$C$451,$C350,'TL12'!$J$238:$J$451),0),
IF('TL13'!$B$3=O$3,SUMIF('TL13'!$C$10:$C$224,$C350,'TL13'!$J$10:$J$224),0),
IF('TL13'!$B$229=O$3,SUMIF('TL13'!$C$238:$C$451,$C350,'TL13'!$J$238:$J$451),0),
IF('TL14'!$B$3=O$3,SUMIF('TL14'!$C$10:$C$224,$C350,'TL14'!$J$10:$J$224),0),
IF('TL14'!$B$229=O$3,SUMIF('TL14'!$C$238:$C$451,$C350,'TL14'!$J$238:$J$451),0),
IF('TL15'!$B$3=O$3,SUMIF('TL15'!$C$10:$C$224,$C350,'TL15'!$J$10:$J$224),0),
IF('TL15'!$B$229=O$3,SUMIF('TL15'!$C$238:$C$451,$C350,'TL15'!$J$238:$J$451),0),
IF('TL16'!$B$3=O$3,SUMIF('TL16'!$C$10:$C$224,$C350,'TL16'!$J$10:$J$224),0),
IF('TL16'!$B$229=O$3,SUMIF('TL16'!$C$238:$C$451,$C350,'TL16'!$J$238:$J$451),0),
IF('TL17'!$B$3=O$3,SUMIF('TL17'!$C$10:$C$224,$C350,'TL17'!$J$10:$J$224),0),
IF('TL17'!$B$229=O$3,SUMIF('TL17'!$C$238:$C$451,$C350,'TL17'!$J$238:$J$451),0),
IF('TL18'!$B$3=O$3,SUMIF('TL18'!$C$10:$C$224,$C350,'TL18'!$J$10:$J$224),0),
IF('TL18'!$B$229=O$3,SUMIF('TL18'!$C$238:$C$451,$C350,'TL18'!$J$238:$J$451),0),
IF('TL19'!$B$3=O$3,SUMIF('TL19'!$C$10:$C$224,$C350,'TL19'!$J$10:$J$224),0),
IF('TL19'!$B$229=O$3,SUMIF('TL19'!$C$238:$C$451,$C350,'TL19'!$J$238:$J$451),0)
),0)</f>
        <v>0</v>
      </c>
      <c r="P350" s="9">
        <f>IFERROR(SUM(
IF('TL01'!$B$3=P$3,SUMIF('TL01'!$C$10:$C$224,$C350,'TL01'!$J$10:$J$224),0),
IF('TL01'!$B$229=P$3,SUMIF('TL01'!$C$238:$C$451,$C350,'TL01'!$J$238:$J$451),0),
IF('TL02'!$B$3=P$3,SUMIF('TL02'!$C$10:$C$224,$C350,'TL02'!$J$10:$J$224),0),
IF('TL02'!$B$229=P$3,SUMIF('TL02'!$C$238:$C$451,$C350,'TL02'!$J$238:$J$451),0),
IF('TL03'!$B$3=P$3,SUMIF('TL03'!$C$10:$C$224,$C350,'TL03'!$J$10:$J$224),0),
IF('TL03'!$B$229=P$3,SUMIF('TL03'!$C$238:$C$451,$C350,'TL03'!$J$238:$J$451),0),
IF('TL04'!$B$3=P$3,SUMIF('TL04'!$C$10:$C$224,$C350,'TL04'!$J$10:$J$224),0),
IF('TL04'!$B$229=P$3,SUMIF('TL04'!$C$238:$C$451,$C350,'TL04'!$J$238:$J$451),0),
IF('TL05'!$B$3=P$3,SUMIF('TL05'!$C$10:$C$224,$C350,'TL05'!$J$10:$J$224),0),
IF('TL05'!$B$229=P$3,SUMIF('TL05'!$C$238:$C$451,$C350,'TL05'!$J$238:$J$451),0),
IF('TL06'!$B$3=P$3,SUMIF('TL06'!$C$10:$C$224,$C350,'TL06'!$J$10:$J$224),0),
IF('TL06'!$B$229=P$3,SUMIF('TL06'!$C$238:$C$451,$C350,'TL06'!$J$238:$J$451),0),
IF('TL07'!$B$3=P$3,SUMIF('TL07'!$C$10:$C$224,$C350,'TL07'!$J$10:$J$224),0),
IF('TL07'!$B$229=P$3,SUMIF('TL07'!$C$238:$C$451,$C350,'TL07'!$J$238:$J$451),0),
IF('TL08'!$B$3=P$3,SUMIF('TL08'!$C$10:$C$224,$C350,'TL08'!$J$10:$J$224),0),
IF('TL08'!$B$229=P$3,SUMIF('TL08'!$C$238:$C$451,$C350,'TL08'!$J$238:$J$451),0),
IF('TL09'!$B$3=P$3,SUMIF('TL09'!$C$10:$C$224,$C350,'TL09'!$J$10:$J$224),0),
IF('TL09'!$B$229=P$3,SUMIF('TL09'!$C$238:$C$451,$C350,'TL09'!$J$238:$J$451),0),
IF('TL10'!$B$3=P$3,SUMIF('TL10'!$C$10:$C$224,$C350,'TL10'!$J$10:$J$224),0),
IF('TL10'!$B$229=P$3,SUMIF('TL10'!$C$238:$C$451,$C350,'TL10'!$J$238:$J$451),0),
IF('TL11'!$B$3=P$3,SUMIF('TL11'!$C$10:$C$224,$C350,'TL11'!$J$10:$J$224),0),
IF('TL11'!$B$229=P$3,SUMIF('TL11'!$C$238:$C$451,$C350,'TL11'!$J$238:$J$451),0),
IF('TL12'!$B$3=P$3,SUMIF('TL12'!$C$10:$C$224,$C350,'TL12'!$J$10:$J$224),0),
IF('TL12'!$B$229=P$3,SUMIF('TL12'!$C$238:$C$451,$C350,'TL12'!$J$238:$J$451),0),
IF('TL13'!$B$3=P$3,SUMIF('TL13'!$C$10:$C$224,$C350,'TL13'!$J$10:$J$224),0),
IF('TL13'!$B$229=P$3,SUMIF('TL13'!$C$238:$C$451,$C350,'TL13'!$J$238:$J$451),0),
IF('TL14'!$B$3=P$3,SUMIF('TL14'!$C$10:$C$224,$C350,'TL14'!$J$10:$J$224),0),
IF('TL14'!$B$229=P$3,SUMIF('TL14'!$C$238:$C$451,$C350,'TL14'!$J$238:$J$451),0),
IF('TL15'!$B$3=P$3,SUMIF('TL15'!$C$10:$C$224,$C350,'TL15'!$J$10:$J$224),0),
IF('TL15'!$B$229=P$3,SUMIF('TL15'!$C$238:$C$451,$C350,'TL15'!$J$238:$J$451),0),
IF('TL16'!$B$3=P$3,SUMIF('TL16'!$C$10:$C$224,$C350,'TL16'!$J$10:$J$224),0),
IF('TL16'!$B$229=P$3,SUMIF('TL16'!$C$238:$C$451,$C350,'TL16'!$J$238:$J$451),0),
IF('TL17'!$B$3=P$3,SUMIF('TL17'!$C$10:$C$224,$C350,'TL17'!$J$10:$J$224),0),
IF('TL17'!$B$229=P$3,SUMIF('TL17'!$C$238:$C$451,$C350,'TL17'!$J$238:$J$451),0),
IF('TL18'!$B$3=P$3,SUMIF('TL18'!$C$10:$C$224,$C350,'TL18'!$J$10:$J$224),0),
IF('TL18'!$B$229=P$3,SUMIF('TL18'!$C$238:$C$451,$C350,'TL18'!$J$238:$J$451),0),
IF('TL19'!$B$3=P$3,SUMIF('TL19'!$C$10:$C$224,$C350,'TL19'!$J$10:$J$224),0),
IF('TL19'!$B$229=P$3,SUMIF('TL19'!$C$238:$C$451,$C350,'TL19'!$J$238:$J$451),0)
),0)</f>
        <v>0</v>
      </c>
      <c r="Q350" s="9">
        <f>IFERROR(SUM(
IF('TL01'!$B$3=Q$3,SUMIF('TL01'!$C$10:$C$224,$C350,'TL01'!$J$10:$J$224),0),
IF('TL01'!$B$229=Q$3,SUMIF('TL01'!$C$238:$C$451,$C350,'TL01'!$J$238:$J$451),0),
IF('TL02'!$B$3=Q$3,SUMIF('TL02'!$C$10:$C$224,$C350,'TL02'!$J$10:$J$224),0),
IF('TL02'!$B$229=Q$3,SUMIF('TL02'!$C$238:$C$451,$C350,'TL02'!$J$238:$J$451),0),
IF('TL03'!$B$3=Q$3,SUMIF('TL03'!$C$10:$C$224,$C350,'TL03'!$J$10:$J$224),0),
IF('TL03'!$B$229=Q$3,SUMIF('TL03'!$C$238:$C$451,$C350,'TL03'!$J$238:$J$451),0),
IF('TL04'!$B$3=Q$3,SUMIF('TL04'!$C$10:$C$224,$C350,'TL04'!$J$10:$J$224),0),
IF('TL04'!$B$229=Q$3,SUMIF('TL04'!$C$238:$C$451,$C350,'TL04'!$J$238:$J$451),0),
IF('TL05'!$B$3=Q$3,SUMIF('TL05'!$C$10:$C$224,$C350,'TL05'!$J$10:$J$224),0),
IF('TL05'!$B$229=Q$3,SUMIF('TL05'!$C$238:$C$451,$C350,'TL05'!$J$238:$J$451),0),
IF('TL06'!$B$3=Q$3,SUMIF('TL06'!$C$10:$C$224,$C350,'TL06'!$J$10:$J$224),0),
IF('TL06'!$B$229=Q$3,SUMIF('TL06'!$C$238:$C$451,$C350,'TL06'!$J$238:$J$451),0),
IF('TL07'!$B$3=Q$3,SUMIF('TL07'!$C$10:$C$224,$C350,'TL07'!$J$10:$J$224),0),
IF('TL07'!$B$229=Q$3,SUMIF('TL07'!$C$238:$C$451,$C350,'TL07'!$J$238:$J$451),0),
IF('TL08'!$B$3=Q$3,SUMIF('TL08'!$C$10:$C$224,$C350,'TL08'!$J$10:$J$224),0),
IF('TL08'!$B$229=Q$3,SUMIF('TL08'!$C$238:$C$451,$C350,'TL08'!$J$238:$J$451),0),
IF('TL09'!$B$3=Q$3,SUMIF('TL09'!$C$10:$C$224,$C350,'TL09'!$J$10:$J$224),0),
IF('TL09'!$B$229=Q$3,SUMIF('TL09'!$C$238:$C$451,$C350,'TL09'!$J$238:$J$451),0),
IF('TL10'!$B$3=Q$3,SUMIF('TL10'!$C$10:$C$224,$C350,'TL10'!$J$10:$J$224),0),
IF('TL10'!$B$229=Q$3,SUMIF('TL10'!$C$238:$C$451,$C350,'TL10'!$J$238:$J$451),0),
IF('TL11'!$B$3=Q$3,SUMIF('TL11'!$C$10:$C$224,$C350,'TL11'!$J$10:$J$224),0),
IF('TL11'!$B$229=Q$3,SUMIF('TL11'!$C$238:$C$451,$C350,'TL11'!$J$238:$J$451),0),
IF('TL12'!$B$3=Q$3,SUMIF('TL12'!$C$10:$C$224,$C350,'TL12'!$J$10:$J$224),0),
IF('TL12'!$B$229=Q$3,SUMIF('TL12'!$C$238:$C$451,$C350,'TL12'!$J$238:$J$451),0),
IF('TL13'!$B$3=Q$3,SUMIF('TL13'!$C$10:$C$224,$C350,'TL13'!$J$10:$J$224),0),
IF('TL13'!$B$229=Q$3,SUMIF('TL13'!$C$238:$C$451,$C350,'TL13'!$J$238:$J$451),0),
IF('TL14'!$B$3=Q$3,SUMIF('TL14'!$C$10:$C$224,$C350,'TL14'!$J$10:$J$224),0),
IF('TL14'!$B$229=Q$3,SUMIF('TL14'!$C$238:$C$451,$C350,'TL14'!$J$238:$J$451),0),
IF('TL15'!$B$3=Q$3,SUMIF('TL15'!$C$10:$C$224,$C350,'TL15'!$J$10:$J$224),0),
IF('TL15'!$B$229=Q$3,SUMIF('TL15'!$C$238:$C$451,$C350,'TL15'!$J$238:$J$451),0),
IF('TL16'!$B$3=Q$3,SUMIF('TL16'!$C$10:$C$224,$C350,'TL16'!$J$10:$J$224),0),
IF('TL16'!$B$229=Q$3,SUMIF('TL16'!$C$238:$C$451,$C350,'TL16'!$J$238:$J$451),0),
IF('TL17'!$B$3=Q$3,SUMIF('TL17'!$C$10:$C$224,$C350,'TL17'!$J$10:$J$224),0),
IF('TL17'!$B$229=Q$3,SUMIF('TL17'!$C$238:$C$451,$C350,'TL17'!$J$238:$J$451),0),
IF('TL18'!$B$3=Q$3,SUMIF('TL18'!$C$10:$C$224,$C350,'TL18'!$J$10:$J$224),0),
IF('TL18'!$B$229=Q$3,SUMIF('TL18'!$C$238:$C$451,$C350,'TL18'!$J$238:$J$451),0),
IF('TL19'!$B$3=Q$3,SUMIF('TL19'!$C$10:$C$224,$C350,'TL19'!$J$10:$J$224),0),
IF('TL19'!$B$229=Q$3,SUMIF('TL19'!$C$238:$C$451,$C350,'TL19'!$J$238:$J$451),0)
),0)</f>
        <v>0</v>
      </c>
      <c r="R350" s="9">
        <f>IFERROR(
SUM(
SUMIF('TL01'!C:C,C350,'TL01'!J:J),
SUMIF('TL02'!C:C,C350,'TL02'!J:J),
SUMIF('TL03'!C:C,C350,'TL03'!J:J),
SUMIF('TL04'!C:C,C350,'TL04'!J:J),
SUMIF('TL05'!C:C,C350,'TL05'!J:J),
SUMIF('TL06'!C:C,C350,'TL06'!J:J),
SUMIF('TL07'!C:C,C350,'TL07'!J:J),
SUMIF('TL08'!C:C,C350,'TL08'!J:J),
SUMIF('TL09'!C:C,C350,'TL09'!J:J),
SUMIF('TL10'!C:C,C350,'TL10'!J:J),
SUMIF('TL11'!C:C,C350,'TL11'!J:J),
SUMIF('TL12'!C:C,C350,'TL12'!J:J),
SUMIF('TL13'!C:C,C350,'TL13'!J:J),
SUMIF('TL14'!C:C,C350,'TL14'!J:J),
SUMIF('TL15'!C:C,C350,'TL15'!J:J),
SUMIF('TL16'!C:C,C350,'TL16'!J:J),
SUMIF('TL17'!C:C,C350,'TL17'!J:J),
SUMIF('TL18'!C:C,C350,'TL18'!J:J),SUMIF('TL19'!C:C,C350,'TL19'!J:J))
,0)</f>
        <v>0</v>
      </c>
      <c r="S350" s="17">
        <f>IFERROR(__xludf.DUMMYFUNCTION("IFERROR(VLOOKUP(C350,
IMPORTRANGE(""1wULbzX32WdYsx-lj2U3uUNBBe2INVIRDtcK0d-Dvl90"",
""26-27!C:G""),
5,
FALSE),
"""")"),56.16)</f>
        <v>56.16</v>
      </c>
      <c r="T350" s="9"/>
      <c r="U350" s="92">
        <f t="shared" si="2"/>
        <v>0</v>
      </c>
      <c r="V350" s="93">
        <f t="shared" si="3"/>
        <v>0</v>
      </c>
    </row>
    <row r="351" ht="15.75" hidden="1" customHeight="1">
      <c r="A351" s="4" t="s">
        <v>1071</v>
      </c>
      <c r="B351" s="4" t="s">
        <v>4</v>
      </c>
      <c r="C351" s="128" t="s">
        <v>1074</v>
      </c>
      <c r="D351" s="129" t="s">
        <v>1075</v>
      </c>
      <c r="E351" s="6"/>
      <c r="F351" s="4"/>
      <c r="G351" s="90" t="str">
        <f t="shared" si="5"/>
        <v>📄 Ver bula</v>
      </c>
      <c r="H351" s="9">
        <v>1.0</v>
      </c>
      <c r="I351" s="123" t="s">
        <v>344</v>
      </c>
      <c r="J351" s="9">
        <f>IFERROR(SUM(
IF('TL01'!$B$3=J$3,SUMIF('TL01'!$C$10:$C$224,$C351,'TL01'!$J$10:$J$224),0),
IF('TL01'!$B$229=J$3,SUMIF('TL01'!$C$238:$C$451,$C351,'TL01'!$J$238:$J$451),0),
IF('TL02'!$B$3=J$3,SUMIF('TL02'!$C$10:$C$224,$C351,'TL02'!$J$10:$J$224),0),
IF('TL02'!$B$229=J$3,SUMIF('TL02'!$C$238:$C$451,$C351,'TL02'!$J$238:$J$451),0),
IF('TL03'!$B$3=J$3,SUMIF('TL03'!$C$10:$C$224,$C351,'TL03'!$J$10:$J$224),0),
IF('TL03'!$B$229=J$3,SUMIF('TL03'!$C$238:$C$451,$C351,'TL03'!$J$238:$J$451),0),
IF('TL04'!$B$3=J$3,SUMIF('TL04'!$C$10:$C$224,$C351,'TL04'!$J$10:$J$224),0),
IF('TL04'!$B$229=J$3,SUMIF('TL04'!$C$238:$C$451,$C351,'TL04'!$J$238:$J$451),0),
IF('TL05'!$B$3=J$3,SUMIF('TL05'!$C$10:$C$224,$C351,'TL05'!$J$10:$J$224),0),
IF('TL05'!$B$229=J$3,SUMIF('TL05'!$C$238:$C$451,$C351,'TL05'!$J$238:$J$451),0),
IF('TL06'!$B$3=J$3,SUMIF('TL06'!$C$10:$C$224,$C351,'TL06'!$J$10:$J$224),0),
IF('TL06'!$B$229=J$3,SUMIF('TL06'!$C$238:$C$451,$C351,'TL06'!$J$238:$J$451),0),
IF('TL07'!$B$3=J$3,SUMIF('TL07'!$C$10:$C$224,$C351,'TL07'!$J$10:$J$224),0),
IF('TL07'!$B$229=J$3,SUMIF('TL07'!$C$238:$C$451,$C351,'TL07'!$J$238:$J$451),0),
IF('TL08'!$B$3=J$3,SUMIF('TL08'!$C$10:$C$224,$C351,'TL08'!$J$10:$J$224),0),
IF('TL08'!$B$229=J$3,SUMIF('TL08'!$C$238:$C$451,$C351,'TL08'!$J$238:$J$451),0),
IF('TL09'!$B$3=J$3,SUMIF('TL09'!$C$10:$C$224,$C351,'TL09'!$J$10:$J$224),0),
IF('TL09'!$B$229=J$3,SUMIF('TL09'!$C$238:$C$451,$C351,'TL09'!$J$238:$J$451),0),
IF('TL10'!$B$3=J$3,SUMIF('TL10'!$C$10:$C$224,$C351,'TL10'!$J$10:$J$224),0),
IF('TL10'!$B$229=J$3,SUMIF('TL10'!$C$238:$C$451,$C351,'TL10'!$J$238:$J$451),0),
IF('TL11'!$B$3=J$3,SUMIF('TL11'!$C$10:$C$224,$C351,'TL11'!$J$10:$J$224),0),
IF('TL11'!$B$229=J$3,SUMIF('TL11'!$C$238:$C$451,$C351,'TL11'!$J$238:$J$451),0),
IF('TL12'!$B$3=J$3,SUMIF('TL12'!$C$10:$C$224,$C351,'TL12'!$J$10:$J$224),0),
IF('TL12'!$B$229=J$3,SUMIF('TL12'!$C$238:$C$451,$C351,'TL12'!$J$238:$J$451),0),
IF('TL13'!$B$3=J$3,SUMIF('TL13'!$C$10:$C$224,$C351,'TL13'!$J$10:$J$224),0),
IF('TL13'!$B$229=J$3,SUMIF('TL13'!$C$238:$C$451,$C351,'TL13'!$J$238:$J$451),0),
IF('TL14'!$B$3=J$3,SUMIF('TL14'!$C$10:$C$224,$C351,'TL14'!$J$10:$J$224),0),
IF('TL14'!$B$229=J$3,SUMIF('TL14'!$C$238:$C$451,$C351,'TL14'!$J$238:$J$451),0),
IF('TL15'!$B$3=J$3,SUMIF('TL15'!$C$10:$C$224,$C351,'TL15'!$J$10:$J$224),0),
IF('TL15'!$B$229=J$3,SUMIF('TL15'!$C$238:$C$451,$C351,'TL15'!$J$238:$J$451),0),
IF('TL16'!$B$3=J$3,SUMIF('TL16'!$C$10:$C$224,$C351,'TL16'!$J$10:$J$224),0),
IF('TL16'!$B$229=J$3,SUMIF('TL16'!$C$238:$C$451,$C351,'TL16'!$J$238:$J$451),0),
IF('TL17'!$B$3=J$3,SUMIF('TL17'!$C$10:$C$224,$C351,'TL17'!$J$10:$J$224),0),
IF('TL17'!$B$229=J$3,SUMIF('TL17'!$C$238:$C$451,$C351,'TL17'!$J$238:$J$451),0),
IF('TL18'!$B$3=J$3,SUMIF('TL18'!$C$10:$C$224,$C351,'TL18'!$J$10:$J$224),0),
IF('TL18'!$B$229=J$3,SUMIF('TL18'!$C$238:$C$451,$C351,'TL18'!$J$238:$J$451),0),
IF('TL19'!$B$3=J$3,SUMIF('TL19'!$C$10:$C$224,$C351,'TL19'!$J$10:$J$224),0),
IF('TL19'!$B$229=J$3,SUMIF('TL19'!$C$238:$C$451,$C351,'TL19'!$J$238:$J$451),0)
),0)</f>
        <v>0</v>
      </c>
      <c r="K351" s="9">
        <f>IFERROR(SUM(
IF('TL01'!$B$3=K$3,SUMIF('TL01'!$C$10:$C$224,$C351,'TL01'!$J$10:$J$224),0),
IF('TL01'!$B$229=K$3,SUMIF('TL01'!$C$238:$C$451,$C351,'TL01'!$J$238:$J$451),0),
IF('TL02'!$B$3=K$3,SUMIF('TL02'!$C$10:$C$224,$C351,'TL02'!$J$10:$J$224),0),
IF('TL02'!$B$229=K$3,SUMIF('TL02'!$C$238:$C$451,$C351,'TL02'!$J$238:$J$451),0),
IF('TL03'!$B$3=K$3,SUMIF('TL03'!$C$10:$C$224,$C351,'TL03'!$J$10:$J$224),0),
IF('TL03'!$B$229=K$3,SUMIF('TL03'!$C$238:$C$451,$C351,'TL03'!$J$238:$J$451),0),
IF('TL04'!$B$3=K$3,SUMIF('TL04'!$C$10:$C$224,$C351,'TL04'!$J$10:$J$224),0),
IF('TL04'!$B$229=K$3,SUMIF('TL04'!$C$238:$C$451,$C351,'TL04'!$J$238:$J$451),0),
IF('TL05'!$B$3=K$3,SUMIF('TL05'!$C$10:$C$224,$C351,'TL05'!$J$10:$J$224),0),
IF('TL05'!$B$229=K$3,SUMIF('TL05'!$C$238:$C$451,$C351,'TL05'!$J$238:$J$451),0),
IF('TL06'!$B$3=K$3,SUMIF('TL06'!$C$10:$C$224,$C351,'TL06'!$J$10:$J$224),0),
IF('TL06'!$B$229=K$3,SUMIF('TL06'!$C$238:$C$451,$C351,'TL06'!$J$238:$J$451),0),
IF('TL07'!$B$3=K$3,SUMIF('TL07'!$C$10:$C$224,$C351,'TL07'!$J$10:$J$224),0),
IF('TL07'!$B$229=K$3,SUMIF('TL07'!$C$238:$C$451,$C351,'TL07'!$J$238:$J$451),0),
IF('TL08'!$B$3=K$3,SUMIF('TL08'!$C$10:$C$224,$C351,'TL08'!$J$10:$J$224),0),
IF('TL08'!$B$229=K$3,SUMIF('TL08'!$C$238:$C$451,$C351,'TL08'!$J$238:$J$451),0),
IF('TL09'!$B$3=K$3,SUMIF('TL09'!$C$10:$C$224,$C351,'TL09'!$J$10:$J$224),0),
IF('TL09'!$B$229=K$3,SUMIF('TL09'!$C$238:$C$451,$C351,'TL09'!$J$238:$J$451),0),
IF('TL10'!$B$3=K$3,SUMIF('TL10'!$C$10:$C$224,$C351,'TL10'!$J$10:$J$224),0),
IF('TL10'!$B$229=K$3,SUMIF('TL10'!$C$238:$C$451,$C351,'TL10'!$J$238:$J$451),0),
IF('TL11'!$B$3=K$3,SUMIF('TL11'!$C$10:$C$224,$C351,'TL11'!$J$10:$J$224),0),
IF('TL11'!$B$229=K$3,SUMIF('TL11'!$C$238:$C$451,$C351,'TL11'!$J$238:$J$451),0),
IF('TL12'!$B$3=K$3,SUMIF('TL12'!$C$10:$C$224,$C351,'TL12'!$J$10:$J$224),0),
IF('TL12'!$B$229=K$3,SUMIF('TL12'!$C$238:$C$451,$C351,'TL12'!$J$238:$J$451),0),
IF('TL13'!$B$3=K$3,SUMIF('TL13'!$C$10:$C$224,$C351,'TL13'!$J$10:$J$224),0),
IF('TL13'!$B$229=K$3,SUMIF('TL13'!$C$238:$C$451,$C351,'TL13'!$J$238:$J$451),0),
IF('TL14'!$B$3=K$3,SUMIF('TL14'!$C$10:$C$224,$C351,'TL14'!$J$10:$J$224),0),
IF('TL14'!$B$229=K$3,SUMIF('TL14'!$C$238:$C$451,$C351,'TL14'!$J$238:$J$451),0),
IF('TL15'!$B$3=K$3,SUMIF('TL15'!$C$10:$C$224,$C351,'TL15'!$J$10:$J$224),0),
IF('TL15'!$B$229=K$3,SUMIF('TL15'!$C$238:$C$451,$C351,'TL15'!$J$238:$J$451),0),
IF('TL16'!$B$3=K$3,SUMIF('TL16'!$C$10:$C$224,$C351,'TL16'!$J$10:$J$224),0),
IF('TL16'!$B$229=K$3,SUMIF('TL16'!$C$238:$C$451,$C351,'TL16'!$J$238:$J$451),0),
IF('TL17'!$B$3=K$3,SUMIF('TL17'!$C$10:$C$224,$C351,'TL17'!$J$10:$J$224),0),
IF('TL17'!$B$229=K$3,SUMIF('TL17'!$C$238:$C$451,$C351,'TL17'!$J$238:$J$451),0),
IF('TL18'!$B$3=K$3,SUMIF('TL18'!$C$10:$C$224,$C351,'TL18'!$J$10:$J$224),0),
IF('TL18'!$B$229=K$3,SUMIF('TL18'!$C$238:$C$451,$C351,'TL18'!$J$238:$J$451),0),
IF('TL19'!$B$3=K$3,SUMIF('TL19'!$C$10:$C$224,$C351,'TL19'!$J$10:$J$224),0),
IF('TL19'!$B$229=K$3,SUMIF('TL19'!$C$238:$C$451,$C351,'TL19'!$J$238:$J$451),0)
),0)</f>
        <v>0</v>
      </c>
      <c r="L351" s="9">
        <f>IFERROR(SUM(
IF('TL01'!$B$3=L$3,SUMIF('TL01'!$C$10:$C$224,$C351,'TL01'!$J$10:$J$224),0),
IF('TL01'!$B$229=L$3,SUMIF('TL01'!$C$238:$C$451,$C351,'TL01'!$J$238:$J$451),0),
IF('TL02'!$B$3=L$3,SUMIF('TL02'!$C$10:$C$224,$C351,'TL02'!$J$10:$J$224),0),
IF('TL02'!$B$229=L$3,SUMIF('TL02'!$C$238:$C$451,$C351,'TL02'!$J$238:$J$451),0),
IF('TL03'!$B$3=L$3,SUMIF('TL03'!$C$10:$C$224,$C351,'TL03'!$J$10:$J$224),0),
IF('TL03'!$B$229=L$3,SUMIF('TL03'!$C$238:$C$451,$C351,'TL03'!$J$238:$J$451),0),
IF('TL04'!$B$3=L$3,SUMIF('TL04'!$C$10:$C$224,$C351,'TL04'!$J$10:$J$224),0),
IF('TL04'!$B$229=L$3,SUMIF('TL04'!$C$238:$C$451,$C351,'TL04'!$J$238:$J$451),0),
IF('TL05'!$B$3=L$3,SUMIF('TL05'!$C$10:$C$224,$C351,'TL05'!$J$10:$J$224),0),
IF('TL05'!$B$229=L$3,SUMIF('TL05'!$C$238:$C$451,$C351,'TL05'!$J$238:$J$451),0),
IF('TL06'!$B$3=L$3,SUMIF('TL06'!$C$10:$C$224,$C351,'TL06'!$J$10:$J$224),0),
IF('TL06'!$B$229=L$3,SUMIF('TL06'!$C$238:$C$451,$C351,'TL06'!$J$238:$J$451),0),
IF('TL07'!$B$3=L$3,SUMIF('TL07'!$C$10:$C$224,$C351,'TL07'!$J$10:$J$224),0),
IF('TL07'!$B$229=L$3,SUMIF('TL07'!$C$238:$C$451,$C351,'TL07'!$J$238:$J$451),0),
IF('TL08'!$B$3=L$3,SUMIF('TL08'!$C$10:$C$224,$C351,'TL08'!$J$10:$J$224),0),
IF('TL08'!$B$229=L$3,SUMIF('TL08'!$C$238:$C$451,$C351,'TL08'!$J$238:$J$451),0),
IF('TL09'!$B$3=L$3,SUMIF('TL09'!$C$10:$C$224,$C351,'TL09'!$J$10:$J$224),0),
IF('TL09'!$B$229=L$3,SUMIF('TL09'!$C$238:$C$451,$C351,'TL09'!$J$238:$J$451),0),
IF('TL10'!$B$3=L$3,SUMIF('TL10'!$C$10:$C$224,$C351,'TL10'!$J$10:$J$224),0),
IF('TL10'!$B$229=L$3,SUMIF('TL10'!$C$238:$C$451,$C351,'TL10'!$J$238:$J$451),0),
IF('TL11'!$B$3=L$3,SUMIF('TL11'!$C$10:$C$224,$C351,'TL11'!$J$10:$J$224),0),
IF('TL11'!$B$229=L$3,SUMIF('TL11'!$C$238:$C$451,$C351,'TL11'!$J$238:$J$451),0),
IF('TL12'!$B$3=L$3,SUMIF('TL12'!$C$10:$C$224,$C351,'TL12'!$J$10:$J$224),0),
IF('TL12'!$B$229=L$3,SUMIF('TL12'!$C$238:$C$451,$C351,'TL12'!$J$238:$J$451),0),
IF('TL13'!$B$3=L$3,SUMIF('TL13'!$C$10:$C$224,$C351,'TL13'!$J$10:$J$224),0),
IF('TL13'!$B$229=L$3,SUMIF('TL13'!$C$238:$C$451,$C351,'TL13'!$J$238:$J$451),0),
IF('TL14'!$B$3=L$3,SUMIF('TL14'!$C$10:$C$224,$C351,'TL14'!$J$10:$J$224),0),
IF('TL14'!$B$229=L$3,SUMIF('TL14'!$C$238:$C$451,$C351,'TL14'!$J$238:$J$451),0),
IF('TL15'!$B$3=L$3,SUMIF('TL15'!$C$10:$C$224,$C351,'TL15'!$J$10:$J$224),0),
IF('TL15'!$B$229=L$3,SUMIF('TL15'!$C$238:$C$451,$C351,'TL15'!$J$238:$J$451),0),
IF('TL16'!$B$3=L$3,SUMIF('TL16'!$C$10:$C$224,$C351,'TL16'!$J$10:$J$224),0),
IF('TL16'!$B$229=L$3,SUMIF('TL16'!$C$238:$C$451,$C351,'TL16'!$J$238:$J$451),0),
IF('TL17'!$B$3=L$3,SUMIF('TL17'!$C$10:$C$224,$C351,'TL17'!$J$10:$J$224),0),
IF('TL17'!$B$229=L$3,SUMIF('TL17'!$C$238:$C$451,$C351,'TL17'!$J$238:$J$451),0),
IF('TL18'!$B$3=L$3,SUMIF('TL18'!$C$10:$C$224,$C351,'TL18'!$J$10:$J$224),0),
IF('TL18'!$B$229=L$3,SUMIF('TL18'!$C$238:$C$451,$C351,'TL18'!$J$238:$J$451),0),
IF('TL19'!$B$3=L$3,SUMIF('TL19'!$C$10:$C$224,$C351,'TL19'!$J$10:$J$224),0),
IF('TL19'!$B$229=L$3,SUMIF('TL19'!$C$238:$C$451,$C351,'TL19'!$J$238:$J$451),0)
),0)</f>
        <v>0</v>
      </c>
      <c r="M351" s="9">
        <f>IFERROR(SUM(
IF('TL01'!$B$3=M$3,SUMIF('TL01'!$C$10:$C$224,$C351,'TL01'!$J$10:$J$224),0),
IF('TL01'!$B$229=M$3,SUMIF('TL01'!$C$238:$C$451,$C351,'TL01'!$J$238:$J$451),0),
IF('TL02'!$B$3=M$3,SUMIF('TL02'!$C$10:$C$224,$C351,'TL02'!$J$10:$J$224),0),
IF('TL02'!$B$229=M$3,SUMIF('TL02'!$C$238:$C$451,$C351,'TL02'!$J$238:$J$451),0),
IF('TL03'!$B$3=M$3,SUMIF('TL03'!$C$10:$C$224,$C351,'TL03'!$J$10:$J$224),0),
IF('TL03'!$B$229=M$3,SUMIF('TL03'!$C$238:$C$451,$C351,'TL03'!$J$238:$J$451),0),
IF('TL04'!$B$3=M$3,SUMIF('TL04'!$C$10:$C$224,$C351,'TL04'!$J$10:$J$224),0),
IF('TL04'!$B$229=M$3,SUMIF('TL04'!$C$238:$C$451,$C351,'TL04'!$J$238:$J$451),0),
IF('TL05'!$B$3=M$3,SUMIF('TL05'!$C$10:$C$224,$C351,'TL05'!$J$10:$J$224),0),
IF('TL05'!$B$229=M$3,SUMIF('TL05'!$C$238:$C$451,$C351,'TL05'!$J$238:$J$451),0),
IF('TL06'!$B$3=M$3,SUMIF('TL06'!$C$10:$C$224,$C351,'TL06'!$J$10:$J$224),0),
IF('TL06'!$B$229=M$3,SUMIF('TL06'!$C$238:$C$451,$C351,'TL06'!$J$238:$J$451),0),
IF('TL07'!$B$3=M$3,SUMIF('TL07'!$C$10:$C$224,$C351,'TL07'!$J$10:$J$224),0),
IF('TL07'!$B$229=M$3,SUMIF('TL07'!$C$238:$C$451,$C351,'TL07'!$J$238:$J$451),0),
IF('TL08'!$B$3=M$3,SUMIF('TL08'!$C$10:$C$224,$C351,'TL08'!$J$10:$J$224),0),
IF('TL08'!$B$229=M$3,SUMIF('TL08'!$C$238:$C$451,$C351,'TL08'!$J$238:$J$451),0),
IF('TL09'!$B$3=M$3,SUMIF('TL09'!$C$10:$C$224,$C351,'TL09'!$J$10:$J$224),0),
IF('TL09'!$B$229=M$3,SUMIF('TL09'!$C$238:$C$451,$C351,'TL09'!$J$238:$J$451),0),
IF('TL10'!$B$3=M$3,SUMIF('TL10'!$C$10:$C$224,$C351,'TL10'!$J$10:$J$224),0),
IF('TL10'!$B$229=M$3,SUMIF('TL10'!$C$238:$C$451,$C351,'TL10'!$J$238:$J$451),0),
IF('TL11'!$B$3=M$3,SUMIF('TL11'!$C$10:$C$224,$C351,'TL11'!$J$10:$J$224),0),
IF('TL11'!$B$229=M$3,SUMIF('TL11'!$C$238:$C$451,$C351,'TL11'!$J$238:$J$451),0),
IF('TL12'!$B$3=M$3,SUMIF('TL12'!$C$10:$C$224,$C351,'TL12'!$J$10:$J$224),0),
IF('TL12'!$B$229=M$3,SUMIF('TL12'!$C$238:$C$451,$C351,'TL12'!$J$238:$J$451),0),
IF('TL13'!$B$3=M$3,SUMIF('TL13'!$C$10:$C$224,$C351,'TL13'!$J$10:$J$224),0),
IF('TL13'!$B$229=M$3,SUMIF('TL13'!$C$238:$C$451,$C351,'TL13'!$J$238:$J$451),0),
IF('TL14'!$B$3=M$3,SUMIF('TL14'!$C$10:$C$224,$C351,'TL14'!$J$10:$J$224),0),
IF('TL14'!$B$229=M$3,SUMIF('TL14'!$C$238:$C$451,$C351,'TL14'!$J$238:$J$451),0),
IF('TL15'!$B$3=M$3,SUMIF('TL15'!$C$10:$C$224,$C351,'TL15'!$J$10:$J$224),0),
IF('TL15'!$B$229=M$3,SUMIF('TL15'!$C$238:$C$451,$C351,'TL15'!$J$238:$J$451),0),
IF('TL16'!$B$3=M$3,SUMIF('TL16'!$C$10:$C$224,$C351,'TL16'!$J$10:$J$224),0),
IF('TL16'!$B$229=M$3,SUMIF('TL16'!$C$238:$C$451,$C351,'TL16'!$J$238:$J$451),0),
IF('TL17'!$B$3=M$3,SUMIF('TL17'!$C$10:$C$224,$C351,'TL17'!$J$10:$J$224),0),
IF('TL17'!$B$229=M$3,SUMIF('TL17'!$C$238:$C$451,$C351,'TL17'!$J$238:$J$451),0),
IF('TL18'!$B$3=M$3,SUMIF('TL18'!$C$10:$C$224,$C351,'TL18'!$J$10:$J$224),0),
IF('TL18'!$B$229=M$3,SUMIF('TL18'!$C$238:$C$451,$C351,'TL18'!$J$238:$J$451),0),
IF('TL19'!$B$3=M$3,SUMIF('TL19'!$C$10:$C$224,$C351,'TL19'!$J$10:$J$224),0),
IF('TL19'!$B$229=M$3,SUMIF('TL19'!$C$238:$C$451,$C351,'TL19'!$J$238:$J$451),0)
),0)</f>
        <v>0</v>
      </c>
      <c r="N351" s="9">
        <f>IFERROR(SUM(
IF('TL01'!$B$3=N$3,SUMIF('TL01'!$C$10:$C$224,$C351,'TL01'!$J$10:$J$224),0),
IF('TL01'!$B$229=N$3,SUMIF('TL01'!$C$238:$C$451,$C351,'TL01'!$J$238:$J$451),0),
IF('TL02'!$B$3=N$3,SUMIF('TL02'!$C$10:$C$224,$C351,'TL02'!$J$10:$J$224),0),
IF('TL02'!$B$229=N$3,SUMIF('TL02'!$C$238:$C$451,$C351,'TL02'!$J$238:$J$451),0),
IF('TL03'!$B$3=N$3,SUMIF('TL03'!$C$10:$C$224,$C351,'TL03'!$J$10:$J$224),0),
IF('TL03'!$B$229=N$3,SUMIF('TL03'!$C$238:$C$451,$C351,'TL03'!$J$238:$J$451),0),
IF('TL04'!$B$3=N$3,SUMIF('TL04'!$C$10:$C$224,$C351,'TL04'!$J$10:$J$224),0),
IF('TL04'!$B$229=N$3,SUMIF('TL04'!$C$238:$C$451,$C351,'TL04'!$J$238:$J$451),0),
IF('TL05'!$B$3=N$3,SUMIF('TL05'!$C$10:$C$224,$C351,'TL05'!$J$10:$J$224),0),
IF('TL05'!$B$229=N$3,SUMIF('TL05'!$C$238:$C$451,$C351,'TL05'!$J$238:$J$451),0),
IF('TL06'!$B$3=N$3,SUMIF('TL06'!$C$10:$C$224,$C351,'TL06'!$J$10:$J$224),0),
IF('TL06'!$B$229=N$3,SUMIF('TL06'!$C$238:$C$451,$C351,'TL06'!$J$238:$J$451),0),
IF('TL07'!$B$3=N$3,SUMIF('TL07'!$C$10:$C$224,$C351,'TL07'!$J$10:$J$224),0),
IF('TL07'!$B$229=N$3,SUMIF('TL07'!$C$238:$C$451,$C351,'TL07'!$J$238:$J$451),0),
IF('TL08'!$B$3=N$3,SUMIF('TL08'!$C$10:$C$224,$C351,'TL08'!$J$10:$J$224),0),
IF('TL08'!$B$229=N$3,SUMIF('TL08'!$C$238:$C$451,$C351,'TL08'!$J$238:$J$451),0),
IF('TL09'!$B$3=N$3,SUMIF('TL09'!$C$10:$C$224,$C351,'TL09'!$J$10:$J$224),0),
IF('TL09'!$B$229=N$3,SUMIF('TL09'!$C$238:$C$451,$C351,'TL09'!$J$238:$J$451),0),
IF('TL10'!$B$3=N$3,SUMIF('TL10'!$C$10:$C$224,$C351,'TL10'!$J$10:$J$224),0),
IF('TL10'!$B$229=N$3,SUMIF('TL10'!$C$238:$C$451,$C351,'TL10'!$J$238:$J$451),0),
IF('TL11'!$B$3=N$3,SUMIF('TL11'!$C$10:$C$224,$C351,'TL11'!$J$10:$J$224),0),
IF('TL11'!$B$229=N$3,SUMIF('TL11'!$C$238:$C$451,$C351,'TL11'!$J$238:$J$451),0),
IF('TL12'!$B$3=N$3,SUMIF('TL12'!$C$10:$C$224,$C351,'TL12'!$J$10:$J$224),0),
IF('TL12'!$B$229=N$3,SUMIF('TL12'!$C$238:$C$451,$C351,'TL12'!$J$238:$J$451),0),
IF('TL13'!$B$3=N$3,SUMIF('TL13'!$C$10:$C$224,$C351,'TL13'!$J$10:$J$224),0),
IF('TL13'!$B$229=N$3,SUMIF('TL13'!$C$238:$C$451,$C351,'TL13'!$J$238:$J$451),0),
IF('TL14'!$B$3=N$3,SUMIF('TL14'!$C$10:$C$224,$C351,'TL14'!$J$10:$J$224),0),
IF('TL14'!$B$229=N$3,SUMIF('TL14'!$C$238:$C$451,$C351,'TL14'!$J$238:$J$451),0),
IF('TL15'!$B$3=N$3,SUMIF('TL15'!$C$10:$C$224,$C351,'TL15'!$J$10:$J$224),0),
IF('TL15'!$B$229=N$3,SUMIF('TL15'!$C$238:$C$451,$C351,'TL15'!$J$238:$J$451),0),
IF('TL16'!$B$3=N$3,SUMIF('TL16'!$C$10:$C$224,$C351,'TL16'!$J$10:$J$224),0),
IF('TL16'!$B$229=N$3,SUMIF('TL16'!$C$238:$C$451,$C351,'TL16'!$J$238:$J$451),0),
IF('TL17'!$B$3=N$3,SUMIF('TL17'!$C$10:$C$224,$C351,'TL17'!$J$10:$J$224),0),
IF('TL17'!$B$229=N$3,SUMIF('TL17'!$C$238:$C$451,$C351,'TL17'!$J$238:$J$451),0),
IF('TL18'!$B$3=N$3,SUMIF('TL18'!$C$10:$C$224,$C351,'TL18'!$J$10:$J$224),0),
IF('TL18'!$B$229=N$3,SUMIF('TL18'!$C$238:$C$451,$C351,'TL18'!$J$238:$J$451),0),
IF('TL19'!$B$3=N$3,SUMIF('TL19'!$C$10:$C$224,$C351,'TL19'!$J$10:$J$224),0),
IF('TL19'!$B$229=N$3,SUMIF('TL19'!$C$238:$C$451,$C351,'TL19'!$J$238:$J$451),0)
),0)</f>
        <v>0</v>
      </c>
      <c r="O351" s="9">
        <f>IFERROR(SUM(
IF('TL01'!$B$3=O$3,SUMIF('TL01'!$C$10:$C$224,$C351,'TL01'!$J$10:$J$224),0),
IF('TL01'!$B$229=O$3,SUMIF('TL01'!$C$238:$C$451,$C351,'TL01'!$J$238:$J$451),0),
IF('TL02'!$B$3=O$3,SUMIF('TL02'!$C$10:$C$224,$C351,'TL02'!$J$10:$J$224),0),
IF('TL02'!$B$229=O$3,SUMIF('TL02'!$C$238:$C$451,$C351,'TL02'!$J$238:$J$451),0),
IF('TL03'!$B$3=O$3,SUMIF('TL03'!$C$10:$C$224,$C351,'TL03'!$J$10:$J$224),0),
IF('TL03'!$B$229=O$3,SUMIF('TL03'!$C$238:$C$451,$C351,'TL03'!$J$238:$J$451),0),
IF('TL04'!$B$3=O$3,SUMIF('TL04'!$C$10:$C$224,$C351,'TL04'!$J$10:$J$224),0),
IF('TL04'!$B$229=O$3,SUMIF('TL04'!$C$238:$C$451,$C351,'TL04'!$J$238:$J$451),0),
IF('TL05'!$B$3=O$3,SUMIF('TL05'!$C$10:$C$224,$C351,'TL05'!$J$10:$J$224),0),
IF('TL05'!$B$229=O$3,SUMIF('TL05'!$C$238:$C$451,$C351,'TL05'!$J$238:$J$451),0),
IF('TL06'!$B$3=O$3,SUMIF('TL06'!$C$10:$C$224,$C351,'TL06'!$J$10:$J$224),0),
IF('TL06'!$B$229=O$3,SUMIF('TL06'!$C$238:$C$451,$C351,'TL06'!$J$238:$J$451),0),
IF('TL07'!$B$3=O$3,SUMIF('TL07'!$C$10:$C$224,$C351,'TL07'!$J$10:$J$224),0),
IF('TL07'!$B$229=O$3,SUMIF('TL07'!$C$238:$C$451,$C351,'TL07'!$J$238:$J$451),0),
IF('TL08'!$B$3=O$3,SUMIF('TL08'!$C$10:$C$224,$C351,'TL08'!$J$10:$J$224),0),
IF('TL08'!$B$229=O$3,SUMIF('TL08'!$C$238:$C$451,$C351,'TL08'!$J$238:$J$451),0),
IF('TL09'!$B$3=O$3,SUMIF('TL09'!$C$10:$C$224,$C351,'TL09'!$J$10:$J$224),0),
IF('TL09'!$B$229=O$3,SUMIF('TL09'!$C$238:$C$451,$C351,'TL09'!$J$238:$J$451),0),
IF('TL10'!$B$3=O$3,SUMIF('TL10'!$C$10:$C$224,$C351,'TL10'!$J$10:$J$224),0),
IF('TL10'!$B$229=O$3,SUMIF('TL10'!$C$238:$C$451,$C351,'TL10'!$J$238:$J$451),0),
IF('TL11'!$B$3=O$3,SUMIF('TL11'!$C$10:$C$224,$C351,'TL11'!$J$10:$J$224),0),
IF('TL11'!$B$229=O$3,SUMIF('TL11'!$C$238:$C$451,$C351,'TL11'!$J$238:$J$451),0),
IF('TL12'!$B$3=O$3,SUMIF('TL12'!$C$10:$C$224,$C351,'TL12'!$J$10:$J$224),0),
IF('TL12'!$B$229=O$3,SUMIF('TL12'!$C$238:$C$451,$C351,'TL12'!$J$238:$J$451),0),
IF('TL13'!$B$3=O$3,SUMIF('TL13'!$C$10:$C$224,$C351,'TL13'!$J$10:$J$224),0),
IF('TL13'!$B$229=O$3,SUMIF('TL13'!$C$238:$C$451,$C351,'TL13'!$J$238:$J$451),0),
IF('TL14'!$B$3=O$3,SUMIF('TL14'!$C$10:$C$224,$C351,'TL14'!$J$10:$J$224),0),
IF('TL14'!$B$229=O$3,SUMIF('TL14'!$C$238:$C$451,$C351,'TL14'!$J$238:$J$451),0),
IF('TL15'!$B$3=O$3,SUMIF('TL15'!$C$10:$C$224,$C351,'TL15'!$J$10:$J$224),0),
IF('TL15'!$B$229=O$3,SUMIF('TL15'!$C$238:$C$451,$C351,'TL15'!$J$238:$J$451),0),
IF('TL16'!$B$3=O$3,SUMIF('TL16'!$C$10:$C$224,$C351,'TL16'!$J$10:$J$224),0),
IF('TL16'!$B$229=O$3,SUMIF('TL16'!$C$238:$C$451,$C351,'TL16'!$J$238:$J$451),0),
IF('TL17'!$B$3=O$3,SUMIF('TL17'!$C$10:$C$224,$C351,'TL17'!$J$10:$J$224),0),
IF('TL17'!$B$229=O$3,SUMIF('TL17'!$C$238:$C$451,$C351,'TL17'!$J$238:$J$451),0),
IF('TL18'!$B$3=O$3,SUMIF('TL18'!$C$10:$C$224,$C351,'TL18'!$J$10:$J$224),0),
IF('TL18'!$B$229=O$3,SUMIF('TL18'!$C$238:$C$451,$C351,'TL18'!$J$238:$J$451),0),
IF('TL19'!$B$3=O$3,SUMIF('TL19'!$C$10:$C$224,$C351,'TL19'!$J$10:$J$224),0),
IF('TL19'!$B$229=O$3,SUMIF('TL19'!$C$238:$C$451,$C351,'TL19'!$J$238:$J$451),0)
),0)</f>
        <v>0</v>
      </c>
      <c r="P351" s="9">
        <f>IFERROR(SUM(
IF('TL01'!$B$3=P$3,SUMIF('TL01'!$C$10:$C$224,$C351,'TL01'!$J$10:$J$224),0),
IF('TL01'!$B$229=P$3,SUMIF('TL01'!$C$238:$C$451,$C351,'TL01'!$J$238:$J$451),0),
IF('TL02'!$B$3=P$3,SUMIF('TL02'!$C$10:$C$224,$C351,'TL02'!$J$10:$J$224),0),
IF('TL02'!$B$229=P$3,SUMIF('TL02'!$C$238:$C$451,$C351,'TL02'!$J$238:$J$451),0),
IF('TL03'!$B$3=P$3,SUMIF('TL03'!$C$10:$C$224,$C351,'TL03'!$J$10:$J$224),0),
IF('TL03'!$B$229=P$3,SUMIF('TL03'!$C$238:$C$451,$C351,'TL03'!$J$238:$J$451),0),
IF('TL04'!$B$3=P$3,SUMIF('TL04'!$C$10:$C$224,$C351,'TL04'!$J$10:$J$224),0),
IF('TL04'!$B$229=P$3,SUMIF('TL04'!$C$238:$C$451,$C351,'TL04'!$J$238:$J$451),0),
IF('TL05'!$B$3=P$3,SUMIF('TL05'!$C$10:$C$224,$C351,'TL05'!$J$10:$J$224),0),
IF('TL05'!$B$229=P$3,SUMIF('TL05'!$C$238:$C$451,$C351,'TL05'!$J$238:$J$451),0),
IF('TL06'!$B$3=P$3,SUMIF('TL06'!$C$10:$C$224,$C351,'TL06'!$J$10:$J$224),0),
IF('TL06'!$B$229=P$3,SUMIF('TL06'!$C$238:$C$451,$C351,'TL06'!$J$238:$J$451),0),
IF('TL07'!$B$3=P$3,SUMIF('TL07'!$C$10:$C$224,$C351,'TL07'!$J$10:$J$224),0),
IF('TL07'!$B$229=P$3,SUMIF('TL07'!$C$238:$C$451,$C351,'TL07'!$J$238:$J$451),0),
IF('TL08'!$B$3=P$3,SUMIF('TL08'!$C$10:$C$224,$C351,'TL08'!$J$10:$J$224),0),
IF('TL08'!$B$229=P$3,SUMIF('TL08'!$C$238:$C$451,$C351,'TL08'!$J$238:$J$451),0),
IF('TL09'!$B$3=P$3,SUMIF('TL09'!$C$10:$C$224,$C351,'TL09'!$J$10:$J$224),0),
IF('TL09'!$B$229=P$3,SUMIF('TL09'!$C$238:$C$451,$C351,'TL09'!$J$238:$J$451),0),
IF('TL10'!$B$3=P$3,SUMIF('TL10'!$C$10:$C$224,$C351,'TL10'!$J$10:$J$224),0),
IF('TL10'!$B$229=P$3,SUMIF('TL10'!$C$238:$C$451,$C351,'TL10'!$J$238:$J$451),0),
IF('TL11'!$B$3=P$3,SUMIF('TL11'!$C$10:$C$224,$C351,'TL11'!$J$10:$J$224),0),
IF('TL11'!$B$229=P$3,SUMIF('TL11'!$C$238:$C$451,$C351,'TL11'!$J$238:$J$451),0),
IF('TL12'!$B$3=P$3,SUMIF('TL12'!$C$10:$C$224,$C351,'TL12'!$J$10:$J$224),0),
IF('TL12'!$B$229=P$3,SUMIF('TL12'!$C$238:$C$451,$C351,'TL12'!$J$238:$J$451),0),
IF('TL13'!$B$3=P$3,SUMIF('TL13'!$C$10:$C$224,$C351,'TL13'!$J$10:$J$224),0),
IF('TL13'!$B$229=P$3,SUMIF('TL13'!$C$238:$C$451,$C351,'TL13'!$J$238:$J$451),0),
IF('TL14'!$B$3=P$3,SUMIF('TL14'!$C$10:$C$224,$C351,'TL14'!$J$10:$J$224),0),
IF('TL14'!$B$229=P$3,SUMIF('TL14'!$C$238:$C$451,$C351,'TL14'!$J$238:$J$451),0),
IF('TL15'!$B$3=P$3,SUMIF('TL15'!$C$10:$C$224,$C351,'TL15'!$J$10:$J$224),0),
IF('TL15'!$B$229=P$3,SUMIF('TL15'!$C$238:$C$451,$C351,'TL15'!$J$238:$J$451),0),
IF('TL16'!$B$3=P$3,SUMIF('TL16'!$C$10:$C$224,$C351,'TL16'!$J$10:$J$224),0),
IF('TL16'!$B$229=P$3,SUMIF('TL16'!$C$238:$C$451,$C351,'TL16'!$J$238:$J$451),0),
IF('TL17'!$B$3=P$3,SUMIF('TL17'!$C$10:$C$224,$C351,'TL17'!$J$10:$J$224),0),
IF('TL17'!$B$229=P$3,SUMIF('TL17'!$C$238:$C$451,$C351,'TL17'!$J$238:$J$451),0),
IF('TL18'!$B$3=P$3,SUMIF('TL18'!$C$10:$C$224,$C351,'TL18'!$J$10:$J$224),0),
IF('TL18'!$B$229=P$3,SUMIF('TL18'!$C$238:$C$451,$C351,'TL18'!$J$238:$J$451),0),
IF('TL19'!$B$3=P$3,SUMIF('TL19'!$C$10:$C$224,$C351,'TL19'!$J$10:$J$224),0),
IF('TL19'!$B$229=P$3,SUMIF('TL19'!$C$238:$C$451,$C351,'TL19'!$J$238:$J$451),0)
),0)</f>
        <v>0</v>
      </c>
      <c r="Q351" s="9">
        <f>IFERROR(SUM(
IF('TL01'!$B$3=Q$3,SUMIF('TL01'!$C$10:$C$224,$C351,'TL01'!$J$10:$J$224),0),
IF('TL01'!$B$229=Q$3,SUMIF('TL01'!$C$238:$C$451,$C351,'TL01'!$J$238:$J$451),0),
IF('TL02'!$B$3=Q$3,SUMIF('TL02'!$C$10:$C$224,$C351,'TL02'!$J$10:$J$224),0),
IF('TL02'!$B$229=Q$3,SUMIF('TL02'!$C$238:$C$451,$C351,'TL02'!$J$238:$J$451),0),
IF('TL03'!$B$3=Q$3,SUMIF('TL03'!$C$10:$C$224,$C351,'TL03'!$J$10:$J$224),0),
IF('TL03'!$B$229=Q$3,SUMIF('TL03'!$C$238:$C$451,$C351,'TL03'!$J$238:$J$451),0),
IF('TL04'!$B$3=Q$3,SUMIF('TL04'!$C$10:$C$224,$C351,'TL04'!$J$10:$J$224),0),
IF('TL04'!$B$229=Q$3,SUMIF('TL04'!$C$238:$C$451,$C351,'TL04'!$J$238:$J$451),0),
IF('TL05'!$B$3=Q$3,SUMIF('TL05'!$C$10:$C$224,$C351,'TL05'!$J$10:$J$224),0),
IF('TL05'!$B$229=Q$3,SUMIF('TL05'!$C$238:$C$451,$C351,'TL05'!$J$238:$J$451),0),
IF('TL06'!$B$3=Q$3,SUMIF('TL06'!$C$10:$C$224,$C351,'TL06'!$J$10:$J$224),0),
IF('TL06'!$B$229=Q$3,SUMIF('TL06'!$C$238:$C$451,$C351,'TL06'!$J$238:$J$451),0),
IF('TL07'!$B$3=Q$3,SUMIF('TL07'!$C$10:$C$224,$C351,'TL07'!$J$10:$J$224),0),
IF('TL07'!$B$229=Q$3,SUMIF('TL07'!$C$238:$C$451,$C351,'TL07'!$J$238:$J$451),0),
IF('TL08'!$B$3=Q$3,SUMIF('TL08'!$C$10:$C$224,$C351,'TL08'!$J$10:$J$224),0),
IF('TL08'!$B$229=Q$3,SUMIF('TL08'!$C$238:$C$451,$C351,'TL08'!$J$238:$J$451),0),
IF('TL09'!$B$3=Q$3,SUMIF('TL09'!$C$10:$C$224,$C351,'TL09'!$J$10:$J$224),0),
IF('TL09'!$B$229=Q$3,SUMIF('TL09'!$C$238:$C$451,$C351,'TL09'!$J$238:$J$451),0),
IF('TL10'!$B$3=Q$3,SUMIF('TL10'!$C$10:$C$224,$C351,'TL10'!$J$10:$J$224),0),
IF('TL10'!$B$229=Q$3,SUMIF('TL10'!$C$238:$C$451,$C351,'TL10'!$J$238:$J$451),0),
IF('TL11'!$B$3=Q$3,SUMIF('TL11'!$C$10:$C$224,$C351,'TL11'!$J$10:$J$224),0),
IF('TL11'!$B$229=Q$3,SUMIF('TL11'!$C$238:$C$451,$C351,'TL11'!$J$238:$J$451),0),
IF('TL12'!$B$3=Q$3,SUMIF('TL12'!$C$10:$C$224,$C351,'TL12'!$J$10:$J$224),0),
IF('TL12'!$B$229=Q$3,SUMIF('TL12'!$C$238:$C$451,$C351,'TL12'!$J$238:$J$451),0),
IF('TL13'!$B$3=Q$3,SUMIF('TL13'!$C$10:$C$224,$C351,'TL13'!$J$10:$J$224),0),
IF('TL13'!$B$229=Q$3,SUMIF('TL13'!$C$238:$C$451,$C351,'TL13'!$J$238:$J$451),0),
IF('TL14'!$B$3=Q$3,SUMIF('TL14'!$C$10:$C$224,$C351,'TL14'!$J$10:$J$224),0),
IF('TL14'!$B$229=Q$3,SUMIF('TL14'!$C$238:$C$451,$C351,'TL14'!$J$238:$J$451),0),
IF('TL15'!$B$3=Q$3,SUMIF('TL15'!$C$10:$C$224,$C351,'TL15'!$J$10:$J$224),0),
IF('TL15'!$B$229=Q$3,SUMIF('TL15'!$C$238:$C$451,$C351,'TL15'!$J$238:$J$451),0),
IF('TL16'!$B$3=Q$3,SUMIF('TL16'!$C$10:$C$224,$C351,'TL16'!$J$10:$J$224),0),
IF('TL16'!$B$229=Q$3,SUMIF('TL16'!$C$238:$C$451,$C351,'TL16'!$J$238:$J$451),0),
IF('TL17'!$B$3=Q$3,SUMIF('TL17'!$C$10:$C$224,$C351,'TL17'!$J$10:$J$224),0),
IF('TL17'!$B$229=Q$3,SUMIF('TL17'!$C$238:$C$451,$C351,'TL17'!$J$238:$J$451),0),
IF('TL18'!$B$3=Q$3,SUMIF('TL18'!$C$10:$C$224,$C351,'TL18'!$J$10:$J$224),0),
IF('TL18'!$B$229=Q$3,SUMIF('TL18'!$C$238:$C$451,$C351,'TL18'!$J$238:$J$451),0),
IF('TL19'!$B$3=Q$3,SUMIF('TL19'!$C$10:$C$224,$C351,'TL19'!$J$10:$J$224),0),
IF('TL19'!$B$229=Q$3,SUMIF('TL19'!$C$238:$C$451,$C351,'TL19'!$J$238:$J$451),0)
),0)</f>
        <v>0</v>
      </c>
      <c r="R351" s="9">
        <f>IFERROR(
SUM(
SUMIF('TL01'!C:C,C351,'TL01'!J:J),
SUMIF('TL02'!C:C,C351,'TL02'!J:J),
SUMIF('TL03'!C:C,C351,'TL03'!J:J),
SUMIF('TL04'!C:C,C351,'TL04'!J:J),
SUMIF('TL05'!C:C,C351,'TL05'!J:J),
SUMIF('TL06'!C:C,C351,'TL06'!J:J),
SUMIF('TL07'!C:C,C351,'TL07'!J:J),
SUMIF('TL08'!C:C,C351,'TL08'!J:J),
SUMIF('TL09'!C:C,C351,'TL09'!J:J),
SUMIF('TL10'!C:C,C351,'TL10'!J:J),
SUMIF('TL11'!C:C,C351,'TL11'!J:J),
SUMIF('TL12'!C:C,C351,'TL12'!J:J),
SUMIF('TL13'!C:C,C351,'TL13'!J:J),
SUMIF('TL14'!C:C,C351,'TL14'!J:J),
SUMIF('TL15'!C:C,C351,'TL15'!J:J),
SUMIF('TL16'!C:C,C351,'TL16'!J:J),
SUMIF('TL17'!C:C,C351,'TL17'!J:J),
SUMIF('TL18'!C:C,C351,'TL18'!J:J),SUMIF('TL19'!C:C,C351,'TL19'!J:J))
,0)</f>
        <v>0</v>
      </c>
      <c r="S351" s="17">
        <f>IFERROR(__xludf.DUMMYFUNCTION("IFERROR(VLOOKUP(C351,
IMPORTRANGE(""1wULbzX32WdYsx-lj2U3uUNBBe2INVIRDtcK0d-Dvl90"",
""26-27!C:G""),
5,
FALSE),
"""")"),42.12)</f>
        <v>42.12</v>
      </c>
      <c r="T351" s="9"/>
      <c r="U351" s="92">
        <f t="shared" si="2"/>
        <v>0</v>
      </c>
      <c r="V351" s="93">
        <f t="shared" si="3"/>
        <v>0</v>
      </c>
    </row>
    <row r="352" ht="15.75" hidden="1" customHeight="1">
      <c r="A352" s="4" t="s">
        <v>1071</v>
      </c>
      <c r="B352" s="4" t="s">
        <v>4</v>
      </c>
      <c r="C352" s="126" t="s">
        <v>1076</v>
      </c>
      <c r="D352" s="127" t="s">
        <v>1077</v>
      </c>
      <c r="E352" s="6"/>
      <c r="F352" s="4"/>
      <c r="G352" s="90" t="str">
        <f t="shared" si="5"/>
        <v>📄 Ver bula</v>
      </c>
      <c r="H352" s="4">
        <v>2.0</v>
      </c>
      <c r="I352" s="121" t="s">
        <v>344</v>
      </c>
      <c r="J352" s="9">
        <f>IFERROR(SUM(
IF('TL01'!$B$3=J$3,SUMIF('TL01'!$C$10:$C$224,$C352,'TL01'!$J$10:$J$224),0),
IF('TL01'!$B$229=J$3,SUMIF('TL01'!$C$238:$C$451,$C352,'TL01'!$J$238:$J$451),0),
IF('TL02'!$B$3=J$3,SUMIF('TL02'!$C$10:$C$224,$C352,'TL02'!$J$10:$J$224),0),
IF('TL02'!$B$229=J$3,SUMIF('TL02'!$C$238:$C$451,$C352,'TL02'!$J$238:$J$451),0),
IF('TL03'!$B$3=J$3,SUMIF('TL03'!$C$10:$C$224,$C352,'TL03'!$J$10:$J$224),0),
IF('TL03'!$B$229=J$3,SUMIF('TL03'!$C$238:$C$451,$C352,'TL03'!$J$238:$J$451),0),
IF('TL04'!$B$3=J$3,SUMIF('TL04'!$C$10:$C$224,$C352,'TL04'!$J$10:$J$224),0),
IF('TL04'!$B$229=J$3,SUMIF('TL04'!$C$238:$C$451,$C352,'TL04'!$J$238:$J$451),0),
IF('TL05'!$B$3=J$3,SUMIF('TL05'!$C$10:$C$224,$C352,'TL05'!$J$10:$J$224),0),
IF('TL05'!$B$229=J$3,SUMIF('TL05'!$C$238:$C$451,$C352,'TL05'!$J$238:$J$451),0),
IF('TL06'!$B$3=J$3,SUMIF('TL06'!$C$10:$C$224,$C352,'TL06'!$J$10:$J$224),0),
IF('TL06'!$B$229=J$3,SUMIF('TL06'!$C$238:$C$451,$C352,'TL06'!$J$238:$J$451),0),
IF('TL07'!$B$3=J$3,SUMIF('TL07'!$C$10:$C$224,$C352,'TL07'!$J$10:$J$224),0),
IF('TL07'!$B$229=J$3,SUMIF('TL07'!$C$238:$C$451,$C352,'TL07'!$J$238:$J$451),0),
IF('TL08'!$B$3=J$3,SUMIF('TL08'!$C$10:$C$224,$C352,'TL08'!$J$10:$J$224),0),
IF('TL08'!$B$229=J$3,SUMIF('TL08'!$C$238:$C$451,$C352,'TL08'!$J$238:$J$451),0),
IF('TL09'!$B$3=J$3,SUMIF('TL09'!$C$10:$C$224,$C352,'TL09'!$J$10:$J$224),0),
IF('TL09'!$B$229=J$3,SUMIF('TL09'!$C$238:$C$451,$C352,'TL09'!$J$238:$J$451),0),
IF('TL10'!$B$3=J$3,SUMIF('TL10'!$C$10:$C$224,$C352,'TL10'!$J$10:$J$224),0),
IF('TL10'!$B$229=J$3,SUMIF('TL10'!$C$238:$C$451,$C352,'TL10'!$J$238:$J$451),0),
IF('TL11'!$B$3=J$3,SUMIF('TL11'!$C$10:$C$224,$C352,'TL11'!$J$10:$J$224),0),
IF('TL11'!$B$229=J$3,SUMIF('TL11'!$C$238:$C$451,$C352,'TL11'!$J$238:$J$451),0),
IF('TL12'!$B$3=J$3,SUMIF('TL12'!$C$10:$C$224,$C352,'TL12'!$J$10:$J$224),0),
IF('TL12'!$B$229=J$3,SUMIF('TL12'!$C$238:$C$451,$C352,'TL12'!$J$238:$J$451),0),
IF('TL13'!$B$3=J$3,SUMIF('TL13'!$C$10:$C$224,$C352,'TL13'!$J$10:$J$224),0),
IF('TL13'!$B$229=J$3,SUMIF('TL13'!$C$238:$C$451,$C352,'TL13'!$J$238:$J$451),0),
IF('TL14'!$B$3=J$3,SUMIF('TL14'!$C$10:$C$224,$C352,'TL14'!$J$10:$J$224),0),
IF('TL14'!$B$229=J$3,SUMIF('TL14'!$C$238:$C$451,$C352,'TL14'!$J$238:$J$451),0),
IF('TL15'!$B$3=J$3,SUMIF('TL15'!$C$10:$C$224,$C352,'TL15'!$J$10:$J$224),0),
IF('TL15'!$B$229=J$3,SUMIF('TL15'!$C$238:$C$451,$C352,'TL15'!$J$238:$J$451),0),
IF('TL16'!$B$3=J$3,SUMIF('TL16'!$C$10:$C$224,$C352,'TL16'!$J$10:$J$224),0),
IF('TL16'!$B$229=J$3,SUMIF('TL16'!$C$238:$C$451,$C352,'TL16'!$J$238:$J$451),0),
IF('TL17'!$B$3=J$3,SUMIF('TL17'!$C$10:$C$224,$C352,'TL17'!$J$10:$J$224),0),
IF('TL17'!$B$229=J$3,SUMIF('TL17'!$C$238:$C$451,$C352,'TL17'!$J$238:$J$451),0),
IF('TL18'!$B$3=J$3,SUMIF('TL18'!$C$10:$C$224,$C352,'TL18'!$J$10:$J$224),0),
IF('TL18'!$B$229=J$3,SUMIF('TL18'!$C$238:$C$451,$C352,'TL18'!$J$238:$J$451),0),
IF('TL19'!$B$3=J$3,SUMIF('TL19'!$C$10:$C$224,$C352,'TL19'!$J$10:$J$224),0),
IF('TL19'!$B$229=J$3,SUMIF('TL19'!$C$238:$C$451,$C352,'TL19'!$J$238:$J$451),0)
),0)</f>
        <v>0</v>
      </c>
      <c r="K352" s="9">
        <f>IFERROR(SUM(
IF('TL01'!$B$3=K$3,SUMIF('TL01'!$C$10:$C$224,$C352,'TL01'!$J$10:$J$224),0),
IF('TL01'!$B$229=K$3,SUMIF('TL01'!$C$238:$C$451,$C352,'TL01'!$J$238:$J$451),0),
IF('TL02'!$B$3=K$3,SUMIF('TL02'!$C$10:$C$224,$C352,'TL02'!$J$10:$J$224),0),
IF('TL02'!$B$229=K$3,SUMIF('TL02'!$C$238:$C$451,$C352,'TL02'!$J$238:$J$451),0),
IF('TL03'!$B$3=K$3,SUMIF('TL03'!$C$10:$C$224,$C352,'TL03'!$J$10:$J$224),0),
IF('TL03'!$B$229=K$3,SUMIF('TL03'!$C$238:$C$451,$C352,'TL03'!$J$238:$J$451),0),
IF('TL04'!$B$3=K$3,SUMIF('TL04'!$C$10:$C$224,$C352,'TL04'!$J$10:$J$224),0),
IF('TL04'!$B$229=K$3,SUMIF('TL04'!$C$238:$C$451,$C352,'TL04'!$J$238:$J$451),0),
IF('TL05'!$B$3=K$3,SUMIF('TL05'!$C$10:$C$224,$C352,'TL05'!$J$10:$J$224),0),
IF('TL05'!$B$229=K$3,SUMIF('TL05'!$C$238:$C$451,$C352,'TL05'!$J$238:$J$451),0),
IF('TL06'!$B$3=K$3,SUMIF('TL06'!$C$10:$C$224,$C352,'TL06'!$J$10:$J$224),0),
IF('TL06'!$B$229=K$3,SUMIF('TL06'!$C$238:$C$451,$C352,'TL06'!$J$238:$J$451),0),
IF('TL07'!$B$3=K$3,SUMIF('TL07'!$C$10:$C$224,$C352,'TL07'!$J$10:$J$224),0),
IF('TL07'!$B$229=K$3,SUMIF('TL07'!$C$238:$C$451,$C352,'TL07'!$J$238:$J$451),0),
IF('TL08'!$B$3=K$3,SUMIF('TL08'!$C$10:$C$224,$C352,'TL08'!$J$10:$J$224),0),
IF('TL08'!$B$229=K$3,SUMIF('TL08'!$C$238:$C$451,$C352,'TL08'!$J$238:$J$451),0),
IF('TL09'!$B$3=K$3,SUMIF('TL09'!$C$10:$C$224,$C352,'TL09'!$J$10:$J$224),0),
IF('TL09'!$B$229=K$3,SUMIF('TL09'!$C$238:$C$451,$C352,'TL09'!$J$238:$J$451),0),
IF('TL10'!$B$3=K$3,SUMIF('TL10'!$C$10:$C$224,$C352,'TL10'!$J$10:$J$224),0),
IF('TL10'!$B$229=K$3,SUMIF('TL10'!$C$238:$C$451,$C352,'TL10'!$J$238:$J$451),0),
IF('TL11'!$B$3=K$3,SUMIF('TL11'!$C$10:$C$224,$C352,'TL11'!$J$10:$J$224),0),
IF('TL11'!$B$229=K$3,SUMIF('TL11'!$C$238:$C$451,$C352,'TL11'!$J$238:$J$451),0),
IF('TL12'!$B$3=K$3,SUMIF('TL12'!$C$10:$C$224,$C352,'TL12'!$J$10:$J$224),0),
IF('TL12'!$B$229=K$3,SUMIF('TL12'!$C$238:$C$451,$C352,'TL12'!$J$238:$J$451),0),
IF('TL13'!$B$3=K$3,SUMIF('TL13'!$C$10:$C$224,$C352,'TL13'!$J$10:$J$224),0),
IF('TL13'!$B$229=K$3,SUMIF('TL13'!$C$238:$C$451,$C352,'TL13'!$J$238:$J$451),0),
IF('TL14'!$B$3=K$3,SUMIF('TL14'!$C$10:$C$224,$C352,'TL14'!$J$10:$J$224),0),
IF('TL14'!$B$229=K$3,SUMIF('TL14'!$C$238:$C$451,$C352,'TL14'!$J$238:$J$451),0),
IF('TL15'!$B$3=K$3,SUMIF('TL15'!$C$10:$C$224,$C352,'TL15'!$J$10:$J$224),0),
IF('TL15'!$B$229=K$3,SUMIF('TL15'!$C$238:$C$451,$C352,'TL15'!$J$238:$J$451),0),
IF('TL16'!$B$3=K$3,SUMIF('TL16'!$C$10:$C$224,$C352,'TL16'!$J$10:$J$224),0),
IF('TL16'!$B$229=K$3,SUMIF('TL16'!$C$238:$C$451,$C352,'TL16'!$J$238:$J$451),0),
IF('TL17'!$B$3=K$3,SUMIF('TL17'!$C$10:$C$224,$C352,'TL17'!$J$10:$J$224),0),
IF('TL17'!$B$229=K$3,SUMIF('TL17'!$C$238:$C$451,$C352,'TL17'!$J$238:$J$451),0),
IF('TL18'!$B$3=K$3,SUMIF('TL18'!$C$10:$C$224,$C352,'TL18'!$J$10:$J$224),0),
IF('TL18'!$B$229=K$3,SUMIF('TL18'!$C$238:$C$451,$C352,'TL18'!$J$238:$J$451),0),
IF('TL19'!$B$3=K$3,SUMIF('TL19'!$C$10:$C$224,$C352,'TL19'!$J$10:$J$224),0),
IF('TL19'!$B$229=K$3,SUMIF('TL19'!$C$238:$C$451,$C352,'TL19'!$J$238:$J$451),0)
),0)</f>
        <v>0</v>
      </c>
      <c r="L352" s="9">
        <f>IFERROR(SUM(
IF('TL01'!$B$3=L$3,SUMIF('TL01'!$C$10:$C$224,$C352,'TL01'!$J$10:$J$224),0),
IF('TL01'!$B$229=L$3,SUMIF('TL01'!$C$238:$C$451,$C352,'TL01'!$J$238:$J$451),0),
IF('TL02'!$B$3=L$3,SUMIF('TL02'!$C$10:$C$224,$C352,'TL02'!$J$10:$J$224),0),
IF('TL02'!$B$229=L$3,SUMIF('TL02'!$C$238:$C$451,$C352,'TL02'!$J$238:$J$451),0),
IF('TL03'!$B$3=L$3,SUMIF('TL03'!$C$10:$C$224,$C352,'TL03'!$J$10:$J$224),0),
IF('TL03'!$B$229=L$3,SUMIF('TL03'!$C$238:$C$451,$C352,'TL03'!$J$238:$J$451),0),
IF('TL04'!$B$3=L$3,SUMIF('TL04'!$C$10:$C$224,$C352,'TL04'!$J$10:$J$224),0),
IF('TL04'!$B$229=L$3,SUMIF('TL04'!$C$238:$C$451,$C352,'TL04'!$J$238:$J$451),0),
IF('TL05'!$B$3=L$3,SUMIF('TL05'!$C$10:$C$224,$C352,'TL05'!$J$10:$J$224),0),
IF('TL05'!$B$229=L$3,SUMIF('TL05'!$C$238:$C$451,$C352,'TL05'!$J$238:$J$451),0),
IF('TL06'!$B$3=L$3,SUMIF('TL06'!$C$10:$C$224,$C352,'TL06'!$J$10:$J$224),0),
IF('TL06'!$B$229=L$3,SUMIF('TL06'!$C$238:$C$451,$C352,'TL06'!$J$238:$J$451),0),
IF('TL07'!$B$3=L$3,SUMIF('TL07'!$C$10:$C$224,$C352,'TL07'!$J$10:$J$224),0),
IF('TL07'!$B$229=L$3,SUMIF('TL07'!$C$238:$C$451,$C352,'TL07'!$J$238:$J$451),0),
IF('TL08'!$B$3=L$3,SUMIF('TL08'!$C$10:$C$224,$C352,'TL08'!$J$10:$J$224),0),
IF('TL08'!$B$229=L$3,SUMIF('TL08'!$C$238:$C$451,$C352,'TL08'!$J$238:$J$451),0),
IF('TL09'!$B$3=L$3,SUMIF('TL09'!$C$10:$C$224,$C352,'TL09'!$J$10:$J$224),0),
IF('TL09'!$B$229=L$3,SUMIF('TL09'!$C$238:$C$451,$C352,'TL09'!$J$238:$J$451),0),
IF('TL10'!$B$3=L$3,SUMIF('TL10'!$C$10:$C$224,$C352,'TL10'!$J$10:$J$224),0),
IF('TL10'!$B$229=L$3,SUMIF('TL10'!$C$238:$C$451,$C352,'TL10'!$J$238:$J$451),0),
IF('TL11'!$B$3=L$3,SUMIF('TL11'!$C$10:$C$224,$C352,'TL11'!$J$10:$J$224),0),
IF('TL11'!$B$229=L$3,SUMIF('TL11'!$C$238:$C$451,$C352,'TL11'!$J$238:$J$451),0),
IF('TL12'!$B$3=L$3,SUMIF('TL12'!$C$10:$C$224,$C352,'TL12'!$J$10:$J$224),0),
IF('TL12'!$B$229=L$3,SUMIF('TL12'!$C$238:$C$451,$C352,'TL12'!$J$238:$J$451),0),
IF('TL13'!$B$3=L$3,SUMIF('TL13'!$C$10:$C$224,$C352,'TL13'!$J$10:$J$224),0),
IF('TL13'!$B$229=L$3,SUMIF('TL13'!$C$238:$C$451,$C352,'TL13'!$J$238:$J$451),0),
IF('TL14'!$B$3=L$3,SUMIF('TL14'!$C$10:$C$224,$C352,'TL14'!$J$10:$J$224),0),
IF('TL14'!$B$229=L$3,SUMIF('TL14'!$C$238:$C$451,$C352,'TL14'!$J$238:$J$451),0),
IF('TL15'!$B$3=L$3,SUMIF('TL15'!$C$10:$C$224,$C352,'TL15'!$J$10:$J$224),0),
IF('TL15'!$B$229=L$3,SUMIF('TL15'!$C$238:$C$451,$C352,'TL15'!$J$238:$J$451),0),
IF('TL16'!$B$3=L$3,SUMIF('TL16'!$C$10:$C$224,$C352,'TL16'!$J$10:$J$224),0),
IF('TL16'!$B$229=L$3,SUMIF('TL16'!$C$238:$C$451,$C352,'TL16'!$J$238:$J$451),0),
IF('TL17'!$B$3=L$3,SUMIF('TL17'!$C$10:$C$224,$C352,'TL17'!$J$10:$J$224),0),
IF('TL17'!$B$229=L$3,SUMIF('TL17'!$C$238:$C$451,$C352,'TL17'!$J$238:$J$451),0),
IF('TL18'!$B$3=L$3,SUMIF('TL18'!$C$10:$C$224,$C352,'TL18'!$J$10:$J$224),0),
IF('TL18'!$B$229=L$3,SUMIF('TL18'!$C$238:$C$451,$C352,'TL18'!$J$238:$J$451),0),
IF('TL19'!$B$3=L$3,SUMIF('TL19'!$C$10:$C$224,$C352,'TL19'!$J$10:$J$224),0),
IF('TL19'!$B$229=L$3,SUMIF('TL19'!$C$238:$C$451,$C352,'TL19'!$J$238:$J$451),0)
),0)</f>
        <v>0</v>
      </c>
      <c r="M352" s="9">
        <f>IFERROR(SUM(
IF('TL01'!$B$3=M$3,SUMIF('TL01'!$C$10:$C$224,$C352,'TL01'!$J$10:$J$224),0),
IF('TL01'!$B$229=M$3,SUMIF('TL01'!$C$238:$C$451,$C352,'TL01'!$J$238:$J$451),0),
IF('TL02'!$B$3=M$3,SUMIF('TL02'!$C$10:$C$224,$C352,'TL02'!$J$10:$J$224),0),
IF('TL02'!$B$229=M$3,SUMIF('TL02'!$C$238:$C$451,$C352,'TL02'!$J$238:$J$451),0),
IF('TL03'!$B$3=M$3,SUMIF('TL03'!$C$10:$C$224,$C352,'TL03'!$J$10:$J$224),0),
IF('TL03'!$B$229=M$3,SUMIF('TL03'!$C$238:$C$451,$C352,'TL03'!$J$238:$J$451),0),
IF('TL04'!$B$3=M$3,SUMIF('TL04'!$C$10:$C$224,$C352,'TL04'!$J$10:$J$224),0),
IF('TL04'!$B$229=M$3,SUMIF('TL04'!$C$238:$C$451,$C352,'TL04'!$J$238:$J$451),0),
IF('TL05'!$B$3=M$3,SUMIF('TL05'!$C$10:$C$224,$C352,'TL05'!$J$10:$J$224),0),
IF('TL05'!$B$229=M$3,SUMIF('TL05'!$C$238:$C$451,$C352,'TL05'!$J$238:$J$451),0),
IF('TL06'!$B$3=M$3,SUMIF('TL06'!$C$10:$C$224,$C352,'TL06'!$J$10:$J$224),0),
IF('TL06'!$B$229=M$3,SUMIF('TL06'!$C$238:$C$451,$C352,'TL06'!$J$238:$J$451),0),
IF('TL07'!$B$3=M$3,SUMIF('TL07'!$C$10:$C$224,$C352,'TL07'!$J$10:$J$224),0),
IF('TL07'!$B$229=M$3,SUMIF('TL07'!$C$238:$C$451,$C352,'TL07'!$J$238:$J$451),0),
IF('TL08'!$B$3=M$3,SUMIF('TL08'!$C$10:$C$224,$C352,'TL08'!$J$10:$J$224),0),
IF('TL08'!$B$229=M$3,SUMIF('TL08'!$C$238:$C$451,$C352,'TL08'!$J$238:$J$451),0),
IF('TL09'!$B$3=M$3,SUMIF('TL09'!$C$10:$C$224,$C352,'TL09'!$J$10:$J$224),0),
IF('TL09'!$B$229=M$3,SUMIF('TL09'!$C$238:$C$451,$C352,'TL09'!$J$238:$J$451),0),
IF('TL10'!$B$3=M$3,SUMIF('TL10'!$C$10:$C$224,$C352,'TL10'!$J$10:$J$224),0),
IF('TL10'!$B$229=M$3,SUMIF('TL10'!$C$238:$C$451,$C352,'TL10'!$J$238:$J$451),0),
IF('TL11'!$B$3=M$3,SUMIF('TL11'!$C$10:$C$224,$C352,'TL11'!$J$10:$J$224),0),
IF('TL11'!$B$229=M$3,SUMIF('TL11'!$C$238:$C$451,$C352,'TL11'!$J$238:$J$451),0),
IF('TL12'!$B$3=M$3,SUMIF('TL12'!$C$10:$C$224,$C352,'TL12'!$J$10:$J$224),0),
IF('TL12'!$B$229=M$3,SUMIF('TL12'!$C$238:$C$451,$C352,'TL12'!$J$238:$J$451),0),
IF('TL13'!$B$3=M$3,SUMIF('TL13'!$C$10:$C$224,$C352,'TL13'!$J$10:$J$224),0),
IF('TL13'!$B$229=M$3,SUMIF('TL13'!$C$238:$C$451,$C352,'TL13'!$J$238:$J$451),0),
IF('TL14'!$B$3=M$3,SUMIF('TL14'!$C$10:$C$224,$C352,'TL14'!$J$10:$J$224),0),
IF('TL14'!$B$229=M$3,SUMIF('TL14'!$C$238:$C$451,$C352,'TL14'!$J$238:$J$451),0),
IF('TL15'!$B$3=M$3,SUMIF('TL15'!$C$10:$C$224,$C352,'TL15'!$J$10:$J$224),0),
IF('TL15'!$B$229=M$3,SUMIF('TL15'!$C$238:$C$451,$C352,'TL15'!$J$238:$J$451),0),
IF('TL16'!$B$3=M$3,SUMIF('TL16'!$C$10:$C$224,$C352,'TL16'!$J$10:$J$224),0),
IF('TL16'!$B$229=M$3,SUMIF('TL16'!$C$238:$C$451,$C352,'TL16'!$J$238:$J$451),0),
IF('TL17'!$B$3=M$3,SUMIF('TL17'!$C$10:$C$224,$C352,'TL17'!$J$10:$J$224),0),
IF('TL17'!$B$229=M$3,SUMIF('TL17'!$C$238:$C$451,$C352,'TL17'!$J$238:$J$451),0),
IF('TL18'!$B$3=M$3,SUMIF('TL18'!$C$10:$C$224,$C352,'TL18'!$J$10:$J$224),0),
IF('TL18'!$B$229=M$3,SUMIF('TL18'!$C$238:$C$451,$C352,'TL18'!$J$238:$J$451),0),
IF('TL19'!$B$3=M$3,SUMIF('TL19'!$C$10:$C$224,$C352,'TL19'!$J$10:$J$224),0),
IF('TL19'!$B$229=M$3,SUMIF('TL19'!$C$238:$C$451,$C352,'TL19'!$J$238:$J$451),0)
),0)</f>
        <v>0</v>
      </c>
      <c r="N352" s="9">
        <f>IFERROR(SUM(
IF('TL01'!$B$3=N$3,SUMIF('TL01'!$C$10:$C$224,$C352,'TL01'!$J$10:$J$224),0),
IF('TL01'!$B$229=N$3,SUMIF('TL01'!$C$238:$C$451,$C352,'TL01'!$J$238:$J$451),0),
IF('TL02'!$B$3=N$3,SUMIF('TL02'!$C$10:$C$224,$C352,'TL02'!$J$10:$J$224),0),
IF('TL02'!$B$229=N$3,SUMIF('TL02'!$C$238:$C$451,$C352,'TL02'!$J$238:$J$451),0),
IF('TL03'!$B$3=N$3,SUMIF('TL03'!$C$10:$C$224,$C352,'TL03'!$J$10:$J$224),0),
IF('TL03'!$B$229=N$3,SUMIF('TL03'!$C$238:$C$451,$C352,'TL03'!$J$238:$J$451),0),
IF('TL04'!$B$3=N$3,SUMIF('TL04'!$C$10:$C$224,$C352,'TL04'!$J$10:$J$224),0),
IF('TL04'!$B$229=N$3,SUMIF('TL04'!$C$238:$C$451,$C352,'TL04'!$J$238:$J$451),0),
IF('TL05'!$B$3=N$3,SUMIF('TL05'!$C$10:$C$224,$C352,'TL05'!$J$10:$J$224),0),
IF('TL05'!$B$229=N$3,SUMIF('TL05'!$C$238:$C$451,$C352,'TL05'!$J$238:$J$451),0),
IF('TL06'!$B$3=N$3,SUMIF('TL06'!$C$10:$C$224,$C352,'TL06'!$J$10:$J$224),0),
IF('TL06'!$B$229=N$3,SUMIF('TL06'!$C$238:$C$451,$C352,'TL06'!$J$238:$J$451),0),
IF('TL07'!$B$3=N$3,SUMIF('TL07'!$C$10:$C$224,$C352,'TL07'!$J$10:$J$224),0),
IF('TL07'!$B$229=N$3,SUMIF('TL07'!$C$238:$C$451,$C352,'TL07'!$J$238:$J$451),0),
IF('TL08'!$B$3=N$3,SUMIF('TL08'!$C$10:$C$224,$C352,'TL08'!$J$10:$J$224),0),
IF('TL08'!$B$229=N$3,SUMIF('TL08'!$C$238:$C$451,$C352,'TL08'!$J$238:$J$451),0),
IF('TL09'!$B$3=N$3,SUMIF('TL09'!$C$10:$C$224,$C352,'TL09'!$J$10:$J$224),0),
IF('TL09'!$B$229=N$3,SUMIF('TL09'!$C$238:$C$451,$C352,'TL09'!$J$238:$J$451),0),
IF('TL10'!$B$3=N$3,SUMIF('TL10'!$C$10:$C$224,$C352,'TL10'!$J$10:$J$224),0),
IF('TL10'!$B$229=N$3,SUMIF('TL10'!$C$238:$C$451,$C352,'TL10'!$J$238:$J$451),0),
IF('TL11'!$B$3=N$3,SUMIF('TL11'!$C$10:$C$224,$C352,'TL11'!$J$10:$J$224),0),
IF('TL11'!$B$229=N$3,SUMIF('TL11'!$C$238:$C$451,$C352,'TL11'!$J$238:$J$451),0),
IF('TL12'!$B$3=N$3,SUMIF('TL12'!$C$10:$C$224,$C352,'TL12'!$J$10:$J$224),0),
IF('TL12'!$B$229=N$3,SUMIF('TL12'!$C$238:$C$451,$C352,'TL12'!$J$238:$J$451),0),
IF('TL13'!$B$3=N$3,SUMIF('TL13'!$C$10:$C$224,$C352,'TL13'!$J$10:$J$224),0),
IF('TL13'!$B$229=N$3,SUMIF('TL13'!$C$238:$C$451,$C352,'TL13'!$J$238:$J$451),0),
IF('TL14'!$B$3=N$3,SUMIF('TL14'!$C$10:$C$224,$C352,'TL14'!$J$10:$J$224),0),
IF('TL14'!$B$229=N$3,SUMIF('TL14'!$C$238:$C$451,$C352,'TL14'!$J$238:$J$451),0),
IF('TL15'!$B$3=N$3,SUMIF('TL15'!$C$10:$C$224,$C352,'TL15'!$J$10:$J$224),0),
IF('TL15'!$B$229=N$3,SUMIF('TL15'!$C$238:$C$451,$C352,'TL15'!$J$238:$J$451),0),
IF('TL16'!$B$3=N$3,SUMIF('TL16'!$C$10:$C$224,$C352,'TL16'!$J$10:$J$224),0),
IF('TL16'!$B$229=N$3,SUMIF('TL16'!$C$238:$C$451,$C352,'TL16'!$J$238:$J$451),0),
IF('TL17'!$B$3=N$3,SUMIF('TL17'!$C$10:$C$224,$C352,'TL17'!$J$10:$J$224),0),
IF('TL17'!$B$229=N$3,SUMIF('TL17'!$C$238:$C$451,$C352,'TL17'!$J$238:$J$451),0),
IF('TL18'!$B$3=N$3,SUMIF('TL18'!$C$10:$C$224,$C352,'TL18'!$J$10:$J$224),0),
IF('TL18'!$B$229=N$3,SUMIF('TL18'!$C$238:$C$451,$C352,'TL18'!$J$238:$J$451),0),
IF('TL19'!$B$3=N$3,SUMIF('TL19'!$C$10:$C$224,$C352,'TL19'!$J$10:$J$224),0),
IF('TL19'!$B$229=N$3,SUMIF('TL19'!$C$238:$C$451,$C352,'TL19'!$J$238:$J$451),0)
),0)</f>
        <v>0</v>
      </c>
      <c r="O352" s="9">
        <f>IFERROR(SUM(
IF('TL01'!$B$3=O$3,SUMIF('TL01'!$C$10:$C$224,$C352,'TL01'!$J$10:$J$224),0),
IF('TL01'!$B$229=O$3,SUMIF('TL01'!$C$238:$C$451,$C352,'TL01'!$J$238:$J$451),0),
IF('TL02'!$B$3=O$3,SUMIF('TL02'!$C$10:$C$224,$C352,'TL02'!$J$10:$J$224),0),
IF('TL02'!$B$229=O$3,SUMIF('TL02'!$C$238:$C$451,$C352,'TL02'!$J$238:$J$451),0),
IF('TL03'!$B$3=O$3,SUMIF('TL03'!$C$10:$C$224,$C352,'TL03'!$J$10:$J$224),0),
IF('TL03'!$B$229=O$3,SUMIF('TL03'!$C$238:$C$451,$C352,'TL03'!$J$238:$J$451),0),
IF('TL04'!$B$3=O$3,SUMIF('TL04'!$C$10:$C$224,$C352,'TL04'!$J$10:$J$224),0),
IF('TL04'!$B$229=O$3,SUMIF('TL04'!$C$238:$C$451,$C352,'TL04'!$J$238:$J$451),0),
IF('TL05'!$B$3=O$3,SUMIF('TL05'!$C$10:$C$224,$C352,'TL05'!$J$10:$J$224),0),
IF('TL05'!$B$229=O$3,SUMIF('TL05'!$C$238:$C$451,$C352,'TL05'!$J$238:$J$451),0),
IF('TL06'!$B$3=O$3,SUMIF('TL06'!$C$10:$C$224,$C352,'TL06'!$J$10:$J$224),0),
IF('TL06'!$B$229=O$3,SUMIF('TL06'!$C$238:$C$451,$C352,'TL06'!$J$238:$J$451),0),
IF('TL07'!$B$3=O$3,SUMIF('TL07'!$C$10:$C$224,$C352,'TL07'!$J$10:$J$224),0),
IF('TL07'!$B$229=O$3,SUMIF('TL07'!$C$238:$C$451,$C352,'TL07'!$J$238:$J$451),0),
IF('TL08'!$B$3=O$3,SUMIF('TL08'!$C$10:$C$224,$C352,'TL08'!$J$10:$J$224),0),
IF('TL08'!$B$229=O$3,SUMIF('TL08'!$C$238:$C$451,$C352,'TL08'!$J$238:$J$451),0),
IF('TL09'!$B$3=O$3,SUMIF('TL09'!$C$10:$C$224,$C352,'TL09'!$J$10:$J$224),0),
IF('TL09'!$B$229=O$3,SUMIF('TL09'!$C$238:$C$451,$C352,'TL09'!$J$238:$J$451),0),
IF('TL10'!$B$3=O$3,SUMIF('TL10'!$C$10:$C$224,$C352,'TL10'!$J$10:$J$224),0),
IF('TL10'!$B$229=O$3,SUMIF('TL10'!$C$238:$C$451,$C352,'TL10'!$J$238:$J$451),0),
IF('TL11'!$B$3=O$3,SUMIF('TL11'!$C$10:$C$224,$C352,'TL11'!$J$10:$J$224),0),
IF('TL11'!$B$229=O$3,SUMIF('TL11'!$C$238:$C$451,$C352,'TL11'!$J$238:$J$451),0),
IF('TL12'!$B$3=O$3,SUMIF('TL12'!$C$10:$C$224,$C352,'TL12'!$J$10:$J$224),0),
IF('TL12'!$B$229=O$3,SUMIF('TL12'!$C$238:$C$451,$C352,'TL12'!$J$238:$J$451),0),
IF('TL13'!$B$3=O$3,SUMIF('TL13'!$C$10:$C$224,$C352,'TL13'!$J$10:$J$224),0),
IF('TL13'!$B$229=O$3,SUMIF('TL13'!$C$238:$C$451,$C352,'TL13'!$J$238:$J$451),0),
IF('TL14'!$B$3=O$3,SUMIF('TL14'!$C$10:$C$224,$C352,'TL14'!$J$10:$J$224),0),
IF('TL14'!$B$229=O$3,SUMIF('TL14'!$C$238:$C$451,$C352,'TL14'!$J$238:$J$451),0),
IF('TL15'!$B$3=O$3,SUMIF('TL15'!$C$10:$C$224,$C352,'TL15'!$J$10:$J$224),0),
IF('TL15'!$B$229=O$3,SUMIF('TL15'!$C$238:$C$451,$C352,'TL15'!$J$238:$J$451),0),
IF('TL16'!$B$3=O$3,SUMIF('TL16'!$C$10:$C$224,$C352,'TL16'!$J$10:$J$224),0),
IF('TL16'!$B$229=O$3,SUMIF('TL16'!$C$238:$C$451,$C352,'TL16'!$J$238:$J$451),0),
IF('TL17'!$B$3=O$3,SUMIF('TL17'!$C$10:$C$224,$C352,'TL17'!$J$10:$J$224),0),
IF('TL17'!$B$229=O$3,SUMIF('TL17'!$C$238:$C$451,$C352,'TL17'!$J$238:$J$451),0),
IF('TL18'!$B$3=O$3,SUMIF('TL18'!$C$10:$C$224,$C352,'TL18'!$J$10:$J$224),0),
IF('TL18'!$B$229=O$3,SUMIF('TL18'!$C$238:$C$451,$C352,'TL18'!$J$238:$J$451),0),
IF('TL19'!$B$3=O$3,SUMIF('TL19'!$C$10:$C$224,$C352,'TL19'!$J$10:$J$224),0),
IF('TL19'!$B$229=O$3,SUMIF('TL19'!$C$238:$C$451,$C352,'TL19'!$J$238:$J$451),0)
),0)</f>
        <v>0</v>
      </c>
      <c r="P352" s="9">
        <f>IFERROR(SUM(
IF('TL01'!$B$3=P$3,SUMIF('TL01'!$C$10:$C$224,$C352,'TL01'!$J$10:$J$224),0),
IF('TL01'!$B$229=P$3,SUMIF('TL01'!$C$238:$C$451,$C352,'TL01'!$J$238:$J$451),0),
IF('TL02'!$B$3=P$3,SUMIF('TL02'!$C$10:$C$224,$C352,'TL02'!$J$10:$J$224),0),
IF('TL02'!$B$229=P$3,SUMIF('TL02'!$C$238:$C$451,$C352,'TL02'!$J$238:$J$451),0),
IF('TL03'!$B$3=P$3,SUMIF('TL03'!$C$10:$C$224,$C352,'TL03'!$J$10:$J$224),0),
IF('TL03'!$B$229=P$3,SUMIF('TL03'!$C$238:$C$451,$C352,'TL03'!$J$238:$J$451),0),
IF('TL04'!$B$3=P$3,SUMIF('TL04'!$C$10:$C$224,$C352,'TL04'!$J$10:$J$224),0),
IF('TL04'!$B$229=P$3,SUMIF('TL04'!$C$238:$C$451,$C352,'TL04'!$J$238:$J$451),0),
IF('TL05'!$B$3=P$3,SUMIF('TL05'!$C$10:$C$224,$C352,'TL05'!$J$10:$J$224),0),
IF('TL05'!$B$229=P$3,SUMIF('TL05'!$C$238:$C$451,$C352,'TL05'!$J$238:$J$451),0),
IF('TL06'!$B$3=P$3,SUMIF('TL06'!$C$10:$C$224,$C352,'TL06'!$J$10:$J$224),0),
IF('TL06'!$B$229=P$3,SUMIF('TL06'!$C$238:$C$451,$C352,'TL06'!$J$238:$J$451),0),
IF('TL07'!$B$3=P$3,SUMIF('TL07'!$C$10:$C$224,$C352,'TL07'!$J$10:$J$224),0),
IF('TL07'!$B$229=P$3,SUMIF('TL07'!$C$238:$C$451,$C352,'TL07'!$J$238:$J$451),0),
IF('TL08'!$B$3=P$3,SUMIF('TL08'!$C$10:$C$224,$C352,'TL08'!$J$10:$J$224),0),
IF('TL08'!$B$229=P$3,SUMIF('TL08'!$C$238:$C$451,$C352,'TL08'!$J$238:$J$451),0),
IF('TL09'!$B$3=P$3,SUMIF('TL09'!$C$10:$C$224,$C352,'TL09'!$J$10:$J$224),0),
IF('TL09'!$B$229=P$3,SUMIF('TL09'!$C$238:$C$451,$C352,'TL09'!$J$238:$J$451),0),
IF('TL10'!$B$3=P$3,SUMIF('TL10'!$C$10:$C$224,$C352,'TL10'!$J$10:$J$224),0),
IF('TL10'!$B$229=P$3,SUMIF('TL10'!$C$238:$C$451,$C352,'TL10'!$J$238:$J$451),0),
IF('TL11'!$B$3=P$3,SUMIF('TL11'!$C$10:$C$224,$C352,'TL11'!$J$10:$J$224),0),
IF('TL11'!$B$229=P$3,SUMIF('TL11'!$C$238:$C$451,$C352,'TL11'!$J$238:$J$451),0),
IF('TL12'!$B$3=P$3,SUMIF('TL12'!$C$10:$C$224,$C352,'TL12'!$J$10:$J$224),0),
IF('TL12'!$B$229=P$3,SUMIF('TL12'!$C$238:$C$451,$C352,'TL12'!$J$238:$J$451),0),
IF('TL13'!$B$3=P$3,SUMIF('TL13'!$C$10:$C$224,$C352,'TL13'!$J$10:$J$224),0),
IF('TL13'!$B$229=P$3,SUMIF('TL13'!$C$238:$C$451,$C352,'TL13'!$J$238:$J$451),0),
IF('TL14'!$B$3=P$3,SUMIF('TL14'!$C$10:$C$224,$C352,'TL14'!$J$10:$J$224),0),
IF('TL14'!$B$229=P$3,SUMIF('TL14'!$C$238:$C$451,$C352,'TL14'!$J$238:$J$451),0),
IF('TL15'!$B$3=P$3,SUMIF('TL15'!$C$10:$C$224,$C352,'TL15'!$J$10:$J$224),0),
IF('TL15'!$B$229=P$3,SUMIF('TL15'!$C$238:$C$451,$C352,'TL15'!$J$238:$J$451),0),
IF('TL16'!$B$3=P$3,SUMIF('TL16'!$C$10:$C$224,$C352,'TL16'!$J$10:$J$224),0),
IF('TL16'!$B$229=P$3,SUMIF('TL16'!$C$238:$C$451,$C352,'TL16'!$J$238:$J$451),0),
IF('TL17'!$B$3=P$3,SUMIF('TL17'!$C$10:$C$224,$C352,'TL17'!$J$10:$J$224),0),
IF('TL17'!$B$229=P$3,SUMIF('TL17'!$C$238:$C$451,$C352,'TL17'!$J$238:$J$451),0),
IF('TL18'!$B$3=P$3,SUMIF('TL18'!$C$10:$C$224,$C352,'TL18'!$J$10:$J$224),0),
IF('TL18'!$B$229=P$3,SUMIF('TL18'!$C$238:$C$451,$C352,'TL18'!$J$238:$J$451),0),
IF('TL19'!$B$3=P$3,SUMIF('TL19'!$C$10:$C$224,$C352,'TL19'!$J$10:$J$224),0),
IF('TL19'!$B$229=P$3,SUMIF('TL19'!$C$238:$C$451,$C352,'TL19'!$J$238:$J$451),0)
),0)</f>
        <v>0</v>
      </c>
      <c r="Q352" s="9">
        <f>IFERROR(SUM(
IF('TL01'!$B$3=Q$3,SUMIF('TL01'!$C$10:$C$224,$C352,'TL01'!$J$10:$J$224),0),
IF('TL01'!$B$229=Q$3,SUMIF('TL01'!$C$238:$C$451,$C352,'TL01'!$J$238:$J$451),0),
IF('TL02'!$B$3=Q$3,SUMIF('TL02'!$C$10:$C$224,$C352,'TL02'!$J$10:$J$224),0),
IF('TL02'!$B$229=Q$3,SUMIF('TL02'!$C$238:$C$451,$C352,'TL02'!$J$238:$J$451),0),
IF('TL03'!$B$3=Q$3,SUMIF('TL03'!$C$10:$C$224,$C352,'TL03'!$J$10:$J$224),0),
IF('TL03'!$B$229=Q$3,SUMIF('TL03'!$C$238:$C$451,$C352,'TL03'!$J$238:$J$451),0),
IF('TL04'!$B$3=Q$3,SUMIF('TL04'!$C$10:$C$224,$C352,'TL04'!$J$10:$J$224),0),
IF('TL04'!$B$229=Q$3,SUMIF('TL04'!$C$238:$C$451,$C352,'TL04'!$J$238:$J$451),0),
IF('TL05'!$B$3=Q$3,SUMIF('TL05'!$C$10:$C$224,$C352,'TL05'!$J$10:$J$224),0),
IF('TL05'!$B$229=Q$3,SUMIF('TL05'!$C$238:$C$451,$C352,'TL05'!$J$238:$J$451),0),
IF('TL06'!$B$3=Q$3,SUMIF('TL06'!$C$10:$C$224,$C352,'TL06'!$J$10:$J$224),0),
IF('TL06'!$B$229=Q$3,SUMIF('TL06'!$C$238:$C$451,$C352,'TL06'!$J$238:$J$451),0),
IF('TL07'!$B$3=Q$3,SUMIF('TL07'!$C$10:$C$224,$C352,'TL07'!$J$10:$J$224),0),
IF('TL07'!$B$229=Q$3,SUMIF('TL07'!$C$238:$C$451,$C352,'TL07'!$J$238:$J$451),0),
IF('TL08'!$B$3=Q$3,SUMIF('TL08'!$C$10:$C$224,$C352,'TL08'!$J$10:$J$224),0),
IF('TL08'!$B$229=Q$3,SUMIF('TL08'!$C$238:$C$451,$C352,'TL08'!$J$238:$J$451),0),
IF('TL09'!$B$3=Q$3,SUMIF('TL09'!$C$10:$C$224,$C352,'TL09'!$J$10:$J$224),0),
IF('TL09'!$B$229=Q$3,SUMIF('TL09'!$C$238:$C$451,$C352,'TL09'!$J$238:$J$451),0),
IF('TL10'!$B$3=Q$3,SUMIF('TL10'!$C$10:$C$224,$C352,'TL10'!$J$10:$J$224),0),
IF('TL10'!$B$229=Q$3,SUMIF('TL10'!$C$238:$C$451,$C352,'TL10'!$J$238:$J$451),0),
IF('TL11'!$B$3=Q$3,SUMIF('TL11'!$C$10:$C$224,$C352,'TL11'!$J$10:$J$224),0),
IF('TL11'!$B$229=Q$3,SUMIF('TL11'!$C$238:$C$451,$C352,'TL11'!$J$238:$J$451),0),
IF('TL12'!$B$3=Q$3,SUMIF('TL12'!$C$10:$C$224,$C352,'TL12'!$J$10:$J$224),0),
IF('TL12'!$B$229=Q$3,SUMIF('TL12'!$C$238:$C$451,$C352,'TL12'!$J$238:$J$451),0),
IF('TL13'!$B$3=Q$3,SUMIF('TL13'!$C$10:$C$224,$C352,'TL13'!$J$10:$J$224),0),
IF('TL13'!$B$229=Q$3,SUMIF('TL13'!$C$238:$C$451,$C352,'TL13'!$J$238:$J$451),0),
IF('TL14'!$B$3=Q$3,SUMIF('TL14'!$C$10:$C$224,$C352,'TL14'!$J$10:$J$224),0),
IF('TL14'!$B$229=Q$3,SUMIF('TL14'!$C$238:$C$451,$C352,'TL14'!$J$238:$J$451),0),
IF('TL15'!$B$3=Q$3,SUMIF('TL15'!$C$10:$C$224,$C352,'TL15'!$J$10:$J$224),0),
IF('TL15'!$B$229=Q$3,SUMIF('TL15'!$C$238:$C$451,$C352,'TL15'!$J$238:$J$451),0),
IF('TL16'!$B$3=Q$3,SUMIF('TL16'!$C$10:$C$224,$C352,'TL16'!$J$10:$J$224),0),
IF('TL16'!$B$229=Q$3,SUMIF('TL16'!$C$238:$C$451,$C352,'TL16'!$J$238:$J$451),0),
IF('TL17'!$B$3=Q$3,SUMIF('TL17'!$C$10:$C$224,$C352,'TL17'!$J$10:$J$224),0),
IF('TL17'!$B$229=Q$3,SUMIF('TL17'!$C$238:$C$451,$C352,'TL17'!$J$238:$J$451),0),
IF('TL18'!$B$3=Q$3,SUMIF('TL18'!$C$10:$C$224,$C352,'TL18'!$J$10:$J$224),0),
IF('TL18'!$B$229=Q$3,SUMIF('TL18'!$C$238:$C$451,$C352,'TL18'!$J$238:$J$451),0),
IF('TL19'!$B$3=Q$3,SUMIF('TL19'!$C$10:$C$224,$C352,'TL19'!$J$10:$J$224),0),
IF('TL19'!$B$229=Q$3,SUMIF('TL19'!$C$238:$C$451,$C352,'TL19'!$J$238:$J$451),0)
),0)</f>
        <v>0</v>
      </c>
      <c r="R352" s="9">
        <f>IFERROR(
SUM(
SUMIF('TL01'!C:C,C352,'TL01'!J:J),
SUMIF('TL02'!C:C,C352,'TL02'!J:J),
SUMIF('TL03'!C:C,C352,'TL03'!J:J),
SUMIF('TL04'!C:C,C352,'TL04'!J:J),
SUMIF('TL05'!C:C,C352,'TL05'!J:J),
SUMIF('TL06'!C:C,C352,'TL06'!J:J),
SUMIF('TL07'!C:C,C352,'TL07'!J:J),
SUMIF('TL08'!C:C,C352,'TL08'!J:J),
SUMIF('TL09'!C:C,C352,'TL09'!J:J),
SUMIF('TL10'!C:C,C352,'TL10'!J:J),
SUMIF('TL11'!C:C,C352,'TL11'!J:J),
SUMIF('TL12'!C:C,C352,'TL12'!J:J),
SUMIF('TL13'!C:C,C352,'TL13'!J:J),
SUMIF('TL14'!C:C,C352,'TL14'!J:J),
SUMIF('TL15'!C:C,C352,'TL15'!J:J),
SUMIF('TL16'!C:C,C352,'TL16'!J:J),
SUMIF('TL17'!C:C,C352,'TL17'!J:J),
SUMIF('TL18'!C:C,C352,'TL18'!J:J),SUMIF('TL19'!C:C,C352,'TL19'!J:J))
,0)</f>
        <v>0</v>
      </c>
      <c r="S352" s="17">
        <f>IFERROR(__xludf.DUMMYFUNCTION("IFERROR(VLOOKUP(C352,
IMPORTRANGE(""1wULbzX32WdYsx-lj2U3uUNBBe2INVIRDtcK0d-Dvl90"",
""26-27!C:G""),
5,
FALSE),
"""")"),81.64)</f>
        <v>81.64</v>
      </c>
      <c r="T352" s="9"/>
      <c r="U352" s="92">
        <f t="shared" si="2"/>
        <v>0</v>
      </c>
      <c r="V352" s="93">
        <f t="shared" si="3"/>
        <v>0</v>
      </c>
    </row>
    <row r="353" ht="15.75" hidden="1" customHeight="1">
      <c r="A353" s="4" t="s">
        <v>1071</v>
      </c>
      <c r="B353" s="4" t="s">
        <v>4</v>
      </c>
      <c r="C353" s="128" t="s">
        <v>1078</v>
      </c>
      <c r="D353" s="129" t="s">
        <v>1079</v>
      </c>
      <c r="E353" s="6"/>
      <c r="F353" s="4"/>
      <c r="G353" s="90" t="str">
        <f t="shared" si="5"/>
        <v>📄 Ver bula</v>
      </c>
      <c r="H353" s="4">
        <v>2.0</v>
      </c>
      <c r="I353" s="123" t="s">
        <v>344</v>
      </c>
      <c r="J353" s="9">
        <f>IFERROR(SUM(
IF('TL01'!$B$3=J$3,SUMIF('TL01'!$C$10:$C$224,$C353,'TL01'!$J$10:$J$224),0),
IF('TL01'!$B$229=J$3,SUMIF('TL01'!$C$238:$C$451,$C353,'TL01'!$J$238:$J$451),0),
IF('TL02'!$B$3=J$3,SUMIF('TL02'!$C$10:$C$224,$C353,'TL02'!$J$10:$J$224),0),
IF('TL02'!$B$229=J$3,SUMIF('TL02'!$C$238:$C$451,$C353,'TL02'!$J$238:$J$451),0),
IF('TL03'!$B$3=J$3,SUMIF('TL03'!$C$10:$C$224,$C353,'TL03'!$J$10:$J$224),0),
IF('TL03'!$B$229=J$3,SUMIF('TL03'!$C$238:$C$451,$C353,'TL03'!$J$238:$J$451),0),
IF('TL04'!$B$3=J$3,SUMIF('TL04'!$C$10:$C$224,$C353,'TL04'!$J$10:$J$224),0),
IF('TL04'!$B$229=J$3,SUMIF('TL04'!$C$238:$C$451,$C353,'TL04'!$J$238:$J$451),0),
IF('TL05'!$B$3=J$3,SUMIF('TL05'!$C$10:$C$224,$C353,'TL05'!$J$10:$J$224),0),
IF('TL05'!$B$229=J$3,SUMIF('TL05'!$C$238:$C$451,$C353,'TL05'!$J$238:$J$451),0),
IF('TL06'!$B$3=J$3,SUMIF('TL06'!$C$10:$C$224,$C353,'TL06'!$J$10:$J$224),0),
IF('TL06'!$B$229=J$3,SUMIF('TL06'!$C$238:$C$451,$C353,'TL06'!$J$238:$J$451),0),
IF('TL07'!$B$3=J$3,SUMIF('TL07'!$C$10:$C$224,$C353,'TL07'!$J$10:$J$224),0),
IF('TL07'!$B$229=J$3,SUMIF('TL07'!$C$238:$C$451,$C353,'TL07'!$J$238:$J$451),0),
IF('TL08'!$B$3=J$3,SUMIF('TL08'!$C$10:$C$224,$C353,'TL08'!$J$10:$J$224),0),
IF('TL08'!$B$229=J$3,SUMIF('TL08'!$C$238:$C$451,$C353,'TL08'!$J$238:$J$451),0),
IF('TL09'!$B$3=J$3,SUMIF('TL09'!$C$10:$C$224,$C353,'TL09'!$J$10:$J$224),0),
IF('TL09'!$B$229=J$3,SUMIF('TL09'!$C$238:$C$451,$C353,'TL09'!$J$238:$J$451),0),
IF('TL10'!$B$3=J$3,SUMIF('TL10'!$C$10:$C$224,$C353,'TL10'!$J$10:$J$224),0),
IF('TL10'!$B$229=J$3,SUMIF('TL10'!$C$238:$C$451,$C353,'TL10'!$J$238:$J$451),0),
IF('TL11'!$B$3=J$3,SUMIF('TL11'!$C$10:$C$224,$C353,'TL11'!$J$10:$J$224),0),
IF('TL11'!$B$229=J$3,SUMIF('TL11'!$C$238:$C$451,$C353,'TL11'!$J$238:$J$451),0),
IF('TL12'!$B$3=J$3,SUMIF('TL12'!$C$10:$C$224,$C353,'TL12'!$J$10:$J$224),0),
IF('TL12'!$B$229=J$3,SUMIF('TL12'!$C$238:$C$451,$C353,'TL12'!$J$238:$J$451),0),
IF('TL13'!$B$3=J$3,SUMIF('TL13'!$C$10:$C$224,$C353,'TL13'!$J$10:$J$224),0),
IF('TL13'!$B$229=J$3,SUMIF('TL13'!$C$238:$C$451,$C353,'TL13'!$J$238:$J$451),0),
IF('TL14'!$B$3=J$3,SUMIF('TL14'!$C$10:$C$224,$C353,'TL14'!$J$10:$J$224),0),
IF('TL14'!$B$229=J$3,SUMIF('TL14'!$C$238:$C$451,$C353,'TL14'!$J$238:$J$451),0),
IF('TL15'!$B$3=J$3,SUMIF('TL15'!$C$10:$C$224,$C353,'TL15'!$J$10:$J$224),0),
IF('TL15'!$B$229=J$3,SUMIF('TL15'!$C$238:$C$451,$C353,'TL15'!$J$238:$J$451),0),
IF('TL16'!$B$3=J$3,SUMIF('TL16'!$C$10:$C$224,$C353,'TL16'!$J$10:$J$224),0),
IF('TL16'!$B$229=J$3,SUMIF('TL16'!$C$238:$C$451,$C353,'TL16'!$J$238:$J$451),0),
IF('TL17'!$B$3=J$3,SUMIF('TL17'!$C$10:$C$224,$C353,'TL17'!$J$10:$J$224),0),
IF('TL17'!$B$229=J$3,SUMIF('TL17'!$C$238:$C$451,$C353,'TL17'!$J$238:$J$451),0),
IF('TL18'!$B$3=J$3,SUMIF('TL18'!$C$10:$C$224,$C353,'TL18'!$J$10:$J$224),0),
IF('TL18'!$B$229=J$3,SUMIF('TL18'!$C$238:$C$451,$C353,'TL18'!$J$238:$J$451),0),
IF('TL19'!$B$3=J$3,SUMIF('TL19'!$C$10:$C$224,$C353,'TL19'!$J$10:$J$224),0),
IF('TL19'!$B$229=J$3,SUMIF('TL19'!$C$238:$C$451,$C353,'TL19'!$J$238:$J$451),0)
),0)</f>
        <v>0</v>
      </c>
      <c r="K353" s="9">
        <f>IFERROR(SUM(
IF('TL01'!$B$3=K$3,SUMIF('TL01'!$C$10:$C$224,$C353,'TL01'!$J$10:$J$224),0),
IF('TL01'!$B$229=K$3,SUMIF('TL01'!$C$238:$C$451,$C353,'TL01'!$J$238:$J$451),0),
IF('TL02'!$B$3=K$3,SUMIF('TL02'!$C$10:$C$224,$C353,'TL02'!$J$10:$J$224),0),
IF('TL02'!$B$229=K$3,SUMIF('TL02'!$C$238:$C$451,$C353,'TL02'!$J$238:$J$451),0),
IF('TL03'!$B$3=K$3,SUMIF('TL03'!$C$10:$C$224,$C353,'TL03'!$J$10:$J$224),0),
IF('TL03'!$B$229=K$3,SUMIF('TL03'!$C$238:$C$451,$C353,'TL03'!$J$238:$J$451),0),
IF('TL04'!$B$3=K$3,SUMIF('TL04'!$C$10:$C$224,$C353,'TL04'!$J$10:$J$224),0),
IF('TL04'!$B$229=K$3,SUMIF('TL04'!$C$238:$C$451,$C353,'TL04'!$J$238:$J$451),0),
IF('TL05'!$B$3=K$3,SUMIF('TL05'!$C$10:$C$224,$C353,'TL05'!$J$10:$J$224),0),
IF('TL05'!$B$229=K$3,SUMIF('TL05'!$C$238:$C$451,$C353,'TL05'!$J$238:$J$451),0),
IF('TL06'!$B$3=K$3,SUMIF('TL06'!$C$10:$C$224,$C353,'TL06'!$J$10:$J$224),0),
IF('TL06'!$B$229=K$3,SUMIF('TL06'!$C$238:$C$451,$C353,'TL06'!$J$238:$J$451),0),
IF('TL07'!$B$3=K$3,SUMIF('TL07'!$C$10:$C$224,$C353,'TL07'!$J$10:$J$224),0),
IF('TL07'!$B$229=K$3,SUMIF('TL07'!$C$238:$C$451,$C353,'TL07'!$J$238:$J$451),0),
IF('TL08'!$B$3=K$3,SUMIF('TL08'!$C$10:$C$224,$C353,'TL08'!$J$10:$J$224),0),
IF('TL08'!$B$229=K$3,SUMIF('TL08'!$C$238:$C$451,$C353,'TL08'!$J$238:$J$451),0),
IF('TL09'!$B$3=K$3,SUMIF('TL09'!$C$10:$C$224,$C353,'TL09'!$J$10:$J$224),0),
IF('TL09'!$B$229=K$3,SUMIF('TL09'!$C$238:$C$451,$C353,'TL09'!$J$238:$J$451),0),
IF('TL10'!$B$3=K$3,SUMIF('TL10'!$C$10:$C$224,$C353,'TL10'!$J$10:$J$224),0),
IF('TL10'!$B$229=K$3,SUMIF('TL10'!$C$238:$C$451,$C353,'TL10'!$J$238:$J$451),0),
IF('TL11'!$B$3=K$3,SUMIF('TL11'!$C$10:$C$224,$C353,'TL11'!$J$10:$J$224),0),
IF('TL11'!$B$229=K$3,SUMIF('TL11'!$C$238:$C$451,$C353,'TL11'!$J$238:$J$451),0),
IF('TL12'!$B$3=K$3,SUMIF('TL12'!$C$10:$C$224,$C353,'TL12'!$J$10:$J$224),0),
IF('TL12'!$B$229=K$3,SUMIF('TL12'!$C$238:$C$451,$C353,'TL12'!$J$238:$J$451),0),
IF('TL13'!$B$3=K$3,SUMIF('TL13'!$C$10:$C$224,$C353,'TL13'!$J$10:$J$224),0),
IF('TL13'!$B$229=K$3,SUMIF('TL13'!$C$238:$C$451,$C353,'TL13'!$J$238:$J$451),0),
IF('TL14'!$B$3=K$3,SUMIF('TL14'!$C$10:$C$224,$C353,'TL14'!$J$10:$J$224),0),
IF('TL14'!$B$229=K$3,SUMIF('TL14'!$C$238:$C$451,$C353,'TL14'!$J$238:$J$451),0),
IF('TL15'!$B$3=K$3,SUMIF('TL15'!$C$10:$C$224,$C353,'TL15'!$J$10:$J$224),0),
IF('TL15'!$B$229=K$3,SUMIF('TL15'!$C$238:$C$451,$C353,'TL15'!$J$238:$J$451),0),
IF('TL16'!$B$3=K$3,SUMIF('TL16'!$C$10:$C$224,$C353,'TL16'!$J$10:$J$224),0),
IF('TL16'!$B$229=K$3,SUMIF('TL16'!$C$238:$C$451,$C353,'TL16'!$J$238:$J$451),0),
IF('TL17'!$B$3=K$3,SUMIF('TL17'!$C$10:$C$224,$C353,'TL17'!$J$10:$J$224),0),
IF('TL17'!$B$229=K$3,SUMIF('TL17'!$C$238:$C$451,$C353,'TL17'!$J$238:$J$451),0),
IF('TL18'!$B$3=K$3,SUMIF('TL18'!$C$10:$C$224,$C353,'TL18'!$J$10:$J$224),0),
IF('TL18'!$B$229=K$3,SUMIF('TL18'!$C$238:$C$451,$C353,'TL18'!$J$238:$J$451),0),
IF('TL19'!$B$3=K$3,SUMIF('TL19'!$C$10:$C$224,$C353,'TL19'!$J$10:$J$224),0),
IF('TL19'!$B$229=K$3,SUMIF('TL19'!$C$238:$C$451,$C353,'TL19'!$J$238:$J$451),0)
),0)</f>
        <v>0</v>
      </c>
      <c r="L353" s="9">
        <f>IFERROR(SUM(
IF('TL01'!$B$3=L$3,SUMIF('TL01'!$C$10:$C$224,$C353,'TL01'!$J$10:$J$224),0),
IF('TL01'!$B$229=L$3,SUMIF('TL01'!$C$238:$C$451,$C353,'TL01'!$J$238:$J$451),0),
IF('TL02'!$B$3=L$3,SUMIF('TL02'!$C$10:$C$224,$C353,'TL02'!$J$10:$J$224),0),
IF('TL02'!$B$229=L$3,SUMIF('TL02'!$C$238:$C$451,$C353,'TL02'!$J$238:$J$451),0),
IF('TL03'!$B$3=L$3,SUMIF('TL03'!$C$10:$C$224,$C353,'TL03'!$J$10:$J$224),0),
IF('TL03'!$B$229=L$3,SUMIF('TL03'!$C$238:$C$451,$C353,'TL03'!$J$238:$J$451),0),
IF('TL04'!$B$3=L$3,SUMIF('TL04'!$C$10:$C$224,$C353,'TL04'!$J$10:$J$224),0),
IF('TL04'!$B$229=L$3,SUMIF('TL04'!$C$238:$C$451,$C353,'TL04'!$J$238:$J$451),0),
IF('TL05'!$B$3=L$3,SUMIF('TL05'!$C$10:$C$224,$C353,'TL05'!$J$10:$J$224),0),
IF('TL05'!$B$229=L$3,SUMIF('TL05'!$C$238:$C$451,$C353,'TL05'!$J$238:$J$451),0),
IF('TL06'!$B$3=L$3,SUMIF('TL06'!$C$10:$C$224,$C353,'TL06'!$J$10:$J$224),0),
IF('TL06'!$B$229=L$3,SUMIF('TL06'!$C$238:$C$451,$C353,'TL06'!$J$238:$J$451),0),
IF('TL07'!$B$3=L$3,SUMIF('TL07'!$C$10:$C$224,$C353,'TL07'!$J$10:$J$224),0),
IF('TL07'!$B$229=L$3,SUMIF('TL07'!$C$238:$C$451,$C353,'TL07'!$J$238:$J$451),0),
IF('TL08'!$B$3=L$3,SUMIF('TL08'!$C$10:$C$224,$C353,'TL08'!$J$10:$J$224),0),
IF('TL08'!$B$229=L$3,SUMIF('TL08'!$C$238:$C$451,$C353,'TL08'!$J$238:$J$451),0),
IF('TL09'!$B$3=L$3,SUMIF('TL09'!$C$10:$C$224,$C353,'TL09'!$J$10:$J$224),0),
IF('TL09'!$B$229=L$3,SUMIF('TL09'!$C$238:$C$451,$C353,'TL09'!$J$238:$J$451),0),
IF('TL10'!$B$3=L$3,SUMIF('TL10'!$C$10:$C$224,$C353,'TL10'!$J$10:$J$224),0),
IF('TL10'!$B$229=L$3,SUMIF('TL10'!$C$238:$C$451,$C353,'TL10'!$J$238:$J$451),0),
IF('TL11'!$B$3=L$3,SUMIF('TL11'!$C$10:$C$224,$C353,'TL11'!$J$10:$J$224),0),
IF('TL11'!$B$229=L$3,SUMIF('TL11'!$C$238:$C$451,$C353,'TL11'!$J$238:$J$451),0),
IF('TL12'!$B$3=L$3,SUMIF('TL12'!$C$10:$C$224,$C353,'TL12'!$J$10:$J$224),0),
IF('TL12'!$B$229=L$3,SUMIF('TL12'!$C$238:$C$451,$C353,'TL12'!$J$238:$J$451),0),
IF('TL13'!$B$3=L$3,SUMIF('TL13'!$C$10:$C$224,$C353,'TL13'!$J$10:$J$224),0),
IF('TL13'!$B$229=L$3,SUMIF('TL13'!$C$238:$C$451,$C353,'TL13'!$J$238:$J$451),0),
IF('TL14'!$B$3=L$3,SUMIF('TL14'!$C$10:$C$224,$C353,'TL14'!$J$10:$J$224),0),
IF('TL14'!$B$229=L$3,SUMIF('TL14'!$C$238:$C$451,$C353,'TL14'!$J$238:$J$451),0),
IF('TL15'!$B$3=L$3,SUMIF('TL15'!$C$10:$C$224,$C353,'TL15'!$J$10:$J$224),0),
IF('TL15'!$B$229=L$3,SUMIF('TL15'!$C$238:$C$451,$C353,'TL15'!$J$238:$J$451),0),
IF('TL16'!$B$3=L$3,SUMIF('TL16'!$C$10:$C$224,$C353,'TL16'!$J$10:$J$224),0),
IF('TL16'!$B$229=L$3,SUMIF('TL16'!$C$238:$C$451,$C353,'TL16'!$J$238:$J$451),0),
IF('TL17'!$B$3=L$3,SUMIF('TL17'!$C$10:$C$224,$C353,'TL17'!$J$10:$J$224),0),
IF('TL17'!$B$229=L$3,SUMIF('TL17'!$C$238:$C$451,$C353,'TL17'!$J$238:$J$451),0),
IF('TL18'!$B$3=L$3,SUMIF('TL18'!$C$10:$C$224,$C353,'TL18'!$J$10:$J$224),0),
IF('TL18'!$B$229=L$3,SUMIF('TL18'!$C$238:$C$451,$C353,'TL18'!$J$238:$J$451),0),
IF('TL19'!$B$3=L$3,SUMIF('TL19'!$C$10:$C$224,$C353,'TL19'!$J$10:$J$224),0),
IF('TL19'!$B$229=L$3,SUMIF('TL19'!$C$238:$C$451,$C353,'TL19'!$J$238:$J$451),0)
),0)</f>
        <v>0</v>
      </c>
      <c r="M353" s="9">
        <f>IFERROR(SUM(
IF('TL01'!$B$3=M$3,SUMIF('TL01'!$C$10:$C$224,$C353,'TL01'!$J$10:$J$224),0),
IF('TL01'!$B$229=M$3,SUMIF('TL01'!$C$238:$C$451,$C353,'TL01'!$J$238:$J$451),0),
IF('TL02'!$B$3=M$3,SUMIF('TL02'!$C$10:$C$224,$C353,'TL02'!$J$10:$J$224),0),
IF('TL02'!$B$229=M$3,SUMIF('TL02'!$C$238:$C$451,$C353,'TL02'!$J$238:$J$451),0),
IF('TL03'!$B$3=M$3,SUMIF('TL03'!$C$10:$C$224,$C353,'TL03'!$J$10:$J$224),0),
IF('TL03'!$B$229=M$3,SUMIF('TL03'!$C$238:$C$451,$C353,'TL03'!$J$238:$J$451),0),
IF('TL04'!$B$3=M$3,SUMIF('TL04'!$C$10:$C$224,$C353,'TL04'!$J$10:$J$224),0),
IF('TL04'!$B$229=M$3,SUMIF('TL04'!$C$238:$C$451,$C353,'TL04'!$J$238:$J$451),0),
IF('TL05'!$B$3=M$3,SUMIF('TL05'!$C$10:$C$224,$C353,'TL05'!$J$10:$J$224),0),
IF('TL05'!$B$229=M$3,SUMIF('TL05'!$C$238:$C$451,$C353,'TL05'!$J$238:$J$451),0),
IF('TL06'!$B$3=M$3,SUMIF('TL06'!$C$10:$C$224,$C353,'TL06'!$J$10:$J$224),0),
IF('TL06'!$B$229=M$3,SUMIF('TL06'!$C$238:$C$451,$C353,'TL06'!$J$238:$J$451),0),
IF('TL07'!$B$3=M$3,SUMIF('TL07'!$C$10:$C$224,$C353,'TL07'!$J$10:$J$224),0),
IF('TL07'!$B$229=M$3,SUMIF('TL07'!$C$238:$C$451,$C353,'TL07'!$J$238:$J$451),0),
IF('TL08'!$B$3=M$3,SUMIF('TL08'!$C$10:$C$224,$C353,'TL08'!$J$10:$J$224),0),
IF('TL08'!$B$229=M$3,SUMIF('TL08'!$C$238:$C$451,$C353,'TL08'!$J$238:$J$451),0),
IF('TL09'!$B$3=M$3,SUMIF('TL09'!$C$10:$C$224,$C353,'TL09'!$J$10:$J$224),0),
IF('TL09'!$B$229=M$3,SUMIF('TL09'!$C$238:$C$451,$C353,'TL09'!$J$238:$J$451),0),
IF('TL10'!$B$3=M$3,SUMIF('TL10'!$C$10:$C$224,$C353,'TL10'!$J$10:$J$224),0),
IF('TL10'!$B$229=M$3,SUMIF('TL10'!$C$238:$C$451,$C353,'TL10'!$J$238:$J$451),0),
IF('TL11'!$B$3=M$3,SUMIF('TL11'!$C$10:$C$224,$C353,'TL11'!$J$10:$J$224),0),
IF('TL11'!$B$229=M$3,SUMIF('TL11'!$C$238:$C$451,$C353,'TL11'!$J$238:$J$451),0),
IF('TL12'!$B$3=M$3,SUMIF('TL12'!$C$10:$C$224,$C353,'TL12'!$J$10:$J$224),0),
IF('TL12'!$B$229=M$3,SUMIF('TL12'!$C$238:$C$451,$C353,'TL12'!$J$238:$J$451),0),
IF('TL13'!$B$3=M$3,SUMIF('TL13'!$C$10:$C$224,$C353,'TL13'!$J$10:$J$224),0),
IF('TL13'!$B$229=M$3,SUMIF('TL13'!$C$238:$C$451,$C353,'TL13'!$J$238:$J$451),0),
IF('TL14'!$B$3=M$3,SUMIF('TL14'!$C$10:$C$224,$C353,'TL14'!$J$10:$J$224),0),
IF('TL14'!$B$229=M$3,SUMIF('TL14'!$C$238:$C$451,$C353,'TL14'!$J$238:$J$451),0),
IF('TL15'!$B$3=M$3,SUMIF('TL15'!$C$10:$C$224,$C353,'TL15'!$J$10:$J$224),0),
IF('TL15'!$B$229=M$3,SUMIF('TL15'!$C$238:$C$451,$C353,'TL15'!$J$238:$J$451),0),
IF('TL16'!$B$3=M$3,SUMIF('TL16'!$C$10:$C$224,$C353,'TL16'!$J$10:$J$224),0),
IF('TL16'!$B$229=M$3,SUMIF('TL16'!$C$238:$C$451,$C353,'TL16'!$J$238:$J$451),0),
IF('TL17'!$B$3=M$3,SUMIF('TL17'!$C$10:$C$224,$C353,'TL17'!$J$10:$J$224),0),
IF('TL17'!$B$229=M$3,SUMIF('TL17'!$C$238:$C$451,$C353,'TL17'!$J$238:$J$451),0),
IF('TL18'!$B$3=M$3,SUMIF('TL18'!$C$10:$C$224,$C353,'TL18'!$J$10:$J$224),0),
IF('TL18'!$B$229=M$3,SUMIF('TL18'!$C$238:$C$451,$C353,'TL18'!$J$238:$J$451),0),
IF('TL19'!$B$3=M$3,SUMIF('TL19'!$C$10:$C$224,$C353,'TL19'!$J$10:$J$224),0),
IF('TL19'!$B$229=M$3,SUMIF('TL19'!$C$238:$C$451,$C353,'TL19'!$J$238:$J$451),0)
),0)</f>
        <v>0</v>
      </c>
      <c r="N353" s="9">
        <f>IFERROR(SUM(
IF('TL01'!$B$3=N$3,SUMIF('TL01'!$C$10:$C$224,$C353,'TL01'!$J$10:$J$224),0),
IF('TL01'!$B$229=N$3,SUMIF('TL01'!$C$238:$C$451,$C353,'TL01'!$J$238:$J$451),0),
IF('TL02'!$B$3=N$3,SUMIF('TL02'!$C$10:$C$224,$C353,'TL02'!$J$10:$J$224),0),
IF('TL02'!$B$229=N$3,SUMIF('TL02'!$C$238:$C$451,$C353,'TL02'!$J$238:$J$451),0),
IF('TL03'!$B$3=N$3,SUMIF('TL03'!$C$10:$C$224,$C353,'TL03'!$J$10:$J$224),0),
IF('TL03'!$B$229=N$3,SUMIF('TL03'!$C$238:$C$451,$C353,'TL03'!$J$238:$J$451),0),
IF('TL04'!$B$3=N$3,SUMIF('TL04'!$C$10:$C$224,$C353,'TL04'!$J$10:$J$224),0),
IF('TL04'!$B$229=N$3,SUMIF('TL04'!$C$238:$C$451,$C353,'TL04'!$J$238:$J$451),0),
IF('TL05'!$B$3=N$3,SUMIF('TL05'!$C$10:$C$224,$C353,'TL05'!$J$10:$J$224),0),
IF('TL05'!$B$229=N$3,SUMIF('TL05'!$C$238:$C$451,$C353,'TL05'!$J$238:$J$451),0),
IF('TL06'!$B$3=N$3,SUMIF('TL06'!$C$10:$C$224,$C353,'TL06'!$J$10:$J$224),0),
IF('TL06'!$B$229=N$3,SUMIF('TL06'!$C$238:$C$451,$C353,'TL06'!$J$238:$J$451),0),
IF('TL07'!$B$3=N$3,SUMIF('TL07'!$C$10:$C$224,$C353,'TL07'!$J$10:$J$224),0),
IF('TL07'!$B$229=N$3,SUMIF('TL07'!$C$238:$C$451,$C353,'TL07'!$J$238:$J$451),0),
IF('TL08'!$B$3=N$3,SUMIF('TL08'!$C$10:$C$224,$C353,'TL08'!$J$10:$J$224),0),
IF('TL08'!$B$229=N$3,SUMIF('TL08'!$C$238:$C$451,$C353,'TL08'!$J$238:$J$451),0),
IF('TL09'!$B$3=N$3,SUMIF('TL09'!$C$10:$C$224,$C353,'TL09'!$J$10:$J$224),0),
IF('TL09'!$B$229=N$3,SUMIF('TL09'!$C$238:$C$451,$C353,'TL09'!$J$238:$J$451),0),
IF('TL10'!$B$3=N$3,SUMIF('TL10'!$C$10:$C$224,$C353,'TL10'!$J$10:$J$224),0),
IF('TL10'!$B$229=N$3,SUMIF('TL10'!$C$238:$C$451,$C353,'TL10'!$J$238:$J$451),0),
IF('TL11'!$B$3=N$3,SUMIF('TL11'!$C$10:$C$224,$C353,'TL11'!$J$10:$J$224),0),
IF('TL11'!$B$229=N$3,SUMIF('TL11'!$C$238:$C$451,$C353,'TL11'!$J$238:$J$451),0),
IF('TL12'!$B$3=N$3,SUMIF('TL12'!$C$10:$C$224,$C353,'TL12'!$J$10:$J$224),0),
IF('TL12'!$B$229=N$3,SUMIF('TL12'!$C$238:$C$451,$C353,'TL12'!$J$238:$J$451),0),
IF('TL13'!$B$3=N$3,SUMIF('TL13'!$C$10:$C$224,$C353,'TL13'!$J$10:$J$224),0),
IF('TL13'!$B$229=N$3,SUMIF('TL13'!$C$238:$C$451,$C353,'TL13'!$J$238:$J$451),0),
IF('TL14'!$B$3=N$3,SUMIF('TL14'!$C$10:$C$224,$C353,'TL14'!$J$10:$J$224),0),
IF('TL14'!$B$229=N$3,SUMIF('TL14'!$C$238:$C$451,$C353,'TL14'!$J$238:$J$451),0),
IF('TL15'!$B$3=N$3,SUMIF('TL15'!$C$10:$C$224,$C353,'TL15'!$J$10:$J$224),0),
IF('TL15'!$B$229=N$3,SUMIF('TL15'!$C$238:$C$451,$C353,'TL15'!$J$238:$J$451),0),
IF('TL16'!$B$3=N$3,SUMIF('TL16'!$C$10:$C$224,$C353,'TL16'!$J$10:$J$224),0),
IF('TL16'!$B$229=N$3,SUMIF('TL16'!$C$238:$C$451,$C353,'TL16'!$J$238:$J$451),0),
IF('TL17'!$B$3=N$3,SUMIF('TL17'!$C$10:$C$224,$C353,'TL17'!$J$10:$J$224),0),
IF('TL17'!$B$229=N$3,SUMIF('TL17'!$C$238:$C$451,$C353,'TL17'!$J$238:$J$451),0),
IF('TL18'!$B$3=N$3,SUMIF('TL18'!$C$10:$C$224,$C353,'TL18'!$J$10:$J$224),0),
IF('TL18'!$B$229=N$3,SUMIF('TL18'!$C$238:$C$451,$C353,'TL18'!$J$238:$J$451),0),
IF('TL19'!$B$3=N$3,SUMIF('TL19'!$C$10:$C$224,$C353,'TL19'!$J$10:$J$224),0),
IF('TL19'!$B$229=N$3,SUMIF('TL19'!$C$238:$C$451,$C353,'TL19'!$J$238:$J$451),0)
),0)</f>
        <v>0</v>
      </c>
      <c r="O353" s="9">
        <f>IFERROR(SUM(
IF('TL01'!$B$3=O$3,SUMIF('TL01'!$C$10:$C$224,$C353,'TL01'!$J$10:$J$224),0),
IF('TL01'!$B$229=O$3,SUMIF('TL01'!$C$238:$C$451,$C353,'TL01'!$J$238:$J$451),0),
IF('TL02'!$B$3=O$3,SUMIF('TL02'!$C$10:$C$224,$C353,'TL02'!$J$10:$J$224),0),
IF('TL02'!$B$229=O$3,SUMIF('TL02'!$C$238:$C$451,$C353,'TL02'!$J$238:$J$451),0),
IF('TL03'!$B$3=O$3,SUMIF('TL03'!$C$10:$C$224,$C353,'TL03'!$J$10:$J$224),0),
IF('TL03'!$B$229=O$3,SUMIF('TL03'!$C$238:$C$451,$C353,'TL03'!$J$238:$J$451),0),
IF('TL04'!$B$3=O$3,SUMIF('TL04'!$C$10:$C$224,$C353,'TL04'!$J$10:$J$224),0),
IF('TL04'!$B$229=O$3,SUMIF('TL04'!$C$238:$C$451,$C353,'TL04'!$J$238:$J$451),0),
IF('TL05'!$B$3=O$3,SUMIF('TL05'!$C$10:$C$224,$C353,'TL05'!$J$10:$J$224),0),
IF('TL05'!$B$229=O$3,SUMIF('TL05'!$C$238:$C$451,$C353,'TL05'!$J$238:$J$451),0),
IF('TL06'!$B$3=O$3,SUMIF('TL06'!$C$10:$C$224,$C353,'TL06'!$J$10:$J$224),0),
IF('TL06'!$B$229=O$3,SUMIF('TL06'!$C$238:$C$451,$C353,'TL06'!$J$238:$J$451),0),
IF('TL07'!$B$3=O$3,SUMIF('TL07'!$C$10:$C$224,$C353,'TL07'!$J$10:$J$224),0),
IF('TL07'!$B$229=O$3,SUMIF('TL07'!$C$238:$C$451,$C353,'TL07'!$J$238:$J$451),0),
IF('TL08'!$B$3=O$3,SUMIF('TL08'!$C$10:$C$224,$C353,'TL08'!$J$10:$J$224),0),
IF('TL08'!$B$229=O$3,SUMIF('TL08'!$C$238:$C$451,$C353,'TL08'!$J$238:$J$451),0),
IF('TL09'!$B$3=O$3,SUMIF('TL09'!$C$10:$C$224,$C353,'TL09'!$J$10:$J$224),0),
IF('TL09'!$B$229=O$3,SUMIF('TL09'!$C$238:$C$451,$C353,'TL09'!$J$238:$J$451),0),
IF('TL10'!$B$3=O$3,SUMIF('TL10'!$C$10:$C$224,$C353,'TL10'!$J$10:$J$224),0),
IF('TL10'!$B$229=O$3,SUMIF('TL10'!$C$238:$C$451,$C353,'TL10'!$J$238:$J$451),0),
IF('TL11'!$B$3=O$3,SUMIF('TL11'!$C$10:$C$224,$C353,'TL11'!$J$10:$J$224),0),
IF('TL11'!$B$229=O$3,SUMIF('TL11'!$C$238:$C$451,$C353,'TL11'!$J$238:$J$451),0),
IF('TL12'!$B$3=O$3,SUMIF('TL12'!$C$10:$C$224,$C353,'TL12'!$J$10:$J$224),0),
IF('TL12'!$B$229=O$3,SUMIF('TL12'!$C$238:$C$451,$C353,'TL12'!$J$238:$J$451),0),
IF('TL13'!$B$3=O$3,SUMIF('TL13'!$C$10:$C$224,$C353,'TL13'!$J$10:$J$224),0),
IF('TL13'!$B$229=O$3,SUMIF('TL13'!$C$238:$C$451,$C353,'TL13'!$J$238:$J$451),0),
IF('TL14'!$B$3=O$3,SUMIF('TL14'!$C$10:$C$224,$C353,'TL14'!$J$10:$J$224),0),
IF('TL14'!$B$229=O$3,SUMIF('TL14'!$C$238:$C$451,$C353,'TL14'!$J$238:$J$451),0),
IF('TL15'!$B$3=O$3,SUMIF('TL15'!$C$10:$C$224,$C353,'TL15'!$J$10:$J$224),0),
IF('TL15'!$B$229=O$3,SUMIF('TL15'!$C$238:$C$451,$C353,'TL15'!$J$238:$J$451),0),
IF('TL16'!$B$3=O$3,SUMIF('TL16'!$C$10:$C$224,$C353,'TL16'!$J$10:$J$224),0),
IF('TL16'!$B$229=O$3,SUMIF('TL16'!$C$238:$C$451,$C353,'TL16'!$J$238:$J$451),0),
IF('TL17'!$B$3=O$3,SUMIF('TL17'!$C$10:$C$224,$C353,'TL17'!$J$10:$J$224),0),
IF('TL17'!$B$229=O$3,SUMIF('TL17'!$C$238:$C$451,$C353,'TL17'!$J$238:$J$451),0),
IF('TL18'!$B$3=O$3,SUMIF('TL18'!$C$10:$C$224,$C353,'TL18'!$J$10:$J$224),0),
IF('TL18'!$B$229=O$3,SUMIF('TL18'!$C$238:$C$451,$C353,'TL18'!$J$238:$J$451),0),
IF('TL19'!$B$3=O$3,SUMIF('TL19'!$C$10:$C$224,$C353,'TL19'!$J$10:$J$224),0),
IF('TL19'!$B$229=O$3,SUMIF('TL19'!$C$238:$C$451,$C353,'TL19'!$J$238:$J$451),0)
),0)</f>
        <v>0</v>
      </c>
      <c r="P353" s="9">
        <f>IFERROR(SUM(
IF('TL01'!$B$3=P$3,SUMIF('TL01'!$C$10:$C$224,$C353,'TL01'!$J$10:$J$224),0),
IF('TL01'!$B$229=P$3,SUMIF('TL01'!$C$238:$C$451,$C353,'TL01'!$J$238:$J$451),0),
IF('TL02'!$B$3=P$3,SUMIF('TL02'!$C$10:$C$224,$C353,'TL02'!$J$10:$J$224),0),
IF('TL02'!$B$229=P$3,SUMIF('TL02'!$C$238:$C$451,$C353,'TL02'!$J$238:$J$451),0),
IF('TL03'!$B$3=P$3,SUMIF('TL03'!$C$10:$C$224,$C353,'TL03'!$J$10:$J$224),0),
IF('TL03'!$B$229=P$3,SUMIF('TL03'!$C$238:$C$451,$C353,'TL03'!$J$238:$J$451),0),
IF('TL04'!$B$3=P$3,SUMIF('TL04'!$C$10:$C$224,$C353,'TL04'!$J$10:$J$224),0),
IF('TL04'!$B$229=P$3,SUMIF('TL04'!$C$238:$C$451,$C353,'TL04'!$J$238:$J$451),0),
IF('TL05'!$B$3=P$3,SUMIF('TL05'!$C$10:$C$224,$C353,'TL05'!$J$10:$J$224),0),
IF('TL05'!$B$229=P$3,SUMIF('TL05'!$C$238:$C$451,$C353,'TL05'!$J$238:$J$451),0),
IF('TL06'!$B$3=P$3,SUMIF('TL06'!$C$10:$C$224,$C353,'TL06'!$J$10:$J$224),0),
IF('TL06'!$B$229=P$3,SUMIF('TL06'!$C$238:$C$451,$C353,'TL06'!$J$238:$J$451),0),
IF('TL07'!$B$3=P$3,SUMIF('TL07'!$C$10:$C$224,$C353,'TL07'!$J$10:$J$224),0),
IF('TL07'!$B$229=P$3,SUMIF('TL07'!$C$238:$C$451,$C353,'TL07'!$J$238:$J$451),0),
IF('TL08'!$B$3=P$3,SUMIF('TL08'!$C$10:$C$224,$C353,'TL08'!$J$10:$J$224),0),
IF('TL08'!$B$229=P$3,SUMIF('TL08'!$C$238:$C$451,$C353,'TL08'!$J$238:$J$451),0),
IF('TL09'!$B$3=P$3,SUMIF('TL09'!$C$10:$C$224,$C353,'TL09'!$J$10:$J$224),0),
IF('TL09'!$B$229=P$3,SUMIF('TL09'!$C$238:$C$451,$C353,'TL09'!$J$238:$J$451),0),
IF('TL10'!$B$3=P$3,SUMIF('TL10'!$C$10:$C$224,$C353,'TL10'!$J$10:$J$224),0),
IF('TL10'!$B$229=P$3,SUMIF('TL10'!$C$238:$C$451,$C353,'TL10'!$J$238:$J$451),0),
IF('TL11'!$B$3=P$3,SUMIF('TL11'!$C$10:$C$224,$C353,'TL11'!$J$10:$J$224),0),
IF('TL11'!$B$229=P$3,SUMIF('TL11'!$C$238:$C$451,$C353,'TL11'!$J$238:$J$451),0),
IF('TL12'!$B$3=P$3,SUMIF('TL12'!$C$10:$C$224,$C353,'TL12'!$J$10:$J$224),0),
IF('TL12'!$B$229=P$3,SUMIF('TL12'!$C$238:$C$451,$C353,'TL12'!$J$238:$J$451),0),
IF('TL13'!$B$3=P$3,SUMIF('TL13'!$C$10:$C$224,$C353,'TL13'!$J$10:$J$224),0),
IF('TL13'!$B$229=P$3,SUMIF('TL13'!$C$238:$C$451,$C353,'TL13'!$J$238:$J$451),0),
IF('TL14'!$B$3=P$3,SUMIF('TL14'!$C$10:$C$224,$C353,'TL14'!$J$10:$J$224),0),
IF('TL14'!$B$229=P$3,SUMIF('TL14'!$C$238:$C$451,$C353,'TL14'!$J$238:$J$451),0),
IF('TL15'!$B$3=P$3,SUMIF('TL15'!$C$10:$C$224,$C353,'TL15'!$J$10:$J$224),0),
IF('TL15'!$B$229=P$3,SUMIF('TL15'!$C$238:$C$451,$C353,'TL15'!$J$238:$J$451),0),
IF('TL16'!$B$3=P$3,SUMIF('TL16'!$C$10:$C$224,$C353,'TL16'!$J$10:$J$224),0),
IF('TL16'!$B$229=P$3,SUMIF('TL16'!$C$238:$C$451,$C353,'TL16'!$J$238:$J$451),0),
IF('TL17'!$B$3=P$3,SUMIF('TL17'!$C$10:$C$224,$C353,'TL17'!$J$10:$J$224),0),
IF('TL17'!$B$229=P$3,SUMIF('TL17'!$C$238:$C$451,$C353,'TL17'!$J$238:$J$451),0),
IF('TL18'!$B$3=P$3,SUMIF('TL18'!$C$10:$C$224,$C353,'TL18'!$J$10:$J$224),0),
IF('TL18'!$B$229=P$3,SUMIF('TL18'!$C$238:$C$451,$C353,'TL18'!$J$238:$J$451),0),
IF('TL19'!$B$3=P$3,SUMIF('TL19'!$C$10:$C$224,$C353,'TL19'!$J$10:$J$224),0),
IF('TL19'!$B$229=P$3,SUMIF('TL19'!$C$238:$C$451,$C353,'TL19'!$J$238:$J$451),0)
),0)</f>
        <v>0</v>
      </c>
      <c r="Q353" s="9">
        <f>IFERROR(SUM(
IF('TL01'!$B$3=Q$3,SUMIF('TL01'!$C$10:$C$224,$C353,'TL01'!$J$10:$J$224),0),
IF('TL01'!$B$229=Q$3,SUMIF('TL01'!$C$238:$C$451,$C353,'TL01'!$J$238:$J$451),0),
IF('TL02'!$B$3=Q$3,SUMIF('TL02'!$C$10:$C$224,$C353,'TL02'!$J$10:$J$224),0),
IF('TL02'!$B$229=Q$3,SUMIF('TL02'!$C$238:$C$451,$C353,'TL02'!$J$238:$J$451),0),
IF('TL03'!$B$3=Q$3,SUMIF('TL03'!$C$10:$C$224,$C353,'TL03'!$J$10:$J$224),0),
IF('TL03'!$B$229=Q$3,SUMIF('TL03'!$C$238:$C$451,$C353,'TL03'!$J$238:$J$451),0),
IF('TL04'!$B$3=Q$3,SUMIF('TL04'!$C$10:$C$224,$C353,'TL04'!$J$10:$J$224),0),
IF('TL04'!$B$229=Q$3,SUMIF('TL04'!$C$238:$C$451,$C353,'TL04'!$J$238:$J$451),0),
IF('TL05'!$B$3=Q$3,SUMIF('TL05'!$C$10:$C$224,$C353,'TL05'!$J$10:$J$224),0),
IF('TL05'!$B$229=Q$3,SUMIF('TL05'!$C$238:$C$451,$C353,'TL05'!$J$238:$J$451),0),
IF('TL06'!$B$3=Q$3,SUMIF('TL06'!$C$10:$C$224,$C353,'TL06'!$J$10:$J$224),0),
IF('TL06'!$B$229=Q$3,SUMIF('TL06'!$C$238:$C$451,$C353,'TL06'!$J$238:$J$451),0),
IF('TL07'!$B$3=Q$3,SUMIF('TL07'!$C$10:$C$224,$C353,'TL07'!$J$10:$J$224),0),
IF('TL07'!$B$229=Q$3,SUMIF('TL07'!$C$238:$C$451,$C353,'TL07'!$J$238:$J$451),0),
IF('TL08'!$B$3=Q$3,SUMIF('TL08'!$C$10:$C$224,$C353,'TL08'!$J$10:$J$224),0),
IF('TL08'!$B$229=Q$3,SUMIF('TL08'!$C$238:$C$451,$C353,'TL08'!$J$238:$J$451),0),
IF('TL09'!$B$3=Q$3,SUMIF('TL09'!$C$10:$C$224,$C353,'TL09'!$J$10:$J$224),0),
IF('TL09'!$B$229=Q$3,SUMIF('TL09'!$C$238:$C$451,$C353,'TL09'!$J$238:$J$451),0),
IF('TL10'!$B$3=Q$3,SUMIF('TL10'!$C$10:$C$224,$C353,'TL10'!$J$10:$J$224),0),
IF('TL10'!$B$229=Q$3,SUMIF('TL10'!$C$238:$C$451,$C353,'TL10'!$J$238:$J$451),0),
IF('TL11'!$B$3=Q$3,SUMIF('TL11'!$C$10:$C$224,$C353,'TL11'!$J$10:$J$224),0),
IF('TL11'!$B$229=Q$3,SUMIF('TL11'!$C$238:$C$451,$C353,'TL11'!$J$238:$J$451),0),
IF('TL12'!$B$3=Q$3,SUMIF('TL12'!$C$10:$C$224,$C353,'TL12'!$J$10:$J$224),0),
IF('TL12'!$B$229=Q$3,SUMIF('TL12'!$C$238:$C$451,$C353,'TL12'!$J$238:$J$451),0),
IF('TL13'!$B$3=Q$3,SUMIF('TL13'!$C$10:$C$224,$C353,'TL13'!$J$10:$J$224),0),
IF('TL13'!$B$229=Q$3,SUMIF('TL13'!$C$238:$C$451,$C353,'TL13'!$J$238:$J$451),0),
IF('TL14'!$B$3=Q$3,SUMIF('TL14'!$C$10:$C$224,$C353,'TL14'!$J$10:$J$224),0),
IF('TL14'!$B$229=Q$3,SUMIF('TL14'!$C$238:$C$451,$C353,'TL14'!$J$238:$J$451),0),
IF('TL15'!$B$3=Q$3,SUMIF('TL15'!$C$10:$C$224,$C353,'TL15'!$J$10:$J$224),0),
IF('TL15'!$B$229=Q$3,SUMIF('TL15'!$C$238:$C$451,$C353,'TL15'!$J$238:$J$451),0),
IF('TL16'!$B$3=Q$3,SUMIF('TL16'!$C$10:$C$224,$C353,'TL16'!$J$10:$J$224),0),
IF('TL16'!$B$229=Q$3,SUMIF('TL16'!$C$238:$C$451,$C353,'TL16'!$J$238:$J$451),0),
IF('TL17'!$B$3=Q$3,SUMIF('TL17'!$C$10:$C$224,$C353,'TL17'!$J$10:$J$224),0),
IF('TL17'!$B$229=Q$3,SUMIF('TL17'!$C$238:$C$451,$C353,'TL17'!$J$238:$J$451),0),
IF('TL18'!$B$3=Q$3,SUMIF('TL18'!$C$10:$C$224,$C353,'TL18'!$J$10:$J$224),0),
IF('TL18'!$B$229=Q$3,SUMIF('TL18'!$C$238:$C$451,$C353,'TL18'!$J$238:$J$451),0),
IF('TL19'!$B$3=Q$3,SUMIF('TL19'!$C$10:$C$224,$C353,'TL19'!$J$10:$J$224),0),
IF('TL19'!$B$229=Q$3,SUMIF('TL19'!$C$238:$C$451,$C353,'TL19'!$J$238:$J$451),0)
),0)</f>
        <v>0</v>
      </c>
      <c r="R353" s="9">
        <f>IFERROR(
SUM(
SUMIF('TL01'!C:C,C353,'TL01'!J:J),
SUMIF('TL02'!C:C,C353,'TL02'!J:J),
SUMIF('TL03'!C:C,C353,'TL03'!J:J),
SUMIF('TL04'!C:C,C353,'TL04'!J:J),
SUMIF('TL05'!C:C,C353,'TL05'!J:J),
SUMIF('TL06'!C:C,C353,'TL06'!J:J),
SUMIF('TL07'!C:C,C353,'TL07'!J:J),
SUMIF('TL08'!C:C,C353,'TL08'!J:J),
SUMIF('TL09'!C:C,C353,'TL09'!J:J),
SUMIF('TL10'!C:C,C353,'TL10'!J:J),
SUMIF('TL11'!C:C,C353,'TL11'!J:J),
SUMIF('TL12'!C:C,C353,'TL12'!J:J),
SUMIF('TL13'!C:C,C353,'TL13'!J:J),
SUMIF('TL14'!C:C,C353,'TL14'!J:J),
SUMIF('TL15'!C:C,C353,'TL15'!J:J),
SUMIF('TL16'!C:C,C353,'TL16'!J:J),
SUMIF('TL17'!C:C,C353,'TL17'!J:J),
SUMIF('TL18'!C:C,C353,'TL18'!J:J),SUMIF('TL19'!C:C,C353,'TL19'!J:J))
,0)</f>
        <v>0</v>
      </c>
      <c r="S353" s="17">
        <f>IFERROR(__xludf.DUMMYFUNCTION("IFERROR(VLOOKUP(C353,
IMPORTRANGE(""1wULbzX32WdYsx-lj2U3uUNBBe2INVIRDtcK0d-Dvl90"",
""26-27!C:G""),
5,
FALSE),
"""")"),91.31)</f>
        <v>91.31</v>
      </c>
      <c r="T353" s="9"/>
      <c r="U353" s="92">
        <f t="shared" si="2"/>
        <v>0</v>
      </c>
      <c r="V353" s="93">
        <f t="shared" si="3"/>
        <v>0</v>
      </c>
    </row>
    <row r="354" ht="15.75" hidden="1" customHeight="1">
      <c r="A354" s="4" t="s">
        <v>1071</v>
      </c>
      <c r="B354" s="4" t="s">
        <v>4</v>
      </c>
      <c r="C354" s="126" t="s">
        <v>1080</v>
      </c>
      <c r="D354" s="127" t="s">
        <v>1081</v>
      </c>
      <c r="E354" s="6"/>
      <c r="F354" s="4"/>
      <c r="G354" s="90" t="str">
        <f t="shared" si="5"/>
        <v>📄 Ver bula</v>
      </c>
      <c r="H354" s="4">
        <v>2.0</v>
      </c>
      <c r="I354" s="121" t="s">
        <v>344</v>
      </c>
      <c r="J354" s="9">
        <f>IFERROR(SUM(
IF('TL01'!$B$3=J$3,SUMIF('TL01'!$C$10:$C$224,$C354,'TL01'!$J$10:$J$224),0),
IF('TL01'!$B$229=J$3,SUMIF('TL01'!$C$238:$C$451,$C354,'TL01'!$J$238:$J$451),0),
IF('TL02'!$B$3=J$3,SUMIF('TL02'!$C$10:$C$224,$C354,'TL02'!$J$10:$J$224),0),
IF('TL02'!$B$229=J$3,SUMIF('TL02'!$C$238:$C$451,$C354,'TL02'!$J$238:$J$451),0),
IF('TL03'!$B$3=J$3,SUMIF('TL03'!$C$10:$C$224,$C354,'TL03'!$J$10:$J$224),0),
IF('TL03'!$B$229=J$3,SUMIF('TL03'!$C$238:$C$451,$C354,'TL03'!$J$238:$J$451),0),
IF('TL04'!$B$3=J$3,SUMIF('TL04'!$C$10:$C$224,$C354,'TL04'!$J$10:$J$224),0),
IF('TL04'!$B$229=J$3,SUMIF('TL04'!$C$238:$C$451,$C354,'TL04'!$J$238:$J$451),0),
IF('TL05'!$B$3=J$3,SUMIF('TL05'!$C$10:$C$224,$C354,'TL05'!$J$10:$J$224),0),
IF('TL05'!$B$229=J$3,SUMIF('TL05'!$C$238:$C$451,$C354,'TL05'!$J$238:$J$451),0),
IF('TL06'!$B$3=J$3,SUMIF('TL06'!$C$10:$C$224,$C354,'TL06'!$J$10:$J$224),0),
IF('TL06'!$B$229=J$3,SUMIF('TL06'!$C$238:$C$451,$C354,'TL06'!$J$238:$J$451),0),
IF('TL07'!$B$3=J$3,SUMIF('TL07'!$C$10:$C$224,$C354,'TL07'!$J$10:$J$224),0),
IF('TL07'!$B$229=J$3,SUMIF('TL07'!$C$238:$C$451,$C354,'TL07'!$J$238:$J$451),0),
IF('TL08'!$B$3=J$3,SUMIF('TL08'!$C$10:$C$224,$C354,'TL08'!$J$10:$J$224),0),
IF('TL08'!$B$229=J$3,SUMIF('TL08'!$C$238:$C$451,$C354,'TL08'!$J$238:$J$451),0),
IF('TL09'!$B$3=J$3,SUMIF('TL09'!$C$10:$C$224,$C354,'TL09'!$J$10:$J$224),0),
IF('TL09'!$B$229=J$3,SUMIF('TL09'!$C$238:$C$451,$C354,'TL09'!$J$238:$J$451),0),
IF('TL10'!$B$3=J$3,SUMIF('TL10'!$C$10:$C$224,$C354,'TL10'!$J$10:$J$224),0),
IF('TL10'!$B$229=J$3,SUMIF('TL10'!$C$238:$C$451,$C354,'TL10'!$J$238:$J$451),0),
IF('TL11'!$B$3=J$3,SUMIF('TL11'!$C$10:$C$224,$C354,'TL11'!$J$10:$J$224),0),
IF('TL11'!$B$229=J$3,SUMIF('TL11'!$C$238:$C$451,$C354,'TL11'!$J$238:$J$451),0),
IF('TL12'!$B$3=J$3,SUMIF('TL12'!$C$10:$C$224,$C354,'TL12'!$J$10:$J$224),0),
IF('TL12'!$B$229=J$3,SUMIF('TL12'!$C$238:$C$451,$C354,'TL12'!$J$238:$J$451),0),
IF('TL13'!$B$3=J$3,SUMIF('TL13'!$C$10:$C$224,$C354,'TL13'!$J$10:$J$224),0),
IF('TL13'!$B$229=J$3,SUMIF('TL13'!$C$238:$C$451,$C354,'TL13'!$J$238:$J$451),0),
IF('TL14'!$B$3=J$3,SUMIF('TL14'!$C$10:$C$224,$C354,'TL14'!$J$10:$J$224),0),
IF('TL14'!$B$229=J$3,SUMIF('TL14'!$C$238:$C$451,$C354,'TL14'!$J$238:$J$451),0),
IF('TL15'!$B$3=J$3,SUMIF('TL15'!$C$10:$C$224,$C354,'TL15'!$J$10:$J$224),0),
IF('TL15'!$B$229=J$3,SUMIF('TL15'!$C$238:$C$451,$C354,'TL15'!$J$238:$J$451),0),
IF('TL16'!$B$3=J$3,SUMIF('TL16'!$C$10:$C$224,$C354,'TL16'!$J$10:$J$224),0),
IF('TL16'!$B$229=J$3,SUMIF('TL16'!$C$238:$C$451,$C354,'TL16'!$J$238:$J$451),0),
IF('TL17'!$B$3=J$3,SUMIF('TL17'!$C$10:$C$224,$C354,'TL17'!$J$10:$J$224),0),
IF('TL17'!$B$229=J$3,SUMIF('TL17'!$C$238:$C$451,$C354,'TL17'!$J$238:$J$451),0),
IF('TL18'!$B$3=J$3,SUMIF('TL18'!$C$10:$C$224,$C354,'TL18'!$J$10:$J$224),0),
IF('TL18'!$B$229=J$3,SUMIF('TL18'!$C$238:$C$451,$C354,'TL18'!$J$238:$J$451),0),
IF('TL19'!$B$3=J$3,SUMIF('TL19'!$C$10:$C$224,$C354,'TL19'!$J$10:$J$224),0),
IF('TL19'!$B$229=J$3,SUMIF('TL19'!$C$238:$C$451,$C354,'TL19'!$J$238:$J$451),0)
),0)</f>
        <v>0</v>
      </c>
      <c r="K354" s="9">
        <f>IFERROR(SUM(
IF('TL01'!$B$3=K$3,SUMIF('TL01'!$C$10:$C$224,$C354,'TL01'!$J$10:$J$224),0),
IF('TL01'!$B$229=K$3,SUMIF('TL01'!$C$238:$C$451,$C354,'TL01'!$J$238:$J$451),0),
IF('TL02'!$B$3=K$3,SUMIF('TL02'!$C$10:$C$224,$C354,'TL02'!$J$10:$J$224),0),
IF('TL02'!$B$229=K$3,SUMIF('TL02'!$C$238:$C$451,$C354,'TL02'!$J$238:$J$451),0),
IF('TL03'!$B$3=K$3,SUMIF('TL03'!$C$10:$C$224,$C354,'TL03'!$J$10:$J$224),0),
IF('TL03'!$B$229=K$3,SUMIF('TL03'!$C$238:$C$451,$C354,'TL03'!$J$238:$J$451),0),
IF('TL04'!$B$3=K$3,SUMIF('TL04'!$C$10:$C$224,$C354,'TL04'!$J$10:$J$224),0),
IF('TL04'!$B$229=K$3,SUMIF('TL04'!$C$238:$C$451,$C354,'TL04'!$J$238:$J$451),0),
IF('TL05'!$B$3=K$3,SUMIF('TL05'!$C$10:$C$224,$C354,'TL05'!$J$10:$J$224),0),
IF('TL05'!$B$229=K$3,SUMIF('TL05'!$C$238:$C$451,$C354,'TL05'!$J$238:$J$451),0),
IF('TL06'!$B$3=K$3,SUMIF('TL06'!$C$10:$C$224,$C354,'TL06'!$J$10:$J$224),0),
IF('TL06'!$B$229=K$3,SUMIF('TL06'!$C$238:$C$451,$C354,'TL06'!$J$238:$J$451),0),
IF('TL07'!$B$3=K$3,SUMIF('TL07'!$C$10:$C$224,$C354,'TL07'!$J$10:$J$224),0),
IF('TL07'!$B$229=K$3,SUMIF('TL07'!$C$238:$C$451,$C354,'TL07'!$J$238:$J$451),0),
IF('TL08'!$B$3=K$3,SUMIF('TL08'!$C$10:$C$224,$C354,'TL08'!$J$10:$J$224),0),
IF('TL08'!$B$229=K$3,SUMIF('TL08'!$C$238:$C$451,$C354,'TL08'!$J$238:$J$451),0),
IF('TL09'!$B$3=K$3,SUMIF('TL09'!$C$10:$C$224,$C354,'TL09'!$J$10:$J$224),0),
IF('TL09'!$B$229=K$3,SUMIF('TL09'!$C$238:$C$451,$C354,'TL09'!$J$238:$J$451),0),
IF('TL10'!$B$3=K$3,SUMIF('TL10'!$C$10:$C$224,$C354,'TL10'!$J$10:$J$224),0),
IF('TL10'!$B$229=K$3,SUMIF('TL10'!$C$238:$C$451,$C354,'TL10'!$J$238:$J$451),0),
IF('TL11'!$B$3=K$3,SUMIF('TL11'!$C$10:$C$224,$C354,'TL11'!$J$10:$J$224),0),
IF('TL11'!$B$229=K$3,SUMIF('TL11'!$C$238:$C$451,$C354,'TL11'!$J$238:$J$451),0),
IF('TL12'!$B$3=K$3,SUMIF('TL12'!$C$10:$C$224,$C354,'TL12'!$J$10:$J$224),0),
IF('TL12'!$B$229=K$3,SUMIF('TL12'!$C$238:$C$451,$C354,'TL12'!$J$238:$J$451),0),
IF('TL13'!$B$3=K$3,SUMIF('TL13'!$C$10:$C$224,$C354,'TL13'!$J$10:$J$224),0),
IF('TL13'!$B$229=K$3,SUMIF('TL13'!$C$238:$C$451,$C354,'TL13'!$J$238:$J$451),0),
IF('TL14'!$B$3=K$3,SUMIF('TL14'!$C$10:$C$224,$C354,'TL14'!$J$10:$J$224),0),
IF('TL14'!$B$229=K$3,SUMIF('TL14'!$C$238:$C$451,$C354,'TL14'!$J$238:$J$451),0),
IF('TL15'!$B$3=K$3,SUMIF('TL15'!$C$10:$C$224,$C354,'TL15'!$J$10:$J$224),0),
IF('TL15'!$B$229=K$3,SUMIF('TL15'!$C$238:$C$451,$C354,'TL15'!$J$238:$J$451),0),
IF('TL16'!$B$3=K$3,SUMIF('TL16'!$C$10:$C$224,$C354,'TL16'!$J$10:$J$224),0),
IF('TL16'!$B$229=K$3,SUMIF('TL16'!$C$238:$C$451,$C354,'TL16'!$J$238:$J$451),0),
IF('TL17'!$B$3=K$3,SUMIF('TL17'!$C$10:$C$224,$C354,'TL17'!$J$10:$J$224),0),
IF('TL17'!$B$229=K$3,SUMIF('TL17'!$C$238:$C$451,$C354,'TL17'!$J$238:$J$451),0),
IF('TL18'!$B$3=K$3,SUMIF('TL18'!$C$10:$C$224,$C354,'TL18'!$J$10:$J$224),0),
IF('TL18'!$B$229=K$3,SUMIF('TL18'!$C$238:$C$451,$C354,'TL18'!$J$238:$J$451),0),
IF('TL19'!$B$3=K$3,SUMIF('TL19'!$C$10:$C$224,$C354,'TL19'!$J$10:$J$224),0),
IF('TL19'!$B$229=K$3,SUMIF('TL19'!$C$238:$C$451,$C354,'TL19'!$J$238:$J$451),0)
),0)</f>
        <v>0</v>
      </c>
      <c r="L354" s="9">
        <f>IFERROR(SUM(
IF('TL01'!$B$3=L$3,SUMIF('TL01'!$C$10:$C$224,$C354,'TL01'!$J$10:$J$224),0),
IF('TL01'!$B$229=L$3,SUMIF('TL01'!$C$238:$C$451,$C354,'TL01'!$J$238:$J$451),0),
IF('TL02'!$B$3=L$3,SUMIF('TL02'!$C$10:$C$224,$C354,'TL02'!$J$10:$J$224),0),
IF('TL02'!$B$229=L$3,SUMIF('TL02'!$C$238:$C$451,$C354,'TL02'!$J$238:$J$451),0),
IF('TL03'!$B$3=L$3,SUMIF('TL03'!$C$10:$C$224,$C354,'TL03'!$J$10:$J$224),0),
IF('TL03'!$B$229=L$3,SUMIF('TL03'!$C$238:$C$451,$C354,'TL03'!$J$238:$J$451),0),
IF('TL04'!$B$3=L$3,SUMIF('TL04'!$C$10:$C$224,$C354,'TL04'!$J$10:$J$224),0),
IF('TL04'!$B$229=L$3,SUMIF('TL04'!$C$238:$C$451,$C354,'TL04'!$J$238:$J$451),0),
IF('TL05'!$B$3=L$3,SUMIF('TL05'!$C$10:$C$224,$C354,'TL05'!$J$10:$J$224),0),
IF('TL05'!$B$229=L$3,SUMIF('TL05'!$C$238:$C$451,$C354,'TL05'!$J$238:$J$451),0),
IF('TL06'!$B$3=L$3,SUMIF('TL06'!$C$10:$C$224,$C354,'TL06'!$J$10:$J$224),0),
IF('TL06'!$B$229=L$3,SUMIF('TL06'!$C$238:$C$451,$C354,'TL06'!$J$238:$J$451),0),
IF('TL07'!$B$3=L$3,SUMIF('TL07'!$C$10:$C$224,$C354,'TL07'!$J$10:$J$224),0),
IF('TL07'!$B$229=L$3,SUMIF('TL07'!$C$238:$C$451,$C354,'TL07'!$J$238:$J$451),0),
IF('TL08'!$B$3=L$3,SUMIF('TL08'!$C$10:$C$224,$C354,'TL08'!$J$10:$J$224),0),
IF('TL08'!$B$229=L$3,SUMIF('TL08'!$C$238:$C$451,$C354,'TL08'!$J$238:$J$451),0),
IF('TL09'!$B$3=L$3,SUMIF('TL09'!$C$10:$C$224,$C354,'TL09'!$J$10:$J$224),0),
IF('TL09'!$B$229=L$3,SUMIF('TL09'!$C$238:$C$451,$C354,'TL09'!$J$238:$J$451),0),
IF('TL10'!$B$3=L$3,SUMIF('TL10'!$C$10:$C$224,$C354,'TL10'!$J$10:$J$224),0),
IF('TL10'!$B$229=L$3,SUMIF('TL10'!$C$238:$C$451,$C354,'TL10'!$J$238:$J$451),0),
IF('TL11'!$B$3=L$3,SUMIF('TL11'!$C$10:$C$224,$C354,'TL11'!$J$10:$J$224),0),
IF('TL11'!$B$229=L$3,SUMIF('TL11'!$C$238:$C$451,$C354,'TL11'!$J$238:$J$451),0),
IF('TL12'!$B$3=L$3,SUMIF('TL12'!$C$10:$C$224,$C354,'TL12'!$J$10:$J$224),0),
IF('TL12'!$B$229=L$3,SUMIF('TL12'!$C$238:$C$451,$C354,'TL12'!$J$238:$J$451),0),
IF('TL13'!$B$3=L$3,SUMIF('TL13'!$C$10:$C$224,$C354,'TL13'!$J$10:$J$224),0),
IF('TL13'!$B$229=L$3,SUMIF('TL13'!$C$238:$C$451,$C354,'TL13'!$J$238:$J$451),0),
IF('TL14'!$B$3=L$3,SUMIF('TL14'!$C$10:$C$224,$C354,'TL14'!$J$10:$J$224),0),
IF('TL14'!$B$229=L$3,SUMIF('TL14'!$C$238:$C$451,$C354,'TL14'!$J$238:$J$451),0),
IF('TL15'!$B$3=L$3,SUMIF('TL15'!$C$10:$C$224,$C354,'TL15'!$J$10:$J$224),0),
IF('TL15'!$B$229=L$3,SUMIF('TL15'!$C$238:$C$451,$C354,'TL15'!$J$238:$J$451),0),
IF('TL16'!$B$3=L$3,SUMIF('TL16'!$C$10:$C$224,$C354,'TL16'!$J$10:$J$224),0),
IF('TL16'!$B$229=L$3,SUMIF('TL16'!$C$238:$C$451,$C354,'TL16'!$J$238:$J$451),0),
IF('TL17'!$B$3=L$3,SUMIF('TL17'!$C$10:$C$224,$C354,'TL17'!$J$10:$J$224),0),
IF('TL17'!$B$229=L$3,SUMIF('TL17'!$C$238:$C$451,$C354,'TL17'!$J$238:$J$451),0),
IF('TL18'!$B$3=L$3,SUMIF('TL18'!$C$10:$C$224,$C354,'TL18'!$J$10:$J$224),0),
IF('TL18'!$B$229=L$3,SUMIF('TL18'!$C$238:$C$451,$C354,'TL18'!$J$238:$J$451),0),
IF('TL19'!$B$3=L$3,SUMIF('TL19'!$C$10:$C$224,$C354,'TL19'!$J$10:$J$224),0),
IF('TL19'!$B$229=L$3,SUMIF('TL19'!$C$238:$C$451,$C354,'TL19'!$J$238:$J$451),0)
),0)</f>
        <v>0</v>
      </c>
      <c r="M354" s="9">
        <f>IFERROR(SUM(
IF('TL01'!$B$3=M$3,SUMIF('TL01'!$C$10:$C$224,$C354,'TL01'!$J$10:$J$224),0),
IF('TL01'!$B$229=M$3,SUMIF('TL01'!$C$238:$C$451,$C354,'TL01'!$J$238:$J$451),0),
IF('TL02'!$B$3=M$3,SUMIF('TL02'!$C$10:$C$224,$C354,'TL02'!$J$10:$J$224),0),
IF('TL02'!$B$229=M$3,SUMIF('TL02'!$C$238:$C$451,$C354,'TL02'!$J$238:$J$451),0),
IF('TL03'!$B$3=M$3,SUMIF('TL03'!$C$10:$C$224,$C354,'TL03'!$J$10:$J$224),0),
IF('TL03'!$B$229=M$3,SUMIF('TL03'!$C$238:$C$451,$C354,'TL03'!$J$238:$J$451),0),
IF('TL04'!$B$3=M$3,SUMIF('TL04'!$C$10:$C$224,$C354,'TL04'!$J$10:$J$224),0),
IF('TL04'!$B$229=M$3,SUMIF('TL04'!$C$238:$C$451,$C354,'TL04'!$J$238:$J$451),0),
IF('TL05'!$B$3=M$3,SUMIF('TL05'!$C$10:$C$224,$C354,'TL05'!$J$10:$J$224),0),
IF('TL05'!$B$229=M$3,SUMIF('TL05'!$C$238:$C$451,$C354,'TL05'!$J$238:$J$451),0),
IF('TL06'!$B$3=M$3,SUMIF('TL06'!$C$10:$C$224,$C354,'TL06'!$J$10:$J$224),0),
IF('TL06'!$B$229=M$3,SUMIF('TL06'!$C$238:$C$451,$C354,'TL06'!$J$238:$J$451),0),
IF('TL07'!$B$3=M$3,SUMIF('TL07'!$C$10:$C$224,$C354,'TL07'!$J$10:$J$224),0),
IF('TL07'!$B$229=M$3,SUMIF('TL07'!$C$238:$C$451,$C354,'TL07'!$J$238:$J$451),0),
IF('TL08'!$B$3=M$3,SUMIF('TL08'!$C$10:$C$224,$C354,'TL08'!$J$10:$J$224),0),
IF('TL08'!$B$229=M$3,SUMIF('TL08'!$C$238:$C$451,$C354,'TL08'!$J$238:$J$451),0),
IF('TL09'!$B$3=M$3,SUMIF('TL09'!$C$10:$C$224,$C354,'TL09'!$J$10:$J$224),0),
IF('TL09'!$B$229=M$3,SUMIF('TL09'!$C$238:$C$451,$C354,'TL09'!$J$238:$J$451),0),
IF('TL10'!$B$3=M$3,SUMIF('TL10'!$C$10:$C$224,$C354,'TL10'!$J$10:$J$224),0),
IF('TL10'!$B$229=M$3,SUMIF('TL10'!$C$238:$C$451,$C354,'TL10'!$J$238:$J$451),0),
IF('TL11'!$B$3=M$3,SUMIF('TL11'!$C$10:$C$224,$C354,'TL11'!$J$10:$J$224),0),
IF('TL11'!$B$229=M$3,SUMIF('TL11'!$C$238:$C$451,$C354,'TL11'!$J$238:$J$451),0),
IF('TL12'!$B$3=M$3,SUMIF('TL12'!$C$10:$C$224,$C354,'TL12'!$J$10:$J$224),0),
IF('TL12'!$B$229=M$3,SUMIF('TL12'!$C$238:$C$451,$C354,'TL12'!$J$238:$J$451),0),
IF('TL13'!$B$3=M$3,SUMIF('TL13'!$C$10:$C$224,$C354,'TL13'!$J$10:$J$224),0),
IF('TL13'!$B$229=M$3,SUMIF('TL13'!$C$238:$C$451,$C354,'TL13'!$J$238:$J$451),0),
IF('TL14'!$B$3=M$3,SUMIF('TL14'!$C$10:$C$224,$C354,'TL14'!$J$10:$J$224),0),
IF('TL14'!$B$229=M$3,SUMIF('TL14'!$C$238:$C$451,$C354,'TL14'!$J$238:$J$451),0),
IF('TL15'!$B$3=M$3,SUMIF('TL15'!$C$10:$C$224,$C354,'TL15'!$J$10:$J$224),0),
IF('TL15'!$B$229=M$3,SUMIF('TL15'!$C$238:$C$451,$C354,'TL15'!$J$238:$J$451),0),
IF('TL16'!$B$3=M$3,SUMIF('TL16'!$C$10:$C$224,$C354,'TL16'!$J$10:$J$224),0),
IF('TL16'!$B$229=M$3,SUMIF('TL16'!$C$238:$C$451,$C354,'TL16'!$J$238:$J$451),0),
IF('TL17'!$B$3=M$3,SUMIF('TL17'!$C$10:$C$224,$C354,'TL17'!$J$10:$J$224),0),
IF('TL17'!$B$229=M$3,SUMIF('TL17'!$C$238:$C$451,$C354,'TL17'!$J$238:$J$451),0),
IF('TL18'!$B$3=M$3,SUMIF('TL18'!$C$10:$C$224,$C354,'TL18'!$J$10:$J$224),0),
IF('TL18'!$B$229=M$3,SUMIF('TL18'!$C$238:$C$451,$C354,'TL18'!$J$238:$J$451),0),
IF('TL19'!$B$3=M$3,SUMIF('TL19'!$C$10:$C$224,$C354,'TL19'!$J$10:$J$224),0),
IF('TL19'!$B$229=M$3,SUMIF('TL19'!$C$238:$C$451,$C354,'TL19'!$J$238:$J$451),0)
),0)</f>
        <v>0</v>
      </c>
      <c r="N354" s="9">
        <f>IFERROR(SUM(
IF('TL01'!$B$3=N$3,SUMIF('TL01'!$C$10:$C$224,$C354,'TL01'!$J$10:$J$224),0),
IF('TL01'!$B$229=N$3,SUMIF('TL01'!$C$238:$C$451,$C354,'TL01'!$J$238:$J$451),0),
IF('TL02'!$B$3=N$3,SUMIF('TL02'!$C$10:$C$224,$C354,'TL02'!$J$10:$J$224),0),
IF('TL02'!$B$229=N$3,SUMIF('TL02'!$C$238:$C$451,$C354,'TL02'!$J$238:$J$451),0),
IF('TL03'!$B$3=N$3,SUMIF('TL03'!$C$10:$C$224,$C354,'TL03'!$J$10:$J$224),0),
IF('TL03'!$B$229=N$3,SUMIF('TL03'!$C$238:$C$451,$C354,'TL03'!$J$238:$J$451),0),
IF('TL04'!$B$3=N$3,SUMIF('TL04'!$C$10:$C$224,$C354,'TL04'!$J$10:$J$224),0),
IF('TL04'!$B$229=N$3,SUMIF('TL04'!$C$238:$C$451,$C354,'TL04'!$J$238:$J$451),0),
IF('TL05'!$B$3=N$3,SUMIF('TL05'!$C$10:$C$224,$C354,'TL05'!$J$10:$J$224),0),
IF('TL05'!$B$229=N$3,SUMIF('TL05'!$C$238:$C$451,$C354,'TL05'!$J$238:$J$451),0),
IF('TL06'!$B$3=N$3,SUMIF('TL06'!$C$10:$C$224,$C354,'TL06'!$J$10:$J$224),0),
IF('TL06'!$B$229=N$3,SUMIF('TL06'!$C$238:$C$451,$C354,'TL06'!$J$238:$J$451),0),
IF('TL07'!$B$3=N$3,SUMIF('TL07'!$C$10:$C$224,$C354,'TL07'!$J$10:$J$224),0),
IF('TL07'!$B$229=N$3,SUMIF('TL07'!$C$238:$C$451,$C354,'TL07'!$J$238:$J$451),0),
IF('TL08'!$B$3=N$3,SUMIF('TL08'!$C$10:$C$224,$C354,'TL08'!$J$10:$J$224),0),
IF('TL08'!$B$229=N$3,SUMIF('TL08'!$C$238:$C$451,$C354,'TL08'!$J$238:$J$451),0),
IF('TL09'!$B$3=N$3,SUMIF('TL09'!$C$10:$C$224,$C354,'TL09'!$J$10:$J$224),0),
IF('TL09'!$B$229=N$3,SUMIF('TL09'!$C$238:$C$451,$C354,'TL09'!$J$238:$J$451),0),
IF('TL10'!$B$3=N$3,SUMIF('TL10'!$C$10:$C$224,$C354,'TL10'!$J$10:$J$224),0),
IF('TL10'!$B$229=N$3,SUMIF('TL10'!$C$238:$C$451,$C354,'TL10'!$J$238:$J$451),0),
IF('TL11'!$B$3=N$3,SUMIF('TL11'!$C$10:$C$224,$C354,'TL11'!$J$10:$J$224),0),
IF('TL11'!$B$229=N$3,SUMIF('TL11'!$C$238:$C$451,$C354,'TL11'!$J$238:$J$451),0),
IF('TL12'!$B$3=N$3,SUMIF('TL12'!$C$10:$C$224,$C354,'TL12'!$J$10:$J$224),0),
IF('TL12'!$B$229=N$3,SUMIF('TL12'!$C$238:$C$451,$C354,'TL12'!$J$238:$J$451),0),
IF('TL13'!$B$3=N$3,SUMIF('TL13'!$C$10:$C$224,$C354,'TL13'!$J$10:$J$224),0),
IF('TL13'!$B$229=N$3,SUMIF('TL13'!$C$238:$C$451,$C354,'TL13'!$J$238:$J$451),0),
IF('TL14'!$B$3=N$3,SUMIF('TL14'!$C$10:$C$224,$C354,'TL14'!$J$10:$J$224),0),
IF('TL14'!$B$229=N$3,SUMIF('TL14'!$C$238:$C$451,$C354,'TL14'!$J$238:$J$451),0),
IF('TL15'!$B$3=N$3,SUMIF('TL15'!$C$10:$C$224,$C354,'TL15'!$J$10:$J$224),0),
IF('TL15'!$B$229=N$3,SUMIF('TL15'!$C$238:$C$451,$C354,'TL15'!$J$238:$J$451),0),
IF('TL16'!$B$3=N$3,SUMIF('TL16'!$C$10:$C$224,$C354,'TL16'!$J$10:$J$224),0),
IF('TL16'!$B$229=N$3,SUMIF('TL16'!$C$238:$C$451,$C354,'TL16'!$J$238:$J$451),0),
IF('TL17'!$B$3=N$3,SUMIF('TL17'!$C$10:$C$224,$C354,'TL17'!$J$10:$J$224),0),
IF('TL17'!$B$229=N$3,SUMIF('TL17'!$C$238:$C$451,$C354,'TL17'!$J$238:$J$451),0),
IF('TL18'!$B$3=N$3,SUMIF('TL18'!$C$10:$C$224,$C354,'TL18'!$J$10:$J$224),0),
IF('TL18'!$B$229=N$3,SUMIF('TL18'!$C$238:$C$451,$C354,'TL18'!$J$238:$J$451),0),
IF('TL19'!$B$3=N$3,SUMIF('TL19'!$C$10:$C$224,$C354,'TL19'!$J$10:$J$224),0),
IF('TL19'!$B$229=N$3,SUMIF('TL19'!$C$238:$C$451,$C354,'TL19'!$J$238:$J$451),0)
),0)</f>
        <v>0</v>
      </c>
      <c r="O354" s="9">
        <f>IFERROR(SUM(
IF('TL01'!$B$3=O$3,SUMIF('TL01'!$C$10:$C$224,$C354,'TL01'!$J$10:$J$224),0),
IF('TL01'!$B$229=O$3,SUMIF('TL01'!$C$238:$C$451,$C354,'TL01'!$J$238:$J$451),0),
IF('TL02'!$B$3=O$3,SUMIF('TL02'!$C$10:$C$224,$C354,'TL02'!$J$10:$J$224),0),
IF('TL02'!$B$229=O$3,SUMIF('TL02'!$C$238:$C$451,$C354,'TL02'!$J$238:$J$451),0),
IF('TL03'!$B$3=O$3,SUMIF('TL03'!$C$10:$C$224,$C354,'TL03'!$J$10:$J$224),0),
IF('TL03'!$B$229=O$3,SUMIF('TL03'!$C$238:$C$451,$C354,'TL03'!$J$238:$J$451),0),
IF('TL04'!$B$3=O$3,SUMIF('TL04'!$C$10:$C$224,$C354,'TL04'!$J$10:$J$224),0),
IF('TL04'!$B$229=O$3,SUMIF('TL04'!$C$238:$C$451,$C354,'TL04'!$J$238:$J$451),0),
IF('TL05'!$B$3=O$3,SUMIF('TL05'!$C$10:$C$224,$C354,'TL05'!$J$10:$J$224),0),
IF('TL05'!$B$229=O$3,SUMIF('TL05'!$C$238:$C$451,$C354,'TL05'!$J$238:$J$451),0),
IF('TL06'!$B$3=O$3,SUMIF('TL06'!$C$10:$C$224,$C354,'TL06'!$J$10:$J$224),0),
IF('TL06'!$B$229=O$3,SUMIF('TL06'!$C$238:$C$451,$C354,'TL06'!$J$238:$J$451),0),
IF('TL07'!$B$3=O$3,SUMIF('TL07'!$C$10:$C$224,$C354,'TL07'!$J$10:$J$224),0),
IF('TL07'!$B$229=O$3,SUMIF('TL07'!$C$238:$C$451,$C354,'TL07'!$J$238:$J$451),0),
IF('TL08'!$B$3=O$3,SUMIF('TL08'!$C$10:$C$224,$C354,'TL08'!$J$10:$J$224),0),
IF('TL08'!$B$229=O$3,SUMIF('TL08'!$C$238:$C$451,$C354,'TL08'!$J$238:$J$451),0),
IF('TL09'!$B$3=O$3,SUMIF('TL09'!$C$10:$C$224,$C354,'TL09'!$J$10:$J$224),0),
IF('TL09'!$B$229=O$3,SUMIF('TL09'!$C$238:$C$451,$C354,'TL09'!$J$238:$J$451),0),
IF('TL10'!$B$3=O$3,SUMIF('TL10'!$C$10:$C$224,$C354,'TL10'!$J$10:$J$224),0),
IF('TL10'!$B$229=O$3,SUMIF('TL10'!$C$238:$C$451,$C354,'TL10'!$J$238:$J$451),0),
IF('TL11'!$B$3=O$3,SUMIF('TL11'!$C$10:$C$224,$C354,'TL11'!$J$10:$J$224),0),
IF('TL11'!$B$229=O$3,SUMIF('TL11'!$C$238:$C$451,$C354,'TL11'!$J$238:$J$451),0),
IF('TL12'!$B$3=O$3,SUMIF('TL12'!$C$10:$C$224,$C354,'TL12'!$J$10:$J$224),0),
IF('TL12'!$B$229=O$3,SUMIF('TL12'!$C$238:$C$451,$C354,'TL12'!$J$238:$J$451),0),
IF('TL13'!$B$3=O$3,SUMIF('TL13'!$C$10:$C$224,$C354,'TL13'!$J$10:$J$224),0),
IF('TL13'!$B$229=O$3,SUMIF('TL13'!$C$238:$C$451,$C354,'TL13'!$J$238:$J$451),0),
IF('TL14'!$B$3=O$3,SUMIF('TL14'!$C$10:$C$224,$C354,'TL14'!$J$10:$J$224),0),
IF('TL14'!$B$229=O$3,SUMIF('TL14'!$C$238:$C$451,$C354,'TL14'!$J$238:$J$451),0),
IF('TL15'!$B$3=O$3,SUMIF('TL15'!$C$10:$C$224,$C354,'TL15'!$J$10:$J$224),0),
IF('TL15'!$B$229=O$3,SUMIF('TL15'!$C$238:$C$451,$C354,'TL15'!$J$238:$J$451),0),
IF('TL16'!$B$3=O$3,SUMIF('TL16'!$C$10:$C$224,$C354,'TL16'!$J$10:$J$224),0),
IF('TL16'!$B$229=O$3,SUMIF('TL16'!$C$238:$C$451,$C354,'TL16'!$J$238:$J$451),0),
IF('TL17'!$B$3=O$3,SUMIF('TL17'!$C$10:$C$224,$C354,'TL17'!$J$10:$J$224),0),
IF('TL17'!$B$229=O$3,SUMIF('TL17'!$C$238:$C$451,$C354,'TL17'!$J$238:$J$451),0),
IF('TL18'!$B$3=O$3,SUMIF('TL18'!$C$10:$C$224,$C354,'TL18'!$J$10:$J$224),0),
IF('TL18'!$B$229=O$3,SUMIF('TL18'!$C$238:$C$451,$C354,'TL18'!$J$238:$J$451),0),
IF('TL19'!$B$3=O$3,SUMIF('TL19'!$C$10:$C$224,$C354,'TL19'!$J$10:$J$224),0),
IF('TL19'!$B$229=O$3,SUMIF('TL19'!$C$238:$C$451,$C354,'TL19'!$J$238:$J$451),0)
),0)</f>
        <v>0</v>
      </c>
      <c r="P354" s="9">
        <f>IFERROR(SUM(
IF('TL01'!$B$3=P$3,SUMIF('TL01'!$C$10:$C$224,$C354,'TL01'!$J$10:$J$224),0),
IF('TL01'!$B$229=P$3,SUMIF('TL01'!$C$238:$C$451,$C354,'TL01'!$J$238:$J$451),0),
IF('TL02'!$B$3=P$3,SUMIF('TL02'!$C$10:$C$224,$C354,'TL02'!$J$10:$J$224),0),
IF('TL02'!$B$229=P$3,SUMIF('TL02'!$C$238:$C$451,$C354,'TL02'!$J$238:$J$451),0),
IF('TL03'!$B$3=P$3,SUMIF('TL03'!$C$10:$C$224,$C354,'TL03'!$J$10:$J$224),0),
IF('TL03'!$B$229=P$3,SUMIF('TL03'!$C$238:$C$451,$C354,'TL03'!$J$238:$J$451),0),
IF('TL04'!$B$3=P$3,SUMIF('TL04'!$C$10:$C$224,$C354,'TL04'!$J$10:$J$224),0),
IF('TL04'!$B$229=P$3,SUMIF('TL04'!$C$238:$C$451,$C354,'TL04'!$J$238:$J$451),0),
IF('TL05'!$B$3=P$3,SUMIF('TL05'!$C$10:$C$224,$C354,'TL05'!$J$10:$J$224),0),
IF('TL05'!$B$229=P$3,SUMIF('TL05'!$C$238:$C$451,$C354,'TL05'!$J$238:$J$451),0),
IF('TL06'!$B$3=P$3,SUMIF('TL06'!$C$10:$C$224,$C354,'TL06'!$J$10:$J$224),0),
IF('TL06'!$B$229=P$3,SUMIF('TL06'!$C$238:$C$451,$C354,'TL06'!$J$238:$J$451),0),
IF('TL07'!$B$3=P$3,SUMIF('TL07'!$C$10:$C$224,$C354,'TL07'!$J$10:$J$224),0),
IF('TL07'!$B$229=P$3,SUMIF('TL07'!$C$238:$C$451,$C354,'TL07'!$J$238:$J$451),0),
IF('TL08'!$B$3=P$3,SUMIF('TL08'!$C$10:$C$224,$C354,'TL08'!$J$10:$J$224),0),
IF('TL08'!$B$229=P$3,SUMIF('TL08'!$C$238:$C$451,$C354,'TL08'!$J$238:$J$451),0),
IF('TL09'!$B$3=P$3,SUMIF('TL09'!$C$10:$C$224,$C354,'TL09'!$J$10:$J$224),0),
IF('TL09'!$B$229=P$3,SUMIF('TL09'!$C$238:$C$451,$C354,'TL09'!$J$238:$J$451),0),
IF('TL10'!$B$3=P$3,SUMIF('TL10'!$C$10:$C$224,$C354,'TL10'!$J$10:$J$224),0),
IF('TL10'!$B$229=P$3,SUMIF('TL10'!$C$238:$C$451,$C354,'TL10'!$J$238:$J$451),0),
IF('TL11'!$B$3=P$3,SUMIF('TL11'!$C$10:$C$224,$C354,'TL11'!$J$10:$J$224),0),
IF('TL11'!$B$229=P$3,SUMIF('TL11'!$C$238:$C$451,$C354,'TL11'!$J$238:$J$451),0),
IF('TL12'!$B$3=P$3,SUMIF('TL12'!$C$10:$C$224,$C354,'TL12'!$J$10:$J$224),0),
IF('TL12'!$B$229=P$3,SUMIF('TL12'!$C$238:$C$451,$C354,'TL12'!$J$238:$J$451),0),
IF('TL13'!$B$3=P$3,SUMIF('TL13'!$C$10:$C$224,$C354,'TL13'!$J$10:$J$224),0),
IF('TL13'!$B$229=P$3,SUMIF('TL13'!$C$238:$C$451,$C354,'TL13'!$J$238:$J$451),0),
IF('TL14'!$B$3=P$3,SUMIF('TL14'!$C$10:$C$224,$C354,'TL14'!$J$10:$J$224),0),
IF('TL14'!$B$229=P$3,SUMIF('TL14'!$C$238:$C$451,$C354,'TL14'!$J$238:$J$451),0),
IF('TL15'!$B$3=P$3,SUMIF('TL15'!$C$10:$C$224,$C354,'TL15'!$J$10:$J$224),0),
IF('TL15'!$B$229=P$3,SUMIF('TL15'!$C$238:$C$451,$C354,'TL15'!$J$238:$J$451),0),
IF('TL16'!$B$3=P$3,SUMIF('TL16'!$C$10:$C$224,$C354,'TL16'!$J$10:$J$224),0),
IF('TL16'!$B$229=P$3,SUMIF('TL16'!$C$238:$C$451,$C354,'TL16'!$J$238:$J$451),0),
IF('TL17'!$B$3=P$3,SUMIF('TL17'!$C$10:$C$224,$C354,'TL17'!$J$10:$J$224),0),
IF('TL17'!$B$229=P$3,SUMIF('TL17'!$C$238:$C$451,$C354,'TL17'!$J$238:$J$451),0),
IF('TL18'!$B$3=P$3,SUMIF('TL18'!$C$10:$C$224,$C354,'TL18'!$J$10:$J$224),0),
IF('TL18'!$B$229=P$3,SUMIF('TL18'!$C$238:$C$451,$C354,'TL18'!$J$238:$J$451),0),
IF('TL19'!$B$3=P$3,SUMIF('TL19'!$C$10:$C$224,$C354,'TL19'!$J$10:$J$224),0),
IF('TL19'!$B$229=P$3,SUMIF('TL19'!$C$238:$C$451,$C354,'TL19'!$J$238:$J$451),0)
),0)</f>
        <v>0</v>
      </c>
      <c r="Q354" s="9">
        <f>IFERROR(SUM(
IF('TL01'!$B$3=Q$3,SUMIF('TL01'!$C$10:$C$224,$C354,'TL01'!$J$10:$J$224),0),
IF('TL01'!$B$229=Q$3,SUMIF('TL01'!$C$238:$C$451,$C354,'TL01'!$J$238:$J$451),0),
IF('TL02'!$B$3=Q$3,SUMIF('TL02'!$C$10:$C$224,$C354,'TL02'!$J$10:$J$224),0),
IF('TL02'!$B$229=Q$3,SUMIF('TL02'!$C$238:$C$451,$C354,'TL02'!$J$238:$J$451),0),
IF('TL03'!$B$3=Q$3,SUMIF('TL03'!$C$10:$C$224,$C354,'TL03'!$J$10:$J$224),0),
IF('TL03'!$B$229=Q$3,SUMIF('TL03'!$C$238:$C$451,$C354,'TL03'!$J$238:$J$451),0),
IF('TL04'!$B$3=Q$3,SUMIF('TL04'!$C$10:$C$224,$C354,'TL04'!$J$10:$J$224),0),
IF('TL04'!$B$229=Q$3,SUMIF('TL04'!$C$238:$C$451,$C354,'TL04'!$J$238:$J$451),0),
IF('TL05'!$B$3=Q$3,SUMIF('TL05'!$C$10:$C$224,$C354,'TL05'!$J$10:$J$224),0),
IF('TL05'!$B$229=Q$3,SUMIF('TL05'!$C$238:$C$451,$C354,'TL05'!$J$238:$J$451),0),
IF('TL06'!$B$3=Q$3,SUMIF('TL06'!$C$10:$C$224,$C354,'TL06'!$J$10:$J$224),0),
IF('TL06'!$B$229=Q$3,SUMIF('TL06'!$C$238:$C$451,$C354,'TL06'!$J$238:$J$451),0),
IF('TL07'!$B$3=Q$3,SUMIF('TL07'!$C$10:$C$224,$C354,'TL07'!$J$10:$J$224),0),
IF('TL07'!$B$229=Q$3,SUMIF('TL07'!$C$238:$C$451,$C354,'TL07'!$J$238:$J$451),0),
IF('TL08'!$B$3=Q$3,SUMIF('TL08'!$C$10:$C$224,$C354,'TL08'!$J$10:$J$224),0),
IF('TL08'!$B$229=Q$3,SUMIF('TL08'!$C$238:$C$451,$C354,'TL08'!$J$238:$J$451),0),
IF('TL09'!$B$3=Q$3,SUMIF('TL09'!$C$10:$C$224,$C354,'TL09'!$J$10:$J$224),0),
IF('TL09'!$B$229=Q$3,SUMIF('TL09'!$C$238:$C$451,$C354,'TL09'!$J$238:$J$451),0),
IF('TL10'!$B$3=Q$3,SUMIF('TL10'!$C$10:$C$224,$C354,'TL10'!$J$10:$J$224),0),
IF('TL10'!$B$229=Q$3,SUMIF('TL10'!$C$238:$C$451,$C354,'TL10'!$J$238:$J$451),0),
IF('TL11'!$B$3=Q$3,SUMIF('TL11'!$C$10:$C$224,$C354,'TL11'!$J$10:$J$224),0),
IF('TL11'!$B$229=Q$3,SUMIF('TL11'!$C$238:$C$451,$C354,'TL11'!$J$238:$J$451),0),
IF('TL12'!$B$3=Q$3,SUMIF('TL12'!$C$10:$C$224,$C354,'TL12'!$J$10:$J$224),0),
IF('TL12'!$B$229=Q$3,SUMIF('TL12'!$C$238:$C$451,$C354,'TL12'!$J$238:$J$451),0),
IF('TL13'!$B$3=Q$3,SUMIF('TL13'!$C$10:$C$224,$C354,'TL13'!$J$10:$J$224),0),
IF('TL13'!$B$229=Q$3,SUMIF('TL13'!$C$238:$C$451,$C354,'TL13'!$J$238:$J$451),0),
IF('TL14'!$B$3=Q$3,SUMIF('TL14'!$C$10:$C$224,$C354,'TL14'!$J$10:$J$224),0),
IF('TL14'!$B$229=Q$3,SUMIF('TL14'!$C$238:$C$451,$C354,'TL14'!$J$238:$J$451),0),
IF('TL15'!$B$3=Q$3,SUMIF('TL15'!$C$10:$C$224,$C354,'TL15'!$J$10:$J$224),0),
IF('TL15'!$B$229=Q$3,SUMIF('TL15'!$C$238:$C$451,$C354,'TL15'!$J$238:$J$451),0),
IF('TL16'!$B$3=Q$3,SUMIF('TL16'!$C$10:$C$224,$C354,'TL16'!$J$10:$J$224),0),
IF('TL16'!$B$229=Q$3,SUMIF('TL16'!$C$238:$C$451,$C354,'TL16'!$J$238:$J$451),0),
IF('TL17'!$B$3=Q$3,SUMIF('TL17'!$C$10:$C$224,$C354,'TL17'!$J$10:$J$224),0),
IF('TL17'!$B$229=Q$3,SUMIF('TL17'!$C$238:$C$451,$C354,'TL17'!$J$238:$J$451),0),
IF('TL18'!$B$3=Q$3,SUMIF('TL18'!$C$10:$C$224,$C354,'TL18'!$J$10:$J$224),0),
IF('TL18'!$B$229=Q$3,SUMIF('TL18'!$C$238:$C$451,$C354,'TL18'!$J$238:$J$451),0),
IF('TL19'!$B$3=Q$3,SUMIF('TL19'!$C$10:$C$224,$C354,'TL19'!$J$10:$J$224),0),
IF('TL19'!$B$229=Q$3,SUMIF('TL19'!$C$238:$C$451,$C354,'TL19'!$J$238:$J$451),0)
),0)</f>
        <v>0</v>
      </c>
      <c r="R354" s="9">
        <f>IFERROR(
SUM(
SUMIF('TL01'!C:C,C354,'TL01'!J:J),
SUMIF('TL02'!C:C,C354,'TL02'!J:J),
SUMIF('TL03'!C:C,C354,'TL03'!J:J),
SUMIF('TL04'!C:C,C354,'TL04'!J:J),
SUMIF('TL05'!C:C,C354,'TL05'!J:J),
SUMIF('TL06'!C:C,C354,'TL06'!J:J),
SUMIF('TL07'!C:C,C354,'TL07'!J:J),
SUMIF('TL08'!C:C,C354,'TL08'!J:J),
SUMIF('TL09'!C:C,C354,'TL09'!J:J),
SUMIF('TL10'!C:C,C354,'TL10'!J:J),
SUMIF('TL11'!C:C,C354,'TL11'!J:J),
SUMIF('TL12'!C:C,C354,'TL12'!J:J),
SUMIF('TL13'!C:C,C354,'TL13'!J:J),
SUMIF('TL14'!C:C,C354,'TL14'!J:J),
SUMIF('TL15'!C:C,C354,'TL15'!J:J),
SUMIF('TL16'!C:C,C354,'TL16'!J:J),
SUMIF('TL17'!C:C,C354,'TL17'!J:J),
SUMIF('TL18'!C:C,C354,'TL18'!J:J),SUMIF('TL19'!C:C,C354,'TL19'!J:J))
,0)</f>
        <v>0</v>
      </c>
      <c r="S354" s="17">
        <f>IFERROR(__xludf.DUMMYFUNCTION("IFERROR(VLOOKUP(C354,
IMPORTRANGE(""1wULbzX32WdYsx-lj2U3uUNBBe2INVIRDtcK0d-Dvl90"",
""26-27!C:G""),
5,
FALSE),
"""")"),166.4)</f>
        <v>166.4</v>
      </c>
      <c r="T354" s="9"/>
      <c r="U354" s="92">
        <f t="shared" si="2"/>
        <v>0</v>
      </c>
      <c r="V354" s="93">
        <f t="shared" si="3"/>
        <v>0</v>
      </c>
    </row>
    <row r="355" ht="15.75" hidden="1" customHeight="1">
      <c r="A355" s="4" t="s">
        <v>1071</v>
      </c>
      <c r="B355" s="4" t="s">
        <v>4</v>
      </c>
      <c r="C355" s="128" t="s">
        <v>1082</v>
      </c>
      <c r="D355" s="129" t="s">
        <v>1083</v>
      </c>
      <c r="E355" s="6"/>
      <c r="F355" s="4" t="s">
        <v>343</v>
      </c>
      <c r="G355" s="90" t="str">
        <f t="shared" si="5"/>
        <v>📄 Ver bula</v>
      </c>
      <c r="H355" s="4">
        <v>2.0</v>
      </c>
      <c r="I355" s="123" t="s">
        <v>361</v>
      </c>
      <c r="J355" s="9">
        <f>IFERROR(SUM(
IF('TL01'!$B$3=J$3,SUMIF('TL01'!$C$10:$C$224,$C355,'TL01'!$J$10:$J$224),0),
IF('TL01'!$B$229=J$3,SUMIF('TL01'!$C$238:$C$451,$C355,'TL01'!$J$238:$J$451),0),
IF('TL02'!$B$3=J$3,SUMIF('TL02'!$C$10:$C$224,$C355,'TL02'!$J$10:$J$224),0),
IF('TL02'!$B$229=J$3,SUMIF('TL02'!$C$238:$C$451,$C355,'TL02'!$J$238:$J$451),0),
IF('TL03'!$B$3=J$3,SUMIF('TL03'!$C$10:$C$224,$C355,'TL03'!$J$10:$J$224),0),
IF('TL03'!$B$229=J$3,SUMIF('TL03'!$C$238:$C$451,$C355,'TL03'!$J$238:$J$451),0),
IF('TL04'!$B$3=J$3,SUMIF('TL04'!$C$10:$C$224,$C355,'TL04'!$J$10:$J$224),0),
IF('TL04'!$B$229=J$3,SUMIF('TL04'!$C$238:$C$451,$C355,'TL04'!$J$238:$J$451),0),
IF('TL05'!$B$3=J$3,SUMIF('TL05'!$C$10:$C$224,$C355,'TL05'!$J$10:$J$224),0),
IF('TL05'!$B$229=J$3,SUMIF('TL05'!$C$238:$C$451,$C355,'TL05'!$J$238:$J$451),0),
IF('TL06'!$B$3=J$3,SUMIF('TL06'!$C$10:$C$224,$C355,'TL06'!$J$10:$J$224),0),
IF('TL06'!$B$229=J$3,SUMIF('TL06'!$C$238:$C$451,$C355,'TL06'!$J$238:$J$451),0),
IF('TL07'!$B$3=J$3,SUMIF('TL07'!$C$10:$C$224,$C355,'TL07'!$J$10:$J$224),0),
IF('TL07'!$B$229=J$3,SUMIF('TL07'!$C$238:$C$451,$C355,'TL07'!$J$238:$J$451),0),
IF('TL08'!$B$3=J$3,SUMIF('TL08'!$C$10:$C$224,$C355,'TL08'!$J$10:$J$224),0),
IF('TL08'!$B$229=J$3,SUMIF('TL08'!$C$238:$C$451,$C355,'TL08'!$J$238:$J$451),0),
IF('TL09'!$B$3=J$3,SUMIF('TL09'!$C$10:$C$224,$C355,'TL09'!$J$10:$J$224),0),
IF('TL09'!$B$229=J$3,SUMIF('TL09'!$C$238:$C$451,$C355,'TL09'!$J$238:$J$451),0),
IF('TL10'!$B$3=J$3,SUMIF('TL10'!$C$10:$C$224,$C355,'TL10'!$J$10:$J$224),0),
IF('TL10'!$B$229=J$3,SUMIF('TL10'!$C$238:$C$451,$C355,'TL10'!$J$238:$J$451),0),
IF('TL11'!$B$3=J$3,SUMIF('TL11'!$C$10:$C$224,$C355,'TL11'!$J$10:$J$224),0),
IF('TL11'!$B$229=J$3,SUMIF('TL11'!$C$238:$C$451,$C355,'TL11'!$J$238:$J$451),0),
IF('TL12'!$B$3=J$3,SUMIF('TL12'!$C$10:$C$224,$C355,'TL12'!$J$10:$J$224),0),
IF('TL12'!$B$229=J$3,SUMIF('TL12'!$C$238:$C$451,$C355,'TL12'!$J$238:$J$451),0),
IF('TL13'!$B$3=J$3,SUMIF('TL13'!$C$10:$C$224,$C355,'TL13'!$J$10:$J$224),0),
IF('TL13'!$B$229=J$3,SUMIF('TL13'!$C$238:$C$451,$C355,'TL13'!$J$238:$J$451),0),
IF('TL14'!$B$3=J$3,SUMIF('TL14'!$C$10:$C$224,$C355,'TL14'!$J$10:$J$224),0),
IF('TL14'!$B$229=J$3,SUMIF('TL14'!$C$238:$C$451,$C355,'TL14'!$J$238:$J$451),0),
IF('TL15'!$B$3=J$3,SUMIF('TL15'!$C$10:$C$224,$C355,'TL15'!$J$10:$J$224),0),
IF('TL15'!$B$229=J$3,SUMIF('TL15'!$C$238:$C$451,$C355,'TL15'!$J$238:$J$451),0),
IF('TL16'!$B$3=J$3,SUMIF('TL16'!$C$10:$C$224,$C355,'TL16'!$J$10:$J$224),0),
IF('TL16'!$B$229=J$3,SUMIF('TL16'!$C$238:$C$451,$C355,'TL16'!$J$238:$J$451),0),
IF('TL17'!$B$3=J$3,SUMIF('TL17'!$C$10:$C$224,$C355,'TL17'!$J$10:$J$224),0),
IF('TL17'!$B$229=J$3,SUMIF('TL17'!$C$238:$C$451,$C355,'TL17'!$J$238:$J$451),0),
IF('TL18'!$B$3=J$3,SUMIF('TL18'!$C$10:$C$224,$C355,'TL18'!$J$10:$J$224),0),
IF('TL18'!$B$229=J$3,SUMIF('TL18'!$C$238:$C$451,$C355,'TL18'!$J$238:$J$451),0),
IF('TL19'!$B$3=J$3,SUMIF('TL19'!$C$10:$C$224,$C355,'TL19'!$J$10:$J$224),0),
IF('TL19'!$B$229=J$3,SUMIF('TL19'!$C$238:$C$451,$C355,'TL19'!$J$238:$J$451),0)
),0)</f>
        <v>0</v>
      </c>
      <c r="K355" s="9">
        <f>IFERROR(SUM(
IF('TL01'!$B$3=K$3,SUMIF('TL01'!$C$10:$C$224,$C355,'TL01'!$J$10:$J$224),0),
IF('TL01'!$B$229=K$3,SUMIF('TL01'!$C$238:$C$451,$C355,'TL01'!$J$238:$J$451),0),
IF('TL02'!$B$3=K$3,SUMIF('TL02'!$C$10:$C$224,$C355,'TL02'!$J$10:$J$224),0),
IF('TL02'!$B$229=K$3,SUMIF('TL02'!$C$238:$C$451,$C355,'TL02'!$J$238:$J$451),0),
IF('TL03'!$B$3=K$3,SUMIF('TL03'!$C$10:$C$224,$C355,'TL03'!$J$10:$J$224),0),
IF('TL03'!$B$229=K$3,SUMIF('TL03'!$C$238:$C$451,$C355,'TL03'!$J$238:$J$451),0),
IF('TL04'!$B$3=K$3,SUMIF('TL04'!$C$10:$C$224,$C355,'TL04'!$J$10:$J$224),0),
IF('TL04'!$B$229=K$3,SUMIF('TL04'!$C$238:$C$451,$C355,'TL04'!$J$238:$J$451),0),
IF('TL05'!$B$3=K$3,SUMIF('TL05'!$C$10:$C$224,$C355,'TL05'!$J$10:$J$224),0),
IF('TL05'!$B$229=K$3,SUMIF('TL05'!$C$238:$C$451,$C355,'TL05'!$J$238:$J$451),0),
IF('TL06'!$B$3=K$3,SUMIF('TL06'!$C$10:$C$224,$C355,'TL06'!$J$10:$J$224),0),
IF('TL06'!$B$229=K$3,SUMIF('TL06'!$C$238:$C$451,$C355,'TL06'!$J$238:$J$451),0),
IF('TL07'!$B$3=K$3,SUMIF('TL07'!$C$10:$C$224,$C355,'TL07'!$J$10:$J$224),0),
IF('TL07'!$B$229=K$3,SUMIF('TL07'!$C$238:$C$451,$C355,'TL07'!$J$238:$J$451),0),
IF('TL08'!$B$3=K$3,SUMIF('TL08'!$C$10:$C$224,$C355,'TL08'!$J$10:$J$224),0),
IF('TL08'!$B$229=K$3,SUMIF('TL08'!$C$238:$C$451,$C355,'TL08'!$J$238:$J$451),0),
IF('TL09'!$B$3=K$3,SUMIF('TL09'!$C$10:$C$224,$C355,'TL09'!$J$10:$J$224),0),
IF('TL09'!$B$229=K$3,SUMIF('TL09'!$C$238:$C$451,$C355,'TL09'!$J$238:$J$451),0),
IF('TL10'!$B$3=K$3,SUMIF('TL10'!$C$10:$C$224,$C355,'TL10'!$J$10:$J$224),0),
IF('TL10'!$B$229=K$3,SUMIF('TL10'!$C$238:$C$451,$C355,'TL10'!$J$238:$J$451),0),
IF('TL11'!$B$3=K$3,SUMIF('TL11'!$C$10:$C$224,$C355,'TL11'!$J$10:$J$224),0),
IF('TL11'!$B$229=K$3,SUMIF('TL11'!$C$238:$C$451,$C355,'TL11'!$J$238:$J$451),0),
IF('TL12'!$B$3=K$3,SUMIF('TL12'!$C$10:$C$224,$C355,'TL12'!$J$10:$J$224),0),
IF('TL12'!$B$229=K$3,SUMIF('TL12'!$C$238:$C$451,$C355,'TL12'!$J$238:$J$451),0),
IF('TL13'!$B$3=K$3,SUMIF('TL13'!$C$10:$C$224,$C355,'TL13'!$J$10:$J$224),0),
IF('TL13'!$B$229=K$3,SUMIF('TL13'!$C$238:$C$451,$C355,'TL13'!$J$238:$J$451),0),
IF('TL14'!$B$3=K$3,SUMIF('TL14'!$C$10:$C$224,$C355,'TL14'!$J$10:$J$224),0),
IF('TL14'!$B$229=K$3,SUMIF('TL14'!$C$238:$C$451,$C355,'TL14'!$J$238:$J$451),0),
IF('TL15'!$B$3=K$3,SUMIF('TL15'!$C$10:$C$224,$C355,'TL15'!$J$10:$J$224),0),
IF('TL15'!$B$229=K$3,SUMIF('TL15'!$C$238:$C$451,$C355,'TL15'!$J$238:$J$451),0),
IF('TL16'!$B$3=K$3,SUMIF('TL16'!$C$10:$C$224,$C355,'TL16'!$J$10:$J$224),0),
IF('TL16'!$B$229=K$3,SUMIF('TL16'!$C$238:$C$451,$C355,'TL16'!$J$238:$J$451),0),
IF('TL17'!$B$3=K$3,SUMIF('TL17'!$C$10:$C$224,$C355,'TL17'!$J$10:$J$224),0),
IF('TL17'!$B$229=K$3,SUMIF('TL17'!$C$238:$C$451,$C355,'TL17'!$J$238:$J$451),0),
IF('TL18'!$B$3=K$3,SUMIF('TL18'!$C$10:$C$224,$C355,'TL18'!$J$10:$J$224),0),
IF('TL18'!$B$229=K$3,SUMIF('TL18'!$C$238:$C$451,$C355,'TL18'!$J$238:$J$451),0),
IF('TL19'!$B$3=K$3,SUMIF('TL19'!$C$10:$C$224,$C355,'TL19'!$J$10:$J$224),0),
IF('TL19'!$B$229=K$3,SUMIF('TL19'!$C$238:$C$451,$C355,'TL19'!$J$238:$J$451),0)
),0)</f>
        <v>0</v>
      </c>
      <c r="L355" s="9">
        <f>IFERROR(SUM(
IF('TL01'!$B$3=L$3,SUMIF('TL01'!$C$10:$C$224,$C355,'TL01'!$J$10:$J$224),0),
IF('TL01'!$B$229=L$3,SUMIF('TL01'!$C$238:$C$451,$C355,'TL01'!$J$238:$J$451),0),
IF('TL02'!$B$3=L$3,SUMIF('TL02'!$C$10:$C$224,$C355,'TL02'!$J$10:$J$224),0),
IF('TL02'!$B$229=L$3,SUMIF('TL02'!$C$238:$C$451,$C355,'TL02'!$J$238:$J$451),0),
IF('TL03'!$B$3=L$3,SUMIF('TL03'!$C$10:$C$224,$C355,'TL03'!$J$10:$J$224),0),
IF('TL03'!$B$229=L$3,SUMIF('TL03'!$C$238:$C$451,$C355,'TL03'!$J$238:$J$451),0),
IF('TL04'!$B$3=L$3,SUMIF('TL04'!$C$10:$C$224,$C355,'TL04'!$J$10:$J$224),0),
IF('TL04'!$B$229=L$3,SUMIF('TL04'!$C$238:$C$451,$C355,'TL04'!$J$238:$J$451),0),
IF('TL05'!$B$3=L$3,SUMIF('TL05'!$C$10:$C$224,$C355,'TL05'!$J$10:$J$224),0),
IF('TL05'!$B$229=L$3,SUMIF('TL05'!$C$238:$C$451,$C355,'TL05'!$J$238:$J$451),0),
IF('TL06'!$B$3=L$3,SUMIF('TL06'!$C$10:$C$224,$C355,'TL06'!$J$10:$J$224),0),
IF('TL06'!$B$229=L$3,SUMIF('TL06'!$C$238:$C$451,$C355,'TL06'!$J$238:$J$451),0),
IF('TL07'!$B$3=L$3,SUMIF('TL07'!$C$10:$C$224,$C355,'TL07'!$J$10:$J$224),0),
IF('TL07'!$B$229=L$3,SUMIF('TL07'!$C$238:$C$451,$C355,'TL07'!$J$238:$J$451),0),
IF('TL08'!$B$3=L$3,SUMIF('TL08'!$C$10:$C$224,$C355,'TL08'!$J$10:$J$224),0),
IF('TL08'!$B$229=L$3,SUMIF('TL08'!$C$238:$C$451,$C355,'TL08'!$J$238:$J$451),0),
IF('TL09'!$B$3=L$3,SUMIF('TL09'!$C$10:$C$224,$C355,'TL09'!$J$10:$J$224),0),
IF('TL09'!$B$229=L$3,SUMIF('TL09'!$C$238:$C$451,$C355,'TL09'!$J$238:$J$451),0),
IF('TL10'!$B$3=L$3,SUMIF('TL10'!$C$10:$C$224,$C355,'TL10'!$J$10:$J$224),0),
IF('TL10'!$B$229=L$3,SUMIF('TL10'!$C$238:$C$451,$C355,'TL10'!$J$238:$J$451),0),
IF('TL11'!$B$3=L$3,SUMIF('TL11'!$C$10:$C$224,$C355,'TL11'!$J$10:$J$224),0),
IF('TL11'!$B$229=L$3,SUMIF('TL11'!$C$238:$C$451,$C355,'TL11'!$J$238:$J$451),0),
IF('TL12'!$B$3=L$3,SUMIF('TL12'!$C$10:$C$224,$C355,'TL12'!$J$10:$J$224),0),
IF('TL12'!$B$229=L$3,SUMIF('TL12'!$C$238:$C$451,$C355,'TL12'!$J$238:$J$451),0),
IF('TL13'!$B$3=L$3,SUMIF('TL13'!$C$10:$C$224,$C355,'TL13'!$J$10:$J$224),0),
IF('TL13'!$B$229=L$3,SUMIF('TL13'!$C$238:$C$451,$C355,'TL13'!$J$238:$J$451),0),
IF('TL14'!$B$3=L$3,SUMIF('TL14'!$C$10:$C$224,$C355,'TL14'!$J$10:$J$224),0),
IF('TL14'!$B$229=L$3,SUMIF('TL14'!$C$238:$C$451,$C355,'TL14'!$J$238:$J$451),0),
IF('TL15'!$B$3=L$3,SUMIF('TL15'!$C$10:$C$224,$C355,'TL15'!$J$10:$J$224),0),
IF('TL15'!$B$229=L$3,SUMIF('TL15'!$C$238:$C$451,$C355,'TL15'!$J$238:$J$451),0),
IF('TL16'!$B$3=L$3,SUMIF('TL16'!$C$10:$C$224,$C355,'TL16'!$J$10:$J$224),0),
IF('TL16'!$B$229=L$3,SUMIF('TL16'!$C$238:$C$451,$C355,'TL16'!$J$238:$J$451),0),
IF('TL17'!$B$3=L$3,SUMIF('TL17'!$C$10:$C$224,$C355,'TL17'!$J$10:$J$224),0),
IF('TL17'!$B$229=L$3,SUMIF('TL17'!$C$238:$C$451,$C355,'TL17'!$J$238:$J$451),0),
IF('TL18'!$B$3=L$3,SUMIF('TL18'!$C$10:$C$224,$C355,'TL18'!$J$10:$J$224),0),
IF('TL18'!$B$229=L$3,SUMIF('TL18'!$C$238:$C$451,$C355,'TL18'!$J$238:$J$451),0),
IF('TL19'!$B$3=L$3,SUMIF('TL19'!$C$10:$C$224,$C355,'TL19'!$J$10:$J$224),0),
IF('TL19'!$B$229=L$3,SUMIF('TL19'!$C$238:$C$451,$C355,'TL19'!$J$238:$J$451),0)
),0)</f>
        <v>0</v>
      </c>
      <c r="M355" s="9">
        <f>IFERROR(SUM(
IF('TL01'!$B$3=M$3,SUMIF('TL01'!$C$10:$C$224,$C355,'TL01'!$J$10:$J$224),0),
IF('TL01'!$B$229=M$3,SUMIF('TL01'!$C$238:$C$451,$C355,'TL01'!$J$238:$J$451),0),
IF('TL02'!$B$3=M$3,SUMIF('TL02'!$C$10:$C$224,$C355,'TL02'!$J$10:$J$224),0),
IF('TL02'!$B$229=M$3,SUMIF('TL02'!$C$238:$C$451,$C355,'TL02'!$J$238:$J$451),0),
IF('TL03'!$B$3=M$3,SUMIF('TL03'!$C$10:$C$224,$C355,'TL03'!$J$10:$J$224),0),
IF('TL03'!$B$229=M$3,SUMIF('TL03'!$C$238:$C$451,$C355,'TL03'!$J$238:$J$451),0),
IF('TL04'!$B$3=M$3,SUMIF('TL04'!$C$10:$C$224,$C355,'TL04'!$J$10:$J$224),0),
IF('TL04'!$B$229=M$3,SUMIF('TL04'!$C$238:$C$451,$C355,'TL04'!$J$238:$J$451),0),
IF('TL05'!$B$3=M$3,SUMIF('TL05'!$C$10:$C$224,$C355,'TL05'!$J$10:$J$224),0),
IF('TL05'!$B$229=M$3,SUMIF('TL05'!$C$238:$C$451,$C355,'TL05'!$J$238:$J$451),0),
IF('TL06'!$B$3=M$3,SUMIF('TL06'!$C$10:$C$224,$C355,'TL06'!$J$10:$J$224),0),
IF('TL06'!$B$229=M$3,SUMIF('TL06'!$C$238:$C$451,$C355,'TL06'!$J$238:$J$451),0),
IF('TL07'!$B$3=M$3,SUMIF('TL07'!$C$10:$C$224,$C355,'TL07'!$J$10:$J$224),0),
IF('TL07'!$B$229=M$3,SUMIF('TL07'!$C$238:$C$451,$C355,'TL07'!$J$238:$J$451),0),
IF('TL08'!$B$3=M$3,SUMIF('TL08'!$C$10:$C$224,$C355,'TL08'!$J$10:$J$224),0),
IF('TL08'!$B$229=M$3,SUMIF('TL08'!$C$238:$C$451,$C355,'TL08'!$J$238:$J$451),0),
IF('TL09'!$B$3=M$3,SUMIF('TL09'!$C$10:$C$224,$C355,'TL09'!$J$10:$J$224),0),
IF('TL09'!$B$229=M$3,SUMIF('TL09'!$C$238:$C$451,$C355,'TL09'!$J$238:$J$451),0),
IF('TL10'!$B$3=M$3,SUMIF('TL10'!$C$10:$C$224,$C355,'TL10'!$J$10:$J$224),0),
IF('TL10'!$B$229=M$3,SUMIF('TL10'!$C$238:$C$451,$C355,'TL10'!$J$238:$J$451),0),
IF('TL11'!$B$3=M$3,SUMIF('TL11'!$C$10:$C$224,$C355,'TL11'!$J$10:$J$224),0),
IF('TL11'!$B$229=M$3,SUMIF('TL11'!$C$238:$C$451,$C355,'TL11'!$J$238:$J$451),0),
IF('TL12'!$B$3=M$3,SUMIF('TL12'!$C$10:$C$224,$C355,'TL12'!$J$10:$J$224),0),
IF('TL12'!$B$229=M$3,SUMIF('TL12'!$C$238:$C$451,$C355,'TL12'!$J$238:$J$451),0),
IF('TL13'!$B$3=M$3,SUMIF('TL13'!$C$10:$C$224,$C355,'TL13'!$J$10:$J$224),0),
IF('TL13'!$B$229=M$3,SUMIF('TL13'!$C$238:$C$451,$C355,'TL13'!$J$238:$J$451),0),
IF('TL14'!$B$3=M$3,SUMIF('TL14'!$C$10:$C$224,$C355,'TL14'!$J$10:$J$224),0),
IF('TL14'!$B$229=M$3,SUMIF('TL14'!$C$238:$C$451,$C355,'TL14'!$J$238:$J$451),0),
IF('TL15'!$B$3=M$3,SUMIF('TL15'!$C$10:$C$224,$C355,'TL15'!$J$10:$J$224),0),
IF('TL15'!$B$229=M$3,SUMIF('TL15'!$C$238:$C$451,$C355,'TL15'!$J$238:$J$451),0),
IF('TL16'!$B$3=M$3,SUMIF('TL16'!$C$10:$C$224,$C355,'TL16'!$J$10:$J$224),0),
IF('TL16'!$B$229=M$3,SUMIF('TL16'!$C$238:$C$451,$C355,'TL16'!$J$238:$J$451),0),
IF('TL17'!$B$3=M$3,SUMIF('TL17'!$C$10:$C$224,$C355,'TL17'!$J$10:$J$224),0),
IF('TL17'!$B$229=M$3,SUMIF('TL17'!$C$238:$C$451,$C355,'TL17'!$J$238:$J$451),0),
IF('TL18'!$B$3=M$3,SUMIF('TL18'!$C$10:$C$224,$C355,'TL18'!$J$10:$J$224),0),
IF('TL18'!$B$229=M$3,SUMIF('TL18'!$C$238:$C$451,$C355,'TL18'!$J$238:$J$451),0),
IF('TL19'!$B$3=M$3,SUMIF('TL19'!$C$10:$C$224,$C355,'TL19'!$J$10:$J$224),0),
IF('TL19'!$B$229=M$3,SUMIF('TL19'!$C$238:$C$451,$C355,'TL19'!$J$238:$J$451),0)
),0)</f>
        <v>0</v>
      </c>
      <c r="N355" s="9">
        <f>IFERROR(SUM(
IF('TL01'!$B$3=N$3,SUMIF('TL01'!$C$10:$C$224,$C355,'TL01'!$J$10:$J$224),0),
IF('TL01'!$B$229=N$3,SUMIF('TL01'!$C$238:$C$451,$C355,'TL01'!$J$238:$J$451),0),
IF('TL02'!$B$3=N$3,SUMIF('TL02'!$C$10:$C$224,$C355,'TL02'!$J$10:$J$224),0),
IF('TL02'!$B$229=N$3,SUMIF('TL02'!$C$238:$C$451,$C355,'TL02'!$J$238:$J$451),0),
IF('TL03'!$B$3=N$3,SUMIF('TL03'!$C$10:$C$224,$C355,'TL03'!$J$10:$J$224),0),
IF('TL03'!$B$229=N$3,SUMIF('TL03'!$C$238:$C$451,$C355,'TL03'!$J$238:$J$451),0),
IF('TL04'!$B$3=N$3,SUMIF('TL04'!$C$10:$C$224,$C355,'TL04'!$J$10:$J$224),0),
IF('TL04'!$B$229=N$3,SUMIF('TL04'!$C$238:$C$451,$C355,'TL04'!$J$238:$J$451),0),
IF('TL05'!$B$3=N$3,SUMIF('TL05'!$C$10:$C$224,$C355,'TL05'!$J$10:$J$224),0),
IF('TL05'!$B$229=N$3,SUMIF('TL05'!$C$238:$C$451,$C355,'TL05'!$J$238:$J$451),0),
IF('TL06'!$B$3=N$3,SUMIF('TL06'!$C$10:$C$224,$C355,'TL06'!$J$10:$J$224),0),
IF('TL06'!$B$229=N$3,SUMIF('TL06'!$C$238:$C$451,$C355,'TL06'!$J$238:$J$451),0),
IF('TL07'!$B$3=N$3,SUMIF('TL07'!$C$10:$C$224,$C355,'TL07'!$J$10:$J$224),0),
IF('TL07'!$B$229=N$3,SUMIF('TL07'!$C$238:$C$451,$C355,'TL07'!$J$238:$J$451),0),
IF('TL08'!$B$3=N$3,SUMIF('TL08'!$C$10:$C$224,$C355,'TL08'!$J$10:$J$224),0),
IF('TL08'!$B$229=N$3,SUMIF('TL08'!$C$238:$C$451,$C355,'TL08'!$J$238:$J$451),0),
IF('TL09'!$B$3=N$3,SUMIF('TL09'!$C$10:$C$224,$C355,'TL09'!$J$10:$J$224),0),
IF('TL09'!$B$229=N$3,SUMIF('TL09'!$C$238:$C$451,$C355,'TL09'!$J$238:$J$451),0),
IF('TL10'!$B$3=N$3,SUMIF('TL10'!$C$10:$C$224,$C355,'TL10'!$J$10:$J$224),0),
IF('TL10'!$B$229=N$3,SUMIF('TL10'!$C$238:$C$451,$C355,'TL10'!$J$238:$J$451),0),
IF('TL11'!$B$3=N$3,SUMIF('TL11'!$C$10:$C$224,$C355,'TL11'!$J$10:$J$224),0),
IF('TL11'!$B$229=N$3,SUMIF('TL11'!$C$238:$C$451,$C355,'TL11'!$J$238:$J$451),0),
IF('TL12'!$B$3=N$3,SUMIF('TL12'!$C$10:$C$224,$C355,'TL12'!$J$10:$J$224),0),
IF('TL12'!$B$229=N$3,SUMIF('TL12'!$C$238:$C$451,$C355,'TL12'!$J$238:$J$451),0),
IF('TL13'!$B$3=N$3,SUMIF('TL13'!$C$10:$C$224,$C355,'TL13'!$J$10:$J$224),0),
IF('TL13'!$B$229=N$3,SUMIF('TL13'!$C$238:$C$451,$C355,'TL13'!$J$238:$J$451),0),
IF('TL14'!$B$3=N$3,SUMIF('TL14'!$C$10:$C$224,$C355,'TL14'!$J$10:$J$224),0),
IF('TL14'!$B$229=N$3,SUMIF('TL14'!$C$238:$C$451,$C355,'TL14'!$J$238:$J$451),0),
IF('TL15'!$B$3=N$3,SUMIF('TL15'!$C$10:$C$224,$C355,'TL15'!$J$10:$J$224),0),
IF('TL15'!$B$229=N$3,SUMIF('TL15'!$C$238:$C$451,$C355,'TL15'!$J$238:$J$451),0),
IF('TL16'!$B$3=N$3,SUMIF('TL16'!$C$10:$C$224,$C355,'TL16'!$J$10:$J$224),0),
IF('TL16'!$B$229=N$3,SUMIF('TL16'!$C$238:$C$451,$C355,'TL16'!$J$238:$J$451),0),
IF('TL17'!$B$3=N$3,SUMIF('TL17'!$C$10:$C$224,$C355,'TL17'!$J$10:$J$224),0),
IF('TL17'!$B$229=N$3,SUMIF('TL17'!$C$238:$C$451,$C355,'TL17'!$J$238:$J$451),0),
IF('TL18'!$B$3=N$3,SUMIF('TL18'!$C$10:$C$224,$C355,'TL18'!$J$10:$J$224),0),
IF('TL18'!$B$229=N$3,SUMIF('TL18'!$C$238:$C$451,$C355,'TL18'!$J$238:$J$451),0),
IF('TL19'!$B$3=N$3,SUMIF('TL19'!$C$10:$C$224,$C355,'TL19'!$J$10:$J$224),0),
IF('TL19'!$B$229=N$3,SUMIF('TL19'!$C$238:$C$451,$C355,'TL19'!$J$238:$J$451),0)
),0)</f>
        <v>0</v>
      </c>
      <c r="O355" s="9">
        <f>IFERROR(SUM(
IF('TL01'!$B$3=O$3,SUMIF('TL01'!$C$10:$C$224,$C355,'TL01'!$J$10:$J$224),0),
IF('TL01'!$B$229=O$3,SUMIF('TL01'!$C$238:$C$451,$C355,'TL01'!$J$238:$J$451),0),
IF('TL02'!$B$3=O$3,SUMIF('TL02'!$C$10:$C$224,$C355,'TL02'!$J$10:$J$224),0),
IF('TL02'!$B$229=O$3,SUMIF('TL02'!$C$238:$C$451,$C355,'TL02'!$J$238:$J$451),0),
IF('TL03'!$B$3=O$3,SUMIF('TL03'!$C$10:$C$224,$C355,'TL03'!$J$10:$J$224),0),
IF('TL03'!$B$229=O$3,SUMIF('TL03'!$C$238:$C$451,$C355,'TL03'!$J$238:$J$451),0),
IF('TL04'!$B$3=O$3,SUMIF('TL04'!$C$10:$C$224,$C355,'TL04'!$J$10:$J$224),0),
IF('TL04'!$B$229=O$3,SUMIF('TL04'!$C$238:$C$451,$C355,'TL04'!$J$238:$J$451),0),
IF('TL05'!$B$3=O$3,SUMIF('TL05'!$C$10:$C$224,$C355,'TL05'!$J$10:$J$224),0),
IF('TL05'!$B$229=O$3,SUMIF('TL05'!$C$238:$C$451,$C355,'TL05'!$J$238:$J$451),0),
IF('TL06'!$B$3=O$3,SUMIF('TL06'!$C$10:$C$224,$C355,'TL06'!$J$10:$J$224),0),
IF('TL06'!$B$229=O$3,SUMIF('TL06'!$C$238:$C$451,$C355,'TL06'!$J$238:$J$451),0),
IF('TL07'!$B$3=O$3,SUMIF('TL07'!$C$10:$C$224,$C355,'TL07'!$J$10:$J$224),0),
IF('TL07'!$B$229=O$3,SUMIF('TL07'!$C$238:$C$451,$C355,'TL07'!$J$238:$J$451),0),
IF('TL08'!$B$3=O$3,SUMIF('TL08'!$C$10:$C$224,$C355,'TL08'!$J$10:$J$224),0),
IF('TL08'!$B$229=O$3,SUMIF('TL08'!$C$238:$C$451,$C355,'TL08'!$J$238:$J$451),0),
IF('TL09'!$B$3=O$3,SUMIF('TL09'!$C$10:$C$224,$C355,'TL09'!$J$10:$J$224),0),
IF('TL09'!$B$229=O$3,SUMIF('TL09'!$C$238:$C$451,$C355,'TL09'!$J$238:$J$451),0),
IF('TL10'!$B$3=O$3,SUMIF('TL10'!$C$10:$C$224,$C355,'TL10'!$J$10:$J$224),0),
IF('TL10'!$B$229=O$3,SUMIF('TL10'!$C$238:$C$451,$C355,'TL10'!$J$238:$J$451),0),
IF('TL11'!$B$3=O$3,SUMIF('TL11'!$C$10:$C$224,$C355,'TL11'!$J$10:$J$224),0),
IF('TL11'!$B$229=O$3,SUMIF('TL11'!$C$238:$C$451,$C355,'TL11'!$J$238:$J$451),0),
IF('TL12'!$B$3=O$3,SUMIF('TL12'!$C$10:$C$224,$C355,'TL12'!$J$10:$J$224),0),
IF('TL12'!$B$229=O$3,SUMIF('TL12'!$C$238:$C$451,$C355,'TL12'!$J$238:$J$451),0),
IF('TL13'!$B$3=O$3,SUMIF('TL13'!$C$10:$C$224,$C355,'TL13'!$J$10:$J$224),0),
IF('TL13'!$B$229=O$3,SUMIF('TL13'!$C$238:$C$451,$C355,'TL13'!$J$238:$J$451),0),
IF('TL14'!$B$3=O$3,SUMIF('TL14'!$C$10:$C$224,$C355,'TL14'!$J$10:$J$224),0),
IF('TL14'!$B$229=O$3,SUMIF('TL14'!$C$238:$C$451,$C355,'TL14'!$J$238:$J$451),0),
IF('TL15'!$B$3=O$3,SUMIF('TL15'!$C$10:$C$224,$C355,'TL15'!$J$10:$J$224),0),
IF('TL15'!$B$229=O$3,SUMIF('TL15'!$C$238:$C$451,$C355,'TL15'!$J$238:$J$451),0),
IF('TL16'!$B$3=O$3,SUMIF('TL16'!$C$10:$C$224,$C355,'TL16'!$J$10:$J$224),0),
IF('TL16'!$B$229=O$3,SUMIF('TL16'!$C$238:$C$451,$C355,'TL16'!$J$238:$J$451),0),
IF('TL17'!$B$3=O$3,SUMIF('TL17'!$C$10:$C$224,$C355,'TL17'!$J$10:$J$224),0),
IF('TL17'!$B$229=O$3,SUMIF('TL17'!$C$238:$C$451,$C355,'TL17'!$J$238:$J$451),0),
IF('TL18'!$B$3=O$3,SUMIF('TL18'!$C$10:$C$224,$C355,'TL18'!$J$10:$J$224),0),
IF('TL18'!$B$229=O$3,SUMIF('TL18'!$C$238:$C$451,$C355,'TL18'!$J$238:$J$451),0),
IF('TL19'!$B$3=O$3,SUMIF('TL19'!$C$10:$C$224,$C355,'TL19'!$J$10:$J$224),0),
IF('TL19'!$B$229=O$3,SUMIF('TL19'!$C$238:$C$451,$C355,'TL19'!$J$238:$J$451),0)
),0)</f>
        <v>0</v>
      </c>
      <c r="P355" s="9">
        <f>IFERROR(SUM(
IF('TL01'!$B$3=P$3,SUMIF('TL01'!$C$10:$C$224,$C355,'TL01'!$J$10:$J$224),0),
IF('TL01'!$B$229=P$3,SUMIF('TL01'!$C$238:$C$451,$C355,'TL01'!$J$238:$J$451),0),
IF('TL02'!$B$3=P$3,SUMIF('TL02'!$C$10:$C$224,$C355,'TL02'!$J$10:$J$224),0),
IF('TL02'!$B$229=P$3,SUMIF('TL02'!$C$238:$C$451,$C355,'TL02'!$J$238:$J$451),0),
IF('TL03'!$B$3=P$3,SUMIF('TL03'!$C$10:$C$224,$C355,'TL03'!$J$10:$J$224),0),
IF('TL03'!$B$229=P$3,SUMIF('TL03'!$C$238:$C$451,$C355,'TL03'!$J$238:$J$451),0),
IF('TL04'!$B$3=P$3,SUMIF('TL04'!$C$10:$C$224,$C355,'TL04'!$J$10:$J$224),0),
IF('TL04'!$B$229=P$3,SUMIF('TL04'!$C$238:$C$451,$C355,'TL04'!$J$238:$J$451),0),
IF('TL05'!$B$3=P$3,SUMIF('TL05'!$C$10:$C$224,$C355,'TL05'!$J$10:$J$224),0),
IF('TL05'!$B$229=P$3,SUMIF('TL05'!$C$238:$C$451,$C355,'TL05'!$J$238:$J$451),0),
IF('TL06'!$B$3=P$3,SUMIF('TL06'!$C$10:$C$224,$C355,'TL06'!$J$10:$J$224),0),
IF('TL06'!$B$229=P$3,SUMIF('TL06'!$C$238:$C$451,$C355,'TL06'!$J$238:$J$451),0),
IF('TL07'!$B$3=P$3,SUMIF('TL07'!$C$10:$C$224,$C355,'TL07'!$J$10:$J$224),0),
IF('TL07'!$B$229=P$3,SUMIF('TL07'!$C$238:$C$451,$C355,'TL07'!$J$238:$J$451),0),
IF('TL08'!$B$3=P$3,SUMIF('TL08'!$C$10:$C$224,$C355,'TL08'!$J$10:$J$224),0),
IF('TL08'!$B$229=P$3,SUMIF('TL08'!$C$238:$C$451,$C355,'TL08'!$J$238:$J$451),0),
IF('TL09'!$B$3=P$3,SUMIF('TL09'!$C$10:$C$224,$C355,'TL09'!$J$10:$J$224),0),
IF('TL09'!$B$229=P$3,SUMIF('TL09'!$C$238:$C$451,$C355,'TL09'!$J$238:$J$451),0),
IF('TL10'!$B$3=P$3,SUMIF('TL10'!$C$10:$C$224,$C355,'TL10'!$J$10:$J$224),0),
IF('TL10'!$B$229=P$3,SUMIF('TL10'!$C$238:$C$451,$C355,'TL10'!$J$238:$J$451),0),
IF('TL11'!$B$3=P$3,SUMIF('TL11'!$C$10:$C$224,$C355,'TL11'!$J$10:$J$224),0),
IF('TL11'!$B$229=P$3,SUMIF('TL11'!$C$238:$C$451,$C355,'TL11'!$J$238:$J$451),0),
IF('TL12'!$B$3=P$3,SUMIF('TL12'!$C$10:$C$224,$C355,'TL12'!$J$10:$J$224),0),
IF('TL12'!$B$229=P$3,SUMIF('TL12'!$C$238:$C$451,$C355,'TL12'!$J$238:$J$451),0),
IF('TL13'!$B$3=P$3,SUMIF('TL13'!$C$10:$C$224,$C355,'TL13'!$J$10:$J$224),0),
IF('TL13'!$B$229=P$3,SUMIF('TL13'!$C$238:$C$451,$C355,'TL13'!$J$238:$J$451),0),
IF('TL14'!$B$3=P$3,SUMIF('TL14'!$C$10:$C$224,$C355,'TL14'!$J$10:$J$224),0),
IF('TL14'!$B$229=P$3,SUMIF('TL14'!$C$238:$C$451,$C355,'TL14'!$J$238:$J$451),0),
IF('TL15'!$B$3=P$3,SUMIF('TL15'!$C$10:$C$224,$C355,'TL15'!$J$10:$J$224),0),
IF('TL15'!$B$229=P$3,SUMIF('TL15'!$C$238:$C$451,$C355,'TL15'!$J$238:$J$451),0),
IF('TL16'!$B$3=P$3,SUMIF('TL16'!$C$10:$C$224,$C355,'TL16'!$J$10:$J$224),0),
IF('TL16'!$B$229=P$3,SUMIF('TL16'!$C$238:$C$451,$C355,'TL16'!$J$238:$J$451),0),
IF('TL17'!$B$3=P$3,SUMIF('TL17'!$C$10:$C$224,$C355,'TL17'!$J$10:$J$224),0),
IF('TL17'!$B$229=P$3,SUMIF('TL17'!$C$238:$C$451,$C355,'TL17'!$J$238:$J$451),0),
IF('TL18'!$B$3=P$3,SUMIF('TL18'!$C$10:$C$224,$C355,'TL18'!$J$10:$J$224),0),
IF('TL18'!$B$229=P$3,SUMIF('TL18'!$C$238:$C$451,$C355,'TL18'!$J$238:$J$451),0),
IF('TL19'!$B$3=P$3,SUMIF('TL19'!$C$10:$C$224,$C355,'TL19'!$J$10:$J$224),0),
IF('TL19'!$B$229=P$3,SUMIF('TL19'!$C$238:$C$451,$C355,'TL19'!$J$238:$J$451),0)
),0)</f>
        <v>0</v>
      </c>
      <c r="Q355" s="9">
        <f>IFERROR(SUM(
IF('TL01'!$B$3=Q$3,SUMIF('TL01'!$C$10:$C$224,$C355,'TL01'!$J$10:$J$224),0),
IF('TL01'!$B$229=Q$3,SUMIF('TL01'!$C$238:$C$451,$C355,'TL01'!$J$238:$J$451),0),
IF('TL02'!$B$3=Q$3,SUMIF('TL02'!$C$10:$C$224,$C355,'TL02'!$J$10:$J$224),0),
IF('TL02'!$B$229=Q$3,SUMIF('TL02'!$C$238:$C$451,$C355,'TL02'!$J$238:$J$451),0),
IF('TL03'!$B$3=Q$3,SUMIF('TL03'!$C$10:$C$224,$C355,'TL03'!$J$10:$J$224),0),
IF('TL03'!$B$229=Q$3,SUMIF('TL03'!$C$238:$C$451,$C355,'TL03'!$J$238:$J$451),0),
IF('TL04'!$B$3=Q$3,SUMIF('TL04'!$C$10:$C$224,$C355,'TL04'!$J$10:$J$224),0),
IF('TL04'!$B$229=Q$3,SUMIF('TL04'!$C$238:$C$451,$C355,'TL04'!$J$238:$J$451),0),
IF('TL05'!$B$3=Q$3,SUMIF('TL05'!$C$10:$C$224,$C355,'TL05'!$J$10:$J$224),0),
IF('TL05'!$B$229=Q$3,SUMIF('TL05'!$C$238:$C$451,$C355,'TL05'!$J$238:$J$451),0),
IF('TL06'!$B$3=Q$3,SUMIF('TL06'!$C$10:$C$224,$C355,'TL06'!$J$10:$J$224),0),
IF('TL06'!$B$229=Q$3,SUMIF('TL06'!$C$238:$C$451,$C355,'TL06'!$J$238:$J$451),0),
IF('TL07'!$B$3=Q$3,SUMIF('TL07'!$C$10:$C$224,$C355,'TL07'!$J$10:$J$224),0),
IF('TL07'!$B$229=Q$3,SUMIF('TL07'!$C$238:$C$451,$C355,'TL07'!$J$238:$J$451),0),
IF('TL08'!$B$3=Q$3,SUMIF('TL08'!$C$10:$C$224,$C355,'TL08'!$J$10:$J$224),0),
IF('TL08'!$B$229=Q$3,SUMIF('TL08'!$C$238:$C$451,$C355,'TL08'!$J$238:$J$451),0),
IF('TL09'!$B$3=Q$3,SUMIF('TL09'!$C$10:$C$224,$C355,'TL09'!$J$10:$J$224),0),
IF('TL09'!$B$229=Q$3,SUMIF('TL09'!$C$238:$C$451,$C355,'TL09'!$J$238:$J$451),0),
IF('TL10'!$B$3=Q$3,SUMIF('TL10'!$C$10:$C$224,$C355,'TL10'!$J$10:$J$224),0),
IF('TL10'!$B$229=Q$3,SUMIF('TL10'!$C$238:$C$451,$C355,'TL10'!$J$238:$J$451),0),
IF('TL11'!$B$3=Q$3,SUMIF('TL11'!$C$10:$C$224,$C355,'TL11'!$J$10:$J$224),0),
IF('TL11'!$B$229=Q$3,SUMIF('TL11'!$C$238:$C$451,$C355,'TL11'!$J$238:$J$451),0),
IF('TL12'!$B$3=Q$3,SUMIF('TL12'!$C$10:$C$224,$C355,'TL12'!$J$10:$J$224),0),
IF('TL12'!$B$229=Q$3,SUMIF('TL12'!$C$238:$C$451,$C355,'TL12'!$J$238:$J$451),0),
IF('TL13'!$B$3=Q$3,SUMIF('TL13'!$C$10:$C$224,$C355,'TL13'!$J$10:$J$224),0),
IF('TL13'!$B$229=Q$3,SUMIF('TL13'!$C$238:$C$451,$C355,'TL13'!$J$238:$J$451),0),
IF('TL14'!$B$3=Q$3,SUMIF('TL14'!$C$10:$C$224,$C355,'TL14'!$J$10:$J$224),0),
IF('TL14'!$B$229=Q$3,SUMIF('TL14'!$C$238:$C$451,$C355,'TL14'!$J$238:$J$451),0),
IF('TL15'!$B$3=Q$3,SUMIF('TL15'!$C$10:$C$224,$C355,'TL15'!$J$10:$J$224),0),
IF('TL15'!$B$229=Q$3,SUMIF('TL15'!$C$238:$C$451,$C355,'TL15'!$J$238:$J$451),0),
IF('TL16'!$B$3=Q$3,SUMIF('TL16'!$C$10:$C$224,$C355,'TL16'!$J$10:$J$224),0),
IF('TL16'!$B$229=Q$3,SUMIF('TL16'!$C$238:$C$451,$C355,'TL16'!$J$238:$J$451),0),
IF('TL17'!$B$3=Q$3,SUMIF('TL17'!$C$10:$C$224,$C355,'TL17'!$J$10:$J$224),0),
IF('TL17'!$B$229=Q$3,SUMIF('TL17'!$C$238:$C$451,$C355,'TL17'!$J$238:$J$451),0),
IF('TL18'!$B$3=Q$3,SUMIF('TL18'!$C$10:$C$224,$C355,'TL18'!$J$10:$J$224),0),
IF('TL18'!$B$229=Q$3,SUMIF('TL18'!$C$238:$C$451,$C355,'TL18'!$J$238:$J$451),0),
IF('TL19'!$B$3=Q$3,SUMIF('TL19'!$C$10:$C$224,$C355,'TL19'!$J$10:$J$224),0),
IF('TL19'!$B$229=Q$3,SUMIF('TL19'!$C$238:$C$451,$C355,'TL19'!$J$238:$J$451),0)
),0)</f>
        <v>0</v>
      </c>
      <c r="R355" s="9">
        <f>IFERROR(
SUM(
SUMIF('TL01'!C:C,C355,'TL01'!J:J),
SUMIF('TL02'!C:C,C355,'TL02'!J:J),
SUMIF('TL03'!C:C,C355,'TL03'!J:J),
SUMIF('TL04'!C:C,C355,'TL04'!J:J),
SUMIF('TL05'!C:C,C355,'TL05'!J:J),
SUMIF('TL06'!C:C,C355,'TL06'!J:J),
SUMIF('TL07'!C:C,C355,'TL07'!J:J),
SUMIF('TL08'!C:C,C355,'TL08'!J:J),
SUMIF('TL09'!C:C,C355,'TL09'!J:J),
SUMIF('TL10'!C:C,C355,'TL10'!J:J),
SUMIF('TL11'!C:C,C355,'TL11'!J:J),
SUMIF('TL12'!C:C,C355,'TL12'!J:J),
SUMIF('TL13'!C:C,C355,'TL13'!J:J),
SUMIF('TL14'!C:C,C355,'TL14'!J:J),
SUMIF('TL15'!C:C,C355,'TL15'!J:J),
SUMIF('TL16'!C:C,C355,'TL16'!J:J),
SUMIF('TL17'!C:C,C355,'TL17'!J:J),
SUMIF('TL18'!C:C,C355,'TL18'!J:J),SUMIF('TL19'!C:C,C355,'TL19'!J:J))
,0)</f>
        <v>0</v>
      </c>
      <c r="S355" s="17">
        <f>IFERROR(__xludf.DUMMYFUNCTION("IFERROR(VLOOKUP(C355,
IMPORTRANGE(""1wULbzX32WdYsx-lj2U3uUNBBe2INVIRDtcK0d-Dvl90"",
""26-27!C:G""),
5,
FALSE),
"""")"),72.8)</f>
        <v>72.8</v>
      </c>
      <c r="T355" s="9"/>
      <c r="U355" s="92">
        <f t="shared" si="2"/>
        <v>0</v>
      </c>
      <c r="V355" s="93">
        <f t="shared" si="3"/>
        <v>0</v>
      </c>
    </row>
    <row r="356" ht="15.75" hidden="1" customHeight="1">
      <c r="A356" s="4" t="s">
        <v>1071</v>
      </c>
      <c r="B356" s="4" t="s">
        <v>4</v>
      </c>
      <c r="C356" s="126" t="s">
        <v>1084</v>
      </c>
      <c r="D356" s="127" t="s">
        <v>1085</v>
      </c>
      <c r="E356" s="6"/>
      <c r="F356" s="4" t="s">
        <v>343</v>
      </c>
      <c r="G356" s="90" t="str">
        <f t="shared" si="5"/>
        <v>📄 Ver bula</v>
      </c>
      <c r="H356" s="4">
        <v>2.0</v>
      </c>
      <c r="I356" s="121" t="s">
        <v>344</v>
      </c>
      <c r="J356" s="9">
        <f>IFERROR(SUM(
IF('TL01'!$B$3=J$3,SUMIF('TL01'!$C$10:$C$224,$C356,'TL01'!$J$10:$J$224),0),
IF('TL01'!$B$229=J$3,SUMIF('TL01'!$C$238:$C$451,$C356,'TL01'!$J$238:$J$451),0),
IF('TL02'!$B$3=J$3,SUMIF('TL02'!$C$10:$C$224,$C356,'TL02'!$J$10:$J$224),0),
IF('TL02'!$B$229=J$3,SUMIF('TL02'!$C$238:$C$451,$C356,'TL02'!$J$238:$J$451),0),
IF('TL03'!$B$3=J$3,SUMIF('TL03'!$C$10:$C$224,$C356,'TL03'!$J$10:$J$224),0),
IF('TL03'!$B$229=J$3,SUMIF('TL03'!$C$238:$C$451,$C356,'TL03'!$J$238:$J$451),0),
IF('TL04'!$B$3=J$3,SUMIF('TL04'!$C$10:$C$224,$C356,'TL04'!$J$10:$J$224),0),
IF('TL04'!$B$229=J$3,SUMIF('TL04'!$C$238:$C$451,$C356,'TL04'!$J$238:$J$451),0),
IF('TL05'!$B$3=J$3,SUMIF('TL05'!$C$10:$C$224,$C356,'TL05'!$J$10:$J$224),0),
IF('TL05'!$B$229=J$3,SUMIF('TL05'!$C$238:$C$451,$C356,'TL05'!$J$238:$J$451),0),
IF('TL06'!$B$3=J$3,SUMIF('TL06'!$C$10:$C$224,$C356,'TL06'!$J$10:$J$224),0),
IF('TL06'!$B$229=J$3,SUMIF('TL06'!$C$238:$C$451,$C356,'TL06'!$J$238:$J$451),0),
IF('TL07'!$B$3=J$3,SUMIF('TL07'!$C$10:$C$224,$C356,'TL07'!$J$10:$J$224),0),
IF('TL07'!$B$229=J$3,SUMIF('TL07'!$C$238:$C$451,$C356,'TL07'!$J$238:$J$451),0),
IF('TL08'!$B$3=J$3,SUMIF('TL08'!$C$10:$C$224,$C356,'TL08'!$J$10:$J$224),0),
IF('TL08'!$B$229=J$3,SUMIF('TL08'!$C$238:$C$451,$C356,'TL08'!$J$238:$J$451),0),
IF('TL09'!$B$3=J$3,SUMIF('TL09'!$C$10:$C$224,$C356,'TL09'!$J$10:$J$224),0),
IF('TL09'!$B$229=J$3,SUMIF('TL09'!$C$238:$C$451,$C356,'TL09'!$J$238:$J$451),0),
IF('TL10'!$B$3=J$3,SUMIF('TL10'!$C$10:$C$224,$C356,'TL10'!$J$10:$J$224),0),
IF('TL10'!$B$229=J$3,SUMIF('TL10'!$C$238:$C$451,$C356,'TL10'!$J$238:$J$451),0),
IF('TL11'!$B$3=J$3,SUMIF('TL11'!$C$10:$C$224,$C356,'TL11'!$J$10:$J$224),0),
IF('TL11'!$B$229=J$3,SUMIF('TL11'!$C$238:$C$451,$C356,'TL11'!$J$238:$J$451),0),
IF('TL12'!$B$3=J$3,SUMIF('TL12'!$C$10:$C$224,$C356,'TL12'!$J$10:$J$224),0),
IF('TL12'!$B$229=J$3,SUMIF('TL12'!$C$238:$C$451,$C356,'TL12'!$J$238:$J$451),0),
IF('TL13'!$B$3=J$3,SUMIF('TL13'!$C$10:$C$224,$C356,'TL13'!$J$10:$J$224),0),
IF('TL13'!$B$229=J$3,SUMIF('TL13'!$C$238:$C$451,$C356,'TL13'!$J$238:$J$451),0),
IF('TL14'!$B$3=J$3,SUMIF('TL14'!$C$10:$C$224,$C356,'TL14'!$J$10:$J$224),0),
IF('TL14'!$B$229=J$3,SUMIF('TL14'!$C$238:$C$451,$C356,'TL14'!$J$238:$J$451),0),
IF('TL15'!$B$3=J$3,SUMIF('TL15'!$C$10:$C$224,$C356,'TL15'!$J$10:$J$224),0),
IF('TL15'!$B$229=J$3,SUMIF('TL15'!$C$238:$C$451,$C356,'TL15'!$J$238:$J$451),0),
IF('TL16'!$B$3=J$3,SUMIF('TL16'!$C$10:$C$224,$C356,'TL16'!$J$10:$J$224),0),
IF('TL16'!$B$229=J$3,SUMIF('TL16'!$C$238:$C$451,$C356,'TL16'!$J$238:$J$451),0),
IF('TL17'!$B$3=J$3,SUMIF('TL17'!$C$10:$C$224,$C356,'TL17'!$J$10:$J$224),0),
IF('TL17'!$B$229=J$3,SUMIF('TL17'!$C$238:$C$451,$C356,'TL17'!$J$238:$J$451),0),
IF('TL18'!$B$3=J$3,SUMIF('TL18'!$C$10:$C$224,$C356,'TL18'!$J$10:$J$224),0),
IF('TL18'!$B$229=J$3,SUMIF('TL18'!$C$238:$C$451,$C356,'TL18'!$J$238:$J$451),0),
IF('TL19'!$B$3=J$3,SUMIF('TL19'!$C$10:$C$224,$C356,'TL19'!$J$10:$J$224),0),
IF('TL19'!$B$229=J$3,SUMIF('TL19'!$C$238:$C$451,$C356,'TL19'!$J$238:$J$451),0)
),0)</f>
        <v>0</v>
      </c>
      <c r="K356" s="9">
        <f>IFERROR(SUM(
IF('TL01'!$B$3=K$3,SUMIF('TL01'!$C$10:$C$224,$C356,'TL01'!$J$10:$J$224),0),
IF('TL01'!$B$229=K$3,SUMIF('TL01'!$C$238:$C$451,$C356,'TL01'!$J$238:$J$451),0),
IF('TL02'!$B$3=K$3,SUMIF('TL02'!$C$10:$C$224,$C356,'TL02'!$J$10:$J$224),0),
IF('TL02'!$B$229=K$3,SUMIF('TL02'!$C$238:$C$451,$C356,'TL02'!$J$238:$J$451),0),
IF('TL03'!$B$3=K$3,SUMIF('TL03'!$C$10:$C$224,$C356,'TL03'!$J$10:$J$224),0),
IF('TL03'!$B$229=K$3,SUMIF('TL03'!$C$238:$C$451,$C356,'TL03'!$J$238:$J$451),0),
IF('TL04'!$B$3=K$3,SUMIF('TL04'!$C$10:$C$224,$C356,'TL04'!$J$10:$J$224),0),
IF('TL04'!$B$229=K$3,SUMIF('TL04'!$C$238:$C$451,$C356,'TL04'!$J$238:$J$451),0),
IF('TL05'!$B$3=K$3,SUMIF('TL05'!$C$10:$C$224,$C356,'TL05'!$J$10:$J$224),0),
IF('TL05'!$B$229=K$3,SUMIF('TL05'!$C$238:$C$451,$C356,'TL05'!$J$238:$J$451),0),
IF('TL06'!$B$3=K$3,SUMIF('TL06'!$C$10:$C$224,$C356,'TL06'!$J$10:$J$224),0),
IF('TL06'!$B$229=K$3,SUMIF('TL06'!$C$238:$C$451,$C356,'TL06'!$J$238:$J$451),0),
IF('TL07'!$B$3=K$3,SUMIF('TL07'!$C$10:$C$224,$C356,'TL07'!$J$10:$J$224),0),
IF('TL07'!$B$229=K$3,SUMIF('TL07'!$C$238:$C$451,$C356,'TL07'!$J$238:$J$451),0),
IF('TL08'!$B$3=K$3,SUMIF('TL08'!$C$10:$C$224,$C356,'TL08'!$J$10:$J$224),0),
IF('TL08'!$B$229=K$3,SUMIF('TL08'!$C$238:$C$451,$C356,'TL08'!$J$238:$J$451),0),
IF('TL09'!$B$3=K$3,SUMIF('TL09'!$C$10:$C$224,$C356,'TL09'!$J$10:$J$224),0),
IF('TL09'!$B$229=K$3,SUMIF('TL09'!$C$238:$C$451,$C356,'TL09'!$J$238:$J$451),0),
IF('TL10'!$B$3=K$3,SUMIF('TL10'!$C$10:$C$224,$C356,'TL10'!$J$10:$J$224),0),
IF('TL10'!$B$229=K$3,SUMIF('TL10'!$C$238:$C$451,$C356,'TL10'!$J$238:$J$451),0),
IF('TL11'!$B$3=K$3,SUMIF('TL11'!$C$10:$C$224,$C356,'TL11'!$J$10:$J$224),0),
IF('TL11'!$B$229=K$3,SUMIF('TL11'!$C$238:$C$451,$C356,'TL11'!$J$238:$J$451),0),
IF('TL12'!$B$3=K$3,SUMIF('TL12'!$C$10:$C$224,$C356,'TL12'!$J$10:$J$224),0),
IF('TL12'!$B$229=K$3,SUMIF('TL12'!$C$238:$C$451,$C356,'TL12'!$J$238:$J$451),0),
IF('TL13'!$B$3=K$3,SUMIF('TL13'!$C$10:$C$224,$C356,'TL13'!$J$10:$J$224),0),
IF('TL13'!$B$229=K$3,SUMIF('TL13'!$C$238:$C$451,$C356,'TL13'!$J$238:$J$451),0),
IF('TL14'!$B$3=K$3,SUMIF('TL14'!$C$10:$C$224,$C356,'TL14'!$J$10:$J$224),0),
IF('TL14'!$B$229=K$3,SUMIF('TL14'!$C$238:$C$451,$C356,'TL14'!$J$238:$J$451),0),
IF('TL15'!$B$3=K$3,SUMIF('TL15'!$C$10:$C$224,$C356,'TL15'!$J$10:$J$224),0),
IF('TL15'!$B$229=K$3,SUMIF('TL15'!$C$238:$C$451,$C356,'TL15'!$J$238:$J$451),0),
IF('TL16'!$B$3=K$3,SUMIF('TL16'!$C$10:$C$224,$C356,'TL16'!$J$10:$J$224),0),
IF('TL16'!$B$229=K$3,SUMIF('TL16'!$C$238:$C$451,$C356,'TL16'!$J$238:$J$451),0),
IF('TL17'!$B$3=K$3,SUMIF('TL17'!$C$10:$C$224,$C356,'TL17'!$J$10:$J$224),0),
IF('TL17'!$B$229=K$3,SUMIF('TL17'!$C$238:$C$451,$C356,'TL17'!$J$238:$J$451),0),
IF('TL18'!$B$3=K$3,SUMIF('TL18'!$C$10:$C$224,$C356,'TL18'!$J$10:$J$224),0),
IF('TL18'!$B$229=K$3,SUMIF('TL18'!$C$238:$C$451,$C356,'TL18'!$J$238:$J$451),0),
IF('TL19'!$B$3=K$3,SUMIF('TL19'!$C$10:$C$224,$C356,'TL19'!$J$10:$J$224),0),
IF('TL19'!$B$229=K$3,SUMIF('TL19'!$C$238:$C$451,$C356,'TL19'!$J$238:$J$451),0)
),0)</f>
        <v>0</v>
      </c>
      <c r="L356" s="9">
        <f>IFERROR(SUM(
IF('TL01'!$B$3=L$3,SUMIF('TL01'!$C$10:$C$224,$C356,'TL01'!$J$10:$J$224),0),
IF('TL01'!$B$229=L$3,SUMIF('TL01'!$C$238:$C$451,$C356,'TL01'!$J$238:$J$451),0),
IF('TL02'!$B$3=L$3,SUMIF('TL02'!$C$10:$C$224,$C356,'TL02'!$J$10:$J$224),0),
IF('TL02'!$B$229=L$3,SUMIF('TL02'!$C$238:$C$451,$C356,'TL02'!$J$238:$J$451),0),
IF('TL03'!$B$3=L$3,SUMIF('TL03'!$C$10:$C$224,$C356,'TL03'!$J$10:$J$224),0),
IF('TL03'!$B$229=L$3,SUMIF('TL03'!$C$238:$C$451,$C356,'TL03'!$J$238:$J$451),0),
IF('TL04'!$B$3=L$3,SUMIF('TL04'!$C$10:$C$224,$C356,'TL04'!$J$10:$J$224),0),
IF('TL04'!$B$229=L$3,SUMIF('TL04'!$C$238:$C$451,$C356,'TL04'!$J$238:$J$451),0),
IF('TL05'!$B$3=L$3,SUMIF('TL05'!$C$10:$C$224,$C356,'TL05'!$J$10:$J$224),0),
IF('TL05'!$B$229=L$3,SUMIF('TL05'!$C$238:$C$451,$C356,'TL05'!$J$238:$J$451),0),
IF('TL06'!$B$3=L$3,SUMIF('TL06'!$C$10:$C$224,$C356,'TL06'!$J$10:$J$224),0),
IF('TL06'!$B$229=L$3,SUMIF('TL06'!$C$238:$C$451,$C356,'TL06'!$J$238:$J$451),0),
IF('TL07'!$B$3=L$3,SUMIF('TL07'!$C$10:$C$224,$C356,'TL07'!$J$10:$J$224),0),
IF('TL07'!$B$229=L$3,SUMIF('TL07'!$C$238:$C$451,$C356,'TL07'!$J$238:$J$451),0),
IF('TL08'!$B$3=L$3,SUMIF('TL08'!$C$10:$C$224,$C356,'TL08'!$J$10:$J$224),0),
IF('TL08'!$B$229=L$3,SUMIF('TL08'!$C$238:$C$451,$C356,'TL08'!$J$238:$J$451),0),
IF('TL09'!$B$3=L$3,SUMIF('TL09'!$C$10:$C$224,$C356,'TL09'!$J$10:$J$224),0),
IF('TL09'!$B$229=L$3,SUMIF('TL09'!$C$238:$C$451,$C356,'TL09'!$J$238:$J$451),0),
IF('TL10'!$B$3=L$3,SUMIF('TL10'!$C$10:$C$224,$C356,'TL10'!$J$10:$J$224),0),
IF('TL10'!$B$229=L$3,SUMIF('TL10'!$C$238:$C$451,$C356,'TL10'!$J$238:$J$451),0),
IF('TL11'!$B$3=L$3,SUMIF('TL11'!$C$10:$C$224,$C356,'TL11'!$J$10:$J$224),0),
IF('TL11'!$B$229=L$3,SUMIF('TL11'!$C$238:$C$451,$C356,'TL11'!$J$238:$J$451),0),
IF('TL12'!$B$3=L$3,SUMIF('TL12'!$C$10:$C$224,$C356,'TL12'!$J$10:$J$224),0),
IF('TL12'!$B$229=L$3,SUMIF('TL12'!$C$238:$C$451,$C356,'TL12'!$J$238:$J$451),0),
IF('TL13'!$B$3=L$3,SUMIF('TL13'!$C$10:$C$224,$C356,'TL13'!$J$10:$J$224),0),
IF('TL13'!$B$229=L$3,SUMIF('TL13'!$C$238:$C$451,$C356,'TL13'!$J$238:$J$451),0),
IF('TL14'!$B$3=L$3,SUMIF('TL14'!$C$10:$C$224,$C356,'TL14'!$J$10:$J$224),0),
IF('TL14'!$B$229=L$3,SUMIF('TL14'!$C$238:$C$451,$C356,'TL14'!$J$238:$J$451),0),
IF('TL15'!$B$3=L$3,SUMIF('TL15'!$C$10:$C$224,$C356,'TL15'!$J$10:$J$224),0),
IF('TL15'!$B$229=L$3,SUMIF('TL15'!$C$238:$C$451,$C356,'TL15'!$J$238:$J$451),0),
IF('TL16'!$B$3=L$3,SUMIF('TL16'!$C$10:$C$224,$C356,'TL16'!$J$10:$J$224),0),
IF('TL16'!$B$229=L$3,SUMIF('TL16'!$C$238:$C$451,$C356,'TL16'!$J$238:$J$451),0),
IF('TL17'!$B$3=L$3,SUMIF('TL17'!$C$10:$C$224,$C356,'TL17'!$J$10:$J$224),0),
IF('TL17'!$B$229=L$3,SUMIF('TL17'!$C$238:$C$451,$C356,'TL17'!$J$238:$J$451),0),
IF('TL18'!$B$3=L$3,SUMIF('TL18'!$C$10:$C$224,$C356,'TL18'!$J$10:$J$224),0),
IF('TL18'!$B$229=L$3,SUMIF('TL18'!$C$238:$C$451,$C356,'TL18'!$J$238:$J$451),0),
IF('TL19'!$B$3=L$3,SUMIF('TL19'!$C$10:$C$224,$C356,'TL19'!$J$10:$J$224),0),
IF('TL19'!$B$229=L$3,SUMIF('TL19'!$C$238:$C$451,$C356,'TL19'!$J$238:$J$451),0)
),0)</f>
        <v>0</v>
      </c>
      <c r="M356" s="9">
        <f>IFERROR(SUM(
IF('TL01'!$B$3=M$3,SUMIF('TL01'!$C$10:$C$224,$C356,'TL01'!$J$10:$J$224),0),
IF('TL01'!$B$229=M$3,SUMIF('TL01'!$C$238:$C$451,$C356,'TL01'!$J$238:$J$451),0),
IF('TL02'!$B$3=M$3,SUMIF('TL02'!$C$10:$C$224,$C356,'TL02'!$J$10:$J$224),0),
IF('TL02'!$B$229=M$3,SUMIF('TL02'!$C$238:$C$451,$C356,'TL02'!$J$238:$J$451),0),
IF('TL03'!$B$3=M$3,SUMIF('TL03'!$C$10:$C$224,$C356,'TL03'!$J$10:$J$224),0),
IF('TL03'!$B$229=M$3,SUMIF('TL03'!$C$238:$C$451,$C356,'TL03'!$J$238:$J$451),0),
IF('TL04'!$B$3=M$3,SUMIF('TL04'!$C$10:$C$224,$C356,'TL04'!$J$10:$J$224),0),
IF('TL04'!$B$229=M$3,SUMIF('TL04'!$C$238:$C$451,$C356,'TL04'!$J$238:$J$451),0),
IF('TL05'!$B$3=M$3,SUMIF('TL05'!$C$10:$C$224,$C356,'TL05'!$J$10:$J$224),0),
IF('TL05'!$B$229=M$3,SUMIF('TL05'!$C$238:$C$451,$C356,'TL05'!$J$238:$J$451),0),
IF('TL06'!$B$3=M$3,SUMIF('TL06'!$C$10:$C$224,$C356,'TL06'!$J$10:$J$224),0),
IF('TL06'!$B$229=M$3,SUMIF('TL06'!$C$238:$C$451,$C356,'TL06'!$J$238:$J$451),0),
IF('TL07'!$B$3=M$3,SUMIF('TL07'!$C$10:$C$224,$C356,'TL07'!$J$10:$J$224),0),
IF('TL07'!$B$229=M$3,SUMIF('TL07'!$C$238:$C$451,$C356,'TL07'!$J$238:$J$451),0),
IF('TL08'!$B$3=M$3,SUMIF('TL08'!$C$10:$C$224,$C356,'TL08'!$J$10:$J$224),0),
IF('TL08'!$B$229=M$3,SUMIF('TL08'!$C$238:$C$451,$C356,'TL08'!$J$238:$J$451),0),
IF('TL09'!$B$3=M$3,SUMIF('TL09'!$C$10:$C$224,$C356,'TL09'!$J$10:$J$224),0),
IF('TL09'!$B$229=M$3,SUMIF('TL09'!$C$238:$C$451,$C356,'TL09'!$J$238:$J$451),0),
IF('TL10'!$B$3=M$3,SUMIF('TL10'!$C$10:$C$224,$C356,'TL10'!$J$10:$J$224),0),
IF('TL10'!$B$229=M$3,SUMIF('TL10'!$C$238:$C$451,$C356,'TL10'!$J$238:$J$451),0),
IF('TL11'!$B$3=M$3,SUMIF('TL11'!$C$10:$C$224,$C356,'TL11'!$J$10:$J$224),0),
IF('TL11'!$B$229=M$3,SUMIF('TL11'!$C$238:$C$451,$C356,'TL11'!$J$238:$J$451),0),
IF('TL12'!$B$3=M$3,SUMIF('TL12'!$C$10:$C$224,$C356,'TL12'!$J$10:$J$224),0),
IF('TL12'!$B$229=M$3,SUMIF('TL12'!$C$238:$C$451,$C356,'TL12'!$J$238:$J$451),0),
IF('TL13'!$B$3=M$3,SUMIF('TL13'!$C$10:$C$224,$C356,'TL13'!$J$10:$J$224),0),
IF('TL13'!$B$229=M$3,SUMIF('TL13'!$C$238:$C$451,$C356,'TL13'!$J$238:$J$451),0),
IF('TL14'!$B$3=M$3,SUMIF('TL14'!$C$10:$C$224,$C356,'TL14'!$J$10:$J$224),0),
IF('TL14'!$B$229=M$3,SUMIF('TL14'!$C$238:$C$451,$C356,'TL14'!$J$238:$J$451),0),
IF('TL15'!$B$3=M$3,SUMIF('TL15'!$C$10:$C$224,$C356,'TL15'!$J$10:$J$224),0),
IF('TL15'!$B$229=M$3,SUMIF('TL15'!$C$238:$C$451,$C356,'TL15'!$J$238:$J$451),0),
IF('TL16'!$B$3=M$3,SUMIF('TL16'!$C$10:$C$224,$C356,'TL16'!$J$10:$J$224),0),
IF('TL16'!$B$229=M$3,SUMIF('TL16'!$C$238:$C$451,$C356,'TL16'!$J$238:$J$451),0),
IF('TL17'!$B$3=M$3,SUMIF('TL17'!$C$10:$C$224,$C356,'TL17'!$J$10:$J$224),0),
IF('TL17'!$B$229=M$3,SUMIF('TL17'!$C$238:$C$451,$C356,'TL17'!$J$238:$J$451),0),
IF('TL18'!$B$3=M$3,SUMIF('TL18'!$C$10:$C$224,$C356,'TL18'!$J$10:$J$224),0),
IF('TL18'!$B$229=M$3,SUMIF('TL18'!$C$238:$C$451,$C356,'TL18'!$J$238:$J$451),0),
IF('TL19'!$B$3=M$3,SUMIF('TL19'!$C$10:$C$224,$C356,'TL19'!$J$10:$J$224),0),
IF('TL19'!$B$229=M$3,SUMIF('TL19'!$C$238:$C$451,$C356,'TL19'!$J$238:$J$451),0)
),0)</f>
        <v>0</v>
      </c>
      <c r="N356" s="9">
        <f>IFERROR(SUM(
IF('TL01'!$B$3=N$3,SUMIF('TL01'!$C$10:$C$224,$C356,'TL01'!$J$10:$J$224),0),
IF('TL01'!$B$229=N$3,SUMIF('TL01'!$C$238:$C$451,$C356,'TL01'!$J$238:$J$451),0),
IF('TL02'!$B$3=N$3,SUMIF('TL02'!$C$10:$C$224,$C356,'TL02'!$J$10:$J$224),0),
IF('TL02'!$B$229=N$3,SUMIF('TL02'!$C$238:$C$451,$C356,'TL02'!$J$238:$J$451),0),
IF('TL03'!$B$3=N$3,SUMIF('TL03'!$C$10:$C$224,$C356,'TL03'!$J$10:$J$224),0),
IF('TL03'!$B$229=N$3,SUMIF('TL03'!$C$238:$C$451,$C356,'TL03'!$J$238:$J$451),0),
IF('TL04'!$B$3=N$3,SUMIF('TL04'!$C$10:$C$224,$C356,'TL04'!$J$10:$J$224),0),
IF('TL04'!$B$229=N$3,SUMIF('TL04'!$C$238:$C$451,$C356,'TL04'!$J$238:$J$451),0),
IF('TL05'!$B$3=N$3,SUMIF('TL05'!$C$10:$C$224,$C356,'TL05'!$J$10:$J$224),0),
IF('TL05'!$B$229=N$3,SUMIF('TL05'!$C$238:$C$451,$C356,'TL05'!$J$238:$J$451),0),
IF('TL06'!$B$3=N$3,SUMIF('TL06'!$C$10:$C$224,$C356,'TL06'!$J$10:$J$224),0),
IF('TL06'!$B$229=N$3,SUMIF('TL06'!$C$238:$C$451,$C356,'TL06'!$J$238:$J$451),0),
IF('TL07'!$B$3=N$3,SUMIF('TL07'!$C$10:$C$224,$C356,'TL07'!$J$10:$J$224),0),
IF('TL07'!$B$229=N$3,SUMIF('TL07'!$C$238:$C$451,$C356,'TL07'!$J$238:$J$451),0),
IF('TL08'!$B$3=N$3,SUMIF('TL08'!$C$10:$C$224,$C356,'TL08'!$J$10:$J$224),0),
IF('TL08'!$B$229=N$3,SUMIF('TL08'!$C$238:$C$451,$C356,'TL08'!$J$238:$J$451),0),
IF('TL09'!$B$3=N$3,SUMIF('TL09'!$C$10:$C$224,$C356,'TL09'!$J$10:$J$224),0),
IF('TL09'!$B$229=N$3,SUMIF('TL09'!$C$238:$C$451,$C356,'TL09'!$J$238:$J$451),0),
IF('TL10'!$B$3=N$3,SUMIF('TL10'!$C$10:$C$224,$C356,'TL10'!$J$10:$J$224),0),
IF('TL10'!$B$229=N$3,SUMIF('TL10'!$C$238:$C$451,$C356,'TL10'!$J$238:$J$451),0),
IF('TL11'!$B$3=N$3,SUMIF('TL11'!$C$10:$C$224,$C356,'TL11'!$J$10:$J$224),0),
IF('TL11'!$B$229=N$3,SUMIF('TL11'!$C$238:$C$451,$C356,'TL11'!$J$238:$J$451),0),
IF('TL12'!$B$3=N$3,SUMIF('TL12'!$C$10:$C$224,$C356,'TL12'!$J$10:$J$224),0),
IF('TL12'!$B$229=N$3,SUMIF('TL12'!$C$238:$C$451,$C356,'TL12'!$J$238:$J$451),0),
IF('TL13'!$B$3=N$3,SUMIF('TL13'!$C$10:$C$224,$C356,'TL13'!$J$10:$J$224),0),
IF('TL13'!$B$229=N$3,SUMIF('TL13'!$C$238:$C$451,$C356,'TL13'!$J$238:$J$451),0),
IF('TL14'!$B$3=N$3,SUMIF('TL14'!$C$10:$C$224,$C356,'TL14'!$J$10:$J$224),0),
IF('TL14'!$B$229=N$3,SUMIF('TL14'!$C$238:$C$451,$C356,'TL14'!$J$238:$J$451),0),
IF('TL15'!$B$3=N$3,SUMIF('TL15'!$C$10:$C$224,$C356,'TL15'!$J$10:$J$224),0),
IF('TL15'!$B$229=N$3,SUMIF('TL15'!$C$238:$C$451,$C356,'TL15'!$J$238:$J$451),0),
IF('TL16'!$B$3=N$3,SUMIF('TL16'!$C$10:$C$224,$C356,'TL16'!$J$10:$J$224),0),
IF('TL16'!$B$229=N$3,SUMIF('TL16'!$C$238:$C$451,$C356,'TL16'!$J$238:$J$451),0),
IF('TL17'!$B$3=N$3,SUMIF('TL17'!$C$10:$C$224,$C356,'TL17'!$J$10:$J$224),0),
IF('TL17'!$B$229=N$3,SUMIF('TL17'!$C$238:$C$451,$C356,'TL17'!$J$238:$J$451),0),
IF('TL18'!$B$3=N$3,SUMIF('TL18'!$C$10:$C$224,$C356,'TL18'!$J$10:$J$224),0),
IF('TL18'!$B$229=N$3,SUMIF('TL18'!$C$238:$C$451,$C356,'TL18'!$J$238:$J$451),0),
IF('TL19'!$B$3=N$3,SUMIF('TL19'!$C$10:$C$224,$C356,'TL19'!$J$10:$J$224),0),
IF('TL19'!$B$229=N$3,SUMIF('TL19'!$C$238:$C$451,$C356,'TL19'!$J$238:$J$451),0)
),0)</f>
        <v>0</v>
      </c>
      <c r="O356" s="9">
        <f>IFERROR(SUM(
IF('TL01'!$B$3=O$3,SUMIF('TL01'!$C$10:$C$224,$C356,'TL01'!$J$10:$J$224),0),
IF('TL01'!$B$229=O$3,SUMIF('TL01'!$C$238:$C$451,$C356,'TL01'!$J$238:$J$451),0),
IF('TL02'!$B$3=O$3,SUMIF('TL02'!$C$10:$C$224,$C356,'TL02'!$J$10:$J$224),0),
IF('TL02'!$B$229=O$3,SUMIF('TL02'!$C$238:$C$451,$C356,'TL02'!$J$238:$J$451),0),
IF('TL03'!$B$3=O$3,SUMIF('TL03'!$C$10:$C$224,$C356,'TL03'!$J$10:$J$224),0),
IF('TL03'!$B$229=O$3,SUMIF('TL03'!$C$238:$C$451,$C356,'TL03'!$J$238:$J$451),0),
IF('TL04'!$B$3=O$3,SUMIF('TL04'!$C$10:$C$224,$C356,'TL04'!$J$10:$J$224),0),
IF('TL04'!$B$229=O$3,SUMIF('TL04'!$C$238:$C$451,$C356,'TL04'!$J$238:$J$451),0),
IF('TL05'!$B$3=O$3,SUMIF('TL05'!$C$10:$C$224,$C356,'TL05'!$J$10:$J$224),0),
IF('TL05'!$B$229=O$3,SUMIF('TL05'!$C$238:$C$451,$C356,'TL05'!$J$238:$J$451),0),
IF('TL06'!$B$3=O$3,SUMIF('TL06'!$C$10:$C$224,$C356,'TL06'!$J$10:$J$224),0),
IF('TL06'!$B$229=O$3,SUMIF('TL06'!$C$238:$C$451,$C356,'TL06'!$J$238:$J$451),0),
IF('TL07'!$B$3=O$3,SUMIF('TL07'!$C$10:$C$224,$C356,'TL07'!$J$10:$J$224),0),
IF('TL07'!$B$229=O$3,SUMIF('TL07'!$C$238:$C$451,$C356,'TL07'!$J$238:$J$451),0),
IF('TL08'!$B$3=O$3,SUMIF('TL08'!$C$10:$C$224,$C356,'TL08'!$J$10:$J$224),0),
IF('TL08'!$B$229=O$3,SUMIF('TL08'!$C$238:$C$451,$C356,'TL08'!$J$238:$J$451),0),
IF('TL09'!$B$3=O$3,SUMIF('TL09'!$C$10:$C$224,$C356,'TL09'!$J$10:$J$224),0),
IF('TL09'!$B$229=O$3,SUMIF('TL09'!$C$238:$C$451,$C356,'TL09'!$J$238:$J$451),0),
IF('TL10'!$B$3=O$3,SUMIF('TL10'!$C$10:$C$224,$C356,'TL10'!$J$10:$J$224),0),
IF('TL10'!$B$229=O$3,SUMIF('TL10'!$C$238:$C$451,$C356,'TL10'!$J$238:$J$451),0),
IF('TL11'!$B$3=O$3,SUMIF('TL11'!$C$10:$C$224,$C356,'TL11'!$J$10:$J$224),0),
IF('TL11'!$B$229=O$3,SUMIF('TL11'!$C$238:$C$451,$C356,'TL11'!$J$238:$J$451),0),
IF('TL12'!$B$3=O$3,SUMIF('TL12'!$C$10:$C$224,$C356,'TL12'!$J$10:$J$224),0),
IF('TL12'!$B$229=O$3,SUMIF('TL12'!$C$238:$C$451,$C356,'TL12'!$J$238:$J$451),0),
IF('TL13'!$B$3=O$3,SUMIF('TL13'!$C$10:$C$224,$C356,'TL13'!$J$10:$J$224),0),
IF('TL13'!$B$229=O$3,SUMIF('TL13'!$C$238:$C$451,$C356,'TL13'!$J$238:$J$451),0),
IF('TL14'!$B$3=O$3,SUMIF('TL14'!$C$10:$C$224,$C356,'TL14'!$J$10:$J$224),0),
IF('TL14'!$B$229=O$3,SUMIF('TL14'!$C$238:$C$451,$C356,'TL14'!$J$238:$J$451),0),
IF('TL15'!$B$3=O$3,SUMIF('TL15'!$C$10:$C$224,$C356,'TL15'!$J$10:$J$224),0),
IF('TL15'!$B$229=O$3,SUMIF('TL15'!$C$238:$C$451,$C356,'TL15'!$J$238:$J$451),0),
IF('TL16'!$B$3=O$3,SUMIF('TL16'!$C$10:$C$224,$C356,'TL16'!$J$10:$J$224),0),
IF('TL16'!$B$229=O$3,SUMIF('TL16'!$C$238:$C$451,$C356,'TL16'!$J$238:$J$451),0),
IF('TL17'!$B$3=O$3,SUMIF('TL17'!$C$10:$C$224,$C356,'TL17'!$J$10:$J$224),0),
IF('TL17'!$B$229=O$3,SUMIF('TL17'!$C$238:$C$451,$C356,'TL17'!$J$238:$J$451),0),
IF('TL18'!$B$3=O$3,SUMIF('TL18'!$C$10:$C$224,$C356,'TL18'!$J$10:$J$224),0),
IF('TL18'!$B$229=O$3,SUMIF('TL18'!$C$238:$C$451,$C356,'TL18'!$J$238:$J$451),0),
IF('TL19'!$B$3=O$3,SUMIF('TL19'!$C$10:$C$224,$C356,'TL19'!$J$10:$J$224),0),
IF('TL19'!$B$229=O$3,SUMIF('TL19'!$C$238:$C$451,$C356,'TL19'!$J$238:$J$451),0)
),0)</f>
        <v>0</v>
      </c>
      <c r="P356" s="9">
        <f>IFERROR(SUM(
IF('TL01'!$B$3=P$3,SUMIF('TL01'!$C$10:$C$224,$C356,'TL01'!$J$10:$J$224),0),
IF('TL01'!$B$229=P$3,SUMIF('TL01'!$C$238:$C$451,$C356,'TL01'!$J$238:$J$451),0),
IF('TL02'!$B$3=P$3,SUMIF('TL02'!$C$10:$C$224,$C356,'TL02'!$J$10:$J$224),0),
IF('TL02'!$B$229=P$3,SUMIF('TL02'!$C$238:$C$451,$C356,'TL02'!$J$238:$J$451),0),
IF('TL03'!$B$3=P$3,SUMIF('TL03'!$C$10:$C$224,$C356,'TL03'!$J$10:$J$224),0),
IF('TL03'!$B$229=P$3,SUMIF('TL03'!$C$238:$C$451,$C356,'TL03'!$J$238:$J$451),0),
IF('TL04'!$B$3=P$3,SUMIF('TL04'!$C$10:$C$224,$C356,'TL04'!$J$10:$J$224),0),
IF('TL04'!$B$229=P$3,SUMIF('TL04'!$C$238:$C$451,$C356,'TL04'!$J$238:$J$451),0),
IF('TL05'!$B$3=P$3,SUMIF('TL05'!$C$10:$C$224,$C356,'TL05'!$J$10:$J$224),0),
IF('TL05'!$B$229=P$3,SUMIF('TL05'!$C$238:$C$451,$C356,'TL05'!$J$238:$J$451),0),
IF('TL06'!$B$3=P$3,SUMIF('TL06'!$C$10:$C$224,$C356,'TL06'!$J$10:$J$224),0),
IF('TL06'!$B$229=P$3,SUMIF('TL06'!$C$238:$C$451,$C356,'TL06'!$J$238:$J$451),0),
IF('TL07'!$B$3=P$3,SUMIF('TL07'!$C$10:$C$224,$C356,'TL07'!$J$10:$J$224),0),
IF('TL07'!$B$229=P$3,SUMIF('TL07'!$C$238:$C$451,$C356,'TL07'!$J$238:$J$451),0),
IF('TL08'!$B$3=P$3,SUMIF('TL08'!$C$10:$C$224,$C356,'TL08'!$J$10:$J$224),0),
IF('TL08'!$B$229=P$3,SUMIF('TL08'!$C$238:$C$451,$C356,'TL08'!$J$238:$J$451),0),
IF('TL09'!$B$3=P$3,SUMIF('TL09'!$C$10:$C$224,$C356,'TL09'!$J$10:$J$224),0),
IF('TL09'!$B$229=P$3,SUMIF('TL09'!$C$238:$C$451,$C356,'TL09'!$J$238:$J$451),0),
IF('TL10'!$B$3=P$3,SUMIF('TL10'!$C$10:$C$224,$C356,'TL10'!$J$10:$J$224),0),
IF('TL10'!$B$229=P$3,SUMIF('TL10'!$C$238:$C$451,$C356,'TL10'!$J$238:$J$451),0),
IF('TL11'!$B$3=P$3,SUMIF('TL11'!$C$10:$C$224,$C356,'TL11'!$J$10:$J$224),0),
IF('TL11'!$B$229=P$3,SUMIF('TL11'!$C$238:$C$451,$C356,'TL11'!$J$238:$J$451),0),
IF('TL12'!$B$3=P$3,SUMIF('TL12'!$C$10:$C$224,$C356,'TL12'!$J$10:$J$224),0),
IF('TL12'!$B$229=P$3,SUMIF('TL12'!$C$238:$C$451,$C356,'TL12'!$J$238:$J$451),0),
IF('TL13'!$B$3=P$3,SUMIF('TL13'!$C$10:$C$224,$C356,'TL13'!$J$10:$J$224),0),
IF('TL13'!$B$229=P$3,SUMIF('TL13'!$C$238:$C$451,$C356,'TL13'!$J$238:$J$451),0),
IF('TL14'!$B$3=P$3,SUMIF('TL14'!$C$10:$C$224,$C356,'TL14'!$J$10:$J$224),0),
IF('TL14'!$B$229=P$3,SUMIF('TL14'!$C$238:$C$451,$C356,'TL14'!$J$238:$J$451),0),
IF('TL15'!$B$3=P$3,SUMIF('TL15'!$C$10:$C$224,$C356,'TL15'!$J$10:$J$224),0),
IF('TL15'!$B$229=P$3,SUMIF('TL15'!$C$238:$C$451,$C356,'TL15'!$J$238:$J$451),0),
IF('TL16'!$B$3=P$3,SUMIF('TL16'!$C$10:$C$224,$C356,'TL16'!$J$10:$J$224),0),
IF('TL16'!$B$229=P$3,SUMIF('TL16'!$C$238:$C$451,$C356,'TL16'!$J$238:$J$451),0),
IF('TL17'!$B$3=P$3,SUMIF('TL17'!$C$10:$C$224,$C356,'TL17'!$J$10:$J$224),0),
IF('TL17'!$B$229=P$3,SUMIF('TL17'!$C$238:$C$451,$C356,'TL17'!$J$238:$J$451),0),
IF('TL18'!$B$3=P$3,SUMIF('TL18'!$C$10:$C$224,$C356,'TL18'!$J$10:$J$224),0),
IF('TL18'!$B$229=P$3,SUMIF('TL18'!$C$238:$C$451,$C356,'TL18'!$J$238:$J$451),0),
IF('TL19'!$B$3=P$3,SUMIF('TL19'!$C$10:$C$224,$C356,'TL19'!$J$10:$J$224),0),
IF('TL19'!$B$229=P$3,SUMIF('TL19'!$C$238:$C$451,$C356,'TL19'!$J$238:$J$451),0)
),0)</f>
        <v>0</v>
      </c>
      <c r="Q356" s="9">
        <f>IFERROR(SUM(
IF('TL01'!$B$3=Q$3,SUMIF('TL01'!$C$10:$C$224,$C356,'TL01'!$J$10:$J$224),0),
IF('TL01'!$B$229=Q$3,SUMIF('TL01'!$C$238:$C$451,$C356,'TL01'!$J$238:$J$451),0),
IF('TL02'!$B$3=Q$3,SUMIF('TL02'!$C$10:$C$224,$C356,'TL02'!$J$10:$J$224),0),
IF('TL02'!$B$229=Q$3,SUMIF('TL02'!$C$238:$C$451,$C356,'TL02'!$J$238:$J$451),0),
IF('TL03'!$B$3=Q$3,SUMIF('TL03'!$C$10:$C$224,$C356,'TL03'!$J$10:$J$224),0),
IF('TL03'!$B$229=Q$3,SUMIF('TL03'!$C$238:$C$451,$C356,'TL03'!$J$238:$J$451),0),
IF('TL04'!$B$3=Q$3,SUMIF('TL04'!$C$10:$C$224,$C356,'TL04'!$J$10:$J$224),0),
IF('TL04'!$B$229=Q$3,SUMIF('TL04'!$C$238:$C$451,$C356,'TL04'!$J$238:$J$451),0),
IF('TL05'!$B$3=Q$3,SUMIF('TL05'!$C$10:$C$224,$C356,'TL05'!$J$10:$J$224),0),
IF('TL05'!$B$229=Q$3,SUMIF('TL05'!$C$238:$C$451,$C356,'TL05'!$J$238:$J$451),0),
IF('TL06'!$B$3=Q$3,SUMIF('TL06'!$C$10:$C$224,$C356,'TL06'!$J$10:$J$224),0),
IF('TL06'!$B$229=Q$3,SUMIF('TL06'!$C$238:$C$451,$C356,'TL06'!$J$238:$J$451),0),
IF('TL07'!$B$3=Q$3,SUMIF('TL07'!$C$10:$C$224,$C356,'TL07'!$J$10:$J$224),0),
IF('TL07'!$B$229=Q$3,SUMIF('TL07'!$C$238:$C$451,$C356,'TL07'!$J$238:$J$451),0),
IF('TL08'!$B$3=Q$3,SUMIF('TL08'!$C$10:$C$224,$C356,'TL08'!$J$10:$J$224),0),
IF('TL08'!$B$229=Q$3,SUMIF('TL08'!$C$238:$C$451,$C356,'TL08'!$J$238:$J$451),0),
IF('TL09'!$B$3=Q$3,SUMIF('TL09'!$C$10:$C$224,$C356,'TL09'!$J$10:$J$224),0),
IF('TL09'!$B$229=Q$3,SUMIF('TL09'!$C$238:$C$451,$C356,'TL09'!$J$238:$J$451),0),
IF('TL10'!$B$3=Q$3,SUMIF('TL10'!$C$10:$C$224,$C356,'TL10'!$J$10:$J$224),0),
IF('TL10'!$B$229=Q$3,SUMIF('TL10'!$C$238:$C$451,$C356,'TL10'!$J$238:$J$451),0),
IF('TL11'!$B$3=Q$3,SUMIF('TL11'!$C$10:$C$224,$C356,'TL11'!$J$10:$J$224),0),
IF('TL11'!$B$229=Q$3,SUMIF('TL11'!$C$238:$C$451,$C356,'TL11'!$J$238:$J$451),0),
IF('TL12'!$B$3=Q$3,SUMIF('TL12'!$C$10:$C$224,$C356,'TL12'!$J$10:$J$224),0),
IF('TL12'!$B$229=Q$3,SUMIF('TL12'!$C$238:$C$451,$C356,'TL12'!$J$238:$J$451),0),
IF('TL13'!$B$3=Q$3,SUMIF('TL13'!$C$10:$C$224,$C356,'TL13'!$J$10:$J$224),0),
IF('TL13'!$B$229=Q$3,SUMIF('TL13'!$C$238:$C$451,$C356,'TL13'!$J$238:$J$451),0),
IF('TL14'!$B$3=Q$3,SUMIF('TL14'!$C$10:$C$224,$C356,'TL14'!$J$10:$J$224),0),
IF('TL14'!$B$229=Q$3,SUMIF('TL14'!$C$238:$C$451,$C356,'TL14'!$J$238:$J$451),0),
IF('TL15'!$B$3=Q$3,SUMIF('TL15'!$C$10:$C$224,$C356,'TL15'!$J$10:$J$224),0),
IF('TL15'!$B$229=Q$3,SUMIF('TL15'!$C$238:$C$451,$C356,'TL15'!$J$238:$J$451),0),
IF('TL16'!$B$3=Q$3,SUMIF('TL16'!$C$10:$C$224,$C356,'TL16'!$J$10:$J$224),0),
IF('TL16'!$B$229=Q$3,SUMIF('TL16'!$C$238:$C$451,$C356,'TL16'!$J$238:$J$451),0),
IF('TL17'!$B$3=Q$3,SUMIF('TL17'!$C$10:$C$224,$C356,'TL17'!$J$10:$J$224),0),
IF('TL17'!$B$229=Q$3,SUMIF('TL17'!$C$238:$C$451,$C356,'TL17'!$J$238:$J$451),0),
IF('TL18'!$B$3=Q$3,SUMIF('TL18'!$C$10:$C$224,$C356,'TL18'!$J$10:$J$224),0),
IF('TL18'!$B$229=Q$3,SUMIF('TL18'!$C$238:$C$451,$C356,'TL18'!$J$238:$J$451),0),
IF('TL19'!$B$3=Q$3,SUMIF('TL19'!$C$10:$C$224,$C356,'TL19'!$J$10:$J$224),0),
IF('TL19'!$B$229=Q$3,SUMIF('TL19'!$C$238:$C$451,$C356,'TL19'!$J$238:$J$451),0)
),0)</f>
        <v>0</v>
      </c>
      <c r="R356" s="9">
        <f>IFERROR(
SUM(
SUMIF('TL01'!C:C,C356,'TL01'!J:J),
SUMIF('TL02'!C:C,C356,'TL02'!J:J),
SUMIF('TL03'!C:C,C356,'TL03'!J:J),
SUMIF('TL04'!C:C,C356,'TL04'!J:J),
SUMIF('TL05'!C:C,C356,'TL05'!J:J),
SUMIF('TL06'!C:C,C356,'TL06'!J:J),
SUMIF('TL07'!C:C,C356,'TL07'!J:J),
SUMIF('TL08'!C:C,C356,'TL08'!J:J),
SUMIF('TL09'!C:C,C356,'TL09'!J:J),
SUMIF('TL10'!C:C,C356,'TL10'!J:J),
SUMIF('TL11'!C:C,C356,'TL11'!J:J),
SUMIF('TL12'!C:C,C356,'TL12'!J:J),
SUMIF('TL13'!C:C,C356,'TL13'!J:J),
SUMIF('TL14'!C:C,C356,'TL14'!J:J),
SUMIF('TL15'!C:C,C356,'TL15'!J:J),
SUMIF('TL16'!C:C,C356,'TL16'!J:J),
SUMIF('TL17'!C:C,C356,'TL17'!J:J),
SUMIF('TL18'!C:C,C356,'TL18'!J:J),SUMIF('TL19'!C:C,C356,'TL19'!J:J))
,0)</f>
        <v>0</v>
      </c>
      <c r="S356" s="17">
        <f>IFERROR(__xludf.DUMMYFUNCTION("IFERROR(VLOOKUP(C356,
IMPORTRANGE(""1wULbzX32WdYsx-lj2U3uUNBBe2INVIRDtcK0d-Dvl90"",
""26-27!C:G""),
5,
FALSE),
"""")"),42.64)</f>
        <v>42.64</v>
      </c>
      <c r="T356" s="9"/>
      <c r="U356" s="92">
        <f t="shared" si="2"/>
        <v>0</v>
      </c>
      <c r="V356" s="93">
        <f t="shared" si="3"/>
        <v>0</v>
      </c>
    </row>
    <row r="357" ht="15.75" hidden="1" customHeight="1">
      <c r="A357" s="4" t="s">
        <v>1071</v>
      </c>
      <c r="B357" s="4" t="s">
        <v>4</v>
      </c>
      <c r="C357" s="128" t="s">
        <v>1086</v>
      </c>
      <c r="D357" s="129" t="s">
        <v>1087</v>
      </c>
      <c r="E357" s="6"/>
      <c r="F357" s="4" t="s">
        <v>343</v>
      </c>
      <c r="G357" s="90" t="str">
        <f t="shared" si="5"/>
        <v>📄 Ver bula</v>
      </c>
      <c r="H357" s="4">
        <v>2.0</v>
      </c>
      <c r="I357" s="123" t="s">
        <v>361</v>
      </c>
      <c r="J357" s="9">
        <f>IFERROR(SUM(
IF('TL01'!$B$3=J$3,SUMIF('TL01'!$C$10:$C$224,$C357,'TL01'!$J$10:$J$224),0),
IF('TL01'!$B$229=J$3,SUMIF('TL01'!$C$238:$C$451,$C357,'TL01'!$J$238:$J$451),0),
IF('TL02'!$B$3=J$3,SUMIF('TL02'!$C$10:$C$224,$C357,'TL02'!$J$10:$J$224),0),
IF('TL02'!$B$229=J$3,SUMIF('TL02'!$C$238:$C$451,$C357,'TL02'!$J$238:$J$451),0),
IF('TL03'!$B$3=J$3,SUMIF('TL03'!$C$10:$C$224,$C357,'TL03'!$J$10:$J$224),0),
IF('TL03'!$B$229=J$3,SUMIF('TL03'!$C$238:$C$451,$C357,'TL03'!$J$238:$J$451),0),
IF('TL04'!$B$3=J$3,SUMIF('TL04'!$C$10:$C$224,$C357,'TL04'!$J$10:$J$224),0),
IF('TL04'!$B$229=J$3,SUMIF('TL04'!$C$238:$C$451,$C357,'TL04'!$J$238:$J$451),0),
IF('TL05'!$B$3=J$3,SUMIF('TL05'!$C$10:$C$224,$C357,'TL05'!$J$10:$J$224),0),
IF('TL05'!$B$229=J$3,SUMIF('TL05'!$C$238:$C$451,$C357,'TL05'!$J$238:$J$451),0),
IF('TL06'!$B$3=J$3,SUMIF('TL06'!$C$10:$C$224,$C357,'TL06'!$J$10:$J$224),0),
IF('TL06'!$B$229=J$3,SUMIF('TL06'!$C$238:$C$451,$C357,'TL06'!$J$238:$J$451),0),
IF('TL07'!$B$3=J$3,SUMIF('TL07'!$C$10:$C$224,$C357,'TL07'!$J$10:$J$224),0),
IF('TL07'!$B$229=J$3,SUMIF('TL07'!$C$238:$C$451,$C357,'TL07'!$J$238:$J$451),0),
IF('TL08'!$B$3=J$3,SUMIF('TL08'!$C$10:$C$224,$C357,'TL08'!$J$10:$J$224),0),
IF('TL08'!$B$229=J$3,SUMIF('TL08'!$C$238:$C$451,$C357,'TL08'!$J$238:$J$451),0),
IF('TL09'!$B$3=J$3,SUMIF('TL09'!$C$10:$C$224,$C357,'TL09'!$J$10:$J$224),0),
IF('TL09'!$B$229=J$3,SUMIF('TL09'!$C$238:$C$451,$C357,'TL09'!$J$238:$J$451),0),
IF('TL10'!$B$3=J$3,SUMIF('TL10'!$C$10:$C$224,$C357,'TL10'!$J$10:$J$224),0),
IF('TL10'!$B$229=J$3,SUMIF('TL10'!$C$238:$C$451,$C357,'TL10'!$J$238:$J$451),0),
IF('TL11'!$B$3=J$3,SUMIF('TL11'!$C$10:$C$224,$C357,'TL11'!$J$10:$J$224),0),
IF('TL11'!$B$229=J$3,SUMIF('TL11'!$C$238:$C$451,$C357,'TL11'!$J$238:$J$451),0),
IF('TL12'!$B$3=J$3,SUMIF('TL12'!$C$10:$C$224,$C357,'TL12'!$J$10:$J$224),0),
IF('TL12'!$B$229=J$3,SUMIF('TL12'!$C$238:$C$451,$C357,'TL12'!$J$238:$J$451),0),
IF('TL13'!$B$3=J$3,SUMIF('TL13'!$C$10:$C$224,$C357,'TL13'!$J$10:$J$224),0),
IF('TL13'!$B$229=J$3,SUMIF('TL13'!$C$238:$C$451,$C357,'TL13'!$J$238:$J$451),0),
IF('TL14'!$B$3=J$3,SUMIF('TL14'!$C$10:$C$224,$C357,'TL14'!$J$10:$J$224),0),
IF('TL14'!$B$229=J$3,SUMIF('TL14'!$C$238:$C$451,$C357,'TL14'!$J$238:$J$451),0),
IF('TL15'!$B$3=J$3,SUMIF('TL15'!$C$10:$C$224,$C357,'TL15'!$J$10:$J$224),0),
IF('TL15'!$B$229=J$3,SUMIF('TL15'!$C$238:$C$451,$C357,'TL15'!$J$238:$J$451),0),
IF('TL16'!$B$3=J$3,SUMIF('TL16'!$C$10:$C$224,$C357,'TL16'!$J$10:$J$224),0),
IF('TL16'!$B$229=J$3,SUMIF('TL16'!$C$238:$C$451,$C357,'TL16'!$J$238:$J$451),0),
IF('TL17'!$B$3=J$3,SUMIF('TL17'!$C$10:$C$224,$C357,'TL17'!$J$10:$J$224),0),
IF('TL17'!$B$229=J$3,SUMIF('TL17'!$C$238:$C$451,$C357,'TL17'!$J$238:$J$451),0),
IF('TL18'!$B$3=J$3,SUMIF('TL18'!$C$10:$C$224,$C357,'TL18'!$J$10:$J$224),0),
IF('TL18'!$B$229=J$3,SUMIF('TL18'!$C$238:$C$451,$C357,'TL18'!$J$238:$J$451),0),
IF('TL19'!$B$3=J$3,SUMIF('TL19'!$C$10:$C$224,$C357,'TL19'!$J$10:$J$224),0),
IF('TL19'!$B$229=J$3,SUMIF('TL19'!$C$238:$C$451,$C357,'TL19'!$J$238:$J$451),0)
),0)</f>
        <v>0</v>
      </c>
      <c r="K357" s="9">
        <f>IFERROR(SUM(
IF('TL01'!$B$3=K$3,SUMIF('TL01'!$C$10:$C$224,$C357,'TL01'!$J$10:$J$224),0),
IF('TL01'!$B$229=K$3,SUMIF('TL01'!$C$238:$C$451,$C357,'TL01'!$J$238:$J$451),0),
IF('TL02'!$B$3=K$3,SUMIF('TL02'!$C$10:$C$224,$C357,'TL02'!$J$10:$J$224),0),
IF('TL02'!$B$229=K$3,SUMIF('TL02'!$C$238:$C$451,$C357,'TL02'!$J$238:$J$451),0),
IF('TL03'!$B$3=K$3,SUMIF('TL03'!$C$10:$C$224,$C357,'TL03'!$J$10:$J$224),0),
IF('TL03'!$B$229=K$3,SUMIF('TL03'!$C$238:$C$451,$C357,'TL03'!$J$238:$J$451),0),
IF('TL04'!$B$3=K$3,SUMIF('TL04'!$C$10:$C$224,$C357,'TL04'!$J$10:$J$224),0),
IF('TL04'!$B$229=K$3,SUMIF('TL04'!$C$238:$C$451,$C357,'TL04'!$J$238:$J$451),0),
IF('TL05'!$B$3=K$3,SUMIF('TL05'!$C$10:$C$224,$C357,'TL05'!$J$10:$J$224),0),
IF('TL05'!$B$229=K$3,SUMIF('TL05'!$C$238:$C$451,$C357,'TL05'!$J$238:$J$451),0),
IF('TL06'!$B$3=K$3,SUMIF('TL06'!$C$10:$C$224,$C357,'TL06'!$J$10:$J$224),0),
IF('TL06'!$B$229=K$3,SUMIF('TL06'!$C$238:$C$451,$C357,'TL06'!$J$238:$J$451),0),
IF('TL07'!$B$3=K$3,SUMIF('TL07'!$C$10:$C$224,$C357,'TL07'!$J$10:$J$224),0),
IF('TL07'!$B$229=K$3,SUMIF('TL07'!$C$238:$C$451,$C357,'TL07'!$J$238:$J$451),0),
IF('TL08'!$B$3=K$3,SUMIF('TL08'!$C$10:$C$224,$C357,'TL08'!$J$10:$J$224),0),
IF('TL08'!$B$229=K$3,SUMIF('TL08'!$C$238:$C$451,$C357,'TL08'!$J$238:$J$451),0),
IF('TL09'!$B$3=K$3,SUMIF('TL09'!$C$10:$C$224,$C357,'TL09'!$J$10:$J$224),0),
IF('TL09'!$B$229=K$3,SUMIF('TL09'!$C$238:$C$451,$C357,'TL09'!$J$238:$J$451),0),
IF('TL10'!$B$3=K$3,SUMIF('TL10'!$C$10:$C$224,$C357,'TL10'!$J$10:$J$224),0),
IF('TL10'!$B$229=K$3,SUMIF('TL10'!$C$238:$C$451,$C357,'TL10'!$J$238:$J$451),0),
IF('TL11'!$B$3=K$3,SUMIF('TL11'!$C$10:$C$224,$C357,'TL11'!$J$10:$J$224),0),
IF('TL11'!$B$229=K$3,SUMIF('TL11'!$C$238:$C$451,$C357,'TL11'!$J$238:$J$451),0),
IF('TL12'!$B$3=K$3,SUMIF('TL12'!$C$10:$C$224,$C357,'TL12'!$J$10:$J$224),0),
IF('TL12'!$B$229=K$3,SUMIF('TL12'!$C$238:$C$451,$C357,'TL12'!$J$238:$J$451),0),
IF('TL13'!$B$3=K$3,SUMIF('TL13'!$C$10:$C$224,$C357,'TL13'!$J$10:$J$224),0),
IF('TL13'!$B$229=K$3,SUMIF('TL13'!$C$238:$C$451,$C357,'TL13'!$J$238:$J$451),0),
IF('TL14'!$B$3=K$3,SUMIF('TL14'!$C$10:$C$224,$C357,'TL14'!$J$10:$J$224),0),
IF('TL14'!$B$229=K$3,SUMIF('TL14'!$C$238:$C$451,$C357,'TL14'!$J$238:$J$451),0),
IF('TL15'!$B$3=K$3,SUMIF('TL15'!$C$10:$C$224,$C357,'TL15'!$J$10:$J$224),0),
IF('TL15'!$B$229=K$3,SUMIF('TL15'!$C$238:$C$451,$C357,'TL15'!$J$238:$J$451),0),
IF('TL16'!$B$3=K$3,SUMIF('TL16'!$C$10:$C$224,$C357,'TL16'!$J$10:$J$224),0),
IF('TL16'!$B$229=K$3,SUMIF('TL16'!$C$238:$C$451,$C357,'TL16'!$J$238:$J$451),0),
IF('TL17'!$B$3=K$3,SUMIF('TL17'!$C$10:$C$224,$C357,'TL17'!$J$10:$J$224),0),
IF('TL17'!$B$229=K$3,SUMIF('TL17'!$C$238:$C$451,$C357,'TL17'!$J$238:$J$451),0),
IF('TL18'!$B$3=K$3,SUMIF('TL18'!$C$10:$C$224,$C357,'TL18'!$J$10:$J$224),0),
IF('TL18'!$B$229=K$3,SUMIF('TL18'!$C$238:$C$451,$C357,'TL18'!$J$238:$J$451),0),
IF('TL19'!$B$3=K$3,SUMIF('TL19'!$C$10:$C$224,$C357,'TL19'!$J$10:$J$224),0),
IF('TL19'!$B$229=K$3,SUMIF('TL19'!$C$238:$C$451,$C357,'TL19'!$J$238:$J$451),0)
),0)</f>
        <v>0</v>
      </c>
      <c r="L357" s="9">
        <f>IFERROR(SUM(
IF('TL01'!$B$3=L$3,SUMIF('TL01'!$C$10:$C$224,$C357,'TL01'!$J$10:$J$224),0),
IF('TL01'!$B$229=L$3,SUMIF('TL01'!$C$238:$C$451,$C357,'TL01'!$J$238:$J$451),0),
IF('TL02'!$B$3=L$3,SUMIF('TL02'!$C$10:$C$224,$C357,'TL02'!$J$10:$J$224),0),
IF('TL02'!$B$229=L$3,SUMIF('TL02'!$C$238:$C$451,$C357,'TL02'!$J$238:$J$451),0),
IF('TL03'!$B$3=L$3,SUMIF('TL03'!$C$10:$C$224,$C357,'TL03'!$J$10:$J$224),0),
IF('TL03'!$B$229=L$3,SUMIF('TL03'!$C$238:$C$451,$C357,'TL03'!$J$238:$J$451),0),
IF('TL04'!$B$3=L$3,SUMIF('TL04'!$C$10:$C$224,$C357,'TL04'!$J$10:$J$224),0),
IF('TL04'!$B$229=L$3,SUMIF('TL04'!$C$238:$C$451,$C357,'TL04'!$J$238:$J$451),0),
IF('TL05'!$B$3=L$3,SUMIF('TL05'!$C$10:$C$224,$C357,'TL05'!$J$10:$J$224),0),
IF('TL05'!$B$229=L$3,SUMIF('TL05'!$C$238:$C$451,$C357,'TL05'!$J$238:$J$451),0),
IF('TL06'!$B$3=L$3,SUMIF('TL06'!$C$10:$C$224,$C357,'TL06'!$J$10:$J$224),0),
IF('TL06'!$B$229=L$3,SUMIF('TL06'!$C$238:$C$451,$C357,'TL06'!$J$238:$J$451),0),
IF('TL07'!$B$3=L$3,SUMIF('TL07'!$C$10:$C$224,$C357,'TL07'!$J$10:$J$224),0),
IF('TL07'!$B$229=L$3,SUMIF('TL07'!$C$238:$C$451,$C357,'TL07'!$J$238:$J$451),0),
IF('TL08'!$B$3=L$3,SUMIF('TL08'!$C$10:$C$224,$C357,'TL08'!$J$10:$J$224),0),
IF('TL08'!$B$229=L$3,SUMIF('TL08'!$C$238:$C$451,$C357,'TL08'!$J$238:$J$451),0),
IF('TL09'!$B$3=L$3,SUMIF('TL09'!$C$10:$C$224,$C357,'TL09'!$J$10:$J$224),0),
IF('TL09'!$B$229=L$3,SUMIF('TL09'!$C$238:$C$451,$C357,'TL09'!$J$238:$J$451),0),
IF('TL10'!$B$3=L$3,SUMIF('TL10'!$C$10:$C$224,$C357,'TL10'!$J$10:$J$224),0),
IF('TL10'!$B$229=L$3,SUMIF('TL10'!$C$238:$C$451,$C357,'TL10'!$J$238:$J$451),0),
IF('TL11'!$B$3=L$3,SUMIF('TL11'!$C$10:$C$224,$C357,'TL11'!$J$10:$J$224),0),
IF('TL11'!$B$229=L$3,SUMIF('TL11'!$C$238:$C$451,$C357,'TL11'!$J$238:$J$451),0),
IF('TL12'!$B$3=L$3,SUMIF('TL12'!$C$10:$C$224,$C357,'TL12'!$J$10:$J$224),0),
IF('TL12'!$B$229=L$3,SUMIF('TL12'!$C$238:$C$451,$C357,'TL12'!$J$238:$J$451),0),
IF('TL13'!$B$3=L$3,SUMIF('TL13'!$C$10:$C$224,$C357,'TL13'!$J$10:$J$224),0),
IF('TL13'!$B$229=L$3,SUMIF('TL13'!$C$238:$C$451,$C357,'TL13'!$J$238:$J$451),0),
IF('TL14'!$B$3=L$3,SUMIF('TL14'!$C$10:$C$224,$C357,'TL14'!$J$10:$J$224),0),
IF('TL14'!$B$229=L$3,SUMIF('TL14'!$C$238:$C$451,$C357,'TL14'!$J$238:$J$451),0),
IF('TL15'!$B$3=L$3,SUMIF('TL15'!$C$10:$C$224,$C357,'TL15'!$J$10:$J$224),0),
IF('TL15'!$B$229=L$3,SUMIF('TL15'!$C$238:$C$451,$C357,'TL15'!$J$238:$J$451),0),
IF('TL16'!$B$3=L$3,SUMIF('TL16'!$C$10:$C$224,$C357,'TL16'!$J$10:$J$224),0),
IF('TL16'!$B$229=L$3,SUMIF('TL16'!$C$238:$C$451,$C357,'TL16'!$J$238:$J$451),0),
IF('TL17'!$B$3=L$3,SUMIF('TL17'!$C$10:$C$224,$C357,'TL17'!$J$10:$J$224),0),
IF('TL17'!$B$229=L$3,SUMIF('TL17'!$C$238:$C$451,$C357,'TL17'!$J$238:$J$451),0),
IF('TL18'!$B$3=L$3,SUMIF('TL18'!$C$10:$C$224,$C357,'TL18'!$J$10:$J$224),0),
IF('TL18'!$B$229=L$3,SUMIF('TL18'!$C$238:$C$451,$C357,'TL18'!$J$238:$J$451),0),
IF('TL19'!$B$3=L$3,SUMIF('TL19'!$C$10:$C$224,$C357,'TL19'!$J$10:$J$224),0),
IF('TL19'!$B$229=L$3,SUMIF('TL19'!$C$238:$C$451,$C357,'TL19'!$J$238:$J$451),0)
),0)</f>
        <v>0</v>
      </c>
      <c r="M357" s="9">
        <f>IFERROR(SUM(
IF('TL01'!$B$3=M$3,SUMIF('TL01'!$C$10:$C$224,$C357,'TL01'!$J$10:$J$224),0),
IF('TL01'!$B$229=M$3,SUMIF('TL01'!$C$238:$C$451,$C357,'TL01'!$J$238:$J$451),0),
IF('TL02'!$B$3=M$3,SUMIF('TL02'!$C$10:$C$224,$C357,'TL02'!$J$10:$J$224),0),
IF('TL02'!$B$229=M$3,SUMIF('TL02'!$C$238:$C$451,$C357,'TL02'!$J$238:$J$451),0),
IF('TL03'!$B$3=M$3,SUMIF('TL03'!$C$10:$C$224,$C357,'TL03'!$J$10:$J$224),0),
IF('TL03'!$B$229=M$3,SUMIF('TL03'!$C$238:$C$451,$C357,'TL03'!$J$238:$J$451),0),
IF('TL04'!$B$3=M$3,SUMIF('TL04'!$C$10:$C$224,$C357,'TL04'!$J$10:$J$224),0),
IF('TL04'!$B$229=M$3,SUMIF('TL04'!$C$238:$C$451,$C357,'TL04'!$J$238:$J$451),0),
IF('TL05'!$B$3=M$3,SUMIF('TL05'!$C$10:$C$224,$C357,'TL05'!$J$10:$J$224),0),
IF('TL05'!$B$229=M$3,SUMIF('TL05'!$C$238:$C$451,$C357,'TL05'!$J$238:$J$451),0),
IF('TL06'!$B$3=M$3,SUMIF('TL06'!$C$10:$C$224,$C357,'TL06'!$J$10:$J$224),0),
IF('TL06'!$B$229=M$3,SUMIF('TL06'!$C$238:$C$451,$C357,'TL06'!$J$238:$J$451),0),
IF('TL07'!$B$3=M$3,SUMIF('TL07'!$C$10:$C$224,$C357,'TL07'!$J$10:$J$224),0),
IF('TL07'!$B$229=M$3,SUMIF('TL07'!$C$238:$C$451,$C357,'TL07'!$J$238:$J$451),0),
IF('TL08'!$B$3=M$3,SUMIF('TL08'!$C$10:$C$224,$C357,'TL08'!$J$10:$J$224),0),
IF('TL08'!$B$229=M$3,SUMIF('TL08'!$C$238:$C$451,$C357,'TL08'!$J$238:$J$451),0),
IF('TL09'!$B$3=M$3,SUMIF('TL09'!$C$10:$C$224,$C357,'TL09'!$J$10:$J$224),0),
IF('TL09'!$B$229=M$3,SUMIF('TL09'!$C$238:$C$451,$C357,'TL09'!$J$238:$J$451),0),
IF('TL10'!$B$3=M$3,SUMIF('TL10'!$C$10:$C$224,$C357,'TL10'!$J$10:$J$224),0),
IF('TL10'!$B$229=M$3,SUMIF('TL10'!$C$238:$C$451,$C357,'TL10'!$J$238:$J$451),0),
IF('TL11'!$B$3=M$3,SUMIF('TL11'!$C$10:$C$224,$C357,'TL11'!$J$10:$J$224),0),
IF('TL11'!$B$229=M$3,SUMIF('TL11'!$C$238:$C$451,$C357,'TL11'!$J$238:$J$451),0),
IF('TL12'!$B$3=M$3,SUMIF('TL12'!$C$10:$C$224,$C357,'TL12'!$J$10:$J$224),0),
IF('TL12'!$B$229=M$3,SUMIF('TL12'!$C$238:$C$451,$C357,'TL12'!$J$238:$J$451),0),
IF('TL13'!$B$3=M$3,SUMIF('TL13'!$C$10:$C$224,$C357,'TL13'!$J$10:$J$224),0),
IF('TL13'!$B$229=M$3,SUMIF('TL13'!$C$238:$C$451,$C357,'TL13'!$J$238:$J$451),0),
IF('TL14'!$B$3=M$3,SUMIF('TL14'!$C$10:$C$224,$C357,'TL14'!$J$10:$J$224),0),
IF('TL14'!$B$229=M$3,SUMIF('TL14'!$C$238:$C$451,$C357,'TL14'!$J$238:$J$451),0),
IF('TL15'!$B$3=M$3,SUMIF('TL15'!$C$10:$C$224,$C357,'TL15'!$J$10:$J$224),0),
IF('TL15'!$B$229=M$3,SUMIF('TL15'!$C$238:$C$451,$C357,'TL15'!$J$238:$J$451),0),
IF('TL16'!$B$3=M$3,SUMIF('TL16'!$C$10:$C$224,$C357,'TL16'!$J$10:$J$224),0),
IF('TL16'!$B$229=M$3,SUMIF('TL16'!$C$238:$C$451,$C357,'TL16'!$J$238:$J$451),0),
IF('TL17'!$B$3=M$3,SUMIF('TL17'!$C$10:$C$224,$C357,'TL17'!$J$10:$J$224),0),
IF('TL17'!$B$229=M$3,SUMIF('TL17'!$C$238:$C$451,$C357,'TL17'!$J$238:$J$451),0),
IF('TL18'!$B$3=M$3,SUMIF('TL18'!$C$10:$C$224,$C357,'TL18'!$J$10:$J$224),0),
IF('TL18'!$B$229=M$3,SUMIF('TL18'!$C$238:$C$451,$C357,'TL18'!$J$238:$J$451),0),
IF('TL19'!$B$3=M$3,SUMIF('TL19'!$C$10:$C$224,$C357,'TL19'!$J$10:$J$224),0),
IF('TL19'!$B$229=M$3,SUMIF('TL19'!$C$238:$C$451,$C357,'TL19'!$J$238:$J$451),0)
),0)</f>
        <v>0</v>
      </c>
      <c r="N357" s="9">
        <f>IFERROR(SUM(
IF('TL01'!$B$3=N$3,SUMIF('TL01'!$C$10:$C$224,$C357,'TL01'!$J$10:$J$224),0),
IF('TL01'!$B$229=N$3,SUMIF('TL01'!$C$238:$C$451,$C357,'TL01'!$J$238:$J$451),0),
IF('TL02'!$B$3=N$3,SUMIF('TL02'!$C$10:$C$224,$C357,'TL02'!$J$10:$J$224),0),
IF('TL02'!$B$229=N$3,SUMIF('TL02'!$C$238:$C$451,$C357,'TL02'!$J$238:$J$451),0),
IF('TL03'!$B$3=N$3,SUMIF('TL03'!$C$10:$C$224,$C357,'TL03'!$J$10:$J$224),0),
IF('TL03'!$B$229=N$3,SUMIF('TL03'!$C$238:$C$451,$C357,'TL03'!$J$238:$J$451),0),
IF('TL04'!$B$3=N$3,SUMIF('TL04'!$C$10:$C$224,$C357,'TL04'!$J$10:$J$224),0),
IF('TL04'!$B$229=N$3,SUMIF('TL04'!$C$238:$C$451,$C357,'TL04'!$J$238:$J$451),0),
IF('TL05'!$B$3=N$3,SUMIF('TL05'!$C$10:$C$224,$C357,'TL05'!$J$10:$J$224),0),
IF('TL05'!$B$229=N$3,SUMIF('TL05'!$C$238:$C$451,$C357,'TL05'!$J$238:$J$451),0),
IF('TL06'!$B$3=N$3,SUMIF('TL06'!$C$10:$C$224,$C357,'TL06'!$J$10:$J$224),0),
IF('TL06'!$B$229=N$3,SUMIF('TL06'!$C$238:$C$451,$C357,'TL06'!$J$238:$J$451),0),
IF('TL07'!$B$3=N$3,SUMIF('TL07'!$C$10:$C$224,$C357,'TL07'!$J$10:$J$224),0),
IF('TL07'!$B$229=N$3,SUMIF('TL07'!$C$238:$C$451,$C357,'TL07'!$J$238:$J$451),0),
IF('TL08'!$B$3=N$3,SUMIF('TL08'!$C$10:$C$224,$C357,'TL08'!$J$10:$J$224),0),
IF('TL08'!$B$229=N$3,SUMIF('TL08'!$C$238:$C$451,$C357,'TL08'!$J$238:$J$451),0),
IF('TL09'!$B$3=N$3,SUMIF('TL09'!$C$10:$C$224,$C357,'TL09'!$J$10:$J$224),0),
IF('TL09'!$B$229=N$3,SUMIF('TL09'!$C$238:$C$451,$C357,'TL09'!$J$238:$J$451),0),
IF('TL10'!$B$3=N$3,SUMIF('TL10'!$C$10:$C$224,$C357,'TL10'!$J$10:$J$224),0),
IF('TL10'!$B$229=N$3,SUMIF('TL10'!$C$238:$C$451,$C357,'TL10'!$J$238:$J$451),0),
IF('TL11'!$B$3=N$3,SUMIF('TL11'!$C$10:$C$224,$C357,'TL11'!$J$10:$J$224),0),
IF('TL11'!$B$229=N$3,SUMIF('TL11'!$C$238:$C$451,$C357,'TL11'!$J$238:$J$451),0),
IF('TL12'!$B$3=N$3,SUMIF('TL12'!$C$10:$C$224,$C357,'TL12'!$J$10:$J$224),0),
IF('TL12'!$B$229=N$3,SUMIF('TL12'!$C$238:$C$451,$C357,'TL12'!$J$238:$J$451),0),
IF('TL13'!$B$3=N$3,SUMIF('TL13'!$C$10:$C$224,$C357,'TL13'!$J$10:$J$224),0),
IF('TL13'!$B$229=N$3,SUMIF('TL13'!$C$238:$C$451,$C357,'TL13'!$J$238:$J$451),0),
IF('TL14'!$B$3=N$3,SUMIF('TL14'!$C$10:$C$224,$C357,'TL14'!$J$10:$J$224),0),
IF('TL14'!$B$229=N$3,SUMIF('TL14'!$C$238:$C$451,$C357,'TL14'!$J$238:$J$451),0),
IF('TL15'!$B$3=N$3,SUMIF('TL15'!$C$10:$C$224,$C357,'TL15'!$J$10:$J$224),0),
IF('TL15'!$B$229=N$3,SUMIF('TL15'!$C$238:$C$451,$C357,'TL15'!$J$238:$J$451),0),
IF('TL16'!$B$3=N$3,SUMIF('TL16'!$C$10:$C$224,$C357,'TL16'!$J$10:$J$224),0),
IF('TL16'!$B$229=N$3,SUMIF('TL16'!$C$238:$C$451,$C357,'TL16'!$J$238:$J$451),0),
IF('TL17'!$B$3=N$3,SUMIF('TL17'!$C$10:$C$224,$C357,'TL17'!$J$10:$J$224),0),
IF('TL17'!$B$229=N$3,SUMIF('TL17'!$C$238:$C$451,$C357,'TL17'!$J$238:$J$451),0),
IF('TL18'!$B$3=N$3,SUMIF('TL18'!$C$10:$C$224,$C357,'TL18'!$J$10:$J$224),0),
IF('TL18'!$B$229=N$3,SUMIF('TL18'!$C$238:$C$451,$C357,'TL18'!$J$238:$J$451),0),
IF('TL19'!$B$3=N$3,SUMIF('TL19'!$C$10:$C$224,$C357,'TL19'!$J$10:$J$224),0),
IF('TL19'!$B$229=N$3,SUMIF('TL19'!$C$238:$C$451,$C357,'TL19'!$J$238:$J$451),0)
),0)</f>
        <v>0</v>
      </c>
      <c r="O357" s="9">
        <f>IFERROR(SUM(
IF('TL01'!$B$3=O$3,SUMIF('TL01'!$C$10:$C$224,$C357,'TL01'!$J$10:$J$224),0),
IF('TL01'!$B$229=O$3,SUMIF('TL01'!$C$238:$C$451,$C357,'TL01'!$J$238:$J$451),0),
IF('TL02'!$B$3=O$3,SUMIF('TL02'!$C$10:$C$224,$C357,'TL02'!$J$10:$J$224),0),
IF('TL02'!$B$229=O$3,SUMIF('TL02'!$C$238:$C$451,$C357,'TL02'!$J$238:$J$451),0),
IF('TL03'!$B$3=O$3,SUMIF('TL03'!$C$10:$C$224,$C357,'TL03'!$J$10:$J$224),0),
IF('TL03'!$B$229=O$3,SUMIF('TL03'!$C$238:$C$451,$C357,'TL03'!$J$238:$J$451),0),
IF('TL04'!$B$3=O$3,SUMIF('TL04'!$C$10:$C$224,$C357,'TL04'!$J$10:$J$224),0),
IF('TL04'!$B$229=O$3,SUMIF('TL04'!$C$238:$C$451,$C357,'TL04'!$J$238:$J$451),0),
IF('TL05'!$B$3=O$3,SUMIF('TL05'!$C$10:$C$224,$C357,'TL05'!$J$10:$J$224),0),
IF('TL05'!$B$229=O$3,SUMIF('TL05'!$C$238:$C$451,$C357,'TL05'!$J$238:$J$451),0),
IF('TL06'!$B$3=O$3,SUMIF('TL06'!$C$10:$C$224,$C357,'TL06'!$J$10:$J$224),0),
IF('TL06'!$B$229=O$3,SUMIF('TL06'!$C$238:$C$451,$C357,'TL06'!$J$238:$J$451),0),
IF('TL07'!$B$3=O$3,SUMIF('TL07'!$C$10:$C$224,$C357,'TL07'!$J$10:$J$224),0),
IF('TL07'!$B$229=O$3,SUMIF('TL07'!$C$238:$C$451,$C357,'TL07'!$J$238:$J$451),0),
IF('TL08'!$B$3=O$3,SUMIF('TL08'!$C$10:$C$224,$C357,'TL08'!$J$10:$J$224),0),
IF('TL08'!$B$229=O$3,SUMIF('TL08'!$C$238:$C$451,$C357,'TL08'!$J$238:$J$451),0),
IF('TL09'!$B$3=O$3,SUMIF('TL09'!$C$10:$C$224,$C357,'TL09'!$J$10:$J$224),0),
IF('TL09'!$B$229=O$3,SUMIF('TL09'!$C$238:$C$451,$C357,'TL09'!$J$238:$J$451),0),
IF('TL10'!$B$3=O$3,SUMIF('TL10'!$C$10:$C$224,$C357,'TL10'!$J$10:$J$224),0),
IF('TL10'!$B$229=O$3,SUMIF('TL10'!$C$238:$C$451,$C357,'TL10'!$J$238:$J$451),0),
IF('TL11'!$B$3=O$3,SUMIF('TL11'!$C$10:$C$224,$C357,'TL11'!$J$10:$J$224),0),
IF('TL11'!$B$229=O$3,SUMIF('TL11'!$C$238:$C$451,$C357,'TL11'!$J$238:$J$451),0),
IF('TL12'!$B$3=O$3,SUMIF('TL12'!$C$10:$C$224,$C357,'TL12'!$J$10:$J$224),0),
IF('TL12'!$B$229=O$3,SUMIF('TL12'!$C$238:$C$451,$C357,'TL12'!$J$238:$J$451),0),
IF('TL13'!$B$3=O$3,SUMIF('TL13'!$C$10:$C$224,$C357,'TL13'!$J$10:$J$224),0),
IF('TL13'!$B$229=O$3,SUMIF('TL13'!$C$238:$C$451,$C357,'TL13'!$J$238:$J$451),0),
IF('TL14'!$B$3=O$3,SUMIF('TL14'!$C$10:$C$224,$C357,'TL14'!$J$10:$J$224),0),
IF('TL14'!$B$229=O$3,SUMIF('TL14'!$C$238:$C$451,$C357,'TL14'!$J$238:$J$451),0),
IF('TL15'!$B$3=O$3,SUMIF('TL15'!$C$10:$C$224,$C357,'TL15'!$J$10:$J$224),0),
IF('TL15'!$B$229=O$3,SUMIF('TL15'!$C$238:$C$451,$C357,'TL15'!$J$238:$J$451),0),
IF('TL16'!$B$3=O$3,SUMIF('TL16'!$C$10:$C$224,$C357,'TL16'!$J$10:$J$224),0),
IF('TL16'!$B$229=O$3,SUMIF('TL16'!$C$238:$C$451,$C357,'TL16'!$J$238:$J$451),0),
IF('TL17'!$B$3=O$3,SUMIF('TL17'!$C$10:$C$224,$C357,'TL17'!$J$10:$J$224),0),
IF('TL17'!$B$229=O$3,SUMIF('TL17'!$C$238:$C$451,$C357,'TL17'!$J$238:$J$451),0),
IF('TL18'!$B$3=O$3,SUMIF('TL18'!$C$10:$C$224,$C357,'TL18'!$J$10:$J$224),0),
IF('TL18'!$B$229=O$3,SUMIF('TL18'!$C$238:$C$451,$C357,'TL18'!$J$238:$J$451),0),
IF('TL19'!$B$3=O$3,SUMIF('TL19'!$C$10:$C$224,$C357,'TL19'!$J$10:$J$224),0),
IF('TL19'!$B$229=O$3,SUMIF('TL19'!$C$238:$C$451,$C357,'TL19'!$J$238:$J$451),0)
),0)</f>
        <v>0</v>
      </c>
      <c r="P357" s="9">
        <f>IFERROR(SUM(
IF('TL01'!$B$3=P$3,SUMIF('TL01'!$C$10:$C$224,$C357,'TL01'!$J$10:$J$224),0),
IF('TL01'!$B$229=P$3,SUMIF('TL01'!$C$238:$C$451,$C357,'TL01'!$J$238:$J$451),0),
IF('TL02'!$B$3=P$3,SUMIF('TL02'!$C$10:$C$224,$C357,'TL02'!$J$10:$J$224),0),
IF('TL02'!$B$229=P$3,SUMIF('TL02'!$C$238:$C$451,$C357,'TL02'!$J$238:$J$451),0),
IF('TL03'!$B$3=P$3,SUMIF('TL03'!$C$10:$C$224,$C357,'TL03'!$J$10:$J$224),0),
IF('TL03'!$B$229=P$3,SUMIF('TL03'!$C$238:$C$451,$C357,'TL03'!$J$238:$J$451),0),
IF('TL04'!$B$3=P$3,SUMIF('TL04'!$C$10:$C$224,$C357,'TL04'!$J$10:$J$224),0),
IF('TL04'!$B$229=P$3,SUMIF('TL04'!$C$238:$C$451,$C357,'TL04'!$J$238:$J$451),0),
IF('TL05'!$B$3=P$3,SUMIF('TL05'!$C$10:$C$224,$C357,'TL05'!$J$10:$J$224),0),
IF('TL05'!$B$229=P$3,SUMIF('TL05'!$C$238:$C$451,$C357,'TL05'!$J$238:$J$451),0),
IF('TL06'!$B$3=P$3,SUMIF('TL06'!$C$10:$C$224,$C357,'TL06'!$J$10:$J$224),0),
IF('TL06'!$B$229=P$3,SUMIF('TL06'!$C$238:$C$451,$C357,'TL06'!$J$238:$J$451),0),
IF('TL07'!$B$3=P$3,SUMIF('TL07'!$C$10:$C$224,$C357,'TL07'!$J$10:$J$224),0),
IF('TL07'!$B$229=P$3,SUMIF('TL07'!$C$238:$C$451,$C357,'TL07'!$J$238:$J$451),0),
IF('TL08'!$B$3=P$3,SUMIF('TL08'!$C$10:$C$224,$C357,'TL08'!$J$10:$J$224),0),
IF('TL08'!$B$229=P$3,SUMIF('TL08'!$C$238:$C$451,$C357,'TL08'!$J$238:$J$451),0),
IF('TL09'!$B$3=P$3,SUMIF('TL09'!$C$10:$C$224,$C357,'TL09'!$J$10:$J$224),0),
IF('TL09'!$B$229=P$3,SUMIF('TL09'!$C$238:$C$451,$C357,'TL09'!$J$238:$J$451),0),
IF('TL10'!$B$3=P$3,SUMIF('TL10'!$C$10:$C$224,$C357,'TL10'!$J$10:$J$224),0),
IF('TL10'!$B$229=P$3,SUMIF('TL10'!$C$238:$C$451,$C357,'TL10'!$J$238:$J$451),0),
IF('TL11'!$B$3=P$3,SUMIF('TL11'!$C$10:$C$224,$C357,'TL11'!$J$10:$J$224),0),
IF('TL11'!$B$229=P$3,SUMIF('TL11'!$C$238:$C$451,$C357,'TL11'!$J$238:$J$451),0),
IF('TL12'!$B$3=P$3,SUMIF('TL12'!$C$10:$C$224,$C357,'TL12'!$J$10:$J$224),0),
IF('TL12'!$B$229=P$3,SUMIF('TL12'!$C$238:$C$451,$C357,'TL12'!$J$238:$J$451),0),
IF('TL13'!$B$3=P$3,SUMIF('TL13'!$C$10:$C$224,$C357,'TL13'!$J$10:$J$224),0),
IF('TL13'!$B$229=P$3,SUMIF('TL13'!$C$238:$C$451,$C357,'TL13'!$J$238:$J$451),0),
IF('TL14'!$B$3=P$3,SUMIF('TL14'!$C$10:$C$224,$C357,'TL14'!$J$10:$J$224),0),
IF('TL14'!$B$229=P$3,SUMIF('TL14'!$C$238:$C$451,$C357,'TL14'!$J$238:$J$451),0),
IF('TL15'!$B$3=P$3,SUMIF('TL15'!$C$10:$C$224,$C357,'TL15'!$J$10:$J$224),0),
IF('TL15'!$B$229=P$3,SUMIF('TL15'!$C$238:$C$451,$C357,'TL15'!$J$238:$J$451),0),
IF('TL16'!$B$3=P$3,SUMIF('TL16'!$C$10:$C$224,$C357,'TL16'!$J$10:$J$224),0),
IF('TL16'!$B$229=P$3,SUMIF('TL16'!$C$238:$C$451,$C357,'TL16'!$J$238:$J$451),0),
IF('TL17'!$B$3=P$3,SUMIF('TL17'!$C$10:$C$224,$C357,'TL17'!$J$10:$J$224),0),
IF('TL17'!$B$229=P$3,SUMIF('TL17'!$C$238:$C$451,$C357,'TL17'!$J$238:$J$451),0),
IF('TL18'!$B$3=P$3,SUMIF('TL18'!$C$10:$C$224,$C357,'TL18'!$J$10:$J$224),0),
IF('TL18'!$B$229=P$3,SUMIF('TL18'!$C$238:$C$451,$C357,'TL18'!$J$238:$J$451),0),
IF('TL19'!$B$3=P$3,SUMIF('TL19'!$C$10:$C$224,$C357,'TL19'!$J$10:$J$224),0),
IF('TL19'!$B$229=P$3,SUMIF('TL19'!$C$238:$C$451,$C357,'TL19'!$J$238:$J$451),0)
),0)</f>
        <v>0</v>
      </c>
      <c r="Q357" s="9">
        <f>IFERROR(SUM(
IF('TL01'!$B$3=Q$3,SUMIF('TL01'!$C$10:$C$224,$C357,'TL01'!$J$10:$J$224),0),
IF('TL01'!$B$229=Q$3,SUMIF('TL01'!$C$238:$C$451,$C357,'TL01'!$J$238:$J$451),0),
IF('TL02'!$B$3=Q$3,SUMIF('TL02'!$C$10:$C$224,$C357,'TL02'!$J$10:$J$224),0),
IF('TL02'!$B$229=Q$3,SUMIF('TL02'!$C$238:$C$451,$C357,'TL02'!$J$238:$J$451),0),
IF('TL03'!$B$3=Q$3,SUMIF('TL03'!$C$10:$C$224,$C357,'TL03'!$J$10:$J$224),0),
IF('TL03'!$B$229=Q$3,SUMIF('TL03'!$C$238:$C$451,$C357,'TL03'!$J$238:$J$451),0),
IF('TL04'!$B$3=Q$3,SUMIF('TL04'!$C$10:$C$224,$C357,'TL04'!$J$10:$J$224),0),
IF('TL04'!$B$229=Q$3,SUMIF('TL04'!$C$238:$C$451,$C357,'TL04'!$J$238:$J$451),0),
IF('TL05'!$B$3=Q$3,SUMIF('TL05'!$C$10:$C$224,$C357,'TL05'!$J$10:$J$224),0),
IF('TL05'!$B$229=Q$3,SUMIF('TL05'!$C$238:$C$451,$C357,'TL05'!$J$238:$J$451),0),
IF('TL06'!$B$3=Q$3,SUMIF('TL06'!$C$10:$C$224,$C357,'TL06'!$J$10:$J$224),0),
IF('TL06'!$B$229=Q$3,SUMIF('TL06'!$C$238:$C$451,$C357,'TL06'!$J$238:$J$451),0),
IF('TL07'!$B$3=Q$3,SUMIF('TL07'!$C$10:$C$224,$C357,'TL07'!$J$10:$J$224),0),
IF('TL07'!$B$229=Q$3,SUMIF('TL07'!$C$238:$C$451,$C357,'TL07'!$J$238:$J$451),0),
IF('TL08'!$B$3=Q$3,SUMIF('TL08'!$C$10:$C$224,$C357,'TL08'!$J$10:$J$224),0),
IF('TL08'!$B$229=Q$3,SUMIF('TL08'!$C$238:$C$451,$C357,'TL08'!$J$238:$J$451),0),
IF('TL09'!$B$3=Q$3,SUMIF('TL09'!$C$10:$C$224,$C357,'TL09'!$J$10:$J$224),0),
IF('TL09'!$B$229=Q$3,SUMIF('TL09'!$C$238:$C$451,$C357,'TL09'!$J$238:$J$451),0),
IF('TL10'!$B$3=Q$3,SUMIF('TL10'!$C$10:$C$224,$C357,'TL10'!$J$10:$J$224),0),
IF('TL10'!$B$229=Q$3,SUMIF('TL10'!$C$238:$C$451,$C357,'TL10'!$J$238:$J$451),0),
IF('TL11'!$B$3=Q$3,SUMIF('TL11'!$C$10:$C$224,$C357,'TL11'!$J$10:$J$224),0),
IF('TL11'!$B$229=Q$3,SUMIF('TL11'!$C$238:$C$451,$C357,'TL11'!$J$238:$J$451),0),
IF('TL12'!$B$3=Q$3,SUMIF('TL12'!$C$10:$C$224,$C357,'TL12'!$J$10:$J$224),0),
IF('TL12'!$B$229=Q$3,SUMIF('TL12'!$C$238:$C$451,$C357,'TL12'!$J$238:$J$451),0),
IF('TL13'!$B$3=Q$3,SUMIF('TL13'!$C$10:$C$224,$C357,'TL13'!$J$10:$J$224),0),
IF('TL13'!$B$229=Q$3,SUMIF('TL13'!$C$238:$C$451,$C357,'TL13'!$J$238:$J$451),0),
IF('TL14'!$B$3=Q$3,SUMIF('TL14'!$C$10:$C$224,$C357,'TL14'!$J$10:$J$224),0),
IF('TL14'!$B$229=Q$3,SUMIF('TL14'!$C$238:$C$451,$C357,'TL14'!$J$238:$J$451),0),
IF('TL15'!$B$3=Q$3,SUMIF('TL15'!$C$10:$C$224,$C357,'TL15'!$J$10:$J$224),0),
IF('TL15'!$B$229=Q$3,SUMIF('TL15'!$C$238:$C$451,$C357,'TL15'!$J$238:$J$451),0),
IF('TL16'!$B$3=Q$3,SUMIF('TL16'!$C$10:$C$224,$C357,'TL16'!$J$10:$J$224),0),
IF('TL16'!$B$229=Q$3,SUMIF('TL16'!$C$238:$C$451,$C357,'TL16'!$J$238:$J$451),0),
IF('TL17'!$B$3=Q$3,SUMIF('TL17'!$C$10:$C$224,$C357,'TL17'!$J$10:$J$224),0),
IF('TL17'!$B$229=Q$3,SUMIF('TL17'!$C$238:$C$451,$C357,'TL17'!$J$238:$J$451),0),
IF('TL18'!$B$3=Q$3,SUMIF('TL18'!$C$10:$C$224,$C357,'TL18'!$J$10:$J$224),0),
IF('TL18'!$B$229=Q$3,SUMIF('TL18'!$C$238:$C$451,$C357,'TL18'!$J$238:$J$451),0),
IF('TL19'!$B$3=Q$3,SUMIF('TL19'!$C$10:$C$224,$C357,'TL19'!$J$10:$J$224),0),
IF('TL19'!$B$229=Q$3,SUMIF('TL19'!$C$238:$C$451,$C357,'TL19'!$J$238:$J$451),0)
),0)</f>
        <v>0</v>
      </c>
      <c r="R357" s="9">
        <f>IFERROR(
SUM(
SUMIF('TL01'!C:C,C357,'TL01'!J:J),
SUMIF('TL02'!C:C,C357,'TL02'!J:J),
SUMIF('TL03'!C:C,C357,'TL03'!J:J),
SUMIF('TL04'!C:C,C357,'TL04'!J:J),
SUMIF('TL05'!C:C,C357,'TL05'!J:J),
SUMIF('TL06'!C:C,C357,'TL06'!J:J),
SUMIF('TL07'!C:C,C357,'TL07'!J:J),
SUMIF('TL08'!C:C,C357,'TL08'!J:J),
SUMIF('TL09'!C:C,C357,'TL09'!J:J),
SUMIF('TL10'!C:C,C357,'TL10'!J:J),
SUMIF('TL11'!C:C,C357,'TL11'!J:J),
SUMIF('TL12'!C:C,C357,'TL12'!J:J),
SUMIF('TL13'!C:C,C357,'TL13'!J:J),
SUMIF('TL14'!C:C,C357,'TL14'!J:J),
SUMIF('TL15'!C:C,C357,'TL15'!J:J),
SUMIF('TL16'!C:C,C357,'TL16'!J:J),
SUMIF('TL17'!C:C,C357,'TL17'!J:J),
SUMIF('TL18'!C:C,C357,'TL18'!J:J),SUMIF('TL19'!C:C,C357,'TL19'!J:J))
,0)</f>
        <v>0</v>
      </c>
      <c r="S357" s="17">
        <f>IFERROR(__xludf.DUMMYFUNCTION("IFERROR(VLOOKUP(C357,
IMPORTRANGE(""1wULbzX32WdYsx-lj2U3uUNBBe2INVIRDtcK0d-Dvl90"",
""26-27!C:G""),
5,
FALSE),
"""")"),309.92)</f>
        <v>309.92</v>
      </c>
      <c r="T357" s="9"/>
      <c r="U357" s="92">
        <f t="shared" si="2"/>
        <v>0</v>
      </c>
      <c r="V357" s="93">
        <f t="shared" si="3"/>
        <v>0</v>
      </c>
    </row>
    <row r="358" ht="15.75" hidden="1" customHeight="1">
      <c r="A358" s="4" t="s">
        <v>1071</v>
      </c>
      <c r="B358" s="4" t="s">
        <v>4</v>
      </c>
      <c r="C358" s="126" t="s">
        <v>1088</v>
      </c>
      <c r="D358" s="127" t="s">
        <v>1089</v>
      </c>
      <c r="E358" s="6"/>
      <c r="F358" s="4" t="s">
        <v>343</v>
      </c>
      <c r="G358" s="90" t="str">
        <f t="shared" si="5"/>
        <v>📄 Ver bula</v>
      </c>
      <c r="H358" s="4">
        <v>2.0</v>
      </c>
      <c r="I358" s="121" t="s">
        <v>382</v>
      </c>
      <c r="J358" s="9">
        <f>IFERROR(SUM(
IF('TL01'!$B$3=J$3,SUMIF('TL01'!$C$10:$C$224,$C358,'TL01'!$J$10:$J$224),0),
IF('TL01'!$B$229=J$3,SUMIF('TL01'!$C$238:$C$451,$C358,'TL01'!$J$238:$J$451),0),
IF('TL02'!$B$3=J$3,SUMIF('TL02'!$C$10:$C$224,$C358,'TL02'!$J$10:$J$224),0),
IF('TL02'!$B$229=J$3,SUMIF('TL02'!$C$238:$C$451,$C358,'TL02'!$J$238:$J$451),0),
IF('TL03'!$B$3=J$3,SUMIF('TL03'!$C$10:$C$224,$C358,'TL03'!$J$10:$J$224),0),
IF('TL03'!$B$229=J$3,SUMIF('TL03'!$C$238:$C$451,$C358,'TL03'!$J$238:$J$451),0),
IF('TL04'!$B$3=J$3,SUMIF('TL04'!$C$10:$C$224,$C358,'TL04'!$J$10:$J$224),0),
IF('TL04'!$B$229=J$3,SUMIF('TL04'!$C$238:$C$451,$C358,'TL04'!$J$238:$J$451),0),
IF('TL05'!$B$3=J$3,SUMIF('TL05'!$C$10:$C$224,$C358,'TL05'!$J$10:$J$224),0),
IF('TL05'!$B$229=J$3,SUMIF('TL05'!$C$238:$C$451,$C358,'TL05'!$J$238:$J$451),0),
IF('TL06'!$B$3=J$3,SUMIF('TL06'!$C$10:$C$224,$C358,'TL06'!$J$10:$J$224),0),
IF('TL06'!$B$229=J$3,SUMIF('TL06'!$C$238:$C$451,$C358,'TL06'!$J$238:$J$451),0),
IF('TL07'!$B$3=J$3,SUMIF('TL07'!$C$10:$C$224,$C358,'TL07'!$J$10:$J$224),0),
IF('TL07'!$B$229=J$3,SUMIF('TL07'!$C$238:$C$451,$C358,'TL07'!$J$238:$J$451),0),
IF('TL08'!$B$3=J$3,SUMIF('TL08'!$C$10:$C$224,$C358,'TL08'!$J$10:$J$224),0),
IF('TL08'!$B$229=J$3,SUMIF('TL08'!$C$238:$C$451,$C358,'TL08'!$J$238:$J$451),0),
IF('TL09'!$B$3=J$3,SUMIF('TL09'!$C$10:$C$224,$C358,'TL09'!$J$10:$J$224),0),
IF('TL09'!$B$229=J$3,SUMIF('TL09'!$C$238:$C$451,$C358,'TL09'!$J$238:$J$451),0),
IF('TL10'!$B$3=J$3,SUMIF('TL10'!$C$10:$C$224,$C358,'TL10'!$J$10:$J$224),0),
IF('TL10'!$B$229=J$3,SUMIF('TL10'!$C$238:$C$451,$C358,'TL10'!$J$238:$J$451),0),
IF('TL11'!$B$3=J$3,SUMIF('TL11'!$C$10:$C$224,$C358,'TL11'!$J$10:$J$224),0),
IF('TL11'!$B$229=J$3,SUMIF('TL11'!$C$238:$C$451,$C358,'TL11'!$J$238:$J$451),0),
IF('TL12'!$B$3=J$3,SUMIF('TL12'!$C$10:$C$224,$C358,'TL12'!$J$10:$J$224),0),
IF('TL12'!$B$229=J$3,SUMIF('TL12'!$C$238:$C$451,$C358,'TL12'!$J$238:$J$451),0),
IF('TL13'!$B$3=J$3,SUMIF('TL13'!$C$10:$C$224,$C358,'TL13'!$J$10:$J$224),0),
IF('TL13'!$B$229=J$3,SUMIF('TL13'!$C$238:$C$451,$C358,'TL13'!$J$238:$J$451),0),
IF('TL14'!$B$3=J$3,SUMIF('TL14'!$C$10:$C$224,$C358,'TL14'!$J$10:$J$224),0),
IF('TL14'!$B$229=J$3,SUMIF('TL14'!$C$238:$C$451,$C358,'TL14'!$J$238:$J$451),0),
IF('TL15'!$B$3=J$3,SUMIF('TL15'!$C$10:$C$224,$C358,'TL15'!$J$10:$J$224),0),
IF('TL15'!$B$229=J$3,SUMIF('TL15'!$C$238:$C$451,$C358,'TL15'!$J$238:$J$451),0),
IF('TL16'!$B$3=J$3,SUMIF('TL16'!$C$10:$C$224,$C358,'TL16'!$J$10:$J$224),0),
IF('TL16'!$B$229=J$3,SUMIF('TL16'!$C$238:$C$451,$C358,'TL16'!$J$238:$J$451),0),
IF('TL17'!$B$3=J$3,SUMIF('TL17'!$C$10:$C$224,$C358,'TL17'!$J$10:$J$224),0),
IF('TL17'!$B$229=J$3,SUMIF('TL17'!$C$238:$C$451,$C358,'TL17'!$J$238:$J$451),0),
IF('TL18'!$B$3=J$3,SUMIF('TL18'!$C$10:$C$224,$C358,'TL18'!$J$10:$J$224),0),
IF('TL18'!$B$229=J$3,SUMIF('TL18'!$C$238:$C$451,$C358,'TL18'!$J$238:$J$451),0),
IF('TL19'!$B$3=J$3,SUMIF('TL19'!$C$10:$C$224,$C358,'TL19'!$J$10:$J$224),0),
IF('TL19'!$B$229=J$3,SUMIF('TL19'!$C$238:$C$451,$C358,'TL19'!$J$238:$J$451),0)
),0)</f>
        <v>0</v>
      </c>
      <c r="K358" s="9">
        <f>IFERROR(SUM(
IF('TL01'!$B$3=K$3,SUMIF('TL01'!$C$10:$C$224,$C358,'TL01'!$J$10:$J$224),0),
IF('TL01'!$B$229=K$3,SUMIF('TL01'!$C$238:$C$451,$C358,'TL01'!$J$238:$J$451),0),
IF('TL02'!$B$3=K$3,SUMIF('TL02'!$C$10:$C$224,$C358,'TL02'!$J$10:$J$224),0),
IF('TL02'!$B$229=K$3,SUMIF('TL02'!$C$238:$C$451,$C358,'TL02'!$J$238:$J$451),0),
IF('TL03'!$B$3=K$3,SUMIF('TL03'!$C$10:$C$224,$C358,'TL03'!$J$10:$J$224),0),
IF('TL03'!$B$229=K$3,SUMIF('TL03'!$C$238:$C$451,$C358,'TL03'!$J$238:$J$451),0),
IF('TL04'!$B$3=K$3,SUMIF('TL04'!$C$10:$C$224,$C358,'TL04'!$J$10:$J$224),0),
IF('TL04'!$B$229=K$3,SUMIF('TL04'!$C$238:$C$451,$C358,'TL04'!$J$238:$J$451),0),
IF('TL05'!$B$3=K$3,SUMIF('TL05'!$C$10:$C$224,$C358,'TL05'!$J$10:$J$224),0),
IF('TL05'!$B$229=K$3,SUMIF('TL05'!$C$238:$C$451,$C358,'TL05'!$J$238:$J$451),0),
IF('TL06'!$B$3=K$3,SUMIF('TL06'!$C$10:$C$224,$C358,'TL06'!$J$10:$J$224),0),
IF('TL06'!$B$229=K$3,SUMIF('TL06'!$C$238:$C$451,$C358,'TL06'!$J$238:$J$451),0),
IF('TL07'!$B$3=K$3,SUMIF('TL07'!$C$10:$C$224,$C358,'TL07'!$J$10:$J$224),0),
IF('TL07'!$B$229=K$3,SUMIF('TL07'!$C$238:$C$451,$C358,'TL07'!$J$238:$J$451),0),
IF('TL08'!$B$3=K$3,SUMIF('TL08'!$C$10:$C$224,$C358,'TL08'!$J$10:$J$224),0),
IF('TL08'!$B$229=K$3,SUMIF('TL08'!$C$238:$C$451,$C358,'TL08'!$J$238:$J$451),0),
IF('TL09'!$B$3=K$3,SUMIF('TL09'!$C$10:$C$224,$C358,'TL09'!$J$10:$J$224),0),
IF('TL09'!$B$229=K$3,SUMIF('TL09'!$C$238:$C$451,$C358,'TL09'!$J$238:$J$451),0),
IF('TL10'!$B$3=K$3,SUMIF('TL10'!$C$10:$C$224,$C358,'TL10'!$J$10:$J$224),0),
IF('TL10'!$B$229=K$3,SUMIF('TL10'!$C$238:$C$451,$C358,'TL10'!$J$238:$J$451),0),
IF('TL11'!$B$3=K$3,SUMIF('TL11'!$C$10:$C$224,$C358,'TL11'!$J$10:$J$224),0),
IF('TL11'!$B$229=K$3,SUMIF('TL11'!$C$238:$C$451,$C358,'TL11'!$J$238:$J$451),0),
IF('TL12'!$B$3=K$3,SUMIF('TL12'!$C$10:$C$224,$C358,'TL12'!$J$10:$J$224),0),
IF('TL12'!$B$229=K$3,SUMIF('TL12'!$C$238:$C$451,$C358,'TL12'!$J$238:$J$451),0),
IF('TL13'!$B$3=K$3,SUMIF('TL13'!$C$10:$C$224,$C358,'TL13'!$J$10:$J$224),0),
IF('TL13'!$B$229=K$3,SUMIF('TL13'!$C$238:$C$451,$C358,'TL13'!$J$238:$J$451),0),
IF('TL14'!$B$3=K$3,SUMIF('TL14'!$C$10:$C$224,$C358,'TL14'!$J$10:$J$224),0),
IF('TL14'!$B$229=K$3,SUMIF('TL14'!$C$238:$C$451,$C358,'TL14'!$J$238:$J$451),0),
IF('TL15'!$B$3=K$3,SUMIF('TL15'!$C$10:$C$224,$C358,'TL15'!$J$10:$J$224),0),
IF('TL15'!$B$229=K$3,SUMIF('TL15'!$C$238:$C$451,$C358,'TL15'!$J$238:$J$451),0),
IF('TL16'!$B$3=K$3,SUMIF('TL16'!$C$10:$C$224,$C358,'TL16'!$J$10:$J$224),0),
IF('TL16'!$B$229=K$3,SUMIF('TL16'!$C$238:$C$451,$C358,'TL16'!$J$238:$J$451),0),
IF('TL17'!$B$3=K$3,SUMIF('TL17'!$C$10:$C$224,$C358,'TL17'!$J$10:$J$224),0),
IF('TL17'!$B$229=K$3,SUMIF('TL17'!$C$238:$C$451,$C358,'TL17'!$J$238:$J$451),0),
IF('TL18'!$B$3=K$3,SUMIF('TL18'!$C$10:$C$224,$C358,'TL18'!$J$10:$J$224),0),
IF('TL18'!$B$229=K$3,SUMIF('TL18'!$C$238:$C$451,$C358,'TL18'!$J$238:$J$451),0),
IF('TL19'!$B$3=K$3,SUMIF('TL19'!$C$10:$C$224,$C358,'TL19'!$J$10:$J$224),0),
IF('TL19'!$B$229=K$3,SUMIF('TL19'!$C$238:$C$451,$C358,'TL19'!$J$238:$J$451),0)
),0)</f>
        <v>0</v>
      </c>
      <c r="L358" s="9">
        <f>IFERROR(SUM(
IF('TL01'!$B$3=L$3,SUMIF('TL01'!$C$10:$C$224,$C358,'TL01'!$J$10:$J$224),0),
IF('TL01'!$B$229=L$3,SUMIF('TL01'!$C$238:$C$451,$C358,'TL01'!$J$238:$J$451),0),
IF('TL02'!$B$3=L$3,SUMIF('TL02'!$C$10:$C$224,$C358,'TL02'!$J$10:$J$224),0),
IF('TL02'!$B$229=L$3,SUMIF('TL02'!$C$238:$C$451,$C358,'TL02'!$J$238:$J$451),0),
IF('TL03'!$B$3=L$3,SUMIF('TL03'!$C$10:$C$224,$C358,'TL03'!$J$10:$J$224),0),
IF('TL03'!$B$229=L$3,SUMIF('TL03'!$C$238:$C$451,$C358,'TL03'!$J$238:$J$451),0),
IF('TL04'!$B$3=L$3,SUMIF('TL04'!$C$10:$C$224,$C358,'TL04'!$J$10:$J$224),0),
IF('TL04'!$B$229=L$3,SUMIF('TL04'!$C$238:$C$451,$C358,'TL04'!$J$238:$J$451),0),
IF('TL05'!$B$3=L$3,SUMIF('TL05'!$C$10:$C$224,$C358,'TL05'!$J$10:$J$224),0),
IF('TL05'!$B$229=L$3,SUMIF('TL05'!$C$238:$C$451,$C358,'TL05'!$J$238:$J$451),0),
IF('TL06'!$B$3=L$3,SUMIF('TL06'!$C$10:$C$224,$C358,'TL06'!$J$10:$J$224),0),
IF('TL06'!$B$229=L$3,SUMIF('TL06'!$C$238:$C$451,$C358,'TL06'!$J$238:$J$451),0),
IF('TL07'!$B$3=L$3,SUMIF('TL07'!$C$10:$C$224,$C358,'TL07'!$J$10:$J$224),0),
IF('TL07'!$B$229=L$3,SUMIF('TL07'!$C$238:$C$451,$C358,'TL07'!$J$238:$J$451),0),
IF('TL08'!$B$3=L$3,SUMIF('TL08'!$C$10:$C$224,$C358,'TL08'!$J$10:$J$224),0),
IF('TL08'!$B$229=L$3,SUMIF('TL08'!$C$238:$C$451,$C358,'TL08'!$J$238:$J$451),0),
IF('TL09'!$B$3=L$3,SUMIF('TL09'!$C$10:$C$224,$C358,'TL09'!$J$10:$J$224),0),
IF('TL09'!$B$229=L$3,SUMIF('TL09'!$C$238:$C$451,$C358,'TL09'!$J$238:$J$451),0),
IF('TL10'!$B$3=L$3,SUMIF('TL10'!$C$10:$C$224,$C358,'TL10'!$J$10:$J$224),0),
IF('TL10'!$B$229=L$3,SUMIF('TL10'!$C$238:$C$451,$C358,'TL10'!$J$238:$J$451),0),
IF('TL11'!$B$3=L$3,SUMIF('TL11'!$C$10:$C$224,$C358,'TL11'!$J$10:$J$224),0),
IF('TL11'!$B$229=L$3,SUMIF('TL11'!$C$238:$C$451,$C358,'TL11'!$J$238:$J$451),0),
IF('TL12'!$B$3=L$3,SUMIF('TL12'!$C$10:$C$224,$C358,'TL12'!$J$10:$J$224),0),
IF('TL12'!$B$229=L$3,SUMIF('TL12'!$C$238:$C$451,$C358,'TL12'!$J$238:$J$451),0),
IF('TL13'!$B$3=L$3,SUMIF('TL13'!$C$10:$C$224,$C358,'TL13'!$J$10:$J$224),0),
IF('TL13'!$B$229=L$3,SUMIF('TL13'!$C$238:$C$451,$C358,'TL13'!$J$238:$J$451),0),
IF('TL14'!$B$3=L$3,SUMIF('TL14'!$C$10:$C$224,$C358,'TL14'!$J$10:$J$224),0),
IF('TL14'!$B$229=L$3,SUMIF('TL14'!$C$238:$C$451,$C358,'TL14'!$J$238:$J$451),0),
IF('TL15'!$B$3=L$3,SUMIF('TL15'!$C$10:$C$224,$C358,'TL15'!$J$10:$J$224),0),
IF('TL15'!$B$229=L$3,SUMIF('TL15'!$C$238:$C$451,$C358,'TL15'!$J$238:$J$451),0),
IF('TL16'!$B$3=L$3,SUMIF('TL16'!$C$10:$C$224,$C358,'TL16'!$J$10:$J$224),0),
IF('TL16'!$B$229=L$3,SUMIF('TL16'!$C$238:$C$451,$C358,'TL16'!$J$238:$J$451),0),
IF('TL17'!$B$3=L$3,SUMIF('TL17'!$C$10:$C$224,$C358,'TL17'!$J$10:$J$224),0),
IF('TL17'!$B$229=L$3,SUMIF('TL17'!$C$238:$C$451,$C358,'TL17'!$J$238:$J$451),0),
IF('TL18'!$B$3=L$3,SUMIF('TL18'!$C$10:$C$224,$C358,'TL18'!$J$10:$J$224),0),
IF('TL18'!$B$229=L$3,SUMIF('TL18'!$C$238:$C$451,$C358,'TL18'!$J$238:$J$451),0),
IF('TL19'!$B$3=L$3,SUMIF('TL19'!$C$10:$C$224,$C358,'TL19'!$J$10:$J$224),0),
IF('TL19'!$B$229=L$3,SUMIF('TL19'!$C$238:$C$451,$C358,'TL19'!$J$238:$J$451),0)
),0)</f>
        <v>0</v>
      </c>
      <c r="M358" s="9">
        <f>IFERROR(SUM(
IF('TL01'!$B$3=M$3,SUMIF('TL01'!$C$10:$C$224,$C358,'TL01'!$J$10:$J$224),0),
IF('TL01'!$B$229=M$3,SUMIF('TL01'!$C$238:$C$451,$C358,'TL01'!$J$238:$J$451),0),
IF('TL02'!$B$3=M$3,SUMIF('TL02'!$C$10:$C$224,$C358,'TL02'!$J$10:$J$224),0),
IF('TL02'!$B$229=M$3,SUMIF('TL02'!$C$238:$C$451,$C358,'TL02'!$J$238:$J$451),0),
IF('TL03'!$B$3=M$3,SUMIF('TL03'!$C$10:$C$224,$C358,'TL03'!$J$10:$J$224),0),
IF('TL03'!$B$229=M$3,SUMIF('TL03'!$C$238:$C$451,$C358,'TL03'!$J$238:$J$451),0),
IF('TL04'!$B$3=M$3,SUMIF('TL04'!$C$10:$C$224,$C358,'TL04'!$J$10:$J$224),0),
IF('TL04'!$B$229=M$3,SUMIF('TL04'!$C$238:$C$451,$C358,'TL04'!$J$238:$J$451),0),
IF('TL05'!$B$3=M$3,SUMIF('TL05'!$C$10:$C$224,$C358,'TL05'!$J$10:$J$224),0),
IF('TL05'!$B$229=M$3,SUMIF('TL05'!$C$238:$C$451,$C358,'TL05'!$J$238:$J$451),0),
IF('TL06'!$B$3=M$3,SUMIF('TL06'!$C$10:$C$224,$C358,'TL06'!$J$10:$J$224),0),
IF('TL06'!$B$229=M$3,SUMIF('TL06'!$C$238:$C$451,$C358,'TL06'!$J$238:$J$451),0),
IF('TL07'!$B$3=M$3,SUMIF('TL07'!$C$10:$C$224,$C358,'TL07'!$J$10:$J$224),0),
IF('TL07'!$B$229=M$3,SUMIF('TL07'!$C$238:$C$451,$C358,'TL07'!$J$238:$J$451),0),
IF('TL08'!$B$3=M$3,SUMIF('TL08'!$C$10:$C$224,$C358,'TL08'!$J$10:$J$224),0),
IF('TL08'!$B$229=M$3,SUMIF('TL08'!$C$238:$C$451,$C358,'TL08'!$J$238:$J$451),0),
IF('TL09'!$B$3=M$3,SUMIF('TL09'!$C$10:$C$224,$C358,'TL09'!$J$10:$J$224),0),
IF('TL09'!$B$229=M$3,SUMIF('TL09'!$C$238:$C$451,$C358,'TL09'!$J$238:$J$451),0),
IF('TL10'!$B$3=M$3,SUMIF('TL10'!$C$10:$C$224,$C358,'TL10'!$J$10:$J$224),0),
IF('TL10'!$B$229=M$3,SUMIF('TL10'!$C$238:$C$451,$C358,'TL10'!$J$238:$J$451),0),
IF('TL11'!$B$3=M$3,SUMIF('TL11'!$C$10:$C$224,$C358,'TL11'!$J$10:$J$224),0),
IF('TL11'!$B$229=M$3,SUMIF('TL11'!$C$238:$C$451,$C358,'TL11'!$J$238:$J$451),0),
IF('TL12'!$B$3=M$3,SUMIF('TL12'!$C$10:$C$224,$C358,'TL12'!$J$10:$J$224),0),
IF('TL12'!$B$229=M$3,SUMIF('TL12'!$C$238:$C$451,$C358,'TL12'!$J$238:$J$451),0),
IF('TL13'!$B$3=M$3,SUMIF('TL13'!$C$10:$C$224,$C358,'TL13'!$J$10:$J$224),0),
IF('TL13'!$B$229=M$3,SUMIF('TL13'!$C$238:$C$451,$C358,'TL13'!$J$238:$J$451),0),
IF('TL14'!$B$3=M$3,SUMIF('TL14'!$C$10:$C$224,$C358,'TL14'!$J$10:$J$224),0),
IF('TL14'!$B$229=M$3,SUMIF('TL14'!$C$238:$C$451,$C358,'TL14'!$J$238:$J$451),0),
IF('TL15'!$B$3=M$3,SUMIF('TL15'!$C$10:$C$224,$C358,'TL15'!$J$10:$J$224),0),
IF('TL15'!$B$229=M$3,SUMIF('TL15'!$C$238:$C$451,$C358,'TL15'!$J$238:$J$451),0),
IF('TL16'!$B$3=M$3,SUMIF('TL16'!$C$10:$C$224,$C358,'TL16'!$J$10:$J$224),0),
IF('TL16'!$B$229=M$3,SUMIF('TL16'!$C$238:$C$451,$C358,'TL16'!$J$238:$J$451),0),
IF('TL17'!$B$3=M$3,SUMIF('TL17'!$C$10:$C$224,$C358,'TL17'!$J$10:$J$224),0),
IF('TL17'!$B$229=M$3,SUMIF('TL17'!$C$238:$C$451,$C358,'TL17'!$J$238:$J$451),0),
IF('TL18'!$B$3=M$3,SUMIF('TL18'!$C$10:$C$224,$C358,'TL18'!$J$10:$J$224),0),
IF('TL18'!$B$229=M$3,SUMIF('TL18'!$C$238:$C$451,$C358,'TL18'!$J$238:$J$451),0),
IF('TL19'!$B$3=M$3,SUMIF('TL19'!$C$10:$C$224,$C358,'TL19'!$J$10:$J$224),0),
IF('TL19'!$B$229=M$3,SUMIF('TL19'!$C$238:$C$451,$C358,'TL19'!$J$238:$J$451),0)
),0)</f>
        <v>0</v>
      </c>
      <c r="N358" s="9">
        <f>IFERROR(SUM(
IF('TL01'!$B$3=N$3,SUMIF('TL01'!$C$10:$C$224,$C358,'TL01'!$J$10:$J$224),0),
IF('TL01'!$B$229=N$3,SUMIF('TL01'!$C$238:$C$451,$C358,'TL01'!$J$238:$J$451),0),
IF('TL02'!$B$3=N$3,SUMIF('TL02'!$C$10:$C$224,$C358,'TL02'!$J$10:$J$224),0),
IF('TL02'!$B$229=N$3,SUMIF('TL02'!$C$238:$C$451,$C358,'TL02'!$J$238:$J$451),0),
IF('TL03'!$B$3=N$3,SUMIF('TL03'!$C$10:$C$224,$C358,'TL03'!$J$10:$J$224),0),
IF('TL03'!$B$229=N$3,SUMIF('TL03'!$C$238:$C$451,$C358,'TL03'!$J$238:$J$451),0),
IF('TL04'!$B$3=N$3,SUMIF('TL04'!$C$10:$C$224,$C358,'TL04'!$J$10:$J$224),0),
IF('TL04'!$B$229=N$3,SUMIF('TL04'!$C$238:$C$451,$C358,'TL04'!$J$238:$J$451),0),
IF('TL05'!$B$3=N$3,SUMIF('TL05'!$C$10:$C$224,$C358,'TL05'!$J$10:$J$224),0),
IF('TL05'!$B$229=N$3,SUMIF('TL05'!$C$238:$C$451,$C358,'TL05'!$J$238:$J$451),0),
IF('TL06'!$B$3=N$3,SUMIF('TL06'!$C$10:$C$224,$C358,'TL06'!$J$10:$J$224),0),
IF('TL06'!$B$229=N$3,SUMIF('TL06'!$C$238:$C$451,$C358,'TL06'!$J$238:$J$451),0),
IF('TL07'!$B$3=N$3,SUMIF('TL07'!$C$10:$C$224,$C358,'TL07'!$J$10:$J$224),0),
IF('TL07'!$B$229=N$3,SUMIF('TL07'!$C$238:$C$451,$C358,'TL07'!$J$238:$J$451),0),
IF('TL08'!$B$3=N$3,SUMIF('TL08'!$C$10:$C$224,$C358,'TL08'!$J$10:$J$224),0),
IF('TL08'!$B$229=N$3,SUMIF('TL08'!$C$238:$C$451,$C358,'TL08'!$J$238:$J$451),0),
IF('TL09'!$B$3=N$3,SUMIF('TL09'!$C$10:$C$224,$C358,'TL09'!$J$10:$J$224),0),
IF('TL09'!$B$229=N$3,SUMIF('TL09'!$C$238:$C$451,$C358,'TL09'!$J$238:$J$451),0),
IF('TL10'!$B$3=N$3,SUMIF('TL10'!$C$10:$C$224,$C358,'TL10'!$J$10:$J$224),0),
IF('TL10'!$B$229=N$3,SUMIF('TL10'!$C$238:$C$451,$C358,'TL10'!$J$238:$J$451),0),
IF('TL11'!$B$3=N$3,SUMIF('TL11'!$C$10:$C$224,$C358,'TL11'!$J$10:$J$224),0),
IF('TL11'!$B$229=N$3,SUMIF('TL11'!$C$238:$C$451,$C358,'TL11'!$J$238:$J$451),0),
IF('TL12'!$B$3=N$3,SUMIF('TL12'!$C$10:$C$224,$C358,'TL12'!$J$10:$J$224),0),
IF('TL12'!$B$229=N$3,SUMIF('TL12'!$C$238:$C$451,$C358,'TL12'!$J$238:$J$451),0),
IF('TL13'!$B$3=N$3,SUMIF('TL13'!$C$10:$C$224,$C358,'TL13'!$J$10:$J$224),0),
IF('TL13'!$B$229=N$3,SUMIF('TL13'!$C$238:$C$451,$C358,'TL13'!$J$238:$J$451),0),
IF('TL14'!$B$3=N$3,SUMIF('TL14'!$C$10:$C$224,$C358,'TL14'!$J$10:$J$224),0),
IF('TL14'!$B$229=N$3,SUMIF('TL14'!$C$238:$C$451,$C358,'TL14'!$J$238:$J$451),0),
IF('TL15'!$B$3=N$3,SUMIF('TL15'!$C$10:$C$224,$C358,'TL15'!$J$10:$J$224),0),
IF('TL15'!$B$229=N$3,SUMIF('TL15'!$C$238:$C$451,$C358,'TL15'!$J$238:$J$451),0),
IF('TL16'!$B$3=N$3,SUMIF('TL16'!$C$10:$C$224,$C358,'TL16'!$J$10:$J$224),0),
IF('TL16'!$B$229=N$3,SUMIF('TL16'!$C$238:$C$451,$C358,'TL16'!$J$238:$J$451),0),
IF('TL17'!$B$3=N$3,SUMIF('TL17'!$C$10:$C$224,$C358,'TL17'!$J$10:$J$224),0),
IF('TL17'!$B$229=N$3,SUMIF('TL17'!$C$238:$C$451,$C358,'TL17'!$J$238:$J$451),0),
IF('TL18'!$B$3=N$3,SUMIF('TL18'!$C$10:$C$224,$C358,'TL18'!$J$10:$J$224),0),
IF('TL18'!$B$229=N$3,SUMIF('TL18'!$C$238:$C$451,$C358,'TL18'!$J$238:$J$451),0),
IF('TL19'!$B$3=N$3,SUMIF('TL19'!$C$10:$C$224,$C358,'TL19'!$J$10:$J$224),0),
IF('TL19'!$B$229=N$3,SUMIF('TL19'!$C$238:$C$451,$C358,'TL19'!$J$238:$J$451),0)
),0)</f>
        <v>0</v>
      </c>
      <c r="O358" s="9">
        <f>IFERROR(SUM(
IF('TL01'!$B$3=O$3,SUMIF('TL01'!$C$10:$C$224,$C358,'TL01'!$J$10:$J$224),0),
IF('TL01'!$B$229=O$3,SUMIF('TL01'!$C$238:$C$451,$C358,'TL01'!$J$238:$J$451),0),
IF('TL02'!$B$3=O$3,SUMIF('TL02'!$C$10:$C$224,$C358,'TL02'!$J$10:$J$224),0),
IF('TL02'!$B$229=O$3,SUMIF('TL02'!$C$238:$C$451,$C358,'TL02'!$J$238:$J$451),0),
IF('TL03'!$B$3=O$3,SUMIF('TL03'!$C$10:$C$224,$C358,'TL03'!$J$10:$J$224),0),
IF('TL03'!$B$229=O$3,SUMIF('TL03'!$C$238:$C$451,$C358,'TL03'!$J$238:$J$451),0),
IF('TL04'!$B$3=O$3,SUMIF('TL04'!$C$10:$C$224,$C358,'TL04'!$J$10:$J$224),0),
IF('TL04'!$B$229=O$3,SUMIF('TL04'!$C$238:$C$451,$C358,'TL04'!$J$238:$J$451),0),
IF('TL05'!$B$3=O$3,SUMIF('TL05'!$C$10:$C$224,$C358,'TL05'!$J$10:$J$224),0),
IF('TL05'!$B$229=O$3,SUMIF('TL05'!$C$238:$C$451,$C358,'TL05'!$J$238:$J$451),0),
IF('TL06'!$B$3=O$3,SUMIF('TL06'!$C$10:$C$224,$C358,'TL06'!$J$10:$J$224),0),
IF('TL06'!$B$229=O$3,SUMIF('TL06'!$C$238:$C$451,$C358,'TL06'!$J$238:$J$451),0),
IF('TL07'!$B$3=O$3,SUMIF('TL07'!$C$10:$C$224,$C358,'TL07'!$J$10:$J$224),0),
IF('TL07'!$B$229=O$3,SUMIF('TL07'!$C$238:$C$451,$C358,'TL07'!$J$238:$J$451),0),
IF('TL08'!$B$3=O$3,SUMIF('TL08'!$C$10:$C$224,$C358,'TL08'!$J$10:$J$224),0),
IF('TL08'!$B$229=O$3,SUMIF('TL08'!$C$238:$C$451,$C358,'TL08'!$J$238:$J$451),0),
IF('TL09'!$B$3=O$3,SUMIF('TL09'!$C$10:$C$224,$C358,'TL09'!$J$10:$J$224),0),
IF('TL09'!$B$229=O$3,SUMIF('TL09'!$C$238:$C$451,$C358,'TL09'!$J$238:$J$451),0),
IF('TL10'!$B$3=O$3,SUMIF('TL10'!$C$10:$C$224,$C358,'TL10'!$J$10:$J$224),0),
IF('TL10'!$B$229=O$3,SUMIF('TL10'!$C$238:$C$451,$C358,'TL10'!$J$238:$J$451),0),
IF('TL11'!$B$3=O$3,SUMIF('TL11'!$C$10:$C$224,$C358,'TL11'!$J$10:$J$224),0),
IF('TL11'!$B$229=O$3,SUMIF('TL11'!$C$238:$C$451,$C358,'TL11'!$J$238:$J$451),0),
IF('TL12'!$B$3=O$3,SUMIF('TL12'!$C$10:$C$224,$C358,'TL12'!$J$10:$J$224),0),
IF('TL12'!$B$229=O$3,SUMIF('TL12'!$C$238:$C$451,$C358,'TL12'!$J$238:$J$451),0),
IF('TL13'!$B$3=O$3,SUMIF('TL13'!$C$10:$C$224,$C358,'TL13'!$J$10:$J$224),0),
IF('TL13'!$B$229=O$3,SUMIF('TL13'!$C$238:$C$451,$C358,'TL13'!$J$238:$J$451),0),
IF('TL14'!$B$3=O$3,SUMIF('TL14'!$C$10:$C$224,$C358,'TL14'!$J$10:$J$224),0),
IF('TL14'!$B$229=O$3,SUMIF('TL14'!$C$238:$C$451,$C358,'TL14'!$J$238:$J$451),0),
IF('TL15'!$B$3=O$3,SUMIF('TL15'!$C$10:$C$224,$C358,'TL15'!$J$10:$J$224),0),
IF('TL15'!$B$229=O$3,SUMIF('TL15'!$C$238:$C$451,$C358,'TL15'!$J$238:$J$451),0),
IF('TL16'!$B$3=O$3,SUMIF('TL16'!$C$10:$C$224,$C358,'TL16'!$J$10:$J$224),0),
IF('TL16'!$B$229=O$3,SUMIF('TL16'!$C$238:$C$451,$C358,'TL16'!$J$238:$J$451),0),
IF('TL17'!$B$3=O$3,SUMIF('TL17'!$C$10:$C$224,$C358,'TL17'!$J$10:$J$224),0),
IF('TL17'!$B$229=O$3,SUMIF('TL17'!$C$238:$C$451,$C358,'TL17'!$J$238:$J$451),0),
IF('TL18'!$B$3=O$3,SUMIF('TL18'!$C$10:$C$224,$C358,'TL18'!$J$10:$J$224),0),
IF('TL18'!$B$229=O$3,SUMIF('TL18'!$C$238:$C$451,$C358,'TL18'!$J$238:$J$451),0),
IF('TL19'!$B$3=O$3,SUMIF('TL19'!$C$10:$C$224,$C358,'TL19'!$J$10:$J$224),0),
IF('TL19'!$B$229=O$3,SUMIF('TL19'!$C$238:$C$451,$C358,'TL19'!$J$238:$J$451),0)
),0)</f>
        <v>0</v>
      </c>
      <c r="P358" s="9">
        <f>IFERROR(SUM(
IF('TL01'!$B$3=P$3,SUMIF('TL01'!$C$10:$C$224,$C358,'TL01'!$J$10:$J$224),0),
IF('TL01'!$B$229=P$3,SUMIF('TL01'!$C$238:$C$451,$C358,'TL01'!$J$238:$J$451),0),
IF('TL02'!$B$3=P$3,SUMIF('TL02'!$C$10:$C$224,$C358,'TL02'!$J$10:$J$224),0),
IF('TL02'!$B$229=P$3,SUMIF('TL02'!$C$238:$C$451,$C358,'TL02'!$J$238:$J$451),0),
IF('TL03'!$B$3=P$3,SUMIF('TL03'!$C$10:$C$224,$C358,'TL03'!$J$10:$J$224),0),
IF('TL03'!$B$229=P$3,SUMIF('TL03'!$C$238:$C$451,$C358,'TL03'!$J$238:$J$451),0),
IF('TL04'!$B$3=P$3,SUMIF('TL04'!$C$10:$C$224,$C358,'TL04'!$J$10:$J$224),0),
IF('TL04'!$B$229=P$3,SUMIF('TL04'!$C$238:$C$451,$C358,'TL04'!$J$238:$J$451),0),
IF('TL05'!$B$3=P$3,SUMIF('TL05'!$C$10:$C$224,$C358,'TL05'!$J$10:$J$224),0),
IF('TL05'!$B$229=P$3,SUMIF('TL05'!$C$238:$C$451,$C358,'TL05'!$J$238:$J$451),0),
IF('TL06'!$B$3=P$3,SUMIF('TL06'!$C$10:$C$224,$C358,'TL06'!$J$10:$J$224),0),
IF('TL06'!$B$229=P$3,SUMIF('TL06'!$C$238:$C$451,$C358,'TL06'!$J$238:$J$451),0),
IF('TL07'!$B$3=P$3,SUMIF('TL07'!$C$10:$C$224,$C358,'TL07'!$J$10:$J$224),0),
IF('TL07'!$B$229=P$3,SUMIF('TL07'!$C$238:$C$451,$C358,'TL07'!$J$238:$J$451),0),
IF('TL08'!$B$3=P$3,SUMIF('TL08'!$C$10:$C$224,$C358,'TL08'!$J$10:$J$224),0),
IF('TL08'!$B$229=P$3,SUMIF('TL08'!$C$238:$C$451,$C358,'TL08'!$J$238:$J$451),0),
IF('TL09'!$B$3=P$3,SUMIF('TL09'!$C$10:$C$224,$C358,'TL09'!$J$10:$J$224),0),
IF('TL09'!$B$229=P$3,SUMIF('TL09'!$C$238:$C$451,$C358,'TL09'!$J$238:$J$451),0),
IF('TL10'!$B$3=P$3,SUMIF('TL10'!$C$10:$C$224,$C358,'TL10'!$J$10:$J$224),0),
IF('TL10'!$B$229=P$3,SUMIF('TL10'!$C$238:$C$451,$C358,'TL10'!$J$238:$J$451),0),
IF('TL11'!$B$3=P$3,SUMIF('TL11'!$C$10:$C$224,$C358,'TL11'!$J$10:$J$224),0),
IF('TL11'!$B$229=P$3,SUMIF('TL11'!$C$238:$C$451,$C358,'TL11'!$J$238:$J$451),0),
IF('TL12'!$B$3=P$3,SUMIF('TL12'!$C$10:$C$224,$C358,'TL12'!$J$10:$J$224),0),
IF('TL12'!$B$229=P$3,SUMIF('TL12'!$C$238:$C$451,$C358,'TL12'!$J$238:$J$451),0),
IF('TL13'!$B$3=P$3,SUMIF('TL13'!$C$10:$C$224,$C358,'TL13'!$J$10:$J$224),0),
IF('TL13'!$B$229=P$3,SUMIF('TL13'!$C$238:$C$451,$C358,'TL13'!$J$238:$J$451),0),
IF('TL14'!$B$3=P$3,SUMIF('TL14'!$C$10:$C$224,$C358,'TL14'!$J$10:$J$224),0),
IF('TL14'!$B$229=P$3,SUMIF('TL14'!$C$238:$C$451,$C358,'TL14'!$J$238:$J$451),0),
IF('TL15'!$B$3=P$3,SUMIF('TL15'!$C$10:$C$224,$C358,'TL15'!$J$10:$J$224),0),
IF('TL15'!$B$229=P$3,SUMIF('TL15'!$C$238:$C$451,$C358,'TL15'!$J$238:$J$451),0),
IF('TL16'!$B$3=P$3,SUMIF('TL16'!$C$10:$C$224,$C358,'TL16'!$J$10:$J$224),0),
IF('TL16'!$B$229=P$3,SUMIF('TL16'!$C$238:$C$451,$C358,'TL16'!$J$238:$J$451),0),
IF('TL17'!$B$3=P$3,SUMIF('TL17'!$C$10:$C$224,$C358,'TL17'!$J$10:$J$224),0),
IF('TL17'!$B$229=P$3,SUMIF('TL17'!$C$238:$C$451,$C358,'TL17'!$J$238:$J$451),0),
IF('TL18'!$B$3=P$3,SUMIF('TL18'!$C$10:$C$224,$C358,'TL18'!$J$10:$J$224),0),
IF('TL18'!$B$229=P$3,SUMIF('TL18'!$C$238:$C$451,$C358,'TL18'!$J$238:$J$451),0),
IF('TL19'!$B$3=P$3,SUMIF('TL19'!$C$10:$C$224,$C358,'TL19'!$J$10:$J$224),0),
IF('TL19'!$B$229=P$3,SUMIF('TL19'!$C$238:$C$451,$C358,'TL19'!$J$238:$J$451),0)
),0)</f>
        <v>0</v>
      </c>
      <c r="Q358" s="9">
        <f>IFERROR(SUM(
IF('TL01'!$B$3=Q$3,SUMIF('TL01'!$C$10:$C$224,$C358,'TL01'!$J$10:$J$224),0),
IF('TL01'!$B$229=Q$3,SUMIF('TL01'!$C$238:$C$451,$C358,'TL01'!$J$238:$J$451),0),
IF('TL02'!$B$3=Q$3,SUMIF('TL02'!$C$10:$C$224,$C358,'TL02'!$J$10:$J$224),0),
IF('TL02'!$B$229=Q$3,SUMIF('TL02'!$C$238:$C$451,$C358,'TL02'!$J$238:$J$451),0),
IF('TL03'!$B$3=Q$3,SUMIF('TL03'!$C$10:$C$224,$C358,'TL03'!$J$10:$J$224),0),
IF('TL03'!$B$229=Q$3,SUMIF('TL03'!$C$238:$C$451,$C358,'TL03'!$J$238:$J$451),0),
IF('TL04'!$B$3=Q$3,SUMIF('TL04'!$C$10:$C$224,$C358,'TL04'!$J$10:$J$224),0),
IF('TL04'!$B$229=Q$3,SUMIF('TL04'!$C$238:$C$451,$C358,'TL04'!$J$238:$J$451),0),
IF('TL05'!$B$3=Q$3,SUMIF('TL05'!$C$10:$C$224,$C358,'TL05'!$J$10:$J$224),0),
IF('TL05'!$B$229=Q$3,SUMIF('TL05'!$C$238:$C$451,$C358,'TL05'!$J$238:$J$451),0),
IF('TL06'!$B$3=Q$3,SUMIF('TL06'!$C$10:$C$224,$C358,'TL06'!$J$10:$J$224),0),
IF('TL06'!$B$229=Q$3,SUMIF('TL06'!$C$238:$C$451,$C358,'TL06'!$J$238:$J$451),0),
IF('TL07'!$B$3=Q$3,SUMIF('TL07'!$C$10:$C$224,$C358,'TL07'!$J$10:$J$224),0),
IF('TL07'!$B$229=Q$3,SUMIF('TL07'!$C$238:$C$451,$C358,'TL07'!$J$238:$J$451),0),
IF('TL08'!$B$3=Q$3,SUMIF('TL08'!$C$10:$C$224,$C358,'TL08'!$J$10:$J$224),0),
IF('TL08'!$B$229=Q$3,SUMIF('TL08'!$C$238:$C$451,$C358,'TL08'!$J$238:$J$451),0),
IF('TL09'!$B$3=Q$3,SUMIF('TL09'!$C$10:$C$224,$C358,'TL09'!$J$10:$J$224),0),
IF('TL09'!$B$229=Q$3,SUMIF('TL09'!$C$238:$C$451,$C358,'TL09'!$J$238:$J$451),0),
IF('TL10'!$B$3=Q$3,SUMIF('TL10'!$C$10:$C$224,$C358,'TL10'!$J$10:$J$224),0),
IF('TL10'!$B$229=Q$3,SUMIF('TL10'!$C$238:$C$451,$C358,'TL10'!$J$238:$J$451),0),
IF('TL11'!$B$3=Q$3,SUMIF('TL11'!$C$10:$C$224,$C358,'TL11'!$J$10:$J$224),0),
IF('TL11'!$B$229=Q$3,SUMIF('TL11'!$C$238:$C$451,$C358,'TL11'!$J$238:$J$451),0),
IF('TL12'!$B$3=Q$3,SUMIF('TL12'!$C$10:$C$224,$C358,'TL12'!$J$10:$J$224),0),
IF('TL12'!$B$229=Q$3,SUMIF('TL12'!$C$238:$C$451,$C358,'TL12'!$J$238:$J$451),0),
IF('TL13'!$B$3=Q$3,SUMIF('TL13'!$C$10:$C$224,$C358,'TL13'!$J$10:$J$224),0),
IF('TL13'!$B$229=Q$3,SUMIF('TL13'!$C$238:$C$451,$C358,'TL13'!$J$238:$J$451),0),
IF('TL14'!$B$3=Q$3,SUMIF('TL14'!$C$10:$C$224,$C358,'TL14'!$J$10:$J$224),0),
IF('TL14'!$B$229=Q$3,SUMIF('TL14'!$C$238:$C$451,$C358,'TL14'!$J$238:$J$451),0),
IF('TL15'!$B$3=Q$3,SUMIF('TL15'!$C$10:$C$224,$C358,'TL15'!$J$10:$J$224),0),
IF('TL15'!$B$229=Q$3,SUMIF('TL15'!$C$238:$C$451,$C358,'TL15'!$J$238:$J$451),0),
IF('TL16'!$B$3=Q$3,SUMIF('TL16'!$C$10:$C$224,$C358,'TL16'!$J$10:$J$224),0),
IF('TL16'!$B$229=Q$3,SUMIF('TL16'!$C$238:$C$451,$C358,'TL16'!$J$238:$J$451),0),
IF('TL17'!$B$3=Q$3,SUMIF('TL17'!$C$10:$C$224,$C358,'TL17'!$J$10:$J$224),0),
IF('TL17'!$B$229=Q$3,SUMIF('TL17'!$C$238:$C$451,$C358,'TL17'!$J$238:$J$451),0),
IF('TL18'!$B$3=Q$3,SUMIF('TL18'!$C$10:$C$224,$C358,'TL18'!$J$10:$J$224),0),
IF('TL18'!$B$229=Q$3,SUMIF('TL18'!$C$238:$C$451,$C358,'TL18'!$J$238:$J$451),0),
IF('TL19'!$B$3=Q$3,SUMIF('TL19'!$C$10:$C$224,$C358,'TL19'!$J$10:$J$224),0),
IF('TL19'!$B$229=Q$3,SUMIF('TL19'!$C$238:$C$451,$C358,'TL19'!$J$238:$J$451),0)
),0)</f>
        <v>0</v>
      </c>
      <c r="R358" s="9">
        <f>IFERROR(
SUM(
SUMIF('TL01'!C:C,C358,'TL01'!J:J),
SUMIF('TL02'!C:C,C358,'TL02'!J:J),
SUMIF('TL03'!C:C,C358,'TL03'!J:J),
SUMIF('TL04'!C:C,C358,'TL04'!J:J),
SUMIF('TL05'!C:C,C358,'TL05'!J:J),
SUMIF('TL06'!C:C,C358,'TL06'!J:J),
SUMIF('TL07'!C:C,C358,'TL07'!J:J),
SUMIF('TL08'!C:C,C358,'TL08'!J:J),
SUMIF('TL09'!C:C,C358,'TL09'!J:J),
SUMIF('TL10'!C:C,C358,'TL10'!J:J),
SUMIF('TL11'!C:C,C358,'TL11'!J:J),
SUMIF('TL12'!C:C,C358,'TL12'!J:J),
SUMIF('TL13'!C:C,C358,'TL13'!J:J),
SUMIF('TL14'!C:C,C358,'TL14'!J:J),
SUMIF('TL15'!C:C,C358,'TL15'!J:J),
SUMIF('TL16'!C:C,C358,'TL16'!J:J),
SUMIF('TL17'!C:C,C358,'TL17'!J:J),
SUMIF('TL18'!C:C,C358,'TL18'!J:J),SUMIF('TL19'!C:C,C358,'TL19'!J:J))
,0)</f>
        <v>0</v>
      </c>
      <c r="S358" s="17">
        <f>IFERROR(__xludf.DUMMYFUNCTION("IFERROR(VLOOKUP(C358,
IMPORTRANGE(""1wULbzX32WdYsx-lj2U3uUNBBe2INVIRDtcK0d-Dvl90"",
""26-27!C:G""),
5,
FALSE),
"""")"),94.43)</f>
        <v>94.43</v>
      </c>
      <c r="T358" s="9"/>
      <c r="U358" s="92">
        <f t="shared" si="2"/>
        <v>0</v>
      </c>
      <c r="V358" s="93">
        <f t="shared" si="3"/>
        <v>0</v>
      </c>
    </row>
    <row r="359" ht="15.75" hidden="1" customHeight="1">
      <c r="A359" s="4" t="s">
        <v>1071</v>
      </c>
      <c r="B359" s="4" t="s">
        <v>4</v>
      </c>
      <c r="C359" s="128" t="s">
        <v>1090</v>
      </c>
      <c r="D359" s="129" t="s">
        <v>1091</v>
      </c>
      <c r="E359" s="6"/>
      <c r="F359" s="4" t="s">
        <v>343</v>
      </c>
      <c r="G359" s="90" t="str">
        <f t="shared" si="5"/>
        <v>📄 Ver bula</v>
      </c>
      <c r="H359" s="4">
        <v>2.0</v>
      </c>
      <c r="I359" s="123" t="s">
        <v>382</v>
      </c>
      <c r="J359" s="9">
        <f>IFERROR(SUM(
IF('TL01'!$B$3=J$3,SUMIF('TL01'!$C$10:$C$224,$C359,'TL01'!$J$10:$J$224),0),
IF('TL01'!$B$229=J$3,SUMIF('TL01'!$C$238:$C$451,$C359,'TL01'!$J$238:$J$451),0),
IF('TL02'!$B$3=J$3,SUMIF('TL02'!$C$10:$C$224,$C359,'TL02'!$J$10:$J$224),0),
IF('TL02'!$B$229=J$3,SUMIF('TL02'!$C$238:$C$451,$C359,'TL02'!$J$238:$J$451),0),
IF('TL03'!$B$3=J$3,SUMIF('TL03'!$C$10:$C$224,$C359,'TL03'!$J$10:$J$224),0),
IF('TL03'!$B$229=J$3,SUMIF('TL03'!$C$238:$C$451,$C359,'TL03'!$J$238:$J$451),0),
IF('TL04'!$B$3=J$3,SUMIF('TL04'!$C$10:$C$224,$C359,'TL04'!$J$10:$J$224),0),
IF('TL04'!$B$229=J$3,SUMIF('TL04'!$C$238:$C$451,$C359,'TL04'!$J$238:$J$451),0),
IF('TL05'!$B$3=J$3,SUMIF('TL05'!$C$10:$C$224,$C359,'TL05'!$J$10:$J$224),0),
IF('TL05'!$B$229=J$3,SUMIF('TL05'!$C$238:$C$451,$C359,'TL05'!$J$238:$J$451),0),
IF('TL06'!$B$3=J$3,SUMIF('TL06'!$C$10:$C$224,$C359,'TL06'!$J$10:$J$224),0),
IF('TL06'!$B$229=J$3,SUMIF('TL06'!$C$238:$C$451,$C359,'TL06'!$J$238:$J$451),0),
IF('TL07'!$B$3=J$3,SUMIF('TL07'!$C$10:$C$224,$C359,'TL07'!$J$10:$J$224),0),
IF('TL07'!$B$229=J$3,SUMIF('TL07'!$C$238:$C$451,$C359,'TL07'!$J$238:$J$451),0),
IF('TL08'!$B$3=J$3,SUMIF('TL08'!$C$10:$C$224,$C359,'TL08'!$J$10:$J$224),0),
IF('TL08'!$B$229=J$3,SUMIF('TL08'!$C$238:$C$451,$C359,'TL08'!$J$238:$J$451),0),
IF('TL09'!$B$3=J$3,SUMIF('TL09'!$C$10:$C$224,$C359,'TL09'!$J$10:$J$224),0),
IF('TL09'!$B$229=J$3,SUMIF('TL09'!$C$238:$C$451,$C359,'TL09'!$J$238:$J$451),0),
IF('TL10'!$B$3=J$3,SUMIF('TL10'!$C$10:$C$224,$C359,'TL10'!$J$10:$J$224),0),
IF('TL10'!$B$229=J$3,SUMIF('TL10'!$C$238:$C$451,$C359,'TL10'!$J$238:$J$451),0),
IF('TL11'!$B$3=J$3,SUMIF('TL11'!$C$10:$C$224,$C359,'TL11'!$J$10:$J$224),0),
IF('TL11'!$B$229=J$3,SUMIF('TL11'!$C$238:$C$451,$C359,'TL11'!$J$238:$J$451),0),
IF('TL12'!$B$3=J$3,SUMIF('TL12'!$C$10:$C$224,$C359,'TL12'!$J$10:$J$224),0),
IF('TL12'!$B$229=J$3,SUMIF('TL12'!$C$238:$C$451,$C359,'TL12'!$J$238:$J$451),0),
IF('TL13'!$B$3=J$3,SUMIF('TL13'!$C$10:$C$224,$C359,'TL13'!$J$10:$J$224),0),
IF('TL13'!$B$229=J$3,SUMIF('TL13'!$C$238:$C$451,$C359,'TL13'!$J$238:$J$451),0),
IF('TL14'!$B$3=J$3,SUMIF('TL14'!$C$10:$C$224,$C359,'TL14'!$J$10:$J$224),0),
IF('TL14'!$B$229=J$3,SUMIF('TL14'!$C$238:$C$451,$C359,'TL14'!$J$238:$J$451),0),
IF('TL15'!$B$3=J$3,SUMIF('TL15'!$C$10:$C$224,$C359,'TL15'!$J$10:$J$224),0),
IF('TL15'!$B$229=J$3,SUMIF('TL15'!$C$238:$C$451,$C359,'TL15'!$J$238:$J$451),0),
IF('TL16'!$B$3=J$3,SUMIF('TL16'!$C$10:$C$224,$C359,'TL16'!$J$10:$J$224),0),
IF('TL16'!$B$229=J$3,SUMIF('TL16'!$C$238:$C$451,$C359,'TL16'!$J$238:$J$451),0),
IF('TL17'!$B$3=J$3,SUMIF('TL17'!$C$10:$C$224,$C359,'TL17'!$J$10:$J$224),0),
IF('TL17'!$B$229=J$3,SUMIF('TL17'!$C$238:$C$451,$C359,'TL17'!$J$238:$J$451),0),
IF('TL18'!$B$3=J$3,SUMIF('TL18'!$C$10:$C$224,$C359,'TL18'!$J$10:$J$224),0),
IF('TL18'!$B$229=J$3,SUMIF('TL18'!$C$238:$C$451,$C359,'TL18'!$J$238:$J$451),0),
IF('TL19'!$B$3=J$3,SUMIF('TL19'!$C$10:$C$224,$C359,'TL19'!$J$10:$J$224),0),
IF('TL19'!$B$229=J$3,SUMIF('TL19'!$C$238:$C$451,$C359,'TL19'!$J$238:$J$451),0)
),0)</f>
        <v>0</v>
      </c>
      <c r="K359" s="9">
        <f>IFERROR(SUM(
IF('TL01'!$B$3=K$3,SUMIF('TL01'!$C$10:$C$224,$C359,'TL01'!$J$10:$J$224),0),
IF('TL01'!$B$229=K$3,SUMIF('TL01'!$C$238:$C$451,$C359,'TL01'!$J$238:$J$451),0),
IF('TL02'!$B$3=K$3,SUMIF('TL02'!$C$10:$C$224,$C359,'TL02'!$J$10:$J$224),0),
IF('TL02'!$B$229=K$3,SUMIF('TL02'!$C$238:$C$451,$C359,'TL02'!$J$238:$J$451),0),
IF('TL03'!$B$3=K$3,SUMIF('TL03'!$C$10:$C$224,$C359,'TL03'!$J$10:$J$224),0),
IF('TL03'!$B$229=K$3,SUMIF('TL03'!$C$238:$C$451,$C359,'TL03'!$J$238:$J$451),0),
IF('TL04'!$B$3=K$3,SUMIF('TL04'!$C$10:$C$224,$C359,'TL04'!$J$10:$J$224),0),
IF('TL04'!$B$229=K$3,SUMIF('TL04'!$C$238:$C$451,$C359,'TL04'!$J$238:$J$451),0),
IF('TL05'!$B$3=K$3,SUMIF('TL05'!$C$10:$C$224,$C359,'TL05'!$J$10:$J$224),0),
IF('TL05'!$B$229=K$3,SUMIF('TL05'!$C$238:$C$451,$C359,'TL05'!$J$238:$J$451),0),
IF('TL06'!$B$3=K$3,SUMIF('TL06'!$C$10:$C$224,$C359,'TL06'!$J$10:$J$224),0),
IF('TL06'!$B$229=K$3,SUMIF('TL06'!$C$238:$C$451,$C359,'TL06'!$J$238:$J$451),0),
IF('TL07'!$B$3=K$3,SUMIF('TL07'!$C$10:$C$224,$C359,'TL07'!$J$10:$J$224),0),
IF('TL07'!$B$229=K$3,SUMIF('TL07'!$C$238:$C$451,$C359,'TL07'!$J$238:$J$451),0),
IF('TL08'!$B$3=K$3,SUMIF('TL08'!$C$10:$C$224,$C359,'TL08'!$J$10:$J$224),0),
IF('TL08'!$B$229=K$3,SUMIF('TL08'!$C$238:$C$451,$C359,'TL08'!$J$238:$J$451),0),
IF('TL09'!$B$3=K$3,SUMIF('TL09'!$C$10:$C$224,$C359,'TL09'!$J$10:$J$224),0),
IF('TL09'!$B$229=K$3,SUMIF('TL09'!$C$238:$C$451,$C359,'TL09'!$J$238:$J$451),0),
IF('TL10'!$B$3=K$3,SUMIF('TL10'!$C$10:$C$224,$C359,'TL10'!$J$10:$J$224),0),
IF('TL10'!$B$229=K$3,SUMIF('TL10'!$C$238:$C$451,$C359,'TL10'!$J$238:$J$451),0),
IF('TL11'!$B$3=K$3,SUMIF('TL11'!$C$10:$C$224,$C359,'TL11'!$J$10:$J$224),0),
IF('TL11'!$B$229=K$3,SUMIF('TL11'!$C$238:$C$451,$C359,'TL11'!$J$238:$J$451),0),
IF('TL12'!$B$3=K$3,SUMIF('TL12'!$C$10:$C$224,$C359,'TL12'!$J$10:$J$224),0),
IF('TL12'!$B$229=K$3,SUMIF('TL12'!$C$238:$C$451,$C359,'TL12'!$J$238:$J$451),0),
IF('TL13'!$B$3=K$3,SUMIF('TL13'!$C$10:$C$224,$C359,'TL13'!$J$10:$J$224),0),
IF('TL13'!$B$229=K$3,SUMIF('TL13'!$C$238:$C$451,$C359,'TL13'!$J$238:$J$451),0),
IF('TL14'!$B$3=K$3,SUMIF('TL14'!$C$10:$C$224,$C359,'TL14'!$J$10:$J$224),0),
IF('TL14'!$B$229=K$3,SUMIF('TL14'!$C$238:$C$451,$C359,'TL14'!$J$238:$J$451),0),
IF('TL15'!$B$3=K$3,SUMIF('TL15'!$C$10:$C$224,$C359,'TL15'!$J$10:$J$224),0),
IF('TL15'!$B$229=K$3,SUMIF('TL15'!$C$238:$C$451,$C359,'TL15'!$J$238:$J$451),0),
IF('TL16'!$B$3=K$3,SUMIF('TL16'!$C$10:$C$224,$C359,'TL16'!$J$10:$J$224),0),
IF('TL16'!$B$229=K$3,SUMIF('TL16'!$C$238:$C$451,$C359,'TL16'!$J$238:$J$451),0),
IF('TL17'!$B$3=K$3,SUMIF('TL17'!$C$10:$C$224,$C359,'TL17'!$J$10:$J$224),0),
IF('TL17'!$B$229=K$3,SUMIF('TL17'!$C$238:$C$451,$C359,'TL17'!$J$238:$J$451),0),
IF('TL18'!$B$3=K$3,SUMIF('TL18'!$C$10:$C$224,$C359,'TL18'!$J$10:$J$224),0),
IF('TL18'!$B$229=K$3,SUMIF('TL18'!$C$238:$C$451,$C359,'TL18'!$J$238:$J$451),0),
IF('TL19'!$B$3=K$3,SUMIF('TL19'!$C$10:$C$224,$C359,'TL19'!$J$10:$J$224),0),
IF('TL19'!$B$229=K$3,SUMIF('TL19'!$C$238:$C$451,$C359,'TL19'!$J$238:$J$451),0)
),0)</f>
        <v>0</v>
      </c>
      <c r="L359" s="9">
        <f>IFERROR(SUM(
IF('TL01'!$B$3=L$3,SUMIF('TL01'!$C$10:$C$224,$C359,'TL01'!$J$10:$J$224),0),
IF('TL01'!$B$229=L$3,SUMIF('TL01'!$C$238:$C$451,$C359,'TL01'!$J$238:$J$451),0),
IF('TL02'!$B$3=L$3,SUMIF('TL02'!$C$10:$C$224,$C359,'TL02'!$J$10:$J$224),0),
IF('TL02'!$B$229=L$3,SUMIF('TL02'!$C$238:$C$451,$C359,'TL02'!$J$238:$J$451),0),
IF('TL03'!$B$3=L$3,SUMIF('TL03'!$C$10:$C$224,$C359,'TL03'!$J$10:$J$224),0),
IF('TL03'!$B$229=L$3,SUMIF('TL03'!$C$238:$C$451,$C359,'TL03'!$J$238:$J$451),0),
IF('TL04'!$B$3=L$3,SUMIF('TL04'!$C$10:$C$224,$C359,'TL04'!$J$10:$J$224),0),
IF('TL04'!$B$229=L$3,SUMIF('TL04'!$C$238:$C$451,$C359,'TL04'!$J$238:$J$451),0),
IF('TL05'!$B$3=L$3,SUMIF('TL05'!$C$10:$C$224,$C359,'TL05'!$J$10:$J$224),0),
IF('TL05'!$B$229=L$3,SUMIF('TL05'!$C$238:$C$451,$C359,'TL05'!$J$238:$J$451),0),
IF('TL06'!$B$3=L$3,SUMIF('TL06'!$C$10:$C$224,$C359,'TL06'!$J$10:$J$224),0),
IF('TL06'!$B$229=L$3,SUMIF('TL06'!$C$238:$C$451,$C359,'TL06'!$J$238:$J$451),0),
IF('TL07'!$B$3=L$3,SUMIF('TL07'!$C$10:$C$224,$C359,'TL07'!$J$10:$J$224),0),
IF('TL07'!$B$229=L$3,SUMIF('TL07'!$C$238:$C$451,$C359,'TL07'!$J$238:$J$451),0),
IF('TL08'!$B$3=L$3,SUMIF('TL08'!$C$10:$C$224,$C359,'TL08'!$J$10:$J$224),0),
IF('TL08'!$B$229=L$3,SUMIF('TL08'!$C$238:$C$451,$C359,'TL08'!$J$238:$J$451),0),
IF('TL09'!$B$3=L$3,SUMIF('TL09'!$C$10:$C$224,$C359,'TL09'!$J$10:$J$224),0),
IF('TL09'!$B$229=L$3,SUMIF('TL09'!$C$238:$C$451,$C359,'TL09'!$J$238:$J$451),0),
IF('TL10'!$B$3=L$3,SUMIF('TL10'!$C$10:$C$224,$C359,'TL10'!$J$10:$J$224),0),
IF('TL10'!$B$229=L$3,SUMIF('TL10'!$C$238:$C$451,$C359,'TL10'!$J$238:$J$451),0),
IF('TL11'!$B$3=L$3,SUMIF('TL11'!$C$10:$C$224,$C359,'TL11'!$J$10:$J$224),0),
IF('TL11'!$B$229=L$3,SUMIF('TL11'!$C$238:$C$451,$C359,'TL11'!$J$238:$J$451),0),
IF('TL12'!$B$3=L$3,SUMIF('TL12'!$C$10:$C$224,$C359,'TL12'!$J$10:$J$224),0),
IF('TL12'!$B$229=L$3,SUMIF('TL12'!$C$238:$C$451,$C359,'TL12'!$J$238:$J$451),0),
IF('TL13'!$B$3=L$3,SUMIF('TL13'!$C$10:$C$224,$C359,'TL13'!$J$10:$J$224),0),
IF('TL13'!$B$229=L$3,SUMIF('TL13'!$C$238:$C$451,$C359,'TL13'!$J$238:$J$451),0),
IF('TL14'!$B$3=L$3,SUMIF('TL14'!$C$10:$C$224,$C359,'TL14'!$J$10:$J$224),0),
IF('TL14'!$B$229=L$3,SUMIF('TL14'!$C$238:$C$451,$C359,'TL14'!$J$238:$J$451),0),
IF('TL15'!$B$3=L$3,SUMIF('TL15'!$C$10:$C$224,$C359,'TL15'!$J$10:$J$224),0),
IF('TL15'!$B$229=L$3,SUMIF('TL15'!$C$238:$C$451,$C359,'TL15'!$J$238:$J$451),0),
IF('TL16'!$B$3=L$3,SUMIF('TL16'!$C$10:$C$224,$C359,'TL16'!$J$10:$J$224),0),
IF('TL16'!$B$229=L$3,SUMIF('TL16'!$C$238:$C$451,$C359,'TL16'!$J$238:$J$451),0),
IF('TL17'!$B$3=L$3,SUMIF('TL17'!$C$10:$C$224,$C359,'TL17'!$J$10:$J$224),0),
IF('TL17'!$B$229=L$3,SUMIF('TL17'!$C$238:$C$451,$C359,'TL17'!$J$238:$J$451),0),
IF('TL18'!$B$3=L$3,SUMIF('TL18'!$C$10:$C$224,$C359,'TL18'!$J$10:$J$224),0),
IF('TL18'!$B$229=L$3,SUMIF('TL18'!$C$238:$C$451,$C359,'TL18'!$J$238:$J$451),0),
IF('TL19'!$B$3=L$3,SUMIF('TL19'!$C$10:$C$224,$C359,'TL19'!$J$10:$J$224),0),
IF('TL19'!$B$229=L$3,SUMIF('TL19'!$C$238:$C$451,$C359,'TL19'!$J$238:$J$451),0)
),0)</f>
        <v>0</v>
      </c>
      <c r="M359" s="9">
        <f>IFERROR(SUM(
IF('TL01'!$B$3=M$3,SUMIF('TL01'!$C$10:$C$224,$C359,'TL01'!$J$10:$J$224),0),
IF('TL01'!$B$229=M$3,SUMIF('TL01'!$C$238:$C$451,$C359,'TL01'!$J$238:$J$451),0),
IF('TL02'!$B$3=M$3,SUMIF('TL02'!$C$10:$C$224,$C359,'TL02'!$J$10:$J$224),0),
IF('TL02'!$B$229=M$3,SUMIF('TL02'!$C$238:$C$451,$C359,'TL02'!$J$238:$J$451),0),
IF('TL03'!$B$3=M$3,SUMIF('TL03'!$C$10:$C$224,$C359,'TL03'!$J$10:$J$224),0),
IF('TL03'!$B$229=M$3,SUMIF('TL03'!$C$238:$C$451,$C359,'TL03'!$J$238:$J$451),0),
IF('TL04'!$B$3=M$3,SUMIF('TL04'!$C$10:$C$224,$C359,'TL04'!$J$10:$J$224),0),
IF('TL04'!$B$229=M$3,SUMIF('TL04'!$C$238:$C$451,$C359,'TL04'!$J$238:$J$451),0),
IF('TL05'!$B$3=M$3,SUMIF('TL05'!$C$10:$C$224,$C359,'TL05'!$J$10:$J$224),0),
IF('TL05'!$B$229=M$3,SUMIF('TL05'!$C$238:$C$451,$C359,'TL05'!$J$238:$J$451),0),
IF('TL06'!$B$3=M$3,SUMIF('TL06'!$C$10:$C$224,$C359,'TL06'!$J$10:$J$224),0),
IF('TL06'!$B$229=M$3,SUMIF('TL06'!$C$238:$C$451,$C359,'TL06'!$J$238:$J$451),0),
IF('TL07'!$B$3=M$3,SUMIF('TL07'!$C$10:$C$224,$C359,'TL07'!$J$10:$J$224),0),
IF('TL07'!$B$229=M$3,SUMIF('TL07'!$C$238:$C$451,$C359,'TL07'!$J$238:$J$451),0),
IF('TL08'!$B$3=M$3,SUMIF('TL08'!$C$10:$C$224,$C359,'TL08'!$J$10:$J$224),0),
IF('TL08'!$B$229=M$3,SUMIF('TL08'!$C$238:$C$451,$C359,'TL08'!$J$238:$J$451),0),
IF('TL09'!$B$3=M$3,SUMIF('TL09'!$C$10:$C$224,$C359,'TL09'!$J$10:$J$224),0),
IF('TL09'!$B$229=M$3,SUMIF('TL09'!$C$238:$C$451,$C359,'TL09'!$J$238:$J$451),0),
IF('TL10'!$B$3=M$3,SUMIF('TL10'!$C$10:$C$224,$C359,'TL10'!$J$10:$J$224),0),
IF('TL10'!$B$229=M$3,SUMIF('TL10'!$C$238:$C$451,$C359,'TL10'!$J$238:$J$451),0),
IF('TL11'!$B$3=M$3,SUMIF('TL11'!$C$10:$C$224,$C359,'TL11'!$J$10:$J$224),0),
IF('TL11'!$B$229=M$3,SUMIF('TL11'!$C$238:$C$451,$C359,'TL11'!$J$238:$J$451),0),
IF('TL12'!$B$3=M$3,SUMIF('TL12'!$C$10:$C$224,$C359,'TL12'!$J$10:$J$224),0),
IF('TL12'!$B$229=M$3,SUMIF('TL12'!$C$238:$C$451,$C359,'TL12'!$J$238:$J$451),0),
IF('TL13'!$B$3=M$3,SUMIF('TL13'!$C$10:$C$224,$C359,'TL13'!$J$10:$J$224),0),
IF('TL13'!$B$229=M$3,SUMIF('TL13'!$C$238:$C$451,$C359,'TL13'!$J$238:$J$451),0),
IF('TL14'!$B$3=M$3,SUMIF('TL14'!$C$10:$C$224,$C359,'TL14'!$J$10:$J$224),0),
IF('TL14'!$B$229=M$3,SUMIF('TL14'!$C$238:$C$451,$C359,'TL14'!$J$238:$J$451),0),
IF('TL15'!$B$3=M$3,SUMIF('TL15'!$C$10:$C$224,$C359,'TL15'!$J$10:$J$224),0),
IF('TL15'!$B$229=M$3,SUMIF('TL15'!$C$238:$C$451,$C359,'TL15'!$J$238:$J$451),0),
IF('TL16'!$B$3=M$3,SUMIF('TL16'!$C$10:$C$224,$C359,'TL16'!$J$10:$J$224),0),
IF('TL16'!$B$229=M$3,SUMIF('TL16'!$C$238:$C$451,$C359,'TL16'!$J$238:$J$451),0),
IF('TL17'!$B$3=M$3,SUMIF('TL17'!$C$10:$C$224,$C359,'TL17'!$J$10:$J$224),0),
IF('TL17'!$B$229=M$3,SUMIF('TL17'!$C$238:$C$451,$C359,'TL17'!$J$238:$J$451),0),
IF('TL18'!$B$3=M$3,SUMIF('TL18'!$C$10:$C$224,$C359,'TL18'!$J$10:$J$224),0),
IF('TL18'!$B$229=M$3,SUMIF('TL18'!$C$238:$C$451,$C359,'TL18'!$J$238:$J$451),0),
IF('TL19'!$B$3=M$3,SUMIF('TL19'!$C$10:$C$224,$C359,'TL19'!$J$10:$J$224),0),
IF('TL19'!$B$229=M$3,SUMIF('TL19'!$C$238:$C$451,$C359,'TL19'!$J$238:$J$451),0)
),0)</f>
        <v>0</v>
      </c>
      <c r="N359" s="9">
        <f>IFERROR(SUM(
IF('TL01'!$B$3=N$3,SUMIF('TL01'!$C$10:$C$224,$C359,'TL01'!$J$10:$J$224),0),
IF('TL01'!$B$229=N$3,SUMIF('TL01'!$C$238:$C$451,$C359,'TL01'!$J$238:$J$451),0),
IF('TL02'!$B$3=N$3,SUMIF('TL02'!$C$10:$C$224,$C359,'TL02'!$J$10:$J$224),0),
IF('TL02'!$B$229=N$3,SUMIF('TL02'!$C$238:$C$451,$C359,'TL02'!$J$238:$J$451),0),
IF('TL03'!$B$3=N$3,SUMIF('TL03'!$C$10:$C$224,$C359,'TL03'!$J$10:$J$224),0),
IF('TL03'!$B$229=N$3,SUMIF('TL03'!$C$238:$C$451,$C359,'TL03'!$J$238:$J$451),0),
IF('TL04'!$B$3=N$3,SUMIF('TL04'!$C$10:$C$224,$C359,'TL04'!$J$10:$J$224),0),
IF('TL04'!$B$229=N$3,SUMIF('TL04'!$C$238:$C$451,$C359,'TL04'!$J$238:$J$451),0),
IF('TL05'!$B$3=N$3,SUMIF('TL05'!$C$10:$C$224,$C359,'TL05'!$J$10:$J$224),0),
IF('TL05'!$B$229=N$3,SUMIF('TL05'!$C$238:$C$451,$C359,'TL05'!$J$238:$J$451),0),
IF('TL06'!$B$3=N$3,SUMIF('TL06'!$C$10:$C$224,$C359,'TL06'!$J$10:$J$224),0),
IF('TL06'!$B$229=N$3,SUMIF('TL06'!$C$238:$C$451,$C359,'TL06'!$J$238:$J$451),0),
IF('TL07'!$B$3=N$3,SUMIF('TL07'!$C$10:$C$224,$C359,'TL07'!$J$10:$J$224),0),
IF('TL07'!$B$229=N$3,SUMIF('TL07'!$C$238:$C$451,$C359,'TL07'!$J$238:$J$451),0),
IF('TL08'!$B$3=N$3,SUMIF('TL08'!$C$10:$C$224,$C359,'TL08'!$J$10:$J$224),0),
IF('TL08'!$B$229=N$3,SUMIF('TL08'!$C$238:$C$451,$C359,'TL08'!$J$238:$J$451),0),
IF('TL09'!$B$3=N$3,SUMIF('TL09'!$C$10:$C$224,$C359,'TL09'!$J$10:$J$224),0),
IF('TL09'!$B$229=N$3,SUMIF('TL09'!$C$238:$C$451,$C359,'TL09'!$J$238:$J$451),0),
IF('TL10'!$B$3=N$3,SUMIF('TL10'!$C$10:$C$224,$C359,'TL10'!$J$10:$J$224),0),
IF('TL10'!$B$229=N$3,SUMIF('TL10'!$C$238:$C$451,$C359,'TL10'!$J$238:$J$451),0),
IF('TL11'!$B$3=N$3,SUMIF('TL11'!$C$10:$C$224,$C359,'TL11'!$J$10:$J$224),0),
IF('TL11'!$B$229=N$3,SUMIF('TL11'!$C$238:$C$451,$C359,'TL11'!$J$238:$J$451),0),
IF('TL12'!$B$3=N$3,SUMIF('TL12'!$C$10:$C$224,$C359,'TL12'!$J$10:$J$224),0),
IF('TL12'!$B$229=N$3,SUMIF('TL12'!$C$238:$C$451,$C359,'TL12'!$J$238:$J$451),0),
IF('TL13'!$B$3=N$3,SUMIF('TL13'!$C$10:$C$224,$C359,'TL13'!$J$10:$J$224),0),
IF('TL13'!$B$229=N$3,SUMIF('TL13'!$C$238:$C$451,$C359,'TL13'!$J$238:$J$451),0),
IF('TL14'!$B$3=N$3,SUMIF('TL14'!$C$10:$C$224,$C359,'TL14'!$J$10:$J$224),0),
IF('TL14'!$B$229=N$3,SUMIF('TL14'!$C$238:$C$451,$C359,'TL14'!$J$238:$J$451),0),
IF('TL15'!$B$3=N$3,SUMIF('TL15'!$C$10:$C$224,$C359,'TL15'!$J$10:$J$224),0),
IF('TL15'!$B$229=N$3,SUMIF('TL15'!$C$238:$C$451,$C359,'TL15'!$J$238:$J$451),0),
IF('TL16'!$B$3=N$3,SUMIF('TL16'!$C$10:$C$224,$C359,'TL16'!$J$10:$J$224),0),
IF('TL16'!$B$229=N$3,SUMIF('TL16'!$C$238:$C$451,$C359,'TL16'!$J$238:$J$451),0),
IF('TL17'!$B$3=N$3,SUMIF('TL17'!$C$10:$C$224,$C359,'TL17'!$J$10:$J$224),0),
IF('TL17'!$B$229=N$3,SUMIF('TL17'!$C$238:$C$451,$C359,'TL17'!$J$238:$J$451),0),
IF('TL18'!$B$3=N$3,SUMIF('TL18'!$C$10:$C$224,$C359,'TL18'!$J$10:$J$224),0),
IF('TL18'!$B$229=N$3,SUMIF('TL18'!$C$238:$C$451,$C359,'TL18'!$J$238:$J$451),0),
IF('TL19'!$B$3=N$3,SUMIF('TL19'!$C$10:$C$224,$C359,'TL19'!$J$10:$J$224),0),
IF('TL19'!$B$229=N$3,SUMIF('TL19'!$C$238:$C$451,$C359,'TL19'!$J$238:$J$451),0)
),0)</f>
        <v>0</v>
      </c>
      <c r="O359" s="9">
        <f>IFERROR(SUM(
IF('TL01'!$B$3=O$3,SUMIF('TL01'!$C$10:$C$224,$C359,'TL01'!$J$10:$J$224),0),
IF('TL01'!$B$229=O$3,SUMIF('TL01'!$C$238:$C$451,$C359,'TL01'!$J$238:$J$451),0),
IF('TL02'!$B$3=O$3,SUMIF('TL02'!$C$10:$C$224,$C359,'TL02'!$J$10:$J$224),0),
IF('TL02'!$B$229=O$3,SUMIF('TL02'!$C$238:$C$451,$C359,'TL02'!$J$238:$J$451),0),
IF('TL03'!$B$3=O$3,SUMIF('TL03'!$C$10:$C$224,$C359,'TL03'!$J$10:$J$224),0),
IF('TL03'!$B$229=O$3,SUMIF('TL03'!$C$238:$C$451,$C359,'TL03'!$J$238:$J$451),0),
IF('TL04'!$B$3=O$3,SUMIF('TL04'!$C$10:$C$224,$C359,'TL04'!$J$10:$J$224),0),
IF('TL04'!$B$229=O$3,SUMIF('TL04'!$C$238:$C$451,$C359,'TL04'!$J$238:$J$451),0),
IF('TL05'!$B$3=O$3,SUMIF('TL05'!$C$10:$C$224,$C359,'TL05'!$J$10:$J$224),0),
IF('TL05'!$B$229=O$3,SUMIF('TL05'!$C$238:$C$451,$C359,'TL05'!$J$238:$J$451),0),
IF('TL06'!$B$3=O$3,SUMIF('TL06'!$C$10:$C$224,$C359,'TL06'!$J$10:$J$224),0),
IF('TL06'!$B$229=O$3,SUMIF('TL06'!$C$238:$C$451,$C359,'TL06'!$J$238:$J$451),0),
IF('TL07'!$B$3=O$3,SUMIF('TL07'!$C$10:$C$224,$C359,'TL07'!$J$10:$J$224),0),
IF('TL07'!$B$229=O$3,SUMIF('TL07'!$C$238:$C$451,$C359,'TL07'!$J$238:$J$451),0),
IF('TL08'!$B$3=O$3,SUMIF('TL08'!$C$10:$C$224,$C359,'TL08'!$J$10:$J$224),0),
IF('TL08'!$B$229=O$3,SUMIF('TL08'!$C$238:$C$451,$C359,'TL08'!$J$238:$J$451),0),
IF('TL09'!$B$3=O$3,SUMIF('TL09'!$C$10:$C$224,$C359,'TL09'!$J$10:$J$224),0),
IF('TL09'!$B$229=O$3,SUMIF('TL09'!$C$238:$C$451,$C359,'TL09'!$J$238:$J$451),0),
IF('TL10'!$B$3=O$3,SUMIF('TL10'!$C$10:$C$224,$C359,'TL10'!$J$10:$J$224),0),
IF('TL10'!$B$229=O$3,SUMIF('TL10'!$C$238:$C$451,$C359,'TL10'!$J$238:$J$451),0),
IF('TL11'!$B$3=O$3,SUMIF('TL11'!$C$10:$C$224,$C359,'TL11'!$J$10:$J$224),0),
IF('TL11'!$B$229=O$3,SUMIF('TL11'!$C$238:$C$451,$C359,'TL11'!$J$238:$J$451),0),
IF('TL12'!$B$3=O$3,SUMIF('TL12'!$C$10:$C$224,$C359,'TL12'!$J$10:$J$224),0),
IF('TL12'!$B$229=O$3,SUMIF('TL12'!$C$238:$C$451,$C359,'TL12'!$J$238:$J$451),0),
IF('TL13'!$B$3=O$3,SUMIF('TL13'!$C$10:$C$224,$C359,'TL13'!$J$10:$J$224),0),
IF('TL13'!$B$229=O$3,SUMIF('TL13'!$C$238:$C$451,$C359,'TL13'!$J$238:$J$451),0),
IF('TL14'!$B$3=O$3,SUMIF('TL14'!$C$10:$C$224,$C359,'TL14'!$J$10:$J$224),0),
IF('TL14'!$B$229=O$3,SUMIF('TL14'!$C$238:$C$451,$C359,'TL14'!$J$238:$J$451),0),
IF('TL15'!$B$3=O$3,SUMIF('TL15'!$C$10:$C$224,$C359,'TL15'!$J$10:$J$224),0),
IF('TL15'!$B$229=O$3,SUMIF('TL15'!$C$238:$C$451,$C359,'TL15'!$J$238:$J$451),0),
IF('TL16'!$B$3=O$3,SUMIF('TL16'!$C$10:$C$224,$C359,'TL16'!$J$10:$J$224),0),
IF('TL16'!$B$229=O$3,SUMIF('TL16'!$C$238:$C$451,$C359,'TL16'!$J$238:$J$451),0),
IF('TL17'!$B$3=O$3,SUMIF('TL17'!$C$10:$C$224,$C359,'TL17'!$J$10:$J$224),0),
IF('TL17'!$B$229=O$3,SUMIF('TL17'!$C$238:$C$451,$C359,'TL17'!$J$238:$J$451),0),
IF('TL18'!$B$3=O$3,SUMIF('TL18'!$C$10:$C$224,$C359,'TL18'!$J$10:$J$224),0),
IF('TL18'!$B$229=O$3,SUMIF('TL18'!$C$238:$C$451,$C359,'TL18'!$J$238:$J$451),0),
IF('TL19'!$B$3=O$3,SUMIF('TL19'!$C$10:$C$224,$C359,'TL19'!$J$10:$J$224),0),
IF('TL19'!$B$229=O$3,SUMIF('TL19'!$C$238:$C$451,$C359,'TL19'!$J$238:$J$451),0)
),0)</f>
        <v>0</v>
      </c>
      <c r="P359" s="9">
        <f>IFERROR(SUM(
IF('TL01'!$B$3=P$3,SUMIF('TL01'!$C$10:$C$224,$C359,'TL01'!$J$10:$J$224),0),
IF('TL01'!$B$229=P$3,SUMIF('TL01'!$C$238:$C$451,$C359,'TL01'!$J$238:$J$451),0),
IF('TL02'!$B$3=P$3,SUMIF('TL02'!$C$10:$C$224,$C359,'TL02'!$J$10:$J$224),0),
IF('TL02'!$B$229=P$3,SUMIF('TL02'!$C$238:$C$451,$C359,'TL02'!$J$238:$J$451),0),
IF('TL03'!$B$3=P$3,SUMIF('TL03'!$C$10:$C$224,$C359,'TL03'!$J$10:$J$224),0),
IF('TL03'!$B$229=P$3,SUMIF('TL03'!$C$238:$C$451,$C359,'TL03'!$J$238:$J$451),0),
IF('TL04'!$B$3=P$3,SUMIF('TL04'!$C$10:$C$224,$C359,'TL04'!$J$10:$J$224),0),
IF('TL04'!$B$229=P$3,SUMIF('TL04'!$C$238:$C$451,$C359,'TL04'!$J$238:$J$451),0),
IF('TL05'!$B$3=P$3,SUMIF('TL05'!$C$10:$C$224,$C359,'TL05'!$J$10:$J$224),0),
IF('TL05'!$B$229=P$3,SUMIF('TL05'!$C$238:$C$451,$C359,'TL05'!$J$238:$J$451),0),
IF('TL06'!$B$3=P$3,SUMIF('TL06'!$C$10:$C$224,$C359,'TL06'!$J$10:$J$224),0),
IF('TL06'!$B$229=P$3,SUMIF('TL06'!$C$238:$C$451,$C359,'TL06'!$J$238:$J$451),0),
IF('TL07'!$B$3=P$3,SUMIF('TL07'!$C$10:$C$224,$C359,'TL07'!$J$10:$J$224),0),
IF('TL07'!$B$229=P$3,SUMIF('TL07'!$C$238:$C$451,$C359,'TL07'!$J$238:$J$451),0),
IF('TL08'!$B$3=P$3,SUMIF('TL08'!$C$10:$C$224,$C359,'TL08'!$J$10:$J$224),0),
IF('TL08'!$B$229=P$3,SUMIF('TL08'!$C$238:$C$451,$C359,'TL08'!$J$238:$J$451),0),
IF('TL09'!$B$3=P$3,SUMIF('TL09'!$C$10:$C$224,$C359,'TL09'!$J$10:$J$224),0),
IF('TL09'!$B$229=P$3,SUMIF('TL09'!$C$238:$C$451,$C359,'TL09'!$J$238:$J$451),0),
IF('TL10'!$B$3=P$3,SUMIF('TL10'!$C$10:$C$224,$C359,'TL10'!$J$10:$J$224),0),
IF('TL10'!$B$229=P$3,SUMIF('TL10'!$C$238:$C$451,$C359,'TL10'!$J$238:$J$451),0),
IF('TL11'!$B$3=P$3,SUMIF('TL11'!$C$10:$C$224,$C359,'TL11'!$J$10:$J$224),0),
IF('TL11'!$B$229=P$3,SUMIF('TL11'!$C$238:$C$451,$C359,'TL11'!$J$238:$J$451),0),
IF('TL12'!$B$3=P$3,SUMIF('TL12'!$C$10:$C$224,$C359,'TL12'!$J$10:$J$224),0),
IF('TL12'!$B$229=P$3,SUMIF('TL12'!$C$238:$C$451,$C359,'TL12'!$J$238:$J$451),0),
IF('TL13'!$B$3=P$3,SUMIF('TL13'!$C$10:$C$224,$C359,'TL13'!$J$10:$J$224),0),
IF('TL13'!$B$229=P$3,SUMIF('TL13'!$C$238:$C$451,$C359,'TL13'!$J$238:$J$451),0),
IF('TL14'!$B$3=P$3,SUMIF('TL14'!$C$10:$C$224,$C359,'TL14'!$J$10:$J$224),0),
IF('TL14'!$B$229=P$3,SUMIF('TL14'!$C$238:$C$451,$C359,'TL14'!$J$238:$J$451),0),
IF('TL15'!$B$3=P$3,SUMIF('TL15'!$C$10:$C$224,$C359,'TL15'!$J$10:$J$224),0),
IF('TL15'!$B$229=P$3,SUMIF('TL15'!$C$238:$C$451,$C359,'TL15'!$J$238:$J$451),0),
IF('TL16'!$B$3=P$3,SUMIF('TL16'!$C$10:$C$224,$C359,'TL16'!$J$10:$J$224),0),
IF('TL16'!$B$229=P$3,SUMIF('TL16'!$C$238:$C$451,$C359,'TL16'!$J$238:$J$451),0),
IF('TL17'!$B$3=P$3,SUMIF('TL17'!$C$10:$C$224,$C359,'TL17'!$J$10:$J$224),0),
IF('TL17'!$B$229=P$3,SUMIF('TL17'!$C$238:$C$451,$C359,'TL17'!$J$238:$J$451),0),
IF('TL18'!$B$3=P$3,SUMIF('TL18'!$C$10:$C$224,$C359,'TL18'!$J$10:$J$224),0),
IF('TL18'!$B$229=P$3,SUMIF('TL18'!$C$238:$C$451,$C359,'TL18'!$J$238:$J$451),0),
IF('TL19'!$B$3=P$3,SUMIF('TL19'!$C$10:$C$224,$C359,'TL19'!$J$10:$J$224),0),
IF('TL19'!$B$229=P$3,SUMIF('TL19'!$C$238:$C$451,$C359,'TL19'!$J$238:$J$451),0)
),0)</f>
        <v>0</v>
      </c>
      <c r="Q359" s="9">
        <f>IFERROR(SUM(
IF('TL01'!$B$3=Q$3,SUMIF('TL01'!$C$10:$C$224,$C359,'TL01'!$J$10:$J$224),0),
IF('TL01'!$B$229=Q$3,SUMIF('TL01'!$C$238:$C$451,$C359,'TL01'!$J$238:$J$451),0),
IF('TL02'!$B$3=Q$3,SUMIF('TL02'!$C$10:$C$224,$C359,'TL02'!$J$10:$J$224),0),
IF('TL02'!$B$229=Q$3,SUMIF('TL02'!$C$238:$C$451,$C359,'TL02'!$J$238:$J$451),0),
IF('TL03'!$B$3=Q$3,SUMIF('TL03'!$C$10:$C$224,$C359,'TL03'!$J$10:$J$224),0),
IF('TL03'!$B$229=Q$3,SUMIF('TL03'!$C$238:$C$451,$C359,'TL03'!$J$238:$J$451),0),
IF('TL04'!$B$3=Q$3,SUMIF('TL04'!$C$10:$C$224,$C359,'TL04'!$J$10:$J$224),0),
IF('TL04'!$B$229=Q$3,SUMIF('TL04'!$C$238:$C$451,$C359,'TL04'!$J$238:$J$451),0),
IF('TL05'!$B$3=Q$3,SUMIF('TL05'!$C$10:$C$224,$C359,'TL05'!$J$10:$J$224),0),
IF('TL05'!$B$229=Q$3,SUMIF('TL05'!$C$238:$C$451,$C359,'TL05'!$J$238:$J$451),0),
IF('TL06'!$B$3=Q$3,SUMIF('TL06'!$C$10:$C$224,$C359,'TL06'!$J$10:$J$224),0),
IF('TL06'!$B$229=Q$3,SUMIF('TL06'!$C$238:$C$451,$C359,'TL06'!$J$238:$J$451),0),
IF('TL07'!$B$3=Q$3,SUMIF('TL07'!$C$10:$C$224,$C359,'TL07'!$J$10:$J$224),0),
IF('TL07'!$B$229=Q$3,SUMIF('TL07'!$C$238:$C$451,$C359,'TL07'!$J$238:$J$451),0),
IF('TL08'!$B$3=Q$3,SUMIF('TL08'!$C$10:$C$224,$C359,'TL08'!$J$10:$J$224),0),
IF('TL08'!$B$229=Q$3,SUMIF('TL08'!$C$238:$C$451,$C359,'TL08'!$J$238:$J$451),0),
IF('TL09'!$B$3=Q$3,SUMIF('TL09'!$C$10:$C$224,$C359,'TL09'!$J$10:$J$224),0),
IF('TL09'!$B$229=Q$3,SUMIF('TL09'!$C$238:$C$451,$C359,'TL09'!$J$238:$J$451),0),
IF('TL10'!$B$3=Q$3,SUMIF('TL10'!$C$10:$C$224,$C359,'TL10'!$J$10:$J$224),0),
IF('TL10'!$B$229=Q$3,SUMIF('TL10'!$C$238:$C$451,$C359,'TL10'!$J$238:$J$451),0),
IF('TL11'!$B$3=Q$3,SUMIF('TL11'!$C$10:$C$224,$C359,'TL11'!$J$10:$J$224),0),
IF('TL11'!$B$229=Q$3,SUMIF('TL11'!$C$238:$C$451,$C359,'TL11'!$J$238:$J$451),0),
IF('TL12'!$B$3=Q$3,SUMIF('TL12'!$C$10:$C$224,$C359,'TL12'!$J$10:$J$224),0),
IF('TL12'!$B$229=Q$3,SUMIF('TL12'!$C$238:$C$451,$C359,'TL12'!$J$238:$J$451),0),
IF('TL13'!$B$3=Q$3,SUMIF('TL13'!$C$10:$C$224,$C359,'TL13'!$J$10:$J$224),0),
IF('TL13'!$B$229=Q$3,SUMIF('TL13'!$C$238:$C$451,$C359,'TL13'!$J$238:$J$451),0),
IF('TL14'!$B$3=Q$3,SUMIF('TL14'!$C$10:$C$224,$C359,'TL14'!$J$10:$J$224),0),
IF('TL14'!$B$229=Q$3,SUMIF('TL14'!$C$238:$C$451,$C359,'TL14'!$J$238:$J$451),0),
IF('TL15'!$B$3=Q$3,SUMIF('TL15'!$C$10:$C$224,$C359,'TL15'!$J$10:$J$224),0),
IF('TL15'!$B$229=Q$3,SUMIF('TL15'!$C$238:$C$451,$C359,'TL15'!$J$238:$J$451),0),
IF('TL16'!$B$3=Q$3,SUMIF('TL16'!$C$10:$C$224,$C359,'TL16'!$J$10:$J$224),0),
IF('TL16'!$B$229=Q$3,SUMIF('TL16'!$C$238:$C$451,$C359,'TL16'!$J$238:$J$451),0),
IF('TL17'!$B$3=Q$3,SUMIF('TL17'!$C$10:$C$224,$C359,'TL17'!$J$10:$J$224),0),
IF('TL17'!$B$229=Q$3,SUMIF('TL17'!$C$238:$C$451,$C359,'TL17'!$J$238:$J$451),0),
IF('TL18'!$B$3=Q$3,SUMIF('TL18'!$C$10:$C$224,$C359,'TL18'!$J$10:$J$224),0),
IF('TL18'!$B$229=Q$3,SUMIF('TL18'!$C$238:$C$451,$C359,'TL18'!$J$238:$J$451),0),
IF('TL19'!$B$3=Q$3,SUMIF('TL19'!$C$10:$C$224,$C359,'TL19'!$J$10:$J$224),0),
IF('TL19'!$B$229=Q$3,SUMIF('TL19'!$C$238:$C$451,$C359,'TL19'!$J$238:$J$451),0)
),0)</f>
        <v>0</v>
      </c>
      <c r="R359" s="9">
        <f>IFERROR(
SUM(
SUMIF('TL01'!C:C,C359,'TL01'!J:J),
SUMIF('TL02'!C:C,C359,'TL02'!J:J),
SUMIF('TL03'!C:C,C359,'TL03'!J:J),
SUMIF('TL04'!C:C,C359,'TL04'!J:J),
SUMIF('TL05'!C:C,C359,'TL05'!J:J),
SUMIF('TL06'!C:C,C359,'TL06'!J:J),
SUMIF('TL07'!C:C,C359,'TL07'!J:J),
SUMIF('TL08'!C:C,C359,'TL08'!J:J),
SUMIF('TL09'!C:C,C359,'TL09'!J:J),
SUMIF('TL10'!C:C,C359,'TL10'!J:J),
SUMIF('TL11'!C:C,C359,'TL11'!J:J),
SUMIF('TL12'!C:C,C359,'TL12'!J:J),
SUMIF('TL13'!C:C,C359,'TL13'!J:J),
SUMIF('TL14'!C:C,C359,'TL14'!J:J),
SUMIF('TL15'!C:C,C359,'TL15'!J:J),
SUMIF('TL16'!C:C,C359,'TL16'!J:J),
SUMIF('TL17'!C:C,C359,'TL17'!J:J),
SUMIF('TL18'!C:C,C359,'TL18'!J:J),SUMIF('TL19'!C:C,C359,'TL19'!J:J))
,0)</f>
        <v>0</v>
      </c>
      <c r="S359" s="17">
        <f>IFERROR(__xludf.DUMMYFUNCTION("IFERROR(VLOOKUP(C359,
IMPORTRANGE(""1wULbzX32WdYsx-lj2U3uUNBBe2INVIRDtcK0d-Dvl90"",
""26-27!C:G""),
5,
FALSE),
"""")"),62.4)</f>
        <v>62.4</v>
      </c>
      <c r="T359" s="9"/>
      <c r="U359" s="92">
        <f t="shared" si="2"/>
        <v>0</v>
      </c>
      <c r="V359" s="93">
        <f t="shared" si="3"/>
        <v>0</v>
      </c>
    </row>
    <row r="360" ht="15.75" hidden="1" customHeight="1">
      <c r="A360" s="4" t="s">
        <v>1071</v>
      </c>
      <c r="B360" s="4" t="s">
        <v>4</v>
      </c>
      <c r="C360" s="126" t="s">
        <v>1092</v>
      </c>
      <c r="D360" s="127" t="s">
        <v>1093</v>
      </c>
      <c r="E360" s="6"/>
      <c r="F360" s="4" t="s">
        <v>343</v>
      </c>
      <c r="G360" s="90" t="str">
        <f t="shared" si="5"/>
        <v>📄 Ver bula</v>
      </c>
      <c r="H360" s="4">
        <v>2.0</v>
      </c>
      <c r="I360" s="121" t="s">
        <v>361</v>
      </c>
      <c r="J360" s="9">
        <f>IFERROR(SUM(
IF('TL01'!$B$3=J$3,SUMIF('TL01'!$C$10:$C$224,$C360,'TL01'!$J$10:$J$224),0),
IF('TL01'!$B$229=J$3,SUMIF('TL01'!$C$238:$C$451,$C360,'TL01'!$J$238:$J$451),0),
IF('TL02'!$B$3=J$3,SUMIF('TL02'!$C$10:$C$224,$C360,'TL02'!$J$10:$J$224),0),
IF('TL02'!$B$229=J$3,SUMIF('TL02'!$C$238:$C$451,$C360,'TL02'!$J$238:$J$451),0),
IF('TL03'!$B$3=J$3,SUMIF('TL03'!$C$10:$C$224,$C360,'TL03'!$J$10:$J$224),0),
IF('TL03'!$B$229=J$3,SUMIF('TL03'!$C$238:$C$451,$C360,'TL03'!$J$238:$J$451),0),
IF('TL04'!$B$3=J$3,SUMIF('TL04'!$C$10:$C$224,$C360,'TL04'!$J$10:$J$224),0),
IF('TL04'!$B$229=J$3,SUMIF('TL04'!$C$238:$C$451,$C360,'TL04'!$J$238:$J$451),0),
IF('TL05'!$B$3=J$3,SUMIF('TL05'!$C$10:$C$224,$C360,'TL05'!$J$10:$J$224),0),
IF('TL05'!$B$229=J$3,SUMIF('TL05'!$C$238:$C$451,$C360,'TL05'!$J$238:$J$451),0),
IF('TL06'!$B$3=J$3,SUMIF('TL06'!$C$10:$C$224,$C360,'TL06'!$J$10:$J$224),0),
IF('TL06'!$B$229=J$3,SUMIF('TL06'!$C$238:$C$451,$C360,'TL06'!$J$238:$J$451),0),
IF('TL07'!$B$3=J$3,SUMIF('TL07'!$C$10:$C$224,$C360,'TL07'!$J$10:$J$224),0),
IF('TL07'!$B$229=J$3,SUMIF('TL07'!$C$238:$C$451,$C360,'TL07'!$J$238:$J$451),0),
IF('TL08'!$B$3=J$3,SUMIF('TL08'!$C$10:$C$224,$C360,'TL08'!$J$10:$J$224),0),
IF('TL08'!$B$229=J$3,SUMIF('TL08'!$C$238:$C$451,$C360,'TL08'!$J$238:$J$451),0),
IF('TL09'!$B$3=J$3,SUMIF('TL09'!$C$10:$C$224,$C360,'TL09'!$J$10:$J$224),0),
IF('TL09'!$B$229=J$3,SUMIF('TL09'!$C$238:$C$451,$C360,'TL09'!$J$238:$J$451),0),
IF('TL10'!$B$3=J$3,SUMIF('TL10'!$C$10:$C$224,$C360,'TL10'!$J$10:$J$224),0),
IF('TL10'!$B$229=J$3,SUMIF('TL10'!$C$238:$C$451,$C360,'TL10'!$J$238:$J$451),0),
IF('TL11'!$B$3=J$3,SUMIF('TL11'!$C$10:$C$224,$C360,'TL11'!$J$10:$J$224),0),
IF('TL11'!$B$229=J$3,SUMIF('TL11'!$C$238:$C$451,$C360,'TL11'!$J$238:$J$451),0),
IF('TL12'!$B$3=J$3,SUMIF('TL12'!$C$10:$C$224,$C360,'TL12'!$J$10:$J$224),0),
IF('TL12'!$B$229=J$3,SUMIF('TL12'!$C$238:$C$451,$C360,'TL12'!$J$238:$J$451),0),
IF('TL13'!$B$3=J$3,SUMIF('TL13'!$C$10:$C$224,$C360,'TL13'!$J$10:$J$224),0),
IF('TL13'!$B$229=J$3,SUMIF('TL13'!$C$238:$C$451,$C360,'TL13'!$J$238:$J$451),0),
IF('TL14'!$B$3=J$3,SUMIF('TL14'!$C$10:$C$224,$C360,'TL14'!$J$10:$J$224),0),
IF('TL14'!$B$229=J$3,SUMIF('TL14'!$C$238:$C$451,$C360,'TL14'!$J$238:$J$451),0),
IF('TL15'!$B$3=J$3,SUMIF('TL15'!$C$10:$C$224,$C360,'TL15'!$J$10:$J$224),0),
IF('TL15'!$B$229=J$3,SUMIF('TL15'!$C$238:$C$451,$C360,'TL15'!$J$238:$J$451),0),
IF('TL16'!$B$3=J$3,SUMIF('TL16'!$C$10:$C$224,$C360,'TL16'!$J$10:$J$224),0),
IF('TL16'!$B$229=J$3,SUMIF('TL16'!$C$238:$C$451,$C360,'TL16'!$J$238:$J$451),0),
IF('TL17'!$B$3=J$3,SUMIF('TL17'!$C$10:$C$224,$C360,'TL17'!$J$10:$J$224),0),
IF('TL17'!$B$229=J$3,SUMIF('TL17'!$C$238:$C$451,$C360,'TL17'!$J$238:$J$451),0),
IF('TL18'!$B$3=J$3,SUMIF('TL18'!$C$10:$C$224,$C360,'TL18'!$J$10:$J$224),0),
IF('TL18'!$B$229=J$3,SUMIF('TL18'!$C$238:$C$451,$C360,'TL18'!$J$238:$J$451),0),
IF('TL19'!$B$3=J$3,SUMIF('TL19'!$C$10:$C$224,$C360,'TL19'!$J$10:$J$224),0),
IF('TL19'!$B$229=J$3,SUMIF('TL19'!$C$238:$C$451,$C360,'TL19'!$J$238:$J$451),0)
),0)</f>
        <v>0</v>
      </c>
      <c r="K360" s="9">
        <f>IFERROR(SUM(
IF('TL01'!$B$3=K$3,SUMIF('TL01'!$C$10:$C$224,$C360,'TL01'!$J$10:$J$224),0),
IF('TL01'!$B$229=K$3,SUMIF('TL01'!$C$238:$C$451,$C360,'TL01'!$J$238:$J$451),0),
IF('TL02'!$B$3=K$3,SUMIF('TL02'!$C$10:$C$224,$C360,'TL02'!$J$10:$J$224),0),
IF('TL02'!$B$229=K$3,SUMIF('TL02'!$C$238:$C$451,$C360,'TL02'!$J$238:$J$451),0),
IF('TL03'!$B$3=K$3,SUMIF('TL03'!$C$10:$C$224,$C360,'TL03'!$J$10:$J$224),0),
IF('TL03'!$B$229=K$3,SUMIF('TL03'!$C$238:$C$451,$C360,'TL03'!$J$238:$J$451),0),
IF('TL04'!$B$3=K$3,SUMIF('TL04'!$C$10:$C$224,$C360,'TL04'!$J$10:$J$224),0),
IF('TL04'!$B$229=K$3,SUMIF('TL04'!$C$238:$C$451,$C360,'TL04'!$J$238:$J$451),0),
IF('TL05'!$B$3=K$3,SUMIF('TL05'!$C$10:$C$224,$C360,'TL05'!$J$10:$J$224),0),
IF('TL05'!$B$229=K$3,SUMIF('TL05'!$C$238:$C$451,$C360,'TL05'!$J$238:$J$451),0),
IF('TL06'!$B$3=K$3,SUMIF('TL06'!$C$10:$C$224,$C360,'TL06'!$J$10:$J$224),0),
IF('TL06'!$B$229=K$3,SUMIF('TL06'!$C$238:$C$451,$C360,'TL06'!$J$238:$J$451),0),
IF('TL07'!$B$3=K$3,SUMIF('TL07'!$C$10:$C$224,$C360,'TL07'!$J$10:$J$224),0),
IF('TL07'!$B$229=K$3,SUMIF('TL07'!$C$238:$C$451,$C360,'TL07'!$J$238:$J$451),0),
IF('TL08'!$B$3=K$3,SUMIF('TL08'!$C$10:$C$224,$C360,'TL08'!$J$10:$J$224),0),
IF('TL08'!$B$229=K$3,SUMIF('TL08'!$C$238:$C$451,$C360,'TL08'!$J$238:$J$451),0),
IF('TL09'!$B$3=K$3,SUMIF('TL09'!$C$10:$C$224,$C360,'TL09'!$J$10:$J$224),0),
IF('TL09'!$B$229=K$3,SUMIF('TL09'!$C$238:$C$451,$C360,'TL09'!$J$238:$J$451),0),
IF('TL10'!$B$3=K$3,SUMIF('TL10'!$C$10:$C$224,$C360,'TL10'!$J$10:$J$224),0),
IF('TL10'!$B$229=K$3,SUMIF('TL10'!$C$238:$C$451,$C360,'TL10'!$J$238:$J$451),0),
IF('TL11'!$B$3=K$3,SUMIF('TL11'!$C$10:$C$224,$C360,'TL11'!$J$10:$J$224),0),
IF('TL11'!$B$229=K$3,SUMIF('TL11'!$C$238:$C$451,$C360,'TL11'!$J$238:$J$451),0),
IF('TL12'!$B$3=K$3,SUMIF('TL12'!$C$10:$C$224,$C360,'TL12'!$J$10:$J$224),0),
IF('TL12'!$B$229=K$3,SUMIF('TL12'!$C$238:$C$451,$C360,'TL12'!$J$238:$J$451),0),
IF('TL13'!$B$3=K$3,SUMIF('TL13'!$C$10:$C$224,$C360,'TL13'!$J$10:$J$224),0),
IF('TL13'!$B$229=K$3,SUMIF('TL13'!$C$238:$C$451,$C360,'TL13'!$J$238:$J$451),0),
IF('TL14'!$B$3=K$3,SUMIF('TL14'!$C$10:$C$224,$C360,'TL14'!$J$10:$J$224),0),
IF('TL14'!$B$229=K$3,SUMIF('TL14'!$C$238:$C$451,$C360,'TL14'!$J$238:$J$451),0),
IF('TL15'!$B$3=K$3,SUMIF('TL15'!$C$10:$C$224,$C360,'TL15'!$J$10:$J$224),0),
IF('TL15'!$B$229=K$3,SUMIF('TL15'!$C$238:$C$451,$C360,'TL15'!$J$238:$J$451),0),
IF('TL16'!$B$3=K$3,SUMIF('TL16'!$C$10:$C$224,$C360,'TL16'!$J$10:$J$224),0),
IF('TL16'!$B$229=K$3,SUMIF('TL16'!$C$238:$C$451,$C360,'TL16'!$J$238:$J$451),0),
IF('TL17'!$B$3=K$3,SUMIF('TL17'!$C$10:$C$224,$C360,'TL17'!$J$10:$J$224),0),
IF('TL17'!$B$229=K$3,SUMIF('TL17'!$C$238:$C$451,$C360,'TL17'!$J$238:$J$451),0),
IF('TL18'!$B$3=K$3,SUMIF('TL18'!$C$10:$C$224,$C360,'TL18'!$J$10:$J$224),0),
IF('TL18'!$B$229=K$3,SUMIF('TL18'!$C$238:$C$451,$C360,'TL18'!$J$238:$J$451),0),
IF('TL19'!$B$3=K$3,SUMIF('TL19'!$C$10:$C$224,$C360,'TL19'!$J$10:$J$224),0),
IF('TL19'!$B$229=K$3,SUMIF('TL19'!$C$238:$C$451,$C360,'TL19'!$J$238:$J$451),0)
),0)</f>
        <v>300</v>
      </c>
      <c r="L360" s="9">
        <f>IFERROR(SUM(
IF('TL01'!$B$3=L$3,SUMIF('TL01'!$C$10:$C$224,$C360,'TL01'!$J$10:$J$224),0),
IF('TL01'!$B$229=L$3,SUMIF('TL01'!$C$238:$C$451,$C360,'TL01'!$J$238:$J$451),0),
IF('TL02'!$B$3=L$3,SUMIF('TL02'!$C$10:$C$224,$C360,'TL02'!$J$10:$J$224),0),
IF('TL02'!$B$229=L$3,SUMIF('TL02'!$C$238:$C$451,$C360,'TL02'!$J$238:$J$451),0),
IF('TL03'!$B$3=L$3,SUMIF('TL03'!$C$10:$C$224,$C360,'TL03'!$J$10:$J$224),0),
IF('TL03'!$B$229=L$3,SUMIF('TL03'!$C$238:$C$451,$C360,'TL03'!$J$238:$J$451),0),
IF('TL04'!$B$3=L$3,SUMIF('TL04'!$C$10:$C$224,$C360,'TL04'!$J$10:$J$224),0),
IF('TL04'!$B$229=L$3,SUMIF('TL04'!$C$238:$C$451,$C360,'TL04'!$J$238:$J$451),0),
IF('TL05'!$B$3=L$3,SUMIF('TL05'!$C$10:$C$224,$C360,'TL05'!$J$10:$J$224),0),
IF('TL05'!$B$229=L$3,SUMIF('TL05'!$C$238:$C$451,$C360,'TL05'!$J$238:$J$451),0),
IF('TL06'!$B$3=L$3,SUMIF('TL06'!$C$10:$C$224,$C360,'TL06'!$J$10:$J$224),0),
IF('TL06'!$B$229=L$3,SUMIF('TL06'!$C$238:$C$451,$C360,'TL06'!$J$238:$J$451),0),
IF('TL07'!$B$3=L$3,SUMIF('TL07'!$C$10:$C$224,$C360,'TL07'!$J$10:$J$224),0),
IF('TL07'!$B$229=L$3,SUMIF('TL07'!$C$238:$C$451,$C360,'TL07'!$J$238:$J$451),0),
IF('TL08'!$B$3=L$3,SUMIF('TL08'!$C$10:$C$224,$C360,'TL08'!$J$10:$J$224),0),
IF('TL08'!$B$229=L$3,SUMIF('TL08'!$C$238:$C$451,$C360,'TL08'!$J$238:$J$451),0),
IF('TL09'!$B$3=L$3,SUMIF('TL09'!$C$10:$C$224,$C360,'TL09'!$J$10:$J$224),0),
IF('TL09'!$B$229=L$3,SUMIF('TL09'!$C$238:$C$451,$C360,'TL09'!$J$238:$J$451),0),
IF('TL10'!$B$3=L$3,SUMIF('TL10'!$C$10:$C$224,$C360,'TL10'!$J$10:$J$224),0),
IF('TL10'!$B$229=L$3,SUMIF('TL10'!$C$238:$C$451,$C360,'TL10'!$J$238:$J$451),0),
IF('TL11'!$B$3=L$3,SUMIF('TL11'!$C$10:$C$224,$C360,'TL11'!$J$10:$J$224),0),
IF('TL11'!$B$229=L$3,SUMIF('TL11'!$C$238:$C$451,$C360,'TL11'!$J$238:$J$451),0),
IF('TL12'!$B$3=L$3,SUMIF('TL12'!$C$10:$C$224,$C360,'TL12'!$J$10:$J$224),0),
IF('TL12'!$B$229=L$3,SUMIF('TL12'!$C$238:$C$451,$C360,'TL12'!$J$238:$J$451),0),
IF('TL13'!$B$3=L$3,SUMIF('TL13'!$C$10:$C$224,$C360,'TL13'!$J$10:$J$224),0),
IF('TL13'!$B$229=L$3,SUMIF('TL13'!$C$238:$C$451,$C360,'TL13'!$J$238:$J$451),0),
IF('TL14'!$B$3=L$3,SUMIF('TL14'!$C$10:$C$224,$C360,'TL14'!$J$10:$J$224),0),
IF('TL14'!$B$229=L$3,SUMIF('TL14'!$C$238:$C$451,$C360,'TL14'!$J$238:$J$451),0),
IF('TL15'!$B$3=L$3,SUMIF('TL15'!$C$10:$C$224,$C360,'TL15'!$J$10:$J$224),0),
IF('TL15'!$B$229=L$3,SUMIF('TL15'!$C$238:$C$451,$C360,'TL15'!$J$238:$J$451),0),
IF('TL16'!$B$3=L$3,SUMIF('TL16'!$C$10:$C$224,$C360,'TL16'!$J$10:$J$224),0),
IF('TL16'!$B$229=L$3,SUMIF('TL16'!$C$238:$C$451,$C360,'TL16'!$J$238:$J$451),0),
IF('TL17'!$B$3=L$3,SUMIF('TL17'!$C$10:$C$224,$C360,'TL17'!$J$10:$J$224),0),
IF('TL17'!$B$229=L$3,SUMIF('TL17'!$C$238:$C$451,$C360,'TL17'!$J$238:$J$451),0),
IF('TL18'!$B$3=L$3,SUMIF('TL18'!$C$10:$C$224,$C360,'TL18'!$J$10:$J$224),0),
IF('TL18'!$B$229=L$3,SUMIF('TL18'!$C$238:$C$451,$C360,'TL18'!$J$238:$J$451),0),
IF('TL19'!$B$3=L$3,SUMIF('TL19'!$C$10:$C$224,$C360,'TL19'!$J$10:$J$224),0),
IF('TL19'!$B$229=L$3,SUMIF('TL19'!$C$238:$C$451,$C360,'TL19'!$J$238:$J$451),0)
),0)</f>
        <v>220</v>
      </c>
      <c r="M360" s="9">
        <f>IFERROR(SUM(
IF('TL01'!$B$3=M$3,SUMIF('TL01'!$C$10:$C$224,$C360,'TL01'!$J$10:$J$224),0),
IF('TL01'!$B$229=M$3,SUMIF('TL01'!$C$238:$C$451,$C360,'TL01'!$J$238:$J$451),0),
IF('TL02'!$B$3=M$3,SUMIF('TL02'!$C$10:$C$224,$C360,'TL02'!$J$10:$J$224),0),
IF('TL02'!$B$229=M$3,SUMIF('TL02'!$C$238:$C$451,$C360,'TL02'!$J$238:$J$451),0),
IF('TL03'!$B$3=M$3,SUMIF('TL03'!$C$10:$C$224,$C360,'TL03'!$J$10:$J$224),0),
IF('TL03'!$B$229=M$3,SUMIF('TL03'!$C$238:$C$451,$C360,'TL03'!$J$238:$J$451),0),
IF('TL04'!$B$3=M$3,SUMIF('TL04'!$C$10:$C$224,$C360,'TL04'!$J$10:$J$224),0),
IF('TL04'!$B$229=M$3,SUMIF('TL04'!$C$238:$C$451,$C360,'TL04'!$J$238:$J$451),0),
IF('TL05'!$B$3=M$3,SUMIF('TL05'!$C$10:$C$224,$C360,'TL05'!$J$10:$J$224),0),
IF('TL05'!$B$229=M$3,SUMIF('TL05'!$C$238:$C$451,$C360,'TL05'!$J$238:$J$451),0),
IF('TL06'!$B$3=M$3,SUMIF('TL06'!$C$10:$C$224,$C360,'TL06'!$J$10:$J$224),0),
IF('TL06'!$B$229=M$3,SUMIF('TL06'!$C$238:$C$451,$C360,'TL06'!$J$238:$J$451),0),
IF('TL07'!$B$3=M$3,SUMIF('TL07'!$C$10:$C$224,$C360,'TL07'!$J$10:$J$224),0),
IF('TL07'!$B$229=M$3,SUMIF('TL07'!$C$238:$C$451,$C360,'TL07'!$J$238:$J$451),0),
IF('TL08'!$B$3=M$3,SUMIF('TL08'!$C$10:$C$224,$C360,'TL08'!$J$10:$J$224),0),
IF('TL08'!$B$229=M$3,SUMIF('TL08'!$C$238:$C$451,$C360,'TL08'!$J$238:$J$451),0),
IF('TL09'!$B$3=M$3,SUMIF('TL09'!$C$10:$C$224,$C360,'TL09'!$J$10:$J$224),0),
IF('TL09'!$B$229=M$3,SUMIF('TL09'!$C$238:$C$451,$C360,'TL09'!$J$238:$J$451),0),
IF('TL10'!$B$3=M$3,SUMIF('TL10'!$C$10:$C$224,$C360,'TL10'!$J$10:$J$224),0),
IF('TL10'!$B$229=M$3,SUMIF('TL10'!$C$238:$C$451,$C360,'TL10'!$J$238:$J$451),0),
IF('TL11'!$B$3=M$3,SUMIF('TL11'!$C$10:$C$224,$C360,'TL11'!$J$10:$J$224),0),
IF('TL11'!$B$229=M$3,SUMIF('TL11'!$C$238:$C$451,$C360,'TL11'!$J$238:$J$451),0),
IF('TL12'!$B$3=M$3,SUMIF('TL12'!$C$10:$C$224,$C360,'TL12'!$J$10:$J$224),0),
IF('TL12'!$B$229=M$3,SUMIF('TL12'!$C$238:$C$451,$C360,'TL12'!$J$238:$J$451),0),
IF('TL13'!$B$3=M$3,SUMIF('TL13'!$C$10:$C$224,$C360,'TL13'!$J$10:$J$224),0),
IF('TL13'!$B$229=M$3,SUMIF('TL13'!$C$238:$C$451,$C360,'TL13'!$J$238:$J$451),0),
IF('TL14'!$B$3=M$3,SUMIF('TL14'!$C$10:$C$224,$C360,'TL14'!$J$10:$J$224),0),
IF('TL14'!$B$229=M$3,SUMIF('TL14'!$C$238:$C$451,$C360,'TL14'!$J$238:$J$451),0),
IF('TL15'!$B$3=M$3,SUMIF('TL15'!$C$10:$C$224,$C360,'TL15'!$J$10:$J$224),0),
IF('TL15'!$B$229=M$3,SUMIF('TL15'!$C$238:$C$451,$C360,'TL15'!$J$238:$J$451),0),
IF('TL16'!$B$3=M$3,SUMIF('TL16'!$C$10:$C$224,$C360,'TL16'!$J$10:$J$224),0),
IF('TL16'!$B$229=M$3,SUMIF('TL16'!$C$238:$C$451,$C360,'TL16'!$J$238:$J$451),0),
IF('TL17'!$B$3=M$3,SUMIF('TL17'!$C$10:$C$224,$C360,'TL17'!$J$10:$J$224),0),
IF('TL17'!$B$229=M$3,SUMIF('TL17'!$C$238:$C$451,$C360,'TL17'!$J$238:$J$451),0),
IF('TL18'!$B$3=M$3,SUMIF('TL18'!$C$10:$C$224,$C360,'TL18'!$J$10:$J$224),0),
IF('TL18'!$B$229=M$3,SUMIF('TL18'!$C$238:$C$451,$C360,'TL18'!$J$238:$J$451),0),
IF('TL19'!$B$3=M$3,SUMIF('TL19'!$C$10:$C$224,$C360,'TL19'!$J$10:$J$224),0),
IF('TL19'!$B$229=M$3,SUMIF('TL19'!$C$238:$C$451,$C360,'TL19'!$J$238:$J$451),0)
),0)</f>
        <v>0</v>
      </c>
      <c r="N360" s="9">
        <f>IFERROR(SUM(
IF('TL01'!$B$3=N$3,SUMIF('TL01'!$C$10:$C$224,$C360,'TL01'!$J$10:$J$224),0),
IF('TL01'!$B$229=N$3,SUMIF('TL01'!$C$238:$C$451,$C360,'TL01'!$J$238:$J$451),0),
IF('TL02'!$B$3=N$3,SUMIF('TL02'!$C$10:$C$224,$C360,'TL02'!$J$10:$J$224),0),
IF('TL02'!$B$229=N$3,SUMIF('TL02'!$C$238:$C$451,$C360,'TL02'!$J$238:$J$451),0),
IF('TL03'!$B$3=N$3,SUMIF('TL03'!$C$10:$C$224,$C360,'TL03'!$J$10:$J$224),0),
IF('TL03'!$B$229=N$3,SUMIF('TL03'!$C$238:$C$451,$C360,'TL03'!$J$238:$J$451),0),
IF('TL04'!$B$3=N$3,SUMIF('TL04'!$C$10:$C$224,$C360,'TL04'!$J$10:$J$224),0),
IF('TL04'!$B$229=N$3,SUMIF('TL04'!$C$238:$C$451,$C360,'TL04'!$J$238:$J$451),0),
IF('TL05'!$B$3=N$3,SUMIF('TL05'!$C$10:$C$224,$C360,'TL05'!$J$10:$J$224),0),
IF('TL05'!$B$229=N$3,SUMIF('TL05'!$C$238:$C$451,$C360,'TL05'!$J$238:$J$451),0),
IF('TL06'!$B$3=N$3,SUMIF('TL06'!$C$10:$C$224,$C360,'TL06'!$J$10:$J$224),0),
IF('TL06'!$B$229=N$3,SUMIF('TL06'!$C$238:$C$451,$C360,'TL06'!$J$238:$J$451),0),
IF('TL07'!$B$3=N$3,SUMIF('TL07'!$C$10:$C$224,$C360,'TL07'!$J$10:$J$224),0),
IF('TL07'!$B$229=N$3,SUMIF('TL07'!$C$238:$C$451,$C360,'TL07'!$J$238:$J$451),0),
IF('TL08'!$B$3=N$3,SUMIF('TL08'!$C$10:$C$224,$C360,'TL08'!$J$10:$J$224),0),
IF('TL08'!$B$229=N$3,SUMIF('TL08'!$C$238:$C$451,$C360,'TL08'!$J$238:$J$451),0),
IF('TL09'!$B$3=N$3,SUMIF('TL09'!$C$10:$C$224,$C360,'TL09'!$J$10:$J$224),0),
IF('TL09'!$B$229=N$3,SUMIF('TL09'!$C$238:$C$451,$C360,'TL09'!$J$238:$J$451),0),
IF('TL10'!$B$3=N$3,SUMIF('TL10'!$C$10:$C$224,$C360,'TL10'!$J$10:$J$224),0),
IF('TL10'!$B$229=N$3,SUMIF('TL10'!$C$238:$C$451,$C360,'TL10'!$J$238:$J$451),0),
IF('TL11'!$B$3=N$3,SUMIF('TL11'!$C$10:$C$224,$C360,'TL11'!$J$10:$J$224),0),
IF('TL11'!$B$229=N$3,SUMIF('TL11'!$C$238:$C$451,$C360,'TL11'!$J$238:$J$451),0),
IF('TL12'!$B$3=N$3,SUMIF('TL12'!$C$10:$C$224,$C360,'TL12'!$J$10:$J$224),0),
IF('TL12'!$B$229=N$3,SUMIF('TL12'!$C$238:$C$451,$C360,'TL12'!$J$238:$J$451),0),
IF('TL13'!$B$3=N$3,SUMIF('TL13'!$C$10:$C$224,$C360,'TL13'!$J$10:$J$224),0),
IF('TL13'!$B$229=N$3,SUMIF('TL13'!$C$238:$C$451,$C360,'TL13'!$J$238:$J$451),0),
IF('TL14'!$B$3=N$3,SUMIF('TL14'!$C$10:$C$224,$C360,'TL14'!$J$10:$J$224),0),
IF('TL14'!$B$229=N$3,SUMIF('TL14'!$C$238:$C$451,$C360,'TL14'!$J$238:$J$451),0),
IF('TL15'!$B$3=N$3,SUMIF('TL15'!$C$10:$C$224,$C360,'TL15'!$J$10:$J$224),0),
IF('TL15'!$B$229=N$3,SUMIF('TL15'!$C$238:$C$451,$C360,'TL15'!$J$238:$J$451),0),
IF('TL16'!$B$3=N$3,SUMIF('TL16'!$C$10:$C$224,$C360,'TL16'!$J$10:$J$224),0),
IF('TL16'!$B$229=N$3,SUMIF('TL16'!$C$238:$C$451,$C360,'TL16'!$J$238:$J$451),0),
IF('TL17'!$B$3=N$3,SUMIF('TL17'!$C$10:$C$224,$C360,'TL17'!$J$10:$J$224),0),
IF('TL17'!$B$229=N$3,SUMIF('TL17'!$C$238:$C$451,$C360,'TL17'!$J$238:$J$451),0),
IF('TL18'!$B$3=N$3,SUMIF('TL18'!$C$10:$C$224,$C360,'TL18'!$J$10:$J$224),0),
IF('TL18'!$B$229=N$3,SUMIF('TL18'!$C$238:$C$451,$C360,'TL18'!$J$238:$J$451),0),
IF('TL19'!$B$3=N$3,SUMIF('TL19'!$C$10:$C$224,$C360,'TL19'!$J$10:$J$224),0),
IF('TL19'!$B$229=N$3,SUMIF('TL19'!$C$238:$C$451,$C360,'TL19'!$J$238:$J$451),0)
),0)</f>
        <v>0</v>
      </c>
      <c r="O360" s="9">
        <f>IFERROR(SUM(
IF('TL01'!$B$3=O$3,SUMIF('TL01'!$C$10:$C$224,$C360,'TL01'!$J$10:$J$224),0),
IF('TL01'!$B$229=O$3,SUMIF('TL01'!$C$238:$C$451,$C360,'TL01'!$J$238:$J$451),0),
IF('TL02'!$B$3=O$3,SUMIF('TL02'!$C$10:$C$224,$C360,'TL02'!$J$10:$J$224),0),
IF('TL02'!$B$229=O$3,SUMIF('TL02'!$C$238:$C$451,$C360,'TL02'!$J$238:$J$451),0),
IF('TL03'!$B$3=O$3,SUMIF('TL03'!$C$10:$C$224,$C360,'TL03'!$J$10:$J$224),0),
IF('TL03'!$B$229=O$3,SUMIF('TL03'!$C$238:$C$451,$C360,'TL03'!$J$238:$J$451),0),
IF('TL04'!$B$3=O$3,SUMIF('TL04'!$C$10:$C$224,$C360,'TL04'!$J$10:$J$224),0),
IF('TL04'!$B$229=O$3,SUMIF('TL04'!$C$238:$C$451,$C360,'TL04'!$J$238:$J$451),0),
IF('TL05'!$B$3=O$3,SUMIF('TL05'!$C$10:$C$224,$C360,'TL05'!$J$10:$J$224),0),
IF('TL05'!$B$229=O$3,SUMIF('TL05'!$C$238:$C$451,$C360,'TL05'!$J$238:$J$451),0),
IF('TL06'!$B$3=O$3,SUMIF('TL06'!$C$10:$C$224,$C360,'TL06'!$J$10:$J$224),0),
IF('TL06'!$B$229=O$3,SUMIF('TL06'!$C$238:$C$451,$C360,'TL06'!$J$238:$J$451),0),
IF('TL07'!$B$3=O$3,SUMIF('TL07'!$C$10:$C$224,$C360,'TL07'!$J$10:$J$224),0),
IF('TL07'!$B$229=O$3,SUMIF('TL07'!$C$238:$C$451,$C360,'TL07'!$J$238:$J$451),0),
IF('TL08'!$B$3=O$3,SUMIF('TL08'!$C$10:$C$224,$C360,'TL08'!$J$10:$J$224),0),
IF('TL08'!$B$229=O$3,SUMIF('TL08'!$C$238:$C$451,$C360,'TL08'!$J$238:$J$451),0),
IF('TL09'!$B$3=O$3,SUMIF('TL09'!$C$10:$C$224,$C360,'TL09'!$J$10:$J$224),0),
IF('TL09'!$B$229=O$3,SUMIF('TL09'!$C$238:$C$451,$C360,'TL09'!$J$238:$J$451),0),
IF('TL10'!$B$3=O$3,SUMIF('TL10'!$C$10:$C$224,$C360,'TL10'!$J$10:$J$224),0),
IF('TL10'!$B$229=O$3,SUMIF('TL10'!$C$238:$C$451,$C360,'TL10'!$J$238:$J$451),0),
IF('TL11'!$B$3=O$3,SUMIF('TL11'!$C$10:$C$224,$C360,'TL11'!$J$10:$J$224),0),
IF('TL11'!$B$229=O$3,SUMIF('TL11'!$C$238:$C$451,$C360,'TL11'!$J$238:$J$451),0),
IF('TL12'!$B$3=O$3,SUMIF('TL12'!$C$10:$C$224,$C360,'TL12'!$J$10:$J$224),0),
IF('TL12'!$B$229=O$3,SUMIF('TL12'!$C$238:$C$451,$C360,'TL12'!$J$238:$J$451),0),
IF('TL13'!$B$3=O$3,SUMIF('TL13'!$C$10:$C$224,$C360,'TL13'!$J$10:$J$224),0),
IF('TL13'!$B$229=O$3,SUMIF('TL13'!$C$238:$C$451,$C360,'TL13'!$J$238:$J$451),0),
IF('TL14'!$B$3=O$3,SUMIF('TL14'!$C$10:$C$224,$C360,'TL14'!$J$10:$J$224),0),
IF('TL14'!$B$229=O$3,SUMIF('TL14'!$C$238:$C$451,$C360,'TL14'!$J$238:$J$451),0),
IF('TL15'!$B$3=O$3,SUMIF('TL15'!$C$10:$C$224,$C360,'TL15'!$J$10:$J$224),0),
IF('TL15'!$B$229=O$3,SUMIF('TL15'!$C$238:$C$451,$C360,'TL15'!$J$238:$J$451),0),
IF('TL16'!$B$3=O$3,SUMIF('TL16'!$C$10:$C$224,$C360,'TL16'!$J$10:$J$224),0),
IF('TL16'!$B$229=O$3,SUMIF('TL16'!$C$238:$C$451,$C360,'TL16'!$J$238:$J$451),0),
IF('TL17'!$B$3=O$3,SUMIF('TL17'!$C$10:$C$224,$C360,'TL17'!$J$10:$J$224),0),
IF('TL17'!$B$229=O$3,SUMIF('TL17'!$C$238:$C$451,$C360,'TL17'!$J$238:$J$451),0),
IF('TL18'!$B$3=O$3,SUMIF('TL18'!$C$10:$C$224,$C360,'TL18'!$J$10:$J$224),0),
IF('TL18'!$B$229=O$3,SUMIF('TL18'!$C$238:$C$451,$C360,'TL18'!$J$238:$J$451),0),
IF('TL19'!$B$3=O$3,SUMIF('TL19'!$C$10:$C$224,$C360,'TL19'!$J$10:$J$224),0),
IF('TL19'!$B$229=O$3,SUMIF('TL19'!$C$238:$C$451,$C360,'TL19'!$J$238:$J$451),0)
),0)</f>
        <v>0</v>
      </c>
      <c r="P360" s="9">
        <f>IFERROR(SUM(
IF('TL01'!$B$3=P$3,SUMIF('TL01'!$C$10:$C$224,$C360,'TL01'!$J$10:$J$224),0),
IF('TL01'!$B$229=P$3,SUMIF('TL01'!$C$238:$C$451,$C360,'TL01'!$J$238:$J$451),0),
IF('TL02'!$B$3=P$3,SUMIF('TL02'!$C$10:$C$224,$C360,'TL02'!$J$10:$J$224),0),
IF('TL02'!$B$229=P$3,SUMIF('TL02'!$C$238:$C$451,$C360,'TL02'!$J$238:$J$451),0),
IF('TL03'!$B$3=P$3,SUMIF('TL03'!$C$10:$C$224,$C360,'TL03'!$J$10:$J$224),0),
IF('TL03'!$B$229=P$3,SUMIF('TL03'!$C$238:$C$451,$C360,'TL03'!$J$238:$J$451),0),
IF('TL04'!$B$3=P$3,SUMIF('TL04'!$C$10:$C$224,$C360,'TL04'!$J$10:$J$224),0),
IF('TL04'!$B$229=P$3,SUMIF('TL04'!$C$238:$C$451,$C360,'TL04'!$J$238:$J$451),0),
IF('TL05'!$B$3=P$3,SUMIF('TL05'!$C$10:$C$224,$C360,'TL05'!$J$10:$J$224),0),
IF('TL05'!$B$229=P$3,SUMIF('TL05'!$C$238:$C$451,$C360,'TL05'!$J$238:$J$451),0),
IF('TL06'!$B$3=P$3,SUMIF('TL06'!$C$10:$C$224,$C360,'TL06'!$J$10:$J$224),0),
IF('TL06'!$B$229=P$3,SUMIF('TL06'!$C$238:$C$451,$C360,'TL06'!$J$238:$J$451),0),
IF('TL07'!$B$3=P$3,SUMIF('TL07'!$C$10:$C$224,$C360,'TL07'!$J$10:$J$224),0),
IF('TL07'!$B$229=P$3,SUMIF('TL07'!$C$238:$C$451,$C360,'TL07'!$J$238:$J$451),0),
IF('TL08'!$B$3=P$3,SUMIF('TL08'!$C$10:$C$224,$C360,'TL08'!$J$10:$J$224),0),
IF('TL08'!$B$229=P$3,SUMIF('TL08'!$C$238:$C$451,$C360,'TL08'!$J$238:$J$451),0),
IF('TL09'!$B$3=P$3,SUMIF('TL09'!$C$10:$C$224,$C360,'TL09'!$J$10:$J$224),0),
IF('TL09'!$B$229=P$3,SUMIF('TL09'!$C$238:$C$451,$C360,'TL09'!$J$238:$J$451),0),
IF('TL10'!$B$3=P$3,SUMIF('TL10'!$C$10:$C$224,$C360,'TL10'!$J$10:$J$224),0),
IF('TL10'!$B$229=P$3,SUMIF('TL10'!$C$238:$C$451,$C360,'TL10'!$J$238:$J$451),0),
IF('TL11'!$B$3=P$3,SUMIF('TL11'!$C$10:$C$224,$C360,'TL11'!$J$10:$J$224),0),
IF('TL11'!$B$229=P$3,SUMIF('TL11'!$C$238:$C$451,$C360,'TL11'!$J$238:$J$451),0),
IF('TL12'!$B$3=P$3,SUMIF('TL12'!$C$10:$C$224,$C360,'TL12'!$J$10:$J$224),0),
IF('TL12'!$B$229=P$3,SUMIF('TL12'!$C$238:$C$451,$C360,'TL12'!$J$238:$J$451),0),
IF('TL13'!$B$3=P$3,SUMIF('TL13'!$C$10:$C$224,$C360,'TL13'!$J$10:$J$224),0),
IF('TL13'!$B$229=P$3,SUMIF('TL13'!$C$238:$C$451,$C360,'TL13'!$J$238:$J$451),0),
IF('TL14'!$B$3=P$3,SUMIF('TL14'!$C$10:$C$224,$C360,'TL14'!$J$10:$J$224),0),
IF('TL14'!$B$229=P$3,SUMIF('TL14'!$C$238:$C$451,$C360,'TL14'!$J$238:$J$451),0),
IF('TL15'!$B$3=P$3,SUMIF('TL15'!$C$10:$C$224,$C360,'TL15'!$J$10:$J$224),0),
IF('TL15'!$B$229=P$3,SUMIF('TL15'!$C$238:$C$451,$C360,'TL15'!$J$238:$J$451),0),
IF('TL16'!$B$3=P$3,SUMIF('TL16'!$C$10:$C$224,$C360,'TL16'!$J$10:$J$224),0),
IF('TL16'!$B$229=P$3,SUMIF('TL16'!$C$238:$C$451,$C360,'TL16'!$J$238:$J$451),0),
IF('TL17'!$B$3=P$3,SUMIF('TL17'!$C$10:$C$224,$C360,'TL17'!$J$10:$J$224),0),
IF('TL17'!$B$229=P$3,SUMIF('TL17'!$C$238:$C$451,$C360,'TL17'!$J$238:$J$451),0),
IF('TL18'!$B$3=P$3,SUMIF('TL18'!$C$10:$C$224,$C360,'TL18'!$J$10:$J$224),0),
IF('TL18'!$B$229=P$3,SUMIF('TL18'!$C$238:$C$451,$C360,'TL18'!$J$238:$J$451),0),
IF('TL19'!$B$3=P$3,SUMIF('TL19'!$C$10:$C$224,$C360,'TL19'!$J$10:$J$224),0),
IF('TL19'!$B$229=P$3,SUMIF('TL19'!$C$238:$C$451,$C360,'TL19'!$J$238:$J$451),0)
),0)</f>
        <v>1218</v>
      </c>
      <c r="Q360" s="9">
        <f>IFERROR(SUM(
IF('TL01'!$B$3=Q$3,SUMIF('TL01'!$C$10:$C$224,$C360,'TL01'!$J$10:$J$224),0),
IF('TL01'!$B$229=Q$3,SUMIF('TL01'!$C$238:$C$451,$C360,'TL01'!$J$238:$J$451),0),
IF('TL02'!$B$3=Q$3,SUMIF('TL02'!$C$10:$C$224,$C360,'TL02'!$J$10:$J$224),0),
IF('TL02'!$B$229=Q$3,SUMIF('TL02'!$C$238:$C$451,$C360,'TL02'!$J$238:$J$451),0),
IF('TL03'!$B$3=Q$3,SUMIF('TL03'!$C$10:$C$224,$C360,'TL03'!$J$10:$J$224),0),
IF('TL03'!$B$229=Q$3,SUMIF('TL03'!$C$238:$C$451,$C360,'TL03'!$J$238:$J$451),0),
IF('TL04'!$B$3=Q$3,SUMIF('TL04'!$C$10:$C$224,$C360,'TL04'!$J$10:$J$224),0),
IF('TL04'!$B$229=Q$3,SUMIF('TL04'!$C$238:$C$451,$C360,'TL04'!$J$238:$J$451),0),
IF('TL05'!$B$3=Q$3,SUMIF('TL05'!$C$10:$C$224,$C360,'TL05'!$J$10:$J$224),0),
IF('TL05'!$B$229=Q$3,SUMIF('TL05'!$C$238:$C$451,$C360,'TL05'!$J$238:$J$451),0),
IF('TL06'!$B$3=Q$3,SUMIF('TL06'!$C$10:$C$224,$C360,'TL06'!$J$10:$J$224),0),
IF('TL06'!$B$229=Q$3,SUMIF('TL06'!$C$238:$C$451,$C360,'TL06'!$J$238:$J$451),0),
IF('TL07'!$B$3=Q$3,SUMIF('TL07'!$C$10:$C$224,$C360,'TL07'!$J$10:$J$224),0),
IF('TL07'!$B$229=Q$3,SUMIF('TL07'!$C$238:$C$451,$C360,'TL07'!$J$238:$J$451),0),
IF('TL08'!$B$3=Q$3,SUMIF('TL08'!$C$10:$C$224,$C360,'TL08'!$J$10:$J$224),0),
IF('TL08'!$B$229=Q$3,SUMIF('TL08'!$C$238:$C$451,$C360,'TL08'!$J$238:$J$451),0),
IF('TL09'!$B$3=Q$3,SUMIF('TL09'!$C$10:$C$224,$C360,'TL09'!$J$10:$J$224),0),
IF('TL09'!$B$229=Q$3,SUMIF('TL09'!$C$238:$C$451,$C360,'TL09'!$J$238:$J$451),0),
IF('TL10'!$B$3=Q$3,SUMIF('TL10'!$C$10:$C$224,$C360,'TL10'!$J$10:$J$224),0),
IF('TL10'!$B$229=Q$3,SUMIF('TL10'!$C$238:$C$451,$C360,'TL10'!$J$238:$J$451),0),
IF('TL11'!$B$3=Q$3,SUMIF('TL11'!$C$10:$C$224,$C360,'TL11'!$J$10:$J$224),0),
IF('TL11'!$B$229=Q$3,SUMIF('TL11'!$C$238:$C$451,$C360,'TL11'!$J$238:$J$451),0),
IF('TL12'!$B$3=Q$3,SUMIF('TL12'!$C$10:$C$224,$C360,'TL12'!$J$10:$J$224),0),
IF('TL12'!$B$229=Q$3,SUMIF('TL12'!$C$238:$C$451,$C360,'TL12'!$J$238:$J$451),0),
IF('TL13'!$B$3=Q$3,SUMIF('TL13'!$C$10:$C$224,$C360,'TL13'!$J$10:$J$224),0),
IF('TL13'!$B$229=Q$3,SUMIF('TL13'!$C$238:$C$451,$C360,'TL13'!$J$238:$J$451),0),
IF('TL14'!$B$3=Q$3,SUMIF('TL14'!$C$10:$C$224,$C360,'TL14'!$J$10:$J$224),0),
IF('TL14'!$B$229=Q$3,SUMIF('TL14'!$C$238:$C$451,$C360,'TL14'!$J$238:$J$451),0),
IF('TL15'!$B$3=Q$3,SUMIF('TL15'!$C$10:$C$224,$C360,'TL15'!$J$10:$J$224),0),
IF('TL15'!$B$229=Q$3,SUMIF('TL15'!$C$238:$C$451,$C360,'TL15'!$J$238:$J$451),0),
IF('TL16'!$B$3=Q$3,SUMIF('TL16'!$C$10:$C$224,$C360,'TL16'!$J$10:$J$224),0),
IF('TL16'!$B$229=Q$3,SUMIF('TL16'!$C$238:$C$451,$C360,'TL16'!$J$238:$J$451),0),
IF('TL17'!$B$3=Q$3,SUMIF('TL17'!$C$10:$C$224,$C360,'TL17'!$J$10:$J$224),0),
IF('TL17'!$B$229=Q$3,SUMIF('TL17'!$C$238:$C$451,$C360,'TL17'!$J$238:$J$451),0),
IF('TL18'!$B$3=Q$3,SUMIF('TL18'!$C$10:$C$224,$C360,'TL18'!$J$10:$J$224),0),
IF('TL18'!$B$229=Q$3,SUMIF('TL18'!$C$238:$C$451,$C360,'TL18'!$J$238:$J$451),0),
IF('TL19'!$B$3=Q$3,SUMIF('TL19'!$C$10:$C$224,$C360,'TL19'!$J$10:$J$224),0),
IF('TL19'!$B$229=Q$3,SUMIF('TL19'!$C$238:$C$451,$C360,'TL19'!$J$238:$J$451),0)
),0)</f>
        <v>320</v>
      </c>
      <c r="R360" s="9">
        <f>IFERROR(
SUM(
SUMIF('TL01'!C:C,C360,'TL01'!J:J),
SUMIF('TL02'!C:C,C360,'TL02'!J:J),
SUMIF('TL03'!C:C,C360,'TL03'!J:J),
SUMIF('TL04'!C:C,C360,'TL04'!J:J),
SUMIF('TL05'!C:C,C360,'TL05'!J:J),
SUMIF('TL06'!C:C,C360,'TL06'!J:J),
SUMIF('TL07'!C:C,C360,'TL07'!J:J),
SUMIF('TL08'!C:C,C360,'TL08'!J:J),
SUMIF('TL09'!C:C,C360,'TL09'!J:J),
SUMIF('TL10'!C:C,C360,'TL10'!J:J),
SUMIF('TL11'!C:C,C360,'TL11'!J:J),
SUMIF('TL12'!C:C,C360,'TL12'!J:J),
SUMIF('TL13'!C:C,C360,'TL13'!J:J),
SUMIF('TL14'!C:C,C360,'TL14'!J:J),
SUMIF('TL15'!C:C,C360,'TL15'!J:J),
SUMIF('TL16'!C:C,C360,'TL16'!J:J),
SUMIF('TL17'!C:C,C360,'TL17'!J:J),
SUMIF('TL18'!C:C,C360,'TL18'!J:J),SUMIF('TL19'!C:C,C360,'TL19'!J:J))
,0)</f>
        <v>2058</v>
      </c>
      <c r="S360" s="17">
        <f>IFERROR(__xludf.DUMMYFUNCTION("IFERROR(VLOOKUP(C360,
IMPORTRANGE(""1wULbzX32WdYsx-lj2U3uUNBBe2INVIRDtcK0d-Dvl90"",
""26-27!C:G""),
5,
FALSE),
"""")"),36.4)</f>
        <v>36.4</v>
      </c>
      <c r="T360" s="9"/>
      <c r="U360" s="92">
        <f t="shared" si="2"/>
        <v>2058</v>
      </c>
      <c r="V360" s="93">
        <f t="shared" si="3"/>
        <v>74911.2</v>
      </c>
    </row>
    <row r="361" ht="15.75" hidden="1" customHeight="1">
      <c r="A361" s="4" t="s">
        <v>1071</v>
      </c>
      <c r="B361" s="4" t="s">
        <v>4</v>
      </c>
      <c r="C361" s="128" t="s">
        <v>1094</v>
      </c>
      <c r="D361" s="129" t="s">
        <v>1095</v>
      </c>
      <c r="E361" s="6"/>
      <c r="F361" s="4" t="s">
        <v>343</v>
      </c>
      <c r="G361" s="90" t="str">
        <f t="shared" si="5"/>
        <v>📄 Ver bula</v>
      </c>
      <c r="H361" s="4">
        <v>2.0</v>
      </c>
      <c r="I361" s="123" t="s">
        <v>361</v>
      </c>
      <c r="J361" s="9">
        <f>IFERROR(SUM(
IF('TL01'!$B$3=J$3,SUMIF('TL01'!$C$10:$C$224,$C361,'TL01'!$J$10:$J$224),0),
IF('TL01'!$B$229=J$3,SUMIF('TL01'!$C$238:$C$451,$C361,'TL01'!$J$238:$J$451),0),
IF('TL02'!$B$3=J$3,SUMIF('TL02'!$C$10:$C$224,$C361,'TL02'!$J$10:$J$224),0),
IF('TL02'!$B$229=J$3,SUMIF('TL02'!$C$238:$C$451,$C361,'TL02'!$J$238:$J$451),0),
IF('TL03'!$B$3=J$3,SUMIF('TL03'!$C$10:$C$224,$C361,'TL03'!$J$10:$J$224),0),
IF('TL03'!$B$229=J$3,SUMIF('TL03'!$C$238:$C$451,$C361,'TL03'!$J$238:$J$451),0),
IF('TL04'!$B$3=J$3,SUMIF('TL04'!$C$10:$C$224,$C361,'TL04'!$J$10:$J$224),0),
IF('TL04'!$B$229=J$3,SUMIF('TL04'!$C$238:$C$451,$C361,'TL04'!$J$238:$J$451),0),
IF('TL05'!$B$3=J$3,SUMIF('TL05'!$C$10:$C$224,$C361,'TL05'!$J$10:$J$224),0),
IF('TL05'!$B$229=J$3,SUMIF('TL05'!$C$238:$C$451,$C361,'TL05'!$J$238:$J$451),0),
IF('TL06'!$B$3=J$3,SUMIF('TL06'!$C$10:$C$224,$C361,'TL06'!$J$10:$J$224),0),
IF('TL06'!$B$229=J$3,SUMIF('TL06'!$C$238:$C$451,$C361,'TL06'!$J$238:$J$451),0),
IF('TL07'!$B$3=J$3,SUMIF('TL07'!$C$10:$C$224,$C361,'TL07'!$J$10:$J$224),0),
IF('TL07'!$B$229=J$3,SUMIF('TL07'!$C$238:$C$451,$C361,'TL07'!$J$238:$J$451),0),
IF('TL08'!$B$3=J$3,SUMIF('TL08'!$C$10:$C$224,$C361,'TL08'!$J$10:$J$224),0),
IF('TL08'!$B$229=J$3,SUMIF('TL08'!$C$238:$C$451,$C361,'TL08'!$J$238:$J$451),0),
IF('TL09'!$B$3=J$3,SUMIF('TL09'!$C$10:$C$224,$C361,'TL09'!$J$10:$J$224),0),
IF('TL09'!$B$229=J$3,SUMIF('TL09'!$C$238:$C$451,$C361,'TL09'!$J$238:$J$451),0),
IF('TL10'!$B$3=J$3,SUMIF('TL10'!$C$10:$C$224,$C361,'TL10'!$J$10:$J$224),0),
IF('TL10'!$B$229=J$3,SUMIF('TL10'!$C$238:$C$451,$C361,'TL10'!$J$238:$J$451),0),
IF('TL11'!$B$3=J$3,SUMIF('TL11'!$C$10:$C$224,$C361,'TL11'!$J$10:$J$224),0),
IF('TL11'!$B$229=J$3,SUMIF('TL11'!$C$238:$C$451,$C361,'TL11'!$J$238:$J$451),0),
IF('TL12'!$B$3=J$3,SUMIF('TL12'!$C$10:$C$224,$C361,'TL12'!$J$10:$J$224),0),
IF('TL12'!$B$229=J$3,SUMIF('TL12'!$C$238:$C$451,$C361,'TL12'!$J$238:$J$451),0),
IF('TL13'!$B$3=J$3,SUMIF('TL13'!$C$10:$C$224,$C361,'TL13'!$J$10:$J$224),0),
IF('TL13'!$B$229=J$3,SUMIF('TL13'!$C$238:$C$451,$C361,'TL13'!$J$238:$J$451),0),
IF('TL14'!$B$3=J$3,SUMIF('TL14'!$C$10:$C$224,$C361,'TL14'!$J$10:$J$224),0),
IF('TL14'!$B$229=J$3,SUMIF('TL14'!$C$238:$C$451,$C361,'TL14'!$J$238:$J$451),0),
IF('TL15'!$B$3=J$3,SUMIF('TL15'!$C$10:$C$224,$C361,'TL15'!$J$10:$J$224),0),
IF('TL15'!$B$229=J$3,SUMIF('TL15'!$C$238:$C$451,$C361,'TL15'!$J$238:$J$451),0),
IF('TL16'!$B$3=J$3,SUMIF('TL16'!$C$10:$C$224,$C361,'TL16'!$J$10:$J$224),0),
IF('TL16'!$B$229=J$3,SUMIF('TL16'!$C$238:$C$451,$C361,'TL16'!$J$238:$J$451),0),
IF('TL17'!$B$3=J$3,SUMIF('TL17'!$C$10:$C$224,$C361,'TL17'!$J$10:$J$224),0),
IF('TL17'!$B$229=J$3,SUMIF('TL17'!$C$238:$C$451,$C361,'TL17'!$J$238:$J$451),0),
IF('TL18'!$B$3=J$3,SUMIF('TL18'!$C$10:$C$224,$C361,'TL18'!$J$10:$J$224),0),
IF('TL18'!$B$229=J$3,SUMIF('TL18'!$C$238:$C$451,$C361,'TL18'!$J$238:$J$451),0),
IF('TL19'!$B$3=J$3,SUMIF('TL19'!$C$10:$C$224,$C361,'TL19'!$J$10:$J$224),0),
IF('TL19'!$B$229=J$3,SUMIF('TL19'!$C$238:$C$451,$C361,'TL19'!$J$238:$J$451),0)
),0)</f>
        <v>0</v>
      </c>
      <c r="K361" s="9">
        <f>IFERROR(SUM(
IF('TL01'!$B$3=K$3,SUMIF('TL01'!$C$10:$C$224,$C361,'TL01'!$J$10:$J$224),0),
IF('TL01'!$B$229=K$3,SUMIF('TL01'!$C$238:$C$451,$C361,'TL01'!$J$238:$J$451),0),
IF('TL02'!$B$3=K$3,SUMIF('TL02'!$C$10:$C$224,$C361,'TL02'!$J$10:$J$224),0),
IF('TL02'!$B$229=K$3,SUMIF('TL02'!$C$238:$C$451,$C361,'TL02'!$J$238:$J$451),0),
IF('TL03'!$B$3=K$3,SUMIF('TL03'!$C$10:$C$224,$C361,'TL03'!$J$10:$J$224),0),
IF('TL03'!$B$229=K$3,SUMIF('TL03'!$C$238:$C$451,$C361,'TL03'!$J$238:$J$451),0),
IF('TL04'!$B$3=K$3,SUMIF('TL04'!$C$10:$C$224,$C361,'TL04'!$J$10:$J$224),0),
IF('TL04'!$B$229=K$3,SUMIF('TL04'!$C$238:$C$451,$C361,'TL04'!$J$238:$J$451),0),
IF('TL05'!$B$3=K$3,SUMIF('TL05'!$C$10:$C$224,$C361,'TL05'!$J$10:$J$224),0),
IF('TL05'!$B$229=K$3,SUMIF('TL05'!$C$238:$C$451,$C361,'TL05'!$J$238:$J$451),0),
IF('TL06'!$B$3=K$3,SUMIF('TL06'!$C$10:$C$224,$C361,'TL06'!$J$10:$J$224),0),
IF('TL06'!$B$229=K$3,SUMIF('TL06'!$C$238:$C$451,$C361,'TL06'!$J$238:$J$451),0),
IF('TL07'!$B$3=K$3,SUMIF('TL07'!$C$10:$C$224,$C361,'TL07'!$J$10:$J$224),0),
IF('TL07'!$B$229=K$3,SUMIF('TL07'!$C$238:$C$451,$C361,'TL07'!$J$238:$J$451),0),
IF('TL08'!$B$3=K$3,SUMIF('TL08'!$C$10:$C$224,$C361,'TL08'!$J$10:$J$224),0),
IF('TL08'!$B$229=K$3,SUMIF('TL08'!$C$238:$C$451,$C361,'TL08'!$J$238:$J$451),0),
IF('TL09'!$B$3=K$3,SUMIF('TL09'!$C$10:$C$224,$C361,'TL09'!$J$10:$J$224),0),
IF('TL09'!$B$229=K$3,SUMIF('TL09'!$C$238:$C$451,$C361,'TL09'!$J$238:$J$451),0),
IF('TL10'!$B$3=K$3,SUMIF('TL10'!$C$10:$C$224,$C361,'TL10'!$J$10:$J$224),0),
IF('TL10'!$B$229=K$3,SUMIF('TL10'!$C$238:$C$451,$C361,'TL10'!$J$238:$J$451),0),
IF('TL11'!$B$3=K$3,SUMIF('TL11'!$C$10:$C$224,$C361,'TL11'!$J$10:$J$224),0),
IF('TL11'!$B$229=K$3,SUMIF('TL11'!$C$238:$C$451,$C361,'TL11'!$J$238:$J$451),0),
IF('TL12'!$B$3=K$3,SUMIF('TL12'!$C$10:$C$224,$C361,'TL12'!$J$10:$J$224),0),
IF('TL12'!$B$229=K$3,SUMIF('TL12'!$C$238:$C$451,$C361,'TL12'!$J$238:$J$451),0),
IF('TL13'!$B$3=K$3,SUMIF('TL13'!$C$10:$C$224,$C361,'TL13'!$J$10:$J$224),0),
IF('TL13'!$B$229=K$3,SUMIF('TL13'!$C$238:$C$451,$C361,'TL13'!$J$238:$J$451),0),
IF('TL14'!$B$3=K$3,SUMIF('TL14'!$C$10:$C$224,$C361,'TL14'!$J$10:$J$224),0),
IF('TL14'!$B$229=K$3,SUMIF('TL14'!$C$238:$C$451,$C361,'TL14'!$J$238:$J$451),0),
IF('TL15'!$B$3=K$3,SUMIF('TL15'!$C$10:$C$224,$C361,'TL15'!$J$10:$J$224),0),
IF('TL15'!$B$229=K$3,SUMIF('TL15'!$C$238:$C$451,$C361,'TL15'!$J$238:$J$451),0),
IF('TL16'!$B$3=K$3,SUMIF('TL16'!$C$10:$C$224,$C361,'TL16'!$J$10:$J$224),0),
IF('TL16'!$B$229=K$3,SUMIF('TL16'!$C$238:$C$451,$C361,'TL16'!$J$238:$J$451),0),
IF('TL17'!$B$3=K$3,SUMIF('TL17'!$C$10:$C$224,$C361,'TL17'!$J$10:$J$224),0),
IF('TL17'!$B$229=K$3,SUMIF('TL17'!$C$238:$C$451,$C361,'TL17'!$J$238:$J$451),0),
IF('TL18'!$B$3=K$3,SUMIF('TL18'!$C$10:$C$224,$C361,'TL18'!$J$10:$J$224),0),
IF('TL18'!$B$229=K$3,SUMIF('TL18'!$C$238:$C$451,$C361,'TL18'!$J$238:$J$451),0),
IF('TL19'!$B$3=K$3,SUMIF('TL19'!$C$10:$C$224,$C361,'TL19'!$J$10:$J$224),0),
IF('TL19'!$B$229=K$3,SUMIF('TL19'!$C$238:$C$451,$C361,'TL19'!$J$238:$J$451),0)
),0)</f>
        <v>1200</v>
      </c>
      <c r="L361" s="9">
        <f>IFERROR(SUM(
IF('TL01'!$B$3=L$3,SUMIF('TL01'!$C$10:$C$224,$C361,'TL01'!$J$10:$J$224),0),
IF('TL01'!$B$229=L$3,SUMIF('TL01'!$C$238:$C$451,$C361,'TL01'!$J$238:$J$451),0),
IF('TL02'!$B$3=L$3,SUMIF('TL02'!$C$10:$C$224,$C361,'TL02'!$J$10:$J$224),0),
IF('TL02'!$B$229=L$3,SUMIF('TL02'!$C$238:$C$451,$C361,'TL02'!$J$238:$J$451),0),
IF('TL03'!$B$3=L$3,SUMIF('TL03'!$C$10:$C$224,$C361,'TL03'!$J$10:$J$224),0),
IF('TL03'!$B$229=L$3,SUMIF('TL03'!$C$238:$C$451,$C361,'TL03'!$J$238:$J$451),0),
IF('TL04'!$B$3=L$3,SUMIF('TL04'!$C$10:$C$224,$C361,'TL04'!$J$10:$J$224),0),
IF('TL04'!$B$229=L$3,SUMIF('TL04'!$C$238:$C$451,$C361,'TL04'!$J$238:$J$451),0),
IF('TL05'!$B$3=L$3,SUMIF('TL05'!$C$10:$C$224,$C361,'TL05'!$J$10:$J$224),0),
IF('TL05'!$B$229=L$3,SUMIF('TL05'!$C$238:$C$451,$C361,'TL05'!$J$238:$J$451),0),
IF('TL06'!$B$3=L$3,SUMIF('TL06'!$C$10:$C$224,$C361,'TL06'!$J$10:$J$224),0),
IF('TL06'!$B$229=L$3,SUMIF('TL06'!$C$238:$C$451,$C361,'TL06'!$J$238:$J$451),0),
IF('TL07'!$B$3=L$3,SUMIF('TL07'!$C$10:$C$224,$C361,'TL07'!$J$10:$J$224),0),
IF('TL07'!$B$229=L$3,SUMIF('TL07'!$C$238:$C$451,$C361,'TL07'!$J$238:$J$451),0),
IF('TL08'!$B$3=L$3,SUMIF('TL08'!$C$10:$C$224,$C361,'TL08'!$J$10:$J$224),0),
IF('TL08'!$B$229=L$3,SUMIF('TL08'!$C$238:$C$451,$C361,'TL08'!$J$238:$J$451),0),
IF('TL09'!$B$3=L$3,SUMIF('TL09'!$C$10:$C$224,$C361,'TL09'!$J$10:$J$224),0),
IF('TL09'!$B$229=L$3,SUMIF('TL09'!$C$238:$C$451,$C361,'TL09'!$J$238:$J$451),0),
IF('TL10'!$B$3=L$3,SUMIF('TL10'!$C$10:$C$224,$C361,'TL10'!$J$10:$J$224),0),
IF('TL10'!$B$229=L$3,SUMIF('TL10'!$C$238:$C$451,$C361,'TL10'!$J$238:$J$451),0),
IF('TL11'!$B$3=L$3,SUMIF('TL11'!$C$10:$C$224,$C361,'TL11'!$J$10:$J$224),0),
IF('TL11'!$B$229=L$3,SUMIF('TL11'!$C$238:$C$451,$C361,'TL11'!$J$238:$J$451),0),
IF('TL12'!$B$3=L$3,SUMIF('TL12'!$C$10:$C$224,$C361,'TL12'!$J$10:$J$224),0),
IF('TL12'!$B$229=L$3,SUMIF('TL12'!$C$238:$C$451,$C361,'TL12'!$J$238:$J$451),0),
IF('TL13'!$B$3=L$3,SUMIF('TL13'!$C$10:$C$224,$C361,'TL13'!$J$10:$J$224),0),
IF('TL13'!$B$229=L$3,SUMIF('TL13'!$C$238:$C$451,$C361,'TL13'!$J$238:$J$451),0),
IF('TL14'!$B$3=L$3,SUMIF('TL14'!$C$10:$C$224,$C361,'TL14'!$J$10:$J$224),0),
IF('TL14'!$B$229=L$3,SUMIF('TL14'!$C$238:$C$451,$C361,'TL14'!$J$238:$J$451),0),
IF('TL15'!$B$3=L$3,SUMIF('TL15'!$C$10:$C$224,$C361,'TL15'!$J$10:$J$224),0),
IF('TL15'!$B$229=L$3,SUMIF('TL15'!$C$238:$C$451,$C361,'TL15'!$J$238:$J$451),0),
IF('TL16'!$B$3=L$3,SUMIF('TL16'!$C$10:$C$224,$C361,'TL16'!$J$10:$J$224),0),
IF('TL16'!$B$229=L$3,SUMIF('TL16'!$C$238:$C$451,$C361,'TL16'!$J$238:$J$451),0),
IF('TL17'!$B$3=L$3,SUMIF('TL17'!$C$10:$C$224,$C361,'TL17'!$J$10:$J$224),0),
IF('TL17'!$B$229=L$3,SUMIF('TL17'!$C$238:$C$451,$C361,'TL17'!$J$238:$J$451),0),
IF('TL18'!$B$3=L$3,SUMIF('TL18'!$C$10:$C$224,$C361,'TL18'!$J$10:$J$224),0),
IF('TL18'!$B$229=L$3,SUMIF('TL18'!$C$238:$C$451,$C361,'TL18'!$J$238:$J$451),0),
IF('TL19'!$B$3=L$3,SUMIF('TL19'!$C$10:$C$224,$C361,'TL19'!$J$10:$J$224),0),
IF('TL19'!$B$229=L$3,SUMIF('TL19'!$C$238:$C$451,$C361,'TL19'!$J$238:$J$451),0)
),0)</f>
        <v>880</v>
      </c>
      <c r="M361" s="9">
        <f>IFERROR(SUM(
IF('TL01'!$B$3=M$3,SUMIF('TL01'!$C$10:$C$224,$C361,'TL01'!$J$10:$J$224),0),
IF('TL01'!$B$229=M$3,SUMIF('TL01'!$C$238:$C$451,$C361,'TL01'!$J$238:$J$451),0),
IF('TL02'!$B$3=M$3,SUMIF('TL02'!$C$10:$C$224,$C361,'TL02'!$J$10:$J$224),0),
IF('TL02'!$B$229=M$3,SUMIF('TL02'!$C$238:$C$451,$C361,'TL02'!$J$238:$J$451),0),
IF('TL03'!$B$3=M$3,SUMIF('TL03'!$C$10:$C$224,$C361,'TL03'!$J$10:$J$224),0),
IF('TL03'!$B$229=M$3,SUMIF('TL03'!$C$238:$C$451,$C361,'TL03'!$J$238:$J$451),0),
IF('TL04'!$B$3=M$3,SUMIF('TL04'!$C$10:$C$224,$C361,'TL04'!$J$10:$J$224),0),
IF('TL04'!$B$229=M$3,SUMIF('TL04'!$C$238:$C$451,$C361,'TL04'!$J$238:$J$451),0),
IF('TL05'!$B$3=M$3,SUMIF('TL05'!$C$10:$C$224,$C361,'TL05'!$J$10:$J$224),0),
IF('TL05'!$B$229=M$3,SUMIF('TL05'!$C$238:$C$451,$C361,'TL05'!$J$238:$J$451),0),
IF('TL06'!$B$3=M$3,SUMIF('TL06'!$C$10:$C$224,$C361,'TL06'!$J$10:$J$224),0),
IF('TL06'!$B$229=M$3,SUMIF('TL06'!$C$238:$C$451,$C361,'TL06'!$J$238:$J$451),0),
IF('TL07'!$B$3=M$3,SUMIF('TL07'!$C$10:$C$224,$C361,'TL07'!$J$10:$J$224),0),
IF('TL07'!$B$229=M$3,SUMIF('TL07'!$C$238:$C$451,$C361,'TL07'!$J$238:$J$451),0),
IF('TL08'!$B$3=M$3,SUMIF('TL08'!$C$10:$C$224,$C361,'TL08'!$J$10:$J$224),0),
IF('TL08'!$B$229=M$3,SUMIF('TL08'!$C$238:$C$451,$C361,'TL08'!$J$238:$J$451),0),
IF('TL09'!$B$3=M$3,SUMIF('TL09'!$C$10:$C$224,$C361,'TL09'!$J$10:$J$224),0),
IF('TL09'!$B$229=M$3,SUMIF('TL09'!$C$238:$C$451,$C361,'TL09'!$J$238:$J$451),0),
IF('TL10'!$B$3=M$3,SUMIF('TL10'!$C$10:$C$224,$C361,'TL10'!$J$10:$J$224),0),
IF('TL10'!$B$229=M$3,SUMIF('TL10'!$C$238:$C$451,$C361,'TL10'!$J$238:$J$451),0),
IF('TL11'!$B$3=M$3,SUMIF('TL11'!$C$10:$C$224,$C361,'TL11'!$J$10:$J$224),0),
IF('TL11'!$B$229=M$3,SUMIF('TL11'!$C$238:$C$451,$C361,'TL11'!$J$238:$J$451),0),
IF('TL12'!$B$3=M$3,SUMIF('TL12'!$C$10:$C$224,$C361,'TL12'!$J$10:$J$224),0),
IF('TL12'!$B$229=M$3,SUMIF('TL12'!$C$238:$C$451,$C361,'TL12'!$J$238:$J$451),0),
IF('TL13'!$B$3=M$3,SUMIF('TL13'!$C$10:$C$224,$C361,'TL13'!$J$10:$J$224),0),
IF('TL13'!$B$229=M$3,SUMIF('TL13'!$C$238:$C$451,$C361,'TL13'!$J$238:$J$451),0),
IF('TL14'!$B$3=M$3,SUMIF('TL14'!$C$10:$C$224,$C361,'TL14'!$J$10:$J$224),0),
IF('TL14'!$B$229=M$3,SUMIF('TL14'!$C$238:$C$451,$C361,'TL14'!$J$238:$J$451),0),
IF('TL15'!$B$3=M$3,SUMIF('TL15'!$C$10:$C$224,$C361,'TL15'!$J$10:$J$224),0),
IF('TL15'!$B$229=M$3,SUMIF('TL15'!$C$238:$C$451,$C361,'TL15'!$J$238:$J$451),0),
IF('TL16'!$B$3=M$3,SUMIF('TL16'!$C$10:$C$224,$C361,'TL16'!$J$10:$J$224),0),
IF('TL16'!$B$229=M$3,SUMIF('TL16'!$C$238:$C$451,$C361,'TL16'!$J$238:$J$451),0),
IF('TL17'!$B$3=M$3,SUMIF('TL17'!$C$10:$C$224,$C361,'TL17'!$J$10:$J$224),0),
IF('TL17'!$B$229=M$3,SUMIF('TL17'!$C$238:$C$451,$C361,'TL17'!$J$238:$J$451),0),
IF('TL18'!$B$3=M$3,SUMIF('TL18'!$C$10:$C$224,$C361,'TL18'!$J$10:$J$224),0),
IF('TL18'!$B$229=M$3,SUMIF('TL18'!$C$238:$C$451,$C361,'TL18'!$J$238:$J$451),0),
IF('TL19'!$B$3=M$3,SUMIF('TL19'!$C$10:$C$224,$C361,'TL19'!$J$10:$J$224),0),
IF('TL19'!$B$229=M$3,SUMIF('TL19'!$C$238:$C$451,$C361,'TL19'!$J$238:$J$451),0)
),0)</f>
        <v>0</v>
      </c>
      <c r="N361" s="9">
        <f>IFERROR(SUM(
IF('TL01'!$B$3=N$3,SUMIF('TL01'!$C$10:$C$224,$C361,'TL01'!$J$10:$J$224),0),
IF('TL01'!$B$229=N$3,SUMIF('TL01'!$C$238:$C$451,$C361,'TL01'!$J$238:$J$451),0),
IF('TL02'!$B$3=N$3,SUMIF('TL02'!$C$10:$C$224,$C361,'TL02'!$J$10:$J$224),0),
IF('TL02'!$B$229=N$3,SUMIF('TL02'!$C$238:$C$451,$C361,'TL02'!$J$238:$J$451),0),
IF('TL03'!$B$3=N$3,SUMIF('TL03'!$C$10:$C$224,$C361,'TL03'!$J$10:$J$224),0),
IF('TL03'!$B$229=N$3,SUMIF('TL03'!$C$238:$C$451,$C361,'TL03'!$J$238:$J$451),0),
IF('TL04'!$B$3=N$3,SUMIF('TL04'!$C$10:$C$224,$C361,'TL04'!$J$10:$J$224),0),
IF('TL04'!$B$229=N$3,SUMIF('TL04'!$C$238:$C$451,$C361,'TL04'!$J$238:$J$451),0),
IF('TL05'!$B$3=N$3,SUMIF('TL05'!$C$10:$C$224,$C361,'TL05'!$J$10:$J$224),0),
IF('TL05'!$B$229=N$3,SUMIF('TL05'!$C$238:$C$451,$C361,'TL05'!$J$238:$J$451),0),
IF('TL06'!$B$3=N$3,SUMIF('TL06'!$C$10:$C$224,$C361,'TL06'!$J$10:$J$224),0),
IF('TL06'!$B$229=N$3,SUMIF('TL06'!$C$238:$C$451,$C361,'TL06'!$J$238:$J$451),0),
IF('TL07'!$B$3=N$3,SUMIF('TL07'!$C$10:$C$224,$C361,'TL07'!$J$10:$J$224),0),
IF('TL07'!$B$229=N$3,SUMIF('TL07'!$C$238:$C$451,$C361,'TL07'!$J$238:$J$451),0),
IF('TL08'!$B$3=N$3,SUMIF('TL08'!$C$10:$C$224,$C361,'TL08'!$J$10:$J$224),0),
IF('TL08'!$B$229=N$3,SUMIF('TL08'!$C$238:$C$451,$C361,'TL08'!$J$238:$J$451),0),
IF('TL09'!$B$3=N$3,SUMIF('TL09'!$C$10:$C$224,$C361,'TL09'!$J$10:$J$224),0),
IF('TL09'!$B$229=N$3,SUMIF('TL09'!$C$238:$C$451,$C361,'TL09'!$J$238:$J$451),0),
IF('TL10'!$B$3=N$3,SUMIF('TL10'!$C$10:$C$224,$C361,'TL10'!$J$10:$J$224),0),
IF('TL10'!$B$229=N$3,SUMIF('TL10'!$C$238:$C$451,$C361,'TL10'!$J$238:$J$451),0),
IF('TL11'!$B$3=N$3,SUMIF('TL11'!$C$10:$C$224,$C361,'TL11'!$J$10:$J$224),0),
IF('TL11'!$B$229=N$3,SUMIF('TL11'!$C$238:$C$451,$C361,'TL11'!$J$238:$J$451),0),
IF('TL12'!$B$3=N$3,SUMIF('TL12'!$C$10:$C$224,$C361,'TL12'!$J$10:$J$224),0),
IF('TL12'!$B$229=N$3,SUMIF('TL12'!$C$238:$C$451,$C361,'TL12'!$J$238:$J$451),0),
IF('TL13'!$B$3=N$3,SUMIF('TL13'!$C$10:$C$224,$C361,'TL13'!$J$10:$J$224),0),
IF('TL13'!$B$229=N$3,SUMIF('TL13'!$C$238:$C$451,$C361,'TL13'!$J$238:$J$451),0),
IF('TL14'!$B$3=N$3,SUMIF('TL14'!$C$10:$C$224,$C361,'TL14'!$J$10:$J$224),0),
IF('TL14'!$B$229=N$3,SUMIF('TL14'!$C$238:$C$451,$C361,'TL14'!$J$238:$J$451),0),
IF('TL15'!$B$3=N$3,SUMIF('TL15'!$C$10:$C$224,$C361,'TL15'!$J$10:$J$224),0),
IF('TL15'!$B$229=N$3,SUMIF('TL15'!$C$238:$C$451,$C361,'TL15'!$J$238:$J$451),0),
IF('TL16'!$B$3=N$3,SUMIF('TL16'!$C$10:$C$224,$C361,'TL16'!$J$10:$J$224),0),
IF('TL16'!$B$229=N$3,SUMIF('TL16'!$C$238:$C$451,$C361,'TL16'!$J$238:$J$451),0),
IF('TL17'!$B$3=N$3,SUMIF('TL17'!$C$10:$C$224,$C361,'TL17'!$J$10:$J$224),0),
IF('TL17'!$B$229=N$3,SUMIF('TL17'!$C$238:$C$451,$C361,'TL17'!$J$238:$J$451),0),
IF('TL18'!$B$3=N$3,SUMIF('TL18'!$C$10:$C$224,$C361,'TL18'!$J$10:$J$224),0),
IF('TL18'!$B$229=N$3,SUMIF('TL18'!$C$238:$C$451,$C361,'TL18'!$J$238:$J$451),0),
IF('TL19'!$B$3=N$3,SUMIF('TL19'!$C$10:$C$224,$C361,'TL19'!$J$10:$J$224),0),
IF('TL19'!$B$229=N$3,SUMIF('TL19'!$C$238:$C$451,$C361,'TL19'!$J$238:$J$451),0)
),0)</f>
        <v>0</v>
      </c>
      <c r="O361" s="9">
        <f>IFERROR(SUM(
IF('TL01'!$B$3=O$3,SUMIF('TL01'!$C$10:$C$224,$C361,'TL01'!$J$10:$J$224),0),
IF('TL01'!$B$229=O$3,SUMIF('TL01'!$C$238:$C$451,$C361,'TL01'!$J$238:$J$451),0),
IF('TL02'!$B$3=O$3,SUMIF('TL02'!$C$10:$C$224,$C361,'TL02'!$J$10:$J$224),0),
IF('TL02'!$B$229=O$3,SUMIF('TL02'!$C$238:$C$451,$C361,'TL02'!$J$238:$J$451),0),
IF('TL03'!$B$3=O$3,SUMIF('TL03'!$C$10:$C$224,$C361,'TL03'!$J$10:$J$224),0),
IF('TL03'!$B$229=O$3,SUMIF('TL03'!$C$238:$C$451,$C361,'TL03'!$J$238:$J$451),0),
IF('TL04'!$B$3=O$3,SUMIF('TL04'!$C$10:$C$224,$C361,'TL04'!$J$10:$J$224),0),
IF('TL04'!$B$229=O$3,SUMIF('TL04'!$C$238:$C$451,$C361,'TL04'!$J$238:$J$451),0),
IF('TL05'!$B$3=O$3,SUMIF('TL05'!$C$10:$C$224,$C361,'TL05'!$J$10:$J$224),0),
IF('TL05'!$B$229=O$3,SUMIF('TL05'!$C$238:$C$451,$C361,'TL05'!$J$238:$J$451),0),
IF('TL06'!$B$3=O$3,SUMIF('TL06'!$C$10:$C$224,$C361,'TL06'!$J$10:$J$224),0),
IF('TL06'!$B$229=O$3,SUMIF('TL06'!$C$238:$C$451,$C361,'TL06'!$J$238:$J$451),0),
IF('TL07'!$B$3=O$3,SUMIF('TL07'!$C$10:$C$224,$C361,'TL07'!$J$10:$J$224),0),
IF('TL07'!$B$229=O$3,SUMIF('TL07'!$C$238:$C$451,$C361,'TL07'!$J$238:$J$451),0),
IF('TL08'!$B$3=O$3,SUMIF('TL08'!$C$10:$C$224,$C361,'TL08'!$J$10:$J$224),0),
IF('TL08'!$B$229=O$3,SUMIF('TL08'!$C$238:$C$451,$C361,'TL08'!$J$238:$J$451),0),
IF('TL09'!$B$3=O$3,SUMIF('TL09'!$C$10:$C$224,$C361,'TL09'!$J$10:$J$224),0),
IF('TL09'!$B$229=O$3,SUMIF('TL09'!$C$238:$C$451,$C361,'TL09'!$J$238:$J$451),0),
IF('TL10'!$B$3=O$3,SUMIF('TL10'!$C$10:$C$224,$C361,'TL10'!$J$10:$J$224),0),
IF('TL10'!$B$229=O$3,SUMIF('TL10'!$C$238:$C$451,$C361,'TL10'!$J$238:$J$451),0),
IF('TL11'!$B$3=O$3,SUMIF('TL11'!$C$10:$C$224,$C361,'TL11'!$J$10:$J$224),0),
IF('TL11'!$B$229=O$3,SUMIF('TL11'!$C$238:$C$451,$C361,'TL11'!$J$238:$J$451),0),
IF('TL12'!$B$3=O$3,SUMIF('TL12'!$C$10:$C$224,$C361,'TL12'!$J$10:$J$224),0),
IF('TL12'!$B$229=O$3,SUMIF('TL12'!$C$238:$C$451,$C361,'TL12'!$J$238:$J$451),0),
IF('TL13'!$B$3=O$3,SUMIF('TL13'!$C$10:$C$224,$C361,'TL13'!$J$10:$J$224),0),
IF('TL13'!$B$229=O$3,SUMIF('TL13'!$C$238:$C$451,$C361,'TL13'!$J$238:$J$451),0),
IF('TL14'!$B$3=O$3,SUMIF('TL14'!$C$10:$C$224,$C361,'TL14'!$J$10:$J$224),0),
IF('TL14'!$B$229=O$3,SUMIF('TL14'!$C$238:$C$451,$C361,'TL14'!$J$238:$J$451),0),
IF('TL15'!$B$3=O$3,SUMIF('TL15'!$C$10:$C$224,$C361,'TL15'!$J$10:$J$224),0),
IF('TL15'!$B$229=O$3,SUMIF('TL15'!$C$238:$C$451,$C361,'TL15'!$J$238:$J$451),0),
IF('TL16'!$B$3=O$3,SUMIF('TL16'!$C$10:$C$224,$C361,'TL16'!$J$10:$J$224),0),
IF('TL16'!$B$229=O$3,SUMIF('TL16'!$C$238:$C$451,$C361,'TL16'!$J$238:$J$451),0),
IF('TL17'!$B$3=O$3,SUMIF('TL17'!$C$10:$C$224,$C361,'TL17'!$J$10:$J$224),0),
IF('TL17'!$B$229=O$3,SUMIF('TL17'!$C$238:$C$451,$C361,'TL17'!$J$238:$J$451),0),
IF('TL18'!$B$3=O$3,SUMIF('TL18'!$C$10:$C$224,$C361,'TL18'!$J$10:$J$224),0),
IF('TL18'!$B$229=O$3,SUMIF('TL18'!$C$238:$C$451,$C361,'TL18'!$J$238:$J$451),0),
IF('TL19'!$B$3=O$3,SUMIF('TL19'!$C$10:$C$224,$C361,'TL19'!$J$10:$J$224),0),
IF('TL19'!$B$229=O$3,SUMIF('TL19'!$C$238:$C$451,$C361,'TL19'!$J$238:$J$451),0)
),0)</f>
        <v>0</v>
      </c>
      <c r="P361" s="9">
        <f>IFERROR(SUM(
IF('TL01'!$B$3=P$3,SUMIF('TL01'!$C$10:$C$224,$C361,'TL01'!$J$10:$J$224),0),
IF('TL01'!$B$229=P$3,SUMIF('TL01'!$C$238:$C$451,$C361,'TL01'!$J$238:$J$451),0),
IF('TL02'!$B$3=P$3,SUMIF('TL02'!$C$10:$C$224,$C361,'TL02'!$J$10:$J$224),0),
IF('TL02'!$B$229=P$3,SUMIF('TL02'!$C$238:$C$451,$C361,'TL02'!$J$238:$J$451),0),
IF('TL03'!$B$3=P$3,SUMIF('TL03'!$C$10:$C$224,$C361,'TL03'!$J$10:$J$224),0),
IF('TL03'!$B$229=P$3,SUMIF('TL03'!$C$238:$C$451,$C361,'TL03'!$J$238:$J$451),0),
IF('TL04'!$B$3=P$3,SUMIF('TL04'!$C$10:$C$224,$C361,'TL04'!$J$10:$J$224),0),
IF('TL04'!$B$229=P$3,SUMIF('TL04'!$C$238:$C$451,$C361,'TL04'!$J$238:$J$451),0),
IF('TL05'!$B$3=P$3,SUMIF('TL05'!$C$10:$C$224,$C361,'TL05'!$J$10:$J$224),0),
IF('TL05'!$B$229=P$3,SUMIF('TL05'!$C$238:$C$451,$C361,'TL05'!$J$238:$J$451),0),
IF('TL06'!$B$3=P$3,SUMIF('TL06'!$C$10:$C$224,$C361,'TL06'!$J$10:$J$224),0),
IF('TL06'!$B$229=P$3,SUMIF('TL06'!$C$238:$C$451,$C361,'TL06'!$J$238:$J$451),0),
IF('TL07'!$B$3=P$3,SUMIF('TL07'!$C$10:$C$224,$C361,'TL07'!$J$10:$J$224),0),
IF('TL07'!$B$229=P$3,SUMIF('TL07'!$C$238:$C$451,$C361,'TL07'!$J$238:$J$451),0),
IF('TL08'!$B$3=P$3,SUMIF('TL08'!$C$10:$C$224,$C361,'TL08'!$J$10:$J$224),0),
IF('TL08'!$B$229=P$3,SUMIF('TL08'!$C$238:$C$451,$C361,'TL08'!$J$238:$J$451),0),
IF('TL09'!$B$3=P$3,SUMIF('TL09'!$C$10:$C$224,$C361,'TL09'!$J$10:$J$224),0),
IF('TL09'!$B$229=P$3,SUMIF('TL09'!$C$238:$C$451,$C361,'TL09'!$J$238:$J$451),0),
IF('TL10'!$B$3=P$3,SUMIF('TL10'!$C$10:$C$224,$C361,'TL10'!$J$10:$J$224),0),
IF('TL10'!$B$229=P$3,SUMIF('TL10'!$C$238:$C$451,$C361,'TL10'!$J$238:$J$451),0),
IF('TL11'!$B$3=P$3,SUMIF('TL11'!$C$10:$C$224,$C361,'TL11'!$J$10:$J$224),0),
IF('TL11'!$B$229=P$3,SUMIF('TL11'!$C$238:$C$451,$C361,'TL11'!$J$238:$J$451),0),
IF('TL12'!$B$3=P$3,SUMIF('TL12'!$C$10:$C$224,$C361,'TL12'!$J$10:$J$224),0),
IF('TL12'!$B$229=P$3,SUMIF('TL12'!$C$238:$C$451,$C361,'TL12'!$J$238:$J$451),0),
IF('TL13'!$B$3=P$3,SUMIF('TL13'!$C$10:$C$224,$C361,'TL13'!$J$10:$J$224),0),
IF('TL13'!$B$229=P$3,SUMIF('TL13'!$C$238:$C$451,$C361,'TL13'!$J$238:$J$451),0),
IF('TL14'!$B$3=P$3,SUMIF('TL14'!$C$10:$C$224,$C361,'TL14'!$J$10:$J$224),0),
IF('TL14'!$B$229=P$3,SUMIF('TL14'!$C$238:$C$451,$C361,'TL14'!$J$238:$J$451),0),
IF('TL15'!$B$3=P$3,SUMIF('TL15'!$C$10:$C$224,$C361,'TL15'!$J$10:$J$224),0),
IF('TL15'!$B$229=P$3,SUMIF('TL15'!$C$238:$C$451,$C361,'TL15'!$J$238:$J$451),0),
IF('TL16'!$B$3=P$3,SUMIF('TL16'!$C$10:$C$224,$C361,'TL16'!$J$10:$J$224),0),
IF('TL16'!$B$229=P$3,SUMIF('TL16'!$C$238:$C$451,$C361,'TL16'!$J$238:$J$451),0),
IF('TL17'!$B$3=P$3,SUMIF('TL17'!$C$10:$C$224,$C361,'TL17'!$J$10:$J$224),0),
IF('TL17'!$B$229=P$3,SUMIF('TL17'!$C$238:$C$451,$C361,'TL17'!$J$238:$J$451),0),
IF('TL18'!$B$3=P$3,SUMIF('TL18'!$C$10:$C$224,$C361,'TL18'!$J$10:$J$224),0),
IF('TL18'!$B$229=P$3,SUMIF('TL18'!$C$238:$C$451,$C361,'TL18'!$J$238:$J$451),0),
IF('TL19'!$B$3=P$3,SUMIF('TL19'!$C$10:$C$224,$C361,'TL19'!$J$10:$J$224),0),
IF('TL19'!$B$229=P$3,SUMIF('TL19'!$C$238:$C$451,$C361,'TL19'!$J$238:$J$451),0)
),0)</f>
        <v>4872</v>
      </c>
      <c r="Q361" s="9">
        <f>IFERROR(SUM(
IF('TL01'!$B$3=Q$3,SUMIF('TL01'!$C$10:$C$224,$C361,'TL01'!$J$10:$J$224),0),
IF('TL01'!$B$229=Q$3,SUMIF('TL01'!$C$238:$C$451,$C361,'TL01'!$J$238:$J$451),0),
IF('TL02'!$B$3=Q$3,SUMIF('TL02'!$C$10:$C$224,$C361,'TL02'!$J$10:$J$224),0),
IF('TL02'!$B$229=Q$3,SUMIF('TL02'!$C$238:$C$451,$C361,'TL02'!$J$238:$J$451),0),
IF('TL03'!$B$3=Q$3,SUMIF('TL03'!$C$10:$C$224,$C361,'TL03'!$J$10:$J$224),0),
IF('TL03'!$B$229=Q$3,SUMIF('TL03'!$C$238:$C$451,$C361,'TL03'!$J$238:$J$451),0),
IF('TL04'!$B$3=Q$3,SUMIF('TL04'!$C$10:$C$224,$C361,'TL04'!$J$10:$J$224),0),
IF('TL04'!$B$229=Q$3,SUMIF('TL04'!$C$238:$C$451,$C361,'TL04'!$J$238:$J$451),0),
IF('TL05'!$B$3=Q$3,SUMIF('TL05'!$C$10:$C$224,$C361,'TL05'!$J$10:$J$224),0),
IF('TL05'!$B$229=Q$3,SUMIF('TL05'!$C$238:$C$451,$C361,'TL05'!$J$238:$J$451),0),
IF('TL06'!$B$3=Q$3,SUMIF('TL06'!$C$10:$C$224,$C361,'TL06'!$J$10:$J$224),0),
IF('TL06'!$B$229=Q$3,SUMIF('TL06'!$C$238:$C$451,$C361,'TL06'!$J$238:$J$451),0),
IF('TL07'!$B$3=Q$3,SUMIF('TL07'!$C$10:$C$224,$C361,'TL07'!$J$10:$J$224),0),
IF('TL07'!$B$229=Q$3,SUMIF('TL07'!$C$238:$C$451,$C361,'TL07'!$J$238:$J$451),0),
IF('TL08'!$B$3=Q$3,SUMIF('TL08'!$C$10:$C$224,$C361,'TL08'!$J$10:$J$224),0),
IF('TL08'!$B$229=Q$3,SUMIF('TL08'!$C$238:$C$451,$C361,'TL08'!$J$238:$J$451),0),
IF('TL09'!$B$3=Q$3,SUMIF('TL09'!$C$10:$C$224,$C361,'TL09'!$J$10:$J$224),0),
IF('TL09'!$B$229=Q$3,SUMIF('TL09'!$C$238:$C$451,$C361,'TL09'!$J$238:$J$451),0),
IF('TL10'!$B$3=Q$3,SUMIF('TL10'!$C$10:$C$224,$C361,'TL10'!$J$10:$J$224),0),
IF('TL10'!$B$229=Q$3,SUMIF('TL10'!$C$238:$C$451,$C361,'TL10'!$J$238:$J$451),0),
IF('TL11'!$B$3=Q$3,SUMIF('TL11'!$C$10:$C$224,$C361,'TL11'!$J$10:$J$224),0),
IF('TL11'!$B$229=Q$3,SUMIF('TL11'!$C$238:$C$451,$C361,'TL11'!$J$238:$J$451),0),
IF('TL12'!$B$3=Q$3,SUMIF('TL12'!$C$10:$C$224,$C361,'TL12'!$J$10:$J$224),0),
IF('TL12'!$B$229=Q$3,SUMIF('TL12'!$C$238:$C$451,$C361,'TL12'!$J$238:$J$451),0),
IF('TL13'!$B$3=Q$3,SUMIF('TL13'!$C$10:$C$224,$C361,'TL13'!$J$10:$J$224),0),
IF('TL13'!$B$229=Q$3,SUMIF('TL13'!$C$238:$C$451,$C361,'TL13'!$J$238:$J$451),0),
IF('TL14'!$B$3=Q$3,SUMIF('TL14'!$C$10:$C$224,$C361,'TL14'!$J$10:$J$224),0),
IF('TL14'!$B$229=Q$3,SUMIF('TL14'!$C$238:$C$451,$C361,'TL14'!$J$238:$J$451),0),
IF('TL15'!$B$3=Q$3,SUMIF('TL15'!$C$10:$C$224,$C361,'TL15'!$J$10:$J$224),0),
IF('TL15'!$B$229=Q$3,SUMIF('TL15'!$C$238:$C$451,$C361,'TL15'!$J$238:$J$451),0),
IF('TL16'!$B$3=Q$3,SUMIF('TL16'!$C$10:$C$224,$C361,'TL16'!$J$10:$J$224),0),
IF('TL16'!$B$229=Q$3,SUMIF('TL16'!$C$238:$C$451,$C361,'TL16'!$J$238:$J$451),0),
IF('TL17'!$B$3=Q$3,SUMIF('TL17'!$C$10:$C$224,$C361,'TL17'!$J$10:$J$224),0),
IF('TL17'!$B$229=Q$3,SUMIF('TL17'!$C$238:$C$451,$C361,'TL17'!$J$238:$J$451),0),
IF('TL18'!$B$3=Q$3,SUMIF('TL18'!$C$10:$C$224,$C361,'TL18'!$J$10:$J$224),0),
IF('TL18'!$B$229=Q$3,SUMIF('TL18'!$C$238:$C$451,$C361,'TL18'!$J$238:$J$451),0),
IF('TL19'!$B$3=Q$3,SUMIF('TL19'!$C$10:$C$224,$C361,'TL19'!$J$10:$J$224),0),
IF('TL19'!$B$229=Q$3,SUMIF('TL19'!$C$238:$C$451,$C361,'TL19'!$J$238:$J$451),0)
),0)</f>
        <v>1280</v>
      </c>
      <c r="R361" s="9">
        <f>IFERROR(
SUM(
SUMIF('TL01'!C:C,C361,'TL01'!J:J),
SUMIF('TL02'!C:C,C361,'TL02'!J:J),
SUMIF('TL03'!C:C,C361,'TL03'!J:J),
SUMIF('TL04'!C:C,C361,'TL04'!J:J),
SUMIF('TL05'!C:C,C361,'TL05'!J:J),
SUMIF('TL06'!C:C,C361,'TL06'!J:J),
SUMIF('TL07'!C:C,C361,'TL07'!J:J),
SUMIF('TL08'!C:C,C361,'TL08'!J:J),
SUMIF('TL09'!C:C,C361,'TL09'!J:J),
SUMIF('TL10'!C:C,C361,'TL10'!J:J),
SUMIF('TL11'!C:C,C361,'TL11'!J:J),
SUMIF('TL12'!C:C,C361,'TL12'!J:J),
SUMIF('TL13'!C:C,C361,'TL13'!J:J),
SUMIF('TL14'!C:C,C361,'TL14'!J:J),
SUMIF('TL15'!C:C,C361,'TL15'!J:J),
SUMIF('TL16'!C:C,C361,'TL16'!J:J),
SUMIF('TL17'!C:C,C361,'TL17'!J:J),
SUMIF('TL18'!C:C,C361,'TL18'!J:J),SUMIF('TL19'!C:C,C361,'TL19'!J:J))
,0)</f>
        <v>8232</v>
      </c>
      <c r="S361" s="17">
        <f>IFERROR(__xludf.DUMMYFUNCTION("IFERROR(VLOOKUP(C361,
IMPORTRANGE(""1wULbzX32WdYsx-lj2U3uUNBBe2INVIRDtcK0d-Dvl90"",
""26-27!C:G""),
5,
FALSE),
"""")"),26.0)</f>
        <v>26</v>
      </c>
      <c r="T361" s="9"/>
      <c r="U361" s="92">
        <f t="shared" si="2"/>
        <v>8232</v>
      </c>
      <c r="V361" s="93">
        <f t="shared" si="3"/>
        <v>214032</v>
      </c>
    </row>
    <row r="362" ht="15.75" hidden="1" customHeight="1">
      <c r="A362" s="4" t="s">
        <v>1071</v>
      </c>
      <c r="B362" s="4" t="s">
        <v>4</v>
      </c>
      <c r="C362" s="126" t="s">
        <v>1096</v>
      </c>
      <c r="D362" s="127" t="s">
        <v>1097</v>
      </c>
      <c r="E362" s="6"/>
      <c r="F362" s="4" t="s">
        <v>343</v>
      </c>
      <c r="G362" s="90" t="str">
        <f t="shared" si="5"/>
        <v>📄 Ver bula</v>
      </c>
      <c r="H362" s="4">
        <v>2.0</v>
      </c>
      <c r="I362" s="121" t="s">
        <v>382</v>
      </c>
      <c r="J362" s="9">
        <f>IFERROR(SUM(
IF('TL01'!$B$3=J$3,SUMIF('TL01'!$C$10:$C$224,$C362,'TL01'!$J$10:$J$224),0),
IF('TL01'!$B$229=J$3,SUMIF('TL01'!$C$238:$C$451,$C362,'TL01'!$J$238:$J$451),0),
IF('TL02'!$B$3=J$3,SUMIF('TL02'!$C$10:$C$224,$C362,'TL02'!$J$10:$J$224),0),
IF('TL02'!$B$229=J$3,SUMIF('TL02'!$C$238:$C$451,$C362,'TL02'!$J$238:$J$451),0),
IF('TL03'!$B$3=J$3,SUMIF('TL03'!$C$10:$C$224,$C362,'TL03'!$J$10:$J$224),0),
IF('TL03'!$B$229=J$3,SUMIF('TL03'!$C$238:$C$451,$C362,'TL03'!$J$238:$J$451),0),
IF('TL04'!$B$3=J$3,SUMIF('TL04'!$C$10:$C$224,$C362,'TL04'!$J$10:$J$224),0),
IF('TL04'!$B$229=J$3,SUMIF('TL04'!$C$238:$C$451,$C362,'TL04'!$J$238:$J$451),0),
IF('TL05'!$B$3=J$3,SUMIF('TL05'!$C$10:$C$224,$C362,'TL05'!$J$10:$J$224),0),
IF('TL05'!$B$229=J$3,SUMIF('TL05'!$C$238:$C$451,$C362,'TL05'!$J$238:$J$451),0),
IF('TL06'!$B$3=J$3,SUMIF('TL06'!$C$10:$C$224,$C362,'TL06'!$J$10:$J$224),0),
IF('TL06'!$B$229=J$3,SUMIF('TL06'!$C$238:$C$451,$C362,'TL06'!$J$238:$J$451),0),
IF('TL07'!$B$3=J$3,SUMIF('TL07'!$C$10:$C$224,$C362,'TL07'!$J$10:$J$224),0),
IF('TL07'!$B$229=J$3,SUMIF('TL07'!$C$238:$C$451,$C362,'TL07'!$J$238:$J$451),0),
IF('TL08'!$B$3=J$3,SUMIF('TL08'!$C$10:$C$224,$C362,'TL08'!$J$10:$J$224),0),
IF('TL08'!$B$229=J$3,SUMIF('TL08'!$C$238:$C$451,$C362,'TL08'!$J$238:$J$451),0),
IF('TL09'!$B$3=J$3,SUMIF('TL09'!$C$10:$C$224,$C362,'TL09'!$J$10:$J$224),0),
IF('TL09'!$B$229=J$3,SUMIF('TL09'!$C$238:$C$451,$C362,'TL09'!$J$238:$J$451),0),
IF('TL10'!$B$3=J$3,SUMIF('TL10'!$C$10:$C$224,$C362,'TL10'!$J$10:$J$224),0),
IF('TL10'!$B$229=J$3,SUMIF('TL10'!$C$238:$C$451,$C362,'TL10'!$J$238:$J$451),0),
IF('TL11'!$B$3=J$3,SUMIF('TL11'!$C$10:$C$224,$C362,'TL11'!$J$10:$J$224),0),
IF('TL11'!$B$229=J$3,SUMIF('TL11'!$C$238:$C$451,$C362,'TL11'!$J$238:$J$451),0),
IF('TL12'!$B$3=J$3,SUMIF('TL12'!$C$10:$C$224,$C362,'TL12'!$J$10:$J$224),0),
IF('TL12'!$B$229=J$3,SUMIF('TL12'!$C$238:$C$451,$C362,'TL12'!$J$238:$J$451),0),
IF('TL13'!$B$3=J$3,SUMIF('TL13'!$C$10:$C$224,$C362,'TL13'!$J$10:$J$224),0),
IF('TL13'!$B$229=J$3,SUMIF('TL13'!$C$238:$C$451,$C362,'TL13'!$J$238:$J$451),0),
IF('TL14'!$B$3=J$3,SUMIF('TL14'!$C$10:$C$224,$C362,'TL14'!$J$10:$J$224),0),
IF('TL14'!$B$229=J$3,SUMIF('TL14'!$C$238:$C$451,$C362,'TL14'!$J$238:$J$451),0),
IF('TL15'!$B$3=J$3,SUMIF('TL15'!$C$10:$C$224,$C362,'TL15'!$J$10:$J$224),0),
IF('TL15'!$B$229=J$3,SUMIF('TL15'!$C$238:$C$451,$C362,'TL15'!$J$238:$J$451),0),
IF('TL16'!$B$3=J$3,SUMIF('TL16'!$C$10:$C$224,$C362,'TL16'!$J$10:$J$224),0),
IF('TL16'!$B$229=J$3,SUMIF('TL16'!$C$238:$C$451,$C362,'TL16'!$J$238:$J$451),0),
IF('TL17'!$B$3=J$3,SUMIF('TL17'!$C$10:$C$224,$C362,'TL17'!$J$10:$J$224),0),
IF('TL17'!$B$229=J$3,SUMIF('TL17'!$C$238:$C$451,$C362,'TL17'!$J$238:$J$451),0),
IF('TL18'!$B$3=J$3,SUMIF('TL18'!$C$10:$C$224,$C362,'TL18'!$J$10:$J$224),0),
IF('TL18'!$B$229=J$3,SUMIF('TL18'!$C$238:$C$451,$C362,'TL18'!$J$238:$J$451),0),
IF('TL19'!$B$3=J$3,SUMIF('TL19'!$C$10:$C$224,$C362,'TL19'!$J$10:$J$224),0),
IF('TL19'!$B$229=J$3,SUMIF('TL19'!$C$238:$C$451,$C362,'TL19'!$J$238:$J$451),0)
),0)</f>
        <v>0</v>
      </c>
      <c r="K362" s="9">
        <f>IFERROR(SUM(
IF('TL01'!$B$3=K$3,SUMIF('TL01'!$C$10:$C$224,$C362,'TL01'!$J$10:$J$224),0),
IF('TL01'!$B$229=K$3,SUMIF('TL01'!$C$238:$C$451,$C362,'TL01'!$J$238:$J$451),0),
IF('TL02'!$B$3=K$3,SUMIF('TL02'!$C$10:$C$224,$C362,'TL02'!$J$10:$J$224),0),
IF('TL02'!$B$229=K$3,SUMIF('TL02'!$C$238:$C$451,$C362,'TL02'!$J$238:$J$451),0),
IF('TL03'!$B$3=K$3,SUMIF('TL03'!$C$10:$C$224,$C362,'TL03'!$J$10:$J$224),0),
IF('TL03'!$B$229=K$3,SUMIF('TL03'!$C$238:$C$451,$C362,'TL03'!$J$238:$J$451),0),
IF('TL04'!$B$3=K$3,SUMIF('TL04'!$C$10:$C$224,$C362,'TL04'!$J$10:$J$224),0),
IF('TL04'!$B$229=K$3,SUMIF('TL04'!$C$238:$C$451,$C362,'TL04'!$J$238:$J$451),0),
IF('TL05'!$B$3=K$3,SUMIF('TL05'!$C$10:$C$224,$C362,'TL05'!$J$10:$J$224),0),
IF('TL05'!$B$229=K$3,SUMIF('TL05'!$C$238:$C$451,$C362,'TL05'!$J$238:$J$451),0),
IF('TL06'!$B$3=K$3,SUMIF('TL06'!$C$10:$C$224,$C362,'TL06'!$J$10:$J$224),0),
IF('TL06'!$B$229=K$3,SUMIF('TL06'!$C$238:$C$451,$C362,'TL06'!$J$238:$J$451),0),
IF('TL07'!$B$3=K$3,SUMIF('TL07'!$C$10:$C$224,$C362,'TL07'!$J$10:$J$224),0),
IF('TL07'!$B$229=K$3,SUMIF('TL07'!$C$238:$C$451,$C362,'TL07'!$J$238:$J$451),0),
IF('TL08'!$B$3=K$3,SUMIF('TL08'!$C$10:$C$224,$C362,'TL08'!$J$10:$J$224),0),
IF('TL08'!$B$229=K$3,SUMIF('TL08'!$C$238:$C$451,$C362,'TL08'!$J$238:$J$451),0),
IF('TL09'!$B$3=K$3,SUMIF('TL09'!$C$10:$C$224,$C362,'TL09'!$J$10:$J$224),0),
IF('TL09'!$B$229=K$3,SUMIF('TL09'!$C$238:$C$451,$C362,'TL09'!$J$238:$J$451),0),
IF('TL10'!$B$3=K$3,SUMIF('TL10'!$C$10:$C$224,$C362,'TL10'!$J$10:$J$224),0),
IF('TL10'!$B$229=K$3,SUMIF('TL10'!$C$238:$C$451,$C362,'TL10'!$J$238:$J$451),0),
IF('TL11'!$B$3=K$3,SUMIF('TL11'!$C$10:$C$224,$C362,'TL11'!$J$10:$J$224),0),
IF('TL11'!$B$229=K$3,SUMIF('TL11'!$C$238:$C$451,$C362,'TL11'!$J$238:$J$451),0),
IF('TL12'!$B$3=K$3,SUMIF('TL12'!$C$10:$C$224,$C362,'TL12'!$J$10:$J$224),0),
IF('TL12'!$B$229=K$3,SUMIF('TL12'!$C$238:$C$451,$C362,'TL12'!$J$238:$J$451),0),
IF('TL13'!$B$3=K$3,SUMIF('TL13'!$C$10:$C$224,$C362,'TL13'!$J$10:$J$224),0),
IF('TL13'!$B$229=K$3,SUMIF('TL13'!$C$238:$C$451,$C362,'TL13'!$J$238:$J$451),0),
IF('TL14'!$B$3=K$3,SUMIF('TL14'!$C$10:$C$224,$C362,'TL14'!$J$10:$J$224),0),
IF('TL14'!$B$229=K$3,SUMIF('TL14'!$C$238:$C$451,$C362,'TL14'!$J$238:$J$451),0),
IF('TL15'!$B$3=K$3,SUMIF('TL15'!$C$10:$C$224,$C362,'TL15'!$J$10:$J$224),0),
IF('TL15'!$B$229=K$3,SUMIF('TL15'!$C$238:$C$451,$C362,'TL15'!$J$238:$J$451),0),
IF('TL16'!$B$3=K$3,SUMIF('TL16'!$C$10:$C$224,$C362,'TL16'!$J$10:$J$224),0),
IF('TL16'!$B$229=K$3,SUMIF('TL16'!$C$238:$C$451,$C362,'TL16'!$J$238:$J$451),0),
IF('TL17'!$B$3=K$3,SUMIF('TL17'!$C$10:$C$224,$C362,'TL17'!$J$10:$J$224),0),
IF('TL17'!$B$229=K$3,SUMIF('TL17'!$C$238:$C$451,$C362,'TL17'!$J$238:$J$451),0),
IF('TL18'!$B$3=K$3,SUMIF('TL18'!$C$10:$C$224,$C362,'TL18'!$J$10:$J$224),0),
IF('TL18'!$B$229=K$3,SUMIF('TL18'!$C$238:$C$451,$C362,'TL18'!$J$238:$J$451),0),
IF('TL19'!$B$3=K$3,SUMIF('TL19'!$C$10:$C$224,$C362,'TL19'!$J$10:$J$224),0),
IF('TL19'!$B$229=K$3,SUMIF('TL19'!$C$238:$C$451,$C362,'TL19'!$J$238:$J$451),0)
),0)</f>
        <v>0</v>
      </c>
      <c r="L362" s="9">
        <f>IFERROR(SUM(
IF('TL01'!$B$3=L$3,SUMIF('TL01'!$C$10:$C$224,$C362,'TL01'!$J$10:$J$224),0),
IF('TL01'!$B$229=L$3,SUMIF('TL01'!$C$238:$C$451,$C362,'TL01'!$J$238:$J$451),0),
IF('TL02'!$B$3=L$3,SUMIF('TL02'!$C$10:$C$224,$C362,'TL02'!$J$10:$J$224),0),
IF('TL02'!$B$229=L$3,SUMIF('TL02'!$C$238:$C$451,$C362,'TL02'!$J$238:$J$451),0),
IF('TL03'!$B$3=L$3,SUMIF('TL03'!$C$10:$C$224,$C362,'TL03'!$J$10:$J$224),0),
IF('TL03'!$B$229=L$3,SUMIF('TL03'!$C$238:$C$451,$C362,'TL03'!$J$238:$J$451),0),
IF('TL04'!$B$3=L$3,SUMIF('TL04'!$C$10:$C$224,$C362,'TL04'!$J$10:$J$224),0),
IF('TL04'!$B$229=L$3,SUMIF('TL04'!$C$238:$C$451,$C362,'TL04'!$J$238:$J$451),0),
IF('TL05'!$B$3=L$3,SUMIF('TL05'!$C$10:$C$224,$C362,'TL05'!$J$10:$J$224),0),
IF('TL05'!$B$229=L$3,SUMIF('TL05'!$C$238:$C$451,$C362,'TL05'!$J$238:$J$451),0),
IF('TL06'!$B$3=L$3,SUMIF('TL06'!$C$10:$C$224,$C362,'TL06'!$J$10:$J$224),0),
IF('TL06'!$B$229=L$3,SUMIF('TL06'!$C$238:$C$451,$C362,'TL06'!$J$238:$J$451),0),
IF('TL07'!$B$3=L$3,SUMIF('TL07'!$C$10:$C$224,$C362,'TL07'!$J$10:$J$224),0),
IF('TL07'!$B$229=L$3,SUMIF('TL07'!$C$238:$C$451,$C362,'TL07'!$J$238:$J$451),0),
IF('TL08'!$B$3=L$3,SUMIF('TL08'!$C$10:$C$224,$C362,'TL08'!$J$10:$J$224),0),
IF('TL08'!$B$229=L$3,SUMIF('TL08'!$C$238:$C$451,$C362,'TL08'!$J$238:$J$451),0),
IF('TL09'!$B$3=L$3,SUMIF('TL09'!$C$10:$C$224,$C362,'TL09'!$J$10:$J$224),0),
IF('TL09'!$B$229=L$3,SUMIF('TL09'!$C$238:$C$451,$C362,'TL09'!$J$238:$J$451),0),
IF('TL10'!$B$3=L$3,SUMIF('TL10'!$C$10:$C$224,$C362,'TL10'!$J$10:$J$224),0),
IF('TL10'!$B$229=L$3,SUMIF('TL10'!$C$238:$C$451,$C362,'TL10'!$J$238:$J$451),0),
IF('TL11'!$B$3=L$3,SUMIF('TL11'!$C$10:$C$224,$C362,'TL11'!$J$10:$J$224),0),
IF('TL11'!$B$229=L$3,SUMIF('TL11'!$C$238:$C$451,$C362,'TL11'!$J$238:$J$451),0),
IF('TL12'!$B$3=L$3,SUMIF('TL12'!$C$10:$C$224,$C362,'TL12'!$J$10:$J$224),0),
IF('TL12'!$B$229=L$3,SUMIF('TL12'!$C$238:$C$451,$C362,'TL12'!$J$238:$J$451),0),
IF('TL13'!$B$3=L$3,SUMIF('TL13'!$C$10:$C$224,$C362,'TL13'!$J$10:$J$224),0),
IF('TL13'!$B$229=L$3,SUMIF('TL13'!$C$238:$C$451,$C362,'TL13'!$J$238:$J$451),0),
IF('TL14'!$B$3=L$3,SUMIF('TL14'!$C$10:$C$224,$C362,'TL14'!$J$10:$J$224),0),
IF('TL14'!$B$229=L$3,SUMIF('TL14'!$C$238:$C$451,$C362,'TL14'!$J$238:$J$451),0),
IF('TL15'!$B$3=L$3,SUMIF('TL15'!$C$10:$C$224,$C362,'TL15'!$J$10:$J$224),0),
IF('TL15'!$B$229=L$3,SUMIF('TL15'!$C$238:$C$451,$C362,'TL15'!$J$238:$J$451),0),
IF('TL16'!$B$3=L$3,SUMIF('TL16'!$C$10:$C$224,$C362,'TL16'!$J$10:$J$224),0),
IF('TL16'!$B$229=L$3,SUMIF('TL16'!$C$238:$C$451,$C362,'TL16'!$J$238:$J$451),0),
IF('TL17'!$B$3=L$3,SUMIF('TL17'!$C$10:$C$224,$C362,'TL17'!$J$10:$J$224),0),
IF('TL17'!$B$229=L$3,SUMIF('TL17'!$C$238:$C$451,$C362,'TL17'!$J$238:$J$451),0),
IF('TL18'!$B$3=L$3,SUMIF('TL18'!$C$10:$C$224,$C362,'TL18'!$J$10:$J$224),0),
IF('TL18'!$B$229=L$3,SUMIF('TL18'!$C$238:$C$451,$C362,'TL18'!$J$238:$J$451),0),
IF('TL19'!$B$3=L$3,SUMIF('TL19'!$C$10:$C$224,$C362,'TL19'!$J$10:$J$224),0),
IF('TL19'!$B$229=L$3,SUMIF('TL19'!$C$238:$C$451,$C362,'TL19'!$J$238:$J$451),0)
),0)</f>
        <v>0</v>
      </c>
      <c r="M362" s="9">
        <f>IFERROR(SUM(
IF('TL01'!$B$3=M$3,SUMIF('TL01'!$C$10:$C$224,$C362,'TL01'!$J$10:$J$224),0),
IF('TL01'!$B$229=M$3,SUMIF('TL01'!$C$238:$C$451,$C362,'TL01'!$J$238:$J$451),0),
IF('TL02'!$B$3=M$3,SUMIF('TL02'!$C$10:$C$224,$C362,'TL02'!$J$10:$J$224),0),
IF('TL02'!$B$229=M$3,SUMIF('TL02'!$C$238:$C$451,$C362,'TL02'!$J$238:$J$451),0),
IF('TL03'!$B$3=M$3,SUMIF('TL03'!$C$10:$C$224,$C362,'TL03'!$J$10:$J$224),0),
IF('TL03'!$B$229=M$3,SUMIF('TL03'!$C$238:$C$451,$C362,'TL03'!$J$238:$J$451),0),
IF('TL04'!$B$3=M$3,SUMIF('TL04'!$C$10:$C$224,$C362,'TL04'!$J$10:$J$224),0),
IF('TL04'!$B$229=M$3,SUMIF('TL04'!$C$238:$C$451,$C362,'TL04'!$J$238:$J$451),0),
IF('TL05'!$B$3=M$3,SUMIF('TL05'!$C$10:$C$224,$C362,'TL05'!$J$10:$J$224),0),
IF('TL05'!$B$229=M$3,SUMIF('TL05'!$C$238:$C$451,$C362,'TL05'!$J$238:$J$451),0),
IF('TL06'!$B$3=M$3,SUMIF('TL06'!$C$10:$C$224,$C362,'TL06'!$J$10:$J$224),0),
IF('TL06'!$B$229=M$3,SUMIF('TL06'!$C$238:$C$451,$C362,'TL06'!$J$238:$J$451),0),
IF('TL07'!$B$3=M$3,SUMIF('TL07'!$C$10:$C$224,$C362,'TL07'!$J$10:$J$224),0),
IF('TL07'!$B$229=M$3,SUMIF('TL07'!$C$238:$C$451,$C362,'TL07'!$J$238:$J$451),0),
IF('TL08'!$B$3=M$3,SUMIF('TL08'!$C$10:$C$224,$C362,'TL08'!$J$10:$J$224),0),
IF('TL08'!$B$229=M$3,SUMIF('TL08'!$C$238:$C$451,$C362,'TL08'!$J$238:$J$451),0),
IF('TL09'!$B$3=M$3,SUMIF('TL09'!$C$10:$C$224,$C362,'TL09'!$J$10:$J$224),0),
IF('TL09'!$B$229=M$3,SUMIF('TL09'!$C$238:$C$451,$C362,'TL09'!$J$238:$J$451),0),
IF('TL10'!$B$3=M$3,SUMIF('TL10'!$C$10:$C$224,$C362,'TL10'!$J$10:$J$224),0),
IF('TL10'!$B$229=M$3,SUMIF('TL10'!$C$238:$C$451,$C362,'TL10'!$J$238:$J$451),0),
IF('TL11'!$B$3=M$3,SUMIF('TL11'!$C$10:$C$224,$C362,'TL11'!$J$10:$J$224),0),
IF('TL11'!$B$229=M$3,SUMIF('TL11'!$C$238:$C$451,$C362,'TL11'!$J$238:$J$451),0),
IF('TL12'!$B$3=M$3,SUMIF('TL12'!$C$10:$C$224,$C362,'TL12'!$J$10:$J$224),0),
IF('TL12'!$B$229=M$3,SUMIF('TL12'!$C$238:$C$451,$C362,'TL12'!$J$238:$J$451),0),
IF('TL13'!$B$3=M$3,SUMIF('TL13'!$C$10:$C$224,$C362,'TL13'!$J$10:$J$224),0),
IF('TL13'!$B$229=M$3,SUMIF('TL13'!$C$238:$C$451,$C362,'TL13'!$J$238:$J$451),0),
IF('TL14'!$B$3=M$3,SUMIF('TL14'!$C$10:$C$224,$C362,'TL14'!$J$10:$J$224),0),
IF('TL14'!$B$229=M$3,SUMIF('TL14'!$C$238:$C$451,$C362,'TL14'!$J$238:$J$451),0),
IF('TL15'!$B$3=M$3,SUMIF('TL15'!$C$10:$C$224,$C362,'TL15'!$J$10:$J$224),0),
IF('TL15'!$B$229=M$3,SUMIF('TL15'!$C$238:$C$451,$C362,'TL15'!$J$238:$J$451),0),
IF('TL16'!$B$3=M$3,SUMIF('TL16'!$C$10:$C$224,$C362,'TL16'!$J$10:$J$224),0),
IF('TL16'!$B$229=M$3,SUMIF('TL16'!$C$238:$C$451,$C362,'TL16'!$J$238:$J$451),0),
IF('TL17'!$B$3=M$3,SUMIF('TL17'!$C$10:$C$224,$C362,'TL17'!$J$10:$J$224),0),
IF('TL17'!$B$229=M$3,SUMIF('TL17'!$C$238:$C$451,$C362,'TL17'!$J$238:$J$451),0),
IF('TL18'!$B$3=M$3,SUMIF('TL18'!$C$10:$C$224,$C362,'TL18'!$J$10:$J$224),0),
IF('TL18'!$B$229=M$3,SUMIF('TL18'!$C$238:$C$451,$C362,'TL18'!$J$238:$J$451),0),
IF('TL19'!$B$3=M$3,SUMIF('TL19'!$C$10:$C$224,$C362,'TL19'!$J$10:$J$224),0),
IF('TL19'!$B$229=M$3,SUMIF('TL19'!$C$238:$C$451,$C362,'TL19'!$J$238:$J$451),0)
),0)</f>
        <v>0</v>
      </c>
      <c r="N362" s="9">
        <f>IFERROR(SUM(
IF('TL01'!$B$3=N$3,SUMIF('TL01'!$C$10:$C$224,$C362,'TL01'!$J$10:$J$224),0),
IF('TL01'!$B$229=N$3,SUMIF('TL01'!$C$238:$C$451,$C362,'TL01'!$J$238:$J$451),0),
IF('TL02'!$B$3=N$3,SUMIF('TL02'!$C$10:$C$224,$C362,'TL02'!$J$10:$J$224),0),
IF('TL02'!$B$229=N$3,SUMIF('TL02'!$C$238:$C$451,$C362,'TL02'!$J$238:$J$451),0),
IF('TL03'!$B$3=N$3,SUMIF('TL03'!$C$10:$C$224,$C362,'TL03'!$J$10:$J$224),0),
IF('TL03'!$B$229=N$3,SUMIF('TL03'!$C$238:$C$451,$C362,'TL03'!$J$238:$J$451),0),
IF('TL04'!$B$3=N$3,SUMIF('TL04'!$C$10:$C$224,$C362,'TL04'!$J$10:$J$224),0),
IF('TL04'!$B$229=N$3,SUMIF('TL04'!$C$238:$C$451,$C362,'TL04'!$J$238:$J$451),0),
IF('TL05'!$B$3=N$3,SUMIF('TL05'!$C$10:$C$224,$C362,'TL05'!$J$10:$J$224),0),
IF('TL05'!$B$229=N$3,SUMIF('TL05'!$C$238:$C$451,$C362,'TL05'!$J$238:$J$451),0),
IF('TL06'!$B$3=N$3,SUMIF('TL06'!$C$10:$C$224,$C362,'TL06'!$J$10:$J$224),0),
IF('TL06'!$B$229=N$3,SUMIF('TL06'!$C$238:$C$451,$C362,'TL06'!$J$238:$J$451),0),
IF('TL07'!$B$3=N$3,SUMIF('TL07'!$C$10:$C$224,$C362,'TL07'!$J$10:$J$224),0),
IF('TL07'!$B$229=N$3,SUMIF('TL07'!$C$238:$C$451,$C362,'TL07'!$J$238:$J$451),0),
IF('TL08'!$B$3=N$3,SUMIF('TL08'!$C$10:$C$224,$C362,'TL08'!$J$10:$J$224),0),
IF('TL08'!$B$229=N$3,SUMIF('TL08'!$C$238:$C$451,$C362,'TL08'!$J$238:$J$451),0),
IF('TL09'!$B$3=N$3,SUMIF('TL09'!$C$10:$C$224,$C362,'TL09'!$J$10:$J$224),0),
IF('TL09'!$B$229=N$3,SUMIF('TL09'!$C$238:$C$451,$C362,'TL09'!$J$238:$J$451),0),
IF('TL10'!$B$3=N$3,SUMIF('TL10'!$C$10:$C$224,$C362,'TL10'!$J$10:$J$224),0),
IF('TL10'!$B$229=N$3,SUMIF('TL10'!$C$238:$C$451,$C362,'TL10'!$J$238:$J$451),0),
IF('TL11'!$B$3=N$3,SUMIF('TL11'!$C$10:$C$224,$C362,'TL11'!$J$10:$J$224),0),
IF('TL11'!$B$229=N$3,SUMIF('TL11'!$C$238:$C$451,$C362,'TL11'!$J$238:$J$451),0),
IF('TL12'!$B$3=N$3,SUMIF('TL12'!$C$10:$C$224,$C362,'TL12'!$J$10:$J$224),0),
IF('TL12'!$B$229=N$3,SUMIF('TL12'!$C$238:$C$451,$C362,'TL12'!$J$238:$J$451),0),
IF('TL13'!$B$3=N$3,SUMIF('TL13'!$C$10:$C$224,$C362,'TL13'!$J$10:$J$224),0),
IF('TL13'!$B$229=N$3,SUMIF('TL13'!$C$238:$C$451,$C362,'TL13'!$J$238:$J$451),0),
IF('TL14'!$B$3=N$3,SUMIF('TL14'!$C$10:$C$224,$C362,'TL14'!$J$10:$J$224),0),
IF('TL14'!$B$229=N$3,SUMIF('TL14'!$C$238:$C$451,$C362,'TL14'!$J$238:$J$451),0),
IF('TL15'!$B$3=N$3,SUMIF('TL15'!$C$10:$C$224,$C362,'TL15'!$J$10:$J$224),0),
IF('TL15'!$B$229=N$3,SUMIF('TL15'!$C$238:$C$451,$C362,'TL15'!$J$238:$J$451),0),
IF('TL16'!$B$3=N$3,SUMIF('TL16'!$C$10:$C$224,$C362,'TL16'!$J$10:$J$224),0),
IF('TL16'!$B$229=N$3,SUMIF('TL16'!$C$238:$C$451,$C362,'TL16'!$J$238:$J$451),0),
IF('TL17'!$B$3=N$3,SUMIF('TL17'!$C$10:$C$224,$C362,'TL17'!$J$10:$J$224),0),
IF('TL17'!$B$229=N$3,SUMIF('TL17'!$C$238:$C$451,$C362,'TL17'!$J$238:$J$451),0),
IF('TL18'!$B$3=N$3,SUMIF('TL18'!$C$10:$C$224,$C362,'TL18'!$J$10:$J$224),0),
IF('TL18'!$B$229=N$3,SUMIF('TL18'!$C$238:$C$451,$C362,'TL18'!$J$238:$J$451),0),
IF('TL19'!$B$3=N$3,SUMIF('TL19'!$C$10:$C$224,$C362,'TL19'!$J$10:$J$224),0),
IF('TL19'!$B$229=N$3,SUMIF('TL19'!$C$238:$C$451,$C362,'TL19'!$J$238:$J$451),0)
),0)</f>
        <v>0</v>
      </c>
      <c r="O362" s="9">
        <f>IFERROR(SUM(
IF('TL01'!$B$3=O$3,SUMIF('TL01'!$C$10:$C$224,$C362,'TL01'!$J$10:$J$224),0),
IF('TL01'!$B$229=O$3,SUMIF('TL01'!$C$238:$C$451,$C362,'TL01'!$J$238:$J$451),0),
IF('TL02'!$B$3=O$3,SUMIF('TL02'!$C$10:$C$224,$C362,'TL02'!$J$10:$J$224),0),
IF('TL02'!$B$229=O$3,SUMIF('TL02'!$C$238:$C$451,$C362,'TL02'!$J$238:$J$451),0),
IF('TL03'!$B$3=O$3,SUMIF('TL03'!$C$10:$C$224,$C362,'TL03'!$J$10:$J$224),0),
IF('TL03'!$B$229=O$3,SUMIF('TL03'!$C$238:$C$451,$C362,'TL03'!$J$238:$J$451),0),
IF('TL04'!$B$3=O$3,SUMIF('TL04'!$C$10:$C$224,$C362,'TL04'!$J$10:$J$224),0),
IF('TL04'!$B$229=O$3,SUMIF('TL04'!$C$238:$C$451,$C362,'TL04'!$J$238:$J$451),0),
IF('TL05'!$B$3=O$3,SUMIF('TL05'!$C$10:$C$224,$C362,'TL05'!$J$10:$J$224),0),
IF('TL05'!$B$229=O$3,SUMIF('TL05'!$C$238:$C$451,$C362,'TL05'!$J$238:$J$451),0),
IF('TL06'!$B$3=O$3,SUMIF('TL06'!$C$10:$C$224,$C362,'TL06'!$J$10:$J$224),0),
IF('TL06'!$B$229=O$3,SUMIF('TL06'!$C$238:$C$451,$C362,'TL06'!$J$238:$J$451),0),
IF('TL07'!$B$3=O$3,SUMIF('TL07'!$C$10:$C$224,$C362,'TL07'!$J$10:$J$224),0),
IF('TL07'!$B$229=O$3,SUMIF('TL07'!$C$238:$C$451,$C362,'TL07'!$J$238:$J$451),0),
IF('TL08'!$B$3=O$3,SUMIF('TL08'!$C$10:$C$224,$C362,'TL08'!$J$10:$J$224),0),
IF('TL08'!$B$229=O$3,SUMIF('TL08'!$C$238:$C$451,$C362,'TL08'!$J$238:$J$451),0),
IF('TL09'!$B$3=O$3,SUMIF('TL09'!$C$10:$C$224,$C362,'TL09'!$J$10:$J$224),0),
IF('TL09'!$B$229=O$3,SUMIF('TL09'!$C$238:$C$451,$C362,'TL09'!$J$238:$J$451),0),
IF('TL10'!$B$3=O$3,SUMIF('TL10'!$C$10:$C$224,$C362,'TL10'!$J$10:$J$224),0),
IF('TL10'!$B$229=O$3,SUMIF('TL10'!$C$238:$C$451,$C362,'TL10'!$J$238:$J$451),0),
IF('TL11'!$B$3=O$3,SUMIF('TL11'!$C$10:$C$224,$C362,'TL11'!$J$10:$J$224),0),
IF('TL11'!$B$229=O$3,SUMIF('TL11'!$C$238:$C$451,$C362,'TL11'!$J$238:$J$451),0),
IF('TL12'!$B$3=O$3,SUMIF('TL12'!$C$10:$C$224,$C362,'TL12'!$J$10:$J$224),0),
IF('TL12'!$B$229=O$3,SUMIF('TL12'!$C$238:$C$451,$C362,'TL12'!$J$238:$J$451),0),
IF('TL13'!$B$3=O$3,SUMIF('TL13'!$C$10:$C$224,$C362,'TL13'!$J$10:$J$224),0),
IF('TL13'!$B$229=O$3,SUMIF('TL13'!$C$238:$C$451,$C362,'TL13'!$J$238:$J$451),0),
IF('TL14'!$B$3=O$3,SUMIF('TL14'!$C$10:$C$224,$C362,'TL14'!$J$10:$J$224),0),
IF('TL14'!$B$229=O$3,SUMIF('TL14'!$C$238:$C$451,$C362,'TL14'!$J$238:$J$451),0),
IF('TL15'!$B$3=O$3,SUMIF('TL15'!$C$10:$C$224,$C362,'TL15'!$J$10:$J$224),0),
IF('TL15'!$B$229=O$3,SUMIF('TL15'!$C$238:$C$451,$C362,'TL15'!$J$238:$J$451),0),
IF('TL16'!$B$3=O$3,SUMIF('TL16'!$C$10:$C$224,$C362,'TL16'!$J$10:$J$224),0),
IF('TL16'!$B$229=O$3,SUMIF('TL16'!$C$238:$C$451,$C362,'TL16'!$J$238:$J$451),0),
IF('TL17'!$B$3=O$3,SUMIF('TL17'!$C$10:$C$224,$C362,'TL17'!$J$10:$J$224),0),
IF('TL17'!$B$229=O$3,SUMIF('TL17'!$C$238:$C$451,$C362,'TL17'!$J$238:$J$451),0),
IF('TL18'!$B$3=O$3,SUMIF('TL18'!$C$10:$C$224,$C362,'TL18'!$J$10:$J$224),0),
IF('TL18'!$B$229=O$3,SUMIF('TL18'!$C$238:$C$451,$C362,'TL18'!$J$238:$J$451),0),
IF('TL19'!$B$3=O$3,SUMIF('TL19'!$C$10:$C$224,$C362,'TL19'!$J$10:$J$224),0),
IF('TL19'!$B$229=O$3,SUMIF('TL19'!$C$238:$C$451,$C362,'TL19'!$J$238:$J$451),0)
),0)</f>
        <v>0</v>
      </c>
      <c r="P362" s="9">
        <f>IFERROR(SUM(
IF('TL01'!$B$3=P$3,SUMIF('TL01'!$C$10:$C$224,$C362,'TL01'!$J$10:$J$224),0),
IF('TL01'!$B$229=P$3,SUMIF('TL01'!$C$238:$C$451,$C362,'TL01'!$J$238:$J$451),0),
IF('TL02'!$B$3=P$3,SUMIF('TL02'!$C$10:$C$224,$C362,'TL02'!$J$10:$J$224),0),
IF('TL02'!$B$229=P$3,SUMIF('TL02'!$C$238:$C$451,$C362,'TL02'!$J$238:$J$451),0),
IF('TL03'!$B$3=P$3,SUMIF('TL03'!$C$10:$C$224,$C362,'TL03'!$J$10:$J$224),0),
IF('TL03'!$B$229=P$3,SUMIF('TL03'!$C$238:$C$451,$C362,'TL03'!$J$238:$J$451),0),
IF('TL04'!$B$3=P$3,SUMIF('TL04'!$C$10:$C$224,$C362,'TL04'!$J$10:$J$224),0),
IF('TL04'!$B$229=P$3,SUMIF('TL04'!$C$238:$C$451,$C362,'TL04'!$J$238:$J$451),0),
IF('TL05'!$B$3=P$3,SUMIF('TL05'!$C$10:$C$224,$C362,'TL05'!$J$10:$J$224),0),
IF('TL05'!$B$229=P$3,SUMIF('TL05'!$C$238:$C$451,$C362,'TL05'!$J$238:$J$451),0),
IF('TL06'!$B$3=P$3,SUMIF('TL06'!$C$10:$C$224,$C362,'TL06'!$J$10:$J$224),0),
IF('TL06'!$B$229=P$3,SUMIF('TL06'!$C$238:$C$451,$C362,'TL06'!$J$238:$J$451),0),
IF('TL07'!$B$3=P$3,SUMIF('TL07'!$C$10:$C$224,$C362,'TL07'!$J$10:$J$224),0),
IF('TL07'!$B$229=P$3,SUMIF('TL07'!$C$238:$C$451,$C362,'TL07'!$J$238:$J$451),0),
IF('TL08'!$B$3=P$3,SUMIF('TL08'!$C$10:$C$224,$C362,'TL08'!$J$10:$J$224),0),
IF('TL08'!$B$229=P$3,SUMIF('TL08'!$C$238:$C$451,$C362,'TL08'!$J$238:$J$451),0),
IF('TL09'!$B$3=P$3,SUMIF('TL09'!$C$10:$C$224,$C362,'TL09'!$J$10:$J$224),0),
IF('TL09'!$B$229=P$3,SUMIF('TL09'!$C$238:$C$451,$C362,'TL09'!$J$238:$J$451),0),
IF('TL10'!$B$3=P$3,SUMIF('TL10'!$C$10:$C$224,$C362,'TL10'!$J$10:$J$224),0),
IF('TL10'!$B$229=P$3,SUMIF('TL10'!$C$238:$C$451,$C362,'TL10'!$J$238:$J$451),0),
IF('TL11'!$B$3=P$3,SUMIF('TL11'!$C$10:$C$224,$C362,'TL11'!$J$10:$J$224),0),
IF('TL11'!$B$229=P$3,SUMIF('TL11'!$C$238:$C$451,$C362,'TL11'!$J$238:$J$451),0),
IF('TL12'!$B$3=P$3,SUMIF('TL12'!$C$10:$C$224,$C362,'TL12'!$J$10:$J$224),0),
IF('TL12'!$B$229=P$3,SUMIF('TL12'!$C$238:$C$451,$C362,'TL12'!$J$238:$J$451),0),
IF('TL13'!$B$3=P$3,SUMIF('TL13'!$C$10:$C$224,$C362,'TL13'!$J$10:$J$224),0),
IF('TL13'!$B$229=P$3,SUMIF('TL13'!$C$238:$C$451,$C362,'TL13'!$J$238:$J$451),0),
IF('TL14'!$B$3=P$3,SUMIF('TL14'!$C$10:$C$224,$C362,'TL14'!$J$10:$J$224),0),
IF('TL14'!$B$229=P$3,SUMIF('TL14'!$C$238:$C$451,$C362,'TL14'!$J$238:$J$451),0),
IF('TL15'!$B$3=P$3,SUMIF('TL15'!$C$10:$C$224,$C362,'TL15'!$J$10:$J$224),0),
IF('TL15'!$B$229=P$3,SUMIF('TL15'!$C$238:$C$451,$C362,'TL15'!$J$238:$J$451),0),
IF('TL16'!$B$3=P$3,SUMIF('TL16'!$C$10:$C$224,$C362,'TL16'!$J$10:$J$224),0),
IF('TL16'!$B$229=P$3,SUMIF('TL16'!$C$238:$C$451,$C362,'TL16'!$J$238:$J$451),0),
IF('TL17'!$B$3=P$3,SUMIF('TL17'!$C$10:$C$224,$C362,'TL17'!$J$10:$J$224),0),
IF('TL17'!$B$229=P$3,SUMIF('TL17'!$C$238:$C$451,$C362,'TL17'!$J$238:$J$451),0),
IF('TL18'!$B$3=P$3,SUMIF('TL18'!$C$10:$C$224,$C362,'TL18'!$J$10:$J$224),0),
IF('TL18'!$B$229=P$3,SUMIF('TL18'!$C$238:$C$451,$C362,'TL18'!$J$238:$J$451),0),
IF('TL19'!$B$3=P$3,SUMIF('TL19'!$C$10:$C$224,$C362,'TL19'!$J$10:$J$224),0),
IF('TL19'!$B$229=P$3,SUMIF('TL19'!$C$238:$C$451,$C362,'TL19'!$J$238:$J$451),0)
),0)</f>
        <v>0</v>
      </c>
      <c r="Q362" s="9">
        <f>IFERROR(SUM(
IF('TL01'!$B$3=Q$3,SUMIF('TL01'!$C$10:$C$224,$C362,'TL01'!$J$10:$J$224),0),
IF('TL01'!$B$229=Q$3,SUMIF('TL01'!$C$238:$C$451,$C362,'TL01'!$J$238:$J$451),0),
IF('TL02'!$B$3=Q$3,SUMIF('TL02'!$C$10:$C$224,$C362,'TL02'!$J$10:$J$224),0),
IF('TL02'!$B$229=Q$3,SUMIF('TL02'!$C$238:$C$451,$C362,'TL02'!$J$238:$J$451),0),
IF('TL03'!$B$3=Q$3,SUMIF('TL03'!$C$10:$C$224,$C362,'TL03'!$J$10:$J$224),0),
IF('TL03'!$B$229=Q$3,SUMIF('TL03'!$C$238:$C$451,$C362,'TL03'!$J$238:$J$451),0),
IF('TL04'!$B$3=Q$3,SUMIF('TL04'!$C$10:$C$224,$C362,'TL04'!$J$10:$J$224),0),
IF('TL04'!$B$229=Q$3,SUMIF('TL04'!$C$238:$C$451,$C362,'TL04'!$J$238:$J$451),0),
IF('TL05'!$B$3=Q$3,SUMIF('TL05'!$C$10:$C$224,$C362,'TL05'!$J$10:$J$224),0),
IF('TL05'!$B$229=Q$3,SUMIF('TL05'!$C$238:$C$451,$C362,'TL05'!$J$238:$J$451),0),
IF('TL06'!$B$3=Q$3,SUMIF('TL06'!$C$10:$C$224,$C362,'TL06'!$J$10:$J$224),0),
IF('TL06'!$B$229=Q$3,SUMIF('TL06'!$C$238:$C$451,$C362,'TL06'!$J$238:$J$451),0),
IF('TL07'!$B$3=Q$3,SUMIF('TL07'!$C$10:$C$224,$C362,'TL07'!$J$10:$J$224),0),
IF('TL07'!$B$229=Q$3,SUMIF('TL07'!$C$238:$C$451,$C362,'TL07'!$J$238:$J$451),0),
IF('TL08'!$B$3=Q$3,SUMIF('TL08'!$C$10:$C$224,$C362,'TL08'!$J$10:$J$224),0),
IF('TL08'!$B$229=Q$3,SUMIF('TL08'!$C$238:$C$451,$C362,'TL08'!$J$238:$J$451),0),
IF('TL09'!$B$3=Q$3,SUMIF('TL09'!$C$10:$C$224,$C362,'TL09'!$J$10:$J$224),0),
IF('TL09'!$B$229=Q$3,SUMIF('TL09'!$C$238:$C$451,$C362,'TL09'!$J$238:$J$451),0),
IF('TL10'!$B$3=Q$3,SUMIF('TL10'!$C$10:$C$224,$C362,'TL10'!$J$10:$J$224),0),
IF('TL10'!$B$229=Q$3,SUMIF('TL10'!$C$238:$C$451,$C362,'TL10'!$J$238:$J$451),0),
IF('TL11'!$B$3=Q$3,SUMIF('TL11'!$C$10:$C$224,$C362,'TL11'!$J$10:$J$224),0),
IF('TL11'!$B$229=Q$3,SUMIF('TL11'!$C$238:$C$451,$C362,'TL11'!$J$238:$J$451),0),
IF('TL12'!$B$3=Q$3,SUMIF('TL12'!$C$10:$C$224,$C362,'TL12'!$J$10:$J$224),0),
IF('TL12'!$B$229=Q$3,SUMIF('TL12'!$C$238:$C$451,$C362,'TL12'!$J$238:$J$451),0),
IF('TL13'!$B$3=Q$3,SUMIF('TL13'!$C$10:$C$224,$C362,'TL13'!$J$10:$J$224),0),
IF('TL13'!$B$229=Q$3,SUMIF('TL13'!$C$238:$C$451,$C362,'TL13'!$J$238:$J$451),0),
IF('TL14'!$B$3=Q$3,SUMIF('TL14'!$C$10:$C$224,$C362,'TL14'!$J$10:$J$224),0),
IF('TL14'!$B$229=Q$3,SUMIF('TL14'!$C$238:$C$451,$C362,'TL14'!$J$238:$J$451),0),
IF('TL15'!$B$3=Q$3,SUMIF('TL15'!$C$10:$C$224,$C362,'TL15'!$J$10:$J$224),0),
IF('TL15'!$B$229=Q$3,SUMIF('TL15'!$C$238:$C$451,$C362,'TL15'!$J$238:$J$451),0),
IF('TL16'!$B$3=Q$3,SUMIF('TL16'!$C$10:$C$224,$C362,'TL16'!$J$10:$J$224),0),
IF('TL16'!$B$229=Q$3,SUMIF('TL16'!$C$238:$C$451,$C362,'TL16'!$J$238:$J$451),0),
IF('TL17'!$B$3=Q$3,SUMIF('TL17'!$C$10:$C$224,$C362,'TL17'!$J$10:$J$224),0),
IF('TL17'!$B$229=Q$3,SUMIF('TL17'!$C$238:$C$451,$C362,'TL17'!$J$238:$J$451),0),
IF('TL18'!$B$3=Q$3,SUMIF('TL18'!$C$10:$C$224,$C362,'TL18'!$J$10:$J$224),0),
IF('TL18'!$B$229=Q$3,SUMIF('TL18'!$C$238:$C$451,$C362,'TL18'!$J$238:$J$451),0),
IF('TL19'!$B$3=Q$3,SUMIF('TL19'!$C$10:$C$224,$C362,'TL19'!$J$10:$J$224),0),
IF('TL19'!$B$229=Q$3,SUMIF('TL19'!$C$238:$C$451,$C362,'TL19'!$J$238:$J$451),0)
),0)</f>
        <v>0</v>
      </c>
      <c r="R362" s="9">
        <f>IFERROR(
SUM(
SUMIF('TL01'!C:C,C362,'TL01'!J:J),
SUMIF('TL02'!C:C,C362,'TL02'!J:J),
SUMIF('TL03'!C:C,C362,'TL03'!J:J),
SUMIF('TL04'!C:C,C362,'TL04'!J:J),
SUMIF('TL05'!C:C,C362,'TL05'!J:J),
SUMIF('TL06'!C:C,C362,'TL06'!J:J),
SUMIF('TL07'!C:C,C362,'TL07'!J:J),
SUMIF('TL08'!C:C,C362,'TL08'!J:J),
SUMIF('TL09'!C:C,C362,'TL09'!J:J),
SUMIF('TL10'!C:C,C362,'TL10'!J:J),
SUMIF('TL11'!C:C,C362,'TL11'!J:J),
SUMIF('TL12'!C:C,C362,'TL12'!J:J),
SUMIF('TL13'!C:C,C362,'TL13'!J:J),
SUMIF('TL14'!C:C,C362,'TL14'!J:J),
SUMIF('TL15'!C:C,C362,'TL15'!J:J),
SUMIF('TL16'!C:C,C362,'TL16'!J:J),
SUMIF('TL17'!C:C,C362,'TL17'!J:J),
SUMIF('TL18'!C:C,C362,'TL18'!J:J),SUMIF('TL19'!C:C,C362,'TL19'!J:J))
,0)</f>
        <v>0</v>
      </c>
      <c r="S362" s="17">
        <f>IFERROR(__xludf.DUMMYFUNCTION("IFERROR(VLOOKUP(C362,
IMPORTRANGE(""1wULbzX32WdYsx-lj2U3uUNBBe2INVIRDtcK0d-Dvl90"",
""26-27!C:G""),
5,
FALSE),
"""")"),55.13)</f>
        <v>55.13</v>
      </c>
      <c r="T362" s="9"/>
      <c r="U362" s="92">
        <f t="shared" si="2"/>
        <v>0</v>
      </c>
      <c r="V362" s="93">
        <f t="shared" si="3"/>
        <v>0</v>
      </c>
    </row>
    <row r="363" ht="15.75" hidden="1" customHeight="1">
      <c r="A363" s="4" t="s">
        <v>1071</v>
      </c>
      <c r="B363" s="4" t="s">
        <v>4</v>
      </c>
      <c r="C363" s="128" t="s">
        <v>1098</v>
      </c>
      <c r="D363" s="129" t="s">
        <v>1099</v>
      </c>
      <c r="E363" s="6"/>
      <c r="F363" s="4" t="s">
        <v>343</v>
      </c>
      <c r="G363" s="90" t="str">
        <f t="shared" si="5"/>
        <v>📄 Ver bula</v>
      </c>
      <c r="H363" s="4">
        <v>2.0</v>
      </c>
      <c r="I363" s="123" t="s">
        <v>344</v>
      </c>
      <c r="J363" s="9">
        <f>IFERROR(SUM(
IF('TL01'!$B$3=J$3,SUMIF('TL01'!$C$10:$C$224,$C363,'TL01'!$J$10:$J$224),0),
IF('TL01'!$B$229=J$3,SUMIF('TL01'!$C$238:$C$451,$C363,'TL01'!$J$238:$J$451),0),
IF('TL02'!$B$3=J$3,SUMIF('TL02'!$C$10:$C$224,$C363,'TL02'!$J$10:$J$224),0),
IF('TL02'!$B$229=J$3,SUMIF('TL02'!$C$238:$C$451,$C363,'TL02'!$J$238:$J$451),0),
IF('TL03'!$B$3=J$3,SUMIF('TL03'!$C$10:$C$224,$C363,'TL03'!$J$10:$J$224),0),
IF('TL03'!$B$229=J$3,SUMIF('TL03'!$C$238:$C$451,$C363,'TL03'!$J$238:$J$451),0),
IF('TL04'!$B$3=J$3,SUMIF('TL04'!$C$10:$C$224,$C363,'TL04'!$J$10:$J$224),0),
IF('TL04'!$B$229=J$3,SUMIF('TL04'!$C$238:$C$451,$C363,'TL04'!$J$238:$J$451),0),
IF('TL05'!$B$3=J$3,SUMIF('TL05'!$C$10:$C$224,$C363,'TL05'!$J$10:$J$224),0),
IF('TL05'!$B$229=J$3,SUMIF('TL05'!$C$238:$C$451,$C363,'TL05'!$J$238:$J$451),0),
IF('TL06'!$B$3=J$3,SUMIF('TL06'!$C$10:$C$224,$C363,'TL06'!$J$10:$J$224),0),
IF('TL06'!$B$229=J$3,SUMIF('TL06'!$C$238:$C$451,$C363,'TL06'!$J$238:$J$451),0),
IF('TL07'!$B$3=J$3,SUMIF('TL07'!$C$10:$C$224,$C363,'TL07'!$J$10:$J$224),0),
IF('TL07'!$B$229=J$3,SUMIF('TL07'!$C$238:$C$451,$C363,'TL07'!$J$238:$J$451),0),
IF('TL08'!$B$3=J$3,SUMIF('TL08'!$C$10:$C$224,$C363,'TL08'!$J$10:$J$224),0),
IF('TL08'!$B$229=J$3,SUMIF('TL08'!$C$238:$C$451,$C363,'TL08'!$J$238:$J$451),0),
IF('TL09'!$B$3=J$3,SUMIF('TL09'!$C$10:$C$224,$C363,'TL09'!$J$10:$J$224),0),
IF('TL09'!$B$229=J$3,SUMIF('TL09'!$C$238:$C$451,$C363,'TL09'!$J$238:$J$451),0),
IF('TL10'!$B$3=J$3,SUMIF('TL10'!$C$10:$C$224,$C363,'TL10'!$J$10:$J$224),0),
IF('TL10'!$B$229=J$3,SUMIF('TL10'!$C$238:$C$451,$C363,'TL10'!$J$238:$J$451),0),
IF('TL11'!$B$3=J$3,SUMIF('TL11'!$C$10:$C$224,$C363,'TL11'!$J$10:$J$224),0),
IF('TL11'!$B$229=J$3,SUMIF('TL11'!$C$238:$C$451,$C363,'TL11'!$J$238:$J$451),0),
IF('TL12'!$B$3=J$3,SUMIF('TL12'!$C$10:$C$224,$C363,'TL12'!$J$10:$J$224),0),
IF('TL12'!$B$229=J$3,SUMIF('TL12'!$C$238:$C$451,$C363,'TL12'!$J$238:$J$451),0),
IF('TL13'!$B$3=J$3,SUMIF('TL13'!$C$10:$C$224,$C363,'TL13'!$J$10:$J$224),0),
IF('TL13'!$B$229=J$3,SUMIF('TL13'!$C$238:$C$451,$C363,'TL13'!$J$238:$J$451),0),
IF('TL14'!$B$3=J$3,SUMIF('TL14'!$C$10:$C$224,$C363,'TL14'!$J$10:$J$224),0),
IF('TL14'!$B$229=J$3,SUMIF('TL14'!$C$238:$C$451,$C363,'TL14'!$J$238:$J$451),0),
IF('TL15'!$B$3=J$3,SUMIF('TL15'!$C$10:$C$224,$C363,'TL15'!$J$10:$J$224),0),
IF('TL15'!$B$229=J$3,SUMIF('TL15'!$C$238:$C$451,$C363,'TL15'!$J$238:$J$451),0),
IF('TL16'!$B$3=J$3,SUMIF('TL16'!$C$10:$C$224,$C363,'TL16'!$J$10:$J$224),0),
IF('TL16'!$B$229=J$3,SUMIF('TL16'!$C$238:$C$451,$C363,'TL16'!$J$238:$J$451),0),
IF('TL17'!$B$3=J$3,SUMIF('TL17'!$C$10:$C$224,$C363,'TL17'!$J$10:$J$224),0),
IF('TL17'!$B$229=J$3,SUMIF('TL17'!$C$238:$C$451,$C363,'TL17'!$J$238:$J$451),0),
IF('TL18'!$B$3=J$3,SUMIF('TL18'!$C$10:$C$224,$C363,'TL18'!$J$10:$J$224),0),
IF('TL18'!$B$229=J$3,SUMIF('TL18'!$C$238:$C$451,$C363,'TL18'!$J$238:$J$451),0),
IF('TL19'!$B$3=J$3,SUMIF('TL19'!$C$10:$C$224,$C363,'TL19'!$J$10:$J$224),0),
IF('TL19'!$B$229=J$3,SUMIF('TL19'!$C$238:$C$451,$C363,'TL19'!$J$238:$J$451),0)
),0)</f>
        <v>0</v>
      </c>
      <c r="K363" s="9">
        <f>IFERROR(SUM(
IF('TL01'!$B$3=K$3,SUMIF('TL01'!$C$10:$C$224,$C363,'TL01'!$J$10:$J$224),0),
IF('TL01'!$B$229=K$3,SUMIF('TL01'!$C$238:$C$451,$C363,'TL01'!$J$238:$J$451),0),
IF('TL02'!$B$3=K$3,SUMIF('TL02'!$C$10:$C$224,$C363,'TL02'!$J$10:$J$224),0),
IF('TL02'!$B$229=K$3,SUMIF('TL02'!$C$238:$C$451,$C363,'TL02'!$J$238:$J$451),0),
IF('TL03'!$B$3=K$3,SUMIF('TL03'!$C$10:$C$224,$C363,'TL03'!$J$10:$J$224),0),
IF('TL03'!$B$229=K$3,SUMIF('TL03'!$C$238:$C$451,$C363,'TL03'!$J$238:$J$451),0),
IF('TL04'!$B$3=K$3,SUMIF('TL04'!$C$10:$C$224,$C363,'TL04'!$J$10:$J$224),0),
IF('TL04'!$B$229=K$3,SUMIF('TL04'!$C$238:$C$451,$C363,'TL04'!$J$238:$J$451),0),
IF('TL05'!$B$3=K$3,SUMIF('TL05'!$C$10:$C$224,$C363,'TL05'!$J$10:$J$224),0),
IF('TL05'!$B$229=K$3,SUMIF('TL05'!$C$238:$C$451,$C363,'TL05'!$J$238:$J$451),0),
IF('TL06'!$B$3=K$3,SUMIF('TL06'!$C$10:$C$224,$C363,'TL06'!$J$10:$J$224),0),
IF('TL06'!$B$229=K$3,SUMIF('TL06'!$C$238:$C$451,$C363,'TL06'!$J$238:$J$451),0),
IF('TL07'!$B$3=K$3,SUMIF('TL07'!$C$10:$C$224,$C363,'TL07'!$J$10:$J$224),0),
IF('TL07'!$B$229=K$3,SUMIF('TL07'!$C$238:$C$451,$C363,'TL07'!$J$238:$J$451),0),
IF('TL08'!$B$3=K$3,SUMIF('TL08'!$C$10:$C$224,$C363,'TL08'!$J$10:$J$224),0),
IF('TL08'!$B$229=K$3,SUMIF('TL08'!$C$238:$C$451,$C363,'TL08'!$J$238:$J$451),0),
IF('TL09'!$B$3=K$3,SUMIF('TL09'!$C$10:$C$224,$C363,'TL09'!$J$10:$J$224),0),
IF('TL09'!$B$229=K$3,SUMIF('TL09'!$C$238:$C$451,$C363,'TL09'!$J$238:$J$451),0),
IF('TL10'!$B$3=K$3,SUMIF('TL10'!$C$10:$C$224,$C363,'TL10'!$J$10:$J$224),0),
IF('TL10'!$B$229=K$3,SUMIF('TL10'!$C$238:$C$451,$C363,'TL10'!$J$238:$J$451),0),
IF('TL11'!$B$3=K$3,SUMIF('TL11'!$C$10:$C$224,$C363,'TL11'!$J$10:$J$224),0),
IF('TL11'!$B$229=K$3,SUMIF('TL11'!$C$238:$C$451,$C363,'TL11'!$J$238:$J$451),0),
IF('TL12'!$B$3=K$3,SUMIF('TL12'!$C$10:$C$224,$C363,'TL12'!$J$10:$J$224),0),
IF('TL12'!$B$229=K$3,SUMIF('TL12'!$C$238:$C$451,$C363,'TL12'!$J$238:$J$451),0),
IF('TL13'!$B$3=K$3,SUMIF('TL13'!$C$10:$C$224,$C363,'TL13'!$J$10:$J$224),0),
IF('TL13'!$B$229=K$3,SUMIF('TL13'!$C$238:$C$451,$C363,'TL13'!$J$238:$J$451),0),
IF('TL14'!$B$3=K$3,SUMIF('TL14'!$C$10:$C$224,$C363,'TL14'!$J$10:$J$224),0),
IF('TL14'!$B$229=K$3,SUMIF('TL14'!$C$238:$C$451,$C363,'TL14'!$J$238:$J$451),0),
IF('TL15'!$B$3=K$3,SUMIF('TL15'!$C$10:$C$224,$C363,'TL15'!$J$10:$J$224),0),
IF('TL15'!$B$229=K$3,SUMIF('TL15'!$C$238:$C$451,$C363,'TL15'!$J$238:$J$451),0),
IF('TL16'!$B$3=K$3,SUMIF('TL16'!$C$10:$C$224,$C363,'TL16'!$J$10:$J$224),0),
IF('TL16'!$B$229=K$3,SUMIF('TL16'!$C$238:$C$451,$C363,'TL16'!$J$238:$J$451),0),
IF('TL17'!$B$3=K$3,SUMIF('TL17'!$C$10:$C$224,$C363,'TL17'!$J$10:$J$224),0),
IF('TL17'!$B$229=K$3,SUMIF('TL17'!$C$238:$C$451,$C363,'TL17'!$J$238:$J$451),0),
IF('TL18'!$B$3=K$3,SUMIF('TL18'!$C$10:$C$224,$C363,'TL18'!$J$10:$J$224),0),
IF('TL18'!$B$229=K$3,SUMIF('TL18'!$C$238:$C$451,$C363,'TL18'!$J$238:$J$451),0),
IF('TL19'!$B$3=K$3,SUMIF('TL19'!$C$10:$C$224,$C363,'TL19'!$J$10:$J$224),0),
IF('TL19'!$B$229=K$3,SUMIF('TL19'!$C$238:$C$451,$C363,'TL19'!$J$238:$J$451),0)
),0)</f>
        <v>0</v>
      </c>
      <c r="L363" s="9">
        <f>IFERROR(SUM(
IF('TL01'!$B$3=L$3,SUMIF('TL01'!$C$10:$C$224,$C363,'TL01'!$J$10:$J$224),0),
IF('TL01'!$B$229=L$3,SUMIF('TL01'!$C$238:$C$451,$C363,'TL01'!$J$238:$J$451),0),
IF('TL02'!$B$3=L$3,SUMIF('TL02'!$C$10:$C$224,$C363,'TL02'!$J$10:$J$224),0),
IF('TL02'!$B$229=L$3,SUMIF('TL02'!$C$238:$C$451,$C363,'TL02'!$J$238:$J$451),0),
IF('TL03'!$B$3=L$3,SUMIF('TL03'!$C$10:$C$224,$C363,'TL03'!$J$10:$J$224),0),
IF('TL03'!$B$229=L$3,SUMIF('TL03'!$C$238:$C$451,$C363,'TL03'!$J$238:$J$451),0),
IF('TL04'!$B$3=L$3,SUMIF('TL04'!$C$10:$C$224,$C363,'TL04'!$J$10:$J$224),0),
IF('TL04'!$B$229=L$3,SUMIF('TL04'!$C$238:$C$451,$C363,'TL04'!$J$238:$J$451),0),
IF('TL05'!$B$3=L$3,SUMIF('TL05'!$C$10:$C$224,$C363,'TL05'!$J$10:$J$224),0),
IF('TL05'!$B$229=L$3,SUMIF('TL05'!$C$238:$C$451,$C363,'TL05'!$J$238:$J$451),0),
IF('TL06'!$B$3=L$3,SUMIF('TL06'!$C$10:$C$224,$C363,'TL06'!$J$10:$J$224),0),
IF('TL06'!$B$229=L$3,SUMIF('TL06'!$C$238:$C$451,$C363,'TL06'!$J$238:$J$451),0),
IF('TL07'!$B$3=L$3,SUMIF('TL07'!$C$10:$C$224,$C363,'TL07'!$J$10:$J$224),0),
IF('TL07'!$B$229=L$3,SUMIF('TL07'!$C$238:$C$451,$C363,'TL07'!$J$238:$J$451),0),
IF('TL08'!$B$3=L$3,SUMIF('TL08'!$C$10:$C$224,$C363,'TL08'!$J$10:$J$224),0),
IF('TL08'!$B$229=L$3,SUMIF('TL08'!$C$238:$C$451,$C363,'TL08'!$J$238:$J$451),0),
IF('TL09'!$B$3=L$3,SUMIF('TL09'!$C$10:$C$224,$C363,'TL09'!$J$10:$J$224),0),
IF('TL09'!$B$229=L$3,SUMIF('TL09'!$C$238:$C$451,$C363,'TL09'!$J$238:$J$451),0),
IF('TL10'!$B$3=L$3,SUMIF('TL10'!$C$10:$C$224,$C363,'TL10'!$J$10:$J$224),0),
IF('TL10'!$B$229=L$3,SUMIF('TL10'!$C$238:$C$451,$C363,'TL10'!$J$238:$J$451),0),
IF('TL11'!$B$3=L$3,SUMIF('TL11'!$C$10:$C$224,$C363,'TL11'!$J$10:$J$224),0),
IF('TL11'!$B$229=L$3,SUMIF('TL11'!$C$238:$C$451,$C363,'TL11'!$J$238:$J$451),0),
IF('TL12'!$B$3=L$3,SUMIF('TL12'!$C$10:$C$224,$C363,'TL12'!$J$10:$J$224),0),
IF('TL12'!$B$229=L$3,SUMIF('TL12'!$C$238:$C$451,$C363,'TL12'!$J$238:$J$451),0),
IF('TL13'!$B$3=L$3,SUMIF('TL13'!$C$10:$C$224,$C363,'TL13'!$J$10:$J$224),0),
IF('TL13'!$B$229=L$3,SUMIF('TL13'!$C$238:$C$451,$C363,'TL13'!$J$238:$J$451),0),
IF('TL14'!$B$3=L$3,SUMIF('TL14'!$C$10:$C$224,$C363,'TL14'!$J$10:$J$224),0),
IF('TL14'!$B$229=L$3,SUMIF('TL14'!$C$238:$C$451,$C363,'TL14'!$J$238:$J$451),0),
IF('TL15'!$B$3=L$3,SUMIF('TL15'!$C$10:$C$224,$C363,'TL15'!$J$10:$J$224),0),
IF('TL15'!$B$229=L$3,SUMIF('TL15'!$C$238:$C$451,$C363,'TL15'!$J$238:$J$451),0),
IF('TL16'!$B$3=L$3,SUMIF('TL16'!$C$10:$C$224,$C363,'TL16'!$J$10:$J$224),0),
IF('TL16'!$B$229=L$3,SUMIF('TL16'!$C$238:$C$451,$C363,'TL16'!$J$238:$J$451),0),
IF('TL17'!$B$3=L$3,SUMIF('TL17'!$C$10:$C$224,$C363,'TL17'!$J$10:$J$224),0),
IF('TL17'!$B$229=L$3,SUMIF('TL17'!$C$238:$C$451,$C363,'TL17'!$J$238:$J$451),0),
IF('TL18'!$B$3=L$3,SUMIF('TL18'!$C$10:$C$224,$C363,'TL18'!$J$10:$J$224),0),
IF('TL18'!$B$229=L$3,SUMIF('TL18'!$C$238:$C$451,$C363,'TL18'!$J$238:$J$451),0),
IF('TL19'!$B$3=L$3,SUMIF('TL19'!$C$10:$C$224,$C363,'TL19'!$J$10:$J$224),0),
IF('TL19'!$B$229=L$3,SUMIF('TL19'!$C$238:$C$451,$C363,'TL19'!$J$238:$J$451),0)
),0)</f>
        <v>0</v>
      </c>
      <c r="M363" s="9">
        <f>IFERROR(SUM(
IF('TL01'!$B$3=M$3,SUMIF('TL01'!$C$10:$C$224,$C363,'TL01'!$J$10:$J$224),0),
IF('TL01'!$B$229=M$3,SUMIF('TL01'!$C$238:$C$451,$C363,'TL01'!$J$238:$J$451),0),
IF('TL02'!$B$3=M$3,SUMIF('TL02'!$C$10:$C$224,$C363,'TL02'!$J$10:$J$224),0),
IF('TL02'!$B$229=M$3,SUMIF('TL02'!$C$238:$C$451,$C363,'TL02'!$J$238:$J$451),0),
IF('TL03'!$B$3=M$3,SUMIF('TL03'!$C$10:$C$224,$C363,'TL03'!$J$10:$J$224),0),
IF('TL03'!$B$229=M$3,SUMIF('TL03'!$C$238:$C$451,$C363,'TL03'!$J$238:$J$451),0),
IF('TL04'!$B$3=M$3,SUMIF('TL04'!$C$10:$C$224,$C363,'TL04'!$J$10:$J$224),0),
IF('TL04'!$B$229=M$3,SUMIF('TL04'!$C$238:$C$451,$C363,'TL04'!$J$238:$J$451),0),
IF('TL05'!$B$3=M$3,SUMIF('TL05'!$C$10:$C$224,$C363,'TL05'!$J$10:$J$224),0),
IF('TL05'!$B$229=M$3,SUMIF('TL05'!$C$238:$C$451,$C363,'TL05'!$J$238:$J$451),0),
IF('TL06'!$B$3=M$3,SUMIF('TL06'!$C$10:$C$224,$C363,'TL06'!$J$10:$J$224),0),
IF('TL06'!$B$229=M$3,SUMIF('TL06'!$C$238:$C$451,$C363,'TL06'!$J$238:$J$451),0),
IF('TL07'!$B$3=M$3,SUMIF('TL07'!$C$10:$C$224,$C363,'TL07'!$J$10:$J$224),0),
IF('TL07'!$B$229=M$3,SUMIF('TL07'!$C$238:$C$451,$C363,'TL07'!$J$238:$J$451),0),
IF('TL08'!$B$3=M$3,SUMIF('TL08'!$C$10:$C$224,$C363,'TL08'!$J$10:$J$224),0),
IF('TL08'!$B$229=M$3,SUMIF('TL08'!$C$238:$C$451,$C363,'TL08'!$J$238:$J$451),0),
IF('TL09'!$B$3=M$3,SUMIF('TL09'!$C$10:$C$224,$C363,'TL09'!$J$10:$J$224),0),
IF('TL09'!$B$229=M$3,SUMIF('TL09'!$C$238:$C$451,$C363,'TL09'!$J$238:$J$451),0),
IF('TL10'!$B$3=M$3,SUMIF('TL10'!$C$10:$C$224,$C363,'TL10'!$J$10:$J$224),0),
IF('TL10'!$B$229=M$3,SUMIF('TL10'!$C$238:$C$451,$C363,'TL10'!$J$238:$J$451),0),
IF('TL11'!$B$3=M$3,SUMIF('TL11'!$C$10:$C$224,$C363,'TL11'!$J$10:$J$224),0),
IF('TL11'!$B$229=M$3,SUMIF('TL11'!$C$238:$C$451,$C363,'TL11'!$J$238:$J$451),0),
IF('TL12'!$B$3=M$3,SUMIF('TL12'!$C$10:$C$224,$C363,'TL12'!$J$10:$J$224),0),
IF('TL12'!$B$229=M$3,SUMIF('TL12'!$C$238:$C$451,$C363,'TL12'!$J$238:$J$451),0),
IF('TL13'!$B$3=M$3,SUMIF('TL13'!$C$10:$C$224,$C363,'TL13'!$J$10:$J$224),0),
IF('TL13'!$B$229=M$3,SUMIF('TL13'!$C$238:$C$451,$C363,'TL13'!$J$238:$J$451),0),
IF('TL14'!$B$3=M$3,SUMIF('TL14'!$C$10:$C$224,$C363,'TL14'!$J$10:$J$224),0),
IF('TL14'!$B$229=M$3,SUMIF('TL14'!$C$238:$C$451,$C363,'TL14'!$J$238:$J$451),0),
IF('TL15'!$B$3=M$3,SUMIF('TL15'!$C$10:$C$224,$C363,'TL15'!$J$10:$J$224),0),
IF('TL15'!$B$229=M$3,SUMIF('TL15'!$C$238:$C$451,$C363,'TL15'!$J$238:$J$451),0),
IF('TL16'!$B$3=M$3,SUMIF('TL16'!$C$10:$C$224,$C363,'TL16'!$J$10:$J$224),0),
IF('TL16'!$B$229=M$3,SUMIF('TL16'!$C$238:$C$451,$C363,'TL16'!$J$238:$J$451),0),
IF('TL17'!$B$3=M$3,SUMIF('TL17'!$C$10:$C$224,$C363,'TL17'!$J$10:$J$224),0),
IF('TL17'!$B$229=M$3,SUMIF('TL17'!$C$238:$C$451,$C363,'TL17'!$J$238:$J$451),0),
IF('TL18'!$B$3=M$3,SUMIF('TL18'!$C$10:$C$224,$C363,'TL18'!$J$10:$J$224),0),
IF('TL18'!$B$229=M$3,SUMIF('TL18'!$C$238:$C$451,$C363,'TL18'!$J$238:$J$451),0),
IF('TL19'!$B$3=M$3,SUMIF('TL19'!$C$10:$C$224,$C363,'TL19'!$J$10:$J$224),0),
IF('TL19'!$B$229=M$3,SUMIF('TL19'!$C$238:$C$451,$C363,'TL19'!$J$238:$J$451),0)
),0)</f>
        <v>0</v>
      </c>
      <c r="N363" s="9">
        <f>IFERROR(SUM(
IF('TL01'!$B$3=N$3,SUMIF('TL01'!$C$10:$C$224,$C363,'TL01'!$J$10:$J$224),0),
IF('TL01'!$B$229=N$3,SUMIF('TL01'!$C$238:$C$451,$C363,'TL01'!$J$238:$J$451),0),
IF('TL02'!$B$3=N$3,SUMIF('TL02'!$C$10:$C$224,$C363,'TL02'!$J$10:$J$224),0),
IF('TL02'!$B$229=N$3,SUMIF('TL02'!$C$238:$C$451,$C363,'TL02'!$J$238:$J$451),0),
IF('TL03'!$B$3=N$3,SUMIF('TL03'!$C$10:$C$224,$C363,'TL03'!$J$10:$J$224),0),
IF('TL03'!$B$229=N$3,SUMIF('TL03'!$C$238:$C$451,$C363,'TL03'!$J$238:$J$451),0),
IF('TL04'!$B$3=N$3,SUMIF('TL04'!$C$10:$C$224,$C363,'TL04'!$J$10:$J$224),0),
IF('TL04'!$B$229=N$3,SUMIF('TL04'!$C$238:$C$451,$C363,'TL04'!$J$238:$J$451),0),
IF('TL05'!$B$3=N$3,SUMIF('TL05'!$C$10:$C$224,$C363,'TL05'!$J$10:$J$224),0),
IF('TL05'!$B$229=N$3,SUMIF('TL05'!$C$238:$C$451,$C363,'TL05'!$J$238:$J$451),0),
IF('TL06'!$B$3=N$3,SUMIF('TL06'!$C$10:$C$224,$C363,'TL06'!$J$10:$J$224),0),
IF('TL06'!$B$229=N$3,SUMIF('TL06'!$C$238:$C$451,$C363,'TL06'!$J$238:$J$451),0),
IF('TL07'!$B$3=N$3,SUMIF('TL07'!$C$10:$C$224,$C363,'TL07'!$J$10:$J$224),0),
IF('TL07'!$B$229=N$3,SUMIF('TL07'!$C$238:$C$451,$C363,'TL07'!$J$238:$J$451),0),
IF('TL08'!$B$3=N$3,SUMIF('TL08'!$C$10:$C$224,$C363,'TL08'!$J$10:$J$224),0),
IF('TL08'!$B$229=N$3,SUMIF('TL08'!$C$238:$C$451,$C363,'TL08'!$J$238:$J$451),0),
IF('TL09'!$B$3=N$3,SUMIF('TL09'!$C$10:$C$224,$C363,'TL09'!$J$10:$J$224),0),
IF('TL09'!$B$229=N$3,SUMIF('TL09'!$C$238:$C$451,$C363,'TL09'!$J$238:$J$451),0),
IF('TL10'!$B$3=N$3,SUMIF('TL10'!$C$10:$C$224,$C363,'TL10'!$J$10:$J$224),0),
IF('TL10'!$B$229=N$3,SUMIF('TL10'!$C$238:$C$451,$C363,'TL10'!$J$238:$J$451),0),
IF('TL11'!$B$3=N$3,SUMIF('TL11'!$C$10:$C$224,$C363,'TL11'!$J$10:$J$224),0),
IF('TL11'!$B$229=N$3,SUMIF('TL11'!$C$238:$C$451,$C363,'TL11'!$J$238:$J$451),0),
IF('TL12'!$B$3=N$3,SUMIF('TL12'!$C$10:$C$224,$C363,'TL12'!$J$10:$J$224),0),
IF('TL12'!$B$229=N$3,SUMIF('TL12'!$C$238:$C$451,$C363,'TL12'!$J$238:$J$451),0),
IF('TL13'!$B$3=N$3,SUMIF('TL13'!$C$10:$C$224,$C363,'TL13'!$J$10:$J$224),0),
IF('TL13'!$B$229=N$3,SUMIF('TL13'!$C$238:$C$451,$C363,'TL13'!$J$238:$J$451),0),
IF('TL14'!$B$3=N$3,SUMIF('TL14'!$C$10:$C$224,$C363,'TL14'!$J$10:$J$224),0),
IF('TL14'!$B$229=N$3,SUMIF('TL14'!$C$238:$C$451,$C363,'TL14'!$J$238:$J$451),0),
IF('TL15'!$B$3=N$3,SUMIF('TL15'!$C$10:$C$224,$C363,'TL15'!$J$10:$J$224),0),
IF('TL15'!$B$229=N$3,SUMIF('TL15'!$C$238:$C$451,$C363,'TL15'!$J$238:$J$451),0),
IF('TL16'!$B$3=N$3,SUMIF('TL16'!$C$10:$C$224,$C363,'TL16'!$J$10:$J$224),0),
IF('TL16'!$B$229=N$3,SUMIF('TL16'!$C$238:$C$451,$C363,'TL16'!$J$238:$J$451),0),
IF('TL17'!$B$3=N$3,SUMIF('TL17'!$C$10:$C$224,$C363,'TL17'!$J$10:$J$224),0),
IF('TL17'!$B$229=N$3,SUMIF('TL17'!$C$238:$C$451,$C363,'TL17'!$J$238:$J$451),0),
IF('TL18'!$B$3=N$3,SUMIF('TL18'!$C$10:$C$224,$C363,'TL18'!$J$10:$J$224),0),
IF('TL18'!$B$229=N$3,SUMIF('TL18'!$C$238:$C$451,$C363,'TL18'!$J$238:$J$451),0),
IF('TL19'!$B$3=N$3,SUMIF('TL19'!$C$10:$C$224,$C363,'TL19'!$J$10:$J$224),0),
IF('TL19'!$B$229=N$3,SUMIF('TL19'!$C$238:$C$451,$C363,'TL19'!$J$238:$J$451),0)
),0)</f>
        <v>0</v>
      </c>
      <c r="O363" s="9">
        <f>IFERROR(SUM(
IF('TL01'!$B$3=O$3,SUMIF('TL01'!$C$10:$C$224,$C363,'TL01'!$J$10:$J$224),0),
IF('TL01'!$B$229=O$3,SUMIF('TL01'!$C$238:$C$451,$C363,'TL01'!$J$238:$J$451),0),
IF('TL02'!$B$3=O$3,SUMIF('TL02'!$C$10:$C$224,$C363,'TL02'!$J$10:$J$224),0),
IF('TL02'!$B$229=O$3,SUMIF('TL02'!$C$238:$C$451,$C363,'TL02'!$J$238:$J$451),0),
IF('TL03'!$B$3=O$3,SUMIF('TL03'!$C$10:$C$224,$C363,'TL03'!$J$10:$J$224),0),
IF('TL03'!$B$229=O$3,SUMIF('TL03'!$C$238:$C$451,$C363,'TL03'!$J$238:$J$451),0),
IF('TL04'!$B$3=O$3,SUMIF('TL04'!$C$10:$C$224,$C363,'TL04'!$J$10:$J$224),0),
IF('TL04'!$B$229=O$3,SUMIF('TL04'!$C$238:$C$451,$C363,'TL04'!$J$238:$J$451),0),
IF('TL05'!$B$3=O$3,SUMIF('TL05'!$C$10:$C$224,$C363,'TL05'!$J$10:$J$224),0),
IF('TL05'!$B$229=O$3,SUMIF('TL05'!$C$238:$C$451,$C363,'TL05'!$J$238:$J$451),0),
IF('TL06'!$B$3=O$3,SUMIF('TL06'!$C$10:$C$224,$C363,'TL06'!$J$10:$J$224),0),
IF('TL06'!$B$229=O$3,SUMIF('TL06'!$C$238:$C$451,$C363,'TL06'!$J$238:$J$451),0),
IF('TL07'!$B$3=O$3,SUMIF('TL07'!$C$10:$C$224,$C363,'TL07'!$J$10:$J$224),0),
IF('TL07'!$B$229=O$3,SUMIF('TL07'!$C$238:$C$451,$C363,'TL07'!$J$238:$J$451),0),
IF('TL08'!$B$3=O$3,SUMIF('TL08'!$C$10:$C$224,$C363,'TL08'!$J$10:$J$224),0),
IF('TL08'!$B$229=O$3,SUMIF('TL08'!$C$238:$C$451,$C363,'TL08'!$J$238:$J$451),0),
IF('TL09'!$B$3=O$3,SUMIF('TL09'!$C$10:$C$224,$C363,'TL09'!$J$10:$J$224),0),
IF('TL09'!$B$229=O$3,SUMIF('TL09'!$C$238:$C$451,$C363,'TL09'!$J$238:$J$451),0),
IF('TL10'!$B$3=O$3,SUMIF('TL10'!$C$10:$C$224,$C363,'TL10'!$J$10:$J$224),0),
IF('TL10'!$B$229=O$3,SUMIF('TL10'!$C$238:$C$451,$C363,'TL10'!$J$238:$J$451),0),
IF('TL11'!$B$3=O$3,SUMIF('TL11'!$C$10:$C$224,$C363,'TL11'!$J$10:$J$224),0),
IF('TL11'!$B$229=O$3,SUMIF('TL11'!$C$238:$C$451,$C363,'TL11'!$J$238:$J$451),0),
IF('TL12'!$B$3=O$3,SUMIF('TL12'!$C$10:$C$224,$C363,'TL12'!$J$10:$J$224),0),
IF('TL12'!$B$229=O$3,SUMIF('TL12'!$C$238:$C$451,$C363,'TL12'!$J$238:$J$451),0),
IF('TL13'!$B$3=O$3,SUMIF('TL13'!$C$10:$C$224,$C363,'TL13'!$J$10:$J$224),0),
IF('TL13'!$B$229=O$3,SUMIF('TL13'!$C$238:$C$451,$C363,'TL13'!$J$238:$J$451),0),
IF('TL14'!$B$3=O$3,SUMIF('TL14'!$C$10:$C$224,$C363,'TL14'!$J$10:$J$224),0),
IF('TL14'!$B$229=O$3,SUMIF('TL14'!$C$238:$C$451,$C363,'TL14'!$J$238:$J$451),0),
IF('TL15'!$B$3=O$3,SUMIF('TL15'!$C$10:$C$224,$C363,'TL15'!$J$10:$J$224),0),
IF('TL15'!$B$229=O$3,SUMIF('TL15'!$C$238:$C$451,$C363,'TL15'!$J$238:$J$451),0),
IF('TL16'!$B$3=O$3,SUMIF('TL16'!$C$10:$C$224,$C363,'TL16'!$J$10:$J$224),0),
IF('TL16'!$B$229=O$3,SUMIF('TL16'!$C$238:$C$451,$C363,'TL16'!$J$238:$J$451),0),
IF('TL17'!$B$3=O$3,SUMIF('TL17'!$C$10:$C$224,$C363,'TL17'!$J$10:$J$224),0),
IF('TL17'!$B$229=O$3,SUMIF('TL17'!$C$238:$C$451,$C363,'TL17'!$J$238:$J$451),0),
IF('TL18'!$B$3=O$3,SUMIF('TL18'!$C$10:$C$224,$C363,'TL18'!$J$10:$J$224),0),
IF('TL18'!$B$229=O$3,SUMIF('TL18'!$C$238:$C$451,$C363,'TL18'!$J$238:$J$451),0),
IF('TL19'!$B$3=O$3,SUMIF('TL19'!$C$10:$C$224,$C363,'TL19'!$J$10:$J$224),0),
IF('TL19'!$B$229=O$3,SUMIF('TL19'!$C$238:$C$451,$C363,'TL19'!$J$238:$J$451),0)
),0)</f>
        <v>0</v>
      </c>
      <c r="P363" s="9">
        <f>IFERROR(SUM(
IF('TL01'!$B$3=P$3,SUMIF('TL01'!$C$10:$C$224,$C363,'TL01'!$J$10:$J$224),0),
IF('TL01'!$B$229=P$3,SUMIF('TL01'!$C$238:$C$451,$C363,'TL01'!$J$238:$J$451),0),
IF('TL02'!$B$3=P$3,SUMIF('TL02'!$C$10:$C$224,$C363,'TL02'!$J$10:$J$224),0),
IF('TL02'!$B$229=P$3,SUMIF('TL02'!$C$238:$C$451,$C363,'TL02'!$J$238:$J$451),0),
IF('TL03'!$B$3=P$3,SUMIF('TL03'!$C$10:$C$224,$C363,'TL03'!$J$10:$J$224),0),
IF('TL03'!$B$229=P$3,SUMIF('TL03'!$C$238:$C$451,$C363,'TL03'!$J$238:$J$451),0),
IF('TL04'!$B$3=P$3,SUMIF('TL04'!$C$10:$C$224,$C363,'TL04'!$J$10:$J$224),0),
IF('TL04'!$B$229=P$3,SUMIF('TL04'!$C$238:$C$451,$C363,'TL04'!$J$238:$J$451),0),
IF('TL05'!$B$3=P$3,SUMIF('TL05'!$C$10:$C$224,$C363,'TL05'!$J$10:$J$224),0),
IF('TL05'!$B$229=P$3,SUMIF('TL05'!$C$238:$C$451,$C363,'TL05'!$J$238:$J$451),0),
IF('TL06'!$B$3=P$3,SUMIF('TL06'!$C$10:$C$224,$C363,'TL06'!$J$10:$J$224),0),
IF('TL06'!$B$229=P$3,SUMIF('TL06'!$C$238:$C$451,$C363,'TL06'!$J$238:$J$451),0),
IF('TL07'!$B$3=P$3,SUMIF('TL07'!$C$10:$C$224,$C363,'TL07'!$J$10:$J$224),0),
IF('TL07'!$B$229=P$3,SUMIF('TL07'!$C$238:$C$451,$C363,'TL07'!$J$238:$J$451),0),
IF('TL08'!$B$3=P$3,SUMIF('TL08'!$C$10:$C$224,$C363,'TL08'!$J$10:$J$224),0),
IF('TL08'!$B$229=P$3,SUMIF('TL08'!$C$238:$C$451,$C363,'TL08'!$J$238:$J$451),0),
IF('TL09'!$B$3=P$3,SUMIF('TL09'!$C$10:$C$224,$C363,'TL09'!$J$10:$J$224),0),
IF('TL09'!$B$229=P$3,SUMIF('TL09'!$C$238:$C$451,$C363,'TL09'!$J$238:$J$451),0),
IF('TL10'!$B$3=P$3,SUMIF('TL10'!$C$10:$C$224,$C363,'TL10'!$J$10:$J$224),0),
IF('TL10'!$B$229=P$3,SUMIF('TL10'!$C$238:$C$451,$C363,'TL10'!$J$238:$J$451),0),
IF('TL11'!$B$3=P$3,SUMIF('TL11'!$C$10:$C$224,$C363,'TL11'!$J$10:$J$224),0),
IF('TL11'!$B$229=P$3,SUMIF('TL11'!$C$238:$C$451,$C363,'TL11'!$J$238:$J$451),0),
IF('TL12'!$B$3=P$3,SUMIF('TL12'!$C$10:$C$224,$C363,'TL12'!$J$10:$J$224),0),
IF('TL12'!$B$229=P$3,SUMIF('TL12'!$C$238:$C$451,$C363,'TL12'!$J$238:$J$451),0),
IF('TL13'!$B$3=P$3,SUMIF('TL13'!$C$10:$C$224,$C363,'TL13'!$J$10:$J$224),0),
IF('TL13'!$B$229=P$3,SUMIF('TL13'!$C$238:$C$451,$C363,'TL13'!$J$238:$J$451),0),
IF('TL14'!$B$3=P$3,SUMIF('TL14'!$C$10:$C$224,$C363,'TL14'!$J$10:$J$224),0),
IF('TL14'!$B$229=P$3,SUMIF('TL14'!$C$238:$C$451,$C363,'TL14'!$J$238:$J$451),0),
IF('TL15'!$B$3=P$3,SUMIF('TL15'!$C$10:$C$224,$C363,'TL15'!$J$10:$J$224),0),
IF('TL15'!$B$229=P$3,SUMIF('TL15'!$C$238:$C$451,$C363,'TL15'!$J$238:$J$451),0),
IF('TL16'!$B$3=P$3,SUMIF('TL16'!$C$10:$C$224,$C363,'TL16'!$J$10:$J$224),0),
IF('TL16'!$B$229=P$3,SUMIF('TL16'!$C$238:$C$451,$C363,'TL16'!$J$238:$J$451),0),
IF('TL17'!$B$3=P$3,SUMIF('TL17'!$C$10:$C$224,$C363,'TL17'!$J$10:$J$224),0),
IF('TL17'!$B$229=P$3,SUMIF('TL17'!$C$238:$C$451,$C363,'TL17'!$J$238:$J$451),0),
IF('TL18'!$B$3=P$3,SUMIF('TL18'!$C$10:$C$224,$C363,'TL18'!$J$10:$J$224),0),
IF('TL18'!$B$229=P$3,SUMIF('TL18'!$C$238:$C$451,$C363,'TL18'!$J$238:$J$451),0),
IF('TL19'!$B$3=P$3,SUMIF('TL19'!$C$10:$C$224,$C363,'TL19'!$J$10:$J$224),0),
IF('TL19'!$B$229=P$3,SUMIF('TL19'!$C$238:$C$451,$C363,'TL19'!$J$238:$J$451),0)
),0)</f>
        <v>0</v>
      </c>
      <c r="Q363" s="9">
        <f>IFERROR(SUM(
IF('TL01'!$B$3=Q$3,SUMIF('TL01'!$C$10:$C$224,$C363,'TL01'!$J$10:$J$224),0),
IF('TL01'!$B$229=Q$3,SUMIF('TL01'!$C$238:$C$451,$C363,'TL01'!$J$238:$J$451),0),
IF('TL02'!$B$3=Q$3,SUMIF('TL02'!$C$10:$C$224,$C363,'TL02'!$J$10:$J$224),0),
IF('TL02'!$B$229=Q$3,SUMIF('TL02'!$C$238:$C$451,$C363,'TL02'!$J$238:$J$451),0),
IF('TL03'!$B$3=Q$3,SUMIF('TL03'!$C$10:$C$224,$C363,'TL03'!$J$10:$J$224),0),
IF('TL03'!$B$229=Q$3,SUMIF('TL03'!$C$238:$C$451,$C363,'TL03'!$J$238:$J$451),0),
IF('TL04'!$B$3=Q$3,SUMIF('TL04'!$C$10:$C$224,$C363,'TL04'!$J$10:$J$224),0),
IF('TL04'!$B$229=Q$3,SUMIF('TL04'!$C$238:$C$451,$C363,'TL04'!$J$238:$J$451),0),
IF('TL05'!$B$3=Q$3,SUMIF('TL05'!$C$10:$C$224,$C363,'TL05'!$J$10:$J$224),0),
IF('TL05'!$B$229=Q$3,SUMIF('TL05'!$C$238:$C$451,$C363,'TL05'!$J$238:$J$451),0),
IF('TL06'!$B$3=Q$3,SUMIF('TL06'!$C$10:$C$224,$C363,'TL06'!$J$10:$J$224),0),
IF('TL06'!$B$229=Q$3,SUMIF('TL06'!$C$238:$C$451,$C363,'TL06'!$J$238:$J$451),0),
IF('TL07'!$B$3=Q$3,SUMIF('TL07'!$C$10:$C$224,$C363,'TL07'!$J$10:$J$224),0),
IF('TL07'!$B$229=Q$3,SUMIF('TL07'!$C$238:$C$451,$C363,'TL07'!$J$238:$J$451),0),
IF('TL08'!$B$3=Q$3,SUMIF('TL08'!$C$10:$C$224,$C363,'TL08'!$J$10:$J$224),0),
IF('TL08'!$B$229=Q$3,SUMIF('TL08'!$C$238:$C$451,$C363,'TL08'!$J$238:$J$451),0),
IF('TL09'!$B$3=Q$3,SUMIF('TL09'!$C$10:$C$224,$C363,'TL09'!$J$10:$J$224),0),
IF('TL09'!$B$229=Q$3,SUMIF('TL09'!$C$238:$C$451,$C363,'TL09'!$J$238:$J$451),0),
IF('TL10'!$B$3=Q$3,SUMIF('TL10'!$C$10:$C$224,$C363,'TL10'!$J$10:$J$224),0),
IF('TL10'!$B$229=Q$3,SUMIF('TL10'!$C$238:$C$451,$C363,'TL10'!$J$238:$J$451),0),
IF('TL11'!$B$3=Q$3,SUMIF('TL11'!$C$10:$C$224,$C363,'TL11'!$J$10:$J$224),0),
IF('TL11'!$B$229=Q$3,SUMIF('TL11'!$C$238:$C$451,$C363,'TL11'!$J$238:$J$451),0),
IF('TL12'!$B$3=Q$3,SUMIF('TL12'!$C$10:$C$224,$C363,'TL12'!$J$10:$J$224),0),
IF('TL12'!$B$229=Q$3,SUMIF('TL12'!$C$238:$C$451,$C363,'TL12'!$J$238:$J$451),0),
IF('TL13'!$B$3=Q$3,SUMIF('TL13'!$C$10:$C$224,$C363,'TL13'!$J$10:$J$224),0),
IF('TL13'!$B$229=Q$3,SUMIF('TL13'!$C$238:$C$451,$C363,'TL13'!$J$238:$J$451),0),
IF('TL14'!$B$3=Q$3,SUMIF('TL14'!$C$10:$C$224,$C363,'TL14'!$J$10:$J$224),0),
IF('TL14'!$B$229=Q$3,SUMIF('TL14'!$C$238:$C$451,$C363,'TL14'!$J$238:$J$451),0),
IF('TL15'!$B$3=Q$3,SUMIF('TL15'!$C$10:$C$224,$C363,'TL15'!$J$10:$J$224),0),
IF('TL15'!$B$229=Q$3,SUMIF('TL15'!$C$238:$C$451,$C363,'TL15'!$J$238:$J$451),0),
IF('TL16'!$B$3=Q$3,SUMIF('TL16'!$C$10:$C$224,$C363,'TL16'!$J$10:$J$224),0),
IF('TL16'!$B$229=Q$3,SUMIF('TL16'!$C$238:$C$451,$C363,'TL16'!$J$238:$J$451),0),
IF('TL17'!$B$3=Q$3,SUMIF('TL17'!$C$10:$C$224,$C363,'TL17'!$J$10:$J$224),0),
IF('TL17'!$B$229=Q$3,SUMIF('TL17'!$C$238:$C$451,$C363,'TL17'!$J$238:$J$451),0),
IF('TL18'!$B$3=Q$3,SUMIF('TL18'!$C$10:$C$224,$C363,'TL18'!$J$10:$J$224),0),
IF('TL18'!$B$229=Q$3,SUMIF('TL18'!$C$238:$C$451,$C363,'TL18'!$J$238:$J$451),0),
IF('TL19'!$B$3=Q$3,SUMIF('TL19'!$C$10:$C$224,$C363,'TL19'!$J$10:$J$224),0),
IF('TL19'!$B$229=Q$3,SUMIF('TL19'!$C$238:$C$451,$C363,'TL19'!$J$238:$J$451),0)
),0)</f>
        <v>0</v>
      </c>
      <c r="R363" s="9">
        <f>IFERROR(
SUM(
SUMIF('TL01'!C:C,C363,'TL01'!J:J),
SUMIF('TL02'!C:C,C363,'TL02'!J:J),
SUMIF('TL03'!C:C,C363,'TL03'!J:J),
SUMIF('TL04'!C:C,C363,'TL04'!J:J),
SUMIF('TL05'!C:C,C363,'TL05'!J:J),
SUMIF('TL06'!C:C,C363,'TL06'!J:J),
SUMIF('TL07'!C:C,C363,'TL07'!J:J),
SUMIF('TL08'!C:C,C363,'TL08'!J:J),
SUMIF('TL09'!C:C,C363,'TL09'!J:J),
SUMIF('TL10'!C:C,C363,'TL10'!J:J),
SUMIF('TL11'!C:C,C363,'TL11'!J:J),
SUMIF('TL12'!C:C,C363,'TL12'!J:J),
SUMIF('TL13'!C:C,C363,'TL13'!J:J),
SUMIF('TL14'!C:C,C363,'TL14'!J:J),
SUMIF('TL15'!C:C,C363,'TL15'!J:J),
SUMIF('TL16'!C:C,C363,'TL16'!J:J),
SUMIF('TL17'!C:C,C363,'TL17'!J:J),
SUMIF('TL18'!C:C,C363,'TL18'!J:J),SUMIF('TL19'!C:C,C363,'TL19'!J:J))
,0)</f>
        <v>0</v>
      </c>
      <c r="S363" s="17">
        <f>IFERROR(__xludf.DUMMYFUNCTION("IFERROR(VLOOKUP(C363,
IMPORTRANGE(""1wULbzX32WdYsx-lj2U3uUNBBe2INVIRDtcK0d-Dvl90"",
""26-27!C:G""),
5,
FALSE),
"""")"),56.16)</f>
        <v>56.16</v>
      </c>
      <c r="T363" s="9"/>
      <c r="U363" s="92">
        <f t="shared" si="2"/>
        <v>0</v>
      </c>
      <c r="V363" s="93">
        <f t="shared" si="3"/>
        <v>0</v>
      </c>
    </row>
    <row r="364" ht="15.75" hidden="1" customHeight="1">
      <c r="A364" s="4" t="s">
        <v>1071</v>
      </c>
      <c r="B364" s="4" t="s">
        <v>4</v>
      </c>
      <c r="C364" s="126" t="s">
        <v>1100</v>
      </c>
      <c r="D364" s="127" t="s">
        <v>1101</v>
      </c>
      <c r="E364" s="6"/>
      <c r="F364" s="4" t="s">
        <v>343</v>
      </c>
      <c r="G364" s="90" t="str">
        <f t="shared" si="5"/>
        <v>📄 Ver bula</v>
      </c>
      <c r="H364" s="4">
        <v>2.0</v>
      </c>
      <c r="I364" s="121" t="s">
        <v>344</v>
      </c>
      <c r="J364" s="9">
        <f>IFERROR(SUM(
IF('TL01'!$B$3=J$3,SUMIF('TL01'!$C$10:$C$224,$C364,'TL01'!$J$10:$J$224),0),
IF('TL01'!$B$229=J$3,SUMIF('TL01'!$C$238:$C$451,$C364,'TL01'!$J$238:$J$451),0),
IF('TL02'!$B$3=J$3,SUMIF('TL02'!$C$10:$C$224,$C364,'TL02'!$J$10:$J$224),0),
IF('TL02'!$B$229=J$3,SUMIF('TL02'!$C$238:$C$451,$C364,'TL02'!$J$238:$J$451),0),
IF('TL03'!$B$3=J$3,SUMIF('TL03'!$C$10:$C$224,$C364,'TL03'!$J$10:$J$224),0),
IF('TL03'!$B$229=J$3,SUMIF('TL03'!$C$238:$C$451,$C364,'TL03'!$J$238:$J$451),0),
IF('TL04'!$B$3=J$3,SUMIF('TL04'!$C$10:$C$224,$C364,'TL04'!$J$10:$J$224),0),
IF('TL04'!$B$229=J$3,SUMIF('TL04'!$C$238:$C$451,$C364,'TL04'!$J$238:$J$451),0),
IF('TL05'!$B$3=J$3,SUMIF('TL05'!$C$10:$C$224,$C364,'TL05'!$J$10:$J$224),0),
IF('TL05'!$B$229=J$3,SUMIF('TL05'!$C$238:$C$451,$C364,'TL05'!$J$238:$J$451),0),
IF('TL06'!$B$3=J$3,SUMIF('TL06'!$C$10:$C$224,$C364,'TL06'!$J$10:$J$224),0),
IF('TL06'!$B$229=J$3,SUMIF('TL06'!$C$238:$C$451,$C364,'TL06'!$J$238:$J$451),0),
IF('TL07'!$B$3=J$3,SUMIF('TL07'!$C$10:$C$224,$C364,'TL07'!$J$10:$J$224),0),
IF('TL07'!$B$229=J$3,SUMIF('TL07'!$C$238:$C$451,$C364,'TL07'!$J$238:$J$451),0),
IF('TL08'!$B$3=J$3,SUMIF('TL08'!$C$10:$C$224,$C364,'TL08'!$J$10:$J$224),0),
IF('TL08'!$B$229=J$3,SUMIF('TL08'!$C$238:$C$451,$C364,'TL08'!$J$238:$J$451),0),
IF('TL09'!$B$3=J$3,SUMIF('TL09'!$C$10:$C$224,$C364,'TL09'!$J$10:$J$224),0),
IF('TL09'!$B$229=J$3,SUMIF('TL09'!$C$238:$C$451,$C364,'TL09'!$J$238:$J$451),0),
IF('TL10'!$B$3=J$3,SUMIF('TL10'!$C$10:$C$224,$C364,'TL10'!$J$10:$J$224),0),
IF('TL10'!$B$229=J$3,SUMIF('TL10'!$C$238:$C$451,$C364,'TL10'!$J$238:$J$451),0),
IF('TL11'!$B$3=J$3,SUMIF('TL11'!$C$10:$C$224,$C364,'TL11'!$J$10:$J$224),0),
IF('TL11'!$B$229=J$3,SUMIF('TL11'!$C$238:$C$451,$C364,'TL11'!$J$238:$J$451),0),
IF('TL12'!$B$3=J$3,SUMIF('TL12'!$C$10:$C$224,$C364,'TL12'!$J$10:$J$224),0),
IF('TL12'!$B$229=J$3,SUMIF('TL12'!$C$238:$C$451,$C364,'TL12'!$J$238:$J$451),0),
IF('TL13'!$B$3=J$3,SUMIF('TL13'!$C$10:$C$224,$C364,'TL13'!$J$10:$J$224),0),
IF('TL13'!$B$229=J$3,SUMIF('TL13'!$C$238:$C$451,$C364,'TL13'!$J$238:$J$451),0),
IF('TL14'!$B$3=J$3,SUMIF('TL14'!$C$10:$C$224,$C364,'TL14'!$J$10:$J$224),0),
IF('TL14'!$B$229=J$3,SUMIF('TL14'!$C$238:$C$451,$C364,'TL14'!$J$238:$J$451),0),
IF('TL15'!$B$3=J$3,SUMIF('TL15'!$C$10:$C$224,$C364,'TL15'!$J$10:$J$224),0),
IF('TL15'!$B$229=J$3,SUMIF('TL15'!$C$238:$C$451,$C364,'TL15'!$J$238:$J$451),0),
IF('TL16'!$B$3=J$3,SUMIF('TL16'!$C$10:$C$224,$C364,'TL16'!$J$10:$J$224),0),
IF('TL16'!$B$229=J$3,SUMIF('TL16'!$C$238:$C$451,$C364,'TL16'!$J$238:$J$451),0),
IF('TL17'!$B$3=J$3,SUMIF('TL17'!$C$10:$C$224,$C364,'TL17'!$J$10:$J$224),0),
IF('TL17'!$B$229=J$3,SUMIF('TL17'!$C$238:$C$451,$C364,'TL17'!$J$238:$J$451),0),
IF('TL18'!$B$3=J$3,SUMIF('TL18'!$C$10:$C$224,$C364,'TL18'!$J$10:$J$224),0),
IF('TL18'!$B$229=J$3,SUMIF('TL18'!$C$238:$C$451,$C364,'TL18'!$J$238:$J$451),0),
IF('TL19'!$B$3=J$3,SUMIF('TL19'!$C$10:$C$224,$C364,'TL19'!$J$10:$J$224),0),
IF('TL19'!$B$229=J$3,SUMIF('TL19'!$C$238:$C$451,$C364,'TL19'!$J$238:$J$451),0)
),0)</f>
        <v>0</v>
      </c>
      <c r="K364" s="9">
        <f>IFERROR(SUM(
IF('TL01'!$B$3=K$3,SUMIF('TL01'!$C$10:$C$224,$C364,'TL01'!$J$10:$J$224),0),
IF('TL01'!$B$229=K$3,SUMIF('TL01'!$C$238:$C$451,$C364,'TL01'!$J$238:$J$451),0),
IF('TL02'!$B$3=K$3,SUMIF('TL02'!$C$10:$C$224,$C364,'TL02'!$J$10:$J$224),0),
IF('TL02'!$B$229=K$3,SUMIF('TL02'!$C$238:$C$451,$C364,'TL02'!$J$238:$J$451),0),
IF('TL03'!$B$3=K$3,SUMIF('TL03'!$C$10:$C$224,$C364,'TL03'!$J$10:$J$224),0),
IF('TL03'!$B$229=K$3,SUMIF('TL03'!$C$238:$C$451,$C364,'TL03'!$J$238:$J$451),0),
IF('TL04'!$B$3=K$3,SUMIF('TL04'!$C$10:$C$224,$C364,'TL04'!$J$10:$J$224),0),
IF('TL04'!$B$229=K$3,SUMIF('TL04'!$C$238:$C$451,$C364,'TL04'!$J$238:$J$451),0),
IF('TL05'!$B$3=K$3,SUMIF('TL05'!$C$10:$C$224,$C364,'TL05'!$J$10:$J$224),0),
IF('TL05'!$B$229=K$3,SUMIF('TL05'!$C$238:$C$451,$C364,'TL05'!$J$238:$J$451),0),
IF('TL06'!$B$3=K$3,SUMIF('TL06'!$C$10:$C$224,$C364,'TL06'!$J$10:$J$224),0),
IF('TL06'!$B$229=K$3,SUMIF('TL06'!$C$238:$C$451,$C364,'TL06'!$J$238:$J$451),0),
IF('TL07'!$B$3=K$3,SUMIF('TL07'!$C$10:$C$224,$C364,'TL07'!$J$10:$J$224),0),
IF('TL07'!$B$229=K$3,SUMIF('TL07'!$C$238:$C$451,$C364,'TL07'!$J$238:$J$451),0),
IF('TL08'!$B$3=K$3,SUMIF('TL08'!$C$10:$C$224,$C364,'TL08'!$J$10:$J$224),0),
IF('TL08'!$B$229=K$3,SUMIF('TL08'!$C$238:$C$451,$C364,'TL08'!$J$238:$J$451),0),
IF('TL09'!$B$3=K$3,SUMIF('TL09'!$C$10:$C$224,$C364,'TL09'!$J$10:$J$224),0),
IF('TL09'!$B$229=K$3,SUMIF('TL09'!$C$238:$C$451,$C364,'TL09'!$J$238:$J$451),0),
IF('TL10'!$B$3=K$3,SUMIF('TL10'!$C$10:$C$224,$C364,'TL10'!$J$10:$J$224),0),
IF('TL10'!$B$229=K$3,SUMIF('TL10'!$C$238:$C$451,$C364,'TL10'!$J$238:$J$451),0),
IF('TL11'!$B$3=K$3,SUMIF('TL11'!$C$10:$C$224,$C364,'TL11'!$J$10:$J$224),0),
IF('TL11'!$B$229=K$3,SUMIF('TL11'!$C$238:$C$451,$C364,'TL11'!$J$238:$J$451),0),
IF('TL12'!$B$3=K$3,SUMIF('TL12'!$C$10:$C$224,$C364,'TL12'!$J$10:$J$224),0),
IF('TL12'!$B$229=K$3,SUMIF('TL12'!$C$238:$C$451,$C364,'TL12'!$J$238:$J$451),0),
IF('TL13'!$B$3=K$3,SUMIF('TL13'!$C$10:$C$224,$C364,'TL13'!$J$10:$J$224),0),
IF('TL13'!$B$229=K$3,SUMIF('TL13'!$C$238:$C$451,$C364,'TL13'!$J$238:$J$451),0),
IF('TL14'!$B$3=K$3,SUMIF('TL14'!$C$10:$C$224,$C364,'TL14'!$J$10:$J$224),0),
IF('TL14'!$B$229=K$3,SUMIF('TL14'!$C$238:$C$451,$C364,'TL14'!$J$238:$J$451),0),
IF('TL15'!$B$3=K$3,SUMIF('TL15'!$C$10:$C$224,$C364,'TL15'!$J$10:$J$224),0),
IF('TL15'!$B$229=K$3,SUMIF('TL15'!$C$238:$C$451,$C364,'TL15'!$J$238:$J$451),0),
IF('TL16'!$B$3=K$3,SUMIF('TL16'!$C$10:$C$224,$C364,'TL16'!$J$10:$J$224),0),
IF('TL16'!$B$229=K$3,SUMIF('TL16'!$C$238:$C$451,$C364,'TL16'!$J$238:$J$451),0),
IF('TL17'!$B$3=K$3,SUMIF('TL17'!$C$10:$C$224,$C364,'TL17'!$J$10:$J$224),0),
IF('TL17'!$B$229=K$3,SUMIF('TL17'!$C$238:$C$451,$C364,'TL17'!$J$238:$J$451),0),
IF('TL18'!$B$3=K$3,SUMIF('TL18'!$C$10:$C$224,$C364,'TL18'!$J$10:$J$224),0),
IF('TL18'!$B$229=K$3,SUMIF('TL18'!$C$238:$C$451,$C364,'TL18'!$J$238:$J$451),0),
IF('TL19'!$B$3=K$3,SUMIF('TL19'!$C$10:$C$224,$C364,'TL19'!$J$10:$J$224),0),
IF('TL19'!$B$229=K$3,SUMIF('TL19'!$C$238:$C$451,$C364,'TL19'!$J$238:$J$451),0)
),0)</f>
        <v>0</v>
      </c>
      <c r="L364" s="9">
        <f>IFERROR(SUM(
IF('TL01'!$B$3=L$3,SUMIF('TL01'!$C$10:$C$224,$C364,'TL01'!$J$10:$J$224),0),
IF('TL01'!$B$229=L$3,SUMIF('TL01'!$C$238:$C$451,$C364,'TL01'!$J$238:$J$451),0),
IF('TL02'!$B$3=L$3,SUMIF('TL02'!$C$10:$C$224,$C364,'TL02'!$J$10:$J$224),0),
IF('TL02'!$B$229=L$3,SUMIF('TL02'!$C$238:$C$451,$C364,'TL02'!$J$238:$J$451),0),
IF('TL03'!$B$3=L$3,SUMIF('TL03'!$C$10:$C$224,$C364,'TL03'!$J$10:$J$224),0),
IF('TL03'!$B$229=L$3,SUMIF('TL03'!$C$238:$C$451,$C364,'TL03'!$J$238:$J$451),0),
IF('TL04'!$B$3=L$3,SUMIF('TL04'!$C$10:$C$224,$C364,'TL04'!$J$10:$J$224),0),
IF('TL04'!$B$229=L$3,SUMIF('TL04'!$C$238:$C$451,$C364,'TL04'!$J$238:$J$451),0),
IF('TL05'!$B$3=L$3,SUMIF('TL05'!$C$10:$C$224,$C364,'TL05'!$J$10:$J$224),0),
IF('TL05'!$B$229=L$3,SUMIF('TL05'!$C$238:$C$451,$C364,'TL05'!$J$238:$J$451),0),
IF('TL06'!$B$3=L$3,SUMIF('TL06'!$C$10:$C$224,$C364,'TL06'!$J$10:$J$224),0),
IF('TL06'!$B$229=L$3,SUMIF('TL06'!$C$238:$C$451,$C364,'TL06'!$J$238:$J$451),0),
IF('TL07'!$B$3=L$3,SUMIF('TL07'!$C$10:$C$224,$C364,'TL07'!$J$10:$J$224),0),
IF('TL07'!$B$229=L$3,SUMIF('TL07'!$C$238:$C$451,$C364,'TL07'!$J$238:$J$451),0),
IF('TL08'!$B$3=L$3,SUMIF('TL08'!$C$10:$C$224,$C364,'TL08'!$J$10:$J$224),0),
IF('TL08'!$B$229=L$3,SUMIF('TL08'!$C$238:$C$451,$C364,'TL08'!$J$238:$J$451),0),
IF('TL09'!$B$3=L$3,SUMIF('TL09'!$C$10:$C$224,$C364,'TL09'!$J$10:$J$224),0),
IF('TL09'!$B$229=L$3,SUMIF('TL09'!$C$238:$C$451,$C364,'TL09'!$J$238:$J$451),0),
IF('TL10'!$B$3=L$3,SUMIF('TL10'!$C$10:$C$224,$C364,'TL10'!$J$10:$J$224),0),
IF('TL10'!$B$229=L$3,SUMIF('TL10'!$C$238:$C$451,$C364,'TL10'!$J$238:$J$451),0),
IF('TL11'!$B$3=L$3,SUMIF('TL11'!$C$10:$C$224,$C364,'TL11'!$J$10:$J$224),0),
IF('TL11'!$B$229=L$3,SUMIF('TL11'!$C$238:$C$451,$C364,'TL11'!$J$238:$J$451),0),
IF('TL12'!$B$3=L$3,SUMIF('TL12'!$C$10:$C$224,$C364,'TL12'!$J$10:$J$224),0),
IF('TL12'!$B$229=L$3,SUMIF('TL12'!$C$238:$C$451,$C364,'TL12'!$J$238:$J$451),0),
IF('TL13'!$B$3=L$3,SUMIF('TL13'!$C$10:$C$224,$C364,'TL13'!$J$10:$J$224),0),
IF('TL13'!$B$229=L$3,SUMIF('TL13'!$C$238:$C$451,$C364,'TL13'!$J$238:$J$451),0),
IF('TL14'!$B$3=L$3,SUMIF('TL14'!$C$10:$C$224,$C364,'TL14'!$J$10:$J$224),0),
IF('TL14'!$B$229=L$3,SUMIF('TL14'!$C$238:$C$451,$C364,'TL14'!$J$238:$J$451),0),
IF('TL15'!$B$3=L$3,SUMIF('TL15'!$C$10:$C$224,$C364,'TL15'!$J$10:$J$224),0),
IF('TL15'!$B$229=L$3,SUMIF('TL15'!$C$238:$C$451,$C364,'TL15'!$J$238:$J$451),0),
IF('TL16'!$B$3=L$3,SUMIF('TL16'!$C$10:$C$224,$C364,'TL16'!$J$10:$J$224),0),
IF('TL16'!$B$229=L$3,SUMIF('TL16'!$C$238:$C$451,$C364,'TL16'!$J$238:$J$451),0),
IF('TL17'!$B$3=L$3,SUMIF('TL17'!$C$10:$C$224,$C364,'TL17'!$J$10:$J$224),0),
IF('TL17'!$B$229=L$3,SUMIF('TL17'!$C$238:$C$451,$C364,'TL17'!$J$238:$J$451),0),
IF('TL18'!$B$3=L$3,SUMIF('TL18'!$C$10:$C$224,$C364,'TL18'!$J$10:$J$224),0),
IF('TL18'!$B$229=L$3,SUMIF('TL18'!$C$238:$C$451,$C364,'TL18'!$J$238:$J$451),0),
IF('TL19'!$B$3=L$3,SUMIF('TL19'!$C$10:$C$224,$C364,'TL19'!$J$10:$J$224),0),
IF('TL19'!$B$229=L$3,SUMIF('TL19'!$C$238:$C$451,$C364,'TL19'!$J$238:$J$451),0)
),0)</f>
        <v>0</v>
      </c>
      <c r="M364" s="9">
        <f>IFERROR(SUM(
IF('TL01'!$B$3=M$3,SUMIF('TL01'!$C$10:$C$224,$C364,'TL01'!$J$10:$J$224),0),
IF('TL01'!$B$229=M$3,SUMIF('TL01'!$C$238:$C$451,$C364,'TL01'!$J$238:$J$451),0),
IF('TL02'!$B$3=M$3,SUMIF('TL02'!$C$10:$C$224,$C364,'TL02'!$J$10:$J$224),0),
IF('TL02'!$B$229=M$3,SUMIF('TL02'!$C$238:$C$451,$C364,'TL02'!$J$238:$J$451),0),
IF('TL03'!$B$3=M$3,SUMIF('TL03'!$C$10:$C$224,$C364,'TL03'!$J$10:$J$224),0),
IF('TL03'!$B$229=M$3,SUMIF('TL03'!$C$238:$C$451,$C364,'TL03'!$J$238:$J$451),0),
IF('TL04'!$B$3=M$3,SUMIF('TL04'!$C$10:$C$224,$C364,'TL04'!$J$10:$J$224),0),
IF('TL04'!$B$229=M$3,SUMIF('TL04'!$C$238:$C$451,$C364,'TL04'!$J$238:$J$451),0),
IF('TL05'!$B$3=M$3,SUMIF('TL05'!$C$10:$C$224,$C364,'TL05'!$J$10:$J$224),0),
IF('TL05'!$B$229=M$3,SUMIF('TL05'!$C$238:$C$451,$C364,'TL05'!$J$238:$J$451),0),
IF('TL06'!$B$3=M$3,SUMIF('TL06'!$C$10:$C$224,$C364,'TL06'!$J$10:$J$224),0),
IF('TL06'!$B$229=M$3,SUMIF('TL06'!$C$238:$C$451,$C364,'TL06'!$J$238:$J$451),0),
IF('TL07'!$B$3=M$3,SUMIF('TL07'!$C$10:$C$224,$C364,'TL07'!$J$10:$J$224),0),
IF('TL07'!$B$229=M$3,SUMIF('TL07'!$C$238:$C$451,$C364,'TL07'!$J$238:$J$451),0),
IF('TL08'!$B$3=M$3,SUMIF('TL08'!$C$10:$C$224,$C364,'TL08'!$J$10:$J$224),0),
IF('TL08'!$B$229=M$3,SUMIF('TL08'!$C$238:$C$451,$C364,'TL08'!$J$238:$J$451),0),
IF('TL09'!$B$3=M$3,SUMIF('TL09'!$C$10:$C$224,$C364,'TL09'!$J$10:$J$224),0),
IF('TL09'!$B$229=M$3,SUMIF('TL09'!$C$238:$C$451,$C364,'TL09'!$J$238:$J$451),0),
IF('TL10'!$B$3=M$3,SUMIF('TL10'!$C$10:$C$224,$C364,'TL10'!$J$10:$J$224),0),
IF('TL10'!$B$229=M$3,SUMIF('TL10'!$C$238:$C$451,$C364,'TL10'!$J$238:$J$451),0),
IF('TL11'!$B$3=M$3,SUMIF('TL11'!$C$10:$C$224,$C364,'TL11'!$J$10:$J$224),0),
IF('TL11'!$B$229=M$3,SUMIF('TL11'!$C$238:$C$451,$C364,'TL11'!$J$238:$J$451),0),
IF('TL12'!$B$3=M$3,SUMIF('TL12'!$C$10:$C$224,$C364,'TL12'!$J$10:$J$224),0),
IF('TL12'!$B$229=M$3,SUMIF('TL12'!$C$238:$C$451,$C364,'TL12'!$J$238:$J$451),0),
IF('TL13'!$B$3=M$3,SUMIF('TL13'!$C$10:$C$224,$C364,'TL13'!$J$10:$J$224),0),
IF('TL13'!$B$229=M$3,SUMIF('TL13'!$C$238:$C$451,$C364,'TL13'!$J$238:$J$451),0),
IF('TL14'!$B$3=M$3,SUMIF('TL14'!$C$10:$C$224,$C364,'TL14'!$J$10:$J$224),0),
IF('TL14'!$B$229=M$3,SUMIF('TL14'!$C$238:$C$451,$C364,'TL14'!$J$238:$J$451),0),
IF('TL15'!$B$3=M$3,SUMIF('TL15'!$C$10:$C$224,$C364,'TL15'!$J$10:$J$224),0),
IF('TL15'!$B$229=M$3,SUMIF('TL15'!$C$238:$C$451,$C364,'TL15'!$J$238:$J$451),0),
IF('TL16'!$B$3=M$3,SUMIF('TL16'!$C$10:$C$224,$C364,'TL16'!$J$10:$J$224),0),
IF('TL16'!$B$229=M$3,SUMIF('TL16'!$C$238:$C$451,$C364,'TL16'!$J$238:$J$451),0),
IF('TL17'!$B$3=M$3,SUMIF('TL17'!$C$10:$C$224,$C364,'TL17'!$J$10:$J$224),0),
IF('TL17'!$B$229=M$3,SUMIF('TL17'!$C$238:$C$451,$C364,'TL17'!$J$238:$J$451),0),
IF('TL18'!$B$3=M$3,SUMIF('TL18'!$C$10:$C$224,$C364,'TL18'!$J$10:$J$224),0),
IF('TL18'!$B$229=M$3,SUMIF('TL18'!$C$238:$C$451,$C364,'TL18'!$J$238:$J$451),0),
IF('TL19'!$B$3=M$3,SUMIF('TL19'!$C$10:$C$224,$C364,'TL19'!$J$10:$J$224),0),
IF('TL19'!$B$229=M$3,SUMIF('TL19'!$C$238:$C$451,$C364,'TL19'!$J$238:$J$451),0)
),0)</f>
        <v>0</v>
      </c>
      <c r="N364" s="9">
        <f>IFERROR(SUM(
IF('TL01'!$B$3=N$3,SUMIF('TL01'!$C$10:$C$224,$C364,'TL01'!$J$10:$J$224),0),
IF('TL01'!$B$229=N$3,SUMIF('TL01'!$C$238:$C$451,$C364,'TL01'!$J$238:$J$451),0),
IF('TL02'!$B$3=N$3,SUMIF('TL02'!$C$10:$C$224,$C364,'TL02'!$J$10:$J$224),0),
IF('TL02'!$B$229=N$3,SUMIF('TL02'!$C$238:$C$451,$C364,'TL02'!$J$238:$J$451),0),
IF('TL03'!$B$3=N$3,SUMIF('TL03'!$C$10:$C$224,$C364,'TL03'!$J$10:$J$224),0),
IF('TL03'!$B$229=N$3,SUMIF('TL03'!$C$238:$C$451,$C364,'TL03'!$J$238:$J$451),0),
IF('TL04'!$B$3=N$3,SUMIF('TL04'!$C$10:$C$224,$C364,'TL04'!$J$10:$J$224),0),
IF('TL04'!$B$229=N$3,SUMIF('TL04'!$C$238:$C$451,$C364,'TL04'!$J$238:$J$451),0),
IF('TL05'!$B$3=N$3,SUMIF('TL05'!$C$10:$C$224,$C364,'TL05'!$J$10:$J$224),0),
IF('TL05'!$B$229=N$3,SUMIF('TL05'!$C$238:$C$451,$C364,'TL05'!$J$238:$J$451),0),
IF('TL06'!$B$3=N$3,SUMIF('TL06'!$C$10:$C$224,$C364,'TL06'!$J$10:$J$224),0),
IF('TL06'!$B$229=N$3,SUMIF('TL06'!$C$238:$C$451,$C364,'TL06'!$J$238:$J$451),0),
IF('TL07'!$B$3=N$3,SUMIF('TL07'!$C$10:$C$224,$C364,'TL07'!$J$10:$J$224),0),
IF('TL07'!$B$229=N$3,SUMIF('TL07'!$C$238:$C$451,$C364,'TL07'!$J$238:$J$451),0),
IF('TL08'!$B$3=N$3,SUMIF('TL08'!$C$10:$C$224,$C364,'TL08'!$J$10:$J$224),0),
IF('TL08'!$B$229=N$3,SUMIF('TL08'!$C$238:$C$451,$C364,'TL08'!$J$238:$J$451),0),
IF('TL09'!$B$3=N$3,SUMIF('TL09'!$C$10:$C$224,$C364,'TL09'!$J$10:$J$224),0),
IF('TL09'!$B$229=N$3,SUMIF('TL09'!$C$238:$C$451,$C364,'TL09'!$J$238:$J$451),0),
IF('TL10'!$B$3=N$3,SUMIF('TL10'!$C$10:$C$224,$C364,'TL10'!$J$10:$J$224),0),
IF('TL10'!$B$229=N$3,SUMIF('TL10'!$C$238:$C$451,$C364,'TL10'!$J$238:$J$451),0),
IF('TL11'!$B$3=N$3,SUMIF('TL11'!$C$10:$C$224,$C364,'TL11'!$J$10:$J$224),0),
IF('TL11'!$B$229=N$3,SUMIF('TL11'!$C$238:$C$451,$C364,'TL11'!$J$238:$J$451),0),
IF('TL12'!$B$3=N$3,SUMIF('TL12'!$C$10:$C$224,$C364,'TL12'!$J$10:$J$224),0),
IF('TL12'!$B$229=N$3,SUMIF('TL12'!$C$238:$C$451,$C364,'TL12'!$J$238:$J$451),0),
IF('TL13'!$B$3=N$3,SUMIF('TL13'!$C$10:$C$224,$C364,'TL13'!$J$10:$J$224),0),
IF('TL13'!$B$229=N$3,SUMIF('TL13'!$C$238:$C$451,$C364,'TL13'!$J$238:$J$451),0),
IF('TL14'!$B$3=N$3,SUMIF('TL14'!$C$10:$C$224,$C364,'TL14'!$J$10:$J$224),0),
IF('TL14'!$B$229=N$3,SUMIF('TL14'!$C$238:$C$451,$C364,'TL14'!$J$238:$J$451),0),
IF('TL15'!$B$3=N$3,SUMIF('TL15'!$C$10:$C$224,$C364,'TL15'!$J$10:$J$224),0),
IF('TL15'!$B$229=N$3,SUMIF('TL15'!$C$238:$C$451,$C364,'TL15'!$J$238:$J$451),0),
IF('TL16'!$B$3=N$3,SUMIF('TL16'!$C$10:$C$224,$C364,'TL16'!$J$10:$J$224),0),
IF('TL16'!$B$229=N$3,SUMIF('TL16'!$C$238:$C$451,$C364,'TL16'!$J$238:$J$451),0),
IF('TL17'!$B$3=N$3,SUMIF('TL17'!$C$10:$C$224,$C364,'TL17'!$J$10:$J$224),0),
IF('TL17'!$B$229=N$3,SUMIF('TL17'!$C$238:$C$451,$C364,'TL17'!$J$238:$J$451),0),
IF('TL18'!$B$3=N$3,SUMIF('TL18'!$C$10:$C$224,$C364,'TL18'!$J$10:$J$224),0),
IF('TL18'!$B$229=N$3,SUMIF('TL18'!$C$238:$C$451,$C364,'TL18'!$J$238:$J$451),0),
IF('TL19'!$B$3=N$3,SUMIF('TL19'!$C$10:$C$224,$C364,'TL19'!$J$10:$J$224),0),
IF('TL19'!$B$229=N$3,SUMIF('TL19'!$C$238:$C$451,$C364,'TL19'!$J$238:$J$451),0)
),0)</f>
        <v>0</v>
      </c>
      <c r="O364" s="9">
        <f>IFERROR(SUM(
IF('TL01'!$B$3=O$3,SUMIF('TL01'!$C$10:$C$224,$C364,'TL01'!$J$10:$J$224),0),
IF('TL01'!$B$229=O$3,SUMIF('TL01'!$C$238:$C$451,$C364,'TL01'!$J$238:$J$451),0),
IF('TL02'!$B$3=O$3,SUMIF('TL02'!$C$10:$C$224,$C364,'TL02'!$J$10:$J$224),0),
IF('TL02'!$B$229=O$3,SUMIF('TL02'!$C$238:$C$451,$C364,'TL02'!$J$238:$J$451),0),
IF('TL03'!$B$3=O$3,SUMIF('TL03'!$C$10:$C$224,$C364,'TL03'!$J$10:$J$224),0),
IF('TL03'!$B$229=O$3,SUMIF('TL03'!$C$238:$C$451,$C364,'TL03'!$J$238:$J$451),0),
IF('TL04'!$B$3=O$3,SUMIF('TL04'!$C$10:$C$224,$C364,'TL04'!$J$10:$J$224),0),
IF('TL04'!$B$229=O$3,SUMIF('TL04'!$C$238:$C$451,$C364,'TL04'!$J$238:$J$451),0),
IF('TL05'!$B$3=O$3,SUMIF('TL05'!$C$10:$C$224,$C364,'TL05'!$J$10:$J$224),0),
IF('TL05'!$B$229=O$3,SUMIF('TL05'!$C$238:$C$451,$C364,'TL05'!$J$238:$J$451),0),
IF('TL06'!$B$3=O$3,SUMIF('TL06'!$C$10:$C$224,$C364,'TL06'!$J$10:$J$224),0),
IF('TL06'!$B$229=O$3,SUMIF('TL06'!$C$238:$C$451,$C364,'TL06'!$J$238:$J$451),0),
IF('TL07'!$B$3=O$3,SUMIF('TL07'!$C$10:$C$224,$C364,'TL07'!$J$10:$J$224),0),
IF('TL07'!$B$229=O$3,SUMIF('TL07'!$C$238:$C$451,$C364,'TL07'!$J$238:$J$451),0),
IF('TL08'!$B$3=O$3,SUMIF('TL08'!$C$10:$C$224,$C364,'TL08'!$J$10:$J$224),0),
IF('TL08'!$B$229=O$3,SUMIF('TL08'!$C$238:$C$451,$C364,'TL08'!$J$238:$J$451),0),
IF('TL09'!$B$3=O$3,SUMIF('TL09'!$C$10:$C$224,$C364,'TL09'!$J$10:$J$224),0),
IF('TL09'!$B$229=O$3,SUMIF('TL09'!$C$238:$C$451,$C364,'TL09'!$J$238:$J$451),0),
IF('TL10'!$B$3=O$3,SUMIF('TL10'!$C$10:$C$224,$C364,'TL10'!$J$10:$J$224),0),
IF('TL10'!$B$229=O$3,SUMIF('TL10'!$C$238:$C$451,$C364,'TL10'!$J$238:$J$451),0),
IF('TL11'!$B$3=O$3,SUMIF('TL11'!$C$10:$C$224,$C364,'TL11'!$J$10:$J$224),0),
IF('TL11'!$B$229=O$3,SUMIF('TL11'!$C$238:$C$451,$C364,'TL11'!$J$238:$J$451),0),
IF('TL12'!$B$3=O$3,SUMIF('TL12'!$C$10:$C$224,$C364,'TL12'!$J$10:$J$224),0),
IF('TL12'!$B$229=O$3,SUMIF('TL12'!$C$238:$C$451,$C364,'TL12'!$J$238:$J$451),0),
IF('TL13'!$B$3=O$3,SUMIF('TL13'!$C$10:$C$224,$C364,'TL13'!$J$10:$J$224),0),
IF('TL13'!$B$229=O$3,SUMIF('TL13'!$C$238:$C$451,$C364,'TL13'!$J$238:$J$451),0),
IF('TL14'!$B$3=O$3,SUMIF('TL14'!$C$10:$C$224,$C364,'TL14'!$J$10:$J$224),0),
IF('TL14'!$B$229=O$3,SUMIF('TL14'!$C$238:$C$451,$C364,'TL14'!$J$238:$J$451),0),
IF('TL15'!$B$3=O$3,SUMIF('TL15'!$C$10:$C$224,$C364,'TL15'!$J$10:$J$224),0),
IF('TL15'!$B$229=O$3,SUMIF('TL15'!$C$238:$C$451,$C364,'TL15'!$J$238:$J$451),0),
IF('TL16'!$B$3=O$3,SUMIF('TL16'!$C$10:$C$224,$C364,'TL16'!$J$10:$J$224),0),
IF('TL16'!$B$229=O$3,SUMIF('TL16'!$C$238:$C$451,$C364,'TL16'!$J$238:$J$451),0),
IF('TL17'!$B$3=O$3,SUMIF('TL17'!$C$10:$C$224,$C364,'TL17'!$J$10:$J$224),0),
IF('TL17'!$B$229=O$3,SUMIF('TL17'!$C$238:$C$451,$C364,'TL17'!$J$238:$J$451),0),
IF('TL18'!$B$3=O$3,SUMIF('TL18'!$C$10:$C$224,$C364,'TL18'!$J$10:$J$224),0),
IF('TL18'!$B$229=O$3,SUMIF('TL18'!$C$238:$C$451,$C364,'TL18'!$J$238:$J$451),0),
IF('TL19'!$B$3=O$3,SUMIF('TL19'!$C$10:$C$224,$C364,'TL19'!$J$10:$J$224),0),
IF('TL19'!$B$229=O$3,SUMIF('TL19'!$C$238:$C$451,$C364,'TL19'!$J$238:$J$451),0)
),0)</f>
        <v>0</v>
      </c>
      <c r="P364" s="9">
        <f>IFERROR(SUM(
IF('TL01'!$B$3=P$3,SUMIF('TL01'!$C$10:$C$224,$C364,'TL01'!$J$10:$J$224),0),
IF('TL01'!$B$229=P$3,SUMIF('TL01'!$C$238:$C$451,$C364,'TL01'!$J$238:$J$451),0),
IF('TL02'!$B$3=P$3,SUMIF('TL02'!$C$10:$C$224,$C364,'TL02'!$J$10:$J$224),0),
IF('TL02'!$B$229=P$3,SUMIF('TL02'!$C$238:$C$451,$C364,'TL02'!$J$238:$J$451),0),
IF('TL03'!$B$3=P$3,SUMIF('TL03'!$C$10:$C$224,$C364,'TL03'!$J$10:$J$224),0),
IF('TL03'!$B$229=P$3,SUMIF('TL03'!$C$238:$C$451,$C364,'TL03'!$J$238:$J$451),0),
IF('TL04'!$B$3=P$3,SUMIF('TL04'!$C$10:$C$224,$C364,'TL04'!$J$10:$J$224),0),
IF('TL04'!$B$229=P$3,SUMIF('TL04'!$C$238:$C$451,$C364,'TL04'!$J$238:$J$451),0),
IF('TL05'!$B$3=P$3,SUMIF('TL05'!$C$10:$C$224,$C364,'TL05'!$J$10:$J$224),0),
IF('TL05'!$B$229=P$3,SUMIF('TL05'!$C$238:$C$451,$C364,'TL05'!$J$238:$J$451),0),
IF('TL06'!$B$3=P$3,SUMIF('TL06'!$C$10:$C$224,$C364,'TL06'!$J$10:$J$224),0),
IF('TL06'!$B$229=P$3,SUMIF('TL06'!$C$238:$C$451,$C364,'TL06'!$J$238:$J$451),0),
IF('TL07'!$B$3=P$3,SUMIF('TL07'!$C$10:$C$224,$C364,'TL07'!$J$10:$J$224),0),
IF('TL07'!$B$229=P$3,SUMIF('TL07'!$C$238:$C$451,$C364,'TL07'!$J$238:$J$451),0),
IF('TL08'!$B$3=P$3,SUMIF('TL08'!$C$10:$C$224,$C364,'TL08'!$J$10:$J$224),0),
IF('TL08'!$B$229=P$3,SUMIF('TL08'!$C$238:$C$451,$C364,'TL08'!$J$238:$J$451),0),
IF('TL09'!$B$3=P$3,SUMIF('TL09'!$C$10:$C$224,$C364,'TL09'!$J$10:$J$224),0),
IF('TL09'!$B$229=P$3,SUMIF('TL09'!$C$238:$C$451,$C364,'TL09'!$J$238:$J$451),0),
IF('TL10'!$B$3=P$3,SUMIF('TL10'!$C$10:$C$224,$C364,'TL10'!$J$10:$J$224),0),
IF('TL10'!$B$229=P$3,SUMIF('TL10'!$C$238:$C$451,$C364,'TL10'!$J$238:$J$451),0),
IF('TL11'!$B$3=P$3,SUMIF('TL11'!$C$10:$C$224,$C364,'TL11'!$J$10:$J$224),0),
IF('TL11'!$B$229=P$3,SUMIF('TL11'!$C$238:$C$451,$C364,'TL11'!$J$238:$J$451),0),
IF('TL12'!$B$3=P$3,SUMIF('TL12'!$C$10:$C$224,$C364,'TL12'!$J$10:$J$224),0),
IF('TL12'!$B$229=P$3,SUMIF('TL12'!$C$238:$C$451,$C364,'TL12'!$J$238:$J$451),0),
IF('TL13'!$B$3=P$3,SUMIF('TL13'!$C$10:$C$224,$C364,'TL13'!$J$10:$J$224),0),
IF('TL13'!$B$229=P$3,SUMIF('TL13'!$C$238:$C$451,$C364,'TL13'!$J$238:$J$451),0),
IF('TL14'!$B$3=P$3,SUMIF('TL14'!$C$10:$C$224,$C364,'TL14'!$J$10:$J$224),0),
IF('TL14'!$B$229=P$3,SUMIF('TL14'!$C$238:$C$451,$C364,'TL14'!$J$238:$J$451),0),
IF('TL15'!$B$3=P$3,SUMIF('TL15'!$C$10:$C$224,$C364,'TL15'!$J$10:$J$224),0),
IF('TL15'!$B$229=P$3,SUMIF('TL15'!$C$238:$C$451,$C364,'TL15'!$J$238:$J$451),0),
IF('TL16'!$B$3=P$3,SUMIF('TL16'!$C$10:$C$224,$C364,'TL16'!$J$10:$J$224),0),
IF('TL16'!$B$229=P$3,SUMIF('TL16'!$C$238:$C$451,$C364,'TL16'!$J$238:$J$451),0),
IF('TL17'!$B$3=P$3,SUMIF('TL17'!$C$10:$C$224,$C364,'TL17'!$J$10:$J$224),0),
IF('TL17'!$B$229=P$3,SUMIF('TL17'!$C$238:$C$451,$C364,'TL17'!$J$238:$J$451),0),
IF('TL18'!$B$3=P$3,SUMIF('TL18'!$C$10:$C$224,$C364,'TL18'!$J$10:$J$224),0),
IF('TL18'!$B$229=P$3,SUMIF('TL18'!$C$238:$C$451,$C364,'TL18'!$J$238:$J$451),0),
IF('TL19'!$B$3=P$3,SUMIF('TL19'!$C$10:$C$224,$C364,'TL19'!$J$10:$J$224),0),
IF('TL19'!$B$229=P$3,SUMIF('TL19'!$C$238:$C$451,$C364,'TL19'!$J$238:$J$451),0)
),0)</f>
        <v>0</v>
      </c>
      <c r="Q364" s="9">
        <f>IFERROR(SUM(
IF('TL01'!$B$3=Q$3,SUMIF('TL01'!$C$10:$C$224,$C364,'TL01'!$J$10:$J$224),0),
IF('TL01'!$B$229=Q$3,SUMIF('TL01'!$C$238:$C$451,$C364,'TL01'!$J$238:$J$451),0),
IF('TL02'!$B$3=Q$3,SUMIF('TL02'!$C$10:$C$224,$C364,'TL02'!$J$10:$J$224),0),
IF('TL02'!$B$229=Q$3,SUMIF('TL02'!$C$238:$C$451,$C364,'TL02'!$J$238:$J$451),0),
IF('TL03'!$B$3=Q$3,SUMIF('TL03'!$C$10:$C$224,$C364,'TL03'!$J$10:$J$224),0),
IF('TL03'!$B$229=Q$3,SUMIF('TL03'!$C$238:$C$451,$C364,'TL03'!$J$238:$J$451),0),
IF('TL04'!$B$3=Q$3,SUMIF('TL04'!$C$10:$C$224,$C364,'TL04'!$J$10:$J$224),0),
IF('TL04'!$B$229=Q$3,SUMIF('TL04'!$C$238:$C$451,$C364,'TL04'!$J$238:$J$451),0),
IF('TL05'!$B$3=Q$3,SUMIF('TL05'!$C$10:$C$224,$C364,'TL05'!$J$10:$J$224),0),
IF('TL05'!$B$229=Q$3,SUMIF('TL05'!$C$238:$C$451,$C364,'TL05'!$J$238:$J$451),0),
IF('TL06'!$B$3=Q$3,SUMIF('TL06'!$C$10:$C$224,$C364,'TL06'!$J$10:$J$224),0),
IF('TL06'!$B$229=Q$3,SUMIF('TL06'!$C$238:$C$451,$C364,'TL06'!$J$238:$J$451),0),
IF('TL07'!$B$3=Q$3,SUMIF('TL07'!$C$10:$C$224,$C364,'TL07'!$J$10:$J$224),0),
IF('TL07'!$B$229=Q$3,SUMIF('TL07'!$C$238:$C$451,$C364,'TL07'!$J$238:$J$451),0),
IF('TL08'!$B$3=Q$3,SUMIF('TL08'!$C$10:$C$224,$C364,'TL08'!$J$10:$J$224),0),
IF('TL08'!$B$229=Q$3,SUMIF('TL08'!$C$238:$C$451,$C364,'TL08'!$J$238:$J$451),0),
IF('TL09'!$B$3=Q$3,SUMIF('TL09'!$C$10:$C$224,$C364,'TL09'!$J$10:$J$224),0),
IF('TL09'!$B$229=Q$3,SUMIF('TL09'!$C$238:$C$451,$C364,'TL09'!$J$238:$J$451),0),
IF('TL10'!$B$3=Q$3,SUMIF('TL10'!$C$10:$C$224,$C364,'TL10'!$J$10:$J$224),0),
IF('TL10'!$B$229=Q$3,SUMIF('TL10'!$C$238:$C$451,$C364,'TL10'!$J$238:$J$451),0),
IF('TL11'!$B$3=Q$3,SUMIF('TL11'!$C$10:$C$224,$C364,'TL11'!$J$10:$J$224),0),
IF('TL11'!$B$229=Q$3,SUMIF('TL11'!$C$238:$C$451,$C364,'TL11'!$J$238:$J$451),0),
IF('TL12'!$B$3=Q$3,SUMIF('TL12'!$C$10:$C$224,$C364,'TL12'!$J$10:$J$224),0),
IF('TL12'!$B$229=Q$3,SUMIF('TL12'!$C$238:$C$451,$C364,'TL12'!$J$238:$J$451),0),
IF('TL13'!$B$3=Q$3,SUMIF('TL13'!$C$10:$C$224,$C364,'TL13'!$J$10:$J$224),0),
IF('TL13'!$B$229=Q$3,SUMIF('TL13'!$C$238:$C$451,$C364,'TL13'!$J$238:$J$451),0),
IF('TL14'!$B$3=Q$3,SUMIF('TL14'!$C$10:$C$224,$C364,'TL14'!$J$10:$J$224),0),
IF('TL14'!$B$229=Q$3,SUMIF('TL14'!$C$238:$C$451,$C364,'TL14'!$J$238:$J$451),0),
IF('TL15'!$B$3=Q$3,SUMIF('TL15'!$C$10:$C$224,$C364,'TL15'!$J$10:$J$224),0),
IF('TL15'!$B$229=Q$3,SUMIF('TL15'!$C$238:$C$451,$C364,'TL15'!$J$238:$J$451),0),
IF('TL16'!$B$3=Q$3,SUMIF('TL16'!$C$10:$C$224,$C364,'TL16'!$J$10:$J$224),0),
IF('TL16'!$B$229=Q$3,SUMIF('TL16'!$C$238:$C$451,$C364,'TL16'!$J$238:$J$451),0),
IF('TL17'!$B$3=Q$3,SUMIF('TL17'!$C$10:$C$224,$C364,'TL17'!$J$10:$J$224),0),
IF('TL17'!$B$229=Q$3,SUMIF('TL17'!$C$238:$C$451,$C364,'TL17'!$J$238:$J$451),0),
IF('TL18'!$B$3=Q$3,SUMIF('TL18'!$C$10:$C$224,$C364,'TL18'!$J$10:$J$224),0),
IF('TL18'!$B$229=Q$3,SUMIF('TL18'!$C$238:$C$451,$C364,'TL18'!$J$238:$J$451),0),
IF('TL19'!$B$3=Q$3,SUMIF('TL19'!$C$10:$C$224,$C364,'TL19'!$J$10:$J$224),0),
IF('TL19'!$B$229=Q$3,SUMIF('TL19'!$C$238:$C$451,$C364,'TL19'!$J$238:$J$451),0)
),0)</f>
        <v>0</v>
      </c>
      <c r="R364" s="9">
        <f>IFERROR(
SUM(
SUMIF('TL01'!C:C,C364,'TL01'!J:J),
SUMIF('TL02'!C:C,C364,'TL02'!J:J),
SUMIF('TL03'!C:C,C364,'TL03'!J:J),
SUMIF('TL04'!C:C,C364,'TL04'!J:J),
SUMIF('TL05'!C:C,C364,'TL05'!J:J),
SUMIF('TL06'!C:C,C364,'TL06'!J:J),
SUMIF('TL07'!C:C,C364,'TL07'!J:J),
SUMIF('TL08'!C:C,C364,'TL08'!J:J),
SUMIF('TL09'!C:C,C364,'TL09'!J:J),
SUMIF('TL10'!C:C,C364,'TL10'!J:J),
SUMIF('TL11'!C:C,C364,'TL11'!J:J),
SUMIF('TL12'!C:C,C364,'TL12'!J:J),
SUMIF('TL13'!C:C,C364,'TL13'!J:J),
SUMIF('TL14'!C:C,C364,'TL14'!J:J),
SUMIF('TL15'!C:C,C364,'TL15'!J:J),
SUMIF('TL16'!C:C,C364,'TL16'!J:J),
SUMIF('TL17'!C:C,C364,'TL17'!J:J),
SUMIF('TL18'!C:C,C364,'TL18'!J:J),SUMIF('TL19'!C:C,C364,'TL19'!J:J))
,0)</f>
        <v>0</v>
      </c>
      <c r="S364" s="17">
        <f>IFERROR(__xludf.DUMMYFUNCTION("IFERROR(VLOOKUP(C364,
IMPORTRANGE(""1wULbzX32WdYsx-lj2U3uUNBBe2INVIRDtcK0d-Dvl90"",
""26-27!C:G""),
5,
FALSE),
"""")"),46.8)</f>
        <v>46.8</v>
      </c>
      <c r="T364" s="9"/>
      <c r="U364" s="92">
        <f t="shared" si="2"/>
        <v>0</v>
      </c>
      <c r="V364" s="93">
        <f t="shared" si="3"/>
        <v>0</v>
      </c>
    </row>
    <row r="365" ht="15.75" hidden="1" customHeight="1">
      <c r="A365" s="4" t="s">
        <v>1071</v>
      </c>
      <c r="B365" s="4" t="s">
        <v>4</v>
      </c>
      <c r="C365" s="128" t="s">
        <v>1102</v>
      </c>
      <c r="D365" s="129" t="s">
        <v>1103</v>
      </c>
      <c r="E365" s="6"/>
      <c r="F365" s="4" t="s">
        <v>392</v>
      </c>
      <c r="G365" s="90" t="str">
        <f t="shared" si="5"/>
        <v>📄 Ver bula</v>
      </c>
      <c r="H365" s="4">
        <v>2.0</v>
      </c>
      <c r="I365" s="123" t="s">
        <v>361</v>
      </c>
      <c r="J365" s="9">
        <f>IFERROR(SUM(
IF('TL01'!$B$3=J$3,SUMIF('TL01'!$C$10:$C$224,$C365,'TL01'!$J$10:$J$224),0),
IF('TL01'!$B$229=J$3,SUMIF('TL01'!$C$238:$C$451,$C365,'TL01'!$J$238:$J$451),0),
IF('TL02'!$B$3=J$3,SUMIF('TL02'!$C$10:$C$224,$C365,'TL02'!$J$10:$J$224),0),
IF('TL02'!$B$229=J$3,SUMIF('TL02'!$C$238:$C$451,$C365,'TL02'!$J$238:$J$451),0),
IF('TL03'!$B$3=J$3,SUMIF('TL03'!$C$10:$C$224,$C365,'TL03'!$J$10:$J$224),0),
IF('TL03'!$B$229=J$3,SUMIF('TL03'!$C$238:$C$451,$C365,'TL03'!$J$238:$J$451),0),
IF('TL04'!$B$3=J$3,SUMIF('TL04'!$C$10:$C$224,$C365,'TL04'!$J$10:$J$224),0),
IF('TL04'!$B$229=J$3,SUMIF('TL04'!$C$238:$C$451,$C365,'TL04'!$J$238:$J$451),0),
IF('TL05'!$B$3=J$3,SUMIF('TL05'!$C$10:$C$224,$C365,'TL05'!$J$10:$J$224),0),
IF('TL05'!$B$229=J$3,SUMIF('TL05'!$C$238:$C$451,$C365,'TL05'!$J$238:$J$451),0),
IF('TL06'!$B$3=J$3,SUMIF('TL06'!$C$10:$C$224,$C365,'TL06'!$J$10:$J$224),0),
IF('TL06'!$B$229=J$3,SUMIF('TL06'!$C$238:$C$451,$C365,'TL06'!$J$238:$J$451),0),
IF('TL07'!$B$3=J$3,SUMIF('TL07'!$C$10:$C$224,$C365,'TL07'!$J$10:$J$224),0),
IF('TL07'!$B$229=J$3,SUMIF('TL07'!$C$238:$C$451,$C365,'TL07'!$J$238:$J$451),0),
IF('TL08'!$B$3=J$3,SUMIF('TL08'!$C$10:$C$224,$C365,'TL08'!$J$10:$J$224),0),
IF('TL08'!$B$229=J$3,SUMIF('TL08'!$C$238:$C$451,$C365,'TL08'!$J$238:$J$451),0),
IF('TL09'!$B$3=J$3,SUMIF('TL09'!$C$10:$C$224,$C365,'TL09'!$J$10:$J$224),0),
IF('TL09'!$B$229=J$3,SUMIF('TL09'!$C$238:$C$451,$C365,'TL09'!$J$238:$J$451),0),
IF('TL10'!$B$3=J$3,SUMIF('TL10'!$C$10:$C$224,$C365,'TL10'!$J$10:$J$224),0),
IF('TL10'!$B$229=J$3,SUMIF('TL10'!$C$238:$C$451,$C365,'TL10'!$J$238:$J$451),0),
IF('TL11'!$B$3=J$3,SUMIF('TL11'!$C$10:$C$224,$C365,'TL11'!$J$10:$J$224),0),
IF('TL11'!$B$229=J$3,SUMIF('TL11'!$C$238:$C$451,$C365,'TL11'!$J$238:$J$451),0),
IF('TL12'!$B$3=J$3,SUMIF('TL12'!$C$10:$C$224,$C365,'TL12'!$J$10:$J$224),0),
IF('TL12'!$B$229=J$3,SUMIF('TL12'!$C$238:$C$451,$C365,'TL12'!$J$238:$J$451),0),
IF('TL13'!$B$3=J$3,SUMIF('TL13'!$C$10:$C$224,$C365,'TL13'!$J$10:$J$224),0),
IF('TL13'!$B$229=J$3,SUMIF('TL13'!$C$238:$C$451,$C365,'TL13'!$J$238:$J$451),0),
IF('TL14'!$B$3=J$3,SUMIF('TL14'!$C$10:$C$224,$C365,'TL14'!$J$10:$J$224),0),
IF('TL14'!$B$229=J$3,SUMIF('TL14'!$C$238:$C$451,$C365,'TL14'!$J$238:$J$451),0),
IF('TL15'!$B$3=J$3,SUMIF('TL15'!$C$10:$C$224,$C365,'TL15'!$J$10:$J$224),0),
IF('TL15'!$B$229=J$3,SUMIF('TL15'!$C$238:$C$451,$C365,'TL15'!$J$238:$J$451),0),
IF('TL16'!$B$3=J$3,SUMIF('TL16'!$C$10:$C$224,$C365,'TL16'!$J$10:$J$224),0),
IF('TL16'!$B$229=J$3,SUMIF('TL16'!$C$238:$C$451,$C365,'TL16'!$J$238:$J$451),0),
IF('TL17'!$B$3=J$3,SUMIF('TL17'!$C$10:$C$224,$C365,'TL17'!$J$10:$J$224),0),
IF('TL17'!$B$229=J$3,SUMIF('TL17'!$C$238:$C$451,$C365,'TL17'!$J$238:$J$451),0),
IF('TL18'!$B$3=J$3,SUMIF('TL18'!$C$10:$C$224,$C365,'TL18'!$J$10:$J$224),0),
IF('TL18'!$B$229=J$3,SUMIF('TL18'!$C$238:$C$451,$C365,'TL18'!$J$238:$J$451),0),
IF('TL19'!$B$3=J$3,SUMIF('TL19'!$C$10:$C$224,$C365,'TL19'!$J$10:$J$224),0),
IF('TL19'!$B$229=J$3,SUMIF('TL19'!$C$238:$C$451,$C365,'TL19'!$J$238:$J$451),0)
),0)</f>
        <v>0</v>
      </c>
      <c r="K365" s="9">
        <f>IFERROR(SUM(
IF('TL01'!$B$3=K$3,SUMIF('TL01'!$C$10:$C$224,$C365,'TL01'!$J$10:$J$224),0),
IF('TL01'!$B$229=K$3,SUMIF('TL01'!$C$238:$C$451,$C365,'TL01'!$J$238:$J$451),0),
IF('TL02'!$B$3=K$3,SUMIF('TL02'!$C$10:$C$224,$C365,'TL02'!$J$10:$J$224),0),
IF('TL02'!$B$229=K$3,SUMIF('TL02'!$C$238:$C$451,$C365,'TL02'!$J$238:$J$451),0),
IF('TL03'!$B$3=K$3,SUMIF('TL03'!$C$10:$C$224,$C365,'TL03'!$J$10:$J$224),0),
IF('TL03'!$B$229=K$3,SUMIF('TL03'!$C$238:$C$451,$C365,'TL03'!$J$238:$J$451),0),
IF('TL04'!$B$3=K$3,SUMIF('TL04'!$C$10:$C$224,$C365,'TL04'!$J$10:$J$224),0),
IF('TL04'!$B$229=K$3,SUMIF('TL04'!$C$238:$C$451,$C365,'TL04'!$J$238:$J$451),0),
IF('TL05'!$B$3=K$3,SUMIF('TL05'!$C$10:$C$224,$C365,'TL05'!$J$10:$J$224),0),
IF('TL05'!$B$229=K$3,SUMIF('TL05'!$C$238:$C$451,$C365,'TL05'!$J$238:$J$451),0),
IF('TL06'!$B$3=K$3,SUMIF('TL06'!$C$10:$C$224,$C365,'TL06'!$J$10:$J$224),0),
IF('TL06'!$B$229=K$3,SUMIF('TL06'!$C$238:$C$451,$C365,'TL06'!$J$238:$J$451),0),
IF('TL07'!$B$3=K$3,SUMIF('TL07'!$C$10:$C$224,$C365,'TL07'!$J$10:$J$224),0),
IF('TL07'!$B$229=K$3,SUMIF('TL07'!$C$238:$C$451,$C365,'TL07'!$J$238:$J$451),0),
IF('TL08'!$B$3=K$3,SUMIF('TL08'!$C$10:$C$224,$C365,'TL08'!$J$10:$J$224),0),
IF('TL08'!$B$229=K$3,SUMIF('TL08'!$C$238:$C$451,$C365,'TL08'!$J$238:$J$451),0),
IF('TL09'!$B$3=K$3,SUMIF('TL09'!$C$10:$C$224,$C365,'TL09'!$J$10:$J$224),0),
IF('TL09'!$B$229=K$3,SUMIF('TL09'!$C$238:$C$451,$C365,'TL09'!$J$238:$J$451),0),
IF('TL10'!$B$3=K$3,SUMIF('TL10'!$C$10:$C$224,$C365,'TL10'!$J$10:$J$224),0),
IF('TL10'!$B$229=K$3,SUMIF('TL10'!$C$238:$C$451,$C365,'TL10'!$J$238:$J$451),0),
IF('TL11'!$B$3=K$3,SUMIF('TL11'!$C$10:$C$224,$C365,'TL11'!$J$10:$J$224),0),
IF('TL11'!$B$229=K$3,SUMIF('TL11'!$C$238:$C$451,$C365,'TL11'!$J$238:$J$451),0),
IF('TL12'!$B$3=K$3,SUMIF('TL12'!$C$10:$C$224,$C365,'TL12'!$J$10:$J$224),0),
IF('TL12'!$B$229=K$3,SUMIF('TL12'!$C$238:$C$451,$C365,'TL12'!$J$238:$J$451),0),
IF('TL13'!$B$3=K$3,SUMIF('TL13'!$C$10:$C$224,$C365,'TL13'!$J$10:$J$224),0),
IF('TL13'!$B$229=K$3,SUMIF('TL13'!$C$238:$C$451,$C365,'TL13'!$J$238:$J$451),0),
IF('TL14'!$B$3=K$3,SUMIF('TL14'!$C$10:$C$224,$C365,'TL14'!$J$10:$J$224),0),
IF('TL14'!$B$229=K$3,SUMIF('TL14'!$C$238:$C$451,$C365,'TL14'!$J$238:$J$451),0),
IF('TL15'!$B$3=K$3,SUMIF('TL15'!$C$10:$C$224,$C365,'TL15'!$J$10:$J$224),0),
IF('TL15'!$B$229=K$3,SUMIF('TL15'!$C$238:$C$451,$C365,'TL15'!$J$238:$J$451),0),
IF('TL16'!$B$3=K$3,SUMIF('TL16'!$C$10:$C$224,$C365,'TL16'!$J$10:$J$224),0),
IF('TL16'!$B$229=K$3,SUMIF('TL16'!$C$238:$C$451,$C365,'TL16'!$J$238:$J$451),0),
IF('TL17'!$B$3=K$3,SUMIF('TL17'!$C$10:$C$224,$C365,'TL17'!$J$10:$J$224),0),
IF('TL17'!$B$229=K$3,SUMIF('TL17'!$C$238:$C$451,$C365,'TL17'!$J$238:$J$451),0),
IF('TL18'!$B$3=K$3,SUMIF('TL18'!$C$10:$C$224,$C365,'TL18'!$J$10:$J$224),0),
IF('TL18'!$B$229=K$3,SUMIF('TL18'!$C$238:$C$451,$C365,'TL18'!$J$238:$J$451),0),
IF('TL19'!$B$3=K$3,SUMIF('TL19'!$C$10:$C$224,$C365,'TL19'!$J$10:$J$224),0),
IF('TL19'!$B$229=K$3,SUMIF('TL19'!$C$238:$C$451,$C365,'TL19'!$J$238:$J$451),0)
),0)</f>
        <v>0</v>
      </c>
      <c r="L365" s="9">
        <f>IFERROR(SUM(
IF('TL01'!$B$3=L$3,SUMIF('TL01'!$C$10:$C$224,$C365,'TL01'!$J$10:$J$224),0),
IF('TL01'!$B$229=L$3,SUMIF('TL01'!$C$238:$C$451,$C365,'TL01'!$J$238:$J$451),0),
IF('TL02'!$B$3=L$3,SUMIF('TL02'!$C$10:$C$224,$C365,'TL02'!$J$10:$J$224),0),
IF('TL02'!$B$229=L$3,SUMIF('TL02'!$C$238:$C$451,$C365,'TL02'!$J$238:$J$451),0),
IF('TL03'!$B$3=L$3,SUMIF('TL03'!$C$10:$C$224,$C365,'TL03'!$J$10:$J$224),0),
IF('TL03'!$B$229=L$3,SUMIF('TL03'!$C$238:$C$451,$C365,'TL03'!$J$238:$J$451),0),
IF('TL04'!$B$3=L$3,SUMIF('TL04'!$C$10:$C$224,$C365,'TL04'!$J$10:$J$224),0),
IF('TL04'!$B$229=L$3,SUMIF('TL04'!$C$238:$C$451,$C365,'TL04'!$J$238:$J$451),0),
IF('TL05'!$B$3=L$3,SUMIF('TL05'!$C$10:$C$224,$C365,'TL05'!$J$10:$J$224),0),
IF('TL05'!$B$229=L$3,SUMIF('TL05'!$C$238:$C$451,$C365,'TL05'!$J$238:$J$451),0),
IF('TL06'!$B$3=L$3,SUMIF('TL06'!$C$10:$C$224,$C365,'TL06'!$J$10:$J$224),0),
IF('TL06'!$B$229=L$3,SUMIF('TL06'!$C$238:$C$451,$C365,'TL06'!$J$238:$J$451),0),
IF('TL07'!$B$3=L$3,SUMIF('TL07'!$C$10:$C$224,$C365,'TL07'!$J$10:$J$224),0),
IF('TL07'!$B$229=L$3,SUMIF('TL07'!$C$238:$C$451,$C365,'TL07'!$J$238:$J$451),0),
IF('TL08'!$B$3=L$3,SUMIF('TL08'!$C$10:$C$224,$C365,'TL08'!$J$10:$J$224),0),
IF('TL08'!$B$229=L$3,SUMIF('TL08'!$C$238:$C$451,$C365,'TL08'!$J$238:$J$451),0),
IF('TL09'!$B$3=L$3,SUMIF('TL09'!$C$10:$C$224,$C365,'TL09'!$J$10:$J$224),0),
IF('TL09'!$B$229=L$3,SUMIF('TL09'!$C$238:$C$451,$C365,'TL09'!$J$238:$J$451),0),
IF('TL10'!$B$3=L$3,SUMIF('TL10'!$C$10:$C$224,$C365,'TL10'!$J$10:$J$224),0),
IF('TL10'!$B$229=L$3,SUMIF('TL10'!$C$238:$C$451,$C365,'TL10'!$J$238:$J$451),0),
IF('TL11'!$B$3=L$3,SUMIF('TL11'!$C$10:$C$224,$C365,'TL11'!$J$10:$J$224),0),
IF('TL11'!$B$229=L$3,SUMIF('TL11'!$C$238:$C$451,$C365,'TL11'!$J$238:$J$451),0),
IF('TL12'!$B$3=L$3,SUMIF('TL12'!$C$10:$C$224,$C365,'TL12'!$J$10:$J$224),0),
IF('TL12'!$B$229=L$3,SUMIF('TL12'!$C$238:$C$451,$C365,'TL12'!$J$238:$J$451),0),
IF('TL13'!$B$3=L$3,SUMIF('TL13'!$C$10:$C$224,$C365,'TL13'!$J$10:$J$224),0),
IF('TL13'!$B$229=L$3,SUMIF('TL13'!$C$238:$C$451,$C365,'TL13'!$J$238:$J$451),0),
IF('TL14'!$B$3=L$3,SUMIF('TL14'!$C$10:$C$224,$C365,'TL14'!$J$10:$J$224),0),
IF('TL14'!$B$229=L$3,SUMIF('TL14'!$C$238:$C$451,$C365,'TL14'!$J$238:$J$451),0),
IF('TL15'!$B$3=L$3,SUMIF('TL15'!$C$10:$C$224,$C365,'TL15'!$J$10:$J$224),0),
IF('TL15'!$B$229=L$3,SUMIF('TL15'!$C$238:$C$451,$C365,'TL15'!$J$238:$J$451),0),
IF('TL16'!$B$3=L$3,SUMIF('TL16'!$C$10:$C$224,$C365,'TL16'!$J$10:$J$224),0),
IF('TL16'!$B$229=L$3,SUMIF('TL16'!$C$238:$C$451,$C365,'TL16'!$J$238:$J$451),0),
IF('TL17'!$B$3=L$3,SUMIF('TL17'!$C$10:$C$224,$C365,'TL17'!$J$10:$J$224),0),
IF('TL17'!$B$229=L$3,SUMIF('TL17'!$C$238:$C$451,$C365,'TL17'!$J$238:$J$451),0),
IF('TL18'!$B$3=L$3,SUMIF('TL18'!$C$10:$C$224,$C365,'TL18'!$J$10:$J$224),0),
IF('TL18'!$B$229=L$3,SUMIF('TL18'!$C$238:$C$451,$C365,'TL18'!$J$238:$J$451),0),
IF('TL19'!$B$3=L$3,SUMIF('TL19'!$C$10:$C$224,$C365,'TL19'!$J$10:$J$224),0),
IF('TL19'!$B$229=L$3,SUMIF('TL19'!$C$238:$C$451,$C365,'TL19'!$J$238:$J$451),0)
),0)</f>
        <v>0</v>
      </c>
      <c r="M365" s="9">
        <f>IFERROR(SUM(
IF('TL01'!$B$3=M$3,SUMIF('TL01'!$C$10:$C$224,$C365,'TL01'!$J$10:$J$224),0),
IF('TL01'!$B$229=M$3,SUMIF('TL01'!$C$238:$C$451,$C365,'TL01'!$J$238:$J$451),0),
IF('TL02'!$B$3=M$3,SUMIF('TL02'!$C$10:$C$224,$C365,'TL02'!$J$10:$J$224),0),
IF('TL02'!$B$229=M$3,SUMIF('TL02'!$C$238:$C$451,$C365,'TL02'!$J$238:$J$451),0),
IF('TL03'!$B$3=M$3,SUMIF('TL03'!$C$10:$C$224,$C365,'TL03'!$J$10:$J$224),0),
IF('TL03'!$B$229=M$3,SUMIF('TL03'!$C$238:$C$451,$C365,'TL03'!$J$238:$J$451),0),
IF('TL04'!$B$3=M$3,SUMIF('TL04'!$C$10:$C$224,$C365,'TL04'!$J$10:$J$224),0),
IF('TL04'!$B$229=M$3,SUMIF('TL04'!$C$238:$C$451,$C365,'TL04'!$J$238:$J$451),0),
IF('TL05'!$B$3=M$3,SUMIF('TL05'!$C$10:$C$224,$C365,'TL05'!$J$10:$J$224),0),
IF('TL05'!$B$229=M$3,SUMIF('TL05'!$C$238:$C$451,$C365,'TL05'!$J$238:$J$451),0),
IF('TL06'!$B$3=M$3,SUMIF('TL06'!$C$10:$C$224,$C365,'TL06'!$J$10:$J$224),0),
IF('TL06'!$B$229=M$3,SUMIF('TL06'!$C$238:$C$451,$C365,'TL06'!$J$238:$J$451),0),
IF('TL07'!$B$3=M$3,SUMIF('TL07'!$C$10:$C$224,$C365,'TL07'!$J$10:$J$224),0),
IF('TL07'!$B$229=M$3,SUMIF('TL07'!$C$238:$C$451,$C365,'TL07'!$J$238:$J$451),0),
IF('TL08'!$B$3=M$3,SUMIF('TL08'!$C$10:$C$224,$C365,'TL08'!$J$10:$J$224),0),
IF('TL08'!$B$229=M$3,SUMIF('TL08'!$C$238:$C$451,$C365,'TL08'!$J$238:$J$451),0),
IF('TL09'!$B$3=M$3,SUMIF('TL09'!$C$10:$C$224,$C365,'TL09'!$J$10:$J$224),0),
IF('TL09'!$B$229=M$3,SUMIF('TL09'!$C$238:$C$451,$C365,'TL09'!$J$238:$J$451),0),
IF('TL10'!$B$3=M$3,SUMIF('TL10'!$C$10:$C$224,$C365,'TL10'!$J$10:$J$224),0),
IF('TL10'!$B$229=M$3,SUMIF('TL10'!$C$238:$C$451,$C365,'TL10'!$J$238:$J$451),0),
IF('TL11'!$B$3=M$3,SUMIF('TL11'!$C$10:$C$224,$C365,'TL11'!$J$10:$J$224),0),
IF('TL11'!$B$229=M$3,SUMIF('TL11'!$C$238:$C$451,$C365,'TL11'!$J$238:$J$451),0),
IF('TL12'!$B$3=M$3,SUMIF('TL12'!$C$10:$C$224,$C365,'TL12'!$J$10:$J$224),0),
IF('TL12'!$B$229=M$3,SUMIF('TL12'!$C$238:$C$451,$C365,'TL12'!$J$238:$J$451),0),
IF('TL13'!$B$3=M$3,SUMIF('TL13'!$C$10:$C$224,$C365,'TL13'!$J$10:$J$224),0),
IF('TL13'!$B$229=M$3,SUMIF('TL13'!$C$238:$C$451,$C365,'TL13'!$J$238:$J$451),0),
IF('TL14'!$B$3=M$3,SUMIF('TL14'!$C$10:$C$224,$C365,'TL14'!$J$10:$J$224),0),
IF('TL14'!$B$229=M$3,SUMIF('TL14'!$C$238:$C$451,$C365,'TL14'!$J$238:$J$451),0),
IF('TL15'!$B$3=M$3,SUMIF('TL15'!$C$10:$C$224,$C365,'TL15'!$J$10:$J$224),0),
IF('TL15'!$B$229=M$3,SUMIF('TL15'!$C$238:$C$451,$C365,'TL15'!$J$238:$J$451),0),
IF('TL16'!$B$3=M$3,SUMIF('TL16'!$C$10:$C$224,$C365,'TL16'!$J$10:$J$224),0),
IF('TL16'!$B$229=M$3,SUMIF('TL16'!$C$238:$C$451,$C365,'TL16'!$J$238:$J$451),0),
IF('TL17'!$B$3=M$3,SUMIF('TL17'!$C$10:$C$224,$C365,'TL17'!$J$10:$J$224),0),
IF('TL17'!$B$229=M$3,SUMIF('TL17'!$C$238:$C$451,$C365,'TL17'!$J$238:$J$451),0),
IF('TL18'!$B$3=M$3,SUMIF('TL18'!$C$10:$C$224,$C365,'TL18'!$J$10:$J$224),0),
IF('TL18'!$B$229=M$3,SUMIF('TL18'!$C$238:$C$451,$C365,'TL18'!$J$238:$J$451),0),
IF('TL19'!$B$3=M$3,SUMIF('TL19'!$C$10:$C$224,$C365,'TL19'!$J$10:$J$224),0),
IF('TL19'!$B$229=M$3,SUMIF('TL19'!$C$238:$C$451,$C365,'TL19'!$J$238:$J$451),0)
),0)</f>
        <v>0</v>
      </c>
      <c r="N365" s="9">
        <f>IFERROR(SUM(
IF('TL01'!$B$3=N$3,SUMIF('TL01'!$C$10:$C$224,$C365,'TL01'!$J$10:$J$224),0),
IF('TL01'!$B$229=N$3,SUMIF('TL01'!$C$238:$C$451,$C365,'TL01'!$J$238:$J$451),0),
IF('TL02'!$B$3=N$3,SUMIF('TL02'!$C$10:$C$224,$C365,'TL02'!$J$10:$J$224),0),
IF('TL02'!$B$229=N$3,SUMIF('TL02'!$C$238:$C$451,$C365,'TL02'!$J$238:$J$451),0),
IF('TL03'!$B$3=N$3,SUMIF('TL03'!$C$10:$C$224,$C365,'TL03'!$J$10:$J$224),0),
IF('TL03'!$B$229=N$3,SUMIF('TL03'!$C$238:$C$451,$C365,'TL03'!$J$238:$J$451),0),
IF('TL04'!$B$3=N$3,SUMIF('TL04'!$C$10:$C$224,$C365,'TL04'!$J$10:$J$224),0),
IF('TL04'!$B$229=N$3,SUMIF('TL04'!$C$238:$C$451,$C365,'TL04'!$J$238:$J$451),0),
IF('TL05'!$B$3=N$3,SUMIF('TL05'!$C$10:$C$224,$C365,'TL05'!$J$10:$J$224),0),
IF('TL05'!$B$229=N$3,SUMIF('TL05'!$C$238:$C$451,$C365,'TL05'!$J$238:$J$451),0),
IF('TL06'!$B$3=N$3,SUMIF('TL06'!$C$10:$C$224,$C365,'TL06'!$J$10:$J$224),0),
IF('TL06'!$B$229=N$3,SUMIF('TL06'!$C$238:$C$451,$C365,'TL06'!$J$238:$J$451),0),
IF('TL07'!$B$3=N$3,SUMIF('TL07'!$C$10:$C$224,$C365,'TL07'!$J$10:$J$224),0),
IF('TL07'!$B$229=N$3,SUMIF('TL07'!$C$238:$C$451,$C365,'TL07'!$J$238:$J$451),0),
IF('TL08'!$B$3=N$3,SUMIF('TL08'!$C$10:$C$224,$C365,'TL08'!$J$10:$J$224),0),
IF('TL08'!$B$229=N$3,SUMIF('TL08'!$C$238:$C$451,$C365,'TL08'!$J$238:$J$451),0),
IF('TL09'!$B$3=N$3,SUMIF('TL09'!$C$10:$C$224,$C365,'TL09'!$J$10:$J$224),0),
IF('TL09'!$B$229=N$3,SUMIF('TL09'!$C$238:$C$451,$C365,'TL09'!$J$238:$J$451),0),
IF('TL10'!$B$3=N$3,SUMIF('TL10'!$C$10:$C$224,$C365,'TL10'!$J$10:$J$224),0),
IF('TL10'!$B$229=N$3,SUMIF('TL10'!$C$238:$C$451,$C365,'TL10'!$J$238:$J$451),0),
IF('TL11'!$B$3=N$3,SUMIF('TL11'!$C$10:$C$224,$C365,'TL11'!$J$10:$J$224),0),
IF('TL11'!$B$229=N$3,SUMIF('TL11'!$C$238:$C$451,$C365,'TL11'!$J$238:$J$451),0),
IF('TL12'!$B$3=N$3,SUMIF('TL12'!$C$10:$C$224,$C365,'TL12'!$J$10:$J$224),0),
IF('TL12'!$B$229=N$3,SUMIF('TL12'!$C$238:$C$451,$C365,'TL12'!$J$238:$J$451),0),
IF('TL13'!$B$3=N$3,SUMIF('TL13'!$C$10:$C$224,$C365,'TL13'!$J$10:$J$224),0),
IF('TL13'!$B$229=N$3,SUMIF('TL13'!$C$238:$C$451,$C365,'TL13'!$J$238:$J$451),0),
IF('TL14'!$B$3=N$3,SUMIF('TL14'!$C$10:$C$224,$C365,'TL14'!$J$10:$J$224),0),
IF('TL14'!$B$229=N$3,SUMIF('TL14'!$C$238:$C$451,$C365,'TL14'!$J$238:$J$451),0),
IF('TL15'!$B$3=N$3,SUMIF('TL15'!$C$10:$C$224,$C365,'TL15'!$J$10:$J$224),0),
IF('TL15'!$B$229=N$3,SUMIF('TL15'!$C$238:$C$451,$C365,'TL15'!$J$238:$J$451),0),
IF('TL16'!$B$3=N$3,SUMIF('TL16'!$C$10:$C$224,$C365,'TL16'!$J$10:$J$224),0),
IF('TL16'!$B$229=N$3,SUMIF('TL16'!$C$238:$C$451,$C365,'TL16'!$J$238:$J$451),0),
IF('TL17'!$B$3=N$3,SUMIF('TL17'!$C$10:$C$224,$C365,'TL17'!$J$10:$J$224),0),
IF('TL17'!$B$229=N$3,SUMIF('TL17'!$C$238:$C$451,$C365,'TL17'!$J$238:$J$451),0),
IF('TL18'!$B$3=N$3,SUMIF('TL18'!$C$10:$C$224,$C365,'TL18'!$J$10:$J$224),0),
IF('TL18'!$B$229=N$3,SUMIF('TL18'!$C$238:$C$451,$C365,'TL18'!$J$238:$J$451),0),
IF('TL19'!$B$3=N$3,SUMIF('TL19'!$C$10:$C$224,$C365,'TL19'!$J$10:$J$224),0),
IF('TL19'!$B$229=N$3,SUMIF('TL19'!$C$238:$C$451,$C365,'TL19'!$J$238:$J$451),0)
),0)</f>
        <v>0</v>
      </c>
      <c r="O365" s="9">
        <f>IFERROR(SUM(
IF('TL01'!$B$3=O$3,SUMIF('TL01'!$C$10:$C$224,$C365,'TL01'!$J$10:$J$224),0),
IF('TL01'!$B$229=O$3,SUMIF('TL01'!$C$238:$C$451,$C365,'TL01'!$J$238:$J$451),0),
IF('TL02'!$B$3=O$3,SUMIF('TL02'!$C$10:$C$224,$C365,'TL02'!$J$10:$J$224),0),
IF('TL02'!$B$229=O$3,SUMIF('TL02'!$C$238:$C$451,$C365,'TL02'!$J$238:$J$451),0),
IF('TL03'!$B$3=O$3,SUMIF('TL03'!$C$10:$C$224,$C365,'TL03'!$J$10:$J$224),0),
IF('TL03'!$B$229=O$3,SUMIF('TL03'!$C$238:$C$451,$C365,'TL03'!$J$238:$J$451),0),
IF('TL04'!$B$3=O$3,SUMIF('TL04'!$C$10:$C$224,$C365,'TL04'!$J$10:$J$224),0),
IF('TL04'!$B$229=O$3,SUMIF('TL04'!$C$238:$C$451,$C365,'TL04'!$J$238:$J$451),0),
IF('TL05'!$B$3=O$3,SUMIF('TL05'!$C$10:$C$224,$C365,'TL05'!$J$10:$J$224),0),
IF('TL05'!$B$229=O$3,SUMIF('TL05'!$C$238:$C$451,$C365,'TL05'!$J$238:$J$451),0),
IF('TL06'!$B$3=O$3,SUMIF('TL06'!$C$10:$C$224,$C365,'TL06'!$J$10:$J$224),0),
IF('TL06'!$B$229=O$3,SUMIF('TL06'!$C$238:$C$451,$C365,'TL06'!$J$238:$J$451),0),
IF('TL07'!$B$3=O$3,SUMIF('TL07'!$C$10:$C$224,$C365,'TL07'!$J$10:$J$224),0),
IF('TL07'!$B$229=O$3,SUMIF('TL07'!$C$238:$C$451,$C365,'TL07'!$J$238:$J$451),0),
IF('TL08'!$B$3=O$3,SUMIF('TL08'!$C$10:$C$224,$C365,'TL08'!$J$10:$J$224),0),
IF('TL08'!$B$229=O$3,SUMIF('TL08'!$C$238:$C$451,$C365,'TL08'!$J$238:$J$451),0),
IF('TL09'!$B$3=O$3,SUMIF('TL09'!$C$10:$C$224,$C365,'TL09'!$J$10:$J$224),0),
IF('TL09'!$B$229=O$3,SUMIF('TL09'!$C$238:$C$451,$C365,'TL09'!$J$238:$J$451),0),
IF('TL10'!$B$3=O$3,SUMIF('TL10'!$C$10:$C$224,$C365,'TL10'!$J$10:$J$224),0),
IF('TL10'!$B$229=O$3,SUMIF('TL10'!$C$238:$C$451,$C365,'TL10'!$J$238:$J$451),0),
IF('TL11'!$B$3=O$3,SUMIF('TL11'!$C$10:$C$224,$C365,'TL11'!$J$10:$J$224),0),
IF('TL11'!$B$229=O$3,SUMIF('TL11'!$C$238:$C$451,$C365,'TL11'!$J$238:$J$451),0),
IF('TL12'!$B$3=O$3,SUMIF('TL12'!$C$10:$C$224,$C365,'TL12'!$J$10:$J$224),0),
IF('TL12'!$B$229=O$3,SUMIF('TL12'!$C$238:$C$451,$C365,'TL12'!$J$238:$J$451),0),
IF('TL13'!$B$3=O$3,SUMIF('TL13'!$C$10:$C$224,$C365,'TL13'!$J$10:$J$224),0),
IF('TL13'!$B$229=O$3,SUMIF('TL13'!$C$238:$C$451,$C365,'TL13'!$J$238:$J$451),0),
IF('TL14'!$B$3=O$3,SUMIF('TL14'!$C$10:$C$224,$C365,'TL14'!$J$10:$J$224),0),
IF('TL14'!$B$229=O$3,SUMIF('TL14'!$C$238:$C$451,$C365,'TL14'!$J$238:$J$451),0),
IF('TL15'!$B$3=O$3,SUMIF('TL15'!$C$10:$C$224,$C365,'TL15'!$J$10:$J$224),0),
IF('TL15'!$B$229=O$3,SUMIF('TL15'!$C$238:$C$451,$C365,'TL15'!$J$238:$J$451),0),
IF('TL16'!$B$3=O$3,SUMIF('TL16'!$C$10:$C$224,$C365,'TL16'!$J$10:$J$224),0),
IF('TL16'!$B$229=O$3,SUMIF('TL16'!$C$238:$C$451,$C365,'TL16'!$J$238:$J$451),0),
IF('TL17'!$B$3=O$3,SUMIF('TL17'!$C$10:$C$224,$C365,'TL17'!$J$10:$J$224),0),
IF('TL17'!$B$229=O$3,SUMIF('TL17'!$C$238:$C$451,$C365,'TL17'!$J$238:$J$451),0),
IF('TL18'!$B$3=O$3,SUMIF('TL18'!$C$10:$C$224,$C365,'TL18'!$J$10:$J$224),0),
IF('TL18'!$B$229=O$3,SUMIF('TL18'!$C$238:$C$451,$C365,'TL18'!$J$238:$J$451),0),
IF('TL19'!$B$3=O$3,SUMIF('TL19'!$C$10:$C$224,$C365,'TL19'!$J$10:$J$224),0),
IF('TL19'!$B$229=O$3,SUMIF('TL19'!$C$238:$C$451,$C365,'TL19'!$J$238:$J$451),0)
),0)</f>
        <v>0</v>
      </c>
      <c r="P365" s="9">
        <f>IFERROR(SUM(
IF('TL01'!$B$3=P$3,SUMIF('TL01'!$C$10:$C$224,$C365,'TL01'!$J$10:$J$224),0),
IF('TL01'!$B$229=P$3,SUMIF('TL01'!$C$238:$C$451,$C365,'TL01'!$J$238:$J$451),0),
IF('TL02'!$B$3=P$3,SUMIF('TL02'!$C$10:$C$224,$C365,'TL02'!$J$10:$J$224),0),
IF('TL02'!$B$229=P$3,SUMIF('TL02'!$C$238:$C$451,$C365,'TL02'!$J$238:$J$451),0),
IF('TL03'!$B$3=P$3,SUMIF('TL03'!$C$10:$C$224,$C365,'TL03'!$J$10:$J$224),0),
IF('TL03'!$B$229=P$3,SUMIF('TL03'!$C$238:$C$451,$C365,'TL03'!$J$238:$J$451),0),
IF('TL04'!$B$3=P$3,SUMIF('TL04'!$C$10:$C$224,$C365,'TL04'!$J$10:$J$224),0),
IF('TL04'!$B$229=P$3,SUMIF('TL04'!$C$238:$C$451,$C365,'TL04'!$J$238:$J$451),0),
IF('TL05'!$B$3=P$3,SUMIF('TL05'!$C$10:$C$224,$C365,'TL05'!$J$10:$J$224),0),
IF('TL05'!$B$229=P$3,SUMIF('TL05'!$C$238:$C$451,$C365,'TL05'!$J$238:$J$451),0),
IF('TL06'!$B$3=P$3,SUMIF('TL06'!$C$10:$C$224,$C365,'TL06'!$J$10:$J$224),0),
IF('TL06'!$B$229=P$3,SUMIF('TL06'!$C$238:$C$451,$C365,'TL06'!$J$238:$J$451),0),
IF('TL07'!$B$3=P$3,SUMIF('TL07'!$C$10:$C$224,$C365,'TL07'!$J$10:$J$224),0),
IF('TL07'!$B$229=P$3,SUMIF('TL07'!$C$238:$C$451,$C365,'TL07'!$J$238:$J$451),0),
IF('TL08'!$B$3=P$3,SUMIF('TL08'!$C$10:$C$224,$C365,'TL08'!$J$10:$J$224),0),
IF('TL08'!$B$229=P$3,SUMIF('TL08'!$C$238:$C$451,$C365,'TL08'!$J$238:$J$451),0),
IF('TL09'!$B$3=P$3,SUMIF('TL09'!$C$10:$C$224,$C365,'TL09'!$J$10:$J$224),0),
IF('TL09'!$B$229=P$3,SUMIF('TL09'!$C$238:$C$451,$C365,'TL09'!$J$238:$J$451),0),
IF('TL10'!$B$3=P$3,SUMIF('TL10'!$C$10:$C$224,$C365,'TL10'!$J$10:$J$224),0),
IF('TL10'!$B$229=P$3,SUMIF('TL10'!$C$238:$C$451,$C365,'TL10'!$J$238:$J$451),0),
IF('TL11'!$B$3=P$3,SUMIF('TL11'!$C$10:$C$224,$C365,'TL11'!$J$10:$J$224),0),
IF('TL11'!$B$229=P$3,SUMIF('TL11'!$C$238:$C$451,$C365,'TL11'!$J$238:$J$451),0),
IF('TL12'!$B$3=P$3,SUMIF('TL12'!$C$10:$C$224,$C365,'TL12'!$J$10:$J$224),0),
IF('TL12'!$B$229=P$3,SUMIF('TL12'!$C$238:$C$451,$C365,'TL12'!$J$238:$J$451),0),
IF('TL13'!$B$3=P$3,SUMIF('TL13'!$C$10:$C$224,$C365,'TL13'!$J$10:$J$224),0),
IF('TL13'!$B$229=P$3,SUMIF('TL13'!$C$238:$C$451,$C365,'TL13'!$J$238:$J$451),0),
IF('TL14'!$B$3=P$3,SUMIF('TL14'!$C$10:$C$224,$C365,'TL14'!$J$10:$J$224),0),
IF('TL14'!$B$229=P$3,SUMIF('TL14'!$C$238:$C$451,$C365,'TL14'!$J$238:$J$451),0),
IF('TL15'!$B$3=P$3,SUMIF('TL15'!$C$10:$C$224,$C365,'TL15'!$J$10:$J$224),0),
IF('TL15'!$B$229=P$3,SUMIF('TL15'!$C$238:$C$451,$C365,'TL15'!$J$238:$J$451),0),
IF('TL16'!$B$3=P$3,SUMIF('TL16'!$C$10:$C$224,$C365,'TL16'!$J$10:$J$224),0),
IF('TL16'!$B$229=P$3,SUMIF('TL16'!$C$238:$C$451,$C365,'TL16'!$J$238:$J$451),0),
IF('TL17'!$B$3=P$3,SUMIF('TL17'!$C$10:$C$224,$C365,'TL17'!$J$10:$J$224),0),
IF('TL17'!$B$229=P$3,SUMIF('TL17'!$C$238:$C$451,$C365,'TL17'!$J$238:$J$451),0),
IF('TL18'!$B$3=P$3,SUMIF('TL18'!$C$10:$C$224,$C365,'TL18'!$J$10:$J$224),0),
IF('TL18'!$B$229=P$3,SUMIF('TL18'!$C$238:$C$451,$C365,'TL18'!$J$238:$J$451),0),
IF('TL19'!$B$3=P$3,SUMIF('TL19'!$C$10:$C$224,$C365,'TL19'!$J$10:$J$224),0),
IF('TL19'!$B$229=P$3,SUMIF('TL19'!$C$238:$C$451,$C365,'TL19'!$J$238:$J$451),0)
),0)</f>
        <v>0</v>
      </c>
      <c r="Q365" s="9">
        <f>IFERROR(SUM(
IF('TL01'!$B$3=Q$3,SUMIF('TL01'!$C$10:$C$224,$C365,'TL01'!$J$10:$J$224),0),
IF('TL01'!$B$229=Q$3,SUMIF('TL01'!$C$238:$C$451,$C365,'TL01'!$J$238:$J$451),0),
IF('TL02'!$B$3=Q$3,SUMIF('TL02'!$C$10:$C$224,$C365,'TL02'!$J$10:$J$224),0),
IF('TL02'!$B$229=Q$3,SUMIF('TL02'!$C$238:$C$451,$C365,'TL02'!$J$238:$J$451),0),
IF('TL03'!$B$3=Q$3,SUMIF('TL03'!$C$10:$C$224,$C365,'TL03'!$J$10:$J$224),0),
IF('TL03'!$B$229=Q$3,SUMIF('TL03'!$C$238:$C$451,$C365,'TL03'!$J$238:$J$451),0),
IF('TL04'!$B$3=Q$3,SUMIF('TL04'!$C$10:$C$224,$C365,'TL04'!$J$10:$J$224),0),
IF('TL04'!$B$229=Q$3,SUMIF('TL04'!$C$238:$C$451,$C365,'TL04'!$J$238:$J$451),0),
IF('TL05'!$B$3=Q$3,SUMIF('TL05'!$C$10:$C$224,$C365,'TL05'!$J$10:$J$224),0),
IF('TL05'!$B$229=Q$3,SUMIF('TL05'!$C$238:$C$451,$C365,'TL05'!$J$238:$J$451),0),
IF('TL06'!$B$3=Q$3,SUMIF('TL06'!$C$10:$C$224,$C365,'TL06'!$J$10:$J$224),0),
IF('TL06'!$B$229=Q$3,SUMIF('TL06'!$C$238:$C$451,$C365,'TL06'!$J$238:$J$451),0),
IF('TL07'!$B$3=Q$3,SUMIF('TL07'!$C$10:$C$224,$C365,'TL07'!$J$10:$J$224),0),
IF('TL07'!$B$229=Q$3,SUMIF('TL07'!$C$238:$C$451,$C365,'TL07'!$J$238:$J$451),0),
IF('TL08'!$B$3=Q$3,SUMIF('TL08'!$C$10:$C$224,$C365,'TL08'!$J$10:$J$224),0),
IF('TL08'!$B$229=Q$3,SUMIF('TL08'!$C$238:$C$451,$C365,'TL08'!$J$238:$J$451),0),
IF('TL09'!$B$3=Q$3,SUMIF('TL09'!$C$10:$C$224,$C365,'TL09'!$J$10:$J$224),0),
IF('TL09'!$B$229=Q$3,SUMIF('TL09'!$C$238:$C$451,$C365,'TL09'!$J$238:$J$451),0),
IF('TL10'!$B$3=Q$3,SUMIF('TL10'!$C$10:$C$224,$C365,'TL10'!$J$10:$J$224),0),
IF('TL10'!$B$229=Q$3,SUMIF('TL10'!$C$238:$C$451,$C365,'TL10'!$J$238:$J$451),0),
IF('TL11'!$B$3=Q$3,SUMIF('TL11'!$C$10:$C$224,$C365,'TL11'!$J$10:$J$224),0),
IF('TL11'!$B$229=Q$3,SUMIF('TL11'!$C$238:$C$451,$C365,'TL11'!$J$238:$J$451),0),
IF('TL12'!$B$3=Q$3,SUMIF('TL12'!$C$10:$C$224,$C365,'TL12'!$J$10:$J$224),0),
IF('TL12'!$B$229=Q$3,SUMIF('TL12'!$C$238:$C$451,$C365,'TL12'!$J$238:$J$451),0),
IF('TL13'!$B$3=Q$3,SUMIF('TL13'!$C$10:$C$224,$C365,'TL13'!$J$10:$J$224),0),
IF('TL13'!$B$229=Q$3,SUMIF('TL13'!$C$238:$C$451,$C365,'TL13'!$J$238:$J$451),0),
IF('TL14'!$B$3=Q$3,SUMIF('TL14'!$C$10:$C$224,$C365,'TL14'!$J$10:$J$224),0),
IF('TL14'!$B$229=Q$3,SUMIF('TL14'!$C$238:$C$451,$C365,'TL14'!$J$238:$J$451),0),
IF('TL15'!$B$3=Q$3,SUMIF('TL15'!$C$10:$C$224,$C365,'TL15'!$J$10:$J$224),0),
IF('TL15'!$B$229=Q$3,SUMIF('TL15'!$C$238:$C$451,$C365,'TL15'!$J$238:$J$451),0),
IF('TL16'!$B$3=Q$3,SUMIF('TL16'!$C$10:$C$224,$C365,'TL16'!$J$10:$J$224),0),
IF('TL16'!$B$229=Q$3,SUMIF('TL16'!$C$238:$C$451,$C365,'TL16'!$J$238:$J$451),0),
IF('TL17'!$B$3=Q$3,SUMIF('TL17'!$C$10:$C$224,$C365,'TL17'!$J$10:$J$224),0),
IF('TL17'!$B$229=Q$3,SUMIF('TL17'!$C$238:$C$451,$C365,'TL17'!$J$238:$J$451),0),
IF('TL18'!$B$3=Q$3,SUMIF('TL18'!$C$10:$C$224,$C365,'TL18'!$J$10:$J$224),0),
IF('TL18'!$B$229=Q$3,SUMIF('TL18'!$C$238:$C$451,$C365,'TL18'!$J$238:$J$451),0),
IF('TL19'!$B$3=Q$3,SUMIF('TL19'!$C$10:$C$224,$C365,'TL19'!$J$10:$J$224),0),
IF('TL19'!$B$229=Q$3,SUMIF('TL19'!$C$238:$C$451,$C365,'TL19'!$J$238:$J$451),0)
),0)</f>
        <v>0</v>
      </c>
      <c r="R365" s="9">
        <f>IFERROR(
SUM(
SUMIF('TL01'!C:C,C365,'TL01'!J:J),
SUMIF('TL02'!C:C,C365,'TL02'!J:J),
SUMIF('TL03'!C:C,C365,'TL03'!J:J),
SUMIF('TL04'!C:C,C365,'TL04'!J:J),
SUMIF('TL05'!C:C,C365,'TL05'!J:J),
SUMIF('TL06'!C:C,C365,'TL06'!J:J),
SUMIF('TL07'!C:C,C365,'TL07'!J:J),
SUMIF('TL08'!C:C,C365,'TL08'!J:J),
SUMIF('TL09'!C:C,C365,'TL09'!J:J),
SUMIF('TL10'!C:C,C365,'TL10'!J:J),
SUMIF('TL11'!C:C,C365,'TL11'!J:J),
SUMIF('TL12'!C:C,C365,'TL12'!J:J),
SUMIF('TL13'!C:C,C365,'TL13'!J:J),
SUMIF('TL14'!C:C,C365,'TL14'!J:J),
SUMIF('TL15'!C:C,C365,'TL15'!J:J),
SUMIF('TL16'!C:C,C365,'TL16'!J:J),
SUMIF('TL17'!C:C,C365,'TL17'!J:J),
SUMIF('TL18'!C:C,C365,'TL18'!J:J),SUMIF('TL19'!C:C,C365,'TL19'!J:J))
,0)</f>
        <v>0</v>
      </c>
      <c r="S365" s="17">
        <f>IFERROR(__xludf.DUMMYFUNCTION("IFERROR(VLOOKUP(C365,
IMPORTRANGE(""1wULbzX32WdYsx-lj2U3uUNBBe2INVIRDtcK0d-Dvl90"",
""26-27!C:G""),
5,
FALSE),
"""")"),48.91)</f>
        <v>48.91</v>
      </c>
      <c r="T365" s="9"/>
      <c r="U365" s="92">
        <f t="shared" si="2"/>
        <v>0</v>
      </c>
      <c r="V365" s="93">
        <f t="shared" si="3"/>
        <v>0</v>
      </c>
    </row>
    <row r="366" ht="15.75" hidden="1" customHeight="1">
      <c r="A366" s="4" t="s">
        <v>1071</v>
      </c>
      <c r="B366" s="4" t="s">
        <v>4</v>
      </c>
      <c r="C366" s="126" t="s">
        <v>1104</v>
      </c>
      <c r="D366" s="127" t="s">
        <v>1073</v>
      </c>
      <c r="E366" s="6"/>
      <c r="F366" s="4"/>
      <c r="G366" s="90" t="str">
        <f t="shared" si="5"/>
        <v>📄 Ver bula</v>
      </c>
      <c r="H366" s="4">
        <v>2.0</v>
      </c>
      <c r="I366" s="123"/>
      <c r="J366" s="9">
        <f>IFERROR(SUM(
IF('TL01'!$B$3=J$3,SUMIF('TL01'!$C$10:$C$224,$C366,'TL01'!$J$10:$J$224),0),
IF('TL01'!$B$229=J$3,SUMIF('TL01'!$C$238:$C$451,$C366,'TL01'!$J$238:$J$451),0),
IF('TL02'!$B$3=J$3,SUMIF('TL02'!$C$10:$C$224,$C366,'TL02'!$J$10:$J$224),0),
IF('TL02'!$B$229=J$3,SUMIF('TL02'!$C$238:$C$451,$C366,'TL02'!$J$238:$J$451),0),
IF('TL03'!$B$3=J$3,SUMIF('TL03'!$C$10:$C$224,$C366,'TL03'!$J$10:$J$224),0),
IF('TL03'!$B$229=J$3,SUMIF('TL03'!$C$238:$C$451,$C366,'TL03'!$J$238:$J$451),0),
IF('TL04'!$B$3=J$3,SUMIF('TL04'!$C$10:$C$224,$C366,'TL04'!$J$10:$J$224),0),
IF('TL04'!$B$229=J$3,SUMIF('TL04'!$C$238:$C$451,$C366,'TL04'!$J$238:$J$451),0),
IF('TL05'!$B$3=J$3,SUMIF('TL05'!$C$10:$C$224,$C366,'TL05'!$J$10:$J$224),0),
IF('TL05'!$B$229=J$3,SUMIF('TL05'!$C$238:$C$451,$C366,'TL05'!$J$238:$J$451),0),
IF('TL06'!$B$3=J$3,SUMIF('TL06'!$C$10:$C$224,$C366,'TL06'!$J$10:$J$224),0),
IF('TL06'!$B$229=J$3,SUMIF('TL06'!$C$238:$C$451,$C366,'TL06'!$J$238:$J$451),0),
IF('TL07'!$B$3=J$3,SUMIF('TL07'!$C$10:$C$224,$C366,'TL07'!$J$10:$J$224),0),
IF('TL07'!$B$229=J$3,SUMIF('TL07'!$C$238:$C$451,$C366,'TL07'!$J$238:$J$451),0),
IF('TL08'!$B$3=J$3,SUMIF('TL08'!$C$10:$C$224,$C366,'TL08'!$J$10:$J$224),0),
IF('TL08'!$B$229=J$3,SUMIF('TL08'!$C$238:$C$451,$C366,'TL08'!$J$238:$J$451),0),
IF('TL09'!$B$3=J$3,SUMIF('TL09'!$C$10:$C$224,$C366,'TL09'!$J$10:$J$224),0),
IF('TL09'!$B$229=J$3,SUMIF('TL09'!$C$238:$C$451,$C366,'TL09'!$J$238:$J$451),0),
IF('TL10'!$B$3=J$3,SUMIF('TL10'!$C$10:$C$224,$C366,'TL10'!$J$10:$J$224),0),
IF('TL10'!$B$229=J$3,SUMIF('TL10'!$C$238:$C$451,$C366,'TL10'!$J$238:$J$451),0),
IF('TL11'!$B$3=J$3,SUMIF('TL11'!$C$10:$C$224,$C366,'TL11'!$J$10:$J$224),0),
IF('TL11'!$B$229=J$3,SUMIF('TL11'!$C$238:$C$451,$C366,'TL11'!$J$238:$J$451),0),
IF('TL12'!$B$3=J$3,SUMIF('TL12'!$C$10:$C$224,$C366,'TL12'!$J$10:$J$224),0),
IF('TL12'!$B$229=J$3,SUMIF('TL12'!$C$238:$C$451,$C366,'TL12'!$J$238:$J$451),0),
IF('TL13'!$B$3=J$3,SUMIF('TL13'!$C$10:$C$224,$C366,'TL13'!$J$10:$J$224),0),
IF('TL13'!$B$229=J$3,SUMIF('TL13'!$C$238:$C$451,$C366,'TL13'!$J$238:$J$451),0),
IF('TL14'!$B$3=J$3,SUMIF('TL14'!$C$10:$C$224,$C366,'TL14'!$J$10:$J$224),0),
IF('TL14'!$B$229=J$3,SUMIF('TL14'!$C$238:$C$451,$C366,'TL14'!$J$238:$J$451),0),
IF('TL15'!$B$3=J$3,SUMIF('TL15'!$C$10:$C$224,$C366,'TL15'!$J$10:$J$224),0),
IF('TL15'!$B$229=J$3,SUMIF('TL15'!$C$238:$C$451,$C366,'TL15'!$J$238:$J$451),0),
IF('TL16'!$B$3=J$3,SUMIF('TL16'!$C$10:$C$224,$C366,'TL16'!$J$10:$J$224),0),
IF('TL16'!$B$229=J$3,SUMIF('TL16'!$C$238:$C$451,$C366,'TL16'!$J$238:$J$451),0),
IF('TL17'!$B$3=J$3,SUMIF('TL17'!$C$10:$C$224,$C366,'TL17'!$J$10:$J$224),0),
IF('TL17'!$B$229=J$3,SUMIF('TL17'!$C$238:$C$451,$C366,'TL17'!$J$238:$J$451),0),
IF('TL18'!$B$3=J$3,SUMIF('TL18'!$C$10:$C$224,$C366,'TL18'!$J$10:$J$224),0),
IF('TL18'!$B$229=J$3,SUMIF('TL18'!$C$238:$C$451,$C366,'TL18'!$J$238:$J$451),0),
IF('TL19'!$B$3=J$3,SUMIF('TL19'!$C$10:$C$224,$C366,'TL19'!$J$10:$J$224),0),
IF('TL19'!$B$229=J$3,SUMIF('TL19'!$C$238:$C$451,$C366,'TL19'!$J$238:$J$451),0)
),0)</f>
        <v>0</v>
      </c>
      <c r="K366" s="9">
        <f>IFERROR(SUM(
IF('TL01'!$B$3=K$3,SUMIF('TL01'!$C$10:$C$224,$C366,'TL01'!$J$10:$J$224),0),
IF('TL01'!$B$229=K$3,SUMIF('TL01'!$C$238:$C$451,$C366,'TL01'!$J$238:$J$451),0),
IF('TL02'!$B$3=K$3,SUMIF('TL02'!$C$10:$C$224,$C366,'TL02'!$J$10:$J$224),0),
IF('TL02'!$B$229=K$3,SUMIF('TL02'!$C$238:$C$451,$C366,'TL02'!$J$238:$J$451),0),
IF('TL03'!$B$3=K$3,SUMIF('TL03'!$C$10:$C$224,$C366,'TL03'!$J$10:$J$224),0),
IF('TL03'!$B$229=K$3,SUMIF('TL03'!$C$238:$C$451,$C366,'TL03'!$J$238:$J$451),0),
IF('TL04'!$B$3=K$3,SUMIF('TL04'!$C$10:$C$224,$C366,'TL04'!$J$10:$J$224),0),
IF('TL04'!$B$229=K$3,SUMIF('TL04'!$C$238:$C$451,$C366,'TL04'!$J$238:$J$451),0),
IF('TL05'!$B$3=K$3,SUMIF('TL05'!$C$10:$C$224,$C366,'TL05'!$J$10:$J$224),0),
IF('TL05'!$B$229=K$3,SUMIF('TL05'!$C$238:$C$451,$C366,'TL05'!$J$238:$J$451),0),
IF('TL06'!$B$3=K$3,SUMIF('TL06'!$C$10:$C$224,$C366,'TL06'!$J$10:$J$224),0),
IF('TL06'!$B$229=K$3,SUMIF('TL06'!$C$238:$C$451,$C366,'TL06'!$J$238:$J$451),0),
IF('TL07'!$B$3=K$3,SUMIF('TL07'!$C$10:$C$224,$C366,'TL07'!$J$10:$J$224),0),
IF('TL07'!$B$229=K$3,SUMIF('TL07'!$C$238:$C$451,$C366,'TL07'!$J$238:$J$451),0),
IF('TL08'!$B$3=K$3,SUMIF('TL08'!$C$10:$C$224,$C366,'TL08'!$J$10:$J$224),0),
IF('TL08'!$B$229=K$3,SUMIF('TL08'!$C$238:$C$451,$C366,'TL08'!$J$238:$J$451),0),
IF('TL09'!$B$3=K$3,SUMIF('TL09'!$C$10:$C$224,$C366,'TL09'!$J$10:$J$224),0),
IF('TL09'!$B$229=K$3,SUMIF('TL09'!$C$238:$C$451,$C366,'TL09'!$J$238:$J$451),0),
IF('TL10'!$B$3=K$3,SUMIF('TL10'!$C$10:$C$224,$C366,'TL10'!$J$10:$J$224),0),
IF('TL10'!$B$229=K$3,SUMIF('TL10'!$C$238:$C$451,$C366,'TL10'!$J$238:$J$451),0),
IF('TL11'!$B$3=K$3,SUMIF('TL11'!$C$10:$C$224,$C366,'TL11'!$J$10:$J$224),0),
IF('TL11'!$B$229=K$3,SUMIF('TL11'!$C$238:$C$451,$C366,'TL11'!$J$238:$J$451),0),
IF('TL12'!$B$3=K$3,SUMIF('TL12'!$C$10:$C$224,$C366,'TL12'!$J$10:$J$224),0),
IF('TL12'!$B$229=K$3,SUMIF('TL12'!$C$238:$C$451,$C366,'TL12'!$J$238:$J$451),0),
IF('TL13'!$B$3=K$3,SUMIF('TL13'!$C$10:$C$224,$C366,'TL13'!$J$10:$J$224),0),
IF('TL13'!$B$229=K$3,SUMIF('TL13'!$C$238:$C$451,$C366,'TL13'!$J$238:$J$451),0),
IF('TL14'!$B$3=K$3,SUMIF('TL14'!$C$10:$C$224,$C366,'TL14'!$J$10:$J$224),0),
IF('TL14'!$B$229=K$3,SUMIF('TL14'!$C$238:$C$451,$C366,'TL14'!$J$238:$J$451),0),
IF('TL15'!$B$3=K$3,SUMIF('TL15'!$C$10:$C$224,$C366,'TL15'!$J$10:$J$224),0),
IF('TL15'!$B$229=K$3,SUMIF('TL15'!$C$238:$C$451,$C366,'TL15'!$J$238:$J$451),0),
IF('TL16'!$B$3=K$3,SUMIF('TL16'!$C$10:$C$224,$C366,'TL16'!$J$10:$J$224),0),
IF('TL16'!$B$229=K$3,SUMIF('TL16'!$C$238:$C$451,$C366,'TL16'!$J$238:$J$451),0),
IF('TL17'!$B$3=K$3,SUMIF('TL17'!$C$10:$C$224,$C366,'TL17'!$J$10:$J$224),0),
IF('TL17'!$B$229=K$3,SUMIF('TL17'!$C$238:$C$451,$C366,'TL17'!$J$238:$J$451),0),
IF('TL18'!$B$3=K$3,SUMIF('TL18'!$C$10:$C$224,$C366,'TL18'!$J$10:$J$224),0),
IF('TL18'!$B$229=K$3,SUMIF('TL18'!$C$238:$C$451,$C366,'TL18'!$J$238:$J$451),0),
IF('TL19'!$B$3=K$3,SUMIF('TL19'!$C$10:$C$224,$C366,'TL19'!$J$10:$J$224),0),
IF('TL19'!$B$229=K$3,SUMIF('TL19'!$C$238:$C$451,$C366,'TL19'!$J$238:$J$451),0)
),0)</f>
        <v>0</v>
      </c>
      <c r="L366" s="9">
        <f>IFERROR(SUM(
IF('TL01'!$B$3=L$3,SUMIF('TL01'!$C$10:$C$224,$C366,'TL01'!$J$10:$J$224),0),
IF('TL01'!$B$229=L$3,SUMIF('TL01'!$C$238:$C$451,$C366,'TL01'!$J$238:$J$451),0),
IF('TL02'!$B$3=L$3,SUMIF('TL02'!$C$10:$C$224,$C366,'TL02'!$J$10:$J$224),0),
IF('TL02'!$B$229=L$3,SUMIF('TL02'!$C$238:$C$451,$C366,'TL02'!$J$238:$J$451),0),
IF('TL03'!$B$3=L$3,SUMIF('TL03'!$C$10:$C$224,$C366,'TL03'!$J$10:$J$224),0),
IF('TL03'!$B$229=L$3,SUMIF('TL03'!$C$238:$C$451,$C366,'TL03'!$J$238:$J$451),0),
IF('TL04'!$B$3=L$3,SUMIF('TL04'!$C$10:$C$224,$C366,'TL04'!$J$10:$J$224),0),
IF('TL04'!$B$229=L$3,SUMIF('TL04'!$C$238:$C$451,$C366,'TL04'!$J$238:$J$451),0),
IF('TL05'!$B$3=L$3,SUMIF('TL05'!$C$10:$C$224,$C366,'TL05'!$J$10:$J$224),0),
IF('TL05'!$B$229=L$3,SUMIF('TL05'!$C$238:$C$451,$C366,'TL05'!$J$238:$J$451),0),
IF('TL06'!$B$3=L$3,SUMIF('TL06'!$C$10:$C$224,$C366,'TL06'!$J$10:$J$224),0),
IF('TL06'!$B$229=L$3,SUMIF('TL06'!$C$238:$C$451,$C366,'TL06'!$J$238:$J$451),0),
IF('TL07'!$B$3=L$3,SUMIF('TL07'!$C$10:$C$224,$C366,'TL07'!$J$10:$J$224),0),
IF('TL07'!$B$229=L$3,SUMIF('TL07'!$C$238:$C$451,$C366,'TL07'!$J$238:$J$451),0),
IF('TL08'!$B$3=L$3,SUMIF('TL08'!$C$10:$C$224,$C366,'TL08'!$J$10:$J$224),0),
IF('TL08'!$B$229=L$3,SUMIF('TL08'!$C$238:$C$451,$C366,'TL08'!$J$238:$J$451),0),
IF('TL09'!$B$3=L$3,SUMIF('TL09'!$C$10:$C$224,$C366,'TL09'!$J$10:$J$224),0),
IF('TL09'!$B$229=L$3,SUMIF('TL09'!$C$238:$C$451,$C366,'TL09'!$J$238:$J$451),0),
IF('TL10'!$B$3=L$3,SUMIF('TL10'!$C$10:$C$224,$C366,'TL10'!$J$10:$J$224),0),
IF('TL10'!$B$229=L$3,SUMIF('TL10'!$C$238:$C$451,$C366,'TL10'!$J$238:$J$451),0),
IF('TL11'!$B$3=L$3,SUMIF('TL11'!$C$10:$C$224,$C366,'TL11'!$J$10:$J$224),0),
IF('TL11'!$B$229=L$3,SUMIF('TL11'!$C$238:$C$451,$C366,'TL11'!$J$238:$J$451),0),
IF('TL12'!$B$3=L$3,SUMIF('TL12'!$C$10:$C$224,$C366,'TL12'!$J$10:$J$224),0),
IF('TL12'!$B$229=L$3,SUMIF('TL12'!$C$238:$C$451,$C366,'TL12'!$J$238:$J$451),0),
IF('TL13'!$B$3=L$3,SUMIF('TL13'!$C$10:$C$224,$C366,'TL13'!$J$10:$J$224),0),
IF('TL13'!$B$229=L$3,SUMIF('TL13'!$C$238:$C$451,$C366,'TL13'!$J$238:$J$451),0),
IF('TL14'!$B$3=L$3,SUMIF('TL14'!$C$10:$C$224,$C366,'TL14'!$J$10:$J$224),0),
IF('TL14'!$B$229=L$3,SUMIF('TL14'!$C$238:$C$451,$C366,'TL14'!$J$238:$J$451),0),
IF('TL15'!$B$3=L$3,SUMIF('TL15'!$C$10:$C$224,$C366,'TL15'!$J$10:$J$224),0),
IF('TL15'!$B$229=L$3,SUMIF('TL15'!$C$238:$C$451,$C366,'TL15'!$J$238:$J$451),0),
IF('TL16'!$B$3=L$3,SUMIF('TL16'!$C$10:$C$224,$C366,'TL16'!$J$10:$J$224),0),
IF('TL16'!$B$229=L$3,SUMIF('TL16'!$C$238:$C$451,$C366,'TL16'!$J$238:$J$451),0),
IF('TL17'!$B$3=L$3,SUMIF('TL17'!$C$10:$C$224,$C366,'TL17'!$J$10:$J$224),0),
IF('TL17'!$B$229=L$3,SUMIF('TL17'!$C$238:$C$451,$C366,'TL17'!$J$238:$J$451),0),
IF('TL18'!$B$3=L$3,SUMIF('TL18'!$C$10:$C$224,$C366,'TL18'!$J$10:$J$224),0),
IF('TL18'!$B$229=L$3,SUMIF('TL18'!$C$238:$C$451,$C366,'TL18'!$J$238:$J$451),0),
IF('TL19'!$B$3=L$3,SUMIF('TL19'!$C$10:$C$224,$C366,'TL19'!$J$10:$J$224),0),
IF('TL19'!$B$229=L$3,SUMIF('TL19'!$C$238:$C$451,$C366,'TL19'!$J$238:$J$451),0)
),0)</f>
        <v>0</v>
      </c>
      <c r="M366" s="9">
        <f>IFERROR(SUM(
IF('TL01'!$B$3=M$3,SUMIF('TL01'!$C$10:$C$224,$C366,'TL01'!$J$10:$J$224),0),
IF('TL01'!$B$229=M$3,SUMIF('TL01'!$C$238:$C$451,$C366,'TL01'!$J$238:$J$451),0),
IF('TL02'!$B$3=M$3,SUMIF('TL02'!$C$10:$C$224,$C366,'TL02'!$J$10:$J$224),0),
IF('TL02'!$B$229=M$3,SUMIF('TL02'!$C$238:$C$451,$C366,'TL02'!$J$238:$J$451),0),
IF('TL03'!$B$3=M$3,SUMIF('TL03'!$C$10:$C$224,$C366,'TL03'!$J$10:$J$224),0),
IF('TL03'!$B$229=M$3,SUMIF('TL03'!$C$238:$C$451,$C366,'TL03'!$J$238:$J$451),0),
IF('TL04'!$B$3=M$3,SUMIF('TL04'!$C$10:$C$224,$C366,'TL04'!$J$10:$J$224),0),
IF('TL04'!$B$229=M$3,SUMIF('TL04'!$C$238:$C$451,$C366,'TL04'!$J$238:$J$451),0),
IF('TL05'!$B$3=M$3,SUMIF('TL05'!$C$10:$C$224,$C366,'TL05'!$J$10:$J$224),0),
IF('TL05'!$B$229=M$3,SUMIF('TL05'!$C$238:$C$451,$C366,'TL05'!$J$238:$J$451),0),
IF('TL06'!$B$3=M$3,SUMIF('TL06'!$C$10:$C$224,$C366,'TL06'!$J$10:$J$224),0),
IF('TL06'!$B$229=M$3,SUMIF('TL06'!$C$238:$C$451,$C366,'TL06'!$J$238:$J$451),0),
IF('TL07'!$B$3=M$3,SUMIF('TL07'!$C$10:$C$224,$C366,'TL07'!$J$10:$J$224),0),
IF('TL07'!$B$229=M$3,SUMIF('TL07'!$C$238:$C$451,$C366,'TL07'!$J$238:$J$451),0),
IF('TL08'!$B$3=M$3,SUMIF('TL08'!$C$10:$C$224,$C366,'TL08'!$J$10:$J$224),0),
IF('TL08'!$B$229=M$3,SUMIF('TL08'!$C$238:$C$451,$C366,'TL08'!$J$238:$J$451),0),
IF('TL09'!$B$3=M$3,SUMIF('TL09'!$C$10:$C$224,$C366,'TL09'!$J$10:$J$224),0),
IF('TL09'!$B$229=M$3,SUMIF('TL09'!$C$238:$C$451,$C366,'TL09'!$J$238:$J$451),0),
IF('TL10'!$B$3=M$3,SUMIF('TL10'!$C$10:$C$224,$C366,'TL10'!$J$10:$J$224),0),
IF('TL10'!$B$229=M$3,SUMIF('TL10'!$C$238:$C$451,$C366,'TL10'!$J$238:$J$451),0),
IF('TL11'!$B$3=M$3,SUMIF('TL11'!$C$10:$C$224,$C366,'TL11'!$J$10:$J$224),0),
IF('TL11'!$B$229=M$3,SUMIF('TL11'!$C$238:$C$451,$C366,'TL11'!$J$238:$J$451),0),
IF('TL12'!$B$3=M$3,SUMIF('TL12'!$C$10:$C$224,$C366,'TL12'!$J$10:$J$224),0),
IF('TL12'!$B$229=M$3,SUMIF('TL12'!$C$238:$C$451,$C366,'TL12'!$J$238:$J$451),0),
IF('TL13'!$B$3=M$3,SUMIF('TL13'!$C$10:$C$224,$C366,'TL13'!$J$10:$J$224),0),
IF('TL13'!$B$229=M$3,SUMIF('TL13'!$C$238:$C$451,$C366,'TL13'!$J$238:$J$451),0),
IF('TL14'!$B$3=M$3,SUMIF('TL14'!$C$10:$C$224,$C366,'TL14'!$J$10:$J$224),0),
IF('TL14'!$B$229=M$3,SUMIF('TL14'!$C$238:$C$451,$C366,'TL14'!$J$238:$J$451),0),
IF('TL15'!$B$3=M$3,SUMIF('TL15'!$C$10:$C$224,$C366,'TL15'!$J$10:$J$224),0),
IF('TL15'!$B$229=M$3,SUMIF('TL15'!$C$238:$C$451,$C366,'TL15'!$J$238:$J$451),0),
IF('TL16'!$B$3=M$3,SUMIF('TL16'!$C$10:$C$224,$C366,'TL16'!$J$10:$J$224),0),
IF('TL16'!$B$229=M$3,SUMIF('TL16'!$C$238:$C$451,$C366,'TL16'!$J$238:$J$451),0),
IF('TL17'!$B$3=M$3,SUMIF('TL17'!$C$10:$C$224,$C366,'TL17'!$J$10:$J$224),0),
IF('TL17'!$B$229=M$3,SUMIF('TL17'!$C$238:$C$451,$C366,'TL17'!$J$238:$J$451),0),
IF('TL18'!$B$3=M$3,SUMIF('TL18'!$C$10:$C$224,$C366,'TL18'!$J$10:$J$224),0),
IF('TL18'!$B$229=M$3,SUMIF('TL18'!$C$238:$C$451,$C366,'TL18'!$J$238:$J$451),0),
IF('TL19'!$B$3=M$3,SUMIF('TL19'!$C$10:$C$224,$C366,'TL19'!$J$10:$J$224),0),
IF('TL19'!$B$229=M$3,SUMIF('TL19'!$C$238:$C$451,$C366,'TL19'!$J$238:$J$451),0)
),0)</f>
        <v>0</v>
      </c>
      <c r="N366" s="9">
        <f>IFERROR(SUM(
IF('TL01'!$B$3=N$3,SUMIF('TL01'!$C$10:$C$224,$C366,'TL01'!$J$10:$J$224),0),
IF('TL01'!$B$229=N$3,SUMIF('TL01'!$C$238:$C$451,$C366,'TL01'!$J$238:$J$451),0),
IF('TL02'!$B$3=N$3,SUMIF('TL02'!$C$10:$C$224,$C366,'TL02'!$J$10:$J$224),0),
IF('TL02'!$B$229=N$3,SUMIF('TL02'!$C$238:$C$451,$C366,'TL02'!$J$238:$J$451),0),
IF('TL03'!$B$3=N$3,SUMIF('TL03'!$C$10:$C$224,$C366,'TL03'!$J$10:$J$224),0),
IF('TL03'!$B$229=N$3,SUMIF('TL03'!$C$238:$C$451,$C366,'TL03'!$J$238:$J$451),0),
IF('TL04'!$B$3=N$3,SUMIF('TL04'!$C$10:$C$224,$C366,'TL04'!$J$10:$J$224),0),
IF('TL04'!$B$229=N$3,SUMIF('TL04'!$C$238:$C$451,$C366,'TL04'!$J$238:$J$451),0),
IF('TL05'!$B$3=N$3,SUMIF('TL05'!$C$10:$C$224,$C366,'TL05'!$J$10:$J$224),0),
IF('TL05'!$B$229=N$3,SUMIF('TL05'!$C$238:$C$451,$C366,'TL05'!$J$238:$J$451),0),
IF('TL06'!$B$3=N$3,SUMIF('TL06'!$C$10:$C$224,$C366,'TL06'!$J$10:$J$224),0),
IF('TL06'!$B$229=N$3,SUMIF('TL06'!$C$238:$C$451,$C366,'TL06'!$J$238:$J$451),0),
IF('TL07'!$B$3=N$3,SUMIF('TL07'!$C$10:$C$224,$C366,'TL07'!$J$10:$J$224),0),
IF('TL07'!$B$229=N$3,SUMIF('TL07'!$C$238:$C$451,$C366,'TL07'!$J$238:$J$451),0),
IF('TL08'!$B$3=N$3,SUMIF('TL08'!$C$10:$C$224,$C366,'TL08'!$J$10:$J$224),0),
IF('TL08'!$B$229=N$3,SUMIF('TL08'!$C$238:$C$451,$C366,'TL08'!$J$238:$J$451),0),
IF('TL09'!$B$3=N$3,SUMIF('TL09'!$C$10:$C$224,$C366,'TL09'!$J$10:$J$224),0),
IF('TL09'!$B$229=N$3,SUMIF('TL09'!$C$238:$C$451,$C366,'TL09'!$J$238:$J$451),0),
IF('TL10'!$B$3=N$3,SUMIF('TL10'!$C$10:$C$224,$C366,'TL10'!$J$10:$J$224),0),
IF('TL10'!$B$229=N$3,SUMIF('TL10'!$C$238:$C$451,$C366,'TL10'!$J$238:$J$451),0),
IF('TL11'!$B$3=N$3,SUMIF('TL11'!$C$10:$C$224,$C366,'TL11'!$J$10:$J$224),0),
IF('TL11'!$B$229=N$3,SUMIF('TL11'!$C$238:$C$451,$C366,'TL11'!$J$238:$J$451),0),
IF('TL12'!$B$3=N$3,SUMIF('TL12'!$C$10:$C$224,$C366,'TL12'!$J$10:$J$224),0),
IF('TL12'!$B$229=N$3,SUMIF('TL12'!$C$238:$C$451,$C366,'TL12'!$J$238:$J$451),0),
IF('TL13'!$B$3=N$3,SUMIF('TL13'!$C$10:$C$224,$C366,'TL13'!$J$10:$J$224),0),
IF('TL13'!$B$229=N$3,SUMIF('TL13'!$C$238:$C$451,$C366,'TL13'!$J$238:$J$451),0),
IF('TL14'!$B$3=N$3,SUMIF('TL14'!$C$10:$C$224,$C366,'TL14'!$J$10:$J$224),0),
IF('TL14'!$B$229=N$3,SUMIF('TL14'!$C$238:$C$451,$C366,'TL14'!$J$238:$J$451),0),
IF('TL15'!$B$3=N$3,SUMIF('TL15'!$C$10:$C$224,$C366,'TL15'!$J$10:$J$224),0),
IF('TL15'!$B$229=N$3,SUMIF('TL15'!$C$238:$C$451,$C366,'TL15'!$J$238:$J$451),0),
IF('TL16'!$B$3=N$3,SUMIF('TL16'!$C$10:$C$224,$C366,'TL16'!$J$10:$J$224),0),
IF('TL16'!$B$229=N$3,SUMIF('TL16'!$C$238:$C$451,$C366,'TL16'!$J$238:$J$451),0),
IF('TL17'!$B$3=N$3,SUMIF('TL17'!$C$10:$C$224,$C366,'TL17'!$J$10:$J$224),0),
IF('TL17'!$B$229=N$3,SUMIF('TL17'!$C$238:$C$451,$C366,'TL17'!$J$238:$J$451),0),
IF('TL18'!$B$3=N$3,SUMIF('TL18'!$C$10:$C$224,$C366,'TL18'!$J$10:$J$224),0),
IF('TL18'!$B$229=N$3,SUMIF('TL18'!$C$238:$C$451,$C366,'TL18'!$J$238:$J$451),0),
IF('TL19'!$B$3=N$3,SUMIF('TL19'!$C$10:$C$224,$C366,'TL19'!$J$10:$J$224),0),
IF('TL19'!$B$229=N$3,SUMIF('TL19'!$C$238:$C$451,$C366,'TL19'!$J$238:$J$451),0)
),0)</f>
        <v>0</v>
      </c>
      <c r="O366" s="9">
        <f>IFERROR(SUM(
IF('TL01'!$B$3=O$3,SUMIF('TL01'!$C$10:$C$224,$C366,'TL01'!$J$10:$J$224),0),
IF('TL01'!$B$229=O$3,SUMIF('TL01'!$C$238:$C$451,$C366,'TL01'!$J$238:$J$451),0),
IF('TL02'!$B$3=O$3,SUMIF('TL02'!$C$10:$C$224,$C366,'TL02'!$J$10:$J$224),0),
IF('TL02'!$B$229=O$3,SUMIF('TL02'!$C$238:$C$451,$C366,'TL02'!$J$238:$J$451),0),
IF('TL03'!$B$3=O$3,SUMIF('TL03'!$C$10:$C$224,$C366,'TL03'!$J$10:$J$224),0),
IF('TL03'!$B$229=O$3,SUMIF('TL03'!$C$238:$C$451,$C366,'TL03'!$J$238:$J$451),0),
IF('TL04'!$B$3=O$3,SUMIF('TL04'!$C$10:$C$224,$C366,'TL04'!$J$10:$J$224),0),
IF('TL04'!$B$229=O$3,SUMIF('TL04'!$C$238:$C$451,$C366,'TL04'!$J$238:$J$451),0),
IF('TL05'!$B$3=O$3,SUMIF('TL05'!$C$10:$C$224,$C366,'TL05'!$J$10:$J$224),0),
IF('TL05'!$B$229=O$3,SUMIF('TL05'!$C$238:$C$451,$C366,'TL05'!$J$238:$J$451),0),
IF('TL06'!$B$3=O$3,SUMIF('TL06'!$C$10:$C$224,$C366,'TL06'!$J$10:$J$224),0),
IF('TL06'!$B$229=O$3,SUMIF('TL06'!$C$238:$C$451,$C366,'TL06'!$J$238:$J$451),0),
IF('TL07'!$B$3=O$3,SUMIF('TL07'!$C$10:$C$224,$C366,'TL07'!$J$10:$J$224),0),
IF('TL07'!$B$229=O$3,SUMIF('TL07'!$C$238:$C$451,$C366,'TL07'!$J$238:$J$451),0),
IF('TL08'!$B$3=O$3,SUMIF('TL08'!$C$10:$C$224,$C366,'TL08'!$J$10:$J$224),0),
IF('TL08'!$B$229=O$3,SUMIF('TL08'!$C$238:$C$451,$C366,'TL08'!$J$238:$J$451),0),
IF('TL09'!$B$3=O$3,SUMIF('TL09'!$C$10:$C$224,$C366,'TL09'!$J$10:$J$224),0),
IF('TL09'!$B$229=O$3,SUMIF('TL09'!$C$238:$C$451,$C366,'TL09'!$J$238:$J$451),0),
IF('TL10'!$B$3=O$3,SUMIF('TL10'!$C$10:$C$224,$C366,'TL10'!$J$10:$J$224),0),
IF('TL10'!$B$229=O$3,SUMIF('TL10'!$C$238:$C$451,$C366,'TL10'!$J$238:$J$451),0),
IF('TL11'!$B$3=O$3,SUMIF('TL11'!$C$10:$C$224,$C366,'TL11'!$J$10:$J$224),0),
IF('TL11'!$B$229=O$3,SUMIF('TL11'!$C$238:$C$451,$C366,'TL11'!$J$238:$J$451),0),
IF('TL12'!$B$3=O$3,SUMIF('TL12'!$C$10:$C$224,$C366,'TL12'!$J$10:$J$224),0),
IF('TL12'!$B$229=O$3,SUMIF('TL12'!$C$238:$C$451,$C366,'TL12'!$J$238:$J$451),0),
IF('TL13'!$B$3=O$3,SUMIF('TL13'!$C$10:$C$224,$C366,'TL13'!$J$10:$J$224),0),
IF('TL13'!$B$229=O$3,SUMIF('TL13'!$C$238:$C$451,$C366,'TL13'!$J$238:$J$451),0),
IF('TL14'!$B$3=O$3,SUMIF('TL14'!$C$10:$C$224,$C366,'TL14'!$J$10:$J$224),0),
IF('TL14'!$B$229=O$3,SUMIF('TL14'!$C$238:$C$451,$C366,'TL14'!$J$238:$J$451),0),
IF('TL15'!$B$3=O$3,SUMIF('TL15'!$C$10:$C$224,$C366,'TL15'!$J$10:$J$224),0),
IF('TL15'!$B$229=O$3,SUMIF('TL15'!$C$238:$C$451,$C366,'TL15'!$J$238:$J$451),0),
IF('TL16'!$B$3=O$3,SUMIF('TL16'!$C$10:$C$224,$C366,'TL16'!$J$10:$J$224),0),
IF('TL16'!$B$229=O$3,SUMIF('TL16'!$C$238:$C$451,$C366,'TL16'!$J$238:$J$451),0),
IF('TL17'!$B$3=O$3,SUMIF('TL17'!$C$10:$C$224,$C366,'TL17'!$J$10:$J$224),0),
IF('TL17'!$B$229=O$3,SUMIF('TL17'!$C$238:$C$451,$C366,'TL17'!$J$238:$J$451),0),
IF('TL18'!$B$3=O$3,SUMIF('TL18'!$C$10:$C$224,$C366,'TL18'!$J$10:$J$224),0),
IF('TL18'!$B$229=O$3,SUMIF('TL18'!$C$238:$C$451,$C366,'TL18'!$J$238:$J$451),0),
IF('TL19'!$B$3=O$3,SUMIF('TL19'!$C$10:$C$224,$C366,'TL19'!$J$10:$J$224),0),
IF('TL19'!$B$229=O$3,SUMIF('TL19'!$C$238:$C$451,$C366,'TL19'!$J$238:$J$451),0)
),0)</f>
        <v>0</v>
      </c>
      <c r="P366" s="9">
        <f>IFERROR(SUM(
IF('TL01'!$B$3=P$3,SUMIF('TL01'!$C$10:$C$224,$C366,'TL01'!$J$10:$J$224),0),
IF('TL01'!$B$229=P$3,SUMIF('TL01'!$C$238:$C$451,$C366,'TL01'!$J$238:$J$451),0),
IF('TL02'!$B$3=P$3,SUMIF('TL02'!$C$10:$C$224,$C366,'TL02'!$J$10:$J$224),0),
IF('TL02'!$B$229=P$3,SUMIF('TL02'!$C$238:$C$451,$C366,'TL02'!$J$238:$J$451),0),
IF('TL03'!$B$3=P$3,SUMIF('TL03'!$C$10:$C$224,$C366,'TL03'!$J$10:$J$224),0),
IF('TL03'!$B$229=P$3,SUMIF('TL03'!$C$238:$C$451,$C366,'TL03'!$J$238:$J$451),0),
IF('TL04'!$B$3=P$3,SUMIF('TL04'!$C$10:$C$224,$C366,'TL04'!$J$10:$J$224),0),
IF('TL04'!$B$229=P$3,SUMIF('TL04'!$C$238:$C$451,$C366,'TL04'!$J$238:$J$451),0),
IF('TL05'!$B$3=P$3,SUMIF('TL05'!$C$10:$C$224,$C366,'TL05'!$J$10:$J$224),0),
IF('TL05'!$B$229=P$3,SUMIF('TL05'!$C$238:$C$451,$C366,'TL05'!$J$238:$J$451),0),
IF('TL06'!$B$3=P$3,SUMIF('TL06'!$C$10:$C$224,$C366,'TL06'!$J$10:$J$224),0),
IF('TL06'!$B$229=P$3,SUMIF('TL06'!$C$238:$C$451,$C366,'TL06'!$J$238:$J$451),0),
IF('TL07'!$B$3=P$3,SUMIF('TL07'!$C$10:$C$224,$C366,'TL07'!$J$10:$J$224),0),
IF('TL07'!$B$229=P$3,SUMIF('TL07'!$C$238:$C$451,$C366,'TL07'!$J$238:$J$451),0),
IF('TL08'!$B$3=P$3,SUMIF('TL08'!$C$10:$C$224,$C366,'TL08'!$J$10:$J$224),0),
IF('TL08'!$B$229=P$3,SUMIF('TL08'!$C$238:$C$451,$C366,'TL08'!$J$238:$J$451),0),
IF('TL09'!$B$3=P$3,SUMIF('TL09'!$C$10:$C$224,$C366,'TL09'!$J$10:$J$224),0),
IF('TL09'!$B$229=P$3,SUMIF('TL09'!$C$238:$C$451,$C366,'TL09'!$J$238:$J$451),0),
IF('TL10'!$B$3=P$3,SUMIF('TL10'!$C$10:$C$224,$C366,'TL10'!$J$10:$J$224),0),
IF('TL10'!$B$229=P$3,SUMIF('TL10'!$C$238:$C$451,$C366,'TL10'!$J$238:$J$451),0),
IF('TL11'!$B$3=P$3,SUMIF('TL11'!$C$10:$C$224,$C366,'TL11'!$J$10:$J$224),0),
IF('TL11'!$B$229=P$3,SUMIF('TL11'!$C$238:$C$451,$C366,'TL11'!$J$238:$J$451),0),
IF('TL12'!$B$3=P$3,SUMIF('TL12'!$C$10:$C$224,$C366,'TL12'!$J$10:$J$224),0),
IF('TL12'!$B$229=P$3,SUMIF('TL12'!$C$238:$C$451,$C366,'TL12'!$J$238:$J$451),0),
IF('TL13'!$B$3=P$3,SUMIF('TL13'!$C$10:$C$224,$C366,'TL13'!$J$10:$J$224),0),
IF('TL13'!$B$229=P$3,SUMIF('TL13'!$C$238:$C$451,$C366,'TL13'!$J$238:$J$451),0),
IF('TL14'!$B$3=P$3,SUMIF('TL14'!$C$10:$C$224,$C366,'TL14'!$J$10:$J$224),0),
IF('TL14'!$B$229=P$3,SUMIF('TL14'!$C$238:$C$451,$C366,'TL14'!$J$238:$J$451),0),
IF('TL15'!$B$3=P$3,SUMIF('TL15'!$C$10:$C$224,$C366,'TL15'!$J$10:$J$224),0),
IF('TL15'!$B$229=P$3,SUMIF('TL15'!$C$238:$C$451,$C366,'TL15'!$J$238:$J$451),0),
IF('TL16'!$B$3=P$3,SUMIF('TL16'!$C$10:$C$224,$C366,'TL16'!$J$10:$J$224),0),
IF('TL16'!$B$229=P$3,SUMIF('TL16'!$C$238:$C$451,$C366,'TL16'!$J$238:$J$451),0),
IF('TL17'!$B$3=P$3,SUMIF('TL17'!$C$10:$C$224,$C366,'TL17'!$J$10:$J$224),0),
IF('TL17'!$B$229=P$3,SUMIF('TL17'!$C$238:$C$451,$C366,'TL17'!$J$238:$J$451),0),
IF('TL18'!$B$3=P$3,SUMIF('TL18'!$C$10:$C$224,$C366,'TL18'!$J$10:$J$224),0),
IF('TL18'!$B$229=P$3,SUMIF('TL18'!$C$238:$C$451,$C366,'TL18'!$J$238:$J$451),0),
IF('TL19'!$B$3=P$3,SUMIF('TL19'!$C$10:$C$224,$C366,'TL19'!$J$10:$J$224),0),
IF('TL19'!$B$229=P$3,SUMIF('TL19'!$C$238:$C$451,$C366,'TL19'!$J$238:$J$451),0)
),0)</f>
        <v>0</v>
      </c>
      <c r="Q366" s="9">
        <f>IFERROR(SUM(
IF('TL01'!$B$3=Q$3,SUMIF('TL01'!$C$10:$C$224,$C366,'TL01'!$J$10:$J$224),0),
IF('TL01'!$B$229=Q$3,SUMIF('TL01'!$C$238:$C$451,$C366,'TL01'!$J$238:$J$451),0),
IF('TL02'!$B$3=Q$3,SUMIF('TL02'!$C$10:$C$224,$C366,'TL02'!$J$10:$J$224),0),
IF('TL02'!$B$229=Q$3,SUMIF('TL02'!$C$238:$C$451,$C366,'TL02'!$J$238:$J$451),0),
IF('TL03'!$B$3=Q$3,SUMIF('TL03'!$C$10:$C$224,$C366,'TL03'!$J$10:$J$224),0),
IF('TL03'!$B$229=Q$3,SUMIF('TL03'!$C$238:$C$451,$C366,'TL03'!$J$238:$J$451),0),
IF('TL04'!$B$3=Q$3,SUMIF('TL04'!$C$10:$C$224,$C366,'TL04'!$J$10:$J$224),0),
IF('TL04'!$B$229=Q$3,SUMIF('TL04'!$C$238:$C$451,$C366,'TL04'!$J$238:$J$451),0),
IF('TL05'!$B$3=Q$3,SUMIF('TL05'!$C$10:$C$224,$C366,'TL05'!$J$10:$J$224),0),
IF('TL05'!$B$229=Q$3,SUMIF('TL05'!$C$238:$C$451,$C366,'TL05'!$J$238:$J$451),0),
IF('TL06'!$B$3=Q$3,SUMIF('TL06'!$C$10:$C$224,$C366,'TL06'!$J$10:$J$224),0),
IF('TL06'!$B$229=Q$3,SUMIF('TL06'!$C$238:$C$451,$C366,'TL06'!$J$238:$J$451),0),
IF('TL07'!$B$3=Q$3,SUMIF('TL07'!$C$10:$C$224,$C366,'TL07'!$J$10:$J$224),0),
IF('TL07'!$B$229=Q$3,SUMIF('TL07'!$C$238:$C$451,$C366,'TL07'!$J$238:$J$451),0),
IF('TL08'!$B$3=Q$3,SUMIF('TL08'!$C$10:$C$224,$C366,'TL08'!$J$10:$J$224),0),
IF('TL08'!$B$229=Q$3,SUMIF('TL08'!$C$238:$C$451,$C366,'TL08'!$J$238:$J$451),0),
IF('TL09'!$B$3=Q$3,SUMIF('TL09'!$C$10:$C$224,$C366,'TL09'!$J$10:$J$224),0),
IF('TL09'!$B$229=Q$3,SUMIF('TL09'!$C$238:$C$451,$C366,'TL09'!$J$238:$J$451),0),
IF('TL10'!$B$3=Q$3,SUMIF('TL10'!$C$10:$C$224,$C366,'TL10'!$J$10:$J$224),0),
IF('TL10'!$B$229=Q$3,SUMIF('TL10'!$C$238:$C$451,$C366,'TL10'!$J$238:$J$451),0),
IF('TL11'!$B$3=Q$3,SUMIF('TL11'!$C$10:$C$224,$C366,'TL11'!$J$10:$J$224),0),
IF('TL11'!$B$229=Q$3,SUMIF('TL11'!$C$238:$C$451,$C366,'TL11'!$J$238:$J$451),0),
IF('TL12'!$B$3=Q$3,SUMIF('TL12'!$C$10:$C$224,$C366,'TL12'!$J$10:$J$224),0),
IF('TL12'!$B$229=Q$3,SUMIF('TL12'!$C$238:$C$451,$C366,'TL12'!$J$238:$J$451),0),
IF('TL13'!$B$3=Q$3,SUMIF('TL13'!$C$10:$C$224,$C366,'TL13'!$J$10:$J$224),0),
IF('TL13'!$B$229=Q$3,SUMIF('TL13'!$C$238:$C$451,$C366,'TL13'!$J$238:$J$451),0),
IF('TL14'!$B$3=Q$3,SUMIF('TL14'!$C$10:$C$224,$C366,'TL14'!$J$10:$J$224),0),
IF('TL14'!$B$229=Q$3,SUMIF('TL14'!$C$238:$C$451,$C366,'TL14'!$J$238:$J$451),0),
IF('TL15'!$B$3=Q$3,SUMIF('TL15'!$C$10:$C$224,$C366,'TL15'!$J$10:$J$224),0),
IF('TL15'!$B$229=Q$3,SUMIF('TL15'!$C$238:$C$451,$C366,'TL15'!$J$238:$J$451),0),
IF('TL16'!$B$3=Q$3,SUMIF('TL16'!$C$10:$C$224,$C366,'TL16'!$J$10:$J$224),0),
IF('TL16'!$B$229=Q$3,SUMIF('TL16'!$C$238:$C$451,$C366,'TL16'!$J$238:$J$451),0),
IF('TL17'!$B$3=Q$3,SUMIF('TL17'!$C$10:$C$224,$C366,'TL17'!$J$10:$J$224),0),
IF('TL17'!$B$229=Q$3,SUMIF('TL17'!$C$238:$C$451,$C366,'TL17'!$J$238:$J$451),0),
IF('TL18'!$B$3=Q$3,SUMIF('TL18'!$C$10:$C$224,$C366,'TL18'!$J$10:$J$224),0),
IF('TL18'!$B$229=Q$3,SUMIF('TL18'!$C$238:$C$451,$C366,'TL18'!$J$238:$J$451),0),
IF('TL19'!$B$3=Q$3,SUMIF('TL19'!$C$10:$C$224,$C366,'TL19'!$J$10:$J$224),0),
IF('TL19'!$B$229=Q$3,SUMIF('TL19'!$C$238:$C$451,$C366,'TL19'!$J$238:$J$451),0)
),0)</f>
        <v>0</v>
      </c>
      <c r="R366" s="9">
        <f>IFERROR(
SUM(
SUMIF('TL01'!C:C,C366,'TL01'!J:J),
SUMIF('TL02'!C:C,C366,'TL02'!J:J),
SUMIF('TL03'!C:C,C366,'TL03'!J:J),
SUMIF('TL04'!C:C,C366,'TL04'!J:J),
SUMIF('TL05'!C:C,C366,'TL05'!J:J),
SUMIF('TL06'!C:C,C366,'TL06'!J:J),
SUMIF('TL07'!C:C,C366,'TL07'!J:J),
SUMIF('TL08'!C:C,C366,'TL08'!J:J),
SUMIF('TL09'!C:C,C366,'TL09'!J:J),
SUMIF('TL10'!C:C,C366,'TL10'!J:J),
SUMIF('TL11'!C:C,C366,'TL11'!J:J),
SUMIF('TL12'!C:C,C366,'TL12'!J:J),
SUMIF('TL13'!C:C,C366,'TL13'!J:J),
SUMIF('TL14'!C:C,C366,'TL14'!J:J),
SUMIF('TL15'!C:C,C366,'TL15'!J:J),
SUMIF('TL16'!C:C,C366,'TL16'!J:J),
SUMIF('TL17'!C:C,C366,'TL17'!J:J),
SUMIF('TL18'!C:C,C366,'TL18'!J:J),SUMIF('TL19'!C:C,C366,'TL19'!J:J))
,0)</f>
        <v>0</v>
      </c>
      <c r="S366" s="17">
        <f>IFERROR(__xludf.DUMMYFUNCTION("IFERROR(VLOOKUP(C366,
IMPORTRANGE(""1wULbzX32WdYsx-lj2U3uUNBBe2INVIRDtcK0d-Dvl90"",
""26-27!C:G""),
5,
FALSE),
"""")"),48.91)</f>
        <v>48.91</v>
      </c>
      <c r="T366" s="9"/>
      <c r="U366" s="92">
        <f t="shared" si="2"/>
        <v>0</v>
      </c>
      <c r="V366" s="93">
        <f t="shared" si="3"/>
        <v>0</v>
      </c>
    </row>
    <row r="367" ht="15.75" hidden="1" customHeight="1">
      <c r="A367" s="4" t="s">
        <v>1071</v>
      </c>
      <c r="B367" s="4" t="s">
        <v>4</v>
      </c>
      <c r="C367" s="128" t="s">
        <v>1105</v>
      </c>
      <c r="D367" s="129" t="s">
        <v>1106</v>
      </c>
      <c r="E367" s="6"/>
      <c r="F367" s="4"/>
      <c r="G367" s="90" t="str">
        <f t="shared" si="5"/>
        <v>📄 Ver bula</v>
      </c>
      <c r="H367" s="4">
        <v>2.0</v>
      </c>
      <c r="I367" s="123"/>
      <c r="J367" s="9">
        <f>IFERROR(SUM(
IF('TL01'!$B$3=J$3,SUMIF('TL01'!$C$10:$C$224,$C367,'TL01'!$J$10:$J$224),0),
IF('TL01'!$B$229=J$3,SUMIF('TL01'!$C$238:$C$451,$C367,'TL01'!$J$238:$J$451),0),
IF('TL02'!$B$3=J$3,SUMIF('TL02'!$C$10:$C$224,$C367,'TL02'!$J$10:$J$224),0),
IF('TL02'!$B$229=J$3,SUMIF('TL02'!$C$238:$C$451,$C367,'TL02'!$J$238:$J$451),0),
IF('TL03'!$B$3=J$3,SUMIF('TL03'!$C$10:$C$224,$C367,'TL03'!$J$10:$J$224),0),
IF('TL03'!$B$229=J$3,SUMIF('TL03'!$C$238:$C$451,$C367,'TL03'!$J$238:$J$451),0),
IF('TL04'!$B$3=J$3,SUMIF('TL04'!$C$10:$C$224,$C367,'TL04'!$J$10:$J$224),0),
IF('TL04'!$B$229=J$3,SUMIF('TL04'!$C$238:$C$451,$C367,'TL04'!$J$238:$J$451),0),
IF('TL05'!$B$3=J$3,SUMIF('TL05'!$C$10:$C$224,$C367,'TL05'!$J$10:$J$224),0),
IF('TL05'!$B$229=J$3,SUMIF('TL05'!$C$238:$C$451,$C367,'TL05'!$J$238:$J$451),0),
IF('TL06'!$B$3=J$3,SUMIF('TL06'!$C$10:$C$224,$C367,'TL06'!$J$10:$J$224),0),
IF('TL06'!$B$229=J$3,SUMIF('TL06'!$C$238:$C$451,$C367,'TL06'!$J$238:$J$451),0),
IF('TL07'!$B$3=J$3,SUMIF('TL07'!$C$10:$C$224,$C367,'TL07'!$J$10:$J$224),0),
IF('TL07'!$B$229=J$3,SUMIF('TL07'!$C$238:$C$451,$C367,'TL07'!$J$238:$J$451),0),
IF('TL08'!$B$3=J$3,SUMIF('TL08'!$C$10:$C$224,$C367,'TL08'!$J$10:$J$224),0),
IF('TL08'!$B$229=J$3,SUMIF('TL08'!$C$238:$C$451,$C367,'TL08'!$J$238:$J$451),0),
IF('TL09'!$B$3=J$3,SUMIF('TL09'!$C$10:$C$224,$C367,'TL09'!$J$10:$J$224),0),
IF('TL09'!$B$229=J$3,SUMIF('TL09'!$C$238:$C$451,$C367,'TL09'!$J$238:$J$451),0),
IF('TL10'!$B$3=J$3,SUMIF('TL10'!$C$10:$C$224,$C367,'TL10'!$J$10:$J$224),0),
IF('TL10'!$B$229=J$3,SUMIF('TL10'!$C$238:$C$451,$C367,'TL10'!$J$238:$J$451),0),
IF('TL11'!$B$3=J$3,SUMIF('TL11'!$C$10:$C$224,$C367,'TL11'!$J$10:$J$224),0),
IF('TL11'!$B$229=J$3,SUMIF('TL11'!$C$238:$C$451,$C367,'TL11'!$J$238:$J$451),0),
IF('TL12'!$B$3=J$3,SUMIF('TL12'!$C$10:$C$224,$C367,'TL12'!$J$10:$J$224),0),
IF('TL12'!$B$229=J$3,SUMIF('TL12'!$C$238:$C$451,$C367,'TL12'!$J$238:$J$451),0),
IF('TL13'!$B$3=J$3,SUMIF('TL13'!$C$10:$C$224,$C367,'TL13'!$J$10:$J$224),0),
IF('TL13'!$B$229=J$3,SUMIF('TL13'!$C$238:$C$451,$C367,'TL13'!$J$238:$J$451),0),
IF('TL14'!$B$3=J$3,SUMIF('TL14'!$C$10:$C$224,$C367,'TL14'!$J$10:$J$224),0),
IF('TL14'!$B$229=J$3,SUMIF('TL14'!$C$238:$C$451,$C367,'TL14'!$J$238:$J$451),0),
IF('TL15'!$B$3=J$3,SUMIF('TL15'!$C$10:$C$224,$C367,'TL15'!$J$10:$J$224),0),
IF('TL15'!$B$229=J$3,SUMIF('TL15'!$C$238:$C$451,$C367,'TL15'!$J$238:$J$451),0),
IF('TL16'!$B$3=J$3,SUMIF('TL16'!$C$10:$C$224,$C367,'TL16'!$J$10:$J$224),0),
IF('TL16'!$B$229=J$3,SUMIF('TL16'!$C$238:$C$451,$C367,'TL16'!$J$238:$J$451),0),
IF('TL17'!$B$3=J$3,SUMIF('TL17'!$C$10:$C$224,$C367,'TL17'!$J$10:$J$224),0),
IF('TL17'!$B$229=J$3,SUMIF('TL17'!$C$238:$C$451,$C367,'TL17'!$J$238:$J$451),0),
IF('TL18'!$B$3=J$3,SUMIF('TL18'!$C$10:$C$224,$C367,'TL18'!$J$10:$J$224),0),
IF('TL18'!$B$229=J$3,SUMIF('TL18'!$C$238:$C$451,$C367,'TL18'!$J$238:$J$451),0),
IF('TL19'!$B$3=J$3,SUMIF('TL19'!$C$10:$C$224,$C367,'TL19'!$J$10:$J$224),0),
IF('TL19'!$B$229=J$3,SUMIF('TL19'!$C$238:$C$451,$C367,'TL19'!$J$238:$J$451),0)
),0)</f>
        <v>0</v>
      </c>
      <c r="K367" s="9">
        <f>IFERROR(SUM(
IF('TL01'!$B$3=K$3,SUMIF('TL01'!$C$10:$C$224,$C367,'TL01'!$J$10:$J$224),0),
IF('TL01'!$B$229=K$3,SUMIF('TL01'!$C$238:$C$451,$C367,'TL01'!$J$238:$J$451),0),
IF('TL02'!$B$3=K$3,SUMIF('TL02'!$C$10:$C$224,$C367,'TL02'!$J$10:$J$224),0),
IF('TL02'!$B$229=K$3,SUMIF('TL02'!$C$238:$C$451,$C367,'TL02'!$J$238:$J$451),0),
IF('TL03'!$B$3=K$3,SUMIF('TL03'!$C$10:$C$224,$C367,'TL03'!$J$10:$J$224),0),
IF('TL03'!$B$229=K$3,SUMIF('TL03'!$C$238:$C$451,$C367,'TL03'!$J$238:$J$451),0),
IF('TL04'!$B$3=K$3,SUMIF('TL04'!$C$10:$C$224,$C367,'TL04'!$J$10:$J$224),0),
IF('TL04'!$B$229=K$3,SUMIF('TL04'!$C$238:$C$451,$C367,'TL04'!$J$238:$J$451),0),
IF('TL05'!$B$3=K$3,SUMIF('TL05'!$C$10:$C$224,$C367,'TL05'!$J$10:$J$224),0),
IF('TL05'!$B$229=K$3,SUMIF('TL05'!$C$238:$C$451,$C367,'TL05'!$J$238:$J$451),0),
IF('TL06'!$B$3=K$3,SUMIF('TL06'!$C$10:$C$224,$C367,'TL06'!$J$10:$J$224),0),
IF('TL06'!$B$229=K$3,SUMIF('TL06'!$C$238:$C$451,$C367,'TL06'!$J$238:$J$451),0),
IF('TL07'!$B$3=K$3,SUMIF('TL07'!$C$10:$C$224,$C367,'TL07'!$J$10:$J$224),0),
IF('TL07'!$B$229=K$3,SUMIF('TL07'!$C$238:$C$451,$C367,'TL07'!$J$238:$J$451),0),
IF('TL08'!$B$3=K$3,SUMIF('TL08'!$C$10:$C$224,$C367,'TL08'!$J$10:$J$224),0),
IF('TL08'!$B$229=K$3,SUMIF('TL08'!$C$238:$C$451,$C367,'TL08'!$J$238:$J$451),0),
IF('TL09'!$B$3=K$3,SUMIF('TL09'!$C$10:$C$224,$C367,'TL09'!$J$10:$J$224),0),
IF('TL09'!$B$229=K$3,SUMIF('TL09'!$C$238:$C$451,$C367,'TL09'!$J$238:$J$451),0),
IF('TL10'!$B$3=K$3,SUMIF('TL10'!$C$10:$C$224,$C367,'TL10'!$J$10:$J$224),0),
IF('TL10'!$B$229=K$3,SUMIF('TL10'!$C$238:$C$451,$C367,'TL10'!$J$238:$J$451),0),
IF('TL11'!$B$3=K$3,SUMIF('TL11'!$C$10:$C$224,$C367,'TL11'!$J$10:$J$224),0),
IF('TL11'!$B$229=K$3,SUMIF('TL11'!$C$238:$C$451,$C367,'TL11'!$J$238:$J$451),0),
IF('TL12'!$B$3=K$3,SUMIF('TL12'!$C$10:$C$224,$C367,'TL12'!$J$10:$J$224),0),
IF('TL12'!$B$229=K$3,SUMIF('TL12'!$C$238:$C$451,$C367,'TL12'!$J$238:$J$451),0),
IF('TL13'!$B$3=K$3,SUMIF('TL13'!$C$10:$C$224,$C367,'TL13'!$J$10:$J$224),0),
IF('TL13'!$B$229=K$3,SUMIF('TL13'!$C$238:$C$451,$C367,'TL13'!$J$238:$J$451),0),
IF('TL14'!$B$3=K$3,SUMIF('TL14'!$C$10:$C$224,$C367,'TL14'!$J$10:$J$224),0),
IF('TL14'!$B$229=K$3,SUMIF('TL14'!$C$238:$C$451,$C367,'TL14'!$J$238:$J$451),0),
IF('TL15'!$B$3=K$3,SUMIF('TL15'!$C$10:$C$224,$C367,'TL15'!$J$10:$J$224),0),
IF('TL15'!$B$229=K$3,SUMIF('TL15'!$C$238:$C$451,$C367,'TL15'!$J$238:$J$451),0),
IF('TL16'!$B$3=K$3,SUMIF('TL16'!$C$10:$C$224,$C367,'TL16'!$J$10:$J$224),0),
IF('TL16'!$B$229=K$3,SUMIF('TL16'!$C$238:$C$451,$C367,'TL16'!$J$238:$J$451),0),
IF('TL17'!$B$3=K$3,SUMIF('TL17'!$C$10:$C$224,$C367,'TL17'!$J$10:$J$224),0),
IF('TL17'!$B$229=K$3,SUMIF('TL17'!$C$238:$C$451,$C367,'TL17'!$J$238:$J$451),0),
IF('TL18'!$B$3=K$3,SUMIF('TL18'!$C$10:$C$224,$C367,'TL18'!$J$10:$J$224),0),
IF('TL18'!$B$229=K$3,SUMIF('TL18'!$C$238:$C$451,$C367,'TL18'!$J$238:$J$451),0),
IF('TL19'!$B$3=K$3,SUMIF('TL19'!$C$10:$C$224,$C367,'TL19'!$J$10:$J$224),0),
IF('TL19'!$B$229=K$3,SUMIF('TL19'!$C$238:$C$451,$C367,'TL19'!$J$238:$J$451),0)
),0)</f>
        <v>0</v>
      </c>
      <c r="L367" s="9">
        <f>IFERROR(SUM(
IF('TL01'!$B$3=L$3,SUMIF('TL01'!$C$10:$C$224,$C367,'TL01'!$J$10:$J$224),0),
IF('TL01'!$B$229=L$3,SUMIF('TL01'!$C$238:$C$451,$C367,'TL01'!$J$238:$J$451),0),
IF('TL02'!$B$3=L$3,SUMIF('TL02'!$C$10:$C$224,$C367,'TL02'!$J$10:$J$224),0),
IF('TL02'!$B$229=L$3,SUMIF('TL02'!$C$238:$C$451,$C367,'TL02'!$J$238:$J$451),0),
IF('TL03'!$B$3=L$3,SUMIF('TL03'!$C$10:$C$224,$C367,'TL03'!$J$10:$J$224),0),
IF('TL03'!$B$229=L$3,SUMIF('TL03'!$C$238:$C$451,$C367,'TL03'!$J$238:$J$451),0),
IF('TL04'!$B$3=L$3,SUMIF('TL04'!$C$10:$C$224,$C367,'TL04'!$J$10:$J$224),0),
IF('TL04'!$B$229=L$3,SUMIF('TL04'!$C$238:$C$451,$C367,'TL04'!$J$238:$J$451),0),
IF('TL05'!$B$3=L$3,SUMIF('TL05'!$C$10:$C$224,$C367,'TL05'!$J$10:$J$224),0),
IF('TL05'!$B$229=L$3,SUMIF('TL05'!$C$238:$C$451,$C367,'TL05'!$J$238:$J$451),0),
IF('TL06'!$B$3=L$3,SUMIF('TL06'!$C$10:$C$224,$C367,'TL06'!$J$10:$J$224),0),
IF('TL06'!$B$229=L$3,SUMIF('TL06'!$C$238:$C$451,$C367,'TL06'!$J$238:$J$451),0),
IF('TL07'!$B$3=L$3,SUMIF('TL07'!$C$10:$C$224,$C367,'TL07'!$J$10:$J$224),0),
IF('TL07'!$B$229=L$3,SUMIF('TL07'!$C$238:$C$451,$C367,'TL07'!$J$238:$J$451),0),
IF('TL08'!$B$3=L$3,SUMIF('TL08'!$C$10:$C$224,$C367,'TL08'!$J$10:$J$224),0),
IF('TL08'!$B$229=L$3,SUMIF('TL08'!$C$238:$C$451,$C367,'TL08'!$J$238:$J$451),0),
IF('TL09'!$B$3=L$3,SUMIF('TL09'!$C$10:$C$224,$C367,'TL09'!$J$10:$J$224),0),
IF('TL09'!$B$229=L$3,SUMIF('TL09'!$C$238:$C$451,$C367,'TL09'!$J$238:$J$451),0),
IF('TL10'!$B$3=L$3,SUMIF('TL10'!$C$10:$C$224,$C367,'TL10'!$J$10:$J$224),0),
IF('TL10'!$B$229=L$3,SUMIF('TL10'!$C$238:$C$451,$C367,'TL10'!$J$238:$J$451),0),
IF('TL11'!$B$3=L$3,SUMIF('TL11'!$C$10:$C$224,$C367,'TL11'!$J$10:$J$224),0),
IF('TL11'!$B$229=L$3,SUMIF('TL11'!$C$238:$C$451,$C367,'TL11'!$J$238:$J$451),0),
IF('TL12'!$B$3=L$3,SUMIF('TL12'!$C$10:$C$224,$C367,'TL12'!$J$10:$J$224),0),
IF('TL12'!$B$229=L$3,SUMIF('TL12'!$C$238:$C$451,$C367,'TL12'!$J$238:$J$451),0),
IF('TL13'!$B$3=L$3,SUMIF('TL13'!$C$10:$C$224,$C367,'TL13'!$J$10:$J$224),0),
IF('TL13'!$B$229=L$3,SUMIF('TL13'!$C$238:$C$451,$C367,'TL13'!$J$238:$J$451),0),
IF('TL14'!$B$3=L$3,SUMIF('TL14'!$C$10:$C$224,$C367,'TL14'!$J$10:$J$224),0),
IF('TL14'!$B$229=L$3,SUMIF('TL14'!$C$238:$C$451,$C367,'TL14'!$J$238:$J$451),0),
IF('TL15'!$B$3=L$3,SUMIF('TL15'!$C$10:$C$224,$C367,'TL15'!$J$10:$J$224),0),
IF('TL15'!$B$229=L$3,SUMIF('TL15'!$C$238:$C$451,$C367,'TL15'!$J$238:$J$451),0),
IF('TL16'!$B$3=L$3,SUMIF('TL16'!$C$10:$C$224,$C367,'TL16'!$J$10:$J$224),0),
IF('TL16'!$B$229=L$3,SUMIF('TL16'!$C$238:$C$451,$C367,'TL16'!$J$238:$J$451),0),
IF('TL17'!$B$3=L$3,SUMIF('TL17'!$C$10:$C$224,$C367,'TL17'!$J$10:$J$224),0),
IF('TL17'!$B$229=L$3,SUMIF('TL17'!$C$238:$C$451,$C367,'TL17'!$J$238:$J$451),0),
IF('TL18'!$B$3=L$3,SUMIF('TL18'!$C$10:$C$224,$C367,'TL18'!$J$10:$J$224),0),
IF('TL18'!$B$229=L$3,SUMIF('TL18'!$C$238:$C$451,$C367,'TL18'!$J$238:$J$451),0),
IF('TL19'!$B$3=L$3,SUMIF('TL19'!$C$10:$C$224,$C367,'TL19'!$J$10:$J$224),0),
IF('TL19'!$B$229=L$3,SUMIF('TL19'!$C$238:$C$451,$C367,'TL19'!$J$238:$J$451),0)
),0)</f>
        <v>0</v>
      </c>
      <c r="M367" s="9">
        <f>IFERROR(SUM(
IF('TL01'!$B$3=M$3,SUMIF('TL01'!$C$10:$C$224,$C367,'TL01'!$J$10:$J$224),0),
IF('TL01'!$B$229=M$3,SUMIF('TL01'!$C$238:$C$451,$C367,'TL01'!$J$238:$J$451),0),
IF('TL02'!$B$3=M$3,SUMIF('TL02'!$C$10:$C$224,$C367,'TL02'!$J$10:$J$224),0),
IF('TL02'!$B$229=M$3,SUMIF('TL02'!$C$238:$C$451,$C367,'TL02'!$J$238:$J$451),0),
IF('TL03'!$B$3=M$3,SUMIF('TL03'!$C$10:$C$224,$C367,'TL03'!$J$10:$J$224),0),
IF('TL03'!$B$229=M$3,SUMIF('TL03'!$C$238:$C$451,$C367,'TL03'!$J$238:$J$451),0),
IF('TL04'!$B$3=M$3,SUMIF('TL04'!$C$10:$C$224,$C367,'TL04'!$J$10:$J$224),0),
IF('TL04'!$B$229=M$3,SUMIF('TL04'!$C$238:$C$451,$C367,'TL04'!$J$238:$J$451),0),
IF('TL05'!$B$3=M$3,SUMIF('TL05'!$C$10:$C$224,$C367,'TL05'!$J$10:$J$224),0),
IF('TL05'!$B$229=M$3,SUMIF('TL05'!$C$238:$C$451,$C367,'TL05'!$J$238:$J$451),0),
IF('TL06'!$B$3=M$3,SUMIF('TL06'!$C$10:$C$224,$C367,'TL06'!$J$10:$J$224),0),
IF('TL06'!$B$229=M$3,SUMIF('TL06'!$C$238:$C$451,$C367,'TL06'!$J$238:$J$451),0),
IF('TL07'!$B$3=M$3,SUMIF('TL07'!$C$10:$C$224,$C367,'TL07'!$J$10:$J$224),0),
IF('TL07'!$B$229=M$3,SUMIF('TL07'!$C$238:$C$451,$C367,'TL07'!$J$238:$J$451),0),
IF('TL08'!$B$3=M$3,SUMIF('TL08'!$C$10:$C$224,$C367,'TL08'!$J$10:$J$224),0),
IF('TL08'!$B$229=M$3,SUMIF('TL08'!$C$238:$C$451,$C367,'TL08'!$J$238:$J$451),0),
IF('TL09'!$B$3=M$3,SUMIF('TL09'!$C$10:$C$224,$C367,'TL09'!$J$10:$J$224),0),
IF('TL09'!$B$229=M$3,SUMIF('TL09'!$C$238:$C$451,$C367,'TL09'!$J$238:$J$451),0),
IF('TL10'!$B$3=M$3,SUMIF('TL10'!$C$10:$C$224,$C367,'TL10'!$J$10:$J$224),0),
IF('TL10'!$B$229=M$3,SUMIF('TL10'!$C$238:$C$451,$C367,'TL10'!$J$238:$J$451),0),
IF('TL11'!$B$3=M$3,SUMIF('TL11'!$C$10:$C$224,$C367,'TL11'!$J$10:$J$224),0),
IF('TL11'!$B$229=M$3,SUMIF('TL11'!$C$238:$C$451,$C367,'TL11'!$J$238:$J$451),0),
IF('TL12'!$B$3=M$3,SUMIF('TL12'!$C$10:$C$224,$C367,'TL12'!$J$10:$J$224),0),
IF('TL12'!$B$229=M$3,SUMIF('TL12'!$C$238:$C$451,$C367,'TL12'!$J$238:$J$451),0),
IF('TL13'!$B$3=M$3,SUMIF('TL13'!$C$10:$C$224,$C367,'TL13'!$J$10:$J$224),0),
IF('TL13'!$B$229=M$3,SUMIF('TL13'!$C$238:$C$451,$C367,'TL13'!$J$238:$J$451),0),
IF('TL14'!$B$3=M$3,SUMIF('TL14'!$C$10:$C$224,$C367,'TL14'!$J$10:$J$224),0),
IF('TL14'!$B$229=M$3,SUMIF('TL14'!$C$238:$C$451,$C367,'TL14'!$J$238:$J$451),0),
IF('TL15'!$B$3=M$3,SUMIF('TL15'!$C$10:$C$224,$C367,'TL15'!$J$10:$J$224),0),
IF('TL15'!$B$229=M$3,SUMIF('TL15'!$C$238:$C$451,$C367,'TL15'!$J$238:$J$451),0),
IF('TL16'!$B$3=M$3,SUMIF('TL16'!$C$10:$C$224,$C367,'TL16'!$J$10:$J$224),0),
IF('TL16'!$B$229=M$3,SUMIF('TL16'!$C$238:$C$451,$C367,'TL16'!$J$238:$J$451),0),
IF('TL17'!$B$3=M$3,SUMIF('TL17'!$C$10:$C$224,$C367,'TL17'!$J$10:$J$224),0),
IF('TL17'!$B$229=M$3,SUMIF('TL17'!$C$238:$C$451,$C367,'TL17'!$J$238:$J$451),0),
IF('TL18'!$B$3=M$3,SUMIF('TL18'!$C$10:$C$224,$C367,'TL18'!$J$10:$J$224),0),
IF('TL18'!$B$229=M$3,SUMIF('TL18'!$C$238:$C$451,$C367,'TL18'!$J$238:$J$451),0),
IF('TL19'!$B$3=M$3,SUMIF('TL19'!$C$10:$C$224,$C367,'TL19'!$J$10:$J$224),0),
IF('TL19'!$B$229=M$3,SUMIF('TL19'!$C$238:$C$451,$C367,'TL19'!$J$238:$J$451),0)
),0)</f>
        <v>0</v>
      </c>
      <c r="N367" s="9">
        <f>IFERROR(SUM(
IF('TL01'!$B$3=N$3,SUMIF('TL01'!$C$10:$C$224,$C367,'TL01'!$J$10:$J$224),0),
IF('TL01'!$B$229=N$3,SUMIF('TL01'!$C$238:$C$451,$C367,'TL01'!$J$238:$J$451),0),
IF('TL02'!$B$3=N$3,SUMIF('TL02'!$C$10:$C$224,$C367,'TL02'!$J$10:$J$224),0),
IF('TL02'!$B$229=N$3,SUMIF('TL02'!$C$238:$C$451,$C367,'TL02'!$J$238:$J$451),0),
IF('TL03'!$B$3=N$3,SUMIF('TL03'!$C$10:$C$224,$C367,'TL03'!$J$10:$J$224),0),
IF('TL03'!$B$229=N$3,SUMIF('TL03'!$C$238:$C$451,$C367,'TL03'!$J$238:$J$451),0),
IF('TL04'!$B$3=N$3,SUMIF('TL04'!$C$10:$C$224,$C367,'TL04'!$J$10:$J$224),0),
IF('TL04'!$B$229=N$3,SUMIF('TL04'!$C$238:$C$451,$C367,'TL04'!$J$238:$J$451),0),
IF('TL05'!$B$3=N$3,SUMIF('TL05'!$C$10:$C$224,$C367,'TL05'!$J$10:$J$224),0),
IF('TL05'!$B$229=N$3,SUMIF('TL05'!$C$238:$C$451,$C367,'TL05'!$J$238:$J$451),0),
IF('TL06'!$B$3=N$3,SUMIF('TL06'!$C$10:$C$224,$C367,'TL06'!$J$10:$J$224),0),
IF('TL06'!$B$229=N$3,SUMIF('TL06'!$C$238:$C$451,$C367,'TL06'!$J$238:$J$451),0),
IF('TL07'!$B$3=N$3,SUMIF('TL07'!$C$10:$C$224,$C367,'TL07'!$J$10:$J$224),0),
IF('TL07'!$B$229=N$3,SUMIF('TL07'!$C$238:$C$451,$C367,'TL07'!$J$238:$J$451),0),
IF('TL08'!$B$3=N$3,SUMIF('TL08'!$C$10:$C$224,$C367,'TL08'!$J$10:$J$224),0),
IF('TL08'!$B$229=N$3,SUMIF('TL08'!$C$238:$C$451,$C367,'TL08'!$J$238:$J$451),0),
IF('TL09'!$B$3=N$3,SUMIF('TL09'!$C$10:$C$224,$C367,'TL09'!$J$10:$J$224),0),
IF('TL09'!$B$229=N$3,SUMIF('TL09'!$C$238:$C$451,$C367,'TL09'!$J$238:$J$451),0),
IF('TL10'!$B$3=N$3,SUMIF('TL10'!$C$10:$C$224,$C367,'TL10'!$J$10:$J$224),0),
IF('TL10'!$B$229=N$3,SUMIF('TL10'!$C$238:$C$451,$C367,'TL10'!$J$238:$J$451),0),
IF('TL11'!$B$3=N$3,SUMIF('TL11'!$C$10:$C$224,$C367,'TL11'!$J$10:$J$224),0),
IF('TL11'!$B$229=N$3,SUMIF('TL11'!$C$238:$C$451,$C367,'TL11'!$J$238:$J$451),0),
IF('TL12'!$B$3=N$3,SUMIF('TL12'!$C$10:$C$224,$C367,'TL12'!$J$10:$J$224),0),
IF('TL12'!$B$229=N$3,SUMIF('TL12'!$C$238:$C$451,$C367,'TL12'!$J$238:$J$451),0),
IF('TL13'!$B$3=N$3,SUMIF('TL13'!$C$10:$C$224,$C367,'TL13'!$J$10:$J$224),0),
IF('TL13'!$B$229=N$3,SUMIF('TL13'!$C$238:$C$451,$C367,'TL13'!$J$238:$J$451),0),
IF('TL14'!$B$3=N$3,SUMIF('TL14'!$C$10:$C$224,$C367,'TL14'!$J$10:$J$224),0),
IF('TL14'!$B$229=N$3,SUMIF('TL14'!$C$238:$C$451,$C367,'TL14'!$J$238:$J$451),0),
IF('TL15'!$B$3=N$3,SUMIF('TL15'!$C$10:$C$224,$C367,'TL15'!$J$10:$J$224),0),
IF('TL15'!$B$229=N$3,SUMIF('TL15'!$C$238:$C$451,$C367,'TL15'!$J$238:$J$451),0),
IF('TL16'!$B$3=N$3,SUMIF('TL16'!$C$10:$C$224,$C367,'TL16'!$J$10:$J$224),0),
IF('TL16'!$B$229=N$3,SUMIF('TL16'!$C$238:$C$451,$C367,'TL16'!$J$238:$J$451),0),
IF('TL17'!$B$3=N$3,SUMIF('TL17'!$C$10:$C$224,$C367,'TL17'!$J$10:$J$224),0),
IF('TL17'!$B$229=N$3,SUMIF('TL17'!$C$238:$C$451,$C367,'TL17'!$J$238:$J$451),0),
IF('TL18'!$B$3=N$3,SUMIF('TL18'!$C$10:$C$224,$C367,'TL18'!$J$10:$J$224),0),
IF('TL18'!$B$229=N$3,SUMIF('TL18'!$C$238:$C$451,$C367,'TL18'!$J$238:$J$451),0),
IF('TL19'!$B$3=N$3,SUMIF('TL19'!$C$10:$C$224,$C367,'TL19'!$J$10:$J$224),0),
IF('TL19'!$B$229=N$3,SUMIF('TL19'!$C$238:$C$451,$C367,'TL19'!$J$238:$J$451),0)
),0)</f>
        <v>0</v>
      </c>
      <c r="O367" s="9">
        <f>IFERROR(SUM(
IF('TL01'!$B$3=O$3,SUMIF('TL01'!$C$10:$C$224,$C367,'TL01'!$J$10:$J$224),0),
IF('TL01'!$B$229=O$3,SUMIF('TL01'!$C$238:$C$451,$C367,'TL01'!$J$238:$J$451),0),
IF('TL02'!$B$3=O$3,SUMIF('TL02'!$C$10:$C$224,$C367,'TL02'!$J$10:$J$224),0),
IF('TL02'!$B$229=O$3,SUMIF('TL02'!$C$238:$C$451,$C367,'TL02'!$J$238:$J$451),0),
IF('TL03'!$B$3=O$3,SUMIF('TL03'!$C$10:$C$224,$C367,'TL03'!$J$10:$J$224),0),
IF('TL03'!$B$229=O$3,SUMIF('TL03'!$C$238:$C$451,$C367,'TL03'!$J$238:$J$451),0),
IF('TL04'!$B$3=O$3,SUMIF('TL04'!$C$10:$C$224,$C367,'TL04'!$J$10:$J$224),0),
IF('TL04'!$B$229=O$3,SUMIF('TL04'!$C$238:$C$451,$C367,'TL04'!$J$238:$J$451),0),
IF('TL05'!$B$3=O$3,SUMIF('TL05'!$C$10:$C$224,$C367,'TL05'!$J$10:$J$224),0),
IF('TL05'!$B$229=O$3,SUMIF('TL05'!$C$238:$C$451,$C367,'TL05'!$J$238:$J$451),0),
IF('TL06'!$B$3=O$3,SUMIF('TL06'!$C$10:$C$224,$C367,'TL06'!$J$10:$J$224),0),
IF('TL06'!$B$229=O$3,SUMIF('TL06'!$C$238:$C$451,$C367,'TL06'!$J$238:$J$451),0),
IF('TL07'!$B$3=O$3,SUMIF('TL07'!$C$10:$C$224,$C367,'TL07'!$J$10:$J$224),0),
IF('TL07'!$B$229=O$3,SUMIF('TL07'!$C$238:$C$451,$C367,'TL07'!$J$238:$J$451),0),
IF('TL08'!$B$3=O$3,SUMIF('TL08'!$C$10:$C$224,$C367,'TL08'!$J$10:$J$224),0),
IF('TL08'!$B$229=O$3,SUMIF('TL08'!$C$238:$C$451,$C367,'TL08'!$J$238:$J$451),0),
IF('TL09'!$B$3=O$3,SUMIF('TL09'!$C$10:$C$224,$C367,'TL09'!$J$10:$J$224),0),
IF('TL09'!$B$229=O$3,SUMIF('TL09'!$C$238:$C$451,$C367,'TL09'!$J$238:$J$451),0),
IF('TL10'!$B$3=O$3,SUMIF('TL10'!$C$10:$C$224,$C367,'TL10'!$J$10:$J$224),0),
IF('TL10'!$B$229=O$3,SUMIF('TL10'!$C$238:$C$451,$C367,'TL10'!$J$238:$J$451),0),
IF('TL11'!$B$3=O$3,SUMIF('TL11'!$C$10:$C$224,$C367,'TL11'!$J$10:$J$224),0),
IF('TL11'!$B$229=O$3,SUMIF('TL11'!$C$238:$C$451,$C367,'TL11'!$J$238:$J$451),0),
IF('TL12'!$B$3=O$3,SUMIF('TL12'!$C$10:$C$224,$C367,'TL12'!$J$10:$J$224),0),
IF('TL12'!$B$229=O$3,SUMIF('TL12'!$C$238:$C$451,$C367,'TL12'!$J$238:$J$451),0),
IF('TL13'!$B$3=O$3,SUMIF('TL13'!$C$10:$C$224,$C367,'TL13'!$J$10:$J$224),0),
IF('TL13'!$B$229=O$3,SUMIF('TL13'!$C$238:$C$451,$C367,'TL13'!$J$238:$J$451),0),
IF('TL14'!$B$3=O$3,SUMIF('TL14'!$C$10:$C$224,$C367,'TL14'!$J$10:$J$224),0),
IF('TL14'!$B$229=O$3,SUMIF('TL14'!$C$238:$C$451,$C367,'TL14'!$J$238:$J$451),0),
IF('TL15'!$B$3=O$3,SUMIF('TL15'!$C$10:$C$224,$C367,'TL15'!$J$10:$J$224),0),
IF('TL15'!$B$229=O$3,SUMIF('TL15'!$C$238:$C$451,$C367,'TL15'!$J$238:$J$451),0),
IF('TL16'!$B$3=O$3,SUMIF('TL16'!$C$10:$C$224,$C367,'TL16'!$J$10:$J$224),0),
IF('TL16'!$B$229=O$3,SUMIF('TL16'!$C$238:$C$451,$C367,'TL16'!$J$238:$J$451),0),
IF('TL17'!$B$3=O$3,SUMIF('TL17'!$C$10:$C$224,$C367,'TL17'!$J$10:$J$224),0),
IF('TL17'!$B$229=O$3,SUMIF('TL17'!$C$238:$C$451,$C367,'TL17'!$J$238:$J$451),0),
IF('TL18'!$B$3=O$3,SUMIF('TL18'!$C$10:$C$224,$C367,'TL18'!$J$10:$J$224),0),
IF('TL18'!$B$229=O$3,SUMIF('TL18'!$C$238:$C$451,$C367,'TL18'!$J$238:$J$451),0),
IF('TL19'!$B$3=O$3,SUMIF('TL19'!$C$10:$C$224,$C367,'TL19'!$J$10:$J$224),0),
IF('TL19'!$B$229=O$3,SUMIF('TL19'!$C$238:$C$451,$C367,'TL19'!$J$238:$J$451),0)
),0)</f>
        <v>0</v>
      </c>
      <c r="P367" s="9">
        <f>IFERROR(SUM(
IF('TL01'!$B$3=P$3,SUMIF('TL01'!$C$10:$C$224,$C367,'TL01'!$J$10:$J$224),0),
IF('TL01'!$B$229=P$3,SUMIF('TL01'!$C$238:$C$451,$C367,'TL01'!$J$238:$J$451),0),
IF('TL02'!$B$3=P$3,SUMIF('TL02'!$C$10:$C$224,$C367,'TL02'!$J$10:$J$224),0),
IF('TL02'!$B$229=P$3,SUMIF('TL02'!$C$238:$C$451,$C367,'TL02'!$J$238:$J$451),0),
IF('TL03'!$B$3=P$3,SUMIF('TL03'!$C$10:$C$224,$C367,'TL03'!$J$10:$J$224),0),
IF('TL03'!$B$229=P$3,SUMIF('TL03'!$C$238:$C$451,$C367,'TL03'!$J$238:$J$451),0),
IF('TL04'!$B$3=P$3,SUMIF('TL04'!$C$10:$C$224,$C367,'TL04'!$J$10:$J$224),0),
IF('TL04'!$B$229=P$3,SUMIF('TL04'!$C$238:$C$451,$C367,'TL04'!$J$238:$J$451),0),
IF('TL05'!$B$3=P$3,SUMIF('TL05'!$C$10:$C$224,$C367,'TL05'!$J$10:$J$224),0),
IF('TL05'!$B$229=P$3,SUMIF('TL05'!$C$238:$C$451,$C367,'TL05'!$J$238:$J$451),0),
IF('TL06'!$B$3=P$3,SUMIF('TL06'!$C$10:$C$224,$C367,'TL06'!$J$10:$J$224),0),
IF('TL06'!$B$229=P$3,SUMIF('TL06'!$C$238:$C$451,$C367,'TL06'!$J$238:$J$451),0),
IF('TL07'!$B$3=P$3,SUMIF('TL07'!$C$10:$C$224,$C367,'TL07'!$J$10:$J$224),0),
IF('TL07'!$B$229=P$3,SUMIF('TL07'!$C$238:$C$451,$C367,'TL07'!$J$238:$J$451),0),
IF('TL08'!$B$3=P$3,SUMIF('TL08'!$C$10:$C$224,$C367,'TL08'!$J$10:$J$224),0),
IF('TL08'!$B$229=P$3,SUMIF('TL08'!$C$238:$C$451,$C367,'TL08'!$J$238:$J$451),0),
IF('TL09'!$B$3=P$3,SUMIF('TL09'!$C$10:$C$224,$C367,'TL09'!$J$10:$J$224),0),
IF('TL09'!$B$229=P$3,SUMIF('TL09'!$C$238:$C$451,$C367,'TL09'!$J$238:$J$451),0),
IF('TL10'!$B$3=P$3,SUMIF('TL10'!$C$10:$C$224,$C367,'TL10'!$J$10:$J$224),0),
IF('TL10'!$B$229=P$3,SUMIF('TL10'!$C$238:$C$451,$C367,'TL10'!$J$238:$J$451),0),
IF('TL11'!$B$3=P$3,SUMIF('TL11'!$C$10:$C$224,$C367,'TL11'!$J$10:$J$224),0),
IF('TL11'!$B$229=P$3,SUMIF('TL11'!$C$238:$C$451,$C367,'TL11'!$J$238:$J$451),0),
IF('TL12'!$B$3=P$3,SUMIF('TL12'!$C$10:$C$224,$C367,'TL12'!$J$10:$J$224),0),
IF('TL12'!$B$229=P$3,SUMIF('TL12'!$C$238:$C$451,$C367,'TL12'!$J$238:$J$451),0),
IF('TL13'!$B$3=P$3,SUMIF('TL13'!$C$10:$C$224,$C367,'TL13'!$J$10:$J$224),0),
IF('TL13'!$B$229=P$3,SUMIF('TL13'!$C$238:$C$451,$C367,'TL13'!$J$238:$J$451),0),
IF('TL14'!$B$3=P$3,SUMIF('TL14'!$C$10:$C$224,$C367,'TL14'!$J$10:$J$224),0),
IF('TL14'!$B$229=P$3,SUMIF('TL14'!$C$238:$C$451,$C367,'TL14'!$J$238:$J$451),0),
IF('TL15'!$B$3=P$3,SUMIF('TL15'!$C$10:$C$224,$C367,'TL15'!$J$10:$J$224),0),
IF('TL15'!$B$229=P$3,SUMIF('TL15'!$C$238:$C$451,$C367,'TL15'!$J$238:$J$451),0),
IF('TL16'!$B$3=P$3,SUMIF('TL16'!$C$10:$C$224,$C367,'TL16'!$J$10:$J$224),0),
IF('TL16'!$B$229=P$3,SUMIF('TL16'!$C$238:$C$451,$C367,'TL16'!$J$238:$J$451),0),
IF('TL17'!$B$3=P$3,SUMIF('TL17'!$C$10:$C$224,$C367,'TL17'!$J$10:$J$224),0),
IF('TL17'!$B$229=P$3,SUMIF('TL17'!$C$238:$C$451,$C367,'TL17'!$J$238:$J$451),0),
IF('TL18'!$B$3=P$3,SUMIF('TL18'!$C$10:$C$224,$C367,'TL18'!$J$10:$J$224),0),
IF('TL18'!$B$229=P$3,SUMIF('TL18'!$C$238:$C$451,$C367,'TL18'!$J$238:$J$451),0),
IF('TL19'!$B$3=P$3,SUMIF('TL19'!$C$10:$C$224,$C367,'TL19'!$J$10:$J$224),0),
IF('TL19'!$B$229=P$3,SUMIF('TL19'!$C$238:$C$451,$C367,'TL19'!$J$238:$J$451),0)
),0)</f>
        <v>0</v>
      </c>
      <c r="Q367" s="9">
        <f>IFERROR(SUM(
IF('TL01'!$B$3=Q$3,SUMIF('TL01'!$C$10:$C$224,$C367,'TL01'!$J$10:$J$224),0),
IF('TL01'!$B$229=Q$3,SUMIF('TL01'!$C$238:$C$451,$C367,'TL01'!$J$238:$J$451),0),
IF('TL02'!$B$3=Q$3,SUMIF('TL02'!$C$10:$C$224,$C367,'TL02'!$J$10:$J$224),0),
IF('TL02'!$B$229=Q$3,SUMIF('TL02'!$C$238:$C$451,$C367,'TL02'!$J$238:$J$451),0),
IF('TL03'!$B$3=Q$3,SUMIF('TL03'!$C$10:$C$224,$C367,'TL03'!$J$10:$J$224),0),
IF('TL03'!$B$229=Q$3,SUMIF('TL03'!$C$238:$C$451,$C367,'TL03'!$J$238:$J$451),0),
IF('TL04'!$B$3=Q$3,SUMIF('TL04'!$C$10:$C$224,$C367,'TL04'!$J$10:$J$224),0),
IF('TL04'!$B$229=Q$3,SUMIF('TL04'!$C$238:$C$451,$C367,'TL04'!$J$238:$J$451),0),
IF('TL05'!$B$3=Q$3,SUMIF('TL05'!$C$10:$C$224,$C367,'TL05'!$J$10:$J$224),0),
IF('TL05'!$B$229=Q$3,SUMIF('TL05'!$C$238:$C$451,$C367,'TL05'!$J$238:$J$451),0),
IF('TL06'!$B$3=Q$3,SUMIF('TL06'!$C$10:$C$224,$C367,'TL06'!$J$10:$J$224),0),
IF('TL06'!$B$229=Q$3,SUMIF('TL06'!$C$238:$C$451,$C367,'TL06'!$J$238:$J$451),0),
IF('TL07'!$B$3=Q$3,SUMIF('TL07'!$C$10:$C$224,$C367,'TL07'!$J$10:$J$224),0),
IF('TL07'!$B$229=Q$3,SUMIF('TL07'!$C$238:$C$451,$C367,'TL07'!$J$238:$J$451),0),
IF('TL08'!$B$3=Q$3,SUMIF('TL08'!$C$10:$C$224,$C367,'TL08'!$J$10:$J$224),0),
IF('TL08'!$B$229=Q$3,SUMIF('TL08'!$C$238:$C$451,$C367,'TL08'!$J$238:$J$451),0),
IF('TL09'!$B$3=Q$3,SUMIF('TL09'!$C$10:$C$224,$C367,'TL09'!$J$10:$J$224),0),
IF('TL09'!$B$229=Q$3,SUMIF('TL09'!$C$238:$C$451,$C367,'TL09'!$J$238:$J$451),0),
IF('TL10'!$B$3=Q$3,SUMIF('TL10'!$C$10:$C$224,$C367,'TL10'!$J$10:$J$224),0),
IF('TL10'!$B$229=Q$3,SUMIF('TL10'!$C$238:$C$451,$C367,'TL10'!$J$238:$J$451),0),
IF('TL11'!$B$3=Q$3,SUMIF('TL11'!$C$10:$C$224,$C367,'TL11'!$J$10:$J$224),0),
IF('TL11'!$B$229=Q$3,SUMIF('TL11'!$C$238:$C$451,$C367,'TL11'!$J$238:$J$451),0),
IF('TL12'!$B$3=Q$3,SUMIF('TL12'!$C$10:$C$224,$C367,'TL12'!$J$10:$J$224),0),
IF('TL12'!$B$229=Q$3,SUMIF('TL12'!$C$238:$C$451,$C367,'TL12'!$J$238:$J$451),0),
IF('TL13'!$B$3=Q$3,SUMIF('TL13'!$C$10:$C$224,$C367,'TL13'!$J$10:$J$224),0),
IF('TL13'!$B$229=Q$3,SUMIF('TL13'!$C$238:$C$451,$C367,'TL13'!$J$238:$J$451),0),
IF('TL14'!$B$3=Q$3,SUMIF('TL14'!$C$10:$C$224,$C367,'TL14'!$J$10:$J$224),0),
IF('TL14'!$B$229=Q$3,SUMIF('TL14'!$C$238:$C$451,$C367,'TL14'!$J$238:$J$451),0),
IF('TL15'!$B$3=Q$3,SUMIF('TL15'!$C$10:$C$224,$C367,'TL15'!$J$10:$J$224),0),
IF('TL15'!$B$229=Q$3,SUMIF('TL15'!$C$238:$C$451,$C367,'TL15'!$J$238:$J$451),0),
IF('TL16'!$B$3=Q$3,SUMIF('TL16'!$C$10:$C$224,$C367,'TL16'!$J$10:$J$224),0),
IF('TL16'!$B$229=Q$3,SUMIF('TL16'!$C$238:$C$451,$C367,'TL16'!$J$238:$J$451),0),
IF('TL17'!$B$3=Q$3,SUMIF('TL17'!$C$10:$C$224,$C367,'TL17'!$J$10:$J$224),0),
IF('TL17'!$B$229=Q$3,SUMIF('TL17'!$C$238:$C$451,$C367,'TL17'!$J$238:$J$451),0),
IF('TL18'!$B$3=Q$3,SUMIF('TL18'!$C$10:$C$224,$C367,'TL18'!$J$10:$J$224),0),
IF('TL18'!$B$229=Q$3,SUMIF('TL18'!$C$238:$C$451,$C367,'TL18'!$J$238:$J$451),0),
IF('TL19'!$B$3=Q$3,SUMIF('TL19'!$C$10:$C$224,$C367,'TL19'!$J$10:$J$224),0),
IF('TL19'!$B$229=Q$3,SUMIF('TL19'!$C$238:$C$451,$C367,'TL19'!$J$238:$J$451),0)
),0)</f>
        <v>0</v>
      </c>
      <c r="R367" s="9">
        <f>IFERROR(
SUM(
SUMIF('TL01'!C:C,C367,'TL01'!J:J),
SUMIF('TL02'!C:C,C367,'TL02'!J:J),
SUMIF('TL03'!C:C,C367,'TL03'!J:J),
SUMIF('TL04'!C:C,C367,'TL04'!J:J),
SUMIF('TL05'!C:C,C367,'TL05'!J:J),
SUMIF('TL06'!C:C,C367,'TL06'!J:J),
SUMIF('TL07'!C:C,C367,'TL07'!J:J),
SUMIF('TL08'!C:C,C367,'TL08'!J:J),
SUMIF('TL09'!C:C,C367,'TL09'!J:J),
SUMIF('TL10'!C:C,C367,'TL10'!J:J),
SUMIF('TL11'!C:C,C367,'TL11'!J:J),
SUMIF('TL12'!C:C,C367,'TL12'!J:J),
SUMIF('TL13'!C:C,C367,'TL13'!J:J),
SUMIF('TL14'!C:C,C367,'TL14'!J:J),
SUMIF('TL15'!C:C,C367,'TL15'!J:J),
SUMIF('TL16'!C:C,C367,'TL16'!J:J),
SUMIF('TL17'!C:C,C367,'TL17'!J:J),
SUMIF('TL18'!C:C,C367,'TL18'!J:J),SUMIF('TL19'!C:C,C367,'TL19'!J:J))
,0)</f>
        <v>0</v>
      </c>
      <c r="S367" s="17">
        <f>IFERROR(__xludf.DUMMYFUNCTION("IFERROR(VLOOKUP(C367,
IMPORTRANGE(""1wULbzX32WdYsx-lj2U3uUNBBe2INVIRDtcK0d-Dvl90"",
""26-27!C:G""),
5,
FALSE),
"""")"),48.91)</f>
        <v>48.91</v>
      </c>
      <c r="T367" s="9"/>
      <c r="U367" s="92">
        <f t="shared" si="2"/>
        <v>0</v>
      </c>
      <c r="V367" s="93">
        <f t="shared" si="3"/>
        <v>0</v>
      </c>
    </row>
    <row r="368" ht="15.75" hidden="1" customHeight="1">
      <c r="A368" s="4" t="s">
        <v>1071</v>
      </c>
      <c r="B368" s="4" t="s">
        <v>4</v>
      </c>
      <c r="C368" s="126" t="s">
        <v>1107</v>
      </c>
      <c r="D368" s="127" t="s">
        <v>1108</v>
      </c>
      <c r="E368" s="6"/>
      <c r="F368" s="4"/>
      <c r="G368" s="90" t="str">
        <f t="shared" si="5"/>
        <v>📄 Ver bula</v>
      </c>
      <c r="H368" s="4">
        <v>2.0</v>
      </c>
      <c r="I368" s="123"/>
      <c r="J368" s="9">
        <f>IFERROR(SUM(
IF('TL01'!$B$3=J$3,SUMIF('TL01'!$C$10:$C$224,$C368,'TL01'!$J$10:$J$224),0),
IF('TL01'!$B$229=J$3,SUMIF('TL01'!$C$238:$C$451,$C368,'TL01'!$J$238:$J$451),0),
IF('TL02'!$B$3=J$3,SUMIF('TL02'!$C$10:$C$224,$C368,'TL02'!$J$10:$J$224),0),
IF('TL02'!$B$229=J$3,SUMIF('TL02'!$C$238:$C$451,$C368,'TL02'!$J$238:$J$451),0),
IF('TL03'!$B$3=J$3,SUMIF('TL03'!$C$10:$C$224,$C368,'TL03'!$J$10:$J$224),0),
IF('TL03'!$B$229=J$3,SUMIF('TL03'!$C$238:$C$451,$C368,'TL03'!$J$238:$J$451),0),
IF('TL04'!$B$3=J$3,SUMIF('TL04'!$C$10:$C$224,$C368,'TL04'!$J$10:$J$224),0),
IF('TL04'!$B$229=J$3,SUMIF('TL04'!$C$238:$C$451,$C368,'TL04'!$J$238:$J$451),0),
IF('TL05'!$B$3=J$3,SUMIF('TL05'!$C$10:$C$224,$C368,'TL05'!$J$10:$J$224),0),
IF('TL05'!$B$229=J$3,SUMIF('TL05'!$C$238:$C$451,$C368,'TL05'!$J$238:$J$451),0),
IF('TL06'!$B$3=J$3,SUMIF('TL06'!$C$10:$C$224,$C368,'TL06'!$J$10:$J$224),0),
IF('TL06'!$B$229=J$3,SUMIF('TL06'!$C$238:$C$451,$C368,'TL06'!$J$238:$J$451),0),
IF('TL07'!$B$3=J$3,SUMIF('TL07'!$C$10:$C$224,$C368,'TL07'!$J$10:$J$224),0),
IF('TL07'!$B$229=J$3,SUMIF('TL07'!$C$238:$C$451,$C368,'TL07'!$J$238:$J$451),0),
IF('TL08'!$B$3=J$3,SUMIF('TL08'!$C$10:$C$224,$C368,'TL08'!$J$10:$J$224),0),
IF('TL08'!$B$229=J$3,SUMIF('TL08'!$C$238:$C$451,$C368,'TL08'!$J$238:$J$451),0),
IF('TL09'!$B$3=J$3,SUMIF('TL09'!$C$10:$C$224,$C368,'TL09'!$J$10:$J$224),0),
IF('TL09'!$B$229=J$3,SUMIF('TL09'!$C$238:$C$451,$C368,'TL09'!$J$238:$J$451),0),
IF('TL10'!$B$3=J$3,SUMIF('TL10'!$C$10:$C$224,$C368,'TL10'!$J$10:$J$224),0),
IF('TL10'!$B$229=J$3,SUMIF('TL10'!$C$238:$C$451,$C368,'TL10'!$J$238:$J$451),0),
IF('TL11'!$B$3=J$3,SUMIF('TL11'!$C$10:$C$224,$C368,'TL11'!$J$10:$J$224),0),
IF('TL11'!$B$229=J$3,SUMIF('TL11'!$C$238:$C$451,$C368,'TL11'!$J$238:$J$451),0),
IF('TL12'!$B$3=J$3,SUMIF('TL12'!$C$10:$C$224,$C368,'TL12'!$J$10:$J$224),0),
IF('TL12'!$B$229=J$3,SUMIF('TL12'!$C$238:$C$451,$C368,'TL12'!$J$238:$J$451),0),
IF('TL13'!$B$3=J$3,SUMIF('TL13'!$C$10:$C$224,$C368,'TL13'!$J$10:$J$224),0),
IF('TL13'!$B$229=J$3,SUMIF('TL13'!$C$238:$C$451,$C368,'TL13'!$J$238:$J$451),0),
IF('TL14'!$B$3=J$3,SUMIF('TL14'!$C$10:$C$224,$C368,'TL14'!$J$10:$J$224),0),
IF('TL14'!$B$229=J$3,SUMIF('TL14'!$C$238:$C$451,$C368,'TL14'!$J$238:$J$451),0),
IF('TL15'!$B$3=J$3,SUMIF('TL15'!$C$10:$C$224,$C368,'TL15'!$J$10:$J$224),0),
IF('TL15'!$B$229=J$3,SUMIF('TL15'!$C$238:$C$451,$C368,'TL15'!$J$238:$J$451),0),
IF('TL16'!$B$3=J$3,SUMIF('TL16'!$C$10:$C$224,$C368,'TL16'!$J$10:$J$224),0),
IF('TL16'!$B$229=J$3,SUMIF('TL16'!$C$238:$C$451,$C368,'TL16'!$J$238:$J$451),0),
IF('TL17'!$B$3=J$3,SUMIF('TL17'!$C$10:$C$224,$C368,'TL17'!$J$10:$J$224),0),
IF('TL17'!$B$229=J$3,SUMIF('TL17'!$C$238:$C$451,$C368,'TL17'!$J$238:$J$451),0),
IF('TL18'!$B$3=J$3,SUMIF('TL18'!$C$10:$C$224,$C368,'TL18'!$J$10:$J$224),0),
IF('TL18'!$B$229=J$3,SUMIF('TL18'!$C$238:$C$451,$C368,'TL18'!$J$238:$J$451),0),
IF('TL19'!$B$3=J$3,SUMIF('TL19'!$C$10:$C$224,$C368,'TL19'!$J$10:$J$224),0),
IF('TL19'!$B$229=J$3,SUMIF('TL19'!$C$238:$C$451,$C368,'TL19'!$J$238:$J$451),0)
),0)</f>
        <v>0</v>
      </c>
      <c r="K368" s="9">
        <f>IFERROR(SUM(
IF('TL01'!$B$3=K$3,SUMIF('TL01'!$C$10:$C$224,$C368,'TL01'!$J$10:$J$224),0),
IF('TL01'!$B$229=K$3,SUMIF('TL01'!$C$238:$C$451,$C368,'TL01'!$J$238:$J$451),0),
IF('TL02'!$B$3=K$3,SUMIF('TL02'!$C$10:$C$224,$C368,'TL02'!$J$10:$J$224),0),
IF('TL02'!$B$229=K$3,SUMIF('TL02'!$C$238:$C$451,$C368,'TL02'!$J$238:$J$451),0),
IF('TL03'!$B$3=K$3,SUMIF('TL03'!$C$10:$C$224,$C368,'TL03'!$J$10:$J$224),0),
IF('TL03'!$B$229=K$3,SUMIF('TL03'!$C$238:$C$451,$C368,'TL03'!$J$238:$J$451),0),
IF('TL04'!$B$3=K$3,SUMIF('TL04'!$C$10:$C$224,$C368,'TL04'!$J$10:$J$224),0),
IF('TL04'!$B$229=K$3,SUMIF('TL04'!$C$238:$C$451,$C368,'TL04'!$J$238:$J$451),0),
IF('TL05'!$B$3=K$3,SUMIF('TL05'!$C$10:$C$224,$C368,'TL05'!$J$10:$J$224),0),
IF('TL05'!$B$229=K$3,SUMIF('TL05'!$C$238:$C$451,$C368,'TL05'!$J$238:$J$451),0),
IF('TL06'!$B$3=K$3,SUMIF('TL06'!$C$10:$C$224,$C368,'TL06'!$J$10:$J$224),0),
IF('TL06'!$B$229=K$3,SUMIF('TL06'!$C$238:$C$451,$C368,'TL06'!$J$238:$J$451),0),
IF('TL07'!$B$3=K$3,SUMIF('TL07'!$C$10:$C$224,$C368,'TL07'!$J$10:$J$224),0),
IF('TL07'!$B$229=K$3,SUMIF('TL07'!$C$238:$C$451,$C368,'TL07'!$J$238:$J$451),0),
IF('TL08'!$B$3=K$3,SUMIF('TL08'!$C$10:$C$224,$C368,'TL08'!$J$10:$J$224),0),
IF('TL08'!$B$229=K$3,SUMIF('TL08'!$C$238:$C$451,$C368,'TL08'!$J$238:$J$451),0),
IF('TL09'!$B$3=K$3,SUMIF('TL09'!$C$10:$C$224,$C368,'TL09'!$J$10:$J$224),0),
IF('TL09'!$B$229=K$3,SUMIF('TL09'!$C$238:$C$451,$C368,'TL09'!$J$238:$J$451),0),
IF('TL10'!$B$3=K$3,SUMIF('TL10'!$C$10:$C$224,$C368,'TL10'!$J$10:$J$224),0),
IF('TL10'!$B$229=K$3,SUMIF('TL10'!$C$238:$C$451,$C368,'TL10'!$J$238:$J$451),0),
IF('TL11'!$B$3=K$3,SUMIF('TL11'!$C$10:$C$224,$C368,'TL11'!$J$10:$J$224),0),
IF('TL11'!$B$229=K$3,SUMIF('TL11'!$C$238:$C$451,$C368,'TL11'!$J$238:$J$451),0),
IF('TL12'!$B$3=K$3,SUMIF('TL12'!$C$10:$C$224,$C368,'TL12'!$J$10:$J$224),0),
IF('TL12'!$B$229=K$3,SUMIF('TL12'!$C$238:$C$451,$C368,'TL12'!$J$238:$J$451),0),
IF('TL13'!$B$3=K$3,SUMIF('TL13'!$C$10:$C$224,$C368,'TL13'!$J$10:$J$224),0),
IF('TL13'!$B$229=K$3,SUMIF('TL13'!$C$238:$C$451,$C368,'TL13'!$J$238:$J$451),0),
IF('TL14'!$B$3=K$3,SUMIF('TL14'!$C$10:$C$224,$C368,'TL14'!$J$10:$J$224),0),
IF('TL14'!$B$229=K$3,SUMIF('TL14'!$C$238:$C$451,$C368,'TL14'!$J$238:$J$451),0),
IF('TL15'!$B$3=K$3,SUMIF('TL15'!$C$10:$C$224,$C368,'TL15'!$J$10:$J$224),0),
IF('TL15'!$B$229=K$3,SUMIF('TL15'!$C$238:$C$451,$C368,'TL15'!$J$238:$J$451),0),
IF('TL16'!$B$3=K$3,SUMIF('TL16'!$C$10:$C$224,$C368,'TL16'!$J$10:$J$224),0),
IF('TL16'!$B$229=K$3,SUMIF('TL16'!$C$238:$C$451,$C368,'TL16'!$J$238:$J$451),0),
IF('TL17'!$B$3=K$3,SUMIF('TL17'!$C$10:$C$224,$C368,'TL17'!$J$10:$J$224),0),
IF('TL17'!$B$229=K$3,SUMIF('TL17'!$C$238:$C$451,$C368,'TL17'!$J$238:$J$451),0),
IF('TL18'!$B$3=K$3,SUMIF('TL18'!$C$10:$C$224,$C368,'TL18'!$J$10:$J$224),0),
IF('TL18'!$B$229=K$3,SUMIF('TL18'!$C$238:$C$451,$C368,'TL18'!$J$238:$J$451),0),
IF('TL19'!$B$3=K$3,SUMIF('TL19'!$C$10:$C$224,$C368,'TL19'!$J$10:$J$224),0),
IF('TL19'!$B$229=K$3,SUMIF('TL19'!$C$238:$C$451,$C368,'TL19'!$J$238:$J$451),0)
),0)</f>
        <v>300</v>
      </c>
      <c r="L368" s="9">
        <f>IFERROR(SUM(
IF('TL01'!$B$3=L$3,SUMIF('TL01'!$C$10:$C$224,$C368,'TL01'!$J$10:$J$224),0),
IF('TL01'!$B$229=L$3,SUMIF('TL01'!$C$238:$C$451,$C368,'TL01'!$J$238:$J$451),0),
IF('TL02'!$B$3=L$3,SUMIF('TL02'!$C$10:$C$224,$C368,'TL02'!$J$10:$J$224),0),
IF('TL02'!$B$229=L$3,SUMIF('TL02'!$C$238:$C$451,$C368,'TL02'!$J$238:$J$451),0),
IF('TL03'!$B$3=L$3,SUMIF('TL03'!$C$10:$C$224,$C368,'TL03'!$J$10:$J$224),0),
IF('TL03'!$B$229=L$3,SUMIF('TL03'!$C$238:$C$451,$C368,'TL03'!$J$238:$J$451),0),
IF('TL04'!$B$3=L$3,SUMIF('TL04'!$C$10:$C$224,$C368,'TL04'!$J$10:$J$224),0),
IF('TL04'!$B$229=L$3,SUMIF('TL04'!$C$238:$C$451,$C368,'TL04'!$J$238:$J$451),0),
IF('TL05'!$B$3=L$3,SUMIF('TL05'!$C$10:$C$224,$C368,'TL05'!$J$10:$J$224),0),
IF('TL05'!$B$229=L$3,SUMIF('TL05'!$C$238:$C$451,$C368,'TL05'!$J$238:$J$451),0),
IF('TL06'!$B$3=L$3,SUMIF('TL06'!$C$10:$C$224,$C368,'TL06'!$J$10:$J$224),0),
IF('TL06'!$B$229=L$3,SUMIF('TL06'!$C$238:$C$451,$C368,'TL06'!$J$238:$J$451),0),
IF('TL07'!$B$3=L$3,SUMIF('TL07'!$C$10:$C$224,$C368,'TL07'!$J$10:$J$224),0),
IF('TL07'!$B$229=L$3,SUMIF('TL07'!$C$238:$C$451,$C368,'TL07'!$J$238:$J$451),0),
IF('TL08'!$B$3=L$3,SUMIF('TL08'!$C$10:$C$224,$C368,'TL08'!$J$10:$J$224),0),
IF('TL08'!$B$229=L$3,SUMIF('TL08'!$C$238:$C$451,$C368,'TL08'!$J$238:$J$451),0),
IF('TL09'!$B$3=L$3,SUMIF('TL09'!$C$10:$C$224,$C368,'TL09'!$J$10:$J$224),0),
IF('TL09'!$B$229=L$3,SUMIF('TL09'!$C$238:$C$451,$C368,'TL09'!$J$238:$J$451),0),
IF('TL10'!$B$3=L$3,SUMIF('TL10'!$C$10:$C$224,$C368,'TL10'!$J$10:$J$224),0),
IF('TL10'!$B$229=L$3,SUMIF('TL10'!$C$238:$C$451,$C368,'TL10'!$J$238:$J$451),0),
IF('TL11'!$B$3=L$3,SUMIF('TL11'!$C$10:$C$224,$C368,'TL11'!$J$10:$J$224),0),
IF('TL11'!$B$229=L$3,SUMIF('TL11'!$C$238:$C$451,$C368,'TL11'!$J$238:$J$451),0),
IF('TL12'!$B$3=L$3,SUMIF('TL12'!$C$10:$C$224,$C368,'TL12'!$J$10:$J$224),0),
IF('TL12'!$B$229=L$3,SUMIF('TL12'!$C$238:$C$451,$C368,'TL12'!$J$238:$J$451),0),
IF('TL13'!$B$3=L$3,SUMIF('TL13'!$C$10:$C$224,$C368,'TL13'!$J$10:$J$224),0),
IF('TL13'!$B$229=L$3,SUMIF('TL13'!$C$238:$C$451,$C368,'TL13'!$J$238:$J$451),0),
IF('TL14'!$B$3=L$3,SUMIF('TL14'!$C$10:$C$224,$C368,'TL14'!$J$10:$J$224),0),
IF('TL14'!$B$229=L$3,SUMIF('TL14'!$C$238:$C$451,$C368,'TL14'!$J$238:$J$451),0),
IF('TL15'!$B$3=L$3,SUMIF('TL15'!$C$10:$C$224,$C368,'TL15'!$J$10:$J$224),0),
IF('TL15'!$B$229=L$3,SUMIF('TL15'!$C$238:$C$451,$C368,'TL15'!$J$238:$J$451),0),
IF('TL16'!$B$3=L$3,SUMIF('TL16'!$C$10:$C$224,$C368,'TL16'!$J$10:$J$224),0),
IF('TL16'!$B$229=L$3,SUMIF('TL16'!$C$238:$C$451,$C368,'TL16'!$J$238:$J$451),0),
IF('TL17'!$B$3=L$3,SUMIF('TL17'!$C$10:$C$224,$C368,'TL17'!$J$10:$J$224),0),
IF('TL17'!$B$229=L$3,SUMIF('TL17'!$C$238:$C$451,$C368,'TL17'!$J$238:$J$451),0),
IF('TL18'!$B$3=L$3,SUMIF('TL18'!$C$10:$C$224,$C368,'TL18'!$J$10:$J$224),0),
IF('TL18'!$B$229=L$3,SUMIF('TL18'!$C$238:$C$451,$C368,'TL18'!$J$238:$J$451),0),
IF('TL19'!$B$3=L$3,SUMIF('TL19'!$C$10:$C$224,$C368,'TL19'!$J$10:$J$224),0),
IF('TL19'!$B$229=L$3,SUMIF('TL19'!$C$238:$C$451,$C368,'TL19'!$J$238:$J$451),0)
),0)</f>
        <v>220</v>
      </c>
      <c r="M368" s="9">
        <f>IFERROR(SUM(
IF('TL01'!$B$3=M$3,SUMIF('TL01'!$C$10:$C$224,$C368,'TL01'!$J$10:$J$224),0),
IF('TL01'!$B$229=M$3,SUMIF('TL01'!$C$238:$C$451,$C368,'TL01'!$J$238:$J$451),0),
IF('TL02'!$B$3=M$3,SUMIF('TL02'!$C$10:$C$224,$C368,'TL02'!$J$10:$J$224),0),
IF('TL02'!$B$229=M$3,SUMIF('TL02'!$C$238:$C$451,$C368,'TL02'!$J$238:$J$451),0),
IF('TL03'!$B$3=M$3,SUMIF('TL03'!$C$10:$C$224,$C368,'TL03'!$J$10:$J$224),0),
IF('TL03'!$B$229=M$3,SUMIF('TL03'!$C$238:$C$451,$C368,'TL03'!$J$238:$J$451),0),
IF('TL04'!$B$3=M$3,SUMIF('TL04'!$C$10:$C$224,$C368,'TL04'!$J$10:$J$224),0),
IF('TL04'!$B$229=M$3,SUMIF('TL04'!$C$238:$C$451,$C368,'TL04'!$J$238:$J$451),0),
IF('TL05'!$B$3=M$3,SUMIF('TL05'!$C$10:$C$224,$C368,'TL05'!$J$10:$J$224),0),
IF('TL05'!$B$229=M$3,SUMIF('TL05'!$C$238:$C$451,$C368,'TL05'!$J$238:$J$451),0),
IF('TL06'!$B$3=M$3,SUMIF('TL06'!$C$10:$C$224,$C368,'TL06'!$J$10:$J$224),0),
IF('TL06'!$B$229=M$3,SUMIF('TL06'!$C$238:$C$451,$C368,'TL06'!$J$238:$J$451),0),
IF('TL07'!$B$3=M$3,SUMIF('TL07'!$C$10:$C$224,$C368,'TL07'!$J$10:$J$224),0),
IF('TL07'!$B$229=M$3,SUMIF('TL07'!$C$238:$C$451,$C368,'TL07'!$J$238:$J$451),0),
IF('TL08'!$B$3=M$3,SUMIF('TL08'!$C$10:$C$224,$C368,'TL08'!$J$10:$J$224),0),
IF('TL08'!$B$229=M$3,SUMIF('TL08'!$C$238:$C$451,$C368,'TL08'!$J$238:$J$451),0),
IF('TL09'!$B$3=M$3,SUMIF('TL09'!$C$10:$C$224,$C368,'TL09'!$J$10:$J$224),0),
IF('TL09'!$B$229=M$3,SUMIF('TL09'!$C$238:$C$451,$C368,'TL09'!$J$238:$J$451),0),
IF('TL10'!$B$3=M$3,SUMIF('TL10'!$C$10:$C$224,$C368,'TL10'!$J$10:$J$224),0),
IF('TL10'!$B$229=M$3,SUMIF('TL10'!$C$238:$C$451,$C368,'TL10'!$J$238:$J$451),0),
IF('TL11'!$B$3=M$3,SUMIF('TL11'!$C$10:$C$224,$C368,'TL11'!$J$10:$J$224),0),
IF('TL11'!$B$229=M$3,SUMIF('TL11'!$C$238:$C$451,$C368,'TL11'!$J$238:$J$451),0),
IF('TL12'!$B$3=M$3,SUMIF('TL12'!$C$10:$C$224,$C368,'TL12'!$J$10:$J$224),0),
IF('TL12'!$B$229=M$3,SUMIF('TL12'!$C$238:$C$451,$C368,'TL12'!$J$238:$J$451),0),
IF('TL13'!$B$3=M$3,SUMIF('TL13'!$C$10:$C$224,$C368,'TL13'!$J$10:$J$224),0),
IF('TL13'!$B$229=M$3,SUMIF('TL13'!$C$238:$C$451,$C368,'TL13'!$J$238:$J$451),0),
IF('TL14'!$B$3=M$3,SUMIF('TL14'!$C$10:$C$224,$C368,'TL14'!$J$10:$J$224),0),
IF('TL14'!$B$229=M$3,SUMIF('TL14'!$C$238:$C$451,$C368,'TL14'!$J$238:$J$451),0),
IF('TL15'!$B$3=M$3,SUMIF('TL15'!$C$10:$C$224,$C368,'TL15'!$J$10:$J$224),0),
IF('TL15'!$B$229=M$3,SUMIF('TL15'!$C$238:$C$451,$C368,'TL15'!$J$238:$J$451),0),
IF('TL16'!$B$3=M$3,SUMIF('TL16'!$C$10:$C$224,$C368,'TL16'!$J$10:$J$224),0),
IF('TL16'!$B$229=M$3,SUMIF('TL16'!$C$238:$C$451,$C368,'TL16'!$J$238:$J$451),0),
IF('TL17'!$B$3=M$3,SUMIF('TL17'!$C$10:$C$224,$C368,'TL17'!$J$10:$J$224),0),
IF('TL17'!$B$229=M$3,SUMIF('TL17'!$C$238:$C$451,$C368,'TL17'!$J$238:$J$451),0),
IF('TL18'!$B$3=M$3,SUMIF('TL18'!$C$10:$C$224,$C368,'TL18'!$J$10:$J$224),0),
IF('TL18'!$B$229=M$3,SUMIF('TL18'!$C$238:$C$451,$C368,'TL18'!$J$238:$J$451),0),
IF('TL19'!$B$3=M$3,SUMIF('TL19'!$C$10:$C$224,$C368,'TL19'!$J$10:$J$224),0),
IF('TL19'!$B$229=M$3,SUMIF('TL19'!$C$238:$C$451,$C368,'TL19'!$J$238:$J$451),0)
),0)</f>
        <v>0</v>
      </c>
      <c r="N368" s="9">
        <f>IFERROR(SUM(
IF('TL01'!$B$3=N$3,SUMIF('TL01'!$C$10:$C$224,$C368,'TL01'!$J$10:$J$224),0),
IF('TL01'!$B$229=N$3,SUMIF('TL01'!$C$238:$C$451,$C368,'TL01'!$J$238:$J$451),0),
IF('TL02'!$B$3=N$3,SUMIF('TL02'!$C$10:$C$224,$C368,'TL02'!$J$10:$J$224),0),
IF('TL02'!$B$229=N$3,SUMIF('TL02'!$C$238:$C$451,$C368,'TL02'!$J$238:$J$451),0),
IF('TL03'!$B$3=N$3,SUMIF('TL03'!$C$10:$C$224,$C368,'TL03'!$J$10:$J$224),0),
IF('TL03'!$B$229=N$3,SUMIF('TL03'!$C$238:$C$451,$C368,'TL03'!$J$238:$J$451),0),
IF('TL04'!$B$3=N$3,SUMIF('TL04'!$C$10:$C$224,$C368,'TL04'!$J$10:$J$224),0),
IF('TL04'!$B$229=N$3,SUMIF('TL04'!$C$238:$C$451,$C368,'TL04'!$J$238:$J$451),0),
IF('TL05'!$B$3=N$3,SUMIF('TL05'!$C$10:$C$224,$C368,'TL05'!$J$10:$J$224),0),
IF('TL05'!$B$229=N$3,SUMIF('TL05'!$C$238:$C$451,$C368,'TL05'!$J$238:$J$451),0),
IF('TL06'!$B$3=N$3,SUMIF('TL06'!$C$10:$C$224,$C368,'TL06'!$J$10:$J$224),0),
IF('TL06'!$B$229=N$3,SUMIF('TL06'!$C$238:$C$451,$C368,'TL06'!$J$238:$J$451),0),
IF('TL07'!$B$3=N$3,SUMIF('TL07'!$C$10:$C$224,$C368,'TL07'!$J$10:$J$224),0),
IF('TL07'!$B$229=N$3,SUMIF('TL07'!$C$238:$C$451,$C368,'TL07'!$J$238:$J$451),0),
IF('TL08'!$B$3=N$3,SUMIF('TL08'!$C$10:$C$224,$C368,'TL08'!$J$10:$J$224),0),
IF('TL08'!$B$229=N$3,SUMIF('TL08'!$C$238:$C$451,$C368,'TL08'!$J$238:$J$451),0),
IF('TL09'!$B$3=N$3,SUMIF('TL09'!$C$10:$C$224,$C368,'TL09'!$J$10:$J$224),0),
IF('TL09'!$B$229=N$3,SUMIF('TL09'!$C$238:$C$451,$C368,'TL09'!$J$238:$J$451),0),
IF('TL10'!$B$3=N$3,SUMIF('TL10'!$C$10:$C$224,$C368,'TL10'!$J$10:$J$224),0),
IF('TL10'!$B$229=N$3,SUMIF('TL10'!$C$238:$C$451,$C368,'TL10'!$J$238:$J$451),0),
IF('TL11'!$B$3=N$3,SUMIF('TL11'!$C$10:$C$224,$C368,'TL11'!$J$10:$J$224),0),
IF('TL11'!$B$229=N$3,SUMIF('TL11'!$C$238:$C$451,$C368,'TL11'!$J$238:$J$451),0),
IF('TL12'!$B$3=N$3,SUMIF('TL12'!$C$10:$C$224,$C368,'TL12'!$J$10:$J$224),0),
IF('TL12'!$B$229=N$3,SUMIF('TL12'!$C$238:$C$451,$C368,'TL12'!$J$238:$J$451),0),
IF('TL13'!$B$3=N$3,SUMIF('TL13'!$C$10:$C$224,$C368,'TL13'!$J$10:$J$224),0),
IF('TL13'!$B$229=N$3,SUMIF('TL13'!$C$238:$C$451,$C368,'TL13'!$J$238:$J$451),0),
IF('TL14'!$B$3=N$3,SUMIF('TL14'!$C$10:$C$224,$C368,'TL14'!$J$10:$J$224),0),
IF('TL14'!$B$229=N$3,SUMIF('TL14'!$C$238:$C$451,$C368,'TL14'!$J$238:$J$451),0),
IF('TL15'!$B$3=N$3,SUMIF('TL15'!$C$10:$C$224,$C368,'TL15'!$J$10:$J$224),0),
IF('TL15'!$B$229=N$3,SUMIF('TL15'!$C$238:$C$451,$C368,'TL15'!$J$238:$J$451),0),
IF('TL16'!$B$3=N$3,SUMIF('TL16'!$C$10:$C$224,$C368,'TL16'!$J$10:$J$224),0),
IF('TL16'!$B$229=N$3,SUMIF('TL16'!$C$238:$C$451,$C368,'TL16'!$J$238:$J$451),0),
IF('TL17'!$B$3=N$3,SUMIF('TL17'!$C$10:$C$224,$C368,'TL17'!$J$10:$J$224),0),
IF('TL17'!$B$229=N$3,SUMIF('TL17'!$C$238:$C$451,$C368,'TL17'!$J$238:$J$451),0),
IF('TL18'!$B$3=N$3,SUMIF('TL18'!$C$10:$C$224,$C368,'TL18'!$J$10:$J$224),0),
IF('TL18'!$B$229=N$3,SUMIF('TL18'!$C$238:$C$451,$C368,'TL18'!$J$238:$J$451),0),
IF('TL19'!$B$3=N$3,SUMIF('TL19'!$C$10:$C$224,$C368,'TL19'!$J$10:$J$224),0),
IF('TL19'!$B$229=N$3,SUMIF('TL19'!$C$238:$C$451,$C368,'TL19'!$J$238:$J$451),0)
),0)</f>
        <v>0</v>
      </c>
      <c r="O368" s="9">
        <f>IFERROR(SUM(
IF('TL01'!$B$3=O$3,SUMIF('TL01'!$C$10:$C$224,$C368,'TL01'!$J$10:$J$224),0),
IF('TL01'!$B$229=O$3,SUMIF('TL01'!$C$238:$C$451,$C368,'TL01'!$J$238:$J$451),0),
IF('TL02'!$B$3=O$3,SUMIF('TL02'!$C$10:$C$224,$C368,'TL02'!$J$10:$J$224),0),
IF('TL02'!$B$229=O$3,SUMIF('TL02'!$C$238:$C$451,$C368,'TL02'!$J$238:$J$451),0),
IF('TL03'!$B$3=O$3,SUMIF('TL03'!$C$10:$C$224,$C368,'TL03'!$J$10:$J$224),0),
IF('TL03'!$B$229=O$3,SUMIF('TL03'!$C$238:$C$451,$C368,'TL03'!$J$238:$J$451),0),
IF('TL04'!$B$3=O$3,SUMIF('TL04'!$C$10:$C$224,$C368,'TL04'!$J$10:$J$224),0),
IF('TL04'!$B$229=O$3,SUMIF('TL04'!$C$238:$C$451,$C368,'TL04'!$J$238:$J$451),0),
IF('TL05'!$B$3=O$3,SUMIF('TL05'!$C$10:$C$224,$C368,'TL05'!$J$10:$J$224),0),
IF('TL05'!$B$229=O$3,SUMIF('TL05'!$C$238:$C$451,$C368,'TL05'!$J$238:$J$451),0),
IF('TL06'!$B$3=O$3,SUMIF('TL06'!$C$10:$C$224,$C368,'TL06'!$J$10:$J$224),0),
IF('TL06'!$B$229=O$3,SUMIF('TL06'!$C$238:$C$451,$C368,'TL06'!$J$238:$J$451),0),
IF('TL07'!$B$3=O$3,SUMIF('TL07'!$C$10:$C$224,$C368,'TL07'!$J$10:$J$224),0),
IF('TL07'!$B$229=O$3,SUMIF('TL07'!$C$238:$C$451,$C368,'TL07'!$J$238:$J$451),0),
IF('TL08'!$B$3=O$3,SUMIF('TL08'!$C$10:$C$224,$C368,'TL08'!$J$10:$J$224),0),
IF('TL08'!$B$229=O$3,SUMIF('TL08'!$C$238:$C$451,$C368,'TL08'!$J$238:$J$451),0),
IF('TL09'!$B$3=O$3,SUMIF('TL09'!$C$10:$C$224,$C368,'TL09'!$J$10:$J$224),0),
IF('TL09'!$B$229=O$3,SUMIF('TL09'!$C$238:$C$451,$C368,'TL09'!$J$238:$J$451),0),
IF('TL10'!$B$3=O$3,SUMIF('TL10'!$C$10:$C$224,$C368,'TL10'!$J$10:$J$224),0),
IF('TL10'!$B$229=O$3,SUMIF('TL10'!$C$238:$C$451,$C368,'TL10'!$J$238:$J$451),0),
IF('TL11'!$B$3=O$3,SUMIF('TL11'!$C$10:$C$224,$C368,'TL11'!$J$10:$J$224),0),
IF('TL11'!$B$229=O$3,SUMIF('TL11'!$C$238:$C$451,$C368,'TL11'!$J$238:$J$451),0),
IF('TL12'!$B$3=O$3,SUMIF('TL12'!$C$10:$C$224,$C368,'TL12'!$J$10:$J$224),0),
IF('TL12'!$B$229=O$3,SUMIF('TL12'!$C$238:$C$451,$C368,'TL12'!$J$238:$J$451),0),
IF('TL13'!$B$3=O$3,SUMIF('TL13'!$C$10:$C$224,$C368,'TL13'!$J$10:$J$224),0),
IF('TL13'!$B$229=O$3,SUMIF('TL13'!$C$238:$C$451,$C368,'TL13'!$J$238:$J$451),0),
IF('TL14'!$B$3=O$3,SUMIF('TL14'!$C$10:$C$224,$C368,'TL14'!$J$10:$J$224),0),
IF('TL14'!$B$229=O$3,SUMIF('TL14'!$C$238:$C$451,$C368,'TL14'!$J$238:$J$451),0),
IF('TL15'!$B$3=O$3,SUMIF('TL15'!$C$10:$C$224,$C368,'TL15'!$J$10:$J$224),0),
IF('TL15'!$B$229=O$3,SUMIF('TL15'!$C$238:$C$451,$C368,'TL15'!$J$238:$J$451),0),
IF('TL16'!$B$3=O$3,SUMIF('TL16'!$C$10:$C$224,$C368,'TL16'!$J$10:$J$224),0),
IF('TL16'!$B$229=O$3,SUMIF('TL16'!$C$238:$C$451,$C368,'TL16'!$J$238:$J$451),0),
IF('TL17'!$B$3=O$3,SUMIF('TL17'!$C$10:$C$224,$C368,'TL17'!$J$10:$J$224),0),
IF('TL17'!$B$229=O$3,SUMIF('TL17'!$C$238:$C$451,$C368,'TL17'!$J$238:$J$451),0),
IF('TL18'!$B$3=O$3,SUMIF('TL18'!$C$10:$C$224,$C368,'TL18'!$J$10:$J$224),0),
IF('TL18'!$B$229=O$3,SUMIF('TL18'!$C$238:$C$451,$C368,'TL18'!$J$238:$J$451),0),
IF('TL19'!$B$3=O$3,SUMIF('TL19'!$C$10:$C$224,$C368,'TL19'!$J$10:$J$224),0),
IF('TL19'!$B$229=O$3,SUMIF('TL19'!$C$238:$C$451,$C368,'TL19'!$J$238:$J$451),0)
),0)</f>
        <v>0</v>
      </c>
      <c r="P368" s="9">
        <f>IFERROR(SUM(
IF('TL01'!$B$3=P$3,SUMIF('TL01'!$C$10:$C$224,$C368,'TL01'!$J$10:$J$224),0),
IF('TL01'!$B$229=P$3,SUMIF('TL01'!$C$238:$C$451,$C368,'TL01'!$J$238:$J$451),0),
IF('TL02'!$B$3=P$3,SUMIF('TL02'!$C$10:$C$224,$C368,'TL02'!$J$10:$J$224),0),
IF('TL02'!$B$229=P$3,SUMIF('TL02'!$C$238:$C$451,$C368,'TL02'!$J$238:$J$451),0),
IF('TL03'!$B$3=P$3,SUMIF('TL03'!$C$10:$C$224,$C368,'TL03'!$J$10:$J$224),0),
IF('TL03'!$B$229=P$3,SUMIF('TL03'!$C$238:$C$451,$C368,'TL03'!$J$238:$J$451),0),
IF('TL04'!$B$3=P$3,SUMIF('TL04'!$C$10:$C$224,$C368,'TL04'!$J$10:$J$224),0),
IF('TL04'!$B$229=P$3,SUMIF('TL04'!$C$238:$C$451,$C368,'TL04'!$J$238:$J$451),0),
IF('TL05'!$B$3=P$3,SUMIF('TL05'!$C$10:$C$224,$C368,'TL05'!$J$10:$J$224),0),
IF('TL05'!$B$229=P$3,SUMIF('TL05'!$C$238:$C$451,$C368,'TL05'!$J$238:$J$451),0),
IF('TL06'!$B$3=P$3,SUMIF('TL06'!$C$10:$C$224,$C368,'TL06'!$J$10:$J$224),0),
IF('TL06'!$B$229=P$3,SUMIF('TL06'!$C$238:$C$451,$C368,'TL06'!$J$238:$J$451),0),
IF('TL07'!$B$3=P$3,SUMIF('TL07'!$C$10:$C$224,$C368,'TL07'!$J$10:$J$224),0),
IF('TL07'!$B$229=P$3,SUMIF('TL07'!$C$238:$C$451,$C368,'TL07'!$J$238:$J$451),0),
IF('TL08'!$B$3=P$3,SUMIF('TL08'!$C$10:$C$224,$C368,'TL08'!$J$10:$J$224),0),
IF('TL08'!$B$229=P$3,SUMIF('TL08'!$C$238:$C$451,$C368,'TL08'!$J$238:$J$451),0),
IF('TL09'!$B$3=P$3,SUMIF('TL09'!$C$10:$C$224,$C368,'TL09'!$J$10:$J$224),0),
IF('TL09'!$B$229=P$3,SUMIF('TL09'!$C$238:$C$451,$C368,'TL09'!$J$238:$J$451),0),
IF('TL10'!$B$3=P$3,SUMIF('TL10'!$C$10:$C$224,$C368,'TL10'!$J$10:$J$224),0),
IF('TL10'!$B$229=P$3,SUMIF('TL10'!$C$238:$C$451,$C368,'TL10'!$J$238:$J$451),0),
IF('TL11'!$B$3=P$3,SUMIF('TL11'!$C$10:$C$224,$C368,'TL11'!$J$10:$J$224),0),
IF('TL11'!$B$229=P$3,SUMIF('TL11'!$C$238:$C$451,$C368,'TL11'!$J$238:$J$451),0),
IF('TL12'!$B$3=P$3,SUMIF('TL12'!$C$10:$C$224,$C368,'TL12'!$J$10:$J$224),0),
IF('TL12'!$B$229=P$3,SUMIF('TL12'!$C$238:$C$451,$C368,'TL12'!$J$238:$J$451),0),
IF('TL13'!$B$3=P$3,SUMIF('TL13'!$C$10:$C$224,$C368,'TL13'!$J$10:$J$224),0),
IF('TL13'!$B$229=P$3,SUMIF('TL13'!$C$238:$C$451,$C368,'TL13'!$J$238:$J$451),0),
IF('TL14'!$B$3=P$3,SUMIF('TL14'!$C$10:$C$224,$C368,'TL14'!$J$10:$J$224),0),
IF('TL14'!$B$229=P$3,SUMIF('TL14'!$C$238:$C$451,$C368,'TL14'!$J$238:$J$451),0),
IF('TL15'!$B$3=P$3,SUMIF('TL15'!$C$10:$C$224,$C368,'TL15'!$J$10:$J$224),0),
IF('TL15'!$B$229=P$3,SUMIF('TL15'!$C$238:$C$451,$C368,'TL15'!$J$238:$J$451),0),
IF('TL16'!$B$3=P$3,SUMIF('TL16'!$C$10:$C$224,$C368,'TL16'!$J$10:$J$224),0),
IF('TL16'!$B$229=P$3,SUMIF('TL16'!$C$238:$C$451,$C368,'TL16'!$J$238:$J$451),0),
IF('TL17'!$B$3=P$3,SUMIF('TL17'!$C$10:$C$224,$C368,'TL17'!$J$10:$J$224),0),
IF('TL17'!$B$229=P$3,SUMIF('TL17'!$C$238:$C$451,$C368,'TL17'!$J$238:$J$451),0),
IF('TL18'!$B$3=P$3,SUMIF('TL18'!$C$10:$C$224,$C368,'TL18'!$J$10:$J$224),0),
IF('TL18'!$B$229=P$3,SUMIF('TL18'!$C$238:$C$451,$C368,'TL18'!$J$238:$J$451),0),
IF('TL19'!$B$3=P$3,SUMIF('TL19'!$C$10:$C$224,$C368,'TL19'!$J$10:$J$224),0),
IF('TL19'!$B$229=P$3,SUMIF('TL19'!$C$238:$C$451,$C368,'TL19'!$J$238:$J$451),0)
),0)</f>
        <v>1218</v>
      </c>
      <c r="Q368" s="9">
        <f>IFERROR(SUM(
IF('TL01'!$B$3=Q$3,SUMIF('TL01'!$C$10:$C$224,$C368,'TL01'!$J$10:$J$224),0),
IF('TL01'!$B$229=Q$3,SUMIF('TL01'!$C$238:$C$451,$C368,'TL01'!$J$238:$J$451),0),
IF('TL02'!$B$3=Q$3,SUMIF('TL02'!$C$10:$C$224,$C368,'TL02'!$J$10:$J$224),0),
IF('TL02'!$B$229=Q$3,SUMIF('TL02'!$C$238:$C$451,$C368,'TL02'!$J$238:$J$451),0),
IF('TL03'!$B$3=Q$3,SUMIF('TL03'!$C$10:$C$224,$C368,'TL03'!$J$10:$J$224),0),
IF('TL03'!$B$229=Q$3,SUMIF('TL03'!$C$238:$C$451,$C368,'TL03'!$J$238:$J$451),0),
IF('TL04'!$B$3=Q$3,SUMIF('TL04'!$C$10:$C$224,$C368,'TL04'!$J$10:$J$224),0),
IF('TL04'!$B$229=Q$3,SUMIF('TL04'!$C$238:$C$451,$C368,'TL04'!$J$238:$J$451),0),
IF('TL05'!$B$3=Q$3,SUMIF('TL05'!$C$10:$C$224,$C368,'TL05'!$J$10:$J$224),0),
IF('TL05'!$B$229=Q$3,SUMIF('TL05'!$C$238:$C$451,$C368,'TL05'!$J$238:$J$451),0),
IF('TL06'!$B$3=Q$3,SUMIF('TL06'!$C$10:$C$224,$C368,'TL06'!$J$10:$J$224),0),
IF('TL06'!$B$229=Q$3,SUMIF('TL06'!$C$238:$C$451,$C368,'TL06'!$J$238:$J$451),0),
IF('TL07'!$B$3=Q$3,SUMIF('TL07'!$C$10:$C$224,$C368,'TL07'!$J$10:$J$224),0),
IF('TL07'!$B$229=Q$3,SUMIF('TL07'!$C$238:$C$451,$C368,'TL07'!$J$238:$J$451),0),
IF('TL08'!$B$3=Q$3,SUMIF('TL08'!$C$10:$C$224,$C368,'TL08'!$J$10:$J$224),0),
IF('TL08'!$B$229=Q$3,SUMIF('TL08'!$C$238:$C$451,$C368,'TL08'!$J$238:$J$451),0),
IF('TL09'!$B$3=Q$3,SUMIF('TL09'!$C$10:$C$224,$C368,'TL09'!$J$10:$J$224),0),
IF('TL09'!$B$229=Q$3,SUMIF('TL09'!$C$238:$C$451,$C368,'TL09'!$J$238:$J$451),0),
IF('TL10'!$B$3=Q$3,SUMIF('TL10'!$C$10:$C$224,$C368,'TL10'!$J$10:$J$224),0),
IF('TL10'!$B$229=Q$3,SUMIF('TL10'!$C$238:$C$451,$C368,'TL10'!$J$238:$J$451),0),
IF('TL11'!$B$3=Q$3,SUMIF('TL11'!$C$10:$C$224,$C368,'TL11'!$J$10:$J$224),0),
IF('TL11'!$B$229=Q$3,SUMIF('TL11'!$C$238:$C$451,$C368,'TL11'!$J$238:$J$451),0),
IF('TL12'!$B$3=Q$3,SUMIF('TL12'!$C$10:$C$224,$C368,'TL12'!$J$10:$J$224),0),
IF('TL12'!$B$229=Q$3,SUMIF('TL12'!$C$238:$C$451,$C368,'TL12'!$J$238:$J$451),0),
IF('TL13'!$B$3=Q$3,SUMIF('TL13'!$C$10:$C$224,$C368,'TL13'!$J$10:$J$224),0),
IF('TL13'!$B$229=Q$3,SUMIF('TL13'!$C$238:$C$451,$C368,'TL13'!$J$238:$J$451),0),
IF('TL14'!$B$3=Q$3,SUMIF('TL14'!$C$10:$C$224,$C368,'TL14'!$J$10:$J$224),0),
IF('TL14'!$B$229=Q$3,SUMIF('TL14'!$C$238:$C$451,$C368,'TL14'!$J$238:$J$451),0),
IF('TL15'!$B$3=Q$3,SUMIF('TL15'!$C$10:$C$224,$C368,'TL15'!$J$10:$J$224),0),
IF('TL15'!$B$229=Q$3,SUMIF('TL15'!$C$238:$C$451,$C368,'TL15'!$J$238:$J$451),0),
IF('TL16'!$B$3=Q$3,SUMIF('TL16'!$C$10:$C$224,$C368,'TL16'!$J$10:$J$224),0),
IF('TL16'!$B$229=Q$3,SUMIF('TL16'!$C$238:$C$451,$C368,'TL16'!$J$238:$J$451),0),
IF('TL17'!$B$3=Q$3,SUMIF('TL17'!$C$10:$C$224,$C368,'TL17'!$J$10:$J$224),0),
IF('TL17'!$B$229=Q$3,SUMIF('TL17'!$C$238:$C$451,$C368,'TL17'!$J$238:$J$451),0),
IF('TL18'!$B$3=Q$3,SUMIF('TL18'!$C$10:$C$224,$C368,'TL18'!$J$10:$J$224),0),
IF('TL18'!$B$229=Q$3,SUMIF('TL18'!$C$238:$C$451,$C368,'TL18'!$J$238:$J$451),0),
IF('TL19'!$B$3=Q$3,SUMIF('TL19'!$C$10:$C$224,$C368,'TL19'!$J$10:$J$224),0),
IF('TL19'!$B$229=Q$3,SUMIF('TL19'!$C$238:$C$451,$C368,'TL19'!$J$238:$J$451),0)
),0)</f>
        <v>320</v>
      </c>
      <c r="R368" s="9">
        <f>IFERROR(
SUM(
SUMIF('TL01'!C:C,C368,'TL01'!J:J),
SUMIF('TL02'!C:C,C368,'TL02'!J:J),
SUMIF('TL03'!C:C,C368,'TL03'!J:J),
SUMIF('TL04'!C:C,C368,'TL04'!J:J),
SUMIF('TL05'!C:C,C368,'TL05'!J:J),
SUMIF('TL06'!C:C,C368,'TL06'!J:J),
SUMIF('TL07'!C:C,C368,'TL07'!J:J),
SUMIF('TL08'!C:C,C368,'TL08'!J:J),
SUMIF('TL09'!C:C,C368,'TL09'!J:J),
SUMIF('TL10'!C:C,C368,'TL10'!J:J),
SUMIF('TL11'!C:C,C368,'TL11'!J:J),
SUMIF('TL12'!C:C,C368,'TL12'!J:J),
SUMIF('TL13'!C:C,C368,'TL13'!J:J),
SUMIF('TL14'!C:C,C368,'TL14'!J:J),
SUMIF('TL15'!C:C,C368,'TL15'!J:J),
SUMIF('TL16'!C:C,C368,'TL16'!J:J),
SUMIF('TL17'!C:C,C368,'TL17'!J:J),
SUMIF('TL18'!C:C,C368,'TL18'!J:J),SUMIF('TL19'!C:C,C368,'TL19'!J:J))
,0)</f>
        <v>2058</v>
      </c>
      <c r="S368" s="17">
        <f>IFERROR(__xludf.DUMMYFUNCTION("IFERROR(VLOOKUP(C368,
IMPORTRANGE(""1wULbzX32WdYsx-lj2U3uUNBBe2INVIRDtcK0d-Dvl90"",
""26-27!C:G""),
5,
FALSE),
"""")"),81.12)</f>
        <v>81.12</v>
      </c>
      <c r="T368" s="9"/>
      <c r="U368" s="92">
        <f t="shared" si="2"/>
        <v>2058</v>
      </c>
      <c r="V368" s="93">
        <f t="shared" si="3"/>
        <v>166944.96</v>
      </c>
    </row>
    <row r="369" ht="15.75" hidden="1" customHeight="1">
      <c r="A369" s="4" t="s">
        <v>1071</v>
      </c>
      <c r="B369" s="4" t="s">
        <v>4</v>
      </c>
      <c r="C369" s="128" t="s">
        <v>1109</v>
      </c>
      <c r="D369" s="99"/>
      <c r="E369" s="6"/>
      <c r="F369" s="4"/>
      <c r="G369" s="90" t="str">
        <f t="shared" si="5"/>
        <v>📄 Ver bula</v>
      </c>
      <c r="H369" s="9"/>
      <c r="I369" s="123"/>
      <c r="J369" s="9">
        <f>IFERROR(SUM(
IF('TL01'!$B$3=J$3,SUMIF('TL01'!$C$10:$C$224,$C369,'TL01'!$J$10:$J$224),0),
IF('TL01'!$B$229=J$3,SUMIF('TL01'!$C$238:$C$451,$C369,'TL01'!$J$238:$J$451),0),
IF('TL02'!$B$3=J$3,SUMIF('TL02'!$C$10:$C$224,$C369,'TL02'!$J$10:$J$224),0),
IF('TL02'!$B$229=J$3,SUMIF('TL02'!$C$238:$C$451,$C369,'TL02'!$J$238:$J$451),0),
IF('TL03'!$B$3=J$3,SUMIF('TL03'!$C$10:$C$224,$C369,'TL03'!$J$10:$J$224),0),
IF('TL03'!$B$229=J$3,SUMIF('TL03'!$C$238:$C$451,$C369,'TL03'!$J$238:$J$451),0),
IF('TL04'!$B$3=J$3,SUMIF('TL04'!$C$10:$C$224,$C369,'TL04'!$J$10:$J$224),0),
IF('TL04'!$B$229=J$3,SUMIF('TL04'!$C$238:$C$451,$C369,'TL04'!$J$238:$J$451),0),
IF('TL05'!$B$3=J$3,SUMIF('TL05'!$C$10:$C$224,$C369,'TL05'!$J$10:$J$224),0),
IF('TL05'!$B$229=J$3,SUMIF('TL05'!$C$238:$C$451,$C369,'TL05'!$J$238:$J$451),0),
IF('TL06'!$B$3=J$3,SUMIF('TL06'!$C$10:$C$224,$C369,'TL06'!$J$10:$J$224),0),
IF('TL06'!$B$229=J$3,SUMIF('TL06'!$C$238:$C$451,$C369,'TL06'!$J$238:$J$451),0),
IF('TL07'!$B$3=J$3,SUMIF('TL07'!$C$10:$C$224,$C369,'TL07'!$J$10:$J$224),0),
IF('TL07'!$B$229=J$3,SUMIF('TL07'!$C$238:$C$451,$C369,'TL07'!$J$238:$J$451),0),
IF('TL08'!$B$3=J$3,SUMIF('TL08'!$C$10:$C$224,$C369,'TL08'!$J$10:$J$224),0),
IF('TL08'!$B$229=J$3,SUMIF('TL08'!$C$238:$C$451,$C369,'TL08'!$J$238:$J$451),0),
IF('TL09'!$B$3=J$3,SUMIF('TL09'!$C$10:$C$224,$C369,'TL09'!$J$10:$J$224),0),
IF('TL09'!$B$229=J$3,SUMIF('TL09'!$C$238:$C$451,$C369,'TL09'!$J$238:$J$451),0),
IF('TL10'!$B$3=J$3,SUMIF('TL10'!$C$10:$C$224,$C369,'TL10'!$J$10:$J$224),0),
IF('TL10'!$B$229=J$3,SUMIF('TL10'!$C$238:$C$451,$C369,'TL10'!$J$238:$J$451),0),
IF('TL11'!$B$3=J$3,SUMIF('TL11'!$C$10:$C$224,$C369,'TL11'!$J$10:$J$224),0),
IF('TL11'!$B$229=J$3,SUMIF('TL11'!$C$238:$C$451,$C369,'TL11'!$J$238:$J$451),0),
IF('TL12'!$B$3=J$3,SUMIF('TL12'!$C$10:$C$224,$C369,'TL12'!$J$10:$J$224),0),
IF('TL12'!$B$229=J$3,SUMIF('TL12'!$C$238:$C$451,$C369,'TL12'!$J$238:$J$451),0),
IF('TL13'!$B$3=J$3,SUMIF('TL13'!$C$10:$C$224,$C369,'TL13'!$J$10:$J$224),0),
IF('TL13'!$B$229=J$3,SUMIF('TL13'!$C$238:$C$451,$C369,'TL13'!$J$238:$J$451),0),
IF('TL14'!$B$3=J$3,SUMIF('TL14'!$C$10:$C$224,$C369,'TL14'!$J$10:$J$224),0),
IF('TL14'!$B$229=J$3,SUMIF('TL14'!$C$238:$C$451,$C369,'TL14'!$J$238:$J$451),0),
IF('TL15'!$B$3=J$3,SUMIF('TL15'!$C$10:$C$224,$C369,'TL15'!$J$10:$J$224),0),
IF('TL15'!$B$229=J$3,SUMIF('TL15'!$C$238:$C$451,$C369,'TL15'!$J$238:$J$451),0),
IF('TL16'!$B$3=J$3,SUMIF('TL16'!$C$10:$C$224,$C369,'TL16'!$J$10:$J$224),0),
IF('TL16'!$B$229=J$3,SUMIF('TL16'!$C$238:$C$451,$C369,'TL16'!$J$238:$J$451),0),
IF('TL17'!$B$3=J$3,SUMIF('TL17'!$C$10:$C$224,$C369,'TL17'!$J$10:$J$224),0),
IF('TL17'!$B$229=J$3,SUMIF('TL17'!$C$238:$C$451,$C369,'TL17'!$J$238:$J$451),0),
IF('TL18'!$B$3=J$3,SUMIF('TL18'!$C$10:$C$224,$C369,'TL18'!$J$10:$J$224),0),
IF('TL18'!$B$229=J$3,SUMIF('TL18'!$C$238:$C$451,$C369,'TL18'!$J$238:$J$451),0),
IF('TL19'!$B$3=J$3,SUMIF('TL19'!$C$10:$C$224,$C369,'TL19'!$J$10:$J$224),0),
IF('TL19'!$B$229=J$3,SUMIF('TL19'!$C$238:$C$451,$C369,'TL19'!$J$238:$J$451),0)
),0)</f>
        <v>0</v>
      </c>
      <c r="K369" s="9">
        <f>IFERROR(SUM(
IF('TL01'!$B$3=K$3,SUMIF('TL01'!$C$10:$C$224,$C369,'TL01'!$J$10:$J$224),0),
IF('TL01'!$B$229=K$3,SUMIF('TL01'!$C$238:$C$451,$C369,'TL01'!$J$238:$J$451),0),
IF('TL02'!$B$3=K$3,SUMIF('TL02'!$C$10:$C$224,$C369,'TL02'!$J$10:$J$224),0),
IF('TL02'!$B$229=K$3,SUMIF('TL02'!$C$238:$C$451,$C369,'TL02'!$J$238:$J$451),0),
IF('TL03'!$B$3=K$3,SUMIF('TL03'!$C$10:$C$224,$C369,'TL03'!$J$10:$J$224),0),
IF('TL03'!$B$229=K$3,SUMIF('TL03'!$C$238:$C$451,$C369,'TL03'!$J$238:$J$451),0),
IF('TL04'!$B$3=K$3,SUMIF('TL04'!$C$10:$C$224,$C369,'TL04'!$J$10:$J$224),0),
IF('TL04'!$B$229=K$3,SUMIF('TL04'!$C$238:$C$451,$C369,'TL04'!$J$238:$J$451),0),
IF('TL05'!$B$3=K$3,SUMIF('TL05'!$C$10:$C$224,$C369,'TL05'!$J$10:$J$224),0),
IF('TL05'!$B$229=K$3,SUMIF('TL05'!$C$238:$C$451,$C369,'TL05'!$J$238:$J$451),0),
IF('TL06'!$B$3=K$3,SUMIF('TL06'!$C$10:$C$224,$C369,'TL06'!$J$10:$J$224),0),
IF('TL06'!$B$229=K$3,SUMIF('TL06'!$C$238:$C$451,$C369,'TL06'!$J$238:$J$451),0),
IF('TL07'!$B$3=K$3,SUMIF('TL07'!$C$10:$C$224,$C369,'TL07'!$J$10:$J$224),0),
IF('TL07'!$B$229=K$3,SUMIF('TL07'!$C$238:$C$451,$C369,'TL07'!$J$238:$J$451),0),
IF('TL08'!$B$3=K$3,SUMIF('TL08'!$C$10:$C$224,$C369,'TL08'!$J$10:$J$224),0),
IF('TL08'!$B$229=K$3,SUMIF('TL08'!$C$238:$C$451,$C369,'TL08'!$J$238:$J$451),0),
IF('TL09'!$B$3=K$3,SUMIF('TL09'!$C$10:$C$224,$C369,'TL09'!$J$10:$J$224),0),
IF('TL09'!$B$229=K$3,SUMIF('TL09'!$C$238:$C$451,$C369,'TL09'!$J$238:$J$451),0),
IF('TL10'!$B$3=K$3,SUMIF('TL10'!$C$10:$C$224,$C369,'TL10'!$J$10:$J$224),0),
IF('TL10'!$B$229=K$3,SUMIF('TL10'!$C$238:$C$451,$C369,'TL10'!$J$238:$J$451),0),
IF('TL11'!$B$3=K$3,SUMIF('TL11'!$C$10:$C$224,$C369,'TL11'!$J$10:$J$224),0),
IF('TL11'!$B$229=K$3,SUMIF('TL11'!$C$238:$C$451,$C369,'TL11'!$J$238:$J$451),0),
IF('TL12'!$B$3=K$3,SUMIF('TL12'!$C$10:$C$224,$C369,'TL12'!$J$10:$J$224),0),
IF('TL12'!$B$229=K$3,SUMIF('TL12'!$C$238:$C$451,$C369,'TL12'!$J$238:$J$451),0),
IF('TL13'!$B$3=K$3,SUMIF('TL13'!$C$10:$C$224,$C369,'TL13'!$J$10:$J$224),0),
IF('TL13'!$B$229=K$3,SUMIF('TL13'!$C$238:$C$451,$C369,'TL13'!$J$238:$J$451),0),
IF('TL14'!$B$3=K$3,SUMIF('TL14'!$C$10:$C$224,$C369,'TL14'!$J$10:$J$224),0),
IF('TL14'!$B$229=K$3,SUMIF('TL14'!$C$238:$C$451,$C369,'TL14'!$J$238:$J$451),0),
IF('TL15'!$B$3=K$3,SUMIF('TL15'!$C$10:$C$224,$C369,'TL15'!$J$10:$J$224),0),
IF('TL15'!$B$229=K$3,SUMIF('TL15'!$C$238:$C$451,$C369,'TL15'!$J$238:$J$451),0),
IF('TL16'!$B$3=K$3,SUMIF('TL16'!$C$10:$C$224,$C369,'TL16'!$J$10:$J$224),0),
IF('TL16'!$B$229=K$3,SUMIF('TL16'!$C$238:$C$451,$C369,'TL16'!$J$238:$J$451),0),
IF('TL17'!$B$3=K$3,SUMIF('TL17'!$C$10:$C$224,$C369,'TL17'!$J$10:$J$224),0),
IF('TL17'!$B$229=K$3,SUMIF('TL17'!$C$238:$C$451,$C369,'TL17'!$J$238:$J$451),0),
IF('TL18'!$B$3=K$3,SUMIF('TL18'!$C$10:$C$224,$C369,'TL18'!$J$10:$J$224),0),
IF('TL18'!$B$229=K$3,SUMIF('TL18'!$C$238:$C$451,$C369,'TL18'!$J$238:$J$451),0),
IF('TL19'!$B$3=K$3,SUMIF('TL19'!$C$10:$C$224,$C369,'TL19'!$J$10:$J$224),0),
IF('TL19'!$B$229=K$3,SUMIF('TL19'!$C$238:$C$451,$C369,'TL19'!$J$238:$J$451),0)
),0)</f>
        <v>0</v>
      </c>
      <c r="L369" s="9">
        <f>IFERROR(SUM(
IF('TL01'!$B$3=L$3,SUMIF('TL01'!$C$10:$C$224,$C369,'TL01'!$J$10:$J$224),0),
IF('TL01'!$B$229=L$3,SUMIF('TL01'!$C$238:$C$451,$C369,'TL01'!$J$238:$J$451),0),
IF('TL02'!$B$3=L$3,SUMIF('TL02'!$C$10:$C$224,$C369,'TL02'!$J$10:$J$224),0),
IF('TL02'!$B$229=L$3,SUMIF('TL02'!$C$238:$C$451,$C369,'TL02'!$J$238:$J$451),0),
IF('TL03'!$B$3=L$3,SUMIF('TL03'!$C$10:$C$224,$C369,'TL03'!$J$10:$J$224),0),
IF('TL03'!$B$229=L$3,SUMIF('TL03'!$C$238:$C$451,$C369,'TL03'!$J$238:$J$451),0),
IF('TL04'!$B$3=L$3,SUMIF('TL04'!$C$10:$C$224,$C369,'TL04'!$J$10:$J$224),0),
IF('TL04'!$B$229=L$3,SUMIF('TL04'!$C$238:$C$451,$C369,'TL04'!$J$238:$J$451),0),
IF('TL05'!$B$3=L$3,SUMIF('TL05'!$C$10:$C$224,$C369,'TL05'!$J$10:$J$224),0),
IF('TL05'!$B$229=L$3,SUMIF('TL05'!$C$238:$C$451,$C369,'TL05'!$J$238:$J$451),0),
IF('TL06'!$B$3=L$3,SUMIF('TL06'!$C$10:$C$224,$C369,'TL06'!$J$10:$J$224),0),
IF('TL06'!$B$229=L$3,SUMIF('TL06'!$C$238:$C$451,$C369,'TL06'!$J$238:$J$451),0),
IF('TL07'!$B$3=L$3,SUMIF('TL07'!$C$10:$C$224,$C369,'TL07'!$J$10:$J$224),0),
IF('TL07'!$B$229=L$3,SUMIF('TL07'!$C$238:$C$451,$C369,'TL07'!$J$238:$J$451),0),
IF('TL08'!$B$3=L$3,SUMIF('TL08'!$C$10:$C$224,$C369,'TL08'!$J$10:$J$224),0),
IF('TL08'!$B$229=L$3,SUMIF('TL08'!$C$238:$C$451,$C369,'TL08'!$J$238:$J$451),0),
IF('TL09'!$B$3=L$3,SUMIF('TL09'!$C$10:$C$224,$C369,'TL09'!$J$10:$J$224),0),
IF('TL09'!$B$229=L$3,SUMIF('TL09'!$C$238:$C$451,$C369,'TL09'!$J$238:$J$451),0),
IF('TL10'!$B$3=L$3,SUMIF('TL10'!$C$10:$C$224,$C369,'TL10'!$J$10:$J$224),0),
IF('TL10'!$B$229=L$3,SUMIF('TL10'!$C$238:$C$451,$C369,'TL10'!$J$238:$J$451),0),
IF('TL11'!$B$3=L$3,SUMIF('TL11'!$C$10:$C$224,$C369,'TL11'!$J$10:$J$224),0),
IF('TL11'!$B$229=L$3,SUMIF('TL11'!$C$238:$C$451,$C369,'TL11'!$J$238:$J$451),0),
IF('TL12'!$B$3=L$3,SUMIF('TL12'!$C$10:$C$224,$C369,'TL12'!$J$10:$J$224),0),
IF('TL12'!$B$229=L$3,SUMIF('TL12'!$C$238:$C$451,$C369,'TL12'!$J$238:$J$451),0),
IF('TL13'!$B$3=L$3,SUMIF('TL13'!$C$10:$C$224,$C369,'TL13'!$J$10:$J$224),0),
IF('TL13'!$B$229=L$3,SUMIF('TL13'!$C$238:$C$451,$C369,'TL13'!$J$238:$J$451),0),
IF('TL14'!$B$3=L$3,SUMIF('TL14'!$C$10:$C$224,$C369,'TL14'!$J$10:$J$224),0),
IF('TL14'!$B$229=L$3,SUMIF('TL14'!$C$238:$C$451,$C369,'TL14'!$J$238:$J$451),0),
IF('TL15'!$B$3=L$3,SUMIF('TL15'!$C$10:$C$224,$C369,'TL15'!$J$10:$J$224),0),
IF('TL15'!$B$229=L$3,SUMIF('TL15'!$C$238:$C$451,$C369,'TL15'!$J$238:$J$451),0),
IF('TL16'!$B$3=L$3,SUMIF('TL16'!$C$10:$C$224,$C369,'TL16'!$J$10:$J$224),0),
IF('TL16'!$B$229=L$3,SUMIF('TL16'!$C$238:$C$451,$C369,'TL16'!$J$238:$J$451),0),
IF('TL17'!$B$3=L$3,SUMIF('TL17'!$C$10:$C$224,$C369,'TL17'!$J$10:$J$224),0),
IF('TL17'!$B$229=L$3,SUMIF('TL17'!$C$238:$C$451,$C369,'TL17'!$J$238:$J$451),0),
IF('TL18'!$B$3=L$3,SUMIF('TL18'!$C$10:$C$224,$C369,'TL18'!$J$10:$J$224),0),
IF('TL18'!$B$229=L$3,SUMIF('TL18'!$C$238:$C$451,$C369,'TL18'!$J$238:$J$451),0),
IF('TL19'!$B$3=L$3,SUMIF('TL19'!$C$10:$C$224,$C369,'TL19'!$J$10:$J$224),0),
IF('TL19'!$B$229=L$3,SUMIF('TL19'!$C$238:$C$451,$C369,'TL19'!$J$238:$J$451),0)
),0)</f>
        <v>0</v>
      </c>
      <c r="M369" s="9">
        <f>IFERROR(SUM(
IF('TL01'!$B$3=M$3,SUMIF('TL01'!$C$10:$C$224,$C369,'TL01'!$J$10:$J$224),0),
IF('TL01'!$B$229=M$3,SUMIF('TL01'!$C$238:$C$451,$C369,'TL01'!$J$238:$J$451),0),
IF('TL02'!$B$3=M$3,SUMIF('TL02'!$C$10:$C$224,$C369,'TL02'!$J$10:$J$224),0),
IF('TL02'!$B$229=M$3,SUMIF('TL02'!$C$238:$C$451,$C369,'TL02'!$J$238:$J$451),0),
IF('TL03'!$B$3=M$3,SUMIF('TL03'!$C$10:$C$224,$C369,'TL03'!$J$10:$J$224),0),
IF('TL03'!$B$229=M$3,SUMIF('TL03'!$C$238:$C$451,$C369,'TL03'!$J$238:$J$451),0),
IF('TL04'!$B$3=M$3,SUMIF('TL04'!$C$10:$C$224,$C369,'TL04'!$J$10:$J$224),0),
IF('TL04'!$B$229=M$3,SUMIF('TL04'!$C$238:$C$451,$C369,'TL04'!$J$238:$J$451),0),
IF('TL05'!$B$3=M$3,SUMIF('TL05'!$C$10:$C$224,$C369,'TL05'!$J$10:$J$224),0),
IF('TL05'!$B$229=M$3,SUMIF('TL05'!$C$238:$C$451,$C369,'TL05'!$J$238:$J$451),0),
IF('TL06'!$B$3=M$3,SUMIF('TL06'!$C$10:$C$224,$C369,'TL06'!$J$10:$J$224),0),
IF('TL06'!$B$229=M$3,SUMIF('TL06'!$C$238:$C$451,$C369,'TL06'!$J$238:$J$451),0),
IF('TL07'!$B$3=M$3,SUMIF('TL07'!$C$10:$C$224,$C369,'TL07'!$J$10:$J$224),0),
IF('TL07'!$B$229=M$3,SUMIF('TL07'!$C$238:$C$451,$C369,'TL07'!$J$238:$J$451),0),
IF('TL08'!$B$3=M$3,SUMIF('TL08'!$C$10:$C$224,$C369,'TL08'!$J$10:$J$224),0),
IF('TL08'!$B$229=M$3,SUMIF('TL08'!$C$238:$C$451,$C369,'TL08'!$J$238:$J$451),0),
IF('TL09'!$B$3=M$3,SUMIF('TL09'!$C$10:$C$224,$C369,'TL09'!$J$10:$J$224),0),
IF('TL09'!$B$229=M$3,SUMIF('TL09'!$C$238:$C$451,$C369,'TL09'!$J$238:$J$451),0),
IF('TL10'!$B$3=M$3,SUMIF('TL10'!$C$10:$C$224,$C369,'TL10'!$J$10:$J$224),0),
IF('TL10'!$B$229=M$3,SUMIF('TL10'!$C$238:$C$451,$C369,'TL10'!$J$238:$J$451),0),
IF('TL11'!$B$3=M$3,SUMIF('TL11'!$C$10:$C$224,$C369,'TL11'!$J$10:$J$224),0),
IF('TL11'!$B$229=M$3,SUMIF('TL11'!$C$238:$C$451,$C369,'TL11'!$J$238:$J$451),0),
IF('TL12'!$B$3=M$3,SUMIF('TL12'!$C$10:$C$224,$C369,'TL12'!$J$10:$J$224),0),
IF('TL12'!$B$229=M$3,SUMIF('TL12'!$C$238:$C$451,$C369,'TL12'!$J$238:$J$451),0),
IF('TL13'!$B$3=M$3,SUMIF('TL13'!$C$10:$C$224,$C369,'TL13'!$J$10:$J$224),0),
IF('TL13'!$B$229=M$3,SUMIF('TL13'!$C$238:$C$451,$C369,'TL13'!$J$238:$J$451),0),
IF('TL14'!$B$3=M$3,SUMIF('TL14'!$C$10:$C$224,$C369,'TL14'!$J$10:$J$224),0),
IF('TL14'!$B$229=M$3,SUMIF('TL14'!$C$238:$C$451,$C369,'TL14'!$J$238:$J$451),0),
IF('TL15'!$B$3=M$3,SUMIF('TL15'!$C$10:$C$224,$C369,'TL15'!$J$10:$J$224),0),
IF('TL15'!$B$229=M$3,SUMIF('TL15'!$C$238:$C$451,$C369,'TL15'!$J$238:$J$451),0),
IF('TL16'!$B$3=M$3,SUMIF('TL16'!$C$10:$C$224,$C369,'TL16'!$J$10:$J$224),0),
IF('TL16'!$B$229=M$3,SUMIF('TL16'!$C$238:$C$451,$C369,'TL16'!$J$238:$J$451),0),
IF('TL17'!$B$3=M$3,SUMIF('TL17'!$C$10:$C$224,$C369,'TL17'!$J$10:$J$224),0),
IF('TL17'!$B$229=M$3,SUMIF('TL17'!$C$238:$C$451,$C369,'TL17'!$J$238:$J$451),0),
IF('TL18'!$B$3=M$3,SUMIF('TL18'!$C$10:$C$224,$C369,'TL18'!$J$10:$J$224),0),
IF('TL18'!$B$229=M$3,SUMIF('TL18'!$C$238:$C$451,$C369,'TL18'!$J$238:$J$451),0),
IF('TL19'!$B$3=M$3,SUMIF('TL19'!$C$10:$C$224,$C369,'TL19'!$J$10:$J$224),0),
IF('TL19'!$B$229=M$3,SUMIF('TL19'!$C$238:$C$451,$C369,'TL19'!$J$238:$J$451),0)
),0)</f>
        <v>0</v>
      </c>
      <c r="N369" s="9">
        <f>IFERROR(SUM(
IF('TL01'!$B$3=N$3,SUMIF('TL01'!$C$10:$C$224,$C369,'TL01'!$J$10:$J$224),0),
IF('TL01'!$B$229=N$3,SUMIF('TL01'!$C$238:$C$451,$C369,'TL01'!$J$238:$J$451),0),
IF('TL02'!$B$3=N$3,SUMIF('TL02'!$C$10:$C$224,$C369,'TL02'!$J$10:$J$224),0),
IF('TL02'!$B$229=N$3,SUMIF('TL02'!$C$238:$C$451,$C369,'TL02'!$J$238:$J$451),0),
IF('TL03'!$B$3=N$3,SUMIF('TL03'!$C$10:$C$224,$C369,'TL03'!$J$10:$J$224),0),
IF('TL03'!$B$229=N$3,SUMIF('TL03'!$C$238:$C$451,$C369,'TL03'!$J$238:$J$451),0),
IF('TL04'!$B$3=N$3,SUMIF('TL04'!$C$10:$C$224,$C369,'TL04'!$J$10:$J$224),0),
IF('TL04'!$B$229=N$3,SUMIF('TL04'!$C$238:$C$451,$C369,'TL04'!$J$238:$J$451),0),
IF('TL05'!$B$3=N$3,SUMIF('TL05'!$C$10:$C$224,$C369,'TL05'!$J$10:$J$224),0),
IF('TL05'!$B$229=N$3,SUMIF('TL05'!$C$238:$C$451,$C369,'TL05'!$J$238:$J$451),0),
IF('TL06'!$B$3=N$3,SUMIF('TL06'!$C$10:$C$224,$C369,'TL06'!$J$10:$J$224),0),
IF('TL06'!$B$229=N$3,SUMIF('TL06'!$C$238:$C$451,$C369,'TL06'!$J$238:$J$451),0),
IF('TL07'!$B$3=N$3,SUMIF('TL07'!$C$10:$C$224,$C369,'TL07'!$J$10:$J$224),0),
IF('TL07'!$B$229=N$3,SUMIF('TL07'!$C$238:$C$451,$C369,'TL07'!$J$238:$J$451),0),
IF('TL08'!$B$3=N$3,SUMIF('TL08'!$C$10:$C$224,$C369,'TL08'!$J$10:$J$224),0),
IF('TL08'!$B$229=N$3,SUMIF('TL08'!$C$238:$C$451,$C369,'TL08'!$J$238:$J$451),0),
IF('TL09'!$B$3=N$3,SUMIF('TL09'!$C$10:$C$224,$C369,'TL09'!$J$10:$J$224),0),
IF('TL09'!$B$229=N$3,SUMIF('TL09'!$C$238:$C$451,$C369,'TL09'!$J$238:$J$451),0),
IF('TL10'!$B$3=N$3,SUMIF('TL10'!$C$10:$C$224,$C369,'TL10'!$J$10:$J$224),0),
IF('TL10'!$B$229=N$3,SUMIF('TL10'!$C$238:$C$451,$C369,'TL10'!$J$238:$J$451),0),
IF('TL11'!$B$3=N$3,SUMIF('TL11'!$C$10:$C$224,$C369,'TL11'!$J$10:$J$224),0),
IF('TL11'!$B$229=N$3,SUMIF('TL11'!$C$238:$C$451,$C369,'TL11'!$J$238:$J$451),0),
IF('TL12'!$B$3=N$3,SUMIF('TL12'!$C$10:$C$224,$C369,'TL12'!$J$10:$J$224),0),
IF('TL12'!$B$229=N$3,SUMIF('TL12'!$C$238:$C$451,$C369,'TL12'!$J$238:$J$451),0),
IF('TL13'!$B$3=N$3,SUMIF('TL13'!$C$10:$C$224,$C369,'TL13'!$J$10:$J$224),0),
IF('TL13'!$B$229=N$3,SUMIF('TL13'!$C$238:$C$451,$C369,'TL13'!$J$238:$J$451),0),
IF('TL14'!$B$3=N$3,SUMIF('TL14'!$C$10:$C$224,$C369,'TL14'!$J$10:$J$224),0),
IF('TL14'!$B$229=N$3,SUMIF('TL14'!$C$238:$C$451,$C369,'TL14'!$J$238:$J$451),0),
IF('TL15'!$B$3=N$3,SUMIF('TL15'!$C$10:$C$224,$C369,'TL15'!$J$10:$J$224),0),
IF('TL15'!$B$229=N$3,SUMIF('TL15'!$C$238:$C$451,$C369,'TL15'!$J$238:$J$451),0),
IF('TL16'!$B$3=N$3,SUMIF('TL16'!$C$10:$C$224,$C369,'TL16'!$J$10:$J$224),0),
IF('TL16'!$B$229=N$3,SUMIF('TL16'!$C$238:$C$451,$C369,'TL16'!$J$238:$J$451),0),
IF('TL17'!$B$3=N$3,SUMIF('TL17'!$C$10:$C$224,$C369,'TL17'!$J$10:$J$224),0),
IF('TL17'!$B$229=N$3,SUMIF('TL17'!$C$238:$C$451,$C369,'TL17'!$J$238:$J$451),0),
IF('TL18'!$B$3=N$3,SUMIF('TL18'!$C$10:$C$224,$C369,'TL18'!$J$10:$J$224),0),
IF('TL18'!$B$229=N$3,SUMIF('TL18'!$C$238:$C$451,$C369,'TL18'!$J$238:$J$451),0),
IF('TL19'!$B$3=N$3,SUMIF('TL19'!$C$10:$C$224,$C369,'TL19'!$J$10:$J$224),0),
IF('TL19'!$B$229=N$3,SUMIF('TL19'!$C$238:$C$451,$C369,'TL19'!$J$238:$J$451),0)
),0)</f>
        <v>0</v>
      </c>
      <c r="O369" s="9">
        <f>IFERROR(SUM(
IF('TL01'!$B$3=O$3,SUMIF('TL01'!$C$10:$C$224,$C369,'TL01'!$J$10:$J$224),0),
IF('TL01'!$B$229=O$3,SUMIF('TL01'!$C$238:$C$451,$C369,'TL01'!$J$238:$J$451),0),
IF('TL02'!$B$3=O$3,SUMIF('TL02'!$C$10:$C$224,$C369,'TL02'!$J$10:$J$224),0),
IF('TL02'!$B$229=O$3,SUMIF('TL02'!$C$238:$C$451,$C369,'TL02'!$J$238:$J$451),0),
IF('TL03'!$B$3=O$3,SUMIF('TL03'!$C$10:$C$224,$C369,'TL03'!$J$10:$J$224),0),
IF('TL03'!$B$229=O$3,SUMIF('TL03'!$C$238:$C$451,$C369,'TL03'!$J$238:$J$451),0),
IF('TL04'!$B$3=O$3,SUMIF('TL04'!$C$10:$C$224,$C369,'TL04'!$J$10:$J$224),0),
IF('TL04'!$B$229=O$3,SUMIF('TL04'!$C$238:$C$451,$C369,'TL04'!$J$238:$J$451),0),
IF('TL05'!$B$3=O$3,SUMIF('TL05'!$C$10:$C$224,$C369,'TL05'!$J$10:$J$224),0),
IF('TL05'!$B$229=O$3,SUMIF('TL05'!$C$238:$C$451,$C369,'TL05'!$J$238:$J$451),0),
IF('TL06'!$B$3=O$3,SUMIF('TL06'!$C$10:$C$224,$C369,'TL06'!$J$10:$J$224),0),
IF('TL06'!$B$229=O$3,SUMIF('TL06'!$C$238:$C$451,$C369,'TL06'!$J$238:$J$451),0),
IF('TL07'!$B$3=O$3,SUMIF('TL07'!$C$10:$C$224,$C369,'TL07'!$J$10:$J$224),0),
IF('TL07'!$B$229=O$3,SUMIF('TL07'!$C$238:$C$451,$C369,'TL07'!$J$238:$J$451),0),
IF('TL08'!$B$3=O$3,SUMIF('TL08'!$C$10:$C$224,$C369,'TL08'!$J$10:$J$224),0),
IF('TL08'!$B$229=O$3,SUMIF('TL08'!$C$238:$C$451,$C369,'TL08'!$J$238:$J$451),0),
IF('TL09'!$B$3=O$3,SUMIF('TL09'!$C$10:$C$224,$C369,'TL09'!$J$10:$J$224),0),
IF('TL09'!$B$229=O$3,SUMIF('TL09'!$C$238:$C$451,$C369,'TL09'!$J$238:$J$451),0),
IF('TL10'!$B$3=O$3,SUMIF('TL10'!$C$10:$C$224,$C369,'TL10'!$J$10:$J$224),0),
IF('TL10'!$B$229=O$3,SUMIF('TL10'!$C$238:$C$451,$C369,'TL10'!$J$238:$J$451),0),
IF('TL11'!$B$3=O$3,SUMIF('TL11'!$C$10:$C$224,$C369,'TL11'!$J$10:$J$224),0),
IF('TL11'!$B$229=O$3,SUMIF('TL11'!$C$238:$C$451,$C369,'TL11'!$J$238:$J$451),0),
IF('TL12'!$B$3=O$3,SUMIF('TL12'!$C$10:$C$224,$C369,'TL12'!$J$10:$J$224),0),
IF('TL12'!$B$229=O$3,SUMIF('TL12'!$C$238:$C$451,$C369,'TL12'!$J$238:$J$451),0),
IF('TL13'!$B$3=O$3,SUMIF('TL13'!$C$10:$C$224,$C369,'TL13'!$J$10:$J$224),0),
IF('TL13'!$B$229=O$3,SUMIF('TL13'!$C$238:$C$451,$C369,'TL13'!$J$238:$J$451),0),
IF('TL14'!$B$3=O$3,SUMIF('TL14'!$C$10:$C$224,$C369,'TL14'!$J$10:$J$224),0),
IF('TL14'!$B$229=O$3,SUMIF('TL14'!$C$238:$C$451,$C369,'TL14'!$J$238:$J$451),0),
IF('TL15'!$B$3=O$3,SUMIF('TL15'!$C$10:$C$224,$C369,'TL15'!$J$10:$J$224),0),
IF('TL15'!$B$229=O$3,SUMIF('TL15'!$C$238:$C$451,$C369,'TL15'!$J$238:$J$451),0),
IF('TL16'!$B$3=O$3,SUMIF('TL16'!$C$10:$C$224,$C369,'TL16'!$J$10:$J$224),0),
IF('TL16'!$B$229=O$3,SUMIF('TL16'!$C$238:$C$451,$C369,'TL16'!$J$238:$J$451),0),
IF('TL17'!$B$3=O$3,SUMIF('TL17'!$C$10:$C$224,$C369,'TL17'!$J$10:$J$224),0),
IF('TL17'!$B$229=O$3,SUMIF('TL17'!$C$238:$C$451,$C369,'TL17'!$J$238:$J$451),0),
IF('TL18'!$B$3=O$3,SUMIF('TL18'!$C$10:$C$224,$C369,'TL18'!$J$10:$J$224),0),
IF('TL18'!$B$229=O$3,SUMIF('TL18'!$C$238:$C$451,$C369,'TL18'!$J$238:$J$451),0),
IF('TL19'!$B$3=O$3,SUMIF('TL19'!$C$10:$C$224,$C369,'TL19'!$J$10:$J$224),0),
IF('TL19'!$B$229=O$3,SUMIF('TL19'!$C$238:$C$451,$C369,'TL19'!$J$238:$J$451),0)
),0)</f>
        <v>0</v>
      </c>
      <c r="P369" s="9">
        <f>IFERROR(SUM(
IF('TL01'!$B$3=P$3,SUMIF('TL01'!$C$10:$C$224,$C369,'TL01'!$J$10:$J$224),0),
IF('TL01'!$B$229=P$3,SUMIF('TL01'!$C$238:$C$451,$C369,'TL01'!$J$238:$J$451),0),
IF('TL02'!$B$3=P$3,SUMIF('TL02'!$C$10:$C$224,$C369,'TL02'!$J$10:$J$224),0),
IF('TL02'!$B$229=P$3,SUMIF('TL02'!$C$238:$C$451,$C369,'TL02'!$J$238:$J$451),0),
IF('TL03'!$B$3=P$3,SUMIF('TL03'!$C$10:$C$224,$C369,'TL03'!$J$10:$J$224),0),
IF('TL03'!$B$229=P$3,SUMIF('TL03'!$C$238:$C$451,$C369,'TL03'!$J$238:$J$451),0),
IF('TL04'!$B$3=P$3,SUMIF('TL04'!$C$10:$C$224,$C369,'TL04'!$J$10:$J$224),0),
IF('TL04'!$B$229=P$3,SUMIF('TL04'!$C$238:$C$451,$C369,'TL04'!$J$238:$J$451),0),
IF('TL05'!$B$3=P$3,SUMIF('TL05'!$C$10:$C$224,$C369,'TL05'!$J$10:$J$224),0),
IF('TL05'!$B$229=P$3,SUMIF('TL05'!$C$238:$C$451,$C369,'TL05'!$J$238:$J$451),0),
IF('TL06'!$B$3=P$3,SUMIF('TL06'!$C$10:$C$224,$C369,'TL06'!$J$10:$J$224),0),
IF('TL06'!$B$229=P$3,SUMIF('TL06'!$C$238:$C$451,$C369,'TL06'!$J$238:$J$451),0),
IF('TL07'!$B$3=P$3,SUMIF('TL07'!$C$10:$C$224,$C369,'TL07'!$J$10:$J$224),0),
IF('TL07'!$B$229=P$3,SUMIF('TL07'!$C$238:$C$451,$C369,'TL07'!$J$238:$J$451),0),
IF('TL08'!$B$3=P$3,SUMIF('TL08'!$C$10:$C$224,$C369,'TL08'!$J$10:$J$224),0),
IF('TL08'!$B$229=P$3,SUMIF('TL08'!$C$238:$C$451,$C369,'TL08'!$J$238:$J$451),0),
IF('TL09'!$B$3=P$3,SUMIF('TL09'!$C$10:$C$224,$C369,'TL09'!$J$10:$J$224),0),
IF('TL09'!$B$229=P$3,SUMIF('TL09'!$C$238:$C$451,$C369,'TL09'!$J$238:$J$451),0),
IF('TL10'!$B$3=P$3,SUMIF('TL10'!$C$10:$C$224,$C369,'TL10'!$J$10:$J$224),0),
IF('TL10'!$B$229=P$3,SUMIF('TL10'!$C$238:$C$451,$C369,'TL10'!$J$238:$J$451),0),
IF('TL11'!$B$3=P$3,SUMIF('TL11'!$C$10:$C$224,$C369,'TL11'!$J$10:$J$224),0),
IF('TL11'!$B$229=P$3,SUMIF('TL11'!$C$238:$C$451,$C369,'TL11'!$J$238:$J$451),0),
IF('TL12'!$B$3=P$3,SUMIF('TL12'!$C$10:$C$224,$C369,'TL12'!$J$10:$J$224),0),
IF('TL12'!$B$229=P$3,SUMIF('TL12'!$C$238:$C$451,$C369,'TL12'!$J$238:$J$451),0),
IF('TL13'!$B$3=P$3,SUMIF('TL13'!$C$10:$C$224,$C369,'TL13'!$J$10:$J$224),0),
IF('TL13'!$B$229=P$3,SUMIF('TL13'!$C$238:$C$451,$C369,'TL13'!$J$238:$J$451),0),
IF('TL14'!$B$3=P$3,SUMIF('TL14'!$C$10:$C$224,$C369,'TL14'!$J$10:$J$224),0),
IF('TL14'!$B$229=P$3,SUMIF('TL14'!$C$238:$C$451,$C369,'TL14'!$J$238:$J$451),0),
IF('TL15'!$B$3=P$3,SUMIF('TL15'!$C$10:$C$224,$C369,'TL15'!$J$10:$J$224),0),
IF('TL15'!$B$229=P$3,SUMIF('TL15'!$C$238:$C$451,$C369,'TL15'!$J$238:$J$451),0),
IF('TL16'!$B$3=P$3,SUMIF('TL16'!$C$10:$C$224,$C369,'TL16'!$J$10:$J$224),0),
IF('TL16'!$B$229=P$3,SUMIF('TL16'!$C$238:$C$451,$C369,'TL16'!$J$238:$J$451),0),
IF('TL17'!$B$3=P$3,SUMIF('TL17'!$C$10:$C$224,$C369,'TL17'!$J$10:$J$224),0),
IF('TL17'!$B$229=P$3,SUMIF('TL17'!$C$238:$C$451,$C369,'TL17'!$J$238:$J$451),0),
IF('TL18'!$B$3=P$3,SUMIF('TL18'!$C$10:$C$224,$C369,'TL18'!$J$10:$J$224),0),
IF('TL18'!$B$229=P$3,SUMIF('TL18'!$C$238:$C$451,$C369,'TL18'!$J$238:$J$451),0),
IF('TL19'!$B$3=P$3,SUMIF('TL19'!$C$10:$C$224,$C369,'TL19'!$J$10:$J$224),0),
IF('TL19'!$B$229=P$3,SUMIF('TL19'!$C$238:$C$451,$C369,'TL19'!$J$238:$J$451),0)
),0)</f>
        <v>0</v>
      </c>
      <c r="Q369" s="9">
        <f>IFERROR(SUM(
IF('TL01'!$B$3=Q$3,SUMIF('TL01'!$C$10:$C$224,$C369,'TL01'!$J$10:$J$224),0),
IF('TL01'!$B$229=Q$3,SUMIF('TL01'!$C$238:$C$451,$C369,'TL01'!$J$238:$J$451),0),
IF('TL02'!$B$3=Q$3,SUMIF('TL02'!$C$10:$C$224,$C369,'TL02'!$J$10:$J$224),0),
IF('TL02'!$B$229=Q$3,SUMIF('TL02'!$C$238:$C$451,$C369,'TL02'!$J$238:$J$451),0),
IF('TL03'!$B$3=Q$3,SUMIF('TL03'!$C$10:$C$224,$C369,'TL03'!$J$10:$J$224),0),
IF('TL03'!$B$229=Q$3,SUMIF('TL03'!$C$238:$C$451,$C369,'TL03'!$J$238:$J$451),0),
IF('TL04'!$B$3=Q$3,SUMIF('TL04'!$C$10:$C$224,$C369,'TL04'!$J$10:$J$224),0),
IF('TL04'!$B$229=Q$3,SUMIF('TL04'!$C$238:$C$451,$C369,'TL04'!$J$238:$J$451),0),
IF('TL05'!$B$3=Q$3,SUMIF('TL05'!$C$10:$C$224,$C369,'TL05'!$J$10:$J$224),0),
IF('TL05'!$B$229=Q$3,SUMIF('TL05'!$C$238:$C$451,$C369,'TL05'!$J$238:$J$451),0),
IF('TL06'!$B$3=Q$3,SUMIF('TL06'!$C$10:$C$224,$C369,'TL06'!$J$10:$J$224),0),
IF('TL06'!$B$229=Q$3,SUMIF('TL06'!$C$238:$C$451,$C369,'TL06'!$J$238:$J$451),0),
IF('TL07'!$B$3=Q$3,SUMIF('TL07'!$C$10:$C$224,$C369,'TL07'!$J$10:$J$224),0),
IF('TL07'!$B$229=Q$3,SUMIF('TL07'!$C$238:$C$451,$C369,'TL07'!$J$238:$J$451),0),
IF('TL08'!$B$3=Q$3,SUMIF('TL08'!$C$10:$C$224,$C369,'TL08'!$J$10:$J$224),0),
IF('TL08'!$B$229=Q$3,SUMIF('TL08'!$C$238:$C$451,$C369,'TL08'!$J$238:$J$451),0),
IF('TL09'!$B$3=Q$3,SUMIF('TL09'!$C$10:$C$224,$C369,'TL09'!$J$10:$J$224),0),
IF('TL09'!$B$229=Q$3,SUMIF('TL09'!$C$238:$C$451,$C369,'TL09'!$J$238:$J$451),0),
IF('TL10'!$B$3=Q$3,SUMIF('TL10'!$C$10:$C$224,$C369,'TL10'!$J$10:$J$224),0),
IF('TL10'!$B$229=Q$3,SUMIF('TL10'!$C$238:$C$451,$C369,'TL10'!$J$238:$J$451),0),
IF('TL11'!$B$3=Q$3,SUMIF('TL11'!$C$10:$C$224,$C369,'TL11'!$J$10:$J$224),0),
IF('TL11'!$B$229=Q$3,SUMIF('TL11'!$C$238:$C$451,$C369,'TL11'!$J$238:$J$451),0),
IF('TL12'!$B$3=Q$3,SUMIF('TL12'!$C$10:$C$224,$C369,'TL12'!$J$10:$J$224),0),
IF('TL12'!$B$229=Q$3,SUMIF('TL12'!$C$238:$C$451,$C369,'TL12'!$J$238:$J$451),0),
IF('TL13'!$B$3=Q$3,SUMIF('TL13'!$C$10:$C$224,$C369,'TL13'!$J$10:$J$224),0),
IF('TL13'!$B$229=Q$3,SUMIF('TL13'!$C$238:$C$451,$C369,'TL13'!$J$238:$J$451),0),
IF('TL14'!$B$3=Q$3,SUMIF('TL14'!$C$10:$C$224,$C369,'TL14'!$J$10:$J$224),0),
IF('TL14'!$B$229=Q$3,SUMIF('TL14'!$C$238:$C$451,$C369,'TL14'!$J$238:$J$451),0),
IF('TL15'!$B$3=Q$3,SUMIF('TL15'!$C$10:$C$224,$C369,'TL15'!$J$10:$J$224),0),
IF('TL15'!$B$229=Q$3,SUMIF('TL15'!$C$238:$C$451,$C369,'TL15'!$J$238:$J$451),0),
IF('TL16'!$B$3=Q$3,SUMIF('TL16'!$C$10:$C$224,$C369,'TL16'!$J$10:$J$224),0),
IF('TL16'!$B$229=Q$3,SUMIF('TL16'!$C$238:$C$451,$C369,'TL16'!$J$238:$J$451),0),
IF('TL17'!$B$3=Q$3,SUMIF('TL17'!$C$10:$C$224,$C369,'TL17'!$J$10:$J$224),0),
IF('TL17'!$B$229=Q$3,SUMIF('TL17'!$C$238:$C$451,$C369,'TL17'!$J$238:$J$451),0),
IF('TL18'!$B$3=Q$3,SUMIF('TL18'!$C$10:$C$224,$C369,'TL18'!$J$10:$J$224),0),
IF('TL18'!$B$229=Q$3,SUMIF('TL18'!$C$238:$C$451,$C369,'TL18'!$J$238:$J$451),0),
IF('TL19'!$B$3=Q$3,SUMIF('TL19'!$C$10:$C$224,$C369,'TL19'!$J$10:$J$224),0),
IF('TL19'!$B$229=Q$3,SUMIF('TL19'!$C$238:$C$451,$C369,'TL19'!$J$238:$J$451),0)
),0)</f>
        <v>0</v>
      </c>
      <c r="R369" s="9">
        <f>IFERROR(
SUM(
SUMIF('TL01'!C:C,C369,'TL01'!J:J),
SUMIF('TL02'!C:C,C369,'TL02'!J:J),
SUMIF('TL03'!C:C,C369,'TL03'!J:J),
SUMIF('TL04'!C:C,C369,'TL04'!J:J),
SUMIF('TL05'!C:C,C369,'TL05'!J:J),
SUMIF('TL06'!C:C,C369,'TL06'!J:J),
SUMIF('TL07'!C:C,C369,'TL07'!J:J),
SUMIF('TL08'!C:C,C369,'TL08'!J:J),
SUMIF('TL09'!C:C,C369,'TL09'!J:J),
SUMIF('TL10'!C:C,C369,'TL10'!J:J),
SUMIF('TL11'!C:C,C369,'TL11'!J:J),
SUMIF('TL12'!C:C,C369,'TL12'!J:J),
SUMIF('TL13'!C:C,C369,'TL13'!J:J),
SUMIF('TL14'!C:C,C369,'TL14'!J:J),
SUMIF('TL15'!C:C,C369,'TL15'!J:J),
SUMIF('TL16'!C:C,C369,'TL16'!J:J),
SUMIF('TL17'!C:C,C369,'TL17'!J:J),
SUMIF('TL18'!C:C,C369,'TL18'!J:J),SUMIF('TL19'!C:C,C369,'TL19'!J:J))
,0)</f>
        <v>0</v>
      </c>
      <c r="S369" s="17">
        <f>IFERROR(__xludf.DUMMYFUNCTION("IFERROR(VLOOKUP(C369,
IMPORTRANGE(""1wULbzX32WdYsx-lj2U3uUNBBe2INVIRDtcK0d-Dvl90"",
""26-27!C:G""),
5,
FALSE),
"""")"),62.4)</f>
        <v>62.4</v>
      </c>
      <c r="T369" s="9"/>
      <c r="U369" s="92">
        <f t="shared" si="2"/>
        <v>0</v>
      </c>
      <c r="V369" s="93">
        <f t="shared" si="3"/>
        <v>0</v>
      </c>
    </row>
    <row r="370" ht="15.75" hidden="1" customHeight="1">
      <c r="A370" s="4" t="s">
        <v>1071</v>
      </c>
      <c r="B370" s="4" t="s">
        <v>4</v>
      </c>
      <c r="C370" s="126" t="s">
        <v>1110</v>
      </c>
      <c r="D370" s="127" t="s">
        <v>1111</v>
      </c>
      <c r="E370" s="6"/>
      <c r="F370" s="4"/>
      <c r="G370" s="90" t="str">
        <f t="shared" si="5"/>
        <v>📄 Ver bula</v>
      </c>
      <c r="H370" s="9"/>
      <c r="I370" s="123"/>
      <c r="J370" s="9">
        <f>IFERROR(SUM(
IF('TL01'!$B$3=J$3,SUMIF('TL01'!$C$10:$C$224,$C370,'TL01'!$J$10:$J$224),0),
IF('TL01'!$B$229=J$3,SUMIF('TL01'!$C$238:$C$451,$C370,'TL01'!$J$238:$J$451),0),
IF('TL02'!$B$3=J$3,SUMIF('TL02'!$C$10:$C$224,$C370,'TL02'!$J$10:$J$224),0),
IF('TL02'!$B$229=J$3,SUMIF('TL02'!$C$238:$C$451,$C370,'TL02'!$J$238:$J$451),0),
IF('TL03'!$B$3=J$3,SUMIF('TL03'!$C$10:$C$224,$C370,'TL03'!$J$10:$J$224),0),
IF('TL03'!$B$229=J$3,SUMIF('TL03'!$C$238:$C$451,$C370,'TL03'!$J$238:$J$451),0),
IF('TL04'!$B$3=J$3,SUMIF('TL04'!$C$10:$C$224,$C370,'TL04'!$J$10:$J$224),0),
IF('TL04'!$B$229=J$3,SUMIF('TL04'!$C$238:$C$451,$C370,'TL04'!$J$238:$J$451),0),
IF('TL05'!$B$3=J$3,SUMIF('TL05'!$C$10:$C$224,$C370,'TL05'!$J$10:$J$224),0),
IF('TL05'!$B$229=J$3,SUMIF('TL05'!$C$238:$C$451,$C370,'TL05'!$J$238:$J$451),0),
IF('TL06'!$B$3=J$3,SUMIF('TL06'!$C$10:$C$224,$C370,'TL06'!$J$10:$J$224),0),
IF('TL06'!$B$229=J$3,SUMIF('TL06'!$C$238:$C$451,$C370,'TL06'!$J$238:$J$451),0),
IF('TL07'!$B$3=J$3,SUMIF('TL07'!$C$10:$C$224,$C370,'TL07'!$J$10:$J$224),0),
IF('TL07'!$B$229=J$3,SUMIF('TL07'!$C$238:$C$451,$C370,'TL07'!$J$238:$J$451),0),
IF('TL08'!$B$3=J$3,SUMIF('TL08'!$C$10:$C$224,$C370,'TL08'!$J$10:$J$224),0),
IF('TL08'!$B$229=J$3,SUMIF('TL08'!$C$238:$C$451,$C370,'TL08'!$J$238:$J$451),0),
IF('TL09'!$B$3=J$3,SUMIF('TL09'!$C$10:$C$224,$C370,'TL09'!$J$10:$J$224),0),
IF('TL09'!$B$229=J$3,SUMIF('TL09'!$C$238:$C$451,$C370,'TL09'!$J$238:$J$451),0),
IF('TL10'!$B$3=J$3,SUMIF('TL10'!$C$10:$C$224,$C370,'TL10'!$J$10:$J$224),0),
IF('TL10'!$B$229=J$3,SUMIF('TL10'!$C$238:$C$451,$C370,'TL10'!$J$238:$J$451),0),
IF('TL11'!$B$3=J$3,SUMIF('TL11'!$C$10:$C$224,$C370,'TL11'!$J$10:$J$224),0),
IF('TL11'!$B$229=J$3,SUMIF('TL11'!$C$238:$C$451,$C370,'TL11'!$J$238:$J$451),0),
IF('TL12'!$B$3=J$3,SUMIF('TL12'!$C$10:$C$224,$C370,'TL12'!$J$10:$J$224),0),
IF('TL12'!$B$229=J$3,SUMIF('TL12'!$C$238:$C$451,$C370,'TL12'!$J$238:$J$451),0),
IF('TL13'!$B$3=J$3,SUMIF('TL13'!$C$10:$C$224,$C370,'TL13'!$J$10:$J$224),0),
IF('TL13'!$B$229=J$3,SUMIF('TL13'!$C$238:$C$451,$C370,'TL13'!$J$238:$J$451),0),
IF('TL14'!$B$3=J$3,SUMIF('TL14'!$C$10:$C$224,$C370,'TL14'!$J$10:$J$224),0),
IF('TL14'!$B$229=J$3,SUMIF('TL14'!$C$238:$C$451,$C370,'TL14'!$J$238:$J$451),0),
IF('TL15'!$B$3=J$3,SUMIF('TL15'!$C$10:$C$224,$C370,'TL15'!$J$10:$J$224),0),
IF('TL15'!$B$229=J$3,SUMIF('TL15'!$C$238:$C$451,$C370,'TL15'!$J$238:$J$451),0),
IF('TL16'!$B$3=J$3,SUMIF('TL16'!$C$10:$C$224,$C370,'TL16'!$J$10:$J$224),0),
IF('TL16'!$B$229=J$3,SUMIF('TL16'!$C$238:$C$451,$C370,'TL16'!$J$238:$J$451),0),
IF('TL17'!$B$3=J$3,SUMIF('TL17'!$C$10:$C$224,$C370,'TL17'!$J$10:$J$224),0),
IF('TL17'!$B$229=J$3,SUMIF('TL17'!$C$238:$C$451,$C370,'TL17'!$J$238:$J$451),0),
IF('TL18'!$B$3=J$3,SUMIF('TL18'!$C$10:$C$224,$C370,'TL18'!$J$10:$J$224),0),
IF('TL18'!$B$229=J$3,SUMIF('TL18'!$C$238:$C$451,$C370,'TL18'!$J$238:$J$451),0),
IF('TL19'!$B$3=J$3,SUMIF('TL19'!$C$10:$C$224,$C370,'TL19'!$J$10:$J$224),0),
IF('TL19'!$B$229=J$3,SUMIF('TL19'!$C$238:$C$451,$C370,'TL19'!$J$238:$J$451),0)
),0)</f>
        <v>0</v>
      </c>
      <c r="K370" s="9">
        <f>IFERROR(SUM(
IF('TL01'!$B$3=K$3,SUMIF('TL01'!$C$10:$C$224,$C370,'TL01'!$J$10:$J$224),0),
IF('TL01'!$B$229=K$3,SUMIF('TL01'!$C$238:$C$451,$C370,'TL01'!$J$238:$J$451),0),
IF('TL02'!$B$3=K$3,SUMIF('TL02'!$C$10:$C$224,$C370,'TL02'!$J$10:$J$224),0),
IF('TL02'!$B$229=K$3,SUMIF('TL02'!$C$238:$C$451,$C370,'TL02'!$J$238:$J$451),0),
IF('TL03'!$B$3=K$3,SUMIF('TL03'!$C$10:$C$224,$C370,'TL03'!$J$10:$J$224),0),
IF('TL03'!$B$229=K$3,SUMIF('TL03'!$C$238:$C$451,$C370,'TL03'!$J$238:$J$451),0),
IF('TL04'!$B$3=K$3,SUMIF('TL04'!$C$10:$C$224,$C370,'TL04'!$J$10:$J$224),0),
IF('TL04'!$B$229=K$3,SUMIF('TL04'!$C$238:$C$451,$C370,'TL04'!$J$238:$J$451),0),
IF('TL05'!$B$3=K$3,SUMIF('TL05'!$C$10:$C$224,$C370,'TL05'!$J$10:$J$224),0),
IF('TL05'!$B$229=K$3,SUMIF('TL05'!$C$238:$C$451,$C370,'TL05'!$J$238:$J$451),0),
IF('TL06'!$B$3=K$3,SUMIF('TL06'!$C$10:$C$224,$C370,'TL06'!$J$10:$J$224),0),
IF('TL06'!$B$229=K$3,SUMIF('TL06'!$C$238:$C$451,$C370,'TL06'!$J$238:$J$451),0),
IF('TL07'!$B$3=K$3,SUMIF('TL07'!$C$10:$C$224,$C370,'TL07'!$J$10:$J$224),0),
IF('TL07'!$B$229=K$3,SUMIF('TL07'!$C$238:$C$451,$C370,'TL07'!$J$238:$J$451),0),
IF('TL08'!$B$3=K$3,SUMIF('TL08'!$C$10:$C$224,$C370,'TL08'!$J$10:$J$224),0),
IF('TL08'!$B$229=K$3,SUMIF('TL08'!$C$238:$C$451,$C370,'TL08'!$J$238:$J$451),0),
IF('TL09'!$B$3=K$3,SUMIF('TL09'!$C$10:$C$224,$C370,'TL09'!$J$10:$J$224),0),
IF('TL09'!$B$229=K$3,SUMIF('TL09'!$C$238:$C$451,$C370,'TL09'!$J$238:$J$451),0),
IF('TL10'!$B$3=K$3,SUMIF('TL10'!$C$10:$C$224,$C370,'TL10'!$J$10:$J$224),0),
IF('TL10'!$B$229=K$3,SUMIF('TL10'!$C$238:$C$451,$C370,'TL10'!$J$238:$J$451),0),
IF('TL11'!$B$3=K$3,SUMIF('TL11'!$C$10:$C$224,$C370,'TL11'!$J$10:$J$224),0),
IF('TL11'!$B$229=K$3,SUMIF('TL11'!$C$238:$C$451,$C370,'TL11'!$J$238:$J$451),0),
IF('TL12'!$B$3=K$3,SUMIF('TL12'!$C$10:$C$224,$C370,'TL12'!$J$10:$J$224),0),
IF('TL12'!$B$229=K$3,SUMIF('TL12'!$C$238:$C$451,$C370,'TL12'!$J$238:$J$451),0),
IF('TL13'!$B$3=K$3,SUMIF('TL13'!$C$10:$C$224,$C370,'TL13'!$J$10:$J$224),0),
IF('TL13'!$B$229=K$3,SUMIF('TL13'!$C$238:$C$451,$C370,'TL13'!$J$238:$J$451),0),
IF('TL14'!$B$3=K$3,SUMIF('TL14'!$C$10:$C$224,$C370,'TL14'!$J$10:$J$224),0),
IF('TL14'!$B$229=K$3,SUMIF('TL14'!$C$238:$C$451,$C370,'TL14'!$J$238:$J$451),0),
IF('TL15'!$B$3=K$3,SUMIF('TL15'!$C$10:$C$224,$C370,'TL15'!$J$10:$J$224),0),
IF('TL15'!$B$229=K$3,SUMIF('TL15'!$C$238:$C$451,$C370,'TL15'!$J$238:$J$451),0),
IF('TL16'!$B$3=K$3,SUMIF('TL16'!$C$10:$C$224,$C370,'TL16'!$J$10:$J$224),0),
IF('TL16'!$B$229=K$3,SUMIF('TL16'!$C$238:$C$451,$C370,'TL16'!$J$238:$J$451),0),
IF('TL17'!$B$3=K$3,SUMIF('TL17'!$C$10:$C$224,$C370,'TL17'!$J$10:$J$224),0),
IF('TL17'!$B$229=K$3,SUMIF('TL17'!$C$238:$C$451,$C370,'TL17'!$J$238:$J$451),0),
IF('TL18'!$B$3=K$3,SUMIF('TL18'!$C$10:$C$224,$C370,'TL18'!$J$10:$J$224),0),
IF('TL18'!$B$229=K$3,SUMIF('TL18'!$C$238:$C$451,$C370,'TL18'!$J$238:$J$451),0),
IF('TL19'!$B$3=K$3,SUMIF('TL19'!$C$10:$C$224,$C370,'TL19'!$J$10:$J$224),0),
IF('TL19'!$B$229=K$3,SUMIF('TL19'!$C$238:$C$451,$C370,'TL19'!$J$238:$J$451),0)
),0)</f>
        <v>0</v>
      </c>
      <c r="L370" s="9">
        <f>IFERROR(SUM(
IF('TL01'!$B$3=L$3,SUMIF('TL01'!$C$10:$C$224,$C370,'TL01'!$J$10:$J$224),0),
IF('TL01'!$B$229=L$3,SUMIF('TL01'!$C$238:$C$451,$C370,'TL01'!$J$238:$J$451),0),
IF('TL02'!$B$3=L$3,SUMIF('TL02'!$C$10:$C$224,$C370,'TL02'!$J$10:$J$224),0),
IF('TL02'!$B$229=L$3,SUMIF('TL02'!$C$238:$C$451,$C370,'TL02'!$J$238:$J$451),0),
IF('TL03'!$B$3=L$3,SUMIF('TL03'!$C$10:$C$224,$C370,'TL03'!$J$10:$J$224),0),
IF('TL03'!$B$229=L$3,SUMIF('TL03'!$C$238:$C$451,$C370,'TL03'!$J$238:$J$451),0),
IF('TL04'!$B$3=L$3,SUMIF('TL04'!$C$10:$C$224,$C370,'TL04'!$J$10:$J$224),0),
IF('TL04'!$B$229=L$3,SUMIF('TL04'!$C$238:$C$451,$C370,'TL04'!$J$238:$J$451),0),
IF('TL05'!$B$3=L$3,SUMIF('TL05'!$C$10:$C$224,$C370,'TL05'!$J$10:$J$224),0),
IF('TL05'!$B$229=L$3,SUMIF('TL05'!$C$238:$C$451,$C370,'TL05'!$J$238:$J$451),0),
IF('TL06'!$B$3=L$3,SUMIF('TL06'!$C$10:$C$224,$C370,'TL06'!$J$10:$J$224),0),
IF('TL06'!$B$229=L$3,SUMIF('TL06'!$C$238:$C$451,$C370,'TL06'!$J$238:$J$451),0),
IF('TL07'!$B$3=L$3,SUMIF('TL07'!$C$10:$C$224,$C370,'TL07'!$J$10:$J$224),0),
IF('TL07'!$B$229=L$3,SUMIF('TL07'!$C$238:$C$451,$C370,'TL07'!$J$238:$J$451),0),
IF('TL08'!$B$3=L$3,SUMIF('TL08'!$C$10:$C$224,$C370,'TL08'!$J$10:$J$224),0),
IF('TL08'!$B$229=L$3,SUMIF('TL08'!$C$238:$C$451,$C370,'TL08'!$J$238:$J$451),0),
IF('TL09'!$B$3=L$3,SUMIF('TL09'!$C$10:$C$224,$C370,'TL09'!$J$10:$J$224),0),
IF('TL09'!$B$229=L$3,SUMIF('TL09'!$C$238:$C$451,$C370,'TL09'!$J$238:$J$451),0),
IF('TL10'!$B$3=L$3,SUMIF('TL10'!$C$10:$C$224,$C370,'TL10'!$J$10:$J$224),0),
IF('TL10'!$B$229=L$3,SUMIF('TL10'!$C$238:$C$451,$C370,'TL10'!$J$238:$J$451),0),
IF('TL11'!$B$3=L$3,SUMIF('TL11'!$C$10:$C$224,$C370,'TL11'!$J$10:$J$224),0),
IF('TL11'!$B$229=L$3,SUMIF('TL11'!$C$238:$C$451,$C370,'TL11'!$J$238:$J$451),0),
IF('TL12'!$B$3=L$3,SUMIF('TL12'!$C$10:$C$224,$C370,'TL12'!$J$10:$J$224),0),
IF('TL12'!$B$229=L$3,SUMIF('TL12'!$C$238:$C$451,$C370,'TL12'!$J$238:$J$451),0),
IF('TL13'!$B$3=L$3,SUMIF('TL13'!$C$10:$C$224,$C370,'TL13'!$J$10:$J$224),0),
IF('TL13'!$B$229=L$3,SUMIF('TL13'!$C$238:$C$451,$C370,'TL13'!$J$238:$J$451),0),
IF('TL14'!$B$3=L$3,SUMIF('TL14'!$C$10:$C$224,$C370,'TL14'!$J$10:$J$224),0),
IF('TL14'!$B$229=L$3,SUMIF('TL14'!$C$238:$C$451,$C370,'TL14'!$J$238:$J$451),0),
IF('TL15'!$B$3=L$3,SUMIF('TL15'!$C$10:$C$224,$C370,'TL15'!$J$10:$J$224),0),
IF('TL15'!$B$229=L$3,SUMIF('TL15'!$C$238:$C$451,$C370,'TL15'!$J$238:$J$451),0),
IF('TL16'!$B$3=L$3,SUMIF('TL16'!$C$10:$C$224,$C370,'TL16'!$J$10:$J$224),0),
IF('TL16'!$B$229=L$3,SUMIF('TL16'!$C$238:$C$451,$C370,'TL16'!$J$238:$J$451),0),
IF('TL17'!$B$3=L$3,SUMIF('TL17'!$C$10:$C$224,$C370,'TL17'!$J$10:$J$224),0),
IF('TL17'!$B$229=L$3,SUMIF('TL17'!$C$238:$C$451,$C370,'TL17'!$J$238:$J$451),0),
IF('TL18'!$B$3=L$3,SUMIF('TL18'!$C$10:$C$224,$C370,'TL18'!$J$10:$J$224),0),
IF('TL18'!$B$229=L$3,SUMIF('TL18'!$C$238:$C$451,$C370,'TL18'!$J$238:$J$451),0),
IF('TL19'!$B$3=L$3,SUMIF('TL19'!$C$10:$C$224,$C370,'TL19'!$J$10:$J$224),0),
IF('TL19'!$B$229=L$3,SUMIF('TL19'!$C$238:$C$451,$C370,'TL19'!$J$238:$J$451),0)
),0)</f>
        <v>0</v>
      </c>
      <c r="M370" s="9">
        <f>IFERROR(SUM(
IF('TL01'!$B$3=M$3,SUMIF('TL01'!$C$10:$C$224,$C370,'TL01'!$J$10:$J$224),0),
IF('TL01'!$B$229=M$3,SUMIF('TL01'!$C$238:$C$451,$C370,'TL01'!$J$238:$J$451),0),
IF('TL02'!$B$3=M$3,SUMIF('TL02'!$C$10:$C$224,$C370,'TL02'!$J$10:$J$224),0),
IF('TL02'!$B$229=M$3,SUMIF('TL02'!$C$238:$C$451,$C370,'TL02'!$J$238:$J$451),0),
IF('TL03'!$B$3=M$3,SUMIF('TL03'!$C$10:$C$224,$C370,'TL03'!$J$10:$J$224),0),
IF('TL03'!$B$229=M$3,SUMIF('TL03'!$C$238:$C$451,$C370,'TL03'!$J$238:$J$451),0),
IF('TL04'!$B$3=M$3,SUMIF('TL04'!$C$10:$C$224,$C370,'TL04'!$J$10:$J$224),0),
IF('TL04'!$B$229=M$3,SUMIF('TL04'!$C$238:$C$451,$C370,'TL04'!$J$238:$J$451),0),
IF('TL05'!$B$3=M$3,SUMIF('TL05'!$C$10:$C$224,$C370,'TL05'!$J$10:$J$224),0),
IF('TL05'!$B$229=M$3,SUMIF('TL05'!$C$238:$C$451,$C370,'TL05'!$J$238:$J$451),0),
IF('TL06'!$B$3=M$3,SUMIF('TL06'!$C$10:$C$224,$C370,'TL06'!$J$10:$J$224),0),
IF('TL06'!$B$229=M$3,SUMIF('TL06'!$C$238:$C$451,$C370,'TL06'!$J$238:$J$451),0),
IF('TL07'!$B$3=M$3,SUMIF('TL07'!$C$10:$C$224,$C370,'TL07'!$J$10:$J$224),0),
IF('TL07'!$B$229=M$3,SUMIF('TL07'!$C$238:$C$451,$C370,'TL07'!$J$238:$J$451),0),
IF('TL08'!$B$3=M$3,SUMIF('TL08'!$C$10:$C$224,$C370,'TL08'!$J$10:$J$224),0),
IF('TL08'!$B$229=M$3,SUMIF('TL08'!$C$238:$C$451,$C370,'TL08'!$J$238:$J$451),0),
IF('TL09'!$B$3=M$3,SUMIF('TL09'!$C$10:$C$224,$C370,'TL09'!$J$10:$J$224),0),
IF('TL09'!$B$229=M$3,SUMIF('TL09'!$C$238:$C$451,$C370,'TL09'!$J$238:$J$451),0),
IF('TL10'!$B$3=M$3,SUMIF('TL10'!$C$10:$C$224,$C370,'TL10'!$J$10:$J$224),0),
IF('TL10'!$B$229=M$3,SUMIF('TL10'!$C$238:$C$451,$C370,'TL10'!$J$238:$J$451),0),
IF('TL11'!$B$3=M$3,SUMIF('TL11'!$C$10:$C$224,$C370,'TL11'!$J$10:$J$224),0),
IF('TL11'!$B$229=M$3,SUMIF('TL11'!$C$238:$C$451,$C370,'TL11'!$J$238:$J$451),0),
IF('TL12'!$B$3=M$3,SUMIF('TL12'!$C$10:$C$224,$C370,'TL12'!$J$10:$J$224),0),
IF('TL12'!$B$229=M$3,SUMIF('TL12'!$C$238:$C$451,$C370,'TL12'!$J$238:$J$451),0),
IF('TL13'!$B$3=M$3,SUMIF('TL13'!$C$10:$C$224,$C370,'TL13'!$J$10:$J$224),0),
IF('TL13'!$B$229=M$3,SUMIF('TL13'!$C$238:$C$451,$C370,'TL13'!$J$238:$J$451),0),
IF('TL14'!$B$3=M$3,SUMIF('TL14'!$C$10:$C$224,$C370,'TL14'!$J$10:$J$224),0),
IF('TL14'!$B$229=M$3,SUMIF('TL14'!$C$238:$C$451,$C370,'TL14'!$J$238:$J$451),0),
IF('TL15'!$B$3=M$3,SUMIF('TL15'!$C$10:$C$224,$C370,'TL15'!$J$10:$J$224),0),
IF('TL15'!$B$229=M$3,SUMIF('TL15'!$C$238:$C$451,$C370,'TL15'!$J$238:$J$451),0),
IF('TL16'!$B$3=M$3,SUMIF('TL16'!$C$10:$C$224,$C370,'TL16'!$J$10:$J$224),0),
IF('TL16'!$B$229=M$3,SUMIF('TL16'!$C$238:$C$451,$C370,'TL16'!$J$238:$J$451),0),
IF('TL17'!$B$3=M$3,SUMIF('TL17'!$C$10:$C$224,$C370,'TL17'!$J$10:$J$224),0),
IF('TL17'!$B$229=M$3,SUMIF('TL17'!$C$238:$C$451,$C370,'TL17'!$J$238:$J$451),0),
IF('TL18'!$B$3=M$3,SUMIF('TL18'!$C$10:$C$224,$C370,'TL18'!$J$10:$J$224),0),
IF('TL18'!$B$229=M$3,SUMIF('TL18'!$C$238:$C$451,$C370,'TL18'!$J$238:$J$451),0),
IF('TL19'!$B$3=M$3,SUMIF('TL19'!$C$10:$C$224,$C370,'TL19'!$J$10:$J$224),0),
IF('TL19'!$B$229=M$3,SUMIF('TL19'!$C$238:$C$451,$C370,'TL19'!$J$238:$J$451),0)
),0)</f>
        <v>0</v>
      </c>
      <c r="N370" s="9">
        <f>IFERROR(SUM(
IF('TL01'!$B$3=N$3,SUMIF('TL01'!$C$10:$C$224,$C370,'TL01'!$J$10:$J$224),0),
IF('TL01'!$B$229=N$3,SUMIF('TL01'!$C$238:$C$451,$C370,'TL01'!$J$238:$J$451),0),
IF('TL02'!$B$3=N$3,SUMIF('TL02'!$C$10:$C$224,$C370,'TL02'!$J$10:$J$224),0),
IF('TL02'!$B$229=N$3,SUMIF('TL02'!$C$238:$C$451,$C370,'TL02'!$J$238:$J$451),0),
IF('TL03'!$B$3=N$3,SUMIF('TL03'!$C$10:$C$224,$C370,'TL03'!$J$10:$J$224),0),
IF('TL03'!$B$229=N$3,SUMIF('TL03'!$C$238:$C$451,$C370,'TL03'!$J$238:$J$451),0),
IF('TL04'!$B$3=N$3,SUMIF('TL04'!$C$10:$C$224,$C370,'TL04'!$J$10:$J$224),0),
IF('TL04'!$B$229=N$3,SUMIF('TL04'!$C$238:$C$451,$C370,'TL04'!$J$238:$J$451),0),
IF('TL05'!$B$3=N$3,SUMIF('TL05'!$C$10:$C$224,$C370,'TL05'!$J$10:$J$224),0),
IF('TL05'!$B$229=N$3,SUMIF('TL05'!$C$238:$C$451,$C370,'TL05'!$J$238:$J$451),0),
IF('TL06'!$B$3=N$3,SUMIF('TL06'!$C$10:$C$224,$C370,'TL06'!$J$10:$J$224),0),
IF('TL06'!$B$229=N$3,SUMIF('TL06'!$C$238:$C$451,$C370,'TL06'!$J$238:$J$451),0),
IF('TL07'!$B$3=N$3,SUMIF('TL07'!$C$10:$C$224,$C370,'TL07'!$J$10:$J$224),0),
IF('TL07'!$B$229=N$3,SUMIF('TL07'!$C$238:$C$451,$C370,'TL07'!$J$238:$J$451),0),
IF('TL08'!$B$3=N$3,SUMIF('TL08'!$C$10:$C$224,$C370,'TL08'!$J$10:$J$224),0),
IF('TL08'!$B$229=N$3,SUMIF('TL08'!$C$238:$C$451,$C370,'TL08'!$J$238:$J$451),0),
IF('TL09'!$B$3=N$3,SUMIF('TL09'!$C$10:$C$224,$C370,'TL09'!$J$10:$J$224),0),
IF('TL09'!$B$229=N$3,SUMIF('TL09'!$C$238:$C$451,$C370,'TL09'!$J$238:$J$451),0),
IF('TL10'!$B$3=N$3,SUMIF('TL10'!$C$10:$C$224,$C370,'TL10'!$J$10:$J$224),0),
IF('TL10'!$B$229=N$3,SUMIF('TL10'!$C$238:$C$451,$C370,'TL10'!$J$238:$J$451),0),
IF('TL11'!$B$3=N$3,SUMIF('TL11'!$C$10:$C$224,$C370,'TL11'!$J$10:$J$224),0),
IF('TL11'!$B$229=N$3,SUMIF('TL11'!$C$238:$C$451,$C370,'TL11'!$J$238:$J$451),0),
IF('TL12'!$B$3=N$3,SUMIF('TL12'!$C$10:$C$224,$C370,'TL12'!$J$10:$J$224),0),
IF('TL12'!$B$229=N$3,SUMIF('TL12'!$C$238:$C$451,$C370,'TL12'!$J$238:$J$451),0),
IF('TL13'!$B$3=N$3,SUMIF('TL13'!$C$10:$C$224,$C370,'TL13'!$J$10:$J$224),0),
IF('TL13'!$B$229=N$3,SUMIF('TL13'!$C$238:$C$451,$C370,'TL13'!$J$238:$J$451),0),
IF('TL14'!$B$3=N$3,SUMIF('TL14'!$C$10:$C$224,$C370,'TL14'!$J$10:$J$224),0),
IF('TL14'!$B$229=N$3,SUMIF('TL14'!$C$238:$C$451,$C370,'TL14'!$J$238:$J$451),0),
IF('TL15'!$B$3=N$3,SUMIF('TL15'!$C$10:$C$224,$C370,'TL15'!$J$10:$J$224),0),
IF('TL15'!$B$229=N$3,SUMIF('TL15'!$C$238:$C$451,$C370,'TL15'!$J$238:$J$451),0),
IF('TL16'!$B$3=N$3,SUMIF('TL16'!$C$10:$C$224,$C370,'TL16'!$J$10:$J$224),0),
IF('TL16'!$B$229=N$3,SUMIF('TL16'!$C$238:$C$451,$C370,'TL16'!$J$238:$J$451),0),
IF('TL17'!$B$3=N$3,SUMIF('TL17'!$C$10:$C$224,$C370,'TL17'!$J$10:$J$224),0),
IF('TL17'!$B$229=N$3,SUMIF('TL17'!$C$238:$C$451,$C370,'TL17'!$J$238:$J$451),0),
IF('TL18'!$B$3=N$3,SUMIF('TL18'!$C$10:$C$224,$C370,'TL18'!$J$10:$J$224),0),
IF('TL18'!$B$229=N$3,SUMIF('TL18'!$C$238:$C$451,$C370,'TL18'!$J$238:$J$451),0),
IF('TL19'!$B$3=N$3,SUMIF('TL19'!$C$10:$C$224,$C370,'TL19'!$J$10:$J$224),0),
IF('TL19'!$B$229=N$3,SUMIF('TL19'!$C$238:$C$451,$C370,'TL19'!$J$238:$J$451),0)
),0)</f>
        <v>0</v>
      </c>
      <c r="O370" s="9">
        <f>IFERROR(SUM(
IF('TL01'!$B$3=O$3,SUMIF('TL01'!$C$10:$C$224,$C370,'TL01'!$J$10:$J$224),0),
IF('TL01'!$B$229=O$3,SUMIF('TL01'!$C$238:$C$451,$C370,'TL01'!$J$238:$J$451),0),
IF('TL02'!$B$3=O$3,SUMIF('TL02'!$C$10:$C$224,$C370,'TL02'!$J$10:$J$224),0),
IF('TL02'!$B$229=O$3,SUMIF('TL02'!$C$238:$C$451,$C370,'TL02'!$J$238:$J$451),0),
IF('TL03'!$B$3=O$3,SUMIF('TL03'!$C$10:$C$224,$C370,'TL03'!$J$10:$J$224),0),
IF('TL03'!$B$229=O$3,SUMIF('TL03'!$C$238:$C$451,$C370,'TL03'!$J$238:$J$451),0),
IF('TL04'!$B$3=O$3,SUMIF('TL04'!$C$10:$C$224,$C370,'TL04'!$J$10:$J$224),0),
IF('TL04'!$B$229=O$3,SUMIF('TL04'!$C$238:$C$451,$C370,'TL04'!$J$238:$J$451),0),
IF('TL05'!$B$3=O$3,SUMIF('TL05'!$C$10:$C$224,$C370,'TL05'!$J$10:$J$224),0),
IF('TL05'!$B$229=O$3,SUMIF('TL05'!$C$238:$C$451,$C370,'TL05'!$J$238:$J$451),0),
IF('TL06'!$B$3=O$3,SUMIF('TL06'!$C$10:$C$224,$C370,'TL06'!$J$10:$J$224),0),
IF('TL06'!$B$229=O$3,SUMIF('TL06'!$C$238:$C$451,$C370,'TL06'!$J$238:$J$451),0),
IF('TL07'!$B$3=O$3,SUMIF('TL07'!$C$10:$C$224,$C370,'TL07'!$J$10:$J$224),0),
IF('TL07'!$B$229=O$3,SUMIF('TL07'!$C$238:$C$451,$C370,'TL07'!$J$238:$J$451),0),
IF('TL08'!$B$3=O$3,SUMIF('TL08'!$C$10:$C$224,$C370,'TL08'!$J$10:$J$224),0),
IF('TL08'!$B$229=O$3,SUMIF('TL08'!$C$238:$C$451,$C370,'TL08'!$J$238:$J$451),0),
IF('TL09'!$B$3=O$3,SUMIF('TL09'!$C$10:$C$224,$C370,'TL09'!$J$10:$J$224),0),
IF('TL09'!$B$229=O$3,SUMIF('TL09'!$C$238:$C$451,$C370,'TL09'!$J$238:$J$451),0),
IF('TL10'!$B$3=O$3,SUMIF('TL10'!$C$10:$C$224,$C370,'TL10'!$J$10:$J$224),0),
IF('TL10'!$B$229=O$3,SUMIF('TL10'!$C$238:$C$451,$C370,'TL10'!$J$238:$J$451),0),
IF('TL11'!$B$3=O$3,SUMIF('TL11'!$C$10:$C$224,$C370,'TL11'!$J$10:$J$224),0),
IF('TL11'!$B$229=O$3,SUMIF('TL11'!$C$238:$C$451,$C370,'TL11'!$J$238:$J$451),0),
IF('TL12'!$B$3=O$3,SUMIF('TL12'!$C$10:$C$224,$C370,'TL12'!$J$10:$J$224),0),
IF('TL12'!$B$229=O$3,SUMIF('TL12'!$C$238:$C$451,$C370,'TL12'!$J$238:$J$451),0),
IF('TL13'!$B$3=O$3,SUMIF('TL13'!$C$10:$C$224,$C370,'TL13'!$J$10:$J$224),0),
IF('TL13'!$B$229=O$3,SUMIF('TL13'!$C$238:$C$451,$C370,'TL13'!$J$238:$J$451),0),
IF('TL14'!$B$3=O$3,SUMIF('TL14'!$C$10:$C$224,$C370,'TL14'!$J$10:$J$224),0),
IF('TL14'!$B$229=O$3,SUMIF('TL14'!$C$238:$C$451,$C370,'TL14'!$J$238:$J$451),0),
IF('TL15'!$B$3=O$3,SUMIF('TL15'!$C$10:$C$224,$C370,'TL15'!$J$10:$J$224),0),
IF('TL15'!$B$229=O$3,SUMIF('TL15'!$C$238:$C$451,$C370,'TL15'!$J$238:$J$451),0),
IF('TL16'!$B$3=O$3,SUMIF('TL16'!$C$10:$C$224,$C370,'TL16'!$J$10:$J$224),0),
IF('TL16'!$B$229=O$3,SUMIF('TL16'!$C$238:$C$451,$C370,'TL16'!$J$238:$J$451),0),
IF('TL17'!$B$3=O$3,SUMIF('TL17'!$C$10:$C$224,$C370,'TL17'!$J$10:$J$224),0),
IF('TL17'!$B$229=O$3,SUMIF('TL17'!$C$238:$C$451,$C370,'TL17'!$J$238:$J$451),0),
IF('TL18'!$B$3=O$3,SUMIF('TL18'!$C$10:$C$224,$C370,'TL18'!$J$10:$J$224),0),
IF('TL18'!$B$229=O$3,SUMIF('TL18'!$C$238:$C$451,$C370,'TL18'!$J$238:$J$451),0),
IF('TL19'!$B$3=O$3,SUMIF('TL19'!$C$10:$C$224,$C370,'TL19'!$J$10:$J$224),0),
IF('TL19'!$B$229=O$3,SUMIF('TL19'!$C$238:$C$451,$C370,'TL19'!$J$238:$J$451),0)
),0)</f>
        <v>0</v>
      </c>
      <c r="P370" s="9">
        <f>IFERROR(SUM(
IF('TL01'!$B$3=P$3,SUMIF('TL01'!$C$10:$C$224,$C370,'TL01'!$J$10:$J$224),0),
IF('TL01'!$B$229=P$3,SUMIF('TL01'!$C$238:$C$451,$C370,'TL01'!$J$238:$J$451),0),
IF('TL02'!$B$3=P$3,SUMIF('TL02'!$C$10:$C$224,$C370,'TL02'!$J$10:$J$224),0),
IF('TL02'!$B$229=P$3,SUMIF('TL02'!$C$238:$C$451,$C370,'TL02'!$J$238:$J$451),0),
IF('TL03'!$B$3=P$3,SUMIF('TL03'!$C$10:$C$224,$C370,'TL03'!$J$10:$J$224),0),
IF('TL03'!$B$229=P$3,SUMIF('TL03'!$C$238:$C$451,$C370,'TL03'!$J$238:$J$451),0),
IF('TL04'!$B$3=P$3,SUMIF('TL04'!$C$10:$C$224,$C370,'TL04'!$J$10:$J$224),0),
IF('TL04'!$B$229=P$3,SUMIF('TL04'!$C$238:$C$451,$C370,'TL04'!$J$238:$J$451),0),
IF('TL05'!$B$3=P$3,SUMIF('TL05'!$C$10:$C$224,$C370,'TL05'!$J$10:$J$224),0),
IF('TL05'!$B$229=P$3,SUMIF('TL05'!$C$238:$C$451,$C370,'TL05'!$J$238:$J$451),0),
IF('TL06'!$B$3=P$3,SUMIF('TL06'!$C$10:$C$224,$C370,'TL06'!$J$10:$J$224),0),
IF('TL06'!$B$229=P$3,SUMIF('TL06'!$C$238:$C$451,$C370,'TL06'!$J$238:$J$451),0),
IF('TL07'!$B$3=P$3,SUMIF('TL07'!$C$10:$C$224,$C370,'TL07'!$J$10:$J$224),0),
IF('TL07'!$B$229=P$3,SUMIF('TL07'!$C$238:$C$451,$C370,'TL07'!$J$238:$J$451),0),
IF('TL08'!$B$3=P$3,SUMIF('TL08'!$C$10:$C$224,$C370,'TL08'!$J$10:$J$224),0),
IF('TL08'!$B$229=P$3,SUMIF('TL08'!$C$238:$C$451,$C370,'TL08'!$J$238:$J$451),0),
IF('TL09'!$B$3=P$3,SUMIF('TL09'!$C$10:$C$224,$C370,'TL09'!$J$10:$J$224),0),
IF('TL09'!$B$229=P$3,SUMIF('TL09'!$C$238:$C$451,$C370,'TL09'!$J$238:$J$451),0),
IF('TL10'!$B$3=P$3,SUMIF('TL10'!$C$10:$C$224,$C370,'TL10'!$J$10:$J$224),0),
IF('TL10'!$B$229=P$3,SUMIF('TL10'!$C$238:$C$451,$C370,'TL10'!$J$238:$J$451),0),
IF('TL11'!$B$3=P$3,SUMIF('TL11'!$C$10:$C$224,$C370,'TL11'!$J$10:$J$224),0),
IF('TL11'!$B$229=P$3,SUMIF('TL11'!$C$238:$C$451,$C370,'TL11'!$J$238:$J$451),0),
IF('TL12'!$B$3=P$3,SUMIF('TL12'!$C$10:$C$224,$C370,'TL12'!$J$10:$J$224),0),
IF('TL12'!$B$229=P$3,SUMIF('TL12'!$C$238:$C$451,$C370,'TL12'!$J$238:$J$451),0),
IF('TL13'!$B$3=P$3,SUMIF('TL13'!$C$10:$C$224,$C370,'TL13'!$J$10:$J$224),0),
IF('TL13'!$B$229=P$3,SUMIF('TL13'!$C$238:$C$451,$C370,'TL13'!$J$238:$J$451),0),
IF('TL14'!$B$3=P$3,SUMIF('TL14'!$C$10:$C$224,$C370,'TL14'!$J$10:$J$224),0),
IF('TL14'!$B$229=P$3,SUMIF('TL14'!$C$238:$C$451,$C370,'TL14'!$J$238:$J$451),0),
IF('TL15'!$B$3=P$3,SUMIF('TL15'!$C$10:$C$224,$C370,'TL15'!$J$10:$J$224),0),
IF('TL15'!$B$229=P$3,SUMIF('TL15'!$C$238:$C$451,$C370,'TL15'!$J$238:$J$451),0),
IF('TL16'!$B$3=P$3,SUMIF('TL16'!$C$10:$C$224,$C370,'TL16'!$J$10:$J$224),0),
IF('TL16'!$B$229=P$3,SUMIF('TL16'!$C$238:$C$451,$C370,'TL16'!$J$238:$J$451),0),
IF('TL17'!$B$3=P$3,SUMIF('TL17'!$C$10:$C$224,$C370,'TL17'!$J$10:$J$224),0),
IF('TL17'!$B$229=P$3,SUMIF('TL17'!$C$238:$C$451,$C370,'TL17'!$J$238:$J$451),0),
IF('TL18'!$B$3=P$3,SUMIF('TL18'!$C$10:$C$224,$C370,'TL18'!$J$10:$J$224),0),
IF('TL18'!$B$229=P$3,SUMIF('TL18'!$C$238:$C$451,$C370,'TL18'!$J$238:$J$451),0),
IF('TL19'!$B$3=P$3,SUMIF('TL19'!$C$10:$C$224,$C370,'TL19'!$J$10:$J$224),0),
IF('TL19'!$B$229=P$3,SUMIF('TL19'!$C$238:$C$451,$C370,'TL19'!$J$238:$J$451),0)
),0)</f>
        <v>0</v>
      </c>
      <c r="Q370" s="9">
        <f>IFERROR(SUM(
IF('TL01'!$B$3=Q$3,SUMIF('TL01'!$C$10:$C$224,$C370,'TL01'!$J$10:$J$224),0),
IF('TL01'!$B$229=Q$3,SUMIF('TL01'!$C$238:$C$451,$C370,'TL01'!$J$238:$J$451),0),
IF('TL02'!$B$3=Q$3,SUMIF('TL02'!$C$10:$C$224,$C370,'TL02'!$J$10:$J$224),0),
IF('TL02'!$B$229=Q$3,SUMIF('TL02'!$C$238:$C$451,$C370,'TL02'!$J$238:$J$451),0),
IF('TL03'!$B$3=Q$3,SUMIF('TL03'!$C$10:$C$224,$C370,'TL03'!$J$10:$J$224),0),
IF('TL03'!$B$229=Q$3,SUMIF('TL03'!$C$238:$C$451,$C370,'TL03'!$J$238:$J$451),0),
IF('TL04'!$B$3=Q$3,SUMIF('TL04'!$C$10:$C$224,$C370,'TL04'!$J$10:$J$224),0),
IF('TL04'!$B$229=Q$3,SUMIF('TL04'!$C$238:$C$451,$C370,'TL04'!$J$238:$J$451),0),
IF('TL05'!$B$3=Q$3,SUMIF('TL05'!$C$10:$C$224,$C370,'TL05'!$J$10:$J$224),0),
IF('TL05'!$B$229=Q$3,SUMIF('TL05'!$C$238:$C$451,$C370,'TL05'!$J$238:$J$451),0),
IF('TL06'!$B$3=Q$3,SUMIF('TL06'!$C$10:$C$224,$C370,'TL06'!$J$10:$J$224),0),
IF('TL06'!$B$229=Q$3,SUMIF('TL06'!$C$238:$C$451,$C370,'TL06'!$J$238:$J$451),0),
IF('TL07'!$B$3=Q$3,SUMIF('TL07'!$C$10:$C$224,$C370,'TL07'!$J$10:$J$224),0),
IF('TL07'!$B$229=Q$3,SUMIF('TL07'!$C$238:$C$451,$C370,'TL07'!$J$238:$J$451),0),
IF('TL08'!$B$3=Q$3,SUMIF('TL08'!$C$10:$C$224,$C370,'TL08'!$J$10:$J$224),0),
IF('TL08'!$B$229=Q$3,SUMIF('TL08'!$C$238:$C$451,$C370,'TL08'!$J$238:$J$451),0),
IF('TL09'!$B$3=Q$3,SUMIF('TL09'!$C$10:$C$224,$C370,'TL09'!$J$10:$J$224),0),
IF('TL09'!$B$229=Q$3,SUMIF('TL09'!$C$238:$C$451,$C370,'TL09'!$J$238:$J$451),0),
IF('TL10'!$B$3=Q$3,SUMIF('TL10'!$C$10:$C$224,$C370,'TL10'!$J$10:$J$224),0),
IF('TL10'!$B$229=Q$3,SUMIF('TL10'!$C$238:$C$451,$C370,'TL10'!$J$238:$J$451),0),
IF('TL11'!$B$3=Q$3,SUMIF('TL11'!$C$10:$C$224,$C370,'TL11'!$J$10:$J$224),0),
IF('TL11'!$B$229=Q$3,SUMIF('TL11'!$C$238:$C$451,$C370,'TL11'!$J$238:$J$451),0),
IF('TL12'!$B$3=Q$3,SUMIF('TL12'!$C$10:$C$224,$C370,'TL12'!$J$10:$J$224),0),
IF('TL12'!$B$229=Q$3,SUMIF('TL12'!$C$238:$C$451,$C370,'TL12'!$J$238:$J$451),0),
IF('TL13'!$B$3=Q$3,SUMIF('TL13'!$C$10:$C$224,$C370,'TL13'!$J$10:$J$224),0),
IF('TL13'!$B$229=Q$3,SUMIF('TL13'!$C$238:$C$451,$C370,'TL13'!$J$238:$J$451),0),
IF('TL14'!$B$3=Q$3,SUMIF('TL14'!$C$10:$C$224,$C370,'TL14'!$J$10:$J$224),0),
IF('TL14'!$B$229=Q$3,SUMIF('TL14'!$C$238:$C$451,$C370,'TL14'!$J$238:$J$451),0),
IF('TL15'!$B$3=Q$3,SUMIF('TL15'!$C$10:$C$224,$C370,'TL15'!$J$10:$J$224),0),
IF('TL15'!$B$229=Q$3,SUMIF('TL15'!$C$238:$C$451,$C370,'TL15'!$J$238:$J$451),0),
IF('TL16'!$B$3=Q$3,SUMIF('TL16'!$C$10:$C$224,$C370,'TL16'!$J$10:$J$224),0),
IF('TL16'!$B$229=Q$3,SUMIF('TL16'!$C$238:$C$451,$C370,'TL16'!$J$238:$J$451),0),
IF('TL17'!$B$3=Q$3,SUMIF('TL17'!$C$10:$C$224,$C370,'TL17'!$J$10:$J$224),0),
IF('TL17'!$B$229=Q$3,SUMIF('TL17'!$C$238:$C$451,$C370,'TL17'!$J$238:$J$451),0),
IF('TL18'!$B$3=Q$3,SUMIF('TL18'!$C$10:$C$224,$C370,'TL18'!$J$10:$J$224),0),
IF('TL18'!$B$229=Q$3,SUMIF('TL18'!$C$238:$C$451,$C370,'TL18'!$J$238:$J$451),0),
IF('TL19'!$B$3=Q$3,SUMIF('TL19'!$C$10:$C$224,$C370,'TL19'!$J$10:$J$224),0),
IF('TL19'!$B$229=Q$3,SUMIF('TL19'!$C$238:$C$451,$C370,'TL19'!$J$238:$J$451),0)
),0)</f>
        <v>0</v>
      </c>
      <c r="R370" s="9">
        <f>IFERROR(
SUM(
SUMIF('TL01'!C:C,C370,'TL01'!J:J),
SUMIF('TL02'!C:C,C370,'TL02'!J:J),
SUMIF('TL03'!C:C,C370,'TL03'!J:J),
SUMIF('TL04'!C:C,C370,'TL04'!J:J),
SUMIF('TL05'!C:C,C370,'TL05'!J:J),
SUMIF('TL06'!C:C,C370,'TL06'!J:J),
SUMIF('TL07'!C:C,C370,'TL07'!J:J),
SUMIF('TL08'!C:C,C370,'TL08'!J:J),
SUMIF('TL09'!C:C,C370,'TL09'!J:J),
SUMIF('TL10'!C:C,C370,'TL10'!J:J),
SUMIF('TL11'!C:C,C370,'TL11'!J:J),
SUMIF('TL12'!C:C,C370,'TL12'!J:J),
SUMIF('TL13'!C:C,C370,'TL13'!J:J),
SUMIF('TL14'!C:C,C370,'TL14'!J:J),
SUMIF('TL15'!C:C,C370,'TL15'!J:J),
SUMIF('TL16'!C:C,C370,'TL16'!J:J),
SUMIF('TL17'!C:C,C370,'TL17'!J:J),
SUMIF('TL18'!C:C,C370,'TL18'!J:J),SUMIF('TL19'!C:C,C370,'TL19'!J:J))
,0)</f>
        <v>0</v>
      </c>
      <c r="S370" s="17">
        <f>IFERROR(__xludf.DUMMYFUNCTION("IFERROR(VLOOKUP(C370,
IMPORTRANGE(""1wULbzX32WdYsx-lj2U3uUNBBe2INVIRDtcK0d-Dvl90"",
""26-27!C:G""),
5,
FALSE),
"""")"),14.25)</f>
        <v>14.25</v>
      </c>
      <c r="T370" s="9"/>
      <c r="U370" s="92">
        <f t="shared" si="2"/>
        <v>0</v>
      </c>
      <c r="V370" s="93">
        <f t="shared" si="3"/>
        <v>0</v>
      </c>
    </row>
    <row r="371" ht="15.75" hidden="1" customHeight="1">
      <c r="A371" s="4" t="s">
        <v>1071</v>
      </c>
      <c r="B371" s="4" t="s">
        <v>4</v>
      </c>
      <c r="C371" s="128" t="s">
        <v>1112</v>
      </c>
      <c r="D371" s="129" t="s">
        <v>1111</v>
      </c>
      <c r="E371" s="6"/>
      <c r="F371" s="4"/>
      <c r="G371" s="90" t="str">
        <f t="shared" si="5"/>
        <v>📄 Ver bula</v>
      </c>
      <c r="H371" s="9"/>
      <c r="I371" s="123"/>
      <c r="J371" s="9">
        <f>IFERROR(SUM(
IF('TL01'!$B$3=J$3,SUMIF('TL01'!$C$10:$C$224,$C371,'TL01'!$J$10:$J$224),0),
IF('TL01'!$B$229=J$3,SUMIF('TL01'!$C$238:$C$451,$C371,'TL01'!$J$238:$J$451),0),
IF('TL02'!$B$3=J$3,SUMIF('TL02'!$C$10:$C$224,$C371,'TL02'!$J$10:$J$224),0),
IF('TL02'!$B$229=J$3,SUMIF('TL02'!$C$238:$C$451,$C371,'TL02'!$J$238:$J$451),0),
IF('TL03'!$B$3=J$3,SUMIF('TL03'!$C$10:$C$224,$C371,'TL03'!$J$10:$J$224),0),
IF('TL03'!$B$229=J$3,SUMIF('TL03'!$C$238:$C$451,$C371,'TL03'!$J$238:$J$451),0),
IF('TL04'!$B$3=J$3,SUMIF('TL04'!$C$10:$C$224,$C371,'TL04'!$J$10:$J$224),0),
IF('TL04'!$B$229=J$3,SUMIF('TL04'!$C$238:$C$451,$C371,'TL04'!$J$238:$J$451),0),
IF('TL05'!$B$3=J$3,SUMIF('TL05'!$C$10:$C$224,$C371,'TL05'!$J$10:$J$224),0),
IF('TL05'!$B$229=J$3,SUMIF('TL05'!$C$238:$C$451,$C371,'TL05'!$J$238:$J$451),0),
IF('TL06'!$B$3=J$3,SUMIF('TL06'!$C$10:$C$224,$C371,'TL06'!$J$10:$J$224),0),
IF('TL06'!$B$229=J$3,SUMIF('TL06'!$C$238:$C$451,$C371,'TL06'!$J$238:$J$451),0),
IF('TL07'!$B$3=J$3,SUMIF('TL07'!$C$10:$C$224,$C371,'TL07'!$J$10:$J$224),0),
IF('TL07'!$B$229=J$3,SUMIF('TL07'!$C$238:$C$451,$C371,'TL07'!$J$238:$J$451),0),
IF('TL08'!$B$3=J$3,SUMIF('TL08'!$C$10:$C$224,$C371,'TL08'!$J$10:$J$224),0),
IF('TL08'!$B$229=J$3,SUMIF('TL08'!$C$238:$C$451,$C371,'TL08'!$J$238:$J$451),0),
IF('TL09'!$B$3=J$3,SUMIF('TL09'!$C$10:$C$224,$C371,'TL09'!$J$10:$J$224),0),
IF('TL09'!$B$229=J$3,SUMIF('TL09'!$C$238:$C$451,$C371,'TL09'!$J$238:$J$451),0),
IF('TL10'!$B$3=J$3,SUMIF('TL10'!$C$10:$C$224,$C371,'TL10'!$J$10:$J$224),0),
IF('TL10'!$B$229=J$3,SUMIF('TL10'!$C$238:$C$451,$C371,'TL10'!$J$238:$J$451),0),
IF('TL11'!$B$3=J$3,SUMIF('TL11'!$C$10:$C$224,$C371,'TL11'!$J$10:$J$224),0),
IF('TL11'!$B$229=J$3,SUMIF('TL11'!$C$238:$C$451,$C371,'TL11'!$J$238:$J$451),0),
IF('TL12'!$B$3=J$3,SUMIF('TL12'!$C$10:$C$224,$C371,'TL12'!$J$10:$J$224),0),
IF('TL12'!$B$229=J$3,SUMIF('TL12'!$C$238:$C$451,$C371,'TL12'!$J$238:$J$451),0),
IF('TL13'!$B$3=J$3,SUMIF('TL13'!$C$10:$C$224,$C371,'TL13'!$J$10:$J$224),0),
IF('TL13'!$B$229=J$3,SUMIF('TL13'!$C$238:$C$451,$C371,'TL13'!$J$238:$J$451),0),
IF('TL14'!$B$3=J$3,SUMIF('TL14'!$C$10:$C$224,$C371,'TL14'!$J$10:$J$224),0),
IF('TL14'!$B$229=J$3,SUMIF('TL14'!$C$238:$C$451,$C371,'TL14'!$J$238:$J$451),0),
IF('TL15'!$B$3=J$3,SUMIF('TL15'!$C$10:$C$224,$C371,'TL15'!$J$10:$J$224),0),
IF('TL15'!$B$229=J$3,SUMIF('TL15'!$C$238:$C$451,$C371,'TL15'!$J$238:$J$451),0),
IF('TL16'!$B$3=J$3,SUMIF('TL16'!$C$10:$C$224,$C371,'TL16'!$J$10:$J$224),0),
IF('TL16'!$B$229=J$3,SUMIF('TL16'!$C$238:$C$451,$C371,'TL16'!$J$238:$J$451),0),
IF('TL17'!$B$3=J$3,SUMIF('TL17'!$C$10:$C$224,$C371,'TL17'!$J$10:$J$224),0),
IF('TL17'!$B$229=J$3,SUMIF('TL17'!$C$238:$C$451,$C371,'TL17'!$J$238:$J$451),0),
IF('TL18'!$B$3=J$3,SUMIF('TL18'!$C$10:$C$224,$C371,'TL18'!$J$10:$J$224),0),
IF('TL18'!$B$229=J$3,SUMIF('TL18'!$C$238:$C$451,$C371,'TL18'!$J$238:$J$451),0),
IF('TL19'!$B$3=J$3,SUMIF('TL19'!$C$10:$C$224,$C371,'TL19'!$J$10:$J$224),0),
IF('TL19'!$B$229=J$3,SUMIF('TL19'!$C$238:$C$451,$C371,'TL19'!$J$238:$J$451),0)
),0)</f>
        <v>0</v>
      </c>
      <c r="K371" s="9">
        <f>IFERROR(SUM(
IF('TL01'!$B$3=K$3,SUMIF('TL01'!$C$10:$C$224,$C371,'TL01'!$J$10:$J$224),0),
IF('TL01'!$B$229=K$3,SUMIF('TL01'!$C$238:$C$451,$C371,'TL01'!$J$238:$J$451),0),
IF('TL02'!$B$3=K$3,SUMIF('TL02'!$C$10:$C$224,$C371,'TL02'!$J$10:$J$224),0),
IF('TL02'!$B$229=K$3,SUMIF('TL02'!$C$238:$C$451,$C371,'TL02'!$J$238:$J$451),0),
IF('TL03'!$B$3=K$3,SUMIF('TL03'!$C$10:$C$224,$C371,'TL03'!$J$10:$J$224),0),
IF('TL03'!$B$229=K$3,SUMIF('TL03'!$C$238:$C$451,$C371,'TL03'!$J$238:$J$451),0),
IF('TL04'!$B$3=K$3,SUMIF('TL04'!$C$10:$C$224,$C371,'TL04'!$J$10:$J$224),0),
IF('TL04'!$B$229=K$3,SUMIF('TL04'!$C$238:$C$451,$C371,'TL04'!$J$238:$J$451),0),
IF('TL05'!$B$3=K$3,SUMIF('TL05'!$C$10:$C$224,$C371,'TL05'!$J$10:$J$224),0),
IF('TL05'!$B$229=K$3,SUMIF('TL05'!$C$238:$C$451,$C371,'TL05'!$J$238:$J$451),0),
IF('TL06'!$B$3=K$3,SUMIF('TL06'!$C$10:$C$224,$C371,'TL06'!$J$10:$J$224),0),
IF('TL06'!$B$229=K$3,SUMIF('TL06'!$C$238:$C$451,$C371,'TL06'!$J$238:$J$451),0),
IF('TL07'!$B$3=K$3,SUMIF('TL07'!$C$10:$C$224,$C371,'TL07'!$J$10:$J$224),0),
IF('TL07'!$B$229=K$3,SUMIF('TL07'!$C$238:$C$451,$C371,'TL07'!$J$238:$J$451),0),
IF('TL08'!$B$3=K$3,SUMIF('TL08'!$C$10:$C$224,$C371,'TL08'!$J$10:$J$224),0),
IF('TL08'!$B$229=K$3,SUMIF('TL08'!$C$238:$C$451,$C371,'TL08'!$J$238:$J$451),0),
IF('TL09'!$B$3=K$3,SUMIF('TL09'!$C$10:$C$224,$C371,'TL09'!$J$10:$J$224),0),
IF('TL09'!$B$229=K$3,SUMIF('TL09'!$C$238:$C$451,$C371,'TL09'!$J$238:$J$451),0),
IF('TL10'!$B$3=K$3,SUMIF('TL10'!$C$10:$C$224,$C371,'TL10'!$J$10:$J$224),0),
IF('TL10'!$B$229=K$3,SUMIF('TL10'!$C$238:$C$451,$C371,'TL10'!$J$238:$J$451),0),
IF('TL11'!$B$3=K$3,SUMIF('TL11'!$C$10:$C$224,$C371,'TL11'!$J$10:$J$224),0),
IF('TL11'!$B$229=K$3,SUMIF('TL11'!$C$238:$C$451,$C371,'TL11'!$J$238:$J$451),0),
IF('TL12'!$B$3=K$3,SUMIF('TL12'!$C$10:$C$224,$C371,'TL12'!$J$10:$J$224),0),
IF('TL12'!$B$229=K$3,SUMIF('TL12'!$C$238:$C$451,$C371,'TL12'!$J$238:$J$451),0),
IF('TL13'!$B$3=K$3,SUMIF('TL13'!$C$10:$C$224,$C371,'TL13'!$J$10:$J$224),0),
IF('TL13'!$B$229=K$3,SUMIF('TL13'!$C$238:$C$451,$C371,'TL13'!$J$238:$J$451),0),
IF('TL14'!$B$3=K$3,SUMIF('TL14'!$C$10:$C$224,$C371,'TL14'!$J$10:$J$224),0),
IF('TL14'!$B$229=K$3,SUMIF('TL14'!$C$238:$C$451,$C371,'TL14'!$J$238:$J$451),0),
IF('TL15'!$B$3=K$3,SUMIF('TL15'!$C$10:$C$224,$C371,'TL15'!$J$10:$J$224),0),
IF('TL15'!$B$229=K$3,SUMIF('TL15'!$C$238:$C$451,$C371,'TL15'!$J$238:$J$451),0),
IF('TL16'!$B$3=K$3,SUMIF('TL16'!$C$10:$C$224,$C371,'TL16'!$J$10:$J$224),0),
IF('TL16'!$B$229=K$3,SUMIF('TL16'!$C$238:$C$451,$C371,'TL16'!$J$238:$J$451),0),
IF('TL17'!$B$3=K$3,SUMIF('TL17'!$C$10:$C$224,$C371,'TL17'!$J$10:$J$224),0),
IF('TL17'!$B$229=K$3,SUMIF('TL17'!$C$238:$C$451,$C371,'TL17'!$J$238:$J$451),0),
IF('TL18'!$B$3=K$3,SUMIF('TL18'!$C$10:$C$224,$C371,'TL18'!$J$10:$J$224),0),
IF('TL18'!$B$229=K$3,SUMIF('TL18'!$C$238:$C$451,$C371,'TL18'!$J$238:$J$451),0),
IF('TL19'!$B$3=K$3,SUMIF('TL19'!$C$10:$C$224,$C371,'TL19'!$J$10:$J$224),0),
IF('TL19'!$B$229=K$3,SUMIF('TL19'!$C$238:$C$451,$C371,'TL19'!$J$238:$J$451),0)
),0)</f>
        <v>0</v>
      </c>
      <c r="L371" s="9">
        <f>IFERROR(SUM(
IF('TL01'!$B$3=L$3,SUMIF('TL01'!$C$10:$C$224,$C371,'TL01'!$J$10:$J$224),0),
IF('TL01'!$B$229=L$3,SUMIF('TL01'!$C$238:$C$451,$C371,'TL01'!$J$238:$J$451),0),
IF('TL02'!$B$3=L$3,SUMIF('TL02'!$C$10:$C$224,$C371,'TL02'!$J$10:$J$224),0),
IF('TL02'!$B$229=L$3,SUMIF('TL02'!$C$238:$C$451,$C371,'TL02'!$J$238:$J$451),0),
IF('TL03'!$B$3=L$3,SUMIF('TL03'!$C$10:$C$224,$C371,'TL03'!$J$10:$J$224),0),
IF('TL03'!$B$229=L$3,SUMIF('TL03'!$C$238:$C$451,$C371,'TL03'!$J$238:$J$451),0),
IF('TL04'!$B$3=L$3,SUMIF('TL04'!$C$10:$C$224,$C371,'TL04'!$J$10:$J$224),0),
IF('TL04'!$B$229=L$3,SUMIF('TL04'!$C$238:$C$451,$C371,'TL04'!$J$238:$J$451),0),
IF('TL05'!$B$3=L$3,SUMIF('TL05'!$C$10:$C$224,$C371,'TL05'!$J$10:$J$224),0),
IF('TL05'!$B$229=L$3,SUMIF('TL05'!$C$238:$C$451,$C371,'TL05'!$J$238:$J$451),0),
IF('TL06'!$B$3=L$3,SUMIF('TL06'!$C$10:$C$224,$C371,'TL06'!$J$10:$J$224),0),
IF('TL06'!$B$229=L$3,SUMIF('TL06'!$C$238:$C$451,$C371,'TL06'!$J$238:$J$451),0),
IF('TL07'!$B$3=L$3,SUMIF('TL07'!$C$10:$C$224,$C371,'TL07'!$J$10:$J$224),0),
IF('TL07'!$B$229=L$3,SUMIF('TL07'!$C$238:$C$451,$C371,'TL07'!$J$238:$J$451),0),
IF('TL08'!$B$3=L$3,SUMIF('TL08'!$C$10:$C$224,$C371,'TL08'!$J$10:$J$224),0),
IF('TL08'!$B$229=L$3,SUMIF('TL08'!$C$238:$C$451,$C371,'TL08'!$J$238:$J$451),0),
IF('TL09'!$B$3=L$3,SUMIF('TL09'!$C$10:$C$224,$C371,'TL09'!$J$10:$J$224),0),
IF('TL09'!$B$229=L$3,SUMIF('TL09'!$C$238:$C$451,$C371,'TL09'!$J$238:$J$451),0),
IF('TL10'!$B$3=L$3,SUMIF('TL10'!$C$10:$C$224,$C371,'TL10'!$J$10:$J$224),0),
IF('TL10'!$B$229=L$3,SUMIF('TL10'!$C$238:$C$451,$C371,'TL10'!$J$238:$J$451),0),
IF('TL11'!$B$3=L$3,SUMIF('TL11'!$C$10:$C$224,$C371,'TL11'!$J$10:$J$224),0),
IF('TL11'!$B$229=L$3,SUMIF('TL11'!$C$238:$C$451,$C371,'TL11'!$J$238:$J$451),0),
IF('TL12'!$B$3=L$3,SUMIF('TL12'!$C$10:$C$224,$C371,'TL12'!$J$10:$J$224),0),
IF('TL12'!$B$229=L$3,SUMIF('TL12'!$C$238:$C$451,$C371,'TL12'!$J$238:$J$451),0),
IF('TL13'!$B$3=L$3,SUMIF('TL13'!$C$10:$C$224,$C371,'TL13'!$J$10:$J$224),0),
IF('TL13'!$B$229=L$3,SUMIF('TL13'!$C$238:$C$451,$C371,'TL13'!$J$238:$J$451),0),
IF('TL14'!$B$3=L$3,SUMIF('TL14'!$C$10:$C$224,$C371,'TL14'!$J$10:$J$224),0),
IF('TL14'!$B$229=L$3,SUMIF('TL14'!$C$238:$C$451,$C371,'TL14'!$J$238:$J$451),0),
IF('TL15'!$B$3=L$3,SUMIF('TL15'!$C$10:$C$224,$C371,'TL15'!$J$10:$J$224),0),
IF('TL15'!$B$229=L$3,SUMIF('TL15'!$C$238:$C$451,$C371,'TL15'!$J$238:$J$451),0),
IF('TL16'!$B$3=L$3,SUMIF('TL16'!$C$10:$C$224,$C371,'TL16'!$J$10:$J$224),0),
IF('TL16'!$B$229=L$3,SUMIF('TL16'!$C$238:$C$451,$C371,'TL16'!$J$238:$J$451),0),
IF('TL17'!$B$3=L$3,SUMIF('TL17'!$C$10:$C$224,$C371,'TL17'!$J$10:$J$224),0),
IF('TL17'!$B$229=L$3,SUMIF('TL17'!$C$238:$C$451,$C371,'TL17'!$J$238:$J$451),0),
IF('TL18'!$B$3=L$3,SUMIF('TL18'!$C$10:$C$224,$C371,'TL18'!$J$10:$J$224),0),
IF('TL18'!$B$229=L$3,SUMIF('TL18'!$C$238:$C$451,$C371,'TL18'!$J$238:$J$451),0),
IF('TL19'!$B$3=L$3,SUMIF('TL19'!$C$10:$C$224,$C371,'TL19'!$J$10:$J$224),0),
IF('TL19'!$B$229=L$3,SUMIF('TL19'!$C$238:$C$451,$C371,'TL19'!$J$238:$J$451),0)
),0)</f>
        <v>0</v>
      </c>
      <c r="M371" s="9">
        <f>IFERROR(SUM(
IF('TL01'!$B$3=M$3,SUMIF('TL01'!$C$10:$C$224,$C371,'TL01'!$J$10:$J$224),0),
IF('TL01'!$B$229=M$3,SUMIF('TL01'!$C$238:$C$451,$C371,'TL01'!$J$238:$J$451),0),
IF('TL02'!$B$3=M$3,SUMIF('TL02'!$C$10:$C$224,$C371,'TL02'!$J$10:$J$224),0),
IF('TL02'!$B$229=M$3,SUMIF('TL02'!$C$238:$C$451,$C371,'TL02'!$J$238:$J$451),0),
IF('TL03'!$B$3=M$3,SUMIF('TL03'!$C$10:$C$224,$C371,'TL03'!$J$10:$J$224),0),
IF('TL03'!$B$229=M$3,SUMIF('TL03'!$C$238:$C$451,$C371,'TL03'!$J$238:$J$451),0),
IF('TL04'!$B$3=M$3,SUMIF('TL04'!$C$10:$C$224,$C371,'TL04'!$J$10:$J$224),0),
IF('TL04'!$B$229=M$3,SUMIF('TL04'!$C$238:$C$451,$C371,'TL04'!$J$238:$J$451),0),
IF('TL05'!$B$3=M$3,SUMIF('TL05'!$C$10:$C$224,$C371,'TL05'!$J$10:$J$224),0),
IF('TL05'!$B$229=M$3,SUMIF('TL05'!$C$238:$C$451,$C371,'TL05'!$J$238:$J$451),0),
IF('TL06'!$B$3=M$3,SUMIF('TL06'!$C$10:$C$224,$C371,'TL06'!$J$10:$J$224),0),
IF('TL06'!$B$229=M$3,SUMIF('TL06'!$C$238:$C$451,$C371,'TL06'!$J$238:$J$451),0),
IF('TL07'!$B$3=M$3,SUMIF('TL07'!$C$10:$C$224,$C371,'TL07'!$J$10:$J$224),0),
IF('TL07'!$B$229=M$3,SUMIF('TL07'!$C$238:$C$451,$C371,'TL07'!$J$238:$J$451),0),
IF('TL08'!$B$3=M$3,SUMIF('TL08'!$C$10:$C$224,$C371,'TL08'!$J$10:$J$224),0),
IF('TL08'!$B$229=M$3,SUMIF('TL08'!$C$238:$C$451,$C371,'TL08'!$J$238:$J$451),0),
IF('TL09'!$B$3=M$3,SUMIF('TL09'!$C$10:$C$224,$C371,'TL09'!$J$10:$J$224),0),
IF('TL09'!$B$229=M$3,SUMIF('TL09'!$C$238:$C$451,$C371,'TL09'!$J$238:$J$451),0),
IF('TL10'!$B$3=M$3,SUMIF('TL10'!$C$10:$C$224,$C371,'TL10'!$J$10:$J$224),0),
IF('TL10'!$B$229=M$3,SUMIF('TL10'!$C$238:$C$451,$C371,'TL10'!$J$238:$J$451),0),
IF('TL11'!$B$3=M$3,SUMIF('TL11'!$C$10:$C$224,$C371,'TL11'!$J$10:$J$224),0),
IF('TL11'!$B$229=M$3,SUMIF('TL11'!$C$238:$C$451,$C371,'TL11'!$J$238:$J$451),0),
IF('TL12'!$B$3=M$3,SUMIF('TL12'!$C$10:$C$224,$C371,'TL12'!$J$10:$J$224),0),
IF('TL12'!$B$229=M$3,SUMIF('TL12'!$C$238:$C$451,$C371,'TL12'!$J$238:$J$451),0),
IF('TL13'!$B$3=M$3,SUMIF('TL13'!$C$10:$C$224,$C371,'TL13'!$J$10:$J$224),0),
IF('TL13'!$B$229=M$3,SUMIF('TL13'!$C$238:$C$451,$C371,'TL13'!$J$238:$J$451),0),
IF('TL14'!$B$3=M$3,SUMIF('TL14'!$C$10:$C$224,$C371,'TL14'!$J$10:$J$224),0),
IF('TL14'!$B$229=M$3,SUMIF('TL14'!$C$238:$C$451,$C371,'TL14'!$J$238:$J$451),0),
IF('TL15'!$B$3=M$3,SUMIF('TL15'!$C$10:$C$224,$C371,'TL15'!$J$10:$J$224),0),
IF('TL15'!$B$229=M$3,SUMIF('TL15'!$C$238:$C$451,$C371,'TL15'!$J$238:$J$451),0),
IF('TL16'!$B$3=M$3,SUMIF('TL16'!$C$10:$C$224,$C371,'TL16'!$J$10:$J$224),0),
IF('TL16'!$B$229=M$3,SUMIF('TL16'!$C$238:$C$451,$C371,'TL16'!$J$238:$J$451),0),
IF('TL17'!$B$3=M$3,SUMIF('TL17'!$C$10:$C$224,$C371,'TL17'!$J$10:$J$224),0),
IF('TL17'!$B$229=M$3,SUMIF('TL17'!$C$238:$C$451,$C371,'TL17'!$J$238:$J$451),0),
IF('TL18'!$B$3=M$3,SUMIF('TL18'!$C$10:$C$224,$C371,'TL18'!$J$10:$J$224),0),
IF('TL18'!$B$229=M$3,SUMIF('TL18'!$C$238:$C$451,$C371,'TL18'!$J$238:$J$451),0),
IF('TL19'!$B$3=M$3,SUMIF('TL19'!$C$10:$C$224,$C371,'TL19'!$J$10:$J$224),0),
IF('TL19'!$B$229=M$3,SUMIF('TL19'!$C$238:$C$451,$C371,'TL19'!$J$238:$J$451),0)
),0)</f>
        <v>0</v>
      </c>
      <c r="N371" s="9">
        <f>IFERROR(SUM(
IF('TL01'!$B$3=N$3,SUMIF('TL01'!$C$10:$C$224,$C371,'TL01'!$J$10:$J$224),0),
IF('TL01'!$B$229=N$3,SUMIF('TL01'!$C$238:$C$451,$C371,'TL01'!$J$238:$J$451),0),
IF('TL02'!$B$3=N$3,SUMIF('TL02'!$C$10:$C$224,$C371,'TL02'!$J$10:$J$224),0),
IF('TL02'!$B$229=N$3,SUMIF('TL02'!$C$238:$C$451,$C371,'TL02'!$J$238:$J$451),0),
IF('TL03'!$B$3=N$3,SUMIF('TL03'!$C$10:$C$224,$C371,'TL03'!$J$10:$J$224),0),
IF('TL03'!$B$229=N$3,SUMIF('TL03'!$C$238:$C$451,$C371,'TL03'!$J$238:$J$451),0),
IF('TL04'!$B$3=N$3,SUMIF('TL04'!$C$10:$C$224,$C371,'TL04'!$J$10:$J$224),0),
IF('TL04'!$B$229=N$3,SUMIF('TL04'!$C$238:$C$451,$C371,'TL04'!$J$238:$J$451),0),
IF('TL05'!$B$3=N$3,SUMIF('TL05'!$C$10:$C$224,$C371,'TL05'!$J$10:$J$224),0),
IF('TL05'!$B$229=N$3,SUMIF('TL05'!$C$238:$C$451,$C371,'TL05'!$J$238:$J$451),0),
IF('TL06'!$B$3=N$3,SUMIF('TL06'!$C$10:$C$224,$C371,'TL06'!$J$10:$J$224),0),
IF('TL06'!$B$229=N$3,SUMIF('TL06'!$C$238:$C$451,$C371,'TL06'!$J$238:$J$451),0),
IF('TL07'!$B$3=N$3,SUMIF('TL07'!$C$10:$C$224,$C371,'TL07'!$J$10:$J$224),0),
IF('TL07'!$B$229=N$3,SUMIF('TL07'!$C$238:$C$451,$C371,'TL07'!$J$238:$J$451),0),
IF('TL08'!$B$3=N$3,SUMIF('TL08'!$C$10:$C$224,$C371,'TL08'!$J$10:$J$224),0),
IF('TL08'!$B$229=N$3,SUMIF('TL08'!$C$238:$C$451,$C371,'TL08'!$J$238:$J$451),0),
IF('TL09'!$B$3=N$3,SUMIF('TL09'!$C$10:$C$224,$C371,'TL09'!$J$10:$J$224),0),
IF('TL09'!$B$229=N$3,SUMIF('TL09'!$C$238:$C$451,$C371,'TL09'!$J$238:$J$451),0),
IF('TL10'!$B$3=N$3,SUMIF('TL10'!$C$10:$C$224,$C371,'TL10'!$J$10:$J$224),0),
IF('TL10'!$B$229=N$3,SUMIF('TL10'!$C$238:$C$451,$C371,'TL10'!$J$238:$J$451),0),
IF('TL11'!$B$3=N$3,SUMIF('TL11'!$C$10:$C$224,$C371,'TL11'!$J$10:$J$224),0),
IF('TL11'!$B$229=N$3,SUMIF('TL11'!$C$238:$C$451,$C371,'TL11'!$J$238:$J$451),0),
IF('TL12'!$B$3=N$3,SUMIF('TL12'!$C$10:$C$224,$C371,'TL12'!$J$10:$J$224),0),
IF('TL12'!$B$229=N$3,SUMIF('TL12'!$C$238:$C$451,$C371,'TL12'!$J$238:$J$451),0),
IF('TL13'!$B$3=N$3,SUMIF('TL13'!$C$10:$C$224,$C371,'TL13'!$J$10:$J$224),0),
IF('TL13'!$B$229=N$3,SUMIF('TL13'!$C$238:$C$451,$C371,'TL13'!$J$238:$J$451),0),
IF('TL14'!$B$3=N$3,SUMIF('TL14'!$C$10:$C$224,$C371,'TL14'!$J$10:$J$224),0),
IF('TL14'!$B$229=N$3,SUMIF('TL14'!$C$238:$C$451,$C371,'TL14'!$J$238:$J$451),0),
IF('TL15'!$B$3=N$3,SUMIF('TL15'!$C$10:$C$224,$C371,'TL15'!$J$10:$J$224),0),
IF('TL15'!$B$229=N$3,SUMIF('TL15'!$C$238:$C$451,$C371,'TL15'!$J$238:$J$451),0),
IF('TL16'!$B$3=N$3,SUMIF('TL16'!$C$10:$C$224,$C371,'TL16'!$J$10:$J$224),0),
IF('TL16'!$B$229=N$3,SUMIF('TL16'!$C$238:$C$451,$C371,'TL16'!$J$238:$J$451),0),
IF('TL17'!$B$3=N$3,SUMIF('TL17'!$C$10:$C$224,$C371,'TL17'!$J$10:$J$224),0),
IF('TL17'!$B$229=N$3,SUMIF('TL17'!$C$238:$C$451,$C371,'TL17'!$J$238:$J$451),0),
IF('TL18'!$B$3=N$3,SUMIF('TL18'!$C$10:$C$224,$C371,'TL18'!$J$10:$J$224),0),
IF('TL18'!$B$229=N$3,SUMIF('TL18'!$C$238:$C$451,$C371,'TL18'!$J$238:$J$451),0),
IF('TL19'!$B$3=N$3,SUMIF('TL19'!$C$10:$C$224,$C371,'TL19'!$J$10:$J$224),0),
IF('TL19'!$B$229=N$3,SUMIF('TL19'!$C$238:$C$451,$C371,'TL19'!$J$238:$J$451),0)
),0)</f>
        <v>0</v>
      </c>
      <c r="O371" s="9">
        <f>IFERROR(SUM(
IF('TL01'!$B$3=O$3,SUMIF('TL01'!$C$10:$C$224,$C371,'TL01'!$J$10:$J$224),0),
IF('TL01'!$B$229=O$3,SUMIF('TL01'!$C$238:$C$451,$C371,'TL01'!$J$238:$J$451),0),
IF('TL02'!$B$3=O$3,SUMIF('TL02'!$C$10:$C$224,$C371,'TL02'!$J$10:$J$224),0),
IF('TL02'!$B$229=O$3,SUMIF('TL02'!$C$238:$C$451,$C371,'TL02'!$J$238:$J$451),0),
IF('TL03'!$B$3=O$3,SUMIF('TL03'!$C$10:$C$224,$C371,'TL03'!$J$10:$J$224),0),
IF('TL03'!$B$229=O$3,SUMIF('TL03'!$C$238:$C$451,$C371,'TL03'!$J$238:$J$451),0),
IF('TL04'!$B$3=O$3,SUMIF('TL04'!$C$10:$C$224,$C371,'TL04'!$J$10:$J$224),0),
IF('TL04'!$B$229=O$3,SUMIF('TL04'!$C$238:$C$451,$C371,'TL04'!$J$238:$J$451),0),
IF('TL05'!$B$3=O$3,SUMIF('TL05'!$C$10:$C$224,$C371,'TL05'!$J$10:$J$224),0),
IF('TL05'!$B$229=O$3,SUMIF('TL05'!$C$238:$C$451,$C371,'TL05'!$J$238:$J$451),0),
IF('TL06'!$B$3=O$3,SUMIF('TL06'!$C$10:$C$224,$C371,'TL06'!$J$10:$J$224),0),
IF('TL06'!$B$229=O$3,SUMIF('TL06'!$C$238:$C$451,$C371,'TL06'!$J$238:$J$451),0),
IF('TL07'!$B$3=O$3,SUMIF('TL07'!$C$10:$C$224,$C371,'TL07'!$J$10:$J$224),0),
IF('TL07'!$B$229=O$3,SUMIF('TL07'!$C$238:$C$451,$C371,'TL07'!$J$238:$J$451),0),
IF('TL08'!$B$3=O$3,SUMIF('TL08'!$C$10:$C$224,$C371,'TL08'!$J$10:$J$224),0),
IF('TL08'!$B$229=O$3,SUMIF('TL08'!$C$238:$C$451,$C371,'TL08'!$J$238:$J$451),0),
IF('TL09'!$B$3=O$3,SUMIF('TL09'!$C$10:$C$224,$C371,'TL09'!$J$10:$J$224),0),
IF('TL09'!$B$229=O$3,SUMIF('TL09'!$C$238:$C$451,$C371,'TL09'!$J$238:$J$451),0),
IF('TL10'!$B$3=O$3,SUMIF('TL10'!$C$10:$C$224,$C371,'TL10'!$J$10:$J$224),0),
IF('TL10'!$B$229=O$3,SUMIF('TL10'!$C$238:$C$451,$C371,'TL10'!$J$238:$J$451),0),
IF('TL11'!$B$3=O$3,SUMIF('TL11'!$C$10:$C$224,$C371,'TL11'!$J$10:$J$224),0),
IF('TL11'!$B$229=O$3,SUMIF('TL11'!$C$238:$C$451,$C371,'TL11'!$J$238:$J$451),0),
IF('TL12'!$B$3=O$3,SUMIF('TL12'!$C$10:$C$224,$C371,'TL12'!$J$10:$J$224),0),
IF('TL12'!$B$229=O$3,SUMIF('TL12'!$C$238:$C$451,$C371,'TL12'!$J$238:$J$451),0),
IF('TL13'!$B$3=O$3,SUMIF('TL13'!$C$10:$C$224,$C371,'TL13'!$J$10:$J$224),0),
IF('TL13'!$B$229=O$3,SUMIF('TL13'!$C$238:$C$451,$C371,'TL13'!$J$238:$J$451),0),
IF('TL14'!$B$3=O$3,SUMIF('TL14'!$C$10:$C$224,$C371,'TL14'!$J$10:$J$224),0),
IF('TL14'!$B$229=O$3,SUMIF('TL14'!$C$238:$C$451,$C371,'TL14'!$J$238:$J$451),0),
IF('TL15'!$B$3=O$3,SUMIF('TL15'!$C$10:$C$224,$C371,'TL15'!$J$10:$J$224),0),
IF('TL15'!$B$229=O$3,SUMIF('TL15'!$C$238:$C$451,$C371,'TL15'!$J$238:$J$451),0),
IF('TL16'!$B$3=O$3,SUMIF('TL16'!$C$10:$C$224,$C371,'TL16'!$J$10:$J$224),0),
IF('TL16'!$B$229=O$3,SUMIF('TL16'!$C$238:$C$451,$C371,'TL16'!$J$238:$J$451),0),
IF('TL17'!$B$3=O$3,SUMIF('TL17'!$C$10:$C$224,$C371,'TL17'!$J$10:$J$224),0),
IF('TL17'!$B$229=O$3,SUMIF('TL17'!$C$238:$C$451,$C371,'TL17'!$J$238:$J$451),0),
IF('TL18'!$B$3=O$3,SUMIF('TL18'!$C$10:$C$224,$C371,'TL18'!$J$10:$J$224),0),
IF('TL18'!$B$229=O$3,SUMIF('TL18'!$C$238:$C$451,$C371,'TL18'!$J$238:$J$451),0),
IF('TL19'!$B$3=O$3,SUMIF('TL19'!$C$10:$C$224,$C371,'TL19'!$J$10:$J$224),0),
IF('TL19'!$B$229=O$3,SUMIF('TL19'!$C$238:$C$451,$C371,'TL19'!$J$238:$J$451),0)
),0)</f>
        <v>0</v>
      </c>
      <c r="P371" s="9">
        <f>IFERROR(SUM(
IF('TL01'!$B$3=P$3,SUMIF('TL01'!$C$10:$C$224,$C371,'TL01'!$J$10:$J$224),0),
IF('TL01'!$B$229=P$3,SUMIF('TL01'!$C$238:$C$451,$C371,'TL01'!$J$238:$J$451),0),
IF('TL02'!$B$3=P$3,SUMIF('TL02'!$C$10:$C$224,$C371,'TL02'!$J$10:$J$224),0),
IF('TL02'!$B$229=P$3,SUMIF('TL02'!$C$238:$C$451,$C371,'TL02'!$J$238:$J$451),0),
IF('TL03'!$B$3=P$3,SUMIF('TL03'!$C$10:$C$224,$C371,'TL03'!$J$10:$J$224),0),
IF('TL03'!$B$229=P$3,SUMIF('TL03'!$C$238:$C$451,$C371,'TL03'!$J$238:$J$451),0),
IF('TL04'!$B$3=P$3,SUMIF('TL04'!$C$10:$C$224,$C371,'TL04'!$J$10:$J$224),0),
IF('TL04'!$B$229=P$3,SUMIF('TL04'!$C$238:$C$451,$C371,'TL04'!$J$238:$J$451),0),
IF('TL05'!$B$3=P$3,SUMIF('TL05'!$C$10:$C$224,$C371,'TL05'!$J$10:$J$224),0),
IF('TL05'!$B$229=P$3,SUMIF('TL05'!$C$238:$C$451,$C371,'TL05'!$J$238:$J$451),0),
IF('TL06'!$B$3=P$3,SUMIF('TL06'!$C$10:$C$224,$C371,'TL06'!$J$10:$J$224),0),
IF('TL06'!$B$229=P$3,SUMIF('TL06'!$C$238:$C$451,$C371,'TL06'!$J$238:$J$451),0),
IF('TL07'!$B$3=P$3,SUMIF('TL07'!$C$10:$C$224,$C371,'TL07'!$J$10:$J$224),0),
IF('TL07'!$B$229=P$3,SUMIF('TL07'!$C$238:$C$451,$C371,'TL07'!$J$238:$J$451),0),
IF('TL08'!$B$3=P$3,SUMIF('TL08'!$C$10:$C$224,$C371,'TL08'!$J$10:$J$224),0),
IF('TL08'!$B$229=P$3,SUMIF('TL08'!$C$238:$C$451,$C371,'TL08'!$J$238:$J$451),0),
IF('TL09'!$B$3=P$3,SUMIF('TL09'!$C$10:$C$224,$C371,'TL09'!$J$10:$J$224),0),
IF('TL09'!$B$229=P$3,SUMIF('TL09'!$C$238:$C$451,$C371,'TL09'!$J$238:$J$451),0),
IF('TL10'!$B$3=P$3,SUMIF('TL10'!$C$10:$C$224,$C371,'TL10'!$J$10:$J$224),0),
IF('TL10'!$B$229=P$3,SUMIF('TL10'!$C$238:$C$451,$C371,'TL10'!$J$238:$J$451),0),
IF('TL11'!$B$3=P$3,SUMIF('TL11'!$C$10:$C$224,$C371,'TL11'!$J$10:$J$224),0),
IF('TL11'!$B$229=P$3,SUMIF('TL11'!$C$238:$C$451,$C371,'TL11'!$J$238:$J$451),0),
IF('TL12'!$B$3=P$3,SUMIF('TL12'!$C$10:$C$224,$C371,'TL12'!$J$10:$J$224),0),
IF('TL12'!$B$229=P$3,SUMIF('TL12'!$C$238:$C$451,$C371,'TL12'!$J$238:$J$451),0),
IF('TL13'!$B$3=P$3,SUMIF('TL13'!$C$10:$C$224,$C371,'TL13'!$J$10:$J$224),0),
IF('TL13'!$B$229=P$3,SUMIF('TL13'!$C$238:$C$451,$C371,'TL13'!$J$238:$J$451),0),
IF('TL14'!$B$3=P$3,SUMIF('TL14'!$C$10:$C$224,$C371,'TL14'!$J$10:$J$224),0),
IF('TL14'!$B$229=P$3,SUMIF('TL14'!$C$238:$C$451,$C371,'TL14'!$J$238:$J$451),0),
IF('TL15'!$B$3=P$3,SUMIF('TL15'!$C$10:$C$224,$C371,'TL15'!$J$10:$J$224),0),
IF('TL15'!$B$229=P$3,SUMIF('TL15'!$C$238:$C$451,$C371,'TL15'!$J$238:$J$451),0),
IF('TL16'!$B$3=P$3,SUMIF('TL16'!$C$10:$C$224,$C371,'TL16'!$J$10:$J$224),0),
IF('TL16'!$B$229=P$3,SUMIF('TL16'!$C$238:$C$451,$C371,'TL16'!$J$238:$J$451),0),
IF('TL17'!$B$3=P$3,SUMIF('TL17'!$C$10:$C$224,$C371,'TL17'!$J$10:$J$224),0),
IF('TL17'!$B$229=P$3,SUMIF('TL17'!$C$238:$C$451,$C371,'TL17'!$J$238:$J$451),0),
IF('TL18'!$B$3=P$3,SUMIF('TL18'!$C$10:$C$224,$C371,'TL18'!$J$10:$J$224),0),
IF('TL18'!$B$229=P$3,SUMIF('TL18'!$C$238:$C$451,$C371,'TL18'!$J$238:$J$451),0),
IF('TL19'!$B$3=P$3,SUMIF('TL19'!$C$10:$C$224,$C371,'TL19'!$J$10:$J$224),0),
IF('TL19'!$B$229=P$3,SUMIF('TL19'!$C$238:$C$451,$C371,'TL19'!$J$238:$J$451),0)
),0)</f>
        <v>0</v>
      </c>
      <c r="Q371" s="9">
        <f>IFERROR(SUM(
IF('TL01'!$B$3=Q$3,SUMIF('TL01'!$C$10:$C$224,$C371,'TL01'!$J$10:$J$224),0),
IF('TL01'!$B$229=Q$3,SUMIF('TL01'!$C$238:$C$451,$C371,'TL01'!$J$238:$J$451),0),
IF('TL02'!$B$3=Q$3,SUMIF('TL02'!$C$10:$C$224,$C371,'TL02'!$J$10:$J$224),0),
IF('TL02'!$B$229=Q$3,SUMIF('TL02'!$C$238:$C$451,$C371,'TL02'!$J$238:$J$451),0),
IF('TL03'!$B$3=Q$3,SUMIF('TL03'!$C$10:$C$224,$C371,'TL03'!$J$10:$J$224),0),
IF('TL03'!$B$229=Q$3,SUMIF('TL03'!$C$238:$C$451,$C371,'TL03'!$J$238:$J$451),0),
IF('TL04'!$B$3=Q$3,SUMIF('TL04'!$C$10:$C$224,$C371,'TL04'!$J$10:$J$224),0),
IF('TL04'!$B$229=Q$3,SUMIF('TL04'!$C$238:$C$451,$C371,'TL04'!$J$238:$J$451),0),
IF('TL05'!$B$3=Q$3,SUMIF('TL05'!$C$10:$C$224,$C371,'TL05'!$J$10:$J$224),0),
IF('TL05'!$B$229=Q$3,SUMIF('TL05'!$C$238:$C$451,$C371,'TL05'!$J$238:$J$451),0),
IF('TL06'!$B$3=Q$3,SUMIF('TL06'!$C$10:$C$224,$C371,'TL06'!$J$10:$J$224),0),
IF('TL06'!$B$229=Q$3,SUMIF('TL06'!$C$238:$C$451,$C371,'TL06'!$J$238:$J$451),0),
IF('TL07'!$B$3=Q$3,SUMIF('TL07'!$C$10:$C$224,$C371,'TL07'!$J$10:$J$224),0),
IF('TL07'!$B$229=Q$3,SUMIF('TL07'!$C$238:$C$451,$C371,'TL07'!$J$238:$J$451),0),
IF('TL08'!$B$3=Q$3,SUMIF('TL08'!$C$10:$C$224,$C371,'TL08'!$J$10:$J$224),0),
IF('TL08'!$B$229=Q$3,SUMIF('TL08'!$C$238:$C$451,$C371,'TL08'!$J$238:$J$451),0),
IF('TL09'!$B$3=Q$3,SUMIF('TL09'!$C$10:$C$224,$C371,'TL09'!$J$10:$J$224),0),
IF('TL09'!$B$229=Q$3,SUMIF('TL09'!$C$238:$C$451,$C371,'TL09'!$J$238:$J$451),0),
IF('TL10'!$B$3=Q$3,SUMIF('TL10'!$C$10:$C$224,$C371,'TL10'!$J$10:$J$224),0),
IF('TL10'!$B$229=Q$3,SUMIF('TL10'!$C$238:$C$451,$C371,'TL10'!$J$238:$J$451),0),
IF('TL11'!$B$3=Q$3,SUMIF('TL11'!$C$10:$C$224,$C371,'TL11'!$J$10:$J$224),0),
IF('TL11'!$B$229=Q$3,SUMIF('TL11'!$C$238:$C$451,$C371,'TL11'!$J$238:$J$451),0),
IF('TL12'!$B$3=Q$3,SUMIF('TL12'!$C$10:$C$224,$C371,'TL12'!$J$10:$J$224),0),
IF('TL12'!$B$229=Q$3,SUMIF('TL12'!$C$238:$C$451,$C371,'TL12'!$J$238:$J$451),0),
IF('TL13'!$B$3=Q$3,SUMIF('TL13'!$C$10:$C$224,$C371,'TL13'!$J$10:$J$224),0),
IF('TL13'!$B$229=Q$3,SUMIF('TL13'!$C$238:$C$451,$C371,'TL13'!$J$238:$J$451),0),
IF('TL14'!$B$3=Q$3,SUMIF('TL14'!$C$10:$C$224,$C371,'TL14'!$J$10:$J$224),0),
IF('TL14'!$B$229=Q$3,SUMIF('TL14'!$C$238:$C$451,$C371,'TL14'!$J$238:$J$451),0),
IF('TL15'!$B$3=Q$3,SUMIF('TL15'!$C$10:$C$224,$C371,'TL15'!$J$10:$J$224),0),
IF('TL15'!$B$229=Q$3,SUMIF('TL15'!$C$238:$C$451,$C371,'TL15'!$J$238:$J$451),0),
IF('TL16'!$B$3=Q$3,SUMIF('TL16'!$C$10:$C$224,$C371,'TL16'!$J$10:$J$224),0),
IF('TL16'!$B$229=Q$3,SUMIF('TL16'!$C$238:$C$451,$C371,'TL16'!$J$238:$J$451),0),
IF('TL17'!$B$3=Q$3,SUMIF('TL17'!$C$10:$C$224,$C371,'TL17'!$J$10:$J$224),0),
IF('TL17'!$B$229=Q$3,SUMIF('TL17'!$C$238:$C$451,$C371,'TL17'!$J$238:$J$451),0),
IF('TL18'!$B$3=Q$3,SUMIF('TL18'!$C$10:$C$224,$C371,'TL18'!$J$10:$J$224),0),
IF('TL18'!$B$229=Q$3,SUMIF('TL18'!$C$238:$C$451,$C371,'TL18'!$J$238:$J$451),0),
IF('TL19'!$B$3=Q$3,SUMIF('TL19'!$C$10:$C$224,$C371,'TL19'!$J$10:$J$224),0),
IF('TL19'!$B$229=Q$3,SUMIF('TL19'!$C$238:$C$451,$C371,'TL19'!$J$238:$J$451),0)
),0)</f>
        <v>0</v>
      </c>
      <c r="R371" s="9">
        <f>IFERROR(
SUM(
SUMIF('TL01'!C:C,C371,'TL01'!J:J),
SUMIF('TL02'!C:C,C371,'TL02'!J:J),
SUMIF('TL03'!C:C,C371,'TL03'!J:J),
SUMIF('TL04'!C:C,C371,'TL04'!J:J),
SUMIF('TL05'!C:C,C371,'TL05'!J:J),
SUMIF('TL06'!C:C,C371,'TL06'!J:J),
SUMIF('TL07'!C:C,C371,'TL07'!J:J),
SUMIF('TL08'!C:C,C371,'TL08'!J:J),
SUMIF('TL09'!C:C,C371,'TL09'!J:J),
SUMIF('TL10'!C:C,C371,'TL10'!J:J),
SUMIF('TL11'!C:C,C371,'TL11'!J:J),
SUMIF('TL12'!C:C,C371,'TL12'!J:J),
SUMIF('TL13'!C:C,C371,'TL13'!J:J),
SUMIF('TL14'!C:C,C371,'TL14'!J:J),
SUMIF('TL15'!C:C,C371,'TL15'!J:J),
SUMIF('TL16'!C:C,C371,'TL16'!J:J),
SUMIF('TL17'!C:C,C371,'TL17'!J:J),
SUMIF('TL18'!C:C,C371,'TL18'!J:J),SUMIF('TL19'!C:C,C371,'TL19'!J:J))
,0)</f>
        <v>0</v>
      </c>
      <c r="S371" s="17">
        <f>IFERROR(__xludf.DUMMYFUNCTION("IFERROR(VLOOKUP(C371,
IMPORTRANGE(""1wULbzX32WdYsx-lj2U3uUNBBe2INVIRDtcK0d-Dvl90"",
""26-27!C:G""),
5,
FALSE),
"""")"),30.16)</f>
        <v>30.16</v>
      </c>
      <c r="T371" s="9"/>
      <c r="U371" s="92">
        <f t="shared" si="2"/>
        <v>0</v>
      </c>
      <c r="V371" s="93">
        <f t="shared" si="3"/>
        <v>0</v>
      </c>
    </row>
    <row r="372" ht="15.75" hidden="1" customHeight="1">
      <c r="A372" s="4" t="s">
        <v>1071</v>
      </c>
      <c r="B372" s="4" t="s">
        <v>4</v>
      </c>
      <c r="C372" s="126" t="s">
        <v>1113</v>
      </c>
      <c r="D372" s="127" t="s">
        <v>1111</v>
      </c>
      <c r="E372" s="6"/>
      <c r="F372" s="4"/>
      <c r="G372" s="90" t="str">
        <f t="shared" si="5"/>
        <v>📄 Ver bula</v>
      </c>
      <c r="H372" s="9"/>
      <c r="I372" s="123"/>
      <c r="J372" s="9">
        <f>IFERROR(SUM(
IF('TL01'!$B$3=J$3,SUMIF('TL01'!$C$10:$C$224,$C372,'TL01'!$J$10:$J$224),0),
IF('TL01'!$B$229=J$3,SUMIF('TL01'!$C$238:$C$451,$C372,'TL01'!$J$238:$J$451),0),
IF('TL02'!$B$3=J$3,SUMIF('TL02'!$C$10:$C$224,$C372,'TL02'!$J$10:$J$224),0),
IF('TL02'!$B$229=J$3,SUMIF('TL02'!$C$238:$C$451,$C372,'TL02'!$J$238:$J$451),0),
IF('TL03'!$B$3=J$3,SUMIF('TL03'!$C$10:$C$224,$C372,'TL03'!$J$10:$J$224),0),
IF('TL03'!$B$229=J$3,SUMIF('TL03'!$C$238:$C$451,$C372,'TL03'!$J$238:$J$451),0),
IF('TL04'!$B$3=J$3,SUMIF('TL04'!$C$10:$C$224,$C372,'TL04'!$J$10:$J$224),0),
IF('TL04'!$B$229=J$3,SUMIF('TL04'!$C$238:$C$451,$C372,'TL04'!$J$238:$J$451),0),
IF('TL05'!$B$3=J$3,SUMIF('TL05'!$C$10:$C$224,$C372,'TL05'!$J$10:$J$224),0),
IF('TL05'!$B$229=J$3,SUMIF('TL05'!$C$238:$C$451,$C372,'TL05'!$J$238:$J$451),0),
IF('TL06'!$B$3=J$3,SUMIF('TL06'!$C$10:$C$224,$C372,'TL06'!$J$10:$J$224),0),
IF('TL06'!$B$229=J$3,SUMIF('TL06'!$C$238:$C$451,$C372,'TL06'!$J$238:$J$451),0),
IF('TL07'!$B$3=J$3,SUMIF('TL07'!$C$10:$C$224,$C372,'TL07'!$J$10:$J$224),0),
IF('TL07'!$B$229=J$3,SUMIF('TL07'!$C$238:$C$451,$C372,'TL07'!$J$238:$J$451),0),
IF('TL08'!$B$3=J$3,SUMIF('TL08'!$C$10:$C$224,$C372,'TL08'!$J$10:$J$224),0),
IF('TL08'!$B$229=J$3,SUMIF('TL08'!$C$238:$C$451,$C372,'TL08'!$J$238:$J$451),0),
IF('TL09'!$B$3=J$3,SUMIF('TL09'!$C$10:$C$224,$C372,'TL09'!$J$10:$J$224),0),
IF('TL09'!$B$229=J$3,SUMIF('TL09'!$C$238:$C$451,$C372,'TL09'!$J$238:$J$451),0),
IF('TL10'!$B$3=J$3,SUMIF('TL10'!$C$10:$C$224,$C372,'TL10'!$J$10:$J$224),0),
IF('TL10'!$B$229=J$3,SUMIF('TL10'!$C$238:$C$451,$C372,'TL10'!$J$238:$J$451),0),
IF('TL11'!$B$3=J$3,SUMIF('TL11'!$C$10:$C$224,$C372,'TL11'!$J$10:$J$224),0),
IF('TL11'!$B$229=J$3,SUMIF('TL11'!$C$238:$C$451,$C372,'TL11'!$J$238:$J$451),0),
IF('TL12'!$B$3=J$3,SUMIF('TL12'!$C$10:$C$224,$C372,'TL12'!$J$10:$J$224),0),
IF('TL12'!$B$229=J$3,SUMIF('TL12'!$C$238:$C$451,$C372,'TL12'!$J$238:$J$451),0),
IF('TL13'!$B$3=J$3,SUMIF('TL13'!$C$10:$C$224,$C372,'TL13'!$J$10:$J$224),0),
IF('TL13'!$B$229=J$3,SUMIF('TL13'!$C$238:$C$451,$C372,'TL13'!$J$238:$J$451),0),
IF('TL14'!$B$3=J$3,SUMIF('TL14'!$C$10:$C$224,$C372,'TL14'!$J$10:$J$224),0),
IF('TL14'!$B$229=J$3,SUMIF('TL14'!$C$238:$C$451,$C372,'TL14'!$J$238:$J$451),0),
IF('TL15'!$B$3=J$3,SUMIF('TL15'!$C$10:$C$224,$C372,'TL15'!$J$10:$J$224),0),
IF('TL15'!$B$229=J$3,SUMIF('TL15'!$C$238:$C$451,$C372,'TL15'!$J$238:$J$451),0),
IF('TL16'!$B$3=J$3,SUMIF('TL16'!$C$10:$C$224,$C372,'TL16'!$J$10:$J$224),0),
IF('TL16'!$B$229=J$3,SUMIF('TL16'!$C$238:$C$451,$C372,'TL16'!$J$238:$J$451),0),
IF('TL17'!$B$3=J$3,SUMIF('TL17'!$C$10:$C$224,$C372,'TL17'!$J$10:$J$224),0),
IF('TL17'!$B$229=J$3,SUMIF('TL17'!$C$238:$C$451,$C372,'TL17'!$J$238:$J$451),0),
IF('TL18'!$B$3=J$3,SUMIF('TL18'!$C$10:$C$224,$C372,'TL18'!$J$10:$J$224),0),
IF('TL18'!$B$229=J$3,SUMIF('TL18'!$C$238:$C$451,$C372,'TL18'!$J$238:$J$451),0),
IF('TL19'!$B$3=J$3,SUMIF('TL19'!$C$10:$C$224,$C372,'TL19'!$J$10:$J$224),0),
IF('TL19'!$B$229=J$3,SUMIF('TL19'!$C$238:$C$451,$C372,'TL19'!$J$238:$J$451),0)
),0)</f>
        <v>0</v>
      </c>
      <c r="K372" s="9">
        <f>IFERROR(SUM(
IF('TL01'!$B$3=K$3,SUMIF('TL01'!$C$10:$C$224,$C372,'TL01'!$J$10:$J$224),0),
IF('TL01'!$B$229=K$3,SUMIF('TL01'!$C$238:$C$451,$C372,'TL01'!$J$238:$J$451),0),
IF('TL02'!$B$3=K$3,SUMIF('TL02'!$C$10:$C$224,$C372,'TL02'!$J$10:$J$224),0),
IF('TL02'!$B$229=K$3,SUMIF('TL02'!$C$238:$C$451,$C372,'TL02'!$J$238:$J$451),0),
IF('TL03'!$B$3=K$3,SUMIF('TL03'!$C$10:$C$224,$C372,'TL03'!$J$10:$J$224),0),
IF('TL03'!$B$229=K$3,SUMIF('TL03'!$C$238:$C$451,$C372,'TL03'!$J$238:$J$451),0),
IF('TL04'!$B$3=K$3,SUMIF('TL04'!$C$10:$C$224,$C372,'TL04'!$J$10:$J$224),0),
IF('TL04'!$B$229=K$3,SUMIF('TL04'!$C$238:$C$451,$C372,'TL04'!$J$238:$J$451),0),
IF('TL05'!$B$3=K$3,SUMIF('TL05'!$C$10:$C$224,$C372,'TL05'!$J$10:$J$224),0),
IF('TL05'!$B$229=K$3,SUMIF('TL05'!$C$238:$C$451,$C372,'TL05'!$J$238:$J$451),0),
IF('TL06'!$B$3=K$3,SUMIF('TL06'!$C$10:$C$224,$C372,'TL06'!$J$10:$J$224),0),
IF('TL06'!$B$229=K$3,SUMIF('TL06'!$C$238:$C$451,$C372,'TL06'!$J$238:$J$451),0),
IF('TL07'!$B$3=K$3,SUMIF('TL07'!$C$10:$C$224,$C372,'TL07'!$J$10:$J$224),0),
IF('TL07'!$B$229=K$3,SUMIF('TL07'!$C$238:$C$451,$C372,'TL07'!$J$238:$J$451),0),
IF('TL08'!$B$3=K$3,SUMIF('TL08'!$C$10:$C$224,$C372,'TL08'!$J$10:$J$224),0),
IF('TL08'!$B$229=K$3,SUMIF('TL08'!$C$238:$C$451,$C372,'TL08'!$J$238:$J$451),0),
IF('TL09'!$B$3=K$3,SUMIF('TL09'!$C$10:$C$224,$C372,'TL09'!$J$10:$J$224),0),
IF('TL09'!$B$229=K$3,SUMIF('TL09'!$C$238:$C$451,$C372,'TL09'!$J$238:$J$451),0),
IF('TL10'!$B$3=K$3,SUMIF('TL10'!$C$10:$C$224,$C372,'TL10'!$J$10:$J$224),0),
IF('TL10'!$B$229=K$3,SUMIF('TL10'!$C$238:$C$451,$C372,'TL10'!$J$238:$J$451),0),
IF('TL11'!$B$3=K$3,SUMIF('TL11'!$C$10:$C$224,$C372,'TL11'!$J$10:$J$224),0),
IF('TL11'!$B$229=K$3,SUMIF('TL11'!$C$238:$C$451,$C372,'TL11'!$J$238:$J$451),0),
IF('TL12'!$B$3=K$3,SUMIF('TL12'!$C$10:$C$224,$C372,'TL12'!$J$10:$J$224),0),
IF('TL12'!$B$229=K$3,SUMIF('TL12'!$C$238:$C$451,$C372,'TL12'!$J$238:$J$451),0),
IF('TL13'!$B$3=K$3,SUMIF('TL13'!$C$10:$C$224,$C372,'TL13'!$J$10:$J$224),0),
IF('TL13'!$B$229=K$3,SUMIF('TL13'!$C$238:$C$451,$C372,'TL13'!$J$238:$J$451),0),
IF('TL14'!$B$3=K$3,SUMIF('TL14'!$C$10:$C$224,$C372,'TL14'!$J$10:$J$224),0),
IF('TL14'!$B$229=K$3,SUMIF('TL14'!$C$238:$C$451,$C372,'TL14'!$J$238:$J$451),0),
IF('TL15'!$B$3=K$3,SUMIF('TL15'!$C$10:$C$224,$C372,'TL15'!$J$10:$J$224),0),
IF('TL15'!$B$229=K$3,SUMIF('TL15'!$C$238:$C$451,$C372,'TL15'!$J$238:$J$451),0),
IF('TL16'!$B$3=K$3,SUMIF('TL16'!$C$10:$C$224,$C372,'TL16'!$J$10:$J$224),0),
IF('TL16'!$B$229=K$3,SUMIF('TL16'!$C$238:$C$451,$C372,'TL16'!$J$238:$J$451),0),
IF('TL17'!$B$3=K$3,SUMIF('TL17'!$C$10:$C$224,$C372,'TL17'!$J$10:$J$224),0),
IF('TL17'!$B$229=K$3,SUMIF('TL17'!$C$238:$C$451,$C372,'TL17'!$J$238:$J$451),0),
IF('TL18'!$B$3=K$3,SUMIF('TL18'!$C$10:$C$224,$C372,'TL18'!$J$10:$J$224),0),
IF('TL18'!$B$229=K$3,SUMIF('TL18'!$C$238:$C$451,$C372,'TL18'!$J$238:$J$451),0),
IF('TL19'!$B$3=K$3,SUMIF('TL19'!$C$10:$C$224,$C372,'TL19'!$J$10:$J$224),0),
IF('TL19'!$B$229=K$3,SUMIF('TL19'!$C$238:$C$451,$C372,'TL19'!$J$238:$J$451),0)
),0)</f>
        <v>0</v>
      </c>
      <c r="L372" s="9">
        <f>IFERROR(SUM(
IF('TL01'!$B$3=L$3,SUMIF('TL01'!$C$10:$C$224,$C372,'TL01'!$J$10:$J$224),0),
IF('TL01'!$B$229=L$3,SUMIF('TL01'!$C$238:$C$451,$C372,'TL01'!$J$238:$J$451),0),
IF('TL02'!$B$3=L$3,SUMIF('TL02'!$C$10:$C$224,$C372,'TL02'!$J$10:$J$224),0),
IF('TL02'!$B$229=L$3,SUMIF('TL02'!$C$238:$C$451,$C372,'TL02'!$J$238:$J$451),0),
IF('TL03'!$B$3=L$3,SUMIF('TL03'!$C$10:$C$224,$C372,'TL03'!$J$10:$J$224),0),
IF('TL03'!$B$229=L$3,SUMIF('TL03'!$C$238:$C$451,$C372,'TL03'!$J$238:$J$451),0),
IF('TL04'!$B$3=L$3,SUMIF('TL04'!$C$10:$C$224,$C372,'TL04'!$J$10:$J$224),0),
IF('TL04'!$B$229=L$3,SUMIF('TL04'!$C$238:$C$451,$C372,'TL04'!$J$238:$J$451),0),
IF('TL05'!$B$3=L$3,SUMIF('TL05'!$C$10:$C$224,$C372,'TL05'!$J$10:$J$224),0),
IF('TL05'!$B$229=L$3,SUMIF('TL05'!$C$238:$C$451,$C372,'TL05'!$J$238:$J$451),0),
IF('TL06'!$B$3=L$3,SUMIF('TL06'!$C$10:$C$224,$C372,'TL06'!$J$10:$J$224),0),
IF('TL06'!$B$229=L$3,SUMIF('TL06'!$C$238:$C$451,$C372,'TL06'!$J$238:$J$451),0),
IF('TL07'!$B$3=L$3,SUMIF('TL07'!$C$10:$C$224,$C372,'TL07'!$J$10:$J$224),0),
IF('TL07'!$B$229=L$3,SUMIF('TL07'!$C$238:$C$451,$C372,'TL07'!$J$238:$J$451),0),
IF('TL08'!$B$3=L$3,SUMIF('TL08'!$C$10:$C$224,$C372,'TL08'!$J$10:$J$224),0),
IF('TL08'!$B$229=L$3,SUMIF('TL08'!$C$238:$C$451,$C372,'TL08'!$J$238:$J$451),0),
IF('TL09'!$B$3=L$3,SUMIF('TL09'!$C$10:$C$224,$C372,'TL09'!$J$10:$J$224),0),
IF('TL09'!$B$229=L$3,SUMIF('TL09'!$C$238:$C$451,$C372,'TL09'!$J$238:$J$451),0),
IF('TL10'!$B$3=L$3,SUMIF('TL10'!$C$10:$C$224,$C372,'TL10'!$J$10:$J$224),0),
IF('TL10'!$B$229=L$3,SUMIF('TL10'!$C$238:$C$451,$C372,'TL10'!$J$238:$J$451),0),
IF('TL11'!$B$3=L$3,SUMIF('TL11'!$C$10:$C$224,$C372,'TL11'!$J$10:$J$224),0),
IF('TL11'!$B$229=L$3,SUMIF('TL11'!$C$238:$C$451,$C372,'TL11'!$J$238:$J$451),0),
IF('TL12'!$B$3=L$3,SUMIF('TL12'!$C$10:$C$224,$C372,'TL12'!$J$10:$J$224),0),
IF('TL12'!$B$229=L$3,SUMIF('TL12'!$C$238:$C$451,$C372,'TL12'!$J$238:$J$451),0),
IF('TL13'!$B$3=L$3,SUMIF('TL13'!$C$10:$C$224,$C372,'TL13'!$J$10:$J$224),0),
IF('TL13'!$B$229=L$3,SUMIF('TL13'!$C$238:$C$451,$C372,'TL13'!$J$238:$J$451),0),
IF('TL14'!$B$3=L$3,SUMIF('TL14'!$C$10:$C$224,$C372,'TL14'!$J$10:$J$224),0),
IF('TL14'!$B$229=L$3,SUMIF('TL14'!$C$238:$C$451,$C372,'TL14'!$J$238:$J$451),0),
IF('TL15'!$B$3=L$3,SUMIF('TL15'!$C$10:$C$224,$C372,'TL15'!$J$10:$J$224),0),
IF('TL15'!$B$229=L$3,SUMIF('TL15'!$C$238:$C$451,$C372,'TL15'!$J$238:$J$451),0),
IF('TL16'!$B$3=L$3,SUMIF('TL16'!$C$10:$C$224,$C372,'TL16'!$J$10:$J$224),0),
IF('TL16'!$B$229=L$3,SUMIF('TL16'!$C$238:$C$451,$C372,'TL16'!$J$238:$J$451),0),
IF('TL17'!$B$3=L$3,SUMIF('TL17'!$C$10:$C$224,$C372,'TL17'!$J$10:$J$224),0),
IF('TL17'!$B$229=L$3,SUMIF('TL17'!$C$238:$C$451,$C372,'TL17'!$J$238:$J$451),0),
IF('TL18'!$B$3=L$3,SUMIF('TL18'!$C$10:$C$224,$C372,'TL18'!$J$10:$J$224),0),
IF('TL18'!$B$229=L$3,SUMIF('TL18'!$C$238:$C$451,$C372,'TL18'!$J$238:$J$451),0),
IF('TL19'!$B$3=L$3,SUMIF('TL19'!$C$10:$C$224,$C372,'TL19'!$J$10:$J$224),0),
IF('TL19'!$B$229=L$3,SUMIF('TL19'!$C$238:$C$451,$C372,'TL19'!$J$238:$J$451),0)
),0)</f>
        <v>0</v>
      </c>
      <c r="M372" s="9">
        <f>IFERROR(SUM(
IF('TL01'!$B$3=M$3,SUMIF('TL01'!$C$10:$C$224,$C372,'TL01'!$J$10:$J$224),0),
IF('TL01'!$B$229=M$3,SUMIF('TL01'!$C$238:$C$451,$C372,'TL01'!$J$238:$J$451),0),
IF('TL02'!$B$3=M$3,SUMIF('TL02'!$C$10:$C$224,$C372,'TL02'!$J$10:$J$224),0),
IF('TL02'!$B$229=M$3,SUMIF('TL02'!$C$238:$C$451,$C372,'TL02'!$J$238:$J$451),0),
IF('TL03'!$B$3=M$3,SUMIF('TL03'!$C$10:$C$224,$C372,'TL03'!$J$10:$J$224),0),
IF('TL03'!$B$229=M$3,SUMIF('TL03'!$C$238:$C$451,$C372,'TL03'!$J$238:$J$451),0),
IF('TL04'!$B$3=M$3,SUMIF('TL04'!$C$10:$C$224,$C372,'TL04'!$J$10:$J$224),0),
IF('TL04'!$B$229=M$3,SUMIF('TL04'!$C$238:$C$451,$C372,'TL04'!$J$238:$J$451),0),
IF('TL05'!$B$3=M$3,SUMIF('TL05'!$C$10:$C$224,$C372,'TL05'!$J$10:$J$224),0),
IF('TL05'!$B$229=M$3,SUMIF('TL05'!$C$238:$C$451,$C372,'TL05'!$J$238:$J$451),0),
IF('TL06'!$B$3=M$3,SUMIF('TL06'!$C$10:$C$224,$C372,'TL06'!$J$10:$J$224),0),
IF('TL06'!$B$229=M$3,SUMIF('TL06'!$C$238:$C$451,$C372,'TL06'!$J$238:$J$451),0),
IF('TL07'!$B$3=M$3,SUMIF('TL07'!$C$10:$C$224,$C372,'TL07'!$J$10:$J$224),0),
IF('TL07'!$B$229=M$3,SUMIF('TL07'!$C$238:$C$451,$C372,'TL07'!$J$238:$J$451),0),
IF('TL08'!$B$3=M$3,SUMIF('TL08'!$C$10:$C$224,$C372,'TL08'!$J$10:$J$224),0),
IF('TL08'!$B$229=M$3,SUMIF('TL08'!$C$238:$C$451,$C372,'TL08'!$J$238:$J$451),0),
IF('TL09'!$B$3=M$3,SUMIF('TL09'!$C$10:$C$224,$C372,'TL09'!$J$10:$J$224),0),
IF('TL09'!$B$229=M$3,SUMIF('TL09'!$C$238:$C$451,$C372,'TL09'!$J$238:$J$451),0),
IF('TL10'!$B$3=M$3,SUMIF('TL10'!$C$10:$C$224,$C372,'TL10'!$J$10:$J$224),0),
IF('TL10'!$B$229=M$3,SUMIF('TL10'!$C$238:$C$451,$C372,'TL10'!$J$238:$J$451),0),
IF('TL11'!$B$3=M$3,SUMIF('TL11'!$C$10:$C$224,$C372,'TL11'!$J$10:$J$224),0),
IF('TL11'!$B$229=M$3,SUMIF('TL11'!$C$238:$C$451,$C372,'TL11'!$J$238:$J$451),0),
IF('TL12'!$B$3=M$3,SUMIF('TL12'!$C$10:$C$224,$C372,'TL12'!$J$10:$J$224),0),
IF('TL12'!$B$229=M$3,SUMIF('TL12'!$C$238:$C$451,$C372,'TL12'!$J$238:$J$451),0),
IF('TL13'!$B$3=M$3,SUMIF('TL13'!$C$10:$C$224,$C372,'TL13'!$J$10:$J$224),0),
IF('TL13'!$B$229=M$3,SUMIF('TL13'!$C$238:$C$451,$C372,'TL13'!$J$238:$J$451),0),
IF('TL14'!$B$3=M$3,SUMIF('TL14'!$C$10:$C$224,$C372,'TL14'!$J$10:$J$224),0),
IF('TL14'!$B$229=M$3,SUMIF('TL14'!$C$238:$C$451,$C372,'TL14'!$J$238:$J$451),0),
IF('TL15'!$B$3=M$3,SUMIF('TL15'!$C$10:$C$224,$C372,'TL15'!$J$10:$J$224),0),
IF('TL15'!$B$229=M$3,SUMIF('TL15'!$C$238:$C$451,$C372,'TL15'!$J$238:$J$451),0),
IF('TL16'!$B$3=M$3,SUMIF('TL16'!$C$10:$C$224,$C372,'TL16'!$J$10:$J$224),0),
IF('TL16'!$B$229=M$3,SUMIF('TL16'!$C$238:$C$451,$C372,'TL16'!$J$238:$J$451),0),
IF('TL17'!$B$3=M$3,SUMIF('TL17'!$C$10:$C$224,$C372,'TL17'!$J$10:$J$224),0),
IF('TL17'!$B$229=M$3,SUMIF('TL17'!$C$238:$C$451,$C372,'TL17'!$J$238:$J$451),0),
IF('TL18'!$B$3=M$3,SUMIF('TL18'!$C$10:$C$224,$C372,'TL18'!$J$10:$J$224),0),
IF('TL18'!$B$229=M$3,SUMIF('TL18'!$C$238:$C$451,$C372,'TL18'!$J$238:$J$451),0),
IF('TL19'!$B$3=M$3,SUMIF('TL19'!$C$10:$C$224,$C372,'TL19'!$J$10:$J$224),0),
IF('TL19'!$B$229=M$3,SUMIF('TL19'!$C$238:$C$451,$C372,'TL19'!$J$238:$J$451),0)
),0)</f>
        <v>0</v>
      </c>
      <c r="N372" s="9">
        <f>IFERROR(SUM(
IF('TL01'!$B$3=N$3,SUMIF('TL01'!$C$10:$C$224,$C372,'TL01'!$J$10:$J$224),0),
IF('TL01'!$B$229=N$3,SUMIF('TL01'!$C$238:$C$451,$C372,'TL01'!$J$238:$J$451),0),
IF('TL02'!$B$3=N$3,SUMIF('TL02'!$C$10:$C$224,$C372,'TL02'!$J$10:$J$224),0),
IF('TL02'!$B$229=N$3,SUMIF('TL02'!$C$238:$C$451,$C372,'TL02'!$J$238:$J$451),0),
IF('TL03'!$B$3=N$3,SUMIF('TL03'!$C$10:$C$224,$C372,'TL03'!$J$10:$J$224),0),
IF('TL03'!$B$229=N$3,SUMIF('TL03'!$C$238:$C$451,$C372,'TL03'!$J$238:$J$451),0),
IF('TL04'!$B$3=N$3,SUMIF('TL04'!$C$10:$C$224,$C372,'TL04'!$J$10:$J$224),0),
IF('TL04'!$B$229=N$3,SUMIF('TL04'!$C$238:$C$451,$C372,'TL04'!$J$238:$J$451),0),
IF('TL05'!$B$3=N$3,SUMIF('TL05'!$C$10:$C$224,$C372,'TL05'!$J$10:$J$224),0),
IF('TL05'!$B$229=N$3,SUMIF('TL05'!$C$238:$C$451,$C372,'TL05'!$J$238:$J$451),0),
IF('TL06'!$B$3=N$3,SUMIF('TL06'!$C$10:$C$224,$C372,'TL06'!$J$10:$J$224),0),
IF('TL06'!$B$229=N$3,SUMIF('TL06'!$C$238:$C$451,$C372,'TL06'!$J$238:$J$451),0),
IF('TL07'!$B$3=N$3,SUMIF('TL07'!$C$10:$C$224,$C372,'TL07'!$J$10:$J$224),0),
IF('TL07'!$B$229=N$3,SUMIF('TL07'!$C$238:$C$451,$C372,'TL07'!$J$238:$J$451),0),
IF('TL08'!$B$3=N$3,SUMIF('TL08'!$C$10:$C$224,$C372,'TL08'!$J$10:$J$224),0),
IF('TL08'!$B$229=N$3,SUMIF('TL08'!$C$238:$C$451,$C372,'TL08'!$J$238:$J$451),0),
IF('TL09'!$B$3=N$3,SUMIF('TL09'!$C$10:$C$224,$C372,'TL09'!$J$10:$J$224),0),
IF('TL09'!$B$229=N$3,SUMIF('TL09'!$C$238:$C$451,$C372,'TL09'!$J$238:$J$451),0),
IF('TL10'!$B$3=N$3,SUMIF('TL10'!$C$10:$C$224,$C372,'TL10'!$J$10:$J$224),0),
IF('TL10'!$B$229=N$3,SUMIF('TL10'!$C$238:$C$451,$C372,'TL10'!$J$238:$J$451),0),
IF('TL11'!$B$3=N$3,SUMIF('TL11'!$C$10:$C$224,$C372,'TL11'!$J$10:$J$224),0),
IF('TL11'!$B$229=N$3,SUMIF('TL11'!$C$238:$C$451,$C372,'TL11'!$J$238:$J$451),0),
IF('TL12'!$B$3=N$3,SUMIF('TL12'!$C$10:$C$224,$C372,'TL12'!$J$10:$J$224),0),
IF('TL12'!$B$229=N$3,SUMIF('TL12'!$C$238:$C$451,$C372,'TL12'!$J$238:$J$451),0),
IF('TL13'!$B$3=N$3,SUMIF('TL13'!$C$10:$C$224,$C372,'TL13'!$J$10:$J$224),0),
IF('TL13'!$B$229=N$3,SUMIF('TL13'!$C$238:$C$451,$C372,'TL13'!$J$238:$J$451),0),
IF('TL14'!$B$3=N$3,SUMIF('TL14'!$C$10:$C$224,$C372,'TL14'!$J$10:$J$224),0),
IF('TL14'!$B$229=N$3,SUMIF('TL14'!$C$238:$C$451,$C372,'TL14'!$J$238:$J$451),0),
IF('TL15'!$B$3=N$3,SUMIF('TL15'!$C$10:$C$224,$C372,'TL15'!$J$10:$J$224),0),
IF('TL15'!$B$229=N$3,SUMIF('TL15'!$C$238:$C$451,$C372,'TL15'!$J$238:$J$451),0),
IF('TL16'!$B$3=N$3,SUMIF('TL16'!$C$10:$C$224,$C372,'TL16'!$J$10:$J$224),0),
IF('TL16'!$B$229=N$3,SUMIF('TL16'!$C$238:$C$451,$C372,'TL16'!$J$238:$J$451),0),
IF('TL17'!$B$3=N$3,SUMIF('TL17'!$C$10:$C$224,$C372,'TL17'!$J$10:$J$224),0),
IF('TL17'!$B$229=N$3,SUMIF('TL17'!$C$238:$C$451,$C372,'TL17'!$J$238:$J$451),0),
IF('TL18'!$B$3=N$3,SUMIF('TL18'!$C$10:$C$224,$C372,'TL18'!$J$10:$J$224),0),
IF('TL18'!$B$229=N$3,SUMIF('TL18'!$C$238:$C$451,$C372,'TL18'!$J$238:$J$451),0),
IF('TL19'!$B$3=N$3,SUMIF('TL19'!$C$10:$C$224,$C372,'TL19'!$J$10:$J$224),0),
IF('TL19'!$B$229=N$3,SUMIF('TL19'!$C$238:$C$451,$C372,'TL19'!$J$238:$J$451),0)
),0)</f>
        <v>0</v>
      </c>
      <c r="O372" s="9">
        <f>IFERROR(SUM(
IF('TL01'!$B$3=O$3,SUMIF('TL01'!$C$10:$C$224,$C372,'TL01'!$J$10:$J$224),0),
IF('TL01'!$B$229=O$3,SUMIF('TL01'!$C$238:$C$451,$C372,'TL01'!$J$238:$J$451),0),
IF('TL02'!$B$3=O$3,SUMIF('TL02'!$C$10:$C$224,$C372,'TL02'!$J$10:$J$224),0),
IF('TL02'!$B$229=O$3,SUMIF('TL02'!$C$238:$C$451,$C372,'TL02'!$J$238:$J$451),0),
IF('TL03'!$B$3=O$3,SUMIF('TL03'!$C$10:$C$224,$C372,'TL03'!$J$10:$J$224),0),
IF('TL03'!$B$229=O$3,SUMIF('TL03'!$C$238:$C$451,$C372,'TL03'!$J$238:$J$451),0),
IF('TL04'!$B$3=O$3,SUMIF('TL04'!$C$10:$C$224,$C372,'TL04'!$J$10:$J$224),0),
IF('TL04'!$B$229=O$3,SUMIF('TL04'!$C$238:$C$451,$C372,'TL04'!$J$238:$J$451),0),
IF('TL05'!$B$3=O$3,SUMIF('TL05'!$C$10:$C$224,$C372,'TL05'!$J$10:$J$224),0),
IF('TL05'!$B$229=O$3,SUMIF('TL05'!$C$238:$C$451,$C372,'TL05'!$J$238:$J$451),0),
IF('TL06'!$B$3=O$3,SUMIF('TL06'!$C$10:$C$224,$C372,'TL06'!$J$10:$J$224),0),
IF('TL06'!$B$229=O$3,SUMIF('TL06'!$C$238:$C$451,$C372,'TL06'!$J$238:$J$451),0),
IF('TL07'!$B$3=O$3,SUMIF('TL07'!$C$10:$C$224,$C372,'TL07'!$J$10:$J$224),0),
IF('TL07'!$B$229=O$3,SUMIF('TL07'!$C$238:$C$451,$C372,'TL07'!$J$238:$J$451),0),
IF('TL08'!$B$3=O$3,SUMIF('TL08'!$C$10:$C$224,$C372,'TL08'!$J$10:$J$224),0),
IF('TL08'!$B$229=O$3,SUMIF('TL08'!$C$238:$C$451,$C372,'TL08'!$J$238:$J$451),0),
IF('TL09'!$B$3=O$3,SUMIF('TL09'!$C$10:$C$224,$C372,'TL09'!$J$10:$J$224),0),
IF('TL09'!$B$229=O$3,SUMIF('TL09'!$C$238:$C$451,$C372,'TL09'!$J$238:$J$451),0),
IF('TL10'!$B$3=O$3,SUMIF('TL10'!$C$10:$C$224,$C372,'TL10'!$J$10:$J$224),0),
IF('TL10'!$B$229=O$3,SUMIF('TL10'!$C$238:$C$451,$C372,'TL10'!$J$238:$J$451),0),
IF('TL11'!$B$3=O$3,SUMIF('TL11'!$C$10:$C$224,$C372,'TL11'!$J$10:$J$224),0),
IF('TL11'!$B$229=O$3,SUMIF('TL11'!$C$238:$C$451,$C372,'TL11'!$J$238:$J$451),0),
IF('TL12'!$B$3=O$3,SUMIF('TL12'!$C$10:$C$224,$C372,'TL12'!$J$10:$J$224),0),
IF('TL12'!$B$229=O$3,SUMIF('TL12'!$C$238:$C$451,$C372,'TL12'!$J$238:$J$451),0),
IF('TL13'!$B$3=O$3,SUMIF('TL13'!$C$10:$C$224,$C372,'TL13'!$J$10:$J$224),0),
IF('TL13'!$B$229=O$3,SUMIF('TL13'!$C$238:$C$451,$C372,'TL13'!$J$238:$J$451),0),
IF('TL14'!$B$3=O$3,SUMIF('TL14'!$C$10:$C$224,$C372,'TL14'!$J$10:$J$224),0),
IF('TL14'!$B$229=O$3,SUMIF('TL14'!$C$238:$C$451,$C372,'TL14'!$J$238:$J$451),0),
IF('TL15'!$B$3=O$3,SUMIF('TL15'!$C$10:$C$224,$C372,'TL15'!$J$10:$J$224),0),
IF('TL15'!$B$229=O$3,SUMIF('TL15'!$C$238:$C$451,$C372,'TL15'!$J$238:$J$451),0),
IF('TL16'!$B$3=O$3,SUMIF('TL16'!$C$10:$C$224,$C372,'TL16'!$J$10:$J$224),0),
IF('TL16'!$B$229=O$3,SUMIF('TL16'!$C$238:$C$451,$C372,'TL16'!$J$238:$J$451),0),
IF('TL17'!$B$3=O$3,SUMIF('TL17'!$C$10:$C$224,$C372,'TL17'!$J$10:$J$224),0),
IF('TL17'!$B$229=O$3,SUMIF('TL17'!$C$238:$C$451,$C372,'TL17'!$J$238:$J$451),0),
IF('TL18'!$B$3=O$3,SUMIF('TL18'!$C$10:$C$224,$C372,'TL18'!$J$10:$J$224),0),
IF('TL18'!$B$229=O$3,SUMIF('TL18'!$C$238:$C$451,$C372,'TL18'!$J$238:$J$451),0),
IF('TL19'!$B$3=O$3,SUMIF('TL19'!$C$10:$C$224,$C372,'TL19'!$J$10:$J$224),0),
IF('TL19'!$B$229=O$3,SUMIF('TL19'!$C$238:$C$451,$C372,'TL19'!$J$238:$J$451),0)
),0)</f>
        <v>0</v>
      </c>
      <c r="P372" s="9">
        <f>IFERROR(SUM(
IF('TL01'!$B$3=P$3,SUMIF('TL01'!$C$10:$C$224,$C372,'TL01'!$J$10:$J$224),0),
IF('TL01'!$B$229=P$3,SUMIF('TL01'!$C$238:$C$451,$C372,'TL01'!$J$238:$J$451),0),
IF('TL02'!$B$3=P$3,SUMIF('TL02'!$C$10:$C$224,$C372,'TL02'!$J$10:$J$224),0),
IF('TL02'!$B$229=P$3,SUMIF('TL02'!$C$238:$C$451,$C372,'TL02'!$J$238:$J$451),0),
IF('TL03'!$B$3=P$3,SUMIF('TL03'!$C$10:$C$224,$C372,'TL03'!$J$10:$J$224),0),
IF('TL03'!$B$229=P$3,SUMIF('TL03'!$C$238:$C$451,$C372,'TL03'!$J$238:$J$451),0),
IF('TL04'!$B$3=P$3,SUMIF('TL04'!$C$10:$C$224,$C372,'TL04'!$J$10:$J$224),0),
IF('TL04'!$B$229=P$3,SUMIF('TL04'!$C$238:$C$451,$C372,'TL04'!$J$238:$J$451),0),
IF('TL05'!$B$3=P$3,SUMIF('TL05'!$C$10:$C$224,$C372,'TL05'!$J$10:$J$224),0),
IF('TL05'!$B$229=P$3,SUMIF('TL05'!$C$238:$C$451,$C372,'TL05'!$J$238:$J$451),0),
IF('TL06'!$B$3=P$3,SUMIF('TL06'!$C$10:$C$224,$C372,'TL06'!$J$10:$J$224),0),
IF('TL06'!$B$229=P$3,SUMIF('TL06'!$C$238:$C$451,$C372,'TL06'!$J$238:$J$451),0),
IF('TL07'!$B$3=P$3,SUMIF('TL07'!$C$10:$C$224,$C372,'TL07'!$J$10:$J$224),0),
IF('TL07'!$B$229=P$3,SUMIF('TL07'!$C$238:$C$451,$C372,'TL07'!$J$238:$J$451),0),
IF('TL08'!$B$3=P$3,SUMIF('TL08'!$C$10:$C$224,$C372,'TL08'!$J$10:$J$224),0),
IF('TL08'!$B$229=P$3,SUMIF('TL08'!$C$238:$C$451,$C372,'TL08'!$J$238:$J$451),0),
IF('TL09'!$B$3=P$3,SUMIF('TL09'!$C$10:$C$224,$C372,'TL09'!$J$10:$J$224),0),
IF('TL09'!$B$229=P$3,SUMIF('TL09'!$C$238:$C$451,$C372,'TL09'!$J$238:$J$451),0),
IF('TL10'!$B$3=P$3,SUMIF('TL10'!$C$10:$C$224,$C372,'TL10'!$J$10:$J$224),0),
IF('TL10'!$B$229=P$3,SUMIF('TL10'!$C$238:$C$451,$C372,'TL10'!$J$238:$J$451),0),
IF('TL11'!$B$3=P$3,SUMIF('TL11'!$C$10:$C$224,$C372,'TL11'!$J$10:$J$224),0),
IF('TL11'!$B$229=P$3,SUMIF('TL11'!$C$238:$C$451,$C372,'TL11'!$J$238:$J$451),0),
IF('TL12'!$B$3=P$3,SUMIF('TL12'!$C$10:$C$224,$C372,'TL12'!$J$10:$J$224),0),
IF('TL12'!$B$229=P$3,SUMIF('TL12'!$C$238:$C$451,$C372,'TL12'!$J$238:$J$451),0),
IF('TL13'!$B$3=P$3,SUMIF('TL13'!$C$10:$C$224,$C372,'TL13'!$J$10:$J$224),0),
IF('TL13'!$B$229=P$3,SUMIF('TL13'!$C$238:$C$451,$C372,'TL13'!$J$238:$J$451),0),
IF('TL14'!$B$3=P$3,SUMIF('TL14'!$C$10:$C$224,$C372,'TL14'!$J$10:$J$224),0),
IF('TL14'!$B$229=P$3,SUMIF('TL14'!$C$238:$C$451,$C372,'TL14'!$J$238:$J$451),0),
IF('TL15'!$B$3=P$3,SUMIF('TL15'!$C$10:$C$224,$C372,'TL15'!$J$10:$J$224),0),
IF('TL15'!$B$229=P$3,SUMIF('TL15'!$C$238:$C$451,$C372,'TL15'!$J$238:$J$451),0),
IF('TL16'!$B$3=P$3,SUMIF('TL16'!$C$10:$C$224,$C372,'TL16'!$J$10:$J$224),0),
IF('TL16'!$B$229=P$3,SUMIF('TL16'!$C$238:$C$451,$C372,'TL16'!$J$238:$J$451),0),
IF('TL17'!$B$3=P$3,SUMIF('TL17'!$C$10:$C$224,$C372,'TL17'!$J$10:$J$224),0),
IF('TL17'!$B$229=P$3,SUMIF('TL17'!$C$238:$C$451,$C372,'TL17'!$J$238:$J$451),0),
IF('TL18'!$B$3=P$3,SUMIF('TL18'!$C$10:$C$224,$C372,'TL18'!$J$10:$J$224),0),
IF('TL18'!$B$229=P$3,SUMIF('TL18'!$C$238:$C$451,$C372,'TL18'!$J$238:$J$451),0),
IF('TL19'!$B$3=P$3,SUMIF('TL19'!$C$10:$C$224,$C372,'TL19'!$J$10:$J$224),0),
IF('TL19'!$B$229=P$3,SUMIF('TL19'!$C$238:$C$451,$C372,'TL19'!$J$238:$J$451),0)
),0)</f>
        <v>0</v>
      </c>
      <c r="Q372" s="9">
        <f>IFERROR(SUM(
IF('TL01'!$B$3=Q$3,SUMIF('TL01'!$C$10:$C$224,$C372,'TL01'!$J$10:$J$224),0),
IF('TL01'!$B$229=Q$3,SUMIF('TL01'!$C$238:$C$451,$C372,'TL01'!$J$238:$J$451),0),
IF('TL02'!$B$3=Q$3,SUMIF('TL02'!$C$10:$C$224,$C372,'TL02'!$J$10:$J$224),0),
IF('TL02'!$B$229=Q$3,SUMIF('TL02'!$C$238:$C$451,$C372,'TL02'!$J$238:$J$451),0),
IF('TL03'!$B$3=Q$3,SUMIF('TL03'!$C$10:$C$224,$C372,'TL03'!$J$10:$J$224),0),
IF('TL03'!$B$229=Q$3,SUMIF('TL03'!$C$238:$C$451,$C372,'TL03'!$J$238:$J$451),0),
IF('TL04'!$B$3=Q$3,SUMIF('TL04'!$C$10:$C$224,$C372,'TL04'!$J$10:$J$224),0),
IF('TL04'!$B$229=Q$3,SUMIF('TL04'!$C$238:$C$451,$C372,'TL04'!$J$238:$J$451),0),
IF('TL05'!$B$3=Q$3,SUMIF('TL05'!$C$10:$C$224,$C372,'TL05'!$J$10:$J$224),0),
IF('TL05'!$B$229=Q$3,SUMIF('TL05'!$C$238:$C$451,$C372,'TL05'!$J$238:$J$451),0),
IF('TL06'!$B$3=Q$3,SUMIF('TL06'!$C$10:$C$224,$C372,'TL06'!$J$10:$J$224),0),
IF('TL06'!$B$229=Q$3,SUMIF('TL06'!$C$238:$C$451,$C372,'TL06'!$J$238:$J$451),0),
IF('TL07'!$B$3=Q$3,SUMIF('TL07'!$C$10:$C$224,$C372,'TL07'!$J$10:$J$224),0),
IF('TL07'!$B$229=Q$3,SUMIF('TL07'!$C$238:$C$451,$C372,'TL07'!$J$238:$J$451),0),
IF('TL08'!$B$3=Q$3,SUMIF('TL08'!$C$10:$C$224,$C372,'TL08'!$J$10:$J$224),0),
IF('TL08'!$B$229=Q$3,SUMIF('TL08'!$C$238:$C$451,$C372,'TL08'!$J$238:$J$451),0),
IF('TL09'!$B$3=Q$3,SUMIF('TL09'!$C$10:$C$224,$C372,'TL09'!$J$10:$J$224),0),
IF('TL09'!$B$229=Q$3,SUMIF('TL09'!$C$238:$C$451,$C372,'TL09'!$J$238:$J$451),0),
IF('TL10'!$B$3=Q$3,SUMIF('TL10'!$C$10:$C$224,$C372,'TL10'!$J$10:$J$224),0),
IF('TL10'!$B$229=Q$3,SUMIF('TL10'!$C$238:$C$451,$C372,'TL10'!$J$238:$J$451),0),
IF('TL11'!$B$3=Q$3,SUMIF('TL11'!$C$10:$C$224,$C372,'TL11'!$J$10:$J$224),0),
IF('TL11'!$B$229=Q$3,SUMIF('TL11'!$C$238:$C$451,$C372,'TL11'!$J$238:$J$451),0),
IF('TL12'!$B$3=Q$3,SUMIF('TL12'!$C$10:$C$224,$C372,'TL12'!$J$10:$J$224),0),
IF('TL12'!$B$229=Q$3,SUMIF('TL12'!$C$238:$C$451,$C372,'TL12'!$J$238:$J$451),0),
IF('TL13'!$B$3=Q$3,SUMIF('TL13'!$C$10:$C$224,$C372,'TL13'!$J$10:$J$224),0),
IF('TL13'!$B$229=Q$3,SUMIF('TL13'!$C$238:$C$451,$C372,'TL13'!$J$238:$J$451),0),
IF('TL14'!$B$3=Q$3,SUMIF('TL14'!$C$10:$C$224,$C372,'TL14'!$J$10:$J$224),0),
IF('TL14'!$B$229=Q$3,SUMIF('TL14'!$C$238:$C$451,$C372,'TL14'!$J$238:$J$451),0),
IF('TL15'!$B$3=Q$3,SUMIF('TL15'!$C$10:$C$224,$C372,'TL15'!$J$10:$J$224),0),
IF('TL15'!$B$229=Q$3,SUMIF('TL15'!$C$238:$C$451,$C372,'TL15'!$J$238:$J$451),0),
IF('TL16'!$B$3=Q$3,SUMIF('TL16'!$C$10:$C$224,$C372,'TL16'!$J$10:$J$224),0),
IF('TL16'!$B$229=Q$3,SUMIF('TL16'!$C$238:$C$451,$C372,'TL16'!$J$238:$J$451),0),
IF('TL17'!$B$3=Q$3,SUMIF('TL17'!$C$10:$C$224,$C372,'TL17'!$J$10:$J$224),0),
IF('TL17'!$B$229=Q$3,SUMIF('TL17'!$C$238:$C$451,$C372,'TL17'!$J$238:$J$451),0),
IF('TL18'!$B$3=Q$3,SUMIF('TL18'!$C$10:$C$224,$C372,'TL18'!$J$10:$J$224),0),
IF('TL18'!$B$229=Q$3,SUMIF('TL18'!$C$238:$C$451,$C372,'TL18'!$J$238:$J$451),0),
IF('TL19'!$B$3=Q$3,SUMIF('TL19'!$C$10:$C$224,$C372,'TL19'!$J$10:$J$224),0),
IF('TL19'!$B$229=Q$3,SUMIF('TL19'!$C$238:$C$451,$C372,'TL19'!$J$238:$J$451),0)
),0)</f>
        <v>0</v>
      </c>
      <c r="R372" s="9">
        <f>IFERROR(
SUM(
SUMIF('TL01'!C:C,C372,'TL01'!J:J),
SUMIF('TL02'!C:C,C372,'TL02'!J:J),
SUMIF('TL03'!C:C,C372,'TL03'!J:J),
SUMIF('TL04'!C:C,C372,'TL04'!J:J),
SUMIF('TL05'!C:C,C372,'TL05'!J:J),
SUMIF('TL06'!C:C,C372,'TL06'!J:J),
SUMIF('TL07'!C:C,C372,'TL07'!J:J),
SUMIF('TL08'!C:C,C372,'TL08'!J:J),
SUMIF('TL09'!C:C,C372,'TL09'!J:J),
SUMIF('TL10'!C:C,C372,'TL10'!J:J),
SUMIF('TL11'!C:C,C372,'TL11'!J:J),
SUMIF('TL12'!C:C,C372,'TL12'!J:J),
SUMIF('TL13'!C:C,C372,'TL13'!J:J),
SUMIF('TL14'!C:C,C372,'TL14'!J:J),
SUMIF('TL15'!C:C,C372,'TL15'!J:J),
SUMIF('TL16'!C:C,C372,'TL16'!J:J),
SUMIF('TL17'!C:C,C372,'TL17'!J:J),
SUMIF('TL18'!C:C,C372,'TL18'!J:J),SUMIF('TL19'!C:C,C372,'TL19'!J:J))
,0)</f>
        <v>0</v>
      </c>
      <c r="S372" s="17">
        <f>IFERROR(__xludf.DUMMYFUNCTION("IFERROR(VLOOKUP(C372,
IMPORTRANGE(""1wULbzX32WdYsx-lj2U3uUNBBe2INVIRDtcK0d-Dvl90"",
""26-27!C:G""),
5,
FALSE),
"""")"),24.44)</f>
        <v>24.44</v>
      </c>
      <c r="T372" s="9"/>
      <c r="U372" s="92">
        <f t="shared" si="2"/>
        <v>0</v>
      </c>
      <c r="V372" s="93">
        <f t="shared" si="3"/>
        <v>0</v>
      </c>
    </row>
    <row r="373" ht="15.75" hidden="1" customHeight="1">
      <c r="A373" s="4" t="s">
        <v>1071</v>
      </c>
      <c r="B373" s="4" t="s">
        <v>4</v>
      </c>
      <c r="C373" s="128" t="s">
        <v>1114</v>
      </c>
      <c r="D373" s="129" t="s">
        <v>1111</v>
      </c>
      <c r="E373" s="6"/>
      <c r="F373" s="4"/>
      <c r="G373" s="90" t="str">
        <f t="shared" si="5"/>
        <v>📄 Ver bula</v>
      </c>
      <c r="H373" s="9"/>
      <c r="I373" s="123"/>
      <c r="J373" s="9">
        <f>IFERROR(SUM(
IF('TL01'!$B$3=J$3,SUMIF('TL01'!$C$10:$C$224,$C373,'TL01'!$J$10:$J$224),0),
IF('TL01'!$B$229=J$3,SUMIF('TL01'!$C$238:$C$451,$C373,'TL01'!$J$238:$J$451),0),
IF('TL02'!$B$3=J$3,SUMIF('TL02'!$C$10:$C$224,$C373,'TL02'!$J$10:$J$224),0),
IF('TL02'!$B$229=J$3,SUMIF('TL02'!$C$238:$C$451,$C373,'TL02'!$J$238:$J$451),0),
IF('TL03'!$B$3=J$3,SUMIF('TL03'!$C$10:$C$224,$C373,'TL03'!$J$10:$J$224),0),
IF('TL03'!$B$229=J$3,SUMIF('TL03'!$C$238:$C$451,$C373,'TL03'!$J$238:$J$451),0),
IF('TL04'!$B$3=J$3,SUMIF('TL04'!$C$10:$C$224,$C373,'TL04'!$J$10:$J$224),0),
IF('TL04'!$B$229=J$3,SUMIF('TL04'!$C$238:$C$451,$C373,'TL04'!$J$238:$J$451),0),
IF('TL05'!$B$3=J$3,SUMIF('TL05'!$C$10:$C$224,$C373,'TL05'!$J$10:$J$224),0),
IF('TL05'!$B$229=J$3,SUMIF('TL05'!$C$238:$C$451,$C373,'TL05'!$J$238:$J$451),0),
IF('TL06'!$B$3=J$3,SUMIF('TL06'!$C$10:$C$224,$C373,'TL06'!$J$10:$J$224),0),
IF('TL06'!$B$229=J$3,SUMIF('TL06'!$C$238:$C$451,$C373,'TL06'!$J$238:$J$451),0),
IF('TL07'!$B$3=J$3,SUMIF('TL07'!$C$10:$C$224,$C373,'TL07'!$J$10:$J$224),0),
IF('TL07'!$B$229=J$3,SUMIF('TL07'!$C$238:$C$451,$C373,'TL07'!$J$238:$J$451),0),
IF('TL08'!$B$3=J$3,SUMIF('TL08'!$C$10:$C$224,$C373,'TL08'!$J$10:$J$224),0),
IF('TL08'!$B$229=J$3,SUMIF('TL08'!$C$238:$C$451,$C373,'TL08'!$J$238:$J$451),0),
IF('TL09'!$B$3=J$3,SUMIF('TL09'!$C$10:$C$224,$C373,'TL09'!$J$10:$J$224),0),
IF('TL09'!$B$229=J$3,SUMIF('TL09'!$C$238:$C$451,$C373,'TL09'!$J$238:$J$451),0),
IF('TL10'!$B$3=J$3,SUMIF('TL10'!$C$10:$C$224,$C373,'TL10'!$J$10:$J$224),0),
IF('TL10'!$B$229=J$3,SUMIF('TL10'!$C$238:$C$451,$C373,'TL10'!$J$238:$J$451),0),
IF('TL11'!$B$3=J$3,SUMIF('TL11'!$C$10:$C$224,$C373,'TL11'!$J$10:$J$224),0),
IF('TL11'!$B$229=J$3,SUMIF('TL11'!$C$238:$C$451,$C373,'TL11'!$J$238:$J$451),0),
IF('TL12'!$B$3=J$3,SUMIF('TL12'!$C$10:$C$224,$C373,'TL12'!$J$10:$J$224),0),
IF('TL12'!$B$229=J$3,SUMIF('TL12'!$C$238:$C$451,$C373,'TL12'!$J$238:$J$451),0),
IF('TL13'!$B$3=J$3,SUMIF('TL13'!$C$10:$C$224,$C373,'TL13'!$J$10:$J$224),0),
IF('TL13'!$B$229=J$3,SUMIF('TL13'!$C$238:$C$451,$C373,'TL13'!$J$238:$J$451),0),
IF('TL14'!$B$3=J$3,SUMIF('TL14'!$C$10:$C$224,$C373,'TL14'!$J$10:$J$224),0),
IF('TL14'!$B$229=J$3,SUMIF('TL14'!$C$238:$C$451,$C373,'TL14'!$J$238:$J$451),0),
IF('TL15'!$B$3=J$3,SUMIF('TL15'!$C$10:$C$224,$C373,'TL15'!$J$10:$J$224),0),
IF('TL15'!$B$229=J$3,SUMIF('TL15'!$C$238:$C$451,$C373,'TL15'!$J$238:$J$451),0),
IF('TL16'!$B$3=J$3,SUMIF('TL16'!$C$10:$C$224,$C373,'TL16'!$J$10:$J$224),0),
IF('TL16'!$B$229=J$3,SUMIF('TL16'!$C$238:$C$451,$C373,'TL16'!$J$238:$J$451),0),
IF('TL17'!$B$3=J$3,SUMIF('TL17'!$C$10:$C$224,$C373,'TL17'!$J$10:$J$224),0),
IF('TL17'!$B$229=J$3,SUMIF('TL17'!$C$238:$C$451,$C373,'TL17'!$J$238:$J$451),0),
IF('TL18'!$B$3=J$3,SUMIF('TL18'!$C$10:$C$224,$C373,'TL18'!$J$10:$J$224),0),
IF('TL18'!$B$229=J$3,SUMIF('TL18'!$C$238:$C$451,$C373,'TL18'!$J$238:$J$451),0),
IF('TL19'!$B$3=J$3,SUMIF('TL19'!$C$10:$C$224,$C373,'TL19'!$J$10:$J$224),0),
IF('TL19'!$B$229=J$3,SUMIF('TL19'!$C$238:$C$451,$C373,'TL19'!$J$238:$J$451),0)
),0)</f>
        <v>0</v>
      </c>
      <c r="K373" s="9">
        <f>IFERROR(SUM(
IF('TL01'!$B$3=K$3,SUMIF('TL01'!$C$10:$C$224,$C373,'TL01'!$J$10:$J$224),0),
IF('TL01'!$B$229=K$3,SUMIF('TL01'!$C$238:$C$451,$C373,'TL01'!$J$238:$J$451),0),
IF('TL02'!$B$3=K$3,SUMIF('TL02'!$C$10:$C$224,$C373,'TL02'!$J$10:$J$224),0),
IF('TL02'!$B$229=K$3,SUMIF('TL02'!$C$238:$C$451,$C373,'TL02'!$J$238:$J$451),0),
IF('TL03'!$B$3=K$3,SUMIF('TL03'!$C$10:$C$224,$C373,'TL03'!$J$10:$J$224),0),
IF('TL03'!$B$229=K$3,SUMIF('TL03'!$C$238:$C$451,$C373,'TL03'!$J$238:$J$451),0),
IF('TL04'!$B$3=K$3,SUMIF('TL04'!$C$10:$C$224,$C373,'TL04'!$J$10:$J$224),0),
IF('TL04'!$B$229=K$3,SUMIF('TL04'!$C$238:$C$451,$C373,'TL04'!$J$238:$J$451),0),
IF('TL05'!$B$3=K$3,SUMIF('TL05'!$C$10:$C$224,$C373,'TL05'!$J$10:$J$224),0),
IF('TL05'!$B$229=K$3,SUMIF('TL05'!$C$238:$C$451,$C373,'TL05'!$J$238:$J$451),0),
IF('TL06'!$B$3=K$3,SUMIF('TL06'!$C$10:$C$224,$C373,'TL06'!$J$10:$J$224),0),
IF('TL06'!$B$229=K$3,SUMIF('TL06'!$C$238:$C$451,$C373,'TL06'!$J$238:$J$451),0),
IF('TL07'!$B$3=K$3,SUMIF('TL07'!$C$10:$C$224,$C373,'TL07'!$J$10:$J$224),0),
IF('TL07'!$B$229=K$3,SUMIF('TL07'!$C$238:$C$451,$C373,'TL07'!$J$238:$J$451),0),
IF('TL08'!$B$3=K$3,SUMIF('TL08'!$C$10:$C$224,$C373,'TL08'!$J$10:$J$224),0),
IF('TL08'!$B$229=K$3,SUMIF('TL08'!$C$238:$C$451,$C373,'TL08'!$J$238:$J$451),0),
IF('TL09'!$B$3=K$3,SUMIF('TL09'!$C$10:$C$224,$C373,'TL09'!$J$10:$J$224),0),
IF('TL09'!$B$229=K$3,SUMIF('TL09'!$C$238:$C$451,$C373,'TL09'!$J$238:$J$451),0),
IF('TL10'!$B$3=K$3,SUMIF('TL10'!$C$10:$C$224,$C373,'TL10'!$J$10:$J$224),0),
IF('TL10'!$B$229=K$3,SUMIF('TL10'!$C$238:$C$451,$C373,'TL10'!$J$238:$J$451),0),
IF('TL11'!$B$3=K$3,SUMIF('TL11'!$C$10:$C$224,$C373,'TL11'!$J$10:$J$224),0),
IF('TL11'!$B$229=K$3,SUMIF('TL11'!$C$238:$C$451,$C373,'TL11'!$J$238:$J$451),0),
IF('TL12'!$B$3=K$3,SUMIF('TL12'!$C$10:$C$224,$C373,'TL12'!$J$10:$J$224),0),
IF('TL12'!$B$229=K$3,SUMIF('TL12'!$C$238:$C$451,$C373,'TL12'!$J$238:$J$451),0),
IF('TL13'!$B$3=K$3,SUMIF('TL13'!$C$10:$C$224,$C373,'TL13'!$J$10:$J$224),0),
IF('TL13'!$B$229=K$3,SUMIF('TL13'!$C$238:$C$451,$C373,'TL13'!$J$238:$J$451),0),
IF('TL14'!$B$3=K$3,SUMIF('TL14'!$C$10:$C$224,$C373,'TL14'!$J$10:$J$224),0),
IF('TL14'!$B$229=K$3,SUMIF('TL14'!$C$238:$C$451,$C373,'TL14'!$J$238:$J$451),0),
IF('TL15'!$B$3=K$3,SUMIF('TL15'!$C$10:$C$224,$C373,'TL15'!$J$10:$J$224),0),
IF('TL15'!$B$229=K$3,SUMIF('TL15'!$C$238:$C$451,$C373,'TL15'!$J$238:$J$451),0),
IF('TL16'!$B$3=K$3,SUMIF('TL16'!$C$10:$C$224,$C373,'TL16'!$J$10:$J$224),0),
IF('TL16'!$B$229=K$3,SUMIF('TL16'!$C$238:$C$451,$C373,'TL16'!$J$238:$J$451),0),
IF('TL17'!$B$3=K$3,SUMIF('TL17'!$C$10:$C$224,$C373,'TL17'!$J$10:$J$224),0),
IF('TL17'!$B$229=K$3,SUMIF('TL17'!$C$238:$C$451,$C373,'TL17'!$J$238:$J$451),0),
IF('TL18'!$B$3=K$3,SUMIF('TL18'!$C$10:$C$224,$C373,'TL18'!$J$10:$J$224),0),
IF('TL18'!$B$229=K$3,SUMIF('TL18'!$C$238:$C$451,$C373,'TL18'!$J$238:$J$451),0),
IF('TL19'!$B$3=K$3,SUMIF('TL19'!$C$10:$C$224,$C373,'TL19'!$J$10:$J$224),0),
IF('TL19'!$B$229=K$3,SUMIF('TL19'!$C$238:$C$451,$C373,'TL19'!$J$238:$J$451),0)
),0)</f>
        <v>0</v>
      </c>
      <c r="L373" s="9">
        <f>IFERROR(SUM(
IF('TL01'!$B$3=L$3,SUMIF('TL01'!$C$10:$C$224,$C373,'TL01'!$J$10:$J$224),0),
IF('TL01'!$B$229=L$3,SUMIF('TL01'!$C$238:$C$451,$C373,'TL01'!$J$238:$J$451),0),
IF('TL02'!$B$3=L$3,SUMIF('TL02'!$C$10:$C$224,$C373,'TL02'!$J$10:$J$224),0),
IF('TL02'!$B$229=L$3,SUMIF('TL02'!$C$238:$C$451,$C373,'TL02'!$J$238:$J$451),0),
IF('TL03'!$B$3=L$3,SUMIF('TL03'!$C$10:$C$224,$C373,'TL03'!$J$10:$J$224),0),
IF('TL03'!$B$229=L$3,SUMIF('TL03'!$C$238:$C$451,$C373,'TL03'!$J$238:$J$451),0),
IF('TL04'!$B$3=L$3,SUMIF('TL04'!$C$10:$C$224,$C373,'TL04'!$J$10:$J$224),0),
IF('TL04'!$B$229=L$3,SUMIF('TL04'!$C$238:$C$451,$C373,'TL04'!$J$238:$J$451),0),
IF('TL05'!$B$3=L$3,SUMIF('TL05'!$C$10:$C$224,$C373,'TL05'!$J$10:$J$224),0),
IF('TL05'!$B$229=L$3,SUMIF('TL05'!$C$238:$C$451,$C373,'TL05'!$J$238:$J$451),0),
IF('TL06'!$B$3=L$3,SUMIF('TL06'!$C$10:$C$224,$C373,'TL06'!$J$10:$J$224),0),
IF('TL06'!$B$229=L$3,SUMIF('TL06'!$C$238:$C$451,$C373,'TL06'!$J$238:$J$451),0),
IF('TL07'!$B$3=L$3,SUMIF('TL07'!$C$10:$C$224,$C373,'TL07'!$J$10:$J$224),0),
IF('TL07'!$B$229=L$3,SUMIF('TL07'!$C$238:$C$451,$C373,'TL07'!$J$238:$J$451),0),
IF('TL08'!$B$3=L$3,SUMIF('TL08'!$C$10:$C$224,$C373,'TL08'!$J$10:$J$224),0),
IF('TL08'!$B$229=L$3,SUMIF('TL08'!$C$238:$C$451,$C373,'TL08'!$J$238:$J$451),0),
IF('TL09'!$B$3=L$3,SUMIF('TL09'!$C$10:$C$224,$C373,'TL09'!$J$10:$J$224),0),
IF('TL09'!$B$229=L$3,SUMIF('TL09'!$C$238:$C$451,$C373,'TL09'!$J$238:$J$451),0),
IF('TL10'!$B$3=L$3,SUMIF('TL10'!$C$10:$C$224,$C373,'TL10'!$J$10:$J$224),0),
IF('TL10'!$B$229=L$3,SUMIF('TL10'!$C$238:$C$451,$C373,'TL10'!$J$238:$J$451),0),
IF('TL11'!$B$3=L$3,SUMIF('TL11'!$C$10:$C$224,$C373,'TL11'!$J$10:$J$224),0),
IF('TL11'!$B$229=L$3,SUMIF('TL11'!$C$238:$C$451,$C373,'TL11'!$J$238:$J$451),0),
IF('TL12'!$B$3=L$3,SUMIF('TL12'!$C$10:$C$224,$C373,'TL12'!$J$10:$J$224),0),
IF('TL12'!$B$229=L$3,SUMIF('TL12'!$C$238:$C$451,$C373,'TL12'!$J$238:$J$451),0),
IF('TL13'!$B$3=L$3,SUMIF('TL13'!$C$10:$C$224,$C373,'TL13'!$J$10:$J$224),0),
IF('TL13'!$B$229=L$3,SUMIF('TL13'!$C$238:$C$451,$C373,'TL13'!$J$238:$J$451),0),
IF('TL14'!$B$3=L$3,SUMIF('TL14'!$C$10:$C$224,$C373,'TL14'!$J$10:$J$224),0),
IF('TL14'!$B$229=L$3,SUMIF('TL14'!$C$238:$C$451,$C373,'TL14'!$J$238:$J$451),0),
IF('TL15'!$B$3=L$3,SUMIF('TL15'!$C$10:$C$224,$C373,'TL15'!$J$10:$J$224),0),
IF('TL15'!$B$229=L$3,SUMIF('TL15'!$C$238:$C$451,$C373,'TL15'!$J$238:$J$451),0),
IF('TL16'!$B$3=L$3,SUMIF('TL16'!$C$10:$C$224,$C373,'TL16'!$J$10:$J$224),0),
IF('TL16'!$B$229=L$3,SUMIF('TL16'!$C$238:$C$451,$C373,'TL16'!$J$238:$J$451),0),
IF('TL17'!$B$3=L$3,SUMIF('TL17'!$C$10:$C$224,$C373,'TL17'!$J$10:$J$224),0),
IF('TL17'!$B$229=L$3,SUMIF('TL17'!$C$238:$C$451,$C373,'TL17'!$J$238:$J$451),0),
IF('TL18'!$B$3=L$3,SUMIF('TL18'!$C$10:$C$224,$C373,'TL18'!$J$10:$J$224),0),
IF('TL18'!$B$229=L$3,SUMIF('TL18'!$C$238:$C$451,$C373,'TL18'!$J$238:$J$451),0),
IF('TL19'!$B$3=L$3,SUMIF('TL19'!$C$10:$C$224,$C373,'TL19'!$J$10:$J$224),0),
IF('TL19'!$B$229=L$3,SUMIF('TL19'!$C$238:$C$451,$C373,'TL19'!$J$238:$J$451),0)
),0)</f>
        <v>0</v>
      </c>
      <c r="M373" s="9">
        <f>IFERROR(SUM(
IF('TL01'!$B$3=M$3,SUMIF('TL01'!$C$10:$C$224,$C373,'TL01'!$J$10:$J$224),0),
IF('TL01'!$B$229=M$3,SUMIF('TL01'!$C$238:$C$451,$C373,'TL01'!$J$238:$J$451),0),
IF('TL02'!$B$3=M$3,SUMIF('TL02'!$C$10:$C$224,$C373,'TL02'!$J$10:$J$224),0),
IF('TL02'!$B$229=M$3,SUMIF('TL02'!$C$238:$C$451,$C373,'TL02'!$J$238:$J$451),0),
IF('TL03'!$B$3=M$3,SUMIF('TL03'!$C$10:$C$224,$C373,'TL03'!$J$10:$J$224),0),
IF('TL03'!$B$229=M$3,SUMIF('TL03'!$C$238:$C$451,$C373,'TL03'!$J$238:$J$451),0),
IF('TL04'!$B$3=M$3,SUMIF('TL04'!$C$10:$C$224,$C373,'TL04'!$J$10:$J$224),0),
IF('TL04'!$B$229=M$3,SUMIF('TL04'!$C$238:$C$451,$C373,'TL04'!$J$238:$J$451),0),
IF('TL05'!$B$3=M$3,SUMIF('TL05'!$C$10:$C$224,$C373,'TL05'!$J$10:$J$224),0),
IF('TL05'!$B$229=M$3,SUMIF('TL05'!$C$238:$C$451,$C373,'TL05'!$J$238:$J$451),0),
IF('TL06'!$B$3=M$3,SUMIF('TL06'!$C$10:$C$224,$C373,'TL06'!$J$10:$J$224),0),
IF('TL06'!$B$229=M$3,SUMIF('TL06'!$C$238:$C$451,$C373,'TL06'!$J$238:$J$451),0),
IF('TL07'!$B$3=M$3,SUMIF('TL07'!$C$10:$C$224,$C373,'TL07'!$J$10:$J$224),0),
IF('TL07'!$B$229=M$3,SUMIF('TL07'!$C$238:$C$451,$C373,'TL07'!$J$238:$J$451),0),
IF('TL08'!$B$3=M$3,SUMIF('TL08'!$C$10:$C$224,$C373,'TL08'!$J$10:$J$224),0),
IF('TL08'!$B$229=M$3,SUMIF('TL08'!$C$238:$C$451,$C373,'TL08'!$J$238:$J$451),0),
IF('TL09'!$B$3=M$3,SUMIF('TL09'!$C$10:$C$224,$C373,'TL09'!$J$10:$J$224),0),
IF('TL09'!$B$229=M$3,SUMIF('TL09'!$C$238:$C$451,$C373,'TL09'!$J$238:$J$451),0),
IF('TL10'!$B$3=M$3,SUMIF('TL10'!$C$10:$C$224,$C373,'TL10'!$J$10:$J$224),0),
IF('TL10'!$B$229=M$3,SUMIF('TL10'!$C$238:$C$451,$C373,'TL10'!$J$238:$J$451),0),
IF('TL11'!$B$3=M$3,SUMIF('TL11'!$C$10:$C$224,$C373,'TL11'!$J$10:$J$224),0),
IF('TL11'!$B$229=M$3,SUMIF('TL11'!$C$238:$C$451,$C373,'TL11'!$J$238:$J$451),0),
IF('TL12'!$B$3=M$3,SUMIF('TL12'!$C$10:$C$224,$C373,'TL12'!$J$10:$J$224),0),
IF('TL12'!$B$229=M$3,SUMIF('TL12'!$C$238:$C$451,$C373,'TL12'!$J$238:$J$451),0),
IF('TL13'!$B$3=M$3,SUMIF('TL13'!$C$10:$C$224,$C373,'TL13'!$J$10:$J$224),0),
IF('TL13'!$B$229=M$3,SUMIF('TL13'!$C$238:$C$451,$C373,'TL13'!$J$238:$J$451),0),
IF('TL14'!$B$3=M$3,SUMIF('TL14'!$C$10:$C$224,$C373,'TL14'!$J$10:$J$224),0),
IF('TL14'!$B$229=M$3,SUMIF('TL14'!$C$238:$C$451,$C373,'TL14'!$J$238:$J$451),0),
IF('TL15'!$B$3=M$3,SUMIF('TL15'!$C$10:$C$224,$C373,'TL15'!$J$10:$J$224),0),
IF('TL15'!$B$229=M$3,SUMIF('TL15'!$C$238:$C$451,$C373,'TL15'!$J$238:$J$451),0),
IF('TL16'!$B$3=M$3,SUMIF('TL16'!$C$10:$C$224,$C373,'TL16'!$J$10:$J$224),0),
IF('TL16'!$B$229=M$3,SUMIF('TL16'!$C$238:$C$451,$C373,'TL16'!$J$238:$J$451),0),
IF('TL17'!$B$3=M$3,SUMIF('TL17'!$C$10:$C$224,$C373,'TL17'!$J$10:$J$224),0),
IF('TL17'!$B$229=M$3,SUMIF('TL17'!$C$238:$C$451,$C373,'TL17'!$J$238:$J$451),0),
IF('TL18'!$B$3=M$3,SUMIF('TL18'!$C$10:$C$224,$C373,'TL18'!$J$10:$J$224),0),
IF('TL18'!$B$229=M$3,SUMIF('TL18'!$C$238:$C$451,$C373,'TL18'!$J$238:$J$451),0),
IF('TL19'!$B$3=M$3,SUMIF('TL19'!$C$10:$C$224,$C373,'TL19'!$J$10:$J$224),0),
IF('TL19'!$B$229=M$3,SUMIF('TL19'!$C$238:$C$451,$C373,'TL19'!$J$238:$J$451),0)
),0)</f>
        <v>0</v>
      </c>
      <c r="N373" s="9">
        <f>IFERROR(SUM(
IF('TL01'!$B$3=N$3,SUMIF('TL01'!$C$10:$C$224,$C373,'TL01'!$J$10:$J$224),0),
IF('TL01'!$B$229=N$3,SUMIF('TL01'!$C$238:$C$451,$C373,'TL01'!$J$238:$J$451),0),
IF('TL02'!$B$3=N$3,SUMIF('TL02'!$C$10:$C$224,$C373,'TL02'!$J$10:$J$224),0),
IF('TL02'!$B$229=N$3,SUMIF('TL02'!$C$238:$C$451,$C373,'TL02'!$J$238:$J$451),0),
IF('TL03'!$B$3=N$3,SUMIF('TL03'!$C$10:$C$224,$C373,'TL03'!$J$10:$J$224),0),
IF('TL03'!$B$229=N$3,SUMIF('TL03'!$C$238:$C$451,$C373,'TL03'!$J$238:$J$451),0),
IF('TL04'!$B$3=N$3,SUMIF('TL04'!$C$10:$C$224,$C373,'TL04'!$J$10:$J$224),0),
IF('TL04'!$B$229=N$3,SUMIF('TL04'!$C$238:$C$451,$C373,'TL04'!$J$238:$J$451),0),
IF('TL05'!$B$3=N$3,SUMIF('TL05'!$C$10:$C$224,$C373,'TL05'!$J$10:$J$224),0),
IF('TL05'!$B$229=N$3,SUMIF('TL05'!$C$238:$C$451,$C373,'TL05'!$J$238:$J$451),0),
IF('TL06'!$B$3=N$3,SUMIF('TL06'!$C$10:$C$224,$C373,'TL06'!$J$10:$J$224),0),
IF('TL06'!$B$229=N$3,SUMIF('TL06'!$C$238:$C$451,$C373,'TL06'!$J$238:$J$451),0),
IF('TL07'!$B$3=N$3,SUMIF('TL07'!$C$10:$C$224,$C373,'TL07'!$J$10:$J$224),0),
IF('TL07'!$B$229=N$3,SUMIF('TL07'!$C$238:$C$451,$C373,'TL07'!$J$238:$J$451),0),
IF('TL08'!$B$3=N$3,SUMIF('TL08'!$C$10:$C$224,$C373,'TL08'!$J$10:$J$224),0),
IF('TL08'!$B$229=N$3,SUMIF('TL08'!$C$238:$C$451,$C373,'TL08'!$J$238:$J$451),0),
IF('TL09'!$B$3=N$3,SUMIF('TL09'!$C$10:$C$224,$C373,'TL09'!$J$10:$J$224),0),
IF('TL09'!$B$229=N$3,SUMIF('TL09'!$C$238:$C$451,$C373,'TL09'!$J$238:$J$451),0),
IF('TL10'!$B$3=N$3,SUMIF('TL10'!$C$10:$C$224,$C373,'TL10'!$J$10:$J$224),0),
IF('TL10'!$B$229=N$3,SUMIF('TL10'!$C$238:$C$451,$C373,'TL10'!$J$238:$J$451),0),
IF('TL11'!$B$3=N$3,SUMIF('TL11'!$C$10:$C$224,$C373,'TL11'!$J$10:$J$224),0),
IF('TL11'!$B$229=N$3,SUMIF('TL11'!$C$238:$C$451,$C373,'TL11'!$J$238:$J$451),0),
IF('TL12'!$B$3=N$3,SUMIF('TL12'!$C$10:$C$224,$C373,'TL12'!$J$10:$J$224),0),
IF('TL12'!$B$229=N$3,SUMIF('TL12'!$C$238:$C$451,$C373,'TL12'!$J$238:$J$451),0),
IF('TL13'!$B$3=N$3,SUMIF('TL13'!$C$10:$C$224,$C373,'TL13'!$J$10:$J$224),0),
IF('TL13'!$B$229=N$3,SUMIF('TL13'!$C$238:$C$451,$C373,'TL13'!$J$238:$J$451),0),
IF('TL14'!$B$3=N$3,SUMIF('TL14'!$C$10:$C$224,$C373,'TL14'!$J$10:$J$224),0),
IF('TL14'!$B$229=N$3,SUMIF('TL14'!$C$238:$C$451,$C373,'TL14'!$J$238:$J$451),0),
IF('TL15'!$B$3=N$3,SUMIF('TL15'!$C$10:$C$224,$C373,'TL15'!$J$10:$J$224),0),
IF('TL15'!$B$229=N$3,SUMIF('TL15'!$C$238:$C$451,$C373,'TL15'!$J$238:$J$451),0),
IF('TL16'!$B$3=N$3,SUMIF('TL16'!$C$10:$C$224,$C373,'TL16'!$J$10:$J$224),0),
IF('TL16'!$B$229=N$3,SUMIF('TL16'!$C$238:$C$451,$C373,'TL16'!$J$238:$J$451),0),
IF('TL17'!$B$3=N$3,SUMIF('TL17'!$C$10:$C$224,$C373,'TL17'!$J$10:$J$224),0),
IF('TL17'!$B$229=N$3,SUMIF('TL17'!$C$238:$C$451,$C373,'TL17'!$J$238:$J$451),0),
IF('TL18'!$B$3=N$3,SUMIF('TL18'!$C$10:$C$224,$C373,'TL18'!$J$10:$J$224),0),
IF('TL18'!$B$229=N$3,SUMIF('TL18'!$C$238:$C$451,$C373,'TL18'!$J$238:$J$451),0),
IF('TL19'!$B$3=N$3,SUMIF('TL19'!$C$10:$C$224,$C373,'TL19'!$J$10:$J$224),0),
IF('TL19'!$B$229=N$3,SUMIF('TL19'!$C$238:$C$451,$C373,'TL19'!$J$238:$J$451),0)
),0)</f>
        <v>0</v>
      </c>
      <c r="O373" s="9">
        <f>IFERROR(SUM(
IF('TL01'!$B$3=O$3,SUMIF('TL01'!$C$10:$C$224,$C373,'TL01'!$J$10:$J$224),0),
IF('TL01'!$B$229=O$3,SUMIF('TL01'!$C$238:$C$451,$C373,'TL01'!$J$238:$J$451),0),
IF('TL02'!$B$3=O$3,SUMIF('TL02'!$C$10:$C$224,$C373,'TL02'!$J$10:$J$224),0),
IF('TL02'!$B$229=O$3,SUMIF('TL02'!$C$238:$C$451,$C373,'TL02'!$J$238:$J$451),0),
IF('TL03'!$B$3=O$3,SUMIF('TL03'!$C$10:$C$224,$C373,'TL03'!$J$10:$J$224),0),
IF('TL03'!$B$229=O$3,SUMIF('TL03'!$C$238:$C$451,$C373,'TL03'!$J$238:$J$451),0),
IF('TL04'!$B$3=O$3,SUMIF('TL04'!$C$10:$C$224,$C373,'TL04'!$J$10:$J$224),0),
IF('TL04'!$B$229=O$3,SUMIF('TL04'!$C$238:$C$451,$C373,'TL04'!$J$238:$J$451),0),
IF('TL05'!$B$3=O$3,SUMIF('TL05'!$C$10:$C$224,$C373,'TL05'!$J$10:$J$224),0),
IF('TL05'!$B$229=O$3,SUMIF('TL05'!$C$238:$C$451,$C373,'TL05'!$J$238:$J$451),0),
IF('TL06'!$B$3=O$3,SUMIF('TL06'!$C$10:$C$224,$C373,'TL06'!$J$10:$J$224),0),
IF('TL06'!$B$229=O$3,SUMIF('TL06'!$C$238:$C$451,$C373,'TL06'!$J$238:$J$451),0),
IF('TL07'!$B$3=O$3,SUMIF('TL07'!$C$10:$C$224,$C373,'TL07'!$J$10:$J$224),0),
IF('TL07'!$B$229=O$3,SUMIF('TL07'!$C$238:$C$451,$C373,'TL07'!$J$238:$J$451),0),
IF('TL08'!$B$3=O$3,SUMIF('TL08'!$C$10:$C$224,$C373,'TL08'!$J$10:$J$224),0),
IF('TL08'!$B$229=O$3,SUMIF('TL08'!$C$238:$C$451,$C373,'TL08'!$J$238:$J$451),0),
IF('TL09'!$B$3=O$3,SUMIF('TL09'!$C$10:$C$224,$C373,'TL09'!$J$10:$J$224),0),
IF('TL09'!$B$229=O$3,SUMIF('TL09'!$C$238:$C$451,$C373,'TL09'!$J$238:$J$451),0),
IF('TL10'!$B$3=O$3,SUMIF('TL10'!$C$10:$C$224,$C373,'TL10'!$J$10:$J$224),0),
IF('TL10'!$B$229=O$3,SUMIF('TL10'!$C$238:$C$451,$C373,'TL10'!$J$238:$J$451),0),
IF('TL11'!$B$3=O$3,SUMIF('TL11'!$C$10:$C$224,$C373,'TL11'!$J$10:$J$224),0),
IF('TL11'!$B$229=O$3,SUMIF('TL11'!$C$238:$C$451,$C373,'TL11'!$J$238:$J$451),0),
IF('TL12'!$B$3=O$3,SUMIF('TL12'!$C$10:$C$224,$C373,'TL12'!$J$10:$J$224),0),
IF('TL12'!$B$229=O$3,SUMIF('TL12'!$C$238:$C$451,$C373,'TL12'!$J$238:$J$451),0),
IF('TL13'!$B$3=O$3,SUMIF('TL13'!$C$10:$C$224,$C373,'TL13'!$J$10:$J$224),0),
IF('TL13'!$B$229=O$3,SUMIF('TL13'!$C$238:$C$451,$C373,'TL13'!$J$238:$J$451),0),
IF('TL14'!$B$3=O$3,SUMIF('TL14'!$C$10:$C$224,$C373,'TL14'!$J$10:$J$224),0),
IF('TL14'!$B$229=O$3,SUMIF('TL14'!$C$238:$C$451,$C373,'TL14'!$J$238:$J$451),0),
IF('TL15'!$B$3=O$3,SUMIF('TL15'!$C$10:$C$224,$C373,'TL15'!$J$10:$J$224),0),
IF('TL15'!$B$229=O$3,SUMIF('TL15'!$C$238:$C$451,$C373,'TL15'!$J$238:$J$451),0),
IF('TL16'!$B$3=O$3,SUMIF('TL16'!$C$10:$C$224,$C373,'TL16'!$J$10:$J$224),0),
IF('TL16'!$B$229=O$3,SUMIF('TL16'!$C$238:$C$451,$C373,'TL16'!$J$238:$J$451),0),
IF('TL17'!$B$3=O$3,SUMIF('TL17'!$C$10:$C$224,$C373,'TL17'!$J$10:$J$224),0),
IF('TL17'!$B$229=O$3,SUMIF('TL17'!$C$238:$C$451,$C373,'TL17'!$J$238:$J$451),0),
IF('TL18'!$B$3=O$3,SUMIF('TL18'!$C$10:$C$224,$C373,'TL18'!$J$10:$J$224),0),
IF('TL18'!$B$229=O$3,SUMIF('TL18'!$C$238:$C$451,$C373,'TL18'!$J$238:$J$451),0),
IF('TL19'!$B$3=O$3,SUMIF('TL19'!$C$10:$C$224,$C373,'TL19'!$J$10:$J$224),0),
IF('TL19'!$B$229=O$3,SUMIF('TL19'!$C$238:$C$451,$C373,'TL19'!$J$238:$J$451),0)
),0)</f>
        <v>0</v>
      </c>
      <c r="P373" s="9">
        <f>IFERROR(SUM(
IF('TL01'!$B$3=P$3,SUMIF('TL01'!$C$10:$C$224,$C373,'TL01'!$J$10:$J$224),0),
IF('TL01'!$B$229=P$3,SUMIF('TL01'!$C$238:$C$451,$C373,'TL01'!$J$238:$J$451),0),
IF('TL02'!$B$3=P$3,SUMIF('TL02'!$C$10:$C$224,$C373,'TL02'!$J$10:$J$224),0),
IF('TL02'!$B$229=P$3,SUMIF('TL02'!$C$238:$C$451,$C373,'TL02'!$J$238:$J$451),0),
IF('TL03'!$B$3=P$3,SUMIF('TL03'!$C$10:$C$224,$C373,'TL03'!$J$10:$J$224),0),
IF('TL03'!$B$229=P$3,SUMIF('TL03'!$C$238:$C$451,$C373,'TL03'!$J$238:$J$451),0),
IF('TL04'!$B$3=P$3,SUMIF('TL04'!$C$10:$C$224,$C373,'TL04'!$J$10:$J$224),0),
IF('TL04'!$B$229=P$3,SUMIF('TL04'!$C$238:$C$451,$C373,'TL04'!$J$238:$J$451),0),
IF('TL05'!$B$3=P$3,SUMIF('TL05'!$C$10:$C$224,$C373,'TL05'!$J$10:$J$224),0),
IF('TL05'!$B$229=P$3,SUMIF('TL05'!$C$238:$C$451,$C373,'TL05'!$J$238:$J$451),0),
IF('TL06'!$B$3=P$3,SUMIF('TL06'!$C$10:$C$224,$C373,'TL06'!$J$10:$J$224),0),
IF('TL06'!$B$229=P$3,SUMIF('TL06'!$C$238:$C$451,$C373,'TL06'!$J$238:$J$451),0),
IF('TL07'!$B$3=P$3,SUMIF('TL07'!$C$10:$C$224,$C373,'TL07'!$J$10:$J$224),0),
IF('TL07'!$B$229=P$3,SUMIF('TL07'!$C$238:$C$451,$C373,'TL07'!$J$238:$J$451),0),
IF('TL08'!$B$3=P$3,SUMIF('TL08'!$C$10:$C$224,$C373,'TL08'!$J$10:$J$224),0),
IF('TL08'!$B$229=P$3,SUMIF('TL08'!$C$238:$C$451,$C373,'TL08'!$J$238:$J$451),0),
IF('TL09'!$B$3=P$3,SUMIF('TL09'!$C$10:$C$224,$C373,'TL09'!$J$10:$J$224),0),
IF('TL09'!$B$229=P$3,SUMIF('TL09'!$C$238:$C$451,$C373,'TL09'!$J$238:$J$451),0),
IF('TL10'!$B$3=P$3,SUMIF('TL10'!$C$10:$C$224,$C373,'TL10'!$J$10:$J$224),0),
IF('TL10'!$B$229=P$3,SUMIF('TL10'!$C$238:$C$451,$C373,'TL10'!$J$238:$J$451),0),
IF('TL11'!$B$3=P$3,SUMIF('TL11'!$C$10:$C$224,$C373,'TL11'!$J$10:$J$224),0),
IF('TL11'!$B$229=P$3,SUMIF('TL11'!$C$238:$C$451,$C373,'TL11'!$J$238:$J$451),0),
IF('TL12'!$B$3=P$3,SUMIF('TL12'!$C$10:$C$224,$C373,'TL12'!$J$10:$J$224),0),
IF('TL12'!$B$229=P$3,SUMIF('TL12'!$C$238:$C$451,$C373,'TL12'!$J$238:$J$451),0),
IF('TL13'!$B$3=P$3,SUMIF('TL13'!$C$10:$C$224,$C373,'TL13'!$J$10:$J$224),0),
IF('TL13'!$B$229=P$3,SUMIF('TL13'!$C$238:$C$451,$C373,'TL13'!$J$238:$J$451),0),
IF('TL14'!$B$3=P$3,SUMIF('TL14'!$C$10:$C$224,$C373,'TL14'!$J$10:$J$224),0),
IF('TL14'!$B$229=P$3,SUMIF('TL14'!$C$238:$C$451,$C373,'TL14'!$J$238:$J$451),0),
IF('TL15'!$B$3=P$3,SUMIF('TL15'!$C$10:$C$224,$C373,'TL15'!$J$10:$J$224),0),
IF('TL15'!$B$229=P$3,SUMIF('TL15'!$C$238:$C$451,$C373,'TL15'!$J$238:$J$451),0),
IF('TL16'!$B$3=P$3,SUMIF('TL16'!$C$10:$C$224,$C373,'TL16'!$J$10:$J$224),0),
IF('TL16'!$B$229=P$3,SUMIF('TL16'!$C$238:$C$451,$C373,'TL16'!$J$238:$J$451),0),
IF('TL17'!$B$3=P$3,SUMIF('TL17'!$C$10:$C$224,$C373,'TL17'!$J$10:$J$224),0),
IF('TL17'!$B$229=P$3,SUMIF('TL17'!$C$238:$C$451,$C373,'TL17'!$J$238:$J$451),0),
IF('TL18'!$B$3=P$3,SUMIF('TL18'!$C$10:$C$224,$C373,'TL18'!$J$10:$J$224),0),
IF('TL18'!$B$229=P$3,SUMIF('TL18'!$C$238:$C$451,$C373,'TL18'!$J$238:$J$451),0),
IF('TL19'!$B$3=P$3,SUMIF('TL19'!$C$10:$C$224,$C373,'TL19'!$J$10:$J$224),0),
IF('TL19'!$B$229=P$3,SUMIF('TL19'!$C$238:$C$451,$C373,'TL19'!$J$238:$J$451),0)
),0)</f>
        <v>0</v>
      </c>
      <c r="Q373" s="9">
        <f>IFERROR(SUM(
IF('TL01'!$B$3=Q$3,SUMIF('TL01'!$C$10:$C$224,$C373,'TL01'!$J$10:$J$224),0),
IF('TL01'!$B$229=Q$3,SUMIF('TL01'!$C$238:$C$451,$C373,'TL01'!$J$238:$J$451),0),
IF('TL02'!$B$3=Q$3,SUMIF('TL02'!$C$10:$C$224,$C373,'TL02'!$J$10:$J$224),0),
IF('TL02'!$B$229=Q$3,SUMIF('TL02'!$C$238:$C$451,$C373,'TL02'!$J$238:$J$451),0),
IF('TL03'!$B$3=Q$3,SUMIF('TL03'!$C$10:$C$224,$C373,'TL03'!$J$10:$J$224),0),
IF('TL03'!$B$229=Q$3,SUMIF('TL03'!$C$238:$C$451,$C373,'TL03'!$J$238:$J$451),0),
IF('TL04'!$B$3=Q$3,SUMIF('TL04'!$C$10:$C$224,$C373,'TL04'!$J$10:$J$224),0),
IF('TL04'!$B$229=Q$3,SUMIF('TL04'!$C$238:$C$451,$C373,'TL04'!$J$238:$J$451),0),
IF('TL05'!$B$3=Q$3,SUMIF('TL05'!$C$10:$C$224,$C373,'TL05'!$J$10:$J$224),0),
IF('TL05'!$B$229=Q$3,SUMIF('TL05'!$C$238:$C$451,$C373,'TL05'!$J$238:$J$451),0),
IF('TL06'!$B$3=Q$3,SUMIF('TL06'!$C$10:$C$224,$C373,'TL06'!$J$10:$J$224),0),
IF('TL06'!$B$229=Q$3,SUMIF('TL06'!$C$238:$C$451,$C373,'TL06'!$J$238:$J$451),0),
IF('TL07'!$B$3=Q$3,SUMIF('TL07'!$C$10:$C$224,$C373,'TL07'!$J$10:$J$224),0),
IF('TL07'!$B$229=Q$3,SUMIF('TL07'!$C$238:$C$451,$C373,'TL07'!$J$238:$J$451),0),
IF('TL08'!$B$3=Q$3,SUMIF('TL08'!$C$10:$C$224,$C373,'TL08'!$J$10:$J$224),0),
IF('TL08'!$B$229=Q$3,SUMIF('TL08'!$C$238:$C$451,$C373,'TL08'!$J$238:$J$451),0),
IF('TL09'!$B$3=Q$3,SUMIF('TL09'!$C$10:$C$224,$C373,'TL09'!$J$10:$J$224),0),
IF('TL09'!$B$229=Q$3,SUMIF('TL09'!$C$238:$C$451,$C373,'TL09'!$J$238:$J$451),0),
IF('TL10'!$B$3=Q$3,SUMIF('TL10'!$C$10:$C$224,$C373,'TL10'!$J$10:$J$224),0),
IF('TL10'!$B$229=Q$3,SUMIF('TL10'!$C$238:$C$451,$C373,'TL10'!$J$238:$J$451),0),
IF('TL11'!$B$3=Q$3,SUMIF('TL11'!$C$10:$C$224,$C373,'TL11'!$J$10:$J$224),0),
IF('TL11'!$B$229=Q$3,SUMIF('TL11'!$C$238:$C$451,$C373,'TL11'!$J$238:$J$451),0),
IF('TL12'!$B$3=Q$3,SUMIF('TL12'!$C$10:$C$224,$C373,'TL12'!$J$10:$J$224),0),
IF('TL12'!$B$229=Q$3,SUMIF('TL12'!$C$238:$C$451,$C373,'TL12'!$J$238:$J$451),0),
IF('TL13'!$B$3=Q$3,SUMIF('TL13'!$C$10:$C$224,$C373,'TL13'!$J$10:$J$224),0),
IF('TL13'!$B$229=Q$3,SUMIF('TL13'!$C$238:$C$451,$C373,'TL13'!$J$238:$J$451),0),
IF('TL14'!$B$3=Q$3,SUMIF('TL14'!$C$10:$C$224,$C373,'TL14'!$J$10:$J$224),0),
IF('TL14'!$B$229=Q$3,SUMIF('TL14'!$C$238:$C$451,$C373,'TL14'!$J$238:$J$451),0),
IF('TL15'!$B$3=Q$3,SUMIF('TL15'!$C$10:$C$224,$C373,'TL15'!$J$10:$J$224),0),
IF('TL15'!$B$229=Q$3,SUMIF('TL15'!$C$238:$C$451,$C373,'TL15'!$J$238:$J$451),0),
IF('TL16'!$B$3=Q$3,SUMIF('TL16'!$C$10:$C$224,$C373,'TL16'!$J$10:$J$224),0),
IF('TL16'!$B$229=Q$3,SUMIF('TL16'!$C$238:$C$451,$C373,'TL16'!$J$238:$J$451),0),
IF('TL17'!$B$3=Q$3,SUMIF('TL17'!$C$10:$C$224,$C373,'TL17'!$J$10:$J$224),0),
IF('TL17'!$B$229=Q$3,SUMIF('TL17'!$C$238:$C$451,$C373,'TL17'!$J$238:$J$451),0),
IF('TL18'!$B$3=Q$3,SUMIF('TL18'!$C$10:$C$224,$C373,'TL18'!$J$10:$J$224),0),
IF('TL18'!$B$229=Q$3,SUMIF('TL18'!$C$238:$C$451,$C373,'TL18'!$J$238:$J$451),0),
IF('TL19'!$B$3=Q$3,SUMIF('TL19'!$C$10:$C$224,$C373,'TL19'!$J$10:$J$224),0),
IF('TL19'!$B$229=Q$3,SUMIF('TL19'!$C$238:$C$451,$C373,'TL19'!$J$238:$J$451),0)
),0)</f>
        <v>0</v>
      </c>
      <c r="R373" s="9">
        <f>IFERROR(
SUM(
SUMIF('TL01'!C:C,C373,'TL01'!J:J),
SUMIF('TL02'!C:C,C373,'TL02'!J:J),
SUMIF('TL03'!C:C,C373,'TL03'!J:J),
SUMIF('TL04'!C:C,C373,'TL04'!J:J),
SUMIF('TL05'!C:C,C373,'TL05'!J:J),
SUMIF('TL06'!C:C,C373,'TL06'!J:J),
SUMIF('TL07'!C:C,C373,'TL07'!J:J),
SUMIF('TL08'!C:C,C373,'TL08'!J:J),
SUMIF('TL09'!C:C,C373,'TL09'!J:J),
SUMIF('TL10'!C:C,C373,'TL10'!J:J),
SUMIF('TL11'!C:C,C373,'TL11'!J:J),
SUMIF('TL12'!C:C,C373,'TL12'!J:J),
SUMIF('TL13'!C:C,C373,'TL13'!J:J),
SUMIF('TL14'!C:C,C373,'TL14'!J:J),
SUMIF('TL15'!C:C,C373,'TL15'!J:J),
SUMIF('TL16'!C:C,C373,'TL16'!J:J),
SUMIF('TL17'!C:C,C373,'TL17'!J:J),
SUMIF('TL18'!C:C,C373,'TL18'!J:J),SUMIF('TL19'!C:C,C373,'TL19'!J:J))
,0)</f>
        <v>0</v>
      </c>
      <c r="S373" s="17">
        <f>IFERROR(__xludf.DUMMYFUNCTION("IFERROR(VLOOKUP(C373,
IMPORTRANGE(""1wULbzX32WdYsx-lj2U3uUNBBe2INVIRDtcK0d-Dvl90"",
""26-27!C:G""),
5,
FALSE),
"""")"),14.72)</f>
        <v>14.72</v>
      </c>
      <c r="T373" s="9"/>
      <c r="U373" s="92">
        <f t="shared" si="2"/>
        <v>0</v>
      </c>
      <c r="V373" s="93">
        <f t="shared" si="3"/>
        <v>0</v>
      </c>
    </row>
    <row r="374" ht="15.75" customHeight="1">
      <c r="A374" s="4" t="s">
        <v>1071</v>
      </c>
      <c r="B374" s="4" t="s">
        <v>9</v>
      </c>
      <c r="C374" s="126" t="s">
        <v>1115</v>
      </c>
      <c r="D374" s="127" t="s">
        <v>1111</v>
      </c>
      <c r="E374" s="6"/>
      <c r="F374" s="4" t="s">
        <v>343</v>
      </c>
      <c r="G374" s="90" t="str">
        <f t="shared" si="5"/>
        <v>📄 Ver bula</v>
      </c>
      <c r="H374" s="9">
        <v>0.2</v>
      </c>
      <c r="I374" s="123"/>
      <c r="J374" s="9">
        <f>IFERROR(SUM(
IF('TL01'!$B$3=J$3,SUMIF('TL01'!$C$10:$C$224,$C374,'TL01'!$J$10:$J$224),0),
IF('TL01'!$B$229=J$3,SUMIF('TL01'!$C$238:$C$451,$C374,'TL01'!$J$238:$J$451),0),
IF('TL02'!$B$3=J$3,SUMIF('TL02'!$C$10:$C$224,$C374,'TL02'!$J$10:$J$224),0),
IF('TL02'!$B$229=J$3,SUMIF('TL02'!$C$238:$C$451,$C374,'TL02'!$J$238:$J$451),0),
IF('TL03'!$B$3=J$3,SUMIF('TL03'!$C$10:$C$224,$C374,'TL03'!$J$10:$J$224),0),
IF('TL03'!$B$229=J$3,SUMIF('TL03'!$C$238:$C$451,$C374,'TL03'!$J$238:$J$451),0),
IF('TL04'!$B$3=J$3,SUMIF('TL04'!$C$10:$C$224,$C374,'TL04'!$J$10:$J$224),0),
IF('TL04'!$B$229=J$3,SUMIF('TL04'!$C$238:$C$451,$C374,'TL04'!$J$238:$J$451),0),
IF('TL05'!$B$3=J$3,SUMIF('TL05'!$C$10:$C$224,$C374,'TL05'!$J$10:$J$224),0),
IF('TL05'!$B$229=J$3,SUMIF('TL05'!$C$238:$C$451,$C374,'TL05'!$J$238:$J$451),0),
IF('TL06'!$B$3=J$3,SUMIF('TL06'!$C$10:$C$224,$C374,'TL06'!$J$10:$J$224),0),
IF('TL06'!$B$229=J$3,SUMIF('TL06'!$C$238:$C$451,$C374,'TL06'!$J$238:$J$451),0),
IF('TL07'!$B$3=J$3,SUMIF('TL07'!$C$10:$C$224,$C374,'TL07'!$J$10:$J$224),0),
IF('TL07'!$B$229=J$3,SUMIF('TL07'!$C$238:$C$451,$C374,'TL07'!$J$238:$J$451),0),
IF('TL08'!$B$3=J$3,SUMIF('TL08'!$C$10:$C$224,$C374,'TL08'!$J$10:$J$224),0),
IF('TL08'!$B$229=J$3,SUMIF('TL08'!$C$238:$C$451,$C374,'TL08'!$J$238:$J$451),0),
IF('TL09'!$B$3=J$3,SUMIF('TL09'!$C$10:$C$224,$C374,'TL09'!$J$10:$J$224),0),
IF('TL09'!$B$229=J$3,SUMIF('TL09'!$C$238:$C$451,$C374,'TL09'!$J$238:$J$451),0),
IF('TL10'!$B$3=J$3,SUMIF('TL10'!$C$10:$C$224,$C374,'TL10'!$J$10:$J$224),0),
IF('TL10'!$B$229=J$3,SUMIF('TL10'!$C$238:$C$451,$C374,'TL10'!$J$238:$J$451),0),
IF('TL11'!$B$3=J$3,SUMIF('TL11'!$C$10:$C$224,$C374,'TL11'!$J$10:$J$224),0),
IF('TL11'!$B$229=J$3,SUMIF('TL11'!$C$238:$C$451,$C374,'TL11'!$J$238:$J$451),0),
IF('TL12'!$B$3=J$3,SUMIF('TL12'!$C$10:$C$224,$C374,'TL12'!$J$10:$J$224),0),
IF('TL12'!$B$229=J$3,SUMIF('TL12'!$C$238:$C$451,$C374,'TL12'!$J$238:$J$451),0),
IF('TL13'!$B$3=J$3,SUMIF('TL13'!$C$10:$C$224,$C374,'TL13'!$J$10:$J$224),0),
IF('TL13'!$B$229=J$3,SUMIF('TL13'!$C$238:$C$451,$C374,'TL13'!$J$238:$J$451),0),
IF('TL14'!$B$3=J$3,SUMIF('TL14'!$C$10:$C$224,$C374,'TL14'!$J$10:$J$224),0),
IF('TL14'!$B$229=J$3,SUMIF('TL14'!$C$238:$C$451,$C374,'TL14'!$J$238:$J$451),0),
IF('TL15'!$B$3=J$3,SUMIF('TL15'!$C$10:$C$224,$C374,'TL15'!$J$10:$J$224),0),
IF('TL15'!$B$229=J$3,SUMIF('TL15'!$C$238:$C$451,$C374,'TL15'!$J$238:$J$451),0),
IF('TL16'!$B$3=J$3,SUMIF('TL16'!$C$10:$C$224,$C374,'TL16'!$J$10:$J$224),0),
IF('TL16'!$B$229=J$3,SUMIF('TL16'!$C$238:$C$451,$C374,'TL16'!$J$238:$J$451),0),
IF('TL17'!$B$3=J$3,SUMIF('TL17'!$C$10:$C$224,$C374,'TL17'!$J$10:$J$224),0),
IF('TL17'!$B$229=J$3,SUMIF('TL17'!$C$238:$C$451,$C374,'TL17'!$J$238:$J$451),0),
IF('TL18'!$B$3=J$3,SUMIF('TL18'!$C$10:$C$224,$C374,'TL18'!$J$10:$J$224),0),
IF('TL18'!$B$229=J$3,SUMIF('TL18'!$C$238:$C$451,$C374,'TL18'!$J$238:$J$451),0),
IF('TL19'!$B$3=J$3,SUMIF('TL19'!$C$10:$C$224,$C374,'TL19'!$J$10:$J$224),0),
IF('TL19'!$B$229=J$3,SUMIF('TL19'!$C$238:$C$451,$C374,'TL19'!$J$238:$J$451),0)
),0)</f>
        <v>0</v>
      </c>
      <c r="K374" s="9">
        <f>IFERROR(SUM(
IF('TL01'!$B$3=K$3,SUMIF('TL01'!$C$10:$C$224,$C374,'TL01'!$J$10:$J$224),0),
IF('TL01'!$B$229=K$3,SUMIF('TL01'!$C$238:$C$451,$C374,'TL01'!$J$238:$J$451),0),
IF('TL02'!$B$3=K$3,SUMIF('TL02'!$C$10:$C$224,$C374,'TL02'!$J$10:$J$224),0),
IF('TL02'!$B$229=K$3,SUMIF('TL02'!$C$238:$C$451,$C374,'TL02'!$J$238:$J$451),0),
IF('TL03'!$B$3=K$3,SUMIF('TL03'!$C$10:$C$224,$C374,'TL03'!$J$10:$J$224),0),
IF('TL03'!$B$229=K$3,SUMIF('TL03'!$C$238:$C$451,$C374,'TL03'!$J$238:$J$451),0),
IF('TL04'!$B$3=K$3,SUMIF('TL04'!$C$10:$C$224,$C374,'TL04'!$J$10:$J$224),0),
IF('TL04'!$B$229=K$3,SUMIF('TL04'!$C$238:$C$451,$C374,'TL04'!$J$238:$J$451),0),
IF('TL05'!$B$3=K$3,SUMIF('TL05'!$C$10:$C$224,$C374,'TL05'!$J$10:$J$224),0),
IF('TL05'!$B$229=K$3,SUMIF('TL05'!$C$238:$C$451,$C374,'TL05'!$J$238:$J$451),0),
IF('TL06'!$B$3=K$3,SUMIF('TL06'!$C$10:$C$224,$C374,'TL06'!$J$10:$J$224),0),
IF('TL06'!$B$229=K$3,SUMIF('TL06'!$C$238:$C$451,$C374,'TL06'!$J$238:$J$451),0),
IF('TL07'!$B$3=K$3,SUMIF('TL07'!$C$10:$C$224,$C374,'TL07'!$J$10:$J$224),0),
IF('TL07'!$B$229=K$3,SUMIF('TL07'!$C$238:$C$451,$C374,'TL07'!$J$238:$J$451),0),
IF('TL08'!$B$3=K$3,SUMIF('TL08'!$C$10:$C$224,$C374,'TL08'!$J$10:$J$224),0),
IF('TL08'!$B$229=K$3,SUMIF('TL08'!$C$238:$C$451,$C374,'TL08'!$J$238:$J$451),0),
IF('TL09'!$B$3=K$3,SUMIF('TL09'!$C$10:$C$224,$C374,'TL09'!$J$10:$J$224),0),
IF('TL09'!$B$229=K$3,SUMIF('TL09'!$C$238:$C$451,$C374,'TL09'!$J$238:$J$451),0),
IF('TL10'!$B$3=K$3,SUMIF('TL10'!$C$10:$C$224,$C374,'TL10'!$J$10:$J$224),0),
IF('TL10'!$B$229=K$3,SUMIF('TL10'!$C$238:$C$451,$C374,'TL10'!$J$238:$J$451),0),
IF('TL11'!$B$3=K$3,SUMIF('TL11'!$C$10:$C$224,$C374,'TL11'!$J$10:$J$224),0),
IF('TL11'!$B$229=K$3,SUMIF('TL11'!$C$238:$C$451,$C374,'TL11'!$J$238:$J$451),0),
IF('TL12'!$B$3=K$3,SUMIF('TL12'!$C$10:$C$224,$C374,'TL12'!$J$10:$J$224),0),
IF('TL12'!$B$229=K$3,SUMIF('TL12'!$C$238:$C$451,$C374,'TL12'!$J$238:$J$451),0),
IF('TL13'!$B$3=K$3,SUMIF('TL13'!$C$10:$C$224,$C374,'TL13'!$J$10:$J$224),0),
IF('TL13'!$B$229=K$3,SUMIF('TL13'!$C$238:$C$451,$C374,'TL13'!$J$238:$J$451),0),
IF('TL14'!$B$3=K$3,SUMIF('TL14'!$C$10:$C$224,$C374,'TL14'!$J$10:$J$224),0),
IF('TL14'!$B$229=K$3,SUMIF('TL14'!$C$238:$C$451,$C374,'TL14'!$J$238:$J$451),0),
IF('TL15'!$B$3=K$3,SUMIF('TL15'!$C$10:$C$224,$C374,'TL15'!$J$10:$J$224),0),
IF('TL15'!$B$229=K$3,SUMIF('TL15'!$C$238:$C$451,$C374,'TL15'!$J$238:$J$451),0),
IF('TL16'!$B$3=K$3,SUMIF('TL16'!$C$10:$C$224,$C374,'TL16'!$J$10:$J$224),0),
IF('TL16'!$B$229=K$3,SUMIF('TL16'!$C$238:$C$451,$C374,'TL16'!$J$238:$J$451),0),
IF('TL17'!$B$3=K$3,SUMIF('TL17'!$C$10:$C$224,$C374,'TL17'!$J$10:$J$224),0),
IF('TL17'!$B$229=K$3,SUMIF('TL17'!$C$238:$C$451,$C374,'TL17'!$J$238:$J$451),0),
IF('TL18'!$B$3=K$3,SUMIF('TL18'!$C$10:$C$224,$C374,'TL18'!$J$10:$J$224),0),
IF('TL18'!$B$229=K$3,SUMIF('TL18'!$C$238:$C$451,$C374,'TL18'!$J$238:$J$451),0),
IF('TL19'!$B$3=K$3,SUMIF('TL19'!$C$10:$C$224,$C374,'TL19'!$J$10:$J$224),0),
IF('TL19'!$B$229=K$3,SUMIF('TL19'!$C$238:$C$451,$C374,'TL19'!$J$238:$J$451),0)
),0)</f>
        <v>30</v>
      </c>
      <c r="L374" s="9">
        <f>IFERROR(SUM(
IF('TL01'!$B$3=L$3,SUMIF('TL01'!$C$10:$C$224,$C374,'TL01'!$J$10:$J$224),0),
IF('TL01'!$B$229=L$3,SUMIF('TL01'!$C$238:$C$451,$C374,'TL01'!$J$238:$J$451),0),
IF('TL02'!$B$3=L$3,SUMIF('TL02'!$C$10:$C$224,$C374,'TL02'!$J$10:$J$224),0),
IF('TL02'!$B$229=L$3,SUMIF('TL02'!$C$238:$C$451,$C374,'TL02'!$J$238:$J$451),0),
IF('TL03'!$B$3=L$3,SUMIF('TL03'!$C$10:$C$224,$C374,'TL03'!$J$10:$J$224),0),
IF('TL03'!$B$229=L$3,SUMIF('TL03'!$C$238:$C$451,$C374,'TL03'!$J$238:$J$451),0),
IF('TL04'!$B$3=L$3,SUMIF('TL04'!$C$10:$C$224,$C374,'TL04'!$J$10:$J$224),0),
IF('TL04'!$B$229=L$3,SUMIF('TL04'!$C$238:$C$451,$C374,'TL04'!$J$238:$J$451),0),
IF('TL05'!$B$3=L$3,SUMIF('TL05'!$C$10:$C$224,$C374,'TL05'!$J$10:$J$224),0),
IF('TL05'!$B$229=L$3,SUMIF('TL05'!$C$238:$C$451,$C374,'TL05'!$J$238:$J$451),0),
IF('TL06'!$B$3=L$3,SUMIF('TL06'!$C$10:$C$224,$C374,'TL06'!$J$10:$J$224),0),
IF('TL06'!$B$229=L$3,SUMIF('TL06'!$C$238:$C$451,$C374,'TL06'!$J$238:$J$451),0),
IF('TL07'!$B$3=L$3,SUMIF('TL07'!$C$10:$C$224,$C374,'TL07'!$J$10:$J$224),0),
IF('TL07'!$B$229=L$3,SUMIF('TL07'!$C$238:$C$451,$C374,'TL07'!$J$238:$J$451),0),
IF('TL08'!$B$3=L$3,SUMIF('TL08'!$C$10:$C$224,$C374,'TL08'!$J$10:$J$224),0),
IF('TL08'!$B$229=L$3,SUMIF('TL08'!$C$238:$C$451,$C374,'TL08'!$J$238:$J$451),0),
IF('TL09'!$B$3=L$3,SUMIF('TL09'!$C$10:$C$224,$C374,'TL09'!$J$10:$J$224),0),
IF('TL09'!$B$229=L$3,SUMIF('TL09'!$C$238:$C$451,$C374,'TL09'!$J$238:$J$451),0),
IF('TL10'!$B$3=L$3,SUMIF('TL10'!$C$10:$C$224,$C374,'TL10'!$J$10:$J$224),0),
IF('TL10'!$B$229=L$3,SUMIF('TL10'!$C$238:$C$451,$C374,'TL10'!$J$238:$J$451),0),
IF('TL11'!$B$3=L$3,SUMIF('TL11'!$C$10:$C$224,$C374,'TL11'!$J$10:$J$224),0),
IF('TL11'!$B$229=L$3,SUMIF('TL11'!$C$238:$C$451,$C374,'TL11'!$J$238:$J$451),0),
IF('TL12'!$B$3=L$3,SUMIF('TL12'!$C$10:$C$224,$C374,'TL12'!$J$10:$J$224),0),
IF('TL12'!$B$229=L$3,SUMIF('TL12'!$C$238:$C$451,$C374,'TL12'!$J$238:$J$451),0),
IF('TL13'!$B$3=L$3,SUMIF('TL13'!$C$10:$C$224,$C374,'TL13'!$J$10:$J$224),0),
IF('TL13'!$B$229=L$3,SUMIF('TL13'!$C$238:$C$451,$C374,'TL13'!$J$238:$J$451),0),
IF('TL14'!$B$3=L$3,SUMIF('TL14'!$C$10:$C$224,$C374,'TL14'!$J$10:$J$224),0),
IF('TL14'!$B$229=L$3,SUMIF('TL14'!$C$238:$C$451,$C374,'TL14'!$J$238:$J$451),0),
IF('TL15'!$B$3=L$3,SUMIF('TL15'!$C$10:$C$224,$C374,'TL15'!$J$10:$J$224),0),
IF('TL15'!$B$229=L$3,SUMIF('TL15'!$C$238:$C$451,$C374,'TL15'!$J$238:$J$451),0),
IF('TL16'!$B$3=L$3,SUMIF('TL16'!$C$10:$C$224,$C374,'TL16'!$J$10:$J$224),0),
IF('TL16'!$B$229=L$3,SUMIF('TL16'!$C$238:$C$451,$C374,'TL16'!$J$238:$J$451),0),
IF('TL17'!$B$3=L$3,SUMIF('TL17'!$C$10:$C$224,$C374,'TL17'!$J$10:$J$224),0),
IF('TL17'!$B$229=L$3,SUMIF('TL17'!$C$238:$C$451,$C374,'TL17'!$J$238:$J$451),0),
IF('TL18'!$B$3=L$3,SUMIF('TL18'!$C$10:$C$224,$C374,'TL18'!$J$10:$J$224),0),
IF('TL18'!$B$229=L$3,SUMIF('TL18'!$C$238:$C$451,$C374,'TL18'!$J$238:$J$451),0),
IF('TL19'!$B$3=L$3,SUMIF('TL19'!$C$10:$C$224,$C374,'TL19'!$J$10:$J$224),0),
IF('TL19'!$B$229=L$3,SUMIF('TL19'!$C$238:$C$451,$C374,'TL19'!$J$238:$J$451),0)
),0)</f>
        <v>22</v>
      </c>
      <c r="M374" s="9">
        <f>IFERROR(SUM(
IF('TL01'!$B$3=M$3,SUMIF('TL01'!$C$10:$C$224,$C374,'TL01'!$J$10:$J$224),0),
IF('TL01'!$B$229=M$3,SUMIF('TL01'!$C$238:$C$451,$C374,'TL01'!$J$238:$J$451),0),
IF('TL02'!$B$3=M$3,SUMIF('TL02'!$C$10:$C$224,$C374,'TL02'!$J$10:$J$224),0),
IF('TL02'!$B$229=M$3,SUMIF('TL02'!$C$238:$C$451,$C374,'TL02'!$J$238:$J$451),0),
IF('TL03'!$B$3=M$3,SUMIF('TL03'!$C$10:$C$224,$C374,'TL03'!$J$10:$J$224),0),
IF('TL03'!$B$229=M$3,SUMIF('TL03'!$C$238:$C$451,$C374,'TL03'!$J$238:$J$451),0),
IF('TL04'!$B$3=M$3,SUMIF('TL04'!$C$10:$C$224,$C374,'TL04'!$J$10:$J$224),0),
IF('TL04'!$B$229=M$3,SUMIF('TL04'!$C$238:$C$451,$C374,'TL04'!$J$238:$J$451),0),
IF('TL05'!$B$3=M$3,SUMIF('TL05'!$C$10:$C$224,$C374,'TL05'!$J$10:$J$224),0),
IF('TL05'!$B$229=M$3,SUMIF('TL05'!$C$238:$C$451,$C374,'TL05'!$J$238:$J$451),0),
IF('TL06'!$B$3=M$3,SUMIF('TL06'!$C$10:$C$224,$C374,'TL06'!$J$10:$J$224),0),
IF('TL06'!$B$229=M$3,SUMIF('TL06'!$C$238:$C$451,$C374,'TL06'!$J$238:$J$451),0),
IF('TL07'!$B$3=M$3,SUMIF('TL07'!$C$10:$C$224,$C374,'TL07'!$J$10:$J$224),0),
IF('TL07'!$B$229=M$3,SUMIF('TL07'!$C$238:$C$451,$C374,'TL07'!$J$238:$J$451),0),
IF('TL08'!$B$3=M$3,SUMIF('TL08'!$C$10:$C$224,$C374,'TL08'!$J$10:$J$224),0),
IF('TL08'!$B$229=M$3,SUMIF('TL08'!$C$238:$C$451,$C374,'TL08'!$J$238:$J$451),0),
IF('TL09'!$B$3=M$3,SUMIF('TL09'!$C$10:$C$224,$C374,'TL09'!$J$10:$J$224),0),
IF('TL09'!$B$229=M$3,SUMIF('TL09'!$C$238:$C$451,$C374,'TL09'!$J$238:$J$451),0),
IF('TL10'!$B$3=M$3,SUMIF('TL10'!$C$10:$C$224,$C374,'TL10'!$J$10:$J$224),0),
IF('TL10'!$B$229=M$3,SUMIF('TL10'!$C$238:$C$451,$C374,'TL10'!$J$238:$J$451),0),
IF('TL11'!$B$3=M$3,SUMIF('TL11'!$C$10:$C$224,$C374,'TL11'!$J$10:$J$224),0),
IF('TL11'!$B$229=M$3,SUMIF('TL11'!$C$238:$C$451,$C374,'TL11'!$J$238:$J$451),0),
IF('TL12'!$B$3=M$3,SUMIF('TL12'!$C$10:$C$224,$C374,'TL12'!$J$10:$J$224),0),
IF('TL12'!$B$229=M$3,SUMIF('TL12'!$C$238:$C$451,$C374,'TL12'!$J$238:$J$451),0),
IF('TL13'!$B$3=M$3,SUMIF('TL13'!$C$10:$C$224,$C374,'TL13'!$J$10:$J$224),0),
IF('TL13'!$B$229=M$3,SUMIF('TL13'!$C$238:$C$451,$C374,'TL13'!$J$238:$J$451),0),
IF('TL14'!$B$3=M$3,SUMIF('TL14'!$C$10:$C$224,$C374,'TL14'!$J$10:$J$224),0),
IF('TL14'!$B$229=M$3,SUMIF('TL14'!$C$238:$C$451,$C374,'TL14'!$J$238:$J$451),0),
IF('TL15'!$B$3=M$3,SUMIF('TL15'!$C$10:$C$224,$C374,'TL15'!$J$10:$J$224),0),
IF('TL15'!$B$229=M$3,SUMIF('TL15'!$C$238:$C$451,$C374,'TL15'!$J$238:$J$451),0),
IF('TL16'!$B$3=M$3,SUMIF('TL16'!$C$10:$C$224,$C374,'TL16'!$J$10:$J$224),0),
IF('TL16'!$B$229=M$3,SUMIF('TL16'!$C$238:$C$451,$C374,'TL16'!$J$238:$J$451),0),
IF('TL17'!$B$3=M$3,SUMIF('TL17'!$C$10:$C$224,$C374,'TL17'!$J$10:$J$224),0),
IF('TL17'!$B$229=M$3,SUMIF('TL17'!$C$238:$C$451,$C374,'TL17'!$J$238:$J$451),0),
IF('TL18'!$B$3=M$3,SUMIF('TL18'!$C$10:$C$224,$C374,'TL18'!$J$10:$J$224),0),
IF('TL18'!$B$229=M$3,SUMIF('TL18'!$C$238:$C$451,$C374,'TL18'!$J$238:$J$451),0),
IF('TL19'!$B$3=M$3,SUMIF('TL19'!$C$10:$C$224,$C374,'TL19'!$J$10:$J$224),0),
IF('TL19'!$B$229=M$3,SUMIF('TL19'!$C$238:$C$451,$C374,'TL19'!$J$238:$J$451),0)
),0)</f>
        <v>0</v>
      </c>
      <c r="N374" s="9">
        <f>IFERROR(SUM(
IF('TL01'!$B$3=N$3,SUMIF('TL01'!$C$10:$C$224,$C374,'TL01'!$J$10:$J$224),0),
IF('TL01'!$B$229=N$3,SUMIF('TL01'!$C$238:$C$451,$C374,'TL01'!$J$238:$J$451),0),
IF('TL02'!$B$3=N$3,SUMIF('TL02'!$C$10:$C$224,$C374,'TL02'!$J$10:$J$224),0),
IF('TL02'!$B$229=N$3,SUMIF('TL02'!$C$238:$C$451,$C374,'TL02'!$J$238:$J$451),0),
IF('TL03'!$B$3=N$3,SUMIF('TL03'!$C$10:$C$224,$C374,'TL03'!$J$10:$J$224),0),
IF('TL03'!$B$229=N$3,SUMIF('TL03'!$C$238:$C$451,$C374,'TL03'!$J$238:$J$451),0),
IF('TL04'!$B$3=N$3,SUMIF('TL04'!$C$10:$C$224,$C374,'TL04'!$J$10:$J$224),0),
IF('TL04'!$B$229=N$3,SUMIF('TL04'!$C$238:$C$451,$C374,'TL04'!$J$238:$J$451),0),
IF('TL05'!$B$3=N$3,SUMIF('TL05'!$C$10:$C$224,$C374,'TL05'!$J$10:$J$224),0),
IF('TL05'!$B$229=N$3,SUMIF('TL05'!$C$238:$C$451,$C374,'TL05'!$J$238:$J$451),0),
IF('TL06'!$B$3=N$3,SUMIF('TL06'!$C$10:$C$224,$C374,'TL06'!$J$10:$J$224),0),
IF('TL06'!$B$229=N$3,SUMIF('TL06'!$C$238:$C$451,$C374,'TL06'!$J$238:$J$451),0),
IF('TL07'!$B$3=N$3,SUMIF('TL07'!$C$10:$C$224,$C374,'TL07'!$J$10:$J$224),0),
IF('TL07'!$B$229=N$3,SUMIF('TL07'!$C$238:$C$451,$C374,'TL07'!$J$238:$J$451),0),
IF('TL08'!$B$3=N$3,SUMIF('TL08'!$C$10:$C$224,$C374,'TL08'!$J$10:$J$224),0),
IF('TL08'!$B$229=N$3,SUMIF('TL08'!$C$238:$C$451,$C374,'TL08'!$J$238:$J$451),0),
IF('TL09'!$B$3=N$3,SUMIF('TL09'!$C$10:$C$224,$C374,'TL09'!$J$10:$J$224),0),
IF('TL09'!$B$229=N$3,SUMIF('TL09'!$C$238:$C$451,$C374,'TL09'!$J$238:$J$451),0),
IF('TL10'!$B$3=N$3,SUMIF('TL10'!$C$10:$C$224,$C374,'TL10'!$J$10:$J$224),0),
IF('TL10'!$B$229=N$3,SUMIF('TL10'!$C$238:$C$451,$C374,'TL10'!$J$238:$J$451),0),
IF('TL11'!$B$3=N$3,SUMIF('TL11'!$C$10:$C$224,$C374,'TL11'!$J$10:$J$224),0),
IF('TL11'!$B$229=N$3,SUMIF('TL11'!$C$238:$C$451,$C374,'TL11'!$J$238:$J$451),0),
IF('TL12'!$B$3=N$3,SUMIF('TL12'!$C$10:$C$224,$C374,'TL12'!$J$10:$J$224),0),
IF('TL12'!$B$229=N$3,SUMIF('TL12'!$C$238:$C$451,$C374,'TL12'!$J$238:$J$451),0),
IF('TL13'!$B$3=N$3,SUMIF('TL13'!$C$10:$C$224,$C374,'TL13'!$J$10:$J$224),0),
IF('TL13'!$B$229=N$3,SUMIF('TL13'!$C$238:$C$451,$C374,'TL13'!$J$238:$J$451),0),
IF('TL14'!$B$3=N$3,SUMIF('TL14'!$C$10:$C$224,$C374,'TL14'!$J$10:$J$224),0),
IF('TL14'!$B$229=N$3,SUMIF('TL14'!$C$238:$C$451,$C374,'TL14'!$J$238:$J$451),0),
IF('TL15'!$B$3=N$3,SUMIF('TL15'!$C$10:$C$224,$C374,'TL15'!$J$10:$J$224),0),
IF('TL15'!$B$229=N$3,SUMIF('TL15'!$C$238:$C$451,$C374,'TL15'!$J$238:$J$451),0),
IF('TL16'!$B$3=N$3,SUMIF('TL16'!$C$10:$C$224,$C374,'TL16'!$J$10:$J$224),0),
IF('TL16'!$B$229=N$3,SUMIF('TL16'!$C$238:$C$451,$C374,'TL16'!$J$238:$J$451),0),
IF('TL17'!$B$3=N$3,SUMIF('TL17'!$C$10:$C$224,$C374,'TL17'!$J$10:$J$224),0),
IF('TL17'!$B$229=N$3,SUMIF('TL17'!$C$238:$C$451,$C374,'TL17'!$J$238:$J$451),0),
IF('TL18'!$B$3=N$3,SUMIF('TL18'!$C$10:$C$224,$C374,'TL18'!$J$10:$J$224),0),
IF('TL18'!$B$229=N$3,SUMIF('TL18'!$C$238:$C$451,$C374,'TL18'!$J$238:$J$451),0),
IF('TL19'!$B$3=N$3,SUMIF('TL19'!$C$10:$C$224,$C374,'TL19'!$J$10:$J$224),0),
IF('TL19'!$B$229=N$3,SUMIF('TL19'!$C$238:$C$451,$C374,'TL19'!$J$238:$J$451),0)
),0)</f>
        <v>0</v>
      </c>
      <c r="O374" s="9">
        <f>IFERROR(SUM(
IF('TL01'!$B$3=O$3,SUMIF('TL01'!$C$10:$C$224,$C374,'TL01'!$J$10:$J$224),0),
IF('TL01'!$B$229=O$3,SUMIF('TL01'!$C$238:$C$451,$C374,'TL01'!$J$238:$J$451),0),
IF('TL02'!$B$3=O$3,SUMIF('TL02'!$C$10:$C$224,$C374,'TL02'!$J$10:$J$224),0),
IF('TL02'!$B$229=O$3,SUMIF('TL02'!$C$238:$C$451,$C374,'TL02'!$J$238:$J$451),0),
IF('TL03'!$B$3=O$3,SUMIF('TL03'!$C$10:$C$224,$C374,'TL03'!$J$10:$J$224),0),
IF('TL03'!$B$229=O$3,SUMIF('TL03'!$C$238:$C$451,$C374,'TL03'!$J$238:$J$451),0),
IF('TL04'!$B$3=O$3,SUMIF('TL04'!$C$10:$C$224,$C374,'TL04'!$J$10:$J$224),0),
IF('TL04'!$B$229=O$3,SUMIF('TL04'!$C$238:$C$451,$C374,'TL04'!$J$238:$J$451),0),
IF('TL05'!$B$3=O$3,SUMIF('TL05'!$C$10:$C$224,$C374,'TL05'!$J$10:$J$224),0),
IF('TL05'!$B$229=O$3,SUMIF('TL05'!$C$238:$C$451,$C374,'TL05'!$J$238:$J$451),0),
IF('TL06'!$B$3=O$3,SUMIF('TL06'!$C$10:$C$224,$C374,'TL06'!$J$10:$J$224),0),
IF('TL06'!$B$229=O$3,SUMIF('TL06'!$C$238:$C$451,$C374,'TL06'!$J$238:$J$451),0),
IF('TL07'!$B$3=O$3,SUMIF('TL07'!$C$10:$C$224,$C374,'TL07'!$J$10:$J$224),0),
IF('TL07'!$B$229=O$3,SUMIF('TL07'!$C$238:$C$451,$C374,'TL07'!$J$238:$J$451),0),
IF('TL08'!$B$3=O$3,SUMIF('TL08'!$C$10:$C$224,$C374,'TL08'!$J$10:$J$224),0),
IF('TL08'!$B$229=O$3,SUMIF('TL08'!$C$238:$C$451,$C374,'TL08'!$J$238:$J$451),0),
IF('TL09'!$B$3=O$3,SUMIF('TL09'!$C$10:$C$224,$C374,'TL09'!$J$10:$J$224),0),
IF('TL09'!$B$229=O$3,SUMIF('TL09'!$C$238:$C$451,$C374,'TL09'!$J$238:$J$451),0),
IF('TL10'!$B$3=O$3,SUMIF('TL10'!$C$10:$C$224,$C374,'TL10'!$J$10:$J$224),0),
IF('TL10'!$B$229=O$3,SUMIF('TL10'!$C$238:$C$451,$C374,'TL10'!$J$238:$J$451),0),
IF('TL11'!$B$3=O$3,SUMIF('TL11'!$C$10:$C$224,$C374,'TL11'!$J$10:$J$224),0),
IF('TL11'!$B$229=O$3,SUMIF('TL11'!$C$238:$C$451,$C374,'TL11'!$J$238:$J$451),0),
IF('TL12'!$B$3=O$3,SUMIF('TL12'!$C$10:$C$224,$C374,'TL12'!$J$10:$J$224),0),
IF('TL12'!$B$229=O$3,SUMIF('TL12'!$C$238:$C$451,$C374,'TL12'!$J$238:$J$451),0),
IF('TL13'!$B$3=O$3,SUMIF('TL13'!$C$10:$C$224,$C374,'TL13'!$J$10:$J$224),0),
IF('TL13'!$B$229=O$3,SUMIF('TL13'!$C$238:$C$451,$C374,'TL13'!$J$238:$J$451),0),
IF('TL14'!$B$3=O$3,SUMIF('TL14'!$C$10:$C$224,$C374,'TL14'!$J$10:$J$224),0),
IF('TL14'!$B$229=O$3,SUMIF('TL14'!$C$238:$C$451,$C374,'TL14'!$J$238:$J$451),0),
IF('TL15'!$B$3=O$3,SUMIF('TL15'!$C$10:$C$224,$C374,'TL15'!$J$10:$J$224),0),
IF('TL15'!$B$229=O$3,SUMIF('TL15'!$C$238:$C$451,$C374,'TL15'!$J$238:$J$451),0),
IF('TL16'!$B$3=O$3,SUMIF('TL16'!$C$10:$C$224,$C374,'TL16'!$J$10:$J$224),0),
IF('TL16'!$B$229=O$3,SUMIF('TL16'!$C$238:$C$451,$C374,'TL16'!$J$238:$J$451),0),
IF('TL17'!$B$3=O$3,SUMIF('TL17'!$C$10:$C$224,$C374,'TL17'!$J$10:$J$224),0),
IF('TL17'!$B$229=O$3,SUMIF('TL17'!$C$238:$C$451,$C374,'TL17'!$J$238:$J$451),0),
IF('TL18'!$B$3=O$3,SUMIF('TL18'!$C$10:$C$224,$C374,'TL18'!$J$10:$J$224),0),
IF('TL18'!$B$229=O$3,SUMIF('TL18'!$C$238:$C$451,$C374,'TL18'!$J$238:$J$451),0),
IF('TL19'!$B$3=O$3,SUMIF('TL19'!$C$10:$C$224,$C374,'TL19'!$J$10:$J$224),0),
IF('TL19'!$B$229=O$3,SUMIF('TL19'!$C$238:$C$451,$C374,'TL19'!$J$238:$J$451),0)
),0)</f>
        <v>0</v>
      </c>
      <c r="P374" s="9">
        <f>IFERROR(SUM(
IF('TL01'!$B$3=P$3,SUMIF('TL01'!$C$10:$C$224,$C374,'TL01'!$J$10:$J$224),0),
IF('TL01'!$B$229=P$3,SUMIF('TL01'!$C$238:$C$451,$C374,'TL01'!$J$238:$J$451),0),
IF('TL02'!$B$3=P$3,SUMIF('TL02'!$C$10:$C$224,$C374,'TL02'!$J$10:$J$224),0),
IF('TL02'!$B$229=P$3,SUMIF('TL02'!$C$238:$C$451,$C374,'TL02'!$J$238:$J$451),0),
IF('TL03'!$B$3=P$3,SUMIF('TL03'!$C$10:$C$224,$C374,'TL03'!$J$10:$J$224),0),
IF('TL03'!$B$229=P$3,SUMIF('TL03'!$C$238:$C$451,$C374,'TL03'!$J$238:$J$451),0),
IF('TL04'!$B$3=P$3,SUMIF('TL04'!$C$10:$C$224,$C374,'TL04'!$J$10:$J$224),0),
IF('TL04'!$B$229=P$3,SUMIF('TL04'!$C$238:$C$451,$C374,'TL04'!$J$238:$J$451),0),
IF('TL05'!$B$3=P$3,SUMIF('TL05'!$C$10:$C$224,$C374,'TL05'!$J$10:$J$224),0),
IF('TL05'!$B$229=P$3,SUMIF('TL05'!$C$238:$C$451,$C374,'TL05'!$J$238:$J$451),0),
IF('TL06'!$B$3=P$3,SUMIF('TL06'!$C$10:$C$224,$C374,'TL06'!$J$10:$J$224),0),
IF('TL06'!$B$229=P$3,SUMIF('TL06'!$C$238:$C$451,$C374,'TL06'!$J$238:$J$451),0),
IF('TL07'!$B$3=P$3,SUMIF('TL07'!$C$10:$C$224,$C374,'TL07'!$J$10:$J$224),0),
IF('TL07'!$B$229=P$3,SUMIF('TL07'!$C$238:$C$451,$C374,'TL07'!$J$238:$J$451),0),
IF('TL08'!$B$3=P$3,SUMIF('TL08'!$C$10:$C$224,$C374,'TL08'!$J$10:$J$224),0),
IF('TL08'!$B$229=P$3,SUMIF('TL08'!$C$238:$C$451,$C374,'TL08'!$J$238:$J$451),0),
IF('TL09'!$B$3=P$3,SUMIF('TL09'!$C$10:$C$224,$C374,'TL09'!$J$10:$J$224),0),
IF('TL09'!$B$229=P$3,SUMIF('TL09'!$C$238:$C$451,$C374,'TL09'!$J$238:$J$451),0),
IF('TL10'!$B$3=P$3,SUMIF('TL10'!$C$10:$C$224,$C374,'TL10'!$J$10:$J$224),0),
IF('TL10'!$B$229=P$3,SUMIF('TL10'!$C$238:$C$451,$C374,'TL10'!$J$238:$J$451),0),
IF('TL11'!$B$3=P$3,SUMIF('TL11'!$C$10:$C$224,$C374,'TL11'!$J$10:$J$224),0),
IF('TL11'!$B$229=P$3,SUMIF('TL11'!$C$238:$C$451,$C374,'TL11'!$J$238:$J$451),0),
IF('TL12'!$B$3=P$3,SUMIF('TL12'!$C$10:$C$224,$C374,'TL12'!$J$10:$J$224),0),
IF('TL12'!$B$229=P$3,SUMIF('TL12'!$C$238:$C$451,$C374,'TL12'!$J$238:$J$451),0),
IF('TL13'!$B$3=P$3,SUMIF('TL13'!$C$10:$C$224,$C374,'TL13'!$J$10:$J$224),0),
IF('TL13'!$B$229=P$3,SUMIF('TL13'!$C$238:$C$451,$C374,'TL13'!$J$238:$J$451),0),
IF('TL14'!$B$3=P$3,SUMIF('TL14'!$C$10:$C$224,$C374,'TL14'!$J$10:$J$224),0),
IF('TL14'!$B$229=P$3,SUMIF('TL14'!$C$238:$C$451,$C374,'TL14'!$J$238:$J$451),0),
IF('TL15'!$B$3=P$3,SUMIF('TL15'!$C$10:$C$224,$C374,'TL15'!$J$10:$J$224),0),
IF('TL15'!$B$229=P$3,SUMIF('TL15'!$C$238:$C$451,$C374,'TL15'!$J$238:$J$451),0),
IF('TL16'!$B$3=P$3,SUMIF('TL16'!$C$10:$C$224,$C374,'TL16'!$J$10:$J$224),0),
IF('TL16'!$B$229=P$3,SUMIF('TL16'!$C$238:$C$451,$C374,'TL16'!$J$238:$J$451),0),
IF('TL17'!$B$3=P$3,SUMIF('TL17'!$C$10:$C$224,$C374,'TL17'!$J$10:$J$224),0),
IF('TL17'!$B$229=P$3,SUMIF('TL17'!$C$238:$C$451,$C374,'TL17'!$J$238:$J$451),0),
IF('TL18'!$B$3=P$3,SUMIF('TL18'!$C$10:$C$224,$C374,'TL18'!$J$10:$J$224),0),
IF('TL18'!$B$229=P$3,SUMIF('TL18'!$C$238:$C$451,$C374,'TL18'!$J$238:$J$451),0),
IF('TL19'!$B$3=P$3,SUMIF('TL19'!$C$10:$C$224,$C374,'TL19'!$J$10:$J$224),0),
IF('TL19'!$B$229=P$3,SUMIF('TL19'!$C$238:$C$451,$C374,'TL19'!$J$238:$J$451),0)
),0)</f>
        <v>121.8</v>
      </c>
      <c r="Q374" s="9">
        <f>IFERROR(SUM(
IF('TL01'!$B$3=Q$3,SUMIF('TL01'!$C$10:$C$224,$C374,'TL01'!$J$10:$J$224),0),
IF('TL01'!$B$229=Q$3,SUMIF('TL01'!$C$238:$C$451,$C374,'TL01'!$J$238:$J$451),0),
IF('TL02'!$B$3=Q$3,SUMIF('TL02'!$C$10:$C$224,$C374,'TL02'!$J$10:$J$224),0),
IF('TL02'!$B$229=Q$3,SUMIF('TL02'!$C$238:$C$451,$C374,'TL02'!$J$238:$J$451),0),
IF('TL03'!$B$3=Q$3,SUMIF('TL03'!$C$10:$C$224,$C374,'TL03'!$J$10:$J$224),0),
IF('TL03'!$B$229=Q$3,SUMIF('TL03'!$C$238:$C$451,$C374,'TL03'!$J$238:$J$451),0),
IF('TL04'!$B$3=Q$3,SUMIF('TL04'!$C$10:$C$224,$C374,'TL04'!$J$10:$J$224),0),
IF('TL04'!$B$229=Q$3,SUMIF('TL04'!$C$238:$C$451,$C374,'TL04'!$J$238:$J$451),0),
IF('TL05'!$B$3=Q$3,SUMIF('TL05'!$C$10:$C$224,$C374,'TL05'!$J$10:$J$224),0),
IF('TL05'!$B$229=Q$3,SUMIF('TL05'!$C$238:$C$451,$C374,'TL05'!$J$238:$J$451),0),
IF('TL06'!$B$3=Q$3,SUMIF('TL06'!$C$10:$C$224,$C374,'TL06'!$J$10:$J$224),0),
IF('TL06'!$B$229=Q$3,SUMIF('TL06'!$C$238:$C$451,$C374,'TL06'!$J$238:$J$451),0),
IF('TL07'!$B$3=Q$3,SUMIF('TL07'!$C$10:$C$224,$C374,'TL07'!$J$10:$J$224),0),
IF('TL07'!$B$229=Q$3,SUMIF('TL07'!$C$238:$C$451,$C374,'TL07'!$J$238:$J$451),0),
IF('TL08'!$B$3=Q$3,SUMIF('TL08'!$C$10:$C$224,$C374,'TL08'!$J$10:$J$224),0),
IF('TL08'!$B$229=Q$3,SUMIF('TL08'!$C$238:$C$451,$C374,'TL08'!$J$238:$J$451),0),
IF('TL09'!$B$3=Q$3,SUMIF('TL09'!$C$10:$C$224,$C374,'TL09'!$J$10:$J$224),0),
IF('TL09'!$B$229=Q$3,SUMIF('TL09'!$C$238:$C$451,$C374,'TL09'!$J$238:$J$451),0),
IF('TL10'!$B$3=Q$3,SUMIF('TL10'!$C$10:$C$224,$C374,'TL10'!$J$10:$J$224),0),
IF('TL10'!$B$229=Q$3,SUMIF('TL10'!$C$238:$C$451,$C374,'TL10'!$J$238:$J$451),0),
IF('TL11'!$B$3=Q$3,SUMIF('TL11'!$C$10:$C$224,$C374,'TL11'!$J$10:$J$224),0),
IF('TL11'!$B$229=Q$3,SUMIF('TL11'!$C$238:$C$451,$C374,'TL11'!$J$238:$J$451),0),
IF('TL12'!$B$3=Q$3,SUMIF('TL12'!$C$10:$C$224,$C374,'TL12'!$J$10:$J$224),0),
IF('TL12'!$B$229=Q$3,SUMIF('TL12'!$C$238:$C$451,$C374,'TL12'!$J$238:$J$451),0),
IF('TL13'!$B$3=Q$3,SUMIF('TL13'!$C$10:$C$224,$C374,'TL13'!$J$10:$J$224),0),
IF('TL13'!$B$229=Q$3,SUMIF('TL13'!$C$238:$C$451,$C374,'TL13'!$J$238:$J$451),0),
IF('TL14'!$B$3=Q$3,SUMIF('TL14'!$C$10:$C$224,$C374,'TL14'!$J$10:$J$224),0),
IF('TL14'!$B$229=Q$3,SUMIF('TL14'!$C$238:$C$451,$C374,'TL14'!$J$238:$J$451),0),
IF('TL15'!$B$3=Q$3,SUMIF('TL15'!$C$10:$C$224,$C374,'TL15'!$J$10:$J$224),0),
IF('TL15'!$B$229=Q$3,SUMIF('TL15'!$C$238:$C$451,$C374,'TL15'!$J$238:$J$451),0),
IF('TL16'!$B$3=Q$3,SUMIF('TL16'!$C$10:$C$224,$C374,'TL16'!$J$10:$J$224),0),
IF('TL16'!$B$229=Q$3,SUMIF('TL16'!$C$238:$C$451,$C374,'TL16'!$J$238:$J$451),0),
IF('TL17'!$B$3=Q$3,SUMIF('TL17'!$C$10:$C$224,$C374,'TL17'!$J$10:$J$224),0),
IF('TL17'!$B$229=Q$3,SUMIF('TL17'!$C$238:$C$451,$C374,'TL17'!$J$238:$J$451),0),
IF('TL18'!$B$3=Q$3,SUMIF('TL18'!$C$10:$C$224,$C374,'TL18'!$J$10:$J$224),0),
IF('TL18'!$B$229=Q$3,SUMIF('TL18'!$C$238:$C$451,$C374,'TL18'!$J$238:$J$451),0),
IF('TL19'!$B$3=Q$3,SUMIF('TL19'!$C$10:$C$224,$C374,'TL19'!$J$10:$J$224),0),
IF('TL19'!$B$229=Q$3,SUMIF('TL19'!$C$238:$C$451,$C374,'TL19'!$J$238:$J$451),0)
),0)</f>
        <v>32</v>
      </c>
      <c r="R374" s="9">
        <f>IFERROR(
SUM(
SUMIF('TL01'!C:C,C374,'TL01'!J:J),
SUMIF('TL02'!C:C,C374,'TL02'!J:J),
SUMIF('TL03'!C:C,C374,'TL03'!J:J),
SUMIF('TL04'!C:C,C374,'TL04'!J:J),
SUMIF('TL05'!C:C,C374,'TL05'!J:J),
SUMIF('TL06'!C:C,C374,'TL06'!J:J),
SUMIF('TL07'!C:C,C374,'TL07'!J:J),
SUMIF('TL08'!C:C,C374,'TL08'!J:J),
SUMIF('TL09'!C:C,C374,'TL09'!J:J),
SUMIF('TL10'!C:C,C374,'TL10'!J:J),
SUMIF('TL11'!C:C,C374,'TL11'!J:J),
SUMIF('TL12'!C:C,C374,'TL12'!J:J),
SUMIF('TL13'!C:C,C374,'TL13'!J:J),
SUMIF('TL14'!C:C,C374,'TL14'!J:J),
SUMIF('TL15'!C:C,C374,'TL15'!J:J),
SUMIF('TL16'!C:C,C374,'TL16'!J:J),
SUMIF('TL17'!C:C,C374,'TL17'!J:J),
SUMIF('TL18'!C:C,C374,'TL18'!J:J),SUMIF('TL19'!C:C,C374,'TL19'!J:J))
,0)</f>
        <v>205.8</v>
      </c>
      <c r="S374" s="17">
        <f>IFERROR(__xludf.DUMMYFUNCTION("IFERROR(VLOOKUP(C374,
IMPORTRANGE(""1wULbzX32WdYsx-lj2U3uUNBBe2INVIRDtcK0d-Dvl90"",
""26-27!C:G""),
5,
FALSE),
"""")"),182.0)</f>
        <v>182</v>
      </c>
      <c r="T374" s="9"/>
      <c r="U374" s="92">
        <f t="shared" si="2"/>
        <v>205.8</v>
      </c>
      <c r="V374" s="93">
        <f t="shared" si="3"/>
        <v>37455.6</v>
      </c>
    </row>
    <row r="375" ht="15.75" hidden="1" customHeight="1">
      <c r="A375" s="4" t="s">
        <v>1071</v>
      </c>
      <c r="B375" s="4" t="s">
        <v>4</v>
      </c>
      <c r="C375" s="128" t="s">
        <v>1116</v>
      </c>
      <c r="D375" s="129" t="s">
        <v>1111</v>
      </c>
      <c r="E375" s="6"/>
      <c r="F375" s="4"/>
      <c r="G375" s="90" t="str">
        <f t="shared" si="5"/>
        <v>📄 Ver bula</v>
      </c>
      <c r="H375" s="9"/>
      <c r="I375" s="123"/>
      <c r="J375" s="9">
        <f>IFERROR(SUM(
IF('TL01'!$B$3=J$3,SUMIF('TL01'!$C$10:$C$224,$C375,'TL01'!$J$10:$J$224),0),
IF('TL01'!$B$229=J$3,SUMIF('TL01'!$C$238:$C$451,$C375,'TL01'!$J$238:$J$451),0),
IF('TL02'!$B$3=J$3,SUMIF('TL02'!$C$10:$C$224,$C375,'TL02'!$J$10:$J$224),0),
IF('TL02'!$B$229=J$3,SUMIF('TL02'!$C$238:$C$451,$C375,'TL02'!$J$238:$J$451),0),
IF('TL03'!$B$3=J$3,SUMIF('TL03'!$C$10:$C$224,$C375,'TL03'!$J$10:$J$224),0),
IF('TL03'!$B$229=J$3,SUMIF('TL03'!$C$238:$C$451,$C375,'TL03'!$J$238:$J$451),0),
IF('TL04'!$B$3=J$3,SUMIF('TL04'!$C$10:$C$224,$C375,'TL04'!$J$10:$J$224),0),
IF('TL04'!$B$229=J$3,SUMIF('TL04'!$C$238:$C$451,$C375,'TL04'!$J$238:$J$451),0),
IF('TL05'!$B$3=J$3,SUMIF('TL05'!$C$10:$C$224,$C375,'TL05'!$J$10:$J$224),0),
IF('TL05'!$B$229=J$3,SUMIF('TL05'!$C$238:$C$451,$C375,'TL05'!$J$238:$J$451),0),
IF('TL06'!$B$3=J$3,SUMIF('TL06'!$C$10:$C$224,$C375,'TL06'!$J$10:$J$224),0),
IF('TL06'!$B$229=J$3,SUMIF('TL06'!$C$238:$C$451,$C375,'TL06'!$J$238:$J$451),0),
IF('TL07'!$B$3=J$3,SUMIF('TL07'!$C$10:$C$224,$C375,'TL07'!$J$10:$J$224),0),
IF('TL07'!$B$229=J$3,SUMIF('TL07'!$C$238:$C$451,$C375,'TL07'!$J$238:$J$451),0),
IF('TL08'!$B$3=J$3,SUMIF('TL08'!$C$10:$C$224,$C375,'TL08'!$J$10:$J$224),0),
IF('TL08'!$B$229=J$3,SUMIF('TL08'!$C$238:$C$451,$C375,'TL08'!$J$238:$J$451),0),
IF('TL09'!$B$3=J$3,SUMIF('TL09'!$C$10:$C$224,$C375,'TL09'!$J$10:$J$224),0),
IF('TL09'!$B$229=J$3,SUMIF('TL09'!$C$238:$C$451,$C375,'TL09'!$J$238:$J$451),0),
IF('TL10'!$B$3=J$3,SUMIF('TL10'!$C$10:$C$224,$C375,'TL10'!$J$10:$J$224),0),
IF('TL10'!$B$229=J$3,SUMIF('TL10'!$C$238:$C$451,$C375,'TL10'!$J$238:$J$451),0),
IF('TL11'!$B$3=J$3,SUMIF('TL11'!$C$10:$C$224,$C375,'TL11'!$J$10:$J$224),0),
IF('TL11'!$B$229=J$3,SUMIF('TL11'!$C$238:$C$451,$C375,'TL11'!$J$238:$J$451),0),
IF('TL12'!$B$3=J$3,SUMIF('TL12'!$C$10:$C$224,$C375,'TL12'!$J$10:$J$224),0),
IF('TL12'!$B$229=J$3,SUMIF('TL12'!$C$238:$C$451,$C375,'TL12'!$J$238:$J$451),0),
IF('TL13'!$B$3=J$3,SUMIF('TL13'!$C$10:$C$224,$C375,'TL13'!$J$10:$J$224),0),
IF('TL13'!$B$229=J$3,SUMIF('TL13'!$C$238:$C$451,$C375,'TL13'!$J$238:$J$451),0),
IF('TL14'!$B$3=J$3,SUMIF('TL14'!$C$10:$C$224,$C375,'TL14'!$J$10:$J$224),0),
IF('TL14'!$B$229=J$3,SUMIF('TL14'!$C$238:$C$451,$C375,'TL14'!$J$238:$J$451),0),
IF('TL15'!$B$3=J$3,SUMIF('TL15'!$C$10:$C$224,$C375,'TL15'!$J$10:$J$224),0),
IF('TL15'!$B$229=J$3,SUMIF('TL15'!$C$238:$C$451,$C375,'TL15'!$J$238:$J$451),0),
IF('TL16'!$B$3=J$3,SUMIF('TL16'!$C$10:$C$224,$C375,'TL16'!$J$10:$J$224),0),
IF('TL16'!$B$229=J$3,SUMIF('TL16'!$C$238:$C$451,$C375,'TL16'!$J$238:$J$451),0),
IF('TL17'!$B$3=J$3,SUMIF('TL17'!$C$10:$C$224,$C375,'TL17'!$J$10:$J$224),0),
IF('TL17'!$B$229=J$3,SUMIF('TL17'!$C$238:$C$451,$C375,'TL17'!$J$238:$J$451),0),
IF('TL18'!$B$3=J$3,SUMIF('TL18'!$C$10:$C$224,$C375,'TL18'!$J$10:$J$224),0),
IF('TL18'!$B$229=J$3,SUMIF('TL18'!$C$238:$C$451,$C375,'TL18'!$J$238:$J$451),0),
IF('TL19'!$B$3=J$3,SUMIF('TL19'!$C$10:$C$224,$C375,'TL19'!$J$10:$J$224),0),
IF('TL19'!$B$229=J$3,SUMIF('TL19'!$C$238:$C$451,$C375,'TL19'!$J$238:$J$451),0)
),0)</f>
        <v>0</v>
      </c>
      <c r="K375" s="9">
        <f>IFERROR(SUM(
IF('TL01'!$B$3=K$3,SUMIF('TL01'!$C$10:$C$224,$C375,'TL01'!$J$10:$J$224),0),
IF('TL01'!$B$229=K$3,SUMIF('TL01'!$C$238:$C$451,$C375,'TL01'!$J$238:$J$451),0),
IF('TL02'!$B$3=K$3,SUMIF('TL02'!$C$10:$C$224,$C375,'TL02'!$J$10:$J$224),0),
IF('TL02'!$B$229=K$3,SUMIF('TL02'!$C$238:$C$451,$C375,'TL02'!$J$238:$J$451),0),
IF('TL03'!$B$3=K$3,SUMIF('TL03'!$C$10:$C$224,$C375,'TL03'!$J$10:$J$224),0),
IF('TL03'!$B$229=K$3,SUMIF('TL03'!$C$238:$C$451,$C375,'TL03'!$J$238:$J$451),0),
IF('TL04'!$B$3=K$3,SUMIF('TL04'!$C$10:$C$224,$C375,'TL04'!$J$10:$J$224),0),
IF('TL04'!$B$229=K$3,SUMIF('TL04'!$C$238:$C$451,$C375,'TL04'!$J$238:$J$451),0),
IF('TL05'!$B$3=K$3,SUMIF('TL05'!$C$10:$C$224,$C375,'TL05'!$J$10:$J$224),0),
IF('TL05'!$B$229=K$3,SUMIF('TL05'!$C$238:$C$451,$C375,'TL05'!$J$238:$J$451),0),
IF('TL06'!$B$3=K$3,SUMIF('TL06'!$C$10:$C$224,$C375,'TL06'!$J$10:$J$224),0),
IF('TL06'!$B$229=K$3,SUMIF('TL06'!$C$238:$C$451,$C375,'TL06'!$J$238:$J$451),0),
IF('TL07'!$B$3=K$3,SUMIF('TL07'!$C$10:$C$224,$C375,'TL07'!$J$10:$J$224),0),
IF('TL07'!$B$229=K$3,SUMIF('TL07'!$C$238:$C$451,$C375,'TL07'!$J$238:$J$451),0),
IF('TL08'!$B$3=K$3,SUMIF('TL08'!$C$10:$C$224,$C375,'TL08'!$J$10:$J$224),0),
IF('TL08'!$B$229=K$3,SUMIF('TL08'!$C$238:$C$451,$C375,'TL08'!$J$238:$J$451),0),
IF('TL09'!$B$3=K$3,SUMIF('TL09'!$C$10:$C$224,$C375,'TL09'!$J$10:$J$224),0),
IF('TL09'!$B$229=K$3,SUMIF('TL09'!$C$238:$C$451,$C375,'TL09'!$J$238:$J$451),0),
IF('TL10'!$B$3=K$3,SUMIF('TL10'!$C$10:$C$224,$C375,'TL10'!$J$10:$J$224),0),
IF('TL10'!$B$229=K$3,SUMIF('TL10'!$C$238:$C$451,$C375,'TL10'!$J$238:$J$451),0),
IF('TL11'!$B$3=K$3,SUMIF('TL11'!$C$10:$C$224,$C375,'TL11'!$J$10:$J$224),0),
IF('TL11'!$B$229=K$3,SUMIF('TL11'!$C$238:$C$451,$C375,'TL11'!$J$238:$J$451),0),
IF('TL12'!$B$3=K$3,SUMIF('TL12'!$C$10:$C$224,$C375,'TL12'!$J$10:$J$224),0),
IF('TL12'!$B$229=K$3,SUMIF('TL12'!$C$238:$C$451,$C375,'TL12'!$J$238:$J$451),0),
IF('TL13'!$B$3=K$3,SUMIF('TL13'!$C$10:$C$224,$C375,'TL13'!$J$10:$J$224),0),
IF('TL13'!$B$229=K$3,SUMIF('TL13'!$C$238:$C$451,$C375,'TL13'!$J$238:$J$451),0),
IF('TL14'!$B$3=K$3,SUMIF('TL14'!$C$10:$C$224,$C375,'TL14'!$J$10:$J$224),0),
IF('TL14'!$B$229=K$3,SUMIF('TL14'!$C$238:$C$451,$C375,'TL14'!$J$238:$J$451),0),
IF('TL15'!$B$3=K$3,SUMIF('TL15'!$C$10:$C$224,$C375,'TL15'!$J$10:$J$224),0),
IF('TL15'!$B$229=K$3,SUMIF('TL15'!$C$238:$C$451,$C375,'TL15'!$J$238:$J$451),0),
IF('TL16'!$B$3=K$3,SUMIF('TL16'!$C$10:$C$224,$C375,'TL16'!$J$10:$J$224),0),
IF('TL16'!$B$229=K$3,SUMIF('TL16'!$C$238:$C$451,$C375,'TL16'!$J$238:$J$451),0),
IF('TL17'!$B$3=K$3,SUMIF('TL17'!$C$10:$C$224,$C375,'TL17'!$J$10:$J$224),0),
IF('TL17'!$B$229=K$3,SUMIF('TL17'!$C$238:$C$451,$C375,'TL17'!$J$238:$J$451),0),
IF('TL18'!$B$3=K$3,SUMIF('TL18'!$C$10:$C$224,$C375,'TL18'!$J$10:$J$224),0),
IF('TL18'!$B$229=K$3,SUMIF('TL18'!$C$238:$C$451,$C375,'TL18'!$J$238:$J$451),0),
IF('TL19'!$B$3=K$3,SUMIF('TL19'!$C$10:$C$224,$C375,'TL19'!$J$10:$J$224),0),
IF('TL19'!$B$229=K$3,SUMIF('TL19'!$C$238:$C$451,$C375,'TL19'!$J$238:$J$451),0)
),0)</f>
        <v>0</v>
      </c>
      <c r="L375" s="9">
        <f>IFERROR(SUM(
IF('TL01'!$B$3=L$3,SUMIF('TL01'!$C$10:$C$224,$C375,'TL01'!$J$10:$J$224),0),
IF('TL01'!$B$229=L$3,SUMIF('TL01'!$C$238:$C$451,$C375,'TL01'!$J$238:$J$451),0),
IF('TL02'!$B$3=L$3,SUMIF('TL02'!$C$10:$C$224,$C375,'TL02'!$J$10:$J$224),0),
IF('TL02'!$B$229=L$3,SUMIF('TL02'!$C$238:$C$451,$C375,'TL02'!$J$238:$J$451),0),
IF('TL03'!$B$3=L$3,SUMIF('TL03'!$C$10:$C$224,$C375,'TL03'!$J$10:$J$224),0),
IF('TL03'!$B$229=L$3,SUMIF('TL03'!$C$238:$C$451,$C375,'TL03'!$J$238:$J$451),0),
IF('TL04'!$B$3=L$3,SUMIF('TL04'!$C$10:$C$224,$C375,'TL04'!$J$10:$J$224),0),
IF('TL04'!$B$229=L$3,SUMIF('TL04'!$C$238:$C$451,$C375,'TL04'!$J$238:$J$451),0),
IF('TL05'!$B$3=L$3,SUMIF('TL05'!$C$10:$C$224,$C375,'TL05'!$J$10:$J$224),0),
IF('TL05'!$B$229=L$3,SUMIF('TL05'!$C$238:$C$451,$C375,'TL05'!$J$238:$J$451),0),
IF('TL06'!$B$3=L$3,SUMIF('TL06'!$C$10:$C$224,$C375,'TL06'!$J$10:$J$224),0),
IF('TL06'!$B$229=L$3,SUMIF('TL06'!$C$238:$C$451,$C375,'TL06'!$J$238:$J$451),0),
IF('TL07'!$B$3=L$3,SUMIF('TL07'!$C$10:$C$224,$C375,'TL07'!$J$10:$J$224),0),
IF('TL07'!$B$229=L$3,SUMIF('TL07'!$C$238:$C$451,$C375,'TL07'!$J$238:$J$451),0),
IF('TL08'!$B$3=L$3,SUMIF('TL08'!$C$10:$C$224,$C375,'TL08'!$J$10:$J$224),0),
IF('TL08'!$B$229=L$3,SUMIF('TL08'!$C$238:$C$451,$C375,'TL08'!$J$238:$J$451),0),
IF('TL09'!$B$3=L$3,SUMIF('TL09'!$C$10:$C$224,$C375,'TL09'!$J$10:$J$224),0),
IF('TL09'!$B$229=L$3,SUMIF('TL09'!$C$238:$C$451,$C375,'TL09'!$J$238:$J$451),0),
IF('TL10'!$B$3=L$3,SUMIF('TL10'!$C$10:$C$224,$C375,'TL10'!$J$10:$J$224),0),
IF('TL10'!$B$229=L$3,SUMIF('TL10'!$C$238:$C$451,$C375,'TL10'!$J$238:$J$451),0),
IF('TL11'!$B$3=L$3,SUMIF('TL11'!$C$10:$C$224,$C375,'TL11'!$J$10:$J$224),0),
IF('TL11'!$B$229=L$3,SUMIF('TL11'!$C$238:$C$451,$C375,'TL11'!$J$238:$J$451),0),
IF('TL12'!$B$3=L$3,SUMIF('TL12'!$C$10:$C$224,$C375,'TL12'!$J$10:$J$224),0),
IF('TL12'!$B$229=L$3,SUMIF('TL12'!$C$238:$C$451,$C375,'TL12'!$J$238:$J$451),0),
IF('TL13'!$B$3=L$3,SUMIF('TL13'!$C$10:$C$224,$C375,'TL13'!$J$10:$J$224),0),
IF('TL13'!$B$229=L$3,SUMIF('TL13'!$C$238:$C$451,$C375,'TL13'!$J$238:$J$451),0),
IF('TL14'!$B$3=L$3,SUMIF('TL14'!$C$10:$C$224,$C375,'TL14'!$J$10:$J$224),0),
IF('TL14'!$B$229=L$3,SUMIF('TL14'!$C$238:$C$451,$C375,'TL14'!$J$238:$J$451),0),
IF('TL15'!$B$3=L$3,SUMIF('TL15'!$C$10:$C$224,$C375,'TL15'!$J$10:$J$224),0),
IF('TL15'!$B$229=L$3,SUMIF('TL15'!$C$238:$C$451,$C375,'TL15'!$J$238:$J$451),0),
IF('TL16'!$B$3=L$3,SUMIF('TL16'!$C$10:$C$224,$C375,'TL16'!$J$10:$J$224),0),
IF('TL16'!$B$229=L$3,SUMIF('TL16'!$C$238:$C$451,$C375,'TL16'!$J$238:$J$451),0),
IF('TL17'!$B$3=L$3,SUMIF('TL17'!$C$10:$C$224,$C375,'TL17'!$J$10:$J$224),0),
IF('TL17'!$B$229=L$3,SUMIF('TL17'!$C$238:$C$451,$C375,'TL17'!$J$238:$J$451),0),
IF('TL18'!$B$3=L$3,SUMIF('TL18'!$C$10:$C$224,$C375,'TL18'!$J$10:$J$224),0),
IF('TL18'!$B$229=L$3,SUMIF('TL18'!$C$238:$C$451,$C375,'TL18'!$J$238:$J$451),0),
IF('TL19'!$B$3=L$3,SUMIF('TL19'!$C$10:$C$224,$C375,'TL19'!$J$10:$J$224),0),
IF('TL19'!$B$229=L$3,SUMIF('TL19'!$C$238:$C$451,$C375,'TL19'!$J$238:$J$451),0)
),0)</f>
        <v>0</v>
      </c>
      <c r="M375" s="9">
        <f>IFERROR(SUM(
IF('TL01'!$B$3=M$3,SUMIF('TL01'!$C$10:$C$224,$C375,'TL01'!$J$10:$J$224),0),
IF('TL01'!$B$229=M$3,SUMIF('TL01'!$C$238:$C$451,$C375,'TL01'!$J$238:$J$451),0),
IF('TL02'!$B$3=M$3,SUMIF('TL02'!$C$10:$C$224,$C375,'TL02'!$J$10:$J$224),0),
IF('TL02'!$B$229=M$3,SUMIF('TL02'!$C$238:$C$451,$C375,'TL02'!$J$238:$J$451),0),
IF('TL03'!$B$3=M$3,SUMIF('TL03'!$C$10:$C$224,$C375,'TL03'!$J$10:$J$224),0),
IF('TL03'!$B$229=M$3,SUMIF('TL03'!$C$238:$C$451,$C375,'TL03'!$J$238:$J$451),0),
IF('TL04'!$B$3=M$3,SUMIF('TL04'!$C$10:$C$224,$C375,'TL04'!$J$10:$J$224),0),
IF('TL04'!$B$229=M$3,SUMIF('TL04'!$C$238:$C$451,$C375,'TL04'!$J$238:$J$451),0),
IF('TL05'!$B$3=M$3,SUMIF('TL05'!$C$10:$C$224,$C375,'TL05'!$J$10:$J$224),0),
IF('TL05'!$B$229=M$3,SUMIF('TL05'!$C$238:$C$451,$C375,'TL05'!$J$238:$J$451),0),
IF('TL06'!$B$3=M$3,SUMIF('TL06'!$C$10:$C$224,$C375,'TL06'!$J$10:$J$224),0),
IF('TL06'!$B$229=M$3,SUMIF('TL06'!$C$238:$C$451,$C375,'TL06'!$J$238:$J$451),0),
IF('TL07'!$B$3=M$3,SUMIF('TL07'!$C$10:$C$224,$C375,'TL07'!$J$10:$J$224),0),
IF('TL07'!$B$229=M$3,SUMIF('TL07'!$C$238:$C$451,$C375,'TL07'!$J$238:$J$451),0),
IF('TL08'!$B$3=M$3,SUMIF('TL08'!$C$10:$C$224,$C375,'TL08'!$J$10:$J$224),0),
IF('TL08'!$B$229=M$3,SUMIF('TL08'!$C$238:$C$451,$C375,'TL08'!$J$238:$J$451),0),
IF('TL09'!$B$3=M$3,SUMIF('TL09'!$C$10:$C$224,$C375,'TL09'!$J$10:$J$224),0),
IF('TL09'!$B$229=M$3,SUMIF('TL09'!$C$238:$C$451,$C375,'TL09'!$J$238:$J$451),0),
IF('TL10'!$B$3=M$3,SUMIF('TL10'!$C$10:$C$224,$C375,'TL10'!$J$10:$J$224),0),
IF('TL10'!$B$229=M$3,SUMIF('TL10'!$C$238:$C$451,$C375,'TL10'!$J$238:$J$451),0),
IF('TL11'!$B$3=M$3,SUMIF('TL11'!$C$10:$C$224,$C375,'TL11'!$J$10:$J$224),0),
IF('TL11'!$B$229=M$3,SUMIF('TL11'!$C$238:$C$451,$C375,'TL11'!$J$238:$J$451),0),
IF('TL12'!$B$3=M$3,SUMIF('TL12'!$C$10:$C$224,$C375,'TL12'!$J$10:$J$224),0),
IF('TL12'!$B$229=M$3,SUMIF('TL12'!$C$238:$C$451,$C375,'TL12'!$J$238:$J$451),0),
IF('TL13'!$B$3=M$3,SUMIF('TL13'!$C$10:$C$224,$C375,'TL13'!$J$10:$J$224),0),
IF('TL13'!$B$229=M$3,SUMIF('TL13'!$C$238:$C$451,$C375,'TL13'!$J$238:$J$451),0),
IF('TL14'!$B$3=M$3,SUMIF('TL14'!$C$10:$C$224,$C375,'TL14'!$J$10:$J$224),0),
IF('TL14'!$B$229=M$3,SUMIF('TL14'!$C$238:$C$451,$C375,'TL14'!$J$238:$J$451),0),
IF('TL15'!$B$3=M$3,SUMIF('TL15'!$C$10:$C$224,$C375,'TL15'!$J$10:$J$224),0),
IF('TL15'!$B$229=M$3,SUMIF('TL15'!$C$238:$C$451,$C375,'TL15'!$J$238:$J$451),0),
IF('TL16'!$B$3=M$3,SUMIF('TL16'!$C$10:$C$224,$C375,'TL16'!$J$10:$J$224),0),
IF('TL16'!$B$229=M$3,SUMIF('TL16'!$C$238:$C$451,$C375,'TL16'!$J$238:$J$451),0),
IF('TL17'!$B$3=M$3,SUMIF('TL17'!$C$10:$C$224,$C375,'TL17'!$J$10:$J$224),0),
IF('TL17'!$B$229=M$3,SUMIF('TL17'!$C$238:$C$451,$C375,'TL17'!$J$238:$J$451),0),
IF('TL18'!$B$3=M$3,SUMIF('TL18'!$C$10:$C$224,$C375,'TL18'!$J$10:$J$224),0),
IF('TL18'!$B$229=M$3,SUMIF('TL18'!$C$238:$C$451,$C375,'TL18'!$J$238:$J$451),0),
IF('TL19'!$B$3=M$3,SUMIF('TL19'!$C$10:$C$224,$C375,'TL19'!$J$10:$J$224),0),
IF('TL19'!$B$229=M$3,SUMIF('TL19'!$C$238:$C$451,$C375,'TL19'!$J$238:$J$451),0)
),0)</f>
        <v>0</v>
      </c>
      <c r="N375" s="9">
        <f>IFERROR(SUM(
IF('TL01'!$B$3=N$3,SUMIF('TL01'!$C$10:$C$224,$C375,'TL01'!$J$10:$J$224),0),
IF('TL01'!$B$229=N$3,SUMIF('TL01'!$C$238:$C$451,$C375,'TL01'!$J$238:$J$451),0),
IF('TL02'!$B$3=N$3,SUMIF('TL02'!$C$10:$C$224,$C375,'TL02'!$J$10:$J$224),0),
IF('TL02'!$B$229=N$3,SUMIF('TL02'!$C$238:$C$451,$C375,'TL02'!$J$238:$J$451),0),
IF('TL03'!$B$3=N$3,SUMIF('TL03'!$C$10:$C$224,$C375,'TL03'!$J$10:$J$224),0),
IF('TL03'!$B$229=N$3,SUMIF('TL03'!$C$238:$C$451,$C375,'TL03'!$J$238:$J$451),0),
IF('TL04'!$B$3=N$3,SUMIF('TL04'!$C$10:$C$224,$C375,'TL04'!$J$10:$J$224),0),
IF('TL04'!$B$229=N$3,SUMIF('TL04'!$C$238:$C$451,$C375,'TL04'!$J$238:$J$451),0),
IF('TL05'!$B$3=N$3,SUMIF('TL05'!$C$10:$C$224,$C375,'TL05'!$J$10:$J$224),0),
IF('TL05'!$B$229=N$3,SUMIF('TL05'!$C$238:$C$451,$C375,'TL05'!$J$238:$J$451),0),
IF('TL06'!$B$3=N$3,SUMIF('TL06'!$C$10:$C$224,$C375,'TL06'!$J$10:$J$224),0),
IF('TL06'!$B$229=N$3,SUMIF('TL06'!$C$238:$C$451,$C375,'TL06'!$J$238:$J$451),0),
IF('TL07'!$B$3=N$3,SUMIF('TL07'!$C$10:$C$224,$C375,'TL07'!$J$10:$J$224),0),
IF('TL07'!$B$229=N$3,SUMIF('TL07'!$C$238:$C$451,$C375,'TL07'!$J$238:$J$451),0),
IF('TL08'!$B$3=N$3,SUMIF('TL08'!$C$10:$C$224,$C375,'TL08'!$J$10:$J$224),0),
IF('TL08'!$B$229=N$3,SUMIF('TL08'!$C$238:$C$451,$C375,'TL08'!$J$238:$J$451),0),
IF('TL09'!$B$3=N$3,SUMIF('TL09'!$C$10:$C$224,$C375,'TL09'!$J$10:$J$224),0),
IF('TL09'!$B$229=N$3,SUMIF('TL09'!$C$238:$C$451,$C375,'TL09'!$J$238:$J$451),0),
IF('TL10'!$B$3=N$3,SUMIF('TL10'!$C$10:$C$224,$C375,'TL10'!$J$10:$J$224),0),
IF('TL10'!$B$229=N$3,SUMIF('TL10'!$C$238:$C$451,$C375,'TL10'!$J$238:$J$451),0),
IF('TL11'!$B$3=N$3,SUMIF('TL11'!$C$10:$C$224,$C375,'TL11'!$J$10:$J$224),0),
IF('TL11'!$B$229=N$3,SUMIF('TL11'!$C$238:$C$451,$C375,'TL11'!$J$238:$J$451),0),
IF('TL12'!$B$3=N$3,SUMIF('TL12'!$C$10:$C$224,$C375,'TL12'!$J$10:$J$224),0),
IF('TL12'!$B$229=N$3,SUMIF('TL12'!$C$238:$C$451,$C375,'TL12'!$J$238:$J$451),0),
IF('TL13'!$B$3=N$3,SUMIF('TL13'!$C$10:$C$224,$C375,'TL13'!$J$10:$J$224),0),
IF('TL13'!$B$229=N$3,SUMIF('TL13'!$C$238:$C$451,$C375,'TL13'!$J$238:$J$451),0),
IF('TL14'!$B$3=N$3,SUMIF('TL14'!$C$10:$C$224,$C375,'TL14'!$J$10:$J$224),0),
IF('TL14'!$B$229=N$3,SUMIF('TL14'!$C$238:$C$451,$C375,'TL14'!$J$238:$J$451),0),
IF('TL15'!$B$3=N$3,SUMIF('TL15'!$C$10:$C$224,$C375,'TL15'!$J$10:$J$224),0),
IF('TL15'!$B$229=N$3,SUMIF('TL15'!$C$238:$C$451,$C375,'TL15'!$J$238:$J$451),0),
IF('TL16'!$B$3=N$3,SUMIF('TL16'!$C$10:$C$224,$C375,'TL16'!$J$10:$J$224),0),
IF('TL16'!$B$229=N$3,SUMIF('TL16'!$C$238:$C$451,$C375,'TL16'!$J$238:$J$451),0),
IF('TL17'!$B$3=N$3,SUMIF('TL17'!$C$10:$C$224,$C375,'TL17'!$J$10:$J$224),0),
IF('TL17'!$B$229=N$3,SUMIF('TL17'!$C$238:$C$451,$C375,'TL17'!$J$238:$J$451),0),
IF('TL18'!$B$3=N$3,SUMIF('TL18'!$C$10:$C$224,$C375,'TL18'!$J$10:$J$224),0),
IF('TL18'!$B$229=N$3,SUMIF('TL18'!$C$238:$C$451,$C375,'TL18'!$J$238:$J$451),0),
IF('TL19'!$B$3=N$3,SUMIF('TL19'!$C$10:$C$224,$C375,'TL19'!$J$10:$J$224),0),
IF('TL19'!$B$229=N$3,SUMIF('TL19'!$C$238:$C$451,$C375,'TL19'!$J$238:$J$451),0)
),0)</f>
        <v>0</v>
      </c>
      <c r="O375" s="9">
        <f>IFERROR(SUM(
IF('TL01'!$B$3=O$3,SUMIF('TL01'!$C$10:$C$224,$C375,'TL01'!$J$10:$J$224),0),
IF('TL01'!$B$229=O$3,SUMIF('TL01'!$C$238:$C$451,$C375,'TL01'!$J$238:$J$451),0),
IF('TL02'!$B$3=O$3,SUMIF('TL02'!$C$10:$C$224,$C375,'TL02'!$J$10:$J$224),0),
IF('TL02'!$B$229=O$3,SUMIF('TL02'!$C$238:$C$451,$C375,'TL02'!$J$238:$J$451),0),
IF('TL03'!$B$3=O$3,SUMIF('TL03'!$C$10:$C$224,$C375,'TL03'!$J$10:$J$224),0),
IF('TL03'!$B$229=O$3,SUMIF('TL03'!$C$238:$C$451,$C375,'TL03'!$J$238:$J$451),0),
IF('TL04'!$B$3=O$3,SUMIF('TL04'!$C$10:$C$224,$C375,'TL04'!$J$10:$J$224),0),
IF('TL04'!$B$229=O$3,SUMIF('TL04'!$C$238:$C$451,$C375,'TL04'!$J$238:$J$451),0),
IF('TL05'!$B$3=O$3,SUMIF('TL05'!$C$10:$C$224,$C375,'TL05'!$J$10:$J$224),0),
IF('TL05'!$B$229=O$3,SUMIF('TL05'!$C$238:$C$451,$C375,'TL05'!$J$238:$J$451),0),
IF('TL06'!$B$3=O$3,SUMIF('TL06'!$C$10:$C$224,$C375,'TL06'!$J$10:$J$224),0),
IF('TL06'!$B$229=O$3,SUMIF('TL06'!$C$238:$C$451,$C375,'TL06'!$J$238:$J$451),0),
IF('TL07'!$B$3=O$3,SUMIF('TL07'!$C$10:$C$224,$C375,'TL07'!$J$10:$J$224),0),
IF('TL07'!$B$229=O$3,SUMIF('TL07'!$C$238:$C$451,$C375,'TL07'!$J$238:$J$451),0),
IF('TL08'!$B$3=O$3,SUMIF('TL08'!$C$10:$C$224,$C375,'TL08'!$J$10:$J$224),0),
IF('TL08'!$B$229=O$3,SUMIF('TL08'!$C$238:$C$451,$C375,'TL08'!$J$238:$J$451),0),
IF('TL09'!$B$3=O$3,SUMIF('TL09'!$C$10:$C$224,$C375,'TL09'!$J$10:$J$224),0),
IF('TL09'!$B$229=O$3,SUMIF('TL09'!$C$238:$C$451,$C375,'TL09'!$J$238:$J$451),0),
IF('TL10'!$B$3=O$3,SUMIF('TL10'!$C$10:$C$224,$C375,'TL10'!$J$10:$J$224),0),
IF('TL10'!$B$229=O$3,SUMIF('TL10'!$C$238:$C$451,$C375,'TL10'!$J$238:$J$451),0),
IF('TL11'!$B$3=O$3,SUMIF('TL11'!$C$10:$C$224,$C375,'TL11'!$J$10:$J$224),0),
IF('TL11'!$B$229=O$3,SUMIF('TL11'!$C$238:$C$451,$C375,'TL11'!$J$238:$J$451),0),
IF('TL12'!$B$3=O$3,SUMIF('TL12'!$C$10:$C$224,$C375,'TL12'!$J$10:$J$224),0),
IF('TL12'!$B$229=O$3,SUMIF('TL12'!$C$238:$C$451,$C375,'TL12'!$J$238:$J$451),0),
IF('TL13'!$B$3=O$3,SUMIF('TL13'!$C$10:$C$224,$C375,'TL13'!$J$10:$J$224),0),
IF('TL13'!$B$229=O$3,SUMIF('TL13'!$C$238:$C$451,$C375,'TL13'!$J$238:$J$451),0),
IF('TL14'!$B$3=O$3,SUMIF('TL14'!$C$10:$C$224,$C375,'TL14'!$J$10:$J$224),0),
IF('TL14'!$B$229=O$3,SUMIF('TL14'!$C$238:$C$451,$C375,'TL14'!$J$238:$J$451),0),
IF('TL15'!$B$3=O$3,SUMIF('TL15'!$C$10:$C$224,$C375,'TL15'!$J$10:$J$224),0),
IF('TL15'!$B$229=O$3,SUMIF('TL15'!$C$238:$C$451,$C375,'TL15'!$J$238:$J$451),0),
IF('TL16'!$B$3=O$3,SUMIF('TL16'!$C$10:$C$224,$C375,'TL16'!$J$10:$J$224),0),
IF('TL16'!$B$229=O$3,SUMIF('TL16'!$C$238:$C$451,$C375,'TL16'!$J$238:$J$451),0),
IF('TL17'!$B$3=O$3,SUMIF('TL17'!$C$10:$C$224,$C375,'TL17'!$J$10:$J$224),0),
IF('TL17'!$B$229=O$3,SUMIF('TL17'!$C$238:$C$451,$C375,'TL17'!$J$238:$J$451),0),
IF('TL18'!$B$3=O$3,SUMIF('TL18'!$C$10:$C$224,$C375,'TL18'!$J$10:$J$224),0),
IF('TL18'!$B$229=O$3,SUMIF('TL18'!$C$238:$C$451,$C375,'TL18'!$J$238:$J$451),0),
IF('TL19'!$B$3=O$3,SUMIF('TL19'!$C$10:$C$224,$C375,'TL19'!$J$10:$J$224),0),
IF('TL19'!$B$229=O$3,SUMIF('TL19'!$C$238:$C$451,$C375,'TL19'!$J$238:$J$451),0)
),0)</f>
        <v>0</v>
      </c>
      <c r="P375" s="9">
        <f>IFERROR(SUM(
IF('TL01'!$B$3=P$3,SUMIF('TL01'!$C$10:$C$224,$C375,'TL01'!$J$10:$J$224),0),
IF('TL01'!$B$229=P$3,SUMIF('TL01'!$C$238:$C$451,$C375,'TL01'!$J$238:$J$451),0),
IF('TL02'!$B$3=P$3,SUMIF('TL02'!$C$10:$C$224,$C375,'TL02'!$J$10:$J$224),0),
IF('TL02'!$B$229=P$3,SUMIF('TL02'!$C$238:$C$451,$C375,'TL02'!$J$238:$J$451),0),
IF('TL03'!$B$3=P$3,SUMIF('TL03'!$C$10:$C$224,$C375,'TL03'!$J$10:$J$224),0),
IF('TL03'!$B$229=P$3,SUMIF('TL03'!$C$238:$C$451,$C375,'TL03'!$J$238:$J$451),0),
IF('TL04'!$B$3=P$3,SUMIF('TL04'!$C$10:$C$224,$C375,'TL04'!$J$10:$J$224),0),
IF('TL04'!$B$229=P$3,SUMIF('TL04'!$C$238:$C$451,$C375,'TL04'!$J$238:$J$451),0),
IF('TL05'!$B$3=P$3,SUMIF('TL05'!$C$10:$C$224,$C375,'TL05'!$J$10:$J$224),0),
IF('TL05'!$B$229=P$3,SUMIF('TL05'!$C$238:$C$451,$C375,'TL05'!$J$238:$J$451),0),
IF('TL06'!$B$3=P$3,SUMIF('TL06'!$C$10:$C$224,$C375,'TL06'!$J$10:$J$224),0),
IF('TL06'!$B$229=P$3,SUMIF('TL06'!$C$238:$C$451,$C375,'TL06'!$J$238:$J$451),0),
IF('TL07'!$B$3=P$3,SUMIF('TL07'!$C$10:$C$224,$C375,'TL07'!$J$10:$J$224),0),
IF('TL07'!$B$229=P$3,SUMIF('TL07'!$C$238:$C$451,$C375,'TL07'!$J$238:$J$451),0),
IF('TL08'!$B$3=P$3,SUMIF('TL08'!$C$10:$C$224,$C375,'TL08'!$J$10:$J$224),0),
IF('TL08'!$B$229=P$3,SUMIF('TL08'!$C$238:$C$451,$C375,'TL08'!$J$238:$J$451),0),
IF('TL09'!$B$3=P$3,SUMIF('TL09'!$C$10:$C$224,$C375,'TL09'!$J$10:$J$224),0),
IF('TL09'!$B$229=P$3,SUMIF('TL09'!$C$238:$C$451,$C375,'TL09'!$J$238:$J$451),0),
IF('TL10'!$B$3=P$3,SUMIF('TL10'!$C$10:$C$224,$C375,'TL10'!$J$10:$J$224),0),
IF('TL10'!$B$229=P$3,SUMIF('TL10'!$C$238:$C$451,$C375,'TL10'!$J$238:$J$451),0),
IF('TL11'!$B$3=P$3,SUMIF('TL11'!$C$10:$C$224,$C375,'TL11'!$J$10:$J$224),0),
IF('TL11'!$B$229=P$3,SUMIF('TL11'!$C$238:$C$451,$C375,'TL11'!$J$238:$J$451),0),
IF('TL12'!$B$3=P$3,SUMIF('TL12'!$C$10:$C$224,$C375,'TL12'!$J$10:$J$224),0),
IF('TL12'!$B$229=P$3,SUMIF('TL12'!$C$238:$C$451,$C375,'TL12'!$J$238:$J$451),0),
IF('TL13'!$B$3=P$3,SUMIF('TL13'!$C$10:$C$224,$C375,'TL13'!$J$10:$J$224),0),
IF('TL13'!$B$229=P$3,SUMIF('TL13'!$C$238:$C$451,$C375,'TL13'!$J$238:$J$451),0),
IF('TL14'!$B$3=P$3,SUMIF('TL14'!$C$10:$C$224,$C375,'TL14'!$J$10:$J$224),0),
IF('TL14'!$B$229=P$3,SUMIF('TL14'!$C$238:$C$451,$C375,'TL14'!$J$238:$J$451),0),
IF('TL15'!$B$3=P$3,SUMIF('TL15'!$C$10:$C$224,$C375,'TL15'!$J$10:$J$224),0),
IF('TL15'!$B$229=P$3,SUMIF('TL15'!$C$238:$C$451,$C375,'TL15'!$J$238:$J$451),0),
IF('TL16'!$B$3=P$3,SUMIF('TL16'!$C$10:$C$224,$C375,'TL16'!$J$10:$J$224),0),
IF('TL16'!$B$229=P$3,SUMIF('TL16'!$C$238:$C$451,$C375,'TL16'!$J$238:$J$451),0),
IF('TL17'!$B$3=P$3,SUMIF('TL17'!$C$10:$C$224,$C375,'TL17'!$J$10:$J$224),0),
IF('TL17'!$B$229=P$3,SUMIF('TL17'!$C$238:$C$451,$C375,'TL17'!$J$238:$J$451),0),
IF('TL18'!$B$3=P$3,SUMIF('TL18'!$C$10:$C$224,$C375,'TL18'!$J$10:$J$224),0),
IF('TL18'!$B$229=P$3,SUMIF('TL18'!$C$238:$C$451,$C375,'TL18'!$J$238:$J$451),0),
IF('TL19'!$B$3=P$3,SUMIF('TL19'!$C$10:$C$224,$C375,'TL19'!$J$10:$J$224),0),
IF('TL19'!$B$229=P$3,SUMIF('TL19'!$C$238:$C$451,$C375,'TL19'!$J$238:$J$451),0)
),0)</f>
        <v>0</v>
      </c>
      <c r="Q375" s="9">
        <f>IFERROR(SUM(
IF('TL01'!$B$3=Q$3,SUMIF('TL01'!$C$10:$C$224,$C375,'TL01'!$J$10:$J$224),0),
IF('TL01'!$B$229=Q$3,SUMIF('TL01'!$C$238:$C$451,$C375,'TL01'!$J$238:$J$451),0),
IF('TL02'!$B$3=Q$3,SUMIF('TL02'!$C$10:$C$224,$C375,'TL02'!$J$10:$J$224),0),
IF('TL02'!$B$229=Q$3,SUMIF('TL02'!$C$238:$C$451,$C375,'TL02'!$J$238:$J$451),0),
IF('TL03'!$B$3=Q$3,SUMIF('TL03'!$C$10:$C$224,$C375,'TL03'!$J$10:$J$224),0),
IF('TL03'!$B$229=Q$3,SUMIF('TL03'!$C$238:$C$451,$C375,'TL03'!$J$238:$J$451),0),
IF('TL04'!$B$3=Q$3,SUMIF('TL04'!$C$10:$C$224,$C375,'TL04'!$J$10:$J$224),0),
IF('TL04'!$B$229=Q$3,SUMIF('TL04'!$C$238:$C$451,$C375,'TL04'!$J$238:$J$451),0),
IF('TL05'!$B$3=Q$3,SUMIF('TL05'!$C$10:$C$224,$C375,'TL05'!$J$10:$J$224),0),
IF('TL05'!$B$229=Q$3,SUMIF('TL05'!$C$238:$C$451,$C375,'TL05'!$J$238:$J$451),0),
IF('TL06'!$B$3=Q$3,SUMIF('TL06'!$C$10:$C$224,$C375,'TL06'!$J$10:$J$224),0),
IF('TL06'!$B$229=Q$3,SUMIF('TL06'!$C$238:$C$451,$C375,'TL06'!$J$238:$J$451),0),
IF('TL07'!$B$3=Q$3,SUMIF('TL07'!$C$10:$C$224,$C375,'TL07'!$J$10:$J$224),0),
IF('TL07'!$B$229=Q$3,SUMIF('TL07'!$C$238:$C$451,$C375,'TL07'!$J$238:$J$451),0),
IF('TL08'!$B$3=Q$3,SUMIF('TL08'!$C$10:$C$224,$C375,'TL08'!$J$10:$J$224),0),
IF('TL08'!$B$229=Q$3,SUMIF('TL08'!$C$238:$C$451,$C375,'TL08'!$J$238:$J$451),0),
IF('TL09'!$B$3=Q$3,SUMIF('TL09'!$C$10:$C$224,$C375,'TL09'!$J$10:$J$224),0),
IF('TL09'!$B$229=Q$3,SUMIF('TL09'!$C$238:$C$451,$C375,'TL09'!$J$238:$J$451),0),
IF('TL10'!$B$3=Q$3,SUMIF('TL10'!$C$10:$C$224,$C375,'TL10'!$J$10:$J$224),0),
IF('TL10'!$B$229=Q$3,SUMIF('TL10'!$C$238:$C$451,$C375,'TL10'!$J$238:$J$451),0),
IF('TL11'!$B$3=Q$3,SUMIF('TL11'!$C$10:$C$224,$C375,'TL11'!$J$10:$J$224),0),
IF('TL11'!$B$229=Q$3,SUMIF('TL11'!$C$238:$C$451,$C375,'TL11'!$J$238:$J$451),0),
IF('TL12'!$B$3=Q$3,SUMIF('TL12'!$C$10:$C$224,$C375,'TL12'!$J$10:$J$224),0),
IF('TL12'!$B$229=Q$3,SUMIF('TL12'!$C$238:$C$451,$C375,'TL12'!$J$238:$J$451),0),
IF('TL13'!$B$3=Q$3,SUMIF('TL13'!$C$10:$C$224,$C375,'TL13'!$J$10:$J$224),0),
IF('TL13'!$B$229=Q$3,SUMIF('TL13'!$C$238:$C$451,$C375,'TL13'!$J$238:$J$451),0),
IF('TL14'!$B$3=Q$3,SUMIF('TL14'!$C$10:$C$224,$C375,'TL14'!$J$10:$J$224),0),
IF('TL14'!$B$229=Q$3,SUMIF('TL14'!$C$238:$C$451,$C375,'TL14'!$J$238:$J$451),0),
IF('TL15'!$B$3=Q$3,SUMIF('TL15'!$C$10:$C$224,$C375,'TL15'!$J$10:$J$224),0),
IF('TL15'!$B$229=Q$3,SUMIF('TL15'!$C$238:$C$451,$C375,'TL15'!$J$238:$J$451),0),
IF('TL16'!$B$3=Q$3,SUMIF('TL16'!$C$10:$C$224,$C375,'TL16'!$J$10:$J$224),0),
IF('TL16'!$B$229=Q$3,SUMIF('TL16'!$C$238:$C$451,$C375,'TL16'!$J$238:$J$451),0),
IF('TL17'!$B$3=Q$3,SUMIF('TL17'!$C$10:$C$224,$C375,'TL17'!$J$10:$J$224),0),
IF('TL17'!$B$229=Q$3,SUMIF('TL17'!$C$238:$C$451,$C375,'TL17'!$J$238:$J$451),0),
IF('TL18'!$B$3=Q$3,SUMIF('TL18'!$C$10:$C$224,$C375,'TL18'!$J$10:$J$224),0),
IF('TL18'!$B$229=Q$3,SUMIF('TL18'!$C$238:$C$451,$C375,'TL18'!$J$238:$J$451),0),
IF('TL19'!$B$3=Q$3,SUMIF('TL19'!$C$10:$C$224,$C375,'TL19'!$J$10:$J$224),0),
IF('TL19'!$B$229=Q$3,SUMIF('TL19'!$C$238:$C$451,$C375,'TL19'!$J$238:$J$451),0)
),0)</f>
        <v>0</v>
      </c>
      <c r="R375" s="9">
        <f>IFERROR(
SUM(
SUMIF('TL01'!C:C,C375,'TL01'!J:J),
SUMIF('TL02'!C:C,C375,'TL02'!J:J),
SUMIF('TL03'!C:C,C375,'TL03'!J:J),
SUMIF('TL04'!C:C,C375,'TL04'!J:J),
SUMIF('TL05'!C:C,C375,'TL05'!J:J),
SUMIF('TL06'!C:C,C375,'TL06'!J:J),
SUMIF('TL07'!C:C,C375,'TL07'!J:J),
SUMIF('TL08'!C:C,C375,'TL08'!J:J),
SUMIF('TL09'!C:C,C375,'TL09'!J:J),
SUMIF('TL10'!C:C,C375,'TL10'!J:J),
SUMIF('TL11'!C:C,C375,'TL11'!J:J),
SUMIF('TL12'!C:C,C375,'TL12'!J:J),
SUMIF('TL13'!C:C,C375,'TL13'!J:J),
SUMIF('TL14'!C:C,C375,'TL14'!J:J),
SUMIF('TL15'!C:C,C375,'TL15'!J:J),
SUMIF('TL16'!C:C,C375,'TL16'!J:J),
SUMIF('TL17'!C:C,C375,'TL17'!J:J),
SUMIF('TL18'!C:C,C375,'TL18'!J:J),SUMIF('TL19'!C:C,C375,'TL19'!J:J))
,0)</f>
        <v>0</v>
      </c>
      <c r="S375" s="17">
        <f>IFERROR(__xludf.DUMMYFUNCTION("IFERROR(VLOOKUP(C375,
IMPORTRANGE(""1wULbzX32WdYsx-lj2U3uUNBBe2INVIRDtcK0d-Dvl90"",
""26-27!C:G""),
5,
FALSE),
"""")"),14.56)</f>
        <v>14.56</v>
      </c>
      <c r="T375" s="9"/>
      <c r="U375" s="92">
        <f t="shared" si="2"/>
        <v>0</v>
      </c>
      <c r="V375" s="93">
        <f t="shared" si="3"/>
        <v>0</v>
      </c>
    </row>
    <row r="376" ht="15.75" hidden="1" customHeight="1">
      <c r="A376" s="4" t="s">
        <v>1071</v>
      </c>
      <c r="B376" s="4" t="s">
        <v>4</v>
      </c>
      <c r="C376" s="126" t="s">
        <v>1117</v>
      </c>
      <c r="D376" s="127" t="s">
        <v>1111</v>
      </c>
      <c r="E376" s="6"/>
      <c r="F376" s="4"/>
      <c r="G376" s="90" t="str">
        <f t="shared" si="5"/>
        <v>📄 Ver bula</v>
      </c>
      <c r="H376" s="9"/>
      <c r="I376" s="123"/>
      <c r="J376" s="9">
        <f>IFERROR(SUM(
IF('TL01'!$B$3=J$3,SUMIF('TL01'!$C$10:$C$224,$C376,'TL01'!$J$10:$J$224),0),
IF('TL01'!$B$229=J$3,SUMIF('TL01'!$C$238:$C$451,$C376,'TL01'!$J$238:$J$451),0),
IF('TL02'!$B$3=J$3,SUMIF('TL02'!$C$10:$C$224,$C376,'TL02'!$J$10:$J$224),0),
IF('TL02'!$B$229=J$3,SUMIF('TL02'!$C$238:$C$451,$C376,'TL02'!$J$238:$J$451),0),
IF('TL03'!$B$3=J$3,SUMIF('TL03'!$C$10:$C$224,$C376,'TL03'!$J$10:$J$224),0),
IF('TL03'!$B$229=J$3,SUMIF('TL03'!$C$238:$C$451,$C376,'TL03'!$J$238:$J$451),0),
IF('TL04'!$B$3=J$3,SUMIF('TL04'!$C$10:$C$224,$C376,'TL04'!$J$10:$J$224),0),
IF('TL04'!$B$229=J$3,SUMIF('TL04'!$C$238:$C$451,$C376,'TL04'!$J$238:$J$451),0),
IF('TL05'!$B$3=J$3,SUMIF('TL05'!$C$10:$C$224,$C376,'TL05'!$J$10:$J$224),0),
IF('TL05'!$B$229=J$3,SUMIF('TL05'!$C$238:$C$451,$C376,'TL05'!$J$238:$J$451),0),
IF('TL06'!$B$3=J$3,SUMIF('TL06'!$C$10:$C$224,$C376,'TL06'!$J$10:$J$224),0),
IF('TL06'!$B$229=J$3,SUMIF('TL06'!$C$238:$C$451,$C376,'TL06'!$J$238:$J$451),0),
IF('TL07'!$B$3=J$3,SUMIF('TL07'!$C$10:$C$224,$C376,'TL07'!$J$10:$J$224),0),
IF('TL07'!$B$229=J$3,SUMIF('TL07'!$C$238:$C$451,$C376,'TL07'!$J$238:$J$451),0),
IF('TL08'!$B$3=J$3,SUMIF('TL08'!$C$10:$C$224,$C376,'TL08'!$J$10:$J$224),0),
IF('TL08'!$B$229=J$3,SUMIF('TL08'!$C$238:$C$451,$C376,'TL08'!$J$238:$J$451),0),
IF('TL09'!$B$3=J$3,SUMIF('TL09'!$C$10:$C$224,$C376,'TL09'!$J$10:$J$224),0),
IF('TL09'!$B$229=J$3,SUMIF('TL09'!$C$238:$C$451,$C376,'TL09'!$J$238:$J$451),0),
IF('TL10'!$B$3=J$3,SUMIF('TL10'!$C$10:$C$224,$C376,'TL10'!$J$10:$J$224),0),
IF('TL10'!$B$229=J$3,SUMIF('TL10'!$C$238:$C$451,$C376,'TL10'!$J$238:$J$451),0),
IF('TL11'!$B$3=J$3,SUMIF('TL11'!$C$10:$C$224,$C376,'TL11'!$J$10:$J$224),0),
IF('TL11'!$B$229=J$3,SUMIF('TL11'!$C$238:$C$451,$C376,'TL11'!$J$238:$J$451),0),
IF('TL12'!$B$3=J$3,SUMIF('TL12'!$C$10:$C$224,$C376,'TL12'!$J$10:$J$224),0),
IF('TL12'!$B$229=J$3,SUMIF('TL12'!$C$238:$C$451,$C376,'TL12'!$J$238:$J$451),0),
IF('TL13'!$B$3=J$3,SUMIF('TL13'!$C$10:$C$224,$C376,'TL13'!$J$10:$J$224),0),
IF('TL13'!$B$229=J$3,SUMIF('TL13'!$C$238:$C$451,$C376,'TL13'!$J$238:$J$451),0),
IF('TL14'!$B$3=J$3,SUMIF('TL14'!$C$10:$C$224,$C376,'TL14'!$J$10:$J$224),0),
IF('TL14'!$B$229=J$3,SUMIF('TL14'!$C$238:$C$451,$C376,'TL14'!$J$238:$J$451),0),
IF('TL15'!$B$3=J$3,SUMIF('TL15'!$C$10:$C$224,$C376,'TL15'!$J$10:$J$224),0),
IF('TL15'!$B$229=J$3,SUMIF('TL15'!$C$238:$C$451,$C376,'TL15'!$J$238:$J$451),0),
IF('TL16'!$B$3=J$3,SUMIF('TL16'!$C$10:$C$224,$C376,'TL16'!$J$10:$J$224),0),
IF('TL16'!$B$229=J$3,SUMIF('TL16'!$C$238:$C$451,$C376,'TL16'!$J$238:$J$451),0),
IF('TL17'!$B$3=J$3,SUMIF('TL17'!$C$10:$C$224,$C376,'TL17'!$J$10:$J$224),0),
IF('TL17'!$B$229=J$3,SUMIF('TL17'!$C$238:$C$451,$C376,'TL17'!$J$238:$J$451),0),
IF('TL18'!$B$3=J$3,SUMIF('TL18'!$C$10:$C$224,$C376,'TL18'!$J$10:$J$224),0),
IF('TL18'!$B$229=J$3,SUMIF('TL18'!$C$238:$C$451,$C376,'TL18'!$J$238:$J$451),0),
IF('TL19'!$B$3=J$3,SUMIF('TL19'!$C$10:$C$224,$C376,'TL19'!$J$10:$J$224),0),
IF('TL19'!$B$229=J$3,SUMIF('TL19'!$C$238:$C$451,$C376,'TL19'!$J$238:$J$451),0)
),0)</f>
        <v>0</v>
      </c>
      <c r="K376" s="9">
        <f>IFERROR(SUM(
IF('TL01'!$B$3=K$3,SUMIF('TL01'!$C$10:$C$224,$C376,'TL01'!$J$10:$J$224),0),
IF('TL01'!$B$229=K$3,SUMIF('TL01'!$C$238:$C$451,$C376,'TL01'!$J$238:$J$451),0),
IF('TL02'!$B$3=K$3,SUMIF('TL02'!$C$10:$C$224,$C376,'TL02'!$J$10:$J$224),0),
IF('TL02'!$B$229=K$3,SUMIF('TL02'!$C$238:$C$451,$C376,'TL02'!$J$238:$J$451),0),
IF('TL03'!$B$3=K$3,SUMIF('TL03'!$C$10:$C$224,$C376,'TL03'!$J$10:$J$224),0),
IF('TL03'!$B$229=K$3,SUMIF('TL03'!$C$238:$C$451,$C376,'TL03'!$J$238:$J$451),0),
IF('TL04'!$B$3=K$3,SUMIF('TL04'!$C$10:$C$224,$C376,'TL04'!$J$10:$J$224),0),
IF('TL04'!$B$229=K$3,SUMIF('TL04'!$C$238:$C$451,$C376,'TL04'!$J$238:$J$451),0),
IF('TL05'!$B$3=K$3,SUMIF('TL05'!$C$10:$C$224,$C376,'TL05'!$J$10:$J$224),0),
IF('TL05'!$B$229=K$3,SUMIF('TL05'!$C$238:$C$451,$C376,'TL05'!$J$238:$J$451),0),
IF('TL06'!$B$3=K$3,SUMIF('TL06'!$C$10:$C$224,$C376,'TL06'!$J$10:$J$224),0),
IF('TL06'!$B$229=K$3,SUMIF('TL06'!$C$238:$C$451,$C376,'TL06'!$J$238:$J$451),0),
IF('TL07'!$B$3=K$3,SUMIF('TL07'!$C$10:$C$224,$C376,'TL07'!$J$10:$J$224),0),
IF('TL07'!$B$229=K$3,SUMIF('TL07'!$C$238:$C$451,$C376,'TL07'!$J$238:$J$451),0),
IF('TL08'!$B$3=K$3,SUMIF('TL08'!$C$10:$C$224,$C376,'TL08'!$J$10:$J$224),0),
IF('TL08'!$B$229=K$3,SUMIF('TL08'!$C$238:$C$451,$C376,'TL08'!$J$238:$J$451),0),
IF('TL09'!$B$3=K$3,SUMIF('TL09'!$C$10:$C$224,$C376,'TL09'!$J$10:$J$224),0),
IF('TL09'!$B$229=K$3,SUMIF('TL09'!$C$238:$C$451,$C376,'TL09'!$J$238:$J$451),0),
IF('TL10'!$B$3=K$3,SUMIF('TL10'!$C$10:$C$224,$C376,'TL10'!$J$10:$J$224),0),
IF('TL10'!$B$229=K$3,SUMIF('TL10'!$C$238:$C$451,$C376,'TL10'!$J$238:$J$451),0),
IF('TL11'!$B$3=K$3,SUMIF('TL11'!$C$10:$C$224,$C376,'TL11'!$J$10:$J$224),0),
IF('TL11'!$B$229=K$3,SUMIF('TL11'!$C$238:$C$451,$C376,'TL11'!$J$238:$J$451),0),
IF('TL12'!$B$3=K$3,SUMIF('TL12'!$C$10:$C$224,$C376,'TL12'!$J$10:$J$224),0),
IF('TL12'!$B$229=K$3,SUMIF('TL12'!$C$238:$C$451,$C376,'TL12'!$J$238:$J$451),0),
IF('TL13'!$B$3=K$3,SUMIF('TL13'!$C$10:$C$224,$C376,'TL13'!$J$10:$J$224),0),
IF('TL13'!$B$229=K$3,SUMIF('TL13'!$C$238:$C$451,$C376,'TL13'!$J$238:$J$451),0),
IF('TL14'!$B$3=K$3,SUMIF('TL14'!$C$10:$C$224,$C376,'TL14'!$J$10:$J$224),0),
IF('TL14'!$B$229=K$3,SUMIF('TL14'!$C$238:$C$451,$C376,'TL14'!$J$238:$J$451),0),
IF('TL15'!$B$3=K$3,SUMIF('TL15'!$C$10:$C$224,$C376,'TL15'!$J$10:$J$224),0),
IF('TL15'!$B$229=K$3,SUMIF('TL15'!$C$238:$C$451,$C376,'TL15'!$J$238:$J$451),0),
IF('TL16'!$B$3=K$3,SUMIF('TL16'!$C$10:$C$224,$C376,'TL16'!$J$10:$J$224),0),
IF('TL16'!$B$229=K$3,SUMIF('TL16'!$C$238:$C$451,$C376,'TL16'!$J$238:$J$451),0),
IF('TL17'!$B$3=K$3,SUMIF('TL17'!$C$10:$C$224,$C376,'TL17'!$J$10:$J$224),0),
IF('TL17'!$B$229=K$3,SUMIF('TL17'!$C$238:$C$451,$C376,'TL17'!$J$238:$J$451),0),
IF('TL18'!$B$3=K$3,SUMIF('TL18'!$C$10:$C$224,$C376,'TL18'!$J$10:$J$224),0),
IF('TL18'!$B$229=K$3,SUMIF('TL18'!$C$238:$C$451,$C376,'TL18'!$J$238:$J$451),0),
IF('TL19'!$B$3=K$3,SUMIF('TL19'!$C$10:$C$224,$C376,'TL19'!$J$10:$J$224),0),
IF('TL19'!$B$229=K$3,SUMIF('TL19'!$C$238:$C$451,$C376,'TL19'!$J$238:$J$451),0)
),0)</f>
        <v>0</v>
      </c>
      <c r="L376" s="9">
        <f>IFERROR(SUM(
IF('TL01'!$B$3=L$3,SUMIF('TL01'!$C$10:$C$224,$C376,'TL01'!$J$10:$J$224),0),
IF('TL01'!$B$229=L$3,SUMIF('TL01'!$C$238:$C$451,$C376,'TL01'!$J$238:$J$451),0),
IF('TL02'!$B$3=L$3,SUMIF('TL02'!$C$10:$C$224,$C376,'TL02'!$J$10:$J$224),0),
IF('TL02'!$B$229=L$3,SUMIF('TL02'!$C$238:$C$451,$C376,'TL02'!$J$238:$J$451),0),
IF('TL03'!$B$3=L$3,SUMIF('TL03'!$C$10:$C$224,$C376,'TL03'!$J$10:$J$224),0),
IF('TL03'!$B$229=L$3,SUMIF('TL03'!$C$238:$C$451,$C376,'TL03'!$J$238:$J$451),0),
IF('TL04'!$B$3=L$3,SUMIF('TL04'!$C$10:$C$224,$C376,'TL04'!$J$10:$J$224),0),
IF('TL04'!$B$229=L$3,SUMIF('TL04'!$C$238:$C$451,$C376,'TL04'!$J$238:$J$451),0),
IF('TL05'!$B$3=L$3,SUMIF('TL05'!$C$10:$C$224,$C376,'TL05'!$J$10:$J$224),0),
IF('TL05'!$B$229=L$3,SUMIF('TL05'!$C$238:$C$451,$C376,'TL05'!$J$238:$J$451),0),
IF('TL06'!$B$3=L$3,SUMIF('TL06'!$C$10:$C$224,$C376,'TL06'!$J$10:$J$224),0),
IF('TL06'!$B$229=L$3,SUMIF('TL06'!$C$238:$C$451,$C376,'TL06'!$J$238:$J$451),0),
IF('TL07'!$B$3=L$3,SUMIF('TL07'!$C$10:$C$224,$C376,'TL07'!$J$10:$J$224),0),
IF('TL07'!$B$229=L$3,SUMIF('TL07'!$C$238:$C$451,$C376,'TL07'!$J$238:$J$451),0),
IF('TL08'!$B$3=L$3,SUMIF('TL08'!$C$10:$C$224,$C376,'TL08'!$J$10:$J$224),0),
IF('TL08'!$B$229=L$3,SUMIF('TL08'!$C$238:$C$451,$C376,'TL08'!$J$238:$J$451),0),
IF('TL09'!$B$3=L$3,SUMIF('TL09'!$C$10:$C$224,$C376,'TL09'!$J$10:$J$224),0),
IF('TL09'!$B$229=L$3,SUMIF('TL09'!$C$238:$C$451,$C376,'TL09'!$J$238:$J$451),0),
IF('TL10'!$B$3=L$3,SUMIF('TL10'!$C$10:$C$224,$C376,'TL10'!$J$10:$J$224),0),
IF('TL10'!$B$229=L$3,SUMIF('TL10'!$C$238:$C$451,$C376,'TL10'!$J$238:$J$451),0),
IF('TL11'!$B$3=L$3,SUMIF('TL11'!$C$10:$C$224,$C376,'TL11'!$J$10:$J$224),0),
IF('TL11'!$B$229=L$3,SUMIF('TL11'!$C$238:$C$451,$C376,'TL11'!$J$238:$J$451),0),
IF('TL12'!$B$3=L$3,SUMIF('TL12'!$C$10:$C$224,$C376,'TL12'!$J$10:$J$224),0),
IF('TL12'!$B$229=L$3,SUMIF('TL12'!$C$238:$C$451,$C376,'TL12'!$J$238:$J$451),0),
IF('TL13'!$B$3=L$3,SUMIF('TL13'!$C$10:$C$224,$C376,'TL13'!$J$10:$J$224),0),
IF('TL13'!$B$229=L$3,SUMIF('TL13'!$C$238:$C$451,$C376,'TL13'!$J$238:$J$451),0),
IF('TL14'!$B$3=L$3,SUMIF('TL14'!$C$10:$C$224,$C376,'TL14'!$J$10:$J$224),0),
IF('TL14'!$B$229=L$3,SUMIF('TL14'!$C$238:$C$451,$C376,'TL14'!$J$238:$J$451),0),
IF('TL15'!$B$3=L$3,SUMIF('TL15'!$C$10:$C$224,$C376,'TL15'!$J$10:$J$224),0),
IF('TL15'!$B$229=L$3,SUMIF('TL15'!$C$238:$C$451,$C376,'TL15'!$J$238:$J$451),0),
IF('TL16'!$B$3=L$3,SUMIF('TL16'!$C$10:$C$224,$C376,'TL16'!$J$10:$J$224),0),
IF('TL16'!$B$229=L$3,SUMIF('TL16'!$C$238:$C$451,$C376,'TL16'!$J$238:$J$451),0),
IF('TL17'!$B$3=L$3,SUMIF('TL17'!$C$10:$C$224,$C376,'TL17'!$J$10:$J$224),0),
IF('TL17'!$B$229=L$3,SUMIF('TL17'!$C$238:$C$451,$C376,'TL17'!$J$238:$J$451),0),
IF('TL18'!$B$3=L$3,SUMIF('TL18'!$C$10:$C$224,$C376,'TL18'!$J$10:$J$224),0),
IF('TL18'!$B$229=L$3,SUMIF('TL18'!$C$238:$C$451,$C376,'TL18'!$J$238:$J$451),0),
IF('TL19'!$B$3=L$3,SUMIF('TL19'!$C$10:$C$224,$C376,'TL19'!$J$10:$J$224),0),
IF('TL19'!$B$229=L$3,SUMIF('TL19'!$C$238:$C$451,$C376,'TL19'!$J$238:$J$451),0)
),0)</f>
        <v>0</v>
      </c>
      <c r="M376" s="9">
        <f>IFERROR(SUM(
IF('TL01'!$B$3=M$3,SUMIF('TL01'!$C$10:$C$224,$C376,'TL01'!$J$10:$J$224),0),
IF('TL01'!$B$229=M$3,SUMIF('TL01'!$C$238:$C$451,$C376,'TL01'!$J$238:$J$451),0),
IF('TL02'!$B$3=M$3,SUMIF('TL02'!$C$10:$C$224,$C376,'TL02'!$J$10:$J$224),0),
IF('TL02'!$B$229=M$3,SUMIF('TL02'!$C$238:$C$451,$C376,'TL02'!$J$238:$J$451),0),
IF('TL03'!$B$3=M$3,SUMIF('TL03'!$C$10:$C$224,$C376,'TL03'!$J$10:$J$224),0),
IF('TL03'!$B$229=M$3,SUMIF('TL03'!$C$238:$C$451,$C376,'TL03'!$J$238:$J$451),0),
IF('TL04'!$B$3=M$3,SUMIF('TL04'!$C$10:$C$224,$C376,'TL04'!$J$10:$J$224),0),
IF('TL04'!$B$229=M$3,SUMIF('TL04'!$C$238:$C$451,$C376,'TL04'!$J$238:$J$451),0),
IF('TL05'!$B$3=M$3,SUMIF('TL05'!$C$10:$C$224,$C376,'TL05'!$J$10:$J$224),0),
IF('TL05'!$B$229=M$3,SUMIF('TL05'!$C$238:$C$451,$C376,'TL05'!$J$238:$J$451),0),
IF('TL06'!$B$3=M$3,SUMIF('TL06'!$C$10:$C$224,$C376,'TL06'!$J$10:$J$224),0),
IF('TL06'!$B$229=M$3,SUMIF('TL06'!$C$238:$C$451,$C376,'TL06'!$J$238:$J$451),0),
IF('TL07'!$B$3=M$3,SUMIF('TL07'!$C$10:$C$224,$C376,'TL07'!$J$10:$J$224),0),
IF('TL07'!$B$229=M$3,SUMIF('TL07'!$C$238:$C$451,$C376,'TL07'!$J$238:$J$451),0),
IF('TL08'!$B$3=M$3,SUMIF('TL08'!$C$10:$C$224,$C376,'TL08'!$J$10:$J$224),0),
IF('TL08'!$B$229=M$3,SUMIF('TL08'!$C$238:$C$451,$C376,'TL08'!$J$238:$J$451),0),
IF('TL09'!$B$3=M$3,SUMIF('TL09'!$C$10:$C$224,$C376,'TL09'!$J$10:$J$224),0),
IF('TL09'!$B$229=M$3,SUMIF('TL09'!$C$238:$C$451,$C376,'TL09'!$J$238:$J$451),0),
IF('TL10'!$B$3=M$3,SUMIF('TL10'!$C$10:$C$224,$C376,'TL10'!$J$10:$J$224),0),
IF('TL10'!$B$229=M$3,SUMIF('TL10'!$C$238:$C$451,$C376,'TL10'!$J$238:$J$451),0),
IF('TL11'!$B$3=M$3,SUMIF('TL11'!$C$10:$C$224,$C376,'TL11'!$J$10:$J$224),0),
IF('TL11'!$B$229=M$3,SUMIF('TL11'!$C$238:$C$451,$C376,'TL11'!$J$238:$J$451),0),
IF('TL12'!$B$3=M$3,SUMIF('TL12'!$C$10:$C$224,$C376,'TL12'!$J$10:$J$224),0),
IF('TL12'!$B$229=M$3,SUMIF('TL12'!$C$238:$C$451,$C376,'TL12'!$J$238:$J$451),0),
IF('TL13'!$B$3=M$3,SUMIF('TL13'!$C$10:$C$224,$C376,'TL13'!$J$10:$J$224),0),
IF('TL13'!$B$229=M$3,SUMIF('TL13'!$C$238:$C$451,$C376,'TL13'!$J$238:$J$451),0),
IF('TL14'!$B$3=M$3,SUMIF('TL14'!$C$10:$C$224,$C376,'TL14'!$J$10:$J$224),0),
IF('TL14'!$B$229=M$3,SUMIF('TL14'!$C$238:$C$451,$C376,'TL14'!$J$238:$J$451),0),
IF('TL15'!$B$3=M$3,SUMIF('TL15'!$C$10:$C$224,$C376,'TL15'!$J$10:$J$224),0),
IF('TL15'!$B$229=M$3,SUMIF('TL15'!$C$238:$C$451,$C376,'TL15'!$J$238:$J$451),0),
IF('TL16'!$B$3=M$3,SUMIF('TL16'!$C$10:$C$224,$C376,'TL16'!$J$10:$J$224),0),
IF('TL16'!$B$229=M$3,SUMIF('TL16'!$C$238:$C$451,$C376,'TL16'!$J$238:$J$451),0),
IF('TL17'!$B$3=M$3,SUMIF('TL17'!$C$10:$C$224,$C376,'TL17'!$J$10:$J$224),0),
IF('TL17'!$B$229=M$3,SUMIF('TL17'!$C$238:$C$451,$C376,'TL17'!$J$238:$J$451),0),
IF('TL18'!$B$3=M$3,SUMIF('TL18'!$C$10:$C$224,$C376,'TL18'!$J$10:$J$224),0),
IF('TL18'!$B$229=M$3,SUMIF('TL18'!$C$238:$C$451,$C376,'TL18'!$J$238:$J$451),0),
IF('TL19'!$B$3=M$3,SUMIF('TL19'!$C$10:$C$224,$C376,'TL19'!$J$10:$J$224),0),
IF('TL19'!$B$229=M$3,SUMIF('TL19'!$C$238:$C$451,$C376,'TL19'!$J$238:$J$451),0)
),0)</f>
        <v>0</v>
      </c>
      <c r="N376" s="9">
        <f>IFERROR(SUM(
IF('TL01'!$B$3=N$3,SUMIF('TL01'!$C$10:$C$224,$C376,'TL01'!$J$10:$J$224),0),
IF('TL01'!$B$229=N$3,SUMIF('TL01'!$C$238:$C$451,$C376,'TL01'!$J$238:$J$451),0),
IF('TL02'!$B$3=N$3,SUMIF('TL02'!$C$10:$C$224,$C376,'TL02'!$J$10:$J$224),0),
IF('TL02'!$B$229=N$3,SUMIF('TL02'!$C$238:$C$451,$C376,'TL02'!$J$238:$J$451),0),
IF('TL03'!$B$3=N$3,SUMIF('TL03'!$C$10:$C$224,$C376,'TL03'!$J$10:$J$224),0),
IF('TL03'!$B$229=N$3,SUMIF('TL03'!$C$238:$C$451,$C376,'TL03'!$J$238:$J$451),0),
IF('TL04'!$B$3=N$3,SUMIF('TL04'!$C$10:$C$224,$C376,'TL04'!$J$10:$J$224),0),
IF('TL04'!$B$229=N$3,SUMIF('TL04'!$C$238:$C$451,$C376,'TL04'!$J$238:$J$451),0),
IF('TL05'!$B$3=N$3,SUMIF('TL05'!$C$10:$C$224,$C376,'TL05'!$J$10:$J$224),0),
IF('TL05'!$B$229=N$3,SUMIF('TL05'!$C$238:$C$451,$C376,'TL05'!$J$238:$J$451),0),
IF('TL06'!$B$3=N$3,SUMIF('TL06'!$C$10:$C$224,$C376,'TL06'!$J$10:$J$224),0),
IF('TL06'!$B$229=N$3,SUMIF('TL06'!$C$238:$C$451,$C376,'TL06'!$J$238:$J$451),0),
IF('TL07'!$B$3=N$3,SUMIF('TL07'!$C$10:$C$224,$C376,'TL07'!$J$10:$J$224),0),
IF('TL07'!$B$229=N$3,SUMIF('TL07'!$C$238:$C$451,$C376,'TL07'!$J$238:$J$451),0),
IF('TL08'!$B$3=N$3,SUMIF('TL08'!$C$10:$C$224,$C376,'TL08'!$J$10:$J$224),0),
IF('TL08'!$B$229=N$3,SUMIF('TL08'!$C$238:$C$451,$C376,'TL08'!$J$238:$J$451),0),
IF('TL09'!$B$3=N$3,SUMIF('TL09'!$C$10:$C$224,$C376,'TL09'!$J$10:$J$224),0),
IF('TL09'!$B$229=N$3,SUMIF('TL09'!$C$238:$C$451,$C376,'TL09'!$J$238:$J$451),0),
IF('TL10'!$B$3=N$3,SUMIF('TL10'!$C$10:$C$224,$C376,'TL10'!$J$10:$J$224),0),
IF('TL10'!$B$229=N$3,SUMIF('TL10'!$C$238:$C$451,$C376,'TL10'!$J$238:$J$451),0),
IF('TL11'!$B$3=N$3,SUMIF('TL11'!$C$10:$C$224,$C376,'TL11'!$J$10:$J$224),0),
IF('TL11'!$B$229=N$3,SUMIF('TL11'!$C$238:$C$451,$C376,'TL11'!$J$238:$J$451),0),
IF('TL12'!$B$3=N$3,SUMIF('TL12'!$C$10:$C$224,$C376,'TL12'!$J$10:$J$224),0),
IF('TL12'!$B$229=N$3,SUMIF('TL12'!$C$238:$C$451,$C376,'TL12'!$J$238:$J$451),0),
IF('TL13'!$B$3=N$3,SUMIF('TL13'!$C$10:$C$224,$C376,'TL13'!$J$10:$J$224),0),
IF('TL13'!$B$229=N$3,SUMIF('TL13'!$C$238:$C$451,$C376,'TL13'!$J$238:$J$451),0),
IF('TL14'!$B$3=N$3,SUMIF('TL14'!$C$10:$C$224,$C376,'TL14'!$J$10:$J$224),0),
IF('TL14'!$B$229=N$3,SUMIF('TL14'!$C$238:$C$451,$C376,'TL14'!$J$238:$J$451),0),
IF('TL15'!$B$3=N$3,SUMIF('TL15'!$C$10:$C$224,$C376,'TL15'!$J$10:$J$224),0),
IF('TL15'!$B$229=N$3,SUMIF('TL15'!$C$238:$C$451,$C376,'TL15'!$J$238:$J$451),0),
IF('TL16'!$B$3=N$3,SUMIF('TL16'!$C$10:$C$224,$C376,'TL16'!$J$10:$J$224),0),
IF('TL16'!$B$229=N$3,SUMIF('TL16'!$C$238:$C$451,$C376,'TL16'!$J$238:$J$451),0),
IF('TL17'!$B$3=N$3,SUMIF('TL17'!$C$10:$C$224,$C376,'TL17'!$J$10:$J$224),0),
IF('TL17'!$B$229=N$3,SUMIF('TL17'!$C$238:$C$451,$C376,'TL17'!$J$238:$J$451),0),
IF('TL18'!$B$3=N$3,SUMIF('TL18'!$C$10:$C$224,$C376,'TL18'!$J$10:$J$224),0),
IF('TL18'!$B$229=N$3,SUMIF('TL18'!$C$238:$C$451,$C376,'TL18'!$J$238:$J$451),0),
IF('TL19'!$B$3=N$3,SUMIF('TL19'!$C$10:$C$224,$C376,'TL19'!$J$10:$J$224),0),
IF('TL19'!$B$229=N$3,SUMIF('TL19'!$C$238:$C$451,$C376,'TL19'!$J$238:$J$451),0)
),0)</f>
        <v>0</v>
      </c>
      <c r="O376" s="9">
        <f>IFERROR(SUM(
IF('TL01'!$B$3=O$3,SUMIF('TL01'!$C$10:$C$224,$C376,'TL01'!$J$10:$J$224),0),
IF('TL01'!$B$229=O$3,SUMIF('TL01'!$C$238:$C$451,$C376,'TL01'!$J$238:$J$451),0),
IF('TL02'!$B$3=O$3,SUMIF('TL02'!$C$10:$C$224,$C376,'TL02'!$J$10:$J$224),0),
IF('TL02'!$B$229=O$3,SUMIF('TL02'!$C$238:$C$451,$C376,'TL02'!$J$238:$J$451),0),
IF('TL03'!$B$3=O$3,SUMIF('TL03'!$C$10:$C$224,$C376,'TL03'!$J$10:$J$224),0),
IF('TL03'!$B$229=O$3,SUMIF('TL03'!$C$238:$C$451,$C376,'TL03'!$J$238:$J$451),0),
IF('TL04'!$B$3=O$3,SUMIF('TL04'!$C$10:$C$224,$C376,'TL04'!$J$10:$J$224),0),
IF('TL04'!$B$229=O$3,SUMIF('TL04'!$C$238:$C$451,$C376,'TL04'!$J$238:$J$451),0),
IF('TL05'!$B$3=O$3,SUMIF('TL05'!$C$10:$C$224,$C376,'TL05'!$J$10:$J$224),0),
IF('TL05'!$B$229=O$3,SUMIF('TL05'!$C$238:$C$451,$C376,'TL05'!$J$238:$J$451),0),
IF('TL06'!$B$3=O$3,SUMIF('TL06'!$C$10:$C$224,$C376,'TL06'!$J$10:$J$224),0),
IF('TL06'!$B$229=O$3,SUMIF('TL06'!$C$238:$C$451,$C376,'TL06'!$J$238:$J$451),0),
IF('TL07'!$B$3=O$3,SUMIF('TL07'!$C$10:$C$224,$C376,'TL07'!$J$10:$J$224),0),
IF('TL07'!$B$229=O$3,SUMIF('TL07'!$C$238:$C$451,$C376,'TL07'!$J$238:$J$451),0),
IF('TL08'!$B$3=O$3,SUMIF('TL08'!$C$10:$C$224,$C376,'TL08'!$J$10:$J$224),0),
IF('TL08'!$B$229=O$3,SUMIF('TL08'!$C$238:$C$451,$C376,'TL08'!$J$238:$J$451),0),
IF('TL09'!$B$3=O$3,SUMIF('TL09'!$C$10:$C$224,$C376,'TL09'!$J$10:$J$224),0),
IF('TL09'!$B$229=O$3,SUMIF('TL09'!$C$238:$C$451,$C376,'TL09'!$J$238:$J$451),0),
IF('TL10'!$B$3=O$3,SUMIF('TL10'!$C$10:$C$224,$C376,'TL10'!$J$10:$J$224),0),
IF('TL10'!$B$229=O$3,SUMIF('TL10'!$C$238:$C$451,$C376,'TL10'!$J$238:$J$451),0),
IF('TL11'!$B$3=O$3,SUMIF('TL11'!$C$10:$C$224,$C376,'TL11'!$J$10:$J$224),0),
IF('TL11'!$B$229=O$3,SUMIF('TL11'!$C$238:$C$451,$C376,'TL11'!$J$238:$J$451),0),
IF('TL12'!$B$3=O$3,SUMIF('TL12'!$C$10:$C$224,$C376,'TL12'!$J$10:$J$224),0),
IF('TL12'!$B$229=O$3,SUMIF('TL12'!$C$238:$C$451,$C376,'TL12'!$J$238:$J$451),0),
IF('TL13'!$B$3=O$3,SUMIF('TL13'!$C$10:$C$224,$C376,'TL13'!$J$10:$J$224),0),
IF('TL13'!$B$229=O$3,SUMIF('TL13'!$C$238:$C$451,$C376,'TL13'!$J$238:$J$451),0),
IF('TL14'!$B$3=O$3,SUMIF('TL14'!$C$10:$C$224,$C376,'TL14'!$J$10:$J$224),0),
IF('TL14'!$B$229=O$3,SUMIF('TL14'!$C$238:$C$451,$C376,'TL14'!$J$238:$J$451),0),
IF('TL15'!$B$3=O$3,SUMIF('TL15'!$C$10:$C$224,$C376,'TL15'!$J$10:$J$224),0),
IF('TL15'!$B$229=O$3,SUMIF('TL15'!$C$238:$C$451,$C376,'TL15'!$J$238:$J$451),0),
IF('TL16'!$B$3=O$3,SUMIF('TL16'!$C$10:$C$224,$C376,'TL16'!$J$10:$J$224),0),
IF('TL16'!$B$229=O$3,SUMIF('TL16'!$C$238:$C$451,$C376,'TL16'!$J$238:$J$451),0),
IF('TL17'!$B$3=O$3,SUMIF('TL17'!$C$10:$C$224,$C376,'TL17'!$J$10:$J$224),0),
IF('TL17'!$B$229=O$3,SUMIF('TL17'!$C$238:$C$451,$C376,'TL17'!$J$238:$J$451),0),
IF('TL18'!$B$3=O$3,SUMIF('TL18'!$C$10:$C$224,$C376,'TL18'!$J$10:$J$224),0),
IF('TL18'!$B$229=O$3,SUMIF('TL18'!$C$238:$C$451,$C376,'TL18'!$J$238:$J$451),0),
IF('TL19'!$B$3=O$3,SUMIF('TL19'!$C$10:$C$224,$C376,'TL19'!$J$10:$J$224),0),
IF('TL19'!$B$229=O$3,SUMIF('TL19'!$C$238:$C$451,$C376,'TL19'!$J$238:$J$451),0)
),0)</f>
        <v>0</v>
      </c>
      <c r="P376" s="9">
        <f>IFERROR(SUM(
IF('TL01'!$B$3=P$3,SUMIF('TL01'!$C$10:$C$224,$C376,'TL01'!$J$10:$J$224),0),
IF('TL01'!$B$229=P$3,SUMIF('TL01'!$C$238:$C$451,$C376,'TL01'!$J$238:$J$451),0),
IF('TL02'!$B$3=P$3,SUMIF('TL02'!$C$10:$C$224,$C376,'TL02'!$J$10:$J$224),0),
IF('TL02'!$B$229=P$3,SUMIF('TL02'!$C$238:$C$451,$C376,'TL02'!$J$238:$J$451),0),
IF('TL03'!$B$3=P$3,SUMIF('TL03'!$C$10:$C$224,$C376,'TL03'!$J$10:$J$224),0),
IF('TL03'!$B$229=P$3,SUMIF('TL03'!$C$238:$C$451,$C376,'TL03'!$J$238:$J$451),0),
IF('TL04'!$B$3=P$3,SUMIF('TL04'!$C$10:$C$224,$C376,'TL04'!$J$10:$J$224),0),
IF('TL04'!$B$229=P$3,SUMIF('TL04'!$C$238:$C$451,$C376,'TL04'!$J$238:$J$451),0),
IF('TL05'!$B$3=P$3,SUMIF('TL05'!$C$10:$C$224,$C376,'TL05'!$J$10:$J$224),0),
IF('TL05'!$B$229=P$3,SUMIF('TL05'!$C$238:$C$451,$C376,'TL05'!$J$238:$J$451),0),
IF('TL06'!$B$3=P$3,SUMIF('TL06'!$C$10:$C$224,$C376,'TL06'!$J$10:$J$224),0),
IF('TL06'!$B$229=P$3,SUMIF('TL06'!$C$238:$C$451,$C376,'TL06'!$J$238:$J$451),0),
IF('TL07'!$B$3=P$3,SUMIF('TL07'!$C$10:$C$224,$C376,'TL07'!$J$10:$J$224),0),
IF('TL07'!$B$229=P$3,SUMIF('TL07'!$C$238:$C$451,$C376,'TL07'!$J$238:$J$451),0),
IF('TL08'!$B$3=P$3,SUMIF('TL08'!$C$10:$C$224,$C376,'TL08'!$J$10:$J$224),0),
IF('TL08'!$B$229=P$3,SUMIF('TL08'!$C$238:$C$451,$C376,'TL08'!$J$238:$J$451),0),
IF('TL09'!$B$3=P$3,SUMIF('TL09'!$C$10:$C$224,$C376,'TL09'!$J$10:$J$224),0),
IF('TL09'!$B$229=P$3,SUMIF('TL09'!$C$238:$C$451,$C376,'TL09'!$J$238:$J$451),0),
IF('TL10'!$B$3=P$3,SUMIF('TL10'!$C$10:$C$224,$C376,'TL10'!$J$10:$J$224),0),
IF('TL10'!$B$229=P$3,SUMIF('TL10'!$C$238:$C$451,$C376,'TL10'!$J$238:$J$451),0),
IF('TL11'!$B$3=P$3,SUMIF('TL11'!$C$10:$C$224,$C376,'TL11'!$J$10:$J$224),0),
IF('TL11'!$B$229=P$3,SUMIF('TL11'!$C$238:$C$451,$C376,'TL11'!$J$238:$J$451),0),
IF('TL12'!$B$3=P$3,SUMIF('TL12'!$C$10:$C$224,$C376,'TL12'!$J$10:$J$224),0),
IF('TL12'!$B$229=P$3,SUMIF('TL12'!$C$238:$C$451,$C376,'TL12'!$J$238:$J$451),0),
IF('TL13'!$B$3=P$3,SUMIF('TL13'!$C$10:$C$224,$C376,'TL13'!$J$10:$J$224),0),
IF('TL13'!$B$229=P$3,SUMIF('TL13'!$C$238:$C$451,$C376,'TL13'!$J$238:$J$451),0),
IF('TL14'!$B$3=P$3,SUMIF('TL14'!$C$10:$C$224,$C376,'TL14'!$J$10:$J$224),0),
IF('TL14'!$B$229=P$3,SUMIF('TL14'!$C$238:$C$451,$C376,'TL14'!$J$238:$J$451),0),
IF('TL15'!$B$3=P$3,SUMIF('TL15'!$C$10:$C$224,$C376,'TL15'!$J$10:$J$224),0),
IF('TL15'!$B$229=P$3,SUMIF('TL15'!$C$238:$C$451,$C376,'TL15'!$J$238:$J$451),0),
IF('TL16'!$B$3=P$3,SUMIF('TL16'!$C$10:$C$224,$C376,'TL16'!$J$10:$J$224),0),
IF('TL16'!$B$229=P$3,SUMIF('TL16'!$C$238:$C$451,$C376,'TL16'!$J$238:$J$451),0),
IF('TL17'!$B$3=P$3,SUMIF('TL17'!$C$10:$C$224,$C376,'TL17'!$J$10:$J$224),0),
IF('TL17'!$B$229=P$3,SUMIF('TL17'!$C$238:$C$451,$C376,'TL17'!$J$238:$J$451),0),
IF('TL18'!$B$3=P$3,SUMIF('TL18'!$C$10:$C$224,$C376,'TL18'!$J$10:$J$224),0),
IF('TL18'!$B$229=P$3,SUMIF('TL18'!$C$238:$C$451,$C376,'TL18'!$J$238:$J$451),0),
IF('TL19'!$B$3=P$3,SUMIF('TL19'!$C$10:$C$224,$C376,'TL19'!$J$10:$J$224),0),
IF('TL19'!$B$229=P$3,SUMIF('TL19'!$C$238:$C$451,$C376,'TL19'!$J$238:$J$451),0)
),0)</f>
        <v>0</v>
      </c>
      <c r="Q376" s="9">
        <f>IFERROR(SUM(
IF('TL01'!$B$3=Q$3,SUMIF('TL01'!$C$10:$C$224,$C376,'TL01'!$J$10:$J$224),0),
IF('TL01'!$B$229=Q$3,SUMIF('TL01'!$C$238:$C$451,$C376,'TL01'!$J$238:$J$451),0),
IF('TL02'!$B$3=Q$3,SUMIF('TL02'!$C$10:$C$224,$C376,'TL02'!$J$10:$J$224),0),
IF('TL02'!$B$229=Q$3,SUMIF('TL02'!$C$238:$C$451,$C376,'TL02'!$J$238:$J$451),0),
IF('TL03'!$B$3=Q$3,SUMIF('TL03'!$C$10:$C$224,$C376,'TL03'!$J$10:$J$224),0),
IF('TL03'!$B$229=Q$3,SUMIF('TL03'!$C$238:$C$451,$C376,'TL03'!$J$238:$J$451),0),
IF('TL04'!$B$3=Q$3,SUMIF('TL04'!$C$10:$C$224,$C376,'TL04'!$J$10:$J$224),0),
IF('TL04'!$B$229=Q$3,SUMIF('TL04'!$C$238:$C$451,$C376,'TL04'!$J$238:$J$451),0),
IF('TL05'!$B$3=Q$3,SUMIF('TL05'!$C$10:$C$224,$C376,'TL05'!$J$10:$J$224),0),
IF('TL05'!$B$229=Q$3,SUMIF('TL05'!$C$238:$C$451,$C376,'TL05'!$J$238:$J$451),0),
IF('TL06'!$B$3=Q$3,SUMIF('TL06'!$C$10:$C$224,$C376,'TL06'!$J$10:$J$224),0),
IF('TL06'!$B$229=Q$3,SUMIF('TL06'!$C$238:$C$451,$C376,'TL06'!$J$238:$J$451),0),
IF('TL07'!$B$3=Q$3,SUMIF('TL07'!$C$10:$C$224,$C376,'TL07'!$J$10:$J$224),0),
IF('TL07'!$B$229=Q$3,SUMIF('TL07'!$C$238:$C$451,$C376,'TL07'!$J$238:$J$451),0),
IF('TL08'!$B$3=Q$3,SUMIF('TL08'!$C$10:$C$224,$C376,'TL08'!$J$10:$J$224),0),
IF('TL08'!$B$229=Q$3,SUMIF('TL08'!$C$238:$C$451,$C376,'TL08'!$J$238:$J$451),0),
IF('TL09'!$B$3=Q$3,SUMIF('TL09'!$C$10:$C$224,$C376,'TL09'!$J$10:$J$224),0),
IF('TL09'!$B$229=Q$3,SUMIF('TL09'!$C$238:$C$451,$C376,'TL09'!$J$238:$J$451),0),
IF('TL10'!$B$3=Q$3,SUMIF('TL10'!$C$10:$C$224,$C376,'TL10'!$J$10:$J$224),0),
IF('TL10'!$B$229=Q$3,SUMIF('TL10'!$C$238:$C$451,$C376,'TL10'!$J$238:$J$451),0),
IF('TL11'!$B$3=Q$3,SUMIF('TL11'!$C$10:$C$224,$C376,'TL11'!$J$10:$J$224),0),
IF('TL11'!$B$229=Q$3,SUMIF('TL11'!$C$238:$C$451,$C376,'TL11'!$J$238:$J$451),0),
IF('TL12'!$B$3=Q$3,SUMIF('TL12'!$C$10:$C$224,$C376,'TL12'!$J$10:$J$224),0),
IF('TL12'!$B$229=Q$3,SUMIF('TL12'!$C$238:$C$451,$C376,'TL12'!$J$238:$J$451),0),
IF('TL13'!$B$3=Q$3,SUMIF('TL13'!$C$10:$C$224,$C376,'TL13'!$J$10:$J$224),0),
IF('TL13'!$B$229=Q$3,SUMIF('TL13'!$C$238:$C$451,$C376,'TL13'!$J$238:$J$451),0),
IF('TL14'!$B$3=Q$3,SUMIF('TL14'!$C$10:$C$224,$C376,'TL14'!$J$10:$J$224),0),
IF('TL14'!$B$229=Q$3,SUMIF('TL14'!$C$238:$C$451,$C376,'TL14'!$J$238:$J$451),0),
IF('TL15'!$B$3=Q$3,SUMIF('TL15'!$C$10:$C$224,$C376,'TL15'!$J$10:$J$224),0),
IF('TL15'!$B$229=Q$3,SUMIF('TL15'!$C$238:$C$451,$C376,'TL15'!$J$238:$J$451),0),
IF('TL16'!$B$3=Q$3,SUMIF('TL16'!$C$10:$C$224,$C376,'TL16'!$J$10:$J$224),0),
IF('TL16'!$B$229=Q$3,SUMIF('TL16'!$C$238:$C$451,$C376,'TL16'!$J$238:$J$451),0),
IF('TL17'!$B$3=Q$3,SUMIF('TL17'!$C$10:$C$224,$C376,'TL17'!$J$10:$J$224),0),
IF('TL17'!$B$229=Q$3,SUMIF('TL17'!$C$238:$C$451,$C376,'TL17'!$J$238:$J$451),0),
IF('TL18'!$B$3=Q$3,SUMIF('TL18'!$C$10:$C$224,$C376,'TL18'!$J$10:$J$224),0),
IF('TL18'!$B$229=Q$3,SUMIF('TL18'!$C$238:$C$451,$C376,'TL18'!$J$238:$J$451),0),
IF('TL19'!$B$3=Q$3,SUMIF('TL19'!$C$10:$C$224,$C376,'TL19'!$J$10:$J$224),0),
IF('TL19'!$B$229=Q$3,SUMIF('TL19'!$C$238:$C$451,$C376,'TL19'!$J$238:$J$451),0)
),0)</f>
        <v>0</v>
      </c>
      <c r="R376" s="9">
        <f>IFERROR(
SUM(
SUMIF('TL01'!C:C,C376,'TL01'!J:J),
SUMIF('TL02'!C:C,C376,'TL02'!J:J),
SUMIF('TL03'!C:C,C376,'TL03'!J:J),
SUMIF('TL04'!C:C,C376,'TL04'!J:J),
SUMIF('TL05'!C:C,C376,'TL05'!J:J),
SUMIF('TL06'!C:C,C376,'TL06'!J:J),
SUMIF('TL07'!C:C,C376,'TL07'!J:J),
SUMIF('TL08'!C:C,C376,'TL08'!J:J),
SUMIF('TL09'!C:C,C376,'TL09'!J:J),
SUMIF('TL10'!C:C,C376,'TL10'!J:J),
SUMIF('TL11'!C:C,C376,'TL11'!J:J),
SUMIF('TL12'!C:C,C376,'TL12'!J:J),
SUMIF('TL13'!C:C,C376,'TL13'!J:J),
SUMIF('TL14'!C:C,C376,'TL14'!J:J),
SUMIF('TL15'!C:C,C376,'TL15'!J:J),
SUMIF('TL16'!C:C,C376,'TL16'!J:J),
SUMIF('TL17'!C:C,C376,'TL17'!J:J),
SUMIF('TL18'!C:C,C376,'TL18'!J:J),SUMIF('TL19'!C:C,C376,'TL19'!J:J))
,0)</f>
        <v>0</v>
      </c>
      <c r="S376" s="17">
        <f>IFERROR(__xludf.DUMMYFUNCTION("IFERROR(VLOOKUP(C376,
IMPORTRANGE(""1wULbzX32WdYsx-lj2U3uUNBBe2INVIRDtcK0d-Dvl90"",
""26-27!C:G""),
5,
FALSE),
"""")"),29.12)</f>
        <v>29.12</v>
      </c>
      <c r="T376" s="9"/>
      <c r="U376" s="92">
        <f t="shared" si="2"/>
        <v>0</v>
      </c>
      <c r="V376" s="93">
        <f t="shared" si="3"/>
        <v>0</v>
      </c>
    </row>
    <row r="377" ht="15.75" hidden="1" customHeight="1">
      <c r="A377" s="4" t="s">
        <v>1071</v>
      </c>
      <c r="B377" s="4" t="s">
        <v>4</v>
      </c>
      <c r="C377" s="130" t="s">
        <v>1118</v>
      </c>
      <c r="D377" s="129" t="s">
        <v>1119</v>
      </c>
      <c r="E377" s="6"/>
      <c r="F377" s="4"/>
      <c r="G377" s="90" t="str">
        <f t="shared" si="5"/>
        <v>📄 Ver bula</v>
      </c>
      <c r="H377" s="9"/>
      <c r="I377" s="123"/>
      <c r="J377" s="9">
        <f>IFERROR(SUM(
IF('TL01'!$B$3=J$3,SUMIF('TL01'!$C$10:$C$224,$C377,'TL01'!$J$10:$J$224),0),
IF('TL01'!$B$229=J$3,SUMIF('TL01'!$C$238:$C$451,$C377,'TL01'!$J$238:$J$451),0),
IF('TL02'!$B$3=J$3,SUMIF('TL02'!$C$10:$C$224,$C377,'TL02'!$J$10:$J$224),0),
IF('TL02'!$B$229=J$3,SUMIF('TL02'!$C$238:$C$451,$C377,'TL02'!$J$238:$J$451),0),
IF('TL03'!$B$3=J$3,SUMIF('TL03'!$C$10:$C$224,$C377,'TL03'!$J$10:$J$224),0),
IF('TL03'!$B$229=J$3,SUMIF('TL03'!$C$238:$C$451,$C377,'TL03'!$J$238:$J$451),0),
IF('TL04'!$B$3=J$3,SUMIF('TL04'!$C$10:$C$224,$C377,'TL04'!$J$10:$J$224),0),
IF('TL04'!$B$229=J$3,SUMIF('TL04'!$C$238:$C$451,$C377,'TL04'!$J$238:$J$451),0),
IF('TL05'!$B$3=J$3,SUMIF('TL05'!$C$10:$C$224,$C377,'TL05'!$J$10:$J$224),0),
IF('TL05'!$B$229=J$3,SUMIF('TL05'!$C$238:$C$451,$C377,'TL05'!$J$238:$J$451),0),
IF('TL06'!$B$3=J$3,SUMIF('TL06'!$C$10:$C$224,$C377,'TL06'!$J$10:$J$224),0),
IF('TL06'!$B$229=J$3,SUMIF('TL06'!$C$238:$C$451,$C377,'TL06'!$J$238:$J$451),0),
IF('TL07'!$B$3=J$3,SUMIF('TL07'!$C$10:$C$224,$C377,'TL07'!$J$10:$J$224),0),
IF('TL07'!$B$229=J$3,SUMIF('TL07'!$C$238:$C$451,$C377,'TL07'!$J$238:$J$451),0),
IF('TL08'!$B$3=J$3,SUMIF('TL08'!$C$10:$C$224,$C377,'TL08'!$J$10:$J$224),0),
IF('TL08'!$B$229=J$3,SUMIF('TL08'!$C$238:$C$451,$C377,'TL08'!$J$238:$J$451),0),
IF('TL09'!$B$3=J$3,SUMIF('TL09'!$C$10:$C$224,$C377,'TL09'!$J$10:$J$224),0),
IF('TL09'!$B$229=J$3,SUMIF('TL09'!$C$238:$C$451,$C377,'TL09'!$J$238:$J$451),0),
IF('TL10'!$B$3=J$3,SUMIF('TL10'!$C$10:$C$224,$C377,'TL10'!$J$10:$J$224),0),
IF('TL10'!$B$229=J$3,SUMIF('TL10'!$C$238:$C$451,$C377,'TL10'!$J$238:$J$451),0),
IF('TL11'!$B$3=J$3,SUMIF('TL11'!$C$10:$C$224,$C377,'TL11'!$J$10:$J$224),0),
IF('TL11'!$B$229=J$3,SUMIF('TL11'!$C$238:$C$451,$C377,'TL11'!$J$238:$J$451),0),
IF('TL12'!$B$3=J$3,SUMIF('TL12'!$C$10:$C$224,$C377,'TL12'!$J$10:$J$224),0),
IF('TL12'!$B$229=J$3,SUMIF('TL12'!$C$238:$C$451,$C377,'TL12'!$J$238:$J$451),0),
IF('TL13'!$B$3=J$3,SUMIF('TL13'!$C$10:$C$224,$C377,'TL13'!$J$10:$J$224),0),
IF('TL13'!$B$229=J$3,SUMIF('TL13'!$C$238:$C$451,$C377,'TL13'!$J$238:$J$451),0),
IF('TL14'!$B$3=J$3,SUMIF('TL14'!$C$10:$C$224,$C377,'TL14'!$J$10:$J$224),0),
IF('TL14'!$B$229=J$3,SUMIF('TL14'!$C$238:$C$451,$C377,'TL14'!$J$238:$J$451),0),
IF('TL15'!$B$3=J$3,SUMIF('TL15'!$C$10:$C$224,$C377,'TL15'!$J$10:$J$224),0),
IF('TL15'!$B$229=J$3,SUMIF('TL15'!$C$238:$C$451,$C377,'TL15'!$J$238:$J$451),0),
IF('TL16'!$B$3=J$3,SUMIF('TL16'!$C$10:$C$224,$C377,'TL16'!$J$10:$J$224),0),
IF('TL16'!$B$229=J$3,SUMIF('TL16'!$C$238:$C$451,$C377,'TL16'!$J$238:$J$451),0),
IF('TL17'!$B$3=J$3,SUMIF('TL17'!$C$10:$C$224,$C377,'TL17'!$J$10:$J$224),0),
IF('TL17'!$B$229=J$3,SUMIF('TL17'!$C$238:$C$451,$C377,'TL17'!$J$238:$J$451),0),
IF('TL18'!$B$3=J$3,SUMIF('TL18'!$C$10:$C$224,$C377,'TL18'!$J$10:$J$224),0),
IF('TL18'!$B$229=J$3,SUMIF('TL18'!$C$238:$C$451,$C377,'TL18'!$J$238:$J$451),0),
IF('TL19'!$B$3=J$3,SUMIF('TL19'!$C$10:$C$224,$C377,'TL19'!$J$10:$J$224),0),
IF('TL19'!$B$229=J$3,SUMIF('TL19'!$C$238:$C$451,$C377,'TL19'!$J$238:$J$451),0)
),0)</f>
        <v>0</v>
      </c>
      <c r="K377" s="9">
        <f>IFERROR(SUM(
IF('TL01'!$B$3=K$3,SUMIF('TL01'!$C$10:$C$224,$C377,'TL01'!$J$10:$J$224),0),
IF('TL01'!$B$229=K$3,SUMIF('TL01'!$C$238:$C$451,$C377,'TL01'!$J$238:$J$451),0),
IF('TL02'!$B$3=K$3,SUMIF('TL02'!$C$10:$C$224,$C377,'TL02'!$J$10:$J$224),0),
IF('TL02'!$B$229=K$3,SUMIF('TL02'!$C$238:$C$451,$C377,'TL02'!$J$238:$J$451),0),
IF('TL03'!$B$3=K$3,SUMIF('TL03'!$C$10:$C$224,$C377,'TL03'!$J$10:$J$224),0),
IF('TL03'!$B$229=K$3,SUMIF('TL03'!$C$238:$C$451,$C377,'TL03'!$J$238:$J$451),0),
IF('TL04'!$B$3=K$3,SUMIF('TL04'!$C$10:$C$224,$C377,'TL04'!$J$10:$J$224),0),
IF('TL04'!$B$229=K$3,SUMIF('TL04'!$C$238:$C$451,$C377,'TL04'!$J$238:$J$451),0),
IF('TL05'!$B$3=K$3,SUMIF('TL05'!$C$10:$C$224,$C377,'TL05'!$J$10:$J$224),0),
IF('TL05'!$B$229=K$3,SUMIF('TL05'!$C$238:$C$451,$C377,'TL05'!$J$238:$J$451),0),
IF('TL06'!$B$3=K$3,SUMIF('TL06'!$C$10:$C$224,$C377,'TL06'!$J$10:$J$224),0),
IF('TL06'!$B$229=K$3,SUMIF('TL06'!$C$238:$C$451,$C377,'TL06'!$J$238:$J$451),0),
IF('TL07'!$B$3=K$3,SUMIF('TL07'!$C$10:$C$224,$C377,'TL07'!$J$10:$J$224),0),
IF('TL07'!$B$229=K$3,SUMIF('TL07'!$C$238:$C$451,$C377,'TL07'!$J$238:$J$451),0),
IF('TL08'!$B$3=K$3,SUMIF('TL08'!$C$10:$C$224,$C377,'TL08'!$J$10:$J$224),0),
IF('TL08'!$B$229=K$3,SUMIF('TL08'!$C$238:$C$451,$C377,'TL08'!$J$238:$J$451),0),
IF('TL09'!$B$3=K$3,SUMIF('TL09'!$C$10:$C$224,$C377,'TL09'!$J$10:$J$224),0),
IF('TL09'!$B$229=K$3,SUMIF('TL09'!$C$238:$C$451,$C377,'TL09'!$J$238:$J$451),0),
IF('TL10'!$B$3=K$3,SUMIF('TL10'!$C$10:$C$224,$C377,'TL10'!$J$10:$J$224),0),
IF('TL10'!$B$229=K$3,SUMIF('TL10'!$C$238:$C$451,$C377,'TL10'!$J$238:$J$451),0),
IF('TL11'!$B$3=K$3,SUMIF('TL11'!$C$10:$C$224,$C377,'TL11'!$J$10:$J$224),0),
IF('TL11'!$B$229=K$3,SUMIF('TL11'!$C$238:$C$451,$C377,'TL11'!$J$238:$J$451),0),
IF('TL12'!$B$3=K$3,SUMIF('TL12'!$C$10:$C$224,$C377,'TL12'!$J$10:$J$224),0),
IF('TL12'!$B$229=K$3,SUMIF('TL12'!$C$238:$C$451,$C377,'TL12'!$J$238:$J$451),0),
IF('TL13'!$B$3=K$3,SUMIF('TL13'!$C$10:$C$224,$C377,'TL13'!$J$10:$J$224),0),
IF('TL13'!$B$229=K$3,SUMIF('TL13'!$C$238:$C$451,$C377,'TL13'!$J$238:$J$451),0),
IF('TL14'!$B$3=K$3,SUMIF('TL14'!$C$10:$C$224,$C377,'TL14'!$J$10:$J$224),0),
IF('TL14'!$B$229=K$3,SUMIF('TL14'!$C$238:$C$451,$C377,'TL14'!$J$238:$J$451),0),
IF('TL15'!$B$3=K$3,SUMIF('TL15'!$C$10:$C$224,$C377,'TL15'!$J$10:$J$224),0),
IF('TL15'!$B$229=K$3,SUMIF('TL15'!$C$238:$C$451,$C377,'TL15'!$J$238:$J$451),0),
IF('TL16'!$B$3=K$3,SUMIF('TL16'!$C$10:$C$224,$C377,'TL16'!$J$10:$J$224),0),
IF('TL16'!$B$229=K$3,SUMIF('TL16'!$C$238:$C$451,$C377,'TL16'!$J$238:$J$451),0),
IF('TL17'!$B$3=K$3,SUMIF('TL17'!$C$10:$C$224,$C377,'TL17'!$J$10:$J$224),0),
IF('TL17'!$B$229=K$3,SUMIF('TL17'!$C$238:$C$451,$C377,'TL17'!$J$238:$J$451),0),
IF('TL18'!$B$3=K$3,SUMIF('TL18'!$C$10:$C$224,$C377,'TL18'!$J$10:$J$224),0),
IF('TL18'!$B$229=K$3,SUMIF('TL18'!$C$238:$C$451,$C377,'TL18'!$J$238:$J$451),0),
IF('TL19'!$B$3=K$3,SUMIF('TL19'!$C$10:$C$224,$C377,'TL19'!$J$10:$J$224),0),
IF('TL19'!$B$229=K$3,SUMIF('TL19'!$C$238:$C$451,$C377,'TL19'!$J$238:$J$451),0)
),0)</f>
        <v>0</v>
      </c>
      <c r="L377" s="9">
        <f>IFERROR(SUM(
IF('TL01'!$B$3=L$3,SUMIF('TL01'!$C$10:$C$224,$C377,'TL01'!$J$10:$J$224),0),
IF('TL01'!$B$229=L$3,SUMIF('TL01'!$C$238:$C$451,$C377,'TL01'!$J$238:$J$451),0),
IF('TL02'!$B$3=L$3,SUMIF('TL02'!$C$10:$C$224,$C377,'TL02'!$J$10:$J$224),0),
IF('TL02'!$B$229=L$3,SUMIF('TL02'!$C$238:$C$451,$C377,'TL02'!$J$238:$J$451),0),
IF('TL03'!$B$3=L$3,SUMIF('TL03'!$C$10:$C$224,$C377,'TL03'!$J$10:$J$224),0),
IF('TL03'!$B$229=L$3,SUMIF('TL03'!$C$238:$C$451,$C377,'TL03'!$J$238:$J$451),0),
IF('TL04'!$B$3=L$3,SUMIF('TL04'!$C$10:$C$224,$C377,'TL04'!$J$10:$J$224),0),
IF('TL04'!$B$229=L$3,SUMIF('TL04'!$C$238:$C$451,$C377,'TL04'!$J$238:$J$451),0),
IF('TL05'!$B$3=L$3,SUMIF('TL05'!$C$10:$C$224,$C377,'TL05'!$J$10:$J$224),0),
IF('TL05'!$B$229=L$3,SUMIF('TL05'!$C$238:$C$451,$C377,'TL05'!$J$238:$J$451),0),
IF('TL06'!$B$3=L$3,SUMIF('TL06'!$C$10:$C$224,$C377,'TL06'!$J$10:$J$224),0),
IF('TL06'!$B$229=L$3,SUMIF('TL06'!$C$238:$C$451,$C377,'TL06'!$J$238:$J$451),0),
IF('TL07'!$B$3=L$3,SUMIF('TL07'!$C$10:$C$224,$C377,'TL07'!$J$10:$J$224),0),
IF('TL07'!$B$229=L$3,SUMIF('TL07'!$C$238:$C$451,$C377,'TL07'!$J$238:$J$451),0),
IF('TL08'!$B$3=L$3,SUMIF('TL08'!$C$10:$C$224,$C377,'TL08'!$J$10:$J$224),0),
IF('TL08'!$B$229=L$3,SUMIF('TL08'!$C$238:$C$451,$C377,'TL08'!$J$238:$J$451),0),
IF('TL09'!$B$3=L$3,SUMIF('TL09'!$C$10:$C$224,$C377,'TL09'!$J$10:$J$224),0),
IF('TL09'!$B$229=L$3,SUMIF('TL09'!$C$238:$C$451,$C377,'TL09'!$J$238:$J$451),0),
IF('TL10'!$B$3=L$3,SUMIF('TL10'!$C$10:$C$224,$C377,'TL10'!$J$10:$J$224),0),
IF('TL10'!$B$229=L$3,SUMIF('TL10'!$C$238:$C$451,$C377,'TL10'!$J$238:$J$451),0),
IF('TL11'!$B$3=L$3,SUMIF('TL11'!$C$10:$C$224,$C377,'TL11'!$J$10:$J$224),0),
IF('TL11'!$B$229=L$3,SUMIF('TL11'!$C$238:$C$451,$C377,'TL11'!$J$238:$J$451),0),
IF('TL12'!$B$3=L$3,SUMIF('TL12'!$C$10:$C$224,$C377,'TL12'!$J$10:$J$224),0),
IF('TL12'!$B$229=L$3,SUMIF('TL12'!$C$238:$C$451,$C377,'TL12'!$J$238:$J$451),0),
IF('TL13'!$B$3=L$3,SUMIF('TL13'!$C$10:$C$224,$C377,'TL13'!$J$10:$J$224),0),
IF('TL13'!$B$229=L$3,SUMIF('TL13'!$C$238:$C$451,$C377,'TL13'!$J$238:$J$451),0),
IF('TL14'!$B$3=L$3,SUMIF('TL14'!$C$10:$C$224,$C377,'TL14'!$J$10:$J$224),0),
IF('TL14'!$B$229=L$3,SUMIF('TL14'!$C$238:$C$451,$C377,'TL14'!$J$238:$J$451),0),
IF('TL15'!$B$3=L$3,SUMIF('TL15'!$C$10:$C$224,$C377,'TL15'!$J$10:$J$224),0),
IF('TL15'!$B$229=L$3,SUMIF('TL15'!$C$238:$C$451,$C377,'TL15'!$J$238:$J$451),0),
IF('TL16'!$B$3=L$3,SUMIF('TL16'!$C$10:$C$224,$C377,'TL16'!$J$10:$J$224),0),
IF('TL16'!$B$229=L$3,SUMIF('TL16'!$C$238:$C$451,$C377,'TL16'!$J$238:$J$451),0),
IF('TL17'!$B$3=L$3,SUMIF('TL17'!$C$10:$C$224,$C377,'TL17'!$J$10:$J$224),0),
IF('TL17'!$B$229=L$3,SUMIF('TL17'!$C$238:$C$451,$C377,'TL17'!$J$238:$J$451),0),
IF('TL18'!$B$3=L$3,SUMIF('TL18'!$C$10:$C$224,$C377,'TL18'!$J$10:$J$224),0),
IF('TL18'!$B$229=L$3,SUMIF('TL18'!$C$238:$C$451,$C377,'TL18'!$J$238:$J$451),0),
IF('TL19'!$B$3=L$3,SUMIF('TL19'!$C$10:$C$224,$C377,'TL19'!$J$10:$J$224),0),
IF('TL19'!$B$229=L$3,SUMIF('TL19'!$C$238:$C$451,$C377,'TL19'!$J$238:$J$451),0)
),0)</f>
        <v>0</v>
      </c>
      <c r="M377" s="9">
        <f>IFERROR(SUM(
IF('TL01'!$B$3=M$3,SUMIF('TL01'!$C$10:$C$224,$C377,'TL01'!$J$10:$J$224),0),
IF('TL01'!$B$229=M$3,SUMIF('TL01'!$C$238:$C$451,$C377,'TL01'!$J$238:$J$451),0),
IF('TL02'!$B$3=M$3,SUMIF('TL02'!$C$10:$C$224,$C377,'TL02'!$J$10:$J$224),0),
IF('TL02'!$B$229=M$3,SUMIF('TL02'!$C$238:$C$451,$C377,'TL02'!$J$238:$J$451),0),
IF('TL03'!$B$3=M$3,SUMIF('TL03'!$C$10:$C$224,$C377,'TL03'!$J$10:$J$224),0),
IF('TL03'!$B$229=M$3,SUMIF('TL03'!$C$238:$C$451,$C377,'TL03'!$J$238:$J$451),0),
IF('TL04'!$B$3=M$3,SUMIF('TL04'!$C$10:$C$224,$C377,'TL04'!$J$10:$J$224),0),
IF('TL04'!$B$229=M$3,SUMIF('TL04'!$C$238:$C$451,$C377,'TL04'!$J$238:$J$451),0),
IF('TL05'!$B$3=M$3,SUMIF('TL05'!$C$10:$C$224,$C377,'TL05'!$J$10:$J$224),0),
IF('TL05'!$B$229=M$3,SUMIF('TL05'!$C$238:$C$451,$C377,'TL05'!$J$238:$J$451),0),
IF('TL06'!$B$3=M$3,SUMIF('TL06'!$C$10:$C$224,$C377,'TL06'!$J$10:$J$224),0),
IF('TL06'!$B$229=M$3,SUMIF('TL06'!$C$238:$C$451,$C377,'TL06'!$J$238:$J$451),0),
IF('TL07'!$B$3=M$3,SUMIF('TL07'!$C$10:$C$224,$C377,'TL07'!$J$10:$J$224),0),
IF('TL07'!$B$229=M$3,SUMIF('TL07'!$C$238:$C$451,$C377,'TL07'!$J$238:$J$451),0),
IF('TL08'!$B$3=M$3,SUMIF('TL08'!$C$10:$C$224,$C377,'TL08'!$J$10:$J$224),0),
IF('TL08'!$B$229=M$3,SUMIF('TL08'!$C$238:$C$451,$C377,'TL08'!$J$238:$J$451),0),
IF('TL09'!$B$3=M$3,SUMIF('TL09'!$C$10:$C$224,$C377,'TL09'!$J$10:$J$224),0),
IF('TL09'!$B$229=M$3,SUMIF('TL09'!$C$238:$C$451,$C377,'TL09'!$J$238:$J$451),0),
IF('TL10'!$B$3=M$3,SUMIF('TL10'!$C$10:$C$224,$C377,'TL10'!$J$10:$J$224),0),
IF('TL10'!$B$229=M$3,SUMIF('TL10'!$C$238:$C$451,$C377,'TL10'!$J$238:$J$451),0),
IF('TL11'!$B$3=M$3,SUMIF('TL11'!$C$10:$C$224,$C377,'TL11'!$J$10:$J$224),0),
IF('TL11'!$B$229=M$3,SUMIF('TL11'!$C$238:$C$451,$C377,'TL11'!$J$238:$J$451),0),
IF('TL12'!$B$3=M$3,SUMIF('TL12'!$C$10:$C$224,$C377,'TL12'!$J$10:$J$224),0),
IF('TL12'!$B$229=M$3,SUMIF('TL12'!$C$238:$C$451,$C377,'TL12'!$J$238:$J$451),0),
IF('TL13'!$B$3=M$3,SUMIF('TL13'!$C$10:$C$224,$C377,'TL13'!$J$10:$J$224),0),
IF('TL13'!$B$229=M$3,SUMIF('TL13'!$C$238:$C$451,$C377,'TL13'!$J$238:$J$451),0),
IF('TL14'!$B$3=M$3,SUMIF('TL14'!$C$10:$C$224,$C377,'TL14'!$J$10:$J$224),0),
IF('TL14'!$B$229=M$3,SUMIF('TL14'!$C$238:$C$451,$C377,'TL14'!$J$238:$J$451),0),
IF('TL15'!$B$3=M$3,SUMIF('TL15'!$C$10:$C$224,$C377,'TL15'!$J$10:$J$224),0),
IF('TL15'!$B$229=M$3,SUMIF('TL15'!$C$238:$C$451,$C377,'TL15'!$J$238:$J$451),0),
IF('TL16'!$B$3=M$3,SUMIF('TL16'!$C$10:$C$224,$C377,'TL16'!$J$10:$J$224),0),
IF('TL16'!$B$229=M$3,SUMIF('TL16'!$C$238:$C$451,$C377,'TL16'!$J$238:$J$451),0),
IF('TL17'!$B$3=M$3,SUMIF('TL17'!$C$10:$C$224,$C377,'TL17'!$J$10:$J$224),0),
IF('TL17'!$B$229=M$3,SUMIF('TL17'!$C$238:$C$451,$C377,'TL17'!$J$238:$J$451),0),
IF('TL18'!$B$3=M$3,SUMIF('TL18'!$C$10:$C$224,$C377,'TL18'!$J$10:$J$224),0),
IF('TL18'!$B$229=M$3,SUMIF('TL18'!$C$238:$C$451,$C377,'TL18'!$J$238:$J$451),0),
IF('TL19'!$B$3=M$3,SUMIF('TL19'!$C$10:$C$224,$C377,'TL19'!$J$10:$J$224),0),
IF('TL19'!$B$229=M$3,SUMIF('TL19'!$C$238:$C$451,$C377,'TL19'!$J$238:$J$451),0)
),0)</f>
        <v>0</v>
      </c>
      <c r="N377" s="9">
        <f>IFERROR(SUM(
IF('TL01'!$B$3=N$3,SUMIF('TL01'!$C$10:$C$224,$C377,'TL01'!$J$10:$J$224),0),
IF('TL01'!$B$229=N$3,SUMIF('TL01'!$C$238:$C$451,$C377,'TL01'!$J$238:$J$451),0),
IF('TL02'!$B$3=N$3,SUMIF('TL02'!$C$10:$C$224,$C377,'TL02'!$J$10:$J$224),0),
IF('TL02'!$B$229=N$3,SUMIF('TL02'!$C$238:$C$451,$C377,'TL02'!$J$238:$J$451),0),
IF('TL03'!$B$3=N$3,SUMIF('TL03'!$C$10:$C$224,$C377,'TL03'!$J$10:$J$224),0),
IF('TL03'!$B$229=N$3,SUMIF('TL03'!$C$238:$C$451,$C377,'TL03'!$J$238:$J$451),0),
IF('TL04'!$B$3=N$3,SUMIF('TL04'!$C$10:$C$224,$C377,'TL04'!$J$10:$J$224),0),
IF('TL04'!$B$229=N$3,SUMIF('TL04'!$C$238:$C$451,$C377,'TL04'!$J$238:$J$451),0),
IF('TL05'!$B$3=N$3,SUMIF('TL05'!$C$10:$C$224,$C377,'TL05'!$J$10:$J$224),0),
IF('TL05'!$B$229=N$3,SUMIF('TL05'!$C$238:$C$451,$C377,'TL05'!$J$238:$J$451),0),
IF('TL06'!$B$3=N$3,SUMIF('TL06'!$C$10:$C$224,$C377,'TL06'!$J$10:$J$224),0),
IF('TL06'!$B$229=N$3,SUMIF('TL06'!$C$238:$C$451,$C377,'TL06'!$J$238:$J$451),0),
IF('TL07'!$B$3=N$3,SUMIF('TL07'!$C$10:$C$224,$C377,'TL07'!$J$10:$J$224),0),
IF('TL07'!$B$229=N$3,SUMIF('TL07'!$C$238:$C$451,$C377,'TL07'!$J$238:$J$451),0),
IF('TL08'!$B$3=N$3,SUMIF('TL08'!$C$10:$C$224,$C377,'TL08'!$J$10:$J$224),0),
IF('TL08'!$B$229=N$3,SUMIF('TL08'!$C$238:$C$451,$C377,'TL08'!$J$238:$J$451),0),
IF('TL09'!$B$3=N$3,SUMIF('TL09'!$C$10:$C$224,$C377,'TL09'!$J$10:$J$224),0),
IF('TL09'!$B$229=N$3,SUMIF('TL09'!$C$238:$C$451,$C377,'TL09'!$J$238:$J$451),0),
IF('TL10'!$B$3=N$3,SUMIF('TL10'!$C$10:$C$224,$C377,'TL10'!$J$10:$J$224),0),
IF('TL10'!$B$229=N$3,SUMIF('TL10'!$C$238:$C$451,$C377,'TL10'!$J$238:$J$451),0),
IF('TL11'!$B$3=N$3,SUMIF('TL11'!$C$10:$C$224,$C377,'TL11'!$J$10:$J$224),0),
IF('TL11'!$B$229=N$3,SUMIF('TL11'!$C$238:$C$451,$C377,'TL11'!$J$238:$J$451),0),
IF('TL12'!$B$3=N$3,SUMIF('TL12'!$C$10:$C$224,$C377,'TL12'!$J$10:$J$224),0),
IF('TL12'!$B$229=N$3,SUMIF('TL12'!$C$238:$C$451,$C377,'TL12'!$J$238:$J$451),0),
IF('TL13'!$B$3=N$3,SUMIF('TL13'!$C$10:$C$224,$C377,'TL13'!$J$10:$J$224),0),
IF('TL13'!$B$229=N$3,SUMIF('TL13'!$C$238:$C$451,$C377,'TL13'!$J$238:$J$451),0),
IF('TL14'!$B$3=N$3,SUMIF('TL14'!$C$10:$C$224,$C377,'TL14'!$J$10:$J$224),0),
IF('TL14'!$B$229=N$3,SUMIF('TL14'!$C$238:$C$451,$C377,'TL14'!$J$238:$J$451),0),
IF('TL15'!$B$3=N$3,SUMIF('TL15'!$C$10:$C$224,$C377,'TL15'!$J$10:$J$224),0),
IF('TL15'!$B$229=N$3,SUMIF('TL15'!$C$238:$C$451,$C377,'TL15'!$J$238:$J$451),0),
IF('TL16'!$B$3=N$3,SUMIF('TL16'!$C$10:$C$224,$C377,'TL16'!$J$10:$J$224),0),
IF('TL16'!$B$229=N$3,SUMIF('TL16'!$C$238:$C$451,$C377,'TL16'!$J$238:$J$451),0),
IF('TL17'!$B$3=N$3,SUMIF('TL17'!$C$10:$C$224,$C377,'TL17'!$J$10:$J$224),0),
IF('TL17'!$B$229=N$3,SUMIF('TL17'!$C$238:$C$451,$C377,'TL17'!$J$238:$J$451),0),
IF('TL18'!$B$3=N$3,SUMIF('TL18'!$C$10:$C$224,$C377,'TL18'!$J$10:$J$224),0),
IF('TL18'!$B$229=N$3,SUMIF('TL18'!$C$238:$C$451,$C377,'TL18'!$J$238:$J$451),0),
IF('TL19'!$B$3=N$3,SUMIF('TL19'!$C$10:$C$224,$C377,'TL19'!$J$10:$J$224),0),
IF('TL19'!$B$229=N$3,SUMIF('TL19'!$C$238:$C$451,$C377,'TL19'!$J$238:$J$451),0)
),0)</f>
        <v>0</v>
      </c>
      <c r="O377" s="9">
        <f>IFERROR(SUM(
IF('TL01'!$B$3=O$3,SUMIF('TL01'!$C$10:$C$224,$C377,'TL01'!$J$10:$J$224),0),
IF('TL01'!$B$229=O$3,SUMIF('TL01'!$C$238:$C$451,$C377,'TL01'!$J$238:$J$451),0),
IF('TL02'!$B$3=O$3,SUMIF('TL02'!$C$10:$C$224,$C377,'TL02'!$J$10:$J$224),0),
IF('TL02'!$B$229=O$3,SUMIF('TL02'!$C$238:$C$451,$C377,'TL02'!$J$238:$J$451),0),
IF('TL03'!$B$3=O$3,SUMIF('TL03'!$C$10:$C$224,$C377,'TL03'!$J$10:$J$224),0),
IF('TL03'!$B$229=O$3,SUMIF('TL03'!$C$238:$C$451,$C377,'TL03'!$J$238:$J$451),0),
IF('TL04'!$B$3=O$3,SUMIF('TL04'!$C$10:$C$224,$C377,'TL04'!$J$10:$J$224),0),
IF('TL04'!$B$229=O$3,SUMIF('TL04'!$C$238:$C$451,$C377,'TL04'!$J$238:$J$451),0),
IF('TL05'!$B$3=O$3,SUMIF('TL05'!$C$10:$C$224,$C377,'TL05'!$J$10:$J$224),0),
IF('TL05'!$B$229=O$3,SUMIF('TL05'!$C$238:$C$451,$C377,'TL05'!$J$238:$J$451),0),
IF('TL06'!$B$3=O$3,SUMIF('TL06'!$C$10:$C$224,$C377,'TL06'!$J$10:$J$224),0),
IF('TL06'!$B$229=O$3,SUMIF('TL06'!$C$238:$C$451,$C377,'TL06'!$J$238:$J$451),0),
IF('TL07'!$B$3=O$3,SUMIF('TL07'!$C$10:$C$224,$C377,'TL07'!$J$10:$J$224),0),
IF('TL07'!$B$229=O$3,SUMIF('TL07'!$C$238:$C$451,$C377,'TL07'!$J$238:$J$451),0),
IF('TL08'!$B$3=O$3,SUMIF('TL08'!$C$10:$C$224,$C377,'TL08'!$J$10:$J$224),0),
IF('TL08'!$B$229=O$3,SUMIF('TL08'!$C$238:$C$451,$C377,'TL08'!$J$238:$J$451),0),
IF('TL09'!$B$3=O$3,SUMIF('TL09'!$C$10:$C$224,$C377,'TL09'!$J$10:$J$224),0),
IF('TL09'!$B$229=O$3,SUMIF('TL09'!$C$238:$C$451,$C377,'TL09'!$J$238:$J$451),0),
IF('TL10'!$B$3=O$3,SUMIF('TL10'!$C$10:$C$224,$C377,'TL10'!$J$10:$J$224),0),
IF('TL10'!$B$229=O$3,SUMIF('TL10'!$C$238:$C$451,$C377,'TL10'!$J$238:$J$451),0),
IF('TL11'!$B$3=O$3,SUMIF('TL11'!$C$10:$C$224,$C377,'TL11'!$J$10:$J$224),0),
IF('TL11'!$B$229=O$3,SUMIF('TL11'!$C$238:$C$451,$C377,'TL11'!$J$238:$J$451),0),
IF('TL12'!$B$3=O$3,SUMIF('TL12'!$C$10:$C$224,$C377,'TL12'!$J$10:$J$224),0),
IF('TL12'!$B$229=O$3,SUMIF('TL12'!$C$238:$C$451,$C377,'TL12'!$J$238:$J$451),0),
IF('TL13'!$B$3=O$3,SUMIF('TL13'!$C$10:$C$224,$C377,'TL13'!$J$10:$J$224),0),
IF('TL13'!$B$229=O$3,SUMIF('TL13'!$C$238:$C$451,$C377,'TL13'!$J$238:$J$451),0),
IF('TL14'!$B$3=O$3,SUMIF('TL14'!$C$10:$C$224,$C377,'TL14'!$J$10:$J$224),0),
IF('TL14'!$B$229=O$3,SUMIF('TL14'!$C$238:$C$451,$C377,'TL14'!$J$238:$J$451),0),
IF('TL15'!$B$3=O$3,SUMIF('TL15'!$C$10:$C$224,$C377,'TL15'!$J$10:$J$224),0),
IF('TL15'!$B$229=O$3,SUMIF('TL15'!$C$238:$C$451,$C377,'TL15'!$J$238:$J$451),0),
IF('TL16'!$B$3=O$3,SUMIF('TL16'!$C$10:$C$224,$C377,'TL16'!$J$10:$J$224),0),
IF('TL16'!$B$229=O$3,SUMIF('TL16'!$C$238:$C$451,$C377,'TL16'!$J$238:$J$451),0),
IF('TL17'!$B$3=O$3,SUMIF('TL17'!$C$10:$C$224,$C377,'TL17'!$J$10:$J$224),0),
IF('TL17'!$B$229=O$3,SUMIF('TL17'!$C$238:$C$451,$C377,'TL17'!$J$238:$J$451),0),
IF('TL18'!$B$3=O$3,SUMIF('TL18'!$C$10:$C$224,$C377,'TL18'!$J$10:$J$224),0),
IF('TL18'!$B$229=O$3,SUMIF('TL18'!$C$238:$C$451,$C377,'TL18'!$J$238:$J$451),0),
IF('TL19'!$B$3=O$3,SUMIF('TL19'!$C$10:$C$224,$C377,'TL19'!$J$10:$J$224),0),
IF('TL19'!$B$229=O$3,SUMIF('TL19'!$C$238:$C$451,$C377,'TL19'!$J$238:$J$451),0)
),0)</f>
        <v>0</v>
      </c>
      <c r="P377" s="9">
        <f>IFERROR(SUM(
IF('TL01'!$B$3=P$3,SUMIF('TL01'!$C$10:$C$224,$C377,'TL01'!$J$10:$J$224),0),
IF('TL01'!$B$229=P$3,SUMIF('TL01'!$C$238:$C$451,$C377,'TL01'!$J$238:$J$451),0),
IF('TL02'!$B$3=P$3,SUMIF('TL02'!$C$10:$C$224,$C377,'TL02'!$J$10:$J$224),0),
IF('TL02'!$B$229=P$3,SUMIF('TL02'!$C$238:$C$451,$C377,'TL02'!$J$238:$J$451),0),
IF('TL03'!$B$3=P$3,SUMIF('TL03'!$C$10:$C$224,$C377,'TL03'!$J$10:$J$224),0),
IF('TL03'!$B$229=P$3,SUMIF('TL03'!$C$238:$C$451,$C377,'TL03'!$J$238:$J$451),0),
IF('TL04'!$B$3=P$3,SUMIF('TL04'!$C$10:$C$224,$C377,'TL04'!$J$10:$J$224),0),
IF('TL04'!$B$229=P$3,SUMIF('TL04'!$C$238:$C$451,$C377,'TL04'!$J$238:$J$451),0),
IF('TL05'!$B$3=P$3,SUMIF('TL05'!$C$10:$C$224,$C377,'TL05'!$J$10:$J$224),0),
IF('TL05'!$B$229=P$3,SUMIF('TL05'!$C$238:$C$451,$C377,'TL05'!$J$238:$J$451),0),
IF('TL06'!$B$3=P$3,SUMIF('TL06'!$C$10:$C$224,$C377,'TL06'!$J$10:$J$224),0),
IF('TL06'!$B$229=P$3,SUMIF('TL06'!$C$238:$C$451,$C377,'TL06'!$J$238:$J$451),0),
IF('TL07'!$B$3=P$3,SUMIF('TL07'!$C$10:$C$224,$C377,'TL07'!$J$10:$J$224),0),
IF('TL07'!$B$229=P$3,SUMIF('TL07'!$C$238:$C$451,$C377,'TL07'!$J$238:$J$451),0),
IF('TL08'!$B$3=P$3,SUMIF('TL08'!$C$10:$C$224,$C377,'TL08'!$J$10:$J$224),0),
IF('TL08'!$B$229=P$3,SUMIF('TL08'!$C$238:$C$451,$C377,'TL08'!$J$238:$J$451),0),
IF('TL09'!$B$3=P$3,SUMIF('TL09'!$C$10:$C$224,$C377,'TL09'!$J$10:$J$224),0),
IF('TL09'!$B$229=P$3,SUMIF('TL09'!$C$238:$C$451,$C377,'TL09'!$J$238:$J$451),0),
IF('TL10'!$B$3=P$3,SUMIF('TL10'!$C$10:$C$224,$C377,'TL10'!$J$10:$J$224),0),
IF('TL10'!$B$229=P$3,SUMIF('TL10'!$C$238:$C$451,$C377,'TL10'!$J$238:$J$451),0),
IF('TL11'!$B$3=P$3,SUMIF('TL11'!$C$10:$C$224,$C377,'TL11'!$J$10:$J$224),0),
IF('TL11'!$B$229=P$3,SUMIF('TL11'!$C$238:$C$451,$C377,'TL11'!$J$238:$J$451),0),
IF('TL12'!$B$3=P$3,SUMIF('TL12'!$C$10:$C$224,$C377,'TL12'!$J$10:$J$224),0),
IF('TL12'!$B$229=P$3,SUMIF('TL12'!$C$238:$C$451,$C377,'TL12'!$J$238:$J$451),0),
IF('TL13'!$B$3=P$3,SUMIF('TL13'!$C$10:$C$224,$C377,'TL13'!$J$10:$J$224),0),
IF('TL13'!$B$229=P$3,SUMIF('TL13'!$C$238:$C$451,$C377,'TL13'!$J$238:$J$451),0),
IF('TL14'!$B$3=P$3,SUMIF('TL14'!$C$10:$C$224,$C377,'TL14'!$J$10:$J$224),0),
IF('TL14'!$B$229=P$3,SUMIF('TL14'!$C$238:$C$451,$C377,'TL14'!$J$238:$J$451),0),
IF('TL15'!$B$3=P$3,SUMIF('TL15'!$C$10:$C$224,$C377,'TL15'!$J$10:$J$224),0),
IF('TL15'!$B$229=P$3,SUMIF('TL15'!$C$238:$C$451,$C377,'TL15'!$J$238:$J$451),0),
IF('TL16'!$B$3=P$3,SUMIF('TL16'!$C$10:$C$224,$C377,'TL16'!$J$10:$J$224),0),
IF('TL16'!$B$229=P$3,SUMIF('TL16'!$C$238:$C$451,$C377,'TL16'!$J$238:$J$451),0),
IF('TL17'!$B$3=P$3,SUMIF('TL17'!$C$10:$C$224,$C377,'TL17'!$J$10:$J$224),0),
IF('TL17'!$B$229=P$3,SUMIF('TL17'!$C$238:$C$451,$C377,'TL17'!$J$238:$J$451),0),
IF('TL18'!$B$3=P$3,SUMIF('TL18'!$C$10:$C$224,$C377,'TL18'!$J$10:$J$224),0),
IF('TL18'!$B$229=P$3,SUMIF('TL18'!$C$238:$C$451,$C377,'TL18'!$J$238:$J$451),0),
IF('TL19'!$B$3=P$3,SUMIF('TL19'!$C$10:$C$224,$C377,'TL19'!$J$10:$J$224),0),
IF('TL19'!$B$229=P$3,SUMIF('TL19'!$C$238:$C$451,$C377,'TL19'!$J$238:$J$451),0)
),0)</f>
        <v>0</v>
      </c>
      <c r="Q377" s="9">
        <f>IFERROR(SUM(
IF('TL01'!$B$3=Q$3,SUMIF('TL01'!$C$10:$C$224,$C377,'TL01'!$J$10:$J$224),0),
IF('TL01'!$B$229=Q$3,SUMIF('TL01'!$C$238:$C$451,$C377,'TL01'!$J$238:$J$451),0),
IF('TL02'!$B$3=Q$3,SUMIF('TL02'!$C$10:$C$224,$C377,'TL02'!$J$10:$J$224),0),
IF('TL02'!$B$229=Q$3,SUMIF('TL02'!$C$238:$C$451,$C377,'TL02'!$J$238:$J$451),0),
IF('TL03'!$B$3=Q$3,SUMIF('TL03'!$C$10:$C$224,$C377,'TL03'!$J$10:$J$224),0),
IF('TL03'!$B$229=Q$3,SUMIF('TL03'!$C$238:$C$451,$C377,'TL03'!$J$238:$J$451),0),
IF('TL04'!$B$3=Q$3,SUMIF('TL04'!$C$10:$C$224,$C377,'TL04'!$J$10:$J$224),0),
IF('TL04'!$B$229=Q$3,SUMIF('TL04'!$C$238:$C$451,$C377,'TL04'!$J$238:$J$451),0),
IF('TL05'!$B$3=Q$3,SUMIF('TL05'!$C$10:$C$224,$C377,'TL05'!$J$10:$J$224),0),
IF('TL05'!$B$229=Q$3,SUMIF('TL05'!$C$238:$C$451,$C377,'TL05'!$J$238:$J$451),0),
IF('TL06'!$B$3=Q$3,SUMIF('TL06'!$C$10:$C$224,$C377,'TL06'!$J$10:$J$224),0),
IF('TL06'!$B$229=Q$3,SUMIF('TL06'!$C$238:$C$451,$C377,'TL06'!$J$238:$J$451),0),
IF('TL07'!$B$3=Q$3,SUMIF('TL07'!$C$10:$C$224,$C377,'TL07'!$J$10:$J$224),0),
IF('TL07'!$B$229=Q$3,SUMIF('TL07'!$C$238:$C$451,$C377,'TL07'!$J$238:$J$451),0),
IF('TL08'!$B$3=Q$3,SUMIF('TL08'!$C$10:$C$224,$C377,'TL08'!$J$10:$J$224),0),
IF('TL08'!$B$229=Q$3,SUMIF('TL08'!$C$238:$C$451,$C377,'TL08'!$J$238:$J$451),0),
IF('TL09'!$B$3=Q$3,SUMIF('TL09'!$C$10:$C$224,$C377,'TL09'!$J$10:$J$224),0),
IF('TL09'!$B$229=Q$3,SUMIF('TL09'!$C$238:$C$451,$C377,'TL09'!$J$238:$J$451),0),
IF('TL10'!$B$3=Q$3,SUMIF('TL10'!$C$10:$C$224,$C377,'TL10'!$J$10:$J$224),0),
IF('TL10'!$B$229=Q$3,SUMIF('TL10'!$C$238:$C$451,$C377,'TL10'!$J$238:$J$451),0),
IF('TL11'!$B$3=Q$3,SUMIF('TL11'!$C$10:$C$224,$C377,'TL11'!$J$10:$J$224),0),
IF('TL11'!$B$229=Q$3,SUMIF('TL11'!$C$238:$C$451,$C377,'TL11'!$J$238:$J$451),0),
IF('TL12'!$B$3=Q$3,SUMIF('TL12'!$C$10:$C$224,$C377,'TL12'!$J$10:$J$224),0),
IF('TL12'!$B$229=Q$3,SUMIF('TL12'!$C$238:$C$451,$C377,'TL12'!$J$238:$J$451),0),
IF('TL13'!$B$3=Q$3,SUMIF('TL13'!$C$10:$C$224,$C377,'TL13'!$J$10:$J$224),0),
IF('TL13'!$B$229=Q$3,SUMIF('TL13'!$C$238:$C$451,$C377,'TL13'!$J$238:$J$451),0),
IF('TL14'!$B$3=Q$3,SUMIF('TL14'!$C$10:$C$224,$C377,'TL14'!$J$10:$J$224),0),
IF('TL14'!$B$229=Q$3,SUMIF('TL14'!$C$238:$C$451,$C377,'TL14'!$J$238:$J$451),0),
IF('TL15'!$B$3=Q$3,SUMIF('TL15'!$C$10:$C$224,$C377,'TL15'!$J$10:$J$224),0),
IF('TL15'!$B$229=Q$3,SUMIF('TL15'!$C$238:$C$451,$C377,'TL15'!$J$238:$J$451),0),
IF('TL16'!$B$3=Q$3,SUMIF('TL16'!$C$10:$C$224,$C377,'TL16'!$J$10:$J$224),0),
IF('TL16'!$B$229=Q$3,SUMIF('TL16'!$C$238:$C$451,$C377,'TL16'!$J$238:$J$451),0),
IF('TL17'!$B$3=Q$3,SUMIF('TL17'!$C$10:$C$224,$C377,'TL17'!$J$10:$J$224),0),
IF('TL17'!$B$229=Q$3,SUMIF('TL17'!$C$238:$C$451,$C377,'TL17'!$J$238:$J$451),0),
IF('TL18'!$B$3=Q$3,SUMIF('TL18'!$C$10:$C$224,$C377,'TL18'!$J$10:$J$224),0),
IF('TL18'!$B$229=Q$3,SUMIF('TL18'!$C$238:$C$451,$C377,'TL18'!$J$238:$J$451),0),
IF('TL19'!$B$3=Q$3,SUMIF('TL19'!$C$10:$C$224,$C377,'TL19'!$J$10:$J$224),0),
IF('TL19'!$B$229=Q$3,SUMIF('TL19'!$C$238:$C$451,$C377,'TL19'!$J$238:$J$451),0)
),0)</f>
        <v>0</v>
      </c>
      <c r="R377" s="9">
        <f>IFERROR(
SUM(
SUMIF('TL01'!C:C,C377,'TL01'!J:J),
SUMIF('TL02'!C:C,C377,'TL02'!J:J),
SUMIF('TL03'!C:C,C377,'TL03'!J:J),
SUMIF('TL04'!C:C,C377,'TL04'!J:J),
SUMIF('TL05'!C:C,C377,'TL05'!J:J),
SUMIF('TL06'!C:C,C377,'TL06'!J:J),
SUMIF('TL07'!C:C,C377,'TL07'!J:J),
SUMIF('TL08'!C:C,C377,'TL08'!J:J),
SUMIF('TL09'!C:C,C377,'TL09'!J:J),
SUMIF('TL10'!C:C,C377,'TL10'!J:J),
SUMIF('TL11'!C:C,C377,'TL11'!J:J),
SUMIF('TL12'!C:C,C377,'TL12'!J:J),
SUMIF('TL13'!C:C,C377,'TL13'!J:J),
SUMIF('TL14'!C:C,C377,'TL14'!J:J),
SUMIF('TL15'!C:C,C377,'TL15'!J:J),
SUMIF('TL16'!C:C,C377,'TL16'!J:J),
SUMIF('TL17'!C:C,C377,'TL17'!J:J),
SUMIF('TL18'!C:C,C377,'TL18'!J:J),SUMIF('TL19'!C:C,C377,'TL19'!J:J))
,0)</f>
        <v>0</v>
      </c>
      <c r="S377" s="17">
        <f>IFERROR(__xludf.DUMMYFUNCTION("IFERROR(VLOOKUP(C377,
IMPORTRANGE(""1wULbzX32WdYsx-lj2U3uUNBBe2INVIRDtcK0d-Dvl90"",
""26-27!C:G""),
5,
FALSE),
"""")"),4.04)</f>
        <v>4.04</v>
      </c>
      <c r="T377" s="9"/>
      <c r="U377" s="92">
        <f t="shared" si="2"/>
        <v>0</v>
      </c>
      <c r="V377" s="93">
        <f t="shared" si="3"/>
        <v>0</v>
      </c>
    </row>
    <row r="378" ht="15.75" hidden="1" customHeight="1">
      <c r="A378" s="4" t="s">
        <v>1071</v>
      </c>
      <c r="B378" s="4" t="s">
        <v>4</v>
      </c>
      <c r="C378" s="131" t="s">
        <v>1120</v>
      </c>
      <c r="D378" s="127" t="s">
        <v>1119</v>
      </c>
      <c r="E378" s="6"/>
      <c r="F378" s="4"/>
      <c r="G378" s="90" t="str">
        <f t="shared" si="5"/>
        <v>📄 Ver bula</v>
      </c>
      <c r="H378" s="9"/>
      <c r="I378" s="123"/>
      <c r="J378" s="9">
        <f>IFERROR(SUM(
IF('TL01'!$B$3=J$3,SUMIF('TL01'!$C$10:$C$224,$C378,'TL01'!$J$10:$J$224),0),
IF('TL01'!$B$229=J$3,SUMIF('TL01'!$C$238:$C$451,$C378,'TL01'!$J$238:$J$451),0),
IF('TL02'!$B$3=J$3,SUMIF('TL02'!$C$10:$C$224,$C378,'TL02'!$J$10:$J$224),0),
IF('TL02'!$B$229=J$3,SUMIF('TL02'!$C$238:$C$451,$C378,'TL02'!$J$238:$J$451),0),
IF('TL03'!$B$3=J$3,SUMIF('TL03'!$C$10:$C$224,$C378,'TL03'!$J$10:$J$224),0),
IF('TL03'!$B$229=J$3,SUMIF('TL03'!$C$238:$C$451,$C378,'TL03'!$J$238:$J$451),0),
IF('TL04'!$B$3=J$3,SUMIF('TL04'!$C$10:$C$224,$C378,'TL04'!$J$10:$J$224),0),
IF('TL04'!$B$229=J$3,SUMIF('TL04'!$C$238:$C$451,$C378,'TL04'!$J$238:$J$451),0),
IF('TL05'!$B$3=J$3,SUMIF('TL05'!$C$10:$C$224,$C378,'TL05'!$J$10:$J$224),0),
IF('TL05'!$B$229=J$3,SUMIF('TL05'!$C$238:$C$451,$C378,'TL05'!$J$238:$J$451),0),
IF('TL06'!$B$3=J$3,SUMIF('TL06'!$C$10:$C$224,$C378,'TL06'!$J$10:$J$224),0),
IF('TL06'!$B$229=J$3,SUMIF('TL06'!$C$238:$C$451,$C378,'TL06'!$J$238:$J$451),0),
IF('TL07'!$B$3=J$3,SUMIF('TL07'!$C$10:$C$224,$C378,'TL07'!$J$10:$J$224),0),
IF('TL07'!$B$229=J$3,SUMIF('TL07'!$C$238:$C$451,$C378,'TL07'!$J$238:$J$451),0),
IF('TL08'!$B$3=J$3,SUMIF('TL08'!$C$10:$C$224,$C378,'TL08'!$J$10:$J$224),0),
IF('TL08'!$B$229=J$3,SUMIF('TL08'!$C$238:$C$451,$C378,'TL08'!$J$238:$J$451),0),
IF('TL09'!$B$3=J$3,SUMIF('TL09'!$C$10:$C$224,$C378,'TL09'!$J$10:$J$224),0),
IF('TL09'!$B$229=J$3,SUMIF('TL09'!$C$238:$C$451,$C378,'TL09'!$J$238:$J$451),0),
IF('TL10'!$B$3=J$3,SUMIF('TL10'!$C$10:$C$224,$C378,'TL10'!$J$10:$J$224),0),
IF('TL10'!$B$229=J$3,SUMIF('TL10'!$C$238:$C$451,$C378,'TL10'!$J$238:$J$451),0),
IF('TL11'!$B$3=J$3,SUMIF('TL11'!$C$10:$C$224,$C378,'TL11'!$J$10:$J$224),0),
IF('TL11'!$B$229=J$3,SUMIF('TL11'!$C$238:$C$451,$C378,'TL11'!$J$238:$J$451),0),
IF('TL12'!$B$3=J$3,SUMIF('TL12'!$C$10:$C$224,$C378,'TL12'!$J$10:$J$224),0),
IF('TL12'!$B$229=J$3,SUMIF('TL12'!$C$238:$C$451,$C378,'TL12'!$J$238:$J$451),0),
IF('TL13'!$B$3=J$3,SUMIF('TL13'!$C$10:$C$224,$C378,'TL13'!$J$10:$J$224),0),
IF('TL13'!$B$229=J$3,SUMIF('TL13'!$C$238:$C$451,$C378,'TL13'!$J$238:$J$451),0),
IF('TL14'!$B$3=J$3,SUMIF('TL14'!$C$10:$C$224,$C378,'TL14'!$J$10:$J$224),0),
IF('TL14'!$B$229=J$3,SUMIF('TL14'!$C$238:$C$451,$C378,'TL14'!$J$238:$J$451),0),
IF('TL15'!$B$3=J$3,SUMIF('TL15'!$C$10:$C$224,$C378,'TL15'!$J$10:$J$224),0),
IF('TL15'!$B$229=J$3,SUMIF('TL15'!$C$238:$C$451,$C378,'TL15'!$J$238:$J$451),0),
IF('TL16'!$B$3=J$3,SUMIF('TL16'!$C$10:$C$224,$C378,'TL16'!$J$10:$J$224),0),
IF('TL16'!$B$229=J$3,SUMIF('TL16'!$C$238:$C$451,$C378,'TL16'!$J$238:$J$451),0),
IF('TL17'!$B$3=J$3,SUMIF('TL17'!$C$10:$C$224,$C378,'TL17'!$J$10:$J$224),0),
IF('TL17'!$B$229=J$3,SUMIF('TL17'!$C$238:$C$451,$C378,'TL17'!$J$238:$J$451),0),
IF('TL18'!$B$3=J$3,SUMIF('TL18'!$C$10:$C$224,$C378,'TL18'!$J$10:$J$224),0),
IF('TL18'!$B$229=J$3,SUMIF('TL18'!$C$238:$C$451,$C378,'TL18'!$J$238:$J$451),0),
IF('TL19'!$B$3=J$3,SUMIF('TL19'!$C$10:$C$224,$C378,'TL19'!$J$10:$J$224),0),
IF('TL19'!$B$229=J$3,SUMIF('TL19'!$C$238:$C$451,$C378,'TL19'!$J$238:$J$451),0)
),0)</f>
        <v>0</v>
      </c>
      <c r="K378" s="9">
        <f>IFERROR(SUM(
IF('TL01'!$B$3=K$3,SUMIF('TL01'!$C$10:$C$224,$C378,'TL01'!$J$10:$J$224),0),
IF('TL01'!$B$229=K$3,SUMIF('TL01'!$C$238:$C$451,$C378,'TL01'!$J$238:$J$451),0),
IF('TL02'!$B$3=K$3,SUMIF('TL02'!$C$10:$C$224,$C378,'TL02'!$J$10:$J$224),0),
IF('TL02'!$B$229=K$3,SUMIF('TL02'!$C$238:$C$451,$C378,'TL02'!$J$238:$J$451),0),
IF('TL03'!$B$3=K$3,SUMIF('TL03'!$C$10:$C$224,$C378,'TL03'!$J$10:$J$224),0),
IF('TL03'!$B$229=K$3,SUMIF('TL03'!$C$238:$C$451,$C378,'TL03'!$J$238:$J$451),0),
IF('TL04'!$B$3=K$3,SUMIF('TL04'!$C$10:$C$224,$C378,'TL04'!$J$10:$J$224),0),
IF('TL04'!$B$229=K$3,SUMIF('TL04'!$C$238:$C$451,$C378,'TL04'!$J$238:$J$451),0),
IF('TL05'!$B$3=K$3,SUMIF('TL05'!$C$10:$C$224,$C378,'TL05'!$J$10:$J$224),0),
IF('TL05'!$B$229=K$3,SUMIF('TL05'!$C$238:$C$451,$C378,'TL05'!$J$238:$J$451),0),
IF('TL06'!$B$3=K$3,SUMIF('TL06'!$C$10:$C$224,$C378,'TL06'!$J$10:$J$224),0),
IF('TL06'!$B$229=K$3,SUMIF('TL06'!$C$238:$C$451,$C378,'TL06'!$J$238:$J$451),0),
IF('TL07'!$B$3=K$3,SUMIF('TL07'!$C$10:$C$224,$C378,'TL07'!$J$10:$J$224),0),
IF('TL07'!$B$229=K$3,SUMIF('TL07'!$C$238:$C$451,$C378,'TL07'!$J$238:$J$451),0),
IF('TL08'!$B$3=K$3,SUMIF('TL08'!$C$10:$C$224,$C378,'TL08'!$J$10:$J$224),0),
IF('TL08'!$B$229=K$3,SUMIF('TL08'!$C$238:$C$451,$C378,'TL08'!$J$238:$J$451),0),
IF('TL09'!$B$3=K$3,SUMIF('TL09'!$C$10:$C$224,$C378,'TL09'!$J$10:$J$224),0),
IF('TL09'!$B$229=K$3,SUMIF('TL09'!$C$238:$C$451,$C378,'TL09'!$J$238:$J$451),0),
IF('TL10'!$B$3=K$3,SUMIF('TL10'!$C$10:$C$224,$C378,'TL10'!$J$10:$J$224),0),
IF('TL10'!$B$229=K$3,SUMIF('TL10'!$C$238:$C$451,$C378,'TL10'!$J$238:$J$451),0),
IF('TL11'!$B$3=K$3,SUMIF('TL11'!$C$10:$C$224,$C378,'TL11'!$J$10:$J$224),0),
IF('TL11'!$B$229=K$3,SUMIF('TL11'!$C$238:$C$451,$C378,'TL11'!$J$238:$J$451),0),
IF('TL12'!$B$3=K$3,SUMIF('TL12'!$C$10:$C$224,$C378,'TL12'!$J$10:$J$224),0),
IF('TL12'!$B$229=K$3,SUMIF('TL12'!$C$238:$C$451,$C378,'TL12'!$J$238:$J$451),0),
IF('TL13'!$B$3=K$3,SUMIF('TL13'!$C$10:$C$224,$C378,'TL13'!$J$10:$J$224),0),
IF('TL13'!$B$229=K$3,SUMIF('TL13'!$C$238:$C$451,$C378,'TL13'!$J$238:$J$451),0),
IF('TL14'!$B$3=K$3,SUMIF('TL14'!$C$10:$C$224,$C378,'TL14'!$J$10:$J$224),0),
IF('TL14'!$B$229=K$3,SUMIF('TL14'!$C$238:$C$451,$C378,'TL14'!$J$238:$J$451),0),
IF('TL15'!$B$3=K$3,SUMIF('TL15'!$C$10:$C$224,$C378,'TL15'!$J$10:$J$224),0),
IF('TL15'!$B$229=K$3,SUMIF('TL15'!$C$238:$C$451,$C378,'TL15'!$J$238:$J$451),0),
IF('TL16'!$B$3=K$3,SUMIF('TL16'!$C$10:$C$224,$C378,'TL16'!$J$10:$J$224),0),
IF('TL16'!$B$229=K$3,SUMIF('TL16'!$C$238:$C$451,$C378,'TL16'!$J$238:$J$451),0),
IF('TL17'!$B$3=K$3,SUMIF('TL17'!$C$10:$C$224,$C378,'TL17'!$J$10:$J$224),0),
IF('TL17'!$B$229=K$3,SUMIF('TL17'!$C$238:$C$451,$C378,'TL17'!$J$238:$J$451),0),
IF('TL18'!$B$3=K$3,SUMIF('TL18'!$C$10:$C$224,$C378,'TL18'!$J$10:$J$224),0),
IF('TL18'!$B$229=K$3,SUMIF('TL18'!$C$238:$C$451,$C378,'TL18'!$J$238:$J$451),0),
IF('TL19'!$B$3=K$3,SUMIF('TL19'!$C$10:$C$224,$C378,'TL19'!$J$10:$J$224),0),
IF('TL19'!$B$229=K$3,SUMIF('TL19'!$C$238:$C$451,$C378,'TL19'!$J$238:$J$451),0)
),0)</f>
        <v>0</v>
      </c>
      <c r="L378" s="9">
        <f>IFERROR(SUM(
IF('TL01'!$B$3=L$3,SUMIF('TL01'!$C$10:$C$224,$C378,'TL01'!$J$10:$J$224),0),
IF('TL01'!$B$229=L$3,SUMIF('TL01'!$C$238:$C$451,$C378,'TL01'!$J$238:$J$451),0),
IF('TL02'!$B$3=L$3,SUMIF('TL02'!$C$10:$C$224,$C378,'TL02'!$J$10:$J$224),0),
IF('TL02'!$B$229=L$3,SUMIF('TL02'!$C$238:$C$451,$C378,'TL02'!$J$238:$J$451),0),
IF('TL03'!$B$3=L$3,SUMIF('TL03'!$C$10:$C$224,$C378,'TL03'!$J$10:$J$224),0),
IF('TL03'!$B$229=L$3,SUMIF('TL03'!$C$238:$C$451,$C378,'TL03'!$J$238:$J$451),0),
IF('TL04'!$B$3=L$3,SUMIF('TL04'!$C$10:$C$224,$C378,'TL04'!$J$10:$J$224),0),
IF('TL04'!$B$229=L$3,SUMIF('TL04'!$C$238:$C$451,$C378,'TL04'!$J$238:$J$451),0),
IF('TL05'!$B$3=L$3,SUMIF('TL05'!$C$10:$C$224,$C378,'TL05'!$J$10:$J$224),0),
IF('TL05'!$B$229=L$3,SUMIF('TL05'!$C$238:$C$451,$C378,'TL05'!$J$238:$J$451),0),
IF('TL06'!$B$3=L$3,SUMIF('TL06'!$C$10:$C$224,$C378,'TL06'!$J$10:$J$224),0),
IF('TL06'!$B$229=L$3,SUMIF('TL06'!$C$238:$C$451,$C378,'TL06'!$J$238:$J$451),0),
IF('TL07'!$B$3=L$3,SUMIF('TL07'!$C$10:$C$224,$C378,'TL07'!$J$10:$J$224),0),
IF('TL07'!$B$229=L$3,SUMIF('TL07'!$C$238:$C$451,$C378,'TL07'!$J$238:$J$451),0),
IF('TL08'!$B$3=L$3,SUMIF('TL08'!$C$10:$C$224,$C378,'TL08'!$J$10:$J$224),0),
IF('TL08'!$B$229=L$3,SUMIF('TL08'!$C$238:$C$451,$C378,'TL08'!$J$238:$J$451),0),
IF('TL09'!$B$3=L$3,SUMIF('TL09'!$C$10:$C$224,$C378,'TL09'!$J$10:$J$224),0),
IF('TL09'!$B$229=L$3,SUMIF('TL09'!$C$238:$C$451,$C378,'TL09'!$J$238:$J$451),0),
IF('TL10'!$B$3=L$3,SUMIF('TL10'!$C$10:$C$224,$C378,'TL10'!$J$10:$J$224),0),
IF('TL10'!$B$229=L$3,SUMIF('TL10'!$C$238:$C$451,$C378,'TL10'!$J$238:$J$451),0),
IF('TL11'!$B$3=L$3,SUMIF('TL11'!$C$10:$C$224,$C378,'TL11'!$J$10:$J$224),0),
IF('TL11'!$B$229=L$3,SUMIF('TL11'!$C$238:$C$451,$C378,'TL11'!$J$238:$J$451),0),
IF('TL12'!$B$3=L$3,SUMIF('TL12'!$C$10:$C$224,$C378,'TL12'!$J$10:$J$224),0),
IF('TL12'!$B$229=L$3,SUMIF('TL12'!$C$238:$C$451,$C378,'TL12'!$J$238:$J$451),0),
IF('TL13'!$B$3=L$3,SUMIF('TL13'!$C$10:$C$224,$C378,'TL13'!$J$10:$J$224),0),
IF('TL13'!$B$229=L$3,SUMIF('TL13'!$C$238:$C$451,$C378,'TL13'!$J$238:$J$451),0),
IF('TL14'!$B$3=L$3,SUMIF('TL14'!$C$10:$C$224,$C378,'TL14'!$J$10:$J$224),0),
IF('TL14'!$B$229=L$3,SUMIF('TL14'!$C$238:$C$451,$C378,'TL14'!$J$238:$J$451),0),
IF('TL15'!$B$3=L$3,SUMIF('TL15'!$C$10:$C$224,$C378,'TL15'!$J$10:$J$224),0),
IF('TL15'!$B$229=L$3,SUMIF('TL15'!$C$238:$C$451,$C378,'TL15'!$J$238:$J$451),0),
IF('TL16'!$B$3=L$3,SUMIF('TL16'!$C$10:$C$224,$C378,'TL16'!$J$10:$J$224),0),
IF('TL16'!$B$229=L$3,SUMIF('TL16'!$C$238:$C$451,$C378,'TL16'!$J$238:$J$451),0),
IF('TL17'!$B$3=L$3,SUMIF('TL17'!$C$10:$C$224,$C378,'TL17'!$J$10:$J$224),0),
IF('TL17'!$B$229=L$3,SUMIF('TL17'!$C$238:$C$451,$C378,'TL17'!$J$238:$J$451),0),
IF('TL18'!$B$3=L$3,SUMIF('TL18'!$C$10:$C$224,$C378,'TL18'!$J$10:$J$224),0),
IF('TL18'!$B$229=L$3,SUMIF('TL18'!$C$238:$C$451,$C378,'TL18'!$J$238:$J$451),0),
IF('TL19'!$B$3=L$3,SUMIF('TL19'!$C$10:$C$224,$C378,'TL19'!$J$10:$J$224),0),
IF('TL19'!$B$229=L$3,SUMIF('TL19'!$C$238:$C$451,$C378,'TL19'!$J$238:$J$451),0)
),0)</f>
        <v>0</v>
      </c>
      <c r="M378" s="9">
        <f>IFERROR(SUM(
IF('TL01'!$B$3=M$3,SUMIF('TL01'!$C$10:$C$224,$C378,'TL01'!$J$10:$J$224),0),
IF('TL01'!$B$229=M$3,SUMIF('TL01'!$C$238:$C$451,$C378,'TL01'!$J$238:$J$451),0),
IF('TL02'!$B$3=M$3,SUMIF('TL02'!$C$10:$C$224,$C378,'TL02'!$J$10:$J$224),0),
IF('TL02'!$B$229=M$3,SUMIF('TL02'!$C$238:$C$451,$C378,'TL02'!$J$238:$J$451),0),
IF('TL03'!$B$3=M$3,SUMIF('TL03'!$C$10:$C$224,$C378,'TL03'!$J$10:$J$224),0),
IF('TL03'!$B$229=M$3,SUMIF('TL03'!$C$238:$C$451,$C378,'TL03'!$J$238:$J$451),0),
IF('TL04'!$B$3=M$3,SUMIF('TL04'!$C$10:$C$224,$C378,'TL04'!$J$10:$J$224),0),
IF('TL04'!$B$229=M$3,SUMIF('TL04'!$C$238:$C$451,$C378,'TL04'!$J$238:$J$451),0),
IF('TL05'!$B$3=M$3,SUMIF('TL05'!$C$10:$C$224,$C378,'TL05'!$J$10:$J$224),0),
IF('TL05'!$B$229=M$3,SUMIF('TL05'!$C$238:$C$451,$C378,'TL05'!$J$238:$J$451),0),
IF('TL06'!$B$3=M$3,SUMIF('TL06'!$C$10:$C$224,$C378,'TL06'!$J$10:$J$224),0),
IF('TL06'!$B$229=M$3,SUMIF('TL06'!$C$238:$C$451,$C378,'TL06'!$J$238:$J$451),0),
IF('TL07'!$B$3=M$3,SUMIF('TL07'!$C$10:$C$224,$C378,'TL07'!$J$10:$J$224),0),
IF('TL07'!$B$229=M$3,SUMIF('TL07'!$C$238:$C$451,$C378,'TL07'!$J$238:$J$451),0),
IF('TL08'!$B$3=M$3,SUMIF('TL08'!$C$10:$C$224,$C378,'TL08'!$J$10:$J$224),0),
IF('TL08'!$B$229=M$3,SUMIF('TL08'!$C$238:$C$451,$C378,'TL08'!$J$238:$J$451),0),
IF('TL09'!$B$3=M$3,SUMIF('TL09'!$C$10:$C$224,$C378,'TL09'!$J$10:$J$224),0),
IF('TL09'!$B$229=M$3,SUMIF('TL09'!$C$238:$C$451,$C378,'TL09'!$J$238:$J$451),0),
IF('TL10'!$B$3=M$3,SUMIF('TL10'!$C$10:$C$224,$C378,'TL10'!$J$10:$J$224),0),
IF('TL10'!$B$229=M$3,SUMIF('TL10'!$C$238:$C$451,$C378,'TL10'!$J$238:$J$451),0),
IF('TL11'!$B$3=M$3,SUMIF('TL11'!$C$10:$C$224,$C378,'TL11'!$J$10:$J$224),0),
IF('TL11'!$B$229=M$3,SUMIF('TL11'!$C$238:$C$451,$C378,'TL11'!$J$238:$J$451),0),
IF('TL12'!$B$3=M$3,SUMIF('TL12'!$C$10:$C$224,$C378,'TL12'!$J$10:$J$224),0),
IF('TL12'!$B$229=M$3,SUMIF('TL12'!$C$238:$C$451,$C378,'TL12'!$J$238:$J$451),0),
IF('TL13'!$B$3=M$3,SUMIF('TL13'!$C$10:$C$224,$C378,'TL13'!$J$10:$J$224),0),
IF('TL13'!$B$229=M$3,SUMIF('TL13'!$C$238:$C$451,$C378,'TL13'!$J$238:$J$451),0),
IF('TL14'!$B$3=M$3,SUMIF('TL14'!$C$10:$C$224,$C378,'TL14'!$J$10:$J$224),0),
IF('TL14'!$B$229=M$3,SUMIF('TL14'!$C$238:$C$451,$C378,'TL14'!$J$238:$J$451),0),
IF('TL15'!$B$3=M$3,SUMIF('TL15'!$C$10:$C$224,$C378,'TL15'!$J$10:$J$224),0),
IF('TL15'!$B$229=M$3,SUMIF('TL15'!$C$238:$C$451,$C378,'TL15'!$J$238:$J$451),0),
IF('TL16'!$B$3=M$3,SUMIF('TL16'!$C$10:$C$224,$C378,'TL16'!$J$10:$J$224),0),
IF('TL16'!$B$229=M$3,SUMIF('TL16'!$C$238:$C$451,$C378,'TL16'!$J$238:$J$451),0),
IF('TL17'!$B$3=M$3,SUMIF('TL17'!$C$10:$C$224,$C378,'TL17'!$J$10:$J$224),0),
IF('TL17'!$B$229=M$3,SUMIF('TL17'!$C$238:$C$451,$C378,'TL17'!$J$238:$J$451),0),
IF('TL18'!$B$3=M$3,SUMIF('TL18'!$C$10:$C$224,$C378,'TL18'!$J$10:$J$224),0),
IF('TL18'!$B$229=M$3,SUMIF('TL18'!$C$238:$C$451,$C378,'TL18'!$J$238:$J$451),0),
IF('TL19'!$B$3=M$3,SUMIF('TL19'!$C$10:$C$224,$C378,'TL19'!$J$10:$J$224),0),
IF('TL19'!$B$229=M$3,SUMIF('TL19'!$C$238:$C$451,$C378,'TL19'!$J$238:$J$451),0)
),0)</f>
        <v>0</v>
      </c>
      <c r="N378" s="9">
        <f>IFERROR(SUM(
IF('TL01'!$B$3=N$3,SUMIF('TL01'!$C$10:$C$224,$C378,'TL01'!$J$10:$J$224),0),
IF('TL01'!$B$229=N$3,SUMIF('TL01'!$C$238:$C$451,$C378,'TL01'!$J$238:$J$451),0),
IF('TL02'!$B$3=N$3,SUMIF('TL02'!$C$10:$C$224,$C378,'TL02'!$J$10:$J$224),0),
IF('TL02'!$B$229=N$3,SUMIF('TL02'!$C$238:$C$451,$C378,'TL02'!$J$238:$J$451),0),
IF('TL03'!$B$3=N$3,SUMIF('TL03'!$C$10:$C$224,$C378,'TL03'!$J$10:$J$224),0),
IF('TL03'!$B$229=N$3,SUMIF('TL03'!$C$238:$C$451,$C378,'TL03'!$J$238:$J$451),0),
IF('TL04'!$B$3=N$3,SUMIF('TL04'!$C$10:$C$224,$C378,'TL04'!$J$10:$J$224),0),
IF('TL04'!$B$229=N$3,SUMIF('TL04'!$C$238:$C$451,$C378,'TL04'!$J$238:$J$451),0),
IF('TL05'!$B$3=N$3,SUMIF('TL05'!$C$10:$C$224,$C378,'TL05'!$J$10:$J$224),0),
IF('TL05'!$B$229=N$3,SUMIF('TL05'!$C$238:$C$451,$C378,'TL05'!$J$238:$J$451),0),
IF('TL06'!$B$3=N$3,SUMIF('TL06'!$C$10:$C$224,$C378,'TL06'!$J$10:$J$224),0),
IF('TL06'!$B$229=N$3,SUMIF('TL06'!$C$238:$C$451,$C378,'TL06'!$J$238:$J$451),0),
IF('TL07'!$B$3=N$3,SUMIF('TL07'!$C$10:$C$224,$C378,'TL07'!$J$10:$J$224),0),
IF('TL07'!$B$229=N$3,SUMIF('TL07'!$C$238:$C$451,$C378,'TL07'!$J$238:$J$451),0),
IF('TL08'!$B$3=N$3,SUMIF('TL08'!$C$10:$C$224,$C378,'TL08'!$J$10:$J$224),0),
IF('TL08'!$B$229=N$3,SUMIF('TL08'!$C$238:$C$451,$C378,'TL08'!$J$238:$J$451),0),
IF('TL09'!$B$3=N$3,SUMIF('TL09'!$C$10:$C$224,$C378,'TL09'!$J$10:$J$224),0),
IF('TL09'!$B$229=N$3,SUMIF('TL09'!$C$238:$C$451,$C378,'TL09'!$J$238:$J$451),0),
IF('TL10'!$B$3=N$3,SUMIF('TL10'!$C$10:$C$224,$C378,'TL10'!$J$10:$J$224),0),
IF('TL10'!$B$229=N$3,SUMIF('TL10'!$C$238:$C$451,$C378,'TL10'!$J$238:$J$451),0),
IF('TL11'!$B$3=N$3,SUMIF('TL11'!$C$10:$C$224,$C378,'TL11'!$J$10:$J$224),0),
IF('TL11'!$B$229=N$3,SUMIF('TL11'!$C$238:$C$451,$C378,'TL11'!$J$238:$J$451),0),
IF('TL12'!$B$3=N$3,SUMIF('TL12'!$C$10:$C$224,$C378,'TL12'!$J$10:$J$224),0),
IF('TL12'!$B$229=N$3,SUMIF('TL12'!$C$238:$C$451,$C378,'TL12'!$J$238:$J$451),0),
IF('TL13'!$B$3=N$3,SUMIF('TL13'!$C$10:$C$224,$C378,'TL13'!$J$10:$J$224),0),
IF('TL13'!$B$229=N$3,SUMIF('TL13'!$C$238:$C$451,$C378,'TL13'!$J$238:$J$451),0),
IF('TL14'!$B$3=N$3,SUMIF('TL14'!$C$10:$C$224,$C378,'TL14'!$J$10:$J$224),0),
IF('TL14'!$B$229=N$3,SUMIF('TL14'!$C$238:$C$451,$C378,'TL14'!$J$238:$J$451),0),
IF('TL15'!$B$3=N$3,SUMIF('TL15'!$C$10:$C$224,$C378,'TL15'!$J$10:$J$224),0),
IF('TL15'!$B$229=N$3,SUMIF('TL15'!$C$238:$C$451,$C378,'TL15'!$J$238:$J$451),0),
IF('TL16'!$B$3=N$3,SUMIF('TL16'!$C$10:$C$224,$C378,'TL16'!$J$10:$J$224),0),
IF('TL16'!$B$229=N$3,SUMIF('TL16'!$C$238:$C$451,$C378,'TL16'!$J$238:$J$451),0),
IF('TL17'!$B$3=N$3,SUMIF('TL17'!$C$10:$C$224,$C378,'TL17'!$J$10:$J$224),0),
IF('TL17'!$B$229=N$3,SUMIF('TL17'!$C$238:$C$451,$C378,'TL17'!$J$238:$J$451),0),
IF('TL18'!$B$3=N$3,SUMIF('TL18'!$C$10:$C$224,$C378,'TL18'!$J$10:$J$224),0),
IF('TL18'!$B$229=N$3,SUMIF('TL18'!$C$238:$C$451,$C378,'TL18'!$J$238:$J$451),0),
IF('TL19'!$B$3=N$3,SUMIF('TL19'!$C$10:$C$224,$C378,'TL19'!$J$10:$J$224),0),
IF('TL19'!$B$229=N$3,SUMIF('TL19'!$C$238:$C$451,$C378,'TL19'!$J$238:$J$451),0)
),0)</f>
        <v>0</v>
      </c>
      <c r="O378" s="9">
        <f>IFERROR(SUM(
IF('TL01'!$B$3=O$3,SUMIF('TL01'!$C$10:$C$224,$C378,'TL01'!$J$10:$J$224),0),
IF('TL01'!$B$229=O$3,SUMIF('TL01'!$C$238:$C$451,$C378,'TL01'!$J$238:$J$451),0),
IF('TL02'!$B$3=O$3,SUMIF('TL02'!$C$10:$C$224,$C378,'TL02'!$J$10:$J$224),0),
IF('TL02'!$B$229=O$3,SUMIF('TL02'!$C$238:$C$451,$C378,'TL02'!$J$238:$J$451),0),
IF('TL03'!$B$3=O$3,SUMIF('TL03'!$C$10:$C$224,$C378,'TL03'!$J$10:$J$224),0),
IF('TL03'!$B$229=O$3,SUMIF('TL03'!$C$238:$C$451,$C378,'TL03'!$J$238:$J$451),0),
IF('TL04'!$B$3=O$3,SUMIF('TL04'!$C$10:$C$224,$C378,'TL04'!$J$10:$J$224),0),
IF('TL04'!$B$229=O$3,SUMIF('TL04'!$C$238:$C$451,$C378,'TL04'!$J$238:$J$451),0),
IF('TL05'!$B$3=O$3,SUMIF('TL05'!$C$10:$C$224,$C378,'TL05'!$J$10:$J$224),0),
IF('TL05'!$B$229=O$3,SUMIF('TL05'!$C$238:$C$451,$C378,'TL05'!$J$238:$J$451),0),
IF('TL06'!$B$3=O$3,SUMIF('TL06'!$C$10:$C$224,$C378,'TL06'!$J$10:$J$224),0),
IF('TL06'!$B$229=O$3,SUMIF('TL06'!$C$238:$C$451,$C378,'TL06'!$J$238:$J$451),0),
IF('TL07'!$B$3=O$3,SUMIF('TL07'!$C$10:$C$224,$C378,'TL07'!$J$10:$J$224),0),
IF('TL07'!$B$229=O$3,SUMIF('TL07'!$C$238:$C$451,$C378,'TL07'!$J$238:$J$451),0),
IF('TL08'!$B$3=O$3,SUMIF('TL08'!$C$10:$C$224,$C378,'TL08'!$J$10:$J$224),0),
IF('TL08'!$B$229=O$3,SUMIF('TL08'!$C$238:$C$451,$C378,'TL08'!$J$238:$J$451),0),
IF('TL09'!$B$3=O$3,SUMIF('TL09'!$C$10:$C$224,$C378,'TL09'!$J$10:$J$224),0),
IF('TL09'!$B$229=O$3,SUMIF('TL09'!$C$238:$C$451,$C378,'TL09'!$J$238:$J$451),0),
IF('TL10'!$B$3=O$3,SUMIF('TL10'!$C$10:$C$224,$C378,'TL10'!$J$10:$J$224),0),
IF('TL10'!$B$229=O$3,SUMIF('TL10'!$C$238:$C$451,$C378,'TL10'!$J$238:$J$451),0),
IF('TL11'!$B$3=O$3,SUMIF('TL11'!$C$10:$C$224,$C378,'TL11'!$J$10:$J$224),0),
IF('TL11'!$B$229=O$3,SUMIF('TL11'!$C$238:$C$451,$C378,'TL11'!$J$238:$J$451),0),
IF('TL12'!$B$3=O$3,SUMIF('TL12'!$C$10:$C$224,$C378,'TL12'!$J$10:$J$224),0),
IF('TL12'!$B$229=O$3,SUMIF('TL12'!$C$238:$C$451,$C378,'TL12'!$J$238:$J$451),0),
IF('TL13'!$B$3=O$3,SUMIF('TL13'!$C$10:$C$224,$C378,'TL13'!$J$10:$J$224),0),
IF('TL13'!$B$229=O$3,SUMIF('TL13'!$C$238:$C$451,$C378,'TL13'!$J$238:$J$451),0),
IF('TL14'!$B$3=O$3,SUMIF('TL14'!$C$10:$C$224,$C378,'TL14'!$J$10:$J$224),0),
IF('TL14'!$B$229=O$3,SUMIF('TL14'!$C$238:$C$451,$C378,'TL14'!$J$238:$J$451),0),
IF('TL15'!$B$3=O$3,SUMIF('TL15'!$C$10:$C$224,$C378,'TL15'!$J$10:$J$224),0),
IF('TL15'!$B$229=O$3,SUMIF('TL15'!$C$238:$C$451,$C378,'TL15'!$J$238:$J$451),0),
IF('TL16'!$B$3=O$3,SUMIF('TL16'!$C$10:$C$224,$C378,'TL16'!$J$10:$J$224),0),
IF('TL16'!$B$229=O$3,SUMIF('TL16'!$C$238:$C$451,$C378,'TL16'!$J$238:$J$451),0),
IF('TL17'!$B$3=O$3,SUMIF('TL17'!$C$10:$C$224,$C378,'TL17'!$J$10:$J$224),0),
IF('TL17'!$B$229=O$3,SUMIF('TL17'!$C$238:$C$451,$C378,'TL17'!$J$238:$J$451),0),
IF('TL18'!$B$3=O$3,SUMIF('TL18'!$C$10:$C$224,$C378,'TL18'!$J$10:$J$224),0),
IF('TL18'!$B$229=O$3,SUMIF('TL18'!$C$238:$C$451,$C378,'TL18'!$J$238:$J$451),0),
IF('TL19'!$B$3=O$3,SUMIF('TL19'!$C$10:$C$224,$C378,'TL19'!$J$10:$J$224),0),
IF('TL19'!$B$229=O$3,SUMIF('TL19'!$C$238:$C$451,$C378,'TL19'!$J$238:$J$451),0)
),0)</f>
        <v>0</v>
      </c>
      <c r="P378" s="9">
        <f>IFERROR(SUM(
IF('TL01'!$B$3=P$3,SUMIF('TL01'!$C$10:$C$224,$C378,'TL01'!$J$10:$J$224),0),
IF('TL01'!$B$229=P$3,SUMIF('TL01'!$C$238:$C$451,$C378,'TL01'!$J$238:$J$451),0),
IF('TL02'!$B$3=P$3,SUMIF('TL02'!$C$10:$C$224,$C378,'TL02'!$J$10:$J$224),0),
IF('TL02'!$B$229=P$3,SUMIF('TL02'!$C$238:$C$451,$C378,'TL02'!$J$238:$J$451),0),
IF('TL03'!$B$3=P$3,SUMIF('TL03'!$C$10:$C$224,$C378,'TL03'!$J$10:$J$224),0),
IF('TL03'!$B$229=P$3,SUMIF('TL03'!$C$238:$C$451,$C378,'TL03'!$J$238:$J$451),0),
IF('TL04'!$B$3=P$3,SUMIF('TL04'!$C$10:$C$224,$C378,'TL04'!$J$10:$J$224),0),
IF('TL04'!$B$229=P$3,SUMIF('TL04'!$C$238:$C$451,$C378,'TL04'!$J$238:$J$451),0),
IF('TL05'!$B$3=P$3,SUMIF('TL05'!$C$10:$C$224,$C378,'TL05'!$J$10:$J$224),0),
IF('TL05'!$B$229=P$3,SUMIF('TL05'!$C$238:$C$451,$C378,'TL05'!$J$238:$J$451),0),
IF('TL06'!$B$3=P$3,SUMIF('TL06'!$C$10:$C$224,$C378,'TL06'!$J$10:$J$224),0),
IF('TL06'!$B$229=P$3,SUMIF('TL06'!$C$238:$C$451,$C378,'TL06'!$J$238:$J$451),0),
IF('TL07'!$B$3=P$3,SUMIF('TL07'!$C$10:$C$224,$C378,'TL07'!$J$10:$J$224),0),
IF('TL07'!$B$229=P$3,SUMIF('TL07'!$C$238:$C$451,$C378,'TL07'!$J$238:$J$451),0),
IF('TL08'!$B$3=P$3,SUMIF('TL08'!$C$10:$C$224,$C378,'TL08'!$J$10:$J$224),0),
IF('TL08'!$B$229=P$3,SUMIF('TL08'!$C$238:$C$451,$C378,'TL08'!$J$238:$J$451),0),
IF('TL09'!$B$3=P$3,SUMIF('TL09'!$C$10:$C$224,$C378,'TL09'!$J$10:$J$224),0),
IF('TL09'!$B$229=P$3,SUMIF('TL09'!$C$238:$C$451,$C378,'TL09'!$J$238:$J$451),0),
IF('TL10'!$B$3=P$3,SUMIF('TL10'!$C$10:$C$224,$C378,'TL10'!$J$10:$J$224),0),
IF('TL10'!$B$229=P$3,SUMIF('TL10'!$C$238:$C$451,$C378,'TL10'!$J$238:$J$451),0),
IF('TL11'!$B$3=P$3,SUMIF('TL11'!$C$10:$C$224,$C378,'TL11'!$J$10:$J$224),0),
IF('TL11'!$B$229=P$3,SUMIF('TL11'!$C$238:$C$451,$C378,'TL11'!$J$238:$J$451),0),
IF('TL12'!$B$3=P$3,SUMIF('TL12'!$C$10:$C$224,$C378,'TL12'!$J$10:$J$224),0),
IF('TL12'!$B$229=P$3,SUMIF('TL12'!$C$238:$C$451,$C378,'TL12'!$J$238:$J$451),0),
IF('TL13'!$B$3=P$3,SUMIF('TL13'!$C$10:$C$224,$C378,'TL13'!$J$10:$J$224),0),
IF('TL13'!$B$229=P$3,SUMIF('TL13'!$C$238:$C$451,$C378,'TL13'!$J$238:$J$451),0),
IF('TL14'!$B$3=P$3,SUMIF('TL14'!$C$10:$C$224,$C378,'TL14'!$J$10:$J$224),0),
IF('TL14'!$B$229=P$3,SUMIF('TL14'!$C$238:$C$451,$C378,'TL14'!$J$238:$J$451),0),
IF('TL15'!$B$3=P$3,SUMIF('TL15'!$C$10:$C$224,$C378,'TL15'!$J$10:$J$224),0),
IF('TL15'!$B$229=P$3,SUMIF('TL15'!$C$238:$C$451,$C378,'TL15'!$J$238:$J$451),0),
IF('TL16'!$B$3=P$3,SUMIF('TL16'!$C$10:$C$224,$C378,'TL16'!$J$10:$J$224),0),
IF('TL16'!$B$229=P$3,SUMIF('TL16'!$C$238:$C$451,$C378,'TL16'!$J$238:$J$451),0),
IF('TL17'!$B$3=P$3,SUMIF('TL17'!$C$10:$C$224,$C378,'TL17'!$J$10:$J$224),0),
IF('TL17'!$B$229=P$3,SUMIF('TL17'!$C$238:$C$451,$C378,'TL17'!$J$238:$J$451),0),
IF('TL18'!$B$3=P$3,SUMIF('TL18'!$C$10:$C$224,$C378,'TL18'!$J$10:$J$224),0),
IF('TL18'!$B$229=P$3,SUMIF('TL18'!$C$238:$C$451,$C378,'TL18'!$J$238:$J$451),0),
IF('TL19'!$B$3=P$3,SUMIF('TL19'!$C$10:$C$224,$C378,'TL19'!$J$10:$J$224),0),
IF('TL19'!$B$229=P$3,SUMIF('TL19'!$C$238:$C$451,$C378,'TL19'!$J$238:$J$451),0)
),0)</f>
        <v>0</v>
      </c>
      <c r="Q378" s="9">
        <f>IFERROR(SUM(
IF('TL01'!$B$3=Q$3,SUMIF('TL01'!$C$10:$C$224,$C378,'TL01'!$J$10:$J$224),0),
IF('TL01'!$B$229=Q$3,SUMIF('TL01'!$C$238:$C$451,$C378,'TL01'!$J$238:$J$451),0),
IF('TL02'!$B$3=Q$3,SUMIF('TL02'!$C$10:$C$224,$C378,'TL02'!$J$10:$J$224),0),
IF('TL02'!$B$229=Q$3,SUMIF('TL02'!$C$238:$C$451,$C378,'TL02'!$J$238:$J$451),0),
IF('TL03'!$B$3=Q$3,SUMIF('TL03'!$C$10:$C$224,$C378,'TL03'!$J$10:$J$224),0),
IF('TL03'!$B$229=Q$3,SUMIF('TL03'!$C$238:$C$451,$C378,'TL03'!$J$238:$J$451),0),
IF('TL04'!$B$3=Q$3,SUMIF('TL04'!$C$10:$C$224,$C378,'TL04'!$J$10:$J$224),0),
IF('TL04'!$B$229=Q$3,SUMIF('TL04'!$C$238:$C$451,$C378,'TL04'!$J$238:$J$451),0),
IF('TL05'!$B$3=Q$3,SUMIF('TL05'!$C$10:$C$224,$C378,'TL05'!$J$10:$J$224),0),
IF('TL05'!$B$229=Q$3,SUMIF('TL05'!$C$238:$C$451,$C378,'TL05'!$J$238:$J$451),0),
IF('TL06'!$B$3=Q$3,SUMIF('TL06'!$C$10:$C$224,$C378,'TL06'!$J$10:$J$224),0),
IF('TL06'!$B$229=Q$3,SUMIF('TL06'!$C$238:$C$451,$C378,'TL06'!$J$238:$J$451),0),
IF('TL07'!$B$3=Q$3,SUMIF('TL07'!$C$10:$C$224,$C378,'TL07'!$J$10:$J$224),0),
IF('TL07'!$B$229=Q$3,SUMIF('TL07'!$C$238:$C$451,$C378,'TL07'!$J$238:$J$451),0),
IF('TL08'!$B$3=Q$3,SUMIF('TL08'!$C$10:$C$224,$C378,'TL08'!$J$10:$J$224),0),
IF('TL08'!$B$229=Q$3,SUMIF('TL08'!$C$238:$C$451,$C378,'TL08'!$J$238:$J$451),0),
IF('TL09'!$B$3=Q$3,SUMIF('TL09'!$C$10:$C$224,$C378,'TL09'!$J$10:$J$224),0),
IF('TL09'!$B$229=Q$3,SUMIF('TL09'!$C$238:$C$451,$C378,'TL09'!$J$238:$J$451),0),
IF('TL10'!$B$3=Q$3,SUMIF('TL10'!$C$10:$C$224,$C378,'TL10'!$J$10:$J$224),0),
IF('TL10'!$B$229=Q$3,SUMIF('TL10'!$C$238:$C$451,$C378,'TL10'!$J$238:$J$451),0),
IF('TL11'!$B$3=Q$3,SUMIF('TL11'!$C$10:$C$224,$C378,'TL11'!$J$10:$J$224),0),
IF('TL11'!$B$229=Q$3,SUMIF('TL11'!$C$238:$C$451,$C378,'TL11'!$J$238:$J$451),0),
IF('TL12'!$B$3=Q$3,SUMIF('TL12'!$C$10:$C$224,$C378,'TL12'!$J$10:$J$224),0),
IF('TL12'!$B$229=Q$3,SUMIF('TL12'!$C$238:$C$451,$C378,'TL12'!$J$238:$J$451),0),
IF('TL13'!$B$3=Q$3,SUMIF('TL13'!$C$10:$C$224,$C378,'TL13'!$J$10:$J$224),0),
IF('TL13'!$B$229=Q$3,SUMIF('TL13'!$C$238:$C$451,$C378,'TL13'!$J$238:$J$451),0),
IF('TL14'!$B$3=Q$3,SUMIF('TL14'!$C$10:$C$224,$C378,'TL14'!$J$10:$J$224),0),
IF('TL14'!$B$229=Q$3,SUMIF('TL14'!$C$238:$C$451,$C378,'TL14'!$J$238:$J$451),0),
IF('TL15'!$B$3=Q$3,SUMIF('TL15'!$C$10:$C$224,$C378,'TL15'!$J$10:$J$224),0),
IF('TL15'!$B$229=Q$3,SUMIF('TL15'!$C$238:$C$451,$C378,'TL15'!$J$238:$J$451),0),
IF('TL16'!$B$3=Q$3,SUMIF('TL16'!$C$10:$C$224,$C378,'TL16'!$J$10:$J$224),0),
IF('TL16'!$B$229=Q$3,SUMIF('TL16'!$C$238:$C$451,$C378,'TL16'!$J$238:$J$451),0),
IF('TL17'!$B$3=Q$3,SUMIF('TL17'!$C$10:$C$224,$C378,'TL17'!$J$10:$J$224),0),
IF('TL17'!$B$229=Q$3,SUMIF('TL17'!$C$238:$C$451,$C378,'TL17'!$J$238:$J$451),0),
IF('TL18'!$B$3=Q$3,SUMIF('TL18'!$C$10:$C$224,$C378,'TL18'!$J$10:$J$224),0),
IF('TL18'!$B$229=Q$3,SUMIF('TL18'!$C$238:$C$451,$C378,'TL18'!$J$238:$J$451),0),
IF('TL19'!$B$3=Q$3,SUMIF('TL19'!$C$10:$C$224,$C378,'TL19'!$J$10:$J$224),0),
IF('TL19'!$B$229=Q$3,SUMIF('TL19'!$C$238:$C$451,$C378,'TL19'!$J$238:$J$451),0)
),0)</f>
        <v>0</v>
      </c>
      <c r="R378" s="9">
        <f>IFERROR(
SUM(
SUMIF('TL01'!C:C,C378,'TL01'!J:J),
SUMIF('TL02'!C:C,C378,'TL02'!J:J),
SUMIF('TL03'!C:C,C378,'TL03'!J:J),
SUMIF('TL04'!C:C,C378,'TL04'!J:J),
SUMIF('TL05'!C:C,C378,'TL05'!J:J),
SUMIF('TL06'!C:C,C378,'TL06'!J:J),
SUMIF('TL07'!C:C,C378,'TL07'!J:J),
SUMIF('TL08'!C:C,C378,'TL08'!J:J),
SUMIF('TL09'!C:C,C378,'TL09'!J:J),
SUMIF('TL10'!C:C,C378,'TL10'!J:J),
SUMIF('TL11'!C:C,C378,'TL11'!J:J),
SUMIF('TL12'!C:C,C378,'TL12'!J:J),
SUMIF('TL13'!C:C,C378,'TL13'!J:J),
SUMIF('TL14'!C:C,C378,'TL14'!J:J),
SUMIF('TL15'!C:C,C378,'TL15'!J:J),
SUMIF('TL16'!C:C,C378,'TL16'!J:J),
SUMIF('TL17'!C:C,C378,'TL17'!J:J),
SUMIF('TL18'!C:C,C378,'TL18'!J:J),SUMIF('TL19'!C:C,C378,'TL19'!J:J))
,0)</f>
        <v>0</v>
      </c>
      <c r="S378" s="17">
        <f>IFERROR(__xludf.DUMMYFUNCTION("IFERROR(VLOOKUP(C378,
IMPORTRANGE(""1wULbzX32WdYsx-lj2U3uUNBBe2INVIRDtcK0d-Dvl90"",
""26-27!C:G""),
5,
FALSE),
"""")"),4.11)</f>
        <v>4.11</v>
      </c>
      <c r="T378" s="9"/>
      <c r="U378" s="92">
        <f t="shared" si="2"/>
        <v>0</v>
      </c>
      <c r="V378" s="93">
        <f t="shared" si="3"/>
        <v>0</v>
      </c>
    </row>
    <row r="379" ht="15.75" hidden="1" customHeight="1">
      <c r="A379" s="4" t="s">
        <v>1071</v>
      </c>
      <c r="B379" s="4" t="s">
        <v>4</v>
      </c>
      <c r="C379" s="130" t="s">
        <v>1121</v>
      </c>
      <c r="D379" s="129" t="s">
        <v>1119</v>
      </c>
      <c r="E379" s="6"/>
      <c r="F379" s="4"/>
      <c r="G379" s="90" t="str">
        <f t="shared" si="5"/>
        <v>📄 Ver bula</v>
      </c>
      <c r="H379" s="9"/>
      <c r="I379" s="123"/>
      <c r="J379" s="9">
        <f>IFERROR(SUM(
IF('TL01'!$B$3=J$3,SUMIF('TL01'!$C$10:$C$224,$C379,'TL01'!$J$10:$J$224),0),
IF('TL01'!$B$229=J$3,SUMIF('TL01'!$C$238:$C$451,$C379,'TL01'!$J$238:$J$451),0),
IF('TL02'!$B$3=J$3,SUMIF('TL02'!$C$10:$C$224,$C379,'TL02'!$J$10:$J$224),0),
IF('TL02'!$B$229=J$3,SUMIF('TL02'!$C$238:$C$451,$C379,'TL02'!$J$238:$J$451),0),
IF('TL03'!$B$3=J$3,SUMIF('TL03'!$C$10:$C$224,$C379,'TL03'!$J$10:$J$224),0),
IF('TL03'!$B$229=J$3,SUMIF('TL03'!$C$238:$C$451,$C379,'TL03'!$J$238:$J$451),0),
IF('TL04'!$B$3=J$3,SUMIF('TL04'!$C$10:$C$224,$C379,'TL04'!$J$10:$J$224),0),
IF('TL04'!$B$229=J$3,SUMIF('TL04'!$C$238:$C$451,$C379,'TL04'!$J$238:$J$451),0),
IF('TL05'!$B$3=J$3,SUMIF('TL05'!$C$10:$C$224,$C379,'TL05'!$J$10:$J$224),0),
IF('TL05'!$B$229=J$3,SUMIF('TL05'!$C$238:$C$451,$C379,'TL05'!$J$238:$J$451),0),
IF('TL06'!$B$3=J$3,SUMIF('TL06'!$C$10:$C$224,$C379,'TL06'!$J$10:$J$224),0),
IF('TL06'!$B$229=J$3,SUMIF('TL06'!$C$238:$C$451,$C379,'TL06'!$J$238:$J$451),0),
IF('TL07'!$B$3=J$3,SUMIF('TL07'!$C$10:$C$224,$C379,'TL07'!$J$10:$J$224),0),
IF('TL07'!$B$229=J$3,SUMIF('TL07'!$C$238:$C$451,$C379,'TL07'!$J$238:$J$451),0),
IF('TL08'!$B$3=J$3,SUMIF('TL08'!$C$10:$C$224,$C379,'TL08'!$J$10:$J$224),0),
IF('TL08'!$B$229=J$3,SUMIF('TL08'!$C$238:$C$451,$C379,'TL08'!$J$238:$J$451),0),
IF('TL09'!$B$3=J$3,SUMIF('TL09'!$C$10:$C$224,$C379,'TL09'!$J$10:$J$224),0),
IF('TL09'!$B$229=J$3,SUMIF('TL09'!$C$238:$C$451,$C379,'TL09'!$J$238:$J$451),0),
IF('TL10'!$B$3=J$3,SUMIF('TL10'!$C$10:$C$224,$C379,'TL10'!$J$10:$J$224),0),
IF('TL10'!$B$229=J$3,SUMIF('TL10'!$C$238:$C$451,$C379,'TL10'!$J$238:$J$451),0),
IF('TL11'!$B$3=J$3,SUMIF('TL11'!$C$10:$C$224,$C379,'TL11'!$J$10:$J$224),0),
IF('TL11'!$B$229=J$3,SUMIF('TL11'!$C$238:$C$451,$C379,'TL11'!$J$238:$J$451),0),
IF('TL12'!$B$3=J$3,SUMIF('TL12'!$C$10:$C$224,$C379,'TL12'!$J$10:$J$224),0),
IF('TL12'!$B$229=J$3,SUMIF('TL12'!$C$238:$C$451,$C379,'TL12'!$J$238:$J$451),0),
IF('TL13'!$B$3=J$3,SUMIF('TL13'!$C$10:$C$224,$C379,'TL13'!$J$10:$J$224),0),
IF('TL13'!$B$229=J$3,SUMIF('TL13'!$C$238:$C$451,$C379,'TL13'!$J$238:$J$451),0),
IF('TL14'!$B$3=J$3,SUMIF('TL14'!$C$10:$C$224,$C379,'TL14'!$J$10:$J$224),0),
IF('TL14'!$B$229=J$3,SUMIF('TL14'!$C$238:$C$451,$C379,'TL14'!$J$238:$J$451),0),
IF('TL15'!$B$3=J$3,SUMIF('TL15'!$C$10:$C$224,$C379,'TL15'!$J$10:$J$224),0),
IF('TL15'!$B$229=J$3,SUMIF('TL15'!$C$238:$C$451,$C379,'TL15'!$J$238:$J$451),0),
IF('TL16'!$B$3=J$3,SUMIF('TL16'!$C$10:$C$224,$C379,'TL16'!$J$10:$J$224),0),
IF('TL16'!$B$229=J$3,SUMIF('TL16'!$C$238:$C$451,$C379,'TL16'!$J$238:$J$451),0),
IF('TL17'!$B$3=J$3,SUMIF('TL17'!$C$10:$C$224,$C379,'TL17'!$J$10:$J$224),0),
IF('TL17'!$B$229=J$3,SUMIF('TL17'!$C$238:$C$451,$C379,'TL17'!$J$238:$J$451),0),
IF('TL18'!$B$3=J$3,SUMIF('TL18'!$C$10:$C$224,$C379,'TL18'!$J$10:$J$224),0),
IF('TL18'!$B$229=J$3,SUMIF('TL18'!$C$238:$C$451,$C379,'TL18'!$J$238:$J$451),0),
IF('TL19'!$B$3=J$3,SUMIF('TL19'!$C$10:$C$224,$C379,'TL19'!$J$10:$J$224),0),
IF('TL19'!$B$229=J$3,SUMIF('TL19'!$C$238:$C$451,$C379,'TL19'!$J$238:$J$451),0)
),0)</f>
        <v>0</v>
      </c>
      <c r="K379" s="9">
        <f>IFERROR(SUM(
IF('TL01'!$B$3=K$3,SUMIF('TL01'!$C$10:$C$224,$C379,'TL01'!$J$10:$J$224),0),
IF('TL01'!$B$229=K$3,SUMIF('TL01'!$C$238:$C$451,$C379,'TL01'!$J$238:$J$451),0),
IF('TL02'!$B$3=K$3,SUMIF('TL02'!$C$10:$C$224,$C379,'TL02'!$J$10:$J$224),0),
IF('TL02'!$B$229=K$3,SUMIF('TL02'!$C$238:$C$451,$C379,'TL02'!$J$238:$J$451),0),
IF('TL03'!$B$3=K$3,SUMIF('TL03'!$C$10:$C$224,$C379,'TL03'!$J$10:$J$224),0),
IF('TL03'!$B$229=K$3,SUMIF('TL03'!$C$238:$C$451,$C379,'TL03'!$J$238:$J$451),0),
IF('TL04'!$B$3=K$3,SUMIF('TL04'!$C$10:$C$224,$C379,'TL04'!$J$10:$J$224),0),
IF('TL04'!$B$229=K$3,SUMIF('TL04'!$C$238:$C$451,$C379,'TL04'!$J$238:$J$451),0),
IF('TL05'!$B$3=K$3,SUMIF('TL05'!$C$10:$C$224,$C379,'TL05'!$J$10:$J$224),0),
IF('TL05'!$B$229=K$3,SUMIF('TL05'!$C$238:$C$451,$C379,'TL05'!$J$238:$J$451),0),
IF('TL06'!$B$3=K$3,SUMIF('TL06'!$C$10:$C$224,$C379,'TL06'!$J$10:$J$224),0),
IF('TL06'!$B$229=K$3,SUMIF('TL06'!$C$238:$C$451,$C379,'TL06'!$J$238:$J$451),0),
IF('TL07'!$B$3=K$3,SUMIF('TL07'!$C$10:$C$224,$C379,'TL07'!$J$10:$J$224),0),
IF('TL07'!$B$229=K$3,SUMIF('TL07'!$C$238:$C$451,$C379,'TL07'!$J$238:$J$451),0),
IF('TL08'!$B$3=K$3,SUMIF('TL08'!$C$10:$C$224,$C379,'TL08'!$J$10:$J$224),0),
IF('TL08'!$B$229=K$3,SUMIF('TL08'!$C$238:$C$451,$C379,'TL08'!$J$238:$J$451),0),
IF('TL09'!$B$3=K$3,SUMIF('TL09'!$C$10:$C$224,$C379,'TL09'!$J$10:$J$224),0),
IF('TL09'!$B$229=K$3,SUMIF('TL09'!$C$238:$C$451,$C379,'TL09'!$J$238:$J$451),0),
IF('TL10'!$B$3=K$3,SUMIF('TL10'!$C$10:$C$224,$C379,'TL10'!$J$10:$J$224),0),
IF('TL10'!$B$229=K$3,SUMIF('TL10'!$C$238:$C$451,$C379,'TL10'!$J$238:$J$451),0),
IF('TL11'!$B$3=K$3,SUMIF('TL11'!$C$10:$C$224,$C379,'TL11'!$J$10:$J$224),0),
IF('TL11'!$B$229=K$3,SUMIF('TL11'!$C$238:$C$451,$C379,'TL11'!$J$238:$J$451),0),
IF('TL12'!$B$3=K$3,SUMIF('TL12'!$C$10:$C$224,$C379,'TL12'!$J$10:$J$224),0),
IF('TL12'!$B$229=K$3,SUMIF('TL12'!$C$238:$C$451,$C379,'TL12'!$J$238:$J$451),0),
IF('TL13'!$B$3=K$3,SUMIF('TL13'!$C$10:$C$224,$C379,'TL13'!$J$10:$J$224),0),
IF('TL13'!$B$229=K$3,SUMIF('TL13'!$C$238:$C$451,$C379,'TL13'!$J$238:$J$451),0),
IF('TL14'!$B$3=K$3,SUMIF('TL14'!$C$10:$C$224,$C379,'TL14'!$J$10:$J$224),0),
IF('TL14'!$B$229=K$3,SUMIF('TL14'!$C$238:$C$451,$C379,'TL14'!$J$238:$J$451),0),
IF('TL15'!$B$3=K$3,SUMIF('TL15'!$C$10:$C$224,$C379,'TL15'!$J$10:$J$224),0),
IF('TL15'!$B$229=K$3,SUMIF('TL15'!$C$238:$C$451,$C379,'TL15'!$J$238:$J$451),0),
IF('TL16'!$B$3=K$3,SUMIF('TL16'!$C$10:$C$224,$C379,'TL16'!$J$10:$J$224),0),
IF('TL16'!$B$229=K$3,SUMIF('TL16'!$C$238:$C$451,$C379,'TL16'!$J$238:$J$451),0),
IF('TL17'!$B$3=K$3,SUMIF('TL17'!$C$10:$C$224,$C379,'TL17'!$J$10:$J$224),0),
IF('TL17'!$B$229=K$3,SUMIF('TL17'!$C$238:$C$451,$C379,'TL17'!$J$238:$J$451),0),
IF('TL18'!$B$3=K$3,SUMIF('TL18'!$C$10:$C$224,$C379,'TL18'!$J$10:$J$224),0),
IF('TL18'!$B$229=K$3,SUMIF('TL18'!$C$238:$C$451,$C379,'TL18'!$J$238:$J$451),0),
IF('TL19'!$B$3=K$3,SUMIF('TL19'!$C$10:$C$224,$C379,'TL19'!$J$10:$J$224),0),
IF('TL19'!$B$229=K$3,SUMIF('TL19'!$C$238:$C$451,$C379,'TL19'!$J$238:$J$451),0)
),0)</f>
        <v>0</v>
      </c>
      <c r="L379" s="9">
        <f>IFERROR(SUM(
IF('TL01'!$B$3=L$3,SUMIF('TL01'!$C$10:$C$224,$C379,'TL01'!$J$10:$J$224),0),
IF('TL01'!$B$229=L$3,SUMIF('TL01'!$C$238:$C$451,$C379,'TL01'!$J$238:$J$451),0),
IF('TL02'!$B$3=L$3,SUMIF('TL02'!$C$10:$C$224,$C379,'TL02'!$J$10:$J$224),0),
IF('TL02'!$B$229=L$3,SUMIF('TL02'!$C$238:$C$451,$C379,'TL02'!$J$238:$J$451),0),
IF('TL03'!$B$3=L$3,SUMIF('TL03'!$C$10:$C$224,$C379,'TL03'!$J$10:$J$224),0),
IF('TL03'!$B$229=L$3,SUMIF('TL03'!$C$238:$C$451,$C379,'TL03'!$J$238:$J$451),0),
IF('TL04'!$B$3=L$3,SUMIF('TL04'!$C$10:$C$224,$C379,'TL04'!$J$10:$J$224),0),
IF('TL04'!$B$229=L$3,SUMIF('TL04'!$C$238:$C$451,$C379,'TL04'!$J$238:$J$451),0),
IF('TL05'!$B$3=L$3,SUMIF('TL05'!$C$10:$C$224,$C379,'TL05'!$J$10:$J$224),0),
IF('TL05'!$B$229=L$3,SUMIF('TL05'!$C$238:$C$451,$C379,'TL05'!$J$238:$J$451),0),
IF('TL06'!$B$3=L$3,SUMIF('TL06'!$C$10:$C$224,$C379,'TL06'!$J$10:$J$224),0),
IF('TL06'!$B$229=L$3,SUMIF('TL06'!$C$238:$C$451,$C379,'TL06'!$J$238:$J$451),0),
IF('TL07'!$B$3=L$3,SUMIF('TL07'!$C$10:$C$224,$C379,'TL07'!$J$10:$J$224),0),
IF('TL07'!$B$229=L$3,SUMIF('TL07'!$C$238:$C$451,$C379,'TL07'!$J$238:$J$451),0),
IF('TL08'!$B$3=L$3,SUMIF('TL08'!$C$10:$C$224,$C379,'TL08'!$J$10:$J$224),0),
IF('TL08'!$B$229=L$3,SUMIF('TL08'!$C$238:$C$451,$C379,'TL08'!$J$238:$J$451),0),
IF('TL09'!$B$3=L$3,SUMIF('TL09'!$C$10:$C$224,$C379,'TL09'!$J$10:$J$224),0),
IF('TL09'!$B$229=L$3,SUMIF('TL09'!$C$238:$C$451,$C379,'TL09'!$J$238:$J$451),0),
IF('TL10'!$B$3=L$3,SUMIF('TL10'!$C$10:$C$224,$C379,'TL10'!$J$10:$J$224),0),
IF('TL10'!$B$229=L$3,SUMIF('TL10'!$C$238:$C$451,$C379,'TL10'!$J$238:$J$451),0),
IF('TL11'!$B$3=L$3,SUMIF('TL11'!$C$10:$C$224,$C379,'TL11'!$J$10:$J$224),0),
IF('TL11'!$B$229=L$3,SUMIF('TL11'!$C$238:$C$451,$C379,'TL11'!$J$238:$J$451),0),
IF('TL12'!$B$3=L$3,SUMIF('TL12'!$C$10:$C$224,$C379,'TL12'!$J$10:$J$224),0),
IF('TL12'!$B$229=L$3,SUMIF('TL12'!$C$238:$C$451,$C379,'TL12'!$J$238:$J$451),0),
IF('TL13'!$B$3=L$3,SUMIF('TL13'!$C$10:$C$224,$C379,'TL13'!$J$10:$J$224),0),
IF('TL13'!$B$229=L$3,SUMIF('TL13'!$C$238:$C$451,$C379,'TL13'!$J$238:$J$451),0),
IF('TL14'!$B$3=L$3,SUMIF('TL14'!$C$10:$C$224,$C379,'TL14'!$J$10:$J$224),0),
IF('TL14'!$B$229=L$3,SUMIF('TL14'!$C$238:$C$451,$C379,'TL14'!$J$238:$J$451),0),
IF('TL15'!$B$3=L$3,SUMIF('TL15'!$C$10:$C$224,$C379,'TL15'!$J$10:$J$224),0),
IF('TL15'!$B$229=L$3,SUMIF('TL15'!$C$238:$C$451,$C379,'TL15'!$J$238:$J$451),0),
IF('TL16'!$B$3=L$3,SUMIF('TL16'!$C$10:$C$224,$C379,'TL16'!$J$10:$J$224),0),
IF('TL16'!$B$229=L$3,SUMIF('TL16'!$C$238:$C$451,$C379,'TL16'!$J$238:$J$451),0),
IF('TL17'!$B$3=L$3,SUMIF('TL17'!$C$10:$C$224,$C379,'TL17'!$J$10:$J$224),0),
IF('TL17'!$B$229=L$3,SUMIF('TL17'!$C$238:$C$451,$C379,'TL17'!$J$238:$J$451),0),
IF('TL18'!$B$3=L$3,SUMIF('TL18'!$C$10:$C$224,$C379,'TL18'!$J$10:$J$224),0),
IF('TL18'!$B$229=L$3,SUMIF('TL18'!$C$238:$C$451,$C379,'TL18'!$J$238:$J$451),0),
IF('TL19'!$B$3=L$3,SUMIF('TL19'!$C$10:$C$224,$C379,'TL19'!$J$10:$J$224),0),
IF('TL19'!$B$229=L$3,SUMIF('TL19'!$C$238:$C$451,$C379,'TL19'!$J$238:$J$451),0)
),0)</f>
        <v>0</v>
      </c>
      <c r="M379" s="9">
        <f>IFERROR(SUM(
IF('TL01'!$B$3=M$3,SUMIF('TL01'!$C$10:$C$224,$C379,'TL01'!$J$10:$J$224),0),
IF('TL01'!$B$229=M$3,SUMIF('TL01'!$C$238:$C$451,$C379,'TL01'!$J$238:$J$451),0),
IF('TL02'!$B$3=M$3,SUMIF('TL02'!$C$10:$C$224,$C379,'TL02'!$J$10:$J$224),0),
IF('TL02'!$B$229=M$3,SUMIF('TL02'!$C$238:$C$451,$C379,'TL02'!$J$238:$J$451),0),
IF('TL03'!$B$3=M$3,SUMIF('TL03'!$C$10:$C$224,$C379,'TL03'!$J$10:$J$224),0),
IF('TL03'!$B$229=M$3,SUMIF('TL03'!$C$238:$C$451,$C379,'TL03'!$J$238:$J$451),0),
IF('TL04'!$B$3=M$3,SUMIF('TL04'!$C$10:$C$224,$C379,'TL04'!$J$10:$J$224),0),
IF('TL04'!$B$229=M$3,SUMIF('TL04'!$C$238:$C$451,$C379,'TL04'!$J$238:$J$451),0),
IF('TL05'!$B$3=M$3,SUMIF('TL05'!$C$10:$C$224,$C379,'TL05'!$J$10:$J$224),0),
IF('TL05'!$B$229=M$3,SUMIF('TL05'!$C$238:$C$451,$C379,'TL05'!$J$238:$J$451),0),
IF('TL06'!$B$3=M$3,SUMIF('TL06'!$C$10:$C$224,$C379,'TL06'!$J$10:$J$224),0),
IF('TL06'!$B$229=M$3,SUMIF('TL06'!$C$238:$C$451,$C379,'TL06'!$J$238:$J$451),0),
IF('TL07'!$B$3=M$3,SUMIF('TL07'!$C$10:$C$224,$C379,'TL07'!$J$10:$J$224),0),
IF('TL07'!$B$229=M$3,SUMIF('TL07'!$C$238:$C$451,$C379,'TL07'!$J$238:$J$451),0),
IF('TL08'!$B$3=M$3,SUMIF('TL08'!$C$10:$C$224,$C379,'TL08'!$J$10:$J$224),0),
IF('TL08'!$B$229=M$3,SUMIF('TL08'!$C$238:$C$451,$C379,'TL08'!$J$238:$J$451),0),
IF('TL09'!$B$3=M$3,SUMIF('TL09'!$C$10:$C$224,$C379,'TL09'!$J$10:$J$224),0),
IF('TL09'!$B$229=M$3,SUMIF('TL09'!$C$238:$C$451,$C379,'TL09'!$J$238:$J$451),0),
IF('TL10'!$B$3=M$3,SUMIF('TL10'!$C$10:$C$224,$C379,'TL10'!$J$10:$J$224),0),
IF('TL10'!$B$229=M$3,SUMIF('TL10'!$C$238:$C$451,$C379,'TL10'!$J$238:$J$451),0),
IF('TL11'!$B$3=M$3,SUMIF('TL11'!$C$10:$C$224,$C379,'TL11'!$J$10:$J$224),0),
IF('TL11'!$B$229=M$3,SUMIF('TL11'!$C$238:$C$451,$C379,'TL11'!$J$238:$J$451),0),
IF('TL12'!$B$3=M$3,SUMIF('TL12'!$C$10:$C$224,$C379,'TL12'!$J$10:$J$224),0),
IF('TL12'!$B$229=M$3,SUMIF('TL12'!$C$238:$C$451,$C379,'TL12'!$J$238:$J$451),0),
IF('TL13'!$B$3=M$3,SUMIF('TL13'!$C$10:$C$224,$C379,'TL13'!$J$10:$J$224),0),
IF('TL13'!$B$229=M$3,SUMIF('TL13'!$C$238:$C$451,$C379,'TL13'!$J$238:$J$451),0),
IF('TL14'!$B$3=M$3,SUMIF('TL14'!$C$10:$C$224,$C379,'TL14'!$J$10:$J$224),0),
IF('TL14'!$B$229=M$3,SUMIF('TL14'!$C$238:$C$451,$C379,'TL14'!$J$238:$J$451),0),
IF('TL15'!$B$3=M$3,SUMIF('TL15'!$C$10:$C$224,$C379,'TL15'!$J$10:$J$224),0),
IF('TL15'!$B$229=M$3,SUMIF('TL15'!$C$238:$C$451,$C379,'TL15'!$J$238:$J$451),0),
IF('TL16'!$B$3=M$3,SUMIF('TL16'!$C$10:$C$224,$C379,'TL16'!$J$10:$J$224),0),
IF('TL16'!$B$229=M$3,SUMIF('TL16'!$C$238:$C$451,$C379,'TL16'!$J$238:$J$451),0),
IF('TL17'!$B$3=M$3,SUMIF('TL17'!$C$10:$C$224,$C379,'TL17'!$J$10:$J$224),0),
IF('TL17'!$B$229=M$3,SUMIF('TL17'!$C$238:$C$451,$C379,'TL17'!$J$238:$J$451),0),
IF('TL18'!$B$3=M$3,SUMIF('TL18'!$C$10:$C$224,$C379,'TL18'!$J$10:$J$224),0),
IF('TL18'!$B$229=M$3,SUMIF('TL18'!$C$238:$C$451,$C379,'TL18'!$J$238:$J$451),0),
IF('TL19'!$B$3=M$3,SUMIF('TL19'!$C$10:$C$224,$C379,'TL19'!$J$10:$J$224),0),
IF('TL19'!$B$229=M$3,SUMIF('TL19'!$C$238:$C$451,$C379,'TL19'!$J$238:$J$451),0)
),0)</f>
        <v>0</v>
      </c>
      <c r="N379" s="9">
        <f>IFERROR(SUM(
IF('TL01'!$B$3=N$3,SUMIF('TL01'!$C$10:$C$224,$C379,'TL01'!$J$10:$J$224),0),
IF('TL01'!$B$229=N$3,SUMIF('TL01'!$C$238:$C$451,$C379,'TL01'!$J$238:$J$451),0),
IF('TL02'!$B$3=N$3,SUMIF('TL02'!$C$10:$C$224,$C379,'TL02'!$J$10:$J$224),0),
IF('TL02'!$B$229=N$3,SUMIF('TL02'!$C$238:$C$451,$C379,'TL02'!$J$238:$J$451),0),
IF('TL03'!$B$3=N$3,SUMIF('TL03'!$C$10:$C$224,$C379,'TL03'!$J$10:$J$224),0),
IF('TL03'!$B$229=N$3,SUMIF('TL03'!$C$238:$C$451,$C379,'TL03'!$J$238:$J$451),0),
IF('TL04'!$B$3=N$3,SUMIF('TL04'!$C$10:$C$224,$C379,'TL04'!$J$10:$J$224),0),
IF('TL04'!$B$229=N$3,SUMIF('TL04'!$C$238:$C$451,$C379,'TL04'!$J$238:$J$451),0),
IF('TL05'!$B$3=N$3,SUMIF('TL05'!$C$10:$C$224,$C379,'TL05'!$J$10:$J$224),0),
IF('TL05'!$B$229=N$3,SUMIF('TL05'!$C$238:$C$451,$C379,'TL05'!$J$238:$J$451),0),
IF('TL06'!$B$3=N$3,SUMIF('TL06'!$C$10:$C$224,$C379,'TL06'!$J$10:$J$224),0),
IF('TL06'!$B$229=N$3,SUMIF('TL06'!$C$238:$C$451,$C379,'TL06'!$J$238:$J$451),0),
IF('TL07'!$B$3=N$3,SUMIF('TL07'!$C$10:$C$224,$C379,'TL07'!$J$10:$J$224),0),
IF('TL07'!$B$229=N$3,SUMIF('TL07'!$C$238:$C$451,$C379,'TL07'!$J$238:$J$451),0),
IF('TL08'!$B$3=N$3,SUMIF('TL08'!$C$10:$C$224,$C379,'TL08'!$J$10:$J$224),0),
IF('TL08'!$B$229=N$3,SUMIF('TL08'!$C$238:$C$451,$C379,'TL08'!$J$238:$J$451),0),
IF('TL09'!$B$3=N$3,SUMIF('TL09'!$C$10:$C$224,$C379,'TL09'!$J$10:$J$224),0),
IF('TL09'!$B$229=N$3,SUMIF('TL09'!$C$238:$C$451,$C379,'TL09'!$J$238:$J$451),0),
IF('TL10'!$B$3=N$3,SUMIF('TL10'!$C$10:$C$224,$C379,'TL10'!$J$10:$J$224),0),
IF('TL10'!$B$229=N$3,SUMIF('TL10'!$C$238:$C$451,$C379,'TL10'!$J$238:$J$451),0),
IF('TL11'!$B$3=N$3,SUMIF('TL11'!$C$10:$C$224,$C379,'TL11'!$J$10:$J$224),0),
IF('TL11'!$B$229=N$3,SUMIF('TL11'!$C$238:$C$451,$C379,'TL11'!$J$238:$J$451),0),
IF('TL12'!$B$3=N$3,SUMIF('TL12'!$C$10:$C$224,$C379,'TL12'!$J$10:$J$224),0),
IF('TL12'!$B$229=N$3,SUMIF('TL12'!$C$238:$C$451,$C379,'TL12'!$J$238:$J$451),0),
IF('TL13'!$B$3=N$3,SUMIF('TL13'!$C$10:$C$224,$C379,'TL13'!$J$10:$J$224),0),
IF('TL13'!$B$229=N$3,SUMIF('TL13'!$C$238:$C$451,$C379,'TL13'!$J$238:$J$451),0),
IF('TL14'!$B$3=N$3,SUMIF('TL14'!$C$10:$C$224,$C379,'TL14'!$J$10:$J$224),0),
IF('TL14'!$B$229=N$3,SUMIF('TL14'!$C$238:$C$451,$C379,'TL14'!$J$238:$J$451),0),
IF('TL15'!$B$3=N$3,SUMIF('TL15'!$C$10:$C$224,$C379,'TL15'!$J$10:$J$224),0),
IF('TL15'!$B$229=N$3,SUMIF('TL15'!$C$238:$C$451,$C379,'TL15'!$J$238:$J$451),0),
IF('TL16'!$B$3=N$3,SUMIF('TL16'!$C$10:$C$224,$C379,'TL16'!$J$10:$J$224),0),
IF('TL16'!$B$229=N$3,SUMIF('TL16'!$C$238:$C$451,$C379,'TL16'!$J$238:$J$451),0),
IF('TL17'!$B$3=N$3,SUMIF('TL17'!$C$10:$C$224,$C379,'TL17'!$J$10:$J$224),0),
IF('TL17'!$B$229=N$3,SUMIF('TL17'!$C$238:$C$451,$C379,'TL17'!$J$238:$J$451),0),
IF('TL18'!$B$3=N$3,SUMIF('TL18'!$C$10:$C$224,$C379,'TL18'!$J$10:$J$224),0),
IF('TL18'!$B$229=N$3,SUMIF('TL18'!$C$238:$C$451,$C379,'TL18'!$J$238:$J$451),0),
IF('TL19'!$B$3=N$3,SUMIF('TL19'!$C$10:$C$224,$C379,'TL19'!$J$10:$J$224),0),
IF('TL19'!$B$229=N$3,SUMIF('TL19'!$C$238:$C$451,$C379,'TL19'!$J$238:$J$451),0)
),0)</f>
        <v>0</v>
      </c>
      <c r="O379" s="9">
        <f>IFERROR(SUM(
IF('TL01'!$B$3=O$3,SUMIF('TL01'!$C$10:$C$224,$C379,'TL01'!$J$10:$J$224),0),
IF('TL01'!$B$229=O$3,SUMIF('TL01'!$C$238:$C$451,$C379,'TL01'!$J$238:$J$451),0),
IF('TL02'!$B$3=O$3,SUMIF('TL02'!$C$10:$C$224,$C379,'TL02'!$J$10:$J$224),0),
IF('TL02'!$B$229=O$3,SUMIF('TL02'!$C$238:$C$451,$C379,'TL02'!$J$238:$J$451),0),
IF('TL03'!$B$3=O$3,SUMIF('TL03'!$C$10:$C$224,$C379,'TL03'!$J$10:$J$224),0),
IF('TL03'!$B$229=O$3,SUMIF('TL03'!$C$238:$C$451,$C379,'TL03'!$J$238:$J$451),0),
IF('TL04'!$B$3=O$3,SUMIF('TL04'!$C$10:$C$224,$C379,'TL04'!$J$10:$J$224),0),
IF('TL04'!$B$229=O$3,SUMIF('TL04'!$C$238:$C$451,$C379,'TL04'!$J$238:$J$451),0),
IF('TL05'!$B$3=O$3,SUMIF('TL05'!$C$10:$C$224,$C379,'TL05'!$J$10:$J$224),0),
IF('TL05'!$B$229=O$3,SUMIF('TL05'!$C$238:$C$451,$C379,'TL05'!$J$238:$J$451),0),
IF('TL06'!$B$3=O$3,SUMIF('TL06'!$C$10:$C$224,$C379,'TL06'!$J$10:$J$224),0),
IF('TL06'!$B$229=O$3,SUMIF('TL06'!$C$238:$C$451,$C379,'TL06'!$J$238:$J$451),0),
IF('TL07'!$B$3=O$3,SUMIF('TL07'!$C$10:$C$224,$C379,'TL07'!$J$10:$J$224),0),
IF('TL07'!$B$229=O$3,SUMIF('TL07'!$C$238:$C$451,$C379,'TL07'!$J$238:$J$451),0),
IF('TL08'!$B$3=O$3,SUMIF('TL08'!$C$10:$C$224,$C379,'TL08'!$J$10:$J$224),0),
IF('TL08'!$B$229=O$3,SUMIF('TL08'!$C$238:$C$451,$C379,'TL08'!$J$238:$J$451),0),
IF('TL09'!$B$3=O$3,SUMIF('TL09'!$C$10:$C$224,$C379,'TL09'!$J$10:$J$224),0),
IF('TL09'!$B$229=O$3,SUMIF('TL09'!$C$238:$C$451,$C379,'TL09'!$J$238:$J$451),0),
IF('TL10'!$B$3=O$3,SUMIF('TL10'!$C$10:$C$224,$C379,'TL10'!$J$10:$J$224),0),
IF('TL10'!$B$229=O$3,SUMIF('TL10'!$C$238:$C$451,$C379,'TL10'!$J$238:$J$451),0),
IF('TL11'!$B$3=O$3,SUMIF('TL11'!$C$10:$C$224,$C379,'TL11'!$J$10:$J$224),0),
IF('TL11'!$B$229=O$3,SUMIF('TL11'!$C$238:$C$451,$C379,'TL11'!$J$238:$J$451),0),
IF('TL12'!$B$3=O$3,SUMIF('TL12'!$C$10:$C$224,$C379,'TL12'!$J$10:$J$224),0),
IF('TL12'!$B$229=O$3,SUMIF('TL12'!$C$238:$C$451,$C379,'TL12'!$J$238:$J$451),0),
IF('TL13'!$B$3=O$3,SUMIF('TL13'!$C$10:$C$224,$C379,'TL13'!$J$10:$J$224),0),
IF('TL13'!$B$229=O$3,SUMIF('TL13'!$C$238:$C$451,$C379,'TL13'!$J$238:$J$451),0),
IF('TL14'!$B$3=O$3,SUMIF('TL14'!$C$10:$C$224,$C379,'TL14'!$J$10:$J$224),0),
IF('TL14'!$B$229=O$3,SUMIF('TL14'!$C$238:$C$451,$C379,'TL14'!$J$238:$J$451),0),
IF('TL15'!$B$3=O$3,SUMIF('TL15'!$C$10:$C$224,$C379,'TL15'!$J$10:$J$224),0),
IF('TL15'!$B$229=O$3,SUMIF('TL15'!$C$238:$C$451,$C379,'TL15'!$J$238:$J$451),0),
IF('TL16'!$B$3=O$3,SUMIF('TL16'!$C$10:$C$224,$C379,'TL16'!$J$10:$J$224),0),
IF('TL16'!$B$229=O$3,SUMIF('TL16'!$C$238:$C$451,$C379,'TL16'!$J$238:$J$451),0),
IF('TL17'!$B$3=O$3,SUMIF('TL17'!$C$10:$C$224,$C379,'TL17'!$J$10:$J$224),0),
IF('TL17'!$B$229=O$3,SUMIF('TL17'!$C$238:$C$451,$C379,'TL17'!$J$238:$J$451),0),
IF('TL18'!$B$3=O$3,SUMIF('TL18'!$C$10:$C$224,$C379,'TL18'!$J$10:$J$224),0),
IF('TL18'!$B$229=O$3,SUMIF('TL18'!$C$238:$C$451,$C379,'TL18'!$J$238:$J$451),0),
IF('TL19'!$B$3=O$3,SUMIF('TL19'!$C$10:$C$224,$C379,'TL19'!$J$10:$J$224),0),
IF('TL19'!$B$229=O$3,SUMIF('TL19'!$C$238:$C$451,$C379,'TL19'!$J$238:$J$451),0)
),0)</f>
        <v>0</v>
      </c>
      <c r="P379" s="9">
        <f>IFERROR(SUM(
IF('TL01'!$B$3=P$3,SUMIF('TL01'!$C$10:$C$224,$C379,'TL01'!$J$10:$J$224),0),
IF('TL01'!$B$229=P$3,SUMIF('TL01'!$C$238:$C$451,$C379,'TL01'!$J$238:$J$451),0),
IF('TL02'!$B$3=P$3,SUMIF('TL02'!$C$10:$C$224,$C379,'TL02'!$J$10:$J$224),0),
IF('TL02'!$B$229=P$3,SUMIF('TL02'!$C$238:$C$451,$C379,'TL02'!$J$238:$J$451),0),
IF('TL03'!$B$3=P$3,SUMIF('TL03'!$C$10:$C$224,$C379,'TL03'!$J$10:$J$224),0),
IF('TL03'!$B$229=P$3,SUMIF('TL03'!$C$238:$C$451,$C379,'TL03'!$J$238:$J$451),0),
IF('TL04'!$B$3=P$3,SUMIF('TL04'!$C$10:$C$224,$C379,'TL04'!$J$10:$J$224),0),
IF('TL04'!$B$229=P$3,SUMIF('TL04'!$C$238:$C$451,$C379,'TL04'!$J$238:$J$451),0),
IF('TL05'!$B$3=P$3,SUMIF('TL05'!$C$10:$C$224,$C379,'TL05'!$J$10:$J$224),0),
IF('TL05'!$B$229=P$3,SUMIF('TL05'!$C$238:$C$451,$C379,'TL05'!$J$238:$J$451),0),
IF('TL06'!$B$3=P$3,SUMIF('TL06'!$C$10:$C$224,$C379,'TL06'!$J$10:$J$224),0),
IF('TL06'!$B$229=P$3,SUMIF('TL06'!$C$238:$C$451,$C379,'TL06'!$J$238:$J$451),0),
IF('TL07'!$B$3=P$3,SUMIF('TL07'!$C$10:$C$224,$C379,'TL07'!$J$10:$J$224),0),
IF('TL07'!$B$229=P$3,SUMIF('TL07'!$C$238:$C$451,$C379,'TL07'!$J$238:$J$451),0),
IF('TL08'!$B$3=P$3,SUMIF('TL08'!$C$10:$C$224,$C379,'TL08'!$J$10:$J$224),0),
IF('TL08'!$B$229=P$3,SUMIF('TL08'!$C$238:$C$451,$C379,'TL08'!$J$238:$J$451),0),
IF('TL09'!$B$3=P$3,SUMIF('TL09'!$C$10:$C$224,$C379,'TL09'!$J$10:$J$224),0),
IF('TL09'!$B$229=P$3,SUMIF('TL09'!$C$238:$C$451,$C379,'TL09'!$J$238:$J$451),0),
IF('TL10'!$B$3=P$3,SUMIF('TL10'!$C$10:$C$224,$C379,'TL10'!$J$10:$J$224),0),
IF('TL10'!$B$229=P$3,SUMIF('TL10'!$C$238:$C$451,$C379,'TL10'!$J$238:$J$451),0),
IF('TL11'!$B$3=P$3,SUMIF('TL11'!$C$10:$C$224,$C379,'TL11'!$J$10:$J$224),0),
IF('TL11'!$B$229=P$3,SUMIF('TL11'!$C$238:$C$451,$C379,'TL11'!$J$238:$J$451),0),
IF('TL12'!$B$3=P$3,SUMIF('TL12'!$C$10:$C$224,$C379,'TL12'!$J$10:$J$224),0),
IF('TL12'!$B$229=P$3,SUMIF('TL12'!$C$238:$C$451,$C379,'TL12'!$J$238:$J$451),0),
IF('TL13'!$B$3=P$3,SUMIF('TL13'!$C$10:$C$224,$C379,'TL13'!$J$10:$J$224),0),
IF('TL13'!$B$229=P$3,SUMIF('TL13'!$C$238:$C$451,$C379,'TL13'!$J$238:$J$451),0),
IF('TL14'!$B$3=P$3,SUMIF('TL14'!$C$10:$C$224,$C379,'TL14'!$J$10:$J$224),0),
IF('TL14'!$B$229=P$3,SUMIF('TL14'!$C$238:$C$451,$C379,'TL14'!$J$238:$J$451),0),
IF('TL15'!$B$3=P$3,SUMIF('TL15'!$C$10:$C$224,$C379,'TL15'!$J$10:$J$224),0),
IF('TL15'!$B$229=P$3,SUMIF('TL15'!$C$238:$C$451,$C379,'TL15'!$J$238:$J$451),0),
IF('TL16'!$B$3=P$3,SUMIF('TL16'!$C$10:$C$224,$C379,'TL16'!$J$10:$J$224),0),
IF('TL16'!$B$229=P$3,SUMIF('TL16'!$C$238:$C$451,$C379,'TL16'!$J$238:$J$451),0),
IF('TL17'!$B$3=P$3,SUMIF('TL17'!$C$10:$C$224,$C379,'TL17'!$J$10:$J$224),0),
IF('TL17'!$B$229=P$3,SUMIF('TL17'!$C$238:$C$451,$C379,'TL17'!$J$238:$J$451),0),
IF('TL18'!$B$3=P$3,SUMIF('TL18'!$C$10:$C$224,$C379,'TL18'!$J$10:$J$224),0),
IF('TL18'!$B$229=P$3,SUMIF('TL18'!$C$238:$C$451,$C379,'TL18'!$J$238:$J$451),0),
IF('TL19'!$B$3=P$3,SUMIF('TL19'!$C$10:$C$224,$C379,'TL19'!$J$10:$J$224),0),
IF('TL19'!$B$229=P$3,SUMIF('TL19'!$C$238:$C$451,$C379,'TL19'!$J$238:$J$451),0)
),0)</f>
        <v>0</v>
      </c>
      <c r="Q379" s="9">
        <f>IFERROR(SUM(
IF('TL01'!$B$3=Q$3,SUMIF('TL01'!$C$10:$C$224,$C379,'TL01'!$J$10:$J$224),0),
IF('TL01'!$B$229=Q$3,SUMIF('TL01'!$C$238:$C$451,$C379,'TL01'!$J$238:$J$451),0),
IF('TL02'!$B$3=Q$3,SUMIF('TL02'!$C$10:$C$224,$C379,'TL02'!$J$10:$J$224),0),
IF('TL02'!$B$229=Q$3,SUMIF('TL02'!$C$238:$C$451,$C379,'TL02'!$J$238:$J$451),0),
IF('TL03'!$B$3=Q$3,SUMIF('TL03'!$C$10:$C$224,$C379,'TL03'!$J$10:$J$224),0),
IF('TL03'!$B$229=Q$3,SUMIF('TL03'!$C$238:$C$451,$C379,'TL03'!$J$238:$J$451),0),
IF('TL04'!$B$3=Q$3,SUMIF('TL04'!$C$10:$C$224,$C379,'TL04'!$J$10:$J$224),0),
IF('TL04'!$B$229=Q$3,SUMIF('TL04'!$C$238:$C$451,$C379,'TL04'!$J$238:$J$451),0),
IF('TL05'!$B$3=Q$3,SUMIF('TL05'!$C$10:$C$224,$C379,'TL05'!$J$10:$J$224),0),
IF('TL05'!$B$229=Q$3,SUMIF('TL05'!$C$238:$C$451,$C379,'TL05'!$J$238:$J$451),0),
IF('TL06'!$B$3=Q$3,SUMIF('TL06'!$C$10:$C$224,$C379,'TL06'!$J$10:$J$224),0),
IF('TL06'!$B$229=Q$3,SUMIF('TL06'!$C$238:$C$451,$C379,'TL06'!$J$238:$J$451),0),
IF('TL07'!$B$3=Q$3,SUMIF('TL07'!$C$10:$C$224,$C379,'TL07'!$J$10:$J$224),0),
IF('TL07'!$B$229=Q$3,SUMIF('TL07'!$C$238:$C$451,$C379,'TL07'!$J$238:$J$451),0),
IF('TL08'!$B$3=Q$3,SUMIF('TL08'!$C$10:$C$224,$C379,'TL08'!$J$10:$J$224),0),
IF('TL08'!$B$229=Q$3,SUMIF('TL08'!$C$238:$C$451,$C379,'TL08'!$J$238:$J$451),0),
IF('TL09'!$B$3=Q$3,SUMIF('TL09'!$C$10:$C$224,$C379,'TL09'!$J$10:$J$224),0),
IF('TL09'!$B$229=Q$3,SUMIF('TL09'!$C$238:$C$451,$C379,'TL09'!$J$238:$J$451),0),
IF('TL10'!$B$3=Q$3,SUMIF('TL10'!$C$10:$C$224,$C379,'TL10'!$J$10:$J$224),0),
IF('TL10'!$B$229=Q$3,SUMIF('TL10'!$C$238:$C$451,$C379,'TL10'!$J$238:$J$451),0),
IF('TL11'!$B$3=Q$3,SUMIF('TL11'!$C$10:$C$224,$C379,'TL11'!$J$10:$J$224),0),
IF('TL11'!$B$229=Q$3,SUMIF('TL11'!$C$238:$C$451,$C379,'TL11'!$J$238:$J$451),0),
IF('TL12'!$B$3=Q$3,SUMIF('TL12'!$C$10:$C$224,$C379,'TL12'!$J$10:$J$224),0),
IF('TL12'!$B$229=Q$3,SUMIF('TL12'!$C$238:$C$451,$C379,'TL12'!$J$238:$J$451),0),
IF('TL13'!$B$3=Q$3,SUMIF('TL13'!$C$10:$C$224,$C379,'TL13'!$J$10:$J$224),0),
IF('TL13'!$B$229=Q$3,SUMIF('TL13'!$C$238:$C$451,$C379,'TL13'!$J$238:$J$451),0),
IF('TL14'!$B$3=Q$3,SUMIF('TL14'!$C$10:$C$224,$C379,'TL14'!$J$10:$J$224),0),
IF('TL14'!$B$229=Q$3,SUMIF('TL14'!$C$238:$C$451,$C379,'TL14'!$J$238:$J$451),0),
IF('TL15'!$B$3=Q$3,SUMIF('TL15'!$C$10:$C$224,$C379,'TL15'!$J$10:$J$224),0),
IF('TL15'!$B$229=Q$3,SUMIF('TL15'!$C$238:$C$451,$C379,'TL15'!$J$238:$J$451),0),
IF('TL16'!$B$3=Q$3,SUMIF('TL16'!$C$10:$C$224,$C379,'TL16'!$J$10:$J$224),0),
IF('TL16'!$B$229=Q$3,SUMIF('TL16'!$C$238:$C$451,$C379,'TL16'!$J$238:$J$451),0),
IF('TL17'!$B$3=Q$3,SUMIF('TL17'!$C$10:$C$224,$C379,'TL17'!$J$10:$J$224),0),
IF('TL17'!$B$229=Q$3,SUMIF('TL17'!$C$238:$C$451,$C379,'TL17'!$J$238:$J$451),0),
IF('TL18'!$B$3=Q$3,SUMIF('TL18'!$C$10:$C$224,$C379,'TL18'!$J$10:$J$224),0),
IF('TL18'!$B$229=Q$3,SUMIF('TL18'!$C$238:$C$451,$C379,'TL18'!$J$238:$J$451),0),
IF('TL19'!$B$3=Q$3,SUMIF('TL19'!$C$10:$C$224,$C379,'TL19'!$J$10:$J$224),0),
IF('TL19'!$B$229=Q$3,SUMIF('TL19'!$C$238:$C$451,$C379,'TL19'!$J$238:$J$451),0)
),0)</f>
        <v>0</v>
      </c>
      <c r="R379" s="9">
        <f>IFERROR(
SUM(
SUMIF('TL01'!C:C,C379,'TL01'!J:J),
SUMIF('TL02'!C:C,C379,'TL02'!J:J),
SUMIF('TL03'!C:C,C379,'TL03'!J:J),
SUMIF('TL04'!C:C,C379,'TL04'!J:J),
SUMIF('TL05'!C:C,C379,'TL05'!J:J),
SUMIF('TL06'!C:C,C379,'TL06'!J:J),
SUMIF('TL07'!C:C,C379,'TL07'!J:J),
SUMIF('TL08'!C:C,C379,'TL08'!J:J),
SUMIF('TL09'!C:C,C379,'TL09'!J:J),
SUMIF('TL10'!C:C,C379,'TL10'!J:J),
SUMIF('TL11'!C:C,C379,'TL11'!J:J),
SUMIF('TL12'!C:C,C379,'TL12'!J:J),
SUMIF('TL13'!C:C,C379,'TL13'!J:J),
SUMIF('TL14'!C:C,C379,'TL14'!J:J),
SUMIF('TL15'!C:C,C379,'TL15'!J:J),
SUMIF('TL16'!C:C,C379,'TL16'!J:J),
SUMIF('TL17'!C:C,C379,'TL17'!J:J),
SUMIF('TL18'!C:C,C379,'TL18'!J:J),SUMIF('TL19'!C:C,C379,'TL19'!J:J))
,0)</f>
        <v>0</v>
      </c>
      <c r="S379" s="17">
        <f>IFERROR(__xludf.DUMMYFUNCTION("IFERROR(VLOOKUP(C379,
IMPORTRANGE(""1wULbzX32WdYsx-lj2U3uUNBBe2INVIRDtcK0d-Dvl90"",
""26-27!C:G""),
5,
FALSE),
"""")"),4.46)</f>
        <v>4.46</v>
      </c>
      <c r="T379" s="9"/>
      <c r="U379" s="92">
        <f t="shared" si="2"/>
        <v>0</v>
      </c>
      <c r="V379" s="93">
        <f t="shared" si="3"/>
        <v>0</v>
      </c>
    </row>
    <row r="380" ht="15.75" hidden="1" customHeight="1">
      <c r="A380" s="4" t="s">
        <v>1071</v>
      </c>
      <c r="B380" s="4" t="s">
        <v>4</v>
      </c>
      <c r="C380" s="131" t="s">
        <v>1122</v>
      </c>
      <c r="D380" s="127" t="s">
        <v>1119</v>
      </c>
      <c r="E380" s="6"/>
      <c r="F380" s="4"/>
      <c r="G380" s="90" t="str">
        <f t="shared" si="5"/>
        <v>📄 Ver bula</v>
      </c>
      <c r="H380" s="9"/>
      <c r="I380" s="123"/>
      <c r="J380" s="9">
        <f>IFERROR(SUM(
IF('TL01'!$B$3=J$3,SUMIF('TL01'!$C$10:$C$224,$C380,'TL01'!$J$10:$J$224),0),
IF('TL01'!$B$229=J$3,SUMIF('TL01'!$C$238:$C$451,$C380,'TL01'!$J$238:$J$451),0),
IF('TL02'!$B$3=J$3,SUMIF('TL02'!$C$10:$C$224,$C380,'TL02'!$J$10:$J$224),0),
IF('TL02'!$B$229=J$3,SUMIF('TL02'!$C$238:$C$451,$C380,'TL02'!$J$238:$J$451),0),
IF('TL03'!$B$3=J$3,SUMIF('TL03'!$C$10:$C$224,$C380,'TL03'!$J$10:$J$224),0),
IF('TL03'!$B$229=J$3,SUMIF('TL03'!$C$238:$C$451,$C380,'TL03'!$J$238:$J$451),0),
IF('TL04'!$B$3=J$3,SUMIF('TL04'!$C$10:$C$224,$C380,'TL04'!$J$10:$J$224),0),
IF('TL04'!$B$229=J$3,SUMIF('TL04'!$C$238:$C$451,$C380,'TL04'!$J$238:$J$451),0),
IF('TL05'!$B$3=J$3,SUMIF('TL05'!$C$10:$C$224,$C380,'TL05'!$J$10:$J$224),0),
IF('TL05'!$B$229=J$3,SUMIF('TL05'!$C$238:$C$451,$C380,'TL05'!$J$238:$J$451),0),
IF('TL06'!$B$3=J$3,SUMIF('TL06'!$C$10:$C$224,$C380,'TL06'!$J$10:$J$224),0),
IF('TL06'!$B$229=J$3,SUMIF('TL06'!$C$238:$C$451,$C380,'TL06'!$J$238:$J$451),0),
IF('TL07'!$B$3=J$3,SUMIF('TL07'!$C$10:$C$224,$C380,'TL07'!$J$10:$J$224),0),
IF('TL07'!$B$229=J$3,SUMIF('TL07'!$C$238:$C$451,$C380,'TL07'!$J$238:$J$451),0),
IF('TL08'!$B$3=J$3,SUMIF('TL08'!$C$10:$C$224,$C380,'TL08'!$J$10:$J$224),0),
IF('TL08'!$B$229=J$3,SUMIF('TL08'!$C$238:$C$451,$C380,'TL08'!$J$238:$J$451),0),
IF('TL09'!$B$3=J$3,SUMIF('TL09'!$C$10:$C$224,$C380,'TL09'!$J$10:$J$224),0),
IF('TL09'!$B$229=J$3,SUMIF('TL09'!$C$238:$C$451,$C380,'TL09'!$J$238:$J$451),0),
IF('TL10'!$B$3=J$3,SUMIF('TL10'!$C$10:$C$224,$C380,'TL10'!$J$10:$J$224),0),
IF('TL10'!$B$229=J$3,SUMIF('TL10'!$C$238:$C$451,$C380,'TL10'!$J$238:$J$451),0),
IF('TL11'!$B$3=J$3,SUMIF('TL11'!$C$10:$C$224,$C380,'TL11'!$J$10:$J$224),0),
IF('TL11'!$B$229=J$3,SUMIF('TL11'!$C$238:$C$451,$C380,'TL11'!$J$238:$J$451),0),
IF('TL12'!$B$3=J$3,SUMIF('TL12'!$C$10:$C$224,$C380,'TL12'!$J$10:$J$224),0),
IF('TL12'!$B$229=J$3,SUMIF('TL12'!$C$238:$C$451,$C380,'TL12'!$J$238:$J$451),0),
IF('TL13'!$B$3=J$3,SUMIF('TL13'!$C$10:$C$224,$C380,'TL13'!$J$10:$J$224),0),
IF('TL13'!$B$229=J$3,SUMIF('TL13'!$C$238:$C$451,$C380,'TL13'!$J$238:$J$451),0),
IF('TL14'!$B$3=J$3,SUMIF('TL14'!$C$10:$C$224,$C380,'TL14'!$J$10:$J$224),0),
IF('TL14'!$B$229=J$3,SUMIF('TL14'!$C$238:$C$451,$C380,'TL14'!$J$238:$J$451),0),
IF('TL15'!$B$3=J$3,SUMIF('TL15'!$C$10:$C$224,$C380,'TL15'!$J$10:$J$224),0),
IF('TL15'!$B$229=J$3,SUMIF('TL15'!$C$238:$C$451,$C380,'TL15'!$J$238:$J$451),0),
IF('TL16'!$B$3=J$3,SUMIF('TL16'!$C$10:$C$224,$C380,'TL16'!$J$10:$J$224),0),
IF('TL16'!$B$229=J$3,SUMIF('TL16'!$C$238:$C$451,$C380,'TL16'!$J$238:$J$451),0),
IF('TL17'!$B$3=J$3,SUMIF('TL17'!$C$10:$C$224,$C380,'TL17'!$J$10:$J$224),0),
IF('TL17'!$B$229=J$3,SUMIF('TL17'!$C$238:$C$451,$C380,'TL17'!$J$238:$J$451),0),
IF('TL18'!$B$3=J$3,SUMIF('TL18'!$C$10:$C$224,$C380,'TL18'!$J$10:$J$224),0),
IF('TL18'!$B$229=J$3,SUMIF('TL18'!$C$238:$C$451,$C380,'TL18'!$J$238:$J$451),0),
IF('TL19'!$B$3=J$3,SUMIF('TL19'!$C$10:$C$224,$C380,'TL19'!$J$10:$J$224),0),
IF('TL19'!$B$229=J$3,SUMIF('TL19'!$C$238:$C$451,$C380,'TL19'!$J$238:$J$451),0)
),0)</f>
        <v>0</v>
      </c>
      <c r="K380" s="9">
        <f>IFERROR(SUM(
IF('TL01'!$B$3=K$3,SUMIF('TL01'!$C$10:$C$224,$C380,'TL01'!$J$10:$J$224),0),
IF('TL01'!$B$229=K$3,SUMIF('TL01'!$C$238:$C$451,$C380,'TL01'!$J$238:$J$451),0),
IF('TL02'!$B$3=K$3,SUMIF('TL02'!$C$10:$C$224,$C380,'TL02'!$J$10:$J$224),0),
IF('TL02'!$B$229=K$3,SUMIF('TL02'!$C$238:$C$451,$C380,'TL02'!$J$238:$J$451),0),
IF('TL03'!$B$3=K$3,SUMIF('TL03'!$C$10:$C$224,$C380,'TL03'!$J$10:$J$224),0),
IF('TL03'!$B$229=K$3,SUMIF('TL03'!$C$238:$C$451,$C380,'TL03'!$J$238:$J$451),0),
IF('TL04'!$B$3=K$3,SUMIF('TL04'!$C$10:$C$224,$C380,'TL04'!$J$10:$J$224),0),
IF('TL04'!$B$229=K$3,SUMIF('TL04'!$C$238:$C$451,$C380,'TL04'!$J$238:$J$451),0),
IF('TL05'!$B$3=K$3,SUMIF('TL05'!$C$10:$C$224,$C380,'TL05'!$J$10:$J$224),0),
IF('TL05'!$B$229=K$3,SUMIF('TL05'!$C$238:$C$451,$C380,'TL05'!$J$238:$J$451),0),
IF('TL06'!$B$3=K$3,SUMIF('TL06'!$C$10:$C$224,$C380,'TL06'!$J$10:$J$224),0),
IF('TL06'!$B$229=K$3,SUMIF('TL06'!$C$238:$C$451,$C380,'TL06'!$J$238:$J$451),0),
IF('TL07'!$B$3=K$3,SUMIF('TL07'!$C$10:$C$224,$C380,'TL07'!$J$10:$J$224),0),
IF('TL07'!$B$229=K$3,SUMIF('TL07'!$C$238:$C$451,$C380,'TL07'!$J$238:$J$451),0),
IF('TL08'!$B$3=K$3,SUMIF('TL08'!$C$10:$C$224,$C380,'TL08'!$J$10:$J$224),0),
IF('TL08'!$B$229=K$3,SUMIF('TL08'!$C$238:$C$451,$C380,'TL08'!$J$238:$J$451),0),
IF('TL09'!$B$3=K$3,SUMIF('TL09'!$C$10:$C$224,$C380,'TL09'!$J$10:$J$224),0),
IF('TL09'!$B$229=K$3,SUMIF('TL09'!$C$238:$C$451,$C380,'TL09'!$J$238:$J$451),0),
IF('TL10'!$B$3=K$3,SUMIF('TL10'!$C$10:$C$224,$C380,'TL10'!$J$10:$J$224),0),
IF('TL10'!$B$229=K$3,SUMIF('TL10'!$C$238:$C$451,$C380,'TL10'!$J$238:$J$451),0),
IF('TL11'!$B$3=K$3,SUMIF('TL11'!$C$10:$C$224,$C380,'TL11'!$J$10:$J$224),0),
IF('TL11'!$B$229=K$3,SUMIF('TL11'!$C$238:$C$451,$C380,'TL11'!$J$238:$J$451),0),
IF('TL12'!$B$3=K$3,SUMIF('TL12'!$C$10:$C$224,$C380,'TL12'!$J$10:$J$224),0),
IF('TL12'!$B$229=K$3,SUMIF('TL12'!$C$238:$C$451,$C380,'TL12'!$J$238:$J$451),0),
IF('TL13'!$B$3=K$3,SUMIF('TL13'!$C$10:$C$224,$C380,'TL13'!$J$10:$J$224),0),
IF('TL13'!$B$229=K$3,SUMIF('TL13'!$C$238:$C$451,$C380,'TL13'!$J$238:$J$451),0),
IF('TL14'!$B$3=K$3,SUMIF('TL14'!$C$10:$C$224,$C380,'TL14'!$J$10:$J$224),0),
IF('TL14'!$B$229=K$3,SUMIF('TL14'!$C$238:$C$451,$C380,'TL14'!$J$238:$J$451),0),
IF('TL15'!$B$3=K$3,SUMIF('TL15'!$C$10:$C$224,$C380,'TL15'!$J$10:$J$224),0),
IF('TL15'!$B$229=K$3,SUMIF('TL15'!$C$238:$C$451,$C380,'TL15'!$J$238:$J$451),0),
IF('TL16'!$B$3=K$3,SUMIF('TL16'!$C$10:$C$224,$C380,'TL16'!$J$10:$J$224),0),
IF('TL16'!$B$229=K$3,SUMIF('TL16'!$C$238:$C$451,$C380,'TL16'!$J$238:$J$451),0),
IF('TL17'!$B$3=K$3,SUMIF('TL17'!$C$10:$C$224,$C380,'TL17'!$J$10:$J$224),0),
IF('TL17'!$B$229=K$3,SUMIF('TL17'!$C$238:$C$451,$C380,'TL17'!$J$238:$J$451),0),
IF('TL18'!$B$3=K$3,SUMIF('TL18'!$C$10:$C$224,$C380,'TL18'!$J$10:$J$224),0),
IF('TL18'!$B$229=K$3,SUMIF('TL18'!$C$238:$C$451,$C380,'TL18'!$J$238:$J$451),0),
IF('TL19'!$B$3=K$3,SUMIF('TL19'!$C$10:$C$224,$C380,'TL19'!$J$10:$J$224),0),
IF('TL19'!$B$229=K$3,SUMIF('TL19'!$C$238:$C$451,$C380,'TL19'!$J$238:$J$451),0)
),0)</f>
        <v>0</v>
      </c>
      <c r="L380" s="9">
        <f>IFERROR(SUM(
IF('TL01'!$B$3=L$3,SUMIF('TL01'!$C$10:$C$224,$C380,'TL01'!$J$10:$J$224),0),
IF('TL01'!$B$229=L$3,SUMIF('TL01'!$C$238:$C$451,$C380,'TL01'!$J$238:$J$451),0),
IF('TL02'!$B$3=L$3,SUMIF('TL02'!$C$10:$C$224,$C380,'TL02'!$J$10:$J$224),0),
IF('TL02'!$B$229=L$3,SUMIF('TL02'!$C$238:$C$451,$C380,'TL02'!$J$238:$J$451),0),
IF('TL03'!$B$3=L$3,SUMIF('TL03'!$C$10:$C$224,$C380,'TL03'!$J$10:$J$224),0),
IF('TL03'!$B$229=L$3,SUMIF('TL03'!$C$238:$C$451,$C380,'TL03'!$J$238:$J$451),0),
IF('TL04'!$B$3=L$3,SUMIF('TL04'!$C$10:$C$224,$C380,'TL04'!$J$10:$J$224),0),
IF('TL04'!$B$229=L$3,SUMIF('TL04'!$C$238:$C$451,$C380,'TL04'!$J$238:$J$451),0),
IF('TL05'!$B$3=L$3,SUMIF('TL05'!$C$10:$C$224,$C380,'TL05'!$J$10:$J$224),0),
IF('TL05'!$B$229=L$3,SUMIF('TL05'!$C$238:$C$451,$C380,'TL05'!$J$238:$J$451),0),
IF('TL06'!$B$3=L$3,SUMIF('TL06'!$C$10:$C$224,$C380,'TL06'!$J$10:$J$224),0),
IF('TL06'!$B$229=L$3,SUMIF('TL06'!$C$238:$C$451,$C380,'TL06'!$J$238:$J$451),0),
IF('TL07'!$B$3=L$3,SUMIF('TL07'!$C$10:$C$224,$C380,'TL07'!$J$10:$J$224),0),
IF('TL07'!$B$229=L$3,SUMIF('TL07'!$C$238:$C$451,$C380,'TL07'!$J$238:$J$451),0),
IF('TL08'!$B$3=L$3,SUMIF('TL08'!$C$10:$C$224,$C380,'TL08'!$J$10:$J$224),0),
IF('TL08'!$B$229=L$3,SUMIF('TL08'!$C$238:$C$451,$C380,'TL08'!$J$238:$J$451),0),
IF('TL09'!$B$3=L$3,SUMIF('TL09'!$C$10:$C$224,$C380,'TL09'!$J$10:$J$224),0),
IF('TL09'!$B$229=L$3,SUMIF('TL09'!$C$238:$C$451,$C380,'TL09'!$J$238:$J$451),0),
IF('TL10'!$B$3=L$3,SUMIF('TL10'!$C$10:$C$224,$C380,'TL10'!$J$10:$J$224),0),
IF('TL10'!$B$229=L$3,SUMIF('TL10'!$C$238:$C$451,$C380,'TL10'!$J$238:$J$451),0),
IF('TL11'!$B$3=L$3,SUMIF('TL11'!$C$10:$C$224,$C380,'TL11'!$J$10:$J$224),0),
IF('TL11'!$B$229=L$3,SUMIF('TL11'!$C$238:$C$451,$C380,'TL11'!$J$238:$J$451),0),
IF('TL12'!$B$3=L$3,SUMIF('TL12'!$C$10:$C$224,$C380,'TL12'!$J$10:$J$224),0),
IF('TL12'!$B$229=L$3,SUMIF('TL12'!$C$238:$C$451,$C380,'TL12'!$J$238:$J$451),0),
IF('TL13'!$B$3=L$3,SUMIF('TL13'!$C$10:$C$224,$C380,'TL13'!$J$10:$J$224),0),
IF('TL13'!$B$229=L$3,SUMIF('TL13'!$C$238:$C$451,$C380,'TL13'!$J$238:$J$451),0),
IF('TL14'!$B$3=L$3,SUMIF('TL14'!$C$10:$C$224,$C380,'TL14'!$J$10:$J$224),0),
IF('TL14'!$B$229=L$3,SUMIF('TL14'!$C$238:$C$451,$C380,'TL14'!$J$238:$J$451),0),
IF('TL15'!$B$3=L$3,SUMIF('TL15'!$C$10:$C$224,$C380,'TL15'!$J$10:$J$224),0),
IF('TL15'!$B$229=L$3,SUMIF('TL15'!$C$238:$C$451,$C380,'TL15'!$J$238:$J$451),0),
IF('TL16'!$B$3=L$3,SUMIF('TL16'!$C$10:$C$224,$C380,'TL16'!$J$10:$J$224),0),
IF('TL16'!$B$229=L$3,SUMIF('TL16'!$C$238:$C$451,$C380,'TL16'!$J$238:$J$451),0),
IF('TL17'!$B$3=L$3,SUMIF('TL17'!$C$10:$C$224,$C380,'TL17'!$J$10:$J$224),0),
IF('TL17'!$B$229=L$3,SUMIF('TL17'!$C$238:$C$451,$C380,'TL17'!$J$238:$J$451),0),
IF('TL18'!$B$3=L$3,SUMIF('TL18'!$C$10:$C$224,$C380,'TL18'!$J$10:$J$224),0),
IF('TL18'!$B$229=L$3,SUMIF('TL18'!$C$238:$C$451,$C380,'TL18'!$J$238:$J$451),0),
IF('TL19'!$B$3=L$3,SUMIF('TL19'!$C$10:$C$224,$C380,'TL19'!$J$10:$J$224),0),
IF('TL19'!$B$229=L$3,SUMIF('TL19'!$C$238:$C$451,$C380,'TL19'!$J$238:$J$451),0)
),0)</f>
        <v>0</v>
      </c>
      <c r="M380" s="9">
        <f>IFERROR(SUM(
IF('TL01'!$B$3=M$3,SUMIF('TL01'!$C$10:$C$224,$C380,'TL01'!$J$10:$J$224),0),
IF('TL01'!$B$229=M$3,SUMIF('TL01'!$C$238:$C$451,$C380,'TL01'!$J$238:$J$451),0),
IF('TL02'!$B$3=M$3,SUMIF('TL02'!$C$10:$C$224,$C380,'TL02'!$J$10:$J$224),0),
IF('TL02'!$B$229=M$3,SUMIF('TL02'!$C$238:$C$451,$C380,'TL02'!$J$238:$J$451),0),
IF('TL03'!$B$3=M$3,SUMIF('TL03'!$C$10:$C$224,$C380,'TL03'!$J$10:$J$224),0),
IF('TL03'!$B$229=M$3,SUMIF('TL03'!$C$238:$C$451,$C380,'TL03'!$J$238:$J$451),0),
IF('TL04'!$B$3=M$3,SUMIF('TL04'!$C$10:$C$224,$C380,'TL04'!$J$10:$J$224),0),
IF('TL04'!$B$229=M$3,SUMIF('TL04'!$C$238:$C$451,$C380,'TL04'!$J$238:$J$451),0),
IF('TL05'!$B$3=M$3,SUMIF('TL05'!$C$10:$C$224,$C380,'TL05'!$J$10:$J$224),0),
IF('TL05'!$B$229=M$3,SUMIF('TL05'!$C$238:$C$451,$C380,'TL05'!$J$238:$J$451),0),
IF('TL06'!$B$3=M$3,SUMIF('TL06'!$C$10:$C$224,$C380,'TL06'!$J$10:$J$224),0),
IF('TL06'!$B$229=M$3,SUMIF('TL06'!$C$238:$C$451,$C380,'TL06'!$J$238:$J$451),0),
IF('TL07'!$B$3=M$3,SUMIF('TL07'!$C$10:$C$224,$C380,'TL07'!$J$10:$J$224),0),
IF('TL07'!$B$229=M$3,SUMIF('TL07'!$C$238:$C$451,$C380,'TL07'!$J$238:$J$451),0),
IF('TL08'!$B$3=M$3,SUMIF('TL08'!$C$10:$C$224,$C380,'TL08'!$J$10:$J$224),0),
IF('TL08'!$B$229=M$3,SUMIF('TL08'!$C$238:$C$451,$C380,'TL08'!$J$238:$J$451),0),
IF('TL09'!$B$3=M$3,SUMIF('TL09'!$C$10:$C$224,$C380,'TL09'!$J$10:$J$224),0),
IF('TL09'!$B$229=M$3,SUMIF('TL09'!$C$238:$C$451,$C380,'TL09'!$J$238:$J$451),0),
IF('TL10'!$B$3=M$3,SUMIF('TL10'!$C$10:$C$224,$C380,'TL10'!$J$10:$J$224),0),
IF('TL10'!$B$229=M$3,SUMIF('TL10'!$C$238:$C$451,$C380,'TL10'!$J$238:$J$451),0),
IF('TL11'!$B$3=M$3,SUMIF('TL11'!$C$10:$C$224,$C380,'TL11'!$J$10:$J$224),0),
IF('TL11'!$B$229=M$3,SUMIF('TL11'!$C$238:$C$451,$C380,'TL11'!$J$238:$J$451),0),
IF('TL12'!$B$3=M$3,SUMIF('TL12'!$C$10:$C$224,$C380,'TL12'!$J$10:$J$224),0),
IF('TL12'!$B$229=M$3,SUMIF('TL12'!$C$238:$C$451,$C380,'TL12'!$J$238:$J$451),0),
IF('TL13'!$B$3=M$3,SUMIF('TL13'!$C$10:$C$224,$C380,'TL13'!$J$10:$J$224),0),
IF('TL13'!$B$229=M$3,SUMIF('TL13'!$C$238:$C$451,$C380,'TL13'!$J$238:$J$451),0),
IF('TL14'!$B$3=M$3,SUMIF('TL14'!$C$10:$C$224,$C380,'TL14'!$J$10:$J$224),0),
IF('TL14'!$B$229=M$3,SUMIF('TL14'!$C$238:$C$451,$C380,'TL14'!$J$238:$J$451),0),
IF('TL15'!$B$3=M$3,SUMIF('TL15'!$C$10:$C$224,$C380,'TL15'!$J$10:$J$224),0),
IF('TL15'!$B$229=M$3,SUMIF('TL15'!$C$238:$C$451,$C380,'TL15'!$J$238:$J$451),0),
IF('TL16'!$B$3=M$3,SUMIF('TL16'!$C$10:$C$224,$C380,'TL16'!$J$10:$J$224),0),
IF('TL16'!$B$229=M$3,SUMIF('TL16'!$C$238:$C$451,$C380,'TL16'!$J$238:$J$451),0),
IF('TL17'!$B$3=M$3,SUMIF('TL17'!$C$10:$C$224,$C380,'TL17'!$J$10:$J$224),0),
IF('TL17'!$B$229=M$3,SUMIF('TL17'!$C$238:$C$451,$C380,'TL17'!$J$238:$J$451),0),
IF('TL18'!$B$3=M$3,SUMIF('TL18'!$C$10:$C$224,$C380,'TL18'!$J$10:$J$224),0),
IF('TL18'!$B$229=M$3,SUMIF('TL18'!$C$238:$C$451,$C380,'TL18'!$J$238:$J$451),0),
IF('TL19'!$B$3=M$3,SUMIF('TL19'!$C$10:$C$224,$C380,'TL19'!$J$10:$J$224),0),
IF('TL19'!$B$229=M$3,SUMIF('TL19'!$C$238:$C$451,$C380,'TL19'!$J$238:$J$451),0)
),0)</f>
        <v>0</v>
      </c>
      <c r="N380" s="9">
        <f>IFERROR(SUM(
IF('TL01'!$B$3=N$3,SUMIF('TL01'!$C$10:$C$224,$C380,'TL01'!$J$10:$J$224),0),
IF('TL01'!$B$229=N$3,SUMIF('TL01'!$C$238:$C$451,$C380,'TL01'!$J$238:$J$451),0),
IF('TL02'!$B$3=N$3,SUMIF('TL02'!$C$10:$C$224,$C380,'TL02'!$J$10:$J$224),0),
IF('TL02'!$B$229=N$3,SUMIF('TL02'!$C$238:$C$451,$C380,'TL02'!$J$238:$J$451),0),
IF('TL03'!$B$3=N$3,SUMIF('TL03'!$C$10:$C$224,$C380,'TL03'!$J$10:$J$224),0),
IF('TL03'!$B$229=N$3,SUMIF('TL03'!$C$238:$C$451,$C380,'TL03'!$J$238:$J$451),0),
IF('TL04'!$B$3=N$3,SUMIF('TL04'!$C$10:$C$224,$C380,'TL04'!$J$10:$J$224),0),
IF('TL04'!$B$229=N$3,SUMIF('TL04'!$C$238:$C$451,$C380,'TL04'!$J$238:$J$451),0),
IF('TL05'!$B$3=N$3,SUMIF('TL05'!$C$10:$C$224,$C380,'TL05'!$J$10:$J$224),0),
IF('TL05'!$B$229=N$3,SUMIF('TL05'!$C$238:$C$451,$C380,'TL05'!$J$238:$J$451),0),
IF('TL06'!$B$3=N$3,SUMIF('TL06'!$C$10:$C$224,$C380,'TL06'!$J$10:$J$224),0),
IF('TL06'!$B$229=N$3,SUMIF('TL06'!$C$238:$C$451,$C380,'TL06'!$J$238:$J$451),0),
IF('TL07'!$B$3=N$3,SUMIF('TL07'!$C$10:$C$224,$C380,'TL07'!$J$10:$J$224),0),
IF('TL07'!$B$229=N$3,SUMIF('TL07'!$C$238:$C$451,$C380,'TL07'!$J$238:$J$451),0),
IF('TL08'!$B$3=N$3,SUMIF('TL08'!$C$10:$C$224,$C380,'TL08'!$J$10:$J$224),0),
IF('TL08'!$B$229=N$3,SUMIF('TL08'!$C$238:$C$451,$C380,'TL08'!$J$238:$J$451),0),
IF('TL09'!$B$3=N$3,SUMIF('TL09'!$C$10:$C$224,$C380,'TL09'!$J$10:$J$224),0),
IF('TL09'!$B$229=N$3,SUMIF('TL09'!$C$238:$C$451,$C380,'TL09'!$J$238:$J$451),0),
IF('TL10'!$B$3=N$3,SUMIF('TL10'!$C$10:$C$224,$C380,'TL10'!$J$10:$J$224),0),
IF('TL10'!$B$229=N$3,SUMIF('TL10'!$C$238:$C$451,$C380,'TL10'!$J$238:$J$451),0),
IF('TL11'!$B$3=N$3,SUMIF('TL11'!$C$10:$C$224,$C380,'TL11'!$J$10:$J$224),0),
IF('TL11'!$B$229=N$3,SUMIF('TL11'!$C$238:$C$451,$C380,'TL11'!$J$238:$J$451),0),
IF('TL12'!$B$3=N$3,SUMIF('TL12'!$C$10:$C$224,$C380,'TL12'!$J$10:$J$224),0),
IF('TL12'!$B$229=N$3,SUMIF('TL12'!$C$238:$C$451,$C380,'TL12'!$J$238:$J$451),0),
IF('TL13'!$B$3=N$3,SUMIF('TL13'!$C$10:$C$224,$C380,'TL13'!$J$10:$J$224),0),
IF('TL13'!$B$229=N$3,SUMIF('TL13'!$C$238:$C$451,$C380,'TL13'!$J$238:$J$451),0),
IF('TL14'!$B$3=N$3,SUMIF('TL14'!$C$10:$C$224,$C380,'TL14'!$J$10:$J$224),0),
IF('TL14'!$B$229=N$3,SUMIF('TL14'!$C$238:$C$451,$C380,'TL14'!$J$238:$J$451),0),
IF('TL15'!$B$3=N$3,SUMIF('TL15'!$C$10:$C$224,$C380,'TL15'!$J$10:$J$224),0),
IF('TL15'!$B$229=N$3,SUMIF('TL15'!$C$238:$C$451,$C380,'TL15'!$J$238:$J$451),0),
IF('TL16'!$B$3=N$3,SUMIF('TL16'!$C$10:$C$224,$C380,'TL16'!$J$10:$J$224),0),
IF('TL16'!$B$229=N$3,SUMIF('TL16'!$C$238:$C$451,$C380,'TL16'!$J$238:$J$451),0),
IF('TL17'!$B$3=N$3,SUMIF('TL17'!$C$10:$C$224,$C380,'TL17'!$J$10:$J$224),0),
IF('TL17'!$B$229=N$3,SUMIF('TL17'!$C$238:$C$451,$C380,'TL17'!$J$238:$J$451),0),
IF('TL18'!$B$3=N$3,SUMIF('TL18'!$C$10:$C$224,$C380,'TL18'!$J$10:$J$224),0),
IF('TL18'!$B$229=N$3,SUMIF('TL18'!$C$238:$C$451,$C380,'TL18'!$J$238:$J$451),0),
IF('TL19'!$B$3=N$3,SUMIF('TL19'!$C$10:$C$224,$C380,'TL19'!$J$10:$J$224),0),
IF('TL19'!$B$229=N$3,SUMIF('TL19'!$C$238:$C$451,$C380,'TL19'!$J$238:$J$451),0)
),0)</f>
        <v>0</v>
      </c>
      <c r="O380" s="9">
        <f>IFERROR(SUM(
IF('TL01'!$B$3=O$3,SUMIF('TL01'!$C$10:$C$224,$C380,'TL01'!$J$10:$J$224),0),
IF('TL01'!$B$229=O$3,SUMIF('TL01'!$C$238:$C$451,$C380,'TL01'!$J$238:$J$451),0),
IF('TL02'!$B$3=O$3,SUMIF('TL02'!$C$10:$C$224,$C380,'TL02'!$J$10:$J$224),0),
IF('TL02'!$B$229=O$3,SUMIF('TL02'!$C$238:$C$451,$C380,'TL02'!$J$238:$J$451),0),
IF('TL03'!$B$3=O$3,SUMIF('TL03'!$C$10:$C$224,$C380,'TL03'!$J$10:$J$224),0),
IF('TL03'!$B$229=O$3,SUMIF('TL03'!$C$238:$C$451,$C380,'TL03'!$J$238:$J$451),0),
IF('TL04'!$B$3=O$3,SUMIF('TL04'!$C$10:$C$224,$C380,'TL04'!$J$10:$J$224),0),
IF('TL04'!$B$229=O$3,SUMIF('TL04'!$C$238:$C$451,$C380,'TL04'!$J$238:$J$451),0),
IF('TL05'!$B$3=O$3,SUMIF('TL05'!$C$10:$C$224,$C380,'TL05'!$J$10:$J$224),0),
IF('TL05'!$B$229=O$3,SUMIF('TL05'!$C$238:$C$451,$C380,'TL05'!$J$238:$J$451),0),
IF('TL06'!$B$3=O$3,SUMIF('TL06'!$C$10:$C$224,$C380,'TL06'!$J$10:$J$224),0),
IF('TL06'!$B$229=O$3,SUMIF('TL06'!$C$238:$C$451,$C380,'TL06'!$J$238:$J$451),0),
IF('TL07'!$B$3=O$3,SUMIF('TL07'!$C$10:$C$224,$C380,'TL07'!$J$10:$J$224),0),
IF('TL07'!$B$229=O$3,SUMIF('TL07'!$C$238:$C$451,$C380,'TL07'!$J$238:$J$451),0),
IF('TL08'!$B$3=O$3,SUMIF('TL08'!$C$10:$C$224,$C380,'TL08'!$J$10:$J$224),0),
IF('TL08'!$B$229=O$3,SUMIF('TL08'!$C$238:$C$451,$C380,'TL08'!$J$238:$J$451),0),
IF('TL09'!$B$3=O$3,SUMIF('TL09'!$C$10:$C$224,$C380,'TL09'!$J$10:$J$224),0),
IF('TL09'!$B$229=O$3,SUMIF('TL09'!$C$238:$C$451,$C380,'TL09'!$J$238:$J$451),0),
IF('TL10'!$B$3=O$3,SUMIF('TL10'!$C$10:$C$224,$C380,'TL10'!$J$10:$J$224),0),
IF('TL10'!$B$229=O$3,SUMIF('TL10'!$C$238:$C$451,$C380,'TL10'!$J$238:$J$451),0),
IF('TL11'!$B$3=O$3,SUMIF('TL11'!$C$10:$C$224,$C380,'TL11'!$J$10:$J$224),0),
IF('TL11'!$B$229=O$3,SUMIF('TL11'!$C$238:$C$451,$C380,'TL11'!$J$238:$J$451),0),
IF('TL12'!$B$3=O$3,SUMIF('TL12'!$C$10:$C$224,$C380,'TL12'!$J$10:$J$224),0),
IF('TL12'!$B$229=O$3,SUMIF('TL12'!$C$238:$C$451,$C380,'TL12'!$J$238:$J$451),0),
IF('TL13'!$B$3=O$3,SUMIF('TL13'!$C$10:$C$224,$C380,'TL13'!$J$10:$J$224),0),
IF('TL13'!$B$229=O$3,SUMIF('TL13'!$C$238:$C$451,$C380,'TL13'!$J$238:$J$451),0),
IF('TL14'!$B$3=O$3,SUMIF('TL14'!$C$10:$C$224,$C380,'TL14'!$J$10:$J$224),0),
IF('TL14'!$B$229=O$3,SUMIF('TL14'!$C$238:$C$451,$C380,'TL14'!$J$238:$J$451),0),
IF('TL15'!$B$3=O$3,SUMIF('TL15'!$C$10:$C$224,$C380,'TL15'!$J$10:$J$224),0),
IF('TL15'!$B$229=O$3,SUMIF('TL15'!$C$238:$C$451,$C380,'TL15'!$J$238:$J$451),0),
IF('TL16'!$B$3=O$3,SUMIF('TL16'!$C$10:$C$224,$C380,'TL16'!$J$10:$J$224),0),
IF('TL16'!$B$229=O$3,SUMIF('TL16'!$C$238:$C$451,$C380,'TL16'!$J$238:$J$451),0),
IF('TL17'!$B$3=O$3,SUMIF('TL17'!$C$10:$C$224,$C380,'TL17'!$J$10:$J$224),0),
IF('TL17'!$B$229=O$3,SUMIF('TL17'!$C$238:$C$451,$C380,'TL17'!$J$238:$J$451),0),
IF('TL18'!$B$3=O$3,SUMIF('TL18'!$C$10:$C$224,$C380,'TL18'!$J$10:$J$224),0),
IF('TL18'!$B$229=O$3,SUMIF('TL18'!$C$238:$C$451,$C380,'TL18'!$J$238:$J$451),0),
IF('TL19'!$B$3=O$3,SUMIF('TL19'!$C$10:$C$224,$C380,'TL19'!$J$10:$J$224),0),
IF('TL19'!$B$229=O$3,SUMIF('TL19'!$C$238:$C$451,$C380,'TL19'!$J$238:$J$451),0)
),0)</f>
        <v>0</v>
      </c>
      <c r="P380" s="9">
        <f>IFERROR(SUM(
IF('TL01'!$B$3=P$3,SUMIF('TL01'!$C$10:$C$224,$C380,'TL01'!$J$10:$J$224),0),
IF('TL01'!$B$229=P$3,SUMIF('TL01'!$C$238:$C$451,$C380,'TL01'!$J$238:$J$451),0),
IF('TL02'!$B$3=P$3,SUMIF('TL02'!$C$10:$C$224,$C380,'TL02'!$J$10:$J$224),0),
IF('TL02'!$B$229=P$3,SUMIF('TL02'!$C$238:$C$451,$C380,'TL02'!$J$238:$J$451),0),
IF('TL03'!$B$3=P$3,SUMIF('TL03'!$C$10:$C$224,$C380,'TL03'!$J$10:$J$224),0),
IF('TL03'!$B$229=P$3,SUMIF('TL03'!$C$238:$C$451,$C380,'TL03'!$J$238:$J$451),0),
IF('TL04'!$B$3=P$3,SUMIF('TL04'!$C$10:$C$224,$C380,'TL04'!$J$10:$J$224),0),
IF('TL04'!$B$229=P$3,SUMIF('TL04'!$C$238:$C$451,$C380,'TL04'!$J$238:$J$451),0),
IF('TL05'!$B$3=P$3,SUMIF('TL05'!$C$10:$C$224,$C380,'TL05'!$J$10:$J$224),0),
IF('TL05'!$B$229=P$3,SUMIF('TL05'!$C$238:$C$451,$C380,'TL05'!$J$238:$J$451),0),
IF('TL06'!$B$3=P$3,SUMIF('TL06'!$C$10:$C$224,$C380,'TL06'!$J$10:$J$224),0),
IF('TL06'!$B$229=P$3,SUMIF('TL06'!$C$238:$C$451,$C380,'TL06'!$J$238:$J$451),0),
IF('TL07'!$B$3=P$3,SUMIF('TL07'!$C$10:$C$224,$C380,'TL07'!$J$10:$J$224),0),
IF('TL07'!$B$229=P$3,SUMIF('TL07'!$C$238:$C$451,$C380,'TL07'!$J$238:$J$451),0),
IF('TL08'!$B$3=P$3,SUMIF('TL08'!$C$10:$C$224,$C380,'TL08'!$J$10:$J$224),0),
IF('TL08'!$B$229=P$3,SUMIF('TL08'!$C$238:$C$451,$C380,'TL08'!$J$238:$J$451),0),
IF('TL09'!$B$3=P$3,SUMIF('TL09'!$C$10:$C$224,$C380,'TL09'!$J$10:$J$224),0),
IF('TL09'!$B$229=P$3,SUMIF('TL09'!$C$238:$C$451,$C380,'TL09'!$J$238:$J$451),0),
IF('TL10'!$B$3=P$3,SUMIF('TL10'!$C$10:$C$224,$C380,'TL10'!$J$10:$J$224),0),
IF('TL10'!$B$229=P$3,SUMIF('TL10'!$C$238:$C$451,$C380,'TL10'!$J$238:$J$451),0),
IF('TL11'!$B$3=P$3,SUMIF('TL11'!$C$10:$C$224,$C380,'TL11'!$J$10:$J$224),0),
IF('TL11'!$B$229=P$3,SUMIF('TL11'!$C$238:$C$451,$C380,'TL11'!$J$238:$J$451),0),
IF('TL12'!$B$3=P$3,SUMIF('TL12'!$C$10:$C$224,$C380,'TL12'!$J$10:$J$224),0),
IF('TL12'!$B$229=P$3,SUMIF('TL12'!$C$238:$C$451,$C380,'TL12'!$J$238:$J$451),0),
IF('TL13'!$B$3=P$3,SUMIF('TL13'!$C$10:$C$224,$C380,'TL13'!$J$10:$J$224),0),
IF('TL13'!$B$229=P$3,SUMIF('TL13'!$C$238:$C$451,$C380,'TL13'!$J$238:$J$451),0),
IF('TL14'!$B$3=P$3,SUMIF('TL14'!$C$10:$C$224,$C380,'TL14'!$J$10:$J$224),0),
IF('TL14'!$B$229=P$3,SUMIF('TL14'!$C$238:$C$451,$C380,'TL14'!$J$238:$J$451),0),
IF('TL15'!$B$3=P$3,SUMIF('TL15'!$C$10:$C$224,$C380,'TL15'!$J$10:$J$224),0),
IF('TL15'!$B$229=P$3,SUMIF('TL15'!$C$238:$C$451,$C380,'TL15'!$J$238:$J$451),0),
IF('TL16'!$B$3=P$3,SUMIF('TL16'!$C$10:$C$224,$C380,'TL16'!$J$10:$J$224),0),
IF('TL16'!$B$229=P$3,SUMIF('TL16'!$C$238:$C$451,$C380,'TL16'!$J$238:$J$451),0),
IF('TL17'!$B$3=P$3,SUMIF('TL17'!$C$10:$C$224,$C380,'TL17'!$J$10:$J$224),0),
IF('TL17'!$B$229=P$3,SUMIF('TL17'!$C$238:$C$451,$C380,'TL17'!$J$238:$J$451),0),
IF('TL18'!$B$3=P$3,SUMIF('TL18'!$C$10:$C$224,$C380,'TL18'!$J$10:$J$224),0),
IF('TL18'!$B$229=P$3,SUMIF('TL18'!$C$238:$C$451,$C380,'TL18'!$J$238:$J$451),0),
IF('TL19'!$B$3=P$3,SUMIF('TL19'!$C$10:$C$224,$C380,'TL19'!$J$10:$J$224),0),
IF('TL19'!$B$229=P$3,SUMIF('TL19'!$C$238:$C$451,$C380,'TL19'!$J$238:$J$451),0)
),0)</f>
        <v>0</v>
      </c>
      <c r="Q380" s="9">
        <f>IFERROR(SUM(
IF('TL01'!$B$3=Q$3,SUMIF('TL01'!$C$10:$C$224,$C380,'TL01'!$J$10:$J$224),0),
IF('TL01'!$B$229=Q$3,SUMIF('TL01'!$C$238:$C$451,$C380,'TL01'!$J$238:$J$451),0),
IF('TL02'!$B$3=Q$3,SUMIF('TL02'!$C$10:$C$224,$C380,'TL02'!$J$10:$J$224),0),
IF('TL02'!$B$229=Q$3,SUMIF('TL02'!$C$238:$C$451,$C380,'TL02'!$J$238:$J$451),0),
IF('TL03'!$B$3=Q$3,SUMIF('TL03'!$C$10:$C$224,$C380,'TL03'!$J$10:$J$224),0),
IF('TL03'!$B$229=Q$3,SUMIF('TL03'!$C$238:$C$451,$C380,'TL03'!$J$238:$J$451),0),
IF('TL04'!$B$3=Q$3,SUMIF('TL04'!$C$10:$C$224,$C380,'TL04'!$J$10:$J$224),0),
IF('TL04'!$B$229=Q$3,SUMIF('TL04'!$C$238:$C$451,$C380,'TL04'!$J$238:$J$451),0),
IF('TL05'!$B$3=Q$3,SUMIF('TL05'!$C$10:$C$224,$C380,'TL05'!$J$10:$J$224),0),
IF('TL05'!$B$229=Q$3,SUMIF('TL05'!$C$238:$C$451,$C380,'TL05'!$J$238:$J$451),0),
IF('TL06'!$B$3=Q$3,SUMIF('TL06'!$C$10:$C$224,$C380,'TL06'!$J$10:$J$224),0),
IF('TL06'!$B$229=Q$3,SUMIF('TL06'!$C$238:$C$451,$C380,'TL06'!$J$238:$J$451),0),
IF('TL07'!$B$3=Q$3,SUMIF('TL07'!$C$10:$C$224,$C380,'TL07'!$J$10:$J$224),0),
IF('TL07'!$B$229=Q$3,SUMIF('TL07'!$C$238:$C$451,$C380,'TL07'!$J$238:$J$451),0),
IF('TL08'!$B$3=Q$3,SUMIF('TL08'!$C$10:$C$224,$C380,'TL08'!$J$10:$J$224),0),
IF('TL08'!$B$229=Q$3,SUMIF('TL08'!$C$238:$C$451,$C380,'TL08'!$J$238:$J$451),0),
IF('TL09'!$B$3=Q$3,SUMIF('TL09'!$C$10:$C$224,$C380,'TL09'!$J$10:$J$224),0),
IF('TL09'!$B$229=Q$3,SUMIF('TL09'!$C$238:$C$451,$C380,'TL09'!$J$238:$J$451),0),
IF('TL10'!$B$3=Q$3,SUMIF('TL10'!$C$10:$C$224,$C380,'TL10'!$J$10:$J$224),0),
IF('TL10'!$B$229=Q$3,SUMIF('TL10'!$C$238:$C$451,$C380,'TL10'!$J$238:$J$451),0),
IF('TL11'!$B$3=Q$3,SUMIF('TL11'!$C$10:$C$224,$C380,'TL11'!$J$10:$J$224),0),
IF('TL11'!$B$229=Q$3,SUMIF('TL11'!$C$238:$C$451,$C380,'TL11'!$J$238:$J$451),0),
IF('TL12'!$B$3=Q$3,SUMIF('TL12'!$C$10:$C$224,$C380,'TL12'!$J$10:$J$224),0),
IF('TL12'!$B$229=Q$3,SUMIF('TL12'!$C$238:$C$451,$C380,'TL12'!$J$238:$J$451),0),
IF('TL13'!$B$3=Q$3,SUMIF('TL13'!$C$10:$C$224,$C380,'TL13'!$J$10:$J$224),0),
IF('TL13'!$B$229=Q$3,SUMIF('TL13'!$C$238:$C$451,$C380,'TL13'!$J$238:$J$451),0),
IF('TL14'!$B$3=Q$3,SUMIF('TL14'!$C$10:$C$224,$C380,'TL14'!$J$10:$J$224),0),
IF('TL14'!$B$229=Q$3,SUMIF('TL14'!$C$238:$C$451,$C380,'TL14'!$J$238:$J$451),0),
IF('TL15'!$B$3=Q$3,SUMIF('TL15'!$C$10:$C$224,$C380,'TL15'!$J$10:$J$224),0),
IF('TL15'!$B$229=Q$3,SUMIF('TL15'!$C$238:$C$451,$C380,'TL15'!$J$238:$J$451),0),
IF('TL16'!$B$3=Q$3,SUMIF('TL16'!$C$10:$C$224,$C380,'TL16'!$J$10:$J$224),0),
IF('TL16'!$B$229=Q$3,SUMIF('TL16'!$C$238:$C$451,$C380,'TL16'!$J$238:$J$451),0),
IF('TL17'!$B$3=Q$3,SUMIF('TL17'!$C$10:$C$224,$C380,'TL17'!$J$10:$J$224),0),
IF('TL17'!$B$229=Q$3,SUMIF('TL17'!$C$238:$C$451,$C380,'TL17'!$J$238:$J$451),0),
IF('TL18'!$B$3=Q$3,SUMIF('TL18'!$C$10:$C$224,$C380,'TL18'!$J$10:$J$224),0),
IF('TL18'!$B$229=Q$3,SUMIF('TL18'!$C$238:$C$451,$C380,'TL18'!$J$238:$J$451),0),
IF('TL19'!$B$3=Q$3,SUMIF('TL19'!$C$10:$C$224,$C380,'TL19'!$J$10:$J$224),0),
IF('TL19'!$B$229=Q$3,SUMIF('TL19'!$C$238:$C$451,$C380,'TL19'!$J$238:$J$451),0)
),0)</f>
        <v>0</v>
      </c>
      <c r="R380" s="9">
        <f>IFERROR(
SUM(
SUMIF('TL01'!C:C,C380,'TL01'!J:J),
SUMIF('TL02'!C:C,C380,'TL02'!J:J),
SUMIF('TL03'!C:C,C380,'TL03'!J:J),
SUMIF('TL04'!C:C,C380,'TL04'!J:J),
SUMIF('TL05'!C:C,C380,'TL05'!J:J),
SUMIF('TL06'!C:C,C380,'TL06'!J:J),
SUMIF('TL07'!C:C,C380,'TL07'!J:J),
SUMIF('TL08'!C:C,C380,'TL08'!J:J),
SUMIF('TL09'!C:C,C380,'TL09'!J:J),
SUMIF('TL10'!C:C,C380,'TL10'!J:J),
SUMIF('TL11'!C:C,C380,'TL11'!J:J),
SUMIF('TL12'!C:C,C380,'TL12'!J:J),
SUMIF('TL13'!C:C,C380,'TL13'!J:J),
SUMIF('TL14'!C:C,C380,'TL14'!J:J),
SUMIF('TL15'!C:C,C380,'TL15'!J:J),
SUMIF('TL16'!C:C,C380,'TL16'!J:J),
SUMIF('TL17'!C:C,C380,'TL17'!J:J),
SUMIF('TL18'!C:C,C380,'TL18'!J:J),SUMIF('TL19'!C:C,C380,'TL19'!J:J))
,0)</f>
        <v>0</v>
      </c>
      <c r="S380" s="17">
        <f>IFERROR(__xludf.DUMMYFUNCTION("IFERROR(VLOOKUP(C380,
IMPORTRANGE(""1wULbzX32WdYsx-lj2U3uUNBBe2INVIRDtcK0d-Dvl90"",
""26-27!C:G""),
5,
FALSE),
"""")"),4.46)</f>
        <v>4.46</v>
      </c>
      <c r="T380" s="9"/>
      <c r="U380" s="92">
        <f t="shared" si="2"/>
        <v>0</v>
      </c>
      <c r="V380" s="93">
        <f t="shared" si="3"/>
        <v>0</v>
      </c>
    </row>
    <row r="381" ht="15.75" hidden="1" customHeight="1">
      <c r="A381" s="4" t="s">
        <v>1071</v>
      </c>
      <c r="B381" s="4" t="s">
        <v>4</v>
      </c>
      <c r="C381" s="130" t="s">
        <v>1123</v>
      </c>
      <c r="D381" s="129" t="s">
        <v>1119</v>
      </c>
      <c r="E381" s="6"/>
      <c r="F381" s="4" t="s">
        <v>343</v>
      </c>
      <c r="G381" s="90" t="str">
        <f t="shared" si="5"/>
        <v>📄 Ver bula</v>
      </c>
      <c r="H381" s="9"/>
      <c r="I381" s="123" t="s">
        <v>344</v>
      </c>
      <c r="J381" s="9">
        <f>IFERROR(SUM(
IF('TL01'!$B$3=J$3,SUMIF('TL01'!$C$10:$C$224,$C381,'TL01'!$J$10:$J$224),0),
IF('TL01'!$B$229=J$3,SUMIF('TL01'!$C$238:$C$451,$C381,'TL01'!$J$238:$J$451),0),
IF('TL02'!$B$3=J$3,SUMIF('TL02'!$C$10:$C$224,$C381,'TL02'!$J$10:$J$224),0),
IF('TL02'!$B$229=J$3,SUMIF('TL02'!$C$238:$C$451,$C381,'TL02'!$J$238:$J$451),0),
IF('TL03'!$B$3=J$3,SUMIF('TL03'!$C$10:$C$224,$C381,'TL03'!$J$10:$J$224),0),
IF('TL03'!$B$229=J$3,SUMIF('TL03'!$C$238:$C$451,$C381,'TL03'!$J$238:$J$451),0),
IF('TL04'!$B$3=J$3,SUMIF('TL04'!$C$10:$C$224,$C381,'TL04'!$J$10:$J$224),0),
IF('TL04'!$B$229=J$3,SUMIF('TL04'!$C$238:$C$451,$C381,'TL04'!$J$238:$J$451),0),
IF('TL05'!$B$3=J$3,SUMIF('TL05'!$C$10:$C$224,$C381,'TL05'!$J$10:$J$224),0),
IF('TL05'!$B$229=J$3,SUMIF('TL05'!$C$238:$C$451,$C381,'TL05'!$J$238:$J$451),0),
IF('TL06'!$B$3=J$3,SUMIF('TL06'!$C$10:$C$224,$C381,'TL06'!$J$10:$J$224),0),
IF('TL06'!$B$229=J$3,SUMIF('TL06'!$C$238:$C$451,$C381,'TL06'!$J$238:$J$451),0),
IF('TL07'!$B$3=J$3,SUMIF('TL07'!$C$10:$C$224,$C381,'TL07'!$J$10:$J$224),0),
IF('TL07'!$B$229=J$3,SUMIF('TL07'!$C$238:$C$451,$C381,'TL07'!$J$238:$J$451),0),
IF('TL08'!$B$3=J$3,SUMIF('TL08'!$C$10:$C$224,$C381,'TL08'!$J$10:$J$224),0),
IF('TL08'!$B$229=J$3,SUMIF('TL08'!$C$238:$C$451,$C381,'TL08'!$J$238:$J$451),0),
IF('TL09'!$B$3=J$3,SUMIF('TL09'!$C$10:$C$224,$C381,'TL09'!$J$10:$J$224),0),
IF('TL09'!$B$229=J$3,SUMIF('TL09'!$C$238:$C$451,$C381,'TL09'!$J$238:$J$451),0),
IF('TL10'!$B$3=J$3,SUMIF('TL10'!$C$10:$C$224,$C381,'TL10'!$J$10:$J$224),0),
IF('TL10'!$B$229=J$3,SUMIF('TL10'!$C$238:$C$451,$C381,'TL10'!$J$238:$J$451),0),
IF('TL11'!$B$3=J$3,SUMIF('TL11'!$C$10:$C$224,$C381,'TL11'!$J$10:$J$224),0),
IF('TL11'!$B$229=J$3,SUMIF('TL11'!$C$238:$C$451,$C381,'TL11'!$J$238:$J$451),0),
IF('TL12'!$B$3=J$3,SUMIF('TL12'!$C$10:$C$224,$C381,'TL12'!$J$10:$J$224),0),
IF('TL12'!$B$229=J$3,SUMIF('TL12'!$C$238:$C$451,$C381,'TL12'!$J$238:$J$451),0),
IF('TL13'!$B$3=J$3,SUMIF('TL13'!$C$10:$C$224,$C381,'TL13'!$J$10:$J$224),0),
IF('TL13'!$B$229=J$3,SUMIF('TL13'!$C$238:$C$451,$C381,'TL13'!$J$238:$J$451),0),
IF('TL14'!$B$3=J$3,SUMIF('TL14'!$C$10:$C$224,$C381,'TL14'!$J$10:$J$224),0),
IF('TL14'!$B$229=J$3,SUMIF('TL14'!$C$238:$C$451,$C381,'TL14'!$J$238:$J$451),0),
IF('TL15'!$B$3=J$3,SUMIF('TL15'!$C$10:$C$224,$C381,'TL15'!$J$10:$J$224),0),
IF('TL15'!$B$229=J$3,SUMIF('TL15'!$C$238:$C$451,$C381,'TL15'!$J$238:$J$451),0),
IF('TL16'!$B$3=J$3,SUMIF('TL16'!$C$10:$C$224,$C381,'TL16'!$J$10:$J$224),0),
IF('TL16'!$B$229=J$3,SUMIF('TL16'!$C$238:$C$451,$C381,'TL16'!$J$238:$J$451),0),
IF('TL17'!$B$3=J$3,SUMIF('TL17'!$C$10:$C$224,$C381,'TL17'!$J$10:$J$224),0),
IF('TL17'!$B$229=J$3,SUMIF('TL17'!$C$238:$C$451,$C381,'TL17'!$J$238:$J$451),0),
IF('TL18'!$B$3=J$3,SUMIF('TL18'!$C$10:$C$224,$C381,'TL18'!$J$10:$J$224),0),
IF('TL18'!$B$229=J$3,SUMIF('TL18'!$C$238:$C$451,$C381,'TL18'!$J$238:$J$451),0),
IF('TL19'!$B$3=J$3,SUMIF('TL19'!$C$10:$C$224,$C381,'TL19'!$J$10:$J$224),0),
IF('TL19'!$B$229=J$3,SUMIF('TL19'!$C$238:$C$451,$C381,'TL19'!$J$238:$J$451),0)
),0)</f>
        <v>0</v>
      </c>
      <c r="K381" s="9">
        <f>IFERROR(SUM(
IF('TL01'!$B$3=K$3,SUMIF('TL01'!$C$10:$C$224,$C381,'TL01'!$J$10:$J$224),0),
IF('TL01'!$B$229=K$3,SUMIF('TL01'!$C$238:$C$451,$C381,'TL01'!$J$238:$J$451),0),
IF('TL02'!$B$3=K$3,SUMIF('TL02'!$C$10:$C$224,$C381,'TL02'!$J$10:$J$224),0),
IF('TL02'!$B$229=K$3,SUMIF('TL02'!$C$238:$C$451,$C381,'TL02'!$J$238:$J$451),0),
IF('TL03'!$B$3=K$3,SUMIF('TL03'!$C$10:$C$224,$C381,'TL03'!$J$10:$J$224),0),
IF('TL03'!$B$229=K$3,SUMIF('TL03'!$C$238:$C$451,$C381,'TL03'!$J$238:$J$451),0),
IF('TL04'!$B$3=K$3,SUMIF('TL04'!$C$10:$C$224,$C381,'TL04'!$J$10:$J$224),0),
IF('TL04'!$B$229=K$3,SUMIF('TL04'!$C$238:$C$451,$C381,'TL04'!$J$238:$J$451),0),
IF('TL05'!$B$3=K$3,SUMIF('TL05'!$C$10:$C$224,$C381,'TL05'!$J$10:$J$224),0),
IF('TL05'!$B$229=K$3,SUMIF('TL05'!$C$238:$C$451,$C381,'TL05'!$J$238:$J$451),0),
IF('TL06'!$B$3=K$3,SUMIF('TL06'!$C$10:$C$224,$C381,'TL06'!$J$10:$J$224),0),
IF('TL06'!$B$229=K$3,SUMIF('TL06'!$C$238:$C$451,$C381,'TL06'!$J$238:$J$451),0),
IF('TL07'!$B$3=K$3,SUMIF('TL07'!$C$10:$C$224,$C381,'TL07'!$J$10:$J$224),0),
IF('TL07'!$B$229=K$3,SUMIF('TL07'!$C$238:$C$451,$C381,'TL07'!$J$238:$J$451),0),
IF('TL08'!$B$3=K$3,SUMIF('TL08'!$C$10:$C$224,$C381,'TL08'!$J$10:$J$224),0),
IF('TL08'!$B$229=K$3,SUMIF('TL08'!$C$238:$C$451,$C381,'TL08'!$J$238:$J$451),0),
IF('TL09'!$B$3=K$3,SUMIF('TL09'!$C$10:$C$224,$C381,'TL09'!$J$10:$J$224),0),
IF('TL09'!$B$229=K$3,SUMIF('TL09'!$C$238:$C$451,$C381,'TL09'!$J$238:$J$451),0),
IF('TL10'!$B$3=K$3,SUMIF('TL10'!$C$10:$C$224,$C381,'TL10'!$J$10:$J$224),0),
IF('TL10'!$B$229=K$3,SUMIF('TL10'!$C$238:$C$451,$C381,'TL10'!$J$238:$J$451),0),
IF('TL11'!$B$3=K$3,SUMIF('TL11'!$C$10:$C$224,$C381,'TL11'!$J$10:$J$224),0),
IF('TL11'!$B$229=K$3,SUMIF('TL11'!$C$238:$C$451,$C381,'TL11'!$J$238:$J$451),0),
IF('TL12'!$B$3=K$3,SUMIF('TL12'!$C$10:$C$224,$C381,'TL12'!$J$10:$J$224),0),
IF('TL12'!$B$229=K$3,SUMIF('TL12'!$C$238:$C$451,$C381,'TL12'!$J$238:$J$451),0),
IF('TL13'!$B$3=K$3,SUMIF('TL13'!$C$10:$C$224,$C381,'TL13'!$J$10:$J$224),0),
IF('TL13'!$B$229=K$3,SUMIF('TL13'!$C$238:$C$451,$C381,'TL13'!$J$238:$J$451),0),
IF('TL14'!$B$3=K$3,SUMIF('TL14'!$C$10:$C$224,$C381,'TL14'!$J$10:$J$224),0),
IF('TL14'!$B$229=K$3,SUMIF('TL14'!$C$238:$C$451,$C381,'TL14'!$J$238:$J$451),0),
IF('TL15'!$B$3=K$3,SUMIF('TL15'!$C$10:$C$224,$C381,'TL15'!$J$10:$J$224),0),
IF('TL15'!$B$229=K$3,SUMIF('TL15'!$C$238:$C$451,$C381,'TL15'!$J$238:$J$451),0),
IF('TL16'!$B$3=K$3,SUMIF('TL16'!$C$10:$C$224,$C381,'TL16'!$J$10:$J$224),0),
IF('TL16'!$B$229=K$3,SUMIF('TL16'!$C$238:$C$451,$C381,'TL16'!$J$238:$J$451),0),
IF('TL17'!$B$3=K$3,SUMIF('TL17'!$C$10:$C$224,$C381,'TL17'!$J$10:$J$224),0),
IF('TL17'!$B$229=K$3,SUMIF('TL17'!$C$238:$C$451,$C381,'TL17'!$J$238:$J$451),0),
IF('TL18'!$B$3=K$3,SUMIF('TL18'!$C$10:$C$224,$C381,'TL18'!$J$10:$J$224),0),
IF('TL18'!$B$229=K$3,SUMIF('TL18'!$C$238:$C$451,$C381,'TL18'!$J$238:$J$451),0),
IF('TL19'!$B$3=K$3,SUMIF('TL19'!$C$10:$C$224,$C381,'TL19'!$J$10:$J$224),0),
IF('TL19'!$B$229=K$3,SUMIF('TL19'!$C$238:$C$451,$C381,'TL19'!$J$238:$J$451),0)
),0)</f>
        <v>0</v>
      </c>
      <c r="L381" s="9">
        <f>IFERROR(SUM(
IF('TL01'!$B$3=L$3,SUMIF('TL01'!$C$10:$C$224,$C381,'TL01'!$J$10:$J$224),0),
IF('TL01'!$B$229=L$3,SUMIF('TL01'!$C$238:$C$451,$C381,'TL01'!$J$238:$J$451),0),
IF('TL02'!$B$3=L$3,SUMIF('TL02'!$C$10:$C$224,$C381,'TL02'!$J$10:$J$224),0),
IF('TL02'!$B$229=L$3,SUMIF('TL02'!$C$238:$C$451,$C381,'TL02'!$J$238:$J$451),0),
IF('TL03'!$B$3=L$3,SUMIF('TL03'!$C$10:$C$224,$C381,'TL03'!$J$10:$J$224),0),
IF('TL03'!$B$229=L$3,SUMIF('TL03'!$C$238:$C$451,$C381,'TL03'!$J$238:$J$451),0),
IF('TL04'!$B$3=L$3,SUMIF('TL04'!$C$10:$C$224,$C381,'TL04'!$J$10:$J$224),0),
IF('TL04'!$B$229=L$3,SUMIF('TL04'!$C$238:$C$451,$C381,'TL04'!$J$238:$J$451),0),
IF('TL05'!$B$3=L$3,SUMIF('TL05'!$C$10:$C$224,$C381,'TL05'!$J$10:$J$224),0),
IF('TL05'!$B$229=L$3,SUMIF('TL05'!$C$238:$C$451,$C381,'TL05'!$J$238:$J$451),0),
IF('TL06'!$B$3=L$3,SUMIF('TL06'!$C$10:$C$224,$C381,'TL06'!$J$10:$J$224),0),
IF('TL06'!$B$229=L$3,SUMIF('TL06'!$C$238:$C$451,$C381,'TL06'!$J$238:$J$451),0),
IF('TL07'!$B$3=L$3,SUMIF('TL07'!$C$10:$C$224,$C381,'TL07'!$J$10:$J$224),0),
IF('TL07'!$B$229=L$3,SUMIF('TL07'!$C$238:$C$451,$C381,'TL07'!$J$238:$J$451),0),
IF('TL08'!$B$3=L$3,SUMIF('TL08'!$C$10:$C$224,$C381,'TL08'!$J$10:$J$224),0),
IF('TL08'!$B$229=L$3,SUMIF('TL08'!$C$238:$C$451,$C381,'TL08'!$J$238:$J$451),0),
IF('TL09'!$B$3=L$3,SUMIF('TL09'!$C$10:$C$224,$C381,'TL09'!$J$10:$J$224),0),
IF('TL09'!$B$229=L$3,SUMIF('TL09'!$C$238:$C$451,$C381,'TL09'!$J$238:$J$451),0),
IF('TL10'!$B$3=L$3,SUMIF('TL10'!$C$10:$C$224,$C381,'TL10'!$J$10:$J$224),0),
IF('TL10'!$B$229=L$3,SUMIF('TL10'!$C$238:$C$451,$C381,'TL10'!$J$238:$J$451),0),
IF('TL11'!$B$3=L$3,SUMIF('TL11'!$C$10:$C$224,$C381,'TL11'!$J$10:$J$224),0),
IF('TL11'!$B$229=L$3,SUMIF('TL11'!$C$238:$C$451,$C381,'TL11'!$J$238:$J$451),0),
IF('TL12'!$B$3=L$3,SUMIF('TL12'!$C$10:$C$224,$C381,'TL12'!$J$10:$J$224),0),
IF('TL12'!$B$229=L$3,SUMIF('TL12'!$C$238:$C$451,$C381,'TL12'!$J$238:$J$451),0),
IF('TL13'!$B$3=L$3,SUMIF('TL13'!$C$10:$C$224,$C381,'TL13'!$J$10:$J$224),0),
IF('TL13'!$B$229=L$3,SUMIF('TL13'!$C$238:$C$451,$C381,'TL13'!$J$238:$J$451),0),
IF('TL14'!$B$3=L$3,SUMIF('TL14'!$C$10:$C$224,$C381,'TL14'!$J$10:$J$224),0),
IF('TL14'!$B$229=L$3,SUMIF('TL14'!$C$238:$C$451,$C381,'TL14'!$J$238:$J$451),0),
IF('TL15'!$B$3=L$3,SUMIF('TL15'!$C$10:$C$224,$C381,'TL15'!$J$10:$J$224),0),
IF('TL15'!$B$229=L$3,SUMIF('TL15'!$C$238:$C$451,$C381,'TL15'!$J$238:$J$451),0),
IF('TL16'!$B$3=L$3,SUMIF('TL16'!$C$10:$C$224,$C381,'TL16'!$J$10:$J$224),0),
IF('TL16'!$B$229=L$3,SUMIF('TL16'!$C$238:$C$451,$C381,'TL16'!$J$238:$J$451),0),
IF('TL17'!$B$3=L$3,SUMIF('TL17'!$C$10:$C$224,$C381,'TL17'!$J$10:$J$224),0),
IF('TL17'!$B$229=L$3,SUMIF('TL17'!$C$238:$C$451,$C381,'TL17'!$J$238:$J$451),0),
IF('TL18'!$B$3=L$3,SUMIF('TL18'!$C$10:$C$224,$C381,'TL18'!$J$10:$J$224),0),
IF('TL18'!$B$229=L$3,SUMIF('TL18'!$C$238:$C$451,$C381,'TL18'!$J$238:$J$451),0),
IF('TL19'!$B$3=L$3,SUMIF('TL19'!$C$10:$C$224,$C381,'TL19'!$J$10:$J$224),0),
IF('TL19'!$B$229=L$3,SUMIF('TL19'!$C$238:$C$451,$C381,'TL19'!$J$238:$J$451),0)
),0)</f>
        <v>0</v>
      </c>
      <c r="M381" s="9">
        <f>IFERROR(SUM(
IF('TL01'!$B$3=M$3,SUMIF('TL01'!$C$10:$C$224,$C381,'TL01'!$J$10:$J$224),0),
IF('TL01'!$B$229=M$3,SUMIF('TL01'!$C$238:$C$451,$C381,'TL01'!$J$238:$J$451),0),
IF('TL02'!$B$3=M$3,SUMIF('TL02'!$C$10:$C$224,$C381,'TL02'!$J$10:$J$224),0),
IF('TL02'!$B$229=M$3,SUMIF('TL02'!$C$238:$C$451,$C381,'TL02'!$J$238:$J$451),0),
IF('TL03'!$B$3=M$3,SUMIF('TL03'!$C$10:$C$224,$C381,'TL03'!$J$10:$J$224),0),
IF('TL03'!$B$229=M$3,SUMIF('TL03'!$C$238:$C$451,$C381,'TL03'!$J$238:$J$451),0),
IF('TL04'!$B$3=M$3,SUMIF('TL04'!$C$10:$C$224,$C381,'TL04'!$J$10:$J$224),0),
IF('TL04'!$B$229=M$3,SUMIF('TL04'!$C$238:$C$451,$C381,'TL04'!$J$238:$J$451),0),
IF('TL05'!$B$3=M$3,SUMIF('TL05'!$C$10:$C$224,$C381,'TL05'!$J$10:$J$224),0),
IF('TL05'!$B$229=M$3,SUMIF('TL05'!$C$238:$C$451,$C381,'TL05'!$J$238:$J$451),0),
IF('TL06'!$B$3=M$3,SUMIF('TL06'!$C$10:$C$224,$C381,'TL06'!$J$10:$J$224),0),
IF('TL06'!$B$229=M$3,SUMIF('TL06'!$C$238:$C$451,$C381,'TL06'!$J$238:$J$451),0),
IF('TL07'!$B$3=M$3,SUMIF('TL07'!$C$10:$C$224,$C381,'TL07'!$J$10:$J$224),0),
IF('TL07'!$B$229=M$3,SUMIF('TL07'!$C$238:$C$451,$C381,'TL07'!$J$238:$J$451),0),
IF('TL08'!$B$3=M$3,SUMIF('TL08'!$C$10:$C$224,$C381,'TL08'!$J$10:$J$224),0),
IF('TL08'!$B$229=M$3,SUMIF('TL08'!$C$238:$C$451,$C381,'TL08'!$J$238:$J$451),0),
IF('TL09'!$B$3=M$3,SUMIF('TL09'!$C$10:$C$224,$C381,'TL09'!$J$10:$J$224),0),
IF('TL09'!$B$229=M$3,SUMIF('TL09'!$C$238:$C$451,$C381,'TL09'!$J$238:$J$451),0),
IF('TL10'!$B$3=M$3,SUMIF('TL10'!$C$10:$C$224,$C381,'TL10'!$J$10:$J$224),0),
IF('TL10'!$B$229=M$3,SUMIF('TL10'!$C$238:$C$451,$C381,'TL10'!$J$238:$J$451),0),
IF('TL11'!$B$3=M$3,SUMIF('TL11'!$C$10:$C$224,$C381,'TL11'!$J$10:$J$224),0),
IF('TL11'!$B$229=M$3,SUMIF('TL11'!$C$238:$C$451,$C381,'TL11'!$J$238:$J$451),0),
IF('TL12'!$B$3=M$3,SUMIF('TL12'!$C$10:$C$224,$C381,'TL12'!$J$10:$J$224),0),
IF('TL12'!$B$229=M$3,SUMIF('TL12'!$C$238:$C$451,$C381,'TL12'!$J$238:$J$451),0),
IF('TL13'!$B$3=M$3,SUMIF('TL13'!$C$10:$C$224,$C381,'TL13'!$J$10:$J$224),0),
IF('TL13'!$B$229=M$3,SUMIF('TL13'!$C$238:$C$451,$C381,'TL13'!$J$238:$J$451),0),
IF('TL14'!$B$3=M$3,SUMIF('TL14'!$C$10:$C$224,$C381,'TL14'!$J$10:$J$224),0),
IF('TL14'!$B$229=M$3,SUMIF('TL14'!$C$238:$C$451,$C381,'TL14'!$J$238:$J$451),0),
IF('TL15'!$B$3=M$3,SUMIF('TL15'!$C$10:$C$224,$C381,'TL15'!$J$10:$J$224),0),
IF('TL15'!$B$229=M$3,SUMIF('TL15'!$C$238:$C$451,$C381,'TL15'!$J$238:$J$451),0),
IF('TL16'!$B$3=M$3,SUMIF('TL16'!$C$10:$C$224,$C381,'TL16'!$J$10:$J$224),0),
IF('TL16'!$B$229=M$3,SUMIF('TL16'!$C$238:$C$451,$C381,'TL16'!$J$238:$J$451),0),
IF('TL17'!$B$3=M$3,SUMIF('TL17'!$C$10:$C$224,$C381,'TL17'!$J$10:$J$224),0),
IF('TL17'!$B$229=M$3,SUMIF('TL17'!$C$238:$C$451,$C381,'TL17'!$J$238:$J$451),0),
IF('TL18'!$B$3=M$3,SUMIF('TL18'!$C$10:$C$224,$C381,'TL18'!$J$10:$J$224),0),
IF('TL18'!$B$229=M$3,SUMIF('TL18'!$C$238:$C$451,$C381,'TL18'!$J$238:$J$451),0),
IF('TL19'!$B$3=M$3,SUMIF('TL19'!$C$10:$C$224,$C381,'TL19'!$J$10:$J$224),0),
IF('TL19'!$B$229=M$3,SUMIF('TL19'!$C$238:$C$451,$C381,'TL19'!$J$238:$J$451),0)
),0)</f>
        <v>0</v>
      </c>
      <c r="N381" s="9">
        <f>IFERROR(SUM(
IF('TL01'!$B$3=N$3,SUMIF('TL01'!$C$10:$C$224,$C381,'TL01'!$J$10:$J$224),0),
IF('TL01'!$B$229=N$3,SUMIF('TL01'!$C$238:$C$451,$C381,'TL01'!$J$238:$J$451),0),
IF('TL02'!$B$3=N$3,SUMIF('TL02'!$C$10:$C$224,$C381,'TL02'!$J$10:$J$224),0),
IF('TL02'!$B$229=N$3,SUMIF('TL02'!$C$238:$C$451,$C381,'TL02'!$J$238:$J$451),0),
IF('TL03'!$B$3=N$3,SUMIF('TL03'!$C$10:$C$224,$C381,'TL03'!$J$10:$J$224),0),
IF('TL03'!$B$229=N$3,SUMIF('TL03'!$C$238:$C$451,$C381,'TL03'!$J$238:$J$451),0),
IF('TL04'!$B$3=N$3,SUMIF('TL04'!$C$10:$C$224,$C381,'TL04'!$J$10:$J$224),0),
IF('TL04'!$B$229=N$3,SUMIF('TL04'!$C$238:$C$451,$C381,'TL04'!$J$238:$J$451),0),
IF('TL05'!$B$3=N$3,SUMIF('TL05'!$C$10:$C$224,$C381,'TL05'!$J$10:$J$224),0),
IF('TL05'!$B$229=N$3,SUMIF('TL05'!$C$238:$C$451,$C381,'TL05'!$J$238:$J$451),0),
IF('TL06'!$B$3=N$3,SUMIF('TL06'!$C$10:$C$224,$C381,'TL06'!$J$10:$J$224),0),
IF('TL06'!$B$229=N$3,SUMIF('TL06'!$C$238:$C$451,$C381,'TL06'!$J$238:$J$451),0),
IF('TL07'!$B$3=N$3,SUMIF('TL07'!$C$10:$C$224,$C381,'TL07'!$J$10:$J$224),0),
IF('TL07'!$B$229=N$3,SUMIF('TL07'!$C$238:$C$451,$C381,'TL07'!$J$238:$J$451),0),
IF('TL08'!$B$3=N$3,SUMIF('TL08'!$C$10:$C$224,$C381,'TL08'!$J$10:$J$224),0),
IF('TL08'!$B$229=N$3,SUMIF('TL08'!$C$238:$C$451,$C381,'TL08'!$J$238:$J$451),0),
IF('TL09'!$B$3=N$3,SUMIF('TL09'!$C$10:$C$224,$C381,'TL09'!$J$10:$J$224),0),
IF('TL09'!$B$229=N$3,SUMIF('TL09'!$C$238:$C$451,$C381,'TL09'!$J$238:$J$451),0),
IF('TL10'!$B$3=N$3,SUMIF('TL10'!$C$10:$C$224,$C381,'TL10'!$J$10:$J$224),0),
IF('TL10'!$B$229=N$3,SUMIF('TL10'!$C$238:$C$451,$C381,'TL10'!$J$238:$J$451),0),
IF('TL11'!$B$3=N$3,SUMIF('TL11'!$C$10:$C$224,$C381,'TL11'!$J$10:$J$224),0),
IF('TL11'!$B$229=N$3,SUMIF('TL11'!$C$238:$C$451,$C381,'TL11'!$J$238:$J$451),0),
IF('TL12'!$B$3=N$3,SUMIF('TL12'!$C$10:$C$224,$C381,'TL12'!$J$10:$J$224),0),
IF('TL12'!$B$229=N$3,SUMIF('TL12'!$C$238:$C$451,$C381,'TL12'!$J$238:$J$451),0),
IF('TL13'!$B$3=N$3,SUMIF('TL13'!$C$10:$C$224,$C381,'TL13'!$J$10:$J$224),0),
IF('TL13'!$B$229=N$3,SUMIF('TL13'!$C$238:$C$451,$C381,'TL13'!$J$238:$J$451),0),
IF('TL14'!$B$3=N$3,SUMIF('TL14'!$C$10:$C$224,$C381,'TL14'!$J$10:$J$224),0),
IF('TL14'!$B$229=N$3,SUMIF('TL14'!$C$238:$C$451,$C381,'TL14'!$J$238:$J$451),0),
IF('TL15'!$B$3=N$3,SUMIF('TL15'!$C$10:$C$224,$C381,'TL15'!$J$10:$J$224),0),
IF('TL15'!$B$229=N$3,SUMIF('TL15'!$C$238:$C$451,$C381,'TL15'!$J$238:$J$451),0),
IF('TL16'!$B$3=N$3,SUMIF('TL16'!$C$10:$C$224,$C381,'TL16'!$J$10:$J$224),0),
IF('TL16'!$B$229=N$3,SUMIF('TL16'!$C$238:$C$451,$C381,'TL16'!$J$238:$J$451),0),
IF('TL17'!$B$3=N$3,SUMIF('TL17'!$C$10:$C$224,$C381,'TL17'!$J$10:$J$224),0),
IF('TL17'!$B$229=N$3,SUMIF('TL17'!$C$238:$C$451,$C381,'TL17'!$J$238:$J$451),0),
IF('TL18'!$B$3=N$3,SUMIF('TL18'!$C$10:$C$224,$C381,'TL18'!$J$10:$J$224),0),
IF('TL18'!$B$229=N$3,SUMIF('TL18'!$C$238:$C$451,$C381,'TL18'!$J$238:$J$451),0),
IF('TL19'!$B$3=N$3,SUMIF('TL19'!$C$10:$C$224,$C381,'TL19'!$J$10:$J$224),0),
IF('TL19'!$B$229=N$3,SUMIF('TL19'!$C$238:$C$451,$C381,'TL19'!$J$238:$J$451),0)
),0)</f>
        <v>0</v>
      </c>
      <c r="O381" s="9">
        <f>IFERROR(SUM(
IF('TL01'!$B$3=O$3,SUMIF('TL01'!$C$10:$C$224,$C381,'TL01'!$J$10:$J$224),0),
IF('TL01'!$B$229=O$3,SUMIF('TL01'!$C$238:$C$451,$C381,'TL01'!$J$238:$J$451),0),
IF('TL02'!$B$3=O$3,SUMIF('TL02'!$C$10:$C$224,$C381,'TL02'!$J$10:$J$224),0),
IF('TL02'!$B$229=O$3,SUMIF('TL02'!$C$238:$C$451,$C381,'TL02'!$J$238:$J$451),0),
IF('TL03'!$B$3=O$3,SUMIF('TL03'!$C$10:$C$224,$C381,'TL03'!$J$10:$J$224),0),
IF('TL03'!$B$229=O$3,SUMIF('TL03'!$C$238:$C$451,$C381,'TL03'!$J$238:$J$451),0),
IF('TL04'!$B$3=O$3,SUMIF('TL04'!$C$10:$C$224,$C381,'TL04'!$J$10:$J$224),0),
IF('TL04'!$B$229=O$3,SUMIF('TL04'!$C$238:$C$451,$C381,'TL04'!$J$238:$J$451),0),
IF('TL05'!$B$3=O$3,SUMIF('TL05'!$C$10:$C$224,$C381,'TL05'!$J$10:$J$224),0),
IF('TL05'!$B$229=O$3,SUMIF('TL05'!$C$238:$C$451,$C381,'TL05'!$J$238:$J$451),0),
IF('TL06'!$B$3=O$3,SUMIF('TL06'!$C$10:$C$224,$C381,'TL06'!$J$10:$J$224),0),
IF('TL06'!$B$229=O$3,SUMIF('TL06'!$C$238:$C$451,$C381,'TL06'!$J$238:$J$451),0),
IF('TL07'!$B$3=O$3,SUMIF('TL07'!$C$10:$C$224,$C381,'TL07'!$J$10:$J$224),0),
IF('TL07'!$B$229=O$3,SUMIF('TL07'!$C$238:$C$451,$C381,'TL07'!$J$238:$J$451),0),
IF('TL08'!$B$3=O$3,SUMIF('TL08'!$C$10:$C$224,$C381,'TL08'!$J$10:$J$224),0),
IF('TL08'!$B$229=O$3,SUMIF('TL08'!$C$238:$C$451,$C381,'TL08'!$J$238:$J$451),0),
IF('TL09'!$B$3=O$3,SUMIF('TL09'!$C$10:$C$224,$C381,'TL09'!$J$10:$J$224),0),
IF('TL09'!$B$229=O$3,SUMIF('TL09'!$C$238:$C$451,$C381,'TL09'!$J$238:$J$451),0),
IF('TL10'!$B$3=O$3,SUMIF('TL10'!$C$10:$C$224,$C381,'TL10'!$J$10:$J$224),0),
IF('TL10'!$B$229=O$3,SUMIF('TL10'!$C$238:$C$451,$C381,'TL10'!$J$238:$J$451),0),
IF('TL11'!$B$3=O$3,SUMIF('TL11'!$C$10:$C$224,$C381,'TL11'!$J$10:$J$224),0),
IF('TL11'!$B$229=O$3,SUMIF('TL11'!$C$238:$C$451,$C381,'TL11'!$J$238:$J$451),0),
IF('TL12'!$B$3=O$3,SUMIF('TL12'!$C$10:$C$224,$C381,'TL12'!$J$10:$J$224),0),
IF('TL12'!$B$229=O$3,SUMIF('TL12'!$C$238:$C$451,$C381,'TL12'!$J$238:$J$451),0),
IF('TL13'!$B$3=O$3,SUMIF('TL13'!$C$10:$C$224,$C381,'TL13'!$J$10:$J$224),0),
IF('TL13'!$B$229=O$3,SUMIF('TL13'!$C$238:$C$451,$C381,'TL13'!$J$238:$J$451),0),
IF('TL14'!$B$3=O$3,SUMIF('TL14'!$C$10:$C$224,$C381,'TL14'!$J$10:$J$224),0),
IF('TL14'!$B$229=O$3,SUMIF('TL14'!$C$238:$C$451,$C381,'TL14'!$J$238:$J$451),0),
IF('TL15'!$B$3=O$3,SUMIF('TL15'!$C$10:$C$224,$C381,'TL15'!$J$10:$J$224),0),
IF('TL15'!$B$229=O$3,SUMIF('TL15'!$C$238:$C$451,$C381,'TL15'!$J$238:$J$451),0),
IF('TL16'!$B$3=O$3,SUMIF('TL16'!$C$10:$C$224,$C381,'TL16'!$J$10:$J$224),0),
IF('TL16'!$B$229=O$3,SUMIF('TL16'!$C$238:$C$451,$C381,'TL16'!$J$238:$J$451),0),
IF('TL17'!$B$3=O$3,SUMIF('TL17'!$C$10:$C$224,$C381,'TL17'!$J$10:$J$224),0),
IF('TL17'!$B$229=O$3,SUMIF('TL17'!$C$238:$C$451,$C381,'TL17'!$J$238:$J$451),0),
IF('TL18'!$B$3=O$3,SUMIF('TL18'!$C$10:$C$224,$C381,'TL18'!$J$10:$J$224),0),
IF('TL18'!$B$229=O$3,SUMIF('TL18'!$C$238:$C$451,$C381,'TL18'!$J$238:$J$451),0),
IF('TL19'!$B$3=O$3,SUMIF('TL19'!$C$10:$C$224,$C381,'TL19'!$J$10:$J$224),0),
IF('TL19'!$B$229=O$3,SUMIF('TL19'!$C$238:$C$451,$C381,'TL19'!$J$238:$J$451),0)
),0)</f>
        <v>0</v>
      </c>
      <c r="P381" s="9">
        <f>IFERROR(SUM(
IF('TL01'!$B$3=P$3,SUMIF('TL01'!$C$10:$C$224,$C381,'TL01'!$J$10:$J$224),0),
IF('TL01'!$B$229=P$3,SUMIF('TL01'!$C$238:$C$451,$C381,'TL01'!$J$238:$J$451),0),
IF('TL02'!$B$3=P$3,SUMIF('TL02'!$C$10:$C$224,$C381,'TL02'!$J$10:$J$224),0),
IF('TL02'!$B$229=P$3,SUMIF('TL02'!$C$238:$C$451,$C381,'TL02'!$J$238:$J$451),0),
IF('TL03'!$B$3=P$3,SUMIF('TL03'!$C$10:$C$224,$C381,'TL03'!$J$10:$J$224),0),
IF('TL03'!$B$229=P$3,SUMIF('TL03'!$C$238:$C$451,$C381,'TL03'!$J$238:$J$451),0),
IF('TL04'!$B$3=P$3,SUMIF('TL04'!$C$10:$C$224,$C381,'TL04'!$J$10:$J$224),0),
IF('TL04'!$B$229=P$3,SUMIF('TL04'!$C$238:$C$451,$C381,'TL04'!$J$238:$J$451),0),
IF('TL05'!$B$3=P$3,SUMIF('TL05'!$C$10:$C$224,$C381,'TL05'!$J$10:$J$224),0),
IF('TL05'!$B$229=P$3,SUMIF('TL05'!$C$238:$C$451,$C381,'TL05'!$J$238:$J$451),0),
IF('TL06'!$B$3=P$3,SUMIF('TL06'!$C$10:$C$224,$C381,'TL06'!$J$10:$J$224),0),
IF('TL06'!$B$229=P$3,SUMIF('TL06'!$C$238:$C$451,$C381,'TL06'!$J$238:$J$451),0),
IF('TL07'!$B$3=P$3,SUMIF('TL07'!$C$10:$C$224,$C381,'TL07'!$J$10:$J$224),0),
IF('TL07'!$B$229=P$3,SUMIF('TL07'!$C$238:$C$451,$C381,'TL07'!$J$238:$J$451),0),
IF('TL08'!$B$3=P$3,SUMIF('TL08'!$C$10:$C$224,$C381,'TL08'!$J$10:$J$224),0),
IF('TL08'!$B$229=P$3,SUMIF('TL08'!$C$238:$C$451,$C381,'TL08'!$J$238:$J$451),0),
IF('TL09'!$B$3=P$3,SUMIF('TL09'!$C$10:$C$224,$C381,'TL09'!$J$10:$J$224),0),
IF('TL09'!$B$229=P$3,SUMIF('TL09'!$C$238:$C$451,$C381,'TL09'!$J$238:$J$451),0),
IF('TL10'!$B$3=P$3,SUMIF('TL10'!$C$10:$C$224,$C381,'TL10'!$J$10:$J$224),0),
IF('TL10'!$B$229=P$3,SUMIF('TL10'!$C$238:$C$451,$C381,'TL10'!$J$238:$J$451),0),
IF('TL11'!$B$3=P$3,SUMIF('TL11'!$C$10:$C$224,$C381,'TL11'!$J$10:$J$224),0),
IF('TL11'!$B$229=P$3,SUMIF('TL11'!$C$238:$C$451,$C381,'TL11'!$J$238:$J$451),0),
IF('TL12'!$B$3=P$3,SUMIF('TL12'!$C$10:$C$224,$C381,'TL12'!$J$10:$J$224),0),
IF('TL12'!$B$229=P$3,SUMIF('TL12'!$C$238:$C$451,$C381,'TL12'!$J$238:$J$451),0),
IF('TL13'!$B$3=P$3,SUMIF('TL13'!$C$10:$C$224,$C381,'TL13'!$J$10:$J$224),0),
IF('TL13'!$B$229=P$3,SUMIF('TL13'!$C$238:$C$451,$C381,'TL13'!$J$238:$J$451),0),
IF('TL14'!$B$3=P$3,SUMIF('TL14'!$C$10:$C$224,$C381,'TL14'!$J$10:$J$224),0),
IF('TL14'!$B$229=P$3,SUMIF('TL14'!$C$238:$C$451,$C381,'TL14'!$J$238:$J$451),0),
IF('TL15'!$B$3=P$3,SUMIF('TL15'!$C$10:$C$224,$C381,'TL15'!$J$10:$J$224),0),
IF('TL15'!$B$229=P$3,SUMIF('TL15'!$C$238:$C$451,$C381,'TL15'!$J$238:$J$451),0),
IF('TL16'!$B$3=P$3,SUMIF('TL16'!$C$10:$C$224,$C381,'TL16'!$J$10:$J$224),0),
IF('TL16'!$B$229=P$3,SUMIF('TL16'!$C$238:$C$451,$C381,'TL16'!$J$238:$J$451),0),
IF('TL17'!$B$3=P$3,SUMIF('TL17'!$C$10:$C$224,$C381,'TL17'!$J$10:$J$224),0),
IF('TL17'!$B$229=P$3,SUMIF('TL17'!$C$238:$C$451,$C381,'TL17'!$J$238:$J$451),0),
IF('TL18'!$B$3=P$3,SUMIF('TL18'!$C$10:$C$224,$C381,'TL18'!$J$10:$J$224),0),
IF('TL18'!$B$229=P$3,SUMIF('TL18'!$C$238:$C$451,$C381,'TL18'!$J$238:$J$451),0),
IF('TL19'!$B$3=P$3,SUMIF('TL19'!$C$10:$C$224,$C381,'TL19'!$J$10:$J$224),0),
IF('TL19'!$B$229=P$3,SUMIF('TL19'!$C$238:$C$451,$C381,'TL19'!$J$238:$J$451),0)
),0)</f>
        <v>0</v>
      </c>
      <c r="Q381" s="9">
        <f>IFERROR(SUM(
IF('TL01'!$B$3=Q$3,SUMIF('TL01'!$C$10:$C$224,$C381,'TL01'!$J$10:$J$224),0),
IF('TL01'!$B$229=Q$3,SUMIF('TL01'!$C$238:$C$451,$C381,'TL01'!$J$238:$J$451),0),
IF('TL02'!$B$3=Q$3,SUMIF('TL02'!$C$10:$C$224,$C381,'TL02'!$J$10:$J$224),0),
IF('TL02'!$B$229=Q$3,SUMIF('TL02'!$C$238:$C$451,$C381,'TL02'!$J$238:$J$451),0),
IF('TL03'!$B$3=Q$3,SUMIF('TL03'!$C$10:$C$224,$C381,'TL03'!$J$10:$J$224),0),
IF('TL03'!$B$229=Q$3,SUMIF('TL03'!$C$238:$C$451,$C381,'TL03'!$J$238:$J$451),0),
IF('TL04'!$B$3=Q$3,SUMIF('TL04'!$C$10:$C$224,$C381,'TL04'!$J$10:$J$224),0),
IF('TL04'!$B$229=Q$3,SUMIF('TL04'!$C$238:$C$451,$C381,'TL04'!$J$238:$J$451),0),
IF('TL05'!$B$3=Q$3,SUMIF('TL05'!$C$10:$C$224,$C381,'TL05'!$J$10:$J$224),0),
IF('TL05'!$B$229=Q$3,SUMIF('TL05'!$C$238:$C$451,$C381,'TL05'!$J$238:$J$451),0),
IF('TL06'!$B$3=Q$3,SUMIF('TL06'!$C$10:$C$224,$C381,'TL06'!$J$10:$J$224),0),
IF('TL06'!$B$229=Q$3,SUMIF('TL06'!$C$238:$C$451,$C381,'TL06'!$J$238:$J$451),0),
IF('TL07'!$B$3=Q$3,SUMIF('TL07'!$C$10:$C$224,$C381,'TL07'!$J$10:$J$224),0),
IF('TL07'!$B$229=Q$3,SUMIF('TL07'!$C$238:$C$451,$C381,'TL07'!$J$238:$J$451),0),
IF('TL08'!$B$3=Q$3,SUMIF('TL08'!$C$10:$C$224,$C381,'TL08'!$J$10:$J$224),0),
IF('TL08'!$B$229=Q$3,SUMIF('TL08'!$C$238:$C$451,$C381,'TL08'!$J$238:$J$451),0),
IF('TL09'!$B$3=Q$3,SUMIF('TL09'!$C$10:$C$224,$C381,'TL09'!$J$10:$J$224),0),
IF('TL09'!$B$229=Q$3,SUMIF('TL09'!$C$238:$C$451,$C381,'TL09'!$J$238:$J$451),0),
IF('TL10'!$B$3=Q$3,SUMIF('TL10'!$C$10:$C$224,$C381,'TL10'!$J$10:$J$224),0),
IF('TL10'!$B$229=Q$3,SUMIF('TL10'!$C$238:$C$451,$C381,'TL10'!$J$238:$J$451),0),
IF('TL11'!$B$3=Q$3,SUMIF('TL11'!$C$10:$C$224,$C381,'TL11'!$J$10:$J$224),0),
IF('TL11'!$B$229=Q$3,SUMIF('TL11'!$C$238:$C$451,$C381,'TL11'!$J$238:$J$451),0),
IF('TL12'!$B$3=Q$3,SUMIF('TL12'!$C$10:$C$224,$C381,'TL12'!$J$10:$J$224),0),
IF('TL12'!$B$229=Q$3,SUMIF('TL12'!$C$238:$C$451,$C381,'TL12'!$J$238:$J$451),0),
IF('TL13'!$B$3=Q$3,SUMIF('TL13'!$C$10:$C$224,$C381,'TL13'!$J$10:$J$224),0),
IF('TL13'!$B$229=Q$3,SUMIF('TL13'!$C$238:$C$451,$C381,'TL13'!$J$238:$J$451),0),
IF('TL14'!$B$3=Q$3,SUMIF('TL14'!$C$10:$C$224,$C381,'TL14'!$J$10:$J$224),0),
IF('TL14'!$B$229=Q$3,SUMIF('TL14'!$C$238:$C$451,$C381,'TL14'!$J$238:$J$451),0),
IF('TL15'!$B$3=Q$3,SUMIF('TL15'!$C$10:$C$224,$C381,'TL15'!$J$10:$J$224),0),
IF('TL15'!$B$229=Q$3,SUMIF('TL15'!$C$238:$C$451,$C381,'TL15'!$J$238:$J$451),0),
IF('TL16'!$B$3=Q$3,SUMIF('TL16'!$C$10:$C$224,$C381,'TL16'!$J$10:$J$224),0),
IF('TL16'!$B$229=Q$3,SUMIF('TL16'!$C$238:$C$451,$C381,'TL16'!$J$238:$J$451),0),
IF('TL17'!$B$3=Q$3,SUMIF('TL17'!$C$10:$C$224,$C381,'TL17'!$J$10:$J$224),0),
IF('TL17'!$B$229=Q$3,SUMIF('TL17'!$C$238:$C$451,$C381,'TL17'!$J$238:$J$451),0),
IF('TL18'!$B$3=Q$3,SUMIF('TL18'!$C$10:$C$224,$C381,'TL18'!$J$10:$J$224),0),
IF('TL18'!$B$229=Q$3,SUMIF('TL18'!$C$238:$C$451,$C381,'TL18'!$J$238:$J$451),0),
IF('TL19'!$B$3=Q$3,SUMIF('TL19'!$C$10:$C$224,$C381,'TL19'!$J$10:$J$224),0),
IF('TL19'!$B$229=Q$3,SUMIF('TL19'!$C$238:$C$451,$C381,'TL19'!$J$238:$J$451),0)
),0)</f>
        <v>0</v>
      </c>
      <c r="R381" s="9">
        <f>IFERROR(
SUM(
SUMIF('TL01'!C:C,C381,'TL01'!J:J),
SUMIF('TL02'!C:C,C381,'TL02'!J:J),
SUMIF('TL03'!C:C,C381,'TL03'!J:J),
SUMIF('TL04'!C:C,C381,'TL04'!J:J),
SUMIF('TL05'!C:C,C381,'TL05'!J:J),
SUMIF('TL06'!C:C,C381,'TL06'!J:J),
SUMIF('TL07'!C:C,C381,'TL07'!J:J),
SUMIF('TL08'!C:C,C381,'TL08'!J:J),
SUMIF('TL09'!C:C,C381,'TL09'!J:J),
SUMIF('TL10'!C:C,C381,'TL10'!J:J),
SUMIF('TL11'!C:C,C381,'TL11'!J:J),
SUMIF('TL12'!C:C,C381,'TL12'!J:J),
SUMIF('TL13'!C:C,C381,'TL13'!J:J),
SUMIF('TL14'!C:C,C381,'TL14'!J:J),
SUMIF('TL15'!C:C,C381,'TL15'!J:J),
SUMIF('TL16'!C:C,C381,'TL16'!J:J),
SUMIF('TL17'!C:C,C381,'TL17'!J:J),
SUMIF('TL18'!C:C,C381,'TL18'!J:J),SUMIF('TL19'!C:C,C381,'TL19'!J:J))
,0)</f>
        <v>0</v>
      </c>
      <c r="S381" s="17">
        <f>IFERROR(__xludf.DUMMYFUNCTION("IFERROR(VLOOKUP(C381,
IMPORTRANGE(""1wULbzX32WdYsx-lj2U3uUNBBe2INVIRDtcK0d-Dvl90"",
""26-27!C:G""),
5,
FALSE),
"""")"),4.46)</f>
        <v>4.46</v>
      </c>
      <c r="T381" s="9"/>
      <c r="U381" s="92">
        <f t="shared" si="2"/>
        <v>0</v>
      </c>
      <c r="V381" s="93">
        <f t="shared" si="3"/>
        <v>0</v>
      </c>
    </row>
    <row r="382" ht="15.75" hidden="1" customHeight="1">
      <c r="A382" s="4" t="s">
        <v>1071</v>
      </c>
      <c r="B382" s="4" t="s">
        <v>4</v>
      </c>
      <c r="C382" s="131" t="s">
        <v>1124</v>
      </c>
      <c r="D382" s="127" t="s">
        <v>1119</v>
      </c>
      <c r="E382" s="119"/>
      <c r="F382" s="4"/>
      <c r="G382" s="90" t="str">
        <f t="shared" si="5"/>
        <v>📄 Ver bula</v>
      </c>
      <c r="H382" s="9"/>
      <c r="I382" s="121"/>
      <c r="J382" s="9">
        <f>IFERROR(SUM(
IF('TL01'!$B$3=J$3,SUMIF('TL01'!$C$10:$C$224,$C382,'TL01'!$J$10:$J$224),0),
IF('TL01'!$B$229=J$3,SUMIF('TL01'!$C$238:$C$451,$C382,'TL01'!$J$238:$J$451),0),
IF('TL02'!$B$3=J$3,SUMIF('TL02'!$C$10:$C$224,$C382,'TL02'!$J$10:$J$224),0),
IF('TL02'!$B$229=J$3,SUMIF('TL02'!$C$238:$C$451,$C382,'TL02'!$J$238:$J$451),0),
IF('TL03'!$B$3=J$3,SUMIF('TL03'!$C$10:$C$224,$C382,'TL03'!$J$10:$J$224),0),
IF('TL03'!$B$229=J$3,SUMIF('TL03'!$C$238:$C$451,$C382,'TL03'!$J$238:$J$451),0),
IF('TL04'!$B$3=J$3,SUMIF('TL04'!$C$10:$C$224,$C382,'TL04'!$J$10:$J$224),0),
IF('TL04'!$B$229=J$3,SUMIF('TL04'!$C$238:$C$451,$C382,'TL04'!$J$238:$J$451),0),
IF('TL05'!$B$3=J$3,SUMIF('TL05'!$C$10:$C$224,$C382,'TL05'!$J$10:$J$224),0),
IF('TL05'!$B$229=J$3,SUMIF('TL05'!$C$238:$C$451,$C382,'TL05'!$J$238:$J$451),0),
IF('TL06'!$B$3=J$3,SUMIF('TL06'!$C$10:$C$224,$C382,'TL06'!$J$10:$J$224),0),
IF('TL06'!$B$229=J$3,SUMIF('TL06'!$C$238:$C$451,$C382,'TL06'!$J$238:$J$451),0),
IF('TL07'!$B$3=J$3,SUMIF('TL07'!$C$10:$C$224,$C382,'TL07'!$J$10:$J$224),0),
IF('TL07'!$B$229=J$3,SUMIF('TL07'!$C$238:$C$451,$C382,'TL07'!$J$238:$J$451),0),
IF('TL08'!$B$3=J$3,SUMIF('TL08'!$C$10:$C$224,$C382,'TL08'!$J$10:$J$224),0),
IF('TL08'!$B$229=J$3,SUMIF('TL08'!$C$238:$C$451,$C382,'TL08'!$J$238:$J$451),0),
IF('TL09'!$B$3=J$3,SUMIF('TL09'!$C$10:$C$224,$C382,'TL09'!$J$10:$J$224),0),
IF('TL09'!$B$229=J$3,SUMIF('TL09'!$C$238:$C$451,$C382,'TL09'!$J$238:$J$451),0),
IF('TL10'!$B$3=J$3,SUMIF('TL10'!$C$10:$C$224,$C382,'TL10'!$J$10:$J$224),0),
IF('TL10'!$B$229=J$3,SUMIF('TL10'!$C$238:$C$451,$C382,'TL10'!$J$238:$J$451),0),
IF('TL11'!$B$3=J$3,SUMIF('TL11'!$C$10:$C$224,$C382,'TL11'!$J$10:$J$224),0),
IF('TL11'!$B$229=J$3,SUMIF('TL11'!$C$238:$C$451,$C382,'TL11'!$J$238:$J$451),0),
IF('TL12'!$B$3=J$3,SUMIF('TL12'!$C$10:$C$224,$C382,'TL12'!$J$10:$J$224),0),
IF('TL12'!$B$229=J$3,SUMIF('TL12'!$C$238:$C$451,$C382,'TL12'!$J$238:$J$451),0),
IF('TL13'!$B$3=J$3,SUMIF('TL13'!$C$10:$C$224,$C382,'TL13'!$J$10:$J$224),0),
IF('TL13'!$B$229=J$3,SUMIF('TL13'!$C$238:$C$451,$C382,'TL13'!$J$238:$J$451),0),
IF('TL14'!$B$3=J$3,SUMIF('TL14'!$C$10:$C$224,$C382,'TL14'!$J$10:$J$224),0),
IF('TL14'!$B$229=J$3,SUMIF('TL14'!$C$238:$C$451,$C382,'TL14'!$J$238:$J$451),0),
IF('TL15'!$B$3=J$3,SUMIF('TL15'!$C$10:$C$224,$C382,'TL15'!$J$10:$J$224),0),
IF('TL15'!$B$229=J$3,SUMIF('TL15'!$C$238:$C$451,$C382,'TL15'!$J$238:$J$451),0),
IF('TL16'!$B$3=J$3,SUMIF('TL16'!$C$10:$C$224,$C382,'TL16'!$J$10:$J$224),0),
IF('TL16'!$B$229=J$3,SUMIF('TL16'!$C$238:$C$451,$C382,'TL16'!$J$238:$J$451),0),
IF('TL17'!$B$3=J$3,SUMIF('TL17'!$C$10:$C$224,$C382,'TL17'!$J$10:$J$224),0),
IF('TL17'!$B$229=J$3,SUMIF('TL17'!$C$238:$C$451,$C382,'TL17'!$J$238:$J$451),0),
IF('TL18'!$B$3=J$3,SUMIF('TL18'!$C$10:$C$224,$C382,'TL18'!$J$10:$J$224),0),
IF('TL18'!$B$229=J$3,SUMIF('TL18'!$C$238:$C$451,$C382,'TL18'!$J$238:$J$451),0),
IF('TL19'!$B$3=J$3,SUMIF('TL19'!$C$10:$C$224,$C382,'TL19'!$J$10:$J$224),0),
IF('TL19'!$B$229=J$3,SUMIF('TL19'!$C$238:$C$451,$C382,'TL19'!$J$238:$J$451),0)
),0)</f>
        <v>0</v>
      </c>
      <c r="K382" s="9">
        <f>IFERROR(SUM(
IF('TL01'!$B$3=K$3,SUMIF('TL01'!$C$10:$C$224,$C382,'TL01'!$J$10:$J$224),0),
IF('TL01'!$B$229=K$3,SUMIF('TL01'!$C$238:$C$451,$C382,'TL01'!$J$238:$J$451),0),
IF('TL02'!$B$3=K$3,SUMIF('TL02'!$C$10:$C$224,$C382,'TL02'!$J$10:$J$224),0),
IF('TL02'!$B$229=K$3,SUMIF('TL02'!$C$238:$C$451,$C382,'TL02'!$J$238:$J$451),0),
IF('TL03'!$B$3=K$3,SUMIF('TL03'!$C$10:$C$224,$C382,'TL03'!$J$10:$J$224),0),
IF('TL03'!$B$229=K$3,SUMIF('TL03'!$C$238:$C$451,$C382,'TL03'!$J$238:$J$451),0),
IF('TL04'!$B$3=K$3,SUMIF('TL04'!$C$10:$C$224,$C382,'TL04'!$J$10:$J$224),0),
IF('TL04'!$B$229=K$3,SUMIF('TL04'!$C$238:$C$451,$C382,'TL04'!$J$238:$J$451),0),
IF('TL05'!$B$3=K$3,SUMIF('TL05'!$C$10:$C$224,$C382,'TL05'!$J$10:$J$224),0),
IF('TL05'!$B$229=K$3,SUMIF('TL05'!$C$238:$C$451,$C382,'TL05'!$J$238:$J$451),0),
IF('TL06'!$B$3=K$3,SUMIF('TL06'!$C$10:$C$224,$C382,'TL06'!$J$10:$J$224),0),
IF('TL06'!$B$229=K$3,SUMIF('TL06'!$C$238:$C$451,$C382,'TL06'!$J$238:$J$451),0),
IF('TL07'!$B$3=K$3,SUMIF('TL07'!$C$10:$C$224,$C382,'TL07'!$J$10:$J$224),0),
IF('TL07'!$B$229=K$3,SUMIF('TL07'!$C$238:$C$451,$C382,'TL07'!$J$238:$J$451),0),
IF('TL08'!$B$3=K$3,SUMIF('TL08'!$C$10:$C$224,$C382,'TL08'!$J$10:$J$224),0),
IF('TL08'!$B$229=K$3,SUMIF('TL08'!$C$238:$C$451,$C382,'TL08'!$J$238:$J$451),0),
IF('TL09'!$B$3=K$3,SUMIF('TL09'!$C$10:$C$224,$C382,'TL09'!$J$10:$J$224),0),
IF('TL09'!$B$229=K$3,SUMIF('TL09'!$C$238:$C$451,$C382,'TL09'!$J$238:$J$451),0),
IF('TL10'!$B$3=K$3,SUMIF('TL10'!$C$10:$C$224,$C382,'TL10'!$J$10:$J$224),0),
IF('TL10'!$B$229=K$3,SUMIF('TL10'!$C$238:$C$451,$C382,'TL10'!$J$238:$J$451),0),
IF('TL11'!$B$3=K$3,SUMIF('TL11'!$C$10:$C$224,$C382,'TL11'!$J$10:$J$224),0),
IF('TL11'!$B$229=K$3,SUMIF('TL11'!$C$238:$C$451,$C382,'TL11'!$J$238:$J$451),0),
IF('TL12'!$B$3=K$3,SUMIF('TL12'!$C$10:$C$224,$C382,'TL12'!$J$10:$J$224),0),
IF('TL12'!$B$229=K$3,SUMIF('TL12'!$C$238:$C$451,$C382,'TL12'!$J$238:$J$451),0),
IF('TL13'!$B$3=K$3,SUMIF('TL13'!$C$10:$C$224,$C382,'TL13'!$J$10:$J$224),0),
IF('TL13'!$B$229=K$3,SUMIF('TL13'!$C$238:$C$451,$C382,'TL13'!$J$238:$J$451),0),
IF('TL14'!$B$3=K$3,SUMIF('TL14'!$C$10:$C$224,$C382,'TL14'!$J$10:$J$224),0),
IF('TL14'!$B$229=K$3,SUMIF('TL14'!$C$238:$C$451,$C382,'TL14'!$J$238:$J$451),0),
IF('TL15'!$B$3=K$3,SUMIF('TL15'!$C$10:$C$224,$C382,'TL15'!$J$10:$J$224),0),
IF('TL15'!$B$229=K$3,SUMIF('TL15'!$C$238:$C$451,$C382,'TL15'!$J$238:$J$451),0),
IF('TL16'!$B$3=K$3,SUMIF('TL16'!$C$10:$C$224,$C382,'TL16'!$J$10:$J$224),0),
IF('TL16'!$B$229=K$3,SUMIF('TL16'!$C$238:$C$451,$C382,'TL16'!$J$238:$J$451),0),
IF('TL17'!$B$3=K$3,SUMIF('TL17'!$C$10:$C$224,$C382,'TL17'!$J$10:$J$224),0),
IF('TL17'!$B$229=K$3,SUMIF('TL17'!$C$238:$C$451,$C382,'TL17'!$J$238:$J$451),0),
IF('TL18'!$B$3=K$3,SUMIF('TL18'!$C$10:$C$224,$C382,'TL18'!$J$10:$J$224),0),
IF('TL18'!$B$229=K$3,SUMIF('TL18'!$C$238:$C$451,$C382,'TL18'!$J$238:$J$451),0),
IF('TL19'!$B$3=K$3,SUMIF('TL19'!$C$10:$C$224,$C382,'TL19'!$J$10:$J$224),0),
IF('TL19'!$B$229=K$3,SUMIF('TL19'!$C$238:$C$451,$C382,'TL19'!$J$238:$J$451),0)
),0)</f>
        <v>0</v>
      </c>
      <c r="L382" s="9">
        <f>IFERROR(SUM(
IF('TL01'!$B$3=L$3,SUMIF('TL01'!$C$10:$C$224,$C382,'TL01'!$J$10:$J$224),0),
IF('TL01'!$B$229=L$3,SUMIF('TL01'!$C$238:$C$451,$C382,'TL01'!$J$238:$J$451),0),
IF('TL02'!$B$3=L$3,SUMIF('TL02'!$C$10:$C$224,$C382,'TL02'!$J$10:$J$224),0),
IF('TL02'!$B$229=L$3,SUMIF('TL02'!$C$238:$C$451,$C382,'TL02'!$J$238:$J$451),0),
IF('TL03'!$B$3=L$3,SUMIF('TL03'!$C$10:$C$224,$C382,'TL03'!$J$10:$J$224),0),
IF('TL03'!$B$229=L$3,SUMIF('TL03'!$C$238:$C$451,$C382,'TL03'!$J$238:$J$451),0),
IF('TL04'!$B$3=L$3,SUMIF('TL04'!$C$10:$C$224,$C382,'TL04'!$J$10:$J$224),0),
IF('TL04'!$B$229=L$3,SUMIF('TL04'!$C$238:$C$451,$C382,'TL04'!$J$238:$J$451),0),
IF('TL05'!$B$3=L$3,SUMIF('TL05'!$C$10:$C$224,$C382,'TL05'!$J$10:$J$224),0),
IF('TL05'!$B$229=L$3,SUMIF('TL05'!$C$238:$C$451,$C382,'TL05'!$J$238:$J$451),0),
IF('TL06'!$B$3=L$3,SUMIF('TL06'!$C$10:$C$224,$C382,'TL06'!$J$10:$J$224),0),
IF('TL06'!$B$229=L$3,SUMIF('TL06'!$C$238:$C$451,$C382,'TL06'!$J$238:$J$451),0),
IF('TL07'!$B$3=L$3,SUMIF('TL07'!$C$10:$C$224,$C382,'TL07'!$J$10:$J$224),0),
IF('TL07'!$B$229=L$3,SUMIF('TL07'!$C$238:$C$451,$C382,'TL07'!$J$238:$J$451),0),
IF('TL08'!$B$3=L$3,SUMIF('TL08'!$C$10:$C$224,$C382,'TL08'!$J$10:$J$224),0),
IF('TL08'!$B$229=L$3,SUMIF('TL08'!$C$238:$C$451,$C382,'TL08'!$J$238:$J$451),0),
IF('TL09'!$B$3=L$3,SUMIF('TL09'!$C$10:$C$224,$C382,'TL09'!$J$10:$J$224),0),
IF('TL09'!$B$229=L$3,SUMIF('TL09'!$C$238:$C$451,$C382,'TL09'!$J$238:$J$451),0),
IF('TL10'!$B$3=L$3,SUMIF('TL10'!$C$10:$C$224,$C382,'TL10'!$J$10:$J$224),0),
IF('TL10'!$B$229=L$3,SUMIF('TL10'!$C$238:$C$451,$C382,'TL10'!$J$238:$J$451),0),
IF('TL11'!$B$3=L$3,SUMIF('TL11'!$C$10:$C$224,$C382,'TL11'!$J$10:$J$224),0),
IF('TL11'!$B$229=L$3,SUMIF('TL11'!$C$238:$C$451,$C382,'TL11'!$J$238:$J$451),0),
IF('TL12'!$B$3=L$3,SUMIF('TL12'!$C$10:$C$224,$C382,'TL12'!$J$10:$J$224),0),
IF('TL12'!$B$229=L$3,SUMIF('TL12'!$C$238:$C$451,$C382,'TL12'!$J$238:$J$451),0),
IF('TL13'!$B$3=L$3,SUMIF('TL13'!$C$10:$C$224,$C382,'TL13'!$J$10:$J$224),0),
IF('TL13'!$B$229=L$3,SUMIF('TL13'!$C$238:$C$451,$C382,'TL13'!$J$238:$J$451),0),
IF('TL14'!$B$3=L$3,SUMIF('TL14'!$C$10:$C$224,$C382,'TL14'!$J$10:$J$224),0),
IF('TL14'!$B$229=L$3,SUMIF('TL14'!$C$238:$C$451,$C382,'TL14'!$J$238:$J$451),0),
IF('TL15'!$B$3=L$3,SUMIF('TL15'!$C$10:$C$224,$C382,'TL15'!$J$10:$J$224),0),
IF('TL15'!$B$229=L$3,SUMIF('TL15'!$C$238:$C$451,$C382,'TL15'!$J$238:$J$451),0),
IF('TL16'!$B$3=L$3,SUMIF('TL16'!$C$10:$C$224,$C382,'TL16'!$J$10:$J$224),0),
IF('TL16'!$B$229=L$3,SUMIF('TL16'!$C$238:$C$451,$C382,'TL16'!$J$238:$J$451),0),
IF('TL17'!$B$3=L$3,SUMIF('TL17'!$C$10:$C$224,$C382,'TL17'!$J$10:$J$224),0),
IF('TL17'!$B$229=L$3,SUMIF('TL17'!$C$238:$C$451,$C382,'TL17'!$J$238:$J$451),0),
IF('TL18'!$B$3=L$3,SUMIF('TL18'!$C$10:$C$224,$C382,'TL18'!$J$10:$J$224),0),
IF('TL18'!$B$229=L$3,SUMIF('TL18'!$C$238:$C$451,$C382,'TL18'!$J$238:$J$451),0),
IF('TL19'!$B$3=L$3,SUMIF('TL19'!$C$10:$C$224,$C382,'TL19'!$J$10:$J$224),0),
IF('TL19'!$B$229=L$3,SUMIF('TL19'!$C$238:$C$451,$C382,'TL19'!$J$238:$J$451),0)
),0)</f>
        <v>0</v>
      </c>
      <c r="M382" s="9">
        <f>IFERROR(SUM(
IF('TL01'!$B$3=M$3,SUMIF('TL01'!$C$10:$C$224,$C382,'TL01'!$J$10:$J$224),0),
IF('TL01'!$B$229=M$3,SUMIF('TL01'!$C$238:$C$451,$C382,'TL01'!$J$238:$J$451),0),
IF('TL02'!$B$3=M$3,SUMIF('TL02'!$C$10:$C$224,$C382,'TL02'!$J$10:$J$224),0),
IF('TL02'!$B$229=M$3,SUMIF('TL02'!$C$238:$C$451,$C382,'TL02'!$J$238:$J$451),0),
IF('TL03'!$B$3=M$3,SUMIF('TL03'!$C$10:$C$224,$C382,'TL03'!$J$10:$J$224),0),
IF('TL03'!$B$229=M$3,SUMIF('TL03'!$C$238:$C$451,$C382,'TL03'!$J$238:$J$451),0),
IF('TL04'!$B$3=M$3,SUMIF('TL04'!$C$10:$C$224,$C382,'TL04'!$J$10:$J$224),0),
IF('TL04'!$B$229=M$3,SUMIF('TL04'!$C$238:$C$451,$C382,'TL04'!$J$238:$J$451),0),
IF('TL05'!$B$3=M$3,SUMIF('TL05'!$C$10:$C$224,$C382,'TL05'!$J$10:$J$224),0),
IF('TL05'!$B$229=M$3,SUMIF('TL05'!$C$238:$C$451,$C382,'TL05'!$J$238:$J$451),0),
IF('TL06'!$B$3=M$3,SUMIF('TL06'!$C$10:$C$224,$C382,'TL06'!$J$10:$J$224),0),
IF('TL06'!$B$229=M$3,SUMIF('TL06'!$C$238:$C$451,$C382,'TL06'!$J$238:$J$451),0),
IF('TL07'!$B$3=M$3,SUMIF('TL07'!$C$10:$C$224,$C382,'TL07'!$J$10:$J$224),0),
IF('TL07'!$B$229=M$3,SUMIF('TL07'!$C$238:$C$451,$C382,'TL07'!$J$238:$J$451),0),
IF('TL08'!$B$3=M$3,SUMIF('TL08'!$C$10:$C$224,$C382,'TL08'!$J$10:$J$224),0),
IF('TL08'!$B$229=M$3,SUMIF('TL08'!$C$238:$C$451,$C382,'TL08'!$J$238:$J$451),0),
IF('TL09'!$B$3=M$3,SUMIF('TL09'!$C$10:$C$224,$C382,'TL09'!$J$10:$J$224),0),
IF('TL09'!$B$229=M$3,SUMIF('TL09'!$C$238:$C$451,$C382,'TL09'!$J$238:$J$451),0),
IF('TL10'!$B$3=M$3,SUMIF('TL10'!$C$10:$C$224,$C382,'TL10'!$J$10:$J$224),0),
IF('TL10'!$B$229=M$3,SUMIF('TL10'!$C$238:$C$451,$C382,'TL10'!$J$238:$J$451),0),
IF('TL11'!$B$3=M$3,SUMIF('TL11'!$C$10:$C$224,$C382,'TL11'!$J$10:$J$224),0),
IF('TL11'!$B$229=M$3,SUMIF('TL11'!$C$238:$C$451,$C382,'TL11'!$J$238:$J$451),0),
IF('TL12'!$B$3=M$3,SUMIF('TL12'!$C$10:$C$224,$C382,'TL12'!$J$10:$J$224),0),
IF('TL12'!$B$229=M$3,SUMIF('TL12'!$C$238:$C$451,$C382,'TL12'!$J$238:$J$451),0),
IF('TL13'!$B$3=M$3,SUMIF('TL13'!$C$10:$C$224,$C382,'TL13'!$J$10:$J$224),0),
IF('TL13'!$B$229=M$3,SUMIF('TL13'!$C$238:$C$451,$C382,'TL13'!$J$238:$J$451),0),
IF('TL14'!$B$3=M$3,SUMIF('TL14'!$C$10:$C$224,$C382,'TL14'!$J$10:$J$224),0),
IF('TL14'!$B$229=M$3,SUMIF('TL14'!$C$238:$C$451,$C382,'TL14'!$J$238:$J$451),0),
IF('TL15'!$B$3=M$3,SUMIF('TL15'!$C$10:$C$224,$C382,'TL15'!$J$10:$J$224),0),
IF('TL15'!$B$229=M$3,SUMIF('TL15'!$C$238:$C$451,$C382,'TL15'!$J$238:$J$451),0),
IF('TL16'!$B$3=M$3,SUMIF('TL16'!$C$10:$C$224,$C382,'TL16'!$J$10:$J$224),0),
IF('TL16'!$B$229=M$3,SUMIF('TL16'!$C$238:$C$451,$C382,'TL16'!$J$238:$J$451),0),
IF('TL17'!$B$3=M$3,SUMIF('TL17'!$C$10:$C$224,$C382,'TL17'!$J$10:$J$224),0),
IF('TL17'!$B$229=M$3,SUMIF('TL17'!$C$238:$C$451,$C382,'TL17'!$J$238:$J$451),0),
IF('TL18'!$B$3=M$3,SUMIF('TL18'!$C$10:$C$224,$C382,'TL18'!$J$10:$J$224),0),
IF('TL18'!$B$229=M$3,SUMIF('TL18'!$C$238:$C$451,$C382,'TL18'!$J$238:$J$451),0),
IF('TL19'!$B$3=M$3,SUMIF('TL19'!$C$10:$C$224,$C382,'TL19'!$J$10:$J$224),0),
IF('TL19'!$B$229=M$3,SUMIF('TL19'!$C$238:$C$451,$C382,'TL19'!$J$238:$J$451),0)
),0)</f>
        <v>0</v>
      </c>
      <c r="N382" s="9">
        <f>IFERROR(SUM(
IF('TL01'!$B$3=N$3,SUMIF('TL01'!$C$10:$C$224,$C382,'TL01'!$J$10:$J$224),0),
IF('TL01'!$B$229=N$3,SUMIF('TL01'!$C$238:$C$451,$C382,'TL01'!$J$238:$J$451),0),
IF('TL02'!$B$3=N$3,SUMIF('TL02'!$C$10:$C$224,$C382,'TL02'!$J$10:$J$224),0),
IF('TL02'!$B$229=N$3,SUMIF('TL02'!$C$238:$C$451,$C382,'TL02'!$J$238:$J$451),0),
IF('TL03'!$B$3=N$3,SUMIF('TL03'!$C$10:$C$224,$C382,'TL03'!$J$10:$J$224),0),
IF('TL03'!$B$229=N$3,SUMIF('TL03'!$C$238:$C$451,$C382,'TL03'!$J$238:$J$451),0),
IF('TL04'!$B$3=N$3,SUMIF('TL04'!$C$10:$C$224,$C382,'TL04'!$J$10:$J$224),0),
IF('TL04'!$B$229=N$3,SUMIF('TL04'!$C$238:$C$451,$C382,'TL04'!$J$238:$J$451),0),
IF('TL05'!$B$3=N$3,SUMIF('TL05'!$C$10:$C$224,$C382,'TL05'!$J$10:$J$224),0),
IF('TL05'!$B$229=N$3,SUMIF('TL05'!$C$238:$C$451,$C382,'TL05'!$J$238:$J$451),0),
IF('TL06'!$B$3=N$3,SUMIF('TL06'!$C$10:$C$224,$C382,'TL06'!$J$10:$J$224),0),
IF('TL06'!$B$229=N$3,SUMIF('TL06'!$C$238:$C$451,$C382,'TL06'!$J$238:$J$451),0),
IF('TL07'!$B$3=N$3,SUMIF('TL07'!$C$10:$C$224,$C382,'TL07'!$J$10:$J$224),0),
IF('TL07'!$B$229=N$3,SUMIF('TL07'!$C$238:$C$451,$C382,'TL07'!$J$238:$J$451),0),
IF('TL08'!$B$3=N$3,SUMIF('TL08'!$C$10:$C$224,$C382,'TL08'!$J$10:$J$224),0),
IF('TL08'!$B$229=N$3,SUMIF('TL08'!$C$238:$C$451,$C382,'TL08'!$J$238:$J$451),0),
IF('TL09'!$B$3=N$3,SUMIF('TL09'!$C$10:$C$224,$C382,'TL09'!$J$10:$J$224),0),
IF('TL09'!$B$229=N$3,SUMIF('TL09'!$C$238:$C$451,$C382,'TL09'!$J$238:$J$451),0),
IF('TL10'!$B$3=N$3,SUMIF('TL10'!$C$10:$C$224,$C382,'TL10'!$J$10:$J$224),0),
IF('TL10'!$B$229=N$3,SUMIF('TL10'!$C$238:$C$451,$C382,'TL10'!$J$238:$J$451),0),
IF('TL11'!$B$3=N$3,SUMIF('TL11'!$C$10:$C$224,$C382,'TL11'!$J$10:$J$224),0),
IF('TL11'!$B$229=N$3,SUMIF('TL11'!$C$238:$C$451,$C382,'TL11'!$J$238:$J$451),0),
IF('TL12'!$B$3=N$3,SUMIF('TL12'!$C$10:$C$224,$C382,'TL12'!$J$10:$J$224),0),
IF('TL12'!$B$229=N$3,SUMIF('TL12'!$C$238:$C$451,$C382,'TL12'!$J$238:$J$451),0),
IF('TL13'!$B$3=N$3,SUMIF('TL13'!$C$10:$C$224,$C382,'TL13'!$J$10:$J$224),0),
IF('TL13'!$B$229=N$3,SUMIF('TL13'!$C$238:$C$451,$C382,'TL13'!$J$238:$J$451),0),
IF('TL14'!$B$3=N$3,SUMIF('TL14'!$C$10:$C$224,$C382,'TL14'!$J$10:$J$224),0),
IF('TL14'!$B$229=N$3,SUMIF('TL14'!$C$238:$C$451,$C382,'TL14'!$J$238:$J$451),0),
IF('TL15'!$B$3=N$3,SUMIF('TL15'!$C$10:$C$224,$C382,'TL15'!$J$10:$J$224),0),
IF('TL15'!$B$229=N$3,SUMIF('TL15'!$C$238:$C$451,$C382,'TL15'!$J$238:$J$451),0),
IF('TL16'!$B$3=N$3,SUMIF('TL16'!$C$10:$C$224,$C382,'TL16'!$J$10:$J$224),0),
IF('TL16'!$B$229=N$3,SUMIF('TL16'!$C$238:$C$451,$C382,'TL16'!$J$238:$J$451),0),
IF('TL17'!$B$3=N$3,SUMIF('TL17'!$C$10:$C$224,$C382,'TL17'!$J$10:$J$224),0),
IF('TL17'!$B$229=N$3,SUMIF('TL17'!$C$238:$C$451,$C382,'TL17'!$J$238:$J$451),0),
IF('TL18'!$B$3=N$3,SUMIF('TL18'!$C$10:$C$224,$C382,'TL18'!$J$10:$J$224),0),
IF('TL18'!$B$229=N$3,SUMIF('TL18'!$C$238:$C$451,$C382,'TL18'!$J$238:$J$451),0),
IF('TL19'!$B$3=N$3,SUMIF('TL19'!$C$10:$C$224,$C382,'TL19'!$J$10:$J$224),0),
IF('TL19'!$B$229=N$3,SUMIF('TL19'!$C$238:$C$451,$C382,'TL19'!$J$238:$J$451),0)
),0)</f>
        <v>0</v>
      </c>
      <c r="O382" s="9">
        <f>IFERROR(SUM(
IF('TL01'!$B$3=O$3,SUMIF('TL01'!$C$10:$C$224,$C382,'TL01'!$J$10:$J$224),0),
IF('TL01'!$B$229=O$3,SUMIF('TL01'!$C$238:$C$451,$C382,'TL01'!$J$238:$J$451),0),
IF('TL02'!$B$3=O$3,SUMIF('TL02'!$C$10:$C$224,$C382,'TL02'!$J$10:$J$224),0),
IF('TL02'!$B$229=O$3,SUMIF('TL02'!$C$238:$C$451,$C382,'TL02'!$J$238:$J$451),0),
IF('TL03'!$B$3=O$3,SUMIF('TL03'!$C$10:$C$224,$C382,'TL03'!$J$10:$J$224),0),
IF('TL03'!$B$229=O$3,SUMIF('TL03'!$C$238:$C$451,$C382,'TL03'!$J$238:$J$451),0),
IF('TL04'!$B$3=O$3,SUMIF('TL04'!$C$10:$C$224,$C382,'TL04'!$J$10:$J$224),0),
IF('TL04'!$B$229=O$3,SUMIF('TL04'!$C$238:$C$451,$C382,'TL04'!$J$238:$J$451),0),
IF('TL05'!$B$3=O$3,SUMIF('TL05'!$C$10:$C$224,$C382,'TL05'!$J$10:$J$224),0),
IF('TL05'!$B$229=O$3,SUMIF('TL05'!$C$238:$C$451,$C382,'TL05'!$J$238:$J$451),0),
IF('TL06'!$B$3=O$3,SUMIF('TL06'!$C$10:$C$224,$C382,'TL06'!$J$10:$J$224),0),
IF('TL06'!$B$229=O$3,SUMIF('TL06'!$C$238:$C$451,$C382,'TL06'!$J$238:$J$451),0),
IF('TL07'!$B$3=O$3,SUMIF('TL07'!$C$10:$C$224,$C382,'TL07'!$J$10:$J$224),0),
IF('TL07'!$B$229=O$3,SUMIF('TL07'!$C$238:$C$451,$C382,'TL07'!$J$238:$J$451),0),
IF('TL08'!$B$3=O$3,SUMIF('TL08'!$C$10:$C$224,$C382,'TL08'!$J$10:$J$224),0),
IF('TL08'!$B$229=O$3,SUMIF('TL08'!$C$238:$C$451,$C382,'TL08'!$J$238:$J$451),0),
IF('TL09'!$B$3=O$3,SUMIF('TL09'!$C$10:$C$224,$C382,'TL09'!$J$10:$J$224),0),
IF('TL09'!$B$229=O$3,SUMIF('TL09'!$C$238:$C$451,$C382,'TL09'!$J$238:$J$451),0),
IF('TL10'!$B$3=O$3,SUMIF('TL10'!$C$10:$C$224,$C382,'TL10'!$J$10:$J$224),0),
IF('TL10'!$B$229=O$3,SUMIF('TL10'!$C$238:$C$451,$C382,'TL10'!$J$238:$J$451),0),
IF('TL11'!$B$3=O$3,SUMIF('TL11'!$C$10:$C$224,$C382,'TL11'!$J$10:$J$224),0),
IF('TL11'!$B$229=O$3,SUMIF('TL11'!$C$238:$C$451,$C382,'TL11'!$J$238:$J$451),0),
IF('TL12'!$B$3=O$3,SUMIF('TL12'!$C$10:$C$224,$C382,'TL12'!$J$10:$J$224),0),
IF('TL12'!$B$229=O$3,SUMIF('TL12'!$C$238:$C$451,$C382,'TL12'!$J$238:$J$451),0),
IF('TL13'!$B$3=O$3,SUMIF('TL13'!$C$10:$C$224,$C382,'TL13'!$J$10:$J$224),0),
IF('TL13'!$B$229=O$3,SUMIF('TL13'!$C$238:$C$451,$C382,'TL13'!$J$238:$J$451),0),
IF('TL14'!$B$3=O$3,SUMIF('TL14'!$C$10:$C$224,$C382,'TL14'!$J$10:$J$224),0),
IF('TL14'!$B$229=O$3,SUMIF('TL14'!$C$238:$C$451,$C382,'TL14'!$J$238:$J$451),0),
IF('TL15'!$B$3=O$3,SUMIF('TL15'!$C$10:$C$224,$C382,'TL15'!$J$10:$J$224),0),
IF('TL15'!$B$229=O$3,SUMIF('TL15'!$C$238:$C$451,$C382,'TL15'!$J$238:$J$451),0),
IF('TL16'!$B$3=O$3,SUMIF('TL16'!$C$10:$C$224,$C382,'TL16'!$J$10:$J$224),0),
IF('TL16'!$B$229=O$3,SUMIF('TL16'!$C$238:$C$451,$C382,'TL16'!$J$238:$J$451),0),
IF('TL17'!$B$3=O$3,SUMIF('TL17'!$C$10:$C$224,$C382,'TL17'!$J$10:$J$224),0),
IF('TL17'!$B$229=O$3,SUMIF('TL17'!$C$238:$C$451,$C382,'TL17'!$J$238:$J$451),0),
IF('TL18'!$B$3=O$3,SUMIF('TL18'!$C$10:$C$224,$C382,'TL18'!$J$10:$J$224),0),
IF('TL18'!$B$229=O$3,SUMIF('TL18'!$C$238:$C$451,$C382,'TL18'!$J$238:$J$451),0),
IF('TL19'!$B$3=O$3,SUMIF('TL19'!$C$10:$C$224,$C382,'TL19'!$J$10:$J$224),0),
IF('TL19'!$B$229=O$3,SUMIF('TL19'!$C$238:$C$451,$C382,'TL19'!$J$238:$J$451),0)
),0)</f>
        <v>0</v>
      </c>
      <c r="P382" s="9">
        <f>IFERROR(SUM(
IF('TL01'!$B$3=P$3,SUMIF('TL01'!$C$10:$C$224,$C382,'TL01'!$J$10:$J$224),0),
IF('TL01'!$B$229=P$3,SUMIF('TL01'!$C$238:$C$451,$C382,'TL01'!$J$238:$J$451),0),
IF('TL02'!$B$3=P$3,SUMIF('TL02'!$C$10:$C$224,$C382,'TL02'!$J$10:$J$224),0),
IF('TL02'!$B$229=P$3,SUMIF('TL02'!$C$238:$C$451,$C382,'TL02'!$J$238:$J$451),0),
IF('TL03'!$B$3=P$3,SUMIF('TL03'!$C$10:$C$224,$C382,'TL03'!$J$10:$J$224),0),
IF('TL03'!$B$229=P$3,SUMIF('TL03'!$C$238:$C$451,$C382,'TL03'!$J$238:$J$451),0),
IF('TL04'!$B$3=P$3,SUMIF('TL04'!$C$10:$C$224,$C382,'TL04'!$J$10:$J$224),0),
IF('TL04'!$B$229=P$3,SUMIF('TL04'!$C$238:$C$451,$C382,'TL04'!$J$238:$J$451),0),
IF('TL05'!$B$3=P$3,SUMIF('TL05'!$C$10:$C$224,$C382,'TL05'!$J$10:$J$224),0),
IF('TL05'!$B$229=P$3,SUMIF('TL05'!$C$238:$C$451,$C382,'TL05'!$J$238:$J$451),0),
IF('TL06'!$B$3=P$3,SUMIF('TL06'!$C$10:$C$224,$C382,'TL06'!$J$10:$J$224),0),
IF('TL06'!$B$229=P$3,SUMIF('TL06'!$C$238:$C$451,$C382,'TL06'!$J$238:$J$451),0),
IF('TL07'!$B$3=P$3,SUMIF('TL07'!$C$10:$C$224,$C382,'TL07'!$J$10:$J$224),0),
IF('TL07'!$B$229=P$3,SUMIF('TL07'!$C$238:$C$451,$C382,'TL07'!$J$238:$J$451),0),
IF('TL08'!$B$3=P$3,SUMIF('TL08'!$C$10:$C$224,$C382,'TL08'!$J$10:$J$224),0),
IF('TL08'!$B$229=P$3,SUMIF('TL08'!$C$238:$C$451,$C382,'TL08'!$J$238:$J$451),0),
IF('TL09'!$B$3=P$3,SUMIF('TL09'!$C$10:$C$224,$C382,'TL09'!$J$10:$J$224),0),
IF('TL09'!$B$229=P$3,SUMIF('TL09'!$C$238:$C$451,$C382,'TL09'!$J$238:$J$451),0),
IF('TL10'!$B$3=P$3,SUMIF('TL10'!$C$10:$C$224,$C382,'TL10'!$J$10:$J$224),0),
IF('TL10'!$B$229=P$3,SUMIF('TL10'!$C$238:$C$451,$C382,'TL10'!$J$238:$J$451),0),
IF('TL11'!$B$3=P$3,SUMIF('TL11'!$C$10:$C$224,$C382,'TL11'!$J$10:$J$224),0),
IF('TL11'!$B$229=P$3,SUMIF('TL11'!$C$238:$C$451,$C382,'TL11'!$J$238:$J$451),0),
IF('TL12'!$B$3=P$3,SUMIF('TL12'!$C$10:$C$224,$C382,'TL12'!$J$10:$J$224),0),
IF('TL12'!$B$229=P$3,SUMIF('TL12'!$C$238:$C$451,$C382,'TL12'!$J$238:$J$451),0),
IF('TL13'!$B$3=P$3,SUMIF('TL13'!$C$10:$C$224,$C382,'TL13'!$J$10:$J$224),0),
IF('TL13'!$B$229=P$3,SUMIF('TL13'!$C$238:$C$451,$C382,'TL13'!$J$238:$J$451),0),
IF('TL14'!$B$3=P$3,SUMIF('TL14'!$C$10:$C$224,$C382,'TL14'!$J$10:$J$224),0),
IF('TL14'!$B$229=P$3,SUMIF('TL14'!$C$238:$C$451,$C382,'TL14'!$J$238:$J$451),0),
IF('TL15'!$B$3=P$3,SUMIF('TL15'!$C$10:$C$224,$C382,'TL15'!$J$10:$J$224),0),
IF('TL15'!$B$229=P$3,SUMIF('TL15'!$C$238:$C$451,$C382,'TL15'!$J$238:$J$451),0),
IF('TL16'!$B$3=P$3,SUMIF('TL16'!$C$10:$C$224,$C382,'TL16'!$J$10:$J$224),0),
IF('TL16'!$B$229=P$3,SUMIF('TL16'!$C$238:$C$451,$C382,'TL16'!$J$238:$J$451),0),
IF('TL17'!$B$3=P$3,SUMIF('TL17'!$C$10:$C$224,$C382,'TL17'!$J$10:$J$224),0),
IF('TL17'!$B$229=P$3,SUMIF('TL17'!$C$238:$C$451,$C382,'TL17'!$J$238:$J$451),0),
IF('TL18'!$B$3=P$3,SUMIF('TL18'!$C$10:$C$224,$C382,'TL18'!$J$10:$J$224),0),
IF('TL18'!$B$229=P$3,SUMIF('TL18'!$C$238:$C$451,$C382,'TL18'!$J$238:$J$451),0),
IF('TL19'!$B$3=P$3,SUMIF('TL19'!$C$10:$C$224,$C382,'TL19'!$J$10:$J$224),0),
IF('TL19'!$B$229=P$3,SUMIF('TL19'!$C$238:$C$451,$C382,'TL19'!$J$238:$J$451),0)
),0)</f>
        <v>0</v>
      </c>
      <c r="Q382" s="9">
        <f>IFERROR(SUM(
IF('TL01'!$B$3=Q$3,SUMIF('TL01'!$C$10:$C$224,$C382,'TL01'!$J$10:$J$224),0),
IF('TL01'!$B$229=Q$3,SUMIF('TL01'!$C$238:$C$451,$C382,'TL01'!$J$238:$J$451),0),
IF('TL02'!$B$3=Q$3,SUMIF('TL02'!$C$10:$C$224,$C382,'TL02'!$J$10:$J$224),0),
IF('TL02'!$B$229=Q$3,SUMIF('TL02'!$C$238:$C$451,$C382,'TL02'!$J$238:$J$451),0),
IF('TL03'!$B$3=Q$3,SUMIF('TL03'!$C$10:$C$224,$C382,'TL03'!$J$10:$J$224),0),
IF('TL03'!$B$229=Q$3,SUMIF('TL03'!$C$238:$C$451,$C382,'TL03'!$J$238:$J$451),0),
IF('TL04'!$B$3=Q$3,SUMIF('TL04'!$C$10:$C$224,$C382,'TL04'!$J$10:$J$224),0),
IF('TL04'!$B$229=Q$3,SUMIF('TL04'!$C$238:$C$451,$C382,'TL04'!$J$238:$J$451),0),
IF('TL05'!$B$3=Q$3,SUMIF('TL05'!$C$10:$C$224,$C382,'TL05'!$J$10:$J$224),0),
IF('TL05'!$B$229=Q$3,SUMIF('TL05'!$C$238:$C$451,$C382,'TL05'!$J$238:$J$451),0),
IF('TL06'!$B$3=Q$3,SUMIF('TL06'!$C$10:$C$224,$C382,'TL06'!$J$10:$J$224),0),
IF('TL06'!$B$229=Q$3,SUMIF('TL06'!$C$238:$C$451,$C382,'TL06'!$J$238:$J$451),0),
IF('TL07'!$B$3=Q$3,SUMIF('TL07'!$C$10:$C$224,$C382,'TL07'!$J$10:$J$224),0),
IF('TL07'!$B$229=Q$3,SUMIF('TL07'!$C$238:$C$451,$C382,'TL07'!$J$238:$J$451),0),
IF('TL08'!$B$3=Q$3,SUMIF('TL08'!$C$10:$C$224,$C382,'TL08'!$J$10:$J$224),0),
IF('TL08'!$B$229=Q$3,SUMIF('TL08'!$C$238:$C$451,$C382,'TL08'!$J$238:$J$451),0),
IF('TL09'!$B$3=Q$3,SUMIF('TL09'!$C$10:$C$224,$C382,'TL09'!$J$10:$J$224),0),
IF('TL09'!$B$229=Q$3,SUMIF('TL09'!$C$238:$C$451,$C382,'TL09'!$J$238:$J$451),0),
IF('TL10'!$B$3=Q$3,SUMIF('TL10'!$C$10:$C$224,$C382,'TL10'!$J$10:$J$224),0),
IF('TL10'!$B$229=Q$3,SUMIF('TL10'!$C$238:$C$451,$C382,'TL10'!$J$238:$J$451),0),
IF('TL11'!$B$3=Q$3,SUMIF('TL11'!$C$10:$C$224,$C382,'TL11'!$J$10:$J$224),0),
IF('TL11'!$B$229=Q$3,SUMIF('TL11'!$C$238:$C$451,$C382,'TL11'!$J$238:$J$451),0),
IF('TL12'!$B$3=Q$3,SUMIF('TL12'!$C$10:$C$224,$C382,'TL12'!$J$10:$J$224),0),
IF('TL12'!$B$229=Q$3,SUMIF('TL12'!$C$238:$C$451,$C382,'TL12'!$J$238:$J$451),0),
IF('TL13'!$B$3=Q$3,SUMIF('TL13'!$C$10:$C$224,$C382,'TL13'!$J$10:$J$224),0),
IF('TL13'!$B$229=Q$3,SUMIF('TL13'!$C$238:$C$451,$C382,'TL13'!$J$238:$J$451),0),
IF('TL14'!$B$3=Q$3,SUMIF('TL14'!$C$10:$C$224,$C382,'TL14'!$J$10:$J$224),0),
IF('TL14'!$B$229=Q$3,SUMIF('TL14'!$C$238:$C$451,$C382,'TL14'!$J$238:$J$451),0),
IF('TL15'!$B$3=Q$3,SUMIF('TL15'!$C$10:$C$224,$C382,'TL15'!$J$10:$J$224),0),
IF('TL15'!$B$229=Q$3,SUMIF('TL15'!$C$238:$C$451,$C382,'TL15'!$J$238:$J$451),0),
IF('TL16'!$B$3=Q$3,SUMIF('TL16'!$C$10:$C$224,$C382,'TL16'!$J$10:$J$224),0),
IF('TL16'!$B$229=Q$3,SUMIF('TL16'!$C$238:$C$451,$C382,'TL16'!$J$238:$J$451),0),
IF('TL17'!$B$3=Q$3,SUMIF('TL17'!$C$10:$C$224,$C382,'TL17'!$J$10:$J$224),0),
IF('TL17'!$B$229=Q$3,SUMIF('TL17'!$C$238:$C$451,$C382,'TL17'!$J$238:$J$451),0),
IF('TL18'!$B$3=Q$3,SUMIF('TL18'!$C$10:$C$224,$C382,'TL18'!$J$10:$J$224),0),
IF('TL18'!$B$229=Q$3,SUMIF('TL18'!$C$238:$C$451,$C382,'TL18'!$J$238:$J$451),0),
IF('TL19'!$B$3=Q$3,SUMIF('TL19'!$C$10:$C$224,$C382,'TL19'!$J$10:$J$224),0),
IF('TL19'!$B$229=Q$3,SUMIF('TL19'!$C$238:$C$451,$C382,'TL19'!$J$238:$J$451),0)
),0)</f>
        <v>0</v>
      </c>
      <c r="R382" s="9">
        <f>IFERROR(
SUM(
SUMIF('TL01'!C:C,C382,'TL01'!J:J),
SUMIF('TL02'!C:C,C382,'TL02'!J:J),
SUMIF('TL03'!C:C,C382,'TL03'!J:J),
SUMIF('TL04'!C:C,C382,'TL04'!J:J),
SUMIF('TL05'!C:C,C382,'TL05'!J:J),
SUMIF('TL06'!C:C,C382,'TL06'!J:J),
SUMIF('TL07'!C:C,C382,'TL07'!J:J),
SUMIF('TL08'!C:C,C382,'TL08'!J:J),
SUMIF('TL09'!C:C,C382,'TL09'!J:J),
SUMIF('TL10'!C:C,C382,'TL10'!J:J),
SUMIF('TL11'!C:C,C382,'TL11'!J:J),
SUMIF('TL12'!C:C,C382,'TL12'!J:J),
SUMIF('TL13'!C:C,C382,'TL13'!J:J),
SUMIF('TL14'!C:C,C382,'TL14'!J:J),
SUMIF('TL15'!C:C,C382,'TL15'!J:J),
SUMIF('TL16'!C:C,C382,'TL16'!J:J),
SUMIF('TL17'!C:C,C382,'TL17'!J:J),
SUMIF('TL18'!C:C,C382,'TL18'!J:J),SUMIF('TL19'!C:C,C382,'TL19'!J:J))
,0)</f>
        <v>0</v>
      </c>
      <c r="S382" s="17">
        <f>IFERROR(__xludf.DUMMYFUNCTION("IFERROR(VLOOKUP(C382,
IMPORTRANGE(""1wULbzX32WdYsx-lj2U3uUNBBe2INVIRDtcK0d-Dvl90"",
""26-27!C:G""),
5,
FALSE),
"""")"),5.88)</f>
        <v>5.88</v>
      </c>
      <c r="T382" s="9"/>
      <c r="U382" s="92">
        <f t="shared" si="2"/>
        <v>0</v>
      </c>
      <c r="V382" s="93">
        <f t="shared" si="3"/>
        <v>0</v>
      </c>
    </row>
    <row r="383" ht="15.75" hidden="1" customHeight="1">
      <c r="A383" s="4" t="s">
        <v>1071</v>
      </c>
      <c r="B383" s="4" t="s">
        <v>4</v>
      </c>
      <c r="C383" s="130" t="s">
        <v>1125</v>
      </c>
      <c r="D383" s="129" t="s">
        <v>1119</v>
      </c>
      <c r="E383" s="122"/>
      <c r="F383" s="4"/>
      <c r="G383" s="90" t="str">
        <f t="shared" si="5"/>
        <v>📄 Ver bula</v>
      </c>
      <c r="H383" s="9"/>
      <c r="I383" s="123"/>
      <c r="J383" s="9">
        <f>IFERROR(SUM(
IF('TL01'!$B$3=J$3,SUMIF('TL01'!$C$10:$C$224,$C383,'TL01'!$J$10:$J$224),0),
IF('TL01'!$B$229=J$3,SUMIF('TL01'!$C$238:$C$451,$C383,'TL01'!$J$238:$J$451),0),
IF('TL02'!$B$3=J$3,SUMIF('TL02'!$C$10:$C$224,$C383,'TL02'!$J$10:$J$224),0),
IF('TL02'!$B$229=J$3,SUMIF('TL02'!$C$238:$C$451,$C383,'TL02'!$J$238:$J$451),0),
IF('TL03'!$B$3=J$3,SUMIF('TL03'!$C$10:$C$224,$C383,'TL03'!$J$10:$J$224),0),
IF('TL03'!$B$229=J$3,SUMIF('TL03'!$C$238:$C$451,$C383,'TL03'!$J$238:$J$451),0),
IF('TL04'!$B$3=J$3,SUMIF('TL04'!$C$10:$C$224,$C383,'TL04'!$J$10:$J$224),0),
IF('TL04'!$B$229=J$3,SUMIF('TL04'!$C$238:$C$451,$C383,'TL04'!$J$238:$J$451),0),
IF('TL05'!$B$3=J$3,SUMIF('TL05'!$C$10:$C$224,$C383,'TL05'!$J$10:$J$224),0),
IF('TL05'!$B$229=J$3,SUMIF('TL05'!$C$238:$C$451,$C383,'TL05'!$J$238:$J$451),0),
IF('TL06'!$B$3=J$3,SUMIF('TL06'!$C$10:$C$224,$C383,'TL06'!$J$10:$J$224),0),
IF('TL06'!$B$229=J$3,SUMIF('TL06'!$C$238:$C$451,$C383,'TL06'!$J$238:$J$451),0),
IF('TL07'!$B$3=J$3,SUMIF('TL07'!$C$10:$C$224,$C383,'TL07'!$J$10:$J$224),0),
IF('TL07'!$B$229=J$3,SUMIF('TL07'!$C$238:$C$451,$C383,'TL07'!$J$238:$J$451),0),
IF('TL08'!$B$3=J$3,SUMIF('TL08'!$C$10:$C$224,$C383,'TL08'!$J$10:$J$224),0),
IF('TL08'!$B$229=J$3,SUMIF('TL08'!$C$238:$C$451,$C383,'TL08'!$J$238:$J$451),0),
IF('TL09'!$B$3=J$3,SUMIF('TL09'!$C$10:$C$224,$C383,'TL09'!$J$10:$J$224),0),
IF('TL09'!$B$229=J$3,SUMIF('TL09'!$C$238:$C$451,$C383,'TL09'!$J$238:$J$451),0),
IF('TL10'!$B$3=J$3,SUMIF('TL10'!$C$10:$C$224,$C383,'TL10'!$J$10:$J$224),0),
IF('TL10'!$B$229=J$3,SUMIF('TL10'!$C$238:$C$451,$C383,'TL10'!$J$238:$J$451),0),
IF('TL11'!$B$3=J$3,SUMIF('TL11'!$C$10:$C$224,$C383,'TL11'!$J$10:$J$224),0),
IF('TL11'!$B$229=J$3,SUMIF('TL11'!$C$238:$C$451,$C383,'TL11'!$J$238:$J$451),0),
IF('TL12'!$B$3=J$3,SUMIF('TL12'!$C$10:$C$224,$C383,'TL12'!$J$10:$J$224),0),
IF('TL12'!$B$229=J$3,SUMIF('TL12'!$C$238:$C$451,$C383,'TL12'!$J$238:$J$451),0),
IF('TL13'!$B$3=J$3,SUMIF('TL13'!$C$10:$C$224,$C383,'TL13'!$J$10:$J$224),0),
IF('TL13'!$B$229=J$3,SUMIF('TL13'!$C$238:$C$451,$C383,'TL13'!$J$238:$J$451),0),
IF('TL14'!$B$3=J$3,SUMIF('TL14'!$C$10:$C$224,$C383,'TL14'!$J$10:$J$224),0),
IF('TL14'!$B$229=J$3,SUMIF('TL14'!$C$238:$C$451,$C383,'TL14'!$J$238:$J$451),0),
IF('TL15'!$B$3=J$3,SUMIF('TL15'!$C$10:$C$224,$C383,'TL15'!$J$10:$J$224),0),
IF('TL15'!$B$229=J$3,SUMIF('TL15'!$C$238:$C$451,$C383,'TL15'!$J$238:$J$451),0),
IF('TL16'!$B$3=J$3,SUMIF('TL16'!$C$10:$C$224,$C383,'TL16'!$J$10:$J$224),0),
IF('TL16'!$B$229=J$3,SUMIF('TL16'!$C$238:$C$451,$C383,'TL16'!$J$238:$J$451),0),
IF('TL17'!$B$3=J$3,SUMIF('TL17'!$C$10:$C$224,$C383,'TL17'!$J$10:$J$224),0),
IF('TL17'!$B$229=J$3,SUMIF('TL17'!$C$238:$C$451,$C383,'TL17'!$J$238:$J$451),0),
IF('TL18'!$B$3=J$3,SUMIF('TL18'!$C$10:$C$224,$C383,'TL18'!$J$10:$J$224),0),
IF('TL18'!$B$229=J$3,SUMIF('TL18'!$C$238:$C$451,$C383,'TL18'!$J$238:$J$451),0),
IF('TL19'!$B$3=J$3,SUMIF('TL19'!$C$10:$C$224,$C383,'TL19'!$J$10:$J$224),0),
IF('TL19'!$B$229=J$3,SUMIF('TL19'!$C$238:$C$451,$C383,'TL19'!$J$238:$J$451),0)
),0)</f>
        <v>0</v>
      </c>
      <c r="K383" s="9">
        <f>IFERROR(SUM(
IF('TL01'!$B$3=K$3,SUMIF('TL01'!$C$10:$C$224,$C383,'TL01'!$J$10:$J$224),0),
IF('TL01'!$B$229=K$3,SUMIF('TL01'!$C$238:$C$451,$C383,'TL01'!$J$238:$J$451),0),
IF('TL02'!$B$3=K$3,SUMIF('TL02'!$C$10:$C$224,$C383,'TL02'!$J$10:$J$224),0),
IF('TL02'!$B$229=K$3,SUMIF('TL02'!$C$238:$C$451,$C383,'TL02'!$J$238:$J$451),0),
IF('TL03'!$B$3=K$3,SUMIF('TL03'!$C$10:$C$224,$C383,'TL03'!$J$10:$J$224),0),
IF('TL03'!$B$229=K$3,SUMIF('TL03'!$C$238:$C$451,$C383,'TL03'!$J$238:$J$451),0),
IF('TL04'!$B$3=K$3,SUMIF('TL04'!$C$10:$C$224,$C383,'TL04'!$J$10:$J$224),0),
IF('TL04'!$B$229=K$3,SUMIF('TL04'!$C$238:$C$451,$C383,'TL04'!$J$238:$J$451),0),
IF('TL05'!$B$3=K$3,SUMIF('TL05'!$C$10:$C$224,$C383,'TL05'!$J$10:$J$224),0),
IF('TL05'!$B$229=K$3,SUMIF('TL05'!$C$238:$C$451,$C383,'TL05'!$J$238:$J$451),0),
IF('TL06'!$B$3=K$3,SUMIF('TL06'!$C$10:$C$224,$C383,'TL06'!$J$10:$J$224),0),
IF('TL06'!$B$229=K$3,SUMIF('TL06'!$C$238:$C$451,$C383,'TL06'!$J$238:$J$451),0),
IF('TL07'!$B$3=K$3,SUMIF('TL07'!$C$10:$C$224,$C383,'TL07'!$J$10:$J$224),0),
IF('TL07'!$B$229=K$3,SUMIF('TL07'!$C$238:$C$451,$C383,'TL07'!$J$238:$J$451),0),
IF('TL08'!$B$3=K$3,SUMIF('TL08'!$C$10:$C$224,$C383,'TL08'!$J$10:$J$224),0),
IF('TL08'!$B$229=K$3,SUMIF('TL08'!$C$238:$C$451,$C383,'TL08'!$J$238:$J$451),0),
IF('TL09'!$B$3=K$3,SUMIF('TL09'!$C$10:$C$224,$C383,'TL09'!$J$10:$J$224),0),
IF('TL09'!$B$229=K$3,SUMIF('TL09'!$C$238:$C$451,$C383,'TL09'!$J$238:$J$451),0),
IF('TL10'!$B$3=K$3,SUMIF('TL10'!$C$10:$C$224,$C383,'TL10'!$J$10:$J$224),0),
IF('TL10'!$B$229=K$3,SUMIF('TL10'!$C$238:$C$451,$C383,'TL10'!$J$238:$J$451),0),
IF('TL11'!$B$3=K$3,SUMIF('TL11'!$C$10:$C$224,$C383,'TL11'!$J$10:$J$224),0),
IF('TL11'!$B$229=K$3,SUMIF('TL11'!$C$238:$C$451,$C383,'TL11'!$J$238:$J$451),0),
IF('TL12'!$B$3=K$3,SUMIF('TL12'!$C$10:$C$224,$C383,'TL12'!$J$10:$J$224),0),
IF('TL12'!$B$229=K$3,SUMIF('TL12'!$C$238:$C$451,$C383,'TL12'!$J$238:$J$451),0),
IF('TL13'!$B$3=K$3,SUMIF('TL13'!$C$10:$C$224,$C383,'TL13'!$J$10:$J$224),0),
IF('TL13'!$B$229=K$3,SUMIF('TL13'!$C$238:$C$451,$C383,'TL13'!$J$238:$J$451),0),
IF('TL14'!$B$3=K$3,SUMIF('TL14'!$C$10:$C$224,$C383,'TL14'!$J$10:$J$224),0),
IF('TL14'!$B$229=K$3,SUMIF('TL14'!$C$238:$C$451,$C383,'TL14'!$J$238:$J$451),0),
IF('TL15'!$B$3=K$3,SUMIF('TL15'!$C$10:$C$224,$C383,'TL15'!$J$10:$J$224),0),
IF('TL15'!$B$229=K$3,SUMIF('TL15'!$C$238:$C$451,$C383,'TL15'!$J$238:$J$451),0),
IF('TL16'!$B$3=K$3,SUMIF('TL16'!$C$10:$C$224,$C383,'TL16'!$J$10:$J$224),0),
IF('TL16'!$B$229=K$3,SUMIF('TL16'!$C$238:$C$451,$C383,'TL16'!$J$238:$J$451),0),
IF('TL17'!$B$3=K$3,SUMIF('TL17'!$C$10:$C$224,$C383,'TL17'!$J$10:$J$224),0),
IF('TL17'!$B$229=K$3,SUMIF('TL17'!$C$238:$C$451,$C383,'TL17'!$J$238:$J$451),0),
IF('TL18'!$B$3=K$3,SUMIF('TL18'!$C$10:$C$224,$C383,'TL18'!$J$10:$J$224),0),
IF('TL18'!$B$229=K$3,SUMIF('TL18'!$C$238:$C$451,$C383,'TL18'!$J$238:$J$451),0),
IF('TL19'!$B$3=K$3,SUMIF('TL19'!$C$10:$C$224,$C383,'TL19'!$J$10:$J$224),0),
IF('TL19'!$B$229=K$3,SUMIF('TL19'!$C$238:$C$451,$C383,'TL19'!$J$238:$J$451),0)
),0)</f>
        <v>0</v>
      </c>
      <c r="L383" s="9">
        <f>IFERROR(SUM(
IF('TL01'!$B$3=L$3,SUMIF('TL01'!$C$10:$C$224,$C383,'TL01'!$J$10:$J$224),0),
IF('TL01'!$B$229=L$3,SUMIF('TL01'!$C$238:$C$451,$C383,'TL01'!$J$238:$J$451),0),
IF('TL02'!$B$3=L$3,SUMIF('TL02'!$C$10:$C$224,$C383,'TL02'!$J$10:$J$224),0),
IF('TL02'!$B$229=L$3,SUMIF('TL02'!$C$238:$C$451,$C383,'TL02'!$J$238:$J$451),0),
IF('TL03'!$B$3=L$3,SUMIF('TL03'!$C$10:$C$224,$C383,'TL03'!$J$10:$J$224),0),
IF('TL03'!$B$229=L$3,SUMIF('TL03'!$C$238:$C$451,$C383,'TL03'!$J$238:$J$451),0),
IF('TL04'!$B$3=L$3,SUMIF('TL04'!$C$10:$C$224,$C383,'TL04'!$J$10:$J$224),0),
IF('TL04'!$B$229=L$3,SUMIF('TL04'!$C$238:$C$451,$C383,'TL04'!$J$238:$J$451),0),
IF('TL05'!$B$3=L$3,SUMIF('TL05'!$C$10:$C$224,$C383,'TL05'!$J$10:$J$224),0),
IF('TL05'!$B$229=L$3,SUMIF('TL05'!$C$238:$C$451,$C383,'TL05'!$J$238:$J$451),0),
IF('TL06'!$B$3=L$3,SUMIF('TL06'!$C$10:$C$224,$C383,'TL06'!$J$10:$J$224),0),
IF('TL06'!$B$229=L$3,SUMIF('TL06'!$C$238:$C$451,$C383,'TL06'!$J$238:$J$451),0),
IF('TL07'!$B$3=L$3,SUMIF('TL07'!$C$10:$C$224,$C383,'TL07'!$J$10:$J$224),0),
IF('TL07'!$B$229=L$3,SUMIF('TL07'!$C$238:$C$451,$C383,'TL07'!$J$238:$J$451),0),
IF('TL08'!$B$3=L$3,SUMIF('TL08'!$C$10:$C$224,$C383,'TL08'!$J$10:$J$224),0),
IF('TL08'!$B$229=L$3,SUMIF('TL08'!$C$238:$C$451,$C383,'TL08'!$J$238:$J$451),0),
IF('TL09'!$B$3=L$3,SUMIF('TL09'!$C$10:$C$224,$C383,'TL09'!$J$10:$J$224),0),
IF('TL09'!$B$229=L$3,SUMIF('TL09'!$C$238:$C$451,$C383,'TL09'!$J$238:$J$451),0),
IF('TL10'!$B$3=L$3,SUMIF('TL10'!$C$10:$C$224,$C383,'TL10'!$J$10:$J$224),0),
IF('TL10'!$B$229=L$3,SUMIF('TL10'!$C$238:$C$451,$C383,'TL10'!$J$238:$J$451),0),
IF('TL11'!$B$3=L$3,SUMIF('TL11'!$C$10:$C$224,$C383,'TL11'!$J$10:$J$224),0),
IF('TL11'!$B$229=L$3,SUMIF('TL11'!$C$238:$C$451,$C383,'TL11'!$J$238:$J$451),0),
IF('TL12'!$B$3=L$3,SUMIF('TL12'!$C$10:$C$224,$C383,'TL12'!$J$10:$J$224),0),
IF('TL12'!$B$229=L$3,SUMIF('TL12'!$C$238:$C$451,$C383,'TL12'!$J$238:$J$451),0),
IF('TL13'!$B$3=L$3,SUMIF('TL13'!$C$10:$C$224,$C383,'TL13'!$J$10:$J$224),0),
IF('TL13'!$B$229=L$3,SUMIF('TL13'!$C$238:$C$451,$C383,'TL13'!$J$238:$J$451),0),
IF('TL14'!$B$3=L$3,SUMIF('TL14'!$C$10:$C$224,$C383,'TL14'!$J$10:$J$224),0),
IF('TL14'!$B$229=L$3,SUMIF('TL14'!$C$238:$C$451,$C383,'TL14'!$J$238:$J$451),0),
IF('TL15'!$B$3=L$3,SUMIF('TL15'!$C$10:$C$224,$C383,'TL15'!$J$10:$J$224),0),
IF('TL15'!$B$229=L$3,SUMIF('TL15'!$C$238:$C$451,$C383,'TL15'!$J$238:$J$451),0),
IF('TL16'!$B$3=L$3,SUMIF('TL16'!$C$10:$C$224,$C383,'TL16'!$J$10:$J$224),0),
IF('TL16'!$B$229=L$3,SUMIF('TL16'!$C$238:$C$451,$C383,'TL16'!$J$238:$J$451),0),
IF('TL17'!$B$3=L$3,SUMIF('TL17'!$C$10:$C$224,$C383,'TL17'!$J$10:$J$224),0),
IF('TL17'!$B$229=L$3,SUMIF('TL17'!$C$238:$C$451,$C383,'TL17'!$J$238:$J$451),0),
IF('TL18'!$B$3=L$3,SUMIF('TL18'!$C$10:$C$224,$C383,'TL18'!$J$10:$J$224),0),
IF('TL18'!$B$229=L$3,SUMIF('TL18'!$C$238:$C$451,$C383,'TL18'!$J$238:$J$451),0),
IF('TL19'!$B$3=L$3,SUMIF('TL19'!$C$10:$C$224,$C383,'TL19'!$J$10:$J$224),0),
IF('TL19'!$B$229=L$3,SUMIF('TL19'!$C$238:$C$451,$C383,'TL19'!$J$238:$J$451),0)
),0)</f>
        <v>0</v>
      </c>
      <c r="M383" s="9">
        <f>IFERROR(SUM(
IF('TL01'!$B$3=M$3,SUMIF('TL01'!$C$10:$C$224,$C383,'TL01'!$J$10:$J$224),0),
IF('TL01'!$B$229=M$3,SUMIF('TL01'!$C$238:$C$451,$C383,'TL01'!$J$238:$J$451),0),
IF('TL02'!$B$3=M$3,SUMIF('TL02'!$C$10:$C$224,$C383,'TL02'!$J$10:$J$224),0),
IF('TL02'!$B$229=M$3,SUMIF('TL02'!$C$238:$C$451,$C383,'TL02'!$J$238:$J$451),0),
IF('TL03'!$B$3=M$3,SUMIF('TL03'!$C$10:$C$224,$C383,'TL03'!$J$10:$J$224),0),
IF('TL03'!$B$229=M$3,SUMIF('TL03'!$C$238:$C$451,$C383,'TL03'!$J$238:$J$451),0),
IF('TL04'!$B$3=M$3,SUMIF('TL04'!$C$10:$C$224,$C383,'TL04'!$J$10:$J$224),0),
IF('TL04'!$B$229=M$3,SUMIF('TL04'!$C$238:$C$451,$C383,'TL04'!$J$238:$J$451),0),
IF('TL05'!$B$3=M$3,SUMIF('TL05'!$C$10:$C$224,$C383,'TL05'!$J$10:$J$224),0),
IF('TL05'!$B$229=M$3,SUMIF('TL05'!$C$238:$C$451,$C383,'TL05'!$J$238:$J$451),0),
IF('TL06'!$B$3=M$3,SUMIF('TL06'!$C$10:$C$224,$C383,'TL06'!$J$10:$J$224),0),
IF('TL06'!$B$229=M$3,SUMIF('TL06'!$C$238:$C$451,$C383,'TL06'!$J$238:$J$451),0),
IF('TL07'!$B$3=M$3,SUMIF('TL07'!$C$10:$C$224,$C383,'TL07'!$J$10:$J$224),0),
IF('TL07'!$B$229=M$3,SUMIF('TL07'!$C$238:$C$451,$C383,'TL07'!$J$238:$J$451),0),
IF('TL08'!$B$3=M$3,SUMIF('TL08'!$C$10:$C$224,$C383,'TL08'!$J$10:$J$224),0),
IF('TL08'!$B$229=M$3,SUMIF('TL08'!$C$238:$C$451,$C383,'TL08'!$J$238:$J$451),0),
IF('TL09'!$B$3=M$3,SUMIF('TL09'!$C$10:$C$224,$C383,'TL09'!$J$10:$J$224),0),
IF('TL09'!$B$229=M$3,SUMIF('TL09'!$C$238:$C$451,$C383,'TL09'!$J$238:$J$451),0),
IF('TL10'!$B$3=M$3,SUMIF('TL10'!$C$10:$C$224,$C383,'TL10'!$J$10:$J$224),0),
IF('TL10'!$B$229=M$3,SUMIF('TL10'!$C$238:$C$451,$C383,'TL10'!$J$238:$J$451),0),
IF('TL11'!$B$3=M$3,SUMIF('TL11'!$C$10:$C$224,$C383,'TL11'!$J$10:$J$224),0),
IF('TL11'!$B$229=M$3,SUMIF('TL11'!$C$238:$C$451,$C383,'TL11'!$J$238:$J$451),0),
IF('TL12'!$B$3=M$3,SUMIF('TL12'!$C$10:$C$224,$C383,'TL12'!$J$10:$J$224),0),
IF('TL12'!$B$229=M$3,SUMIF('TL12'!$C$238:$C$451,$C383,'TL12'!$J$238:$J$451),0),
IF('TL13'!$B$3=M$3,SUMIF('TL13'!$C$10:$C$224,$C383,'TL13'!$J$10:$J$224),0),
IF('TL13'!$B$229=M$3,SUMIF('TL13'!$C$238:$C$451,$C383,'TL13'!$J$238:$J$451),0),
IF('TL14'!$B$3=M$3,SUMIF('TL14'!$C$10:$C$224,$C383,'TL14'!$J$10:$J$224),0),
IF('TL14'!$B$229=M$3,SUMIF('TL14'!$C$238:$C$451,$C383,'TL14'!$J$238:$J$451),0),
IF('TL15'!$B$3=M$3,SUMIF('TL15'!$C$10:$C$224,$C383,'TL15'!$J$10:$J$224),0),
IF('TL15'!$B$229=M$3,SUMIF('TL15'!$C$238:$C$451,$C383,'TL15'!$J$238:$J$451),0),
IF('TL16'!$B$3=M$3,SUMIF('TL16'!$C$10:$C$224,$C383,'TL16'!$J$10:$J$224),0),
IF('TL16'!$B$229=M$3,SUMIF('TL16'!$C$238:$C$451,$C383,'TL16'!$J$238:$J$451),0),
IF('TL17'!$B$3=M$3,SUMIF('TL17'!$C$10:$C$224,$C383,'TL17'!$J$10:$J$224),0),
IF('TL17'!$B$229=M$3,SUMIF('TL17'!$C$238:$C$451,$C383,'TL17'!$J$238:$J$451),0),
IF('TL18'!$B$3=M$3,SUMIF('TL18'!$C$10:$C$224,$C383,'TL18'!$J$10:$J$224),0),
IF('TL18'!$B$229=M$3,SUMIF('TL18'!$C$238:$C$451,$C383,'TL18'!$J$238:$J$451),0),
IF('TL19'!$B$3=M$3,SUMIF('TL19'!$C$10:$C$224,$C383,'TL19'!$J$10:$J$224),0),
IF('TL19'!$B$229=M$3,SUMIF('TL19'!$C$238:$C$451,$C383,'TL19'!$J$238:$J$451),0)
),0)</f>
        <v>0</v>
      </c>
      <c r="N383" s="9">
        <f>IFERROR(SUM(
IF('TL01'!$B$3=N$3,SUMIF('TL01'!$C$10:$C$224,$C383,'TL01'!$J$10:$J$224),0),
IF('TL01'!$B$229=N$3,SUMIF('TL01'!$C$238:$C$451,$C383,'TL01'!$J$238:$J$451),0),
IF('TL02'!$B$3=N$3,SUMIF('TL02'!$C$10:$C$224,$C383,'TL02'!$J$10:$J$224),0),
IF('TL02'!$B$229=N$3,SUMIF('TL02'!$C$238:$C$451,$C383,'TL02'!$J$238:$J$451),0),
IF('TL03'!$B$3=N$3,SUMIF('TL03'!$C$10:$C$224,$C383,'TL03'!$J$10:$J$224),0),
IF('TL03'!$B$229=N$3,SUMIF('TL03'!$C$238:$C$451,$C383,'TL03'!$J$238:$J$451),0),
IF('TL04'!$B$3=N$3,SUMIF('TL04'!$C$10:$C$224,$C383,'TL04'!$J$10:$J$224),0),
IF('TL04'!$B$229=N$3,SUMIF('TL04'!$C$238:$C$451,$C383,'TL04'!$J$238:$J$451),0),
IF('TL05'!$B$3=N$3,SUMIF('TL05'!$C$10:$C$224,$C383,'TL05'!$J$10:$J$224),0),
IF('TL05'!$B$229=N$3,SUMIF('TL05'!$C$238:$C$451,$C383,'TL05'!$J$238:$J$451),0),
IF('TL06'!$B$3=N$3,SUMIF('TL06'!$C$10:$C$224,$C383,'TL06'!$J$10:$J$224),0),
IF('TL06'!$B$229=N$3,SUMIF('TL06'!$C$238:$C$451,$C383,'TL06'!$J$238:$J$451),0),
IF('TL07'!$B$3=N$3,SUMIF('TL07'!$C$10:$C$224,$C383,'TL07'!$J$10:$J$224),0),
IF('TL07'!$B$229=N$3,SUMIF('TL07'!$C$238:$C$451,$C383,'TL07'!$J$238:$J$451),0),
IF('TL08'!$B$3=N$3,SUMIF('TL08'!$C$10:$C$224,$C383,'TL08'!$J$10:$J$224),0),
IF('TL08'!$B$229=N$3,SUMIF('TL08'!$C$238:$C$451,$C383,'TL08'!$J$238:$J$451),0),
IF('TL09'!$B$3=N$3,SUMIF('TL09'!$C$10:$C$224,$C383,'TL09'!$J$10:$J$224),0),
IF('TL09'!$B$229=N$3,SUMIF('TL09'!$C$238:$C$451,$C383,'TL09'!$J$238:$J$451),0),
IF('TL10'!$B$3=N$3,SUMIF('TL10'!$C$10:$C$224,$C383,'TL10'!$J$10:$J$224),0),
IF('TL10'!$B$229=N$3,SUMIF('TL10'!$C$238:$C$451,$C383,'TL10'!$J$238:$J$451),0),
IF('TL11'!$B$3=N$3,SUMIF('TL11'!$C$10:$C$224,$C383,'TL11'!$J$10:$J$224),0),
IF('TL11'!$B$229=N$3,SUMIF('TL11'!$C$238:$C$451,$C383,'TL11'!$J$238:$J$451),0),
IF('TL12'!$B$3=N$3,SUMIF('TL12'!$C$10:$C$224,$C383,'TL12'!$J$10:$J$224),0),
IF('TL12'!$B$229=N$3,SUMIF('TL12'!$C$238:$C$451,$C383,'TL12'!$J$238:$J$451),0),
IF('TL13'!$B$3=N$3,SUMIF('TL13'!$C$10:$C$224,$C383,'TL13'!$J$10:$J$224),0),
IF('TL13'!$B$229=N$3,SUMIF('TL13'!$C$238:$C$451,$C383,'TL13'!$J$238:$J$451),0),
IF('TL14'!$B$3=N$3,SUMIF('TL14'!$C$10:$C$224,$C383,'TL14'!$J$10:$J$224),0),
IF('TL14'!$B$229=N$3,SUMIF('TL14'!$C$238:$C$451,$C383,'TL14'!$J$238:$J$451),0),
IF('TL15'!$B$3=N$3,SUMIF('TL15'!$C$10:$C$224,$C383,'TL15'!$J$10:$J$224),0),
IF('TL15'!$B$229=N$3,SUMIF('TL15'!$C$238:$C$451,$C383,'TL15'!$J$238:$J$451),0),
IF('TL16'!$B$3=N$3,SUMIF('TL16'!$C$10:$C$224,$C383,'TL16'!$J$10:$J$224),0),
IF('TL16'!$B$229=N$3,SUMIF('TL16'!$C$238:$C$451,$C383,'TL16'!$J$238:$J$451),0),
IF('TL17'!$B$3=N$3,SUMIF('TL17'!$C$10:$C$224,$C383,'TL17'!$J$10:$J$224),0),
IF('TL17'!$B$229=N$3,SUMIF('TL17'!$C$238:$C$451,$C383,'TL17'!$J$238:$J$451),0),
IF('TL18'!$B$3=N$3,SUMIF('TL18'!$C$10:$C$224,$C383,'TL18'!$J$10:$J$224),0),
IF('TL18'!$B$229=N$3,SUMIF('TL18'!$C$238:$C$451,$C383,'TL18'!$J$238:$J$451),0),
IF('TL19'!$B$3=N$3,SUMIF('TL19'!$C$10:$C$224,$C383,'TL19'!$J$10:$J$224),0),
IF('TL19'!$B$229=N$3,SUMIF('TL19'!$C$238:$C$451,$C383,'TL19'!$J$238:$J$451),0)
),0)</f>
        <v>0</v>
      </c>
      <c r="O383" s="9">
        <f>IFERROR(SUM(
IF('TL01'!$B$3=O$3,SUMIF('TL01'!$C$10:$C$224,$C383,'TL01'!$J$10:$J$224),0),
IF('TL01'!$B$229=O$3,SUMIF('TL01'!$C$238:$C$451,$C383,'TL01'!$J$238:$J$451),0),
IF('TL02'!$B$3=O$3,SUMIF('TL02'!$C$10:$C$224,$C383,'TL02'!$J$10:$J$224),0),
IF('TL02'!$B$229=O$3,SUMIF('TL02'!$C$238:$C$451,$C383,'TL02'!$J$238:$J$451),0),
IF('TL03'!$B$3=O$3,SUMIF('TL03'!$C$10:$C$224,$C383,'TL03'!$J$10:$J$224),0),
IF('TL03'!$B$229=O$3,SUMIF('TL03'!$C$238:$C$451,$C383,'TL03'!$J$238:$J$451),0),
IF('TL04'!$B$3=O$3,SUMIF('TL04'!$C$10:$C$224,$C383,'TL04'!$J$10:$J$224),0),
IF('TL04'!$B$229=O$3,SUMIF('TL04'!$C$238:$C$451,$C383,'TL04'!$J$238:$J$451),0),
IF('TL05'!$B$3=O$3,SUMIF('TL05'!$C$10:$C$224,$C383,'TL05'!$J$10:$J$224),0),
IF('TL05'!$B$229=O$3,SUMIF('TL05'!$C$238:$C$451,$C383,'TL05'!$J$238:$J$451),0),
IF('TL06'!$B$3=O$3,SUMIF('TL06'!$C$10:$C$224,$C383,'TL06'!$J$10:$J$224),0),
IF('TL06'!$B$229=O$3,SUMIF('TL06'!$C$238:$C$451,$C383,'TL06'!$J$238:$J$451),0),
IF('TL07'!$B$3=O$3,SUMIF('TL07'!$C$10:$C$224,$C383,'TL07'!$J$10:$J$224),0),
IF('TL07'!$B$229=O$3,SUMIF('TL07'!$C$238:$C$451,$C383,'TL07'!$J$238:$J$451),0),
IF('TL08'!$B$3=O$3,SUMIF('TL08'!$C$10:$C$224,$C383,'TL08'!$J$10:$J$224),0),
IF('TL08'!$B$229=O$3,SUMIF('TL08'!$C$238:$C$451,$C383,'TL08'!$J$238:$J$451),0),
IF('TL09'!$B$3=O$3,SUMIF('TL09'!$C$10:$C$224,$C383,'TL09'!$J$10:$J$224),0),
IF('TL09'!$B$229=O$3,SUMIF('TL09'!$C$238:$C$451,$C383,'TL09'!$J$238:$J$451),0),
IF('TL10'!$B$3=O$3,SUMIF('TL10'!$C$10:$C$224,$C383,'TL10'!$J$10:$J$224),0),
IF('TL10'!$B$229=O$3,SUMIF('TL10'!$C$238:$C$451,$C383,'TL10'!$J$238:$J$451),0),
IF('TL11'!$B$3=O$3,SUMIF('TL11'!$C$10:$C$224,$C383,'TL11'!$J$10:$J$224),0),
IF('TL11'!$B$229=O$3,SUMIF('TL11'!$C$238:$C$451,$C383,'TL11'!$J$238:$J$451),0),
IF('TL12'!$B$3=O$3,SUMIF('TL12'!$C$10:$C$224,$C383,'TL12'!$J$10:$J$224),0),
IF('TL12'!$B$229=O$3,SUMIF('TL12'!$C$238:$C$451,$C383,'TL12'!$J$238:$J$451),0),
IF('TL13'!$B$3=O$3,SUMIF('TL13'!$C$10:$C$224,$C383,'TL13'!$J$10:$J$224),0),
IF('TL13'!$B$229=O$3,SUMIF('TL13'!$C$238:$C$451,$C383,'TL13'!$J$238:$J$451),0),
IF('TL14'!$B$3=O$3,SUMIF('TL14'!$C$10:$C$224,$C383,'TL14'!$J$10:$J$224),0),
IF('TL14'!$B$229=O$3,SUMIF('TL14'!$C$238:$C$451,$C383,'TL14'!$J$238:$J$451),0),
IF('TL15'!$B$3=O$3,SUMIF('TL15'!$C$10:$C$224,$C383,'TL15'!$J$10:$J$224),0),
IF('TL15'!$B$229=O$3,SUMIF('TL15'!$C$238:$C$451,$C383,'TL15'!$J$238:$J$451),0),
IF('TL16'!$B$3=O$3,SUMIF('TL16'!$C$10:$C$224,$C383,'TL16'!$J$10:$J$224),0),
IF('TL16'!$B$229=O$3,SUMIF('TL16'!$C$238:$C$451,$C383,'TL16'!$J$238:$J$451),0),
IF('TL17'!$B$3=O$3,SUMIF('TL17'!$C$10:$C$224,$C383,'TL17'!$J$10:$J$224),0),
IF('TL17'!$B$229=O$3,SUMIF('TL17'!$C$238:$C$451,$C383,'TL17'!$J$238:$J$451),0),
IF('TL18'!$B$3=O$3,SUMIF('TL18'!$C$10:$C$224,$C383,'TL18'!$J$10:$J$224),0),
IF('TL18'!$B$229=O$3,SUMIF('TL18'!$C$238:$C$451,$C383,'TL18'!$J$238:$J$451),0),
IF('TL19'!$B$3=O$3,SUMIF('TL19'!$C$10:$C$224,$C383,'TL19'!$J$10:$J$224),0),
IF('TL19'!$B$229=O$3,SUMIF('TL19'!$C$238:$C$451,$C383,'TL19'!$J$238:$J$451),0)
),0)</f>
        <v>0</v>
      </c>
      <c r="P383" s="9">
        <f>IFERROR(SUM(
IF('TL01'!$B$3=P$3,SUMIF('TL01'!$C$10:$C$224,$C383,'TL01'!$J$10:$J$224),0),
IF('TL01'!$B$229=P$3,SUMIF('TL01'!$C$238:$C$451,$C383,'TL01'!$J$238:$J$451),0),
IF('TL02'!$B$3=P$3,SUMIF('TL02'!$C$10:$C$224,$C383,'TL02'!$J$10:$J$224),0),
IF('TL02'!$B$229=P$3,SUMIF('TL02'!$C$238:$C$451,$C383,'TL02'!$J$238:$J$451),0),
IF('TL03'!$B$3=P$3,SUMIF('TL03'!$C$10:$C$224,$C383,'TL03'!$J$10:$J$224),0),
IF('TL03'!$B$229=P$3,SUMIF('TL03'!$C$238:$C$451,$C383,'TL03'!$J$238:$J$451),0),
IF('TL04'!$B$3=P$3,SUMIF('TL04'!$C$10:$C$224,$C383,'TL04'!$J$10:$J$224),0),
IF('TL04'!$B$229=P$3,SUMIF('TL04'!$C$238:$C$451,$C383,'TL04'!$J$238:$J$451),0),
IF('TL05'!$B$3=P$3,SUMIF('TL05'!$C$10:$C$224,$C383,'TL05'!$J$10:$J$224),0),
IF('TL05'!$B$229=P$3,SUMIF('TL05'!$C$238:$C$451,$C383,'TL05'!$J$238:$J$451),0),
IF('TL06'!$B$3=P$3,SUMIF('TL06'!$C$10:$C$224,$C383,'TL06'!$J$10:$J$224),0),
IF('TL06'!$B$229=P$3,SUMIF('TL06'!$C$238:$C$451,$C383,'TL06'!$J$238:$J$451),0),
IF('TL07'!$B$3=P$3,SUMIF('TL07'!$C$10:$C$224,$C383,'TL07'!$J$10:$J$224),0),
IF('TL07'!$B$229=P$3,SUMIF('TL07'!$C$238:$C$451,$C383,'TL07'!$J$238:$J$451),0),
IF('TL08'!$B$3=P$3,SUMIF('TL08'!$C$10:$C$224,$C383,'TL08'!$J$10:$J$224),0),
IF('TL08'!$B$229=P$3,SUMIF('TL08'!$C$238:$C$451,$C383,'TL08'!$J$238:$J$451),0),
IF('TL09'!$B$3=P$3,SUMIF('TL09'!$C$10:$C$224,$C383,'TL09'!$J$10:$J$224),0),
IF('TL09'!$B$229=P$3,SUMIF('TL09'!$C$238:$C$451,$C383,'TL09'!$J$238:$J$451),0),
IF('TL10'!$B$3=P$3,SUMIF('TL10'!$C$10:$C$224,$C383,'TL10'!$J$10:$J$224),0),
IF('TL10'!$B$229=P$3,SUMIF('TL10'!$C$238:$C$451,$C383,'TL10'!$J$238:$J$451),0),
IF('TL11'!$B$3=P$3,SUMIF('TL11'!$C$10:$C$224,$C383,'TL11'!$J$10:$J$224),0),
IF('TL11'!$B$229=P$3,SUMIF('TL11'!$C$238:$C$451,$C383,'TL11'!$J$238:$J$451),0),
IF('TL12'!$B$3=P$3,SUMIF('TL12'!$C$10:$C$224,$C383,'TL12'!$J$10:$J$224),0),
IF('TL12'!$B$229=P$3,SUMIF('TL12'!$C$238:$C$451,$C383,'TL12'!$J$238:$J$451),0),
IF('TL13'!$B$3=P$3,SUMIF('TL13'!$C$10:$C$224,$C383,'TL13'!$J$10:$J$224),0),
IF('TL13'!$B$229=P$3,SUMIF('TL13'!$C$238:$C$451,$C383,'TL13'!$J$238:$J$451),0),
IF('TL14'!$B$3=P$3,SUMIF('TL14'!$C$10:$C$224,$C383,'TL14'!$J$10:$J$224),0),
IF('TL14'!$B$229=P$3,SUMIF('TL14'!$C$238:$C$451,$C383,'TL14'!$J$238:$J$451),0),
IF('TL15'!$B$3=P$3,SUMIF('TL15'!$C$10:$C$224,$C383,'TL15'!$J$10:$J$224),0),
IF('TL15'!$B$229=P$3,SUMIF('TL15'!$C$238:$C$451,$C383,'TL15'!$J$238:$J$451),0),
IF('TL16'!$B$3=P$3,SUMIF('TL16'!$C$10:$C$224,$C383,'TL16'!$J$10:$J$224),0),
IF('TL16'!$B$229=P$3,SUMIF('TL16'!$C$238:$C$451,$C383,'TL16'!$J$238:$J$451),0),
IF('TL17'!$B$3=P$3,SUMIF('TL17'!$C$10:$C$224,$C383,'TL17'!$J$10:$J$224),0),
IF('TL17'!$B$229=P$3,SUMIF('TL17'!$C$238:$C$451,$C383,'TL17'!$J$238:$J$451),0),
IF('TL18'!$B$3=P$3,SUMIF('TL18'!$C$10:$C$224,$C383,'TL18'!$J$10:$J$224),0),
IF('TL18'!$B$229=P$3,SUMIF('TL18'!$C$238:$C$451,$C383,'TL18'!$J$238:$J$451),0),
IF('TL19'!$B$3=P$3,SUMIF('TL19'!$C$10:$C$224,$C383,'TL19'!$J$10:$J$224),0),
IF('TL19'!$B$229=P$3,SUMIF('TL19'!$C$238:$C$451,$C383,'TL19'!$J$238:$J$451),0)
),0)</f>
        <v>0</v>
      </c>
      <c r="Q383" s="9">
        <f>IFERROR(SUM(
IF('TL01'!$B$3=Q$3,SUMIF('TL01'!$C$10:$C$224,$C383,'TL01'!$J$10:$J$224),0),
IF('TL01'!$B$229=Q$3,SUMIF('TL01'!$C$238:$C$451,$C383,'TL01'!$J$238:$J$451),0),
IF('TL02'!$B$3=Q$3,SUMIF('TL02'!$C$10:$C$224,$C383,'TL02'!$J$10:$J$224),0),
IF('TL02'!$B$229=Q$3,SUMIF('TL02'!$C$238:$C$451,$C383,'TL02'!$J$238:$J$451),0),
IF('TL03'!$B$3=Q$3,SUMIF('TL03'!$C$10:$C$224,$C383,'TL03'!$J$10:$J$224),0),
IF('TL03'!$B$229=Q$3,SUMIF('TL03'!$C$238:$C$451,$C383,'TL03'!$J$238:$J$451),0),
IF('TL04'!$B$3=Q$3,SUMIF('TL04'!$C$10:$C$224,$C383,'TL04'!$J$10:$J$224),0),
IF('TL04'!$B$229=Q$3,SUMIF('TL04'!$C$238:$C$451,$C383,'TL04'!$J$238:$J$451),0),
IF('TL05'!$B$3=Q$3,SUMIF('TL05'!$C$10:$C$224,$C383,'TL05'!$J$10:$J$224),0),
IF('TL05'!$B$229=Q$3,SUMIF('TL05'!$C$238:$C$451,$C383,'TL05'!$J$238:$J$451),0),
IF('TL06'!$B$3=Q$3,SUMIF('TL06'!$C$10:$C$224,$C383,'TL06'!$J$10:$J$224),0),
IF('TL06'!$B$229=Q$3,SUMIF('TL06'!$C$238:$C$451,$C383,'TL06'!$J$238:$J$451),0),
IF('TL07'!$B$3=Q$3,SUMIF('TL07'!$C$10:$C$224,$C383,'TL07'!$J$10:$J$224),0),
IF('TL07'!$B$229=Q$3,SUMIF('TL07'!$C$238:$C$451,$C383,'TL07'!$J$238:$J$451),0),
IF('TL08'!$B$3=Q$3,SUMIF('TL08'!$C$10:$C$224,$C383,'TL08'!$J$10:$J$224),0),
IF('TL08'!$B$229=Q$3,SUMIF('TL08'!$C$238:$C$451,$C383,'TL08'!$J$238:$J$451),0),
IF('TL09'!$B$3=Q$3,SUMIF('TL09'!$C$10:$C$224,$C383,'TL09'!$J$10:$J$224),0),
IF('TL09'!$B$229=Q$3,SUMIF('TL09'!$C$238:$C$451,$C383,'TL09'!$J$238:$J$451),0),
IF('TL10'!$B$3=Q$3,SUMIF('TL10'!$C$10:$C$224,$C383,'TL10'!$J$10:$J$224),0),
IF('TL10'!$B$229=Q$3,SUMIF('TL10'!$C$238:$C$451,$C383,'TL10'!$J$238:$J$451),0),
IF('TL11'!$B$3=Q$3,SUMIF('TL11'!$C$10:$C$224,$C383,'TL11'!$J$10:$J$224),0),
IF('TL11'!$B$229=Q$3,SUMIF('TL11'!$C$238:$C$451,$C383,'TL11'!$J$238:$J$451),0),
IF('TL12'!$B$3=Q$3,SUMIF('TL12'!$C$10:$C$224,$C383,'TL12'!$J$10:$J$224),0),
IF('TL12'!$B$229=Q$3,SUMIF('TL12'!$C$238:$C$451,$C383,'TL12'!$J$238:$J$451),0),
IF('TL13'!$B$3=Q$3,SUMIF('TL13'!$C$10:$C$224,$C383,'TL13'!$J$10:$J$224),0),
IF('TL13'!$B$229=Q$3,SUMIF('TL13'!$C$238:$C$451,$C383,'TL13'!$J$238:$J$451),0),
IF('TL14'!$B$3=Q$3,SUMIF('TL14'!$C$10:$C$224,$C383,'TL14'!$J$10:$J$224),0),
IF('TL14'!$B$229=Q$3,SUMIF('TL14'!$C$238:$C$451,$C383,'TL14'!$J$238:$J$451),0),
IF('TL15'!$B$3=Q$3,SUMIF('TL15'!$C$10:$C$224,$C383,'TL15'!$J$10:$J$224),0),
IF('TL15'!$B$229=Q$3,SUMIF('TL15'!$C$238:$C$451,$C383,'TL15'!$J$238:$J$451),0),
IF('TL16'!$B$3=Q$3,SUMIF('TL16'!$C$10:$C$224,$C383,'TL16'!$J$10:$J$224),0),
IF('TL16'!$B$229=Q$3,SUMIF('TL16'!$C$238:$C$451,$C383,'TL16'!$J$238:$J$451),0),
IF('TL17'!$B$3=Q$3,SUMIF('TL17'!$C$10:$C$224,$C383,'TL17'!$J$10:$J$224),0),
IF('TL17'!$B$229=Q$3,SUMIF('TL17'!$C$238:$C$451,$C383,'TL17'!$J$238:$J$451),0),
IF('TL18'!$B$3=Q$3,SUMIF('TL18'!$C$10:$C$224,$C383,'TL18'!$J$10:$J$224),0),
IF('TL18'!$B$229=Q$3,SUMIF('TL18'!$C$238:$C$451,$C383,'TL18'!$J$238:$J$451),0),
IF('TL19'!$B$3=Q$3,SUMIF('TL19'!$C$10:$C$224,$C383,'TL19'!$J$10:$J$224),0),
IF('TL19'!$B$229=Q$3,SUMIF('TL19'!$C$238:$C$451,$C383,'TL19'!$J$238:$J$451),0)
),0)</f>
        <v>0</v>
      </c>
      <c r="R383" s="9">
        <f>IFERROR(
SUM(
SUMIF('TL01'!C:C,C383,'TL01'!J:J),
SUMIF('TL02'!C:C,C383,'TL02'!J:J),
SUMIF('TL03'!C:C,C383,'TL03'!J:J),
SUMIF('TL04'!C:C,C383,'TL04'!J:J),
SUMIF('TL05'!C:C,C383,'TL05'!J:J),
SUMIF('TL06'!C:C,C383,'TL06'!J:J),
SUMIF('TL07'!C:C,C383,'TL07'!J:J),
SUMIF('TL08'!C:C,C383,'TL08'!J:J),
SUMIF('TL09'!C:C,C383,'TL09'!J:J),
SUMIF('TL10'!C:C,C383,'TL10'!J:J),
SUMIF('TL11'!C:C,C383,'TL11'!J:J),
SUMIF('TL12'!C:C,C383,'TL12'!J:J),
SUMIF('TL13'!C:C,C383,'TL13'!J:J),
SUMIF('TL14'!C:C,C383,'TL14'!J:J),
SUMIF('TL15'!C:C,C383,'TL15'!J:J),
SUMIF('TL16'!C:C,C383,'TL16'!J:J),
SUMIF('TL17'!C:C,C383,'TL17'!J:J),
SUMIF('TL18'!C:C,C383,'TL18'!J:J),SUMIF('TL19'!C:C,C383,'TL19'!J:J))
,0)</f>
        <v>0</v>
      </c>
      <c r="S383" s="17">
        <f>IFERROR(__xludf.DUMMYFUNCTION("IFERROR(VLOOKUP(C383,
IMPORTRANGE(""1wULbzX32WdYsx-lj2U3uUNBBe2INVIRDtcK0d-Dvl90"",
""26-27!C:G""),
5,
FALSE),
"""")"),4.57)</f>
        <v>4.57</v>
      </c>
      <c r="T383" s="9"/>
      <c r="U383" s="92">
        <f t="shared" si="2"/>
        <v>0</v>
      </c>
      <c r="V383" s="93">
        <f t="shared" si="3"/>
        <v>0</v>
      </c>
    </row>
    <row r="384" ht="15.75" hidden="1" customHeight="1">
      <c r="A384" s="4" t="s">
        <v>1071</v>
      </c>
      <c r="B384" s="4" t="s">
        <v>4</v>
      </c>
      <c r="C384" s="131" t="s">
        <v>1126</v>
      </c>
      <c r="D384" s="127" t="s">
        <v>1119</v>
      </c>
      <c r="E384" s="119"/>
      <c r="F384" s="4"/>
      <c r="G384" s="90" t="str">
        <f t="shared" si="5"/>
        <v>📄 Ver bula</v>
      </c>
      <c r="H384" s="9"/>
      <c r="I384" s="121"/>
      <c r="J384" s="9">
        <f>IFERROR(SUM(
IF('TL01'!$B$3=J$3,SUMIF('TL01'!$C$10:$C$224,$C384,'TL01'!$J$10:$J$224),0),
IF('TL01'!$B$229=J$3,SUMIF('TL01'!$C$238:$C$451,$C384,'TL01'!$J$238:$J$451),0),
IF('TL02'!$B$3=J$3,SUMIF('TL02'!$C$10:$C$224,$C384,'TL02'!$J$10:$J$224),0),
IF('TL02'!$B$229=J$3,SUMIF('TL02'!$C$238:$C$451,$C384,'TL02'!$J$238:$J$451),0),
IF('TL03'!$B$3=J$3,SUMIF('TL03'!$C$10:$C$224,$C384,'TL03'!$J$10:$J$224),0),
IF('TL03'!$B$229=J$3,SUMIF('TL03'!$C$238:$C$451,$C384,'TL03'!$J$238:$J$451),0),
IF('TL04'!$B$3=J$3,SUMIF('TL04'!$C$10:$C$224,$C384,'TL04'!$J$10:$J$224),0),
IF('TL04'!$B$229=J$3,SUMIF('TL04'!$C$238:$C$451,$C384,'TL04'!$J$238:$J$451),0),
IF('TL05'!$B$3=J$3,SUMIF('TL05'!$C$10:$C$224,$C384,'TL05'!$J$10:$J$224),0),
IF('TL05'!$B$229=J$3,SUMIF('TL05'!$C$238:$C$451,$C384,'TL05'!$J$238:$J$451),0),
IF('TL06'!$B$3=J$3,SUMIF('TL06'!$C$10:$C$224,$C384,'TL06'!$J$10:$J$224),0),
IF('TL06'!$B$229=J$3,SUMIF('TL06'!$C$238:$C$451,$C384,'TL06'!$J$238:$J$451),0),
IF('TL07'!$B$3=J$3,SUMIF('TL07'!$C$10:$C$224,$C384,'TL07'!$J$10:$J$224),0),
IF('TL07'!$B$229=J$3,SUMIF('TL07'!$C$238:$C$451,$C384,'TL07'!$J$238:$J$451),0),
IF('TL08'!$B$3=J$3,SUMIF('TL08'!$C$10:$C$224,$C384,'TL08'!$J$10:$J$224),0),
IF('TL08'!$B$229=J$3,SUMIF('TL08'!$C$238:$C$451,$C384,'TL08'!$J$238:$J$451),0),
IF('TL09'!$B$3=J$3,SUMIF('TL09'!$C$10:$C$224,$C384,'TL09'!$J$10:$J$224),0),
IF('TL09'!$B$229=J$3,SUMIF('TL09'!$C$238:$C$451,$C384,'TL09'!$J$238:$J$451),0),
IF('TL10'!$B$3=J$3,SUMIF('TL10'!$C$10:$C$224,$C384,'TL10'!$J$10:$J$224),0),
IF('TL10'!$B$229=J$3,SUMIF('TL10'!$C$238:$C$451,$C384,'TL10'!$J$238:$J$451),0),
IF('TL11'!$B$3=J$3,SUMIF('TL11'!$C$10:$C$224,$C384,'TL11'!$J$10:$J$224),0),
IF('TL11'!$B$229=J$3,SUMIF('TL11'!$C$238:$C$451,$C384,'TL11'!$J$238:$J$451),0),
IF('TL12'!$B$3=J$3,SUMIF('TL12'!$C$10:$C$224,$C384,'TL12'!$J$10:$J$224),0),
IF('TL12'!$B$229=J$3,SUMIF('TL12'!$C$238:$C$451,$C384,'TL12'!$J$238:$J$451),0),
IF('TL13'!$B$3=J$3,SUMIF('TL13'!$C$10:$C$224,$C384,'TL13'!$J$10:$J$224),0),
IF('TL13'!$B$229=J$3,SUMIF('TL13'!$C$238:$C$451,$C384,'TL13'!$J$238:$J$451),0),
IF('TL14'!$B$3=J$3,SUMIF('TL14'!$C$10:$C$224,$C384,'TL14'!$J$10:$J$224),0),
IF('TL14'!$B$229=J$3,SUMIF('TL14'!$C$238:$C$451,$C384,'TL14'!$J$238:$J$451),0),
IF('TL15'!$B$3=J$3,SUMIF('TL15'!$C$10:$C$224,$C384,'TL15'!$J$10:$J$224),0),
IF('TL15'!$B$229=J$3,SUMIF('TL15'!$C$238:$C$451,$C384,'TL15'!$J$238:$J$451),0),
IF('TL16'!$B$3=J$3,SUMIF('TL16'!$C$10:$C$224,$C384,'TL16'!$J$10:$J$224),0),
IF('TL16'!$B$229=J$3,SUMIF('TL16'!$C$238:$C$451,$C384,'TL16'!$J$238:$J$451),0),
IF('TL17'!$B$3=J$3,SUMIF('TL17'!$C$10:$C$224,$C384,'TL17'!$J$10:$J$224),0),
IF('TL17'!$B$229=J$3,SUMIF('TL17'!$C$238:$C$451,$C384,'TL17'!$J$238:$J$451),0),
IF('TL18'!$B$3=J$3,SUMIF('TL18'!$C$10:$C$224,$C384,'TL18'!$J$10:$J$224),0),
IF('TL18'!$B$229=J$3,SUMIF('TL18'!$C$238:$C$451,$C384,'TL18'!$J$238:$J$451),0),
IF('TL19'!$B$3=J$3,SUMIF('TL19'!$C$10:$C$224,$C384,'TL19'!$J$10:$J$224),0),
IF('TL19'!$B$229=J$3,SUMIF('TL19'!$C$238:$C$451,$C384,'TL19'!$J$238:$J$451),0)
),0)</f>
        <v>0</v>
      </c>
      <c r="K384" s="9">
        <f>IFERROR(SUM(
IF('TL01'!$B$3=K$3,SUMIF('TL01'!$C$10:$C$224,$C384,'TL01'!$J$10:$J$224),0),
IF('TL01'!$B$229=K$3,SUMIF('TL01'!$C$238:$C$451,$C384,'TL01'!$J$238:$J$451),0),
IF('TL02'!$B$3=K$3,SUMIF('TL02'!$C$10:$C$224,$C384,'TL02'!$J$10:$J$224),0),
IF('TL02'!$B$229=K$3,SUMIF('TL02'!$C$238:$C$451,$C384,'TL02'!$J$238:$J$451),0),
IF('TL03'!$B$3=K$3,SUMIF('TL03'!$C$10:$C$224,$C384,'TL03'!$J$10:$J$224),0),
IF('TL03'!$B$229=K$3,SUMIF('TL03'!$C$238:$C$451,$C384,'TL03'!$J$238:$J$451),0),
IF('TL04'!$B$3=K$3,SUMIF('TL04'!$C$10:$C$224,$C384,'TL04'!$J$10:$J$224),0),
IF('TL04'!$B$229=K$3,SUMIF('TL04'!$C$238:$C$451,$C384,'TL04'!$J$238:$J$451),0),
IF('TL05'!$B$3=K$3,SUMIF('TL05'!$C$10:$C$224,$C384,'TL05'!$J$10:$J$224),0),
IF('TL05'!$B$229=K$3,SUMIF('TL05'!$C$238:$C$451,$C384,'TL05'!$J$238:$J$451),0),
IF('TL06'!$B$3=K$3,SUMIF('TL06'!$C$10:$C$224,$C384,'TL06'!$J$10:$J$224),0),
IF('TL06'!$B$229=K$3,SUMIF('TL06'!$C$238:$C$451,$C384,'TL06'!$J$238:$J$451),0),
IF('TL07'!$B$3=K$3,SUMIF('TL07'!$C$10:$C$224,$C384,'TL07'!$J$10:$J$224),0),
IF('TL07'!$B$229=K$3,SUMIF('TL07'!$C$238:$C$451,$C384,'TL07'!$J$238:$J$451),0),
IF('TL08'!$B$3=K$3,SUMIF('TL08'!$C$10:$C$224,$C384,'TL08'!$J$10:$J$224),0),
IF('TL08'!$B$229=K$3,SUMIF('TL08'!$C$238:$C$451,$C384,'TL08'!$J$238:$J$451),0),
IF('TL09'!$B$3=K$3,SUMIF('TL09'!$C$10:$C$224,$C384,'TL09'!$J$10:$J$224),0),
IF('TL09'!$B$229=K$3,SUMIF('TL09'!$C$238:$C$451,$C384,'TL09'!$J$238:$J$451),0),
IF('TL10'!$B$3=K$3,SUMIF('TL10'!$C$10:$C$224,$C384,'TL10'!$J$10:$J$224),0),
IF('TL10'!$B$229=K$3,SUMIF('TL10'!$C$238:$C$451,$C384,'TL10'!$J$238:$J$451),0),
IF('TL11'!$B$3=K$3,SUMIF('TL11'!$C$10:$C$224,$C384,'TL11'!$J$10:$J$224),0),
IF('TL11'!$B$229=K$3,SUMIF('TL11'!$C$238:$C$451,$C384,'TL11'!$J$238:$J$451),0),
IF('TL12'!$B$3=K$3,SUMIF('TL12'!$C$10:$C$224,$C384,'TL12'!$J$10:$J$224),0),
IF('TL12'!$B$229=K$3,SUMIF('TL12'!$C$238:$C$451,$C384,'TL12'!$J$238:$J$451),0),
IF('TL13'!$B$3=K$3,SUMIF('TL13'!$C$10:$C$224,$C384,'TL13'!$J$10:$J$224),0),
IF('TL13'!$B$229=K$3,SUMIF('TL13'!$C$238:$C$451,$C384,'TL13'!$J$238:$J$451),0),
IF('TL14'!$B$3=K$3,SUMIF('TL14'!$C$10:$C$224,$C384,'TL14'!$J$10:$J$224),0),
IF('TL14'!$B$229=K$3,SUMIF('TL14'!$C$238:$C$451,$C384,'TL14'!$J$238:$J$451),0),
IF('TL15'!$B$3=K$3,SUMIF('TL15'!$C$10:$C$224,$C384,'TL15'!$J$10:$J$224),0),
IF('TL15'!$B$229=K$3,SUMIF('TL15'!$C$238:$C$451,$C384,'TL15'!$J$238:$J$451),0),
IF('TL16'!$B$3=K$3,SUMIF('TL16'!$C$10:$C$224,$C384,'TL16'!$J$10:$J$224),0),
IF('TL16'!$B$229=K$3,SUMIF('TL16'!$C$238:$C$451,$C384,'TL16'!$J$238:$J$451),0),
IF('TL17'!$B$3=K$3,SUMIF('TL17'!$C$10:$C$224,$C384,'TL17'!$J$10:$J$224),0),
IF('TL17'!$B$229=K$3,SUMIF('TL17'!$C$238:$C$451,$C384,'TL17'!$J$238:$J$451),0),
IF('TL18'!$B$3=K$3,SUMIF('TL18'!$C$10:$C$224,$C384,'TL18'!$J$10:$J$224),0),
IF('TL18'!$B$229=K$3,SUMIF('TL18'!$C$238:$C$451,$C384,'TL18'!$J$238:$J$451),0),
IF('TL19'!$B$3=K$3,SUMIF('TL19'!$C$10:$C$224,$C384,'TL19'!$J$10:$J$224),0),
IF('TL19'!$B$229=K$3,SUMIF('TL19'!$C$238:$C$451,$C384,'TL19'!$J$238:$J$451),0)
),0)</f>
        <v>0</v>
      </c>
      <c r="L384" s="9">
        <f>IFERROR(SUM(
IF('TL01'!$B$3=L$3,SUMIF('TL01'!$C$10:$C$224,$C384,'TL01'!$J$10:$J$224),0),
IF('TL01'!$B$229=L$3,SUMIF('TL01'!$C$238:$C$451,$C384,'TL01'!$J$238:$J$451),0),
IF('TL02'!$B$3=L$3,SUMIF('TL02'!$C$10:$C$224,$C384,'TL02'!$J$10:$J$224),0),
IF('TL02'!$B$229=L$3,SUMIF('TL02'!$C$238:$C$451,$C384,'TL02'!$J$238:$J$451),0),
IF('TL03'!$B$3=L$3,SUMIF('TL03'!$C$10:$C$224,$C384,'TL03'!$J$10:$J$224),0),
IF('TL03'!$B$229=L$3,SUMIF('TL03'!$C$238:$C$451,$C384,'TL03'!$J$238:$J$451),0),
IF('TL04'!$B$3=L$3,SUMIF('TL04'!$C$10:$C$224,$C384,'TL04'!$J$10:$J$224),0),
IF('TL04'!$B$229=L$3,SUMIF('TL04'!$C$238:$C$451,$C384,'TL04'!$J$238:$J$451),0),
IF('TL05'!$B$3=L$3,SUMIF('TL05'!$C$10:$C$224,$C384,'TL05'!$J$10:$J$224),0),
IF('TL05'!$B$229=L$3,SUMIF('TL05'!$C$238:$C$451,$C384,'TL05'!$J$238:$J$451),0),
IF('TL06'!$B$3=L$3,SUMIF('TL06'!$C$10:$C$224,$C384,'TL06'!$J$10:$J$224),0),
IF('TL06'!$B$229=L$3,SUMIF('TL06'!$C$238:$C$451,$C384,'TL06'!$J$238:$J$451),0),
IF('TL07'!$B$3=L$3,SUMIF('TL07'!$C$10:$C$224,$C384,'TL07'!$J$10:$J$224),0),
IF('TL07'!$B$229=L$3,SUMIF('TL07'!$C$238:$C$451,$C384,'TL07'!$J$238:$J$451),0),
IF('TL08'!$B$3=L$3,SUMIF('TL08'!$C$10:$C$224,$C384,'TL08'!$J$10:$J$224),0),
IF('TL08'!$B$229=L$3,SUMIF('TL08'!$C$238:$C$451,$C384,'TL08'!$J$238:$J$451),0),
IF('TL09'!$B$3=L$3,SUMIF('TL09'!$C$10:$C$224,$C384,'TL09'!$J$10:$J$224),0),
IF('TL09'!$B$229=L$3,SUMIF('TL09'!$C$238:$C$451,$C384,'TL09'!$J$238:$J$451),0),
IF('TL10'!$B$3=L$3,SUMIF('TL10'!$C$10:$C$224,$C384,'TL10'!$J$10:$J$224),0),
IF('TL10'!$B$229=L$3,SUMIF('TL10'!$C$238:$C$451,$C384,'TL10'!$J$238:$J$451),0),
IF('TL11'!$B$3=L$3,SUMIF('TL11'!$C$10:$C$224,$C384,'TL11'!$J$10:$J$224),0),
IF('TL11'!$B$229=L$3,SUMIF('TL11'!$C$238:$C$451,$C384,'TL11'!$J$238:$J$451),0),
IF('TL12'!$B$3=L$3,SUMIF('TL12'!$C$10:$C$224,$C384,'TL12'!$J$10:$J$224),0),
IF('TL12'!$B$229=L$3,SUMIF('TL12'!$C$238:$C$451,$C384,'TL12'!$J$238:$J$451),0),
IF('TL13'!$B$3=L$3,SUMIF('TL13'!$C$10:$C$224,$C384,'TL13'!$J$10:$J$224),0),
IF('TL13'!$B$229=L$3,SUMIF('TL13'!$C$238:$C$451,$C384,'TL13'!$J$238:$J$451),0),
IF('TL14'!$B$3=L$3,SUMIF('TL14'!$C$10:$C$224,$C384,'TL14'!$J$10:$J$224),0),
IF('TL14'!$B$229=L$3,SUMIF('TL14'!$C$238:$C$451,$C384,'TL14'!$J$238:$J$451),0),
IF('TL15'!$B$3=L$3,SUMIF('TL15'!$C$10:$C$224,$C384,'TL15'!$J$10:$J$224),0),
IF('TL15'!$B$229=L$3,SUMIF('TL15'!$C$238:$C$451,$C384,'TL15'!$J$238:$J$451),0),
IF('TL16'!$B$3=L$3,SUMIF('TL16'!$C$10:$C$224,$C384,'TL16'!$J$10:$J$224),0),
IF('TL16'!$B$229=L$3,SUMIF('TL16'!$C$238:$C$451,$C384,'TL16'!$J$238:$J$451),0),
IF('TL17'!$B$3=L$3,SUMIF('TL17'!$C$10:$C$224,$C384,'TL17'!$J$10:$J$224),0),
IF('TL17'!$B$229=L$3,SUMIF('TL17'!$C$238:$C$451,$C384,'TL17'!$J$238:$J$451),0),
IF('TL18'!$B$3=L$3,SUMIF('TL18'!$C$10:$C$224,$C384,'TL18'!$J$10:$J$224),0),
IF('TL18'!$B$229=L$3,SUMIF('TL18'!$C$238:$C$451,$C384,'TL18'!$J$238:$J$451),0),
IF('TL19'!$B$3=L$3,SUMIF('TL19'!$C$10:$C$224,$C384,'TL19'!$J$10:$J$224),0),
IF('TL19'!$B$229=L$3,SUMIF('TL19'!$C$238:$C$451,$C384,'TL19'!$J$238:$J$451),0)
),0)</f>
        <v>0</v>
      </c>
      <c r="M384" s="9">
        <f>IFERROR(SUM(
IF('TL01'!$B$3=M$3,SUMIF('TL01'!$C$10:$C$224,$C384,'TL01'!$J$10:$J$224),0),
IF('TL01'!$B$229=M$3,SUMIF('TL01'!$C$238:$C$451,$C384,'TL01'!$J$238:$J$451),0),
IF('TL02'!$B$3=M$3,SUMIF('TL02'!$C$10:$C$224,$C384,'TL02'!$J$10:$J$224),0),
IF('TL02'!$B$229=M$3,SUMIF('TL02'!$C$238:$C$451,$C384,'TL02'!$J$238:$J$451),0),
IF('TL03'!$B$3=M$3,SUMIF('TL03'!$C$10:$C$224,$C384,'TL03'!$J$10:$J$224),0),
IF('TL03'!$B$229=M$3,SUMIF('TL03'!$C$238:$C$451,$C384,'TL03'!$J$238:$J$451),0),
IF('TL04'!$B$3=M$3,SUMIF('TL04'!$C$10:$C$224,$C384,'TL04'!$J$10:$J$224),0),
IF('TL04'!$B$229=M$3,SUMIF('TL04'!$C$238:$C$451,$C384,'TL04'!$J$238:$J$451),0),
IF('TL05'!$B$3=M$3,SUMIF('TL05'!$C$10:$C$224,$C384,'TL05'!$J$10:$J$224),0),
IF('TL05'!$B$229=M$3,SUMIF('TL05'!$C$238:$C$451,$C384,'TL05'!$J$238:$J$451),0),
IF('TL06'!$B$3=M$3,SUMIF('TL06'!$C$10:$C$224,$C384,'TL06'!$J$10:$J$224),0),
IF('TL06'!$B$229=M$3,SUMIF('TL06'!$C$238:$C$451,$C384,'TL06'!$J$238:$J$451),0),
IF('TL07'!$B$3=M$3,SUMIF('TL07'!$C$10:$C$224,$C384,'TL07'!$J$10:$J$224),0),
IF('TL07'!$B$229=M$3,SUMIF('TL07'!$C$238:$C$451,$C384,'TL07'!$J$238:$J$451),0),
IF('TL08'!$B$3=M$3,SUMIF('TL08'!$C$10:$C$224,$C384,'TL08'!$J$10:$J$224),0),
IF('TL08'!$B$229=M$3,SUMIF('TL08'!$C$238:$C$451,$C384,'TL08'!$J$238:$J$451),0),
IF('TL09'!$B$3=M$3,SUMIF('TL09'!$C$10:$C$224,$C384,'TL09'!$J$10:$J$224),0),
IF('TL09'!$B$229=M$3,SUMIF('TL09'!$C$238:$C$451,$C384,'TL09'!$J$238:$J$451),0),
IF('TL10'!$B$3=M$3,SUMIF('TL10'!$C$10:$C$224,$C384,'TL10'!$J$10:$J$224),0),
IF('TL10'!$B$229=M$3,SUMIF('TL10'!$C$238:$C$451,$C384,'TL10'!$J$238:$J$451),0),
IF('TL11'!$B$3=M$3,SUMIF('TL11'!$C$10:$C$224,$C384,'TL11'!$J$10:$J$224),0),
IF('TL11'!$B$229=M$3,SUMIF('TL11'!$C$238:$C$451,$C384,'TL11'!$J$238:$J$451),0),
IF('TL12'!$B$3=M$3,SUMIF('TL12'!$C$10:$C$224,$C384,'TL12'!$J$10:$J$224),0),
IF('TL12'!$B$229=M$3,SUMIF('TL12'!$C$238:$C$451,$C384,'TL12'!$J$238:$J$451),0),
IF('TL13'!$B$3=M$3,SUMIF('TL13'!$C$10:$C$224,$C384,'TL13'!$J$10:$J$224),0),
IF('TL13'!$B$229=M$3,SUMIF('TL13'!$C$238:$C$451,$C384,'TL13'!$J$238:$J$451),0),
IF('TL14'!$B$3=M$3,SUMIF('TL14'!$C$10:$C$224,$C384,'TL14'!$J$10:$J$224),0),
IF('TL14'!$B$229=M$3,SUMIF('TL14'!$C$238:$C$451,$C384,'TL14'!$J$238:$J$451),0),
IF('TL15'!$B$3=M$3,SUMIF('TL15'!$C$10:$C$224,$C384,'TL15'!$J$10:$J$224),0),
IF('TL15'!$B$229=M$3,SUMIF('TL15'!$C$238:$C$451,$C384,'TL15'!$J$238:$J$451),0),
IF('TL16'!$B$3=M$3,SUMIF('TL16'!$C$10:$C$224,$C384,'TL16'!$J$10:$J$224),0),
IF('TL16'!$B$229=M$3,SUMIF('TL16'!$C$238:$C$451,$C384,'TL16'!$J$238:$J$451),0),
IF('TL17'!$B$3=M$3,SUMIF('TL17'!$C$10:$C$224,$C384,'TL17'!$J$10:$J$224),0),
IF('TL17'!$B$229=M$3,SUMIF('TL17'!$C$238:$C$451,$C384,'TL17'!$J$238:$J$451),0),
IF('TL18'!$B$3=M$3,SUMIF('TL18'!$C$10:$C$224,$C384,'TL18'!$J$10:$J$224),0),
IF('TL18'!$B$229=M$3,SUMIF('TL18'!$C$238:$C$451,$C384,'TL18'!$J$238:$J$451),0),
IF('TL19'!$B$3=M$3,SUMIF('TL19'!$C$10:$C$224,$C384,'TL19'!$J$10:$J$224),0),
IF('TL19'!$B$229=M$3,SUMIF('TL19'!$C$238:$C$451,$C384,'TL19'!$J$238:$J$451),0)
),0)</f>
        <v>0</v>
      </c>
      <c r="N384" s="9">
        <f>IFERROR(SUM(
IF('TL01'!$B$3=N$3,SUMIF('TL01'!$C$10:$C$224,$C384,'TL01'!$J$10:$J$224),0),
IF('TL01'!$B$229=N$3,SUMIF('TL01'!$C$238:$C$451,$C384,'TL01'!$J$238:$J$451),0),
IF('TL02'!$B$3=N$3,SUMIF('TL02'!$C$10:$C$224,$C384,'TL02'!$J$10:$J$224),0),
IF('TL02'!$B$229=N$3,SUMIF('TL02'!$C$238:$C$451,$C384,'TL02'!$J$238:$J$451),0),
IF('TL03'!$B$3=N$3,SUMIF('TL03'!$C$10:$C$224,$C384,'TL03'!$J$10:$J$224),0),
IF('TL03'!$B$229=N$3,SUMIF('TL03'!$C$238:$C$451,$C384,'TL03'!$J$238:$J$451),0),
IF('TL04'!$B$3=N$3,SUMIF('TL04'!$C$10:$C$224,$C384,'TL04'!$J$10:$J$224),0),
IF('TL04'!$B$229=N$3,SUMIF('TL04'!$C$238:$C$451,$C384,'TL04'!$J$238:$J$451),0),
IF('TL05'!$B$3=N$3,SUMIF('TL05'!$C$10:$C$224,$C384,'TL05'!$J$10:$J$224),0),
IF('TL05'!$B$229=N$3,SUMIF('TL05'!$C$238:$C$451,$C384,'TL05'!$J$238:$J$451),0),
IF('TL06'!$B$3=N$3,SUMIF('TL06'!$C$10:$C$224,$C384,'TL06'!$J$10:$J$224),0),
IF('TL06'!$B$229=N$3,SUMIF('TL06'!$C$238:$C$451,$C384,'TL06'!$J$238:$J$451),0),
IF('TL07'!$B$3=N$3,SUMIF('TL07'!$C$10:$C$224,$C384,'TL07'!$J$10:$J$224),0),
IF('TL07'!$B$229=N$3,SUMIF('TL07'!$C$238:$C$451,$C384,'TL07'!$J$238:$J$451),0),
IF('TL08'!$B$3=N$3,SUMIF('TL08'!$C$10:$C$224,$C384,'TL08'!$J$10:$J$224),0),
IF('TL08'!$B$229=N$3,SUMIF('TL08'!$C$238:$C$451,$C384,'TL08'!$J$238:$J$451),0),
IF('TL09'!$B$3=N$3,SUMIF('TL09'!$C$10:$C$224,$C384,'TL09'!$J$10:$J$224),0),
IF('TL09'!$B$229=N$3,SUMIF('TL09'!$C$238:$C$451,$C384,'TL09'!$J$238:$J$451),0),
IF('TL10'!$B$3=N$3,SUMIF('TL10'!$C$10:$C$224,$C384,'TL10'!$J$10:$J$224),0),
IF('TL10'!$B$229=N$3,SUMIF('TL10'!$C$238:$C$451,$C384,'TL10'!$J$238:$J$451),0),
IF('TL11'!$B$3=N$3,SUMIF('TL11'!$C$10:$C$224,$C384,'TL11'!$J$10:$J$224),0),
IF('TL11'!$B$229=N$3,SUMIF('TL11'!$C$238:$C$451,$C384,'TL11'!$J$238:$J$451),0),
IF('TL12'!$B$3=N$3,SUMIF('TL12'!$C$10:$C$224,$C384,'TL12'!$J$10:$J$224),0),
IF('TL12'!$B$229=N$3,SUMIF('TL12'!$C$238:$C$451,$C384,'TL12'!$J$238:$J$451),0),
IF('TL13'!$B$3=N$3,SUMIF('TL13'!$C$10:$C$224,$C384,'TL13'!$J$10:$J$224),0),
IF('TL13'!$B$229=N$3,SUMIF('TL13'!$C$238:$C$451,$C384,'TL13'!$J$238:$J$451),0),
IF('TL14'!$B$3=N$3,SUMIF('TL14'!$C$10:$C$224,$C384,'TL14'!$J$10:$J$224),0),
IF('TL14'!$B$229=N$3,SUMIF('TL14'!$C$238:$C$451,$C384,'TL14'!$J$238:$J$451),0),
IF('TL15'!$B$3=N$3,SUMIF('TL15'!$C$10:$C$224,$C384,'TL15'!$J$10:$J$224),0),
IF('TL15'!$B$229=N$3,SUMIF('TL15'!$C$238:$C$451,$C384,'TL15'!$J$238:$J$451),0),
IF('TL16'!$B$3=N$3,SUMIF('TL16'!$C$10:$C$224,$C384,'TL16'!$J$10:$J$224),0),
IF('TL16'!$B$229=N$3,SUMIF('TL16'!$C$238:$C$451,$C384,'TL16'!$J$238:$J$451),0),
IF('TL17'!$B$3=N$3,SUMIF('TL17'!$C$10:$C$224,$C384,'TL17'!$J$10:$J$224),0),
IF('TL17'!$B$229=N$3,SUMIF('TL17'!$C$238:$C$451,$C384,'TL17'!$J$238:$J$451),0),
IF('TL18'!$B$3=N$3,SUMIF('TL18'!$C$10:$C$224,$C384,'TL18'!$J$10:$J$224),0),
IF('TL18'!$B$229=N$3,SUMIF('TL18'!$C$238:$C$451,$C384,'TL18'!$J$238:$J$451),0),
IF('TL19'!$B$3=N$3,SUMIF('TL19'!$C$10:$C$224,$C384,'TL19'!$J$10:$J$224),0),
IF('TL19'!$B$229=N$3,SUMIF('TL19'!$C$238:$C$451,$C384,'TL19'!$J$238:$J$451),0)
),0)</f>
        <v>0</v>
      </c>
      <c r="O384" s="9">
        <f>IFERROR(SUM(
IF('TL01'!$B$3=O$3,SUMIF('TL01'!$C$10:$C$224,$C384,'TL01'!$J$10:$J$224),0),
IF('TL01'!$B$229=O$3,SUMIF('TL01'!$C$238:$C$451,$C384,'TL01'!$J$238:$J$451),0),
IF('TL02'!$B$3=O$3,SUMIF('TL02'!$C$10:$C$224,$C384,'TL02'!$J$10:$J$224),0),
IF('TL02'!$B$229=O$3,SUMIF('TL02'!$C$238:$C$451,$C384,'TL02'!$J$238:$J$451),0),
IF('TL03'!$B$3=O$3,SUMIF('TL03'!$C$10:$C$224,$C384,'TL03'!$J$10:$J$224),0),
IF('TL03'!$B$229=O$3,SUMIF('TL03'!$C$238:$C$451,$C384,'TL03'!$J$238:$J$451),0),
IF('TL04'!$B$3=O$3,SUMIF('TL04'!$C$10:$C$224,$C384,'TL04'!$J$10:$J$224),0),
IF('TL04'!$B$229=O$3,SUMIF('TL04'!$C$238:$C$451,$C384,'TL04'!$J$238:$J$451),0),
IF('TL05'!$B$3=O$3,SUMIF('TL05'!$C$10:$C$224,$C384,'TL05'!$J$10:$J$224),0),
IF('TL05'!$B$229=O$3,SUMIF('TL05'!$C$238:$C$451,$C384,'TL05'!$J$238:$J$451),0),
IF('TL06'!$B$3=O$3,SUMIF('TL06'!$C$10:$C$224,$C384,'TL06'!$J$10:$J$224),0),
IF('TL06'!$B$229=O$3,SUMIF('TL06'!$C$238:$C$451,$C384,'TL06'!$J$238:$J$451),0),
IF('TL07'!$B$3=O$3,SUMIF('TL07'!$C$10:$C$224,$C384,'TL07'!$J$10:$J$224),0),
IF('TL07'!$B$229=O$3,SUMIF('TL07'!$C$238:$C$451,$C384,'TL07'!$J$238:$J$451),0),
IF('TL08'!$B$3=O$3,SUMIF('TL08'!$C$10:$C$224,$C384,'TL08'!$J$10:$J$224),0),
IF('TL08'!$B$229=O$3,SUMIF('TL08'!$C$238:$C$451,$C384,'TL08'!$J$238:$J$451),0),
IF('TL09'!$B$3=O$3,SUMIF('TL09'!$C$10:$C$224,$C384,'TL09'!$J$10:$J$224),0),
IF('TL09'!$B$229=O$3,SUMIF('TL09'!$C$238:$C$451,$C384,'TL09'!$J$238:$J$451),0),
IF('TL10'!$B$3=O$3,SUMIF('TL10'!$C$10:$C$224,$C384,'TL10'!$J$10:$J$224),0),
IF('TL10'!$B$229=O$3,SUMIF('TL10'!$C$238:$C$451,$C384,'TL10'!$J$238:$J$451),0),
IF('TL11'!$B$3=O$3,SUMIF('TL11'!$C$10:$C$224,$C384,'TL11'!$J$10:$J$224),0),
IF('TL11'!$B$229=O$3,SUMIF('TL11'!$C$238:$C$451,$C384,'TL11'!$J$238:$J$451),0),
IF('TL12'!$B$3=O$3,SUMIF('TL12'!$C$10:$C$224,$C384,'TL12'!$J$10:$J$224),0),
IF('TL12'!$B$229=O$3,SUMIF('TL12'!$C$238:$C$451,$C384,'TL12'!$J$238:$J$451),0),
IF('TL13'!$B$3=O$3,SUMIF('TL13'!$C$10:$C$224,$C384,'TL13'!$J$10:$J$224),0),
IF('TL13'!$B$229=O$3,SUMIF('TL13'!$C$238:$C$451,$C384,'TL13'!$J$238:$J$451),0),
IF('TL14'!$B$3=O$3,SUMIF('TL14'!$C$10:$C$224,$C384,'TL14'!$J$10:$J$224),0),
IF('TL14'!$B$229=O$3,SUMIF('TL14'!$C$238:$C$451,$C384,'TL14'!$J$238:$J$451),0),
IF('TL15'!$B$3=O$3,SUMIF('TL15'!$C$10:$C$224,$C384,'TL15'!$J$10:$J$224),0),
IF('TL15'!$B$229=O$3,SUMIF('TL15'!$C$238:$C$451,$C384,'TL15'!$J$238:$J$451),0),
IF('TL16'!$B$3=O$3,SUMIF('TL16'!$C$10:$C$224,$C384,'TL16'!$J$10:$J$224),0),
IF('TL16'!$B$229=O$3,SUMIF('TL16'!$C$238:$C$451,$C384,'TL16'!$J$238:$J$451),0),
IF('TL17'!$B$3=O$3,SUMIF('TL17'!$C$10:$C$224,$C384,'TL17'!$J$10:$J$224),0),
IF('TL17'!$B$229=O$3,SUMIF('TL17'!$C$238:$C$451,$C384,'TL17'!$J$238:$J$451),0),
IF('TL18'!$B$3=O$3,SUMIF('TL18'!$C$10:$C$224,$C384,'TL18'!$J$10:$J$224),0),
IF('TL18'!$B$229=O$3,SUMIF('TL18'!$C$238:$C$451,$C384,'TL18'!$J$238:$J$451),0),
IF('TL19'!$B$3=O$3,SUMIF('TL19'!$C$10:$C$224,$C384,'TL19'!$J$10:$J$224),0),
IF('TL19'!$B$229=O$3,SUMIF('TL19'!$C$238:$C$451,$C384,'TL19'!$J$238:$J$451),0)
),0)</f>
        <v>0</v>
      </c>
      <c r="P384" s="9">
        <f>IFERROR(SUM(
IF('TL01'!$B$3=P$3,SUMIF('TL01'!$C$10:$C$224,$C384,'TL01'!$J$10:$J$224),0),
IF('TL01'!$B$229=P$3,SUMIF('TL01'!$C$238:$C$451,$C384,'TL01'!$J$238:$J$451),0),
IF('TL02'!$B$3=P$3,SUMIF('TL02'!$C$10:$C$224,$C384,'TL02'!$J$10:$J$224),0),
IF('TL02'!$B$229=P$3,SUMIF('TL02'!$C$238:$C$451,$C384,'TL02'!$J$238:$J$451),0),
IF('TL03'!$B$3=P$3,SUMIF('TL03'!$C$10:$C$224,$C384,'TL03'!$J$10:$J$224),0),
IF('TL03'!$B$229=P$3,SUMIF('TL03'!$C$238:$C$451,$C384,'TL03'!$J$238:$J$451),0),
IF('TL04'!$B$3=P$3,SUMIF('TL04'!$C$10:$C$224,$C384,'TL04'!$J$10:$J$224),0),
IF('TL04'!$B$229=P$3,SUMIF('TL04'!$C$238:$C$451,$C384,'TL04'!$J$238:$J$451),0),
IF('TL05'!$B$3=P$3,SUMIF('TL05'!$C$10:$C$224,$C384,'TL05'!$J$10:$J$224),0),
IF('TL05'!$B$229=P$3,SUMIF('TL05'!$C$238:$C$451,$C384,'TL05'!$J$238:$J$451),0),
IF('TL06'!$B$3=P$3,SUMIF('TL06'!$C$10:$C$224,$C384,'TL06'!$J$10:$J$224),0),
IF('TL06'!$B$229=P$3,SUMIF('TL06'!$C$238:$C$451,$C384,'TL06'!$J$238:$J$451),0),
IF('TL07'!$B$3=P$3,SUMIF('TL07'!$C$10:$C$224,$C384,'TL07'!$J$10:$J$224),0),
IF('TL07'!$B$229=P$3,SUMIF('TL07'!$C$238:$C$451,$C384,'TL07'!$J$238:$J$451),0),
IF('TL08'!$B$3=P$3,SUMIF('TL08'!$C$10:$C$224,$C384,'TL08'!$J$10:$J$224),0),
IF('TL08'!$B$229=P$3,SUMIF('TL08'!$C$238:$C$451,$C384,'TL08'!$J$238:$J$451),0),
IF('TL09'!$B$3=P$3,SUMIF('TL09'!$C$10:$C$224,$C384,'TL09'!$J$10:$J$224),0),
IF('TL09'!$B$229=P$3,SUMIF('TL09'!$C$238:$C$451,$C384,'TL09'!$J$238:$J$451),0),
IF('TL10'!$B$3=P$3,SUMIF('TL10'!$C$10:$C$224,$C384,'TL10'!$J$10:$J$224),0),
IF('TL10'!$B$229=P$3,SUMIF('TL10'!$C$238:$C$451,$C384,'TL10'!$J$238:$J$451),0),
IF('TL11'!$B$3=P$3,SUMIF('TL11'!$C$10:$C$224,$C384,'TL11'!$J$10:$J$224),0),
IF('TL11'!$B$229=P$3,SUMIF('TL11'!$C$238:$C$451,$C384,'TL11'!$J$238:$J$451),0),
IF('TL12'!$B$3=P$3,SUMIF('TL12'!$C$10:$C$224,$C384,'TL12'!$J$10:$J$224),0),
IF('TL12'!$B$229=P$3,SUMIF('TL12'!$C$238:$C$451,$C384,'TL12'!$J$238:$J$451),0),
IF('TL13'!$B$3=P$3,SUMIF('TL13'!$C$10:$C$224,$C384,'TL13'!$J$10:$J$224),0),
IF('TL13'!$B$229=P$3,SUMIF('TL13'!$C$238:$C$451,$C384,'TL13'!$J$238:$J$451),0),
IF('TL14'!$B$3=P$3,SUMIF('TL14'!$C$10:$C$224,$C384,'TL14'!$J$10:$J$224),0),
IF('TL14'!$B$229=P$3,SUMIF('TL14'!$C$238:$C$451,$C384,'TL14'!$J$238:$J$451),0),
IF('TL15'!$B$3=P$3,SUMIF('TL15'!$C$10:$C$224,$C384,'TL15'!$J$10:$J$224),0),
IF('TL15'!$B$229=P$3,SUMIF('TL15'!$C$238:$C$451,$C384,'TL15'!$J$238:$J$451),0),
IF('TL16'!$B$3=P$3,SUMIF('TL16'!$C$10:$C$224,$C384,'TL16'!$J$10:$J$224),0),
IF('TL16'!$B$229=P$3,SUMIF('TL16'!$C$238:$C$451,$C384,'TL16'!$J$238:$J$451),0),
IF('TL17'!$B$3=P$3,SUMIF('TL17'!$C$10:$C$224,$C384,'TL17'!$J$10:$J$224),0),
IF('TL17'!$B$229=P$3,SUMIF('TL17'!$C$238:$C$451,$C384,'TL17'!$J$238:$J$451),0),
IF('TL18'!$B$3=P$3,SUMIF('TL18'!$C$10:$C$224,$C384,'TL18'!$J$10:$J$224),0),
IF('TL18'!$B$229=P$3,SUMIF('TL18'!$C$238:$C$451,$C384,'TL18'!$J$238:$J$451),0),
IF('TL19'!$B$3=P$3,SUMIF('TL19'!$C$10:$C$224,$C384,'TL19'!$J$10:$J$224),0),
IF('TL19'!$B$229=P$3,SUMIF('TL19'!$C$238:$C$451,$C384,'TL19'!$J$238:$J$451),0)
),0)</f>
        <v>0</v>
      </c>
      <c r="Q384" s="9">
        <f>IFERROR(SUM(
IF('TL01'!$B$3=Q$3,SUMIF('TL01'!$C$10:$C$224,$C384,'TL01'!$J$10:$J$224),0),
IF('TL01'!$B$229=Q$3,SUMIF('TL01'!$C$238:$C$451,$C384,'TL01'!$J$238:$J$451),0),
IF('TL02'!$B$3=Q$3,SUMIF('TL02'!$C$10:$C$224,$C384,'TL02'!$J$10:$J$224),0),
IF('TL02'!$B$229=Q$3,SUMIF('TL02'!$C$238:$C$451,$C384,'TL02'!$J$238:$J$451),0),
IF('TL03'!$B$3=Q$3,SUMIF('TL03'!$C$10:$C$224,$C384,'TL03'!$J$10:$J$224),0),
IF('TL03'!$B$229=Q$3,SUMIF('TL03'!$C$238:$C$451,$C384,'TL03'!$J$238:$J$451),0),
IF('TL04'!$B$3=Q$3,SUMIF('TL04'!$C$10:$C$224,$C384,'TL04'!$J$10:$J$224),0),
IF('TL04'!$B$229=Q$3,SUMIF('TL04'!$C$238:$C$451,$C384,'TL04'!$J$238:$J$451),0),
IF('TL05'!$B$3=Q$3,SUMIF('TL05'!$C$10:$C$224,$C384,'TL05'!$J$10:$J$224),0),
IF('TL05'!$B$229=Q$3,SUMIF('TL05'!$C$238:$C$451,$C384,'TL05'!$J$238:$J$451),0),
IF('TL06'!$B$3=Q$3,SUMIF('TL06'!$C$10:$C$224,$C384,'TL06'!$J$10:$J$224),0),
IF('TL06'!$B$229=Q$3,SUMIF('TL06'!$C$238:$C$451,$C384,'TL06'!$J$238:$J$451),0),
IF('TL07'!$B$3=Q$3,SUMIF('TL07'!$C$10:$C$224,$C384,'TL07'!$J$10:$J$224),0),
IF('TL07'!$B$229=Q$3,SUMIF('TL07'!$C$238:$C$451,$C384,'TL07'!$J$238:$J$451),0),
IF('TL08'!$B$3=Q$3,SUMIF('TL08'!$C$10:$C$224,$C384,'TL08'!$J$10:$J$224),0),
IF('TL08'!$B$229=Q$3,SUMIF('TL08'!$C$238:$C$451,$C384,'TL08'!$J$238:$J$451),0),
IF('TL09'!$B$3=Q$3,SUMIF('TL09'!$C$10:$C$224,$C384,'TL09'!$J$10:$J$224),0),
IF('TL09'!$B$229=Q$3,SUMIF('TL09'!$C$238:$C$451,$C384,'TL09'!$J$238:$J$451),0),
IF('TL10'!$B$3=Q$3,SUMIF('TL10'!$C$10:$C$224,$C384,'TL10'!$J$10:$J$224),0),
IF('TL10'!$B$229=Q$3,SUMIF('TL10'!$C$238:$C$451,$C384,'TL10'!$J$238:$J$451),0),
IF('TL11'!$B$3=Q$3,SUMIF('TL11'!$C$10:$C$224,$C384,'TL11'!$J$10:$J$224),0),
IF('TL11'!$B$229=Q$3,SUMIF('TL11'!$C$238:$C$451,$C384,'TL11'!$J$238:$J$451),0),
IF('TL12'!$B$3=Q$3,SUMIF('TL12'!$C$10:$C$224,$C384,'TL12'!$J$10:$J$224),0),
IF('TL12'!$B$229=Q$3,SUMIF('TL12'!$C$238:$C$451,$C384,'TL12'!$J$238:$J$451),0),
IF('TL13'!$B$3=Q$3,SUMIF('TL13'!$C$10:$C$224,$C384,'TL13'!$J$10:$J$224),0),
IF('TL13'!$B$229=Q$3,SUMIF('TL13'!$C$238:$C$451,$C384,'TL13'!$J$238:$J$451),0),
IF('TL14'!$B$3=Q$3,SUMIF('TL14'!$C$10:$C$224,$C384,'TL14'!$J$10:$J$224),0),
IF('TL14'!$B$229=Q$3,SUMIF('TL14'!$C$238:$C$451,$C384,'TL14'!$J$238:$J$451),0),
IF('TL15'!$B$3=Q$3,SUMIF('TL15'!$C$10:$C$224,$C384,'TL15'!$J$10:$J$224),0),
IF('TL15'!$B$229=Q$3,SUMIF('TL15'!$C$238:$C$451,$C384,'TL15'!$J$238:$J$451),0),
IF('TL16'!$B$3=Q$3,SUMIF('TL16'!$C$10:$C$224,$C384,'TL16'!$J$10:$J$224),0),
IF('TL16'!$B$229=Q$3,SUMIF('TL16'!$C$238:$C$451,$C384,'TL16'!$J$238:$J$451),0),
IF('TL17'!$B$3=Q$3,SUMIF('TL17'!$C$10:$C$224,$C384,'TL17'!$J$10:$J$224),0),
IF('TL17'!$B$229=Q$3,SUMIF('TL17'!$C$238:$C$451,$C384,'TL17'!$J$238:$J$451),0),
IF('TL18'!$B$3=Q$3,SUMIF('TL18'!$C$10:$C$224,$C384,'TL18'!$J$10:$J$224),0),
IF('TL18'!$B$229=Q$3,SUMIF('TL18'!$C$238:$C$451,$C384,'TL18'!$J$238:$J$451),0),
IF('TL19'!$B$3=Q$3,SUMIF('TL19'!$C$10:$C$224,$C384,'TL19'!$J$10:$J$224),0),
IF('TL19'!$B$229=Q$3,SUMIF('TL19'!$C$238:$C$451,$C384,'TL19'!$J$238:$J$451),0)
),0)</f>
        <v>0</v>
      </c>
      <c r="R384" s="9">
        <f>IFERROR(
SUM(
SUMIF('TL01'!C:C,C384,'TL01'!J:J),
SUMIF('TL02'!C:C,C384,'TL02'!J:J),
SUMIF('TL03'!C:C,C384,'TL03'!J:J),
SUMIF('TL04'!C:C,C384,'TL04'!J:J),
SUMIF('TL05'!C:C,C384,'TL05'!J:J),
SUMIF('TL06'!C:C,C384,'TL06'!J:J),
SUMIF('TL07'!C:C,C384,'TL07'!J:J),
SUMIF('TL08'!C:C,C384,'TL08'!J:J),
SUMIF('TL09'!C:C,C384,'TL09'!J:J),
SUMIF('TL10'!C:C,C384,'TL10'!J:J),
SUMIF('TL11'!C:C,C384,'TL11'!J:J),
SUMIF('TL12'!C:C,C384,'TL12'!J:J),
SUMIF('TL13'!C:C,C384,'TL13'!J:J),
SUMIF('TL14'!C:C,C384,'TL14'!J:J),
SUMIF('TL15'!C:C,C384,'TL15'!J:J),
SUMIF('TL16'!C:C,C384,'TL16'!J:J),
SUMIF('TL17'!C:C,C384,'TL17'!J:J),
SUMIF('TL18'!C:C,C384,'TL18'!J:J),SUMIF('TL19'!C:C,C384,'TL19'!J:J))
,0)</f>
        <v>0</v>
      </c>
      <c r="S384" s="17">
        <f>IFERROR(__xludf.DUMMYFUNCTION("IFERROR(VLOOKUP(C384,
IMPORTRANGE(""1wULbzX32WdYsx-lj2U3uUNBBe2INVIRDtcK0d-Dvl90"",
""26-27!C:G""),
5,
FALSE),
"""")"),4.16)</f>
        <v>4.16</v>
      </c>
      <c r="T384" s="9"/>
      <c r="U384" s="92">
        <f t="shared" si="2"/>
        <v>0</v>
      </c>
      <c r="V384" s="93">
        <f t="shared" si="3"/>
        <v>0</v>
      </c>
    </row>
    <row r="385" ht="15.75" hidden="1" customHeight="1">
      <c r="A385" s="4" t="s">
        <v>1071</v>
      </c>
      <c r="B385" s="4" t="s">
        <v>4</v>
      </c>
      <c r="C385" s="130" t="s">
        <v>1127</v>
      </c>
      <c r="D385" s="129" t="s">
        <v>1119</v>
      </c>
      <c r="E385" s="122"/>
      <c r="F385" s="4"/>
      <c r="G385" s="90" t="str">
        <f t="shared" si="5"/>
        <v>📄 Ver bula</v>
      </c>
      <c r="H385" s="9"/>
      <c r="I385" s="123"/>
      <c r="J385" s="9">
        <f>IFERROR(SUM(
IF('TL01'!$B$3=J$3,SUMIF('TL01'!$C$10:$C$224,$C385,'TL01'!$J$10:$J$224),0),
IF('TL01'!$B$229=J$3,SUMIF('TL01'!$C$238:$C$451,$C385,'TL01'!$J$238:$J$451),0),
IF('TL02'!$B$3=J$3,SUMIF('TL02'!$C$10:$C$224,$C385,'TL02'!$J$10:$J$224),0),
IF('TL02'!$B$229=J$3,SUMIF('TL02'!$C$238:$C$451,$C385,'TL02'!$J$238:$J$451),0),
IF('TL03'!$B$3=J$3,SUMIF('TL03'!$C$10:$C$224,$C385,'TL03'!$J$10:$J$224),0),
IF('TL03'!$B$229=J$3,SUMIF('TL03'!$C$238:$C$451,$C385,'TL03'!$J$238:$J$451),0),
IF('TL04'!$B$3=J$3,SUMIF('TL04'!$C$10:$C$224,$C385,'TL04'!$J$10:$J$224),0),
IF('TL04'!$B$229=J$3,SUMIF('TL04'!$C$238:$C$451,$C385,'TL04'!$J$238:$J$451),0),
IF('TL05'!$B$3=J$3,SUMIF('TL05'!$C$10:$C$224,$C385,'TL05'!$J$10:$J$224),0),
IF('TL05'!$B$229=J$3,SUMIF('TL05'!$C$238:$C$451,$C385,'TL05'!$J$238:$J$451),0),
IF('TL06'!$B$3=J$3,SUMIF('TL06'!$C$10:$C$224,$C385,'TL06'!$J$10:$J$224),0),
IF('TL06'!$B$229=J$3,SUMIF('TL06'!$C$238:$C$451,$C385,'TL06'!$J$238:$J$451),0),
IF('TL07'!$B$3=J$3,SUMIF('TL07'!$C$10:$C$224,$C385,'TL07'!$J$10:$J$224),0),
IF('TL07'!$B$229=J$3,SUMIF('TL07'!$C$238:$C$451,$C385,'TL07'!$J$238:$J$451),0),
IF('TL08'!$B$3=J$3,SUMIF('TL08'!$C$10:$C$224,$C385,'TL08'!$J$10:$J$224),0),
IF('TL08'!$B$229=J$3,SUMIF('TL08'!$C$238:$C$451,$C385,'TL08'!$J$238:$J$451),0),
IF('TL09'!$B$3=J$3,SUMIF('TL09'!$C$10:$C$224,$C385,'TL09'!$J$10:$J$224),0),
IF('TL09'!$B$229=J$3,SUMIF('TL09'!$C$238:$C$451,$C385,'TL09'!$J$238:$J$451),0),
IF('TL10'!$B$3=J$3,SUMIF('TL10'!$C$10:$C$224,$C385,'TL10'!$J$10:$J$224),0),
IF('TL10'!$B$229=J$3,SUMIF('TL10'!$C$238:$C$451,$C385,'TL10'!$J$238:$J$451),0),
IF('TL11'!$B$3=J$3,SUMIF('TL11'!$C$10:$C$224,$C385,'TL11'!$J$10:$J$224),0),
IF('TL11'!$B$229=J$3,SUMIF('TL11'!$C$238:$C$451,$C385,'TL11'!$J$238:$J$451),0),
IF('TL12'!$B$3=J$3,SUMIF('TL12'!$C$10:$C$224,$C385,'TL12'!$J$10:$J$224),0),
IF('TL12'!$B$229=J$3,SUMIF('TL12'!$C$238:$C$451,$C385,'TL12'!$J$238:$J$451),0),
IF('TL13'!$B$3=J$3,SUMIF('TL13'!$C$10:$C$224,$C385,'TL13'!$J$10:$J$224),0),
IF('TL13'!$B$229=J$3,SUMIF('TL13'!$C$238:$C$451,$C385,'TL13'!$J$238:$J$451),0),
IF('TL14'!$B$3=J$3,SUMIF('TL14'!$C$10:$C$224,$C385,'TL14'!$J$10:$J$224),0),
IF('TL14'!$B$229=J$3,SUMIF('TL14'!$C$238:$C$451,$C385,'TL14'!$J$238:$J$451),0),
IF('TL15'!$B$3=J$3,SUMIF('TL15'!$C$10:$C$224,$C385,'TL15'!$J$10:$J$224),0),
IF('TL15'!$B$229=J$3,SUMIF('TL15'!$C$238:$C$451,$C385,'TL15'!$J$238:$J$451),0),
IF('TL16'!$B$3=J$3,SUMIF('TL16'!$C$10:$C$224,$C385,'TL16'!$J$10:$J$224),0),
IF('TL16'!$B$229=J$3,SUMIF('TL16'!$C$238:$C$451,$C385,'TL16'!$J$238:$J$451),0),
IF('TL17'!$B$3=J$3,SUMIF('TL17'!$C$10:$C$224,$C385,'TL17'!$J$10:$J$224),0),
IF('TL17'!$B$229=J$3,SUMIF('TL17'!$C$238:$C$451,$C385,'TL17'!$J$238:$J$451),0),
IF('TL18'!$B$3=J$3,SUMIF('TL18'!$C$10:$C$224,$C385,'TL18'!$J$10:$J$224),0),
IF('TL18'!$B$229=J$3,SUMIF('TL18'!$C$238:$C$451,$C385,'TL18'!$J$238:$J$451),0),
IF('TL19'!$B$3=J$3,SUMIF('TL19'!$C$10:$C$224,$C385,'TL19'!$J$10:$J$224),0),
IF('TL19'!$B$229=J$3,SUMIF('TL19'!$C$238:$C$451,$C385,'TL19'!$J$238:$J$451),0)
),0)</f>
        <v>0</v>
      </c>
      <c r="K385" s="9">
        <f>IFERROR(SUM(
IF('TL01'!$B$3=K$3,SUMIF('TL01'!$C$10:$C$224,$C385,'TL01'!$J$10:$J$224),0),
IF('TL01'!$B$229=K$3,SUMIF('TL01'!$C$238:$C$451,$C385,'TL01'!$J$238:$J$451),0),
IF('TL02'!$B$3=K$3,SUMIF('TL02'!$C$10:$C$224,$C385,'TL02'!$J$10:$J$224),0),
IF('TL02'!$B$229=K$3,SUMIF('TL02'!$C$238:$C$451,$C385,'TL02'!$J$238:$J$451),0),
IF('TL03'!$B$3=K$3,SUMIF('TL03'!$C$10:$C$224,$C385,'TL03'!$J$10:$J$224),0),
IF('TL03'!$B$229=K$3,SUMIF('TL03'!$C$238:$C$451,$C385,'TL03'!$J$238:$J$451),0),
IF('TL04'!$B$3=K$3,SUMIF('TL04'!$C$10:$C$224,$C385,'TL04'!$J$10:$J$224),0),
IF('TL04'!$B$229=K$3,SUMIF('TL04'!$C$238:$C$451,$C385,'TL04'!$J$238:$J$451),0),
IF('TL05'!$B$3=K$3,SUMIF('TL05'!$C$10:$C$224,$C385,'TL05'!$J$10:$J$224),0),
IF('TL05'!$B$229=K$3,SUMIF('TL05'!$C$238:$C$451,$C385,'TL05'!$J$238:$J$451),0),
IF('TL06'!$B$3=K$3,SUMIF('TL06'!$C$10:$C$224,$C385,'TL06'!$J$10:$J$224),0),
IF('TL06'!$B$229=K$3,SUMIF('TL06'!$C$238:$C$451,$C385,'TL06'!$J$238:$J$451),0),
IF('TL07'!$B$3=K$3,SUMIF('TL07'!$C$10:$C$224,$C385,'TL07'!$J$10:$J$224),0),
IF('TL07'!$B$229=K$3,SUMIF('TL07'!$C$238:$C$451,$C385,'TL07'!$J$238:$J$451),0),
IF('TL08'!$B$3=K$3,SUMIF('TL08'!$C$10:$C$224,$C385,'TL08'!$J$10:$J$224),0),
IF('TL08'!$B$229=K$3,SUMIF('TL08'!$C$238:$C$451,$C385,'TL08'!$J$238:$J$451),0),
IF('TL09'!$B$3=K$3,SUMIF('TL09'!$C$10:$C$224,$C385,'TL09'!$J$10:$J$224),0),
IF('TL09'!$B$229=K$3,SUMIF('TL09'!$C$238:$C$451,$C385,'TL09'!$J$238:$J$451),0),
IF('TL10'!$B$3=K$3,SUMIF('TL10'!$C$10:$C$224,$C385,'TL10'!$J$10:$J$224),0),
IF('TL10'!$B$229=K$3,SUMIF('TL10'!$C$238:$C$451,$C385,'TL10'!$J$238:$J$451),0),
IF('TL11'!$B$3=K$3,SUMIF('TL11'!$C$10:$C$224,$C385,'TL11'!$J$10:$J$224),0),
IF('TL11'!$B$229=K$3,SUMIF('TL11'!$C$238:$C$451,$C385,'TL11'!$J$238:$J$451),0),
IF('TL12'!$B$3=K$3,SUMIF('TL12'!$C$10:$C$224,$C385,'TL12'!$J$10:$J$224),0),
IF('TL12'!$B$229=K$3,SUMIF('TL12'!$C$238:$C$451,$C385,'TL12'!$J$238:$J$451),0),
IF('TL13'!$B$3=K$3,SUMIF('TL13'!$C$10:$C$224,$C385,'TL13'!$J$10:$J$224),0),
IF('TL13'!$B$229=K$3,SUMIF('TL13'!$C$238:$C$451,$C385,'TL13'!$J$238:$J$451),0),
IF('TL14'!$B$3=K$3,SUMIF('TL14'!$C$10:$C$224,$C385,'TL14'!$J$10:$J$224),0),
IF('TL14'!$B$229=K$3,SUMIF('TL14'!$C$238:$C$451,$C385,'TL14'!$J$238:$J$451),0),
IF('TL15'!$B$3=K$3,SUMIF('TL15'!$C$10:$C$224,$C385,'TL15'!$J$10:$J$224),0),
IF('TL15'!$B$229=K$3,SUMIF('TL15'!$C$238:$C$451,$C385,'TL15'!$J$238:$J$451),0),
IF('TL16'!$B$3=K$3,SUMIF('TL16'!$C$10:$C$224,$C385,'TL16'!$J$10:$J$224),0),
IF('TL16'!$B$229=K$3,SUMIF('TL16'!$C$238:$C$451,$C385,'TL16'!$J$238:$J$451),0),
IF('TL17'!$B$3=K$3,SUMIF('TL17'!$C$10:$C$224,$C385,'TL17'!$J$10:$J$224),0),
IF('TL17'!$B$229=K$3,SUMIF('TL17'!$C$238:$C$451,$C385,'TL17'!$J$238:$J$451),0),
IF('TL18'!$B$3=K$3,SUMIF('TL18'!$C$10:$C$224,$C385,'TL18'!$J$10:$J$224),0),
IF('TL18'!$B$229=K$3,SUMIF('TL18'!$C$238:$C$451,$C385,'TL18'!$J$238:$J$451),0),
IF('TL19'!$B$3=K$3,SUMIF('TL19'!$C$10:$C$224,$C385,'TL19'!$J$10:$J$224),0),
IF('TL19'!$B$229=K$3,SUMIF('TL19'!$C$238:$C$451,$C385,'TL19'!$J$238:$J$451),0)
),0)</f>
        <v>0</v>
      </c>
      <c r="L385" s="9">
        <f>IFERROR(SUM(
IF('TL01'!$B$3=L$3,SUMIF('TL01'!$C$10:$C$224,$C385,'TL01'!$J$10:$J$224),0),
IF('TL01'!$B$229=L$3,SUMIF('TL01'!$C$238:$C$451,$C385,'TL01'!$J$238:$J$451),0),
IF('TL02'!$B$3=L$3,SUMIF('TL02'!$C$10:$C$224,$C385,'TL02'!$J$10:$J$224),0),
IF('TL02'!$B$229=L$3,SUMIF('TL02'!$C$238:$C$451,$C385,'TL02'!$J$238:$J$451),0),
IF('TL03'!$B$3=L$3,SUMIF('TL03'!$C$10:$C$224,$C385,'TL03'!$J$10:$J$224),0),
IF('TL03'!$B$229=L$3,SUMIF('TL03'!$C$238:$C$451,$C385,'TL03'!$J$238:$J$451),0),
IF('TL04'!$B$3=L$3,SUMIF('TL04'!$C$10:$C$224,$C385,'TL04'!$J$10:$J$224),0),
IF('TL04'!$B$229=L$3,SUMIF('TL04'!$C$238:$C$451,$C385,'TL04'!$J$238:$J$451),0),
IF('TL05'!$B$3=L$3,SUMIF('TL05'!$C$10:$C$224,$C385,'TL05'!$J$10:$J$224),0),
IF('TL05'!$B$229=L$3,SUMIF('TL05'!$C$238:$C$451,$C385,'TL05'!$J$238:$J$451),0),
IF('TL06'!$B$3=L$3,SUMIF('TL06'!$C$10:$C$224,$C385,'TL06'!$J$10:$J$224),0),
IF('TL06'!$B$229=L$3,SUMIF('TL06'!$C$238:$C$451,$C385,'TL06'!$J$238:$J$451),0),
IF('TL07'!$B$3=L$3,SUMIF('TL07'!$C$10:$C$224,$C385,'TL07'!$J$10:$J$224),0),
IF('TL07'!$B$229=L$3,SUMIF('TL07'!$C$238:$C$451,$C385,'TL07'!$J$238:$J$451),0),
IF('TL08'!$B$3=L$3,SUMIF('TL08'!$C$10:$C$224,$C385,'TL08'!$J$10:$J$224),0),
IF('TL08'!$B$229=L$3,SUMIF('TL08'!$C$238:$C$451,$C385,'TL08'!$J$238:$J$451),0),
IF('TL09'!$B$3=L$3,SUMIF('TL09'!$C$10:$C$224,$C385,'TL09'!$J$10:$J$224),0),
IF('TL09'!$B$229=L$3,SUMIF('TL09'!$C$238:$C$451,$C385,'TL09'!$J$238:$J$451),0),
IF('TL10'!$B$3=L$3,SUMIF('TL10'!$C$10:$C$224,$C385,'TL10'!$J$10:$J$224),0),
IF('TL10'!$B$229=L$3,SUMIF('TL10'!$C$238:$C$451,$C385,'TL10'!$J$238:$J$451),0),
IF('TL11'!$B$3=L$3,SUMIF('TL11'!$C$10:$C$224,$C385,'TL11'!$J$10:$J$224),0),
IF('TL11'!$B$229=L$3,SUMIF('TL11'!$C$238:$C$451,$C385,'TL11'!$J$238:$J$451),0),
IF('TL12'!$B$3=L$3,SUMIF('TL12'!$C$10:$C$224,$C385,'TL12'!$J$10:$J$224),0),
IF('TL12'!$B$229=L$3,SUMIF('TL12'!$C$238:$C$451,$C385,'TL12'!$J$238:$J$451),0),
IF('TL13'!$B$3=L$3,SUMIF('TL13'!$C$10:$C$224,$C385,'TL13'!$J$10:$J$224),0),
IF('TL13'!$B$229=L$3,SUMIF('TL13'!$C$238:$C$451,$C385,'TL13'!$J$238:$J$451),0),
IF('TL14'!$B$3=L$3,SUMIF('TL14'!$C$10:$C$224,$C385,'TL14'!$J$10:$J$224),0),
IF('TL14'!$B$229=L$3,SUMIF('TL14'!$C$238:$C$451,$C385,'TL14'!$J$238:$J$451),0),
IF('TL15'!$B$3=L$3,SUMIF('TL15'!$C$10:$C$224,$C385,'TL15'!$J$10:$J$224),0),
IF('TL15'!$B$229=L$3,SUMIF('TL15'!$C$238:$C$451,$C385,'TL15'!$J$238:$J$451),0),
IF('TL16'!$B$3=L$3,SUMIF('TL16'!$C$10:$C$224,$C385,'TL16'!$J$10:$J$224),0),
IF('TL16'!$B$229=L$3,SUMIF('TL16'!$C$238:$C$451,$C385,'TL16'!$J$238:$J$451),0),
IF('TL17'!$B$3=L$3,SUMIF('TL17'!$C$10:$C$224,$C385,'TL17'!$J$10:$J$224),0),
IF('TL17'!$B$229=L$3,SUMIF('TL17'!$C$238:$C$451,$C385,'TL17'!$J$238:$J$451),0),
IF('TL18'!$B$3=L$3,SUMIF('TL18'!$C$10:$C$224,$C385,'TL18'!$J$10:$J$224),0),
IF('TL18'!$B$229=L$3,SUMIF('TL18'!$C$238:$C$451,$C385,'TL18'!$J$238:$J$451),0),
IF('TL19'!$B$3=L$3,SUMIF('TL19'!$C$10:$C$224,$C385,'TL19'!$J$10:$J$224),0),
IF('TL19'!$B$229=L$3,SUMIF('TL19'!$C$238:$C$451,$C385,'TL19'!$J$238:$J$451),0)
),0)</f>
        <v>0</v>
      </c>
      <c r="M385" s="9">
        <f>IFERROR(SUM(
IF('TL01'!$B$3=M$3,SUMIF('TL01'!$C$10:$C$224,$C385,'TL01'!$J$10:$J$224),0),
IF('TL01'!$B$229=M$3,SUMIF('TL01'!$C$238:$C$451,$C385,'TL01'!$J$238:$J$451),0),
IF('TL02'!$B$3=M$3,SUMIF('TL02'!$C$10:$C$224,$C385,'TL02'!$J$10:$J$224),0),
IF('TL02'!$B$229=M$3,SUMIF('TL02'!$C$238:$C$451,$C385,'TL02'!$J$238:$J$451),0),
IF('TL03'!$B$3=M$3,SUMIF('TL03'!$C$10:$C$224,$C385,'TL03'!$J$10:$J$224),0),
IF('TL03'!$B$229=M$3,SUMIF('TL03'!$C$238:$C$451,$C385,'TL03'!$J$238:$J$451),0),
IF('TL04'!$B$3=M$3,SUMIF('TL04'!$C$10:$C$224,$C385,'TL04'!$J$10:$J$224),0),
IF('TL04'!$B$229=M$3,SUMIF('TL04'!$C$238:$C$451,$C385,'TL04'!$J$238:$J$451),0),
IF('TL05'!$B$3=M$3,SUMIF('TL05'!$C$10:$C$224,$C385,'TL05'!$J$10:$J$224),0),
IF('TL05'!$B$229=M$3,SUMIF('TL05'!$C$238:$C$451,$C385,'TL05'!$J$238:$J$451),0),
IF('TL06'!$B$3=M$3,SUMIF('TL06'!$C$10:$C$224,$C385,'TL06'!$J$10:$J$224),0),
IF('TL06'!$B$229=M$3,SUMIF('TL06'!$C$238:$C$451,$C385,'TL06'!$J$238:$J$451),0),
IF('TL07'!$B$3=M$3,SUMIF('TL07'!$C$10:$C$224,$C385,'TL07'!$J$10:$J$224),0),
IF('TL07'!$B$229=M$3,SUMIF('TL07'!$C$238:$C$451,$C385,'TL07'!$J$238:$J$451),0),
IF('TL08'!$B$3=M$3,SUMIF('TL08'!$C$10:$C$224,$C385,'TL08'!$J$10:$J$224),0),
IF('TL08'!$B$229=M$3,SUMIF('TL08'!$C$238:$C$451,$C385,'TL08'!$J$238:$J$451),0),
IF('TL09'!$B$3=M$3,SUMIF('TL09'!$C$10:$C$224,$C385,'TL09'!$J$10:$J$224),0),
IF('TL09'!$B$229=M$3,SUMIF('TL09'!$C$238:$C$451,$C385,'TL09'!$J$238:$J$451),0),
IF('TL10'!$B$3=M$3,SUMIF('TL10'!$C$10:$C$224,$C385,'TL10'!$J$10:$J$224),0),
IF('TL10'!$B$229=M$3,SUMIF('TL10'!$C$238:$C$451,$C385,'TL10'!$J$238:$J$451),0),
IF('TL11'!$B$3=M$3,SUMIF('TL11'!$C$10:$C$224,$C385,'TL11'!$J$10:$J$224),0),
IF('TL11'!$B$229=M$3,SUMIF('TL11'!$C$238:$C$451,$C385,'TL11'!$J$238:$J$451),0),
IF('TL12'!$B$3=M$3,SUMIF('TL12'!$C$10:$C$224,$C385,'TL12'!$J$10:$J$224),0),
IF('TL12'!$B$229=M$3,SUMIF('TL12'!$C$238:$C$451,$C385,'TL12'!$J$238:$J$451),0),
IF('TL13'!$B$3=M$3,SUMIF('TL13'!$C$10:$C$224,$C385,'TL13'!$J$10:$J$224),0),
IF('TL13'!$B$229=M$3,SUMIF('TL13'!$C$238:$C$451,$C385,'TL13'!$J$238:$J$451),0),
IF('TL14'!$B$3=M$3,SUMIF('TL14'!$C$10:$C$224,$C385,'TL14'!$J$10:$J$224),0),
IF('TL14'!$B$229=M$3,SUMIF('TL14'!$C$238:$C$451,$C385,'TL14'!$J$238:$J$451),0),
IF('TL15'!$B$3=M$3,SUMIF('TL15'!$C$10:$C$224,$C385,'TL15'!$J$10:$J$224),0),
IF('TL15'!$B$229=M$3,SUMIF('TL15'!$C$238:$C$451,$C385,'TL15'!$J$238:$J$451),0),
IF('TL16'!$B$3=M$3,SUMIF('TL16'!$C$10:$C$224,$C385,'TL16'!$J$10:$J$224),0),
IF('TL16'!$B$229=M$3,SUMIF('TL16'!$C$238:$C$451,$C385,'TL16'!$J$238:$J$451),0),
IF('TL17'!$B$3=M$3,SUMIF('TL17'!$C$10:$C$224,$C385,'TL17'!$J$10:$J$224),0),
IF('TL17'!$B$229=M$3,SUMIF('TL17'!$C$238:$C$451,$C385,'TL17'!$J$238:$J$451),0),
IF('TL18'!$B$3=M$3,SUMIF('TL18'!$C$10:$C$224,$C385,'TL18'!$J$10:$J$224),0),
IF('TL18'!$B$229=M$3,SUMIF('TL18'!$C$238:$C$451,$C385,'TL18'!$J$238:$J$451),0),
IF('TL19'!$B$3=M$3,SUMIF('TL19'!$C$10:$C$224,$C385,'TL19'!$J$10:$J$224),0),
IF('TL19'!$B$229=M$3,SUMIF('TL19'!$C$238:$C$451,$C385,'TL19'!$J$238:$J$451),0)
),0)</f>
        <v>0</v>
      </c>
      <c r="N385" s="9">
        <f>IFERROR(SUM(
IF('TL01'!$B$3=N$3,SUMIF('TL01'!$C$10:$C$224,$C385,'TL01'!$J$10:$J$224),0),
IF('TL01'!$B$229=N$3,SUMIF('TL01'!$C$238:$C$451,$C385,'TL01'!$J$238:$J$451),0),
IF('TL02'!$B$3=N$3,SUMIF('TL02'!$C$10:$C$224,$C385,'TL02'!$J$10:$J$224),0),
IF('TL02'!$B$229=N$3,SUMIF('TL02'!$C$238:$C$451,$C385,'TL02'!$J$238:$J$451),0),
IF('TL03'!$B$3=N$3,SUMIF('TL03'!$C$10:$C$224,$C385,'TL03'!$J$10:$J$224),0),
IF('TL03'!$B$229=N$3,SUMIF('TL03'!$C$238:$C$451,$C385,'TL03'!$J$238:$J$451),0),
IF('TL04'!$B$3=N$3,SUMIF('TL04'!$C$10:$C$224,$C385,'TL04'!$J$10:$J$224),0),
IF('TL04'!$B$229=N$3,SUMIF('TL04'!$C$238:$C$451,$C385,'TL04'!$J$238:$J$451),0),
IF('TL05'!$B$3=N$3,SUMIF('TL05'!$C$10:$C$224,$C385,'TL05'!$J$10:$J$224),0),
IF('TL05'!$B$229=N$3,SUMIF('TL05'!$C$238:$C$451,$C385,'TL05'!$J$238:$J$451),0),
IF('TL06'!$B$3=N$3,SUMIF('TL06'!$C$10:$C$224,$C385,'TL06'!$J$10:$J$224),0),
IF('TL06'!$B$229=N$3,SUMIF('TL06'!$C$238:$C$451,$C385,'TL06'!$J$238:$J$451),0),
IF('TL07'!$B$3=N$3,SUMIF('TL07'!$C$10:$C$224,$C385,'TL07'!$J$10:$J$224),0),
IF('TL07'!$B$229=N$3,SUMIF('TL07'!$C$238:$C$451,$C385,'TL07'!$J$238:$J$451),0),
IF('TL08'!$B$3=N$3,SUMIF('TL08'!$C$10:$C$224,$C385,'TL08'!$J$10:$J$224),0),
IF('TL08'!$B$229=N$3,SUMIF('TL08'!$C$238:$C$451,$C385,'TL08'!$J$238:$J$451),0),
IF('TL09'!$B$3=N$3,SUMIF('TL09'!$C$10:$C$224,$C385,'TL09'!$J$10:$J$224),0),
IF('TL09'!$B$229=N$3,SUMIF('TL09'!$C$238:$C$451,$C385,'TL09'!$J$238:$J$451),0),
IF('TL10'!$B$3=N$3,SUMIF('TL10'!$C$10:$C$224,$C385,'TL10'!$J$10:$J$224),0),
IF('TL10'!$B$229=N$3,SUMIF('TL10'!$C$238:$C$451,$C385,'TL10'!$J$238:$J$451),0),
IF('TL11'!$B$3=N$3,SUMIF('TL11'!$C$10:$C$224,$C385,'TL11'!$J$10:$J$224),0),
IF('TL11'!$B$229=N$3,SUMIF('TL11'!$C$238:$C$451,$C385,'TL11'!$J$238:$J$451),0),
IF('TL12'!$B$3=N$3,SUMIF('TL12'!$C$10:$C$224,$C385,'TL12'!$J$10:$J$224),0),
IF('TL12'!$B$229=N$3,SUMIF('TL12'!$C$238:$C$451,$C385,'TL12'!$J$238:$J$451),0),
IF('TL13'!$B$3=N$3,SUMIF('TL13'!$C$10:$C$224,$C385,'TL13'!$J$10:$J$224),0),
IF('TL13'!$B$229=N$3,SUMIF('TL13'!$C$238:$C$451,$C385,'TL13'!$J$238:$J$451),0),
IF('TL14'!$B$3=N$3,SUMIF('TL14'!$C$10:$C$224,$C385,'TL14'!$J$10:$J$224),0),
IF('TL14'!$B$229=N$3,SUMIF('TL14'!$C$238:$C$451,$C385,'TL14'!$J$238:$J$451),0),
IF('TL15'!$B$3=N$3,SUMIF('TL15'!$C$10:$C$224,$C385,'TL15'!$J$10:$J$224),0),
IF('TL15'!$B$229=N$3,SUMIF('TL15'!$C$238:$C$451,$C385,'TL15'!$J$238:$J$451),0),
IF('TL16'!$B$3=N$3,SUMIF('TL16'!$C$10:$C$224,$C385,'TL16'!$J$10:$J$224),0),
IF('TL16'!$B$229=N$3,SUMIF('TL16'!$C$238:$C$451,$C385,'TL16'!$J$238:$J$451),0),
IF('TL17'!$B$3=N$3,SUMIF('TL17'!$C$10:$C$224,$C385,'TL17'!$J$10:$J$224),0),
IF('TL17'!$B$229=N$3,SUMIF('TL17'!$C$238:$C$451,$C385,'TL17'!$J$238:$J$451),0),
IF('TL18'!$B$3=N$3,SUMIF('TL18'!$C$10:$C$224,$C385,'TL18'!$J$10:$J$224),0),
IF('TL18'!$B$229=N$3,SUMIF('TL18'!$C$238:$C$451,$C385,'TL18'!$J$238:$J$451),0),
IF('TL19'!$B$3=N$3,SUMIF('TL19'!$C$10:$C$224,$C385,'TL19'!$J$10:$J$224),0),
IF('TL19'!$B$229=N$3,SUMIF('TL19'!$C$238:$C$451,$C385,'TL19'!$J$238:$J$451),0)
),0)</f>
        <v>0</v>
      </c>
      <c r="O385" s="9">
        <f>IFERROR(SUM(
IF('TL01'!$B$3=O$3,SUMIF('TL01'!$C$10:$C$224,$C385,'TL01'!$J$10:$J$224),0),
IF('TL01'!$B$229=O$3,SUMIF('TL01'!$C$238:$C$451,$C385,'TL01'!$J$238:$J$451),0),
IF('TL02'!$B$3=O$3,SUMIF('TL02'!$C$10:$C$224,$C385,'TL02'!$J$10:$J$224),0),
IF('TL02'!$B$229=O$3,SUMIF('TL02'!$C$238:$C$451,$C385,'TL02'!$J$238:$J$451),0),
IF('TL03'!$B$3=O$3,SUMIF('TL03'!$C$10:$C$224,$C385,'TL03'!$J$10:$J$224),0),
IF('TL03'!$B$229=O$3,SUMIF('TL03'!$C$238:$C$451,$C385,'TL03'!$J$238:$J$451),0),
IF('TL04'!$B$3=O$3,SUMIF('TL04'!$C$10:$C$224,$C385,'TL04'!$J$10:$J$224),0),
IF('TL04'!$B$229=O$3,SUMIF('TL04'!$C$238:$C$451,$C385,'TL04'!$J$238:$J$451),0),
IF('TL05'!$B$3=O$3,SUMIF('TL05'!$C$10:$C$224,$C385,'TL05'!$J$10:$J$224),0),
IF('TL05'!$B$229=O$3,SUMIF('TL05'!$C$238:$C$451,$C385,'TL05'!$J$238:$J$451),0),
IF('TL06'!$B$3=O$3,SUMIF('TL06'!$C$10:$C$224,$C385,'TL06'!$J$10:$J$224),0),
IF('TL06'!$B$229=O$3,SUMIF('TL06'!$C$238:$C$451,$C385,'TL06'!$J$238:$J$451),0),
IF('TL07'!$B$3=O$3,SUMIF('TL07'!$C$10:$C$224,$C385,'TL07'!$J$10:$J$224),0),
IF('TL07'!$B$229=O$3,SUMIF('TL07'!$C$238:$C$451,$C385,'TL07'!$J$238:$J$451),0),
IF('TL08'!$B$3=O$3,SUMIF('TL08'!$C$10:$C$224,$C385,'TL08'!$J$10:$J$224),0),
IF('TL08'!$B$229=O$3,SUMIF('TL08'!$C$238:$C$451,$C385,'TL08'!$J$238:$J$451),0),
IF('TL09'!$B$3=O$3,SUMIF('TL09'!$C$10:$C$224,$C385,'TL09'!$J$10:$J$224),0),
IF('TL09'!$B$229=O$3,SUMIF('TL09'!$C$238:$C$451,$C385,'TL09'!$J$238:$J$451),0),
IF('TL10'!$B$3=O$3,SUMIF('TL10'!$C$10:$C$224,$C385,'TL10'!$J$10:$J$224),0),
IF('TL10'!$B$229=O$3,SUMIF('TL10'!$C$238:$C$451,$C385,'TL10'!$J$238:$J$451),0),
IF('TL11'!$B$3=O$3,SUMIF('TL11'!$C$10:$C$224,$C385,'TL11'!$J$10:$J$224),0),
IF('TL11'!$B$229=O$3,SUMIF('TL11'!$C$238:$C$451,$C385,'TL11'!$J$238:$J$451),0),
IF('TL12'!$B$3=O$3,SUMIF('TL12'!$C$10:$C$224,$C385,'TL12'!$J$10:$J$224),0),
IF('TL12'!$B$229=O$3,SUMIF('TL12'!$C$238:$C$451,$C385,'TL12'!$J$238:$J$451),0),
IF('TL13'!$B$3=O$3,SUMIF('TL13'!$C$10:$C$224,$C385,'TL13'!$J$10:$J$224),0),
IF('TL13'!$B$229=O$3,SUMIF('TL13'!$C$238:$C$451,$C385,'TL13'!$J$238:$J$451),0),
IF('TL14'!$B$3=O$3,SUMIF('TL14'!$C$10:$C$224,$C385,'TL14'!$J$10:$J$224),0),
IF('TL14'!$B$229=O$3,SUMIF('TL14'!$C$238:$C$451,$C385,'TL14'!$J$238:$J$451),0),
IF('TL15'!$B$3=O$3,SUMIF('TL15'!$C$10:$C$224,$C385,'TL15'!$J$10:$J$224),0),
IF('TL15'!$B$229=O$3,SUMIF('TL15'!$C$238:$C$451,$C385,'TL15'!$J$238:$J$451),0),
IF('TL16'!$B$3=O$3,SUMIF('TL16'!$C$10:$C$224,$C385,'TL16'!$J$10:$J$224),0),
IF('TL16'!$B$229=O$3,SUMIF('TL16'!$C$238:$C$451,$C385,'TL16'!$J$238:$J$451),0),
IF('TL17'!$B$3=O$3,SUMIF('TL17'!$C$10:$C$224,$C385,'TL17'!$J$10:$J$224),0),
IF('TL17'!$B$229=O$3,SUMIF('TL17'!$C$238:$C$451,$C385,'TL17'!$J$238:$J$451),0),
IF('TL18'!$B$3=O$3,SUMIF('TL18'!$C$10:$C$224,$C385,'TL18'!$J$10:$J$224),0),
IF('TL18'!$B$229=O$3,SUMIF('TL18'!$C$238:$C$451,$C385,'TL18'!$J$238:$J$451),0),
IF('TL19'!$B$3=O$3,SUMIF('TL19'!$C$10:$C$224,$C385,'TL19'!$J$10:$J$224),0),
IF('TL19'!$B$229=O$3,SUMIF('TL19'!$C$238:$C$451,$C385,'TL19'!$J$238:$J$451),0)
),0)</f>
        <v>0</v>
      </c>
      <c r="P385" s="9">
        <f>IFERROR(SUM(
IF('TL01'!$B$3=P$3,SUMIF('TL01'!$C$10:$C$224,$C385,'TL01'!$J$10:$J$224),0),
IF('TL01'!$B$229=P$3,SUMIF('TL01'!$C$238:$C$451,$C385,'TL01'!$J$238:$J$451),0),
IF('TL02'!$B$3=P$3,SUMIF('TL02'!$C$10:$C$224,$C385,'TL02'!$J$10:$J$224),0),
IF('TL02'!$B$229=P$3,SUMIF('TL02'!$C$238:$C$451,$C385,'TL02'!$J$238:$J$451),0),
IF('TL03'!$B$3=P$3,SUMIF('TL03'!$C$10:$C$224,$C385,'TL03'!$J$10:$J$224),0),
IF('TL03'!$B$229=P$3,SUMIF('TL03'!$C$238:$C$451,$C385,'TL03'!$J$238:$J$451),0),
IF('TL04'!$B$3=P$3,SUMIF('TL04'!$C$10:$C$224,$C385,'TL04'!$J$10:$J$224),0),
IF('TL04'!$B$229=P$3,SUMIF('TL04'!$C$238:$C$451,$C385,'TL04'!$J$238:$J$451),0),
IF('TL05'!$B$3=P$3,SUMIF('TL05'!$C$10:$C$224,$C385,'TL05'!$J$10:$J$224),0),
IF('TL05'!$B$229=P$3,SUMIF('TL05'!$C$238:$C$451,$C385,'TL05'!$J$238:$J$451),0),
IF('TL06'!$B$3=P$3,SUMIF('TL06'!$C$10:$C$224,$C385,'TL06'!$J$10:$J$224),0),
IF('TL06'!$B$229=P$3,SUMIF('TL06'!$C$238:$C$451,$C385,'TL06'!$J$238:$J$451),0),
IF('TL07'!$B$3=P$3,SUMIF('TL07'!$C$10:$C$224,$C385,'TL07'!$J$10:$J$224),0),
IF('TL07'!$B$229=P$3,SUMIF('TL07'!$C$238:$C$451,$C385,'TL07'!$J$238:$J$451),0),
IF('TL08'!$B$3=P$3,SUMIF('TL08'!$C$10:$C$224,$C385,'TL08'!$J$10:$J$224),0),
IF('TL08'!$B$229=P$3,SUMIF('TL08'!$C$238:$C$451,$C385,'TL08'!$J$238:$J$451),0),
IF('TL09'!$B$3=P$3,SUMIF('TL09'!$C$10:$C$224,$C385,'TL09'!$J$10:$J$224),0),
IF('TL09'!$B$229=P$3,SUMIF('TL09'!$C$238:$C$451,$C385,'TL09'!$J$238:$J$451),0),
IF('TL10'!$B$3=P$3,SUMIF('TL10'!$C$10:$C$224,$C385,'TL10'!$J$10:$J$224),0),
IF('TL10'!$B$229=P$3,SUMIF('TL10'!$C$238:$C$451,$C385,'TL10'!$J$238:$J$451),0),
IF('TL11'!$B$3=P$3,SUMIF('TL11'!$C$10:$C$224,$C385,'TL11'!$J$10:$J$224),0),
IF('TL11'!$B$229=P$3,SUMIF('TL11'!$C$238:$C$451,$C385,'TL11'!$J$238:$J$451),0),
IF('TL12'!$B$3=P$3,SUMIF('TL12'!$C$10:$C$224,$C385,'TL12'!$J$10:$J$224),0),
IF('TL12'!$B$229=P$3,SUMIF('TL12'!$C$238:$C$451,$C385,'TL12'!$J$238:$J$451),0),
IF('TL13'!$B$3=P$3,SUMIF('TL13'!$C$10:$C$224,$C385,'TL13'!$J$10:$J$224),0),
IF('TL13'!$B$229=P$3,SUMIF('TL13'!$C$238:$C$451,$C385,'TL13'!$J$238:$J$451),0),
IF('TL14'!$B$3=P$3,SUMIF('TL14'!$C$10:$C$224,$C385,'TL14'!$J$10:$J$224),0),
IF('TL14'!$B$229=P$3,SUMIF('TL14'!$C$238:$C$451,$C385,'TL14'!$J$238:$J$451),0),
IF('TL15'!$B$3=P$3,SUMIF('TL15'!$C$10:$C$224,$C385,'TL15'!$J$10:$J$224),0),
IF('TL15'!$B$229=P$3,SUMIF('TL15'!$C$238:$C$451,$C385,'TL15'!$J$238:$J$451),0),
IF('TL16'!$B$3=P$3,SUMIF('TL16'!$C$10:$C$224,$C385,'TL16'!$J$10:$J$224),0),
IF('TL16'!$B$229=P$3,SUMIF('TL16'!$C$238:$C$451,$C385,'TL16'!$J$238:$J$451),0),
IF('TL17'!$B$3=P$3,SUMIF('TL17'!$C$10:$C$224,$C385,'TL17'!$J$10:$J$224),0),
IF('TL17'!$B$229=P$3,SUMIF('TL17'!$C$238:$C$451,$C385,'TL17'!$J$238:$J$451),0),
IF('TL18'!$B$3=P$3,SUMIF('TL18'!$C$10:$C$224,$C385,'TL18'!$J$10:$J$224),0),
IF('TL18'!$B$229=P$3,SUMIF('TL18'!$C$238:$C$451,$C385,'TL18'!$J$238:$J$451),0),
IF('TL19'!$B$3=P$3,SUMIF('TL19'!$C$10:$C$224,$C385,'TL19'!$J$10:$J$224),0),
IF('TL19'!$B$229=P$3,SUMIF('TL19'!$C$238:$C$451,$C385,'TL19'!$J$238:$J$451),0)
),0)</f>
        <v>0</v>
      </c>
      <c r="Q385" s="9">
        <f>IFERROR(SUM(
IF('TL01'!$B$3=Q$3,SUMIF('TL01'!$C$10:$C$224,$C385,'TL01'!$J$10:$J$224),0),
IF('TL01'!$B$229=Q$3,SUMIF('TL01'!$C$238:$C$451,$C385,'TL01'!$J$238:$J$451),0),
IF('TL02'!$B$3=Q$3,SUMIF('TL02'!$C$10:$C$224,$C385,'TL02'!$J$10:$J$224),0),
IF('TL02'!$B$229=Q$3,SUMIF('TL02'!$C$238:$C$451,$C385,'TL02'!$J$238:$J$451),0),
IF('TL03'!$B$3=Q$3,SUMIF('TL03'!$C$10:$C$224,$C385,'TL03'!$J$10:$J$224),0),
IF('TL03'!$B$229=Q$3,SUMIF('TL03'!$C$238:$C$451,$C385,'TL03'!$J$238:$J$451),0),
IF('TL04'!$B$3=Q$3,SUMIF('TL04'!$C$10:$C$224,$C385,'TL04'!$J$10:$J$224),0),
IF('TL04'!$B$229=Q$3,SUMIF('TL04'!$C$238:$C$451,$C385,'TL04'!$J$238:$J$451),0),
IF('TL05'!$B$3=Q$3,SUMIF('TL05'!$C$10:$C$224,$C385,'TL05'!$J$10:$J$224),0),
IF('TL05'!$B$229=Q$3,SUMIF('TL05'!$C$238:$C$451,$C385,'TL05'!$J$238:$J$451),0),
IF('TL06'!$B$3=Q$3,SUMIF('TL06'!$C$10:$C$224,$C385,'TL06'!$J$10:$J$224),0),
IF('TL06'!$B$229=Q$3,SUMIF('TL06'!$C$238:$C$451,$C385,'TL06'!$J$238:$J$451),0),
IF('TL07'!$B$3=Q$3,SUMIF('TL07'!$C$10:$C$224,$C385,'TL07'!$J$10:$J$224),0),
IF('TL07'!$B$229=Q$3,SUMIF('TL07'!$C$238:$C$451,$C385,'TL07'!$J$238:$J$451),0),
IF('TL08'!$B$3=Q$3,SUMIF('TL08'!$C$10:$C$224,$C385,'TL08'!$J$10:$J$224),0),
IF('TL08'!$B$229=Q$3,SUMIF('TL08'!$C$238:$C$451,$C385,'TL08'!$J$238:$J$451),0),
IF('TL09'!$B$3=Q$3,SUMIF('TL09'!$C$10:$C$224,$C385,'TL09'!$J$10:$J$224),0),
IF('TL09'!$B$229=Q$3,SUMIF('TL09'!$C$238:$C$451,$C385,'TL09'!$J$238:$J$451),0),
IF('TL10'!$B$3=Q$3,SUMIF('TL10'!$C$10:$C$224,$C385,'TL10'!$J$10:$J$224),0),
IF('TL10'!$B$229=Q$3,SUMIF('TL10'!$C$238:$C$451,$C385,'TL10'!$J$238:$J$451),0),
IF('TL11'!$B$3=Q$3,SUMIF('TL11'!$C$10:$C$224,$C385,'TL11'!$J$10:$J$224),0),
IF('TL11'!$B$229=Q$3,SUMIF('TL11'!$C$238:$C$451,$C385,'TL11'!$J$238:$J$451),0),
IF('TL12'!$B$3=Q$3,SUMIF('TL12'!$C$10:$C$224,$C385,'TL12'!$J$10:$J$224),0),
IF('TL12'!$B$229=Q$3,SUMIF('TL12'!$C$238:$C$451,$C385,'TL12'!$J$238:$J$451),0),
IF('TL13'!$B$3=Q$3,SUMIF('TL13'!$C$10:$C$224,$C385,'TL13'!$J$10:$J$224),0),
IF('TL13'!$B$229=Q$3,SUMIF('TL13'!$C$238:$C$451,$C385,'TL13'!$J$238:$J$451),0),
IF('TL14'!$B$3=Q$3,SUMIF('TL14'!$C$10:$C$224,$C385,'TL14'!$J$10:$J$224),0),
IF('TL14'!$B$229=Q$3,SUMIF('TL14'!$C$238:$C$451,$C385,'TL14'!$J$238:$J$451),0),
IF('TL15'!$B$3=Q$3,SUMIF('TL15'!$C$10:$C$224,$C385,'TL15'!$J$10:$J$224),0),
IF('TL15'!$B$229=Q$3,SUMIF('TL15'!$C$238:$C$451,$C385,'TL15'!$J$238:$J$451),0),
IF('TL16'!$B$3=Q$3,SUMIF('TL16'!$C$10:$C$224,$C385,'TL16'!$J$10:$J$224),0),
IF('TL16'!$B$229=Q$3,SUMIF('TL16'!$C$238:$C$451,$C385,'TL16'!$J$238:$J$451),0),
IF('TL17'!$B$3=Q$3,SUMIF('TL17'!$C$10:$C$224,$C385,'TL17'!$J$10:$J$224),0),
IF('TL17'!$B$229=Q$3,SUMIF('TL17'!$C$238:$C$451,$C385,'TL17'!$J$238:$J$451),0),
IF('TL18'!$B$3=Q$3,SUMIF('TL18'!$C$10:$C$224,$C385,'TL18'!$J$10:$J$224),0),
IF('TL18'!$B$229=Q$3,SUMIF('TL18'!$C$238:$C$451,$C385,'TL18'!$J$238:$J$451),0),
IF('TL19'!$B$3=Q$3,SUMIF('TL19'!$C$10:$C$224,$C385,'TL19'!$J$10:$J$224),0),
IF('TL19'!$B$229=Q$3,SUMIF('TL19'!$C$238:$C$451,$C385,'TL19'!$J$238:$J$451),0)
),0)</f>
        <v>0</v>
      </c>
      <c r="R385" s="9">
        <f>IFERROR(
SUM(
SUMIF('TL01'!C:C,C385,'TL01'!J:J),
SUMIF('TL02'!C:C,C385,'TL02'!J:J),
SUMIF('TL03'!C:C,C385,'TL03'!J:J),
SUMIF('TL04'!C:C,C385,'TL04'!J:J),
SUMIF('TL05'!C:C,C385,'TL05'!J:J),
SUMIF('TL06'!C:C,C385,'TL06'!J:J),
SUMIF('TL07'!C:C,C385,'TL07'!J:J),
SUMIF('TL08'!C:C,C385,'TL08'!J:J),
SUMIF('TL09'!C:C,C385,'TL09'!J:J),
SUMIF('TL10'!C:C,C385,'TL10'!J:J),
SUMIF('TL11'!C:C,C385,'TL11'!J:J),
SUMIF('TL12'!C:C,C385,'TL12'!J:J),
SUMIF('TL13'!C:C,C385,'TL13'!J:J),
SUMIF('TL14'!C:C,C385,'TL14'!J:J),
SUMIF('TL15'!C:C,C385,'TL15'!J:J),
SUMIF('TL16'!C:C,C385,'TL16'!J:J),
SUMIF('TL17'!C:C,C385,'TL17'!J:J),
SUMIF('TL18'!C:C,C385,'TL18'!J:J),SUMIF('TL19'!C:C,C385,'TL19'!J:J))
,0)</f>
        <v>0</v>
      </c>
      <c r="S385" s="17">
        <f>IFERROR(__xludf.DUMMYFUNCTION("IFERROR(VLOOKUP(C385,
IMPORTRANGE(""1wULbzX32WdYsx-lj2U3uUNBBe2INVIRDtcK0d-Dvl90"",
""26-27!C:G""),
5,
FALSE),
"""")"),4.47)</f>
        <v>4.47</v>
      </c>
      <c r="T385" s="9"/>
      <c r="U385" s="92">
        <f t="shared" si="2"/>
        <v>0</v>
      </c>
      <c r="V385" s="93">
        <f t="shared" si="3"/>
        <v>0</v>
      </c>
    </row>
    <row r="386" ht="15.75" hidden="1" customHeight="1">
      <c r="A386" s="4" t="s">
        <v>1071</v>
      </c>
      <c r="B386" s="4" t="s">
        <v>4</v>
      </c>
      <c r="C386" s="131" t="s">
        <v>1128</v>
      </c>
      <c r="D386" s="127" t="s">
        <v>1119</v>
      </c>
      <c r="E386" s="119"/>
      <c r="F386" s="4"/>
      <c r="G386" s="90" t="str">
        <f t="shared" si="5"/>
        <v>📄 Ver bula</v>
      </c>
      <c r="H386" s="9"/>
      <c r="I386" s="121"/>
      <c r="J386" s="9">
        <f>IFERROR(SUM(
IF('TL01'!$B$3=J$3,SUMIF('TL01'!$C$10:$C$224,$C386,'TL01'!$J$10:$J$224),0),
IF('TL01'!$B$229=J$3,SUMIF('TL01'!$C$238:$C$451,$C386,'TL01'!$J$238:$J$451),0),
IF('TL02'!$B$3=J$3,SUMIF('TL02'!$C$10:$C$224,$C386,'TL02'!$J$10:$J$224),0),
IF('TL02'!$B$229=J$3,SUMIF('TL02'!$C$238:$C$451,$C386,'TL02'!$J$238:$J$451),0),
IF('TL03'!$B$3=J$3,SUMIF('TL03'!$C$10:$C$224,$C386,'TL03'!$J$10:$J$224),0),
IF('TL03'!$B$229=J$3,SUMIF('TL03'!$C$238:$C$451,$C386,'TL03'!$J$238:$J$451),0),
IF('TL04'!$B$3=J$3,SUMIF('TL04'!$C$10:$C$224,$C386,'TL04'!$J$10:$J$224),0),
IF('TL04'!$B$229=J$3,SUMIF('TL04'!$C$238:$C$451,$C386,'TL04'!$J$238:$J$451),0),
IF('TL05'!$B$3=J$3,SUMIF('TL05'!$C$10:$C$224,$C386,'TL05'!$J$10:$J$224),0),
IF('TL05'!$B$229=J$3,SUMIF('TL05'!$C$238:$C$451,$C386,'TL05'!$J$238:$J$451),0),
IF('TL06'!$B$3=J$3,SUMIF('TL06'!$C$10:$C$224,$C386,'TL06'!$J$10:$J$224),0),
IF('TL06'!$B$229=J$3,SUMIF('TL06'!$C$238:$C$451,$C386,'TL06'!$J$238:$J$451),0),
IF('TL07'!$B$3=J$3,SUMIF('TL07'!$C$10:$C$224,$C386,'TL07'!$J$10:$J$224),0),
IF('TL07'!$B$229=J$3,SUMIF('TL07'!$C$238:$C$451,$C386,'TL07'!$J$238:$J$451),0),
IF('TL08'!$B$3=J$3,SUMIF('TL08'!$C$10:$C$224,$C386,'TL08'!$J$10:$J$224),0),
IF('TL08'!$B$229=J$3,SUMIF('TL08'!$C$238:$C$451,$C386,'TL08'!$J$238:$J$451),0),
IF('TL09'!$B$3=J$3,SUMIF('TL09'!$C$10:$C$224,$C386,'TL09'!$J$10:$J$224),0),
IF('TL09'!$B$229=J$3,SUMIF('TL09'!$C$238:$C$451,$C386,'TL09'!$J$238:$J$451),0),
IF('TL10'!$B$3=J$3,SUMIF('TL10'!$C$10:$C$224,$C386,'TL10'!$J$10:$J$224),0),
IF('TL10'!$B$229=J$3,SUMIF('TL10'!$C$238:$C$451,$C386,'TL10'!$J$238:$J$451),0),
IF('TL11'!$B$3=J$3,SUMIF('TL11'!$C$10:$C$224,$C386,'TL11'!$J$10:$J$224),0),
IF('TL11'!$B$229=J$3,SUMIF('TL11'!$C$238:$C$451,$C386,'TL11'!$J$238:$J$451),0),
IF('TL12'!$B$3=J$3,SUMIF('TL12'!$C$10:$C$224,$C386,'TL12'!$J$10:$J$224),0),
IF('TL12'!$B$229=J$3,SUMIF('TL12'!$C$238:$C$451,$C386,'TL12'!$J$238:$J$451),0),
IF('TL13'!$B$3=J$3,SUMIF('TL13'!$C$10:$C$224,$C386,'TL13'!$J$10:$J$224),0),
IF('TL13'!$B$229=J$3,SUMIF('TL13'!$C$238:$C$451,$C386,'TL13'!$J$238:$J$451),0),
IF('TL14'!$B$3=J$3,SUMIF('TL14'!$C$10:$C$224,$C386,'TL14'!$J$10:$J$224),0),
IF('TL14'!$B$229=J$3,SUMIF('TL14'!$C$238:$C$451,$C386,'TL14'!$J$238:$J$451),0),
IF('TL15'!$B$3=J$3,SUMIF('TL15'!$C$10:$C$224,$C386,'TL15'!$J$10:$J$224),0),
IF('TL15'!$B$229=J$3,SUMIF('TL15'!$C$238:$C$451,$C386,'TL15'!$J$238:$J$451),0),
IF('TL16'!$B$3=J$3,SUMIF('TL16'!$C$10:$C$224,$C386,'TL16'!$J$10:$J$224),0),
IF('TL16'!$B$229=J$3,SUMIF('TL16'!$C$238:$C$451,$C386,'TL16'!$J$238:$J$451),0),
IF('TL17'!$B$3=J$3,SUMIF('TL17'!$C$10:$C$224,$C386,'TL17'!$J$10:$J$224),0),
IF('TL17'!$B$229=J$3,SUMIF('TL17'!$C$238:$C$451,$C386,'TL17'!$J$238:$J$451),0),
IF('TL18'!$B$3=J$3,SUMIF('TL18'!$C$10:$C$224,$C386,'TL18'!$J$10:$J$224),0),
IF('TL18'!$B$229=J$3,SUMIF('TL18'!$C$238:$C$451,$C386,'TL18'!$J$238:$J$451),0),
IF('TL19'!$B$3=J$3,SUMIF('TL19'!$C$10:$C$224,$C386,'TL19'!$J$10:$J$224),0),
IF('TL19'!$B$229=J$3,SUMIF('TL19'!$C$238:$C$451,$C386,'TL19'!$J$238:$J$451),0)
),0)</f>
        <v>0</v>
      </c>
      <c r="K386" s="9">
        <f>IFERROR(SUM(
IF('TL01'!$B$3=K$3,SUMIF('TL01'!$C$10:$C$224,$C386,'TL01'!$J$10:$J$224),0),
IF('TL01'!$B$229=K$3,SUMIF('TL01'!$C$238:$C$451,$C386,'TL01'!$J$238:$J$451),0),
IF('TL02'!$B$3=K$3,SUMIF('TL02'!$C$10:$C$224,$C386,'TL02'!$J$10:$J$224),0),
IF('TL02'!$B$229=K$3,SUMIF('TL02'!$C$238:$C$451,$C386,'TL02'!$J$238:$J$451),0),
IF('TL03'!$B$3=K$3,SUMIF('TL03'!$C$10:$C$224,$C386,'TL03'!$J$10:$J$224),0),
IF('TL03'!$B$229=K$3,SUMIF('TL03'!$C$238:$C$451,$C386,'TL03'!$J$238:$J$451),0),
IF('TL04'!$B$3=K$3,SUMIF('TL04'!$C$10:$C$224,$C386,'TL04'!$J$10:$J$224),0),
IF('TL04'!$B$229=K$3,SUMIF('TL04'!$C$238:$C$451,$C386,'TL04'!$J$238:$J$451),0),
IF('TL05'!$B$3=K$3,SUMIF('TL05'!$C$10:$C$224,$C386,'TL05'!$J$10:$J$224),0),
IF('TL05'!$B$229=K$3,SUMIF('TL05'!$C$238:$C$451,$C386,'TL05'!$J$238:$J$451),0),
IF('TL06'!$B$3=K$3,SUMIF('TL06'!$C$10:$C$224,$C386,'TL06'!$J$10:$J$224),0),
IF('TL06'!$B$229=K$3,SUMIF('TL06'!$C$238:$C$451,$C386,'TL06'!$J$238:$J$451),0),
IF('TL07'!$B$3=K$3,SUMIF('TL07'!$C$10:$C$224,$C386,'TL07'!$J$10:$J$224),0),
IF('TL07'!$B$229=K$3,SUMIF('TL07'!$C$238:$C$451,$C386,'TL07'!$J$238:$J$451),0),
IF('TL08'!$B$3=K$3,SUMIF('TL08'!$C$10:$C$224,$C386,'TL08'!$J$10:$J$224),0),
IF('TL08'!$B$229=K$3,SUMIF('TL08'!$C$238:$C$451,$C386,'TL08'!$J$238:$J$451),0),
IF('TL09'!$B$3=K$3,SUMIF('TL09'!$C$10:$C$224,$C386,'TL09'!$J$10:$J$224),0),
IF('TL09'!$B$229=K$3,SUMIF('TL09'!$C$238:$C$451,$C386,'TL09'!$J$238:$J$451),0),
IF('TL10'!$B$3=K$3,SUMIF('TL10'!$C$10:$C$224,$C386,'TL10'!$J$10:$J$224),0),
IF('TL10'!$B$229=K$3,SUMIF('TL10'!$C$238:$C$451,$C386,'TL10'!$J$238:$J$451),0),
IF('TL11'!$B$3=K$3,SUMIF('TL11'!$C$10:$C$224,$C386,'TL11'!$J$10:$J$224),0),
IF('TL11'!$B$229=K$3,SUMIF('TL11'!$C$238:$C$451,$C386,'TL11'!$J$238:$J$451),0),
IF('TL12'!$B$3=K$3,SUMIF('TL12'!$C$10:$C$224,$C386,'TL12'!$J$10:$J$224),0),
IF('TL12'!$B$229=K$3,SUMIF('TL12'!$C$238:$C$451,$C386,'TL12'!$J$238:$J$451),0),
IF('TL13'!$B$3=K$3,SUMIF('TL13'!$C$10:$C$224,$C386,'TL13'!$J$10:$J$224),0),
IF('TL13'!$B$229=K$3,SUMIF('TL13'!$C$238:$C$451,$C386,'TL13'!$J$238:$J$451),0),
IF('TL14'!$B$3=K$3,SUMIF('TL14'!$C$10:$C$224,$C386,'TL14'!$J$10:$J$224),0),
IF('TL14'!$B$229=K$3,SUMIF('TL14'!$C$238:$C$451,$C386,'TL14'!$J$238:$J$451),0),
IF('TL15'!$B$3=K$3,SUMIF('TL15'!$C$10:$C$224,$C386,'TL15'!$J$10:$J$224),0),
IF('TL15'!$B$229=K$3,SUMIF('TL15'!$C$238:$C$451,$C386,'TL15'!$J$238:$J$451),0),
IF('TL16'!$B$3=K$3,SUMIF('TL16'!$C$10:$C$224,$C386,'TL16'!$J$10:$J$224),0),
IF('TL16'!$B$229=K$3,SUMIF('TL16'!$C$238:$C$451,$C386,'TL16'!$J$238:$J$451),0),
IF('TL17'!$B$3=K$3,SUMIF('TL17'!$C$10:$C$224,$C386,'TL17'!$J$10:$J$224),0),
IF('TL17'!$B$229=K$3,SUMIF('TL17'!$C$238:$C$451,$C386,'TL17'!$J$238:$J$451),0),
IF('TL18'!$B$3=K$3,SUMIF('TL18'!$C$10:$C$224,$C386,'TL18'!$J$10:$J$224),0),
IF('TL18'!$B$229=K$3,SUMIF('TL18'!$C$238:$C$451,$C386,'TL18'!$J$238:$J$451),0),
IF('TL19'!$B$3=K$3,SUMIF('TL19'!$C$10:$C$224,$C386,'TL19'!$J$10:$J$224),0),
IF('TL19'!$B$229=K$3,SUMIF('TL19'!$C$238:$C$451,$C386,'TL19'!$J$238:$J$451),0)
),0)</f>
        <v>0</v>
      </c>
      <c r="L386" s="9">
        <f>IFERROR(SUM(
IF('TL01'!$B$3=L$3,SUMIF('TL01'!$C$10:$C$224,$C386,'TL01'!$J$10:$J$224),0),
IF('TL01'!$B$229=L$3,SUMIF('TL01'!$C$238:$C$451,$C386,'TL01'!$J$238:$J$451),0),
IF('TL02'!$B$3=L$3,SUMIF('TL02'!$C$10:$C$224,$C386,'TL02'!$J$10:$J$224),0),
IF('TL02'!$B$229=L$3,SUMIF('TL02'!$C$238:$C$451,$C386,'TL02'!$J$238:$J$451),0),
IF('TL03'!$B$3=L$3,SUMIF('TL03'!$C$10:$C$224,$C386,'TL03'!$J$10:$J$224),0),
IF('TL03'!$B$229=L$3,SUMIF('TL03'!$C$238:$C$451,$C386,'TL03'!$J$238:$J$451),0),
IF('TL04'!$B$3=L$3,SUMIF('TL04'!$C$10:$C$224,$C386,'TL04'!$J$10:$J$224),0),
IF('TL04'!$B$229=L$3,SUMIF('TL04'!$C$238:$C$451,$C386,'TL04'!$J$238:$J$451),0),
IF('TL05'!$B$3=L$3,SUMIF('TL05'!$C$10:$C$224,$C386,'TL05'!$J$10:$J$224),0),
IF('TL05'!$B$229=L$3,SUMIF('TL05'!$C$238:$C$451,$C386,'TL05'!$J$238:$J$451),0),
IF('TL06'!$B$3=L$3,SUMIF('TL06'!$C$10:$C$224,$C386,'TL06'!$J$10:$J$224),0),
IF('TL06'!$B$229=L$3,SUMIF('TL06'!$C$238:$C$451,$C386,'TL06'!$J$238:$J$451),0),
IF('TL07'!$B$3=L$3,SUMIF('TL07'!$C$10:$C$224,$C386,'TL07'!$J$10:$J$224),0),
IF('TL07'!$B$229=L$3,SUMIF('TL07'!$C$238:$C$451,$C386,'TL07'!$J$238:$J$451),0),
IF('TL08'!$B$3=L$3,SUMIF('TL08'!$C$10:$C$224,$C386,'TL08'!$J$10:$J$224),0),
IF('TL08'!$B$229=L$3,SUMIF('TL08'!$C$238:$C$451,$C386,'TL08'!$J$238:$J$451),0),
IF('TL09'!$B$3=L$3,SUMIF('TL09'!$C$10:$C$224,$C386,'TL09'!$J$10:$J$224),0),
IF('TL09'!$B$229=L$3,SUMIF('TL09'!$C$238:$C$451,$C386,'TL09'!$J$238:$J$451),0),
IF('TL10'!$B$3=L$3,SUMIF('TL10'!$C$10:$C$224,$C386,'TL10'!$J$10:$J$224),0),
IF('TL10'!$B$229=L$3,SUMIF('TL10'!$C$238:$C$451,$C386,'TL10'!$J$238:$J$451),0),
IF('TL11'!$B$3=L$3,SUMIF('TL11'!$C$10:$C$224,$C386,'TL11'!$J$10:$J$224),0),
IF('TL11'!$B$229=L$3,SUMIF('TL11'!$C$238:$C$451,$C386,'TL11'!$J$238:$J$451),0),
IF('TL12'!$B$3=L$3,SUMIF('TL12'!$C$10:$C$224,$C386,'TL12'!$J$10:$J$224),0),
IF('TL12'!$B$229=L$3,SUMIF('TL12'!$C$238:$C$451,$C386,'TL12'!$J$238:$J$451),0),
IF('TL13'!$B$3=L$3,SUMIF('TL13'!$C$10:$C$224,$C386,'TL13'!$J$10:$J$224),0),
IF('TL13'!$B$229=L$3,SUMIF('TL13'!$C$238:$C$451,$C386,'TL13'!$J$238:$J$451),0),
IF('TL14'!$B$3=L$3,SUMIF('TL14'!$C$10:$C$224,$C386,'TL14'!$J$10:$J$224),0),
IF('TL14'!$B$229=L$3,SUMIF('TL14'!$C$238:$C$451,$C386,'TL14'!$J$238:$J$451),0),
IF('TL15'!$B$3=L$3,SUMIF('TL15'!$C$10:$C$224,$C386,'TL15'!$J$10:$J$224),0),
IF('TL15'!$B$229=L$3,SUMIF('TL15'!$C$238:$C$451,$C386,'TL15'!$J$238:$J$451),0),
IF('TL16'!$B$3=L$3,SUMIF('TL16'!$C$10:$C$224,$C386,'TL16'!$J$10:$J$224),0),
IF('TL16'!$B$229=L$3,SUMIF('TL16'!$C$238:$C$451,$C386,'TL16'!$J$238:$J$451),0),
IF('TL17'!$B$3=L$3,SUMIF('TL17'!$C$10:$C$224,$C386,'TL17'!$J$10:$J$224),0),
IF('TL17'!$B$229=L$3,SUMIF('TL17'!$C$238:$C$451,$C386,'TL17'!$J$238:$J$451),0),
IF('TL18'!$B$3=L$3,SUMIF('TL18'!$C$10:$C$224,$C386,'TL18'!$J$10:$J$224),0),
IF('TL18'!$B$229=L$3,SUMIF('TL18'!$C$238:$C$451,$C386,'TL18'!$J$238:$J$451),0),
IF('TL19'!$B$3=L$3,SUMIF('TL19'!$C$10:$C$224,$C386,'TL19'!$J$10:$J$224),0),
IF('TL19'!$B$229=L$3,SUMIF('TL19'!$C$238:$C$451,$C386,'TL19'!$J$238:$J$451),0)
),0)</f>
        <v>0</v>
      </c>
      <c r="M386" s="9">
        <f>IFERROR(SUM(
IF('TL01'!$B$3=M$3,SUMIF('TL01'!$C$10:$C$224,$C386,'TL01'!$J$10:$J$224),0),
IF('TL01'!$B$229=M$3,SUMIF('TL01'!$C$238:$C$451,$C386,'TL01'!$J$238:$J$451),0),
IF('TL02'!$B$3=M$3,SUMIF('TL02'!$C$10:$C$224,$C386,'TL02'!$J$10:$J$224),0),
IF('TL02'!$B$229=M$3,SUMIF('TL02'!$C$238:$C$451,$C386,'TL02'!$J$238:$J$451),0),
IF('TL03'!$B$3=M$3,SUMIF('TL03'!$C$10:$C$224,$C386,'TL03'!$J$10:$J$224),0),
IF('TL03'!$B$229=M$3,SUMIF('TL03'!$C$238:$C$451,$C386,'TL03'!$J$238:$J$451),0),
IF('TL04'!$B$3=M$3,SUMIF('TL04'!$C$10:$C$224,$C386,'TL04'!$J$10:$J$224),0),
IF('TL04'!$B$229=M$3,SUMIF('TL04'!$C$238:$C$451,$C386,'TL04'!$J$238:$J$451),0),
IF('TL05'!$B$3=M$3,SUMIF('TL05'!$C$10:$C$224,$C386,'TL05'!$J$10:$J$224),0),
IF('TL05'!$B$229=M$3,SUMIF('TL05'!$C$238:$C$451,$C386,'TL05'!$J$238:$J$451),0),
IF('TL06'!$B$3=M$3,SUMIF('TL06'!$C$10:$C$224,$C386,'TL06'!$J$10:$J$224),0),
IF('TL06'!$B$229=M$3,SUMIF('TL06'!$C$238:$C$451,$C386,'TL06'!$J$238:$J$451),0),
IF('TL07'!$B$3=M$3,SUMIF('TL07'!$C$10:$C$224,$C386,'TL07'!$J$10:$J$224),0),
IF('TL07'!$B$229=M$3,SUMIF('TL07'!$C$238:$C$451,$C386,'TL07'!$J$238:$J$451),0),
IF('TL08'!$B$3=M$3,SUMIF('TL08'!$C$10:$C$224,$C386,'TL08'!$J$10:$J$224),0),
IF('TL08'!$B$229=M$3,SUMIF('TL08'!$C$238:$C$451,$C386,'TL08'!$J$238:$J$451),0),
IF('TL09'!$B$3=M$3,SUMIF('TL09'!$C$10:$C$224,$C386,'TL09'!$J$10:$J$224),0),
IF('TL09'!$B$229=M$3,SUMIF('TL09'!$C$238:$C$451,$C386,'TL09'!$J$238:$J$451),0),
IF('TL10'!$B$3=M$3,SUMIF('TL10'!$C$10:$C$224,$C386,'TL10'!$J$10:$J$224),0),
IF('TL10'!$B$229=M$3,SUMIF('TL10'!$C$238:$C$451,$C386,'TL10'!$J$238:$J$451),0),
IF('TL11'!$B$3=M$3,SUMIF('TL11'!$C$10:$C$224,$C386,'TL11'!$J$10:$J$224),0),
IF('TL11'!$B$229=M$3,SUMIF('TL11'!$C$238:$C$451,$C386,'TL11'!$J$238:$J$451),0),
IF('TL12'!$B$3=M$3,SUMIF('TL12'!$C$10:$C$224,$C386,'TL12'!$J$10:$J$224),0),
IF('TL12'!$B$229=M$3,SUMIF('TL12'!$C$238:$C$451,$C386,'TL12'!$J$238:$J$451),0),
IF('TL13'!$B$3=M$3,SUMIF('TL13'!$C$10:$C$224,$C386,'TL13'!$J$10:$J$224),0),
IF('TL13'!$B$229=M$3,SUMIF('TL13'!$C$238:$C$451,$C386,'TL13'!$J$238:$J$451),0),
IF('TL14'!$B$3=M$3,SUMIF('TL14'!$C$10:$C$224,$C386,'TL14'!$J$10:$J$224),0),
IF('TL14'!$B$229=M$3,SUMIF('TL14'!$C$238:$C$451,$C386,'TL14'!$J$238:$J$451),0),
IF('TL15'!$B$3=M$3,SUMIF('TL15'!$C$10:$C$224,$C386,'TL15'!$J$10:$J$224),0),
IF('TL15'!$B$229=M$3,SUMIF('TL15'!$C$238:$C$451,$C386,'TL15'!$J$238:$J$451),0),
IF('TL16'!$B$3=M$3,SUMIF('TL16'!$C$10:$C$224,$C386,'TL16'!$J$10:$J$224),0),
IF('TL16'!$B$229=M$3,SUMIF('TL16'!$C$238:$C$451,$C386,'TL16'!$J$238:$J$451),0),
IF('TL17'!$B$3=M$3,SUMIF('TL17'!$C$10:$C$224,$C386,'TL17'!$J$10:$J$224),0),
IF('TL17'!$B$229=M$3,SUMIF('TL17'!$C$238:$C$451,$C386,'TL17'!$J$238:$J$451),0),
IF('TL18'!$B$3=M$3,SUMIF('TL18'!$C$10:$C$224,$C386,'TL18'!$J$10:$J$224),0),
IF('TL18'!$B$229=M$3,SUMIF('TL18'!$C$238:$C$451,$C386,'TL18'!$J$238:$J$451),0),
IF('TL19'!$B$3=M$3,SUMIF('TL19'!$C$10:$C$224,$C386,'TL19'!$J$10:$J$224),0),
IF('TL19'!$B$229=M$3,SUMIF('TL19'!$C$238:$C$451,$C386,'TL19'!$J$238:$J$451),0)
),0)</f>
        <v>0</v>
      </c>
      <c r="N386" s="9">
        <f>IFERROR(SUM(
IF('TL01'!$B$3=N$3,SUMIF('TL01'!$C$10:$C$224,$C386,'TL01'!$J$10:$J$224),0),
IF('TL01'!$B$229=N$3,SUMIF('TL01'!$C$238:$C$451,$C386,'TL01'!$J$238:$J$451),0),
IF('TL02'!$B$3=N$3,SUMIF('TL02'!$C$10:$C$224,$C386,'TL02'!$J$10:$J$224),0),
IF('TL02'!$B$229=N$3,SUMIF('TL02'!$C$238:$C$451,$C386,'TL02'!$J$238:$J$451),0),
IF('TL03'!$B$3=N$3,SUMIF('TL03'!$C$10:$C$224,$C386,'TL03'!$J$10:$J$224),0),
IF('TL03'!$B$229=N$3,SUMIF('TL03'!$C$238:$C$451,$C386,'TL03'!$J$238:$J$451),0),
IF('TL04'!$B$3=N$3,SUMIF('TL04'!$C$10:$C$224,$C386,'TL04'!$J$10:$J$224),0),
IF('TL04'!$B$229=N$3,SUMIF('TL04'!$C$238:$C$451,$C386,'TL04'!$J$238:$J$451),0),
IF('TL05'!$B$3=N$3,SUMIF('TL05'!$C$10:$C$224,$C386,'TL05'!$J$10:$J$224),0),
IF('TL05'!$B$229=N$3,SUMIF('TL05'!$C$238:$C$451,$C386,'TL05'!$J$238:$J$451),0),
IF('TL06'!$B$3=N$3,SUMIF('TL06'!$C$10:$C$224,$C386,'TL06'!$J$10:$J$224),0),
IF('TL06'!$B$229=N$3,SUMIF('TL06'!$C$238:$C$451,$C386,'TL06'!$J$238:$J$451),0),
IF('TL07'!$B$3=N$3,SUMIF('TL07'!$C$10:$C$224,$C386,'TL07'!$J$10:$J$224),0),
IF('TL07'!$B$229=N$3,SUMIF('TL07'!$C$238:$C$451,$C386,'TL07'!$J$238:$J$451),0),
IF('TL08'!$B$3=N$3,SUMIF('TL08'!$C$10:$C$224,$C386,'TL08'!$J$10:$J$224),0),
IF('TL08'!$B$229=N$3,SUMIF('TL08'!$C$238:$C$451,$C386,'TL08'!$J$238:$J$451),0),
IF('TL09'!$B$3=N$3,SUMIF('TL09'!$C$10:$C$224,$C386,'TL09'!$J$10:$J$224),0),
IF('TL09'!$B$229=N$3,SUMIF('TL09'!$C$238:$C$451,$C386,'TL09'!$J$238:$J$451),0),
IF('TL10'!$B$3=N$3,SUMIF('TL10'!$C$10:$C$224,$C386,'TL10'!$J$10:$J$224),0),
IF('TL10'!$B$229=N$3,SUMIF('TL10'!$C$238:$C$451,$C386,'TL10'!$J$238:$J$451),0),
IF('TL11'!$B$3=N$3,SUMIF('TL11'!$C$10:$C$224,$C386,'TL11'!$J$10:$J$224),0),
IF('TL11'!$B$229=N$3,SUMIF('TL11'!$C$238:$C$451,$C386,'TL11'!$J$238:$J$451),0),
IF('TL12'!$B$3=N$3,SUMIF('TL12'!$C$10:$C$224,$C386,'TL12'!$J$10:$J$224),0),
IF('TL12'!$B$229=N$3,SUMIF('TL12'!$C$238:$C$451,$C386,'TL12'!$J$238:$J$451),0),
IF('TL13'!$B$3=N$3,SUMIF('TL13'!$C$10:$C$224,$C386,'TL13'!$J$10:$J$224),0),
IF('TL13'!$B$229=N$3,SUMIF('TL13'!$C$238:$C$451,$C386,'TL13'!$J$238:$J$451),0),
IF('TL14'!$B$3=N$3,SUMIF('TL14'!$C$10:$C$224,$C386,'TL14'!$J$10:$J$224),0),
IF('TL14'!$B$229=N$3,SUMIF('TL14'!$C$238:$C$451,$C386,'TL14'!$J$238:$J$451),0),
IF('TL15'!$B$3=N$3,SUMIF('TL15'!$C$10:$C$224,$C386,'TL15'!$J$10:$J$224),0),
IF('TL15'!$B$229=N$3,SUMIF('TL15'!$C$238:$C$451,$C386,'TL15'!$J$238:$J$451),0),
IF('TL16'!$B$3=N$3,SUMIF('TL16'!$C$10:$C$224,$C386,'TL16'!$J$10:$J$224),0),
IF('TL16'!$B$229=N$3,SUMIF('TL16'!$C$238:$C$451,$C386,'TL16'!$J$238:$J$451),0),
IF('TL17'!$B$3=N$3,SUMIF('TL17'!$C$10:$C$224,$C386,'TL17'!$J$10:$J$224),0),
IF('TL17'!$B$229=N$3,SUMIF('TL17'!$C$238:$C$451,$C386,'TL17'!$J$238:$J$451),0),
IF('TL18'!$B$3=N$3,SUMIF('TL18'!$C$10:$C$224,$C386,'TL18'!$J$10:$J$224),0),
IF('TL18'!$B$229=N$3,SUMIF('TL18'!$C$238:$C$451,$C386,'TL18'!$J$238:$J$451),0),
IF('TL19'!$B$3=N$3,SUMIF('TL19'!$C$10:$C$224,$C386,'TL19'!$J$10:$J$224),0),
IF('TL19'!$B$229=N$3,SUMIF('TL19'!$C$238:$C$451,$C386,'TL19'!$J$238:$J$451),0)
),0)</f>
        <v>0</v>
      </c>
      <c r="O386" s="9">
        <f>IFERROR(SUM(
IF('TL01'!$B$3=O$3,SUMIF('TL01'!$C$10:$C$224,$C386,'TL01'!$J$10:$J$224),0),
IF('TL01'!$B$229=O$3,SUMIF('TL01'!$C$238:$C$451,$C386,'TL01'!$J$238:$J$451),0),
IF('TL02'!$B$3=O$3,SUMIF('TL02'!$C$10:$C$224,$C386,'TL02'!$J$10:$J$224),0),
IF('TL02'!$B$229=O$3,SUMIF('TL02'!$C$238:$C$451,$C386,'TL02'!$J$238:$J$451),0),
IF('TL03'!$B$3=O$3,SUMIF('TL03'!$C$10:$C$224,$C386,'TL03'!$J$10:$J$224),0),
IF('TL03'!$B$229=O$3,SUMIF('TL03'!$C$238:$C$451,$C386,'TL03'!$J$238:$J$451),0),
IF('TL04'!$B$3=O$3,SUMIF('TL04'!$C$10:$C$224,$C386,'TL04'!$J$10:$J$224),0),
IF('TL04'!$B$229=O$3,SUMIF('TL04'!$C$238:$C$451,$C386,'TL04'!$J$238:$J$451),0),
IF('TL05'!$B$3=O$3,SUMIF('TL05'!$C$10:$C$224,$C386,'TL05'!$J$10:$J$224),0),
IF('TL05'!$B$229=O$3,SUMIF('TL05'!$C$238:$C$451,$C386,'TL05'!$J$238:$J$451),0),
IF('TL06'!$B$3=O$3,SUMIF('TL06'!$C$10:$C$224,$C386,'TL06'!$J$10:$J$224),0),
IF('TL06'!$B$229=O$3,SUMIF('TL06'!$C$238:$C$451,$C386,'TL06'!$J$238:$J$451),0),
IF('TL07'!$B$3=O$3,SUMIF('TL07'!$C$10:$C$224,$C386,'TL07'!$J$10:$J$224),0),
IF('TL07'!$B$229=O$3,SUMIF('TL07'!$C$238:$C$451,$C386,'TL07'!$J$238:$J$451),0),
IF('TL08'!$B$3=O$3,SUMIF('TL08'!$C$10:$C$224,$C386,'TL08'!$J$10:$J$224),0),
IF('TL08'!$B$229=O$3,SUMIF('TL08'!$C$238:$C$451,$C386,'TL08'!$J$238:$J$451),0),
IF('TL09'!$B$3=O$3,SUMIF('TL09'!$C$10:$C$224,$C386,'TL09'!$J$10:$J$224),0),
IF('TL09'!$B$229=O$3,SUMIF('TL09'!$C$238:$C$451,$C386,'TL09'!$J$238:$J$451),0),
IF('TL10'!$B$3=O$3,SUMIF('TL10'!$C$10:$C$224,$C386,'TL10'!$J$10:$J$224),0),
IF('TL10'!$B$229=O$3,SUMIF('TL10'!$C$238:$C$451,$C386,'TL10'!$J$238:$J$451),0),
IF('TL11'!$B$3=O$3,SUMIF('TL11'!$C$10:$C$224,$C386,'TL11'!$J$10:$J$224),0),
IF('TL11'!$B$229=O$3,SUMIF('TL11'!$C$238:$C$451,$C386,'TL11'!$J$238:$J$451),0),
IF('TL12'!$B$3=O$3,SUMIF('TL12'!$C$10:$C$224,$C386,'TL12'!$J$10:$J$224),0),
IF('TL12'!$B$229=O$3,SUMIF('TL12'!$C$238:$C$451,$C386,'TL12'!$J$238:$J$451),0),
IF('TL13'!$B$3=O$3,SUMIF('TL13'!$C$10:$C$224,$C386,'TL13'!$J$10:$J$224),0),
IF('TL13'!$B$229=O$3,SUMIF('TL13'!$C$238:$C$451,$C386,'TL13'!$J$238:$J$451),0),
IF('TL14'!$B$3=O$3,SUMIF('TL14'!$C$10:$C$224,$C386,'TL14'!$J$10:$J$224),0),
IF('TL14'!$B$229=O$3,SUMIF('TL14'!$C$238:$C$451,$C386,'TL14'!$J$238:$J$451),0),
IF('TL15'!$B$3=O$3,SUMIF('TL15'!$C$10:$C$224,$C386,'TL15'!$J$10:$J$224),0),
IF('TL15'!$B$229=O$3,SUMIF('TL15'!$C$238:$C$451,$C386,'TL15'!$J$238:$J$451),0),
IF('TL16'!$B$3=O$3,SUMIF('TL16'!$C$10:$C$224,$C386,'TL16'!$J$10:$J$224),0),
IF('TL16'!$B$229=O$3,SUMIF('TL16'!$C$238:$C$451,$C386,'TL16'!$J$238:$J$451),0),
IF('TL17'!$B$3=O$3,SUMIF('TL17'!$C$10:$C$224,$C386,'TL17'!$J$10:$J$224),0),
IF('TL17'!$B$229=O$3,SUMIF('TL17'!$C$238:$C$451,$C386,'TL17'!$J$238:$J$451),0),
IF('TL18'!$B$3=O$3,SUMIF('TL18'!$C$10:$C$224,$C386,'TL18'!$J$10:$J$224),0),
IF('TL18'!$B$229=O$3,SUMIF('TL18'!$C$238:$C$451,$C386,'TL18'!$J$238:$J$451),0),
IF('TL19'!$B$3=O$3,SUMIF('TL19'!$C$10:$C$224,$C386,'TL19'!$J$10:$J$224),0),
IF('TL19'!$B$229=O$3,SUMIF('TL19'!$C$238:$C$451,$C386,'TL19'!$J$238:$J$451),0)
),0)</f>
        <v>0</v>
      </c>
      <c r="P386" s="9">
        <f>IFERROR(SUM(
IF('TL01'!$B$3=P$3,SUMIF('TL01'!$C$10:$C$224,$C386,'TL01'!$J$10:$J$224),0),
IF('TL01'!$B$229=P$3,SUMIF('TL01'!$C$238:$C$451,$C386,'TL01'!$J$238:$J$451),0),
IF('TL02'!$B$3=P$3,SUMIF('TL02'!$C$10:$C$224,$C386,'TL02'!$J$10:$J$224),0),
IF('TL02'!$B$229=P$3,SUMIF('TL02'!$C$238:$C$451,$C386,'TL02'!$J$238:$J$451),0),
IF('TL03'!$B$3=P$3,SUMIF('TL03'!$C$10:$C$224,$C386,'TL03'!$J$10:$J$224),0),
IF('TL03'!$B$229=P$3,SUMIF('TL03'!$C$238:$C$451,$C386,'TL03'!$J$238:$J$451),0),
IF('TL04'!$B$3=P$3,SUMIF('TL04'!$C$10:$C$224,$C386,'TL04'!$J$10:$J$224),0),
IF('TL04'!$B$229=P$3,SUMIF('TL04'!$C$238:$C$451,$C386,'TL04'!$J$238:$J$451),0),
IF('TL05'!$B$3=P$3,SUMIF('TL05'!$C$10:$C$224,$C386,'TL05'!$J$10:$J$224),0),
IF('TL05'!$B$229=P$3,SUMIF('TL05'!$C$238:$C$451,$C386,'TL05'!$J$238:$J$451),0),
IF('TL06'!$B$3=P$3,SUMIF('TL06'!$C$10:$C$224,$C386,'TL06'!$J$10:$J$224),0),
IF('TL06'!$B$229=P$3,SUMIF('TL06'!$C$238:$C$451,$C386,'TL06'!$J$238:$J$451),0),
IF('TL07'!$B$3=P$3,SUMIF('TL07'!$C$10:$C$224,$C386,'TL07'!$J$10:$J$224),0),
IF('TL07'!$B$229=P$3,SUMIF('TL07'!$C$238:$C$451,$C386,'TL07'!$J$238:$J$451),0),
IF('TL08'!$B$3=P$3,SUMIF('TL08'!$C$10:$C$224,$C386,'TL08'!$J$10:$J$224),0),
IF('TL08'!$B$229=P$3,SUMIF('TL08'!$C$238:$C$451,$C386,'TL08'!$J$238:$J$451),0),
IF('TL09'!$B$3=P$3,SUMIF('TL09'!$C$10:$C$224,$C386,'TL09'!$J$10:$J$224),0),
IF('TL09'!$B$229=P$3,SUMIF('TL09'!$C$238:$C$451,$C386,'TL09'!$J$238:$J$451),0),
IF('TL10'!$B$3=P$3,SUMIF('TL10'!$C$10:$C$224,$C386,'TL10'!$J$10:$J$224),0),
IF('TL10'!$B$229=P$3,SUMIF('TL10'!$C$238:$C$451,$C386,'TL10'!$J$238:$J$451),0),
IF('TL11'!$B$3=P$3,SUMIF('TL11'!$C$10:$C$224,$C386,'TL11'!$J$10:$J$224),0),
IF('TL11'!$B$229=P$3,SUMIF('TL11'!$C$238:$C$451,$C386,'TL11'!$J$238:$J$451),0),
IF('TL12'!$B$3=P$3,SUMIF('TL12'!$C$10:$C$224,$C386,'TL12'!$J$10:$J$224),0),
IF('TL12'!$B$229=P$3,SUMIF('TL12'!$C$238:$C$451,$C386,'TL12'!$J$238:$J$451),0),
IF('TL13'!$B$3=P$3,SUMIF('TL13'!$C$10:$C$224,$C386,'TL13'!$J$10:$J$224),0),
IF('TL13'!$B$229=P$3,SUMIF('TL13'!$C$238:$C$451,$C386,'TL13'!$J$238:$J$451),0),
IF('TL14'!$B$3=P$3,SUMIF('TL14'!$C$10:$C$224,$C386,'TL14'!$J$10:$J$224),0),
IF('TL14'!$B$229=P$3,SUMIF('TL14'!$C$238:$C$451,$C386,'TL14'!$J$238:$J$451),0),
IF('TL15'!$B$3=P$3,SUMIF('TL15'!$C$10:$C$224,$C386,'TL15'!$J$10:$J$224),0),
IF('TL15'!$B$229=P$3,SUMIF('TL15'!$C$238:$C$451,$C386,'TL15'!$J$238:$J$451),0),
IF('TL16'!$B$3=P$3,SUMIF('TL16'!$C$10:$C$224,$C386,'TL16'!$J$10:$J$224),0),
IF('TL16'!$B$229=P$3,SUMIF('TL16'!$C$238:$C$451,$C386,'TL16'!$J$238:$J$451),0),
IF('TL17'!$B$3=P$3,SUMIF('TL17'!$C$10:$C$224,$C386,'TL17'!$J$10:$J$224),0),
IF('TL17'!$B$229=P$3,SUMIF('TL17'!$C$238:$C$451,$C386,'TL17'!$J$238:$J$451),0),
IF('TL18'!$B$3=P$3,SUMIF('TL18'!$C$10:$C$224,$C386,'TL18'!$J$10:$J$224),0),
IF('TL18'!$B$229=P$3,SUMIF('TL18'!$C$238:$C$451,$C386,'TL18'!$J$238:$J$451),0),
IF('TL19'!$B$3=P$3,SUMIF('TL19'!$C$10:$C$224,$C386,'TL19'!$J$10:$J$224),0),
IF('TL19'!$B$229=P$3,SUMIF('TL19'!$C$238:$C$451,$C386,'TL19'!$J$238:$J$451),0)
),0)</f>
        <v>0</v>
      </c>
      <c r="Q386" s="9">
        <f>IFERROR(SUM(
IF('TL01'!$B$3=Q$3,SUMIF('TL01'!$C$10:$C$224,$C386,'TL01'!$J$10:$J$224),0),
IF('TL01'!$B$229=Q$3,SUMIF('TL01'!$C$238:$C$451,$C386,'TL01'!$J$238:$J$451),0),
IF('TL02'!$B$3=Q$3,SUMIF('TL02'!$C$10:$C$224,$C386,'TL02'!$J$10:$J$224),0),
IF('TL02'!$B$229=Q$3,SUMIF('TL02'!$C$238:$C$451,$C386,'TL02'!$J$238:$J$451),0),
IF('TL03'!$B$3=Q$3,SUMIF('TL03'!$C$10:$C$224,$C386,'TL03'!$J$10:$J$224),0),
IF('TL03'!$B$229=Q$3,SUMIF('TL03'!$C$238:$C$451,$C386,'TL03'!$J$238:$J$451),0),
IF('TL04'!$B$3=Q$3,SUMIF('TL04'!$C$10:$C$224,$C386,'TL04'!$J$10:$J$224),0),
IF('TL04'!$B$229=Q$3,SUMIF('TL04'!$C$238:$C$451,$C386,'TL04'!$J$238:$J$451),0),
IF('TL05'!$B$3=Q$3,SUMIF('TL05'!$C$10:$C$224,$C386,'TL05'!$J$10:$J$224),0),
IF('TL05'!$B$229=Q$3,SUMIF('TL05'!$C$238:$C$451,$C386,'TL05'!$J$238:$J$451),0),
IF('TL06'!$B$3=Q$3,SUMIF('TL06'!$C$10:$C$224,$C386,'TL06'!$J$10:$J$224),0),
IF('TL06'!$B$229=Q$3,SUMIF('TL06'!$C$238:$C$451,$C386,'TL06'!$J$238:$J$451),0),
IF('TL07'!$B$3=Q$3,SUMIF('TL07'!$C$10:$C$224,$C386,'TL07'!$J$10:$J$224),0),
IF('TL07'!$B$229=Q$3,SUMIF('TL07'!$C$238:$C$451,$C386,'TL07'!$J$238:$J$451),0),
IF('TL08'!$B$3=Q$3,SUMIF('TL08'!$C$10:$C$224,$C386,'TL08'!$J$10:$J$224),0),
IF('TL08'!$B$229=Q$3,SUMIF('TL08'!$C$238:$C$451,$C386,'TL08'!$J$238:$J$451),0),
IF('TL09'!$B$3=Q$3,SUMIF('TL09'!$C$10:$C$224,$C386,'TL09'!$J$10:$J$224),0),
IF('TL09'!$B$229=Q$3,SUMIF('TL09'!$C$238:$C$451,$C386,'TL09'!$J$238:$J$451),0),
IF('TL10'!$B$3=Q$3,SUMIF('TL10'!$C$10:$C$224,$C386,'TL10'!$J$10:$J$224),0),
IF('TL10'!$B$229=Q$3,SUMIF('TL10'!$C$238:$C$451,$C386,'TL10'!$J$238:$J$451),0),
IF('TL11'!$B$3=Q$3,SUMIF('TL11'!$C$10:$C$224,$C386,'TL11'!$J$10:$J$224),0),
IF('TL11'!$B$229=Q$3,SUMIF('TL11'!$C$238:$C$451,$C386,'TL11'!$J$238:$J$451),0),
IF('TL12'!$B$3=Q$3,SUMIF('TL12'!$C$10:$C$224,$C386,'TL12'!$J$10:$J$224),0),
IF('TL12'!$B$229=Q$3,SUMIF('TL12'!$C$238:$C$451,$C386,'TL12'!$J$238:$J$451),0),
IF('TL13'!$B$3=Q$3,SUMIF('TL13'!$C$10:$C$224,$C386,'TL13'!$J$10:$J$224),0),
IF('TL13'!$B$229=Q$3,SUMIF('TL13'!$C$238:$C$451,$C386,'TL13'!$J$238:$J$451),0),
IF('TL14'!$B$3=Q$3,SUMIF('TL14'!$C$10:$C$224,$C386,'TL14'!$J$10:$J$224),0),
IF('TL14'!$B$229=Q$3,SUMIF('TL14'!$C$238:$C$451,$C386,'TL14'!$J$238:$J$451),0),
IF('TL15'!$B$3=Q$3,SUMIF('TL15'!$C$10:$C$224,$C386,'TL15'!$J$10:$J$224),0),
IF('TL15'!$B$229=Q$3,SUMIF('TL15'!$C$238:$C$451,$C386,'TL15'!$J$238:$J$451),0),
IF('TL16'!$B$3=Q$3,SUMIF('TL16'!$C$10:$C$224,$C386,'TL16'!$J$10:$J$224),0),
IF('TL16'!$B$229=Q$3,SUMIF('TL16'!$C$238:$C$451,$C386,'TL16'!$J$238:$J$451),0),
IF('TL17'!$B$3=Q$3,SUMIF('TL17'!$C$10:$C$224,$C386,'TL17'!$J$10:$J$224),0),
IF('TL17'!$B$229=Q$3,SUMIF('TL17'!$C$238:$C$451,$C386,'TL17'!$J$238:$J$451),0),
IF('TL18'!$B$3=Q$3,SUMIF('TL18'!$C$10:$C$224,$C386,'TL18'!$J$10:$J$224),0),
IF('TL18'!$B$229=Q$3,SUMIF('TL18'!$C$238:$C$451,$C386,'TL18'!$J$238:$J$451),0),
IF('TL19'!$B$3=Q$3,SUMIF('TL19'!$C$10:$C$224,$C386,'TL19'!$J$10:$J$224),0),
IF('TL19'!$B$229=Q$3,SUMIF('TL19'!$C$238:$C$451,$C386,'TL19'!$J$238:$J$451),0)
),0)</f>
        <v>0</v>
      </c>
      <c r="R386" s="9">
        <f>IFERROR(
SUM(
SUMIF('TL01'!C:C,C386,'TL01'!J:J),
SUMIF('TL02'!C:C,C386,'TL02'!J:J),
SUMIF('TL03'!C:C,C386,'TL03'!J:J),
SUMIF('TL04'!C:C,C386,'TL04'!J:J),
SUMIF('TL05'!C:C,C386,'TL05'!J:J),
SUMIF('TL06'!C:C,C386,'TL06'!J:J),
SUMIF('TL07'!C:C,C386,'TL07'!J:J),
SUMIF('TL08'!C:C,C386,'TL08'!J:J),
SUMIF('TL09'!C:C,C386,'TL09'!J:J),
SUMIF('TL10'!C:C,C386,'TL10'!J:J),
SUMIF('TL11'!C:C,C386,'TL11'!J:J),
SUMIF('TL12'!C:C,C386,'TL12'!J:J),
SUMIF('TL13'!C:C,C386,'TL13'!J:J),
SUMIF('TL14'!C:C,C386,'TL14'!J:J),
SUMIF('TL15'!C:C,C386,'TL15'!J:J),
SUMIF('TL16'!C:C,C386,'TL16'!J:J),
SUMIF('TL17'!C:C,C386,'TL17'!J:J),
SUMIF('TL18'!C:C,C386,'TL18'!J:J),SUMIF('TL19'!C:C,C386,'TL19'!J:J))
,0)</f>
        <v>0</v>
      </c>
      <c r="S386" s="17">
        <f>IFERROR(__xludf.DUMMYFUNCTION("IFERROR(VLOOKUP(C386,
IMPORTRANGE(""1wULbzX32WdYsx-lj2U3uUNBBe2INVIRDtcK0d-Dvl90"",
""26-27!C:G""),
5,
FALSE),
"""")"),5.0)</f>
        <v>5</v>
      </c>
      <c r="T386" s="9"/>
      <c r="U386" s="92">
        <f t="shared" si="2"/>
        <v>0</v>
      </c>
      <c r="V386" s="93">
        <f t="shared" si="3"/>
        <v>0</v>
      </c>
    </row>
    <row r="387" ht="15.75" hidden="1" customHeight="1">
      <c r="A387" s="4" t="s">
        <v>1071</v>
      </c>
      <c r="B387" s="4" t="s">
        <v>4</v>
      </c>
      <c r="C387" s="130" t="s">
        <v>1129</v>
      </c>
      <c r="D387" s="129" t="s">
        <v>1119</v>
      </c>
      <c r="E387" s="9"/>
      <c r="F387" s="4"/>
      <c r="G387" s="90" t="str">
        <f t="shared" si="5"/>
        <v>📄 Ver bula</v>
      </c>
      <c r="H387" s="9"/>
      <c r="I387" s="1"/>
      <c r="J387" s="9">
        <f>IFERROR(SUM(
IF('TL01'!$B$3=J$3,SUMIF('TL01'!$C$10:$C$224,$C387,'TL01'!$J$10:$J$224),0),
IF('TL01'!$B$229=J$3,SUMIF('TL01'!$C$238:$C$451,$C387,'TL01'!$J$238:$J$451),0),
IF('TL02'!$B$3=J$3,SUMIF('TL02'!$C$10:$C$224,$C387,'TL02'!$J$10:$J$224),0),
IF('TL02'!$B$229=J$3,SUMIF('TL02'!$C$238:$C$451,$C387,'TL02'!$J$238:$J$451),0),
IF('TL03'!$B$3=J$3,SUMIF('TL03'!$C$10:$C$224,$C387,'TL03'!$J$10:$J$224),0),
IF('TL03'!$B$229=J$3,SUMIF('TL03'!$C$238:$C$451,$C387,'TL03'!$J$238:$J$451),0),
IF('TL04'!$B$3=J$3,SUMIF('TL04'!$C$10:$C$224,$C387,'TL04'!$J$10:$J$224),0),
IF('TL04'!$B$229=J$3,SUMIF('TL04'!$C$238:$C$451,$C387,'TL04'!$J$238:$J$451),0),
IF('TL05'!$B$3=J$3,SUMIF('TL05'!$C$10:$C$224,$C387,'TL05'!$J$10:$J$224),0),
IF('TL05'!$B$229=J$3,SUMIF('TL05'!$C$238:$C$451,$C387,'TL05'!$J$238:$J$451),0),
IF('TL06'!$B$3=J$3,SUMIF('TL06'!$C$10:$C$224,$C387,'TL06'!$J$10:$J$224),0),
IF('TL06'!$B$229=J$3,SUMIF('TL06'!$C$238:$C$451,$C387,'TL06'!$J$238:$J$451),0),
IF('TL07'!$B$3=J$3,SUMIF('TL07'!$C$10:$C$224,$C387,'TL07'!$J$10:$J$224),0),
IF('TL07'!$B$229=J$3,SUMIF('TL07'!$C$238:$C$451,$C387,'TL07'!$J$238:$J$451),0),
IF('TL08'!$B$3=J$3,SUMIF('TL08'!$C$10:$C$224,$C387,'TL08'!$J$10:$J$224),0),
IF('TL08'!$B$229=J$3,SUMIF('TL08'!$C$238:$C$451,$C387,'TL08'!$J$238:$J$451),0),
IF('TL09'!$B$3=J$3,SUMIF('TL09'!$C$10:$C$224,$C387,'TL09'!$J$10:$J$224),0),
IF('TL09'!$B$229=J$3,SUMIF('TL09'!$C$238:$C$451,$C387,'TL09'!$J$238:$J$451),0),
IF('TL10'!$B$3=J$3,SUMIF('TL10'!$C$10:$C$224,$C387,'TL10'!$J$10:$J$224),0),
IF('TL10'!$B$229=J$3,SUMIF('TL10'!$C$238:$C$451,$C387,'TL10'!$J$238:$J$451),0),
IF('TL11'!$B$3=J$3,SUMIF('TL11'!$C$10:$C$224,$C387,'TL11'!$J$10:$J$224),0),
IF('TL11'!$B$229=J$3,SUMIF('TL11'!$C$238:$C$451,$C387,'TL11'!$J$238:$J$451),0),
IF('TL12'!$B$3=J$3,SUMIF('TL12'!$C$10:$C$224,$C387,'TL12'!$J$10:$J$224),0),
IF('TL12'!$B$229=J$3,SUMIF('TL12'!$C$238:$C$451,$C387,'TL12'!$J$238:$J$451),0),
IF('TL13'!$B$3=J$3,SUMIF('TL13'!$C$10:$C$224,$C387,'TL13'!$J$10:$J$224),0),
IF('TL13'!$B$229=J$3,SUMIF('TL13'!$C$238:$C$451,$C387,'TL13'!$J$238:$J$451),0),
IF('TL14'!$B$3=J$3,SUMIF('TL14'!$C$10:$C$224,$C387,'TL14'!$J$10:$J$224),0),
IF('TL14'!$B$229=J$3,SUMIF('TL14'!$C$238:$C$451,$C387,'TL14'!$J$238:$J$451),0),
IF('TL15'!$B$3=J$3,SUMIF('TL15'!$C$10:$C$224,$C387,'TL15'!$J$10:$J$224),0),
IF('TL15'!$B$229=J$3,SUMIF('TL15'!$C$238:$C$451,$C387,'TL15'!$J$238:$J$451),0),
IF('TL16'!$B$3=J$3,SUMIF('TL16'!$C$10:$C$224,$C387,'TL16'!$J$10:$J$224),0),
IF('TL16'!$B$229=J$3,SUMIF('TL16'!$C$238:$C$451,$C387,'TL16'!$J$238:$J$451),0),
IF('TL17'!$B$3=J$3,SUMIF('TL17'!$C$10:$C$224,$C387,'TL17'!$J$10:$J$224),0),
IF('TL17'!$B$229=J$3,SUMIF('TL17'!$C$238:$C$451,$C387,'TL17'!$J$238:$J$451),0),
IF('TL18'!$B$3=J$3,SUMIF('TL18'!$C$10:$C$224,$C387,'TL18'!$J$10:$J$224),0),
IF('TL18'!$B$229=J$3,SUMIF('TL18'!$C$238:$C$451,$C387,'TL18'!$J$238:$J$451),0),
IF('TL19'!$B$3=J$3,SUMIF('TL19'!$C$10:$C$224,$C387,'TL19'!$J$10:$J$224),0),
IF('TL19'!$B$229=J$3,SUMIF('TL19'!$C$238:$C$451,$C387,'TL19'!$J$238:$J$451),0)
),0)</f>
        <v>0</v>
      </c>
      <c r="K387" s="9">
        <f>IFERROR(SUM(
IF('TL01'!$B$3=K$3,SUMIF('TL01'!$C$10:$C$224,$C387,'TL01'!$J$10:$J$224),0),
IF('TL01'!$B$229=K$3,SUMIF('TL01'!$C$238:$C$451,$C387,'TL01'!$J$238:$J$451),0),
IF('TL02'!$B$3=K$3,SUMIF('TL02'!$C$10:$C$224,$C387,'TL02'!$J$10:$J$224),0),
IF('TL02'!$B$229=K$3,SUMIF('TL02'!$C$238:$C$451,$C387,'TL02'!$J$238:$J$451),0),
IF('TL03'!$B$3=K$3,SUMIF('TL03'!$C$10:$C$224,$C387,'TL03'!$J$10:$J$224),0),
IF('TL03'!$B$229=K$3,SUMIF('TL03'!$C$238:$C$451,$C387,'TL03'!$J$238:$J$451),0),
IF('TL04'!$B$3=K$3,SUMIF('TL04'!$C$10:$C$224,$C387,'TL04'!$J$10:$J$224),0),
IF('TL04'!$B$229=K$3,SUMIF('TL04'!$C$238:$C$451,$C387,'TL04'!$J$238:$J$451),0),
IF('TL05'!$B$3=K$3,SUMIF('TL05'!$C$10:$C$224,$C387,'TL05'!$J$10:$J$224),0),
IF('TL05'!$B$229=K$3,SUMIF('TL05'!$C$238:$C$451,$C387,'TL05'!$J$238:$J$451),0),
IF('TL06'!$B$3=K$3,SUMIF('TL06'!$C$10:$C$224,$C387,'TL06'!$J$10:$J$224),0),
IF('TL06'!$B$229=K$3,SUMIF('TL06'!$C$238:$C$451,$C387,'TL06'!$J$238:$J$451),0),
IF('TL07'!$B$3=K$3,SUMIF('TL07'!$C$10:$C$224,$C387,'TL07'!$J$10:$J$224),0),
IF('TL07'!$B$229=K$3,SUMIF('TL07'!$C$238:$C$451,$C387,'TL07'!$J$238:$J$451),0),
IF('TL08'!$B$3=K$3,SUMIF('TL08'!$C$10:$C$224,$C387,'TL08'!$J$10:$J$224),0),
IF('TL08'!$B$229=K$3,SUMIF('TL08'!$C$238:$C$451,$C387,'TL08'!$J$238:$J$451),0),
IF('TL09'!$B$3=K$3,SUMIF('TL09'!$C$10:$C$224,$C387,'TL09'!$J$10:$J$224),0),
IF('TL09'!$B$229=K$3,SUMIF('TL09'!$C$238:$C$451,$C387,'TL09'!$J$238:$J$451),0),
IF('TL10'!$B$3=K$3,SUMIF('TL10'!$C$10:$C$224,$C387,'TL10'!$J$10:$J$224),0),
IF('TL10'!$B$229=K$3,SUMIF('TL10'!$C$238:$C$451,$C387,'TL10'!$J$238:$J$451),0),
IF('TL11'!$B$3=K$3,SUMIF('TL11'!$C$10:$C$224,$C387,'TL11'!$J$10:$J$224),0),
IF('TL11'!$B$229=K$3,SUMIF('TL11'!$C$238:$C$451,$C387,'TL11'!$J$238:$J$451),0),
IF('TL12'!$B$3=K$3,SUMIF('TL12'!$C$10:$C$224,$C387,'TL12'!$J$10:$J$224),0),
IF('TL12'!$B$229=K$3,SUMIF('TL12'!$C$238:$C$451,$C387,'TL12'!$J$238:$J$451),0),
IF('TL13'!$B$3=K$3,SUMIF('TL13'!$C$10:$C$224,$C387,'TL13'!$J$10:$J$224),0),
IF('TL13'!$B$229=K$3,SUMIF('TL13'!$C$238:$C$451,$C387,'TL13'!$J$238:$J$451),0),
IF('TL14'!$B$3=K$3,SUMIF('TL14'!$C$10:$C$224,$C387,'TL14'!$J$10:$J$224),0),
IF('TL14'!$B$229=K$3,SUMIF('TL14'!$C$238:$C$451,$C387,'TL14'!$J$238:$J$451),0),
IF('TL15'!$B$3=K$3,SUMIF('TL15'!$C$10:$C$224,$C387,'TL15'!$J$10:$J$224),0),
IF('TL15'!$B$229=K$3,SUMIF('TL15'!$C$238:$C$451,$C387,'TL15'!$J$238:$J$451),0),
IF('TL16'!$B$3=K$3,SUMIF('TL16'!$C$10:$C$224,$C387,'TL16'!$J$10:$J$224),0),
IF('TL16'!$B$229=K$3,SUMIF('TL16'!$C$238:$C$451,$C387,'TL16'!$J$238:$J$451),0),
IF('TL17'!$B$3=K$3,SUMIF('TL17'!$C$10:$C$224,$C387,'TL17'!$J$10:$J$224),0),
IF('TL17'!$B$229=K$3,SUMIF('TL17'!$C$238:$C$451,$C387,'TL17'!$J$238:$J$451),0),
IF('TL18'!$B$3=K$3,SUMIF('TL18'!$C$10:$C$224,$C387,'TL18'!$J$10:$J$224),0),
IF('TL18'!$B$229=K$3,SUMIF('TL18'!$C$238:$C$451,$C387,'TL18'!$J$238:$J$451),0),
IF('TL19'!$B$3=K$3,SUMIF('TL19'!$C$10:$C$224,$C387,'TL19'!$J$10:$J$224),0),
IF('TL19'!$B$229=K$3,SUMIF('TL19'!$C$238:$C$451,$C387,'TL19'!$J$238:$J$451),0)
),0)</f>
        <v>0</v>
      </c>
      <c r="L387" s="9">
        <f>IFERROR(SUM(
IF('TL01'!$B$3=L$3,SUMIF('TL01'!$C$10:$C$224,$C387,'TL01'!$J$10:$J$224),0),
IF('TL01'!$B$229=L$3,SUMIF('TL01'!$C$238:$C$451,$C387,'TL01'!$J$238:$J$451),0),
IF('TL02'!$B$3=L$3,SUMIF('TL02'!$C$10:$C$224,$C387,'TL02'!$J$10:$J$224),0),
IF('TL02'!$B$229=L$3,SUMIF('TL02'!$C$238:$C$451,$C387,'TL02'!$J$238:$J$451),0),
IF('TL03'!$B$3=L$3,SUMIF('TL03'!$C$10:$C$224,$C387,'TL03'!$J$10:$J$224),0),
IF('TL03'!$B$229=L$3,SUMIF('TL03'!$C$238:$C$451,$C387,'TL03'!$J$238:$J$451),0),
IF('TL04'!$B$3=L$3,SUMIF('TL04'!$C$10:$C$224,$C387,'TL04'!$J$10:$J$224),0),
IF('TL04'!$B$229=L$3,SUMIF('TL04'!$C$238:$C$451,$C387,'TL04'!$J$238:$J$451),0),
IF('TL05'!$B$3=L$3,SUMIF('TL05'!$C$10:$C$224,$C387,'TL05'!$J$10:$J$224),0),
IF('TL05'!$B$229=L$3,SUMIF('TL05'!$C$238:$C$451,$C387,'TL05'!$J$238:$J$451),0),
IF('TL06'!$B$3=L$3,SUMIF('TL06'!$C$10:$C$224,$C387,'TL06'!$J$10:$J$224),0),
IF('TL06'!$B$229=L$3,SUMIF('TL06'!$C$238:$C$451,$C387,'TL06'!$J$238:$J$451),0),
IF('TL07'!$B$3=L$3,SUMIF('TL07'!$C$10:$C$224,$C387,'TL07'!$J$10:$J$224),0),
IF('TL07'!$B$229=L$3,SUMIF('TL07'!$C$238:$C$451,$C387,'TL07'!$J$238:$J$451),0),
IF('TL08'!$B$3=L$3,SUMIF('TL08'!$C$10:$C$224,$C387,'TL08'!$J$10:$J$224),0),
IF('TL08'!$B$229=L$3,SUMIF('TL08'!$C$238:$C$451,$C387,'TL08'!$J$238:$J$451),0),
IF('TL09'!$B$3=L$3,SUMIF('TL09'!$C$10:$C$224,$C387,'TL09'!$J$10:$J$224),0),
IF('TL09'!$B$229=L$3,SUMIF('TL09'!$C$238:$C$451,$C387,'TL09'!$J$238:$J$451),0),
IF('TL10'!$B$3=L$3,SUMIF('TL10'!$C$10:$C$224,$C387,'TL10'!$J$10:$J$224),0),
IF('TL10'!$B$229=L$3,SUMIF('TL10'!$C$238:$C$451,$C387,'TL10'!$J$238:$J$451),0),
IF('TL11'!$B$3=L$3,SUMIF('TL11'!$C$10:$C$224,$C387,'TL11'!$J$10:$J$224),0),
IF('TL11'!$B$229=L$3,SUMIF('TL11'!$C$238:$C$451,$C387,'TL11'!$J$238:$J$451),0),
IF('TL12'!$B$3=L$3,SUMIF('TL12'!$C$10:$C$224,$C387,'TL12'!$J$10:$J$224),0),
IF('TL12'!$B$229=L$3,SUMIF('TL12'!$C$238:$C$451,$C387,'TL12'!$J$238:$J$451),0),
IF('TL13'!$B$3=L$3,SUMIF('TL13'!$C$10:$C$224,$C387,'TL13'!$J$10:$J$224),0),
IF('TL13'!$B$229=L$3,SUMIF('TL13'!$C$238:$C$451,$C387,'TL13'!$J$238:$J$451),0),
IF('TL14'!$B$3=L$3,SUMIF('TL14'!$C$10:$C$224,$C387,'TL14'!$J$10:$J$224),0),
IF('TL14'!$B$229=L$3,SUMIF('TL14'!$C$238:$C$451,$C387,'TL14'!$J$238:$J$451),0),
IF('TL15'!$B$3=L$3,SUMIF('TL15'!$C$10:$C$224,$C387,'TL15'!$J$10:$J$224),0),
IF('TL15'!$B$229=L$3,SUMIF('TL15'!$C$238:$C$451,$C387,'TL15'!$J$238:$J$451),0),
IF('TL16'!$B$3=L$3,SUMIF('TL16'!$C$10:$C$224,$C387,'TL16'!$J$10:$J$224),0),
IF('TL16'!$B$229=L$3,SUMIF('TL16'!$C$238:$C$451,$C387,'TL16'!$J$238:$J$451),0),
IF('TL17'!$B$3=L$3,SUMIF('TL17'!$C$10:$C$224,$C387,'TL17'!$J$10:$J$224),0),
IF('TL17'!$B$229=L$3,SUMIF('TL17'!$C$238:$C$451,$C387,'TL17'!$J$238:$J$451),0),
IF('TL18'!$B$3=L$3,SUMIF('TL18'!$C$10:$C$224,$C387,'TL18'!$J$10:$J$224),0),
IF('TL18'!$B$229=L$3,SUMIF('TL18'!$C$238:$C$451,$C387,'TL18'!$J$238:$J$451),0),
IF('TL19'!$B$3=L$3,SUMIF('TL19'!$C$10:$C$224,$C387,'TL19'!$J$10:$J$224),0),
IF('TL19'!$B$229=L$3,SUMIF('TL19'!$C$238:$C$451,$C387,'TL19'!$J$238:$J$451),0)
),0)</f>
        <v>0</v>
      </c>
      <c r="M387" s="9">
        <f>IFERROR(SUM(
IF('TL01'!$B$3=M$3,SUMIF('TL01'!$C$10:$C$224,$C387,'TL01'!$J$10:$J$224),0),
IF('TL01'!$B$229=M$3,SUMIF('TL01'!$C$238:$C$451,$C387,'TL01'!$J$238:$J$451),0),
IF('TL02'!$B$3=M$3,SUMIF('TL02'!$C$10:$C$224,$C387,'TL02'!$J$10:$J$224),0),
IF('TL02'!$B$229=M$3,SUMIF('TL02'!$C$238:$C$451,$C387,'TL02'!$J$238:$J$451),0),
IF('TL03'!$B$3=M$3,SUMIF('TL03'!$C$10:$C$224,$C387,'TL03'!$J$10:$J$224),0),
IF('TL03'!$B$229=M$3,SUMIF('TL03'!$C$238:$C$451,$C387,'TL03'!$J$238:$J$451),0),
IF('TL04'!$B$3=M$3,SUMIF('TL04'!$C$10:$C$224,$C387,'TL04'!$J$10:$J$224),0),
IF('TL04'!$B$229=M$3,SUMIF('TL04'!$C$238:$C$451,$C387,'TL04'!$J$238:$J$451),0),
IF('TL05'!$B$3=M$3,SUMIF('TL05'!$C$10:$C$224,$C387,'TL05'!$J$10:$J$224),0),
IF('TL05'!$B$229=M$3,SUMIF('TL05'!$C$238:$C$451,$C387,'TL05'!$J$238:$J$451),0),
IF('TL06'!$B$3=M$3,SUMIF('TL06'!$C$10:$C$224,$C387,'TL06'!$J$10:$J$224),0),
IF('TL06'!$B$229=M$3,SUMIF('TL06'!$C$238:$C$451,$C387,'TL06'!$J$238:$J$451),0),
IF('TL07'!$B$3=M$3,SUMIF('TL07'!$C$10:$C$224,$C387,'TL07'!$J$10:$J$224),0),
IF('TL07'!$B$229=M$3,SUMIF('TL07'!$C$238:$C$451,$C387,'TL07'!$J$238:$J$451),0),
IF('TL08'!$B$3=M$3,SUMIF('TL08'!$C$10:$C$224,$C387,'TL08'!$J$10:$J$224),0),
IF('TL08'!$B$229=M$3,SUMIF('TL08'!$C$238:$C$451,$C387,'TL08'!$J$238:$J$451),0),
IF('TL09'!$B$3=M$3,SUMIF('TL09'!$C$10:$C$224,$C387,'TL09'!$J$10:$J$224),0),
IF('TL09'!$B$229=M$3,SUMIF('TL09'!$C$238:$C$451,$C387,'TL09'!$J$238:$J$451),0),
IF('TL10'!$B$3=M$3,SUMIF('TL10'!$C$10:$C$224,$C387,'TL10'!$J$10:$J$224),0),
IF('TL10'!$B$229=M$3,SUMIF('TL10'!$C$238:$C$451,$C387,'TL10'!$J$238:$J$451),0),
IF('TL11'!$B$3=M$3,SUMIF('TL11'!$C$10:$C$224,$C387,'TL11'!$J$10:$J$224),0),
IF('TL11'!$B$229=M$3,SUMIF('TL11'!$C$238:$C$451,$C387,'TL11'!$J$238:$J$451),0),
IF('TL12'!$B$3=M$3,SUMIF('TL12'!$C$10:$C$224,$C387,'TL12'!$J$10:$J$224),0),
IF('TL12'!$B$229=M$3,SUMIF('TL12'!$C$238:$C$451,$C387,'TL12'!$J$238:$J$451),0),
IF('TL13'!$B$3=M$3,SUMIF('TL13'!$C$10:$C$224,$C387,'TL13'!$J$10:$J$224),0),
IF('TL13'!$B$229=M$3,SUMIF('TL13'!$C$238:$C$451,$C387,'TL13'!$J$238:$J$451),0),
IF('TL14'!$B$3=M$3,SUMIF('TL14'!$C$10:$C$224,$C387,'TL14'!$J$10:$J$224),0),
IF('TL14'!$B$229=M$3,SUMIF('TL14'!$C$238:$C$451,$C387,'TL14'!$J$238:$J$451),0),
IF('TL15'!$B$3=M$3,SUMIF('TL15'!$C$10:$C$224,$C387,'TL15'!$J$10:$J$224),0),
IF('TL15'!$B$229=M$3,SUMIF('TL15'!$C$238:$C$451,$C387,'TL15'!$J$238:$J$451),0),
IF('TL16'!$B$3=M$3,SUMIF('TL16'!$C$10:$C$224,$C387,'TL16'!$J$10:$J$224),0),
IF('TL16'!$B$229=M$3,SUMIF('TL16'!$C$238:$C$451,$C387,'TL16'!$J$238:$J$451),0),
IF('TL17'!$B$3=M$3,SUMIF('TL17'!$C$10:$C$224,$C387,'TL17'!$J$10:$J$224),0),
IF('TL17'!$B$229=M$3,SUMIF('TL17'!$C$238:$C$451,$C387,'TL17'!$J$238:$J$451),0),
IF('TL18'!$B$3=M$3,SUMIF('TL18'!$C$10:$C$224,$C387,'TL18'!$J$10:$J$224),0),
IF('TL18'!$B$229=M$3,SUMIF('TL18'!$C$238:$C$451,$C387,'TL18'!$J$238:$J$451),0),
IF('TL19'!$B$3=M$3,SUMIF('TL19'!$C$10:$C$224,$C387,'TL19'!$J$10:$J$224),0),
IF('TL19'!$B$229=M$3,SUMIF('TL19'!$C$238:$C$451,$C387,'TL19'!$J$238:$J$451),0)
),0)</f>
        <v>0</v>
      </c>
      <c r="N387" s="9">
        <f>IFERROR(SUM(
IF('TL01'!$B$3=N$3,SUMIF('TL01'!$C$10:$C$224,$C387,'TL01'!$J$10:$J$224),0),
IF('TL01'!$B$229=N$3,SUMIF('TL01'!$C$238:$C$451,$C387,'TL01'!$J$238:$J$451),0),
IF('TL02'!$B$3=N$3,SUMIF('TL02'!$C$10:$C$224,$C387,'TL02'!$J$10:$J$224),0),
IF('TL02'!$B$229=N$3,SUMIF('TL02'!$C$238:$C$451,$C387,'TL02'!$J$238:$J$451),0),
IF('TL03'!$B$3=N$3,SUMIF('TL03'!$C$10:$C$224,$C387,'TL03'!$J$10:$J$224),0),
IF('TL03'!$B$229=N$3,SUMIF('TL03'!$C$238:$C$451,$C387,'TL03'!$J$238:$J$451),0),
IF('TL04'!$B$3=N$3,SUMIF('TL04'!$C$10:$C$224,$C387,'TL04'!$J$10:$J$224),0),
IF('TL04'!$B$229=N$3,SUMIF('TL04'!$C$238:$C$451,$C387,'TL04'!$J$238:$J$451),0),
IF('TL05'!$B$3=N$3,SUMIF('TL05'!$C$10:$C$224,$C387,'TL05'!$J$10:$J$224),0),
IF('TL05'!$B$229=N$3,SUMIF('TL05'!$C$238:$C$451,$C387,'TL05'!$J$238:$J$451),0),
IF('TL06'!$B$3=N$3,SUMIF('TL06'!$C$10:$C$224,$C387,'TL06'!$J$10:$J$224),0),
IF('TL06'!$B$229=N$3,SUMIF('TL06'!$C$238:$C$451,$C387,'TL06'!$J$238:$J$451),0),
IF('TL07'!$B$3=N$3,SUMIF('TL07'!$C$10:$C$224,$C387,'TL07'!$J$10:$J$224),0),
IF('TL07'!$B$229=N$3,SUMIF('TL07'!$C$238:$C$451,$C387,'TL07'!$J$238:$J$451),0),
IF('TL08'!$B$3=N$3,SUMIF('TL08'!$C$10:$C$224,$C387,'TL08'!$J$10:$J$224),0),
IF('TL08'!$B$229=N$3,SUMIF('TL08'!$C$238:$C$451,$C387,'TL08'!$J$238:$J$451),0),
IF('TL09'!$B$3=N$3,SUMIF('TL09'!$C$10:$C$224,$C387,'TL09'!$J$10:$J$224),0),
IF('TL09'!$B$229=N$3,SUMIF('TL09'!$C$238:$C$451,$C387,'TL09'!$J$238:$J$451),0),
IF('TL10'!$B$3=N$3,SUMIF('TL10'!$C$10:$C$224,$C387,'TL10'!$J$10:$J$224),0),
IF('TL10'!$B$229=N$3,SUMIF('TL10'!$C$238:$C$451,$C387,'TL10'!$J$238:$J$451),0),
IF('TL11'!$B$3=N$3,SUMIF('TL11'!$C$10:$C$224,$C387,'TL11'!$J$10:$J$224),0),
IF('TL11'!$B$229=N$3,SUMIF('TL11'!$C$238:$C$451,$C387,'TL11'!$J$238:$J$451),0),
IF('TL12'!$B$3=N$3,SUMIF('TL12'!$C$10:$C$224,$C387,'TL12'!$J$10:$J$224),0),
IF('TL12'!$B$229=N$3,SUMIF('TL12'!$C$238:$C$451,$C387,'TL12'!$J$238:$J$451),0),
IF('TL13'!$B$3=N$3,SUMIF('TL13'!$C$10:$C$224,$C387,'TL13'!$J$10:$J$224),0),
IF('TL13'!$B$229=N$3,SUMIF('TL13'!$C$238:$C$451,$C387,'TL13'!$J$238:$J$451),0),
IF('TL14'!$B$3=N$3,SUMIF('TL14'!$C$10:$C$224,$C387,'TL14'!$J$10:$J$224),0),
IF('TL14'!$B$229=N$3,SUMIF('TL14'!$C$238:$C$451,$C387,'TL14'!$J$238:$J$451),0),
IF('TL15'!$B$3=N$3,SUMIF('TL15'!$C$10:$C$224,$C387,'TL15'!$J$10:$J$224),0),
IF('TL15'!$B$229=N$3,SUMIF('TL15'!$C$238:$C$451,$C387,'TL15'!$J$238:$J$451),0),
IF('TL16'!$B$3=N$3,SUMIF('TL16'!$C$10:$C$224,$C387,'TL16'!$J$10:$J$224),0),
IF('TL16'!$B$229=N$3,SUMIF('TL16'!$C$238:$C$451,$C387,'TL16'!$J$238:$J$451),0),
IF('TL17'!$B$3=N$3,SUMIF('TL17'!$C$10:$C$224,$C387,'TL17'!$J$10:$J$224),0),
IF('TL17'!$B$229=N$3,SUMIF('TL17'!$C$238:$C$451,$C387,'TL17'!$J$238:$J$451),0),
IF('TL18'!$B$3=N$3,SUMIF('TL18'!$C$10:$C$224,$C387,'TL18'!$J$10:$J$224),0),
IF('TL18'!$B$229=N$3,SUMIF('TL18'!$C$238:$C$451,$C387,'TL18'!$J$238:$J$451),0),
IF('TL19'!$B$3=N$3,SUMIF('TL19'!$C$10:$C$224,$C387,'TL19'!$J$10:$J$224),0),
IF('TL19'!$B$229=N$3,SUMIF('TL19'!$C$238:$C$451,$C387,'TL19'!$J$238:$J$451),0)
),0)</f>
        <v>0</v>
      </c>
      <c r="O387" s="9">
        <f>IFERROR(SUM(
IF('TL01'!$B$3=O$3,SUMIF('TL01'!$C$10:$C$224,$C387,'TL01'!$J$10:$J$224),0),
IF('TL01'!$B$229=O$3,SUMIF('TL01'!$C$238:$C$451,$C387,'TL01'!$J$238:$J$451),0),
IF('TL02'!$B$3=O$3,SUMIF('TL02'!$C$10:$C$224,$C387,'TL02'!$J$10:$J$224),0),
IF('TL02'!$B$229=O$3,SUMIF('TL02'!$C$238:$C$451,$C387,'TL02'!$J$238:$J$451),0),
IF('TL03'!$B$3=O$3,SUMIF('TL03'!$C$10:$C$224,$C387,'TL03'!$J$10:$J$224),0),
IF('TL03'!$B$229=O$3,SUMIF('TL03'!$C$238:$C$451,$C387,'TL03'!$J$238:$J$451),0),
IF('TL04'!$B$3=O$3,SUMIF('TL04'!$C$10:$C$224,$C387,'TL04'!$J$10:$J$224),0),
IF('TL04'!$B$229=O$3,SUMIF('TL04'!$C$238:$C$451,$C387,'TL04'!$J$238:$J$451),0),
IF('TL05'!$B$3=O$3,SUMIF('TL05'!$C$10:$C$224,$C387,'TL05'!$J$10:$J$224),0),
IF('TL05'!$B$229=O$3,SUMIF('TL05'!$C$238:$C$451,$C387,'TL05'!$J$238:$J$451),0),
IF('TL06'!$B$3=O$3,SUMIF('TL06'!$C$10:$C$224,$C387,'TL06'!$J$10:$J$224),0),
IF('TL06'!$B$229=O$3,SUMIF('TL06'!$C$238:$C$451,$C387,'TL06'!$J$238:$J$451),0),
IF('TL07'!$B$3=O$3,SUMIF('TL07'!$C$10:$C$224,$C387,'TL07'!$J$10:$J$224),0),
IF('TL07'!$B$229=O$3,SUMIF('TL07'!$C$238:$C$451,$C387,'TL07'!$J$238:$J$451),0),
IF('TL08'!$B$3=O$3,SUMIF('TL08'!$C$10:$C$224,$C387,'TL08'!$J$10:$J$224),0),
IF('TL08'!$B$229=O$3,SUMIF('TL08'!$C$238:$C$451,$C387,'TL08'!$J$238:$J$451),0),
IF('TL09'!$B$3=O$3,SUMIF('TL09'!$C$10:$C$224,$C387,'TL09'!$J$10:$J$224),0),
IF('TL09'!$B$229=O$3,SUMIF('TL09'!$C$238:$C$451,$C387,'TL09'!$J$238:$J$451),0),
IF('TL10'!$B$3=O$3,SUMIF('TL10'!$C$10:$C$224,$C387,'TL10'!$J$10:$J$224),0),
IF('TL10'!$B$229=O$3,SUMIF('TL10'!$C$238:$C$451,$C387,'TL10'!$J$238:$J$451),0),
IF('TL11'!$B$3=O$3,SUMIF('TL11'!$C$10:$C$224,$C387,'TL11'!$J$10:$J$224),0),
IF('TL11'!$B$229=O$3,SUMIF('TL11'!$C$238:$C$451,$C387,'TL11'!$J$238:$J$451),0),
IF('TL12'!$B$3=O$3,SUMIF('TL12'!$C$10:$C$224,$C387,'TL12'!$J$10:$J$224),0),
IF('TL12'!$B$229=O$3,SUMIF('TL12'!$C$238:$C$451,$C387,'TL12'!$J$238:$J$451),0),
IF('TL13'!$B$3=O$3,SUMIF('TL13'!$C$10:$C$224,$C387,'TL13'!$J$10:$J$224),0),
IF('TL13'!$B$229=O$3,SUMIF('TL13'!$C$238:$C$451,$C387,'TL13'!$J$238:$J$451),0),
IF('TL14'!$B$3=O$3,SUMIF('TL14'!$C$10:$C$224,$C387,'TL14'!$J$10:$J$224),0),
IF('TL14'!$B$229=O$3,SUMIF('TL14'!$C$238:$C$451,$C387,'TL14'!$J$238:$J$451),0),
IF('TL15'!$B$3=O$3,SUMIF('TL15'!$C$10:$C$224,$C387,'TL15'!$J$10:$J$224),0),
IF('TL15'!$B$229=O$3,SUMIF('TL15'!$C$238:$C$451,$C387,'TL15'!$J$238:$J$451),0),
IF('TL16'!$B$3=O$3,SUMIF('TL16'!$C$10:$C$224,$C387,'TL16'!$J$10:$J$224),0),
IF('TL16'!$B$229=O$3,SUMIF('TL16'!$C$238:$C$451,$C387,'TL16'!$J$238:$J$451),0),
IF('TL17'!$B$3=O$3,SUMIF('TL17'!$C$10:$C$224,$C387,'TL17'!$J$10:$J$224),0),
IF('TL17'!$B$229=O$3,SUMIF('TL17'!$C$238:$C$451,$C387,'TL17'!$J$238:$J$451),0),
IF('TL18'!$B$3=O$3,SUMIF('TL18'!$C$10:$C$224,$C387,'TL18'!$J$10:$J$224),0),
IF('TL18'!$B$229=O$3,SUMIF('TL18'!$C$238:$C$451,$C387,'TL18'!$J$238:$J$451),0),
IF('TL19'!$B$3=O$3,SUMIF('TL19'!$C$10:$C$224,$C387,'TL19'!$J$10:$J$224),0),
IF('TL19'!$B$229=O$3,SUMIF('TL19'!$C$238:$C$451,$C387,'TL19'!$J$238:$J$451),0)
),0)</f>
        <v>0</v>
      </c>
      <c r="P387" s="9">
        <f>IFERROR(SUM(
IF('TL01'!$B$3=P$3,SUMIF('TL01'!$C$10:$C$224,$C387,'TL01'!$J$10:$J$224),0),
IF('TL01'!$B$229=P$3,SUMIF('TL01'!$C$238:$C$451,$C387,'TL01'!$J$238:$J$451),0),
IF('TL02'!$B$3=P$3,SUMIF('TL02'!$C$10:$C$224,$C387,'TL02'!$J$10:$J$224),0),
IF('TL02'!$B$229=P$3,SUMIF('TL02'!$C$238:$C$451,$C387,'TL02'!$J$238:$J$451),0),
IF('TL03'!$B$3=P$3,SUMIF('TL03'!$C$10:$C$224,$C387,'TL03'!$J$10:$J$224),0),
IF('TL03'!$B$229=P$3,SUMIF('TL03'!$C$238:$C$451,$C387,'TL03'!$J$238:$J$451),0),
IF('TL04'!$B$3=P$3,SUMIF('TL04'!$C$10:$C$224,$C387,'TL04'!$J$10:$J$224),0),
IF('TL04'!$B$229=P$3,SUMIF('TL04'!$C$238:$C$451,$C387,'TL04'!$J$238:$J$451),0),
IF('TL05'!$B$3=P$3,SUMIF('TL05'!$C$10:$C$224,$C387,'TL05'!$J$10:$J$224),0),
IF('TL05'!$B$229=P$3,SUMIF('TL05'!$C$238:$C$451,$C387,'TL05'!$J$238:$J$451),0),
IF('TL06'!$B$3=P$3,SUMIF('TL06'!$C$10:$C$224,$C387,'TL06'!$J$10:$J$224),0),
IF('TL06'!$B$229=P$3,SUMIF('TL06'!$C$238:$C$451,$C387,'TL06'!$J$238:$J$451),0),
IF('TL07'!$B$3=P$3,SUMIF('TL07'!$C$10:$C$224,$C387,'TL07'!$J$10:$J$224),0),
IF('TL07'!$B$229=P$3,SUMIF('TL07'!$C$238:$C$451,$C387,'TL07'!$J$238:$J$451),0),
IF('TL08'!$B$3=P$3,SUMIF('TL08'!$C$10:$C$224,$C387,'TL08'!$J$10:$J$224),0),
IF('TL08'!$B$229=P$3,SUMIF('TL08'!$C$238:$C$451,$C387,'TL08'!$J$238:$J$451),0),
IF('TL09'!$B$3=P$3,SUMIF('TL09'!$C$10:$C$224,$C387,'TL09'!$J$10:$J$224),0),
IF('TL09'!$B$229=P$3,SUMIF('TL09'!$C$238:$C$451,$C387,'TL09'!$J$238:$J$451),0),
IF('TL10'!$B$3=P$3,SUMIF('TL10'!$C$10:$C$224,$C387,'TL10'!$J$10:$J$224),0),
IF('TL10'!$B$229=P$3,SUMIF('TL10'!$C$238:$C$451,$C387,'TL10'!$J$238:$J$451),0),
IF('TL11'!$B$3=P$3,SUMIF('TL11'!$C$10:$C$224,$C387,'TL11'!$J$10:$J$224),0),
IF('TL11'!$B$229=P$3,SUMIF('TL11'!$C$238:$C$451,$C387,'TL11'!$J$238:$J$451),0),
IF('TL12'!$B$3=P$3,SUMIF('TL12'!$C$10:$C$224,$C387,'TL12'!$J$10:$J$224),0),
IF('TL12'!$B$229=P$3,SUMIF('TL12'!$C$238:$C$451,$C387,'TL12'!$J$238:$J$451),0),
IF('TL13'!$B$3=P$3,SUMIF('TL13'!$C$10:$C$224,$C387,'TL13'!$J$10:$J$224),0),
IF('TL13'!$B$229=P$3,SUMIF('TL13'!$C$238:$C$451,$C387,'TL13'!$J$238:$J$451),0),
IF('TL14'!$B$3=P$3,SUMIF('TL14'!$C$10:$C$224,$C387,'TL14'!$J$10:$J$224),0),
IF('TL14'!$B$229=P$3,SUMIF('TL14'!$C$238:$C$451,$C387,'TL14'!$J$238:$J$451),0),
IF('TL15'!$B$3=P$3,SUMIF('TL15'!$C$10:$C$224,$C387,'TL15'!$J$10:$J$224),0),
IF('TL15'!$B$229=P$3,SUMIF('TL15'!$C$238:$C$451,$C387,'TL15'!$J$238:$J$451),0),
IF('TL16'!$B$3=P$3,SUMIF('TL16'!$C$10:$C$224,$C387,'TL16'!$J$10:$J$224),0),
IF('TL16'!$B$229=P$3,SUMIF('TL16'!$C$238:$C$451,$C387,'TL16'!$J$238:$J$451),0),
IF('TL17'!$B$3=P$3,SUMIF('TL17'!$C$10:$C$224,$C387,'TL17'!$J$10:$J$224),0),
IF('TL17'!$B$229=P$3,SUMIF('TL17'!$C$238:$C$451,$C387,'TL17'!$J$238:$J$451),0),
IF('TL18'!$B$3=P$3,SUMIF('TL18'!$C$10:$C$224,$C387,'TL18'!$J$10:$J$224),0),
IF('TL18'!$B$229=P$3,SUMIF('TL18'!$C$238:$C$451,$C387,'TL18'!$J$238:$J$451),0),
IF('TL19'!$B$3=P$3,SUMIF('TL19'!$C$10:$C$224,$C387,'TL19'!$J$10:$J$224),0),
IF('TL19'!$B$229=P$3,SUMIF('TL19'!$C$238:$C$451,$C387,'TL19'!$J$238:$J$451),0)
),0)</f>
        <v>0</v>
      </c>
      <c r="Q387" s="9">
        <f>IFERROR(SUM(
IF('TL01'!$B$3=Q$3,SUMIF('TL01'!$C$10:$C$224,$C387,'TL01'!$J$10:$J$224),0),
IF('TL01'!$B$229=Q$3,SUMIF('TL01'!$C$238:$C$451,$C387,'TL01'!$J$238:$J$451),0),
IF('TL02'!$B$3=Q$3,SUMIF('TL02'!$C$10:$C$224,$C387,'TL02'!$J$10:$J$224),0),
IF('TL02'!$B$229=Q$3,SUMIF('TL02'!$C$238:$C$451,$C387,'TL02'!$J$238:$J$451),0),
IF('TL03'!$B$3=Q$3,SUMIF('TL03'!$C$10:$C$224,$C387,'TL03'!$J$10:$J$224),0),
IF('TL03'!$B$229=Q$3,SUMIF('TL03'!$C$238:$C$451,$C387,'TL03'!$J$238:$J$451),0),
IF('TL04'!$B$3=Q$3,SUMIF('TL04'!$C$10:$C$224,$C387,'TL04'!$J$10:$J$224),0),
IF('TL04'!$B$229=Q$3,SUMIF('TL04'!$C$238:$C$451,$C387,'TL04'!$J$238:$J$451),0),
IF('TL05'!$B$3=Q$3,SUMIF('TL05'!$C$10:$C$224,$C387,'TL05'!$J$10:$J$224),0),
IF('TL05'!$B$229=Q$3,SUMIF('TL05'!$C$238:$C$451,$C387,'TL05'!$J$238:$J$451),0),
IF('TL06'!$B$3=Q$3,SUMIF('TL06'!$C$10:$C$224,$C387,'TL06'!$J$10:$J$224),0),
IF('TL06'!$B$229=Q$3,SUMIF('TL06'!$C$238:$C$451,$C387,'TL06'!$J$238:$J$451),0),
IF('TL07'!$B$3=Q$3,SUMIF('TL07'!$C$10:$C$224,$C387,'TL07'!$J$10:$J$224),0),
IF('TL07'!$B$229=Q$3,SUMIF('TL07'!$C$238:$C$451,$C387,'TL07'!$J$238:$J$451),0),
IF('TL08'!$B$3=Q$3,SUMIF('TL08'!$C$10:$C$224,$C387,'TL08'!$J$10:$J$224),0),
IF('TL08'!$B$229=Q$3,SUMIF('TL08'!$C$238:$C$451,$C387,'TL08'!$J$238:$J$451),0),
IF('TL09'!$B$3=Q$3,SUMIF('TL09'!$C$10:$C$224,$C387,'TL09'!$J$10:$J$224),0),
IF('TL09'!$B$229=Q$3,SUMIF('TL09'!$C$238:$C$451,$C387,'TL09'!$J$238:$J$451),0),
IF('TL10'!$B$3=Q$3,SUMIF('TL10'!$C$10:$C$224,$C387,'TL10'!$J$10:$J$224),0),
IF('TL10'!$B$229=Q$3,SUMIF('TL10'!$C$238:$C$451,$C387,'TL10'!$J$238:$J$451),0),
IF('TL11'!$B$3=Q$3,SUMIF('TL11'!$C$10:$C$224,$C387,'TL11'!$J$10:$J$224),0),
IF('TL11'!$B$229=Q$3,SUMIF('TL11'!$C$238:$C$451,$C387,'TL11'!$J$238:$J$451),0),
IF('TL12'!$B$3=Q$3,SUMIF('TL12'!$C$10:$C$224,$C387,'TL12'!$J$10:$J$224),0),
IF('TL12'!$B$229=Q$3,SUMIF('TL12'!$C$238:$C$451,$C387,'TL12'!$J$238:$J$451),0),
IF('TL13'!$B$3=Q$3,SUMIF('TL13'!$C$10:$C$224,$C387,'TL13'!$J$10:$J$224),0),
IF('TL13'!$B$229=Q$3,SUMIF('TL13'!$C$238:$C$451,$C387,'TL13'!$J$238:$J$451),0),
IF('TL14'!$B$3=Q$3,SUMIF('TL14'!$C$10:$C$224,$C387,'TL14'!$J$10:$J$224),0),
IF('TL14'!$B$229=Q$3,SUMIF('TL14'!$C$238:$C$451,$C387,'TL14'!$J$238:$J$451),0),
IF('TL15'!$B$3=Q$3,SUMIF('TL15'!$C$10:$C$224,$C387,'TL15'!$J$10:$J$224),0),
IF('TL15'!$B$229=Q$3,SUMIF('TL15'!$C$238:$C$451,$C387,'TL15'!$J$238:$J$451),0),
IF('TL16'!$B$3=Q$3,SUMIF('TL16'!$C$10:$C$224,$C387,'TL16'!$J$10:$J$224),0),
IF('TL16'!$B$229=Q$3,SUMIF('TL16'!$C$238:$C$451,$C387,'TL16'!$J$238:$J$451),0),
IF('TL17'!$B$3=Q$3,SUMIF('TL17'!$C$10:$C$224,$C387,'TL17'!$J$10:$J$224),0),
IF('TL17'!$B$229=Q$3,SUMIF('TL17'!$C$238:$C$451,$C387,'TL17'!$J$238:$J$451),0),
IF('TL18'!$B$3=Q$3,SUMIF('TL18'!$C$10:$C$224,$C387,'TL18'!$J$10:$J$224),0),
IF('TL18'!$B$229=Q$3,SUMIF('TL18'!$C$238:$C$451,$C387,'TL18'!$J$238:$J$451),0),
IF('TL19'!$B$3=Q$3,SUMIF('TL19'!$C$10:$C$224,$C387,'TL19'!$J$10:$J$224),0),
IF('TL19'!$B$229=Q$3,SUMIF('TL19'!$C$238:$C$451,$C387,'TL19'!$J$238:$J$451),0)
),0)</f>
        <v>0</v>
      </c>
      <c r="R387" s="9">
        <f>IFERROR(
SUM(
SUMIF('TL01'!C:C,C387,'TL01'!J:J),
SUMIF('TL02'!C:C,C387,'TL02'!J:J),
SUMIF('TL03'!C:C,C387,'TL03'!J:J),
SUMIF('TL04'!C:C,C387,'TL04'!J:J),
SUMIF('TL05'!C:C,C387,'TL05'!J:J),
SUMIF('TL06'!C:C,C387,'TL06'!J:J),
SUMIF('TL07'!C:C,C387,'TL07'!J:J),
SUMIF('TL08'!C:C,C387,'TL08'!J:J),
SUMIF('TL09'!C:C,C387,'TL09'!J:J),
SUMIF('TL10'!C:C,C387,'TL10'!J:J),
SUMIF('TL11'!C:C,C387,'TL11'!J:J),
SUMIF('TL12'!C:C,C387,'TL12'!J:J),
SUMIF('TL13'!C:C,C387,'TL13'!J:J),
SUMIF('TL14'!C:C,C387,'TL14'!J:J),
SUMIF('TL15'!C:C,C387,'TL15'!J:J),
SUMIF('TL16'!C:C,C387,'TL16'!J:J),
SUMIF('TL17'!C:C,C387,'TL17'!J:J),
SUMIF('TL18'!C:C,C387,'TL18'!J:J),SUMIF('TL19'!C:C,C387,'TL19'!J:J))
,0)</f>
        <v>0</v>
      </c>
      <c r="S387" s="17">
        <f>IFERROR(__xludf.DUMMYFUNCTION("IFERROR(VLOOKUP(C387,
IMPORTRANGE(""1wULbzX32WdYsx-lj2U3uUNBBe2INVIRDtcK0d-Dvl90"",
""26-27!C:G""),
5,
FALSE),
"""")"),4.63)</f>
        <v>4.63</v>
      </c>
      <c r="T387" s="9"/>
      <c r="U387" s="92">
        <f t="shared" si="2"/>
        <v>0</v>
      </c>
      <c r="V387" s="93">
        <f t="shared" si="3"/>
        <v>0</v>
      </c>
    </row>
    <row r="388" ht="15.75" hidden="1" customHeight="1">
      <c r="A388" s="4" t="s">
        <v>1071</v>
      </c>
      <c r="B388" s="4" t="s">
        <v>4</v>
      </c>
      <c r="C388" s="131" t="s">
        <v>1130</v>
      </c>
      <c r="D388" s="127" t="s">
        <v>1119</v>
      </c>
      <c r="E388" s="9"/>
      <c r="F388" s="4"/>
      <c r="G388" s="90" t="str">
        <f t="shared" si="5"/>
        <v>📄 Ver bula</v>
      </c>
      <c r="H388" s="9"/>
      <c r="I388" s="1"/>
      <c r="J388" s="9">
        <f>IFERROR(SUM(
IF('TL01'!$B$3=J$3,SUMIF('TL01'!$C$10:$C$224,$C388,'TL01'!$J$10:$J$224),0),
IF('TL01'!$B$229=J$3,SUMIF('TL01'!$C$238:$C$451,$C388,'TL01'!$J$238:$J$451),0),
IF('TL02'!$B$3=J$3,SUMIF('TL02'!$C$10:$C$224,$C388,'TL02'!$J$10:$J$224),0),
IF('TL02'!$B$229=J$3,SUMIF('TL02'!$C$238:$C$451,$C388,'TL02'!$J$238:$J$451),0),
IF('TL03'!$B$3=J$3,SUMIF('TL03'!$C$10:$C$224,$C388,'TL03'!$J$10:$J$224),0),
IF('TL03'!$B$229=J$3,SUMIF('TL03'!$C$238:$C$451,$C388,'TL03'!$J$238:$J$451),0),
IF('TL04'!$B$3=J$3,SUMIF('TL04'!$C$10:$C$224,$C388,'TL04'!$J$10:$J$224),0),
IF('TL04'!$B$229=J$3,SUMIF('TL04'!$C$238:$C$451,$C388,'TL04'!$J$238:$J$451),0),
IF('TL05'!$B$3=J$3,SUMIF('TL05'!$C$10:$C$224,$C388,'TL05'!$J$10:$J$224),0),
IF('TL05'!$B$229=J$3,SUMIF('TL05'!$C$238:$C$451,$C388,'TL05'!$J$238:$J$451),0),
IF('TL06'!$B$3=J$3,SUMIF('TL06'!$C$10:$C$224,$C388,'TL06'!$J$10:$J$224),0),
IF('TL06'!$B$229=J$3,SUMIF('TL06'!$C$238:$C$451,$C388,'TL06'!$J$238:$J$451),0),
IF('TL07'!$B$3=J$3,SUMIF('TL07'!$C$10:$C$224,$C388,'TL07'!$J$10:$J$224),0),
IF('TL07'!$B$229=J$3,SUMIF('TL07'!$C$238:$C$451,$C388,'TL07'!$J$238:$J$451),0),
IF('TL08'!$B$3=J$3,SUMIF('TL08'!$C$10:$C$224,$C388,'TL08'!$J$10:$J$224),0),
IF('TL08'!$B$229=J$3,SUMIF('TL08'!$C$238:$C$451,$C388,'TL08'!$J$238:$J$451),0),
IF('TL09'!$B$3=J$3,SUMIF('TL09'!$C$10:$C$224,$C388,'TL09'!$J$10:$J$224),0),
IF('TL09'!$B$229=J$3,SUMIF('TL09'!$C$238:$C$451,$C388,'TL09'!$J$238:$J$451),0),
IF('TL10'!$B$3=J$3,SUMIF('TL10'!$C$10:$C$224,$C388,'TL10'!$J$10:$J$224),0),
IF('TL10'!$B$229=J$3,SUMIF('TL10'!$C$238:$C$451,$C388,'TL10'!$J$238:$J$451),0),
IF('TL11'!$B$3=J$3,SUMIF('TL11'!$C$10:$C$224,$C388,'TL11'!$J$10:$J$224),0),
IF('TL11'!$B$229=J$3,SUMIF('TL11'!$C$238:$C$451,$C388,'TL11'!$J$238:$J$451),0),
IF('TL12'!$B$3=J$3,SUMIF('TL12'!$C$10:$C$224,$C388,'TL12'!$J$10:$J$224),0),
IF('TL12'!$B$229=J$3,SUMIF('TL12'!$C$238:$C$451,$C388,'TL12'!$J$238:$J$451),0),
IF('TL13'!$B$3=J$3,SUMIF('TL13'!$C$10:$C$224,$C388,'TL13'!$J$10:$J$224),0),
IF('TL13'!$B$229=J$3,SUMIF('TL13'!$C$238:$C$451,$C388,'TL13'!$J$238:$J$451),0),
IF('TL14'!$B$3=J$3,SUMIF('TL14'!$C$10:$C$224,$C388,'TL14'!$J$10:$J$224),0),
IF('TL14'!$B$229=J$3,SUMIF('TL14'!$C$238:$C$451,$C388,'TL14'!$J$238:$J$451),0),
IF('TL15'!$B$3=J$3,SUMIF('TL15'!$C$10:$C$224,$C388,'TL15'!$J$10:$J$224),0),
IF('TL15'!$B$229=J$3,SUMIF('TL15'!$C$238:$C$451,$C388,'TL15'!$J$238:$J$451),0),
IF('TL16'!$B$3=J$3,SUMIF('TL16'!$C$10:$C$224,$C388,'TL16'!$J$10:$J$224),0),
IF('TL16'!$B$229=J$3,SUMIF('TL16'!$C$238:$C$451,$C388,'TL16'!$J$238:$J$451),0),
IF('TL17'!$B$3=J$3,SUMIF('TL17'!$C$10:$C$224,$C388,'TL17'!$J$10:$J$224),0),
IF('TL17'!$B$229=J$3,SUMIF('TL17'!$C$238:$C$451,$C388,'TL17'!$J$238:$J$451),0),
IF('TL18'!$B$3=J$3,SUMIF('TL18'!$C$10:$C$224,$C388,'TL18'!$J$10:$J$224),0),
IF('TL18'!$B$229=J$3,SUMIF('TL18'!$C$238:$C$451,$C388,'TL18'!$J$238:$J$451),0),
IF('TL19'!$B$3=J$3,SUMIF('TL19'!$C$10:$C$224,$C388,'TL19'!$J$10:$J$224),0),
IF('TL19'!$B$229=J$3,SUMIF('TL19'!$C$238:$C$451,$C388,'TL19'!$J$238:$J$451),0)
),0)</f>
        <v>0</v>
      </c>
      <c r="K388" s="9">
        <f>IFERROR(SUM(
IF('TL01'!$B$3=K$3,SUMIF('TL01'!$C$10:$C$224,$C388,'TL01'!$J$10:$J$224),0),
IF('TL01'!$B$229=K$3,SUMIF('TL01'!$C$238:$C$451,$C388,'TL01'!$J$238:$J$451),0),
IF('TL02'!$B$3=K$3,SUMIF('TL02'!$C$10:$C$224,$C388,'TL02'!$J$10:$J$224),0),
IF('TL02'!$B$229=K$3,SUMIF('TL02'!$C$238:$C$451,$C388,'TL02'!$J$238:$J$451),0),
IF('TL03'!$B$3=K$3,SUMIF('TL03'!$C$10:$C$224,$C388,'TL03'!$J$10:$J$224),0),
IF('TL03'!$B$229=K$3,SUMIF('TL03'!$C$238:$C$451,$C388,'TL03'!$J$238:$J$451),0),
IF('TL04'!$B$3=K$3,SUMIF('TL04'!$C$10:$C$224,$C388,'TL04'!$J$10:$J$224),0),
IF('TL04'!$B$229=K$3,SUMIF('TL04'!$C$238:$C$451,$C388,'TL04'!$J$238:$J$451),0),
IF('TL05'!$B$3=K$3,SUMIF('TL05'!$C$10:$C$224,$C388,'TL05'!$J$10:$J$224),0),
IF('TL05'!$B$229=K$3,SUMIF('TL05'!$C$238:$C$451,$C388,'TL05'!$J$238:$J$451),0),
IF('TL06'!$B$3=K$3,SUMIF('TL06'!$C$10:$C$224,$C388,'TL06'!$J$10:$J$224),0),
IF('TL06'!$B$229=K$3,SUMIF('TL06'!$C$238:$C$451,$C388,'TL06'!$J$238:$J$451),0),
IF('TL07'!$B$3=K$3,SUMIF('TL07'!$C$10:$C$224,$C388,'TL07'!$J$10:$J$224),0),
IF('TL07'!$B$229=K$3,SUMIF('TL07'!$C$238:$C$451,$C388,'TL07'!$J$238:$J$451),0),
IF('TL08'!$B$3=K$3,SUMIF('TL08'!$C$10:$C$224,$C388,'TL08'!$J$10:$J$224),0),
IF('TL08'!$B$229=K$3,SUMIF('TL08'!$C$238:$C$451,$C388,'TL08'!$J$238:$J$451),0),
IF('TL09'!$B$3=K$3,SUMIF('TL09'!$C$10:$C$224,$C388,'TL09'!$J$10:$J$224),0),
IF('TL09'!$B$229=K$3,SUMIF('TL09'!$C$238:$C$451,$C388,'TL09'!$J$238:$J$451),0),
IF('TL10'!$B$3=K$3,SUMIF('TL10'!$C$10:$C$224,$C388,'TL10'!$J$10:$J$224),0),
IF('TL10'!$B$229=K$3,SUMIF('TL10'!$C$238:$C$451,$C388,'TL10'!$J$238:$J$451),0),
IF('TL11'!$B$3=K$3,SUMIF('TL11'!$C$10:$C$224,$C388,'TL11'!$J$10:$J$224),0),
IF('TL11'!$B$229=K$3,SUMIF('TL11'!$C$238:$C$451,$C388,'TL11'!$J$238:$J$451),0),
IF('TL12'!$B$3=K$3,SUMIF('TL12'!$C$10:$C$224,$C388,'TL12'!$J$10:$J$224),0),
IF('TL12'!$B$229=K$3,SUMIF('TL12'!$C$238:$C$451,$C388,'TL12'!$J$238:$J$451),0),
IF('TL13'!$B$3=K$3,SUMIF('TL13'!$C$10:$C$224,$C388,'TL13'!$J$10:$J$224),0),
IF('TL13'!$B$229=K$3,SUMIF('TL13'!$C$238:$C$451,$C388,'TL13'!$J$238:$J$451),0),
IF('TL14'!$B$3=K$3,SUMIF('TL14'!$C$10:$C$224,$C388,'TL14'!$J$10:$J$224),0),
IF('TL14'!$B$229=K$3,SUMIF('TL14'!$C$238:$C$451,$C388,'TL14'!$J$238:$J$451),0),
IF('TL15'!$B$3=K$3,SUMIF('TL15'!$C$10:$C$224,$C388,'TL15'!$J$10:$J$224),0),
IF('TL15'!$B$229=K$3,SUMIF('TL15'!$C$238:$C$451,$C388,'TL15'!$J$238:$J$451),0),
IF('TL16'!$B$3=K$3,SUMIF('TL16'!$C$10:$C$224,$C388,'TL16'!$J$10:$J$224),0),
IF('TL16'!$B$229=K$3,SUMIF('TL16'!$C$238:$C$451,$C388,'TL16'!$J$238:$J$451),0),
IF('TL17'!$B$3=K$3,SUMIF('TL17'!$C$10:$C$224,$C388,'TL17'!$J$10:$J$224),0),
IF('TL17'!$B$229=K$3,SUMIF('TL17'!$C$238:$C$451,$C388,'TL17'!$J$238:$J$451),0),
IF('TL18'!$B$3=K$3,SUMIF('TL18'!$C$10:$C$224,$C388,'TL18'!$J$10:$J$224),0),
IF('TL18'!$B$229=K$3,SUMIF('TL18'!$C$238:$C$451,$C388,'TL18'!$J$238:$J$451),0),
IF('TL19'!$B$3=K$3,SUMIF('TL19'!$C$10:$C$224,$C388,'TL19'!$J$10:$J$224),0),
IF('TL19'!$B$229=K$3,SUMIF('TL19'!$C$238:$C$451,$C388,'TL19'!$J$238:$J$451),0)
),0)</f>
        <v>0</v>
      </c>
      <c r="L388" s="9">
        <f>IFERROR(SUM(
IF('TL01'!$B$3=L$3,SUMIF('TL01'!$C$10:$C$224,$C388,'TL01'!$J$10:$J$224),0),
IF('TL01'!$B$229=L$3,SUMIF('TL01'!$C$238:$C$451,$C388,'TL01'!$J$238:$J$451),0),
IF('TL02'!$B$3=L$3,SUMIF('TL02'!$C$10:$C$224,$C388,'TL02'!$J$10:$J$224),0),
IF('TL02'!$B$229=L$3,SUMIF('TL02'!$C$238:$C$451,$C388,'TL02'!$J$238:$J$451),0),
IF('TL03'!$B$3=L$3,SUMIF('TL03'!$C$10:$C$224,$C388,'TL03'!$J$10:$J$224),0),
IF('TL03'!$B$229=L$3,SUMIF('TL03'!$C$238:$C$451,$C388,'TL03'!$J$238:$J$451),0),
IF('TL04'!$B$3=L$3,SUMIF('TL04'!$C$10:$C$224,$C388,'TL04'!$J$10:$J$224),0),
IF('TL04'!$B$229=L$3,SUMIF('TL04'!$C$238:$C$451,$C388,'TL04'!$J$238:$J$451),0),
IF('TL05'!$B$3=L$3,SUMIF('TL05'!$C$10:$C$224,$C388,'TL05'!$J$10:$J$224),0),
IF('TL05'!$B$229=L$3,SUMIF('TL05'!$C$238:$C$451,$C388,'TL05'!$J$238:$J$451),0),
IF('TL06'!$B$3=L$3,SUMIF('TL06'!$C$10:$C$224,$C388,'TL06'!$J$10:$J$224),0),
IF('TL06'!$B$229=L$3,SUMIF('TL06'!$C$238:$C$451,$C388,'TL06'!$J$238:$J$451),0),
IF('TL07'!$B$3=L$3,SUMIF('TL07'!$C$10:$C$224,$C388,'TL07'!$J$10:$J$224),0),
IF('TL07'!$B$229=L$3,SUMIF('TL07'!$C$238:$C$451,$C388,'TL07'!$J$238:$J$451),0),
IF('TL08'!$B$3=L$3,SUMIF('TL08'!$C$10:$C$224,$C388,'TL08'!$J$10:$J$224),0),
IF('TL08'!$B$229=L$3,SUMIF('TL08'!$C$238:$C$451,$C388,'TL08'!$J$238:$J$451),0),
IF('TL09'!$B$3=L$3,SUMIF('TL09'!$C$10:$C$224,$C388,'TL09'!$J$10:$J$224),0),
IF('TL09'!$B$229=L$3,SUMIF('TL09'!$C$238:$C$451,$C388,'TL09'!$J$238:$J$451),0),
IF('TL10'!$B$3=L$3,SUMIF('TL10'!$C$10:$C$224,$C388,'TL10'!$J$10:$J$224),0),
IF('TL10'!$B$229=L$3,SUMIF('TL10'!$C$238:$C$451,$C388,'TL10'!$J$238:$J$451),0),
IF('TL11'!$B$3=L$3,SUMIF('TL11'!$C$10:$C$224,$C388,'TL11'!$J$10:$J$224),0),
IF('TL11'!$B$229=L$3,SUMIF('TL11'!$C$238:$C$451,$C388,'TL11'!$J$238:$J$451),0),
IF('TL12'!$B$3=L$3,SUMIF('TL12'!$C$10:$C$224,$C388,'TL12'!$J$10:$J$224),0),
IF('TL12'!$B$229=L$3,SUMIF('TL12'!$C$238:$C$451,$C388,'TL12'!$J$238:$J$451),0),
IF('TL13'!$B$3=L$3,SUMIF('TL13'!$C$10:$C$224,$C388,'TL13'!$J$10:$J$224),0),
IF('TL13'!$B$229=L$3,SUMIF('TL13'!$C$238:$C$451,$C388,'TL13'!$J$238:$J$451),0),
IF('TL14'!$B$3=L$3,SUMIF('TL14'!$C$10:$C$224,$C388,'TL14'!$J$10:$J$224),0),
IF('TL14'!$B$229=L$3,SUMIF('TL14'!$C$238:$C$451,$C388,'TL14'!$J$238:$J$451),0),
IF('TL15'!$B$3=L$3,SUMIF('TL15'!$C$10:$C$224,$C388,'TL15'!$J$10:$J$224),0),
IF('TL15'!$B$229=L$3,SUMIF('TL15'!$C$238:$C$451,$C388,'TL15'!$J$238:$J$451),0),
IF('TL16'!$B$3=L$3,SUMIF('TL16'!$C$10:$C$224,$C388,'TL16'!$J$10:$J$224),0),
IF('TL16'!$B$229=L$3,SUMIF('TL16'!$C$238:$C$451,$C388,'TL16'!$J$238:$J$451),0),
IF('TL17'!$B$3=L$3,SUMIF('TL17'!$C$10:$C$224,$C388,'TL17'!$J$10:$J$224),0),
IF('TL17'!$B$229=L$3,SUMIF('TL17'!$C$238:$C$451,$C388,'TL17'!$J$238:$J$451),0),
IF('TL18'!$B$3=L$3,SUMIF('TL18'!$C$10:$C$224,$C388,'TL18'!$J$10:$J$224),0),
IF('TL18'!$B$229=L$3,SUMIF('TL18'!$C$238:$C$451,$C388,'TL18'!$J$238:$J$451),0),
IF('TL19'!$B$3=L$3,SUMIF('TL19'!$C$10:$C$224,$C388,'TL19'!$J$10:$J$224),0),
IF('TL19'!$B$229=L$3,SUMIF('TL19'!$C$238:$C$451,$C388,'TL19'!$J$238:$J$451),0)
),0)</f>
        <v>0</v>
      </c>
      <c r="M388" s="9">
        <f>IFERROR(SUM(
IF('TL01'!$B$3=M$3,SUMIF('TL01'!$C$10:$C$224,$C388,'TL01'!$J$10:$J$224),0),
IF('TL01'!$B$229=M$3,SUMIF('TL01'!$C$238:$C$451,$C388,'TL01'!$J$238:$J$451),0),
IF('TL02'!$B$3=M$3,SUMIF('TL02'!$C$10:$C$224,$C388,'TL02'!$J$10:$J$224),0),
IF('TL02'!$B$229=M$3,SUMIF('TL02'!$C$238:$C$451,$C388,'TL02'!$J$238:$J$451),0),
IF('TL03'!$B$3=M$3,SUMIF('TL03'!$C$10:$C$224,$C388,'TL03'!$J$10:$J$224),0),
IF('TL03'!$B$229=M$3,SUMIF('TL03'!$C$238:$C$451,$C388,'TL03'!$J$238:$J$451),0),
IF('TL04'!$B$3=M$3,SUMIF('TL04'!$C$10:$C$224,$C388,'TL04'!$J$10:$J$224),0),
IF('TL04'!$B$229=M$3,SUMIF('TL04'!$C$238:$C$451,$C388,'TL04'!$J$238:$J$451),0),
IF('TL05'!$B$3=M$3,SUMIF('TL05'!$C$10:$C$224,$C388,'TL05'!$J$10:$J$224),0),
IF('TL05'!$B$229=M$3,SUMIF('TL05'!$C$238:$C$451,$C388,'TL05'!$J$238:$J$451),0),
IF('TL06'!$B$3=M$3,SUMIF('TL06'!$C$10:$C$224,$C388,'TL06'!$J$10:$J$224),0),
IF('TL06'!$B$229=M$3,SUMIF('TL06'!$C$238:$C$451,$C388,'TL06'!$J$238:$J$451),0),
IF('TL07'!$B$3=M$3,SUMIF('TL07'!$C$10:$C$224,$C388,'TL07'!$J$10:$J$224),0),
IF('TL07'!$B$229=M$3,SUMIF('TL07'!$C$238:$C$451,$C388,'TL07'!$J$238:$J$451),0),
IF('TL08'!$B$3=M$3,SUMIF('TL08'!$C$10:$C$224,$C388,'TL08'!$J$10:$J$224),0),
IF('TL08'!$B$229=M$3,SUMIF('TL08'!$C$238:$C$451,$C388,'TL08'!$J$238:$J$451),0),
IF('TL09'!$B$3=M$3,SUMIF('TL09'!$C$10:$C$224,$C388,'TL09'!$J$10:$J$224),0),
IF('TL09'!$B$229=M$3,SUMIF('TL09'!$C$238:$C$451,$C388,'TL09'!$J$238:$J$451),0),
IF('TL10'!$B$3=M$3,SUMIF('TL10'!$C$10:$C$224,$C388,'TL10'!$J$10:$J$224),0),
IF('TL10'!$B$229=M$3,SUMIF('TL10'!$C$238:$C$451,$C388,'TL10'!$J$238:$J$451),0),
IF('TL11'!$B$3=M$3,SUMIF('TL11'!$C$10:$C$224,$C388,'TL11'!$J$10:$J$224),0),
IF('TL11'!$B$229=M$3,SUMIF('TL11'!$C$238:$C$451,$C388,'TL11'!$J$238:$J$451),0),
IF('TL12'!$B$3=M$3,SUMIF('TL12'!$C$10:$C$224,$C388,'TL12'!$J$10:$J$224),0),
IF('TL12'!$B$229=M$3,SUMIF('TL12'!$C$238:$C$451,$C388,'TL12'!$J$238:$J$451),0),
IF('TL13'!$B$3=M$3,SUMIF('TL13'!$C$10:$C$224,$C388,'TL13'!$J$10:$J$224),0),
IF('TL13'!$B$229=M$3,SUMIF('TL13'!$C$238:$C$451,$C388,'TL13'!$J$238:$J$451),0),
IF('TL14'!$B$3=M$3,SUMIF('TL14'!$C$10:$C$224,$C388,'TL14'!$J$10:$J$224),0),
IF('TL14'!$B$229=M$3,SUMIF('TL14'!$C$238:$C$451,$C388,'TL14'!$J$238:$J$451),0),
IF('TL15'!$B$3=M$3,SUMIF('TL15'!$C$10:$C$224,$C388,'TL15'!$J$10:$J$224),0),
IF('TL15'!$B$229=M$3,SUMIF('TL15'!$C$238:$C$451,$C388,'TL15'!$J$238:$J$451),0),
IF('TL16'!$B$3=M$3,SUMIF('TL16'!$C$10:$C$224,$C388,'TL16'!$J$10:$J$224),0),
IF('TL16'!$B$229=M$3,SUMIF('TL16'!$C$238:$C$451,$C388,'TL16'!$J$238:$J$451),0),
IF('TL17'!$B$3=M$3,SUMIF('TL17'!$C$10:$C$224,$C388,'TL17'!$J$10:$J$224),0),
IF('TL17'!$B$229=M$3,SUMIF('TL17'!$C$238:$C$451,$C388,'TL17'!$J$238:$J$451),0),
IF('TL18'!$B$3=M$3,SUMIF('TL18'!$C$10:$C$224,$C388,'TL18'!$J$10:$J$224),0),
IF('TL18'!$B$229=M$3,SUMIF('TL18'!$C$238:$C$451,$C388,'TL18'!$J$238:$J$451),0),
IF('TL19'!$B$3=M$3,SUMIF('TL19'!$C$10:$C$224,$C388,'TL19'!$J$10:$J$224),0),
IF('TL19'!$B$229=M$3,SUMIF('TL19'!$C$238:$C$451,$C388,'TL19'!$J$238:$J$451),0)
),0)</f>
        <v>0</v>
      </c>
      <c r="N388" s="9">
        <f>IFERROR(SUM(
IF('TL01'!$B$3=N$3,SUMIF('TL01'!$C$10:$C$224,$C388,'TL01'!$J$10:$J$224),0),
IF('TL01'!$B$229=N$3,SUMIF('TL01'!$C$238:$C$451,$C388,'TL01'!$J$238:$J$451),0),
IF('TL02'!$B$3=N$3,SUMIF('TL02'!$C$10:$C$224,$C388,'TL02'!$J$10:$J$224),0),
IF('TL02'!$B$229=N$3,SUMIF('TL02'!$C$238:$C$451,$C388,'TL02'!$J$238:$J$451),0),
IF('TL03'!$B$3=N$3,SUMIF('TL03'!$C$10:$C$224,$C388,'TL03'!$J$10:$J$224),0),
IF('TL03'!$B$229=N$3,SUMIF('TL03'!$C$238:$C$451,$C388,'TL03'!$J$238:$J$451),0),
IF('TL04'!$B$3=N$3,SUMIF('TL04'!$C$10:$C$224,$C388,'TL04'!$J$10:$J$224),0),
IF('TL04'!$B$229=N$3,SUMIF('TL04'!$C$238:$C$451,$C388,'TL04'!$J$238:$J$451),0),
IF('TL05'!$B$3=N$3,SUMIF('TL05'!$C$10:$C$224,$C388,'TL05'!$J$10:$J$224),0),
IF('TL05'!$B$229=N$3,SUMIF('TL05'!$C$238:$C$451,$C388,'TL05'!$J$238:$J$451),0),
IF('TL06'!$B$3=N$3,SUMIF('TL06'!$C$10:$C$224,$C388,'TL06'!$J$10:$J$224),0),
IF('TL06'!$B$229=N$3,SUMIF('TL06'!$C$238:$C$451,$C388,'TL06'!$J$238:$J$451),0),
IF('TL07'!$B$3=N$3,SUMIF('TL07'!$C$10:$C$224,$C388,'TL07'!$J$10:$J$224),0),
IF('TL07'!$B$229=N$3,SUMIF('TL07'!$C$238:$C$451,$C388,'TL07'!$J$238:$J$451),0),
IF('TL08'!$B$3=N$3,SUMIF('TL08'!$C$10:$C$224,$C388,'TL08'!$J$10:$J$224),0),
IF('TL08'!$B$229=N$3,SUMIF('TL08'!$C$238:$C$451,$C388,'TL08'!$J$238:$J$451),0),
IF('TL09'!$B$3=N$3,SUMIF('TL09'!$C$10:$C$224,$C388,'TL09'!$J$10:$J$224),0),
IF('TL09'!$B$229=N$3,SUMIF('TL09'!$C$238:$C$451,$C388,'TL09'!$J$238:$J$451),0),
IF('TL10'!$B$3=N$3,SUMIF('TL10'!$C$10:$C$224,$C388,'TL10'!$J$10:$J$224),0),
IF('TL10'!$B$229=N$3,SUMIF('TL10'!$C$238:$C$451,$C388,'TL10'!$J$238:$J$451),0),
IF('TL11'!$B$3=N$3,SUMIF('TL11'!$C$10:$C$224,$C388,'TL11'!$J$10:$J$224),0),
IF('TL11'!$B$229=N$3,SUMIF('TL11'!$C$238:$C$451,$C388,'TL11'!$J$238:$J$451),0),
IF('TL12'!$B$3=N$3,SUMIF('TL12'!$C$10:$C$224,$C388,'TL12'!$J$10:$J$224),0),
IF('TL12'!$B$229=N$3,SUMIF('TL12'!$C$238:$C$451,$C388,'TL12'!$J$238:$J$451),0),
IF('TL13'!$B$3=N$3,SUMIF('TL13'!$C$10:$C$224,$C388,'TL13'!$J$10:$J$224),0),
IF('TL13'!$B$229=N$3,SUMIF('TL13'!$C$238:$C$451,$C388,'TL13'!$J$238:$J$451),0),
IF('TL14'!$B$3=N$3,SUMIF('TL14'!$C$10:$C$224,$C388,'TL14'!$J$10:$J$224),0),
IF('TL14'!$B$229=N$3,SUMIF('TL14'!$C$238:$C$451,$C388,'TL14'!$J$238:$J$451),0),
IF('TL15'!$B$3=N$3,SUMIF('TL15'!$C$10:$C$224,$C388,'TL15'!$J$10:$J$224),0),
IF('TL15'!$B$229=N$3,SUMIF('TL15'!$C$238:$C$451,$C388,'TL15'!$J$238:$J$451),0),
IF('TL16'!$B$3=N$3,SUMIF('TL16'!$C$10:$C$224,$C388,'TL16'!$J$10:$J$224),0),
IF('TL16'!$B$229=N$3,SUMIF('TL16'!$C$238:$C$451,$C388,'TL16'!$J$238:$J$451),0),
IF('TL17'!$B$3=N$3,SUMIF('TL17'!$C$10:$C$224,$C388,'TL17'!$J$10:$J$224),0),
IF('TL17'!$B$229=N$3,SUMIF('TL17'!$C$238:$C$451,$C388,'TL17'!$J$238:$J$451),0),
IF('TL18'!$B$3=N$3,SUMIF('TL18'!$C$10:$C$224,$C388,'TL18'!$J$10:$J$224),0),
IF('TL18'!$B$229=N$3,SUMIF('TL18'!$C$238:$C$451,$C388,'TL18'!$J$238:$J$451),0),
IF('TL19'!$B$3=N$3,SUMIF('TL19'!$C$10:$C$224,$C388,'TL19'!$J$10:$J$224),0),
IF('TL19'!$B$229=N$3,SUMIF('TL19'!$C$238:$C$451,$C388,'TL19'!$J$238:$J$451),0)
),0)</f>
        <v>0</v>
      </c>
      <c r="O388" s="9">
        <f>IFERROR(SUM(
IF('TL01'!$B$3=O$3,SUMIF('TL01'!$C$10:$C$224,$C388,'TL01'!$J$10:$J$224),0),
IF('TL01'!$B$229=O$3,SUMIF('TL01'!$C$238:$C$451,$C388,'TL01'!$J$238:$J$451),0),
IF('TL02'!$B$3=O$3,SUMIF('TL02'!$C$10:$C$224,$C388,'TL02'!$J$10:$J$224),0),
IF('TL02'!$B$229=O$3,SUMIF('TL02'!$C$238:$C$451,$C388,'TL02'!$J$238:$J$451),0),
IF('TL03'!$B$3=O$3,SUMIF('TL03'!$C$10:$C$224,$C388,'TL03'!$J$10:$J$224),0),
IF('TL03'!$B$229=O$3,SUMIF('TL03'!$C$238:$C$451,$C388,'TL03'!$J$238:$J$451),0),
IF('TL04'!$B$3=O$3,SUMIF('TL04'!$C$10:$C$224,$C388,'TL04'!$J$10:$J$224),0),
IF('TL04'!$B$229=O$3,SUMIF('TL04'!$C$238:$C$451,$C388,'TL04'!$J$238:$J$451),0),
IF('TL05'!$B$3=O$3,SUMIF('TL05'!$C$10:$C$224,$C388,'TL05'!$J$10:$J$224),0),
IF('TL05'!$B$229=O$3,SUMIF('TL05'!$C$238:$C$451,$C388,'TL05'!$J$238:$J$451),0),
IF('TL06'!$B$3=O$3,SUMIF('TL06'!$C$10:$C$224,$C388,'TL06'!$J$10:$J$224),0),
IF('TL06'!$B$229=O$3,SUMIF('TL06'!$C$238:$C$451,$C388,'TL06'!$J$238:$J$451),0),
IF('TL07'!$B$3=O$3,SUMIF('TL07'!$C$10:$C$224,$C388,'TL07'!$J$10:$J$224),0),
IF('TL07'!$B$229=O$3,SUMIF('TL07'!$C$238:$C$451,$C388,'TL07'!$J$238:$J$451),0),
IF('TL08'!$B$3=O$3,SUMIF('TL08'!$C$10:$C$224,$C388,'TL08'!$J$10:$J$224),0),
IF('TL08'!$B$229=O$3,SUMIF('TL08'!$C$238:$C$451,$C388,'TL08'!$J$238:$J$451),0),
IF('TL09'!$B$3=O$3,SUMIF('TL09'!$C$10:$C$224,$C388,'TL09'!$J$10:$J$224),0),
IF('TL09'!$B$229=O$3,SUMIF('TL09'!$C$238:$C$451,$C388,'TL09'!$J$238:$J$451),0),
IF('TL10'!$B$3=O$3,SUMIF('TL10'!$C$10:$C$224,$C388,'TL10'!$J$10:$J$224),0),
IF('TL10'!$B$229=O$3,SUMIF('TL10'!$C$238:$C$451,$C388,'TL10'!$J$238:$J$451),0),
IF('TL11'!$B$3=O$3,SUMIF('TL11'!$C$10:$C$224,$C388,'TL11'!$J$10:$J$224),0),
IF('TL11'!$B$229=O$3,SUMIF('TL11'!$C$238:$C$451,$C388,'TL11'!$J$238:$J$451),0),
IF('TL12'!$B$3=O$3,SUMIF('TL12'!$C$10:$C$224,$C388,'TL12'!$J$10:$J$224),0),
IF('TL12'!$B$229=O$3,SUMIF('TL12'!$C$238:$C$451,$C388,'TL12'!$J$238:$J$451),0),
IF('TL13'!$B$3=O$3,SUMIF('TL13'!$C$10:$C$224,$C388,'TL13'!$J$10:$J$224),0),
IF('TL13'!$B$229=O$3,SUMIF('TL13'!$C$238:$C$451,$C388,'TL13'!$J$238:$J$451),0),
IF('TL14'!$B$3=O$3,SUMIF('TL14'!$C$10:$C$224,$C388,'TL14'!$J$10:$J$224),0),
IF('TL14'!$B$229=O$3,SUMIF('TL14'!$C$238:$C$451,$C388,'TL14'!$J$238:$J$451),0),
IF('TL15'!$B$3=O$3,SUMIF('TL15'!$C$10:$C$224,$C388,'TL15'!$J$10:$J$224),0),
IF('TL15'!$B$229=O$3,SUMIF('TL15'!$C$238:$C$451,$C388,'TL15'!$J$238:$J$451),0),
IF('TL16'!$B$3=O$3,SUMIF('TL16'!$C$10:$C$224,$C388,'TL16'!$J$10:$J$224),0),
IF('TL16'!$B$229=O$3,SUMIF('TL16'!$C$238:$C$451,$C388,'TL16'!$J$238:$J$451),0),
IF('TL17'!$B$3=O$3,SUMIF('TL17'!$C$10:$C$224,$C388,'TL17'!$J$10:$J$224),0),
IF('TL17'!$B$229=O$3,SUMIF('TL17'!$C$238:$C$451,$C388,'TL17'!$J$238:$J$451),0),
IF('TL18'!$B$3=O$3,SUMIF('TL18'!$C$10:$C$224,$C388,'TL18'!$J$10:$J$224),0),
IF('TL18'!$B$229=O$3,SUMIF('TL18'!$C$238:$C$451,$C388,'TL18'!$J$238:$J$451),0),
IF('TL19'!$B$3=O$3,SUMIF('TL19'!$C$10:$C$224,$C388,'TL19'!$J$10:$J$224),0),
IF('TL19'!$B$229=O$3,SUMIF('TL19'!$C$238:$C$451,$C388,'TL19'!$J$238:$J$451),0)
),0)</f>
        <v>0</v>
      </c>
      <c r="P388" s="9">
        <f>IFERROR(SUM(
IF('TL01'!$B$3=P$3,SUMIF('TL01'!$C$10:$C$224,$C388,'TL01'!$J$10:$J$224),0),
IF('TL01'!$B$229=P$3,SUMIF('TL01'!$C$238:$C$451,$C388,'TL01'!$J$238:$J$451),0),
IF('TL02'!$B$3=P$3,SUMIF('TL02'!$C$10:$C$224,$C388,'TL02'!$J$10:$J$224),0),
IF('TL02'!$B$229=P$3,SUMIF('TL02'!$C$238:$C$451,$C388,'TL02'!$J$238:$J$451),0),
IF('TL03'!$B$3=P$3,SUMIF('TL03'!$C$10:$C$224,$C388,'TL03'!$J$10:$J$224),0),
IF('TL03'!$B$229=P$3,SUMIF('TL03'!$C$238:$C$451,$C388,'TL03'!$J$238:$J$451),0),
IF('TL04'!$B$3=P$3,SUMIF('TL04'!$C$10:$C$224,$C388,'TL04'!$J$10:$J$224),0),
IF('TL04'!$B$229=P$3,SUMIF('TL04'!$C$238:$C$451,$C388,'TL04'!$J$238:$J$451),0),
IF('TL05'!$B$3=P$3,SUMIF('TL05'!$C$10:$C$224,$C388,'TL05'!$J$10:$J$224),0),
IF('TL05'!$B$229=P$3,SUMIF('TL05'!$C$238:$C$451,$C388,'TL05'!$J$238:$J$451),0),
IF('TL06'!$B$3=P$3,SUMIF('TL06'!$C$10:$C$224,$C388,'TL06'!$J$10:$J$224),0),
IF('TL06'!$B$229=P$3,SUMIF('TL06'!$C$238:$C$451,$C388,'TL06'!$J$238:$J$451),0),
IF('TL07'!$B$3=P$3,SUMIF('TL07'!$C$10:$C$224,$C388,'TL07'!$J$10:$J$224),0),
IF('TL07'!$B$229=P$3,SUMIF('TL07'!$C$238:$C$451,$C388,'TL07'!$J$238:$J$451),0),
IF('TL08'!$B$3=P$3,SUMIF('TL08'!$C$10:$C$224,$C388,'TL08'!$J$10:$J$224),0),
IF('TL08'!$B$229=P$3,SUMIF('TL08'!$C$238:$C$451,$C388,'TL08'!$J$238:$J$451),0),
IF('TL09'!$B$3=P$3,SUMIF('TL09'!$C$10:$C$224,$C388,'TL09'!$J$10:$J$224),0),
IF('TL09'!$B$229=P$3,SUMIF('TL09'!$C$238:$C$451,$C388,'TL09'!$J$238:$J$451),0),
IF('TL10'!$B$3=P$3,SUMIF('TL10'!$C$10:$C$224,$C388,'TL10'!$J$10:$J$224),0),
IF('TL10'!$B$229=P$3,SUMIF('TL10'!$C$238:$C$451,$C388,'TL10'!$J$238:$J$451),0),
IF('TL11'!$B$3=P$3,SUMIF('TL11'!$C$10:$C$224,$C388,'TL11'!$J$10:$J$224),0),
IF('TL11'!$B$229=P$3,SUMIF('TL11'!$C$238:$C$451,$C388,'TL11'!$J$238:$J$451),0),
IF('TL12'!$B$3=P$3,SUMIF('TL12'!$C$10:$C$224,$C388,'TL12'!$J$10:$J$224),0),
IF('TL12'!$B$229=P$3,SUMIF('TL12'!$C$238:$C$451,$C388,'TL12'!$J$238:$J$451),0),
IF('TL13'!$B$3=P$3,SUMIF('TL13'!$C$10:$C$224,$C388,'TL13'!$J$10:$J$224),0),
IF('TL13'!$B$229=P$3,SUMIF('TL13'!$C$238:$C$451,$C388,'TL13'!$J$238:$J$451),0),
IF('TL14'!$B$3=P$3,SUMIF('TL14'!$C$10:$C$224,$C388,'TL14'!$J$10:$J$224),0),
IF('TL14'!$B$229=P$3,SUMIF('TL14'!$C$238:$C$451,$C388,'TL14'!$J$238:$J$451),0),
IF('TL15'!$B$3=P$3,SUMIF('TL15'!$C$10:$C$224,$C388,'TL15'!$J$10:$J$224),0),
IF('TL15'!$B$229=P$3,SUMIF('TL15'!$C$238:$C$451,$C388,'TL15'!$J$238:$J$451),0),
IF('TL16'!$B$3=P$3,SUMIF('TL16'!$C$10:$C$224,$C388,'TL16'!$J$10:$J$224),0),
IF('TL16'!$B$229=P$3,SUMIF('TL16'!$C$238:$C$451,$C388,'TL16'!$J$238:$J$451),0),
IF('TL17'!$B$3=P$3,SUMIF('TL17'!$C$10:$C$224,$C388,'TL17'!$J$10:$J$224),0),
IF('TL17'!$B$229=P$3,SUMIF('TL17'!$C$238:$C$451,$C388,'TL17'!$J$238:$J$451),0),
IF('TL18'!$B$3=P$3,SUMIF('TL18'!$C$10:$C$224,$C388,'TL18'!$J$10:$J$224),0),
IF('TL18'!$B$229=P$3,SUMIF('TL18'!$C$238:$C$451,$C388,'TL18'!$J$238:$J$451),0),
IF('TL19'!$B$3=P$3,SUMIF('TL19'!$C$10:$C$224,$C388,'TL19'!$J$10:$J$224),0),
IF('TL19'!$B$229=P$3,SUMIF('TL19'!$C$238:$C$451,$C388,'TL19'!$J$238:$J$451),0)
),0)</f>
        <v>0</v>
      </c>
      <c r="Q388" s="9">
        <f>IFERROR(SUM(
IF('TL01'!$B$3=Q$3,SUMIF('TL01'!$C$10:$C$224,$C388,'TL01'!$J$10:$J$224),0),
IF('TL01'!$B$229=Q$3,SUMIF('TL01'!$C$238:$C$451,$C388,'TL01'!$J$238:$J$451),0),
IF('TL02'!$B$3=Q$3,SUMIF('TL02'!$C$10:$C$224,$C388,'TL02'!$J$10:$J$224),0),
IF('TL02'!$B$229=Q$3,SUMIF('TL02'!$C$238:$C$451,$C388,'TL02'!$J$238:$J$451),0),
IF('TL03'!$B$3=Q$3,SUMIF('TL03'!$C$10:$C$224,$C388,'TL03'!$J$10:$J$224),0),
IF('TL03'!$B$229=Q$3,SUMIF('TL03'!$C$238:$C$451,$C388,'TL03'!$J$238:$J$451),0),
IF('TL04'!$B$3=Q$3,SUMIF('TL04'!$C$10:$C$224,$C388,'TL04'!$J$10:$J$224),0),
IF('TL04'!$B$229=Q$3,SUMIF('TL04'!$C$238:$C$451,$C388,'TL04'!$J$238:$J$451),0),
IF('TL05'!$B$3=Q$3,SUMIF('TL05'!$C$10:$C$224,$C388,'TL05'!$J$10:$J$224),0),
IF('TL05'!$B$229=Q$3,SUMIF('TL05'!$C$238:$C$451,$C388,'TL05'!$J$238:$J$451),0),
IF('TL06'!$B$3=Q$3,SUMIF('TL06'!$C$10:$C$224,$C388,'TL06'!$J$10:$J$224),0),
IF('TL06'!$B$229=Q$3,SUMIF('TL06'!$C$238:$C$451,$C388,'TL06'!$J$238:$J$451),0),
IF('TL07'!$B$3=Q$3,SUMIF('TL07'!$C$10:$C$224,$C388,'TL07'!$J$10:$J$224),0),
IF('TL07'!$B$229=Q$3,SUMIF('TL07'!$C$238:$C$451,$C388,'TL07'!$J$238:$J$451),0),
IF('TL08'!$B$3=Q$3,SUMIF('TL08'!$C$10:$C$224,$C388,'TL08'!$J$10:$J$224),0),
IF('TL08'!$B$229=Q$3,SUMIF('TL08'!$C$238:$C$451,$C388,'TL08'!$J$238:$J$451),0),
IF('TL09'!$B$3=Q$3,SUMIF('TL09'!$C$10:$C$224,$C388,'TL09'!$J$10:$J$224),0),
IF('TL09'!$B$229=Q$3,SUMIF('TL09'!$C$238:$C$451,$C388,'TL09'!$J$238:$J$451),0),
IF('TL10'!$B$3=Q$3,SUMIF('TL10'!$C$10:$C$224,$C388,'TL10'!$J$10:$J$224),0),
IF('TL10'!$B$229=Q$3,SUMIF('TL10'!$C$238:$C$451,$C388,'TL10'!$J$238:$J$451),0),
IF('TL11'!$B$3=Q$3,SUMIF('TL11'!$C$10:$C$224,$C388,'TL11'!$J$10:$J$224),0),
IF('TL11'!$B$229=Q$3,SUMIF('TL11'!$C$238:$C$451,$C388,'TL11'!$J$238:$J$451),0),
IF('TL12'!$B$3=Q$3,SUMIF('TL12'!$C$10:$C$224,$C388,'TL12'!$J$10:$J$224),0),
IF('TL12'!$B$229=Q$3,SUMIF('TL12'!$C$238:$C$451,$C388,'TL12'!$J$238:$J$451),0),
IF('TL13'!$B$3=Q$3,SUMIF('TL13'!$C$10:$C$224,$C388,'TL13'!$J$10:$J$224),0),
IF('TL13'!$B$229=Q$3,SUMIF('TL13'!$C$238:$C$451,$C388,'TL13'!$J$238:$J$451),0),
IF('TL14'!$B$3=Q$3,SUMIF('TL14'!$C$10:$C$224,$C388,'TL14'!$J$10:$J$224),0),
IF('TL14'!$B$229=Q$3,SUMIF('TL14'!$C$238:$C$451,$C388,'TL14'!$J$238:$J$451),0),
IF('TL15'!$B$3=Q$3,SUMIF('TL15'!$C$10:$C$224,$C388,'TL15'!$J$10:$J$224),0),
IF('TL15'!$B$229=Q$3,SUMIF('TL15'!$C$238:$C$451,$C388,'TL15'!$J$238:$J$451),0),
IF('TL16'!$B$3=Q$3,SUMIF('TL16'!$C$10:$C$224,$C388,'TL16'!$J$10:$J$224),0),
IF('TL16'!$B$229=Q$3,SUMIF('TL16'!$C$238:$C$451,$C388,'TL16'!$J$238:$J$451),0),
IF('TL17'!$B$3=Q$3,SUMIF('TL17'!$C$10:$C$224,$C388,'TL17'!$J$10:$J$224),0),
IF('TL17'!$B$229=Q$3,SUMIF('TL17'!$C$238:$C$451,$C388,'TL17'!$J$238:$J$451),0),
IF('TL18'!$B$3=Q$3,SUMIF('TL18'!$C$10:$C$224,$C388,'TL18'!$J$10:$J$224),0),
IF('TL18'!$B$229=Q$3,SUMIF('TL18'!$C$238:$C$451,$C388,'TL18'!$J$238:$J$451),0),
IF('TL19'!$B$3=Q$3,SUMIF('TL19'!$C$10:$C$224,$C388,'TL19'!$J$10:$J$224),0),
IF('TL19'!$B$229=Q$3,SUMIF('TL19'!$C$238:$C$451,$C388,'TL19'!$J$238:$J$451),0)
),0)</f>
        <v>0</v>
      </c>
      <c r="R388" s="9">
        <f>IFERROR(
SUM(
SUMIF('TL01'!C:C,C388,'TL01'!J:J),
SUMIF('TL02'!C:C,C388,'TL02'!J:J),
SUMIF('TL03'!C:C,C388,'TL03'!J:J),
SUMIF('TL04'!C:C,C388,'TL04'!J:J),
SUMIF('TL05'!C:C,C388,'TL05'!J:J),
SUMIF('TL06'!C:C,C388,'TL06'!J:J),
SUMIF('TL07'!C:C,C388,'TL07'!J:J),
SUMIF('TL08'!C:C,C388,'TL08'!J:J),
SUMIF('TL09'!C:C,C388,'TL09'!J:J),
SUMIF('TL10'!C:C,C388,'TL10'!J:J),
SUMIF('TL11'!C:C,C388,'TL11'!J:J),
SUMIF('TL12'!C:C,C388,'TL12'!J:J),
SUMIF('TL13'!C:C,C388,'TL13'!J:J),
SUMIF('TL14'!C:C,C388,'TL14'!J:J),
SUMIF('TL15'!C:C,C388,'TL15'!J:J),
SUMIF('TL16'!C:C,C388,'TL16'!J:J),
SUMIF('TL17'!C:C,C388,'TL17'!J:J),
SUMIF('TL18'!C:C,C388,'TL18'!J:J),SUMIF('TL19'!C:C,C388,'TL19'!J:J))
,0)</f>
        <v>0</v>
      </c>
      <c r="S388" s="17">
        <f>IFERROR(__xludf.DUMMYFUNCTION("IFERROR(VLOOKUP(C388,
IMPORTRANGE(""1wULbzX32WdYsx-lj2U3uUNBBe2INVIRDtcK0d-Dvl90"",
""26-27!C:G""),
5,
FALSE),
"""")"),4.63)</f>
        <v>4.63</v>
      </c>
      <c r="T388" s="9"/>
      <c r="U388" s="92">
        <f t="shared" si="2"/>
        <v>0</v>
      </c>
      <c r="V388" s="93">
        <f t="shared" si="3"/>
        <v>0</v>
      </c>
    </row>
    <row r="389" ht="15.75" hidden="1" customHeight="1">
      <c r="A389" s="4" t="s">
        <v>1071</v>
      </c>
      <c r="B389" s="4" t="s">
        <v>4</v>
      </c>
      <c r="C389" s="130" t="s">
        <v>1131</v>
      </c>
      <c r="D389" s="132" t="s">
        <v>1119</v>
      </c>
      <c r="E389" s="9"/>
      <c r="F389" s="4"/>
      <c r="G389" s="90" t="str">
        <f t="shared" si="5"/>
        <v>📄 Ver bula</v>
      </c>
      <c r="H389" s="9"/>
      <c r="I389" s="1"/>
      <c r="J389" s="9">
        <f>IFERROR(SUM(
IF('TL01'!$B$3=J$3,SUMIF('TL01'!$C$10:$C$224,$C389,'TL01'!$J$10:$J$224),0),
IF('TL01'!$B$229=J$3,SUMIF('TL01'!$C$238:$C$451,$C389,'TL01'!$J$238:$J$451),0),
IF('TL02'!$B$3=J$3,SUMIF('TL02'!$C$10:$C$224,$C389,'TL02'!$J$10:$J$224),0),
IF('TL02'!$B$229=J$3,SUMIF('TL02'!$C$238:$C$451,$C389,'TL02'!$J$238:$J$451),0),
IF('TL03'!$B$3=J$3,SUMIF('TL03'!$C$10:$C$224,$C389,'TL03'!$J$10:$J$224),0),
IF('TL03'!$B$229=J$3,SUMIF('TL03'!$C$238:$C$451,$C389,'TL03'!$J$238:$J$451),0),
IF('TL04'!$B$3=J$3,SUMIF('TL04'!$C$10:$C$224,$C389,'TL04'!$J$10:$J$224),0),
IF('TL04'!$B$229=J$3,SUMIF('TL04'!$C$238:$C$451,$C389,'TL04'!$J$238:$J$451),0),
IF('TL05'!$B$3=J$3,SUMIF('TL05'!$C$10:$C$224,$C389,'TL05'!$J$10:$J$224),0),
IF('TL05'!$B$229=J$3,SUMIF('TL05'!$C$238:$C$451,$C389,'TL05'!$J$238:$J$451),0),
IF('TL06'!$B$3=J$3,SUMIF('TL06'!$C$10:$C$224,$C389,'TL06'!$J$10:$J$224),0),
IF('TL06'!$B$229=J$3,SUMIF('TL06'!$C$238:$C$451,$C389,'TL06'!$J$238:$J$451),0),
IF('TL07'!$B$3=J$3,SUMIF('TL07'!$C$10:$C$224,$C389,'TL07'!$J$10:$J$224),0),
IF('TL07'!$B$229=J$3,SUMIF('TL07'!$C$238:$C$451,$C389,'TL07'!$J$238:$J$451),0),
IF('TL08'!$B$3=J$3,SUMIF('TL08'!$C$10:$C$224,$C389,'TL08'!$J$10:$J$224),0),
IF('TL08'!$B$229=J$3,SUMIF('TL08'!$C$238:$C$451,$C389,'TL08'!$J$238:$J$451),0),
IF('TL09'!$B$3=J$3,SUMIF('TL09'!$C$10:$C$224,$C389,'TL09'!$J$10:$J$224),0),
IF('TL09'!$B$229=J$3,SUMIF('TL09'!$C$238:$C$451,$C389,'TL09'!$J$238:$J$451),0),
IF('TL10'!$B$3=J$3,SUMIF('TL10'!$C$10:$C$224,$C389,'TL10'!$J$10:$J$224),0),
IF('TL10'!$B$229=J$3,SUMIF('TL10'!$C$238:$C$451,$C389,'TL10'!$J$238:$J$451),0),
IF('TL11'!$B$3=J$3,SUMIF('TL11'!$C$10:$C$224,$C389,'TL11'!$J$10:$J$224),0),
IF('TL11'!$B$229=J$3,SUMIF('TL11'!$C$238:$C$451,$C389,'TL11'!$J$238:$J$451),0),
IF('TL12'!$B$3=J$3,SUMIF('TL12'!$C$10:$C$224,$C389,'TL12'!$J$10:$J$224),0),
IF('TL12'!$B$229=J$3,SUMIF('TL12'!$C$238:$C$451,$C389,'TL12'!$J$238:$J$451),0),
IF('TL13'!$B$3=J$3,SUMIF('TL13'!$C$10:$C$224,$C389,'TL13'!$J$10:$J$224),0),
IF('TL13'!$B$229=J$3,SUMIF('TL13'!$C$238:$C$451,$C389,'TL13'!$J$238:$J$451),0),
IF('TL14'!$B$3=J$3,SUMIF('TL14'!$C$10:$C$224,$C389,'TL14'!$J$10:$J$224),0),
IF('TL14'!$B$229=J$3,SUMIF('TL14'!$C$238:$C$451,$C389,'TL14'!$J$238:$J$451),0),
IF('TL15'!$B$3=J$3,SUMIF('TL15'!$C$10:$C$224,$C389,'TL15'!$J$10:$J$224),0),
IF('TL15'!$B$229=J$3,SUMIF('TL15'!$C$238:$C$451,$C389,'TL15'!$J$238:$J$451),0),
IF('TL16'!$B$3=J$3,SUMIF('TL16'!$C$10:$C$224,$C389,'TL16'!$J$10:$J$224),0),
IF('TL16'!$B$229=J$3,SUMIF('TL16'!$C$238:$C$451,$C389,'TL16'!$J$238:$J$451),0),
IF('TL17'!$B$3=J$3,SUMIF('TL17'!$C$10:$C$224,$C389,'TL17'!$J$10:$J$224),0),
IF('TL17'!$B$229=J$3,SUMIF('TL17'!$C$238:$C$451,$C389,'TL17'!$J$238:$J$451),0),
IF('TL18'!$B$3=J$3,SUMIF('TL18'!$C$10:$C$224,$C389,'TL18'!$J$10:$J$224),0),
IF('TL18'!$B$229=J$3,SUMIF('TL18'!$C$238:$C$451,$C389,'TL18'!$J$238:$J$451),0),
IF('TL19'!$B$3=J$3,SUMIF('TL19'!$C$10:$C$224,$C389,'TL19'!$J$10:$J$224),0),
IF('TL19'!$B$229=J$3,SUMIF('TL19'!$C$238:$C$451,$C389,'TL19'!$J$238:$J$451),0)
),0)</f>
        <v>0</v>
      </c>
      <c r="K389" s="9">
        <f>IFERROR(SUM(
IF('TL01'!$B$3=K$3,SUMIF('TL01'!$C$10:$C$224,$C389,'TL01'!$J$10:$J$224),0),
IF('TL01'!$B$229=K$3,SUMIF('TL01'!$C$238:$C$451,$C389,'TL01'!$J$238:$J$451),0),
IF('TL02'!$B$3=K$3,SUMIF('TL02'!$C$10:$C$224,$C389,'TL02'!$J$10:$J$224),0),
IF('TL02'!$B$229=K$3,SUMIF('TL02'!$C$238:$C$451,$C389,'TL02'!$J$238:$J$451),0),
IF('TL03'!$B$3=K$3,SUMIF('TL03'!$C$10:$C$224,$C389,'TL03'!$J$10:$J$224),0),
IF('TL03'!$B$229=K$3,SUMIF('TL03'!$C$238:$C$451,$C389,'TL03'!$J$238:$J$451),0),
IF('TL04'!$B$3=K$3,SUMIF('TL04'!$C$10:$C$224,$C389,'TL04'!$J$10:$J$224),0),
IF('TL04'!$B$229=K$3,SUMIF('TL04'!$C$238:$C$451,$C389,'TL04'!$J$238:$J$451),0),
IF('TL05'!$B$3=K$3,SUMIF('TL05'!$C$10:$C$224,$C389,'TL05'!$J$10:$J$224),0),
IF('TL05'!$B$229=K$3,SUMIF('TL05'!$C$238:$C$451,$C389,'TL05'!$J$238:$J$451),0),
IF('TL06'!$B$3=K$3,SUMIF('TL06'!$C$10:$C$224,$C389,'TL06'!$J$10:$J$224),0),
IF('TL06'!$B$229=K$3,SUMIF('TL06'!$C$238:$C$451,$C389,'TL06'!$J$238:$J$451),0),
IF('TL07'!$B$3=K$3,SUMIF('TL07'!$C$10:$C$224,$C389,'TL07'!$J$10:$J$224),0),
IF('TL07'!$B$229=K$3,SUMIF('TL07'!$C$238:$C$451,$C389,'TL07'!$J$238:$J$451),0),
IF('TL08'!$B$3=K$3,SUMIF('TL08'!$C$10:$C$224,$C389,'TL08'!$J$10:$J$224),0),
IF('TL08'!$B$229=K$3,SUMIF('TL08'!$C$238:$C$451,$C389,'TL08'!$J$238:$J$451),0),
IF('TL09'!$B$3=K$3,SUMIF('TL09'!$C$10:$C$224,$C389,'TL09'!$J$10:$J$224),0),
IF('TL09'!$B$229=K$3,SUMIF('TL09'!$C$238:$C$451,$C389,'TL09'!$J$238:$J$451),0),
IF('TL10'!$B$3=K$3,SUMIF('TL10'!$C$10:$C$224,$C389,'TL10'!$J$10:$J$224),0),
IF('TL10'!$B$229=K$3,SUMIF('TL10'!$C$238:$C$451,$C389,'TL10'!$J$238:$J$451),0),
IF('TL11'!$B$3=K$3,SUMIF('TL11'!$C$10:$C$224,$C389,'TL11'!$J$10:$J$224),0),
IF('TL11'!$B$229=K$3,SUMIF('TL11'!$C$238:$C$451,$C389,'TL11'!$J$238:$J$451),0),
IF('TL12'!$B$3=K$3,SUMIF('TL12'!$C$10:$C$224,$C389,'TL12'!$J$10:$J$224),0),
IF('TL12'!$B$229=K$3,SUMIF('TL12'!$C$238:$C$451,$C389,'TL12'!$J$238:$J$451),0),
IF('TL13'!$B$3=K$3,SUMIF('TL13'!$C$10:$C$224,$C389,'TL13'!$J$10:$J$224),0),
IF('TL13'!$B$229=K$3,SUMIF('TL13'!$C$238:$C$451,$C389,'TL13'!$J$238:$J$451),0),
IF('TL14'!$B$3=K$3,SUMIF('TL14'!$C$10:$C$224,$C389,'TL14'!$J$10:$J$224),0),
IF('TL14'!$B$229=K$3,SUMIF('TL14'!$C$238:$C$451,$C389,'TL14'!$J$238:$J$451),0),
IF('TL15'!$B$3=K$3,SUMIF('TL15'!$C$10:$C$224,$C389,'TL15'!$J$10:$J$224),0),
IF('TL15'!$B$229=K$3,SUMIF('TL15'!$C$238:$C$451,$C389,'TL15'!$J$238:$J$451),0),
IF('TL16'!$B$3=K$3,SUMIF('TL16'!$C$10:$C$224,$C389,'TL16'!$J$10:$J$224),0),
IF('TL16'!$B$229=K$3,SUMIF('TL16'!$C$238:$C$451,$C389,'TL16'!$J$238:$J$451),0),
IF('TL17'!$B$3=K$3,SUMIF('TL17'!$C$10:$C$224,$C389,'TL17'!$J$10:$J$224),0),
IF('TL17'!$B$229=K$3,SUMIF('TL17'!$C$238:$C$451,$C389,'TL17'!$J$238:$J$451),0),
IF('TL18'!$B$3=K$3,SUMIF('TL18'!$C$10:$C$224,$C389,'TL18'!$J$10:$J$224),0),
IF('TL18'!$B$229=K$3,SUMIF('TL18'!$C$238:$C$451,$C389,'TL18'!$J$238:$J$451),0),
IF('TL19'!$B$3=K$3,SUMIF('TL19'!$C$10:$C$224,$C389,'TL19'!$J$10:$J$224),0),
IF('TL19'!$B$229=K$3,SUMIF('TL19'!$C$238:$C$451,$C389,'TL19'!$J$238:$J$451),0)
),0)</f>
        <v>0</v>
      </c>
      <c r="L389" s="9">
        <f>IFERROR(SUM(
IF('TL01'!$B$3=L$3,SUMIF('TL01'!$C$10:$C$224,$C389,'TL01'!$J$10:$J$224),0),
IF('TL01'!$B$229=L$3,SUMIF('TL01'!$C$238:$C$451,$C389,'TL01'!$J$238:$J$451),0),
IF('TL02'!$B$3=L$3,SUMIF('TL02'!$C$10:$C$224,$C389,'TL02'!$J$10:$J$224),0),
IF('TL02'!$B$229=L$3,SUMIF('TL02'!$C$238:$C$451,$C389,'TL02'!$J$238:$J$451),0),
IF('TL03'!$B$3=L$3,SUMIF('TL03'!$C$10:$C$224,$C389,'TL03'!$J$10:$J$224),0),
IF('TL03'!$B$229=L$3,SUMIF('TL03'!$C$238:$C$451,$C389,'TL03'!$J$238:$J$451),0),
IF('TL04'!$B$3=L$3,SUMIF('TL04'!$C$10:$C$224,$C389,'TL04'!$J$10:$J$224),0),
IF('TL04'!$B$229=L$3,SUMIF('TL04'!$C$238:$C$451,$C389,'TL04'!$J$238:$J$451),0),
IF('TL05'!$B$3=L$3,SUMIF('TL05'!$C$10:$C$224,$C389,'TL05'!$J$10:$J$224),0),
IF('TL05'!$B$229=L$3,SUMIF('TL05'!$C$238:$C$451,$C389,'TL05'!$J$238:$J$451),0),
IF('TL06'!$B$3=L$3,SUMIF('TL06'!$C$10:$C$224,$C389,'TL06'!$J$10:$J$224),0),
IF('TL06'!$B$229=L$3,SUMIF('TL06'!$C$238:$C$451,$C389,'TL06'!$J$238:$J$451),0),
IF('TL07'!$B$3=L$3,SUMIF('TL07'!$C$10:$C$224,$C389,'TL07'!$J$10:$J$224),0),
IF('TL07'!$B$229=L$3,SUMIF('TL07'!$C$238:$C$451,$C389,'TL07'!$J$238:$J$451),0),
IF('TL08'!$B$3=L$3,SUMIF('TL08'!$C$10:$C$224,$C389,'TL08'!$J$10:$J$224),0),
IF('TL08'!$B$229=L$3,SUMIF('TL08'!$C$238:$C$451,$C389,'TL08'!$J$238:$J$451),0),
IF('TL09'!$B$3=L$3,SUMIF('TL09'!$C$10:$C$224,$C389,'TL09'!$J$10:$J$224),0),
IF('TL09'!$B$229=L$3,SUMIF('TL09'!$C$238:$C$451,$C389,'TL09'!$J$238:$J$451),0),
IF('TL10'!$B$3=L$3,SUMIF('TL10'!$C$10:$C$224,$C389,'TL10'!$J$10:$J$224),0),
IF('TL10'!$B$229=L$3,SUMIF('TL10'!$C$238:$C$451,$C389,'TL10'!$J$238:$J$451),0),
IF('TL11'!$B$3=L$3,SUMIF('TL11'!$C$10:$C$224,$C389,'TL11'!$J$10:$J$224),0),
IF('TL11'!$B$229=L$3,SUMIF('TL11'!$C$238:$C$451,$C389,'TL11'!$J$238:$J$451),0),
IF('TL12'!$B$3=L$3,SUMIF('TL12'!$C$10:$C$224,$C389,'TL12'!$J$10:$J$224),0),
IF('TL12'!$B$229=L$3,SUMIF('TL12'!$C$238:$C$451,$C389,'TL12'!$J$238:$J$451),0),
IF('TL13'!$B$3=L$3,SUMIF('TL13'!$C$10:$C$224,$C389,'TL13'!$J$10:$J$224),0),
IF('TL13'!$B$229=L$3,SUMIF('TL13'!$C$238:$C$451,$C389,'TL13'!$J$238:$J$451),0),
IF('TL14'!$B$3=L$3,SUMIF('TL14'!$C$10:$C$224,$C389,'TL14'!$J$10:$J$224),0),
IF('TL14'!$B$229=L$3,SUMIF('TL14'!$C$238:$C$451,$C389,'TL14'!$J$238:$J$451),0),
IF('TL15'!$B$3=L$3,SUMIF('TL15'!$C$10:$C$224,$C389,'TL15'!$J$10:$J$224),0),
IF('TL15'!$B$229=L$3,SUMIF('TL15'!$C$238:$C$451,$C389,'TL15'!$J$238:$J$451),0),
IF('TL16'!$B$3=L$3,SUMIF('TL16'!$C$10:$C$224,$C389,'TL16'!$J$10:$J$224),0),
IF('TL16'!$B$229=L$3,SUMIF('TL16'!$C$238:$C$451,$C389,'TL16'!$J$238:$J$451),0),
IF('TL17'!$B$3=L$3,SUMIF('TL17'!$C$10:$C$224,$C389,'TL17'!$J$10:$J$224),0),
IF('TL17'!$B$229=L$3,SUMIF('TL17'!$C$238:$C$451,$C389,'TL17'!$J$238:$J$451),0),
IF('TL18'!$B$3=L$3,SUMIF('TL18'!$C$10:$C$224,$C389,'TL18'!$J$10:$J$224),0),
IF('TL18'!$B$229=L$3,SUMIF('TL18'!$C$238:$C$451,$C389,'TL18'!$J$238:$J$451),0),
IF('TL19'!$B$3=L$3,SUMIF('TL19'!$C$10:$C$224,$C389,'TL19'!$J$10:$J$224),0),
IF('TL19'!$B$229=L$3,SUMIF('TL19'!$C$238:$C$451,$C389,'TL19'!$J$238:$J$451),0)
),0)</f>
        <v>0</v>
      </c>
      <c r="M389" s="9">
        <f>IFERROR(SUM(
IF('TL01'!$B$3=M$3,SUMIF('TL01'!$C$10:$C$224,$C389,'TL01'!$J$10:$J$224),0),
IF('TL01'!$B$229=M$3,SUMIF('TL01'!$C$238:$C$451,$C389,'TL01'!$J$238:$J$451),0),
IF('TL02'!$B$3=M$3,SUMIF('TL02'!$C$10:$C$224,$C389,'TL02'!$J$10:$J$224),0),
IF('TL02'!$B$229=M$3,SUMIF('TL02'!$C$238:$C$451,$C389,'TL02'!$J$238:$J$451),0),
IF('TL03'!$B$3=M$3,SUMIF('TL03'!$C$10:$C$224,$C389,'TL03'!$J$10:$J$224),0),
IF('TL03'!$B$229=M$3,SUMIF('TL03'!$C$238:$C$451,$C389,'TL03'!$J$238:$J$451),0),
IF('TL04'!$B$3=M$3,SUMIF('TL04'!$C$10:$C$224,$C389,'TL04'!$J$10:$J$224),0),
IF('TL04'!$B$229=M$3,SUMIF('TL04'!$C$238:$C$451,$C389,'TL04'!$J$238:$J$451),0),
IF('TL05'!$B$3=M$3,SUMIF('TL05'!$C$10:$C$224,$C389,'TL05'!$J$10:$J$224),0),
IF('TL05'!$B$229=M$3,SUMIF('TL05'!$C$238:$C$451,$C389,'TL05'!$J$238:$J$451),0),
IF('TL06'!$B$3=M$3,SUMIF('TL06'!$C$10:$C$224,$C389,'TL06'!$J$10:$J$224),0),
IF('TL06'!$B$229=M$3,SUMIF('TL06'!$C$238:$C$451,$C389,'TL06'!$J$238:$J$451),0),
IF('TL07'!$B$3=M$3,SUMIF('TL07'!$C$10:$C$224,$C389,'TL07'!$J$10:$J$224),0),
IF('TL07'!$B$229=M$3,SUMIF('TL07'!$C$238:$C$451,$C389,'TL07'!$J$238:$J$451),0),
IF('TL08'!$B$3=M$3,SUMIF('TL08'!$C$10:$C$224,$C389,'TL08'!$J$10:$J$224),0),
IF('TL08'!$B$229=M$3,SUMIF('TL08'!$C$238:$C$451,$C389,'TL08'!$J$238:$J$451),0),
IF('TL09'!$B$3=M$3,SUMIF('TL09'!$C$10:$C$224,$C389,'TL09'!$J$10:$J$224),0),
IF('TL09'!$B$229=M$3,SUMIF('TL09'!$C$238:$C$451,$C389,'TL09'!$J$238:$J$451),0),
IF('TL10'!$B$3=M$3,SUMIF('TL10'!$C$10:$C$224,$C389,'TL10'!$J$10:$J$224),0),
IF('TL10'!$B$229=M$3,SUMIF('TL10'!$C$238:$C$451,$C389,'TL10'!$J$238:$J$451),0),
IF('TL11'!$B$3=M$3,SUMIF('TL11'!$C$10:$C$224,$C389,'TL11'!$J$10:$J$224),0),
IF('TL11'!$B$229=M$3,SUMIF('TL11'!$C$238:$C$451,$C389,'TL11'!$J$238:$J$451),0),
IF('TL12'!$B$3=M$3,SUMIF('TL12'!$C$10:$C$224,$C389,'TL12'!$J$10:$J$224),0),
IF('TL12'!$B$229=M$3,SUMIF('TL12'!$C$238:$C$451,$C389,'TL12'!$J$238:$J$451),0),
IF('TL13'!$B$3=M$3,SUMIF('TL13'!$C$10:$C$224,$C389,'TL13'!$J$10:$J$224),0),
IF('TL13'!$B$229=M$3,SUMIF('TL13'!$C$238:$C$451,$C389,'TL13'!$J$238:$J$451),0),
IF('TL14'!$B$3=M$3,SUMIF('TL14'!$C$10:$C$224,$C389,'TL14'!$J$10:$J$224),0),
IF('TL14'!$B$229=M$3,SUMIF('TL14'!$C$238:$C$451,$C389,'TL14'!$J$238:$J$451),0),
IF('TL15'!$B$3=M$3,SUMIF('TL15'!$C$10:$C$224,$C389,'TL15'!$J$10:$J$224),0),
IF('TL15'!$B$229=M$3,SUMIF('TL15'!$C$238:$C$451,$C389,'TL15'!$J$238:$J$451),0),
IF('TL16'!$B$3=M$3,SUMIF('TL16'!$C$10:$C$224,$C389,'TL16'!$J$10:$J$224),0),
IF('TL16'!$B$229=M$3,SUMIF('TL16'!$C$238:$C$451,$C389,'TL16'!$J$238:$J$451),0),
IF('TL17'!$B$3=M$3,SUMIF('TL17'!$C$10:$C$224,$C389,'TL17'!$J$10:$J$224),0),
IF('TL17'!$B$229=M$3,SUMIF('TL17'!$C$238:$C$451,$C389,'TL17'!$J$238:$J$451),0),
IF('TL18'!$B$3=M$3,SUMIF('TL18'!$C$10:$C$224,$C389,'TL18'!$J$10:$J$224),0),
IF('TL18'!$B$229=M$3,SUMIF('TL18'!$C$238:$C$451,$C389,'TL18'!$J$238:$J$451),0),
IF('TL19'!$B$3=M$3,SUMIF('TL19'!$C$10:$C$224,$C389,'TL19'!$J$10:$J$224),0),
IF('TL19'!$B$229=M$3,SUMIF('TL19'!$C$238:$C$451,$C389,'TL19'!$J$238:$J$451),0)
),0)</f>
        <v>0</v>
      </c>
      <c r="N389" s="9">
        <f>IFERROR(SUM(
IF('TL01'!$B$3=N$3,SUMIF('TL01'!$C$10:$C$224,$C389,'TL01'!$J$10:$J$224),0),
IF('TL01'!$B$229=N$3,SUMIF('TL01'!$C$238:$C$451,$C389,'TL01'!$J$238:$J$451),0),
IF('TL02'!$B$3=N$3,SUMIF('TL02'!$C$10:$C$224,$C389,'TL02'!$J$10:$J$224),0),
IF('TL02'!$B$229=N$3,SUMIF('TL02'!$C$238:$C$451,$C389,'TL02'!$J$238:$J$451),0),
IF('TL03'!$B$3=N$3,SUMIF('TL03'!$C$10:$C$224,$C389,'TL03'!$J$10:$J$224),0),
IF('TL03'!$B$229=N$3,SUMIF('TL03'!$C$238:$C$451,$C389,'TL03'!$J$238:$J$451),0),
IF('TL04'!$B$3=N$3,SUMIF('TL04'!$C$10:$C$224,$C389,'TL04'!$J$10:$J$224),0),
IF('TL04'!$B$229=N$3,SUMIF('TL04'!$C$238:$C$451,$C389,'TL04'!$J$238:$J$451),0),
IF('TL05'!$B$3=N$3,SUMIF('TL05'!$C$10:$C$224,$C389,'TL05'!$J$10:$J$224),0),
IF('TL05'!$B$229=N$3,SUMIF('TL05'!$C$238:$C$451,$C389,'TL05'!$J$238:$J$451),0),
IF('TL06'!$B$3=N$3,SUMIF('TL06'!$C$10:$C$224,$C389,'TL06'!$J$10:$J$224),0),
IF('TL06'!$B$229=N$3,SUMIF('TL06'!$C$238:$C$451,$C389,'TL06'!$J$238:$J$451),0),
IF('TL07'!$B$3=N$3,SUMIF('TL07'!$C$10:$C$224,$C389,'TL07'!$J$10:$J$224),0),
IF('TL07'!$B$229=N$3,SUMIF('TL07'!$C$238:$C$451,$C389,'TL07'!$J$238:$J$451),0),
IF('TL08'!$B$3=N$3,SUMIF('TL08'!$C$10:$C$224,$C389,'TL08'!$J$10:$J$224),0),
IF('TL08'!$B$229=N$3,SUMIF('TL08'!$C$238:$C$451,$C389,'TL08'!$J$238:$J$451),0),
IF('TL09'!$B$3=N$3,SUMIF('TL09'!$C$10:$C$224,$C389,'TL09'!$J$10:$J$224),0),
IF('TL09'!$B$229=N$3,SUMIF('TL09'!$C$238:$C$451,$C389,'TL09'!$J$238:$J$451),0),
IF('TL10'!$B$3=N$3,SUMIF('TL10'!$C$10:$C$224,$C389,'TL10'!$J$10:$J$224),0),
IF('TL10'!$B$229=N$3,SUMIF('TL10'!$C$238:$C$451,$C389,'TL10'!$J$238:$J$451),0),
IF('TL11'!$B$3=N$3,SUMIF('TL11'!$C$10:$C$224,$C389,'TL11'!$J$10:$J$224),0),
IF('TL11'!$B$229=N$3,SUMIF('TL11'!$C$238:$C$451,$C389,'TL11'!$J$238:$J$451),0),
IF('TL12'!$B$3=N$3,SUMIF('TL12'!$C$10:$C$224,$C389,'TL12'!$J$10:$J$224),0),
IF('TL12'!$B$229=N$3,SUMIF('TL12'!$C$238:$C$451,$C389,'TL12'!$J$238:$J$451),0),
IF('TL13'!$B$3=N$3,SUMIF('TL13'!$C$10:$C$224,$C389,'TL13'!$J$10:$J$224),0),
IF('TL13'!$B$229=N$3,SUMIF('TL13'!$C$238:$C$451,$C389,'TL13'!$J$238:$J$451),0),
IF('TL14'!$B$3=N$3,SUMIF('TL14'!$C$10:$C$224,$C389,'TL14'!$J$10:$J$224),0),
IF('TL14'!$B$229=N$3,SUMIF('TL14'!$C$238:$C$451,$C389,'TL14'!$J$238:$J$451),0),
IF('TL15'!$B$3=N$3,SUMIF('TL15'!$C$10:$C$224,$C389,'TL15'!$J$10:$J$224),0),
IF('TL15'!$B$229=N$3,SUMIF('TL15'!$C$238:$C$451,$C389,'TL15'!$J$238:$J$451),0),
IF('TL16'!$B$3=N$3,SUMIF('TL16'!$C$10:$C$224,$C389,'TL16'!$J$10:$J$224),0),
IF('TL16'!$B$229=N$3,SUMIF('TL16'!$C$238:$C$451,$C389,'TL16'!$J$238:$J$451),0),
IF('TL17'!$B$3=N$3,SUMIF('TL17'!$C$10:$C$224,$C389,'TL17'!$J$10:$J$224),0),
IF('TL17'!$B$229=N$3,SUMIF('TL17'!$C$238:$C$451,$C389,'TL17'!$J$238:$J$451),0),
IF('TL18'!$B$3=N$3,SUMIF('TL18'!$C$10:$C$224,$C389,'TL18'!$J$10:$J$224),0),
IF('TL18'!$B$229=N$3,SUMIF('TL18'!$C$238:$C$451,$C389,'TL18'!$J$238:$J$451),0),
IF('TL19'!$B$3=N$3,SUMIF('TL19'!$C$10:$C$224,$C389,'TL19'!$J$10:$J$224),0),
IF('TL19'!$B$229=N$3,SUMIF('TL19'!$C$238:$C$451,$C389,'TL19'!$J$238:$J$451),0)
),0)</f>
        <v>0</v>
      </c>
      <c r="O389" s="9">
        <f>IFERROR(SUM(
IF('TL01'!$B$3=O$3,SUMIF('TL01'!$C$10:$C$224,$C389,'TL01'!$J$10:$J$224),0),
IF('TL01'!$B$229=O$3,SUMIF('TL01'!$C$238:$C$451,$C389,'TL01'!$J$238:$J$451),0),
IF('TL02'!$B$3=O$3,SUMIF('TL02'!$C$10:$C$224,$C389,'TL02'!$J$10:$J$224),0),
IF('TL02'!$B$229=O$3,SUMIF('TL02'!$C$238:$C$451,$C389,'TL02'!$J$238:$J$451),0),
IF('TL03'!$B$3=O$3,SUMIF('TL03'!$C$10:$C$224,$C389,'TL03'!$J$10:$J$224),0),
IF('TL03'!$B$229=O$3,SUMIF('TL03'!$C$238:$C$451,$C389,'TL03'!$J$238:$J$451),0),
IF('TL04'!$B$3=O$3,SUMIF('TL04'!$C$10:$C$224,$C389,'TL04'!$J$10:$J$224),0),
IF('TL04'!$B$229=O$3,SUMIF('TL04'!$C$238:$C$451,$C389,'TL04'!$J$238:$J$451),0),
IF('TL05'!$B$3=O$3,SUMIF('TL05'!$C$10:$C$224,$C389,'TL05'!$J$10:$J$224),0),
IF('TL05'!$B$229=O$3,SUMIF('TL05'!$C$238:$C$451,$C389,'TL05'!$J$238:$J$451),0),
IF('TL06'!$B$3=O$3,SUMIF('TL06'!$C$10:$C$224,$C389,'TL06'!$J$10:$J$224),0),
IF('TL06'!$B$229=O$3,SUMIF('TL06'!$C$238:$C$451,$C389,'TL06'!$J$238:$J$451),0),
IF('TL07'!$B$3=O$3,SUMIF('TL07'!$C$10:$C$224,$C389,'TL07'!$J$10:$J$224),0),
IF('TL07'!$B$229=O$3,SUMIF('TL07'!$C$238:$C$451,$C389,'TL07'!$J$238:$J$451),0),
IF('TL08'!$B$3=O$3,SUMIF('TL08'!$C$10:$C$224,$C389,'TL08'!$J$10:$J$224),0),
IF('TL08'!$B$229=O$3,SUMIF('TL08'!$C$238:$C$451,$C389,'TL08'!$J$238:$J$451),0),
IF('TL09'!$B$3=O$3,SUMIF('TL09'!$C$10:$C$224,$C389,'TL09'!$J$10:$J$224),0),
IF('TL09'!$B$229=O$3,SUMIF('TL09'!$C$238:$C$451,$C389,'TL09'!$J$238:$J$451),0),
IF('TL10'!$B$3=O$3,SUMIF('TL10'!$C$10:$C$224,$C389,'TL10'!$J$10:$J$224),0),
IF('TL10'!$B$229=O$3,SUMIF('TL10'!$C$238:$C$451,$C389,'TL10'!$J$238:$J$451),0),
IF('TL11'!$B$3=O$3,SUMIF('TL11'!$C$10:$C$224,$C389,'TL11'!$J$10:$J$224),0),
IF('TL11'!$B$229=O$3,SUMIF('TL11'!$C$238:$C$451,$C389,'TL11'!$J$238:$J$451),0),
IF('TL12'!$B$3=O$3,SUMIF('TL12'!$C$10:$C$224,$C389,'TL12'!$J$10:$J$224),0),
IF('TL12'!$B$229=O$3,SUMIF('TL12'!$C$238:$C$451,$C389,'TL12'!$J$238:$J$451),0),
IF('TL13'!$B$3=O$3,SUMIF('TL13'!$C$10:$C$224,$C389,'TL13'!$J$10:$J$224),0),
IF('TL13'!$B$229=O$3,SUMIF('TL13'!$C$238:$C$451,$C389,'TL13'!$J$238:$J$451),0),
IF('TL14'!$B$3=O$3,SUMIF('TL14'!$C$10:$C$224,$C389,'TL14'!$J$10:$J$224),0),
IF('TL14'!$B$229=O$3,SUMIF('TL14'!$C$238:$C$451,$C389,'TL14'!$J$238:$J$451),0),
IF('TL15'!$B$3=O$3,SUMIF('TL15'!$C$10:$C$224,$C389,'TL15'!$J$10:$J$224),0),
IF('TL15'!$B$229=O$3,SUMIF('TL15'!$C$238:$C$451,$C389,'TL15'!$J$238:$J$451),0),
IF('TL16'!$B$3=O$3,SUMIF('TL16'!$C$10:$C$224,$C389,'TL16'!$J$10:$J$224),0),
IF('TL16'!$B$229=O$3,SUMIF('TL16'!$C$238:$C$451,$C389,'TL16'!$J$238:$J$451),0),
IF('TL17'!$B$3=O$3,SUMIF('TL17'!$C$10:$C$224,$C389,'TL17'!$J$10:$J$224),0),
IF('TL17'!$B$229=O$3,SUMIF('TL17'!$C$238:$C$451,$C389,'TL17'!$J$238:$J$451),0),
IF('TL18'!$B$3=O$3,SUMIF('TL18'!$C$10:$C$224,$C389,'TL18'!$J$10:$J$224),0),
IF('TL18'!$B$229=O$3,SUMIF('TL18'!$C$238:$C$451,$C389,'TL18'!$J$238:$J$451),0),
IF('TL19'!$B$3=O$3,SUMIF('TL19'!$C$10:$C$224,$C389,'TL19'!$J$10:$J$224),0),
IF('TL19'!$B$229=O$3,SUMIF('TL19'!$C$238:$C$451,$C389,'TL19'!$J$238:$J$451),0)
),0)</f>
        <v>0</v>
      </c>
      <c r="P389" s="9">
        <f>IFERROR(SUM(
IF('TL01'!$B$3=P$3,SUMIF('TL01'!$C$10:$C$224,$C389,'TL01'!$J$10:$J$224),0),
IF('TL01'!$B$229=P$3,SUMIF('TL01'!$C$238:$C$451,$C389,'TL01'!$J$238:$J$451),0),
IF('TL02'!$B$3=P$3,SUMIF('TL02'!$C$10:$C$224,$C389,'TL02'!$J$10:$J$224),0),
IF('TL02'!$B$229=P$3,SUMIF('TL02'!$C$238:$C$451,$C389,'TL02'!$J$238:$J$451),0),
IF('TL03'!$B$3=P$3,SUMIF('TL03'!$C$10:$C$224,$C389,'TL03'!$J$10:$J$224),0),
IF('TL03'!$B$229=P$3,SUMIF('TL03'!$C$238:$C$451,$C389,'TL03'!$J$238:$J$451),0),
IF('TL04'!$B$3=P$3,SUMIF('TL04'!$C$10:$C$224,$C389,'TL04'!$J$10:$J$224),0),
IF('TL04'!$B$229=P$3,SUMIF('TL04'!$C$238:$C$451,$C389,'TL04'!$J$238:$J$451),0),
IF('TL05'!$B$3=P$3,SUMIF('TL05'!$C$10:$C$224,$C389,'TL05'!$J$10:$J$224),0),
IF('TL05'!$B$229=P$3,SUMIF('TL05'!$C$238:$C$451,$C389,'TL05'!$J$238:$J$451),0),
IF('TL06'!$B$3=P$3,SUMIF('TL06'!$C$10:$C$224,$C389,'TL06'!$J$10:$J$224),0),
IF('TL06'!$B$229=P$3,SUMIF('TL06'!$C$238:$C$451,$C389,'TL06'!$J$238:$J$451),0),
IF('TL07'!$B$3=P$3,SUMIF('TL07'!$C$10:$C$224,$C389,'TL07'!$J$10:$J$224),0),
IF('TL07'!$B$229=P$3,SUMIF('TL07'!$C$238:$C$451,$C389,'TL07'!$J$238:$J$451),0),
IF('TL08'!$B$3=P$3,SUMIF('TL08'!$C$10:$C$224,$C389,'TL08'!$J$10:$J$224),0),
IF('TL08'!$B$229=P$3,SUMIF('TL08'!$C$238:$C$451,$C389,'TL08'!$J$238:$J$451),0),
IF('TL09'!$B$3=P$3,SUMIF('TL09'!$C$10:$C$224,$C389,'TL09'!$J$10:$J$224),0),
IF('TL09'!$B$229=P$3,SUMIF('TL09'!$C$238:$C$451,$C389,'TL09'!$J$238:$J$451),0),
IF('TL10'!$B$3=P$3,SUMIF('TL10'!$C$10:$C$224,$C389,'TL10'!$J$10:$J$224),0),
IF('TL10'!$B$229=P$3,SUMIF('TL10'!$C$238:$C$451,$C389,'TL10'!$J$238:$J$451),0),
IF('TL11'!$B$3=P$3,SUMIF('TL11'!$C$10:$C$224,$C389,'TL11'!$J$10:$J$224),0),
IF('TL11'!$B$229=P$3,SUMIF('TL11'!$C$238:$C$451,$C389,'TL11'!$J$238:$J$451),0),
IF('TL12'!$B$3=P$3,SUMIF('TL12'!$C$10:$C$224,$C389,'TL12'!$J$10:$J$224),0),
IF('TL12'!$B$229=P$3,SUMIF('TL12'!$C$238:$C$451,$C389,'TL12'!$J$238:$J$451),0),
IF('TL13'!$B$3=P$3,SUMIF('TL13'!$C$10:$C$224,$C389,'TL13'!$J$10:$J$224),0),
IF('TL13'!$B$229=P$3,SUMIF('TL13'!$C$238:$C$451,$C389,'TL13'!$J$238:$J$451),0),
IF('TL14'!$B$3=P$3,SUMIF('TL14'!$C$10:$C$224,$C389,'TL14'!$J$10:$J$224),0),
IF('TL14'!$B$229=P$3,SUMIF('TL14'!$C$238:$C$451,$C389,'TL14'!$J$238:$J$451),0),
IF('TL15'!$B$3=P$3,SUMIF('TL15'!$C$10:$C$224,$C389,'TL15'!$J$10:$J$224),0),
IF('TL15'!$B$229=P$3,SUMIF('TL15'!$C$238:$C$451,$C389,'TL15'!$J$238:$J$451),0),
IF('TL16'!$B$3=P$3,SUMIF('TL16'!$C$10:$C$224,$C389,'TL16'!$J$10:$J$224),0),
IF('TL16'!$B$229=P$3,SUMIF('TL16'!$C$238:$C$451,$C389,'TL16'!$J$238:$J$451),0),
IF('TL17'!$B$3=P$3,SUMIF('TL17'!$C$10:$C$224,$C389,'TL17'!$J$10:$J$224),0),
IF('TL17'!$B$229=P$3,SUMIF('TL17'!$C$238:$C$451,$C389,'TL17'!$J$238:$J$451),0),
IF('TL18'!$B$3=P$3,SUMIF('TL18'!$C$10:$C$224,$C389,'TL18'!$J$10:$J$224),0),
IF('TL18'!$B$229=P$3,SUMIF('TL18'!$C$238:$C$451,$C389,'TL18'!$J$238:$J$451),0),
IF('TL19'!$B$3=P$3,SUMIF('TL19'!$C$10:$C$224,$C389,'TL19'!$J$10:$J$224),0),
IF('TL19'!$B$229=P$3,SUMIF('TL19'!$C$238:$C$451,$C389,'TL19'!$J$238:$J$451),0)
),0)</f>
        <v>0</v>
      </c>
      <c r="Q389" s="9">
        <f>IFERROR(SUM(
IF('TL01'!$B$3=Q$3,SUMIF('TL01'!$C$10:$C$224,$C389,'TL01'!$J$10:$J$224),0),
IF('TL01'!$B$229=Q$3,SUMIF('TL01'!$C$238:$C$451,$C389,'TL01'!$J$238:$J$451),0),
IF('TL02'!$B$3=Q$3,SUMIF('TL02'!$C$10:$C$224,$C389,'TL02'!$J$10:$J$224),0),
IF('TL02'!$B$229=Q$3,SUMIF('TL02'!$C$238:$C$451,$C389,'TL02'!$J$238:$J$451),0),
IF('TL03'!$B$3=Q$3,SUMIF('TL03'!$C$10:$C$224,$C389,'TL03'!$J$10:$J$224),0),
IF('TL03'!$B$229=Q$3,SUMIF('TL03'!$C$238:$C$451,$C389,'TL03'!$J$238:$J$451),0),
IF('TL04'!$B$3=Q$3,SUMIF('TL04'!$C$10:$C$224,$C389,'TL04'!$J$10:$J$224),0),
IF('TL04'!$B$229=Q$3,SUMIF('TL04'!$C$238:$C$451,$C389,'TL04'!$J$238:$J$451),0),
IF('TL05'!$B$3=Q$3,SUMIF('TL05'!$C$10:$C$224,$C389,'TL05'!$J$10:$J$224),0),
IF('TL05'!$B$229=Q$3,SUMIF('TL05'!$C$238:$C$451,$C389,'TL05'!$J$238:$J$451),0),
IF('TL06'!$B$3=Q$3,SUMIF('TL06'!$C$10:$C$224,$C389,'TL06'!$J$10:$J$224),0),
IF('TL06'!$B$229=Q$3,SUMIF('TL06'!$C$238:$C$451,$C389,'TL06'!$J$238:$J$451),0),
IF('TL07'!$B$3=Q$3,SUMIF('TL07'!$C$10:$C$224,$C389,'TL07'!$J$10:$J$224),0),
IF('TL07'!$B$229=Q$3,SUMIF('TL07'!$C$238:$C$451,$C389,'TL07'!$J$238:$J$451),0),
IF('TL08'!$B$3=Q$3,SUMIF('TL08'!$C$10:$C$224,$C389,'TL08'!$J$10:$J$224),0),
IF('TL08'!$B$229=Q$3,SUMIF('TL08'!$C$238:$C$451,$C389,'TL08'!$J$238:$J$451),0),
IF('TL09'!$B$3=Q$3,SUMIF('TL09'!$C$10:$C$224,$C389,'TL09'!$J$10:$J$224),0),
IF('TL09'!$B$229=Q$3,SUMIF('TL09'!$C$238:$C$451,$C389,'TL09'!$J$238:$J$451),0),
IF('TL10'!$B$3=Q$3,SUMIF('TL10'!$C$10:$C$224,$C389,'TL10'!$J$10:$J$224),0),
IF('TL10'!$B$229=Q$3,SUMIF('TL10'!$C$238:$C$451,$C389,'TL10'!$J$238:$J$451),0),
IF('TL11'!$B$3=Q$3,SUMIF('TL11'!$C$10:$C$224,$C389,'TL11'!$J$10:$J$224),0),
IF('TL11'!$B$229=Q$3,SUMIF('TL11'!$C$238:$C$451,$C389,'TL11'!$J$238:$J$451),0),
IF('TL12'!$B$3=Q$3,SUMIF('TL12'!$C$10:$C$224,$C389,'TL12'!$J$10:$J$224),0),
IF('TL12'!$B$229=Q$3,SUMIF('TL12'!$C$238:$C$451,$C389,'TL12'!$J$238:$J$451),0),
IF('TL13'!$B$3=Q$3,SUMIF('TL13'!$C$10:$C$224,$C389,'TL13'!$J$10:$J$224),0),
IF('TL13'!$B$229=Q$3,SUMIF('TL13'!$C$238:$C$451,$C389,'TL13'!$J$238:$J$451),0),
IF('TL14'!$B$3=Q$3,SUMIF('TL14'!$C$10:$C$224,$C389,'TL14'!$J$10:$J$224),0),
IF('TL14'!$B$229=Q$3,SUMIF('TL14'!$C$238:$C$451,$C389,'TL14'!$J$238:$J$451),0),
IF('TL15'!$B$3=Q$3,SUMIF('TL15'!$C$10:$C$224,$C389,'TL15'!$J$10:$J$224),0),
IF('TL15'!$B$229=Q$3,SUMIF('TL15'!$C$238:$C$451,$C389,'TL15'!$J$238:$J$451),0),
IF('TL16'!$B$3=Q$3,SUMIF('TL16'!$C$10:$C$224,$C389,'TL16'!$J$10:$J$224),0),
IF('TL16'!$B$229=Q$3,SUMIF('TL16'!$C$238:$C$451,$C389,'TL16'!$J$238:$J$451),0),
IF('TL17'!$B$3=Q$3,SUMIF('TL17'!$C$10:$C$224,$C389,'TL17'!$J$10:$J$224),0),
IF('TL17'!$B$229=Q$3,SUMIF('TL17'!$C$238:$C$451,$C389,'TL17'!$J$238:$J$451),0),
IF('TL18'!$B$3=Q$3,SUMIF('TL18'!$C$10:$C$224,$C389,'TL18'!$J$10:$J$224),0),
IF('TL18'!$B$229=Q$3,SUMIF('TL18'!$C$238:$C$451,$C389,'TL18'!$J$238:$J$451),0),
IF('TL19'!$B$3=Q$3,SUMIF('TL19'!$C$10:$C$224,$C389,'TL19'!$J$10:$J$224),0),
IF('TL19'!$B$229=Q$3,SUMIF('TL19'!$C$238:$C$451,$C389,'TL19'!$J$238:$J$451),0)
),0)</f>
        <v>0</v>
      </c>
      <c r="R389" s="9">
        <f>IFERROR(
SUM(
SUMIF('TL01'!C:C,C389,'TL01'!J:J),
SUMIF('TL02'!C:C,C389,'TL02'!J:J),
SUMIF('TL03'!C:C,C389,'TL03'!J:J),
SUMIF('TL04'!C:C,C389,'TL04'!J:J),
SUMIF('TL05'!C:C,C389,'TL05'!J:J),
SUMIF('TL06'!C:C,C389,'TL06'!J:J),
SUMIF('TL07'!C:C,C389,'TL07'!J:J),
SUMIF('TL08'!C:C,C389,'TL08'!J:J),
SUMIF('TL09'!C:C,C389,'TL09'!J:J),
SUMIF('TL10'!C:C,C389,'TL10'!J:J),
SUMIF('TL11'!C:C,C389,'TL11'!J:J),
SUMIF('TL12'!C:C,C389,'TL12'!J:J),
SUMIF('TL13'!C:C,C389,'TL13'!J:J),
SUMIF('TL14'!C:C,C389,'TL14'!J:J),
SUMIF('TL15'!C:C,C389,'TL15'!J:J),
SUMIF('TL16'!C:C,C389,'TL16'!J:J),
SUMIF('TL17'!C:C,C389,'TL17'!J:J),
SUMIF('TL18'!C:C,C389,'TL18'!J:J),SUMIF('TL19'!C:C,C389,'TL19'!J:J))
,0)</f>
        <v>0</v>
      </c>
      <c r="S389" s="17">
        <f>IFERROR(__xludf.DUMMYFUNCTION("IFERROR(VLOOKUP(C389,
IMPORTRANGE(""1wULbzX32WdYsx-lj2U3uUNBBe2INVIRDtcK0d-Dvl90"",
""26-27!C:G""),
5,
FALSE),
"""")"),4.6)</f>
        <v>4.6</v>
      </c>
      <c r="T389" s="9"/>
      <c r="U389" s="92">
        <f t="shared" si="2"/>
        <v>0</v>
      </c>
      <c r="V389" s="93">
        <f t="shared" si="3"/>
        <v>0</v>
      </c>
    </row>
    <row r="390" ht="15.75" hidden="1" customHeight="1">
      <c r="A390" s="4" t="s">
        <v>1071</v>
      </c>
      <c r="B390" s="4" t="s">
        <v>4</v>
      </c>
      <c r="C390" s="131" t="s">
        <v>1132</v>
      </c>
      <c r="D390" s="133" t="s">
        <v>1119</v>
      </c>
      <c r="E390" s="9"/>
      <c r="F390" s="4"/>
      <c r="G390" s="90" t="str">
        <f t="shared" si="5"/>
        <v>📄 Ver bula</v>
      </c>
      <c r="H390" s="9"/>
      <c r="I390" s="1"/>
      <c r="J390" s="9">
        <f>IFERROR(SUM(
IF('TL01'!$B$3=J$3,SUMIF('TL01'!$C$10:$C$224,$C390,'TL01'!$J$10:$J$224),0),
IF('TL01'!$B$229=J$3,SUMIF('TL01'!$C$238:$C$451,$C390,'TL01'!$J$238:$J$451),0),
IF('TL02'!$B$3=J$3,SUMIF('TL02'!$C$10:$C$224,$C390,'TL02'!$J$10:$J$224),0),
IF('TL02'!$B$229=J$3,SUMIF('TL02'!$C$238:$C$451,$C390,'TL02'!$J$238:$J$451),0),
IF('TL03'!$B$3=J$3,SUMIF('TL03'!$C$10:$C$224,$C390,'TL03'!$J$10:$J$224),0),
IF('TL03'!$B$229=J$3,SUMIF('TL03'!$C$238:$C$451,$C390,'TL03'!$J$238:$J$451),0),
IF('TL04'!$B$3=J$3,SUMIF('TL04'!$C$10:$C$224,$C390,'TL04'!$J$10:$J$224),0),
IF('TL04'!$B$229=J$3,SUMIF('TL04'!$C$238:$C$451,$C390,'TL04'!$J$238:$J$451),0),
IF('TL05'!$B$3=J$3,SUMIF('TL05'!$C$10:$C$224,$C390,'TL05'!$J$10:$J$224),0),
IF('TL05'!$B$229=J$3,SUMIF('TL05'!$C$238:$C$451,$C390,'TL05'!$J$238:$J$451),0),
IF('TL06'!$B$3=J$3,SUMIF('TL06'!$C$10:$C$224,$C390,'TL06'!$J$10:$J$224),0),
IF('TL06'!$B$229=J$3,SUMIF('TL06'!$C$238:$C$451,$C390,'TL06'!$J$238:$J$451),0),
IF('TL07'!$B$3=J$3,SUMIF('TL07'!$C$10:$C$224,$C390,'TL07'!$J$10:$J$224),0),
IF('TL07'!$B$229=J$3,SUMIF('TL07'!$C$238:$C$451,$C390,'TL07'!$J$238:$J$451),0),
IF('TL08'!$B$3=J$3,SUMIF('TL08'!$C$10:$C$224,$C390,'TL08'!$J$10:$J$224),0),
IF('TL08'!$B$229=J$3,SUMIF('TL08'!$C$238:$C$451,$C390,'TL08'!$J$238:$J$451),0),
IF('TL09'!$B$3=J$3,SUMIF('TL09'!$C$10:$C$224,$C390,'TL09'!$J$10:$J$224),0),
IF('TL09'!$B$229=J$3,SUMIF('TL09'!$C$238:$C$451,$C390,'TL09'!$J$238:$J$451),0),
IF('TL10'!$B$3=J$3,SUMIF('TL10'!$C$10:$C$224,$C390,'TL10'!$J$10:$J$224),0),
IF('TL10'!$B$229=J$3,SUMIF('TL10'!$C$238:$C$451,$C390,'TL10'!$J$238:$J$451),0),
IF('TL11'!$B$3=J$3,SUMIF('TL11'!$C$10:$C$224,$C390,'TL11'!$J$10:$J$224),0),
IF('TL11'!$B$229=J$3,SUMIF('TL11'!$C$238:$C$451,$C390,'TL11'!$J$238:$J$451),0),
IF('TL12'!$B$3=J$3,SUMIF('TL12'!$C$10:$C$224,$C390,'TL12'!$J$10:$J$224),0),
IF('TL12'!$B$229=J$3,SUMIF('TL12'!$C$238:$C$451,$C390,'TL12'!$J$238:$J$451),0),
IF('TL13'!$B$3=J$3,SUMIF('TL13'!$C$10:$C$224,$C390,'TL13'!$J$10:$J$224),0),
IF('TL13'!$B$229=J$3,SUMIF('TL13'!$C$238:$C$451,$C390,'TL13'!$J$238:$J$451),0),
IF('TL14'!$B$3=J$3,SUMIF('TL14'!$C$10:$C$224,$C390,'TL14'!$J$10:$J$224),0),
IF('TL14'!$B$229=J$3,SUMIF('TL14'!$C$238:$C$451,$C390,'TL14'!$J$238:$J$451),0),
IF('TL15'!$B$3=J$3,SUMIF('TL15'!$C$10:$C$224,$C390,'TL15'!$J$10:$J$224),0),
IF('TL15'!$B$229=J$3,SUMIF('TL15'!$C$238:$C$451,$C390,'TL15'!$J$238:$J$451),0),
IF('TL16'!$B$3=J$3,SUMIF('TL16'!$C$10:$C$224,$C390,'TL16'!$J$10:$J$224),0),
IF('TL16'!$B$229=J$3,SUMIF('TL16'!$C$238:$C$451,$C390,'TL16'!$J$238:$J$451),0),
IF('TL17'!$B$3=J$3,SUMIF('TL17'!$C$10:$C$224,$C390,'TL17'!$J$10:$J$224),0),
IF('TL17'!$B$229=J$3,SUMIF('TL17'!$C$238:$C$451,$C390,'TL17'!$J$238:$J$451),0),
IF('TL18'!$B$3=J$3,SUMIF('TL18'!$C$10:$C$224,$C390,'TL18'!$J$10:$J$224),0),
IF('TL18'!$B$229=J$3,SUMIF('TL18'!$C$238:$C$451,$C390,'TL18'!$J$238:$J$451),0),
IF('TL19'!$B$3=J$3,SUMIF('TL19'!$C$10:$C$224,$C390,'TL19'!$J$10:$J$224),0),
IF('TL19'!$B$229=J$3,SUMIF('TL19'!$C$238:$C$451,$C390,'TL19'!$J$238:$J$451),0)
),0)</f>
        <v>0</v>
      </c>
      <c r="K390" s="9">
        <f>IFERROR(SUM(
IF('TL01'!$B$3=K$3,SUMIF('TL01'!$C$10:$C$224,$C390,'TL01'!$J$10:$J$224),0),
IF('TL01'!$B$229=K$3,SUMIF('TL01'!$C$238:$C$451,$C390,'TL01'!$J$238:$J$451),0),
IF('TL02'!$B$3=K$3,SUMIF('TL02'!$C$10:$C$224,$C390,'TL02'!$J$10:$J$224),0),
IF('TL02'!$B$229=K$3,SUMIF('TL02'!$C$238:$C$451,$C390,'TL02'!$J$238:$J$451),0),
IF('TL03'!$B$3=K$3,SUMIF('TL03'!$C$10:$C$224,$C390,'TL03'!$J$10:$J$224),0),
IF('TL03'!$B$229=K$3,SUMIF('TL03'!$C$238:$C$451,$C390,'TL03'!$J$238:$J$451),0),
IF('TL04'!$B$3=K$3,SUMIF('TL04'!$C$10:$C$224,$C390,'TL04'!$J$10:$J$224),0),
IF('TL04'!$B$229=K$3,SUMIF('TL04'!$C$238:$C$451,$C390,'TL04'!$J$238:$J$451),0),
IF('TL05'!$B$3=K$3,SUMIF('TL05'!$C$10:$C$224,$C390,'TL05'!$J$10:$J$224),0),
IF('TL05'!$B$229=K$3,SUMIF('TL05'!$C$238:$C$451,$C390,'TL05'!$J$238:$J$451),0),
IF('TL06'!$B$3=K$3,SUMIF('TL06'!$C$10:$C$224,$C390,'TL06'!$J$10:$J$224),0),
IF('TL06'!$B$229=K$3,SUMIF('TL06'!$C$238:$C$451,$C390,'TL06'!$J$238:$J$451),0),
IF('TL07'!$B$3=K$3,SUMIF('TL07'!$C$10:$C$224,$C390,'TL07'!$J$10:$J$224),0),
IF('TL07'!$B$229=K$3,SUMIF('TL07'!$C$238:$C$451,$C390,'TL07'!$J$238:$J$451),0),
IF('TL08'!$B$3=K$3,SUMIF('TL08'!$C$10:$C$224,$C390,'TL08'!$J$10:$J$224),0),
IF('TL08'!$B$229=K$3,SUMIF('TL08'!$C$238:$C$451,$C390,'TL08'!$J$238:$J$451),0),
IF('TL09'!$B$3=K$3,SUMIF('TL09'!$C$10:$C$224,$C390,'TL09'!$J$10:$J$224),0),
IF('TL09'!$B$229=K$3,SUMIF('TL09'!$C$238:$C$451,$C390,'TL09'!$J$238:$J$451),0),
IF('TL10'!$B$3=K$3,SUMIF('TL10'!$C$10:$C$224,$C390,'TL10'!$J$10:$J$224),0),
IF('TL10'!$B$229=K$3,SUMIF('TL10'!$C$238:$C$451,$C390,'TL10'!$J$238:$J$451),0),
IF('TL11'!$B$3=K$3,SUMIF('TL11'!$C$10:$C$224,$C390,'TL11'!$J$10:$J$224),0),
IF('TL11'!$B$229=K$3,SUMIF('TL11'!$C$238:$C$451,$C390,'TL11'!$J$238:$J$451),0),
IF('TL12'!$B$3=K$3,SUMIF('TL12'!$C$10:$C$224,$C390,'TL12'!$J$10:$J$224),0),
IF('TL12'!$B$229=K$3,SUMIF('TL12'!$C$238:$C$451,$C390,'TL12'!$J$238:$J$451),0),
IF('TL13'!$B$3=K$3,SUMIF('TL13'!$C$10:$C$224,$C390,'TL13'!$J$10:$J$224),0),
IF('TL13'!$B$229=K$3,SUMIF('TL13'!$C$238:$C$451,$C390,'TL13'!$J$238:$J$451),0),
IF('TL14'!$B$3=K$3,SUMIF('TL14'!$C$10:$C$224,$C390,'TL14'!$J$10:$J$224),0),
IF('TL14'!$B$229=K$3,SUMIF('TL14'!$C$238:$C$451,$C390,'TL14'!$J$238:$J$451),0),
IF('TL15'!$B$3=K$3,SUMIF('TL15'!$C$10:$C$224,$C390,'TL15'!$J$10:$J$224),0),
IF('TL15'!$B$229=K$3,SUMIF('TL15'!$C$238:$C$451,$C390,'TL15'!$J$238:$J$451),0),
IF('TL16'!$B$3=K$3,SUMIF('TL16'!$C$10:$C$224,$C390,'TL16'!$J$10:$J$224),0),
IF('TL16'!$B$229=K$3,SUMIF('TL16'!$C$238:$C$451,$C390,'TL16'!$J$238:$J$451),0),
IF('TL17'!$B$3=K$3,SUMIF('TL17'!$C$10:$C$224,$C390,'TL17'!$J$10:$J$224),0),
IF('TL17'!$B$229=K$3,SUMIF('TL17'!$C$238:$C$451,$C390,'TL17'!$J$238:$J$451),0),
IF('TL18'!$B$3=K$3,SUMIF('TL18'!$C$10:$C$224,$C390,'TL18'!$J$10:$J$224),0),
IF('TL18'!$B$229=K$3,SUMIF('TL18'!$C$238:$C$451,$C390,'TL18'!$J$238:$J$451),0),
IF('TL19'!$B$3=K$3,SUMIF('TL19'!$C$10:$C$224,$C390,'TL19'!$J$10:$J$224),0),
IF('TL19'!$B$229=K$3,SUMIF('TL19'!$C$238:$C$451,$C390,'TL19'!$J$238:$J$451),0)
),0)</f>
        <v>0</v>
      </c>
      <c r="L390" s="9">
        <f>IFERROR(SUM(
IF('TL01'!$B$3=L$3,SUMIF('TL01'!$C$10:$C$224,$C390,'TL01'!$J$10:$J$224),0),
IF('TL01'!$B$229=L$3,SUMIF('TL01'!$C$238:$C$451,$C390,'TL01'!$J$238:$J$451),0),
IF('TL02'!$B$3=L$3,SUMIF('TL02'!$C$10:$C$224,$C390,'TL02'!$J$10:$J$224),0),
IF('TL02'!$B$229=L$3,SUMIF('TL02'!$C$238:$C$451,$C390,'TL02'!$J$238:$J$451),0),
IF('TL03'!$B$3=L$3,SUMIF('TL03'!$C$10:$C$224,$C390,'TL03'!$J$10:$J$224),0),
IF('TL03'!$B$229=L$3,SUMIF('TL03'!$C$238:$C$451,$C390,'TL03'!$J$238:$J$451),0),
IF('TL04'!$B$3=L$3,SUMIF('TL04'!$C$10:$C$224,$C390,'TL04'!$J$10:$J$224),0),
IF('TL04'!$B$229=L$3,SUMIF('TL04'!$C$238:$C$451,$C390,'TL04'!$J$238:$J$451),0),
IF('TL05'!$B$3=L$3,SUMIF('TL05'!$C$10:$C$224,$C390,'TL05'!$J$10:$J$224),0),
IF('TL05'!$B$229=L$3,SUMIF('TL05'!$C$238:$C$451,$C390,'TL05'!$J$238:$J$451),0),
IF('TL06'!$B$3=L$3,SUMIF('TL06'!$C$10:$C$224,$C390,'TL06'!$J$10:$J$224),0),
IF('TL06'!$B$229=L$3,SUMIF('TL06'!$C$238:$C$451,$C390,'TL06'!$J$238:$J$451),0),
IF('TL07'!$B$3=L$3,SUMIF('TL07'!$C$10:$C$224,$C390,'TL07'!$J$10:$J$224),0),
IF('TL07'!$B$229=L$3,SUMIF('TL07'!$C$238:$C$451,$C390,'TL07'!$J$238:$J$451),0),
IF('TL08'!$B$3=L$3,SUMIF('TL08'!$C$10:$C$224,$C390,'TL08'!$J$10:$J$224),0),
IF('TL08'!$B$229=L$3,SUMIF('TL08'!$C$238:$C$451,$C390,'TL08'!$J$238:$J$451),0),
IF('TL09'!$B$3=L$3,SUMIF('TL09'!$C$10:$C$224,$C390,'TL09'!$J$10:$J$224),0),
IF('TL09'!$B$229=L$3,SUMIF('TL09'!$C$238:$C$451,$C390,'TL09'!$J$238:$J$451),0),
IF('TL10'!$B$3=L$3,SUMIF('TL10'!$C$10:$C$224,$C390,'TL10'!$J$10:$J$224),0),
IF('TL10'!$B$229=L$3,SUMIF('TL10'!$C$238:$C$451,$C390,'TL10'!$J$238:$J$451),0),
IF('TL11'!$B$3=L$3,SUMIF('TL11'!$C$10:$C$224,$C390,'TL11'!$J$10:$J$224),0),
IF('TL11'!$B$229=L$3,SUMIF('TL11'!$C$238:$C$451,$C390,'TL11'!$J$238:$J$451),0),
IF('TL12'!$B$3=L$3,SUMIF('TL12'!$C$10:$C$224,$C390,'TL12'!$J$10:$J$224),0),
IF('TL12'!$B$229=L$3,SUMIF('TL12'!$C$238:$C$451,$C390,'TL12'!$J$238:$J$451),0),
IF('TL13'!$B$3=L$3,SUMIF('TL13'!$C$10:$C$224,$C390,'TL13'!$J$10:$J$224),0),
IF('TL13'!$B$229=L$3,SUMIF('TL13'!$C$238:$C$451,$C390,'TL13'!$J$238:$J$451),0),
IF('TL14'!$B$3=L$3,SUMIF('TL14'!$C$10:$C$224,$C390,'TL14'!$J$10:$J$224),0),
IF('TL14'!$B$229=L$3,SUMIF('TL14'!$C$238:$C$451,$C390,'TL14'!$J$238:$J$451),0),
IF('TL15'!$B$3=L$3,SUMIF('TL15'!$C$10:$C$224,$C390,'TL15'!$J$10:$J$224),0),
IF('TL15'!$B$229=L$3,SUMIF('TL15'!$C$238:$C$451,$C390,'TL15'!$J$238:$J$451),0),
IF('TL16'!$B$3=L$3,SUMIF('TL16'!$C$10:$C$224,$C390,'TL16'!$J$10:$J$224),0),
IF('TL16'!$B$229=L$3,SUMIF('TL16'!$C$238:$C$451,$C390,'TL16'!$J$238:$J$451),0),
IF('TL17'!$B$3=L$3,SUMIF('TL17'!$C$10:$C$224,$C390,'TL17'!$J$10:$J$224),0),
IF('TL17'!$B$229=L$3,SUMIF('TL17'!$C$238:$C$451,$C390,'TL17'!$J$238:$J$451),0),
IF('TL18'!$B$3=L$3,SUMIF('TL18'!$C$10:$C$224,$C390,'TL18'!$J$10:$J$224),0),
IF('TL18'!$B$229=L$3,SUMIF('TL18'!$C$238:$C$451,$C390,'TL18'!$J$238:$J$451),0),
IF('TL19'!$B$3=L$3,SUMIF('TL19'!$C$10:$C$224,$C390,'TL19'!$J$10:$J$224),0),
IF('TL19'!$B$229=L$3,SUMIF('TL19'!$C$238:$C$451,$C390,'TL19'!$J$238:$J$451),0)
),0)</f>
        <v>0</v>
      </c>
      <c r="M390" s="9">
        <f>IFERROR(SUM(
IF('TL01'!$B$3=M$3,SUMIF('TL01'!$C$10:$C$224,$C390,'TL01'!$J$10:$J$224),0),
IF('TL01'!$B$229=M$3,SUMIF('TL01'!$C$238:$C$451,$C390,'TL01'!$J$238:$J$451),0),
IF('TL02'!$B$3=M$3,SUMIF('TL02'!$C$10:$C$224,$C390,'TL02'!$J$10:$J$224),0),
IF('TL02'!$B$229=M$3,SUMIF('TL02'!$C$238:$C$451,$C390,'TL02'!$J$238:$J$451),0),
IF('TL03'!$B$3=M$3,SUMIF('TL03'!$C$10:$C$224,$C390,'TL03'!$J$10:$J$224),0),
IF('TL03'!$B$229=M$3,SUMIF('TL03'!$C$238:$C$451,$C390,'TL03'!$J$238:$J$451),0),
IF('TL04'!$B$3=M$3,SUMIF('TL04'!$C$10:$C$224,$C390,'TL04'!$J$10:$J$224),0),
IF('TL04'!$B$229=M$3,SUMIF('TL04'!$C$238:$C$451,$C390,'TL04'!$J$238:$J$451),0),
IF('TL05'!$B$3=M$3,SUMIF('TL05'!$C$10:$C$224,$C390,'TL05'!$J$10:$J$224),0),
IF('TL05'!$B$229=M$3,SUMIF('TL05'!$C$238:$C$451,$C390,'TL05'!$J$238:$J$451),0),
IF('TL06'!$B$3=M$3,SUMIF('TL06'!$C$10:$C$224,$C390,'TL06'!$J$10:$J$224),0),
IF('TL06'!$B$229=M$3,SUMIF('TL06'!$C$238:$C$451,$C390,'TL06'!$J$238:$J$451),0),
IF('TL07'!$B$3=M$3,SUMIF('TL07'!$C$10:$C$224,$C390,'TL07'!$J$10:$J$224),0),
IF('TL07'!$B$229=M$3,SUMIF('TL07'!$C$238:$C$451,$C390,'TL07'!$J$238:$J$451),0),
IF('TL08'!$B$3=M$3,SUMIF('TL08'!$C$10:$C$224,$C390,'TL08'!$J$10:$J$224),0),
IF('TL08'!$B$229=M$3,SUMIF('TL08'!$C$238:$C$451,$C390,'TL08'!$J$238:$J$451),0),
IF('TL09'!$B$3=M$3,SUMIF('TL09'!$C$10:$C$224,$C390,'TL09'!$J$10:$J$224),0),
IF('TL09'!$B$229=M$3,SUMIF('TL09'!$C$238:$C$451,$C390,'TL09'!$J$238:$J$451),0),
IF('TL10'!$B$3=M$3,SUMIF('TL10'!$C$10:$C$224,$C390,'TL10'!$J$10:$J$224),0),
IF('TL10'!$B$229=M$3,SUMIF('TL10'!$C$238:$C$451,$C390,'TL10'!$J$238:$J$451),0),
IF('TL11'!$B$3=M$3,SUMIF('TL11'!$C$10:$C$224,$C390,'TL11'!$J$10:$J$224),0),
IF('TL11'!$B$229=M$3,SUMIF('TL11'!$C$238:$C$451,$C390,'TL11'!$J$238:$J$451),0),
IF('TL12'!$B$3=M$3,SUMIF('TL12'!$C$10:$C$224,$C390,'TL12'!$J$10:$J$224),0),
IF('TL12'!$B$229=M$3,SUMIF('TL12'!$C$238:$C$451,$C390,'TL12'!$J$238:$J$451),0),
IF('TL13'!$B$3=M$3,SUMIF('TL13'!$C$10:$C$224,$C390,'TL13'!$J$10:$J$224),0),
IF('TL13'!$B$229=M$3,SUMIF('TL13'!$C$238:$C$451,$C390,'TL13'!$J$238:$J$451),0),
IF('TL14'!$B$3=M$3,SUMIF('TL14'!$C$10:$C$224,$C390,'TL14'!$J$10:$J$224),0),
IF('TL14'!$B$229=M$3,SUMIF('TL14'!$C$238:$C$451,$C390,'TL14'!$J$238:$J$451),0),
IF('TL15'!$B$3=M$3,SUMIF('TL15'!$C$10:$C$224,$C390,'TL15'!$J$10:$J$224),0),
IF('TL15'!$B$229=M$3,SUMIF('TL15'!$C$238:$C$451,$C390,'TL15'!$J$238:$J$451),0),
IF('TL16'!$B$3=M$3,SUMIF('TL16'!$C$10:$C$224,$C390,'TL16'!$J$10:$J$224),0),
IF('TL16'!$B$229=M$3,SUMIF('TL16'!$C$238:$C$451,$C390,'TL16'!$J$238:$J$451),0),
IF('TL17'!$B$3=M$3,SUMIF('TL17'!$C$10:$C$224,$C390,'TL17'!$J$10:$J$224),0),
IF('TL17'!$B$229=M$3,SUMIF('TL17'!$C$238:$C$451,$C390,'TL17'!$J$238:$J$451),0),
IF('TL18'!$B$3=M$3,SUMIF('TL18'!$C$10:$C$224,$C390,'TL18'!$J$10:$J$224),0),
IF('TL18'!$B$229=M$3,SUMIF('TL18'!$C$238:$C$451,$C390,'TL18'!$J$238:$J$451),0),
IF('TL19'!$B$3=M$3,SUMIF('TL19'!$C$10:$C$224,$C390,'TL19'!$J$10:$J$224),0),
IF('TL19'!$B$229=M$3,SUMIF('TL19'!$C$238:$C$451,$C390,'TL19'!$J$238:$J$451),0)
),0)</f>
        <v>0</v>
      </c>
      <c r="N390" s="9">
        <f>IFERROR(SUM(
IF('TL01'!$B$3=N$3,SUMIF('TL01'!$C$10:$C$224,$C390,'TL01'!$J$10:$J$224),0),
IF('TL01'!$B$229=N$3,SUMIF('TL01'!$C$238:$C$451,$C390,'TL01'!$J$238:$J$451),0),
IF('TL02'!$B$3=N$3,SUMIF('TL02'!$C$10:$C$224,$C390,'TL02'!$J$10:$J$224),0),
IF('TL02'!$B$229=N$3,SUMIF('TL02'!$C$238:$C$451,$C390,'TL02'!$J$238:$J$451),0),
IF('TL03'!$B$3=N$3,SUMIF('TL03'!$C$10:$C$224,$C390,'TL03'!$J$10:$J$224),0),
IF('TL03'!$B$229=N$3,SUMIF('TL03'!$C$238:$C$451,$C390,'TL03'!$J$238:$J$451),0),
IF('TL04'!$B$3=N$3,SUMIF('TL04'!$C$10:$C$224,$C390,'TL04'!$J$10:$J$224),0),
IF('TL04'!$B$229=N$3,SUMIF('TL04'!$C$238:$C$451,$C390,'TL04'!$J$238:$J$451),0),
IF('TL05'!$B$3=N$3,SUMIF('TL05'!$C$10:$C$224,$C390,'TL05'!$J$10:$J$224),0),
IF('TL05'!$B$229=N$3,SUMIF('TL05'!$C$238:$C$451,$C390,'TL05'!$J$238:$J$451),0),
IF('TL06'!$B$3=N$3,SUMIF('TL06'!$C$10:$C$224,$C390,'TL06'!$J$10:$J$224),0),
IF('TL06'!$B$229=N$3,SUMIF('TL06'!$C$238:$C$451,$C390,'TL06'!$J$238:$J$451),0),
IF('TL07'!$B$3=N$3,SUMIF('TL07'!$C$10:$C$224,$C390,'TL07'!$J$10:$J$224),0),
IF('TL07'!$B$229=N$3,SUMIF('TL07'!$C$238:$C$451,$C390,'TL07'!$J$238:$J$451),0),
IF('TL08'!$B$3=N$3,SUMIF('TL08'!$C$10:$C$224,$C390,'TL08'!$J$10:$J$224),0),
IF('TL08'!$B$229=N$3,SUMIF('TL08'!$C$238:$C$451,$C390,'TL08'!$J$238:$J$451),0),
IF('TL09'!$B$3=N$3,SUMIF('TL09'!$C$10:$C$224,$C390,'TL09'!$J$10:$J$224),0),
IF('TL09'!$B$229=N$3,SUMIF('TL09'!$C$238:$C$451,$C390,'TL09'!$J$238:$J$451),0),
IF('TL10'!$B$3=N$3,SUMIF('TL10'!$C$10:$C$224,$C390,'TL10'!$J$10:$J$224),0),
IF('TL10'!$B$229=N$3,SUMIF('TL10'!$C$238:$C$451,$C390,'TL10'!$J$238:$J$451),0),
IF('TL11'!$B$3=N$3,SUMIF('TL11'!$C$10:$C$224,$C390,'TL11'!$J$10:$J$224),0),
IF('TL11'!$B$229=N$3,SUMIF('TL11'!$C$238:$C$451,$C390,'TL11'!$J$238:$J$451),0),
IF('TL12'!$B$3=N$3,SUMIF('TL12'!$C$10:$C$224,$C390,'TL12'!$J$10:$J$224),0),
IF('TL12'!$B$229=N$3,SUMIF('TL12'!$C$238:$C$451,$C390,'TL12'!$J$238:$J$451),0),
IF('TL13'!$B$3=N$3,SUMIF('TL13'!$C$10:$C$224,$C390,'TL13'!$J$10:$J$224),0),
IF('TL13'!$B$229=N$3,SUMIF('TL13'!$C$238:$C$451,$C390,'TL13'!$J$238:$J$451),0),
IF('TL14'!$B$3=N$3,SUMIF('TL14'!$C$10:$C$224,$C390,'TL14'!$J$10:$J$224),0),
IF('TL14'!$B$229=N$3,SUMIF('TL14'!$C$238:$C$451,$C390,'TL14'!$J$238:$J$451),0),
IF('TL15'!$B$3=N$3,SUMIF('TL15'!$C$10:$C$224,$C390,'TL15'!$J$10:$J$224),0),
IF('TL15'!$B$229=N$3,SUMIF('TL15'!$C$238:$C$451,$C390,'TL15'!$J$238:$J$451),0),
IF('TL16'!$B$3=N$3,SUMIF('TL16'!$C$10:$C$224,$C390,'TL16'!$J$10:$J$224),0),
IF('TL16'!$B$229=N$3,SUMIF('TL16'!$C$238:$C$451,$C390,'TL16'!$J$238:$J$451),0),
IF('TL17'!$B$3=N$3,SUMIF('TL17'!$C$10:$C$224,$C390,'TL17'!$J$10:$J$224),0),
IF('TL17'!$B$229=N$3,SUMIF('TL17'!$C$238:$C$451,$C390,'TL17'!$J$238:$J$451),0),
IF('TL18'!$B$3=N$3,SUMIF('TL18'!$C$10:$C$224,$C390,'TL18'!$J$10:$J$224),0),
IF('TL18'!$B$229=N$3,SUMIF('TL18'!$C$238:$C$451,$C390,'TL18'!$J$238:$J$451),0),
IF('TL19'!$B$3=N$3,SUMIF('TL19'!$C$10:$C$224,$C390,'TL19'!$J$10:$J$224),0),
IF('TL19'!$B$229=N$3,SUMIF('TL19'!$C$238:$C$451,$C390,'TL19'!$J$238:$J$451),0)
),0)</f>
        <v>0</v>
      </c>
      <c r="O390" s="9">
        <f>IFERROR(SUM(
IF('TL01'!$B$3=O$3,SUMIF('TL01'!$C$10:$C$224,$C390,'TL01'!$J$10:$J$224),0),
IF('TL01'!$B$229=O$3,SUMIF('TL01'!$C$238:$C$451,$C390,'TL01'!$J$238:$J$451),0),
IF('TL02'!$B$3=O$3,SUMIF('TL02'!$C$10:$C$224,$C390,'TL02'!$J$10:$J$224),0),
IF('TL02'!$B$229=O$3,SUMIF('TL02'!$C$238:$C$451,$C390,'TL02'!$J$238:$J$451),0),
IF('TL03'!$B$3=O$3,SUMIF('TL03'!$C$10:$C$224,$C390,'TL03'!$J$10:$J$224),0),
IF('TL03'!$B$229=O$3,SUMIF('TL03'!$C$238:$C$451,$C390,'TL03'!$J$238:$J$451),0),
IF('TL04'!$B$3=O$3,SUMIF('TL04'!$C$10:$C$224,$C390,'TL04'!$J$10:$J$224),0),
IF('TL04'!$B$229=O$3,SUMIF('TL04'!$C$238:$C$451,$C390,'TL04'!$J$238:$J$451),0),
IF('TL05'!$B$3=O$3,SUMIF('TL05'!$C$10:$C$224,$C390,'TL05'!$J$10:$J$224),0),
IF('TL05'!$B$229=O$3,SUMIF('TL05'!$C$238:$C$451,$C390,'TL05'!$J$238:$J$451),0),
IF('TL06'!$B$3=O$3,SUMIF('TL06'!$C$10:$C$224,$C390,'TL06'!$J$10:$J$224),0),
IF('TL06'!$B$229=O$3,SUMIF('TL06'!$C$238:$C$451,$C390,'TL06'!$J$238:$J$451),0),
IF('TL07'!$B$3=O$3,SUMIF('TL07'!$C$10:$C$224,$C390,'TL07'!$J$10:$J$224),0),
IF('TL07'!$B$229=O$3,SUMIF('TL07'!$C$238:$C$451,$C390,'TL07'!$J$238:$J$451),0),
IF('TL08'!$B$3=O$3,SUMIF('TL08'!$C$10:$C$224,$C390,'TL08'!$J$10:$J$224),0),
IF('TL08'!$B$229=O$3,SUMIF('TL08'!$C$238:$C$451,$C390,'TL08'!$J$238:$J$451),0),
IF('TL09'!$B$3=O$3,SUMIF('TL09'!$C$10:$C$224,$C390,'TL09'!$J$10:$J$224),0),
IF('TL09'!$B$229=O$3,SUMIF('TL09'!$C$238:$C$451,$C390,'TL09'!$J$238:$J$451),0),
IF('TL10'!$B$3=O$3,SUMIF('TL10'!$C$10:$C$224,$C390,'TL10'!$J$10:$J$224),0),
IF('TL10'!$B$229=O$3,SUMIF('TL10'!$C$238:$C$451,$C390,'TL10'!$J$238:$J$451),0),
IF('TL11'!$B$3=O$3,SUMIF('TL11'!$C$10:$C$224,$C390,'TL11'!$J$10:$J$224),0),
IF('TL11'!$B$229=O$3,SUMIF('TL11'!$C$238:$C$451,$C390,'TL11'!$J$238:$J$451),0),
IF('TL12'!$B$3=O$3,SUMIF('TL12'!$C$10:$C$224,$C390,'TL12'!$J$10:$J$224),0),
IF('TL12'!$B$229=O$3,SUMIF('TL12'!$C$238:$C$451,$C390,'TL12'!$J$238:$J$451),0),
IF('TL13'!$B$3=O$3,SUMIF('TL13'!$C$10:$C$224,$C390,'TL13'!$J$10:$J$224),0),
IF('TL13'!$B$229=O$3,SUMIF('TL13'!$C$238:$C$451,$C390,'TL13'!$J$238:$J$451),0),
IF('TL14'!$B$3=O$3,SUMIF('TL14'!$C$10:$C$224,$C390,'TL14'!$J$10:$J$224),0),
IF('TL14'!$B$229=O$3,SUMIF('TL14'!$C$238:$C$451,$C390,'TL14'!$J$238:$J$451),0),
IF('TL15'!$B$3=O$3,SUMIF('TL15'!$C$10:$C$224,$C390,'TL15'!$J$10:$J$224),0),
IF('TL15'!$B$229=O$3,SUMIF('TL15'!$C$238:$C$451,$C390,'TL15'!$J$238:$J$451),0),
IF('TL16'!$B$3=O$3,SUMIF('TL16'!$C$10:$C$224,$C390,'TL16'!$J$10:$J$224),0),
IF('TL16'!$B$229=O$3,SUMIF('TL16'!$C$238:$C$451,$C390,'TL16'!$J$238:$J$451),0),
IF('TL17'!$B$3=O$3,SUMIF('TL17'!$C$10:$C$224,$C390,'TL17'!$J$10:$J$224),0),
IF('TL17'!$B$229=O$3,SUMIF('TL17'!$C$238:$C$451,$C390,'TL17'!$J$238:$J$451),0),
IF('TL18'!$B$3=O$3,SUMIF('TL18'!$C$10:$C$224,$C390,'TL18'!$J$10:$J$224),0),
IF('TL18'!$B$229=O$3,SUMIF('TL18'!$C$238:$C$451,$C390,'TL18'!$J$238:$J$451),0),
IF('TL19'!$B$3=O$3,SUMIF('TL19'!$C$10:$C$224,$C390,'TL19'!$J$10:$J$224),0),
IF('TL19'!$B$229=O$3,SUMIF('TL19'!$C$238:$C$451,$C390,'TL19'!$J$238:$J$451),0)
),0)</f>
        <v>0</v>
      </c>
      <c r="P390" s="9">
        <f>IFERROR(SUM(
IF('TL01'!$B$3=P$3,SUMIF('TL01'!$C$10:$C$224,$C390,'TL01'!$J$10:$J$224),0),
IF('TL01'!$B$229=P$3,SUMIF('TL01'!$C$238:$C$451,$C390,'TL01'!$J$238:$J$451),0),
IF('TL02'!$B$3=P$3,SUMIF('TL02'!$C$10:$C$224,$C390,'TL02'!$J$10:$J$224),0),
IF('TL02'!$B$229=P$3,SUMIF('TL02'!$C$238:$C$451,$C390,'TL02'!$J$238:$J$451),0),
IF('TL03'!$B$3=P$3,SUMIF('TL03'!$C$10:$C$224,$C390,'TL03'!$J$10:$J$224),0),
IF('TL03'!$B$229=P$3,SUMIF('TL03'!$C$238:$C$451,$C390,'TL03'!$J$238:$J$451),0),
IF('TL04'!$B$3=P$3,SUMIF('TL04'!$C$10:$C$224,$C390,'TL04'!$J$10:$J$224),0),
IF('TL04'!$B$229=P$3,SUMIF('TL04'!$C$238:$C$451,$C390,'TL04'!$J$238:$J$451),0),
IF('TL05'!$B$3=P$3,SUMIF('TL05'!$C$10:$C$224,$C390,'TL05'!$J$10:$J$224),0),
IF('TL05'!$B$229=P$3,SUMIF('TL05'!$C$238:$C$451,$C390,'TL05'!$J$238:$J$451),0),
IF('TL06'!$B$3=P$3,SUMIF('TL06'!$C$10:$C$224,$C390,'TL06'!$J$10:$J$224),0),
IF('TL06'!$B$229=P$3,SUMIF('TL06'!$C$238:$C$451,$C390,'TL06'!$J$238:$J$451),0),
IF('TL07'!$B$3=P$3,SUMIF('TL07'!$C$10:$C$224,$C390,'TL07'!$J$10:$J$224),0),
IF('TL07'!$B$229=P$3,SUMIF('TL07'!$C$238:$C$451,$C390,'TL07'!$J$238:$J$451),0),
IF('TL08'!$B$3=P$3,SUMIF('TL08'!$C$10:$C$224,$C390,'TL08'!$J$10:$J$224),0),
IF('TL08'!$B$229=P$3,SUMIF('TL08'!$C$238:$C$451,$C390,'TL08'!$J$238:$J$451),0),
IF('TL09'!$B$3=P$3,SUMIF('TL09'!$C$10:$C$224,$C390,'TL09'!$J$10:$J$224),0),
IF('TL09'!$B$229=P$3,SUMIF('TL09'!$C$238:$C$451,$C390,'TL09'!$J$238:$J$451),0),
IF('TL10'!$B$3=P$3,SUMIF('TL10'!$C$10:$C$224,$C390,'TL10'!$J$10:$J$224),0),
IF('TL10'!$B$229=P$3,SUMIF('TL10'!$C$238:$C$451,$C390,'TL10'!$J$238:$J$451),0),
IF('TL11'!$B$3=P$3,SUMIF('TL11'!$C$10:$C$224,$C390,'TL11'!$J$10:$J$224),0),
IF('TL11'!$B$229=P$3,SUMIF('TL11'!$C$238:$C$451,$C390,'TL11'!$J$238:$J$451),0),
IF('TL12'!$B$3=P$3,SUMIF('TL12'!$C$10:$C$224,$C390,'TL12'!$J$10:$J$224),0),
IF('TL12'!$B$229=P$3,SUMIF('TL12'!$C$238:$C$451,$C390,'TL12'!$J$238:$J$451),0),
IF('TL13'!$B$3=P$3,SUMIF('TL13'!$C$10:$C$224,$C390,'TL13'!$J$10:$J$224),0),
IF('TL13'!$B$229=P$3,SUMIF('TL13'!$C$238:$C$451,$C390,'TL13'!$J$238:$J$451),0),
IF('TL14'!$B$3=P$3,SUMIF('TL14'!$C$10:$C$224,$C390,'TL14'!$J$10:$J$224),0),
IF('TL14'!$B$229=P$3,SUMIF('TL14'!$C$238:$C$451,$C390,'TL14'!$J$238:$J$451),0),
IF('TL15'!$B$3=P$3,SUMIF('TL15'!$C$10:$C$224,$C390,'TL15'!$J$10:$J$224),0),
IF('TL15'!$B$229=P$3,SUMIF('TL15'!$C$238:$C$451,$C390,'TL15'!$J$238:$J$451),0),
IF('TL16'!$B$3=P$3,SUMIF('TL16'!$C$10:$C$224,$C390,'TL16'!$J$10:$J$224),0),
IF('TL16'!$B$229=P$3,SUMIF('TL16'!$C$238:$C$451,$C390,'TL16'!$J$238:$J$451),0),
IF('TL17'!$B$3=P$3,SUMIF('TL17'!$C$10:$C$224,$C390,'TL17'!$J$10:$J$224),0),
IF('TL17'!$B$229=P$3,SUMIF('TL17'!$C$238:$C$451,$C390,'TL17'!$J$238:$J$451),0),
IF('TL18'!$B$3=P$3,SUMIF('TL18'!$C$10:$C$224,$C390,'TL18'!$J$10:$J$224),0),
IF('TL18'!$B$229=P$3,SUMIF('TL18'!$C$238:$C$451,$C390,'TL18'!$J$238:$J$451),0),
IF('TL19'!$B$3=P$3,SUMIF('TL19'!$C$10:$C$224,$C390,'TL19'!$J$10:$J$224),0),
IF('TL19'!$B$229=P$3,SUMIF('TL19'!$C$238:$C$451,$C390,'TL19'!$J$238:$J$451),0)
),0)</f>
        <v>0</v>
      </c>
      <c r="Q390" s="9">
        <f>IFERROR(SUM(
IF('TL01'!$B$3=Q$3,SUMIF('TL01'!$C$10:$C$224,$C390,'TL01'!$J$10:$J$224),0),
IF('TL01'!$B$229=Q$3,SUMIF('TL01'!$C$238:$C$451,$C390,'TL01'!$J$238:$J$451),0),
IF('TL02'!$B$3=Q$3,SUMIF('TL02'!$C$10:$C$224,$C390,'TL02'!$J$10:$J$224),0),
IF('TL02'!$B$229=Q$3,SUMIF('TL02'!$C$238:$C$451,$C390,'TL02'!$J$238:$J$451),0),
IF('TL03'!$B$3=Q$3,SUMIF('TL03'!$C$10:$C$224,$C390,'TL03'!$J$10:$J$224),0),
IF('TL03'!$B$229=Q$3,SUMIF('TL03'!$C$238:$C$451,$C390,'TL03'!$J$238:$J$451),0),
IF('TL04'!$B$3=Q$3,SUMIF('TL04'!$C$10:$C$224,$C390,'TL04'!$J$10:$J$224),0),
IF('TL04'!$B$229=Q$3,SUMIF('TL04'!$C$238:$C$451,$C390,'TL04'!$J$238:$J$451),0),
IF('TL05'!$B$3=Q$3,SUMIF('TL05'!$C$10:$C$224,$C390,'TL05'!$J$10:$J$224),0),
IF('TL05'!$B$229=Q$3,SUMIF('TL05'!$C$238:$C$451,$C390,'TL05'!$J$238:$J$451),0),
IF('TL06'!$B$3=Q$3,SUMIF('TL06'!$C$10:$C$224,$C390,'TL06'!$J$10:$J$224),0),
IF('TL06'!$B$229=Q$3,SUMIF('TL06'!$C$238:$C$451,$C390,'TL06'!$J$238:$J$451),0),
IF('TL07'!$B$3=Q$3,SUMIF('TL07'!$C$10:$C$224,$C390,'TL07'!$J$10:$J$224),0),
IF('TL07'!$B$229=Q$3,SUMIF('TL07'!$C$238:$C$451,$C390,'TL07'!$J$238:$J$451),0),
IF('TL08'!$B$3=Q$3,SUMIF('TL08'!$C$10:$C$224,$C390,'TL08'!$J$10:$J$224),0),
IF('TL08'!$B$229=Q$3,SUMIF('TL08'!$C$238:$C$451,$C390,'TL08'!$J$238:$J$451),0),
IF('TL09'!$B$3=Q$3,SUMIF('TL09'!$C$10:$C$224,$C390,'TL09'!$J$10:$J$224),0),
IF('TL09'!$B$229=Q$3,SUMIF('TL09'!$C$238:$C$451,$C390,'TL09'!$J$238:$J$451),0),
IF('TL10'!$B$3=Q$3,SUMIF('TL10'!$C$10:$C$224,$C390,'TL10'!$J$10:$J$224),0),
IF('TL10'!$B$229=Q$3,SUMIF('TL10'!$C$238:$C$451,$C390,'TL10'!$J$238:$J$451),0),
IF('TL11'!$B$3=Q$3,SUMIF('TL11'!$C$10:$C$224,$C390,'TL11'!$J$10:$J$224),0),
IF('TL11'!$B$229=Q$3,SUMIF('TL11'!$C$238:$C$451,$C390,'TL11'!$J$238:$J$451),0),
IF('TL12'!$B$3=Q$3,SUMIF('TL12'!$C$10:$C$224,$C390,'TL12'!$J$10:$J$224),0),
IF('TL12'!$B$229=Q$3,SUMIF('TL12'!$C$238:$C$451,$C390,'TL12'!$J$238:$J$451),0),
IF('TL13'!$B$3=Q$3,SUMIF('TL13'!$C$10:$C$224,$C390,'TL13'!$J$10:$J$224),0),
IF('TL13'!$B$229=Q$3,SUMIF('TL13'!$C$238:$C$451,$C390,'TL13'!$J$238:$J$451),0),
IF('TL14'!$B$3=Q$3,SUMIF('TL14'!$C$10:$C$224,$C390,'TL14'!$J$10:$J$224),0),
IF('TL14'!$B$229=Q$3,SUMIF('TL14'!$C$238:$C$451,$C390,'TL14'!$J$238:$J$451),0),
IF('TL15'!$B$3=Q$3,SUMIF('TL15'!$C$10:$C$224,$C390,'TL15'!$J$10:$J$224),0),
IF('TL15'!$B$229=Q$3,SUMIF('TL15'!$C$238:$C$451,$C390,'TL15'!$J$238:$J$451),0),
IF('TL16'!$B$3=Q$3,SUMIF('TL16'!$C$10:$C$224,$C390,'TL16'!$J$10:$J$224),0),
IF('TL16'!$B$229=Q$3,SUMIF('TL16'!$C$238:$C$451,$C390,'TL16'!$J$238:$J$451),0),
IF('TL17'!$B$3=Q$3,SUMIF('TL17'!$C$10:$C$224,$C390,'TL17'!$J$10:$J$224),0),
IF('TL17'!$B$229=Q$3,SUMIF('TL17'!$C$238:$C$451,$C390,'TL17'!$J$238:$J$451),0),
IF('TL18'!$B$3=Q$3,SUMIF('TL18'!$C$10:$C$224,$C390,'TL18'!$J$10:$J$224),0),
IF('TL18'!$B$229=Q$3,SUMIF('TL18'!$C$238:$C$451,$C390,'TL18'!$J$238:$J$451),0),
IF('TL19'!$B$3=Q$3,SUMIF('TL19'!$C$10:$C$224,$C390,'TL19'!$J$10:$J$224),0),
IF('TL19'!$B$229=Q$3,SUMIF('TL19'!$C$238:$C$451,$C390,'TL19'!$J$238:$J$451),0)
),0)</f>
        <v>0</v>
      </c>
      <c r="R390" s="9">
        <f>IFERROR(
SUM(
SUMIF('TL01'!C:C,C390,'TL01'!J:J),
SUMIF('TL02'!C:C,C390,'TL02'!J:J),
SUMIF('TL03'!C:C,C390,'TL03'!J:J),
SUMIF('TL04'!C:C,C390,'TL04'!J:J),
SUMIF('TL05'!C:C,C390,'TL05'!J:J),
SUMIF('TL06'!C:C,C390,'TL06'!J:J),
SUMIF('TL07'!C:C,C390,'TL07'!J:J),
SUMIF('TL08'!C:C,C390,'TL08'!J:J),
SUMIF('TL09'!C:C,C390,'TL09'!J:J),
SUMIF('TL10'!C:C,C390,'TL10'!J:J),
SUMIF('TL11'!C:C,C390,'TL11'!J:J),
SUMIF('TL12'!C:C,C390,'TL12'!J:J),
SUMIF('TL13'!C:C,C390,'TL13'!J:J),
SUMIF('TL14'!C:C,C390,'TL14'!J:J),
SUMIF('TL15'!C:C,C390,'TL15'!J:J),
SUMIF('TL16'!C:C,C390,'TL16'!J:J),
SUMIF('TL17'!C:C,C390,'TL17'!J:J),
SUMIF('TL18'!C:C,C390,'TL18'!J:J),SUMIF('TL19'!C:C,C390,'TL19'!J:J))
,0)</f>
        <v>0</v>
      </c>
      <c r="S390" s="17">
        <f>IFERROR(__xludf.DUMMYFUNCTION("IFERROR(VLOOKUP(C390,
IMPORTRANGE(""1wULbzX32WdYsx-lj2U3uUNBBe2INVIRDtcK0d-Dvl90"",
""26-27!C:G""),
5,
FALSE),
"""")"),7.18)</f>
        <v>7.18</v>
      </c>
      <c r="T390" s="9"/>
      <c r="U390" s="92">
        <f t="shared" si="2"/>
        <v>0</v>
      </c>
      <c r="V390" s="93">
        <f t="shared" si="3"/>
        <v>0</v>
      </c>
    </row>
    <row r="391" ht="15.75" hidden="1" customHeight="1">
      <c r="A391" s="4"/>
      <c r="B391" s="125"/>
      <c r="C391" s="6"/>
      <c r="D391" s="6"/>
      <c r="E391" s="9"/>
      <c r="F391" s="4"/>
      <c r="G391" s="90" t="str">
        <f t="shared" si="5"/>
        <v>📄 Ver bula</v>
      </c>
      <c r="H391" s="9"/>
      <c r="I391" s="1"/>
      <c r="J391" s="9">
        <f>IFERROR(SUM(
IF('TL01'!$B$3=J$3,SUMIF('TL01'!$C$10:$C$224,$C391,'TL01'!$J$10:$J$224),0),
IF('TL01'!$B$229=J$3,SUMIF('TL01'!$C$238:$C$451,$C391,'TL01'!$J$238:$J$451),0),
IF('TL02'!$B$3=J$3,SUMIF('TL02'!$C$10:$C$224,$C391,'TL02'!$J$10:$J$224),0),
IF('TL02'!$B$229=J$3,SUMIF('TL02'!$C$238:$C$451,$C391,'TL02'!$J$238:$J$451),0),
IF('TL03'!$B$3=J$3,SUMIF('TL03'!$C$10:$C$224,$C391,'TL03'!$J$10:$J$224),0),
IF('TL03'!$B$229=J$3,SUMIF('TL03'!$C$238:$C$451,$C391,'TL03'!$J$238:$J$451),0),
IF('TL04'!$B$3=J$3,SUMIF('TL04'!$C$10:$C$224,$C391,'TL04'!$J$10:$J$224),0),
IF('TL04'!$B$229=J$3,SUMIF('TL04'!$C$238:$C$451,$C391,'TL04'!$J$238:$J$451),0),
IF('TL05'!$B$3=J$3,SUMIF('TL05'!$C$10:$C$224,$C391,'TL05'!$J$10:$J$224),0),
IF('TL05'!$B$229=J$3,SUMIF('TL05'!$C$238:$C$451,$C391,'TL05'!$J$238:$J$451),0),
IF('TL06'!$B$3=J$3,SUMIF('TL06'!$C$10:$C$224,$C391,'TL06'!$J$10:$J$224),0),
IF('TL06'!$B$229=J$3,SUMIF('TL06'!$C$238:$C$451,$C391,'TL06'!$J$238:$J$451),0),
IF('TL07'!$B$3=J$3,SUMIF('TL07'!$C$10:$C$224,$C391,'TL07'!$J$10:$J$224),0),
IF('TL07'!$B$229=J$3,SUMIF('TL07'!$C$238:$C$451,$C391,'TL07'!$J$238:$J$451),0),
IF('TL08'!$B$3=J$3,SUMIF('TL08'!$C$10:$C$224,$C391,'TL08'!$J$10:$J$224),0),
IF('TL08'!$B$229=J$3,SUMIF('TL08'!$C$238:$C$451,$C391,'TL08'!$J$238:$J$451),0),
IF('TL09'!$B$3=J$3,SUMIF('TL09'!$C$10:$C$224,$C391,'TL09'!$J$10:$J$224),0),
IF('TL09'!$B$229=J$3,SUMIF('TL09'!$C$238:$C$451,$C391,'TL09'!$J$238:$J$451),0),
IF('TL10'!$B$3=J$3,SUMIF('TL10'!$C$10:$C$224,$C391,'TL10'!$J$10:$J$224),0),
IF('TL10'!$B$229=J$3,SUMIF('TL10'!$C$238:$C$451,$C391,'TL10'!$J$238:$J$451),0),
IF('TL11'!$B$3=J$3,SUMIF('TL11'!$C$10:$C$224,$C391,'TL11'!$J$10:$J$224),0),
IF('TL11'!$B$229=J$3,SUMIF('TL11'!$C$238:$C$451,$C391,'TL11'!$J$238:$J$451),0),
IF('TL12'!$B$3=J$3,SUMIF('TL12'!$C$10:$C$224,$C391,'TL12'!$J$10:$J$224),0),
IF('TL12'!$B$229=J$3,SUMIF('TL12'!$C$238:$C$451,$C391,'TL12'!$J$238:$J$451),0),
IF('TL13'!$B$3=J$3,SUMIF('TL13'!$C$10:$C$224,$C391,'TL13'!$J$10:$J$224),0),
IF('TL13'!$B$229=J$3,SUMIF('TL13'!$C$238:$C$451,$C391,'TL13'!$J$238:$J$451),0),
IF('TL14'!$B$3=J$3,SUMIF('TL14'!$C$10:$C$224,$C391,'TL14'!$J$10:$J$224),0),
IF('TL14'!$B$229=J$3,SUMIF('TL14'!$C$238:$C$451,$C391,'TL14'!$J$238:$J$451),0),
IF('TL15'!$B$3=J$3,SUMIF('TL15'!$C$10:$C$224,$C391,'TL15'!$J$10:$J$224),0),
IF('TL15'!$B$229=J$3,SUMIF('TL15'!$C$238:$C$451,$C391,'TL15'!$J$238:$J$451),0),
IF('TL16'!$B$3=J$3,SUMIF('TL16'!$C$10:$C$224,$C391,'TL16'!$J$10:$J$224),0),
IF('TL16'!$B$229=J$3,SUMIF('TL16'!$C$238:$C$451,$C391,'TL16'!$J$238:$J$451),0),
IF('TL17'!$B$3=J$3,SUMIF('TL17'!$C$10:$C$224,$C391,'TL17'!$J$10:$J$224),0),
IF('TL17'!$B$229=J$3,SUMIF('TL17'!$C$238:$C$451,$C391,'TL17'!$J$238:$J$451),0),
IF('TL18'!$B$3=J$3,SUMIF('TL18'!$C$10:$C$224,$C391,'TL18'!$J$10:$J$224),0),
IF('TL18'!$B$229=J$3,SUMIF('TL18'!$C$238:$C$451,$C391,'TL18'!$J$238:$J$451),0),
IF('TL19'!$B$3=J$3,SUMIF('TL19'!$C$10:$C$224,$C391,'TL19'!$J$10:$J$224),0),
IF('TL19'!$B$229=J$3,SUMIF('TL19'!$C$238:$C$451,$C391,'TL19'!$J$238:$J$451),0)
),0)</f>
        <v>0</v>
      </c>
      <c r="K391" s="9">
        <f>IFERROR(SUM(
IF('TL01'!$B$3=K$3,SUMIF('TL01'!$C$10:$C$224,$C391,'TL01'!$J$10:$J$224),0),
IF('TL01'!$B$229=K$3,SUMIF('TL01'!$C$238:$C$451,$C391,'TL01'!$J$238:$J$451),0),
IF('TL02'!$B$3=K$3,SUMIF('TL02'!$C$10:$C$224,$C391,'TL02'!$J$10:$J$224),0),
IF('TL02'!$B$229=K$3,SUMIF('TL02'!$C$238:$C$451,$C391,'TL02'!$J$238:$J$451),0),
IF('TL03'!$B$3=K$3,SUMIF('TL03'!$C$10:$C$224,$C391,'TL03'!$J$10:$J$224),0),
IF('TL03'!$B$229=K$3,SUMIF('TL03'!$C$238:$C$451,$C391,'TL03'!$J$238:$J$451),0),
IF('TL04'!$B$3=K$3,SUMIF('TL04'!$C$10:$C$224,$C391,'TL04'!$J$10:$J$224),0),
IF('TL04'!$B$229=K$3,SUMIF('TL04'!$C$238:$C$451,$C391,'TL04'!$J$238:$J$451),0),
IF('TL05'!$B$3=K$3,SUMIF('TL05'!$C$10:$C$224,$C391,'TL05'!$J$10:$J$224),0),
IF('TL05'!$B$229=K$3,SUMIF('TL05'!$C$238:$C$451,$C391,'TL05'!$J$238:$J$451),0),
IF('TL06'!$B$3=K$3,SUMIF('TL06'!$C$10:$C$224,$C391,'TL06'!$J$10:$J$224),0),
IF('TL06'!$B$229=K$3,SUMIF('TL06'!$C$238:$C$451,$C391,'TL06'!$J$238:$J$451),0),
IF('TL07'!$B$3=K$3,SUMIF('TL07'!$C$10:$C$224,$C391,'TL07'!$J$10:$J$224),0),
IF('TL07'!$B$229=K$3,SUMIF('TL07'!$C$238:$C$451,$C391,'TL07'!$J$238:$J$451),0),
IF('TL08'!$B$3=K$3,SUMIF('TL08'!$C$10:$C$224,$C391,'TL08'!$J$10:$J$224),0),
IF('TL08'!$B$229=K$3,SUMIF('TL08'!$C$238:$C$451,$C391,'TL08'!$J$238:$J$451),0),
IF('TL09'!$B$3=K$3,SUMIF('TL09'!$C$10:$C$224,$C391,'TL09'!$J$10:$J$224),0),
IF('TL09'!$B$229=K$3,SUMIF('TL09'!$C$238:$C$451,$C391,'TL09'!$J$238:$J$451),0),
IF('TL10'!$B$3=K$3,SUMIF('TL10'!$C$10:$C$224,$C391,'TL10'!$J$10:$J$224),0),
IF('TL10'!$B$229=K$3,SUMIF('TL10'!$C$238:$C$451,$C391,'TL10'!$J$238:$J$451),0),
IF('TL11'!$B$3=K$3,SUMIF('TL11'!$C$10:$C$224,$C391,'TL11'!$J$10:$J$224),0),
IF('TL11'!$B$229=K$3,SUMIF('TL11'!$C$238:$C$451,$C391,'TL11'!$J$238:$J$451),0),
IF('TL12'!$B$3=K$3,SUMIF('TL12'!$C$10:$C$224,$C391,'TL12'!$J$10:$J$224),0),
IF('TL12'!$B$229=K$3,SUMIF('TL12'!$C$238:$C$451,$C391,'TL12'!$J$238:$J$451),0),
IF('TL13'!$B$3=K$3,SUMIF('TL13'!$C$10:$C$224,$C391,'TL13'!$J$10:$J$224),0),
IF('TL13'!$B$229=K$3,SUMIF('TL13'!$C$238:$C$451,$C391,'TL13'!$J$238:$J$451),0),
IF('TL14'!$B$3=K$3,SUMIF('TL14'!$C$10:$C$224,$C391,'TL14'!$J$10:$J$224),0),
IF('TL14'!$B$229=K$3,SUMIF('TL14'!$C$238:$C$451,$C391,'TL14'!$J$238:$J$451),0),
IF('TL15'!$B$3=K$3,SUMIF('TL15'!$C$10:$C$224,$C391,'TL15'!$J$10:$J$224),0),
IF('TL15'!$B$229=K$3,SUMIF('TL15'!$C$238:$C$451,$C391,'TL15'!$J$238:$J$451),0),
IF('TL16'!$B$3=K$3,SUMIF('TL16'!$C$10:$C$224,$C391,'TL16'!$J$10:$J$224),0),
IF('TL16'!$B$229=K$3,SUMIF('TL16'!$C$238:$C$451,$C391,'TL16'!$J$238:$J$451),0),
IF('TL17'!$B$3=K$3,SUMIF('TL17'!$C$10:$C$224,$C391,'TL17'!$J$10:$J$224),0),
IF('TL17'!$B$229=K$3,SUMIF('TL17'!$C$238:$C$451,$C391,'TL17'!$J$238:$J$451),0),
IF('TL18'!$B$3=K$3,SUMIF('TL18'!$C$10:$C$224,$C391,'TL18'!$J$10:$J$224),0),
IF('TL18'!$B$229=K$3,SUMIF('TL18'!$C$238:$C$451,$C391,'TL18'!$J$238:$J$451),0),
IF('TL19'!$B$3=K$3,SUMIF('TL19'!$C$10:$C$224,$C391,'TL19'!$J$10:$J$224),0),
IF('TL19'!$B$229=K$3,SUMIF('TL19'!$C$238:$C$451,$C391,'TL19'!$J$238:$J$451),0)
),0)</f>
        <v>0</v>
      </c>
      <c r="L391" s="9">
        <f>IFERROR(SUM(
IF('TL01'!$B$3=L$3,SUMIF('TL01'!$C$10:$C$224,$C391,'TL01'!$J$10:$J$224),0),
IF('TL01'!$B$229=L$3,SUMIF('TL01'!$C$238:$C$451,$C391,'TL01'!$J$238:$J$451),0),
IF('TL02'!$B$3=L$3,SUMIF('TL02'!$C$10:$C$224,$C391,'TL02'!$J$10:$J$224),0),
IF('TL02'!$B$229=L$3,SUMIF('TL02'!$C$238:$C$451,$C391,'TL02'!$J$238:$J$451),0),
IF('TL03'!$B$3=L$3,SUMIF('TL03'!$C$10:$C$224,$C391,'TL03'!$J$10:$J$224),0),
IF('TL03'!$B$229=L$3,SUMIF('TL03'!$C$238:$C$451,$C391,'TL03'!$J$238:$J$451),0),
IF('TL04'!$B$3=L$3,SUMIF('TL04'!$C$10:$C$224,$C391,'TL04'!$J$10:$J$224),0),
IF('TL04'!$B$229=L$3,SUMIF('TL04'!$C$238:$C$451,$C391,'TL04'!$J$238:$J$451),0),
IF('TL05'!$B$3=L$3,SUMIF('TL05'!$C$10:$C$224,$C391,'TL05'!$J$10:$J$224),0),
IF('TL05'!$B$229=L$3,SUMIF('TL05'!$C$238:$C$451,$C391,'TL05'!$J$238:$J$451),0),
IF('TL06'!$B$3=L$3,SUMIF('TL06'!$C$10:$C$224,$C391,'TL06'!$J$10:$J$224),0),
IF('TL06'!$B$229=L$3,SUMIF('TL06'!$C$238:$C$451,$C391,'TL06'!$J$238:$J$451),0),
IF('TL07'!$B$3=L$3,SUMIF('TL07'!$C$10:$C$224,$C391,'TL07'!$J$10:$J$224),0),
IF('TL07'!$B$229=L$3,SUMIF('TL07'!$C$238:$C$451,$C391,'TL07'!$J$238:$J$451),0),
IF('TL08'!$B$3=L$3,SUMIF('TL08'!$C$10:$C$224,$C391,'TL08'!$J$10:$J$224),0),
IF('TL08'!$B$229=L$3,SUMIF('TL08'!$C$238:$C$451,$C391,'TL08'!$J$238:$J$451),0),
IF('TL09'!$B$3=L$3,SUMIF('TL09'!$C$10:$C$224,$C391,'TL09'!$J$10:$J$224),0),
IF('TL09'!$B$229=L$3,SUMIF('TL09'!$C$238:$C$451,$C391,'TL09'!$J$238:$J$451),0),
IF('TL10'!$B$3=L$3,SUMIF('TL10'!$C$10:$C$224,$C391,'TL10'!$J$10:$J$224),0),
IF('TL10'!$B$229=L$3,SUMIF('TL10'!$C$238:$C$451,$C391,'TL10'!$J$238:$J$451),0),
IF('TL11'!$B$3=L$3,SUMIF('TL11'!$C$10:$C$224,$C391,'TL11'!$J$10:$J$224),0),
IF('TL11'!$B$229=L$3,SUMIF('TL11'!$C$238:$C$451,$C391,'TL11'!$J$238:$J$451),0),
IF('TL12'!$B$3=L$3,SUMIF('TL12'!$C$10:$C$224,$C391,'TL12'!$J$10:$J$224),0),
IF('TL12'!$B$229=L$3,SUMIF('TL12'!$C$238:$C$451,$C391,'TL12'!$J$238:$J$451),0),
IF('TL13'!$B$3=L$3,SUMIF('TL13'!$C$10:$C$224,$C391,'TL13'!$J$10:$J$224),0),
IF('TL13'!$B$229=L$3,SUMIF('TL13'!$C$238:$C$451,$C391,'TL13'!$J$238:$J$451),0),
IF('TL14'!$B$3=L$3,SUMIF('TL14'!$C$10:$C$224,$C391,'TL14'!$J$10:$J$224),0),
IF('TL14'!$B$229=L$3,SUMIF('TL14'!$C$238:$C$451,$C391,'TL14'!$J$238:$J$451),0),
IF('TL15'!$B$3=L$3,SUMIF('TL15'!$C$10:$C$224,$C391,'TL15'!$J$10:$J$224),0),
IF('TL15'!$B$229=L$3,SUMIF('TL15'!$C$238:$C$451,$C391,'TL15'!$J$238:$J$451),0),
IF('TL16'!$B$3=L$3,SUMIF('TL16'!$C$10:$C$224,$C391,'TL16'!$J$10:$J$224),0),
IF('TL16'!$B$229=L$3,SUMIF('TL16'!$C$238:$C$451,$C391,'TL16'!$J$238:$J$451),0),
IF('TL17'!$B$3=L$3,SUMIF('TL17'!$C$10:$C$224,$C391,'TL17'!$J$10:$J$224),0),
IF('TL17'!$B$229=L$3,SUMIF('TL17'!$C$238:$C$451,$C391,'TL17'!$J$238:$J$451),0),
IF('TL18'!$B$3=L$3,SUMIF('TL18'!$C$10:$C$224,$C391,'TL18'!$J$10:$J$224),0),
IF('TL18'!$B$229=L$3,SUMIF('TL18'!$C$238:$C$451,$C391,'TL18'!$J$238:$J$451),0),
IF('TL19'!$B$3=L$3,SUMIF('TL19'!$C$10:$C$224,$C391,'TL19'!$J$10:$J$224),0),
IF('TL19'!$B$229=L$3,SUMIF('TL19'!$C$238:$C$451,$C391,'TL19'!$J$238:$J$451),0)
),0)</f>
        <v>0</v>
      </c>
      <c r="M391" s="9">
        <f>IFERROR(SUM(
IF('TL01'!$B$3=M$3,SUMIF('TL01'!$C$10:$C$224,$C391,'TL01'!$J$10:$J$224),0),
IF('TL01'!$B$229=M$3,SUMIF('TL01'!$C$238:$C$451,$C391,'TL01'!$J$238:$J$451),0),
IF('TL02'!$B$3=M$3,SUMIF('TL02'!$C$10:$C$224,$C391,'TL02'!$J$10:$J$224),0),
IF('TL02'!$B$229=M$3,SUMIF('TL02'!$C$238:$C$451,$C391,'TL02'!$J$238:$J$451),0),
IF('TL03'!$B$3=M$3,SUMIF('TL03'!$C$10:$C$224,$C391,'TL03'!$J$10:$J$224),0),
IF('TL03'!$B$229=M$3,SUMIF('TL03'!$C$238:$C$451,$C391,'TL03'!$J$238:$J$451),0),
IF('TL04'!$B$3=M$3,SUMIF('TL04'!$C$10:$C$224,$C391,'TL04'!$J$10:$J$224),0),
IF('TL04'!$B$229=M$3,SUMIF('TL04'!$C$238:$C$451,$C391,'TL04'!$J$238:$J$451),0),
IF('TL05'!$B$3=M$3,SUMIF('TL05'!$C$10:$C$224,$C391,'TL05'!$J$10:$J$224),0),
IF('TL05'!$B$229=M$3,SUMIF('TL05'!$C$238:$C$451,$C391,'TL05'!$J$238:$J$451),0),
IF('TL06'!$B$3=M$3,SUMIF('TL06'!$C$10:$C$224,$C391,'TL06'!$J$10:$J$224),0),
IF('TL06'!$B$229=M$3,SUMIF('TL06'!$C$238:$C$451,$C391,'TL06'!$J$238:$J$451),0),
IF('TL07'!$B$3=M$3,SUMIF('TL07'!$C$10:$C$224,$C391,'TL07'!$J$10:$J$224),0),
IF('TL07'!$B$229=M$3,SUMIF('TL07'!$C$238:$C$451,$C391,'TL07'!$J$238:$J$451),0),
IF('TL08'!$B$3=M$3,SUMIF('TL08'!$C$10:$C$224,$C391,'TL08'!$J$10:$J$224),0),
IF('TL08'!$B$229=M$3,SUMIF('TL08'!$C$238:$C$451,$C391,'TL08'!$J$238:$J$451),0),
IF('TL09'!$B$3=M$3,SUMIF('TL09'!$C$10:$C$224,$C391,'TL09'!$J$10:$J$224),0),
IF('TL09'!$B$229=M$3,SUMIF('TL09'!$C$238:$C$451,$C391,'TL09'!$J$238:$J$451),0),
IF('TL10'!$B$3=M$3,SUMIF('TL10'!$C$10:$C$224,$C391,'TL10'!$J$10:$J$224),0),
IF('TL10'!$B$229=M$3,SUMIF('TL10'!$C$238:$C$451,$C391,'TL10'!$J$238:$J$451),0),
IF('TL11'!$B$3=M$3,SUMIF('TL11'!$C$10:$C$224,$C391,'TL11'!$J$10:$J$224),0),
IF('TL11'!$B$229=M$3,SUMIF('TL11'!$C$238:$C$451,$C391,'TL11'!$J$238:$J$451),0),
IF('TL12'!$B$3=M$3,SUMIF('TL12'!$C$10:$C$224,$C391,'TL12'!$J$10:$J$224),0),
IF('TL12'!$B$229=M$3,SUMIF('TL12'!$C$238:$C$451,$C391,'TL12'!$J$238:$J$451),0),
IF('TL13'!$B$3=M$3,SUMIF('TL13'!$C$10:$C$224,$C391,'TL13'!$J$10:$J$224),0),
IF('TL13'!$B$229=M$3,SUMIF('TL13'!$C$238:$C$451,$C391,'TL13'!$J$238:$J$451),0),
IF('TL14'!$B$3=M$3,SUMIF('TL14'!$C$10:$C$224,$C391,'TL14'!$J$10:$J$224),0),
IF('TL14'!$B$229=M$3,SUMIF('TL14'!$C$238:$C$451,$C391,'TL14'!$J$238:$J$451),0),
IF('TL15'!$B$3=M$3,SUMIF('TL15'!$C$10:$C$224,$C391,'TL15'!$J$10:$J$224),0),
IF('TL15'!$B$229=M$3,SUMIF('TL15'!$C$238:$C$451,$C391,'TL15'!$J$238:$J$451),0),
IF('TL16'!$B$3=M$3,SUMIF('TL16'!$C$10:$C$224,$C391,'TL16'!$J$10:$J$224),0),
IF('TL16'!$B$229=M$3,SUMIF('TL16'!$C$238:$C$451,$C391,'TL16'!$J$238:$J$451),0),
IF('TL17'!$B$3=M$3,SUMIF('TL17'!$C$10:$C$224,$C391,'TL17'!$J$10:$J$224),0),
IF('TL17'!$B$229=M$3,SUMIF('TL17'!$C$238:$C$451,$C391,'TL17'!$J$238:$J$451),0),
IF('TL18'!$B$3=M$3,SUMIF('TL18'!$C$10:$C$224,$C391,'TL18'!$J$10:$J$224),0),
IF('TL18'!$B$229=M$3,SUMIF('TL18'!$C$238:$C$451,$C391,'TL18'!$J$238:$J$451),0),
IF('TL19'!$B$3=M$3,SUMIF('TL19'!$C$10:$C$224,$C391,'TL19'!$J$10:$J$224),0),
IF('TL19'!$B$229=M$3,SUMIF('TL19'!$C$238:$C$451,$C391,'TL19'!$J$238:$J$451),0)
),0)</f>
        <v>0</v>
      </c>
      <c r="N391" s="9">
        <f>IFERROR(SUM(
IF('TL01'!$B$3=N$3,SUMIF('TL01'!$C$10:$C$224,$C391,'TL01'!$J$10:$J$224),0),
IF('TL01'!$B$229=N$3,SUMIF('TL01'!$C$238:$C$451,$C391,'TL01'!$J$238:$J$451),0),
IF('TL02'!$B$3=N$3,SUMIF('TL02'!$C$10:$C$224,$C391,'TL02'!$J$10:$J$224),0),
IF('TL02'!$B$229=N$3,SUMIF('TL02'!$C$238:$C$451,$C391,'TL02'!$J$238:$J$451),0),
IF('TL03'!$B$3=N$3,SUMIF('TL03'!$C$10:$C$224,$C391,'TL03'!$J$10:$J$224),0),
IF('TL03'!$B$229=N$3,SUMIF('TL03'!$C$238:$C$451,$C391,'TL03'!$J$238:$J$451),0),
IF('TL04'!$B$3=N$3,SUMIF('TL04'!$C$10:$C$224,$C391,'TL04'!$J$10:$J$224),0),
IF('TL04'!$B$229=N$3,SUMIF('TL04'!$C$238:$C$451,$C391,'TL04'!$J$238:$J$451),0),
IF('TL05'!$B$3=N$3,SUMIF('TL05'!$C$10:$C$224,$C391,'TL05'!$J$10:$J$224),0),
IF('TL05'!$B$229=N$3,SUMIF('TL05'!$C$238:$C$451,$C391,'TL05'!$J$238:$J$451),0),
IF('TL06'!$B$3=N$3,SUMIF('TL06'!$C$10:$C$224,$C391,'TL06'!$J$10:$J$224),0),
IF('TL06'!$B$229=N$3,SUMIF('TL06'!$C$238:$C$451,$C391,'TL06'!$J$238:$J$451),0),
IF('TL07'!$B$3=N$3,SUMIF('TL07'!$C$10:$C$224,$C391,'TL07'!$J$10:$J$224),0),
IF('TL07'!$B$229=N$3,SUMIF('TL07'!$C$238:$C$451,$C391,'TL07'!$J$238:$J$451),0),
IF('TL08'!$B$3=N$3,SUMIF('TL08'!$C$10:$C$224,$C391,'TL08'!$J$10:$J$224),0),
IF('TL08'!$B$229=N$3,SUMIF('TL08'!$C$238:$C$451,$C391,'TL08'!$J$238:$J$451),0),
IF('TL09'!$B$3=N$3,SUMIF('TL09'!$C$10:$C$224,$C391,'TL09'!$J$10:$J$224),0),
IF('TL09'!$B$229=N$3,SUMIF('TL09'!$C$238:$C$451,$C391,'TL09'!$J$238:$J$451),0),
IF('TL10'!$B$3=N$3,SUMIF('TL10'!$C$10:$C$224,$C391,'TL10'!$J$10:$J$224),0),
IF('TL10'!$B$229=N$3,SUMIF('TL10'!$C$238:$C$451,$C391,'TL10'!$J$238:$J$451),0),
IF('TL11'!$B$3=N$3,SUMIF('TL11'!$C$10:$C$224,$C391,'TL11'!$J$10:$J$224),0),
IF('TL11'!$B$229=N$3,SUMIF('TL11'!$C$238:$C$451,$C391,'TL11'!$J$238:$J$451),0),
IF('TL12'!$B$3=N$3,SUMIF('TL12'!$C$10:$C$224,$C391,'TL12'!$J$10:$J$224),0),
IF('TL12'!$B$229=N$3,SUMIF('TL12'!$C$238:$C$451,$C391,'TL12'!$J$238:$J$451),0),
IF('TL13'!$B$3=N$3,SUMIF('TL13'!$C$10:$C$224,$C391,'TL13'!$J$10:$J$224),0),
IF('TL13'!$B$229=N$3,SUMIF('TL13'!$C$238:$C$451,$C391,'TL13'!$J$238:$J$451),0),
IF('TL14'!$B$3=N$3,SUMIF('TL14'!$C$10:$C$224,$C391,'TL14'!$J$10:$J$224),0),
IF('TL14'!$B$229=N$3,SUMIF('TL14'!$C$238:$C$451,$C391,'TL14'!$J$238:$J$451),0),
IF('TL15'!$B$3=N$3,SUMIF('TL15'!$C$10:$C$224,$C391,'TL15'!$J$10:$J$224),0),
IF('TL15'!$B$229=N$3,SUMIF('TL15'!$C$238:$C$451,$C391,'TL15'!$J$238:$J$451),0),
IF('TL16'!$B$3=N$3,SUMIF('TL16'!$C$10:$C$224,$C391,'TL16'!$J$10:$J$224),0),
IF('TL16'!$B$229=N$3,SUMIF('TL16'!$C$238:$C$451,$C391,'TL16'!$J$238:$J$451),0),
IF('TL17'!$B$3=N$3,SUMIF('TL17'!$C$10:$C$224,$C391,'TL17'!$J$10:$J$224),0),
IF('TL17'!$B$229=N$3,SUMIF('TL17'!$C$238:$C$451,$C391,'TL17'!$J$238:$J$451),0),
IF('TL18'!$B$3=N$3,SUMIF('TL18'!$C$10:$C$224,$C391,'TL18'!$J$10:$J$224),0),
IF('TL18'!$B$229=N$3,SUMIF('TL18'!$C$238:$C$451,$C391,'TL18'!$J$238:$J$451),0),
IF('TL19'!$B$3=N$3,SUMIF('TL19'!$C$10:$C$224,$C391,'TL19'!$J$10:$J$224),0),
IF('TL19'!$B$229=N$3,SUMIF('TL19'!$C$238:$C$451,$C391,'TL19'!$J$238:$J$451),0)
),0)</f>
        <v>0</v>
      </c>
      <c r="O391" s="9">
        <f>IFERROR(SUM(
IF('TL01'!$B$3=O$3,SUMIF('TL01'!$C$10:$C$224,$C391,'TL01'!$J$10:$J$224),0),
IF('TL01'!$B$229=O$3,SUMIF('TL01'!$C$238:$C$451,$C391,'TL01'!$J$238:$J$451),0),
IF('TL02'!$B$3=O$3,SUMIF('TL02'!$C$10:$C$224,$C391,'TL02'!$J$10:$J$224),0),
IF('TL02'!$B$229=O$3,SUMIF('TL02'!$C$238:$C$451,$C391,'TL02'!$J$238:$J$451),0),
IF('TL03'!$B$3=O$3,SUMIF('TL03'!$C$10:$C$224,$C391,'TL03'!$J$10:$J$224),0),
IF('TL03'!$B$229=O$3,SUMIF('TL03'!$C$238:$C$451,$C391,'TL03'!$J$238:$J$451),0),
IF('TL04'!$B$3=O$3,SUMIF('TL04'!$C$10:$C$224,$C391,'TL04'!$J$10:$J$224),0),
IF('TL04'!$B$229=O$3,SUMIF('TL04'!$C$238:$C$451,$C391,'TL04'!$J$238:$J$451),0),
IF('TL05'!$B$3=O$3,SUMIF('TL05'!$C$10:$C$224,$C391,'TL05'!$J$10:$J$224),0),
IF('TL05'!$B$229=O$3,SUMIF('TL05'!$C$238:$C$451,$C391,'TL05'!$J$238:$J$451),0),
IF('TL06'!$B$3=O$3,SUMIF('TL06'!$C$10:$C$224,$C391,'TL06'!$J$10:$J$224),0),
IF('TL06'!$B$229=O$3,SUMIF('TL06'!$C$238:$C$451,$C391,'TL06'!$J$238:$J$451),0),
IF('TL07'!$B$3=O$3,SUMIF('TL07'!$C$10:$C$224,$C391,'TL07'!$J$10:$J$224),0),
IF('TL07'!$B$229=O$3,SUMIF('TL07'!$C$238:$C$451,$C391,'TL07'!$J$238:$J$451),0),
IF('TL08'!$B$3=O$3,SUMIF('TL08'!$C$10:$C$224,$C391,'TL08'!$J$10:$J$224),0),
IF('TL08'!$B$229=O$3,SUMIF('TL08'!$C$238:$C$451,$C391,'TL08'!$J$238:$J$451),0),
IF('TL09'!$B$3=O$3,SUMIF('TL09'!$C$10:$C$224,$C391,'TL09'!$J$10:$J$224),0),
IF('TL09'!$B$229=O$3,SUMIF('TL09'!$C$238:$C$451,$C391,'TL09'!$J$238:$J$451),0),
IF('TL10'!$B$3=O$3,SUMIF('TL10'!$C$10:$C$224,$C391,'TL10'!$J$10:$J$224),0),
IF('TL10'!$B$229=O$3,SUMIF('TL10'!$C$238:$C$451,$C391,'TL10'!$J$238:$J$451),0),
IF('TL11'!$B$3=O$3,SUMIF('TL11'!$C$10:$C$224,$C391,'TL11'!$J$10:$J$224),0),
IF('TL11'!$B$229=O$3,SUMIF('TL11'!$C$238:$C$451,$C391,'TL11'!$J$238:$J$451),0),
IF('TL12'!$B$3=O$3,SUMIF('TL12'!$C$10:$C$224,$C391,'TL12'!$J$10:$J$224),0),
IF('TL12'!$B$229=O$3,SUMIF('TL12'!$C$238:$C$451,$C391,'TL12'!$J$238:$J$451),0),
IF('TL13'!$B$3=O$3,SUMIF('TL13'!$C$10:$C$224,$C391,'TL13'!$J$10:$J$224),0),
IF('TL13'!$B$229=O$3,SUMIF('TL13'!$C$238:$C$451,$C391,'TL13'!$J$238:$J$451),0),
IF('TL14'!$B$3=O$3,SUMIF('TL14'!$C$10:$C$224,$C391,'TL14'!$J$10:$J$224),0),
IF('TL14'!$B$229=O$3,SUMIF('TL14'!$C$238:$C$451,$C391,'TL14'!$J$238:$J$451),0),
IF('TL15'!$B$3=O$3,SUMIF('TL15'!$C$10:$C$224,$C391,'TL15'!$J$10:$J$224),0),
IF('TL15'!$B$229=O$3,SUMIF('TL15'!$C$238:$C$451,$C391,'TL15'!$J$238:$J$451),0),
IF('TL16'!$B$3=O$3,SUMIF('TL16'!$C$10:$C$224,$C391,'TL16'!$J$10:$J$224),0),
IF('TL16'!$B$229=O$3,SUMIF('TL16'!$C$238:$C$451,$C391,'TL16'!$J$238:$J$451),0),
IF('TL17'!$B$3=O$3,SUMIF('TL17'!$C$10:$C$224,$C391,'TL17'!$J$10:$J$224),0),
IF('TL17'!$B$229=O$3,SUMIF('TL17'!$C$238:$C$451,$C391,'TL17'!$J$238:$J$451),0),
IF('TL18'!$B$3=O$3,SUMIF('TL18'!$C$10:$C$224,$C391,'TL18'!$J$10:$J$224),0),
IF('TL18'!$B$229=O$3,SUMIF('TL18'!$C$238:$C$451,$C391,'TL18'!$J$238:$J$451),0),
IF('TL19'!$B$3=O$3,SUMIF('TL19'!$C$10:$C$224,$C391,'TL19'!$J$10:$J$224),0),
IF('TL19'!$B$229=O$3,SUMIF('TL19'!$C$238:$C$451,$C391,'TL19'!$J$238:$J$451),0)
),0)</f>
        <v>0</v>
      </c>
      <c r="P391" s="9">
        <f>IFERROR(SUM(
IF('TL01'!$B$3=P$3,SUMIF('TL01'!$C$10:$C$224,$C391,'TL01'!$J$10:$J$224),0),
IF('TL01'!$B$229=P$3,SUMIF('TL01'!$C$238:$C$451,$C391,'TL01'!$J$238:$J$451),0),
IF('TL02'!$B$3=P$3,SUMIF('TL02'!$C$10:$C$224,$C391,'TL02'!$J$10:$J$224),0),
IF('TL02'!$B$229=P$3,SUMIF('TL02'!$C$238:$C$451,$C391,'TL02'!$J$238:$J$451),0),
IF('TL03'!$B$3=P$3,SUMIF('TL03'!$C$10:$C$224,$C391,'TL03'!$J$10:$J$224),0),
IF('TL03'!$B$229=P$3,SUMIF('TL03'!$C$238:$C$451,$C391,'TL03'!$J$238:$J$451),0),
IF('TL04'!$B$3=P$3,SUMIF('TL04'!$C$10:$C$224,$C391,'TL04'!$J$10:$J$224),0),
IF('TL04'!$B$229=P$3,SUMIF('TL04'!$C$238:$C$451,$C391,'TL04'!$J$238:$J$451),0),
IF('TL05'!$B$3=P$3,SUMIF('TL05'!$C$10:$C$224,$C391,'TL05'!$J$10:$J$224),0),
IF('TL05'!$B$229=P$3,SUMIF('TL05'!$C$238:$C$451,$C391,'TL05'!$J$238:$J$451),0),
IF('TL06'!$B$3=P$3,SUMIF('TL06'!$C$10:$C$224,$C391,'TL06'!$J$10:$J$224),0),
IF('TL06'!$B$229=P$3,SUMIF('TL06'!$C$238:$C$451,$C391,'TL06'!$J$238:$J$451),0),
IF('TL07'!$B$3=P$3,SUMIF('TL07'!$C$10:$C$224,$C391,'TL07'!$J$10:$J$224),0),
IF('TL07'!$B$229=P$3,SUMIF('TL07'!$C$238:$C$451,$C391,'TL07'!$J$238:$J$451),0),
IF('TL08'!$B$3=P$3,SUMIF('TL08'!$C$10:$C$224,$C391,'TL08'!$J$10:$J$224),0),
IF('TL08'!$B$229=P$3,SUMIF('TL08'!$C$238:$C$451,$C391,'TL08'!$J$238:$J$451),0),
IF('TL09'!$B$3=P$3,SUMIF('TL09'!$C$10:$C$224,$C391,'TL09'!$J$10:$J$224),0),
IF('TL09'!$B$229=P$3,SUMIF('TL09'!$C$238:$C$451,$C391,'TL09'!$J$238:$J$451),0),
IF('TL10'!$B$3=P$3,SUMIF('TL10'!$C$10:$C$224,$C391,'TL10'!$J$10:$J$224),0),
IF('TL10'!$B$229=P$3,SUMIF('TL10'!$C$238:$C$451,$C391,'TL10'!$J$238:$J$451),0),
IF('TL11'!$B$3=P$3,SUMIF('TL11'!$C$10:$C$224,$C391,'TL11'!$J$10:$J$224),0),
IF('TL11'!$B$229=P$3,SUMIF('TL11'!$C$238:$C$451,$C391,'TL11'!$J$238:$J$451),0),
IF('TL12'!$B$3=P$3,SUMIF('TL12'!$C$10:$C$224,$C391,'TL12'!$J$10:$J$224),0),
IF('TL12'!$B$229=P$3,SUMIF('TL12'!$C$238:$C$451,$C391,'TL12'!$J$238:$J$451),0),
IF('TL13'!$B$3=P$3,SUMIF('TL13'!$C$10:$C$224,$C391,'TL13'!$J$10:$J$224),0),
IF('TL13'!$B$229=P$3,SUMIF('TL13'!$C$238:$C$451,$C391,'TL13'!$J$238:$J$451),0),
IF('TL14'!$B$3=P$3,SUMIF('TL14'!$C$10:$C$224,$C391,'TL14'!$J$10:$J$224),0),
IF('TL14'!$B$229=P$3,SUMIF('TL14'!$C$238:$C$451,$C391,'TL14'!$J$238:$J$451),0),
IF('TL15'!$B$3=P$3,SUMIF('TL15'!$C$10:$C$224,$C391,'TL15'!$J$10:$J$224),0),
IF('TL15'!$B$229=P$3,SUMIF('TL15'!$C$238:$C$451,$C391,'TL15'!$J$238:$J$451),0),
IF('TL16'!$B$3=P$3,SUMIF('TL16'!$C$10:$C$224,$C391,'TL16'!$J$10:$J$224),0),
IF('TL16'!$B$229=P$3,SUMIF('TL16'!$C$238:$C$451,$C391,'TL16'!$J$238:$J$451),0),
IF('TL17'!$B$3=P$3,SUMIF('TL17'!$C$10:$C$224,$C391,'TL17'!$J$10:$J$224),0),
IF('TL17'!$B$229=P$3,SUMIF('TL17'!$C$238:$C$451,$C391,'TL17'!$J$238:$J$451),0),
IF('TL18'!$B$3=P$3,SUMIF('TL18'!$C$10:$C$224,$C391,'TL18'!$J$10:$J$224),0),
IF('TL18'!$B$229=P$3,SUMIF('TL18'!$C$238:$C$451,$C391,'TL18'!$J$238:$J$451),0),
IF('TL19'!$B$3=P$3,SUMIF('TL19'!$C$10:$C$224,$C391,'TL19'!$J$10:$J$224),0),
IF('TL19'!$B$229=P$3,SUMIF('TL19'!$C$238:$C$451,$C391,'TL19'!$J$238:$J$451),0)
),0)</f>
        <v>0</v>
      </c>
      <c r="Q391" s="9">
        <f>IFERROR(SUM(
IF('TL01'!$B$3=Q$3,SUMIF('TL01'!$C$10:$C$224,$C391,'TL01'!$J$10:$J$224),0),
IF('TL01'!$B$229=Q$3,SUMIF('TL01'!$C$238:$C$451,$C391,'TL01'!$J$238:$J$451),0),
IF('TL02'!$B$3=Q$3,SUMIF('TL02'!$C$10:$C$224,$C391,'TL02'!$J$10:$J$224),0),
IF('TL02'!$B$229=Q$3,SUMIF('TL02'!$C$238:$C$451,$C391,'TL02'!$J$238:$J$451),0),
IF('TL03'!$B$3=Q$3,SUMIF('TL03'!$C$10:$C$224,$C391,'TL03'!$J$10:$J$224),0),
IF('TL03'!$B$229=Q$3,SUMIF('TL03'!$C$238:$C$451,$C391,'TL03'!$J$238:$J$451),0),
IF('TL04'!$B$3=Q$3,SUMIF('TL04'!$C$10:$C$224,$C391,'TL04'!$J$10:$J$224),0),
IF('TL04'!$B$229=Q$3,SUMIF('TL04'!$C$238:$C$451,$C391,'TL04'!$J$238:$J$451),0),
IF('TL05'!$B$3=Q$3,SUMIF('TL05'!$C$10:$C$224,$C391,'TL05'!$J$10:$J$224),0),
IF('TL05'!$B$229=Q$3,SUMIF('TL05'!$C$238:$C$451,$C391,'TL05'!$J$238:$J$451),0),
IF('TL06'!$B$3=Q$3,SUMIF('TL06'!$C$10:$C$224,$C391,'TL06'!$J$10:$J$224),0),
IF('TL06'!$B$229=Q$3,SUMIF('TL06'!$C$238:$C$451,$C391,'TL06'!$J$238:$J$451),0),
IF('TL07'!$B$3=Q$3,SUMIF('TL07'!$C$10:$C$224,$C391,'TL07'!$J$10:$J$224),0),
IF('TL07'!$B$229=Q$3,SUMIF('TL07'!$C$238:$C$451,$C391,'TL07'!$J$238:$J$451),0),
IF('TL08'!$B$3=Q$3,SUMIF('TL08'!$C$10:$C$224,$C391,'TL08'!$J$10:$J$224),0),
IF('TL08'!$B$229=Q$3,SUMIF('TL08'!$C$238:$C$451,$C391,'TL08'!$J$238:$J$451),0),
IF('TL09'!$B$3=Q$3,SUMIF('TL09'!$C$10:$C$224,$C391,'TL09'!$J$10:$J$224),0),
IF('TL09'!$B$229=Q$3,SUMIF('TL09'!$C$238:$C$451,$C391,'TL09'!$J$238:$J$451),0),
IF('TL10'!$B$3=Q$3,SUMIF('TL10'!$C$10:$C$224,$C391,'TL10'!$J$10:$J$224),0),
IF('TL10'!$B$229=Q$3,SUMIF('TL10'!$C$238:$C$451,$C391,'TL10'!$J$238:$J$451),0),
IF('TL11'!$B$3=Q$3,SUMIF('TL11'!$C$10:$C$224,$C391,'TL11'!$J$10:$J$224),0),
IF('TL11'!$B$229=Q$3,SUMIF('TL11'!$C$238:$C$451,$C391,'TL11'!$J$238:$J$451),0),
IF('TL12'!$B$3=Q$3,SUMIF('TL12'!$C$10:$C$224,$C391,'TL12'!$J$10:$J$224),0),
IF('TL12'!$B$229=Q$3,SUMIF('TL12'!$C$238:$C$451,$C391,'TL12'!$J$238:$J$451),0),
IF('TL13'!$B$3=Q$3,SUMIF('TL13'!$C$10:$C$224,$C391,'TL13'!$J$10:$J$224),0),
IF('TL13'!$B$229=Q$3,SUMIF('TL13'!$C$238:$C$451,$C391,'TL13'!$J$238:$J$451),0),
IF('TL14'!$B$3=Q$3,SUMIF('TL14'!$C$10:$C$224,$C391,'TL14'!$J$10:$J$224),0),
IF('TL14'!$B$229=Q$3,SUMIF('TL14'!$C$238:$C$451,$C391,'TL14'!$J$238:$J$451),0),
IF('TL15'!$B$3=Q$3,SUMIF('TL15'!$C$10:$C$224,$C391,'TL15'!$J$10:$J$224),0),
IF('TL15'!$B$229=Q$3,SUMIF('TL15'!$C$238:$C$451,$C391,'TL15'!$J$238:$J$451),0),
IF('TL16'!$B$3=Q$3,SUMIF('TL16'!$C$10:$C$224,$C391,'TL16'!$J$10:$J$224),0),
IF('TL16'!$B$229=Q$3,SUMIF('TL16'!$C$238:$C$451,$C391,'TL16'!$J$238:$J$451),0),
IF('TL17'!$B$3=Q$3,SUMIF('TL17'!$C$10:$C$224,$C391,'TL17'!$J$10:$J$224),0),
IF('TL17'!$B$229=Q$3,SUMIF('TL17'!$C$238:$C$451,$C391,'TL17'!$J$238:$J$451),0),
IF('TL18'!$B$3=Q$3,SUMIF('TL18'!$C$10:$C$224,$C391,'TL18'!$J$10:$J$224),0),
IF('TL18'!$B$229=Q$3,SUMIF('TL18'!$C$238:$C$451,$C391,'TL18'!$J$238:$J$451),0),
IF('TL19'!$B$3=Q$3,SUMIF('TL19'!$C$10:$C$224,$C391,'TL19'!$J$10:$J$224),0),
IF('TL19'!$B$229=Q$3,SUMIF('TL19'!$C$238:$C$451,$C391,'TL19'!$J$238:$J$451),0)
),0)</f>
        <v>0</v>
      </c>
      <c r="R391" s="9">
        <f>IFERROR(
SUM(
SUMIF('TL01'!C:C,C391,'TL01'!J:J),
SUMIF('TL02'!C:C,C391,'TL02'!J:J),
SUMIF('TL03'!C:C,C391,'TL03'!J:J),
SUMIF('TL04'!C:C,C391,'TL04'!J:J),
SUMIF('TL05'!C:C,C391,'TL05'!J:J),
SUMIF('TL06'!C:C,C391,'TL06'!J:J),
SUMIF('TL07'!C:C,C391,'TL07'!J:J),
SUMIF('TL08'!C:C,C391,'TL08'!J:J),
SUMIF('TL09'!C:C,C391,'TL09'!J:J),
SUMIF('TL10'!C:C,C391,'TL10'!J:J),
SUMIF('TL11'!C:C,C391,'TL11'!J:J),
SUMIF('TL12'!C:C,C391,'TL12'!J:J),
SUMIF('TL13'!C:C,C391,'TL13'!J:J),
SUMIF('TL14'!C:C,C391,'TL14'!J:J),
SUMIF('TL15'!C:C,C391,'TL15'!J:J),
SUMIF('TL16'!C:C,C391,'TL16'!J:J),
SUMIF('TL17'!C:C,C391,'TL17'!J:J),
SUMIF('TL18'!C:C,C391,'TL18'!J:J),SUMIF('TL19'!C:C,C391,'TL19'!J:J))
,0)</f>
        <v>0</v>
      </c>
      <c r="S391" s="17" t="str">
        <f>IFERROR(__xludf.DUMMYFUNCTION("IFERROR(VLOOKUP(C391,
IMPORTRANGE(""1wULbzX32WdYsx-lj2U3uUNBBe2INVIRDtcK0d-Dvl90"",
""26-27!C:G""),
5,
FALSE),
"""")"),"")</f>
        <v/>
      </c>
      <c r="T391" s="9"/>
      <c r="U391" s="92">
        <f t="shared" si="2"/>
        <v>0</v>
      </c>
      <c r="V391" s="93">
        <f t="shared" si="3"/>
        <v>0</v>
      </c>
    </row>
    <row r="392" ht="15.75" hidden="1" customHeight="1">
      <c r="A392" s="4"/>
      <c r="B392" s="125"/>
      <c r="C392" s="6"/>
      <c r="D392" s="6"/>
      <c r="E392" s="9"/>
      <c r="F392" s="4"/>
      <c r="G392" s="90" t="str">
        <f t="shared" si="5"/>
        <v>📄 Ver bula</v>
      </c>
      <c r="H392" s="9"/>
      <c r="I392" s="1"/>
      <c r="J392" s="9">
        <f>IFERROR(SUM(
IF('TL01'!$B$3=J$3,SUMIF('TL01'!$C$10:$C$224,$C392,'TL01'!$J$10:$J$224),0),
IF('TL01'!$B$229=J$3,SUMIF('TL01'!$C$238:$C$451,$C392,'TL01'!$J$238:$J$451),0),
IF('TL02'!$B$3=J$3,SUMIF('TL02'!$C$10:$C$224,$C392,'TL02'!$J$10:$J$224),0),
IF('TL02'!$B$229=J$3,SUMIF('TL02'!$C$238:$C$451,$C392,'TL02'!$J$238:$J$451),0),
IF('TL03'!$B$3=J$3,SUMIF('TL03'!$C$10:$C$224,$C392,'TL03'!$J$10:$J$224),0),
IF('TL03'!$B$229=J$3,SUMIF('TL03'!$C$238:$C$451,$C392,'TL03'!$J$238:$J$451),0),
IF('TL04'!$B$3=J$3,SUMIF('TL04'!$C$10:$C$224,$C392,'TL04'!$J$10:$J$224),0),
IF('TL04'!$B$229=J$3,SUMIF('TL04'!$C$238:$C$451,$C392,'TL04'!$J$238:$J$451),0),
IF('TL05'!$B$3=J$3,SUMIF('TL05'!$C$10:$C$224,$C392,'TL05'!$J$10:$J$224),0),
IF('TL05'!$B$229=J$3,SUMIF('TL05'!$C$238:$C$451,$C392,'TL05'!$J$238:$J$451),0),
IF('TL06'!$B$3=J$3,SUMIF('TL06'!$C$10:$C$224,$C392,'TL06'!$J$10:$J$224),0),
IF('TL06'!$B$229=J$3,SUMIF('TL06'!$C$238:$C$451,$C392,'TL06'!$J$238:$J$451),0),
IF('TL07'!$B$3=J$3,SUMIF('TL07'!$C$10:$C$224,$C392,'TL07'!$J$10:$J$224),0),
IF('TL07'!$B$229=J$3,SUMIF('TL07'!$C$238:$C$451,$C392,'TL07'!$J$238:$J$451),0),
IF('TL08'!$B$3=J$3,SUMIF('TL08'!$C$10:$C$224,$C392,'TL08'!$J$10:$J$224),0),
IF('TL08'!$B$229=J$3,SUMIF('TL08'!$C$238:$C$451,$C392,'TL08'!$J$238:$J$451),0),
IF('TL09'!$B$3=J$3,SUMIF('TL09'!$C$10:$C$224,$C392,'TL09'!$J$10:$J$224),0),
IF('TL09'!$B$229=J$3,SUMIF('TL09'!$C$238:$C$451,$C392,'TL09'!$J$238:$J$451),0),
IF('TL10'!$B$3=J$3,SUMIF('TL10'!$C$10:$C$224,$C392,'TL10'!$J$10:$J$224),0),
IF('TL10'!$B$229=J$3,SUMIF('TL10'!$C$238:$C$451,$C392,'TL10'!$J$238:$J$451),0),
IF('TL11'!$B$3=J$3,SUMIF('TL11'!$C$10:$C$224,$C392,'TL11'!$J$10:$J$224),0),
IF('TL11'!$B$229=J$3,SUMIF('TL11'!$C$238:$C$451,$C392,'TL11'!$J$238:$J$451),0),
IF('TL12'!$B$3=J$3,SUMIF('TL12'!$C$10:$C$224,$C392,'TL12'!$J$10:$J$224),0),
IF('TL12'!$B$229=J$3,SUMIF('TL12'!$C$238:$C$451,$C392,'TL12'!$J$238:$J$451),0),
IF('TL13'!$B$3=J$3,SUMIF('TL13'!$C$10:$C$224,$C392,'TL13'!$J$10:$J$224),0),
IF('TL13'!$B$229=J$3,SUMIF('TL13'!$C$238:$C$451,$C392,'TL13'!$J$238:$J$451),0),
IF('TL14'!$B$3=J$3,SUMIF('TL14'!$C$10:$C$224,$C392,'TL14'!$J$10:$J$224),0),
IF('TL14'!$B$229=J$3,SUMIF('TL14'!$C$238:$C$451,$C392,'TL14'!$J$238:$J$451),0),
IF('TL15'!$B$3=J$3,SUMIF('TL15'!$C$10:$C$224,$C392,'TL15'!$J$10:$J$224),0),
IF('TL15'!$B$229=J$3,SUMIF('TL15'!$C$238:$C$451,$C392,'TL15'!$J$238:$J$451),0),
IF('TL16'!$B$3=J$3,SUMIF('TL16'!$C$10:$C$224,$C392,'TL16'!$J$10:$J$224),0),
IF('TL16'!$B$229=J$3,SUMIF('TL16'!$C$238:$C$451,$C392,'TL16'!$J$238:$J$451),0),
IF('TL17'!$B$3=J$3,SUMIF('TL17'!$C$10:$C$224,$C392,'TL17'!$J$10:$J$224),0),
IF('TL17'!$B$229=J$3,SUMIF('TL17'!$C$238:$C$451,$C392,'TL17'!$J$238:$J$451),0),
IF('TL18'!$B$3=J$3,SUMIF('TL18'!$C$10:$C$224,$C392,'TL18'!$J$10:$J$224),0),
IF('TL18'!$B$229=J$3,SUMIF('TL18'!$C$238:$C$451,$C392,'TL18'!$J$238:$J$451),0),
IF('TL19'!$B$3=J$3,SUMIF('TL19'!$C$10:$C$224,$C392,'TL19'!$J$10:$J$224),0),
IF('TL19'!$B$229=J$3,SUMIF('TL19'!$C$238:$C$451,$C392,'TL19'!$J$238:$J$451),0)
),0)</f>
        <v>0</v>
      </c>
      <c r="K392" s="9">
        <f>IFERROR(SUM(
IF('TL01'!$B$3=K$3,SUMIF('TL01'!$C$10:$C$224,$C392,'TL01'!$J$10:$J$224),0),
IF('TL01'!$B$229=K$3,SUMIF('TL01'!$C$238:$C$451,$C392,'TL01'!$J$238:$J$451),0),
IF('TL02'!$B$3=K$3,SUMIF('TL02'!$C$10:$C$224,$C392,'TL02'!$J$10:$J$224),0),
IF('TL02'!$B$229=K$3,SUMIF('TL02'!$C$238:$C$451,$C392,'TL02'!$J$238:$J$451),0),
IF('TL03'!$B$3=K$3,SUMIF('TL03'!$C$10:$C$224,$C392,'TL03'!$J$10:$J$224),0),
IF('TL03'!$B$229=K$3,SUMIF('TL03'!$C$238:$C$451,$C392,'TL03'!$J$238:$J$451),0),
IF('TL04'!$B$3=K$3,SUMIF('TL04'!$C$10:$C$224,$C392,'TL04'!$J$10:$J$224),0),
IF('TL04'!$B$229=K$3,SUMIF('TL04'!$C$238:$C$451,$C392,'TL04'!$J$238:$J$451),0),
IF('TL05'!$B$3=K$3,SUMIF('TL05'!$C$10:$C$224,$C392,'TL05'!$J$10:$J$224),0),
IF('TL05'!$B$229=K$3,SUMIF('TL05'!$C$238:$C$451,$C392,'TL05'!$J$238:$J$451),0),
IF('TL06'!$B$3=K$3,SUMIF('TL06'!$C$10:$C$224,$C392,'TL06'!$J$10:$J$224),0),
IF('TL06'!$B$229=K$3,SUMIF('TL06'!$C$238:$C$451,$C392,'TL06'!$J$238:$J$451),0),
IF('TL07'!$B$3=K$3,SUMIF('TL07'!$C$10:$C$224,$C392,'TL07'!$J$10:$J$224),0),
IF('TL07'!$B$229=K$3,SUMIF('TL07'!$C$238:$C$451,$C392,'TL07'!$J$238:$J$451),0),
IF('TL08'!$B$3=K$3,SUMIF('TL08'!$C$10:$C$224,$C392,'TL08'!$J$10:$J$224),0),
IF('TL08'!$B$229=K$3,SUMIF('TL08'!$C$238:$C$451,$C392,'TL08'!$J$238:$J$451),0),
IF('TL09'!$B$3=K$3,SUMIF('TL09'!$C$10:$C$224,$C392,'TL09'!$J$10:$J$224),0),
IF('TL09'!$B$229=K$3,SUMIF('TL09'!$C$238:$C$451,$C392,'TL09'!$J$238:$J$451),0),
IF('TL10'!$B$3=K$3,SUMIF('TL10'!$C$10:$C$224,$C392,'TL10'!$J$10:$J$224),0),
IF('TL10'!$B$229=K$3,SUMIF('TL10'!$C$238:$C$451,$C392,'TL10'!$J$238:$J$451),0),
IF('TL11'!$B$3=K$3,SUMIF('TL11'!$C$10:$C$224,$C392,'TL11'!$J$10:$J$224),0),
IF('TL11'!$B$229=K$3,SUMIF('TL11'!$C$238:$C$451,$C392,'TL11'!$J$238:$J$451),0),
IF('TL12'!$B$3=K$3,SUMIF('TL12'!$C$10:$C$224,$C392,'TL12'!$J$10:$J$224),0),
IF('TL12'!$B$229=K$3,SUMIF('TL12'!$C$238:$C$451,$C392,'TL12'!$J$238:$J$451),0),
IF('TL13'!$B$3=K$3,SUMIF('TL13'!$C$10:$C$224,$C392,'TL13'!$J$10:$J$224),0),
IF('TL13'!$B$229=K$3,SUMIF('TL13'!$C$238:$C$451,$C392,'TL13'!$J$238:$J$451),0),
IF('TL14'!$B$3=K$3,SUMIF('TL14'!$C$10:$C$224,$C392,'TL14'!$J$10:$J$224),0),
IF('TL14'!$B$229=K$3,SUMIF('TL14'!$C$238:$C$451,$C392,'TL14'!$J$238:$J$451),0),
IF('TL15'!$B$3=K$3,SUMIF('TL15'!$C$10:$C$224,$C392,'TL15'!$J$10:$J$224),0),
IF('TL15'!$B$229=K$3,SUMIF('TL15'!$C$238:$C$451,$C392,'TL15'!$J$238:$J$451),0),
IF('TL16'!$B$3=K$3,SUMIF('TL16'!$C$10:$C$224,$C392,'TL16'!$J$10:$J$224),0),
IF('TL16'!$B$229=K$3,SUMIF('TL16'!$C$238:$C$451,$C392,'TL16'!$J$238:$J$451),0),
IF('TL17'!$B$3=K$3,SUMIF('TL17'!$C$10:$C$224,$C392,'TL17'!$J$10:$J$224),0),
IF('TL17'!$B$229=K$3,SUMIF('TL17'!$C$238:$C$451,$C392,'TL17'!$J$238:$J$451),0),
IF('TL18'!$B$3=K$3,SUMIF('TL18'!$C$10:$C$224,$C392,'TL18'!$J$10:$J$224),0),
IF('TL18'!$B$229=K$3,SUMIF('TL18'!$C$238:$C$451,$C392,'TL18'!$J$238:$J$451),0),
IF('TL19'!$B$3=K$3,SUMIF('TL19'!$C$10:$C$224,$C392,'TL19'!$J$10:$J$224),0),
IF('TL19'!$B$229=K$3,SUMIF('TL19'!$C$238:$C$451,$C392,'TL19'!$J$238:$J$451),0)
),0)</f>
        <v>0</v>
      </c>
      <c r="L392" s="9">
        <f>IFERROR(SUM(
IF('TL01'!$B$3=L$3,SUMIF('TL01'!$C$10:$C$224,$C392,'TL01'!$J$10:$J$224),0),
IF('TL01'!$B$229=L$3,SUMIF('TL01'!$C$238:$C$451,$C392,'TL01'!$J$238:$J$451),0),
IF('TL02'!$B$3=L$3,SUMIF('TL02'!$C$10:$C$224,$C392,'TL02'!$J$10:$J$224),0),
IF('TL02'!$B$229=L$3,SUMIF('TL02'!$C$238:$C$451,$C392,'TL02'!$J$238:$J$451),0),
IF('TL03'!$B$3=L$3,SUMIF('TL03'!$C$10:$C$224,$C392,'TL03'!$J$10:$J$224),0),
IF('TL03'!$B$229=L$3,SUMIF('TL03'!$C$238:$C$451,$C392,'TL03'!$J$238:$J$451),0),
IF('TL04'!$B$3=L$3,SUMIF('TL04'!$C$10:$C$224,$C392,'TL04'!$J$10:$J$224),0),
IF('TL04'!$B$229=L$3,SUMIF('TL04'!$C$238:$C$451,$C392,'TL04'!$J$238:$J$451),0),
IF('TL05'!$B$3=L$3,SUMIF('TL05'!$C$10:$C$224,$C392,'TL05'!$J$10:$J$224),0),
IF('TL05'!$B$229=L$3,SUMIF('TL05'!$C$238:$C$451,$C392,'TL05'!$J$238:$J$451),0),
IF('TL06'!$B$3=L$3,SUMIF('TL06'!$C$10:$C$224,$C392,'TL06'!$J$10:$J$224),0),
IF('TL06'!$B$229=L$3,SUMIF('TL06'!$C$238:$C$451,$C392,'TL06'!$J$238:$J$451),0),
IF('TL07'!$B$3=L$3,SUMIF('TL07'!$C$10:$C$224,$C392,'TL07'!$J$10:$J$224),0),
IF('TL07'!$B$229=L$3,SUMIF('TL07'!$C$238:$C$451,$C392,'TL07'!$J$238:$J$451),0),
IF('TL08'!$B$3=L$3,SUMIF('TL08'!$C$10:$C$224,$C392,'TL08'!$J$10:$J$224),0),
IF('TL08'!$B$229=L$3,SUMIF('TL08'!$C$238:$C$451,$C392,'TL08'!$J$238:$J$451),0),
IF('TL09'!$B$3=L$3,SUMIF('TL09'!$C$10:$C$224,$C392,'TL09'!$J$10:$J$224),0),
IF('TL09'!$B$229=L$3,SUMIF('TL09'!$C$238:$C$451,$C392,'TL09'!$J$238:$J$451),0),
IF('TL10'!$B$3=L$3,SUMIF('TL10'!$C$10:$C$224,$C392,'TL10'!$J$10:$J$224),0),
IF('TL10'!$B$229=L$3,SUMIF('TL10'!$C$238:$C$451,$C392,'TL10'!$J$238:$J$451),0),
IF('TL11'!$B$3=L$3,SUMIF('TL11'!$C$10:$C$224,$C392,'TL11'!$J$10:$J$224),0),
IF('TL11'!$B$229=L$3,SUMIF('TL11'!$C$238:$C$451,$C392,'TL11'!$J$238:$J$451),0),
IF('TL12'!$B$3=L$3,SUMIF('TL12'!$C$10:$C$224,$C392,'TL12'!$J$10:$J$224),0),
IF('TL12'!$B$229=L$3,SUMIF('TL12'!$C$238:$C$451,$C392,'TL12'!$J$238:$J$451),0),
IF('TL13'!$B$3=L$3,SUMIF('TL13'!$C$10:$C$224,$C392,'TL13'!$J$10:$J$224),0),
IF('TL13'!$B$229=L$3,SUMIF('TL13'!$C$238:$C$451,$C392,'TL13'!$J$238:$J$451),0),
IF('TL14'!$B$3=L$3,SUMIF('TL14'!$C$10:$C$224,$C392,'TL14'!$J$10:$J$224),0),
IF('TL14'!$B$229=L$3,SUMIF('TL14'!$C$238:$C$451,$C392,'TL14'!$J$238:$J$451),0),
IF('TL15'!$B$3=L$3,SUMIF('TL15'!$C$10:$C$224,$C392,'TL15'!$J$10:$J$224),0),
IF('TL15'!$B$229=L$3,SUMIF('TL15'!$C$238:$C$451,$C392,'TL15'!$J$238:$J$451),0),
IF('TL16'!$B$3=L$3,SUMIF('TL16'!$C$10:$C$224,$C392,'TL16'!$J$10:$J$224),0),
IF('TL16'!$B$229=L$3,SUMIF('TL16'!$C$238:$C$451,$C392,'TL16'!$J$238:$J$451),0),
IF('TL17'!$B$3=L$3,SUMIF('TL17'!$C$10:$C$224,$C392,'TL17'!$J$10:$J$224),0),
IF('TL17'!$B$229=L$3,SUMIF('TL17'!$C$238:$C$451,$C392,'TL17'!$J$238:$J$451),0),
IF('TL18'!$B$3=L$3,SUMIF('TL18'!$C$10:$C$224,$C392,'TL18'!$J$10:$J$224),0),
IF('TL18'!$B$229=L$3,SUMIF('TL18'!$C$238:$C$451,$C392,'TL18'!$J$238:$J$451),0),
IF('TL19'!$B$3=L$3,SUMIF('TL19'!$C$10:$C$224,$C392,'TL19'!$J$10:$J$224),0),
IF('TL19'!$B$229=L$3,SUMIF('TL19'!$C$238:$C$451,$C392,'TL19'!$J$238:$J$451),0)
),0)</f>
        <v>0</v>
      </c>
      <c r="M392" s="9">
        <f>IFERROR(SUM(
IF('TL01'!$B$3=M$3,SUMIF('TL01'!$C$10:$C$224,$C392,'TL01'!$J$10:$J$224),0),
IF('TL01'!$B$229=M$3,SUMIF('TL01'!$C$238:$C$451,$C392,'TL01'!$J$238:$J$451),0),
IF('TL02'!$B$3=M$3,SUMIF('TL02'!$C$10:$C$224,$C392,'TL02'!$J$10:$J$224),0),
IF('TL02'!$B$229=M$3,SUMIF('TL02'!$C$238:$C$451,$C392,'TL02'!$J$238:$J$451),0),
IF('TL03'!$B$3=M$3,SUMIF('TL03'!$C$10:$C$224,$C392,'TL03'!$J$10:$J$224),0),
IF('TL03'!$B$229=M$3,SUMIF('TL03'!$C$238:$C$451,$C392,'TL03'!$J$238:$J$451),0),
IF('TL04'!$B$3=M$3,SUMIF('TL04'!$C$10:$C$224,$C392,'TL04'!$J$10:$J$224),0),
IF('TL04'!$B$229=M$3,SUMIF('TL04'!$C$238:$C$451,$C392,'TL04'!$J$238:$J$451),0),
IF('TL05'!$B$3=M$3,SUMIF('TL05'!$C$10:$C$224,$C392,'TL05'!$J$10:$J$224),0),
IF('TL05'!$B$229=M$3,SUMIF('TL05'!$C$238:$C$451,$C392,'TL05'!$J$238:$J$451),0),
IF('TL06'!$B$3=M$3,SUMIF('TL06'!$C$10:$C$224,$C392,'TL06'!$J$10:$J$224),0),
IF('TL06'!$B$229=M$3,SUMIF('TL06'!$C$238:$C$451,$C392,'TL06'!$J$238:$J$451),0),
IF('TL07'!$B$3=M$3,SUMIF('TL07'!$C$10:$C$224,$C392,'TL07'!$J$10:$J$224),0),
IF('TL07'!$B$229=M$3,SUMIF('TL07'!$C$238:$C$451,$C392,'TL07'!$J$238:$J$451),0),
IF('TL08'!$B$3=M$3,SUMIF('TL08'!$C$10:$C$224,$C392,'TL08'!$J$10:$J$224),0),
IF('TL08'!$B$229=M$3,SUMIF('TL08'!$C$238:$C$451,$C392,'TL08'!$J$238:$J$451),0),
IF('TL09'!$B$3=M$3,SUMIF('TL09'!$C$10:$C$224,$C392,'TL09'!$J$10:$J$224),0),
IF('TL09'!$B$229=M$3,SUMIF('TL09'!$C$238:$C$451,$C392,'TL09'!$J$238:$J$451),0),
IF('TL10'!$B$3=M$3,SUMIF('TL10'!$C$10:$C$224,$C392,'TL10'!$J$10:$J$224),0),
IF('TL10'!$B$229=M$3,SUMIF('TL10'!$C$238:$C$451,$C392,'TL10'!$J$238:$J$451),0),
IF('TL11'!$B$3=M$3,SUMIF('TL11'!$C$10:$C$224,$C392,'TL11'!$J$10:$J$224),0),
IF('TL11'!$B$229=M$3,SUMIF('TL11'!$C$238:$C$451,$C392,'TL11'!$J$238:$J$451),0),
IF('TL12'!$B$3=M$3,SUMIF('TL12'!$C$10:$C$224,$C392,'TL12'!$J$10:$J$224),0),
IF('TL12'!$B$229=M$3,SUMIF('TL12'!$C$238:$C$451,$C392,'TL12'!$J$238:$J$451),0),
IF('TL13'!$B$3=M$3,SUMIF('TL13'!$C$10:$C$224,$C392,'TL13'!$J$10:$J$224),0),
IF('TL13'!$B$229=M$3,SUMIF('TL13'!$C$238:$C$451,$C392,'TL13'!$J$238:$J$451),0),
IF('TL14'!$B$3=M$3,SUMIF('TL14'!$C$10:$C$224,$C392,'TL14'!$J$10:$J$224),0),
IF('TL14'!$B$229=M$3,SUMIF('TL14'!$C$238:$C$451,$C392,'TL14'!$J$238:$J$451),0),
IF('TL15'!$B$3=M$3,SUMIF('TL15'!$C$10:$C$224,$C392,'TL15'!$J$10:$J$224),0),
IF('TL15'!$B$229=M$3,SUMIF('TL15'!$C$238:$C$451,$C392,'TL15'!$J$238:$J$451),0),
IF('TL16'!$B$3=M$3,SUMIF('TL16'!$C$10:$C$224,$C392,'TL16'!$J$10:$J$224),0),
IF('TL16'!$B$229=M$3,SUMIF('TL16'!$C$238:$C$451,$C392,'TL16'!$J$238:$J$451),0),
IF('TL17'!$B$3=M$3,SUMIF('TL17'!$C$10:$C$224,$C392,'TL17'!$J$10:$J$224),0),
IF('TL17'!$B$229=M$3,SUMIF('TL17'!$C$238:$C$451,$C392,'TL17'!$J$238:$J$451),0),
IF('TL18'!$B$3=M$3,SUMIF('TL18'!$C$10:$C$224,$C392,'TL18'!$J$10:$J$224),0),
IF('TL18'!$B$229=M$3,SUMIF('TL18'!$C$238:$C$451,$C392,'TL18'!$J$238:$J$451),0),
IF('TL19'!$B$3=M$3,SUMIF('TL19'!$C$10:$C$224,$C392,'TL19'!$J$10:$J$224),0),
IF('TL19'!$B$229=M$3,SUMIF('TL19'!$C$238:$C$451,$C392,'TL19'!$J$238:$J$451),0)
),0)</f>
        <v>0</v>
      </c>
      <c r="N392" s="9">
        <f>IFERROR(SUM(
IF('TL01'!$B$3=N$3,SUMIF('TL01'!$C$10:$C$224,$C392,'TL01'!$J$10:$J$224),0),
IF('TL01'!$B$229=N$3,SUMIF('TL01'!$C$238:$C$451,$C392,'TL01'!$J$238:$J$451),0),
IF('TL02'!$B$3=N$3,SUMIF('TL02'!$C$10:$C$224,$C392,'TL02'!$J$10:$J$224),0),
IF('TL02'!$B$229=N$3,SUMIF('TL02'!$C$238:$C$451,$C392,'TL02'!$J$238:$J$451),0),
IF('TL03'!$B$3=N$3,SUMIF('TL03'!$C$10:$C$224,$C392,'TL03'!$J$10:$J$224),0),
IF('TL03'!$B$229=N$3,SUMIF('TL03'!$C$238:$C$451,$C392,'TL03'!$J$238:$J$451),0),
IF('TL04'!$B$3=N$3,SUMIF('TL04'!$C$10:$C$224,$C392,'TL04'!$J$10:$J$224),0),
IF('TL04'!$B$229=N$3,SUMIF('TL04'!$C$238:$C$451,$C392,'TL04'!$J$238:$J$451),0),
IF('TL05'!$B$3=N$3,SUMIF('TL05'!$C$10:$C$224,$C392,'TL05'!$J$10:$J$224),0),
IF('TL05'!$B$229=N$3,SUMIF('TL05'!$C$238:$C$451,$C392,'TL05'!$J$238:$J$451),0),
IF('TL06'!$B$3=N$3,SUMIF('TL06'!$C$10:$C$224,$C392,'TL06'!$J$10:$J$224),0),
IF('TL06'!$B$229=N$3,SUMIF('TL06'!$C$238:$C$451,$C392,'TL06'!$J$238:$J$451),0),
IF('TL07'!$B$3=N$3,SUMIF('TL07'!$C$10:$C$224,$C392,'TL07'!$J$10:$J$224),0),
IF('TL07'!$B$229=N$3,SUMIF('TL07'!$C$238:$C$451,$C392,'TL07'!$J$238:$J$451),0),
IF('TL08'!$B$3=N$3,SUMIF('TL08'!$C$10:$C$224,$C392,'TL08'!$J$10:$J$224),0),
IF('TL08'!$B$229=N$3,SUMIF('TL08'!$C$238:$C$451,$C392,'TL08'!$J$238:$J$451),0),
IF('TL09'!$B$3=N$3,SUMIF('TL09'!$C$10:$C$224,$C392,'TL09'!$J$10:$J$224),0),
IF('TL09'!$B$229=N$3,SUMIF('TL09'!$C$238:$C$451,$C392,'TL09'!$J$238:$J$451),0),
IF('TL10'!$B$3=N$3,SUMIF('TL10'!$C$10:$C$224,$C392,'TL10'!$J$10:$J$224),0),
IF('TL10'!$B$229=N$3,SUMIF('TL10'!$C$238:$C$451,$C392,'TL10'!$J$238:$J$451),0),
IF('TL11'!$B$3=N$3,SUMIF('TL11'!$C$10:$C$224,$C392,'TL11'!$J$10:$J$224),0),
IF('TL11'!$B$229=N$3,SUMIF('TL11'!$C$238:$C$451,$C392,'TL11'!$J$238:$J$451),0),
IF('TL12'!$B$3=N$3,SUMIF('TL12'!$C$10:$C$224,$C392,'TL12'!$J$10:$J$224),0),
IF('TL12'!$B$229=N$3,SUMIF('TL12'!$C$238:$C$451,$C392,'TL12'!$J$238:$J$451),0),
IF('TL13'!$B$3=N$3,SUMIF('TL13'!$C$10:$C$224,$C392,'TL13'!$J$10:$J$224),0),
IF('TL13'!$B$229=N$3,SUMIF('TL13'!$C$238:$C$451,$C392,'TL13'!$J$238:$J$451),0),
IF('TL14'!$B$3=N$3,SUMIF('TL14'!$C$10:$C$224,$C392,'TL14'!$J$10:$J$224),0),
IF('TL14'!$B$229=N$3,SUMIF('TL14'!$C$238:$C$451,$C392,'TL14'!$J$238:$J$451),0),
IF('TL15'!$B$3=N$3,SUMIF('TL15'!$C$10:$C$224,$C392,'TL15'!$J$10:$J$224),0),
IF('TL15'!$B$229=N$3,SUMIF('TL15'!$C$238:$C$451,$C392,'TL15'!$J$238:$J$451),0),
IF('TL16'!$B$3=N$3,SUMIF('TL16'!$C$10:$C$224,$C392,'TL16'!$J$10:$J$224),0),
IF('TL16'!$B$229=N$3,SUMIF('TL16'!$C$238:$C$451,$C392,'TL16'!$J$238:$J$451),0),
IF('TL17'!$B$3=N$3,SUMIF('TL17'!$C$10:$C$224,$C392,'TL17'!$J$10:$J$224),0),
IF('TL17'!$B$229=N$3,SUMIF('TL17'!$C$238:$C$451,$C392,'TL17'!$J$238:$J$451),0),
IF('TL18'!$B$3=N$3,SUMIF('TL18'!$C$10:$C$224,$C392,'TL18'!$J$10:$J$224),0),
IF('TL18'!$B$229=N$3,SUMIF('TL18'!$C$238:$C$451,$C392,'TL18'!$J$238:$J$451),0),
IF('TL19'!$B$3=N$3,SUMIF('TL19'!$C$10:$C$224,$C392,'TL19'!$J$10:$J$224),0),
IF('TL19'!$B$229=N$3,SUMIF('TL19'!$C$238:$C$451,$C392,'TL19'!$J$238:$J$451),0)
),0)</f>
        <v>0</v>
      </c>
      <c r="O392" s="9">
        <f>IFERROR(SUM(
IF('TL01'!$B$3=O$3,SUMIF('TL01'!$C$10:$C$224,$C392,'TL01'!$J$10:$J$224),0),
IF('TL01'!$B$229=O$3,SUMIF('TL01'!$C$238:$C$451,$C392,'TL01'!$J$238:$J$451),0),
IF('TL02'!$B$3=O$3,SUMIF('TL02'!$C$10:$C$224,$C392,'TL02'!$J$10:$J$224),0),
IF('TL02'!$B$229=O$3,SUMIF('TL02'!$C$238:$C$451,$C392,'TL02'!$J$238:$J$451),0),
IF('TL03'!$B$3=O$3,SUMIF('TL03'!$C$10:$C$224,$C392,'TL03'!$J$10:$J$224),0),
IF('TL03'!$B$229=O$3,SUMIF('TL03'!$C$238:$C$451,$C392,'TL03'!$J$238:$J$451),0),
IF('TL04'!$B$3=O$3,SUMIF('TL04'!$C$10:$C$224,$C392,'TL04'!$J$10:$J$224),0),
IF('TL04'!$B$229=O$3,SUMIF('TL04'!$C$238:$C$451,$C392,'TL04'!$J$238:$J$451),0),
IF('TL05'!$B$3=O$3,SUMIF('TL05'!$C$10:$C$224,$C392,'TL05'!$J$10:$J$224),0),
IF('TL05'!$B$229=O$3,SUMIF('TL05'!$C$238:$C$451,$C392,'TL05'!$J$238:$J$451),0),
IF('TL06'!$B$3=O$3,SUMIF('TL06'!$C$10:$C$224,$C392,'TL06'!$J$10:$J$224),0),
IF('TL06'!$B$229=O$3,SUMIF('TL06'!$C$238:$C$451,$C392,'TL06'!$J$238:$J$451),0),
IF('TL07'!$B$3=O$3,SUMIF('TL07'!$C$10:$C$224,$C392,'TL07'!$J$10:$J$224),0),
IF('TL07'!$B$229=O$3,SUMIF('TL07'!$C$238:$C$451,$C392,'TL07'!$J$238:$J$451),0),
IF('TL08'!$B$3=O$3,SUMIF('TL08'!$C$10:$C$224,$C392,'TL08'!$J$10:$J$224),0),
IF('TL08'!$B$229=O$3,SUMIF('TL08'!$C$238:$C$451,$C392,'TL08'!$J$238:$J$451),0),
IF('TL09'!$B$3=O$3,SUMIF('TL09'!$C$10:$C$224,$C392,'TL09'!$J$10:$J$224),0),
IF('TL09'!$B$229=O$3,SUMIF('TL09'!$C$238:$C$451,$C392,'TL09'!$J$238:$J$451),0),
IF('TL10'!$B$3=O$3,SUMIF('TL10'!$C$10:$C$224,$C392,'TL10'!$J$10:$J$224),0),
IF('TL10'!$B$229=O$3,SUMIF('TL10'!$C$238:$C$451,$C392,'TL10'!$J$238:$J$451),0),
IF('TL11'!$B$3=O$3,SUMIF('TL11'!$C$10:$C$224,$C392,'TL11'!$J$10:$J$224),0),
IF('TL11'!$B$229=O$3,SUMIF('TL11'!$C$238:$C$451,$C392,'TL11'!$J$238:$J$451),0),
IF('TL12'!$B$3=O$3,SUMIF('TL12'!$C$10:$C$224,$C392,'TL12'!$J$10:$J$224),0),
IF('TL12'!$B$229=O$3,SUMIF('TL12'!$C$238:$C$451,$C392,'TL12'!$J$238:$J$451),0),
IF('TL13'!$B$3=O$3,SUMIF('TL13'!$C$10:$C$224,$C392,'TL13'!$J$10:$J$224),0),
IF('TL13'!$B$229=O$3,SUMIF('TL13'!$C$238:$C$451,$C392,'TL13'!$J$238:$J$451),0),
IF('TL14'!$B$3=O$3,SUMIF('TL14'!$C$10:$C$224,$C392,'TL14'!$J$10:$J$224),0),
IF('TL14'!$B$229=O$3,SUMIF('TL14'!$C$238:$C$451,$C392,'TL14'!$J$238:$J$451),0),
IF('TL15'!$B$3=O$3,SUMIF('TL15'!$C$10:$C$224,$C392,'TL15'!$J$10:$J$224),0),
IF('TL15'!$B$229=O$3,SUMIF('TL15'!$C$238:$C$451,$C392,'TL15'!$J$238:$J$451),0),
IF('TL16'!$B$3=O$3,SUMIF('TL16'!$C$10:$C$224,$C392,'TL16'!$J$10:$J$224),0),
IF('TL16'!$B$229=O$3,SUMIF('TL16'!$C$238:$C$451,$C392,'TL16'!$J$238:$J$451),0),
IF('TL17'!$B$3=O$3,SUMIF('TL17'!$C$10:$C$224,$C392,'TL17'!$J$10:$J$224),0),
IF('TL17'!$B$229=O$3,SUMIF('TL17'!$C$238:$C$451,$C392,'TL17'!$J$238:$J$451),0),
IF('TL18'!$B$3=O$3,SUMIF('TL18'!$C$10:$C$224,$C392,'TL18'!$J$10:$J$224),0),
IF('TL18'!$B$229=O$3,SUMIF('TL18'!$C$238:$C$451,$C392,'TL18'!$J$238:$J$451),0),
IF('TL19'!$B$3=O$3,SUMIF('TL19'!$C$10:$C$224,$C392,'TL19'!$J$10:$J$224),0),
IF('TL19'!$B$229=O$3,SUMIF('TL19'!$C$238:$C$451,$C392,'TL19'!$J$238:$J$451),0)
),0)</f>
        <v>0</v>
      </c>
      <c r="P392" s="9">
        <f>IFERROR(SUM(
IF('TL01'!$B$3=P$3,SUMIF('TL01'!$C$10:$C$224,$C392,'TL01'!$J$10:$J$224),0),
IF('TL01'!$B$229=P$3,SUMIF('TL01'!$C$238:$C$451,$C392,'TL01'!$J$238:$J$451),0),
IF('TL02'!$B$3=P$3,SUMIF('TL02'!$C$10:$C$224,$C392,'TL02'!$J$10:$J$224),0),
IF('TL02'!$B$229=P$3,SUMIF('TL02'!$C$238:$C$451,$C392,'TL02'!$J$238:$J$451),0),
IF('TL03'!$B$3=P$3,SUMIF('TL03'!$C$10:$C$224,$C392,'TL03'!$J$10:$J$224),0),
IF('TL03'!$B$229=P$3,SUMIF('TL03'!$C$238:$C$451,$C392,'TL03'!$J$238:$J$451),0),
IF('TL04'!$B$3=P$3,SUMIF('TL04'!$C$10:$C$224,$C392,'TL04'!$J$10:$J$224),0),
IF('TL04'!$B$229=P$3,SUMIF('TL04'!$C$238:$C$451,$C392,'TL04'!$J$238:$J$451),0),
IF('TL05'!$B$3=P$3,SUMIF('TL05'!$C$10:$C$224,$C392,'TL05'!$J$10:$J$224),0),
IF('TL05'!$B$229=P$3,SUMIF('TL05'!$C$238:$C$451,$C392,'TL05'!$J$238:$J$451),0),
IF('TL06'!$B$3=P$3,SUMIF('TL06'!$C$10:$C$224,$C392,'TL06'!$J$10:$J$224),0),
IF('TL06'!$B$229=P$3,SUMIF('TL06'!$C$238:$C$451,$C392,'TL06'!$J$238:$J$451),0),
IF('TL07'!$B$3=P$3,SUMIF('TL07'!$C$10:$C$224,$C392,'TL07'!$J$10:$J$224),0),
IF('TL07'!$B$229=P$3,SUMIF('TL07'!$C$238:$C$451,$C392,'TL07'!$J$238:$J$451),0),
IF('TL08'!$B$3=P$3,SUMIF('TL08'!$C$10:$C$224,$C392,'TL08'!$J$10:$J$224),0),
IF('TL08'!$B$229=P$3,SUMIF('TL08'!$C$238:$C$451,$C392,'TL08'!$J$238:$J$451),0),
IF('TL09'!$B$3=P$3,SUMIF('TL09'!$C$10:$C$224,$C392,'TL09'!$J$10:$J$224),0),
IF('TL09'!$B$229=P$3,SUMIF('TL09'!$C$238:$C$451,$C392,'TL09'!$J$238:$J$451),0),
IF('TL10'!$B$3=P$3,SUMIF('TL10'!$C$10:$C$224,$C392,'TL10'!$J$10:$J$224),0),
IF('TL10'!$B$229=P$3,SUMIF('TL10'!$C$238:$C$451,$C392,'TL10'!$J$238:$J$451),0),
IF('TL11'!$B$3=P$3,SUMIF('TL11'!$C$10:$C$224,$C392,'TL11'!$J$10:$J$224),0),
IF('TL11'!$B$229=P$3,SUMIF('TL11'!$C$238:$C$451,$C392,'TL11'!$J$238:$J$451),0),
IF('TL12'!$B$3=P$3,SUMIF('TL12'!$C$10:$C$224,$C392,'TL12'!$J$10:$J$224),0),
IF('TL12'!$B$229=P$3,SUMIF('TL12'!$C$238:$C$451,$C392,'TL12'!$J$238:$J$451),0),
IF('TL13'!$B$3=P$3,SUMIF('TL13'!$C$10:$C$224,$C392,'TL13'!$J$10:$J$224),0),
IF('TL13'!$B$229=P$3,SUMIF('TL13'!$C$238:$C$451,$C392,'TL13'!$J$238:$J$451),0),
IF('TL14'!$B$3=P$3,SUMIF('TL14'!$C$10:$C$224,$C392,'TL14'!$J$10:$J$224),0),
IF('TL14'!$B$229=P$3,SUMIF('TL14'!$C$238:$C$451,$C392,'TL14'!$J$238:$J$451),0),
IF('TL15'!$B$3=P$3,SUMIF('TL15'!$C$10:$C$224,$C392,'TL15'!$J$10:$J$224),0),
IF('TL15'!$B$229=P$3,SUMIF('TL15'!$C$238:$C$451,$C392,'TL15'!$J$238:$J$451),0),
IF('TL16'!$B$3=P$3,SUMIF('TL16'!$C$10:$C$224,$C392,'TL16'!$J$10:$J$224),0),
IF('TL16'!$B$229=P$3,SUMIF('TL16'!$C$238:$C$451,$C392,'TL16'!$J$238:$J$451),0),
IF('TL17'!$B$3=P$3,SUMIF('TL17'!$C$10:$C$224,$C392,'TL17'!$J$10:$J$224),0),
IF('TL17'!$B$229=P$3,SUMIF('TL17'!$C$238:$C$451,$C392,'TL17'!$J$238:$J$451),0),
IF('TL18'!$B$3=P$3,SUMIF('TL18'!$C$10:$C$224,$C392,'TL18'!$J$10:$J$224),0),
IF('TL18'!$B$229=P$3,SUMIF('TL18'!$C$238:$C$451,$C392,'TL18'!$J$238:$J$451),0),
IF('TL19'!$B$3=P$3,SUMIF('TL19'!$C$10:$C$224,$C392,'TL19'!$J$10:$J$224),0),
IF('TL19'!$B$229=P$3,SUMIF('TL19'!$C$238:$C$451,$C392,'TL19'!$J$238:$J$451),0)
),0)</f>
        <v>0</v>
      </c>
      <c r="Q392" s="9">
        <f>IFERROR(SUM(
IF('TL01'!$B$3=Q$3,SUMIF('TL01'!$C$10:$C$224,$C392,'TL01'!$J$10:$J$224),0),
IF('TL01'!$B$229=Q$3,SUMIF('TL01'!$C$238:$C$451,$C392,'TL01'!$J$238:$J$451),0),
IF('TL02'!$B$3=Q$3,SUMIF('TL02'!$C$10:$C$224,$C392,'TL02'!$J$10:$J$224),0),
IF('TL02'!$B$229=Q$3,SUMIF('TL02'!$C$238:$C$451,$C392,'TL02'!$J$238:$J$451),0),
IF('TL03'!$B$3=Q$3,SUMIF('TL03'!$C$10:$C$224,$C392,'TL03'!$J$10:$J$224),0),
IF('TL03'!$B$229=Q$3,SUMIF('TL03'!$C$238:$C$451,$C392,'TL03'!$J$238:$J$451),0),
IF('TL04'!$B$3=Q$3,SUMIF('TL04'!$C$10:$C$224,$C392,'TL04'!$J$10:$J$224),0),
IF('TL04'!$B$229=Q$3,SUMIF('TL04'!$C$238:$C$451,$C392,'TL04'!$J$238:$J$451),0),
IF('TL05'!$B$3=Q$3,SUMIF('TL05'!$C$10:$C$224,$C392,'TL05'!$J$10:$J$224),0),
IF('TL05'!$B$229=Q$3,SUMIF('TL05'!$C$238:$C$451,$C392,'TL05'!$J$238:$J$451),0),
IF('TL06'!$B$3=Q$3,SUMIF('TL06'!$C$10:$C$224,$C392,'TL06'!$J$10:$J$224),0),
IF('TL06'!$B$229=Q$3,SUMIF('TL06'!$C$238:$C$451,$C392,'TL06'!$J$238:$J$451),0),
IF('TL07'!$B$3=Q$3,SUMIF('TL07'!$C$10:$C$224,$C392,'TL07'!$J$10:$J$224),0),
IF('TL07'!$B$229=Q$3,SUMIF('TL07'!$C$238:$C$451,$C392,'TL07'!$J$238:$J$451),0),
IF('TL08'!$B$3=Q$3,SUMIF('TL08'!$C$10:$C$224,$C392,'TL08'!$J$10:$J$224),0),
IF('TL08'!$B$229=Q$3,SUMIF('TL08'!$C$238:$C$451,$C392,'TL08'!$J$238:$J$451),0),
IF('TL09'!$B$3=Q$3,SUMIF('TL09'!$C$10:$C$224,$C392,'TL09'!$J$10:$J$224),0),
IF('TL09'!$B$229=Q$3,SUMIF('TL09'!$C$238:$C$451,$C392,'TL09'!$J$238:$J$451),0),
IF('TL10'!$B$3=Q$3,SUMIF('TL10'!$C$10:$C$224,$C392,'TL10'!$J$10:$J$224),0),
IF('TL10'!$B$229=Q$3,SUMIF('TL10'!$C$238:$C$451,$C392,'TL10'!$J$238:$J$451),0),
IF('TL11'!$B$3=Q$3,SUMIF('TL11'!$C$10:$C$224,$C392,'TL11'!$J$10:$J$224),0),
IF('TL11'!$B$229=Q$3,SUMIF('TL11'!$C$238:$C$451,$C392,'TL11'!$J$238:$J$451),0),
IF('TL12'!$B$3=Q$3,SUMIF('TL12'!$C$10:$C$224,$C392,'TL12'!$J$10:$J$224),0),
IF('TL12'!$B$229=Q$3,SUMIF('TL12'!$C$238:$C$451,$C392,'TL12'!$J$238:$J$451),0),
IF('TL13'!$B$3=Q$3,SUMIF('TL13'!$C$10:$C$224,$C392,'TL13'!$J$10:$J$224),0),
IF('TL13'!$B$229=Q$3,SUMIF('TL13'!$C$238:$C$451,$C392,'TL13'!$J$238:$J$451),0),
IF('TL14'!$B$3=Q$3,SUMIF('TL14'!$C$10:$C$224,$C392,'TL14'!$J$10:$J$224),0),
IF('TL14'!$B$229=Q$3,SUMIF('TL14'!$C$238:$C$451,$C392,'TL14'!$J$238:$J$451),0),
IF('TL15'!$B$3=Q$3,SUMIF('TL15'!$C$10:$C$224,$C392,'TL15'!$J$10:$J$224),0),
IF('TL15'!$B$229=Q$3,SUMIF('TL15'!$C$238:$C$451,$C392,'TL15'!$J$238:$J$451),0),
IF('TL16'!$B$3=Q$3,SUMIF('TL16'!$C$10:$C$224,$C392,'TL16'!$J$10:$J$224),0),
IF('TL16'!$B$229=Q$3,SUMIF('TL16'!$C$238:$C$451,$C392,'TL16'!$J$238:$J$451),0),
IF('TL17'!$B$3=Q$3,SUMIF('TL17'!$C$10:$C$224,$C392,'TL17'!$J$10:$J$224),0),
IF('TL17'!$B$229=Q$3,SUMIF('TL17'!$C$238:$C$451,$C392,'TL17'!$J$238:$J$451),0),
IF('TL18'!$B$3=Q$3,SUMIF('TL18'!$C$10:$C$224,$C392,'TL18'!$J$10:$J$224),0),
IF('TL18'!$B$229=Q$3,SUMIF('TL18'!$C$238:$C$451,$C392,'TL18'!$J$238:$J$451),0),
IF('TL19'!$B$3=Q$3,SUMIF('TL19'!$C$10:$C$224,$C392,'TL19'!$J$10:$J$224),0),
IF('TL19'!$B$229=Q$3,SUMIF('TL19'!$C$238:$C$451,$C392,'TL19'!$J$238:$J$451),0)
),0)</f>
        <v>0</v>
      </c>
      <c r="R392" s="9">
        <f>IFERROR(
SUM(
SUMIF('TL01'!C:C,C392,'TL01'!J:J),
SUMIF('TL02'!C:C,C392,'TL02'!J:J),
SUMIF('TL03'!C:C,C392,'TL03'!J:J),
SUMIF('TL04'!C:C,C392,'TL04'!J:J),
SUMIF('TL05'!C:C,C392,'TL05'!J:J),
SUMIF('TL06'!C:C,C392,'TL06'!J:J),
SUMIF('TL07'!C:C,C392,'TL07'!J:J),
SUMIF('TL08'!C:C,C392,'TL08'!J:J),
SUMIF('TL09'!C:C,C392,'TL09'!J:J),
SUMIF('TL10'!C:C,C392,'TL10'!J:J),
SUMIF('TL11'!C:C,C392,'TL11'!J:J),
SUMIF('TL12'!C:C,C392,'TL12'!J:J),
SUMIF('TL13'!C:C,C392,'TL13'!J:J),
SUMIF('TL14'!C:C,C392,'TL14'!J:J),
SUMIF('TL15'!C:C,C392,'TL15'!J:J),
SUMIF('TL16'!C:C,C392,'TL16'!J:J),
SUMIF('TL17'!C:C,C392,'TL17'!J:J),
SUMIF('TL18'!C:C,C392,'TL18'!J:J),SUMIF('TL19'!C:C,C392,'TL19'!J:J))
,0)</f>
        <v>0</v>
      </c>
      <c r="S392" s="17" t="str">
        <f>IFERROR(__xludf.DUMMYFUNCTION("IFERROR(VLOOKUP(C392,
IMPORTRANGE(""1wULbzX32WdYsx-lj2U3uUNBBe2INVIRDtcK0d-Dvl90"",
""26-27!C:G""),
5,
FALSE),
"""")"),"")</f>
        <v/>
      </c>
      <c r="T392" s="9"/>
      <c r="U392" s="92">
        <f t="shared" si="2"/>
        <v>0</v>
      </c>
      <c r="V392" s="93">
        <f t="shared" si="3"/>
        <v>0</v>
      </c>
    </row>
    <row r="393" ht="15.75" hidden="1" customHeight="1">
      <c r="A393" s="4"/>
      <c r="B393" s="125"/>
      <c r="C393" s="6"/>
      <c r="D393" s="6"/>
      <c r="E393" s="9"/>
      <c r="F393" s="4"/>
      <c r="G393" s="90" t="str">
        <f t="shared" si="5"/>
        <v>📄 Ver bula</v>
      </c>
      <c r="H393" s="9"/>
      <c r="I393" s="1"/>
      <c r="J393" s="9">
        <f>IFERROR(SUM(
IF('TL01'!$B$3=J$3,SUMIF('TL01'!$C$10:$C$224,$C393,'TL01'!$J$10:$J$224),0),
IF('TL01'!$B$229=J$3,SUMIF('TL01'!$C$238:$C$451,$C393,'TL01'!$J$238:$J$451),0),
IF('TL02'!$B$3=J$3,SUMIF('TL02'!$C$10:$C$224,$C393,'TL02'!$J$10:$J$224),0),
IF('TL02'!$B$229=J$3,SUMIF('TL02'!$C$238:$C$451,$C393,'TL02'!$J$238:$J$451),0),
IF('TL03'!$B$3=J$3,SUMIF('TL03'!$C$10:$C$224,$C393,'TL03'!$J$10:$J$224),0),
IF('TL03'!$B$229=J$3,SUMIF('TL03'!$C$238:$C$451,$C393,'TL03'!$J$238:$J$451),0),
IF('TL04'!$B$3=J$3,SUMIF('TL04'!$C$10:$C$224,$C393,'TL04'!$J$10:$J$224),0),
IF('TL04'!$B$229=J$3,SUMIF('TL04'!$C$238:$C$451,$C393,'TL04'!$J$238:$J$451),0),
IF('TL05'!$B$3=J$3,SUMIF('TL05'!$C$10:$C$224,$C393,'TL05'!$J$10:$J$224),0),
IF('TL05'!$B$229=J$3,SUMIF('TL05'!$C$238:$C$451,$C393,'TL05'!$J$238:$J$451),0),
IF('TL06'!$B$3=J$3,SUMIF('TL06'!$C$10:$C$224,$C393,'TL06'!$J$10:$J$224),0),
IF('TL06'!$B$229=J$3,SUMIF('TL06'!$C$238:$C$451,$C393,'TL06'!$J$238:$J$451),0),
IF('TL07'!$B$3=J$3,SUMIF('TL07'!$C$10:$C$224,$C393,'TL07'!$J$10:$J$224),0),
IF('TL07'!$B$229=J$3,SUMIF('TL07'!$C$238:$C$451,$C393,'TL07'!$J$238:$J$451),0),
IF('TL08'!$B$3=J$3,SUMIF('TL08'!$C$10:$C$224,$C393,'TL08'!$J$10:$J$224),0),
IF('TL08'!$B$229=J$3,SUMIF('TL08'!$C$238:$C$451,$C393,'TL08'!$J$238:$J$451),0),
IF('TL09'!$B$3=J$3,SUMIF('TL09'!$C$10:$C$224,$C393,'TL09'!$J$10:$J$224),0),
IF('TL09'!$B$229=J$3,SUMIF('TL09'!$C$238:$C$451,$C393,'TL09'!$J$238:$J$451),0),
IF('TL10'!$B$3=J$3,SUMIF('TL10'!$C$10:$C$224,$C393,'TL10'!$J$10:$J$224),0),
IF('TL10'!$B$229=J$3,SUMIF('TL10'!$C$238:$C$451,$C393,'TL10'!$J$238:$J$451),0),
IF('TL11'!$B$3=J$3,SUMIF('TL11'!$C$10:$C$224,$C393,'TL11'!$J$10:$J$224),0),
IF('TL11'!$B$229=J$3,SUMIF('TL11'!$C$238:$C$451,$C393,'TL11'!$J$238:$J$451),0),
IF('TL12'!$B$3=J$3,SUMIF('TL12'!$C$10:$C$224,$C393,'TL12'!$J$10:$J$224),0),
IF('TL12'!$B$229=J$3,SUMIF('TL12'!$C$238:$C$451,$C393,'TL12'!$J$238:$J$451),0),
IF('TL13'!$B$3=J$3,SUMIF('TL13'!$C$10:$C$224,$C393,'TL13'!$J$10:$J$224),0),
IF('TL13'!$B$229=J$3,SUMIF('TL13'!$C$238:$C$451,$C393,'TL13'!$J$238:$J$451),0),
IF('TL14'!$B$3=J$3,SUMIF('TL14'!$C$10:$C$224,$C393,'TL14'!$J$10:$J$224),0),
IF('TL14'!$B$229=J$3,SUMIF('TL14'!$C$238:$C$451,$C393,'TL14'!$J$238:$J$451),0),
IF('TL15'!$B$3=J$3,SUMIF('TL15'!$C$10:$C$224,$C393,'TL15'!$J$10:$J$224),0),
IF('TL15'!$B$229=J$3,SUMIF('TL15'!$C$238:$C$451,$C393,'TL15'!$J$238:$J$451),0),
IF('TL16'!$B$3=J$3,SUMIF('TL16'!$C$10:$C$224,$C393,'TL16'!$J$10:$J$224),0),
IF('TL16'!$B$229=J$3,SUMIF('TL16'!$C$238:$C$451,$C393,'TL16'!$J$238:$J$451),0),
IF('TL17'!$B$3=J$3,SUMIF('TL17'!$C$10:$C$224,$C393,'TL17'!$J$10:$J$224),0),
IF('TL17'!$B$229=J$3,SUMIF('TL17'!$C$238:$C$451,$C393,'TL17'!$J$238:$J$451),0),
IF('TL18'!$B$3=J$3,SUMIF('TL18'!$C$10:$C$224,$C393,'TL18'!$J$10:$J$224),0),
IF('TL18'!$B$229=J$3,SUMIF('TL18'!$C$238:$C$451,$C393,'TL18'!$J$238:$J$451),0),
IF('TL19'!$B$3=J$3,SUMIF('TL19'!$C$10:$C$224,$C393,'TL19'!$J$10:$J$224),0),
IF('TL19'!$B$229=J$3,SUMIF('TL19'!$C$238:$C$451,$C393,'TL19'!$J$238:$J$451),0)
),0)</f>
        <v>0</v>
      </c>
      <c r="K393" s="9">
        <f>IFERROR(SUM(
IF('TL01'!$B$3=K$3,SUMIF('TL01'!$C$10:$C$224,$C393,'TL01'!$J$10:$J$224),0),
IF('TL01'!$B$229=K$3,SUMIF('TL01'!$C$238:$C$451,$C393,'TL01'!$J$238:$J$451),0),
IF('TL02'!$B$3=K$3,SUMIF('TL02'!$C$10:$C$224,$C393,'TL02'!$J$10:$J$224),0),
IF('TL02'!$B$229=K$3,SUMIF('TL02'!$C$238:$C$451,$C393,'TL02'!$J$238:$J$451),0),
IF('TL03'!$B$3=K$3,SUMIF('TL03'!$C$10:$C$224,$C393,'TL03'!$J$10:$J$224),0),
IF('TL03'!$B$229=K$3,SUMIF('TL03'!$C$238:$C$451,$C393,'TL03'!$J$238:$J$451),0),
IF('TL04'!$B$3=K$3,SUMIF('TL04'!$C$10:$C$224,$C393,'TL04'!$J$10:$J$224),0),
IF('TL04'!$B$229=K$3,SUMIF('TL04'!$C$238:$C$451,$C393,'TL04'!$J$238:$J$451),0),
IF('TL05'!$B$3=K$3,SUMIF('TL05'!$C$10:$C$224,$C393,'TL05'!$J$10:$J$224),0),
IF('TL05'!$B$229=K$3,SUMIF('TL05'!$C$238:$C$451,$C393,'TL05'!$J$238:$J$451),0),
IF('TL06'!$B$3=K$3,SUMIF('TL06'!$C$10:$C$224,$C393,'TL06'!$J$10:$J$224),0),
IF('TL06'!$B$229=K$3,SUMIF('TL06'!$C$238:$C$451,$C393,'TL06'!$J$238:$J$451),0),
IF('TL07'!$B$3=K$3,SUMIF('TL07'!$C$10:$C$224,$C393,'TL07'!$J$10:$J$224),0),
IF('TL07'!$B$229=K$3,SUMIF('TL07'!$C$238:$C$451,$C393,'TL07'!$J$238:$J$451),0),
IF('TL08'!$B$3=K$3,SUMIF('TL08'!$C$10:$C$224,$C393,'TL08'!$J$10:$J$224),0),
IF('TL08'!$B$229=K$3,SUMIF('TL08'!$C$238:$C$451,$C393,'TL08'!$J$238:$J$451),0),
IF('TL09'!$B$3=K$3,SUMIF('TL09'!$C$10:$C$224,$C393,'TL09'!$J$10:$J$224),0),
IF('TL09'!$B$229=K$3,SUMIF('TL09'!$C$238:$C$451,$C393,'TL09'!$J$238:$J$451),0),
IF('TL10'!$B$3=K$3,SUMIF('TL10'!$C$10:$C$224,$C393,'TL10'!$J$10:$J$224),0),
IF('TL10'!$B$229=K$3,SUMIF('TL10'!$C$238:$C$451,$C393,'TL10'!$J$238:$J$451),0),
IF('TL11'!$B$3=K$3,SUMIF('TL11'!$C$10:$C$224,$C393,'TL11'!$J$10:$J$224),0),
IF('TL11'!$B$229=K$3,SUMIF('TL11'!$C$238:$C$451,$C393,'TL11'!$J$238:$J$451),0),
IF('TL12'!$B$3=K$3,SUMIF('TL12'!$C$10:$C$224,$C393,'TL12'!$J$10:$J$224),0),
IF('TL12'!$B$229=K$3,SUMIF('TL12'!$C$238:$C$451,$C393,'TL12'!$J$238:$J$451),0),
IF('TL13'!$B$3=K$3,SUMIF('TL13'!$C$10:$C$224,$C393,'TL13'!$J$10:$J$224),0),
IF('TL13'!$B$229=K$3,SUMIF('TL13'!$C$238:$C$451,$C393,'TL13'!$J$238:$J$451),0),
IF('TL14'!$B$3=K$3,SUMIF('TL14'!$C$10:$C$224,$C393,'TL14'!$J$10:$J$224),0),
IF('TL14'!$B$229=K$3,SUMIF('TL14'!$C$238:$C$451,$C393,'TL14'!$J$238:$J$451),0),
IF('TL15'!$B$3=K$3,SUMIF('TL15'!$C$10:$C$224,$C393,'TL15'!$J$10:$J$224),0),
IF('TL15'!$B$229=K$3,SUMIF('TL15'!$C$238:$C$451,$C393,'TL15'!$J$238:$J$451),0),
IF('TL16'!$B$3=K$3,SUMIF('TL16'!$C$10:$C$224,$C393,'TL16'!$J$10:$J$224),0),
IF('TL16'!$B$229=K$3,SUMIF('TL16'!$C$238:$C$451,$C393,'TL16'!$J$238:$J$451),0),
IF('TL17'!$B$3=K$3,SUMIF('TL17'!$C$10:$C$224,$C393,'TL17'!$J$10:$J$224),0),
IF('TL17'!$B$229=K$3,SUMIF('TL17'!$C$238:$C$451,$C393,'TL17'!$J$238:$J$451),0),
IF('TL18'!$B$3=K$3,SUMIF('TL18'!$C$10:$C$224,$C393,'TL18'!$J$10:$J$224),0),
IF('TL18'!$B$229=K$3,SUMIF('TL18'!$C$238:$C$451,$C393,'TL18'!$J$238:$J$451),0),
IF('TL19'!$B$3=K$3,SUMIF('TL19'!$C$10:$C$224,$C393,'TL19'!$J$10:$J$224),0),
IF('TL19'!$B$229=K$3,SUMIF('TL19'!$C$238:$C$451,$C393,'TL19'!$J$238:$J$451),0)
),0)</f>
        <v>0</v>
      </c>
      <c r="L393" s="9">
        <f>IFERROR(SUM(
IF('TL01'!$B$3=L$3,SUMIF('TL01'!$C$10:$C$224,$C393,'TL01'!$J$10:$J$224),0),
IF('TL01'!$B$229=L$3,SUMIF('TL01'!$C$238:$C$451,$C393,'TL01'!$J$238:$J$451),0),
IF('TL02'!$B$3=L$3,SUMIF('TL02'!$C$10:$C$224,$C393,'TL02'!$J$10:$J$224),0),
IF('TL02'!$B$229=L$3,SUMIF('TL02'!$C$238:$C$451,$C393,'TL02'!$J$238:$J$451),0),
IF('TL03'!$B$3=L$3,SUMIF('TL03'!$C$10:$C$224,$C393,'TL03'!$J$10:$J$224),0),
IF('TL03'!$B$229=L$3,SUMIF('TL03'!$C$238:$C$451,$C393,'TL03'!$J$238:$J$451),0),
IF('TL04'!$B$3=L$3,SUMIF('TL04'!$C$10:$C$224,$C393,'TL04'!$J$10:$J$224),0),
IF('TL04'!$B$229=L$3,SUMIF('TL04'!$C$238:$C$451,$C393,'TL04'!$J$238:$J$451),0),
IF('TL05'!$B$3=L$3,SUMIF('TL05'!$C$10:$C$224,$C393,'TL05'!$J$10:$J$224),0),
IF('TL05'!$B$229=L$3,SUMIF('TL05'!$C$238:$C$451,$C393,'TL05'!$J$238:$J$451),0),
IF('TL06'!$B$3=L$3,SUMIF('TL06'!$C$10:$C$224,$C393,'TL06'!$J$10:$J$224),0),
IF('TL06'!$B$229=L$3,SUMIF('TL06'!$C$238:$C$451,$C393,'TL06'!$J$238:$J$451),0),
IF('TL07'!$B$3=L$3,SUMIF('TL07'!$C$10:$C$224,$C393,'TL07'!$J$10:$J$224),0),
IF('TL07'!$B$229=L$3,SUMIF('TL07'!$C$238:$C$451,$C393,'TL07'!$J$238:$J$451),0),
IF('TL08'!$B$3=L$3,SUMIF('TL08'!$C$10:$C$224,$C393,'TL08'!$J$10:$J$224),0),
IF('TL08'!$B$229=L$3,SUMIF('TL08'!$C$238:$C$451,$C393,'TL08'!$J$238:$J$451),0),
IF('TL09'!$B$3=L$3,SUMIF('TL09'!$C$10:$C$224,$C393,'TL09'!$J$10:$J$224),0),
IF('TL09'!$B$229=L$3,SUMIF('TL09'!$C$238:$C$451,$C393,'TL09'!$J$238:$J$451),0),
IF('TL10'!$B$3=L$3,SUMIF('TL10'!$C$10:$C$224,$C393,'TL10'!$J$10:$J$224),0),
IF('TL10'!$B$229=L$3,SUMIF('TL10'!$C$238:$C$451,$C393,'TL10'!$J$238:$J$451),0),
IF('TL11'!$B$3=L$3,SUMIF('TL11'!$C$10:$C$224,$C393,'TL11'!$J$10:$J$224),0),
IF('TL11'!$B$229=L$3,SUMIF('TL11'!$C$238:$C$451,$C393,'TL11'!$J$238:$J$451),0),
IF('TL12'!$B$3=L$3,SUMIF('TL12'!$C$10:$C$224,$C393,'TL12'!$J$10:$J$224),0),
IF('TL12'!$B$229=L$3,SUMIF('TL12'!$C$238:$C$451,$C393,'TL12'!$J$238:$J$451),0),
IF('TL13'!$B$3=L$3,SUMIF('TL13'!$C$10:$C$224,$C393,'TL13'!$J$10:$J$224),0),
IF('TL13'!$B$229=L$3,SUMIF('TL13'!$C$238:$C$451,$C393,'TL13'!$J$238:$J$451),0),
IF('TL14'!$B$3=L$3,SUMIF('TL14'!$C$10:$C$224,$C393,'TL14'!$J$10:$J$224),0),
IF('TL14'!$B$229=L$3,SUMIF('TL14'!$C$238:$C$451,$C393,'TL14'!$J$238:$J$451),0),
IF('TL15'!$B$3=L$3,SUMIF('TL15'!$C$10:$C$224,$C393,'TL15'!$J$10:$J$224),0),
IF('TL15'!$B$229=L$3,SUMIF('TL15'!$C$238:$C$451,$C393,'TL15'!$J$238:$J$451),0),
IF('TL16'!$B$3=L$3,SUMIF('TL16'!$C$10:$C$224,$C393,'TL16'!$J$10:$J$224),0),
IF('TL16'!$B$229=L$3,SUMIF('TL16'!$C$238:$C$451,$C393,'TL16'!$J$238:$J$451),0),
IF('TL17'!$B$3=L$3,SUMIF('TL17'!$C$10:$C$224,$C393,'TL17'!$J$10:$J$224),0),
IF('TL17'!$B$229=L$3,SUMIF('TL17'!$C$238:$C$451,$C393,'TL17'!$J$238:$J$451),0),
IF('TL18'!$B$3=L$3,SUMIF('TL18'!$C$10:$C$224,$C393,'TL18'!$J$10:$J$224),0),
IF('TL18'!$B$229=L$3,SUMIF('TL18'!$C$238:$C$451,$C393,'TL18'!$J$238:$J$451),0),
IF('TL19'!$B$3=L$3,SUMIF('TL19'!$C$10:$C$224,$C393,'TL19'!$J$10:$J$224),0),
IF('TL19'!$B$229=L$3,SUMIF('TL19'!$C$238:$C$451,$C393,'TL19'!$J$238:$J$451),0)
),0)</f>
        <v>0</v>
      </c>
      <c r="M393" s="9">
        <f>IFERROR(SUM(
IF('TL01'!$B$3=M$3,SUMIF('TL01'!$C$10:$C$224,$C393,'TL01'!$J$10:$J$224),0),
IF('TL01'!$B$229=M$3,SUMIF('TL01'!$C$238:$C$451,$C393,'TL01'!$J$238:$J$451),0),
IF('TL02'!$B$3=M$3,SUMIF('TL02'!$C$10:$C$224,$C393,'TL02'!$J$10:$J$224),0),
IF('TL02'!$B$229=M$3,SUMIF('TL02'!$C$238:$C$451,$C393,'TL02'!$J$238:$J$451),0),
IF('TL03'!$B$3=M$3,SUMIF('TL03'!$C$10:$C$224,$C393,'TL03'!$J$10:$J$224),0),
IF('TL03'!$B$229=M$3,SUMIF('TL03'!$C$238:$C$451,$C393,'TL03'!$J$238:$J$451),0),
IF('TL04'!$B$3=M$3,SUMIF('TL04'!$C$10:$C$224,$C393,'TL04'!$J$10:$J$224),0),
IF('TL04'!$B$229=M$3,SUMIF('TL04'!$C$238:$C$451,$C393,'TL04'!$J$238:$J$451),0),
IF('TL05'!$B$3=M$3,SUMIF('TL05'!$C$10:$C$224,$C393,'TL05'!$J$10:$J$224),0),
IF('TL05'!$B$229=M$3,SUMIF('TL05'!$C$238:$C$451,$C393,'TL05'!$J$238:$J$451),0),
IF('TL06'!$B$3=M$3,SUMIF('TL06'!$C$10:$C$224,$C393,'TL06'!$J$10:$J$224),0),
IF('TL06'!$B$229=M$3,SUMIF('TL06'!$C$238:$C$451,$C393,'TL06'!$J$238:$J$451),0),
IF('TL07'!$B$3=M$3,SUMIF('TL07'!$C$10:$C$224,$C393,'TL07'!$J$10:$J$224),0),
IF('TL07'!$B$229=M$3,SUMIF('TL07'!$C$238:$C$451,$C393,'TL07'!$J$238:$J$451),0),
IF('TL08'!$B$3=M$3,SUMIF('TL08'!$C$10:$C$224,$C393,'TL08'!$J$10:$J$224),0),
IF('TL08'!$B$229=M$3,SUMIF('TL08'!$C$238:$C$451,$C393,'TL08'!$J$238:$J$451),0),
IF('TL09'!$B$3=M$3,SUMIF('TL09'!$C$10:$C$224,$C393,'TL09'!$J$10:$J$224),0),
IF('TL09'!$B$229=M$3,SUMIF('TL09'!$C$238:$C$451,$C393,'TL09'!$J$238:$J$451),0),
IF('TL10'!$B$3=M$3,SUMIF('TL10'!$C$10:$C$224,$C393,'TL10'!$J$10:$J$224),0),
IF('TL10'!$B$229=M$3,SUMIF('TL10'!$C$238:$C$451,$C393,'TL10'!$J$238:$J$451),0),
IF('TL11'!$B$3=M$3,SUMIF('TL11'!$C$10:$C$224,$C393,'TL11'!$J$10:$J$224),0),
IF('TL11'!$B$229=M$3,SUMIF('TL11'!$C$238:$C$451,$C393,'TL11'!$J$238:$J$451),0),
IF('TL12'!$B$3=M$3,SUMIF('TL12'!$C$10:$C$224,$C393,'TL12'!$J$10:$J$224),0),
IF('TL12'!$B$229=M$3,SUMIF('TL12'!$C$238:$C$451,$C393,'TL12'!$J$238:$J$451),0),
IF('TL13'!$B$3=M$3,SUMIF('TL13'!$C$10:$C$224,$C393,'TL13'!$J$10:$J$224),0),
IF('TL13'!$B$229=M$3,SUMIF('TL13'!$C$238:$C$451,$C393,'TL13'!$J$238:$J$451),0),
IF('TL14'!$B$3=M$3,SUMIF('TL14'!$C$10:$C$224,$C393,'TL14'!$J$10:$J$224),0),
IF('TL14'!$B$229=M$3,SUMIF('TL14'!$C$238:$C$451,$C393,'TL14'!$J$238:$J$451),0),
IF('TL15'!$B$3=M$3,SUMIF('TL15'!$C$10:$C$224,$C393,'TL15'!$J$10:$J$224),0),
IF('TL15'!$B$229=M$3,SUMIF('TL15'!$C$238:$C$451,$C393,'TL15'!$J$238:$J$451),0),
IF('TL16'!$B$3=M$3,SUMIF('TL16'!$C$10:$C$224,$C393,'TL16'!$J$10:$J$224),0),
IF('TL16'!$B$229=M$3,SUMIF('TL16'!$C$238:$C$451,$C393,'TL16'!$J$238:$J$451),0),
IF('TL17'!$B$3=M$3,SUMIF('TL17'!$C$10:$C$224,$C393,'TL17'!$J$10:$J$224),0),
IF('TL17'!$B$229=M$3,SUMIF('TL17'!$C$238:$C$451,$C393,'TL17'!$J$238:$J$451),0),
IF('TL18'!$B$3=M$3,SUMIF('TL18'!$C$10:$C$224,$C393,'TL18'!$J$10:$J$224),0),
IF('TL18'!$B$229=M$3,SUMIF('TL18'!$C$238:$C$451,$C393,'TL18'!$J$238:$J$451),0),
IF('TL19'!$B$3=M$3,SUMIF('TL19'!$C$10:$C$224,$C393,'TL19'!$J$10:$J$224),0),
IF('TL19'!$B$229=M$3,SUMIF('TL19'!$C$238:$C$451,$C393,'TL19'!$J$238:$J$451),0)
),0)</f>
        <v>0</v>
      </c>
      <c r="N393" s="9">
        <f>IFERROR(SUM(
IF('TL01'!$B$3=N$3,SUMIF('TL01'!$C$10:$C$224,$C393,'TL01'!$J$10:$J$224),0),
IF('TL01'!$B$229=N$3,SUMIF('TL01'!$C$238:$C$451,$C393,'TL01'!$J$238:$J$451),0),
IF('TL02'!$B$3=N$3,SUMIF('TL02'!$C$10:$C$224,$C393,'TL02'!$J$10:$J$224),0),
IF('TL02'!$B$229=N$3,SUMIF('TL02'!$C$238:$C$451,$C393,'TL02'!$J$238:$J$451),0),
IF('TL03'!$B$3=N$3,SUMIF('TL03'!$C$10:$C$224,$C393,'TL03'!$J$10:$J$224),0),
IF('TL03'!$B$229=N$3,SUMIF('TL03'!$C$238:$C$451,$C393,'TL03'!$J$238:$J$451),0),
IF('TL04'!$B$3=N$3,SUMIF('TL04'!$C$10:$C$224,$C393,'TL04'!$J$10:$J$224),0),
IF('TL04'!$B$229=N$3,SUMIF('TL04'!$C$238:$C$451,$C393,'TL04'!$J$238:$J$451),0),
IF('TL05'!$B$3=N$3,SUMIF('TL05'!$C$10:$C$224,$C393,'TL05'!$J$10:$J$224),0),
IF('TL05'!$B$229=N$3,SUMIF('TL05'!$C$238:$C$451,$C393,'TL05'!$J$238:$J$451),0),
IF('TL06'!$B$3=N$3,SUMIF('TL06'!$C$10:$C$224,$C393,'TL06'!$J$10:$J$224),0),
IF('TL06'!$B$229=N$3,SUMIF('TL06'!$C$238:$C$451,$C393,'TL06'!$J$238:$J$451),0),
IF('TL07'!$B$3=N$3,SUMIF('TL07'!$C$10:$C$224,$C393,'TL07'!$J$10:$J$224),0),
IF('TL07'!$B$229=N$3,SUMIF('TL07'!$C$238:$C$451,$C393,'TL07'!$J$238:$J$451),0),
IF('TL08'!$B$3=N$3,SUMIF('TL08'!$C$10:$C$224,$C393,'TL08'!$J$10:$J$224),0),
IF('TL08'!$B$229=N$3,SUMIF('TL08'!$C$238:$C$451,$C393,'TL08'!$J$238:$J$451),0),
IF('TL09'!$B$3=N$3,SUMIF('TL09'!$C$10:$C$224,$C393,'TL09'!$J$10:$J$224),0),
IF('TL09'!$B$229=N$3,SUMIF('TL09'!$C$238:$C$451,$C393,'TL09'!$J$238:$J$451),0),
IF('TL10'!$B$3=N$3,SUMIF('TL10'!$C$10:$C$224,$C393,'TL10'!$J$10:$J$224),0),
IF('TL10'!$B$229=N$3,SUMIF('TL10'!$C$238:$C$451,$C393,'TL10'!$J$238:$J$451),0),
IF('TL11'!$B$3=N$3,SUMIF('TL11'!$C$10:$C$224,$C393,'TL11'!$J$10:$J$224),0),
IF('TL11'!$B$229=N$3,SUMIF('TL11'!$C$238:$C$451,$C393,'TL11'!$J$238:$J$451),0),
IF('TL12'!$B$3=N$3,SUMIF('TL12'!$C$10:$C$224,$C393,'TL12'!$J$10:$J$224),0),
IF('TL12'!$B$229=N$3,SUMIF('TL12'!$C$238:$C$451,$C393,'TL12'!$J$238:$J$451),0),
IF('TL13'!$B$3=N$3,SUMIF('TL13'!$C$10:$C$224,$C393,'TL13'!$J$10:$J$224),0),
IF('TL13'!$B$229=N$3,SUMIF('TL13'!$C$238:$C$451,$C393,'TL13'!$J$238:$J$451),0),
IF('TL14'!$B$3=N$3,SUMIF('TL14'!$C$10:$C$224,$C393,'TL14'!$J$10:$J$224),0),
IF('TL14'!$B$229=N$3,SUMIF('TL14'!$C$238:$C$451,$C393,'TL14'!$J$238:$J$451),0),
IF('TL15'!$B$3=N$3,SUMIF('TL15'!$C$10:$C$224,$C393,'TL15'!$J$10:$J$224),0),
IF('TL15'!$B$229=N$3,SUMIF('TL15'!$C$238:$C$451,$C393,'TL15'!$J$238:$J$451),0),
IF('TL16'!$B$3=N$3,SUMIF('TL16'!$C$10:$C$224,$C393,'TL16'!$J$10:$J$224),0),
IF('TL16'!$B$229=N$3,SUMIF('TL16'!$C$238:$C$451,$C393,'TL16'!$J$238:$J$451),0),
IF('TL17'!$B$3=N$3,SUMIF('TL17'!$C$10:$C$224,$C393,'TL17'!$J$10:$J$224),0),
IF('TL17'!$B$229=N$3,SUMIF('TL17'!$C$238:$C$451,$C393,'TL17'!$J$238:$J$451),0),
IF('TL18'!$B$3=N$3,SUMIF('TL18'!$C$10:$C$224,$C393,'TL18'!$J$10:$J$224),0),
IF('TL18'!$B$229=N$3,SUMIF('TL18'!$C$238:$C$451,$C393,'TL18'!$J$238:$J$451),0),
IF('TL19'!$B$3=N$3,SUMIF('TL19'!$C$10:$C$224,$C393,'TL19'!$J$10:$J$224),0),
IF('TL19'!$B$229=N$3,SUMIF('TL19'!$C$238:$C$451,$C393,'TL19'!$J$238:$J$451),0)
),0)</f>
        <v>0</v>
      </c>
      <c r="O393" s="9">
        <f>IFERROR(SUM(
IF('TL01'!$B$3=O$3,SUMIF('TL01'!$C$10:$C$224,$C393,'TL01'!$J$10:$J$224),0),
IF('TL01'!$B$229=O$3,SUMIF('TL01'!$C$238:$C$451,$C393,'TL01'!$J$238:$J$451),0),
IF('TL02'!$B$3=O$3,SUMIF('TL02'!$C$10:$C$224,$C393,'TL02'!$J$10:$J$224),0),
IF('TL02'!$B$229=O$3,SUMIF('TL02'!$C$238:$C$451,$C393,'TL02'!$J$238:$J$451),0),
IF('TL03'!$B$3=O$3,SUMIF('TL03'!$C$10:$C$224,$C393,'TL03'!$J$10:$J$224),0),
IF('TL03'!$B$229=O$3,SUMIF('TL03'!$C$238:$C$451,$C393,'TL03'!$J$238:$J$451),0),
IF('TL04'!$B$3=O$3,SUMIF('TL04'!$C$10:$C$224,$C393,'TL04'!$J$10:$J$224),0),
IF('TL04'!$B$229=O$3,SUMIF('TL04'!$C$238:$C$451,$C393,'TL04'!$J$238:$J$451),0),
IF('TL05'!$B$3=O$3,SUMIF('TL05'!$C$10:$C$224,$C393,'TL05'!$J$10:$J$224),0),
IF('TL05'!$B$229=O$3,SUMIF('TL05'!$C$238:$C$451,$C393,'TL05'!$J$238:$J$451),0),
IF('TL06'!$B$3=O$3,SUMIF('TL06'!$C$10:$C$224,$C393,'TL06'!$J$10:$J$224),0),
IF('TL06'!$B$229=O$3,SUMIF('TL06'!$C$238:$C$451,$C393,'TL06'!$J$238:$J$451),0),
IF('TL07'!$B$3=O$3,SUMIF('TL07'!$C$10:$C$224,$C393,'TL07'!$J$10:$J$224),0),
IF('TL07'!$B$229=O$3,SUMIF('TL07'!$C$238:$C$451,$C393,'TL07'!$J$238:$J$451),0),
IF('TL08'!$B$3=O$3,SUMIF('TL08'!$C$10:$C$224,$C393,'TL08'!$J$10:$J$224),0),
IF('TL08'!$B$229=O$3,SUMIF('TL08'!$C$238:$C$451,$C393,'TL08'!$J$238:$J$451),0),
IF('TL09'!$B$3=O$3,SUMIF('TL09'!$C$10:$C$224,$C393,'TL09'!$J$10:$J$224),0),
IF('TL09'!$B$229=O$3,SUMIF('TL09'!$C$238:$C$451,$C393,'TL09'!$J$238:$J$451),0),
IF('TL10'!$B$3=O$3,SUMIF('TL10'!$C$10:$C$224,$C393,'TL10'!$J$10:$J$224),0),
IF('TL10'!$B$229=O$3,SUMIF('TL10'!$C$238:$C$451,$C393,'TL10'!$J$238:$J$451),0),
IF('TL11'!$B$3=O$3,SUMIF('TL11'!$C$10:$C$224,$C393,'TL11'!$J$10:$J$224),0),
IF('TL11'!$B$229=O$3,SUMIF('TL11'!$C$238:$C$451,$C393,'TL11'!$J$238:$J$451),0),
IF('TL12'!$B$3=O$3,SUMIF('TL12'!$C$10:$C$224,$C393,'TL12'!$J$10:$J$224),0),
IF('TL12'!$B$229=O$3,SUMIF('TL12'!$C$238:$C$451,$C393,'TL12'!$J$238:$J$451),0),
IF('TL13'!$B$3=O$3,SUMIF('TL13'!$C$10:$C$224,$C393,'TL13'!$J$10:$J$224),0),
IF('TL13'!$B$229=O$3,SUMIF('TL13'!$C$238:$C$451,$C393,'TL13'!$J$238:$J$451),0),
IF('TL14'!$B$3=O$3,SUMIF('TL14'!$C$10:$C$224,$C393,'TL14'!$J$10:$J$224),0),
IF('TL14'!$B$229=O$3,SUMIF('TL14'!$C$238:$C$451,$C393,'TL14'!$J$238:$J$451),0),
IF('TL15'!$B$3=O$3,SUMIF('TL15'!$C$10:$C$224,$C393,'TL15'!$J$10:$J$224),0),
IF('TL15'!$B$229=O$3,SUMIF('TL15'!$C$238:$C$451,$C393,'TL15'!$J$238:$J$451),0),
IF('TL16'!$B$3=O$3,SUMIF('TL16'!$C$10:$C$224,$C393,'TL16'!$J$10:$J$224),0),
IF('TL16'!$B$229=O$3,SUMIF('TL16'!$C$238:$C$451,$C393,'TL16'!$J$238:$J$451),0),
IF('TL17'!$B$3=O$3,SUMIF('TL17'!$C$10:$C$224,$C393,'TL17'!$J$10:$J$224),0),
IF('TL17'!$B$229=O$3,SUMIF('TL17'!$C$238:$C$451,$C393,'TL17'!$J$238:$J$451),0),
IF('TL18'!$B$3=O$3,SUMIF('TL18'!$C$10:$C$224,$C393,'TL18'!$J$10:$J$224),0),
IF('TL18'!$B$229=O$3,SUMIF('TL18'!$C$238:$C$451,$C393,'TL18'!$J$238:$J$451),0),
IF('TL19'!$B$3=O$3,SUMIF('TL19'!$C$10:$C$224,$C393,'TL19'!$J$10:$J$224),0),
IF('TL19'!$B$229=O$3,SUMIF('TL19'!$C$238:$C$451,$C393,'TL19'!$J$238:$J$451),0)
),0)</f>
        <v>0</v>
      </c>
      <c r="P393" s="9">
        <f>IFERROR(SUM(
IF('TL01'!$B$3=P$3,SUMIF('TL01'!$C$10:$C$224,$C393,'TL01'!$J$10:$J$224),0),
IF('TL01'!$B$229=P$3,SUMIF('TL01'!$C$238:$C$451,$C393,'TL01'!$J$238:$J$451),0),
IF('TL02'!$B$3=P$3,SUMIF('TL02'!$C$10:$C$224,$C393,'TL02'!$J$10:$J$224),0),
IF('TL02'!$B$229=P$3,SUMIF('TL02'!$C$238:$C$451,$C393,'TL02'!$J$238:$J$451),0),
IF('TL03'!$B$3=P$3,SUMIF('TL03'!$C$10:$C$224,$C393,'TL03'!$J$10:$J$224),0),
IF('TL03'!$B$229=P$3,SUMIF('TL03'!$C$238:$C$451,$C393,'TL03'!$J$238:$J$451),0),
IF('TL04'!$B$3=P$3,SUMIF('TL04'!$C$10:$C$224,$C393,'TL04'!$J$10:$J$224),0),
IF('TL04'!$B$229=P$3,SUMIF('TL04'!$C$238:$C$451,$C393,'TL04'!$J$238:$J$451),0),
IF('TL05'!$B$3=P$3,SUMIF('TL05'!$C$10:$C$224,$C393,'TL05'!$J$10:$J$224),0),
IF('TL05'!$B$229=P$3,SUMIF('TL05'!$C$238:$C$451,$C393,'TL05'!$J$238:$J$451),0),
IF('TL06'!$B$3=P$3,SUMIF('TL06'!$C$10:$C$224,$C393,'TL06'!$J$10:$J$224),0),
IF('TL06'!$B$229=P$3,SUMIF('TL06'!$C$238:$C$451,$C393,'TL06'!$J$238:$J$451),0),
IF('TL07'!$B$3=P$3,SUMIF('TL07'!$C$10:$C$224,$C393,'TL07'!$J$10:$J$224),0),
IF('TL07'!$B$229=P$3,SUMIF('TL07'!$C$238:$C$451,$C393,'TL07'!$J$238:$J$451),0),
IF('TL08'!$B$3=P$3,SUMIF('TL08'!$C$10:$C$224,$C393,'TL08'!$J$10:$J$224),0),
IF('TL08'!$B$229=P$3,SUMIF('TL08'!$C$238:$C$451,$C393,'TL08'!$J$238:$J$451),0),
IF('TL09'!$B$3=P$3,SUMIF('TL09'!$C$10:$C$224,$C393,'TL09'!$J$10:$J$224),0),
IF('TL09'!$B$229=P$3,SUMIF('TL09'!$C$238:$C$451,$C393,'TL09'!$J$238:$J$451),0),
IF('TL10'!$B$3=P$3,SUMIF('TL10'!$C$10:$C$224,$C393,'TL10'!$J$10:$J$224),0),
IF('TL10'!$B$229=P$3,SUMIF('TL10'!$C$238:$C$451,$C393,'TL10'!$J$238:$J$451),0),
IF('TL11'!$B$3=P$3,SUMIF('TL11'!$C$10:$C$224,$C393,'TL11'!$J$10:$J$224),0),
IF('TL11'!$B$229=P$3,SUMIF('TL11'!$C$238:$C$451,$C393,'TL11'!$J$238:$J$451),0),
IF('TL12'!$B$3=P$3,SUMIF('TL12'!$C$10:$C$224,$C393,'TL12'!$J$10:$J$224),0),
IF('TL12'!$B$229=P$3,SUMIF('TL12'!$C$238:$C$451,$C393,'TL12'!$J$238:$J$451),0),
IF('TL13'!$B$3=P$3,SUMIF('TL13'!$C$10:$C$224,$C393,'TL13'!$J$10:$J$224),0),
IF('TL13'!$B$229=P$3,SUMIF('TL13'!$C$238:$C$451,$C393,'TL13'!$J$238:$J$451),0),
IF('TL14'!$B$3=P$3,SUMIF('TL14'!$C$10:$C$224,$C393,'TL14'!$J$10:$J$224),0),
IF('TL14'!$B$229=P$3,SUMIF('TL14'!$C$238:$C$451,$C393,'TL14'!$J$238:$J$451),0),
IF('TL15'!$B$3=P$3,SUMIF('TL15'!$C$10:$C$224,$C393,'TL15'!$J$10:$J$224),0),
IF('TL15'!$B$229=P$3,SUMIF('TL15'!$C$238:$C$451,$C393,'TL15'!$J$238:$J$451),0),
IF('TL16'!$B$3=P$3,SUMIF('TL16'!$C$10:$C$224,$C393,'TL16'!$J$10:$J$224),0),
IF('TL16'!$B$229=P$3,SUMIF('TL16'!$C$238:$C$451,$C393,'TL16'!$J$238:$J$451),0),
IF('TL17'!$B$3=P$3,SUMIF('TL17'!$C$10:$C$224,$C393,'TL17'!$J$10:$J$224),0),
IF('TL17'!$B$229=P$3,SUMIF('TL17'!$C$238:$C$451,$C393,'TL17'!$J$238:$J$451),0),
IF('TL18'!$B$3=P$3,SUMIF('TL18'!$C$10:$C$224,$C393,'TL18'!$J$10:$J$224),0),
IF('TL18'!$B$229=P$3,SUMIF('TL18'!$C$238:$C$451,$C393,'TL18'!$J$238:$J$451),0),
IF('TL19'!$B$3=P$3,SUMIF('TL19'!$C$10:$C$224,$C393,'TL19'!$J$10:$J$224),0),
IF('TL19'!$B$229=P$3,SUMIF('TL19'!$C$238:$C$451,$C393,'TL19'!$J$238:$J$451),0)
),0)</f>
        <v>0</v>
      </c>
      <c r="Q393" s="9">
        <f>IFERROR(SUM(
IF('TL01'!$B$3=Q$3,SUMIF('TL01'!$C$10:$C$224,$C393,'TL01'!$J$10:$J$224),0),
IF('TL01'!$B$229=Q$3,SUMIF('TL01'!$C$238:$C$451,$C393,'TL01'!$J$238:$J$451),0),
IF('TL02'!$B$3=Q$3,SUMIF('TL02'!$C$10:$C$224,$C393,'TL02'!$J$10:$J$224),0),
IF('TL02'!$B$229=Q$3,SUMIF('TL02'!$C$238:$C$451,$C393,'TL02'!$J$238:$J$451),0),
IF('TL03'!$B$3=Q$3,SUMIF('TL03'!$C$10:$C$224,$C393,'TL03'!$J$10:$J$224),0),
IF('TL03'!$B$229=Q$3,SUMIF('TL03'!$C$238:$C$451,$C393,'TL03'!$J$238:$J$451),0),
IF('TL04'!$B$3=Q$3,SUMIF('TL04'!$C$10:$C$224,$C393,'TL04'!$J$10:$J$224),0),
IF('TL04'!$B$229=Q$3,SUMIF('TL04'!$C$238:$C$451,$C393,'TL04'!$J$238:$J$451),0),
IF('TL05'!$B$3=Q$3,SUMIF('TL05'!$C$10:$C$224,$C393,'TL05'!$J$10:$J$224),0),
IF('TL05'!$B$229=Q$3,SUMIF('TL05'!$C$238:$C$451,$C393,'TL05'!$J$238:$J$451),0),
IF('TL06'!$B$3=Q$3,SUMIF('TL06'!$C$10:$C$224,$C393,'TL06'!$J$10:$J$224),0),
IF('TL06'!$B$229=Q$3,SUMIF('TL06'!$C$238:$C$451,$C393,'TL06'!$J$238:$J$451),0),
IF('TL07'!$B$3=Q$3,SUMIF('TL07'!$C$10:$C$224,$C393,'TL07'!$J$10:$J$224),0),
IF('TL07'!$B$229=Q$3,SUMIF('TL07'!$C$238:$C$451,$C393,'TL07'!$J$238:$J$451),0),
IF('TL08'!$B$3=Q$3,SUMIF('TL08'!$C$10:$C$224,$C393,'TL08'!$J$10:$J$224),0),
IF('TL08'!$B$229=Q$3,SUMIF('TL08'!$C$238:$C$451,$C393,'TL08'!$J$238:$J$451),0),
IF('TL09'!$B$3=Q$3,SUMIF('TL09'!$C$10:$C$224,$C393,'TL09'!$J$10:$J$224),0),
IF('TL09'!$B$229=Q$3,SUMIF('TL09'!$C$238:$C$451,$C393,'TL09'!$J$238:$J$451),0),
IF('TL10'!$B$3=Q$3,SUMIF('TL10'!$C$10:$C$224,$C393,'TL10'!$J$10:$J$224),0),
IF('TL10'!$B$229=Q$3,SUMIF('TL10'!$C$238:$C$451,$C393,'TL10'!$J$238:$J$451),0),
IF('TL11'!$B$3=Q$3,SUMIF('TL11'!$C$10:$C$224,$C393,'TL11'!$J$10:$J$224),0),
IF('TL11'!$B$229=Q$3,SUMIF('TL11'!$C$238:$C$451,$C393,'TL11'!$J$238:$J$451),0),
IF('TL12'!$B$3=Q$3,SUMIF('TL12'!$C$10:$C$224,$C393,'TL12'!$J$10:$J$224),0),
IF('TL12'!$B$229=Q$3,SUMIF('TL12'!$C$238:$C$451,$C393,'TL12'!$J$238:$J$451),0),
IF('TL13'!$B$3=Q$3,SUMIF('TL13'!$C$10:$C$224,$C393,'TL13'!$J$10:$J$224),0),
IF('TL13'!$B$229=Q$3,SUMIF('TL13'!$C$238:$C$451,$C393,'TL13'!$J$238:$J$451),0),
IF('TL14'!$B$3=Q$3,SUMIF('TL14'!$C$10:$C$224,$C393,'TL14'!$J$10:$J$224),0),
IF('TL14'!$B$229=Q$3,SUMIF('TL14'!$C$238:$C$451,$C393,'TL14'!$J$238:$J$451),0),
IF('TL15'!$B$3=Q$3,SUMIF('TL15'!$C$10:$C$224,$C393,'TL15'!$J$10:$J$224),0),
IF('TL15'!$B$229=Q$3,SUMIF('TL15'!$C$238:$C$451,$C393,'TL15'!$J$238:$J$451),0),
IF('TL16'!$B$3=Q$3,SUMIF('TL16'!$C$10:$C$224,$C393,'TL16'!$J$10:$J$224),0),
IF('TL16'!$B$229=Q$3,SUMIF('TL16'!$C$238:$C$451,$C393,'TL16'!$J$238:$J$451),0),
IF('TL17'!$B$3=Q$3,SUMIF('TL17'!$C$10:$C$224,$C393,'TL17'!$J$10:$J$224),0),
IF('TL17'!$B$229=Q$3,SUMIF('TL17'!$C$238:$C$451,$C393,'TL17'!$J$238:$J$451),0),
IF('TL18'!$B$3=Q$3,SUMIF('TL18'!$C$10:$C$224,$C393,'TL18'!$J$10:$J$224),0),
IF('TL18'!$B$229=Q$3,SUMIF('TL18'!$C$238:$C$451,$C393,'TL18'!$J$238:$J$451),0),
IF('TL19'!$B$3=Q$3,SUMIF('TL19'!$C$10:$C$224,$C393,'TL19'!$J$10:$J$224),0),
IF('TL19'!$B$229=Q$3,SUMIF('TL19'!$C$238:$C$451,$C393,'TL19'!$J$238:$J$451),0)
),0)</f>
        <v>0</v>
      </c>
      <c r="R393" s="9">
        <f>IFERROR(
SUM(
SUMIF('TL01'!C:C,C393,'TL01'!J:J),
SUMIF('TL02'!C:C,C393,'TL02'!J:J),
SUMIF('TL03'!C:C,C393,'TL03'!J:J),
SUMIF('TL04'!C:C,C393,'TL04'!J:J),
SUMIF('TL05'!C:C,C393,'TL05'!J:J),
SUMIF('TL06'!C:C,C393,'TL06'!J:J),
SUMIF('TL07'!C:C,C393,'TL07'!J:J),
SUMIF('TL08'!C:C,C393,'TL08'!J:J),
SUMIF('TL09'!C:C,C393,'TL09'!J:J),
SUMIF('TL10'!C:C,C393,'TL10'!J:J),
SUMIF('TL11'!C:C,C393,'TL11'!J:J),
SUMIF('TL12'!C:C,C393,'TL12'!J:J),
SUMIF('TL13'!C:C,C393,'TL13'!J:J),
SUMIF('TL14'!C:C,C393,'TL14'!J:J),
SUMIF('TL15'!C:C,C393,'TL15'!J:J),
SUMIF('TL16'!C:C,C393,'TL16'!J:J),
SUMIF('TL17'!C:C,C393,'TL17'!J:J),
SUMIF('TL18'!C:C,C393,'TL18'!J:J),SUMIF('TL19'!C:C,C393,'TL19'!J:J))
,0)</f>
        <v>0</v>
      </c>
      <c r="S393" s="17" t="str">
        <f>IFERROR(__xludf.DUMMYFUNCTION("IFERROR(VLOOKUP(C393,
IMPORTRANGE(""1wULbzX32WdYsx-lj2U3uUNBBe2INVIRDtcK0d-Dvl90"",
""26-27!C:G""),
5,
FALSE),
"""")"),"")</f>
        <v/>
      </c>
      <c r="T393" s="9"/>
      <c r="U393" s="92">
        <f t="shared" si="2"/>
        <v>0</v>
      </c>
      <c r="V393" s="93">
        <f t="shared" si="3"/>
        <v>0</v>
      </c>
    </row>
    <row r="394" ht="15.75" hidden="1" customHeight="1">
      <c r="A394" s="4"/>
      <c r="B394" s="125"/>
      <c r="C394" s="6"/>
      <c r="D394" s="6"/>
      <c r="E394" s="9"/>
      <c r="F394" s="4"/>
      <c r="G394" s="90" t="str">
        <f t="shared" si="5"/>
        <v>📄 Ver bula</v>
      </c>
      <c r="H394" s="9"/>
      <c r="I394" s="1"/>
      <c r="J394" s="9">
        <f>IFERROR(SUM(
IF('TL01'!$B$3=J$3,SUMIF('TL01'!$C$10:$C$224,$C394,'TL01'!$J$10:$J$224),0),
IF('TL01'!$B$229=J$3,SUMIF('TL01'!$C$238:$C$451,$C394,'TL01'!$J$238:$J$451),0),
IF('TL02'!$B$3=J$3,SUMIF('TL02'!$C$10:$C$224,$C394,'TL02'!$J$10:$J$224),0),
IF('TL02'!$B$229=J$3,SUMIF('TL02'!$C$238:$C$451,$C394,'TL02'!$J$238:$J$451),0),
IF('TL03'!$B$3=J$3,SUMIF('TL03'!$C$10:$C$224,$C394,'TL03'!$J$10:$J$224),0),
IF('TL03'!$B$229=J$3,SUMIF('TL03'!$C$238:$C$451,$C394,'TL03'!$J$238:$J$451),0),
IF('TL04'!$B$3=J$3,SUMIF('TL04'!$C$10:$C$224,$C394,'TL04'!$J$10:$J$224),0),
IF('TL04'!$B$229=J$3,SUMIF('TL04'!$C$238:$C$451,$C394,'TL04'!$J$238:$J$451),0),
IF('TL05'!$B$3=J$3,SUMIF('TL05'!$C$10:$C$224,$C394,'TL05'!$J$10:$J$224),0),
IF('TL05'!$B$229=J$3,SUMIF('TL05'!$C$238:$C$451,$C394,'TL05'!$J$238:$J$451),0),
IF('TL06'!$B$3=J$3,SUMIF('TL06'!$C$10:$C$224,$C394,'TL06'!$J$10:$J$224),0),
IF('TL06'!$B$229=J$3,SUMIF('TL06'!$C$238:$C$451,$C394,'TL06'!$J$238:$J$451),0),
IF('TL07'!$B$3=J$3,SUMIF('TL07'!$C$10:$C$224,$C394,'TL07'!$J$10:$J$224),0),
IF('TL07'!$B$229=J$3,SUMIF('TL07'!$C$238:$C$451,$C394,'TL07'!$J$238:$J$451),0),
IF('TL08'!$B$3=J$3,SUMIF('TL08'!$C$10:$C$224,$C394,'TL08'!$J$10:$J$224),0),
IF('TL08'!$B$229=J$3,SUMIF('TL08'!$C$238:$C$451,$C394,'TL08'!$J$238:$J$451),0),
IF('TL09'!$B$3=J$3,SUMIF('TL09'!$C$10:$C$224,$C394,'TL09'!$J$10:$J$224),0),
IF('TL09'!$B$229=J$3,SUMIF('TL09'!$C$238:$C$451,$C394,'TL09'!$J$238:$J$451),0),
IF('TL10'!$B$3=J$3,SUMIF('TL10'!$C$10:$C$224,$C394,'TL10'!$J$10:$J$224),0),
IF('TL10'!$B$229=J$3,SUMIF('TL10'!$C$238:$C$451,$C394,'TL10'!$J$238:$J$451),0),
IF('TL11'!$B$3=J$3,SUMIF('TL11'!$C$10:$C$224,$C394,'TL11'!$J$10:$J$224),0),
IF('TL11'!$B$229=J$3,SUMIF('TL11'!$C$238:$C$451,$C394,'TL11'!$J$238:$J$451),0),
IF('TL12'!$B$3=J$3,SUMIF('TL12'!$C$10:$C$224,$C394,'TL12'!$J$10:$J$224),0),
IF('TL12'!$B$229=J$3,SUMIF('TL12'!$C$238:$C$451,$C394,'TL12'!$J$238:$J$451),0),
IF('TL13'!$B$3=J$3,SUMIF('TL13'!$C$10:$C$224,$C394,'TL13'!$J$10:$J$224),0),
IF('TL13'!$B$229=J$3,SUMIF('TL13'!$C$238:$C$451,$C394,'TL13'!$J$238:$J$451),0),
IF('TL14'!$B$3=J$3,SUMIF('TL14'!$C$10:$C$224,$C394,'TL14'!$J$10:$J$224),0),
IF('TL14'!$B$229=J$3,SUMIF('TL14'!$C$238:$C$451,$C394,'TL14'!$J$238:$J$451),0),
IF('TL15'!$B$3=J$3,SUMIF('TL15'!$C$10:$C$224,$C394,'TL15'!$J$10:$J$224),0),
IF('TL15'!$B$229=J$3,SUMIF('TL15'!$C$238:$C$451,$C394,'TL15'!$J$238:$J$451),0),
IF('TL16'!$B$3=J$3,SUMIF('TL16'!$C$10:$C$224,$C394,'TL16'!$J$10:$J$224),0),
IF('TL16'!$B$229=J$3,SUMIF('TL16'!$C$238:$C$451,$C394,'TL16'!$J$238:$J$451),0),
IF('TL17'!$B$3=J$3,SUMIF('TL17'!$C$10:$C$224,$C394,'TL17'!$J$10:$J$224),0),
IF('TL17'!$B$229=J$3,SUMIF('TL17'!$C$238:$C$451,$C394,'TL17'!$J$238:$J$451),0),
IF('TL18'!$B$3=J$3,SUMIF('TL18'!$C$10:$C$224,$C394,'TL18'!$J$10:$J$224),0),
IF('TL18'!$B$229=J$3,SUMIF('TL18'!$C$238:$C$451,$C394,'TL18'!$J$238:$J$451),0),
IF('TL19'!$B$3=J$3,SUMIF('TL19'!$C$10:$C$224,$C394,'TL19'!$J$10:$J$224),0),
IF('TL19'!$B$229=J$3,SUMIF('TL19'!$C$238:$C$451,$C394,'TL19'!$J$238:$J$451),0)
),0)</f>
        <v>0</v>
      </c>
      <c r="K394" s="9">
        <f>IFERROR(SUM(
IF('TL01'!$B$3=K$3,SUMIF('TL01'!$C$10:$C$224,$C394,'TL01'!$J$10:$J$224),0),
IF('TL01'!$B$229=K$3,SUMIF('TL01'!$C$238:$C$451,$C394,'TL01'!$J$238:$J$451),0),
IF('TL02'!$B$3=K$3,SUMIF('TL02'!$C$10:$C$224,$C394,'TL02'!$J$10:$J$224),0),
IF('TL02'!$B$229=K$3,SUMIF('TL02'!$C$238:$C$451,$C394,'TL02'!$J$238:$J$451),0),
IF('TL03'!$B$3=K$3,SUMIF('TL03'!$C$10:$C$224,$C394,'TL03'!$J$10:$J$224),0),
IF('TL03'!$B$229=K$3,SUMIF('TL03'!$C$238:$C$451,$C394,'TL03'!$J$238:$J$451),0),
IF('TL04'!$B$3=K$3,SUMIF('TL04'!$C$10:$C$224,$C394,'TL04'!$J$10:$J$224),0),
IF('TL04'!$B$229=K$3,SUMIF('TL04'!$C$238:$C$451,$C394,'TL04'!$J$238:$J$451),0),
IF('TL05'!$B$3=K$3,SUMIF('TL05'!$C$10:$C$224,$C394,'TL05'!$J$10:$J$224),0),
IF('TL05'!$B$229=K$3,SUMIF('TL05'!$C$238:$C$451,$C394,'TL05'!$J$238:$J$451),0),
IF('TL06'!$B$3=K$3,SUMIF('TL06'!$C$10:$C$224,$C394,'TL06'!$J$10:$J$224),0),
IF('TL06'!$B$229=K$3,SUMIF('TL06'!$C$238:$C$451,$C394,'TL06'!$J$238:$J$451),0),
IF('TL07'!$B$3=K$3,SUMIF('TL07'!$C$10:$C$224,$C394,'TL07'!$J$10:$J$224),0),
IF('TL07'!$B$229=K$3,SUMIF('TL07'!$C$238:$C$451,$C394,'TL07'!$J$238:$J$451),0),
IF('TL08'!$B$3=K$3,SUMIF('TL08'!$C$10:$C$224,$C394,'TL08'!$J$10:$J$224),0),
IF('TL08'!$B$229=K$3,SUMIF('TL08'!$C$238:$C$451,$C394,'TL08'!$J$238:$J$451),0),
IF('TL09'!$B$3=K$3,SUMIF('TL09'!$C$10:$C$224,$C394,'TL09'!$J$10:$J$224),0),
IF('TL09'!$B$229=K$3,SUMIF('TL09'!$C$238:$C$451,$C394,'TL09'!$J$238:$J$451),0),
IF('TL10'!$B$3=K$3,SUMIF('TL10'!$C$10:$C$224,$C394,'TL10'!$J$10:$J$224),0),
IF('TL10'!$B$229=K$3,SUMIF('TL10'!$C$238:$C$451,$C394,'TL10'!$J$238:$J$451),0),
IF('TL11'!$B$3=K$3,SUMIF('TL11'!$C$10:$C$224,$C394,'TL11'!$J$10:$J$224),0),
IF('TL11'!$B$229=K$3,SUMIF('TL11'!$C$238:$C$451,$C394,'TL11'!$J$238:$J$451),0),
IF('TL12'!$B$3=K$3,SUMIF('TL12'!$C$10:$C$224,$C394,'TL12'!$J$10:$J$224),0),
IF('TL12'!$B$229=K$3,SUMIF('TL12'!$C$238:$C$451,$C394,'TL12'!$J$238:$J$451),0),
IF('TL13'!$B$3=K$3,SUMIF('TL13'!$C$10:$C$224,$C394,'TL13'!$J$10:$J$224),0),
IF('TL13'!$B$229=K$3,SUMIF('TL13'!$C$238:$C$451,$C394,'TL13'!$J$238:$J$451),0),
IF('TL14'!$B$3=K$3,SUMIF('TL14'!$C$10:$C$224,$C394,'TL14'!$J$10:$J$224),0),
IF('TL14'!$B$229=K$3,SUMIF('TL14'!$C$238:$C$451,$C394,'TL14'!$J$238:$J$451),0),
IF('TL15'!$B$3=K$3,SUMIF('TL15'!$C$10:$C$224,$C394,'TL15'!$J$10:$J$224),0),
IF('TL15'!$B$229=K$3,SUMIF('TL15'!$C$238:$C$451,$C394,'TL15'!$J$238:$J$451),0),
IF('TL16'!$B$3=K$3,SUMIF('TL16'!$C$10:$C$224,$C394,'TL16'!$J$10:$J$224),0),
IF('TL16'!$B$229=K$3,SUMIF('TL16'!$C$238:$C$451,$C394,'TL16'!$J$238:$J$451),0),
IF('TL17'!$B$3=K$3,SUMIF('TL17'!$C$10:$C$224,$C394,'TL17'!$J$10:$J$224),0),
IF('TL17'!$B$229=K$3,SUMIF('TL17'!$C$238:$C$451,$C394,'TL17'!$J$238:$J$451),0),
IF('TL18'!$B$3=K$3,SUMIF('TL18'!$C$10:$C$224,$C394,'TL18'!$J$10:$J$224),0),
IF('TL18'!$B$229=K$3,SUMIF('TL18'!$C$238:$C$451,$C394,'TL18'!$J$238:$J$451),0),
IF('TL19'!$B$3=K$3,SUMIF('TL19'!$C$10:$C$224,$C394,'TL19'!$J$10:$J$224),0),
IF('TL19'!$B$229=K$3,SUMIF('TL19'!$C$238:$C$451,$C394,'TL19'!$J$238:$J$451),0)
),0)</f>
        <v>0</v>
      </c>
      <c r="L394" s="9">
        <f>IFERROR(SUM(
IF('TL01'!$B$3=L$3,SUMIF('TL01'!$C$10:$C$224,$C394,'TL01'!$J$10:$J$224),0),
IF('TL01'!$B$229=L$3,SUMIF('TL01'!$C$238:$C$451,$C394,'TL01'!$J$238:$J$451),0),
IF('TL02'!$B$3=L$3,SUMIF('TL02'!$C$10:$C$224,$C394,'TL02'!$J$10:$J$224),0),
IF('TL02'!$B$229=L$3,SUMIF('TL02'!$C$238:$C$451,$C394,'TL02'!$J$238:$J$451),0),
IF('TL03'!$B$3=L$3,SUMIF('TL03'!$C$10:$C$224,$C394,'TL03'!$J$10:$J$224),0),
IF('TL03'!$B$229=L$3,SUMIF('TL03'!$C$238:$C$451,$C394,'TL03'!$J$238:$J$451),0),
IF('TL04'!$B$3=L$3,SUMIF('TL04'!$C$10:$C$224,$C394,'TL04'!$J$10:$J$224),0),
IF('TL04'!$B$229=L$3,SUMIF('TL04'!$C$238:$C$451,$C394,'TL04'!$J$238:$J$451),0),
IF('TL05'!$B$3=L$3,SUMIF('TL05'!$C$10:$C$224,$C394,'TL05'!$J$10:$J$224),0),
IF('TL05'!$B$229=L$3,SUMIF('TL05'!$C$238:$C$451,$C394,'TL05'!$J$238:$J$451),0),
IF('TL06'!$B$3=L$3,SUMIF('TL06'!$C$10:$C$224,$C394,'TL06'!$J$10:$J$224),0),
IF('TL06'!$B$229=L$3,SUMIF('TL06'!$C$238:$C$451,$C394,'TL06'!$J$238:$J$451),0),
IF('TL07'!$B$3=L$3,SUMIF('TL07'!$C$10:$C$224,$C394,'TL07'!$J$10:$J$224),0),
IF('TL07'!$B$229=L$3,SUMIF('TL07'!$C$238:$C$451,$C394,'TL07'!$J$238:$J$451),0),
IF('TL08'!$B$3=L$3,SUMIF('TL08'!$C$10:$C$224,$C394,'TL08'!$J$10:$J$224),0),
IF('TL08'!$B$229=L$3,SUMIF('TL08'!$C$238:$C$451,$C394,'TL08'!$J$238:$J$451),0),
IF('TL09'!$B$3=L$3,SUMIF('TL09'!$C$10:$C$224,$C394,'TL09'!$J$10:$J$224),0),
IF('TL09'!$B$229=L$3,SUMIF('TL09'!$C$238:$C$451,$C394,'TL09'!$J$238:$J$451),0),
IF('TL10'!$B$3=L$3,SUMIF('TL10'!$C$10:$C$224,$C394,'TL10'!$J$10:$J$224),0),
IF('TL10'!$B$229=L$3,SUMIF('TL10'!$C$238:$C$451,$C394,'TL10'!$J$238:$J$451),0),
IF('TL11'!$B$3=L$3,SUMIF('TL11'!$C$10:$C$224,$C394,'TL11'!$J$10:$J$224),0),
IF('TL11'!$B$229=L$3,SUMIF('TL11'!$C$238:$C$451,$C394,'TL11'!$J$238:$J$451),0),
IF('TL12'!$B$3=L$3,SUMIF('TL12'!$C$10:$C$224,$C394,'TL12'!$J$10:$J$224),0),
IF('TL12'!$B$229=L$3,SUMIF('TL12'!$C$238:$C$451,$C394,'TL12'!$J$238:$J$451),0),
IF('TL13'!$B$3=L$3,SUMIF('TL13'!$C$10:$C$224,$C394,'TL13'!$J$10:$J$224),0),
IF('TL13'!$B$229=L$3,SUMIF('TL13'!$C$238:$C$451,$C394,'TL13'!$J$238:$J$451),0),
IF('TL14'!$B$3=L$3,SUMIF('TL14'!$C$10:$C$224,$C394,'TL14'!$J$10:$J$224),0),
IF('TL14'!$B$229=L$3,SUMIF('TL14'!$C$238:$C$451,$C394,'TL14'!$J$238:$J$451),0),
IF('TL15'!$B$3=L$3,SUMIF('TL15'!$C$10:$C$224,$C394,'TL15'!$J$10:$J$224),0),
IF('TL15'!$B$229=L$3,SUMIF('TL15'!$C$238:$C$451,$C394,'TL15'!$J$238:$J$451),0),
IF('TL16'!$B$3=L$3,SUMIF('TL16'!$C$10:$C$224,$C394,'TL16'!$J$10:$J$224),0),
IF('TL16'!$B$229=L$3,SUMIF('TL16'!$C$238:$C$451,$C394,'TL16'!$J$238:$J$451),0),
IF('TL17'!$B$3=L$3,SUMIF('TL17'!$C$10:$C$224,$C394,'TL17'!$J$10:$J$224),0),
IF('TL17'!$B$229=L$3,SUMIF('TL17'!$C$238:$C$451,$C394,'TL17'!$J$238:$J$451),0),
IF('TL18'!$B$3=L$3,SUMIF('TL18'!$C$10:$C$224,$C394,'TL18'!$J$10:$J$224),0),
IF('TL18'!$B$229=L$3,SUMIF('TL18'!$C$238:$C$451,$C394,'TL18'!$J$238:$J$451),0),
IF('TL19'!$B$3=L$3,SUMIF('TL19'!$C$10:$C$224,$C394,'TL19'!$J$10:$J$224),0),
IF('TL19'!$B$229=L$3,SUMIF('TL19'!$C$238:$C$451,$C394,'TL19'!$J$238:$J$451),0)
),0)</f>
        <v>0</v>
      </c>
      <c r="M394" s="9">
        <f>IFERROR(SUM(
IF('TL01'!$B$3=M$3,SUMIF('TL01'!$C$10:$C$224,$C394,'TL01'!$J$10:$J$224),0),
IF('TL01'!$B$229=M$3,SUMIF('TL01'!$C$238:$C$451,$C394,'TL01'!$J$238:$J$451),0),
IF('TL02'!$B$3=M$3,SUMIF('TL02'!$C$10:$C$224,$C394,'TL02'!$J$10:$J$224),0),
IF('TL02'!$B$229=M$3,SUMIF('TL02'!$C$238:$C$451,$C394,'TL02'!$J$238:$J$451),0),
IF('TL03'!$B$3=M$3,SUMIF('TL03'!$C$10:$C$224,$C394,'TL03'!$J$10:$J$224),0),
IF('TL03'!$B$229=M$3,SUMIF('TL03'!$C$238:$C$451,$C394,'TL03'!$J$238:$J$451),0),
IF('TL04'!$B$3=M$3,SUMIF('TL04'!$C$10:$C$224,$C394,'TL04'!$J$10:$J$224),0),
IF('TL04'!$B$229=M$3,SUMIF('TL04'!$C$238:$C$451,$C394,'TL04'!$J$238:$J$451),0),
IF('TL05'!$B$3=M$3,SUMIF('TL05'!$C$10:$C$224,$C394,'TL05'!$J$10:$J$224),0),
IF('TL05'!$B$229=M$3,SUMIF('TL05'!$C$238:$C$451,$C394,'TL05'!$J$238:$J$451),0),
IF('TL06'!$B$3=M$3,SUMIF('TL06'!$C$10:$C$224,$C394,'TL06'!$J$10:$J$224),0),
IF('TL06'!$B$229=M$3,SUMIF('TL06'!$C$238:$C$451,$C394,'TL06'!$J$238:$J$451),0),
IF('TL07'!$B$3=M$3,SUMIF('TL07'!$C$10:$C$224,$C394,'TL07'!$J$10:$J$224),0),
IF('TL07'!$B$229=M$3,SUMIF('TL07'!$C$238:$C$451,$C394,'TL07'!$J$238:$J$451),0),
IF('TL08'!$B$3=M$3,SUMIF('TL08'!$C$10:$C$224,$C394,'TL08'!$J$10:$J$224),0),
IF('TL08'!$B$229=M$3,SUMIF('TL08'!$C$238:$C$451,$C394,'TL08'!$J$238:$J$451),0),
IF('TL09'!$B$3=M$3,SUMIF('TL09'!$C$10:$C$224,$C394,'TL09'!$J$10:$J$224),0),
IF('TL09'!$B$229=M$3,SUMIF('TL09'!$C$238:$C$451,$C394,'TL09'!$J$238:$J$451),0),
IF('TL10'!$B$3=M$3,SUMIF('TL10'!$C$10:$C$224,$C394,'TL10'!$J$10:$J$224),0),
IF('TL10'!$B$229=M$3,SUMIF('TL10'!$C$238:$C$451,$C394,'TL10'!$J$238:$J$451),0),
IF('TL11'!$B$3=M$3,SUMIF('TL11'!$C$10:$C$224,$C394,'TL11'!$J$10:$J$224),0),
IF('TL11'!$B$229=M$3,SUMIF('TL11'!$C$238:$C$451,$C394,'TL11'!$J$238:$J$451),0),
IF('TL12'!$B$3=M$3,SUMIF('TL12'!$C$10:$C$224,$C394,'TL12'!$J$10:$J$224),0),
IF('TL12'!$B$229=M$3,SUMIF('TL12'!$C$238:$C$451,$C394,'TL12'!$J$238:$J$451),0),
IF('TL13'!$B$3=M$3,SUMIF('TL13'!$C$10:$C$224,$C394,'TL13'!$J$10:$J$224),0),
IF('TL13'!$B$229=M$3,SUMIF('TL13'!$C$238:$C$451,$C394,'TL13'!$J$238:$J$451),0),
IF('TL14'!$B$3=M$3,SUMIF('TL14'!$C$10:$C$224,$C394,'TL14'!$J$10:$J$224),0),
IF('TL14'!$B$229=M$3,SUMIF('TL14'!$C$238:$C$451,$C394,'TL14'!$J$238:$J$451),0),
IF('TL15'!$B$3=M$3,SUMIF('TL15'!$C$10:$C$224,$C394,'TL15'!$J$10:$J$224),0),
IF('TL15'!$B$229=M$3,SUMIF('TL15'!$C$238:$C$451,$C394,'TL15'!$J$238:$J$451),0),
IF('TL16'!$B$3=M$3,SUMIF('TL16'!$C$10:$C$224,$C394,'TL16'!$J$10:$J$224),0),
IF('TL16'!$B$229=M$3,SUMIF('TL16'!$C$238:$C$451,$C394,'TL16'!$J$238:$J$451),0),
IF('TL17'!$B$3=M$3,SUMIF('TL17'!$C$10:$C$224,$C394,'TL17'!$J$10:$J$224),0),
IF('TL17'!$B$229=M$3,SUMIF('TL17'!$C$238:$C$451,$C394,'TL17'!$J$238:$J$451),0),
IF('TL18'!$B$3=M$3,SUMIF('TL18'!$C$10:$C$224,$C394,'TL18'!$J$10:$J$224),0),
IF('TL18'!$B$229=M$3,SUMIF('TL18'!$C$238:$C$451,$C394,'TL18'!$J$238:$J$451),0),
IF('TL19'!$B$3=M$3,SUMIF('TL19'!$C$10:$C$224,$C394,'TL19'!$J$10:$J$224),0),
IF('TL19'!$B$229=M$3,SUMIF('TL19'!$C$238:$C$451,$C394,'TL19'!$J$238:$J$451),0)
),0)</f>
        <v>0</v>
      </c>
      <c r="N394" s="9">
        <f>IFERROR(SUM(
IF('TL01'!$B$3=N$3,SUMIF('TL01'!$C$10:$C$224,$C394,'TL01'!$J$10:$J$224),0),
IF('TL01'!$B$229=N$3,SUMIF('TL01'!$C$238:$C$451,$C394,'TL01'!$J$238:$J$451),0),
IF('TL02'!$B$3=N$3,SUMIF('TL02'!$C$10:$C$224,$C394,'TL02'!$J$10:$J$224),0),
IF('TL02'!$B$229=N$3,SUMIF('TL02'!$C$238:$C$451,$C394,'TL02'!$J$238:$J$451),0),
IF('TL03'!$B$3=N$3,SUMIF('TL03'!$C$10:$C$224,$C394,'TL03'!$J$10:$J$224),0),
IF('TL03'!$B$229=N$3,SUMIF('TL03'!$C$238:$C$451,$C394,'TL03'!$J$238:$J$451),0),
IF('TL04'!$B$3=N$3,SUMIF('TL04'!$C$10:$C$224,$C394,'TL04'!$J$10:$J$224),0),
IF('TL04'!$B$229=N$3,SUMIF('TL04'!$C$238:$C$451,$C394,'TL04'!$J$238:$J$451),0),
IF('TL05'!$B$3=N$3,SUMIF('TL05'!$C$10:$C$224,$C394,'TL05'!$J$10:$J$224),0),
IF('TL05'!$B$229=N$3,SUMIF('TL05'!$C$238:$C$451,$C394,'TL05'!$J$238:$J$451),0),
IF('TL06'!$B$3=N$3,SUMIF('TL06'!$C$10:$C$224,$C394,'TL06'!$J$10:$J$224),0),
IF('TL06'!$B$229=N$3,SUMIF('TL06'!$C$238:$C$451,$C394,'TL06'!$J$238:$J$451),0),
IF('TL07'!$B$3=N$3,SUMIF('TL07'!$C$10:$C$224,$C394,'TL07'!$J$10:$J$224),0),
IF('TL07'!$B$229=N$3,SUMIF('TL07'!$C$238:$C$451,$C394,'TL07'!$J$238:$J$451),0),
IF('TL08'!$B$3=N$3,SUMIF('TL08'!$C$10:$C$224,$C394,'TL08'!$J$10:$J$224),0),
IF('TL08'!$B$229=N$3,SUMIF('TL08'!$C$238:$C$451,$C394,'TL08'!$J$238:$J$451),0),
IF('TL09'!$B$3=N$3,SUMIF('TL09'!$C$10:$C$224,$C394,'TL09'!$J$10:$J$224),0),
IF('TL09'!$B$229=N$3,SUMIF('TL09'!$C$238:$C$451,$C394,'TL09'!$J$238:$J$451),0),
IF('TL10'!$B$3=N$3,SUMIF('TL10'!$C$10:$C$224,$C394,'TL10'!$J$10:$J$224),0),
IF('TL10'!$B$229=N$3,SUMIF('TL10'!$C$238:$C$451,$C394,'TL10'!$J$238:$J$451),0),
IF('TL11'!$B$3=N$3,SUMIF('TL11'!$C$10:$C$224,$C394,'TL11'!$J$10:$J$224),0),
IF('TL11'!$B$229=N$3,SUMIF('TL11'!$C$238:$C$451,$C394,'TL11'!$J$238:$J$451),0),
IF('TL12'!$B$3=N$3,SUMIF('TL12'!$C$10:$C$224,$C394,'TL12'!$J$10:$J$224),0),
IF('TL12'!$B$229=N$3,SUMIF('TL12'!$C$238:$C$451,$C394,'TL12'!$J$238:$J$451),0),
IF('TL13'!$B$3=N$3,SUMIF('TL13'!$C$10:$C$224,$C394,'TL13'!$J$10:$J$224),0),
IF('TL13'!$B$229=N$3,SUMIF('TL13'!$C$238:$C$451,$C394,'TL13'!$J$238:$J$451),0),
IF('TL14'!$B$3=N$3,SUMIF('TL14'!$C$10:$C$224,$C394,'TL14'!$J$10:$J$224),0),
IF('TL14'!$B$229=N$3,SUMIF('TL14'!$C$238:$C$451,$C394,'TL14'!$J$238:$J$451),0),
IF('TL15'!$B$3=N$3,SUMIF('TL15'!$C$10:$C$224,$C394,'TL15'!$J$10:$J$224),0),
IF('TL15'!$B$229=N$3,SUMIF('TL15'!$C$238:$C$451,$C394,'TL15'!$J$238:$J$451),0),
IF('TL16'!$B$3=N$3,SUMIF('TL16'!$C$10:$C$224,$C394,'TL16'!$J$10:$J$224),0),
IF('TL16'!$B$229=N$3,SUMIF('TL16'!$C$238:$C$451,$C394,'TL16'!$J$238:$J$451),0),
IF('TL17'!$B$3=N$3,SUMIF('TL17'!$C$10:$C$224,$C394,'TL17'!$J$10:$J$224),0),
IF('TL17'!$B$229=N$3,SUMIF('TL17'!$C$238:$C$451,$C394,'TL17'!$J$238:$J$451),0),
IF('TL18'!$B$3=N$3,SUMIF('TL18'!$C$10:$C$224,$C394,'TL18'!$J$10:$J$224),0),
IF('TL18'!$B$229=N$3,SUMIF('TL18'!$C$238:$C$451,$C394,'TL18'!$J$238:$J$451),0),
IF('TL19'!$B$3=N$3,SUMIF('TL19'!$C$10:$C$224,$C394,'TL19'!$J$10:$J$224),0),
IF('TL19'!$B$229=N$3,SUMIF('TL19'!$C$238:$C$451,$C394,'TL19'!$J$238:$J$451),0)
),0)</f>
        <v>0</v>
      </c>
      <c r="O394" s="9">
        <f>IFERROR(SUM(
IF('TL01'!$B$3=O$3,SUMIF('TL01'!$C$10:$C$224,$C394,'TL01'!$J$10:$J$224),0),
IF('TL01'!$B$229=O$3,SUMIF('TL01'!$C$238:$C$451,$C394,'TL01'!$J$238:$J$451),0),
IF('TL02'!$B$3=O$3,SUMIF('TL02'!$C$10:$C$224,$C394,'TL02'!$J$10:$J$224),0),
IF('TL02'!$B$229=O$3,SUMIF('TL02'!$C$238:$C$451,$C394,'TL02'!$J$238:$J$451),0),
IF('TL03'!$B$3=O$3,SUMIF('TL03'!$C$10:$C$224,$C394,'TL03'!$J$10:$J$224),0),
IF('TL03'!$B$229=O$3,SUMIF('TL03'!$C$238:$C$451,$C394,'TL03'!$J$238:$J$451),0),
IF('TL04'!$B$3=O$3,SUMIF('TL04'!$C$10:$C$224,$C394,'TL04'!$J$10:$J$224),0),
IF('TL04'!$B$229=O$3,SUMIF('TL04'!$C$238:$C$451,$C394,'TL04'!$J$238:$J$451),0),
IF('TL05'!$B$3=O$3,SUMIF('TL05'!$C$10:$C$224,$C394,'TL05'!$J$10:$J$224),0),
IF('TL05'!$B$229=O$3,SUMIF('TL05'!$C$238:$C$451,$C394,'TL05'!$J$238:$J$451),0),
IF('TL06'!$B$3=O$3,SUMIF('TL06'!$C$10:$C$224,$C394,'TL06'!$J$10:$J$224),0),
IF('TL06'!$B$229=O$3,SUMIF('TL06'!$C$238:$C$451,$C394,'TL06'!$J$238:$J$451),0),
IF('TL07'!$B$3=O$3,SUMIF('TL07'!$C$10:$C$224,$C394,'TL07'!$J$10:$J$224),0),
IF('TL07'!$B$229=O$3,SUMIF('TL07'!$C$238:$C$451,$C394,'TL07'!$J$238:$J$451),0),
IF('TL08'!$B$3=O$3,SUMIF('TL08'!$C$10:$C$224,$C394,'TL08'!$J$10:$J$224),0),
IF('TL08'!$B$229=O$3,SUMIF('TL08'!$C$238:$C$451,$C394,'TL08'!$J$238:$J$451),0),
IF('TL09'!$B$3=O$3,SUMIF('TL09'!$C$10:$C$224,$C394,'TL09'!$J$10:$J$224),0),
IF('TL09'!$B$229=O$3,SUMIF('TL09'!$C$238:$C$451,$C394,'TL09'!$J$238:$J$451),0),
IF('TL10'!$B$3=O$3,SUMIF('TL10'!$C$10:$C$224,$C394,'TL10'!$J$10:$J$224),0),
IF('TL10'!$B$229=O$3,SUMIF('TL10'!$C$238:$C$451,$C394,'TL10'!$J$238:$J$451),0),
IF('TL11'!$B$3=O$3,SUMIF('TL11'!$C$10:$C$224,$C394,'TL11'!$J$10:$J$224),0),
IF('TL11'!$B$229=O$3,SUMIF('TL11'!$C$238:$C$451,$C394,'TL11'!$J$238:$J$451),0),
IF('TL12'!$B$3=O$3,SUMIF('TL12'!$C$10:$C$224,$C394,'TL12'!$J$10:$J$224),0),
IF('TL12'!$B$229=O$3,SUMIF('TL12'!$C$238:$C$451,$C394,'TL12'!$J$238:$J$451),0),
IF('TL13'!$B$3=O$3,SUMIF('TL13'!$C$10:$C$224,$C394,'TL13'!$J$10:$J$224),0),
IF('TL13'!$B$229=O$3,SUMIF('TL13'!$C$238:$C$451,$C394,'TL13'!$J$238:$J$451),0),
IF('TL14'!$B$3=O$3,SUMIF('TL14'!$C$10:$C$224,$C394,'TL14'!$J$10:$J$224),0),
IF('TL14'!$B$229=O$3,SUMIF('TL14'!$C$238:$C$451,$C394,'TL14'!$J$238:$J$451),0),
IF('TL15'!$B$3=O$3,SUMIF('TL15'!$C$10:$C$224,$C394,'TL15'!$J$10:$J$224),0),
IF('TL15'!$B$229=O$3,SUMIF('TL15'!$C$238:$C$451,$C394,'TL15'!$J$238:$J$451),0),
IF('TL16'!$B$3=O$3,SUMIF('TL16'!$C$10:$C$224,$C394,'TL16'!$J$10:$J$224),0),
IF('TL16'!$B$229=O$3,SUMIF('TL16'!$C$238:$C$451,$C394,'TL16'!$J$238:$J$451),0),
IF('TL17'!$B$3=O$3,SUMIF('TL17'!$C$10:$C$224,$C394,'TL17'!$J$10:$J$224),0),
IF('TL17'!$B$229=O$3,SUMIF('TL17'!$C$238:$C$451,$C394,'TL17'!$J$238:$J$451),0),
IF('TL18'!$B$3=O$3,SUMIF('TL18'!$C$10:$C$224,$C394,'TL18'!$J$10:$J$224),0),
IF('TL18'!$B$229=O$3,SUMIF('TL18'!$C$238:$C$451,$C394,'TL18'!$J$238:$J$451),0),
IF('TL19'!$B$3=O$3,SUMIF('TL19'!$C$10:$C$224,$C394,'TL19'!$J$10:$J$224),0),
IF('TL19'!$B$229=O$3,SUMIF('TL19'!$C$238:$C$451,$C394,'TL19'!$J$238:$J$451),0)
),0)</f>
        <v>0</v>
      </c>
      <c r="P394" s="9">
        <f>IFERROR(SUM(
IF('TL01'!$B$3=P$3,SUMIF('TL01'!$C$10:$C$224,$C394,'TL01'!$J$10:$J$224),0),
IF('TL01'!$B$229=P$3,SUMIF('TL01'!$C$238:$C$451,$C394,'TL01'!$J$238:$J$451),0),
IF('TL02'!$B$3=P$3,SUMIF('TL02'!$C$10:$C$224,$C394,'TL02'!$J$10:$J$224),0),
IF('TL02'!$B$229=P$3,SUMIF('TL02'!$C$238:$C$451,$C394,'TL02'!$J$238:$J$451),0),
IF('TL03'!$B$3=P$3,SUMIF('TL03'!$C$10:$C$224,$C394,'TL03'!$J$10:$J$224),0),
IF('TL03'!$B$229=P$3,SUMIF('TL03'!$C$238:$C$451,$C394,'TL03'!$J$238:$J$451),0),
IF('TL04'!$B$3=P$3,SUMIF('TL04'!$C$10:$C$224,$C394,'TL04'!$J$10:$J$224),0),
IF('TL04'!$B$229=P$3,SUMIF('TL04'!$C$238:$C$451,$C394,'TL04'!$J$238:$J$451),0),
IF('TL05'!$B$3=P$3,SUMIF('TL05'!$C$10:$C$224,$C394,'TL05'!$J$10:$J$224),0),
IF('TL05'!$B$229=P$3,SUMIF('TL05'!$C$238:$C$451,$C394,'TL05'!$J$238:$J$451),0),
IF('TL06'!$B$3=P$3,SUMIF('TL06'!$C$10:$C$224,$C394,'TL06'!$J$10:$J$224),0),
IF('TL06'!$B$229=P$3,SUMIF('TL06'!$C$238:$C$451,$C394,'TL06'!$J$238:$J$451),0),
IF('TL07'!$B$3=P$3,SUMIF('TL07'!$C$10:$C$224,$C394,'TL07'!$J$10:$J$224),0),
IF('TL07'!$B$229=P$3,SUMIF('TL07'!$C$238:$C$451,$C394,'TL07'!$J$238:$J$451),0),
IF('TL08'!$B$3=P$3,SUMIF('TL08'!$C$10:$C$224,$C394,'TL08'!$J$10:$J$224),0),
IF('TL08'!$B$229=P$3,SUMIF('TL08'!$C$238:$C$451,$C394,'TL08'!$J$238:$J$451),0),
IF('TL09'!$B$3=P$3,SUMIF('TL09'!$C$10:$C$224,$C394,'TL09'!$J$10:$J$224),0),
IF('TL09'!$B$229=P$3,SUMIF('TL09'!$C$238:$C$451,$C394,'TL09'!$J$238:$J$451),0),
IF('TL10'!$B$3=P$3,SUMIF('TL10'!$C$10:$C$224,$C394,'TL10'!$J$10:$J$224),0),
IF('TL10'!$B$229=P$3,SUMIF('TL10'!$C$238:$C$451,$C394,'TL10'!$J$238:$J$451),0),
IF('TL11'!$B$3=P$3,SUMIF('TL11'!$C$10:$C$224,$C394,'TL11'!$J$10:$J$224),0),
IF('TL11'!$B$229=P$3,SUMIF('TL11'!$C$238:$C$451,$C394,'TL11'!$J$238:$J$451),0),
IF('TL12'!$B$3=P$3,SUMIF('TL12'!$C$10:$C$224,$C394,'TL12'!$J$10:$J$224),0),
IF('TL12'!$B$229=P$3,SUMIF('TL12'!$C$238:$C$451,$C394,'TL12'!$J$238:$J$451),0),
IF('TL13'!$B$3=P$3,SUMIF('TL13'!$C$10:$C$224,$C394,'TL13'!$J$10:$J$224),0),
IF('TL13'!$B$229=P$3,SUMIF('TL13'!$C$238:$C$451,$C394,'TL13'!$J$238:$J$451),0),
IF('TL14'!$B$3=P$3,SUMIF('TL14'!$C$10:$C$224,$C394,'TL14'!$J$10:$J$224),0),
IF('TL14'!$B$229=P$3,SUMIF('TL14'!$C$238:$C$451,$C394,'TL14'!$J$238:$J$451),0),
IF('TL15'!$B$3=P$3,SUMIF('TL15'!$C$10:$C$224,$C394,'TL15'!$J$10:$J$224),0),
IF('TL15'!$B$229=P$3,SUMIF('TL15'!$C$238:$C$451,$C394,'TL15'!$J$238:$J$451),0),
IF('TL16'!$B$3=P$3,SUMIF('TL16'!$C$10:$C$224,$C394,'TL16'!$J$10:$J$224),0),
IF('TL16'!$B$229=P$3,SUMIF('TL16'!$C$238:$C$451,$C394,'TL16'!$J$238:$J$451),0),
IF('TL17'!$B$3=P$3,SUMIF('TL17'!$C$10:$C$224,$C394,'TL17'!$J$10:$J$224),0),
IF('TL17'!$B$229=P$3,SUMIF('TL17'!$C$238:$C$451,$C394,'TL17'!$J$238:$J$451),0),
IF('TL18'!$B$3=P$3,SUMIF('TL18'!$C$10:$C$224,$C394,'TL18'!$J$10:$J$224),0),
IF('TL18'!$B$229=P$3,SUMIF('TL18'!$C$238:$C$451,$C394,'TL18'!$J$238:$J$451),0),
IF('TL19'!$B$3=P$3,SUMIF('TL19'!$C$10:$C$224,$C394,'TL19'!$J$10:$J$224),0),
IF('TL19'!$B$229=P$3,SUMIF('TL19'!$C$238:$C$451,$C394,'TL19'!$J$238:$J$451),0)
),0)</f>
        <v>0</v>
      </c>
      <c r="Q394" s="9">
        <f>IFERROR(SUM(
IF('TL01'!$B$3=Q$3,SUMIF('TL01'!$C$10:$C$224,$C394,'TL01'!$J$10:$J$224),0),
IF('TL01'!$B$229=Q$3,SUMIF('TL01'!$C$238:$C$451,$C394,'TL01'!$J$238:$J$451),0),
IF('TL02'!$B$3=Q$3,SUMIF('TL02'!$C$10:$C$224,$C394,'TL02'!$J$10:$J$224),0),
IF('TL02'!$B$229=Q$3,SUMIF('TL02'!$C$238:$C$451,$C394,'TL02'!$J$238:$J$451),0),
IF('TL03'!$B$3=Q$3,SUMIF('TL03'!$C$10:$C$224,$C394,'TL03'!$J$10:$J$224),0),
IF('TL03'!$B$229=Q$3,SUMIF('TL03'!$C$238:$C$451,$C394,'TL03'!$J$238:$J$451),0),
IF('TL04'!$B$3=Q$3,SUMIF('TL04'!$C$10:$C$224,$C394,'TL04'!$J$10:$J$224),0),
IF('TL04'!$B$229=Q$3,SUMIF('TL04'!$C$238:$C$451,$C394,'TL04'!$J$238:$J$451),0),
IF('TL05'!$B$3=Q$3,SUMIF('TL05'!$C$10:$C$224,$C394,'TL05'!$J$10:$J$224),0),
IF('TL05'!$B$229=Q$3,SUMIF('TL05'!$C$238:$C$451,$C394,'TL05'!$J$238:$J$451),0),
IF('TL06'!$B$3=Q$3,SUMIF('TL06'!$C$10:$C$224,$C394,'TL06'!$J$10:$J$224),0),
IF('TL06'!$B$229=Q$3,SUMIF('TL06'!$C$238:$C$451,$C394,'TL06'!$J$238:$J$451),0),
IF('TL07'!$B$3=Q$3,SUMIF('TL07'!$C$10:$C$224,$C394,'TL07'!$J$10:$J$224),0),
IF('TL07'!$B$229=Q$3,SUMIF('TL07'!$C$238:$C$451,$C394,'TL07'!$J$238:$J$451),0),
IF('TL08'!$B$3=Q$3,SUMIF('TL08'!$C$10:$C$224,$C394,'TL08'!$J$10:$J$224),0),
IF('TL08'!$B$229=Q$3,SUMIF('TL08'!$C$238:$C$451,$C394,'TL08'!$J$238:$J$451),0),
IF('TL09'!$B$3=Q$3,SUMIF('TL09'!$C$10:$C$224,$C394,'TL09'!$J$10:$J$224),0),
IF('TL09'!$B$229=Q$3,SUMIF('TL09'!$C$238:$C$451,$C394,'TL09'!$J$238:$J$451),0),
IF('TL10'!$B$3=Q$3,SUMIF('TL10'!$C$10:$C$224,$C394,'TL10'!$J$10:$J$224),0),
IF('TL10'!$B$229=Q$3,SUMIF('TL10'!$C$238:$C$451,$C394,'TL10'!$J$238:$J$451),0),
IF('TL11'!$B$3=Q$3,SUMIF('TL11'!$C$10:$C$224,$C394,'TL11'!$J$10:$J$224),0),
IF('TL11'!$B$229=Q$3,SUMIF('TL11'!$C$238:$C$451,$C394,'TL11'!$J$238:$J$451),0),
IF('TL12'!$B$3=Q$3,SUMIF('TL12'!$C$10:$C$224,$C394,'TL12'!$J$10:$J$224),0),
IF('TL12'!$B$229=Q$3,SUMIF('TL12'!$C$238:$C$451,$C394,'TL12'!$J$238:$J$451),0),
IF('TL13'!$B$3=Q$3,SUMIF('TL13'!$C$10:$C$224,$C394,'TL13'!$J$10:$J$224),0),
IF('TL13'!$B$229=Q$3,SUMIF('TL13'!$C$238:$C$451,$C394,'TL13'!$J$238:$J$451),0),
IF('TL14'!$B$3=Q$3,SUMIF('TL14'!$C$10:$C$224,$C394,'TL14'!$J$10:$J$224),0),
IF('TL14'!$B$229=Q$3,SUMIF('TL14'!$C$238:$C$451,$C394,'TL14'!$J$238:$J$451),0),
IF('TL15'!$B$3=Q$3,SUMIF('TL15'!$C$10:$C$224,$C394,'TL15'!$J$10:$J$224),0),
IF('TL15'!$B$229=Q$3,SUMIF('TL15'!$C$238:$C$451,$C394,'TL15'!$J$238:$J$451),0),
IF('TL16'!$B$3=Q$3,SUMIF('TL16'!$C$10:$C$224,$C394,'TL16'!$J$10:$J$224),0),
IF('TL16'!$B$229=Q$3,SUMIF('TL16'!$C$238:$C$451,$C394,'TL16'!$J$238:$J$451),0),
IF('TL17'!$B$3=Q$3,SUMIF('TL17'!$C$10:$C$224,$C394,'TL17'!$J$10:$J$224),0),
IF('TL17'!$B$229=Q$3,SUMIF('TL17'!$C$238:$C$451,$C394,'TL17'!$J$238:$J$451),0),
IF('TL18'!$B$3=Q$3,SUMIF('TL18'!$C$10:$C$224,$C394,'TL18'!$J$10:$J$224),0),
IF('TL18'!$B$229=Q$3,SUMIF('TL18'!$C$238:$C$451,$C394,'TL18'!$J$238:$J$451),0),
IF('TL19'!$B$3=Q$3,SUMIF('TL19'!$C$10:$C$224,$C394,'TL19'!$J$10:$J$224),0),
IF('TL19'!$B$229=Q$3,SUMIF('TL19'!$C$238:$C$451,$C394,'TL19'!$J$238:$J$451),0)
),0)</f>
        <v>0</v>
      </c>
      <c r="R394" s="9">
        <f>IFERROR(
SUM(
SUMIF('TL01'!C:C,C394,'TL01'!J:J),
SUMIF('TL02'!C:C,C394,'TL02'!J:J),
SUMIF('TL03'!C:C,C394,'TL03'!J:J),
SUMIF('TL04'!C:C,C394,'TL04'!J:J),
SUMIF('TL05'!C:C,C394,'TL05'!J:J),
SUMIF('TL06'!C:C,C394,'TL06'!J:J),
SUMIF('TL07'!C:C,C394,'TL07'!J:J),
SUMIF('TL08'!C:C,C394,'TL08'!J:J),
SUMIF('TL09'!C:C,C394,'TL09'!J:J),
SUMIF('TL10'!C:C,C394,'TL10'!J:J),
SUMIF('TL11'!C:C,C394,'TL11'!J:J),
SUMIF('TL12'!C:C,C394,'TL12'!J:J),
SUMIF('TL13'!C:C,C394,'TL13'!J:J),
SUMIF('TL14'!C:C,C394,'TL14'!J:J),
SUMIF('TL15'!C:C,C394,'TL15'!J:J),
SUMIF('TL16'!C:C,C394,'TL16'!J:J),
SUMIF('TL17'!C:C,C394,'TL17'!J:J),
SUMIF('TL18'!C:C,C394,'TL18'!J:J),SUMIF('TL19'!C:C,C394,'TL19'!J:J))
,0)</f>
        <v>0</v>
      </c>
      <c r="S394" s="17" t="str">
        <f>IFERROR(__xludf.DUMMYFUNCTION("IFERROR(VLOOKUP(C394,
IMPORTRANGE(""1wULbzX32WdYsx-lj2U3uUNBBe2INVIRDtcK0d-Dvl90"",
""26-27!C:G""),
5,
FALSE),
"""")"),"")</f>
        <v/>
      </c>
      <c r="T394" s="9"/>
      <c r="U394" s="92">
        <f t="shared" si="2"/>
        <v>0</v>
      </c>
      <c r="V394" s="93">
        <f t="shared" si="3"/>
        <v>0</v>
      </c>
    </row>
    <row r="395" ht="15.75" hidden="1" customHeight="1">
      <c r="A395" s="4"/>
      <c r="B395" s="125"/>
      <c r="C395" s="6"/>
      <c r="D395" s="6"/>
      <c r="E395" s="9"/>
      <c r="F395" s="4"/>
      <c r="G395" s="90" t="str">
        <f t="shared" si="5"/>
        <v>📄 Ver bula</v>
      </c>
      <c r="H395" s="9"/>
      <c r="I395" s="1"/>
      <c r="J395" s="9">
        <f>IFERROR(SUM(
IF('TL01'!$B$3=J$3,SUMIF('TL01'!$C$10:$C$224,$C395,'TL01'!$J$10:$J$224),0),
IF('TL01'!$B$229=J$3,SUMIF('TL01'!$C$238:$C$451,$C395,'TL01'!$J$238:$J$451),0),
IF('TL02'!$B$3=J$3,SUMIF('TL02'!$C$10:$C$224,$C395,'TL02'!$J$10:$J$224),0),
IF('TL02'!$B$229=J$3,SUMIF('TL02'!$C$238:$C$451,$C395,'TL02'!$J$238:$J$451),0),
IF('TL03'!$B$3=J$3,SUMIF('TL03'!$C$10:$C$224,$C395,'TL03'!$J$10:$J$224),0),
IF('TL03'!$B$229=J$3,SUMIF('TL03'!$C$238:$C$451,$C395,'TL03'!$J$238:$J$451),0),
IF('TL04'!$B$3=J$3,SUMIF('TL04'!$C$10:$C$224,$C395,'TL04'!$J$10:$J$224),0),
IF('TL04'!$B$229=J$3,SUMIF('TL04'!$C$238:$C$451,$C395,'TL04'!$J$238:$J$451),0),
IF('TL05'!$B$3=J$3,SUMIF('TL05'!$C$10:$C$224,$C395,'TL05'!$J$10:$J$224),0),
IF('TL05'!$B$229=J$3,SUMIF('TL05'!$C$238:$C$451,$C395,'TL05'!$J$238:$J$451),0),
IF('TL06'!$B$3=J$3,SUMIF('TL06'!$C$10:$C$224,$C395,'TL06'!$J$10:$J$224),0),
IF('TL06'!$B$229=J$3,SUMIF('TL06'!$C$238:$C$451,$C395,'TL06'!$J$238:$J$451),0),
IF('TL07'!$B$3=J$3,SUMIF('TL07'!$C$10:$C$224,$C395,'TL07'!$J$10:$J$224),0),
IF('TL07'!$B$229=J$3,SUMIF('TL07'!$C$238:$C$451,$C395,'TL07'!$J$238:$J$451),0),
IF('TL08'!$B$3=J$3,SUMIF('TL08'!$C$10:$C$224,$C395,'TL08'!$J$10:$J$224),0),
IF('TL08'!$B$229=J$3,SUMIF('TL08'!$C$238:$C$451,$C395,'TL08'!$J$238:$J$451),0),
IF('TL09'!$B$3=J$3,SUMIF('TL09'!$C$10:$C$224,$C395,'TL09'!$J$10:$J$224),0),
IF('TL09'!$B$229=J$3,SUMIF('TL09'!$C$238:$C$451,$C395,'TL09'!$J$238:$J$451),0),
IF('TL10'!$B$3=J$3,SUMIF('TL10'!$C$10:$C$224,$C395,'TL10'!$J$10:$J$224),0),
IF('TL10'!$B$229=J$3,SUMIF('TL10'!$C$238:$C$451,$C395,'TL10'!$J$238:$J$451),0),
IF('TL11'!$B$3=J$3,SUMIF('TL11'!$C$10:$C$224,$C395,'TL11'!$J$10:$J$224),0),
IF('TL11'!$B$229=J$3,SUMIF('TL11'!$C$238:$C$451,$C395,'TL11'!$J$238:$J$451),0),
IF('TL12'!$B$3=J$3,SUMIF('TL12'!$C$10:$C$224,$C395,'TL12'!$J$10:$J$224),0),
IF('TL12'!$B$229=J$3,SUMIF('TL12'!$C$238:$C$451,$C395,'TL12'!$J$238:$J$451),0),
IF('TL13'!$B$3=J$3,SUMIF('TL13'!$C$10:$C$224,$C395,'TL13'!$J$10:$J$224),0),
IF('TL13'!$B$229=J$3,SUMIF('TL13'!$C$238:$C$451,$C395,'TL13'!$J$238:$J$451),0),
IF('TL14'!$B$3=J$3,SUMIF('TL14'!$C$10:$C$224,$C395,'TL14'!$J$10:$J$224),0),
IF('TL14'!$B$229=J$3,SUMIF('TL14'!$C$238:$C$451,$C395,'TL14'!$J$238:$J$451),0),
IF('TL15'!$B$3=J$3,SUMIF('TL15'!$C$10:$C$224,$C395,'TL15'!$J$10:$J$224),0),
IF('TL15'!$B$229=J$3,SUMIF('TL15'!$C$238:$C$451,$C395,'TL15'!$J$238:$J$451),0),
IF('TL16'!$B$3=J$3,SUMIF('TL16'!$C$10:$C$224,$C395,'TL16'!$J$10:$J$224),0),
IF('TL16'!$B$229=J$3,SUMIF('TL16'!$C$238:$C$451,$C395,'TL16'!$J$238:$J$451),0),
IF('TL17'!$B$3=J$3,SUMIF('TL17'!$C$10:$C$224,$C395,'TL17'!$J$10:$J$224),0),
IF('TL17'!$B$229=J$3,SUMIF('TL17'!$C$238:$C$451,$C395,'TL17'!$J$238:$J$451),0),
IF('TL18'!$B$3=J$3,SUMIF('TL18'!$C$10:$C$224,$C395,'TL18'!$J$10:$J$224),0),
IF('TL18'!$B$229=J$3,SUMIF('TL18'!$C$238:$C$451,$C395,'TL18'!$J$238:$J$451),0),
IF('TL19'!$B$3=J$3,SUMIF('TL19'!$C$10:$C$224,$C395,'TL19'!$J$10:$J$224),0),
IF('TL19'!$B$229=J$3,SUMIF('TL19'!$C$238:$C$451,$C395,'TL19'!$J$238:$J$451),0)
),0)</f>
        <v>0</v>
      </c>
      <c r="K395" s="9">
        <f>IFERROR(SUM(
IF('TL01'!$B$3=K$3,SUMIF('TL01'!$C$10:$C$224,$C395,'TL01'!$J$10:$J$224),0),
IF('TL01'!$B$229=K$3,SUMIF('TL01'!$C$238:$C$451,$C395,'TL01'!$J$238:$J$451),0),
IF('TL02'!$B$3=K$3,SUMIF('TL02'!$C$10:$C$224,$C395,'TL02'!$J$10:$J$224),0),
IF('TL02'!$B$229=K$3,SUMIF('TL02'!$C$238:$C$451,$C395,'TL02'!$J$238:$J$451),0),
IF('TL03'!$B$3=K$3,SUMIF('TL03'!$C$10:$C$224,$C395,'TL03'!$J$10:$J$224),0),
IF('TL03'!$B$229=K$3,SUMIF('TL03'!$C$238:$C$451,$C395,'TL03'!$J$238:$J$451),0),
IF('TL04'!$B$3=K$3,SUMIF('TL04'!$C$10:$C$224,$C395,'TL04'!$J$10:$J$224),0),
IF('TL04'!$B$229=K$3,SUMIF('TL04'!$C$238:$C$451,$C395,'TL04'!$J$238:$J$451),0),
IF('TL05'!$B$3=K$3,SUMIF('TL05'!$C$10:$C$224,$C395,'TL05'!$J$10:$J$224),0),
IF('TL05'!$B$229=K$3,SUMIF('TL05'!$C$238:$C$451,$C395,'TL05'!$J$238:$J$451),0),
IF('TL06'!$B$3=K$3,SUMIF('TL06'!$C$10:$C$224,$C395,'TL06'!$J$10:$J$224),0),
IF('TL06'!$B$229=K$3,SUMIF('TL06'!$C$238:$C$451,$C395,'TL06'!$J$238:$J$451),0),
IF('TL07'!$B$3=K$3,SUMIF('TL07'!$C$10:$C$224,$C395,'TL07'!$J$10:$J$224),0),
IF('TL07'!$B$229=K$3,SUMIF('TL07'!$C$238:$C$451,$C395,'TL07'!$J$238:$J$451),0),
IF('TL08'!$B$3=K$3,SUMIF('TL08'!$C$10:$C$224,$C395,'TL08'!$J$10:$J$224),0),
IF('TL08'!$B$229=K$3,SUMIF('TL08'!$C$238:$C$451,$C395,'TL08'!$J$238:$J$451),0),
IF('TL09'!$B$3=K$3,SUMIF('TL09'!$C$10:$C$224,$C395,'TL09'!$J$10:$J$224),0),
IF('TL09'!$B$229=K$3,SUMIF('TL09'!$C$238:$C$451,$C395,'TL09'!$J$238:$J$451),0),
IF('TL10'!$B$3=K$3,SUMIF('TL10'!$C$10:$C$224,$C395,'TL10'!$J$10:$J$224),0),
IF('TL10'!$B$229=K$3,SUMIF('TL10'!$C$238:$C$451,$C395,'TL10'!$J$238:$J$451),0),
IF('TL11'!$B$3=K$3,SUMIF('TL11'!$C$10:$C$224,$C395,'TL11'!$J$10:$J$224),0),
IF('TL11'!$B$229=K$3,SUMIF('TL11'!$C$238:$C$451,$C395,'TL11'!$J$238:$J$451),0),
IF('TL12'!$B$3=K$3,SUMIF('TL12'!$C$10:$C$224,$C395,'TL12'!$J$10:$J$224),0),
IF('TL12'!$B$229=K$3,SUMIF('TL12'!$C$238:$C$451,$C395,'TL12'!$J$238:$J$451),0),
IF('TL13'!$B$3=K$3,SUMIF('TL13'!$C$10:$C$224,$C395,'TL13'!$J$10:$J$224),0),
IF('TL13'!$B$229=K$3,SUMIF('TL13'!$C$238:$C$451,$C395,'TL13'!$J$238:$J$451),0),
IF('TL14'!$B$3=K$3,SUMIF('TL14'!$C$10:$C$224,$C395,'TL14'!$J$10:$J$224),0),
IF('TL14'!$B$229=K$3,SUMIF('TL14'!$C$238:$C$451,$C395,'TL14'!$J$238:$J$451),0),
IF('TL15'!$B$3=K$3,SUMIF('TL15'!$C$10:$C$224,$C395,'TL15'!$J$10:$J$224),0),
IF('TL15'!$B$229=K$3,SUMIF('TL15'!$C$238:$C$451,$C395,'TL15'!$J$238:$J$451),0),
IF('TL16'!$B$3=K$3,SUMIF('TL16'!$C$10:$C$224,$C395,'TL16'!$J$10:$J$224),0),
IF('TL16'!$B$229=K$3,SUMIF('TL16'!$C$238:$C$451,$C395,'TL16'!$J$238:$J$451),0),
IF('TL17'!$B$3=K$3,SUMIF('TL17'!$C$10:$C$224,$C395,'TL17'!$J$10:$J$224),0),
IF('TL17'!$B$229=K$3,SUMIF('TL17'!$C$238:$C$451,$C395,'TL17'!$J$238:$J$451),0),
IF('TL18'!$B$3=K$3,SUMIF('TL18'!$C$10:$C$224,$C395,'TL18'!$J$10:$J$224),0),
IF('TL18'!$B$229=K$3,SUMIF('TL18'!$C$238:$C$451,$C395,'TL18'!$J$238:$J$451),0),
IF('TL19'!$B$3=K$3,SUMIF('TL19'!$C$10:$C$224,$C395,'TL19'!$J$10:$J$224),0),
IF('TL19'!$B$229=K$3,SUMIF('TL19'!$C$238:$C$451,$C395,'TL19'!$J$238:$J$451),0)
),0)</f>
        <v>0</v>
      </c>
      <c r="L395" s="9">
        <f>IFERROR(SUM(
IF('TL01'!$B$3=L$3,SUMIF('TL01'!$C$10:$C$224,$C395,'TL01'!$J$10:$J$224),0),
IF('TL01'!$B$229=L$3,SUMIF('TL01'!$C$238:$C$451,$C395,'TL01'!$J$238:$J$451),0),
IF('TL02'!$B$3=L$3,SUMIF('TL02'!$C$10:$C$224,$C395,'TL02'!$J$10:$J$224),0),
IF('TL02'!$B$229=L$3,SUMIF('TL02'!$C$238:$C$451,$C395,'TL02'!$J$238:$J$451),0),
IF('TL03'!$B$3=L$3,SUMIF('TL03'!$C$10:$C$224,$C395,'TL03'!$J$10:$J$224),0),
IF('TL03'!$B$229=L$3,SUMIF('TL03'!$C$238:$C$451,$C395,'TL03'!$J$238:$J$451),0),
IF('TL04'!$B$3=L$3,SUMIF('TL04'!$C$10:$C$224,$C395,'TL04'!$J$10:$J$224),0),
IF('TL04'!$B$229=L$3,SUMIF('TL04'!$C$238:$C$451,$C395,'TL04'!$J$238:$J$451),0),
IF('TL05'!$B$3=L$3,SUMIF('TL05'!$C$10:$C$224,$C395,'TL05'!$J$10:$J$224),0),
IF('TL05'!$B$229=L$3,SUMIF('TL05'!$C$238:$C$451,$C395,'TL05'!$J$238:$J$451),0),
IF('TL06'!$B$3=L$3,SUMIF('TL06'!$C$10:$C$224,$C395,'TL06'!$J$10:$J$224),0),
IF('TL06'!$B$229=L$3,SUMIF('TL06'!$C$238:$C$451,$C395,'TL06'!$J$238:$J$451),0),
IF('TL07'!$B$3=L$3,SUMIF('TL07'!$C$10:$C$224,$C395,'TL07'!$J$10:$J$224),0),
IF('TL07'!$B$229=L$3,SUMIF('TL07'!$C$238:$C$451,$C395,'TL07'!$J$238:$J$451),0),
IF('TL08'!$B$3=L$3,SUMIF('TL08'!$C$10:$C$224,$C395,'TL08'!$J$10:$J$224),0),
IF('TL08'!$B$229=L$3,SUMIF('TL08'!$C$238:$C$451,$C395,'TL08'!$J$238:$J$451),0),
IF('TL09'!$B$3=L$3,SUMIF('TL09'!$C$10:$C$224,$C395,'TL09'!$J$10:$J$224),0),
IF('TL09'!$B$229=L$3,SUMIF('TL09'!$C$238:$C$451,$C395,'TL09'!$J$238:$J$451),0),
IF('TL10'!$B$3=L$3,SUMIF('TL10'!$C$10:$C$224,$C395,'TL10'!$J$10:$J$224),0),
IF('TL10'!$B$229=L$3,SUMIF('TL10'!$C$238:$C$451,$C395,'TL10'!$J$238:$J$451),0),
IF('TL11'!$B$3=L$3,SUMIF('TL11'!$C$10:$C$224,$C395,'TL11'!$J$10:$J$224),0),
IF('TL11'!$B$229=L$3,SUMIF('TL11'!$C$238:$C$451,$C395,'TL11'!$J$238:$J$451),0),
IF('TL12'!$B$3=L$3,SUMIF('TL12'!$C$10:$C$224,$C395,'TL12'!$J$10:$J$224),0),
IF('TL12'!$B$229=L$3,SUMIF('TL12'!$C$238:$C$451,$C395,'TL12'!$J$238:$J$451),0),
IF('TL13'!$B$3=L$3,SUMIF('TL13'!$C$10:$C$224,$C395,'TL13'!$J$10:$J$224),0),
IF('TL13'!$B$229=L$3,SUMIF('TL13'!$C$238:$C$451,$C395,'TL13'!$J$238:$J$451),0),
IF('TL14'!$B$3=L$3,SUMIF('TL14'!$C$10:$C$224,$C395,'TL14'!$J$10:$J$224),0),
IF('TL14'!$B$229=L$3,SUMIF('TL14'!$C$238:$C$451,$C395,'TL14'!$J$238:$J$451),0),
IF('TL15'!$B$3=L$3,SUMIF('TL15'!$C$10:$C$224,$C395,'TL15'!$J$10:$J$224),0),
IF('TL15'!$B$229=L$3,SUMIF('TL15'!$C$238:$C$451,$C395,'TL15'!$J$238:$J$451),0),
IF('TL16'!$B$3=L$3,SUMIF('TL16'!$C$10:$C$224,$C395,'TL16'!$J$10:$J$224),0),
IF('TL16'!$B$229=L$3,SUMIF('TL16'!$C$238:$C$451,$C395,'TL16'!$J$238:$J$451),0),
IF('TL17'!$B$3=L$3,SUMIF('TL17'!$C$10:$C$224,$C395,'TL17'!$J$10:$J$224),0),
IF('TL17'!$B$229=L$3,SUMIF('TL17'!$C$238:$C$451,$C395,'TL17'!$J$238:$J$451),0),
IF('TL18'!$B$3=L$3,SUMIF('TL18'!$C$10:$C$224,$C395,'TL18'!$J$10:$J$224),0),
IF('TL18'!$B$229=L$3,SUMIF('TL18'!$C$238:$C$451,$C395,'TL18'!$J$238:$J$451),0),
IF('TL19'!$B$3=L$3,SUMIF('TL19'!$C$10:$C$224,$C395,'TL19'!$J$10:$J$224),0),
IF('TL19'!$B$229=L$3,SUMIF('TL19'!$C$238:$C$451,$C395,'TL19'!$J$238:$J$451),0)
),0)</f>
        <v>0</v>
      </c>
      <c r="M395" s="9">
        <f>IFERROR(SUM(
IF('TL01'!$B$3=M$3,SUMIF('TL01'!$C$10:$C$224,$C395,'TL01'!$J$10:$J$224),0),
IF('TL01'!$B$229=M$3,SUMIF('TL01'!$C$238:$C$451,$C395,'TL01'!$J$238:$J$451),0),
IF('TL02'!$B$3=M$3,SUMIF('TL02'!$C$10:$C$224,$C395,'TL02'!$J$10:$J$224),0),
IF('TL02'!$B$229=M$3,SUMIF('TL02'!$C$238:$C$451,$C395,'TL02'!$J$238:$J$451),0),
IF('TL03'!$B$3=M$3,SUMIF('TL03'!$C$10:$C$224,$C395,'TL03'!$J$10:$J$224),0),
IF('TL03'!$B$229=M$3,SUMIF('TL03'!$C$238:$C$451,$C395,'TL03'!$J$238:$J$451),0),
IF('TL04'!$B$3=M$3,SUMIF('TL04'!$C$10:$C$224,$C395,'TL04'!$J$10:$J$224),0),
IF('TL04'!$B$229=M$3,SUMIF('TL04'!$C$238:$C$451,$C395,'TL04'!$J$238:$J$451),0),
IF('TL05'!$B$3=M$3,SUMIF('TL05'!$C$10:$C$224,$C395,'TL05'!$J$10:$J$224),0),
IF('TL05'!$B$229=M$3,SUMIF('TL05'!$C$238:$C$451,$C395,'TL05'!$J$238:$J$451),0),
IF('TL06'!$B$3=M$3,SUMIF('TL06'!$C$10:$C$224,$C395,'TL06'!$J$10:$J$224),0),
IF('TL06'!$B$229=M$3,SUMIF('TL06'!$C$238:$C$451,$C395,'TL06'!$J$238:$J$451),0),
IF('TL07'!$B$3=M$3,SUMIF('TL07'!$C$10:$C$224,$C395,'TL07'!$J$10:$J$224),0),
IF('TL07'!$B$229=M$3,SUMIF('TL07'!$C$238:$C$451,$C395,'TL07'!$J$238:$J$451),0),
IF('TL08'!$B$3=M$3,SUMIF('TL08'!$C$10:$C$224,$C395,'TL08'!$J$10:$J$224),0),
IF('TL08'!$B$229=M$3,SUMIF('TL08'!$C$238:$C$451,$C395,'TL08'!$J$238:$J$451),0),
IF('TL09'!$B$3=M$3,SUMIF('TL09'!$C$10:$C$224,$C395,'TL09'!$J$10:$J$224),0),
IF('TL09'!$B$229=M$3,SUMIF('TL09'!$C$238:$C$451,$C395,'TL09'!$J$238:$J$451),0),
IF('TL10'!$B$3=M$3,SUMIF('TL10'!$C$10:$C$224,$C395,'TL10'!$J$10:$J$224),0),
IF('TL10'!$B$229=M$3,SUMIF('TL10'!$C$238:$C$451,$C395,'TL10'!$J$238:$J$451),0),
IF('TL11'!$B$3=M$3,SUMIF('TL11'!$C$10:$C$224,$C395,'TL11'!$J$10:$J$224),0),
IF('TL11'!$B$229=M$3,SUMIF('TL11'!$C$238:$C$451,$C395,'TL11'!$J$238:$J$451),0),
IF('TL12'!$B$3=M$3,SUMIF('TL12'!$C$10:$C$224,$C395,'TL12'!$J$10:$J$224),0),
IF('TL12'!$B$229=M$3,SUMIF('TL12'!$C$238:$C$451,$C395,'TL12'!$J$238:$J$451),0),
IF('TL13'!$B$3=M$3,SUMIF('TL13'!$C$10:$C$224,$C395,'TL13'!$J$10:$J$224),0),
IF('TL13'!$B$229=M$3,SUMIF('TL13'!$C$238:$C$451,$C395,'TL13'!$J$238:$J$451),0),
IF('TL14'!$B$3=M$3,SUMIF('TL14'!$C$10:$C$224,$C395,'TL14'!$J$10:$J$224),0),
IF('TL14'!$B$229=M$3,SUMIF('TL14'!$C$238:$C$451,$C395,'TL14'!$J$238:$J$451),0),
IF('TL15'!$B$3=M$3,SUMIF('TL15'!$C$10:$C$224,$C395,'TL15'!$J$10:$J$224),0),
IF('TL15'!$B$229=M$3,SUMIF('TL15'!$C$238:$C$451,$C395,'TL15'!$J$238:$J$451),0),
IF('TL16'!$B$3=M$3,SUMIF('TL16'!$C$10:$C$224,$C395,'TL16'!$J$10:$J$224),0),
IF('TL16'!$B$229=M$3,SUMIF('TL16'!$C$238:$C$451,$C395,'TL16'!$J$238:$J$451),0),
IF('TL17'!$B$3=M$3,SUMIF('TL17'!$C$10:$C$224,$C395,'TL17'!$J$10:$J$224),0),
IF('TL17'!$B$229=M$3,SUMIF('TL17'!$C$238:$C$451,$C395,'TL17'!$J$238:$J$451),0),
IF('TL18'!$B$3=M$3,SUMIF('TL18'!$C$10:$C$224,$C395,'TL18'!$J$10:$J$224),0),
IF('TL18'!$B$229=M$3,SUMIF('TL18'!$C$238:$C$451,$C395,'TL18'!$J$238:$J$451),0),
IF('TL19'!$B$3=M$3,SUMIF('TL19'!$C$10:$C$224,$C395,'TL19'!$J$10:$J$224),0),
IF('TL19'!$B$229=M$3,SUMIF('TL19'!$C$238:$C$451,$C395,'TL19'!$J$238:$J$451),0)
),0)</f>
        <v>0</v>
      </c>
      <c r="N395" s="9">
        <f>IFERROR(SUM(
IF('TL01'!$B$3=N$3,SUMIF('TL01'!$C$10:$C$224,$C395,'TL01'!$J$10:$J$224),0),
IF('TL01'!$B$229=N$3,SUMIF('TL01'!$C$238:$C$451,$C395,'TL01'!$J$238:$J$451),0),
IF('TL02'!$B$3=N$3,SUMIF('TL02'!$C$10:$C$224,$C395,'TL02'!$J$10:$J$224),0),
IF('TL02'!$B$229=N$3,SUMIF('TL02'!$C$238:$C$451,$C395,'TL02'!$J$238:$J$451),0),
IF('TL03'!$B$3=N$3,SUMIF('TL03'!$C$10:$C$224,$C395,'TL03'!$J$10:$J$224),0),
IF('TL03'!$B$229=N$3,SUMIF('TL03'!$C$238:$C$451,$C395,'TL03'!$J$238:$J$451),0),
IF('TL04'!$B$3=N$3,SUMIF('TL04'!$C$10:$C$224,$C395,'TL04'!$J$10:$J$224),0),
IF('TL04'!$B$229=N$3,SUMIF('TL04'!$C$238:$C$451,$C395,'TL04'!$J$238:$J$451),0),
IF('TL05'!$B$3=N$3,SUMIF('TL05'!$C$10:$C$224,$C395,'TL05'!$J$10:$J$224),0),
IF('TL05'!$B$229=N$3,SUMIF('TL05'!$C$238:$C$451,$C395,'TL05'!$J$238:$J$451),0),
IF('TL06'!$B$3=N$3,SUMIF('TL06'!$C$10:$C$224,$C395,'TL06'!$J$10:$J$224),0),
IF('TL06'!$B$229=N$3,SUMIF('TL06'!$C$238:$C$451,$C395,'TL06'!$J$238:$J$451),0),
IF('TL07'!$B$3=N$3,SUMIF('TL07'!$C$10:$C$224,$C395,'TL07'!$J$10:$J$224),0),
IF('TL07'!$B$229=N$3,SUMIF('TL07'!$C$238:$C$451,$C395,'TL07'!$J$238:$J$451),0),
IF('TL08'!$B$3=N$3,SUMIF('TL08'!$C$10:$C$224,$C395,'TL08'!$J$10:$J$224),0),
IF('TL08'!$B$229=N$3,SUMIF('TL08'!$C$238:$C$451,$C395,'TL08'!$J$238:$J$451),0),
IF('TL09'!$B$3=N$3,SUMIF('TL09'!$C$10:$C$224,$C395,'TL09'!$J$10:$J$224),0),
IF('TL09'!$B$229=N$3,SUMIF('TL09'!$C$238:$C$451,$C395,'TL09'!$J$238:$J$451),0),
IF('TL10'!$B$3=N$3,SUMIF('TL10'!$C$10:$C$224,$C395,'TL10'!$J$10:$J$224),0),
IF('TL10'!$B$229=N$3,SUMIF('TL10'!$C$238:$C$451,$C395,'TL10'!$J$238:$J$451),0),
IF('TL11'!$B$3=N$3,SUMIF('TL11'!$C$10:$C$224,$C395,'TL11'!$J$10:$J$224),0),
IF('TL11'!$B$229=N$3,SUMIF('TL11'!$C$238:$C$451,$C395,'TL11'!$J$238:$J$451),0),
IF('TL12'!$B$3=N$3,SUMIF('TL12'!$C$10:$C$224,$C395,'TL12'!$J$10:$J$224),0),
IF('TL12'!$B$229=N$3,SUMIF('TL12'!$C$238:$C$451,$C395,'TL12'!$J$238:$J$451),0),
IF('TL13'!$B$3=N$3,SUMIF('TL13'!$C$10:$C$224,$C395,'TL13'!$J$10:$J$224),0),
IF('TL13'!$B$229=N$3,SUMIF('TL13'!$C$238:$C$451,$C395,'TL13'!$J$238:$J$451),0),
IF('TL14'!$B$3=N$3,SUMIF('TL14'!$C$10:$C$224,$C395,'TL14'!$J$10:$J$224),0),
IF('TL14'!$B$229=N$3,SUMIF('TL14'!$C$238:$C$451,$C395,'TL14'!$J$238:$J$451),0),
IF('TL15'!$B$3=N$3,SUMIF('TL15'!$C$10:$C$224,$C395,'TL15'!$J$10:$J$224),0),
IF('TL15'!$B$229=N$3,SUMIF('TL15'!$C$238:$C$451,$C395,'TL15'!$J$238:$J$451),0),
IF('TL16'!$B$3=N$3,SUMIF('TL16'!$C$10:$C$224,$C395,'TL16'!$J$10:$J$224),0),
IF('TL16'!$B$229=N$3,SUMIF('TL16'!$C$238:$C$451,$C395,'TL16'!$J$238:$J$451),0),
IF('TL17'!$B$3=N$3,SUMIF('TL17'!$C$10:$C$224,$C395,'TL17'!$J$10:$J$224),0),
IF('TL17'!$B$229=N$3,SUMIF('TL17'!$C$238:$C$451,$C395,'TL17'!$J$238:$J$451),0),
IF('TL18'!$B$3=N$3,SUMIF('TL18'!$C$10:$C$224,$C395,'TL18'!$J$10:$J$224),0),
IF('TL18'!$B$229=N$3,SUMIF('TL18'!$C$238:$C$451,$C395,'TL18'!$J$238:$J$451),0),
IF('TL19'!$B$3=N$3,SUMIF('TL19'!$C$10:$C$224,$C395,'TL19'!$J$10:$J$224),0),
IF('TL19'!$B$229=N$3,SUMIF('TL19'!$C$238:$C$451,$C395,'TL19'!$J$238:$J$451),0)
),0)</f>
        <v>0</v>
      </c>
      <c r="O395" s="9">
        <f>IFERROR(SUM(
IF('TL01'!$B$3=O$3,SUMIF('TL01'!$C$10:$C$224,$C395,'TL01'!$J$10:$J$224),0),
IF('TL01'!$B$229=O$3,SUMIF('TL01'!$C$238:$C$451,$C395,'TL01'!$J$238:$J$451),0),
IF('TL02'!$B$3=O$3,SUMIF('TL02'!$C$10:$C$224,$C395,'TL02'!$J$10:$J$224),0),
IF('TL02'!$B$229=O$3,SUMIF('TL02'!$C$238:$C$451,$C395,'TL02'!$J$238:$J$451),0),
IF('TL03'!$B$3=O$3,SUMIF('TL03'!$C$10:$C$224,$C395,'TL03'!$J$10:$J$224),0),
IF('TL03'!$B$229=O$3,SUMIF('TL03'!$C$238:$C$451,$C395,'TL03'!$J$238:$J$451),0),
IF('TL04'!$B$3=O$3,SUMIF('TL04'!$C$10:$C$224,$C395,'TL04'!$J$10:$J$224),0),
IF('TL04'!$B$229=O$3,SUMIF('TL04'!$C$238:$C$451,$C395,'TL04'!$J$238:$J$451),0),
IF('TL05'!$B$3=O$3,SUMIF('TL05'!$C$10:$C$224,$C395,'TL05'!$J$10:$J$224),0),
IF('TL05'!$B$229=O$3,SUMIF('TL05'!$C$238:$C$451,$C395,'TL05'!$J$238:$J$451),0),
IF('TL06'!$B$3=O$3,SUMIF('TL06'!$C$10:$C$224,$C395,'TL06'!$J$10:$J$224),0),
IF('TL06'!$B$229=O$3,SUMIF('TL06'!$C$238:$C$451,$C395,'TL06'!$J$238:$J$451),0),
IF('TL07'!$B$3=O$3,SUMIF('TL07'!$C$10:$C$224,$C395,'TL07'!$J$10:$J$224),0),
IF('TL07'!$B$229=O$3,SUMIF('TL07'!$C$238:$C$451,$C395,'TL07'!$J$238:$J$451),0),
IF('TL08'!$B$3=O$3,SUMIF('TL08'!$C$10:$C$224,$C395,'TL08'!$J$10:$J$224),0),
IF('TL08'!$B$229=O$3,SUMIF('TL08'!$C$238:$C$451,$C395,'TL08'!$J$238:$J$451),0),
IF('TL09'!$B$3=O$3,SUMIF('TL09'!$C$10:$C$224,$C395,'TL09'!$J$10:$J$224),0),
IF('TL09'!$B$229=O$3,SUMIF('TL09'!$C$238:$C$451,$C395,'TL09'!$J$238:$J$451),0),
IF('TL10'!$B$3=O$3,SUMIF('TL10'!$C$10:$C$224,$C395,'TL10'!$J$10:$J$224),0),
IF('TL10'!$B$229=O$3,SUMIF('TL10'!$C$238:$C$451,$C395,'TL10'!$J$238:$J$451),0),
IF('TL11'!$B$3=O$3,SUMIF('TL11'!$C$10:$C$224,$C395,'TL11'!$J$10:$J$224),0),
IF('TL11'!$B$229=O$3,SUMIF('TL11'!$C$238:$C$451,$C395,'TL11'!$J$238:$J$451),0),
IF('TL12'!$B$3=O$3,SUMIF('TL12'!$C$10:$C$224,$C395,'TL12'!$J$10:$J$224),0),
IF('TL12'!$B$229=O$3,SUMIF('TL12'!$C$238:$C$451,$C395,'TL12'!$J$238:$J$451),0),
IF('TL13'!$B$3=O$3,SUMIF('TL13'!$C$10:$C$224,$C395,'TL13'!$J$10:$J$224),0),
IF('TL13'!$B$229=O$3,SUMIF('TL13'!$C$238:$C$451,$C395,'TL13'!$J$238:$J$451),0),
IF('TL14'!$B$3=O$3,SUMIF('TL14'!$C$10:$C$224,$C395,'TL14'!$J$10:$J$224),0),
IF('TL14'!$B$229=O$3,SUMIF('TL14'!$C$238:$C$451,$C395,'TL14'!$J$238:$J$451),0),
IF('TL15'!$B$3=O$3,SUMIF('TL15'!$C$10:$C$224,$C395,'TL15'!$J$10:$J$224),0),
IF('TL15'!$B$229=O$3,SUMIF('TL15'!$C$238:$C$451,$C395,'TL15'!$J$238:$J$451),0),
IF('TL16'!$B$3=O$3,SUMIF('TL16'!$C$10:$C$224,$C395,'TL16'!$J$10:$J$224),0),
IF('TL16'!$B$229=O$3,SUMIF('TL16'!$C$238:$C$451,$C395,'TL16'!$J$238:$J$451),0),
IF('TL17'!$B$3=O$3,SUMIF('TL17'!$C$10:$C$224,$C395,'TL17'!$J$10:$J$224),0),
IF('TL17'!$B$229=O$3,SUMIF('TL17'!$C$238:$C$451,$C395,'TL17'!$J$238:$J$451),0),
IF('TL18'!$B$3=O$3,SUMIF('TL18'!$C$10:$C$224,$C395,'TL18'!$J$10:$J$224),0),
IF('TL18'!$B$229=O$3,SUMIF('TL18'!$C$238:$C$451,$C395,'TL18'!$J$238:$J$451),0),
IF('TL19'!$B$3=O$3,SUMIF('TL19'!$C$10:$C$224,$C395,'TL19'!$J$10:$J$224),0),
IF('TL19'!$B$229=O$3,SUMIF('TL19'!$C$238:$C$451,$C395,'TL19'!$J$238:$J$451),0)
),0)</f>
        <v>0</v>
      </c>
      <c r="P395" s="9">
        <f>IFERROR(SUM(
IF('TL01'!$B$3=P$3,SUMIF('TL01'!$C$10:$C$224,$C395,'TL01'!$J$10:$J$224),0),
IF('TL01'!$B$229=P$3,SUMIF('TL01'!$C$238:$C$451,$C395,'TL01'!$J$238:$J$451),0),
IF('TL02'!$B$3=P$3,SUMIF('TL02'!$C$10:$C$224,$C395,'TL02'!$J$10:$J$224),0),
IF('TL02'!$B$229=P$3,SUMIF('TL02'!$C$238:$C$451,$C395,'TL02'!$J$238:$J$451),0),
IF('TL03'!$B$3=P$3,SUMIF('TL03'!$C$10:$C$224,$C395,'TL03'!$J$10:$J$224),0),
IF('TL03'!$B$229=P$3,SUMIF('TL03'!$C$238:$C$451,$C395,'TL03'!$J$238:$J$451),0),
IF('TL04'!$B$3=P$3,SUMIF('TL04'!$C$10:$C$224,$C395,'TL04'!$J$10:$J$224),0),
IF('TL04'!$B$229=P$3,SUMIF('TL04'!$C$238:$C$451,$C395,'TL04'!$J$238:$J$451),0),
IF('TL05'!$B$3=P$3,SUMIF('TL05'!$C$10:$C$224,$C395,'TL05'!$J$10:$J$224),0),
IF('TL05'!$B$229=P$3,SUMIF('TL05'!$C$238:$C$451,$C395,'TL05'!$J$238:$J$451),0),
IF('TL06'!$B$3=P$3,SUMIF('TL06'!$C$10:$C$224,$C395,'TL06'!$J$10:$J$224),0),
IF('TL06'!$B$229=P$3,SUMIF('TL06'!$C$238:$C$451,$C395,'TL06'!$J$238:$J$451),0),
IF('TL07'!$B$3=P$3,SUMIF('TL07'!$C$10:$C$224,$C395,'TL07'!$J$10:$J$224),0),
IF('TL07'!$B$229=P$3,SUMIF('TL07'!$C$238:$C$451,$C395,'TL07'!$J$238:$J$451),0),
IF('TL08'!$B$3=P$3,SUMIF('TL08'!$C$10:$C$224,$C395,'TL08'!$J$10:$J$224),0),
IF('TL08'!$B$229=P$3,SUMIF('TL08'!$C$238:$C$451,$C395,'TL08'!$J$238:$J$451),0),
IF('TL09'!$B$3=P$3,SUMIF('TL09'!$C$10:$C$224,$C395,'TL09'!$J$10:$J$224),0),
IF('TL09'!$B$229=P$3,SUMIF('TL09'!$C$238:$C$451,$C395,'TL09'!$J$238:$J$451),0),
IF('TL10'!$B$3=P$3,SUMIF('TL10'!$C$10:$C$224,$C395,'TL10'!$J$10:$J$224),0),
IF('TL10'!$B$229=P$3,SUMIF('TL10'!$C$238:$C$451,$C395,'TL10'!$J$238:$J$451),0),
IF('TL11'!$B$3=P$3,SUMIF('TL11'!$C$10:$C$224,$C395,'TL11'!$J$10:$J$224),0),
IF('TL11'!$B$229=P$3,SUMIF('TL11'!$C$238:$C$451,$C395,'TL11'!$J$238:$J$451),0),
IF('TL12'!$B$3=P$3,SUMIF('TL12'!$C$10:$C$224,$C395,'TL12'!$J$10:$J$224),0),
IF('TL12'!$B$229=P$3,SUMIF('TL12'!$C$238:$C$451,$C395,'TL12'!$J$238:$J$451),0),
IF('TL13'!$B$3=P$3,SUMIF('TL13'!$C$10:$C$224,$C395,'TL13'!$J$10:$J$224),0),
IF('TL13'!$B$229=P$3,SUMIF('TL13'!$C$238:$C$451,$C395,'TL13'!$J$238:$J$451),0),
IF('TL14'!$B$3=P$3,SUMIF('TL14'!$C$10:$C$224,$C395,'TL14'!$J$10:$J$224),0),
IF('TL14'!$B$229=P$3,SUMIF('TL14'!$C$238:$C$451,$C395,'TL14'!$J$238:$J$451),0),
IF('TL15'!$B$3=P$3,SUMIF('TL15'!$C$10:$C$224,$C395,'TL15'!$J$10:$J$224),0),
IF('TL15'!$B$229=P$3,SUMIF('TL15'!$C$238:$C$451,$C395,'TL15'!$J$238:$J$451),0),
IF('TL16'!$B$3=P$3,SUMIF('TL16'!$C$10:$C$224,$C395,'TL16'!$J$10:$J$224),0),
IF('TL16'!$B$229=P$3,SUMIF('TL16'!$C$238:$C$451,$C395,'TL16'!$J$238:$J$451),0),
IF('TL17'!$B$3=P$3,SUMIF('TL17'!$C$10:$C$224,$C395,'TL17'!$J$10:$J$224),0),
IF('TL17'!$B$229=P$3,SUMIF('TL17'!$C$238:$C$451,$C395,'TL17'!$J$238:$J$451),0),
IF('TL18'!$B$3=P$3,SUMIF('TL18'!$C$10:$C$224,$C395,'TL18'!$J$10:$J$224),0),
IF('TL18'!$B$229=P$3,SUMIF('TL18'!$C$238:$C$451,$C395,'TL18'!$J$238:$J$451),0),
IF('TL19'!$B$3=P$3,SUMIF('TL19'!$C$10:$C$224,$C395,'TL19'!$J$10:$J$224),0),
IF('TL19'!$B$229=P$3,SUMIF('TL19'!$C$238:$C$451,$C395,'TL19'!$J$238:$J$451),0)
),0)</f>
        <v>0</v>
      </c>
      <c r="Q395" s="9">
        <f>IFERROR(SUM(
IF('TL01'!$B$3=Q$3,SUMIF('TL01'!$C$10:$C$224,$C395,'TL01'!$J$10:$J$224),0),
IF('TL01'!$B$229=Q$3,SUMIF('TL01'!$C$238:$C$451,$C395,'TL01'!$J$238:$J$451),0),
IF('TL02'!$B$3=Q$3,SUMIF('TL02'!$C$10:$C$224,$C395,'TL02'!$J$10:$J$224),0),
IF('TL02'!$B$229=Q$3,SUMIF('TL02'!$C$238:$C$451,$C395,'TL02'!$J$238:$J$451),0),
IF('TL03'!$B$3=Q$3,SUMIF('TL03'!$C$10:$C$224,$C395,'TL03'!$J$10:$J$224),0),
IF('TL03'!$B$229=Q$3,SUMIF('TL03'!$C$238:$C$451,$C395,'TL03'!$J$238:$J$451),0),
IF('TL04'!$B$3=Q$3,SUMIF('TL04'!$C$10:$C$224,$C395,'TL04'!$J$10:$J$224),0),
IF('TL04'!$B$229=Q$3,SUMIF('TL04'!$C$238:$C$451,$C395,'TL04'!$J$238:$J$451),0),
IF('TL05'!$B$3=Q$3,SUMIF('TL05'!$C$10:$C$224,$C395,'TL05'!$J$10:$J$224),0),
IF('TL05'!$B$229=Q$3,SUMIF('TL05'!$C$238:$C$451,$C395,'TL05'!$J$238:$J$451),0),
IF('TL06'!$B$3=Q$3,SUMIF('TL06'!$C$10:$C$224,$C395,'TL06'!$J$10:$J$224),0),
IF('TL06'!$B$229=Q$3,SUMIF('TL06'!$C$238:$C$451,$C395,'TL06'!$J$238:$J$451),0),
IF('TL07'!$B$3=Q$3,SUMIF('TL07'!$C$10:$C$224,$C395,'TL07'!$J$10:$J$224),0),
IF('TL07'!$B$229=Q$3,SUMIF('TL07'!$C$238:$C$451,$C395,'TL07'!$J$238:$J$451),0),
IF('TL08'!$B$3=Q$3,SUMIF('TL08'!$C$10:$C$224,$C395,'TL08'!$J$10:$J$224),0),
IF('TL08'!$B$229=Q$3,SUMIF('TL08'!$C$238:$C$451,$C395,'TL08'!$J$238:$J$451),0),
IF('TL09'!$B$3=Q$3,SUMIF('TL09'!$C$10:$C$224,$C395,'TL09'!$J$10:$J$224),0),
IF('TL09'!$B$229=Q$3,SUMIF('TL09'!$C$238:$C$451,$C395,'TL09'!$J$238:$J$451),0),
IF('TL10'!$B$3=Q$3,SUMIF('TL10'!$C$10:$C$224,$C395,'TL10'!$J$10:$J$224),0),
IF('TL10'!$B$229=Q$3,SUMIF('TL10'!$C$238:$C$451,$C395,'TL10'!$J$238:$J$451),0),
IF('TL11'!$B$3=Q$3,SUMIF('TL11'!$C$10:$C$224,$C395,'TL11'!$J$10:$J$224),0),
IF('TL11'!$B$229=Q$3,SUMIF('TL11'!$C$238:$C$451,$C395,'TL11'!$J$238:$J$451),0),
IF('TL12'!$B$3=Q$3,SUMIF('TL12'!$C$10:$C$224,$C395,'TL12'!$J$10:$J$224),0),
IF('TL12'!$B$229=Q$3,SUMIF('TL12'!$C$238:$C$451,$C395,'TL12'!$J$238:$J$451),0),
IF('TL13'!$B$3=Q$3,SUMIF('TL13'!$C$10:$C$224,$C395,'TL13'!$J$10:$J$224),0),
IF('TL13'!$B$229=Q$3,SUMIF('TL13'!$C$238:$C$451,$C395,'TL13'!$J$238:$J$451),0),
IF('TL14'!$B$3=Q$3,SUMIF('TL14'!$C$10:$C$224,$C395,'TL14'!$J$10:$J$224),0),
IF('TL14'!$B$229=Q$3,SUMIF('TL14'!$C$238:$C$451,$C395,'TL14'!$J$238:$J$451),0),
IF('TL15'!$B$3=Q$3,SUMIF('TL15'!$C$10:$C$224,$C395,'TL15'!$J$10:$J$224),0),
IF('TL15'!$B$229=Q$3,SUMIF('TL15'!$C$238:$C$451,$C395,'TL15'!$J$238:$J$451),0),
IF('TL16'!$B$3=Q$3,SUMIF('TL16'!$C$10:$C$224,$C395,'TL16'!$J$10:$J$224),0),
IF('TL16'!$B$229=Q$3,SUMIF('TL16'!$C$238:$C$451,$C395,'TL16'!$J$238:$J$451),0),
IF('TL17'!$B$3=Q$3,SUMIF('TL17'!$C$10:$C$224,$C395,'TL17'!$J$10:$J$224),0),
IF('TL17'!$B$229=Q$3,SUMIF('TL17'!$C$238:$C$451,$C395,'TL17'!$J$238:$J$451),0),
IF('TL18'!$B$3=Q$3,SUMIF('TL18'!$C$10:$C$224,$C395,'TL18'!$J$10:$J$224),0),
IF('TL18'!$B$229=Q$3,SUMIF('TL18'!$C$238:$C$451,$C395,'TL18'!$J$238:$J$451),0),
IF('TL19'!$B$3=Q$3,SUMIF('TL19'!$C$10:$C$224,$C395,'TL19'!$J$10:$J$224),0),
IF('TL19'!$B$229=Q$3,SUMIF('TL19'!$C$238:$C$451,$C395,'TL19'!$J$238:$J$451),0)
),0)</f>
        <v>0</v>
      </c>
      <c r="R395" s="9">
        <f>IFERROR(
SUM(
SUMIF('TL01'!C:C,C395,'TL01'!J:J),
SUMIF('TL02'!C:C,C395,'TL02'!J:J),
SUMIF('TL03'!C:C,C395,'TL03'!J:J),
SUMIF('TL04'!C:C,C395,'TL04'!J:J),
SUMIF('TL05'!C:C,C395,'TL05'!J:J),
SUMIF('TL06'!C:C,C395,'TL06'!J:J),
SUMIF('TL07'!C:C,C395,'TL07'!J:J),
SUMIF('TL08'!C:C,C395,'TL08'!J:J),
SUMIF('TL09'!C:C,C395,'TL09'!J:J),
SUMIF('TL10'!C:C,C395,'TL10'!J:J),
SUMIF('TL11'!C:C,C395,'TL11'!J:J),
SUMIF('TL12'!C:C,C395,'TL12'!J:J),
SUMIF('TL13'!C:C,C395,'TL13'!J:J),
SUMIF('TL14'!C:C,C395,'TL14'!J:J),
SUMIF('TL15'!C:C,C395,'TL15'!J:J),
SUMIF('TL16'!C:C,C395,'TL16'!J:J),
SUMIF('TL17'!C:C,C395,'TL17'!J:J),
SUMIF('TL18'!C:C,C395,'TL18'!J:J),SUMIF('TL19'!C:C,C395,'TL19'!J:J))
,0)</f>
        <v>0</v>
      </c>
      <c r="S395" s="17" t="str">
        <f>IFERROR(__xludf.DUMMYFUNCTION("IFERROR(VLOOKUP(C395,
IMPORTRANGE(""1wULbzX32WdYsx-lj2U3uUNBBe2INVIRDtcK0d-Dvl90"",
""26-27!C:G""),
5,
FALSE),
"""")"),"")</f>
        <v/>
      </c>
      <c r="T395" s="9"/>
      <c r="U395" s="92">
        <f t="shared" si="2"/>
        <v>0</v>
      </c>
      <c r="V395" s="93">
        <f t="shared" si="3"/>
        <v>0</v>
      </c>
    </row>
    <row r="396" ht="15.75" hidden="1" customHeight="1">
      <c r="A396" s="4"/>
      <c r="B396" s="125"/>
      <c r="C396" s="6"/>
      <c r="D396" s="6"/>
      <c r="E396" s="9"/>
      <c r="F396" s="4"/>
      <c r="G396" s="90" t="str">
        <f t="shared" si="5"/>
        <v>📄 Ver bula</v>
      </c>
      <c r="H396" s="9"/>
      <c r="I396" s="1"/>
      <c r="J396" s="9">
        <f>IFERROR(SUM(
IF('TL01'!$B$3=J$3,SUMIF('TL01'!$C$10:$C$224,$C396,'TL01'!$J$10:$J$224),0),
IF('TL01'!$B$229=J$3,SUMIF('TL01'!$C$238:$C$451,$C396,'TL01'!$J$238:$J$451),0),
IF('TL02'!$B$3=J$3,SUMIF('TL02'!$C$10:$C$224,$C396,'TL02'!$J$10:$J$224),0),
IF('TL02'!$B$229=J$3,SUMIF('TL02'!$C$238:$C$451,$C396,'TL02'!$J$238:$J$451),0),
IF('TL03'!$B$3=J$3,SUMIF('TL03'!$C$10:$C$224,$C396,'TL03'!$J$10:$J$224),0),
IF('TL03'!$B$229=J$3,SUMIF('TL03'!$C$238:$C$451,$C396,'TL03'!$J$238:$J$451),0),
IF('TL04'!$B$3=J$3,SUMIF('TL04'!$C$10:$C$224,$C396,'TL04'!$J$10:$J$224),0),
IF('TL04'!$B$229=J$3,SUMIF('TL04'!$C$238:$C$451,$C396,'TL04'!$J$238:$J$451),0),
IF('TL05'!$B$3=J$3,SUMIF('TL05'!$C$10:$C$224,$C396,'TL05'!$J$10:$J$224),0),
IF('TL05'!$B$229=J$3,SUMIF('TL05'!$C$238:$C$451,$C396,'TL05'!$J$238:$J$451),0),
IF('TL06'!$B$3=J$3,SUMIF('TL06'!$C$10:$C$224,$C396,'TL06'!$J$10:$J$224),0),
IF('TL06'!$B$229=J$3,SUMIF('TL06'!$C$238:$C$451,$C396,'TL06'!$J$238:$J$451),0),
IF('TL07'!$B$3=J$3,SUMIF('TL07'!$C$10:$C$224,$C396,'TL07'!$J$10:$J$224),0),
IF('TL07'!$B$229=J$3,SUMIF('TL07'!$C$238:$C$451,$C396,'TL07'!$J$238:$J$451),0),
IF('TL08'!$B$3=J$3,SUMIF('TL08'!$C$10:$C$224,$C396,'TL08'!$J$10:$J$224),0),
IF('TL08'!$B$229=J$3,SUMIF('TL08'!$C$238:$C$451,$C396,'TL08'!$J$238:$J$451),0),
IF('TL09'!$B$3=J$3,SUMIF('TL09'!$C$10:$C$224,$C396,'TL09'!$J$10:$J$224),0),
IF('TL09'!$B$229=J$3,SUMIF('TL09'!$C$238:$C$451,$C396,'TL09'!$J$238:$J$451),0),
IF('TL10'!$B$3=J$3,SUMIF('TL10'!$C$10:$C$224,$C396,'TL10'!$J$10:$J$224),0),
IF('TL10'!$B$229=J$3,SUMIF('TL10'!$C$238:$C$451,$C396,'TL10'!$J$238:$J$451),0),
IF('TL11'!$B$3=J$3,SUMIF('TL11'!$C$10:$C$224,$C396,'TL11'!$J$10:$J$224),0),
IF('TL11'!$B$229=J$3,SUMIF('TL11'!$C$238:$C$451,$C396,'TL11'!$J$238:$J$451),0),
IF('TL12'!$B$3=J$3,SUMIF('TL12'!$C$10:$C$224,$C396,'TL12'!$J$10:$J$224),0),
IF('TL12'!$B$229=J$3,SUMIF('TL12'!$C$238:$C$451,$C396,'TL12'!$J$238:$J$451),0),
IF('TL13'!$B$3=J$3,SUMIF('TL13'!$C$10:$C$224,$C396,'TL13'!$J$10:$J$224),0),
IF('TL13'!$B$229=J$3,SUMIF('TL13'!$C$238:$C$451,$C396,'TL13'!$J$238:$J$451),0),
IF('TL14'!$B$3=J$3,SUMIF('TL14'!$C$10:$C$224,$C396,'TL14'!$J$10:$J$224),0),
IF('TL14'!$B$229=J$3,SUMIF('TL14'!$C$238:$C$451,$C396,'TL14'!$J$238:$J$451),0),
IF('TL15'!$B$3=J$3,SUMIF('TL15'!$C$10:$C$224,$C396,'TL15'!$J$10:$J$224),0),
IF('TL15'!$B$229=J$3,SUMIF('TL15'!$C$238:$C$451,$C396,'TL15'!$J$238:$J$451),0),
IF('TL16'!$B$3=J$3,SUMIF('TL16'!$C$10:$C$224,$C396,'TL16'!$J$10:$J$224),0),
IF('TL16'!$B$229=J$3,SUMIF('TL16'!$C$238:$C$451,$C396,'TL16'!$J$238:$J$451),0),
IF('TL17'!$B$3=J$3,SUMIF('TL17'!$C$10:$C$224,$C396,'TL17'!$J$10:$J$224),0),
IF('TL17'!$B$229=J$3,SUMIF('TL17'!$C$238:$C$451,$C396,'TL17'!$J$238:$J$451),0),
IF('TL18'!$B$3=J$3,SUMIF('TL18'!$C$10:$C$224,$C396,'TL18'!$J$10:$J$224),0),
IF('TL18'!$B$229=J$3,SUMIF('TL18'!$C$238:$C$451,$C396,'TL18'!$J$238:$J$451),0),
IF('TL19'!$B$3=J$3,SUMIF('TL19'!$C$10:$C$224,$C396,'TL19'!$J$10:$J$224),0),
IF('TL19'!$B$229=J$3,SUMIF('TL19'!$C$238:$C$451,$C396,'TL19'!$J$238:$J$451),0)
),0)</f>
        <v>0</v>
      </c>
      <c r="K396" s="9">
        <f>IFERROR(SUM(
IF('TL01'!$B$3=K$3,SUMIF('TL01'!$C$10:$C$224,$C396,'TL01'!$J$10:$J$224),0),
IF('TL01'!$B$229=K$3,SUMIF('TL01'!$C$238:$C$451,$C396,'TL01'!$J$238:$J$451),0),
IF('TL02'!$B$3=K$3,SUMIF('TL02'!$C$10:$C$224,$C396,'TL02'!$J$10:$J$224),0),
IF('TL02'!$B$229=K$3,SUMIF('TL02'!$C$238:$C$451,$C396,'TL02'!$J$238:$J$451),0),
IF('TL03'!$B$3=K$3,SUMIF('TL03'!$C$10:$C$224,$C396,'TL03'!$J$10:$J$224),0),
IF('TL03'!$B$229=K$3,SUMIF('TL03'!$C$238:$C$451,$C396,'TL03'!$J$238:$J$451),0),
IF('TL04'!$B$3=K$3,SUMIF('TL04'!$C$10:$C$224,$C396,'TL04'!$J$10:$J$224),0),
IF('TL04'!$B$229=K$3,SUMIF('TL04'!$C$238:$C$451,$C396,'TL04'!$J$238:$J$451),0),
IF('TL05'!$B$3=K$3,SUMIF('TL05'!$C$10:$C$224,$C396,'TL05'!$J$10:$J$224),0),
IF('TL05'!$B$229=K$3,SUMIF('TL05'!$C$238:$C$451,$C396,'TL05'!$J$238:$J$451),0),
IF('TL06'!$B$3=K$3,SUMIF('TL06'!$C$10:$C$224,$C396,'TL06'!$J$10:$J$224),0),
IF('TL06'!$B$229=K$3,SUMIF('TL06'!$C$238:$C$451,$C396,'TL06'!$J$238:$J$451),0),
IF('TL07'!$B$3=K$3,SUMIF('TL07'!$C$10:$C$224,$C396,'TL07'!$J$10:$J$224),0),
IF('TL07'!$B$229=K$3,SUMIF('TL07'!$C$238:$C$451,$C396,'TL07'!$J$238:$J$451),0),
IF('TL08'!$B$3=K$3,SUMIF('TL08'!$C$10:$C$224,$C396,'TL08'!$J$10:$J$224),0),
IF('TL08'!$B$229=K$3,SUMIF('TL08'!$C$238:$C$451,$C396,'TL08'!$J$238:$J$451),0),
IF('TL09'!$B$3=K$3,SUMIF('TL09'!$C$10:$C$224,$C396,'TL09'!$J$10:$J$224),0),
IF('TL09'!$B$229=K$3,SUMIF('TL09'!$C$238:$C$451,$C396,'TL09'!$J$238:$J$451),0),
IF('TL10'!$B$3=K$3,SUMIF('TL10'!$C$10:$C$224,$C396,'TL10'!$J$10:$J$224),0),
IF('TL10'!$B$229=K$3,SUMIF('TL10'!$C$238:$C$451,$C396,'TL10'!$J$238:$J$451),0),
IF('TL11'!$B$3=K$3,SUMIF('TL11'!$C$10:$C$224,$C396,'TL11'!$J$10:$J$224),0),
IF('TL11'!$B$229=K$3,SUMIF('TL11'!$C$238:$C$451,$C396,'TL11'!$J$238:$J$451),0),
IF('TL12'!$B$3=K$3,SUMIF('TL12'!$C$10:$C$224,$C396,'TL12'!$J$10:$J$224),0),
IF('TL12'!$B$229=K$3,SUMIF('TL12'!$C$238:$C$451,$C396,'TL12'!$J$238:$J$451),0),
IF('TL13'!$B$3=K$3,SUMIF('TL13'!$C$10:$C$224,$C396,'TL13'!$J$10:$J$224),0),
IF('TL13'!$B$229=K$3,SUMIF('TL13'!$C$238:$C$451,$C396,'TL13'!$J$238:$J$451),0),
IF('TL14'!$B$3=K$3,SUMIF('TL14'!$C$10:$C$224,$C396,'TL14'!$J$10:$J$224),0),
IF('TL14'!$B$229=K$3,SUMIF('TL14'!$C$238:$C$451,$C396,'TL14'!$J$238:$J$451),0),
IF('TL15'!$B$3=K$3,SUMIF('TL15'!$C$10:$C$224,$C396,'TL15'!$J$10:$J$224),0),
IF('TL15'!$B$229=K$3,SUMIF('TL15'!$C$238:$C$451,$C396,'TL15'!$J$238:$J$451),0),
IF('TL16'!$B$3=K$3,SUMIF('TL16'!$C$10:$C$224,$C396,'TL16'!$J$10:$J$224),0),
IF('TL16'!$B$229=K$3,SUMIF('TL16'!$C$238:$C$451,$C396,'TL16'!$J$238:$J$451),0),
IF('TL17'!$B$3=K$3,SUMIF('TL17'!$C$10:$C$224,$C396,'TL17'!$J$10:$J$224),0),
IF('TL17'!$B$229=K$3,SUMIF('TL17'!$C$238:$C$451,$C396,'TL17'!$J$238:$J$451),0),
IF('TL18'!$B$3=K$3,SUMIF('TL18'!$C$10:$C$224,$C396,'TL18'!$J$10:$J$224),0),
IF('TL18'!$B$229=K$3,SUMIF('TL18'!$C$238:$C$451,$C396,'TL18'!$J$238:$J$451),0),
IF('TL19'!$B$3=K$3,SUMIF('TL19'!$C$10:$C$224,$C396,'TL19'!$J$10:$J$224),0),
IF('TL19'!$B$229=K$3,SUMIF('TL19'!$C$238:$C$451,$C396,'TL19'!$J$238:$J$451),0)
),0)</f>
        <v>0</v>
      </c>
      <c r="L396" s="9">
        <f>IFERROR(SUM(
IF('TL01'!$B$3=L$3,SUMIF('TL01'!$C$10:$C$224,$C396,'TL01'!$J$10:$J$224),0),
IF('TL01'!$B$229=L$3,SUMIF('TL01'!$C$238:$C$451,$C396,'TL01'!$J$238:$J$451),0),
IF('TL02'!$B$3=L$3,SUMIF('TL02'!$C$10:$C$224,$C396,'TL02'!$J$10:$J$224),0),
IF('TL02'!$B$229=L$3,SUMIF('TL02'!$C$238:$C$451,$C396,'TL02'!$J$238:$J$451),0),
IF('TL03'!$B$3=L$3,SUMIF('TL03'!$C$10:$C$224,$C396,'TL03'!$J$10:$J$224),0),
IF('TL03'!$B$229=L$3,SUMIF('TL03'!$C$238:$C$451,$C396,'TL03'!$J$238:$J$451),0),
IF('TL04'!$B$3=L$3,SUMIF('TL04'!$C$10:$C$224,$C396,'TL04'!$J$10:$J$224),0),
IF('TL04'!$B$229=L$3,SUMIF('TL04'!$C$238:$C$451,$C396,'TL04'!$J$238:$J$451),0),
IF('TL05'!$B$3=L$3,SUMIF('TL05'!$C$10:$C$224,$C396,'TL05'!$J$10:$J$224),0),
IF('TL05'!$B$229=L$3,SUMIF('TL05'!$C$238:$C$451,$C396,'TL05'!$J$238:$J$451),0),
IF('TL06'!$B$3=L$3,SUMIF('TL06'!$C$10:$C$224,$C396,'TL06'!$J$10:$J$224),0),
IF('TL06'!$B$229=L$3,SUMIF('TL06'!$C$238:$C$451,$C396,'TL06'!$J$238:$J$451),0),
IF('TL07'!$B$3=L$3,SUMIF('TL07'!$C$10:$C$224,$C396,'TL07'!$J$10:$J$224),0),
IF('TL07'!$B$229=L$3,SUMIF('TL07'!$C$238:$C$451,$C396,'TL07'!$J$238:$J$451),0),
IF('TL08'!$B$3=L$3,SUMIF('TL08'!$C$10:$C$224,$C396,'TL08'!$J$10:$J$224),0),
IF('TL08'!$B$229=L$3,SUMIF('TL08'!$C$238:$C$451,$C396,'TL08'!$J$238:$J$451),0),
IF('TL09'!$B$3=L$3,SUMIF('TL09'!$C$10:$C$224,$C396,'TL09'!$J$10:$J$224),0),
IF('TL09'!$B$229=L$3,SUMIF('TL09'!$C$238:$C$451,$C396,'TL09'!$J$238:$J$451),0),
IF('TL10'!$B$3=L$3,SUMIF('TL10'!$C$10:$C$224,$C396,'TL10'!$J$10:$J$224),0),
IF('TL10'!$B$229=L$3,SUMIF('TL10'!$C$238:$C$451,$C396,'TL10'!$J$238:$J$451),0),
IF('TL11'!$B$3=L$3,SUMIF('TL11'!$C$10:$C$224,$C396,'TL11'!$J$10:$J$224),0),
IF('TL11'!$B$229=L$3,SUMIF('TL11'!$C$238:$C$451,$C396,'TL11'!$J$238:$J$451),0),
IF('TL12'!$B$3=L$3,SUMIF('TL12'!$C$10:$C$224,$C396,'TL12'!$J$10:$J$224),0),
IF('TL12'!$B$229=L$3,SUMIF('TL12'!$C$238:$C$451,$C396,'TL12'!$J$238:$J$451),0),
IF('TL13'!$B$3=L$3,SUMIF('TL13'!$C$10:$C$224,$C396,'TL13'!$J$10:$J$224),0),
IF('TL13'!$B$229=L$3,SUMIF('TL13'!$C$238:$C$451,$C396,'TL13'!$J$238:$J$451),0),
IF('TL14'!$B$3=L$3,SUMIF('TL14'!$C$10:$C$224,$C396,'TL14'!$J$10:$J$224),0),
IF('TL14'!$B$229=L$3,SUMIF('TL14'!$C$238:$C$451,$C396,'TL14'!$J$238:$J$451),0),
IF('TL15'!$B$3=L$3,SUMIF('TL15'!$C$10:$C$224,$C396,'TL15'!$J$10:$J$224),0),
IF('TL15'!$B$229=L$3,SUMIF('TL15'!$C$238:$C$451,$C396,'TL15'!$J$238:$J$451),0),
IF('TL16'!$B$3=L$3,SUMIF('TL16'!$C$10:$C$224,$C396,'TL16'!$J$10:$J$224),0),
IF('TL16'!$B$229=L$3,SUMIF('TL16'!$C$238:$C$451,$C396,'TL16'!$J$238:$J$451),0),
IF('TL17'!$B$3=L$3,SUMIF('TL17'!$C$10:$C$224,$C396,'TL17'!$J$10:$J$224),0),
IF('TL17'!$B$229=L$3,SUMIF('TL17'!$C$238:$C$451,$C396,'TL17'!$J$238:$J$451),0),
IF('TL18'!$B$3=L$3,SUMIF('TL18'!$C$10:$C$224,$C396,'TL18'!$J$10:$J$224),0),
IF('TL18'!$B$229=L$3,SUMIF('TL18'!$C$238:$C$451,$C396,'TL18'!$J$238:$J$451),0),
IF('TL19'!$B$3=L$3,SUMIF('TL19'!$C$10:$C$224,$C396,'TL19'!$J$10:$J$224),0),
IF('TL19'!$B$229=L$3,SUMIF('TL19'!$C$238:$C$451,$C396,'TL19'!$J$238:$J$451),0)
),0)</f>
        <v>0</v>
      </c>
      <c r="M396" s="9">
        <f>IFERROR(SUM(
IF('TL01'!$B$3=M$3,SUMIF('TL01'!$C$10:$C$224,$C396,'TL01'!$J$10:$J$224),0),
IF('TL01'!$B$229=M$3,SUMIF('TL01'!$C$238:$C$451,$C396,'TL01'!$J$238:$J$451),0),
IF('TL02'!$B$3=M$3,SUMIF('TL02'!$C$10:$C$224,$C396,'TL02'!$J$10:$J$224),0),
IF('TL02'!$B$229=M$3,SUMIF('TL02'!$C$238:$C$451,$C396,'TL02'!$J$238:$J$451),0),
IF('TL03'!$B$3=M$3,SUMIF('TL03'!$C$10:$C$224,$C396,'TL03'!$J$10:$J$224),0),
IF('TL03'!$B$229=M$3,SUMIF('TL03'!$C$238:$C$451,$C396,'TL03'!$J$238:$J$451),0),
IF('TL04'!$B$3=M$3,SUMIF('TL04'!$C$10:$C$224,$C396,'TL04'!$J$10:$J$224),0),
IF('TL04'!$B$229=M$3,SUMIF('TL04'!$C$238:$C$451,$C396,'TL04'!$J$238:$J$451),0),
IF('TL05'!$B$3=M$3,SUMIF('TL05'!$C$10:$C$224,$C396,'TL05'!$J$10:$J$224),0),
IF('TL05'!$B$229=M$3,SUMIF('TL05'!$C$238:$C$451,$C396,'TL05'!$J$238:$J$451),0),
IF('TL06'!$B$3=M$3,SUMIF('TL06'!$C$10:$C$224,$C396,'TL06'!$J$10:$J$224),0),
IF('TL06'!$B$229=M$3,SUMIF('TL06'!$C$238:$C$451,$C396,'TL06'!$J$238:$J$451),0),
IF('TL07'!$B$3=M$3,SUMIF('TL07'!$C$10:$C$224,$C396,'TL07'!$J$10:$J$224),0),
IF('TL07'!$B$229=M$3,SUMIF('TL07'!$C$238:$C$451,$C396,'TL07'!$J$238:$J$451),0),
IF('TL08'!$B$3=M$3,SUMIF('TL08'!$C$10:$C$224,$C396,'TL08'!$J$10:$J$224),0),
IF('TL08'!$B$229=M$3,SUMIF('TL08'!$C$238:$C$451,$C396,'TL08'!$J$238:$J$451),0),
IF('TL09'!$B$3=M$3,SUMIF('TL09'!$C$10:$C$224,$C396,'TL09'!$J$10:$J$224),0),
IF('TL09'!$B$229=M$3,SUMIF('TL09'!$C$238:$C$451,$C396,'TL09'!$J$238:$J$451),0),
IF('TL10'!$B$3=M$3,SUMIF('TL10'!$C$10:$C$224,$C396,'TL10'!$J$10:$J$224),0),
IF('TL10'!$B$229=M$3,SUMIF('TL10'!$C$238:$C$451,$C396,'TL10'!$J$238:$J$451),0),
IF('TL11'!$B$3=M$3,SUMIF('TL11'!$C$10:$C$224,$C396,'TL11'!$J$10:$J$224),0),
IF('TL11'!$B$229=M$3,SUMIF('TL11'!$C$238:$C$451,$C396,'TL11'!$J$238:$J$451),0),
IF('TL12'!$B$3=M$3,SUMIF('TL12'!$C$10:$C$224,$C396,'TL12'!$J$10:$J$224),0),
IF('TL12'!$B$229=M$3,SUMIF('TL12'!$C$238:$C$451,$C396,'TL12'!$J$238:$J$451),0),
IF('TL13'!$B$3=M$3,SUMIF('TL13'!$C$10:$C$224,$C396,'TL13'!$J$10:$J$224),0),
IF('TL13'!$B$229=M$3,SUMIF('TL13'!$C$238:$C$451,$C396,'TL13'!$J$238:$J$451),0),
IF('TL14'!$B$3=M$3,SUMIF('TL14'!$C$10:$C$224,$C396,'TL14'!$J$10:$J$224),0),
IF('TL14'!$B$229=M$3,SUMIF('TL14'!$C$238:$C$451,$C396,'TL14'!$J$238:$J$451),0),
IF('TL15'!$B$3=M$3,SUMIF('TL15'!$C$10:$C$224,$C396,'TL15'!$J$10:$J$224),0),
IF('TL15'!$B$229=M$3,SUMIF('TL15'!$C$238:$C$451,$C396,'TL15'!$J$238:$J$451),0),
IF('TL16'!$B$3=M$3,SUMIF('TL16'!$C$10:$C$224,$C396,'TL16'!$J$10:$J$224),0),
IF('TL16'!$B$229=M$3,SUMIF('TL16'!$C$238:$C$451,$C396,'TL16'!$J$238:$J$451),0),
IF('TL17'!$B$3=M$3,SUMIF('TL17'!$C$10:$C$224,$C396,'TL17'!$J$10:$J$224),0),
IF('TL17'!$B$229=M$3,SUMIF('TL17'!$C$238:$C$451,$C396,'TL17'!$J$238:$J$451),0),
IF('TL18'!$B$3=M$3,SUMIF('TL18'!$C$10:$C$224,$C396,'TL18'!$J$10:$J$224),0),
IF('TL18'!$B$229=M$3,SUMIF('TL18'!$C$238:$C$451,$C396,'TL18'!$J$238:$J$451),0),
IF('TL19'!$B$3=M$3,SUMIF('TL19'!$C$10:$C$224,$C396,'TL19'!$J$10:$J$224),0),
IF('TL19'!$B$229=M$3,SUMIF('TL19'!$C$238:$C$451,$C396,'TL19'!$J$238:$J$451),0)
),0)</f>
        <v>0</v>
      </c>
      <c r="N396" s="9">
        <f>IFERROR(SUM(
IF('TL01'!$B$3=N$3,SUMIF('TL01'!$C$10:$C$224,$C396,'TL01'!$J$10:$J$224),0),
IF('TL01'!$B$229=N$3,SUMIF('TL01'!$C$238:$C$451,$C396,'TL01'!$J$238:$J$451),0),
IF('TL02'!$B$3=N$3,SUMIF('TL02'!$C$10:$C$224,$C396,'TL02'!$J$10:$J$224),0),
IF('TL02'!$B$229=N$3,SUMIF('TL02'!$C$238:$C$451,$C396,'TL02'!$J$238:$J$451),0),
IF('TL03'!$B$3=N$3,SUMIF('TL03'!$C$10:$C$224,$C396,'TL03'!$J$10:$J$224),0),
IF('TL03'!$B$229=N$3,SUMIF('TL03'!$C$238:$C$451,$C396,'TL03'!$J$238:$J$451),0),
IF('TL04'!$B$3=N$3,SUMIF('TL04'!$C$10:$C$224,$C396,'TL04'!$J$10:$J$224),0),
IF('TL04'!$B$229=N$3,SUMIF('TL04'!$C$238:$C$451,$C396,'TL04'!$J$238:$J$451),0),
IF('TL05'!$B$3=N$3,SUMIF('TL05'!$C$10:$C$224,$C396,'TL05'!$J$10:$J$224),0),
IF('TL05'!$B$229=N$3,SUMIF('TL05'!$C$238:$C$451,$C396,'TL05'!$J$238:$J$451),0),
IF('TL06'!$B$3=N$3,SUMIF('TL06'!$C$10:$C$224,$C396,'TL06'!$J$10:$J$224),0),
IF('TL06'!$B$229=N$3,SUMIF('TL06'!$C$238:$C$451,$C396,'TL06'!$J$238:$J$451),0),
IF('TL07'!$B$3=N$3,SUMIF('TL07'!$C$10:$C$224,$C396,'TL07'!$J$10:$J$224),0),
IF('TL07'!$B$229=N$3,SUMIF('TL07'!$C$238:$C$451,$C396,'TL07'!$J$238:$J$451),0),
IF('TL08'!$B$3=N$3,SUMIF('TL08'!$C$10:$C$224,$C396,'TL08'!$J$10:$J$224),0),
IF('TL08'!$B$229=N$3,SUMIF('TL08'!$C$238:$C$451,$C396,'TL08'!$J$238:$J$451),0),
IF('TL09'!$B$3=N$3,SUMIF('TL09'!$C$10:$C$224,$C396,'TL09'!$J$10:$J$224),0),
IF('TL09'!$B$229=N$3,SUMIF('TL09'!$C$238:$C$451,$C396,'TL09'!$J$238:$J$451),0),
IF('TL10'!$B$3=N$3,SUMIF('TL10'!$C$10:$C$224,$C396,'TL10'!$J$10:$J$224),0),
IF('TL10'!$B$229=N$3,SUMIF('TL10'!$C$238:$C$451,$C396,'TL10'!$J$238:$J$451),0),
IF('TL11'!$B$3=N$3,SUMIF('TL11'!$C$10:$C$224,$C396,'TL11'!$J$10:$J$224),0),
IF('TL11'!$B$229=N$3,SUMIF('TL11'!$C$238:$C$451,$C396,'TL11'!$J$238:$J$451),0),
IF('TL12'!$B$3=N$3,SUMIF('TL12'!$C$10:$C$224,$C396,'TL12'!$J$10:$J$224),0),
IF('TL12'!$B$229=N$3,SUMIF('TL12'!$C$238:$C$451,$C396,'TL12'!$J$238:$J$451),0),
IF('TL13'!$B$3=N$3,SUMIF('TL13'!$C$10:$C$224,$C396,'TL13'!$J$10:$J$224),0),
IF('TL13'!$B$229=N$3,SUMIF('TL13'!$C$238:$C$451,$C396,'TL13'!$J$238:$J$451),0),
IF('TL14'!$B$3=N$3,SUMIF('TL14'!$C$10:$C$224,$C396,'TL14'!$J$10:$J$224),0),
IF('TL14'!$B$229=N$3,SUMIF('TL14'!$C$238:$C$451,$C396,'TL14'!$J$238:$J$451),0),
IF('TL15'!$B$3=N$3,SUMIF('TL15'!$C$10:$C$224,$C396,'TL15'!$J$10:$J$224),0),
IF('TL15'!$B$229=N$3,SUMIF('TL15'!$C$238:$C$451,$C396,'TL15'!$J$238:$J$451),0),
IF('TL16'!$B$3=N$3,SUMIF('TL16'!$C$10:$C$224,$C396,'TL16'!$J$10:$J$224),0),
IF('TL16'!$B$229=N$3,SUMIF('TL16'!$C$238:$C$451,$C396,'TL16'!$J$238:$J$451),0),
IF('TL17'!$B$3=N$3,SUMIF('TL17'!$C$10:$C$224,$C396,'TL17'!$J$10:$J$224),0),
IF('TL17'!$B$229=N$3,SUMIF('TL17'!$C$238:$C$451,$C396,'TL17'!$J$238:$J$451),0),
IF('TL18'!$B$3=N$3,SUMIF('TL18'!$C$10:$C$224,$C396,'TL18'!$J$10:$J$224),0),
IF('TL18'!$B$229=N$3,SUMIF('TL18'!$C$238:$C$451,$C396,'TL18'!$J$238:$J$451),0),
IF('TL19'!$B$3=N$3,SUMIF('TL19'!$C$10:$C$224,$C396,'TL19'!$J$10:$J$224),0),
IF('TL19'!$B$229=N$3,SUMIF('TL19'!$C$238:$C$451,$C396,'TL19'!$J$238:$J$451),0)
),0)</f>
        <v>0</v>
      </c>
      <c r="O396" s="9">
        <f>IFERROR(SUM(
IF('TL01'!$B$3=O$3,SUMIF('TL01'!$C$10:$C$224,$C396,'TL01'!$J$10:$J$224),0),
IF('TL01'!$B$229=O$3,SUMIF('TL01'!$C$238:$C$451,$C396,'TL01'!$J$238:$J$451),0),
IF('TL02'!$B$3=O$3,SUMIF('TL02'!$C$10:$C$224,$C396,'TL02'!$J$10:$J$224),0),
IF('TL02'!$B$229=O$3,SUMIF('TL02'!$C$238:$C$451,$C396,'TL02'!$J$238:$J$451),0),
IF('TL03'!$B$3=O$3,SUMIF('TL03'!$C$10:$C$224,$C396,'TL03'!$J$10:$J$224),0),
IF('TL03'!$B$229=O$3,SUMIF('TL03'!$C$238:$C$451,$C396,'TL03'!$J$238:$J$451),0),
IF('TL04'!$B$3=O$3,SUMIF('TL04'!$C$10:$C$224,$C396,'TL04'!$J$10:$J$224),0),
IF('TL04'!$B$229=O$3,SUMIF('TL04'!$C$238:$C$451,$C396,'TL04'!$J$238:$J$451),0),
IF('TL05'!$B$3=O$3,SUMIF('TL05'!$C$10:$C$224,$C396,'TL05'!$J$10:$J$224),0),
IF('TL05'!$B$229=O$3,SUMIF('TL05'!$C$238:$C$451,$C396,'TL05'!$J$238:$J$451),0),
IF('TL06'!$B$3=O$3,SUMIF('TL06'!$C$10:$C$224,$C396,'TL06'!$J$10:$J$224),0),
IF('TL06'!$B$229=O$3,SUMIF('TL06'!$C$238:$C$451,$C396,'TL06'!$J$238:$J$451),0),
IF('TL07'!$B$3=O$3,SUMIF('TL07'!$C$10:$C$224,$C396,'TL07'!$J$10:$J$224),0),
IF('TL07'!$B$229=O$3,SUMIF('TL07'!$C$238:$C$451,$C396,'TL07'!$J$238:$J$451),0),
IF('TL08'!$B$3=O$3,SUMIF('TL08'!$C$10:$C$224,$C396,'TL08'!$J$10:$J$224),0),
IF('TL08'!$B$229=O$3,SUMIF('TL08'!$C$238:$C$451,$C396,'TL08'!$J$238:$J$451),0),
IF('TL09'!$B$3=O$3,SUMIF('TL09'!$C$10:$C$224,$C396,'TL09'!$J$10:$J$224),0),
IF('TL09'!$B$229=O$3,SUMIF('TL09'!$C$238:$C$451,$C396,'TL09'!$J$238:$J$451),0),
IF('TL10'!$B$3=O$3,SUMIF('TL10'!$C$10:$C$224,$C396,'TL10'!$J$10:$J$224),0),
IF('TL10'!$B$229=O$3,SUMIF('TL10'!$C$238:$C$451,$C396,'TL10'!$J$238:$J$451),0),
IF('TL11'!$B$3=O$3,SUMIF('TL11'!$C$10:$C$224,$C396,'TL11'!$J$10:$J$224),0),
IF('TL11'!$B$229=O$3,SUMIF('TL11'!$C$238:$C$451,$C396,'TL11'!$J$238:$J$451),0),
IF('TL12'!$B$3=O$3,SUMIF('TL12'!$C$10:$C$224,$C396,'TL12'!$J$10:$J$224),0),
IF('TL12'!$B$229=O$3,SUMIF('TL12'!$C$238:$C$451,$C396,'TL12'!$J$238:$J$451),0),
IF('TL13'!$B$3=O$3,SUMIF('TL13'!$C$10:$C$224,$C396,'TL13'!$J$10:$J$224),0),
IF('TL13'!$B$229=O$3,SUMIF('TL13'!$C$238:$C$451,$C396,'TL13'!$J$238:$J$451),0),
IF('TL14'!$B$3=O$3,SUMIF('TL14'!$C$10:$C$224,$C396,'TL14'!$J$10:$J$224),0),
IF('TL14'!$B$229=O$3,SUMIF('TL14'!$C$238:$C$451,$C396,'TL14'!$J$238:$J$451),0),
IF('TL15'!$B$3=O$3,SUMIF('TL15'!$C$10:$C$224,$C396,'TL15'!$J$10:$J$224),0),
IF('TL15'!$B$229=O$3,SUMIF('TL15'!$C$238:$C$451,$C396,'TL15'!$J$238:$J$451),0),
IF('TL16'!$B$3=O$3,SUMIF('TL16'!$C$10:$C$224,$C396,'TL16'!$J$10:$J$224),0),
IF('TL16'!$B$229=O$3,SUMIF('TL16'!$C$238:$C$451,$C396,'TL16'!$J$238:$J$451),0),
IF('TL17'!$B$3=O$3,SUMIF('TL17'!$C$10:$C$224,$C396,'TL17'!$J$10:$J$224),0),
IF('TL17'!$B$229=O$3,SUMIF('TL17'!$C$238:$C$451,$C396,'TL17'!$J$238:$J$451),0),
IF('TL18'!$B$3=O$3,SUMIF('TL18'!$C$10:$C$224,$C396,'TL18'!$J$10:$J$224),0),
IF('TL18'!$B$229=O$3,SUMIF('TL18'!$C$238:$C$451,$C396,'TL18'!$J$238:$J$451),0),
IF('TL19'!$B$3=O$3,SUMIF('TL19'!$C$10:$C$224,$C396,'TL19'!$J$10:$J$224),0),
IF('TL19'!$B$229=O$3,SUMIF('TL19'!$C$238:$C$451,$C396,'TL19'!$J$238:$J$451),0)
),0)</f>
        <v>0</v>
      </c>
      <c r="P396" s="9">
        <f>IFERROR(SUM(
IF('TL01'!$B$3=P$3,SUMIF('TL01'!$C$10:$C$224,$C396,'TL01'!$J$10:$J$224),0),
IF('TL01'!$B$229=P$3,SUMIF('TL01'!$C$238:$C$451,$C396,'TL01'!$J$238:$J$451),0),
IF('TL02'!$B$3=P$3,SUMIF('TL02'!$C$10:$C$224,$C396,'TL02'!$J$10:$J$224),0),
IF('TL02'!$B$229=P$3,SUMIF('TL02'!$C$238:$C$451,$C396,'TL02'!$J$238:$J$451),0),
IF('TL03'!$B$3=P$3,SUMIF('TL03'!$C$10:$C$224,$C396,'TL03'!$J$10:$J$224),0),
IF('TL03'!$B$229=P$3,SUMIF('TL03'!$C$238:$C$451,$C396,'TL03'!$J$238:$J$451),0),
IF('TL04'!$B$3=P$3,SUMIF('TL04'!$C$10:$C$224,$C396,'TL04'!$J$10:$J$224),0),
IF('TL04'!$B$229=P$3,SUMIF('TL04'!$C$238:$C$451,$C396,'TL04'!$J$238:$J$451),0),
IF('TL05'!$B$3=P$3,SUMIF('TL05'!$C$10:$C$224,$C396,'TL05'!$J$10:$J$224),0),
IF('TL05'!$B$229=P$3,SUMIF('TL05'!$C$238:$C$451,$C396,'TL05'!$J$238:$J$451),0),
IF('TL06'!$B$3=P$3,SUMIF('TL06'!$C$10:$C$224,$C396,'TL06'!$J$10:$J$224),0),
IF('TL06'!$B$229=P$3,SUMIF('TL06'!$C$238:$C$451,$C396,'TL06'!$J$238:$J$451),0),
IF('TL07'!$B$3=P$3,SUMIF('TL07'!$C$10:$C$224,$C396,'TL07'!$J$10:$J$224),0),
IF('TL07'!$B$229=P$3,SUMIF('TL07'!$C$238:$C$451,$C396,'TL07'!$J$238:$J$451),0),
IF('TL08'!$B$3=P$3,SUMIF('TL08'!$C$10:$C$224,$C396,'TL08'!$J$10:$J$224),0),
IF('TL08'!$B$229=P$3,SUMIF('TL08'!$C$238:$C$451,$C396,'TL08'!$J$238:$J$451),0),
IF('TL09'!$B$3=P$3,SUMIF('TL09'!$C$10:$C$224,$C396,'TL09'!$J$10:$J$224),0),
IF('TL09'!$B$229=P$3,SUMIF('TL09'!$C$238:$C$451,$C396,'TL09'!$J$238:$J$451),0),
IF('TL10'!$B$3=P$3,SUMIF('TL10'!$C$10:$C$224,$C396,'TL10'!$J$10:$J$224),0),
IF('TL10'!$B$229=P$3,SUMIF('TL10'!$C$238:$C$451,$C396,'TL10'!$J$238:$J$451),0),
IF('TL11'!$B$3=P$3,SUMIF('TL11'!$C$10:$C$224,$C396,'TL11'!$J$10:$J$224),0),
IF('TL11'!$B$229=P$3,SUMIF('TL11'!$C$238:$C$451,$C396,'TL11'!$J$238:$J$451),0),
IF('TL12'!$B$3=P$3,SUMIF('TL12'!$C$10:$C$224,$C396,'TL12'!$J$10:$J$224),0),
IF('TL12'!$B$229=P$3,SUMIF('TL12'!$C$238:$C$451,$C396,'TL12'!$J$238:$J$451),0),
IF('TL13'!$B$3=P$3,SUMIF('TL13'!$C$10:$C$224,$C396,'TL13'!$J$10:$J$224),0),
IF('TL13'!$B$229=P$3,SUMIF('TL13'!$C$238:$C$451,$C396,'TL13'!$J$238:$J$451),0),
IF('TL14'!$B$3=P$3,SUMIF('TL14'!$C$10:$C$224,$C396,'TL14'!$J$10:$J$224),0),
IF('TL14'!$B$229=P$3,SUMIF('TL14'!$C$238:$C$451,$C396,'TL14'!$J$238:$J$451),0),
IF('TL15'!$B$3=P$3,SUMIF('TL15'!$C$10:$C$224,$C396,'TL15'!$J$10:$J$224),0),
IF('TL15'!$B$229=P$3,SUMIF('TL15'!$C$238:$C$451,$C396,'TL15'!$J$238:$J$451),0),
IF('TL16'!$B$3=P$3,SUMIF('TL16'!$C$10:$C$224,$C396,'TL16'!$J$10:$J$224),0),
IF('TL16'!$B$229=P$3,SUMIF('TL16'!$C$238:$C$451,$C396,'TL16'!$J$238:$J$451),0),
IF('TL17'!$B$3=P$3,SUMIF('TL17'!$C$10:$C$224,$C396,'TL17'!$J$10:$J$224),0),
IF('TL17'!$B$229=P$3,SUMIF('TL17'!$C$238:$C$451,$C396,'TL17'!$J$238:$J$451),0),
IF('TL18'!$B$3=P$3,SUMIF('TL18'!$C$10:$C$224,$C396,'TL18'!$J$10:$J$224),0),
IF('TL18'!$B$229=P$3,SUMIF('TL18'!$C$238:$C$451,$C396,'TL18'!$J$238:$J$451),0),
IF('TL19'!$B$3=P$3,SUMIF('TL19'!$C$10:$C$224,$C396,'TL19'!$J$10:$J$224),0),
IF('TL19'!$B$229=P$3,SUMIF('TL19'!$C$238:$C$451,$C396,'TL19'!$J$238:$J$451),0)
),0)</f>
        <v>0</v>
      </c>
      <c r="Q396" s="9">
        <f>IFERROR(SUM(
IF('TL01'!$B$3=Q$3,SUMIF('TL01'!$C$10:$C$224,$C396,'TL01'!$J$10:$J$224),0),
IF('TL01'!$B$229=Q$3,SUMIF('TL01'!$C$238:$C$451,$C396,'TL01'!$J$238:$J$451),0),
IF('TL02'!$B$3=Q$3,SUMIF('TL02'!$C$10:$C$224,$C396,'TL02'!$J$10:$J$224),0),
IF('TL02'!$B$229=Q$3,SUMIF('TL02'!$C$238:$C$451,$C396,'TL02'!$J$238:$J$451),0),
IF('TL03'!$B$3=Q$3,SUMIF('TL03'!$C$10:$C$224,$C396,'TL03'!$J$10:$J$224),0),
IF('TL03'!$B$229=Q$3,SUMIF('TL03'!$C$238:$C$451,$C396,'TL03'!$J$238:$J$451),0),
IF('TL04'!$B$3=Q$3,SUMIF('TL04'!$C$10:$C$224,$C396,'TL04'!$J$10:$J$224),0),
IF('TL04'!$B$229=Q$3,SUMIF('TL04'!$C$238:$C$451,$C396,'TL04'!$J$238:$J$451),0),
IF('TL05'!$B$3=Q$3,SUMIF('TL05'!$C$10:$C$224,$C396,'TL05'!$J$10:$J$224),0),
IF('TL05'!$B$229=Q$3,SUMIF('TL05'!$C$238:$C$451,$C396,'TL05'!$J$238:$J$451),0),
IF('TL06'!$B$3=Q$3,SUMIF('TL06'!$C$10:$C$224,$C396,'TL06'!$J$10:$J$224),0),
IF('TL06'!$B$229=Q$3,SUMIF('TL06'!$C$238:$C$451,$C396,'TL06'!$J$238:$J$451),0),
IF('TL07'!$B$3=Q$3,SUMIF('TL07'!$C$10:$C$224,$C396,'TL07'!$J$10:$J$224),0),
IF('TL07'!$B$229=Q$3,SUMIF('TL07'!$C$238:$C$451,$C396,'TL07'!$J$238:$J$451),0),
IF('TL08'!$B$3=Q$3,SUMIF('TL08'!$C$10:$C$224,$C396,'TL08'!$J$10:$J$224),0),
IF('TL08'!$B$229=Q$3,SUMIF('TL08'!$C$238:$C$451,$C396,'TL08'!$J$238:$J$451),0),
IF('TL09'!$B$3=Q$3,SUMIF('TL09'!$C$10:$C$224,$C396,'TL09'!$J$10:$J$224),0),
IF('TL09'!$B$229=Q$3,SUMIF('TL09'!$C$238:$C$451,$C396,'TL09'!$J$238:$J$451),0),
IF('TL10'!$B$3=Q$3,SUMIF('TL10'!$C$10:$C$224,$C396,'TL10'!$J$10:$J$224),0),
IF('TL10'!$B$229=Q$3,SUMIF('TL10'!$C$238:$C$451,$C396,'TL10'!$J$238:$J$451),0),
IF('TL11'!$B$3=Q$3,SUMIF('TL11'!$C$10:$C$224,$C396,'TL11'!$J$10:$J$224),0),
IF('TL11'!$B$229=Q$3,SUMIF('TL11'!$C$238:$C$451,$C396,'TL11'!$J$238:$J$451),0),
IF('TL12'!$B$3=Q$3,SUMIF('TL12'!$C$10:$C$224,$C396,'TL12'!$J$10:$J$224),0),
IF('TL12'!$B$229=Q$3,SUMIF('TL12'!$C$238:$C$451,$C396,'TL12'!$J$238:$J$451),0),
IF('TL13'!$B$3=Q$3,SUMIF('TL13'!$C$10:$C$224,$C396,'TL13'!$J$10:$J$224),0),
IF('TL13'!$B$229=Q$3,SUMIF('TL13'!$C$238:$C$451,$C396,'TL13'!$J$238:$J$451),0),
IF('TL14'!$B$3=Q$3,SUMIF('TL14'!$C$10:$C$224,$C396,'TL14'!$J$10:$J$224),0),
IF('TL14'!$B$229=Q$3,SUMIF('TL14'!$C$238:$C$451,$C396,'TL14'!$J$238:$J$451),0),
IF('TL15'!$B$3=Q$3,SUMIF('TL15'!$C$10:$C$224,$C396,'TL15'!$J$10:$J$224),0),
IF('TL15'!$B$229=Q$3,SUMIF('TL15'!$C$238:$C$451,$C396,'TL15'!$J$238:$J$451),0),
IF('TL16'!$B$3=Q$3,SUMIF('TL16'!$C$10:$C$224,$C396,'TL16'!$J$10:$J$224),0),
IF('TL16'!$B$229=Q$3,SUMIF('TL16'!$C$238:$C$451,$C396,'TL16'!$J$238:$J$451),0),
IF('TL17'!$B$3=Q$3,SUMIF('TL17'!$C$10:$C$224,$C396,'TL17'!$J$10:$J$224),0),
IF('TL17'!$B$229=Q$3,SUMIF('TL17'!$C$238:$C$451,$C396,'TL17'!$J$238:$J$451),0),
IF('TL18'!$B$3=Q$3,SUMIF('TL18'!$C$10:$C$224,$C396,'TL18'!$J$10:$J$224),0),
IF('TL18'!$B$229=Q$3,SUMIF('TL18'!$C$238:$C$451,$C396,'TL18'!$J$238:$J$451),0),
IF('TL19'!$B$3=Q$3,SUMIF('TL19'!$C$10:$C$224,$C396,'TL19'!$J$10:$J$224),0),
IF('TL19'!$B$229=Q$3,SUMIF('TL19'!$C$238:$C$451,$C396,'TL19'!$J$238:$J$451),0)
),0)</f>
        <v>0</v>
      </c>
      <c r="R396" s="9">
        <f>IFERROR(
SUM(
SUMIF('TL01'!C:C,C396,'TL01'!J:J),
SUMIF('TL02'!C:C,C396,'TL02'!J:J),
SUMIF('TL03'!C:C,C396,'TL03'!J:J),
SUMIF('TL04'!C:C,C396,'TL04'!J:J),
SUMIF('TL05'!C:C,C396,'TL05'!J:J),
SUMIF('TL06'!C:C,C396,'TL06'!J:J),
SUMIF('TL07'!C:C,C396,'TL07'!J:J),
SUMIF('TL08'!C:C,C396,'TL08'!J:J),
SUMIF('TL09'!C:C,C396,'TL09'!J:J),
SUMIF('TL10'!C:C,C396,'TL10'!J:J),
SUMIF('TL11'!C:C,C396,'TL11'!J:J),
SUMIF('TL12'!C:C,C396,'TL12'!J:J),
SUMIF('TL13'!C:C,C396,'TL13'!J:J),
SUMIF('TL14'!C:C,C396,'TL14'!J:J),
SUMIF('TL15'!C:C,C396,'TL15'!J:J),
SUMIF('TL16'!C:C,C396,'TL16'!J:J),
SUMIF('TL17'!C:C,C396,'TL17'!J:J),
SUMIF('TL18'!C:C,C396,'TL18'!J:J),SUMIF('TL19'!C:C,C396,'TL19'!J:J))
,0)</f>
        <v>0</v>
      </c>
      <c r="S396" s="17" t="str">
        <f>IFERROR(__xludf.DUMMYFUNCTION("IFERROR(VLOOKUP(C396,
IMPORTRANGE(""1wULbzX32WdYsx-lj2U3uUNBBe2INVIRDtcK0d-Dvl90"",
""26-27!C:G""),
5,
FALSE),
"""")"),"")</f>
        <v/>
      </c>
      <c r="T396" s="9"/>
      <c r="U396" s="92">
        <f t="shared" si="2"/>
        <v>0</v>
      </c>
      <c r="V396" s="93">
        <f t="shared" si="3"/>
        <v>0</v>
      </c>
    </row>
    <row r="397" ht="15.75" hidden="1" customHeight="1">
      <c r="A397" s="4"/>
      <c r="B397" s="125"/>
      <c r="C397" s="6"/>
      <c r="D397" s="6"/>
      <c r="E397" s="9"/>
      <c r="F397" s="4"/>
      <c r="G397" s="90" t="str">
        <f t="shared" si="5"/>
        <v>📄 Ver bula</v>
      </c>
      <c r="H397" s="9"/>
      <c r="I397" s="1"/>
      <c r="J397" s="9">
        <f>IFERROR(SUM(
IF('TL01'!$B$3=J$3,SUMIF('TL01'!$C$10:$C$224,$C397,'TL01'!$J$10:$J$224),0),
IF('TL01'!$B$229=J$3,SUMIF('TL01'!$C$238:$C$451,$C397,'TL01'!$J$238:$J$451),0),
IF('TL02'!$B$3=J$3,SUMIF('TL02'!$C$10:$C$224,$C397,'TL02'!$J$10:$J$224),0),
IF('TL02'!$B$229=J$3,SUMIF('TL02'!$C$238:$C$451,$C397,'TL02'!$J$238:$J$451),0),
IF('TL03'!$B$3=J$3,SUMIF('TL03'!$C$10:$C$224,$C397,'TL03'!$J$10:$J$224),0),
IF('TL03'!$B$229=J$3,SUMIF('TL03'!$C$238:$C$451,$C397,'TL03'!$J$238:$J$451),0),
IF('TL04'!$B$3=J$3,SUMIF('TL04'!$C$10:$C$224,$C397,'TL04'!$J$10:$J$224),0),
IF('TL04'!$B$229=J$3,SUMIF('TL04'!$C$238:$C$451,$C397,'TL04'!$J$238:$J$451),0),
IF('TL05'!$B$3=J$3,SUMIF('TL05'!$C$10:$C$224,$C397,'TL05'!$J$10:$J$224),0),
IF('TL05'!$B$229=J$3,SUMIF('TL05'!$C$238:$C$451,$C397,'TL05'!$J$238:$J$451),0),
IF('TL06'!$B$3=J$3,SUMIF('TL06'!$C$10:$C$224,$C397,'TL06'!$J$10:$J$224),0),
IF('TL06'!$B$229=J$3,SUMIF('TL06'!$C$238:$C$451,$C397,'TL06'!$J$238:$J$451),0),
IF('TL07'!$B$3=J$3,SUMIF('TL07'!$C$10:$C$224,$C397,'TL07'!$J$10:$J$224),0),
IF('TL07'!$B$229=J$3,SUMIF('TL07'!$C$238:$C$451,$C397,'TL07'!$J$238:$J$451),0),
IF('TL08'!$B$3=J$3,SUMIF('TL08'!$C$10:$C$224,$C397,'TL08'!$J$10:$J$224),0),
IF('TL08'!$B$229=J$3,SUMIF('TL08'!$C$238:$C$451,$C397,'TL08'!$J$238:$J$451),0),
IF('TL09'!$B$3=J$3,SUMIF('TL09'!$C$10:$C$224,$C397,'TL09'!$J$10:$J$224),0),
IF('TL09'!$B$229=J$3,SUMIF('TL09'!$C$238:$C$451,$C397,'TL09'!$J$238:$J$451),0),
IF('TL10'!$B$3=J$3,SUMIF('TL10'!$C$10:$C$224,$C397,'TL10'!$J$10:$J$224),0),
IF('TL10'!$B$229=J$3,SUMIF('TL10'!$C$238:$C$451,$C397,'TL10'!$J$238:$J$451),0),
IF('TL11'!$B$3=J$3,SUMIF('TL11'!$C$10:$C$224,$C397,'TL11'!$J$10:$J$224),0),
IF('TL11'!$B$229=J$3,SUMIF('TL11'!$C$238:$C$451,$C397,'TL11'!$J$238:$J$451),0),
IF('TL12'!$B$3=J$3,SUMIF('TL12'!$C$10:$C$224,$C397,'TL12'!$J$10:$J$224),0),
IF('TL12'!$B$229=J$3,SUMIF('TL12'!$C$238:$C$451,$C397,'TL12'!$J$238:$J$451),0),
IF('TL13'!$B$3=J$3,SUMIF('TL13'!$C$10:$C$224,$C397,'TL13'!$J$10:$J$224),0),
IF('TL13'!$B$229=J$3,SUMIF('TL13'!$C$238:$C$451,$C397,'TL13'!$J$238:$J$451),0),
IF('TL14'!$B$3=J$3,SUMIF('TL14'!$C$10:$C$224,$C397,'TL14'!$J$10:$J$224),0),
IF('TL14'!$B$229=J$3,SUMIF('TL14'!$C$238:$C$451,$C397,'TL14'!$J$238:$J$451),0),
IF('TL15'!$B$3=J$3,SUMIF('TL15'!$C$10:$C$224,$C397,'TL15'!$J$10:$J$224),0),
IF('TL15'!$B$229=J$3,SUMIF('TL15'!$C$238:$C$451,$C397,'TL15'!$J$238:$J$451),0),
IF('TL16'!$B$3=J$3,SUMIF('TL16'!$C$10:$C$224,$C397,'TL16'!$J$10:$J$224),0),
IF('TL16'!$B$229=J$3,SUMIF('TL16'!$C$238:$C$451,$C397,'TL16'!$J$238:$J$451),0),
IF('TL17'!$B$3=J$3,SUMIF('TL17'!$C$10:$C$224,$C397,'TL17'!$J$10:$J$224),0),
IF('TL17'!$B$229=J$3,SUMIF('TL17'!$C$238:$C$451,$C397,'TL17'!$J$238:$J$451),0),
IF('TL18'!$B$3=J$3,SUMIF('TL18'!$C$10:$C$224,$C397,'TL18'!$J$10:$J$224),0),
IF('TL18'!$B$229=J$3,SUMIF('TL18'!$C$238:$C$451,$C397,'TL18'!$J$238:$J$451),0),
IF('TL19'!$B$3=J$3,SUMIF('TL19'!$C$10:$C$224,$C397,'TL19'!$J$10:$J$224),0),
IF('TL19'!$B$229=J$3,SUMIF('TL19'!$C$238:$C$451,$C397,'TL19'!$J$238:$J$451),0)
),0)</f>
        <v>0</v>
      </c>
      <c r="K397" s="9">
        <f>IFERROR(SUM(
IF('TL01'!$B$3=K$3,SUMIF('TL01'!$C$10:$C$224,$C397,'TL01'!$J$10:$J$224),0),
IF('TL01'!$B$229=K$3,SUMIF('TL01'!$C$238:$C$451,$C397,'TL01'!$J$238:$J$451),0),
IF('TL02'!$B$3=K$3,SUMIF('TL02'!$C$10:$C$224,$C397,'TL02'!$J$10:$J$224),0),
IF('TL02'!$B$229=K$3,SUMIF('TL02'!$C$238:$C$451,$C397,'TL02'!$J$238:$J$451),0),
IF('TL03'!$B$3=K$3,SUMIF('TL03'!$C$10:$C$224,$C397,'TL03'!$J$10:$J$224),0),
IF('TL03'!$B$229=K$3,SUMIF('TL03'!$C$238:$C$451,$C397,'TL03'!$J$238:$J$451),0),
IF('TL04'!$B$3=K$3,SUMIF('TL04'!$C$10:$C$224,$C397,'TL04'!$J$10:$J$224),0),
IF('TL04'!$B$229=K$3,SUMIF('TL04'!$C$238:$C$451,$C397,'TL04'!$J$238:$J$451),0),
IF('TL05'!$B$3=K$3,SUMIF('TL05'!$C$10:$C$224,$C397,'TL05'!$J$10:$J$224),0),
IF('TL05'!$B$229=K$3,SUMIF('TL05'!$C$238:$C$451,$C397,'TL05'!$J$238:$J$451),0),
IF('TL06'!$B$3=K$3,SUMIF('TL06'!$C$10:$C$224,$C397,'TL06'!$J$10:$J$224),0),
IF('TL06'!$B$229=K$3,SUMIF('TL06'!$C$238:$C$451,$C397,'TL06'!$J$238:$J$451),0),
IF('TL07'!$B$3=K$3,SUMIF('TL07'!$C$10:$C$224,$C397,'TL07'!$J$10:$J$224),0),
IF('TL07'!$B$229=K$3,SUMIF('TL07'!$C$238:$C$451,$C397,'TL07'!$J$238:$J$451),0),
IF('TL08'!$B$3=K$3,SUMIF('TL08'!$C$10:$C$224,$C397,'TL08'!$J$10:$J$224),0),
IF('TL08'!$B$229=K$3,SUMIF('TL08'!$C$238:$C$451,$C397,'TL08'!$J$238:$J$451),0),
IF('TL09'!$B$3=K$3,SUMIF('TL09'!$C$10:$C$224,$C397,'TL09'!$J$10:$J$224),0),
IF('TL09'!$B$229=K$3,SUMIF('TL09'!$C$238:$C$451,$C397,'TL09'!$J$238:$J$451),0),
IF('TL10'!$B$3=K$3,SUMIF('TL10'!$C$10:$C$224,$C397,'TL10'!$J$10:$J$224),0),
IF('TL10'!$B$229=K$3,SUMIF('TL10'!$C$238:$C$451,$C397,'TL10'!$J$238:$J$451),0),
IF('TL11'!$B$3=K$3,SUMIF('TL11'!$C$10:$C$224,$C397,'TL11'!$J$10:$J$224),0),
IF('TL11'!$B$229=K$3,SUMIF('TL11'!$C$238:$C$451,$C397,'TL11'!$J$238:$J$451),0),
IF('TL12'!$B$3=K$3,SUMIF('TL12'!$C$10:$C$224,$C397,'TL12'!$J$10:$J$224),0),
IF('TL12'!$B$229=K$3,SUMIF('TL12'!$C$238:$C$451,$C397,'TL12'!$J$238:$J$451),0),
IF('TL13'!$B$3=K$3,SUMIF('TL13'!$C$10:$C$224,$C397,'TL13'!$J$10:$J$224),0),
IF('TL13'!$B$229=K$3,SUMIF('TL13'!$C$238:$C$451,$C397,'TL13'!$J$238:$J$451),0),
IF('TL14'!$B$3=K$3,SUMIF('TL14'!$C$10:$C$224,$C397,'TL14'!$J$10:$J$224),0),
IF('TL14'!$B$229=K$3,SUMIF('TL14'!$C$238:$C$451,$C397,'TL14'!$J$238:$J$451),0),
IF('TL15'!$B$3=K$3,SUMIF('TL15'!$C$10:$C$224,$C397,'TL15'!$J$10:$J$224),0),
IF('TL15'!$B$229=K$3,SUMIF('TL15'!$C$238:$C$451,$C397,'TL15'!$J$238:$J$451),0),
IF('TL16'!$B$3=K$3,SUMIF('TL16'!$C$10:$C$224,$C397,'TL16'!$J$10:$J$224),0),
IF('TL16'!$B$229=K$3,SUMIF('TL16'!$C$238:$C$451,$C397,'TL16'!$J$238:$J$451),0),
IF('TL17'!$B$3=K$3,SUMIF('TL17'!$C$10:$C$224,$C397,'TL17'!$J$10:$J$224),0),
IF('TL17'!$B$229=K$3,SUMIF('TL17'!$C$238:$C$451,$C397,'TL17'!$J$238:$J$451),0),
IF('TL18'!$B$3=K$3,SUMIF('TL18'!$C$10:$C$224,$C397,'TL18'!$J$10:$J$224),0),
IF('TL18'!$B$229=K$3,SUMIF('TL18'!$C$238:$C$451,$C397,'TL18'!$J$238:$J$451),0),
IF('TL19'!$B$3=K$3,SUMIF('TL19'!$C$10:$C$224,$C397,'TL19'!$J$10:$J$224),0),
IF('TL19'!$B$229=K$3,SUMIF('TL19'!$C$238:$C$451,$C397,'TL19'!$J$238:$J$451),0)
),0)</f>
        <v>0</v>
      </c>
      <c r="L397" s="9">
        <f>IFERROR(SUM(
IF('TL01'!$B$3=L$3,SUMIF('TL01'!$C$10:$C$224,$C397,'TL01'!$J$10:$J$224),0),
IF('TL01'!$B$229=L$3,SUMIF('TL01'!$C$238:$C$451,$C397,'TL01'!$J$238:$J$451),0),
IF('TL02'!$B$3=L$3,SUMIF('TL02'!$C$10:$C$224,$C397,'TL02'!$J$10:$J$224),0),
IF('TL02'!$B$229=L$3,SUMIF('TL02'!$C$238:$C$451,$C397,'TL02'!$J$238:$J$451),0),
IF('TL03'!$B$3=L$3,SUMIF('TL03'!$C$10:$C$224,$C397,'TL03'!$J$10:$J$224),0),
IF('TL03'!$B$229=L$3,SUMIF('TL03'!$C$238:$C$451,$C397,'TL03'!$J$238:$J$451),0),
IF('TL04'!$B$3=L$3,SUMIF('TL04'!$C$10:$C$224,$C397,'TL04'!$J$10:$J$224),0),
IF('TL04'!$B$229=L$3,SUMIF('TL04'!$C$238:$C$451,$C397,'TL04'!$J$238:$J$451),0),
IF('TL05'!$B$3=L$3,SUMIF('TL05'!$C$10:$C$224,$C397,'TL05'!$J$10:$J$224),0),
IF('TL05'!$B$229=L$3,SUMIF('TL05'!$C$238:$C$451,$C397,'TL05'!$J$238:$J$451),0),
IF('TL06'!$B$3=L$3,SUMIF('TL06'!$C$10:$C$224,$C397,'TL06'!$J$10:$J$224),0),
IF('TL06'!$B$229=L$3,SUMIF('TL06'!$C$238:$C$451,$C397,'TL06'!$J$238:$J$451),0),
IF('TL07'!$B$3=L$3,SUMIF('TL07'!$C$10:$C$224,$C397,'TL07'!$J$10:$J$224),0),
IF('TL07'!$B$229=L$3,SUMIF('TL07'!$C$238:$C$451,$C397,'TL07'!$J$238:$J$451),0),
IF('TL08'!$B$3=L$3,SUMIF('TL08'!$C$10:$C$224,$C397,'TL08'!$J$10:$J$224),0),
IF('TL08'!$B$229=L$3,SUMIF('TL08'!$C$238:$C$451,$C397,'TL08'!$J$238:$J$451),0),
IF('TL09'!$B$3=L$3,SUMIF('TL09'!$C$10:$C$224,$C397,'TL09'!$J$10:$J$224),0),
IF('TL09'!$B$229=L$3,SUMIF('TL09'!$C$238:$C$451,$C397,'TL09'!$J$238:$J$451),0),
IF('TL10'!$B$3=L$3,SUMIF('TL10'!$C$10:$C$224,$C397,'TL10'!$J$10:$J$224),0),
IF('TL10'!$B$229=L$3,SUMIF('TL10'!$C$238:$C$451,$C397,'TL10'!$J$238:$J$451),0),
IF('TL11'!$B$3=L$3,SUMIF('TL11'!$C$10:$C$224,$C397,'TL11'!$J$10:$J$224),0),
IF('TL11'!$B$229=L$3,SUMIF('TL11'!$C$238:$C$451,$C397,'TL11'!$J$238:$J$451),0),
IF('TL12'!$B$3=L$3,SUMIF('TL12'!$C$10:$C$224,$C397,'TL12'!$J$10:$J$224),0),
IF('TL12'!$B$229=L$3,SUMIF('TL12'!$C$238:$C$451,$C397,'TL12'!$J$238:$J$451),0),
IF('TL13'!$B$3=L$3,SUMIF('TL13'!$C$10:$C$224,$C397,'TL13'!$J$10:$J$224),0),
IF('TL13'!$B$229=L$3,SUMIF('TL13'!$C$238:$C$451,$C397,'TL13'!$J$238:$J$451),0),
IF('TL14'!$B$3=L$3,SUMIF('TL14'!$C$10:$C$224,$C397,'TL14'!$J$10:$J$224),0),
IF('TL14'!$B$229=L$3,SUMIF('TL14'!$C$238:$C$451,$C397,'TL14'!$J$238:$J$451),0),
IF('TL15'!$B$3=L$3,SUMIF('TL15'!$C$10:$C$224,$C397,'TL15'!$J$10:$J$224),0),
IF('TL15'!$B$229=L$3,SUMIF('TL15'!$C$238:$C$451,$C397,'TL15'!$J$238:$J$451),0),
IF('TL16'!$B$3=L$3,SUMIF('TL16'!$C$10:$C$224,$C397,'TL16'!$J$10:$J$224),0),
IF('TL16'!$B$229=L$3,SUMIF('TL16'!$C$238:$C$451,$C397,'TL16'!$J$238:$J$451),0),
IF('TL17'!$B$3=L$3,SUMIF('TL17'!$C$10:$C$224,$C397,'TL17'!$J$10:$J$224),0),
IF('TL17'!$B$229=L$3,SUMIF('TL17'!$C$238:$C$451,$C397,'TL17'!$J$238:$J$451),0),
IF('TL18'!$B$3=L$3,SUMIF('TL18'!$C$10:$C$224,$C397,'TL18'!$J$10:$J$224),0),
IF('TL18'!$B$229=L$3,SUMIF('TL18'!$C$238:$C$451,$C397,'TL18'!$J$238:$J$451),0),
IF('TL19'!$B$3=L$3,SUMIF('TL19'!$C$10:$C$224,$C397,'TL19'!$J$10:$J$224),0),
IF('TL19'!$B$229=L$3,SUMIF('TL19'!$C$238:$C$451,$C397,'TL19'!$J$238:$J$451),0)
),0)</f>
        <v>0</v>
      </c>
      <c r="M397" s="9">
        <f>IFERROR(SUM(
IF('TL01'!$B$3=M$3,SUMIF('TL01'!$C$10:$C$224,$C397,'TL01'!$J$10:$J$224),0),
IF('TL01'!$B$229=M$3,SUMIF('TL01'!$C$238:$C$451,$C397,'TL01'!$J$238:$J$451),0),
IF('TL02'!$B$3=M$3,SUMIF('TL02'!$C$10:$C$224,$C397,'TL02'!$J$10:$J$224),0),
IF('TL02'!$B$229=M$3,SUMIF('TL02'!$C$238:$C$451,$C397,'TL02'!$J$238:$J$451),0),
IF('TL03'!$B$3=M$3,SUMIF('TL03'!$C$10:$C$224,$C397,'TL03'!$J$10:$J$224),0),
IF('TL03'!$B$229=M$3,SUMIF('TL03'!$C$238:$C$451,$C397,'TL03'!$J$238:$J$451),0),
IF('TL04'!$B$3=M$3,SUMIF('TL04'!$C$10:$C$224,$C397,'TL04'!$J$10:$J$224),0),
IF('TL04'!$B$229=M$3,SUMIF('TL04'!$C$238:$C$451,$C397,'TL04'!$J$238:$J$451),0),
IF('TL05'!$B$3=M$3,SUMIF('TL05'!$C$10:$C$224,$C397,'TL05'!$J$10:$J$224),0),
IF('TL05'!$B$229=M$3,SUMIF('TL05'!$C$238:$C$451,$C397,'TL05'!$J$238:$J$451),0),
IF('TL06'!$B$3=M$3,SUMIF('TL06'!$C$10:$C$224,$C397,'TL06'!$J$10:$J$224),0),
IF('TL06'!$B$229=M$3,SUMIF('TL06'!$C$238:$C$451,$C397,'TL06'!$J$238:$J$451),0),
IF('TL07'!$B$3=M$3,SUMIF('TL07'!$C$10:$C$224,$C397,'TL07'!$J$10:$J$224),0),
IF('TL07'!$B$229=M$3,SUMIF('TL07'!$C$238:$C$451,$C397,'TL07'!$J$238:$J$451),0),
IF('TL08'!$B$3=M$3,SUMIF('TL08'!$C$10:$C$224,$C397,'TL08'!$J$10:$J$224),0),
IF('TL08'!$B$229=M$3,SUMIF('TL08'!$C$238:$C$451,$C397,'TL08'!$J$238:$J$451),0),
IF('TL09'!$B$3=M$3,SUMIF('TL09'!$C$10:$C$224,$C397,'TL09'!$J$10:$J$224),0),
IF('TL09'!$B$229=M$3,SUMIF('TL09'!$C$238:$C$451,$C397,'TL09'!$J$238:$J$451),0),
IF('TL10'!$B$3=M$3,SUMIF('TL10'!$C$10:$C$224,$C397,'TL10'!$J$10:$J$224),0),
IF('TL10'!$B$229=M$3,SUMIF('TL10'!$C$238:$C$451,$C397,'TL10'!$J$238:$J$451),0),
IF('TL11'!$B$3=M$3,SUMIF('TL11'!$C$10:$C$224,$C397,'TL11'!$J$10:$J$224),0),
IF('TL11'!$B$229=M$3,SUMIF('TL11'!$C$238:$C$451,$C397,'TL11'!$J$238:$J$451),0),
IF('TL12'!$B$3=M$3,SUMIF('TL12'!$C$10:$C$224,$C397,'TL12'!$J$10:$J$224),0),
IF('TL12'!$B$229=M$3,SUMIF('TL12'!$C$238:$C$451,$C397,'TL12'!$J$238:$J$451),0),
IF('TL13'!$B$3=M$3,SUMIF('TL13'!$C$10:$C$224,$C397,'TL13'!$J$10:$J$224),0),
IF('TL13'!$B$229=M$3,SUMIF('TL13'!$C$238:$C$451,$C397,'TL13'!$J$238:$J$451),0),
IF('TL14'!$B$3=M$3,SUMIF('TL14'!$C$10:$C$224,$C397,'TL14'!$J$10:$J$224),0),
IF('TL14'!$B$229=M$3,SUMIF('TL14'!$C$238:$C$451,$C397,'TL14'!$J$238:$J$451),0),
IF('TL15'!$B$3=M$3,SUMIF('TL15'!$C$10:$C$224,$C397,'TL15'!$J$10:$J$224),0),
IF('TL15'!$B$229=M$3,SUMIF('TL15'!$C$238:$C$451,$C397,'TL15'!$J$238:$J$451),0),
IF('TL16'!$B$3=M$3,SUMIF('TL16'!$C$10:$C$224,$C397,'TL16'!$J$10:$J$224),0),
IF('TL16'!$B$229=M$3,SUMIF('TL16'!$C$238:$C$451,$C397,'TL16'!$J$238:$J$451),0),
IF('TL17'!$B$3=M$3,SUMIF('TL17'!$C$10:$C$224,$C397,'TL17'!$J$10:$J$224),0),
IF('TL17'!$B$229=M$3,SUMIF('TL17'!$C$238:$C$451,$C397,'TL17'!$J$238:$J$451),0),
IF('TL18'!$B$3=M$3,SUMIF('TL18'!$C$10:$C$224,$C397,'TL18'!$J$10:$J$224),0),
IF('TL18'!$B$229=M$3,SUMIF('TL18'!$C$238:$C$451,$C397,'TL18'!$J$238:$J$451),0),
IF('TL19'!$B$3=M$3,SUMIF('TL19'!$C$10:$C$224,$C397,'TL19'!$J$10:$J$224),0),
IF('TL19'!$B$229=M$3,SUMIF('TL19'!$C$238:$C$451,$C397,'TL19'!$J$238:$J$451),0)
),0)</f>
        <v>0</v>
      </c>
      <c r="N397" s="9">
        <f>IFERROR(SUM(
IF('TL01'!$B$3=N$3,SUMIF('TL01'!$C$10:$C$224,$C397,'TL01'!$J$10:$J$224),0),
IF('TL01'!$B$229=N$3,SUMIF('TL01'!$C$238:$C$451,$C397,'TL01'!$J$238:$J$451),0),
IF('TL02'!$B$3=N$3,SUMIF('TL02'!$C$10:$C$224,$C397,'TL02'!$J$10:$J$224),0),
IF('TL02'!$B$229=N$3,SUMIF('TL02'!$C$238:$C$451,$C397,'TL02'!$J$238:$J$451),0),
IF('TL03'!$B$3=N$3,SUMIF('TL03'!$C$10:$C$224,$C397,'TL03'!$J$10:$J$224),0),
IF('TL03'!$B$229=N$3,SUMIF('TL03'!$C$238:$C$451,$C397,'TL03'!$J$238:$J$451),0),
IF('TL04'!$B$3=N$3,SUMIF('TL04'!$C$10:$C$224,$C397,'TL04'!$J$10:$J$224),0),
IF('TL04'!$B$229=N$3,SUMIF('TL04'!$C$238:$C$451,$C397,'TL04'!$J$238:$J$451),0),
IF('TL05'!$B$3=N$3,SUMIF('TL05'!$C$10:$C$224,$C397,'TL05'!$J$10:$J$224),0),
IF('TL05'!$B$229=N$3,SUMIF('TL05'!$C$238:$C$451,$C397,'TL05'!$J$238:$J$451),0),
IF('TL06'!$B$3=N$3,SUMIF('TL06'!$C$10:$C$224,$C397,'TL06'!$J$10:$J$224),0),
IF('TL06'!$B$229=N$3,SUMIF('TL06'!$C$238:$C$451,$C397,'TL06'!$J$238:$J$451),0),
IF('TL07'!$B$3=N$3,SUMIF('TL07'!$C$10:$C$224,$C397,'TL07'!$J$10:$J$224),0),
IF('TL07'!$B$229=N$3,SUMIF('TL07'!$C$238:$C$451,$C397,'TL07'!$J$238:$J$451),0),
IF('TL08'!$B$3=N$3,SUMIF('TL08'!$C$10:$C$224,$C397,'TL08'!$J$10:$J$224),0),
IF('TL08'!$B$229=N$3,SUMIF('TL08'!$C$238:$C$451,$C397,'TL08'!$J$238:$J$451),0),
IF('TL09'!$B$3=N$3,SUMIF('TL09'!$C$10:$C$224,$C397,'TL09'!$J$10:$J$224),0),
IF('TL09'!$B$229=N$3,SUMIF('TL09'!$C$238:$C$451,$C397,'TL09'!$J$238:$J$451),0),
IF('TL10'!$B$3=N$3,SUMIF('TL10'!$C$10:$C$224,$C397,'TL10'!$J$10:$J$224),0),
IF('TL10'!$B$229=N$3,SUMIF('TL10'!$C$238:$C$451,$C397,'TL10'!$J$238:$J$451),0),
IF('TL11'!$B$3=N$3,SUMIF('TL11'!$C$10:$C$224,$C397,'TL11'!$J$10:$J$224),0),
IF('TL11'!$B$229=N$3,SUMIF('TL11'!$C$238:$C$451,$C397,'TL11'!$J$238:$J$451),0),
IF('TL12'!$B$3=N$3,SUMIF('TL12'!$C$10:$C$224,$C397,'TL12'!$J$10:$J$224),0),
IF('TL12'!$B$229=N$3,SUMIF('TL12'!$C$238:$C$451,$C397,'TL12'!$J$238:$J$451),0),
IF('TL13'!$B$3=N$3,SUMIF('TL13'!$C$10:$C$224,$C397,'TL13'!$J$10:$J$224),0),
IF('TL13'!$B$229=N$3,SUMIF('TL13'!$C$238:$C$451,$C397,'TL13'!$J$238:$J$451),0),
IF('TL14'!$B$3=N$3,SUMIF('TL14'!$C$10:$C$224,$C397,'TL14'!$J$10:$J$224),0),
IF('TL14'!$B$229=N$3,SUMIF('TL14'!$C$238:$C$451,$C397,'TL14'!$J$238:$J$451),0),
IF('TL15'!$B$3=N$3,SUMIF('TL15'!$C$10:$C$224,$C397,'TL15'!$J$10:$J$224),0),
IF('TL15'!$B$229=N$3,SUMIF('TL15'!$C$238:$C$451,$C397,'TL15'!$J$238:$J$451),0),
IF('TL16'!$B$3=N$3,SUMIF('TL16'!$C$10:$C$224,$C397,'TL16'!$J$10:$J$224),0),
IF('TL16'!$B$229=N$3,SUMIF('TL16'!$C$238:$C$451,$C397,'TL16'!$J$238:$J$451),0),
IF('TL17'!$B$3=N$3,SUMIF('TL17'!$C$10:$C$224,$C397,'TL17'!$J$10:$J$224),0),
IF('TL17'!$B$229=N$3,SUMIF('TL17'!$C$238:$C$451,$C397,'TL17'!$J$238:$J$451),0),
IF('TL18'!$B$3=N$3,SUMIF('TL18'!$C$10:$C$224,$C397,'TL18'!$J$10:$J$224),0),
IF('TL18'!$B$229=N$3,SUMIF('TL18'!$C$238:$C$451,$C397,'TL18'!$J$238:$J$451),0),
IF('TL19'!$B$3=N$3,SUMIF('TL19'!$C$10:$C$224,$C397,'TL19'!$J$10:$J$224),0),
IF('TL19'!$B$229=N$3,SUMIF('TL19'!$C$238:$C$451,$C397,'TL19'!$J$238:$J$451),0)
),0)</f>
        <v>0</v>
      </c>
      <c r="O397" s="9">
        <f>IFERROR(SUM(
IF('TL01'!$B$3=O$3,SUMIF('TL01'!$C$10:$C$224,$C397,'TL01'!$J$10:$J$224),0),
IF('TL01'!$B$229=O$3,SUMIF('TL01'!$C$238:$C$451,$C397,'TL01'!$J$238:$J$451),0),
IF('TL02'!$B$3=O$3,SUMIF('TL02'!$C$10:$C$224,$C397,'TL02'!$J$10:$J$224),0),
IF('TL02'!$B$229=O$3,SUMIF('TL02'!$C$238:$C$451,$C397,'TL02'!$J$238:$J$451),0),
IF('TL03'!$B$3=O$3,SUMIF('TL03'!$C$10:$C$224,$C397,'TL03'!$J$10:$J$224),0),
IF('TL03'!$B$229=O$3,SUMIF('TL03'!$C$238:$C$451,$C397,'TL03'!$J$238:$J$451),0),
IF('TL04'!$B$3=O$3,SUMIF('TL04'!$C$10:$C$224,$C397,'TL04'!$J$10:$J$224),0),
IF('TL04'!$B$229=O$3,SUMIF('TL04'!$C$238:$C$451,$C397,'TL04'!$J$238:$J$451),0),
IF('TL05'!$B$3=O$3,SUMIF('TL05'!$C$10:$C$224,$C397,'TL05'!$J$10:$J$224),0),
IF('TL05'!$B$229=O$3,SUMIF('TL05'!$C$238:$C$451,$C397,'TL05'!$J$238:$J$451),0),
IF('TL06'!$B$3=O$3,SUMIF('TL06'!$C$10:$C$224,$C397,'TL06'!$J$10:$J$224),0),
IF('TL06'!$B$229=O$3,SUMIF('TL06'!$C$238:$C$451,$C397,'TL06'!$J$238:$J$451),0),
IF('TL07'!$B$3=O$3,SUMIF('TL07'!$C$10:$C$224,$C397,'TL07'!$J$10:$J$224),0),
IF('TL07'!$B$229=O$3,SUMIF('TL07'!$C$238:$C$451,$C397,'TL07'!$J$238:$J$451),0),
IF('TL08'!$B$3=O$3,SUMIF('TL08'!$C$10:$C$224,$C397,'TL08'!$J$10:$J$224),0),
IF('TL08'!$B$229=O$3,SUMIF('TL08'!$C$238:$C$451,$C397,'TL08'!$J$238:$J$451),0),
IF('TL09'!$B$3=O$3,SUMIF('TL09'!$C$10:$C$224,$C397,'TL09'!$J$10:$J$224),0),
IF('TL09'!$B$229=O$3,SUMIF('TL09'!$C$238:$C$451,$C397,'TL09'!$J$238:$J$451),0),
IF('TL10'!$B$3=O$3,SUMIF('TL10'!$C$10:$C$224,$C397,'TL10'!$J$10:$J$224),0),
IF('TL10'!$B$229=O$3,SUMIF('TL10'!$C$238:$C$451,$C397,'TL10'!$J$238:$J$451),0),
IF('TL11'!$B$3=O$3,SUMIF('TL11'!$C$10:$C$224,$C397,'TL11'!$J$10:$J$224),0),
IF('TL11'!$B$229=O$3,SUMIF('TL11'!$C$238:$C$451,$C397,'TL11'!$J$238:$J$451),0),
IF('TL12'!$B$3=O$3,SUMIF('TL12'!$C$10:$C$224,$C397,'TL12'!$J$10:$J$224),0),
IF('TL12'!$B$229=O$3,SUMIF('TL12'!$C$238:$C$451,$C397,'TL12'!$J$238:$J$451),0),
IF('TL13'!$B$3=O$3,SUMIF('TL13'!$C$10:$C$224,$C397,'TL13'!$J$10:$J$224),0),
IF('TL13'!$B$229=O$3,SUMIF('TL13'!$C$238:$C$451,$C397,'TL13'!$J$238:$J$451),0),
IF('TL14'!$B$3=O$3,SUMIF('TL14'!$C$10:$C$224,$C397,'TL14'!$J$10:$J$224),0),
IF('TL14'!$B$229=O$3,SUMIF('TL14'!$C$238:$C$451,$C397,'TL14'!$J$238:$J$451),0),
IF('TL15'!$B$3=O$3,SUMIF('TL15'!$C$10:$C$224,$C397,'TL15'!$J$10:$J$224),0),
IF('TL15'!$B$229=O$3,SUMIF('TL15'!$C$238:$C$451,$C397,'TL15'!$J$238:$J$451),0),
IF('TL16'!$B$3=O$3,SUMIF('TL16'!$C$10:$C$224,$C397,'TL16'!$J$10:$J$224),0),
IF('TL16'!$B$229=O$3,SUMIF('TL16'!$C$238:$C$451,$C397,'TL16'!$J$238:$J$451),0),
IF('TL17'!$B$3=O$3,SUMIF('TL17'!$C$10:$C$224,$C397,'TL17'!$J$10:$J$224),0),
IF('TL17'!$B$229=O$3,SUMIF('TL17'!$C$238:$C$451,$C397,'TL17'!$J$238:$J$451),0),
IF('TL18'!$B$3=O$3,SUMIF('TL18'!$C$10:$C$224,$C397,'TL18'!$J$10:$J$224),0),
IF('TL18'!$B$229=O$3,SUMIF('TL18'!$C$238:$C$451,$C397,'TL18'!$J$238:$J$451),0),
IF('TL19'!$B$3=O$3,SUMIF('TL19'!$C$10:$C$224,$C397,'TL19'!$J$10:$J$224),0),
IF('TL19'!$B$229=O$3,SUMIF('TL19'!$C$238:$C$451,$C397,'TL19'!$J$238:$J$451),0)
),0)</f>
        <v>0</v>
      </c>
      <c r="P397" s="9">
        <f>IFERROR(SUM(
IF('TL01'!$B$3=P$3,SUMIF('TL01'!$C$10:$C$224,$C397,'TL01'!$J$10:$J$224),0),
IF('TL01'!$B$229=P$3,SUMIF('TL01'!$C$238:$C$451,$C397,'TL01'!$J$238:$J$451),0),
IF('TL02'!$B$3=P$3,SUMIF('TL02'!$C$10:$C$224,$C397,'TL02'!$J$10:$J$224),0),
IF('TL02'!$B$229=P$3,SUMIF('TL02'!$C$238:$C$451,$C397,'TL02'!$J$238:$J$451),0),
IF('TL03'!$B$3=P$3,SUMIF('TL03'!$C$10:$C$224,$C397,'TL03'!$J$10:$J$224),0),
IF('TL03'!$B$229=P$3,SUMIF('TL03'!$C$238:$C$451,$C397,'TL03'!$J$238:$J$451),0),
IF('TL04'!$B$3=P$3,SUMIF('TL04'!$C$10:$C$224,$C397,'TL04'!$J$10:$J$224),0),
IF('TL04'!$B$229=P$3,SUMIF('TL04'!$C$238:$C$451,$C397,'TL04'!$J$238:$J$451),0),
IF('TL05'!$B$3=P$3,SUMIF('TL05'!$C$10:$C$224,$C397,'TL05'!$J$10:$J$224),0),
IF('TL05'!$B$229=P$3,SUMIF('TL05'!$C$238:$C$451,$C397,'TL05'!$J$238:$J$451),0),
IF('TL06'!$B$3=P$3,SUMIF('TL06'!$C$10:$C$224,$C397,'TL06'!$J$10:$J$224),0),
IF('TL06'!$B$229=P$3,SUMIF('TL06'!$C$238:$C$451,$C397,'TL06'!$J$238:$J$451),0),
IF('TL07'!$B$3=P$3,SUMIF('TL07'!$C$10:$C$224,$C397,'TL07'!$J$10:$J$224),0),
IF('TL07'!$B$229=P$3,SUMIF('TL07'!$C$238:$C$451,$C397,'TL07'!$J$238:$J$451),0),
IF('TL08'!$B$3=P$3,SUMIF('TL08'!$C$10:$C$224,$C397,'TL08'!$J$10:$J$224),0),
IF('TL08'!$B$229=P$3,SUMIF('TL08'!$C$238:$C$451,$C397,'TL08'!$J$238:$J$451),0),
IF('TL09'!$B$3=P$3,SUMIF('TL09'!$C$10:$C$224,$C397,'TL09'!$J$10:$J$224),0),
IF('TL09'!$B$229=P$3,SUMIF('TL09'!$C$238:$C$451,$C397,'TL09'!$J$238:$J$451),0),
IF('TL10'!$B$3=P$3,SUMIF('TL10'!$C$10:$C$224,$C397,'TL10'!$J$10:$J$224),0),
IF('TL10'!$B$229=P$3,SUMIF('TL10'!$C$238:$C$451,$C397,'TL10'!$J$238:$J$451),0),
IF('TL11'!$B$3=P$3,SUMIF('TL11'!$C$10:$C$224,$C397,'TL11'!$J$10:$J$224),0),
IF('TL11'!$B$229=P$3,SUMIF('TL11'!$C$238:$C$451,$C397,'TL11'!$J$238:$J$451),0),
IF('TL12'!$B$3=P$3,SUMIF('TL12'!$C$10:$C$224,$C397,'TL12'!$J$10:$J$224),0),
IF('TL12'!$B$229=P$3,SUMIF('TL12'!$C$238:$C$451,$C397,'TL12'!$J$238:$J$451),0),
IF('TL13'!$B$3=P$3,SUMIF('TL13'!$C$10:$C$224,$C397,'TL13'!$J$10:$J$224),0),
IF('TL13'!$B$229=P$3,SUMIF('TL13'!$C$238:$C$451,$C397,'TL13'!$J$238:$J$451),0),
IF('TL14'!$B$3=P$3,SUMIF('TL14'!$C$10:$C$224,$C397,'TL14'!$J$10:$J$224),0),
IF('TL14'!$B$229=P$3,SUMIF('TL14'!$C$238:$C$451,$C397,'TL14'!$J$238:$J$451),0),
IF('TL15'!$B$3=P$3,SUMIF('TL15'!$C$10:$C$224,$C397,'TL15'!$J$10:$J$224),0),
IF('TL15'!$B$229=P$3,SUMIF('TL15'!$C$238:$C$451,$C397,'TL15'!$J$238:$J$451),0),
IF('TL16'!$B$3=P$3,SUMIF('TL16'!$C$10:$C$224,$C397,'TL16'!$J$10:$J$224),0),
IF('TL16'!$B$229=P$3,SUMIF('TL16'!$C$238:$C$451,$C397,'TL16'!$J$238:$J$451),0),
IF('TL17'!$B$3=P$3,SUMIF('TL17'!$C$10:$C$224,$C397,'TL17'!$J$10:$J$224),0),
IF('TL17'!$B$229=P$3,SUMIF('TL17'!$C$238:$C$451,$C397,'TL17'!$J$238:$J$451),0),
IF('TL18'!$B$3=P$3,SUMIF('TL18'!$C$10:$C$224,$C397,'TL18'!$J$10:$J$224),0),
IF('TL18'!$B$229=P$3,SUMIF('TL18'!$C$238:$C$451,$C397,'TL18'!$J$238:$J$451),0),
IF('TL19'!$B$3=P$3,SUMIF('TL19'!$C$10:$C$224,$C397,'TL19'!$J$10:$J$224),0),
IF('TL19'!$B$229=P$3,SUMIF('TL19'!$C$238:$C$451,$C397,'TL19'!$J$238:$J$451),0)
),0)</f>
        <v>0</v>
      </c>
      <c r="Q397" s="9">
        <f>IFERROR(SUM(
IF('TL01'!$B$3=Q$3,SUMIF('TL01'!$C$10:$C$224,$C397,'TL01'!$J$10:$J$224),0),
IF('TL01'!$B$229=Q$3,SUMIF('TL01'!$C$238:$C$451,$C397,'TL01'!$J$238:$J$451),0),
IF('TL02'!$B$3=Q$3,SUMIF('TL02'!$C$10:$C$224,$C397,'TL02'!$J$10:$J$224),0),
IF('TL02'!$B$229=Q$3,SUMIF('TL02'!$C$238:$C$451,$C397,'TL02'!$J$238:$J$451),0),
IF('TL03'!$B$3=Q$3,SUMIF('TL03'!$C$10:$C$224,$C397,'TL03'!$J$10:$J$224),0),
IF('TL03'!$B$229=Q$3,SUMIF('TL03'!$C$238:$C$451,$C397,'TL03'!$J$238:$J$451),0),
IF('TL04'!$B$3=Q$3,SUMIF('TL04'!$C$10:$C$224,$C397,'TL04'!$J$10:$J$224),0),
IF('TL04'!$B$229=Q$3,SUMIF('TL04'!$C$238:$C$451,$C397,'TL04'!$J$238:$J$451),0),
IF('TL05'!$B$3=Q$3,SUMIF('TL05'!$C$10:$C$224,$C397,'TL05'!$J$10:$J$224),0),
IF('TL05'!$B$229=Q$3,SUMIF('TL05'!$C$238:$C$451,$C397,'TL05'!$J$238:$J$451),0),
IF('TL06'!$B$3=Q$3,SUMIF('TL06'!$C$10:$C$224,$C397,'TL06'!$J$10:$J$224),0),
IF('TL06'!$B$229=Q$3,SUMIF('TL06'!$C$238:$C$451,$C397,'TL06'!$J$238:$J$451),0),
IF('TL07'!$B$3=Q$3,SUMIF('TL07'!$C$10:$C$224,$C397,'TL07'!$J$10:$J$224),0),
IF('TL07'!$B$229=Q$3,SUMIF('TL07'!$C$238:$C$451,$C397,'TL07'!$J$238:$J$451),0),
IF('TL08'!$B$3=Q$3,SUMIF('TL08'!$C$10:$C$224,$C397,'TL08'!$J$10:$J$224),0),
IF('TL08'!$B$229=Q$3,SUMIF('TL08'!$C$238:$C$451,$C397,'TL08'!$J$238:$J$451),0),
IF('TL09'!$B$3=Q$3,SUMIF('TL09'!$C$10:$C$224,$C397,'TL09'!$J$10:$J$224),0),
IF('TL09'!$B$229=Q$3,SUMIF('TL09'!$C$238:$C$451,$C397,'TL09'!$J$238:$J$451),0),
IF('TL10'!$B$3=Q$3,SUMIF('TL10'!$C$10:$C$224,$C397,'TL10'!$J$10:$J$224),0),
IF('TL10'!$B$229=Q$3,SUMIF('TL10'!$C$238:$C$451,$C397,'TL10'!$J$238:$J$451),0),
IF('TL11'!$B$3=Q$3,SUMIF('TL11'!$C$10:$C$224,$C397,'TL11'!$J$10:$J$224),0),
IF('TL11'!$B$229=Q$3,SUMIF('TL11'!$C$238:$C$451,$C397,'TL11'!$J$238:$J$451),0),
IF('TL12'!$B$3=Q$3,SUMIF('TL12'!$C$10:$C$224,$C397,'TL12'!$J$10:$J$224),0),
IF('TL12'!$B$229=Q$3,SUMIF('TL12'!$C$238:$C$451,$C397,'TL12'!$J$238:$J$451),0),
IF('TL13'!$B$3=Q$3,SUMIF('TL13'!$C$10:$C$224,$C397,'TL13'!$J$10:$J$224),0),
IF('TL13'!$B$229=Q$3,SUMIF('TL13'!$C$238:$C$451,$C397,'TL13'!$J$238:$J$451),0),
IF('TL14'!$B$3=Q$3,SUMIF('TL14'!$C$10:$C$224,$C397,'TL14'!$J$10:$J$224),0),
IF('TL14'!$B$229=Q$3,SUMIF('TL14'!$C$238:$C$451,$C397,'TL14'!$J$238:$J$451),0),
IF('TL15'!$B$3=Q$3,SUMIF('TL15'!$C$10:$C$224,$C397,'TL15'!$J$10:$J$224),0),
IF('TL15'!$B$229=Q$3,SUMIF('TL15'!$C$238:$C$451,$C397,'TL15'!$J$238:$J$451),0),
IF('TL16'!$B$3=Q$3,SUMIF('TL16'!$C$10:$C$224,$C397,'TL16'!$J$10:$J$224),0),
IF('TL16'!$B$229=Q$3,SUMIF('TL16'!$C$238:$C$451,$C397,'TL16'!$J$238:$J$451),0),
IF('TL17'!$B$3=Q$3,SUMIF('TL17'!$C$10:$C$224,$C397,'TL17'!$J$10:$J$224),0),
IF('TL17'!$B$229=Q$3,SUMIF('TL17'!$C$238:$C$451,$C397,'TL17'!$J$238:$J$451),0),
IF('TL18'!$B$3=Q$3,SUMIF('TL18'!$C$10:$C$224,$C397,'TL18'!$J$10:$J$224),0),
IF('TL18'!$B$229=Q$3,SUMIF('TL18'!$C$238:$C$451,$C397,'TL18'!$J$238:$J$451),0),
IF('TL19'!$B$3=Q$3,SUMIF('TL19'!$C$10:$C$224,$C397,'TL19'!$J$10:$J$224),0),
IF('TL19'!$B$229=Q$3,SUMIF('TL19'!$C$238:$C$451,$C397,'TL19'!$J$238:$J$451),0)
),0)</f>
        <v>0</v>
      </c>
      <c r="R397" s="9">
        <f>IFERROR(
SUM(
SUMIF('TL01'!C:C,C397,'TL01'!J:J),
SUMIF('TL02'!C:C,C397,'TL02'!J:J),
SUMIF('TL03'!C:C,C397,'TL03'!J:J),
SUMIF('TL04'!C:C,C397,'TL04'!J:J),
SUMIF('TL05'!C:C,C397,'TL05'!J:J),
SUMIF('TL06'!C:C,C397,'TL06'!J:J),
SUMIF('TL07'!C:C,C397,'TL07'!J:J),
SUMIF('TL08'!C:C,C397,'TL08'!J:J),
SUMIF('TL09'!C:C,C397,'TL09'!J:J),
SUMIF('TL10'!C:C,C397,'TL10'!J:J),
SUMIF('TL11'!C:C,C397,'TL11'!J:J),
SUMIF('TL12'!C:C,C397,'TL12'!J:J),
SUMIF('TL13'!C:C,C397,'TL13'!J:J),
SUMIF('TL14'!C:C,C397,'TL14'!J:J),
SUMIF('TL15'!C:C,C397,'TL15'!J:J),
SUMIF('TL16'!C:C,C397,'TL16'!J:J),
SUMIF('TL17'!C:C,C397,'TL17'!J:J),
SUMIF('TL18'!C:C,C397,'TL18'!J:J),SUMIF('TL19'!C:C,C397,'TL19'!J:J))
,0)</f>
        <v>0</v>
      </c>
      <c r="S397" s="17" t="str">
        <f>IFERROR(__xludf.DUMMYFUNCTION("IFERROR(VLOOKUP(C397,
IMPORTRANGE(""1wULbzX32WdYsx-lj2U3uUNBBe2INVIRDtcK0d-Dvl90"",
""26-27!C:G""),
5,
FALSE),
"""")"),"")</f>
        <v/>
      </c>
      <c r="T397" s="9"/>
      <c r="U397" s="92">
        <f t="shared" si="2"/>
        <v>0</v>
      </c>
      <c r="V397" s="93">
        <f t="shared" si="3"/>
        <v>0</v>
      </c>
    </row>
    <row r="398" ht="15.75" hidden="1" customHeight="1">
      <c r="A398" s="134"/>
      <c r="B398" s="135" t="s">
        <v>10</v>
      </c>
      <c r="C398" s="136" t="str">
        <f>'CUSTO OPERAÇÃO'!D2</f>
        <v>CASE STEIGER 420 + HORSCH MAESTRO DUO 36.50</v>
      </c>
      <c r="D398" s="136"/>
      <c r="E398" s="137"/>
      <c r="F398" s="138" t="s">
        <v>1133</v>
      </c>
      <c r="G398" s="139"/>
      <c r="H398" s="140">
        <f>'CUSTO OPERAÇÃO'!J2</f>
        <v>0.08169934641</v>
      </c>
      <c r="I398" s="141"/>
      <c r="J398" s="136">
        <f>IFERROR(SUM(
IF('TL01'!$B$3=J$3,SUMIF('TL01'!$C$10:$C$224,$C398,'TL01'!$J$10:$J$224),0),
IF('TL01'!$B$229=J$3,SUMIF('TL01'!$C$238:$C$451,$C398,'TL01'!$J$238:$J$451),0),
IF('TL02'!$B$3=J$3,SUMIF('TL02'!$C$10:$C$224,$C398,'TL02'!$J$10:$J$224),0),
IF('TL02'!$B$229=J$3,SUMIF('TL02'!$C$238:$C$451,$C398,'TL02'!$J$238:$J$451),0),
IF('TL03'!$B$3=J$3,SUMIF('TL03'!$C$10:$C$224,$C398,'TL03'!$J$10:$J$224),0),
IF('TL03'!$B$229=J$3,SUMIF('TL03'!$C$238:$C$451,$C398,'TL03'!$J$238:$J$451),0),
IF('TL04'!$B$3=J$3,SUMIF('TL04'!$C$10:$C$224,$C398,'TL04'!$J$10:$J$224),0),
IF('TL04'!$B$229=J$3,SUMIF('TL04'!$C$238:$C$451,$C398,'TL04'!$J$238:$J$451),0),
IF('TL05'!$B$3=J$3,SUMIF('TL05'!$C$10:$C$224,$C398,'TL05'!$J$10:$J$224),0),
IF('TL05'!$B$229=J$3,SUMIF('TL05'!$C$238:$C$451,$C398,'TL05'!$J$238:$J$451),0),
IF('TL06'!$B$3=J$3,SUMIF('TL06'!$C$10:$C$224,$C398,'TL06'!$J$10:$J$224),0),
IF('TL06'!$B$229=J$3,SUMIF('TL06'!$C$238:$C$451,$C398,'TL06'!$J$238:$J$451),0),
IF('TL07'!$B$3=J$3,SUMIF('TL07'!$C$10:$C$224,$C398,'TL07'!$J$10:$J$224),0),
IF('TL07'!$B$229=J$3,SUMIF('TL07'!$C$238:$C$451,$C398,'TL07'!$J$238:$J$451),0),
IF('TL08'!$B$3=J$3,SUMIF('TL08'!$C$10:$C$224,$C398,'TL08'!$J$10:$J$224),0),
IF('TL08'!$B$229=J$3,SUMIF('TL08'!$C$238:$C$451,$C398,'TL08'!$J$238:$J$451),0),
IF('TL09'!$B$3=J$3,SUMIF('TL09'!$C$10:$C$224,$C398,'TL09'!$J$10:$J$224),0),
IF('TL09'!$B$229=J$3,SUMIF('TL09'!$C$238:$C$451,$C398,'TL09'!$J$238:$J$451),0),
IF('TL10'!$B$3=J$3,SUMIF('TL10'!$C$10:$C$224,$C398,'TL10'!$J$10:$J$224),0),
IF('TL10'!$B$229=J$3,SUMIF('TL10'!$C$238:$C$451,$C398,'TL10'!$J$238:$J$451),0),
IF('TL11'!$B$3=J$3,SUMIF('TL11'!$C$10:$C$224,$C398,'TL11'!$J$10:$J$224),0),
IF('TL11'!$B$229=J$3,SUMIF('TL11'!$C$238:$C$451,$C398,'TL11'!$J$238:$J$451),0),
IF('TL12'!$B$3=J$3,SUMIF('TL12'!$C$10:$C$224,$C398,'TL12'!$J$10:$J$224),0),
IF('TL12'!$B$229=J$3,SUMIF('TL12'!$C$238:$C$451,$C398,'TL12'!$J$238:$J$451),0),
IF('TL13'!$B$3=J$3,SUMIF('TL13'!$C$10:$C$224,$C398,'TL13'!$J$10:$J$224),0),
IF('TL13'!$B$229=J$3,SUMIF('TL13'!$C$238:$C$451,$C398,'TL13'!$J$238:$J$451),0),
IF('TL14'!$B$3=J$3,SUMIF('TL14'!$C$10:$C$224,$C398,'TL14'!$J$10:$J$224),0),
IF('TL14'!$B$229=J$3,SUMIF('TL14'!$C$238:$C$451,$C398,'TL14'!$J$238:$J$451),0),
IF('TL15'!$B$3=J$3,SUMIF('TL15'!$C$10:$C$224,$C398,'TL15'!$J$10:$J$224),0),
IF('TL15'!$B$229=J$3,SUMIF('TL15'!$C$238:$C$451,$C398,'TL15'!$J$238:$J$451),0),
IF('TL16'!$B$3=J$3,SUMIF('TL16'!$C$10:$C$224,$C398,'TL16'!$J$10:$J$224),0),
IF('TL16'!$B$229=J$3,SUMIF('TL16'!$C$238:$C$451,$C398,'TL16'!$J$238:$J$451),0),
IF('TL17'!$B$3=J$3,SUMIF('TL17'!$C$10:$C$224,$C398,'TL17'!$J$10:$J$224),0),
IF('TL17'!$B$229=J$3,SUMIF('TL17'!$C$238:$C$451,$C398,'TL17'!$J$238:$J$451),0),
IF('TL18'!$B$3=J$3,SUMIF('TL18'!$C$10:$C$224,$C398,'TL18'!$J$10:$J$224),0),
IF('TL18'!$B$229=J$3,SUMIF('TL18'!$C$238:$C$451,$C398,'TL18'!$J$238:$J$451),0),
IF('TL19'!$B$3=J$3,SUMIF('TL19'!$C$10:$C$224,$C398,'TL19'!$J$10:$J$224),0),
IF('TL19'!$B$229=J$3,SUMIF('TL19'!$C$238:$C$451,$C398,'TL19'!$J$238:$J$451),0)
),0)</f>
        <v>0</v>
      </c>
      <c r="K398" s="136">
        <f>IFERROR(SUM(
IF('TL01'!$B$3=K$3,SUMIF('TL01'!$C$10:$C$224,$C398,'TL01'!$J$10:$J$224),0),
IF('TL01'!$B$229=K$3,SUMIF('TL01'!$C$238:$C$451,$C398,'TL01'!$J$238:$J$451),0),
IF('TL02'!$B$3=K$3,SUMIF('TL02'!$C$10:$C$224,$C398,'TL02'!$J$10:$J$224),0),
IF('TL02'!$B$229=K$3,SUMIF('TL02'!$C$238:$C$451,$C398,'TL02'!$J$238:$J$451),0),
IF('TL03'!$B$3=K$3,SUMIF('TL03'!$C$10:$C$224,$C398,'TL03'!$J$10:$J$224),0),
IF('TL03'!$B$229=K$3,SUMIF('TL03'!$C$238:$C$451,$C398,'TL03'!$J$238:$J$451),0),
IF('TL04'!$B$3=K$3,SUMIF('TL04'!$C$10:$C$224,$C398,'TL04'!$J$10:$J$224),0),
IF('TL04'!$B$229=K$3,SUMIF('TL04'!$C$238:$C$451,$C398,'TL04'!$J$238:$J$451),0),
IF('TL05'!$B$3=K$3,SUMIF('TL05'!$C$10:$C$224,$C398,'TL05'!$J$10:$J$224),0),
IF('TL05'!$B$229=K$3,SUMIF('TL05'!$C$238:$C$451,$C398,'TL05'!$J$238:$J$451),0),
IF('TL06'!$B$3=K$3,SUMIF('TL06'!$C$10:$C$224,$C398,'TL06'!$J$10:$J$224),0),
IF('TL06'!$B$229=K$3,SUMIF('TL06'!$C$238:$C$451,$C398,'TL06'!$J$238:$J$451),0),
IF('TL07'!$B$3=K$3,SUMIF('TL07'!$C$10:$C$224,$C398,'TL07'!$J$10:$J$224),0),
IF('TL07'!$B$229=K$3,SUMIF('TL07'!$C$238:$C$451,$C398,'TL07'!$J$238:$J$451),0),
IF('TL08'!$B$3=K$3,SUMIF('TL08'!$C$10:$C$224,$C398,'TL08'!$J$10:$J$224),0),
IF('TL08'!$B$229=K$3,SUMIF('TL08'!$C$238:$C$451,$C398,'TL08'!$J$238:$J$451),0),
IF('TL09'!$B$3=K$3,SUMIF('TL09'!$C$10:$C$224,$C398,'TL09'!$J$10:$J$224),0),
IF('TL09'!$B$229=K$3,SUMIF('TL09'!$C$238:$C$451,$C398,'TL09'!$J$238:$J$451),0),
IF('TL10'!$B$3=K$3,SUMIF('TL10'!$C$10:$C$224,$C398,'TL10'!$J$10:$J$224),0),
IF('TL10'!$B$229=K$3,SUMIF('TL10'!$C$238:$C$451,$C398,'TL10'!$J$238:$J$451),0),
IF('TL11'!$B$3=K$3,SUMIF('TL11'!$C$10:$C$224,$C398,'TL11'!$J$10:$J$224),0),
IF('TL11'!$B$229=K$3,SUMIF('TL11'!$C$238:$C$451,$C398,'TL11'!$J$238:$J$451),0),
IF('TL12'!$B$3=K$3,SUMIF('TL12'!$C$10:$C$224,$C398,'TL12'!$J$10:$J$224),0),
IF('TL12'!$B$229=K$3,SUMIF('TL12'!$C$238:$C$451,$C398,'TL12'!$J$238:$J$451),0),
IF('TL13'!$B$3=K$3,SUMIF('TL13'!$C$10:$C$224,$C398,'TL13'!$J$10:$J$224),0),
IF('TL13'!$B$229=K$3,SUMIF('TL13'!$C$238:$C$451,$C398,'TL13'!$J$238:$J$451),0),
IF('TL14'!$B$3=K$3,SUMIF('TL14'!$C$10:$C$224,$C398,'TL14'!$J$10:$J$224),0),
IF('TL14'!$B$229=K$3,SUMIF('TL14'!$C$238:$C$451,$C398,'TL14'!$J$238:$J$451),0),
IF('TL15'!$B$3=K$3,SUMIF('TL15'!$C$10:$C$224,$C398,'TL15'!$J$10:$J$224),0),
IF('TL15'!$B$229=K$3,SUMIF('TL15'!$C$238:$C$451,$C398,'TL15'!$J$238:$J$451),0),
IF('TL16'!$B$3=K$3,SUMIF('TL16'!$C$10:$C$224,$C398,'TL16'!$J$10:$J$224),0),
IF('TL16'!$B$229=K$3,SUMIF('TL16'!$C$238:$C$451,$C398,'TL16'!$J$238:$J$451),0),
IF('TL17'!$B$3=K$3,SUMIF('TL17'!$C$10:$C$224,$C398,'TL17'!$J$10:$J$224),0),
IF('TL17'!$B$229=K$3,SUMIF('TL17'!$C$238:$C$451,$C398,'TL17'!$J$238:$J$451),0),
IF('TL18'!$B$3=K$3,SUMIF('TL18'!$C$10:$C$224,$C398,'TL18'!$J$10:$J$224),0),
IF('TL18'!$B$229=K$3,SUMIF('TL18'!$C$238:$C$451,$C398,'TL18'!$J$238:$J$451),0),
IF('TL19'!$B$3=K$3,SUMIF('TL19'!$C$10:$C$224,$C398,'TL19'!$J$10:$J$224),0),
IF('TL19'!$B$229=K$3,SUMIF('TL19'!$C$238:$C$451,$C398,'TL19'!$J$238:$J$451),0)
),0)</f>
        <v>24.3</v>
      </c>
      <c r="L398" s="136">
        <f>IFERROR(SUM(
IF('TL01'!$B$3=L$3,SUMIF('TL01'!$C$10:$C$224,$C398,'TL01'!$J$10:$J$224),0),
IF('TL01'!$B$229=L$3,SUMIF('TL01'!$C$238:$C$451,$C398,'TL01'!$J$238:$J$451),0),
IF('TL02'!$B$3=L$3,SUMIF('TL02'!$C$10:$C$224,$C398,'TL02'!$J$10:$J$224),0),
IF('TL02'!$B$229=L$3,SUMIF('TL02'!$C$238:$C$451,$C398,'TL02'!$J$238:$J$451),0),
IF('TL03'!$B$3=L$3,SUMIF('TL03'!$C$10:$C$224,$C398,'TL03'!$J$10:$J$224),0),
IF('TL03'!$B$229=L$3,SUMIF('TL03'!$C$238:$C$451,$C398,'TL03'!$J$238:$J$451),0),
IF('TL04'!$B$3=L$3,SUMIF('TL04'!$C$10:$C$224,$C398,'TL04'!$J$10:$J$224),0),
IF('TL04'!$B$229=L$3,SUMIF('TL04'!$C$238:$C$451,$C398,'TL04'!$J$238:$J$451),0),
IF('TL05'!$B$3=L$3,SUMIF('TL05'!$C$10:$C$224,$C398,'TL05'!$J$10:$J$224),0),
IF('TL05'!$B$229=L$3,SUMIF('TL05'!$C$238:$C$451,$C398,'TL05'!$J$238:$J$451),0),
IF('TL06'!$B$3=L$3,SUMIF('TL06'!$C$10:$C$224,$C398,'TL06'!$J$10:$J$224),0),
IF('TL06'!$B$229=L$3,SUMIF('TL06'!$C$238:$C$451,$C398,'TL06'!$J$238:$J$451),0),
IF('TL07'!$B$3=L$3,SUMIF('TL07'!$C$10:$C$224,$C398,'TL07'!$J$10:$J$224),0),
IF('TL07'!$B$229=L$3,SUMIF('TL07'!$C$238:$C$451,$C398,'TL07'!$J$238:$J$451),0),
IF('TL08'!$B$3=L$3,SUMIF('TL08'!$C$10:$C$224,$C398,'TL08'!$J$10:$J$224),0),
IF('TL08'!$B$229=L$3,SUMIF('TL08'!$C$238:$C$451,$C398,'TL08'!$J$238:$J$451),0),
IF('TL09'!$B$3=L$3,SUMIF('TL09'!$C$10:$C$224,$C398,'TL09'!$J$10:$J$224),0),
IF('TL09'!$B$229=L$3,SUMIF('TL09'!$C$238:$C$451,$C398,'TL09'!$J$238:$J$451),0),
IF('TL10'!$B$3=L$3,SUMIF('TL10'!$C$10:$C$224,$C398,'TL10'!$J$10:$J$224),0),
IF('TL10'!$B$229=L$3,SUMIF('TL10'!$C$238:$C$451,$C398,'TL10'!$J$238:$J$451),0),
IF('TL11'!$B$3=L$3,SUMIF('TL11'!$C$10:$C$224,$C398,'TL11'!$J$10:$J$224),0),
IF('TL11'!$B$229=L$3,SUMIF('TL11'!$C$238:$C$451,$C398,'TL11'!$J$238:$J$451),0),
IF('TL12'!$B$3=L$3,SUMIF('TL12'!$C$10:$C$224,$C398,'TL12'!$J$10:$J$224),0),
IF('TL12'!$B$229=L$3,SUMIF('TL12'!$C$238:$C$451,$C398,'TL12'!$J$238:$J$451),0),
IF('TL13'!$B$3=L$3,SUMIF('TL13'!$C$10:$C$224,$C398,'TL13'!$J$10:$J$224),0),
IF('TL13'!$B$229=L$3,SUMIF('TL13'!$C$238:$C$451,$C398,'TL13'!$J$238:$J$451),0),
IF('TL14'!$B$3=L$3,SUMIF('TL14'!$C$10:$C$224,$C398,'TL14'!$J$10:$J$224),0),
IF('TL14'!$B$229=L$3,SUMIF('TL14'!$C$238:$C$451,$C398,'TL14'!$J$238:$J$451),0),
IF('TL15'!$B$3=L$3,SUMIF('TL15'!$C$10:$C$224,$C398,'TL15'!$J$10:$J$224),0),
IF('TL15'!$B$229=L$3,SUMIF('TL15'!$C$238:$C$451,$C398,'TL15'!$J$238:$J$451),0),
IF('TL16'!$B$3=L$3,SUMIF('TL16'!$C$10:$C$224,$C398,'TL16'!$J$10:$J$224),0),
IF('TL16'!$B$229=L$3,SUMIF('TL16'!$C$238:$C$451,$C398,'TL16'!$J$238:$J$451),0),
IF('TL17'!$B$3=L$3,SUMIF('TL17'!$C$10:$C$224,$C398,'TL17'!$J$10:$J$224),0),
IF('TL17'!$B$229=L$3,SUMIF('TL17'!$C$238:$C$451,$C398,'TL17'!$J$238:$J$451),0),
IF('TL18'!$B$3=L$3,SUMIF('TL18'!$C$10:$C$224,$C398,'TL18'!$J$10:$J$224),0),
IF('TL18'!$B$229=L$3,SUMIF('TL18'!$C$238:$C$451,$C398,'TL18'!$J$238:$J$451),0),
IF('TL19'!$B$3=L$3,SUMIF('TL19'!$C$10:$C$224,$C398,'TL19'!$J$10:$J$224),0),
IF('TL19'!$B$229=L$3,SUMIF('TL19'!$C$238:$C$451,$C398,'TL19'!$J$238:$J$451),0)
),0)</f>
        <v>17.82</v>
      </c>
      <c r="M398" s="136">
        <f>IFERROR(SUM(
IF('TL01'!$B$3=M$3,SUMIF('TL01'!$C$10:$C$224,$C398,'TL01'!$J$10:$J$224),0),
IF('TL01'!$B$229=M$3,SUMIF('TL01'!$C$238:$C$451,$C398,'TL01'!$J$238:$J$451),0),
IF('TL02'!$B$3=M$3,SUMIF('TL02'!$C$10:$C$224,$C398,'TL02'!$J$10:$J$224),0),
IF('TL02'!$B$229=M$3,SUMIF('TL02'!$C$238:$C$451,$C398,'TL02'!$J$238:$J$451),0),
IF('TL03'!$B$3=M$3,SUMIF('TL03'!$C$10:$C$224,$C398,'TL03'!$J$10:$J$224),0),
IF('TL03'!$B$229=M$3,SUMIF('TL03'!$C$238:$C$451,$C398,'TL03'!$J$238:$J$451),0),
IF('TL04'!$B$3=M$3,SUMIF('TL04'!$C$10:$C$224,$C398,'TL04'!$J$10:$J$224),0),
IF('TL04'!$B$229=M$3,SUMIF('TL04'!$C$238:$C$451,$C398,'TL04'!$J$238:$J$451),0),
IF('TL05'!$B$3=M$3,SUMIF('TL05'!$C$10:$C$224,$C398,'TL05'!$J$10:$J$224),0),
IF('TL05'!$B$229=M$3,SUMIF('TL05'!$C$238:$C$451,$C398,'TL05'!$J$238:$J$451),0),
IF('TL06'!$B$3=M$3,SUMIF('TL06'!$C$10:$C$224,$C398,'TL06'!$J$10:$J$224),0),
IF('TL06'!$B$229=M$3,SUMIF('TL06'!$C$238:$C$451,$C398,'TL06'!$J$238:$J$451),0),
IF('TL07'!$B$3=M$3,SUMIF('TL07'!$C$10:$C$224,$C398,'TL07'!$J$10:$J$224),0),
IF('TL07'!$B$229=M$3,SUMIF('TL07'!$C$238:$C$451,$C398,'TL07'!$J$238:$J$451),0),
IF('TL08'!$B$3=M$3,SUMIF('TL08'!$C$10:$C$224,$C398,'TL08'!$J$10:$J$224),0),
IF('TL08'!$B$229=M$3,SUMIF('TL08'!$C$238:$C$451,$C398,'TL08'!$J$238:$J$451),0),
IF('TL09'!$B$3=M$3,SUMIF('TL09'!$C$10:$C$224,$C398,'TL09'!$J$10:$J$224),0),
IF('TL09'!$B$229=M$3,SUMIF('TL09'!$C$238:$C$451,$C398,'TL09'!$J$238:$J$451),0),
IF('TL10'!$B$3=M$3,SUMIF('TL10'!$C$10:$C$224,$C398,'TL10'!$J$10:$J$224),0),
IF('TL10'!$B$229=M$3,SUMIF('TL10'!$C$238:$C$451,$C398,'TL10'!$J$238:$J$451),0),
IF('TL11'!$B$3=M$3,SUMIF('TL11'!$C$10:$C$224,$C398,'TL11'!$J$10:$J$224),0),
IF('TL11'!$B$229=M$3,SUMIF('TL11'!$C$238:$C$451,$C398,'TL11'!$J$238:$J$451),0),
IF('TL12'!$B$3=M$3,SUMIF('TL12'!$C$10:$C$224,$C398,'TL12'!$J$10:$J$224),0),
IF('TL12'!$B$229=M$3,SUMIF('TL12'!$C$238:$C$451,$C398,'TL12'!$J$238:$J$451),0),
IF('TL13'!$B$3=M$3,SUMIF('TL13'!$C$10:$C$224,$C398,'TL13'!$J$10:$J$224),0),
IF('TL13'!$B$229=M$3,SUMIF('TL13'!$C$238:$C$451,$C398,'TL13'!$J$238:$J$451),0),
IF('TL14'!$B$3=M$3,SUMIF('TL14'!$C$10:$C$224,$C398,'TL14'!$J$10:$J$224),0),
IF('TL14'!$B$229=M$3,SUMIF('TL14'!$C$238:$C$451,$C398,'TL14'!$J$238:$J$451),0),
IF('TL15'!$B$3=M$3,SUMIF('TL15'!$C$10:$C$224,$C398,'TL15'!$J$10:$J$224),0),
IF('TL15'!$B$229=M$3,SUMIF('TL15'!$C$238:$C$451,$C398,'TL15'!$J$238:$J$451),0),
IF('TL16'!$B$3=M$3,SUMIF('TL16'!$C$10:$C$224,$C398,'TL16'!$J$10:$J$224),0),
IF('TL16'!$B$229=M$3,SUMIF('TL16'!$C$238:$C$451,$C398,'TL16'!$J$238:$J$451),0),
IF('TL17'!$B$3=M$3,SUMIF('TL17'!$C$10:$C$224,$C398,'TL17'!$J$10:$J$224),0),
IF('TL17'!$B$229=M$3,SUMIF('TL17'!$C$238:$C$451,$C398,'TL17'!$J$238:$J$451),0),
IF('TL18'!$B$3=M$3,SUMIF('TL18'!$C$10:$C$224,$C398,'TL18'!$J$10:$J$224),0),
IF('TL18'!$B$229=M$3,SUMIF('TL18'!$C$238:$C$451,$C398,'TL18'!$J$238:$J$451),0),
IF('TL19'!$B$3=M$3,SUMIF('TL19'!$C$10:$C$224,$C398,'TL19'!$J$10:$J$224),0),
IF('TL19'!$B$229=M$3,SUMIF('TL19'!$C$238:$C$451,$C398,'TL19'!$J$238:$J$451),0)
),0)</f>
        <v>0</v>
      </c>
      <c r="N398" s="136">
        <f>IFERROR(SUM(
IF('TL01'!$B$3=N$3,SUMIF('TL01'!$C$10:$C$224,$C398,'TL01'!$J$10:$J$224),0),
IF('TL01'!$B$229=N$3,SUMIF('TL01'!$C$238:$C$451,$C398,'TL01'!$J$238:$J$451),0),
IF('TL02'!$B$3=N$3,SUMIF('TL02'!$C$10:$C$224,$C398,'TL02'!$J$10:$J$224),0),
IF('TL02'!$B$229=N$3,SUMIF('TL02'!$C$238:$C$451,$C398,'TL02'!$J$238:$J$451),0),
IF('TL03'!$B$3=N$3,SUMIF('TL03'!$C$10:$C$224,$C398,'TL03'!$J$10:$J$224),0),
IF('TL03'!$B$229=N$3,SUMIF('TL03'!$C$238:$C$451,$C398,'TL03'!$J$238:$J$451),0),
IF('TL04'!$B$3=N$3,SUMIF('TL04'!$C$10:$C$224,$C398,'TL04'!$J$10:$J$224),0),
IF('TL04'!$B$229=N$3,SUMIF('TL04'!$C$238:$C$451,$C398,'TL04'!$J$238:$J$451),0),
IF('TL05'!$B$3=N$3,SUMIF('TL05'!$C$10:$C$224,$C398,'TL05'!$J$10:$J$224),0),
IF('TL05'!$B$229=N$3,SUMIF('TL05'!$C$238:$C$451,$C398,'TL05'!$J$238:$J$451),0),
IF('TL06'!$B$3=N$3,SUMIF('TL06'!$C$10:$C$224,$C398,'TL06'!$J$10:$J$224),0),
IF('TL06'!$B$229=N$3,SUMIF('TL06'!$C$238:$C$451,$C398,'TL06'!$J$238:$J$451),0),
IF('TL07'!$B$3=N$3,SUMIF('TL07'!$C$10:$C$224,$C398,'TL07'!$J$10:$J$224),0),
IF('TL07'!$B$229=N$3,SUMIF('TL07'!$C$238:$C$451,$C398,'TL07'!$J$238:$J$451),0),
IF('TL08'!$B$3=N$3,SUMIF('TL08'!$C$10:$C$224,$C398,'TL08'!$J$10:$J$224),0),
IF('TL08'!$B$229=N$3,SUMIF('TL08'!$C$238:$C$451,$C398,'TL08'!$J$238:$J$451),0),
IF('TL09'!$B$3=N$3,SUMIF('TL09'!$C$10:$C$224,$C398,'TL09'!$J$10:$J$224),0),
IF('TL09'!$B$229=N$3,SUMIF('TL09'!$C$238:$C$451,$C398,'TL09'!$J$238:$J$451),0),
IF('TL10'!$B$3=N$3,SUMIF('TL10'!$C$10:$C$224,$C398,'TL10'!$J$10:$J$224),0),
IF('TL10'!$B$229=N$3,SUMIF('TL10'!$C$238:$C$451,$C398,'TL10'!$J$238:$J$451),0),
IF('TL11'!$B$3=N$3,SUMIF('TL11'!$C$10:$C$224,$C398,'TL11'!$J$10:$J$224),0),
IF('TL11'!$B$229=N$3,SUMIF('TL11'!$C$238:$C$451,$C398,'TL11'!$J$238:$J$451),0),
IF('TL12'!$B$3=N$3,SUMIF('TL12'!$C$10:$C$224,$C398,'TL12'!$J$10:$J$224),0),
IF('TL12'!$B$229=N$3,SUMIF('TL12'!$C$238:$C$451,$C398,'TL12'!$J$238:$J$451),0),
IF('TL13'!$B$3=N$3,SUMIF('TL13'!$C$10:$C$224,$C398,'TL13'!$J$10:$J$224),0),
IF('TL13'!$B$229=N$3,SUMIF('TL13'!$C$238:$C$451,$C398,'TL13'!$J$238:$J$451),0),
IF('TL14'!$B$3=N$3,SUMIF('TL14'!$C$10:$C$224,$C398,'TL14'!$J$10:$J$224),0),
IF('TL14'!$B$229=N$3,SUMIF('TL14'!$C$238:$C$451,$C398,'TL14'!$J$238:$J$451),0),
IF('TL15'!$B$3=N$3,SUMIF('TL15'!$C$10:$C$224,$C398,'TL15'!$J$10:$J$224),0),
IF('TL15'!$B$229=N$3,SUMIF('TL15'!$C$238:$C$451,$C398,'TL15'!$J$238:$J$451),0),
IF('TL16'!$B$3=N$3,SUMIF('TL16'!$C$10:$C$224,$C398,'TL16'!$J$10:$J$224),0),
IF('TL16'!$B$229=N$3,SUMIF('TL16'!$C$238:$C$451,$C398,'TL16'!$J$238:$J$451),0),
IF('TL17'!$B$3=N$3,SUMIF('TL17'!$C$10:$C$224,$C398,'TL17'!$J$10:$J$224),0),
IF('TL17'!$B$229=N$3,SUMIF('TL17'!$C$238:$C$451,$C398,'TL17'!$J$238:$J$451),0),
IF('TL18'!$B$3=N$3,SUMIF('TL18'!$C$10:$C$224,$C398,'TL18'!$J$10:$J$224),0),
IF('TL18'!$B$229=N$3,SUMIF('TL18'!$C$238:$C$451,$C398,'TL18'!$J$238:$J$451),0),
IF('TL19'!$B$3=N$3,SUMIF('TL19'!$C$10:$C$224,$C398,'TL19'!$J$10:$J$224),0),
IF('TL19'!$B$229=N$3,SUMIF('TL19'!$C$238:$C$451,$C398,'TL19'!$J$238:$J$451),0)
),0)</f>
        <v>0</v>
      </c>
      <c r="O398" s="136">
        <f>IFERROR(SUM(
IF('TL01'!$B$3=O$3,SUMIF('TL01'!$C$10:$C$224,$C398,'TL01'!$J$10:$J$224),0),
IF('TL01'!$B$229=O$3,SUMIF('TL01'!$C$238:$C$451,$C398,'TL01'!$J$238:$J$451),0),
IF('TL02'!$B$3=O$3,SUMIF('TL02'!$C$10:$C$224,$C398,'TL02'!$J$10:$J$224),0),
IF('TL02'!$B$229=O$3,SUMIF('TL02'!$C$238:$C$451,$C398,'TL02'!$J$238:$J$451),0),
IF('TL03'!$B$3=O$3,SUMIF('TL03'!$C$10:$C$224,$C398,'TL03'!$J$10:$J$224),0),
IF('TL03'!$B$229=O$3,SUMIF('TL03'!$C$238:$C$451,$C398,'TL03'!$J$238:$J$451),0),
IF('TL04'!$B$3=O$3,SUMIF('TL04'!$C$10:$C$224,$C398,'TL04'!$J$10:$J$224),0),
IF('TL04'!$B$229=O$3,SUMIF('TL04'!$C$238:$C$451,$C398,'TL04'!$J$238:$J$451),0),
IF('TL05'!$B$3=O$3,SUMIF('TL05'!$C$10:$C$224,$C398,'TL05'!$J$10:$J$224),0),
IF('TL05'!$B$229=O$3,SUMIF('TL05'!$C$238:$C$451,$C398,'TL05'!$J$238:$J$451),0),
IF('TL06'!$B$3=O$3,SUMIF('TL06'!$C$10:$C$224,$C398,'TL06'!$J$10:$J$224),0),
IF('TL06'!$B$229=O$3,SUMIF('TL06'!$C$238:$C$451,$C398,'TL06'!$J$238:$J$451),0),
IF('TL07'!$B$3=O$3,SUMIF('TL07'!$C$10:$C$224,$C398,'TL07'!$J$10:$J$224),0),
IF('TL07'!$B$229=O$3,SUMIF('TL07'!$C$238:$C$451,$C398,'TL07'!$J$238:$J$451),0),
IF('TL08'!$B$3=O$3,SUMIF('TL08'!$C$10:$C$224,$C398,'TL08'!$J$10:$J$224),0),
IF('TL08'!$B$229=O$3,SUMIF('TL08'!$C$238:$C$451,$C398,'TL08'!$J$238:$J$451),0),
IF('TL09'!$B$3=O$3,SUMIF('TL09'!$C$10:$C$224,$C398,'TL09'!$J$10:$J$224),0),
IF('TL09'!$B$229=O$3,SUMIF('TL09'!$C$238:$C$451,$C398,'TL09'!$J$238:$J$451),0),
IF('TL10'!$B$3=O$3,SUMIF('TL10'!$C$10:$C$224,$C398,'TL10'!$J$10:$J$224),0),
IF('TL10'!$B$229=O$3,SUMIF('TL10'!$C$238:$C$451,$C398,'TL10'!$J$238:$J$451),0),
IF('TL11'!$B$3=O$3,SUMIF('TL11'!$C$10:$C$224,$C398,'TL11'!$J$10:$J$224),0),
IF('TL11'!$B$229=O$3,SUMIF('TL11'!$C$238:$C$451,$C398,'TL11'!$J$238:$J$451),0),
IF('TL12'!$B$3=O$3,SUMIF('TL12'!$C$10:$C$224,$C398,'TL12'!$J$10:$J$224),0),
IF('TL12'!$B$229=O$3,SUMIF('TL12'!$C$238:$C$451,$C398,'TL12'!$J$238:$J$451),0),
IF('TL13'!$B$3=O$3,SUMIF('TL13'!$C$10:$C$224,$C398,'TL13'!$J$10:$J$224),0),
IF('TL13'!$B$229=O$3,SUMIF('TL13'!$C$238:$C$451,$C398,'TL13'!$J$238:$J$451),0),
IF('TL14'!$B$3=O$3,SUMIF('TL14'!$C$10:$C$224,$C398,'TL14'!$J$10:$J$224),0),
IF('TL14'!$B$229=O$3,SUMIF('TL14'!$C$238:$C$451,$C398,'TL14'!$J$238:$J$451),0),
IF('TL15'!$B$3=O$3,SUMIF('TL15'!$C$10:$C$224,$C398,'TL15'!$J$10:$J$224),0),
IF('TL15'!$B$229=O$3,SUMIF('TL15'!$C$238:$C$451,$C398,'TL15'!$J$238:$J$451),0),
IF('TL16'!$B$3=O$3,SUMIF('TL16'!$C$10:$C$224,$C398,'TL16'!$J$10:$J$224),0),
IF('TL16'!$B$229=O$3,SUMIF('TL16'!$C$238:$C$451,$C398,'TL16'!$J$238:$J$451),0),
IF('TL17'!$B$3=O$3,SUMIF('TL17'!$C$10:$C$224,$C398,'TL17'!$J$10:$J$224),0),
IF('TL17'!$B$229=O$3,SUMIF('TL17'!$C$238:$C$451,$C398,'TL17'!$J$238:$J$451),0),
IF('TL18'!$B$3=O$3,SUMIF('TL18'!$C$10:$C$224,$C398,'TL18'!$J$10:$J$224),0),
IF('TL18'!$B$229=O$3,SUMIF('TL18'!$C$238:$C$451,$C398,'TL18'!$J$238:$J$451),0),
IF('TL19'!$B$3=O$3,SUMIF('TL19'!$C$10:$C$224,$C398,'TL19'!$J$10:$J$224),0),
IF('TL19'!$B$229=O$3,SUMIF('TL19'!$C$238:$C$451,$C398,'TL19'!$J$238:$J$451),0)
),0)</f>
        <v>17.6</v>
      </c>
      <c r="P398" s="136">
        <f>IFERROR(SUM(
IF('TL01'!$B$3=P$3,SUMIF('TL01'!$C$10:$C$224,$C398,'TL01'!$J$10:$J$224),0),
IF('TL01'!$B$229=P$3,SUMIF('TL01'!$C$238:$C$451,$C398,'TL01'!$J$238:$J$451),0),
IF('TL02'!$B$3=P$3,SUMIF('TL02'!$C$10:$C$224,$C398,'TL02'!$J$10:$J$224),0),
IF('TL02'!$B$229=P$3,SUMIF('TL02'!$C$238:$C$451,$C398,'TL02'!$J$238:$J$451),0),
IF('TL03'!$B$3=P$3,SUMIF('TL03'!$C$10:$C$224,$C398,'TL03'!$J$10:$J$224),0),
IF('TL03'!$B$229=P$3,SUMIF('TL03'!$C$238:$C$451,$C398,'TL03'!$J$238:$J$451),0),
IF('TL04'!$B$3=P$3,SUMIF('TL04'!$C$10:$C$224,$C398,'TL04'!$J$10:$J$224),0),
IF('TL04'!$B$229=P$3,SUMIF('TL04'!$C$238:$C$451,$C398,'TL04'!$J$238:$J$451),0),
IF('TL05'!$B$3=P$3,SUMIF('TL05'!$C$10:$C$224,$C398,'TL05'!$J$10:$J$224),0),
IF('TL05'!$B$229=P$3,SUMIF('TL05'!$C$238:$C$451,$C398,'TL05'!$J$238:$J$451),0),
IF('TL06'!$B$3=P$3,SUMIF('TL06'!$C$10:$C$224,$C398,'TL06'!$J$10:$J$224),0),
IF('TL06'!$B$229=P$3,SUMIF('TL06'!$C$238:$C$451,$C398,'TL06'!$J$238:$J$451),0),
IF('TL07'!$B$3=P$3,SUMIF('TL07'!$C$10:$C$224,$C398,'TL07'!$J$10:$J$224),0),
IF('TL07'!$B$229=P$3,SUMIF('TL07'!$C$238:$C$451,$C398,'TL07'!$J$238:$J$451),0),
IF('TL08'!$B$3=P$3,SUMIF('TL08'!$C$10:$C$224,$C398,'TL08'!$J$10:$J$224),0),
IF('TL08'!$B$229=P$3,SUMIF('TL08'!$C$238:$C$451,$C398,'TL08'!$J$238:$J$451),0),
IF('TL09'!$B$3=P$3,SUMIF('TL09'!$C$10:$C$224,$C398,'TL09'!$J$10:$J$224),0),
IF('TL09'!$B$229=P$3,SUMIF('TL09'!$C$238:$C$451,$C398,'TL09'!$J$238:$J$451),0),
IF('TL10'!$B$3=P$3,SUMIF('TL10'!$C$10:$C$224,$C398,'TL10'!$J$10:$J$224),0),
IF('TL10'!$B$229=P$3,SUMIF('TL10'!$C$238:$C$451,$C398,'TL10'!$J$238:$J$451),0),
IF('TL11'!$B$3=P$3,SUMIF('TL11'!$C$10:$C$224,$C398,'TL11'!$J$10:$J$224),0),
IF('TL11'!$B$229=P$3,SUMIF('TL11'!$C$238:$C$451,$C398,'TL11'!$J$238:$J$451),0),
IF('TL12'!$B$3=P$3,SUMIF('TL12'!$C$10:$C$224,$C398,'TL12'!$J$10:$J$224),0),
IF('TL12'!$B$229=P$3,SUMIF('TL12'!$C$238:$C$451,$C398,'TL12'!$J$238:$J$451),0),
IF('TL13'!$B$3=P$3,SUMIF('TL13'!$C$10:$C$224,$C398,'TL13'!$J$10:$J$224),0),
IF('TL13'!$B$229=P$3,SUMIF('TL13'!$C$238:$C$451,$C398,'TL13'!$J$238:$J$451),0),
IF('TL14'!$B$3=P$3,SUMIF('TL14'!$C$10:$C$224,$C398,'TL14'!$J$10:$J$224),0),
IF('TL14'!$B$229=P$3,SUMIF('TL14'!$C$238:$C$451,$C398,'TL14'!$J$238:$J$451),0),
IF('TL15'!$B$3=P$3,SUMIF('TL15'!$C$10:$C$224,$C398,'TL15'!$J$10:$J$224),0),
IF('TL15'!$B$229=P$3,SUMIF('TL15'!$C$238:$C$451,$C398,'TL15'!$J$238:$J$451),0),
IF('TL16'!$B$3=P$3,SUMIF('TL16'!$C$10:$C$224,$C398,'TL16'!$J$10:$J$224),0),
IF('TL16'!$B$229=P$3,SUMIF('TL16'!$C$238:$C$451,$C398,'TL16'!$J$238:$J$451),0),
IF('TL17'!$B$3=P$3,SUMIF('TL17'!$C$10:$C$224,$C398,'TL17'!$J$10:$J$224),0),
IF('TL17'!$B$229=P$3,SUMIF('TL17'!$C$238:$C$451,$C398,'TL17'!$J$238:$J$451),0),
IF('TL18'!$B$3=P$3,SUMIF('TL18'!$C$10:$C$224,$C398,'TL18'!$J$10:$J$224),0),
IF('TL18'!$B$229=P$3,SUMIF('TL18'!$C$238:$C$451,$C398,'TL18'!$J$238:$J$451),0),
IF('TL19'!$B$3=P$3,SUMIF('TL19'!$C$10:$C$224,$C398,'TL19'!$J$10:$J$224),0),
IF('TL19'!$B$229=P$3,SUMIF('TL19'!$C$238:$C$451,$C398,'TL19'!$J$238:$J$451),0)
),0)</f>
        <v>98.658</v>
      </c>
      <c r="Q398" s="136">
        <f>IFERROR(SUM(
IF('TL01'!$B$3=Q$3,SUMIF('TL01'!$C$10:$C$224,$C398,'TL01'!$J$10:$J$224),0),
IF('TL01'!$B$229=Q$3,SUMIF('TL01'!$C$238:$C$451,$C398,'TL01'!$J$238:$J$451),0),
IF('TL02'!$B$3=Q$3,SUMIF('TL02'!$C$10:$C$224,$C398,'TL02'!$J$10:$J$224),0),
IF('TL02'!$B$229=Q$3,SUMIF('TL02'!$C$238:$C$451,$C398,'TL02'!$J$238:$J$451),0),
IF('TL03'!$B$3=Q$3,SUMIF('TL03'!$C$10:$C$224,$C398,'TL03'!$J$10:$J$224),0),
IF('TL03'!$B$229=Q$3,SUMIF('TL03'!$C$238:$C$451,$C398,'TL03'!$J$238:$J$451),0),
IF('TL04'!$B$3=Q$3,SUMIF('TL04'!$C$10:$C$224,$C398,'TL04'!$J$10:$J$224),0),
IF('TL04'!$B$229=Q$3,SUMIF('TL04'!$C$238:$C$451,$C398,'TL04'!$J$238:$J$451),0),
IF('TL05'!$B$3=Q$3,SUMIF('TL05'!$C$10:$C$224,$C398,'TL05'!$J$10:$J$224),0),
IF('TL05'!$B$229=Q$3,SUMIF('TL05'!$C$238:$C$451,$C398,'TL05'!$J$238:$J$451),0),
IF('TL06'!$B$3=Q$3,SUMIF('TL06'!$C$10:$C$224,$C398,'TL06'!$J$10:$J$224),0),
IF('TL06'!$B$229=Q$3,SUMIF('TL06'!$C$238:$C$451,$C398,'TL06'!$J$238:$J$451),0),
IF('TL07'!$B$3=Q$3,SUMIF('TL07'!$C$10:$C$224,$C398,'TL07'!$J$10:$J$224),0),
IF('TL07'!$B$229=Q$3,SUMIF('TL07'!$C$238:$C$451,$C398,'TL07'!$J$238:$J$451),0),
IF('TL08'!$B$3=Q$3,SUMIF('TL08'!$C$10:$C$224,$C398,'TL08'!$J$10:$J$224),0),
IF('TL08'!$B$229=Q$3,SUMIF('TL08'!$C$238:$C$451,$C398,'TL08'!$J$238:$J$451),0),
IF('TL09'!$B$3=Q$3,SUMIF('TL09'!$C$10:$C$224,$C398,'TL09'!$J$10:$J$224),0),
IF('TL09'!$B$229=Q$3,SUMIF('TL09'!$C$238:$C$451,$C398,'TL09'!$J$238:$J$451),0),
IF('TL10'!$B$3=Q$3,SUMIF('TL10'!$C$10:$C$224,$C398,'TL10'!$J$10:$J$224),0),
IF('TL10'!$B$229=Q$3,SUMIF('TL10'!$C$238:$C$451,$C398,'TL10'!$J$238:$J$451),0),
IF('TL11'!$B$3=Q$3,SUMIF('TL11'!$C$10:$C$224,$C398,'TL11'!$J$10:$J$224),0),
IF('TL11'!$B$229=Q$3,SUMIF('TL11'!$C$238:$C$451,$C398,'TL11'!$J$238:$J$451),0),
IF('TL12'!$B$3=Q$3,SUMIF('TL12'!$C$10:$C$224,$C398,'TL12'!$J$10:$J$224),0),
IF('TL12'!$B$229=Q$3,SUMIF('TL12'!$C$238:$C$451,$C398,'TL12'!$J$238:$J$451),0),
IF('TL13'!$B$3=Q$3,SUMIF('TL13'!$C$10:$C$224,$C398,'TL13'!$J$10:$J$224),0),
IF('TL13'!$B$229=Q$3,SUMIF('TL13'!$C$238:$C$451,$C398,'TL13'!$J$238:$J$451),0),
IF('TL14'!$B$3=Q$3,SUMIF('TL14'!$C$10:$C$224,$C398,'TL14'!$J$10:$J$224),0),
IF('TL14'!$B$229=Q$3,SUMIF('TL14'!$C$238:$C$451,$C398,'TL14'!$J$238:$J$451),0),
IF('TL15'!$B$3=Q$3,SUMIF('TL15'!$C$10:$C$224,$C398,'TL15'!$J$10:$J$224),0),
IF('TL15'!$B$229=Q$3,SUMIF('TL15'!$C$238:$C$451,$C398,'TL15'!$J$238:$J$451),0),
IF('TL16'!$B$3=Q$3,SUMIF('TL16'!$C$10:$C$224,$C398,'TL16'!$J$10:$J$224),0),
IF('TL16'!$B$229=Q$3,SUMIF('TL16'!$C$238:$C$451,$C398,'TL16'!$J$238:$J$451),0),
IF('TL17'!$B$3=Q$3,SUMIF('TL17'!$C$10:$C$224,$C398,'TL17'!$J$10:$J$224),0),
IF('TL17'!$B$229=Q$3,SUMIF('TL17'!$C$238:$C$451,$C398,'TL17'!$J$238:$J$451),0),
IF('TL18'!$B$3=Q$3,SUMIF('TL18'!$C$10:$C$224,$C398,'TL18'!$J$10:$J$224),0),
IF('TL18'!$B$229=Q$3,SUMIF('TL18'!$C$238:$C$451,$C398,'TL18'!$J$238:$J$451),0),
IF('TL19'!$B$3=Q$3,SUMIF('TL19'!$C$10:$C$224,$C398,'TL19'!$J$10:$J$224),0),
IF('TL19'!$B$229=Q$3,SUMIF('TL19'!$C$238:$C$451,$C398,'TL19'!$J$238:$J$451),0)
),0)</f>
        <v>25.92</v>
      </c>
      <c r="R398" s="139">
        <f>IFERROR(
SUM(
SUMIF('TL01'!C:C,C398,'TL01'!J:J),
SUMIF('TL02'!C:C,C398,'TL02'!I:I),
SUMIF('TL03'!C:C,C398,'TL03'!I:I),
SUMIF('TL04'!C:C,C398,'TL04'!I:I),
SUMIF('TL05'!C:C,C398,'TL05'!I:I),
SUMIF('TL06'!C:C,C398,'TL06'!I:I),
SUMIF('TL07'!C:C,C398,'TL07'!I:I),
SUMIF('TL08'!C:C,C398,'TL08'!I:I),
SUMIF('TL09'!C:C,C398,'TL09'!I:I),
SUMIF('TL10'!C:C,C398,'TL10'!I:I),
SUMIF('TL11'!C:C,C398,'TL11'!I:I),
SUMIF('TL12'!C:C,C398,'TL12'!I:I),
SUMIF('TL13'!C:C,C398,'TL13'!I:I),
SUMIF('TL14'!C:C,C398,'TL14'!I:I),
SUMIF('TL15'!C:C,C398,'TL15'!I:I),
SUMIF('TL16'!C:C,C398,'TL16'!I:I),
SUMIF('TL17'!C:C,C398,'TL17'!I:I),
SUMIF('TL18'!C:C,C398,'TL18'!I:I))
,0)</f>
        <v>23.165</v>
      </c>
      <c r="S398" s="142">
        <f>'CUSTO OPERAÇÃO'!M2</f>
        <v>450</v>
      </c>
      <c r="T398" s="139"/>
      <c r="U398" s="143">
        <f t="shared" si="2"/>
        <v>23.165</v>
      </c>
      <c r="V398" s="144">
        <f t="shared" si="3"/>
        <v>10424.25</v>
      </c>
    </row>
    <row r="399" ht="15.75" hidden="1" customHeight="1">
      <c r="A399" s="145"/>
      <c r="B399" s="146" t="s">
        <v>10</v>
      </c>
      <c r="C399" s="147" t="str">
        <f>'CUSTO OPERAÇÃO'!D3</f>
        <v>CASE MAGNUM 340 + - CASE ASM 1213</v>
      </c>
      <c r="D399" s="147"/>
      <c r="E399" s="148"/>
      <c r="F399" s="138" t="s">
        <v>1133</v>
      </c>
      <c r="G399" s="139"/>
      <c r="H399" s="140">
        <f>'CUSTO OPERAÇÃO'!J3</f>
        <v>0.1292824822</v>
      </c>
      <c r="I399" s="149"/>
      <c r="J399" s="147">
        <f>IFERROR(SUM(
IF('TL01'!$B$3=J$3,SUMIF('TL01'!$C$10:$C$224,$C399,'TL01'!$J$10:$J$224),0),
IF('TL01'!$B$229=J$3,SUMIF('TL01'!$C$238:$C$451,$C399,'TL01'!$J$238:$J$451),0),
IF('TL02'!$B$3=J$3,SUMIF('TL02'!$C$10:$C$224,$C399,'TL02'!$J$10:$J$224),0),
IF('TL02'!$B$229=J$3,SUMIF('TL02'!$C$238:$C$451,$C399,'TL02'!$J$238:$J$451),0),
IF('TL03'!$B$3=J$3,SUMIF('TL03'!$C$10:$C$224,$C399,'TL03'!$J$10:$J$224),0),
IF('TL03'!$B$229=J$3,SUMIF('TL03'!$C$238:$C$451,$C399,'TL03'!$J$238:$J$451),0),
IF('TL04'!$B$3=J$3,SUMIF('TL04'!$C$10:$C$224,$C399,'TL04'!$J$10:$J$224),0),
IF('TL04'!$B$229=J$3,SUMIF('TL04'!$C$238:$C$451,$C399,'TL04'!$J$238:$J$451),0),
IF('TL05'!$B$3=J$3,SUMIF('TL05'!$C$10:$C$224,$C399,'TL05'!$J$10:$J$224),0),
IF('TL05'!$B$229=J$3,SUMIF('TL05'!$C$238:$C$451,$C399,'TL05'!$J$238:$J$451),0),
IF('TL06'!$B$3=J$3,SUMIF('TL06'!$C$10:$C$224,$C399,'TL06'!$J$10:$J$224),0),
IF('TL06'!$B$229=J$3,SUMIF('TL06'!$C$238:$C$451,$C399,'TL06'!$J$238:$J$451),0),
IF('TL07'!$B$3=J$3,SUMIF('TL07'!$C$10:$C$224,$C399,'TL07'!$J$10:$J$224),0),
IF('TL07'!$B$229=J$3,SUMIF('TL07'!$C$238:$C$451,$C399,'TL07'!$J$238:$J$451),0),
IF('TL08'!$B$3=J$3,SUMIF('TL08'!$C$10:$C$224,$C399,'TL08'!$J$10:$J$224),0),
IF('TL08'!$B$229=J$3,SUMIF('TL08'!$C$238:$C$451,$C399,'TL08'!$J$238:$J$451),0),
IF('TL09'!$B$3=J$3,SUMIF('TL09'!$C$10:$C$224,$C399,'TL09'!$J$10:$J$224),0),
IF('TL09'!$B$229=J$3,SUMIF('TL09'!$C$238:$C$451,$C399,'TL09'!$J$238:$J$451),0),
IF('TL10'!$B$3=J$3,SUMIF('TL10'!$C$10:$C$224,$C399,'TL10'!$J$10:$J$224),0),
IF('TL10'!$B$229=J$3,SUMIF('TL10'!$C$238:$C$451,$C399,'TL10'!$J$238:$J$451),0),
IF('TL11'!$B$3=J$3,SUMIF('TL11'!$C$10:$C$224,$C399,'TL11'!$J$10:$J$224),0),
IF('TL11'!$B$229=J$3,SUMIF('TL11'!$C$238:$C$451,$C399,'TL11'!$J$238:$J$451),0),
IF('TL12'!$B$3=J$3,SUMIF('TL12'!$C$10:$C$224,$C399,'TL12'!$J$10:$J$224),0),
IF('TL12'!$B$229=J$3,SUMIF('TL12'!$C$238:$C$451,$C399,'TL12'!$J$238:$J$451),0),
IF('TL13'!$B$3=J$3,SUMIF('TL13'!$C$10:$C$224,$C399,'TL13'!$J$10:$J$224),0),
IF('TL13'!$B$229=J$3,SUMIF('TL13'!$C$238:$C$451,$C399,'TL13'!$J$238:$J$451),0),
IF('TL14'!$B$3=J$3,SUMIF('TL14'!$C$10:$C$224,$C399,'TL14'!$J$10:$J$224),0),
IF('TL14'!$B$229=J$3,SUMIF('TL14'!$C$238:$C$451,$C399,'TL14'!$J$238:$J$451),0),
IF('TL15'!$B$3=J$3,SUMIF('TL15'!$C$10:$C$224,$C399,'TL15'!$J$10:$J$224),0),
IF('TL15'!$B$229=J$3,SUMIF('TL15'!$C$238:$C$451,$C399,'TL15'!$J$238:$J$451),0),
IF('TL16'!$B$3=J$3,SUMIF('TL16'!$C$10:$C$224,$C399,'TL16'!$J$10:$J$224),0),
IF('TL16'!$B$229=J$3,SUMIF('TL16'!$C$238:$C$451,$C399,'TL16'!$J$238:$J$451),0),
IF('TL17'!$B$3=J$3,SUMIF('TL17'!$C$10:$C$224,$C399,'TL17'!$J$10:$J$224),0),
IF('TL17'!$B$229=J$3,SUMIF('TL17'!$C$238:$C$451,$C399,'TL17'!$J$238:$J$451),0),
IF('TL18'!$B$3=J$3,SUMIF('TL18'!$C$10:$C$224,$C399,'TL18'!$J$10:$J$224),0),
IF('TL18'!$B$229=J$3,SUMIF('TL18'!$C$238:$C$451,$C399,'TL18'!$J$238:$J$451),0),
IF('TL19'!$B$3=J$3,SUMIF('TL19'!$C$10:$C$224,$C399,'TL19'!$J$10:$J$224),0),
IF('TL19'!$B$229=J$3,SUMIF('TL19'!$C$238:$C$451,$C399,'TL19'!$J$238:$J$451),0)
),0)</f>
        <v>0</v>
      </c>
      <c r="K399" s="147">
        <f>IFERROR(SUM(
IF('TL01'!$B$3=K$3,SUMIF('TL01'!$C$10:$C$224,$C399,'TL01'!$J$10:$J$224),0),
IF('TL01'!$B$229=K$3,SUMIF('TL01'!$C$238:$C$451,$C399,'TL01'!$J$238:$J$451),0),
IF('TL02'!$B$3=K$3,SUMIF('TL02'!$C$10:$C$224,$C399,'TL02'!$J$10:$J$224),0),
IF('TL02'!$B$229=K$3,SUMIF('TL02'!$C$238:$C$451,$C399,'TL02'!$J$238:$J$451),0),
IF('TL03'!$B$3=K$3,SUMIF('TL03'!$C$10:$C$224,$C399,'TL03'!$J$10:$J$224),0),
IF('TL03'!$B$229=K$3,SUMIF('TL03'!$C$238:$C$451,$C399,'TL03'!$J$238:$J$451),0),
IF('TL04'!$B$3=K$3,SUMIF('TL04'!$C$10:$C$224,$C399,'TL04'!$J$10:$J$224),0),
IF('TL04'!$B$229=K$3,SUMIF('TL04'!$C$238:$C$451,$C399,'TL04'!$J$238:$J$451),0),
IF('TL05'!$B$3=K$3,SUMIF('TL05'!$C$10:$C$224,$C399,'TL05'!$J$10:$J$224),0),
IF('TL05'!$B$229=K$3,SUMIF('TL05'!$C$238:$C$451,$C399,'TL05'!$J$238:$J$451),0),
IF('TL06'!$B$3=K$3,SUMIF('TL06'!$C$10:$C$224,$C399,'TL06'!$J$10:$J$224),0),
IF('TL06'!$B$229=K$3,SUMIF('TL06'!$C$238:$C$451,$C399,'TL06'!$J$238:$J$451),0),
IF('TL07'!$B$3=K$3,SUMIF('TL07'!$C$10:$C$224,$C399,'TL07'!$J$10:$J$224),0),
IF('TL07'!$B$229=K$3,SUMIF('TL07'!$C$238:$C$451,$C399,'TL07'!$J$238:$J$451),0),
IF('TL08'!$B$3=K$3,SUMIF('TL08'!$C$10:$C$224,$C399,'TL08'!$J$10:$J$224),0),
IF('TL08'!$B$229=K$3,SUMIF('TL08'!$C$238:$C$451,$C399,'TL08'!$J$238:$J$451),0),
IF('TL09'!$B$3=K$3,SUMIF('TL09'!$C$10:$C$224,$C399,'TL09'!$J$10:$J$224),0),
IF('TL09'!$B$229=K$3,SUMIF('TL09'!$C$238:$C$451,$C399,'TL09'!$J$238:$J$451),0),
IF('TL10'!$B$3=K$3,SUMIF('TL10'!$C$10:$C$224,$C399,'TL10'!$J$10:$J$224),0),
IF('TL10'!$B$229=K$3,SUMIF('TL10'!$C$238:$C$451,$C399,'TL10'!$J$238:$J$451),0),
IF('TL11'!$B$3=K$3,SUMIF('TL11'!$C$10:$C$224,$C399,'TL11'!$J$10:$J$224),0),
IF('TL11'!$B$229=K$3,SUMIF('TL11'!$C$238:$C$451,$C399,'TL11'!$J$238:$J$451),0),
IF('TL12'!$B$3=K$3,SUMIF('TL12'!$C$10:$C$224,$C399,'TL12'!$J$10:$J$224),0),
IF('TL12'!$B$229=K$3,SUMIF('TL12'!$C$238:$C$451,$C399,'TL12'!$J$238:$J$451),0),
IF('TL13'!$B$3=K$3,SUMIF('TL13'!$C$10:$C$224,$C399,'TL13'!$J$10:$J$224),0),
IF('TL13'!$B$229=K$3,SUMIF('TL13'!$C$238:$C$451,$C399,'TL13'!$J$238:$J$451),0),
IF('TL14'!$B$3=K$3,SUMIF('TL14'!$C$10:$C$224,$C399,'TL14'!$J$10:$J$224),0),
IF('TL14'!$B$229=K$3,SUMIF('TL14'!$C$238:$C$451,$C399,'TL14'!$J$238:$J$451),0),
IF('TL15'!$B$3=K$3,SUMIF('TL15'!$C$10:$C$224,$C399,'TL15'!$J$10:$J$224),0),
IF('TL15'!$B$229=K$3,SUMIF('TL15'!$C$238:$C$451,$C399,'TL15'!$J$238:$J$451),0),
IF('TL16'!$B$3=K$3,SUMIF('TL16'!$C$10:$C$224,$C399,'TL16'!$J$10:$J$224),0),
IF('TL16'!$B$229=K$3,SUMIF('TL16'!$C$238:$C$451,$C399,'TL16'!$J$238:$J$451),0),
IF('TL17'!$B$3=K$3,SUMIF('TL17'!$C$10:$C$224,$C399,'TL17'!$J$10:$J$224),0),
IF('TL17'!$B$229=K$3,SUMIF('TL17'!$C$238:$C$451,$C399,'TL17'!$J$238:$J$451),0),
IF('TL18'!$B$3=K$3,SUMIF('TL18'!$C$10:$C$224,$C399,'TL18'!$J$10:$J$224),0),
IF('TL18'!$B$229=K$3,SUMIF('TL18'!$C$238:$C$451,$C399,'TL18'!$J$238:$J$451),0),
IF('TL19'!$B$3=K$3,SUMIF('TL19'!$C$10:$C$224,$C399,'TL19'!$J$10:$J$224),0),
IF('TL19'!$B$229=K$3,SUMIF('TL19'!$C$238:$C$451,$C399,'TL19'!$J$238:$J$451),0)
),0)</f>
        <v>0</v>
      </c>
      <c r="L399" s="147">
        <f>IFERROR(SUM(
IF('TL01'!$B$3=L$3,SUMIF('TL01'!$C$10:$C$224,$C399,'TL01'!$J$10:$J$224),0),
IF('TL01'!$B$229=L$3,SUMIF('TL01'!$C$238:$C$451,$C399,'TL01'!$J$238:$J$451),0),
IF('TL02'!$B$3=L$3,SUMIF('TL02'!$C$10:$C$224,$C399,'TL02'!$J$10:$J$224),0),
IF('TL02'!$B$229=L$3,SUMIF('TL02'!$C$238:$C$451,$C399,'TL02'!$J$238:$J$451),0),
IF('TL03'!$B$3=L$3,SUMIF('TL03'!$C$10:$C$224,$C399,'TL03'!$J$10:$J$224),0),
IF('TL03'!$B$229=L$3,SUMIF('TL03'!$C$238:$C$451,$C399,'TL03'!$J$238:$J$451),0),
IF('TL04'!$B$3=L$3,SUMIF('TL04'!$C$10:$C$224,$C399,'TL04'!$J$10:$J$224),0),
IF('TL04'!$B$229=L$3,SUMIF('TL04'!$C$238:$C$451,$C399,'TL04'!$J$238:$J$451),0),
IF('TL05'!$B$3=L$3,SUMIF('TL05'!$C$10:$C$224,$C399,'TL05'!$J$10:$J$224),0),
IF('TL05'!$B$229=L$3,SUMIF('TL05'!$C$238:$C$451,$C399,'TL05'!$J$238:$J$451),0),
IF('TL06'!$B$3=L$3,SUMIF('TL06'!$C$10:$C$224,$C399,'TL06'!$J$10:$J$224),0),
IF('TL06'!$B$229=L$3,SUMIF('TL06'!$C$238:$C$451,$C399,'TL06'!$J$238:$J$451),0),
IF('TL07'!$B$3=L$3,SUMIF('TL07'!$C$10:$C$224,$C399,'TL07'!$J$10:$J$224),0),
IF('TL07'!$B$229=L$3,SUMIF('TL07'!$C$238:$C$451,$C399,'TL07'!$J$238:$J$451),0),
IF('TL08'!$B$3=L$3,SUMIF('TL08'!$C$10:$C$224,$C399,'TL08'!$J$10:$J$224),0),
IF('TL08'!$B$229=L$3,SUMIF('TL08'!$C$238:$C$451,$C399,'TL08'!$J$238:$J$451),0),
IF('TL09'!$B$3=L$3,SUMIF('TL09'!$C$10:$C$224,$C399,'TL09'!$J$10:$J$224),0),
IF('TL09'!$B$229=L$3,SUMIF('TL09'!$C$238:$C$451,$C399,'TL09'!$J$238:$J$451),0),
IF('TL10'!$B$3=L$3,SUMIF('TL10'!$C$10:$C$224,$C399,'TL10'!$J$10:$J$224),0),
IF('TL10'!$B$229=L$3,SUMIF('TL10'!$C$238:$C$451,$C399,'TL10'!$J$238:$J$451),0),
IF('TL11'!$B$3=L$3,SUMIF('TL11'!$C$10:$C$224,$C399,'TL11'!$J$10:$J$224),0),
IF('TL11'!$B$229=L$3,SUMIF('TL11'!$C$238:$C$451,$C399,'TL11'!$J$238:$J$451),0),
IF('TL12'!$B$3=L$3,SUMIF('TL12'!$C$10:$C$224,$C399,'TL12'!$J$10:$J$224),0),
IF('TL12'!$B$229=L$3,SUMIF('TL12'!$C$238:$C$451,$C399,'TL12'!$J$238:$J$451),0),
IF('TL13'!$B$3=L$3,SUMIF('TL13'!$C$10:$C$224,$C399,'TL13'!$J$10:$J$224),0),
IF('TL13'!$B$229=L$3,SUMIF('TL13'!$C$238:$C$451,$C399,'TL13'!$J$238:$J$451),0),
IF('TL14'!$B$3=L$3,SUMIF('TL14'!$C$10:$C$224,$C399,'TL14'!$J$10:$J$224),0),
IF('TL14'!$B$229=L$3,SUMIF('TL14'!$C$238:$C$451,$C399,'TL14'!$J$238:$J$451),0),
IF('TL15'!$B$3=L$3,SUMIF('TL15'!$C$10:$C$224,$C399,'TL15'!$J$10:$J$224),0),
IF('TL15'!$B$229=L$3,SUMIF('TL15'!$C$238:$C$451,$C399,'TL15'!$J$238:$J$451),0),
IF('TL16'!$B$3=L$3,SUMIF('TL16'!$C$10:$C$224,$C399,'TL16'!$J$10:$J$224),0),
IF('TL16'!$B$229=L$3,SUMIF('TL16'!$C$238:$C$451,$C399,'TL16'!$J$238:$J$451),0),
IF('TL17'!$B$3=L$3,SUMIF('TL17'!$C$10:$C$224,$C399,'TL17'!$J$10:$J$224),0),
IF('TL17'!$B$229=L$3,SUMIF('TL17'!$C$238:$C$451,$C399,'TL17'!$J$238:$J$451),0),
IF('TL18'!$B$3=L$3,SUMIF('TL18'!$C$10:$C$224,$C399,'TL18'!$J$10:$J$224),0),
IF('TL18'!$B$229=L$3,SUMIF('TL18'!$C$238:$C$451,$C399,'TL18'!$J$238:$J$451),0),
IF('TL19'!$B$3=L$3,SUMIF('TL19'!$C$10:$C$224,$C399,'TL19'!$J$10:$J$224),0),
IF('TL19'!$B$229=L$3,SUMIF('TL19'!$C$238:$C$451,$C399,'TL19'!$J$238:$J$451),0)
),0)</f>
        <v>0</v>
      </c>
      <c r="M399" s="147">
        <f>IFERROR(SUM(
IF('TL01'!$B$3=M$3,SUMIF('TL01'!$C$10:$C$224,$C399,'TL01'!$J$10:$J$224),0),
IF('TL01'!$B$229=M$3,SUMIF('TL01'!$C$238:$C$451,$C399,'TL01'!$J$238:$J$451),0),
IF('TL02'!$B$3=M$3,SUMIF('TL02'!$C$10:$C$224,$C399,'TL02'!$J$10:$J$224),0),
IF('TL02'!$B$229=M$3,SUMIF('TL02'!$C$238:$C$451,$C399,'TL02'!$J$238:$J$451),0),
IF('TL03'!$B$3=M$3,SUMIF('TL03'!$C$10:$C$224,$C399,'TL03'!$J$10:$J$224),0),
IF('TL03'!$B$229=M$3,SUMIF('TL03'!$C$238:$C$451,$C399,'TL03'!$J$238:$J$451),0),
IF('TL04'!$B$3=M$3,SUMIF('TL04'!$C$10:$C$224,$C399,'TL04'!$J$10:$J$224),0),
IF('TL04'!$B$229=M$3,SUMIF('TL04'!$C$238:$C$451,$C399,'TL04'!$J$238:$J$451),0),
IF('TL05'!$B$3=M$3,SUMIF('TL05'!$C$10:$C$224,$C399,'TL05'!$J$10:$J$224),0),
IF('TL05'!$B$229=M$3,SUMIF('TL05'!$C$238:$C$451,$C399,'TL05'!$J$238:$J$451),0),
IF('TL06'!$B$3=M$3,SUMIF('TL06'!$C$10:$C$224,$C399,'TL06'!$J$10:$J$224),0),
IF('TL06'!$B$229=M$3,SUMIF('TL06'!$C$238:$C$451,$C399,'TL06'!$J$238:$J$451),0),
IF('TL07'!$B$3=M$3,SUMIF('TL07'!$C$10:$C$224,$C399,'TL07'!$J$10:$J$224),0),
IF('TL07'!$B$229=M$3,SUMIF('TL07'!$C$238:$C$451,$C399,'TL07'!$J$238:$J$451),0),
IF('TL08'!$B$3=M$3,SUMIF('TL08'!$C$10:$C$224,$C399,'TL08'!$J$10:$J$224),0),
IF('TL08'!$B$229=M$3,SUMIF('TL08'!$C$238:$C$451,$C399,'TL08'!$J$238:$J$451),0),
IF('TL09'!$B$3=M$3,SUMIF('TL09'!$C$10:$C$224,$C399,'TL09'!$J$10:$J$224),0),
IF('TL09'!$B$229=M$3,SUMIF('TL09'!$C$238:$C$451,$C399,'TL09'!$J$238:$J$451),0),
IF('TL10'!$B$3=M$3,SUMIF('TL10'!$C$10:$C$224,$C399,'TL10'!$J$10:$J$224),0),
IF('TL10'!$B$229=M$3,SUMIF('TL10'!$C$238:$C$451,$C399,'TL10'!$J$238:$J$451),0),
IF('TL11'!$B$3=M$3,SUMIF('TL11'!$C$10:$C$224,$C399,'TL11'!$J$10:$J$224),0),
IF('TL11'!$B$229=M$3,SUMIF('TL11'!$C$238:$C$451,$C399,'TL11'!$J$238:$J$451),0),
IF('TL12'!$B$3=M$3,SUMIF('TL12'!$C$10:$C$224,$C399,'TL12'!$J$10:$J$224),0),
IF('TL12'!$B$229=M$3,SUMIF('TL12'!$C$238:$C$451,$C399,'TL12'!$J$238:$J$451),0),
IF('TL13'!$B$3=M$3,SUMIF('TL13'!$C$10:$C$224,$C399,'TL13'!$J$10:$J$224),0),
IF('TL13'!$B$229=M$3,SUMIF('TL13'!$C$238:$C$451,$C399,'TL13'!$J$238:$J$451),0),
IF('TL14'!$B$3=M$3,SUMIF('TL14'!$C$10:$C$224,$C399,'TL14'!$J$10:$J$224),0),
IF('TL14'!$B$229=M$3,SUMIF('TL14'!$C$238:$C$451,$C399,'TL14'!$J$238:$J$451),0),
IF('TL15'!$B$3=M$3,SUMIF('TL15'!$C$10:$C$224,$C399,'TL15'!$J$10:$J$224),0),
IF('TL15'!$B$229=M$3,SUMIF('TL15'!$C$238:$C$451,$C399,'TL15'!$J$238:$J$451),0),
IF('TL16'!$B$3=M$3,SUMIF('TL16'!$C$10:$C$224,$C399,'TL16'!$J$10:$J$224),0),
IF('TL16'!$B$229=M$3,SUMIF('TL16'!$C$238:$C$451,$C399,'TL16'!$J$238:$J$451),0),
IF('TL17'!$B$3=M$3,SUMIF('TL17'!$C$10:$C$224,$C399,'TL17'!$J$10:$J$224),0),
IF('TL17'!$B$229=M$3,SUMIF('TL17'!$C$238:$C$451,$C399,'TL17'!$J$238:$J$451),0),
IF('TL18'!$B$3=M$3,SUMIF('TL18'!$C$10:$C$224,$C399,'TL18'!$J$10:$J$224),0),
IF('TL18'!$B$229=M$3,SUMIF('TL18'!$C$238:$C$451,$C399,'TL18'!$J$238:$J$451),0),
IF('TL19'!$B$3=M$3,SUMIF('TL19'!$C$10:$C$224,$C399,'TL19'!$J$10:$J$224),0),
IF('TL19'!$B$229=M$3,SUMIF('TL19'!$C$238:$C$451,$C399,'TL19'!$J$238:$J$451),0)
),0)</f>
        <v>0</v>
      </c>
      <c r="N399" s="147">
        <f>IFERROR(SUM(
IF('TL01'!$B$3=N$3,SUMIF('TL01'!$C$10:$C$224,$C399,'TL01'!$J$10:$J$224),0),
IF('TL01'!$B$229=N$3,SUMIF('TL01'!$C$238:$C$451,$C399,'TL01'!$J$238:$J$451),0),
IF('TL02'!$B$3=N$3,SUMIF('TL02'!$C$10:$C$224,$C399,'TL02'!$J$10:$J$224),0),
IF('TL02'!$B$229=N$3,SUMIF('TL02'!$C$238:$C$451,$C399,'TL02'!$J$238:$J$451),0),
IF('TL03'!$B$3=N$3,SUMIF('TL03'!$C$10:$C$224,$C399,'TL03'!$J$10:$J$224),0),
IF('TL03'!$B$229=N$3,SUMIF('TL03'!$C$238:$C$451,$C399,'TL03'!$J$238:$J$451),0),
IF('TL04'!$B$3=N$3,SUMIF('TL04'!$C$10:$C$224,$C399,'TL04'!$J$10:$J$224),0),
IF('TL04'!$B$229=N$3,SUMIF('TL04'!$C$238:$C$451,$C399,'TL04'!$J$238:$J$451),0),
IF('TL05'!$B$3=N$3,SUMIF('TL05'!$C$10:$C$224,$C399,'TL05'!$J$10:$J$224),0),
IF('TL05'!$B$229=N$3,SUMIF('TL05'!$C$238:$C$451,$C399,'TL05'!$J$238:$J$451),0),
IF('TL06'!$B$3=N$3,SUMIF('TL06'!$C$10:$C$224,$C399,'TL06'!$J$10:$J$224),0),
IF('TL06'!$B$229=N$3,SUMIF('TL06'!$C$238:$C$451,$C399,'TL06'!$J$238:$J$451),0),
IF('TL07'!$B$3=N$3,SUMIF('TL07'!$C$10:$C$224,$C399,'TL07'!$J$10:$J$224),0),
IF('TL07'!$B$229=N$3,SUMIF('TL07'!$C$238:$C$451,$C399,'TL07'!$J$238:$J$451),0),
IF('TL08'!$B$3=N$3,SUMIF('TL08'!$C$10:$C$224,$C399,'TL08'!$J$10:$J$224),0),
IF('TL08'!$B$229=N$3,SUMIF('TL08'!$C$238:$C$451,$C399,'TL08'!$J$238:$J$451),0),
IF('TL09'!$B$3=N$3,SUMIF('TL09'!$C$10:$C$224,$C399,'TL09'!$J$10:$J$224),0),
IF('TL09'!$B$229=N$3,SUMIF('TL09'!$C$238:$C$451,$C399,'TL09'!$J$238:$J$451),0),
IF('TL10'!$B$3=N$3,SUMIF('TL10'!$C$10:$C$224,$C399,'TL10'!$J$10:$J$224),0),
IF('TL10'!$B$229=N$3,SUMIF('TL10'!$C$238:$C$451,$C399,'TL10'!$J$238:$J$451),0),
IF('TL11'!$B$3=N$3,SUMIF('TL11'!$C$10:$C$224,$C399,'TL11'!$J$10:$J$224),0),
IF('TL11'!$B$229=N$3,SUMIF('TL11'!$C$238:$C$451,$C399,'TL11'!$J$238:$J$451),0),
IF('TL12'!$B$3=N$3,SUMIF('TL12'!$C$10:$C$224,$C399,'TL12'!$J$10:$J$224),0),
IF('TL12'!$B$229=N$3,SUMIF('TL12'!$C$238:$C$451,$C399,'TL12'!$J$238:$J$451),0),
IF('TL13'!$B$3=N$3,SUMIF('TL13'!$C$10:$C$224,$C399,'TL13'!$J$10:$J$224),0),
IF('TL13'!$B$229=N$3,SUMIF('TL13'!$C$238:$C$451,$C399,'TL13'!$J$238:$J$451),0),
IF('TL14'!$B$3=N$3,SUMIF('TL14'!$C$10:$C$224,$C399,'TL14'!$J$10:$J$224),0),
IF('TL14'!$B$229=N$3,SUMIF('TL14'!$C$238:$C$451,$C399,'TL14'!$J$238:$J$451),0),
IF('TL15'!$B$3=N$3,SUMIF('TL15'!$C$10:$C$224,$C399,'TL15'!$J$10:$J$224),0),
IF('TL15'!$B$229=N$3,SUMIF('TL15'!$C$238:$C$451,$C399,'TL15'!$J$238:$J$451),0),
IF('TL16'!$B$3=N$3,SUMIF('TL16'!$C$10:$C$224,$C399,'TL16'!$J$10:$J$224),0),
IF('TL16'!$B$229=N$3,SUMIF('TL16'!$C$238:$C$451,$C399,'TL16'!$J$238:$J$451),0),
IF('TL17'!$B$3=N$3,SUMIF('TL17'!$C$10:$C$224,$C399,'TL17'!$J$10:$J$224),0),
IF('TL17'!$B$229=N$3,SUMIF('TL17'!$C$238:$C$451,$C399,'TL17'!$J$238:$J$451),0),
IF('TL18'!$B$3=N$3,SUMIF('TL18'!$C$10:$C$224,$C399,'TL18'!$J$10:$J$224),0),
IF('TL18'!$B$229=N$3,SUMIF('TL18'!$C$238:$C$451,$C399,'TL18'!$J$238:$J$451),0),
IF('TL19'!$B$3=N$3,SUMIF('TL19'!$C$10:$C$224,$C399,'TL19'!$J$10:$J$224),0),
IF('TL19'!$B$229=N$3,SUMIF('TL19'!$C$238:$C$451,$C399,'TL19'!$J$238:$J$451),0)
),0)</f>
        <v>0</v>
      </c>
      <c r="O399" s="147">
        <f>IFERROR(SUM(
IF('TL01'!$B$3=O$3,SUMIF('TL01'!$C$10:$C$224,$C399,'TL01'!$J$10:$J$224),0),
IF('TL01'!$B$229=O$3,SUMIF('TL01'!$C$238:$C$451,$C399,'TL01'!$J$238:$J$451),0),
IF('TL02'!$B$3=O$3,SUMIF('TL02'!$C$10:$C$224,$C399,'TL02'!$J$10:$J$224),0),
IF('TL02'!$B$229=O$3,SUMIF('TL02'!$C$238:$C$451,$C399,'TL02'!$J$238:$J$451),0),
IF('TL03'!$B$3=O$3,SUMIF('TL03'!$C$10:$C$224,$C399,'TL03'!$J$10:$J$224),0),
IF('TL03'!$B$229=O$3,SUMIF('TL03'!$C$238:$C$451,$C399,'TL03'!$J$238:$J$451),0),
IF('TL04'!$B$3=O$3,SUMIF('TL04'!$C$10:$C$224,$C399,'TL04'!$J$10:$J$224),0),
IF('TL04'!$B$229=O$3,SUMIF('TL04'!$C$238:$C$451,$C399,'TL04'!$J$238:$J$451),0),
IF('TL05'!$B$3=O$3,SUMIF('TL05'!$C$10:$C$224,$C399,'TL05'!$J$10:$J$224),0),
IF('TL05'!$B$229=O$3,SUMIF('TL05'!$C$238:$C$451,$C399,'TL05'!$J$238:$J$451),0),
IF('TL06'!$B$3=O$3,SUMIF('TL06'!$C$10:$C$224,$C399,'TL06'!$J$10:$J$224),0),
IF('TL06'!$B$229=O$3,SUMIF('TL06'!$C$238:$C$451,$C399,'TL06'!$J$238:$J$451),0),
IF('TL07'!$B$3=O$3,SUMIF('TL07'!$C$10:$C$224,$C399,'TL07'!$J$10:$J$224),0),
IF('TL07'!$B$229=O$3,SUMIF('TL07'!$C$238:$C$451,$C399,'TL07'!$J$238:$J$451),0),
IF('TL08'!$B$3=O$3,SUMIF('TL08'!$C$10:$C$224,$C399,'TL08'!$J$10:$J$224),0),
IF('TL08'!$B$229=O$3,SUMIF('TL08'!$C$238:$C$451,$C399,'TL08'!$J$238:$J$451),0),
IF('TL09'!$B$3=O$3,SUMIF('TL09'!$C$10:$C$224,$C399,'TL09'!$J$10:$J$224),0),
IF('TL09'!$B$229=O$3,SUMIF('TL09'!$C$238:$C$451,$C399,'TL09'!$J$238:$J$451),0),
IF('TL10'!$B$3=O$3,SUMIF('TL10'!$C$10:$C$224,$C399,'TL10'!$J$10:$J$224),0),
IF('TL10'!$B$229=O$3,SUMIF('TL10'!$C$238:$C$451,$C399,'TL10'!$J$238:$J$451),0),
IF('TL11'!$B$3=O$3,SUMIF('TL11'!$C$10:$C$224,$C399,'TL11'!$J$10:$J$224),0),
IF('TL11'!$B$229=O$3,SUMIF('TL11'!$C$238:$C$451,$C399,'TL11'!$J$238:$J$451),0),
IF('TL12'!$B$3=O$3,SUMIF('TL12'!$C$10:$C$224,$C399,'TL12'!$J$10:$J$224),0),
IF('TL12'!$B$229=O$3,SUMIF('TL12'!$C$238:$C$451,$C399,'TL12'!$J$238:$J$451),0),
IF('TL13'!$B$3=O$3,SUMIF('TL13'!$C$10:$C$224,$C399,'TL13'!$J$10:$J$224),0),
IF('TL13'!$B$229=O$3,SUMIF('TL13'!$C$238:$C$451,$C399,'TL13'!$J$238:$J$451),0),
IF('TL14'!$B$3=O$3,SUMIF('TL14'!$C$10:$C$224,$C399,'TL14'!$J$10:$J$224),0),
IF('TL14'!$B$229=O$3,SUMIF('TL14'!$C$238:$C$451,$C399,'TL14'!$J$238:$J$451),0),
IF('TL15'!$B$3=O$3,SUMIF('TL15'!$C$10:$C$224,$C399,'TL15'!$J$10:$J$224),0),
IF('TL15'!$B$229=O$3,SUMIF('TL15'!$C$238:$C$451,$C399,'TL15'!$J$238:$J$451),0),
IF('TL16'!$B$3=O$3,SUMIF('TL16'!$C$10:$C$224,$C399,'TL16'!$J$10:$J$224),0),
IF('TL16'!$B$229=O$3,SUMIF('TL16'!$C$238:$C$451,$C399,'TL16'!$J$238:$J$451),0),
IF('TL17'!$B$3=O$3,SUMIF('TL17'!$C$10:$C$224,$C399,'TL17'!$J$10:$J$224),0),
IF('TL17'!$B$229=O$3,SUMIF('TL17'!$C$238:$C$451,$C399,'TL17'!$J$238:$J$451),0),
IF('TL18'!$B$3=O$3,SUMIF('TL18'!$C$10:$C$224,$C399,'TL18'!$J$10:$J$224),0),
IF('TL18'!$B$229=O$3,SUMIF('TL18'!$C$238:$C$451,$C399,'TL18'!$J$238:$J$451),0),
IF('TL19'!$B$3=O$3,SUMIF('TL19'!$C$10:$C$224,$C399,'TL19'!$J$10:$J$224),0),
IF('TL19'!$B$229=O$3,SUMIF('TL19'!$C$238:$C$451,$C399,'TL19'!$J$238:$J$451),0)
),0)</f>
        <v>0</v>
      </c>
      <c r="P399" s="147">
        <f>IFERROR(SUM(
IF('TL01'!$B$3=P$3,SUMIF('TL01'!$C$10:$C$224,$C399,'TL01'!$J$10:$J$224),0),
IF('TL01'!$B$229=P$3,SUMIF('TL01'!$C$238:$C$451,$C399,'TL01'!$J$238:$J$451),0),
IF('TL02'!$B$3=P$3,SUMIF('TL02'!$C$10:$C$224,$C399,'TL02'!$J$10:$J$224),0),
IF('TL02'!$B$229=P$3,SUMIF('TL02'!$C$238:$C$451,$C399,'TL02'!$J$238:$J$451),0),
IF('TL03'!$B$3=P$3,SUMIF('TL03'!$C$10:$C$224,$C399,'TL03'!$J$10:$J$224),0),
IF('TL03'!$B$229=P$3,SUMIF('TL03'!$C$238:$C$451,$C399,'TL03'!$J$238:$J$451),0),
IF('TL04'!$B$3=P$3,SUMIF('TL04'!$C$10:$C$224,$C399,'TL04'!$J$10:$J$224),0),
IF('TL04'!$B$229=P$3,SUMIF('TL04'!$C$238:$C$451,$C399,'TL04'!$J$238:$J$451),0),
IF('TL05'!$B$3=P$3,SUMIF('TL05'!$C$10:$C$224,$C399,'TL05'!$J$10:$J$224),0),
IF('TL05'!$B$229=P$3,SUMIF('TL05'!$C$238:$C$451,$C399,'TL05'!$J$238:$J$451),0),
IF('TL06'!$B$3=P$3,SUMIF('TL06'!$C$10:$C$224,$C399,'TL06'!$J$10:$J$224),0),
IF('TL06'!$B$229=P$3,SUMIF('TL06'!$C$238:$C$451,$C399,'TL06'!$J$238:$J$451),0),
IF('TL07'!$B$3=P$3,SUMIF('TL07'!$C$10:$C$224,$C399,'TL07'!$J$10:$J$224),0),
IF('TL07'!$B$229=P$3,SUMIF('TL07'!$C$238:$C$451,$C399,'TL07'!$J$238:$J$451),0),
IF('TL08'!$B$3=P$3,SUMIF('TL08'!$C$10:$C$224,$C399,'TL08'!$J$10:$J$224),0),
IF('TL08'!$B$229=P$3,SUMIF('TL08'!$C$238:$C$451,$C399,'TL08'!$J$238:$J$451),0),
IF('TL09'!$B$3=P$3,SUMIF('TL09'!$C$10:$C$224,$C399,'TL09'!$J$10:$J$224),0),
IF('TL09'!$B$229=P$3,SUMIF('TL09'!$C$238:$C$451,$C399,'TL09'!$J$238:$J$451),0),
IF('TL10'!$B$3=P$3,SUMIF('TL10'!$C$10:$C$224,$C399,'TL10'!$J$10:$J$224),0),
IF('TL10'!$B$229=P$3,SUMIF('TL10'!$C$238:$C$451,$C399,'TL10'!$J$238:$J$451),0),
IF('TL11'!$B$3=P$3,SUMIF('TL11'!$C$10:$C$224,$C399,'TL11'!$J$10:$J$224),0),
IF('TL11'!$B$229=P$3,SUMIF('TL11'!$C$238:$C$451,$C399,'TL11'!$J$238:$J$451),0),
IF('TL12'!$B$3=P$3,SUMIF('TL12'!$C$10:$C$224,$C399,'TL12'!$J$10:$J$224),0),
IF('TL12'!$B$229=P$3,SUMIF('TL12'!$C$238:$C$451,$C399,'TL12'!$J$238:$J$451),0),
IF('TL13'!$B$3=P$3,SUMIF('TL13'!$C$10:$C$224,$C399,'TL13'!$J$10:$J$224),0),
IF('TL13'!$B$229=P$3,SUMIF('TL13'!$C$238:$C$451,$C399,'TL13'!$J$238:$J$451),0),
IF('TL14'!$B$3=P$3,SUMIF('TL14'!$C$10:$C$224,$C399,'TL14'!$J$10:$J$224),0),
IF('TL14'!$B$229=P$3,SUMIF('TL14'!$C$238:$C$451,$C399,'TL14'!$J$238:$J$451),0),
IF('TL15'!$B$3=P$3,SUMIF('TL15'!$C$10:$C$224,$C399,'TL15'!$J$10:$J$224),0),
IF('TL15'!$B$229=P$3,SUMIF('TL15'!$C$238:$C$451,$C399,'TL15'!$J$238:$J$451),0),
IF('TL16'!$B$3=P$3,SUMIF('TL16'!$C$10:$C$224,$C399,'TL16'!$J$10:$J$224),0),
IF('TL16'!$B$229=P$3,SUMIF('TL16'!$C$238:$C$451,$C399,'TL16'!$J$238:$J$451),0),
IF('TL17'!$B$3=P$3,SUMIF('TL17'!$C$10:$C$224,$C399,'TL17'!$J$10:$J$224),0),
IF('TL17'!$B$229=P$3,SUMIF('TL17'!$C$238:$C$451,$C399,'TL17'!$J$238:$J$451),0),
IF('TL18'!$B$3=P$3,SUMIF('TL18'!$C$10:$C$224,$C399,'TL18'!$J$10:$J$224),0),
IF('TL18'!$B$229=P$3,SUMIF('TL18'!$C$238:$C$451,$C399,'TL18'!$J$238:$J$451),0),
IF('TL19'!$B$3=P$3,SUMIF('TL19'!$C$10:$C$224,$C399,'TL19'!$J$10:$J$224),0),
IF('TL19'!$B$229=P$3,SUMIF('TL19'!$C$238:$C$451,$C399,'TL19'!$J$238:$J$451),0)
),0)</f>
        <v>0</v>
      </c>
      <c r="Q399" s="147">
        <f>IFERROR(SUM(
IF('TL01'!$B$3=Q$3,SUMIF('TL01'!$C$10:$C$224,$C399,'TL01'!$J$10:$J$224),0),
IF('TL01'!$B$229=Q$3,SUMIF('TL01'!$C$238:$C$451,$C399,'TL01'!$J$238:$J$451),0),
IF('TL02'!$B$3=Q$3,SUMIF('TL02'!$C$10:$C$224,$C399,'TL02'!$J$10:$J$224),0),
IF('TL02'!$B$229=Q$3,SUMIF('TL02'!$C$238:$C$451,$C399,'TL02'!$J$238:$J$451),0),
IF('TL03'!$B$3=Q$3,SUMIF('TL03'!$C$10:$C$224,$C399,'TL03'!$J$10:$J$224),0),
IF('TL03'!$B$229=Q$3,SUMIF('TL03'!$C$238:$C$451,$C399,'TL03'!$J$238:$J$451),0),
IF('TL04'!$B$3=Q$3,SUMIF('TL04'!$C$10:$C$224,$C399,'TL04'!$J$10:$J$224),0),
IF('TL04'!$B$229=Q$3,SUMIF('TL04'!$C$238:$C$451,$C399,'TL04'!$J$238:$J$451),0),
IF('TL05'!$B$3=Q$3,SUMIF('TL05'!$C$10:$C$224,$C399,'TL05'!$J$10:$J$224),0),
IF('TL05'!$B$229=Q$3,SUMIF('TL05'!$C$238:$C$451,$C399,'TL05'!$J$238:$J$451),0),
IF('TL06'!$B$3=Q$3,SUMIF('TL06'!$C$10:$C$224,$C399,'TL06'!$J$10:$J$224),0),
IF('TL06'!$B$229=Q$3,SUMIF('TL06'!$C$238:$C$451,$C399,'TL06'!$J$238:$J$451),0),
IF('TL07'!$B$3=Q$3,SUMIF('TL07'!$C$10:$C$224,$C399,'TL07'!$J$10:$J$224),0),
IF('TL07'!$B$229=Q$3,SUMIF('TL07'!$C$238:$C$451,$C399,'TL07'!$J$238:$J$451),0),
IF('TL08'!$B$3=Q$3,SUMIF('TL08'!$C$10:$C$224,$C399,'TL08'!$J$10:$J$224),0),
IF('TL08'!$B$229=Q$3,SUMIF('TL08'!$C$238:$C$451,$C399,'TL08'!$J$238:$J$451),0),
IF('TL09'!$B$3=Q$3,SUMIF('TL09'!$C$10:$C$224,$C399,'TL09'!$J$10:$J$224),0),
IF('TL09'!$B$229=Q$3,SUMIF('TL09'!$C$238:$C$451,$C399,'TL09'!$J$238:$J$451),0),
IF('TL10'!$B$3=Q$3,SUMIF('TL10'!$C$10:$C$224,$C399,'TL10'!$J$10:$J$224),0),
IF('TL10'!$B$229=Q$3,SUMIF('TL10'!$C$238:$C$451,$C399,'TL10'!$J$238:$J$451),0),
IF('TL11'!$B$3=Q$3,SUMIF('TL11'!$C$10:$C$224,$C399,'TL11'!$J$10:$J$224),0),
IF('TL11'!$B$229=Q$3,SUMIF('TL11'!$C$238:$C$451,$C399,'TL11'!$J$238:$J$451),0),
IF('TL12'!$B$3=Q$3,SUMIF('TL12'!$C$10:$C$224,$C399,'TL12'!$J$10:$J$224),0),
IF('TL12'!$B$229=Q$3,SUMIF('TL12'!$C$238:$C$451,$C399,'TL12'!$J$238:$J$451),0),
IF('TL13'!$B$3=Q$3,SUMIF('TL13'!$C$10:$C$224,$C399,'TL13'!$J$10:$J$224),0),
IF('TL13'!$B$229=Q$3,SUMIF('TL13'!$C$238:$C$451,$C399,'TL13'!$J$238:$J$451),0),
IF('TL14'!$B$3=Q$3,SUMIF('TL14'!$C$10:$C$224,$C399,'TL14'!$J$10:$J$224),0),
IF('TL14'!$B$229=Q$3,SUMIF('TL14'!$C$238:$C$451,$C399,'TL14'!$J$238:$J$451),0),
IF('TL15'!$B$3=Q$3,SUMIF('TL15'!$C$10:$C$224,$C399,'TL15'!$J$10:$J$224),0),
IF('TL15'!$B$229=Q$3,SUMIF('TL15'!$C$238:$C$451,$C399,'TL15'!$J$238:$J$451),0),
IF('TL16'!$B$3=Q$3,SUMIF('TL16'!$C$10:$C$224,$C399,'TL16'!$J$10:$J$224),0),
IF('TL16'!$B$229=Q$3,SUMIF('TL16'!$C$238:$C$451,$C399,'TL16'!$J$238:$J$451),0),
IF('TL17'!$B$3=Q$3,SUMIF('TL17'!$C$10:$C$224,$C399,'TL17'!$J$10:$J$224),0),
IF('TL17'!$B$229=Q$3,SUMIF('TL17'!$C$238:$C$451,$C399,'TL17'!$J$238:$J$451),0),
IF('TL18'!$B$3=Q$3,SUMIF('TL18'!$C$10:$C$224,$C399,'TL18'!$J$10:$J$224),0),
IF('TL18'!$B$229=Q$3,SUMIF('TL18'!$C$238:$C$451,$C399,'TL18'!$J$238:$J$451),0),
IF('TL19'!$B$3=Q$3,SUMIF('TL19'!$C$10:$C$224,$C399,'TL19'!$J$10:$J$224),0),
IF('TL19'!$B$229=Q$3,SUMIF('TL19'!$C$238:$C$451,$C399,'TL19'!$J$238:$J$451),0)
),0)</f>
        <v>0</v>
      </c>
      <c r="R399" s="139">
        <f>IFERROR(
SUM(
SUMIF('TL01'!C:C,C399,'TL01'!J:J),
SUMIF('TL02'!C:C,C399,'TL02'!I:I),
SUMIF('TL03'!C:C,C399,'TL03'!I:I),
SUMIF('TL04'!C:C,C399,'TL04'!I:I),
SUMIF('TL05'!C:C,C399,'TL05'!I:I),
SUMIF('TL06'!C:C,C399,'TL06'!I:I),
SUMIF('TL07'!C:C,C399,'TL07'!I:I),
SUMIF('TL08'!C:C,C399,'TL08'!I:I),
SUMIF('TL09'!C:C,C399,'TL09'!I:I),
SUMIF('TL10'!C:C,C399,'TL10'!I:I),
SUMIF('TL11'!C:C,C399,'TL11'!I:I),
SUMIF('TL12'!C:C,C399,'TL12'!I:I),
SUMIF('TL13'!C:C,C399,'TL13'!I:I),
SUMIF('TL14'!C:C,C399,'TL14'!I:I),
SUMIF('TL15'!C:C,C399,'TL15'!I:I),
SUMIF('TL16'!C:C,C399,'TL16'!I:I),
SUMIF('TL17'!C:C,C399,'TL17'!I:I),
SUMIF('TL18'!C:C,C399,'TL18'!I:I))
,0)</f>
        <v>0</v>
      </c>
      <c r="S399" s="142">
        <f>'CUSTO OPERAÇÃO'!M3</f>
        <v>300</v>
      </c>
      <c r="T399" s="139"/>
      <c r="U399" s="143">
        <f t="shared" si="2"/>
        <v>0</v>
      </c>
      <c r="V399" s="144">
        <f t="shared" si="3"/>
        <v>0</v>
      </c>
    </row>
    <row r="400" ht="15.75" hidden="1" customHeight="1">
      <c r="A400" s="134"/>
      <c r="B400" s="135" t="s">
        <v>10</v>
      </c>
      <c r="C400" s="136" t="str">
        <f>'CUSTO OPERAÇÃO'!D4</f>
        <v>CR 8.90 NEW HOLLAND + 880 CF45</v>
      </c>
      <c r="D400" s="136"/>
      <c r="E400" s="137"/>
      <c r="F400" s="138" t="s">
        <v>1133</v>
      </c>
      <c r="G400" s="139"/>
      <c r="H400" s="140">
        <f>'CUSTO OPERAÇÃO'!J4</f>
        <v>0.1508295626</v>
      </c>
      <c r="I400" s="141"/>
      <c r="J400" s="136">
        <f>IFERROR(SUM(
IF('TL01'!$B$3=J$3,SUMIF('TL01'!$C$10:$C$224,$C400,'TL01'!$J$10:$J$224),0),
IF('TL01'!$B$229=J$3,SUMIF('TL01'!$C$238:$C$451,$C400,'TL01'!$J$238:$J$451),0),
IF('TL02'!$B$3=J$3,SUMIF('TL02'!$C$10:$C$224,$C400,'TL02'!$J$10:$J$224),0),
IF('TL02'!$B$229=J$3,SUMIF('TL02'!$C$238:$C$451,$C400,'TL02'!$J$238:$J$451),0),
IF('TL03'!$B$3=J$3,SUMIF('TL03'!$C$10:$C$224,$C400,'TL03'!$J$10:$J$224),0),
IF('TL03'!$B$229=J$3,SUMIF('TL03'!$C$238:$C$451,$C400,'TL03'!$J$238:$J$451),0),
IF('TL04'!$B$3=J$3,SUMIF('TL04'!$C$10:$C$224,$C400,'TL04'!$J$10:$J$224),0),
IF('TL04'!$B$229=J$3,SUMIF('TL04'!$C$238:$C$451,$C400,'TL04'!$J$238:$J$451),0),
IF('TL05'!$B$3=J$3,SUMIF('TL05'!$C$10:$C$224,$C400,'TL05'!$J$10:$J$224),0),
IF('TL05'!$B$229=J$3,SUMIF('TL05'!$C$238:$C$451,$C400,'TL05'!$J$238:$J$451),0),
IF('TL06'!$B$3=J$3,SUMIF('TL06'!$C$10:$C$224,$C400,'TL06'!$J$10:$J$224),0),
IF('TL06'!$B$229=J$3,SUMIF('TL06'!$C$238:$C$451,$C400,'TL06'!$J$238:$J$451),0),
IF('TL07'!$B$3=J$3,SUMIF('TL07'!$C$10:$C$224,$C400,'TL07'!$J$10:$J$224),0),
IF('TL07'!$B$229=J$3,SUMIF('TL07'!$C$238:$C$451,$C400,'TL07'!$J$238:$J$451),0),
IF('TL08'!$B$3=J$3,SUMIF('TL08'!$C$10:$C$224,$C400,'TL08'!$J$10:$J$224),0),
IF('TL08'!$B$229=J$3,SUMIF('TL08'!$C$238:$C$451,$C400,'TL08'!$J$238:$J$451),0),
IF('TL09'!$B$3=J$3,SUMIF('TL09'!$C$10:$C$224,$C400,'TL09'!$J$10:$J$224),0),
IF('TL09'!$B$229=J$3,SUMIF('TL09'!$C$238:$C$451,$C400,'TL09'!$J$238:$J$451),0),
IF('TL10'!$B$3=J$3,SUMIF('TL10'!$C$10:$C$224,$C400,'TL10'!$J$10:$J$224),0),
IF('TL10'!$B$229=J$3,SUMIF('TL10'!$C$238:$C$451,$C400,'TL10'!$J$238:$J$451),0),
IF('TL11'!$B$3=J$3,SUMIF('TL11'!$C$10:$C$224,$C400,'TL11'!$J$10:$J$224),0),
IF('TL11'!$B$229=J$3,SUMIF('TL11'!$C$238:$C$451,$C400,'TL11'!$J$238:$J$451),0),
IF('TL12'!$B$3=J$3,SUMIF('TL12'!$C$10:$C$224,$C400,'TL12'!$J$10:$J$224),0),
IF('TL12'!$B$229=J$3,SUMIF('TL12'!$C$238:$C$451,$C400,'TL12'!$J$238:$J$451),0),
IF('TL13'!$B$3=J$3,SUMIF('TL13'!$C$10:$C$224,$C400,'TL13'!$J$10:$J$224),0),
IF('TL13'!$B$229=J$3,SUMIF('TL13'!$C$238:$C$451,$C400,'TL13'!$J$238:$J$451),0),
IF('TL14'!$B$3=J$3,SUMIF('TL14'!$C$10:$C$224,$C400,'TL14'!$J$10:$J$224),0),
IF('TL14'!$B$229=J$3,SUMIF('TL14'!$C$238:$C$451,$C400,'TL14'!$J$238:$J$451),0),
IF('TL15'!$B$3=J$3,SUMIF('TL15'!$C$10:$C$224,$C400,'TL15'!$J$10:$J$224),0),
IF('TL15'!$B$229=J$3,SUMIF('TL15'!$C$238:$C$451,$C400,'TL15'!$J$238:$J$451),0),
IF('TL16'!$B$3=J$3,SUMIF('TL16'!$C$10:$C$224,$C400,'TL16'!$J$10:$J$224),0),
IF('TL16'!$B$229=J$3,SUMIF('TL16'!$C$238:$C$451,$C400,'TL16'!$J$238:$J$451),0),
IF('TL17'!$B$3=J$3,SUMIF('TL17'!$C$10:$C$224,$C400,'TL17'!$J$10:$J$224),0),
IF('TL17'!$B$229=J$3,SUMIF('TL17'!$C$238:$C$451,$C400,'TL17'!$J$238:$J$451),0),
IF('TL18'!$B$3=J$3,SUMIF('TL18'!$C$10:$C$224,$C400,'TL18'!$J$10:$J$224),0),
IF('TL18'!$B$229=J$3,SUMIF('TL18'!$C$238:$C$451,$C400,'TL18'!$J$238:$J$451),0),
IF('TL19'!$B$3=J$3,SUMIF('TL19'!$C$10:$C$224,$C400,'TL19'!$J$10:$J$224),0),
IF('TL19'!$B$229=J$3,SUMIF('TL19'!$C$238:$C$451,$C400,'TL19'!$J$238:$J$451),0)
),0)</f>
        <v>0</v>
      </c>
      <c r="K400" s="136">
        <f>IFERROR(SUM(
IF('TL01'!$B$3=K$3,SUMIF('TL01'!$C$10:$C$224,$C400,'TL01'!$J$10:$J$224),0),
IF('TL01'!$B$229=K$3,SUMIF('TL01'!$C$238:$C$451,$C400,'TL01'!$J$238:$J$451),0),
IF('TL02'!$B$3=K$3,SUMIF('TL02'!$C$10:$C$224,$C400,'TL02'!$J$10:$J$224),0),
IF('TL02'!$B$229=K$3,SUMIF('TL02'!$C$238:$C$451,$C400,'TL02'!$J$238:$J$451),0),
IF('TL03'!$B$3=K$3,SUMIF('TL03'!$C$10:$C$224,$C400,'TL03'!$J$10:$J$224),0),
IF('TL03'!$B$229=K$3,SUMIF('TL03'!$C$238:$C$451,$C400,'TL03'!$J$238:$J$451),0),
IF('TL04'!$B$3=K$3,SUMIF('TL04'!$C$10:$C$224,$C400,'TL04'!$J$10:$J$224),0),
IF('TL04'!$B$229=K$3,SUMIF('TL04'!$C$238:$C$451,$C400,'TL04'!$J$238:$J$451),0),
IF('TL05'!$B$3=K$3,SUMIF('TL05'!$C$10:$C$224,$C400,'TL05'!$J$10:$J$224),0),
IF('TL05'!$B$229=K$3,SUMIF('TL05'!$C$238:$C$451,$C400,'TL05'!$J$238:$J$451),0),
IF('TL06'!$B$3=K$3,SUMIF('TL06'!$C$10:$C$224,$C400,'TL06'!$J$10:$J$224),0),
IF('TL06'!$B$229=K$3,SUMIF('TL06'!$C$238:$C$451,$C400,'TL06'!$J$238:$J$451),0),
IF('TL07'!$B$3=K$3,SUMIF('TL07'!$C$10:$C$224,$C400,'TL07'!$J$10:$J$224),0),
IF('TL07'!$B$229=K$3,SUMIF('TL07'!$C$238:$C$451,$C400,'TL07'!$J$238:$J$451),0),
IF('TL08'!$B$3=K$3,SUMIF('TL08'!$C$10:$C$224,$C400,'TL08'!$J$10:$J$224),0),
IF('TL08'!$B$229=K$3,SUMIF('TL08'!$C$238:$C$451,$C400,'TL08'!$J$238:$J$451),0),
IF('TL09'!$B$3=K$3,SUMIF('TL09'!$C$10:$C$224,$C400,'TL09'!$J$10:$J$224),0),
IF('TL09'!$B$229=K$3,SUMIF('TL09'!$C$238:$C$451,$C400,'TL09'!$J$238:$J$451),0),
IF('TL10'!$B$3=K$3,SUMIF('TL10'!$C$10:$C$224,$C400,'TL10'!$J$10:$J$224),0),
IF('TL10'!$B$229=K$3,SUMIF('TL10'!$C$238:$C$451,$C400,'TL10'!$J$238:$J$451),0),
IF('TL11'!$B$3=K$3,SUMIF('TL11'!$C$10:$C$224,$C400,'TL11'!$J$10:$J$224),0),
IF('TL11'!$B$229=K$3,SUMIF('TL11'!$C$238:$C$451,$C400,'TL11'!$J$238:$J$451),0),
IF('TL12'!$B$3=K$3,SUMIF('TL12'!$C$10:$C$224,$C400,'TL12'!$J$10:$J$224),0),
IF('TL12'!$B$229=K$3,SUMIF('TL12'!$C$238:$C$451,$C400,'TL12'!$J$238:$J$451),0),
IF('TL13'!$B$3=K$3,SUMIF('TL13'!$C$10:$C$224,$C400,'TL13'!$J$10:$J$224),0),
IF('TL13'!$B$229=K$3,SUMIF('TL13'!$C$238:$C$451,$C400,'TL13'!$J$238:$J$451),0),
IF('TL14'!$B$3=K$3,SUMIF('TL14'!$C$10:$C$224,$C400,'TL14'!$J$10:$J$224),0),
IF('TL14'!$B$229=K$3,SUMIF('TL14'!$C$238:$C$451,$C400,'TL14'!$J$238:$J$451),0),
IF('TL15'!$B$3=K$3,SUMIF('TL15'!$C$10:$C$224,$C400,'TL15'!$J$10:$J$224),0),
IF('TL15'!$B$229=K$3,SUMIF('TL15'!$C$238:$C$451,$C400,'TL15'!$J$238:$J$451),0),
IF('TL16'!$B$3=K$3,SUMIF('TL16'!$C$10:$C$224,$C400,'TL16'!$J$10:$J$224),0),
IF('TL16'!$B$229=K$3,SUMIF('TL16'!$C$238:$C$451,$C400,'TL16'!$J$238:$J$451),0),
IF('TL17'!$B$3=K$3,SUMIF('TL17'!$C$10:$C$224,$C400,'TL17'!$J$10:$J$224),0),
IF('TL17'!$B$229=K$3,SUMIF('TL17'!$C$238:$C$451,$C400,'TL17'!$J$238:$J$451),0),
IF('TL18'!$B$3=K$3,SUMIF('TL18'!$C$10:$C$224,$C400,'TL18'!$J$10:$J$224),0),
IF('TL18'!$B$229=K$3,SUMIF('TL18'!$C$238:$C$451,$C400,'TL18'!$J$238:$J$451),0),
IF('TL19'!$B$3=K$3,SUMIF('TL19'!$C$10:$C$224,$C400,'TL19'!$J$10:$J$224),0),
IF('TL19'!$B$229=K$3,SUMIF('TL19'!$C$238:$C$451,$C400,'TL19'!$J$238:$J$451),0)
),0)</f>
        <v>45</v>
      </c>
      <c r="L400" s="136">
        <f>IFERROR(SUM(
IF('TL01'!$B$3=L$3,SUMIF('TL01'!$C$10:$C$224,$C400,'TL01'!$J$10:$J$224),0),
IF('TL01'!$B$229=L$3,SUMIF('TL01'!$C$238:$C$451,$C400,'TL01'!$J$238:$J$451),0),
IF('TL02'!$B$3=L$3,SUMIF('TL02'!$C$10:$C$224,$C400,'TL02'!$J$10:$J$224),0),
IF('TL02'!$B$229=L$3,SUMIF('TL02'!$C$238:$C$451,$C400,'TL02'!$J$238:$J$451),0),
IF('TL03'!$B$3=L$3,SUMIF('TL03'!$C$10:$C$224,$C400,'TL03'!$J$10:$J$224),0),
IF('TL03'!$B$229=L$3,SUMIF('TL03'!$C$238:$C$451,$C400,'TL03'!$J$238:$J$451),0),
IF('TL04'!$B$3=L$3,SUMIF('TL04'!$C$10:$C$224,$C400,'TL04'!$J$10:$J$224),0),
IF('TL04'!$B$229=L$3,SUMIF('TL04'!$C$238:$C$451,$C400,'TL04'!$J$238:$J$451),0),
IF('TL05'!$B$3=L$3,SUMIF('TL05'!$C$10:$C$224,$C400,'TL05'!$J$10:$J$224),0),
IF('TL05'!$B$229=L$3,SUMIF('TL05'!$C$238:$C$451,$C400,'TL05'!$J$238:$J$451),0),
IF('TL06'!$B$3=L$3,SUMIF('TL06'!$C$10:$C$224,$C400,'TL06'!$J$10:$J$224),0),
IF('TL06'!$B$229=L$3,SUMIF('TL06'!$C$238:$C$451,$C400,'TL06'!$J$238:$J$451),0),
IF('TL07'!$B$3=L$3,SUMIF('TL07'!$C$10:$C$224,$C400,'TL07'!$J$10:$J$224),0),
IF('TL07'!$B$229=L$3,SUMIF('TL07'!$C$238:$C$451,$C400,'TL07'!$J$238:$J$451),0),
IF('TL08'!$B$3=L$3,SUMIF('TL08'!$C$10:$C$224,$C400,'TL08'!$J$10:$J$224),0),
IF('TL08'!$B$229=L$3,SUMIF('TL08'!$C$238:$C$451,$C400,'TL08'!$J$238:$J$451),0),
IF('TL09'!$B$3=L$3,SUMIF('TL09'!$C$10:$C$224,$C400,'TL09'!$J$10:$J$224),0),
IF('TL09'!$B$229=L$3,SUMIF('TL09'!$C$238:$C$451,$C400,'TL09'!$J$238:$J$451),0),
IF('TL10'!$B$3=L$3,SUMIF('TL10'!$C$10:$C$224,$C400,'TL10'!$J$10:$J$224),0),
IF('TL10'!$B$229=L$3,SUMIF('TL10'!$C$238:$C$451,$C400,'TL10'!$J$238:$J$451),0),
IF('TL11'!$B$3=L$3,SUMIF('TL11'!$C$10:$C$224,$C400,'TL11'!$J$10:$J$224),0),
IF('TL11'!$B$229=L$3,SUMIF('TL11'!$C$238:$C$451,$C400,'TL11'!$J$238:$J$451),0),
IF('TL12'!$B$3=L$3,SUMIF('TL12'!$C$10:$C$224,$C400,'TL12'!$J$10:$J$224),0),
IF('TL12'!$B$229=L$3,SUMIF('TL12'!$C$238:$C$451,$C400,'TL12'!$J$238:$J$451),0),
IF('TL13'!$B$3=L$3,SUMIF('TL13'!$C$10:$C$224,$C400,'TL13'!$J$10:$J$224),0),
IF('TL13'!$B$229=L$3,SUMIF('TL13'!$C$238:$C$451,$C400,'TL13'!$J$238:$J$451),0),
IF('TL14'!$B$3=L$3,SUMIF('TL14'!$C$10:$C$224,$C400,'TL14'!$J$10:$J$224),0),
IF('TL14'!$B$229=L$3,SUMIF('TL14'!$C$238:$C$451,$C400,'TL14'!$J$238:$J$451),0),
IF('TL15'!$B$3=L$3,SUMIF('TL15'!$C$10:$C$224,$C400,'TL15'!$J$10:$J$224),0),
IF('TL15'!$B$229=L$3,SUMIF('TL15'!$C$238:$C$451,$C400,'TL15'!$J$238:$J$451),0),
IF('TL16'!$B$3=L$3,SUMIF('TL16'!$C$10:$C$224,$C400,'TL16'!$J$10:$J$224),0),
IF('TL16'!$B$229=L$3,SUMIF('TL16'!$C$238:$C$451,$C400,'TL16'!$J$238:$J$451),0),
IF('TL17'!$B$3=L$3,SUMIF('TL17'!$C$10:$C$224,$C400,'TL17'!$J$10:$J$224),0),
IF('TL17'!$B$229=L$3,SUMIF('TL17'!$C$238:$C$451,$C400,'TL17'!$J$238:$J$451),0),
IF('TL18'!$B$3=L$3,SUMIF('TL18'!$C$10:$C$224,$C400,'TL18'!$J$10:$J$224),0),
IF('TL18'!$B$229=L$3,SUMIF('TL18'!$C$238:$C$451,$C400,'TL18'!$J$238:$J$451),0),
IF('TL19'!$B$3=L$3,SUMIF('TL19'!$C$10:$C$224,$C400,'TL19'!$J$10:$J$224),0),
IF('TL19'!$B$229=L$3,SUMIF('TL19'!$C$238:$C$451,$C400,'TL19'!$J$238:$J$451),0)
),0)</f>
        <v>33</v>
      </c>
      <c r="M400" s="136">
        <f>IFERROR(SUM(
IF('TL01'!$B$3=M$3,SUMIF('TL01'!$C$10:$C$224,$C400,'TL01'!$J$10:$J$224),0),
IF('TL01'!$B$229=M$3,SUMIF('TL01'!$C$238:$C$451,$C400,'TL01'!$J$238:$J$451),0),
IF('TL02'!$B$3=M$3,SUMIF('TL02'!$C$10:$C$224,$C400,'TL02'!$J$10:$J$224),0),
IF('TL02'!$B$229=M$3,SUMIF('TL02'!$C$238:$C$451,$C400,'TL02'!$J$238:$J$451),0),
IF('TL03'!$B$3=M$3,SUMIF('TL03'!$C$10:$C$224,$C400,'TL03'!$J$10:$J$224),0),
IF('TL03'!$B$229=M$3,SUMIF('TL03'!$C$238:$C$451,$C400,'TL03'!$J$238:$J$451),0),
IF('TL04'!$B$3=M$3,SUMIF('TL04'!$C$10:$C$224,$C400,'TL04'!$J$10:$J$224),0),
IF('TL04'!$B$229=M$3,SUMIF('TL04'!$C$238:$C$451,$C400,'TL04'!$J$238:$J$451),0),
IF('TL05'!$B$3=M$3,SUMIF('TL05'!$C$10:$C$224,$C400,'TL05'!$J$10:$J$224),0),
IF('TL05'!$B$229=M$3,SUMIF('TL05'!$C$238:$C$451,$C400,'TL05'!$J$238:$J$451),0),
IF('TL06'!$B$3=M$3,SUMIF('TL06'!$C$10:$C$224,$C400,'TL06'!$J$10:$J$224),0),
IF('TL06'!$B$229=M$3,SUMIF('TL06'!$C$238:$C$451,$C400,'TL06'!$J$238:$J$451),0),
IF('TL07'!$B$3=M$3,SUMIF('TL07'!$C$10:$C$224,$C400,'TL07'!$J$10:$J$224),0),
IF('TL07'!$B$229=M$3,SUMIF('TL07'!$C$238:$C$451,$C400,'TL07'!$J$238:$J$451),0),
IF('TL08'!$B$3=M$3,SUMIF('TL08'!$C$10:$C$224,$C400,'TL08'!$J$10:$J$224),0),
IF('TL08'!$B$229=M$3,SUMIF('TL08'!$C$238:$C$451,$C400,'TL08'!$J$238:$J$451),0),
IF('TL09'!$B$3=M$3,SUMIF('TL09'!$C$10:$C$224,$C400,'TL09'!$J$10:$J$224),0),
IF('TL09'!$B$229=M$3,SUMIF('TL09'!$C$238:$C$451,$C400,'TL09'!$J$238:$J$451),0),
IF('TL10'!$B$3=M$3,SUMIF('TL10'!$C$10:$C$224,$C400,'TL10'!$J$10:$J$224),0),
IF('TL10'!$B$229=M$3,SUMIF('TL10'!$C$238:$C$451,$C400,'TL10'!$J$238:$J$451),0),
IF('TL11'!$B$3=M$3,SUMIF('TL11'!$C$10:$C$224,$C400,'TL11'!$J$10:$J$224),0),
IF('TL11'!$B$229=M$3,SUMIF('TL11'!$C$238:$C$451,$C400,'TL11'!$J$238:$J$451),0),
IF('TL12'!$B$3=M$3,SUMIF('TL12'!$C$10:$C$224,$C400,'TL12'!$J$10:$J$224),0),
IF('TL12'!$B$229=M$3,SUMIF('TL12'!$C$238:$C$451,$C400,'TL12'!$J$238:$J$451),0),
IF('TL13'!$B$3=M$3,SUMIF('TL13'!$C$10:$C$224,$C400,'TL13'!$J$10:$J$224),0),
IF('TL13'!$B$229=M$3,SUMIF('TL13'!$C$238:$C$451,$C400,'TL13'!$J$238:$J$451),0),
IF('TL14'!$B$3=M$3,SUMIF('TL14'!$C$10:$C$224,$C400,'TL14'!$J$10:$J$224),0),
IF('TL14'!$B$229=M$3,SUMIF('TL14'!$C$238:$C$451,$C400,'TL14'!$J$238:$J$451),0),
IF('TL15'!$B$3=M$3,SUMIF('TL15'!$C$10:$C$224,$C400,'TL15'!$J$10:$J$224),0),
IF('TL15'!$B$229=M$3,SUMIF('TL15'!$C$238:$C$451,$C400,'TL15'!$J$238:$J$451),0),
IF('TL16'!$B$3=M$3,SUMIF('TL16'!$C$10:$C$224,$C400,'TL16'!$J$10:$J$224),0),
IF('TL16'!$B$229=M$3,SUMIF('TL16'!$C$238:$C$451,$C400,'TL16'!$J$238:$J$451),0),
IF('TL17'!$B$3=M$3,SUMIF('TL17'!$C$10:$C$224,$C400,'TL17'!$J$10:$J$224),0),
IF('TL17'!$B$229=M$3,SUMIF('TL17'!$C$238:$C$451,$C400,'TL17'!$J$238:$J$451),0),
IF('TL18'!$B$3=M$3,SUMIF('TL18'!$C$10:$C$224,$C400,'TL18'!$J$10:$J$224),0),
IF('TL18'!$B$229=M$3,SUMIF('TL18'!$C$238:$C$451,$C400,'TL18'!$J$238:$J$451),0),
IF('TL19'!$B$3=M$3,SUMIF('TL19'!$C$10:$C$224,$C400,'TL19'!$J$10:$J$224),0),
IF('TL19'!$B$229=M$3,SUMIF('TL19'!$C$238:$C$451,$C400,'TL19'!$J$238:$J$451),0)
),0)</f>
        <v>0</v>
      </c>
      <c r="N400" s="136">
        <f>IFERROR(SUM(
IF('TL01'!$B$3=N$3,SUMIF('TL01'!$C$10:$C$224,$C400,'TL01'!$J$10:$J$224),0),
IF('TL01'!$B$229=N$3,SUMIF('TL01'!$C$238:$C$451,$C400,'TL01'!$J$238:$J$451),0),
IF('TL02'!$B$3=N$3,SUMIF('TL02'!$C$10:$C$224,$C400,'TL02'!$J$10:$J$224),0),
IF('TL02'!$B$229=N$3,SUMIF('TL02'!$C$238:$C$451,$C400,'TL02'!$J$238:$J$451),0),
IF('TL03'!$B$3=N$3,SUMIF('TL03'!$C$10:$C$224,$C400,'TL03'!$J$10:$J$224),0),
IF('TL03'!$B$229=N$3,SUMIF('TL03'!$C$238:$C$451,$C400,'TL03'!$J$238:$J$451),0),
IF('TL04'!$B$3=N$3,SUMIF('TL04'!$C$10:$C$224,$C400,'TL04'!$J$10:$J$224),0),
IF('TL04'!$B$229=N$3,SUMIF('TL04'!$C$238:$C$451,$C400,'TL04'!$J$238:$J$451),0),
IF('TL05'!$B$3=N$3,SUMIF('TL05'!$C$10:$C$224,$C400,'TL05'!$J$10:$J$224),0),
IF('TL05'!$B$229=N$3,SUMIF('TL05'!$C$238:$C$451,$C400,'TL05'!$J$238:$J$451),0),
IF('TL06'!$B$3=N$3,SUMIF('TL06'!$C$10:$C$224,$C400,'TL06'!$J$10:$J$224),0),
IF('TL06'!$B$229=N$3,SUMIF('TL06'!$C$238:$C$451,$C400,'TL06'!$J$238:$J$451),0),
IF('TL07'!$B$3=N$3,SUMIF('TL07'!$C$10:$C$224,$C400,'TL07'!$J$10:$J$224),0),
IF('TL07'!$B$229=N$3,SUMIF('TL07'!$C$238:$C$451,$C400,'TL07'!$J$238:$J$451),0),
IF('TL08'!$B$3=N$3,SUMIF('TL08'!$C$10:$C$224,$C400,'TL08'!$J$10:$J$224),0),
IF('TL08'!$B$229=N$3,SUMIF('TL08'!$C$238:$C$451,$C400,'TL08'!$J$238:$J$451),0),
IF('TL09'!$B$3=N$3,SUMIF('TL09'!$C$10:$C$224,$C400,'TL09'!$J$10:$J$224),0),
IF('TL09'!$B$229=N$3,SUMIF('TL09'!$C$238:$C$451,$C400,'TL09'!$J$238:$J$451),0),
IF('TL10'!$B$3=N$3,SUMIF('TL10'!$C$10:$C$224,$C400,'TL10'!$J$10:$J$224),0),
IF('TL10'!$B$229=N$3,SUMIF('TL10'!$C$238:$C$451,$C400,'TL10'!$J$238:$J$451),0),
IF('TL11'!$B$3=N$3,SUMIF('TL11'!$C$10:$C$224,$C400,'TL11'!$J$10:$J$224),0),
IF('TL11'!$B$229=N$3,SUMIF('TL11'!$C$238:$C$451,$C400,'TL11'!$J$238:$J$451),0),
IF('TL12'!$B$3=N$3,SUMIF('TL12'!$C$10:$C$224,$C400,'TL12'!$J$10:$J$224),0),
IF('TL12'!$B$229=N$3,SUMIF('TL12'!$C$238:$C$451,$C400,'TL12'!$J$238:$J$451),0),
IF('TL13'!$B$3=N$3,SUMIF('TL13'!$C$10:$C$224,$C400,'TL13'!$J$10:$J$224),0),
IF('TL13'!$B$229=N$3,SUMIF('TL13'!$C$238:$C$451,$C400,'TL13'!$J$238:$J$451),0),
IF('TL14'!$B$3=N$3,SUMIF('TL14'!$C$10:$C$224,$C400,'TL14'!$J$10:$J$224),0),
IF('TL14'!$B$229=N$3,SUMIF('TL14'!$C$238:$C$451,$C400,'TL14'!$J$238:$J$451),0),
IF('TL15'!$B$3=N$3,SUMIF('TL15'!$C$10:$C$224,$C400,'TL15'!$J$10:$J$224),0),
IF('TL15'!$B$229=N$3,SUMIF('TL15'!$C$238:$C$451,$C400,'TL15'!$J$238:$J$451),0),
IF('TL16'!$B$3=N$3,SUMIF('TL16'!$C$10:$C$224,$C400,'TL16'!$J$10:$J$224),0),
IF('TL16'!$B$229=N$3,SUMIF('TL16'!$C$238:$C$451,$C400,'TL16'!$J$238:$J$451),0),
IF('TL17'!$B$3=N$3,SUMIF('TL17'!$C$10:$C$224,$C400,'TL17'!$J$10:$J$224),0),
IF('TL17'!$B$229=N$3,SUMIF('TL17'!$C$238:$C$451,$C400,'TL17'!$J$238:$J$451),0),
IF('TL18'!$B$3=N$3,SUMIF('TL18'!$C$10:$C$224,$C400,'TL18'!$J$10:$J$224),0),
IF('TL18'!$B$229=N$3,SUMIF('TL18'!$C$238:$C$451,$C400,'TL18'!$J$238:$J$451),0),
IF('TL19'!$B$3=N$3,SUMIF('TL19'!$C$10:$C$224,$C400,'TL19'!$J$10:$J$224),0),
IF('TL19'!$B$229=N$3,SUMIF('TL19'!$C$238:$C$451,$C400,'TL19'!$J$238:$J$451),0)
),0)</f>
        <v>0</v>
      </c>
      <c r="O400" s="136">
        <f>IFERROR(SUM(
IF('TL01'!$B$3=O$3,SUMIF('TL01'!$C$10:$C$224,$C400,'TL01'!$J$10:$J$224),0),
IF('TL01'!$B$229=O$3,SUMIF('TL01'!$C$238:$C$451,$C400,'TL01'!$J$238:$J$451),0),
IF('TL02'!$B$3=O$3,SUMIF('TL02'!$C$10:$C$224,$C400,'TL02'!$J$10:$J$224),0),
IF('TL02'!$B$229=O$3,SUMIF('TL02'!$C$238:$C$451,$C400,'TL02'!$J$238:$J$451),0),
IF('TL03'!$B$3=O$3,SUMIF('TL03'!$C$10:$C$224,$C400,'TL03'!$J$10:$J$224),0),
IF('TL03'!$B$229=O$3,SUMIF('TL03'!$C$238:$C$451,$C400,'TL03'!$J$238:$J$451),0),
IF('TL04'!$B$3=O$3,SUMIF('TL04'!$C$10:$C$224,$C400,'TL04'!$J$10:$J$224),0),
IF('TL04'!$B$229=O$3,SUMIF('TL04'!$C$238:$C$451,$C400,'TL04'!$J$238:$J$451),0),
IF('TL05'!$B$3=O$3,SUMIF('TL05'!$C$10:$C$224,$C400,'TL05'!$J$10:$J$224),0),
IF('TL05'!$B$229=O$3,SUMIF('TL05'!$C$238:$C$451,$C400,'TL05'!$J$238:$J$451),0),
IF('TL06'!$B$3=O$3,SUMIF('TL06'!$C$10:$C$224,$C400,'TL06'!$J$10:$J$224),0),
IF('TL06'!$B$229=O$3,SUMIF('TL06'!$C$238:$C$451,$C400,'TL06'!$J$238:$J$451),0),
IF('TL07'!$B$3=O$3,SUMIF('TL07'!$C$10:$C$224,$C400,'TL07'!$J$10:$J$224),0),
IF('TL07'!$B$229=O$3,SUMIF('TL07'!$C$238:$C$451,$C400,'TL07'!$J$238:$J$451),0),
IF('TL08'!$B$3=O$3,SUMIF('TL08'!$C$10:$C$224,$C400,'TL08'!$J$10:$J$224),0),
IF('TL08'!$B$229=O$3,SUMIF('TL08'!$C$238:$C$451,$C400,'TL08'!$J$238:$J$451),0),
IF('TL09'!$B$3=O$3,SUMIF('TL09'!$C$10:$C$224,$C400,'TL09'!$J$10:$J$224),0),
IF('TL09'!$B$229=O$3,SUMIF('TL09'!$C$238:$C$451,$C400,'TL09'!$J$238:$J$451),0),
IF('TL10'!$B$3=O$3,SUMIF('TL10'!$C$10:$C$224,$C400,'TL10'!$J$10:$J$224),0),
IF('TL10'!$B$229=O$3,SUMIF('TL10'!$C$238:$C$451,$C400,'TL10'!$J$238:$J$451),0),
IF('TL11'!$B$3=O$3,SUMIF('TL11'!$C$10:$C$224,$C400,'TL11'!$J$10:$J$224),0),
IF('TL11'!$B$229=O$3,SUMIF('TL11'!$C$238:$C$451,$C400,'TL11'!$J$238:$J$451),0),
IF('TL12'!$B$3=O$3,SUMIF('TL12'!$C$10:$C$224,$C400,'TL12'!$J$10:$J$224),0),
IF('TL12'!$B$229=O$3,SUMIF('TL12'!$C$238:$C$451,$C400,'TL12'!$J$238:$J$451),0),
IF('TL13'!$B$3=O$3,SUMIF('TL13'!$C$10:$C$224,$C400,'TL13'!$J$10:$J$224),0),
IF('TL13'!$B$229=O$3,SUMIF('TL13'!$C$238:$C$451,$C400,'TL13'!$J$238:$J$451),0),
IF('TL14'!$B$3=O$3,SUMIF('TL14'!$C$10:$C$224,$C400,'TL14'!$J$10:$J$224),0),
IF('TL14'!$B$229=O$3,SUMIF('TL14'!$C$238:$C$451,$C400,'TL14'!$J$238:$J$451),0),
IF('TL15'!$B$3=O$3,SUMIF('TL15'!$C$10:$C$224,$C400,'TL15'!$J$10:$J$224),0),
IF('TL15'!$B$229=O$3,SUMIF('TL15'!$C$238:$C$451,$C400,'TL15'!$J$238:$J$451),0),
IF('TL16'!$B$3=O$3,SUMIF('TL16'!$C$10:$C$224,$C400,'TL16'!$J$10:$J$224),0),
IF('TL16'!$B$229=O$3,SUMIF('TL16'!$C$238:$C$451,$C400,'TL16'!$J$238:$J$451),0),
IF('TL17'!$B$3=O$3,SUMIF('TL17'!$C$10:$C$224,$C400,'TL17'!$J$10:$J$224),0),
IF('TL17'!$B$229=O$3,SUMIF('TL17'!$C$238:$C$451,$C400,'TL17'!$J$238:$J$451),0),
IF('TL18'!$B$3=O$3,SUMIF('TL18'!$C$10:$C$224,$C400,'TL18'!$J$10:$J$224),0),
IF('TL18'!$B$229=O$3,SUMIF('TL18'!$C$238:$C$451,$C400,'TL18'!$J$238:$J$451),0),
IF('TL19'!$B$3=O$3,SUMIF('TL19'!$C$10:$C$224,$C400,'TL19'!$J$10:$J$224),0),
IF('TL19'!$B$229=O$3,SUMIF('TL19'!$C$238:$C$451,$C400,'TL19'!$J$238:$J$451),0)
),0)</f>
        <v>0</v>
      </c>
      <c r="P400" s="136">
        <f>IFERROR(SUM(
IF('TL01'!$B$3=P$3,SUMIF('TL01'!$C$10:$C$224,$C400,'TL01'!$J$10:$J$224),0),
IF('TL01'!$B$229=P$3,SUMIF('TL01'!$C$238:$C$451,$C400,'TL01'!$J$238:$J$451),0),
IF('TL02'!$B$3=P$3,SUMIF('TL02'!$C$10:$C$224,$C400,'TL02'!$J$10:$J$224),0),
IF('TL02'!$B$229=P$3,SUMIF('TL02'!$C$238:$C$451,$C400,'TL02'!$J$238:$J$451),0),
IF('TL03'!$B$3=P$3,SUMIF('TL03'!$C$10:$C$224,$C400,'TL03'!$J$10:$J$224),0),
IF('TL03'!$B$229=P$3,SUMIF('TL03'!$C$238:$C$451,$C400,'TL03'!$J$238:$J$451),0),
IF('TL04'!$B$3=P$3,SUMIF('TL04'!$C$10:$C$224,$C400,'TL04'!$J$10:$J$224),0),
IF('TL04'!$B$229=P$3,SUMIF('TL04'!$C$238:$C$451,$C400,'TL04'!$J$238:$J$451),0),
IF('TL05'!$B$3=P$3,SUMIF('TL05'!$C$10:$C$224,$C400,'TL05'!$J$10:$J$224),0),
IF('TL05'!$B$229=P$3,SUMIF('TL05'!$C$238:$C$451,$C400,'TL05'!$J$238:$J$451),0),
IF('TL06'!$B$3=P$3,SUMIF('TL06'!$C$10:$C$224,$C400,'TL06'!$J$10:$J$224),0),
IF('TL06'!$B$229=P$3,SUMIF('TL06'!$C$238:$C$451,$C400,'TL06'!$J$238:$J$451),0),
IF('TL07'!$B$3=P$3,SUMIF('TL07'!$C$10:$C$224,$C400,'TL07'!$J$10:$J$224),0),
IF('TL07'!$B$229=P$3,SUMIF('TL07'!$C$238:$C$451,$C400,'TL07'!$J$238:$J$451),0),
IF('TL08'!$B$3=P$3,SUMIF('TL08'!$C$10:$C$224,$C400,'TL08'!$J$10:$J$224),0),
IF('TL08'!$B$229=P$3,SUMIF('TL08'!$C$238:$C$451,$C400,'TL08'!$J$238:$J$451),0),
IF('TL09'!$B$3=P$3,SUMIF('TL09'!$C$10:$C$224,$C400,'TL09'!$J$10:$J$224),0),
IF('TL09'!$B$229=P$3,SUMIF('TL09'!$C$238:$C$451,$C400,'TL09'!$J$238:$J$451),0),
IF('TL10'!$B$3=P$3,SUMIF('TL10'!$C$10:$C$224,$C400,'TL10'!$J$10:$J$224),0),
IF('TL10'!$B$229=P$3,SUMIF('TL10'!$C$238:$C$451,$C400,'TL10'!$J$238:$J$451),0),
IF('TL11'!$B$3=P$3,SUMIF('TL11'!$C$10:$C$224,$C400,'TL11'!$J$10:$J$224),0),
IF('TL11'!$B$229=P$3,SUMIF('TL11'!$C$238:$C$451,$C400,'TL11'!$J$238:$J$451),0),
IF('TL12'!$B$3=P$3,SUMIF('TL12'!$C$10:$C$224,$C400,'TL12'!$J$10:$J$224),0),
IF('TL12'!$B$229=P$3,SUMIF('TL12'!$C$238:$C$451,$C400,'TL12'!$J$238:$J$451),0),
IF('TL13'!$B$3=P$3,SUMIF('TL13'!$C$10:$C$224,$C400,'TL13'!$J$10:$J$224),0),
IF('TL13'!$B$229=P$3,SUMIF('TL13'!$C$238:$C$451,$C400,'TL13'!$J$238:$J$451),0),
IF('TL14'!$B$3=P$3,SUMIF('TL14'!$C$10:$C$224,$C400,'TL14'!$J$10:$J$224),0),
IF('TL14'!$B$229=P$3,SUMIF('TL14'!$C$238:$C$451,$C400,'TL14'!$J$238:$J$451),0),
IF('TL15'!$B$3=P$3,SUMIF('TL15'!$C$10:$C$224,$C400,'TL15'!$J$10:$J$224),0),
IF('TL15'!$B$229=P$3,SUMIF('TL15'!$C$238:$C$451,$C400,'TL15'!$J$238:$J$451),0),
IF('TL16'!$B$3=P$3,SUMIF('TL16'!$C$10:$C$224,$C400,'TL16'!$J$10:$J$224),0),
IF('TL16'!$B$229=P$3,SUMIF('TL16'!$C$238:$C$451,$C400,'TL16'!$J$238:$J$451),0),
IF('TL17'!$B$3=P$3,SUMIF('TL17'!$C$10:$C$224,$C400,'TL17'!$J$10:$J$224),0),
IF('TL17'!$B$229=P$3,SUMIF('TL17'!$C$238:$C$451,$C400,'TL17'!$J$238:$J$451),0),
IF('TL18'!$B$3=P$3,SUMIF('TL18'!$C$10:$C$224,$C400,'TL18'!$J$10:$J$224),0),
IF('TL18'!$B$229=P$3,SUMIF('TL18'!$C$238:$C$451,$C400,'TL18'!$J$238:$J$451),0),
IF('TL19'!$B$3=P$3,SUMIF('TL19'!$C$10:$C$224,$C400,'TL19'!$J$10:$J$224),0),
IF('TL19'!$B$229=P$3,SUMIF('TL19'!$C$238:$C$451,$C400,'TL19'!$J$238:$J$451),0)
),0)</f>
        <v>182.7</v>
      </c>
      <c r="Q400" s="136">
        <f>IFERROR(SUM(
IF('TL01'!$B$3=Q$3,SUMIF('TL01'!$C$10:$C$224,$C400,'TL01'!$J$10:$J$224),0),
IF('TL01'!$B$229=Q$3,SUMIF('TL01'!$C$238:$C$451,$C400,'TL01'!$J$238:$J$451),0),
IF('TL02'!$B$3=Q$3,SUMIF('TL02'!$C$10:$C$224,$C400,'TL02'!$J$10:$J$224),0),
IF('TL02'!$B$229=Q$3,SUMIF('TL02'!$C$238:$C$451,$C400,'TL02'!$J$238:$J$451),0),
IF('TL03'!$B$3=Q$3,SUMIF('TL03'!$C$10:$C$224,$C400,'TL03'!$J$10:$J$224),0),
IF('TL03'!$B$229=Q$3,SUMIF('TL03'!$C$238:$C$451,$C400,'TL03'!$J$238:$J$451),0),
IF('TL04'!$B$3=Q$3,SUMIF('TL04'!$C$10:$C$224,$C400,'TL04'!$J$10:$J$224),0),
IF('TL04'!$B$229=Q$3,SUMIF('TL04'!$C$238:$C$451,$C400,'TL04'!$J$238:$J$451),0),
IF('TL05'!$B$3=Q$3,SUMIF('TL05'!$C$10:$C$224,$C400,'TL05'!$J$10:$J$224),0),
IF('TL05'!$B$229=Q$3,SUMIF('TL05'!$C$238:$C$451,$C400,'TL05'!$J$238:$J$451),0),
IF('TL06'!$B$3=Q$3,SUMIF('TL06'!$C$10:$C$224,$C400,'TL06'!$J$10:$J$224),0),
IF('TL06'!$B$229=Q$3,SUMIF('TL06'!$C$238:$C$451,$C400,'TL06'!$J$238:$J$451),0),
IF('TL07'!$B$3=Q$3,SUMIF('TL07'!$C$10:$C$224,$C400,'TL07'!$J$10:$J$224),0),
IF('TL07'!$B$229=Q$3,SUMIF('TL07'!$C$238:$C$451,$C400,'TL07'!$J$238:$J$451),0),
IF('TL08'!$B$3=Q$3,SUMIF('TL08'!$C$10:$C$224,$C400,'TL08'!$J$10:$J$224),0),
IF('TL08'!$B$229=Q$3,SUMIF('TL08'!$C$238:$C$451,$C400,'TL08'!$J$238:$J$451),0),
IF('TL09'!$B$3=Q$3,SUMIF('TL09'!$C$10:$C$224,$C400,'TL09'!$J$10:$J$224),0),
IF('TL09'!$B$229=Q$3,SUMIF('TL09'!$C$238:$C$451,$C400,'TL09'!$J$238:$J$451),0),
IF('TL10'!$B$3=Q$3,SUMIF('TL10'!$C$10:$C$224,$C400,'TL10'!$J$10:$J$224),0),
IF('TL10'!$B$229=Q$3,SUMIF('TL10'!$C$238:$C$451,$C400,'TL10'!$J$238:$J$451),0),
IF('TL11'!$B$3=Q$3,SUMIF('TL11'!$C$10:$C$224,$C400,'TL11'!$J$10:$J$224),0),
IF('TL11'!$B$229=Q$3,SUMIF('TL11'!$C$238:$C$451,$C400,'TL11'!$J$238:$J$451),0),
IF('TL12'!$B$3=Q$3,SUMIF('TL12'!$C$10:$C$224,$C400,'TL12'!$J$10:$J$224),0),
IF('TL12'!$B$229=Q$3,SUMIF('TL12'!$C$238:$C$451,$C400,'TL12'!$J$238:$J$451),0),
IF('TL13'!$B$3=Q$3,SUMIF('TL13'!$C$10:$C$224,$C400,'TL13'!$J$10:$J$224),0),
IF('TL13'!$B$229=Q$3,SUMIF('TL13'!$C$238:$C$451,$C400,'TL13'!$J$238:$J$451),0),
IF('TL14'!$B$3=Q$3,SUMIF('TL14'!$C$10:$C$224,$C400,'TL14'!$J$10:$J$224),0),
IF('TL14'!$B$229=Q$3,SUMIF('TL14'!$C$238:$C$451,$C400,'TL14'!$J$238:$J$451),0),
IF('TL15'!$B$3=Q$3,SUMIF('TL15'!$C$10:$C$224,$C400,'TL15'!$J$10:$J$224),0),
IF('TL15'!$B$229=Q$3,SUMIF('TL15'!$C$238:$C$451,$C400,'TL15'!$J$238:$J$451),0),
IF('TL16'!$B$3=Q$3,SUMIF('TL16'!$C$10:$C$224,$C400,'TL16'!$J$10:$J$224),0),
IF('TL16'!$B$229=Q$3,SUMIF('TL16'!$C$238:$C$451,$C400,'TL16'!$J$238:$J$451),0),
IF('TL17'!$B$3=Q$3,SUMIF('TL17'!$C$10:$C$224,$C400,'TL17'!$J$10:$J$224),0),
IF('TL17'!$B$229=Q$3,SUMIF('TL17'!$C$238:$C$451,$C400,'TL17'!$J$238:$J$451),0),
IF('TL18'!$B$3=Q$3,SUMIF('TL18'!$C$10:$C$224,$C400,'TL18'!$J$10:$J$224),0),
IF('TL18'!$B$229=Q$3,SUMIF('TL18'!$C$238:$C$451,$C400,'TL18'!$J$238:$J$451),0),
IF('TL19'!$B$3=Q$3,SUMIF('TL19'!$C$10:$C$224,$C400,'TL19'!$J$10:$J$224),0),
IF('TL19'!$B$229=Q$3,SUMIF('TL19'!$C$238:$C$451,$C400,'TL19'!$J$238:$J$451),0)
),0)</f>
        <v>48</v>
      </c>
      <c r="R400" s="139">
        <f>IFERROR(
SUM(
SUMIF('TL01'!C:C,C400,'TL01'!J:J),
SUMIF('TL02'!C:C,C400,'TL02'!I:I),
SUMIF('TL03'!C:C,C400,'TL03'!I:I),
SUMIF('TL04'!C:C,C400,'TL04'!I:I),
SUMIF('TL05'!C:C,C400,'TL05'!I:I),
SUMIF('TL06'!C:C,C400,'TL06'!I:I),
SUMIF('TL07'!C:C,C400,'TL07'!I:I),
SUMIF('TL08'!C:C,C400,'TL08'!I:I),
SUMIF('TL09'!C:C,C400,'TL09'!I:I),
SUMIF('TL10'!C:C,C400,'TL10'!I:I),
SUMIF('TL11'!C:C,C400,'TL11'!I:I),
SUMIF('TL12'!C:C,C400,'TL12'!I:I),
SUMIF('TL13'!C:C,C400,'TL13'!I:I),
SUMIF('TL14'!C:C,C400,'TL14'!I:I),
SUMIF('TL15'!C:C,C400,'TL15'!I:I),
SUMIF('TL16'!C:C,C400,'TL16'!I:I),
SUMIF('TL17'!C:C,C400,'TL17'!I:I),
SUMIF('TL18'!C:C,C400,'TL18'!I:I))
,0)</f>
        <v>42.75</v>
      </c>
      <c r="S400" s="142">
        <f>'CUSTO OPERAÇÃO'!M4</f>
        <v>375</v>
      </c>
      <c r="T400" s="139"/>
      <c r="U400" s="143">
        <f t="shared" si="2"/>
        <v>42.75</v>
      </c>
      <c r="V400" s="144">
        <f t="shared" si="3"/>
        <v>16031.25</v>
      </c>
    </row>
    <row r="401" ht="15.75" hidden="1" customHeight="1">
      <c r="A401" s="145"/>
      <c r="B401" s="146" t="s">
        <v>10</v>
      </c>
      <c r="C401" s="147" t="str">
        <f>'CUSTO OPERAÇÃO'!D5</f>
        <v>COLHETADEIRA - NH-CR9060 + 740 CF30 AGRIDREPER</v>
      </c>
      <c r="D401" s="147"/>
      <c r="E401" s="148"/>
      <c r="F401" s="138" t="s">
        <v>1133</v>
      </c>
      <c r="G401" s="139"/>
      <c r="H401" s="140">
        <f>'CUSTO OPERAÇÃO'!J5</f>
        <v>0.2178649237</v>
      </c>
      <c r="I401" s="149"/>
      <c r="J401" s="147">
        <f>IFERROR(SUM(
IF('TL01'!$B$3=J$3,SUMIF('TL01'!$C$10:$C$224,$C401,'TL01'!$J$10:$J$224),0),
IF('TL01'!$B$229=J$3,SUMIF('TL01'!$C$238:$C$451,$C401,'TL01'!$J$238:$J$451),0),
IF('TL02'!$B$3=J$3,SUMIF('TL02'!$C$10:$C$224,$C401,'TL02'!$J$10:$J$224),0),
IF('TL02'!$B$229=J$3,SUMIF('TL02'!$C$238:$C$451,$C401,'TL02'!$J$238:$J$451),0),
IF('TL03'!$B$3=J$3,SUMIF('TL03'!$C$10:$C$224,$C401,'TL03'!$J$10:$J$224),0),
IF('TL03'!$B$229=J$3,SUMIF('TL03'!$C$238:$C$451,$C401,'TL03'!$J$238:$J$451),0),
IF('TL04'!$B$3=J$3,SUMIF('TL04'!$C$10:$C$224,$C401,'TL04'!$J$10:$J$224),0),
IF('TL04'!$B$229=J$3,SUMIF('TL04'!$C$238:$C$451,$C401,'TL04'!$J$238:$J$451),0),
IF('TL05'!$B$3=J$3,SUMIF('TL05'!$C$10:$C$224,$C401,'TL05'!$J$10:$J$224),0),
IF('TL05'!$B$229=J$3,SUMIF('TL05'!$C$238:$C$451,$C401,'TL05'!$J$238:$J$451),0),
IF('TL06'!$B$3=J$3,SUMIF('TL06'!$C$10:$C$224,$C401,'TL06'!$J$10:$J$224),0),
IF('TL06'!$B$229=J$3,SUMIF('TL06'!$C$238:$C$451,$C401,'TL06'!$J$238:$J$451),0),
IF('TL07'!$B$3=J$3,SUMIF('TL07'!$C$10:$C$224,$C401,'TL07'!$J$10:$J$224),0),
IF('TL07'!$B$229=J$3,SUMIF('TL07'!$C$238:$C$451,$C401,'TL07'!$J$238:$J$451),0),
IF('TL08'!$B$3=J$3,SUMIF('TL08'!$C$10:$C$224,$C401,'TL08'!$J$10:$J$224),0),
IF('TL08'!$B$229=J$3,SUMIF('TL08'!$C$238:$C$451,$C401,'TL08'!$J$238:$J$451),0),
IF('TL09'!$B$3=J$3,SUMIF('TL09'!$C$10:$C$224,$C401,'TL09'!$J$10:$J$224),0),
IF('TL09'!$B$229=J$3,SUMIF('TL09'!$C$238:$C$451,$C401,'TL09'!$J$238:$J$451),0),
IF('TL10'!$B$3=J$3,SUMIF('TL10'!$C$10:$C$224,$C401,'TL10'!$J$10:$J$224),0),
IF('TL10'!$B$229=J$3,SUMIF('TL10'!$C$238:$C$451,$C401,'TL10'!$J$238:$J$451),0),
IF('TL11'!$B$3=J$3,SUMIF('TL11'!$C$10:$C$224,$C401,'TL11'!$J$10:$J$224),0),
IF('TL11'!$B$229=J$3,SUMIF('TL11'!$C$238:$C$451,$C401,'TL11'!$J$238:$J$451),0),
IF('TL12'!$B$3=J$3,SUMIF('TL12'!$C$10:$C$224,$C401,'TL12'!$J$10:$J$224),0),
IF('TL12'!$B$229=J$3,SUMIF('TL12'!$C$238:$C$451,$C401,'TL12'!$J$238:$J$451),0),
IF('TL13'!$B$3=J$3,SUMIF('TL13'!$C$10:$C$224,$C401,'TL13'!$J$10:$J$224),0),
IF('TL13'!$B$229=J$3,SUMIF('TL13'!$C$238:$C$451,$C401,'TL13'!$J$238:$J$451),0),
IF('TL14'!$B$3=J$3,SUMIF('TL14'!$C$10:$C$224,$C401,'TL14'!$J$10:$J$224),0),
IF('TL14'!$B$229=J$3,SUMIF('TL14'!$C$238:$C$451,$C401,'TL14'!$J$238:$J$451),0),
IF('TL15'!$B$3=J$3,SUMIF('TL15'!$C$10:$C$224,$C401,'TL15'!$J$10:$J$224),0),
IF('TL15'!$B$229=J$3,SUMIF('TL15'!$C$238:$C$451,$C401,'TL15'!$J$238:$J$451),0),
IF('TL16'!$B$3=J$3,SUMIF('TL16'!$C$10:$C$224,$C401,'TL16'!$J$10:$J$224),0),
IF('TL16'!$B$229=J$3,SUMIF('TL16'!$C$238:$C$451,$C401,'TL16'!$J$238:$J$451),0),
IF('TL17'!$B$3=J$3,SUMIF('TL17'!$C$10:$C$224,$C401,'TL17'!$J$10:$J$224),0),
IF('TL17'!$B$229=J$3,SUMIF('TL17'!$C$238:$C$451,$C401,'TL17'!$J$238:$J$451),0),
IF('TL18'!$B$3=J$3,SUMIF('TL18'!$C$10:$C$224,$C401,'TL18'!$J$10:$J$224),0),
IF('TL18'!$B$229=J$3,SUMIF('TL18'!$C$238:$C$451,$C401,'TL18'!$J$238:$J$451),0),
IF('TL19'!$B$3=J$3,SUMIF('TL19'!$C$10:$C$224,$C401,'TL19'!$J$10:$J$224),0),
IF('TL19'!$B$229=J$3,SUMIF('TL19'!$C$238:$C$451,$C401,'TL19'!$J$238:$J$451),0)
),0)</f>
        <v>0</v>
      </c>
      <c r="K401" s="147">
        <f>IFERROR(SUM(
IF('TL01'!$B$3=K$3,SUMIF('TL01'!$C$10:$C$224,$C401,'TL01'!$J$10:$J$224),0),
IF('TL01'!$B$229=K$3,SUMIF('TL01'!$C$238:$C$451,$C401,'TL01'!$J$238:$J$451),0),
IF('TL02'!$B$3=K$3,SUMIF('TL02'!$C$10:$C$224,$C401,'TL02'!$J$10:$J$224),0),
IF('TL02'!$B$229=K$3,SUMIF('TL02'!$C$238:$C$451,$C401,'TL02'!$J$238:$J$451),0),
IF('TL03'!$B$3=K$3,SUMIF('TL03'!$C$10:$C$224,$C401,'TL03'!$J$10:$J$224),0),
IF('TL03'!$B$229=K$3,SUMIF('TL03'!$C$238:$C$451,$C401,'TL03'!$J$238:$J$451),0),
IF('TL04'!$B$3=K$3,SUMIF('TL04'!$C$10:$C$224,$C401,'TL04'!$J$10:$J$224),0),
IF('TL04'!$B$229=K$3,SUMIF('TL04'!$C$238:$C$451,$C401,'TL04'!$J$238:$J$451),0),
IF('TL05'!$B$3=K$3,SUMIF('TL05'!$C$10:$C$224,$C401,'TL05'!$J$10:$J$224),0),
IF('TL05'!$B$229=K$3,SUMIF('TL05'!$C$238:$C$451,$C401,'TL05'!$J$238:$J$451),0),
IF('TL06'!$B$3=K$3,SUMIF('TL06'!$C$10:$C$224,$C401,'TL06'!$J$10:$J$224),0),
IF('TL06'!$B$229=K$3,SUMIF('TL06'!$C$238:$C$451,$C401,'TL06'!$J$238:$J$451),0),
IF('TL07'!$B$3=K$3,SUMIF('TL07'!$C$10:$C$224,$C401,'TL07'!$J$10:$J$224),0),
IF('TL07'!$B$229=K$3,SUMIF('TL07'!$C$238:$C$451,$C401,'TL07'!$J$238:$J$451),0),
IF('TL08'!$B$3=K$3,SUMIF('TL08'!$C$10:$C$224,$C401,'TL08'!$J$10:$J$224),0),
IF('TL08'!$B$229=K$3,SUMIF('TL08'!$C$238:$C$451,$C401,'TL08'!$J$238:$J$451),0),
IF('TL09'!$B$3=K$3,SUMIF('TL09'!$C$10:$C$224,$C401,'TL09'!$J$10:$J$224),0),
IF('TL09'!$B$229=K$3,SUMIF('TL09'!$C$238:$C$451,$C401,'TL09'!$J$238:$J$451),0),
IF('TL10'!$B$3=K$3,SUMIF('TL10'!$C$10:$C$224,$C401,'TL10'!$J$10:$J$224),0),
IF('TL10'!$B$229=K$3,SUMIF('TL10'!$C$238:$C$451,$C401,'TL10'!$J$238:$J$451),0),
IF('TL11'!$B$3=K$3,SUMIF('TL11'!$C$10:$C$224,$C401,'TL11'!$J$10:$J$224),0),
IF('TL11'!$B$229=K$3,SUMIF('TL11'!$C$238:$C$451,$C401,'TL11'!$J$238:$J$451),0),
IF('TL12'!$B$3=K$3,SUMIF('TL12'!$C$10:$C$224,$C401,'TL12'!$J$10:$J$224),0),
IF('TL12'!$B$229=K$3,SUMIF('TL12'!$C$238:$C$451,$C401,'TL12'!$J$238:$J$451),0),
IF('TL13'!$B$3=K$3,SUMIF('TL13'!$C$10:$C$224,$C401,'TL13'!$J$10:$J$224),0),
IF('TL13'!$B$229=K$3,SUMIF('TL13'!$C$238:$C$451,$C401,'TL13'!$J$238:$J$451),0),
IF('TL14'!$B$3=K$3,SUMIF('TL14'!$C$10:$C$224,$C401,'TL14'!$J$10:$J$224),0),
IF('TL14'!$B$229=K$3,SUMIF('TL14'!$C$238:$C$451,$C401,'TL14'!$J$238:$J$451),0),
IF('TL15'!$B$3=K$3,SUMIF('TL15'!$C$10:$C$224,$C401,'TL15'!$J$10:$J$224),0),
IF('TL15'!$B$229=K$3,SUMIF('TL15'!$C$238:$C$451,$C401,'TL15'!$J$238:$J$451),0),
IF('TL16'!$B$3=K$3,SUMIF('TL16'!$C$10:$C$224,$C401,'TL16'!$J$10:$J$224),0),
IF('TL16'!$B$229=K$3,SUMIF('TL16'!$C$238:$C$451,$C401,'TL16'!$J$238:$J$451),0),
IF('TL17'!$B$3=K$3,SUMIF('TL17'!$C$10:$C$224,$C401,'TL17'!$J$10:$J$224),0),
IF('TL17'!$B$229=K$3,SUMIF('TL17'!$C$238:$C$451,$C401,'TL17'!$J$238:$J$451),0),
IF('TL18'!$B$3=K$3,SUMIF('TL18'!$C$10:$C$224,$C401,'TL18'!$J$10:$J$224),0),
IF('TL18'!$B$229=K$3,SUMIF('TL18'!$C$238:$C$451,$C401,'TL18'!$J$238:$J$451),0),
IF('TL19'!$B$3=K$3,SUMIF('TL19'!$C$10:$C$224,$C401,'TL19'!$J$10:$J$224),0),
IF('TL19'!$B$229=K$3,SUMIF('TL19'!$C$238:$C$451,$C401,'TL19'!$J$238:$J$451),0)
),0)</f>
        <v>0</v>
      </c>
      <c r="L401" s="147">
        <f>IFERROR(SUM(
IF('TL01'!$B$3=L$3,SUMIF('TL01'!$C$10:$C$224,$C401,'TL01'!$J$10:$J$224),0),
IF('TL01'!$B$229=L$3,SUMIF('TL01'!$C$238:$C$451,$C401,'TL01'!$J$238:$J$451),0),
IF('TL02'!$B$3=L$3,SUMIF('TL02'!$C$10:$C$224,$C401,'TL02'!$J$10:$J$224),0),
IF('TL02'!$B$229=L$3,SUMIF('TL02'!$C$238:$C$451,$C401,'TL02'!$J$238:$J$451),0),
IF('TL03'!$B$3=L$3,SUMIF('TL03'!$C$10:$C$224,$C401,'TL03'!$J$10:$J$224),0),
IF('TL03'!$B$229=L$3,SUMIF('TL03'!$C$238:$C$451,$C401,'TL03'!$J$238:$J$451),0),
IF('TL04'!$B$3=L$3,SUMIF('TL04'!$C$10:$C$224,$C401,'TL04'!$J$10:$J$224),0),
IF('TL04'!$B$229=L$3,SUMIF('TL04'!$C$238:$C$451,$C401,'TL04'!$J$238:$J$451),0),
IF('TL05'!$B$3=L$3,SUMIF('TL05'!$C$10:$C$224,$C401,'TL05'!$J$10:$J$224),0),
IF('TL05'!$B$229=L$3,SUMIF('TL05'!$C$238:$C$451,$C401,'TL05'!$J$238:$J$451),0),
IF('TL06'!$B$3=L$3,SUMIF('TL06'!$C$10:$C$224,$C401,'TL06'!$J$10:$J$224),0),
IF('TL06'!$B$229=L$3,SUMIF('TL06'!$C$238:$C$451,$C401,'TL06'!$J$238:$J$451),0),
IF('TL07'!$B$3=L$3,SUMIF('TL07'!$C$10:$C$224,$C401,'TL07'!$J$10:$J$224),0),
IF('TL07'!$B$229=L$3,SUMIF('TL07'!$C$238:$C$451,$C401,'TL07'!$J$238:$J$451),0),
IF('TL08'!$B$3=L$3,SUMIF('TL08'!$C$10:$C$224,$C401,'TL08'!$J$10:$J$224),0),
IF('TL08'!$B$229=L$3,SUMIF('TL08'!$C$238:$C$451,$C401,'TL08'!$J$238:$J$451),0),
IF('TL09'!$B$3=L$3,SUMIF('TL09'!$C$10:$C$224,$C401,'TL09'!$J$10:$J$224),0),
IF('TL09'!$B$229=L$3,SUMIF('TL09'!$C$238:$C$451,$C401,'TL09'!$J$238:$J$451),0),
IF('TL10'!$B$3=L$3,SUMIF('TL10'!$C$10:$C$224,$C401,'TL10'!$J$10:$J$224),0),
IF('TL10'!$B$229=L$3,SUMIF('TL10'!$C$238:$C$451,$C401,'TL10'!$J$238:$J$451),0),
IF('TL11'!$B$3=L$3,SUMIF('TL11'!$C$10:$C$224,$C401,'TL11'!$J$10:$J$224),0),
IF('TL11'!$B$229=L$3,SUMIF('TL11'!$C$238:$C$451,$C401,'TL11'!$J$238:$J$451),0),
IF('TL12'!$B$3=L$3,SUMIF('TL12'!$C$10:$C$224,$C401,'TL12'!$J$10:$J$224),0),
IF('TL12'!$B$229=L$3,SUMIF('TL12'!$C$238:$C$451,$C401,'TL12'!$J$238:$J$451),0),
IF('TL13'!$B$3=L$3,SUMIF('TL13'!$C$10:$C$224,$C401,'TL13'!$J$10:$J$224),0),
IF('TL13'!$B$229=L$3,SUMIF('TL13'!$C$238:$C$451,$C401,'TL13'!$J$238:$J$451),0),
IF('TL14'!$B$3=L$3,SUMIF('TL14'!$C$10:$C$224,$C401,'TL14'!$J$10:$J$224),0),
IF('TL14'!$B$229=L$3,SUMIF('TL14'!$C$238:$C$451,$C401,'TL14'!$J$238:$J$451),0),
IF('TL15'!$B$3=L$3,SUMIF('TL15'!$C$10:$C$224,$C401,'TL15'!$J$10:$J$224),0),
IF('TL15'!$B$229=L$3,SUMIF('TL15'!$C$238:$C$451,$C401,'TL15'!$J$238:$J$451),0),
IF('TL16'!$B$3=L$3,SUMIF('TL16'!$C$10:$C$224,$C401,'TL16'!$J$10:$J$224),0),
IF('TL16'!$B$229=L$3,SUMIF('TL16'!$C$238:$C$451,$C401,'TL16'!$J$238:$J$451),0),
IF('TL17'!$B$3=L$3,SUMIF('TL17'!$C$10:$C$224,$C401,'TL17'!$J$10:$J$224),0),
IF('TL17'!$B$229=L$3,SUMIF('TL17'!$C$238:$C$451,$C401,'TL17'!$J$238:$J$451),0),
IF('TL18'!$B$3=L$3,SUMIF('TL18'!$C$10:$C$224,$C401,'TL18'!$J$10:$J$224),0),
IF('TL18'!$B$229=L$3,SUMIF('TL18'!$C$238:$C$451,$C401,'TL18'!$J$238:$J$451),0),
IF('TL19'!$B$3=L$3,SUMIF('TL19'!$C$10:$C$224,$C401,'TL19'!$J$10:$J$224),0),
IF('TL19'!$B$229=L$3,SUMIF('TL19'!$C$238:$C$451,$C401,'TL19'!$J$238:$J$451),0)
),0)</f>
        <v>0</v>
      </c>
      <c r="M401" s="147">
        <f>IFERROR(SUM(
IF('TL01'!$B$3=M$3,SUMIF('TL01'!$C$10:$C$224,$C401,'TL01'!$J$10:$J$224),0),
IF('TL01'!$B$229=M$3,SUMIF('TL01'!$C$238:$C$451,$C401,'TL01'!$J$238:$J$451),0),
IF('TL02'!$B$3=M$3,SUMIF('TL02'!$C$10:$C$224,$C401,'TL02'!$J$10:$J$224),0),
IF('TL02'!$B$229=M$3,SUMIF('TL02'!$C$238:$C$451,$C401,'TL02'!$J$238:$J$451),0),
IF('TL03'!$B$3=M$3,SUMIF('TL03'!$C$10:$C$224,$C401,'TL03'!$J$10:$J$224),0),
IF('TL03'!$B$229=M$3,SUMIF('TL03'!$C$238:$C$451,$C401,'TL03'!$J$238:$J$451),0),
IF('TL04'!$B$3=M$3,SUMIF('TL04'!$C$10:$C$224,$C401,'TL04'!$J$10:$J$224),0),
IF('TL04'!$B$229=M$3,SUMIF('TL04'!$C$238:$C$451,$C401,'TL04'!$J$238:$J$451),0),
IF('TL05'!$B$3=M$3,SUMIF('TL05'!$C$10:$C$224,$C401,'TL05'!$J$10:$J$224),0),
IF('TL05'!$B$229=M$3,SUMIF('TL05'!$C$238:$C$451,$C401,'TL05'!$J$238:$J$451),0),
IF('TL06'!$B$3=M$3,SUMIF('TL06'!$C$10:$C$224,$C401,'TL06'!$J$10:$J$224),0),
IF('TL06'!$B$229=M$3,SUMIF('TL06'!$C$238:$C$451,$C401,'TL06'!$J$238:$J$451),0),
IF('TL07'!$B$3=M$3,SUMIF('TL07'!$C$10:$C$224,$C401,'TL07'!$J$10:$J$224),0),
IF('TL07'!$B$229=M$3,SUMIF('TL07'!$C$238:$C$451,$C401,'TL07'!$J$238:$J$451),0),
IF('TL08'!$B$3=M$3,SUMIF('TL08'!$C$10:$C$224,$C401,'TL08'!$J$10:$J$224),0),
IF('TL08'!$B$229=M$3,SUMIF('TL08'!$C$238:$C$451,$C401,'TL08'!$J$238:$J$451),0),
IF('TL09'!$B$3=M$3,SUMIF('TL09'!$C$10:$C$224,$C401,'TL09'!$J$10:$J$224),0),
IF('TL09'!$B$229=M$3,SUMIF('TL09'!$C$238:$C$451,$C401,'TL09'!$J$238:$J$451),0),
IF('TL10'!$B$3=M$3,SUMIF('TL10'!$C$10:$C$224,$C401,'TL10'!$J$10:$J$224),0),
IF('TL10'!$B$229=M$3,SUMIF('TL10'!$C$238:$C$451,$C401,'TL10'!$J$238:$J$451),0),
IF('TL11'!$B$3=M$3,SUMIF('TL11'!$C$10:$C$224,$C401,'TL11'!$J$10:$J$224),0),
IF('TL11'!$B$229=M$3,SUMIF('TL11'!$C$238:$C$451,$C401,'TL11'!$J$238:$J$451),0),
IF('TL12'!$B$3=M$3,SUMIF('TL12'!$C$10:$C$224,$C401,'TL12'!$J$10:$J$224),0),
IF('TL12'!$B$229=M$3,SUMIF('TL12'!$C$238:$C$451,$C401,'TL12'!$J$238:$J$451),0),
IF('TL13'!$B$3=M$3,SUMIF('TL13'!$C$10:$C$224,$C401,'TL13'!$J$10:$J$224),0),
IF('TL13'!$B$229=M$3,SUMIF('TL13'!$C$238:$C$451,$C401,'TL13'!$J$238:$J$451),0),
IF('TL14'!$B$3=M$3,SUMIF('TL14'!$C$10:$C$224,$C401,'TL14'!$J$10:$J$224),0),
IF('TL14'!$B$229=M$3,SUMIF('TL14'!$C$238:$C$451,$C401,'TL14'!$J$238:$J$451),0),
IF('TL15'!$B$3=M$3,SUMIF('TL15'!$C$10:$C$224,$C401,'TL15'!$J$10:$J$224),0),
IF('TL15'!$B$229=M$3,SUMIF('TL15'!$C$238:$C$451,$C401,'TL15'!$J$238:$J$451),0),
IF('TL16'!$B$3=M$3,SUMIF('TL16'!$C$10:$C$224,$C401,'TL16'!$J$10:$J$224),0),
IF('TL16'!$B$229=M$3,SUMIF('TL16'!$C$238:$C$451,$C401,'TL16'!$J$238:$J$451),0),
IF('TL17'!$B$3=M$3,SUMIF('TL17'!$C$10:$C$224,$C401,'TL17'!$J$10:$J$224),0),
IF('TL17'!$B$229=M$3,SUMIF('TL17'!$C$238:$C$451,$C401,'TL17'!$J$238:$J$451),0),
IF('TL18'!$B$3=M$3,SUMIF('TL18'!$C$10:$C$224,$C401,'TL18'!$J$10:$J$224),0),
IF('TL18'!$B$229=M$3,SUMIF('TL18'!$C$238:$C$451,$C401,'TL18'!$J$238:$J$451),0),
IF('TL19'!$B$3=M$3,SUMIF('TL19'!$C$10:$C$224,$C401,'TL19'!$J$10:$J$224),0),
IF('TL19'!$B$229=M$3,SUMIF('TL19'!$C$238:$C$451,$C401,'TL19'!$J$238:$J$451),0)
),0)</f>
        <v>0</v>
      </c>
      <c r="N401" s="147">
        <f>IFERROR(SUM(
IF('TL01'!$B$3=N$3,SUMIF('TL01'!$C$10:$C$224,$C401,'TL01'!$J$10:$J$224),0),
IF('TL01'!$B$229=N$3,SUMIF('TL01'!$C$238:$C$451,$C401,'TL01'!$J$238:$J$451),0),
IF('TL02'!$B$3=N$3,SUMIF('TL02'!$C$10:$C$224,$C401,'TL02'!$J$10:$J$224),0),
IF('TL02'!$B$229=N$3,SUMIF('TL02'!$C$238:$C$451,$C401,'TL02'!$J$238:$J$451),0),
IF('TL03'!$B$3=N$3,SUMIF('TL03'!$C$10:$C$224,$C401,'TL03'!$J$10:$J$224),0),
IF('TL03'!$B$229=N$3,SUMIF('TL03'!$C$238:$C$451,$C401,'TL03'!$J$238:$J$451),0),
IF('TL04'!$B$3=N$3,SUMIF('TL04'!$C$10:$C$224,$C401,'TL04'!$J$10:$J$224),0),
IF('TL04'!$B$229=N$3,SUMIF('TL04'!$C$238:$C$451,$C401,'TL04'!$J$238:$J$451),0),
IF('TL05'!$B$3=N$3,SUMIF('TL05'!$C$10:$C$224,$C401,'TL05'!$J$10:$J$224),0),
IF('TL05'!$B$229=N$3,SUMIF('TL05'!$C$238:$C$451,$C401,'TL05'!$J$238:$J$451),0),
IF('TL06'!$B$3=N$3,SUMIF('TL06'!$C$10:$C$224,$C401,'TL06'!$J$10:$J$224),0),
IF('TL06'!$B$229=N$3,SUMIF('TL06'!$C$238:$C$451,$C401,'TL06'!$J$238:$J$451),0),
IF('TL07'!$B$3=N$3,SUMIF('TL07'!$C$10:$C$224,$C401,'TL07'!$J$10:$J$224),0),
IF('TL07'!$B$229=N$3,SUMIF('TL07'!$C$238:$C$451,$C401,'TL07'!$J$238:$J$451),0),
IF('TL08'!$B$3=N$3,SUMIF('TL08'!$C$10:$C$224,$C401,'TL08'!$J$10:$J$224),0),
IF('TL08'!$B$229=N$3,SUMIF('TL08'!$C$238:$C$451,$C401,'TL08'!$J$238:$J$451),0),
IF('TL09'!$B$3=N$3,SUMIF('TL09'!$C$10:$C$224,$C401,'TL09'!$J$10:$J$224),0),
IF('TL09'!$B$229=N$3,SUMIF('TL09'!$C$238:$C$451,$C401,'TL09'!$J$238:$J$451),0),
IF('TL10'!$B$3=N$3,SUMIF('TL10'!$C$10:$C$224,$C401,'TL10'!$J$10:$J$224),0),
IF('TL10'!$B$229=N$3,SUMIF('TL10'!$C$238:$C$451,$C401,'TL10'!$J$238:$J$451),0),
IF('TL11'!$B$3=N$3,SUMIF('TL11'!$C$10:$C$224,$C401,'TL11'!$J$10:$J$224),0),
IF('TL11'!$B$229=N$3,SUMIF('TL11'!$C$238:$C$451,$C401,'TL11'!$J$238:$J$451),0),
IF('TL12'!$B$3=N$3,SUMIF('TL12'!$C$10:$C$224,$C401,'TL12'!$J$10:$J$224),0),
IF('TL12'!$B$229=N$3,SUMIF('TL12'!$C$238:$C$451,$C401,'TL12'!$J$238:$J$451),0),
IF('TL13'!$B$3=N$3,SUMIF('TL13'!$C$10:$C$224,$C401,'TL13'!$J$10:$J$224),0),
IF('TL13'!$B$229=N$3,SUMIF('TL13'!$C$238:$C$451,$C401,'TL13'!$J$238:$J$451),0),
IF('TL14'!$B$3=N$3,SUMIF('TL14'!$C$10:$C$224,$C401,'TL14'!$J$10:$J$224),0),
IF('TL14'!$B$229=N$3,SUMIF('TL14'!$C$238:$C$451,$C401,'TL14'!$J$238:$J$451),0),
IF('TL15'!$B$3=N$3,SUMIF('TL15'!$C$10:$C$224,$C401,'TL15'!$J$10:$J$224),0),
IF('TL15'!$B$229=N$3,SUMIF('TL15'!$C$238:$C$451,$C401,'TL15'!$J$238:$J$451),0),
IF('TL16'!$B$3=N$3,SUMIF('TL16'!$C$10:$C$224,$C401,'TL16'!$J$10:$J$224),0),
IF('TL16'!$B$229=N$3,SUMIF('TL16'!$C$238:$C$451,$C401,'TL16'!$J$238:$J$451),0),
IF('TL17'!$B$3=N$3,SUMIF('TL17'!$C$10:$C$224,$C401,'TL17'!$J$10:$J$224),0),
IF('TL17'!$B$229=N$3,SUMIF('TL17'!$C$238:$C$451,$C401,'TL17'!$J$238:$J$451),0),
IF('TL18'!$B$3=N$3,SUMIF('TL18'!$C$10:$C$224,$C401,'TL18'!$J$10:$J$224),0),
IF('TL18'!$B$229=N$3,SUMIF('TL18'!$C$238:$C$451,$C401,'TL18'!$J$238:$J$451),0),
IF('TL19'!$B$3=N$3,SUMIF('TL19'!$C$10:$C$224,$C401,'TL19'!$J$10:$J$224),0),
IF('TL19'!$B$229=N$3,SUMIF('TL19'!$C$238:$C$451,$C401,'TL19'!$J$238:$J$451),0)
),0)</f>
        <v>0</v>
      </c>
      <c r="O401" s="147">
        <f>IFERROR(SUM(
IF('TL01'!$B$3=O$3,SUMIF('TL01'!$C$10:$C$224,$C401,'TL01'!$J$10:$J$224),0),
IF('TL01'!$B$229=O$3,SUMIF('TL01'!$C$238:$C$451,$C401,'TL01'!$J$238:$J$451),0),
IF('TL02'!$B$3=O$3,SUMIF('TL02'!$C$10:$C$224,$C401,'TL02'!$J$10:$J$224),0),
IF('TL02'!$B$229=O$3,SUMIF('TL02'!$C$238:$C$451,$C401,'TL02'!$J$238:$J$451),0),
IF('TL03'!$B$3=O$3,SUMIF('TL03'!$C$10:$C$224,$C401,'TL03'!$J$10:$J$224),0),
IF('TL03'!$B$229=O$3,SUMIF('TL03'!$C$238:$C$451,$C401,'TL03'!$J$238:$J$451),0),
IF('TL04'!$B$3=O$3,SUMIF('TL04'!$C$10:$C$224,$C401,'TL04'!$J$10:$J$224),0),
IF('TL04'!$B$229=O$3,SUMIF('TL04'!$C$238:$C$451,$C401,'TL04'!$J$238:$J$451),0),
IF('TL05'!$B$3=O$3,SUMIF('TL05'!$C$10:$C$224,$C401,'TL05'!$J$10:$J$224),0),
IF('TL05'!$B$229=O$3,SUMIF('TL05'!$C$238:$C$451,$C401,'TL05'!$J$238:$J$451),0),
IF('TL06'!$B$3=O$3,SUMIF('TL06'!$C$10:$C$224,$C401,'TL06'!$J$10:$J$224),0),
IF('TL06'!$B$229=O$3,SUMIF('TL06'!$C$238:$C$451,$C401,'TL06'!$J$238:$J$451),0),
IF('TL07'!$B$3=O$3,SUMIF('TL07'!$C$10:$C$224,$C401,'TL07'!$J$10:$J$224),0),
IF('TL07'!$B$229=O$3,SUMIF('TL07'!$C$238:$C$451,$C401,'TL07'!$J$238:$J$451),0),
IF('TL08'!$B$3=O$3,SUMIF('TL08'!$C$10:$C$224,$C401,'TL08'!$J$10:$J$224),0),
IF('TL08'!$B$229=O$3,SUMIF('TL08'!$C$238:$C$451,$C401,'TL08'!$J$238:$J$451),0),
IF('TL09'!$B$3=O$3,SUMIF('TL09'!$C$10:$C$224,$C401,'TL09'!$J$10:$J$224),0),
IF('TL09'!$B$229=O$3,SUMIF('TL09'!$C$238:$C$451,$C401,'TL09'!$J$238:$J$451),0),
IF('TL10'!$B$3=O$3,SUMIF('TL10'!$C$10:$C$224,$C401,'TL10'!$J$10:$J$224),0),
IF('TL10'!$B$229=O$3,SUMIF('TL10'!$C$238:$C$451,$C401,'TL10'!$J$238:$J$451),0),
IF('TL11'!$B$3=O$3,SUMIF('TL11'!$C$10:$C$224,$C401,'TL11'!$J$10:$J$224),0),
IF('TL11'!$B$229=O$3,SUMIF('TL11'!$C$238:$C$451,$C401,'TL11'!$J$238:$J$451),0),
IF('TL12'!$B$3=O$3,SUMIF('TL12'!$C$10:$C$224,$C401,'TL12'!$J$10:$J$224),0),
IF('TL12'!$B$229=O$3,SUMIF('TL12'!$C$238:$C$451,$C401,'TL12'!$J$238:$J$451),0),
IF('TL13'!$B$3=O$3,SUMIF('TL13'!$C$10:$C$224,$C401,'TL13'!$J$10:$J$224),0),
IF('TL13'!$B$229=O$3,SUMIF('TL13'!$C$238:$C$451,$C401,'TL13'!$J$238:$J$451),0),
IF('TL14'!$B$3=O$3,SUMIF('TL14'!$C$10:$C$224,$C401,'TL14'!$J$10:$J$224),0),
IF('TL14'!$B$229=O$3,SUMIF('TL14'!$C$238:$C$451,$C401,'TL14'!$J$238:$J$451),0),
IF('TL15'!$B$3=O$3,SUMIF('TL15'!$C$10:$C$224,$C401,'TL15'!$J$10:$J$224),0),
IF('TL15'!$B$229=O$3,SUMIF('TL15'!$C$238:$C$451,$C401,'TL15'!$J$238:$J$451),0),
IF('TL16'!$B$3=O$3,SUMIF('TL16'!$C$10:$C$224,$C401,'TL16'!$J$10:$J$224),0),
IF('TL16'!$B$229=O$3,SUMIF('TL16'!$C$238:$C$451,$C401,'TL16'!$J$238:$J$451),0),
IF('TL17'!$B$3=O$3,SUMIF('TL17'!$C$10:$C$224,$C401,'TL17'!$J$10:$J$224),0),
IF('TL17'!$B$229=O$3,SUMIF('TL17'!$C$238:$C$451,$C401,'TL17'!$J$238:$J$451),0),
IF('TL18'!$B$3=O$3,SUMIF('TL18'!$C$10:$C$224,$C401,'TL18'!$J$10:$J$224),0),
IF('TL18'!$B$229=O$3,SUMIF('TL18'!$C$238:$C$451,$C401,'TL18'!$J$238:$J$451),0),
IF('TL19'!$B$3=O$3,SUMIF('TL19'!$C$10:$C$224,$C401,'TL19'!$J$10:$J$224),0),
IF('TL19'!$B$229=O$3,SUMIF('TL19'!$C$238:$C$451,$C401,'TL19'!$J$238:$J$451),0)
),0)</f>
        <v>0</v>
      </c>
      <c r="P401" s="147">
        <f>IFERROR(SUM(
IF('TL01'!$B$3=P$3,SUMIF('TL01'!$C$10:$C$224,$C401,'TL01'!$J$10:$J$224),0),
IF('TL01'!$B$229=P$3,SUMIF('TL01'!$C$238:$C$451,$C401,'TL01'!$J$238:$J$451),0),
IF('TL02'!$B$3=P$3,SUMIF('TL02'!$C$10:$C$224,$C401,'TL02'!$J$10:$J$224),0),
IF('TL02'!$B$229=P$3,SUMIF('TL02'!$C$238:$C$451,$C401,'TL02'!$J$238:$J$451),0),
IF('TL03'!$B$3=P$3,SUMIF('TL03'!$C$10:$C$224,$C401,'TL03'!$J$10:$J$224),0),
IF('TL03'!$B$229=P$3,SUMIF('TL03'!$C$238:$C$451,$C401,'TL03'!$J$238:$J$451),0),
IF('TL04'!$B$3=P$3,SUMIF('TL04'!$C$10:$C$224,$C401,'TL04'!$J$10:$J$224),0),
IF('TL04'!$B$229=P$3,SUMIF('TL04'!$C$238:$C$451,$C401,'TL04'!$J$238:$J$451),0),
IF('TL05'!$B$3=P$3,SUMIF('TL05'!$C$10:$C$224,$C401,'TL05'!$J$10:$J$224),0),
IF('TL05'!$B$229=P$3,SUMIF('TL05'!$C$238:$C$451,$C401,'TL05'!$J$238:$J$451),0),
IF('TL06'!$B$3=P$3,SUMIF('TL06'!$C$10:$C$224,$C401,'TL06'!$J$10:$J$224),0),
IF('TL06'!$B$229=P$3,SUMIF('TL06'!$C$238:$C$451,$C401,'TL06'!$J$238:$J$451),0),
IF('TL07'!$B$3=P$3,SUMIF('TL07'!$C$10:$C$224,$C401,'TL07'!$J$10:$J$224),0),
IF('TL07'!$B$229=P$3,SUMIF('TL07'!$C$238:$C$451,$C401,'TL07'!$J$238:$J$451),0),
IF('TL08'!$B$3=P$3,SUMIF('TL08'!$C$10:$C$224,$C401,'TL08'!$J$10:$J$224),0),
IF('TL08'!$B$229=P$3,SUMIF('TL08'!$C$238:$C$451,$C401,'TL08'!$J$238:$J$451),0),
IF('TL09'!$B$3=P$3,SUMIF('TL09'!$C$10:$C$224,$C401,'TL09'!$J$10:$J$224),0),
IF('TL09'!$B$229=P$3,SUMIF('TL09'!$C$238:$C$451,$C401,'TL09'!$J$238:$J$451),0),
IF('TL10'!$B$3=P$3,SUMIF('TL10'!$C$10:$C$224,$C401,'TL10'!$J$10:$J$224),0),
IF('TL10'!$B$229=P$3,SUMIF('TL10'!$C$238:$C$451,$C401,'TL10'!$J$238:$J$451),0),
IF('TL11'!$B$3=P$3,SUMIF('TL11'!$C$10:$C$224,$C401,'TL11'!$J$10:$J$224),0),
IF('TL11'!$B$229=P$3,SUMIF('TL11'!$C$238:$C$451,$C401,'TL11'!$J$238:$J$451),0),
IF('TL12'!$B$3=P$3,SUMIF('TL12'!$C$10:$C$224,$C401,'TL12'!$J$10:$J$224),0),
IF('TL12'!$B$229=P$3,SUMIF('TL12'!$C$238:$C$451,$C401,'TL12'!$J$238:$J$451),0),
IF('TL13'!$B$3=P$3,SUMIF('TL13'!$C$10:$C$224,$C401,'TL13'!$J$10:$J$224),0),
IF('TL13'!$B$229=P$3,SUMIF('TL13'!$C$238:$C$451,$C401,'TL13'!$J$238:$J$451),0),
IF('TL14'!$B$3=P$3,SUMIF('TL14'!$C$10:$C$224,$C401,'TL14'!$J$10:$J$224),0),
IF('TL14'!$B$229=P$3,SUMIF('TL14'!$C$238:$C$451,$C401,'TL14'!$J$238:$J$451),0),
IF('TL15'!$B$3=P$3,SUMIF('TL15'!$C$10:$C$224,$C401,'TL15'!$J$10:$J$224),0),
IF('TL15'!$B$229=P$3,SUMIF('TL15'!$C$238:$C$451,$C401,'TL15'!$J$238:$J$451),0),
IF('TL16'!$B$3=P$3,SUMIF('TL16'!$C$10:$C$224,$C401,'TL16'!$J$10:$J$224),0),
IF('TL16'!$B$229=P$3,SUMIF('TL16'!$C$238:$C$451,$C401,'TL16'!$J$238:$J$451),0),
IF('TL17'!$B$3=P$3,SUMIF('TL17'!$C$10:$C$224,$C401,'TL17'!$J$10:$J$224),0),
IF('TL17'!$B$229=P$3,SUMIF('TL17'!$C$238:$C$451,$C401,'TL17'!$J$238:$J$451),0),
IF('TL18'!$B$3=P$3,SUMIF('TL18'!$C$10:$C$224,$C401,'TL18'!$J$10:$J$224),0),
IF('TL18'!$B$229=P$3,SUMIF('TL18'!$C$238:$C$451,$C401,'TL18'!$J$238:$J$451),0),
IF('TL19'!$B$3=P$3,SUMIF('TL19'!$C$10:$C$224,$C401,'TL19'!$J$10:$J$224),0),
IF('TL19'!$B$229=P$3,SUMIF('TL19'!$C$238:$C$451,$C401,'TL19'!$J$238:$J$451),0)
),0)</f>
        <v>0</v>
      </c>
      <c r="Q401" s="147">
        <f>IFERROR(SUM(
IF('TL01'!$B$3=Q$3,SUMIF('TL01'!$C$10:$C$224,$C401,'TL01'!$J$10:$J$224),0),
IF('TL01'!$B$229=Q$3,SUMIF('TL01'!$C$238:$C$451,$C401,'TL01'!$J$238:$J$451),0),
IF('TL02'!$B$3=Q$3,SUMIF('TL02'!$C$10:$C$224,$C401,'TL02'!$J$10:$J$224),0),
IF('TL02'!$B$229=Q$3,SUMIF('TL02'!$C$238:$C$451,$C401,'TL02'!$J$238:$J$451),0),
IF('TL03'!$B$3=Q$3,SUMIF('TL03'!$C$10:$C$224,$C401,'TL03'!$J$10:$J$224),0),
IF('TL03'!$B$229=Q$3,SUMIF('TL03'!$C$238:$C$451,$C401,'TL03'!$J$238:$J$451),0),
IF('TL04'!$B$3=Q$3,SUMIF('TL04'!$C$10:$C$224,$C401,'TL04'!$J$10:$J$224),0),
IF('TL04'!$B$229=Q$3,SUMIF('TL04'!$C$238:$C$451,$C401,'TL04'!$J$238:$J$451),0),
IF('TL05'!$B$3=Q$3,SUMIF('TL05'!$C$10:$C$224,$C401,'TL05'!$J$10:$J$224),0),
IF('TL05'!$B$229=Q$3,SUMIF('TL05'!$C$238:$C$451,$C401,'TL05'!$J$238:$J$451),0),
IF('TL06'!$B$3=Q$3,SUMIF('TL06'!$C$10:$C$224,$C401,'TL06'!$J$10:$J$224),0),
IF('TL06'!$B$229=Q$3,SUMIF('TL06'!$C$238:$C$451,$C401,'TL06'!$J$238:$J$451),0),
IF('TL07'!$B$3=Q$3,SUMIF('TL07'!$C$10:$C$224,$C401,'TL07'!$J$10:$J$224),0),
IF('TL07'!$B$229=Q$3,SUMIF('TL07'!$C$238:$C$451,$C401,'TL07'!$J$238:$J$451),0),
IF('TL08'!$B$3=Q$3,SUMIF('TL08'!$C$10:$C$224,$C401,'TL08'!$J$10:$J$224),0),
IF('TL08'!$B$229=Q$3,SUMIF('TL08'!$C$238:$C$451,$C401,'TL08'!$J$238:$J$451),0),
IF('TL09'!$B$3=Q$3,SUMIF('TL09'!$C$10:$C$224,$C401,'TL09'!$J$10:$J$224),0),
IF('TL09'!$B$229=Q$3,SUMIF('TL09'!$C$238:$C$451,$C401,'TL09'!$J$238:$J$451),0),
IF('TL10'!$B$3=Q$3,SUMIF('TL10'!$C$10:$C$224,$C401,'TL10'!$J$10:$J$224),0),
IF('TL10'!$B$229=Q$3,SUMIF('TL10'!$C$238:$C$451,$C401,'TL10'!$J$238:$J$451),0),
IF('TL11'!$B$3=Q$3,SUMIF('TL11'!$C$10:$C$224,$C401,'TL11'!$J$10:$J$224),0),
IF('TL11'!$B$229=Q$3,SUMIF('TL11'!$C$238:$C$451,$C401,'TL11'!$J$238:$J$451),0),
IF('TL12'!$B$3=Q$3,SUMIF('TL12'!$C$10:$C$224,$C401,'TL12'!$J$10:$J$224),0),
IF('TL12'!$B$229=Q$3,SUMIF('TL12'!$C$238:$C$451,$C401,'TL12'!$J$238:$J$451),0),
IF('TL13'!$B$3=Q$3,SUMIF('TL13'!$C$10:$C$224,$C401,'TL13'!$J$10:$J$224),0),
IF('TL13'!$B$229=Q$3,SUMIF('TL13'!$C$238:$C$451,$C401,'TL13'!$J$238:$J$451),0),
IF('TL14'!$B$3=Q$3,SUMIF('TL14'!$C$10:$C$224,$C401,'TL14'!$J$10:$J$224),0),
IF('TL14'!$B$229=Q$3,SUMIF('TL14'!$C$238:$C$451,$C401,'TL14'!$J$238:$J$451),0),
IF('TL15'!$B$3=Q$3,SUMIF('TL15'!$C$10:$C$224,$C401,'TL15'!$J$10:$J$224),0),
IF('TL15'!$B$229=Q$3,SUMIF('TL15'!$C$238:$C$451,$C401,'TL15'!$J$238:$J$451),0),
IF('TL16'!$B$3=Q$3,SUMIF('TL16'!$C$10:$C$224,$C401,'TL16'!$J$10:$J$224),0),
IF('TL16'!$B$229=Q$3,SUMIF('TL16'!$C$238:$C$451,$C401,'TL16'!$J$238:$J$451),0),
IF('TL17'!$B$3=Q$3,SUMIF('TL17'!$C$10:$C$224,$C401,'TL17'!$J$10:$J$224),0),
IF('TL17'!$B$229=Q$3,SUMIF('TL17'!$C$238:$C$451,$C401,'TL17'!$J$238:$J$451),0),
IF('TL18'!$B$3=Q$3,SUMIF('TL18'!$C$10:$C$224,$C401,'TL18'!$J$10:$J$224),0),
IF('TL18'!$B$229=Q$3,SUMIF('TL18'!$C$238:$C$451,$C401,'TL18'!$J$238:$J$451),0),
IF('TL19'!$B$3=Q$3,SUMIF('TL19'!$C$10:$C$224,$C401,'TL19'!$J$10:$J$224),0),
IF('TL19'!$B$229=Q$3,SUMIF('TL19'!$C$238:$C$451,$C401,'TL19'!$J$238:$J$451),0)
),0)</f>
        <v>0</v>
      </c>
      <c r="R401" s="139">
        <f>IFERROR(
SUM(
SUMIF('TL01'!C:C,C401,'TL01'!J:J),
SUMIF('TL02'!C:C,C401,'TL02'!I:I),
SUMIF('TL03'!C:C,C401,'TL03'!I:I),
SUMIF('TL04'!C:C,C401,'TL04'!I:I),
SUMIF('TL05'!C:C,C401,'TL05'!I:I),
SUMIF('TL06'!C:C,C401,'TL06'!I:I),
SUMIF('TL07'!C:C,C401,'TL07'!I:I),
SUMIF('TL08'!C:C,C401,'TL08'!I:I),
SUMIF('TL09'!C:C,C401,'TL09'!I:I),
SUMIF('TL10'!C:C,C401,'TL10'!I:I),
SUMIF('TL11'!C:C,C401,'TL11'!I:I),
SUMIF('TL12'!C:C,C401,'TL12'!I:I),
SUMIF('TL13'!C:C,C401,'TL13'!I:I),
SUMIF('TL14'!C:C,C401,'TL14'!I:I),
SUMIF('TL15'!C:C,C401,'TL15'!I:I),
SUMIF('TL16'!C:C,C401,'TL16'!I:I),
SUMIF('TL17'!C:C,C401,'TL17'!I:I),
SUMIF('TL18'!C:C,C401,'TL18'!I:I))
,0)</f>
        <v>0</v>
      </c>
      <c r="S401" s="142">
        <f>'CUSTO OPERAÇÃO'!M5</f>
        <v>300</v>
      </c>
      <c r="T401" s="139"/>
      <c r="U401" s="143">
        <f t="shared" si="2"/>
        <v>0</v>
      </c>
      <c r="V401" s="144">
        <f t="shared" si="3"/>
        <v>0</v>
      </c>
    </row>
    <row r="402" ht="15.75" hidden="1" customHeight="1">
      <c r="A402" s="134"/>
      <c r="B402" s="135" t="s">
        <v>10</v>
      </c>
      <c r="C402" s="136" t="str">
        <f>'CUSTO OPERAÇÃO'!D6</f>
        <v>COLHETADEIRA CR7.80 + MACDON 35F</v>
      </c>
      <c r="D402" s="136"/>
      <c r="E402" s="137"/>
      <c r="F402" s="138" t="s">
        <v>1133</v>
      </c>
      <c r="G402" s="139"/>
      <c r="H402" s="140">
        <f>'CUSTO OPERAÇÃO'!J6</f>
        <v>0.2178649237</v>
      </c>
      <c r="I402" s="141"/>
      <c r="J402" s="136">
        <f>IFERROR(SUM(
IF('TL01'!$B$3=J$3,SUMIF('TL01'!$C$10:$C$224,$C402,'TL01'!$J$10:$J$224),0),
IF('TL01'!$B$229=J$3,SUMIF('TL01'!$C$238:$C$451,$C402,'TL01'!$J$238:$J$451),0),
IF('TL02'!$B$3=J$3,SUMIF('TL02'!$C$10:$C$224,$C402,'TL02'!$J$10:$J$224),0),
IF('TL02'!$B$229=J$3,SUMIF('TL02'!$C$238:$C$451,$C402,'TL02'!$J$238:$J$451),0),
IF('TL03'!$B$3=J$3,SUMIF('TL03'!$C$10:$C$224,$C402,'TL03'!$J$10:$J$224),0),
IF('TL03'!$B$229=J$3,SUMIF('TL03'!$C$238:$C$451,$C402,'TL03'!$J$238:$J$451),0),
IF('TL04'!$B$3=J$3,SUMIF('TL04'!$C$10:$C$224,$C402,'TL04'!$J$10:$J$224),0),
IF('TL04'!$B$229=J$3,SUMIF('TL04'!$C$238:$C$451,$C402,'TL04'!$J$238:$J$451),0),
IF('TL05'!$B$3=J$3,SUMIF('TL05'!$C$10:$C$224,$C402,'TL05'!$J$10:$J$224),0),
IF('TL05'!$B$229=J$3,SUMIF('TL05'!$C$238:$C$451,$C402,'TL05'!$J$238:$J$451),0),
IF('TL06'!$B$3=J$3,SUMIF('TL06'!$C$10:$C$224,$C402,'TL06'!$J$10:$J$224),0),
IF('TL06'!$B$229=J$3,SUMIF('TL06'!$C$238:$C$451,$C402,'TL06'!$J$238:$J$451),0),
IF('TL07'!$B$3=J$3,SUMIF('TL07'!$C$10:$C$224,$C402,'TL07'!$J$10:$J$224),0),
IF('TL07'!$B$229=J$3,SUMIF('TL07'!$C$238:$C$451,$C402,'TL07'!$J$238:$J$451),0),
IF('TL08'!$B$3=J$3,SUMIF('TL08'!$C$10:$C$224,$C402,'TL08'!$J$10:$J$224),0),
IF('TL08'!$B$229=J$3,SUMIF('TL08'!$C$238:$C$451,$C402,'TL08'!$J$238:$J$451),0),
IF('TL09'!$B$3=J$3,SUMIF('TL09'!$C$10:$C$224,$C402,'TL09'!$J$10:$J$224),0),
IF('TL09'!$B$229=J$3,SUMIF('TL09'!$C$238:$C$451,$C402,'TL09'!$J$238:$J$451),0),
IF('TL10'!$B$3=J$3,SUMIF('TL10'!$C$10:$C$224,$C402,'TL10'!$J$10:$J$224),0),
IF('TL10'!$B$229=J$3,SUMIF('TL10'!$C$238:$C$451,$C402,'TL10'!$J$238:$J$451),0),
IF('TL11'!$B$3=J$3,SUMIF('TL11'!$C$10:$C$224,$C402,'TL11'!$J$10:$J$224),0),
IF('TL11'!$B$229=J$3,SUMIF('TL11'!$C$238:$C$451,$C402,'TL11'!$J$238:$J$451),0),
IF('TL12'!$B$3=J$3,SUMIF('TL12'!$C$10:$C$224,$C402,'TL12'!$J$10:$J$224),0),
IF('TL12'!$B$229=J$3,SUMIF('TL12'!$C$238:$C$451,$C402,'TL12'!$J$238:$J$451),0),
IF('TL13'!$B$3=J$3,SUMIF('TL13'!$C$10:$C$224,$C402,'TL13'!$J$10:$J$224),0),
IF('TL13'!$B$229=J$3,SUMIF('TL13'!$C$238:$C$451,$C402,'TL13'!$J$238:$J$451),0),
IF('TL14'!$B$3=J$3,SUMIF('TL14'!$C$10:$C$224,$C402,'TL14'!$J$10:$J$224),0),
IF('TL14'!$B$229=J$3,SUMIF('TL14'!$C$238:$C$451,$C402,'TL14'!$J$238:$J$451),0),
IF('TL15'!$B$3=J$3,SUMIF('TL15'!$C$10:$C$224,$C402,'TL15'!$J$10:$J$224),0),
IF('TL15'!$B$229=J$3,SUMIF('TL15'!$C$238:$C$451,$C402,'TL15'!$J$238:$J$451),0),
IF('TL16'!$B$3=J$3,SUMIF('TL16'!$C$10:$C$224,$C402,'TL16'!$J$10:$J$224),0),
IF('TL16'!$B$229=J$3,SUMIF('TL16'!$C$238:$C$451,$C402,'TL16'!$J$238:$J$451),0),
IF('TL17'!$B$3=J$3,SUMIF('TL17'!$C$10:$C$224,$C402,'TL17'!$J$10:$J$224),0),
IF('TL17'!$B$229=J$3,SUMIF('TL17'!$C$238:$C$451,$C402,'TL17'!$J$238:$J$451),0),
IF('TL18'!$B$3=J$3,SUMIF('TL18'!$C$10:$C$224,$C402,'TL18'!$J$10:$J$224),0),
IF('TL18'!$B$229=J$3,SUMIF('TL18'!$C$238:$C$451,$C402,'TL18'!$J$238:$J$451),0),
IF('TL19'!$B$3=J$3,SUMIF('TL19'!$C$10:$C$224,$C402,'TL19'!$J$10:$J$224),0),
IF('TL19'!$B$229=J$3,SUMIF('TL19'!$C$238:$C$451,$C402,'TL19'!$J$238:$J$451),0)
),0)</f>
        <v>0</v>
      </c>
      <c r="K402" s="136">
        <f>IFERROR(SUM(
IF('TL01'!$B$3=K$3,SUMIF('TL01'!$C$10:$C$224,$C402,'TL01'!$J$10:$J$224),0),
IF('TL01'!$B$229=K$3,SUMIF('TL01'!$C$238:$C$451,$C402,'TL01'!$J$238:$J$451),0),
IF('TL02'!$B$3=K$3,SUMIF('TL02'!$C$10:$C$224,$C402,'TL02'!$J$10:$J$224),0),
IF('TL02'!$B$229=K$3,SUMIF('TL02'!$C$238:$C$451,$C402,'TL02'!$J$238:$J$451),0),
IF('TL03'!$B$3=K$3,SUMIF('TL03'!$C$10:$C$224,$C402,'TL03'!$J$10:$J$224),0),
IF('TL03'!$B$229=K$3,SUMIF('TL03'!$C$238:$C$451,$C402,'TL03'!$J$238:$J$451),0),
IF('TL04'!$B$3=K$3,SUMIF('TL04'!$C$10:$C$224,$C402,'TL04'!$J$10:$J$224),0),
IF('TL04'!$B$229=K$3,SUMIF('TL04'!$C$238:$C$451,$C402,'TL04'!$J$238:$J$451),0),
IF('TL05'!$B$3=K$3,SUMIF('TL05'!$C$10:$C$224,$C402,'TL05'!$J$10:$J$224),0),
IF('TL05'!$B$229=K$3,SUMIF('TL05'!$C$238:$C$451,$C402,'TL05'!$J$238:$J$451),0),
IF('TL06'!$B$3=K$3,SUMIF('TL06'!$C$10:$C$224,$C402,'TL06'!$J$10:$J$224),0),
IF('TL06'!$B$229=K$3,SUMIF('TL06'!$C$238:$C$451,$C402,'TL06'!$J$238:$J$451),0),
IF('TL07'!$B$3=K$3,SUMIF('TL07'!$C$10:$C$224,$C402,'TL07'!$J$10:$J$224),0),
IF('TL07'!$B$229=K$3,SUMIF('TL07'!$C$238:$C$451,$C402,'TL07'!$J$238:$J$451),0),
IF('TL08'!$B$3=K$3,SUMIF('TL08'!$C$10:$C$224,$C402,'TL08'!$J$10:$J$224),0),
IF('TL08'!$B$229=K$3,SUMIF('TL08'!$C$238:$C$451,$C402,'TL08'!$J$238:$J$451),0),
IF('TL09'!$B$3=K$3,SUMIF('TL09'!$C$10:$C$224,$C402,'TL09'!$J$10:$J$224),0),
IF('TL09'!$B$229=K$3,SUMIF('TL09'!$C$238:$C$451,$C402,'TL09'!$J$238:$J$451),0),
IF('TL10'!$B$3=K$3,SUMIF('TL10'!$C$10:$C$224,$C402,'TL10'!$J$10:$J$224),0),
IF('TL10'!$B$229=K$3,SUMIF('TL10'!$C$238:$C$451,$C402,'TL10'!$J$238:$J$451),0),
IF('TL11'!$B$3=K$3,SUMIF('TL11'!$C$10:$C$224,$C402,'TL11'!$J$10:$J$224),0),
IF('TL11'!$B$229=K$3,SUMIF('TL11'!$C$238:$C$451,$C402,'TL11'!$J$238:$J$451),0),
IF('TL12'!$B$3=K$3,SUMIF('TL12'!$C$10:$C$224,$C402,'TL12'!$J$10:$J$224),0),
IF('TL12'!$B$229=K$3,SUMIF('TL12'!$C$238:$C$451,$C402,'TL12'!$J$238:$J$451),0),
IF('TL13'!$B$3=K$3,SUMIF('TL13'!$C$10:$C$224,$C402,'TL13'!$J$10:$J$224),0),
IF('TL13'!$B$229=K$3,SUMIF('TL13'!$C$238:$C$451,$C402,'TL13'!$J$238:$J$451),0),
IF('TL14'!$B$3=K$3,SUMIF('TL14'!$C$10:$C$224,$C402,'TL14'!$J$10:$J$224),0),
IF('TL14'!$B$229=K$3,SUMIF('TL14'!$C$238:$C$451,$C402,'TL14'!$J$238:$J$451),0),
IF('TL15'!$B$3=K$3,SUMIF('TL15'!$C$10:$C$224,$C402,'TL15'!$J$10:$J$224),0),
IF('TL15'!$B$229=K$3,SUMIF('TL15'!$C$238:$C$451,$C402,'TL15'!$J$238:$J$451),0),
IF('TL16'!$B$3=K$3,SUMIF('TL16'!$C$10:$C$224,$C402,'TL16'!$J$10:$J$224),0),
IF('TL16'!$B$229=K$3,SUMIF('TL16'!$C$238:$C$451,$C402,'TL16'!$J$238:$J$451),0),
IF('TL17'!$B$3=K$3,SUMIF('TL17'!$C$10:$C$224,$C402,'TL17'!$J$10:$J$224),0),
IF('TL17'!$B$229=K$3,SUMIF('TL17'!$C$238:$C$451,$C402,'TL17'!$J$238:$J$451),0),
IF('TL18'!$B$3=K$3,SUMIF('TL18'!$C$10:$C$224,$C402,'TL18'!$J$10:$J$224),0),
IF('TL18'!$B$229=K$3,SUMIF('TL18'!$C$238:$C$451,$C402,'TL18'!$J$238:$J$451),0),
IF('TL19'!$B$3=K$3,SUMIF('TL19'!$C$10:$C$224,$C402,'TL19'!$J$10:$J$224),0),
IF('TL19'!$B$229=K$3,SUMIF('TL19'!$C$238:$C$451,$C402,'TL19'!$J$238:$J$451),0)
),0)</f>
        <v>0</v>
      </c>
      <c r="L402" s="136">
        <f>IFERROR(SUM(
IF('TL01'!$B$3=L$3,SUMIF('TL01'!$C$10:$C$224,$C402,'TL01'!$J$10:$J$224),0),
IF('TL01'!$B$229=L$3,SUMIF('TL01'!$C$238:$C$451,$C402,'TL01'!$J$238:$J$451),0),
IF('TL02'!$B$3=L$3,SUMIF('TL02'!$C$10:$C$224,$C402,'TL02'!$J$10:$J$224),0),
IF('TL02'!$B$229=L$3,SUMIF('TL02'!$C$238:$C$451,$C402,'TL02'!$J$238:$J$451),0),
IF('TL03'!$B$3=L$3,SUMIF('TL03'!$C$10:$C$224,$C402,'TL03'!$J$10:$J$224),0),
IF('TL03'!$B$229=L$3,SUMIF('TL03'!$C$238:$C$451,$C402,'TL03'!$J$238:$J$451),0),
IF('TL04'!$B$3=L$3,SUMIF('TL04'!$C$10:$C$224,$C402,'TL04'!$J$10:$J$224),0),
IF('TL04'!$B$229=L$3,SUMIF('TL04'!$C$238:$C$451,$C402,'TL04'!$J$238:$J$451),0),
IF('TL05'!$B$3=L$3,SUMIF('TL05'!$C$10:$C$224,$C402,'TL05'!$J$10:$J$224),0),
IF('TL05'!$B$229=L$3,SUMIF('TL05'!$C$238:$C$451,$C402,'TL05'!$J$238:$J$451),0),
IF('TL06'!$B$3=L$3,SUMIF('TL06'!$C$10:$C$224,$C402,'TL06'!$J$10:$J$224),0),
IF('TL06'!$B$229=L$3,SUMIF('TL06'!$C$238:$C$451,$C402,'TL06'!$J$238:$J$451),0),
IF('TL07'!$B$3=L$3,SUMIF('TL07'!$C$10:$C$224,$C402,'TL07'!$J$10:$J$224),0),
IF('TL07'!$B$229=L$3,SUMIF('TL07'!$C$238:$C$451,$C402,'TL07'!$J$238:$J$451),0),
IF('TL08'!$B$3=L$3,SUMIF('TL08'!$C$10:$C$224,$C402,'TL08'!$J$10:$J$224),0),
IF('TL08'!$B$229=L$3,SUMIF('TL08'!$C$238:$C$451,$C402,'TL08'!$J$238:$J$451),0),
IF('TL09'!$B$3=L$3,SUMIF('TL09'!$C$10:$C$224,$C402,'TL09'!$J$10:$J$224),0),
IF('TL09'!$B$229=L$3,SUMIF('TL09'!$C$238:$C$451,$C402,'TL09'!$J$238:$J$451),0),
IF('TL10'!$B$3=L$3,SUMIF('TL10'!$C$10:$C$224,$C402,'TL10'!$J$10:$J$224),0),
IF('TL10'!$B$229=L$3,SUMIF('TL10'!$C$238:$C$451,$C402,'TL10'!$J$238:$J$451),0),
IF('TL11'!$B$3=L$3,SUMIF('TL11'!$C$10:$C$224,$C402,'TL11'!$J$10:$J$224),0),
IF('TL11'!$B$229=L$3,SUMIF('TL11'!$C$238:$C$451,$C402,'TL11'!$J$238:$J$451),0),
IF('TL12'!$B$3=L$3,SUMIF('TL12'!$C$10:$C$224,$C402,'TL12'!$J$10:$J$224),0),
IF('TL12'!$B$229=L$3,SUMIF('TL12'!$C$238:$C$451,$C402,'TL12'!$J$238:$J$451),0),
IF('TL13'!$B$3=L$3,SUMIF('TL13'!$C$10:$C$224,$C402,'TL13'!$J$10:$J$224),0),
IF('TL13'!$B$229=L$3,SUMIF('TL13'!$C$238:$C$451,$C402,'TL13'!$J$238:$J$451),0),
IF('TL14'!$B$3=L$3,SUMIF('TL14'!$C$10:$C$224,$C402,'TL14'!$J$10:$J$224),0),
IF('TL14'!$B$229=L$3,SUMIF('TL14'!$C$238:$C$451,$C402,'TL14'!$J$238:$J$451),0),
IF('TL15'!$B$3=L$3,SUMIF('TL15'!$C$10:$C$224,$C402,'TL15'!$J$10:$J$224),0),
IF('TL15'!$B$229=L$3,SUMIF('TL15'!$C$238:$C$451,$C402,'TL15'!$J$238:$J$451),0),
IF('TL16'!$B$3=L$3,SUMIF('TL16'!$C$10:$C$224,$C402,'TL16'!$J$10:$J$224),0),
IF('TL16'!$B$229=L$3,SUMIF('TL16'!$C$238:$C$451,$C402,'TL16'!$J$238:$J$451),0),
IF('TL17'!$B$3=L$3,SUMIF('TL17'!$C$10:$C$224,$C402,'TL17'!$J$10:$J$224),0),
IF('TL17'!$B$229=L$3,SUMIF('TL17'!$C$238:$C$451,$C402,'TL17'!$J$238:$J$451),0),
IF('TL18'!$B$3=L$3,SUMIF('TL18'!$C$10:$C$224,$C402,'TL18'!$J$10:$J$224),0),
IF('TL18'!$B$229=L$3,SUMIF('TL18'!$C$238:$C$451,$C402,'TL18'!$J$238:$J$451),0),
IF('TL19'!$B$3=L$3,SUMIF('TL19'!$C$10:$C$224,$C402,'TL19'!$J$10:$J$224),0),
IF('TL19'!$B$229=L$3,SUMIF('TL19'!$C$238:$C$451,$C402,'TL19'!$J$238:$J$451),0)
),0)</f>
        <v>0</v>
      </c>
      <c r="M402" s="136">
        <f>IFERROR(SUM(
IF('TL01'!$B$3=M$3,SUMIF('TL01'!$C$10:$C$224,$C402,'TL01'!$J$10:$J$224),0),
IF('TL01'!$B$229=M$3,SUMIF('TL01'!$C$238:$C$451,$C402,'TL01'!$J$238:$J$451),0),
IF('TL02'!$B$3=M$3,SUMIF('TL02'!$C$10:$C$224,$C402,'TL02'!$J$10:$J$224),0),
IF('TL02'!$B$229=M$3,SUMIF('TL02'!$C$238:$C$451,$C402,'TL02'!$J$238:$J$451),0),
IF('TL03'!$B$3=M$3,SUMIF('TL03'!$C$10:$C$224,$C402,'TL03'!$J$10:$J$224),0),
IF('TL03'!$B$229=M$3,SUMIF('TL03'!$C$238:$C$451,$C402,'TL03'!$J$238:$J$451),0),
IF('TL04'!$B$3=M$3,SUMIF('TL04'!$C$10:$C$224,$C402,'TL04'!$J$10:$J$224),0),
IF('TL04'!$B$229=M$3,SUMIF('TL04'!$C$238:$C$451,$C402,'TL04'!$J$238:$J$451),0),
IF('TL05'!$B$3=M$3,SUMIF('TL05'!$C$10:$C$224,$C402,'TL05'!$J$10:$J$224),0),
IF('TL05'!$B$229=M$3,SUMIF('TL05'!$C$238:$C$451,$C402,'TL05'!$J$238:$J$451),0),
IF('TL06'!$B$3=M$3,SUMIF('TL06'!$C$10:$C$224,$C402,'TL06'!$J$10:$J$224),0),
IF('TL06'!$B$229=M$3,SUMIF('TL06'!$C$238:$C$451,$C402,'TL06'!$J$238:$J$451),0),
IF('TL07'!$B$3=M$3,SUMIF('TL07'!$C$10:$C$224,$C402,'TL07'!$J$10:$J$224),0),
IF('TL07'!$B$229=M$3,SUMIF('TL07'!$C$238:$C$451,$C402,'TL07'!$J$238:$J$451),0),
IF('TL08'!$B$3=M$3,SUMIF('TL08'!$C$10:$C$224,$C402,'TL08'!$J$10:$J$224),0),
IF('TL08'!$B$229=M$3,SUMIF('TL08'!$C$238:$C$451,$C402,'TL08'!$J$238:$J$451),0),
IF('TL09'!$B$3=M$3,SUMIF('TL09'!$C$10:$C$224,$C402,'TL09'!$J$10:$J$224),0),
IF('TL09'!$B$229=M$3,SUMIF('TL09'!$C$238:$C$451,$C402,'TL09'!$J$238:$J$451),0),
IF('TL10'!$B$3=M$3,SUMIF('TL10'!$C$10:$C$224,$C402,'TL10'!$J$10:$J$224),0),
IF('TL10'!$B$229=M$3,SUMIF('TL10'!$C$238:$C$451,$C402,'TL10'!$J$238:$J$451),0),
IF('TL11'!$B$3=M$3,SUMIF('TL11'!$C$10:$C$224,$C402,'TL11'!$J$10:$J$224),0),
IF('TL11'!$B$229=M$3,SUMIF('TL11'!$C$238:$C$451,$C402,'TL11'!$J$238:$J$451),0),
IF('TL12'!$B$3=M$3,SUMIF('TL12'!$C$10:$C$224,$C402,'TL12'!$J$10:$J$224),0),
IF('TL12'!$B$229=M$3,SUMIF('TL12'!$C$238:$C$451,$C402,'TL12'!$J$238:$J$451),0),
IF('TL13'!$B$3=M$3,SUMIF('TL13'!$C$10:$C$224,$C402,'TL13'!$J$10:$J$224),0),
IF('TL13'!$B$229=M$3,SUMIF('TL13'!$C$238:$C$451,$C402,'TL13'!$J$238:$J$451),0),
IF('TL14'!$B$3=M$3,SUMIF('TL14'!$C$10:$C$224,$C402,'TL14'!$J$10:$J$224),0),
IF('TL14'!$B$229=M$3,SUMIF('TL14'!$C$238:$C$451,$C402,'TL14'!$J$238:$J$451),0),
IF('TL15'!$B$3=M$3,SUMIF('TL15'!$C$10:$C$224,$C402,'TL15'!$J$10:$J$224),0),
IF('TL15'!$B$229=M$3,SUMIF('TL15'!$C$238:$C$451,$C402,'TL15'!$J$238:$J$451),0),
IF('TL16'!$B$3=M$3,SUMIF('TL16'!$C$10:$C$224,$C402,'TL16'!$J$10:$J$224),0),
IF('TL16'!$B$229=M$3,SUMIF('TL16'!$C$238:$C$451,$C402,'TL16'!$J$238:$J$451),0),
IF('TL17'!$B$3=M$3,SUMIF('TL17'!$C$10:$C$224,$C402,'TL17'!$J$10:$J$224),0),
IF('TL17'!$B$229=M$3,SUMIF('TL17'!$C$238:$C$451,$C402,'TL17'!$J$238:$J$451),0),
IF('TL18'!$B$3=M$3,SUMIF('TL18'!$C$10:$C$224,$C402,'TL18'!$J$10:$J$224),0),
IF('TL18'!$B$229=M$3,SUMIF('TL18'!$C$238:$C$451,$C402,'TL18'!$J$238:$J$451),0),
IF('TL19'!$B$3=M$3,SUMIF('TL19'!$C$10:$C$224,$C402,'TL19'!$J$10:$J$224),0),
IF('TL19'!$B$229=M$3,SUMIF('TL19'!$C$238:$C$451,$C402,'TL19'!$J$238:$J$451),0)
),0)</f>
        <v>0</v>
      </c>
      <c r="N402" s="136">
        <f>IFERROR(SUM(
IF('TL01'!$B$3=N$3,SUMIF('TL01'!$C$10:$C$224,$C402,'TL01'!$J$10:$J$224),0),
IF('TL01'!$B$229=N$3,SUMIF('TL01'!$C$238:$C$451,$C402,'TL01'!$J$238:$J$451),0),
IF('TL02'!$B$3=N$3,SUMIF('TL02'!$C$10:$C$224,$C402,'TL02'!$J$10:$J$224),0),
IF('TL02'!$B$229=N$3,SUMIF('TL02'!$C$238:$C$451,$C402,'TL02'!$J$238:$J$451),0),
IF('TL03'!$B$3=N$3,SUMIF('TL03'!$C$10:$C$224,$C402,'TL03'!$J$10:$J$224),0),
IF('TL03'!$B$229=N$3,SUMIF('TL03'!$C$238:$C$451,$C402,'TL03'!$J$238:$J$451),0),
IF('TL04'!$B$3=N$3,SUMIF('TL04'!$C$10:$C$224,$C402,'TL04'!$J$10:$J$224),0),
IF('TL04'!$B$229=N$3,SUMIF('TL04'!$C$238:$C$451,$C402,'TL04'!$J$238:$J$451),0),
IF('TL05'!$B$3=N$3,SUMIF('TL05'!$C$10:$C$224,$C402,'TL05'!$J$10:$J$224),0),
IF('TL05'!$B$229=N$3,SUMIF('TL05'!$C$238:$C$451,$C402,'TL05'!$J$238:$J$451),0),
IF('TL06'!$B$3=N$3,SUMIF('TL06'!$C$10:$C$224,$C402,'TL06'!$J$10:$J$224),0),
IF('TL06'!$B$229=N$3,SUMIF('TL06'!$C$238:$C$451,$C402,'TL06'!$J$238:$J$451),0),
IF('TL07'!$B$3=N$3,SUMIF('TL07'!$C$10:$C$224,$C402,'TL07'!$J$10:$J$224),0),
IF('TL07'!$B$229=N$3,SUMIF('TL07'!$C$238:$C$451,$C402,'TL07'!$J$238:$J$451),0),
IF('TL08'!$B$3=N$3,SUMIF('TL08'!$C$10:$C$224,$C402,'TL08'!$J$10:$J$224),0),
IF('TL08'!$B$229=N$3,SUMIF('TL08'!$C$238:$C$451,$C402,'TL08'!$J$238:$J$451),0),
IF('TL09'!$B$3=N$3,SUMIF('TL09'!$C$10:$C$224,$C402,'TL09'!$J$10:$J$224),0),
IF('TL09'!$B$229=N$3,SUMIF('TL09'!$C$238:$C$451,$C402,'TL09'!$J$238:$J$451),0),
IF('TL10'!$B$3=N$3,SUMIF('TL10'!$C$10:$C$224,$C402,'TL10'!$J$10:$J$224),0),
IF('TL10'!$B$229=N$3,SUMIF('TL10'!$C$238:$C$451,$C402,'TL10'!$J$238:$J$451),0),
IF('TL11'!$B$3=N$3,SUMIF('TL11'!$C$10:$C$224,$C402,'TL11'!$J$10:$J$224),0),
IF('TL11'!$B$229=N$3,SUMIF('TL11'!$C$238:$C$451,$C402,'TL11'!$J$238:$J$451),0),
IF('TL12'!$B$3=N$3,SUMIF('TL12'!$C$10:$C$224,$C402,'TL12'!$J$10:$J$224),0),
IF('TL12'!$B$229=N$3,SUMIF('TL12'!$C$238:$C$451,$C402,'TL12'!$J$238:$J$451),0),
IF('TL13'!$B$3=N$3,SUMIF('TL13'!$C$10:$C$224,$C402,'TL13'!$J$10:$J$224),0),
IF('TL13'!$B$229=N$3,SUMIF('TL13'!$C$238:$C$451,$C402,'TL13'!$J$238:$J$451),0),
IF('TL14'!$B$3=N$3,SUMIF('TL14'!$C$10:$C$224,$C402,'TL14'!$J$10:$J$224),0),
IF('TL14'!$B$229=N$3,SUMIF('TL14'!$C$238:$C$451,$C402,'TL14'!$J$238:$J$451),0),
IF('TL15'!$B$3=N$3,SUMIF('TL15'!$C$10:$C$224,$C402,'TL15'!$J$10:$J$224),0),
IF('TL15'!$B$229=N$3,SUMIF('TL15'!$C$238:$C$451,$C402,'TL15'!$J$238:$J$451),0),
IF('TL16'!$B$3=N$3,SUMIF('TL16'!$C$10:$C$224,$C402,'TL16'!$J$10:$J$224),0),
IF('TL16'!$B$229=N$3,SUMIF('TL16'!$C$238:$C$451,$C402,'TL16'!$J$238:$J$451),0),
IF('TL17'!$B$3=N$3,SUMIF('TL17'!$C$10:$C$224,$C402,'TL17'!$J$10:$J$224),0),
IF('TL17'!$B$229=N$3,SUMIF('TL17'!$C$238:$C$451,$C402,'TL17'!$J$238:$J$451),0),
IF('TL18'!$B$3=N$3,SUMIF('TL18'!$C$10:$C$224,$C402,'TL18'!$J$10:$J$224),0),
IF('TL18'!$B$229=N$3,SUMIF('TL18'!$C$238:$C$451,$C402,'TL18'!$J$238:$J$451),0),
IF('TL19'!$B$3=N$3,SUMIF('TL19'!$C$10:$C$224,$C402,'TL19'!$J$10:$J$224),0),
IF('TL19'!$B$229=N$3,SUMIF('TL19'!$C$238:$C$451,$C402,'TL19'!$J$238:$J$451),0)
),0)</f>
        <v>0</v>
      </c>
      <c r="O402" s="136">
        <f>IFERROR(SUM(
IF('TL01'!$B$3=O$3,SUMIF('TL01'!$C$10:$C$224,$C402,'TL01'!$J$10:$J$224),0),
IF('TL01'!$B$229=O$3,SUMIF('TL01'!$C$238:$C$451,$C402,'TL01'!$J$238:$J$451),0),
IF('TL02'!$B$3=O$3,SUMIF('TL02'!$C$10:$C$224,$C402,'TL02'!$J$10:$J$224),0),
IF('TL02'!$B$229=O$3,SUMIF('TL02'!$C$238:$C$451,$C402,'TL02'!$J$238:$J$451),0),
IF('TL03'!$B$3=O$3,SUMIF('TL03'!$C$10:$C$224,$C402,'TL03'!$J$10:$J$224),0),
IF('TL03'!$B$229=O$3,SUMIF('TL03'!$C$238:$C$451,$C402,'TL03'!$J$238:$J$451),0),
IF('TL04'!$B$3=O$3,SUMIF('TL04'!$C$10:$C$224,$C402,'TL04'!$J$10:$J$224),0),
IF('TL04'!$B$229=O$3,SUMIF('TL04'!$C$238:$C$451,$C402,'TL04'!$J$238:$J$451),0),
IF('TL05'!$B$3=O$3,SUMIF('TL05'!$C$10:$C$224,$C402,'TL05'!$J$10:$J$224),0),
IF('TL05'!$B$229=O$3,SUMIF('TL05'!$C$238:$C$451,$C402,'TL05'!$J$238:$J$451),0),
IF('TL06'!$B$3=O$3,SUMIF('TL06'!$C$10:$C$224,$C402,'TL06'!$J$10:$J$224),0),
IF('TL06'!$B$229=O$3,SUMIF('TL06'!$C$238:$C$451,$C402,'TL06'!$J$238:$J$451),0),
IF('TL07'!$B$3=O$3,SUMIF('TL07'!$C$10:$C$224,$C402,'TL07'!$J$10:$J$224),0),
IF('TL07'!$B$229=O$3,SUMIF('TL07'!$C$238:$C$451,$C402,'TL07'!$J$238:$J$451),0),
IF('TL08'!$B$3=O$3,SUMIF('TL08'!$C$10:$C$224,$C402,'TL08'!$J$10:$J$224),0),
IF('TL08'!$B$229=O$3,SUMIF('TL08'!$C$238:$C$451,$C402,'TL08'!$J$238:$J$451),0),
IF('TL09'!$B$3=O$3,SUMIF('TL09'!$C$10:$C$224,$C402,'TL09'!$J$10:$J$224),0),
IF('TL09'!$B$229=O$3,SUMIF('TL09'!$C$238:$C$451,$C402,'TL09'!$J$238:$J$451),0),
IF('TL10'!$B$3=O$3,SUMIF('TL10'!$C$10:$C$224,$C402,'TL10'!$J$10:$J$224),0),
IF('TL10'!$B$229=O$3,SUMIF('TL10'!$C$238:$C$451,$C402,'TL10'!$J$238:$J$451),0),
IF('TL11'!$B$3=O$3,SUMIF('TL11'!$C$10:$C$224,$C402,'TL11'!$J$10:$J$224),0),
IF('TL11'!$B$229=O$3,SUMIF('TL11'!$C$238:$C$451,$C402,'TL11'!$J$238:$J$451),0),
IF('TL12'!$B$3=O$3,SUMIF('TL12'!$C$10:$C$224,$C402,'TL12'!$J$10:$J$224),0),
IF('TL12'!$B$229=O$3,SUMIF('TL12'!$C$238:$C$451,$C402,'TL12'!$J$238:$J$451),0),
IF('TL13'!$B$3=O$3,SUMIF('TL13'!$C$10:$C$224,$C402,'TL13'!$J$10:$J$224),0),
IF('TL13'!$B$229=O$3,SUMIF('TL13'!$C$238:$C$451,$C402,'TL13'!$J$238:$J$451),0),
IF('TL14'!$B$3=O$3,SUMIF('TL14'!$C$10:$C$224,$C402,'TL14'!$J$10:$J$224),0),
IF('TL14'!$B$229=O$3,SUMIF('TL14'!$C$238:$C$451,$C402,'TL14'!$J$238:$J$451),0),
IF('TL15'!$B$3=O$3,SUMIF('TL15'!$C$10:$C$224,$C402,'TL15'!$J$10:$J$224),0),
IF('TL15'!$B$229=O$3,SUMIF('TL15'!$C$238:$C$451,$C402,'TL15'!$J$238:$J$451),0),
IF('TL16'!$B$3=O$3,SUMIF('TL16'!$C$10:$C$224,$C402,'TL16'!$J$10:$J$224),0),
IF('TL16'!$B$229=O$3,SUMIF('TL16'!$C$238:$C$451,$C402,'TL16'!$J$238:$J$451),0),
IF('TL17'!$B$3=O$3,SUMIF('TL17'!$C$10:$C$224,$C402,'TL17'!$J$10:$J$224),0),
IF('TL17'!$B$229=O$3,SUMIF('TL17'!$C$238:$C$451,$C402,'TL17'!$J$238:$J$451),0),
IF('TL18'!$B$3=O$3,SUMIF('TL18'!$C$10:$C$224,$C402,'TL18'!$J$10:$J$224),0),
IF('TL18'!$B$229=O$3,SUMIF('TL18'!$C$238:$C$451,$C402,'TL18'!$J$238:$J$451),0),
IF('TL19'!$B$3=O$3,SUMIF('TL19'!$C$10:$C$224,$C402,'TL19'!$J$10:$J$224),0),
IF('TL19'!$B$229=O$3,SUMIF('TL19'!$C$238:$C$451,$C402,'TL19'!$J$238:$J$451),0)
),0)</f>
        <v>0</v>
      </c>
      <c r="P402" s="136">
        <f>IFERROR(SUM(
IF('TL01'!$B$3=P$3,SUMIF('TL01'!$C$10:$C$224,$C402,'TL01'!$J$10:$J$224),0),
IF('TL01'!$B$229=P$3,SUMIF('TL01'!$C$238:$C$451,$C402,'TL01'!$J$238:$J$451),0),
IF('TL02'!$B$3=P$3,SUMIF('TL02'!$C$10:$C$224,$C402,'TL02'!$J$10:$J$224),0),
IF('TL02'!$B$229=P$3,SUMIF('TL02'!$C$238:$C$451,$C402,'TL02'!$J$238:$J$451),0),
IF('TL03'!$B$3=P$3,SUMIF('TL03'!$C$10:$C$224,$C402,'TL03'!$J$10:$J$224),0),
IF('TL03'!$B$229=P$3,SUMIF('TL03'!$C$238:$C$451,$C402,'TL03'!$J$238:$J$451),0),
IF('TL04'!$B$3=P$3,SUMIF('TL04'!$C$10:$C$224,$C402,'TL04'!$J$10:$J$224),0),
IF('TL04'!$B$229=P$3,SUMIF('TL04'!$C$238:$C$451,$C402,'TL04'!$J$238:$J$451),0),
IF('TL05'!$B$3=P$3,SUMIF('TL05'!$C$10:$C$224,$C402,'TL05'!$J$10:$J$224),0),
IF('TL05'!$B$229=P$3,SUMIF('TL05'!$C$238:$C$451,$C402,'TL05'!$J$238:$J$451),0),
IF('TL06'!$B$3=P$3,SUMIF('TL06'!$C$10:$C$224,$C402,'TL06'!$J$10:$J$224),0),
IF('TL06'!$B$229=P$3,SUMIF('TL06'!$C$238:$C$451,$C402,'TL06'!$J$238:$J$451),0),
IF('TL07'!$B$3=P$3,SUMIF('TL07'!$C$10:$C$224,$C402,'TL07'!$J$10:$J$224),0),
IF('TL07'!$B$229=P$3,SUMIF('TL07'!$C$238:$C$451,$C402,'TL07'!$J$238:$J$451),0),
IF('TL08'!$B$3=P$3,SUMIF('TL08'!$C$10:$C$224,$C402,'TL08'!$J$10:$J$224),0),
IF('TL08'!$B$229=P$3,SUMIF('TL08'!$C$238:$C$451,$C402,'TL08'!$J$238:$J$451),0),
IF('TL09'!$B$3=P$3,SUMIF('TL09'!$C$10:$C$224,$C402,'TL09'!$J$10:$J$224),0),
IF('TL09'!$B$229=P$3,SUMIF('TL09'!$C$238:$C$451,$C402,'TL09'!$J$238:$J$451),0),
IF('TL10'!$B$3=P$3,SUMIF('TL10'!$C$10:$C$224,$C402,'TL10'!$J$10:$J$224),0),
IF('TL10'!$B$229=P$3,SUMIF('TL10'!$C$238:$C$451,$C402,'TL10'!$J$238:$J$451),0),
IF('TL11'!$B$3=P$3,SUMIF('TL11'!$C$10:$C$224,$C402,'TL11'!$J$10:$J$224),0),
IF('TL11'!$B$229=P$3,SUMIF('TL11'!$C$238:$C$451,$C402,'TL11'!$J$238:$J$451),0),
IF('TL12'!$B$3=P$3,SUMIF('TL12'!$C$10:$C$224,$C402,'TL12'!$J$10:$J$224),0),
IF('TL12'!$B$229=P$3,SUMIF('TL12'!$C$238:$C$451,$C402,'TL12'!$J$238:$J$451),0),
IF('TL13'!$B$3=P$3,SUMIF('TL13'!$C$10:$C$224,$C402,'TL13'!$J$10:$J$224),0),
IF('TL13'!$B$229=P$3,SUMIF('TL13'!$C$238:$C$451,$C402,'TL13'!$J$238:$J$451),0),
IF('TL14'!$B$3=P$3,SUMIF('TL14'!$C$10:$C$224,$C402,'TL14'!$J$10:$J$224),0),
IF('TL14'!$B$229=P$3,SUMIF('TL14'!$C$238:$C$451,$C402,'TL14'!$J$238:$J$451),0),
IF('TL15'!$B$3=P$3,SUMIF('TL15'!$C$10:$C$224,$C402,'TL15'!$J$10:$J$224),0),
IF('TL15'!$B$229=P$3,SUMIF('TL15'!$C$238:$C$451,$C402,'TL15'!$J$238:$J$451),0),
IF('TL16'!$B$3=P$3,SUMIF('TL16'!$C$10:$C$224,$C402,'TL16'!$J$10:$J$224),0),
IF('TL16'!$B$229=P$3,SUMIF('TL16'!$C$238:$C$451,$C402,'TL16'!$J$238:$J$451),0),
IF('TL17'!$B$3=P$3,SUMIF('TL17'!$C$10:$C$224,$C402,'TL17'!$J$10:$J$224),0),
IF('TL17'!$B$229=P$3,SUMIF('TL17'!$C$238:$C$451,$C402,'TL17'!$J$238:$J$451),0),
IF('TL18'!$B$3=P$3,SUMIF('TL18'!$C$10:$C$224,$C402,'TL18'!$J$10:$J$224),0),
IF('TL18'!$B$229=P$3,SUMIF('TL18'!$C$238:$C$451,$C402,'TL18'!$J$238:$J$451),0),
IF('TL19'!$B$3=P$3,SUMIF('TL19'!$C$10:$C$224,$C402,'TL19'!$J$10:$J$224),0),
IF('TL19'!$B$229=P$3,SUMIF('TL19'!$C$238:$C$451,$C402,'TL19'!$J$238:$J$451),0)
),0)</f>
        <v>0</v>
      </c>
      <c r="Q402" s="136">
        <f>IFERROR(SUM(
IF('TL01'!$B$3=Q$3,SUMIF('TL01'!$C$10:$C$224,$C402,'TL01'!$J$10:$J$224),0),
IF('TL01'!$B$229=Q$3,SUMIF('TL01'!$C$238:$C$451,$C402,'TL01'!$J$238:$J$451),0),
IF('TL02'!$B$3=Q$3,SUMIF('TL02'!$C$10:$C$224,$C402,'TL02'!$J$10:$J$224),0),
IF('TL02'!$B$229=Q$3,SUMIF('TL02'!$C$238:$C$451,$C402,'TL02'!$J$238:$J$451),0),
IF('TL03'!$B$3=Q$3,SUMIF('TL03'!$C$10:$C$224,$C402,'TL03'!$J$10:$J$224),0),
IF('TL03'!$B$229=Q$3,SUMIF('TL03'!$C$238:$C$451,$C402,'TL03'!$J$238:$J$451),0),
IF('TL04'!$B$3=Q$3,SUMIF('TL04'!$C$10:$C$224,$C402,'TL04'!$J$10:$J$224),0),
IF('TL04'!$B$229=Q$3,SUMIF('TL04'!$C$238:$C$451,$C402,'TL04'!$J$238:$J$451),0),
IF('TL05'!$B$3=Q$3,SUMIF('TL05'!$C$10:$C$224,$C402,'TL05'!$J$10:$J$224),0),
IF('TL05'!$B$229=Q$3,SUMIF('TL05'!$C$238:$C$451,$C402,'TL05'!$J$238:$J$451),0),
IF('TL06'!$B$3=Q$3,SUMIF('TL06'!$C$10:$C$224,$C402,'TL06'!$J$10:$J$224),0),
IF('TL06'!$B$229=Q$3,SUMIF('TL06'!$C$238:$C$451,$C402,'TL06'!$J$238:$J$451),0),
IF('TL07'!$B$3=Q$3,SUMIF('TL07'!$C$10:$C$224,$C402,'TL07'!$J$10:$J$224),0),
IF('TL07'!$B$229=Q$3,SUMIF('TL07'!$C$238:$C$451,$C402,'TL07'!$J$238:$J$451),0),
IF('TL08'!$B$3=Q$3,SUMIF('TL08'!$C$10:$C$224,$C402,'TL08'!$J$10:$J$224),0),
IF('TL08'!$B$229=Q$3,SUMIF('TL08'!$C$238:$C$451,$C402,'TL08'!$J$238:$J$451),0),
IF('TL09'!$B$3=Q$3,SUMIF('TL09'!$C$10:$C$224,$C402,'TL09'!$J$10:$J$224),0),
IF('TL09'!$B$229=Q$3,SUMIF('TL09'!$C$238:$C$451,$C402,'TL09'!$J$238:$J$451),0),
IF('TL10'!$B$3=Q$3,SUMIF('TL10'!$C$10:$C$224,$C402,'TL10'!$J$10:$J$224),0),
IF('TL10'!$B$229=Q$3,SUMIF('TL10'!$C$238:$C$451,$C402,'TL10'!$J$238:$J$451),0),
IF('TL11'!$B$3=Q$3,SUMIF('TL11'!$C$10:$C$224,$C402,'TL11'!$J$10:$J$224),0),
IF('TL11'!$B$229=Q$3,SUMIF('TL11'!$C$238:$C$451,$C402,'TL11'!$J$238:$J$451),0),
IF('TL12'!$B$3=Q$3,SUMIF('TL12'!$C$10:$C$224,$C402,'TL12'!$J$10:$J$224),0),
IF('TL12'!$B$229=Q$3,SUMIF('TL12'!$C$238:$C$451,$C402,'TL12'!$J$238:$J$451),0),
IF('TL13'!$B$3=Q$3,SUMIF('TL13'!$C$10:$C$224,$C402,'TL13'!$J$10:$J$224),0),
IF('TL13'!$B$229=Q$3,SUMIF('TL13'!$C$238:$C$451,$C402,'TL13'!$J$238:$J$451),0),
IF('TL14'!$B$3=Q$3,SUMIF('TL14'!$C$10:$C$224,$C402,'TL14'!$J$10:$J$224),0),
IF('TL14'!$B$229=Q$3,SUMIF('TL14'!$C$238:$C$451,$C402,'TL14'!$J$238:$J$451),0),
IF('TL15'!$B$3=Q$3,SUMIF('TL15'!$C$10:$C$224,$C402,'TL15'!$J$10:$J$224),0),
IF('TL15'!$B$229=Q$3,SUMIF('TL15'!$C$238:$C$451,$C402,'TL15'!$J$238:$J$451),0),
IF('TL16'!$B$3=Q$3,SUMIF('TL16'!$C$10:$C$224,$C402,'TL16'!$J$10:$J$224),0),
IF('TL16'!$B$229=Q$3,SUMIF('TL16'!$C$238:$C$451,$C402,'TL16'!$J$238:$J$451),0),
IF('TL17'!$B$3=Q$3,SUMIF('TL17'!$C$10:$C$224,$C402,'TL17'!$J$10:$J$224),0),
IF('TL17'!$B$229=Q$3,SUMIF('TL17'!$C$238:$C$451,$C402,'TL17'!$J$238:$J$451),0),
IF('TL18'!$B$3=Q$3,SUMIF('TL18'!$C$10:$C$224,$C402,'TL18'!$J$10:$J$224),0),
IF('TL18'!$B$229=Q$3,SUMIF('TL18'!$C$238:$C$451,$C402,'TL18'!$J$238:$J$451),0),
IF('TL19'!$B$3=Q$3,SUMIF('TL19'!$C$10:$C$224,$C402,'TL19'!$J$10:$J$224),0),
IF('TL19'!$B$229=Q$3,SUMIF('TL19'!$C$238:$C$451,$C402,'TL19'!$J$238:$J$451),0)
),0)</f>
        <v>0</v>
      </c>
      <c r="R402" s="139">
        <f>IFERROR(
SUM(
SUMIF('TL01'!C:C,C402,'TL01'!J:J),
SUMIF('TL02'!C:C,C402,'TL02'!I:I),
SUMIF('TL03'!C:C,C402,'TL03'!I:I),
SUMIF('TL04'!C:C,C402,'TL04'!I:I),
SUMIF('TL05'!C:C,C402,'TL05'!I:I),
SUMIF('TL06'!C:C,C402,'TL06'!I:I),
SUMIF('TL07'!C:C,C402,'TL07'!I:I),
SUMIF('TL08'!C:C,C402,'TL08'!I:I),
SUMIF('TL09'!C:C,C402,'TL09'!I:I),
SUMIF('TL10'!C:C,C402,'TL10'!I:I),
SUMIF('TL11'!C:C,C402,'TL11'!I:I),
SUMIF('TL12'!C:C,C402,'TL12'!I:I),
SUMIF('TL13'!C:C,C402,'TL13'!I:I),
SUMIF('TL14'!C:C,C402,'TL14'!I:I),
SUMIF('TL15'!C:C,C402,'TL15'!I:I),
SUMIF('TL16'!C:C,C402,'TL16'!I:I),
SUMIF('TL17'!C:C,C402,'TL17'!I:I),
SUMIF('TL18'!C:C,C402,'TL18'!I:I))
,0)</f>
        <v>0</v>
      </c>
      <c r="S402" s="142">
        <f>'CUSTO OPERAÇÃO'!M6</f>
        <v>300</v>
      </c>
      <c r="T402" s="139"/>
      <c r="U402" s="143">
        <f t="shared" si="2"/>
        <v>0</v>
      </c>
      <c r="V402" s="144">
        <f t="shared" si="3"/>
        <v>0</v>
      </c>
    </row>
    <row r="403" ht="15.75" hidden="1" customHeight="1">
      <c r="A403" s="145"/>
      <c r="B403" s="146" t="s">
        <v>10</v>
      </c>
      <c r="C403" s="147" t="str">
        <f>'CUSTO OPERAÇÃO'!D7</f>
        <v>TRATOR-JD 7500 + BRUTUS 12000</v>
      </c>
      <c r="D403" s="147"/>
      <c r="E403" s="148"/>
      <c r="F403" s="138" t="s">
        <v>1133</v>
      </c>
      <c r="G403" s="139"/>
      <c r="H403" s="140">
        <f>'CUSTO OPERAÇÃO'!J7</f>
        <v>0.3267973856</v>
      </c>
      <c r="I403" s="149"/>
      <c r="J403" s="147">
        <f>IFERROR(SUM(
IF('TL01'!$B$3=J$3,SUMIF('TL01'!$C$10:$C$224,$C403,'TL01'!$J$10:$J$224),0),
IF('TL01'!$B$229=J$3,SUMIF('TL01'!$C$238:$C$451,$C403,'TL01'!$J$238:$J$451),0),
IF('TL02'!$B$3=J$3,SUMIF('TL02'!$C$10:$C$224,$C403,'TL02'!$J$10:$J$224),0),
IF('TL02'!$B$229=J$3,SUMIF('TL02'!$C$238:$C$451,$C403,'TL02'!$J$238:$J$451),0),
IF('TL03'!$B$3=J$3,SUMIF('TL03'!$C$10:$C$224,$C403,'TL03'!$J$10:$J$224),0),
IF('TL03'!$B$229=J$3,SUMIF('TL03'!$C$238:$C$451,$C403,'TL03'!$J$238:$J$451),0),
IF('TL04'!$B$3=J$3,SUMIF('TL04'!$C$10:$C$224,$C403,'TL04'!$J$10:$J$224),0),
IF('TL04'!$B$229=J$3,SUMIF('TL04'!$C$238:$C$451,$C403,'TL04'!$J$238:$J$451),0),
IF('TL05'!$B$3=J$3,SUMIF('TL05'!$C$10:$C$224,$C403,'TL05'!$J$10:$J$224),0),
IF('TL05'!$B$229=J$3,SUMIF('TL05'!$C$238:$C$451,$C403,'TL05'!$J$238:$J$451),0),
IF('TL06'!$B$3=J$3,SUMIF('TL06'!$C$10:$C$224,$C403,'TL06'!$J$10:$J$224),0),
IF('TL06'!$B$229=J$3,SUMIF('TL06'!$C$238:$C$451,$C403,'TL06'!$J$238:$J$451),0),
IF('TL07'!$B$3=J$3,SUMIF('TL07'!$C$10:$C$224,$C403,'TL07'!$J$10:$J$224),0),
IF('TL07'!$B$229=J$3,SUMIF('TL07'!$C$238:$C$451,$C403,'TL07'!$J$238:$J$451),0),
IF('TL08'!$B$3=J$3,SUMIF('TL08'!$C$10:$C$224,$C403,'TL08'!$J$10:$J$224),0),
IF('TL08'!$B$229=J$3,SUMIF('TL08'!$C$238:$C$451,$C403,'TL08'!$J$238:$J$451),0),
IF('TL09'!$B$3=J$3,SUMIF('TL09'!$C$10:$C$224,$C403,'TL09'!$J$10:$J$224),0),
IF('TL09'!$B$229=J$3,SUMIF('TL09'!$C$238:$C$451,$C403,'TL09'!$J$238:$J$451),0),
IF('TL10'!$B$3=J$3,SUMIF('TL10'!$C$10:$C$224,$C403,'TL10'!$J$10:$J$224),0),
IF('TL10'!$B$229=J$3,SUMIF('TL10'!$C$238:$C$451,$C403,'TL10'!$J$238:$J$451),0),
IF('TL11'!$B$3=J$3,SUMIF('TL11'!$C$10:$C$224,$C403,'TL11'!$J$10:$J$224),0),
IF('TL11'!$B$229=J$3,SUMIF('TL11'!$C$238:$C$451,$C403,'TL11'!$J$238:$J$451),0),
IF('TL12'!$B$3=J$3,SUMIF('TL12'!$C$10:$C$224,$C403,'TL12'!$J$10:$J$224),0),
IF('TL12'!$B$229=J$3,SUMIF('TL12'!$C$238:$C$451,$C403,'TL12'!$J$238:$J$451),0),
IF('TL13'!$B$3=J$3,SUMIF('TL13'!$C$10:$C$224,$C403,'TL13'!$J$10:$J$224),0),
IF('TL13'!$B$229=J$3,SUMIF('TL13'!$C$238:$C$451,$C403,'TL13'!$J$238:$J$451),0),
IF('TL14'!$B$3=J$3,SUMIF('TL14'!$C$10:$C$224,$C403,'TL14'!$J$10:$J$224),0),
IF('TL14'!$B$229=J$3,SUMIF('TL14'!$C$238:$C$451,$C403,'TL14'!$J$238:$J$451),0),
IF('TL15'!$B$3=J$3,SUMIF('TL15'!$C$10:$C$224,$C403,'TL15'!$J$10:$J$224),0),
IF('TL15'!$B$229=J$3,SUMIF('TL15'!$C$238:$C$451,$C403,'TL15'!$J$238:$J$451),0),
IF('TL16'!$B$3=J$3,SUMIF('TL16'!$C$10:$C$224,$C403,'TL16'!$J$10:$J$224),0),
IF('TL16'!$B$229=J$3,SUMIF('TL16'!$C$238:$C$451,$C403,'TL16'!$J$238:$J$451),0),
IF('TL17'!$B$3=J$3,SUMIF('TL17'!$C$10:$C$224,$C403,'TL17'!$J$10:$J$224),0),
IF('TL17'!$B$229=J$3,SUMIF('TL17'!$C$238:$C$451,$C403,'TL17'!$J$238:$J$451),0),
IF('TL18'!$B$3=J$3,SUMIF('TL18'!$C$10:$C$224,$C403,'TL18'!$J$10:$J$224),0),
IF('TL18'!$B$229=J$3,SUMIF('TL18'!$C$238:$C$451,$C403,'TL18'!$J$238:$J$451),0),
IF('TL19'!$B$3=J$3,SUMIF('TL19'!$C$10:$C$224,$C403,'TL19'!$J$10:$J$224),0),
IF('TL19'!$B$229=J$3,SUMIF('TL19'!$C$238:$C$451,$C403,'TL19'!$J$238:$J$451),0)
),0)</f>
        <v>0</v>
      </c>
      <c r="K403" s="147">
        <f>IFERROR(SUM(
IF('TL01'!$B$3=K$3,SUMIF('TL01'!$C$10:$C$224,$C403,'TL01'!$J$10:$J$224),0),
IF('TL01'!$B$229=K$3,SUMIF('TL01'!$C$238:$C$451,$C403,'TL01'!$J$238:$J$451),0),
IF('TL02'!$B$3=K$3,SUMIF('TL02'!$C$10:$C$224,$C403,'TL02'!$J$10:$J$224),0),
IF('TL02'!$B$229=K$3,SUMIF('TL02'!$C$238:$C$451,$C403,'TL02'!$J$238:$J$451),0),
IF('TL03'!$B$3=K$3,SUMIF('TL03'!$C$10:$C$224,$C403,'TL03'!$J$10:$J$224),0),
IF('TL03'!$B$229=K$3,SUMIF('TL03'!$C$238:$C$451,$C403,'TL03'!$J$238:$J$451),0),
IF('TL04'!$B$3=K$3,SUMIF('TL04'!$C$10:$C$224,$C403,'TL04'!$J$10:$J$224),0),
IF('TL04'!$B$229=K$3,SUMIF('TL04'!$C$238:$C$451,$C403,'TL04'!$J$238:$J$451),0),
IF('TL05'!$B$3=K$3,SUMIF('TL05'!$C$10:$C$224,$C403,'TL05'!$J$10:$J$224),0),
IF('TL05'!$B$229=K$3,SUMIF('TL05'!$C$238:$C$451,$C403,'TL05'!$J$238:$J$451),0),
IF('TL06'!$B$3=K$3,SUMIF('TL06'!$C$10:$C$224,$C403,'TL06'!$J$10:$J$224),0),
IF('TL06'!$B$229=K$3,SUMIF('TL06'!$C$238:$C$451,$C403,'TL06'!$J$238:$J$451),0),
IF('TL07'!$B$3=K$3,SUMIF('TL07'!$C$10:$C$224,$C403,'TL07'!$J$10:$J$224),0),
IF('TL07'!$B$229=K$3,SUMIF('TL07'!$C$238:$C$451,$C403,'TL07'!$J$238:$J$451),0),
IF('TL08'!$B$3=K$3,SUMIF('TL08'!$C$10:$C$224,$C403,'TL08'!$J$10:$J$224),0),
IF('TL08'!$B$229=K$3,SUMIF('TL08'!$C$238:$C$451,$C403,'TL08'!$J$238:$J$451),0),
IF('TL09'!$B$3=K$3,SUMIF('TL09'!$C$10:$C$224,$C403,'TL09'!$J$10:$J$224),0),
IF('TL09'!$B$229=K$3,SUMIF('TL09'!$C$238:$C$451,$C403,'TL09'!$J$238:$J$451),0),
IF('TL10'!$B$3=K$3,SUMIF('TL10'!$C$10:$C$224,$C403,'TL10'!$J$10:$J$224),0),
IF('TL10'!$B$229=K$3,SUMIF('TL10'!$C$238:$C$451,$C403,'TL10'!$J$238:$J$451),0),
IF('TL11'!$B$3=K$3,SUMIF('TL11'!$C$10:$C$224,$C403,'TL11'!$J$10:$J$224),0),
IF('TL11'!$B$229=K$3,SUMIF('TL11'!$C$238:$C$451,$C403,'TL11'!$J$238:$J$451),0),
IF('TL12'!$B$3=K$3,SUMIF('TL12'!$C$10:$C$224,$C403,'TL12'!$J$10:$J$224),0),
IF('TL12'!$B$229=K$3,SUMIF('TL12'!$C$238:$C$451,$C403,'TL12'!$J$238:$J$451),0),
IF('TL13'!$B$3=K$3,SUMIF('TL13'!$C$10:$C$224,$C403,'TL13'!$J$10:$J$224),0),
IF('TL13'!$B$229=K$3,SUMIF('TL13'!$C$238:$C$451,$C403,'TL13'!$J$238:$J$451),0),
IF('TL14'!$B$3=K$3,SUMIF('TL14'!$C$10:$C$224,$C403,'TL14'!$J$10:$J$224),0),
IF('TL14'!$B$229=K$3,SUMIF('TL14'!$C$238:$C$451,$C403,'TL14'!$J$238:$J$451),0),
IF('TL15'!$B$3=K$3,SUMIF('TL15'!$C$10:$C$224,$C403,'TL15'!$J$10:$J$224),0),
IF('TL15'!$B$229=K$3,SUMIF('TL15'!$C$238:$C$451,$C403,'TL15'!$J$238:$J$451),0),
IF('TL16'!$B$3=K$3,SUMIF('TL16'!$C$10:$C$224,$C403,'TL16'!$J$10:$J$224),0),
IF('TL16'!$B$229=K$3,SUMIF('TL16'!$C$238:$C$451,$C403,'TL16'!$J$238:$J$451),0),
IF('TL17'!$B$3=K$3,SUMIF('TL17'!$C$10:$C$224,$C403,'TL17'!$J$10:$J$224),0),
IF('TL17'!$B$229=K$3,SUMIF('TL17'!$C$238:$C$451,$C403,'TL17'!$J$238:$J$451),0),
IF('TL18'!$B$3=K$3,SUMIF('TL18'!$C$10:$C$224,$C403,'TL18'!$J$10:$J$224),0),
IF('TL18'!$B$229=K$3,SUMIF('TL18'!$C$238:$C$451,$C403,'TL18'!$J$238:$J$451),0),
IF('TL19'!$B$3=K$3,SUMIF('TL19'!$C$10:$C$224,$C403,'TL19'!$J$10:$J$224),0),
IF('TL19'!$B$229=K$3,SUMIF('TL19'!$C$238:$C$451,$C403,'TL19'!$J$238:$J$451),0)
),0)</f>
        <v>96</v>
      </c>
      <c r="L403" s="147">
        <f>IFERROR(SUM(
IF('TL01'!$B$3=L$3,SUMIF('TL01'!$C$10:$C$224,$C403,'TL01'!$J$10:$J$224),0),
IF('TL01'!$B$229=L$3,SUMIF('TL01'!$C$238:$C$451,$C403,'TL01'!$J$238:$J$451),0),
IF('TL02'!$B$3=L$3,SUMIF('TL02'!$C$10:$C$224,$C403,'TL02'!$J$10:$J$224),0),
IF('TL02'!$B$229=L$3,SUMIF('TL02'!$C$238:$C$451,$C403,'TL02'!$J$238:$J$451),0),
IF('TL03'!$B$3=L$3,SUMIF('TL03'!$C$10:$C$224,$C403,'TL03'!$J$10:$J$224),0),
IF('TL03'!$B$229=L$3,SUMIF('TL03'!$C$238:$C$451,$C403,'TL03'!$J$238:$J$451),0),
IF('TL04'!$B$3=L$3,SUMIF('TL04'!$C$10:$C$224,$C403,'TL04'!$J$10:$J$224),0),
IF('TL04'!$B$229=L$3,SUMIF('TL04'!$C$238:$C$451,$C403,'TL04'!$J$238:$J$451),0),
IF('TL05'!$B$3=L$3,SUMIF('TL05'!$C$10:$C$224,$C403,'TL05'!$J$10:$J$224),0),
IF('TL05'!$B$229=L$3,SUMIF('TL05'!$C$238:$C$451,$C403,'TL05'!$J$238:$J$451),0),
IF('TL06'!$B$3=L$3,SUMIF('TL06'!$C$10:$C$224,$C403,'TL06'!$J$10:$J$224),0),
IF('TL06'!$B$229=L$3,SUMIF('TL06'!$C$238:$C$451,$C403,'TL06'!$J$238:$J$451),0),
IF('TL07'!$B$3=L$3,SUMIF('TL07'!$C$10:$C$224,$C403,'TL07'!$J$10:$J$224),0),
IF('TL07'!$B$229=L$3,SUMIF('TL07'!$C$238:$C$451,$C403,'TL07'!$J$238:$J$451),0),
IF('TL08'!$B$3=L$3,SUMIF('TL08'!$C$10:$C$224,$C403,'TL08'!$J$10:$J$224),0),
IF('TL08'!$B$229=L$3,SUMIF('TL08'!$C$238:$C$451,$C403,'TL08'!$J$238:$J$451),0),
IF('TL09'!$B$3=L$3,SUMIF('TL09'!$C$10:$C$224,$C403,'TL09'!$J$10:$J$224),0),
IF('TL09'!$B$229=L$3,SUMIF('TL09'!$C$238:$C$451,$C403,'TL09'!$J$238:$J$451),0),
IF('TL10'!$B$3=L$3,SUMIF('TL10'!$C$10:$C$224,$C403,'TL10'!$J$10:$J$224),0),
IF('TL10'!$B$229=L$3,SUMIF('TL10'!$C$238:$C$451,$C403,'TL10'!$J$238:$J$451),0),
IF('TL11'!$B$3=L$3,SUMIF('TL11'!$C$10:$C$224,$C403,'TL11'!$J$10:$J$224),0),
IF('TL11'!$B$229=L$3,SUMIF('TL11'!$C$238:$C$451,$C403,'TL11'!$J$238:$J$451),0),
IF('TL12'!$B$3=L$3,SUMIF('TL12'!$C$10:$C$224,$C403,'TL12'!$J$10:$J$224),0),
IF('TL12'!$B$229=L$3,SUMIF('TL12'!$C$238:$C$451,$C403,'TL12'!$J$238:$J$451),0),
IF('TL13'!$B$3=L$3,SUMIF('TL13'!$C$10:$C$224,$C403,'TL13'!$J$10:$J$224),0),
IF('TL13'!$B$229=L$3,SUMIF('TL13'!$C$238:$C$451,$C403,'TL13'!$J$238:$J$451),0),
IF('TL14'!$B$3=L$3,SUMIF('TL14'!$C$10:$C$224,$C403,'TL14'!$J$10:$J$224),0),
IF('TL14'!$B$229=L$3,SUMIF('TL14'!$C$238:$C$451,$C403,'TL14'!$J$238:$J$451),0),
IF('TL15'!$B$3=L$3,SUMIF('TL15'!$C$10:$C$224,$C403,'TL15'!$J$10:$J$224),0),
IF('TL15'!$B$229=L$3,SUMIF('TL15'!$C$238:$C$451,$C403,'TL15'!$J$238:$J$451),0),
IF('TL16'!$B$3=L$3,SUMIF('TL16'!$C$10:$C$224,$C403,'TL16'!$J$10:$J$224),0),
IF('TL16'!$B$229=L$3,SUMIF('TL16'!$C$238:$C$451,$C403,'TL16'!$J$238:$J$451),0),
IF('TL17'!$B$3=L$3,SUMIF('TL17'!$C$10:$C$224,$C403,'TL17'!$J$10:$J$224),0),
IF('TL17'!$B$229=L$3,SUMIF('TL17'!$C$238:$C$451,$C403,'TL17'!$J$238:$J$451),0),
IF('TL18'!$B$3=L$3,SUMIF('TL18'!$C$10:$C$224,$C403,'TL18'!$J$10:$J$224),0),
IF('TL18'!$B$229=L$3,SUMIF('TL18'!$C$238:$C$451,$C403,'TL18'!$J$238:$J$451),0),
IF('TL19'!$B$3=L$3,SUMIF('TL19'!$C$10:$C$224,$C403,'TL19'!$J$10:$J$224),0),
IF('TL19'!$B$229=L$3,SUMIF('TL19'!$C$238:$C$451,$C403,'TL19'!$J$238:$J$451),0)
),0)</f>
        <v>70.4</v>
      </c>
      <c r="M403" s="147">
        <f>IFERROR(SUM(
IF('TL01'!$B$3=M$3,SUMIF('TL01'!$C$10:$C$224,$C403,'TL01'!$J$10:$J$224),0),
IF('TL01'!$B$229=M$3,SUMIF('TL01'!$C$238:$C$451,$C403,'TL01'!$J$238:$J$451),0),
IF('TL02'!$B$3=M$3,SUMIF('TL02'!$C$10:$C$224,$C403,'TL02'!$J$10:$J$224),0),
IF('TL02'!$B$229=M$3,SUMIF('TL02'!$C$238:$C$451,$C403,'TL02'!$J$238:$J$451),0),
IF('TL03'!$B$3=M$3,SUMIF('TL03'!$C$10:$C$224,$C403,'TL03'!$J$10:$J$224),0),
IF('TL03'!$B$229=M$3,SUMIF('TL03'!$C$238:$C$451,$C403,'TL03'!$J$238:$J$451),0),
IF('TL04'!$B$3=M$3,SUMIF('TL04'!$C$10:$C$224,$C403,'TL04'!$J$10:$J$224),0),
IF('TL04'!$B$229=M$3,SUMIF('TL04'!$C$238:$C$451,$C403,'TL04'!$J$238:$J$451),0),
IF('TL05'!$B$3=M$3,SUMIF('TL05'!$C$10:$C$224,$C403,'TL05'!$J$10:$J$224),0),
IF('TL05'!$B$229=M$3,SUMIF('TL05'!$C$238:$C$451,$C403,'TL05'!$J$238:$J$451),0),
IF('TL06'!$B$3=M$3,SUMIF('TL06'!$C$10:$C$224,$C403,'TL06'!$J$10:$J$224),0),
IF('TL06'!$B$229=M$3,SUMIF('TL06'!$C$238:$C$451,$C403,'TL06'!$J$238:$J$451),0),
IF('TL07'!$B$3=M$3,SUMIF('TL07'!$C$10:$C$224,$C403,'TL07'!$J$10:$J$224),0),
IF('TL07'!$B$229=M$3,SUMIF('TL07'!$C$238:$C$451,$C403,'TL07'!$J$238:$J$451),0),
IF('TL08'!$B$3=M$3,SUMIF('TL08'!$C$10:$C$224,$C403,'TL08'!$J$10:$J$224),0),
IF('TL08'!$B$229=M$3,SUMIF('TL08'!$C$238:$C$451,$C403,'TL08'!$J$238:$J$451),0),
IF('TL09'!$B$3=M$3,SUMIF('TL09'!$C$10:$C$224,$C403,'TL09'!$J$10:$J$224),0),
IF('TL09'!$B$229=M$3,SUMIF('TL09'!$C$238:$C$451,$C403,'TL09'!$J$238:$J$451),0),
IF('TL10'!$B$3=M$3,SUMIF('TL10'!$C$10:$C$224,$C403,'TL10'!$J$10:$J$224),0),
IF('TL10'!$B$229=M$3,SUMIF('TL10'!$C$238:$C$451,$C403,'TL10'!$J$238:$J$451),0),
IF('TL11'!$B$3=M$3,SUMIF('TL11'!$C$10:$C$224,$C403,'TL11'!$J$10:$J$224),0),
IF('TL11'!$B$229=M$3,SUMIF('TL11'!$C$238:$C$451,$C403,'TL11'!$J$238:$J$451),0),
IF('TL12'!$B$3=M$3,SUMIF('TL12'!$C$10:$C$224,$C403,'TL12'!$J$10:$J$224),0),
IF('TL12'!$B$229=M$3,SUMIF('TL12'!$C$238:$C$451,$C403,'TL12'!$J$238:$J$451),0),
IF('TL13'!$B$3=M$3,SUMIF('TL13'!$C$10:$C$224,$C403,'TL13'!$J$10:$J$224),0),
IF('TL13'!$B$229=M$3,SUMIF('TL13'!$C$238:$C$451,$C403,'TL13'!$J$238:$J$451),0),
IF('TL14'!$B$3=M$3,SUMIF('TL14'!$C$10:$C$224,$C403,'TL14'!$J$10:$J$224),0),
IF('TL14'!$B$229=M$3,SUMIF('TL14'!$C$238:$C$451,$C403,'TL14'!$J$238:$J$451),0),
IF('TL15'!$B$3=M$3,SUMIF('TL15'!$C$10:$C$224,$C403,'TL15'!$J$10:$J$224),0),
IF('TL15'!$B$229=M$3,SUMIF('TL15'!$C$238:$C$451,$C403,'TL15'!$J$238:$J$451),0),
IF('TL16'!$B$3=M$3,SUMIF('TL16'!$C$10:$C$224,$C403,'TL16'!$J$10:$J$224),0),
IF('TL16'!$B$229=M$3,SUMIF('TL16'!$C$238:$C$451,$C403,'TL16'!$J$238:$J$451),0),
IF('TL17'!$B$3=M$3,SUMIF('TL17'!$C$10:$C$224,$C403,'TL17'!$J$10:$J$224),0),
IF('TL17'!$B$229=M$3,SUMIF('TL17'!$C$238:$C$451,$C403,'TL17'!$J$238:$J$451),0),
IF('TL18'!$B$3=M$3,SUMIF('TL18'!$C$10:$C$224,$C403,'TL18'!$J$10:$J$224),0),
IF('TL18'!$B$229=M$3,SUMIF('TL18'!$C$238:$C$451,$C403,'TL18'!$J$238:$J$451),0),
IF('TL19'!$B$3=M$3,SUMIF('TL19'!$C$10:$C$224,$C403,'TL19'!$J$10:$J$224),0),
IF('TL19'!$B$229=M$3,SUMIF('TL19'!$C$238:$C$451,$C403,'TL19'!$J$238:$J$451),0)
),0)</f>
        <v>0</v>
      </c>
      <c r="N403" s="147">
        <f>IFERROR(SUM(
IF('TL01'!$B$3=N$3,SUMIF('TL01'!$C$10:$C$224,$C403,'TL01'!$J$10:$J$224),0),
IF('TL01'!$B$229=N$3,SUMIF('TL01'!$C$238:$C$451,$C403,'TL01'!$J$238:$J$451),0),
IF('TL02'!$B$3=N$3,SUMIF('TL02'!$C$10:$C$224,$C403,'TL02'!$J$10:$J$224),0),
IF('TL02'!$B$229=N$3,SUMIF('TL02'!$C$238:$C$451,$C403,'TL02'!$J$238:$J$451),0),
IF('TL03'!$B$3=N$3,SUMIF('TL03'!$C$10:$C$224,$C403,'TL03'!$J$10:$J$224),0),
IF('TL03'!$B$229=N$3,SUMIF('TL03'!$C$238:$C$451,$C403,'TL03'!$J$238:$J$451),0),
IF('TL04'!$B$3=N$3,SUMIF('TL04'!$C$10:$C$224,$C403,'TL04'!$J$10:$J$224),0),
IF('TL04'!$B$229=N$3,SUMIF('TL04'!$C$238:$C$451,$C403,'TL04'!$J$238:$J$451),0),
IF('TL05'!$B$3=N$3,SUMIF('TL05'!$C$10:$C$224,$C403,'TL05'!$J$10:$J$224),0),
IF('TL05'!$B$229=N$3,SUMIF('TL05'!$C$238:$C$451,$C403,'TL05'!$J$238:$J$451),0),
IF('TL06'!$B$3=N$3,SUMIF('TL06'!$C$10:$C$224,$C403,'TL06'!$J$10:$J$224),0),
IF('TL06'!$B$229=N$3,SUMIF('TL06'!$C$238:$C$451,$C403,'TL06'!$J$238:$J$451),0),
IF('TL07'!$B$3=N$3,SUMIF('TL07'!$C$10:$C$224,$C403,'TL07'!$J$10:$J$224),0),
IF('TL07'!$B$229=N$3,SUMIF('TL07'!$C$238:$C$451,$C403,'TL07'!$J$238:$J$451),0),
IF('TL08'!$B$3=N$3,SUMIF('TL08'!$C$10:$C$224,$C403,'TL08'!$J$10:$J$224),0),
IF('TL08'!$B$229=N$3,SUMIF('TL08'!$C$238:$C$451,$C403,'TL08'!$J$238:$J$451),0),
IF('TL09'!$B$3=N$3,SUMIF('TL09'!$C$10:$C$224,$C403,'TL09'!$J$10:$J$224),0),
IF('TL09'!$B$229=N$3,SUMIF('TL09'!$C$238:$C$451,$C403,'TL09'!$J$238:$J$451),0),
IF('TL10'!$B$3=N$3,SUMIF('TL10'!$C$10:$C$224,$C403,'TL10'!$J$10:$J$224),0),
IF('TL10'!$B$229=N$3,SUMIF('TL10'!$C$238:$C$451,$C403,'TL10'!$J$238:$J$451),0),
IF('TL11'!$B$3=N$3,SUMIF('TL11'!$C$10:$C$224,$C403,'TL11'!$J$10:$J$224),0),
IF('TL11'!$B$229=N$3,SUMIF('TL11'!$C$238:$C$451,$C403,'TL11'!$J$238:$J$451),0),
IF('TL12'!$B$3=N$3,SUMIF('TL12'!$C$10:$C$224,$C403,'TL12'!$J$10:$J$224),0),
IF('TL12'!$B$229=N$3,SUMIF('TL12'!$C$238:$C$451,$C403,'TL12'!$J$238:$J$451),0),
IF('TL13'!$B$3=N$3,SUMIF('TL13'!$C$10:$C$224,$C403,'TL13'!$J$10:$J$224),0),
IF('TL13'!$B$229=N$3,SUMIF('TL13'!$C$238:$C$451,$C403,'TL13'!$J$238:$J$451),0),
IF('TL14'!$B$3=N$3,SUMIF('TL14'!$C$10:$C$224,$C403,'TL14'!$J$10:$J$224),0),
IF('TL14'!$B$229=N$3,SUMIF('TL14'!$C$238:$C$451,$C403,'TL14'!$J$238:$J$451),0),
IF('TL15'!$B$3=N$3,SUMIF('TL15'!$C$10:$C$224,$C403,'TL15'!$J$10:$J$224),0),
IF('TL15'!$B$229=N$3,SUMIF('TL15'!$C$238:$C$451,$C403,'TL15'!$J$238:$J$451),0),
IF('TL16'!$B$3=N$3,SUMIF('TL16'!$C$10:$C$224,$C403,'TL16'!$J$10:$J$224),0),
IF('TL16'!$B$229=N$3,SUMIF('TL16'!$C$238:$C$451,$C403,'TL16'!$J$238:$J$451),0),
IF('TL17'!$B$3=N$3,SUMIF('TL17'!$C$10:$C$224,$C403,'TL17'!$J$10:$J$224),0),
IF('TL17'!$B$229=N$3,SUMIF('TL17'!$C$238:$C$451,$C403,'TL17'!$J$238:$J$451),0),
IF('TL18'!$B$3=N$3,SUMIF('TL18'!$C$10:$C$224,$C403,'TL18'!$J$10:$J$224),0),
IF('TL18'!$B$229=N$3,SUMIF('TL18'!$C$238:$C$451,$C403,'TL18'!$J$238:$J$451),0),
IF('TL19'!$B$3=N$3,SUMIF('TL19'!$C$10:$C$224,$C403,'TL19'!$J$10:$J$224),0),
IF('TL19'!$B$229=N$3,SUMIF('TL19'!$C$238:$C$451,$C403,'TL19'!$J$238:$J$451),0)
),0)</f>
        <v>0</v>
      </c>
      <c r="O403" s="147">
        <f>IFERROR(SUM(
IF('TL01'!$B$3=O$3,SUMIF('TL01'!$C$10:$C$224,$C403,'TL01'!$J$10:$J$224),0),
IF('TL01'!$B$229=O$3,SUMIF('TL01'!$C$238:$C$451,$C403,'TL01'!$J$238:$J$451),0),
IF('TL02'!$B$3=O$3,SUMIF('TL02'!$C$10:$C$224,$C403,'TL02'!$J$10:$J$224),0),
IF('TL02'!$B$229=O$3,SUMIF('TL02'!$C$238:$C$451,$C403,'TL02'!$J$238:$J$451),0),
IF('TL03'!$B$3=O$3,SUMIF('TL03'!$C$10:$C$224,$C403,'TL03'!$J$10:$J$224),0),
IF('TL03'!$B$229=O$3,SUMIF('TL03'!$C$238:$C$451,$C403,'TL03'!$J$238:$J$451),0),
IF('TL04'!$B$3=O$3,SUMIF('TL04'!$C$10:$C$224,$C403,'TL04'!$J$10:$J$224),0),
IF('TL04'!$B$229=O$3,SUMIF('TL04'!$C$238:$C$451,$C403,'TL04'!$J$238:$J$451),0),
IF('TL05'!$B$3=O$3,SUMIF('TL05'!$C$10:$C$224,$C403,'TL05'!$J$10:$J$224),0),
IF('TL05'!$B$229=O$3,SUMIF('TL05'!$C$238:$C$451,$C403,'TL05'!$J$238:$J$451),0),
IF('TL06'!$B$3=O$3,SUMIF('TL06'!$C$10:$C$224,$C403,'TL06'!$J$10:$J$224),0),
IF('TL06'!$B$229=O$3,SUMIF('TL06'!$C$238:$C$451,$C403,'TL06'!$J$238:$J$451),0),
IF('TL07'!$B$3=O$3,SUMIF('TL07'!$C$10:$C$224,$C403,'TL07'!$J$10:$J$224),0),
IF('TL07'!$B$229=O$3,SUMIF('TL07'!$C$238:$C$451,$C403,'TL07'!$J$238:$J$451),0),
IF('TL08'!$B$3=O$3,SUMIF('TL08'!$C$10:$C$224,$C403,'TL08'!$J$10:$J$224),0),
IF('TL08'!$B$229=O$3,SUMIF('TL08'!$C$238:$C$451,$C403,'TL08'!$J$238:$J$451),0),
IF('TL09'!$B$3=O$3,SUMIF('TL09'!$C$10:$C$224,$C403,'TL09'!$J$10:$J$224),0),
IF('TL09'!$B$229=O$3,SUMIF('TL09'!$C$238:$C$451,$C403,'TL09'!$J$238:$J$451),0),
IF('TL10'!$B$3=O$3,SUMIF('TL10'!$C$10:$C$224,$C403,'TL10'!$J$10:$J$224),0),
IF('TL10'!$B$229=O$3,SUMIF('TL10'!$C$238:$C$451,$C403,'TL10'!$J$238:$J$451),0),
IF('TL11'!$B$3=O$3,SUMIF('TL11'!$C$10:$C$224,$C403,'TL11'!$J$10:$J$224),0),
IF('TL11'!$B$229=O$3,SUMIF('TL11'!$C$238:$C$451,$C403,'TL11'!$J$238:$J$451),0),
IF('TL12'!$B$3=O$3,SUMIF('TL12'!$C$10:$C$224,$C403,'TL12'!$J$10:$J$224),0),
IF('TL12'!$B$229=O$3,SUMIF('TL12'!$C$238:$C$451,$C403,'TL12'!$J$238:$J$451),0),
IF('TL13'!$B$3=O$3,SUMIF('TL13'!$C$10:$C$224,$C403,'TL13'!$J$10:$J$224),0),
IF('TL13'!$B$229=O$3,SUMIF('TL13'!$C$238:$C$451,$C403,'TL13'!$J$238:$J$451),0),
IF('TL14'!$B$3=O$3,SUMIF('TL14'!$C$10:$C$224,$C403,'TL14'!$J$10:$J$224),0),
IF('TL14'!$B$229=O$3,SUMIF('TL14'!$C$238:$C$451,$C403,'TL14'!$J$238:$J$451),0),
IF('TL15'!$B$3=O$3,SUMIF('TL15'!$C$10:$C$224,$C403,'TL15'!$J$10:$J$224),0),
IF('TL15'!$B$229=O$3,SUMIF('TL15'!$C$238:$C$451,$C403,'TL15'!$J$238:$J$451),0),
IF('TL16'!$B$3=O$3,SUMIF('TL16'!$C$10:$C$224,$C403,'TL16'!$J$10:$J$224),0),
IF('TL16'!$B$229=O$3,SUMIF('TL16'!$C$238:$C$451,$C403,'TL16'!$J$238:$J$451),0),
IF('TL17'!$B$3=O$3,SUMIF('TL17'!$C$10:$C$224,$C403,'TL17'!$J$10:$J$224),0),
IF('TL17'!$B$229=O$3,SUMIF('TL17'!$C$238:$C$451,$C403,'TL17'!$J$238:$J$451),0),
IF('TL18'!$B$3=O$3,SUMIF('TL18'!$C$10:$C$224,$C403,'TL18'!$J$10:$J$224),0),
IF('TL18'!$B$229=O$3,SUMIF('TL18'!$C$238:$C$451,$C403,'TL18'!$J$238:$J$451),0),
IF('TL19'!$B$3=O$3,SUMIF('TL19'!$C$10:$C$224,$C403,'TL19'!$J$10:$J$224),0),
IF('TL19'!$B$229=O$3,SUMIF('TL19'!$C$238:$C$451,$C403,'TL19'!$J$238:$J$451),0)
),0)</f>
        <v>70.4</v>
      </c>
      <c r="P403" s="147">
        <f>IFERROR(SUM(
IF('TL01'!$B$3=P$3,SUMIF('TL01'!$C$10:$C$224,$C403,'TL01'!$J$10:$J$224),0),
IF('TL01'!$B$229=P$3,SUMIF('TL01'!$C$238:$C$451,$C403,'TL01'!$J$238:$J$451),0),
IF('TL02'!$B$3=P$3,SUMIF('TL02'!$C$10:$C$224,$C403,'TL02'!$J$10:$J$224),0),
IF('TL02'!$B$229=P$3,SUMIF('TL02'!$C$238:$C$451,$C403,'TL02'!$J$238:$J$451),0),
IF('TL03'!$B$3=P$3,SUMIF('TL03'!$C$10:$C$224,$C403,'TL03'!$J$10:$J$224),0),
IF('TL03'!$B$229=P$3,SUMIF('TL03'!$C$238:$C$451,$C403,'TL03'!$J$238:$J$451),0),
IF('TL04'!$B$3=P$3,SUMIF('TL04'!$C$10:$C$224,$C403,'TL04'!$J$10:$J$224),0),
IF('TL04'!$B$229=P$3,SUMIF('TL04'!$C$238:$C$451,$C403,'TL04'!$J$238:$J$451),0),
IF('TL05'!$B$3=P$3,SUMIF('TL05'!$C$10:$C$224,$C403,'TL05'!$J$10:$J$224),0),
IF('TL05'!$B$229=P$3,SUMIF('TL05'!$C$238:$C$451,$C403,'TL05'!$J$238:$J$451),0),
IF('TL06'!$B$3=P$3,SUMIF('TL06'!$C$10:$C$224,$C403,'TL06'!$J$10:$J$224),0),
IF('TL06'!$B$229=P$3,SUMIF('TL06'!$C$238:$C$451,$C403,'TL06'!$J$238:$J$451),0),
IF('TL07'!$B$3=P$3,SUMIF('TL07'!$C$10:$C$224,$C403,'TL07'!$J$10:$J$224),0),
IF('TL07'!$B$229=P$3,SUMIF('TL07'!$C$238:$C$451,$C403,'TL07'!$J$238:$J$451),0),
IF('TL08'!$B$3=P$3,SUMIF('TL08'!$C$10:$C$224,$C403,'TL08'!$J$10:$J$224),0),
IF('TL08'!$B$229=P$3,SUMIF('TL08'!$C$238:$C$451,$C403,'TL08'!$J$238:$J$451),0),
IF('TL09'!$B$3=P$3,SUMIF('TL09'!$C$10:$C$224,$C403,'TL09'!$J$10:$J$224),0),
IF('TL09'!$B$229=P$3,SUMIF('TL09'!$C$238:$C$451,$C403,'TL09'!$J$238:$J$451),0),
IF('TL10'!$B$3=P$3,SUMIF('TL10'!$C$10:$C$224,$C403,'TL10'!$J$10:$J$224),0),
IF('TL10'!$B$229=P$3,SUMIF('TL10'!$C$238:$C$451,$C403,'TL10'!$J$238:$J$451),0),
IF('TL11'!$B$3=P$3,SUMIF('TL11'!$C$10:$C$224,$C403,'TL11'!$J$10:$J$224),0),
IF('TL11'!$B$229=P$3,SUMIF('TL11'!$C$238:$C$451,$C403,'TL11'!$J$238:$J$451),0),
IF('TL12'!$B$3=P$3,SUMIF('TL12'!$C$10:$C$224,$C403,'TL12'!$J$10:$J$224),0),
IF('TL12'!$B$229=P$3,SUMIF('TL12'!$C$238:$C$451,$C403,'TL12'!$J$238:$J$451),0),
IF('TL13'!$B$3=P$3,SUMIF('TL13'!$C$10:$C$224,$C403,'TL13'!$J$10:$J$224),0),
IF('TL13'!$B$229=P$3,SUMIF('TL13'!$C$238:$C$451,$C403,'TL13'!$J$238:$J$451),0),
IF('TL14'!$B$3=P$3,SUMIF('TL14'!$C$10:$C$224,$C403,'TL14'!$J$10:$J$224),0),
IF('TL14'!$B$229=P$3,SUMIF('TL14'!$C$238:$C$451,$C403,'TL14'!$J$238:$J$451),0),
IF('TL15'!$B$3=P$3,SUMIF('TL15'!$C$10:$C$224,$C403,'TL15'!$J$10:$J$224),0),
IF('TL15'!$B$229=P$3,SUMIF('TL15'!$C$238:$C$451,$C403,'TL15'!$J$238:$J$451),0),
IF('TL16'!$B$3=P$3,SUMIF('TL16'!$C$10:$C$224,$C403,'TL16'!$J$10:$J$224),0),
IF('TL16'!$B$229=P$3,SUMIF('TL16'!$C$238:$C$451,$C403,'TL16'!$J$238:$J$451),0),
IF('TL17'!$B$3=P$3,SUMIF('TL17'!$C$10:$C$224,$C403,'TL17'!$J$10:$J$224),0),
IF('TL17'!$B$229=P$3,SUMIF('TL17'!$C$238:$C$451,$C403,'TL17'!$J$238:$J$451),0),
IF('TL18'!$B$3=P$3,SUMIF('TL18'!$C$10:$C$224,$C403,'TL18'!$J$10:$J$224),0),
IF('TL18'!$B$229=P$3,SUMIF('TL18'!$C$238:$C$451,$C403,'TL18'!$J$238:$J$451),0),
IF('TL19'!$B$3=P$3,SUMIF('TL19'!$C$10:$C$224,$C403,'TL19'!$J$10:$J$224),0),
IF('TL19'!$B$229=P$3,SUMIF('TL19'!$C$238:$C$451,$C403,'TL19'!$J$238:$J$451),0)
),0)</f>
        <v>389.76</v>
      </c>
      <c r="Q403" s="147">
        <f>IFERROR(SUM(
IF('TL01'!$B$3=Q$3,SUMIF('TL01'!$C$10:$C$224,$C403,'TL01'!$J$10:$J$224),0),
IF('TL01'!$B$229=Q$3,SUMIF('TL01'!$C$238:$C$451,$C403,'TL01'!$J$238:$J$451),0),
IF('TL02'!$B$3=Q$3,SUMIF('TL02'!$C$10:$C$224,$C403,'TL02'!$J$10:$J$224),0),
IF('TL02'!$B$229=Q$3,SUMIF('TL02'!$C$238:$C$451,$C403,'TL02'!$J$238:$J$451),0),
IF('TL03'!$B$3=Q$3,SUMIF('TL03'!$C$10:$C$224,$C403,'TL03'!$J$10:$J$224),0),
IF('TL03'!$B$229=Q$3,SUMIF('TL03'!$C$238:$C$451,$C403,'TL03'!$J$238:$J$451),0),
IF('TL04'!$B$3=Q$3,SUMIF('TL04'!$C$10:$C$224,$C403,'TL04'!$J$10:$J$224),0),
IF('TL04'!$B$229=Q$3,SUMIF('TL04'!$C$238:$C$451,$C403,'TL04'!$J$238:$J$451),0),
IF('TL05'!$B$3=Q$3,SUMIF('TL05'!$C$10:$C$224,$C403,'TL05'!$J$10:$J$224),0),
IF('TL05'!$B$229=Q$3,SUMIF('TL05'!$C$238:$C$451,$C403,'TL05'!$J$238:$J$451),0),
IF('TL06'!$B$3=Q$3,SUMIF('TL06'!$C$10:$C$224,$C403,'TL06'!$J$10:$J$224),0),
IF('TL06'!$B$229=Q$3,SUMIF('TL06'!$C$238:$C$451,$C403,'TL06'!$J$238:$J$451),0),
IF('TL07'!$B$3=Q$3,SUMIF('TL07'!$C$10:$C$224,$C403,'TL07'!$J$10:$J$224),0),
IF('TL07'!$B$229=Q$3,SUMIF('TL07'!$C$238:$C$451,$C403,'TL07'!$J$238:$J$451),0),
IF('TL08'!$B$3=Q$3,SUMIF('TL08'!$C$10:$C$224,$C403,'TL08'!$J$10:$J$224),0),
IF('TL08'!$B$229=Q$3,SUMIF('TL08'!$C$238:$C$451,$C403,'TL08'!$J$238:$J$451),0),
IF('TL09'!$B$3=Q$3,SUMIF('TL09'!$C$10:$C$224,$C403,'TL09'!$J$10:$J$224),0),
IF('TL09'!$B$229=Q$3,SUMIF('TL09'!$C$238:$C$451,$C403,'TL09'!$J$238:$J$451),0),
IF('TL10'!$B$3=Q$3,SUMIF('TL10'!$C$10:$C$224,$C403,'TL10'!$J$10:$J$224),0),
IF('TL10'!$B$229=Q$3,SUMIF('TL10'!$C$238:$C$451,$C403,'TL10'!$J$238:$J$451),0),
IF('TL11'!$B$3=Q$3,SUMIF('TL11'!$C$10:$C$224,$C403,'TL11'!$J$10:$J$224),0),
IF('TL11'!$B$229=Q$3,SUMIF('TL11'!$C$238:$C$451,$C403,'TL11'!$J$238:$J$451),0),
IF('TL12'!$B$3=Q$3,SUMIF('TL12'!$C$10:$C$224,$C403,'TL12'!$J$10:$J$224),0),
IF('TL12'!$B$229=Q$3,SUMIF('TL12'!$C$238:$C$451,$C403,'TL12'!$J$238:$J$451),0),
IF('TL13'!$B$3=Q$3,SUMIF('TL13'!$C$10:$C$224,$C403,'TL13'!$J$10:$J$224),0),
IF('TL13'!$B$229=Q$3,SUMIF('TL13'!$C$238:$C$451,$C403,'TL13'!$J$238:$J$451),0),
IF('TL14'!$B$3=Q$3,SUMIF('TL14'!$C$10:$C$224,$C403,'TL14'!$J$10:$J$224),0),
IF('TL14'!$B$229=Q$3,SUMIF('TL14'!$C$238:$C$451,$C403,'TL14'!$J$238:$J$451),0),
IF('TL15'!$B$3=Q$3,SUMIF('TL15'!$C$10:$C$224,$C403,'TL15'!$J$10:$J$224),0),
IF('TL15'!$B$229=Q$3,SUMIF('TL15'!$C$238:$C$451,$C403,'TL15'!$J$238:$J$451),0),
IF('TL16'!$B$3=Q$3,SUMIF('TL16'!$C$10:$C$224,$C403,'TL16'!$J$10:$J$224),0),
IF('TL16'!$B$229=Q$3,SUMIF('TL16'!$C$238:$C$451,$C403,'TL16'!$J$238:$J$451),0),
IF('TL17'!$B$3=Q$3,SUMIF('TL17'!$C$10:$C$224,$C403,'TL17'!$J$10:$J$224),0),
IF('TL17'!$B$229=Q$3,SUMIF('TL17'!$C$238:$C$451,$C403,'TL17'!$J$238:$J$451),0),
IF('TL18'!$B$3=Q$3,SUMIF('TL18'!$C$10:$C$224,$C403,'TL18'!$J$10:$J$224),0),
IF('TL18'!$B$229=Q$3,SUMIF('TL18'!$C$238:$C$451,$C403,'TL18'!$J$238:$J$451),0),
IF('TL19'!$B$3=Q$3,SUMIF('TL19'!$C$10:$C$224,$C403,'TL19'!$J$10:$J$224),0),
IF('TL19'!$B$229=Q$3,SUMIF('TL19'!$C$238:$C$451,$C403,'TL19'!$J$238:$J$451),0)
),0)</f>
        <v>102.4</v>
      </c>
      <c r="R403" s="139">
        <f>IFERROR(
SUM(
SUMIF('TL01'!C:C,C403,'TL01'!J:J),
SUMIF('TL02'!C:C,C403,'TL02'!I:I),
SUMIF('TL03'!C:C,C403,'TL03'!I:I),
SUMIF('TL04'!C:C,C403,'TL04'!I:I),
SUMIF('TL05'!C:C,C403,'TL05'!I:I),
SUMIF('TL06'!C:C,C403,'TL06'!I:I),
SUMIF('TL07'!C:C,C403,'TL07'!I:I),
SUMIF('TL08'!C:C,C403,'TL08'!I:I),
SUMIF('TL09'!C:C,C403,'TL09'!I:I),
SUMIF('TL10'!C:C,C403,'TL10'!I:I),
SUMIF('TL11'!C:C,C403,'TL11'!I:I),
SUMIF('TL12'!C:C,C403,'TL12'!I:I),
SUMIF('TL13'!C:C,C403,'TL13'!I:I),
SUMIF('TL14'!C:C,C403,'TL14'!I:I),
SUMIF('TL15'!C:C,C403,'TL15'!I:I),
SUMIF('TL16'!C:C,C403,'TL16'!I:I),
SUMIF('TL17'!C:C,C403,'TL17'!I:I),
SUMIF('TL18'!C:C,C403,'TL18'!I:I))
,0)</f>
        <v>91.52</v>
      </c>
      <c r="S403" s="142">
        <f>'CUSTO OPERAÇÃO'!M7</f>
        <v>112.5</v>
      </c>
      <c r="T403" s="139"/>
      <c r="U403" s="143">
        <f t="shared" si="2"/>
        <v>91.52</v>
      </c>
      <c r="V403" s="144">
        <f t="shared" si="3"/>
        <v>10296</v>
      </c>
    </row>
    <row r="404" ht="15.75" hidden="1" customHeight="1">
      <c r="A404" s="134"/>
      <c r="B404" s="135" t="s">
        <v>10</v>
      </c>
      <c r="C404" s="136" t="str">
        <f>'CUSTO OPERAÇÃO'!D8</f>
        <v>TRATOR-JD 7500 + ADUBADORA HERCULES 10000</v>
      </c>
      <c r="D404" s="136"/>
      <c r="E404" s="137"/>
      <c r="F404" s="138" t="s">
        <v>1133</v>
      </c>
      <c r="G404" s="139"/>
      <c r="H404" s="140">
        <f>'CUSTO OPERAÇÃO'!J8</f>
        <v>0.04901960784</v>
      </c>
      <c r="I404" s="141"/>
      <c r="J404" s="136">
        <f>IFERROR(SUM(
IF('TL01'!$B$3=J$3,SUMIF('TL01'!$C$10:$C$224,$C404,'TL01'!$J$10:$J$224),0),
IF('TL01'!$B$229=J$3,SUMIF('TL01'!$C$238:$C$451,$C404,'TL01'!$J$238:$J$451),0),
IF('TL02'!$B$3=J$3,SUMIF('TL02'!$C$10:$C$224,$C404,'TL02'!$J$10:$J$224),0),
IF('TL02'!$B$229=J$3,SUMIF('TL02'!$C$238:$C$451,$C404,'TL02'!$J$238:$J$451),0),
IF('TL03'!$B$3=J$3,SUMIF('TL03'!$C$10:$C$224,$C404,'TL03'!$J$10:$J$224),0),
IF('TL03'!$B$229=J$3,SUMIF('TL03'!$C$238:$C$451,$C404,'TL03'!$J$238:$J$451),0),
IF('TL04'!$B$3=J$3,SUMIF('TL04'!$C$10:$C$224,$C404,'TL04'!$J$10:$J$224),0),
IF('TL04'!$B$229=J$3,SUMIF('TL04'!$C$238:$C$451,$C404,'TL04'!$J$238:$J$451),0),
IF('TL05'!$B$3=J$3,SUMIF('TL05'!$C$10:$C$224,$C404,'TL05'!$J$10:$J$224),0),
IF('TL05'!$B$229=J$3,SUMIF('TL05'!$C$238:$C$451,$C404,'TL05'!$J$238:$J$451),0),
IF('TL06'!$B$3=J$3,SUMIF('TL06'!$C$10:$C$224,$C404,'TL06'!$J$10:$J$224),0),
IF('TL06'!$B$229=J$3,SUMIF('TL06'!$C$238:$C$451,$C404,'TL06'!$J$238:$J$451),0),
IF('TL07'!$B$3=J$3,SUMIF('TL07'!$C$10:$C$224,$C404,'TL07'!$J$10:$J$224),0),
IF('TL07'!$B$229=J$3,SUMIF('TL07'!$C$238:$C$451,$C404,'TL07'!$J$238:$J$451),0),
IF('TL08'!$B$3=J$3,SUMIF('TL08'!$C$10:$C$224,$C404,'TL08'!$J$10:$J$224),0),
IF('TL08'!$B$229=J$3,SUMIF('TL08'!$C$238:$C$451,$C404,'TL08'!$J$238:$J$451),0),
IF('TL09'!$B$3=J$3,SUMIF('TL09'!$C$10:$C$224,$C404,'TL09'!$J$10:$J$224),0),
IF('TL09'!$B$229=J$3,SUMIF('TL09'!$C$238:$C$451,$C404,'TL09'!$J$238:$J$451),0),
IF('TL10'!$B$3=J$3,SUMIF('TL10'!$C$10:$C$224,$C404,'TL10'!$J$10:$J$224),0),
IF('TL10'!$B$229=J$3,SUMIF('TL10'!$C$238:$C$451,$C404,'TL10'!$J$238:$J$451),0),
IF('TL11'!$B$3=J$3,SUMIF('TL11'!$C$10:$C$224,$C404,'TL11'!$J$10:$J$224),0),
IF('TL11'!$B$229=J$3,SUMIF('TL11'!$C$238:$C$451,$C404,'TL11'!$J$238:$J$451),0),
IF('TL12'!$B$3=J$3,SUMIF('TL12'!$C$10:$C$224,$C404,'TL12'!$J$10:$J$224),0),
IF('TL12'!$B$229=J$3,SUMIF('TL12'!$C$238:$C$451,$C404,'TL12'!$J$238:$J$451),0),
IF('TL13'!$B$3=J$3,SUMIF('TL13'!$C$10:$C$224,$C404,'TL13'!$J$10:$J$224),0),
IF('TL13'!$B$229=J$3,SUMIF('TL13'!$C$238:$C$451,$C404,'TL13'!$J$238:$J$451),0),
IF('TL14'!$B$3=J$3,SUMIF('TL14'!$C$10:$C$224,$C404,'TL14'!$J$10:$J$224),0),
IF('TL14'!$B$229=J$3,SUMIF('TL14'!$C$238:$C$451,$C404,'TL14'!$J$238:$J$451),0),
IF('TL15'!$B$3=J$3,SUMIF('TL15'!$C$10:$C$224,$C404,'TL15'!$J$10:$J$224),0),
IF('TL15'!$B$229=J$3,SUMIF('TL15'!$C$238:$C$451,$C404,'TL15'!$J$238:$J$451),0),
IF('TL16'!$B$3=J$3,SUMIF('TL16'!$C$10:$C$224,$C404,'TL16'!$J$10:$J$224),0),
IF('TL16'!$B$229=J$3,SUMIF('TL16'!$C$238:$C$451,$C404,'TL16'!$J$238:$J$451),0),
IF('TL17'!$B$3=J$3,SUMIF('TL17'!$C$10:$C$224,$C404,'TL17'!$J$10:$J$224),0),
IF('TL17'!$B$229=J$3,SUMIF('TL17'!$C$238:$C$451,$C404,'TL17'!$J$238:$J$451),0),
IF('TL18'!$B$3=J$3,SUMIF('TL18'!$C$10:$C$224,$C404,'TL18'!$J$10:$J$224),0),
IF('TL18'!$B$229=J$3,SUMIF('TL18'!$C$238:$C$451,$C404,'TL18'!$J$238:$J$451),0),
IF('TL19'!$B$3=J$3,SUMIF('TL19'!$C$10:$C$224,$C404,'TL19'!$J$10:$J$224),0),
IF('TL19'!$B$229=J$3,SUMIF('TL19'!$C$238:$C$451,$C404,'TL19'!$J$238:$J$451),0)
),0)</f>
        <v>34.31372549</v>
      </c>
      <c r="K404" s="136">
        <f>IFERROR(SUM(
IF('TL01'!$B$3=K$3,SUMIF('TL01'!$C$10:$C$224,$C404,'TL01'!$J$10:$J$224),0),
IF('TL01'!$B$229=K$3,SUMIF('TL01'!$C$238:$C$451,$C404,'TL01'!$J$238:$J$451),0),
IF('TL02'!$B$3=K$3,SUMIF('TL02'!$C$10:$C$224,$C404,'TL02'!$J$10:$J$224),0),
IF('TL02'!$B$229=K$3,SUMIF('TL02'!$C$238:$C$451,$C404,'TL02'!$J$238:$J$451),0),
IF('TL03'!$B$3=K$3,SUMIF('TL03'!$C$10:$C$224,$C404,'TL03'!$J$10:$J$224),0),
IF('TL03'!$B$229=K$3,SUMIF('TL03'!$C$238:$C$451,$C404,'TL03'!$J$238:$J$451),0),
IF('TL04'!$B$3=K$3,SUMIF('TL04'!$C$10:$C$224,$C404,'TL04'!$J$10:$J$224),0),
IF('TL04'!$B$229=K$3,SUMIF('TL04'!$C$238:$C$451,$C404,'TL04'!$J$238:$J$451),0),
IF('TL05'!$B$3=K$3,SUMIF('TL05'!$C$10:$C$224,$C404,'TL05'!$J$10:$J$224),0),
IF('TL05'!$B$229=K$3,SUMIF('TL05'!$C$238:$C$451,$C404,'TL05'!$J$238:$J$451),0),
IF('TL06'!$B$3=K$3,SUMIF('TL06'!$C$10:$C$224,$C404,'TL06'!$J$10:$J$224),0),
IF('TL06'!$B$229=K$3,SUMIF('TL06'!$C$238:$C$451,$C404,'TL06'!$J$238:$J$451),0),
IF('TL07'!$B$3=K$3,SUMIF('TL07'!$C$10:$C$224,$C404,'TL07'!$J$10:$J$224),0),
IF('TL07'!$B$229=K$3,SUMIF('TL07'!$C$238:$C$451,$C404,'TL07'!$J$238:$J$451),0),
IF('TL08'!$B$3=K$3,SUMIF('TL08'!$C$10:$C$224,$C404,'TL08'!$J$10:$J$224),0),
IF('TL08'!$B$229=K$3,SUMIF('TL08'!$C$238:$C$451,$C404,'TL08'!$J$238:$J$451),0),
IF('TL09'!$B$3=K$3,SUMIF('TL09'!$C$10:$C$224,$C404,'TL09'!$J$10:$J$224),0),
IF('TL09'!$B$229=K$3,SUMIF('TL09'!$C$238:$C$451,$C404,'TL09'!$J$238:$J$451),0),
IF('TL10'!$B$3=K$3,SUMIF('TL10'!$C$10:$C$224,$C404,'TL10'!$J$10:$J$224),0),
IF('TL10'!$B$229=K$3,SUMIF('TL10'!$C$238:$C$451,$C404,'TL10'!$J$238:$J$451),0),
IF('TL11'!$B$3=K$3,SUMIF('TL11'!$C$10:$C$224,$C404,'TL11'!$J$10:$J$224),0),
IF('TL11'!$B$229=K$3,SUMIF('TL11'!$C$238:$C$451,$C404,'TL11'!$J$238:$J$451),0),
IF('TL12'!$B$3=K$3,SUMIF('TL12'!$C$10:$C$224,$C404,'TL12'!$J$10:$J$224),0),
IF('TL12'!$B$229=K$3,SUMIF('TL12'!$C$238:$C$451,$C404,'TL12'!$J$238:$J$451),0),
IF('TL13'!$B$3=K$3,SUMIF('TL13'!$C$10:$C$224,$C404,'TL13'!$J$10:$J$224),0),
IF('TL13'!$B$229=K$3,SUMIF('TL13'!$C$238:$C$451,$C404,'TL13'!$J$238:$J$451),0),
IF('TL14'!$B$3=K$3,SUMIF('TL14'!$C$10:$C$224,$C404,'TL14'!$J$10:$J$224),0),
IF('TL14'!$B$229=K$3,SUMIF('TL14'!$C$238:$C$451,$C404,'TL14'!$J$238:$J$451),0),
IF('TL15'!$B$3=K$3,SUMIF('TL15'!$C$10:$C$224,$C404,'TL15'!$J$10:$J$224),0),
IF('TL15'!$B$229=K$3,SUMIF('TL15'!$C$238:$C$451,$C404,'TL15'!$J$238:$J$451),0),
IF('TL16'!$B$3=K$3,SUMIF('TL16'!$C$10:$C$224,$C404,'TL16'!$J$10:$J$224),0),
IF('TL16'!$B$229=K$3,SUMIF('TL16'!$C$238:$C$451,$C404,'TL16'!$J$238:$J$451),0),
IF('TL17'!$B$3=K$3,SUMIF('TL17'!$C$10:$C$224,$C404,'TL17'!$J$10:$J$224),0),
IF('TL17'!$B$229=K$3,SUMIF('TL17'!$C$238:$C$451,$C404,'TL17'!$J$238:$J$451),0),
IF('TL18'!$B$3=K$3,SUMIF('TL18'!$C$10:$C$224,$C404,'TL18'!$J$10:$J$224),0),
IF('TL18'!$B$229=K$3,SUMIF('TL18'!$C$238:$C$451,$C404,'TL18'!$J$238:$J$451),0),
IF('TL19'!$B$3=K$3,SUMIF('TL19'!$C$10:$C$224,$C404,'TL19'!$J$10:$J$224),0),
IF('TL19'!$B$229=K$3,SUMIF('TL19'!$C$238:$C$451,$C404,'TL19'!$J$238:$J$451),0)
),0)</f>
        <v>58.82352941</v>
      </c>
      <c r="L404" s="136">
        <f>IFERROR(SUM(
IF('TL01'!$B$3=L$3,SUMIF('TL01'!$C$10:$C$224,$C404,'TL01'!$J$10:$J$224),0),
IF('TL01'!$B$229=L$3,SUMIF('TL01'!$C$238:$C$451,$C404,'TL01'!$J$238:$J$451),0),
IF('TL02'!$B$3=L$3,SUMIF('TL02'!$C$10:$C$224,$C404,'TL02'!$J$10:$J$224),0),
IF('TL02'!$B$229=L$3,SUMIF('TL02'!$C$238:$C$451,$C404,'TL02'!$J$238:$J$451),0),
IF('TL03'!$B$3=L$3,SUMIF('TL03'!$C$10:$C$224,$C404,'TL03'!$J$10:$J$224),0),
IF('TL03'!$B$229=L$3,SUMIF('TL03'!$C$238:$C$451,$C404,'TL03'!$J$238:$J$451),0),
IF('TL04'!$B$3=L$3,SUMIF('TL04'!$C$10:$C$224,$C404,'TL04'!$J$10:$J$224),0),
IF('TL04'!$B$229=L$3,SUMIF('TL04'!$C$238:$C$451,$C404,'TL04'!$J$238:$J$451),0),
IF('TL05'!$B$3=L$3,SUMIF('TL05'!$C$10:$C$224,$C404,'TL05'!$J$10:$J$224),0),
IF('TL05'!$B$229=L$3,SUMIF('TL05'!$C$238:$C$451,$C404,'TL05'!$J$238:$J$451),0),
IF('TL06'!$B$3=L$3,SUMIF('TL06'!$C$10:$C$224,$C404,'TL06'!$J$10:$J$224),0),
IF('TL06'!$B$229=L$3,SUMIF('TL06'!$C$238:$C$451,$C404,'TL06'!$J$238:$J$451),0),
IF('TL07'!$B$3=L$3,SUMIF('TL07'!$C$10:$C$224,$C404,'TL07'!$J$10:$J$224),0),
IF('TL07'!$B$229=L$3,SUMIF('TL07'!$C$238:$C$451,$C404,'TL07'!$J$238:$J$451),0),
IF('TL08'!$B$3=L$3,SUMIF('TL08'!$C$10:$C$224,$C404,'TL08'!$J$10:$J$224),0),
IF('TL08'!$B$229=L$3,SUMIF('TL08'!$C$238:$C$451,$C404,'TL08'!$J$238:$J$451),0),
IF('TL09'!$B$3=L$3,SUMIF('TL09'!$C$10:$C$224,$C404,'TL09'!$J$10:$J$224),0),
IF('TL09'!$B$229=L$3,SUMIF('TL09'!$C$238:$C$451,$C404,'TL09'!$J$238:$J$451),0),
IF('TL10'!$B$3=L$3,SUMIF('TL10'!$C$10:$C$224,$C404,'TL10'!$J$10:$J$224),0),
IF('TL10'!$B$229=L$3,SUMIF('TL10'!$C$238:$C$451,$C404,'TL10'!$J$238:$J$451),0),
IF('TL11'!$B$3=L$3,SUMIF('TL11'!$C$10:$C$224,$C404,'TL11'!$J$10:$J$224),0),
IF('TL11'!$B$229=L$3,SUMIF('TL11'!$C$238:$C$451,$C404,'TL11'!$J$238:$J$451),0),
IF('TL12'!$B$3=L$3,SUMIF('TL12'!$C$10:$C$224,$C404,'TL12'!$J$10:$J$224),0),
IF('TL12'!$B$229=L$3,SUMIF('TL12'!$C$238:$C$451,$C404,'TL12'!$J$238:$J$451),0),
IF('TL13'!$B$3=L$3,SUMIF('TL13'!$C$10:$C$224,$C404,'TL13'!$J$10:$J$224),0),
IF('TL13'!$B$229=L$3,SUMIF('TL13'!$C$238:$C$451,$C404,'TL13'!$J$238:$J$451),0),
IF('TL14'!$B$3=L$3,SUMIF('TL14'!$C$10:$C$224,$C404,'TL14'!$J$10:$J$224),0),
IF('TL14'!$B$229=L$3,SUMIF('TL14'!$C$238:$C$451,$C404,'TL14'!$J$238:$J$451),0),
IF('TL15'!$B$3=L$3,SUMIF('TL15'!$C$10:$C$224,$C404,'TL15'!$J$10:$J$224),0),
IF('TL15'!$B$229=L$3,SUMIF('TL15'!$C$238:$C$451,$C404,'TL15'!$J$238:$J$451),0),
IF('TL16'!$B$3=L$3,SUMIF('TL16'!$C$10:$C$224,$C404,'TL16'!$J$10:$J$224),0),
IF('TL16'!$B$229=L$3,SUMIF('TL16'!$C$238:$C$451,$C404,'TL16'!$J$238:$J$451),0),
IF('TL17'!$B$3=L$3,SUMIF('TL17'!$C$10:$C$224,$C404,'TL17'!$J$10:$J$224),0),
IF('TL17'!$B$229=L$3,SUMIF('TL17'!$C$238:$C$451,$C404,'TL17'!$J$238:$J$451),0),
IF('TL18'!$B$3=L$3,SUMIF('TL18'!$C$10:$C$224,$C404,'TL18'!$J$10:$J$224),0),
IF('TL18'!$B$229=L$3,SUMIF('TL18'!$C$238:$C$451,$C404,'TL18'!$J$238:$J$451),0),
IF('TL19'!$B$3=L$3,SUMIF('TL19'!$C$10:$C$224,$C404,'TL19'!$J$10:$J$224),0),
IF('TL19'!$B$229=L$3,SUMIF('TL19'!$C$238:$C$451,$C404,'TL19'!$J$238:$J$451),0)
),0)</f>
        <v>43.1372549</v>
      </c>
      <c r="M404" s="136">
        <f>IFERROR(SUM(
IF('TL01'!$B$3=M$3,SUMIF('TL01'!$C$10:$C$224,$C404,'TL01'!$J$10:$J$224),0),
IF('TL01'!$B$229=M$3,SUMIF('TL01'!$C$238:$C$451,$C404,'TL01'!$J$238:$J$451),0),
IF('TL02'!$B$3=M$3,SUMIF('TL02'!$C$10:$C$224,$C404,'TL02'!$J$10:$J$224),0),
IF('TL02'!$B$229=M$3,SUMIF('TL02'!$C$238:$C$451,$C404,'TL02'!$J$238:$J$451),0),
IF('TL03'!$B$3=M$3,SUMIF('TL03'!$C$10:$C$224,$C404,'TL03'!$J$10:$J$224),0),
IF('TL03'!$B$229=M$3,SUMIF('TL03'!$C$238:$C$451,$C404,'TL03'!$J$238:$J$451),0),
IF('TL04'!$B$3=M$3,SUMIF('TL04'!$C$10:$C$224,$C404,'TL04'!$J$10:$J$224),0),
IF('TL04'!$B$229=M$3,SUMIF('TL04'!$C$238:$C$451,$C404,'TL04'!$J$238:$J$451),0),
IF('TL05'!$B$3=M$3,SUMIF('TL05'!$C$10:$C$224,$C404,'TL05'!$J$10:$J$224),0),
IF('TL05'!$B$229=M$3,SUMIF('TL05'!$C$238:$C$451,$C404,'TL05'!$J$238:$J$451),0),
IF('TL06'!$B$3=M$3,SUMIF('TL06'!$C$10:$C$224,$C404,'TL06'!$J$10:$J$224),0),
IF('TL06'!$B$229=M$3,SUMIF('TL06'!$C$238:$C$451,$C404,'TL06'!$J$238:$J$451),0),
IF('TL07'!$B$3=M$3,SUMIF('TL07'!$C$10:$C$224,$C404,'TL07'!$J$10:$J$224),0),
IF('TL07'!$B$229=M$3,SUMIF('TL07'!$C$238:$C$451,$C404,'TL07'!$J$238:$J$451),0),
IF('TL08'!$B$3=M$3,SUMIF('TL08'!$C$10:$C$224,$C404,'TL08'!$J$10:$J$224),0),
IF('TL08'!$B$229=M$3,SUMIF('TL08'!$C$238:$C$451,$C404,'TL08'!$J$238:$J$451),0),
IF('TL09'!$B$3=M$3,SUMIF('TL09'!$C$10:$C$224,$C404,'TL09'!$J$10:$J$224),0),
IF('TL09'!$B$229=M$3,SUMIF('TL09'!$C$238:$C$451,$C404,'TL09'!$J$238:$J$451),0),
IF('TL10'!$B$3=M$3,SUMIF('TL10'!$C$10:$C$224,$C404,'TL10'!$J$10:$J$224),0),
IF('TL10'!$B$229=M$3,SUMIF('TL10'!$C$238:$C$451,$C404,'TL10'!$J$238:$J$451),0),
IF('TL11'!$B$3=M$3,SUMIF('TL11'!$C$10:$C$224,$C404,'TL11'!$J$10:$J$224),0),
IF('TL11'!$B$229=M$3,SUMIF('TL11'!$C$238:$C$451,$C404,'TL11'!$J$238:$J$451),0),
IF('TL12'!$B$3=M$3,SUMIF('TL12'!$C$10:$C$224,$C404,'TL12'!$J$10:$J$224),0),
IF('TL12'!$B$229=M$3,SUMIF('TL12'!$C$238:$C$451,$C404,'TL12'!$J$238:$J$451),0),
IF('TL13'!$B$3=M$3,SUMIF('TL13'!$C$10:$C$224,$C404,'TL13'!$J$10:$J$224),0),
IF('TL13'!$B$229=M$3,SUMIF('TL13'!$C$238:$C$451,$C404,'TL13'!$J$238:$J$451),0),
IF('TL14'!$B$3=M$3,SUMIF('TL14'!$C$10:$C$224,$C404,'TL14'!$J$10:$J$224),0),
IF('TL14'!$B$229=M$3,SUMIF('TL14'!$C$238:$C$451,$C404,'TL14'!$J$238:$J$451),0),
IF('TL15'!$B$3=M$3,SUMIF('TL15'!$C$10:$C$224,$C404,'TL15'!$J$10:$J$224),0),
IF('TL15'!$B$229=M$3,SUMIF('TL15'!$C$238:$C$451,$C404,'TL15'!$J$238:$J$451),0),
IF('TL16'!$B$3=M$3,SUMIF('TL16'!$C$10:$C$224,$C404,'TL16'!$J$10:$J$224),0),
IF('TL16'!$B$229=M$3,SUMIF('TL16'!$C$238:$C$451,$C404,'TL16'!$J$238:$J$451),0),
IF('TL17'!$B$3=M$3,SUMIF('TL17'!$C$10:$C$224,$C404,'TL17'!$J$10:$J$224),0),
IF('TL17'!$B$229=M$3,SUMIF('TL17'!$C$238:$C$451,$C404,'TL17'!$J$238:$J$451),0),
IF('TL18'!$B$3=M$3,SUMIF('TL18'!$C$10:$C$224,$C404,'TL18'!$J$10:$J$224),0),
IF('TL18'!$B$229=M$3,SUMIF('TL18'!$C$238:$C$451,$C404,'TL18'!$J$238:$J$451),0),
IF('TL19'!$B$3=M$3,SUMIF('TL19'!$C$10:$C$224,$C404,'TL19'!$J$10:$J$224),0),
IF('TL19'!$B$229=M$3,SUMIF('TL19'!$C$238:$C$451,$C404,'TL19'!$J$238:$J$451),0)
),0)</f>
        <v>0</v>
      </c>
      <c r="N404" s="136">
        <f>IFERROR(SUM(
IF('TL01'!$B$3=N$3,SUMIF('TL01'!$C$10:$C$224,$C404,'TL01'!$J$10:$J$224),0),
IF('TL01'!$B$229=N$3,SUMIF('TL01'!$C$238:$C$451,$C404,'TL01'!$J$238:$J$451),0),
IF('TL02'!$B$3=N$3,SUMIF('TL02'!$C$10:$C$224,$C404,'TL02'!$J$10:$J$224),0),
IF('TL02'!$B$229=N$3,SUMIF('TL02'!$C$238:$C$451,$C404,'TL02'!$J$238:$J$451),0),
IF('TL03'!$B$3=N$3,SUMIF('TL03'!$C$10:$C$224,$C404,'TL03'!$J$10:$J$224),0),
IF('TL03'!$B$229=N$3,SUMIF('TL03'!$C$238:$C$451,$C404,'TL03'!$J$238:$J$451),0),
IF('TL04'!$B$3=N$3,SUMIF('TL04'!$C$10:$C$224,$C404,'TL04'!$J$10:$J$224),0),
IF('TL04'!$B$229=N$3,SUMIF('TL04'!$C$238:$C$451,$C404,'TL04'!$J$238:$J$451),0),
IF('TL05'!$B$3=N$3,SUMIF('TL05'!$C$10:$C$224,$C404,'TL05'!$J$10:$J$224),0),
IF('TL05'!$B$229=N$3,SUMIF('TL05'!$C$238:$C$451,$C404,'TL05'!$J$238:$J$451),0),
IF('TL06'!$B$3=N$3,SUMIF('TL06'!$C$10:$C$224,$C404,'TL06'!$J$10:$J$224),0),
IF('TL06'!$B$229=N$3,SUMIF('TL06'!$C$238:$C$451,$C404,'TL06'!$J$238:$J$451),0),
IF('TL07'!$B$3=N$3,SUMIF('TL07'!$C$10:$C$224,$C404,'TL07'!$J$10:$J$224),0),
IF('TL07'!$B$229=N$3,SUMIF('TL07'!$C$238:$C$451,$C404,'TL07'!$J$238:$J$451),0),
IF('TL08'!$B$3=N$3,SUMIF('TL08'!$C$10:$C$224,$C404,'TL08'!$J$10:$J$224),0),
IF('TL08'!$B$229=N$3,SUMIF('TL08'!$C$238:$C$451,$C404,'TL08'!$J$238:$J$451),0),
IF('TL09'!$B$3=N$3,SUMIF('TL09'!$C$10:$C$224,$C404,'TL09'!$J$10:$J$224),0),
IF('TL09'!$B$229=N$3,SUMIF('TL09'!$C$238:$C$451,$C404,'TL09'!$J$238:$J$451),0),
IF('TL10'!$B$3=N$3,SUMIF('TL10'!$C$10:$C$224,$C404,'TL10'!$J$10:$J$224),0),
IF('TL10'!$B$229=N$3,SUMIF('TL10'!$C$238:$C$451,$C404,'TL10'!$J$238:$J$451),0),
IF('TL11'!$B$3=N$3,SUMIF('TL11'!$C$10:$C$224,$C404,'TL11'!$J$10:$J$224),0),
IF('TL11'!$B$229=N$3,SUMIF('TL11'!$C$238:$C$451,$C404,'TL11'!$J$238:$J$451),0),
IF('TL12'!$B$3=N$3,SUMIF('TL12'!$C$10:$C$224,$C404,'TL12'!$J$10:$J$224),0),
IF('TL12'!$B$229=N$3,SUMIF('TL12'!$C$238:$C$451,$C404,'TL12'!$J$238:$J$451),0),
IF('TL13'!$B$3=N$3,SUMIF('TL13'!$C$10:$C$224,$C404,'TL13'!$J$10:$J$224),0),
IF('TL13'!$B$229=N$3,SUMIF('TL13'!$C$238:$C$451,$C404,'TL13'!$J$238:$J$451),0),
IF('TL14'!$B$3=N$3,SUMIF('TL14'!$C$10:$C$224,$C404,'TL14'!$J$10:$J$224),0),
IF('TL14'!$B$229=N$3,SUMIF('TL14'!$C$238:$C$451,$C404,'TL14'!$J$238:$J$451),0),
IF('TL15'!$B$3=N$3,SUMIF('TL15'!$C$10:$C$224,$C404,'TL15'!$J$10:$J$224),0),
IF('TL15'!$B$229=N$3,SUMIF('TL15'!$C$238:$C$451,$C404,'TL15'!$J$238:$J$451),0),
IF('TL16'!$B$3=N$3,SUMIF('TL16'!$C$10:$C$224,$C404,'TL16'!$J$10:$J$224),0),
IF('TL16'!$B$229=N$3,SUMIF('TL16'!$C$238:$C$451,$C404,'TL16'!$J$238:$J$451),0),
IF('TL17'!$B$3=N$3,SUMIF('TL17'!$C$10:$C$224,$C404,'TL17'!$J$10:$J$224),0),
IF('TL17'!$B$229=N$3,SUMIF('TL17'!$C$238:$C$451,$C404,'TL17'!$J$238:$J$451),0),
IF('TL18'!$B$3=N$3,SUMIF('TL18'!$C$10:$C$224,$C404,'TL18'!$J$10:$J$224),0),
IF('TL18'!$B$229=N$3,SUMIF('TL18'!$C$238:$C$451,$C404,'TL18'!$J$238:$J$451),0),
IF('TL19'!$B$3=N$3,SUMIF('TL19'!$C$10:$C$224,$C404,'TL19'!$J$10:$J$224),0),
IF('TL19'!$B$229=N$3,SUMIF('TL19'!$C$238:$C$451,$C404,'TL19'!$J$238:$J$451),0)
),0)</f>
        <v>0</v>
      </c>
      <c r="O404" s="136">
        <f>IFERROR(SUM(
IF('TL01'!$B$3=O$3,SUMIF('TL01'!$C$10:$C$224,$C404,'TL01'!$J$10:$J$224),0),
IF('TL01'!$B$229=O$3,SUMIF('TL01'!$C$238:$C$451,$C404,'TL01'!$J$238:$J$451),0),
IF('TL02'!$B$3=O$3,SUMIF('TL02'!$C$10:$C$224,$C404,'TL02'!$J$10:$J$224),0),
IF('TL02'!$B$229=O$3,SUMIF('TL02'!$C$238:$C$451,$C404,'TL02'!$J$238:$J$451),0),
IF('TL03'!$B$3=O$3,SUMIF('TL03'!$C$10:$C$224,$C404,'TL03'!$J$10:$J$224),0),
IF('TL03'!$B$229=O$3,SUMIF('TL03'!$C$238:$C$451,$C404,'TL03'!$J$238:$J$451),0),
IF('TL04'!$B$3=O$3,SUMIF('TL04'!$C$10:$C$224,$C404,'TL04'!$J$10:$J$224),0),
IF('TL04'!$B$229=O$3,SUMIF('TL04'!$C$238:$C$451,$C404,'TL04'!$J$238:$J$451),0),
IF('TL05'!$B$3=O$3,SUMIF('TL05'!$C$10:$C$224,$C404,'TL05'!$J$10:$J$224),0),
IF('TL05'!$B$229=O$3,SUMIF('TL05'!$C$238:$C$451,$C404,'TL05'!$J$238:$J$451),0),
IF('TL06'!$B$3=O$3,SUMIF('TL06'!$C$10:$C$224,$C404,'TL06'!$J$10:$J$224),0),
IF('TL06'!$B$229=O$3,SUMIF('TL06'!$C$238:$C$451,$C404,'TL06'!$J$238:$J$451),0),
IF('TL07'!$B$3=O$3,SUMIF('TL07'!$C$10:$C$224,$C404,'TL07'!$J$10:$J$224),0),
IF('TL07'!$B$229=O$3,SUMIF('TL07'!$C$238:$C$451,$C404,'TL07'!$J$238:$J$451),0),
IF('TL08'!$B$3=O$3,SUMIF('TL08'!$C$10:$C$224,$C404,'TL08'!$J$10:$J$224),0),
IF('TL08'!$B$229=O$3,SUMIF('TL08'!$C$238:$C$451,$C404,'TL08'!$J$238:$J$451),0),
IF('TL09'!$B$3=O$3,SUMIF('TL09'!$C$10:$C$224,$C404,'TL09'!$J$10:$J$224),0),
IF('TL09'!$B$229=O$3,SUMIF('TL09'!$C$238:$C$451,$C404,'TL09'!$J$238:$J$451),0),
IF('TL10'!$B$3=O$3,SUMIF('TL10'!$C$10:$C$224,$C404,'TL10'!$J$10:$J$224),0),
IF('TL10'!$B$229=O$3,SUMIF('TL10'!$C$238:$C$451,$C404,'TL10'!$J$238:$J$451),0),
IF('TL11'!$B$3=O$3,SUMIF('TL11'!$C$10:$C$224,$C404,'TL11'!$J$10:$J$224),0),
IF('TL11'!$B$229=O$3,SUMIF('TL11'!$C$238:$C$451,$C404,'TL11'!$J$238:$J$451),0),
IF('TL12'!$B$3=O$3,SUMIF('TL12'!$C$10:$C$224,$C404,'TL12'!$J$10:$J$224),0),
IF('TL12'!$B$229=O$3,SUMIF('TL12'!$C$238:$C$451,$C404,'TL12'!$J$238:$J$451),0),
IF('TL13'!$B$3=O$3,SUMIF('TL13'!$C$10:$C$224,$C404,'TL13'!$J$10:$J$224),0),
IF('TL13'!$B$229=O$3,SUMIF('TL13'!$C$238:$C$451,$C404,'TL13'!$J$238:$J$451),0),
IF('TL14'!$B$3=O$3,SUMIF('TL14'!$C$10:$C$224,$C404,'TL14'!$J$10:$J$224),0),
IF('TL14'!$B$229=O$3,SUMIF('TL14'!$C$238:$C$451,$C404,'TL14'!$J$238:$J$451),0),
IF('TL15'!$B$3=O$3,SUMIF('TL15'!$C$10:$C$224,$C404,'TL15'!$J$10:$J$224),0),
IF('TL15'!$B$229=O$3,SUMIF('TL15'!$C$238:$C$451,$C404,'TL15'!$J$238:$J$451),0),
IF('TL16'!$B$3=O$3,SUMIF('TL16'!$C$10:$C$224,$C404,'TL16'!$J$10:$J$224),0),
IF('TL16'!$B$229=O$3,SUMIF('TL16'!$C$238:$C$451,$C404,'TL16'!$J$238:$J$451),0),
IF('TL17'!$B$3=O$3,SUMIF('TL17'!$C$10:$C$224,$C404,'TL17'!$J$10:$J$224),0),
IF('TL17'!$B$229=O$3,SUMIF('TL17'!$C$238:$C$451,$C404,'TL17'!$J$238:$J$451),0),
IF('TL18'!$B$3=O$3,SUMIF('TL18'!$C$10:$C$224,$C404,'TL18'!$J$10:$J$224),0),
IF('TL18'!$B$229=O$3,SUMIF('TL18'!$C$238:$C$451,$C404,'TL18'!$J$238:$J$451),0),
IF('TL19'!$B$3=O$3,SUMIF('TL19'!$C$10:$C$224,$C404,'TL19'!$J$10:$J$224),0),
IF('TL19'!$B$229=O$3,SUMIF('TL19'!$C$238:$C$451,$C404,'TL19'!$J$238:$J$451),0)
),0)</f>
        <v>44</v>
      </c>
      <c r="P404" s="136">
        <f>IFERROR(SUM(
IF('TL01'!$B$3=P$3,SUMIF('TL01'!$C$10:$C$224,$C404,'TL01'!$J$10:$J$224),0),
IF('TL01'!$B$229=P$3,SUMIF('TL01'!$C$238:$C$451,$C404,'TL01'!$J$238:$J$451),0),
IF('TL02'!$B$3=P$3,SUMIF('TL02'!$C$10:$C$224,$C404,'TL02'!$J$10:$J$224),0),
IF('TL02'!$B$229=P$3,SUMIF('TL02'!$C$238:$C$451,$C404,'TL02'!$J$238:$J$451),0),
IF('TL03'!$B$3=P$3,SUMIF('TL03'!$C$10:$C$224,$C404,'TL03'!$J$10:$J$224),0),
IF('TL03'!$B$229=P$3,SUMIF('TL03'!$C$238:$C$451,$C404,'TL03'!$J$238:$J$451),0),
IF('TL04'!$B$3=P$3,SUMIF('TL04'!$C$10:$C$224,$C404,'TL04'!$J$10:$J$224),0),
IF('TL04'!$B$229=P$3,SUMIF('TL04'!$C$238:$C$451,$C404,'TL04'!$J$238:$J$451),0),
IF('TL05'!$B$3=P$3,SUMIF('TL05'!$C$10:$C$224,$C404,'TL05'!$J$10:$J$224),0),
IF('TL05'!$B$229=P$3,SUMIF('TL05'!$C$238:$C$451,$C404,'TL05'!$J$238:$J$451),0),
IF('TL06'!$B$3=P$3,SUMIF('TL06'!$C$10:$C$224,$C404,'TL06'!$J$10:$J$224),0),
IF('TL06'!$B$229=P$3,SUMIF('TL06'!$C$238:$C$451,$C404,'TL06'!$J$238:$J$451),0),
IF('TL07'!$B$3=P$3,SUMIF('TL07'!$C$10:$C$224,$C404,'TL07'!$J$10:$J$224),0),
IF('TL07'!$B$229=P$3,SUMIF('TL07'!$C$238:$C$451,$C404,'TL07'!$J$238:$J$451),0),
IF('TL08'!$B$3=P$3,SUMIF('TL08'!$C$10:$C$224,$C404,'TL08'!$J$10:$J$224),0),
IF('TL08'!$B$229=P$3,SUMIF('TL08'!$C$238:$C$451,$C404,'TL08'!$J$238:$J$451),0),
IF('TL09'!$B$3=P$3,SUMIF('TL09'!$C$10:$C$224,$C404,'TL09'!$J$10:$J$224),0),
IF('TL09'!$B$229=P$3,SUMIF('TL09'!$C$238:$C$451,$C404,'TL09'!$J$238:$J$451),0),
IF('TL10'!$B$3=P$3,SUMIF('TL10'!$C$10:$C$224,$C404,'TL10'!$J$10:$J$224),0),
IF('TL10'!$B$229=P$3,SUMIF('TL10'!$C$238:$C$451,$C404,'TL10'!$J$238:$J$451),0),
IF('TL11'!$B$3=P$3,SUMIF('TL11'!$C$10:$C$224,$C404,'TL11'!$J$10:$J$224),0),
IF('TL11'!$B$229=P$3,SUMIF('TL11'!$C$238:$C$451,$C404,'TL11'!$J$238:$J$451),0),
IF('TL12'!$B$3=P$3,SUMIF('TL12'!$C$10:$C$224,$C404,'TL12'!$J$10:$J$224),0),
IF('TL12'!$B$229=P$3,SUMIF('TL12'!$C$238:$C$451,$C404,'TL12'!$J$238:$J$451),0),
IF('TL13'!$B$3=P$3,SUMIF('TL13'!$C$10:$C$224,$C404,'TL13'!$J$10:$J$224),0),
IF('TL13'!$B$229=P$3,SUMIF('TL13'!$C$238:$C$451,$C404,'TL13'!$J$238:$J$451),0),
IF('TL14'!$B$3=P$3,SUMIF('TL14'!$C$10:$C$224,$C404,'TL14'!$J$10:$J$224),0),
IF('TL14'!$B$229=P$3,SUMIF('TL14'!$C$238:$C$451,$C404,'TL14'!$J$238:$J$451),0),
IF('TL15'!$B$3=P$3,SUMIF('TL15'!$C$10:$C$224,$C404,'TL15'!$J$10:$J$224),0),
IF('TL15'!$B$229=P$3,SUMIF('TL15'!$C$238:$C$451,$C404,'TL15'!$J$238:$J$451),0),
IF('TL16'!$B$3=P$3,SUMIF('TL16'!$C$10:$C$224,$C404,'TL16'!$J$10:$J$224),0),
IF('TL16'!$B$229=P$3,SUMIF('TL16'!$C$238:$C$451,$C404,'TL16'!$J$238:$J$451),0),
IF('TL17'!$B$3=P$3,SUMIF('TL17'!$C$10:$C$224,$C404,'TL17'!$J$10:$J$224),0),
IF('TL17'!$B$229=P$3,SUMIF('TL17'!$C$238:$C$451,$C404,'TL17'!$J$238:$J$451),0),
IF('TL18'!$B$3=P$3,SUMIF('TL18'!$C$10:$C$224,$C404,'TL18'!$J$10:$J$224),0),
IF('TL18'!$B$229=P$3,SUMIF('TL18'!$C$238:$C$451,$C404,'TL18'!$J$238:$J$451),0),
IF('TL19'!$B$3=P$3,SUMIF('TL19'!$C$10:$C$224,$C404,'TL19'!$J$10:$J$224),0),
IF('TL19'!$B$229=P$3,SUMIF('TL19'!$C$238:$C$451,$C404,'TL19'!$J$238:$J$451),0)
),0)</f>
        <v>238.8235294</v>
      </c>
      <c r="Q404" s="136">
        <f>IFERROR(SUM(
IF('TL01'!$B$3=Q$3,SUMIF('TL01'!$C$10:$C$224,$C404,'TL01'!$J$10:$J$224),0),
IF('TL01'!$B$229=Q$3,SUMIF('TL01'!$C$238:$C$451,$C404,'TL01'!$J$238:$J$451),0),
IF('TL02'!$B$3=Q$3,SUMIF('TL02'!$C$10:$C$224,$C404,'TL02'!$J$10:$J$224),0),
IF('TL02'!$B$229=Q$3,SUMIF('TL02'!$C$238:$C$451,$C404,'TL02'!$J$238:$J$451),0),
IF('TL03'!$B$3=Q$3,SUMIF('TL03'!$C$10:$C$224,$C404,'TL03'!$J$10:$J$224),0),
IF('TL03'!$B$229=Q$3,SUMIF('TL03'!$C$238:$C$451,$C404,'TL03'!$J$238:$J$451),0),
IF('TL04'!$B$3=Q$3,SUMIF('TL04'!$C$10:$C$224,$C404,'TL04'!$J$10:$J$224),0),
IF('TL04'!$B$229=Q$3,SUMIF('TL04'!$C$238:$C$451,$C404,'TL04'!$J$238:$J$451),0),
IF('TL05'!$B$3=Q$3,SUMIF('TL05'!$C$10:$C$224,$C404,'TL05'!$J$10:$J$224),0),
IF('TL05'!$B$229=Q$3,SUMIF('TL05'!$C$238:$C$451,$C404,'TL05'!$J$238:$J$451),0),
IF('TL06'!$B$3=Q$3,SUMIF('TL06'!$C$10:$C$224,$C404,'TL06'!$J$10:$J$224),0),
IF('TL06'!$B$229=Q$3,SUMIF('TL06'!$C$238:$C$451,$C404,'TL06'!$J$238:$J$451),0),
IF('TL07'!$B$3=Q$3,SUMIF('TL07'!$C$10:$C$224,$C404,'TL07'!$J$10:$J$224),0),
IF('TL07'!$B$229=Q$3,SUMIF('TL07'!$C$238:$C$451,$C404,'TL07'!$J$238:$J$451),0),
IF('TL08'!$B$3=Q$3,SUMIF('TL08'!$C$10:$C$224,$C404,'TL08'!$J$10:$J$224),0),
IF('TL08'!$B$229=Q$3,SUMIF('TL08'!$C$238:$C$451,$C404,'TL08'!$J$238:$J$451),0),
IF('TL09'!$B$3=Q$3,SUMIF('TL09'!$C$10:$C$224,$C404,'TL09'!$J$10:$J$224),0),
IF('TL09'!$B$229=Q$3,SUMIF('TL09'!$C$238:$C$451,$C404,'TL09'!$J$238:$J$451),0),
IF('TL10'!$B$3=Q$3,SUMIF('TL10'!$C$10:$C$224,$C404,'TL10'!$J$10:$J$224),0),
IF('TL10'!$B$229=Q$3,SUMIF('TL10'!$C$238:$C$451,$C404,'TL10'!$J$238:$J$451),0),
IF('TL11'!$B$3=Q$3,SUMIF('TL11'!$C$10:$C$224,$C404,'TL11'!$J$10:$J$224),0),
IF('TL11'!$B$229=Q$3,SUMIF('TL11'!$C$238:$C$451,$C404,'TL11'!$J$238:$J$451),0),
IF('TL12'!$B$3=Q$3,SUMIF('TL12'!$C$10:$C$224,$C404,'TL12'!$J$10:$J$224),0),
IF('TL12'!$B$229=Q$3,SUMIF('TL12'!$C$238:$C$451,$C404,'TL12'!$J$238:$J$451),0),
IF('TL13'!$B$3=Q$3,SUMIF('TL13'!$C$10:$C$224,$C404,'TL13'!$J$10:$J$224),0),
IF('TL13'!$B$229=Q$3,SUMIF('TL13'!$C$238:$C$451,$C404,'TL13'!$J$238:$J$451),0),
IF('TL14'!$B$3=Q$3,SUMIF('TL14'!$C$10:$C$224,$C404,'TL14'!$J$10:$J$224),0),
IF('TL14'!$B$229=Q$3,SUMIF('TL14'!$C$238:$C$451,$C404,'TL14'!$J$238:$J$451),0),
IF('TL15'!$B$3=Q$3,SUMIF('TL15'!$C$10:$C$224,$C404,'TL15'!$J$10:$J$224),0),
IF('TL15'!$B$229=Q$3,SUMIF('TL15'!$C$238:$C$451,$C404,'TL15'!$J$238:$J$451),0),
IF('TL16'!$B$3=Q$3,SUMIF('TL16'!$C$10:$C$224,$C404,'TL16'!$J$10:$J$224),0),
IF('TL16'!$B$229=Q$3,SUMIF('TL16'!$C$238:$C$451,$C404,'TL16'!$J$238:$J$451),0),
IF('TL17'!$B$3=Q$3,SUMIF('TL17'!$C$10:$C$224,$C404,'TL17'!$J$10:$J$224),0),
IF('TL17'!$B$229=Q$3,SUMIF('TL17'!$C$238:$C$451,$C404,'TL17'!$J$238:$J$451),0),
IF('TL18'!$B$3=Q$3,SUMIF('TL18'!$C$10:$C$224,$C404,'TL18'!$J$10:$J$224),0),
IF('TL18'!$B$229=Q$3,SUMIF('TL18'!$C$238:$C$451,$C404,'TL18'!$J$238:$J$451),0),
IF('TL19'!$B$3=Q$3,SUMIF('TL19'!$C$10:$C$224,$C404,'TL19'!$J$10:$J$224),0),
IF('TL19'!$B$229=Q$3,SUMIF('TL19'!$C$238:$C$451,$C404,'TL19'!$J$238:$J$451),0)
),0)</f>
        <v>62.74509804</v>
      </c>
      <c r="R404" s="139">
        <f>IFERROR(
SUM(
SUMIF('TL01'!C:C,C404,'TL01'!J:J),
SUMIF('TL02'!C:C,C404,'TL02'!I:I),
SUMIF('TL03'!C:C,C404,'TL03'!I:I),
SUMIF('TL04'!C:C,C404,'TL04'!I:I),
SUMIF('TL05'!C:C,C404,'TL05'!I:I),
SUMIF('TL06'!C:C,C404,'TL06'!I:I),
SUMIF('TL07'!C:C,C404,'TL07'!I:I),
SUMIF('TL08'!C:C,C404,'TL08'!I:I),
SUMIF('TL09'!C:C,C404,'TL09'!I:I),
SUMIF('TL10'!C:C,C404,'TL10'!I:I),
SUMIF('TL11'!C:C,C404,'TL11'!I:I),
SUMIF('TL12'!C:C,C404,'TL12'!I:I),
SUMIF('TL13'!C:C,C404,'TL13'!I:I),
SUMIF('TL14'!C:C,C404,'TL14'!I:I),
SUMIF('TL15'!C:C,C404,'TL15'!I:I),
SUMIF('TL16'!C:C,C404,'TL16'!I:I),
SUMIF('TL17'!C:C,C404,'TL17'!I:I),
SUMIF('TL18'!C:C,C404,'TL18'!I:I))
,0)</f>
        <v>56.32745098</v>
      </c>
      <c r="S404" s="142">
        <f>'CUSTO OPERAÇÃO'!M8</f>
        <v>112.5</v>
      </c>
      <c r="T404" s="139"/>
      <c r="U404" s="143">
        <f t="shared" si="2"/>
        <v>56.32745098</v>
      </c>
      <c r="V404" s="144">
        <f t="shared" si="3"/>
        <v>6336.838235</v>
      </c>
    </row>
    <row r="405" ht="15.75" hidden="1" customHeight="1">
      <c r="A405" s="145"/>
      <c r="B405" s="146" t="s">
        <v>10</v>
      </c>
      <c r="C405" s="147" t="str">
        <f>'CUSTO OPERAÇÃO'!D9</f>
        <v>VOLVO NH380 + CAÇAMBA 430SC</v>
      </c>
      <c r="D405" s="147"/>
      <c r="E405" s="148"/>
      <c r="F405" s="138" t="s">
        <v>1133</v>
      </c>
      <c r="G405" s="139"/>
      <c r="H405" s="140">
        <f>'CUSTO OPERAÇÃO'!J9</f>
        <v>0.001367989056</v>
      </c>
      <c r="I405" s="149"/>
      <c r="J405" s="147">
        <f>IFERROR(SUM(
IF('TL01'!$B$3=J$3,SUMIF('TL01'!$C$10:$C$224,$C405,'TL01'!$J$10:$J$224),0),
IF('TL01'!$B$229=J$3,SUMIF('TL01'!$C$238:$C$451,$C405,'TL01'!$J$238:$J$451),0),
IF('TL02'!$B$3=J$3,SUMIF('TL02'!$C$10:$C$224,$C405,'TL02'!$J$10:$J$224),0),
IF('TL02'!$B$229=J$3,SUMIF('TL02'!$C$238:$C$451,$C405,'TL02'!$J$238:$J$451),0),
IF('TL03'!$B$3=J$3,SUMIF('TL03'!$C$10:$C$224,$C405,'TL03'!$J$10:$J$224),0),
IF('TL03'!$B$229=J$3,SUMIF('TL03'!$C$238:$C$451,$C405,'TL03'!$J$238:$J$451),0),
IF('TL04'!$B$3=J$3,SUMIF('TL04'!$C$10:$C$224,$C405,'TL04'!$J$10:$J$224),0),
IF('TL04'!$B$229=J$3,SUMIF('TL04'!$C$238:$C$451,$C405,'TL04'!$J$238:$J$451),0),
IF('TL05'!$B$3=J$3,SUMIF('TL05'!$C$10:$C$224,$C405,'TL05'!$J$10:$J$224),0),
IF('TL05'!$B$229=J$3,SUMIF('TL05'!$C$238:$C$451,$C405,'TL05'!$J$238:$J$451),0),
IF('TL06'!$B$3=J$3,SUMIF('TL06'!$C$10:$C$224,$C405,'TL06'!$J$10:$J$224),0),
IF('TL06'!$B$229=J$3,SUMIF('TL06'!$C$238:$C$451,$C405,'TL06'!$J$238:$J$451),0),
IF('TL07'!$B$3=J$3,SUMIF('TL07'!$C$10:$C$224,$C405,'TL07'!$J$10:$J$224),0),
IF('TL07'!$B$229=J$3,SUMIF('TL07'!$C$238:$C$451,$C405,'TL07'!$J$238:$J$451),0),
IF('TL08'!$B$3=J$3,SUMIF('TL08'!$C$10:$C$224,$C405,'TL08'!$J$10:$J$224),0),
IF('TL08'!$B$229=J$3,SUMIF('TL08'!$C$238:$C$451,$C405,'TL08'!$J$238:$J$451),0),
IF('TL09'!$B$3=J$3,SUMIF('TL09'!$C$10:$C$224,$C405,'TL09'!$J$10:$J$224),0),
IF('TL09'!$B$229=J$3,SUMIF('TL09'!$C$238:$C$451,$C405,'TL09'!$J$238:$J$451),0),
IF('TL10'!$B$3=J$3,SUMIF('TL10'!$C$10:$C$224,$C405,'TL10'!$J$10:$J$224),0),
IF('TL10'!$B$229=J$3,SUMIF('TL10'!$C$238:$C$451,$C405,'TL10'!$J$238:$J$451),0),
IF('TL11'!$B$3=J$3,SUMIF('TL11'!$C$10:$C$224,$C405,'TL11'!$J$10:$J$224),0),
IF('TL11'!$B$229=J$3,SUMIF('TL11'!$C$238:$C$451,$C405,'TL11'!$J$238:$J$451),0),
IF('TL12'!$B$3=J$3,SUMIF('TL12'!$C$10:$C$224,$C405,'TL12'!$J$10:$J$224),0),
IF('TL12'!$B$229=J$3,SUMIF('TL12'!$C$238:$C$451,$C405,'TL12'!$J$238:$J$451),0),
IF('TL13'!$B$3=J$3,SUMIF('TL13'!$C$10:$C$224,$C405,'TL13'!$J$10:$J$224),0),
IF('TL13'!$B$229=J$3,SUMIF('TL13'!$C$238:$C$451,$C405,'TL13'!$J$238:$J$451),0),
IF('TL14'!$B$3=J$3,SUMIF('TL14'!$C$10:$C$224,$C405,'TL14'!$J$10:$J$224),0),
IF('TL14'!$B$229=J$3,SUMIF('TL14'!$C$238:$C$451,$C405,'TL14'!$J$238:$J$451),0),
IF('TL15'!$B$3=J$3,SUMIF('TL15'!$C$10:$C$224,$C405,'TL15'!$J$10:$J$224),0),
IF('TL15'!$B$229=J$3,SUMIF('TL15'!$C$238:$C$451,$C405,'TL15'!$J$238:$J$451),0),
IF('TL16'!$B$3=J$3,SUMIF('TL16'!$C$10:$C$224,$C405,'TL16'!$J$10:$J$224),0),
IF('TL16'!$B$229=J$3,SUMIF('TL16'!$C$238:$C$451,$C405,'TL16'!$J$238:$J$451),0),
IF('TL17'!$B$3=J$3,SUMIF('TL17'!$C$10:$C$224,$C405,'TL17'!$J$10:$J$224),0),
IF('TL17'!$B$229=J$3,SUMIF('TL17'!$C$238:$C$451,$C405,'TL17'!$J$238:$J$451),0),
IF('TL18'!$B$3=J$3,SUMIF('TL18'!$C$10:$C$224,$C405,'TL18'!$J$10:$J$224),0),
IF('TL18'!$B$229=J$3,SUMIF('TL18'!$C$238:$C$451,$C405,'TL18'!$J$238:$J$451),0),
IF('TL19'!$B$3=J$3,SUMIF('TL19'!$C$10:$C$224,$C405,'TL19'!$J$10:$J$224),0),
IF('TL19'!$B$229=J$3,SUMIF('TL19'!$C$238:$C$451,$C405,'TL19'!$J$238:$J$451),0)
),0)</f>
        <v>0</v>
      </c>
      <c r="K405" s="147">
        <f>IFERROR(SUM(
IF('TL01'!$B$3=K$3,SUMIF('TL01'!$C$10:$C$224,$C405,'TL01'!$J$10:$J$224),0),
IF('TL01'!$B$229=K$3,SUMIF('TL01'!$C$238:$C$451,$C405,'TL01'!$J$238:$J$451),0),
IF('TL02'!$B$3=K$3,SUMIF('TL02'!$C$10:$C$224,$C405,'TL02'!$J$10:$J$224),0),
IF('TL02'!$B$229=K$3,SUMIF('TL02'!$C$238:$C$451,$C405,'TL02'!$J$238:$J$451),0),
IF('TL03'!$B$3=K$3,SUMIF('TL03'!$C$10:$C$224,$C405,'TL03'!$J$10:$J$224),0),
IF('TL03'!$B$229=K$3,SUMIF('TL03'!$C$238:$C$451,$C405,'TL03'!$J$238:$J$451),0),
IF('TL04'!$B$3=K$3,SUMIF('TL04'!$C$10:$C$224,$C405,'TL04'!$J$10:$J$224),0),
IF('TL04'!$B$229=K$3,SUMIF('TL04'!$C$238:$C$451,$C405,'TL04'!$J$238:$J$451),0),
IF('TL05'!$B$3=K$3,SUMIF('TL05'!$C$10:$C$224,$C405,'TL05'!$J$10:$J$224),0),
IF('TL05'!$B$229=K$3,SUMIF('TL05'!$C$238:$C$451,$C405,'TL05'!$J$238:$J$451),0),
IF('TL06'!$B$3=K$3,SUMIF('TL06'!$C$10:$C$224,$C405,'TL06'!$J$10:$J$224),0),
IF('TL06'!$B$229=K$3,SUMIF('TL06'!$C$238:$C$451,$C405,'TL06'!$J$238:$J$451),0),
IF('TL07'!$B$3=K$3,SUMIF('TL07'!$C$10:$C$224,$C405,'TL07'!$J$10:$J$224),0),
IF('TL07'!$B$229=K$3,SUMIF('TL07'!$C$238:$C$451,$C405,'TL07'!$J$238:$J$451),0),
IF('TL08'!$B$3=K$3,SUMIF('TL08'!$C$10:$C$224,$C405,'TL08'!$J$10:$J$224),0),
IF('TL08'!$B$229=K$3,SUMIF('TL08'!$C$238:$C$451,$C405,'TL08'!$J$238:$J$451),0),
IF('TL09'!$B$3=K$3,SUMIF('TL09'!$C$10:$C$224,$C405,'TL09'!$J$10:$J$224),0),
IF('TL09'!$B$229=K$3,SUMIF('TL09'!$C$238:$C$451,$C405,'TL09'!$J$238:$J$451),0),
IF('TL10'!$B$3=K$3,SUMIF('TL10'!$C$10:$C$224,$C405,'TL10'!$J$10:$J$224),0),
IF('TL10'!$B$229=K$3,SUMIF('TL10'!$C$238:$C$451,$C405,'TL10'!$J$238:$J$451),0),
IF('TL11'!$B$3=K$3,SUMIF('TL11'!$C$10:$C$224,$C405,'TL11'!$J$10:$J$224),0),
IF('TL11'!$B$229=K$3,SUMIF('TL11'!$C$238:$C$451,$C405,'TL11'!$J$238:$J$451),0),
IF('TL12'!$B$3=K$3,SUMIF('TL12'!$C$10:$C$224,$C405,'TL12'!$J$10:$J$224),0),
IF('TL12'!$B$229=K$3,SUMIF('TL12'!$C$238:$C$451,$C405,'TL12'!$J$238:$J$451),0),
IF('TL13'!$B$3=K$3,SUMIF('TL13'!$C$10:$C$224,$C405,'TL13'!$J$10:$J$224),0),
IF('TL13'!$B$229=K$3,SUMIF('TL13'!$C$238:$C$451,$C405,'TL13'!$J$238:$J$451),0),
IF('TL14'!$B$3=K$3,SUMIF('TL14'!$C$10:$C$224,$C405,'TL14'!$J$10:$J$224),0),
IF('TL14'!$B$229=K$3,SUMIF('TL14'!$C$238:$C$451,$C405,'TL14'!$J$238:$J$451),0),
IF('TL15'!$B$3=K$3,SUMIF('TL15'!$C$10:$C$224,$C405,'TL15'!$J$10:$J$224),0),
IF('TL15'!$B$229=K$3,SUMIF('TL15'!$C$238:$C$451,$C405,'TL15'!$J$238:$J$451),0),
IF('TL16'!$B$3=K$3,SUMIF('TL16'!$C$10:$C$224,$C405,'TL16'!$J$10:$J$224),0),
IF('TL16'!$B$229=K$3,SUMIF('TL16'!$C$238:$C$451,$C405,'TL16'!$J$238:$J$451),0),
IF('TL17'!$B$3=K$3,SUMIF('TL17'!$C$10:$C$224,$C405,'TL17'!$J$10:$J$224),0),
IF('TL17'!$B$229=K$3,SUMIF('TL17'!$C$238:$C$451,$C405,'TL17'!$J$238:$J$451),0),
IF('TL18'!$B$3=K$3,SUMIF('TL18'!$C$10:$C$224,$C405,'TL18'!$J$10:$J$224),0),
IF('TL18'!$B$229=K$3,SUMIF('TL18'!$C$238:$C$451,$C405,'TL18'!$J$238:$J$451),0),
IF('TL19'!$B$3=K$3,SUMIF('TL19'!$C$10:$C$224,$C405,'TL19'!$J$10:$J$224),0),
IF('TL19'!$B$229=K$3,SUMIF('TL19'!$C$238:$C$451,$C405,'TL19'!$J$238:$J$451),0)
),0)</f>
        <v>30</v>
      </c>
      <c r="L405" s="147">
        <f>IFERROR(SUM(
IF('TL01'!$B$3=L$3,SUMIF('TL01'!$C$10:$C$224,$C405,'TL01'!$J$10:$J$224),0),
IF('TL01'!$B$229=L$3,SUMIF('TL01'!$C$238:$C$451,$C405,'TL01'!$J$238:$J$451),0),
IF('TL02'!$B$3=L$3,SUMIF('TL02'!$C$10:$C$224,$C405,'TL02'!$J$10:$J$224),0),
IF('TL02'!$B$229=L$3,SUMIF('TL02'!$C$238:$C$451,$C405,'TL02'!$J$238:$J$451),0),
IF('TL03'!$B$3=L$3,SUMIF('TL03'!$C$10:$C$224,$C405,'TL03'!$J$10:$J$224),0),
IF('TL03'!$B$229=L$3,SUMIF('TL03'!$C$238:$C$451,$C405,'TL03'!$J$238:$J$451),0),
IF('TL04'!$B$3=L$3,SUMIF('TL04'!$C$10:$C$224,$C405,'TL04'!$J$10:$J$224),0),
IF('TL04'!$B$229=L$3,SUMIF('TL04'!$C$238:$C$451,$C405,'TL04'!$J$238:$J$451),0),
IF('TL05'!$B$3=L$3,SUMIF('TL05'!$C$10:$C$224,$C405,'TL05'!$J$10:$J$224),0),
IF('TL05'!$B$229=L$3,SUMIF('TL05'!$C$238:$C$451,$C405,'TL05'!$J$238:$J$451),0),
IF('TL06'!$B$3=L$3,SUMIF('TL06'!$C$10:$C$224,$C405,'TL06'!$J$10:$J$224),0),
IF('TL06'!$B$229=L$3,SUMIF('TL06'!$C$238:$C$451,$C405,'TL06'!$J$238:$J$451),0),
IF('TL07'!$B$3=L$3,SUMIF('TL07'!$C$10:$C$224,$C405,'TL07'!$J$10:$J$224),0),
IF('TL07'!$B$229=L$3,SUMIF('TL07'!$C$238:$C$451,$C405,'TL07'!$J$238:$J$451),0),
IF('TL08'!$B$3=L$3,SUMIF('TL08'!$C$10:$C$224,$C405,'TL08'!$J$10:$J$224),0),
IF('TL08'!$B$229=L$3,SUMIF('TL08'!$C$238:$C$451,$C405,'TL08'!$J$238:$J$451),0),
IF('TL09'!$B$3=L$3,SUMIF('TL09'!$C$10:$C$224,$C405,'TL09'!$J$10:$J$224),0),
IF('TL09'!$B$229=L$3,SUMIF('TL09'!$C$238:$C$451,$C405,'TL09'!$J$238:$J$451),0),
IF('TL10'!$B$3=L$3,SUMIF('TL10'!$C$10:$C$224,$C405,'TL10'!$J$10:$J$224),0),
IF('TL10'!$B$229=L$3,SUMIF('TL10'!$C$238:$C$451,$C405,'TL10'!$J$238:$J$451),0),
IF('TL11'!$B$3=L$3,SUMIF('TL11'!$C$10:$C$224,$C405,'TL11'!$J$10:$J$224),0),
IF('TL11'!$B$229=L$3,SUMIF('TL11'!$C$238:$C$451,$C405,'TL11'!$J$238:$J$451),0),
IF('TL12'!$B$3=L$3,SUMIF('TL12'!$C$10:$C$224,$C405,'TL12'!$J$10:$J$224),0),
IF('TL12'!$B$229=L$3,SUMIF('TL12'!$C$238:$C$451,$C405,'TL12'!$J$238:$J$451),0),
IF('TL13'!$B$3=L$3,SUMIF('TL13'!$C$10:$C$224,$C405,'TL13'!$J$10:$J$224),0),
IF('TL13'!$B$229=L$3,SUMIF('TL13'!$C$238:$C$451,$C405,'TL13'!$J$238:$J$451),0),
IF('TL14'!$B$3=L$3,SUMIF('TL14'!$C$10:$C$224,$C405,'TL14'!$J$10:$J$224),0),
IF('TL14'!$B$229=L$3,SUMIF('TL14'!$C$238:$C$451,$C405,'TL14'!$J$238:$J$451),0),
IF('TL15'!$B$3=L$3,SUMIF('TL15'!$C$10:$C$224,$C405,'TL15'!$J$10:$J$224),0),
IF('TL15'!$B$229=L$3,SUMIF('TL15'!$C$238:$C$451,$C405,'TL15'!$J$238:$J$451),0),
IF('TL16'!$B$3=L$3,SUMIF('TL16'!$C$10:$C$224,$C405,'TL16'!$J$10:$J$224),0),
IF('TL16'!$B$229=L$3,SUMIF('TL16'!$C$238:$C$451,$C405,'TL16'!$J$238:$J$451),0),
IF('TL17'!$B$3=L$3,SUMIF('TL17'!$C$10:$C$224,$C405,'TL17'!$J$10:$J$224),0),
IF('TL17'!$B$229=L$3,SUMIF('TL17'!$C$238:$C$451,$C405,'TL17'!$J$238:$J$451),0),
IF('TL18'!$B$3=L$3,SUMIF('TL18'!$C$10:$C$224,$C405,'TL18'!$J$10:$J$224),0),
IF('TL18'!$B$229=L$3,SUMIF('TL18'!$C$238:$C$451,$C405,'TL18'!$J$238:$J$451),0),
IF('TL19'!$B$3=L$3,SUMIF('TL19'!$C$10:$C$224,$C405,'TL19'!$J$10:$J$224),0),
IF('TL19'!$B$229=L$3,SUMIF('TL19'!$C$238:$C$451,$C405,'TL19'!$J$238:$J$451),0)
),0)</f>
        <v>22</v>
      </c>
      <c r="M405" s="147">
        <f>IFERROR(SUM(
IF('TL01'!$B$3=M$3,SUMIF('TL01'!$C$10:$C$224,$C405,'TL01'!$J$10:$J$224),0),
IF('TL01'!$B$229=M$3,SUMIF('TL01'!$C$238:$C$451,$C405,'TL01'!$J$238:$J$451),0),
IF('TL02'!$B$3=M$3,SUMIF('TL02'!$C$10:$C$224,$C405,'TL02'!$J$10:$J$224),0),
IF('TL02'!$B$229=M$3,SUMIF('TL02'!$C$238:$C$451,$C405,'TL02'!$J$238:$J$451),0),
IF('TL03'!$B$3=M$3,SUMIF('TL03'!$C$10:$C$224,$C405,'TL03'!$J$10:$J$224),0),
IF('TL03'!$B$229=M$3,SUMIF('TL03'!$C$238:$C$451,$C405,'TL03'!$J$238:$J$451),0),
IF('TL04'!$B$3=M$3,SUMIF('TL04'!$C$10:$C$224,$C405,'TL04'!$J$10:$J$224),0),
IF('TL04'!$B$229=M$3,SUMIF('TL04'!$C$238:$C$451,$C405,'TL04'!$J$238:$J$451),0),
IF('TL05'!$B$3=M$3,SUMIF('TL05'!$C$10:$C$224,$C405,'TL05'!$J$10:$J$224),0),
IF('TL05'!$B$229=M$3,SUMIF('TL05'!$C$238:$C$451,$C405,'TL05'!$J$238:$J$451),0),
IF('TL06'!$B$3=M$3,SUMIF('TL06'!$C$10:$C$224,$C405,'TL06'!$J$10:$J$224),0),
IF('TL06'!$B$229=M$3,SUMIF('TL06'!$C$238:$C$451,$C405,'TL06'!$J$238:$J$451),0),
IF('TL07'!$B$3=M$3,SUMIF('TL07'!$C$10:$C$224,$C405,'TL07'!$J$10:$J$224),0),
IF('TL07'!$B$229=M$3,SUMIF('TL07'!$C$238:$C$451,$C405,'TL07'!$J$238:$J$451),0),
IF('TL08'!$B$3=M$3,SUMIF('TL08'!$C$10:$C$224,$C405,'TL08'!$J$10:$J$224),0),
IF('TL08'!$B$229=M$3,SUMIF('TL08'!$C$238:$C$451,$C405,'TL08'!$J$238:$J$451),0),
IF('TL09'!$B$3=M$3,SUMIF('TL09'!$C$10:$C$224,$C405,'TL09'!$J$10:$J$224),0),
IF('TL09'!$B$229=M$3,SUMIF('TL09'!$C$238:$C$451,$C405,'TL09'!$J$238:$J$451),0),
IF('TL10'!$B$3=M$3,SUMIF('TL10'!$C$10:$C$224,$C405,'TL10'!$J$10:$J$224),0),
IF('TL10'!$B$229=M$3,SUMIF('TL10'!$C$238:$C$451,$C405,'TL10'!$J$238:$J$451),0),
IF('TL11'!$B$3=M$3,SUMIF('TL11'!$C$10:$C$224,$C405,'TL11'!$J$10:$J$224),0),
IF('TL11'!$B$229=M$3,SUMIF('TL11'!$C$238:$C$451,$C405,'TL11'!$J$238:$J$451),0),
IF('TL12'!$B$3=M$3,SUMIF('TL12'!$C$10:$C$224,$C405,'TL12'!$J$10:$J$224),0),
IF('TL12'!$B$229=M$3,SUMIF('TL12'!$C$238:$C$451,$C405,'TL12'!$J$238:$J$451),0),
IF('TL13'!$B$3=M$3,SUMIF('TL13'!$C$10:$C$224,$C405,'TL13'!$J$10:$J$224),0),
IF('TL13'!$B$229=M$3,SUMIF('TL13'!$C$238:$C$451,$C405,'TL13'!$J$238:$J$451),0),
IF('TL14'!$B$3=M$3,SUMIF('TL14'!$C$10:$C$224,$C405,'TL14'!$J$10:$J$224),0),
IF('TL14'!$B$229=M$3,SUMIF('TL14'!$C$238:$C$451,$C405,'TL14'!$J$238:$J$451),0),
IF('TL15'!$B$3=M$3,SUMIF('TL15'!$C$10:$C$224,$C405,'TL15'!$J$10:$J$224),0),
IF('TL15'!$B$229=M$3,SUMIF('TL15'!$C$238:$C$451,$C405,'TL15'!$J$238:$J$451),0),
IF('TL16'!$B$3=M$3,SUMIF('TL16'!$C$10:$C$224,$C405,'TL16'!$J$10:$J$224),0),
IF('TL16'!$B$229=M$3,SUMIF('TL16'!$C$238:$C$451,$C405,'TL16'!$J$238:$J$451),0),
IF('TL17'!$B$3=M$3,SUMIF('TL17'!$C$10:$C$224,$C405,'TL17'!$J$10:$J$224),0),
IF('TL17'!$B$229=M$3,SUMIF('TL17'!$C$238:$C$451,$C405,'TL17'!$J$238:$J$451),0),
IF('TL18'!$B$3=M$3,SUMIF('TL18'!$C$10:$C$224,$C405,'TL18'!$J$10:$J$224),0),
IF('TL18'!$B$229=M$3,SUMIF('TL18'!$C$238:$C$451,$C405,'TL18'!$J$238:$J$451),0),
IF('TL19'!$B$3=M$3,SUMIF('TL19'!$C$10:$C$224,$C405,'TL19'!$J$10:$J$224),0),
IF('TL19'!$B$229=M$3,SUMIF('TL19'!$C$238:$C$451,$C405,'TL19'!$J$238:$J$451),0)
),0)</f>
        <v>0</v>
      </c>
      <c r="N405" s="147">
        <f>IFERROR(SUM(
IF('TL01'!$B$3=N$3,SUMIF('TL01'!$C$10:$C$224,$C405,'TL01'!$J$10:$J$224),0),
IF('TL01'!$B$229=N$3,SUMIF('TL01'!$C$238:$C$451,$C405,'TL01'!$J$238:$J$451),0),
IF('TL02'!$B$3=N$3,SUMIF('TL02'!$C$10:$C$224,$C405,'TL02'!$J$10:$J$224),0),
IF('TL02'!$B$229=N$3,SUMIF('TL02'!$C$238:$C$451,$C405,'TL02'!$J$238:$J$451),0),
IF('TL03'!$B$3=N$3,SUMIF('TL03'!$C$10:$C$224,$C405,'TL03'!$J$10:$J$224),0),
IF('TL03'!$B$229=N$3,SUMIF('TL03'!$C$238:$C$451,$C405,'TL03'!$J$238:$J$451),0),
IF('TL04'!$B$3=N$3,SUMIF('TL04'!$C$10:$C$224,$C405,'TL04'!$J$10:$J$224),0),
IF('TL04'!$B$229=N$3,SUMIF('TL04'!$C$238:$C$451,$C405,'TL04'!$J$238:$J$451),0),
IF('TL05'!$B$3=N$3,SUMIF('TL05'!$C$10:$C$224,$C405,'TL05'!$J$10:$J$224),0),
IF('TL05'!$B$229=N$3,SUMIF('TL05'!$C$238:$C$451,$C405,'TL05'!$J$238:$J$451),0),
IF('TL06'!$B$3=N$3,SUMIF('TL06'!$C$10:$C$224,$C405,'TL06'!$J$10:$J$224),0),
IF('TL06'!$B$229=N$3,SUMIF('TL06'!$C$238:$C$451,$C405,'TL06'!$J$238:$J$451),0),
IF('TL07'!$B$3=N$3,SUMIF('TL07'!$C$10:$C$224,$C405,'TL07'!$J$10:$J$224),0),
IF('TL07'!$B$229=N$3,SUMIF('TL07'!$C$238:$C$451,$C405,'TL07'!$J$238:$J$451),0),
IF('TL08'!$B$3=N$3,SUMIF('TL08'!$C$10:$C$224,$C405,'TL08'!$J$10:$J$224),0),
IF('TL08'!$B$229=N$3,SUMIF('TL08'!$C$238:$C$451,$C405,'TL08'!$J$238:$J$451),0),
IF('TL09'!$B$3=N$3,SUMIF('TL09'!$C$10:$C$224,$C405,'TL09'!$J$10:$J$224),0),
IF('TL09'!$B$229=N$3,SUMIF('TL09'!$C$238:$C$451,$C405,'TL09'!$J$238:$J$451),0),
IF('TL10'!$B$3=N$3,SUMIF('TL10'!$C$10:$C$224,$C405,'TL10'!$J$10:$J$224),0),
IF('TL10'!$B$229=N$3,SUMIF('TL10'!$C$238:$C$451,$C405,'TL10'!$J$238:$J$451),0),
IF('TL11'!$B$3=N$3,SUMIF('TL11'!$C$10:$C$224,$C405,'TL11'!$J$10:$J$224),0),
IF('TL11'!$B$229=N$3,SUMIF('TL11'!$C$238:$C$451,$C405,'TL11'!$J$238:$J$451),0),
IF('TL12'!$B$3=N$3,SUMIF('TL12'!$C$10:$C$224,$C405,'TL12'!$J$10:$J$224),0),
IF('TL12'!$B$229=N$3,SUMIF('TL12'!$C$238:$C$451,$C405,'TL12'!$J$238:$J$451),0),
IF('TL13'!$B$3=N$3,SUMIF('TL13'!$C$10:$C$224,$C405,'TL13'!$J$10:$J$224),0),
IF('TL13'!$B$229=N$3,SUMIF('TL13'!$C$238:$C$451,$C405,'TL13'!$J$238:$J$451),0),
IF('TL14'!$B$3=N$3,SUMIF('TL14'!$C$10:$C$224,$C405,'TL14'!$J$10:$J$224),0),
IF('TL14'!$B$229=N$3,SUMIF('TL14'!$C$238:$C$451,$C405,'TL14'!$J$238:$J$451),0),
IF('TL15'!$B$3=N$3,SUMIF('TL15'!$C$10:$C$224,$C405,'TL15'!$J$10:$J$224),0),
IF('TL15'!$B$229=N$3,SUMIF('TL15'!$C$238:$C$451,$C405,'TL15'!$J$238:$J$451),0),
IF('TL16'!$B$3=N$3,SUMIF('TL16'!$C$10:$C$224,$C405,'TL16'!$J$10:$J$224),0),
IF('TL16'!$B$229=N$3,SUMIF('TL16'!$C$238:$C$451,$C405,'TL16'!$J$238:$J$451),0),
IF('TL17'!$B$3=N$3,SUMIF('TL17'!$C$10:$C$224,$C405,'TL17'!$J$10:$J$224),0),
IF('TL17'!$B$229=N$3,SUMIF('TL17'!$C$238:$C$451,$C405,'TL17'!$J$238:$J$451),0),
IF('TL18'!$B$3=N$3,SUMIF('TL18'!$C$10:$C$224,$C405,'TL18'!$J$10:$J$224),0),
IF('TL18'!$B$229=N$3,SUMIF('TL18'!$C$238:$C$451,$C405,'TL18'!$J$238:$J$451),0),
IF('TL19'!$B$3=N$3,SUMIF('TL19'!$C$10:$C$224,$C405,'TL19'!$J$10:$J$224),0),
IF('TL19'!$B$229=N$3,SUMIF('TL19'!$C$238:$C$451,$C405,'TL19'!$J$238:$J$451),0)
),0)</f>
        <v>0</v>
      </c>
      <c r="O405" s="147">
        <f>IFERROR(SUM(
IF('TL01'!$B$3=O$3,SUMIF('TL01'!$C$10:$C$224,$C405,'TL01'!$J$10:$J$224),0),
IF('TL01'!$B$229=O$3,SUMIF('TL01'!$C$238:$C$451,$C405,'TL01'!$J$238:$J$451),0),
IF('TL02'!$B$3=O$3,SUMIF('TL02'!$C$10:$C$224,$C405,'TL02'!$J$10:$J$224),0),
IF('TL02'!$B$229=O$3,SUMIF('TL02'!$C$238:$C$451,$C405,'TL02'!$J$238:$J$451),0),
IF('TL03'!$B$3=O$3,SUMIF('TL03'!$C$10:$C$224,$C405,'TL03'!$J$10:$J$224),0),
IF('TL03'!$B$229=O$3,SUMIF('TL03'!$C$238:$C$451,$C405,'TL03'!$J$238:$J$451),0),
IF('TL04'!$B$3=O$3,SUMIF('TL04'!$C$10:$C$224,$C405,'TL04'!$J$10:$J$224),0),
IF('TL04'!$B$229=O$3,SUMIF('TL04'!$C$238:$C$451,$C405,'TL04'!$J$238:$J$451),0),
IF('TL05'!$B$3=O$3,SUMIF('TL05'!$C$10:$C$224,$C405,'TL05'!$J$10:$J$224),0),
IF('TL05'!$B$229=O$3,SUMIF('TL05'!$C$238:$C$451,$C405,'TL05'!$J$238:$J$451),0),
IF('TL06'!$B$3=O$3,SUMIF('TL06'!$C$10:$C$224,$C405,'TL06'!$J$10:$J$224),0),
IF('TL06'!$B$229=O$3,SUMIF('TL06'!$C$238:$C$451,$C405,'TL06'!$J$238:$J$451),0),
IF('TL07'!$B$3=O$3,SUMIF('TL07'!$C$10:$C$224,$C405,'TL07'!$J$10:$J$224),0),
IF('TL07'!$B$229=O$3,SUMIF('TL07'!$C$238:$C$451,$C405,'TL07'!$J$238:$J$451),0),
IF('TL08'!$B$3=O$3,SUMIF('TL08'!$C$10:$C$224,$C405,'TL08'!$J$10:$J$224),0),
IF('TL08'!$B$229=O$3,SUMIF('TL08'!$C$238:$C$451,$C405,'TL08'!$J$238:$J$451),0),
IF('TL09'!$B$3=O$3,SUMIF('TL09'!$C$10:$C$224,$C405,'TL09'!$J$10:$J$224),0),
IF('TL09'!$B$229=O$3,SUMIF('TL09'!$C$238:$C$451,$C405,'TL09'!$J$238:$J$451),0),
IF('TL10'!$B$3=O$3,SUMIF('TL10'!$C$10:$C$224,$C405,'TL10'!$J$10:$J$224),0),
IF('TL10'!$B$229=O$3,SUMIF('TL10'!$C$238:$C$451,$C405,'TL10'!$J$238:$J$451),0),
IF('TL11'!$B$3=O$3,SUMIF('TL11'!$C$10:$C$224,$C405,'TL11'!$J$10:$J$224),0),
IF('TL11'!$B$229=O$3,SUMIF('TL11'!$C$238:$C$451,$C405,'TL11'!$J$238:$J$451),0),
IF('TL12'!$B$3=O$3,SUMIF('TL12'!$C$10:$C$224,$C405,'TL12'!$J$10:$J$224),0),
IF('TL12'!$B$229=O$3,SUMIF('TL12'!$C$238:$C$451,$C405,'TL12'!$J$238:$J$451),0),
IF('TL13'!$B$3=O$3,SUMIF('TL13'!$C$10:$C$224,$C405,'TL13'!$J$10:$J$224),0),
IF('TL13'!$B$229=O$3,SUMIF('TL13'!$C$238:$C$451,$C405,'TL13'!$J$238:$J$451),0),
IF('TL14'!$B$3=O$3,SUMIF('TL14'!$C$10:$C$224,$C405,'TL14'!$J$10:$J$224),0),
IF('TL14'!$B$229=O$3,SUMIF('TL14'!$C$238:$C$451,$C405,'TL14'!$J$238:$J$451),0),
IF('TL15'!$B$3=O$3,SUMIF('TL15'!$C$10:$C$224,$C405,'TL15'!$J$10:$J$224),0),
IF('TL15'!$B$229=O$3,SUMIF('TL15'!$C$238:$C$451,$C405,'TL15'!$J$238:$J$451),0),
IF('TL16'!$B$3=O$3,SUMIF('TL16'!$C$10:$C$224,$C405,'TL16'!$J$10:$J$224),0),
IF('TL16'!$B$229=O$3,SUMIF('TL16'!$C$238:$C$451,$C405,'TL16'!$J$238:$J$451),0),
IF('TL17'!$B$3=O$3,SUMIF('TL17'!$C$10:$C$224,$C405,'TL17'!$J$10:$J$224),0),
IF('TL17'!$B$229=O$3,SUMIF('TL17'!$C$238:$C$451,$C405,'TL17'!$J$238:$J$451),0),
IF('TL18'!$B$3=O$3,SUMIF('TL18'!$C$10:$C$224,$C405,'TL18'!$J$10:$J$224),0),
IF('TL18'!$B$229=O$3,SUMIF('TL18'!$C$238:$C$451,$C405,'TL18'!$J$238:$J$451),0),
IF('TL19'!$B$3=O$3,SUMIF('TL19'!$C$10:$C$224,$C405,'TL19'!$J$10:$J$224),0),
IF('TL19'!$B$229=O$3,SUMIF('TL19'!$C$238:$C$451,$C405,'TL19'!$J$238:$J$451),0)
),0)</f>
        <v>0</v>
      </c>
      <c r="P405" s="147">
        <f>IFERROR(SUM(
IF('TL01'!$B$3=P$3,SUMIF('TL01'!$C$10:$C$224,$C405,'TL01'!$J$10:$J$224),0),
IF('TL01'!$B$229=P$3,SUMIF('TL01'!$C$238:$C$451,$C405,'TL01'!$J$238:$J$451),0),
IF('TL02'!$B$3=P$3,SUMIF('TL02'!$C$10:$C$224,$C405,'TL02'!$J$10:$J$224),0),
IF('TL02'!$B$229=P$3,SUMIF('TL02'!$C$238:$C$451,$C405,'TL02'!$J$238:$J$451),0),
IF('TL03'!$B$3=P$3,SUMIF('TL03'!$C$10:$C$224,$C405,'TL03'!$J$10:$J$224),0),
IF('TL03'!$B$229=P$3,SUMIF('TL03'!$C$238:$C$451,$C405,'TL03'!$J$238:$J$451),0),
IF('TL04'!$B$3=P$3,SUMIF('TL04'!$C$10:$C$224,$C405,'TL04'!$J$10:$J$224),0),
IF('TL04'!$B$229=P$3,SUMIF('TL04'!$C$238:$C$451,$C405,'TL04'!$J$238:$J$451),0),
IF('TL05'!$B$3=P$3,SUMIF('TL05'!$C$10:$C$224,$C405,'TL05'!$J$10:$J$224),0),
IF('TL05'!$B$229=P$3,SUMIF('TL05'!$C$238:$C$451,$C405,'TL05'!$J$238:$J$451),0),
IF('TL06'!$B$3=P$3,SUMIF('TL06'!$C$10:$C$224,$C405,'TL06'!$J$10:$J$224),0),
IF('TL06'!$B$229=P$3,SUMIF('TL06'!$C$238:$C$451,$C405,'TL06'!$J$238:$J$451),0),
IF('TL07'!$B$3=P$3,SUMIF('TL07'!$C$10:$C$224,$C405,'TL07'!$J$10:$J$224),0),
IF('TL07'!$B$229=P$3,SUMIF('TL07'!$C$238:$C$451,$C405,'TL07'!$J$238:$J$451),0),
IF('TL08'!$B$3=P$3,SUMIF('TL08'!$C$10:$C$224,$C405,'TL08'!$J$10:$J$224),0),
IF('TL08'!$B$229=P$3,SUMIF('TL08'!$C$238:$C$451,$C405,'TL08'!$J$238:$J$451),0),
IF('TL09'!$B$3=P$3,SUMIF('TL09'!$C$10:$C$224,$C405,'TL09'!$J$10:$J$224),0),
IF('TL09'!$B$229=P$3,SUMIF('TL09'!$C$238:$C$451,$C405,'TL09'!$J$238:$J$451),0),
IF('TL10'!$B$3=P$3,SUMIF('TL10'!$C$10:$C$224,$C405,'TL10'!$J$10:$J$224),0),
IF('TL10'!$B$229=P$3,SUMIF('TL10'!$C$238:$C$451,$C405,'TL10'!$J$238:$J$451),0),
IF('TL11'!$B$3=P$3,SUMIF('TL11'!$C$10:$C$224,$C405,'TL11'!$J$10:$J$224),0),
IF('TL11'!$B$229=P$3,SUMIF('TL11'!$C$238:$C$451,$C405,'TL11'!$J$238:$J$451),0),
IF('TL12'!$B$3=P$3,SUMIF('TL12'!$C$10:$C$224,$C405,'TL12'!$J$10:$J$224),0),
IF('TL12'!$B$229=P$3,SUMIF('TL12'!$C$238:$C$451,$C405,'TL12'!$J$238:$J$451),0),
IF('TL13'!$B$3=P$3,SUMIF('TL13'!$C$10:$C$224,$C405,'TL13'!$J$10:$J$224),0),
IF('TL13'!$B$229=P$3,SUMIF('TL13'!$C$238:$C$451,$C405,'TL13'!$J$238:$J$451),0),
IF('TL14'!$B$3=P$3,SUMIF('TL14'!$C$10:$C$224,$C405,'TL14'!$J$10:$J$224),0),
IF('TL14'!$B$229=P$3,SUMIF('TL14'!$C$238:$C$451,$C405,'TL14'!$J$238:$J$451),0),
IF('TL15'!$B$3=P$3,SUMIF('TL15'!$C$10:$C$224,$C405,'TL15'!$J$10:$J$224),0),
IF('TL15'!$B$229=P$3,SUMIF('TL15'!$C$238:$C$451,$C405,'TL15'!$J$238:$J$451),0),
IF('TL16'!$B$3=P$3,SUMIF('TL16'!$C$10:$C$224,$C405,'TL16'!$J$10:$J$224),0),
IF('TL16'!$B$229=P$3,SUMIF('TL16'!$C$238:$C$451,$C405,'TL16'!$J$238:$J$451),0),
IF('TL17'!$B$3=P$3,SUMIF('TL17'!$C$10:$C$224,$C405,'TL17'!$J$10:$J$224),0),
IF('TL17'!$B$229=P$3,SUMIF('TL17'!$C$238:$C$451,$C405,'TL17'!$J$238:$J$451),0),
IF('TL18'!$B$3=P$3,SUMIF('TL18'!$C$10:$C$224,$C405,'TL18'!$J$10:$J$224),0),
IF('TL18'!$B$229=P$3,SUMIF('TL18'!$C$238:$C$451,$C405,'TL18'!$J$238:$J$451),0),
IF('TL19'!$B$3=P$3,SUMIF('TL19'!$C$10:$C$224,$C405,'TL19'!$J$10:$J$224),0),
IF('TL19'!$B$229=P$3,SUMIF('TL19'!$C$238:$C$451,$C405,'TL19'!$J$238:$J$451),0)
),0)</f>
        <v>121.8</v>
      </c>
      <c r="Q405" s="147">
        <f>IFERROR(SUM(
IF('TL01'!$B$3=Q$3,SUMIF('TL01'!$C$10:$C$224,$C405,'TL01'!$J$10:$J$224),0),
IF('TL01'!$B$229=Q$3,SUMIF('TL01'!$C$238:$C$451,$C405,'TL01'!$J$238:$J$451),0),
IF('TL02'!$B$3=Q$3,SUMIF('TL02'!$C$10:$C$224,$C405,'TL02'!$J$10:$J$224),0),
IF('TL02'!$B$229=Q$3,SUMIF('TL02'!$C$238:$C$451,$C405,'TL02'!$J$238:$J$451),0),
IF('TL03'!$B$3=Q$3,SUMIF('TL03'!$C$10:$C$224,$C405,'TL03'!$J$10:$J$224),0),
IF('TL03'!$B$229=Q$3,SUMIF('TL03'!$C$238:$C$451,$C405,'TL03'!$J$238:$J$451),0),
IF('TL04'!$B$3=Q$3,SUMIF('TL04'!$C$10:$C$224,$C405,'TL04'!$J$10:$J$224),0),
IF('TL04'!$B$229=Q$3,SUMIF('TL04'!$C$238:$C$451,$C405,'TL04'!$J$238:$J$451),0),
IF('TL05'!$B$3=Q$3,SUMIF('TL05'!$C$10:$C$224,$C405,'TL05'!$J$10:$J$224),0),
IF('TL05'!$B$229=Q$3,SUMIF('TL05'!$C$238:$C$451,$C405,'TL05'!$J$238:$J$451),0),
IF('TL06'!$B$3=Q$3,SUMIF('TL06'!$C$10:$C$224,$C405,'TL06'!$J$10:$J$224),0),
IF('TL06'!$B$229=Q$3,SUMIF('TL06'!$C$238:$C$451,$C405,'TL06'!$J$238:$J$451),0),
IF('TL07'!$B$3=Q$3,SUMIF('TL07'!$C$10:$C$224,$C405,'TL07'!$J$10:$J$224),0),
IF('TL07'!$B$229=Q$3,SUMIF('TL07'!$C$238:$C$451,$C405,'TL07'!$J$238:$J$451),0),
IF('TL08'!$B$3=Q$3,SUMIF('TL08'!$C$10:$C$224,$C405,'TL08'!$J$10:$J$224),0),
IF('TL08'!$B$229=Q$3,SUMIF('TL08'!$C$238:$C$451,$C405,'TL08'!$J$238:$J$451),0),
IF('TL09'!$B$3=Q$3,SUMIF('TL09'!$C$10:$C$224,$C405,'TL09'!$J$10:$J$224),0),
IF('TL09'!$B$229=Q$3,SUMIF('TL09'!$C$238:$C$451,$C405,'TL09'!$J$238:$J$451),0),
IF('TL10'!$B$3=Q$3,SUMIF('TL10'!$C$10:$C$224,$C405,'TL10'!$J$10:$J$224),0),
IF('TL10'!$B$229=Q$3,SUMIF('TL10'!$C$238:$C$451,$C405,'TL10'!$J$238:$J$451),0),
IF('TL11'!$B$3=Q$3,SUMIF('TL11'!$C$10:$C$224,$C405,'TL11'!$J$10:$J$224),0),
IF('TL11'!$B$229=Q$3,SUMIF('TL11'!$C$238:$C$451,$C405,'TL11'!$J$238:$J$451),0),
IF('TL12'!$B$3=Q$3,SUMIF('TL12'!$C$10:$C$224,$C405,'TL12'!$J$10:$J$224),0),
IF('TL12'!$B$229=Q$3,SUMIF('TL12'!$C$238:$C$451,$C405,'TL12'!$J$238:$J$451),0),
IF('TL13'!$B$3=Q$3,SUMIF('TL13'!$C$10:$C$224,$C405,'TL13'!$J$10:$J$224),0),
IF('TL13'!$B$229=Q$3,SUMIF('TL13'!$C$238:$C$451,$C405,'TL13'!$J$238:$J$451),0),
IF('TL14'!$B$3=Q$3,SUMIF('TL14'!$C$10:$C$224,$C405,'TL14'!$J$10:$J$224),0),
IF('TL14'!$B$229=Q$3,SUMIF('TL14'!$C$238:$C$451,$C405,'TL14'!$J$238:$J$451),0),
IF('TL15'!$B$3=Q$3,SUMIF('TL15'!$C$10:$C$224,$C405,'TL15'!$J$10:$J$224),0),
IF('TL15'!$B$229=Q$3,SUMIF('TL15'!$C$238:$C$451,$C405,'TL15'!$J$238:$J$451),0),
IF('TL16'!$B$3=Q$3,SUMIF('TL16'!$C$10:$C$224,$C405,'TL16'!$J$10:$J$224),0),
IF('TL16'!$B$229=Q$3,SUMIF('TL16'!$C$238:$C$451,$C405,'TL16'!$J$238:$J$451),0),
IF('TL17'!$B$3=Q$3,SUMIF('TL17'!$C$10:$C$224,$C405,'TL17'!$J$10:$J$224),0),
IF('TL17'!$B$229=Q$3,SUMIF('TL17'!$C$238:$C$451,$C405,'TL17'!$J$238:$J$451),0),
IF('TL18'!$B$3=Q$3,SUMIF('TL18'!$C$10:$C$224,$C405,'TL18'!$J$10:$J$224),0),
IF('TL18'!$B$229=Q$3,SUMIF('TL18'!$C$238:$C$451,$C405,'TL18'!$J$238:$J$451),0),
IF('TL19'!$B$3=Q$3,SUMIF('TL19'!$C$10:$C$224,$C405,'TL19'!$J$10:$J$224),0),
IF('TL19'!$B$229=Q$3,SUMIF('TL19'!$C$238:$C$451,$C405,'TL19'!$J$238:$J$451),0)
),0)</f>
        <v>32</v>
      </c>
      <c r="R405" s="139">
        <f>IFERROR(
SUM(
SUMIF('TL01'!C:C,C405,'TL01'!J:J),
SUMIF('TL02'!C:C,C405,'TL02'!I:I),
SUMIF('TL03'!C:C,C405,'TL03'!I:I),
SUMIF('TL04'!C:C,C405,'TL04'!I:I),
SUMIF('TL05'!C:C,C405,'TL05'!I:I),
SUMIF('TL06'!C:C,C405,'TL06'!I:I),
SUMIF('TL07'!C:C,C405,'TL07'!I:I),
SUMIF('TL08'!C:C,C405,'TL08'!I:I),
SUMIF('TL09'!C:C,C405,'TL09'!I:I),
SUMIF('TL10'!C:C,C405,'TL10'!I:I),
SUMIF('TL11'!C:C,C405,'TL11'!I:I),
SUMIF('TL12'!C:C,C405,'TL12'!I:I),
SUMIF('TL13'!C:C,C405,'TL13'!I:I),
SUMIF('TL14'!C:C,C405,'TL14'!I:I),
SUMIF('TL15'!C:C,C405,'TL15'!I:I),
SUMIF('TL16'!C:C,C405,'TL16'!I:I),
SUMIF('TL17'!C:C,C405,'TL17'!I:I),
SUMIF('TL18'!C:C,C405,'TL18'!I:I))
,0)</f>
        <v>28.5</v>
      </c>
      <c r="S405" s="142">
        <f>'CUSTO OPERAÇÃO'!M9</f>
        <v>150</v>
      </c>
      <c r="T405" s="139"/>
      <c r="U405" s="143">
        <f t="shared" si="2"/>
        <v>28.5</v>
      </c>
      <c r="V405" s="144">
        <f t="shared" si="3"/>
        <v>4275</v>
      </c>
    </row>
    <row r="406" ht="15.75" hidden="1" customHeight="1">
      <c r="A406" s="134"/>
      <c r="B406" s="135" t="s">
        <v>10</v>
      </c>
      <c r="C406" s="136" t="str">
        <f>'CUSTO OPERAÇÃO'!D10</f>
        <v>CASE MAGNUM 340 + SUBSOLADOR 11 ASTES</v>
      </c>
      <c r="D406" s="136"/>
      <c r="E406" s="137"/>
      <c r="F406" s="138" t="s">
        <v>1133</v>
      </c>
      <c r="G406" s="139"/>
      <c r="H406" s="140">
        <f>'CUSTO OPERAÇÃO'!J10</f>
        <v>0.4753416518</v>
      </c>
      <c r="I406" s="141"/>
      <c r="J406" s="136">
        <f>IFERROR(SUM(
IF('TL01'!$B$3=J$3,SUMIF('TL01'!$C$10:$C$224,$C406,'TL01'!$J$10:$J$224),0),
IF('TL01'!$B$229=J$3,SUMIF('TL01'!$C$238:$C$451,$C406,'TL01'!$J$238:$J$451),0),
IF('TL02'!$B$3=J$3,SUMIF('TL02'!$C$10:$C$224,$C406,'TL02'!$J$10:$J$224),0),
IF('TL02'!$B$229=J$3,SUMIF('TL02'!$C$238:$C$451,$C406,'TL02'!$J$238:$J$451),0),
IF('TL03'!$B$3=J$3,SUMIF('TL03'!$C$10:$C$224,$C406,'TL03'!$J$10:$J$224),0),
IF('TL03'!$B$229=J$3,SUMIF('TL03'!$C$238:$C$451,$C406,'TL03'!$J$238:$J$451),0),
IF('TL04'!$B$3=J$3,SUMIF('TL04'!$C$10:$C$224,$C406,'TL04'!$J$10:$J$224),0),
IF('TL04'!$B$229=J$3,SUMIF('TL04'!$C$238:$C$451,$C406,'TL04'!$J$238:$J$451),0),
IF('TL05'!$B$3=J$3,SUMIF('TL05'!$C$10:$C$224,$C406,'TL05'!$J$10:$J$224),0),
IF('TL05'!$B$229=J$3,SUMIF('TL05'!$C$238:$C$451,$C406,'TL05'!$J$238:$J$451),0),
IF('TL06'!$B$3=J$3,SUMIF('TL06'!$C$10:$C$224,$C406,'TL06'!$J$10:$J$224),0),
IF('TL06'!$B$229=J$3,SUMIF('TL06'!$C$238:$C$451,$C406,'TL06'!$J$238:$J$451),0),
IF('TL07'!$B$3=J$3,SUMIF('TL07'!$C$10:$C$224,$C406,'TL07'!$J$10:$J$224),0),
IF('TL07'!$B$229=J$3,SUMIF('TL07'!$C$238:$C$451,$C406,'TL07'!$J$238:$J$451),0),
IF('TL08'!$B$3=J$3,SUMIF('TL08'!$C$10:$C$224,$C406,'TL08'!$J$10:$J$224),0),
IF('TL08'!$B$229=J$3,SUMIF('TL08'!$C$238:$C$451,$C406,'TL08'!$J$238:$J$451),0),
IF('TL09'!$B$3=J$3,SUMIF('TL09'!$C$10:$C$224,$C406,'TL09'!$J$10:$J$224),0),
IF('TL09'!$B$229=J$3,SUMIF('TL09'!$C$238:$C$451,$C406,'TL09'!$J$238:$J$451),0),
IF('TL10'!$B$3=J$3,SUMIF('TL10'!$C$10:$C$224,$C406,'TL10'!$J$10:$J$224),0),
IF('TL10'!$B$229=J$3,SUMIF('TL10'!$C$238:$C$451,$C406,'TL10'!$J$238:$J$451),0),
IF('TL11'!$B$3=J$3,SUMIF('TL11'!$C$10:$C$224,$C406,'TL11'!$J$10:$J$224),0),
IF('TL11'!$B$229=J$3,SUMIF('TL11'!$C$238:$C$451,$C406,'TL11'!$J$238:$J$451),0),
IF('TL12'!$B$3=J$3,SUMIF('TL12'!$C$10:$C$224,$C406,'TL12'!$J$10:$J$224),0),
IF('TL12'!$B$229=J$3,SUMIF('TL12'!$C$238:$C$451,$C406,'TL12'!$J$238:$J$451),0),
IF('TL13'!$B$3=J$3,SUMIF('TL13'!$C$10:$C$224,$C406,'TL13'!$J$10:$J$224),0),
IF('TL13'!$B$229=J$3,SUMIF('TL13'!$C$238:$C$451,$C406,'TL13'!$J$238:$J$451),0),
IF('TL14'!$B$3=J$3,SUMIF('TL14'!$C$10:$C$224,$C406,'TL14'!$J$10:$J$224),0),
IF('TL14'!$B$229=J$3,SUMIF('TL14'!$C$238:$C$451,$C406,'TL14'!$J$238:$J$451),0),
IF('TL15'!$B$3=J$3,SUMIF('TL15'!$C$10:$C$224,$C406,'TL15'!$J$10:$J$224),0),
IF('TL15'!$B$229=J$3,SUMIF('TL15'!$C$238:$C$451,$C406,'TL15'!$J$238:$J$451),0),
IF('TL16'!$B$3=J$3,SUMIF('TL16'!$C$10:$C$224,$C406,'TL16'!$J$10:$J$224),0),
IF('TL16'!$B$229=J$3,SUMIF('TL16'!$C$238:$C$451,$C406,'TL16'!$J$238:$J$451),0),
IF('TL17'!$B$3=J$3,SUMIF('TL17'!$C$10:$C$224,$C406,'TL17'!$J$10:$J$224),0),
IF('TL17'!$B$229=J$3,SUMIF('TL17'!$C$238:$C$451,$C406,'TL17'!$J$238:$J$451),0),
IF('TL18'!$B$3=J$3,SUMIF('TL18'!$C$10:$C$224,$C406,'TL18'!$J$10:$J$224),0),
IF('TL18'!$B$229=J$3,SUMIF('TL18'!$C$238:$C$451,$C406,'TL18'!$J$238:$J$451),0),
IF('TL19'!$B$3=J$3,SUMIF('TL19'!$C$10:$C$224,$C406,'TL19'!$J$10:$J$224),0),
IF('TL19'!$B$229=J$3,SUMIF('TL19'!$C$238:$C$451,$C406,'TL19'!$J$238:$J$451),0)
),0)</f>
        <v>0</v>
      </c>
      <c r="K406" s="136">
        <f>IFERROR(SUM(
IF('TL01'!$B$3=K$3,SUMIF('TL01'!$C$10:$C$224,$C406,'TL01'!$J$10:$J$224),0),
IF('TL01'!$B$229=K$3,SUMIF('TL01'!$C$238:$C$451,$C406,'TL01'!$J$238:$J$451),0),
IF('TL02'!$B$3=K$3,SUMIF('TL02'!$C$10:$C$224,$C406,'TL02'!$J$10:$J$224),0),
IF('TL02'!$B$229=K$3,SUMIF('TL02'!$C$238:$C$451,$C406,'TL02'!$J$238:$J$451),0),
IF('TL03'!$B$3=K$3,SUMIF('TL03'!$C$10:$C$224,$C406,'TL03'!$J$10:$J$224),0),
IF('TL03'!$B$229=K$3,SUMIF('TL03'!$C$238:$C$451,$C406,'TL03'!$J$238:$J$451),0),
IF('TL04'!$B$3=K$3,SUMIF('TL04'!$C$10:$C$224,$C406,'TL04'!$J$10:$J$224),0),
IF('TL04'!$B$229=K$3,SUMIF('TL04'!$C$238:$C$451,$C406,'TL04'!$J$238:$J$451),0),
IF('TL05'!$B$3=K$3,SUMIF('TL05'!$C$10:$C$224,$C406,'TL05'!$J$10:$J$224),0),
IF('TL05'!$B$229=K$3,SUMIF('TL05'!$C$238:$C$451,$C406,'TL05'!$J$238:$J$451),0),
IF('TL06'!$B$3=K$3,SUMIF('TL06'!$C$10:$C$224,$C406,'TL06'!$J$10:$J$224),0),
IF('TL06'!$B$229=K$3,SUMIF('TL06'!$C$238:$C$451,$C406,'TL06'!$J$238:$J$451),0),
IF('TL07'!$B$3=K$3,SUMIF('TL07'!$C$10:$C$224,$C406,'TL07'!$J$10:$J$224),0),
IF('TL07'!$B$229=K$3,SUMIF('TL07'!$C$238:$C$451,$C406,'TL07'!$J$238:$J$451),0),
IF('TL08'!$B$3=K$3,SUMIF('TL08'!$C$10:$C$224,$C406,'TL08'!$J$10:$J$224),0),
IF('TL08'!$B$229=K$3,SUMIF('TL08'!$C$238:$C$451,$C406,'TL08'!$J$238:$J$451),0),
IF('TL09'!$B$3=K$3,SUMIF('TL09'!$C$10:$C$224,$C406,'TL09'!$J$10:$J$224),0),
IF('TL09'!$B$229=K$3,SUMIF('TL09'!$C$238:$C$451,$C406,'TL09'!$J$238:$J$451),0),
IF('TL10'!$B$3=K$3,SUMIF('TL10'!$C$10:$C$224,$C406,'TL10'!$J$10:$J$224),0),
IF('TL10'!$B$229=K$3,SUMIF('TL10'!$C$238:$C$451,$C406,'TL10'!$J$238:$J$451),0),
IF('TL11'!$B$3=K$3,SUMIF('TL11'!$C$10:$C$224,$C406,'TL11'!$J$10:$J$224),0),
IF('TL11'!$B$229=K$3,SUMIF('TL11'!$C$238:$C$451,$C406,'TL11'!$J$238:$J$451),0),
IF('TL12'!$B$3=K$3,SUMIF('TL12'!$C$10:$C$224,$C406,'TL12'!$J$10:$J$224),0),
IF('TL12'!$B$229=K$3,SUMIF('TL12'!$C$238:$C$451,$C406,'TL12'!$J$238:$J$451),0),
IF('TL13'!$B$3=K$3,SUMIF('TL13'!$C$10:$C$224,$C406,'TL13'!$J$10:$J$224),0),
IF('TL13'!$B$229=K$3,SUMIF('TL13'!$C$238:$C$451,$C406,'TL13'!$J$238:$J$451),0),
IF('TL14'!$B$3=K$3,SUMIF('TL14'!$C$10:$C$224,$C406,'TL14'!$J$10:$J$224),0),
IF('TL14'!$B$229=K$3,SUMIF('TL14'!$C$238:$C$451,$C406,'TL14'!$J$238:$J$451),0),
IF('TL15'!$B$3=K$3,SUMIF('TL15'!$C$10:$C$224,$C406,'TL15'!$J$10:$J$224),0),
IF('TL15'!$B$229=K$3,SUMIF('TL15'!$C$238:$C$451,$C406,'TL15'!$J$238:$J$451),0),
IF('TL16'!$B$3=K$3,SUMIF('TL16'!$C$10:$C$224,$C406,'TL16'!$J$10:$J$224),0),
IF('TL16'!$B$229=K$3,SUMIF('TL16'!$C$238:$C$451,$C406,'TL16'!$J$238:$J$451),0),
IF('TL17'!$B$3=K$3,SUMIF('TL17'!$C$10:$C$224,$C406,'TL17'!$J$10:$J$224),0),
IF('TL17'!$B$229=K$3,SUMIF('TL17'!$C$238:$C$451,$C406,'TL17'!$J$238:$J$451),0),
IF('TL18'!$B$3=K$3,SUMIF('TL18'!$C$10:$C$224,$C406,'TL18'!$J$10:$J$224),0),
IF('TL18'!$B$229=K$3,SUMIF('TL18'!$C$238:$C$451,$C406,'TL18'!$J$238:$J$451),0),
IF('TL19'!$B$3=K$3,SUMIF('TL19'!$C$10:$C$224,$C406,'TL19'!$J$10:$J$224),0),
IF('TL19'!$B$229=K$3,SUMIF('TL19'!$C$238:$C$451,$C406,'TL19'!$J$238:$J$451),0)
),0)</f>
        <v>0</v>
      </c>
      <c r="L406" s="136">
        <f>IFERROR(SUM(
IF('TL01'!$B$3=L$3,SUMIF('TL01'!$C$10:$C$224,$C406,'TL01'!$J$10:$J$224),0),
IF('TL01'!$B$229=L$3,SUMIF('TL01'!$C$238:$C$451,$C406,'TL01'!$J$238:$J$451),0),
IF('TL02'!$B$3=L$3,SUMIF('TL02'!$C$10:$C$224,$C406,'TL02'!$J$10:$J$224),0),
IF('TL02'!$B$229=L$3,SUMIF('TL02'!$C$238:$C$451,$C406,'TL02'!$J$238:$J$451),0),
IF('TL03'!$B$3=L$3,SUMIF('TL03'!$C$10:$C$224,$C406,'TL03'!$J$10:$J$224),0),
IF('TL03'!$B$229=L$3,SUMIF('TL03'!$C$238:$C$451,$C406,'TL03'!$J$238:$J$451),0),
IF('TL04'!$B$3=L$3,SUMIF('TL04'!$C$10:$C$224,$C406,'TL04'!$J$10:$J$224),0),
IF('TL04'!$B$229=L$3,SUMIF('TL04'!$C$238:$C$451,$C406,'TL04'!$J$238:$J$451),0),
IF('TL05'!$B$3=L$3,SUMIF('TL05'!$C$10:$C$224,$C406,'TL05'!$J$10:$J$224),0),
IF('TL05'!$B$229=L$3,SUMIF('TL05'!$C$238:$C$451,$C406,'TL05'!$J$238:$J$451),0),
IF('TL06'!$B$3=L$3,SUMIF('TL06'!$C$10:$C$224,$C406,'TL06'!$J$10:$J$224),0),
IF('TL06'!$B$229=L$3,SUMIF('TL06'!$C$238:$C$451,$C406,'TL06'!$J$238:$J$451),0),
IF('TL07'!$B$3=L$3,SUMIF('TL07'!$C$10:$C$224,$C406,'TL07'!$J$10:$J$224),0),
IF('TL07'!$B$229=L$3,SUMIF('TL07'!$C$238:$C$451,$C406,'TL07'!$J$238:$J$451),0),
IF('TL08'!$B$3=L$3,SUMIF('TL08'!$C$10:$C$224,$C406,'TL08'!$J$10:$J$224),0),
IF('TL08'!$B$229=L$3,SUMIF('TL08'!$C$238:$C$451,$C406,'TL08'!$J$238:$J$451),0),
IF('TL09'!$B$3=L$3,SUMIF('TL09'!$C$10:$C$224,$C406,'TL09'!$J$10:$J$224),0),
IF('TL09'!$B$229=L$3,SUMIF('TL09'!$C$238:$C$451,$C406,'TL09'!$J$238:$J$451),0),
IF('TL10'!$B$3=L$3,SUMIF('TL10'!$C$10:$C$224,$C406,'TL10'!$J$10:$J$224),0),
IF('TL10'!$B$229=L$3,SUMIF('TL10'!$C$238:$C$451,$C406,'TL10'!$J$238:$J$451),0),
IF('TL11'!$B$3=L$3,SUMIF('TL11'!$C$10:$C$224,$C406,'TL11'!$J$10:$J$224),0),
IF('TL11'!$B$229=L$3,SUMIF('TL11'!$C$238:$C$451,$C406,'TL11'!$J$238:$J$451),0),
IF('TL12'!$B$3=L$3,SUMIF('TL12'!$C$10:$C$224,$C406,'TL12'!$J$10:$J$224),0),
IF('TL12'!$B$229=L$3,SUMIF('TL12'!$C$238:$C$451,$C406,'TL12'!$J$238:$J$451),0),
IF('TL13'!$B$3=L$3,SUMIF('TL13'!$C$10:$C$224,$C406,'TL13'!$J$10:$J$224),0),
IF('TL13'!$B$229=L$3,SUMIF('TL13'!$C$238:$C$451,$C406,'TL13'!$J$238:$J$451),0),
IF('TL14'!$B$3=L$3,SUMIF('TL14'!$C$10:$C$224,$C406,'TL14'!$J$10:$J$224),0),
IF('TL14'!$B$229=L$3,SUMIF('TL14'!$C$238:$C$451,$C406,'TL14'!$J$238:$J$451),0),
IF('TL15'!$B$3=L$3,SUMIF('TL15'!$C$10:$C$224,$C406,'TL15'!$J$10:$J$224),0),
IF('TL15'!$B$229=L$3,SUMIF('TL15'!$C$238:$C$451,$C406,'TL15'!$J$238:$J$451),0),
IF('TL16'!$B$3=L$3,SUMIF('TL16'!$C$10:$C$224,$C406,'TL16'!$J$10:$J$224),0),
IF('TL16'!$B$229=L$3,SUMIF('TL16'!$C$238:$C$451,$C406,'TL16'!$J$238:$J$451),0),
IF('TL17'!$B$3=L$3,SUMIF('TL17'!$C$10:$C$224,$C406,'TL17'!$J$10:$J$224),0),
IF('TL17'!$B$229=L$3,SUMIF('TL17'!$C$238:$C$451,$C406,'TL17'!$J$238:$J$451),0),
IF('TL18'!$B$3=L$3,SUMIF('TL18'!$C$10:$C$224,$C406,'TL18'!$J$10:$J$224),0),
IF('TL18'!$B$229=L$3,SUMIF('TL18'!$C$238:$C$451,$C406,'TL18'!$J$238:$J$451),0),
IF('TL19'!$B$3=L$3,SUMIF('TL19'!$C$10:$C$224,$C406,'TL19'!$J$10:$J$224),0),
IF('TL19'!$B$229=L$3,SUMIF('TL19'!$C$238:$C$451,$C406,'TL19'!$J$238:$J$451),0)
),0)</f>
        <v>0</v>
      </c>
      <c r="M406" s="136">
        <f>IFERROR(SUM(
IF('TL01'!$B$3=M$3,SUMIF('TL01'!$C$10:$C$224,$C406,'TL01'!$J$10:$J$224),0),
IF('TL01'!$B$229=M$3,SUMIF('TL01'!$C$238:$C$451,$C406,'TL01'!$J$238:$J$451),0),
IF('TL02'!$B$3=M$3,SUMIF('TL02'!$C$10:$C$224,$C406,'TL02'!$J$10:$J$224),0),
IF('TL02'!$B$229=M$3,SUMIF('TL02'!$C$238:$C$451,$C406,'TL02'!$J$238:$J$451),0),
IF('TL03'!$B$3=M$3,SUMIF('TL03'!$C$10:$C$224,$C406,'TL03'!$J$10:$J$224),0),
IF('TL03'!$B$229=M$3,SUMIF('TL03'!$C$238:$C$451,$C406,'TL03'!$J$238:$J$451),0),
IF('TL04'!$B$3=M$3,SUMIF('TL04'!$C$10:$C$224,$C406,'TL04'!$J$10:$J$224),0),
IF('TL04'!$B$229=M$3,SUMIF('TL04'!$C$238:$C$451,$C406,'TL04'!$J$238:$J$451),0),
IF('TL05'!$B$3=M$3,SUMIF('TL05'!$C$10:$C$224,$C406,'TL05'!$J$10:$J$224),0),
IF('TL05'!$B$229=M$3,SUMIF('TL05'!$C$238:$C$451,$C406,'TL05'!$J$238:$J$451),0),
IF('TL06'!$B$3=M$3,SUMIF('TL06'!$C$10:$C$224,$C406,'TL06'!$J$10:$J$224),0),
IF('TL06'!$B$229=M$3,SUMIF('TL06'!$C$238:$C$451,$C406,'TL06'!$J$238:$J$451),0),
IF('TL07'!$B$3=M$3,SUMIF('TL07'!$C$10:$C$224,$C406,'TL07'!$J$10:$J$224),0),
IF('TL07'!$B$229=M$3,SUMIF('TL07'!$C$238:$C$451,$C406,'TL07'!$J$238:$J$451),0),
IF('TL08'!$B$3=M$3,SUMIF('TL08'!$C$10:$C$224,$C406,'TL08'!$J$10:$J$224),0),
IF('TL08'!$B$229=M$3,SUMIF('TL08'!$C$238:$C$451,$C406,'TL08'!$J$238:$J$451),0),
IF('TL09'!$B$3=M$3,SUMIF('TL09'!$C$10:$C$224,$C406,'TL09'!$J$10:$J$224),0),
IF('TL09'!$B$229=M$3,SUMIF('TL09'!$C$238:$C$451,$C406,'TL09'!$J$238:$J$451),0),
IF('TL10'!$B$3=M$3,SUMIF('TL10'!$C$10:$C$224,$C406,'TL10'!$J$10:$J$224),0),
IF('TL10'!$B$229=M$3,SUMIF('TL10'!$C$238:$C$451,$C406,'TL10'!$J$238:$J$451),0),
IF('TL11'!$B$3=M$3,SUMIF('TL11'!$C$10:$C$224,$C406,'TL11'!$J$10:$J$224),0),
IF('TL11'!$B$229=M$3,SUMIF('TL11'!$C$238:$C$451,$C406,'TL11'!$J$238:$J$451),0),
IF('TL12'!$B$3=M$3,SUMIF('TL12'!$C$10:$C$224,$C406,'TL12'!$J$10:$J$224),0),
IF('TL12'!$B$229=M$3,SUMIF('TL12'!$C$238:$C$451,$C406,'TL12'!$J$238:$J$451),0),
IF('TL13'!$B$3=M$3,SUMIF('TL13'!$C$10:$C$224,$C406,'TL13'!$J$10:$J$224),0),
IF('TL13'!$B$229=M$3,SUMIF('TL13'!$C$238:$C$451,$C406,'TL13'!$J$238:$J$451),0),
IF('TL14'!$B$3=M$3,SUMIF('TL14'!$C$10:$C$224,$C406,'TL14'!$J$10:$J$224),0),
IF('TL14'!$B$229=M$3,SUMIF('TL14'!$C$238:$C$451,$C406,'TL14'!$J$238:$J$451),0),
IF('TL15'!$B$3=M$3,SUMIF('TL15'!$C$10:$C$224,$C406,'TL15'!$J$10:$J$224),0),
IF('TL15'!$B$229=M$3,SUMIF('TL15'!$C$238:$C$451,$C406,'TL15'!$J$238:$J$451),0),
IF('TL16'!$B$3=M$3,SUMIF('TL16'!$C$10:$C$224,$C406,'TL16'!$J$10:$J$224),0),
IF('TL16'!$B$229=M$3,SUMIF('TL16'!$C$238:$C$451,$C406,'TL16'!$J$238:$J$451),0),
IF('TL17'!$B$3=M$3,SUMIF('TL17'!$C$10:$C$224,$C406,'TL17'!$J$10:$J$224),0),
IF('TL17'!$B$229=M$3,SUMIF('TL17'!$C$238:$C$451,$C406,'TL17'!$J$238:$J$451),0),
IF('TL18'!$B$3=M$3,SUMIF('TL18'!$C$10:$C$224,$C406,'TL18'!$J$10:$J$224),0),
IF('TL18'!$B$229=M$3,SUMIF('TL18'!$C$238:$C$451,$C406,'TL18'!$J$238:$J$451),0),
IF('TL19'!$B$3=M$3,SUMIF('TL19'!$C$10:$C$224,$C406,'TL19'!$J$10:$J$224),0),
IF('TL19'!$B$229=M$3,SUMIF('TL19'!$C$238:$C$451,$C406,'TL19'!$J$238:$J$451),0)
),0)</f>
        <v>0</v>
      </c>
      <c r="N406" s="136">
        <f>IFERROR(SUM(
IF('TL01'!$B$3=N$3,SUMIF('TL01'!$C$10:$C$224,$C406,'TL01'!$J$10:$J$224),0),
IF('TL01'!$B$229=N$3,SUMIF('TL01'!$C$238:$C$451,$C406,'TL01'!$J$238:$J$451),0),
IF('TL02'!$B$3=N$3,SUMIF('TL02'!$C$10:$C$224,$C406,'TL02'!$J$10:$J$224),0),
IF('TL02'!$B$229=N$3,SUMIF('TL02'!$C$238:$C$451,$C406,'TL02'!$J$238:$J$451),0),
IF('TL03'!$B$3=N$3,SUMIF('TL03'!$C$10:$C$224,$C406,'TL03'!$J$10:$J$224),0),
IF('TL03'!$B$229=N$3,SUMIF('TL03'!$C$238:$C$451,$C406,'TL03'!$J$238:$J$451),0),
IF('TL04'!$B$3=N$3,SUMIF('TL04'!$C$10:$C$224,$C406,'TL04'!$J$10:$J$224),0),
IF('TL04'!$B$229=N$3,SUMIF('TL04'!$C$238:$C$451,$C406,'TL04'!$J$238:$J$451),0),
IF('TL05'!$B$3=N$3,SUMIF('TL05'!$C$10:$C$224,$C406,'TL05'!$J$10:$J$224),0),
IF('TL05'!$B$229=N$3,SUMIF('TL05'!$C$238:$C$451,$C406,'TL05'!$J$238:$J$451),0),
IF('TL06'!$B$3=N$3,SUMIF('TL06'!$C$10:$C$224,$C406,'TL06'!$J$10:$J$224),0),
IF('TL06'!$B$229=N$3,SUMIF('TL06'!$C$238:$C$451,$C406,'TL06'!$J$238:$J$451),0),
IF('TL07'!$B$3=N$3,SUMIF('TL07'!$C$10:$C$224,$C406,'TL07'!$J$10:$J$224),0),
IF('TL07'!$B$229=N$3,SUMIF('TL07'!$C$238:$C$451,$C406,'TL07'!$J$238:$J$451),0),
IF('TL08'!$B$3=N$3,SUMIF('TL08'!$C$10:$C$224,$C406,'TL08'!$J$10:$J$224),0),
IF('TL08'!$B$229=N$3,SUMIF('TL08'!$C$238:$C$451,$C406,'TL08'!$J$238:$J$451),0),
IF('TL09'!$B$3=N$3,SUMIF('TL09'!$C$10:$C$224,$C406,'TL09'!$J$10:$J$224),0),
IF('TL09'!$B$229=N$3,SUMIF('TL09'!$C$238:$C$451,$C406,'TL09'!$J$238:$J$451),0),
IF('TL10'!$B$3=N$3,SUMIF('TL10'!$C$10:$C$224,$C406,'TL10'!$J$10:$J$224),0),
IF('TL10'!$B$229=N$3,SUMIF('TL10'!$C$238:$C$451,$C406,'TL10'!$J$238:$J$451),0),
IF('TL11'!$B$3=N$3,SUMIF('TL11'!$C$10:$C$224,$C406,'TL11'!$J$10:$J$224),0),
IF('TL11'!$B$229=N$3,SUMIF('TL11'!$C$238:$C$451,$C406,'TL11'!$J$238:$J$451),0),
IF('TL12'!$B$3=N$3,SUMIF('TL12'!$C$10:$C$224,$C406,'TL12'!$J$10:$J$224),0),
IF('TL12'!$B$229=N$3,SUMIF('TL12'!$C$238:$C$451,$C406,'TL12'!$J$238:$J$451),0),
IF('TL13'!$B$3=N$3,SUMIF('TL13'!$C$10:$C$224,$C406,'TL13'!$J$10:$J$224),0),
IF('TL13'!$B$229=N$3,SUMIF('TL13'!$C$238:$C$451,$C406,'TL13'!$J$238:$J$451),0),
IF('TL14'!$B$3=N$3,SUMIF('TL14'!$C$10:$C$224,$C406,'TL14'!$J$10:$J$224),0),
IF('TL14'!$B$229=N$3,SUMIF('TL14'!$C$238:$C$451,$C406,'TL14'!$J$238:$J$451),0),
IF('TL15'!$B$3=N$3,SUMIF('TL15'!$C$10:$C$224,$C406,'TL15'!$J$10:$J$224),0),
IF('TL15'!$B$229=N$3,SUMIF('TL15'!$C$238:$C$451,$C406,'TL15'!$J$238:$J$451),0),
IF('TL16'!$B$3=N$3,SUMIF('TL16'!$C$10:$C$224,$C406,'TL16'!$J$10:$J$224),0),
IF('TL16'!$B$229=N$3,SUMIF('TL16'!$C$238:$C$451,$C406,'TL16'!$J$238:$J$451),0),
IF('TL17'!$B$3=N$3,SUMIF('TL17'!$C$10:$C$224,$C406,'TL17'!$J$10:$J$224),0),
IF('TL17'!$B$229=N$3,SUMIF('TL17'!$C$238:$C$451,$C406,'TL17'!$J$238:$J$451),0),
IF('TL18'!$B$3=N$3,SUMIF('TL18'!$C$10:$C$224,$C406,'TL18'!$J$10:$J$224),0),
IF('TL18'!$B$229=N$3,SUMIF('TL18'!$C$238:$C$451,$C406,'TL18'!$J$238:$J$451),0),
IF('TL19'!$B$3=N$3,SUMIF('TL19'!$C$10:$C$224,$C406,'TL19'!$J$10:$J$224),0),
IF('TL19'!$B$229=N$3,SUMIF('TL19'!$C$238:$C$451,$C406,'TL19'!$J$238:$J$451),0)
),0)</f>
        <v>0</v>
      </c>
      <c r="O406" s="136">
        <f>IFERROR(SUM(
IF('TL01'!$B$3=O$3,SUMIF('TL01'!$C$10:$C$224,$C406,'TL01'!$J$10:$J$224),0),
IF('TL01'!$B$229=O$3,SUMIF('TL01'!$C$238:$C$451,$C406,'TL01'!$J$238:$J$451),0),
IF('TL02'!$B$3=O$3,SUMIF('TL02'!$C$10:$C$224,$C406,'TL02'!$J$10:$J$224),0),
IF('TL02'!$B$229=O$3,SUMIF('TL02'!$C$238:$C$451,$C406,'TL02'!$J$238:$J$451),0),
IF('TL03'!$B$3=O$3,SUMIF('TL03'!$C$10:$C$224,$C406,'TL03'!$J$10:$J$224),0),
IF('TL03'!$B$229=O$3,SUMIF('TL03'!$C$238:$C$451,$C406,'TL03'!$J$238:$J$451),0),
IF('TL04'!$B$3=O$3,SUMIF('TL04'!$C$10:$C$224,$C406,'TL04'!$J$10:$J$224),0),
IF('TL04'!$B$229=O$3,SUMIF('TL04'!$C$238:$C$451,$C406,'TL04'!$J$238:$J$451),0),
IF('TL05'!$B$3=O$3,SUMIF('TL05'!$C$10:$C$224,$C406,'TL05'!$J$10:$J$224),0),
IF('TL05'!$B$229=O$3,SUMIF('TL05'!$C$238:$C$451,$C406,'TL05'!$J$238:$J$451),0),
IF('TL06'!$B$3=O$3,SUMIF('TL06'!$C$10:$C$224,$C406,'TL06'!$J$10:$J$224),0),
IF('TL06'!$B$229=O$3,SUMIF('TL06'!$C$238:$C$451,$C406,'TL06'!$J$238:$J$451),0),
IF('TL07'!$B$3=O$3,SUMIF('TL07'!$C$10:$C$224,$C406,'TL07'!$J$10:$J$224),0),
IF('TL07'!$B$229=O$3,SUMIF('TL07'!$C$238:$C$451,$C406,'TL07'!$J$238:$J$451),0),
IF('TL08'!$B$3=O$3,SUMIF('TL08'!$C$10:$C$224,$C406,'TL08'!$J$10:$J$224),0),
IF('TL08'!$B$229=O$3,SUMIF('TL08'!$C$238:$C$451,$C406,'TL08'!$J$238:$J$451),0),
IF('TL09'!$B$3=O$3,SUMIF('TL09'!$C$10:$C$224,$C406,'TL09'!$J$10:$J$224),0),
IF('TL09'!$B$229=O$3,SUMIF('TL09'!$C$238:$C$451,$C406,'TL09'!$J$238:$J$451),0),
IF('TL10'!$B$3=O$3,SUMIF('TL10'!$C$10:$C$224,$C406,'TL10'!$J$10:$J$224),0),
IF('TL10'!$B$229=O$3,SUMIF('TL10'!$C$238:$C$451,$C406,'TL10'!$J$238:$J$451),0),
IF('TL11'!$B$3=O$3,SUMIF('TL11'!$C$10:$C$224,$C406,'TL11'!$J$10:$J$224),0),
IF('TL11'!$B$229=O$3,SUMIF('TL11'!$C$238:$C$451,$C406,'TL11'!$J$238:$J$451),0),
IF('TL12'!$B$3=O$3,SUMIF('TL12'!$C$10:$C$224,$C406,'TL12'!$J$10:$J$224),0),
IF('TL12'!$B$229=O$3,SUMIF('TL12'!$C$238:$C$451,$C406,'TL12'!$J$238:$J$451),0),
IF('TL13'!$B$3=O$3,SUMIF('TL13'!$C$10:$C$224,$C406,'TL13'!$J$10:$J$224),0),
IF('TL13'!$B$229=O$3,SUMIF('TL13'!$C$238:$C$451,$C406,'TL13'!$J$238:$J$451),0),
IF('TL14'!$B$3=O$3,SUMIF('TL14'!$C$10:$C$224,$C406,'TL14'!$J$10:$J$224),0),
IF('TL14'!$B$229=O$3,SUMIF('TL14'!$C$238:$C$451,$C406,'TL14'!$J$238:$J$451),0),
IF('TL15'!$B$3=O$3,SUMIF('TL15'!$C$10:$C$224,$C406,'TL15'!$J$10:$J$224),0),
IF('TL15'!$B$229=O$3,SUMIF('TL15'!$C$238:$C$451,$C406,'TL15'!$J$238:$J$451),0),
IF('TL16'!$B$3=O$3,SUMIF('TL16'!$C$10:$C$224,$C406,'TL16'!$J$10:$J$224),0),
IF('TL16'!$B$229=O$3,SUMIF('TL16'!$C$238:$C$451,$C406,'TL16'!$J$238:$J$451),0),
IF('TL17'!$B$3=O$3,SUMIF('TL17'!$C$10:$C$224,$C406,'TL17'!$J$10:$J$224),0),
IF('TL17'!$B$229=O$3,SUMIF('TL17'!$C$238:$C$451,$C406,'TL17'!$J$238:$J$451),0),
IF('TL18'!$B$3=O$3,SUMIF('TL18'!$C$10:$C$224,$C406,'TL18'!$J$10:$J$224),0),
IF('TL18'!$B$229=O$3,SUMIF('TL18'!$C$238:$C$451,$C406,'TL18'!$J$238:$J$451),0),
IF('TL19'!$B$3=O$3,SUMIF('TL19'!$C$10:$C$224,$C406,'TL19'!$J$10:$J$224),0),
IF('TL19'!$B$229=O$3,SUMIF('TL19'!$C$238:$C$451,$C406,'TL19'!$J$238:$J$451),0)
),0)</f>
        <v>103.4</v>
      </c>
      <c r="P406" s="136">
        <f>IFERROR(SUM(
IF('TL01'!$B$3=P$3,SUMIF('TL01'!$C$10:$C$224,$C406,'TL01'!$J$10:$J$224),0),
IF('TL01'!$B$229=P$3,SUMIF('TL01'!$C$238:$C$451,$C406,'TL01'!$J$238:$J$451),0),
IF('TL02'!$B$3=P$3,SUMIF('TL02'!$C$10:$C$224,$C406,'TL02'!$J$10:$J$224),0),
IF('TL02'!$B$229=P$3,SUMIF('TL02'!$C$238:$C$451,$C406,'TL02'!$J$238:$J$451),0),
IF('TL03'!$B$3=P$3,SUMIF('TL03'!$C$10:$C$224,$C406,'TL03'!$J$10:$J$224),0),
IF('TL03'!$B$229=P$3,SUMIF('TL03'!$C$238:$C$451,$C406,'TL03'!$J$238:$J$451),0),
IF('TL04'!$B$3=P$3,SUMIF('TL04'!$C$10:$C$224,$C406,'TL04'!$J$10:$J$224),0),
IF('TL04'!$B$229=P$3,SUMIF('TL04'!$C$238:$C$451,$C406,'TL04'!$J$238:$J$451),0),
IF('TL05'!$B$3=P$3,SUMIF('TL05'!$C$10:$C$224,$C406,'TL05'!$J$10:$J$224),0),
IF('TL05'!$B$229=P$3,SUMIF('TL05'!$C$238:$C$451,$C406,'TL05'!$J$238:$J$451),0),
IF('TL06'!$B$3=P$3,SUMIF('TL06'!$C$10:$C$224,$C406,'TL06'!$J$10:$J$224),0),
IF('TL06'!$B$229=P$3,SUMIF('TL06'!$C$238:$C$451,$C406,'TL06'!$J$238:$J$451),0),
IF('TL07'!$B$3=P$3,SUMIF('TL07'!$C$10:$C$224,$C406,'TL07'!$J$10:$J$224),0),
IF('TL07'!$B$229=P$3,SUMIF('TL07'!$C$238:$C$451,$C406,'TL07'!$J$238:$J$451),0),
IF('TL08'!$B$3=P$3,SUMIF('TL08'!$C$10:$C$224,$C406,'TL08'!$J$10:$J$224),0),
IF('TL08'!$B$229=P$3,SUMIF('TL08'!$C$238:$C$451,$C406,'TL08'!$J$238:$J$451),0),
IF('TL09'!$B$3=P$3,SUMIF('TL09'!$C$10:$C$224,$C406,'TL09'!$J$10:$J$224),0),
IF('TL09'!$B$229=P$3,SUMIF('TL09'!$C$238:$C$451,$C406,'TL09'!$J$238:$J$451),0),
IF('TL10'!$B$3=P$3,SUMIF('TL10'!$C$10:$C$224,$C406,'TL10'!$J$10:$J$224),0),
IF('TL10'!$B$229=P$3,SUMIF('TL10'!$C$238:$C$451,$C406,'TL10'!$J$238:$J$451),0),
IF('TL11'!$B$3=P$3,SUMIF('TL11'!$C$10:$C$224,$C406,'TL11'!$J$10:$J$224),0),
IF('TL11'!$B$229=P$3,SUMIF('TL11'!$C$238:$C$451,$C406,'TL11'!$J$238:$J$451),0),
IF('TL12'!$B$3=P$3,SUMIF('TL12'!$C$10:$C$224,$C406,'TL12'!$J$10:$J$224),0),
IF('TL12'!$B$229=P$3,SUMIF('TL12'!$C$238:$C$451,$C406,'TL12'!$J$238:$J$451),0),
IF('TL13'!$B$3=P$3,SUMIF('TL13'!$C$10:$C$224,$C406,'TL13'!$J$10:$J$224),0),
IF('TL13'!$B$229=P$3,SUMIF('TL13'!$C$238:$C$451,$C406,'TL13'!$J$238:$J$451),0),
IF('TL14'!$B$3=P$3,SUMIF('TL14'!$C$10:$C$224,$C406,'TL14'!$J$10:$J$224),0),
IF('TL14'!$B$229=P$3,SUMIF('TL14'!$C$238:$C$451,$C406,'TL14'!$J$238:$J$451),0),
IF('TL15'!$B$3=P$3,SUMIF('TL15'!$C$10:$C$224,$C406,'TL15'!$J$10:$J$224),0),
IF('TL15'!$B$229=P$3,SUMIF('TL15'!$C$238:$C$451,$C406,'TL15'!$J$238:$J$451),0),
IF('TL16'!$B$3=P$3,SUMIF('TL16'!$C$10:$C$224,$C406,'TL16'!$J$10:$J$224),0),
IF('TL16'!$B$229=P$3,SUMIF('TL16'!$C$238:$C$451,$C406,'TL16'!$J$238:$J$451),0),
IF('TL17'!$B$3=P$3,SUMIF('TL17'!$C$10:$C$224,$C406,'TL17'!$J$10:$J$224),0),
IF('TL17'!$B$229=P$3,SUMIF('TL17'!$C$238:$C$451,$C406,'TL17'!$J$238:$J$451),0),
IF('TL18'!$B$3=P$3,SUMIF('TL18'!$C$10:$C$224,$C406,'TL18'!$J$10:$J$224),0),
IF('TL18'!$B$229=P$3,SUMIF('TL18'!$C$238:$C$451,$C406,'TL18'!$J$238:$J$451),0),
IF('TL19'!$B$3=P$3,SUMIF('TL19'!$C$10:$C$224,$C406,'TL19'!$J$10:$J$224),0),
IF('TL19'!$B$229=P$3,SUMIF('TL19'!$C$238:$C$451,$C406,'TL19'!$J$238:$J$451),0)
),0)</f>
        <v>0</v>
      </c>
      <c r="Q406" s="136">
        <f>IFERROR(SUM(
IF('TL01'!$B$3=Q$3,SUMIF('TL01'!$C$10:$C$224,$C406,'TL01'!$J$10:$J$224),0),
IF('TL01'!$B$229=Q$3,SUMIF('TL01'!$C$238:$C$451,$C406,'TL01'!$J$238:$J$451),0),
IF('TL02'!$B$3=Q$3,SUMIF('TL02'!$C$10:$C$224,$C406,'TL02'!$J$10:$J$224),0),
IF('TL02'!$B$229=Q$3,SUMIF('TL02'!$C$238:$C$451,$C406,'TL02'!$J$238:$J$451),0),
IF('TL03'!$B$3=Q$3,SUMIF('TL03'!$C$10:$C$224,$C406,'TL03'!$J$10:$J$224),0),
IF('TL03'!$B$229=Q$3,SUMIF('TL03'!$C$238:$C$451,$C406,'TL03'!$J$238:$J$451),0),
IF('TL04'!$B$3=Q$3,SUMIF('TL04'!$C$10:$C$224,$C406,'TL04'!$J$10:$J$224),0),
IF('TL04'!$B$229=Q$3,SUMIF('TL04'!$C$238:$C$451,$C406,'TL04'!$J$238:$J$451),0),
IF('TL05'!$B$3=Q$3,SUMIF('TL05'!$C$10:$C$224,$C406,'TL05'!$J$10:$J$224),0),
IF('TL05'!$B$229=Q$3,SUMIF('TL05'!$C$238:$C$451,$C406,'TL05'!$J$238:$J$451),0),
IF('TL06'!$B$3=Q$3,SUMIF('TL06'!$C$10:$C$224,$C406,'TL06'!$J$10:$J$224),0),
IF('TL06'!$B$229=Q$3,SUMIF('TL06'!$C$238:$C$451,$C406,'TL06'!$J$238:$J$451),0),
IF('TL07'!$B$3=Q$3,SUMIF('TL07'!$C$10:$C$224,$C406,'TL07'!$J$10:$J$224),0),
IF('TL07'!$B$229=Q$3,SUMIF('TL07'!$C$238:$C$451,$C406,'TL07'!$J$238:$J$451),0),
IF('TL08'!$B$3=Q$3,SUMIF('TL08'!$C$10:$C$224,$C406,'TL08'!$J$10:$J$224),0),
IF('TL08'!$B$229=Q$3,SUMIF('TL08'!$C$238:$C$451,$C406,'TL08'!$J$238:$J$451),0),
IF('TL09'!$B$3=Q$3,SUMIF('TL09'!$C$10:$C$224,$C406,'TL09'!$J$10:$J$224),0),
IF('TL09'!$B$229=Q$3,SUMIF('TL09'!$C$238:$C$451,$C406,'TL09'!$J$238:$J$451),0),
IF('TL10'!$B$3=Q$3,SUMIF('TL10'!$C$10:$C$224,$C406,'TL10'!$J$10:$J$224),0),
IF('TL10'!$B$229=Q$3,SUMIF('TL10'!$C$238:$C$451,$C406,'TL10'!$J$238:$J$451),0),
IF('TL11'!$B$3=Q$3,SUMIF('TL11'!$C$10:$C$224,$C406,'TL11'!$J$10:$J$224),0),
IF('TL11'!$B$229=Q$3,SUMIF('TL11'!$C$238:$C$451,$C406,'TL11'!$J$238:$J$451),0),
IF('TL12'!$B$3=Q$3,SUMIF('TL12'!$C$10:$C$224,$C406,'TL12'!$J$10:$J$224),0),
IF('TL12'!$B$229=Q$3,SUMIF('TL12'!$C$238:$C$451,$C406,'TL12'!$J$238:$J$451),0),
IF('TL13'!$B$3=Q$3,SUMIF('TL13'!$C$10:$C$224,$C406,'TL13'!$J$10:$J$224),0),
IF('TL13'!$B$229=Q$3,SUMIF('TL13'!$C$238:$C$451,$C406,'TL13'!$J$238:$J$451),0),
IF('TL14'!$B$3=Q$3,SUMIF('TL14'!$C$10:$C$224,$C406,'TL14'!$J$10:$J$224),0),
IF('TL14'!$B$229=Q$3,SUMIF('TL14'!$C$238:$C$451,$C406,'TL14'!$J$238:$J$451),0),
IF('TL15'!$B$3=Q$3,SUMIF('TL15'!$C$10:$C$224,$C406,'TL15'!$J$10:$J$224),0),
IF('TL15'!$B$229=Q$3,SUMIF('TL15'!$C$238:$C$451,$C406,'TL15'!$J$238:$J$451),0),
IF('TL16'!$B$3=Q$3,SUMIF('TL16'!$C$10:$C$224,$C406,'TL16'!$J$10:$J$224),0),
IF('TL16'!$B$229=Q$3,SUMIF('TL16'!$C$238:$C$451,$C406,'TL16'!$J$238:$J$451),0),
IF('TL17'!$B$3=Q$3,SUMIF('TL17'!$C$10:$C$224,$C406,'TL17'!$J$10:$J$224),0),
IF('TL17'!$B$229=Q$3,SUMIF('TL17'!$C$238:$C$451,$C406,'TL17'!$J$238:$J$451),0),
IF('TL18'!$B$3=Q$3,SUMIF('TL18'!$C$10:$C$224,$C406,'TL18'!$J$10:$J$224),0),
IF('TL18'!$B$229=Q$3,SUMIF('TL18'!$C$238:$C$451,$C406,'TL18'!$J$238:$J$451),0),
IF('TL19'!$B$3=Q$3,SUMIF('TL19'!$C$10:$C$224,$C406,'TL19'!$J$10:$J$224),0),
IF('TL19'!$B$229=Q$3,SUMIF('TL19'!$C$238:$C$451,$C406,'TL19'!$J$238:$J$451),0)
),0)</f>
        <v>0</v>
      </c>
      <c r="R406" s="139">
        <f>IFERROR(
SUM(
SUMIF('TL01'!C:C,C406,'TL01'!J:J),
SUMIF('TL02'!C:C,C406,'TL02'!I:I),
SUMIF('TL03'!C:C,C406,'TL03'!I:I),
SUMIF('TL04'!C:C,C406,'TL04'!I:I),
SUMIF('TL05'!C:C,C406,'TL05'!I:I),
SUMIF('TL06'!C:C,C406,'TL06'!I:I),
SUMIF('TL07'!C:C,C406,'TL07'!I:I),
SUMIF('TL08'!C:C,C406,'TL08'!I:I),
SUMIF('TL09'!C:C,C406,'TL09'!I:I),
SUMIF('TL10'!C:C,C406,'TL10'!I:I),
SUMIF('TL11'!C:C,C406,'TL11'!I:I),
SUMIF('TL12'!C:C,C406,'TL12'!I:I),
SUMIF('TL13'!C:C,C406,'TL13'!I:I),
SUMIF('TL14'!C:C,C406,'TL14'!I:I),
SUMIF('TL15'!C:C,C406,'TL15'!I:I),
SUMIF('TL16'!C:C,C406,'TL16'!I:I),
SUMIF('TL17'!C:C,C406,'TL17'!I:I),
SUMIF('TL18'!C:C,C406,'TL18'!I:I))
,0)</f>
        <v>0.47</v>
      </c>
      <c r="S406" s="142">
        <f>'CUSTO OPERAÇÃO'!M10</f>
        <v>300</v>
      </c>
      <c r="T406" s="139"/>
      <c r="U406" s="143">
        <f t="shared" si="2"/>
        <v>0.47</v>
      </c>
      <c r="V406" s="144">
        <f t="shared" si="3"/>
        <v>141</v>
      </c>
    </row>
    <row r="407" ht="15.75" hidden="1" customHeight="1">
      <c r="A407" s="145"/>
      <c r="B407" s="146" t="s">
        <v>10</v>
      </c>
      <c r="C407" s="147" t="str">
        <f>'CUSTO OPERAÇÃO'!D11</f>
        <v>PULVERIZADOR- JD4730 + PULVERIZADOR- JD4730</v>
      </c>
      <c r="D407" s="147"/>
      <c r="E407" s="148"/>
      <c r="F407" s="138" t="s">
        <v>1133</v>
      </c>
      <c r="G407" s="139"/>
      <c r="H407" s="140">
        <f>'CUSTO OPERAÇÃO'!J11</f>
        <v>0.01960784314</v>
      </c>
      <c r="I407" s="149"/>
      <c r="J407" s="147">
        <f>IFERROR(SUM(
IF('TL01'!$B$3=J$3,SUMIF('TL01'!$C$10:$C$224,$C407,'TL01'!$J$10:$J$224),0),
IF('TL01'!$B$229=J$3,SUMIF('TL01'!$C$238:$C$451,$C407,'TL01'!$J$238:$J$451),0),
IF('TL02'!$B$3=J$3,SUMIF('TL02'!$C$10:$C$224,$C407,'TL02'!$J$10:$J$224),0),
IF('TL02'!$B$229=J$3,SUMIF('TL02'!$C$238:$C$451,$C407,'TL02'!$J$238:$J$451),0),
IF('TL03'!$B$3=J$3,SUMIF('TL03'!$C$10:$C$224,$C407,'TL03'!$J$10:$J$224),0),
IF('TL03'!$B$229=J$3,SUMIF('TL03'!$C$238:$C$451,$C407,'TL03'!$J$238:$J$451),0),
IF('TL04'!$B$3=J$3,SUMIF('TL04'!$C$10:$C$224,$C407,'TL04'!$J$10:$J$224),0),
IF('TL04'!$B$229=J$3,SUMIF('TL04'!$C$238:$C$451,$C407,'TL04'!$J$238:$J$451),0),
IF('TL05'!$B$3=J$3,SUMIF('TL05'!$C$10:$C$224,$C407,'TL05'!$J$10:$J$224),0),
IF('TL05'!$B$229=J$3,SUMIF('TL05'!$C$238:$C$451,$C407,'TL05'!$J$238:$J$451),0),
IF('TL06'!$B$3=J$3,SUMIF('TL06'!$C$10:$C$224,$C407,'TL06'!$J$10:$J$224),0),
IF('TL06'!$B$229=J$3,SUMIF('TL06'!$C$238:$C$451,$C407,'TL06'!$J$238:$J$451),0),
IF('TL07'!$B$3=J$3,SUMIF('TL07'!$C$10:$C$224,$C407,'TL07'!$J$10:$J$224),0),
IF('TL07'!$B$229=J$3,SUMIF('TL07'!$C$238:$C$451,$C407,'TL07'!$J$238:$J$451),0),
IF('TL08'!$B$3=J$3,SUMIF('TL08'!$C$10:$C$224,$C407,'TL08'!$J$10:$J$224),0),
IF('TL08'!$B$229=J$3,SUMIF('TL08'!$C$238:$C$451,$C407,'TL08'!$J$238:$J$451),0),
IF('TL09'!$B$3=J$3,SUMIF('TL09'!$C$10:$C$224,$C407,'TL09'!$J$10:$J$224),0),
IF('TL09'!$B$229=J$3,SUMIF('TL09'!$C$238:$C$451,$C407,'TL09'!$J$238:$J$451),0),
IF('TL10'!$B$3=J$3,SUMIF('TL10'!$C$10:$C$224,$C407,'TL10'!$J$10:$J$224),0),
IF('TL10'!$B$229=J$3,SUMIF('TL10'!$C$238:$C$451,$C407,'TL10'!$J$238:$J$451),0),
IF('TL11'!$B$3=J$3,SUMIF('TL11'!$C$10:$C$224,$C407,'TL11'!$J$10:$J$224),0),
IF('TL11'!$B$229=J$3,SUMIF('TL11'!$C$238:$C$451,$C407,'TL11'!$J$238:$J$451),0),
IF('TL12'!$B$3=J$3,SUMIF('TL12'!$C$10:$C$224,$C407,'TL12'!$J$10:$J$224),0),
IF('TL12'!$B$229=J$3,SUMIF('TL12'!$C$238:$C$451,$C407,'TL12'!$J$238:$J$451),0),
IF('TL13'!$B$3=J$3,SUMIF('TL13'!$C$10:$C$224,$C407,'TL13'!$J$10:$J$224),0),
IF('TL13'!$B$229=J$3,SUMIF('TL13'!$C$238:$C$451,$C407,'TL13'!$J$238:$J$451),0),
IF('TL14'!$B$3=J$3,SUMIF('TL14'!$C$10:$C$224,$C407,'TL14'!$J$10:$J$224),0),
IF('TL14'!$B$229=J$3,SUMIF('TL14'!$C$238:$C$451,$C407,'TL14'!$J$238:$J$451),0),
IF('TL15'!$B$3=J$3,SUMIF('TL15'!$C$10:$C$224,$C407,'TL15'!$J$10:$J$224),0),
IF('TL15'!$B$229=J$3,SUMIF('TL15'!$C$238:$C$451,$C407,'TL15'!$J$238:$J$451),0),
IF('TL16'!$B$3=J$3,SUMIF('TL16'!$C$10:$C$224,$C407,'TL16'!$J$10:$J$224),0),
IF('TL16'!$B$229=J$3,SUMIF('TL16'!$C$238:$C$451,$C407,'TL16'!$J$238:$J$451),0),
IF('TL17'!$B$3=J$3,SUMIF('TL17'!$C$10:$C$224,$C407,'TL17'!$J$10:$J$224),0),
IF('TL17'!$B$229=J$3,SUMIF('TL17'!$C$238:$C$451,$C407,'TL17'!$J$238:$J$451),0),
IF('TL18'!$B$3=J$3,SUMIF('TL18'!$C$10:$C$224,$C407,'TL18'!$J$10:$J$224),0),
IF('TL18'!$B$229=J$3,SUMIF('TL18'!$C$238:$C$451,$C407,'TL18'!$J$238:$J$451),0),
IF('TL19'!$B$3=J$3,SUMIF('TL19'!$C$10:$C$224,$C407,'TL19'!$J$10:$J$224),0),
IF('TL19'!$B$229=J$3,SUMIF('TL19'!$C$238:$C$451,$C407,'TL19'!$J$238:$J$451),0)
),0)</f>
        <v>0</v>
      </c>
      <c r="K407" s="147">
        <f>IFERROR(SUM(
IF('TL01'!$B$3=K$3,SUMIF('TL01'!$C$10:$C$224,$C407,'TL01'!$J$10:$J$224),0),
IF('TL01'!$B$229=K$3,SUMIF('TL01'!$C$238:$C$451,$C407,'TL01'!$J$238:$J$451),0),
IF('TL02'!$B$3=K$3,SUMIF('TL02'!$C$10:$C$224,$C407,'TL02'!$J$10:$J$224),0),
IF('TL02'!$B$229=K$3,SUMIF('TL02'!$C$238:$C$451,$C407,'TL02'!$J$238:$J$451),0),
IF('TL03'!$B$3=K$3,SUMIF('TL03'!$C$10:$C$224,$C407,'TL03'!$J$10:$J$224),0),
IF('TL03'!$B$229=K$3,SUMIF('TL03'!$C$238:$C$451,$C407,'TL03'!$J$238:$J$451),0),
IF('TL04'!$B$3=K$3,SUMIF('TL04'!$C$10:$C$224,$C407,'TL04'!$J$10:$J$224),0),
IF('TL04'!$B$229=K$3,SUMIF('TL04'!$C$238:$C$451,$C407,'TL04'!$J$238:$J$451),0),
IF('TL05'!$B$3=K$3,SUMIF('TL05'!$C$10:$C$224,$C407,'TL05'!$J$10:$J$224),0),
IF('TL05'!$B$229=K$3,SUMIF('TL05'!$C$238:$C$451,$C407,'TL05'!$J$238:$J$451),0),
IF('TL06'!$B$3=K$3,SUMIF('TL06'!$C$10:$C$224,$C407,'TL06'!$J$10:$J$224),0),
IF('TL06'!$B$229=K$3,SUMIF('TL06'!$C$238:$C$451,$C407,'TL06'!$J$238:$J$451),0),
IF('TL07'!$B$3=K$3,SUMIF('TL07'!$C$10:$C$224,$C407,'TL07'!$J$10:$J$224),0),
IF('TL07'!$B$229=K$3,SUMIF('TL07'!$C$238:$C$451,$C407,'TL07'!$J$238:$J$451),0),
IF('TL08'!$B$3=K$3,SUMIF('TL08'!$C$10:$C$224,$C407,'TL08'!$J$10:$J$224),0),
IF('TL08'!$B$229=K$3,SUMIF('TL08'!$C$238:$C$451,$C407,'TL08'!$J$238:$J$451),0),
IF('TL09'!$B$3=K$3,SUMIF('TL09'!$C$10:$C$224,$C407,'TL09'!$J$10:$J$224),0),
IF('TL09'!$B$229=K$3,SUMIF('TL09'!$C$238:$C$451,$C407,'TL09'!$J$238:$J$451),0),
IF('TL10'!$B$3=K$3,SUMIF('TL10'!$C$10:$C$224,$C407,'TL10'!$J$10:$J$224),0),
IF('TL10'!$B$229=K$3,SUMIF('TL10'!$C$238:$C$451,$C407,'TL10'!$J$238:$J$451),0),
IF('TL11'!$B$3=K$3,SUMIF('TL11'!$C$10:$C$224,$C407,'TL11'!$J$10:$J$224),0),
IF('TL11'!$B$229=K$3,SUMIF('TL11'!$C$238:$C$451,$C407,'TL11'!$J$238:$J$451),0),
IF('TL12'!$B$3=K$3,SUMIF('TL12'!$C$10:$C$224,$C407,'TL12'!$J$10:$J$224),0),
IF('TL12'!$B$229=K$3,SUMIF('TL12'!$C$238:$C$451,$C407,'TL12'!$J$238:$J$451),0),
IF('TL13'!$B$3=K$3,SUMIF('TL13'!$C$10:$C$224,$C407,'TL13'!$J$10:$J$224),0),
IF('TL13'!$B$229=K$3,SUMIF('TL13'!$C$238:$C$451,$C407,'TL13'!$J$238:$J$451),0),
IF('TL14'!$B$3=K$3,SUMIF('TL14'!$C$10:$C$224,$C407,'TL14'!$J$10:$J$224),0),
IF('TL14'!$B$229=K$3,SUMIF('TL14'!$C$238:$C$451,$C407,'TL14'!$J$238:$J$451),0),
IF('TL15'!$B$3=K$3,SUMIF('TL15'!$C$10:$C$224,$C407,'TL15'!$J$10:$J$224),0),
IF('TL15'!$B$229=K$3,SUMIF('TL15'!$C$238:$C$451,$C407,'TL15'!$J$238:$J$451),0),
IF('TL16'!$B$3=K$3,SUMIF('TL16'!$C$10:$C$224,$C407,'TL16'!$J$10:$J$224),0),
IF('TL16'!$B$229=K$3,SUMIF('TL16'!$C$238:$C$451,$C407,'TL16'!$J$238:$J$451),0),
IF('TL17'!$B$3=K$3,SUMIF('TL17'!$C$10:$C$224,$C407,'TL17'!$J$10:$J$224),0),
IF('TL17'!$B$229=K$3,SUMIF('TL17'!$C$238:$C$451,$C407,'TL17'!$J$238:$J$451),0),
IF('TL18'!$B$3=K$3,SUMIF('TL18'!$C$10:$C$224,$C407,'TL18'!$J$10:$J$224),0),
IF('TL18'!$B$229=K$3,SUMIF('TL18'!$C$238:$C$451,$C407,'TL18'!$J$238:$J$451),0),
IF('TL19'!$B$3=K$3,SUMIF('TL19'!$C$10:$C$224,$C407,'TL19'!$J$10:$J$224),0),
IF('TL19'!$B$229=K$3,SUMIF('TL19'!$C$238:$C$451,$C407,'TL19'!$J$238:$J$451),0)
),0)</f>
        <v>17.64705882</v>
      </c>
      <c r="L407" s="147">
        <f>IFERROR(SUM(
IF('TL01'!$B$3=L$3,SUMIF('TL01'!$C$10:$C$224,$C407,'TL01'!$J$10:$J$224),0),
IF('TL01'!$B$229=L$3,SUMIF('TL01'!$C$238:$C$451,$C407,'TL01'!$J$238:$J$451),0),
IF('TL02'!$B$3=L$3,SUMIF('TL02'!$C$10:$C$224,$C407,'TL02'!$J$10:$J$224),0),
IF('TL02'!$B$229=L$3,SUMIF('TL02'!$C$238:$C$451,$C407,'TL02'!$J$238:$J$451),0),
IF('TL03'!$B$3=L$3,SUMIF('TL03'!$C$10:$C$224,$C407,'TL03'!$J$10:$J$224),0),
IF('TL03'!$B$229=L$3,SUMIF('TL03'!$C$238:$C$451,$C407,'TL03'!$J$238:$J$451),0),
IF('TL04'!$B$3=L$3,SUMIF('TL04'!$C$10:$C$224,$C407,'TL04'!$J$10:$J$224),0),
IF('TL04'!$B$229=L$3,SUMIF('TL04'!$C$238:$C$451,$C407,'TL04'!$J$238:$J$451),0),
IF('TL05'!$B$3=L$3,SUMIF('TL05'!$C$10:$C$224,$C407,'TL05'!$J$10:$J$224),0),
IF('TL05'!$B$229=L$3,SUMIF('TL05'!$C$238:$C$451,$C407,'TL05'!$J$238:$J$451),0),
IF('TL06'!$B$3=L$3,SUMIF('TL06'!$C$10:$C$224,$C407,'TL06'!$J$10:$J$224),0),
IF('TL06'!$B$229=L$3,SUMIF('TL06'!$C$238:$C$451,$C407,'TL06'!$J$238:$J$451),0),
IF('TL07'!$B$3=L$3,SUMIF('TL07'!$C$10:$C$224,$C407,'TL07'!$J$10:$J$224),0),
IF('TL07'!$B$229=L$3,SUMIF('TL07'!$C$238:$C$451,$C407,'TL07'!$J$238:$J$451),0),
IF('TL08'!$B$3=L$3,SUMIF('TL08'!$C$10:$C$224,$C407,'TL08'!$J$10:$J$224),0),
IF('TL08'!$B$229=L$3,SUMIF('TL08'!$C$238:$C$451,$C407,'TL08'!$J$238:$J$451),0),
IF('TL09'!$B$3=L$3,SUMIF('TL09'!$C$10:$C$224,$C407,'TL09'!$J$10:$J$224),0),
IF('TL09'!$B$229=L$3,SUMIF('TL09'!$C$238:$C$451,$C407,'TL09'!$J$238:$J$451),0),
IF('TL10'!$B$3=L$3,SUMIF('TL10'!$C$10:$C$224,$C407,'TL10'!$J$10:$J$224),0),
IF('TL10'!$B$229=L$3,SUMIF('TL10'!$C$238:$C$451,$C407,'TL10'!$J$238:$J$451),0),
IF('TL11'!$B$3=L$3,SUMIF('TL11'!$C$10:$C$224,$C407,'TL11'!$J$10:$J$224),0),
IF('TL11'!$B$229=L$3,SUMIF('TL11'!$C$238:$C$451,$C407,'TL11'!$J$238:$J$451),0),
IF('TL12'!$B$3=L$3,SUMIF('TL12'!$C$10:$C$224,$C407,'TL12'!$J$10:$J$224),0),
IF('TL12'!$B$229=L$3,SUMIF('TL12'!$C$238:$C$451,$C407,'TL12'!$J$238:$J$451),0),
IF('TL13'!$B$3=L$3,SUMIF('TL13'!$C$10:$C$224,$C407,'TL13'!$J$10:$J$224),0),
IF('TL13'!$B$229=L$3,SUMIF('TL13'!$C$238:$C$451,$C407,'TL13'!$J$238:$J$451),0),
IF('TL14'!$B$3=L$3,SUMIF('TL14'!$C$10:$C$224,$C407,'TL14'!$J$10:$J$224),0),
IF('TL14'!$B$229=L$3,SUMIF('TL14'!$C$238:$C$451,$C407,'TL14'!$J$238:$J$451),0),
IF('TL15'!$B$3=L$3,SUMIF('TL15'!$C$10:$C$224,$C407,'TL15'!$J$10:$J$224),0),
IF('TL15'!$B$229=L$3,SUMIF('TL15'!$C$238:$C$451,$C407,'TL15'!$J$238:$J$451),0),
IF('TL16'!$B$3=L$3,SUMIF('TL16'!$C$10:$C$224,$C407,'TL16'!$J$10:$J$224),0),
IF('TL16'!$B$229=L$3,SUMIF('TL16'!$C$238:$C$451,$C407,'TL16'!$J$238:$J$451),0),
IF('TL17'!$B$3=L$3,SUMIF('TL17'!$C$10:$C$224,$C407,'TL17'!$J$10:$J$224),0),
IF('TL17'!$B$229=L$3,SUMIF('TL17'!$C$238:$C$451,$C407,'TL17'!$J$238:$J$451),0),
IF('TL18'!$B$3=L$3,SUMIF('TL18'!$C$10:$C$224,$C407,'TL18'!$J$10:$J$224),0),
IF('TL18'!$B$229=L$3,SUMIF('TL18'!$C$238:$C$451,$C407,'TL18'!$J$238:$J$451),0),
IF('TL19'!$B$3=L$3,SUMIF('TL19'!$C$10:$C$224,$C407,'TL19'!$J$10:$J$224),0),
IF('TL19'!$B$229=L$3,SUMIF('TL19'!$C$238:$C$451,$C407,'TL19'!$J$238:$J$451),0)
),0)</f>
        <v>12.94117647</v>
      </c>
      <c r="M407" s="147">
        <f>IFERROR(SUM(
IF('TL01'!$B$3=M$3,SUMIF('TL01'!$C$10:$C$224,$C407,'TL01'!$J$10:$J$224),0),
IF('TL01'!$B$229=M$3,SUMIF('TL01'!$C$238:$C$451,$C407,'TL01'!$J$238:$J$451),0),
IF('TL02'!$B$3=M$3,SUMIF('TL02'!$C$10:$C$224,$C407,'TL02'!$J$10:$J$224),0),
IF('TL02'!$B$229=M$3,SUMIF('TL02'!$C$238:$C$451,$C407,'TL02'!$J$238:$J$451),0),
IF('TL03'!$B$3=M$3,SUMIF('TL03'!$C$10:$C$224,$C407,'TL03'!$J$10:$J$224),0),
IF('TL03'!$B$229=M$3,SUMIF('TL03'!$C$238:$C$451,$C407,'TL03'!$J$238:$J$451),0),
IF('TL04'!$B$3=M$3,SUMIF('TL04'!$C$10:$C$224,$C407,'TL04'!$J$10:$J$224),0),
IF('TL04'!$B$229=M$3,SUMIF('TL04'!$C$238:$C$451,$C407,'TL04'!$J$238:$J$451),0),
IF('TL05'!$B$3=M$3,SUMIF('TL05'!$C$10:$C$224,$C407,'TL05'!$J$10:$J$224),0),
IF('TL05'!$B$229=M$3,SUMIF('TL05'!$C$238:$C$451,$C407,'TL05'!$J$238:$J$451),0),
IF('TL06'!$B$3=M$3,SUMIF('TL06'!$C$10:$C$224,$C407,'TL06'!$J$10:$J$224),0),
IF('TL06'!$B$229=M$3,SUMIF('TL06'!$C$238:$C$451,$C407,'TL06'!$J$238:$J$451),0),
IF('TL07'!$B$3=M$3,SUMIF('TL07'!$C$10:$C$224,$C407,'TL07'!$J$10:$J$224),0),
IF('TL07'!$B$229=M$3,SUMIF('TL07'!$C$238:$C$451,$C407,'TL07'!$J$238:$J$451),0),
IF('TL08'!$B$3=M$3,SUMIF('TL08'!$C$10:$C$224,$C407,'TL08'!$J$10:$J$224),0),
IF('TL08'!$B$229=M$3,SUMIF('TL08'!$C$238:$C$451,$C407,'TL08'!$J$238:$J$451),0),
IF('TL09'!$B$3=M$3,SUMIF('TL09'!$C$10:$C$224,$C407,'TL09'!$J$10:$J$224),0),
IF('TL09'!$B$229=M$3,SUMIF('TL09'!$C$238:$C$451,$C407,'TL09'!$J$238:$J$451),0),
IF('TL10'!$B$3=M$3,SUMIF('TL10'!$C$10:$C$224,$C407,'TL10'!$J$10:$J$224),0),
IF('TL10'!$B$229=M$3,SUMIF('TL10'!$C$238:$C$451,$C407,'TL10'!$J$238:$J$451),0),
IF('TL11'!$B$3=M$3,SUMIF('TL11'!$C$10:$C$224,$C407,'TL11'!$J$10:$J$224),0),
IF('TL11'!$B$229=M$3,SUMIF('TL11'!$C$238:$C$451,$C407,'TL11'!$J$238:$J$451),0),
IF('TL12'!$B$3=M$3,SUMIF('TL12'!$C$10:$C$224,$C407,'TL12'!$J$10:$J$224),0),
IF('TL12'!$B$229=M$3,SUMIF('TL12'!$C$238:$C$451,$C407,'TL12'!$J$238:$J$451),0),
IF('TL13'!$B$3=M$3,SUMIF('TL13'!$C$10:$C$224,$C407,'TL13'!$J$10:$J$224),0),
IF('TL13'!$B$229=M$3,SUMIF('TL13'!$C$238:$C$451,$C407,'TL13'!$J$238:$J$451),0),
IF('TL14'!$B$3=M$3,SUMIF('TL14'!$C$10:$C$224,$C407,'TL14'!$J$10:$J$224),0),
IF('TL14'!$B$229=M$3,SUMIF('TL14'!$C$238:$C$451,$C407,'TL14'!$J$238:$J$451),0),
IF('TL15'!$B$3=M$3,SUMIF('TL15'!$C$10:$C$224,$C407,'TL15'!$J$10:$J$224),0),
IF('TL15'!$B$229=M$3,SUMIF('TL15'!$C$238:$C$451,$C407,'TL15'!$J$238:$J$451),0),
IF('TL16'!$B$3=M$3,SUMIF('TL16'!$C$10:$C$224,$C407,'TL16'!$J$10:$J$224),0),
IF('TL16'!$B$229=M$3,SUMIF('TL16'!$C$238:$C$451,$C407,'TL16'!$J$238:$J$451),0),
IF('TL17'!$B$3=M$3,SUMIF('TL17'!$C$10:$C$224,$C407,'TL17'!$J$10:$J$224),0),
IF('TL17'!$B$229=M$3,SUMIF('TL17'!$C$238:$C$451,$C407,'TL17'!$J$238:$J$451),0),
IF('TL18'!$B$3=M$3,SUMIF('TL18'!$C$10:$C$224,$C407,'TL18'!$J$10:$J$224),0),
IF('TL18'!$B$229=M$3,SUMIF('TL18'!$C$238:$C$451,$C407,'TL18'!$J$238:$J$451),0),
IF('TL19'!$B$3=M$3,SUMIF('TL19'!$C$10:$C$224,$C407,'TL19'!$J$10:$J$224),0),
IF('TL19'!$B$229=M$3,SUMIF('TL19'!$C$238:$C$451,$C407,'TL19'!$J$238:$J$451),0)
),0)</f>
        <v>0</v>
      </c>
      <c r="N407" s="147">
        <f>IFERROR(SUM(
IF('TL01'!$B$3=N$3,SUMIF('TL01'!$C$10:$C$224,$C407,'TL01'!$J$10:$J$224),0),
IF('TL01'!$B$229=N$3,SUMIF('TL01'!$C$238:$C$451,$C407,'TL01'!$J$238:$J$451),0),
IF('TL02'!$B$3=N$3,SUMIF('TL02'!$C$10:$C$224,$C407,'TL02'!$J$10:$J$224),0),
IF('TL02'!$B$229=N$3,SUMIF('TL02'!$C$238:$C$451,$C407,'TL02'!$J$238:$J$451),0),
IF('TL03'!$B$3=N$3,SUMIF('TL03'!$C$10:$C$224,$C407,'TL03'!$J$10:$J$224),0),
IF('TL03'!$B$229=N$3,SUMIF('TL03'!$C$238:$C$451,$C407,'TL03'!$J$238:$J$451),0),
IF('TL04'!$B$3=N$3,SUMIF('TL04'!$C$10:$C$224,$C407,'TL04'!$J$10:$J$224),0),
IF('TL04'!$B$229=N$3,SUMIF('TL04'!$C$238:$C$451,$C407,'TL04'!$J$238:$J$451),0),
IF('TL05'!$B$3=N$3,SUMIF('TL05'!$C$10:$C$224,$C407,'TL05'!$J$10:$J$224),0),
IF('TL05'!$B$229=N$3,SUMIF('TL05'!$C$238:$C$451,$C407,'TL05'!$J$238:$J$451),0),
IF('TL06'!$B$3=N$3,SUMIF('TL06'!$C$10:$C$224,$C407,'TL06'!$J$10:$J$224),0),
IF('TL06'!$B$229=N$3,SUMIF('TL06'!$C$238:$C$451,$C407,'TL06'!$J$238:$J$451),0),
IF('TL07'!$B$3=N$3,SUMIF('TL07'!$C$10:$C$224,$C407,'TL07'!$J$10:$J$224),0),
IF('TL07'!$B$229=N$3,SUMIF('TL07'!$C$238:$C$451,$C407,'TL07'!$J$238:$J$451),0),
IF('TL08'!$B$3=N$3,SUMIF('TL08'!$C$10:$C$224,$C407,'TL08'!$J$10:$J$224),0),
IF('TL08'!$B$229=N$3,SUMIF('TL08'!$C$238:$C$451,$C407,'TL08'!$J$238:$J$451),0),
IF('TL09'!$B$3=N$3,SUMIF('TL09'!$C$10:$C$224,$C407,'TL09'!$J$10:$J$224),0),
IF('TL09'!$B$229=N$3,SUMIF('TL09'!$C$238:$C$451,$C407,'TL09'!$J$238:$J$451),0),
IF('TL10'!$B$3=N$3,SUMIF('TL10'!$C$10:$C$224,$C407,'TL10'!$J$10:$J$224),0),
IF('TL10'!$B$229=N$3,SUMIF('TL10'!$C$238:$C$451,$C407,'TL10'!$J$238:$J$451),0),
IF('TL11'!$B$3=N$3,SUMIF('TL11'!$C$10:$C$224,$C407,'TL11'!$J$10:$J$224),0),
IF('TL11'!$B$229=N$3,SUMIF('TL11'!$C$238:$C$451,$C407,'TL11'!$J$238:$J$451),0),
IF('TL12'!$B$3=N$3,SUMIF('TL12'!$C$10:$C$224,$C407,'TL12'!$J$10:$J$224),0),
IF('TL12'!$B$229=N$3,SUMIF('TL12'!$C$238:$C$451,$C407,'TL12'!$J$238:$J$451),0),
IF('TL13'!$B$3=N$3,SUMIF('TL13'!$C$10:$C$224,$C407,'TL13'!$J$10:$J$224),0),
IF('TL13'!$B$229=N$3,SUMIF('TL13'!$C$238:$C$451,$C407,'TL13'!$J$238:$J$451),0),
IF('TL14'!$B$3=N$3,SUMIF('TL14'!$C$10:$C$224,$C407,'TL14'!$J$10:$J$224),0),
IF('TL14'!$B$229=N$3,SUMIF('TL14'!$C$238:$C$451,$C407,'TL14'!$J$238:$J$451),0),
IF('TL15'!$B$3=N$3,SUMIF('TL15'!$C$10:$C$224,$C407,'TL15'!$J$10:$J$224),0),
IF('TL15'!$B$229=N$3,SUMIF('TL15'!$C$238:$C$451,$C407,'TL15'!$J$238:$J$451),0),
IF('TL16'!$B$3=N$3,SUMIF('TL16'!$C$10:$C$224,$C407,'TL16'!$J$10:$J$224),0),
IF('TL16'!$B$229=N$3,SUMIF('TL16'!$C$238:$C$451,$C407,'TL16'!$J$238:$J$451),0),
IF('TL17'!$B$3=N$3,SUMIF('TL17'!$C$10:$C$224,$C407,'TL17'!$J$10:$J$224),0),
IF('TL17'!$B$229=N$3,SUMIF('TL17'!$C$238:$C$451,$C407,'TL17'!$J$238:$J$451),0),
IF('TL18'!$B$3=N$3,SUMIF('TL18'!$C$10:$C$224,$C407,'TL18'!$J$10:$J$224),0),
IF('TL18'!$B$229=N$3,SUMIF('TL18'!$C$238:$C$451,$C407,'TL18'!$J$238:$J$451),0),
IF('TL19'!$B$3=N$3,SUMIF('TL19'!$C$10:$C$224,$C407,'TL19'!$J$10:$J$224),0),
IF('TL19'!$B$229=N$3,SUMIF('TL19'!$C$238:$C$451,$C407,'TL19'!$J$238:$J$451),0)
),0)</f>
        <v>0</v>
      </c>
      <c r="O407" s="147">
        <f>IFERROR(SUM(
IF('TL01'!$B$3=O$3,SUMIF('TL01'!$C$10:$C$224,$C407,'TL01'!$J$10:$J$224),0),
IF('TL01'!$B$229=O$3,SUMIF('TL01'!$C$238:$C$451,$C407,'TL01'!$J$238:$J$451),0),
IF('TL02'!$B$3=O$3,SUMIF('TL02'!$C$10:$C$224,$C407,'TL02'!$J$10:$J$224),0),
IF('TL02'!$B$229=O$3,SUMIF('TL02'!$C$238:$C$451,$C407,'TL02'!$J$238:$J$451),0),
IF('TL03'!$B$3=O$3,SUMIF('TL03'!$C$10:$C$224,$C407,'TL03'!$J$10:$J$224),0),
IF('TL03'!$B$229=O$3,SUMIF('TL03'!$C$238:$C$451,$C407,'TL03'!$J$238:$J$451),0),
IF('TL04'!$B$3=O$3,SUMIF('TL04'!$C$10:$C$224,$C407,'TL04'!$J$10:$J$224),0),
IF('TL04'!$B$229=O$3,SUMIF('TL04'!$C$238:$C$451,$C407,'TL04'!$J$238:$J$451),0),
IF('TL05'!$B$3=O$3,SUMIF('TL05'!$C$10:$C$224,$C407,'TL05'!$J$10:$J$224),0),
IF('TL05'!$B$229=O$3,SUMIF('TL05'!$C$238:$C$451,$C407,'TL05'!$J$238:$J$451),0),
IF('TL06'!$B$3=O$3,SUMIF('TL06'!$C$10:$C$224,$C407,'TL06'!$J$10:$J$224),0),
IF('TL06'!$B$229=O$3,SUMIF('TL06'!$C$238:$C$451,$C407,'TL06'!$J$238:$J$451),0),
IF('TL07'!$B$3=O$3,SUMIF('TL07'!$C$10:$C$224,$C407,'TL07'!$J$10:$J$224),0),
IF('TL07'!$B$229=O$3,SUMIF('TL07'!$C$238:$C$451,$C407,'TL07'!$J$238:$J$451),0),
IF('TL08'!$B$3=O$3,SUMIF('TL08'!$C$10:$C$224,$C407,'TL08'!$J$10:$J$224),0),
IF('TL08'!$B$229=O$3,SUMIF('TL08'!$C$238:$C$451,$C407,'TL08'!$J$238:$J$451),0),
IF('TL09'!$B$3=O$3,SUMIF('TL09'!$C$10:$C$224,$C407,'TL09'!$J$10:$J$224),0),
IF('TL09'!$B$229=O$3,SUMIF('TL09'!$C$238:$C$451,$C407,'TL09'!$J$238:$J$451),0),
IF('TL10'!$B$3=O$3,SUMIF('TL10'!$C$10:$C$224,$C407,'TL10'!$J$10:$J$224),0),
IF('TL10'!$B$229=O$3,SUMIF('TL10'!$C$238:$C$451,$C407,'TL10'!$J$238:$J$451),0),
IF('TL11'!$B$3=O$3,SUMIF('TL11'!$C$10:$C$224,$C407,'TL11'!$J$10:$J$224),0),
IF('TL11'!$B$229=O$3,SUMIF('TL11'!$C$238:$C$451,$C407,'TL11'!$J$238:$J$451),0),
IF('TL12'!$B$3=O$3,SUMIF('TL12'!$C$10:$C$224,$C407,'TL12'!$J$10:$J$224),0),
IF('TL12'!$B$229=O$3,SUMIF('TL12'!$C$238:$C$451,$C407,'TL12'!$J$238:$J$451),0),
IF('TL13'!$B$3=O$3,SUMIF('TL13'!$C$10:$C$224,$C407,'TL13'!$J$10:$J$224),0),
IF('TL13'!$B$229=O$3,SUMIF('TL13'!$C$238:$C$451,$C407,'TL13'!$J$238:$J$451),0),
IF('TL14'!$B$3=O$3,SUMIF('TL14'!$C$10:$C$224,$C407,'TL14'!$J$10:$J$224),0),
IF('TL14'!$B$229=O$3,SUMIF('TL14'!$C$238:$C$451,$C407,'TL14'!$J$238:$J$451),0),
IF('TL15'!$B$3=O$3,SUMIF('TL15'!$C$10:$C$224,$C407,'TL15'!$J$10:$J$224),0),
IF('TL15'!$B$229=O$3,SUMIF('TL15'!$C$238:$C$451,$C407,'TL15'!$J$238:$J$451),0),
IF('TL16'!$B$3=O$3,SUMIF('TL16'!$C$10:$C$224,$C407,'TL16'!$J$10:$J$224),0),
IF('TL16'!$B$229=O$3,SUMIF('TL16'!$C$238:$C$451,$C407,'TL16'!$J$238:$J$451),0),
IF('TL17'!$B$3=O$3,SUMIF('TL17'!$C$10:$C$224,$C407,'TL17'!$J$10:$J$224),0),
IF('TL17'!$B$229=O$3,SUMIF('TL17'!$C$238:$C$451,$C407,'TL17'!$J$238:$J$451),0),
IF('TL18'!$B$3=O$3,SUMIF('TL18'!$C$10:$C$224,$C407,'TL18'!$J$10:$J$224),0),
IF('TL18'!$B$229=O$3,SUMIF('TL18'!$C$238:$C$451,$C407,'TL18'!$J$238:$J$451),0),
IF('TL19'!$B$3=O$3,SUMIF('TL19'!$C$10:$C$224,$C407,'TL19'!$J$10:$J$224),0),
IF('TL19'!$B$229=O$3,SUMIF('TL19'!$C$238:$C$451,$C407,'TL19'!$J$238:$J$451),0)
),0)</f>
        <v>0</v>
      </c>
      <c r="P407" s="147">
        <f>IFERROR(SUM(
IF('TL01'!$B$3=P$3,SUMIF('TL01'!$C$10:$C$224,$C407,'TL01'!$J$10:$J$224),0),
IF('TL01'!$B$229=P$3,SUMIF('TL01'!$C$238:$C$451,$C407,'TL01'!$J$238:$J$451),0),
IF('TL02'!$B$3=P$3,SUMIF('TL02'!$C$10:$C$224,$C407,'TL02'!$J$10:$J$224),0),
IF('TL02'!$B$229=P$3,SUMIF('TL02'!$C$238:$C$451,$C407,'TL02'!$J$238:$J$451),0),
IF('TL03'!$B$3=P$3,SUMIF('TL03'!$C$10:$C$224,$C407,'TL03'!$J$10:$J$224),0),
IF('TL03'!$B$229=P$3,SUMIF('TL03'!$C$238:$C$451,$C407,'TL03'!$J$238:$J$451),0),
IF('TL04'!$B$3=P$3,SUMIF('TL04'!$C$10:$C$224,$C407,'TL04'!$J$10:$J$224),0),
IF('TL04'!$B$229=P$3,SUMIF('TL04'!$C$238:$C$451,$C407,'TL04'!$J$238:$J$451),0),
IF('TL05'!$B$3=P$3,SUMIF('TL05'!$C$10:$C$224,$C407,'TL05'!$J$10:$J$224),0),
IF('TL05'!$B$229=P$3,SUMIF('TL05'!$C$238:$C$451,$C407,'TL05'!$J$238:$J$451),0),
IF('TL06'!$B$3=P$3,SUMIF('TL06'!$C$10:$C$224,$C407,'TL06'!$J$10:$J$224),0),
IF('TL06'!$B$229=P$3,SUMIF('TL06'!$C$238:$C$451,$C407,'TL06'!$J$238:$J$451),0),
IF('TL07'!$B$3=P$3,SUMIF('TL07'!$C$10:$C$224,$C407,'TL07'!$J$10:$J$224),0),
IF('TL07'!$B$229=P$3,SUMIF('TL07'!$C$238:$C$451,$C407,'TL07'!$J$238:$J$451),0),
IF('TL08'!$B$3=P$3,SUMIF('TL08'!$C$10:$C$224,$C407,'TL08'!$J$10:$J$224),0),
IF('TL08'!$B$229=P$3,SUMIF('TL08'!$C$238:$C$451,$C407,'TL08'!$J$238:$J$451),0),
IF('TL09'!$B$3=P$3,SUMIF('TL09'!$C$10:$C$224,$C407,'TL09'!$J$10:$J$224),0),
IF('TL09'!$B$229=P$3,SUMIF('TL09'!$C$238:$C$451,$C407,'TL09'!$J$238:$J$451),0),
IF('TL10'!$B$3=P$3,SUMIF('TL10'!$C$10:$C$224,$C407,'TL10'!$J$10:$J$224),0),
IF('TL10'!$B$229=P$3,SUMIF('TL10'!$C$238:$C$451,$C407,'TL10'!$J$238:$J$451),0),
IF('TL11'!$B$3=P$3,SUMIF('TL11'!$C$10:$C$224,$C407,'TL11'!$J$10:$J$224),0),
IF('TL11'!$B$229=P$3,SUMIF('TL11'!$C$238:$C$451,$C407,'TL11'!$J$238:$J$451),0),
IF('TL12'!$B$3=P$3,SUMIF('TL12'!$C$10:$C$224,$C407,'TL12'!$J$10:$J$224),0),
IF('TL12'!$B$229=P$3,SUMIF('TL12'!$C$238:$C$451,$C407,'TL12'!$J$238:$J$451),0),
IF('TL13'!$B$3=P$3,SUMIF('TL13'!$C$10:$C$224,$C407,'TL13'!$J$10:$J$224),0),
IF('TL13'!$B$229=P$3,SUMIF('TL13'!$C$238:$C$451,$C407,'TL13'!$J$238:$J$451),0),
IF('TL14'!$B$3=P$3,SUMIF('TL14'!$C$10:$C$224,$C407,'TL14'!$J$10:$J$224),0),
IF('TL14'!$B$229=P$3,SUMIF('TL14'!$C$238:$C$451,$C407,'TL14'!$J$238:$J$451),0),
IF('TL15'!$B$3=P$3,SUMIF('TL15'!$C$10:$C$224,$C407,'TL15'!$J$10:$J$224),0),
IF('TL15'!$B$229=P$3,SUMIF('TL15'!$C$238:$C$451,$C407,'TL15'!$J$238:$J$451),0),
IF('TL16'!$B$3=P$3,SUMIF('TL16'!$C$10:$C$224,$C407,'TL16'!$J$10:$J$224),0),
IF('TL16'!$B$229=P$3,SUMIF('TL16'!$C$238:$C$451,$C407,'TL16'!$J$238:$J$451),0),
IF('TL17'!$B$3=P$3,SUMIF('TL17'!$C$10:$C$224,$C407,'TL17'!$J$10:$J$224),0),
IF('TL17'!$B$229=P$3,SUMIF('TL17'!$C$238:$C$451,$C407,'TL17'!$J$238:$J$451),0),
IF('TL18'!$B$3=P$3,SUMIF('TL18'!$C$10:$C$224,$C407,'TL18'!$J$10:$J$224),0),
IF('TL18'!$B$229=P$3,SUMIF('TL18'!$C$238:$C$451,$C407,'TL18'!$J$238:$J$451),0),
IF('TL19'!$B$3=P$3,SUMIF('TL19'!$C$10:$C$224,$C407,'TL19'!$J$10:$J$224),0),
IF('TL19'!$B$229=P$3,SUMIF('TL19'!$C$238:$C$451,$C407,'TL19'!$J$238:$J$451),0)
),0)</f>
        <v>71.64705882</v>
      </c>
      <c r="Q407" s="147">
        <f>IFERROR(SUM(
IF('TL01'!$B$3=Q$3,SUMIF('TL01'!$C$10:$C$224,$C407,'TL01'!$J$10:$J$224),0),
IF('TL01'!$B$229=Q$3,SUMIF('TL01'!$C$238:$C$451,$C407,'TL01'!$J$238:$J$451),0),
IF('TL02'!$B$3=Q$3,SUMIF('TL02'!$C$10:$C$224,$C407,'TL02'!$J$10:$J$224),0),
IF('TL02'!$B$229=Q$3,SUMIF('TL02'!$C$238:$C$451,$C407,'TL02'!$J$238:$J$451),0),
IF('TL03'!$B$3=Q$3,SUMIF('TL03'!$C$10:$C$224,$C407,'TL03'!$J$10:$J$224),0),
IF('TL03'!$B$229=Q$3,SUMIF('TL03'!$C$238:$C$451,$C407,'TL03'!$J$238:$J$451),0),
IF('TL04'!$B$3=Q$3,SUMIF('TL04'!$C$10:$C$224,$C407,'TL04'!$J$10:$J$224),0),
IF('TL04'!$B$229=Q$3,SUMIF('TL04'!$C$238:$C$451,$C407,'TL04'!$J$238:$J$451),0),
IF('TL05'!$B$3=Q$3,SUMIF('TL05'!$C$10:$C$224,$C407,'TL05'!$J$10:$J$224),0),
IF('TL05'!$B$229=Q$3,SUMIF('TL05'!$C$238:$C$451,$C407,'TL05'!$J$238:$J$451),0),
IF('TL06'!$B$3=Q$3,SUMIF('TL06'!$C$10:$C$224,$C407,'TL06'!$J$10:$J$224),0),
IF('TL06'!$B$229=Q$3,SUMIF('TL06'!$C$238:$C$451,$C407,'TL06'!$J$238:$J$451),0),
IF('TL07'!$B$3=Q$3,SUMIF('TL07'!$C$10:$C$224,$C407,'TL07'!$J$10:$J$224),0),
IF('TL07'!$B$229=Q$3,SUMIF('TL07'!$C$238:$C$451,$C407,'TL07'!$J$238:$J$451),0),
IF('TL08'!$B$3=Q$3,SUMIF('TL08'!$C$10:$C$224,$C407,'TL08'!$J$10:$J$224),0),
IF('TL08'!$B$229=Q$3,SUMIF('TL08'!$C$238:$C$451,$C407,'TL08'!$J$238:$J$451),0),
IF('TL09'!$B$3=Q$3,SUMIF('TL09'!$C$10:$C$224,$C407,'TL09'!$J$10:$J$224),0),
IF('TL09'!$B$229=Q$3,SUMIF('TL09'!$C$238:$C$451,$C407,'TL09'!$J$238:$J$451),0),
IF('TL10'!$B$3=Q$3,SUMIF('TL10'!$C$10:$C$224,$C407,'TL10'!$J$10:$J$224),0),
IF('TL10'!$B$229=Q$3,SUMIF('TL10'!$C$238:$C$451,$C407,'TL10'!$J$238:$J$451),0),
IF('TL11'!$B$3=Q$3,SUMIF('TL11'!$C$10:$C$224,$C407,'TL11'!$J$10:$J$224),0),
IF('TL11'!$B$229=Q$3,SUMIF('TL11'!$C$238:$C$451,$C407,'TL11'!$J$238:$J$451),0),
IF('TL12'!$B$3=Q$3,SUMIF('TL12'!$C$10:$C$224,$C407,'TL12'!$J$10:$J$224),0),
IF('TL12'!$B$229=Q$3,SUMIF('TL12'!$C$238:$C$451,$C407,'TL12'!$J$238:$J$451),0),
IF('TL13'!$B$3=Q$3,SUMIF('TL13'!$C$10:$C$224,$C407,'TL13'!$J$10:$J$224),0),
IF('TL13'!$B$229=Q$3,SUMIF('TL13'!$C$238:$C$451,$C407,'TL13'!$J$238:$J$451),0),
IF('TL14'!$B$3=Q$3,SUMIF('TL14'!$C$10:$C$224,$C407,'TL14'!$J$10:$J$224),0),
IF('TL14'!$B$229=Q$3,SUMIF('TL14'!$C$238:$C$451,$C407,'TL14'!$J$238:$J$451),0),
IF('TL15'!$B$3=Q$3,SUMIF('TL15'!$C$10:$C$224,$C407,'TL15'!$J$10:$J$224),0),
IF('TL15'!$B$229=Q$3,SUMIF('TL15'!$C$238:$C$451,$C407,'TL15'!$J$238:$J$451),0),
IF('TL16'!$B$3=Q$3,SUMIF('TL16'!$C$10:$C$224,$C407,'TL16'!$J$10:$J$224),0),
IF('TL16'!$B$229=Q$3,SUMIF('TL16'!$C$238:$C$451,$C407,'TL16'!$J$238:$J$451),0),
IF('TL17'!$B$3=Q$3,SUMIF('TL17'!$C$10:$C$224,$C407,'TL17'!$J$10:$J$224),0),
IF('TL17'!$B$229=Q$3,SUMIF('TL17'!$C$238:$C$451,$C407,'TL17'!$J$238:$J$451),0),
IF('TL18'!$B$3=Q$3,SUMIF('TL18'!$C$10:$C$224,$C407,'TL18'!$J$10:$J$224),0),
IF('TL18'!$B$229=Q$3,SUMIF('TL18'!$C$238:$C$451,$C407,'TL18'!$J$238:$J$451),0),
IF('TL19'!$B$3=Q$3,SUMIF('TL19'!$C$10:$C$224,$C407,'TL19'!$J$10:$J$224),0),
IF('TL19'!$B$229=Q$3,SUMIF('TL19'!$C$238:$C$451,$C407,'TL19'!$J$238:$J$451),0)
),0)</f>
        <v>18.82352941</v>
      </c>
      <c r="R407" s="139">
        <f>IFERROR(
SUM(
SUMIF('TL01'!C:C,C407,'TL01'!J:J),
SUMIF('TL02'!C:C,C407,'TL02'!I:I),
SUMIF('TL03'!C:C,C407,'TL03'!I:I),
SUMIF('TL04'!C:C,C407,'TL04'!I:I),
SUMIF('TL05'!C:C,C407,'TL05'!I:I),
SUMIF('TL06'!C:C,C407,'TL06'!I:I),
SUMIF('TL07'!C:C,C407,'TL07'!I:I),
SUMIF('TL08'!C:C,C407,'TL08'!I:I),
SUMIF('TL09'!C:C,C407,'TL09'!I:I),
SUMIF('TL10'!C:C,C407,'TL10'!I:I),
SUMIF('TL11'!C:C,C407,'TL11'!I:I),
SUMIF('TL12'!C:C,C407,'TL12'!I:I),
SUMIF('TL13'!C:C,C407,'TL13'!I:I),
SUMIF('TL14'!C:C,C407,'TL14'!I:I),
SUMIF('TL15'!C:C,C407,'TL15'!I:I),
SUMIF('TL16'!C:C,C407,'TL16'!I:I),
SUMIF('TL17'!C:C,C407,'TL17'!I:I),
SUMIF('TL18'!C:C,C407,'TL18'!I:I))
,0)</f>
        <v>16.76470588</v>
      </c>
      <c r="S407" s="142">
        <f>'CUSTO OPERAÇÃO'!M11</f>
        <v>127.5</v>
      </c>
      <c r="T407" s="139"/>
      <c r="U407" s="143">
        <f t="shared" si="2"/>
        <v>16.76470588</v>
      </c>
      <c r="V407" s="144">
        <f t="shared" si="3"/>
        <v>2137.5</v>
      </c>
    </row>
    <row r="408" ht="15.75" hidden="1" customHeight="1">
      <c r="A408" s="134"/>
      <c r="B408" s="135" t="s">
        <v>10</v>
      </c>
      <c r="C408" s="136" t="str">
        <f>'CUSTO OPERAÇÃO'!D12</f>
        <v>AIR TRATOR AT-502B + AIR TRATOR AT-502B</v>
      </c>
      <c r="D408" s="136"/>
      <c r="E408" s="137"/>
      <c r="F408" s="138" t="s">
        <v>1133</v>
      </c>
      <c r="G408" s="139"/>
      <c r="H408" s="140">
        <f>'CUSTO OPERAÇÃO'!J12</f>
        <v>0.006666666667</v>
      </c>
      <c r="I408" s="141"/>
      <c r="J408" s="136">
        <f>IFERROR(SUM(
IF('TL01'!$B$3=J$3,SUMIF('TL01'!$C$10:$C$224,$C408,'TL01'!$J$10:$J$224),0),
IF('TL01'!$B$229=J$3,SUMIF('TL01'!$C$238:$C$451,$C408,'TL01'!$J$238:$J$451),0),
IF('TL02'!$B$3=J$3,SUMIF('TL02'!$C$10:$C$224,$C408,'TL02'!$J$10:$J$224),0),
IF('TL02'!$B$229=J$3,SUMIF('TL02'!$C$238:$C$451,$C408,'TL02'!$J$238:$J$451),0),
IF('TL03'!$B$3=J$3,SUMIF('TL03'!$C$10:$C$224,$C408,'TL03'!$J$10:$J$224),0),
IF('TL03'!$B$229=J$3,SUMIF('TL03'!$C$238:$C$451,$C408,'TL03'!$J$238:$J$451),0),
IF('TL04'!$B$3=J$3,SUMIF('TL04'!$C$10:$C$224,$C408,'TL04'!$J$10:$J$224),0),
IF('TL04'!$B$229=J$3,SUMIF('TL04'!$C$238:$C$451,$C408,'TL04'!$J$238:$J$451),0),
IF('TL05'!$B$3=J$3,SUMIF('TL05'!$C$10:$C$224,$C408,'TL05'!$J$10:$J$224),0),
IF('TL05'!$B$229=J$3,SUMIF('TL05'!$C$238:$C$451,$C408,'TL05'!$J$238:$J$451),0),
IF('TL06'!$B$3=J$3,SUMIF('TL06'!$C$10:$C$224,$C408,'TL06'!$J$10:$J$224),0),
IF('TL06'!$B$229=J$3,SUMIF('TL06'!$C$238:$C$451,$C408,'TL06'!$J$238:$J$451),0),
IF('TL07'!$B$3=J$3,SUMIF('TL07'!$C$10:$C$224,$C408,'TL07'!$J$10:$J$224),0),
IF('TL07'!$B$229=J$3,SUMIF('TL07'!$C$238:$C$451,$C408,'TL07'!$J$238:$J$451),0),
IF('TL08'!$B$3=J$3,SUMIF('TL08'!$C$10:$C$224,$C408,'TL08'!$J$10:$J$224),0),
IF('TL08'!$B$229=J$3,SUMIF('TL08'!$C$238:$C$451,$C408,'TL08'!$J$238:$J$451),0),
IF('TL09'!$B$3=J$3,SUMIF('TL09'!$C$10:$C$224,$C408,'TL09'!$J$10:$J$224),0),
IF('TL09'!$B$229=J$3,SUMIF('TL09'!$C$238:$C$451,$C408,'TL09'!$J$238:$J$451),0),
IF('TL10'!$B$3=J$3,SUMIF('TL10'!$C$10:$C$224,$C408,'TL10'!$J$10:$J$224),0),
IF('TL10'!$B$229=J$3,SUMIF('TL10'!$C$238:$C$451,$C408,'TL10'!$J$238:$J$451),0),
IF('TL11'!$B$3=J$3,SUMIF('TL11'!$C$10:$C$224,$C408,'TL11'!$J$10:$J$224),0),
IF('TL11'!$B$229=J$3,SUMIF('TL11'!$C$238:$C$451,$C408,'TL11'!$J$238:$J$451),0),
IF('TL12'!$B$3=J$3,SUMIF('TL12'!$C$10:$C$224,$C408,'TL12'!$J$10:$J$224),0),
IF('TL12'!$B$229=J$3,SUMIF('TL12'!$C$238:$C$451,$C408,'TL12'!$J$238:$J$451),0),
IF('TL13'!$B$3=J$3,SUMIF('TL13'!$C$10:$C$224,$C408,'TL13'!$J$10:$J$224),0),
IF('TL13'!$B$229=J$3,SUMIF('TL13'!$C$238:$C$451,$C408,'TL13'!$J$238:$J$451),0),
IF('TL14'!$B$3=J$3,SUMIF('TL14'!$C$10:$C$224,$C408,'TL14'!$J$10:$J$224),0),
IF('TL14'!$B$229=J$3,SUMIF('TL14'!$C$238:$C$451,$C408,'TL14'!$J$238:$J$451),0),
IF('TL15'!$B$3=J$3,SUMIF('TL15'!$C$10:$C$224,$C408,'TL15'!$J$10:$J$224),0),
IF('TL15'!$B$229=J$3,SUMIF('TL15'!$C$238:$C$451,$C408,'TL15'!$J$238:$J$451),0),
IF('TL16'!$B$3=J$3,SUMIF('TL16'!$C$10:$C$224,$C408,'TL16'!$J$10:$J$224),0),
IF('TL16'!$B$229=J$3,SUMIF('TL16'!$C$238:$C$451,$C408,'TL16'!$J$238:$J$451),0),
IF('TL17'!$B$3=J$3,SUMIF('TL17'!$C$10:$C$224,$C408,'TL17'!$J$10:$J$224),0),
IF('TL17'!$B$229=J$3,SUMIF('TL17'!$C$238:$C$451,$C408,'TL17'!$J$238:$J$451),0),
IF('TL18'!$B$3=J$3,SUMIF('TL18'!$C$10:$C$224,$C408,'TL18'!$J$10:$J$224),0),
IF('TL18'!$B$229=J$3,SUMIF('TL18'!$C$238:$C$451,$C408,'TL18'!$J$238:$J$451),0),
IF('TL19'!$B$3=J$3,SUMIF('TL19'!$C$10:$C$224,$C408,'TL19'!$J$10:$J$224),0),
IF('TL19'!$B$229=J$3,SUMIF('TL19'!$C$238:$C$451,$C408,'TL19'!$J$238:$J$451),0)
),0)</f>
        <v>3.733333333</v>
      </c>
      <c r="K408" s="136">
        <f>IFERROR(SUM(
IF('TL01'!$B$3=K$3,SUMIF('TL01'!$C$10:$C$224,$C408,'TL01'!$J$10:$J$224),0),
IF('TL01'!$B$229=K$3,SUMIF('TL01'!$C$238:$C$451,$C408,'TL01'!$J$238:$J$451),0),
IF('TL02'!$B$3=K$3,SUMIF('TL02'!$C$10:$C$224,$C408,'TL02'!$J$10:$J$224),0),
IF('TL02'!$B$229=K$3,SUMIF('TL02'!$C$238:$C$451,$C408,'TL02'!$J$238:$J$451),0),
IF('TL03'!$B$3=K$3,SUMIF('TL03'!$C$10:$C$224,$C408,'TL03'!$J$10:$J$224),0),
IF('TL03'!$B$229=K$3,SUMIF('TL03'!$C$238:$C$451,$C408,'TL03'!$J$238:$J$451),0),
IF('TL04'!$B$3=K$3,SUMIF('TL04'!$C$10:$C$224,$C408,'TL04'!$J$10:$J$224),0),
IF('TL04'!$B$229=K$3,SUMIF('TL04'!$C$238:$C$451,$C408,'TL04'!$J$238:$J$451),0),
IF('TL05'!$B$3=K$3,SUMIF('TL05'!$C$10:$C$224,$C408,'TL05'!$J$10:$J$224),0),
IF('TL05'!$B$229=K$3,SUMIF('TL05'!$C$238:$C$451,$C408,'TL05'!$J$238:$J$451),0),
IF('TL06'!$B$3=K$3,SUMIF('TL06'!$C$10:$C$224,$C408,'TL06'!$J$10:$J$224),0),
IF('TL06'!$B$229=K$3,SUMIF('TL06'!$C$238:$C$451,$C408,'TL06'!$J$238:$J$451),0),
IF('TL07'!$B$3=K$3,SUMIF('TL07'!$C$10:$C$224,$C408,'TL07'!$J$10:$J$224),0),
IF('TL07'!$B$229=K$3,SUMIF('TL07'!$C$238:$C$451,$C408,'TL07'!$J$238:$J$451),0),
IF('TL08'!$B$3=K$3,SUMIF('TL08'!$C$10:$C$224,$C408,'TL08'!$J$10:$J$224),0),
IF('TL08'!$B$229=K$3,SUMIF('TL08'!$C$238:$C$451,$C408,'TL08'!$J$238:$J$451),0),
IF('TL09'!$B$3=K$3,SUMIF('TL09'!$C$10:$C$224,$C408,'TL09'!$J$10:$J$224),0),
IF('TL09'!$B$229=K$3,SUMIF('TL09'!$C$238:$C$451,$C408,'TL09'!$J$238:$J$451),0),
IF('TL10'!$B$3=K$3,SUMIF('TL10'!$C$10:$C$224,$C408,'TL10'!$J$10:$J$224),0),
IF('TL10'!$B$229=K$3,SUMIF('TL10'!$C$238:$C$451,$C408,'TL10'!$J$238:$J$451),0),
IF('TL11'!$B$3=K$3,SUMIF('TL11'!$C$10:$C$224,$C408,'TL11'!$J$10:$J$224),0),
IF('TL11'!$B$229=K$3,SUMIF('TL11'!$C$238:$C$451,$C408,'TL11'!$J$238:$J$451),0),
IF('TL12'!$B$3=K$3,SUMIF('TL12'!$C$10:$C$224,$C408,'TL12'!$J$10:$J$224),0),
IF('TL12'!$B$229=K$3,SUMIF('TL12'!$C$238:$C$451,$C408,'TL12'!$J$238:$J$451),0),
IF('TL13'!$B$3=K$3,SUMIF('TL13'!$C$10:$C$224,$C408,'TL13'!$J$10:$J$224),0),
IF('TL13'!$B$229=K$3,SUMIF('TL13'!$C$238:$C$451,$C408,'TL13'!$J$238:$J$451),0),
IF('TL14'!$B$3=K$3,SUMIF('TL14'!$C$10:$C$224,$C408,'TL14'!$J$10:$J$224),0),
IF('TL14'!$B$229=K$3,SUMIF('TL14'!$C$238:$C$451,$C408,'TL14'!$J$238:$J$451),0),
IF('TL15'!$B$3=K$3,SUMIF('TL15'!$C$10:$C$224,$C408,'TL15'!$J$10:$J$224),0),
IF('TL15'!$B$229=K$3,SUMIF('TL15'!$C$238:$C$451,$C408,'TL15'!$J$238:$J$451),0),
IF('TL16'!$B$3=K$3,SUMIF('TL16'!$C$10:$C$224,$C408,'TL16'!$J$10:$J$224),0),
IF('TL16'!$B$229=K$3,SUMIF('TL16'!$C$238:$C$451,$C408,'TL16'!$J$238:$J$451),0),
IF('TL17'!$B$3=K$3,SUMIF('TL17'!$C$10:$C$224,$C408,'TL17'!$J$10:$J$224),0),
IF('TL17'!$B$229=K$3,SUMIF('TL17'!$C$238:$C$451,$C408,'TL17'!$J$238:$J$451),0),
IF('TL18'!$B$3=K$3,SUMIF('TL18'!$C$10:$C$224,$C408,'TL18'!$J$10:$J$224),0),
IF('TL18'!$B$229=K$3,SUMIF('TL18'!$C$238:$C$451,$C408,'TL18'!$J$238:$J$451),0),
IF('TL19'!$B$3=K$3,SUMIF('TL19'!$C$10:$C$224,$C408,'TL19'!$J$10:$J$224),0),
IF('TL19'!$B$229=K$3,SUMIF('TL19'!$C$238:$C$451,$C408,'TL19'!$J$238:$J$451),0)
),0)</f>
        <v>10</v>
      </c>
      <c r="L408" s="136">
        <f>IFERROR(SUM(
IF('TL01'!$B$3=L$3,SUMIF('TL01'!$C$10:$C$224,$C408,'TL01'!$J$10:$J$224),0),
IF('TL01'!$B$229=L$3,SUMIF('TL01'!$C$238:$C$451,$C408,'TL01'!$J$238:$J$451),0),
IF('TL02'!$B$3=L$3,SUMIF('TL02'!$C$10:$C$224,$C408,'TL02'!$J$10:$J$224),0),
IF('TL02'!$B$229=L$3,SUMIF('TL02'!$C$238:$C$451,$C408,'TL02'!$J$238:$J$451),0),
IF('TL03'!$B$3=L$3,SUMIF('TL03'!$C$10:$C$224,$C408,'TL03'!$J$10:$J$224),0),
IF('TL03'!$B$229=L$3,SUMIF('TL03'!$C$238:$C$451,$C408,'TL03'!$J$238:$J$451),0),
IF('TL04'!$B$3=L$3,SUMIF('TL04'!$C$10:$C$224,$C408,'TL04'!$J$10:$J$224),0),
IF('TL04'!$B$229=L$3,SUMIF('TL04'!$C$238:$C$451,$C408,'TL04'!$J$238:$J$451),0),
IF('TL05'!$B$3=L$3,SUMIF('TL05'!$C$10:$C$224,$C408,'TL05'!$J$10:$J$224),0),
IF('TL05'!$B$229=L$3,SUMIF('TL05'!$C$238:$C$451,$C408,'TL05'!$J$238:$J$451),0),
IF('TL06'!$B$3=L$3,SUMIF('TL06'!$C$10:$C$224,$C408,'TL06'!$J$10:$J$224),0),
IF('TL06'!$B$229=L$3,SUMIF('TL06'!$C$238:$C$451,$C408,'TL06'!$J$238:$J$451),0),
IF('TL07'!$B$3=L$3,SUMIF('TL07'!$C$10:$C$224,$C408,'TL07'!$J$10:$J$224),0),
IF('TL07'!$B$229=L$3,SUMIF('TL07'!$C$238:$C$451,$C408,'TL07'!$J$238:$J$451),0),
IF('TL08'!$B$3=L$3,SUMIF('TL08'!$C$10:$C$224,$C408,'TL08'!$J$10:$J$224),0),
IF('TL08'!$B$229=L$3,SUMIF('TL08'!$C$238:$C$451,$C408,'TL08'!$J$238:$J$451),0),
IF('TL09'!$B$3=L$3,SUMIF('TL09'!$C$10:$C$224,$C408,'TL09'!$J$10:$J$224),0),
IF('TL09'!$B$229=L$3,SUMIF('TL09'!$C$238:$C$451,$C408,'TL09'!$J$238:$J$451),0),
IF('TL10'!$B$3=L$3,SUMIF('TL10'!$C$10:$C$224,$C408,'TL10'!$J$10:$J$224),0),
IF('TL10'!$B$229=L$3,SUMIF('TL10'!$C$238:$C$451,$C408,'TL10'!$J$238:$J$451),0),
IF('TL11'!$B$3=L$3,SUMIF('TL11'!$C$10:$C$224,$C408,'TL11'!$J$10:$J$224),0),
IF('TL11'!$B$229=L$3,SUMIF('TL11'!$C$238:$C$451,$C408,'TL11'!$J$238:$J$451),0),
IF('TL12'!$B$3=L$3,SUMIF('TL12'!$C$10:$C$224,$C408,'TL12'!$J$10:$J$224),0),
IF('TL12'!$B$229=L$3,SUMIF('TL12'!$C$238:$C$451,$C408,'TL12'!$J$238:$J$451),0),
IF('TL13'!$B$3=L$3,SUMIF('TL13'!$C$10:$C$224,$C408,'TL13'!$J$10:$J$224),0),
IF('TL13'!$B$229=L$3,SUMIF('TL13'!$C$238:$C$451,$C408,'TL13'!$J$238:$J$451),0),
IF('TL14'!$B$3=L$3,SUMIF('TL14'!$C$10:$C$224,$C408,'TL14'!$J$10:$J$224),0),
IF('TL14'!$B$229=L$3,SUMIF('TL14'!$C$238:$C$451,$C408,'TL14'!$J$238:$J$451),0),
IF('TL15'!$B$3=L$3,SUMIF('TL15'!$C$10:$C$224,$C408,'TL15'!$J$10:$J$224),0),
IF('TL15'!$B$229=L$3,SUMIF('TL15'!$C$238:$C$451,$C408,'TL15'!$J$238:$J$451),0),
IF('TL16'!$B$3=L$3,SUMIF('TL16'!$C$10:$C$224,$C408,'TL16'!$J$10:$J$224),0),
IF('TL16'!$B$229=L$3,SUMIF('TL16'!$C$238:$C$451,$C408,'TL16'!$J$238:$J$451),0),
IF('TL17'!$B$3=L$3,SUMIF('TL17'!$C$10:$C$224,$C408,'TL17'!$J$10:$J$224),0),
IF('TL17'!$B$229=L$3,SUMIF('TL17'!$C$238:$C$451,$C408,'TL17'!$J$238:$J$451),0),
IF('TL18'!$B$3=L$3,SUMIF('TL18'!$C$10:$C$224,$C408,'TL18'!$J$10:$J$224),0),
IF('TL18'!$B$229=L$3,SUMIF('TL18'!$C$238:$C$451,$C408,'TL18'!$J$238:$J$451),0),
IF('TL19'!$B$3=L$3,SUMIF('TL19'!$C$10:$C$224,$C408,'TL19'!$J$10:$J$224),0),
IF('TL19'!$B$229=L$3,SUMIF('TL19'!$C$238:$C$451,$C408,'TL19'!$J$238:$J$451),0)
),0)</f>
        <v>7.333333333</v>
      </c>
      <c r="M408" s="136">
        <f>IFERROR(SUM(
IF('TL01'!$B$3=M$3,SUMIF('TL01'!$C$10:$C$224,$C408,'TL01'!$J$10:$J$224),0),
IF('TL01'!$B$229=M$3,SUMIF('TL01'!$C$238:$C$451,$C408,'TL01'!$J$238:$J$451),0),
IF('TL02'!$B$3=M$3,SUMIF('TL02'!$C$10:$C$224,$C408,'TL02'!$J$10:$J$224),0),
IF('TL02'!$B$229=M$3,SUMIF('TL02'!$C$238:$C$451,$C408,'TL02'!$J$238:$J$451),0),
IF('TL03'!$B$3=M$3,SUMIF('TL03'!$C$10:$C$224,$C408,'TL03'!$J$10:$J$224),0),
IF('TL03'!$B$229=M$3,SUMIF('TL03'!$C$238:$C$451,$C408,'TL03'!$J$238:$J$451),0),
IF('TL04'!$B$3=M$3,SUMIF('TL04'!$C$10:$C$224,$C408,'TL04'!$J$10:$J$224),0),
IF('TL04'!$B$229=M$3,SUMIF('TL04'!$C$238:$C$451,$C408,'TL04'!$J$238:$J$451),0),
IF('TL05'!$B$3=M$3,SUMIF('TL05'!$C$10:$C$224,$C408,'TL05'!$J$10:$J$224),0),
IF('TL05'!$B$229=M$3,SUMIF('TL05'!$C$238:$C$451,$C408,'TL05'!$J$238:$J$451),0),
IF('TL06'!$B$3=M$3,SUMIF('TL06'!$C$10:$C$224,$C408,'TL06'!$J$10:$J$224),0),
IF('TL06'!$B$229=M$3,SUMIF('TL06'!$C$238:$C$451,$C408,'TL06'!$J$238:$J$451),0),
IF('TL07'!$B$3=M$3,SUMIF('TL07'!$C$10:$C$224,$C408,'TL07'!$J$10:$J$224),0),
IF('TL07'!$B$229=M$3,SUMIF('TL07'!$C$238:$C$451,$C408,'TL07'!$J$238:$J$451),0),
IF('TL08'!$B$3=M$3,SUMIF('TL08'!$C$10:$C$224,$C408,'TL08'!$J$10:$J$224),0),
IF('TL08'!$B$229=M$3,SUMIF('TL08'!$C$238:$C$451,$C408,'TL08'!$J$238:$J$451),0),
IF('TL09'!$B$3=M$3,SUMIF('TL09'!$C$10:$C$224,$C408,'TL09'!$J$10:$J$224),0),
IF('TL09'!$B$229=M$3,SUMIF('TL09'!$C$238:$C$451,$C408,'TL09'!$J$238:$J$451),0),
IF('TL10'!$B$3=M$3,SUMIF('TL10'!$C$10:$C$224,$C408,'TL10'!$J$10:$J$224),0),
IF('TL10'!$B$229=M$3,SUMIF('TL10'!$C$238:$C$451,$C408,'TL10'!$J$238:$J$451),0),
IF('TL11'!$B$3=M$3,SUMIF('TL11'!$C$10:$C$224,$C408,'TL11'!$J$10:$J$224),0),
IF('TL11'!$B$229=M$3,SUMIF('TL11'!$C$238:$C$451,$C408,'TL11'!$J$238:$J$451),0),
IF('TL12'!$B$3=M$3,SUMIF('TL12'!$C$10:$C$224,$C408,'TL12'!$J$10:$J$224),0),
IF('TL12'!$B$229=M$3,SUMIF('TL12'!$C$238:$C$451,$C408,'TL12'!$J$238:$J$451),0),
IF('TL13'!$B$3=M$3,SUMIF('TL13'!$C$10:$C$224,$C408,'TL13'!$J$10:$J$224),0),
IF('TL13'!$B$229=M$3,SUMIF('TL13'!$C$238:$C$451,$C408,'TL13'!$J$238:$J$451),0),
IF('TL14'!$B$3=M$3,SUMIF('TL14'!$C$10:$C$224,$C408,'TL14'!$J$10:$J$224),0),
IF('TL14'!$B$229=M$3,SUMIF('TL14'!$C$238:$C$451,$C408,'TL14'!$J$238:$J$451),0),
IF('TL15'!$B$3=M$3,SUMIF('TL15'!$C$10:$C$224,$C408,'TL15'!$J$10:$J$224),0),
IF('TL15'!$B$229=M$3,SUMIF('TL15'!$C$238:$C$451,$C408,'TL15'!$J$238:$J$451),0),
IF('TL16'!$B$3=M$3,SUMIF('TL16'!$C$10:$C$224,$C408,'TL16'!$J$10:$J$224),0),
IF('TL16'!$B$229=M$3,SUMIF('TL16'!$C$238:$C$451,$C408,'TL16'!$J$238:$J$451),0),
IF('TL17'!$B$3=M$3,SUMIF('TL17'!$C$10:$C$224,$C408,'TL17'!$J$10:$J$224),0),
IF('TL17'!$B$229=M$3,SUMIF('TL17'!$C$238:$C$451,$C408,'TL17'!$J$238:$J$451),0),
IF('TL18'!$B$3=M$3,SUMIF('TL18'!$C$10:$C$224,$C408,'TL18'!$J$10:$J$224),0),
IF('TL18'!$B$229=M$3,SUMIF('TL18'!$C$238:$C$451,$C408,'TL18'!$J$238:$J$451),0),
IF('TL19'!$B$3=M$3,SUMIF('TL19'!$C$10:$C$224,$C408,'TL19'!$J$10:$J$224),0),
IF('TL19'!$B$229=M$3,SUMIF('TL19'!$C$238:$C$451,$C408,'TL19'!$J$238:$J$451),0)
),0)</f>
        <v>0</v>
      </c>
      <c r="N408" s="136">
        <f>IFERROR(SUM(
IF('TL01'!$B$3=N$3,SUMIF('TL01'!$C$10:$C$224,$C408,'TL01'!$J$10:$J$224),0),
IF('TL01'!$B$229=N$3,SUMIF('TL01'!$C$238:$C$451,$C408,'TL01'!$J$238:$J$451),0),
IF('TL02'!$B$3=N$3,SUMIF('TL02'!$C$10:$C$224,$C408,'TL02'!$J$10:$J$224),0),
IF('TL02'!$B$229=N$3,SUMIF('TL02'!$C$238:$C$451,$C408,'TL02'!$J$238:$J$451),0),
IF('TL03'!$B$3=N$3,SUMIF('TL03'!$C$10:$C$224,$C408,'TL03'!$J$10:$J$224),0),
IF('TL03'!$B$229=N$3,SUMIF('TL03'!$C$238:$C$451,$C408,'TL03'!$J$238:$J$451),0),
IF('TL04'!$B$3=N$3,SUMIF('TL04'!$C$10:$C$224,$C408,'TL04'!$J$10:$J$224),0),
IF('TL04'!$B$229=N$3,SUMIF('TL04'!$C$238:$C$451,$C408,'TL04'!$J$238:$J$451),0),
IF('TL05'!$B$3=N$3,SUMIF('TL05'!$C$10:$C$224,$C408,'TL05'!$J$10:$J$224),0),
IF('TL05'!$B$229=N$3,SUMIF('TL05'!$C$238:$C$451,$C408,'TL05'!$J$238:$J$451),0),
IF('TL06'!$B$3=N$3,SUMIF('TL06'!$C$10:$C$224,$C408,'TL06'!$J$10:$J$224),0),
IF('TL06'!$B$229=N$3,SUMIF('TL06'!$C$238:$C$451,$C408,'TL06'!$J$238:$J$451),0),
IF('TL07'!$B$3=N$3,SUMIF('TL07'!$C$10:$C$224,$C408,'TL07'!$J$10:$J$224),0),
IF('TL07'!$B$229=N$3,SUMIF('TL07'!$C$238:$C$451,$C408,'TL07'!$J$238:$J$451),0),
IF('TL08'!$B$3=N$3,SUMIF('TL08'!$C$10:$C$224,$C408,'TL08'!$J$10:$J$224),0),
IF('TL08'!$B$229=N$3,SUMIF('TL08'!$C$238:$C$451,$C408,'TL08'!$J$238:$J$451),0),
IF('TL09'!$B$3=N$3,SUMIF('TL09'!$C$10:$C$224,$C408,'TL09'!$J$10:$J$224),0),
IF('TL09'!$B$229=N$3,SUMIF('TL09'!$C$238:$C$451,$C408,'TL09'!$J$238:$J$451),0),
IF('TL10'!$B$3=N$3,SUMIF('TL10'!$C$10:$C$224,$C408,'TL10'!$J$10:$J$224),0),
IF('TL10'!$B$229=N$3,SUMIF('TL10'!$C$238:$C$451,$C408,'TL10'!$J$238:$J$451),0),
IF('TL11'!$B$3=N$3,SUMIF('TL11'!$C$10:$C$224,$C408,'TL11'!$J$10:$J$224),0),
IF('TL11'!$B$229=N$3,SUMIF('TL11'!$C$238:$C$451,$C408,'TL11'!$J$238:$J$451),0),
IF('TL12'!$B$3=N$3,SUMIF('TL12'!$C$10:$C$224,$C408,'TL12'!$J$10:$J$224),0),
IF('TL12'!$B$229=N$3,SUMIF('TL12'!$C$238:$C$451,$C408,'TL12'!$J$238:$J$451),0),
IF('TL13'!$B$3=N$3,SUMIF('TL13'!$C$10:$C$224,$C408,'TL13'!$J$10:$J$224),0),
IF('TL13'!$B$229=N$3,SUMIF('TL13'!$C$238:$C$451,$C408,'TL13'!$J$238:$J$451),0),
IF('TL14'!$B$3=N$3,SUMIF('TL14'!$C$10:$C$224,$C408,'TL14'!$J$10:$J$224),0),
IF('TL14'!$B$229=N$3,SUMIF('TL14'!$C$238:$C$451,$C408,'TL14'!$J$238:$J$451),0),
IF('TL15'!$B$3=N$3,SUMIF('TL15'!$C$10:$C$224,$C408,'TL15'!$J$10:$J$224),0),
IF('TL15'!$B$229=N$3,SUMIF('TL15'!$C$238:$C$451,$C408,'TL15'!$J$238:$J$451),0),
IF('TL16'!$B$3=N$3,SUMIF('TL16'!$C$10:$C$224,$C408,'TL16'!$J$10:$J$224),0),
IF('TL16'!$B$229=N$3,SUMIF('TL16'!$C$238:$C$451,$C408,'TL16'!$J$238:$J$451),0),
IF('TL17'!$B$3=N$3,SUMIF('TL17'!$C$10:$C$224,$C408,'TL17'!$J$10:$J$224),0),
IF('TL17'!$B$229=N$3,SUMIF('TL17'!$C$238:$C$451,$C408,'TL17'!$J$238:$J$451),0),
IF('TL18'!$B$3=N$3,SUMIF('TL18'!$C$10:$C$224,$C408,'TL18'!$J$10:$J$224),0),
IF('TL18'!$B$229=N$3,SUMIF('TL18'!$C$238:$C$451,$C408,'TL18'!$J$238:$J$451),0),
IF('TL19'!$B$3=N$3,SUMIF('TL19'!$C$10:$C$224,$C408,'TL19'!$J$10:$J$224),0),
IF('TL19'!$B$229=N$3,SUMIF('TL19'!$C$238:$C$451,$C408,'TL19'!$J$238:$J$451),0)
),0)</f>
        <v>0</v>
      </c>
      <c r="O408" s="136">
        <f>IFERROR(SUM(
IF('TL01'!$B$3=O$3,SUMIF('TL01'!$C$10:$C$224,$C408,'TL01'!$J$10:$J$224),0),
IF('TL01'!$B$229=O$3,SUMIF('TL01'!$C$238:$C$451,$C408,'TL01'!$J$238:$J$451),0),
IF('TL02'!$B$3=O$3,SUMIF('TL02'!$C$10:$C$224,$C408,'TL02'!$J$10:$J$224),0),
IF('TL02'!$B$229=O$3,SUMIF('TL02'!$C$238:$C$451,$C408,'TL02'!$J$238:$J$451),0),
IF('TL03'!$B$3=O$3,SUMIF('TL03'!$C$10:$C$224,$C408,'TL03'!$J$10:$J$224),0),
IF('TL03'!$B$229=O$3,SUMIF('TL03'!$C$238:$C$451,$C408,'TL03'!$J$238:$J$451),0),
IF('TL04'!$B$3=O$3,SUMIF('TL04'!$C$10:$C$224,$C408,'TL04'!$J$10:$J$224),0),
IF('TL04'!$B$229=O$3,SUMIF('TL04'!$C$238:$C$451,$C408,'TL04'!$J$238:$J$451),0),
IF('TL05'!$B$3=O$3,SUMIF('TL05'!$C$10:$C$224,$C408,'TL05'!$J$10:$J$224),0),
IF('TL05'!$B$229=O$3,SUMIF('TL05'!$C$238:$C$451,$C408,'TL05'!$J$238:$J$451),0),
IF('TL06'!$B$3=O$3,SUMIF('TL06'!$C$10:$C$224,$C408,'TL06'!$J$10:$J$224),0),
IF('TL06'!$B$229=O$3,SUMIF('TL06'!$C$238:$C$451,$C408,'TL06'!$J$238:$J$451),0),
IF('TL07'!$B$3=O$3,SUMIF('TL07'!$C$10:$C$224,$C408,'TL07'!$J$10:$J$224),0),
IF('TL07'!$B$229=O$3,SUMIF('TL07'!$C$238:$C$451,$C408,'TL07'!$J$238:$J$451),0),
IF('TL08'!$B$3=O$3,SUMIF('TL08'!$C$10:$C$224,$C408,'TL08'!$J$10:$J$224),0),
IF('TL08'!$B$229=O$3,SUMIF('TL08'!$C$238:$C$451,$C408,'TL08'!$J$238:$J$451),0),
IF('TL09'!$B$3=O$3,SUMIF('TL09'!$C$10:$C$224,$C408,'TL09'!$J$10:$J$224),0),
IF('TL09'!$B$229=O$3,SUMIF('TL09'!$C$238:$C$451,$C408,'TL09'!$J$238:$J$451),0),
IF('TL10'!$B$3=O$3,SUMIF('TL10'!$C$10:$C$224,$C408,'TL10'!$J$10:$J$224),0),
IF('TL10'!$B$229=O$3,SUMIF('TL10'!$C$238:$C$451,$C408,'TL10'!$J$238:$J$451),0),
IF('TL11'!$B$3=O$3,SUMIF('TL11'!$C$10:$C$224,$C408,'TL11'!$J$10:$J$224),0),
IF('TL11'!$B$229=O$3,SUMIF('TL11'!$C$238:$C$451,$C408,'TL11'!$J$238:$J$451),0),
IF('TL12'!$B$3=O$3,SUMIF('TL12'!$C$10:$C$224,$C408,'TL12'!$J$10:$J$224),0),
IF('TL12'!$B$229=O$3,SUMIF('TL12'!$C$238:$C$451,$C408,'TL12'!$J$238:$J$451),0),
IF('TL13'!$B$3=O$3,SUMIF('TL13'!$C$10:$C$224,$C408,'TL13'!$J$10:$J$224),0),
IF('TL13'!$B$229=O$3,SUMIF('TL13'!$C$238:$C$451,$C408,'TL13'!$J$238:$J$451),0),
IF('TL14'!$B$3=O$3,SUMIF('TL14'!$C$10:$C$224,$C408,'TL14'!$J$10:$J$224),0),
IF('TL14'!$B$229=O$3,SUMIF('TL14'!$C$238:$C$451,$C408,'TL14'!$J$238:$J$451),0),
IF('TL15'!$B$3=O$3,SUMIF('TL15'!$C$10:$C$224,$C408,'TL15'!$J$10:$J$224),0),
IF('TL15'!$B$229=O$3,SUMIF('TL15'!$C$238:$C$451,$C408,'TL15'!$J$238:$J$451),0),
IF('TL16'!$B$3=O$3,SUMIF('TL16'!$C$10:$C$224,$C408,'TL16'!$J$10:$J$224),0),
IF('TL16'!$B$229=O$3,SUMIF('TL16'!$C$238:$C$451,$C408,'TL16'!$J$238:$J$451),0),
IF('TL17'!$B$3=O$3,SUMIF('TL17'!$C$10:$C$224,$C408,'TL17'!$J$10:$J$224),0),
IF('TL17'!$B$229=O$3,SUMIF('TL17'!$C$238:$C$451,$C408,'TL17'!$J$238:$J$451),0),
IF('TL18'!$B$3=O$3,SUMIF('TL18'!$C$10:$C$224,$C408,'TL18'!$J$10:$J$224),0),
IF('TL18'!$B$229=O$3,SUMIF('TL18'!$C$238:$C$451,$C408,'TL18'!$J$238:$J$451),0),
IF('TL19'!$B$3=O$3,SUMIF('TL19'!$C$10:$C$224,$C408,'TL19'!$J$10:$J$224),0),
IF('TL19'!$B$229=O$3,SUMIF('TL19'!$C$238:$C$451,$C408,'TL19'!$J$238:$J$451),0)
),0)</f>
        <v>6.6</v>
      </c>
      <c r="P408" s="136">
        <f>IFERROR(SUM(
IF('TL01'!$B$3=P$3,SUMIF('TL01'!$C$10:$C$224,$C408,'TL01'!$J$10:$J$224),0),
IF('TL01'!$B$229=P$3,SUMIF('TL01'!$C$238:$C$451,$C408,'TL01'!$J$238:$J$451),0),
IF('TL02'!$B$3=P$3,SUMIF('TL02'!$C$10:$C$224,$C408,'TL02'!$J$10:$J$224),0),
IF('TL02'!$B$229=P$3,SUMIF('TL02'!$C$238:$C$451,$C408,'TL02'!$J$238:$J$451),0),
IF('TL03'!$B$3=P$3,SUMIF('TL03'!$C$10:$C$224,$C408,'TL03'!$J$10:$J$224),0),
IF('TL03'!$B$229=P$3,SUMIF('TL03'!$C$238:$C$451,$C408,'TL03'!$J$238:$J$451),0),
IF('TL04'!$B$3=P$3,SUMIF('TL04'!$C$10:$C$224,$C408,'TL04'!$J$10:$J$224),0),
IF('TL04'!$B$229=P$3,SUMIF('TL04'!$C$238:$C$451,$C408,'TL04'!$J$238:$J$451),0),
IF('TL05'!$B$3=P$3,SUMIF('TL05'!$C$10:$C$224,$C408,'TL05'!$J$10:$J$224),0),
IF('TL05'!$B$229=P$3,SUMIF('TL05'!$C$238:$C$451,$C408,'TL05'!$J$238:$J$451),0),
IF('TL06'!$B$3=P$3,SUMIF('TL06'!$C$10:$C$224,$C408,'TL06'!$J$10:$J$224),0),
IF('TL06'!$B$229=P$3,SUMIF('TL06'!$C$238:$C$451,$C408,'TL06'!$J$238:$J$451),0),
IF('TL07'!$B$3=P$3,SUMIF('TL07'!$C$10:$C$224,$C408,'TL07'!$J$10:$J$224),0),
IF('TL07'!$B$229=P$3,SUMIF('TL07'!$C$238:$C$451,$C408,'TL07'!$J$238:$J$451),0),
IF('TL08'!$B$3=P$3,SUMIF('TL08'!$C$10:$C$224,$C408,'TL08'!$J$10:$J$224),0),
IF('TL08'!$B$229=P$3,SUMIF('TL08'!$C$238:$C$451,$C408,'TL08'!$J$238:$J$451),0),
IF('TL09'!$B$3=P$3,SUMIF('TL09'!$C$10:$C$224,$C408,'TL09'!$J$10:$J$224),0),
IF('TL09'!$B$229=P$3,SUMIF('TL09'!$C$238:$C$451,$C408,'TL09'!$J$238:$J$451),0),
IF('TL10'!$B$3=P$3,SUMIF('TL10'!$C$10:$C$224,$C408,'TL10'!$J$10:$J$224),0),
IF('TL10'!$B$229=P$3,SUMIF('TL10'!$C$238:$C$451,$C408,'TL10'!$J$238:$J$451),0),
IF('TL11'!$B$3=P$3,SUMIF('TL11'!$C$10:$C$224,$C408,'TL11'!$J$10:$J$224),0),
IF('TL11'!$B$229=P$3,SUMIF('TL11'!$C$238:$C$451,$C408,'TL11'!$J$238:$J$451),0),
IF('TL12'!$B$3=P$3,SUMIF('TL12'!$C$10:$C$224,$C408,'TL12'!$J$10:$J$224),0),
IF('TL12'!$B$229=P$3,SUMIF('TL12'!$C$238:$C$451,$C408,'TL12'!$J$238:$J$451),0),
IF('TL13'!$B$3=P$3,SUMIF('TL13'!$C$10:$C$224,$C408,'TL13'!$J$10:$J$224),0),
IF('TL13'!$B$229=P$3,SUMIF('TL13'!$C$238:$C$451,$C408,'TL13'!$J$238:$J$451),0),
IF('TL14'!$B$3=P$3,SUMIF('TL14'!$C$10:$C$224,$C408,'TL14'!$J$10:$J$224),0),
IF('TL14'!$B$229=P$3,SUMIF('TL14'!$C$238:$C$451,$C408,'TL14'!$J$238:$J$451),0),
IF('TL15'!$B$3=P$3,SUMIF('TL15'!$C$10:$C$224,$C408,'TL15'!$J$10:$J$224),0),
IF('TL15'!$B$229=P$3,SUMIF('TL15'!$C$238:$C$451,$C408,'TL15'!$J$238:$J$451),0),
IF('TL16'!$B$3=P$3,SUMIF('TL16'!$C$10:$C$224,$C408,'TL16'!$J$10:$J$224),0),
IF('TL16'!$B$229=P$3,SUMIF('TL16'!$C$238:$C$451,$C408,'TL16'!$J$238:$J$451),0),
IF('TL17'!$B$3=P$3,SUMIF('TL17'!$C$10:$C$224,$C408,'TL17'!$J$10:$J$224),0),
IF('TL17'!$B$229=P$3,SUMIF('TL17'!$C$238:$C$451,$C408,'TL17'!$J$238:$J$451),0),
IF('TL18'!$B$3=P$3,SUMIF('TL18'!$C$10:$C$224,$C408,'TL18'!$J$10:$J$224),0),
IF('TL18'!$B$229=P$3,SUMIF('TL18'!$C$238:$C$451,$C408,'TL18'!$J$238:$J$451),0),
IF('TL19'!$B$3=P$3,SUMIF('TL19'!$C$10:$C$224,$C408,'TL19'!$J$10:$J$224),0),
IF('TL19'!$B$229=P$3,SUMIF('TL19'!$C$238:$C$451,$C408,'TL19'!$J$238:$J$451),0)
),0)</f>
        <v>40.6</v>
      </c>
      <c r="Q408" s="136">
        <f>IFERROR(SUM(
IF('TL01'!$B$3=Q$3,SUMIF('TL01'!$C$10:$C$224,$C408,'TL01'!$J$10:$J$224),0),
IF('TL01'!$B$229=Q$3,SUMIF('TL01'!$C$238:$C$451,$C408,'TL01'!$J$238:$J$451),0),
IF('TL02'!$B$3=Q$3,SUMIF('TL02'!$C$10:$C$224,$C408,'TL02'!$J$10:$J$224),0),
IF('TL02'!$B$229=Q$3,SUMIF('TL02'!$C$238:$C$451,$C408,'TL02'!$J$238:$J$451),0),
IF('TL03'!$B$3=Q$3,SUMIF('TL03'!$C$10:$C$224,$C408,'TL03'!$J$10:$J$224),0),
IF('TL03'!$B$229=Q$3,SUMIF('TL03'!$C$238:$C$451,$C408,'TL03'!$J$238:$J$451),0),
IF('TL04'!$B$3=Q$3,SUMIF('TL04'!$C$10:$C$224,$C408,'TL04'!$J$10:$J$224),0),
IF('TL04'!$B$229=Q$3,SUMIF('TL04'!$C$238:$C$451,$C408,'TL04'!$J$238:$J$451),0),
IF('TL05'!$B$3=Q$3,SUMIF('TL05'!$C$10:$C$224,$C408,'TL05'!$J$10:$J$224),0),
IF('TL05'!$B$229=Q$3,SUMIF('TL05'!$C$238:$C$451,$C408,'TL05'!$J$238:$J$451),0),
IF('TL06'!$B$3=Q$3,SUMIF('TL06'!$C$10:$C$224,$C408,'TL06'!$J$10:$J$224),0),
IF('TL06'!$B$229=Q$3,SUMIF('TL06'!$C$238:$C$451,$C408,'TL06'!$J$238:$J$451),0),
IF('TL07'!$B$3=Q$3,SUMIF('TL07'!$C$10:$C$224,$C408,'TL07'!$J$10:$J$224),0),
IF('TL07'!$B$229=Q$3,SUMIF('TL07'!$C$238:$C$451,$C408,'TL07'!$J$238:$J$451),0),
IF('TL08'!$B$3=Q$3,SUMIF('TL08'!$C$10:$C$224,$C408,'TL08'!$J$10:$J$224),0),
IF('TL08'!$B$229=Q$3,SUMIF('TL08'!$C$238:$C$451,$C408,'TL08'!$J$238:$J$451),0),
IF('TL09'!$B$3=Q$3,SUMIF('TL09'!$C$10:$C$224,$C408,'TL09'!$J$10:$J$224),0),
IF('TL09'!$B$229=Q$3,SUMIF('TL09'!$C$238:$C$451,$C408,'TL09'!$J$238:$J$451),0),
IF('TL10'!$B$3=Q$3,SUMIF('TL10'!$C$10:$C$224,$C408,'TL10'!$J$10:$J$224),0),
IF('TL10'!$B$229=Q$3,SUMIF('TL10'!$C$238:$C$451,$C408,'TL10'!$J$238:$J$451),0),
IF('TL11'!$B$3=Q$3,SUMIF('TL11'!$C$10:$C$224,$C408,'TL11'!$J$10:$J$224),0),
IF('TL11'!$B$229=Q$3,SUMIF('TL11'!$C$238:$C$451,$C408,'TL11'!$J$238:$J$451),0),
IF('TL12'!$B$3=Q$3,SUMIF('TL12'!$C$10:$C$224,$C408,'TL12'!$J$10:$J$224),0),
IF('TL12'!$B$229=Q$3,SUMIF('TL12'!$C$238:$C$451,$C408,'TL12'!$J$238:$J$451),0),
IF('TL13'!$B$3=Q$3,SUMIF('TL13'!$C$10:$C$224,$C408,'TL13'!$J$10:$J$224),0),
IF('TL13'!$B$229=Q$3,SUMIF('TL13'!$C$238:$C$451,$C408,'TL13'!$J$238:$J$451),0),
IF('TL14'!$B$3=Q$3,SUMIF('TL14'!$C$10:$C$224,$C408,'TL14'!$J$10:$J$224),0),
IF('TL14'!$B$229=Q$3,SUMIF('TL14'!$C$238:$C$451,$C408,'TL14'!$J$238:$J$451),0),
IF('TL15'!$B$3=Q$3,SUMIF('TL15'!$C$10:$C$224,$C408,'TL15'!$J$10:$J$224),0),
IF('TL15'!$B$229=Q$3,SUMIF('TL15'!$C$238:$C$451,$C408,'TL15'!$J$238:$J$451),0),
IF('TL16'!$B$3=Q$3,SUMIF('TL16'!$C$10:$C$224,$C408,'TL16'!$J$10:$J$224),0),
IF('TL16'!$B$229=Q$3,SUMIF('TL16'!$C$238:$C$451,$C408,'TL16'!$J$238:$J$451),0),
IF('TL17'!$B$3=Q$3,SUMIF('TL17'!$C$10:$C$224,$C408,'TL17'!$J$10:$J$224),0),
IF('TL17'!$B$229=Q$3,SUMIF('TL17'!$C$238:$C$451,$C408,'TL17'!$J$238:$J$451),0),
IF('TL18'!$B$3=Q$3,SUMIF('TL18'!$C$10:$C$224,$C408,'TL18'!$J$10:$J$224),0),
IF('TL18'!$B$229=Q$3,SUMIF('TL18'!$C$238:$C$451,$C408,'TL18'!$J$238:$J$451),0),
IF('TL19'!$B$3=Q$3,SUMIF('TL19'!$C$10:$C$224,$C408,'TL19'!$J$10:$J$224),0),
IF('TL19'!$B$229=Q$3,SUMIF('TL19'!$C$238:$C$451,$C408,'TL19'!$J$238:$J$451),0)
),0)</f>
        <v>10.66666667</v>
      </c>
      <c r="R408" s="139">
        <f>IFERROR(
SUM(
SUMIF('TL01'!C:C,C408,'TL01'!J:J),
SUMIF('TL02'!C:C,C408,'TL02'!I:I),
SUMIF('TL03'!C:C,C408,'TL03'!I:I),
SUMIF('TL04'!C:C,C408,'TL04'!I:I),
SUMIF('TL05'!C:C,C408,'TL05'!I:I),
SUMIF('TL06'!C:C,C408,'TL06'!I:I),
SUMIF('TL07'!C:C,C408,'TL07'!I:I),
SUMIF('TL08'!C:C,C408,'TL08'!I:I),
SUMIF('TL09'!C:C,C408,'TL09'!I:I),
SUMIF('TL10'!C:C,C408,'TL10'!I:I),
SUMIF('TL11'!C:C,C408,'TL11'!I:I),
SUMIF('TL12'!C:C,C408,'TL12'!I:I),
SUMIF('TL13'!C:C,C408,'TL13'!I:I),
SUMIF('TL14'!C:C,C408,'TL14'!I:I),
SUMIF('TL15'!C:C,C408,'TL15'!I:I),
SUMIF('TL16'!C:C,C408,'TL16'!I:I),
SUMIF('TL17'!C:C,C408,'TL17'!I:I),
SUMIF('TL18'!C:C,C408,'TL18'!I:I))
,0)</f>
        <v>9.556666667</v>
      </c>
      <c r="S408" s="142">
        <f>'CUSTO OPERAÇÃO'!M12</f>
        <v>5000</v>
      </c>
      <c r="T408" s="139"/>
      <c r="U408" s="143">
        <f t="shared" si="2"/>
        <v>9.556666667</v>
      </c>
      <c r="V408" s="144">
        <f t="shared" si="3"/>
        <v>47783.33333</v>
      </c>
    </row>
    <row r="409" ht="15.75" hidden="1" customHeight="1">
      <c r="A409" s="150"/>
      <c r="B409" s="151" t="s">
        <v>10</v>
      </c>
      <c r="C409" s="152" t="str">
        <f>'CUSTO OPERAÇÃO'!D13</f>
        <v>COLHETADEIRA - NH-CR9060 + MILHO BRAVA 11</v>
      </c>
      <c r="D409" s="152"/>
      <c r="E409" s="153"/>
      <c r="F409" s="138" t="s">
        <v>1133</v>
      </c>
      <c r="G409" s="139"/>
      <c r="H409" s="140">
        <f>'CUSTO OPERAÇÃO'!J13</f>
        <v>0.2139037433</v>
      </c>
      <c r="I409" s="154"/>
      <c r="J409" s="152">
        <f>IFERROR(SUM(
IF('TL01'!$B$3=J$3,SUMIF('TL01'!$C$10:$C$224,$C409,'TL01'!$J$10:$J$224),0),
IF('TL01'!$B$229=J$3,SUMIF('TL01'!$C$238:$C$451,$C409,'TL01'!$J$238:$J$451),0),
IF('TL02'!$B$3=J$3,SUMIF('TL02'!$C$10:$C$224,$C409,'TL02'!$J$10:$J$224),0),
IF('TL02'!$B$229=J$3,SUMIF('TL02'!$C$238:$C$451,$C409,'TL02'!$J$238:$J$451),0),
IF('TL03'!$B$3=J$3,SUMIF('TL03'!$C$10:$C$224,$C409,'TL03'!$J$10:$J$224),0),
IF('TL03'!$B$229=J$3,SUMIF('TL03'!$C$238:$C$451,$C409,'TL03'!$J$238:$J$451),0),
IF('TL04'!$B$3=J$3,SUMIF('TL04'!$C$10:$C$224,$C409,'TL04'!$J$10:$J$224),0),
IF('TL04'!$B$229=J$3,SUMIF('TL04'!$C$238:$C$451,$C409,'TL04'!$J$238:$J$451),0),
IF('TL05'!$B$3=J$3,SUMIF('TL05'!$C$10:$C$224,$C409,'TL05'!$J$10:$J$224),0),
IF('TL05'!$B$229=J$3,SUMIF('TL05'!$C$238:$C$451,$C409,'TL05'!$J$238:$J$451),0),
IF('TL06'!$B$3=J$3,SUMIF('TL06'!$C$10:$C$224,$C409,'TL06'!$J$10:$J$224),0),
IF('TL06'!$B$229=J$3,SUMIF('TL06'!$C$238:$C$451,$C409,'TL06'!$J$238:$J$451),0),
IF('TL07'!$B$3=J$3,SUMIF('TL07'!$C$10:$C$224,$C409,'TL07'!$J$10:$J$224),0),
IF('TL07'!$B$229=J$3,SUMIF('TL07'!$C$238:$C$451,$C409,'TL07'!$J$238:$J$451),0),
IF('TL08'!$B$3=J$3,SUMIF('TL08'!$C$10:$C$224,$C409,'TL08'!$J$10:$J$224),0),
IF('TL08'!$B$229=J$3,SUMIF('TL08'!$C$238:$C$451,$C409,'TL08'!$J$238:$J$451),0),
IF('TL09'!$B$3=J$3,SUMIF('TL09'!$C$10:$C$224,$C409,'TL09'!$J$10:$J$224),0),
IF('TL09'!$B$229=J$3,SUMIF('TL09'!$C$238:$C$451,$C409,'TL09'!$J$238:$J$451),0),
IF('TL10'!$B$3=J$3,SUMIF('TL10'!$C$10:$C$224,$C409,'TL10'!$J$10:$J$224),0),
IF('TL10'!$B$229=J$3,SUMIF('TL10'!$C$238:$C$451,$C409,'TL10'!$J$238:$J$451),0),
IF('TL11'!$B$3=J$3,SUMIF('TL11'!$C$10:$C$224,$C409,'TL11'!$J$10:$J$224),0),
IF('TL11'!$B$229=J$3,SUMIF('TL11'!$C$238:$C$451,$C409,'TL11'!$J$238:$J$451),0),
IF('TL12'!$B$3=J$3,SUMIF('TL12'!$C$10:$C$224,$C409,'TL12'!$J$10:$J$224),0),
IF('TL12'!$B$229=J$3,SUMIF('TL12'!$C$238:$C$451,$C409,'TL12'!$J$238:$J$451),0),
IF('TL13'!$B$3=J$3,SUMIF('TL13'!$C$10:$C$224,$C409,'TL13'!$J$10:$J$224),0),
IF('TL13'!$B$229=J$3,SUMIF('TL13'!$C$238:$C$451,$C409,'TL13'!$J$238:$J$451),0),
IF('TL14'!$B$3=J$3,SUMIF('TL14'!$C$10:$C$224,$C409,'TL14'!$J$10:$J$224),0),
IF('TL14'!$B$229=J$3,SUMIF('TL14'!$C$238:$C$451,$C409,'TL14'!$J$238:$J$451),0),
IF('TL15'!$B$3=J$3,SUMIF('TL15'!$C$10:$C$224,$C409,'TL15'!$J$10:$J$224),0),
IF('TL15'!$B$229=J$3,SUMIF('TL15'!$C$238:$C$451,$C409,'TL15'!$J$238:$J$451),0),
IF('TL16'!$B$3=J$3,SUMIF('TL16'!$C$10:$C$224,$C409,'TL16'!$J$10:$J$224),0),
IF('TL16'!$B$229=J$3,SUMIF('TL16'!$C$238:$C$451,$C409,'TL16'!$J$238:$J$451),0),
IF('TL17'!$B$3=J$3,SUMIF('TL17'!$C$10:$C$224,$C409,'TL17'!$J$10:$J$224),0),
IF('TL17'!$B$229=J$3,SUMIF('TL17'!$C$238:$C$451,$C409,'TL17'!$J$238:$J$451),0),
IF('TL18'!$B$3=J$3,SUMIF('TL18'!$C$10:$C$224,$C409,'TL18'!$J$10:$J$224),0),
IF('TL18'!$B$229=J$3,SUMIF('TL18'!$C$238:$C$451,$C409,'TL18'!$J$238:$J$451),0),
IF('TL19'!$B$3=J$3,SUMIF('TL19'!$C$10:$C$224,$C409,'TL19'!$J$10:$J$224),0),
IF('TL19'!$B$229=J$3,SUMIF('TL19'!$C$238:$C$451,$C409,'TL19'!$J$238:$J$451),0)
),0)</f>
        <v>0</v>
      </c>
      <c r="K409" s="152">
        <f>IFERROR(SUM(
IF('TL01'!$B$3=K$3,SUMIF('TL01'!$C$10:$C$224,$C409,'TL01'!$J$10:$J$224),0),
IF('TL01'!$B$229=K$3,SUMIF('TL01'!$C$238:$C$451,$C409,'TL01'!$J$238:$J$451),0),
IF('TL02'!$B$3=K$3,SUMIF('TL02'!$C$10:$C$224,$C409,'TL02'!$J$10:$J$224),0),
IF('TL02'!$B$229=K$3,SUMIF('TL02'!$C$238:$C$451,$C409,'TL02'!$J$238:$J$451),0),
IF('TL03'!$B$3=K$3,SUMIF('TL03'!$C$10:$C$224,$C409,'TL03'!$J$10:$J$224),0),
IF('TL03'!$B$229=K$3,SUMIF('TL03'!$C$238:$C$451,$C409,'TL03'!$J$238:$J$451),0),
IF('TL04'!$B$3=K$3,SUMIF('TL04'!$C$10:$C$224,$C409,'TL04'!$J$10:$J$224),0),
IF('TL04'!$B$229=K$3,SUMIF('TL04'!$C$238:$C$451,$C409,'TL04'!$J$238:$J$451),0),
IF('TL05'!$B$3=K$3,SUMIF('TL05'!$C$10:$C$224,$C409,'TL05'!$J$10:$J$224),0),
IF('TL05'!$B$229=K$3,SUMIF('TL05'!$C$238:$C$451,$C409,'TL05'!$J$238:$J$451),0),
IF('TL06'!$B$3=K$3,SUMIF('TL06'!$C$10:$C$224,$C409,'TL06'!$J$10:$J$224),0),
IF('TL06'!$B$229=K$3,SUMIF('TL06'!$C$238:$C$451,$C409,'TL06'!$J$238:$J$451),0),
IF('TL07'!$B$3=K$3,SUMIF('TL07'!$C$10:$C$224,$C409,'TL07'!$J$10:$J$224),0),
IF('TL07'!$B$229=K$3,SUMIF('TL07'!$C$238:$C$451,$C409,'TL07'!$J$238:$J$451),0),
IF('TL08'!$B$3=K$3,SUMIF('TL08'!$C$10:$C$224,$C409,'TL08'!$J$10:$J$224),0),
IF('TL08'!$B$229=K$3,SUMIF('TL08'!$C$238:$C$451,$C409,'TL08'!$J$238:$J$451),0),
IF('TL09'!$B$3=K$3,SUMIF('TL09'!$C$10:$C$224,$C409,'TL09'!$J$10:$J$224),0),
IF('TL09'!$B$229=K$3,SUMIF('TL09'!$C$238:$C$451,$C409,'TL09'!$J$238:$J$451),0),
IF('TL10'!$B$3=K$3,SUMIF('TL10'!$C$10:$C$224,$C409,'TL10'!$J$10:$J$224),0),
IF('TL10'!$B$229=K$3,SUMIF('TL10'!$C$238:$C$451,$C409,'TL10'!$J$238:$J$451),0),
IF('TL11'!$B$3=K$3,SUMIF('TL11'!$C$10:$C$224,$C409,'TL11'!$J$10:$J$224),0),
IF('TL11'!$B$229=K$3,SUMIF('TL11'!$C$238:$C$451,$C409,'TL11'!$J$238:$J$451),0),
IF('TL12'!$B$3=K$3,SUMIF('TL12'!$C$10:$C$224,$C409,'TL12'!$J$10:$J$224),0),
IF('TL12'!$B$229=K$3,SUMIF('TL12'!$C$238:$C$451,$C409,'TL12'!$J$238:$J$451),0),
IF('TL13'!$B$3=K$3,SUMIF('TL13'!$C$10:$C$224,$C409,'TL13'!$J$10:$J$224),0),
IF('TL13'!$B$229=K$3,SUMIF('TL13'!$C$238:$C$451,$C409,'TL13'!$J$238:$J$451),0),
IF('TL14'!$B$3=K$3,SUMIF('TL14'!$C$10:$C$224,$C409,'TL14'!$J$10:$J$224),0),
IF('TL14'!$B$229=K$3,SUMIF('TL14'!$C$238:$C$451,$C409,'TL14'!$J$238:$J$451),0),
IF('TL15'!$B$3=K$3,SUMIF('TL15'!$C$10:$C$224,$C409,'TL15'!$J$10:$J$224),0),
IF('TL15'!$B$229=K$3,SUMIF('TL15'!$C$238:$C$451,$C409,'TL15'!$J$238:$J$451),0),
IF('TL16'!$B$3=K$3,SUMIF('TL16'!$C$10:$C$224,$C409,'TL16'!$J$10:$J$224),0),
IF('TL16'!$B$229=K$3,SUMIF('TL16'!$C$238:$C$451,$C409,'TL16'!$J$238:$J$451),0),
IF('TL17'!$B$3=K$3,SUMIF('TL17'!$C$10:$C$224,$C409,'TL17'!$J$10:$J$224),0),
IF('TL17'!$B$229=K$3,SUMIF('TL17'!$C$238:$C$451,$C409,'TL17'!$J$238:$J$451),0),
IF('TL18'!$B$3=K$3,SUMIF('TL18'!$C$10:$C$224,$C409,'TL18'!$J$10:$J$224),0),
IF('TL18'!$B$229=K$3,SUMIF('TL18'!$C$238:$C$451,$C409,'TL18'!$J$238:$J$451),0),
IF('TL19'!$B$3=K$3,SUMIF('TL19'!$C$10:$C$224,$C409,'TL19'!$J$10:$J$224),0),
IF('TL19'!$B$229=K$3,SUMIF('TL19'!$C$238:$C$451,$C409,'TL19'!$J$238:$J$451),0)
),0)</f>
        <v>0</v>
      </c>
      <c r="L409" s="152">
        <f>IFERROR(SUM(
IF('TL01'!$B$3=L$3,SUMIF('TL01'!$C$10:$C$224,$C409,'TL01'!$J$10:$J$224),0),
IF('TL01'!$B$229=L$3,SUMIF('TL01'!$C$238:$C$451,$C409,'TL01'!$J$238:$J$451),0),
IF('TL02'!$B$3=L$3,SUMIF('TL02'!$C$10:$C$224,$C409,'TL02'!$J$10:$J$224),0),
IF('TL02'!$B$229=L$3,SUMIF('TL02'!$C$238:$C$451,$C409,'TL02'!$J$238:$J$451),0),
IF('TL03'!$B$3=L$3,SUMIF('TL03'!$C$10:$C$224,$C409,'TL03'!$J$10:$J$224),0),
IF('TL03'!$B$229=L$3,SUMIF('TL03'!$C$238:$C$451,$C409,'TL03'!$J$238:$J$451),0),
IF('TL04'!$B$3=L$3,SUMIF('TL04'!$C$10:$C$224,$C409,'TL04'!$J$10:$J$224),0),
IF('TL04'!$B$229=L$3,SUMIF('TL04'!$C$238:$C$451,$C409,'TL04'!$J$238:$J$451),0),
IF('TL05'!$B$3=L$3,SUMIF('TL05'!$C$10:$C$224,$C409,'TL05'!$J$10:$J$224),0),
IF('TL05'!$B$229=L$3,SUMIF('TL05'!$C$238:$C$451,$C409,'TL05'!$J$238:$J$451),0),
IF('TL06'!$B$3=L$3,SUMIF('TL06'!$C$10:$C$224,$C409,'TL06'!$J$10:$J$224),0),
IF('TL06'!$B$229=L$3,SUMIF('TL06'!$C$238:$C$451,$C409,'TL06'!$J$238:$J$451),0),
IF('TL07'!$B$3=L$3,SUMIF('TL07'!$C$10:$C$224,$C409,'TL07'!$J$10:$J$224),0),
IF('TL07'!$B$229=L$3,SUMIF('TL07'!$C$238:$C$451,$C409,'TL07'!$J$238:$J$451),0),
IF('TL08'!$B$3=L$3,SUMIF('TL08'!$C$10:$C$224,$C409,'TL08'!$J$10:$J$224),0),
IF('TL08'!$B$229=L$3,SUMIF('TL08'!$C$238:$C$451,$C409,'TL08'!$J$238:$J$451),0),
IF('TL09'!$B$3=L$3,SUMIF('TL09'!$C$10:$C$224,$C409,'TL09'!$J$10:$J$224),0),
IF('TL09'!$B$229=L$3,SUMIF('TL09'!$C$238:$C$451,$C409,'TL09'!$J$238:$J$451),0),
IF('TL10'!$B$3=L$3,SUMIF('TL10'!$C$10:$C$224,$C409,'TL10'!$J$10:$J$224),0),
IF('TL10'!$B$229=L$3,SUMIF('TL10'!$C$238:$C$451,$C409,'TL10'!$J$238:$J$451),0),
IF('TL11'!$B$3=L$3,SUMIF('TL11'!$C$10:$C$224,$C409,'TL11'!$J$10:$J$224),0),
IF('TL11'!$B$229=L$3,SUMIF('TL11'!$C$238:$C$451,$C409,'TL11'!$J$238:$J$451),0),
IF('TL12'!$B$3=L$3,SUMIF('TL12'!$C$10:$C$224,$C409,'TL12'!$J$10:$J$224),0),
IF('TL12'!$B$229=L$3,SUMIF('TL12'!$C$238:$C$451,$C409,'TL12'!$J$238:$J$451),0),
IF('TL13'!$B$3=L$3,SUMIF('TL13'!$C$10:$C$224,$C409,'TL13'!$J$10:$J$224),0),
IF('TL13'!$B$229=L$3,SUMIF('TL13'!$C$238:$C$451,$C409,'TL13'!$J$238:$J$451),0),
IF('TL14'!$B$3=L$3,SUMIF('TL14'!$C$10:$C$224,$C409,'TL14'!$J$10:$J$224),0),
IF('TL14'!$B$229=L$3,SUMIF('TL14'!$C$238:$C$451,$C409,'TL14'!$J$238:$J$451),0),
IF('TL15'!$B$3=L$3,SUMIF('TL15'!$C$10:$C$224,$C409,'TL15'!$J$10:$J$224),0),
IF('TL15'!$B$229=L$3,SUMIF('TL15'!$C$238:$C$451,$C409,'TL15'!$J$238:$J$451),0),
IF('TL16'!$B$3=L$3,SUMIF('TL16'!$C$10:$C$224,$C409,'TL16'!$J$10:$J$224),0),
IF('TL16'!$B$229=L$3,SUMIF('TL16'!$C$238:$C$451,$C409,'TL16'!$J$238:$J$451),0),
IF('TL17'!$B$3=L$3,SUMIF('TL17'!$C$10:$C$224,$C409,'TL17'!$J$10:$J$224),0),
IF('TL17'!$B$229=L$3,SUMIF('TL17'!$C$238:$C$451,$C409,'TL17'!$J$238:$J$451),0),
IF('TL18'!$B$3=L$3,SUMIF('TL18'!$C$10:$C$224,$C409,'TL18'!$J$10:$J$224),0),
IF('TL18'!$B$229=L$3,SUMIF('TL18'!$C$238:$C$451,$C409,'TL18'!$J$238:$J$451),0),
IF('TL19'!$B$3=L$3,SUMIF('TL19'!$C$10:$C$224,$C409,'TL19'!$J$10:$J$224),0),
IF('TL19'!$B$229=L$3,SUMIF('TL19'!$C$238:$C$451,$C409,'TL19'!$J$238:$J$451),0)
),0)</f>
        <v>0</v>
      </c>
      <c r="M409" s="152">
        <f>IFERROR(SUM(
IF('TL01'!$B$3=M$3,SUMIF('TL01'!$C$10:$C$224,$C409,'TL01'!$J$10:$J$224),0),
IF('TL01'!$B$229=M$3,SUMIF('TL01'!$C$238:$C$451,$C409,'TL01'!$J$238:$J$451),0),
IF('TL02'!$B$3=M$3,SUMIF('TL02'!$C$10:$C$224,$C409,'TL02'!$J$10:$J$224),0),
IF('TL02'!$B$229=M$3,SUMIF('TL02'!$C$238:$C$451,$C409,'TL02'!$J$238:$J$451),0),
IF('TL03'!$B$3=M$3,SUMIF('TL03'!$C$10:$C$224,$C409,'TL03'!$J$10:$J$224),0),
IF('TL03'!$B$229=M$3,SUMIF('TL03'!$C$238:$C$451,$C409,'TL03'!$J$238:$J$451),0),
IF('TL04'!$B$3=M$3,SUMIF('TL04'!$C$10:$C$224,$C409,'TL04'!$J$10:$J$224),0),
IF('TL04'!$B$229=M$3,SUMIF('TL04'!$C$238:$C$451,$C409,'TL04'!$J$238:$J$451),0),
IF('TL05'!$B$3=M$3,SUMIF('TL05'!$C$10:$C$224,$C409,'TL05'!$J$10:$J$224),0),
IF('TL05'!$B$229=M$3,SUMIF('TL05'!$C$238:$C$451,$C409,'TL05'!$J$238:$J$451),0),
IF('TL06'!$B$3=M$3,SUMIF('TL06'!$C$10:$C$224,$C409,'TL06'!$J$10:$J$224),0),
IF('TL06'!$B$229=M$3,SUMIF('TL06'!$C$238:$C$451,$C409,'TL06'!$J$238:$J$451),0),
IF('TL07'!$B$3=M$3,SUMIF('TL07'!$C$10:$C$224,$C409,'TL07'!$J$10:$J$224),0),
IF('TL07'!$B$229=M$3,SUMIF('TL07'!$C$238:$C$451,$C409,'TL07'!$J$238:$J$451),0),
IF('TL08'!$B$3=M$3,SUMIF('TL08'!$C$10:$C$224,$C409,'TL08'!$J$10:$J$224),0),
IF('TL08'!$B$229=M$3,SUMIF('TL08'!$C$238:$C$451,$C409,'TL08'!$J$238:$J$451),0),
IF('TL09'!$B$3=M$3,SUMIF('TL09'!$C$10:$C$224,$C409,'TL09'!$J$10:$J$224),0),
IF('TL09'!$B$229=M$3,SUMIF('TL09'!$C$238:$C$451,$C409,'TL09'!$J$238:$J$451),0),
IF('TL10'!$B$3=M$3,SUMIF('TL10'!$C$10:$C$224,$C409,'TL10'!$J$10:$J$224),0),
IF('TL10'!$B$229=M$3,SUMIF('TL10'!$C$238:$C$451,$C409,'TL10'!$J$238:$J$451),0),
IF('TL11'!$B$3=M$3,SUMIF('TL11'!$C$10:$C$224,$C409,'TL11'!$J$10:$J$224),0),
IF('TL11'!$B$229=M$3,SUMIF('TL11'!$C$238:$C$451,$C409,'TL11'!$J$238:$J$451),0),
IF('TL12'!$B$3=M$3,SUMIF('TL12'!$C$10:$C$224,$C409,'TL12'!$J$10:$J$224),0),
IF('TL12'!$B$229=M$3,SUMIF('TL12'!$C$238:$C$451,$C409,'TL12'!$J$238:$J$451),0),
IF('TL13'!$B$3=M$3,SUMIF('TL13'!$C$10:$C$224,$C409,'TL13'!$J$10:$J$224),0),
IF('TL13'!$B$229=M$3,SUMIF('TL13'!$C$238:$C$451,$C409,'TL13'!$J$238:$J$451),0),
IF('TL14'!$B$3=M$3,SUMIF('TL14'!$C$10:$C$224,$C409,'TL14'!$J$10:$J$224),0),
IF('TL14'!$B$229=M$3,SUMIF('TL14'!$C$238:$C$451,$C409,'TL14'!$J$238:$J$451),0),
IF('TL15'!$B$3=M$3,SUMIF('TL15'!$C$10:$C$224,$C409,'TL15'!$J$10:$J$224),0),
IF('TL15'!$B$229=M$3,SUMIF('TL15'!$C$238:$C$451,$C409,'TL15'!$J$238:$J$451),0),
IF('TL16'!$B$3=M$3,SUMIF('TL16'!$C$10:$C$224,$C409,'TL16'!$J$10:$J$224),0),
IF('TL16'!$B$229=M$3,SUMIF('TL16'!$C$238:$C$451,$C409,'TL16'!$J$238:$J$451),0),
IF('TL17'!$B$3=M$3,SUMIF('TL17'!$C$10:$C$224,$C409,'TL17'!$J$10:$J$224),0),
IF('TL17'!$B$229=M$3,SUMIF('TL17'!$C$238:$C$451,$C409,'TL17'!$J$238:$J$451),0),
IF('TL18'!$B$3=M$3,SUMIF('TL18'!$C$10:$C$224,$C409,'TL18'!$J$10:$J$224),0),
IF('TL18'!$B$229=M$3,SUMIF('TL18'!$C$238:$C$451,$C409,'TL18'!$J$238:$J$451),0),
IF('TL19'!$B$3=M$3,SUMIF('TL19'!$C$10:$C$224,$C409,'TL19'!$J$10:$J$224),0),
IF('TL19'!$B$229=M$3,SUMIF('TL19'!$C$238:$C$451,$C409,'TL19'!$J$238:$J$451),0)
),0)</f>
        <v>0</v>
      </c>
      <c r="N409" s="152">
        <f>IFERROR(SUM(
IF('TL01'!$B$3=N$3,SUMIF('TL01'!$C$10:$C$224,$C409,'TL01'!$J$10:$J$224),0),
IF('TL01'!$B$229=N$3,SUMIF('TL01'!$C$238:$C$451,$C409,'TL01'!$J$238:$J$451),0),
IF('TL02'!$B$3=N$3,SUMIF('TL02'!$C$10:$C$224,$C409,'TL02'!$J$10:$J$224),0),
IF('TL02'!$B$229=N$3,SUMIF('TL02'!$C$238:$C$451,$C409,'TL02'!$J$238:$J$451),0),
IF('TL03'!$B$3=N$3,SUMIF('TL03'!$C$10:$C$224,$C409,'TL03'!$J$10:$J$224),0),
IF('TL03'!$B$229=N$3,SUMIF('TL03'!$C$238:$C$451,$C409,'TL03'!$J$238:$J$451),0),
IF('TL04'!$B$3=N$3,SUMIF('TL04'!$C$10:$C$224,$C409,'TL04'!$J$10:$J$224),0),
IF('TL04'!$B$229=N$3,SUMIF('TL04'!$C$238:$C$451,$C409,'TL04'!$J$238:$J$451),0),
IF('TL05'!$B$3=N$3,SUMIF('TL05'!$C$10:$C$224,$C409,'TL05'!$J$10:$J$224),0),
IF('TL05'!$B$229=N$3,SUMIF('TL05'!$C$238:$C$451,$C409,'TL05'!$J$238:$J$451),0),
IF('TL06'!$B$3=N$3,SUMIF('TL06'!$C$10:$C$224,$C409,'TL06'!$J$10:$J$224),0),
IF('TL06'!$B$229=N$3,SUMIF('TL06'!$C$238:$C$451,$C409,'TL06'!$J$238:$J$451),0),
IF('TL07'!$B$3=N$3,SUMIF('TL07'!$C$10:$C$224,$C409,'TL07'!$J$10:$J$224),0),
IF('TL07'!$B$229=N$3,SUMIF('TL07'!$C$238:$C$451,$C409,'TL07'!$J$238:$J$451),0),
IF('TL08'!$B$3=N$3,SUMIF('TL08'!$C$10:$C$224,$C409,'TL08'!$J$10:$J$224),0),
IF('TL08'!$B$229=N$3,SUMIF('TL08'!$C$238:$C$451,$C409,'TL08'!$J$238:$J$451),0),
IF('TL09'!$B$3=N$3,SUMIF('TL09'!$C$10:$C$224,$C409,'TL09'!$J$10:$J$224),0),
IF('TL09'!$B$229=N$3,SUMIF('TL09'!$C$238:$C$451,$C409,'TL09'!$J$238:$J$451),0),
IF('TL10'!$B$3=N$3,SUMIF('TL10'!$C$10:$C$224,$C409,'TL10'!$J$10:$J$224),0),
IF('TL10'!$B$229=N$3,SUMIF('TL10'!$C$238:$C$451,$C409,'TL10'!$J$238:$J$451),0),
IF('TL11'!$B$3=N$3,SUMIF('TL11'!$C$10:$C$224,$C409,'TL11'!$J$10:$J$224),0),
IF('TL11'!$B$229=N$3,SUMIF('TL11'!$C$238:$C$451,$C409,'TL11'!$J$238:$J$451),0),
IF('TL12'!$B$3=N$3,SUMIF('TL12'!$C$10:$C$224,$C409,'TL12'!$J$10:$J$224),0),
IF('TL12'!$B$229=N$3,SUMIF('TL12'!$C$238:$C$451,$C409,'TL12'!$J$238:$J$451),0),
IF('TL13'!$B$3=N$3,SUMIF('TL13'!$C$10:$C$224,$C409,'TL13'!$J$10:$J$224),0),
IF('TL13'!$B$229=N$3,SUMIF('TL13'!$C$238:$C$451,$C409,'TL13'!$J$238:$J$451),0),
IF('TL14'!$B$3=N$3,SUMIF('TL14'!$C$10:$C$224,$C409,'TL14'!$J$10:$J$224),0),
IF('TL14'!$B$229=N$3,SUMIF('TL14'!$C$238:$C$451,$C409,'TL14'!$J$238:$J$451),0),
IF('TL15'!$B$3=N$3,SUMIF('TL15'!$C$10:$C$224,$C409,'TL15'!$J$10:$J$224),0),
IF('TL15'!$B$229=N$3,SUMIF('TL15'!$C$238:$C$451,$C409,'TL15'!$J$238:$J$451),0),
IF('TL16'!$B$3=N$3,SUMIF('TL16'!$C$10:$C$224,$C409,'TL16'!$J$10:$J$224),0),
IF('TL16'!$B$229=N$3,SUMIF('TL16'!$C$238:$C$451,$C409,'TL16'!$J$238:$J$451),0),
IF('TL17'!$B$3=N$3,SUMIF('TL17'!$C$10:$C$224,$C409,'TL17'!$J$10:$J$224),0),
IF('TL17'!$B$229=N$3,SUMIF('TL17'!$C$238:$C$451,$C409,'TL17'!$J$238:$J$451),0),
IF('TL18'!$B$3=N$3,SUMIF('TL18'!$C$10:$C$224,$C409,'TL18'!$J$10:$J$224),0),
IF('TL18'!$B$229=N$3,SUMIF('TL18'!$C$238:$C$451,$C409,'TL18'!$J$238:$J$451),0),
IF('TL19'!$B$3=N$3,SUMIF('TL19'!$C$10:$C$224,$C409,'TL19'!$J$10:$J$224),0),
IF('TL19'!$B$229=N$3,SUMIF('TL19'!$C$238:$C$451,$C409,'TL19'!$J$238:$J$451),0)
),0)</f>
        <v>0</v>
      </c>
      <c r="O409" s="152">
        <f>IFERROR(SUM(
IF('TL01'!$B$3=O$3,SUMIF('TL01'!$C$10:$C$224,$C409,'TL01'!$J$10:$J$224),0),
IF('TL01'!$B$229=O$3,SUMIF('TL01'!$C$238:$C$451,$C409,'TL01'!$J$238:$J$451),0),
IF('TL02'!$B$3=O$3,SUMIF('TL02'!$C$10:$C$224,$C409,'TL02'!$J$10:$J$224),0),
IF('TL02'!$B$229=O$3,SUMIF('TL02'!$C$238:$C$451,$C409,'TL02'!$J$238:$J$451),0),
IF('TL03'!$B$3=O$3,SUMIF('TL03'!$C$10:$C$224,$C409,'TL03'!$J$10:$J$224),0),
IF('TL03'!$B$229=O$3,SUMIF('TL03'!$C$238:$C$451,$C409,'TL03'!$J$238:$J$451),0),
IF('TL04'!$B$3=O$3,SUMIF('TL04'!$C$10:$C$224,$C409,'TL04'!$J$10:$J$224),0),
IF('TL04'!$B$229=O$3,SUMIF('TL04'!$C$238:$C$451,$C409,'TL04'!$J$238:$J$451),0),
IF('TL05'!$B$3=O$3,SUMIF('TL05'!$C$10:$C$224,$C409,'TL05'!$J$10:$J$224),0),
IF('TL05'!$B$229=O$3,SUMIF('TL05'!$C$238:$C$451,$C409,'TL05'!$J$238:$J$451),0),
IF('TL06'!$B$3=O$3,SUMIF('TL06'!$C$10:$C$224,$C409,'TL06'!$J$10:$J$224),0),
IF('TL06'!$B$229=O$3,SUMIF('TL06'!$C$238:$C$451,$C409,'TL06'!$J$238:$J$451),0),
IF('TL07'!$B$3=O$3,SUMIF('TL07'!$C$10:$C$224,$C409,'TL07'!$J$10:$J$224),0),
IF('TL07'!$B$229=O$3,SUMIF('TL07'!$C$238:$C$451,$C409,'TL07'!$J$238:$J$451),0),
IF('TL08'!$B$3=O$3,SUMIF('TL08'!$C$10:$C$224,$C409,'TL08'!$J$10:$J$224),0),
IF('TL08'!$B$229=O$3,SUMIF('TL08'!$C$238:$C$451,$C409,'TL08'!$J$238:$J$451),0),
IF('TL09'!$B$3=O$3,SUMIF('TL09'!$C$10:$C$224,$C409,'TL09'!$J$10:$J$224),0),
IF('TL09'!$B$229=O$3,SUMIF('TL09'!$C$238:$C$451,$C409,'TL09'!$J$238:$J$451),0),
IF('TL10'!$B$3=O$3,SUMIF('TL10'!$C$10:$C$224,$C409,'TL10'!$J$10:$J$224),0),
IF('TL10'!$B$229=O$3,SUMIF('TL10'!$C$238:$C$451,$C409,'TL10'!$J$238:$J$451),0),
IF('TL11'!$B$3=O$3,SUMIF('TL11'!$C$10:$C$224,$C409,'TL11'!$J$10:$J$224),0),
IF('TL11'!$B$229=O$3,SUMIF('TL11'!$C$238:$C$451,$C409,'TL11'!$J$238:$J$451),0),
IF('TL12'!$B$3=O$3,SUMIF('TL12'!$C$10:$C$224,$C409,'TL12'!$J$10:$J$224),0),
IF('TL12'!$B$229=O$3,SUMIF('TL12'!$C$238:$C$451,$C409,'TL12'!$J$238:$J$451),0),
IF('TL13'!$B$3=O$3,SUMIF('TL13'!$C$10:$C$224,$C409,'TL13'!$J$10:$J$224),0),
IF('TL13'!$B$229=O$3,SUMIF('TL13'!$C$238:$C$451,$C409,'TL13'!$J$238:$J$451),0),
IF('TL14'!$B$3=O$3,SUMIF('TL14'!$C$10:$C$224,$C409,'TL14'!$J$10:$J$224),0),
IF('TL14'!$B$229=O$3,SUMIF('TL14'!$C$238:$C$451,$C409,'TL14'!$J$238:$J$451),0),
IF('TL15'!$B$3=O$3,SUMIF('TL15'!$C$10:$C$224,$C409,'TL15'!$J$10:$J$224),0),
IF('TL15'!$B$229=O$3,SUMIF('TL15'!$C$238:$C$451,$C409,'TL15'!$J$238:$J$451),0),
IF('TL16'!$B$3=O$3,SUMIF('TL16'!$C$10:$C$224,$C409,'TL16'!$J$10:$J$224),0),
IF('TL16'!$B$229=O$3,SUMIF('TL16'!$C$238:$C$451,$C409,'TL16'!$J$238:$J$451),0),
IF('TL17'!$B$3=O$3,SUMIF('TL17'!$C$10:$C$224,$C409,'TL17'!$J$10:$J$224),0),
IF('TL17'!$B$229=O$3,SUMIF('TL17'!$C$238:$C$451,$C409,'TL17'!$J$238:$J$451),0),
IF('TL18'!$B$3=O$3,SUMIF('TL18'!$C$10:$C$224,$C409,'TL18'!$J$10:$J$224),0),
IF('TL18'!$B$229=O$3,SUMIF('TL18'!$C$238:$C$451,$C409,'TL18'!$J$238:$J$451),0),
IF('TL19'!$B$3=O$3,SUMIF('TL19'!$C$10:$C$224,$C409,'TL19'!$J$10:$J$224),0),
IF('TL19'!$B$229=O$3,SUMIF('TL19'!$C$238:$C$451,$C409,'TL19'!$J$238:$J$451),0)
),0)</f>
        <v>46.2</v>
      </c>
      <c r="P409" s="152">
        <f>IFERROR(SUM(
IF('TL01'!$B$3=P$3,SUMIF('TL01'!$C$10:$C$224,$C409,'TL01'!$J$10:$J$224),0),
IF('TL01'!$B$229=P$3,SUMIF('TL01'!$C$238:$C$451,$C409,'TL01'!$J$238:$J$451),0),
IF('TL02'!$B$3=P$3,SUMIF('TL02'!$C$10:$C$224,$C409,'TL02'!$J$10:$J$224),0),
IF('TL02'!$B$229=P$3,SUMIF('TL02'!$C$238:$C$451,$C409,'TL02'!$J$238:$J$451),0),
IF('TL03'!$B$3=P$3,SUMIF('TL03'!$C$10:$C$224,$C409,'TL03'!$J$10:$J$224),0),
IF('TL03'!$B$229=P$3,SUMIF('TL03'!$C$238:$C$451,$C409,'TL03'!$J$238:$J$451),0),
IF('TL04'!$B$3=P$3,SUMIF('TL04'!$C$10:$C$224,$C409,'TL04'!$J$10:$J$224),0),
IF('TL04'!$B$229=P$3,SUMIF('TL04'!$C$238:$C$451,$C409,'TL04'!$J$238:$J$451),0),
IF('TL05'!$B$3=P$3,SUMIF('TL05'!$C$10:$C$224,$C409,'TL05'!$J$10:$J$224),0),
IF('TL05'!$B$229=P$3,SUMIF('TL05'!$C$238:$C$451,$C409,'TL05'!$J$238:$J$451),0),
IF('TL06'!$B$3=P$3,SUMIF('TL06'!$C$10:$C$224,$C409,'TL06'!$J$10:$J$224),0),
IF('TL06'!$B$229=P$3,SUMIF('TL06'!$C$238:$C$451,$C409,'TL06'!$J$238:$J$451),0),
IF('TL07'!$B$3=P$3,SUMIF('TL07'!$C$10:$C$224,$C409,'TL07'!$J$10:$J$224),0),
IF('TL07'!$B$229=P$3,SUMIF('TL07'!$C$238:$C$451,$C409,'TL07'!$J$238:$J$451),0),
IF('TL08'!$B$3=P$3,SUMIF('TL08'!$C$10:$C$224,$C409,'TL08'!$J$10:$J$224),0),
IF('TL08'!$B$229=P$3,SUMIF('TL08'!$C$238:$C$451,$C409,'TL08'!$J$238:$J$451),0),
IF('TL09'!$B$3=P$3,SUMIF('TL09'!$C$10:$C$224,$C409,'TL09'!$J$10:$J$224),0),
IF('TL09'!$B$229=P$3,SUMIF('TL09'!$C$238:$C$451,$C409,'TL09'!$J$238:$J$451),0),
IF('TL10'!$B$3=P$3,SUMIF('TL10'!$C$10:$C$224,$C409,'TL10'!$J$10:$J$224),0),
IF('TL10'!$B$229=P$3,SUMIF('TL10'!$C$238:$C$451,$C409,'TL10'!$J$238:$J$451),0),
IF('TL11'!$B$3=P$3,SUMIF('TL11'!$C$10:$C$224,$C409,'TL11'!$J$10:$J$224),0),
IF('TL11'!$B$229=P$3,SUMIF('TL11'!$C$238:$C$451,$C409,'TL11'!$J$238:$J$451),0),
IF('TL12'!$B$3=P$3,SUMIF('TL12'!$C$10:$C$224,$C409,'TL12'!$J$10:$J$224),0),
IF('TL12'!$B$229=P$3,SUMIF('TL12'!$C$238:$C$451,$C409,'TL12'!$J$238:$J$451),0),
IF('TL13'!$B$3=P$3,SUMIF('TL13'!$C$10:$C$224,$C409,'TL13'!$J$10:$J$224),0),
IF('TL13'!$B$229=P$3,SUMIF('TL13'!$C$238:$C$451,$C409,'TL13'!$J$238:$J$451),0),
IF('TL14'!$B$3=P$3,SUMIF('TL14'!$C$10:$C$224,$C409,'TL14'!$J$10:$J$224),0),
IF('TL14'!$B$229=P$3,SUMIF('TL14'!$C$238:$C$451,$C409,'TL14'!$J$238:$J$451),0),
IF('TL15'!$B$3=P$3,SUMIF('TL15'!$C$10:$C$224,$C409,'TL15'!$J$10:$J$224),0),
IF('TL15'!$B$229=P$3,SUMIF('TL15'!$C$238:$C$451,$C409,'TL15'!$J$238:$J$451),0),
IF('TL16'!$B$3=P$3,SUMIF('TL16'!$C$10:$C$224,$C409,'TL16'!$J$10:$J$224),0),
IF('TL16'!$B$229=P$3,SUMIF('TL16'!$C$238:$C$451,$C409,'TL16'!$J$238:$J$451),0),
IF('TL17'!$B$3=P$3,SUMIF('TL17'!$C$10:$C$224,$C409,'TL17'!$J$10:$J$224),0),
IF('TL17'!$B$229=P$3,SUMIF('TL17'!$C$238:$C$451,$C409,'TL17'!$J$238:$J$451),0),
IF('TL18'!$B$3=P$3,SUMIF('TL18'!$C$10:$C$224,$C409,'TL18'!$J$10:$J$224),0),
IF('TL18'!$B$229=P$3,SUMIF('TL18'!$C$238:$C$451,$C409,'TL18'!$J$238:$J$451),0),
IF('TL19'!$B$3=P$3,SUMIF('TL19'!$C$10:$C$224,$C409,'TL19'!$J$10:$J$224),0),
IF('TL19'!$B$229=P$3,SUMIF('TL19'!$C$238:$C$451,$C409,'TL19'!$J$238:$J$451),0)
),0)</f>
        <v>0</v>
      </c>
      <c r="Q409" s="152">
        <f>IFERROR(SUM(
IF('TL01'!$B$3=Q$3,SUMIF('TL01'!$C$10:$C$224,$C409,'TL01'!$J$10:$J$224),0),
IF('TL01'!$B$229=Q$3,SUMIF('TL01'!$C$238:$C$451,$C409,'TL01'!$J$238:$J$451),0),
IF('TL02'!$B$3=Q$3,SUMIF('TL02'!$C$10:$C$224,$C409,'TL02'!$J$10:$J$224),0),
IF('TL02'!$B$229=Q$3,SUMIF('TL02'!$C$238:$C$451,$C409,'TL02'!$J$238:$J$451),0),
IF('TL03'!$B$3=Q$3,SUMIF('TL03'!$C$10:$C$224,$C409,'TL03'!$J$10:$J$224),0),
IF('TL03'!$B$229=Q$3,SUMIF('TL03'!$C$238:$C$451,$C409,'TL03'!$J$238:$J$451),0),
IF('TL04'!$B$3=Q$3,SUMIF('TL04'!$C$10:$C$224,$C409,'TL04'!$J$10:$J$224),0),
IF('TL04'!$B$229=Q$3,SUMIF('TL04'!$C$238:$C$451,$C409,'TL04'!$J$238:$J$451),0),
IF('TL05'!$B$3=Q$3,SUMIF('TL05'!$C$10:$C$224,$C409,'TL05'!$J$10:$J$224),0),
IF('TL05'!$B$229=Q$3,SUMIF('TL05'!$C$238:$C$451,$C409,'TL05'!$J$238:$J$451),0),
IF('TL06'!$B$3=Q$3,SUMIF('TL06'!$C$10:$C$224,$C409,'TL06'!$J$10:$J$224),0),
IF('TL06'!$B$229=Q$3,SUMIF('TL06'!$C$238:$C$451,$C409,'TL06'!$J$238:$J$451),0),
IF('TL07'!$B$3=Q$3,SUMIF('TL07'!$C$10:$C$224,$C409,'TL07'!$J$10:$J$224),0),
IF('TL07'!$B$229=Q$3,SUMIF('TL07'!$C$238:$C$451,$C409,'TL07'!$J$238:$J$451),0),
IF('TL08'!$B$3=Q$3,SUMIF('TL08'!$C$10:$C$224,$C409,'TL08'!$J$10:$J$224),0),
IF('TL08'!$B$229=Q$3,SUMIF('TL08'!$C$238:$C$451,$C409,'TL08'!$J$238:$J$451),0),
IF('TL09'!$B$3=Q$3,SUMIF('TL09'!$C$10:$C$224,$C409,'TL09'!$J$10:$J$224),0),
IF('TL09'!$B$229=Q$3,SUMIF('TL09'!$C$238:$C$451,$C409,'TL09'!$J$238:$J$451),0),
IF('TL10'!$B$3=Q$3,SUMIF('TL10'!$C$10:$C$224,$C409,'TL10'!$J$10:$J$224),0),
IF('TL10'!$B$229=Q$3,SUMIF('TL10'!$C$238:$C$451,$C409,'TL10'!$J$238:$J$451),0),
IF('TL11'!$B$3=Q$3,SUMIF('TL11'!$C$10:$C$224,$C409,'TL11'!$J$10:$J$224),0),
IF('TL11'!$B$229=Q$3,SUMIF('TL11'!$C$238:$C$451,$C409,'TL11'!$J$238:$J$451),0),
IF('TL12'!$B$3=Q$3,SUMIF('TL12'!$C$10:$C$224,$C409,'TL12'!$J$10:$J$224),0),
IF('TL12'!$B$229=Q$3,SUMIF('TL12'!$C$238:$C$451,$C409,'TL12'!$J$238:$J$451),0),
IF('TL13'!$B$3=Q$3,SUMIF('TL13'!$C$10:$C$224,$C409,'TL13'!$J$10:$J$224),0),
IF('TL13'!$B$229=Q$3,SUMIF('TL13'!$C$238:$C$451,$C409,'TL13'!$J$238:$J$451),0),
IF('TL14'!$B$3=Q$3,SUMIF('TL14'!$C$10:$C$224,$C409,'TL14'!$J$10:$J$224),0),
IF('TL14'!$B$229=Q$3,SUMIF('TL14'!$C$238:$C$451,$C409,'TL14'!$J$238:$J$451),0),
IF('TL15'!$B$3=Q$3,SUMIF('TL15'!$C$10:$C$224,$C409,'TL15'!$J$10:$J$224),0),
IF('TL15'!$B$229=Q$3,SUMIF('TL15'!$C$238:$C$451,$C409,'TL15'!$J$238:$J$451),0),
IF('TL16'!$B$3=Q$3,SUMIF('TL16'!$C$10:$C$224,$C409,'TL16'!$J$10:$J$224),0),
IF('TL16'!$B$229=Q$3,SUMIF('TL16'!$C$238:$C$451,$C409,'TL16'!$J$238:$J$451),0),
IF('TL17'!$B$3=Q$3,SUMIF('TL17'!$C$10:$C$224,$C409,'TL17'!$J$10:$J$224),0),
IF('TL17'!$B$229=Q$3,SUMIF('TL17'!$C$238:$C$451,$C409,'TL17'!$J$238:$J$451),0),
IF('TL18'!$B$3=Q$3,SUMIF('TL18'!$C$10:$C$224,$C409,'TL18'!$J$10:$J$224),0),
IF('TL18'!$B$229=Q$3,SUMIF('TL18'!$C$238:$C$451,$C409,'TL18'!$J$238:$J$451),0),
IF('TL19'!$B$3=Q$3,SUMIF('TL19'!$C$10:$C$224,$C409,'TL19'!$J$10:$J$224),0),
IF('TL19'!$B$229=Q$3,SUMIF('TL19'!$C$238:$C$451,$C409,'TL19'!$J$238:$J$451),0)
),0)</f>
        <v>0</v>
      </c>
      <c r="R409" s="139">
        <f>IFERROR(
SUM(
SUMIF('TL01'!C:C,C409,'TL01'!J:J),
SUMIF('TL02'!C:C,C409,'TL02'!I:I),
SUMIF('TL03'!C:C,C409,'TL03'!I:I),
SUMIF('TL04'!C:C,C409,'TL04'!I:I),
SUMIF('TL05'!C:C,C409,'TL05'!I:I),
SUMIF('TL06'!C:C,C409,'TL06'!I:I),
SUMIF('TL07'!C:C,C409,'TL07'!I:I),
SUMIF('TL08'!C:C,C409,'TL08'!I:I),
SUMIF('TL09'!C:C,C409,'TL09'!I:I),
SUMIF('TL10'!C:C,C409,'TL10'!I:I),
SUMIF('TL11'!C:C,C409,'TL11'!I:I),
SUMIF('TL12'!C:C,C409,'TL12'!I:I),
SUMIF('TL13'!C:C,C409,'TL13'!I:I),
SUMIF('TL14'!C:C,C409,'TL14'!I:I),
SUMIF('TL15'!C:C,C409,'TL15'!I:I),
SUMIF('TL16'!C:C,C409,'TL16'!I:I),
SUMIF('TL17'!C:C,C409,'TL17'!I:I),
SUMIF('TL18'!C:C,C409,'TL18'!I:I))
,0)</f>
        <v>0.21</v>
      </c>
      <c r="S409" s="142">
        <f>'CUSTO OPERAÇÃO'!M13</f>
        <v>300</v>
      </c>
      <c r="T409" s="139"/>
      <c r="U409" s="143">
        <f t="shared" si="2"/>
        <v>0.21</v>
      </c>
      <c r="V409" s="144">
        <f t="shared" si="3"/>
        <v>63</v>
      </c>
    </row>
    <row r="410" ht="15.75" hidden="1" customHeight="1">
      <c r="A410" s="145"/>
      <c r="B410" s="146" t="s">
        <v>10</v>
      </c>
      <c r="C410" s="147" t="str">
        <f>'CUSTO OPERAÇÃO'!D14</f>
        <v>NH T7.260 + JAN 20000</v>
      </c>
      <c r="D410" s="147"/>
      <c r="E410" s="148"/>
      <c r="F410" s="138" t="s">
        <v>1133</v>
      </c>
      <c r="G410" s="139"/>
      <c r="H410" s="140">
        <f>'CUSTO OPERAÇÃO'!J14</f>
        <v>0.09803921569</v>
      </c>
      <c r="I410" s="149"/>
      <c r="J410" s="147">
        <f>IFERROR(SUM(
IF('TL01'!$B$3=J$3,SUMIF('TL01'!$C$10:$C$224,$C410,'TL01'!$J$10:$J$224),0),
IF('TL01'!$B$229=J$3,SUMIF('TL01'!$C$238:$C$451,$C410,'TL01'!$J$238:$J$451),0),
IF('TL02'!$B$3=J$3,SUMIF('TL02'!$C$10:$C$224,$C410,'TL02'!$J$10:$J$224),0),
IF('TL02'!$B$229=J$3,SUMIF('TL02'!$C$238:$C$451,$C410,'TL02'!$J$238:$J$451),0),
IF('TL03'!$B$3=J$3,SUMIF('TL03'!$C$10:$C$224,$C410,'TL03'!$J$10:$J$224),0),
IF('TL03'!$B$229=J$3,SUMIF('TL03'!$C$238:$C$451,$C410,'TL03'!$J$238:$J$451),0),
IF('TL04'!$B$3=J$3,SUMIF('TL04'!$C$10:$C$224,$C410,'TL04'!$J$10:$J$224),0),
IF('TL04'!$B$229=J$3,SUMIF('TL04'!$C$238:$C$451,$C410,'TL04'!$J$238:$J$451),0),
IF('TL05'!$B$3=J$3,SUMIF('TL05'!$C$10:$C$224,$C410,'TL05'!$J$10:$J$224),0),
IF('TL05'!$B$229=J$3,SUMIF('TL05'!$C$238:$C$451,$C410,'TL05'!$J$238:$J$451),0),
IF('TL06'!$B$3=J$3,SUMIF('TL06'!$C$10:$C$224,$C410,'TL06'!$J$10:$J$224),0),
IF('TL06'!$B$229=J$3,SUMIF('TL06'!$C$238:$C$451,$C410,'TL06'!$J$238:$J$451),0),
IF('TL07'!$B$3=J$3,SUMIF('TL07'!$C$10:$C$224,$C410,'TL07'!$J$10:$J$224),0),
IF('TL07'!$B$229=J$3,SUMIF('TL07'!$C$238:$C$451,$C410,'TL07'!$J$238:$J$451),0),
IF('TL08'!$B$3=J$3,SUMIF('TL08'!$C$10:$C$224,$C410,'TL08'!$J$10:$J$224),0),
IF('TL08'!$B$229=J$3,SUMIF('TL08'!$C$238:$C$451,$C410,'TL08'!$J$238:$J$451),0),
IF('TL09'!$B$3=J$3,SUMIF('TL09'!$C$10:$C$224,$C410,'TL09'!$J$10:$J$224),0),
IF('TL09'!$B$229=J$3,SUMIF('TL09'!$C$238:$C$451,$C410,'TL09'!$J$238:$J$451),0),
IF('TL10'!$B$3=J$3,SUMIF('TL10'!$C$10:$C$224,$C410,'TL10'!$J$10:$J$224),0),
IF('TL10'!$B$229=J$3,SUMIF('TL10'!$C$238:$C$451,$C410,'TL10'!$J$238:$J$451),0),
IF('TL11'!$B$3=J$3,SUMIF('TL11'!$C$10:$C$224,$C410,'TL11'!$J$10:$J$224),0),
IF('TL11'!$B$229=J$3,SUMIF('TL11'!$C$238:$C$451,$C410,'TL11'!$J$238:$J$451),0),
IF('TL12'!$B$3=J$3,SUMIF('TL12'!$C$10:$C$224,$C410,'TL12'!$J$10:$J$224),0),
IF('TL12'!$B$229=J$3,SUMIF('TL12'!$C$238:$C$451,$C410,'TL12'!$J$238:$J$451),0),
IF('TL13'!$B$3=J$3,SUMIF('TL13'!$C$10:$C$224,$C410,'TL13'!$J$10:$J$224),0),
IF('TL13'!$B$229=J$3,SUMIF('TL13'!$C$238:$C$451,$C410,'TL13'!$J$238:$J$451),0),
IF('TL14'!$B$3=J$3,SUMIF('TL14'!$C$10:$C$224,$C410,'TL14'!$J$10:$J$224),0),
IF('TL14'!$B$229=J$3,SUMIF('TL14'!$C$238:$C$451,$C410,'TL14'!$J$238:$J$451),0),
IF('TL15'!$B$3=J$3,SUMIF('TL15'!$C$10:$C$224,$C410,'TL15'!$J$10:$J$224),0),
IF('TL15'!$B$229=J$3,SUMIF('TL15'!$C$238:$C$451,$C410,'TL15'!$J$238:$J$451),0),
IF('TL16'!$B$3=J$3,SUMIF('TL16'!$C$10:$C$224,$C410,'TL16'!$J$10:$J$224),0),
IF('TL16'!$B$229=J$3,SUMIF('TL16'!$C$238:$C$451,$C410,'TL16'!$J$238:$J$451),0),
IF('TL17'!$B$3=J$3,SUMIF('TL17'!$C$10:$C$224,$C410,'TL17'!$J$10:$J$224),0),
IF('TL17'!$B$229=J$3,SUMIF('TL17'!$C$238:$C$451,$C410,'TL17'!$J$238:$J$451),0),
IF('TL18'!$B$3=J$3,SUMIF('TL18'!$C$10:$C$224,$C410,'TL18'!$J$10:$J$224),0),
IF('TL18'!$B$229=J$3,SUMIF('TL18'!$C$238:$C$451,$C410,'TL18'!$J$238:$J$451),0),
IF('TL19'!$B$3=J$3,SUMIF('TL19'!$C$10:$C$224,$C410,'TL19'!$J$10:$J$224),0),
IF('TL19'!$B$229=J$3,SUMIF('TL19'!$C$238:$C$451,$C410,'TL19'!$J$238:$J$451),0)
),0)</f>
        <v>14</v>
      </c>
      <c r="K410" s="147">
        <f>IFERROR(SUM(
IF('TL01'!$B$3=K$3,SUMIF('TL01'!$C$10:$C$224,$C410,'TL01'!$J$10:$J$224),0),
IF('TL01'!$B$229=K$3,SUMIF('TL01'!$C$238:$C$451,$C410,'TL01'!$J$238:$J$451),0),
IF('TL02'!$B$3=K$3,SUMIF('TL02'!$C$10:$C$224,$C410,'TL02'!$J$10:$J$224),0),
IF('TL02'!$B$229=K$3,SUMIF('TL02'!$C$238:$C$451,$C410,'TL02'!$J$238:$J$451),0),
IF('TL03'!$B$3=K$3,SUMIF('TL03'!$C$10:$C$224,$C410,'TL03'!$J$10:$J$224),0),
IF('TL03'!$B$229=K$3,SUMIF('TL03'!$C$238:$C$451,$C410,'TL03'!$J$238:$J$451),0),
IF('TL04'!$B$3=K$3,SUMIF('TL04'!$C$10:$C$224,$C410,'TL04'!$J$10:$J$224),0),
IF('TL04'!$B$229=K$3,SUMIF('TL04'!$C$238:$C$451,$C410,'TL04'!$J$238:$J$451),0),
IF('TL05'!$B$3=K$3,SUMIF('TL05'!$C$10:$C$224,$C410,'TL05'!$J$10:$J$224),0),
IF('TL05'!$B$229=K$3,SUMIF('TL05'!$C$238:$C$451,$C410,'TL05'!$J$238:$J$451),0),
IF('TL06'!$B$3=K$3,SUMIF('TL06'!$C$10:$C$224,$C410,'TL06'!$J$10:$J$224),0),
IF('TL06'!$B$229=K$3,SUMIF('TL06'!$C$238:$C$451,$C410,'TL06'!$J$238:$J$451),0),
IF('TL07'!$B$3=K$3,SUMIF('TL07'!$C$10:$C$224,$C410,'TL07'!$J$10:$J$224),0),
IF('TL07'!$B$229=K$3,SUMIF('TL07'!$C$238:$C$451,$C410,'TL07'!$J$238:$J$451),0),
IF('TL08'!$B$3=K$3,SUMIF('TL08'!$C$10:$C$224,$C410,'TL08'!$J$10:$J$224),0),
IF('TL08'!$B$229=K$3,SUMIF('TL08'!$C$238:$C$451,$C410,'TL08'!$J$238:$J$451),0),
IF('TL09'!$B$3=K$3,SUMIF('TL09'!$C$10:$C$224,$C410,'TL09'!$J$10:$J$224),0),
IF('TL09'!$B$229=K$3,SUMIF('TL09'!$C$238:$C$451,$C410,'TL09'!$J$238:$J$451),0),
IF('TL10'!$B$3=K$3,SUMIF('TL10'!$C$10:$C$224,$C410,'TL10'!$J$10:$J$224),0),
IF('TL10'!$B$229=K$3,SUMIF('TL10'!$C$238:$C$451,$C410,'TL10'!$J$238:$J$451),0),
IF('TL11'!$B$3=K$3,SUMIF('TL11'!$C$10:$C$224,$C410,'TL11'!$J$10:$J$224),0),
IF('TL11'!$B$229=K$3,SUMIF('TL11'!$C$238:$C$451,$C410,'TL11'!$J$238:$J$451),0),
IF('TL12'!$B$3=K$3,SUMIF('TL12'!$C$10:$C$224,$C410,'TL12'!$J$10:$J$224),0),
IF('TL12'!$B$229=K$3,SUMIF('TL12'!$C$238:$C$451,$C410,'TL12'!$J$238:$J$451),0),
IF('TL13'!$B$3=K$3,SUMIF('TL13'!$C$10:$C$224,$C410,'TL13'!$J$10:$J$224),0),
IF('TL13'!$B$229=K$3,SUMIF('TL13'!$C$238:$C$451,$C410,'TL13'!$J$238:$J$451),0),
IF('TL14'!$B$3=K$3,SUMIF('TL14'!$C$10:$C$224,$C410,'TL14'!$J$10:$J$224),0),
IF('TL14'!$B$229=K$3,SUMIF('TL14'!$C$238:$C$451,$C410,'TL14'!$J$238:$J$451),0),
IF('TL15'!$B$3=K$3,SUMIF('TL15'!$C$10:$C$224,$C410,'TL15'!$J$10:$J$224),0),
IF('TL15'!$B$229=K$3,SUMIF('TL15'!$C$238:$C$451,$C410,'TL15'!$J$238:$J$451),0),
IF('TL16'!$B$3=K$3,SUMIF('TL16'!$C$10:$C$224,$C410,'TL16'!$J$10:$J$224),0),
IF('TL16'!$B$229=K$3,SUMIF('TL16'!$C$238:$C$451,$C410,'TL16'!$J$238:$J$451),0),
IF('TL17'!$B$3=K$3,SUMIF('TL17'!$C$10:$C$224,$C410,'TL17'!$J$10:$J$224),0),
IF('TL17'!$B$229=K$3,SUMIF('TL17'!$C$238:$C$451,$C410,'TL17'!$J$238:$J$451),0),
IF('TL18'!$B$3=K$3,SUMIF('TL18'!$C$10:$C$224,$C410,'TL18'!$J$10:$J$224),0),
IF('TL18'!$B$229=K$3,SUMIF('TL18'!$C$238:$C$451,$C410,'TL18'!$J$238:$J$451),0),
IF('TL19'!$B$3=K$3,SUMIF('TL19'!$C$10:$C$224,$C410,'TL19'!$J$10:$J$224),0),
IF('TL19'!$B$229=K$3,SUMIF('TL19'!$C$238:$C$451,$C410,'TL19'!$J$238:$J$451),0)
),0)</f>
        <v>0</v>
      </c>
      <c r="L410" s="147">
        <f>IFERROR(SUM(
IF('TL01'!$B$3=L$3,SUMIF('TL01'!$C$10:$C$224,$C410,'TL01'!$J$10:$J$224),0),
IF('TL01'!$B$229=L$3,SUMIF('TL01'!$C$238:$C$451,$C410,'TL01'!$J$238:$J$451),0),
IF('TL02'!$B$3=L$3,SUMIF('TL02'!$C$10:$C$224,$C410,'TL02'!$J$10:$J$224),0),
IF('TL02'!$B$229=L$3,SUMIF('TL02'!$C$238:$C$451,$C410,'TL02'!$J$238:$J$451),0),
IF('TL03'!$B$3=L$3,SUMIF('TL03'!$C$10:$C$224,$C410,'TL03'!$J$10:$J$224),0),
IF('TL03'!$B$229=L$3,SUMIF('TL03'!$C$238:$C$451,$C410,'TL03'!$J$238:$J$451),0),
IF('TL04'!$B$3=L$3,SUMIF('TL04'!$C$10:$C$224,$C410,'TL04'!$J$10:$J$224),0),
IF('TL04'!$B$229=L$3,SUMIF('TL04'!$C$238:$C$451,$C410,'TL04'!$J$238:$J$451),0),
IF('TL05'!$B$3=L$3,SUMIF('TL05'!$C$10:$C$224,$C410,'TL05'!$J$10:$J$224),0),
IF('TL05'!$B$229=L$3,SUMIF('TL05'!$C$238:$C$451,$C410,'TL05'!$J$238:$J$451),0),
IF('TL06'!$B$3=L$3,SUMIF('TL06'!$C$10:$C$224,$C410,'TL06'!$J$10:$J$224),0),
IF('TL06'!$B$229=L$3,SUMIF('TL06'!$C$238:$C$451,$C410,'TL06'!$J$238:$J$451),0),
IF('TL07'!$B$3=L$3,SUMIF('TL07'!$C$10:$C$224,$C410,'TL07'!$J$10:$J$224),0),
IF('TL07'!$B$229=L$3,SUMIF('TL07'!$C$238:$C$451,$C410,'TL07'!$J$238:$J$451),0),
IF('TL08'!$B$3=L$3,SUMIF('TL08'!$C$10:$C$224,$C410,'TL08'!$J$10:$J$224),0),
IF('TL08'!$B$229=L$3,SUMIF('TL08'!$C$238:$C$451,$C410,'TL08'!$J$238:$J$451),0),
IF('TL09'!$B$3=L$3,SUMIF('TL09'!$C$10:$C$224,$C410,'TL09'!$J$10:$J$224),0),
IF('TL09'!$B$229=L$3,SUMIF('TL09'!$C$238:$C$451,$C410,'TL09'!$J$238:$J$451),0),
IF('TL10'!$B$3=L$3,SUMIF('TL10'!$C$10:$C$224,$C410,'TL10'!$J$10:$J$224),0),
IF('TL10'!$B$229=L$3,SUMIF('TL10'!$C$238:$C$451,$C410,'TL10'!$J$238:$J$451),0),
IF('TL11'!$B$3=L$3,SUMIF('TL11'!$C$10:$C$224,$C410,'TL11'!$J$10:$J$224),0),
IF('TL11'!$B$229=L$3,SUMIF('TL11'!$C$238:$C$451,$C410,'TL11'!$J$238:$J$451),0),
IF('TL12'!$B$3=L$3,SUMIF('TL12'!$C$10:$C$224,$C410,'TL12'!$J$10:$J$224),0),
IF('TL12'!$B$229=L$3,SUMIF('TL12'!$C$238:$C$451,$C410,'TL12'!$J$238:$J$451),0),
IF('TL13'!$B$3=L$3,SUMIF('TL13'!$C$10:$C$224,$C410,'TL13'!$J$10:$J$224),0),
IF('TL13'!$B$229=L$3,SUMIF('TL13'!$C$238:$C$451,$C410,'TL13'!$J$238:$J$451),0),
IF('TL14'!$B$3=L$3,SUMIF('TL14'!$C$10:$C$224,$C410,'TL14'!$J$10:$J$224),0),
IF('TL14'!$B$229=L$3,SUMIF('TL14'!$C$238:$C$451,$C410,'TL14'!$J$238:$J$451),0),
IF('TL15'!$B$3=L$3,SUMIF('TL15'!$C$10:$C$224,$C410,'TL15'!$J$10:$J$224),0),
IF('TL15'!$B$229=L$3,SUMIF('TL15'!$C$238:$C$451,$C410,'TL15'!$J$238:$J$451),0),
IF('TL16'!$B$3=L$3,SUMIF('TL16'!$C$10:$C$224,$C410,'TL16'!$J$10:$J$224),0),
IF('TL16'!$B$229=L$3,SUMIF('TL16'!$C$238:$C$451,$C410,'TL16'!$J$238:$J$451),0),
IF('TL17'!$B$3=L$3,SUMIF('TL17'!$C$10:$C$224,$C410,'TL17'!$J$10:$J$224),0),
IF('TL17'!$B$229=L$3,SUMIF('TL17'!$C$238:$C$451,$C410,'TL17'!$J$238:$J$451),0),
IF('TL18'!$B$3=L$3,SUMIF('TL18'!$C$10:$C$224,$C410,'TL18'!$J$10:$J$224),0),
IF('TL18'!$B$229=L$3,SUMIF('TL18'!$C$238:$C$451,$C410,'TL18'!$J$238:$J$451),0),
IF('TL19'!$B$3=L$3,SUMIF('TL19'!$C$10:$C$224,$C410,'TL19'!$J$10:$J$224),0),
IF('TL19'!$B$229=L$3,SUMIF('TL19'!$C$238:$C$451,$C410,'TL19'!$J$238:$J$451),0)
),0)</f>
        <v>0</v>
      </c>
      <c r="M410" s="147">
        <f>IFERROR(SUM(
IF('TL01'!$B$3=M$3,SUMIF('TL01'!$C$10:$C$224,$C410,'TL01'!$J$10:$J$224),0),
IF('TL01'!$B$229=M$3,SUMIF('TL01'!$C$238:$C$451,$C410,'TL01'!$J$238:$J$451),0),
IF('TL02'!$B$3=M$3,SUMIF('TL02'!$C$10:$C$224,$C410,'TL02'!$J$10:$J$224),0),
IF('TL02'!$B$229=M$3,SUMIF('TL02'!$C$238:$C$451,$C410,'TL02'!$J$238:$J$451),0),
IF('TL03'!$B$3=M$3,SUMIF('TL03'!$C$10:$C$224,$C410,'TL03'!$J$10:$J$224),0),
IF('TL03'!$B$229=M$3,SUMIF('TL03'!$C$238:$C$451,$C410,'TL03'!$J$238:$J$451),0),
IF('TL04'!$B$3=M$3,SUMIF('TL04'!$C$10:$C$224,$C410,'TL04'!$J$10:$J$224),0),
IF('TL04'!$B$229=M$3,SUMIF('TL04'!$C$238:$C$451,$C410,'TL04'!$J$238:$J$451),0),
IF('TL05'!$B$3=M$3,SUMIF('TL05'!$C$10:$C$224,$C410,'TL05'!$J$10:$J$224),0),
IF('TL05'!$B$229=M$3,SUMIF('TL05'!$C$238:$C$451,$C410,'TL05'!$J$238:$J$451),0),
IF('TL06'!$B$3=M$3,SUMIF('TL06'!$C$10:$C$224,$C410,'TL06'!$J$10:$J$224),0),
IF('TL06'!$B$229=M$3,SUMIF('TL06'!$C$238:$C$451,$C410,'TL06'!$J$238:$J$451),0),
IF('TL07'!$B$3=M$3,SUMIF('TL07'!$C$10:$C$224,$C410,'TL07'!$J$10:$J$224),0),
IF('TL07'!$B$229=M$3,SUMIF('TL07'!$C$238:$C$451,$C410,'TL07'!$J$238:$J$451),0),
IF('TL08'!$B$3=M$3,SUMIF('TL08'!$C$10:$C$224,$C410,'TL08'!$J$10:$J$224),0),
IF('TL08'!$B$229=M$3,SUMIF('TL08'!$C$238:$C$451,$C410,'TL08'!$J$238:$J$451),0),
IF('TL09'!$B$3=M$3,SUMIF('TL09'!$C$10:$C$224,$C410,'TL09'!$J$10:$J$224),0),
IF('TL09'!$B$229=M$3,SUMIF('TL09'!$C$238:$C$451,$C410,'TL09'!$J$238:$J$451),0),
IF('TL10'!$B$3=M$3,SUMIF('TL10'!$C$10:$C$224,$C410,'TL10'!$J$10:$J$224),0),
IF('TL10'!$B$229=M$3,SUMIF('TL10'!$C$238:$C$451,$C410,'TL10'!$J$238:$J$451),0),
IF('TL11'!$B$3=M$3,SUMIF('TL11'!$C$10:$C$224,$C410,'TL11'!$J$10:$J$224),0),
IF('TL11'!$B$229=M$3,SUMIF('TL11'!$C$238:$C$451,$C410,'TL11'!$J$238:$J$451),0),
IF('TL12'!$B$3=M$3,SUMIF('TL12'!$C$10:$C$224,$C410,'TL12'!$J$10:$J$224),0),
IF('TL12'!$B$229=M$3,SUMIF('TL12'!$C$238:$C$451,$C410,'TL12'!$J$238:$J$451),0),
IF('TL13'!$B$3=M$3,SUMIF('TL13'!$C$10:$C$224,$C410,'TL13'!$J$10:$J$224),0),
IF('TL13'!$B$229=M$3,SUMIF('TL13'!$C$238:$C$451,$C410,'TL13'!$J$238:$J$451),0),
IF('TL14'!$B$3=M$3,SUMIF('TL14'!$C$10:$C$224,$C410,'TL14'!$J$10:$J$224),0),
IF('TL14'!$B$229=M$3,SUMIF('TL14'!$C$238:$C$451,$C410,'TL14'!$J$238:$J$451),0),
IF('TL15'!$B$3=M$3,SUMIF('TL15'!$C$10:$C$224,$C410,'TL15'!$J$10:$J$224),0),
IF('TL15'!$B$229=M$3,SUMIF('TL15'!$C$238:$C$451,$C410,'TL15'!$J$238:$J$451),0),
IF('TL16'!$B$3=M$3,SUMIF('TL16'!$C$10:$C$224,$C410,'TL16'!$J$10:$J$224),0),
IF('TL16'!$B$229=M$3,SUMIF('TL16'!$C$238:$C$451,$C410,'TL16'!$J$238:$J$451),0),
IF('TL17'!$B$3=M$3,SUMIF('TL17'!$C$10:$C$224,$C410,'TL17'!$J$10:$J$224),0),
IF('TL17'!$B$229=M$3,SUMIF('TL17'!$C$238:$C$451,$C410,'TL17'!$J$238:$J$451),0),
IF('TL18'!$B$3=M$3,SUMIF('TL18'!$C$10:$C$224,$C410,'TL18'!$J$10:$J$224),0),
IF('TL18'!$B$229=M$3,SUMIF('TL18'!$C$238:$C$451,$C410,'TL18'!$J$238:$J$451),0),
IF('TL19'!$B$3=M$3,SUMIF('TL19'!$C$10:$C$224,$C410,'TL19'!$J$10:$J$224),0),
IF('TL19'!$B$229=M$3,SUMIF('TL19'!$C$238:$C$451,$C410,'TL19'!$J$238:$J$451),0)
),0)</f>
        <v>0</v>
      </c>
      <c r="N410" s="147">
        <f>IFERROR(SUM(
IF('TL01'!$B$3=N$3,SUMIF('TL01'!$C$10:$C$224,$C410,'TL01'!$J$10:$J$224),0),
IF('TL01'!$B$229=N$3,SUMIF('TL01'!$C$238:$C$451,$C410,'TL01'!$J$238:$J$451),0),
IF('TL02'!$B$3=N$3,SUMIF('TL02'!$C$10:$C$224,$C410,'TL02'!$J$10:$J$224),0),
IF('TL02'!$B$229=N$3,SUMIF('TL02'!$C$238:$C$451,$C410,'TL02'!$J$238:$J$451),0),
IF('TL03'!$B$3=N$3,SUMIF('TL03'!$C$10:$C$224,$C410,'TL03'!$J$10:$J$224),0),
IF('TL03'!$B$229=N$3,SUMIF('TL03'!$C$238:$C$451,$C410,'TL03'!$J$238:$J$451),0),
IF('TL04'!$B$3=N$3,SUMIF('TL04'!$C$10:$C$224,$C410,'TL04'!$J$10:$J$224),0),
IF('TL04'!$B$229=N$3,SUMIF('TL04'!$C$238:$C$451,$C410,'TL04'!$J$238:$J$451),0),
IF('TL05'!$B$3=N$3,SUMIF('TL05'!$C$10:$C$224,$C410,'TL05'!$J$10:$J$224),0),
IF('TL05'!$B$229=N$3,SUMIF('TL05'!$C$238:$C$451,$C410,'TL05'!$J$238:$J$451),0),
IF('TL06'!$B$3=N$3,SUMIF('TL06'!$C$10:$C$224,$C410,'TL06'!$J$10:$J$224),0),
IF('TL06'!$B$229=N$3,SUMIF('TL06'!$C$238:$C$451,$C410,'TL06'!$J$238:$J$451),0),
IF('TL07'!$B$3=N$3,SUMIF('TL07'!$C$10:$C$224,$C410,'TL07'!$J$10:$J$224),0),
IF('TL07'!$B$229=N$3,SUMIF('TL07'!$C$238:$C$451,$C410,'TL07'!$J$238:$J$451),0),
IF('TL08'!$B$3=N$3,SUMIF('TL08'!$C$10:$C$224,$C410,'TL08'!$J$10:$J$224),0),
IF('TL08'!$B$229=N$3,SUMIF('TL08'!$C$238:$C$451,$C410,'TL08'!$J$238:$J$451),0),
IF('TL09'!$B$3=N$3,SUMIF('TL09'!$C$10:$C$224,$C410,'TL09'!$J$10:$J$224),0),
IF('TL09'!$B$229=N$3,SUMIF('TL09'!$C$238:$C$451,$C410,'TL09'!$J$238:$J$451),0),
IF('TL10'!$B$3=N$3,SUMIF('TL10'!$C$10:$C$224,$C410,'TL10'!$J$10:$J$224),0),
IF('TL10'!$B$229=N$3,SUMIF('TL10'!$C$238:$C$451,$C410,'TL10'!$J$238:$J$451),0),
IF('TL11'!$B$3=N$3,SUMIF('TL11'!$C$10:$C$224,$C410,'TL11'!$J$10:$J$224),0),
IF('TL11'!$B$229=N$3,SUMIF('TL11'!$C$238:$C$451,$C410,'TL11'!$J$238:$J$451),0),
IF('TL12'!$B$3=N$3,SUMIF('TL12'!$C$10:$C$224,$C410,'TL12'!$J$10:$J$224),0),
IF('TL12'!$B$229=N$3,SUMIF('TL12'!$C$238:$C$451,$C410,'TL12'!$J$238:$J$451),0),
IF('TL13'!$B$3=N$3,SUMIF('TL13'!$C$10:$C$224,$C410,'TL13'!$J$10:$J$224),0),
IF('TL13'!$B$229=N$3,SUMIF('TL13'!$C$238:$C$451,$C410,'TL13'!$J$238:$J$451),0),
IF('TL14'!$B$3=N$3,SUMIF('TL14'!$C$10:$C$224,$C410,'TL14'!$J$10:$J$224),0),
IF('TL14'!$B$229=N$3,SUMIF('TL14'!$C$238:$C$451,$C410,'TL14'!$J$238:$J$451),0),
IF('TL15'!$B$3=N$3,SUMIF('TL15'!$C$10:$C$224,$C410,'TL15'!$J$10:$J$224),0),
IF('TL15'!$B$229=N$3,SUMIF('TL15'!$C$238:$C$451,$C410,'TL15'!$J$238:$J$451),0),
IF('TL16'!$B$3=N$3,SUMIF('TL16'!$C$10:$C$224,$C410,'TL16'!$J$10:$J$224),0),
IF('TL16'!$B$229=N$3,SUMIF('TL16'!$C$238:$C$451,$C410,'TL16'!$J$238:$J$451),0),
IF('TL17'!$B$3=N$3,SUMIF('TL17'!$C$10:$C$224,$C410,'TL17'!$J$10:$J$224),0),
IF('TL17'!$B$229=N$3,SUMIF('TL17'!$C$238:$C$451,$C410,'TL17'!$J$238:$J$451),0),
IF('TL18'!$B$3=N$3,SUMIF('TL18'!$C$10:$C$224,$C410,'TL18'!$J$10:$J$224),0),
IF('TL18'!$B$229=N$3,SUMIF('TL18'!$C$238:$C$451,$C410,'TL18'!$J$238:$J$451),0),
IF('TL19'!$B$3=N$3,SUMIF('TL19'!$C$10:$C$224,$C410,'TL19'!$J$10:$J$224),0),
IF('TL19'!$B$229=N$3,SUMIF('TL19'!$C$238:$C$451,$C410,'TL19'!$J$238:$J$451),0)
),0)</f>
        <v>0</v>
      </c>
      <c r="O410" s="147">
        <f>IFERROR(SUM(
IF('TL01'!$B$3=O$3,SUMIF('TL01'!$C$10:$C$224,$C410,'TL01'!$J$10:$J$224),0),
IF('TL01'!$B$229=O$3,SUMIF('TL01'!$C$238:$C$451,$C410,'TL01'!$J$238:$J$451),0),
IF('TL02'!$B$3=O$3,SUMIF('TL02'!$C$10:$C$224,$C410,'TL02'!$J$10:$J$224),0),
IF('TL02'!$B$229=O$3,SUMIF('TL02'!$C$238:$C$451,$C410,'TL02'!$J$238:$J$451),0),
IF('TL03'!$B$3=O$3,SUMIF('TL03'!$C$10:$C$224,$C410,'TL03'!$J$10:$J$224),0),
IF('TL03'!$B$229=O$3,SUMIF('TL03'!$C$238:$C$451,$C410,'TL03'!$J$238:$J$451),0),
IF('TL04'!$B$3=O$3,SUMIF('TL04'!$C$10:$C$224,$C410,'TL04'!$J$10:$J$224),0),
IF('TL04'!$B$229=O$3,SUMIF('TL04'!$C$238:$C$451,$C410,'TL04'!$J$238:$J$451),0),
IF('TL05'!$B$3=O$3,SUMIF('TL05'!$C$10:$C$224,$C410,'TL05'!$J$10:$J$224),0),
IF('TL05'!$B$229=O$3,SUMIF('TL05'!$C$238:$C$451,$C410,'TL05'!$J$238:$J$451),0),
IF('TL06'!$B$3=O$3,SUMIF('TL06'!$C$10:$C$224,$C410,'TL06'!$J$10:$J$224),0),
IF('TL06'!$B$229=O$3,SUMIF('TL06'!$C$238:$C$451,$C410,'TL06'!$J$238:$J$451),0),
IF('TL07'!$B$3=O$3,SUMIF('TL07'!$C$10:$C$224,$C410,'TL07'!$J$10:$J$224),0),
IF('TL07'!$B$229=O$3,SUMIF('TL07'!$C$238:$C$451,$C410,'TL07'!$J$238:$J$451),0),
IF('TL08'!$B$3=O$3,SUMIF('TL08'!$C$10:$C$224,$C410,'TL08'!$J$10:$J$224),0),
IF('TL08'!$B$229=O$3,SUMIF('TL08'!$C$238:$C$451,$C410,'TL08'!$J$238:$J$451),0),
IF('TL09'!$B$3=O$3,SUMIF('TL09'!$C$10:$C$224,$C410,'TL09'!$J$10:$J$224),0),
IF('TL09'!$B$229=O$3,SUMIF('TL09'!$C$238:$C$451,$C410,'TL09'!$J$238:$J$451),0),
IF('TL10'!$B$3=O$3,SUMIF('TL10'!$C$10:$C$224,$C410,'TL10'!$J$10:$J$224),0),
IF('TL10'!$B$229=O$3,SUMIF('TL10'!$C$238:$C$451,$C410,'TL10'!$J$238:$J$451),0),
IF('TL11'!$B$3=O$3,SUMIF('TL11'!$C$10:$C$224,$C410,'TL11'!$J$10:$J$224),0),
IF('TL11'!$B$229=O$3,SUMIF('TL11'!$C$238:$C$451,$C410,'TL11'!$J$238:$J$451),0),
IF('TL12'!$B$3=O$3,SUMIF('TL12'!$C$10:$C$224,$C410,'TL12'!$J$10:$J$224),0),
IF('TL12'!$B$229=O$3,SUMIF('TL12'!$C$238:$C$451,$C410,'TL12'!$J$238:$J$451),0),
IF('TL13'!$B$3=O$3,SUMIF('TL13'!$C$10:$C$224,$C410,'TL13'!$J$10:$J$224),0),
IF('TL13'!$B$229=O$3,SUMIF('TL13'!$C$238:$C$451,$C410,'TL13'!$J$238:$J$451),0),
IF('TL14'!$B$3=O$3,SUMIF('TL14'!$C$10:$C$224,$C410,'TL14'!$J$10:$J$224),0),
IF('TL14'!$B$229=O$3,SUMIF('TL14'!$C$238:$C$451,$C410,'TL14'!$J$238:$J$451),0),
IF('TL15'!$B$3=O$3,SUMIF('TL15'!$C$10:$C$224,$C410,'TL15'!$J$10:$J$224),0),
IF('TL15'!$B$229=O$3,SUMIF('TL15'!$C$238:$C$451,$C410,'TL15'!$J$238:$J$451),0),
IF('TL16'!$B$3=O$3,SUMIF('TL16'!$C$10:$C$224,$C410,'TL16'!$J$10:$J$224),0),
IF('TL16'!$B$229=O$3,SUMIF('TL16'!$C$238:$C$451,$C410,'TL16'!$J$238:$J$451),0),
IF('TL17'!$B$3=O$3,SUMIF('TL17'!$C$10:$C$224,$C410,'TL17'!$J$10:$J$224),0),
IF('TL17'!$B$229=O$3,SUMIF('TL17'!$C$238:$C$451,$C410,'TL17'!$J$238:$J$451),0),
IF('TL18'!$B$3=O$3,SUMIF('TL18'!$C$10:$C$224,$C410,'TL18'!$J$10:$J$224),0),
IF('TL18'!$B$229=O$3,SUMIF('TL18'!$C$238:$C$451,$C410,'TL18'!$J$238:$J$451),0),
IF('TL19'!$B$3=O$3,SUMIF('TL19'!$C$10:$C$224,$C410,'TL19'!$J$10:$J$224),0),
IF('TL19'!$B$229=O$3,SUMIF('TL19'!$C$238:$C$451,$C410,'TL19'!$J$238:$J$451),0)
),0)</f>
        <v>0</v>
      </c>
      <c r="P410" s="147">
        <f>IFERROR(SUM(
IF('TL01'!$B$3=P$3,SUMIF('TL01'!$C$10:$C$224,$C410,'TL01'!$J$10:$J$224),0),
IF('TL01'!$B$229=P$3,SUMIF('TL01'!$C$238:$C$451,$C410,'TL01'!$J$238:$J$451),0),
IF('TL02'!$B$3=P$3,SUMIF('TL02'!$C$10:$C$224,$C410,'TL02'!$J$10:$J$224),0),
IF('TL02'!$B$229=P$3,SUMIF('TL02'!$C$238:$C$451,$C410,'TL02'!$J$238:$J$451),0),
IF('TL03'!$B$3=P$3,SUMIF('TL03'!$C$10:$C$224,$C410,'TL03'!$J$10:$J$224),0),
IF('TL03'!$B$229=P$3,SUMIF('TL03'!$C$238:$C$451,$C410,'TL03'!$J$238:$J$451),0),
IF('TL04'!$B$3=P$3,SUMIF('TL04'!$C$10:$C$224,$C410,'TL04'!$J$10:$J$224),0),
IF('TL04'!$B$229=P$3,SUMIF('TL04'!$C$238:$C$451,$C410,'TL04'!$J$238:$J$451),0),
IF('TL05'!$B$3=P$3,SUMIF('TL05'!$C$10:$C$224,$C410,'TL05'!$J$10:$J$224),0),
IF('TL05'!$B$229=P$3,SUMIF('TL05'!$C$238:$C$451,$C410,'TL05'!$J$238:$J$451),0),
IF('TL06'!$B$3=P$3,SUMIF('TL06'!$C$10:$C$224,$C410,'TL06'!$J$10:$J$224),0),
IF('TL06'!$B$229=P$3,SUMIF('TL06'!$C$238:$C$451,$C410,'TL06'!$J$238:$J$451),0),
IF('TL07'!$B$3=P$3,SUMIF('TL07'!$C$10:$C$224,$C410,'TL07'!$J$10:$J$224),0),
IF('TL07'!$B$229=P$3,SUMIF('TL07'!$C$238:$C$451,$C410,'TL07'!$J$238:$J$451),0),
IF('TL08'!$B$3=P$3,SUMIF('TL08'!$C$10:$C$224,$C410,'TL08'!$J$10:$J$224),0),
IF('TL08'!$B$229=P$3,SUMIF('TL08'!$C$238:$C$451,$C410,'TL08'!$J$238:$J$451),0),
IF('TL09'!$B$3=P$3,SUMIF('TL09'!$C$10:$C$224,$C410,'TL09'!$J$10:$J$224),0),
IF('TL09'!$B$229=P$3,SUMIF('TL09'!$C$238:$C$451,$C410,'TL09'!$J$238:$J$451),0),
IF('TL10'!$B$3=P$3,SUMIF('TL10'!$C$10:$C$224,$C410,'TL10'!$J$10:$J$224),0),
IF('TL10'!$B$229=P$3,SUMIF('TL10'!$C$238:$C$451,$C410,'TL10'!$J$238:$J$451),0),
IF('TL11'!$B$3=P$3,SUMIF('TL11'!$C$10:$C$224,$C410,'TL11'!$J$10:$J$224),0),
IF('TL11'!$B$229=P$3,SUMIF('TL11'!$C$238:$C$451,$C410,'TL11'!$J$238:$J$451),0),
IF('TL12'!$B$3=P$3,SUMIF('TL12'!$C$10:$C$224,$C410,'TL12'!$J$10:$J$224),0),
IF('TL12'!$B$229=P$3,SUMIF('TL12'!$C$238:$C$451,$C410,'TL12'!$J$238:$J$451),0),
IF('TL13'!$B$3=P$3,SUMIF('TL13'!$C$10:$C$224,$C410,'TL13'!$J$10:$J$224),0),
IF('TL13'!$B$229=P$3,SUMIF('TL13'!$C$238:$C$451,$C410,'TL13'!$J$238:$J$451),0),
IF('TL14'!$B$3=P$3,SUMIF('TL14'!$C$10:$C$224,$C410,'TL14'!$J$10:$J$224),0),
IF('TL14'!$B$229=P$3,SUMIF('TL14'!$C$238:$C$451,$C410,'TL14'!$J$238:$J$451),0),
IF('TL15'!$B$3=P$3,SUMIF('TL15'!$C$10:$C$224,$C410,'TL15'!$J$10:$J$224),0),
IF('TL15'!$B$229=P$3,SUMIF('TL15'!$C$238:$C$451,$C410,'TL15'!$J$238:$J$451),0),
IF('TL16'!$B$3=P$3,SUMIF('TL16'!$C$10:$C$224,$C410,'TL16'!$J$10:$J$224),0),
IF('TL16'!$B$229=P$3,SUMIF('TL16'!$C$238:$C$451,$C410,'TL16'!$J$238:$J$451),0),
IF('TL17'!$B$3=P$3,SUMIF('TL17'!$C$10:$C$224,$C410,'TL17'!$J$10:$J$224),0),
IF('TL17'!$B$229=P$3,SUMIF('TL17'!$C$238:$C$451,$C410,'TL17'!$J$238:$J$451),0),
IF('TL18'!$B$3=P$3,SUMIF('TL18'!$C$10:$C$224,$C410,'TL18'!$J$10:$J$224),0),
IF('TL18'!$B$229=P$3,SUMIF('TL18'!$C$238:$C$451,$C410,'TL18'!$J$238:$J$451),0),
IF('TL19'!$B$3=P$3,SUMIF('TL19'!$C$10:$C$224,$C410,'TL19'!$J$10:$J$224),0),
IF('TL19'!$B$229=P$3,SUMIF('TL19'!$C$238:$C$451,$C410,'TL19'!$J$238:$J$451),0)
),0)</f>
        <v>0</v>
      </c>
      <c r="Q410" s="147">
        <f>IFERROR(SUM(
IF('TL01'!$B$3=Q$3,SUMIF('TL01'!$C$10:$C$224,$C410,'TL01'!$J$10:$J$224),0),
IF('TL01'!$B$229=Q$3,SUMIF('TL01'!$C$238:$C$451,$C410,'TL01'!$J$238:$J$451),0),
IF('TL02'!$B$3=Q$3,SUMIF('TL02'!$C$10:$C$224,$C410,'TL02'!$J$10:$J$224),0),
IF('TL02'!$B$229=Q$3,SUMIF('TL02'!$C$238:$C$451,$C410,'TL02'!$J$238:$J$451),0),
IF('TL03'!$B$3=Q$3,SUMIF('TL03'!$C$10:$C$224,$C410,'TL03'!$J$10:$J$224),0),
IF('TL03'!$B$229=Q$3,SUMIF('TL03'!$C$238:$C$451,$C410,'TL03'!$J$238:$J$451),0),
IF('TL04'!$B$3=Q$3,SUMIF('TL04'!$C$10:$C$224,$C410,'TL04'!$J$10:$J$224),0),
IF('TL04'!$B$229=Q$3,SUMIF('TL04'!$C$238:$C$451,$C410,'TL04'!$J$238:$J$451),0),
IF('TL05'!$B$3=Q$3,SUMIF('TL05'!$C$10:$C$224,$C410,'TL05'!$J$10:$J$224),0),
IF('TL05'!$B$229=Q$3,SUMIF('TL05'!$C$238:$C$451,$C410,'TL05'!$J$238:$J$451),0),
IF('TL06'!$B$3=Q$3,SUMIF('TL06'!$C$10:$C$224,$C410,'TL06'!$J$10:$J$224),0),
IF('TL06'!$B$229=Q$3,SUMIF('TL06'!$C$238:$C$451,$C410,'TL06'!$J$238:$J$451),0),
IF('TL07'!$B$3=Q$3,SUMIF('TL07'!$C$10:$C$224,$C410,'TL07'!$J$10:$J$224),0),
IF('TL07'!$B$229=Q$3,SUMIF('TL07'!$C$238:$C$451,$C410,'TL07'!$J$238:$J$451),0),
IF('TL08'!$B$3=Q$3,SUMIF('TL08'!$C$10:$C$224,$C410,'TL08'!$J$10:$J$224),0),
IF('TL08'!$B$229=Q$3,SUMIF('TL08'!$C$238:$C$451,$C410,'TL08'!$J$238:$J$451),0),
IF('TL09'!$B$3=Q$3,SUMIF('TL09'!$C$10:$C$224,$C410,'TL09'!$J$10:$J$224),0),
IF('TL09'!$B$229=Q$3,SUMIF('TL09'!$C$238:$C$451,$C410,'TL09'!$J$238:$J$451),0),
IF('TL10'!$B$3=Q$3,SUMIF('TL10'!$C$10:$C$224,$C410,'TL10'!$J$10:$J$224),0),
IF('TL10'!$B$229=Q$3,SUMIF('TL10'!$C$238:$C$451,$C410,'TL10'!$J$238:$J$451),0),
IF('TL11'!$B$3=Q$3,SUMIF('TL11'!$C$10:$C$224,$C410,'TL11'!$J$10:$J$224),0),
IF('TL11'!$B$229=Q$3,SUMIF('TL11'!$C$238:$C$451,$C410,'TL11'!$J$238:$J$451),0),
IF('TL12'!$B$3=Q$3,SUMIF('TL12'!$C$10:$C$224,$C410,'TL12'!$J$10:$J$224),0),
IF('TL12'!$B$229=Q$3,SUMIF('TL12'!$C$238:$C$451,$C410,'TL12'!$J$238:$J$451),0),
IF('TL13'!$B$3=Q$3,SUMIF('TL13'!$C$10:$C$224,$C410,'TL13'!$J$10:$J$224),0),
IF('TL13'!$B$229=Q$3,SUMIF('TL13'!$C$238:$C$451,$C410,'TL13'!$J$238:$J$451),0),
IF('TL14'!$B$3=Q$3,SUMIF('TL14'!$C$10:$C$224,$C410,'TL14'!$J$10:$J$224),0),
IF('TL14'!$B$229=Q$3,SUMIF('TL14'!$C$238:$C$451,$C410,'TL14'!$J$238:$J$451),0),
IF('TL15'!$B$3=Q$3,SUMIF('TL15'!$C$10:$C$224,$C410,'TL15'!$J$10:$J$224),0),
IF('TL15'!$B$229=Q$3,SUMIF('TL15'!$C$238:$C$451,$C410,'TL15'!$J$238:$J$451),0),
IF('TL16'!$B$3=Q$3,SUMIF('TL16'!$C$10:$C$224,$C410,'TL16'!$J$10:$J$224),0),
IF('TL16'!$B$229=Q$3,SUMIF('TL16'!$C$238:$C$451,$C410,'TL16'!$J$238:$J$451),0),
IF('TL17'!$B$3=Q$3,SUMIF('TL17'!$C$10:$C$224,$C410,'TL17'!$J$10:$J$224),0),
IF('TL17'!$B$229=Q$3,SUMIF('TL17'!$C$238:$C$451,$C410,'TL17'!$J$238:$J$451),0),
IF('TL18'!$B$3=Q$3,SUMIF('TL18'!$C$10:$C$224,$C410,'TL18'!$J$10:$J$224),0),
IF('TL18'!$B$229=Q$3,SUMIF('TL18'!$C$238:$C$451,$C410,'TL18'!$J$238:$J$451),0),
IF('TL19'!$B$3=Q$3,SUMIF('TL19'!$C$10:$C$224,$C410,'TL19'!$J$10:$J$224),0),
IF('TL19'!$B$229=Q$3,SUMIF('TL19'!$C$238:$C$451,$C410,'TL19'!$J$238:$J$451),0)
),0)</f>
        <v>0</v>
      </c>
      <c r="R410" s="139">
        <f>IFERROR(
SUM(
SUMIF('TL01'!C:C,C410,'TL01'!J:J),
SUMIF('TL02'!C:C,C410,'TL02'!I:I),
SUMIF('TL03'!C:C,C410,'TL03'!I:I),
SUMIF('TL04'!C:C,C410,'TL04'!I:I),
SUMIF('TL05'!C:C,C410,'TL05'!I:I),
SUMIF('TL06'!C:C,C410,'TL06'!I:I),
SUMIF('TL07'!C:C,C410,'TL07'!I:I),
SUMIF('TL08'!C:C,C410,'TL08'!I:I),
SUMIF('TL09'!C:C,C410,'TL09'!I:I),
SUMIF('TL10'!C:C,C410,'TL10'!I:I),
SUMIF('TL11'!C:C,C410,'TL11'!I:I),
SUMIF('TL12'!C:C,C410,'TL12'!I:I),
SUMIF('TL13'!C:C,C410,'TL13'!I:I),
SUMIF('TL14'!C:C,C410,'TL14'!I:I),
SUMIF('TL15'!C:C,C410,'TL15'!I:I),
SUMIF('TL16'!C:C,C410,'TL16'!I:I),
SUMIF('TL17'!C:C,C410,'TL17'!I:I),
SUMIF('TL18'!C:C,C410,'TL18'!I:I))
,0)</f>
        <v>0.1</v>
      </c>
      <c r="S410" s="142">
        <f>'CUSTO OPERAÇÃO'!M14</f>
        <v>187.5</v>
      </c>
      <c r="T410" s="139"/>
      <c r="U410" s="143">
        <f t="shared" si="2"/>
        <v>0.1</v>
      </c>
      <c r="V410" s="144">
        <f t="shared" si="3"/>
        <v>18.75</v>
      </c>
    </row>
    <row r="411" ht="15.75" hidden="1" customHeight="1">
      <c r="A411" s="134"/>
      <c r="B411" s="135" t="s">
        <v>10</v>
      </c>
      <c r="C411" s="136" t="str">
        <f>'CUSTO OPERAÇÃO'!D15</f>
        <v>NH T8.355 + - JD2122</v>
      </c>
      <c r="D411" s="136"/>
      <c r="E411" s="137"/>
      <c r="F411" s="138" t="s">
        <v>1133</v>
      </c>
      <c r="G411" s="139"/>
      <c r="H411" s="140">
        <f>'CUSTO OPERAÇÃO'!J15</f>
        <v>0.1600640256</v>
      </c>
      <c r="I411" s="141"/>
      <c r="J411" s="136">
        <f>IFERROR(SUM(
IF('TL01'!$B$3=J$3,SUMIF('TL01'!$C$10:$C$224,$C411,'TL01'!$J$10:$J$224),0),
IF('TL01'!$B$229=J$3,SUMIF('TL01'!$C$238:$C$451,$C411,'TL01'!$J$238:$J$451),0),
IF('TL02'!$B$3=J$3,SUMIF('TL02'!$C$10:$C$224,$C411,'TL02'!$J$10:$J$224),0),
IF('TL02'!$B$229=J$3,SUMIF('TL02'!$C$238:$C$451,$C411,'TL02'!$J$238:$J$451),0),
IF('TL03'!$B$3=J$3,SUMIF('TL03'!$C$10:$C$224,$C411,'TL03'!$J$10:$J$224),0),
IF('TL03'!$B$229=J$3,SUMIF('TL03'!$C$238:$C$451,$C411,'TL03'!$J$238:$J$451),0),
IF('TL04'!$B$3=J$3,SUMIF('TL04'!$C$10:$C$224,$C411,'TL04'!$J$10:$J$224),0),
IF('TL04'!$B$229=J$3,SUMIF('TL04'!$C$238:$C$451,$C411,'TL04'!$J$238:$J$451),0),
IF('TL05'!$B$3=J$3,SUMIF('TL05'!$C$10:$C$224,$C411,'TL05'!$J$10:$J$224),0),
IF('TL05'!$B$229=J$3,SUMIF('TL05'!$C$238:$C$451,$C411,'TL05'!$J$238:$J$451),0),
IF('TL06'!$B$3=J$3,SUMIF('TL06'!$C$10:$C$224,$C411,'TL06'!$J$10:$J$224),0),
IF('TL06'!$B$229=J$3,SUMIF('TL06'!$C$238:$C$451,$C411,'TL06'!$J$238:$J$451),0),
IF('TL07'!$B$3=J$3,SUMIF('TL07'!$C$10:$C$224,$C411,'TL07'!$J$10:$J$224),0),
IF('TL07'!$B$229=J$3,SUMIF('TL07'!$C$238:$C$451,$C411,'TL07'!$J$238:$J$451),0),
IF('TL08'!$B$3=J$3,SUMIF('TL08'!$C$10:$C$224,$C411,'TL08'!$J$10:$J$224),0),
IF('TL08'!$B$229=J$3,SUMIF('TL08'!$C$238:$C$451,$C411,'TL08'!$J$238:$J$451),0),
IF('TL09'!$B$3=J$3,SUMIF('TL09'!$C$10:$C$224,$C411,'TL09'!$J$10:$J$224),0),
IF('TL09'!$B$229=J$3,SUMIF('TL09'!$C$238:$C$451,$C411,'TL09'!$J$238:$J$451),0),
IF('TL10'!$B$3=J$3,SUMIF('TL10'!$C$10:$C$224,$C411,'TL10'!$J$10:$J$224),0),
IF('TL10'!$B$229=J$3,SUMIF('TL10'!$C$238:$C$451,$C411,'TL10'!$J$238:$J$451),0),
IF('TL11'!$B$3=J$3,SUMIF('TL11'!$C$10:$C$224,$C411,'TL11'!$J$10:$J$224),0),
IF('TL11'!$B$229=J$3,SUMIF('TL11'!$C$238:$C$451,$C411,'TL11'!$J$238:$J$451),0),
IF('TL12'!$B$3=J$3,SUMIF('TL12'!$C$10:$C$224,$C411,'TL12'!$J$10:$J$224),0),
IF('TL12'!$B$229=J$3,SUMIF('TL12'!$C$238:$C$451,$C411,'TL12'!$J$238:$J$451),0),
IF('TL13'!$B$3=J$3,SUMIF('TL13'!$C$10:$C$224,$C411,'TL13'!$J$10:$J$224),0),
IF('TL13'!$B$229=J$3,SUMIF('TL13'!$C$238:$C$451,$C411,'TL13'!$J$238:$J$451),0),
IF('TL14'!$B$3=J$3,SUMIF('TL14'!$C$10:$C$224,$C411,'TL14'!$J$10:$J$224),0),
IF('TL14'!$B$229=J$3,SUMIF('TL14'!$C$238:$C$451,$C411,'TL14'!$J$238:$J$451),0),
IF('TL15'!$B$3=J$3,SUMIF('TL15'!$C$10:$C$224,$C411,'TL15'!$J$10:$J$224),0),
IF('TL15'!$B$229=J$3,SUMIF('TL15'!$C$238:$C$451,$C411,'TL15'!$J$238:$J$451),0),
IF('TL16'!$B$3=J$3,SUMIF('TL16'!$C$10:$C$224,$C411,'TL16'!$J$10:$J$224),0),
IF('TL16'!$B$229=J$3,SUMIF('TL16'!$C$238:$C$451,$C411,'TL16'!$J$238:$J$451),0),
IF('TL17'!$B$3=J$3,SUMIF('TL17'!$C$10:$C$224,$C411,'TL17'!$J$10:$J$224),0),
IF('TL17'!$B$229=J$3,SUMIF('TL17'!$C$238:$C$451,$C411,'TL17'!$J$238:$J$451),0),
IF('TL18'!$B$3=J$3,SUMIF('TL18'!$C$10:$C$224,$C411,'TL18'!$J$10:$J$224),0),
IF('TL18'!$B$229=J$3,SUMIF('TL18'!$C$238:$C$451,$C411,'TL18'!$J$238:$J$451),0),
IF('TL19'!$B$3=J$3,SUMIF('TL19'!$C$10:$C$224,$C411,'TL19'!$J$10:$J$224),0),
IF('TL19'!$B$229=J$3,SUMIF('TL19'!$C$238:$C$451,$C411,'TL19'!$J$238:$J$451),0)
),0)</f>
        <v>0</v>
      </c>
      <c r="K411" s="136">
        <f>IFERROR(SUM(
IF('TL01'!$B$3=K$3,SUMIF('TL01'!$C$10:$C$224,$C411,'TL01'!$J$10:$J$224),0),
IF('TL01'!$B$229=K$3,SUMIF('TL01'!$C$238:$C$451,$C411,'TL01'!$J$238:$J$451),0),
IF('TL02'!$B$3=K$3,SUMIF('TL02'!$C$10:$C$224,$C411,'TL02'!$J$10:$J$224),0),
IF('TL02'!$B$229=K$3,SUMIF('TL02'!$C$238:$C$451,$C411,'TL02'!$J$238:$J$451),0),
IF('TL03'!$B$3=K$3,SUMIF('TL03'!$C$10:$C$224,$C411,'TL03'!$J$10:$J$224),0),
IF('TL03'!$B$229=K$3,SUMIF('TL03'!$C$238:$C$451,$C411,'TL03'!$J$238:$J$451),0),
IF('TL04'!$B$3=K$3,SUMIF('TL04'!$C$10:$C$224,$C411,'TL04'!$J$10:$J$224),0),
IF('TL04'!$B$229=K$3,SUMIF('TL04'!$C$238:$C$451,$C411,'TL04'!$J$238:$J$451),0),
IF('TL05'!$B$3=K$3,SUMIF('TL05'!$C$10:$C$224,$C411,'TL05'!$J$10:$J$224),0),
IF('TL05'!$B$229=K$3,SUMIF('TL05'!$C$238:$C$451,$C411,'TL05'!$J$238:$J$451),0),
IF('TL06'!$B$3=K$3,SUMIF('TL06'!$C$10:$C$224,$C411,'TL06'!$J$10:$J$224),0),
IF('TL06'!$B$229=K$3,SUMIF('TL06'!$C$238:$C$451,$C411,'TL06'!$J$238:$J$451),0),
IF('TL07'!$B$3=K$3,SUMIF('TL07'!$C$10:$C$224,$C411,'TL07'!$J$10:$J$224),0),
IF('TL07'!$B$229=K$3,SUMIF('TL07'!$C$238:$C$451,$C411,'TL07'!$J$238:$J$451),0),
IF('TL08'!$B$3=K$3,SUMIF('TL08'!$C$10:$C$224,$C411,'TL08'!$J$10:$J$224),0),
IF('TL08'!$B$229=K$3,SUMIF('TL08'!$C$238:$C$451,$C411,'TL08'!$J$238:$J$451),0),
IF('TL09'!$B$3=K$3,SUMIF('TL09'!$C$10:$C$224,$C411,'TL09'!$J$10:$J$224),0),
IF('TL09'!$B$229=K$3,SUMIF('TL09'!$C$238:$C$451,$C411,'TL09'!$J$238:$J$451),0),
IF('TL10'!$B$3=K$3,SUMIF('TL10'!$C$10:$C$224,$C411,'TL10'!$J$10:$J$224),0),
IF('TL10'!$B$229=K$3,SUMIF('TL10'!$C$238:$C$451,$C411,'TL10'!$J$238:$J$451),0),
IF('TL11'!$B$3=K$3,SUMIF('TL11'!$C$10:$C$224,$C411,'TL11'!$J$10:$J$224),0),
IF('TL11'!$B$229=K$3,SUMIF('TL11'!$C$238:$C$451,$C411,'TL11'!$J$238:$J$451),0),
IF('TL12'!$B$3=K$3,SUMIF('TL12'!$C$10:$C$224,$C411,'TL12'!$J$10:$J$224),0),
IF('TL12'!$B$229=K$3,SUMIF('TL12'!$C$238:$C$451,$C411,'TL12'!$J$238:$J$451),0),
IF('TL13'!$B$3=K$3,SUMIF('TL13'!$C$10:$C$224,$C411,'TL13'!$J$10:$J$224),0),
IF('TL13'!$B$229=K$3,SUMIF('TL13'!$C$238:$C$451,$C411,'TL13'!$J$238:$J$451),0),
IF('TL14'!$B$3=K$3,SUMIF('TL14'!$C$10:$C$224,$C411,'TL14'!$J$10:$J$224),0),
IF('TL14'!$B$229=K$3,SUMIF('TL14'!$C$238:$C$451,$C411,'TL14'!$J$238:$J$451),0),
IF('TL15'!$B$3=K$3,SUMIF('TL15'!$C$10:$C$224,$C411,'TL15'!$J$10:$J$224),0),
IF('TL15'!$B$229=K$3,SUMIF('TL15'!$C$238:$C$451,$C411,'TL15'!$J$238:$J$451),0),
IF('TL16'!$B$3=K$3,SUMIF('TL16'!$C$10:$C$224,$C411,'TL16'!$J$10:$J$224),0),
IF('TL16'!$B$229=K$3,SUMIF('TL16'!$C$238:$C$451,$C411,'TL16'!$J$238:$J$451),0),
IF('TL17'!$B$3=K$3,SUMIF('TL17'!$C$10:$C$224,$C411,'TL17'!$J$10:$J$224),0),
IF('TL17'!$B$229=K$3,SUMIF('TL17'!$C$238:$C$451,$C411,'TL17'!$J$238:$J$451),0),
IF('TL18'!$B$3=K$3,SUMIF('TL18'!$C$10:$C$224,$C411,'TL18'!$J$10:$J$224),0),
IF('TL18'!$B$229=K$3,SUMIF('TL18'!$C$238:$C$451,$C411,'TL18'!$J$238:$J$451),0),
IF('TL19'!$B$3=K$3,SUMIF('TL19'!$C$10:$C$224,$C411,'TL19'!$J$10:$J$224),0),
IF('TL19'!$B$229=K$3,SUMIF('TL19'!$C$238:$C$451,$C411,'TL19'!$J$238:$J$451),0)
),0)</f>
        <v>0</v>
      </c>
      <c r="L411" s="136">
        <f>IFERROR(SUM(
IF('TL01'!$B$3=L$3,SUMIF('TL01'!$C$10:$C$224,$C411,'TL01'!$J$10:$J$224),0),
IF('TL01'!$B$229=L$3,SUMIF('TL01'!$C$238:$C$451,$C411,'TL01'!$J$238:$J$451),0),
IF('TL02'!$B$3=L$3,SUMIF('TL02'!$C$10:$C$224,$C411,'TL02'!$J$10:$J$224),0),
IF('TL02'!$B$229=L$3,SUMIF('TL02'!$C$238:$C$451,$C411,'TL02'!$J$238:$J$451),0),
IF('TL03'!$B$3=L$3,SUMIF('TL03'!$C$10:$C$224,$C411,'TL03'!$J$10:$J$224),0),
IF('TL03'!$B$229=L$3,SUMIF('TL03'!$C$238:$C$451,$C411,'TL03'!$J$238:$J$451),0),
IF('TL04'!$B$3=L$3,SUMIF('TL04'!$C$10:$C$224,$C411,'TL04'!$J$10:$J$224),0),
IF('TL04'!$B$229=L$3,SUMIF('TL04'!$C$238:$C$451,$C411,'TL04'!$J$238:$J$451),0),
IF('TL05'!$B$3=L$3,SUMIF('TL05'!$C$10:$C$224,$C411,'TL05'!$J$10:$J$224),0),
IF('TL05'!$B$229=L$3,SUMIF('TL05'!$C$238:$C$451,$C411,'TL05'!$J$238:$J$451),0),
IF('TL06'!$B$3=L$3,SUMIF('TL06'!$C$10:$C$224,$C411,'TL06'!$J$10:$J$224),0),
IF('TL06'!$B$229=L$3,SUMIF('TL06'!$C$238:$C$451,$C411,'TL06'!$J$238:$J$451),0),
IF('TL07'!$B$3=L$3,SUMIF('TL07'!$C$10:$C$224,$C411,'TL07'!$J$10:$J$224),0),
IF('TL07'!$B$229=L$3,SUMIF('TL07'!$C$238:$C$451,$C411,'TL07'!$J$238:$J$451),0),
IF('TL08'!$B$3=L$3,SUMIF('TL08'!$C$10:$C$224,$C411,'TL08'!$J$10:$J$224),0),
IF('TL08'!$B$229=L$3,SUMIF('TL08'!$C$238:$C$451,$C411,'TL08'!$J$238:$J$451),0),
IF('TL09'!$B$3=L$3,SUMIF('TL09'!$C$10:$C$224,$C411,'TL09'!$J$10:$J$224),0),
IF('TL09'!$B$229=L$3,SUMIF('TL09'!$C$238:$C$451,$C411,'TL09'!$J$238:$J$451),0),
IF('TL10'!$B$3=L$3,SUMIF('TL10'!$C$10:$C$224,$C411,'TL10'!$J$10:$J$224),0),
IF('TL10'!$B$229=L$3,SUMIF('TL10'!$C$238:$C$451,$C411,'TL10'!$J$238:$J$451),0),
IF('TL11'!$B$3=L$3,SUMIF('TL11'!$C$10:$C$224,$C411,'TL11'!$J$10:$J$224),0),
IF('TL11'!$B$229=L$3,SUMIF('TL11'!$C$238:$C$451,$C411,'TL11'!$J$238:$J$451),0),
IF('TL12'!$B$3=L$3,SUMIF('TL12'!$C$10:$C$224,$C411,'TL12'!$J$10:$J$224),0),
IF('TL12'!$B$229=L$3,SUMIF('TL12'!$C$238:$C$451,$C411,'TL12'!$J$238:$J$451),0),
IF('TL13'!$B$3=L$3,SUMIF('TL13'!$C$10:$C$224,$C411,'TL13'!$J$10:$J$224),0),
IF('TL13'!$B$229=L$3,SUMIF('TL13'!$C$238:$C$451,$C411,'TL13'!$J$238:$J$451),0),
IF('TL14'!$B$3=L$3,SUMIF('TL14'!$C$10:$C$224,$C411,'TL14'!$J$10:$J$224),0),
IF('TL14'!$B$229=L$3,SUMIF('TL14'!$C$238:$C$451,$C411,'TL14'!$J$238:$J$451),0),
IF('TL15'!$B$3=L$3,SUMIF('TL15'!$C$10:$C$224,$C411,'TL15'!$J$10:$J$224),0),
IF('TL15'!$B$229=L$3,SUMIF('TL15'!$C$238:$C$451,$C411,'TL15'!$J$238:$J$451),0),
IF('TL16'!$B$3=L$3,SUMIF('TL16'!$C$10:$C$224,$C411,'TL16'!$J$10:$J$224),0),
IF('TL16'!$B$229=L$3,SUMIF('TL16'!$C$238:$C$451,$C411,'TL16'!$J$238:$J$451),0),
IF('TL17'!$B$3=L$3,SUMIF('TL17'!$C$10:$C$224,$C411,'TL17'!$J$10:$J$224),0),
IF('TL17'!$B$229=L$3,SUMIF('TL17'!$C$238:$C$451,$C411,'TL17'!$J$238:$J$451),0),
IF('TL18'!$B$3=L$3,SUMIF('TL18'!$C$10:$C$224,$C411,'TL18'!$J$10:$J$224),0),
IF('TL18'!$B$229=L$3,SUMIF('TL18'!$C$238:$C$451,$C411,'TL18'!$J$238:$J$451),0),
IF('TL19'!$B$3=L$3,SUMIF('TL19'!$C$10:$C$224,$C411,'TL19'!$J$10:$J$224),0),
IF('TL19'!$B$229=L$3,SUMIF('TL19'!$C$238:$C$451,$C411,'TL19'!$J$238:$J$451),0)
),0)</f>
        <v>0</v>
      </c>
      <c r="M411" s="136">
        <f>IFERROR(SUM(
IF('TL01'!$B$3=M$3,SUMIF('TL01'!$C$10:$C$224,$C411,'TL01'!$J$10:$J$224),0),
IF('TL01'!$B$229=M$3,SUMIF('TL01'!$C$238:$C$451,$C411,'TL01'!$J$238:$J$451),0),
IF('TL02'!$B$3=M$3,SUMIF('TL02'!$C$10:$C$224,$C411,'TL02'!$J$10:$J$224),0),
IF('TL02'!$B$229=M$3,SUMIF('TL02'!$C$238:$C$451,$C411,'TL02'!$J$238:$J$451),0),
IF('TL03'!$B$3=M$3,SUMIF('TL03'!$C$10:$C$224,$C411,'TL03'!$J$10:$J$224),0),
IF('TL03'!$B$229=M$3,SUMIF('TL03'!$C$238:$C$451,$C411,'TL03'!$J$238:$J$451),0),
IF('TL04'!$B$3=M$3,SUMIF('TL04'!$C$10:$C$224,$C411,'TL04'!$J$10:$J$224),0),
IF('TL04'!$B$229=M$3,SUMIF('TL04'!$C$238:$C$451,$C411,'TL04'!$J$238:$J$451),0),
IF('TL05'!$B$3=M$3,SUMIF('TL05'!$C$10:$C$224,$C411,'TL05'!$J$10:$J$224),0),
IF('TL05'!$B$229=M$3,SUMIF('TL05'!$C$238:$C$451,$C411,'TL05'!$J$238:$J$451),0),
IF('TL06'!$B$3=M$3,SUMIF('TL06'!$C$10:$C$224,$C411,'TL06'!$J$10:$J$224),0),
IF('TL06'!$B$229=M$3,SUMIF('TL06'!$C$238:$C$451,$C411,'TL06'!$J$238:$J$451),0),
IF('TL07'!$B$3=M$3,SUMIF('TL07'!$C$10:$C$224,$C411,'TL07'!$J$10:$J$224),0),
IF('TL07'!$B$229=M$3,SUMIF('TL07'!$C$238:$C$451,$C411,'TL07'!$J$238:$J$451),0),
IF('TL08'!$B$3=M$3,SUMIF('TL08'!$C$10:$C$224,$C411,'TL08'!$J$10:$J$224),0),
IF('TL08'!$B$229=M$3,SUMIF('TL08'!$C$238:$C$451,$C411,'TL08'!$J$238:$J$451),0),
IF('TL09'!$B$3=M$3,SUMIF('TL09'!$C$10:$C$224,$C411,'TL09'!$J$10:$J$224),0),
IF('TL09'!$B$229=M$3,SUMIF('TL09'!$C$238:$C$451,$C411,'TL09'!$J$238:$J$451),0),
IF('TL10'!$B$3=M$3,SUMIF('TL10'!$C$10:$C$224,$C411,'TL10'!$J$10:$J$224),0),
IF('TL10'!$B$229=M$3,SUMIF('TL10'!$C$238:$C$451,$C411,'TL10'!$J$238:$J$451),0),
IF('TL11'!$B$3=M$3,SUMIF('TL11'!$C$10:$C$224,$C411,'TL11'!$J$10:$J$224),0),
IF('TL11'!$B$229=M$3,SUMIF('TL11'!$C$238:$C$451,$C411,'TL11'!$J$238:$J$451),0),
IF('TL12'!$B$3=M$3,SUMIF('TL12'!$C$10:$C$224,$C411,'TL12'!$J$10:$J$224),0),
IF('TL12'!$B$229=M$3,SUMIF('TL12'!$C$238:$C$451,$C411,'TL12'!$J$238:$J$451),0),
IF('TL13'!$B$3=M$3,SUMIF('TL13'!$C$10:$C$224,$C411,'TL13'!$J$10:$J$224),0),
IF('TL13'!$B$229=M$3,SUMIF('TL13'!$C$238:$C$451,$C411,'TL13'!$J$238:$J$451),0),
IF('TL14'!$B$3=M$3,SUMIF('TL14'!$C$10:$C$224,$C411,'TL14'!$J$10:$J$224),0),
IF('TL14'!$B$229=M$3,SUMIF('TL14'!$C$238:$C$451,$C411,'TL14'!$J$238:$J$451),0),
IF('TL15'!$B$3=M$3,SUMIF('TL15'!$C$10:$C$224,$C411,'TL15'!$J$10:$J$224),0),
IF('TL15'!$B$229=M$3,SUMIF('TL15'!$C$238:$C$451,$C411,'TL15'!$J$238:$J$451),0),
IF('TL16'!$B$3=M$3,SUMIF('TL16'!$C$10:$C$224,$C411,'TL16'!$J$10:$J$224),0),
IF('TL16'!$B$229=M$3,SUMIF('TL16'!$C$238:$C$451,$C411,'TL16'!$J$238:$J$451),0),
IF('TL17'!$B$3=M$3,SUMIF('TL17'!$C$10:$C$224,$C411,'TL17'!$J$10:$J$224),0),
IF('TL17'!$B$229=M$3,SUMIF('TL17'!$C$238:$C$451,$C411,'TL17'!$J$238:$J$451),0),
IF('TL18'!$B$3=M$3,SUMIF('TL18'!$C$10:$C$224,$C411,'TL18'!$J$10:$J$224),0),
IF('TL18'!$B$229=M$3,SUMIF('TL18'!$C$238:$C$451,$C411,'TL18'!$J$238:$J$451),0),
IF('TL19'!$B$3=M$3,SUMIF('TL19'!$C$10:$C$224,$C411,'TL19'!$J$10:$J$224),0),
IF('TL19'!$B$229=M$3,SUMIF('TL19'!$C$238:$C$451,$C411,'TL19'!$J$238:$J$451),0)
),0)</f>
        <v>0</v>
      </c>
      <c r="N411" s="136">
        <f>IFERROR(SUM(
IF('TL01'!$B$3=N$3,SUMIF('TL01'!$C$10:$C$224,$C411,'TL01'!$J$10:$J$224),0),
IF('TL01'!$B$229=N$3,SUMIF('TL01'!$C$238:$C$451,$C411,'TL01'!$J$238:$J$451),0),
IF('TL02'!$B$3=N$3,SUMIF('TL02'!$C$10:$C$224,$C411,'TL02'!$J$10:$J$224),0),
IF('TL02'!$B$229=N$3,SUMIF('TL02'!$C$238:$C$451,$C411,'TL02'!$J$238:$J$451),0),
IF('TL03'!$B$3=N$3,SUMIF('TL03'!$C$10:$C$224,$C411,'TL03'!$J$10:$J$224),0),
IF('TL03'!$B$229=N$3,SUMIF('TL03'!$C$238:$C$451,$C411,'TL03'!$J$238:$J$451),0),
IF('TL04'!$B$3=N$3,SUMIF('TL04'!$C$10:$C$224,$C411,'TL04'!$J$10:$J$224),0),
IF('TL04'!$B$229=N$3,SUMIF('TL04'!$C$238:$C$451,$C411,'TL04'!$J$238:$J$451),0),
IF('TL05'!$B$3=N$3,SUMIF('TL05'!$C$10:$C$224,$C411,'TL05'!$J$10:$J$224),0),
IF('TL05'!$B$229=N$3,SUMIF('TL05'!$C$238:$C$451,$C411,'TL05'!$J$238:$J$451),0),
IF('TL06'!$B$3=N$3,SUMIF('TL06'!$C$10:$C$224,$C411,'TL06'!$J$10:$J$224),0),
IF('TL06'!$B$229=N$3,SUMIF('TL06'!$C$238:$C$451,$C411,'TL06'!$J$238:$J$451),0),
IF('TL07'!$B$3=N$3,SUMIF('TL07'!$C$10:$C$224,$C411,'TL07'!$J$10:$J$224),0),
IF('TL07'!$B$229=N$3,SUMIF('TL07'!$C$238:$C$451,$C411,'TL07'!$J$238:$J$451),0),
IF('TL08'!$B$3=N$3,SUMIF('TL08'!$C$10:$C$224,$C411,'TL08'!$J$10:$J$224),0),
IF('TL08'!$B$229=N$3,SUMIF('TL08'!$C$238:$C$451,$C411,'TL08'!$J$238:$J$451),0),
IF('TL09'!$B$3=N$3,SUMIF('TL09'!$C$10:$C$224,$C411,'TL09'!$J$10:$J$224),0),
IF('TL09'!$B$229=N$3,SUMIF('TL09'!$C$238:$C$451,$C411,'TL09'!$J$238:$J$451),0),
IF('TL10'!$B$3=N$3,SUMIF('TL10'!$C$10:$C$224,$C411,'TL10'!$J$10:$J$224),0),
IF('TL10'!$B$229=N$3,SUMIF('TL10'!$C$238:$C$451,$C411,'TL10'!$J$238:$J$451),0),
IF('TL11'!$B$3=N$3,SUMIF('TL11'!$C$10:$C$224,$C411,'TL11'!$J$10:$J$224),0),
IF('TL11'!$B$229=N$3,SUMIF('TL11'!$C$238:$C$451,$C411,'TL11'!$J$238:$J$451),0),
IF('TL12'!$B$3=N$3,SUMIF('TL12'!$C$10:$C$224,$C411,'TL12'!$J$10:$J$224),0),
IF('TL12'!$B$229=N$3,SUMIF('TL12'!$C$238:$C$451,$C411,'TL12'!$J$238:$J$451),0),
IF('TL13'!$B$3=N$3,SUMIF('TL13'!$C$10:$C$224,$C411,'TL13'!$J$10:$J$224),0),
IF('TL13'!$B$229=N$3,SUMIF('TL13'!$C$238:$C$451,$C411,'TL13'!$J$238:$J$451),0),
IF('TL14'!$B$3=N$3,SUMIF('TL14'!$C$10:$C$224,$C411,'TL14'!$J$10:$J$224),0),
IF('TL14'!$B$229=N$3,SUMIF('TL14'!$C$238:$C$451,$C411,'TL14'!$J$238:$J$451),0),
IF('TL15'!$B$3=N$3,SUMIF('TL15'!$C$10:$C$224,$C411,'TL15'!$J$10:$J$224),0),
IF('TL15'!$B$229=N$3,SUMIF('TL15'!$C$238:$C$451,$C411,'TL15'!$J$238:$J$451),0),
IF('TL16'!$B$3=N$3,SUMIF('TL16'!$C$10:$C$224,$C411,'TL16'!$J$10:$J$224),0),
IF('TL16'!$B$229=N$3,SUMIF('TL16'!$C$238:$C$451,$C411,'TL16'!$J$238:$J$451),0),
IF('TL17'!$B$3=N$3,SUMIF('TL17'!$C$10:$C$224,$C411,'TL17'!$J$10:$J$224),0),
IF('TL17'!$B$229=N$3,SUMIF('TL17'!$C$238:$C$451,$C411,'TL17'!$J$238:$J$451),0),
IF('TL18'!$B$3=N$3,SUMIF('TL18'!$C$10:$C$224,$C411,'TL18'!$J$10:$J$224),0),
IF('TL18'!$B$229=N$3,SUMIF('TL18'!$C$238:$C$451,$C411,'TL18'!$J$238:$J$451),0),
IF('TL19'!$B$3=N$3,SUMIF('TL19'!$C$10:$C$224,$C411,'TL19'!$J$10:$J$224),0),
IF('TL19'!$B$229=N$3,SUMIF('TL19'!$C$238:$C$451,$C411,'TL19'!$J$238:$J$451),0)
),0)</f>
        <v>0</v>
      </c>
      <c r="O411" s="136">
        <f>IFERROR(SUM(
IF('TL01'!$B$3=O$3,SUMIF('TL01'!$C$10:$C$224,$C411,'TL01'!$J$10:$J$224),0),
IF('TL01'!$B$229=O$3,SUMIF('TL01'!$C$238:$C$451,$C411,'TL01'!$J$238:$J$451),0),
IF('TL02'!$B$3=O$3,SUMIF('TL02'!$C$10:$C$224,$C411,'TL02'!$J$10:$J$224),0),
IF('TL02'!$B$229=O$3,SUMIF('TL02'!$C$238:$C$451,$C411,'TL02'!$J$238:$J$451),0),
IF('TL03'!$B$3=O$3,SUMIF('TL03'!$C$10:$C$224,$C411,'TL03'!$J$10:$J$224),0),
IF('TL03'!$B$229=O$3,SUMIF('TL03'!$C$238:$C$451,$C411,'TL03'!$J$238:$J$451),0),
IF('TL04'!$B$3=O$3,SUMIF('TL04'!$C$10:$C$224,$C411,'TL04'!$J$10:$J$224),0),
IF('TL04'!$B$229=O$3,SUMIF('TL04'!$C$238:$C$451,$C411,'TL04'!$J$238:$J$451),0),
IF('TL05'!$B$3=O$3,SUMIF('TL05'!$C$10:$C$224,$C411,'TL05'!$J$10:$J$224),0),
IF('TL05'!$B$229=O$3,SUMIF('TL05'!$C$238:$C$451,$C411,'TL05'!$J$238:$J$451),0),
IF('TL06'!$B$3=O$3,SUMIF('TL06'!$C$10:$C$224,$C411,'TL06'!$J$10:$J$224),0),
IF('TL06'!$B$229=O$3,SUMIF('TL06'!$C$238:$C$451,$C411,'TL06'!$J$238:$J$451),0),
IF('TL07'!$B$3=O$3,SUMIF('TL07'!$C$10:$C$224,$C411,'TL07'!$J$10:$J$224),0),
IF('TL07'!$B$229=O$3,SUMIF('TL07'!$C$238:$C$451,$C411,'TL07'!$J$238:$J$451),0),
IF('TL08'!$B$3=O$3,SUMIF('TL08'!$C$10:$C$224,$C411,'TL08'!$J$10:$J$224),0),
IF('TL08'!$B$229=O$3,SUMIF('TL08'!$C$238:$C$451,$C411,'TL08'!$J$238:$J$451),0),
IF('TL09'!$B$3=O$3,SUMIF('TL09'!$C$10:$C$224,$C411,'TL09'!$J$10:$J$224),0),
IF('TL09'!$B$229=O$3,SUMIF('TL09'!$C$238:$C$451,$C411,'TL09'!$J$238:$J$451),0),
IF('TL10'!$B$3=O$3,SUMIF('TL10'!$C$10:$C$224,$C411,'TL10'!$J$10:$J$224),0),
IF('TL10'!$B$229=O$3,SUMIF('TL10'!$C$238:$C$451,$C411,'TL10'!$J$238:$J$451),0),
IF('TL11'!$B$3=O$3,SUMIF('TL11'!$C$10:$C$224,$C411,'TL11'!$J$10:$J$224),0),
IF('TL11'!$B$229=O$3,SUMIF('TL11'!$C$238:$C$451,$C411,'TL11'!$J$238:$J$451),0),
IF('TL12'!$B$3=O$3,SUMIF('TL12'!$C$10:$C$224,$C411,'TL12'!$J$10:$J$224),0),
IF('TL12'!$B$229=O$3,SUMIF('TL12'!$C$238:$C$451,$C411,'TL12'!$J$238:$J$451),0),
IF('TL13'!$B$3=O$3,SUMIF('TL13'!$C$10:$C$224,$C411,'TL13'!$J$10:$J$224),0),
IF('TL13'!$B$229=O$3,SUMIF('TL13'!$C$238:$C$451,$C411,'TL13'!$J$238:$J$451),0),
IF('TL14'!$B$3=O$3,SUMIF('TL14'!$C$10:$C$224,$C411,'TL14'!$J$10:$J$224),0),
IF('TL14'!$B$229=O$3,SUMIF('TL14'!$C$238:$C$451,$C411,'TL14'!$J$238:$J$451),0),
IF('TL15'!$B$3=O$3,SUMIF('TL15'!$C$10:$C$224,$C411,'TL15'!$J$10:$J$224),0),
IF('TL15'!$B$229=O$3,SUMIF('TL15'!$C$238:$C$451,$C411,'TL15'!$J$238:$J$451),0),
IF('TL16'!$B$3=O$3,SUMIF('TL16'!$C$10:$C$224,$C411,'TL16'!$J$10:$J$224),0),
IF('TL16'!$B$229=O$3,SUMIF('TL16'!$C$238:$C$451,$C411,'TL16'!$J$238:$J$451),0),
IF('TL17'!$B$3=O$3,SUMIF('TL17'!$C$10:$C$224,$C411,'TL17'!$J$10:$J$224),0),
IF('TL17'!$B$229=O$3,SUMIF('TL17'!$C$238:$C$451,$C411,'TL17'!$J$238:$J$451),0),
IF('TL18'!$B$3=O$3,SUMIF('TL18'!$C$10:$C$224,$C411,'TL18'!$J$10:$J$224),0),
IF('TL18'!$B$229=O$3,SUMIF('TL18'!$C$238:$C$451,$C411,'TL18'!$J$238:$J$451),0),
IF('TL19'!$B$3=O$3,SUMIF('TL19'!$C$10:$C$224,$C411,'TL19'!$J$10:$J$224),0),
IF('TL19'!$B$229=O$3,SUMIF('TL19'!$C$238:$C$451,$C411,'TL19'!$J$238:$J$451),0)
),0)</f>
        <v>0</v>
      </c>
      <c r="P411" s="136">
        <f>IFERROR(SUM(
IF('TL01'!$B$3=P$3,SUMIF('TL01'!$C$10:$C$224,$C411,'TL01'!$J$10:$J$224),0),
IF('TL01'!$B$229=P$3,SUMIF('TL01'!$C$238:$C$451,$C411,'TL01'!$J$238:$J$451),0),
IF('TL02'!$B$3=P$3,SUMIF('TL02'!$C$10:$C$224,$C411,'TL02'!$J$10:$J$224),0),
IF('TL02'!$B$229=P$3,SUMIF('TL02'!$C$238:$C$451,$C411,'TL02'!$J$238:$J$451),0),
IF('TL03'!$B$3=P$3,SUMIF('TL03'!$C$10:$C$224,$C411,'TL03'!$J$10:$J$224),0),
IF('TL03'!$B$229=P$3,SUMIF('TL03'!$C$238:$C$451,$C411,'TL03'!$J$238:$J$451),0),
IF('TL04'!$B$3=P$3,SUMIF('TL04'!$C$10:$C$224,$C411,'TL04'!$J$10:$J$224),0),
IF('TL04'!$B$229=P$3,SUMIF('TL04'!$C$238:$C$451,$C411,'TL04'!$J$238:$J$451),0),
IF('TL05'!$B$3=P$3,SUMIF('TL05'!$C$10:$C$224,$C411,'TL05'!$J$10:$J$224),0),
IF('TL05'!$B$229=P$3,SUMIF('TL05'!$C$238:$C$451,$C411,'TL05'!$J$238:$J$451),0),
IF('TL06'!$B$3=P$3,SUMIF('TL06'!$C$10:$C$224,$C411,'TL06'!$J$10:$J$224),0),
IF('TL06'!$B$229=P$3,SUMIF('TL06'!$C$238:$C$451,$C411,'TL06'!$J$238:$J$451),0),
IF('TL07'!$B$3=P$3,SUMIF('TL07'!$C$10:$C$224,$C411,'TL07'!$J$10:$J$224),0),
IF('TL07'!$B$229=P$3,SUMIF('TL07'!$C$238:$C$451,$C411,'TL07'!$J$238:$J$451),0),
IF('TL08'!$B$3=P$3,SUMIF('TL08'!$C$10:$C$224,$C411,'TL08'!$J$10:$J$224),0),
IF('TL08'!$B$229=P$3,SUMIF('TL08'!$C$238:$C$451,$C411,'TL08'!$J$238:$J$451),0),
IF('TL09'!$B$3=P$3,SUMIF('TL09'!$C$10:$C$224,$C411,'TL09'!$J$10:$J$224),0),
IF('TL09'!$B$229=P$3,SUMIF('TL09'!$C$238:$C$451,$C411,'TL09'!$J$238:$J$451),0),
IF('TL10'!$B$3=P$3,SUMIF('TL10'!$C$10:$C$224,$C411,'TL10'!$J$10:$J$224),0),
IF('TL10'!$B$229=P$3,SUMIF('TL10'!$C$238:$C$451,$C411,'TL10'!$J$238:$J$451),0),
IF('TL11'!$B$3=P$3,SUMIF('TL11'!$C$10:$C$224,$C411,'TL11'!$J$10:$J$224),0),
IF('TL11'!$B$229=P$3,SUMIF('TL11'!$C$238:$C$451,$C411,'TL11'!$J$238:$J$451),0),
IF('TL12'!$B$3=P$3,SUMIF('TL12'!$C$10:$C$224,$C411,'TL12'!$J$10:$J$224),0),
IF('TL12'!$B$229=P$3,SUMIF('TL12'!$C$238:$C$451,$C411,'TL12'!$J$238:$J$451),0),
IF('TL13'!$B$3=P$3,SUMIF('TL13'!$C$10:$C$224,$C411,'TL13'!$J$10:$J$224),0),
IF('TL13'!$B$229=P$3,SUMIF('TL13'!$C$238:$C$451,$C411,'TL13'!$J$238:$J$451),0),
IF('TL14'!$B$3=P$3,SUMIF('TL14'!$C$10:$C$224,$C411,'TL14'!$J$10:$J$224),0),
IF('TL14'!$B$229=P$3,SUMIF('TL14'!$C$238:$C$451,$C411,'TL14'!$J$238:$J$451),0),
IF('TL15'!$B$3=P$3,SUMIF('TL15'!$C$10:$C$224,$C411,'TL15'!$J$10:$J$224),0),
IF('TL15'!$B$229=P$3,SUMIF('TL15'!$C$238:$C$451,$C411,'TL15'!$J$238:$J$451),0),
IF('TL16'!$B$3=P$3,SUMIF('TL16'!$C$10:$C$224,$C411,'TL16'!$J$10:$J$224),0),
IF('TL16'!$B$229=P$3,SUMIF('TL16'!$C$238:$C$451,$C411,'TL16'!$J$238:$J$451),0),
IF('TL17'!$B$3=P$3,SUMIF('TL17'!$C$10:$C$224,$C411,'TL17'!$J$10:$J$224),0),
IF('TL17'!$B$229=P$3,SUMIF('TL17'!$C$238:$C$451,$C411,'TL17'!$J$238:$J$451),0),
IF('TL18'!$B$3=P$3,SUMIF('TL18'!$C$10:$C$224,$C411,'TL18'!$J$10:$J$224),0),
IF('TL18'!$B$229=P$3,SUMIF('TL18'!$C$238:$C$451,$C411,'TL18'!$J$238:$J$451),0),
IF('TL19'!$B$3=P$3,SUMIF('TL19'!$C$10:$C$224,$C411,'TL19'!$J$10:$J$224),0),
IF('TL19'!$B$229=P$3,SUMIF('TL19'!$C$238:$C$451,$C411,'TL19'!$J$238:$J$451),0)
),0)</f>
        <v>0</v>
      </c>
      <c r="Q411" s="136">
        <f>IFERROR(SUM(
IF('TL01'!$B$3=Q$3,SUMIF('TL01'!$C$10:$C$224,$C411,'TL01'!$J$10:$J$224),0),
IF('TL01'!$B$229=Q$3,SUMIF('TL01'!$C$238:$C$451,$C411,'TL01'!$J$238:$J$451),0),
IF('TL02'!$B$3=Q$3,SUMIF('TL02'!$C$10:$C$224,$C411,'TL02'!$J$10:$J$224),0),
IF('TL02'!$B$229=Q$3,SUMIF('TL02'!$C$238:$C$451,$C411,'TL02'!$J$238:$J$451),0),
IF('TL03'!$B$3=Q$3,SUMIF('TL03'!$C$10:$C$224,$C411,'TL03'!$J$10:$J$224),0),
IF('TL03'!$B$229=Q$3,SUMIF('TL03'!$C$238:$C$451,$C411,'TL03'!$J$238:$J$451),0),
IF('TL04'!$B$3=Q$3,SUMIF('TL04'!$C$10:$C$224,$C411,'TL04'!$J$10:$J$224),0),
IF('TL04'!$B$229=Q$3,SUMIF('TL04'!$C$238:$C$451,$C411,'TL04'!$J$238:$J$451),0),
IF('TL05'!$B$3=Q$3,SUMIF('TL05'!$C$10:$C$224,$C411,'TL05'!$J$10:$J$224),0),
IF('TL05'!$B$229=Q$3,SUMIF('TL05'!$C$238:$C$451,$C411,'TL05'!$J$238:$J$451),0),
IF('TL06'!$B$3=Q$3,SUMIF('TL06'!$C$10:$C$224,$C411,'TL06'!$J$10:$J$224),0),
IF('TL06'!$B$229=Q$3,SUMIF('TL06'!$C$238:$C$451,$C411,'TL06'!$J$238:$J$451),0),
IF('TL07'!$B$3=Q$3,SUMIF('TL07'!$C$10:$C$224,$C411,'TL07'!$J$10:$J$224),0),
IF('TL07'!$B$229=Q$3,SUMIF('TL07'!$C$238:$C$451,$C411,'TL07'!$J$238:$J$451),0),
IF('TL08'!$B$3=Q$3,SUMIF('TL08'!$C$10:$C$224,$C411,'TL08'!$J$10:$J$224),0),
IF('TL08'!$B$229=Q$3,SUMIF('TL08'!$C$238:$C$451,$C411,'TL08'!$J$238:$J$451),0),
IF('TL09'!$B$3=Q$3,SUMIF('TL09'!$C$10:$C$224,$C411,'TL09'!$J$10:$J$224),0),
IF('TL09'!$B$229=Q$3,SUMIF('TL09'!$C$238:$C$451,$C411,'TL09'!$J$238:$J$451),0),
IF('TL10'!$B$3=Q$3,SUMIF('TL10'!$C$10:$C$224,$C411,'TL10'!$J$10:$J$224),0),
IF('TL10'!$B$229=Q$3,SUMIF('TL10'!$C$238:$C$451,$C411,'TL10'!$J$238:$J$451),0),
IF('TL11'!$B$3=Q$3,SUMIF('TL11'!$C$10:$C$224,$C411,'TL11'!$J$10:$J$224),0),
IF('TL11'!$B$229=Q$3,SUMIF('TL11'!$C$238:$C$451,$C411,'TL11'!$J$238:$J$451),0),
IF('TL12'!$B$3=Q$3,SUMIF('TL12'!$C$10:$C$224,$C411,'TL12'!$J$10:$J$224),0),
IF('TL12'!$B$229=Q$3,SUMIF('TL12'!$C$238:$C$451,$C411,'TL12'!$J$238:$J$451),0),
IF('TL13'!$B$3=Q$3,SUMIF('TL13'!$C$10:$C$224,$C411,'TL13'!$J$10:$J$224),0),
IF('TL13'!$B$229=Q$3,SUMIF('TL13'!$C$238:$C$451,$C411,'TL13'!$J$238:$J$451),0),
IF('TL14'!$B$3=Q$3,SUMIF('TL14'!$C$10:$C$224,$C411,'TL14'!$J$10:$J$224),0),
IF('TL14'!$B$229=Q$3,SUMIF('TL14'!$C$238:$C$451,$C411,'TL14'!$J$238:$J$451),0),
IF('TL15'!$B$3=Q$3,SUMIF('TL15'!$C$10:$C$224,$C411,'TL15'!$J$10:$J$224),0),
IF('TL15'!$B$229=Q$3,SUMIF('TL15'!$C$238:$C$451,$C411,'TL15'!$J$238:$J$451),0),
IF('TL16'!$B$3=Q$3,SUMIF('TL16'!$C$10:$C$224,$C411,'TL16'!$J$10:$J$224),0),
IF('TL16'!$B$229=Q$3,SUMIF('TL16'!$C$238:$C$451,$C411,'TL16'!$J$238:$J$451),0),
IF('TL17'!$B$3=Q$3,SUMIF('TL17'!$C$10:$C$224,$C411,'TL17'!$J$10:$J$224),0),
IF('TL17'!$B$229=Q$3,SUMIF('TL17'!$C$238:$C$451,$C411,'TL17'!$J$238:$J$451),0),
IF('TL18'!$B$3=Q$3,SUMIF('TL18'!$C$10:$C$224,$C411,'TL18'!$J$10:$J$224),0),
IF('TL18'!$B$229=Q$3,SUMIF('TL18'!$C$238:$C$451,$C411,'TL18'!$J$238:$J$451),0),
IF('TL19'!$B$3=Q$3,SUMIF('TL19'!$C$10:$C$224,$C411,'TL19'!$J$10:$J$224),0),
IF('TL19'!$B$229=Q$3,SUMIF('TL19'!$C$238:$C$451,$C411,'TL19'!$J$238:$J$451),0)
),0)</f>
        <v>0</v>
      </c>
      <c r="R411" s="139">
        <f>IFERROR(
SUM(
SUMIF('TL01'!C:C,C411,'TL01'!J:J),
SUMIF('TL02'!C:C,C411,'TL02'!I:I),
SUMIF('TL03'!C:C,C411,'TL03'!I:I),
SUMIF('TL04'!C:C,C411,'TL04'!I:I),
SUMIF('TL05'!C:C,C411,'TL05'!I:I),
SUMIF('TL06'!C:C,C411,'TL06'!I:I),
SUMIF('TL07'!C:C,C411,'TL07'!I:I),
SUMIF('TL08'!C:C,C411,'TL08'!I:I),
SUMIF('TL09'!C:C,C411,'TL09'!I:I),
SUMIF('TL10'!C:C,C411,'TL10'!I:I),
SUMIF('TL11'!C:C,C411,'TL11'!I:I),
SUMIF('TL12'!C:C,C411,'TL12'!I:I),
SUMIF('TL13'!C:C,C411,'TL13'!I:I),
SUMIF('TL14'!C:C,C411,'TL14'!I:I),
SUMIF('TL15'!C:C,C411,'TL15'!I:I),
SUMIF('TL16'!C:C,C411,'TL16'!I:I),
SUMIF('TL17'!C:C,C411,'TL17'!I:I),
SUMIF('TL18'!C:C,C411,'TL18'!I:I))
,0)</f>
        <v>0</v>
      </c>
      <c r="S411" s="142">
        <f>'CUSTO OPERAÇÃO'!M15</f>
        <v>225</v>
      </c>
      <c r="T411" s="139"/>
      <c r="U411" s="143">
        <f t="shared" si="2"/>
        <v>0</v>
      </c>
      <c r="V411" s="144">
        <f t="shared" si="3"/>
        <v>0</v>
      </c>
    </row>
    <row r="412" ht="15.75" hidden="1" customHeight="1">
      <c r="A412" s="145"/>
      <c r="B412" s="146" t="s">
        <v>10</v>
      </c>
      <c r="C412" s="147" t="str">
        <f>'CUSTO OPERAÇÃO'!D16</f>
        <v>COLHETADEIRA - CASE 2388 + CASE 30PES</v>
      </c>
      <c r="D412" s="147"/>
      <c r="E412" s="148"/>
      <c r="F412" s="138" t="s">
        <v>1133</v>
      </c>
      <c r="G412" s="139"/>
      <c r="H412" s="140">
        <f>'CUSTO OPERAÇÃO'!J16</f>
        <v>0.2614379085</v>
      </c>
      <c r="I412" s="149"/>
      <c r="J412" s="147">
        <f>IFERROR(SUM(
IF('TL01'!$B$3=J$3,SUMIF('TL01'!$C$10:$C$224,$C412,'TL01'!$J$10:$J$224),0),
IF('TL01'!$B$229=J$3,SUMIF('TL01'!$C$238:$C$451,$C412,'TL01'!$J$238:$J$451),0),
IF('TL02'!$B$3=J$3,SUMIF('TL02'!$C$10:$C$224,$C412,'TL02'!$J$10:$J$224),0),
IF('TL02'!$B$229=J$3,SUMIF('TL02'!$C$238:$C$451,$C412,'TL02'!$J$238:$J$451),0),
IF('TL03'!$B$3=J$3,SUMIF('TL03'!$C$10:$C$224,$C412,'TL03'!$J$10:$J$224),0),
IF('TL03'!$B$229=J$3,SUMIF('TL03'!$C$238:$C$451,$C412,'TL03'!$J$238:$J$451),0),
IF('TL04'!$B$3=J$3,SUMIF('TL04'!$C$10:$C$224,$C412,'TL04'!$J$10:$J$224),0),
IF('TL04'!$B$229=J$3,SUMIF('TL04'!$C$238:$C$451,$C412,'TL04'!$J$238:$J$451),0),
IF('TL05'!$B$3=J$3,SUMIF('TL05'!$C$10:$C$224,$C412,'TL05'!$J$10:$J$224),0),
IF('TL05'!$B$229=J$3,SUMIF('TL05'!$C$238:$C$451,$C412,'TL05'!$J$238:$J$451),0),
IF('TL06'!$B$3=J$3,SUMIF('TL06'!$C$10:$C$224,$C412,'TL06'!$J$10:$J$224),0),
IF('TL06'!$B$229=J$3,SUMIF('TL06'!$C$238:$C$451,$C412,'TL06'!$J$238:$J$451),0),
IF('TL07'!$B$3=J$3,SUMIF('TL07'!$C$10:$C$224,$C412,'TL07'!$J$10:$J$224),0),
IF('TL07'!$B$229=J$3,SUMIF('TL07'!$C$238:$C$451,$C412,'TL07'!$J$238:$J$451),0),
IF('TL08'!$B$3=J$3,SUMIF('TL08'!$C$10:$C$224,$C412,'TL08'!$J$10:$J$224),0),
IF('TL08'!$B$229=J$3,SUMIF('TL08'!$C$238:$C$451,$C412,'TL08'!$J$238:$J$451),0),
IF('TL09'!$B$3=J$3,SUMIF('TL09'!$C$10:$C$224,$C412,'TL09'!$J$10:$J$224),0),
IF('TL09'!$B$229=J$3,SUMIF('TL09'!$C$238:$C$451,$C412,'TL09'!$J$238:$J$451),0),
IF('TL10'!$B$3=J$3,SUMIF('TL10'!$C$10:$C$224,$C412,'TL10'!$J$10:$J$224),0),
IF('TL10'!$B$229=J$3,SUMIF('TL10'!$C$238:$C$451,$C412,'TL10'!$J$238:$J$451),0),
IF('TL11'!$B$3=J$3,SUMIF('TL11'!$C$10:$C$224,$C412,'TL11'!$J$10:$J$224),0),
IF('TL11'!$B$229=J$3,SUMIF('TL11'!$C$238:$C$451,$C412,'TL11'!$J$238:$J$451),0),
IF('TL12'!$B$3=J$3,SUMIF('TL12'!$C$10:$C$224,$C412,'TL12'!$J$10:$J$224),0),
IF('TL12'!$B$229=J$3,SUMIF('TL12'!$C$238:$C$451,$C412,'TL12'!$J$238:$J$451),0),
IF('TL13'!$B$3=J$3,SUMIF('TL13'!$C$10:$C$224,$C412,'TL13'!$J$10:$J$224),0),
IF('TL13'!$B$229=J$3,SUMIF('TL13'!$C$238:$C$451,$C412,'TL13'!$J$238:$J$451),0),
IF('TL14'!$B$3=J$3,SUMIF('TL14'!$C$10:$C$224,$C412,'TL14'!$J$10:$J$224),0),
IF('TL14'!$B$229=J$3,SUMIF('TL14'!$C$238:$C$451,$C412,'TL14'!$J$238:$J$451),0),
IF('TL15'!$B$3=J$3,SUMIF('TL15'!$C$10:$C$224,$C412,'TL15'!$J$10:$J$224),0),
IF('TL15'!$B$229=J$3,SUMIF('TL15'!$C$238:$C$451,$C412,'TL15'!$J$238:$J$451),0),
IF('TL16'!$B$3=J$3,SUMIF('TL16'!$C$10:$C$224,$C412,'TL16'!$J$10:$J$224),0),
IF('TL16'!$B$229=J$3,SUMIF('TL16'!$C$238:$C$451,$C412,'TL16'!$J$238:$J$451),0),
IF('TL17'!$B$3=J$3,SUMIF('TL17'!$C$10:$C$224,$C412,'TL17'!$J$10:$J$224),0),
IF('TL17'!$B$229=J$3,SUMIF('TL17'!$C$238:$C$451,$C412,'TL17'!$J$238:$J$451),0),
IF('TL18'!$B$3=J$3,SUMIF('TL18'!$C$10:$C$224,$C412,'TL18'!$J$10:$J$224),0),
IF('TL18'!$B$229=J$3,SUMIF('TL18'!$C$238:$C$451,$C412,'TL18'!$J$238:$J$451),0),
IF('TL19'!$B$3=J$3,SUMIF('TL19'!$C$10:$C$224,$C412,'TL19'!$J$10:$J$224),0),
IF('TL19'!$B$229=J$3,SUMIF('TL19'!$C$238:$C$451,$C412,'TL19'!$J$238:$J$451),0)
),0)</f>
        <v>0</v>
      </c>
      <c r="K412" s="147">
        <f>IFERROR(SUM(
IF('TL01'!$B$3=K$3,SUMIF('TL01'!$C$10:$C$224,$C412,'TL01'!$J$10:$J$224),0),
IF('TL01'!$B$229=K$3,SUMIF('TL01'!$C$238:$C$451,$C412,'TL01'!$J$238:$J$451),0),
IF('TL02'!$B$3=K$3,SUMIF('TL02'!$C$10:$C$224,$C412,'TL02'!$J$10:$J$224),0),
IF('TL02'!$B$229=K$3,SUMIF('TL02'!$C$238:$C$451,$C412,'TL02'!$J$238:$J$451),0),
IF('TL03'!$B$3=K$3,SUMIF('TL03'!$C$10:$C$224,$C412,'TL03'!$J$10:$J$224),0),
IF('TL03'!$B$229=K$3,SUMIF('TL03'!$C$238:$C$451,$C412,'TL03'!$J$238:$J$451),0),
IF('TL04'!$B$3=K$3,SUMIF('TL04'!$C$10:$C$224,$C412,'TL04'!$J$10:$J$224),0),
IF('TL04'!$B$229=K$3,SUMIF('TL04'!$C$238:$C$451,$C412,'TL04'!$J$238:$J$451),0),
IF('TL05'!$B$3=K$3,SUMIF('TL05'!$C$10:$C$224,$C412,'TL05'!$J$10:$J$224),0),
IF('TL05'!$B$229=K$3,SUMIF('TL05'!$C$238:$C$451,$C412,'TL05'!$J$238:$J$451),0),
IF('TL06'!$B$3=K$3,SUMIF('TL06'!$C$10:$C$224,$C412,'TL06'!$J$10:$J$224),0),
IF('TL06'!$B$229=K$3,SUMIF('TL06'!$C$238:$C$451,$C412,'TL06'!$J$238:$J$451),0),
IF('TL07'!$B$3=K$3,SUMIF('TL07'!$C$10:$C$224,$C412,'TL07'!$J$10:$J$224),0),
IF('TL07'!$B$229=K$3,SUMIF('TL07'!$C$238:$C$451,$C412,'TL07'!$J$238:$J$451),0),
IF('TL08'!$B$3=K$3,SUMIF('TL08'!$C$10:$C$224,$C412,'TL08'!$J$10:$J$224),0),
IF('TL08'!$B$229=K$3,SUMIF('TL08'!$C$238:$C$451,$C412,'TL08'!$J$238:$J$451),0),
IF('TL09'!$B$3=K$3,SUMIF('TL09'!$C$10:$C$224,$C412,'TL09'!$J$10:$J$224),0),
IF('TL09'!$B$229=K$3,SUMIF('TL09'!$C$238:$C$451,$C412,'TL09'!$J$238:$J$451),0),
IF('TL10'!$B$3=K$3,SUMIF('TL10'!$C$10:$C$224,$C412,'TL10'!$J$10:$J$224),0),
IF('TL10'!$B$229=K$3,SUMIF('TL10'!$C$238:$C$451,$C412,'TL10'!$J$238:$J$451),0),
IF('TL11'!$B$3=K$3,SUMIF('TL11'!$C$10:$C$224,$C412,'TL11'!$J$10:$J$224),0),
IF('TL11'!$B$229=K$3,SUMIF('TL11'!$C$238:$C$451,$C412,'TL11'!$J$238:$J$451),0),
IF('TL12'!$B$3=K$3,SUMIF('TL12'!$C$10:$C$224,$C412,'TL12'!$J$10:$J$224),0),
IF('TL12'!$B$229=K$3,SUMIF('TL12'!$C$238:$C$451,$C412,'TL12'!$J$238:$J$451),0),
IF('TL13'!$B$3=K$3,SUMIF('TL13'!$C$10:$C$224,$C412,'TL13'!$J$10:$J$224),0),
IF('TL13'!$B$229=K$3,SUMIF('TL13'!$C$238:$C$451,$C412,'TL13'!$J$238:$J$451),0),
IF('TL14'!$B$3=K$3,SUMIF('TL14'!$C$10:$C$224,$C412,'TL14'!$J$10:$J$224),0),
IF('TL14'!$B$229=K$3,SUMIF('TL14'!$C$238:$C$451,$C412,'TL14'!$J$238:$J$451),0),
IF('TL15'!$B$3=K$3,SUMIF('TL15'!$C$10:$C$224,$C412,'TL15'!$J$10:$J$224),0),
IF('TL15'!$B$229=K$3,SUMIF('TL15'!$C$238:$C$451,$C412,'TL15'!$J$238:$J$451),0),
IF('TL16'!$B$3=K$3,SUMIF('TL16'!$C$10:$C$224,$C412,'TL16'!$J$10:$J$224),0),
IF('TL16'!$B$229=K$3,SUMIF('TL16'!$C$238:$C$451,$C412,'TL16'!$J$238:$J$451),0),
IF('TL17'!$B$3=K$3,SUMIF('TL17'!$C$10:$C$224,$C412,'TL17'!$J$10:$J$224),0),
IF('TL17'!$B$229=K$3,SUMIF('TL17'!$C$238:$C$451,$C412,'TL17'!$J$238:$J$451),0),
IF('TL18'!$B$3=K$3,SUMIF('TL18'!$C$10:$C$224,$C412,'TL18'!$J$10:$J$224),0),
IF('TL18'!$B$229=K$3,SUMIF('TL18'!$C$238:$C$451,$C412,'TL18'!$J$238:$J$451),0),
IF('TL19'!$B$3=K$3,SUMIF('TL19'!$C$10:$C$224,$C412,'TL19'!$J$10:$J$224),0),
IF('TL19'!$B$229=K$3,SUMIF('TL19'!$C$238:$C$451,$C412,'TL19'!$J$238:$J$451),0)
),0)</f>
        <v>0</v>
      </c>
      <c r="L412" s="147">
        <f>IFERROR(SUM(
IF('TL01'!$B$3=L$3,SUMIF('TL01'!$C$10:$C$224,$C412,'TL01'!$J$10:$J$224),0),
IF('TL01'!$B$229=L$3,SUMIF('TL01'!$C$238:$C$451,$C412,'TL01'!$J$238:$J$451),0),
IF('TL02'!$B$3=L$3,SUMIF('TL02'!$C$10:$C$224,$C412,'TL02'!$J$10:$J$224),0),
IF('TL02'!$B$229=L$3,SUMIF('TL02'!$C$238:$C$451,$C412,'TL02'!$J$238:$J$451),0),
IF('TL03'!$B$3=L$3,SUMIF('TL03'!$C$10:$C$224,$C412,'TL03'!$J$10:$J$224),0),
IF('TL03'!$B$229=L$3,SUMIF('TL03'!$C$238:$C$451,$C412,'TL03'!$J$238:$J$451),0),
IF('TL04'!$B$3=L$3,SUMIF('TL04'!$C$10:$C$224,$C412,'TL04'!$J$10:$J$224),0),
IF('TL04'!$B$229=L$3,SUMIF('TL04'!$C$238:$C$451,$C412,'TL04'!$J$238:$J$451),0),
IF('TL05'!$B$3=L$3,SUMIF('TL05'!$C$10:$C$224,$C412,'TL05'!$J$10:$J$224),0),
IF('TL05'!$B$229=L$3,SUMIF('TL05'!$C$238:$C$451,$C412,'TL05'!$J$238:$J$451),0),
IF('TL06'!$B$3=L$3,SUMIF('TL06'!$C$10:$C$224,$C412,'TL06'!$J$10:$J$224),0),
IF('TL06'!$B$229=L$3,SUMIF('TL06'!$C$238:$C$451,$C412,'TL06'!$J$238:$J$451),0),
IF('TL07'!$B$3=L$3,SUMIF('TL07'!$C$10:$C$224,$C412,'TL07'!$J$10:$J$224),0),
IF('TL07'!$B$229=L$3,SUMIF('TL07'!$C$238:$C$451,$C412,'TL07'!$J$238:$J$451),0),
IF('TL08'!$B$3=L$3,SUMIF('TL08'!$C$10:$C$224,$C412,'TL08'!$J$10:$J$224),0),
IF('TL08'!$B$229=L$3,SUMIF('TL08'!$C$238:$C$451,$C412,'TL08'!$J$238:$J$451),0),
IF('TL09'!$B$3=L$3,SUMIF('TL09'!$C$10:$C$224,$C412,'TL09'!$J$10:$J$224),0),
IF('TL09'!$B$229=L$3,SUMIF('TL09'!$C$238:$C$451,$C412,'TL09'!$J$238:$J$451),0),
IF('TL10'!$B$3=L$3,SUMIF('TL10'!$C$10:$C$224,$C412,'TL10'!$J$10:$J$224),0),
IF('TL10'!$B$229=L$3,SUMIF('TL10'!$C$238:$C$451,$C412,'TL10'!$J$238:$J$451),0),
IF('TL11'!$B$3=L$3,SUMIF('TL11'!$C$10:$C$224,$C412,'TL11'!$J$10:$J$224),0),
IF('TL11'!$B$229=L$3,SUMIF('TL11'!$C$238:$C$451,$C412,'TL11'!$J$238:$J$451),0),
IF('TL12'!$B$3=L$3,SUMIF('TL12'!$C$10:$C$224,$C412,'TL12'!$J$10:$J$224),0),
IF('TL12'!$B$229=L$3,SUMIF('TL12'!$C$238:$C$451,$C412,'TL12'!$J$238:$J$451),0),
IF('TL13'!$B$3=L$3,SUMIF('TL13'!$C$10:$C$224,$C412,'TL13'!$J$10:$J$224),0),
IF('TL13'!$B$229=L$3,SUMIF('TL13'!$C$238:$C$451,$C412,'TL13'!$J$238:$J$451),0),
IF('TL14'!$B$3=L$3,SUMIF('TL14'!$C$10:$C$224,$C412,'TL14'!$J$10:$J$224),0),
IF('TL14'!$B$229=L$3,SUMIF('TL14'!$C$238:$C$451,$C412,'TL14'!$J$238:$J$451),0),
IF('TL15'!$B$3=L$3,SUMIF('TL15'!$C$10:$C$224,$C412,'TL15'!$J$10:$J$224),0),
IF('TL15'!$B$229=L$3,SUMIF('TL15'!$C$238:$C$451,$C412,'TL15'!$J$238:$J$451),0),
IF('TL16'!$B$3=L$3,SUMIF('TL16'!$C$10:$C$224,$C412,'TL16'!$J$10:$J$224),0),
IF('TL16'!$B$229=L$3,SUMIF('TL16'!$C$238:$C$451,$C412,'TL16'!$J$238:$J$451),0),
IF('TL17'!$B$3=L$3,SUMIF('TL17'!$C$10:$C$224,$C412,'TL17'!$J$10:$J$224),0),
IF('TL17'!$B$229=L$3,SUMIF('TL17'!$C$238:$C$451,$C412,'TL17'!$J$238:$J$451),0),
IF('TL18'!$B$3=L$3,SUMIF('TL18'!$C$10:$C$224,$C412,'TL18'!$J$10:$J$224),0),
IF('TL18'!$B$229=L$3,SUMIF('TL18'!$C$238:$C$451,$C412,'TL18'!$J$238:$J$451),0),
IF('TL19'!$B$3=L$3,SUMIF('TL19'!$C$10:$C$224,$C412,'TL19'!$J$10:$J$224),0),
IF('TL19'!$B$229=L$3,SUMIF('TL19'!$C$238:$C$451,$C412,'TL19'!$J$238:$J$451),0)
),0)</f>
        <v>0</v>
      </c>
      <c r="M412" s="147">
        <f>IFERROR(SUM(
IF('TL01'!$B$3=M$3,SUMIF('TL01'!$C$10:$C$224,$C412,'TL01'!$J$10:$J$224),0),
IF('TL01'!$B$229=M$3,SUMIF('TL01'!$C$238:$C$451,$C412,'TL01'!$J$238:$J$451),0),
IF('TL02'!$B$3=M$3,SUMIF('TL02'!$C$10:$C$224,$C412,'TL02'!$J$10:$J$224),0),
IF('TL02'!$B$229=M$3,SUMIF('TL02'!$C$238:$C$451,$C412,'TL02'!$J$238:$J$451),0),
IF('TL03'!$B$3=M$3,SUMIF('TL03'!$C$10:$C$224,$C412,'TL03'!$J$10:$J$224),0),
IF('TL03'!$B$229=M$3,SUMIF('TL03'!$C$238:$C$451,$C412,'TL03'!$J$238:$J$451),0),
IF('TL04'!$B$3=M$3,SUMIF('TL04'!$C$10:$C$224,$C412,'TL04'!$J$10:$J$224),0),
IF('TL04'!$B$229=M$3,SUMIF('TL04'!$C$238:$C$451,$C412,'TL04'!$J$238:$J$451),0),
IF('TL05'!$B$3=M$3,SUMIF('TL05'!$C$10:$C$224,$C412,'TL05'!$J$10:$J$224),0),
IF('TL05'!$B$229=M$3,SUMIF('TL05'!$C$238:$C$451,$C412,'TL05'!$J$238:$J$451),0),
IF('TL06'!$B$3=M$3,SUMIF('TL06'!$C$10:$C$224,$C412,'TL06'!$J$10:$J$224),0),
IF('TL06'!$B$229=M$3,SUMIF('TL06'!$C$238:$C$451,$C412,'TL06'!$J$238:$J$451),0),
IF('TL07'!$B$3=M$3,SUMIF('TL07'!$C$10:$C$224,$C412,'TL07'!$J$10:$J$224),0),
IF('TL07'!$B$229=M$3,SUMIF('TL07'!$C$238:$C$451,$C412,'TL07'!$J$238:$J$451),0),
IF('TL08'!$B$3=M$3,SUMIF('TL08'!$C$10:$C$224,$C412,'TL08'!$J$10:$J$224),0),
IF('TL08'!$B$229=M$3,SUMIF('TL08'!$C$238:$C$451,$C412,'TL08'!$J$238:$J$451),0),
IF('TL09'!$B$3=M$3,SUMIF('TL09'!$C$10:$C$224,$C412,'TL09'!$J$10:$J$224),0),
IF('TL09'!$B$229=M$3,SUMIF('TL09'!$C$238:$C$451,$C412,'TL09'!$J$238:$J$451),0),
IF('TL10'!$B$3=M$3,SUMIF('TL10'!$C$10:$C$224,$C412,'TL10'!$J$10:$J$224),0),
IF('TL10'!$B$229=M$3,SUMIF('TL10'!$C$238:$C$451,$C412,'TL10'!$J$238:$J$451),0),
IF('TL11'!$B$3=M$3,SUMIF('TL11'!$C$10:$C$224,$C412,'TL11'!$J$10:$J$224),0),
IF('TL11'!$B$229=M$3,SUMIF('TL11'!$C$238:$C$451,$C412,'TL11'!$J$238:$J$451),0),
IF('TL12'!$B$3=M$3,SUMIF('TL12'!$C$10:$C$224,$C412,'TL12'!$J$10:$J$224),0),
IF('TL12'!$B$229=M$3,SUMIF('TL12'!$C$238:$C$451,$C412,'TL12'!$J$238:$J$451),0),
IF('TL13'!$B$3=M$3,SUMIF('TL13'!$C$10:$C$224,$C412,'TL13'!$J$10:$J$224),0),
IF('TL13'!$B$229=M$3,SUMIF('TL13'!$C$238:$C$451,$C412,'TL13'!$J$238:$J$451),0),
IF('TL14'!$B$3=M$3,SUMIF('TL14'!$C$10:$C$224,$C412,'TL14'!$J$10:$J$224),0),
IF('TL14'!$B$229=M$3,SUMIF('TL14'!$C$238:$C$451,$C412,'TL14'!$J$238:$J$451),0),
IF('TL15'!$B$3=M$3,SUMIF('TL15'!$C$10:$C$224,$C412,'TL15'!$J$10:$J$224),0),
IF('TL15'!$B$229=M$3,SUMIF('TL15'!$C$238:$C$451,$C412,'TL15'!$J$238:$J$451),0),
IF('TL16'!$B$3=M$3,SUMIF('TL16'!$C$10:$C$224,$C412,'TL16'!$J$10:$J$224),0),
IF('TL16'!$B$229=M$3,SUMIF('TL16'!$C$238:$C$451,$C412,'TL16'!$J$238:$J$451),0),
IF('TL17'!$B$3=M$3,SUMIF('TL17'!$C$10:$C$224,$C412,'TL17'!$J$10:$J$224),0),
IF('TL17'!$B$229=M$3,SUMIF('TL17'!$C$238:$C$451,$C412,'TL17'!$J$238:$J$451),0),
IF('TL18'!$B$3=M$3,SUMIF('TL18'!$C$10:$C$224,$C412,'TL18'!$J$10:$J$224),0),
IF('TL18'!$B$229=M$3,SUMIF('TL18'!$C$238:$C$451,$C412,'TL18'!$J$238:$J$451),0),
IF('TL19'!$B$3=M$3,SUMIF('TL19'!$C$10:$C$224,$C412,'TL19'!$J$10:$J$224),0),
IF('TL19'!$B$229=M$3,SUMIF('TL19'!$C$238:$C$451,$C412,'TL19'!$J$238:$J$451),0)
),0)</f>
        <v>0</v>
      </c>
      <c r="N412" s="147">
        <f>IFERROR(SUM(
IF('TL01'!$B$3=N$3,SUMIF('TL01'!$C$10:$C$224,$C412,'TL01'!$J$10:$J$224),0),
IF('TL01'!$B$229=N$3,SUMIF('TL01'!$C$238:$C$451,$C412,'TL01'!$J$238:$J$451),0),
IF('TL02'!$B$3=N$3,SUMIF('TL02'!$C$10:$C$224,$C412,'TL02'!$J$10:$J$224),0),
IF('TL02'!$B$229=N$3,SUMIF('TL02'!$C$238:$C$451,$C412,'TL02'!$J$238:$J$451),0),
IF('TL03'!$B$3=N$3,SUMIF('TL03'!$C$10:$C$224,$C412,'TL03'!$J$10:$J$224),0),
IF('TL03'!$B$229=N$3,SUMIF('TL03'!$C$238:$C$451,$C412,'TL03'!$J$238:$J$451),0),
IF('TL04'!$B$3=N$3,SUMIF('TL04'!$C$10:$C$224,$C412,'TL04'!$J$10:$J$224),0),
IF('TL04'!$B$229=N$3,SUMIF('TL04'!$C$238:$C$451,$C412,'TL04'!$J$238:$J$451),0),
IF('TL05'!$B$3=N$3,SUMIF('TL05'!$C$10:$C$224,$C412,'TL05'!$J$10:$J$224),0),
IF('TL05'!$B$229=N$3,SUMIF('TL05'!$C$238:$C$451,$C412,'TL05'!$J$238:$J$451),0),
IF('TL06'!$B$3=N$3,SUMIF('TL06'!$C$10:$C$224,$C412,'TL06'!$J$10:$J$224),0),
IF('TL06'!$B$229=N$3,SUMIF('TL06'!$C$238:$C$451,$C412,'TL06'!$J$238:$J$451),0),
IF('TL07'!$B$3=N$3,SUMIF('TL07'!$C$10:$C$224,$C412,'TL07'!$J$10:$J$224),0),
IF('TL07'!$B$229=N$3,SUMIF('TL07'!$C$238:$C$451,$C412,'TL07'!$J$238:$J$451),0),
IF('TL08'!$B$3=N$3,SUMIF('TL08'!$C$10:$C$224,$C412,'TL08'!$J$10:$J$224),0),
IF('TL08'!$B$229=N$3,SUMIF('TL08'!$C$238:$C$451,$C412,'TL08'!$J$238:$J$451),0),
IF('TL09'!$B$3=N$3,SUMIF('TL09'!$C$10:$C$224,$C412,'TL09'!$J$10:$J$224),0),
IF('TL09'!$B$229=N$3,SUMIF('TL09'!$C$238:$C$451,$C412,'TL09'!$J$238:$J$451),0),
IF('TL10'!$B$3=N$3,SUMIF('TL10'!$C$10:$C$224,$C412,'TL10'!$J$10:$J$224),0),
IF('TL10'!$B$229=N$3,SUMIF('TL10'!$C$238:$C$451,$C412,'TL10'!$J$238:$J$451),0),
IF('TL11'!$B$3=N$3,SUMIF('TL11'!$C$10:$C$224,$C412,'TL11'!$J$10:$J$224),0),
IF('TL11'!$B$229=N$3,SUMIF('TL11'!$C$238:$C$451,$C412,'TL11'!$J$238:$J$451),0),
IF('TL12'!$B$3=N$3,SUMIF('TL12'!$C$10:$C$224,$C412,'TL12'!$J$10:$J$224),0),
IF('TL12'!$B$229=N$3,SUMIF('TL12'!$C$238:$C$451,$C412,'TL12'!$J$238:$J$451),0),
IF('TL13'!$B$3=N$3,SUMIF('TL13'!$C$10:$C$224,$C412,'TL13'!$J$10:$J$224),0),
IF('TL13'!$B$229=N$3,SUMIF('TL13'!$C$238:$C$451,$C412,'TL13'!$J$238:$J$451),0),
IF('TL14'!$B$3=N$3,SUMIF('TL14'!$C$10:$C$224,$C412,'TL14'!$J$10:$J$224),0),
IF('TL14'!$B$229=N$3,SUMIF('TL14'!$C$238:$C$451,$C412,'TL14'!$J$238:$J$451),0),
IF('TL15'!$B$3=N$3,SUMIF('TL15'!$C$10:$C$224,$C412,'TL15'!$J$10:$J$224),0),
IF('TL15'!$B$229=N$3,SUMIF('TL15'!$C$238:$C$451,$C412,'TL15'!$J$238:$J$451),0),
IF('TL16'!$B$3=N$3,SUMIF('TL16'!$C$10:$C$224,$C412,'TL16'!$J$10:$J$224),0),
IF('TL16'!$B$229=N$3,SUMIF('TL16'!$C$238:$C$451,$C412,'TL16'!$J$238:$J$451),0),
IF('TL17'!$B$3=N$3,SUMIF('TL17'!$C$10:$C$224,$C412,'TL17'!$J$10:$J$224),0),
IF('TL17'!$B$229=N$3,SUMIF('TL17'!$C$238:$C$451,$C412,'TL17'!$J$238:$J$451),0),
IF('TL18'!$B$3=N$3,SUMIF('TL18'!$C$10:$C$224,$C412,'TL18'!$J$10:$J$224),0),
IF('TL18'!$B$229=N$3,SUMIF('TL18'!$C$238:$C$451,$C412,'TL18'!$J$238:$J$451),0),
IF('TL19'!$B$3=N$3,SUMIF('TL19'!$C$10:$C$224,$C412,'TL19'!$J$10:$J$224),0),
IF('TL19'!$B$229=N$3,SUMIF('TL19'!$C$238:$C$451,$C412,'TL19'!$J$238:$J$451),0)
),0)</f>
        <v>0</v>
      </c>
      <c r="O412" s="147">
        <f>IFERROR(SUM(
IF('TL01'!$B$3=O$3,SUMIF('TL01'!$C$10:$C$224,$C412,'TL01'!$J$10:$J$224),0),
IF('TL01'!$B$229=O$3,SUMIF('TL01'!$C$238:$C$451,$C412,'TL01'!$J$238:$J$451),0),
IF('TL02'!$B$3=O$3,SUMIF('TL02'!$C$10:$C$224,$C412,'TL02'!$J$10:$J$224),0),
IF('TL02'!$B$229=O$3,SUMIF('TL02'!$C$238:$C$451,$C412,'TL02'!$J$238:$J$451),0),
IF('TL03'!$B$3=O$3,SUMIF('TL03'!$C$10:$C$224,$C412,'TL03'!$J$10:$J$224),0),
IF('TL03'!$B$229=O$3,SUMIF('TL03'!$C$238:$C$451,$C412,'TL03'!$J$238:$J$451),0),
IF('TL04'!$B$3=O$3,SUMIF('TL04'!$C$10:$C$224,$C412,'TL04'!$J$10:$J$224),0),
IF('TL04'!$B$229=O$3,SUMIF('TL04'!$C$238:$C$451,$C412,'TL04'!$J$238:$J$451),0),
IF('TL05'!$B$3=O$3,SUMIF('TL05'!$C$10:$C$224,$C412,'TL05'!$J$10:$J$224),0),
IF('TL05'!$B$229=O$3,SUMIF('TL05'!$C$238:$C$451,$C412,'TL05'!$J$238:$J$451),0),
IF('TL06'!$B$3=O$3,SUMIF('TL06'!$C$10:$C$224,$C412,'TL06'!$J$10:$J$224),0),
IF('TL06'!$B$229=O$3,SUMIF('TL06'!$C$238:$C$451,$C412,'TL06'!$J$238:$J$451),0),
IF('TL07'!$B$3=O$3,SUMIF('TL07'!$C$10:$C$224,$C412,'TL07'!$J$10:$J$224),0),
IF('TL07'!$B$229=O$3,SUMIF('TL07'!$C$238:$C$451,$C412,'TL07'!$J$238:$J$451),0),
IF('TL08'!$B$3=O$3,SUMIF('TL08'!$C$10:$C$224,$C412,'TL08'!$J$10:$J$224),0),
IF('TL08'!$B$229=O$3,SUMIF('TL08'!$C$238:$C$451,$C412,'TL08'!$J$238:$J$451),0),
IF('TL09'!$B$3=O$3,SUMIF('TL09'!$C$10:$C$224,$C412,'TL09'!$J$10:$J$224),0),
IF('TL09'!$B$229=O$3,SUMIF('TL09'!$C$238:$C$451,$C412,'TL09'!$J$238:$J$451),0),
IF('TL10'!$B$3=O$3,SUMIF('TL10'!$C$10:$C$224,$C412,'TL10'!$J$10:$J$224),0),
IF('TL10'!$B$229=O$3,SUMIF('TL10'!$C$238:$C$451,$C412,'TL10'!$J$238:$J$451),0),
IF('TL11'!$B$3=O$3,SUMIF('TL11'!$C$10:$C$224,$C412,'TL11'!$J$10:$J$224),0),
IF('TL11'!$B$229=O$3,SUMIF('TL11'!$C$238:$C$451,$C412,'TL11'!$J$238:$J$451),0),
IF('TL12'!$B$3=O$3,SUMIF('TL12'!$C$10:$C$224,$C412,'TL12'!$J$10:$J$224),0),
IF('TL12'!$B$229=O$3,SUMIF('TL12'!$C$238:$C$451,$C412,'TL12'!$J$238:$J$451),0),
IF('TL13'!$B$3=O$3,SUMIF('TL13'!$C$10:$C$224,$C412,'TL13'!$J$10:$J$224),0),
IF('TL13'!$B$229=O$3,SUMIF('TL13'!$C$238:$C$451,$C412,'TL13'!$J$238:$J$451),0),
IF('TL14'!$B$3=O$3,SUMIF('TL14'!$C$10:$C$224,$C412,'TL14'!$J$10:$J$224),0),
IF('TL14'!$B$229=O$3,SUMIF('TL14'!$C$238:$C$451,$C412,'TL14'!$J$238:$J$451),0),
IF('TL15'!$B$3=O$3,SUMIF('TL15'!$C$10:$C$224,$C412,'TL15'!$J$10:$J$224),0),
IF('TL15'!$B$229=O$3,SUMIF('TL15'!$C$238:$C$451,$C412,'TL15'!$J$238:$J$451),0),
IF('TL16'!$B$3=O$3,SUMIF('TL16'!$C$10:$C$224,$C412,'TL16'!$J$10:$J$224),0),
IF('TL16'!$B$229=O$3,SUMIF('TL16'!$C$238:$C$451,$C412,'TL16'!$J$238:$J$451),0),
IF('TL17'!$B$3=O$3,SUMIF('TL17'!$C$10:$C$224,$C412,'TL17'!$J$10:$J$224),0),
IF('TL17'!$B$229=O$3,SUMIF('TL17'!$C$238:$C$451,$C412,'TL17'!$J$238:$J$451),0),
IF('TL18'!$B$3=O$3,SUMIF('TL18'!$C$10:$C$224,$C412,'TL18'!$J$10:$J$224),0),
IF('TL18'!$B$229=O$3,SUMIF('TL18'!$C$238:$C$451,$C412,'TL18'!$J$238:$J$451),0),
IF('TL19'!$B$3=O$3,SUMIF('TL19'!$C$10:$C$224,$C412,'TL19'!$J$10:$J$224),0),
IF('TL19'!$B$229=O$3,SUMIF('TL19'!$C$238:$C$451,$C412,'TL19'!$J$238:$J$451),0)
),0)</f>
        <v>0</v>
      </c>
      <c r="P412" s="147">
        <f>IFERROR(SUM(
IF('TL01'!$B$3=P$3,SUMIF('TL01'!$C$10:$C$224,$C412,'TL01'!$J$10:$J$224),0),
IF('TL01'!$B$229=P$3,SUMIF('TL01'!$C$238:$C$451,$C412,'TL01'!$J$238:$J$451),0),
IF('TL02'!$B$3=P$3,SUMIF('TL02'!$C$10:$C$224,$C412,'TL02'!$J$10:$J$224),0),
IF('TL02'!$B$229=P$3,SUMIF('TL02'!$C$238:$C$451,$C412,'TL02'!$J$238:$J$451),0),
IF('TL03'!$B$3=P$3,SUMIF('TL03'!$C$10:$C$224,$C412,'TL03'!$J$10:$J$224),0),
IF('TL03'!$B$229=P$3,SUMIF('TL03'!$C$238:$C$451,$C412,'TL03'!$J$238:$J$451),0),
IF('TL04'!$B$3=P$3,SUMIF('TL04'!$C$10:$C$224,$C412,'TL04'!$J$10:$J$224),0),
IF('TL04'!$B$229=P$3,SUMIF('TL04'!$C$238:$C$451,$C412,'TL04'!$J$238:$J$451),0),
IF('TL05'!$B$3=P$3,SUMIF('TL05'!$C$10:$C$224,$C412,'TL05'!$J$10:$J$224),0),
IF('TL05'!$B$229=P$3,SUMIF('TL05'!$C$238:$C$451,$C412,'TL05'!$J$238:$J$451),0),
IF('TL06'!$B$3=P$3,SUMIF('TL06'!$C$10:$C$224,$C412,'TL06'!$J$10:$J$224),0),
IF('TL06'!$B$229=P$3,SUMIF('TL06'!$C$238:$C$451,$C412,'TL06'!$J$238:$J$451),0),
IF('TL07'!$B$3=P$3,SUMIF('TL07'!$C$10:$C$224,$C412,'TL07'!$J$10:$J$224),0),
IF('TL07'!$B$229=P$3,SUMIF('TL07'!$C$238:$C$451,$C412,'TL07'!$J$238:$J$451),0),
IF('TL08'!$B$3=P$3,SUMIF('TL08'!$C$10:$C$224,$C412,'TL08'!$J$10:$J$224),0),
IF('TL08'!$B$229=P$3,SUMIF('TL08'!$C$238:$C$451,$C412,'TL08'!$J$238:$J$451),0),
IF('TL09'!$B$3=P$3,SUMIF('TL09'!$C$10:$C$224,$C412,'TL09'!$J$10:$J$224),0),
IF('TL09'!$B$229=P$3,SUMIF('TL09'!$C$238:$C$451,$C412,'TL09'!$J$238:$J$451),0),
IF('TL10'!$B$3=P$3,SUMIF('TL10'!$C$10:$C$224,$C412,'TL10'!$J$10:$J$224),0),
IF('TL10'!$B$229=P$3,SUMIF('TL10'!$C$238:$C$451,$C412,'TL10'!$J$238:$J$451),0),
IF('TL11'!$B$3=P$3,SUMIF('TL11'!$C$10:$C$224,$C412,'TL11'!$J$10:$J$224),0),
IF('TL11'!$B$229=P$3,SUMIF('TL11'!$C$238:$C$451,$C412,'TL11'!$J$238:$J$451),0),
IF('TL12'!$B$3=P$3,SUMIF('TL12'!$C$10:$C$224,$C412,'TL12'!$J$10:$J$224),0),
IF('TL12'!$B$229=P$3,SUMIF('TL12'!$C$238:$C$451,$C412,'TL12'!$J$238:$J$451),0),
IF('TL13'!$B$3=P$3,SUMIF('TL13'!$C$10:$C$224,$C412,'TL13'!$J$10:$J$224),0),
IF('TL13'!$B$229=P$3,SUMIF('TL13'!$C$238:$C$451,$C412,'TL13'!$J$238:$J$451),0),
IF('TL14'!$B$3=P$3,SUMIF('TL14'!$C$10:$C$224,$C412,'TL14'!$J$10:$J$224),0),
IF('TL14'!$B$229=P$3,SUMIF('TL14'!$C$238:$C$451,$C412,'TL14'!$J$238:$J$451),0),
IF('TL15'!$B$3=P$3,SUMIF('TL15'!$C$10:$C$224,$C412,'TL15'!$J$10:$J$224),0),
IF('TL15'!$B$229=P$3,SUMIF('TL15'!$C$238:$C$451,$C412,'TL15'!$J$238:$J$451),0),
IF('TL16'!$B$3=P$3,SUMIF('TL16'!$C$10:$C$224,$C412,'TL16'!$J$10:$J$224),0),
IF('TL16'!$B$229=P$3,SUMIF('TL16'!$C$238:$C$451,$C412,'TL16'!$J$238:$J$451),0),
IF('TL17'!$B$3=P$3,SUMIF('TL17'!$C$10:$C$224,$C412,'TL17'!$J$10:$J$224),0),
IF('TL17'!$B$229=P$3,SUMIF('TL17'!$C$238:$C$451,$C412,'TL17'!$J$238:$J$451),0),
IF('TL18'!$B$3=P$3,SUMIF('TL18'!$C$10:$C$224,$C412,'TL18'!$J$10:$J$224),0),
IF('TL18'!$B$229=P$3,SUMIF('TL18'!$C$238:$C$451,$C412,'TL18'!$J$238:$J$451),0),
IF('TL19'!$B$3=P$3,SUMIF('TL19'!$C$10:$C$224,$C412,'TL19'!$J$10:$J$224),0),
IF('TL19'!$B$229=P$3,SUMIF('TL19'!$C$238:$C$451,$C412,'TL19'!$J$238:$J$451),0)
),0)</f>
        <v>0</v>
      </c>
      <c r="Q412" s="147">
        <f>IFERROR(SUM(
IF('TL01'!$B$3=Q$3,SUMIF('TL01'!$C$10:$C$224,$C412,'TL01'!$J$10:$J$224),0),
IF('TL01'!$B$229=Q$3,SUMIF('TL01'!$C$238:$C$451,$C412,'TL01'!$J$238:$J$451),0),
IF('TL02'!$B$3=Q$3,SUMIF('TL02'!$C$10:$C$224,$C412,'TL02'!$J$10:$J$224),0),
IF('TL02'!$B$229=Q$3,SUMIF('TL02'!$C$238:$C$451,$C412,'TL02'!$J$238:$J$451),0),
IF('TL03'!$B$3=Q$3,SUMIF('TL03'!$C$10:$C$224,$C412,'TL03'!$J$10:$J$224),0),
IF('TL03'!$B$229=Q$3,SUMIF('TL03'!$C$238:$C$451,$C412,'TL03'!$J$238:$J$451),0),
IF('TL04'!$B$3=Q$3,SUMIF('TL04'!$C$10:$C$224,$C412,'TL04'!$J$10:$J$224),0),
IF('TL04'!$B$229=Q$3,SUMIF('TL04'!$C$238:$C$451,$C412,'TL04'!$J$238:$J$451),0),
IF('TL05'!$B$3=Q$3,SUMIF('TL05'!$C$10:$C$224,$C412,'TL05'!$J$10:$J$224),0),
IF('TL05'!$B$229=Q$3,SUMIF('TL05'!$C$238:$C$451,$C412,'TL05'!$J$238:$J$451),0),
IF('TL06'!$B$3=Q$3,SUMIF('TL06'!$C$10:$C$224,$C412,'TL06'!$J$10:$J$224),0),
IF('TL06'!$B$229=Q$3,SUMIF('TL06'!$C$238:$C$451,$C412,'TL06'!$J$238:$J$451),0),
IF('TL07'!$B$3=Q$3,SUMIF('TL07'!$C$10:$C$224,$C412,'TL07'!$J$10:$J$224),0),
IF('TL07'!$B$229=Q$3,SUMIF('TL07'!$C$238:$C$451,$C412,'TL07'!$J$238:$J$451),0),
IF('TL08'!$B$3=Q$3,SUMIF('TL08'!$C$10:$C$224,$C412,'TL08'!$J$10:$J$224),0),
IF('TL08'!$B$229=Q$3,SUMIF('TL08'!$C$238:$C$451,$C412,'TL08'!$J$238:$J$451),0),
IF('TL09'!$B$3=Q$3,SUMIF('TL09'!$C$10:$C$224,$C412,'TL09'!$J$10:$J$224),0),
IF('TL09'!$B$229=Q$3,SUMIF('TL09'!$C$238:$C$451,$C412,'TL09'!$J$238:$J$451),0),
IF('TL10'!$B$3=Q$3,SUMIF('TL10'!$C$10:$C$224,$C412,'TL10'!$J$10:$J$224),0),
IF('TL10'!$B$229=Q$3,SUMIF('TL10'!$C$238:$C$451,$C412,'TL10'!$J$238:$J$451),0),
IF('TL11'!$B$3=Q$3,SUMIF('TL11'!$C$10:$C$224,$C412,'TL11'!$J$10:$J$224),0),
IF('TL11'!$B$229=Q$3,SUMIF('TL11'!$C$238:$C$451,$C412,'TL11'!$J$238:$J$451),0),
IF('TL12'!$B$3=Q$3,SUMIF('TL12'!$C$10:$C$224,$C412,'TL12'!$J$10:$J$224),0),
IF('TL12'!$B$229=Q$3,SUMIF('TL12'!$C$238:$C$451,$C412,'TL12'!$J$238:$J$451),0),
IF('TL13'!$B$3=Q$3,SUMIF('TL13'!$C$10:$C$224,$C412,'TL13'!$J$10:$J$224),0),
IF('TL13'!$B$229=Q$3,SUMIF('TL13'!$C$238:$C$451,$C412,'TL13'!$J$238:$J$451),0),
IF('TL14'!$B$3=Q$3,SUMIF('TL14'!$C$10:$C$224,$C412,'TL14'!$J$10:$J$224),0),
IF('TL14'!$B$229=Q$3,SUMIF('TL14'!$C$238:$C$451,$C412,'TL14'!$J$238:$J$451),0),
IF('TL15'!$B$3=Q$3,SUMIF('TL15'!$C$10:$C$224,$C412,'TL15'!$J$10:$J$224),0),
IF('TL15'!$B$229=Q$3,SUMIF('TL15'!$C$238:$C$451,$C412,'TL15'!$J$238:$J$451),0),
IF('TL16'!$B$3=Q$3,SUMIF('TL16'!$C$10:$C$224,$C412,'TL16'!$J$10:$J$224),0),
IF('TL16'!$B$229=Q$3,SUMIF('TL16'!$C$238:$C$451,$C412,'TL16'!$J$238:$J$451),0),
IF('TL17'!$B$3=Q$3,SUMIF('TL17'!$C$10:$C$224,$C412,'TL17'!$J$10:$J$224),0),
IF('TL17'!$B$229=Q$3,SUMIF('TL17'!$C$238:$C$451,$C412,'TL17'!$J$238:$J$451),0),
IF('TL18'!$B$3=Q$3,SUMIF('TL18'!$C$10:$C$224,$C412,'TL18'!$J$10:$J$224),0),
IF('TL18'!$B$229=Q$3,SUMIF('TL18'!$C$238:$C$451,$C412,'TL18'!$J$238:$J$451),0),
IF('TL19'!$B$3=Q$3,SUMIF('TL19'!$C$10:$C$224,$C412,'TL19'!$J$10:$J$224),0),
IF('TL19'!$B$229=Q$3,SUMIF('TL19'!$C$238:$C$451,$C412,'TL19'!$J$238:$J$451),0)
),0)</f>
        <v>0</v>
      </c>
      <c r="R412" s="139">
        <f>IFERROR(
SUM(
SUMIF('TL01'!C:C,C412,'TL01'!J:J),
SUMIF('TL02'!C:C,C412,'TL02'!I:I),
SUMIF('TL03'!C:C,C412,'TL03'!I:I),
SUMIF('TL04'!C:C,C412,'TL04'!I:I),
SUMIF('TL05'!C:C,C412,'TL05'!I:I),
SUMIF('TL06'!C:C,C412,'TL06'!I:I),
SUMIF('TL07'!C:C,C412,'TL07'!I:I),
SUMIF('TL08'!C:C,C412,'TL08'!I:I),
SUMIF('TL09'!C:C,C412,'TL09'!I:I),
SUMIF('TL10'!C:C,C412,'TL10'!I:I),
SUMIF('TL11'!C:C,C412,'TL11'!I:I),
SUMIF('TL12'!C:C,C412,'TL12'!I:I),
SUMIF('TL13'!C:C,C412,'TL13'!I:I),
SUMIF('TL14'!C:C,C412,'TL14'!I:I),
SUMIF('TL15'!C:C,C412,'TL15'!I:I),
SUMIF('TL16'!C:C,C412,'TL16'!I:I),
SUMIF('TL17'!C:C,C412,'TL17'!I:I),
SUMIF('TL18'!C:C,C412,'TL18'!I:I))
,0)</f>
        <v>0</v>
      </c>
      <c r="S412" s="142">
        <f>'CUSTO OPERAÇÃO'!M16</f>
        <v>225</v>
      </c>
      <c r="T412" s="139"/>
      <c r="U412" s="143">
        <f t="shared" si="2"/>
        <v>0</v>
      </c>
      <c r="V412" s="144">
        <f t="shared" si="3"/>
        <v>0</v>
      </c>
    </row>
    <row r="413" ht="15.75" hidden="1" customHeight="1">
      <c r="A413" s="134"/>
      <c r="B413" s="135" t="s">
        <v>10</v>
      </c>
      <c r="C413" s="136" t="str">
        <f>'CUSTO OPERAÇÃO'!D17</f>
        <v>JACTO UNIPORT 2000 + JACTO UNIPORT 2000</v>
      </c>
      <c r="D413" s="136"/>
      <c r="E413" s="137"/>
      <c r="F413" s="138" t="s">
        <v>1133</v>
      </c>
      <c r="G413" s="139"/>
      <c r="H413" s="140">
        <f>'CUSTO OPERAÇÃO'!J17</f>
        <v>0.0306372549</v>
      </c>
      <c r="I413" s="141"/>
      <c r="J413" s="136">
        <f>IFERROR(SUM(
IF('TL01'!$B$3=J$3,SUMIF('TL01'!$C$10:$C$224,$C413,'TL01'!$J$10:$J$224),0),
IF('TL01'!$B$229=J$3,SUMIF('TL01'!$C$238:$C$451,$C413,'TL01'!$J$238:$J$451),0),
IF('TL02'!$B$3=J$3,SUMIF('TL02'!$C$10:$C$224,$C413,'TL02'!$J$10:$J$224),0),
IF('TL02'!$B$229=J$3,SUMIF('TL02'!$C$238:$C$451,$C413,'TL02'!$J$238:$J$451),0),
IF('TL03'!$B$3=J$3,SUMIF('TL03'!$C$10:$C$224,$C413,'TL03'!$J$10:$J$224),0),
IF('TL03'!$B$229=J$3,SUMIF('TL03'!$C$238:$C$451,$C413,'TL03'!$J$238:$J$451),0),
IF('TL04'!$B$3=J$3,SUMIF('TL04'!$C$10:$C$224,$C413,'TL04'!$J$10:$J$224),0),
IF('TL04'!$B$229=J$3,SUMIF('TL04'!$C$238:$C$451,$C413,'TL04'!$J$238:$J$451),0),
IF('TL05'!$B$3=J$3,SUMIF('TL05'!$C$10:$C$224,$C413,'TL05'!$J$10:$J$224),0),
IF('TL05'!$B$229=J$3,SUMIF('TL05'!$C$238:$C$451,$C413,'TL05'!$J$238:$J$451),0),
IF('TL06'!$B$3=J$3,SUMIF('TL06'!$C$10:$C$224,$C413,'TL06'!$J$10:$J$224),0),
IF('TL06'!$B$229=J$3,SUMIF('TL06'!$C$238:$C$451,$C413,'TL06'!$J$238:$J$451),0),
IF('TL07'!$B$3=J$3,SUMIF('TL07'!$C$10:$C$224,$C413,'TL07'!$J$10:$J$224),0),
IF('TL07'!$B$229=J$3,SUMIF('TL07'!$C$238:$C$451,$C413,'TL07'!$J$238:$J$451),0),
IF('TL08'!$B$3=J$3,SUMIF('TL08'!$C$10:$C$224,$C413,'TL08'!$J$10:$J$224),0),
IF('TL08'!$B$229=J$3,SUMIF('TL08'!$C$238:$C$451,$C413,'TL08'!$J$238:$J$451),0),
IF('TL09'!$B$3=J$3,SUMIF('TL09'!$C$10:$C$224,$C413,'TL09'!$J$10:$J$224),0),
IF('TL09'!$B$229=J$3,SUMIF('TL09'!$C$238:$C$451,$C413,'TL09'!$J$238:$J$451),0),
IF('TL10'!$B$3=J$3,SUMIF('TL10'!$C$10:$C$224,$C413,'TL10'!$J$10:$J$224),0),
IF('TL10'!$B$229=J$3,SUMIF('TL10'!$C$238:$C$451,$C413,'TL10'!$J$238:$J$451),0),
IF('TL11'!$B$3=J$3,SUMIF('TL11'!$C$10:$C$224,$C413,'TL11'!$J$10:$J$224),0),
IF('TL11'!$B$229=J$3,SUMIF('TL11'!$C$238:$C$451,$C413,'TL11'!$J$238:$J$451),0),
IF('TL12'!$B$3=J$3,SUMIF('TL12'!$C$10:$C$224,$C413,'TL12'!$J$10:$J$224),0),
IF('TL12'!$B$229=J$3,SUMIF('TL12'!$C$238:$C$451,$C413,'TL12'!$J$238:$J$451),0),
IF('TL13'!$B$3=J$3,SUMIF('TL13'!$C$10:$C$224,$C413,'TL13'!$J$10:$J$224),0),
IF('TL13'!$B$229=J$3,SUMIF('TL13'!$C$238:$C$451,$C413,'TL13'!$J$238:$J$451),0),
IF('TL14'!$B$3=J$3,SUMIF('TL14'!$C$10:$C$224,$C413,'TL14'!$J$10:$J$224),0),
IF('TL14'!$B$229=J$3,SUMIF('TL14'!$C$238:$C$451,$C413,'TL14'!$J$238:$J$451),0),
IF('TL15'!$B$3=J$3,SUMIF('TL15'!$C$10:$C$224,$C413,'TL15'!$J$10:$J$224),0),
IF('TL15'!$B$229=J$3,SUMIF('TL15'!$C$238:$C$451,$C413,'TL15'!$J$238:$J$451),0),
IF('TL16'!$B$3=J$3,SUMIF('TL16'!$C$10:$C$224,$C413,'TL16'!$J$10:$J$224),0),
IF('TL16'!$B$229=J$3,SUMIF('TL16'!$C$238:$C$451,$C413,'TL16'!$J$238:$J$451),0),
IF('TL17'!$B$3=J$3,SUMIF('TL17'!$C$10:$C$224,$C413,'TL17'!$J$10:$J$224),0),
IF('TL17'!$B$229=J$3,SUMIF('TL17'!$C$238:$C$451,$C413,'TL17'!$J$238:$J$451),0),
IF('TL18'!$B$3=J$3,SUMIF('TL18'!$C$10:$C$224,$C413,'TL18'!$J$10:$J$224),0),
IF('TL18'!$B$229=J$3,SUMIF('TL18'!$C$238:$C$451,$C413,'TL18'!$J$238:$J$451),0),
IF('TL19'!$B$3=J$3,SUMIF('TL19'!$C$10:$C$224,$C413,'TL19'!$J$10:$J$224),0),
IF('TL19'!$B$229=J$3,SUMIF('TL19'!$C$238:$C$451,$C413,'TL19'!$J$238:$J$451),0)
),0)</f>
        <v>17.15686275</v>
      </c>
      <c r="K413" s="136">
        <f>IFERROR(SUM(
IF('TL01'!$B$3=K$3,SUMIF('TL01'!$C$10:$C$224,$C413,'TL01'!$J$10:$J$224),0),
IF('TL01'!$B$229=K$3,SUMIF('TL01'!$C$238:$C$451,$C413,'TL01'!$J$238:$J$451),0),
IF('TL02'!$B$3=K$3,SUMIF('TL02'!$C$10:$C$224,$C413,'TL02'!$J$10:$J$224),0),
IF('TL02'!$B$229=K$3,SUMIF('TL02'!$C$238:$C$451,$C413,'TL02'!$J$238:$J$451),0),
IF('TL03'!$B$3=K$3,SUMIF('TL03'!$C$10:$C$224,$C413,'TL03'!$J$10:$J$224),0),
IF('TL03'!$B$229=K$3,SUMIF('TL03'!$C$238:$C$451,$C413,'TL03'!$J$238:$J$451),0),
IF('TL04'!$B$3=K$3,SUMIF('TL04'!$C$10:$C$224,$C413,'TL04'!$J$10:$J$224),0),
IF('TL04'!$B$229=K$3,SUMIF('TL04'!$C$238:$C$451,$C413,'TL04'!$J$238:$J$451),0),
IF('TL05'!$B$3=K$3,SUMIF('TL05'!$C$10:$C$224,$C413,'TL05'!$J$10:$J$224),0),
IF('TL05'!$B$229=K$3,SUMIF('TL05'!$C$238:$C$451,$C413,'TL05'!$J$238:$J$451),0),
IF('TL06'!$B$3=K$3,SUMIF('TL06'!$C$10:$C$224,$C413,'TL06'!$J$10:$J$224),0),
IF('TL06'!$B$229=K$3,SUMIF('TL06'!$C$238:$C$451,$C413,'TL06'!$J$238:$J$451),0),
IF('TL07'!$B$3=K$3,SUMIF('TL07'!$C$10:$C$224,$C413,'TL07'!$J$10:$J$224),0),
IF('TL07'!$B$229=K$3,SUMIF('TL07'!$C$238:$C$451,$C413,'TL07'!$J$238:$J$451),0),
IF('TL08'!$B$3=K$3,SUMIF('TL08'!$C$10:$C$224,$C413,'TL08'!$J$10:$J$224),0),
IF('TL08'!$B$229=K$3,SUMIF('TL08'!$C$238:$C$451,$C413,'TL08'!$J$238:$J$451),0),
IF('TL09'!$B$3=K$3,SUMIF('TL09'!$C$10:$C$224,$C413,'TL09'!$J$10:$J$224),0),
IF('TL09'!$B$229=K$3,SUMIF('TL09'!$C$238:$C$451,$C413,'TL09'!$J$238:$J$451),0),
IF('TL10'!$B$3=K$3,SUMIF('TL10'!$C$10:$C$224,$C413,'TL10'!$J$10:$J$224),0),
IF('TL10'!$B$229=K$3,SUMIF('TL10'!$C$238:$C$451,$C413,'TL10'!$J$238:$J$451),0),
IF('TL11'!$B$3=K$3,SUMIF('TL11'!$C$10:$C$224,$C413,'TL11'!$J$10:$J$224),0),
IF('TL11'!$B$229=K$3,SUMIF('TL11'!$C$238:$C$451,$C413,'TL11'!$J$238:$J$451),0),
IF('TL12'!$B$3=K$3,SUMIF('TL12'!$C$10:$C$224,$C413,'TL12'!$J$10:$J$224),0),
IF('TL12'!$B$229=K$3,SUMIF('TL12'!$C$238:$C$451,$C413,'TL12'!$J$238:$J$451),0),
IF('TL13'!$B$3=K$3,SUMIF('TL13'!$C$10:$C$224,$C413,'TL13'!$J$10:$J$224),0),
IF('TL13'!$B$229=K$3,SUMIF('TL13'!$C$238:$C$451,$C413,'TL13'!$J$238:$J$451),0),
IF('TL14'!$B$3=K$3,SUMIF('TL14'!$C$10:$C$224,$C413,'TL14'!$J$10:$J$224),0),
IF('TL14'!$B$229=K$3,SUMIF('TL14'!$C$238:$C$451,$C413,'TL14'!$J$238:$J$451),0),
IF('TL15'!$B$3=K$3,SUMIF('TL15'!$C$10:$C$224,$C413,'TL15'!$J$10:$J$224),0),
IF('TL15'!$B$229=K$3,SUMIF('TL15'!$C$238:$C$451,$C413,'TL15'!$J$238:$J$451),0),
IF('TL16'!$B$3=K$3,SUMIF('TL16'!$C$10:$C$224,$C413,'TL16'!$J$10:$J$224),0),
IF('TL16'!$B$229=K$3,SUMIF('TL16'!$C$238:$C$451,$C413,'TL16'!$J$238:$J$451),0),
IF('TL17'!$B$3=K$3,SUMIF('TL17'!$C$10:$C$224,$C413,'TL17'!$J$10:$J$224),0),
IF('TL17'!$B$229=K$3,SUMIF('TL17'!$C$238:$C$451,$C413,'TL17'!$J$238:$J$451),0),
IF('TL18'!$B$3=K$3,SUMIF('TL18'!$C$10:$C$224,$C413,'TL18'!$J$10:$J$224),0),
IF('TL18'!$B$229=K$3,SUMIF('TL18'!$C$238:$C$451,$C413,'TL18'!$J$238:$J$451),0),
IF('TL19'!$B$3=K$3,SUMIF('TL19'!$C$10:$C$224,$C413,'TL19'!$J$10:$J$224),0),
IF('TL19'!$B$229=K$3,SUMIF('TL19'!$C$238:$C$451,$C413,'TL19'!$J$238:$J$451),0)
),0)</f>
        <v>0</v>
      </c>
      <c r="L413" s="136">
        <f>IFERROR(SUM(
IF('TL01'!$B$3=L$3,SUMIF('TL01'!$C$10:$C$224,$C413,'TL01'!$J$10:$J$224),0),
IF('TL01'!$B$229=L$3,SUMIF('TL01'!$C$238:$C$451,$C413,'TL01'!$J$238:$J$451),0),
IF('TL02'!$B$3=L$3,SUMIF('TL02'!$C$10:$C$224,$C413,'TL02'!$J$10:$J$224),0),
IF('TL02'!$B$229=L$3,SUMIF('TL02'!$C$238:$C$451,$C413,'TL02'!$J$238:$J$451),0),
IF('TL03'!$B$3=L$3,SUMIF('TL03'!$C$10:$C$224,$C413,'TL03'!$J$10:$J$224),0),
IF('TL03'!$B$229=L$3,SUMIF('TL03'!$C$238:$C$451,$C413,'TL03'!$J$238:$J$451),0),
IF('TL04'!$B$3=L$3,SUMIF('TL04'!$C$10:$C$224,$C413,'TL04'!$J$10:$J$224),0),
IF('TL04'!$B$229=L$3,SUMIF('TL04'!$C$238:$C$451,$C413,'TL04'!$J$238:$J$451),0),
IF('TL05'!$B$3=L$3,SUMIF('TL05'!$C$10:$C$224,$C413,'TL05'!$J$10:$J$224),0),
IF('TL05'!$B$229=L$3,SUMIF('TL05'!$C$238:$C$451,$C413,'TL05'!$J$238:$J$451),0),
IF('TL06'!$B$3=L$3,SUMIF('TL06'!$C$10:$C$224,$C413,'TL06'!$J$10:$J$224),0),
IF('TL06'!$B$229=L$3,SUMIF('TL06'!$C$238:$C$451,$C413,'TL06'!$J$238:$J$451),0),
IF('TL07'!$B$3=L$3,SUMIF('TL07'!$C$10:$C$224,$C413,'TL07'!$J$10:$J$224),0),
IF('TL07'!$B$229=L$3,SUMIF('TL07'!$C$238:$C$451,$C413,'TL07'!$J$238:$J$451),0),
IF('TL08'!$B$3=L$3,SUMIF('TL08'!$C$10:$C$224,$C413,'TL08'!$J$10:$J$224),0),
IF('TL08'!$B$229=L$3,SUMIF('TL08'!$C$238:$C$451,$C413,'TL08'!$J$238:$J$451),0),
IF('TL09'!$B$3=L$3,SUMIF('TL09'!$C$10:$C$224,$C413,'TL09'!$J$10:$J$224),0),
IF('TL09'!$B$229=L$3,SUMIF('TL09'!$C$238:$C$451,$C413,'TL09'!$J$238:$J$451),0),
IF('TL10'!$B$3=L$3,SUMIF('TL10'!$C$10:$C$224,$C413,'TL10'!$J$10:$J$224),0),
IF('TL10'!$B$229=L$3,SUMIF('TL10'!$C$238:$C$451,$C413,'TL10'!$J$238:$J$451),0),
IF('TL11'!$B$3=L$3,SUMIF('TL11'!$C$10:$C$224,$C413,'TL11'!$J$10:$J$224),0),
IF('TL11'!$B$229=L$3,SUMIF('TL11'!$C$238:$C$451,$C413,'TL11'!$J$238:$J$451),0),
IF('TL12'!$B$3=L$3,SUMIF('TL12'!$C$10:$C$224,$C413,'TL12'!$J$10:$J$224),0),
IF('TL12'!$B$229=L$3,SUMIF('TL12'!$C$238:$C$451,$C413,'TL12'!$J$238:$J$451),0),
IF('TL13'!$B$3=L$3,SUMIF('TL13'!$C$10:$C$224,$C413,'TL13'!$J$10:$J$224),0),
IF('TL13'!$B$229=L$3,SUMIF('TL13'!$C$238:$C$451,$C413,'TL13'!$J$238:$J$451),0),
IF('TL14'!$B$3=L$3,SUMIF('TL14'!$C$10:$C$224,$C413,'TL14'!$J$10:$J$224),0),
IF('TL14'!$B$229=L$3,SUMIF('TL14'!$C$238:$C$451,$C413,'TL14'!$J$238:$J$451),0),
IF('TL15'!$B$3=L$3,SUMIF('TL15'!$C$10:$C$224,$C413,'TL15'!$J$10:$J$224),0),
IF('TL15'!$B$229=L$3,SUMIF('TL15'!$C$238:$C$451,$C413,'TL15'!$J$238:$J$451),0),
IF('TL16'!$B$3=L$3,SUMIF('TL16'!$C$10:$C$224,$C413,'TL16'!$J$10:$J$224),0),
IF('TL16'!$B$229=L$3,SUMIF('TL16'!$C$238:$C$451,$C413,'TL16'!$J$238:$J$451),0),
IF('TL17'!$B$3=L$3,SUMIF('TL17'!$C$10:$C$224,$C413,'TL17'!$J$10:$J$224),0),
IF('TL17'!$B$229=L$3,SUMIF('TL17'!$C$238:$C$451,$C413,'TL17'!$J$238:$J$451),0),
IF('TL18'!$B$3=L$3,SUMIF('TL18'!$C$10:$C$224,$C413,'TL18'!$J$10:$J$224),0),
IF('TL18'!$B$229=L$3,SUMIF('TL18'!$C$238:$C$451,$C413,'TL18'!$J$238:$J$451),0),
IF('TL19'!$B$3=L$3,SUMIF('TL19'!$C$10:$C$224,$C413,'TL19'!$J$10:$J$224),0),
IF('TL19'!$B$229=L$3,SUMIF('TL19'!$C$238:$C$451,$C413,'TL19'!$J$238:$J$451),0)
),0)</f>
        <v>0</v>
      </c>
      <c r="M413" s="136">
        <f>IFERROR(SUM(
IF('TL01'!$B$3=M$3,SUMIF('TL01'!$C$10:$C$224,$C413,'TL01'!$J$10:$J$224),0),
IF('TL01'!$B$229=M$3,SUMIF('TL01'!$C$238:$C$451,$C413,'TL01'!$J$238:$J$451),0),
IF('TL02'!$B$3=M$3,SUMIF('TL02'!$C$10:$C$224,$C413,'TL02'!$J$10:$J$224),0),
IF('TL02'!$B$229=M$3,SUMIF('TL02'!$C$238:$C$451,$C413,'TL02'!$J$238:$J$451),0),
IF('TL03'!$B$3=M$3,SUMIF('TL03'!$C$10:$C$224,$C413,'TL03'!$J$10:$J$224),0),
IF('TL03'!$B$229=M$3,SUMIF('TL03'!$C$238:$C$451,$C413,'TL03'!$J$238:$J$451),0),
IF('TL04'!$B$3=M$3,SUMIF('TL04'!$C$10:$C$224,$C413,'TL04'!$J$10:$J$224),0),
IF('TL04'!$B$229=M$3,SUMIF('TL04'!$C$238:$C$451,$C413,'TL04'!$J$238:$J$451),0),
IF('TL05'!$B$3=M$3,SUMIF('TL05'!$C$10:$C$224,$C413,'TL05'!$J$10:$J$224),0),
IF('TL05'!$B$229=M$3,SUMIF('TL05'!$C$238:$C$451,$C413,'TL05'!$J$238:$J$451),0),
IF('TL06'!$B$3=M$3,SUMIF('TL06'!$C$10:$C$224,$C413,'TL06'!$J$10:$J$224),0),
IF('TL06'!$B$229=M$3,SUMIF('TL06'!$C$238:$C$451,$C413,'TL06'!$J$238:$J$451),0),
IF('TL07'!$B$3=M$3,SUMIF('TL07'!$C$10:$C$224,$C413,'TL07'!$J$10:$J$224),0),
IF('TL07'!$B$229=M$3,SUMIF('TL07'!$C$238:$C$451,$C413,'TL07'!$J$238:$J$451),0),
IF('TL08'!$B$3=M$3,SUMIF('TL08'!$C$10:$C$224,$C413,'TL08'!$J$10:$J$224),0),
IF('TL08'!$B$229=M$3,SUMIF('TL08'!$C$238:$C$451,$C413,'TL08'!$J$238:$J$451),0),
IF('TL09'!$B$3=M$3,SUMIF('TL09'!$C$10:$C$224,$C413,'TL09'!$J$10:$J$224),0),
IF('TL09'!$B$229=M$3,SUMIF('TL09'!$C$238:$C$451,$C413,'TL09'!$J$238:$J$451),0),
IF('TL10'!$B$3=M$3,SUMIF('TL10'!$C$10:$C$224,$C413,'TL10'!$J$10:$J$224),0),
IF('TL10'!$B$229=M$3,SUMIF('TL10'!$C$238:$C$451,$C413,'TL10'!$J$238:$J$451),0),
IF('TL11'!$B$3=M$3,SUMIF('TL11'!$C$10:$C$224,$C413,'TL11'!$J$10:$J$224),0),
IF('TL11'!$B$229=M$3,SUMIF('TL11'!$C$238:$C$451,$C413,'TL11'!$J$238:$J$451),0),
IF('TL12'!$B$3=M$3,SUMIF('TL12'!$C$10:$C$224,$C413,'TL12'!$J$10:$J$224),0),
IF('TL12'!$B$229=M$3,SUMIF('TL12'!$C$238:$C$451,$C413,'TL12'!$J$238:$J$451),0),
IF('TL13'!$B$3=M$3,SUMIF('TL13'!$C$10:$C$224,$C413,'TL13'!$J$10:$J$224),0),
IF('TL13'!$B$229=M$3,SUMIF('TL13'!$C$238:$C$451,$C413,'TL13'!$J$238:$J$451),0),
IF('TL14'!$B$3=M$3,SUMIF('TL14'!$C$10:$C$224,$C413,'TL14'!$J$10:$J$224),0),
IF('TL14'!$B$229=M$3,SUMIF('TL14'!$C$238:$C$451,$C413,'TL14'!$J$238:$J$451),0),
IF('TL15'!$B$3=M$3,SUMIF('TL15'!$C$10:$C$224,$C413,'TL15'!$J$10:$J$224),0),
IF('TL15'!$B$229=M$3,SUMIF('TL15'!$C$238:$C$451,$C413,'TL15'!$J$238:$J$451),0),
IF('TL16'!$B$3=M$3,SUMIF('TL16'!$C$10:$C$224,$C413,'TL16'!$J$10:$J$224),0),
IF('TL16'!$B$229=M$3,SUMIF('TL16'!$C$238:$C$451,$C413,'TL16'!$J$238:$J$451),0),
IF('TL17'!$B$3=M$3,SUMIF('TL17'!$C$10:$C$224,$C413,'TL17'!$J$10:$J$224),0),
IF('TL17'!$B$229=M$3,SUMIF('TL17'!$C$238:$C$451,$C413,'TL17'!$J$238:$J$451),0),
IF('TL18'!$B$3=M$3,SUMIF('TL18'!$C$10:$C$224,$C413,'TL18'!$J$10:$J$224),0),
IF('TL18'!$B$229=M$3,SUMIF('TL18'!$C$238:$C$451,$C413,'TL18'!$J$238:$J$451),0),
IF('TL19'!$B$3=M$3,SUMIF('TL19'!$C$10:$C$224,$C413,'TL19'!$J$10:$J$224),0),
IF('TL19'!$B$229=M$3,SUMIF('TL19'!$C$238:$C$451,$C413,'TL19'!$J$238:$J$451),0)
),0)</f>
        <v>0</v>
      </c>
      <c r="N413" s="136">
        <f>IFERROR(SUM(
IF('TL01'!$B$3=N$3,SUMIF('TL01'!$C$10:$C$224,$C413,'TL01'!$J$10:$J$224),0),
IF('TL01'!$B$229=N$3,SUMIF('TL01'!$C$238:$C$451,$C413,'TL01'!$J$238:$J$451),0),
IF('TL02'!$B$3=N$3,SUMIF('TL02'!$C$10:$C$224,$C413,'TL02'!$J$10:$J$224),0),
IF('TL02'!$B$229=N$3,SUMIF('TL02'!$C$238:$C$451,$C413,'TL02'!$J$238:$J$451),0),
IF('TL03'!$B$3=N$3,SUMIF('TL03'!$C$10:$C$224,$C413,'TL03'!$J$10:$J$224),0),
IF('TL03'!$B$229=N$3,SUMIF('TL03'!$C$238:$C$451,$C413,'TL03'!$J$238:$J$451),0),
IF('TL04'!$B$3=N$3,SUMIF('TL04'!$C$10:$C$224,$C413,'TL04'!$J$10:$J$224),0),
IF('TL04'!$B$229=N$3,SUMIF('TL04'!$C$238:$C$451,$C413,'TL04'!$J$238:$J$451),0),
IF('TL05'!$B$3=N$3,SUMIF('TL05'!$C$10:$C$224,$C413,'TL05'!$J$10:$J$224),0),
IF('TL05'!$B$229=N$3,SUMIF('TL05'!$C$238:$C$451,$C413,'TL05'!$J$238:$J$451),0),
IF('TL06'!$B$3=N$3,SUMIF('TL06'!$C$10:$C$224,$C413,'TL06'!$J$10:$J$224),0),
IF('TL06'!$B$229=N$3,SUMIF('TL06'!$C$238:$C$451,$C413,'TL06'!$J$238:$J$451),0),
IF('TL07'!$B$3=N$3,SUMIF('TL07'!$C$10:$C$224,$C413,'TL07'!$J$10:$J$224),0),
IF('TL07'!$B$229=N$3,SUMIF('TL07'!$C$238:$C$451,$C413,'TL07'!$J$238:$J$451),0),
IF('TL08'!$B$3=N$3,SUMIF('TL08'!$C$10:$C$224,$C413,'TL08'!$J$10:$J$224),0),
IF('TL08'!$B$229=N$3,SUMIF('TL08'!$C$238:$C$451,$C413,'TL08'!$J$238:$J$451),0),
IF('TL09'!$B$3=N$3,SUMIF('TL09'!$C$10:$C$224,$C413,'TL09'!$J$10:$J$224),0),
IF('TL09'!$B$229=N$3,SUMIF('TL09'!$C$238:$C$451,$C413,'TL09'!$J$238:$J$451),0),
IF('TL10'!$B$3=N$3,SUMIF('TL10'!$C$10:$C$224,$C413,'TL10'!$J$10:$J$224),0),
IF('TL10'!$B$229=N$3,SUMIF('TL10'!$C$238:$C$451,$C413,'TL10'!$J$238:$J$451),0),
IF('TL11'!$B$3=N$3,SUMIF('TL11'!$C$10:$C$224,$C413,'TL11'!$J$10:$J$224),0),
IF('TL11'!$B$229=N$3,SUMIF('TL11'!$C$238:$C$451,$C413,'TL11'!$J$238:$J$451),0),
IF('TL12'!$B$3=N$3,SUMIF('TL12'!$C$10:$C$224,$C413,'TL12'!$J$10:$J$224),0),
IF('TL12'!$B$229=N$3,SUMIF('TL12'!$C$238:$C$451,$C413,'TL12'!$J$238:$J$451),0),
IF('TL13'!$B$3=N$3,SUMIF('TL13'!$C$10:$C$224,$C413,'TL13'!$J$10:$J$224),0),
IF('TL13'!$B$229=N$3,SUMIF('TL13'!$C$238:$C$451,$C413,'TL13'!$J$238:$J$451),0),
IF('TL14'!$B$3=N$3,SUMIF('TL14'!$C$10:$C$224,$C413,'TL14'!$J$10:$J$224),0),
IF('TL14'!$B$229=N$3,SUMIF('TL14'!$C$238:$C$451,$C413,'TL14'!$J$238:$J$451),0),
IF('TL15'!$B$3=N$3,SUMIF('TL15'!$C$10:$C$224,$C413,'TL15'!$J$10:$J$224),0),
IF('TL15'!$B$229=N$3,SUMIF('TL15'!$C$238:$C$451,$C413,'TL15'!$J$238:$J$451),0),
IF('TL16'!$B$3=N$3,SUMIF('TL16'!$C$10:$C$224,$C413,'TL16'!$J$10:$J$224),0),
IF('TL16'!$B$229=N$3,SUMIF('TL16'!$C$238:$C$451,$C413,'TL16'!$J$238:$J$451),0),
IF('TL17'!$B$3=N$3,SUMIF('TL17'!$C$10:$C$224,$C413,'TL17'!$J$10:$J$224),0),
IF('TL17'!$B$229=N$3,SUMIF('TL17'!$C$238:$C$451,$C413,'TL17'!$J$238:$J$451),0),
IF('TL18'!$B$3=N$3,SUMIF('TL18'!$C$10:$C$224,$C413,'TL18'!$J$10:$J$224),0),
IF('TL18'!$B$229=N$3,SUMIF('TL18'!$C$238:$C$451,$C413,'TL18'!$J$238:$J$451),0),
IF('TL19'!$B$3=N$3,SUMIF('TL19'!$C$10:$C$224,$C413,'TL19'!$J$10:$J$224),0),
IF('TL19'!$B$229=N$3,SUMIF('TL19'!$C$238:$C$451,$C413,'TL19'!$J$238:$J$451),0)
),0)</f>
        <v>0</v>
      </c>
      <c r="O413" s="136">
        <f>IFERROR(SUM(
IF('TL01'!$B$3=O$3,SUMIF('TL01'!$C$10:$C$224,$C413,'TL01'!$J$10:$J$224),0),
IF('TL01'!$B$229=O$3,SUMIF('TL01'!$C$238:$C$451,$C413,'TL01'!$J$238:$J$451),0),
IF('TL02'!$B$3=O$3,SUMIF('TL02'!$C$10:$C$224,$C413,'TL02'!$J$10:$J$224),0),
IF('TL02'!$B$229=O$3,SUMIF('TL02'!$C$238:$C$451,$C413,'TL02'!$J$238:$J$451),0),
IF('TL03'!$B$3=O$3,SUMIF('TL03'!$C$10:$C$224,$C413,'TL03'!$J$10:$J$224),0),
IF('TL03'!$B$229=O$3,SUMIF('TL03'!$C$238:$C$451,$C413,'TL03'!$J$238:$J$451),0),
IF('TL04'!$B$3=O$3,SUMIF('TL04'!$C$10:$C$224,$C413,'TL04'!$J$10:$J$224),0),
IF('TL04'!$B$229=O$3,SUMIF('TL04'!$C$238:$C$451,$C413,'TL04'!$J$238:$J$451),0),
IF('TL05'!$B$3=O$3,SUMIF('TL05'!$C$10:$C$224,$C413,'TL05'!$J$10:$J$224),0),
IF('TL05'!$B$229=O$3,SUMIF('TL05'!$C$238:$C$451,$C413,'TL05'!$J$238:$J$451),0),
IF('TL06'!$B$3=O$3,SUMIF('TL06'!$C$10:$C$224,$C413,'TL06'!$J$10:$J$224),0),
IF('TL06'!$B$229=O$3,SUMIF('TL06'!$C$238:$C$451,$C413,'TL06'!$J$238:$J$451),0),
IF('TL07'!$B$3=O$3,SUMIF('TL07'!$C$10:$C$224,$C413,'TL07'!$J$10:$J$224),0),
IF('TL07'!$B$229=O$3,SUMIF('TL07'!$C$238:$C$451,$C413,'TL07'!$J$238:$J$451),0),
IF('TL08'!$B$3=O$3,SUMIF('TL08'!$C$10:$C$224,$C413,'TL08'!$J$10:$J$224),0),
IF('TL08'!$B$229=O$3,SUMIF('TL08'!$C$238:$C$451,$C413,'TL08'!$J$238:$J$451),0),
IF('TL09'!$B$3=O$3,SUMIF('TL09'!$C$10:$C$224,$C413,'TL09'!$J$10:$J$224),0),
IF('TL09'!$B$229=O$3,SUMIF('TL09'!$C$238:$C$451,$C413,'TL09'!$J$238:$J$451),0),
IF('TL10'!$B$3=O$3,SUMIF('TL10'!$C$10:$C$224,$C413,'TL10'!$J$10:$J$224),0),
IF('TL10'!$B$229=O$3,SUMIF('TL10'!$C$238:$C$451,$C413,'TL10'!$J$238:$J$451),0),
IF('TL11'!$B$3=O$3,SUMIF('TL11'!$C$10:$C$224,$C413,'TL11'!$J$10:$J$224),0),
IF('TL11'!$B$229=O$3,SUMIF('TL11'!$C$238:$C$451,$C413,'TL11'!$J$238:$J$451),0),
IF('TL12'!$B$3=O$3,SUMIF('TL12'!$C$10:$C$224,$C413,'TL12'!$J$10:$J$224),0),
IF('TL12'!$B$229=O$3,SUMIF('TL12'!$C$238:$C$451,$C413,'TL12'!$J$238:$J$451),0),
IF('TL13'!$B$3=O$3,SUMIF('TL13'!$C$10:$C$224,$C413,'TL13'!$J$10:$J$224),0),
IF('TL13'!$B$229=O$3,SUMIF('TL13'!$C$238:$C$451,$C413,'TL13'!$J$238:$J$451),0),
IF('TL14'!$B$3=O$3,SUMIF('TL14'!$C$10:$C$224,$C413,'TL14'!$J$10:$J$224),0),
IF('TL14'!$B$229=O$3,SUMIF('TL14'!$C$238:$C$451,$C413,'TL14'!$J$238:$J$451),0),
IF('TL15'!$B$3=O$3,SUMIF('TL15'!$C$10:$C$224,$C413,'TL15'!$J$10:$J$224),0),
IF('TL15'!$B$229=O$3,SUMIF('TL15'!$C$238:$C$451,$C413,'TL15'!$J$238:$J$451),0),
IF('TL16'!$B$3=O$3,SUMIF('TL16'!$C$10:$C$224,$C413,'TL16'!$J$10:$J$224),0),
IF('TL16'!$B$229=O$3,SUMIF('TL16'!$C$238:$C$451,$C413,'TL16'!$J$238:$J$451),0),
IF('TL17'!$B$3=O$3,SUMIF('TL17'!$C$10:$C$224,$C413,'TL17'!$J$10:$J$224),0),
IF('TL17'!$B$229=O$3,SUMIF('TL17'!$C$238:$C$451,$C413,'TL17'!$J$238:$J$451),0),
IF('TL18'!$B$3=O$3,SUMIF('TL18'!$C$10:$C$224,$C413,'TL18'!$J$10:$J$224),0),
IF('TL18'!$B$229=O$3,SUMIF('TL18'!$C$238:$C$451,$C413,'TL18'!$J$238:$J$451),0),
IF('TL19'!$B$3=O$3,SUMIF('TL19'!$C$10:$C$224,$C413,'TL19'!$J$10:$J$224),0),
IF('TL19'!$B$229=O$3,SUMIF('TL19'!$C$238:$C$451,$C413,'TL19'!$J$238:$J$451),0)
),0)</f>
        <v>0</v>
      </c>
      <c r="P413" s="136">
        <f>IFERROR(SUM(
IF('TL01'!$B$3=P$3,SUMIF('TL01'!$C$10:$C$224,$C413,'TL01'!$J$10:$J$224),0),
IF('TL01'!$B$229=P$3,SUMIF('TL01'!$C$238:$C$451,$C413,'TL01'!$J$238:$J$451),0),
IF('TL02'!$B$3=P$3,SUMIF('TL02'!$C$10:$C$224,$C413,'TL02'!$J$10:$J$224),0),
IF('TL02'!$B$229=P$3,SUMIF('TL02'!$C$238:$C$451,$C413,'TL02'!$J$238:$J$451),0),
IF('TL03'!$B$3=P$3,SUMIF('TL03'!$C$10:$C$224,$C413,'TL03'!$J$10:$J$224),0),
IF('TL03'!$B$229=P$3,SUMIF('TL03'!$C$238:$C$451,$C413,'TL03'!$J$238:$J$451),0),
IF('TL04'!$B$3=P$3,SUMIF('TL04'!$C$10:$C$224,$C413,'TL04'!$J$10:$J$224),0),
IF('TL04'!$B$229=P$3,SUMIF('TL04'!$C$238:$C$451,$C413,'TL04'!$J$238:$J$451),0),
IF('TL05'!$B$3=P$3,SUMIF('TL05'!$C$10:$C$224,$C413,'TL05'!$J$10:$J$224),0),
IF('TL05'!$B$229=P$3,SUMIF('TL05'!$C$238:$C$451,$C413,'TL05'!$J$238:$J$451),0),
IF('TL06'!$B$3=P$3,SUMIF('TL06'!$C$10:$C$224,$C413,'TL06'!$J$10:$J$224),0),
IF('TL06'!$B$229=P$3,SUMIF('TL06'!$C$238:$C$451,$C413,'TL06'!$J$238:$J$451),0),
IF('TL07'!$B$3=P$3,SUMIF('TL07'!$C$10:$C$224,$C413,'TL07'!$J$10:$J$224),0),
IF('TL07'!$B$229=P$3,SUMIF('TL07'!$C$238:$C$451,$C413,'TL07'!$J$238:$J$451),0),
IF('TL08'!$B$3=P$3,SUMIF('TL08'!$C$10:$C$224,$C413,'TL08'!$J$10:$J$224),0),
IF('TL08'!$B$229=P$3,SUMIF('TL08'!$C$238:$C$451,$C413,'TL08'!$J$238:$J$451),0),
IF('TL09'!$B$3=P$3,SUMIF('TL09'!$C$10:$C$224,$C413,'TL09'!$J$10:$J$224),0),
IF('TL09'!$B$229=P$3,SUMIF('TL09'!$C$238:$C$451,$C413,'TL09'!$J$238:$J$451),0),
IF('TL10'!$B$3=P$3,SUMIF('TL10'!$C$10:$C$224,$C413,'TL10'!$J$10:$J$224),0),
IF('TL10'!$B$229=P$3,SUMIF('TL10'!$C$238:$C$451,$C413,'TL10'!$J$238:$J$451),0),
IF('TL11'!$B$3=P$3,SUMIF('TL11'!$C$10:$C$224,$C413,'TL11'!$J$10:$J$224),0),
IF('TL11'!$B$229=P$3,SUMIF('TL11'!$C$238:$C$451,$C413,'TL11'!$J$238:$J$451),0),
IF('TL12'!$B$3=P$3,SUMIF('TL12'!$C$10:$C$224,$C413,'TL12'!$J$10:$J$224),0),
IF('TL12'!$B$229=P$3,SUMIF('TL12'!$C$238:$C$451,$C413,'TL12'!$J$238:$J$451),0),
IF('TL13'!$B$3=P$3,SUMIF('TL13'!$C$10:$C$224,$C413,'TL13'!$J$10:$J$224),0),
IF('TL13'!$B$229=P$3,SUMIF('TL13'!$C$238:$C$451,$C413,'TL13'!$J$238:$J$451),0),
IF('TL14'!$B$3=P$3,SUMIF('TL14'!$C$10:$C$224,$C413,'TL14'!$J$10:$J$224),0),
IF('TL14'!$B$229=P$3,SUMIF('TL14'!$C$238:$C$451,$C413,'TL14'!$J$238:$J$451),0),
IF('TL15'!$B$3=P$3,SUMIF('TL15'!$C$10:$C$224,$C413,'TL15'!$J$10:$J$224),0),
IF('TL15'!$B$229=P$3,SUMIF('TL15'!$C$238:$C$451,$C413,'TL15'!$J$238:$J$451),0),
IF('TL16'!$B$3=P$3,SUMIF('TL16'!$C$10:$C$224,$C413,'TL16'!$J$10:$J$224),0),
IF('TL16'!$B$229=P$3,SUMIF('TL16'!$C$238:$C$451,$C413,'TL16'!$J$238:$J$451),0),
IF('TL17'!$B$3=P$3,SUMIF('TL17'!$C$10:$C$224,$C413,'TL17'!$J$10:$J$224),0),
IF('TL17'!$B$229=P$3,SUMIF('TL17'!$C$238:$C$451,$C413,'TL17'!$J$238:$J$451),0),
IF('TL18'!$B$3=P$3,SUMIF('TL18'!$C$10:$C$224,$C413,'TL18'!$J$10:$J$224),0),
IF('TL18'!$B$229=P$3,SUMIF('TL18'!$C$238:$C$451,$C413,'TL18'!$J$238:$J$451),0),
IF('TL19'!$B$3=P$3,SUMIF('TL19'!$C$10:$C$224,$C413,'TL19'!$J$10:$J$224),0),
IF('TL19'!$B$229=P$3,SUMIF('TL19'!$C$238:$C$451,$C413,'TL19'!$J$238:$J$451),0)
),0)</f>
        <v>0</v>
      </c>
      <c r="Q413" s="136">
        <f>IFERROR(SUM(
IF('TL01'!$B$3=Q$3,SUMIF('TL01'!$C$10:$C$224,$C413,'TL01'!$J$10:$J$224),0),
IF('TL01'!$B$229=Q$3,SUMIF('TL01'!$C$238:$C$451,$C413,'TL01'!$J$238:$J$451),0),
IF('TL02'!$B$3=Q$3,SUMIF('TL02'!$C$10:$C$224,$C413,'TL02'!$J$10:$J$224),0),
IF('TL02'!$B$229=Q$3,SUMIF('TL02'!$C$238:$C$451,$C413,'TL02'!$J$238:$J$451),0),
IF('TL03'!$B$3=Q$3,SUMIF('TL03'!$C$10:$C$224,$C413,'TL03'!$J$10:$J$224),0),
IF('TL03'!$B$229=Q$3,SUMIF('TL03'!$C$238:$C$451,$C413,'TL03'!$J$238:$J$451),0),
IF('TL04'!$B$3=Q$3,SUMIF('TL04'!$C$10:$C$224,$C413,'TL04'!$J$10:$J$224),0),
IF('TL04'!$B$229=Q$3,SUMIF('TL04'!$C$238:$C$451,$C413,'TL04'!$J$238:$J$451),0),
IF('TL05'!$B$3=Q$3,SUMIF('TL05'!$C$10:$C$224,$C413,'TL05'!$J$10:$J$224),0),
IF('TL05'!$B$229=Q$3,SUMIF('TL05'!$C$238:$C$451,$C413,'TL05'!$J$238:$J$451),0),
IF('TL06'!$B$3=Q$3,SUMIF('TL06'!$C$10:$C$224,$C413,'TL06'!$J$10:$J$224),0),
IF('TL06'!$B$229=Q$3,SUMIF('TL06'!$C$238:$C$451,$C413,'TL06'!$J$238:$J$451),0),
IF('TL07'!$B$3=Q$3,SUMIF('TL07'!$C$10:$C$224,$C413,'TL07'!$J$10:$J$224),0),
IF('TL07'!$B$229=Q$3,SUMIF('TL07'!$C$238:$C$451,$C413,'TL07'!$J$238:$J$451),0),
IF('TL08'!$B$3=Q$3,SUMIF('TL08'!$C$10:$C$224,$C413,'TL08'!$J$10:$J$224),0),
IF('TL08'!$B$229=Q$3,SUMIF('TL08'!$C$238:$C$451,$C413,'TL08'!$J$238:$J$451),0),
IF('TL09'!$B$3=Q$3,SUMIF('TL09'!$C$10:$C$224,$C413,'TL09'!$J$10:$J$224),0),
IF('TL09'!$B$229=Q$3,SUMIF('TL09'!$C$238:$C$451,$C413,'TL09'!$J$238:$J$451),0),
IF('TL10'!$B$3=Q$3,SUMIF('TL10'!$C$10:$C$224,$C413,'TL10'!$J$10:$J$224),0),
IF('TL10'!$B$229=Q$3,SUMIF('TL10'!$C$238:$C$451,$C413,'TL10'!$J$238:$J$451),0),
IF('TL11'!$B$3=Q$3,SUMIF('TL11'!$C$10:$C$224,$C413,'TL11'!$J$10:$J$224),0),
IF('TL11'!$B$229=Q$3,SUMIF('TL11'!$C$238:$C$451,$C413,'TL11'!$J$238:$J$451),0),
IF('TL12'!$B$3=Q$3,SUMIF('TL12'!$C$10:$C$224,$C413,'TL12'!$J$10:$J$224),0),
IF('TL12'!$B$229=Q$3,SUMIF('TL12'!$C$238:$C$451,$C413,'TL12'!$J$238:$J$451),0),
IF('TL13'!$B$3=Q$3,SUMIF('TL13'!$C$10:$C$224,$C413,'TL13'!$J$10:$J$224),0),
IF('TL13'!$B$229=Q$3,SUMIF('TL13'!$C$238:$C$451,$C413,'TL13'!$J$238:$J$451),0),
IF('TL14'!$B$3=Q$3,SUMIF('TL14'!$C$10:$C$224,$C413,'TL14'!$J$10:$J$224),0),
IF('TL14'!$B$229=Q$3,SUMIF('TL14'!$C$238:$C$451,$C413,'TL14'!$J$238:$J$451),0),
IF('TL15'!$B$3=Q$3,SUMIF('TL15'!$C$10:$C$224,$C413,'TL15'!$J$10:$J$224),0),
IF('TL15'!$B$229=Q$3,SUMIF('TL15'!$C$238:$C$451,$C413,'TL15'!$J$238:$J$451),0),
IF('TL16'!$B$3=Q$3,SUMIF('TL16'!$C$10:$C$224,$C413,'TL16'!$J$10:$J$224),0),
IF('TL16'!$B$229=Q$3,SUMIF('TL16'!$C$238:$C$451,$C413,'TL16'!$J$238:$J$451),0),
IF('TL17'!$B$3=Q$3,SUMIF('TL17'!$C$10:$C$224,$C413,'TL17'!$J$10:$J$224),0),
IF('TL17'!$B$229=Q$3,SUMIF('TL17'!$C$238:$C$451,$C413,'TL17'!$J$238:$J$451),0),
IF('TL18'!$B$3=Q$3,SUMIF('TL18'!$C$10:$C$224,$C413,'TL18'!$J$10:$J$224),0),
IF('TL18'!$B$229=Q$3,SUMIF('TL18'!$C$238:$C$451,$C413,'TL18'!$J$238:$J$451),0),
IF('TL19'!$B$3=Q$3,SUMIF('TL19'!$C$10:$C$224,$C413,'TL19'!$J$10:$J$224),0),
IF('TL19'!$B$229=Q$3,SUMIF('TL19'!$C$238:$C$451,$C413,'TL19'!$J$238:$J$451),0)
),0)</f>
        <v>0</v>
      </c>
      <c r="R413" s="139">
        <f>IFERROR(
SUM(
SUMIF('TL01'!C:C,C413,'TL01'!J:J),
SUMIF('TL02'!C:C,C413,'TL02'!I:I),
SUMIF('TL03'!C:C,C413,'TL03'!I:I),
SUMIF('TL04'!C:C,C413,'TL04'!I:I),
SUMIF('TL05'!C:C,C413,'TL05'!I:I),
SUMIF('TL06'!C:C,C413,'TL06'!I:I),
SUMIF('TL07'!C:C,C413,'TL07'!I:I),
SUMIF('TL08'!C:C,C413,'TL08'!I:I),
SUMIF('TL09'!C:C,C413,'TL09'!I:I),
SUMIF('TL10'!C:C,C413,'TL10'!I:I),
SUMIF('TL11'!C:C,C413,'TL11'!I:I),
SUMIF('TL12'!C:C,C413,'TL12'!I:I),
SUMIF('TL13'!C:C,C413,'TL13'!I:I),
SUMIF('TL14'!C:C,C413,'TL14'!I:I),
SUMIF('TL15'!C:C,C413,'TL15'!I:I),
SUMIF('TL16'!C:C,C413,'TL16'!I:I),
SUMIF('TL17'!C:C,C413,'TL17'!I:I),
SUMIF('TL18'!C:C,C413,'TL18'!I:I))
,0)</f>
        <v>0.1225490196</v>
      </c>
      <c r="S413" s="142">
        <f>'CUSTO OPERAÇÃO'!M17</f>
        <v>52.5</v>
      </c>
      <c r="T413" s="139"/>
      <c r="U413" s="143">
        <f t="shared" si="2"/>
        <v>0.1225490196</v>
      </c>
      <c r="V413" s="144">
        <f t="shared" si="3"/>
        <v>6.433823529</v>
      </c>
    </row>
    <row r="414" ht="15.75" hidden="1" customHeight="1">
      <c r="A414" s="150"/>
      <c r="B414" s="151" t="s">
        <v>10</v>
      </c>
      <c r="C414" s="152" t="str">
        <f>'CUSTO OPERAÇÃO'!D18</f>
        <v>NH T7.260 + CASE 2213</v>
      </c>
      <c r="D414" s="152"/>
      <c r="E414" s="153"/>
      <c r="F414" s="138" t="s">
        <v>1133</v>
      </c>
      <c r="G414" s="139"/>
      <c r="H414" s="140">
        <f>'CUSTO OPERAÇÃO'!J18</f>
        <v>0.2585649644</v>
      </c>
      <c r="I414" s="154"/>
      <c r="J414" s="152">
        <f>IFERROR(SUM(
IF('TL01'!$B$3=J$3,SUMIF('TL01'!$C$10:$C$224,$C414,'TL01'!$J$10:$J$224),0),
IF('TL01'!$B$229=J$3,SUMIF('TL01'!$C$238:$C$451,$C414,'TL01'!$J$238:$J$451),0),
IF('TL02'!$B$3=J$3,SUMIF('TL02'!$C$10:$C$224,$C414,'TL02'!$J$10:$J$224),0),
IF('TL02'!$B$229=J$3,SUMIF('TL02'!$C$238:$C$451,$C414,'TL02'!$J$238:$J$451),0),
IF('TL03'!$B$3=J$3,SUMIF('TL03'!$C$10:$C$224,$C414,'TL03'!$J$10:$J$224),0),
IF('TL03'!$B$229=J$3,SUMIF('TL03'!$C$238:$C$451,$C414,'TL03'!$J$238:$J$451),0),
IF('TL04'!$B$3=J$3,SUMIF('TL04'!$C$10:$C$224,$C414,'TL04'!$J$10:$J$224),0),
IF('TL04'!$B$229=J$3,SUMIF('TL04'!$C$238:$C$451,$C414,'TL04'!$J$238:$J$451),0),
IF('TL05'!$B$3=J$3,SUMIF('TL05'!$C$10:$C$224,$C414,'TL05'!$J$10:$J$224),0),
IF('TL05'!$B$229=J$3,SUMIF('TL05'!$C$238:$C$451,$C414,'TL05'!$J$238:$J$451),0),
IF('TL06'!$B$3=J$3,SUMIF('TL06'!$C$10:$C$224,$C414,'TL06'!$J$10:$J$224),0),
IF('TL06'!$B$229=J$3,SUMIF('TL06'!$C$238:$C$451,$C414,'TL06'!$J$238:$J$451),0),
IF('TL07'!$B$3=J$3,SUMIF('TL07'!$C$10:$C$224,$C414,'TL07'!$J$10:$J$224),0),
IF('TL07'!$B$229=J$3,SUMIF('TL07'!$C$238:$C$451,$C414,'TL07'!$J$238:$J$451),0),
IF('TL08'!$B$3=J$3,SUMIF('TL08'!$C$10:$C$224,$C414,'TL08'!$J$10:$J$224),0),
IF('TL08'!$B$229=J$3,SUMIF('TL08'!$C$238:$C$451,$C414,'TL08'!$J$238:$J$451),0),
IF('TL09'!$B$3=J$3,SUMIF('TL09'!$C$10:$C$224,$C414,'TL09'!$J$10:$J$224),0),
IF('TL09'!$B$229=J$3,SUMIF('TL09'!$C$238:$C$451,$C414,'TL09'!$J$238:$J$451),0),
IF('TL10'!$B$3=J$3,SUMIF('TL10'!$C$10:$C$224,$C414,'TL10'!$J$10:$J$224),0),
IF('TL10'!$B$229=J$3,SUMIF('TL10'!$C$238:$C$451,$C414,'TL10'!$J$238:$J$451),0),
IF('TL11'!$B$3=J$3,SUMIF('TL11'!$C$10:$C$224,$C414,'TL11'!$J$10:$J$224),0),
IF('TL11'!$B$229=J$3,SUMIF('TL11'!$C$238:$C$451,$C414,'TL11'!$J$238:$J$451),0),
IF('TL12'!$B$3=J$3,SUMIF('TL12'!$C$10:$C$224,$C414,'TL12'!$J$10:$J$224),0),
IF('TL12'!$B$229=J$3,SUMIF('TL12'!$C$238:$C$451,$C414,'TL12'!$J$238:$J$451),0),
IF('TL13'!$B$3=J$3,SUMIF('TL13'!$C$10:$C$224,$C414,'TL13'!$J$10:$J$224),0),
IF('TL13'!$B$229=J$3,SUMIF('TL13'!$C$238:$C$451,$C414,'TL13'!$J$238:$J$451),0),
IF('TL14'!$B$3=J$3,SUMIF('TL14'!$C$10:$C$224,$C414,'TL14'!$J$10:$J$224),0),
IF('TL14'!$B$229=J$3,SUMIF('TL14'!$C$238:$C$451,$C414,'TL14'!$J$238:$J$451),0),
IF('TL15'!$B$3=J$3,SUMIF('TL15'!$C$10:$C$224,$C414,'TL15'!$J$10:$J$224),0),
IF('TL15'!$B$229=J$3,SUMIF('TL15'!$C$238:$C$451,$C414,'TL15'!$J$238:$J$451),0),
IF('TL16'!$B$3=J$3,SUMIF('TL16'!$C$10:$C$224,$C414,'TL16'!$J$10:$J$224),0),
IF('TL16'!$B$229=J$3,SUMIF('TL16'!$C$238:$C$451,$C414,'TL16'!$J$238:$J$451),0),
IF('TL17'!$B$3=J$3,SUMIF('TL17'!$C$10:$C$224,$C414,'TL17'!$J$10:$J$224),0),
IF('TL17'!$B$229=J$3,SUMIF('TL17'!$C$238:$C$451,$C414,'TL17'!$J$238:$J$451),0),
IF('TL18'!$B$3=J$3,SUMIF('TL18'!$C$10:$C$224,$C414,'TL18'!$J$10:$J$224),0),
IF('TL18'!$B$229=J$3,SUMIF('TL18'!$C$238:$C$451,$C414,'TL18'!$J$238:$J$451),0),
IF('TL19'!$B$3=J$3,SUMIF('TL19'!$C$10:$C$224,$C414,'TL19'!$J$10:$J$224),0),
IF('TL19'!$B$229=J$3,SUMIF('TL19'!$C$238:$C$451,$C414,'TL19'!$J$238:$J$451),0)
),0)</f>
        <v>36.4</v>
      </c>
      <c r="K414" s="152">
        <f>IFERROR(SUM(
IF('TL01'!$B$3=K$3,SUMIF('TL01'!$C$10:$C$224,$C414,'TL01'!$J$10:$J$224),0),
IF('TL01'!$B$229=K$3,SUMIF('TL01'!$C$238:$C$451,$C414,'TL01'!$J$238:$J$451),0),
IF('TL02'!$B$3=K$3,SUMIF('TL02'!$C$10:$C$224,$C414,'TL02'!$J$10:$J$224),0),
IF('TL02'!$B$229=K$3,SUMIF('TL02'!$C$238:$C$451,$C414,'TL02'!$J$238:$J$451),0),
IF('TL03'!$B$3=K$3,SUMIF('TL03'!$C$10:$C$224,$C414,'TL03'!$J$10:$J$224),0),
IF('TL03'!$B$229=K$3,SUMIF('TL03'!$C$238:$C$451,$C414,'TL03'!$J$238:$J$451),0),
IF('TL04'!$B$3=K$3,SUMIF('TL04'!$C$10:$C$224,$C414,'TL04'!$J$10:$J$224),0),
IF('TL04'!$B$229=K$3,SUMIF('TL04'!$C$238:$C$451,$C414,'TL04'!$J$238:$J$451),0),
IF('TL05'!$B$3=K$3,SUMIF('TL05'!$C$10:$C$224,$C414,'TL05'!$J$10:$J$224),0),
IF('TL05'!$B$229=K$3,SUMIF('TL05'!$C$238:$C$451,$C414,'TL05'!$J$238:$J$451),0),
IF('TL06'!$B$3=K$3,SUMIF('TL06'!$C$10:$C$224,$C414,'TL06'!$J$10:$J$224),0),
IF('TL06'!$B$229=K$3,SUMIF('TL06'!$C$238:$C$451,$C414,'TL06'!$J$238:$J$451),0),
IF('TL07'!$B$3=K$3,SUMIF('TL07'!$C$10:$C$224,$C414,'TL07'!$J$10:$J$224),0),
IF('TL07'!$B$229=K$3,SUMIF('TL07'!$C$238:$C$451,$C414,'TL07'!$J$238:$J$451),0),
IF('TL08'!$B$3=K$3,SUMIF('TL08'!$C$10:$C$224,$C414,'TL08'!$J$10:$J$224),0),
IF('TL08'!$B$229=K$3,SUMIF('TL08'!$C$238:$C$451,$C414,'TL08'!$J$238:$J$451),0),
IF('TL09'!$B$3=K$3,SUMIF('TL09'!$C$10:$C$224,$C414,'TL09'!$J$10:$J$224),0),
IF('TL09'!$B$229=K$3,SUMIF('TL09'!$C$238:$C$451,$C414,'TL09'!$J$238:$J$451),0),
IF('TL10'!$B$3=K$3,SUMIF('TL10'!$C$10:$C$224,$C414,'TL10'!$J$10:$J$224),0),
IF('TL10'!$B$229=K$3,SUMIF('TL10'!$C$238:$C$451,$C414,'TL10'!$J$238:$J$451),0),
IF('TL11'!$B$3=K$3,SUMIF('TL11'!$C$10:$C$224,$C414,'TL11'!$J$10:$J$224),0),
IF('TL11'!$B$229=K$3,SUMIF('TL11'!$C$238:$C$451,$C414,'TL11'!$J$238:$J$451),0),
IF('TL12'!$B$3=K$3,SUMIF('TL12'!$C$10:$C$224,$C414,'TL12'!$J$10:$J$224),0),
IF('TL12'!$B$229=K$3,SUMIF('TL12'!$C$238:$C$451,$C414,'TL12'!$J$238:$J$451),0),
IF('TL13'!$B$3=K$3,SUMIF('TL13'!$C$10:$C$224,$C414,'TL13'!$J$10:$J$224),0),
IF('TL13'!$B$229=K$3,SUMIF('TL13'!$C$238:$C$451,$C414,'TL13'!$J$238:$J$451),0),
IF('TL14'!$B$3=K$3,SUMIF('TL14'!$C$10:$C$224,$C414,'TL14'!$J$10:$J$224),0),
IF('TL14'!$B$229=K$3,SUMIF('TL14'!$C$238:$C$451,$C414,'TL14'!$J$238:$J$451),0),
IF('TL15'!$B$3=K$3,SUMIF('TL15'!$C$10:$C$224,$C414,'TL15'!$J$10:$J$224),0),
IF('TL15'!$B$229=K$3,SUMIF('TL15'!$C$238:$C$451,$C414,'TL15'!$J$238:$J$451),0),
IF('TL16'!$B$3=K$3,SUMIF('TL16'!$C$10:$C$224,$C414,'TL16'!$J$10:$J$224),0),
IF('TL16'!$B$229=K$3,SUMIF('TL16'!$C$238:$C$451,$C414,'TL16'!$J$238:$J$451),0),
IF('TL17'!$B$3=K$3,SUMIF('TL17'!$C$10:$C$224,$C414,'TL17'!$J$10:$J$224),0),
IF('TL17'!$B$229=K$3,SUMIF('TL17'!$C$238:$C$451,$C414,'TL17'!$J$238:$J$451),0),
IF('TL18'!$B$3=K$3,SUMIF('TL18'!$C$10:$C$224,$C414,'TL18'!$J$10:$J$224),0),
IF('TL18'!$B$229=K$3,SUMIF('TL18'!$C$238:$C$451,$C414,'TL18'!$J$238:$J$451),0),
IF('TL19'!$B$3=K$3,SUMIF('TL19'!$C$10:$C$224,$C414,'TL19'!$J$10:$J$224),0),
IF('TL19'!$B$229=K$3,SUMIF('TL19'!$C$238:$C$451,$C414,'TL19'!$J$238:$J$451),0)
),0)</f>
        <v>0</v>
      </c>
      <c r="L414" s="152">
        <f>IFERROR(SUM(
IF('TL01'!$B$3=L$3,SUMIF('TL01'!$C$10:$C$224,$C414,'TL01'!$J$10:$J$224),0),
IF('TL01'!$B$229=L$3,SUMIF('TL01'!$C$238:$C$451,$C414,'TL01'!$J$238:$J$451),0),
IF('TL02'!$B$3=L$3,SUMIF('TL02'!$C$10:$C$224,$C414,'TL02'!$J$10:$J$224),0),
IF('TL02'!$B$229=L$3,SUMIF('TL02'!$C$238:$C$451,$C414,'TL02'!$J$238:$J$451),0),
IF('TL03'!$B$3=L$3,SUMIF('TL03'!$C$10:$C$224,$C414,'TL03'!$J$10:$J$224),0),
IF('TL03'!$B$229=L$3,SUMIF('TL03'!$C$238:$C$451,$C414,'TL03'!$J$238:$J$451),0),
IF('TL04'!$B$3=L$3,SUMIF('TL04'!$C$10:$C$224,$C414,'TL04'!$J$10:$J$224),0),
IF('TL04'!$B$229=L$3,SUMIF('TL04'!$C$238:$C$451,$C414,'TL04'!$J$238:$J$451),0),
IF('TL05'!$B$3=L$3,SUMIF('TL05'!$C$10:$C$224,$C414,'TL05'!$J$10:$J$224),0),
IF('TL05'!$B$229=L$3,SUMIF('TL05'!$C$238:$C$451,$C414,'TL05'!$J$238:$J$451),0),
IF('TL06'!$B$3=L$3,SUMIF('TL06'!$C$10:$C$224,$C414,'TL06'!$J$10:$J$224),0),
IF('TL06'!$B$229=L$3,SUMIF('TL06'!$C$238:$C$451,$C414,'TL06'!$J$238:$J$451),0),
IF('TL07'!$B$3=L$3,SUMIF('TL07'!$C$10:$C$224,$C414,'TL07'!$J$10:$J$224),0),
IF('TL07'!$B$229=L$3,SUMIF('TL07'!$C$238:$C$451,$C414,'TL07'!$J$238:$J$451),0),
IF('TL08'!$B$3=L$3,SUMIF('TL08'!$C$10:$C$224,$C414,'TL08'!$J$10:$J$224),0),
IF('TL08'!$B$229=L$3,SUMIF('TL08'!$C$238:$C$451,$C414,'TL08'!$J$238:$J$451),0),
IF('TL09'!$B$3=L$3,SUMIF('TL09'!$C$10:$C$224,$C414,'TL09'!$J$10:$J$224),0),
IF('TL09'!$B$229=L$3,SUMIF('TL09'!$C$238:$C$451,$C414,'TL09'!$J$238:$J$451),0),
IF('TL10'!$B$3=L$3,SUMIF('TL10'!$C$10:$C$224,$C414,'TL10'!$J$10:$J$224),0),
IF('TL10'!$B$229=L$3,SUMIF('TL10'!$C$238:$C$451,$C414,'TL10'!$J$238:$J$451),0),
IF('TL11'!$B$3=L$3,SUMIF('TL11'!$C$10:$C$224,$C414,'TL11'!$J$10:$J$224),0),
IF('TL11'!$B$229=L$3,SUMIF('TL11'!$C$238:$C$451,$C414,'TL11'!$J$238:$J$451),0),
IF('TL12'!$B$3=L$3,SUMIF('TL12'!$C$10:$C$224,$C414,'TL12'!$J$10:$J$224),0),
IF('TL12'!$B$229=L$3,SUMIF('TL12'!$C$238:$C$451,$C414,'TL12'!$J$238:$J$451),0),
IF('TL13'!$B$3=L$3,SUMIF('TL13'!$C$10:$C$224,$C414,'TL13'!$J$10:$J$224),0),
IF('TL13'!$B$229=L$3,SUMIF('TL13'!$C$238:$C$451,$C414,'TL13'!$J$238:$J$451),0),
IF('TL14'!$B$3=L$3,SUMIF('TL14'!$C$10:$C$224,$C414,'TL14'!$J$10:$J$224),0),
IF('TL14'!$B$229=L$3,SUMIF('TL14'!$C$238:$C$451,$C414,'TL14'!$J$238:$J$451),0),
IF('TL15'!$B$3=L$3,SUMIF('TL15'!$C$10:$C$224,$C414,'TL15'!$J$10:$J$224),0),
IF('TL15'!$B$229=L$3,SUMIF('TL15'!$C$238:$C$451,$C414,'TL15'!$J$238:$J$451),0),
IF('TL16'!$B$3=L$3,SUMIF('TL16'!$C$10:$C$224,$C414,'TL16'!$J$10:$J$224),0),
IF('TL16'!$B$229=L$3,SUMIF('TL16'!$C$238:$C$451,$C414,'TL16'!$J$238:$J$451),0),
IF('TL17'!$B$3=L$3,SUMIF('TL17'!$C$10:$C$224,$C414,'TL17'!$J$10:$J$224),0),
IF('TL17'!$B$229=L$3,SUMIF('TL17'!$C$238:$C$451,$C414,'TL17'!$J$238:$J$451),0),
IF('TL18'!$B$3=L$3,SUMIF('TL18'!$C$10:$C$224,$C414,'TL18'!$J$10:$J$224),0),
IF('TL18'!$B$229=L$3,SUMIF('TL18'!$C$238:$C$451,$C414,'TL18'!$J$238:$J$451),0),
IF('TL19'!$B$3=L$3,SUMIF('TL19'!$C$10:$C$224,$C414,'TL19'!$J$10:$J$224),0),
IF('TL19'!$B$229=L$3,SUMIF('TL19'!$C$238:$C$451,$C414,'TL19'!$J$238:$J$451),0)
),0)</f>
        <v>0</v>
      </c>
      <c r="M414" s="152">
        <f>IFERROR(SUM(
IF('TL01'!$B$3=M$3,SUMIF('TL01'!$C$10:$C$224,$C414,'TL01'!$J$10:$J$224),0),
IF('TL01'!$B$229=M$3,SUMIF('TL01'!$C$238:$C$451,$C414,'TL01'!$J$238:$J$451),0),
IF('TL02'!$B$3=M$3,SUMIF('TL02'!$C$10:$C$224,$C414,'TL02'!$J$10:$J$224),0),
IF('TL02'!$B$229=M$3,SUMIF('TL02'!$C$238:$C$451,$C414,'TL02'!$J$238:$J$451),0),
IF('TL03'!$B$3=M$3,SUMIF('TL03'!$C$10:$C$224,$C414,'TL03'!$J$10:$J$224),0),
IF('TL03'!$B$229=M$3,SUMIF('TL03'!$C$238:$C$451,$C414,'TL03'!$J$238:$J$451),0),
IF('TL04'!$B$3=M$3,SUMIF('TL04'!$C$10:$C$224,$C414,'TL04'!$J$10:$J$224),0),
IF('TL04'!$B$229=M$3,SUMIF('TL04'!$C$238:$C$451,$C414,'TL04'!$J$238:$J$451),0),
IF('TL05'!$B$3=M$3,SUMIF('TL05'!$C$10:$C$224,$C414,'TL05'!$J$10:$J$224),0),
IF('TL05'!$B$229=M$3,SUMIF('TL05'!$C$238:$C$451,$C414,'TL05'!$J$238:$J$451),0),
IF('TL06'!$B$3=M$3,SUMIF('TL06'!$C$10:$C$224,$C414,'TL06'!$J$10:$J$224),0),
IF('TL06'!$B$229=M$3,SUMIF('TL06'!$C$238:$C$451,$C414,'TL06'!$J$238:$J$451),0),
IF('TL07'!$B$3=M$3,SUMIF('TL07'!$C$10:$C$224,$C414,'TL07'!$J$10:$J$224),0),
IF('TL07'!$B$229=M$3,SUMIF('TL07'!$C$238:$C$451,$C414,'TL07'!$J$238:$J$451),0),
IF('TL08'!$B$3=M$3,SUMIF('TL08'!$C$10:$C$224,$C414,'TL08'!$J$10:$J$224),0),
IF('TL08'!$B$229=M$3,SUMIF('TL08'!$C$238:$C$451,$C414,'TL08'!$J$238:$J$451),0),
IF('TL09'!$B$3=M$3,SUMIF('TL09'!$C$10:$C$224,$C414,'TL09'!$J$10:$J$224),0),
IF('TL09'!$B$229=M$3,SUMIF('TL09'!$C$238:$C$451,$C414,'TL09'!$J$238:$J$451),0),
IF('TL10'!$B$3=M$3,SUMIF('TL10'!$C$10:$C$224,$C414,'TL10'!$J$10:$J$224),0),
IF('TL10'!$B$229=M$3,SUMIF('TL10'!$C$238:$C$451,$C414,'TL10'!$J$238:$J$451),0),
IF('TL11'!$B$3=M$3,SUMIF('TL11'!$C$10:$C$224,$C414,'TL11'!$J$10:$J$224),0),
IF('TL11'!$B$229=M$3,SUMIF('TL11'!$C$238:$C$451,$C414,'TL11'!$J$238:$J$451),0),
IF('TL12'!$B$3=M$3,SUMIF('TL12'!$C$10:$C$224,$C414,'TL12'!$J$10:$J$224),0),
IF('TL12'!$B$229=M$3,SUMIF('TL12'!$C$238:$C$451,$C414,'TL12'!$J$238:$J$451),0),
IF('TL13'!$B$3=M$3,SUMIF('TL13'!$C$10:$C$224,$C414,'TL13'!$J$10:$J$224),0),
IF('TL13'!$B$229=M$3,SUMIF('TL13'!$C$238:$C$451,$C414,'TL13'!$J$238:$J$451),0),
IF('TL14'!$B$3=M$3,SUMIF('TL14'!$C$10:$C$224,$C414,'TL14'!$J$10:$J$224),0),
IF('TL14'!$B$229=M$3,SUMIF('TL14'!$C$238:$C$451,$C414,'TL14'!$J$238:$J$451),0),
IF('TL15'!$B$3=M$3,SUMIF('TL15'!$C$10:$C$224,$C414,'TL15'!$J$10:$J$224),0),
IF('TL15'!$B$229=M$3,SUMIF('TL15'!$C$238:$C$451,$C414,'TL15'!$J$238:$J$451),0),
IF('TL16'!$B$3=M$3,SUMIF('TL16'!$C$10:$C$224,$C414,'TL16'!$J$10:$J$224),0),
IF('TL16'!$B$229=M$3,SUMIF('TL16'!$C$238:$C$451,$C414,'TL16'!$J$238:$J$451),0),
IF('TL17'!$B$3=M$3,SUMIF('TL17'!$C$10:$C$224,$C414,'TL17'!$J$10:$J$224),0),
IF('TL17'!$B$229=M$3,SUMIF('TL17'!$C$238:$C$451,$C414,'TL17'!$J$238:$J$451),0),
IF('TL18'!$B$3=M$3,SUMIF('TL18'!$C$10:$C$224,$C414,'TL18'!$J$10:$J$224),0),
IF('TL18'!$B$229=M$3,SUMIF('TL18'!$C$238:$C$451,$C414,'TL18'!$J$238:$J$451),0),
IF('TL19'!$B$3=M$3,SUMIF('TL19'!$C$10:$C$224,$C414,'TL19'!$J$10:$J$224),0),
IF('TL19'!$B$229=M$3,SUMIF('TL19'!$C$238:$C$451,$C414,'TL19'!$J$238:$J$451),0)
),0)</f>
        <v>0</v>
      </c>
      <c r="N414" s="152">
        <f>IFERROR(SUM(
IF('TL01'!$B$3=N$3,SUMIF('TL01'!$C$10:$C$224,$C414,'TL01'!$J$10:$J$224),0),
IF('TL01'!$B$229=N$3,SUMIF('TL01'!$C$238:$C$451,$C414,'TL01'!$J$238:$J$451),0),
IF('TL02'!$B$3=N$3,SUMIF('TL02'!$C$10:$C$224,$C414,'TL02'!$J$10:$J$224),0),
IF('TL02'!$B$229=N$3,SUMIF('TL02'!$C$238:$C$451,$C414,'TL02'!$J$238:$J$451),0),
IF('TL03'!$B$3=N$3,SUMIF('TL03'!$C$10:$C$224,$C414,'TL03'!$J$10:$J$224),0),
IF('TL03'!$B$229=N$3,SUMIF('TL03'!$C$238:$C$451,$C414,'TL03'!$J$238:$J$451),0),
IF('TL04'!$B$3=N$3,SUMIF('TL04'!$C$10:$C$224,$C414,'TL04'!$J$10:$J$224),0),
IF('TL04'!$B$229=N$3,SUMIF('TL04'!$C$238:$C$451,$C414,'TL04'!$J$238:$J$451),0),
IF('TL05'!$B$3=N$3,SUMIF('TL05'!$C$10:$C$224,$C414,'TL05'!$J$10:$J$224),0),
IF('TL05'!$B$229=N$3,SUMIF('TL05'!$C$238:$C$451,$C414,'TL05'!$J$238:$J$451),0),
IF('TL06'!$B$3=N$3,SUMIF('TL06'!$C$10:$C$224,$C414,'TL06'!$J$10:$J$224),0),
IF('TL06'!$B$229=N$3,SUMIF('TL06'!$C$238:$C$451,$C414,'TL06'!$J$238:$J$451),0),
IF('TL07'!$B$3=N$3,SUMIF('TL07'!$C$10:$C$224,$C414,'TL07'!$J$10:$J$224),0),
IF('TL07'!$B$229=N$3,SUMIF('TL07'!$C$238:$C$451,$C414,'TL07'!$J$238:$J$451),0),
IF('TL08'!$B$3=N$3,SUMIF('TL08'!$C$10:$C$224,$C414,'TL08'!$J$10:$J$224),0),
IF('TL08'!$B$229=N$3,SUMIF('TL08'!$C$238:$C$451,$C414,'TL08'!$J$238:$J$451),0),
IF('TL09'!$B$3=N$3,SUMIF('TL09'!$C$10:$C$224,$C414,'TL09'!$J$10:$J$224),0),
IF('TL09'!$B$229=N$3,SUMIF('TL09'!$C$238:$C$451,$C414,'TL09'!$J$238:$J$451),0),
IF('TL10'!$B$3=N$3,SUMIF('TL10'!$C$10:$C$224,$C414,'TL10'!$J$10:$J$224),0),
IF('TL10'!$B$229=N$3,SUMIF('TL10'!$C$238:$C$451,$C414,'TL10'!$J$238:$J$451),0),
IF('TL11'!$B$3=N$3,SUMIF('TL11'!$C$10:$C$224,$C414,'TL11'!$J$10:$J$224),0),
IF('TL11'!$B$229=N$3,SUMIF('TL11'!$C$238:$C$451,$C414,'TL11'!$J$238:$J$451),0),
IF('TL12'!$B$3=N$3,SUMIF('TL12'!$C$10:$C$224,$C414,'TL12'!$J$10:$J$224),0),
IF('TL12'!$B$229=N$3,SUMIF('TL12'!$C$238:$C$451,$C414,'TL12'!$J$238:$J$451),0),
IF('TL13'!$B$3=N$3,SUMIF('TL13'!$C$10:$C$224,$C414,'TL13'!$J$10:$J$224),0),
IF('TL13'!$B$229=N$3,SUMIF('TL13'!$C$238:$C$451,$C414,'TL13'!$J$238:$J$451),0),
IF('TL14'!$B$3=N$3,SUMIF('TL14'!$C$10:$C$224,$C414,'TL14'!$J$10:$J$224),0),
IF('TL14'!$B$229=N$3,SUMIF('TL14'!$C$238:$C$451,$C414,'TL14'!$J$238:$J$451),0),
IF('TL15'!$B$3=N$3,SUMIF('TL15'!$C$10:$C$224,$C414,'TL15'!$J$10:$J$224),0),
IF('TL15'!$B$229=N$3,SUMIF('TL15'!$C$238:$C$451,$C414,'TL15'!$J$238:$J$451),0),
IF('TL16'!$B$3=N$3,SUMIF('TL16'!$C$10:$C$224,$C414,'TL16'!$J$10:$J$224),0),
IF('TL16'!$B$229=N$3,SUMIF('TL16'!$C$238:$C$451,$C414,'TL16'!$J$238:$J$451),0),
IF('TL17'!$B$3=N$3,SUMIF('TL17'!$C$10:$C$224,$C414,'TL17'!$J$10:$J$224),0),
IF('TL17'!$B$229=N$3,SUMIF('TL17'!$C$238:$C$451,$C414,'TL17'!$J$238:$J$451),0),
IF('TL18'!$B$3=N$3,SUMIF('TL18'!$C$10:$C$224,$C414,'TL18'!$J$10:$J$224),0),
IF('TL18'!$B$229=N$3,SUMIF('TL18'!$C$238:$C$451,$C414,'TL18'!$J$238:$J$451),0),
IF('TL19'!$B$3=N$3,SUMIF('TL19'!$C$10:$C$224,$C414,'TL19'!$J$10:$J$224),0),
IF('TL19'!$B$229=N$3,SUMIF('TL19'!$C$238:$C$451,$C414,'TL19'!$J$238:$J$451),0)
),0)</f>
        <v>0</v>
      </c>
      <c r="O414" s="152">
        <f>IFERROR(SUM(
IF('TL01'!$B$3=O$3,SUMIF('TL01'!$C$10:$C$224,$C414,'TL01'!$J$10:$J$224),0),
IF('TL01'!$B$229=O$3,SUMIF('TL01'!$C$238:$C$451,$C414,'TL01'!$J$238:$J$451),0),
IF('TL02'!$B$3=O$3,SUMIF('TL02'!$C$10:$C$224,$C414,'TL02'!$J$10:$J$224),0),
IF('TL02'!$B$229=O$3,SUMIF('TL02'!$C$238:$C$451,$C414,'TL02'!$J$238:$J$451),0),
IF('TL03'!$B$3=O$3,SUMIF('TL03'!$C$10:$C$224,$C414,'TL03'!$J$10:$J$224),0),
IF('TL03'!$B$229=O$3,SUMIF('TL03'!$C$238:$C$451,$C414,'TL03'!$J$238:$J$451),0),
IF('TL04'!$B$3=O$3,SUMIF('TL04'!$C$10:$C$224,$C414,'TL04'!$J$10:$J$224),0),
IF('TL04'!$B$229=O$3,SUMIF('TL04'!$C$238:$C$451,$C414,'TL04'!$J$238:$J$451),0),
IF('TL05'!$B$3=O$3,SUMIF('TL05'!$C$10:$C$224,$C414,'TL05'!$J$10:$J$224),0),
IF('TL05'!$B$229=O$3,SUMIF('TL05'!$C$238:$C$451,$C414,'TL05'!$J$238:$J$451),0),
IF('TL06'!$B$3=O$3,SUMIF('TL06'!$C$10:$C$224,$C414,'TL06'!$J$10:$J$224),0),
IF('TL06'!$B$229=O$3,SUMIF('TL06'!$C$238:$C$451,$C414,'TL06'!$J$238:$J$451),0),
IF('TL07'!$B$3=O$3,SUMIF('TL07'!$C$10:$C$224,$C414,'TL07'!$J$10:$J$224),0),
IF('TL07'!$B$229=O$3,SUMIF('TL07'!$C$238:$C$451,$C414,'TL07'!$J$238:$J$451),0),
IF('TL08'!$B$3=O$3,SUMIF('TL08'!$C$10:$C$224,$C414,'TL08'!$J$10:$J$224),0),
IF('TL08'!$B$229=O$3,SUMIF('TL08'!$C$238:$C$451,$C414,'TL08'!$J$238:$J$451),0),
IF('TL09'!$B$3=O$3,SUMIF('TL09'!$C$10:$C$224,$C414,'TL09'!$J$10:$J$224),0),
IF('TL09'!$B$229=O$3,SUMIF('TL09'!$C$238:$C$451,$C414,'TL09'!$J$238:$J$451),0),
IF('TL10'!$B$3=O$3,SUMIF('TL10'!$C$10:$C$224,$C414,'TL10'!$J$10:$J$224),0),
IF('TL10'!$B$229=O$3,SUMIF('TL10'!$C$238:$C$451,$C414,'TL10'!$J$238:$J$451),0),
IF('TL11'!$B$3=O$3,SUMIF('TL11'!$C$10:$C$224,$C414,'TL11'!$J$10:$J$224),0),
IF('TL11'!$B$229=O$3,SUMIF('TL11'!$C$238:$C$451,$C414,'TL11'!$J$238:$J$451),0),
IF('TL12'!$B$3=O$3,SUMIF('TL12'!$C$10:$C$224,$C414,'TL12'!$J$10:$J$224),0),
IF('TL12'!$B$229=O$3,SUMIF('TL12'!$C$238:$C$451,$C414,'TL12'!$J$238:$J$451),0),
IF('TL13'!$B$3=O$3,SUMIF('TL13'!$C$10:$C$224,$C414,'TL13'!$J$10:$J$224),0),
IF('TL13'!$B$229=O$3,SUMIF('TL13'!$C$238:$C$451,$C414,'TL13'!$J$238:$J$451),0),
IF('TL14'!$B$3=O$3,SUMIF('TL14'!$C$10:$C$224,$C414,'TL14'!$J$10:$J$224),0),
IF('TL14'!$B$229=O$3,SUMIF('TL14'!$C$238:$C$451,$C414,'TL14'!$J$238:$J$451),0),
IF('TL15'!$B$3=O$3,SUMIF('TL15'!$C$10:$C$224,$C414,'TL15'!$J$10:$J$224),0),
IF('TL15'!$B$229=O$3,SUMIF('TL15'!$C$238:$C$451,$C414,'TL15'!$J$238:$J$451),0),
IF('TL16'!$B$3=O$3,SUMIF('TL16'!$C$10:$C$224,$C414,'TL16'!$J$10:$J$224),0),
IF('TL16'!$B$229=O$3,SUMIF('TL16'!$C$238:$C$451,$C414,'TL16'!$J$238:$J$451),0),
IF('TL17'!$B$3=O$3,SUMIF('TL17'!$C$10:$C$224,$C414,'TL17'!$J$10:$J$224),0),
IF('TL17'!$B$229=O$3,SUMIF('TL17'!$C$238:$C$451,$C414,'TL17'!$J$238:$J$451),0),
IF('TL18'!$B$3=O$3,SUMIF('TL18'!$C$10:$C$224,$C414,'TL18'!$J$10:$J$224),0),
IF('TL18'!$B$229=O$3,SUMIF('TL18'!$C$238:$C$451,$C414,'TL18'!$J$238:$J$451),0),
IF('TL19'!$B$3=O$3,SUMIF('TL19'!$C$10:$C$224,$C414,'TL19'!$J$10:$J$224),0),
IF('TL19'!$B$229=O$3,SUMIF('TL19'!$C$238:$C$451,$C414,'TL19'!$J$238:$J$451),0)
),0)</f>
        <v>0</v>
      </c>
      <c r="P414" s="152">
        <f>IFERROR(SUM(
IF('TL01'!$B$3=P$3,SUMIF('TL01'!$C$10:$C$224,$C414,'TL01'!$J$10:$J$224),0),
IF('TL01'!$B$229=P$3,SUMIF('TL01'!$C$238:$C$451,$C414,'TL01'!$J$238:$J$451),0),
IF('TL02'!$B$3=P$3,SUMIF('TL02'!$C$10:$C$224,$C414,'TL02'!$J$10:$J$224),0),
IF('TL02'!$B$229=P$3,SUMIF('TL02'!$C$238:$C$451,$C414,'TL02'!$J$238:$J$451),0),
IF('TL03'!$B$3=P$3,SUMIF('TL03'!$C$10:$C$224,$C414,'TL03'!$J$10:$J$224),0),
IF('TL03'!$B$229=P$3,SUMIF('TL03'!$C$238:$C$451,$C414,'TL03'!$J$238:$J$451),0),
IF('TL04'!$B$3=P$3,SUMIF('TL04'!$C$10:$C$224,$C414,'TL04'!$J$10:$J$224),0),
IF('TL04'!$B$229=P$3,SUMIF('TL04'!$C$238:$C$451,$C414,'TL04'!$J$238:$J$451),0),
IF('TL05'!$B$3=P$3,SUMIF('TL05'!$C$10:$C$224,$C414,'TL05'!$J$10:$J$224),0),
IF('TL05'!$B$229=P$3,SUMIF('TL05'!$C$238:$C$451,$C414,'TL05'!$J$238:$J$451),0),
IF('TL06'!$B$3=P$3,SUMIF('TL06'!$C$10:$C$224,$C414,'TL06'!$J$10:$J$224),0),
IF('TL06'!$B$229=P$3,SUMIF('TL06'!$C$238:$C$451,$C414,'TL06'!$J$238:$J$451),0),
IF('TL07'!$B$3=P$3,SUMIF('TL07'!$C$10:$C$224,$C414,'TL07'!$J$10:$J$224),0),
IF('TL07'!$B$229=P$3,SUMIF('TL07'!$C$238:$C$451,$C414,'TL07'!$J$238:$J$451),0),
IF('TL08'!$B$3=P$3,SUMIF('TL08'!$C$10:$C$224,$C414,'TL08'!$J$10:$J$224),0),
IF('TL08'!$B$229=P$3,SUMIF('TL08'!$C$238:$C$451,$C414,'TL08'!$J$238:$J$451),0),
IF('TL09'!$B$3=P$3,SUMIF('TL09'!$C$10:$C$224,$C414,'TL09'!$J$10:$J$224),0),
IF('TL09'!$B$229=P$3,SUMIF('TL09'!$C$238:$C$451,$C414,'TL09'!$J$238:$J$451),0),
IF('TL10'!$B$3=P$3,SUMIF('TL10'!$C$10:$C$224,$C414,'TL10'!$J$10:$J$224),0),
IF('TL10'!$B$229=P$3,SUMIF('TL10'!$C$238:$C$451,$C414,'TL10'!$J$238:$J$451),0),
IF('TL11'!$B$3=P$3,SUMIF('TL11'!$C$10:$C$224,$C414,'TL11'!$J$10:$J$224),0),
IF('TL11'!$B$229=P$3,SUMIF('TL11'!$C$238:$C$451,$C414,'TL11'!$J$238:$J$451),0),
IF('TL12'!$B$3=P$3,SUMIF('TL12'!$C$10:$C$224,$C414,'TL12'!$J$10:$J$224),0),
IF('TL12'!$B$229=P$3,SUMIF('TL12'!$C$238:$C$451,$C414,'TL12'!$J$238:$J$451),0),
IF('TL13'!$B$3=P$3,SUMIF('TL13'!$C$10:$C$224,$C414,'TL13'!$J$10:$J$224),0),
IF('TL13'!$B$229=P$3,SUMIF('TL13'!$C$238:$C$451,$C414,'TL13'!$J$238:$J$451),0),
IF('TL14'!$B$3=P$3,SUMIF('TL14'!$C$10:$C$224,$C414,'TL14'!$J$10:$J$224),0),
IF('TL14'!$B$229=P$3,SUMIF('TL14'!$C$238:$C$451,$C414,'TL14'!$J$238:$J$451),0),
IF('TL15'!$B$3=P$3,SUMIF('TL15'!$C$10:$C$224,$C414,'TL15'!$J$10:$J$224),0),
IF('TL15'!$B$229=P$3,SUMIF('TL15'!$C$238:$C$451,$C414,'TL15'!$J$238:$J$451),0),
IF('TL16'!$B$3=P$3,SUMIF('TL16'!$C$10:$C$224,$C414,'TL16'!$J$10:$J$224),0),
IF('TL16'!$B$229=P$3,SUMIF('TL16'!$C$238:$C$451,$C414,'TL16'!$J$238:$J$451),0),
IF('TL17'!$B$3=P$3,SUMIF('TL17'!$C$10:$C$224,$C414,'TL17'!$J$10:$J$224),0),
IF('TL17'!$B$229=P$3,SUMIF('TL17'!$C$238:$C$451,$C414,'TL17'!$J$238:$J$451),0),
IF('TL18'!$B$3=P$3,SUMIF('TL18'!$C$10:$C$224,$C414,'TL18'!$J$10:$J$224),0),
IF('TL18'!$B$229=P$3,SUMIF('TL18'!$C$238:$C$451,$C414,'TL18'!$J$238:$J$451),0),
IF('TL19'!$B$3=P$3,SUMIF('TL19'!$C$10:$C$224,$C414,'TL19'!$J$10:$J$224),0),
IF('TL19'!$B$229=P$3,SUMIF('TL19'!$C$238:$C$451,$C414,'TL19'!$J$238:$J$451),0)
),0)</f>
        <v>0</v>
      </c>
      <c r="Q414" s="152">
        <f>IFERROR(SUM(
IF('TL01'!$B$3=Q$3,SUMIF('TL01'!$C$10:$C$224,$C414,'TL01'!$J$10:$J$224),0),
IF('TL01'!$B$229=Q$3,SUMIF('TL01'!$C$238:$C$451,$C414,'TL01'!$J$238:$J$451),0),
IF('TL02'!$B$3=Q$3,SUMIF('TL02'!$C$10:$C$224,$C414,'TL02'!$J$10:$J$224),0),
IF('TL02'!$B$229=Q$3,SUMIF('TL02'!$C$238:$C$451,$C414,'TL02'!$J$238:$J$451),0),
IF('TL03'!$B$3=Q$3,SUMIF('TL03'!$C$10:$C$224,$C414,'TL03'!$J$10:$J$224),0),
IF('TL03'!$B$229=Q$3,SUMIF('TL03'!$C$238:$C$451,$C414,'TL03'!$J$238:$J$451),0),
IF('TL04'!$B$3=Q$3,SUMIF('TL04'!$C$10:$C$224,$C414,'TL04'!$J$10:$J$224),0),
IF('TL04'!$B$229=Q$3,SUMIF('TL04'!$C$238:$C$451,$C414,'TL04'!$J$238:$J$451),0),
IF('TL05'!$B$3=Q$3,SUMIF('TL05'!$C$10:$C$224,$C414,'TL05'!$J$10:$J$224),0),
IF('TL05'!$B$229=Q$3,SUMIF('TL05'!$C$238:$C$451,$C414,'TL05'!$J$238:$J$451),0),
IF('TL06'!$B$3=Q$3,SUMIF('TL06'!$C$10:$C$224,$C414,'TL06'!$J$10:$J$224),0),
IF('TL06'!$B$229=Q$3,SUMIF('TL06'!$C$238:$C$451,$C414,'TL06'!$J$238:$J$451),0),
IF('TL07'!$B$3=Q$3,SUMIF('TL07'!$C$10:$C$224,$C414,'TL07'!$J$10:$J$224),0),
IF('TL07'!$B$229=Q$3,SUMIF('TL07'!$C$238:$C$451,$C414,'TL07'!$J$238:$J$451),0),
IF('TL08'!$B$3=Q$3,SUMIF('TL08'!$C$10:$C$224,$C414,'TL08'!$J$10:$J$224),0),
IF('TL08'!$B$229=Q$3,SUMIF('TL08'!$C$238:$C$451,$C414,'TL08'!$J$238:$J$451),0),
IF('TL09'!$B$3=Q$3,SUMIF('TL09'!$C$10:$C$224,$C414,'TL09'!$J$10:$J$224),0),
IF('TL09'!$B$229=Q$3,SUMIF('TL09'!$C$238:$C$451,$C414,'TL09'!$J$238:$J$451),0),
IF('TL10'!$B$3=Q$3,SUMIF('TL10'!$C$10:$C$224,$C414,'TL10'!$J$10:$J$224),0),
IF('TL10'!$B$229=Q$3,SUMIF('TL10'!$C$238:$C$451,$C414,'TL10'!$J$238:$J$451),0),
IF('TL11'!$B$3=Q$3,SUMIF('TL11'!$C$10:$C$224,$C414,'TL11'!$J$10:$J$224),0),
IF('TL11'!$B$229=Q$3,SUMIF('TL11'!$C$238:$C$451,$C414,'TL11'!$J$238:$J$451),0),
IF('TL12'!$B$3=Q$3,SUMIF('TL12'!$C$10:$C$224,$C414,'TL12'!$J$10:$J$224),0),
IF('TL12'!$B$229=Q$3,SUMIF('TL12'!$C$238:$C$451,$C414,'TL12'!$J$238:$J$451),0),
IF('TL13'!$B$3=Q$3,SUMIF('TL13'!$C$10:$C$224,$C414,'TL13'!$J$10:$J$224),0),
IF('TL13'!$B$229=Q$3,SUMIF('TL13'!$C$238:$C$451,$C414,'TL13'!$J$238:$J$451),0),
IF('TL14'!$B$3=Q$3,SUMIF('TL14'!$C$10:$C$224,$C414,'TL14'!$J$10:$J$224),0),
IF('TL14'!$B$229=Q$3,SUMIF('TL14'!$C$238:$C$451,$C414,'TL14'!$J$238:$J$451),0),
IF('TL15'!$B$3=Q$3,SUMIF('TL15'!$C$10:$C$224,$C414,'TL15'!$J$10:$J$224),0),
IF('TL15'!$B$229=Q$3,SUMIF('TL15'!$C$238:$C$451,$C414,'TL15'!$J$238:$J$451),0),
IF('TL16'!$B$3=Q$3,SUMIF('TL16'!$C$10:$C$224,$C414,'TL16'!$J$10:$J$224),0),
IF('TL16'!$B$229=Q$3,SUMIF('TL16'!$C$238:$C$451,$C414,'TL16'!$J$238:$J$451),0),
IF('TL17'!$B$3=Q$3,SUMIF('TL17'!$C$10:$C$224,$C414,'TL17'!$J$10:$J$224),0),
IF('TL17'!$B$229=Q$3,SUMIF('TL17'!$C$238:$C$451,$C414,'TL17'!$J$238:$J$451),0),
IF('TL18'!$B$3=Q$3,SUMIF('TL18'!$C$10:$C$224,$C414,'TL18'!$J$10:$J$224),0),
IF('TL18'!$B$229=Q$3,SUMIF('TL18'!$C$238:$C$451,$C414,'TL18'!$J$238:$J$451),0),
IF('TL19'!$B$3=Q$3,SUMIF('TL19'!$C$10:$C$224,$C414,'TL19'!$J$10:$J$224),0),
IF('TL19'!$B$229=Q$3,SUMIF('TL19'!$C$238:$C$451,$C414,'TL19'!$J$238:$J$451),0)
),0)</f>
        <v>0</v>
      </c>
      <c r="R414" s="139">
        <f>IFERROR(
SUM(
SUMIF('TL01'!C:C,C414,'TL01'!J:J),
SUMIF('TL02'!C:C,C414,'TL02'!I:I),
SUMIF('TL03'!C:C,C414,'TL03'!I:I),
SUMIF('TL04'!C:C,C414,'TL04'!I:I),
SUMIF('TL05'!C:C,C414,'TL05'!I:I),
SUMIF('TL06'!C:C,C414,'TL06'!I:I),
SUMIF('TL07'!C:C,C414,'TL07'!I:I),
SUMIF('TL08'!C:C,C414,'TL08'!I:I),
SUMIF('TL09'!C:C,C414,'TL09'!I:I),
SUMIF('TL10'!C:C,C414,'TL10'!I:I),
SUMIF('TL11'!C:C,C414,'TL11'!I:I),
SUMIF('TL12'!C:C,C414,'TL12'!I:I),
SUMIF('TL13'!C:C,C414,'TL13'!I:I),
SUMIF('TL14'!C:C,C414,'TL14'!I:I),
SUMIF('TL15'!C:C,C414,'TL15'!I:I),
SUMIF('TL16'!C:C,C414,'TL16'!I:I),
SUMIF('TL17'!C:C,C414,'TL17'!I:I),
SUMIF('TL18'!C:C,C414,'TL18'!I:I))
,0)</f>
        <v>0.26</v>
      </c>
      <c r="S414" s="142">
        <f>'CUSTO OPERAÇÃO'!M18</f>
        <v>187.5</v>
      </c>
      <c r="T414" s="139"/>
      <c r="U414" s="143">
        <f t="shared" si="2"/>
        <v>0.26</v>
      </c>
      <c r="V414" s="144">
        <f t="shared" si="3"/>
        <v>48.75</v>
      </c>
    </row>
    <row r="415" ht="15.75" hidden="1" customHeight="1">
      <c r="A415" s="138"/>
      <c r="B415" s="155" t="s">
        <v>10</v>
      </c>
      <c r="C415" s="138" t="str">
        <f>'CUSTO OPERAÇÃO'!D19</f>
        <v> + </v>
      </c>
      <c r="D415" s="138"/>
      <c r="E415" s="139"/>
      <c r="F415" s="138" t="s">
        <v>1133</v>
      </c>
      <c r="G415" s="139"/>
      <c r="H415" s="140" t="str">
        <f>'CUSTO OPERAÇÃO'!J19</f>
        <v>#N/A</v>
      </c>
      <c r="I415" s="156"/>
      <c r="J415" s="138">
        <f>IFERROR(SUM(
IF('TL01'!$B$3=J$3,SUMIF('TL01'!$C$10:$C$224,$C415,'TL01'!$J$10:$J$224),0),
IF('TL01'!$B$229=J$3,SUMIF('TL01'!$C$238:$C$451,$C415,'TL01'!$J$238:$J$451),0),
IF('TL02'!$B$3=J$3,SUMIF('TL02'!$C$10:$C$224,$C415,'TL02'!$J$10:$J$224),0),
IF('TL02'!$B$229=J$3,SUMIF('TL02'!$C$238:$C$451,$C415,'TL02'!$J$238:$J$451),0),
IF('TL03'!$B$3=J$3,SUMIF('TL03'!$C$10:$C$224,$C415,'TL03'!$J$10:$J$224),0),
IF('TL03'!$B$229=J$3,SUMIF('TL03'!$C$238:$C$451,$C415,'TL03'!$J$238:$J$451),0),
IF('TL04'!$B$3=J$3,SUMIF('TL04'!$C$10:$C$224,$C415,'TL04'!$J$10:$J$224),0),
IF('TL04'!$B$229=J$3,SUMIF('TL04'!$C$238:$C$451,$C415,'TL04'!$J$238:$J$451),0),
IF('TL05'!$B$3=J$3,SUMIF('TL05'!$C$10:$C$224,$C415,'TL05'!$J$10:$J$224),0),
IF('TL05'!$B$229=J$3,SUMIF('TL05'!$C$238:$C$451,$C415,'TL05'!$J$238:$J$451),0),
IF('TL06'!$B$3=J$3,SUMIF('TL06'!$C$10:$C$224,$C415,'TL06'!$J$10:$J$224),0),
IF('TL06'!$B$229=J$3,SUMIF('TL06'!$C$238:$C$451,$C415,'TL06'!$J$238:$J$451),0),
IF('TL07'!$B$3=J$3,SUMIF('TL07'!$C$10:$C$224,$C415,'TL07'!$J$10:$J$224),0),
IF('TL07'!$B$229=J$3,SUMIF('TL07'!$C$238:$C$451,$C415,'TL07'!$J$238:$J$451),0),
IF('TL08'!$B$3=J$3,SUMIF('TL08'!$C$10:$C$224,$C415,'TL08'!$J$10:$J$224),0),
IF('TL08'!$B$229=J$3,SUMIF('TL08'!$C$238:$C$451,$C415,'TL08'!$J$238:$J$451),0),
IF('TL09'!$B$3=J$3,SUMIF('TL09'!$C$10:$C$224,$C415,'TL09'!$J$10:$J$224),0),
IF('TL09'!$B$229=J$3,SUMIF('TL09'!$C$238:$C$451,$C415,'TL09'!$J$238:$J$451),0),
IF('TL10'!$B$3=J$3,SUMIF('TL10'!$C$10:$C$224,$C415,'TL10'!$J$10:$J$224),0),
IF('TL10'!$B$229=J$3,SUMIF('TL10'!$C$238:$C$451,$C415,'TL10'!$J$238:$J$451),0),
IF('TL11'!$B$3=J$3,SUMIF('TL11'!$C$10:$C$224,$C415,'TL11'!$J$10:$J$224),0),
IF('TL11'!$B$229=J$3,SUMIF('TL11'!$C$238:$C$451,$C415,'TL11'!$J$238:$J$451),0),
IF('TL12'!$B$3=J$3,SUMIF('TL12'!$C$10:$C$224,$C415,'TL12'!$J$10:$J$224),0),
IF('TL12'!$B$229=J$3,SUMIF('TL12'!$C$238:$C$451,$C415,'TL12'!$J$238:$J$451),0),
IF('TL13'!$B$3=J$3,SUMIF('TL13'!$C$10:$C$224,$C415,'TL13'!$J$10:$J$224),0),
IF('TL13'!$B$229=J$3,SUMIF('TL13'!$C$238:$C$451,$C415,'TL13'!$J$238:$J$451),0),
IF('TL14'!$B$3=J$3,SUMIF('TL14'!$C$10:$C$224,$C415,'TL14'!$J$10:$J$224),0),
IF('TL14'!$B$229=J$3,SUMIF('TL14'!$C$238:$C$451,$C415,'TL14'!$J$238:$J$451),0),
IF('TL15'!$B$3=J$3,SUMIF('TL15'!$C$10:$C$224,$C415,'TL15'!$J$10:$J$224),0),
IF('TL15'!$B$229=J$3,SUMIF('TL15'!$C$238:$C$451,$C415,'TL15'!$J$238:$J$451),0),
IF('TL16'!$B$3=J$3,SUMIF('TL16'!$C$10:$C$224,$C415,'TL16'!$J$10:$J$224),0),
IF('TL16'!$B$229=J$3,SUMIF('TL16'!$C$238:$C$451,$C415,'TL16'!$J$238:$J$451),0),
IF('TL17'!$B$3=J$3,SUMIF('TL17'!$C$10:$C$224,$C415,'TL17'!$J$10:$J$224),0),
IF('TL17'!$B$229=J$3,SUMIF('TL17'!$C$238:$C$451,$C415,'TL17'!$J$238:$J$451),0),
IF('TL18'!$B$3=J$3,SUMIF('TL18'!$C$10:$C$224,$C415,'TL18'!$J$10:$J$224),0),
IF('TL18'!$B$229=J$3,SUMIF('TL18'!$C$238:$C$451,$C415,'TL18'!$J$238:$J$451),0),
IF('TL19'!$B$3=J$3,SUMIF('TL19'!$C$10:$C$224,$C415,'TL19'!$J$10:$J$224),0),
IF('TL19'!$B$229=J$3,SUMIF('TL19'!$C$238:$C$451,$C415,'TL19'!$J$238:$J$451),0)
),0)</f>
        <v>0</v>
      </c>
      <c r="K415" s="138">
        <f>IFERROR(SUM(
IF('TL01'!$B$3=K$3,SUMIF('TL01'!$C$10:$C$224,$C415,'TL01'!$J$10:$J$224),0),
IF('TL01'!$B$229=K$3,SUMIF('TL01'!$C$238:$C$451,$C415,'TL01'!$J$238:$J$451),0),
IF('TL02'!$B$3=K$3,SUMIF('TL02'!$C$10:$C$224,$C415,'TL02'!$J$10:$J$224),0),
IF('TL02'!$B$229=K$3,SUMIF('TL02'!$C$238:$C$451,$C415,'TL02'!$J$238:$J$451),0),
IF('TL03'!$B$3=K$3,SUMIF('TL03'!$C$10:$C$224,$C415,'TL03'!$J$10:$J$224),0),
IF('TL03'!$B$229=K$3,SUMIF('TL03'!$C$238:$C$451,$C415,'TL03'!$J$238:$J$451),0),
IF('TL04'!$B$3=K$3,SUMIF('TL04'!$C$10:$C$224,$C415,'TL04'!$J$10:$J$224),0),
IF('TL04'!$B$229=K$3,SUMIF('TL04'!$C$238:$C$451,$C415,'TL04'!$J$238:$J$451),0),
IF('TL05'!$B$3=K$3,SUMIF('TL05'!$C$10:$C$224,$C415,'TL05'!$J$10:$J$224),0),
IF('TL05'!$B$229=K$3,SUMIF('TL05'!$C$238:$C$451,$C415,'TL05'!$J$238:$J$451),0),
IF('TL06'!$B$3=K$3,SUMIF('TL06'!$C$10:$C$224,$C415,'TL06'!$J$10:$J$224),0),
IF('TL06'!$B$229=K$3,SUMIF('TL06'!$C$238:$C$451,$C415,'TL06'!$J$238:$J$451),0),
IF('TL07'!$B$3=K$3,SUMIF('TL07'!$C$10:$C$224,$C415,'TL07'!$J$10:$J$224),0),
IF('TL07'!$B$229=K$3,SUMIF('TL07'!$C$238:$C$451,$C415,'TL07'!$J$238:$J$451),0),
IF('TL08'!$B$3=K$3,SUMIF('TL08'!$C$10:$C$224,$C415,'TL08'!$J$10:$J$224),0),
IF('TL08'!$B$229=K$3,SUMIF('TL08'!$C$238:$C$451,$C415,'TL08'!$J$238:$J$451),0),
IF('TL09'!$B$3=K$3,SUMIF('TL09'!$C$10:$C$224,$C415,'TL09'!$J$10:$J$224),0),
IF('TL09'!$B$229=K$3,SUMIF('TL09'!$C$238:$C$451,$C415,'TL09'!$J$238:$J$451),0),
IF('TL10'!$B$3=K$3,SUMIF('TL10'!$C$10:$C$224,$C415,'TL10'!$J$10:$J$224),0),
IF('TL10'!$B$229=K$3,SUMIF('TL10'!$C$238:$C$451,$C415,'TL10'!$J$238:$J$451),0),
IF('TL11'!$B$3=K$3,SUMIF('TL11'!$C$10:$C$224,$C415,'TL11'!$J$10:$J$224),0),
IF('TL11'!$B$229=K$3,SUMIF('TL11'!$C$238:$C$451,$C415,'TL11'!$J$238:$J$451),0),
IF('TL12'!$B$3=K$3,SUMIF('TL12'!$C$10:$C$224,$C415,'TL12'!$J$10:$J$224),0),
IF('TL12'!$B$229=K$3,SUMIF('TL12'!$C$238:$C$451,$C415,'TL12'!$J$238:$J$451),0),
IF('TL13'!$B$3=K$3,SUMIF('TL13'!$C$10:$C$224,$C415,'TL13'!$J$10:$J$224),0),
IF('TL13'!$B$229=K$3,SUMIF('TL13'!$C$238:$C$451,$C415,'TL13'!$J$238:$J$451),0),
IF('TL14'!$B$3=K$3,SUMIF('TL14'!$C$10:$C$224,$C415,'TL14'!$J$10:$J$224),0),
IF('TL14'!$B$229=K$3,SUMIF('TL14'!$C$238:$C$451,$C415,'TL14'!$J$238:$J$451),0),
IF('TL15'!$B$3=K$3,SUMIF('TL15'!$C$10:$C$224,$C415,'TL15'!$J$10:$J$224),0),
IF('TL15'!$B$229=K$3,SUMIF('TL15'!$C$238:$C$451,$C415,'TL15'!$J$238:$J$451),0),
IF('TL16'!$B$3=K$3,SUMIF('TL16'!$C$10:$C$224,$C415,'TL16'!$J$10:$J$224),0),
IF('TL16'!$B$229=K$3,SUMIF('TL16'!$C$238:$C$451,$C415,'TL16'!$J$238:$J$451),0),
IF('TL17'!$B$3=K$3,SUMIF('TL17'!$C$10:$C$224,$C415,'TL17'!$J$10:$J$224),0),
IF('TL17'!$B$229=K$3,SUMIF('TL17'!$C$238:$C$451,$C415,'TL17'!$J$238:$J$451),0),
IF('TL18'!$B$3=K$3,SUMIF('TL18'!$C$10:$C$224,$C415,'TL18'!$J$10:$J$224),0),
IF('TL18'!$B$229=K$3,SUMIF('TL18'!$C$238:$C$451,$C415,'TL18'!$J$238:$J$451),0),
IF('TL19'!$B$3=K$3,SUMIF('TL19'!$C$10:$C$224,$C415,'TL19'!$J$10:$J$224),0),
IF('TL19'!$B$229=K$3,SUMIF('TL19'!$C$238:$C$451,$C415,'TL19'!$J$238:$J$451),0)
),0)</f>
        <v>0</v>
      </c>
      <c r="L415" s="138">
        <f>IFERROR(SUM(
IF('TL01'!$B$3=L$3,SUMIF('TL01'!$C$10:$C$224,$C415,'TL01'!$J$10:$J$224),0),
IF('TL01'!$B$229=L$3,SUMIF('TL01'!$C$238:$C$451,$C415,'TL01'!$J$238:$J$451),0),
IF('TL02'!$B$3=L$3,SUMIF('TL02'!$C$10:$C$224,$C415,'TL02'!$J$10:$J$224),0),
IF('TL02'!$B$229=L$3,SUMIF('TL02'!$C$238:$C$451,$C415,'TL02'!$J$238:$J$451),0),
IF('TL03'!$B$3=L$3,SUMIF('TL03'!$C$10:$C$224,$C415,'TL03'!$J$10:$J$224),0),
IF('TL03'!$B$229=L$3,SUMIF('TL03'!$C$238:$C$451,$C415,'TL03'!$J$238:$J$451),0),
IF('TL04'!$B$3=L$3,SUMIF('TL04'!$C$10:$C$224,$C415,'TL04'!$J$10:$J$224),0),
IF('TL04'!$B$229=L$3,SUMIF('TL04'!$C$238:$C$451,$C415,'TL04'!$J$238:$J$451),0),
IF('TL05'!$B$3=L$3,SUMIF('TL05'!$C$10:$C$224,$C415,'TL05'!$J$10:$J$224),0),
IF('TL05'!$B$229=L$3,SUMIF('TL05'!$C$238:$C$451,$C415,'TL05'!$J$238:$J$451),0),
IF('TL06'!$B$3=L$3,SUMIF('TL06'!$C$10:$C$224,$C415,'TL06'!$J$10:$J$224),0),
IF('TL06'!$B$229=L$3,SUMIF('TL06'!$C$238:$C$451,$C415,'TL06'!$J$238:$J$451),0),
IF('TL07'!$B$3=L$3,SUMIF('TL07'!$C$10:$C$224,$C415,'TL07'!$J$10:$J$224),0),
IF('TL07'!$B$229=L$3,SUMIF('TL07'!$C$238:$C$451,$C415,'TL07'!$J$238:$J$451),0),
IF('TL08'!$B$3=L$3,SUMIF('TL08'!$C$10:$C$224,$C415,'TL08'!$J$10:$J$224),0),
IF('TL08'!$B$229=L$3,SUMIF('TL08'!$C$238:$C$451,$C415,'TL08'!$J$238:$J$451),0),
IF('TL09'!$B$3=L$3,SUMIF('TL09'!$C$10:$C$224,$C415,'TL09'!$J$10:$J$224),0),
IF('TL09'!$B$229=L$3,SUMIF('TL09'!$C$238:$C$451,$C415,'TL09'!$J$238:$J$451),0),
IF('TL10'!$B$3=L$3,SUMIF('TL10'!$C$10:$C$224,$C415,'TL10'!$J$10:$J$224),0),
IF('TL10'!$B$229=L$3,SUMIF('TL10'!$C$238:$C$451,$C415,'TL10'!$J$238:$J$451),0),
IF('TL11'!$B$3=L$3,SUMIF('TL11'!$C$10:$C$224,$C415,'TL11'!$J$10:$J$224),0),
IF('TL11'!$B$229=L$3,SUMIF('TL11'!$C$238:$C$451,$C415,'TL11'!$J$238:$J$451),0),
IF('TL12'!$B$3=L$3,SUMIF('TL12'!$C$10:$C$224,$C415,'TL12'!$J$10:$J$224),0),
IF('TL12'!$B$229=L$3,SUMIF('TL12'!$C$238:$C$451,$C415,'TL12'!$J$238:$J$451),0),
IF('TL13'!$B$3=L$3,SUMIF('TL13'!$C$10:$C$224,$C415,'TL13'!$J$10:$J$224),0),
IF('TL13'!$B$229=L$3,SUMIF('TL13'!$C$238:$C$451,$C415,'TL13'!$J$238:$J$451),0),
IF('TL14'!$B$3=L$3,SUMIF('TL14'!$C$10:$C$224,$C415,'TL14'!$J$10:$J$224),0),
IF('TL14'!$B$229=L$3,SUMIF('TL14'!$C$238:$C$451,$C415,'TL14'!$J$238:$J$451),0),
IF('TL15'!$B$3=L$3,SUMIF('TL15'!$C$10:$C$224,$C415,'TL15'!$J$10:$J$224),0),
IF('TL15'!$B$229=L$3,SUMIF('TL15'!$C$238:$C$451,$C415,'TL15'!$J$238:$J$451),0),
IF('TL16'!$B$3=L$3,SUMIF('TL16'!$C$10:$C$224,$C415,'TL16'!$J$10:$J$224),0),
IF('TL16'!$B$229=L$3,SUMIF('TL16'!$C$238:$C$451,$C415,'TL16'!$J$238:$J$451),0),
IF('TL17'!$B$3=L$3,SUMIF('TL17'!$C$10:$C$224,$C415,'TL17'!$J$10:$J$224),0),
IF('TL17'!$B$229=L$3,SUMIF('TL17'!$C$238:$C$451,$C415,'TL17'!$J$238:$J$451),0),
IF('TL18'!$B$3=L$3,SUMIF('TL18'!$C$10:$C$224,$C415,'TL18'!$J$10:$J$224),0),
IF('TL18'!$B$229=L$3,SUMIF('TL18'!$C$238:$C$451,$C415,'TL18'!$J$238:$J$451),0),
IF('TL19'!$B$3=L$3,SUMIF('TL19'!$C$10:$C$224,$C415,'TL19'!$J$10:$J$224),0),
IF('TL19'!$B$229=L$3,SUMIF('TL19'!$C$238:$C$451,$C415,'TL19'!$J$238:$J$451),0)
),0)</f>
        <v>0</v>
      </c>
      <c r="M415" s="138">
        <f>IFERROR(SUM(
IF('TL01'!$B$3=M$3,SUMIF('TL01'!$C$10:$C$224,$C415,'TL01'!$J$10:$J$224),0),
IF('TL01'!$B$229=M$3,SUMIF('TL01'!$C$238:$C$451,$C415,'TL01'!$J$238:$J$451),0),
IF('TL02'!$B$3=M$3,SUMIF('TL02'!$C$10:$C$224,$C415,'TL02'!$J$10:$J$224),0),
IF('TL02'!$B$229=M$3,SUMIF('TL02'!$C$238:$C$451,$C415,'TL02'!$J$238:$J$451),0),
IF('TL03'!$B$3=M$3,SUMIF('TL03'!$C$10:$C$224,$C415,'TL03'!$J$10:$J$224),0),
IF('TL03'!$B$229=M$3,SUMIF('TL03'!$C$238:$C$451,$C415,'TL03'!$J$238:$J$451),0),
IF('TL04'!$B$3=M$3,SUMIF('TL04'!$C$10:$C$224,$C415,'TL04'!$J$10:$J$224),0),
IF('TL04'!$B$229=M$3,SUMIF('TL04'!$C$238:$C$451,$C415,'TL04'!$J$238:$J$451),0),
IF('TL05'!$B$3=M$3,SUMIF('TL05'!$C$10:$C$224,$C415,'TL05'!$J$10:$J$224),0),
IF('TL05'!$B$229=M$3,SUMIF('TL05'!$C$238:$C$451,$C415,'TL05'!$J$238:$J$451),0),
IF('TL06'!$B$3=M$3,SUMIF('TL06'!$C$10:$C$224,$C415,'TL06'!$J$10:$J$224),0),
IF('TL06'!$B$229=M$3,SUMIF('TL06'!$C$238:$C$451,$C415,'TL06'!$J$238:$J$451),0),
IF('TL07'!$B$3=M$3,SUMIF('TL07'!$C$10:$C$224,$C415,'TL07'!$J$10:$J$224),0),
IF('TL07'!$B$229=M$3,SUMIF('TL07'!$C$238:$C$451,$C415,'TL07'!$J$238:$J$451),0),
IF('TL08'!$B$3=M$3,SUMIF('TL08'!$C$10:$C$224,$C415,'TL08'!$J$10:$J$224),0),
IF('TL08'!$B$229=M$3,SUMIF('TL08'!$C$238:$C$451,$C415,'TL08'!$J$238:$J$451),0),
IF('TL09'!$B$3=M$3,SUMIF('TL09'!$C$10:$C$224,$C415,'TL09'!$J$10:$J$224),0),
IF('TL09'!$B$229=M$3,SUMIF('TL09'!$C$238:$C$451,$C415,'TL09'!$J$238:$J$451),0),
IF('TL10'!$B$3=M$3,SUMIF('TL10'!$C$10:$C$224,$C415,'TL10'!$J$10:$J$224),0),
IF('TL10'!$B$229=M$3,SUMIF('TL10'!$C$238:$C$451,$C415,'TL10'!$J$238:$J$451),0),
IF('TL11'!$B$3=M$3,SUMIF('TL11'!$C$10:$C$224,$C415,'TL11'!$J$10:$J$224),0),
IF('TL11'!$B$229=M$3,SUMIF('TL11'!$C$238:$C$451,$C415,'TL11'!$J$238:$J$451),0),
IF('TL12'!$B$3=M$3,SUMIF('TL12'!$C$10:$C$224,$C415,'TL12'!$J$10:$J$224),0),
IF('TL12'!$B$229=M$3,SUMIF('TL12'!$C$238:$C$451,$C415,'TL12'!$J$238:$J$451),0),
IF('TL13'!$B$3=M$3,SUMIF('TL13'!$C$10:$C$224,$C415,'TL13'!$J$10:$J$224),0),
IF('TL13'!$B$229=M$3,SUMIF('TL13'!$C$238:$C$451,$C415,'TL13'!$J$238:$J$451),0),
IF('TL14'!$B$3=M$3,SUMIF('TL14'!$C$10:$C$224,$C415,'TL14'!$J$10:$J$224),0),
IF('TL14'!$B$229=M$3,SUMIF('TL14'!$C$238:$C$451,$C415,'TL14'!$J$238:$J$451),0),
IF('TL15'!$B$3=M$3,SUMIF('TL15'!$C$10:$C$224,$C415,'TL15'!$J$10:$J$224),0),
IF('TL15'!$B$229=M$3,SUMIF('TL15'!$C$238:$C$451,$C415,'TL15'!$J$238:$J$451),0),
IF('TL16'!$B$3=M$3,SUMIF('TL16'!$C$10:$C$224,$C415,'TL16'!$J$10:$J$224),0),
IF('TL16'!$B$229=M$3,SUMIF('TL16'!$C$238:$C$451,$C415,'TL16'!$J$238:$J$451),0),
IF('TL17'!$B$3=M$3,SUMIF('TL17'!$C$10:$C$224,$C415,'TL17'!$J$10:$J$224),0),
IF('TL17'!$B$229=M$3,SUMIF('TL17'!$C$238:$C$451,$C415,'TL17'!$J$238:$J$451),0),
IF('TL18'!$B$3=M$3,SUMIF('TL18'!$C$10:$C$224,$C415,'TL18'!$J$10:$J$224),0),
IF('TL18'!$B$229=M$3,SUMIF('TL18'!$C$238:$C$451,$C415,'TL18'!$J$238:$J$451),0),
IF('TL19'!$B$3=M$3,SUMIF('TL19'!$C$10:$C$224,$C415,'TL19'!$J$10:$J$224),0),
IF('TL19'!$B$229=M$3,SUMIF('TL19'!$C$238:$C$451,$C415,'TL19'!$J$238:$J$451),0)
),0)</f>
        <v>0</v>
      </c>
      <c r="N415" s="138">
        <f>IFERROR(SUM(
IF('TL01'!$B$3=N$3,SUMIF('TL01'!$C$10:$C$224,$C415,'TL01'!$J$10:$J$224),0),
IF('TL01'!$B$229=N$3,SUMIF('TL01'!$C$238:$C$451,$C415,'TL01'!$J$238:$J$451),0),
IF('TL02'!$B$3=N$3,SUMIF('TL02'!$C$10:$C$224,$C415,'TL02'!$J$10:$J$224),0),
IF('TL02'!$B$229=N$3,SUMIF('TL02'!$C$238:$C$451,$C415,'TL02'!$J$238:$J$451),0),
IF('TL03'!$B$3=N$3,SUMIF('TL03'!$C$10:$C$224,$C415,'TL03'!$J$10:$J$224),0),
IF('TL03'!$B$229=N$3,SUMIF('TL03'!$C$238:$C$451,$C415,'TL03'!$J$238:$J$451),0),
IF('TL04'!$B$3=N$3,SUMIF('TL04'!$C$10:$C$224,$C415,'TL04'!$J$10:$J$224),0),
IF('TL04'!$B$229=N$3,SUMIF('TL04'!$C$238:$C$451,$C415,'TL04'!$J$238:$J$451),0),
IF('TL05'!$B$3=N$3,SUMIF('TL05'!$C$10:$C$224,$C415,'TL05'!$J$10:$J$224),0),
IF('TL05'!$B$229=N$3,SUMIF('TL05'!$C$238:$C$451,$C415,'TL05'!$J$238:$J$451),0),
IF('TL06'!$B$3=N$3,SUMIF('TL06'!$C$10:$C$224,$C415,'TL06'!$J$10:$J$224),0),
IF('TL06'!$B$229=N$3,SUMIF('TL06'!$C$238:$C$451,$C415,'TL06'!$J$238:$J$451),0),
IF('TL07'!$B$3=N$3,SUMIF('TL07'!$C$10:$C$224,$C415,'TL07'!$J$10:$J$224),0),
IF('TL07'!$B$229=N$3,SUMIF('TL07'!$C$238:$C$451,$C415,'TL07'!$J$238:$J$451),0),
IF('TL08'!$B$3=N$3,SUMIF('TL08'!$C$10:$C$224,$C415,'TL08'!$J$10:$J$224),0),
IF('TL08'!$B$229=N$3,SUMIF('TL08'!$C$238:$C$451,$C415,'TL08'!$J$238:$J$451),0),
IF('TL09'!$B$3=N$3,SUMIF('TL09'!$C$10:$C$224,$C415,'TL09'!$J$10:$J$224),0),
IF('TL09'!$B$229=N$3,SUMIF('TL09'!$C$238:$C$451,$C415,'TL09'!$J$238:$J$451),0),
IF('TL10'!$B$3=N$3,SUMIF('TL10'!$C$10:$C$224,$C415,'TL10'!$J$10:$J$224),0),
IF('TL10'!$B$229=N$3,SUMIF('TL10'!$C$238:$C$451,$C415,'TL10'!$J$238:$J$451),0),
IF('TL11'!$B$3=N$3,SUMIF('TL11'!$C$10:$C$224,$C415,'TL11'!$J$10:$J$224),0),
IF('TL11'!$B$229=N$3,SUMIF('TL11'!$C$238:$C$451,$C415,'TL11'!$J$238:$J$451),0),
IF('TL12'!$B$3=N$3,SUMIF('TL12'!$C$10:$C$224,$C415,'TL12'!$J$10:$J$224),0),
IF('TL12'!$B$229=N$3,SUMIF('TL12'!$C$238:$C$451,$C415,'TL12'!$J$238:$J$451),0),
IF('TL13'!$B$3=N$3,SUMIF('TL13'!$C$10:$C$224,$C415,'TL13'!$J$10:$J$224),0),
IF('TL13'!$B$229=N$3,SUMIF('TL13'!$C$238:$C$451,$C415,'TL13'!$J$238:$J$451),0),
IF('TL14'!$B$3=N$3,SUMIF('TL14'!$C$10:$C$224,$C415,'TL14'!$J$10:$J$224),0),
IF('TL14'!$B$229=N$3,SUMIF('TL14'!$C$238:$C$451,$C415,'TL14'!$J$238:$J$451),0),
IF('TL15'!$B$3=N$3,SUMIF('TL15'!$C$10:$C$224,$C415,'TL15'!$J$10:$J$224),0),
IF('TL15'!$B$229=N$3,SUMIF('TL15'!$C$238:$C$451,$C415,'TL15'!$J$238:$J$451),0),
IF('TL16'!$B$3=N$3,SUMIF('TL16'!$C$10:$C$224,$C415,'TL16'!$J$10:$J$224),0),
IF('TL16'!$B$229=N$3,SUMIF('TL16'!$C$238:$C$451,$C415,'TL16'!$J$238:$J$451),0),
IF('TL17'!$B$3=N$3,SUMIF('TL17'!$C$10:$C$224,$C415,'TL17'!$J$10:$J$224),0),
IF('TL17'!$B$229=N$3,SUMIF('TL17'!$C$238:$C$451,$C415,'TL17'!$J$238:$J$451),0),
IF('TL18'!$B$3=N$3,SUMIF('TL18'!$C$10:$C$224,$C415,'TL18'!$J$10:$J$224),0),
IF('TL18'!$B$229=N$3,SUMIF('TL18'!$C$238:$C$451,$C415,'TL18'!$J$238:$J$451),0),
IF('TL19'!$B$3=N$3,SUMIF('TL19'!$C$10:$C$224,$C415,'TL19'!$J$10:$J$224),0),
IF('TL19'!$B$229=N$3,SUMIF('TL19'!$C$238:$C$451,$C415,'TL19'!$J$238:$J$451),0)
),0)</f>
        <v>0</v>
      </c>
      <c r="O415" s="138">
        <f>IFERROR(SUM(
IF('TL01'!$B$3=O$3,SUMIF('TL01'!$C$10:$C$224,$C415,'TL01'!$J$10:$J$224),0),
IF('TL01'!$B$229=O$3,SUMIF('TL01'!$C$238:$C$451,$C415,'TL01'!$J$238:$J$451),0),
IF('TL02'!$B$3=O$3,SUMIF('TL02'!$C$10:$C$224,$C415,'TL02'!$J$10:$J$224),0),
IF('TL02'!$B$229=O$3,SUMIF('TL02'!$C$238:$C$451,$C415,'TL02'!$J$238:$J$451),0),
IF('TL03'!$B$3=O$3,SUMIF('TL03'!$C$10:$C$224,$C415,'TL03'!$J$10:$J$224),0),
IF('TL03'!$B$229=O$3,SUMIF('TL03'!$C$238:$C$451,$C415,'TL03'!$J$238:$J$451),0),
IF('TL04'!$B$3=O$3,SUMIF('TL04'!$C$10:$C$224,$C415,'TL04'!$J$10:$J$224),0),
IF('TL04'!$B$229=O$3,SUMIF('TL04'!$C$238:$C$451,$C415,'TL04'!$J$238:$J$451),0),
IF('TL05'!$B$3=O$3,SUMIF('TL05'!$C$10:$C$224,$C415,'TL05'!$J$10:$J$224),0),
IF('TL05'!$B$229=O$3,SUMIF('TL05'!$C$238:$C$451,$C415,'TL05'!$J$238:$J$451),0),
IF('TL06'!$B$3=O$3,SUMIF('TL06'!$C$10:$C$224,$C415,'TL06'!$J$10:$J$224),0),
IF('TL06'!$B$229=O$3,SUMIF('TL06'!$C$238:$C$451,$C415,'TL06'!$J$238:$J$451),0),
IF('TL07'!$B$3=O$3,SUMIF('TL07'!$C$10:$C$224,$C415,'TL07'!$J$10:$J$224),0),
IF('TL07'!$B$229=O$3,SUMIF('TL07'!$C$238:$C$451,$C415,'TL07'!$J$238:$J$451),0),
IF('TL08'!$B$3=O$3,SUMIF('TL08'!$C$10:$C$224,$C415,'TL08'!$J$10:$J$224),0),
IF('TL08'!$B$229=O$3,SUMIF('TL08'!$C$238:$C$451,$C415,'TL08'!$J$238:$J$451),0),
IF('TL09'!$B$3=O$3,SUMIF('TL09'!$C$10:$C$224,$C415,'TL09'!$J$10:$J$224),0),
IF('TL09'!$B$229=O$3,SUMIF('TL09'!$C$238:$C$451,$C415,'TL09'!$J$238:$J$451),0),
IF('TL10'!$B$3=O$3,SUMIF('TL10'!$C$10:$C$224,$C415,'TL10'!$J$10:$J$224),0),
IF('TL10'!$B$229=O$3,SUMIF('TL10'!$C$238:$C$451,$C415,'TL10'!$J$238:$J$451),0),
IF('TL11'!$B$3=O$3,SUMIF('TL11'!$C$10:$C$224,$C415,'TL11'!$J$10:$J$224),0),
IF('TL11'!$B$229=O$3,SUMIF('TL11'!$C$238:$C$451,$C415,'TL11'!$J$238:$J$451),0),
IF('TL12'!$B$3=O$3,SUMIF('TL12'!$C$10:$C$224,$C415,'TL12'!$J$10:$J$224),0),
IF('TL12'!$B$229=O$3,SUMIF('TL12'!$C$238:$C$451,$C415,'TL12'!$J$238:$J$451),0),
IF('TL13'!$B$3=O$3,SUMIF('TL13'!$C$10:$C$224,$C415,'TL13'!$J$10:$J$224),0),
IF('TL13'!$B$229=O$3,SUMIF('TL13'!$C$238:$C$451,$C415,'TL13'!$J$238:$J$451),0),
IF('TL14'!$B$3=O$3,SUMIF('TL14'!$C$10:$C$224,$C415,'TL14'!$J$10:$J$224),0),
IF('TL14'!$B$229=O$3,SUMIF('TL14'!$C$238:$C$451,$C415,'TL14'!$J$238:$J$451),0),
IF('TL15'!$B$3=O$3,SUMIF('TL15'!$C$10:$C$224,$C415,'TL15'!$J$10:$J$224),0),
IF('TL15'!$B$229=O$3,SUMIF('TL15'!$C$238:$C$451,$C415,'TL15'!$J$238:$J$451),0),
IF('TL16'!$B$3=O$3,SUMIF('TL16'!$C$10:$C$224,$C415,'TL16'!$J$10:$J$224),0),
IF('TL16'!$B$229=O$3,SUMIF('TL16'!$C$238:$C$451,$C415,'TL16'!$J$238:$J$451),0),
IF('TL17'!$B$3=O$3,SUMIF('TL17'!$C$10:$C$224,$C415,'TL17'!$J$10:$J$224),0),
IF('TL17'!$B$229=O$3,SUMIF('TL17'!$C$238:$C$451,$C415,'TL17'!$J$238:$J$451),0),
IF('TL18'!$B$3=O$3,SUMIF('TL18'!$C$10:$C$224,$C415,'TL18'!$J$10:$J$224),0),
IF('TL18'!$B$229=O$3,SUMIF('TL18'!$C$238:$C$451,$C415,'TL18'!$J$238:$J$451),0),
IF('TL19'!$B$3=O$3,SUMIF('TL19'!$C$10:$C$224,$C415,'TL19'!$J$10:$J$224),0),
IF('TL19'!$B$229=O$3,SUMIF('TL19'!$C$238:$C$451,$C415,'TL19'!$J$238:$J$451),0)
),0)</f>
        <v>0</v>
      </c>
      <c r="P415" s="138">
        <f>IFERROR(SUM(
IF('TL01'!$B$3=P$3,SUMIF('TL01'!$C$10:$C$224,$C415,'TL01'!$J$10:$J$224),0),
IF('TL01'!$B$229=P$3,SUMIF('TL01'!$C$238:$C$451,$C415,'TL01'!$J$238:$J$451),0),
IF('TL02'!$B$3=P$3,SUMIF('TL02'!$C$10:$C$224,$C415,'TL02'!$J$10:$J$224),0),
IF('TL02'!$B$229=P$3,SUMIF('TL02'!$C$238:$C$451,$C415,'TL02'!$J$238:$J$451),0),
IF('TL03'!$B$3=P$3,SUMIF('TL03'!$C$10:$C$224,$C415,'TL03'!$J$10:$J$224),0),
IF('TL03'!$B$229=P$3,SUMIF('TL03'!$C$238:$C$451,$C415,'TL03'!$J$238:$J$451),0),
IF('TL04'!$B$3=P$3,SUMIF('TL04'!$C$10:$C$224,$C415,'TL04'!$J$10:$J$224),0),
IF('TL04'!$B$229=P$3,SUMIF('TL04'!$C$238:$C$451,$C415,'TL04'!$J$238:$J$451),0),
IF('TL05'!$B$3=P$3,SUMIF('TL05'!$C$10:$C$224,$C415,'TL05'!$J$10:$J$224),0),
IF('TL05'!$B$229=P$3,SUMIF('TL05'!$C$238:$C$451,$C415,'TL05'!$J$238:$J$451),0),
IF('TL06'!$B$3=P$3,SUMIF('TL06'!$C$10:$C$224,$C415,'TL06'!$J$10:$J$224),0),
IF('TL06'!$B$229=P$3,SUMIF('TL06'!$C$238:$C$451,$C415,'TL06'!$J$238:$J$451),0),
IF('TL07'!$B$3=P$3,SUMIF('TL07'!$C$10:$C$224,$C415,'TL07'!$J$10:$J$224),0),
IF('TL07'!$B$229=P$3,SUMIF('TL07'!$C$238:$C$451,$C415,'TL07'!$J$238:$J$451),0),
IF('TL08'!$B$3=P$3,SUMIF('TL08'!$C$10:$C$224,$C415,'TL08'!$J$10:$J$224),0),
IF('TL08'!$B$229=P$3,SUMIF('TL08'!$C$238:$C$451,$C415,'TL08'!$J$238:$J$451),0),
IF('TL09'!$B$3=P$3,SUMIF('TL09'!$C$10:$C$224,$C415,'TL09'!$J$10:$J$224),0),
IF('TL09'!$B$229=P$3,SUMIF('TL09'!$C$238:$C$451,$C415,'TL09'!$J$238:$J$451),0),
IF('TL10'!$B$3=P$3,SUMIF('TL10'!$C$10:$C$224,$C415,'TL10'!$J$10:$J$224),0),
IF('TL10'!$B$229=P$3,SUMIF('TL10'!$C$238:$C$451,$C415,'TL10'!$J$238:$J$451),0),
IF('TL11'!$B$3=P$3,SUMIF('TL11'!$C$10:$C$224,$C415,'TL11'!$J$10:$J$224),0),
IF('TL11'!$B$229=P$3,SUMIF('TL11'!$C$238:$C$451,$C415,'TL11'!$J$238:$J$451),0),
IF('TL12'!$B$3=P$3,SUMIF('TL12'!$C$10:$C$224,$C415,'TL12'!$J$10:$J$224),0),
IF('TL12'!$B$229=P$3,SUMIF('TL12'!$C$238:$C$451,$C415,'TL12'!$J$238:$J$451),0),
IF('TL13'!$B$3=P$3,SUMIF('TL13'!$C$10:$C$224,$C415,'TL13'!$J$10:$J$224),0),
IF('TL13'!$B$229=P$3,SUMIF('TL13'!$C$238:$C$451,$C415,'TL13'!$J$238:$J$451),0),
IF('TL14'!$B$3=P$3,SUMIF('TL14'!$C$10:$C$224,$C415,'TL14'!$J$10:$J$224),0),
IF('TL14'!$B$229=P$3,SUMIF('TL14'!$C$238:$C$451,$C415,'TL14'!$J$238:$J$451),0),
IF('TL15'!$B$3=P$3,SUMIF('TL15'!$C$10:$C$224,$C415,'TL15'!$J$10:$J$224),0),
IF('TL15'!$B$229=P$3,SUMIF('TL15'!$C$238:$C$451,$C415,'TL15'!$J$238:$J$451),0),
IF('TL16'!$B$3=P$3,SUMIF('TL16'!$C$10:$C$224,$C415,'TL16'!$J$10:$J$224),0),
IF('TL16'!$B$229=P$3,SUMIF('TL16'!$C$238:$C$451,$C415,'TL16'!$J$238:$J$451),0),
IF('TL17'!$B$3=P$3,SUMIF('TL17'!$C$10:$C$224,$C415,'TL17'!$J$10:$J$224),0),
IF('TL17'!$B$229=P$3,SUMIF('TL17'!$C$238:$C$451,$C415,'TL17'!$J$238:$J$451),0),
IF('TL18'!$B$3=P$3,SUMIF('TL18'!$C$10:$C$224,$C415,'TL18'!$J$10:$J$224),0),
IF('TL18'!$B$229=P$3,SUMIF('TL18'!$C$238:$C$451,$C415,'TL18'!$J$238:$J$451),0),
IF('TL19'!$B$3=P$3,SUMIF('TL19'!$C$10:$C$224,$C415,'TL19'!$J$10:$J$224),0),
IF('TL19'!$B$229=P$3,SUMIF('TL19'!$C$238:$C$451,$C415,'TL19'!$J$238:$J$451),0)
),0)</f>
        <v>0</v>
      </c>
      <c r="Q415" s="138">
        <f>IFERROR(SUM(
IF('TL01'!$B$3=Q$3,SUMIF('TL01'!$C$10:$C$224,$C415,'TL01'!$J$10:$J$224),0),
IF('TL01'!$B$229=Q$3,SUMIF('TL01'!$C$238:$C$451,$C415,'TL01'!$J$238:$J$451),0),
IF('TL02'!$B$3=Q$3,SUMIF('TL02'!$C$10:$C$224,$C415,'TL02'!$J$10:$J$224),0),
IF('TL02'!$B$229=Q$3,SUMIF('TL02'!$C$238:$C$451,$C415,'TL02'!$J$238:$J$451),0),
IF('TL03'!$B$3=Q$3,SUMIF('TL03'!$C$10:$C$224,$C415,'TL03'!$J$10:$J$224),0),
IF('TL03'!$B$229=Q$3,SUMIF('TL03'!$C$238:$C$451,$C415,'TL03'!$J$238:$J$451),0),
IF('TL04'!$B$3=Q$3,SUMIF('TL04'!$C$10:$C$224,$C415,'TL04'!$J$10:$J$224),0),
IF('TL04'!$B$229=Q$3,SUMIF('TL04'!$C$238:$C$451,$C415,'TL04'!$J$238:$J$451),0),
IF('TL05'!$B$3=Q$3,SUMIF('TL05'!$C$10:$C$224,$C415,'TL05'!$J$10:$J$224),0),
IF('TL05'!$B$229=Q$3,SUMIF('TL05'!$C$238:$C$451,$C415,'TL05'!$J$238:$J$451),0),
IF('TL06'!$B$3=Q$3,SUMIF('TL06'!$C$10:$C$224,$C415,'TL06'!$J$10:$J$224),0),
IF('TL06'!$B$229=Q$3,SUMIF('TL06'!$C$238:$C$451,$C415,'TL06'!$J$238:$J$451),0),
IF('TL07'!$B$3=Q$3,SUMIF('TL07'!$C$10:$C$224,$C415,'TL07'!$J$10:$J$224),0),
IF('TL07'!$B$229=Q$3,SUMIF('TL07'!$C$238:$C$451,$C415,'TL07'!$J$238:$J$451),0),
IF('TL08'!$B$3=Q$3,SUMIF('TL08'!$C$10:$C$224,$C415,'TL08'!$J$10:$J$224),0),
IF('TL08'!$B$229=Q$3,SUMIF('TL08'!$C$238:$C$451,$C415,'TL08'!$J$238:$J$451),0),
IF('TL09'!$B$3=Q$3,SUMIF('TL09'!$C$10:$C$224,$C415,'TL09'!$J$10:$J$224),0),
IF('TL09'!$B$229=Q$3,SUMIF('TL09'!$C$238:$C$451,$C415,'TL09'!$J$238:$J$451),0),
IF('TL10'!$B$3=Q$3,SUMIF('TL10'!$C$10:$C$224,$C415,'TL10'!$J$10:$J$224),0),
IF('TL10'!$B$229=Q$3,SUMIF('TL10'!$C$238:$C$451,$C415,'TL10'!$J$238:$J$451),0),
IF('TL11'!$B$3=Q$3,SUMIF('TL11'!$C$10:$C$224,$C415,'TL11'!$J$10:$J$224),0),
IF('TL11'!$B$229=Q$3,SUMIF('TL11'!$C$238:$C$451,$C415,'TL11'!$J$238:$J$451),0),
IF('TL12'!$B$3=Q$3,SUMIF('TL12'!$C$10:$C$224,$C415,'TL12'!$J$10:$J$224),0),
IF('TL12'!$B$229=Q$3,SUMIF('TL12'!$C$238:$C$451,$C415,'TL12'!$J$238:$J$451),0),
IF('TL13'!$B$3=Q$3,SUMIF('TL13'!$C$10:$C$224,$C415,'TL13'!$J$10:$J$224),0),
IF('TL13'!$B$229=Q$3,SUMIF('TL13'!$C$238:$C$451,$C415,'TL13'!$J$238:$J$451),0),
IF('TL14'!$B$3=Q$3,SUMIF('TL14'!$C$10:$C$224,$C415,'TL14'!$J$10:$J$224),0),
IF('TL14'!$B$229=Q$3,SUMIF('TL14'!$C$238:$C$451,$C415,'TL14'!$J$238:$J$451),0),
IF('TL15'!$B$3=Q$3,SUMIF('TL15'!$C$10:$C$224,$C415,'TL15'!$J$10:$J$224),0),
IF('TL15'!$B$229=Q$3,SUMIF('TL15'!$C$238:$C$451,$C415,'TL15'!$J$238:$J$451),0),
IF('TL16'!$B$3=Q$3,SUMIF('TL16'!$C$10:$C$224,$C415,'TL16'!$J$10:$J$224),0),
IF('TL16'!$B$229=Q$3,SUMIF('TL16'!$C$238:$C$451,$C415,'TL16'!$J$238:$J$451),0),
IF('TL17'!$B$3=Q$3,SUMIF('TL17'!$C$10:$C$224,$C415,'TL17'!$J$10:$J$224),0),
IF('TL17'!$B$229=Q$3,SUMIF('TL17'!$C$238:$C$451,$C415,'TL17'!$J$238:$J$451),0),
IF('TL18'!$B$3=Q$3,SUMIF('TL18'!$C$10:$C$224,$C415,'TL18'!$J$10:$J$224),0),
IF('TL18'!$B$229=Q$3,SUMIF('TL18'!$C$238:$C$451,$C415,'TL18'!$J$238:$J$451),0),
IF('TL19'!$B$3=Q$3,SUMIF('TL19'!$C$10:$C$224,$C415,'TL19'!$J$10:$J$224),0),
IF('TL19'!$B$229=Q$3,SUMIF('TL19'!$C$238:$C$451,$C415,'TL19'!$J$238:$J$451),0)
),0)</f>
        <v>0</v>
      </c>
      <c r="R415" s="139">
        <f>IFERROR(
SUM(
SUMIF('TL01'!C:C,C415,'TL01'!J:J),
SUMIF('TL02'!C:C,C415,'TL02'!I:I),
SUMIF('TL03'!C:C,C415,'TL03'!I:I),
SUMIF('TL04'!C:C,C415,'TL04'!I:I),
SUMIF('TL05'!C:C,C415,'TL05'!I:I),
SUMIF('TL06'!C:C,C415,'TL06'!I:I),
SUMIF('TL07'!C:C,C415,'TL07'!I:I),
SUMIF('TL08'!C:C,C415,'TL08'!I:I),
SUMIF('TL09'!C:C,C415,'TL09'!I:I),
SUMIF('TL10'!C:C,C415,'TL10'!I:I),
SUMIF('TL11'!C:C,C415,'TL11'!I:I),
SUMIF('TL12'!C:C,C415,'TL12'!I:I),
SUMIF('TL13'!C:C,C415,'TL13'!I:I),
SUMIF('TL14'!C:C,C415,'TL14'!I:I),
SUMIF('TL15'!C:C,C415,'TL15'!I:I),
SUMIF('TL16'!C:C,C415,'TL16'!I:I),
SUMIF('TL17'!C:C,C415,'TL17'!I:I),
SUMIF('TL18'!C:C,C415,'TL18'!I:I))
,0)</f>
        <v>0</v>
      </c>
      <c r="S415" s="142" t="str">
        <f>'CUSTO OPERAÇÃO'!M19</f>
        <v/>
      </c>
      <c r="T415" s="139"/>
      <c r="U415" s="143">
        <f t="shared" si="2"/>
        <v>0</v>
      </c>
      <c r="V415" s="144">
        <f t="shared" si="3"/>
        <v>0</v>
      </c>
    </row>
    <row r="416" ht="15.75" hidden="1" customHeight="1">
      <c r="A416" s="138"/>
      <c r="B416" s="155"/>
      <c r="C416" s="138"/>
      <c r="D416" s="138"/>
      <c r="E416" s="139"/>
      <c r="F416" s="138" t="s">
        <v>1133</v>
      </c>
      <c r="G416" s="139"/>
      <c r="H416" s="140" t="str">
        <f>'CUSTO OPERAÇÃO'!J20</f>
        <v>#N/A</v>
      </c>
      <c r="I416" s="156"/>
      <c r="J416" s="138">
        <f>IFERROR(SUM(
IF('TL01'!$B$3=J$3,SUMIF('TL01'!$C$10:$C$224,$C416,'TL01'!$J$10:$J$224),0),
IF('TL01'!$B$229=J$3,SUMIF('TL01'!$C$238:$C$451,$C416,'TL01'!$J$238:$J$451),0),
IF('TL02'!$B$3=J$3,SUMIF('TL02'!$C$10:$C$224,$C416,'TL02'!$J$10:$J$224),0),
IF('TL02'!$B$229=J$3,SUMIF('TL02'!$C$238:$C$451,$C416,'TL02'!$J$238:$J$451),0),
IF('TL03'!$B$3=J$3,SUMIF('TL03'!$C$10:$C$224,$C416,'TL03'!$J$10:$J$224),0),
IF('TL03'!$B$229=J$3,SUMIF('TL03'!$C$238:$C$451,$C416,'TL03'!$J$238:$J$451),0),
IF('TL04'!$B$3=J$3,SUMIF('TL04'!$C$10:$C$224,$C416,'TL04'!$J$10:$J$224),0),
IF('TL04'!$B$229=J$3,SUMIF('TL04'!$C$238:$C$451,$C416,'TL04'!$J$238:$J$451),0),
IF('TL05'!$B$3=J$3,SUMIF('TL05'!$C$10:$C$224,$C416,'TL05'!$J$10:$J$224),0),
IF('TL05'!$B$229=J$3,SUMIF('TL05'!$C$238:$C$451,$C416,'TL05'!$J$238:$J$451),0),
IF('TL06'!$B$3=J$3,SUMIF('TL06'!$C$10:$C$224,$C416,'TL06'!$J$10:$J$224),0),
IF('TL06'!$B$229=J$3,SUMIF('TL06'!$C$238:$C$451,$C416,'TL06'!$J$238:$J$451),0),
IF('TL07'!$B$3=J$3,SUMIF('TL07'!$C$10:$C$224,$C416,'TL07'!$J$10:$J$224),0),
IF('TL07'!$B$229=J$3,SUMIF('TL07'!$C$238:$C$451,$C416,'TL07'!$J$238:$J$451),0),
IF('TL08'!$B$3=J$3,SUMIF('TL08'!$C$10:$C$224,$C416,'TL08'!$J$10:$J$224),0),
IF('TL08'!$B$229=J$3,SUMIF('TL08'!$C$238:$C$451,$C416,'TL08'!$J$238:$J$451),0),
IF('TL09'!$B$3=J$3,SUMIF('TL09'!$C$10:$C$224,$C416,'TL09'!$J$10:$J$224),0),
IF('TL09'!$B$229=J$3,SUMIF('TL09'!$C$238:$C$451,$C416,'TL09'!$J$238:$J$451),0),
IF('TL10'!$B$3=J$3,SUMIF('TL10'!$C$10:$C$224,$C416,'TL10'!$J$10:$J$224),0),
IF('TL10'!$B$229=J$3,SUMIF('TL10'!$C$238:$C$451,$C416,'TL10'!$J$238:$J$451),0),
IF('TL11'!$B$3=J$3,SUMIF('TL11'!$C$10:$C$224,$C416,'TL11'!$J$10:$J$224),0),
IF('TL11'!$B$229=J$3,SUMIF('TL11'!$C$238:$C$451,$C416,'TL11'!$J$238:$J$451),0),
IF('TL12'!$B$3=J$3,SUMIF('TL12'!$C$10:$C$224,$C416,'TL12'!$J$10:$J$224),0),
IF('TL12'!$B$229=J$3,SUMIF('TL12'!$C$238:$C$451,$C416,'TL12'!$J$238:$J$451),0),
IF('TL13'!$B$3=J$3,SUMIF('TL13'!$C$10:$C$224,$C416,'TL13'!$J$10:$J$224),0),
IF('TL13'!$B$229=J$3,SUMIF('TL13'!$C$238:$C$451,$C416,'TL13'!$J$238:$J$451),0),
IF('TL14'!$B$3=J$3,SUMIF('TL14'!$C$10:$C$224,$C416,'TL14'!$J$10:$J$224),0),
IF('TL14'!$B$229=J$3,SUMIF('TL14'!$C$238:$C$451,$C416,'TL14'!$J$238:$J$451),0),
IF('TL15'!$B$3=J$3,SUMIF('TL15'!$C$10:$C$224,$C416,'TL15'!$J$10:$J$224),0),
IF('TL15'!$B$229=J$3,SUMIF('TL15'!$C$238:$C$451,$C416,'TL15'!$J$238:$J$451),0),
IF('TL16'!$B$3=J$3,SUMIF('TL16'!$C$10:$C$224,$C416,'TL16'!$J$10:$J$224),0),
IF('TL16'!$B$229=J$3,SUMIF('TL16'!$C$238:$C$451,$C416,'TL16'!$J$238:$J$451),0),
IF('TL17'!$B$3=J$3,SUMIF('TL17'!$C$10:$C$224,$C416,'TL17'!$J$10:$J$224),0),
IF('TL17'!$B$229=J$3,SUMIF('TL17'!$C$238:$C$451,$C416,'TL17'!$J$238:$J$451),0),
IF('TL18'!$B$3=J$3,SUMIF('TL18'!$C$10:$C$224,$C416,'TL18'!$J$10:$J$224),0),
IF('TL18'!$B$229=J$3,SUMIF('TL18'!$C$238:$C$451,$C416,'TL18'!$J$238:$J$451),0),
IF('TL19'!$B$3=J$3,SUMIF('TL19'!$C$10:$C$224,$C416,'TL19'!$J$10:$J$224),0),
IF('TL19'!$B$229=J$3,SUMIF('TL19'!$C$238:$C$451,$C416,'TL19'!$J$238:$J$451),0)
),0)</f>
        <v>0</v>
      </c>
      <c r="K416" s="138">
        <f>IFERROR(SUM(
IF('TL01'!$B$3=K$3,SUMIF('TL01'!$C$10:$C$224,$C416,'TL01'!$J$10:$J$224),0),
IF('TL01'!$B$229=K$3,SUMIF('TL01'!$C$238:$C$451,$C416,'TL01'!$J$238:$J$451),0),
IF('TL02'!$B$3=K$3,SUMIF('TL02'!$C$10:$C$224,$C416,'TL02'!$J$10:$J$224),0),
IF('TL02'!$B$229=K$3,SUMIF('TL02'!$C$238:$C$451,$C416,'TL02'!$J$238:$J$451),0),
IF('TL03'!$B$3=K$3,SUMIF('TL03'!$C$10:$C$224,$C416,'TL03'!$J$10:$J$224),0),
IF('TL03'!$B$229=K$3,SUMIF('TL03'!$C$238:$C$451,$C416,'TL03'!$J$238:$J$451),0),
IF('TL04'!$B$3=K$3,SUMIF('TL04'!$C$10:$C$224,$C416,'TL04'!$J$10:$J$224),0),
IF('TL04'!$B$229=K$3,SUMIF('TL04'!$C$238:$C$451,$C416,'TL04'!$J$238:$J$451),0),
IF('TL05'!$B$3=K$3,SUMIF('TL05'!$C$10:$C$224,$C416,'TL05'!$J$10:$J$224),0),
IF('TL05'!$B$229=K$3,SUMIF('TL05'!$C$238:$C$451,$C416,'TL05'!$J$238:$J$451),0),
IF('TL06'!$B$3=K$3,SUMIF('TL06'!$C$10:$C$224,$C416,'TL06'!$J$10:$J$224),0),
IF('TL06'!$B$229=K$3,SUMIF('TL06'!$C$238:$C$451,$C416,'TL06'!$J$238:$J$451),0),
IF('TL07'!$B$3=K$3,SUMIF('TL07'!$C$10:$C$224,$C416,'TL07'!$J$10:$J$224),0),
IF('TL07'!$B$229=K$3,SUMIF('TL07'!$C$238:$C$451,$C416,'TL07'!$J$238:$J$451),0),
IF('TL08'!$B$3=K$3,SUMIF('TL08'!$C$10:$C$224,$C416,'TL08'!$J$10:$J$224),0),
IF('TL08'!$B$229=K$3,SUMIF('TL08'!$C$238:$C$451,$C416,'TL08'!$J$238:$J$451),0),
IF('TL09'!$B$3=K$3,SUMIF('TL09'!$C$10:$C$224,$C416,'TL09'!$J$10:$J$224),0),
IF('TL09'!$B$229=K$3,SUMIF('TL09'!$C$238:$C$451,$C416,'TL09'!$J$238:$J$451),0),
IF('TL10'!$B$3=K$3,SUMIF('TL10'!$C$10:$C$224,$C416,'TL10'!$J$10:$J$224),0),
IF('TL10'!$B$229=K$3,SUMIF('TL10'!$C$238:$C$451,$C416,'TL10'!$J$238:$J$451),0),
IF('TL11'!$B$3=K$3,SUMIF('TL11'!$C$10:$C$224,$C416,'TL11'!$J$10:$J$224),0),
IF('TL11'!$B$229=K$3,SUMIF('TL11'!$C$238:$C$451,$C416,'TL11'!$J$238:$J$451),0),
IF('TL12'!$B$3=K$3,SUMIF('TL12'!$C$10:$C$224,$C416,'TL12'!$J$10:$J$224),0),
IF('TL12'!$B$229=K$3,SUMIF('TL12'!$C$238:$C$451,$C416,'TL12'!$J$238:$J$451),0),
IF('TL13'!$B$3=K$3,SUMIF('TL13'!$C$10:$C$224,$C416,'TL13'!$J$10:$J$224),0),
IF('TL13'!$B$229=K$3,SUMIF('TL13'!$C$238:$C$451,$C416,'TL13'!$J$238:$J$451),0),
IF('TL14'!$B$3=K$3,SUMIF('TL14'!$C$10:$C$224,$C416,'TL14'!$J$10:$J$224),0),
IF('TL14'!$B$229=K$3,SUMIF('TL14'!$C$238:$C$451,$C416,'TL14'!$J$238:$J$451),0),
IF('TL15'!$B$3=K$3,SUMIF('TL15'!$C$10:$C$224,$C416,'TL15'!$J$10:$J$224),0),
IF('TL15'!$B$229=K$3,SUMIF('TL15'!$C$238:$C$451,$C416,'TL15'!$J$238:$J$451),0),
IF('TL16'!$B$3=K$3,SUMIF('TL16'!$C$10:$C$224,$C416,'TL16'!$J$10:$J$224),0),
IF('TL16'!$B$229=K$3,SUMIF('TL16'!$C$238:$C$451,$C416,'TL16'!$J$238:$J$451),0),
IF('TL17'!$B$3=K$3,SUMIF('TL17'!$C$10:$C$224,$C416,'TL17'!$J$10:$J$224),0),
IF('TL17'!$B$229=K$3,SUMIF('TL17'!$C$238:$C$451,$C416,'TL17'!$J$238:$J$451),0),
IF('TL18'!$B$3=K$3,SUMIF('TL18'!$C$10:$C$224,$C416,'TL18'!$J$10:$J$224),0),
IF('TL18'!$B$229=K$3,SUMIF('TL18'!$C$238:$C$451,$C416,'TL18'!$J$238:$J$451),0),
IF('TL19'!$B$3=K$3,SUMIF('TL19'!$C$10:$C$224,$C416,'TL19'!$J$10:$J$224),0),
IF('TL19'!$B$229=K$3,SUMIF('TL19'!$C$238:$C$451,$C416,'TL19'!$J$238:$J$451),0)
),0)</f>
        <v>0</v>
      </c>
      <c r="L416" s="138">
        <f>IFERROR(SUM(
IF('TL01'!$B$3=L$3,SUMIF('TL01'!$C$10:$C$224,$C416,'TL01'!$J$10:$J$224),0),
IF('TL01'!$B$229=L$3,SUMIF('TL01'!$C$238:$C$451,$C416,'TL01'!$J$238:$J$451),0),
IF('TL02'!$B$3=L$3,SUMIF('TL02'!$C$10:$C$224,$C416,'TL02'!$J$10:$J$224),0),
IF('TL02'!$B$229=L$3,SUMIF('TL02'!$C$238:$C$451,$C416,'TL02'!$J$238:$J$451),0),
IF('TL03'!$B$3=L$3,SUMIF('TL03'!$C$10:$C$224,$C416,'TL03'!$J$10:$J$224),0),
IF('TL03'!$B$229=L$3,SUMIF('TL03'!$C$238:$C$451,$C416,'TL03'!$J$238:$J$451),0),
IF('TL04'!$B$3=L$3,SUMIF('TL04'!$C$10:$C$224,$C416,'TL04'!$J$10:$J$224),0),
IF('TL04'!$B$229=L$3,SUMIF('TL04'!$C$238:$C$451,$C416,'TL04'!$J$238:$J$451),0),
IF('TL05'!$B$3=L$3,SUMIF('TL05'!$C$10:$C$224,$C416,'TL05'!$J$10:$J$224),0),
IF('TL05'!$B$229=L$3,SUMIF('TL05'!$C$238:$C$451,$C416,'TL05'!$J$238:$J$451),0),
IF('TL06'!$B$3=L$3,SUMIF('TL06'!$C$10:$C$224,$C416,'TL06'!$J$10:$J$224),0),
IF('TL06'!$B$229=L$3,SUMIF('TL06'!$C$238:$C$451,$C416,'TL06'!$J$238:$J$451),0),
IF('TL07'!$B$3=L$3,SUMIF('TL07'!$C$10:$C$224,$C416,'TL07'!$J$10:$J$224),0),
IF('TL07'!$B$229=L$3,SUMIF('TL07'!$C$238:$C$451,$C416,'TL07'!$J$238:$J$451),0),
IF('TL08'!$B$3=L$3,SUMIF('TL08'!$C$10:$C$224,$C416,'TL08'!$J$10:$J$224),0),
IF('TL08'!$B$229=L$3,SUMIF('TL08'!$C$238:$C$451,$C416,'TL08'!$J$238:$J$451),0),
IF('TL09'!$B$3=L$3,SUMIF('TL09'!$C$10:$C$224,$C416,'TL09'!$J$10:$J$224),0),
IF('TL09'!$B$229=L$3,SUMIF('TL09'!$C$238:$C$451,$C416,'TL09'!$J$238:$J$451),0),
IF('TL10'!$B$3=L$3,SUMIF('TL10'!$C$10:$C$224,$C416,'TL10'!$J$10:$J$224),0),
IF('TL10'!$B$229=L$3,SUMIF('TL10'!$C$238:$C$451,$C416,'TL10'!$J$238:$J$451),0),
IF('TL11'!$B$3=L$3,SUMIF('TL11'!$C$10:$C$224,$C416,'TL11'!$J$10:$J$224),0),
IF('TL11'!$B$229=L$3,SUMIF('TL11'!$C$238:$C$451,$C416,'TL11'!$J$238:$J$451),0),
IF('TL12'!$B$3=L$3,SUMIF('TL12'!$C$10:$C$224,$C416,'TL12'!$J$10:$J$224),0),
IF('TL12'!$B$229=L$3,SUMIF('TL12'!$C$238:$C$451,$C416,'TL12'!$J$238:$J$451),0),
IF('TL13'!$B$3=L$3,SUMIF('TL13'!$C$10:$C$224,$C416,'TL13'!$J$10:$J$224),0),
IF('TL13'!$B$229=L$3,SUMIF('TL13'!$C$238:$C$451,$C416,'TL13'!$J$238:$J$451),0),
IF('TL14'!$B$3=L$3,SUMIF('TL14'!$C$10:$C$224,$C416,'TL14'!$J$10:$J$224),0),
IF('TL14'!$B$229=L$3,SUMIF('TL14'!$C$238:$C$451,$C416,'TL14'!$J$238:$J$451),0),
IF('TL15'!$B$3=L$3,SUMIF('TL15'!$C$10:$C$224,$C416,'TL15'!$J$10:$J$224),0),
IF('TL15'!$B$229=L$3,SUMIF('TL15'!$C$238:$C$451,$C416,'TL15'!$J$238:$J$451),0),
IF('TL16'!$B$3=L$3,SUMIF('TL16'!$C$10:$C$224,$C416,'TL16'!$J$10:$J$224),0),
IF('TL16'!$B$229=L$3,SUMIF('TL16'!$C$238:$C$451,$C416,'TL16'!$J$238:$J$451),0),
IF('TL17'!$B$3=L$3,SUMIF('TL17'!$C$10:$C$224,$C416,'TL17'!$J$10:$J$224),0),
IF('TL17'!$B$229=L$3,SUMIF('TL17'!$C$238:$C$451,$C416,'TL17'!$J$238:$J$451),0),
IF('TL18'!$B$3=L$3,SUMIF('TL18'!$C$10:$C$224,$C416,'TL18'!$J$10:$J$224),0),
IF('TL18'!$B$229=L$3,SUMIF('TL18'!$C$238:$C$451,$C416,'TL18'!$J$238:$J$451),0),
IF('TL19'!$B$3=L$3,SUMIF('TL19'!$C$10:$C$224,$C416,'TL19'!$J$10:$J$224),0),
IF('TL19'!$B$229=L$3,SUMIF('TL19'!$C$238:$C$451,$C416,'TL19'!$J$238:$J$451),0)
),0)</f>
        <v>0</v>
      </c>
      <c r="M416" s="138">
        <f>IFERROR(SUM(
IF('TL01'!$B$3=M$3,SUMIF('TL01'!$C$10:$C$224,$C416,'TL01'!$J$10:$J$224),0),
IF('TL01'!$B$229=M$3,SUMIF('TL01'!$C$238:$C$451,$C416,'TL01'!$J$238:$J$451),0),
IF('TL02'!$B$3=M$3,SUMIF('TL02'!$C$10:$C$224,$C416,'TL02'!$J$10:$J$224),0),
IF('TL02'!$B$229=M$3,SUMIF('TL02'!$C$238:$C$451,$C416,'TL02'!$J$238:$J$451),0),
IF('TL03'!$B$3=M$3,SUMIF('TL03'!$C$10:$C$224,$C416,'TL03'!$J$10:$J$224),0),
IF('TL03'!$B$229=M$3,SUMIF('TL03'!$C$238:$C$451,$C416,'TL03'!$J$238:$J$451),0),
IF('TL04'!$B$3=M$3,SUMIF('TL04'!$C$10:$C$224,$C416,'TL04'!$J$10:$J$224),0),
IF('TL04'!$B$229=M$3,SUMIF('TL04'!$C$238:$C$451,$C416,'TL04'!$J$238:$J$451),0),
IF('TL05'!$B$3=M$3,SUMIF('TL05'!$C$10:$C$224,$C416,'TL05'!$J$10:$J$224),0),
IF('TL05'!$B$229=M$3,SUMIF('TL05'!$C$238:$C$451,$C416,'TL05'!$J$238:$J$451),0),
IF('TL06'!$B$3=M$3,SUMIF('TL06'!$C$10:$C$224,$C416,'TL06'!$J$10:$J$224),0),
IF('TL06'!$B$229=M$3,SUMIF('TL06'!$C$238:$C$451,$C416,'TL06'!$J$238:$J$451),0),
IF('TL07'!$B$3=M$3,SUMIF('TL07'!$C$10:$C$224,$C416,'TL07'!$J$10:$J$224),0),
IF('TL07'!$B$229=M$3,SUMIF('TL07'!$C$238:$C$451,$C416,'TL07'!$J$238:$J$451),0),
IF('TL08'!$B$3=M$3,SUMIF('TL08'!$C$10:$C$224,$C416,'TL08'!$J$10:$J$224),0),
IF('TL08'!$B$229=M$3,SUMIF('TL08'!$C$238:$C$451,$C416,'TL08'!$J$238:$J$451),0),
IF('TL09'!$B$3=M$3,SUMIF('TL09'!$C$10:$C$224,$C416,'TL09'!$J$10:$J$224),0),
IF('TL09'!$B$229=M$3,SUMIF('TL09'!$C$238:$C$451,$C416,'TL09'!$J$238:$J$451),0),
IF('TL10'!$B$3=M$3,SUMIF('TL10'!$C$10:$C$224,$C416,'TL10'!$J$10:$J$224),0),
IF('TL10'!$B$229=M$3,SUMIF('TL10'!$C$238:$C$451,$C416,'TL10'!$J$238:$J$451),0),
IF('TL11'!$B$3=M$3,SUMIF('TL11'!$C$10:$C$224,$C416,'TL11'!$J$10:$J$224),0),
IF('TL11'!$B$229=M$3,SUMIF('TL11'!$C$238:$C$451,$C416,'TL11'!$J$238:$J$451),0),
IF('TL12'!$B$3=M$3,SUMIF('TL12'!$C$10:$C$224,$C416,'TL12'!$J$10:$J$224),0),
IF('TL12'!$B$229=M$3,SUMIF('TL12'!$C$238:$C$451,$C416,'TL12'!$J$238:$J$451),0),
IF('TL13'!$B$3=M$3,SUMIF('TL13'!$C$10:$C$224,$C416,'TL13'!$J$10:$J$224),0),
IF('TL13'!$B$229=M$3,SUMIF('TL13'!$C$238:$C$451,$C416,'TL13'!$J$238:$J$451),0),
IF('TL14'!$B$3=M$3,SUMIF('TL14'!$C$10:$C$224,$C416,'TL14'!$J$10:$J$224),0),
IF('TL14'!$B$229=M$3,SUMIF('TL14'!$C$238:$C$451,$C416,'TL14'!$J$238:$J$451),0),
IF('TL15'!$B$3=M$3,SUMIF('TL15'!$C$10:$C$224,$C416,'TL15'!$J$10:$J$224),0),
IF('TL15'!$B$229=M$3,SUMIF('TL15'!$C$238:$C$451,$C416,'TL15'!$J$238:$J$451),0),
IF('TL16'!$B$3=M$3,SUMIF('TL16'!$C$10:$C$224,$C416,'TL16'!$J$10:$J$224),0),
IF('TL16'!$B$229=M$3,SUMIF('TL16'!$C$238:$C$451,$C416,'TL16'!$J$238:$J$451),0),
IF('TL17'!$B$3=M$3,SUMIF('TL17'!$C$10:$C$224,$C416,'TL17'!$J$10:$J$224),0),
IF('TL17'!$B$229=M$3,SUMIF('TL17'!$C$238:$C$451,$C416,'TL17'!$J$238:$J$451),0),
IF('TL18'!$B$3=M$3,SUMIF('TL18'!$C$10:$C$224,$C416,'TL18'!$J$10:$J$224),0),
IF('TL18'!$B$229=M$3,SUMIF('TL18'!$C$238:$C$451,$C416,'TL18'!$J$238:$J$451),0),
IF('TL19'!$B$3=M$3,SUMIF('TL19'!$C$10:$C$224,$C416,'TL19'!$J$10:$J$224),0),
IF('TL19'!$B$229=M$3,SUMIF('TL19'!$C$238:$C$451,$C416,'TL19'!$J$238:$J$451),0)
),0)</f>
        <v>0</v>
      </c>
      <c r="N416" s="138">
        <f>IFERROR(SUM(
IF('TL01'!$B$3=N$3,SUMIF('TL01'!$C$10:$C$224,$C416,'TL01'!$J$10:$J$224),0),
IF('TL01'!$B$229=N$3,SUMIF('TL01'!$C$238:$C$451,$C416,'TL01'!$J$238:$J$451),0),
IF('TL02'!$B$3=N$3,SUMIF('TL02'!$C$10:$C$224,$C416,'TL02'!$J$10:$J$224),0),
IF('TL02'!$B$229=N$3,SUMIF('TL02'!$C$238:$C$451,$C416,'TL02'!$J$238:$J$451),0),
IF('TL03'!$B$3=N$3,SUMIF('TL03'!$C$10:$C$224,$C416,'TL03'!$J$10:$J$224),0),
IF('TL03'!$B$229=N$3,SUMIF('TL03'!$C$238:$C$451,$C416,'TL03'!$J$238:$J$451),0),
IF('TL04'!$B$3=N$3,SUMIF('TL04'!$C$10:$C$224,$C416,'TL04'!$J$10:$J$224),0),
IF('TL04'!$B$229=N$3,SUMIF('TL04'!$C$238:$C$451,$C416,'TL04'!$J$238:$J$451),0),
IF('TL05'!$B$3=N$3,SUMIF('TL05'!$C$10:$C$224,$C416,'TL05'!$J$10:$J$224),0),
IF('TL05'!$B$229=N$3,SUMIF('TL05'!$C$238:$C$451,$C416,'TL05'!$J$238:$J$451),0),
IF('TL06'!$B$3=N$3,SUMIF('TL06'!$C$10:$C$224,$C416,'TL06'!$J$10:$J$224),0),
IF('TL06'!$B$229=N$3,SUMIF('TL06'!$C$238:$C$451,$C416,'TL06'!$J$238:$J$451),0),
IF('TL07'!$B$3=N$3,SUMIF('TL07'!$C$10:$C$224,$C416,'TL07'!$J$10:$J$224),0),
IF('TL07'!$B$229=N$3,SUMIF('TL07'!$C$238:$C$451,$C416,'TL07'!$J$238:$J$451),0),
IF('TL08'!$B$3=N$3,SUMIF('TL08'!$C$10:$C$224,$C416,'TL08'!$J$10:$J$224),0),
IF('TL08'!$B$229=N$3,SUMIF('TL08'!$C$238:$C$451,$C416,'TL08'!$J$238:$J$451),0),
IF('TL09'!$B$3=N$3,SUMIF('TL09'!$C$10:$C$224,$C416,'TL09'!$J$10:$J$224),0),
IF('TL09'!$B$229=N$3,SUMIF('TL09'!$C$238:$C$451,$C416,'TL09'!$J$238:$J$451),0),
IF('TL10'!$B$3=N$3,SUMIF('TL10'!$C$10:$C$224,$C416,'TL10'!$J$10:$J$224),0),
IF('TL10'!$B$229=N$3,SUMIF('TL10'!$C$238:$C$451,$C416,'TL10'!$J$238:$J$451),0),
IF('TL11'!$B$3=N$3,SUMIF('TL11'!$C$10:$C$224,$C416,'TL11'!$J$10:$J$224),0),
IF('TL11'!$B$229=N$3,SUMIF('TL11'!$C$238:$C$451,$C416,'TL11'!$J$238:$J$451),0),
IF('TL12'!$B$3=N$3,SUMIF('TL12'!$C$10:$C$224,$C416,'TL12'!$J$10:$J$224),0),
IF('TL12'!$B$229=N$3,SUMIF('TL12'!$C$238:$C$451,$C416,'TL12'!$J$238:$J$451),0),
IF('TL13'!$B$3=N$3,SUMIF('TL13'!$C$10:$C$224,$C416,'TL13'!$J$10:$J$224),0),
IF('TL13'!$B$229=N$3,SUMIF('TL13'!$C$238:$C$451,$C416,'TL13'!$J$238:$J$451),0),
IF('TL14'!$B$3=N$3,SUMIF('TL14'!$C$10:$C$224,$C416,'TL14'!$J$10:$J$224),0),
IF('TL14'!$B$229=N$3,SUMIF('TL14'!$C$238:$C$451,$C416,'TL14'!$J$238:$J$451),0),
IF('TL15'!$B$3=N$3,SUMIF('TL15'!$C$10:$C$224,$C416,'TL15'!$J$10:$J$224),0),
IF('TL15'!$B$229=N$3,SUMIF('TL15'!$C$238:$C$451,$C416,'TL15'!$J$238:$J$451),0),
IF('TL16'!$B$3=N$3,SUMIF('TL16'!$C$10:$C$224,$C416,'TL16'!$J$10:$J$224),0),
IF('TL16'!$B$229=N$3,SUMIF('TL16'!$C$238:$C$451,$C416,'TL16'!$J$238:$J$451),0),
IF('TL17'!$B$3=N$3,SUMIF('TL17'!$C$10:$C$224,$C416,'TL17'!$J$10:$J$224),0),
IF('TL17'!$B$229=N$3,SUMIF('TL17'!$C$238:$C$451,$C416,'TL17'!$J$238:$J$451),0),
IF('TL18'!$B$3=N$3,SUMIF('TL18'!$C$10:$C$224,$C416,'TL18'!$J$10:$J$224),0),
IF('TL18'!$B$229=N$3,SUMIF('TL18'!$C$238:$C$451,$C416,'TL18'!$J$238:$J$451),0),
IF('TL19'!$B$3=N$3,SUMIF('TL19'!$C$10:$C$224,$C416,'TL19'!$J$10:$J$224),0),
IF('TL19'!$B$229=N$3,SUMIF('TL19'!$C$238:$C$451,$C416,'TL19'!$J$238:$J$451),0)
),0)</f>
        <v>0</v>
      </c>
      <c r="O416" s="138">
        <f>IFERROR(SUM(
IF('TL01'!$B$3=O$3,SUMIF('TL01'!$C$10:$C$224,$C416,'TL01'!$J$10:$J$224),0),
IF('TL01'!$B$229=O$3,SUMIF('TL01'!$C$238:$C$451,$C416,'TL01'!$J$238:$J$451),0),
IF('TL02'!$B$3=O$3,SUMIF('TL02'!$C$10:$C$224,$C416,'TL02'!$J$10:$J$224),0),
IF('TL02'!$B$229=O$3,SUMIF('TL02'!$C$238:$C$451,$C416,'TL02'!$J$238:$J$451),0),
IF('TL03'!$B$3=O$3,SUMIF('TL03'!$C$10:$C$224,$C416,'TL03'!$J$10:$J$224),0),
IF('TL03'!$B$229=O$3,SUMIF('TL03'!$C$238:$C$451,$C416,'TL03'!$J$238:$J$451),0),
IF('TL04'!$B$3=O$3,SUMIF('TL04'!$C$10:$C$224,$C416,'TL04'!$J$10:$J$224),0),
IF('TL04'!$B$229=O$3,SUMIF('TL04'!$C$238:$C$451,$C416,'TL04'!$J$238:$J$451),0),
IF('TL05'!$B$3=O$3,SUMIF('TL05'!$C$10:$C$224,$C416,'TL05'!$J$10:$J$224),0),
IF('TL05'!$B$229=O$3,SUMIF('TL05'!$C$238:$C$451,$C416,'TL05'!$J$238:$J$451),0),
IF('TL06'!$B$3=O$3,SUMIF('TL06'!$C$10:$C$224,$C416,'TL06'!$J$10:$J$224),0),
IF('TL06'!$B$229=O$3,SUMIF('TL06'!$C$238:$C$451,$C416,'TL06'!$J$238:$J$451),0),
IF('TL07'!$B$3=O$3,SUMIF('TL07'!$C$10:$C$224,$C416,'TL07'!$J$10:$J$224),0),
IF('TL07'!$B$229=O$3,SUMIF('TL07'!$C$238:$C$451,$C416,'TL07'!$J$238:$J$451),0),
IF('TL08'!$B$3=O$3,SUMIF('TL08'!$C$10:$C$224,$C416,'TL08'!$J$10:$J$224),0),
IF('TL08'!$B$229=O$3,SUMIF('TL08'!$C$238:$C$451,$C416,'TL08'!$J$238:$J$451),0),
IF('TL09'!$B$3=O$3,SUMIF('TL09'!$C$10:$C$224,$C416,'TL09'!$J$10:$J$224),0),
IF('TL09'!$B$229=O$3,SUMIF('TL09'!$C$238:$C$451,$C416,'TL09'!$J$238:$J$451),0),
IF('TL10'!$B$3=O$3,SUMIF('TL10'!$C$10:$C$224,$C416,'TL10'!$J$10:$J$224),0),
IF('TL10'!$B$229=O$3,SUMIF('TL10'!$C$238:$C$451,$C416,'TL10'!$J$238:$J$451),0),
IF('TL11'!$B$3=O$3,SUMIF('TL11'!$C$10:$C$224,$C416,'TL11'!$J$10:$J$224),0),
IF('TL11'!$B$229=O$3,SUMIF('TL11'!$C$238:$C$451,$C416,'TL11'!$J$238:$J$451),0),
IF('TL12'!$B$3=O$3,SUMIF('TL12'!$C$10:$C$224,$C416,'TL12'!$J$10:$J$224),0),
IF('TL12'!$B$229=O$3,SUMIF('TL12'!$C$238:$C$451,$C416,'TL12'!$J$238:$J$451),0),
IF('TL13'!$B$3=O$3,SUMIF('TL13'!$C$10:$C$224,$C416,'TL13'!$J$10:$J$224),0),
IF('TL13'!$B$229=O$3,SUMIF('TL13'!$C$238:$C$451,$C416,'TL13'!$J$238:$J$451),0),
IF('TL14'!$B$3=O$3,SUMIF('TL14'!$C$10:$C$224,$C416,'TL14'!$J$10:$J$224),0),
IF('TL14'!$B$229=O$3,SUMIF('TL14'!$C$238:$C$451,$C416,'TL14'!$J$238:$J$451),0),
IF('TL15'!$B$3=O$3,SUMIF('TL15'!$C$10:$C$224,$C416,'TL15'!$J$10:$J$224),0),
IF('TL15'!$B$229=O$3,SUMIF('TL15'!$C$238:$C$451,$C416,'TL15'!$J$238:$J$451),0),
IF('TL16'!$B$3=O$3,SUMIF('TL16'!$C$10:$C$224,$C416,'TL16'!$J$10:$J$224),0),
IF('TL16'!$B$229=O$3,SUMIF('TL16'!$C$238:$C$451,$C416,'TL16'!$J$238:$J$451),0),
IF('TL17'!$B$3=O$3,SUMIF('TL17'!$C$10:$C$224,$C416,'TL17'!$J$10:$J$224),0),
IF('TL17'!$B$229=O$3,SUMIF('TL17'!$C$238:$C$451,$C416,'TL17'!$J$238:$J$451),0),
IF('TL18'!$B$3=O$3,SUMIF('TL18'!$C$10:$C$224,$C416,'TL18'!$J$10:$J$224),0),
IF('TL18'!$B$229=O$3,SUMIF('TL18'!$C$238:$C$451,$C416,'TL18'!$J$238:$J$451),0),
IF('TL19'!$B$3=O$3,SUMIF('TL19'!$C$10:$C$224,$C416,'TL19'!$J$10:$J$224),0),
IF('TL19'!$B$229=O$3,SUMIF('TL19'!$C$238:$C$451,$C416,'TL19'!$J$238:$J$451),0)
),0)</f>
        <v>0</v>
      </c>
      <c r="P416" s="138">
        <f>IFERROR(SUM(
IF('TL01'!$B$3=P$3,SUMIF('TL01'!$C$10:$C$224,$C416,'TL01'!$J$10:$J$224),0),
IF('TL01'!$B$229=P$3,SUMIF('TL01'!$C$238:$C$451,$C416,'TL01'!$J$238:$J$451),0),
IF('TL02'!$B$3=P$3,SUMIF('TL02'!$C$10:$C$224,$C416,'TL02'!$J$10:$J$224),0),
IF('TL02'!$B$229=P$3,SUMIF('TL02'!$C$238:$C$451,$C416,'TL02'!$J$238:$J$451),0),
IF('TL03'!$B$3=P$3,SUMIF('TL03'!$C$10:$C$224,$C416,'TL03'!$J$10:$J$224),0),
IF('TL03'!$B$229=P$3,SUMIF('TL03'!$C$238:$C$451,$C416,'TL03'!$J$238:$J$451),0),
IF('TL04'!$B$3=P$3,SUMIF('TL04'!$C$10:$C$224,$C416,'TL04'!$J$10:$J$224),0),
IF('TL04'!$B$229=P$3,SUMIF('TL04'!$C$238:$C$451,$C416,'TL04'!$J$238:$J$451),0),
IF('TL05'!$B$3=P$3,SUMIF('TL05'!$C$10:$C$224,$C416,'TL05'!$J$10:$J$224),0),
IF('TL05'!$B$229=P$3,SUMIF('TL05'!$C$238:$C$451,$C416,'TL05'!$J$238:$J$451),0),
IF('TL06'!$B$3=P$3,SUMIF('TL06'!$C$10:$C$224,$C416,'TL06'!$J$10:$J$224),0),
IF('TL06'!$B$229=P$3,SUMIF('TL06'!$C$238:$C$451,$C416,'TL06'!$J$238:$J$451),0),
IF('TL07'!$B$3=P$3,SUMIF('TL07'!$C$10:$C$224,$C416,'TL07'!$J$10:$J$224),0),
IF('TL07'!$B$229=P$3,SUMIF('TL07'!$C$238:$C$451,$C416,'TL07'!$J$238:$J$451),0),
IF('TL08'!$B$3=P$3,SUMIF('TL08'!$C$10:$C$224,$C416,'TL08'!$J$10:$J$224),0),
IF('TL08'!$B$229=P$3,SUMIF('TL08'!$C$238:$C$451,$C416,'TL08'!$J$238:$J$451),0),
IF('TL09'!$B$3=P$3,SUMIF('TL09'!$C$10:$C$224,$C416,'TL09'!$J$10:$J$224),0),
IF('TL09'!$B$229=P$3,SUMIF('TL09'!$C$238:$C$451,$C416,'TL09'!$J$238:$J$451),0),
IF('TL10'!$B$3=P$3,SUMIF('TL10'!$C$10:$C$224,$C416,'TL10'!$J$10:$J$224),0),
IF('TL10'!$B$229=P$3,SUMIF('TL10'!$C$238:$C$451,$C416,'TL10'!$J$238:$J$451),0),
IF('TL11'!$B$3=P$3,SUMIF('TL11'!$C$10:$C$224,$C416,'TL11'!$J$10:$J$224),0),
IF('TL11'!$B$229=P$3,SUMIF('TL11'!$C$238:$C$451,$C416,'TL11'!$J$238:$J$451),0),
IF('TL12'!$B$3=P$3,SUMIF('TL12'!$C$10:$C$224,$C416,'TL12'!$J$10:$J$224),0),
IF('TL12'!$B$229=P$3,SUMIF('TL12'!$C$238:$C$451,$C416,'TL12'!$J$238:$J$451),0),
IF('TL13'!$B$3=P$3,SUMIF('TL13'!$C$10:$C$224,$C416,'TL13'!$J$10:$J$224),0),
IF('TL13'!$B$229=P$3,SUMIF('TL13'!$C$238:$C$451,$C416,'TL13'!$J$238:$J$451),0),
IF('TL14'!$B$3=P$3,SUMIF('TL14'!$C$10:$C$224,$C416,'TL14'!$J$10:$J$224),0),
IF('TL14'!$B$229=P$3,SUMIF('TL14'!$C$238:$C$451,$C416,'TL14'!$J$238:$J$451),0),
IF('TL15'!$B$3=P$3,SUMIF('TL15'!$C$10:$C$224,$C416,'TL15'!$J$10:$J$224),0),
IF('TL15'!$B$229=P$3,SUMIF('TL15'!$C$238:$C$451,$C416,'TL15'!$J$238:$J$451),0),
IF('TL16'!$B$3=P$3,SUMIF('TL16'!$C$10:$C$224,$C416,'TL16'!$J$10:$J$224),0),
IF('TL16'!$B$229=P$3,SUMIF('TL16'!$C$238:$C$451,$C416,'TL16'!$J$238:$J$451),0),
IF('TL17'!$B$3=P$3,SUMIF('TL17'!$C$10:$C$224,$C416,'TL17'!$J$10:$J$224),0),
IF('TL17'!$B$229=P$3,SUMIF('TL17'!$C$238:$C$451,$C416,'TL17'!$J$238:$J$451),0),
IF('TL18'!$B$3=P$3,SUMIF('TL18'!$C$10:$C$224,$C416,'TL18'!$J$10:$J$224),0),
IF('TL18'!$B$229=P$3,SUMIF('TL18'!$C$238:$C$451,$C416,'TL18'!$J$238:$J$451),0),
IF('TL19'!$B$3=P$3,SUMIF('TL19'!$C$10:$C$224,$C416,'TL19'!$J$10:$J$224),0),
IF('TL19'!$B$229=P$3,SUMIF('TL19'!$C$238:$C$451,$C416,'TL19'!$J$238:$J$451),0)
),0)</f>
        <v>0</v>
      </c>
      <c r="Q416" s="138">
        <f>IFERROR(SUM(
IF('TL01'!$B$3=Q$3,SUMIF('TL01'!$C$10:$C$224,$C416,'TL01'!$J$10:$J$224),0),
IF('TL01'!$B$229=Q$3,SUMIF('TL01'!$C$238:$C$451,$C416,'TL01'!$J$238:$J$451),0),
IF('TL02'!$B$3=Q$3,SUMIF('TL02'!$C$10:$C$224,$C416,'TL02'!$J$10:$J$224),0),
IF('TL02'!$B$229=Q$3,SUMIF('TL02'!$C$238:$C$451,$C416,'TL02'!$J$238:$J$451),0),
IF('TL03'!$B$3=Q$3,SUMIF('TL03'!$C$10:$C$224,$C416,'TL03'!$J$10:$J$224),0),
IF('TL03'!$B$229=Q$3,SUMIF('TL03'!$C$238:$C$451,$C416,'TL03'!$J$238:$J$451),0),
IF('TL04'!$B$3=Q$3,SUMIF('TL04'!$C$10:$C$224,$C416,'TL04'!$J$10:$J$224),0),
IF('TL04'!$B$229=Q$3,SUMIF('TL04'!$C$238:$C$451,$C416,'TL04'!$J$238:$J$451),0),
IF('TL05'!$B$3=Q$3,SUMIF('TL05'!$C$10:$C$224,$C416,'TL05'!$J$10:$J$224),0),
IF('TL05'!$B$229=Q$3,SUMIF('TL05'!$C$238:$C$451,$C416,'TL05'!$J$238:$J$451),0),
IF('TL06'!$B$3=Q$3,SUMIF('TL06'!$C$10:$C$224,$C416,'TL06'!$J$10:$J$224),0),
IF('TL06'!$B$229=Q$3,SUMIF('TL06'!$C$238:$C$451,$C416,'TL06'!$J$238:$J$451),0),
IF('TL07'!$B$3=Q$3,SUMIF('TL07'!$C$10:$C$224,$C416,'TL07'!$J$10:$J$224),0),
IF('TL07'!$B$229=Q$3,SUMIF('TL07'!$C$238:$C$451,$C416,'TL07'!$J$238:$J$451),0),
IF('TL08'!$B$3=Q$3,SUMIF('TL08'!$C$10:$C$224,$C416,'TL08'!$J$10:$J$224),0),
IF('TL08'!$B$229=Q$3,SUMIF('TL08'!$C$238:$C$451,$C416,'TL08'!$J$238:$J$451),0),
IF('TL09'!$B$3=Q$3,SUMIF('TL09'!$C$10:$C$224,$C416,'TL09'!$J$10:$J$224),0),
IF('TL09'!$B$229=Q$3,SUMIF('TL09'!$C$238:$C$451,$C416,'TL09'!$J$238:$J$451),0),
IF('TL10'!$B$3=Q$3,SUMIF('TL10'!$C$10:$C$224,$C416,'TL10'!$J$10:$J$224),0),
IF('TL10'!$B$229=Q$3,SUMIF('TL10'!$C$238:$C$451,$C416,'TL10'!$J$238:$J$451),0),
IF('TL11'!$B$3=Q$3,SUMIF('TL11'!$C$10:$C$224,$C416,'TL11'!$J$10:$J$224),0),
IF('TL11'!$B$229=Q$3,SUMIF('TL11'!$C$238:$C$451,$C416,'TL11'!$J$238:$J$451),0),
IF('TL12'!$B$3=Q$3,SUMIF('TL12'!$C$10:$C$224,$C416,'TL12'!$J$10:$J$224),0),
IF('TL12'!$B$229=Q$3,SUMIF('TL12'!$C$238:$C$451,$C416,'TL12'!$J$238:$J$451),0),
IF('TL13'!$B$3=Q$3,SUMIF('TL13'!$C$10:$C$224,$C416,'TL13'!$J$10:$J$224),0),
IF('TL13'!$B$229=Q$3,SUMIF('TL13'!$C$238:$C$451,$C416,'TL13'!$J$238:$J$451),0),
IF('TL14'!$B$3=Q$3,SUMIF('TL14'!$C$10:$C$224,$C416,'TL14'!$J$10:$J$224),0),
IF('TL14'!$B$229=Q$3,SUMIF('TL14'!$C$238:$C$451,$C416,'TL14'!$J$238:$J$451),0),
IF('TL15'!$B$3=Q$3,SUMIF('TL15'!$C$10:$C$224,$C416,'TL15'!$J$10:$J$224),0),
IF('TL15'!$B$229=Q$3,SUMIF('TL15'!$C$238:$C$451,$C416,'TL15'!$J$238:$J$451),0),
IF('TL16'!$B$3=Q$3,SUMIF('TL16'!$C$10:$C$224,$C416,'TL16'!$J$10:$J$224),0),
IF('TL16'!$B$229=Q$3,SUMIF('TL16'!$C$238:$C$451,$C416,'TL16'!$J$238:$J$451),0),
IF('TL17'!$B$3=Q$3,SUMIF('TL17'!$C$10:$C$224,$C416,'TL17'!$J$10:$J$224),0),
IF('TL17'!$B$229=Q$3,SUMIF('TL17'!$C$238:$C$451,$C416,'TL17'!$J$238:$J$451),0),
IF('TL18'!$B$3=Q$3,SUMIF('TL18'!$C$10:$C$224,$C416,'TL18'!$J$10:$J$224),0),
IF('TL18'!$B$229=Q$3,SUMIF('TL18'!$C$238:$C$451,$C416,'TL18'!$J$238:$J$451),0),
IF('TL19'!$B$3=Q$3,SUMIF('TL19'!$C$10:$C$224,$C416,'TL19'!$J$10:$J$224),0),
IF('TL19'!$B$229=Q$3,SUMIF('TL19'!$C$238:$C$451,$C416,'TL19'!$J$238:$J$451),0)
),0)</f>
        <v>0</v>
      </c>
      <c r="R416" s="139">
        <f>IFERROR(
SUM(
SUMIF('TL01'!C:C,C416,'TL01'!J:J),
SUMIF('TL02'!C:C,C416,'TL02'!I:I),
SUMIF('TL03'!C:C,C416,'TL03'!I:I),
SUMIF('TL04'!C:C,C416,'TL04'!I:I),
SUMIF('TL05'!C:C,C416,'TL05'!I:I),
SUMIF('TL06'!C:C,C416,'TL06'!I:I),
SUMIF('TL07'!C:C,C416,'TL07'!I:I),
SUMIF('TL08'!C:C,C416,'TL08'!I:I),
SUMIF('TL09'!C:C,C416,'TL09'!I:I),
SUMIF('TL10'!C:C,C416,'TL10'!I:I),
SUMIF('TL11'!C:C,C416,'TL11'!I:I),
SUMIF('TL12'!C:C,C416,'TL12'!I:I),
SUMIF('TL13'!C:C,C416,'TL13'!I:I),
SUMIF('TL14'!C:C,C416,'TL14'!I:I),
SUMIF('TL15'!C:C,C416,'TL15'!I:I),
SUMIF('TL16'!C:C,C416,'TL16'!I:I),
SUMIF('TL17'!C:C,C416,'TL17'!I:I),
SUMIF('TL18'!C:C,C416,'TL18'!I:I))
,0)</f>
        <v>0</v>
      </c>
      <c r="S416" s="142" t="str">
        <f>'CUSTO OPERAÇÃO'!M20</f>
        <v/>
      </c>
      <c r="T416" s="139"/>
      <c r="U416" s="143">
        <f t="shared" si="2"/>
        <v>0</v>
      </c>
      <c r="V416" s="144">
        <f t="shared" si="3"/>
        <v>0</v>
      </c>
    </row>
    <row r="417" ht="15.75" hidden="1" customHeight="1">
      <c r="A417" s="138"/>
      <c r="B417" s="155"/>
      <c r="C417" s="138"/>
      <c r="D417" s="138"/>
      <c r="E417" s="139"/>
      <c r="F417" s="138" t="s">
        <v>1133</v>
      </c>
      <c r="G417" s="139"/>
      <c r="H417" s="140" t="str">
        <f>'CUSTO OPERAÇÃO'!J21</f>
        <v>#N/A</v>
      </c>
      <c r="I417" s="156"/>
      <c r="J417" s="138">
        <f>IFERROR(SUM(
IF('TL01'!$B$3=J$3,SUMIF('TL01'!$C$10:$C$224,$C417,'TL01'!$J$10:$J$224),0),
IF('TL01'!$B$229=J$3,SUMIF('TL01'!$C$238:$C$451,$C417,'TL01'!$J$238:$J$451),0),
IF('TL02'!$B$3=J$3,SUMIF('TL02'!$C$10:$C$224,$C417,'TL02'!$J$10:$J$224),0),
IF('TL02'!$B$229=J$3,SUMIF('TL02'!$C$238:$C$451,$C417,'TL02'!$J$238:$J$451),0),
IF('TL03'!$B$3=J$3,SUMIF('TL03'!$C$10:$C$224,$C417,'TL03'!$J$10:$J$224),0),
IF('TL03'!$B$229=J$3,SUMIF('TL03'!$C$238:$C$451,$C417,'TL03'!$J$238:$J$451),0),
IF('TL04'!$B$3=J$3,SUMIF('TL04'!$C$10:$C$224,$C417,'TL04'!$J$10:$J$224),0),
IF('TL04'!$B$229=J$3,SUMIF('TL04'!$C$238:$C$451,$C417,'TL04'!$J$238:$J$451),0),
IF('TL05'!$B$3=J$3,SUMIF('TL05'!$C$10:$C$224,$C417,'TL05'!$J$10:$J$224),0),
IF('TL05'!$B$229=J$3,SUMIF('TL05'!$C$238:$C$451,$C417,'TL05'!$J$238:$J$451),0),
IF('TL06'!$B$3=J$3,SUMIF('TL06'!$C$10:$C$224,$C417,'TL06'!$J$10:$J$224),0),
IF('TL06'!$B$229=J$3,SUMIF('TL06'!$C$238:$C$451,$C417,'TL06'!$J$238:$J$451),0),
IF('TL07'!$B$3=J$3,SUMIF('TL07'!$C$10:$C$224,$C417,'TL07'!$J$10:$J$224),0),
IF('TL07'!$B$229=J$3,SUMIF('TL07'!$C$238:$C$451,$C417,'TL07'!$J$238:$J$451),0),
IF('TL08'!$B$3=J$3,SUMIF('TL08'!$C$10:$C$224,$C417,'TL08'!$J$10:$J$224),0),
IF('TL08'!$B$229=J$3,SUMIF('TL08'!$C$238:$C$451,$C417,'TL08'!$J$238:$J$451),0),
IF('TL09'!$B$3=J$3,SUMIF('TL09'!$C$10:$C$224,$C417,'TL09'!$J$10:$J$224),0),
IF('TL09'!$B$229=J$3,SUMIF('TL09'!$C$238:$C$451,$C417,'TL09'!$J$238:$J$451),0),
IF('TL10'!$B$3=J$3,SUMIF('TL10'!$C$10:$C$224,$C417,'TL10'!$J$10:$J$224),0),
IF('TL10'!$B$229=J$3,SUMIF('TL10'!$C$238:$C$451,$C417,'TL10'!$J$238:$J$451),0),
IF('TL11'!$B$3=J$3,SUMIF('TL11'!$C$10:$C$224,$C417,'TL11'!$J$10:$J$224),0),
IF('TL11'!$B$229=J$3,SUMIF('TL11'!$C$238:$C$451,$C417,'TL11'!$J$238:$J$451),0),
IF('TL12'!$B$3=J$3,SUMIF('TL12'!$C$10:$C$224,$C417,'TL12'!$J$10:$J$224),0),
IF('TL12'!$B$229=J$3,SUMIF('TL12'!$C$238:$C$451,$C417,'TL12'!$J$238:$J$451),0),
IF('TL13'!$B$3=J$3,SUMIF('TL13'!$C$10:$C$224,$C417,'TL13'!$J$10:$J$224),0),
IF('TL13'!$B$229=J$3,SUMIF('TL13'!$C$238:$C$451,$C417,'TL13'!$J$238:$J$451),0),
IF('TL14'!$B$3=J$3,SUMIF('TL14'!$C$10:$C$224,$C417,'TL14'!$J$10:$J$224),0),
IF('TL14'!$B$229=J$3,SUMIF('TL14'!$C$238:$C$451,$C417,'TL14'!$J$238:$J$451),0),
IF('TL15'!$B$3=J$3,SUMIF('TL15'!$C$10:$C$224,$C417,'TL15'!$J$10:$J$224),0),
IF('TL15'!$B$229=J$3,SUMIF('TL15'!$C$238:$C$451,$C417,'TL15'!$J$238:$J$451),0),
IF('TL16'!$B$3=J$3,SUMIF('TL16'!$C$10:$C$224,$C417,'TL16'!$J$10:$J$224),0),
IF('TL16'!$B$229=J$3,SUMIF('TL16'!$C$238:$C$451,$C417,'TL16'!$J$238:$J$451),0),
IF('TL17'!$B$3=J$3,SUMIF('TL17'!$C$10:$C$224,$C417,'TL17'!$J$10:$J$224),0),
IF('TL17'!$B$229=J$3,SUMIF('TL17'!$C$238:$C$451,$C417,'TL17'!$J$238:$J$451),0),
IF('TL18'!$B$3=J$3,SUMIF('TL18'!$C$10:$C$224,$C417,'TL18'!$J$10:$J$224),0),
IF('TL18'!$B$229=J$3,SUMIF('TL18'!$C$238:$C$451,$C417,'TL18'!$J$238:$J$451),0),
IF('TL19'!$B$3=J$3,SUMIF('TL19'!$C$10:$C$224,$C417,'TL19'!$J$10:$J$224),0),
IF('TL19'!$B$229=J$3,SUMIF('TL19'!$C$238:$C$451,$C417,'TL19'!$J$238:$J$451),0)
),0)</f>
        <v>0</v>
      </c>
      <c r="K417" s="138">
        <f>IFERROR(SUM(
IF('TL01'!$B$3=K$3,SUMIF('TL01'!$C$10:$C$224,$C417,'TL01'!$J$10:$J$224),0),
IF('TL01'!$B$229=K$3,SUMIF('TL01'!$C$238:$C$451,$C417,'TL01'!$J$238:$J$451),0),
IF('TL02'!$B$3=K$3,SUMIF('TL02'!$C$10:$C$224,$C417,'TL02'!$J$10:$J$224),0),
IF('TL02'!$B$229=K$3,SUMIF('TL02'!$C$238:$C$451,$C417,'TL02'!$J$238:$J$451),0),
IF('TL03'!$B$3=K$3,SUMIF('TL03'!$C$10:$C$224,$C417,'TL03'!$J$10:$J$224),0),
IF('TL03'!$B$229=K$3,SUMIF('TL03'!$C$238:$C$451,$C417,'TL03'!$J$238:$J$451),0),
IF('TL04'!$B$3=K$3,SUMIF('TL04'!$C$10:$C$224,$C417,'TL04'!$J$10:$J$224),0),
IF('TL04'!$B$229=K$3,SUMIF('TL04'!$C$238:$C$451,$C417,'TL04'!$J$238:$J$451),0),
IF('TL05'!$B$3=K$3,SUMIF('TL05'!$C$10:$C$224,$C417,'TL05'!$J$10:$J$224),0),
IF('TL05'!$B$229=K$3,SUMIF('TL05'!$C$238:$C$451,$C417,'TL05'!$J$238:$J$451),0),
IF('TL06'!$B$3=K$3,SUMIF('TL06'!$C$10:$C$224,$C417,'TL06'!$J$10:$J$224),0),
IF('TL06'!$B$229=K$3,SUMIF('TL06'!$C$238:$C$451,$C417,'TL06'!$J$238:$J$451),0),
IF('TL07'!$B$3=K$3,SUMIF('TL07'!$C$10:$C$224,$C417,'TL07'!$J$10:$J$224),0),
IF('TL07'!$B$229=K$3,SUMIF('TL07'!$C$238:$C$451,$C417,'TL07'!$J$238:$J$451),0),
IF('TL08'!$B$3=K$3,SUMIF('TL08'!$C$10:$C$224,$C417,'TL08'!$J$10:$J$224),0),
IF('TL08'!$B$229=K$3,SUMIF('TL08'!$C$238:$C$451,$C417,'TL08'!$J$238:$J$451),0),
IF('TL09'!$B$3=K$3,SUMIF('TL09'!$C$10:$C$224,$C417,'TL09'!$J$10:$J$224),0),
IF('TL09'!$B$229=K$3,SUMIF('TL09'!$C$238:$C$451,$C417,'TL09'!$J$238:$J$451),0),
IF('TL10'!$B$3=K$3,SUMIF('TL10'!$C$10:$C$224,$C417,'TL10'!$J$10:$J$224),0),
IF('TL10'!$B$229=K$3,SUMIF('TL10'!$C$238:$C$451,$C417,'TL10'!$J$238:$J$451),0),
IF('TL11'!$B$3=K$3,SUMIF('TL11'!$C$10:$C$224,$C417,'TL11'!$J$10:$J$224),0),
IF('TL11'!$B$229=K$3,SUMIF('TL11'!$C$238:$C$451,$C417,'TL11'!$J$238:$J$451),0),
IF('TL12'!$B$3=K$3,SUMIF('TL12'!$C$10:$C$224,$C417,'TL12'!$J$10:$J$224),0),
IF('TL12'!$B$229=K$3,SUMIF('TL12'!$C$238:$C$451,$C417,'TL12'!$J$238:$J$451),0),
IF('TL13'!$B$3=K$3,SUMIF('TL13'!$C$10:$C$224,$C417,'TL13'!$J$10:$J$224),0),
IF('TL13'!$B$229=K$3,SUMIF('TL13'!$C$238:$C$451,$C417,'TL13'!$J$238:$J$451),0),
IF('TL14'!$B$3=K$3,SUMIF('TL14'!$C$10:$C$224,$C417,'TL14'!$J$10:$J$224),0),
IF('TL14'!$B$229=K$3,SUMIF('TL14'!$C$238:$C$451,$C417,'TL14'!$J$238:$J$451),0),
IF('TL15'!$B$3=K$3,SUMIF('TL15'!$C$10:$C$224,$C417,'TL15'!$J$10:$J$224),0),
IF('TL15'!$B$229=K$3,SUMIF('TL15'!$C$238:$C$451,$C417,'TL15'!$J$238:$J$451),0),
IF('TL16'!$B$3=K$3,SUMIF('TL16'!$C$10:$C$224,$C417,'TL16'!$J$10:$J$224),0),
IF('TL16'!$B$229=K$3,SUMIF('TL16'!$C$238:$C$451,$C417,'TL16'!$J$238:$J$451),0),
IF('TL17'!$B$3=K$3,SUMIF('TL17'!$C$10:$C$224,$C417,'TL17'!$J$10:$J$224),0),
IF('TL17'!$B$229=K$3,SUMIF('TL17'!$C$238:$C$451,$C417,'TL17'!$J$238:$J$451),0),
IF('TL18'!$B$3=K$3,SUMIF('TL18'!$C$10:$C$224,$C417,'TL18'!$J$10:$J$224),0),
IF('TL18'!$B$229=K$3,SUMIF('TL18'!$C$238:$C$451,$C417,'TL18'!$J$238:$J$451),0),
IF('TL19'!$B$3=K$3,SUMIF('TL19'!$C$10:$C$224,$C417,'TL19'!$J$10:$J$224),0),
IF('TL19'!$B$229=K$3,SUMIF('TL19'!$C$238:$C$451,$C417,'TL19'!$J$238:$J$451),0)
),0)</f>
        <v>0</v>
      </c>
      <c r="L417" s="138">
        <f>IFERROR(SUM(
IF('TL01'!$B$3=L$3,SUMIF('TL01'!$C$10:$C$224,$C417,'TL01'!$J$10:$J$224),0),
IF('TL01'!$B$229=L$3,SUMIF('TL01'!$C$238:$C$451,$C417,'TL01'!$J$238:$J$451),0),
IF('TL02'!$B$3=L$3,SUMIF('TL02'!$C$10:$C$224,$C417,'TL02'!$J$10:$J$224),0),
IF('TL02'!$B$229=L$3,SUMIF('TL02'!$C$238:$C$451,$C417,'TL02'!$J$238:$J$451),0),
IF('TL03'!$B$3=L$3,SUMIF('TL03'!$C$10:$C$224,$C417,'TL03'!$J$10:$J$224),0),
IF('TL03'!$B$229=L$3,SUMIF('TL03'!$C$238:$C$451,$C417,'TL03'!$J$238:$J$451),0),
IF('TL04'!$B$3=L$3,SUMIF('TL04'!$C$10:$C$224,$C417,'TL04'!$J$10:$J$224),0),
IF('TL04'!$B$229=L$3,SUMIF('TL04'!$C$238:$C$451,$C417,'TL04'!$J$238:$J$451),0),
IF('TL05'!$B$3=L$3,SUMIF('TL05'!$C$10:$C$224,$C417,'TL05'!$J$10:$J$224),0),
IF('TL05'!$B$229=L$3,SUMIF('TL05'!$C$238:$C$451,$C417,'TL05'!$J$238:$J$451),0),
IF('TL06'!$B$3=L$3,SUMIF('TL06'!$C$10:$C$224,$C417,'TL06'!$J$10:$J$224),0),
IF('TL06'!$B$229=L$3,SUMIF('TL06'!$C$238:$C$451,$C417,'TL06'!$J$238:$J$451),0),
IF('TL07'!$B$3=L$3,SUMIF('TL07'!$C$10:$C$224,$C417,'TL07'!$J$10:$J$224),0),
IF('TL07'!$B$229=L$3,SUMIF('TL07'!$C$238:$C$451,$C417,'TL07'!$J$238:$J$451),0),
IF('TL08'!$B$3=L$3,SUMIF('TL08'!$C$10:$C$224,$C417,'TL08'!$J$10:$J$224),0),
IF('TL08'!$B$229=L$3,SUMIF('TL08'!$C$238:$C$451,$C417,'TL08'!$J$238:$J$451),0),
IF('TL09'!$B$3=L$3,SUMIF('TL09'!$C$10:$C$224,$C417,'TL09'!$J$10:$J$224),0),
IF('TL09'!$B$229=L$3,SUMIF('TL09'!$C$238:$C$451,$C417,'TL09'!$J$238:$J$451),0),
IF('TL10'!$B$3=L$3,SUMIF('TL10'!$C$10:$C$224,$C417,'TL10'!$J$10:$J$224),0),
IF('TL10'!$B$229=L$3,SUMIF('TL10'!$C$238:$C$451,$C417,'TL10'!$J$238:$J$451),0),
IF('TL11'!$B$3=L$3,SUMIF('TL11'!$C$10:$C$224,$C417,'TL11'!$J$10:$J$224),0),
IF('TL11'!$B$229=L$3,SUMIF('TL11'!$C$238:$C$451,$C417,'TL11'!$J$238:$J$451),0),
IF('TL12'!$B$3=L$3,SUMIF('TL12'!$C$10:$C$224,$C417,'TL12'!$J$10:$J$224),0),
IF('TL12'!$B$229=L$3,SUMIF('TL12'!$C$238:$C$451,$C417,'TL12'!$J$238:$J$451),0),
IF('TL13'!$B$3=L$3,SUMIF('TL13'!$C$10:$C$224,$C417,'TL13'!$J$10:$J$224),0),
IF('TL13'!$B$229=L$3,SUMIF('TL13'!$C$238:$C$451,$C417,'TL13'!$J$238:$J$451),0),
IF('TL14'!$B$3=L$3,SUMIF('TL14'!$C$10:$C$224,$C417,'TL14'!$J$10:$J$224),0),
IF('TL14'!$B$229=L$3,SUMIF('TL14'!$C$238:$C$451,$C417,'TL14'!$J$238:$J$451),0),
IF('TL15'!$B$3=L$3,SUMIF('TL15'!$C$10:$C$224,$C417,'TL15'!$J$10:$J$224),0),
IF('TL15'!$B$229=L$3,SUMIF('TL15'!$C$238:$C$451,$C417,'TL15'!$J$238:$J$451),0),
IF('TL16'!$B$3=L$3,SUMIF('TL16'!$C$10:$C$224,$C417,'TL16'!$J$10:$J$224),0),
IF('TL16'!$B$229=L$3,SUMIF('TL16'!$C$238:$C$451,$C417,'TL16'!$J$238:$J$451),0),
IF('TL17'!$B$3=L$3,SUMIF('TL17'!$C$10:$C$224,$C417,'TL17'!$J$10:$J$224),0),
IF('TL17'!$B$229=L$3,SUMIF('TL17'!$C$238:$C$451,$C417,'TL17'!$J$238:$J$451),0),
IF('TL18'!$B$3=L$3,SUMIF('TL18'!$C$10:$C$224,$C417,'TL18'!$J$10:$J$224),0),
IF('TL18'!$B$229=L$3,SUMIF('TL18'!$C$238:$C$451,$C417,'TL18'!$J$238:$J$451),0),
IF('TL19'!$B$3=L$3,SUMIF('TL19'!$C$10:$C$224,$C417,'TL19'!$J$10:$J$224),0),
IF('TL19'!$B$229=L$3,SUMIF('TL19'!$C$238:$C$451,$C417,'TL19'!$J$238:$J$451),0)
),0)</f>
        <v>0</v>
      </c>
      <c r="M417" s="138">
        <f>IFERROR(SUM(
IF('TL01'!$B$3=M$3,SUMIF('TL01'!$C$10:$C$224,$C417,'TL01'!$J$10:$J$224),0),
IF('TL01'!$B$229=M$3,SUMIF('TL01'!$C$238:$C$451,$C417,'TL01'!$J$238:$J$451),0),
IF('TL02'!$B$3=M$3,SUMIF('TL02'!$C$10:$C$224,$C417,'TL02'!$J$10:$J$224),0),
IF('TL02'!$B$229=M$3,SUMIF('TL02'!$C$238:$C$451,$C417,'TL02'!$J$238:$J$451),0),
IF('TL03'!$B$3=M$3,SUMIF('TL03'!$C$10:$C$224,$C417,'TL03'!$J$10:$J$224),0),
IF('TL03'!$B$229=M$3,SUMIF('TL03'!$C$238:$C$451,$C417,'TL03'!$J$238:$J$451),0),
IF('TL04'!$B$3=M$3,SUMIF('TL04'!$C$10:$C$224,$C417,'TL04'!$J$10:$J$224),0),
IF('TL04'!$B$229=M$3,SUMIF('TL04'!$C$238:$C$451,$C417,'TL04'!$J$238:$J$451),0),
IF('TL05'!$B$3=M$3,SUMIF('TL05'!$C$10:$C$224,$C417,'TL05'!$J$10:$J$224),0),
IF('TL05'!$B$229=M$3,SUMIF('TL05'!$C$238:$C$451,$C417,'TL05'!$J$238:$J$451),0),
IF('TL06'!$B$3=M$3,SUMIF('TL06'!$C$10:$C$224,$C417,'TL06'!$J$10:$J$224),0),
IF('TL06'!$B$229=M$3,SUMIF('TL06'!$C$238:$C$451,$C417,'TL06'!$J$238:$J$451),0),
IF('TL07'!$B$3=M$3,SUMIF('TL07'!$C$10:$C$224,$C417,'TL07'!$J$10:$J$224),0),
IF('TL07'!$B$229=M$3,SUMIF('TL07'!$C$238:$C$451,$C417,'TL07'!$J$238:$J$451),0),
IF('TL08'!$B$3=M$3,SUMIF('TL08'!$C$10:$C$224,$C417,'TL08'!$J$10:$J$224),0),
IF('TL08'!$B$229=M$3,SUMIF('TL08'!$C$238:$C$451,$C417,'TL08'!$J$238:$J$451),0),
IF('TL09'!$B$3=M$3,SUMIF('TL09'!$C$10:$C$224,$C417,'TL09'!$J$10:$J$224),0),
IF('TL09'!$B$229=M$3,SUMIF('TL09'!$C$238:$C$451,$C417,'TL09'!$J$238:$J$451),0),
IF('TL10'!$B$3=M$3,SUMIF('TL10'!$C$10:$C$224,$C417,'TL10'!$J$10:$J$224),0),
IF('TL10'!$B$229=M$3,SUMIF('TL10'!$C$238:$C$451,$C417,'TL10'!$J$238:$J$451),0),
IF('TL11'!$B$3=M$3,SUMIF('TL11'!$C$10:$C$224,$C417,'TL11'!$J$10:$J$224),0),
IF('TL11'!$B$229=M$3,SUMIF('TL11'!$C$238:$C$451,$C417,'TL11'!$J$238:$J$451),0),
IF('TL12'!$B$3=M$3,SUMIF('TL12'!$C$10:$C$224,$C417,'TL12'!$J$10:$J$224),0),
IF('TL12'!$B$229=M$3,SUMIF('TL12'!$C$238:$C$451,$C417,'TL12'!$J$238:$J$451),0),
IF('TL13'!$B$3=M$3,SUMIF('TL13'!$C$10:$C$224,$C417,'TL13'!$J$10:$J$224),0),
IF('TL13'!$B$229=M$3,SUMIF('TL13'!$C$238:$C$451,$C417,'TL13'!$J$238:$J$451),0),
IF('TL14'!$B$3=M$3,SUMIF('TL14'!$C$10:$C$224,$C417,'TL14'!$J$10:$J$224),0),
IF('TL14'!$B$229=M$3,SUMIF('TL14'!$C$238:$C$451,$C417,'TL14'!$J$238:$J$451),0),
IF('TL15'!$B$3=M$3,SUMIF('TL15'!$C$10:$C$224,$C417,'TL15'!$J$10:$J$224),0),
IF('TL15'!$B$229=M$3,SUMIF('TL15'!$C$238:$C$451,$C417,'TL15'!$J$238:$J$451),0),
IF('TL16'!$B$3=M$3,SUMIF('TL16'!$C$10:$C$224,$C417,'TL16'!$J$10:$J$224),0),
IF('TL16'!$B$229=M$3,SUMIF('TL16'!$C$238:$C$451,$C417,'TL16'!$J$238:$J$451),0),
IF('TL17'!$B$3=M$3,SUMIF('TL17'!$C$10:$C$224,$C417,'TL17'!$J$10:$J$224),0),
IF('TL17'!$B$229=M$3,SUMIF('TL17'!$C$238:$C$451,$C417,'TL17'!$J$238:$J$451),0),
IF('TL18'!$B$3=M$3,SUMIF('TL18'!$C$10:$C$224,$C417,'TL18'!$J$10:$J$224),0),
IF('TL18'!$B$229=M$3,SUMIF('TL18'!$C$238:$C$451,$C417,'TL18'!$J$238:$J$451),0),
IF('TL19'!$B$3=M$3,SUMIF('TL19'!$C$10:$C$224,$C417,'TL19'!$J$10:$J$224),0),
IF('TL19'!$B$229=M$3,SUMIF('TL19'!$C$238:$C$451,$C417,'TL19'!$J$238:$J$451),0)
),0)</f>
        <v>0</v>
      </c>
      <c r="N417" s="138">
        <f>IFERROR(SUM(
IF('TL01'!$B$3=N$3,SUMIF('TL01'!$C$10:$C$224,$C417,'TL01'!$J$10:$J$224),0),
IF('TL01'!$B$229=N$3,SUMIF('TL01'!$C$238:$C$451,$C417,'TL01'!$J$238:$J$451),0),
IF('TL02'!$B$3=N$3,SUMIF('TL02'!$C$10:$C$224,$C417,'TL02'!$J$10:$J$224),0),
IF('TL02'!$B$229=N$3,SUMIF('TL02'!$C$238:$C$451,$C417,'TL02'!$J$238:$J$451),0),
IF('TL03'!$B$3=N$3,SUMIF('TL03'!$C$10:$C$224,$C417,'TL03'!$J$10:$J$224),0),
IF('TL03'!$B$229=N$3,SUMIF('TL03'!$C$238:$C$451,$C417,'TL03'!$J$238:$J$451),0),
IF('TL04'!$B$3=N$3,SUMIF('TL04'!$C$10:$C$224,$C417,'TL04'!$J$10:$J$224),0),
IF('TL04'!$B$229=N$3,SUMIF('TL04'!$C$238:$C$451,$C417,'TL04'!$J$238:$J$451),0),
IF('TL05'!$B$3=N$3,SUMIF('TL05'!$C$10:$C$224,$C417,'TL05'!$J$10:$J$224),0),
IF('TL05'!$B$229=N$3,SUMIF('TL05'!$C$238:$C$451,$C417,'TL05'!$J$238:$J$451),0),
IF('TL06'!$B$3=N$3,SUMIF('TL06'!$C$10:$C$224,$C417,'TL06'!$J$10:$J$224),0),
IF('TL06'!$B$229=N$3,SUMIF('TL06'!$C$238:$C$451,$C417,'TL06'!$J$238:$J$451),0),
IF('TL07'!$B$3=N$3,SUMIF('TL07'!$C$10:$C$224,$C417,'TL07'!$J$10:$J$224),0),
IF('TL07'!$B$229=N$3,SUMIF('TL07'!$C$238:$C$451,$C417,'TL07'!$J$238:$J$451),0),
IF('TL08'!$B$3=N$3,SUMIF('TL08'!$C$10:$C$224,$C417,'TL08'!$J$10:$J$224),0),
IF('TL08'!$B$229=N$3,SUMIF('TL08'!$C$238:$C$451,$C417,'TL08'!$J$238:$J$451),0),
IF('TL09'!$B$3=N$3,SUMIF('TL09'!$C$10:$C$224,$C417,'TL09'!$J$10:$J$224),0),
IF('TL09'!$B$229=N$3,SUMIF('TL09'!$C$238:$C$451,$C417,'TL09'!$J$238:$J$451),0),
IF('TL10'!$B$3=N$3,SUMIF('TL10'!$C$10:$C$224,$C417,'TL10'!$J$10:$J$224),0),
IF('TL10'!$B$229=N$3,SUMIF('TL10'!$C$238:$C$451,$C417,'TL10'!$J$238:$J$451),0),
IF('TL11'!$B$3=N$3,SUMIF('TL11'!$C$10:$C$224,$C417,'TL11'!$J$10:$J$224),0),
IF('TL11'!$B$229=N$3,SUMIF('TL11'!$C$238:$C$451,$C417,'TL11'!$J$238:$J$451),0),
IF('TL12'!$B$3=N$3,SUMIF('TL12'!$C$10:$C$224,$C417,'TL12'!$J$10:$J$224),0),
IF('TL12'!$B$229=N$3,SUMIF('TL12'!$C$238:$C$451,$C417,'TL12'!$J$238:$J$451),0),
IF('TL13'!$B$3=N$3,SUMIF('TL13'!$C$10:$C$224,$C417,'TL13'!$J$10:$J$224),0),
IF('TL13'!$B$229=N$3,SUMIF('TL13'!$C$238:$C$451,$C417,'TL13'!$J$238:$J$451),0),
IF('TL14'!$B$3=N$3,SUMIF('TL14'!$C$10:$C$224,$C417,'TL14'!$J$10:$J$224),0),
IF('TL14'!$B$229=N$3,SUMIF('TL14'!$C$238:$C$451,$C417,'TL14'!$J$238:$J$451),0),
IF('TL15'!$B$3=N$3,SUMIF('TL15'!$C$10:$C$224,$C417,'TL15'!$J$10:$J$224),0),
IF('TL15'!$B$229=N$3,SUMIF('TL15'!$C$238:$C$451,$C417,'TL15'!$J$238:$J$451),0),
IF('TL16'!$B$3=N$3,SUMIF('TL16'!$C$10:$C$224,$C417,'TL16'!$J$10:$J$224),0),
IF('TL16'!$B$229=N$3,SUMIF('TL16'!$C$238:$C$451,$C417,'TL16'!$J$238:$J$451),0),
IF('TL17'!$B$3=N$3,SUMIF('TL17'!$C$10:$C$224,$C417,'TL17'!$J$10:$J$224),0),
IF('TL17'!$B$229=N$3,SUMIF('TL17'!$C$238:$C$451,$C417,'TL17'!$J$238:$J$451),0),
IF('TL18'!$B$3=N$3,SUMIF('TL18'!$C$10:$C$224,$C417,'TL18'!$J$10:$J$224),0),
IF('TL18'!$B$229=N$3,SUMIF('TL18'!$C$238:$C$451,$C417,'TL18'!$J$238:$J$451),0),
IF('TL19'!$B$3=N$3,SUMIF('TL19'!$C$10:$C$224,$C417,'TL19'!$J$10:$J$224),0),
IF('TL19'!$B$229=N$3,SUMIF('TL19'!$C$238:$C$451,$C417,'TL19'!$J$238:$J$451),0)
),0)</f>
        <v>0</v>
      </c>
      <c r="O417" s="138">
        <f>IFERROR(SUM(
IF('TL01'!$B$3=O$3,SUMIF('TL01'!$C$10:$C$224,$C417,'TL01'!$J$10:$J$224),0),
IF('TL01'!$B$229=O$3,SUMIF('TL01'!$C$238:$C$451,$C417,'TL01'!$J$238:$J$451),0),
IF('TL02'!$B$3=O$3,SUMIF('TL02'!$C$10:$C$224,$C417,'TL02'!$J$10:$J$224),0),
IF('TL02'!$B$229=O$3,SUMIF('TL02'!$C$238:$C$451,$C417,'TL02'!$J$238:$J$451),0),
IF('TL03'!$B$3=O$3,SUMIF('TL03'!$C$10:$C$224,$C417,'TL03'!$J$10:$J$224),0),
IF('TL03'!$B$229=O$3,SUMIF('TL03'!$C$238:$C$451,$C417,'TL03'!$J$238:$J$451),0),
IF('TL04'!$B$3=O$3,SUMIF('TL04'!$C$10:$C$224,$C417,'TL04'!$J$10:$J$224),0),
IF('TL04'!$B$229=O$3,SUMIF('TL04'!$C$238:$C$451,$C417,'TL04'!$J$238:$J$451),0),
IF('TL05'!$B$3=O$3,SUMIF('TL05'!$C$10:$C$224,$C417,'TL05'!$J$10:$J$224),0),
IF('TL05'!$B$229=O$3,SUMIF('TL05'!$C$238:$C$451,$C417,'TL05'!$J$238:$J$451),0),
IF('TL06'!$B$3=O$3,SUMIF('TL06'!$C$10:$C$224,$C417,'TL06'!$J$10:$J$224),0),
IF('TL06'!$B$229=O$3,SUMIF('TL06'!$C$238:$C$451,$C417,'TL06'!$J$238:$J$451),0),
IF('TL07'!$B$3=O$3,SUMIF('TL07'!$C$10:$C$224,$C417,'TL07'!$J$10:$J$224),0),
IF('TL07'!$B$229=O$3,SUMIF('TL07'!$C$238:$C$451,$C417,'TL07'!$J$238:$J$451),0),
IF('TL08'!$B$3=O$3,SUMIF('TL08'!$C$10:$C$224,$C417,'TL08'!$J$10:$J$224),0),
IF('TL08'!$B$229=O$3,SUMIF('TL08'!$C$238:$C$451,$C417,'TL08'!$J$238:$J$451),0),
IF('TL09'!$B$3=O$3,SUMIF('TL09'!$C$10:$C$224,$C417,'TL09'!$J$10:$J$224),0),
IF('TL09'!$B$229=O$3,SUMIF('TL09'!$C$238:$C$451,$C417,'TL09'!$J$238:$J$451),0),
IF('TL10'!$B$3=O$3,SUMIF('TL10'!$C$10:$C$224,$C417,'TL10'!$J$10:$J$224),0),
IF('TL10'!$B$229=O$3,SUMIF('TL10'!$C$238:$C$451,$C417,'TL10'!$J$238:$J$451),0),
IF('TL11'!$B$3=O$3,SUMIF('TL11'!$C$10:$C$224,$C417,'TL11'!$J$10:$J$224),0),
IF('TL11'!$B$229=O$3,SUMIF('TL11'!$C$238:$C$451,$C417,'TL11'!$J$238:$J$451),0),
IF('TL12'!$B$3=O$3,SUMIF('TL12'!$C$10:$C$224,$C417,'TL12'!$J$10:$J$224),0),
IF('TL12'!$B$229=O$3,SUMIF('TL12'!$C$238:$C$451,$C417,'TL12'!$J$238:$J$451),0),
IF('TL13'!$B$3=O$3,SUMIF('TL13'!$C$10:$C$224,$C417,'TL13'!$J$10:$J$224),0),
IF('TL13'!$B$229=O$3,SUMIF('TL13'!$C$238:$C$451,$C417,'TL13'!$J$238:$J$451),0),
IF('TL14'!$B$3=O$3,SUMIF('TL14'!$C$10:$C$224,$C417,'TL14'!$J$10:$J$224),0),
IF('TL14'!$B$229=O$3,SUMIF('TL14'!$C$238:$C$451,$C417,'TL14'!$J$238:$J$451),0),
IF('TL15'!$B$3=O$3,SUMIF('TL15'!$C$10:$C$224,$C417,'TL15'!$J$10:$J$224),0),
IF('TL15'!$B$229=O$3,SUMIF('TL15'!$C$238:$C$451,$C417,'TL15'!$J$238:$J$451),0),
IF('TL16'!$B$3=O$3,SUMIF('TL16'!$C$10:$C$224,$C417,'TL16'!$J$10:$J$224),0),
IF('TL16'!$B$229=O$3,SUMIF('TL16'!$C$238:$C$451,$C417,'TL16'!$J$238:$J$451),0),
IF('TL17'!$B$3=O$3,SUMIF('TL17'!$C$10:$C$224,$C417,'TL17'!$J$10:$J$224),0),
IF('TL17'!$B$229=O$3,SUMIF('TL17'!$C$238:$C$451,$C417,'TL17'!$J$238:$J$451),0),
IF('TL18'!$B$3=O$3,SUMIF('TL18'!$C$10:$C$224,$C417,'TL18'!$J$10:$J$224),0),
IF('TL18'!$B$229=O$3,SUMIF('TL18'!$C$238:$C$451,$C417,'TL18'!$J$238:$J$451),0),
IF('TL19'!$B$3=O$3,SUMIF('TL19'!$C$10:$C$224,$C417,'TL19'!$J$10:$J$224),0),
IF('TL19'!$B$229=O$3,SUMIF('TL19'!$C$238:$C$451,$C417,'TL19'!$J$238:$J$451),0)
),0)</f>
        <v>0</v>
      </c>
      <c r="P417" s="138">
        <f>IFERROR(SUM(
IF('TL01'!$B$3=P$3,SUMIF('TL01'!$C$10:$C$224,$C417,'TL01'!$J$10:$J$224),0),
IF('TL01'!$B$229=P$3,SUMIF('TL01'!$C$238:$C$451,$C417,'TL01'!$J$238:$J$451),0),
IF('TL02'!$B$3=P$3,SUMIF('TL02'!$C$10:$C$224,$C417,'TL02'!$J$10:$J$224),0),
IF('TL02'!$B$229=P$3,SUMIF('TL02'!$C$238:$C$451,$C417,'TL02'!$J$238:$J$451),0),
IF('TL03'!$B$3=P$3,SUMIF('TL03'!$C$10:$C$224,$C417,'TL03'!$J$10:$J$224),0),
IF('TL03'!$B$229=P$3,SUMIF('TL03'!$C$238:$C$451,$C417,'TL03'!$J$238:$J$451),0),
IF('TL04'!$B$3=P$3,SUMIF('TL04'!$C$10:$C$224,$C417,'TL04'!$J$10:$J$224),0),
IF('TL04'!$B$229=P$3,SUMIF('TL04'!$C$238:$C$451,$C417,'TL04'!$J$238:$J$451),0),
IF('TL05'!$B$3=P$3,SUMIF('TL05'!$C$10:$C$224,$C417,'TL05'!$J$10:$J$224),0),
IF('TL05'!$B$229=P$3,SUMIF('TL05'!$C$238:$C$451,$C417,'TL05'!$J$238:$J$451),0),
IF('TL06'!$B$3=P$3,SUMIF('TL06'!$C$10:$C$224,$C417,'TL06'!$J$10:$J$224),0),
IF('TL06'!$B$229=P$3,SUMIF('TL06'!$C$238:$C$451,$C417,'TL06'!$J$238:$J$451),0),
IF('TL07'!$B$3=P$3,SUMIF('TL07'!$C$10:$C$224,$C417,'TL07'!$J$10:$J$224),0),
IF('TL07'!$B$229=P$3,SUMIF('TL07'!$C$238:$C$451,$C417,'TL07'!$J$238:$J$451),0),
IF('TL08'!$B$3=P$3,SUMIF('TL08'!$C$10:$C$224,$C417,'TL08'!$J$10:$J$224),0),
IF('TL08'!$B$229=P$3,SUMIF('TL08'!$C$238:$C$451,$C417,'TL08'!$J$238:$J$451),0),
IF('TL09'!$B$3=P$3,SUMIF('TL09'!$C$10:$C$224,$C417,'TL09'!$J$10:$J$224),0),
IF('TL09'!$B$229=P$3,SUMIF('TL09'!$C$238:$C$451,$C417,'TL09'!$J$238:$J$451),0),
IF('TL10'!$B$3=P$3,SUMIF('TL10'!$C$10:$C$224,$C417,'TL10'!$J$10:$J$224),0),
IF('TL10'!$B$229=P$3,SUMIF('TL10'!$C$238:$C$451,$C417,'TL10'!$J$238:$J$451),0),
IF('TL11'!$B$3=P$3,SUMIF('TL11'!$C$10:$C$224,$C417,'TL11'!$J$10:$J$224),0),
IF('TL11'!$B$229=P$3,SUMIF('TL11'!$C$238:$C$451,$C417,'TL11'!$J$238:$J$451),0),
IF('TL12'!$B$3=P$3,SUMIF('TL12'!$C$10:$C$224,$C417,'TL12'!$J$10:$J$224),0),
IF('TL12'!$B$229=P$3,SUMIF('TL12'!$C$238:$C$451,$C417,'TL12'!$J$238:$J$451),0),
IF('TL13'!$B$3=P$3,SUMIF('TL13'!$C$10:$C$224,$C417,'TL13'!$J$10:$J$224),0),
IF('TL13'!$B$229=P$3,SUMIF('TL13'!$C$238:$C$451,$C417,'TL13'!$J$238:$J$451),0),
IF('TL14'!$B$3=P$3,SUMIF('TL14'!$C$10:$C$224,$C417,'TL14'!$J$10:$J$224),0),
IF('TL14'!$B$229=P$3,SUMIF('TL14'!$C$238:$C$451,$C417,'TL14'!$J$238:$J$451),0),
IF('TL15'!$B$3=P$3,SUMIF('TL15'!$C$10:$C$224,$C417,'TL15'!$J$10:$J$224),0),
IF('TL15'!$B$229=P$3,SUMIF('TL15'!$C$238:$C$451,$C417,'TL15'!$J$238:$J$451),0),
IF('TL16'!$B$3=P$3,SUMIF('TL16'!$C$10:$C$224,$C417,'TL16'!$J$10:$J$224),0),
IF('TL16'!$B$229=P$3,SUMIF('TL16'!$C$238:$C$451,$C417,'TL16'!$J$238:$J$451),0),
IF('TL17'!$B$3=P$3,SUMIF('TL17'!$C$10:$C$224,$C417,'TL17'!$J$10:$J$224),0),
IF('TL17'!$B$229=P$3,SUMIF('TL17'!$C$238:$C$451,$C417,'TL17'!$J$238:$J$451),0),
IF('TL18'!$B$3=P$3,SUMIF('TL18'!$C$10:$C$224,$C417,'TL18'!$J$10:$J$224),0),
IF('TL18'!$B$229=P$3,SUMIF('TL18'!$C$238:$C$451,$C417,'TL18'!$J$238:$J$451),0),
IF('TL19'!$B$3=P$3,SUMIF('TL19'!$C$10:$C$224,$C417,'TL19'!$J$10:$J$224),0),
IF('TL19'!$B$229=P$3,SUMIF('TL19'!$C$238:$C$451,$C417,'TL19'!$J$238:$J$451),0)
),0)</f>
        <v>0</v>
      </c>
      <c r="Q417" s="138">
        <f>IFERROR(SUM(
IF('TL01'!$B$3=Q$3,SUMIF('TL01'!$C$10:$C$224,$C417,'TL01'!$J$10:$J$224),0),
IF('TL01'!$B$229=Q$3,SUMIF('TL01'!$C$238:$C$451,$C417,'TL01'!$J$238:$J$451),0),
IF('TL02'!$B$3=Q$3,SUMIF('TL02'!$C$10:$C$224,$C417,'TL02'!$J$10:$J$224),0),
IF('TL02'!$B$229=Q$3,SUMIF('TL02'!$C$238:$C$451,$C417,'TL02'!$J$238:$J$451),0),
IF('TL03'!$B$3=Q$3,SUMIF('TL03'!$C$10:$C$224,$C417,'TL03'!$J$10:$J$224),0),
IF('TL03'!$B$229=Q$3,SUMIF('TL03'!$C$238:$C$451,$C417,'TL03'!$J$238:$J$451),0),
IF('TL04'!$B$3=Q$3,SUMIF('TL04'!$C$10:$C$224,$C417,'TL04'!$J$10:$J$224),0),
IF('TL04'!$B$229=Q$3,SUMIF('TL04'!$C$238:$C$451,$C417,'TL04'!$J$238:$J$451),0),
IF('TL05'!$B$3=Q$3,SUMIF('TL05'!$C$10:$C$224,$C417,'TL05'!$J$10:$J$224),0),
IF('TL05'!$B$229=Q$3,SUMIF('TL05'!$C$238:$C$451,$C417,'TL05'!$J$238:$J$451),0),
IF('TL06'!$B$3=Q$3,SUMIF('TL06'!$C$10:$C$224,$C417,'TL06'!$J$10:$J$224),0),
IF('TL06'!$B$229=Q$3,SUMIF('TL06'!$C$238:$C$451,$C417,'TL06'!$J$238:$J$451),0),
IF('TL07'!$B$3=Q$3,SUMIF('TL07'!$C$10:$C$224,$C417,'TL07'!$J$10:$J$224),0),
IF('TL07'!$B$229=Q$3,SUMIF('TL07'!$C$238:$C$451,$C417,'TL07'!$J$238:$J$451),0),
IF('TL08'!$B$3=Q$3,SUMIF('TL08'!$C$10:$C$224,$C417,'TL08'!$J$10:$J$224),0),
IF('TL08'!$B$229=Q$3,SUMIF('TL08'!$C$238:$C$451,$C417,'TL08'!$J$238:$J$451),0),
IF('TL09'!$B$3=Q$3,SUMIF('TL09'!$C$10:$C$224,$C417,'TL09'!$J$10:$J$224),0),
IF('TL09'!$B$229=Q$3,SUMIF('TL09'!$C$238:$C$451,$C417,'TL09'!$J$238:$J$451),0),
IF('TL10'!$B$3=Q$3,SUMIF('TL10'!$C$10:$C$224,$C417,'TL10'!$J$10:$J$224),0),
IF('TL10'!$B$229=Q$3,SUMIF('TL10'!$C$238:$C$451,$C417,'TL10'!$J$238:$J$451),0),
IF('TL11'!$B$3=Q$3,SUMIF('TL11'!$C$10:$C$224,$C417,'TL11'!$J$10:$J$224),0),
IF('TL11'!$B$229=Q$3,SUMIF('TL11'!$C$238:$C$451,$C417,'TL11'!$J$238:$J$451),0),
IF('TL12'!$B$3=Q$3,SUMIF('TL12'!$C$10:$C$224,$C417,'TL12'!$J$10:$J$224),0),
IF('TL12'!$B$229=Q$3,SUMIF('TL12'!$C$238:$C$451,$C417,'TL12'!$J$238:$J$451),0),
IF('TL13'!$B$3=Q$3,SUMIF('TL13'!$C$10:$C$224,$C417,'TL13'!$J$10:$J$224),0),
IF('TL13'!$B$229=Q$3,SUMIF('TL13'!$C$238:$C$451,$C417,'TL13'!$J$238:$J$451),0),
IF('TL14'!$B$3=Q$3,SUMIF('TL14'!$C$10:$C$224,$C417,'TL14'!$J$10:$J$224),0),
IF('TL14'!$B$229=Q$3,SUMIF('TL14'!$C$238:$C$451,$C417,'TL14'!$J$238:$J$451),0),
IF('TL15'!$B$3=Q$3,SUMIF('TL15'!$C$10:$C$224,$C417,'TL15'!$J$10:$J$224),0),
IF('TL15'!$B$229=Q$3,SUMIF('TL15'!$C$238:$C$451,$C417,'TL15'!$J$238:$J$451),0),
IF('TL16'!$B$3=Q$3,SUMIF('TL16'!$C$10:$C$224,$C417,'TL16'!$J$10:$J$224),0),
IF('TL16'!$B$229=Q$3,SUMIF('TL16'!$C$238:$C$451,$C417,'TL16'!$J$238:$J$451),0),
IF('TL17'!$B$3=Q$3,SUMIF('TL17'!$C$10:$C$224,$C417,'TL17'!$J$10:$J$224),0),
IF('TL17'!$B$229=Q$3,SUMIF('TL17'!$C$238:$C$451,$C417,'TL17'!$J$238:$J$451),0),
IF('TL18'!$B$3=Q$3,SUMIF('TL18'!$C$10:$C$224,$C417,'TL18'!$J$10:$J$224),0),
IF('TL18'!$B$229=Q$3,SUMIF('TL18'!$C$238:$C$451,$C417,'TL18'!$J$238:$J$451),0),
IF('TL19'!$B$3=Q$3,SUMIF('TL19'!$C$10:$C$224,$C417,'TL19'!$J$10:$J$224),0),
IF('TL19'!$B$229=Q$3,SUMIF('TL19'!$C$238:$C$451,$C417,'TL19'!$J$238:$J$451),0)
),0)</f>
        <v>0</v>
      </c>
      <c r="R417" s="139">
        <f>IFERROR(
SUM(
SUMIF('TL01'!C:C,C417,'TL01'!J:J),
SUMIF('TL02'!C:C,C417,'TL02'!I:I),
SUMIF('TL03'!C:C,C417,'TL03'!I:I),
SUMIF('TL04'!C:C,C417,'TL04'!I:I),
SUMIF('TL05'!C:C,C417,'TL05'!I:I),
SUMIF('TL06'!C:C,C417,'TL06'!I:I),
SUMIF('TL07'!C:C,C417,'TL07'!I:I),
SUMIF('TL08'!C:C,C417,'TL08'!I:I),
SUMIF('TL09'!C:C,C417,'TL09'!I:I),
SUMIF('TL10'!C:C,C417,'TL10'!I:I),
SUMIF('TL11'!C:C,C417,'TL11'!I:I),
SUMIF('TL12'!C:C,C417,'TL12'!I:I),
SUMIF('TL13'!C:C,C417,'TL13'!I:I),
SUMIF('TL14'!C:C,C417,'TL14'!I:I),
SUMIF('TL15'!C:C,C417,'TL15'!I:I),
SUMIF('TL16'!C:C,C417,'TL16'!I:I),
SUMIF('TL17'!C:C,C417,'TL17'!I:I),
SUMIF('TL18'!C:C,C417,'TL18'!I:I))
,0)</f>
        <v>0</v>
      </c>
      <c r="S417" s="142" t="str">
        <f>'CUSTO OPERAÇÃO'!M21</f>
        <v/>
      </c>
      <c r="T417" s="139"/>
      <c r="U417" s="143">
        <f t="shared" si="2"/>
        <v>0</v>
      </c>
      <c r="V417" s="144">
        <f t="shared" si="3"/>
        <v>0</v>
      </c>
    </row>
    <row r="418" ht="15.75" hidden="1" customHeight="1">
      <c r="A418" s="138"/>
      <c r="B418" s="155"/>
      <c r="C418" s="138"/>
      <c r="D418" s="138"/>
      <c r="E418" s="139"/>
      <c r="F418" s="138" t="s">
        <v>1133</v>
      </c>
      <c r="G418" s="139"/>
      <c r="H418" s="140" t="str">
        <f>'CUSTO OPERAÇÃO'!J22</f>
        <v>#N/A</v>
      </c>
      <c r="I418" s="156"/>
      <c r="J418" s="138">
        <f>IFERROR(SUM(
IF('TL01'!$B$3=J$3,SUMIF('TL01'!$C$10:$C$224,$C418,'TL01'!$J$10:$J$224),0),
IF('TL01'!$B$229=J$3,SUMIF('TL01'!$C$238:$C$451,$C418,'TL01'!$J$238:$J$451),0),
IF('TL02'!$B$3=J$3,SUMIF('TL02'!$C$10:$C$224,$C418,'TL02'!$J$10:$J$224),0),
IF('TL02'!$B$229=J$3,SUMIF('TL02'!$C$238:$C$451,$C418,'TL02'!$J$238:$J$451),0),
IF('TL03'!$B$3=J$3,SUMIF('TL03'!$C$10:$C$224,$C418,'TL03'!$J$10:$J$224),0),
IF('TL03'!$B$229=J$3,SUMIF('TL03'!$C$238:$C$451,$C418,'TL03'!$J$238:$J$451),0),
IF('TL04'!$B$3=J$3,SUMIF('TL04'!$C$10:$C$224,$C418,'TL04'!$J$10:$J$224),0),
IF('TL04'!$B$229=J$3,SUMIF('TL04'!$C$238:$C$451,$C418,'TL04'!$J$238:$J$451),0),
IF('TL05'!$B$3=J$3,SUMIF('TL05'!$C$10:$C$224,$C418,'TL05'!$J$10:$J$224),0),
IF('TL05'!$B$229=J$3,SUMIF('TL05'!$C$238:$C$451,$C418,'TL05'!$J$238:$J$451),0),
IF('TL06'!$B$3=J$3,SUMIF('TL06'!$C$10:$C$224,$C418,'TL06'!$J$10:$J$224),0),
IF('TL06'!$B$229=J$3,SUMIF('TL06'!$C$238:$C$451,$C418,'TL06'!$J$238:$J$451),0),
IF('TL07'!$B$3=J$3,SUMIF('TL07'!$C$10:$C$224,$C418,'TL07'!$J$10:$J$224),0),
IF('TL07'!$B$229=J$3,SUMIF('TL07'!$C$238:$C$451,$C418,'TL07'!$J$238:$J$451),0),
IF('TL08'!$B$3=J$3,SUMIF('TL08'!$C$10:$C$224,$C418,'TL08'!$J$10:$J$224),0),
IF('TL08'!$B$229=J$3,SUMIF('TL08'!$C$238:$C$451,$C418,'TL08'!$J$238:$J$451),0),
IF('TL09'!$B$3=J$3,SUMIF('TL09'!$C$10:$C$224,$C418,'TL09'!$J$10:$J$224),0),
IF('TL09'!$B$229=J$3,SUMIF('TL09'!$C$238:$C$451,$C418,'TL09'!$J$238:$J$451),0),
IF('TL10'!$B$3=J$3,SUMIF('TL10'!$C$10:$C$224,$C418,'TL10'!$J$10:$J$224),0),
IF('TL10'!$B$229=J$3,SUMIF('TL10'!$C$238:$C$451,$C418,'TL10'!$J$238:$J$451),0),
IF('TL11'!$B$3=J$3,SUMIF('TL11'!$C$10:$C$224,$C418,'TL11'!$J$10:$J$224),0),
IF('TL11'!$B$229=J$3,SUMIF('TL11'!$C$238:$C$451,$C418,'TL11'!$J$238:$J$451),0),
IF('TL12'!$B$3=J$3,SUMIF('TL12'!$C$10:$C$224,$C418,'TL12'!$J$10:$J$224),0),
IF('TL12'!$B$229=J$3,SUMIF('TL12'!$C$238:$C$451,$C418,'TL12'!$J$238:$J$451),0),
IF('TL13'!$B$3=J$3,SUMIF('TL13'!$C$10:$C$224,$C418,'TL13'!$J$10:$J$224),0),
IF('TL13'!$B$229=J$3,SUMIF('TL13'!$C$238:$C$451,$C418,'TL13'!$J$238:$J$451),0),
IF('TL14'!$B$3=J$3,SUMIF('TL14'!$C$10:$C$224,$C418,'TL14'!$J$10:$J$224),0),
IF('TL14'!$B$229=J$3,SUMIF('TL14'!$C$238:$C$451,$C418,'TL14'!$J$238:$J$451),0),
IF('TL15'!$B$3=J$3,SUMIF('TL15'!$C$10:$C$224,$C418,'TL15'!$J$10:$J$224),0),
IF('TL15'!$B$229=J$3,SUMIF('TL15'!$C$238:$C$451,$C418,'TL15'!$J$238:$J$451),0),
IF('TL16'!$B$3=J$3,SUMIF('TL16'!$C$10:$C$224,$C418,'TL16'!$J$10:$J$224),0),
IF('TL16'!$B$229=J$3,SUMIF('TL16'!$C$238:$C$451,$C418,'TL16'!$J$238:$J$451),0),
IF('TL17'!$B$3=J$3,SUMIF('TL17'!$C$10:$C$224,$C418,'TL17'!$J$10:$J$224),0),
IF('TL17'!$B$229=J$3,SUMIF('TL17'!$C$238:$C$451,$C418,'TL17'!$J$238:$J$451),0),
IF('TL18'!$B$3=J$3,SUMIF('TL18'!$C$10:$C$224,$C418,'TL18'!$J$10:$J$224),0),
IF('TL18'!$B$229=J$3,SUMIF('TL18'!$C$238:$C$451,$C418,'TL18'!$J$238:$J$451),0),
IF('TL19'!$B$3=J$3,SUMIF('TL19'!$C$10:$C$224,$C418,'TL19'!$J$10:$J$224),0),
IF('TL19'!$B$229=J$3,SUMIF('TL19'!$C$238:$C$451,$C418,'TL19'!$J$238:$J$451),0)
),0)</f>
        <v>0</v>
      </c>
      <c r="K418" s="138">
        <f>IFERROR(SUM(
IF('TL01'!$B$3=K$3,SUMIF('TL01'!$C$10:$C$224,$C418,'TL01'!$J$10:$J$224),0),
IF('TL01'!$B$229=K$3,SUMIF('TL01'!$C$238:$C$451,$C418,'TL01'!$J$238:$J$451),0),
IF('TL02'!$B$3=K$3,SUMIF('TL02'!$C$10:$C$224,$C418,'TL02'!$J$10:$J$224),0),
IF('TL02'!$B$229=K$3,SUMIF('TL02'!$C$238:$C$451,$C418,'TL02'!$J$238:$J$451),0),
IF('TL03'!$B$3=K$3,SUMIF('TL03'!$C$10:$C$224,$C418,'TL03'!$J$10:$J$224),0),
IF('TL03'!$B$229=K$3,SUMIF('TL03'!$C$238:$C$451,$C418,'TL03'!$J$238:$J$451),0),
IF('TL04'!$B$3=K$3,SUMIF('TL04'!$C$10:$C$224,$C418,'TL04'!$J$10:$J$224),0),
IF('TL04'!$B$229=K$3,SUMIF('TL04'!$C$238:$C$451,$C418,'TL04'!$J$238:$J$451),0),
IF('TL05'!$B$3=K$3,SUMIF('TL05'!$C$10:$C$224,$C418,'TL05'!$J$10:$J$224),0),
IF('TL05'!$B$229=K$3,SUMIF('TL05'!$C$238:$C$451,$C418,'TL05'!$J$238:$J$451),0),
IF('TL06'!$B$3=K$3,SUMIF('TL06'!$C$10:$C$224,$C418,'TL06'!$J$10:$J$224),0),
IF('TL06'!$B$229=K$3,SUMIF('TL06'!$C$238:$C$451,$C418,'TL06'!$J$238:$J$451),0),
IF('TL07'!$B$3=K$3,SUMIF('TL07'!$C$10:$C$224,$C418,'TL07'!$J$10:$J$224),0),
IF('TL07'!$B$229=K$3,SUMIF('TL07'!$C$238:$C$451,$C418,'TL07'!$J$238:$J$451),0),
IF('TL08'!$B$3=K$3,SUMIF('TL08'!$C$10:$C$224,$C418,'TL08'!$J$10:$J$224),0),
IF('TL08'!$B$229=K$3,SUMIF('TL08'!$C$238:$C$451,$C418,'TL08'!$J$238:$J$451),0),
IF('TL09'!$B$3=K$3,SUMIF('TL09'!$C$10:$C$224,$C418,'TL09'!$J$10:$J$224),0),
IF('TL09'!$B$229=K$3,SUMIF('TL09'!$C$238:$C$451,$C418,'TL09'!$J$238:$J$451),0),
IF('TL10'!$B$3=K$3,SUMIF('TL10'!$C$10:$C$224,$C418,'TL10'!$J$10:$J$224),0),
IF('TL10'!$B$229=K$3,SUMIF('TL10'!$C$238:$C$451,$C418,'TL10'!$J$238:$J$451),0),
IF('TL11'!$B$3=K$3,SUMIF('TL11'!$C$10:$C$224,$C418,'TL11'!$J$10:$J$224),0),
IF('TL11'!$B$229=K$3,SUMIF('TL11'!$C$238:$C$451,$C418,'TL11'!$J$238:$J$451),0),
IF('TL12'!$B$3=K$3,SUMIF('TL12'!$C$10:$C$224,$C418,'TL12'!$J$10:$J$224),0),
IF('TL12'!$B$229=K$3,SUMIF('TL12'!$C$238:$C$451,$C418,'TL12'!$J$238:$J$451),0),
IF('TL13'!$B$3=K$3,SUMIF('TL13'!$C$10:$C$224,$C418,'TL13'!$J$10:$J$224),0),
IF('TL13'!$B$229=K$3,SUMIF('TL13'!$C$238:$C$451,$C418,'TL13'!$J$238:$J$451),0),
IF('TL14'!$B$3=K$3,SUMIF('TL14'!$C$10:$C$224,$C418,'TL14'!$J$10:$J$224),0),
IF('TL14'!$B$229=K$3,SUMIF('TL14'!$C$238:$C$451,$C418,'TL14'!$J$238:$J$451),0),
IF('TL15'!$B$3=K$3,SUMIF('TL15'!$C$10:$C$224,$C418,'TL15'!$J$10:$J$224),0),
IF('TL15'!$B$229=K$3,SUMIF('TL15'!$C$238:$C$451,$C418,'TL15'!$J$238:$J$451),0),
IF('TL16'!$B$3=K$3,SUMIF('TL16'!$C$10:$C$224,$C418,'TL16'!$J$10:$J$224),0),
IF('TL16'!$B$229=K$3,SUMIF('TL16'!$C$238:$C$451,$C418,'TL16'!$J$238:$J$451),0),
IF('TL17'!$B$3=K$3,SUMIF('TL17'!$C$10:$C$224,$C418,'TL17'!$J$10:$J$224),0),
IF('TL17'!$B$229=K$3,SUMIF('TL17'!$C$238:$C$451,$C418,'TL17'!$J$238:$J$451),0),
IF('TL18'!$B$3=K$3,SUMIF('TL18'!$C$10:$C$224,$C418,'TL18'!$J$10:$J$224),0),
IF('TL18'!$B$229=K$3,SUMIF('TL18'!$C$238:$C$451,$C418,'TL18'!$J$238:$J$451),0),
IF('TL19'!$B$3=K$3,SUMIF('TL19'!$C$10:$C$224,$C418,'TL19'!$J$10:$J$224),0),
IF('TL19'!$B$229=K$3,SUMIF('TL19'!$C$238:$C$451,$C418,'TL19'!$J$238:$J$451),0)
),0)</f>
        <v>0</v>
      </c>
      <c r="L418" s="138">
        <f>IFERROR(SUM(
IF('TL01'!$B$3=L$3,SUMIF('TL01'!$C$10:$C$224,$C418,'TL01'!$J$10:$J$224),0),
IF('TL01'!$B$229=L$3,SUMIF('TL01'!$C$238:$C$451,$C418,'TL01'!$J$238:$J$451),0),
IF('TL02'!$B$3=L$3,SUMIF('TL02'!$C$10:$C$224,$C418,'TL02'!$J$10:$J$224),0),
IF('TL02'!$B$229=L$3,SUMIF('TL02'!$C$238:$C$451,$C418,'TL02'!$J$238:$J$451),0),
IF('TL03'!$B$3=L$3,SUMIF('TL03'!$C$10:$C$224,$C418,'TL03'!$J$10:$J$224),0),
IF('TL03'!$B$229=L$3,SUMIF('TL03'!$C$238:$C$451,$C418,'TL03'!$J$238:$J$451),0),
IF('TL04'!$B$3=L$3,SUMIF('TL04'!$C$10:$C$224,$C418,'TL04'!$J$10:$J$224),0),
IF('TL04'!$B$229=L$3,SUMIF('TL04'!$C$238:$C$451,$C418,'TL04'!$J$238:$J$451),0),
IF('TL05'!$B$3=L$3,SUMIF('TL05'!$C$10:$C$224,$C418,'TL05'!$J$10:$J$224),0),
IF('TL05'!$B$229=L$3,SUMIF('TL05'!$C$238:$C$451,$C418,'TL05'!$J$238:$J$451),0),
IF('TL06'!$B$3=L$3,SUMIF('TL06'!$C$10:$C$224,$C418,'TL06'!$J$10:$J$224),0),
IF('TL06'!$B$229=L$3,SUMIF('TL06'!$C$238:$C$451,$C418,'TL06'!$J$238:$J$451),0),
IF('TL07'!$B$3=L$3,SUMIF('TL07'!$C$10:$C$224,$C418,'TL07'!$J$10:$J$224),0),
IF('TL07'!$B$229=L$3,SUMIF('TL07'!$C$238:$C$451,$C418,'TL07'!$J$238:$J$451),0),
IF('TL08'!$B$3=L$3,SUMIF('TL08'!$C$10:$C$224,$C418,'TL08'!$J$10:$J$224),0),
IF('TL08'!$B$229=L$3,SUMIF('TL08'!$C$238:$C$451,$C418,'TL08'!$J$238:$J$451),0),
IF('TL09'!$B$3=L$3,SUMIF('TL09'!$C$10:$C$224,$C418,'TL09'!$J$10:$J$224),0),
IF('TL09'!$B$229=L$3,SUMIF('TL09'!$C$238:$C$451,$C418,'TL09'!$J$238:$J$451),0),
IF('TL10'!$B$3=L$3,SUMIF('TL10'!$C$10:$C$224,$C418,'TL10'!$J$10:$J$224),0),
IF('TL10'!$B$229=L$3,SUMIF('TL10'!$C$238:$C$451,$C418,'TL10'!$J$238:$J$451),0),
IF('TL11'!$B$3=L$3,SUMIF('TL11'!$C$10:$C$224,$C418,'TL11'!$J$10:$J$224),0),
IF('TL11'!$B$229=L$3,SUMIF('TL11'!$C$238:$C$451,$C418,'TL11'!$J$238:$J$451),0),
IF('TL12'!$B$3=L$3,SUMIF('TL12'!$C$10:$C$224,$C418,'TL12'!$J$10:$J$224),0),
IF('TL12'!$B$229=L$3,SUMIF('TL12'!$C$238:$C$451,$C418,'TL12'!$J$238:$J$451),0),
IF('TL13'!$B$3=L$3,SUMIF('TL13'!$C$10:$C$224,$C418,'TL13'!$J$10:$J$224),0),
IF('TL13'!$B$229=L$3,SUMIF('TL13'!$C$238:$C$451,$C418,'TL13'!$J$238:$J$451),0),
IF('TL14'!$B$3=L$3,SUMIF('TL14'!$C$10:$C$224,$C418,'TL14'!$J$10:$J$224),0),
IF('TL14'!$B$229=L$3,SUMIF('TL14'!$C$238:$C$451,$C418,'TL14'!$J$238:$J$451),0),
IF('TL15'!$B$3=L$3,SUMIF('TL15'!$C$10:$C$224,$C418,'TL15'!$J$10:$J$224),0),
IF('TL15'!$B$229=L$3,SUMIF('TL15'!$C$238:$C$451,$C418,'TL15'!$J$238:$J$451),0),
IF('TL16'!$B$3=L$3,SUMIF('TL16'!$C$10:$C$224,$C418,'TL16'!$J$10:$J$224),0),
IF('TL16'!$B$229=L$3,SUMIF('TL16'!$C$238:$C$451,$C418,'TL16'!$J$238:$J$451),0),
IF('TL17'!$B$3=L$3,SUMIF('TL17'!$C$10:$C$224,$C418,'TL17'!$J$10:$J$224),0),
IF('TL17'!$B$229=L$3,SUMIF('TL17'!$C$238:$C$451,$C418,'TL17'!$J$238:$J$451),0),
IF('TL18'!$B$3=L$3,SUMIF('TL18'!$C$10:$C$224,$C418,'TL18'!$J$10:$J$224),0),
IF('TL18'!$B$229=L$3,SUMIF('TL18'!$C$238:$C$451,$C418,'TL18'!$J$238:$J$451),0),
IF('TL19'!$B$3=L$3,SUMIF('TL19'!$C$10:$C$224,$C418,'TL19'!$J$10:$J$224),0),
IF('TL19'!$B$229=L$3,SUMIF('TL19'!$C$238:$C$451,$C418,'TL19'!$J$238:$J$451),0)
),0)</f>
        <v>0</v>
      </c>
      <c r="M418" s="138">
        <f>IFERROR(SUM(
IF('TL01'!$B$3=M$3,SUMIF('TL01'!$C$10:$C$224,$C418,'TL01'!$J$10:$J$224),0),
IF('TL01'!$B$229=M$3,SUMIF('TL01'!$C$238:$C$451,$C418,'TL01'!$J$238:$J$451),0),
IF('TL02'!$B$3=M$3,SUMIF('TL02'!$C$10:$C$224,$C418,'TL02'!$J$10:$J$224),0),
IF('TL02'!$B$229=M$3,SUMIF('TL02'!$C$238:$C$451,$C418,'TL02'!$J$238:$J$451),0),
IF('TL03'!$B$3=M$3,SUMIF('TL03'!$C$10:$C$224,$C418,'TL03'!$J$10:$J$224),0),
IF('TL03'!$B$229=M$3,SUMIF('TL03'!$C$238:$C$451,$C418,'TL03'!$J$238:$J$451),0),
IF('TL04'!$B$3=M$3,SUMIF('TL04'!$C$10:$C$224,$C418,'TL04'!$J$10:$J$224),0),
IF('TL04'!$B$229=M$3,SUMIF('TL04'!$C$238:$C$451,$C418,'TL04'!$J$238:$J$451),0),
IF('TL05'!$B$3=M$3,SUMIF('TL05'!$C$10:$C$224,$C418,'TL05'!$J$10:$J$224),0),
IF('TL05'!$B$229=M$3,SUMIF('TL05'!$C$238:$C$451,$C418,'TL05'!$J$238:$J$451),0),
IF('TL06'!$B$3=M$3,SUMIF('TL06'!$C$10:$C$224,$C418,'TL06'!$J$10:$J$224),0),
IF('TL06'!$B$229=M$3,SUMIF('TL06'!$C$238:$C$451,$C418,'TL06'!$J$238:$J$451),0),
IF('TL07'!$B$3=M$3,SUMIF('TL07'!$C$10:$C$224,$C418,'TL07'!$J$10:$J$224),0),
IF('TL07'!$B$229=M$3,SUMIF('TL07'!$C$238:$C$451,$C418,'TL07'!$J$238:$J$451),0),
IF('TL08'!$B$3=M$3,SUMIF('TL08'!$C$10:$C$224,$C418,'TL08'!$J$10:$J$224),0),
IF('TL08'!$B$229=M$3,SUMIF('TL08'!$C$238:$C$451,$C418,'TL08'!$J$238:$J$451),0),
IF('TL09'!$B$3=M$3,SUMIF('TL09'!$C$10:$C$224,$C418,'TL09'!$J$10:$J$224),0),
IF('TL09'!$B$229=M$3,SUMIF('TL09'!$C$238:$C$451,$C418,'TL09'!$J$238:$J$451),0),
IF('TL10'!$B$3=M$3,SUMIF('TL10'!$C$10:$C$224,$C418,'TL10'!$J$10:$J$224),0),
IF('TL10'!$B$229=M$3,SUMIF('TL10'!$C$238:$C$451,$C418,'TL10'!$J$238:$J$451),0),
IF('TL11'!$B$3=M$3,SUMIF('TL11'!$C$10:$C$224,$C418,'TL11'!$J$10:$J$224),0),
IF('TL11'!$B$229=M$3,SUMIF('TL11'!$C$238:$C$451,$C418,'TL11'!$J$238:$J$451),0),
IF('TL12'!$B$3=M$3,SUMIF('TL12'!$C$10:$C$224,$C418,'TL12'!$J$10:$J$224),0),
IF('TL12'!$B$229=M$3,SUMIF('TL12'!$C$238:$C$451,$C418,'TL12'!$J$238:$J$451),0),
IF('TL13'!$B$3=M$3,SUMIF('TL13'!$C$10:$C$224,$C418,'TL13'!$J$10:$J$224),0),
IF('TL13'!$B$229=M$3,SUMIF('TL13'!$C$238:$C$451,$C418,'TL13'!$J$238:$J$451),0),
IF('TL14'!$B$3=M$3,SUMIF('TL14'!$C$10:$C$224,$C418,'TL14'!$J$10:$J$224),0),
IF('TL14'!$B$229=M$3,SUMIF('TL14'!$C$238:$C$451,$C418,'TL14'!$J$238:$J$451),0),
IF('TL15'!$B$3=M$3,SUMIF('TL15'!$C$10:$C$224,$C418,'TL15'!$J$10:$J$224),0),
IF('TL15'!$B$229=M$3,SUMIF('TL15'!$C$238:$C$451,$C418,'TL15'!$J$238:$J$451),0),
IF('TL16'!$B$3=M$3,SUMIF('TL16'!$C$10:$C$224,$C418,'TL16'!$J$10:$J$224),0),
IF('TL16'!$B$229=M$3,SUMIF('TL16'!$C$238:$C$451,$C418,'TL16'!$J$238:$J$451),0),
IF('TL17'!$B$3=M$3,SUMIF('TL17'!$C$10:$C$224,$C418,'TL17'!$J$10:$J$224),0),
IF('TL17'!$B$229=M$3,SUMIF('TL17'!$C$238:$C$451,$C418,'TL17'!$J$238:$J$451),0),
IF('TL18'!$B$3=M$3,SUMIF('TL18'!$C$10:$C$224,$C418,'TL18'!$J$10:$J$224),0),
IF('TL18'!$B$229=M$3,SUMIF('TL18'!$C$238:$C$451,$C418,'TL18'!$J$238:$J$451),0),
IF('TL19'!$B$3=M$3,SUMIF('TL19'!$C$10:$C$224,$C418,'TL19'!$J$10:$J$224),0),
IF('TL19'!$B$229=M$3,SUMIF('TL19'!$C$238:$C$451,$C418,'TL19'!$J$238:$J$451),0)
),0)</f>
        <v>0</v>
      </c>
      <c r="N418" s="138">
        <f>IFERROR(SUM(
IF('TL01'!$B$3=N$3,SUMIF('TL01'!$C$10:$C$224,$C418,'TL01'!$J$10:$J$224),0),
IF('TL01'!$B$229=N$3,SUMIF('TL01'!$C$238:$C$451,$C418,'TL01'!$J$238:$J$451),0),
IF('TL02'!$B$3=N$3,SUMIF('TL02'!$C$10:$C$224,$C418,'TL02'!$J$10:$J$224),0),
IF('TL02'!$B$229=N$3,SUMIF('TL02'!$C$238:$C$451,$C418,'TL02'!$J$238:$J$451),0),
IF('TL03'!$B$3=N$3,SUMIF('TL03'!$C$10:$C$224,$C418,'TL03'!$J$10:$J$224),0),
IF('TL03'!$B$229=N$3,SUMIF('TL03'!$C$238:$C$451,$C418,'TL03'!$J$238:$J$451),0),
IF('TL04'!$B$3=N$3,SUMIF('TL04'!$C$10:$C$224,$C418,'TL04'!$J$10:$J$224),0),
IF('TL04'!$B$229=N$3,SUMIF('TL04'!$C$238:$C$451,$C418,'TL04'!$J$238:$J$451),0),
IF('TL05'!$B$3=N$3,SUMIF('TL05'!$C$10:$C$224,$C418,'TL05'!$J$10:$J$224),0),
IF('TL05'!$B$229=N$3,SUMIF('TL05'!$C$238:$C$451,$C418,'TL05'!$J$238:$J$451),0),
IF('TL06'!$B$3=N$3,SUMIF('TL06'!$C$10:$C$224,$C418,'TL06'!$J$10:$J$224),0),
IF('TL06'!$B$229=N$3,SUMIF('TL06'!$C$238:$C$451,$C418,'TL06'!$J$238:$J$451),0),
IF('TL07'!$B$3=N$3,SUMIF('TL07'!$C$10:$C$224,$C418,'TL07'!$J$10:$J$224),0),
IF('TL07'!$B$229=N$3,SUMIF('TL07'!$C$238:$C$451,$C418,'TL07'!$J$238:$J$451),0),
IF('TL08'!$B$3=N$3,SUMIF('TL08'!$C$10:$C$224,$C418,'TL08'!$J$10:$J$224),0),
IF('TL08'!$B$229=N$3,SUMIF('TL08'!$C$238:$C$451,$C418,'TL08'!$J$238:$J$451),0),
IF('TL09'!$B$3=N$3,SUMIF('TL09'!$C$10:$C$224,$C418,'TL09'!$J$10:$J$224),0),
IF('TL09'!$B$229=N$3,SUMIF('TL09'!$C$238:$C$451,$C418,'TL09'!$J$238:$J$451),0),
IF('TL10'!$B$3=N$3,SUMIF('TL10'!$C$10:$C$224,$C418,'TL10'!$J$10:$J$224),0),
IF('TL10'!$B$229=N$3,SUMIF('TL10'!$C$238:$C$451,$C418,'TL10'!$J$238:$J$451),0),
IF('TL11'!$B$3=N$3,SUMIF('TL11'!$C$10:$C$224,$C418,'TL11'!$J$10:$J$224),0),
IF('TL11'!$B$229=N$3,SUMIF('TL11'!$C$238:$C$451,$C418,'TL11'!$J$238:$J$451),0),
IF('TL12'!$B$3=N$3,SUMIF('TL12'!$C$10:$C$224,$C418,'TL12'!$J$10:$J$224),0),
IF('TL12'!$B$229=N$3,SUMIF('TL12'!$C$238:$C$451,$C418,'TL12'!$J$238:$J$451),0),
IF('TL13'!$B$3=N$3,SUMIF('TL13'!$C$10:$C$224,$C418,'TL13'!$J$10:$J$224),0),
IF('TL13'!$B$229=N$3,SUMIF('TL13'!$C$238:$C$451,$C418,'TL13'!$J$238:$J$451),0),
IF('TL14'!$B$3=N$3,SUMIF('TL14'!$C$10:$C$224,$C418,'TL14'!$J$10:$J$224),0),
IF('TL14'!$B$229=N$3,SUMIF('TL14'!$C$238:$C$451,$C418,'TL14'!$J$238:$J$451),0),
IF('TL15'!$B$3=N$3,SUMIF('TL15'!$C$10:$C$224,$C418,'TL15'!$J$10:$J$224),0),
IF('TL15'!$B$229=N$3,SUMIF('TL15'!$C$238:$C$451,$C418,'TL15'!$J$238:$J$451),0),
IF('TL16'!$B$3=N$3,SUMIF('TL16'!$C$10:$C$224,$C418,'TL16'!$J$10:$J$224),0),
IF('TL16'!$B$229=N$3,SUMIF('TL16'!$C$238:$C$451,$C418,'TL16'!$J$238:$J$451),0),
IF('TL17'!$B$3=N$3,SUMIF('TL17'!$C$10:$C$224,$C418,'TL17'!$J$10:$J$224),0),
IF('TL17'!$B$229=N$3,SUMIF('TL17'!$C$238:$C$451,$C418,'TL17'!$J$238:$J$451),0),
IF('TL18'!$B$3=N$3,SUMIF('TL18'!$C$10:$C$224,$C418,'TL18'!$J$10:$J$224),0),
IF('TL18'!$B$229=N$3,SUMIF('TL18'!$C$238:$C$451,$C418,'TL18'!$J$238:$J$451),0),
IF('TL19'!$B$3=N$3,SUMIF('TL19'!$C$10:$C$224,$C418,'TL19'!$J$10:$J$224),0),
IF('TL19'!$B$229=N$3,SUMIF('TL19'!$C$238:$C$451,$C418,'TL19'!$J$238:$J$451),0)
),0)</f>
        <v>0</v>
      </c>
      <c r="O418" s="138">
        <f>IFERROR(SUM(
IF('TL01'!$B$3=O$3,SUMIF('TL01'!$C$10:$C$224,$C418,'TL01'!$J$10:$J$224),0),
IF('TL01'!$B$229=O$3,SUMIF('TL01'!$C$238:$C$451,$C418,'TL01'!$J$238:$J$451),0),
IF('TL02'!$B$3=O$3,SUMIF('TL02'!$C$10:$C$224,$C418,'TL02'!$J$10:$J$224),0),
IF('TL02'!$B$229=O$3,SUMIF('TL02'!$C$238:$C$451,$C418,'TL02'!$J$238:$J$451),0),
IF('TL03'!$B$3=O$3,SUMIF('TL03'!$C$10:$C$224,$C418,'TL03'!$J$10:$J$224),0),
IF('TL03'!$B$229=O$3,SUMIF('TL03'!$C$238:$C$451,$C418,'TL03'!$J$238:$J$451),0),
IF('TL04'!$B$3=O$3,SUMIF('TL04'!$C$10:$C$224,$C418,'TL04'!$J$10:$J$224),0),
IF('TL04'!$B$229=O$3,SUMIF('TL04'!$C$238:$C$451,$C418,'TL04'!$J$238:$J$451),0),
IF('TL05'!$B$3=O$3,SUMIF('TL05'!$C$10:$C$224,$C418,'TL05'!$J$10:$J$224),0),
IF('TL05'!$B$229=O$3,SUMIF('TL05'!$C$238:$C$451,$C418,'TL05'!$J$238:$J$451),0),
IF('TL06'!$B$3=O$3,SUMIF('TL06'!$C$10:$C$224,$C418,'TL06'!$J$10:$J$224),0),
IF('TL06'!$B$229=O$3,SUMIF('TL06'!$C$238:$C$451,$C418,'TL06'!$J$238:$J$451),0),
IF('TL07'!$B$3=O$3,SUMIF('TL07'!$C$10:$C$224,$C418,'TL07'!$J$10:$J$224),0),
IF('TL07'!$B$229=O$3,SUMIF('TL07'!$C$238:$C$451,$C418,'TL07'!$J$238:$J$451),0),
IF('TL08'!$B$3=O$3,SUMIF('TL08'!$C$10:$C$224,$C418,'TL08'!$J$10:$J$224),0),
IF('TL08'!$B$229=O$3,SUMIF('TL08'!$C$238:$C$451,$C418,'TL08'!$J$238:$J$451),0),
IF('TL09'!$B$3=O$3,SUMIF('TL09'!$C$10:$C$224,$C418,'TL09'!$J$10:$J$224),0),
IF('TL09'!$B$229=O$3,SUMIF('TL09'!$C$238:$C$451,$C418,'TL09'!$J$238:$J$451),0),
IF('TL10'!$B$3=O$3,SUMIF('TL10'!$C$10:$C$224,$C418,'TL10'!$J$10:$J$224),0),
IF('TL10'!$B$229=O$3,SUMIF('TL10'!$C$238:$C$451,$C418,'TL10'!$J$238:$J$451),0),
IF('TL11'!$B$3=O$3,SUMIF('TL11'!$C$10:$C$224,$C418,'TL11'!$J$10:$J$224),0),
IF('TL11'!$B$229=O$3,SUMIF('TL11'!$C$238:$C$451,$C418,'TL11'!$J$238:$J$451),0),
IF('TL12'!$B$3=O$3,SUMIF('TL12'!$C$10:$C$224,$C418,'TL12'!$J$10:$J$224),0),
IF('TL12'!$B$229=O$3,SUMIF('TL12'!$C$238:$C$451,$C418,'TL12'!$J$238:$J$451),0),
IF('TL13'!$B$3=O$3,SUMIF('TL13'!$C$10:$C$224,$C418,'TL13'!$J$10:$J$224),0),
IF('TL13'!$B$229=O$3,SUMIF('TL13'!$C$238:$C$451,$C418,'TL13'!$J$238:$J$451),0),
IF('TL14'!$B$3=O$3,SUMIF('TL14'!$C$10:$C$224,$C418,'TL14'!$J$10:$J$224),0),
IF('TL14'!$B$229=O$3,SUMIF('TL14'!$C$238:$C$451,$C418,'TL14'!$J$238:$J$451),0),
IF('TL15'!$B$3=O$3,SUMIF('TL15'!$C$10:$C$224,$C418,'TL15'!$J$10:$J$224),0),
IF('TL15'!$B$229=O$3,SUMIF('TL15'!$C$238:$C$451,$C418,'TL15'!$J$238:$J$451),0),
IF('TL16'!$B$3=O$3,SUMIF('TL16'!$C$10:$C$224,$C418,'TL16'!$J$10:$J$224),0),
IF('TL16'!$B$229=O$3,SUMIF('TL16'!$C$238:$C$451,$C418,'TL16'!$J$238:$J$451),0),
IF('TL17'!$B$3=O$3,SUMIF('TL17'!$C$10:$C$224,$C418,'TL17'!$J$10:$J$224),0),
IF('TL17'!$B$229=O$3,SUMIF('TL17'!$C$238:$C$451,$C418,'TL17'!$J$238:$J$451),0),
IF('TL18'!$B$3=O$3,SUMIF('TL18'!$C$10:$C$224,$C418,'TL18'!$J$10:$J$224),0),
IF('TL18'!$B$229=O$3,SUMIF('TL18'!$C$238:$C$451,$C418,'TL18'!$J$238:$J$451),0),
IF('TL19'!$B$3=O$3,SUMIF('TL19'!$C$10:$C$224,$C418,'TL19'!$J$10:$J$224),0),
IF('TL19'!$B$229=O$3,SUMIF('TL19'!$C$238:$C$451,$C418,'TL19'!$J$238:$J$451),0)
),0)</f>
        <v>0</v>
      </c>
      <c r="P418" s="138">
        <f>IFERROR(SUM(
IF('TL01'!$B$3=P$3,SUMIF('TL01'!$C$10:$C$224,$C418,'TL01'!$J$10:$J$224),0),
IF('TL01'!$B$229=P$3,SUMIF('TL01'!$C$238:$C$451,$C418,'TL01'!$J$238:$J$451),0),
IF('TL02'!$B$3=P$3,SUMIF('TL02'!$C$10:$C$224,$C418,'TL02'!$J$10:$J$224),0),
IF('TL02'!$B$229=P$3,SUMIF('TL02'!$C$238:$C$451,$C418,'TL02'!$J$238:$J$451),0),
IF('TL03'!$B$3=P$3,SUMIF('TL03'!$C$10:$C$224,$C418,'TL03'!$J$10:$J$224),0),
IF('TL03'!$B$229=P$3,SUMIF('TL03'!$C$238:$C$451,$C418,'TL03'!$J$238:$J$451),0),
IF('TL04'!$B$3=P$3,SUMIF('TL04'!$C$10:$C$224,$C418,'TL04'!$J$10:$J$224),0),
IF('TL04'!$B$229=P$3,SUMIF('TL04'!$C$238:$C$451,$C418,'TL04'!$J$238:$J$451),0),
IF('TL05'!$B$3=P$3,SUMIF('TL05'!$C$10:$C$224,$C418,'TL05'!$J$10:$J$224),0),
IF('TL05'!$B$229=P$3,SUMIF('TL05'!$C$238:$C$451,$C418,'TL05'!$J$238:$J$451),0),
IF('TL06'!$B$3=P$3,SUMIF('TL06'!$C$10:$C$224,$C418,'TL06'!$J$10:$J$224),0),
IF('TL06'!$B$229=P$3,SUMIF('TL06'!$C$238:$C$451,$C418,'TL06'!$J$238:$J$451),0),
IF('TL07'!$B$3=P$3,SUMIF('TL07'!$C$10:$C$224,$C418,'TL07'!$J$10:$J$224),0),
IF('TL07'!$B$229=P$3,SUMIF('TL07'!$C$238:$C$451,$C418,'TL07'!$J$238:$J$451),0),
IF('TL08'!$B$3=P$3,SUMIF('TL08'!$C$10:$C$224,$C418,'TL08'!$J$10:$J$224),0),
IF('TL08'!$B$229=P$3,SUMIF('TL08'!$C$238:$C$451,$C418,'TL08'!$J$238:$J$451),0),
IF('TL09'!$B$3=P$3,SUMIF('TL09'!$C$10:$C$224,$C418,'TL09'!$J$10:$J$224),0),
IF('TL09'!$B$229=P$3,SUMIF('TL09'!$C$238:$C$451,$C418,'TL09'!$J$238:$J$451),0),
IF('TL10'!$B$3=P$3,SUMIF('TL10'!$C$10:$C$224,$C418,'TL10'!$J$10:$J$224),0),
IF('TL10'!$B$229=P$3,SUMIF('TL10'!$C$238:$C$451,$C418,'TL10'!$J$238:$J$451),0),
IF('TL11'!$B$3=P$3,SUMIF('TL11'!$C$10:$C$224,$C418,'TL11'!$J$10:$J$224),0),
IF('TL11'!$B$229=P$3,SUMIF('TL11'!$C$238:$C$451,$C418,'TL11'!$J$238:$J$451),0),
IF('TL12'!$B$3=P$3,SUMIF('TL12'!$C$10:$C$224,$C418,'TL12'!$J$10:$J$224),0),
IF('TL12'!$B$229=P$3,SUMIF('TL12'!$C$238:$C$451,$C418,'TL12'!$J$238:$J$451),0),
IF('TL13'!$B$3=P$3,SUMIF('TL13'!$C$10:$C$224,$C418,'TL13'!$J$10:$J$224),0),
IF('TL13'!$B$229=P$3,SUMIF('TL13'!$C$238:$C$451,$C418,'TL13'!$J$238:$J$451),0),
IF('TL14'!$B$3=P$3,SUMIF('TL14'!$C$10:$C$224,$C418,'TL14'!$J$10:$J$224),0),
IF('TL14'!$B$229=P$3,SUMIF('TL14'!$C$238:$C$451,$C418,'TL14'!$J$238:$J$451),0),
IF('TL15'!$B$3=P$3,SUMIF('TL15'!$C$10:$C$224,$C418,'TL15'!$J$10:$J$224),0),
IF('TL15'!$B$229=P$3,SUMIF('TL15'!$C$238:$C$451,$C418,'TL15'!$J$238:$J$451),0),
IF('TL16'!$B$3=P$3,SUMIF('TL16'!$C$10:$C$224,$C418,'TL16'!$J$10:$J$224),0),
IF('TL16'!$B$229=P$3,SUMIF('TL16'!$C$238:$C$451,$C418,'TL16'!$J$238:$J$451),0),
IF('TL17'!$B$3=P$3,SUMIF('TL17'!$C$10:$C$224,$C418,'TL17'!$J$10:$J$224),0),
IF('TL17'!$B$229=P$3,SUMIF('TL17'!$C$238:$C$451,$C418,'TL17'!$J$238:$J$451),0),
IF('TL18'!$B$3=P$3,SUMIF('TL18'!$C$10:$C$224,$C418,'TL18'!$J$10:$J$224),0),
IF('TL18'!$B$229=P$3,SUMIF('TL18'!$C$238:$C$451,$C418,'TL18'!$J$238:$J$451),0),
IF('TL19'!$B$3=P$3,SUMIF('TL19'!$C$10:$C$224,$C418,'TL19'!$J$10:$J$224),0),
IF('TL19'!$B$229=P$3,SUMIF('TL19'!$C$238:$C$451,$C418,'TL19'!$J$238:$J$451),0)
),0)</f>
        <v>0</v>
      </c>
      <c r="Q418" s="138">
        <f>IFERROR(SUM(
IF('TL01'!$B$3=Q$3,SUMIF('TL01'!$C$10:$C$224,$C418,'TL01'!$J$10:$J$224),0),
IF('TL01'!$B$229=Q$3,SUMIF('TL01'!$C$238:$C$451,$C418,'TL01'!$J$238:$J$451),0),
IF('TL02'!$B$3=Q$3,SUMIF('TL02'!$C$10:$C$224,$C418,'TL02'!$J$10:$J$224),0),
IF('TL02'!$B$229=Q$3,SUMIF('TL02'!$C$238:$C$451,$C418,'TL02'!$J$238:$J$451),0),
IF('TL03'!$B$3=Q$3,SUMIF('TL03'!$C$10:$C$224,$C418,'TL03'!$J$10:$J$224),0),
IF('TL03'!$B$229=Q$3,SUMIF('TL03'!$C$238:$C$451,$C418,'TL03'!$J$238:$J$451),0),
IF('TL04'!$B$3=Q$3,SUMIF('TL04'!$C$10:$C$224,$C418,'TL04'!$J$10:$J$224),0),
IF('TL04'!$B$229=Q$3,SUMIF('TL04'!$C$238:$C$451,$C418,'TL04'!$J$238:$J$451),0),
IF('TL05'!$B$3=Q$3,SUMIF('TL05'!$C$10:$C$224,$C418,'TL05'!$J$10:$J$224),0),
IF('TL05'!$B$229=Q$3,SUMIF('TL05'!$C$238:$C$451,$C418,'TL05'!$J$238:$J$451),0),
IF('TL06'!$B$3=Q$3,SUMIF('TL06'!$C$10:$C$224,$C418,'TL06'!$J$10:$J$224),0),
IF('TL06'!$B$229=Q$3,SUMIF('TL06'!$C$238:$C$451,$C418,'TL06'!$J$238:$J$451),0),
IF('TL07'!$B$3=Q$3,SUMIF('TL07'!$C$10:$C$224,$C418,'TL07'!$J$10:$J$224),0),
IF('TL07'!$B$229=Q$3,SUMIF('TL07'!$C$238:$C$451,$C418,'TL07'!$J$238:$J$451),0),
IF('TL08'!$B$3=Q$3,SUMIF('TL08'!$C$10:$C$224,$C418,'TL08'!$J$10:$J$224),0),
IF('TL08'!$B$229=Q$3,SUMIF('TL08'!$C$238:$C$451,$C418,'TL08'!$J$238:$J$451),0),
IF('TL09'!$B$3=Q$3,SUMIF('TL09'!$C$10:$C$224,$C418,'TL09'!$J$10:$J$224),0),
IF('TL09'!$B$229=Q$3,SUMIF('TL09'!$C$238:$C$451,$C418,'TL09'!$J$238:$J$451),0),
IF('TL10'!$B$3=Q$3,SUMIF('TL10'!$C$10:$C$224,$C418,'TL10'!$J$10:$J$224),0),
IF('TL10'!$B$229=Q$3,SUMIF('TL10'!$C$238:$C$451,$C418,'TL10'!$J$238:$J$451),0),
IF('TL11'!$B$3=Q$3,SUMIF('TL11'!$C$10:$C$224,$C418,'TL11'!$J$10:$J$224),0),
IF('TL11'!$B$229=Q$3,SUMIF('TL11'!$C$238:$C$451,$C418,'TL11'!$J$238:$J$451),0),
IF('TL12'!$B$3=Q$3,SUMIF('TL12'!$C$10:$C$224,$C418,'TL12'!$J$10:$J$224),0),
IF('TL12'!$B$229=Q$3,SUMIF('TL12'!$C$238:$C$451,$C418,'TL12'!$J$238:$J$451),0),
IF('TL13'!$B$3=Q$3,SUMIF('TL13'!$C$10:$C$224,$C418,'TL13'!$J$10:$J$224),0),
IF('TL13'!$B$229=Q$3,SUMIF('TL13'!$C$238:$C$451,$C418,'TL13'!$J$238:$J$451),0),
IF('TL14'!$B$3=Q$3,SUMIF('TL14'!$C$10:$C$224,$C418,'TL14'!$J$10:$J$224),0),
IF('TL14'!$B$229=Q$3,SUMIF('TL14'!$C$238:$C$451,$C418,'TL14'!$J$238:$J$451),0),
IF('TL15'!$B$3=Q$3,SUMIF('TL15'!$C$10:$C$224,$C418,'TL15'!$J$10:$J$224),0),
IF('TL15'!$B$229=Q$3,SUMIF('TL15'!$C$238:$C$451,$C418,'TL15'!$J$238:$J$451),0),
IF('TL16'!$B$3=Q$3,SUMIF('TL16'!$C$10:$C$224,$C418,'TL16'!$J$10:$J$224),0),
IF('TL16'!$B$229=Q$3,SUMIF('TL16'!$C$238:$C$451,$C418,'TL16'!$J$238:$J$451),0),
IF('TL17'!$B$3=Q$3,SUMIF('TL17'!$C$10:$C$224,$C418,'TL17'!$J$10:$J$224),0),
IF('TL17'!$B$229=Q$3,SUMIF('TL17'!$C$238:$C$451,$C418,'TL17'!$J$238:$J$451),0),
IF('TL18'!$B$3=Q$3,SUMIF('TL18'!$C$10:$C$224,$C418,'TL18'!$J$10:$J$224),0),
IF('TL18'!$B$229=Q$3,SUMIF('TL18'!$C$238:$C$451,$C418,'TL18'!$J$238:$J$451),0),
IF('TL19'!$B$3=Q$3,SUMIF('TL19'!$C$10:$C$224,$C418,'TL19'!$J$10:$J$224),0),
IF('TL19'!$B$229=Q$3,SUMIF('TL19'!$C$238:$C$451,$C418,'TL19'!$J$238:$J$451),0)
),0)</f>
        <v>0</v>
      </c>
      <c r="R418" s="139">
        <f>IFERROR(
SUM(
SUMIF('TL01'!C:C,C418,'TL01'!J:J),
SUMIF('TL02'!C:C,C418,'TL02'!I:I),
SUMIF('TL03'!C:C,C418,'TL03'!I:I),
SUMIF('TL04'!C:C,C418,'TL04'!I:I),
SUMIF('TL05'!C:C,C418,'TL05'!I:I),
SUMIF('TL06'!C:C,C418,'TL06'!I:I),
SUMIF('TL07'!C:C,C418,'TL07'!I:I),
SUMIF('TL08'!C:C,C418,'TL08'!I:I),
SUMIF('TL09'!C:C,C418,'TL09'!I:I),
SUMIF('TL10'!C:C,C418,'TL10'!I:I),
SUMIF('TL11'!C:C,C418,'TL11'!I:I),
SUMIF('TL12'!C:C,C418,'TL12'!I:I),
SUMIF('TL13'!C:C,C418,'TL13'!I:I),
SUMIF('TL14'!C:C,C418,'TL14'!I:I),
SUMIF('TL15'!C:C,C418,'TL15'!I:I),
SUMIF('TL16'!C:C,C418,'TL16'!I:I),
SUMIF('TL17'!C:C,C418,'TL17'!I:I),
SUMIF('TL18'!C:C,C418,'TL18'!I:I))
,0)</f>
        <v>0</v>
      </c>
      <c r="S418" s="142" t="str">
        <f>'CUSTO OPERAÇÃO'!M22</f>
        <v/>
      </c>
      <c r="T418" s="139"/>
      <c r="U418" s="143">
        <f t="shared" si="2"/>
        <v>0</v>
      </c>
      <c r="V418" s="144">
        <f t="shared" si="3"/>
        <v>0</v>
      </c>
    </row>
    <row r="419" ht="15.75" hidden="1" customHeight="1">
      <c r="A419" s="138"/>
      <c r="B419" s="155"/>
      <c r="C419" s="138"/>
      <c r="D419" s="138"/>
      <c r="E419" s="139"/>
      <c r="F419" s="138" t="s">
        <v>1133</v>
      </c>
      <c r="G419" s="139"/>
      <c r="H419" s="140" t="str">
        <f>'CUSTO OPERAÇÃO'!J23</f>
        <v>#N/A</v>
      </c>
      <c r="I419" s="156"/>
      <c r="J419" s="138">
        <f>IFERROR(SUM(
IF('TL01'!$B$3=J$3,SUMIF('TL01'!$C$10:$C$224,$C419,'TL01'!$J$10:$J$224),0),
IF('TL01'!$B$229=J$3,SUMIF('TL01'!$C$238:$C$451,$C419,'TL01'!$J$238:$J$451),0),
IF('TL02'!$B$3=J$3,SUMIF('TL02'!$C$10:$C$224,$C419,'TL02'!$J$10:$J$224),0),
IF('TL02'!$B$229=J$3,SUMIF('TL02'!$C$238:$C$451,$C419,'TL02'!$J$238:$J$451),0),
IF('TL03'!$B$3=J$3,SUMIF('TL03'!$C$10:$C$224,$C419,'TL03'!$J$10:$J$224),0),
IF('TL03'!$B$229=J$3,SUMIF('TL03'!$C$238:$C$451,$C419,'TL03'!$J$238:$J$451),0),
IF('TL04'!$B$3=J$3,SUMIF('TL04'!$C$10:$C$224,$C419,'TL04'!$J$10:$J$224),0),
IF('TL04'!$B$229=J$3,SUMIF('TL04'!$C$238:$C$451,$C419,'TL04'!$J$238:$J$451),0),
IF('TL05'!$B$3=J$3,SUMIF('TL05'!$C$10:$C$224,$C419,'TL05'!$J$10:$J$224),0),
IF('TL05'!$B$229=J$3,SUMIF('TL05'!$C$238:$C$451,$C419,'TL05'!$J$238:$J$451),0),
IF('TL06'!$B$3=J$3,SUMIF('TL06'!$C$10:$C$224,$C419,'TL06'!$J$10:$J$224),0),
IF('TL06'!$B$229=J$3,SUMIF('TL06'!$C$238:$C$451,$C419,'TL06'!$J$238:$J$451),0),
IF('TL07'!$B$3=J$3,SUMIF('TL07'!$C$10:$C$224,$C419,'TL07'!$J$10:$J$224),0),
IF('TL07'!$B$229=J$3,SUMIF('TL07'!$C$238:$C$451,$C419,'TL07'!$J$238:$J$451),0),
IF('TL08'!$B$3=J$3,SUMIF('TL08'!$C$10:$C$224,$C419,'TL08'!$J$10:$J$224),0),
IF('TL08'!$B$229=J$3,SUMIF('TL08'!$C$238:$C$451,$C419,'TL08'!$J$238:$J$451),0),
IF('TL09'!$B$3=J$3,SUMIF('TL09'!$C$10:$C$224,$C419,'TL09'!$J$10:$J$224),0),
IF('TL09'!$B$229=J$3,SUMIF('TL09'!$C$238:$C$451,$C419,'TL09'!$J$238:$J$451),0),
IF('TL10'!$B$3=J$3,SUMIF('TL10'!$C$10:$C$224,$C419,'TL10'!$J$10:$J$224),0),
IF('TL10'!$B$229=J$3,SUMIF('TL10'!$C$238:$C$451,$C419,'TL10'!$J$238:$J$451),0),
IF('TL11'!$B$3=J$3,SUMIF('TL11'!$C$10:$C$224,$C419,'TL11'!$J$10:$J$224),0),
IF('TL11'!$B$229=J$3,SUMIF('TL11'!$C$238:$C$451,$C419,'TL11'!$J$238:$J$451),0),
IF('TL12'!$B$3=J$3,SUMIF('TL12'!$C$10:$C$224,$C419,'TL12'!$J$10:$J$224),0),
IF('TL12'!$B$229=J$3,SUMIF('TL12'!$C$238:$C$451,$C419,'TL12'!$J$238:$J$451),0),
IF('TL13'!$B$3=J$3,SUMIF('TL13'!$C$10:$C$224,$C419,'TL13'!$J$10:$J$224),0),
IF('TL13'!$B$229=J$3,SUMIF('TL13'!$C$238:$C$451,$C419,'TL13'!$J$238:$J$451),0),
IF('TL14'!$B$3=J$3,SUMIF('TL14'!$C$10:$C$224,$C419,'TL14'!$J$10:$J$224),0),
IF('TL14'!$B$229=J$3,SUMIF('TL14'!$C$238:$C$451,$C419,'TL14'!$J$238:$J$451),0),
IF('TL15'!$B$3=J$3,SUMIF('TL15'!$C$10:$C$224,$C419,'TL15'!$J$10:$J$224),0),
IF('TL15'!$B$229=J$3,SUMIF('TL15'!$C$238:$C$451,$C419,'TL15'!$J$238:$J$451),0),
IF('TL16'!$B$3=J$3,SUMIF('TL16'!$C$10:$C$224,$C419,'TL16'!$J$10:$J$224),0),
IF('TL16'!$B$229=J$3,SUMIF('TL16'!$C$238:$C$451,$C419,'TL16'!$J$238:$J$451),0),
IF('TL17'!$B$3=J$3,SUMIF('TL17'!$C$10:$C$224,$C419,'TL17'!$J$10:$J$224),0),
IF('TL17'!$B$229=J$3,SUMIF('TL17'!$C$238:$C$451,$C419,'TL17'!$J$238:$J$451),0),
IF('TL18'!$B$3=J$3,SUMIF('TL18'!$C$10:$C$224,$C419,'TL18'!$J$10:$J$224),0),
IF('TL18'!$B$229=J$3,SUMIF('TL18'!$C$238:$C$451,$C419,'TL18'!$J$238:$J$451),0),
IF('TL19'!$B$3=J$3,SUMIF('TL19'!$C$10:$C$224,$C419,'TL19'!$J$10:$J$224),0),
IF('TL19'!$B$229=J$3,SUMIF('TL19'!$C$238:$C$451,$C419,'TL19'!$J$238:$J$451),0)
),0)</f>
        <v>0</v>
      </c>
      <c r="K419" s="138">
        <f>IFERROR(SUM(
IF('TL01'!$B$3=K$3,SUMIF('TL01'!$C$10:$C$224,$C419,'TL01'!$J$10:$J$224),0),
IF('TL01'!$B$229=K$3,SUMIF('TL01'!$C$238:$C$451,$C419,'TL01'!$J$238:$J$451),0),
IF('TL02'!$B$3=K$3,SUMIF('TL02'!$C$10:$C$224,$C419,'TL02'!$J$10:$J$224),0),
IF('TL02'!$B$229=K$3,SUMIF('TL02'!$C$238:$C$451,$C419,'TL02'!$J$238:$J$451),0),
IF('TL03'!$B$3=K$3,SUMIF('TL03'!$C$10:$C$224,$C419,'TL03'!$J$10:$J$224),0),
IF('TL03'!$B$229=K$3,SUMIF('TL03'!$C$238:$C$451,$C419,'TL03'!$J$238:$J$451),0),
IF('TL04'!$B$3=K$3,SUMIF('TL04'!$C$10:$C$224,$C419,'TL04'!$J$10:$J$224),0),
IF('TL04'!$B$229=K$3,SUMIF('TL04'!$C$238:$C$451,$C419,'TL04'!$J$238:$J$451),0),
IF('TL05'!$B$3=K$3,SUMIF('TL05'!$C$10:$C$224,$C419,'TL05'!$J$10:$J$224),0),
IF('TL05'!$B$229=K$3,SUMIF('TL05'!$C$238:$C$451,$C419,'TL05'!$J$238:$J$451),0),
IF('TL06'!$B$3=K$3,SUMIF('TL06'!$C$10:$C$224,$C419,'TL06'!$J$10:$J$224),0),
IF('TL06'!$B$229=K$3,SUMIF('TL06'!$C$238:$C$451,$C419,'TL06'!$J$238:$J$451),0),
IF('TL07'!$B$3=K$3,SUMIF('TL07'!$C$10:$C$224,$C419,'TL07'!$J$10:$J$224),0),
IF('TL07'!$B$229=K$3,SUMIF('TL07'!$C$238:$C$451,$C419,'TL07'!$J$238:$J$451),0),
IF('TL08'!$B$3=K$3,SUMIF('TL08'!$C$10:$C$224,$C419,'TL08'!$J$10:$J$224),0),
IF('TL08'!$B$229=K$3,SUMIF('TL08'!$C$238:$C$451,$C419,'TL08'!$J$238:$J$451),0),
IF('TL09'!$B$3=K$3,SUMIF('TL09'!$C$10:$C$224,$C419,'TL09'!$J$10:$J$224),0),
IF('TL09'!$B$229=K$3,SUMIF('TL09'!$C$238:$C$451,$C419,'TL09'!$J$238:$J$451),0),
IF('TL10'!$B$3=K$3,SUMIF('TL10'!$C$10:$C$224,$C419,'TL10'!$J$10:$J$224),0),
IF('TL10'!$B$229=K$3,SUMIF('TL10'!$C$238:$C$451,$C419,'TL10'!$J$238:$J$451),0),
IF('TL11'!$B$3=K$3,SUMIF('TL11'!$C$10:$C$224,$C419,'TL11'!$J$10:$J$224),0),
IF('TL11'!$B$229=K$3,SUMIF('TL11'!$C$238:$C$451,$C419,'TL11'!$J$238:$J$451),0),
IF('TL12'!$B$3=K$3,SUMIF('TL12'!$C$10:$C$224,$C419,'TL12'!$J$10:$J$224),0),
IF('TL12'!$B$229=K$3,SUMIF('TL12'!$C$238:$C$451,$C419,'TL12'!$J$238:$J$451),0),
IF('TL13'!$B$3=K$3,SUMIF('TL13'!$C$10:$C$224,$C419,'TL13'!$J$10:$J$224),0),
IF('TL13'!$B$229=K$3,SUMIF('TL13'!$C$238:$C$451,$C419,'TL13'!$J$238:$J$451),0),
IF('TL14'!$B$3=K$3,SUMIF('TL14'!$C$10:$C$224,$C419,'TL14'!$J$10:$J$224),0),
IF('TL14'!$B$229=K$3,SUMIF('TL14'!$C$238:$C$451,$C419,'TL14'!$J$238:$J$451),0),
IF('TL15'!$B$3=K$3,SUMIF('TL15'!$C$10:$C$224,$C419,'TL15'!$J$10:$J$224),0),
IF('TL15'!$B$229=K$3,SUMIF('TL15'!$C$238:$C$451,$C419,'TL15'!$J$238:$J$451),0),
IF('TL16'!$B$3=K$3,SUMIF('TL16'!$C$10:$C$224,$C419,'TL16'!$J$10:$J$224),0),
IF('TL16'!$B$229=K$3,SUMIF('TL16'!$C$238:$C$451,$C419,'TL16'!$J$238:$J$451),0),
IF('TL17'!$B$3=K$3,SUMIF('TL17'!$C$10:$C$224,$C419,'TL17'!$J$10:$J$224),0),
IF('TL17'!$B$229=K$3,SUMIF('TL17'!$C$238:$C$451,$C419,'TL17'!$J$238:$J$451),0),
IF('TL18'!$B$3=K$3,SUMIF('TL18'!$C$10:$C$224,$C419,'TL18'!$J$10:$J$224),0),
IF('TL18'!$B$229=K$3,SUMIF('TL18'!$C$238:$C$451,$C419,'TL18'!$J$238:$J$451),0),
IF('TL19'!$B$3=K$3,SUMIF('TL19'!$C$10:$C$224,$C419,'TL19'!$J$10:$J$224),0),
IF('TL19'!$B$229=K$3,SUMIF('TL19'!$C$238:$C$451,$C419,'TL19'!$J$238:$J$451),0)
),0)</f>
        <v>0</v>
      </c>
      <c r="L419" s="138">
        <f>IFERROR(SUM(
IF('TL01'!$B$3=L$3,SUMIF('TL01'!$C$10:$C$224,$C419,'TL01'!$J$10:$J$224),0),
IF('TL01'!$B$229=L$3,SUMIF('TL01'!$C$238:$C$451,$C419,'TL01'!$J$238:$J$451),0),
IF('TL02'!$B$3=L$3,SUMIF('TL02'!$C$10:$C$224,$C419,'TL02'!$J$10:$J$224),0),
IF('TL02'!$B$229=L$3,SUMIF('TL02'!$C$238:$C$451,$C419,'TL02'!$J$238:$J$451),0),
IF('TL03'!$B$3=L$3,SUMIF('TL03'!$C$10:$C$224,$C419,'TL03'!$J$10:$J$224),0),
IF('TL03'!$B$229=L$3,SUMIF('TL03'!$C$238:$C$451,$C419,'TL03'!$J$238:$J$451),0),
IF('TL04'!$B$3=L$3,SUMIF('TL04'!$C$10:$C$224,$C419,'TL04'!$J$10:$J$224),0),
IF('TL04'!$B$229=L$3,SUMIF('TL04'!$C$238:$C$451,$C419,'TL04'!$J$238:$J$451),0),
IF('TL05'!$B$3=L$3,SUMIF('TL05'!$C$10:$C$224,$C419,'TL05'!$J$10:$J$224),0),
IF('TL05'!$B$229=L$3,SUMIF('TL05'!$C$238:$C$451,$C419,'TL05'!$J$238:$J$451),0),
IF('TL06'!$B$3=L$3,SUMIF('TL06'!$C$10:$C$224,$C419,'TL06'!$J$10:$J$224),0),
IF('TL06'!$B$229=L$3,SUMIF('TL06'!$C$238:$C$451,$C419,'TL06'!$J$238:$J$451),0),
IF('TL07'!$B$3=L$3,SUMIF('TL07'!$C$10:$C$224,$C419,'TL07'!$J$10:$J$224),0),
IF('TL07'!$B$229=L$3,SUMIF('TL07'!$C$238:$C$451,$C419,'TL07'!$J$238:$J$451),0),
IF('TL08'!$B$3=L$3,SUMIF('TL08'!$C$10:$C$224,$C419,'TL08'!$J$10:$J$224),0),
IF('TL08'!$B$229=L$3,SUMIF('TL08'!$C$238:$C$451,$C419,'TL08'!$J$238:$J$451),0),
IF('TL09'!$B$3=L$3,SUMIF('TL09'!$C$10:$C$224,$C419,'TL09'!$J$10:$J$224),0),
IF('TL09'!$B$229=L$3,SUMIF('TL09'!$C$238:$C$451,$C419,'TL09'!$J$238:$J$451),0),
IF('TL10'!$B$3=L$3,SUMIF('TL10'!$C$10:$C$224,$C419,'TL10'!$J$10:$J$224),0),
IF('TL10'!$B$229=L$3,SUMIF('TL10'!$C$238:$C$451,$C419,'TL10'!$J$238:$J$451),0),
IF('TL11'!$B$3=L$3,SUMIF('TL11'!$C$10:$C$224,$C419,'TL11'!$J$10:$J$224),0),
IF('TL11'!$B$229=L$3,SUMIF('TL11'!$C$238:$C$451,$C419,'TL11'!$J$238:$J$451),0),
IF('TL12'!$B$3=L$3,SUMIF('TL12'!$C$10:$C$224,$C419,'TL12'!$J$10:$J$224),0),
IF('TL12'!$B$229=L$3,SUMIF('TL12'!$C$238:$C$451,$C419,'TL12'!$J$238:$J$451),0),
IF('TL13'!$B$3=L$3,SUMIF('TL13'!$C$10:$C$224,$C419,'TL13'!$J$10:$J$224),0),
IF('TL13'!$B$229=L$3,SUMIF('TL13'!$C$238:$C$451,$C419,'TL13'!$J$238:$J$451),0),
IF('TL14'!$B$3=L$3,SUMIF('TL14'!$C$10:$C$224,$C419,'TL14'!$J$10:$J$224),0),
IF('TL14'!$B$229=L$3,SUMIF('TL14'!$C$238:$C$451,$C419,'TL14'!$J$238:$J$451),0),
IF('TL15'!$B$3=L$3,SUMIF('TL15'!$C$10:$C$224,$C419,'TL15'!$J$10:$J$224),0),
IF('TL15'!$B$229=L$3,SUMIF('TL15'!$C$238:$C$451,$C419,'TL15'!$J$238:$J$451),0),
IF('TL16'!$B$3=L$3,SUMIF('TL16'!$C$10:$C$224,$C419,'TL16'!$J$10:$J$224),0),
IF('TL16'!$B$229=L$3,SUMIF('TL16'!$C$238:$C$451,$C419,'TL16'!$J$238:$J$451),0),
IF('TL17'!$B$3=L$3,SUMIF('TL17'!$C$10:$C$224,$C419,'TL17'!$J$10:$J$224),0),
IF('TL17'!$B$229=L$3,SUMIF('TL17'!$C$238:$C$451,$C419,'TL17'!$J$238:$J$451),0),
IF('TL18'!$B$3=L$3,SUMIF('TL18'!$C$10:$C$224,$C419,'TL18'!$J$10:$J$224),0),
IF('TL18'!$B$229=L$3,SUMIF('TL18'!$C$238:$C$451,$C419,'TL18'!$J$238:$J$451),0),
IF('TL19'!$B$3=L$3,SUMIF('TL19'!$C$10:$C$224,$C419,'TL19'!$J$10:$J$224),0),
IF('TL19'!$B$229=L$3,SUMIF('TL19'!$C$238:$C$451,$C419,'TL19'!$J$238:$J$451),0)
),0)</f>
        <v>0</v>
      </c>
      <c r="M419" s="138">
        <f>IFERROR(SUM(
IF('TL01'!$B$3=M$3,SUMIF('TL01'!$C$10:$C$224,$C419,'TL01'!$J$10:$J$224),0),
IF('TL01'!$B$229=M$3,SUMIF('TL01'!$C$238:$C$451,$C419,'TL01'!$J$238:$J$451),0),
IF('TL02'!$B$3=M$3,SUMIF('TL02'!$C$10:$C$224,$C419,'TL02'!$J$10:$J$224),0),
IF('TL02'!$B$229=M$3,SUMIF('TL02'!$C$238:$C$451,$C419,'TL02'!$J$238:$J$451),0),
IF('TL03'!$B$3=M$3,SUMIF('TL03'!$C$10:$C$224,$C419,'TL03'!$J$10:$J$224),0),
IF('TL03'!$B$229=M$3,SUMIF('TL03'!$C$238:$C$451,$C419,'TL03'!$J$238:$J$451),0),
IF('TL04'!$B$3=M$3,SUMIF('TL04'!$C$10:$C$224,$C419,'TL04'!$J$10:$J$224),0),
IF('TL04'!$B$229=M$3,SUMIF('TL04'!$C$238:$C$451,$C419,'TL04'!$J$238:$J$451),0),
IF('TL05'!$B$3=M$3,SUMIF('TL05'!$C$10:$C$224,$C419,'TL05'!$J$10:$J$224),0),
IF('TL05'!$B$229=M$3,SUMIF('TL05'!$C$238:$C$451,$C419,'TL05'!$J$238:$J$451),0),
IF('TL06'!$B$3=M$3,SUMIF('TL06'!$C$10:$C$224,$C419,'TL06'!$J$10:$J$224),0),
IF('TL06'!$B$229=M$3,SUMIF('TL06'!$C$238:$C$451,$C419,'TL06'!$J$238:$J$451),0),
IF('TL07'!$B$3=M$3,SUMIF('TL07'!$C$10:$C$224,$C419,'TL07'!$J$10:$J$224),0),
IF('TL07'!$B$229=M$3,SUMIF('TL07'!$C$238:$C$451,$C419,'TL07'!$J$238:$J$451),0),
IF('TL08'!$B$3=M$3,SUMIF('TL08'!$C$10:$C$224,$C419,'TL08'!$J$10:$J$224),0),
IF('TL08'!$B$229=M$3,SUMIF('TL08'!$C$238:$C$451,$C419,'TL08'!$J$238:$J$451),0),
IF('TL09'!$B$3=M$3,SUMIF('TL09'!$C$10:$C$224,$C419,'TL09'!$J$10:$J$224),0),
IF('TL09'!$B$229=M$3,SUMIF('TL09'!$C$238:$C$451,$C419,'TL09'!$J$238:$J$451),0),
IF('TL10'!$B$3=M$3,SUMIF('TL10'!$C$10:$C$224,$C419,'TL10'!$J$10:$J$224),0),
IF('TL10'!$B$229=M$3,SUMIF('TL10'!$C$238:$C$451,$C419,'TL10'!$J$238:$J$451),0),
IF('TL11'!$B$3=M$3,SUMIF('TL11'!$C$10:$C$224,$C419,'TL11'!$J$10:$J$224),0),
IF('TL11'!$B$229=M$3,SUMIF('TL11'!$C$238:$C$451,$C419,'TL11'!$J$238:$J$451),0),
IF('TL12'!$B$3=M$3,SUMIF('TL12'!$C$10:$C$224,$C419,'TL12'!$J$10:$J$224),0),
IF('TL12'!$B$229=M$3,SUMIF('TL12'!$C$238:$C$451,$C419,'TL12'!$J$238:$J$451),0),
IF('TL13'!$B$3=M$3,SUMIF('TL13'!$C$10:$C$224,$C419,'TL13'!$J$10:$J$224),0),
IF('TL13'!$B$229=M$3,SUMIF('TL13'!$C$238:$C$451,$C419,'TL13'!$J$238:$J$451),0),
IF('TL14'!$B$3=M$3,SUMIF('TL14'!$C$10:$C$224,$C419,'TL14'!$J$10:$J$224),0),
IF('TL14'!$B$229=M$3,SUMIF('TL14'!$C$238:$C$451,$C419,'TL14'!$J$238:$J$451),0),
IF('TL15'!$B$3=M$3,SUMIF('TL15'!$C$10:$C$224,$C419,'TL15'!$J$10:$J$224),0),
IF('TL15'!$B$229=M$3,SUMIF('TL15'!$C$238:$C$451,$C419,'TL15'!$J$238:$J$451),0),
IF('TL16'!$B$3=M$3,SUMIF('TL16'!$C$10:$C$224,$C419,'TL16'!$J$10:$J$224),0),
IF('TL16'!$B$229=M$3,SUMIF('TL16'!$C$238:$C$451,$C419,'TL16'!$J$238:$J$451),0),
IF('TL17'!$B$3=M$3,SUMIF('TL17'!$C$10:$C$224,$C419,'TL17'!$J$10:$J$224),0),
IF('TL17'!$B$229=M$3,SUMIF('TL17'!$C$238:$C$451,$C419,'TL17'!$J$238:$J$451),0),
IF('TL18'!$B$3=M$3,SUMIF('TL18'!$C$10:$C$224,$C419,'TL18'!$J$10:$J$224),0),
IF('TL18'!$B$229=M$3,SUMIF('TL18'!$C$238:$C$451,$C419,'TL18'!$J$238:$J$451),0),
IF('TL19'!$B$3=M$3,SUMIF('TL19'!$C$10:$C$224,$C419,'TL19'!$J$10:$J$224),0),
IF('TL19'!$B$229=M$3,SUMIF('TL19'!$C$238:$C$451,$C419,'TL19'!$J$238:$J$451),0)
),0)</f>
        <v>0</v>
      </c>
      <c r="N419" s="138">
        <f>IFERROR(SUM(
IF('TL01'!$B$3=N$3,SUMIF('TL01'!$C$10:$C$224,$C419,'TL01'!$J$10:$J$224),0),
IF('TL01'!$B$229=N$3,SUMIF('TL01'!$C$238:$C$451,$C419,'TL01'!$J$238:$J$451),0),
IF('TL02'!$B$3=N$3,SUMIF('TL02'!$C$10:$C$224,$C419,'TL02'!$J$10:$J$224),0),
IF('TL02'!$B$229=N$3,SUMIF('TL02'!$C$238:$C$451,$C419,'TL02'!$J$238:$J$451),0),
IF('TL03'!$B$3=N$3,SUMIF('TL03'!$C$10:$C$224,$C419,'TL03'!$J$10:$J$224),0),
IF('TL03'!$B$229=N$3,SUMIF('TL03'!$C$238:$C$451,$C419,'TL03'!$J$238:$J$451),0),
IF('TL04'!$B$3=N$3,SUMIF('TL04'!$C$10:$C$224,$C419,'TL04'!$J$10:$J$224),0),
IF('TL04'!$B$229=N$3,SUMIF('TL04'!$C$238:$C$451,$C419,'TL04'!$J$238:$J$451),0),
IF('TL05'!$B$3=N$3,SUMIF('TL05'!$C$10:$C$224,$C419,'TL05'!$J$10:$J$224),0),
IF('TL05'!$B$229=N$3,SUMIF('TL05'!$C$238:$C$451,$C419,'TL05'!$J$238:$J$451),0),
IF('TL06'!$B$3=N$3,SUMIF('TL06'!$C$10:$C$224,$C419,'TL06'!$J$10:$J$224),0),
IF('TL06'!$B$229=N$3,SUMIF('TL06'!$C$238:$C$451,$C419,'TL06'!$J$238:$J$451),0),
IF('TL07'!$B$3=N$3,SUMIF('TL07'!$C$10:$C$224,$C419,'TL07'!$J$10:$J$224),0),
IF('TL07'!$B$229=N$3,SUMIF('TL07'!$C$238:$C$451,$C419,'TL07'!$J$238:$J$451),0),
IF('TL08'!$B$3=N$3,SUMIF('TL08'!$C$10:$C$224,$C419,'TL08'!$J$10:$J$224),0),
IF('TL08'!$B$229=N$3,SUMIF('TL08'!$C$238:$C$451,$C419,'TL08'!$J$238:$J$451),0),
IF('TL09'!$B$3=N$3,SUMIF('TL09'!$C$10:$C$224,$C419,'TL09'!$J$10:$J$224),0),
IF('TL09'!$B$229=N$3,SUMIF('TL09'!$C$238:$C$451,$C419,'TL09'!$J$238:$J$451),0),
IF('TL10'!$B$3=N$3,SUMIF('TL10'!$C$10:$C$224,$C419,'TL10'!$J$10:$J$224),0),
IF('TL10'!$B$229=N$3,SUMIF('TL10'!$C$238:$C$451,$C419,'TL10'!$J$238:$J$451),0),
IF('TL11'!$B$3=N$3,SUMIF('TL11'!$C$10:$C$224,$C419,'TL11'!$J$10:$J$224),0),
IF('TL11'!$B$229=N$3,SUMIF('TL11'!$C$238:$C$451,$C419,'TL11'!$J$238:$J$451),0),
IF('TL12'!$B$3=N$3,SUMIF('TL12'!$C$10:$C$224,$C419,'TL12'!$J$10:$J$224),0),
IF('TL12'!$B$229=N$3,SUMIF('TL12'!$C$238:$C$451,$C419,'TL12'!$J$238:$J$451),0),
IF('TL13'!$B$3=N$3,SUMIF('TL13'!$C$10:$C$224,$C419,'TL13'!$J$10:$J$224),0),
IF('TL13'!$B$229=N$3,SUMIF('TL13'!$C$238:$C$451,$C419,'TL13'!$J$238:$J$451),0),
IF('TL14'!$B$3=N$3,SUMIF('TL14'!$C$10:$C$224,$C419,'TL14'!$J$10:$J$224),0),
IF('TL14'!$B$229=N$3,SUMIF('TL14'!$C$238:$C$451,$C419,'TL14'!$J$238:$J$451),0),
IF('TL15'!$B$3=N$3,SUMIF('TL15'!$C$10:$C$224,$C419,'TL15'!$J$10:$J$224),0),
IF('TL15'!$B$229=N$3,SUMIF('TL15'!$C$238:$C$451,$C419,'TL15'!$J$238:$J$451),0),
IF('TL16'!$B$3=N$3,SUMIF('TL16'!$C$10:$C$224,$C419,'TL16'!$J$10:$J$224),0),
IF('TL16'!$B$229=N$3,SUMIF('TL16'!$C$238:$C$451,$C419,'TL16'!$J$238:$J$451),0),
IF('TL17'!$B$3=N$3,SUMIF('TL17'!$C$10:$C$224,$C419,'TL17'!$J$10:$J$224),0),
IF('TL17'!$B$229=N$3,SUMIF('TL17'!$C$238:$C$451,$C419,'TL17'!$J$238:$J$451),0),
IF('TL18'!$B$3=N$3,SUMIF('TL18'!$C$10:$C$224,$C419,'TL18'!$J$10:$J$224),0),
IF('TL18'!$B$229=N$3,SUMIF('TL18'!$C$238:$C$451,$C419,'TL18'!$J$238:$J$451),0),
IF('TL19'!$B$3=N$3,SUMIF('TL19'!$C$10:$C$224,$C419,'TL19'!$J$10:$J$224),0),
IF('TL19'!$B$229=N$3,SUMIF('TL19'!$C$238:$C$451,$C419,'TL19'!$J$238:$J$451),0)
),0)</f>
        <v>0</v>
      </c>
      <c r="O419" s="138">
        <f>IFERROR(SUM(
IF('TL01'!$B$3=O$3,SUMIF('TL01'!$C$10:$C$224,$C419,'TL01'!$J$10:$J$224),0),
IF('TL01'!$B$229=O$3,SUMIF('TL01'!$C$238:$C$451,$C419,'TL01'!$J$238:$J$451),0),
IF('TL02'!$B$3=O$3,SUMIF('TL02'!$C$10:$C$224,$C419,'TL02'!$J$10:$J$224),0),
IF('TL02'!$B$229=O$3,SUMIF('TL02'!$C$238:$C$451,$C419,'TL02'!$J$238:$J$451),0),
IF('TL03'!$B$3=O$3,SUMIF('TL03'!$C$10:$C$224,$C419,'TL03'!$J$10:$J$224),0),
IF('TL03'!$B$229=O$3,SUMIF('TL03'!$C$238:$C$451,$C419,'TL03'!$J$238:$J$451),0),
IF('TL04'!$B$3=O$3,SUMIF('TL04'!$C$10:$C$224,$C419,'TL04'!$J$10:$J$224),0),
IF('TL04'!$B$229=O$3,SUMIF('TL04'!$C$238:$C$451,$C419,'TL04'!$J$238:$J$451),0),
IF('TL05'!$B$3=O$3,SUMIF('TL05'!$C$10:$C$224,$C419,'TL05'!$J$10:$J$224),0),
IF('TL05'!$B$229=O$3,SUMIF('TL05'!$C$238:$C$451,$C419,'TL05'!$J$238:$J$451),0),
IF('TL06'!$B$3=O$3,SUMIF('TL06'!$C$10:$C$224,$C419,'TL06'!$J$10:$J$224),0),
IF('TL06'!$B$229=O$3,SUMIF('TL06'!$C$238:$C$451,$C419,'TL06'!$J$238:$J$451),0),
IF('TL07'!$B$3=O$3,SUMIF('TL07'!$C$10:$C$224,$C419,'TL07'!$J$10:$J$224),0),
IF('TL07'!$B$229=O$3,SUMIF('TL07'!$C$238:$C$451,$C419,'TL07'!$J$238:$J$451),0),
IF('TL08'!$B$3=O$3,SUMIF('TL08'!$C$10:$C$224,$C419,'TL08'!$J$10:$J$224),0),
IF('TL08'!$B$229=O$3,SUMIF('TL08'!$C$238:$C$451,$C419,'TL08'!$J$238:$J$451),0),
IF('TL09'!$B$3=O$3,SUMIF('TL09'!$C$10:$C$224,$C419,'TL09'!$J$10:$J$224),0),
IF('TL09'!$B$229=O$3,SUMIF('TL09'!$C$238:$C$451,$C419,'TL09'!$J$238:$J$451),0),
IF('TL10'!$B$3=O$3,SUMIF('TL10'!$C$10:$C$224,$C419,'TL10'!$J$10:$J$224),0),
IF('TL10'!$B$229=O$3,SUMIF('TL10'!$C$238:$C$451,$C419,'TL10'!$J$238:$J$451),0),
IF('TL11'!$B$3=O$3,SUMIF('TL11'!$C$10:$C$224,$C419,'TL11'!$J$10:$J$224),0),
IF('TL11'!$B$229=O$3,SUMIF('TL11'!$C$238:$C$451,$C419,'TL11'!$J$238:$J$451),0),
IF('TL12'!$B$3=O$3,SUMIF('TL12'!$C$10:$C$224,$C419,'TL12'!$J$10:$J$224),0),
IF('TL12'!$B$229=O$3,SUMIF('TL12'!$C$238:$C$451,$C419,'TL12'!$J$238:$J$451),0),
IF('TL13'!$B$3=O$3,SUMIF('TL13'!$C$10:$C$224,$C419,'TL13'!$J$10:$J$224),0),
IF('TL13'!$B$229=O$3,SUMIF('TL13'!$C$238:$C$451,$C419,'TL13'!$J$238:$J$451),0),
IF('TL14'!$B$3=O$3,SUMIF('TL14'!$C$10:$C$224,$C419,'TL14'!$J$10:$J$224),0),
IF('TL14'!$B$229=O$3,SUMIF('TL14'!$C$238:$C$451,$C419,'TL14'!$J$238:$J$451),0),
IF('TL15'!$B$3=O$3,SUMIF('TL15'!$C$10:$C$224,$C419,'TL15'!$J$10:$J$224),0),
IF('TL15'!$B$229=O$3,SUMIF('TL15'!$C$238:$C$451,$C419,'TL15'!$J$238:$J$451),0),
IF('TL16'!$B$3=O$3,SUMIF('TL16'!$C$10:$C$224,$C419,'TL16'!$J$10:$J$224),0),
IF('TL16'!$B$229=O$3,SUMIF('TL16'!$C$238:$C$451,$C419,'TL16'!$J$238:$J$451),0),
IF('TL17'!$B$3=O$3,SUMIF('TL17'!$C$10:$C$224,$C419,'TL17'!$J$10:$J$224),0),
IF('TL17'!$B$229=O$3,SUMIF('TL17'!$C$238:$C$451,$C419,'TL17'!$J$238:$J$451),0),
IF('TL18'!$B$3=O$3,SUMIF('TL18'!$C$10:$C$224,$C419,'TL18'!$J$10:$J$224),0),
IF('TL18'!$B$229=O$3,SUMIF('TL18'!$C$238:$C$451,$C419,'TL18'!$J$238:$J$451),0),
IF('TL19'!$B$3=O$3,SUMIF('TL19'!$C$10:$C$224,$C419,'TL19'!$J$10:$J$224),0),
IF('TL19'!$B$229=O$3,SUMIF('TL19'!$C$238:$C$451,$C419,'TL19'!$J$238:$J$451),0)
),0)</f>
        <v>0</v>
      </c>
      <c r="P419" s="138">
        <f>IFERROR(SUM(
IF('TL01'!$B$3=P$3,SUMIF('TL01'!$C$10:$C$224,$C419,'TL01'!$J$10:$J$224),0),
IF('TL01'!$B$229=P$3,SUMIF('TL01'!$C$238:$C$451,$C419,'TL01'!$J$238:$J$451),0),
IF('TL02'!$B$3=P$3,SUMIF('TL02'!$C$10:$C$224,$C419,'TL02'!$J$10:$J$224),0),
IF('TL02'!$B$229=P$3,SUMIF('TL02'!$C$238:$C$451,$C419,'TL02'!$J$238:$J$451),0),
IF('TL03'!$B$3=P$3,SUMIF('TL03'!$C$10:$C$224,$C419,'TL03'!$J$10:$J$224),0),
IF('TL03'!$B$229=P$3,SUMIF('TL03'!$C$238:$C$451,$C419,'TL03'!$J$238:$J$451),0),
IF('TL04'!$B$3=P$3,SUMIF('TL04'!$C$10:$C$224,$C419,'TL04'!$J$10:$J$224),0),
IF('TL04'!$B$229=P$3,SUMIF('TL04'!$C$238:$C$451,$C419,'TL04'!$J$238:$J$451),0),
IF('TL05'!$B$3=P$3,SUMIF('TL05'!$C$10:$C$224,$C419,'TL05'!$J$10:$J$224),0),
IF('TL05'!$B$229=P$3,SUMIF('TL05'!$C$238:$C$451,$C419,'TL05'!$J$238:$J$451),0),
IF('TL06'!$B$3=P$3,SUMIF('TL06'!$C$10:$C$224,$C419,'TL06'!$J$10:$J$224),0),
IF('TL06'!$B$229=P$3,SUMIF('TL06'!$C$238:$C$451,$C419,'TL06'!$J$238:$J$451),0),
IF('TL07'!$B$3=P$3,SUMIF('TL07'!$C$10:$C$224,$C419,'TL07'!$J$10:$J$224),0),
IF('TL07'!$B$229=P$3,SUMIF('TL07'!$C$238:$C$451,$C419,'TL07'!$J$238:$J$451),0),
IF('TL08'!$B$3=P$3,SUMIF('TL08'!$C$10:$C$224,$C419,'TL08'!$J$10:$J$224),0),
IF('TL08'!$B$229=P$3,SUMIF('TL08'!$C$238:$C$451,$C419,'TL08'!$J$238:$J$451),0),
IF('TL09'!$B$3=P$3,SUMIF('TL09'!$C$10:$C$224,$C419,'TL09'!$J$10:$J$224),0),
IF('TL09'!$B$229=P$3,SUMIF('TL09'!$C$238:$C$451,$C419,'TL09'!$J$238:$J$451),0),
IF('TL10'!$B$3=P$3,SUMIF('TL10'!$C$10:$C$224,$C419,'TL10'!$J$10:$J$224),0),
IF('TL10'!$B$229=P$3,SUMIF('TL10'!$C$238:$C$451,$C419,'TL10'!$J$238:$J$451),0),
IF('TL11'!$B$3=P$3,SUMIF('TL11'!$C$10:$C$224,$C419,'TL11'!$J$10:$J$224),0),
IF('TL11'!$B$229=P$3,SUMIF('TL11'!$C$238:$C$451,$C419,'TL11'!$J$238:$J$451),0),
IF('TL12'!$B$3=P$3,SUMIF('TL12'!$C$10:$C$224,$C419,'TL12'!$J$10:$J$224),0),
IF('TL12'!$B$229=P$3,SUMIF('TL12'!$C$238:$C$451,$C419,'TL12'!$J$238:$J$451),0),
IF('TL13'!$B$3=P$3,SUMIF('TL13'!$C$10:$C$224,$C419,'TL13'!$J$10:$J$224),0),
IF('TL13'!$B$229=P$3,SUMIF('TL13'!$C$238:$C$451,$C419,'TL13'!$J$238:$J$451),0),
IF('TL14'!$B$3=P$3,SUMIF('TL14'!$C$10:$C$224,$C419,'TL14'!$J$10:$J$224),0),
IF('TL14'!$B$229=P$3,SUMIF('TL14'!$C$238:$C$451,$C419,'TL14'!$J$238:$J$451),0),
IF('TL15'!$B$3=P$3,SUMIF('TL15'!$C$10:$C$224,$C419,'TL15'!$J$10:$J$224),0),
IF('TL15'!$B$229=P$3,SUMIF('TL15'!$C$238:$C$451,$C419,'TL15'!$J$238:$J$451),0),
IF('TL16'!$B$3=P$3,SUMIF('TL16'!$C$10:$C$224,$C419,'TL16'!$J$10:$J$224),0),
IF('TL16'!$B$229=P$3,SUMIF('TL16'!$C$238:$C$451,$C419,'TL16'!$J$238:$J$451),0),
IF('TL17'!$B$3=P$3,SUMIF('TL17'!$C$10:$C$224,$C419,'TL17'!$J$10:$J$224),0),
IF('TL17'!$B$229=P$3,SUMIF('TL17'!$C$238:$C$451,$C419,'TL17'!$J$238:$J$451),0),
IF('TL18'!$B$3=P$3,SUMIF('TL18'!$C$10:$C$224,$C419,'TL18'!$J$10:$J$224),0),
IF('TL18'!$B$229=P$3,SUMIF('TL18'!$C$238:$C$451,$C419,'TL18'!$J$238:$J$451),0),
IF('TL19'!$B$3=P$3,SUMIF('TL19'!$C$10:$C$224,$C419,'TL19'!$J$10:$J$224),0),
IF('TL19'!$B$229=P$3,SUMIF('TL19'!$C$238:$C$451,$C419,'TL19'!$J$238:$J$451),0)
),0)</f>
        <v>0</v>
      </c>
      <c r="Q419" s="138">
        <f>IFERROR(SUM(
IF('TL01'!$B$3=Q$3,SUMIF('TL01'!$C$10:$C$224,$C419,'TL01'!$J$10:$J$224),0),
IF('TL01'!$B$229=Q$3,SUMIF('TL01'!$C$238:$C$451,$C419,'TL01'!$J$238:$J$451),0),
IF('TL02'!$B$3=Q$3,SUMIF('TL02'!$C$10:$C$224,$C419,'TL02'!$J$10:$J$224),0),
IF('TL02'!$B$229=Q$3,SUMIF('TL02'!$C$238:$C$451,$C419,'TL02'!$J$238:$J$451),0),
IF('TL03'!$B$3=Q$3,SUMIF('TL03'!$C$10:$C$224,$C419,'TL03'!$J$10:$J$224),0),
IF('TL03'!$B$229=Q$3,SUMIF('TL03'!$C$238:$C$451,$C419,'TL03'!$J$238:$J$451),0),
IF('TL04'!$B$3=Q$3,SUMIF('TL04'!$C$10:$C$224,$C419,'TL04'!$J$10:$J$224),0),
IF('TL04'!$B$229=Q$3,SUMIF('TL04'!$C$238:$C$451,$C419,'TL04'!$J$238:$J$451),0),
IF('TL05'!$B$3=Q$3,SUMIF('TL05'!$C$10:$C$224,$C419,'TL05'!$J$10:$J$224),0),
IF('TL05'!$B$229=Q$3,SUMIF('TL05'!$C$238:$C$451,$C419,'TL05'!$J$238:$J$451),0),
IF('TL06'!$B$3=Q$3,SUMIF('TL06'!$C$10:$C$224,$C419,'TL06'!$J$10:$J$224),0),
IF('TL06'!$B$229=Q$3,SUMIF('TL06'!$C$238:$C$451,$C419,'TL06'!$J$238:$J$451),0),
IF('TL07'!$B$3=Q$3,SUMIF('TL07'!$C$10:$C$224,$C419,'TL07'!$J$10:$J$224),0),
IF('TL07'!$B$229=Q$3,SUMIF('TL07'!$C$238:$C$451,$C419,'TL07'!$J$238:$J$451),0),
IF('TL08'!$B$3=Q$3,SUMIF('TL08'!$C$10:$C$224,$C419,'TL08'!$J$10:$J$224),0),
IF('TL08'!$B$229=Q$3,SUMIF('TL08'!$C$238:$C$451,$C419,'TL08'!$J$238:$J$451),0),
IF('TL09'!$B$3=Q$3,SUMIF('TL09'!$C$10:$C$224,$C419,'TL09'!$J$10:$J$224),0),
IF('TL09'!$B$229=Q$3,SUMIF('TL09'!$C$238:$C$451,$C419,'TL09'!$J$238:$J$451),0),
IF('TL10'!$B$3=Q$3,SUMIF('TL10'!$C$10:$C$224,$C419,'TL10'!$J$10:$J$224),0),
IF('TL10'!$B$229=Q$3,SUMIF('TL10'!$C$238:$C$451,$C419,'TL10'!$J$238:$J$451),0),
IF('TL11'!$B$3=Q$3,SUMIF('TL11'!$C$10:$C$224,$C419,'TL11'!$J$10:$J$224),0),
IF('TL11'!$B$229=Q$3,SUMIF('TL11'!$C$238:$C$451,$C419,'TL11'!$J$238:$J$451),0),
IF('TL12'!$B$3=Q$3,SUMIF('TL12'!$C$10:$C$224,$C419,'TL12'!$J$10:$J$224),0),
IF('TL12'!$B$229=Q$3,SUMIF('TL12'!$C$238:$C$451,$C419,'TL12'!$J$238:$J$451),0),
IF('TL13'!$B$3=Q$3,SUMIF('TL13'!$C$10:$C$224,$C419,'TL13'!$J$10:$J$224),0),
IF('TL13'!$B$229=Q$3,SUMIF('TL13'!$C$238:$C$451,$C419,'TL13'!$J$238:$J$451),0),
IF('TL14'!$B$3=Q$3,SUMIF('TL14'!$C$10:$C$224,$C419,'TL14'!$J$10:$J$224),0),
IF('TL14'!$B$229=Q$3,SUMIF('TL14'!$C$238:$C$451,$C419,'TL14'!$J$238:$J$451),0),
IF('TL15'!$B$3=Q$3,SUMIF('TL15'!$C$10:$C$224,$C419,'TL15'!$J$10:$J$224),0),
IF('TL15'!$B$229=Q$3,SUMIF('TL15'!$C$238:$C$451,$C419,'TL15'!$J$238:$J$451),0),
IF('TL16'!$B$3=Q$3,SUMIF('TL16'!$C$10:$C$224,$C419,'TL16'!$J$10:$J$224),0),
IF('TL16'!$B$229=Q$3,SUMIF('TL16'!$C$238:$C$451,$C419,'TL16'!$J$238:$J$451),0),
IF('TL17'!$B$3=Q$3,SUMIF('TL17'!$C$10:$C$224,$C419,'TL17'!$J$10:$J$224),0),
IF('TL17'!$B$229=Q$3,SUMIF('TL17'!$C$238:$C$451,$C419,'TL17'!$J$238:$J$451),0),
IF('TL18'!$B$3=Q$3,SUMIF('TL18'!$C$10:$C$224,$C419,'TL18'!$J$10:$J$224),0),
IF('TL18'!$B$229=Q$3,SUMIF('TL18'!$C$238:$C$451,$C419,'TL18'!$J$238:$J$451),0),
IF('TL19'!$B$3=Q$3,SUMIF('TL19'!$C$10:$C$224,$C419,'TL19'!$J$10:$J$224),0),
IF('TL19'!$B$229=Q$3,SUMIF('TL19'!$C$238:$C$451,$C419,'TL19'!$J$238:$J$451),0)
),0)</f>
        <v>0</v>
      </c>
      <c r="R419" s="139">
        <f>IFERROR(
SUM(
SUMIF('TL01'!C:C,C419,'TL01'!J:J),
SUMIF('TL02'!C:C,C419,'TL02'!I:I),
SUMIF('TL03'!C:C,C419,'TL03'!I:I),
SUMIF('TL04'!C:C,C419,'TL04'!I:I),
SUMIF('TL05'!C:C,C419,'TL05'!I:I),
SUMIF('TL06'!C:C,C419,'TL06'!I:I),
SUMIF('TL07'!C:C,C419,'TL07'!I:I),
SUMIF('TL08'!C:C,C419,'TL08'!I:I),
SUMIF('TL09'!C:C,C419,'TL09'!I:I),
SUMIF('TL10'!C:C,C419,'TL10'!I:I),
SUMIF('TL11'!C:C,C419,'TL11'!I:I),
SUMIF('TL12'!C:C,C419,'TL12'!I:I),
SUMIF('TL13'!C:C,C419,'TL13'!I:I),
SUMIF('TL14'!C:C,C419,'TL14'!I:I),
SUMIF('TL15'!C:C,C419,'TL15'!I:I),
SUMIF('TL16'!C:C,C419,'TL16'!I:I),
SUMIF('TL17'!C:C,C419,'TL17'!I:I),
SUMIF('TL18'!C:C,C419,'TL18'!I:I))
,0)</f>
        <v>0</v>
      </c>
      <c r="S419" s="142" t="str">
        <f>'CUSTO OPERAÇÃO'!M23</f>
        <v/>
      </c>
      <c r="T419" s="139"/>
      <c r="U419" s="143">
        <f t="shared" si="2"/>
        <v>0</v>
      </c>
      <c r="V419" s="144">
        <f t="shared" si="3"/>
        <v>0</v>
      </c>
    </row>
    <row r="420" ht="15.75" hidden="1" customHeight="1">
      <c r="A420" s="138"/>
      <c r="B420" s="155"/>
      <c r="C420" s="138"/>
      <c r="D420" s="138"/>
      <c r="E420" s="139"/>
      <c r="F420" s="138" t="s">
        <v>1133</v>
      </c>
      <c r="G420" s="139"/>
      <c r="H420" s="140" t="str">
        <f>'CUSTO OPERAÇÃO'!J24</f>
        <v>#N/A</v>
      </c>
      <c r="I420" s="156"/>
      <c r="J420" s="138">
        <f>IFERROR(SUM(
IF('TL01'!$B$3=J$3,SUMIF('TL01'!$C$10:$C$224,$C420,'TL01'!$J$10:$J$224),0),
IF('TL01'!$B$229=J$3,SUMIF('TL01'!$C$238:$C$451,$C420,'TL01'!$J$238:$J$451),0),
IF('TL02'!$B$3=J$3,SUMIF('TL02'!$C$10:$C$224,$C420,'TL02'!$J$10:$J$224),0),
IF('TL02'!$B$229=J$3,SUMIF('TL02'!$C$238:$C$451,$C420,'TL02'!$J$238:$J$451),0),
IF('TL03'!$B$3=J$3,SUMIF('TL03'!$C$10:$C$224,$C420,'TL03'!$J$10:$J$224),0),
IF('TL03'!$B$229=J$3,SUMIF('TL03'!$C$238:$C$451,$C420,'TL03'!$J$238:$J$451),0),
IF('TL04'!$B$3=J$3,SUMIF('TL04'!$C$10:$C$224,$C420,'TL04'!$J$10:$J$224),0),
IF('TL04'!$B$229=J$3,SUMIF('TL04'!$C$238:$C$451,$C420,'TL04'!$J$238:$J$451),0),
IF('TL05'!$B$3=J$3,SUMIF('TL05'!$C$10:$C$224,$C420,'TL05'!$J$10:$J$224),0),
IF('TL05'!$B$229=J$3,SUMIF('TL05'!$C$238:$C$451,$C420,'TL05'!$J$238:$J$451),0),
IF('TL06'!$B$3=J$3,SUMIF('TL06'!$C$10:$C$224,$C420,'TL06'!$J$10:$J$224),0),
IF('TL06'!$B$229=J$3,SUMIF('TL06'!$C$238:$C$451,$C420,'TL06'!$J$238:$J$451),0),
IF('TL07'!$B$3=J$3,SUMIF('TL07'!$C$10:$C$224,$C420,'TL07'!$J$10:$J$224),0),
IF('TL07'!$B$229=J$3,SUMIF('TL07'!$C$238:$C$451,$C420,'TL07'!$J$238:$J$451),0),
IF('TL08'!$B$3=J$3,SUMIF('TL08'!$C$10:$C$224,$C420,'TL08'!$J$10:$J$224),0),
IF('TL08'!$B$229=J$3,SUMIF('TL08'!$C$238:$C$451,$C420,'TL08'!$J$238:$J$451),0),
IF('TL09'!$B$3=J$3,SUMIF('TL09'!$C$10:$C$224,$C420,'TL09'!$J$10:$J$224),0),
IF('TL09'!$B$229=J$3,SUMIF('TL09'!$C$238:$C$451,$C420,'TL09'!$J$238:$J$451),0),
IF('TL10'!$B$3=J$3,SUMIF('TL10'!$C$10:$C$224,$C420,'TL10'!$J$10:$J$224),0),
IF('TL10'!$B$229=J$3,SUMIF('TL10'!$C$238:$C$451,$C420,'TL10'!$J$238:$J$451),0),
IF('TL11'!$B$3=J$3,SUMIF('TL11'!$C$10:$C$224,$C420,'TL11'!$J$10:$J$224),0),
IF('TL11'!$B$229=J$3,SUMIF('TL11'!$C$238:$C$451,$C420,'TL11'!$J$238:$J$451),0),
IF('TL12'!$B$3=J$3,SUMIF('TL12'!$C$10:$C$224,$C420,'TL12'!$J$10:$J$224),0),
IF('TL12'!$B$229=J$3,SUMIF('TL12'!$C$238:$C$451,$C420,'TL12'!$J$238:$J$451),0),
IF('TL13'!$B$3=J$3,SUMIF('TL13'!$C$10:$C$224,$C420,'TL13'!$J$10:$J$224),0),
IF('TL13'!$B$229=J$3,SUMIF('TL13'!$C$238:$C$451,$C420,'TL13'!$J$238:$J$451),0),
IF('TL14'!$B$3=J$3,SUMIF('TL14'!$C$10:$C$224,$C420,'TL14'!$J$10:$J$224),0),
IF('TL14'!$B$229=J$3,SUMIF('TL14'!$C$238:$C$451,$C420,'TL14'!$J$238:$J$451),0),
IF('TL15'!$B$3=J$3,SUMIF('TL15'!$C$10:$C$224,$C420,'TL15'!$J$10:$J$224),0),
IF('TL15'!$B$229=J$3,SUMIF('TL15'!$C$238:$C$451,$C420,'TL15'!$J$238:$J$451),0),
IF('TL16'!$B$3=J$3,SUMIF('TL16'!$C$10:$C$224,$C420,'TL16'!$J$10:$J$224),0),
IF('TL16'!$B$229=J$3,SUMIF('TL16'!$C$238:$C$451,$C420,'TL16'!$J$238:$J$451),0),
IF('TL17'!$B$3=J$3,SUMIF('TL17'!$C$10:$C$224,$C420,'TL17'!$J$10:$J$224),0),
IF('TL17'!$B$229=J$3,SUMIF('TL17'!$C$238:$C$451,$C420,'TL17'!$J$238:$J$451),0),
IF('TL18'!$B$3=J$3,SUMIF('TL18'!$C$10:$C$224,$C420,'TL18'!$J$10:$J$224),0),
IF('TL18'!$B$229=J$3,SUMIF('TL18'!$C$238:$C$451,$C420,'TL18'!$J$238:$J$451),0),
IF('TL19'!$B$3=J$3,SUMIF('TL19'!$C$10:$C$224,$C420,'TL19'!$J$10:$J$224),0),
IF('TL19'!$B$229=J$3,SUMIF('TL19'!$C$238:$C$451,$C420,'TL19'!$J$238:$J$451),0)
),0)</f>
        <v>0</v>
      </c>
      <c r="K420" s="138">
        <f>IFERROR(SUM(
IF('TL01'!$B$3=K$3,SUMIF('TL01'!$C$10:$C$224,$C420,'TL01'!$J$10:$J$224),0),
IF('TL01'!$B$229=K$3,SUMIF('TL01'!$C$238:$C$451,$C420,'TL01'!$J$238:$J$451),0),
IF('TL02'!$B$3=K$3,SUMIF('TL02'!$C$10:$C$224,$C420,'TL02'!$J$10:$J$224),0),
IF('TL02'!$B$229=K$3,SUMIF('TL02'!$C$238:$C$451,$C420,'TL02'!$J$238:$J$451),0),
IF('TL03'!$B$3=K$3,SUMIF('TL03'!$C$10:$C$224,$C420,'TL03'!$J$10:$J$224),0),
IF('TL03'!$B$229=K$3,SUMIF('TL03'!$C$238:$C$451,$C420,'TL03'!$J$238:$J$451),0),
IF('TL04'!$B$3=K$3,SUMIF('TL04'!$C$10:$C$224,$C420,'TL04'!$J$10:$J$224),0),
IF('TL04'!$B$229=K$3,SUMIF('TL04'!$C$238:$C$451,$C420,'TL04'!$J$238:$J$451),0),
IF('TL05'!$B$3=K$3,SUMIF('TL05'!$C$10:$C$224,$C420,'TL05'!$J$10:$J$224),0),
IF('TL05'!$B$229=K$3,SUMIF('TL05'!$C$238:$C$451,$C420,'TL05'!$J$238:$J$451),0),
IF('TL06'!$B$3=K$3,SUMIF('TL06'!$C$10:$C$224,$C420,'TL06'!$J$10:$J$224),0),
IF('TL06'!$B$229=K$3,SUMIF('TL06'!$C$238:$C$451,$C420,'TL06'!$J$238:$J$451),0),
IF('TL07'!$B$3=K$3,SUMIF('TL07'!$C$10:$C$224,$C420,'TL07'!$J$10:$J$224),0),
IF('TL07'!$B$229=K$3,SUMIF('TL07'!$C$238:$C$451,$C420,'TL07'!$J$238:$J$451),0),
IF('TL08'!$B$3=K$3,SUMIF('TL08'!$C$10:$C$224,$C420,'TL08'!$J$10:$J$224),0),
IF('TL08'!$B$229=K$3,SUMIF('TL08'!$C$238:$C$451,$C420,'TL08'!$J$238:$J$451),0),
IF('TL09'!$B$3=K$3,SUMIF('TL09'!$C$10:$C$224,$C420,'TL09'!$J$10:$J$224),0),
IF('TL09'!$B$229=K$3,SUMIF('TL09'!$C$238:$C$451,$C420,'TL09'!$J$238:$J$451),0),
IF('TL10'!$B$3=K$3,SUMIF('TL10'!$C$10:$C$224,$C420,'TL10'!$J$10:$J$224),0),
IF('TL10'!$B$229=K$3,SUMIF('TL10'!$C$238:$C$451,$C420,'TL10'!$J$238:$J$451),0),
IF('TL11'!$B$3=K$3,SUMIF('TL11'!$C$10:$C$224,$C420,'TL11'!$J$10:$J$224),0),
IF('TL11'!$B$229=K$3,SUMIF('TL11'!$C$238:$C$451,$C420,'TL11'!$J$238:$J$451),0),
IF('TL12'!$B$3=K$3,SUMIF('TL12'!$C$10:$C$224,$C420,'TL12'!$J$10:$J$224),0),
IF('TL12'!$B$229=K$3,SUMIF('TL12'!$C$238:$C$451,$C420,'TL12'!$J$238:$J$451),0),
IF('TL13'!$B$3=K$3,SUMIF('TL13'!$C$10:$C$224,$C420,'TL13'!$J$10:$J$224),0),
IF('TL13'!$B$229=K$3,SUMIF('TL13'!$C$238:$C$451,$C420,'TL13'!$J$238:$J$451),0),
IF('TL14'!$B$3=K$3,SUMIF('TL14'!$C$10:$C$224,$C420,'TL14'!$J$10:$J$224),0),
IF('TL14'!$B$229=K$3,SUMIF('TL14'!$C$238:$C$451,$C420,'TL14'!$J$238:$J$451),0),
IF('TL15'!$B$3=K$3,SUMIF('TL15'!$C$10:$C$224,$C420,'TL15'!$J$10:$J$224),0),
IF('TL15'!$B$229=K$3,SUMIF('TL15'!$C$238:$C$451,$C420,'TL15'!$J$238:$J$451),0),
IF('TL16'!$B$3=K$3,SUMIF('TL16'!$C$10:$C$224,$C420,'TL16'!$J$10:$J$224),0),
IF('TL16'!$B$229=K$3,SUMIF('TL16'!$C$238:$C$451,$C420,'TL16'!$J$238:$J$451),0),
IF('TL17'!$B$3=K$3,SUMIF('TL17'!$C$10:$C$224,$C420,'TL17'!$J$10:$J$224),0),
IF('TL17'!$B$229=K$3,SUMIF('TL17'!$C$238:$C$451,$C420,'TL17'!$J$238:$J$451),0),
IF('TL18'!$B$3=K$3,SUMIF('TL18'!$C$10:$C$224,$C420,'TL18'!$J$10:$J$224),0),
IF('TL18'!$B$229=K$3,SUMIF('TL18'!$C$238:$C$451,$C420,'TL18'!$J$238:$J$451),0),
IF('TL19'!$B$3=K$3,SUMIF('TL19'!$C$10:$C$224,$C420,'TL19'!$J$10:$J$224),0),
IF('TL19'!$B$229=K$3,SUMIF('TL19'!$C$238:$C$451,$C420,'TL19'!$J$238:$J$451),0)
),0)</f>
        <v>0</v>
      </c>
      <c r="L420" s="138">
        <f>IFERROR(SUM(
IF('TL01'!$B$3=L$3,SUMIF('TL01'!$C$10:$C$224,$C420,'TL01'!$J$10:$J$224),0),
IF('TL01'!$B$229=L$3,SUMIF('TL01'!$C$238:$C$451,$C420,'TL01'!$J$238:$J$451),0),
IF('TL02'!$B$3=L$3,SUMIF('TL02'!$C$10:$C$224,$C420,'TL02'!$J$10:$J$224),0),
IF('TL02'!$B$229=L$3,SUMIF('TL02'!$C$238:$C$451,$C420,'TL02'!$J$238:$J$451),0),
IF('TL03'!$B$3=L$3,SUMIF('TL03'!$C$10:$C$224,$C420,'TL03'!$J$10:$J$224),0),
IF('TL03'!$B$229=L$3,SUMIF('TL03'!$C$238:$C$451,$C420,'TL03'!$J$238:$J$451),0),
IF('TL04'!$B$3=L$3,SUMIF('TL04'!$C$10:$C$224,$C420,'TL04'!$J$10:$J$224),0),
IF('TL04'!$B$229=L$3,SUMIF('TL04'!$C$238:$C$451,$C420,'TL04'!$J$238:$J$451),0),
IF('TL05'!$B$3=L$3,SUMIF('TL05'!$C$10:$C$224,$C420,'TL05'!$J$10:$J$224),0),
IF('TL05'!$B$229=L$3,SUMIF('TL05'!$C$238:$C$451,$C420,'TL05'!$J$238:$J$451),0),
IF('TL06'!$B$3=L$3,SUMIF('TL06'!$C$10:$C$224,$C420,'TL06'!$J$10:$J$224),0),
IF('TL06'!$B$229=L$3,SUMIF('TL06'!$C$238:$C$451,$C420,'TL06'!$J$238:$J$451),0),
IF('TL07'!$B$3=L$3,SUMIF('TL07'!$C$10:$C$224,$C420,'TL07'!$J$10:$J$224),0),
IF('TL07'!$B$229=L$3,SUMIF('TL07'!$C$238:$C$451,$C420,'TL07'!$J$238:$J$451),0),
IF('TL08'!$B$3=L$3,SUMIF('TL08'!$C$10:$C$224,$C420,'TL08'!$J$10:$J$224),0),
IF('TL08'!$B$229=L$3,SUMIF('TL08'!$C$238:$C$451,$C420,'TL08'!$J$238:$J$451),0),
IF('TL09'!$B$3=L$3,SUMIF('TL09'!$C$10:$C$224,$C420,'TL09'!$J$10:$J$224),0),
IF('TL09'!$B$229=L$3,SUMIF('TL09'!$C$238:$C$451,$C420,'TL09'!$J$238:$J$451),0),
IF('TL10'!$B$3=L$3,SUMIF('TL10'!$C$10:$C$224,$C420,'TL10'!$J$10:$J$224),0),
IF('TL10'!$B$229=L$3,SUMIF('TL10'!$C$238:$C$451,$C420,'TL10'!$J$238:$J$451),0),
IF('TL11'!$B$3=L$3,SUMIF('TL11'!$C$10:$C$224,$C420,'TL11'!$J$10:$J$224),0),
IF('TL11'!$B$229=L$3,SUMIF('TL11'!$C$238:$C$451,$C420,'TL11'!$J$238:$J$451),0),
IF('TL12'!$B$3=L$3,SUMIF('TL12'!$C$10:$C$224,$C420,'TL12'!$J$10:$J$224),0),
IF('TL12'!$B$229=L$3,SUMIF('TL12'!$C$238:$C$451,$C420,'TL12'!$J$238:$J$451),0),
IF('TL13'!$B$3=L$3,SUMIF('TL13'!$C$10:$C$224,$C420,'TL13'!$J$10:$J$224),0),
IF('TL13'!$B$229=L$3,SUMIF('TL13'!$C$238:$C$451,$C420,'TL13'!$J$238:$J$451),0),
IF('TL14'!$B$3=L$3,SUMIF('TL14'!$C$10:$C$224,$C420,'TL14'!$J$10:$J$224),0),
IF('TL14'!$B$229=L$3,SUMIF('TL14'!$C$238:$C$451,$C420,'TL14'!$J$238:$J$451),0),
IF('TL15'!$B$3=L$3,SUMIF('TL15'!$C$10:$C$224,$C420,'TL15'!$J$10:$J$224),0),
IF('TL15'!$B$229=L$3,SUMIF('TL15'!$C$238:$C$451,$C420,'TL15'!$J$238:$J$451),0),
IF('TL16'!$B$3=L$3,SUMIF('TL16'!$C$10:$C$224,$C420,'TL16'!$J$10:$J$224),0),
IF('TL16'!$B$229=L$3,SUMIF('TL16'!$C$238:$C$451,$C420,'TL16'!$J$238:$J$451),0),
IF('TL17'!$B$3=L$3,SUMIF('TL17'!$C$10:$C$224,$C420,'TL17'!$J$10:$J$224),0),
IF('TL17'!$B$229=L$3,SUMIF('TL17'!$C$238:$C$451,$C420,'TL17'!$J$238:$J$451),0),
IF('TL18'!$B$3=L$3,SUMIF('TL18'!$C$10:$C$224,$C420,'TL18'!$J$10:$J$224),0),
IF('TL18'!$B$229=L$3,SUMIF('TL18'!$C$238:$C$451,$C420,'TL18'!$J$238:$J$451),0),
IF('TL19'!$B$3=L$3,SUMIF('TL19'!$C$10:$C$224,$C420,'TL19'!$J$10:$J$224),0),
IF('TL19'!$B$229=L$3,SUMIF('TL19'!$C$238:$C$451,$C420,'TL19'!$J$238:$J$451),0)
),0)</f>
        <v>0</v>
      </c>
      <c r="M420" s="138">
        <f>IFERROR(SUM(
IF('TL01'!$B$3=M$3,SUMIF('TL01'!$C$10:$C$224,$C420,'TL01'!$J$10:$J$224),0),
IF('TL01'!$B$229=M$3,SUMIF('TL01'!$C$238:$C$451,$C420,'TL01'!$J$238:$J$451),0),
IF('TL02'!$B$3=M$3,SUMIF('TL02'!$C$10:$C$224,$C420,'TL02'!$J$10:$J$224),0),
IF('TL02'!$B$229=M$3,SUMIF('TL02'!$C$238:$C$451,$C420,'TL02'!$J$238:$J$451),0),
IF('TL03'!$B$3=M$3,SUMIF('TL03'!$C$10:$C$224,$C420,'TL03'!$J$10:$J$224),0),
IF('TL03'!$B$229=M$3,SUMIF('TL03'!$C$238:$C$451,$C420,'TL03'!$J$238:$J$451),0),
IF('TL04'!$B$3=M$3,SUMIF('TL04'!$C$10:$C$224,$C420,'TL04'!$J$10:$J$224),0),
IF('TL04'!$B$229=M$3,SUMIF('TL04'!$C$238:$C$451,$C420,'TL04'!$J$238:$J$451),0),
IF('TL05'!$B$3=M$3,SUMIF('TL05'!$C$10:$C$224,$C420,'TL05'!$J$10:$J$224),0),
IF('TL05'!$B$229=M$3,SUMIF('TL05'!$C$238:$C$451,$C420,'TL05'!$J$238:$J$451),0),
IF('TL06'!$B$3=M$3,SUMIF('TL06'!$C$10:$C$224,$C420,'TL06'!$J$10:$J$224),0),
IF('TL06'!$B$229=M$3,SUMIF('TL06'!$C$238:$C$451,$C420,'TL06'!$J$238:$J$451),0),
IF('TL07'!$B$3=M$3,SUMIF('TL07'!$C$10:$C$224,$C420,'TL07'!$J$10:$J$224),0),
IF('TL07'!$B$229=M$3,SUMIF('TL07'!$C$238:$C$451,$C420,'TL07'!$J$238:$J$451),0),
IF('TL08'!$B$3=M$3,SUMIF('TL08'!$C$10:$C$224,$C420,'TL08'!$J$10:$J$224),0),
IF('TL08'!$B$229=M$3,SUMIF('TL08'!$C$238:$C$451,$C420,'TL08'!$J$238:$J$451),0),
IF('TL09'!$B$3=M$3,SUMIF('TL09'!$C$10:$C$224,$C420,'TL09'!$J$10:$J$224),0),
IF('TL09'!$B$229=M$3,SUMIF('TL09'!$C$238:$C$451,$C420,'TL09'!$J$238:$J$451),0),
IF('TL10'!$B$3=M$3,SUMIF('TL10'!$C$10:$C$224,$C420,'TL10'!$J$10:$J$224),0),
IF('TL10'!$B$229=M$3,SUMIF('TL10'!$C$238:$C$451,$C420,'TL10'!$J$238:$J$451),0),
IF('TL11'!$B$3=M$3,SUMIF('TL11'!$C$10:$C$224,$C420,'TL11'!$J$10:$J$224),0),
IF('TL11'!$B$229=M$3,SUMIF('TL11'!$C$238:$C$451,$C420,'TL11'!$J$238:$J$451),0),
IF('TL12'!$B$3=M$3,SUMIF('TL12'!$C$10:$C$224,$C420,'TL12'!$J$10:$J$224),0),
IF('TL12'!$B$229=M$3,SUMIF('TL12'!$C$238:$C$451,$C420,'TL12'!$J$238:$J$451),0),
IF('TL13'!$B$3=M$3,SUMIF('TL13'!$C$10:$C$224,$C420,'TL13'!$J$10:$J$224),0),
IF('TL13'!$B$229=M$3,SUMIF('TL13'!$C$238:$C$451,$C420,'TL13'!$J$238:$J$451),0),
IF('TL14'!$B$3=M$3,SUMIF('TL14'!$C$10:$C$224,$C420,'TL14'!$J$10:$J$224),0),
IF('TL14'!$B$229=M$3,SUMIF('TL14'!$C$238:$C$451,$C420,'TL14'!$J$238:$J$451),0),
IF('TL15'!$B$3=M$3,SUMIF('TL15'!$C$10:$C$224,$C420,'TL15'!$J$10:$J$224),0),
IF('TL15'!$B$229=M$3,SUMIF('TL15'!$C$238:$C$451,$C420,'TL15'!$J$238:$J$451),0),
IF('TL16'!$B$3=M$3,SUMIF('TL16'!$C$10:$C$224,$C420,'TL16'!$J$10:$J$224),0),
IF('TL16'!$B$229=M$3,SUMIF('TL16'!$C$238:$C$451,$C420,'TL16'!$J$238:$J$451),0),
IF('TL17'!$B$3=M$3,SUMIF('TL17'!$C$10:$C$224,$C420,'TL17'!$J$10:$J$224),0),
IF('TL17'!$B$229=M$3,SUMIF('TL17'!$C$238:$C$451,$C420,'TL17'!$J$238:$J$451),0),
IF('TL18'!$B$3=M$3,SUMIF('TL18'!$C$10:$C$224,$C420,'TL18'!$J$10:$J$224),0),
IF('TL18'!$B$229=M$3,SUMIF('TL18'!$C$238:$C$451,$C420,'TL18'!$J$238:$J$451),0),
IF('TL19'!$B$3=M$3,SUMIF('TL19'!$C$10:$C$224,$C420,'TL19'!$J$10:$J$224),0),
IF('TL19'!$B$229=M$3,SUMIF('TL19'!$C$238:$C$451,$C420,'TL19'!$J$238:$J$451),0)
),0)</f>
        <v>0</v>
      </c>
      <c r="N420" s="138">
        <f>IFERROR(SUM(
IF('TL01'!$B$3=N$3,SUMIF('TL01'!$C$10:$C$224,$C420,'TL01'!$J$10:$J$224),0),
IF('TL01'!$B$229=N$3,SUMIF('TL01'!$C$238:$C$451,$C420,'TL01'!$J$238:$J$451),0),
IF('TL02'!$B$3=N$3,SUMIF('TL02'!$C$10:$C$224,$C420,'TL02'!$J$10:$J$224),0),
IF('TL02'!$B$229=N$3,SUMIF('TL02'!$C$238:$C$451,$C420,'TL02'!$J$238:$J$451),0),
IF('TL03'!$B$3=N$3,SUMIF('TL03'!$C$10:$C$224,$C420,'TL03'!$J$10:$J$224),0),
IF('TL03'!$B$229=N$3,SUMIF('TL03'!$C$238:$C$451,$C420,'TL03'!$J$238:$J$451),0),
IF('TL04'!$B$3=N$3,SUMIF('TL04'!$C$10:$C$224,$C420,'TL04'!$J$10:$J$224),0),
IF('TL04'!$B$229=N$3,SUMIF('TL04'!$C$238:$C$451,$C420,'TL04'!$J$238:$J$451),0),
IF('TL05'!$B$3=N$3,SUMIF('TL05'!$C$10:$C$224,$C420,'TL05'!$J$10:$J$224),0),
IF('TL05'!$B$229=N$3,SUMIF('TL05'!$C$238:$C$451,$C420,'TL05'!$J$238:$J$451),0),
IF('TL06'!$B$3=N$3,SUMIF('TL06'!$C$10:$C$224,$C420,'TL06'!$J$10:$J$224),0),
IF('TL06'!$B$229=N$3,SUMIF('TL06'!$C$238:$C$451,$C420,'TL06'!$J$238:$J$451),0),
IF('TL07'!$B$3=N$3,SUMIF('TL07'!$C$10:$C$224,$C420,'TL07'!$J$10:$J$224),0),
IF('TL07'!$B$229=N$3,SUMIF('TL07'!$C$238:$C$451,$C420,'TL07'!$J$238:$J$451),0),
IF('TL08'!$B$3=N$3,SUMIF('TL08'!$C$10:$C$224,$C420,'TL08'!$J$10:$J$224),0),
IF('TL08'!$B$229=N$3,SUMIF('TL08'!$C$238:$C$451,$C420,'TL08'!$J$238:$J$451),0),
IF('TL09'!$B$3=N$3,SUMIF('TL09'!$C$10:$C$224,$C420,'TL09'!$J$10:$J$224),0),
IF('TL09'!$B$229=N$3,SUMIF('TL09'!$C$238:$C$451,$C420,'TL09'!$J$238:$J$451),0),
IF('TL10'!$B$3=N$3,SUMIF('TL10'!$C$10:$C$224,$C420,'TL10'!$J$10:$J$224),0),
IF('TL10'!$B$229=N$3,SUMIF('TL10'!$C$238:$C$451,$C420,'TL10'!$J$238:$J$451),0),
IF('TL11'!$B$3=N$3,SUMIF('TL11'!$C$10:$C$224,$C420,'TL11'!$J$10:$J$224),0),
IF('TL11'!$B$229=N$3,SUMIF('TL11'!$C$238:$C$451,$C420,'TL11'!$J$238:$J$451),0),
IF('TL12'!$B$3=N$3,SUMIF('TL12'!$C$10:$C$224,$C420,'TL12'!$J$10:$J$224),0),
IF('TL12'!$B$229=N$3,SUMIF('TL12'!$C$238:$C$451,$C420,'TL12'!$J$238:$J$451),0),
IF('TL13'!$B$3=N$3,SUMIF('TL13'!$C$10:$C$224,$C420,'TL13'!$J$10:$J$224),0),
IF('TL13'!$B$229=N$3,SUMIF('TL13'!$C$238:$C$451,$C420,'TL13'!$J$238:$J$451),0),
IF('TL14'!$B$3=N$3,SUMIF('TL14'!$C$10:$C$224,$C420,'TL14'!$J$10:$J$224),0),
IF('TL14'!$B$229=N$3,SUMIF('TL14'!$C$238:$C$451,$C420,'TL14'!$J$238:$J$451),0),
IF('TL15'!$B$3=N$3,SUMIF('TL15'!$C$10:$C$224,$C420,'TL15'!$J$10:$J$224),0),
IF('TL15'!$B$229=N$3,SUMIF('TL15'!$C$238:$C$451,$C420,'TL15'!$J$238:$J$451),0),
IF('TL16'!$B$3=N$3,SUMIF('TL16'!$C$10:$C$224,$C420,'TL16'!$J$10:$J$224),0),
IF('TL16'!$B$229=N$3,SUMIF('TL16'!$C$238:$C$451,$C420,'TL16'!$J$238:$J$451),0),
IF('TL17'!$B$3=N$3,SUMIF('TL17'!$C$10:$C$224,$C420,'TL17'!$J$10:$J$224),0),
IF('TL17'!$B$229=N$3,SUMIF('TL17'!$C$238:$C$451,$C420,'TL17'!$J$238:$J$451),0),
IF('TL18'!$B$3=N$3,SUMIF('TL18'!$C$10:$C$224,$C420,'TL18'!$J$10:$J$224),0),
IF('TL18'!$B$229=N$3,SUMIF('TL18'!$C$238:$C$451,$C420,'TL18'!$J$238:$J$451),0),
IF('TL19'!$B$3=N$3,SUMIF('TL19'!$C$10:$C$224,$C420,'TL19'!$J$10:$J$224),0),
IF('TL19'!$B$229=N$3,SUMIF('TL19'!$C$238:$C$451,$C420,'TL19'!$J$238:$J$451),0)
),0)</f>
        <v>0</v>
      </c>
      <c r="O420" s="138">
        <f>IFERROR(SUM(
IF('TL01'!$B$3=O$3,SUMIF('TL01'!$C$10:$C$224,$C420,'TL01'!$J$10:$J$224),0),
IF('TL01'!$B$229=O$3,SUMIF('TL01'!$C$238:$C$451,$C420,'TL01'!$J$238:$J$451),0),
IF('TL02'!$B$3=O$3,SUMIF('TL02'!$C$10:$C$224,$C420,'TL02'!$J$10:$J$224),0),
IF('TL02'!$B$229=O$3,SUMIF('TL02'!$C$238:$C$451,$C420,'TL02'!$J$238:$J$451),0),
IF('TL03'!$B$3=O$3,SUMIF('TL03'!$C$10:$C$224,$C420,'TL03'!$J$10:$J$224),0),
IF('TL03'!$B$229=O$3,SUMIF('TL03'!$C$238:$C$451,$C420,'TL03'!$J$238:$J$451),0),
IF('TL04'!$B$3=O$3,SUMIF('TL04'!$C$10:$C$224,$C420,'TL04'!$J$10:$J$224),0),
IF('TL04'!$B$229=O$3,SUMIF('TL04'!$C$238:$C$451,$C420,'TL04'!$J$238:$J$451),0),
IF('TL05'!$B$3=O$3,SUMIF('TL05'!$C$10:$C$224,$C420,'TL05'!$J$10:$J$224),0),
IF('TL05'!$B$229=O$3,SUMIF('TL05'!$C$238:$C$451,$C420,'TL05'!$J$238:$J$451),0),
IF('TL06'!$B$3=O$3,SUMIF('TL06'!$C$10:$C$224,$C420,'TL06'!$J$10:$J$224),0),
IF('TL06'!$B$229=O$3,SUMIF('TL06'!$C$238:$C$451,$C420,'TL06'!$J$238:$J$451),0),
IF('TL07'!$B$3=O$3,SUMIF('TL07'!$C$10:$C$224,$C420,'TL07'!$J$10:$J$224),0),
IF('TL07'!$B$229=O$3,SUMIF('TL07'!$C$238:$C$451,$C420,'TL07'!$J$238:$J$451),0),
IF('TL08'!$B$3=O$3,SUMIF('TL08'!$C$10:$C$224,$C420,'TL08'!$J$10:$J$224),0),
IF('TL08'!$B$229=O$3,SUMIF('TL08'!$C$238:$C$451,$C420,'TL08'!$J$238:$J$451),0),
IF('TL09'!$B$3=O$3,SUMIF('TL09'!$C$10:$C$224,$C420,'TL09'!$J$10:$J$224),0),
IF('TL09'!$B$229=O$3,SUMIF('TL09'!$C$238:$C$451,$C420,'TL09'!$J$238:$J$451),0),
IF('TL10'!$B$3=O$3,SUMIF('TL10'!$C$10:$C$224,$C420,'TL10'!$J$10:$J$224),0),
IF('TL10'!$B$229=O$3,SUMIF('TL10'!$C$238:$C$451,$C420,'TL10'!$J$238:$J$451),0),
IF('TL11'!$B$3=O$3,SUMIF('TL11'!$C$10:$C$224,$C420,'TL11'!$J$10:$J$224),0),
IF('TL11'!$B$229=O$3,SUMIF('TL11'!$C$238:$C$451,$C420,'TL11'!$J$238:$J$451),0),
IF('TL12'!$B$3=O$3,SUMIF('TL12'!$C$10:$C$224,$C420,'TL12'!$J$10:$J$224),0),
IF('TL12'!$B$229=O$3,SUMIF('TL12'!$C$238:$C$451,$C420,'TL12'!$J$238:$J$451),0),
IF('TL13'!$B$3=O$3,SUMIF('TL13'!$C$10:$C$224,$C420,'TL13'!$J$10:$J$224),0),
IF('TL13'!$B$229=O$3,SUMIF('TL13'!$C$238:$C$451,$C420,'TL13'!$J$238:$J$451),0),
IF('TL14'!$B$3=O$3,SUMIF('TL14'!$C$10:$C$224,$C420,'TL14'!$J$10:$J$224),0),
IF('TL14'!$B$229=O$3,SUMIF('TL14'!$C$238:$C$451,$C420,'TL14'!$J$238:$J$451),0),
IF('TL15'!$B$3=O$3,SUMIF('TL15'!$C$10:$C$224,$C420,'TL15'!$J$10:$J$224),0),
IF('TL15'!$B$229=O$3,SUMIF('TL15'!$C$238:$C$451,$C420,'TL15'!$J$238:$J$451),0),
IF('TL16'!$B$3=O$3,SUMIF('TL16'!$C$10:$C$224,$C420,'TL16'!$J$10:$J$224),0),
IF('TL16'!$B$229=O$3,SUMIF('TL16'!$C$238:$C$451,$C420,'TL16'!$J$238:$J$451),0),
IF('TL17'!$B$3=O$3,SUMIF('TL17'!$C$10:$C$224,$C420,'TL17'!$J$10:$J$224),0),
IF('TL17'!$B$229=O$3,SUMIF('TL17'!$C$238:$C$451,$C420,'TL17'!$J$238:$J$451),0),
IF('TL18'!$B$3=O$3,SUMIF('TL18'!$C$10:$C$224,$C420,'TL18'!$J$10:$J$224),0),
IF('TL18'!$B$229=O$3,SUMIF('TL18'!$C$238:$C$451,$C420,'TL18'!$J$238:$J$451),0),
IF('TL19'!$B$3=O$3,SUMIF('TL19'!$C$10:$C$224,$C420,'TL19'!$J$10:$J$224),0),
IF('TL19'!$B$229=O$3,SUMIF('TL19'!$C$238:$C$451,$C420,'TL19'!$J$238:$J$451),0)
),0)</f>
        <v>0</v>
      </c>
      <c r="P420" s="138">
        <f>IFERROR(SUM(
IF('TL01'!$B$3=P$3,SUMIF('TL01'!$C$10:$C$224,$C420,'TL01'!$J$10:$J$224),0),
IF('TL01'!$B$229=P$3,SUMIF('TL01'!$C$238:$C$451,$C420,'TL01'!$J$238:$J$451),0),
IF('TL02'!$B$3=P$3,SUMIF('TL02'!$C$10:$C$224,$C420,'TL02'!$J$10:$J$224),0),
IF('TL02'!$B$229=P$3,SUMIF('TL02'!$C$238:$C$451,$C420,'TL02'!$J$238:$J$451),0),
IF('TL03'!$B$3=P$3,SUMIF('TL03'!$C$10:$C$224,$C420,'TL03'!$J$10:$J$224),0),
IF('TL03'!$B$229=P$3,SUMIF('TL03'!$C$238:$C$451,$C420,'TL03'!$J$238:$J$451),0),
IF('TL04'!$B$3=P$3,SUMIF('TL04'!$C$10:$C$224,$C420,'TL04'!$J$10:$J$224),0),
IF('TL04'!$B$229=P$3,SUMIF('TL04'!$C$238:$C$451,$C420,'TL04'!$J$238:$J$451),0),
IF('TL05'!$B$3=P$3,SUMIF('TL05'!$C$10:$C$224,$C420,'TL05'!$J$10:$J$224),0),
IF('TL05'!$B$229=P$3,SUMIF('TL05'!$C$238:$C$451,$C420,'TL05'!$J$238:$J$451),0),
IF('TL06'!$B$3=P$3,SUMIF('TL06'!$C$10:$C$224,$C420,'TL06'!$J$10:$J$224),0),
IF('TL06'!$B$229=P$3,SUMIF('TL06'!$C$238:$C$451,$C420,'TL06'!$J$238:$J$451),0),
IF('TL07'!$B$3=P$3,SUMIF('TL07'!$C$10:$C$224,$C420,'TL07'!$J$10:$J$224),0),
IF('TL07'!$B$229=P$3,SUMIF('TL07'!$C$238:$C$451,$C420,'TL07'!$J$238:$J$451),0),
IF('TL08'!$B$3=P$3,SUMIF('TL08'!$C$10:$C$224,$C420,'TL08'!$J$10:$J$224),0),
IF('TL08'!$B$229=P$3,SUMIF('TL08'!$C$238:$C$451,$C420,'TL08'!$J$238:$J$451),0),
IF('TL09'!$B$3=P$3,SUMIF('TL09'!$C$10:$C$224,$C420,'TL09'!$J$10:$J$224),0),
IF('TL09'!$B$229=P$3,SUMIF('TL09'!$C$238:$C$451,$C420,'TL09'!$J$238:$J$451),0),
IF('TL10'!$B$3=P$3,SUMIF('TL10'!$C$10:$C$224,$C420,'TL10'!$J$10:$J$224),0),
IF('TL10'!$B$229=P$3,SUMIF('TL10'!$C$238:$C$451,$C420,'TL10'!$J$238:$J$451),0),
IF('TL11'!$B$3=P$3,SUMIF('TL11'!$C$10:$C$224,$C420,'TL11'!$J$10:$J$224),0),
IF('TL11'!$B$229=P$3,SUMIF('TL11'!$C$238:$C$451,$C420,'TL11'!$J$238:$J$451),0),
IF('TL12'!$B$3=P$3,SUMIF('TL12'!$C$10:$C$224,$C420,'TL12'!$J$10:$J$224),0),
IF('TL12'!$B$229=P$3,SUMIF('TL12'!$C$238:$C$451,$C420,'TL12'!$J$238:$J$451),0),
IF('TL13'!$B$3=P$3,SUMIF('TL13'!$C$10:$C$224,$C420,'TL13'!$J$10:$J$224),0),
IF('TL13'!$B$229=P$3,SUMIF('TL13'!$C$238:$C$451,$C420,'TL13'!$J$238:$J$451),0),
IF('TL14'!$B$3=P$3,SUMIF('TL14'!$C$10:$C$224,$C420,'TL14'!$J$10:$J$224),0),
IF('TL14'!$B$229=P$3,SUMIF('TL14'!$C$238:$C$451,$C420,'TL14'!$J$238:$J$451),0),
IF('TL15'!$B$3=P$3,SUMIF('TL15'!$C$10:$C$224,$C420,'TL15'!$J$10:$J$224),0),
IF('TL15'!$B$229=P$3,SUMIF('TL15'!$C$238:$C$451,$C420,'TL15'!$J$238:$J$451),0),
IF('TL16'!$B$3=P$3,SUMIF('TL16'!$C$10:$C$224,$C420,'TL16'!$J$10:$J$224),0),
IF('TL16'!$B$229=P$3,SUMIF('TL16'!$C$238:$C$451,$C420,'TL16'!$J$238:$J$451),0),
IF('TL17'!$B$3=P$3,SUMIF('TL17'!$C$10:$C$224,$C420,'TL17'!$J$10:$J$224),0),
IF('TL17'!$B$229=P$3,SUMIF('TL17'!$C$238:$C$451,$C420,'TL17'!$J$238:$J$451),0),
IF('TL18'!$B$3=P$3,SUMIF('TL18'!$C$10:$C$224,$C420,'TL18'!$J$10:$J$224),0),
IF('TL18'!$B$229=P$3,SUMIF('TL18'!$C$238:$C$451,$C420,'TL18'!$J$238:$J$451),0),
IF('TL19'!$B$3=P$3,SUMIF('TL19'!$C$10:$C$224,$C420,'TL19'!$J$10:$J$224),0),
IF('TL19'!$B$229=P$3,SUMIF('TL19'!$C$238:$C$451,$C420,'TL19'!$J$238:$J$451),0)
),0)</f>
        <v>0</v>
      </c>
      <c r="Q420" s="138">
        <f>IFERROR(SUM(
IF('TL01'!$B$3=Q$3,SUMIF('TL01'!$C$10:$C$224,$C420,'TL01'!$J$10:$J$224),0),
IF('TL01'!$B$229=Q$3,SUMIF('TL01'!$C$238:$C$451,$C420,'TL01'!$J$238:$J$451),0),
IF('TL02'!$B$3=Q$3,SUMIF('TL02'!$C$10:$C$224,$C420,'TL02'!$J$10:$J$224),0),
IF('TL02'!$B$229=Q$3,SUMIF('TL02'!$C$238:$C$451,$C420,'TL02'!$J$238:$J$451),0),
IF('TL03'!$B$3=Q$3,SUMIF('TL03'!$C$10:$C$224,$C420,'TL03'!$J$10:$J$224),0),
IF('TL03'!$B$229=Q$3,SUMIF('TL03'!$C$238:$C$451,$C420,'TL03'!$J$238:$J$451),0),
IF('TL04'!$B$3=Q$3,SUMIF('TL04'!$C$10:$C$224,$C420,'TL04'!$J$10:$J$224),0),
IF('TL04'!$B$229=Q$3,SUMIF('TL04'!$C$238:$C$451,$C420,'TL04'!$J$238:$J$451),0),
IF('TL05'!$B$3=Q$3,SUMIF('TL05'!$C$10:$C$224,$C420,'TL05'!$J$10:$J$224),0),
IF('TL05'!$B$229=Q$3,SUMIF('TL05'!$C$238:$C$451,$C420,'TL05'!$J$238:$J$451),0),
IF('TL06'!$B$3=Q$3,SUMIF('TL06'!$C$10:$C$224,$C420,'TL06'!$J$10:$J$224),0),
IF('TL06'!$B$229=Q$3,SUMIF('TL06'!$C$238:$C$451,$C420,'TL06'!$J$238:$J$451),0),
IF('TL07'!$B$3=Q$3,SUMIF('TL07'!$C$10:$C$224,$C420,'TL07'!$J$10:$J$224),0),
IF('TL07'!$B$229=Q$3,SUMIF('TL07'!$C$238:$C$451,$C420,'TL07'!$J$238:$J$451),0),
IF('TL08'!$B$3=Q$3,SUMIF('TL08'!$C$10:$C$224,$C420,'TL08'!$J$10:$J$224),0),
IF('TL08'!$B$229=Q$3,SUMIF('TL08'!$C$238:$C$451,$C420,'TL08'!$J$238:$J$451),0),
IF('TL09'!$B$3=Q$3,SUMIF('TL09'!$C$10:$C$224,$C420,'TL09'!$J$10:$J$224),0),
IF('TL09'!$B$229=Q$3,SUMIF('TL09'!$C$238:$C$451,$C420,'TL09'!$J$238:$J$451),0),
IF('TL10'!$B$3=Q$3,SUMIF('TL10'!$C$10:$C$224,$C420,'TL10'!$J$10:$J$224),0),
IF('TL10'!$B$229=Q$3,SUMIF('TL10'!$C$238:$C$451,$C420,'TL10'!$J$238:$J$451),0),
IF('TL11'!$B$3=Q$3,SUMIF('TL11'!$C$10:$C$224,$C420,'TL11'!$J$10:$J$224),0),
IF('TL11'!$B$229=Q$3,SUMIF('TL11'!$C$238:$C$451,$C420,'TL11'!$J$238:$J$451),0),
IF('TL12'!$B$3=Q$3,SUMIF('TL12'!$C$10:$C$224,$C420,'TL12'!$J$10:$J$224),0),
IF('TL12'!$B$229=Q$3,SUMIF('TL12'!$C$238:$C$451,$C420,'TL12'!$J$238:$J$451),0),
IF('TL13'!$B$3=Q$3,SUMIF('TL13'!$C$10:$C$224,$C420,'TL13'!$J$10:$J$224),0),
IF('TL13'!$B$229=Q$3,SUMIF('TL13'!$C$238:$C$451,$C420,'TL13'!$J$238:$J$451),0),
IF('TL14'!$B$3=Q$3,SUMIF('TL14'!$C$10:$C$224,$C420,'TL14'!$J$10:$J$224),0),
IF('TL14'!$B$229=Q$3,SUMIF('TL14'!$C$238:$C$451,$C420,'TL14'!$J$238:$J$451),0),
IF('TL15'!$B$3=Q$3,SUMIF('TL15'!$C$10:$C$224,$C420,'TL15'!$J$10:$J$224),0),
IF('TL15'!$B$229=Q$3,SUMIF('TL15'!$C$238:$C$451,$C420,'TL15'!$J$238:$J$451),0),
IF('TL16'!$B$3=Q$3,SUMIF('TL16'!$C$10:$C$224,$C420,'TL16'!$J$10:$J$224),0),
IF('TL16'!$B$229=Q$3,SUMIF('TL16'!$C$238:$C$451,$C420,'TL16'!$J$238:$J$451),0),
IF('TL17'!$B$3=Q$3,SUMIF('TL17'!$C$10:$C$224,$C420,'TL17'!$J$10:$J$224),0),
IF('TL17'!$B$229=Q$3,SUMIF('TL17'!$C$238:$C$451,$C420,'TL17'!$J$238:$J$451),0),
IF('TL18'!$B$3=Q$3,SUMIF('TL18'!$C$10:$C$224,$C420,'TL18'!$J$10:$J$224),0),
IF('TL18'!$B$229=Q$3,SUMIF('TL18'!$C$238:$C$451,$C420,'TL18'!$J$238:$J$451),0),
IF('TL19'!$B$3=Q$3,SUMIF('TL19'!$C$10:$C$224,$C420,'TL19'!$J$10:$J$224),0),
IF('TL19'!$B$229=Q$3,SUMIF('TL19'!$C$238:$C$451,$C420,'TL19'!$J$238:$J$451),0)
),0)</f>
        <v>0</v>
      </c>
      <c r="R420" s="139">
        <f>IFERROR(
SUM(
SUMIF('TL01'!C:C,C420,'TL01'!J:J),
SUMIF('TL02'!C:C,C420,'TL02'!I:I),
SUMIF('TL03'!C:C,C420,'TL03'!I:I),
SUMIF('TL04'!C:C,C420,'TL04'!I:I),
SUMIF('TL05'!C:C,C420,'TL05'!I:I),
SUMIF('TL06'!C:C,C420,'TL06'!I:I),
SUMIF('TL07'!C:C,C420,'TL07'!I:I),
SUMIF('TL08'!C:C,C420,'TL08'!I:I),
SUMIF('TL09'!C:C,C420,'TL09'!I:I),
SUMIF('TL10'!C:C,C420,'TL10'!I:I),
SUMIF('TL11'!C:C,C420,'TL11'!I:I),
SUMIF('TL12'!C:C,C420,'TL12'!I:I),
SUMIF('TL13'!C:C,C420,'TL13'!I:I),
SUMIF('TL14'!C:C,C420,'TL14'!I:I),
SUMIF('TL15'!C:C,C420,'TL15'!I:I),
SUMIF('TL16'!C:C,C420,'TL16'!I:I),
SUMIF('TL17'!C:C,C420,'TL17'!I:I),
SUMIF('TL18'!C:C,C420,'TL18'!I:I))
,0)</f>
        <v>0</v>
      </c>
      <c r="S420" s="142" t="str">
        <f>'CUSTO OPERAÇÃO'!M24</f>
        <v/>
      </c>
      <c r="T420" s="139"/>
      <c r="U420" s="143">
        <f t="shared" si="2"/>
        <v>0</v>
      </c>
      <c r="V420" s="144">
        <f t="shared" si="3"/>
        <v>0</v>
      </c>
    </row>
    <row r="421" ht="15.75" hidden="1" customHeight="1">
      <c r="A421" s="138"/>
      <c r="B421" s="155"/>
      <c r="C421" s="138"/>
      <c r="D421" s="138"/>
      <c r="E421" s="139"/>
      <c r="F421" s="138" t="s">
        <v>1133</v>
      </c>
      <c r="G421" s="139"/>
      <c r="H421" s="140" t="str">
        <f>'CUSTO OPERAÇÃO'!J25</f>
        <v>#N/A</v>
      </c>
      <c r="I421" s="156"/>
      <c r="J421" s="138">
        <f>IFERROR(SUM(
IF('TL01'!$B$3=J$3,SUMIF('TL01'!$C$10:$C$224,$C421,'TL01'!$J$10:$J$224),0),
IF('TL01'!$B$229=J$3,SUMIF('TL01'!$C$238:$C$451,$C421,'TL01'!$J$238:$J$451),0),
IF('TL02'!$B$3=J$3,SUMIF('TL02'!$C$10:$C$224,$C421,'TL02'!$J$10:$J$224),0),
IF('TL02'!$B$229=J$3,SUMIF('TL02'!$C$238:$C$451,$C421,'TL02'!$J$238:$J$451),0),
IF('TL03'!$B$3=J$3,SUMIF('TL03'!$C$10:$C$224,$C421,'TL03'!$J$10:$J$224),0),
IF('TL03'!$B$229=J$3,SUMIF('TL03'!$C$238:$C$451,$C421,'TL03'!$J$238:$J$451),0),
IF('TL04'!$B$3=J$3,SUMIF('TL04'!$C$10:$C$224,$C421,'TL04'!$J$10:$J$224),0),
IF('TL04'!$B$229=J$3,SUMIF('TL04'!$C$238:$C$451,$C421,'TL04'!$J$238:$J$451),0),
IF('TL05'!$B$3=J$3,SUMIF('TL05'!$C$10:$C$224,$C421,'TL05'!$J$10:$J$224),0),
IF('TL05'!$B$229=J$3,SUMIF('TL05'!$C$238:$C$451,$C421,'TL05'!$J$238:$J$451),0),
IF('TL06'!$B$3=J$3,SUMIF('TL06'!$C$10:$C$224,$C421,'TL06'!$J$10:$J$224),0),
IF('TL06'!$B$229=J$3,SUMIF('TL06'!$C$238:$C$451,$C421,'TL06'!$J$238:$J$451),0),
IF('TL07'!$B$3=J$3,SUMIF('TL07'!$C$10:$C$224,$C421,'TL07'!$J$10:$J$224),0),
IF('TL07'!$B$229=J$3,SUMIF('TL07'!$C$238:$C$451,$C421,'TL07'!$J$238:$J$451),0),
IF('TL08'!$B$3=J$3,SUMIF('TL08'!$C$10:$C$224,$C421,'TL08'!$J$10:$J$224),0),
IF('TL08'!$B$229=J$3,SUMIF('TL08'!$C$238:$C$451,$C421,'TL08'!$J$238:$J$451),0),
IF('TL09'!$B$3=J$3,SUMIF('TL09'!$C$10:$C$224,$C421,'TL09'!$J$10:$J$224),0),
IF('TL09'!$B$229=J$3,SUMIF('TL09'!$C$238:$C$451,$C421,'TL09'!$J$238:$J$451),0),
IF('TL10'!$B$3=J$3,SUMIF('TL10'!$C$10:$C$224,$C421,'TL10'!$J$10:$J$224),0),
IF('TL10'!$B$229=J$3,SUMIF('TL10'!$C$238:$C$451,$C421,'TL10'!$J$238:$J$451),0),
IF('TL11'!$B$3=J$3,SUMIF('TL11'!$C$10:$C$224,$C421,'TL11'!$J$10:$J$224),0),
IF('TL11'!$B$229=J$3,SUMIF('TL11'!$C$238:$C$451,$C421,'TL11'!$J$238:$J$451),0),
IF('TL12'!$B$3=J$3,SUMIF('TL12'!$C$10:$C$224,$C421,'TL12'!$J$10:$J$224),0),
IF('TL12'!$B$229=J$3,SUMIF('TL12'!$C$238:$C$451,$C421,'TL12'!$J$238:$J$451),0),
IF('TL13'!$B$3=J$3,SUMIF('TL13'!$C$10:$C$224,$C421,'TL13'!$J$10:$J$224),0),
IF('TL13'!$B$229=J$3,SUMIF('TL13'!$C$238:$C$451,$C421,'TL13'!$J$238:$J$451),0),
IF('TL14'!$B$3=J$3,SUMIF('TL14'!$C$10:$C$224,$C421,'TL14'!$J$10:$J$224),0),
IF('TL14'!$B$229=J$3,SUMIF('TL14'!$C$238:$C$451,$C421,'TL14'!$J$238:$J$451),0),
IF('TL15'!$B$3=J$3,SUMIF('TL15'!$C$10:$C$224,$C421,'TL15'!$J$10:$J$224),0),
IF('TL15'!$B$229=J$3,SUMIF('TL15'!$C$238:$C$451,$C421,'TL15'!$J$238:$J$451),0),
IF('TL16'!$B$3=J$3,SUMIF('TL16'!$C$10:$C$224,$C421,'TL16'!$J$10:$J$224),0),
IF('TL16'!$B$229=J$3,SUMIF('TL16'!$C$238:$C$451,$C421,'TL16'!$J$238:$J$451),0),
IF('TL17'!$B$3=J$3,SUMIF('TL17'!$C$10:$C$224,$C421,'TL17'!$J$10:$J$224),0),
IF('TL17'!$B$229=J$3,SUMIF('TL17'!$C$238:$C$451,$C421,'TL17'!$J$238:$J$451),0),
IF('TL18'!$B$3=J$3,SUMIF('TL18'!$C$10:$C$224,$C421,'TL18'!$J$10:$J$224),0),
IF('TL18'!$B$229=J$3,SUMIF('TL18'!$C$238:$C$451,$C421,'TL18'!$J$238:$J$451),0),
IF('TL19'!$B$3=J$3,SUMIF('TL19'!$C$10:$C$224,$C421,'TL19'!$J$10:$J$224),0),
IF('TL19'!$B$229=J$3,SUMIF('TL19'!$C$238:$C$451,$C421,'TL19'!$J$238:$J$451),0)
),0)</f>
        <v>0</v>
      </c>
      <c r="K421" s="138">
        <f>IFERROR(SUM(
IF('TL01'!$B$3=K$3,SUMIF('TL01'!$C$10:$C$224,$C421,'TL01'!$J$10:$J$224),0),
IF('TL01'!$B$229=K$3,SUMIF('TL01'!$C$238:$C$451,$C421,'TL01'!$J$238:$J$451),0),
IF('TL02'!$B$3=K$3,SUMIF('TL02'!$C$10:$C$224,$C421,'TL02'!$J$10:$J$224),0),
IF('TL02'!$B$229=K$3,SUMIF('TL02'!$C$238:$C$451,$C421,'TL02'!$J$238:$J$451),0),
IF('TL03'!$B$3=K$3,SUMIF('TL03'!$C$10:$C$224,$C421,'TL03'!$J$10:$J$224),0),
IF('TL03'!$B$229=K$3,SUMIF('TL03'!$C$238:$C$451,$C421,'TL03'!$J$238:$J$451),0),
IF('TL04'!$B$3=K$3,SUMIF('TL04'!$C$10:$C$224,$C421,'TL04'!$J$10:$J$224),0),
IF('TL04'!$B$229=K$3,SUMIF('TL04'!$C$238:$C$451,$C421,'TL04'!$J$238:$J$451),0),
IF('TL05'!$B$3=K$3,SUMIF('TL05'!$C$10:$C$224,$C421,'TL05'!$J$10:$J$224),0),
IF('TL05'!$B$229=K$3,SUMIF('TL05'!$C$238:$C$451,$C421,'TL05'!$J$238:$J$451),0),
IF('TL06'!$B$3=K$3,SUMIF('TL06'!$C$10:$C$224,$C421,'TL06'!$J$10:$J$224),0),
IF('TL06'!$B$229=K$3,SUMIF('TL06'!$C$238:$C$451,$C421,'TL06'!$J$238:$J$451),0),
IF('TL07'!$B$3=K$3,SUMIF('TL07'!$C$10:$C$224,$C421,'TL07'!$J$10:$J$224),0),
IF('TL07'!$B$229=K$3,SUMIF('TL07'!$C$238:$C$451,$C421,'TL07'!$J$238:$J$451),0),
IF('TL08'!$B$3=K$3,SUMIF('TL08'!$C$10:$C$224,$C421,'TL08'!$J$10:$J$224),0),
IF('TL08'!$B$229=K$3,SUMIF('TL08'!$C$238:$C$451,$C421,'TL08'!$J$238:$J$451),0),
IF('TL09'!$B$3=K$3,SUMIF('TL09'!$C$10:$C$224,$C421,'TL09'!$J$10:$J$224),0),
IF('TL09'!$B$229=K$3,SUMIF('TL09'!$C$238:$C$451,$C421,'TL09'!$J$238:$J$451),0),
IF('TL10'!$B$3=K$3,SUMIF('TL10'!$C$10:$C$224,$C421,'TL10'!$J$10:$J$224),0),
IF('TL10'!$B$229=K$3,SUMIF('TL10'!$C$238:$C$451,$C421,'TL10'!$J$238:$J$451),0),
IF('TL11'!$B$3=K$3,SUMIF('TL11'!$C$10:$C$224,$C421,'TL11'!$J$10:$J$224),0),
IF('TL11'!$B$229=K$3,SUMIF('TL11'!$C$238:$C$451,$C421,'TL11'!$J$238:$J$451),0),
IF('TL12'!$B$3=K$3,SUMIF('TL12'!$C$10:$C$224,$C421,'TL12'!$J$10:$J$224),0),
IF('TL12'!$B$229=K$3,SUMIF('TL12'!$C$238:$C$451,$C421,'TL12'!$J$238:$J$451),0),
IF('TL13'!$B$3=K$3,SUMIF('TL13'!$C$10:$C$224,$C421,'TL13'!$J$10:$J$224),0),
IF('TL13'!$B$229=K$3,SUMIF('TL13'!$C$238:$C$451,$C421,'TL13'!$J$238:$J$451),0),
IF('TL14'!$B$3=K$3,SUMIF('TL14'!$C$10:$C$224,$C421,'TL14'!$J$10:$J$224),0),
IF('TL14'!$B$229=K$3,SUMIF('TL14'!$C$238:$C$451,$C421,'TL14'!$J$238:$J$451),0),
IF('TL15'!$B$3=K$3,SUMIF('TL15'!$C$10:$C$224,$C421,'TL15'!$J$10:$J$224),0),
IF('TL15'!$B$229=K$3,SUMIF('TL15'!$C$238:$C$451,$C421,'TL15'!$J$238:$J$451),0),
IF('TL16'!$B$3=K$3,SUMIF('TL16'!$C$10:$C$224,$C421,'TL16'!$J$10:$J$224),0),
IF('TL16'!$B$229=K$3,SUMIF('TL16'!$C$238:$C$451,$C421,'TL16'!$J$238:$J$451),0),
IF('TL17'!$B$3=K$3,SUMIF('TL17'!$C$10:$C$224,$C421,'TL17'!$J$10:$J$224),0),
IF('TL17'!$B$229=K$3,SUMIF('TL17'!$C$238:$C$451,$C421,'TL17'!$J$238:$J$451),0),
IF('TL18'!$B$3=K$3,SUMIF('TL18'!$C$10:$C$224,$C421,'TL18'!$J$10:$J$224),0),
IF('TL18'!$B$229=K$3,SUMIF('TL18'!$C$238:$C$451,$C421,'TL18'!$J$238:$J$451),0),
IF('TL19'!$B$3=K$3,SUMIF('TL19'!$C$10:$C$224,$C421,'TL19'!$J$10:$J$224),0),
IF('TL19'!$B$229=K$3,SUMIF('TL19'!$C$238:$C$451,$C421,'TL19'!$J$238:$J$451),0)
),0)</f>
        <v>0</v>
      </c>
      <c r="L421" s="138">
        <f>IFERROR(SUM(
IF('TL01'!$B$3=L$3,SUMIF('TL01'!$C$10:$C$224,$C421,'TL01'!$J$10:$J$224),0),
IF('TL01'!$B$229=L$3,SUMIF('TL01'!$C$238:$C$451,$C421,'TL01'!$J$238:$J$451),0),
IF('TL02'!$B$3=L$3,SUMIF('TL02'!$C$10:$C$224,$C421,'TL02'!$J$10:$J$224),0),
IF('TL02'!$B$229=L$3,SUMIF('TL02'!$C$238:$C$451,$C421,'TL02'!$J$238:$J$451),0),
IF('TL03'!$B$3=L$3,SUMIF('TL03'!$C$10:$C$224,$C421,'TL03'!$J$10:$J$224),0),
IF('TL03'!$B$229=L$3,SUMIF('TL03'!$C$238:$C$451,$C421,'TL03'!$J$238:$J$451),0),
IF('TL04'!$B$3=L$3,SUMIF('TL04'!$C$10:$C$224,$C421,'TL04'!$J$10:$J$224),0),
IF('TL04'!$B$229=L$3,SUMIF('TL04'!$C$238:$C$451,$C421,'TL04'!$J$238:$J$451),0),
IF('TL05'!$B$3=L$3,SUMIF('TL05'!$C$10:$C$224,$C421,'TL05'!$J$10:$J$224),0),
IF('TL05'!$B$229=L$3,SUMIF('TL05'!$C$238:$C$451,$C421,'TL05'!$J$238:$J$451),0),
IF('TL06'!$B$3=L$3,SUMIF('TL06'!$C$10:$C$224,$C421,'TL06'!$J$10:$J$224),0),
IF('TL06'!$B$229=L$3,SUMIF('TL06'!$C$238:$C$451,$C421,'TL06'!$J$238:$J$451),0),
IF('TL07'!$B$3=L$3,SUMIF('TL07'!$C$10:$C$224,$C421,'TL07'!$J$10:$J$224),0),
IF('TL07'!$B$229=L$3,SUMIF('TL07'!$C$238:$C$451,$C421,'TL07'!$J$238:$J$451),0),
IF('TL08'!$B$3=L$3,SUMIF('TL08'!$C$10:$C$224,$C421,'TL08'!$J$10:$J$224),0),
IF('TL08'!$B$229=L$3,SUMIF('TL08'!$C$238:$C$451,$C421,'TL08'!$J$238:$J$451),0),
IF('TL09'!$B$3=L$3,SUMIF('TL09'!$C$10:$C$224,$C421,'TL09'!$J$10:$J$224),0),
IF('TL09'!$B$229=L$3,SUMIF('TL09'!$C$238:$C$451,$C421,'TL09'!$J$238:$J$451),0),
IF('TL10'!$B$3=L$3,SUMIF('TL10'!$C$10:$C$224,$C421,'TL10'!$J$10:$J$224),0),
IF('TL10'!$B$229=L$3,SUMIF('TL10'!$C$238:$C$451,$C421,'TL10'!$J$238:$J$451),0),
IF('TL11'!$B$3=L$3,SUMIF('TL11'!$C$10:$C$224,$C421,'TL11'!$J$10:$J$224),0),
IF('TL11'!$B$229=L$3,SUMIF('TL11'!$C$238:$C$451,$C421,'TL11'!$J$238:$J$451),0),
IF('TL12'!$B$3=L$3,SUMIF('TL12'!$C$10:$C$224,$C421,'TL12'!$J$10:$J$224),0),
IF('TL12'!$B$229=L$3,SUMIF('TL12'!$C$238:$C$451,$C421,'TL12'!$J$238:$J$451),0),
IF('TL13'!$B$3=L$3,SUMIF('TL13'!$C$10:$C$224,$C421,'TL13'!$J$10:$J$224),0),
IF('TL13'!$B$229=L$3,SUMIF('TL13'!$C$238:$C$451,$C421,'TL13'!$J$238:$J$451),0),
IF('TL14'!$B$3=L$3,SUMIF('TL14'!$C$10:$C$224,$C421,'TL14'!$J$10:$J$224),0),
IF('TL14'!$B$229=L$3,SUMIF('TL14'!$C$238:$C$451,$C421,'TL14'!$J$238:$J$451),0),
IF('TL15'!$B$3=L$3,SUMIF('TL15'!$C$10:$C$224,$C421,'TL15'!$J$10:$J$224),0),
IF('TL15'!$B$229=L$3,SUMIF('TL15'!$C$238:$C$451,$C421,'TL15'!$J$238:$J$451),0),
IF('TL16'!$B$3=L$3,SUMIF('TL16'!$C$10:$C$224,$C421,'TL16'!$J$10:$J$224),0),
IF('TL16'!$B$229=L$3,SUMIF('TL16'!$C$238:$C$451,$C421,'TL16'!$J$238:$J$451),0),
IF('TL17'!$B$3=L$3,SUMIF('TL17'!$C$10:$C$224,$C421,'TL17'!$J$10:$J$224),0),
IF('TL17'!$B$229=L$3,SUMIF('TL17'!$C$238:$C$451,$C421,'TL17'!$J$238:$J$451),0),
IF('TL18'!$B$3=L$3,SUMIF('TL18'!$C$10:$C$224,$C421,'TL18'!$J$10:$J$224),0),
IF('TL18'!$B$229=L$3,SUMIF('TL18'!$C$238:$C$451,$C421,'TL18'!$J$238:$J$451),0),
IF('TL19'!$B$3=L$3,SUMIF('TL19'!$C$10:$C$224,$C421,'TL19'!$J$10:$J$224),0),
IF('TL19'!$B$229=L$3,SUMIF('TL19'!$C$238:$C$451,$C421,'TL19'!$J$238:$J$451),0)
),0)</f>
        <v>0</v>
      </c>
      <c r="M421" s="138">
        <f>IFERROR(SUM(
IF('TL01'!$B$3=M$3,SUMIF('TL01'!$C$10:$C$224,$C421,'TL01'!$J$10:$J$224),0),
IF('TL01'!$B$229=M$3,SUMIF('TL01'!$C$238:$C$451,$C421,'TL01'!$J$238:$J$451),0),
IF('TL02'!$B$3=M$3,SUMIF('TL02'!$C$10:$C$224,$C421,'TL02'!$J$10:$J$224),0),
IF('TL02'!$B$229=M$3,SUMIF('TL02'!$C$238:$C$451,$C421,'TL02'!$J$238:$J$451),0),
IF('TL03'!$B$3=M$3,SUMIF('TL03'!$C$10:$C$224,$C421,'TL03'!$J$10:$J$224),0),
IF('TL03'!$B$229=M$3,SUMIF('TL03'!$C$238:$C$451,$C421,'TL03'!$J$238:$J$451),0),
IF('TL04'!$B$3=M$3,SUMIF('TL04'!$C$10:$C$224,$C421,'TL04'!$J$10:$J$224),0),
IF('TL04'!$B$229=M$3,SUMIF('TL04'!$C$238:$C$451,$C421,'TL04'!$J$238:$J$451),0),
IF('TL05'!$B$3=M$3,SUMIF('TL05'!$C$10:$C$224,$C421,'TL05'!$J$10:$J$224),0),
IF('TL05'!$B$229=M$3,SUMIF('TL05'!$C$238:$C$451,$C421,'TL05'!$J$238:$J$451),0),
IF('TL06'!$B$3=M$3,SUMIF('TL06'!$C$10:$C$224,$C421,'TL06'!$J$10:$J$224),0),
IF('TL06'!$B$229=M$3,SUMIF('TL06'!$C$238:$C$451,$C421,'TL06'!$J$238:$J$451),0),
IF('TL07'!$B$3=M$3,SUMIF('TL07'!$C$10:$C$224,$C421,'TL07'!$J$10:$J$224),0),
IF('TL07'!$B$229=M$3,SUMIF('TL07'!$C$238:$C$451,$C421,'TL07'!$J$238:$J$451),0),
IF('TL08'!$B$3=M$3,SUMIF('TL08'!$C$10:$C$224,$C421,'TL08'!$J$10:$J$224),0),
IF('TL08'!$B$229=M$3,SUMIF('TL08'!$C$238:$C$451,$C421,'TL08'!$J$238:$J$451),0),
IF('TL09'!$B$3=M$3,SUMIF('TL09'!$C$10:$C$224,$C421,'TL09'!$J$10:$J$224),0),
IF('TL09'!$B$229=M$3,SUMIF('TL09'!$C$238:$C$451,$C421,'TL09'!$J$238:$J$451),0),
IF('TL10'!$B$3=M$3,SUMIF('TL10'!$C$10:$C$224,$C421,'TL10'!$J$10:$J$224),0),
IF('TL10'!$B$229=M$3,SUMIF('TL10'!$C$238:$C$451,$C421,'TL10'!$J$238:$J$451),0),
IF('TL11'!$B$3=M$3,SUMIF('TL11'!$C$10:$C$224,$C421,'TL11'!$J$10:$J$224),0),
IF('TL11'!$B$229=M$3,SUMIF('TL11'!$C$238:$C$451,$C421,'TL11'!$J$238:$J$451),0),
IF('TL12'!$B$3=M$3,SUMIF('TL12'!$C$10:$C$224,$C421,'TL12'!$J$10:$J$224),0),
IF('TL12'!$B$229=M$3,SUMIF('TL12'!$C$238:$C$451,$C421,'TL12'!$J$238:$J$451),0),
IF('TL13'!$B$3=M$3,SUMIF('TL13'!$C$10:$C$224,$C421,'TL13'!$J$10:$J$224),0),
IF('TL13'!$B$229=M$3,SUMIF('TL13'!$C$238:$C$451,$C421,'TL13'!$J$238:$J$451),0),
IF('TL14'!$B$3=M$3,SUMIF('TL14'!$C$10:$C$224,$C421,'TL14'!$J$10:$J$224),0),
IF('TL14'!$B$229=M$3,SUMIF('TL14'!$C$238:$C$451,$C421,'TL14'!$J$238:$J$451),0),
IF('TL15'!$B$3=M$3,SUMIF('TL15'!$C$10:$C$224,$C421,'TL15'!$J$10:$J$224),0),
IF('TL15'!$B$229=M$3,SUMIF('TL15'!$C$238:$C$451,$C421,'TL15'!$J$238:$J$451),0),
IF('TL16'!$B$3=M$3,SUMIF('TL16'!$C$10:$C$224,$C421,'TL16'!$J$10:$J$224),0),
IF('TL16'!$B$229=M$3,SUMIF('TL16'!$C$238:$C$451,$C421,'TL16'!$J$238:$J$451),0),
IF('TL17'!$B$3=M$3,SUMIF('TL17'!$C$10:$C$224,$C421,'TL17'!$J$10:$J$224),0),
IF('TL17'!$B$229=M$3,SUMIF('TL17'!$C$238:$C$451,$C421,'TL17'!$J$238:$J$451),0),
IF('TL18'!$B$3=M$3,SUMIF('TL18'!$C$10:$C$224,$C421,'TL18'!$J$10:$J$224),0),
IF('TL18'!$B$229=M$3,SUMIF('TL18'!$C$238:$C$451,$C421,'TL18'!$J$238:$J$451),0),
IF('TL19'!$B$3=M$3,SUMIF('TL19'!$C$10:$C$224,$C421,'TL19'!$J$10:$J$224),0),
IF('TL19'!$B$229=M$3,SUMIF('TL19'!$C$238:$C$451,$C421,'TL19'!$J$238:$J$451),0)
),0)</f>
        <v>0</v>
      </c>
      <c r="N421" s="138">
        <f>IFERROR(SUM(
IF('TL01'!$B$3=N$3,SUMIF('TL01'!$C$10:$C$224,$C421,'TL01'!$J$10:$J$224),0),
IF('TL01'!$B$229=N$3,SUMIF('TL01'!$C$238:$C$451,$C421,'TL01'!$J$238:$J$451),0),
IF('TL02'!$B$3=N$3,SUMIF('TL02'!$C$10:$C$224,$C421,'TL02'!$J$10:$J$224),0),
IF('TL02'!$B$229=N$3,SUMIF('TL02'!$C$238:$C$451,$C421,'TL02'!$J$238:$J$451),0),
IF('TL03'!$B$3=N$3,SUMIF('TL03'!$C$10:$C$224,$C421,'TL03'!$J$10:$J$224),0),
IF('TL03'!$B$229=N$3,SUMIF('TL03'!$C$238:$C$451,$C421,'TL03'!$J$238:$J$451),0),
IF('TL04'!$B$3=N$3,SUMIF('TL04'!$C$10:$C$224,$C421,'TL04'!$J$10:$J$224),0),
IF('TL04'!$B$229=N$3,SUMIF('TL04'!$C$238:$C$451,$C421,'TL04'!$J$238:$J$451),0),
IF('TL05'!$B$3=N$3,SUMIF('TL05'!$C$10:$C$224,$C421,'TL05'!$J$10:$J$224),0),
IF('TL05'!$B$229=N$3,SUMIF('TL05'!$C$238:$C$451,$C421,'TL05'!$J$238:$J$451),0),
IF('TL06'!$B$3=N$3,SUMIF('TL06'!$C$10:$C$224,$C421,'TL06'!$J$10:$J$224),0),
IF('TL06'!$B$229=N$3,SUMIF('TL06'!$C$238:$C$451,$C421,'TL06'!$J$238:$J$451),0),
IF('TL07'!$B$3=N$3,SUMIF('TL07'!$C$10:$C$224,$C421,'TL07'!$J$10:$J$224),0),
IF('TL07'!$B$229=N$3,SUMIF('TL07'!$C$238:$C$451,$C421,'TL07'!$J$238:$J$451),0),
IF('TL08'!$B$3=N$3,SUMIF('TL08'!$C$10:$C$224,$C421,'TL08'!$J$10:$J$224),0),
IF('TL08'!$B$229=N$3,SUMIF('TL08'!$C$238:$C$451,$C421,'TL08'!$J$238:$J$451),0),
IF('TL09'!$B$3=N$3,SUMIF('TL09'!$C$10:$C$224,$C421,'TL09'!$J$10:$J$224),0),
IF('TL09'!$B$229=N$3,SUMIF('TL09'!$C$238:$C$451,$C421,'TL09'!$J$238:$J$451),0),
IF('TL10'!$B$3=N$3,SUMIF('TL10'!$C$10:$C$224,$C421,'TL10'!$J$10:$J$224),0),
IF('TL10'!$B$229=N$3,SUMIF('TL10'!$C$238:$C$451,$C421,'TL10'!$J$238:$J$451),0),
IF('TL11'!$B$3=N$3,SUMIF('TL11'!$C$10:$C$224,$C421,'TL11'!$J$10:$J$224),0),
IF('TL11'!$B$229=N$3,SUMIF('TL11'!$C$238:$C$451,$C421,'TL11'!$J$238:$J$451),0),
IF('TL12'!$B$3=N$3,SUMIF('TL12'!$C$10:$C$224,$C421,'TL12'!$J$10:$J$224),0),
IF('TL12'!$B$229=N$3,SUMIF('TL12'!$C$238:$C$451,$C421,'TL12'!$J$238:$J$451),0),
IF('TL13'!$B$3=N$3,SUMIF('TL13'!$C$10:$C$224,$C421,'TL13'!$J$10:$J$224),0),
IF('TL13'!$B$229=N$3,SUMIF('TL13'!$C$238:$C$451,$C421,'TL13'!$J$238:$J$451),0),
IF('TL14'!$B$3=N$3,SUMIF('TL14'!$C$10:$C$224,$C421,'TL14'!$J$10:$J$224),0),
IF('TL14'!$B$229=N$3,SUMIF('TL14'!$C$238:$C$451,$C421,'TL14'!$J$238:$J$451),0),
IF('TL15'!$B$3=N$3,SUMIF('TL15'!$C$10:$C$224,$C421,'TL15'!$J$10:$J$224),0),
IF('TL15'!$B$229=N$3,SUMIF('TL15'!$C$238:$C$451,$C421,'TL15'!$J$238:$J$451),0),
IF('TL16'!$B$3=N$3,SUMIF('TL16'!$C$10:$C$224,$C421,'TL16'!$J$10:$J$224),0),
IF('TL16'!$B$229=N$3,SUMIF('TL16'!$C$238:$C$451,$C421,'TL16'!$J$238:$J$451),0),
IF('TL17'!$B$3=N$3,SUMIF('TL17'!$C$10:$C$224,$C421,'TL17'!$J$10:$J$224),0),
IF('TL17'!$B$229=N$3,SUMIF('TL17'!$C$238:$C$451,$C421,'TL17'!$J$238:$J$451),0),
IF('TL18'!$B$3=N$3,SUMIF('TL18'!$C$10:$C$224,$C421,'TL18'!$J$10:$J$224),0),
IF('TL18'!$B$229=N$3,SUMIF('TL18'!$C$238:$C$451,$C421,'TL18'!$J$238:$J$451),0),
IF('TL19'!$B$3=N$3,SUMIF('TL19'!$C$10:$C$224,$C421,'TL19'!$J$10:$J$224),0),
IF('TL19'!$B$229=N$3,SUMIF('TL19'!$C$238:$C$451,$C421,'TL19'!$J$238:$J$451),0)
),0)</f>
        <v>0</v>
      </c>
      <c r="O421" s="138">
        <f>IFERROR(SUM(
IF('TL01'!$B$3=O$3,SUMIF('TL01'!$C$10:$C$224,$C421,'TL01'!$J$10:$J$224),0),
IF('TL01'!$B$229=O$3,SUMIF('TL01'!$C$238:$C$451,$C421,'TL01'!$J$238:$J$451),0),
IF('TL02'!$B$3=O$3,SUMIF('TL02'!$C$10:$C$224,$C421,'TL02'!$J$10:$J$224),0),
IF('TL02'!$B$229=O$3,SUMIF('TL02'!$C$238:$C$451,$C421,'TL02'!$J$238:$J$451),0),
IF('TL03'!$B$3=O$3,SUMIF('TL03'!$C$10:$C$224,$C421,'TL03'!$J$10:$J$224),0),
IF('TL03'!$B$229=O$3,SUMIF('TL03'!$C$238:$C$451,$C421,'TL03'!$J$238:$J$451),0),
IF('TL04'!$B$3=O$3,SUMIF('TL04'!$C$10:$C$224,$C421,'TL04'!$J$10:$J$224),0),
IF('TL04'!$B$229=O$3,SUMIF('TL04'!$C$238:$C$451,$C421,'TL04'!$J$238:$J$451),0),
IF('TL05'!$B$3=O$3,SUMIF('TL05'!$C$10:$C$224,$C421,'TL05'!$J$10:$J$224),0),
IF('TL05'!$B$229=O$3,SUMIF('TL05'!$C$238:$C$451,$C421,'TL05'!$J$238:$J$451),0),
IF('TL06'!$B$3=O$3,SUMIF('TL06'!$C$10:$C$224,$C421,'TL06'!$J$10:$J$224),0),
IF('TL06'!$B$229=O$3,SUMIF('TL06'!$C$238:$C$451,$C421,'TL06'!$J$238:$J$451),0),
IF('TL07'!$B$3=O$3,SUMIF('TL07'!$C$10:$C$224,$C421,'TL07'!$J$10:$J$224),0),
IF('TL07'!$B$229=O$3,SUMIF('TL07'!$C$238:$C$451,$C421,'TL07'!$J$238:$J$451),0),
IF('TL08'!$B$3=O$3,SUMIF('TL08'!$C$10:$C$224,$C421,'TL08'!$J$10:$J$224),0),
IF('TL08'!$B$229=O$3,SUMIF('TL08'!$C$238:$C$451,$C421,'TL08'!$J$238:$J$451),0),
IF('TL09'!$B$3=O$3,SUMIF('TL09'!$C$10:$C$224,$C421,'TL09'!$J$10:$J$224),0),
IF('TL09'!$B$229=O$3,SUMIF('TL09'!$C$238:$C$451,$C421,'TL09'!$J$238:$J$451),0),
IF('TL10'!$B$3=O$3,SUMIF('TL10'!$C$10:$C$224,$C421,'TL10'!$J$10:$J$224),0),
IF('TL10'!$B$229=O$3,SUMIF('TL10'!$C$238:$C$451,$C421,'TL10'!$J$238:$J$451),0),
IF('TL11'!$B$3=O$3,SUMIF('TL11'!$C$10:$C$224,$C421,'TL11'!$J$10:$J$224),0),
IF('TL11'!$B$229=O$3,SUMIF('TL11'!$C$238:$C$451,$C421,'TL11'!$J$238:$J$451),0),
IF('TL12'!$B$3=O$3,SUMIF('TL12'!$C$10:$C$224,$C421,'TL12'!$J$10:$J$224),0),
IF('TL12'!$B$229=O$3,SUMIF('TL12'!$C$238:$C$451,$C421,'TL12'!$J$238:$J$451),0),
IF('TL13'!$B$3=O$3,SUMIF('TL13'!$C$10:$C$224,$C421,'TL13'!$J$10:$J$224),0),
IF('TL13'!$B$229=O$3,SUMIF('TL13'!$C$238:$C$451,$C421,'TL13'!$J$238:$J$451),0),
IF('TL14'!$B$3=O$3,SUMIF('TL14'!$C$10:$C$224,$C421,'TL14'!$J$10:$J$224),0),
IF('TL14'!$B$229=O$3,SUMIF('TL14'!$C$238:$C$451,$C421,'TL14'!$J$238:$J$451),0),
IF('TL15'!$B$3=O$3,SUMIF('TL15'!$C$10:$C$224,$C421,'TL15'!$J$10:$J$224),0),
IF('TL15'!$B$229=O$3,SUMIF('TL15'!$C$238:$C$451,$C421,'TL15'!$J$238:$J$451),0),
IF('TL16'!$B$3=O$3,SUMIF('TL16'!$C$10:$C$224,$C421,'TL16'!$J$10:$J$224),0),
IF('TL16'!$B$229=O$3,SUMIF('TL16'!$C$238:$C$451,$C421,'TL16'!$J$238:$J$451),0),
IF('TL17'!$B$3=O$3,SUMIF('TL17'!$C$10:$C$224,$C421,'TL17'!$J$10:$J$224),0),
IF('TL17'!$B$229=O$3,SUMIF('TL17'!$C$238:$C$451,$C421,'TL17'!$J$238:$J$451),0),
IF('TL18'!$B$3=O$3,SUMIF('TL18'!$C$10:$C$224,$C421,'TL18'!$J$10:$J$224),0),
IF('TL18'!$B$229=O$3,SUMIF('TL18'!$C$238:$C$451,$C421,'TL18'!$J$238:$J$451),0),
IF('TL19'!$B$3=O$3,SUMIF('TL19'!$C$10:$C$224,$C421,'TL19'!$J$10:$J$224),0),
IF('TL19'!$B$229=O$3,SUMIF('TL19'!$C$238:$C$451,$C421,'TL19'!$J$238:$J$451),0)
),0)</f>
        <v>0</v>
      </c>
      <c r="P421" s="138">
        <f>IFERROR(SUM(
IF('TL01'!$B$3=P$3,SUMIF('TL01'!$C$10:$C$224,$C421,'TL01'!$J$10:$J$224),0),
IF('TL01'!$B$229=P$3,SUMIF('TL01'!$C$238:$C$451,$C421,'TL01'!$J$238:$J$451),0),
IF('TL02'!$B$3=P$3,SUMIF('TL02'!$C$10:$C$224,$C421,'TL02'!$J$10:$J$224),0),
IF('TL02'!$B$229=P$3,SUMIF('TL02'!$C$238:$C$451,$C421,'TL02'!$J$238:$J$451),0),
IF('TL03'!$B$3=P$3,SUMIF('TL03'!$C$10:$C$224,$C421,'TL03'!$J$10:$J$224),0),
IF('TL03'!$B$229=P$3,SUMIF('TL03'!$C$238:$C$451,$C421,'TL03'!$J$238:$J$451),0),
IF('TL04'!$B$3=P$3,SUMIF('TL04'!$C$10:$C$224,$C421,'TL04'!$J$10:$J$224),0),
IF('TL04'!$B$229=P$3,SUMIF('TL04'!$C$238:$C$451,$C421,'TL04'!$J$238:$J$451),0),
IF('TL05'!$B$3=P$3,SUMIF('TL05'!$C$10:$C$224,$C421,'TL05'!$J$10:$J$224),0),
IF('TL05'!$B$229=P$3,SUMIF('TL05'!$C$238:$C$451,$C421,'TL05'!$J$238:$J$451),0),
IF('TL06'!$B$3=P$3,SUMIF('TL06'!$C$10:$C$224,$C421,'TL06'!$J$10:$J$224),0),
IF('TL06'!$B$229=P$3,SUMIF('TL06'!$C$238:$C$451,$C421,'TL06'!$J$238:$J$451),0),
IF('TL07'!$B$3=P$3,SUMIF('TL07'!$C$10:$C$224,$C421,'TL07'!$J$10:$J$224),0),
IF('TL07'!$B$229=P$3,SUMIF('TL07'!$C$238:$C$451,$C421,'TL07'!$J$238:$J$451),0),
IF('TL08'!$B$3=P$3,SUMIF('TL08'!$C$10:$C$224,$C421,'TL08'!$J$10:$J$224),0),
IF('TL08'!$B$229=P$3,SUMIF('TL08'!$C$238:$C$451,$C421,'TL08'!$J$238:$J$451),0),
IF('TL09'!$B$3=P$3,SUMIF('TL09'!$C$10:$C$224,$C421,'TL09'!$J$10:$J$224),0),
IF('TL09'!$B$229=P$3,SUMIF('TL09'!$C$238:$C$451,$C421,'TL09'!$J$238:$J$451),0),
IF('TL10'!$B$3=P$3,SUMIF('TL10'!$C$10:$C$224,$C421,'TL10'!$J$10:$J$224),0),
IF('TL10'!$B$229=P$3,SUMIF('TL10'!$C$238:$C$451,$C421,'TL10'!$J$238:$J$451),0),
IF('TL11'!$B$3=P$3,SUMIF('TL11'!$C$10:$C$224,$C421,'TL11'!$J$10:$J$224),0),
IF('TL11'!$B$229=P$3,SUMIF('TL11'!$C$238:$C$451,$C421,'TL11'!$J$238:$J$451),0),
IF('TL12'!$B$3=P$3,SUMIF('TL12'!$C$10:$C$224,$C421,'TL12'!$J$10:$J$224),0),
IF('TL12'!$B$229=P$3,SUMIF('TL12'!$C$238:$C$451,$C421,'TL12'!$J$238:$J$451),0),
IF('TL13'!$B$3=P$3,SUMIF('TL13'!$C$10:$C$224,$C421,'TL13'!$J$10:$J$224),0),
IF('TL13'!$B$229=P$3,SUMIF('TL13'!$C$238:$C$451,$C421,'TL13'!$J$238:$J$451),0),
IF('TL14'!$B$3=P$3,SUMIF('TL14'!$C$10:$C$224,$C421,'TL14'!$J$10:$J$224),0),
IF('TL14'!$B$229=P$3,SUMIF('TL14'!$C$238:$C$451,$C421,'TL14'!$J$238:$J$451),0),
IF('TL15'!$B$3=P$3,SUMIF('TL15'!$C$10:$C$224,$C421,'TL15'!$J$10:$J$224),0),
IF('TL15'!$B$229=P$3,SUMIF('TL15'!$C$238:$C$451,$C421,'TL15'!$J$238:$J$451),0),
IF('TL16'!$B$3=P$3,SUMIF('TL16'!$C$10:$C$224,$C421,'TL16'!$J$10:$J$224),0),
IF('TL16'!$B$229=P$3,SUMIF('TL16'!$C$238:$C$451,$C421,'TL16'!$J$238:$J$451),0),
IF('TL17'!$B$3=P$3,SUMIF('TL17'!$C$10:$C$224,$C421,'TL17'!$J$10:$J$224),0),
IF('TL17'!$B$229=P$3,SUMIF('TL17'!$C$238:$C$451,$C421,'TL17'!$J$238:$J$451),0),
IF('TL18'!$B$3=P$3,SUMIF('TL18'!$C$10:$C$224,$C421,'TL18'!$J$10:$J$224),0),
IF('TL18'!$B$229=P$3,SUMIF('TL18'!$C$238:$C$451,$C421,'TL18'!$J$238:$J$451),0),
IF('TL19'!$B$3=P$3,SUMIF('TL19'!$C$10:$C$224,$C421,'TL19'!$J$10:$J$224),0),
IF('TL19'!$B$229=P$3,SUMIF('TL19'!$C$238:$C$451,$C421,'TL19'!$J$238:$J$451),0)
),0)</f>
        <v>0</v>
      </c>
      <c r="Q421" s="138">
        <f>IFERROR(SUM(
IF('TL01'!$B$3=Q$3,SUMIF('TL01'!$C$10:$C$224,$C421,'TL01'!$J$10:$J$224),0),
IF('TL01'!$B$229=Q$3,SUMIF('TL01'!$C$238:$C$451,$C421,'TL01'!$J$238:$J$451),0),
IF('TL02'!$B$3=Q$3,SUMIF('TL02'!$C$10:$C$224,$C421,'TL02'!$J$10:$J$224),0),
IF('TL02'!$B$229=Q$3,SUMIF('TL02'!$C$238:$C$451,$C421,'TL02'!$J$238:$J$451),0),
IF('TL03'!$B$3=Q$3,SUMIF('TL03'!$C$10:$C$224,$C421,'TL03'!$J$10:$J$224),0),
IF('TL03'!$B$229=Q$3,SUMIF('TL03'!$C$238:$C$451,$C421,'TL03'!$J$238:$J$451),0),
IF('TL04'!$B$3=Q$3,SUMIF('TL04'!$C$10:$C$224,$C421,'TL04'!$J$10:$J$224),0),
IF('TL04'!$B$229=Q$3,SUMIF('TL04'!$C$238:$C$451,$C421,'TL04'!$J$238:$J$451),0),
IF('TL05'!$B$3=Q$3,SUMIF('TL05'!$C$10:$C$224,$C421,'TL05'!$J$10:$J$224),0),
IF('TL05'!$B$229=Q$3,SUMIF('TL05'!$C$238:$C$451,$C421,'TL05'!$J$238:$J$451),0),
IF('TL06'!$B$3=Q$3,SUMIF('TL06'!$C$10:$C$224,$C421,'TL06'!$J$10:$J$224),0),
IF('TL06'!$B$229=Q$3,SUMIF('TL06'!$C$238:$C$451,$C421,'TL06'!$J$238:$J$451),0),
IF('TL07'!$B$3=Q$3,SUMIF('TL07'!$C$10:$C$224,$C421,'TL07'!$J$10:$J$224),0),
IF('TL07'!$B$229=Q$3,SUMIF('TL07'!$C$238:$C$451,$C421,'TL07'!$J$238:$J$451),0),
IF('TL08'!$B$3=Q$3,SUMIF('TL08'!$C$10:$C$224,$C421,'TL08'!$J$10:$J$224),0),
IF('TL08'!$B$229=Q$3,SUMIF('TL08'!$C$238:$C$451,$C421,'TL08'!$J$238:$J$451),0),
IF('TL09'!$B$3=Q$3,SUMIF('TL09'!$C$10:$C$224,$C421,'TL09'!$J$10:$J$224),0),
IF('TL09'!$B$229=Q$3,SUMIF('TL09'!$C$238:$C$451,$C421,'TL09'!$J$238:$J$451),0),
IF('TL10'!$B$3=Q$3,SUMIF('TL10'!$C$10:$C$224,$C421,'TL10'!$J$10:$J$224),0),
IF('TL10'!$B$229=Q$3,SUMIF('TL10'!$C$238:$C$451,$C421,'TL10'!$J$238:$J$451),0),
IF('TL11'!$B$3=Q$3,SUMIF('TL11'!$C$10:$C$224,$C421,'TL11'!$J$10:$J$224),0),
IF('TL11'!$B$229=Q$3,SUMIF('TL11'!$C$238:$C$451,$C421,'TL11'!$J$238:$J$451),0),
IF('TL12'!$B$3=Q$3,SUMIF('TL12'!$C$10:$C$224,$C421,'TL12'!$J$10:$J$224),0),
IF('TL12'!$B$229=Q$3,SUMIF('TL12'!$C$238:$C$451,$C421,'TL12'!$J$238:$J$451),0),
IF('TL13'!$B$3=Q$3,SUMIF('TL13'!$C$10:$C$224,$C421,'TL13'!$J$10:$J$224),0),
IF('TL13'!$B$229=Q$3,SUMIF('TL13'!$C$238:$C$451,$C421,'TL13'!$J$238:$J$451),0),
IF('TL14'!$B$3=Q$3,SUMIF('TL14'!$C$10:$C$224,$C421,'TL14'!$J$10:$J$224),0),
IF('TL14'!$B$229=Q$3,SUMIF('TL14'!$C$238:$C$451,$C421,'TL14'!$J$238:$J$451),0),
IF('TL15'!$B$3=Q$3,SUMIF('TL15'!$C$10:$C$224,$C421,'TL15'!$J$10:$J$224),0),
IF('TL15'!$B$229=Q$3,SUMIF('TL15'!$C$238:$C$451,$C421,'TL15'!$J$238:$J$451),0),
IF('TL16'!$B$3=Q$3,SUMIF('TL16'!$C$10:$C$224,$C421,'TL16'!$J$10:$J$224),0),
IF('TL16'!$B$229=Q$3,SUMIF('TL16'!$C$238:$C$451,$C421,'TL16'!$J$238:$J$451),0),
IF('TL17'!$B$3=Q$3,SUMIF('TL17'!$C$10:$C$224,$C421,'TL17'!$J$10:$J$224),0),
IF('TL17'!$B$229=Q$3,SUMIF('TL17'!$C$238:$C$451,$C421,'TL17'!$J$238:$J$451),0),
IF('TL18'!$B$3=Q$3,SUMIF('TL18'!$C$10:$C$224,$C421,'TL18'!$J$10:$J$224),0),
IF('TL18'!$B$229=Q$3,SUMIF('TL18'!$C$238:$C$451,$C421,'TL18'!$J$238:$J$451),0),
IF('TL19'!$B$3=Q$3,SUMIF('TL19'!$C$10:$C$224,$C421,'TL19'!$J$10:$J$224),0),
IF('TL19'!$B$229=Q$3,SUMIF('TL19'!$C$238:$C$451,$C421,'TL19'!$J$238:$J$451),0)
),0)</f>
        <v>0</v>
      </c>
      <c r="R421" s="139">
        <f>IFERROR(
SUM(
SUMIF('TL01'!C:C,C421,'TL01'!J:J),
SUMIF('TL02'!C:C,C421,'TL02'!I:I),
SUMIF('TL03'!C:C,C421,'TL03'!I:I),
SUMIF('TL04'!C:C,C421,'TL04'!I:I),
SUMIF('TL05'!C:C,C421,'TL05'!I:I),
SUMIF('TL06'!C:C,C421,'TL06'!I:I),
SUMIF('TL07'!C:C,C421,'TL07'!I:I),
SUMIF('TL08'!C:C,C421,'TL08'!I:I),
SUMIF('TL09'!C:C,C421,'TL09'!I:I),
SUMIF('TL10'!C:C,C421,'TL10'!I:I),
SUMIF('TL11'!C:C,C421,'TL11'!I:I),
SUMIF('TL12'!C:C,C421,'TL12'!I:I),
SUMIF('TL13'!C:C,C421,'TL13'!I:I),
SUMIF('TL14'!C:C,C421,'TL14'!I:I),
SUMIF('TL15'!C:C,C421,'TL15'!I:I),
SUMIF('TL16'!C:C,C421,'TL16'!I:I),
SUMIF('TL17'!C:C,C421,'TL17'!I:I),
SUMIF('TL18'!C:C,C421,'TL18'!I:I))
,0)</f>
        <v>0</v>
      </c>
      <c r="S421" s="142" t="str">
        <f>'CUSTO OPERAÇÃO'!M25</f>
        <v/>
      </c>
      <c r="T421" s="139"/>
      <c r="U421" s="143">
        <f t="shared" si="2"/>
        <v>0</v>
      </c>
      <c r="V421" s="144">
        <f t="shared" si="3"/>
        <v>0</v>
      </c>
    </row>
    <row r="422" ht="15.75" hidden="1" customHeight="1">
      <c r="A422" s="138"/>
      <c r="B422" s="155"/>
      <c r="C422" s="138"/>
      <c r="D422" s="138"/>
      <c r="E422" s="139"/>
      <c r="F422" s="138" t="s">
        <v>1133</v>
      </c>
      <c r="G422" s="139"/>
      <c r="H422" s="140" t="str">
        <f>'CUSTO OPERAÇÃO'!J26</f>
        <v>#N/A</v>
      </c>
      <c r="I422" s="156"/>
      <c r="J422" s="138">
        <f>IFERROR(SUM(
IF('TL01'!$B$3=J$3,SUMIF('TL01'!$C$10:$C$224,$C422,'TL01'!$J$10:$J$224),0),
IF('TL01'!$B$229=J$3,SUMIF('TL01'!$C$238:$C$451,$C422,'TL01'!$J$238:$J$451),0),
IF('TL02'!$B$3=J$3,SUMIF('TL02'!$C$10:$C$224,$C422,'TL02'!$J$10:$J$224),0),
IF('TL02'!$B$229=J$3,SUMIF('TL02'!$C$238:$C$451,$C422,'TL02'!$J$238:$J$451),0),
IF('TL03'!$B$3=J$3,SUMIF('TL03'!$C$10:$C$224,$C422,'TL03'!$J$10:$J$224),0),
IF('TL03'!$B$229=J$3,SUMIF('TL03'!$C$238:$C$451,$C422,'TL03'!$J$238:$J$451),0),
IF('TL04'!$B$3=J$3,SUMIF('TL04'!$C$10:$C$224,$C422,'TL04'!$J$10:$J$224),0),
IF('TL04'!$B$229=J$3,SUMIF('TL04'!$C$238:$C$451,$C422,'TL04'!$J$238:$J$451),0),
IF('TL05'!$B$3=J$3,SUMIF('TL05'!$C$10:$C$224,$C422,'TL05'!$J$10:$J$224),0),
IF('TL05'!$B$229=J$3,SUMIF('TL05'!$C$238:$C$451,$C422,'TL05'!$J$238:$J$451),0),
IF('TL06'!$B$3=J$3,SUMIF('TL06'!$C$10:$C$224,$C422,'TL06'!$J$10:$J$224),0),
IF('TL06'!$B$229=J$3,SUMIF('TL06'!$C$238:$C$451,$C422,'TL06'!$J$238:$J$451),0),
IF('TL07'!$B$3=J$3,SUMIF('TL07'!$C$10:$C$224,$C422,'TL07'!$J$10:$J$224),0),
IF('TL07'!$B$229=J$3,SUMIF('TL07'!$C$238:$C$451,$C422,'TL07'!$J$238:$J$451),0),
IF('TL08'!$B$3=J$3,SUMIF('TL08'!$C$10:$C$224,$C422,'TL08'!$J$10:$J$224),0),
IF('TL08'!$B$229=J$3,SUMIF('TL08'!$C$238:$C$451,$C422,'TL08'!$J$238:$J$451),0),
IF('TL09'!$B$3=J$3,SUMIF('TL09'!$C$10:$C$224,$C422,'TL09'!$J$10:$J$224),0),
IF('TL09'!$B$229=J$3,SUMIF('TL09'!$C$238:$C$451,$C422,'TL09'!$J$238:$J$451),0),
IF('TL10'!$B$3=J$3,SUMIF('TL10'!$C$10:$C$224,$C422,'TL10'!$J$10:$J$224),0),
IF('TL10'!$B$229=J$3,SUMIF('TL10'!$C$238:$C$451,$C422,'TL10'!$J$238:$J$451),0),
IF('TL11'!$B$3=J$3,SUMIF('TL11'!$C$10:$C$224,$C422,'TL11'!$J$10:$J$224),0),
IF('TL11'!$B$229=J$3,SUMIF('TL11'!$C$238:$C$451,$C422,'TL11'!$J$238:$J$451),0),
IF('TL12'!$B$3=J$3,SUMIF('TL12'!$C$10:$C$224,$C422,'TL12'!$J$10:$J$224),0),
IF('TL12'!$B$229=J$3,SUMIF('TL12'!$C$238:$C$451,$C422,'TL12'!$J$238:$J$451),0),
IF('TL13'!$B$3=J$3,SUMIF('TL13'!$C$10:$C$224,$C422,'TL13'!$J$10:$J$224),0),
IF('TL13'!$B$229=J$3,SUMIF('TL13'!$C$238:$C$451,$C422,'TL13'!$J$238:$J$451),0),
IF('TL14'!$B$3=J$3,SUMIF('TL14'!$C$10:$C$224,$C422,'TL14'!$J$10:$J$224),0),
IF('TL14'!$B$229=J$3,SUMIF('TL14'!$C$238:$C$451,$C422,'TL14'!$J$238:$J$451),0),
IF('TL15'!$B$3=J$3,SUMIF('TL15'!$C$10:$C$224,$C422,'TL15'!$J$10:$J$224),0),
IF('TL15'!$B$229=J$3,SUMIF('TL15'!$C$238:$C$451,$C422,'TL15'!$J$238:$J$451),0),
IF('TL16'!$B$3=J$3,SUMIF('TL16'!$C$10:$C$224,$C422,'TL16'!$J$10:$J$224),0),
IF('TL16'!$B$229=J$3,SUMIF('TL16'!$C$238:$C$451,$C422,'TL16'!$J$238:$J$451),0),
IF('TL17'!$B$3=J$3,SUMIF('TL17'!$C$10:$C$224,$C422,'TL17'!$J$10:$J$224),0),
IF('TL17'!$B$229=J$3,SUMIF('TL17'!$C$238:$C$451,$C422,'TL17'!$J$238:$J$451),0),
IF('TL18'!$B$3=J$3,SUMIF('TL18'!$C$10:$C$224,$C422,'TL18'!$J$10:$J$224),0),
IF('TL18'!$B$229=J$3,SUMIF('TL18'!$C$238:$C$451,$C422,'TL18'!$J$238:$J$451),0),
IF('TL19'!$B$3=J$3,SUMIF('TL19'!$C$10:$C$224,$C422,'TL19'!$J$10:$J$224),0),
IF('TL19'!$B$229=J$3,SUMIF('TL19'!$C$238:$C$451,$C422,'TL19'!$J$238:$J$451),0)
),0)</f>
        <v>0</v>
      </c>
      <c r="K422" s="138">
        <f>IFERROR(SUM(
IF('TL01'!$B$3=K$3,SUMIF('TL01'!$C$10:$C$224,$C422,'TL01'!$J$10:$J$224),0),
IF('TL01'!$B$229=K$3,SUMIF('TL01'!$C$238:$C$451,$C422,'TL01'!$J$238:$J$451),0),
IF('TL02'!$B$3=K$3,SUMIF('TL02'!$C$10:$C$224,$C422,'TL02'!$J$10:$J$224),0),
IF('TL02'!$B$229=K$3,SUMIF('TL02'!$C$238:$C$451,$C422,'TL02'!$J$238:$J$451),0),
IF('TL03'!$B$3=K$3,SUMIF('TL03'!$C$10:$C$224,$C422,'TL03'!$J$10:$J$224),0),
IF('TL03'!$B$229=K$3,SUMIF('TL03'!$C$238:$C$451,$C422,'TL03'!$J$238:$J$451),0),
IF('TL04'!$B$3=K$3,SUMIF('TL04'!$C$10:$C$224,$C422,'TL04'!$J$10:$J$224),0),
IF('TL04'!$B$229=K$3,SUMIF('TL04'!$C$238:$C$451,$C422,'TL04'!$J$238:$J$451),0),
IF('TL05'!$B$3=K$3,SUMIF('TL05'!$C$10:$C$224,$C422,'TL05'!$J$10:$J$224),0),
IF('TL05'!$B$229=K$3,SUMIF('TL05'!$C$238:$C$451,$C422,'TL05'!$J$238:$J$451),0),
IF('TL06'!$B$3=K$3,SUMIF('TL06'!$C$10:$C$224,$C422,'TL06'!$J$10:$J$224),0),
IF('TL06'!$B$229=K$3,SUMIF('TL06'!$C$238:$C$451,$C422,'TL06'!$J$238:$J$451),0),
IF('TL07'!$B$3=K$3,SUMIF('TL07'!$C$10:$C$224,$C422,'TL07'!$J$10:$J$224),0),
IF('TL07'!$B$229=K$3,SUMIF('TL07'!$C$238:$C$451,$C422,'TL07'!$J$238:$J$451),0),
IF('TL08'!$B$3=K$3,SUMIF('TL08'!$C$10:$C$224,$C422,'TL08'!$J$10:$J$224),0),
IF('TL08'!$B$229=K$3,SUMIF('TL08'!$C$238:$C$451,$C422,'TL08'!$J$238:$J$451),0),
IF('TL09'!$B$3=K$3,SUMIF('TL09'!$C$10:$C$224,$C422,'TL09'!$J$10:$J$224),0),
IF('TL09'!$B$229=K$3,SUMIF('TL09'!$C$238:$C$451,$C422,'TL09'!$J$238:$J$451),0),
IF('TL10'!$B$3=K$3,SUMIF('TL10'!$C$10:$C$224,$C422,'TL10'!$J$10:$J$224),0),
IF('TL10'!$B$229=K$3,SUMIF('TL10'!$C$238:$C$451,$C422,'TL10'!$J$238:$J$451),0),
IF('TL11'!$B$3=K$3,SUMIF('TL11'!$C$10:$C$224,$C422,'TL11'!$J$10:$J$224),0),
IF('TL11'!$B$229=K$3,SUMIF('TL11'!$C$238:$C$451,$C422,'TL11'!$J$238:$J$451),0),
IF('TL12'!$B$3=K$3,SUMIF('TL12'!$C$10:$C$224,$C422,'TL12'!$J$10:$J$224),0),
IF('TL12'!$B$229=K$3,SUMIF('TL12'!$C$238:$C$451,$C422,'TL12'!$J$238:$J$451),0),
IF('TL13'!$B$3=K$3,SUMIF('TL13'!$C$10:$C$224,$C422,'TL13'!$J$10:$J$224),0),
IF('TL13'!$B$229=K$3,SUMIF('TL13'!$C$238:$C$451,$C422,'TL13'!$J$238:$J$451),0),
IF('TL14'!$B$3=K$3,SUMIF('TL14'!$C$10:$C$224,$C422,'TL14'!$J$10:$J$224),0),
IF('TL14'!$B$229=K$3,SUMIF('TL14'!$C$238:$C$451,$C422,'TL14'!$J$238:$J$451),0),
IF('TL15'!$B$3=K$3,SUMIF('TL15'!$C$10:$C$224,$C422,'TL15'!$J$10:$J$224),0),
IF('TL15'!$B$229=K$3,SUMIF('TL15'!$C$238:$C$451,$C422,'TL15'!$J$238:$J$451),0),
IF('TL16'!$B$3=K$3,SUMIF('TL16'!$C$10:$C$224,$C422,'TL16'!$J$10:$J$224),0),
IF('TL16'!$B$229=K$3,SUMIF('TL16'!$C$238:$C$451,$C422,'TL16'!$J$238:$J$451),0),
IF('TL17'!$B$3=K$3,SUMIF('TL17'!$C$10:$C$224,$C422,'TL17'!$J$10:$J$224),0),
IF('TL17'!$B$229=K$3,SUMIF('TL17'!$C$238:$C$451,$C422,'TL17'!$J$238:$J$451),0),
IF('TL18'!$B$3=K$3,SUMIF('TL18'!$C$10:$C$224,$C422,'TL18'!$J$10:$J$224),0),
IF('TL18'!$B$229=K$3,SUMIF('TL18'!$C$238:$C$451,$C422,'TL18'!$J$238:$J$451),0),
IF('TL19'!$B$3=K$3,SUMIF('TL19'!$C$10:$C$224,$C422,'TL19'!$J$10:$J$224),0),
IF('TL19'!$B$229=K$3,SUMIF('TL19'!$C$238:$C$451,$C422,'TL19'!$J$238:$J$451),0)
),0)</f>
        <v>0</v>
      </c>
      <c r="L422" s="138">
        <f>IFERROR(SUM(
IF('TL01'!$B$3=L$3,SUMIF('TL01'!$C$10:$C$224,$C422,'TL01'!$J$10:$J$224),0),
IF('TL01'!$B$229=L$3,SUMIF('TL01'!$C$238:$C$451,$C422,'TL01'!$J$238:$J$451),0),
IF('TL02'!$B$3=L$3,SUMIF('TL02'!$C$10:$C$224,$C422,'TL02'!$J$10:$J$224),0),
IF('TL02'!$B$229=L$3,SUMIF('TL02'!$C$238:$C$451,$C422,'TL02'!$J$238:$J$451),0),
IF('TL03'!$B$3=L$3,SUMIF('TL03'!$C$10:$C$224,$C422,'TL03'!$J$10:$J$224),0),
IF('TL03'!$B$229=L$3,SUMIF('TL03'!$C$238:$C$451,$C422,'TL03'!$J$238:$J$451),0),
IF('TL04'!$B$3=L$3,SUMIF('TL04'!$C$10:$C$224,$C422,'TL04'!$J$10:$J$224),0),
IF('TL04'!$B$229=L$3,SUMIF('TL04'!$C$238:$C$451,$C422,'TL04'!$J$238:$J$451),0),
IF('TL05'!$B$3=L$3,SUMIF('TL05'!$C$10:$C$224,$C422,'TL05'!$J$10:$J$224),0),
IF('TL05'!$B$229=L$3,SUMIF('TL05'!$C$238:$C$451,$C422,'TL05'!$J$238:$J$451),0),
IF('TL06'!$B$3=L$3,SUMIF('TL06'!$C$10:$C$224,$C422,'TL06'!$J$10:$J$224),0),
IF('TL06'!$B$229=L$3,SUMIF('TL06'!$C$238:$C$451,$C422,'TL06'!$J$238:$J$451),0),
IF('TL07'!$B$3=L$3,SUMIF('TL07'!$C$10:$C$224,$C422,'TL07'!$J$10:$J$224),0),
IF('TL07'!$B$229=L$3,SUMIF('TL07'!$C$238:$C$451,$C422,'TL07'!$J$238:$J$451),0),
IF('TL08'!$B$3=L$3,SUMIF('TL08'!$C$10:$C$224,$C422,'TL08'!$J$10:$J$224),0),
IF('TL08'!$B$229=L$3,SUMIF('TL08'!$C$238:$C$451,$C422,'TL08'!$J$238:$J$451),0),
IF('TL09'!$B$3=L$3,SUMIF('TL09'!$C$10:$C$224,$C422,'TL09'!$J$10:$J$224),0),
IF('TL09'!$B$229=L$3,SUMIF('TL09'!$C$238:$C$451,$C422,'TL09'!$J$238:$J$451),0),
IF('TL10'!$B$3=L$3,SUMIF('TL10'!$C$10:$C$224,$C422,'TL10'!$J$10:$J$224),0),
IF('TL10'!$B$229=L$3,SUMIF('TL10'!$C$238:$C$451,$C422,'TL10'!$J$238:$J$451),0),
IF('TL11'!$B$3=L$3,SUMIF('TL11'!$C$10:$C$224,$C422,'TL11'!$J$10:$J$224),0),
IF('TL11'!$B$229=L$3,SUMIF('TL11'!$C$238:$C$451,$C422,'TL11'!$J$238:$J$451),0),
IF('TL12'!$B$3=L$3,SUMIF('TL12'!$C$10:$C$224,$C422,'TL12'!$J$10:$J$224),0),
IF('TL12'!$B$229=L$3,SUMIF('TL12'!$C$238:$C$451,$C422,'TL12'!$J$238:$J$451),0),
IF('TL13'!$B$3=L$3,SUMIF('TL13'!$C$10:$C$224,$C422,'TL13'!$J$10:$J$224),0),
IF('TL13'!$B$229=L$3,SUMIF('TL13'!$C$238:$C$451,$C422,'TL13'!$J$238:$J$451),0),
IF('TL14'!$B$3=L$3,SUMIF('TL14'!$C$10:$C$224,$C422,'TL14'!$J$10:$J$224),0),
IF('TL14'!$B$229=L$3,SUMIF('TL14'!$C$238:$C$451,$C422,'TL14'!$J$238:$J$451),0),
IF('TL15'!$B$3=L$3,SUMIF('TL15'!$C$10:$C$224,$C422,'TL15'!$J$10:$J$224),0),
IF('TL15'!$B$229=L$3,SUMIF('TL15'!$C$238:$C$451,$C422,'TL15'!$J$238:$J$451),0),
IF('TL16'!$B$3=L$3,SUMIF('TL16'!$C$10:$C$224,$C422,'TL16'!$J$10:$J$224),0),
IF('TL16'!$B$229=L$3,SUMIF('TL16'!$C$238:$C$451,$C422,'TL16'!$J$238:$J$451),0),
IF('TL17'!$B$3=L$3,SUMIF('TL17'!$C$10:$C$224,$C422,'TL17'!$J$10:$J$224),0),
IF('TL17'!$B$229=L$3,SUMIF('TL17'!$C$238:$C$451,$C422,'TL17'!$J$238:$J$451),0),
IF('TL18'!$B$3=L$3,SUMIF('TL18'!$C$10:$C$224,$C422,'TL18'!$J$10:$J$224),0),
IF('TL18'!$B$229=L$3,SUMIF('TL18'!$C$238:$C$451,$C422,'TL18'!$J$238:$J$451),0),
IF('TL19'!$B$3=L$3,SUMIF('TL19'!$C$10:$C$224,$C422,'TL19'!$J$10:$J$224),0),
IF('TL19'!$B$229=L$3,SUMIF('TL19'!$C$238:$C$451,$C422,'TL19'!$J$238:$J$451),0)
),0)</f>
        <v>0</v>
      </c>
      <c r="M422" s="138">
        <f>IFERROR(SUM(
IF('TL01'!$B$3=M$3,SUMIF('TL01'!$C$10:$C$224,$C422,'TL01'!$J$10:$J$224),0),
IF('TL01'!$B$229=M$3,SUMIF('TL01'!$C$238:$C$451,$C422,'TL01'!$J$238:$J$451),0),
IF('TL02'!$B$3=M$3,SUMIF('TL02'!$C$10:$C$224,$C422,'TL02'!$J$10:$J$224),0),
IF('TL02'!$B$229=M$3,SUMIF('TL02'!$C$238:$C$451,$C422,'TL02'!$J$238:$J$451),0),
IF('TL03'!$B$3=M$3,SUMIF('TL03'!$C$10:$C$224,$C422,'TL03'!$J$10:$J$224),0),
IF('TL03'!$B$229=M$3,SUMIF('TL03'!$C$238:$C$451,$C422,'TL03'!$J$238:$J$451),0),
IF('TL04'!$B$3=M$3,SUMIF('TL04'!$C$10:$C$224,$C422,'TL04'!$J$10:$J$224),0),
IF('TL04'!$B$229=M$3,SUMIF('TL04'!$C$238:$C$451,$C422,'TL04'!$J$238:$J$451),0),
IF('TL05'!$B$3=M$3,SUMIF('TL05'!$C$10:$C$224,$C422,'TL05'!$J$10:$J$224),0),
IF('TL05'!$B$229=M$3,SUMIF('TL05'!$C$238:$C$451,$C422,'TL05'!$J$238:$J$451),0),
IF('TL06'!$B$3=M$3,SUMIF('TL06'!$C$10:$C$224,$C422,'TL06'!$J$10:$J$224),0),
IF('TL06'!$B$229=M$3,SUMIF('TL06'!$C$238:$C$451,$C422,'TL06'!$J$238:$J$451),0),
IF('TL07'!$B$3=M$3,SUMIF('TL07'!$C$10:$C$224,$C422,'TL07'!$J$10:$J$224),0),
IF('TL07'!$B$229=M$3,SUMIF('TL07'!$C$238:$C$451,$C422,'TL07'!$J$238:$J$451),0),
IF('TL08'!$B$3=M$3,SUMIF('TL08'!$C$10:$C$224,$C422,'TL08'!$J$10:$J$224),0),
IF('TL08'!$B$229=M$3,SUMIF('TL08'!$C$238:$C$451,$C422,'TL08'!$J$238:$J$451),0),
IF('TL09'!$B$3=M$3,SUMIF('TL09'!$C$10:$C$224,$C422,'TL09'!$J$10:$J$224),0),
IF('TL09'!$B$229=M$3,SUMIF('TL09'!$C$238:$C$451,$C422,'TL09'!$J$238:$J$451),0),
IF('TL10'!$B$3=M$3,SUMIF('TL10'!$C$10:$C$224,$C422,'TL10'!$J$10:$J$224),0),
IF('TL10'!$B$229=M$3,SUMIF('TL10'!$C$238:$C$451,$C422,'TL10'!$J$238:$J$451),0),
IF('TL11'!$B$3=M$3,SUMIF('TL11'!$C$10:$C$224,$C422,'TL11'!$J$10:$J$224),0),
IF('TL11'!$B$229=M$3,SUMIF('TL11'!$C$238:$C$451,$C422,'TL11'!$J$238:$J$451),0),
IF('TL12'!$B$3=M$3,SUMIF('TL12'!$C$10:$C$224,$C422,'TL12'!$J$10:$J$224),0),
IF('TL12'!$B$229=M$3,SUMIF('TL12'!$C$238:$C$451,$C422,'TL12'!$J$238:$J$451),0),
IF('TL13'!$B$3=M$3,SUMIF('TL13'!$C$10:$C$224,$C422,'TL13'!$J$10:$J$224),0),
IF('TL13'!$B$229=M$3,SUMIF('TL13'!$C$238:$C$451,$C422,'TL13'!$J$238:$J$451),0),
IF('TL14'!$B$3=M$3,SUMIF('TL14'!$C$10:$C$224,$C422,'TL14'!$J$10:$J$224),0),
IF('TL14'!$B$229=M$3,SUMIF('TL14'!$C$238:$C$451,$C422,'TL14'!$J$238:$J$451),0),
IF('TL15'!$B$3=M$3,SUMIF('TL15'!$C$10:$C$224,$C422,'TL15'!$J$10:$J$224),0),
IF('TL15'!$B$229=M$3,SUMIF('TL15'!$C$238:$C$451,$C422,'TL15'!$J$238:$J$451),0),
IF('TL16'!$B$3=M$3,SUMIF('TL16'!$C$10:$C$224,$C422,'TL16'!$J$10:$J$224),0),
IF('TL16'!$B$229=M$3,SUMIF('TL16'!$C$238:$C$451,$C422,'TL16'!$J$238:$J$451),0),
IF('TL17'!$B$3=M$3,SUMIF('TL17'!$C$10:$C$224,$C422,'TL17'!$J$10:$J$224),0),
IF('TL17'!$B$229=M$3,SUMIF('TL17'!$C$238:$C$451,$C422,'TL17'!$J$238:$J$451),0),
IF('TL18'!$B$3=M$3,SUMIF('TL18'!$C$10:$C$224,$C422,'TL18'!$J$10:$J$224),0),
IF('TL18'!$B$229=M$3,SUMIF('TL18'!$C$238:$C$451,$C422,'TL18'!$J$238:$J$451),0),
IF('TL19'!$B$3=M$3,SUMIF('TL19'!$C$10:$C$224,$C422,'TL19'!$J$10:$J$224),0),
IF('TL19'!$B$229=M$3,SUMIF('TL19'!$C$238:$C$451,$C422,'TL19'!$J$238:$J$451),0)
),0)</f>
        <v>0</v>
      </c>
      <c r="N422" s="138">
        <f>IFERROR(SUM(
IF('TL01'!$B$3=N$3,SUMIF('TL01'!$C$10:$C$224,$C422,'TL01'!$J$10:$J$224),0),
IF('TL01'!$B$229=N$3,SUMIF('TL01'!$C$238:$C$451,$C422,'TL01'!$J$238:$J$451),0),
IF('TL02'!$B$3=N$3,SUMIF('TL02'!$C$10:$C$224,$C422,'TL02'!$J$10:$J$224),0),
IF('TL02'!$B$229=N$3,SUMIF('TL02'!$C$238:$C$451,$C422,'TL02'!$J$238:$J$451),0),
IF('TL03'!$B$3=N$3,SUMIF('TL03'!$C$10:$C$224,$C422,'TL03'!$J$10:$J$224),0),
IF('TL03'!$B$229=N$3,SUMIF('TL03'!$C$238:$C$451,$C422,'TL03'!$J$238:$J$451),0),
IF('TL04'!$B$3=N$3,SUMIF('TL04'!$C$10:$C$224,$C422,'TL04'!$J$10:$J$224),0),
IF('TL04'!$B$229=N$3,SUMIF('TL04'!$C$238:$C$451,$C422,'TL04'!$J$238:$J$451),0),
IF('TL05'!$B$3=N$3,SUMIF('TL05'!$C$10:$C$224,$C422,'TL05'!$J$10:$J$224),0),
IF('TL05'!$B$229=N$3,SUMIF('TL05'!$C$238:$C$451,$C422,'TL05'!$J$238:$J$451),0),
IF('TL06'!$B$3=N$3,SUMIF('TL06'!$C$10:$C$224,$C422,'TL06'!$J$10:$J$224),0),
IF('TL06'!$B$229=N$3,SUMIF('TL06'!$C$238:$C$451,$C422,'TL06'!$J$238:$J$451),0),
IF('TL07'!$B$3=N$3,SUMIF('TL07'!$C$10:$C$224,$C422,'TL07'!$J$10:$J$224),0),
IF('TL07'!$B$229=N$3,SUMIF('TL07'!$C$238:$C$451,$C422,'TL07'!$J$238:$J$451),0),
IF('TL08'!$B$3=N$3,SUMIF('TL08'!$C$10:$C$224,$C422,'TL08'!$J$10:$J$224),0),
IF('TL08'!$B$229=N$3,SUMIF('TL08'!$C$238:$C$451,$C422,'TL08'!$J$238:$J$451),0),
IF('TL09'!$B$3=N$3,SUMIF('TL09'!$C$10:$C$224,$C422,'TL09'!$J$10:$J$224),0),
IF('TL09'!$B$229=N$3,SUMIF('TL09'!$C$238:$C$451,$C422,'TL09'!$J$238:$J$451),0),
IF('TL10'!$B$3=N$3,SUMIF('TL10'!$C$10:$C$224,$C422,'TL10'!$J$10:$J$224),0),
IF('TL10'!$B$229=N$3,SUMIF('TL10'!$C$238:$C$451,$C422,'TL10'!$J$238:$J$451),0),
IF('TL11'!$B$3=N$3,SUMIF('TL11'!$C$10:$C$224,$C422,'TL11'!$J$10:$J$224),0),
IF('TL11'!$B$229=N$3,SUMIF('TL11'!$C$238:$C$451,$C422,'TL11'!$J$238:$J$451),0),
IF('TL12'!$B$3=N$3,SUMIF('TL12'!$C$10:$C$224,$C422,'TL12'!$J$10:$J$224),0),
IF('TL12'!$B$229=N$3,SUMIF('TL12'!$C$238:$C$451,$C422,'TL12'!$J$238:$J$451),0),
IF('TL13'!$B$3=N$3,SUMIF('TL13'!$C$10:$C$224,$C422,'TL13'!$J$10:$J$224),0),
IF('TL13'!$B$229=N$3,SUMIF('TL13'!$C$238:$C$451,$C422,'TL13'!$J$238:$J$451),0),
IF('TL14'!$B$3=N$3,SUMIF('TL14'!$C$10:$C$224,$C422,'TL14'!$J$10:$J$224),0),
IF('TL14'!$B$229=N$3,SUMIF('TL14'!$C$238:$C$451,$C422,'TL14'!$J$238:$J$451),0),
IF('TL15'!$B$3=N$3,SUMIF('TL15'!$C$10:$C$224,$C422,'TL15'!$J$10:$J$224),0),
IF('TL15'!$B$229=N$3,SUMIF('TL15'!$C$238:$C$451,$C422,'TL15'!$J$238:$J$451),0),
IF('TL16'!$B$3=N$3,SUMIF('TL16'!$C$10:$C$224,$C422,'TL16'!$J$10:$J$224),0),
IF('TL16'!$B$229=N$3,SUMIF('TL16'!$C$238:$C$451,$C422,'TL16'!$J$238:$J$451),0),
IF('TL17'!$B$3=N$3,SUMIF('TL17'!$C$10:$C$224,$C422,'TL17'!$J$10:$J$224),0),
IF('TL17'!$B$229=N$3,SUMIF('TL17'!$C$238:$C$451,$C422,'TL17'!$J$238:$J$451),0),
IF('TL18'!$B$3=N$3,SUMIF('TL18'!$C$10:$C$224,$C422,'TL18'!$J$10:$J$224),0),
IF('TL18'!$B$229=N$3,SUMIF('TL18'!$C$238:$C$451,$C422,'TL18'!$J$238:$J$451),0),
IF('TL19'!$B$3=N$3,SUMIF('TL19'!$C$10:$C$224,$C422,'TL19'!$J$10:$J$224),0),
IF('TL19'!$B$229=N$3,SUMIF('TL19'!$C$238:$C$451,$C422,'TL19'!$J$238:$J$451),0)
),0)</f>
        <v>0</v>
      </c>
      <c r="O422" s="138">
        <f>IFERROR(SUM(
IF('TL01'!$B$3=O$3,SUMIF('TL01'!$C$10:$C$224,$C422,'TL01'!$J$10:$J$224),0),
IF('TL01'!$B$229=O$3,SUMIF('TL01'!$C$238:$C$451,$C422,'TL01'!$J$238:$J$451),0),
IF('TL02'!$B$3=O$3,SUMIF('TL02'!$C$10:$C$224,$C422,'TL02'!$J$10:$J$224),0),
IF('TL02'!$B$229=O$3,SUMIF('TL02'!$C$238:$C$451,$C422,'TL02'!$J$238:$J$451),0),
IF('TL03'!$B$3=O$3,SUMIF('TL03'!$C$10:$C$224,$C422,'TL03'!$J$10:$J$224),0),
IF('TL03'!$B$229=O$3,SUMIF('TL03'!$C$238:$C$451,$C422,'TL03'!$J$238:$J$451),0),
IF('TL04'!$B$3=O$3,SUMIF('TL04'!$C$10:$C$224,$C422,'TL04'!$J$10:$J$224),0),
IF('TL04'!$B$229=O$3,SUMIF('TL04'!$C$238:$C$451,$C422,'TL04'!$J$238:$J$451),0),
IF('TL05'!$B$3=O$3,SUMIF('TL05'!$C$10:$C$224,$C422,'TL05'!$J$10:$J$224),0),
IF('TL05'!$B$229=O$3,SUMIF('TL05'!$C$238:$C$451,$C422,'TL05'!$J$238:$J$451),0),
IF('TL06'!$B$3=O$3,SUMIF('TL06'!$C$10:$C$224,$C422,'TL06'!$J$10:$J$224),0),
IF('TL06'!$B$229=O$3,SUMIF('TL06'!$C$238:$C$451,$C422,'TL06'!$J$238:$J$451),0),
IF('TL07'!$B$3=O$3,SUMIF('TL07'!$C$10:$C$224,$C422,'TL07'!$J$10:$J$224),0),
IF('TL07'!$B$229=O$3,SUMIF('TL07'!$C$238:$C$451,$C422,'TL07'!$J$238:$J$451),0),
IF('TL08'!$B$3=O$3,SUMIF('TL08'!$C$10:$C$224,$C422,'TL08'!$J$10:$J$224),0),
IF('TL08'!$B$229=O$3,SUMIF('TL08'!$C$238:$C$451,$C422,'TL08'!$J$238:$J$451),0),
IF('TL09'!$B$3=O$3,SUMIF('TL09'!$C$10:$C$224,$C422,'TL09'!$J$10:$J$224),0),
IF('TL09'!$B$229=O$3,SUMIF('TL09'!$C$238:$C$451,$C422,'TL09'!$J$238:$J$451),0),
IF('TL10'!$B$3=O$3,SUMIF('TL10'!$C$10:$C$224,$C422,'TL10'!$J$10:$J$224),0),
IF('TL10'!$B$229=O$3,SUMIF('TL10'!$C$238:$C$451,$C422,'TL10'!$J$238:$J$451),0),
IF('TL11'!$B$3=O$3,SUMIF('TL11'!$C$10:$C$224,$C422,'TL11'!$J$10:$J$224),0),
IF('TL11'!$B$229=O$3,SUMIF('TL11'!$C$238:$C$451,$C422,'TL11'!$J$238:$J$451),0),
IF('TL12'!$B$3=O$3,SUMIF('TL12'!$C$10:$C$224,$C422,'TL12'!$J$10:$J$224),0),
IF('TL12'!$B$229=O$3,SUMIF('TL12'!$C$238:$C$451,$C422,'TL12'!$J$238:$J$451),0),
IF('TL13'!$B$3=O$3,SUMIF('TL13'!$C$10:$C$224,$C422,'TL13'!$J$10:$J$224),0),
IF('TL13'!$B$229=O$3,SUMIF('TL13'!$C$238:$C$451,$C422,'TL13'!$J$238:$J$451),0),
IF('TL14'!$B$3=O$3,SUMIF('TL14'!$C$10:$C$224,$C422,'TL14'!$J$10:$J$224),0),
IF('TL14'!$B$229=O$3,SUMIF('TL14'!$C$238:$C$451,$C422,'TL14'!$J$238:$J$451),0),
IF('TL15'!$B$3=O$3,SUMIF('TL15'!$C$10:$C$224,$C422,'TL15'!$J$10:$J$224),0),
IF('TL15'!$B$229=O$3,SUMIF('TL15'!$C$238:$C$451,$C422,'TL15'!$J$238:$J$451),0),
IF('TL16'!$B$3=O$3,SUMIF('TL16'!$C$10:$C$224,$C422,'TL16'!$J$10:$J$224),0),
IF('TL16'!$B$229=O$3,SUMIF('TL16'!$C$238:$C$451,$C422,'TL16'!$J$238:$J$451),0),
IF('TL17'!$B$3=O$3,SUMIF('TL17'!$C$10:$C$224,$C422,'TL17'!$J$10:$J$224),0),
IF('TL17'!$B$229=O$3,SUMIF('TL17'!$C$238:$C$451,$C422,'TL17'!$J$238:$J$451),0),
IF('TL18'!$B$3=O$3,SUMIF('TL18'!$C$10:$C$224,$C422,'TL18'!$J$10:$J$224),0),
IF('TL18'!$B$229=O$3,SUMIF('TL18'!$C$238:$C$451,$C422,'TL18'!$J$238:$J$451),0),
IF('TL19'!$B$3=O$3,SUMIF('TL19'!$C$10:$C$224,$C422,'TL19'!$J$10:$J$224),0),
IF('TL19'!$B$229=O$3,SUMIF('TL19'!$C$238:$C$451,$C422,'TL19'!$J$238:$J$451),0)
),0)</f>
        <v>0</v>
      </c>
      <c r="P422" s="138">
        <f>IFERROR(SUM(
IF('TL01'!$B$3=P$3,SUMIF('TL01'!$C$10:$C$224,$C422,'TL01'!$J$10:$J$224),0),
IF('TL01'!$B$229=P$3,SUMIF('TL01'!$C$238:$C$451,$C422,'TL01'!$J$238:$J$451),0),
IF('TL02'!$B$3=P$3,SUMIF('TL02'!$C$10:$C$224,$C422,'TL02'!$J$10:$J$224),0),
IF('TL02'!$B$229=P$3,SUMIF('TL02'!$C$238:$C$451,$C422,'TL02'!$J$238:$J$451),0),
IF('TL03'!$B$3=P$3,SUMIF('TL03'!$C$10:$C$224,$C422,'TL03'!$J$10:$J$224),0),
IF('TL03'!$B$229=P$3,SUMIF('TL03'!$C$238:$C$451,$C422,'TL03'!$J$238:$J$451),0),
IF('TL04'!$B$3=P$3,SUMIF('TL04'!$C$10:$C$224,$C422,'TL04'!$J$10:$J$224),0),
IF('TL04'!$B$229=P$3,SUMIF('TL04'!$C$238:$C$451,$C422,'TL04'!$J$238:$J$451),0),
IF('TL05'!$B$3=P$3,SUMIF('TL05'!$C$10:$C$224,$C422,'TL05'!$J$10:$J$224),0),
IF('TL05'!$B$229=P$3,SUMIF('TL05'!$C$238:$C$451,$C422,'TL05'!$J$238:$J$451),0),
IF('TL06'!$B$3=P$3,SUMIF('TL06'!$C$10:$C$224,$C422,'TL06'!$J$10:$J$224),0),
IF('TL06'!$B$229=P$3,SUMIF('TL06'!$C$238:$C$451,$C422,'TL06'!$J$238:$J$451),0),
IF('TL07'!$B$3=P$3,SUMIF('TL07'!$C$10:$C$224,$C422,'TL07'!$J$10:$J$224),0),
IF('TL07'!$B$229=P$3,SUMIF('TL07'!$C$238:$C$451,$C422,'TL07'!$J$238:$J$451),0),
IF('TL08'!$B$3=P$3,SUMIF('TL08'!$C$10:$C$224,$C422,'TL08'!$J$10:$J$224),0),
IF('TL08'!$B$229=P$3,SUMIF('TL08'!$C$238:$C$451,$C422,'TL08'!$J$238:$J$451),0),
IF('TL09'!$B$3=P$3,SUMIF('TL09'!$C$10:$C$224,$C422,'TL09'!$J$10:$J$224),0),
IF('TL09'!$B$229=P$3,SUMIF('TL09'!$C$238:$C$451,$C422,'TL09'!$J$238:$J$451),0),
IF('TL10'!$B$3=P$3,SUMIF('TL10'!$C$10:$C$224,$C422,'TL10'!$J$10:$J$224),0),
IF('TL10'!$B$229=P$3,SUMIF('TL10'!$C$238:$C$451,$C422,'TL10'!$J$238:$J$451),0),
IF('TL11'!$B$3=P$3,SUMIF('TL11'!$C$10:$C$224,$C422,'TL11'!$J$10:$J$224),0),
IF('TL11'!$B$229=P$3,SUMIF('TL11'!$C$238:$C$451,$C422,'TL11'!$J$238:$J$451),0),
IF('TL12'!$B$3=P$3,SUMIF('TL12'!$C$10:$C$224,$C422,'TL12'!$J$10:$J$224),0),
IF('TL12'!$B$229=P$3,SUMIF('TL12'!$C$238:$C$451,$C422,'TL12'!$J$238:$J$451),0),
IF('TL13'!$B$3=P$3,SUMIF('TL13'!$C$10:$C$224,$C422,'TL13'!$J$10:$J$224),0),
IF('TL13'!$B$229=P$3,SUMIF('TL13'!$C$238:$C$451,$C422,'TL13'!$J$238:$J$451),0),
IF('TL14'!$B$3=P$3,SUMIF('TL14'!$C$10:$C$224,$C422,'TL14'!$J$10:$J$224),0),
IF('TL14'!$B$229=P$3,SUMIF('TL14'!$C$238:$C$451,$C422,'TL14'!$J$238:$J$451),0),
IF('TL15'!$B$3=P$3,SUMIF('TL15'!$C$10:$C$224,$C422,'TL15'!$J$10:$J$224),0),
IF('TL15'!$B$229=P$3,SUMIF('TL15'!$C$238:$C$451,$C422,'TL15'!$J$238:$J$451),0),
IF('TL16'!$B$3=P$3,SUMIF('TL16'!$C$10:$C$224,$C422,'TL16'!$J$10:$J$224),0),
IF('TL16'!$B$229=P$3,SUMIF('TL16'!$C$238:$C$451,$C422,'TL16'!$J$238:$J$451),0),
IF('TL17'!$B$3=P$3,SUMIF('TL17'!$C$10:$C$224,$C422,'TL17'!$J$10:$J$224),0),
IF('TL17'!$B$229=P$3,SUMIF('TL17'!$C$238:$C$451,$C422,'TL17'!$J$238:$J$451),0),
IF('TL18'!$B$3=P$3,SUMIF('TL18'!$C$10:$C$224,$C422,'TL18'!$J$10:$J$224),0),
IF('TL18'!$B$229=P$3,SUMIF('TL18'!$C$238:$C$451,$C422,'TL18'!$J$238:$J$451),0),
IF('TL19'!$B$3=P$3,SUMIF('TL19'!$C$10:$C$224,$C422,'TL19'!$J$10:$J$224),0),
IF('TL19'!$B$229=P$3,SUMIF('TL19'!$C$238:$C$451,$C422,'TL19'!$J$238:$J$451),0)
),0)</f>
        <v>0</v>
      </c>
      <c r="Q422" s="138">
        <f>IFERROR(SUM(
IF('TL01'!$B$3=Q$3,SUMIF('TL01'!$C$10:$C$224,$C422,'TL01'!$J$10:$J$224),0),
IF('TL01'!$B$229=Q$3,SUMIF('TL01'!$C$238:$C$451,$C422,'TL01'!$J$238:$J$451),0),
IF('TL02'!$B$3=Q$3,SUMIF('TL02'!$C$10:$C$224,$C422,'TL02'!$J$10:$J$224),0),
IF('TL02'!$B$229=Q$3,SUMIF('TL02'!$C$238:$C$451,$C422,'TL02'!$J$238:$J$451),0),
IF('TL03'!$B$3=Q$3,SUMIF('TL03'!$C$10:$C$224,$C422,'TL03'!$J$10:$J$224),0),
IF('TL03'!$B$229=Q$3,SUMIF('TL03'!$C$238:$C$451,$C422,'TL03'!$J$238:$J$451),0),
IF('TL04'!$B$3=Q$3,SUMIF('TL04'!$C$10:$C$224,$C422,'TL04'!$J$10:$J$224),0),
IF('TL04'!$B$229=Q$3,SUMIF('TL04'!$C$238:$C$451,$C422,'TL04'!$J$238:$J$451),0),
IF('TL05'!$B$3=Q$3,SUMIF('TL05'!$C$10:$C$224,$C422,'TL05'!$J$10:$J$224),0),
IF('TL05'!$B$229=Q$3,SUMIF('TL05'!$C$238:$C$451,$C422,'TL05'!$J$238:$J$451),0),
IF('TL06'!$B$3=Q$3,SUMIF('TL06'!$C$10:$C$224,$C422,'TL06'!$J$10:$J$224),0),
IF('TL06'!$B$229=Q$3,SUMIF('TL06'!$C$238:$C$451,$C422,'TL06'!$J$238:$J$451),0),
IF('TL07'!$B$3=Q$3,SUMIF('TL07'!$C$10:$C$224,$C422,'TL07'!$J$10:$J$224),0),
IF('TL07'!$B$229=Q$3,SUMIF('TL07'!$C$238:$C$451,$C422,'TL07'!$J$238:$J$451),0),
IF('TL08'!$B$3=Q$3,SUMIF('TL08'!$C$10:$C$224,$C422,'TL08'!$J$10:$J$224),0),
IF('TL08'!$B$229=Q$3,SUMIF('TL08'!$C$238:$C$451,$C422,'TL08'!$J$238:$J$451),0),
IF('TL09'!$B$3=Q$3,SUMIF('TL09'!$C$10:$C$224,$C422,'TL09'!$J$10:$J$224),0),
IF('TL09'!$B$229=Q$3,SUMIF('TL09'!$C$238:$C$451,$C422,'TL09'!$J$238:$J$451),0),
IF('TL10'!$B$3=Q$3,SUMIF('TL10'!$C$10:$C$224,$C422,'TL10'!$J$10:$J$224),0),
IF('TL10'!$B$229=Q$3,SUMIF('TL10'!$C$238:$C$451,$C422,'TL10'!$J$238:$J$451),0),
IF('TL11'!$B$3=Q$3,SUMIF('TL11'!$C$10:$C$224,$C422,'TL11'!$J$10:$J$224),0),
IF('TL11'!$B$229=Q$3,SUMIF('TL11'!$C$238:$C$451,$C422,'TL11'!$J$238:$J$451),0),
IF('TL12'!$B$3=Q$3,SUMIF('TL12'!$C$10:$C$224,$C422,'TL12'!$J$10:$J$224),0),
IF('TL12'!$B$229=Q$3,SUMIF('TL12'!$C$238:$C$451,$C422,'TL12'!$J$238:$J$451),0),
IF('TL13'!$B$3=Q$3,SUMIF('TL13'!$C$10:$C$224,$C422,'TL13'!$J$10:$J$224),0),
IF('TL13'!$B$229=Q$3,SUMIF('TL13'!$C$238:$C$451,$C422,'TL13'!$J$238:$J$451),0),
IF('TL14'!$B$3=Q$3,SUMIF('TL14'!$C$10:$C$224,$C422,'TL14'!$J$10:$J$224),0),
IF('TL14'!$B$229=Q$3,SUMIF('TL14'!$C$238:$C$451,$C422,'TL14'!$J$238:$J$451),0),
IF('TL15'!$B$3=Q$3,SUMIF('TL15'!$C$10:$C$224,$C422,'TL15'!$J$10:$J$224),0),
IF('TL15'!$B$229=Q$3,SUMIF('TL15'!$C$238:$C$451,$C422,'TL15'!$J$238:$J$451),0),
IF('TL16'!$B$3=Q$3,SUMIF('TL16'!$C$10:$C$224,$C422,'TL16'!$J$10:$J$224),0),
IF('TL16'!$B$229=Q$3,SUMIF('TL16'!$C$238:$C$451,$C422,'TL16'!$J$238:$J$451),0),
IF('TL17'!$B$3=Q$3,SUMIF('TL17'!$C$10:$C$224,$C422,'TL17'!$J$10:$J$224),0),
IF('TL17'!$B$229=Q$3,SUMIF('TL17'!$C$238:$C$451,$C422,'TL17'!$J$238:$J$451),0),
IF('TL18'!$B$3=Q$3,SUMIF('TL18'!$C$10:$C$224,$C422,'TL18'!$J$10:$J$224),0),
IF('TL18'!$B$229=Q$3,SUMIF('TL18'!$C$238:$C$451,$C422,'TL18'!$J$238:$J$451),0),
IF('TL19'!$B$3=Q$3,SUMIF('TL19'!$C$10:$C$224,$C422,'TL19'!$J$10:$J$224),0),
IF('TL19'!$B$229=Q$3,SUMIF('TL19'!$C$238:$C$451,$C422,'TL19'!$J$238:$J$451),0)
),0)</f>
        <v>0</v>
      </c>
      <c r="R422" s="139">
        <f>IFERROR(
SUM(
SUMIF('TL01'!C:C,C422,'TL01'!J:J),
SUMIF('TL02'!C:C,C422,'TL02'!I:I),
SUMIF('TL03'!C:C,C422,'TL03'!I:I),
SUMIF('TL04'!C:C,C422,'TL04'!I:I),
SUMIF('TL05'!C:C,C422,'TL05'!I:I),
SUMIF('TL06'!C:C,C422,'TL06'!I:I),
SUMIF('TL07'!C:C,C422,'TL07'!I:I),
SUMIF('TL08'!C:C,C422,'TL08'!I:I),
SUMIF('TL09'!C:C,C422,'TL09'!I:I),
SUMIF('TL10'!C:C,C422,'TL10'!I:I),
SUMIF('TL11'!C:C,C422,'TL11'!I:I),
SUMIF('TL12'!C:C,C422,'TL12'!I:I),
SUMIF('TL13'!C:C,C422,'TL13'!I:I),
SUMIF('TL14'!C:C,C422,'TL14'!I:I),
SUMIF('TL15'!C:C,C422,'TL15'!I:I),
SUMIF('TL16'!C:C,C422,'TL16'!I:I),
SUMIF('TL17'!C:C,C422,'TL17'!I:I),
SUMIF('TL18'!C:C,C422,'TL18'!I:I))
,0)</f>
        <v>0</v>
      </c>
      <c r="S422" s="142" t="str">
        <f>'CUSTO OPERAÇÃO'!M26</f>
        <v/>
      </c>
      <c r="T422" s="139"/>
      <c r="U422" s="143">
        <f t="shared" si="2"/>
        <v>0</v>
      </c>
      <c r="V422" s="144">
        <f t="shared" si="3"/>
        <v>0</v>
      </c>
    </row>
    <row r="423" ht="15.75" hidden="1" customHeight="1">
      <c r="A423" s="138"/>
      <c r="B423" s="155"/>
      <c r="C423" s="138"/>
      <c r="D423" s="138"/>
      <c r="E423" s="139"/>
      <c r="F423" s="138" t="s">
        <v>1133</v>
      </c>
      <c r="G423" s="139"/>
      <c r="H423" s="140" t="str">
        <f>'CUSTO OPERAÇÃO'!J27</f>
        <v>#N/A</v>
      </c>
      <c r="I423" s="156"/>
      <c r="J423" s="138">
        <f>IFERROR(SUM(
IF('TL01'!$B$3=J$3,SUMIF('TL01'!$C$10:$C$224,$C423,'TL01'!$J$10:$J$224),0),
IF('TL01'!$B$229=J$3,SUMIF('TL01'!$C$238:$C$451,$C423,'TL01'!$J$238:$J$451),0),
IF('TL02'!$B$3=J$3,SUMIF('TL02'!$C$10:$C$224,$C423,'TL02'!$J$10:$J$224),0),
IF('TL02'!$B$229=J$3,SUMIF('TL02'!$C$238:$C$451,$C423,'TL02'!$J$238:$J$451),0),
IF('TL03'!$B$3=J$3,SUMIF('TL03'!$C$10:$C$224,$C423,'TL03'!$J$10:$J$224),0),
IF('TL03'!$B$229=J$3,SUMIF('TL03'!$C$238:$C$451,$C423,'TL03'!$J$238:$J$451),0),
IF('TL04'!$B$3=J$3,SUMIF('TL04'!$C$10:$C$224,$C423,'TL04'!$J$10:$J$224),0),
IF('TL04'!$B$229=J$3,SUMIF('TL04'!$C$238:$C$451,$C423,'TL04'!$J$238:$J$451),0),
IF('TL05'!$B$3=J$3,SUMIF('TL05'!$C$10:$C$224,$C423,'TL05'!$J$10:$J$224),0),
IF('TL05'!$B$229=J$3,SUMIF('TL05'!$C$238:$C$451,$C423,'TL05'!$J$238:$J$451),0),
IF('TL06'!$B$3=J$3,SUMIF('TL06'!$C$10:$C$224,$C423,'TL06'!$J$10:$J$224),0),
IF('TL06'!$B$229=J$3,SUMIF('TL06'!$C$238:$C$451,$C423,'TL06'!$J$238:$J$451),0),
IF('TL07'!$B$3=J$3,SUMIF('TL07'!$C$10:$C$224,$C423,'TL07'!$J$10:$J$224),0),
IF('TL07'!$B$229=J$3,SUMIF('TL07'!$C$238:$C$451,$C423,'TL07'!$J$238:$J$451),0),
IF('TL08'!$B$3=J$3,SUMIF('TL08'!$C$10:$C$224,$C423,'TL08'!$J$10:$J$224),0),
IF('TL08'!$B$229=J$3,SUMIF('TL08'!$C$238:$C$451,$C423,'TL08'!$J$238:$J$451),0),
IF('TL09'!$B$3=J$3,SUMIF('TL09'!$C$10:$C$224,$C423,'TL09'!$J$10:$J$224),0),
IF('TL09'!$B$229=J$3,SUMIF('TL09'!$C$238:$C$451,$C423,'TL09'!$J$238:$J$451),0),
IF('TL10'!$B$3=J$3,SUMIF('TL10'!$C$10:$C$224,$C423,'TL10'!$J$10:$J$224),0),
IF('TL10'!$B$229=J$3,SUMIF('TL10'!$C$238:$C$451,$C423,'TL10'!$J$238:$J$451),0),
IF('TL11'!$B$3=J$3,SUMIF('TL11'!$C$10:$C$224,$C423,'TL11'!$J$10:$J$224),0),
IF('TL11'!$B$229=J$3,SUMIF('TL11'!$C$238:$C$451,$C423,'TL11'!$J$238:$J$451),0),
IF('TL12'!$B$3=J$3,SUMIF('TL12'!$C$10:$C$224,$C423,'TL12'!$J$10:$J$224),0),
IF('TL12'!$B$229=J$3,SUMIF('TL12'!$C$238:$C$451,$C423,'TL12'!$J$238:$J$451),0),
IF('TL13'!$B$3=J$3,SUMIF('TL13'!$C$10:$C$224,$C423,'TL13'!$J$10:$J$224),0),
IF('TL13'!$B$229=J$3,SUMIF('TL13'!$C$238:$C$451,$C423,'TL13'!$J$238:$J$451),0),
IF('TL14'!$B$3=J$3,SUMIF('TL14'!$C$10:$C$224,$C423,'TL14'!$J$10:$J$224),0),
IF('TL14'!$B$229=J$3,SUMIF('TL14'!$C$238:$C$451,$C423,'TL14'!$J$238:$J$451),0),
IF('TL15'!$B$3=J$3,SUMIF('TL15'!$C$10:$C$224,$C423,'TL15'!$J$10:$J$224),0),
IF('TL15'!$B$229=J$3,SUMIF('TL15'!$C$238:$C$451,$C423,'TL15'!$J$238:$J$451),0),
IF('TL16'!$B$3=J$3,SUMIF('TL16'!$C$10:$C$224,$C423,'TL16'!$J$10:$J$224),0),
IF('TL16'!$B$229=J$3,SUMIF('TL16'!$C$238:$C$451,$C423,'TL16'!$J$238:$J$451),0),
IF('TL17'!$B$3=J$3,SUMIF('TL17'!$C$10:$C$224,$C423,'TL17'!$J$10:$J$224),0),
IF('TL17'!$B$229=J$3,SUMIF('TL17'!$C$238:$C$451,$C423,'TL17'!$J$238:$J$451),0),
IF('TL18'!$B$3=J$3,SUMIF('TL18'!$C$10:$C$224,$C423,'TL18'!$J$10:$J$224),0),
IF('TL18'!$B$229=J$3,SUMIF('TL18'!$C$238:$C$451,$C423,'TL18'!$J$238:$J$451),0),
IF('TL19'!$B$3=J$3,SUMIF('TL19'!$C$10:$C$224,$C423,'TL19'!$J$10:$J$224),0),
IF('TL19'!$B$229=J$3,SUMIF('TL19'!$C$238:$C$451,$C423,'TL19'!$J$238:$J$451),0)
),0)</f>
        <v>0</v>
      </c>
      <c r="K423" s="138">
        <f>IFERROR(SUM(
IF('TL01'!$B$3=K$3,SUMIF('TL01'!$C$10:$C$224,$C423,'TL01'!$J$10:$J$224),0),
IF('TL01'!$B$229=K$3,SUMIF('TL01'!$C$238:$C$451,$C423,'TL01'!$J$238:$J$451),0),
IF('TL02'!$B$3=K$3,SUMIF('TL02'!$C$10:$C$224,$C423,'TL02'!$J$10:$J$224),0),
IF('TL02'!$B$229=K$3,SUMIF('TL02'!$C$238:$C$451,$C423,'TL02'!$J$238:$J$451),0),
IF('TL03'!$B$3=K$3,SUMIF('TL03'!$C$10:$C$224,$C423,'TL03'!$J$10:$J$224),0),
IF('TL03'!$B$229=K$3,SUMIF('TL03'!$C$238:$C$451,$C423,'TL03'!$J$238:$J$451),0),
IF('TL04'!$B$3=K$3,SUMIF('TL04'!$C$10:$C$224,$C423,'TL04'!$J$10:$J$224),0),
IF('TL04'!$B$229=K$3,SUMIF('TL04'!$C$238:$C$451,$C423,'TL04'!$J$238:$J$451),0),
IF('TL05'!$B$3=K$3,SUMIF('TL05'!$C$10:$C$224,$C423,'TL05'!$J$10:$J$224),0),
IF('TL05'!$B$229=K$3,SUMIF('TL05'!$C$238:$C$451,$C423,'TL05'!$J$238:$J$451),0),
IF('TL06'!$B$3=K$3,SUMIF('TL06'!$C$10:$C$224,$C423,'TL06'!$J$10:$J$224),0),
IF('TL06'!$B$229=K$3,SUMIF('TL06'!$C$238:$C$451,$C423,'TL06'!$J$238:$J$451),0),
IF('TL07'!$B$3=K$3,SUMIF('TL07'!$C$10:$C$224,$C423,'TL07'!$J$10:$J$224),0),
IF('TL07'!$B$229=K$3,SUMIF('TL07'!$C$238:$C$451,$C423,'TL07'!$J$238:$J$451),0),
IF('TL08'!$B$3=K$3,SUMIF('TL08'!$C$10:$C$224,$C423,'TL08'!$J$10:$J$224),0),
IF('TL08'!$B$229=K$3,SUMIF('TL08'!$C$238:$C$451,$C423,'TL08'!$J$238:$J$451),0),
IF('TL09'!$B$3=K$3,SUMIF('TL09'!$C$10:$C$224,$C423,'TL09'!$J$10:$J$224),0),
IF('TL09'!$B$229=K$3,SUMIF('TL09'!$C$238:$C$451,$C423,'TL09'!$J$238:$J$451),0),
IF('TL10'!$B$3=K$3,SUMIF('TL10'!$C$10:$C$224,$C423,'TL10'!$J$10:$J$224),0),
IF('TL10'!$B$229=K$3,SUMIF('TL10'!$C$238:$C$451,$C423,'TL10'!$J$238:$J$451),0),
IF('TL11'!$B$3=K$3,SUMIF('TL11'!$C$10:$C$224,$C423,'TL11'!$J$10:$J$224),0),
IF('TL11'!$B$229=K$3,SUMIF('TL11'!$C$238:$C$451,$C423,'TL11'!$J$238:$J$451),0),
IF('TL12'!$B$3=K$3,SUMIF('TL12'!$C$10:$C$224,$C423,'TL12'!$J$10:$J$224),0),
IF('TL12'!$B$229=K$3,SUMIF('TL12'!$C$238:$C$451,$C423,'TL12'!$J$238:$J$451),0),
IF('TL13'!$B$3=K$3,SUMIF('TL13'!$C$10:$C$224,$C423,'TL13'!$J$10:$J$224),0),
IF('TL13'!$B$229=K$3,SUMIF('TL13'!$C$238:$C$451,$C423,'TL13'!$J$238:$J$451),0),
IF('TL14'!$B$3=K$3,SUMIF('TL14'!$C$10:$C$224,$C423,'TL14'!$J$10:$J$224),0),
IF('TL14'!$B$229=K$3,SUMIF('TL14'!$C$238:$C$451,$C423,'TL14'!$J$238:$J$451),0),
IF('TL15'!$B$3=K$3,SUMIF('TL15'!$C$10:$C$224,$C423,'TL15'!$J$10:$J$224),0),
IF('TL15'!$B$229=K$3,SUMIF('TL15'!$C$238:$C$451,$C423,'TL15'!$J$238:$J$451),0),
IF('TL16'!$B$3=K$3,SUMIF('TL16'!$C$10:$C$224,$C423,'TL16'!$J$10:$J$224),0),
IF('TL16'!$B$229=K$3,SUMIF('TL16'!$C$238:$C$451,$C423,'TL16'!$J$238:$J$451),0),
IF('TL17'!$B$3=K$3,SUMIF('TL17'!$C$10:$C$224,$C423,'TL17'!$J$10:$J$224),0),
IF('TL17'!$B$229=K$3,SUMIF('TL17'!$C$238:$C$451,$C423,'TL17'!$J$238:$J$451),0),
IF('TL18'!$B$3=K$3,SUMIF('TL18'!$C$10:$C$224,$C423,'TL18'!$J$10:$J$224),0),
IF('TL18'!$B$229=K$3,SUMIF('TL18'!$C$238:$C$451,$C423,'TL18'!$J$238:$J$451),0),
IF('TL19'!$B$3=K$3,SUMIF('TL19'!$C$10:$C$224,$C423,'TL19'!$J$10:$J$224),0),
IF('TL19'!$B$229=K$3,SUMIF('TL19'!$C$238:$C$451,$C423,'TL19'!$J$238:$J$451),0)
),0)</f>
        <v>0</v>
      </c>
      <c r="L423" s="138">
        <f>IFERROR(SUM(
IF('TL01'!$B$3=L$3,SUMIF('TL01'!$C$10:$C$224,$C423,'TL01'!$J$10:$J$224),0),
IF('TL01'!$B$229=L$3,SUMIF('TL01'!$C$238:$C$451,$C423,'TL01'!$J$238:$J$451),0),
IF('TL02'!$B$3=L$3,SUMIF('TL02'!$C$10:$C$224,$C423,'TL02'!$J$10:$J$224),0),
IF('TL02'!$B$229=L$3,SUMIF('TL02'!$C$238:$C$451,$C423,'TL02'!$J$238:$J$451),0),
IF('TL03'!$B$3=L$3,SUMIF('TL03'!$C$10:$C$224,$C423,'TL03'!$J$10:$J$224),0),
IF('TL03'!$B$229=L$3,SUMIF('TL03'!$C$238:$C$451,$C423,'TL03'!$J$238:$J$451),0),
IF('TL04'!$B$3=L$3,SUMIF('TL04'!$C$10:$C$224,$C423,'TL04'!$J$10:$J$224),0),
IF('TL04'!$B$229=L$3,SUMIF('TL04'!$C$238:$C$451,$C423,'TL04'!$J$238:$J$451),0),
IF('TL05'!$B$3=L$3,SUMIF('TL05'!$C$10:$C$224,$C423,'TL05'!$J$10:$J$224),0),
IF('TL05'!$B$229=L$3,SUMIF('TL05'!$C$238:$C$451,$C423,'TL05'!$J$238:$J$451),0),
IF('TL06'!$B$3=L$3,SUMIF('TL06'!$C$10:$C$224,$C423,'TL06'!$J$10:$J$224),0),
IF('TL06'!$B$229=L$3,SUMIF('TL06'!$C$238:$C$451,$C423,'TL06'!$J$238:$J$451),0),
IF('TL07'!$B$3=L$3,SUMIF('TL07'!$C$10:$C$224,$C423,'TL07'!$J$10:$J$224),0),
IF('TL07'!$B$229=L$3,SUMIF('TL07'!$C$238:$C$451,$C423,'TL07'!$J$238:$J$451),0),
IF('TL08'!$B$3=L$3,SUMIF('TL08'!$C$10:$C$224,$C423,'TL08'!$J$10:$J$224),0),
IF('TL08'!$B$229=L$3,SUMIF('TL08'!$C$238:$C$451,$C423,'TL08'!$J$238:$J$451),0),
IF('TL09'!$B$3=L$3,SUMIF('TL09'!$C$10:$C$224,$C423,'TL09'!$J$10:$J$224),0),
IF('TL09'!$B$229=L$3,SUMIF('TL09'!$C$238:$C$451,$C423,'TL09'!$J$238:$J$451),0),
IF('TL10'!$B$3=L$3,SUMIF('TL10'!$C$10:$C$224,$C423,'TL10'!$J$10:$J$224),0),
IF('TL10'!$B$229=L$3,SUMIF('TL10'!$C$238:$C$451,$C423,'TL10'!$J$238:$J$451),0),
IF('TL11'!$B$3=L$3,SUMIF('TL11'!$C$10:$C$224,$C423,'TL11'!$J$10:$J$224),0),
IF('TL11'!$B$229=L$3,SUMIF('TL11'!$C$238:$C$451,$C423,'TL11'!$J$238:$J$451),0),
IF('TL12'!$B$3=L$3,SUMIF('TL12'!$C$10:$C$224,$C423,'TL12'!$J$10:$J$224),0),
IF('TL12'!$B$229=L$3,SUMIF('TL12'!$C$238:$C$451,$C423,'TL12'!$J$238:$J$451),0),
IF('TL13'!$B$3=L$3,SUMIF('TL13'!$C$10:$C$224,$C423,'TL13'!$J$10:$J$224),0),
IF('TL13'!$B$229=L$3,SUMIF('TL13'!$C$238:$C$451,$C423,'TL13'!$J$238:$J$451),0),
IF('TL14'!$B$3=L$3,SUMIF('TL14'!$C$10:$C$224,$C423,'TL14'!$J$10:$J$224),0),
IF('TL14'!$B$229=L$3,SUMIF('TL14'!$C$238:$C$451,$C423,'TL14'!$J$238:$J$451),0),
IF('TL15'!$B$3=L$3,SUMIF('TL15'!$C$10:$C$224,$C423,'TL15'!$J$10:$J$224),0),
IF('TL15'!$B$229=L$3,SUMIF('TL15'!$C$238:$C$451,$C423,'TL15'!$J$238:$J$451),0),
IF('TL16'!$B$3=L$3,SUMIF('TL16'!$C$10:$C$224,$C423,'TL16'!$J$10:$J$224),0),
IF('TL16'!$B$229=L$3,SUMIF('TL16'!$C$238:$C$451,$C423,'TL16'!$J$238:$J$451),0),
IF('TL17'!$B$3=L$3,SUMIF('TL17'!$C$10:$C$224,$C423,'TL17'!$J$10:$J$224),0),
IF('TL17'!$B$229=L$3,SUMIF('TL17'!$C$238:$C$451,$C423,'TL17'!$J$238:$J$451),0),
IF('TL18'!$B$3=L$3,SUMIF('TL18'!$C$10:$C$224,$C423,'TL18'!$J$10:$J$224),0),
IF('TL18'!$B$229=L$3,SUMIF('TL18'!$C$238:$C$451,$C423,'TL18'!$J$238:$J$451),0),
IF('TL19'!$B$3=L$3,SUMIF('TL19'!$C$10:$C$224,$C423,'TL19'!$J$10:$J$224),0),
IF('TL19'!$B$229=L$3,SUMIF('TL19'!$C$238:$C$451,$C423,'TL19'!$J$238:$J$451),0)
),0)</f>
        <v>0</v>
      </c>
      <c r="M423" s="138">
        <f>IFERROR(SUM(
IF('TL01'!$B$3=M$3,SUMIF('TL01'!$C$10:$C$224,$C423,'TL01'!$J$10:$J$224),0),
IF('TL01'!$B$229=M$3,SUMIF('TL01'!$C$238:$C$451,$C423,'TL01'!$J$238:$J$451),0),
IF('TL02'!$B$3=M$3,SUMIF('TL02'!$C$10:$C$224,$C423,'TL02'!$J$10:$J$224),0),
IF('TL02'!$B$229=M$3,SUMIF('TL02'!$C$238:$C$451,$C423,'TL02'!$J$238:$J$451),0),
IF('TL03'!$B$3=M$3,SUMIF('TL03'!$C$10:$C$224,$C423,'TL03'!$J$10:$J$224),0),
IF('TL03'!$B$229=M$3,SUMIF('TL03'!$C$238:$C$451,$C423,'TL03'!$J$238:$J$451),0),
IF('TL04'!$B$3=M$3,SUMIF('TL04'!$C$10:$C$224,$C423,'TL04'!$J$10:$J$224),0),
IF('TL04'!$B$229=M$3,SUMIF('TL04'!$C$238:$C$451,$C423,'TL04'!$J$238:$J$451),0),
IF('TL05'!$B$3=M$3,SUMIF('TL05'!$C$10:$C$224,$C423,'TL05'!$J$10:$J$224),0),
IF('TL05'!$B$229=M$3,SUMIF('TL05'!$C$238:$C$451,$C423,'TL05'!$J$238:$J$451),0),
IF('TL06'!$B$3=M$3,SUMIF('TL06'!$C$10:$C$224,$C423,'TL06'!$J$10:$J$224),0),
IF('TL06'!$B$229=M$3,SUMIF('TL06'!$C$238:$C$451,$C423,'TL06'!$J$238:$J$451),0),
IF('TL07'!$B$3=M$3,SUMIF('TL07'!$C$10:$C$224,$C423,'TL07'!$J$10:$J$224),0),
IF('TL07'!$B$229=M$3,SUMIF('TL07'!$C$238:$C$451,$C423,'TL07'!$J$238:$J$451),0),
IF('TL08'!$B$3=M$3,SUMIF('TL08'!$C$10:$C$224,$C423,'TL08'!$J$10:$J$224),0),
IF('TL08'!$B$229=M$3,SUMIF('TL08'!$C$238:$C$451,$C423,'TL08'!$J$238:$J$451),0),
IF('TL09'!$B$3=M$3,SUMIF('TL09'!$C$10:$C$224,$C423,'TL09'!$J$10:$J$224),0),
IF('TL09'!$B$229=M$3,SUMIF('TL09'!$C$238:$C$451,$C423,'TL09'!$J$238:$J$451),0),
IF('TL10'!$B$3=M$3,SUMIF('TL10'!$C$10:$C$224,$C423,'TL10'!$J$10:$J$224),0),
IF('TL10'!$B$229=M$3,SUMIF('TL10'!$C$238:$C$451,$C423,'TL10'!$J$238:$J$451),0),
IF('TL11'!$B$3=M$3,SUMIF('TL11'!$C$10:$C$224,$C423,'TL11'!$J$10:$J$224),0),
IF('TL11'!$B$229=M$3,SUMIF('TL11'!$C$238:$C$451,$C423,'TL11'!$J$238:$J$451),0),
IF('TL12'!$B$3=M$3,SUMIF('TL12'!$C$10:$C$224,$C423,'TL12'!$J$10:$J$224),0),
IF('TL12'!$B$229=M$3,SUMIF('TL12'!$C$238:$C$451,$C423,'TL12'!$J$238:$J$451),0),
IF('TL13'!$B$3=M$3,SUMIF('TL13'!$C$10:$C$224,$C423,'TL13'!$J$10:$J$224),0),
IF('TL13'!$B$229=M$3,SUMIF('TL13'!$C$238:$C$451,$C423,'TL13'!$J$238:$J$451),0),
IF('TL14'!$B$3=M$3,SUMIF('TL14'!$C$10:$C$224,$C423,'TL14'!$J$10:$J$224),0),
IF('TL14'!$B$229=M$3,SUMIF('TL14'!$C$238:$C$451,$C423,'TL14'!$J$238:$J$451),0),
IF('TL15'!$B$3=M$3,SUMIF('TL15'!$C$10:$C$224,$C423,'TL15'!$J$10:$J$224),0),
IF('TL15'!$B$229=M$3,SUMIF('TL15'!$C$238:$C$451,$C423,'TL15'!$J$238:$J$451),0),
IF('TL16'!$B$3=M$3,SUMIF('TL16'!$C$10:$C$224,$C423,'TL16'!$J$10:$J$224),0),
IF('TL16'!$B$229=M$3,SUMIF('TL16'!$C$238:$C$451,$C423,'TL16'!$J$238:$J$451),0),
IF('TL17'!$B$3=M$3,SUMIF('TL17'!$C$10:$C$224,$C423,'TL17'!$J$10:$J$224),0),
IF('TL17'!$B$229=M$3,SUMIF('TL17'!$C$238:$C$451,$C423,'TL17'!$J$238:$J$451),0),
IF('TL18'!$B$3=M$3,SUMIF('TL18'!$C$10:$C$224,$C423,'TL18'!$J$10:$J$224),0),
IF('TL18'!$B$229=M$3,SUMIF('TL18'!$C$238:$C$451,$C423,'TL18'!$J$238:$J$451),0),
IF('TL19'!$B$3=M$3,SUMIF('TL19'!$C$10:$C$224,$C423,'TL19'!$J$10:$J$224),0),
IF('TL19'!$B$229=M$3,SUMIF('TL19'!$C$238:$C$451,$C423,'TL19'!$J$238:$J$451),0)
),0)</f>
        <v>0</v>
      </c>
      <c r="N423" s="138">
        <f>IFERROR(SUM(
IF('TL01'!$B$3=N$3,SUMIF('TL01'!$C$10:$C$224,$C423,'TL01'!$J$10:$J$224),0),
IF('TL01'!$B$229=N$3,SUMIF('TL01'!$C$238:$C$451,$C423,'TL01'!$J$238:$J$451),0),
IF('TL02'!$B$3=N$3,SUMIF('TL02'!$C$10:$C$224,$C423,'TL02'!$J$10:$J$224),0),
IF('TL02'!$B$229=N$3,SUMIF('TL02'!$C$238:$C$451,$C423,'TL02'!$J$238:$J$451),0),
IF('TL03'!$B$3=N$3,SUMIF('TL03'!$C$10:$C$224,$C423,'TL03'!$J$10:$J$224),0),
IF('TL03'!$B$229=N$3,SUMIF('TL03'!$C$238:$C$451,$C423,'TL03'!$J$238:$J$451),0),
IF('TL04'!$B$3=N$3,SUMIF('TL04'!$C$10:$C$224,$C423,'TL04'!$J$10:$J$224),0),
IF('TL04'!$B$229=N$3,SUMIF('TL04'!$C$238:$C$451,$C423,'TL04'!$J$238:$J$451),0),
IF('TL05'!$B$3=N$3,SUMIF('TL05'!$C$10:$C$224,$C423,'TL05'!$J$10:$J$224),0),
IF('TL05'!$B$229=N$3,SUMIF('TL05'!$C$238:$C$451,$C423,'TL05'!$J$238:$J$451),0),
IF('TL06'!$B$3=N$3,SUMIF('TL06'!$C$10:$C$224,$C423,'TL06'!$J$10:$J$224),0),
IF('TL06'!$B$229=N$3,SUMIF('TL06'!$C$238:$C$451,$C423,'TL06'!$J$238:$J$451),0),
IF('TL07'!$B$3=N$3,SUMIF('TL07'!$C$10:$C$224,$C423,'TL07'!$J$10:$J$224),0),
IF('TL07'!$B$229=N$3,SUMIF('TL07'!$C$238:$C$451,$C423,'TL07'!$J$238:$J$451),0),
IF('TL08'!$B$3=N$3,SUMIF('TL08'!$C$10:$C$224,$C423,'TL08'!$J$10:$J$224),0),
IF('TL08'!$B$229=N$3,SUMIF('TL08'!$C$238:$C$451,$C423,'TL08'!$J$238:$J$451),0),
IF('TL09'!$B$3=N$3,SUMIF('TL09'!$C$10:$C$224,$C423,'TL09'!$J$10:$J$224),0),
IF('TL09'!$B$229=N$3,SUMIF('TL09'!$C$238:$C$451,$C423,'TL09'!$J$238:$J$451),0),
IF('TL10'!$B$3=N$3,SUMIF('TL10'!$C$10:$C$224,$C423,'TL10'!$J$10:$J$224),0),
IF('TL10'!$B$229=N$3,SUMIF('TL10'!$C$238:$C$451,$C423,'TL10'!$J$238:$J$451),0),
IF('TL11'!$B$3=N$3,SUMIF('TL11'!$C$10:$C$224,$C423,'TL11'!$J$10:$J$224),0),
IF('TL11'!$B$229=N$3,SUMIF('TL11'!$C$238:$C$451,$C423,'TL11'!$J$238:$J$451),0),
IF('TL12'!$B$3=N$3,SUMIF('TL12'!$C$10:$C$224,$C423,'TL12'!$J$10:$J$224),0),
IF('TL12'!$B$229=N$3,SUMIF('TL12'!$C$238:$C$451,$C423,'TL12'!$J$238:$J$451),0),
IF('TL13'!$B$3=N$3,SUMIF('TL13'!$C$10:$C$224,$C423,'TL13'!$J$10:$J$224),0),
IF('TL13'!$B$229=N$3,SUMIF('TL13'!$C$238:$C$451,$C423,'TL13'!$J$238:$J$451),0),
IF('TL14'!$B$3=N$3,SUMIF('TL14'!$C$10:$C$224,$C423,'TL14'!$J$10:$J$224),0),
IF('TL14'!$B$229=N$3,SUMIF('TL14'!$C$238:$C$451,$C423,'TL14'!$J$238:$J$451),0),
IF('TL15'!$B$3=N$3,SUMIF('TL15'!$C$10:$C$224,$C423,'TL15'!$J$10:$J$224),0),
IF('TL15'!$B$229=N$3,SUMIF('TL15'!$C$238:$C$451,$C423,'TL15'!$J$238:$J$451),0),
IF('TL16'!$B$3=N$3,SUMIF('TL16'!$C$10:$C$224,$C423,'TL16'!$J$10:$J$224),0),
IF('TL16'!$B$229=N$3,SUMIF('TL16'!$C$238:$C$451,$C423,'TL16'!$J$238:$J$451),0),
IF('TL17'!$B$3=N$3,SUMIF('TL17'!$C$10:$C$224,$C423,'TL17'!$J$10:$J$224),0),
IF('TL17'!$B$229=N$3,SUMIF('TL17'!$C$238:$C$451,$C423,'TL17'!$J$238:$J$451),0),
IF('TL18'!$B$3=N$3,SUMIF('TL18'!$C$10:$C$224,$C423,'TL18'!$J$10:$J$224),0),
IF('TL18'!$B$229=N$3,SUMIF('TL18'!$C$238:$C$451,$C423,'TL18'!$J$238:$J$451),0),
IF('TL19'!$B$3=N$3,SUMIF('TL19'!$C$10:$C$224,$C423,'TL19'!$J$10:$J$224),0),
IF('TL19'!$B$229=N$3,SUMIF('TL19'!$C$238:$C$451,$C423,'TL19'!$J$238:$J$451),0)
),0)</f>
        <v>0</v>
      </c>
      <c r="O423" s="138">
        <f>IFERROR(SUM(
IF('TL01'!$B$3=O$3,SUMIF('TL01'!$C$10:$C$224,$C423,'TL01'!$J$10:$J$224),0),
IF('TL01'!$B$229=O$3,SUMIF('TL01'!$C$238:$C$451,$C423,'TL01'!$J$238:$J$451),0),
IF('TL02'!$B$3=O$3,SUMIF('TL02'!$C$10:$C$224,$C423,'TL02'!$J$10:$J$224),0),
IF('TL02'!$B$229=O$3,SUMIF('TL02'!$C$238:$C$451,$C423,'TL02'!$J$238:$J$451),0),
IF('TL03'!$B$3=O$3,SUMIF('TL03'!$C$10:$C$224,$C423,'TL03'!$J$10:$J$224),0),
IF('TL03'!$B$229=O$3,SUMIF('TL03'!$C$238:$C$451,$C423,'TL03'!$J$238:$J$451),0),
IF('TL04'!$B$3=O$3,SUMIF('TL04'!$C$10:$C$224,$C423,'TL04'!$J$10:$J$224),0),
IF('TL04'!$B$229=O$3,SUMIF('TL04'!$C$238:$C$451,$C423,'TL04'!$J$238:$J$451),0),
IF('TL05'!$B$3=O$3,SUMIF('TL05'!$C$10:$C$224,$C423,'TL05'!$J$10:$J$224),0),
IF('TL05'!$B$229=O$3,SUMIF('TL05'!$C$238:$C$451,$C423,'TL05'!$J$238:$J$451),0),
IF('TL06'!$B$3=O$3,SUMIF('TL06'!$C$10:$C$224,$C423,'TL06'!$J$10:$J$224),0),
IF('TL06'!$B$229=O$3,SUMIF('TL06'!$C$238:$C$451,$C423,'TL06'!$J$238:$J$451),0),
IF('TL07'!$B$3=O$3,SUMIF('TL07'!$C$10:$C$224,$C423,'TL07'!$J$10:$J$224),0),
IF('TL07'!$B$229=O$3,SUMIF('TL07'!$C$238:$C$451,$C423,'TL07'!$J$238:$J$451),0),
IF('TL08'!$B$3=O$3,SUMIF('TL08'!$C$10:$C$224,$C423,'TL08'!$J$10:$J$224),0),
IF('TL08'!$B$229=O$3,SUMIF('TL08'!$C$238:$C$451,$C423,'TL08'!$J$238:$J$451),0),
IF('TL09'!$B$3=O$3,SUMIF('TL09'!$C$10:$C$224,$C423,'TL09'!$J$10:$J$224),0),
IF('TL09'!$B$229=O$3,SUMIF('TL09'!$C$238:$C$451,$C423,'TL09'!$J$238:$J$451),0),
IF('TL10'!$B$3=O$3,SUMIF('TL10'!$C$10:$C$224,$C423,'TL10'!$J$10:$J$224),0),
IF('TL10'!$B$229=O$3,SUMIF('TL10'!$C$238:$C$451,$C423,'TL10'!$J$238:$J$451),0),
IF('TL11'!$B$3=O$3,SUMIF('TL11'!$C$10:$C$224,$C423,'TL11'!$J$10:$J$224),0),
IF('TL11'!$B$229=O$3,SUMIF('TL11'!$C$238:$C$451,$C423,'TL11'!$J$238:$J$451),0),
IF('TL12'!$B$3=O$3,SUMIF('TL12'!$C$10:$C$224,$C423,'TL12'!$J$10:$J$224),0),
IF('TL12'!$B$229=O$3,SUMIF('TL12'!$C$238:$C$451,$C423,'TL12'!$J$238:$J$451),0),
IF('TL13'!$B$3=O$3,SUMIF('TL13'!$C$10:$C$224,$C423,'TL13'!$J$10:$J$224),0),
IF('TL13'!$B$229=O$3,SUMIF('TL13'!$C$238:$C$451,$C423,'TL13'!$J$238:$J$451),0),
IF('TL14'!$B$3=O$3,SUMIF('TL14'!$C$10:$C$224,$C423,'TL14'!$J$10:$J$224),0),
IF('TL14'!$B$229=O$3,SUMIF('TL14'!$C$238:$C$451,$C423,'TL14'!$J$238:$J$451),0),
IF('TL15'!$B$3=O$3,SUMIF('TL15'!$C$10:$C$224,$C423,'TL15'!$J$10:$J$224),0),
IF('TL15'!$B$229=O$3,SUMIF('TL15'!$C$238:$C$451,$C423,'TL15'!$J$238:$J$451),0),
IF('TL16'!$B$3=O$3,SUMIF('TL16'!$C$10:$C$224,$C423,'TL16'!$J$10:$J$224),0),
IF('TL16'!$B$229=O$3,SUMIF('TL16'!$C$238:$C$451,$C423,'TL16'!$J$238:$J$451),0),
IF('TL17'!$B$3=O$3,SUMIF('TL17'!$C$10:$C$224,$C423,'TL17'!$J$10:$J$224),0),
IF('TL17'!$B$229=O$3,SUMIF('TL17'!$C$238:$C$451,$C423,'TL17'!$J$238:$J$451),0),
IF('TL18'!$B$3=O$3,SUMIF('TL18'!$C$10:$C$224,$C423,'TL18'!$J$10:$J$224),0),
IF('TL18'!$B$229=O$3,SUMIF('TL18'!$C$238:$C$451,$C423,'TL18'!$J$238:$J$451),0),
IF('TL19'!$B$3=O$3,SUMIF('TL19'!$C$10:$C$224,$C423,'TL19'!$J$10:$J$224),0),
IF('TL19'!$B$229=O$3,SUMIF('TL19'!$C$238:$C$451,$C423,'TL19'!$J$238:$J$451),0)
),0)</f>
        <v>0</v>
      </c>
      <c r="P423" s="138">
        <f>IFERROR(SUM(
IF('TL01'!$B$3=P$3,SUMIF('TL01'!$C$10:$C$224,$C423,'TL01'!$J$10:$J$224),0),
IF('TL01'!$B$229=P$3,SUMIF('TL01'!$C$238:$C$451,$C423,'TL01'!$J$238:$J$451),0),
IF('TL02'!$B$3=P$3,SUMIF('TL02'!$C$10:$C$224,$C423,'TL02'!$J$10:$J$224),0),
IF('TL02'!$B$229=P$3,SUMIF('TL02'!$C$238:$C$451,$C423,'TL02'!$J$238:$J$451),0),
IF('TL03'!$B$3=P$3,SUMIF('TL03'!$C$10:$C$224,$C423,'TL03'!$J$10:$J$224),0),
IF('TL03'!$B$229=P$3,SUMIF('TL03'!$C$238:$C$451,$C423,'TL03'!$J$238:$J$451),0),
IF('TL04'!$B$3=P$3,SUMIF('TL04'!$C$10:$C$224,$C423,'TL04'!$J$10:$J$224),0),
IF('TL04'!$B$229=P$3,SUMIF('TL04'!$C$238:$C$451,$C423,'TL04'!$J$238:$J$451),0),
IF('TL05'!$B$3=P$3,SUMIF('TL05'!$C$10:$C$224,$C423,'TL05'!$J$10:$J$224),0),
IF('TL05'!$B$229=P$3,SUMIF('TL05'!$C$238:$C$451,$C423,'TL05'!$J$238:$J$451),0),
IF('TL06'!$B$3=P$3,SUMIF('TL06'!$C$10:$C$224,$C423,'TL06'!$J$10:$J$224),0),
IF('TL06'!$B$229=P$3,SUMIF('TL06'!$C$238:$C$451,$C423,'TL06'!$J$238:$J$451),0),
IF('TL07'!$B$3=P$3,SUMIF('TL07'!$C$10:$C$224,$C423,'TL07'!$J$10:$J$224),0),
IF('TL07'!$B$229=P$3,SUMIF('TL07'!$C$238:$C$451,$C423,'TL07'!$J$238:$J$451),0),
IF('TL08'!$B$3=P$3,SUMIF('TL08'!$C$10:$C$224,$C423,'TL08'!$J$10:$J$224),0),
IF('TL08'!$B$229=P$3,SUMIF('TL08'!$C$238:$C$451,$C423,'TL08'!$J$238:$J$451),0),
IF('TL09'!$B$3=P$3,SUMIF('TL09'!$C$10:$C$224,$C423,'TL09'!$J$10:$J$224),0),
IF('TL09'!$B$229=P$3,SUMIF('TL09'!$C$238:$C$451,$C423,'TL09'!$J$238:$J$451),0),
IF('TL10'!$B$3=P$3,SUMIF('TL10'!$C$10:$C$224,$C423,'TL10'!$J$10:$J$224),0),
IF('TL10'!$B$229=P$3,SUMIF('TL10'!$C$238:$C$451,$C423,'TL10'!$J$238:$J$451),0),
IF('TL11'!$B$3=P$3,SUMIF('TL11'!$C$10:$C$224,$C423,'TL11'!$J$10:$J$224),0),
IF('TL11'!$B$229=P$3,SUMIF('TL11'!$C$238:$C$451,$C423,'TL11'!$J$238:$J$451),0),
IF('TL12'!$B$3=P$3,SUMIF('TL12'!$C$10:$C$224,$C423,'TL12'!$J$10:$J$224),0),
IF('TL12'!$B$229=P$3,SUMIF('TL12'!$C$238:$C$451,$C423,'TL12'!$J$238:$J$451),0),
IF('TL13'!$B$3=P$3,SUMIF('TL13'!$C$10:$C$224,$C423,'TL13'!$J$10:$J$224),0),
IF('TL13'!$B$229=P$3,SUMIF('TL13'!$C$238:$C$451,$C423,'TL13'!$J$238:$J$451),0),
IF('TL14'!$B$3=P$3,SUMIF('TL14'!$C$10:$C$224,$C423,'TL14'!$J$10:$J$224),0),
IF('TL14'!$B$229=P$3,SUMIF('TL14'!$C$238:$C$451,$C423,'TL14'!$J$238:$J$451),0),
IF('TL15'!$B$3=P$3,SUMIF('TL15'!$C$10:$C$224,$C423,'TL15'!$J$10:$J$224),0),
IF('TL15'!$B$229=P$3,SUMIF('TL15'!$C$238:$C$451,$C423,'TL15'!$J$238:$J$451),0),
IF('TL16'!$B$3=P$3,SUMIF('TL16'!$C$10:$C$224,$C423,'TL16'!$J$10:$J$224),0),
IF('TL16'!$B$229=P$3,SUMIF('TL16'!$C$238:$C$451,$C423,'TL16'!$J$238:$J$451),0),
IF('TL17'!$B$3=P$3,SUMIF('TL17'!$C$10:$C$224,$C423,'TL17'!$J$10:$J$224),0),
IF('TL17'!$B$229=P$3,SUMIF('TL17'!$C$238:$C$451,$C423,'TL17'!$J$238:$J$451),0),
IF('TL18'!$B$3=P$3,SUMIF('TL18'!$C$10:$C$224,$C423,'TL18'!$J$10:$J$224),0),
IF('TL18'!$B$229=P$3,SUMIF('TL18'!$C$238:$C$451,$C423,'TL18'!$J$238:$J$451),0),
IF('TL19'!$B$3=P$3,SUMIF('TL19'!$C$10:$C$224,$C423,'TL19'!$J$10:$J$224),0),
IF('TL19'!$B$229=P$3,SUMIF('TL19'!$C$238:$C$451,$C423,'TL19'!$J$238:$J$451),0)
),0)</f>
        <v>0</v>
      </c>
      <c r="Q423" s="138">
        <f>IFERROR(SUM(
IF('TL01'!$B$3=Q$3,SUMIF('TL01'!$C$10:$C$224,$C423,'TL01'!$J$10:$J$224),0),
IF('TL01'!$B$229=Q$3,SUMIF('TL01'!$C$238:$C$451,$C423,'TL01'!$J$238:$J$451),0),
IF('TL02'!$B$3=Q$3,SUMIF('TL02'!$C$10:$C$224,$C423,'TL02'!$J$10:$J$224),0),
IF('TL02'!$B$229=Q$3,SUMIF('TL02'!$C$238:$C$451,$C423,'TL02'!$J$238:$J$451),0),
IF('TL03'!$B$3=Q$3,SUMIF('TL03'!$C$10:$C$224,$C423,'TL03'!$J$10:$J$224),0),
IF('TL03'!$B$229=Q$3,SUMIF('TL03'!$C$238:$C$451,$C423,'TL03'!$J$238:$J$451),0),
IF('TL04'!$B$3=Q$3,SUMIF('TL04'!$C$10:$C$224,$C423,'TL04'!$J$10:$J$224),0),
IF('TL04'!$B$229=Q$3,SUMIF('TL04'!$C$238:$C$451,$C423,'TL04'!$J$238:$J$451),0),
IF('TL05'!$B$3=Q$3,SUMIF('TL05'!$C$10:$C$224,$C423,'TL05'!$J$10:$J$224),0),
IF('TL05'!$B$229=Q$3,SUMIF('TL05'!$C$238:$C$451,$C423,'TL05'!$J$238:$J$451),0),
IF('TL06'!$B$3=Q$3,SUMIF('TL06'!$C$10:$C$224,$C423,'TL06'!$J$10:$J$224),0),
IF('TL06'!$B$229=Q$3,SUMIF('TL06'!$C$238:$C$451,$C423,'TL06'!$J$238:$J$451),0),
IF('TL07'!$B$3=Q$3,SUMIF('TL07'!$C$10:$C$224,$C423,'TL07'!$J$10:$J$224),0),
IF('TL07'!$B$229=Q$3,SUMIF('TL07'!$C$238:$C$451,$C423,'TL07'!$J$238:$J$451),0),
IF('TL08'!$B$3=Q$3,SUMIF('TL08'!$C$10:$C$224,$C423,'TL08'!$J$10:$J$224),0),
IF('TL08'!$B$229=Q$3,SUMIF('TL08'!$C$238:$C$451,$C423,'TL08'!$J$238:$J$451),0),
IF('TL09'!$B$3=Q$3,SUMIF('TL09'!$C$10:$C$224,$C423,'TL09'!$J$10:$J$224),0),
IF('TL09'!$B$229=Q$3,SUMIF('TL09'!$C$238:$C$451,$C423,'TL09'!$J$238:$J$451),0),
IF('TL10'!$B$3=Q$3,SUMIF('TL10'!$C$10:$C$224,$C423,'TL10'!$J$10:$J$224),0),
IF('TL10'!$B$229=Q$3,SUMIF('TL10'!$C$238:$C$451,$C423,'TL10'!$J$238:$J$451),0),
IF('TL11'!$B$3=Q$3,SUMIF('TL11'!$C$10:$C$224,$C423,'TL11'!$J$10:$J$224),0),
IF('TL11'!$B$229=Q$3,SUMIF('TL11'!$C$238:$C$451,$C423,'TL11'!$J$238:$J$451),0),
IF('TL12'!$B$3=Q$3,SUMIF('TL12'!$C$10:$C$224,$C423,'TL12'!$J$10:$J$224),0),
IF('TL12'!$B$229=Q$3,SUMIF('TL12'!$C$238:$C$451,$C423,'TL12'!$J$238:$J$451),0),
IF('TL13'!$B$3=Q$3,SUMIF('TL13'!$C$10:$C$224,$C423,'TL13'!$J$10:$J$224),0),
IF('TL13'!$B$229=Q$3,SUMIF('TL13'!$C$238:$C$451,$C423,'TL13'!$J$238:$J$451),0),
IF('TL14'!$B$3=Q$3,SUMIF('TL14'!$C$10:$C$224,$C423,'TL14'!$J$10:$J$224),0),
IF('TL14'!$B$229=Q$3,SUMIF('TL14'!$C$238:$C$451,$C423,'TL14'!$J$238:$J$451),0),
IF('TL15'!$B$3=Q$3,SUMIF('TL15'!$C$10:$C$224,$C423,'TL15'!$J$10:$J$224),0),
IF('TL15'!$B$229=Q$3,SUMIF('TL15'!$C$238:$C$451,$C423,'TL15'!$J$238:$J$451),0),
IF('TL16'!$B$3=Q$3,SUMIF('TL16'!$C$10:$C$224,$C423,'TL16'!$J$10:$J$224),0),
IF('TL16'!$B$229=Q$3,SUMIF('TL16'!$C$238:$C$451,$C423,'TL16'!$J$238:$J$451),0),
IF('TL17'!$B$3=Q$3,SUMIF('TL17'!$C$10:$C$224,$C423,'TL17'!$J$10:$J$224),0),
IF('TL17'!$B$229=Q$3,SUMIF('TL17'!$C$238:$C$451,$C423,'TL17'!$J$238:$J$451),0),
IF('TL18'!$B$3=Q$3,SUMIF('TL18'!$C$10:$C$224,$C423,'TL18'!$J$10:$J$224),0),
IF('TL18'!$B$229=Q$3,SUMIF('TL18'!$C$238:$C$451,$C423,'TL18'!$J$238:$J$451),0),
IF('TL19'!$B$3=Q$3,SUMIF('TL19'!$C$10:$C$224,$C423,'TL19'!$J$10:$J$224),0),
IF('TL19'!$B$229=Q$3,SUMIF('TL19'!$C$238:$C$451,$C423,'TL19'!$J$238:$J$451),0)
),0)</f>
        <v>0</v>
      </c>
      <c r="R423" s="139">
        <f>IFERROR(
SUM(
SUMIF('TL01'!C:C,C423,'TL01'!J:J),
SUMIF('TL02'!C:C,C423,'TL02'!I:I),
SUMIF('TL03'!C:C,C423,'TL03'!I:I),
SUMIF('TL04'!C:C,C423,'TL04'!I:I),
SUMIF('TL05'!C:C,C423,'TL05'!I:I),
SUMIF('TL06'!C:C,C423,'TL06'!I:I),
SUMIF('TL07'!C:C,C423,'TL07'!I:I),
SUMIF('TL08'!C:C,C423,'TL08'!I:I),
SUMIF('TL09'!C:C,C423,'TL09'!I:I),
SUMIF('TL10'!C:C,C423,'TL10'!I:I),
SUMIF('TL11'!C:C,C423,'TL11'!I:I),
SUMIF('TL12'!C:C,C423,'TL12'!I:I),
SUMIF('TL13'!C:C,C423,'TL13'!I:I),
SUMIF('TL14'!C:C,C423,'TL14'!I:I),
SUMIF('TL15'!C:C,C423,'TL15'!I:I),
SUMIF('TL16'!C:C,C423,'TL16'!I:I),
SUMIF('TL17'!C:C,C423,'TL17'!I:I),
SUMIF('TL18'!C:C,C423,'TL18'!I:I))
,0)</f>
        <v>0</v>
      </c>
      <c r="S423" s="142" t="str">
        <f>'CUSTO OPERAÇÃO'!M27</f>
        <v/>
      </c>
      <c r="T423" s="139"/>
      <c r="U423" s="143">
        <f t="shared" si="2"/>
        <v>0</v>
      </c>
      <c r="V423" s="144">
        <f t="shared" si="3"/>
        <v>0</v>
      </c>
    </row>
    <row r="424" ht="15.75" hidden="1" customHeight="1">
      <c r="A424" s="138"/>
      <c r="B424" s="155"/>
      <c r="C424" s="138"/>
      <c r="D424" s="138"/>
      <c r="E424" s="139"/>
      <c r="F424" s="138" t="s">
        <v>1133</v>
      </c>
      <c r="G424" s="139"/>
      <c r="H424" s="140" t="str">
        <f>'CUSTO OPERAÇÃO'!J28</f>
        <v>#N/A</v>
      </c>
      <c r="I424" s="156"/>
      <c r="J424" s="138">
        <f>IFERROR(SUM(
IF('TL01'!$B$3=J$3,SUMIF('TL01'!$C$10:$C$224,$C424,'TL01'!$J$10:$J$224),0),
IF('TL01'!$B$229=J$3,SUMIF('TL01'!$C$238:$C$451,$C424,'TL01'!$J$238:$J$451),0),
IF('TL02'!$B$3=J$3,SUMIF('TL02'!$C$10:$C$224,$C424,'TL02'!$J$10:$J$224),0),
IF('TL02'!$B$229=J$3,SUMIF('TL02'!$C$238:$C$451,$C424,'TL02'!$J$238:$J$451),0),
IF('TL03'!$B$3=J$3,SUMIF('TL03'!$C$10:$C$224,$C424,'TL03'!$J$10:$J$224),0),
IF('TL03'!$B$229=J$3,SUMIF('TL03'!$C$238:$C$451,$C424,'TL03'!$J$238:$J$451),0),
IF('TL04'!$B$3=J$3,SUMIF('TL04'!$C$10:$C$224,$C424,'TL04'!$J$10:$J$224),0),
IF('TL04'!$B$229=J$3,SUMIF('TL04'!$C$238:$C$451,$C424,'TL04'!$J$238:$J$451),0),
IF('TL05'!$B$3=J$3,SUMIF('TL05'!$C$10:$C$224,$C424,'TL05'!$J$10:$J$224),0),
IF('TL05'!$B$229=J$3,SUMIF('TL05'!$C$238:$C$451,$C424,'TL05'!$J$238:$J$451),0),
IF('TL06'!$B$3=J$3,SUMIF('TL06'!$C$10:$C$224,$C424,'TL06'!$J$10:$J$224),0),
IF('TL06'!$B$229=J$3,SUMIF('TL06'!$C$238:$C$451,$C424,'TL06'!$J$238:$J$451),0),
IF('TL07'!$B$3=J$3,SUMIF('TL07'!$C$10:$C$224,$C424,'TL07'!$J$10:$J$224),0),
IF('TL07'!$B$229=J$3,SUMIF('TL07'!$C$238:$C$451,$C424,'TL07'!$J$238:$J$451),0),
IF('TL08'!$B$3=J$3,SUMIF('TL08'!$C$10:$C$224,$C424,'TL08'!$J$10:$J$224),0),
IF('TL08'!$B$229=J$3,SUMIF('TL08'!$C$238:$C$451,$C424,'TL08'!$J$238:$J$451),0),
IF('TL09'!$B$3=J$3,SUMIF('TL09'!$C$10:$C$224,$C424,'TL09'!$J$10:$J$224),0),
IF('TL09'!$B$229=J$3,SUMIF('TL09'!$C$238:$C$451,$C424,'TL09'!$J$238:$J$451),0),
IF('TL10'!$B$3=J$3,SUMIF('TL10'!$C$10:$C$224,$C424,'TL10'!$J$10:$J$224),0),
IF('TL10'!$B$229=J$3,SUMIF('TL10'!$C$238:$C$451,$C424,'TL10'!$J$238:$J$451),0),
IF('TL11'!$B$3=J$3,SUMIF('TL11'!$C$10:$C$224,$C424,'TL11'!$J$10:$J$224),0),
IF('TL11'!$B$229=J$3,SUMIF('TL11'!$C$238:$C$451,$C424,'TL11'!$J$238:$J$451),0),
IF('TL12'!$B$3=J$3,SUMIF('TL12'!$C$10:$C$224,$C424,'TL12'!$J$10:$J$224),0),
IF('TL12'!$B$229=J$3,SUMIF('TL12'!$C$238:$C$451,$C424,'TL12'!$J$238:$J$451),0),
IF('TL13'!$B$3=J$3,SUMIF('TL13'!$C$10:$C$224,$C424,'TL13'!$J$10:$J$224),0),
IF('TL13'!$B$229=J$3,SUMIF('TL13'!$C$238:$C$451,$C424,'TL13'!$J$238:$J$451),0),
IF('TL14'!$B$3=J$3,SUMIF('TL14'!$C$10:$C$224,$C424,'TL14'!$J$10:$J$224),0),
IF('TL14'!$B$229=J$3,SUMIF('TL14'!$C$238:$C$451,$C424,'TL14'!$J$238:$J$451),0),
IF('TL15'!$B$3=J$3,SUMIF('TL15'!$C$10:$C$224,$C424,'TL15'!$J$10:$J$224),0),
IF('TL15'!$B$229=J$3,SUMIF('TL15'!$C$238:$C$451,$C424,'TL15'!$J$238:$J$451),0),
IF('TL16'!$B$3=J$3,SUMIF('TL16'!$C$10:$C$224,$C424,'TL16'!$J$10:$J$224),0),
IF('TL16'!$B$229=J$3,SUMIF('TL16'!$C$238:$C$451,$C424,'TL16'!$J$238:$J$451),0),
IF('TL17'!$B$3=J$3,SUMIF('TL17'!$C$10:$C$224,$C424,'TL17'!$J$10:$J$224),0),
IF('TL17'!$B$229=J$3,SUMIF('TL17'!$C$238:$C$451,$C424,'TL17'!$J$238:$J$451),0),
IF('TL18'!$B$3=J$3,SUMIF('TL18'!$C$10:$C$224,$C424,'TL18'!$J$10:$J$224),0),
IF('TL18'!$B$229=J$3,SUMIF('TL18'!$C$238:$C$451,$C424,'TL18'!$J$238:$J$451),0),
IF('TL19'!$B$3=J$3,SUMIF('TL19'!$C$10:$C$224,$C424,'TL19'!$J$10:$J$224),0),
IF('TL19'!$B$229=J$3,SUMIF('TL19'!$C$238:$C$451,$C424,'TL19'!$J$238:$J$451),0)
),0)</f>
        <v>0</v>
      </c>
      <c r="K424" s="138">
        <f>IFERROR(SUM(
IF('TL01'!$B$3=K$3,SUMIF('TL01'!$C$10:$C$224,$C424,'TL01'!$J$10:$J$224),0),
IF('TL01'!$B$229=K$3,SUMIF('TL01'!$C$238:$C$451,$C424,'TL01'!$J$238:$J$451),0),
IF('TL02'!$B$3=K$3,SUMIF('TL02'!$C$10:$C$224,$C424,'TL02'!$J$10:$J$224),0),
IF('TL02'!$B$229=K$3,SUMIF('TL02'!$C$238:$C$451,$C424,'TL02'!$J$238:$J$451),0),
IF('TL03'!$B$3=K$3,SUMIF('TL03'!$C$10:$C$224,$C424,'TL03'!$J$10:$J$224),0),
IF('TL03'!$B$229=K$3,SUMIF('TL03'!$C$238:$C$451,$C424,'TL03'!$J$238:$J$451),0),
IF('TL04'!$B$3=K$3,SUMIF('TL04'!$C$10:$C$224,$C424,'TL04'!$J$10:$J$224),0),
IF('TL04'!$B$229=K$3,SUMIF('TL04'!$C$238:$C$451,$C424,'TL04'!$J$238:$J$451),0),
IF('TL05'!$B$3=K$3,SUMIF('TL05'!$C$10:$C$224,$C424,'TL05'!$J$10:$J$224),0),
IF('TL05'!$B$229=K$3,SUMIF('TL05'!$C$238:$C$451,$C424,'TL05'!$J$238:$J$451),0),
IF('TL06'!$B$3=K$3,SUMIF('TL06'!$C$10:$C$224,$C424,'TL06'!$J$10:$J$224),0),
IF('TL06'!$B$229=K$3,SUMIF('TL06'!$C$238:$C$451,$C424,'TL06'!$J$238:$J$451),0),
IF('TL07'!$B$3=K$3,SUMIF('TL07'!$C$10:$C$224,$C424,'TL07'!$J$10:$J$224),0),
IF('TL07'!$B$229=K$3,SUMIF('TL07'!$C$238:$C$451,$C424,'TL07'!$J$238:$J$451),0),
IF('TL08'!$B$3=K$3,SUMIF('TL08'!$C$10:$C$224,$C424,'TL08'!$J$10:$J$224),0),
IF('TL08'!$B$229=K$3,SUMIF('TL08'!$C$238:$C$451,$C424,'TL08'!$J$238:$J$451),0),
IF('TL09'!$B$3=K$3,SUMIF('TL09'!$C$10:$C$224,$C424,'TL09'!$J$10:$J$224),0),
IF('TL09'!$B$229=K$3,SUMIF('TL09'!$C$238:$C$451,$C424,'TL09'!$J$238:$J$451),0),
IF('TL10'!$B$3=K$3,SUMIF('TL10'!$C$10:$C$224,$C424,'TL10'!$J$10:$J$224),0),
IF('TL10'!$B$229=K$3,SUMIF('TL10'!$C$238:$C$451,$C424,'TL10'!$J$238:$J$451),0),
IF('TL11'!$B$3=K$3,SUMIF('TL11'!$C$10:$C$224,$C424,'TL11'!$J$10:$J$224),0),
IF('TL11'!$B$229=K$3,SUMIF('TL11'!$C$238:$C$451,$C424,'TL11'!$J$238:$J$451),0),
IF('TL12'!$B$3=K$3,SUMIF('TL12'!$C$10:$C$224,$C424,'TL12'!$J$10:$J$224),0),
IF('TL12'!$B$229=K$3,SUMIF('TL12'!$C$238:$C$451,$C424,'TL12'!$J$238:$J$451),0),
IF('TL13'!$B$3=K$3,SUMIF('TL13'!$C$10:$C$224,$C424,'TL13'!$J$10:$J$224),0),
IF('TL13'!$B$229=K$3,SUMIF('TL13'!$C$238:$C$451,$C424,'TL13'!$J$238:$J$451),0),
IF('TL14'!$B$3=K$3,SUMIF('TL14'!$C$10:$C$224,$C424,'TL14'!$J$10:$J$224),0),
IF('TL14'!$B$229=K$3,SUMIF('TL14'!$C$238:$C$451,$C424,'TL14'!$J$238:$J$451),0),
IF('TL15'!$B$3=K$3,SUMIF('TL15'!$C$10:$C$224,$C424,'TL15'!$J$10:$J$224),0),
IF('TL15'!$B$229=K$3,SUMIF('TL15'!$C$238:$C$451,$C424,'TL15'!$J$238:$J$451),0),
IF('TL16'!$B$3=K$3,SUMIF('TL16'!$C$10:$C$224,$C424,'TL16'!$J$10:$J$224),0),
IF('TL16'!$B$229=K$3,SUMIF('TL16'!$C$238:$C$451,$C424,'TL16'!$J$238:$J$451),0),
IF('TL17'!$B$3=K$3,SUMIF('TL17'!$C$10:$C$224,$C424,'TL17'!$J$10:$J$224),0),
IF('TL17'!$B$229=K$3,SUMIF('TL17'!$C$238:$C$451,$C424,'TL17'!$J$238:$J$451),0),
IF('TL18'!$B$3=K$3,SUMIF('TL18'!$C$10:$C$224,$C424,'TL18'!$J$10:$J$224),0),
IF('TL18'!$B$229=K$3,SUMIF('TL18'!$C$238:$C$451,$C424,'TL18'!$J$238:$J$451),0),
IF('TL19'!$B$3=K$3,SUMIF('TL19'!$C$10:$C$224,$C424,'TL19'!$J$10:$J$224),0),
IF('TL19'!$B$229=K$3,SUMIF('TL19'!$C$238:$C$451,$C424,'TL19'!$J$238:$J$451),0)
),0)</f>
        <v>0</v>
      </c>
      <c r="L424" s="138">
        <f>IFERROR(SUM(
IF('TL01'!$B$3=L$3,SUMIF('TL01'!$C$10:$C$224,$C424,'TL01'!$J$10:$J$224),0),
IF('TL01'!$B$229=L$3,SUMIF('TL01'!$C$238:$C$451,$C424,'TL01'!$J$238:$J$451),0),
IF('TL02'!$B$3=L$3,SUMIF('TL02'!$C$10:$C$224,$C424,'TL02'!$J$10:$J$224),0),
IF('TL02'!$B$229=L$3,SUMIF('TL02'!$C$238:$C$451,$C424,'TL02'!$J$238:$J$451),0),
IF('TL03'!$B$3=L$3,SUMIF('TL03'!$C$10:$C$224,$C424,'TL03'!$J$10:$J$224),0),
IF('TL03'!$B$229=L$3,SUMIF('TL03'!$C$238:$C$451,$C424,'TL03'!$J$238:$J$451),0),
IF('TL04'!$B$3=L$3,SUMIF('TL04'!$C$10:$C$224,$C424,'TL04'!$J$10:$J$224),0),
IF('TL04'!$B$229=L$3,SUMIF('TL04'!$C$238:$C$451,$C424,'TL04'!$J$238:$J$451),0),
IF('TL05'!$B$3=L$3,SUMIF('TL05'!$C$10:$C$224,$C424,'TL05'!$J$10:$J$224),0),
IF('TL05'!$B$229=L$3,SUMIF('TL05'!$C$238:$C$451,$C424,'TL05'!$J$238:$J$451),0),
IF('TL06'!$B$3=L$3,SUMIF('TL06'!$C$10:$C$224,$C424,'TL06'!$J$10:$J$224),0),
IF('TL06'!$B$229=L$3,SUMIF('TL06'!$C$238:$C$451,$C424,'TL06'!$J$238:$J$451),0),
IF('TL07'!$B$3=L$3,SUMIF('TL07'!$C$10:$C$224,$C424,'TL07'!$J$10:$J$224),0),
IF('TL07'!$B$229=L$3,SUMIF('TL07'!$C$238:$C$451,$C424,'TL07'!$J$238:$J$451),0),
IF('TL08'!$B$3=L$3,SUMIF('TL08'!$C$10:$C$224,$C424,'TL08'!$J$10:$J$224),0),
IF('TL08'!$B$229=L$3,SUMIF('TL08'!$C$238:$C$451,$C424,'TL08'!$J$238:$J$451),0),
IF('TL09'!$B$3=L$3,SUMIF('TL09'!$C$10:$C$224,$C424,'TL09'!$J$10:$J$224),0),
IF('TL09'!$B$229=L$3,SUMIF('TL09'!$C$238:$C$451,$C424,'TL09'!$J$238:$J$451),0),
IF('TL10'!$B$3=L$3,SUMIF('TL10'!$C$10:$C$224,$C424,'TL10'!$J$10:$J$224),0),
IF('TL10'!$B$229=L$3,SUMIF('TL10'!$C$238:$C$451,$C424,'TL10'!$J$238:$J$451),0),
IF('TL11'!$B$3=L$3,SUMIF('TL11'!$C$10:$C$224,$C424,'TL11'!$J$10:$J$224),0),
IF('TL11'!$B$229=L$3,SUMIF('TL11'!$C$238:$C$451,$C424,'TL11'!$J$238:$J$451),0),
IF('TL12'!$B$3=L$3,SUMIF('TL12'!$C$10:$C$224,$C424,'TL12'!$J$10:$J$224),0),
IF('TL12'!$B$229=L$3,SUMIF('TL12'!$C$238:$C$451,$C424,'TL12'!$J$238:$J$451),0),
IF('TL13'!$B$3=L$3,SUMIF('TL13'!$C$10:$C$224,$C424,'TL13'!$J$10:$J$224),0),
IF('TL13'!$B$229=L$3,SUMIF('TL13'!$C$238:$C$451,$C424,'TL13'!$J$238:$J$451),0),
IF('TL14'!$B$3=L$3,SUMIF('TL14'!$C$10:$C$224,$C424,'TL14'!$J$10:$J$224),0),
IF('TL14'!$B$229=L$3,SUMIF('TL14'!$C$238:$C$451,$C424,'TL14'!$J$238:$J$451),0),
IF('TL15'!$B$3=L$3,SUMIF('TL15'!$C$10:$C$224,$C424,'TL15'!$J$10:$J$224),0),
IF('TL15'!$B$229=L$3,SUMIF('TL15'!$C$238:$C$451,$C424,'TL15'!$J$238:$J$451),0),
IF('TL16'!$B$3=L$3,SUMIF('TL16'!$C$10:$C$224,$C424,'TL16'!$J$10:$J$224),0),
IF('TL16'!$B$229=L$3,SUMIF('TL16'!$C$238:$C$451,$C424,'TL16'!$J$238:$J$451),0),
IF('TL17'!$B$3=L$3,SUMIF('TL17'!$C$10:$C$224,$C424,'TL17'!$J$10:$J$224),0),
IF('TL17'!$B$229=L$3,SUMIF('TL17'!$C$238:$C$451,$C424,'TL17'!$J$238:$J$451),0),
IF('TL18'!$B$3=L$3,SUMIF('TL18'!$C$10:$C$224,$C424,'TL18'!$J$10:$J$224),0),
IF('TL18'!$B$229=L$3,SUMIF('TL18'!$C$238:$C$451,$C424,'TL18'!$J$238:$J$451),0),
IF('TL19'!$B$3=L$3,SUMIF('TL19'!$C$10:$C$224,$C424,'TL19'!$J$10:$J$224),0),
IF('TL19'!$B$229=L$3,SUMIF('TL19'!$C$238:$C$451,$C424,'TL19'!$J$238:$J$451),0)
),0)</f>
        <v>0</v>
      </c>
      <c r="M424" s="138">
        <f>IFERROR(SUM(
IF('TL01'!$B$3=M$3,SUMIF('TL01'!$C$10:$C$224,$C424,'TL01'!$J$10:$J$224),0),
IF('TL01'!$B$229=M$3,SUMIF('TL01'!$C$238:$C$451,$C424,'TL01'!$J$238:$J$451),0),
IF('TL02'!$B$3=M$3,SUMIF('TL02'!$C$10:$C$224,$C424,'TL02'!$J$10:$J$224),0),
IF('TL02'!$B$229=M$3,SUMIF('TL02'!$C$238:$C$451,$C424,'TL02'!$J$238:$J$451),0),
IF('TL03'!$B$3=M$3,SUMIF('TL03'!$C$10:$C$224,$C424,'TL03'!$J$10:$J$224),0),
IF('TL03'!$B$229=M$3,SUMIF('TL03'!$C$238:$C$451,$C424,'TL03'!$J$238:$J$451),0),
IF('TL04'!$B$3=M$3,SUMIF('TL04'!$C$10:$C$224,$C424,'TL04'!$J$10:$J$224),0),
IF('TL04'!$B$229=M$3,SUMIF('TL04'!$C$238:$C$451,$C424,'TL04'!$J$238:$J$451),0),
IF('TL05'!$B$3=M$3,SUMIF('TL05'!$C$10:$C$224,$C424,'TL05'!$J$10:$J$224),0),
IF('TL05'!$B$229=M$3,SUMIF('TL05'!$C$238:$C$451,$C424,'TL05'!$J$238:$J$451),0),
IF('TL06'!$B$3=M$3,SUMIF('TL06'!$C$10:$C$224,$C424,'TL06'!$J$10:$J$224),0),
IF('TL06'!$B$229=M$3,SUMIF('TL06'!$C$238:$C$451,$C424,'TL06'!$J$238:$J$451),0),
IF('TL07'!$B$3=M$3,SUMIF('TL07'!$C$10:$C$224,$C424,'TL07'!$J$10:$J$224),0),
IF('TL07'!$B$229=M$3,SUMIF('TL07'!$C$238:$C$451,$C424,'TL07'!$J$238:$J$451),0),
IF('TL08'!$B$3=M$3,SUMIF('TL08'!$C$10:$C$224,$C424,'TL08'!$J$10:$J$224),0),
IF('TL08'!$B$229=M$3,SUMIF('TL08'!$C$238:$C$451,$C424,'TL08'!$J$238:$J$451),0),
IF('TL09'!$B$3=M$3,SUMIF('TL09'!$C$10:$C$224,$C424,'TL09'!$J$10:$J$224),0),
IF('TL09'!$B$229=M$3,SUMIF('TL09'!$C$238:$C$451,$C424,'TL09'!$J$238:$J$451),0),
IF('TL10'!$B$3=M$3,SUMIF('TL10'!$C$10:$C$224,$C424,'TL10'!$J$10:$J$224),0),
IF('TL10'!$B$229=M$3,SUMIF('TL10'!$C$238:$C$451,$C424,'TL10'!$J$238:$J$451),0),
IF('TL11'!$B$3=M$3,SUMIF('TL11'!$C$10:$C$224,$C424,'TL11'!$J$10:$J$224),0),
IF('TL11'!$B$229=M$3,SUMIF('TL11'!$C$238:$C$451,$C424,'TL11'!$J$238:$J$451),0),
IF('TL12'!$B$3=M$3,SUMIF('TL12'!$C$10:$C$224,$C424,'TL12'!$J$10:$J$224),0),
IF('TL12'!$B$229=M$3,SUMIF('TL12'!$C$238:$C$451,$C424,'TL12'!$J$238:$J$451),0),
IF('TL13'!$B$3=M$3,SUMIF('TL13'!$C$10:$C$224,$C424,'TL13'!$J$10:$J$224),0),
IF('TL13'!$B$229=M$3,SUMIF('TL13'!$C$238:$C$451,$C424,'TL13'!$J$238:$J$451),0),
IF('TL14'!$B$3=M$3,SUMIF('TL14'!$C$10:$C$224,$C424,'TL14'!$J$10:$J$224),0),
IF('TL14'!$B$229=M$3,SUMIF('TL14'!$C$238:$C$451,$C424,'TL14'!$J$238:$J$451),0),
IF('TL15'!$B$3=M$3,SUMIF('TL15'!$C$10:$C$224,$C424,'TL15'!$J$10:$J$224),0),
IF('TL15'!$B$229=M$3,SUMIF('TL15'!$C$238:$C$451,$C424,'TL15'!$J$238:$J$451),0),
IF('TL16'!$B$3=M$3,SUMIF('TL16'!$C$10:$C$224,$C424,'TL16'!$J$10:$J$224),0),
IF('TL16'!$B$229=M$3,SUMIF('TL16'!$C$238:$C$451,$C424,'TL16'!$J$238:$J$451),0),
IF('TL17'!$B$3=M$3,SUMIF('TL17'!$C$10:$C$224,$C424,'TL17'!$J$10:$J$224),0),
IF('TL17'!$B$229=M$3,SUMIF('TL17'!$C$238:$C$451,$C424,'TL17'!$J$238:$J$451),0),
IF('TL18'!$B$3=M$3,SUMIF('TL18'!$C$10:$C$224,$C424,'TL18'!$J$10:$J$224),0),
IF('TL18'!$B$229=M$3,SUMIF('TL18'!$C$238:$C$451,$C424,'TL18'!$J$238:$J$451),0),
IF('TL19'!$B$3=M$3,SUMIF('TL19'!$C$10:$C$224,$C424,'TL19'!$J$10:$J$224),0),
IF('TL19'!$B$229=M$3,SUMIF('TL19'!$C$238:$C$451,$C424,'TL19'!$J$238:$J$451),0)
),0)</f>
        <v>0</v>
      </c>
      <c r="N424" s="138">
        <f>IFERROR(SUM(
IF('TL01'!$B$3=N$3,SUMIF('TL01'!$C$10:$C$224,$C424,'TL01'!$J$10:$J$224),0),
IF('TL01'!$B$229=N$3,SUMIF('TL01'!$C$238:$C$451,$C424,'TL01'!$J$238:$J$451),0),
IF('TL02'!$B$3=N$3,SUMIF('TL02'!$C$10:$C$224,$C424,'TL02'!$J$10:$J$224),0),
IF('TL02'!$B$229=N$3,SUMIF('TL02'!$C$238:$C$451,$C424,'TL02'!$J$238:$J$451),0),
IF('TL03'!$B$3=N$3,SUMIF('TL03'!$C$10:$C$224,$C424,'TL03'!$J$10:$J$224),0),
IF('TL03'!$B$229=N$3,SUMIF('TL03'!$C$238:$C$451,$C424,'TL03'!$J$238:$J$451),0),
IF('TL04'!$B$3=N$3,SUMIF('TL04'!$C$10:$C$224,$C424,'TL04'!$J$10:$J$224),0),
IF('TL04'!$B$229=N$3,SUMIF('TL04'!$C$238:$C$451,$C424,'TL04'!$J$238:$J$451),0),
IF('TL05'!$B$3=N$3,SUMIF('TL05'!$C$10:$C$224,$C424,'TL05'!$J$10:$J$224),0),
IF('TL05'!$B$229=N$3,SUMIF('TL05'!$C$238:$C$451,$C424,'TL05'!$J$238:$J$451),0),
IF('TL06'!$B$3=N$3,SUMIF('TL06'!$C$10:$C$224,$C424,'TL06'!$J$10:$J$224),0),
IF('TL06'!$B$229=N$3,SUMIF('TL06'!$C$238:$C$451,$C424,'TL06'!$J$238:$J$451),0),
IF('TL07'!$B$3=N$3,SUMIF('TL07'!$C$10:$C$224,$C424,'TL07'!$J$10:$J$224),0),
IF('TL07'!$B$229=N$3,SUMIF('TL07'!$C$238:$C$451,$C424,'TL07'!$J$238:$J$451),0),
IF('TL08'!$B$3=N$3,SUMIF('TL08'!$C$10:$C$224,$C424,'TL08'!$J$10:$J$224),0),
IF('TL08'!$B$229=N$3,SUMIF('TL08'!$C$238:$C$451,$C424,'TL08'!$J$238:$J$451),0),
IF('TL09'!$B$3=N$3,SUMIF('TL09'!$C$10:$C$224,$C424,'TL09'!$J$10:$J$224),0),
IF('TL09'!$B$229=N$3,SUMIF('TL09'!$C$238:$C$451,$C424,'TL09'!$J$238:$J$451),0),
IF('TL10'!$B$3=N$3,SUMIF('TL10'!$C$10:$C$224,$C424,'TL10'!$J$10:$J$224),0),
IF('TL10'!$B$229=N$3,SUMIF('TL10'!$C$238:$C$451,$C424,'TL10'!$J$238:$J$451),0),
IF('TL11'!$B$3=N$3,SUMIF('TL11'!$C$10:$C$224,$C424,'TL11'!$J$10:$J$224),0),
IF('TL11'!$B$229=N$3,SUMIF('TL11'!$C$238:$C$451,$C424,'TL11'!$J$238:$J$451),0),
IF('TL12'!$B$3=N$3,SUMIF('TL12'!$C$10:$C$224,$C424,'TL12'!$J$10:$J$224),0),
IF('TL12'!$B$229=N$3,SUMIF('TL12'!$C$238:$C$451,$C424,'TL12'!$J$238:$J$451),0),
IF('TL13'!$B$3=N$3,SUMIF('TL13'!$C$10:$C$224,$C424,'TL13'!$J$10:$J$224),0),
IF('TL13'!$B$229=N$3,SUMIF('TL13'!$C$238:$C$451,$C424,'TL13'!$J$238:$J$451),0),
IF('TL14'!$B$3=N$3,SUMIF('TL14'!$C$10:$C$224,$C424,'TL14'!$J$10:$J$224),0),
IF('TL14'!$B$229=N$3,SUMIF('TL14'!$C$238:$C$451,$C424,'TL14'!$J$238:$J$451),0),
IF('TL15'!$B$3=N$3,SUMIF('TL15'!$C$10:$C$224,$C424,'TL15'!$J$10:$J$224),0),
IF('TL15'!$B$229=N$3,SUMIF('TL15'!$C$238:$C$451,$C424,'TL15'!$J$238:$J$451),0),
IF('TL16'!$B$3=N$3,SUMIF('TL16'!$C$10:$C$224,$C424,'TL16'!$J$10:$J$224),0),
IF('TL16'!$B$229=N$3,SUMIF('TL16'!$C$238:$C$451,$C424,'TL16'!$J$238:$J$451),0),
IF('TL17'!$B$3=N$3,SUMIF('TL17'!$C$10:$C$224,$C424,'TL17'!$J$10:$J$224),0),
IF('TL17'!$B$229=N$3,SUMIF('TL17'!$C$238:$C$451,$C424,'TL17'!$J$238:$J$451),0),
IF('TL18'!$B$3=N$3,SUMIF('TL18'!$C$10:$C$224,$C424,'TL18'!$J$10:$J$224),0),
IF('TL18'!$B$229=N$3,SUMIF('TL18'!$C$238:$C$451,$C424,'TL18'!$J$238:$J$451),0),
IF('TL19'!$B$3=N$3,SUMIF('TL19'!$C$10:$C$224,$C424,'TL19'!$J$10:$J$224),0),
IF('TL19'!$B$229=N$3,SUMIF('TL19'!$C$238:$C$451,$C424,'TL19'!$J$238:$J$451),0)
),0)</f>
        <v>0</v>
      </c>
      <c r="O424" s="138">
        <f>IFERROR(SUM(
IF('TL01'!$B$3=O$3,SUMIF('TL01'!$C$10:$C$224,$C424,'TL01'!$J$10:$J$224),0),
IF('TL01'!$B$229=O$3,SUMIF('TL01'!$C$238:$C$451,$C424,'TL01'!$J$238:$J$451),0),
IF('TL02'!$B$3=O$3,SUMIF('TL02'!$C$10:$C$224,$C424,'TL02'!$J$10:$J$224),0),
IF('TL02'!$B$229=O$3,SUMIF('TL02'!$C$238:$C$451,$C424,'TL02'!$J$238:$J$451),0),
IF('TL03'!$B$3=O$3,SUMIF('TL03'!$C$10:$C$224,$C424,'TL03'!$J$10:$J$224),0),
IF('TL03'!$B$229=O$3,SUMIF('TL03'!$C$238:$C$451,$C424,'TL03'!$J$238:$J$451),0),
IF('TL04'!$B$3=O$3,SUMIF('TL04'!$C$10:$C$224,$C424,'TL04'!$J$10:$J$224),0),
IF('TL04'!$B$229=O$3,SUMIF('TL04'!$C$238:$C$451,$C424,'TL04'!$J$238:$J$451),0),
IF('TL05'!$B$3=O$3,SUMIF('TL05'!$C$10:$C$224,$C424,'TL05'!$J$10:$J$224),0),
IF('TL05'!$B$229=O$3,SUMIF('TL05'!$C$238:$C$451,$C424,'TL05'!$J$238:$J$451),0),
IF('TL06'!$B$3=O$3,SUMIF('TL06'!$C$10:$C$224,$C424,'TL06'!$J$10:$J$224),0),
IF('TL06'!$B$229=O$3,SUMIF('TL06'!$C$238:$C$451,$C424,'TL06'!$J$238:$J$451),0),
IF('TL07'!$B$3=O$3,SUMIF('TL07'!$C$10:$C$224,$C424,'TL07'!$J$10:$J$224),0),
IF('TL07'!$B$229=O$3,SUMIF('TL07'!$C$238:$C$451,$C424,'TL07'!$J$238:$J$451),0),
IF('TL08'!$B$3=O$3,SUMIF('TL08'!$C$10:$C$224,$C424,'TL08'!$J$10:$J$224),0),
IF('TL08'!$B$229=O$3,SUMIF('TL08'!$C$238:$C$451,$C424,'TL08'!$J$238:$J$451),0),
IF('TL09'!$B$3=O$3,SUMIF('TL09'!$C$10:$C$224,$C424,'TL09'!$J$10:$J$224),0),
IF('TL09'!$B$229=O$3,SUMIF('TL09'!$C$238:$C$451,$C424,'TL09'!$J$238:$J$451),0),
IF('TL10'!$B$3=O$3,SUMIF('TL10'!$C$10:$C$224,$C424,'TL10'!$J$10:$J$224),0),
IF('TL10'!$B$229=O$3,SUMIF('TL10'!$C$238:$C$451,$C424,'TL10'!$J$238:$J$451),0),
IF('TL11'!$B$3=O$3,SUMIF('TL11'!$C$10:$C$224,$C424,'TL11'!$J$10:$J$224),0),
IF('TL11'!$B$229=O$3,SUMIF('TL11'!$C$238:$C$451,$C424,'TL11'!$J$238:$J$451),0),
IF('TL12'!$B$3=O$3,SUMIF('TL12'!$C$10:$C$224,$C424,'TL12'!$J$10:$J$224),0),
IF('TL12'!$B$229=O$3,SUMIF('TL12'!$C$238:$C$451,$C424,'TL12'!$J$238:$J$451),0),
IF('TL13'!$B$3=O$3,SUMIF('TL13'!$C$10:$C$224,$C424,'TL13'!$J$10:$J$224),0),
IF('TL13'!$B$229=O$3,SUMIF('TL13'!$C$238:$C$451,$C424,'TL13'!$J$238:$J$451),0),
IF('TL14'!$B$3=O$3,SUMIF('TL14'!$C$10:$C$224,$C424,'TL14'!$J$10:$J$224),0),
IF('TL14'!$B$229=O$3,SUMIF('TL14'!$C$238:$C$451,$C424,'TL14'!$J$238:$J$451),0),
IF('TL15'!$B$3=O$3,SUMIF('TL15'!$C$10:$C$224,$C424,'TL15'!$J$10:$J$224),0),
IF('TL15'!$B$229=O$3,SUMIF('TL15'!$C$238:$C$451,$C424,'TL15'!$J$238:$J$451),0),
IF('TL16'!$B$3=O$3,SUMIF('TL16'!$C$10:$C$224,$C424,'TL16'!$J$10:$J$224),0),
IF('TL16'!$B$229=O$3,SUMIF('TL16'!$C$238:$C$451,$C424,'TL16'!$J$238:$J$451),0),
IF('TL17'!$B$3=O$3,SUMIF('TL17'!$C$10:$C$224,$C424,'TL17'!$J$10:$J$224),0),
IF('TL17'!$B$229=O$3,SUMIF('TL17'!$C$238:$C$451,$C424,'TL17'!$J$238:$J$451),0),
IF('TL18'!$B$3=O$3,SUMIF('TL18'!$C$10:$C$224,$C424,'TL18'!$J$10:$J$224),0),
IF('TL18'!$B$229=O$3,SUMIF('TL18'!$C$238:$C$451,$C424,'TL18'!$J$238:$J$451),0),
IF('TL19'!$B$3=O$3,SUMIF('TL19'!$C$10:$C$224,$C424,'TL19'!$J$10:$J$224),0),
IF('TL19'!$B$229=O$3,SUMIF('TL19'!$C$238:$C$451,$C424,'TL19'!$J$238:$J$451),0)
),0)</f>
        <v>0</v>
      </c>
      <c r="P424" s="138">
        <f>IFERROR(SUM(
IF('TL01'!$B$3=P$3,SUMIF('TL01'!$C$10:$C$224,$C424,'TL01'!$J$10:$J$224),0),
IF('TL01'!$B$229=P$3,SUMIF('TL01'!$C$238:$C$451,$C424,'TL01'!$J$238:$J$451),0),
IF('TL02'!$B$3=P$3,SUMIF('TL02'!$C$10:$C$224,$C424,'TL02'!$J$10:$J$224),0),
IF('TL02'!$B$229=P$3,SUMIF('TL02'!$C$238:$C$451,$C424,'TL02'!$J$238:$J$451),0),
IF('TL03'!$B$3=P$3,SUMIF('TL03'!$C$10:$C$224,$C424,'TL03'!$J$10:$J$224),0),
IF('TL03'!$B$229=P$3,SUMIF('TL03'!$C$238:$C$451,$C424,'TL03'!$J$238:$J$451),0),
IF('TL04'!$B$3=P$3,SUMIF('TL04'!$C$10:$C$224,$C424,'TL04'!$J$10:$J$224),0),
IF('TL04'!$B$229=P$3,SUMIF('TL04'!$C$238:$C$451,$C424,'TL04'!$J$238:$J$451),0),
IF('TL05'!$B$3=P$3,SUMIF('TL05'!$C$10:$C$224,$C424,'TL05'!$J$10:$J$224),0),
IF('TL05'!$B$229=P$3,SUMIF('TL05'!$C$238:$C$451,$C424,'TL05'!$J$238:$J$451),0),
IF('TL06'!$B$3=P$3,SUMIF('TL06'!$C$10:$C$224,$C424,'TL06'!$J$10:$J$224),0),
IF('TL06'!$B$229=P$3,SUMIF('TL06'!$C$238:$C$451,$C424,'TL06'!$J$238:$J$451),0),
IF('TL07'!$B$3=P$3,SUMIF('TL07'!$C$10:$C$224,$C424,'TL07'!$J$10:$J$224),0),
IF('TL07'!$B$229=P$3,SUMIF('TL07'!$C$238:$C$451,$C424,'TL07'!$J$238:$J$451),0),
IF('TL08'!$B$3=P$3,SUMIF('TL08'!$C$10:$C$224,$C424,'TL08'!$J$10:$J$224),0),
IF('TL08'!$B$229=P$3,SUMIF('TL08'!$C$238:$C$451,$C424,'TL08'!$J$238:$J$451),0),
IF('TL09'!$B$3=P$3,SUMIF('TL09'!$C$10:$C$224,$C424,'TL09'!$J$10:$J$224),0),
IF('TL09'!$B$229=P$3,SUMIF('TL09'!$C$238:$C$451,$C424,'TL09'!$J$238:$J$451),0),
IF('TL10'!$B$3=P$3,SUMIF('TL10'!$C$10:$C$224,$C424,'TL10'!$J$10:$J$224),0),
IF('TL10'!$B$229=P$3,SUMIF('TL10'!$C$238:$C$451,$C424,'TL10'!$J$238:$J$451),0),
IF('TL11'!$B$3=P$3,SUMIF('TL11'!$C$10:$C$224,$C424,'TL11'!$J$10:$J$224),0),
IF('TL11'!$B$229=P$3,SUMIF('TL11'!$C$238:$C$451,$C424,'TL11'!$J$238:$J$451),0),
IF('TL12'!$B$3=P$3,SUMIF('TL12'!$C$10:$C$224,$C424,'TL12'!$J$10:$J$224),0),
IF('TL12'!$B$229=P$3,SUMIF('TL12'!$C$238:$C$451,$C424,'TL12'!$J$238:$J$451),0),
IF('TL13'!$B$3=P$3,SUMIF('TL13'!$C$10:$C$224,$C424,'TL13'!$J$10:$J$224),0),
IF('TL13'!$B$229=P$3,SUMIF('TL13'!$C$238:$C$451,$C424,'TL13'!$J$238:$J$451),0),
IF('TL14'!$B$3=P$3,SUMIF('TL14'!$C$10:$C$224,$C424,'TL14'!$J$10:$J$224),0),
IF('TL14'!$B$229=P$3,SUMIF('TL14'!$C$238:$C$451,$C424,'TL14'!$J$238:$J$451),0),
IF('TL15'!$B$3=P$3,SUMIF('TL15'!$C$10:$C$224,$C424,'TL15'!$J$10:$J$224),0),
IF('TL15'!$B$229=P$3,SUMIF('TL15'!$C$238:$C$451,$C424,'TL15'!$J$238:$J$451),0),
IF('TL16'!$B$3=P$3,SUMIF('TL16'!$C$10:$C$224,$C424,'TL16'!$J$10:$J$224),0),
IF('TL16'!$B$229=P$3,SUMIF('TL16'!$C$238:$C$451,$C424,'TL16'!$J$238:$J$451),0),
IF('TL17'!$B$3=P$3,SUMIF('TL17'!$C$10:$C$224,$C424,'TL17'!$J$10:$J$224),0),
IF('TL17'!$B$229=P$3,SUMIF('TL17'!$C$238:$C$451,$C424,'TL17'!$J$238:$J$451),0),
IF('TL18'!$B$3=P$3,SUMIF('TL18'!$C$10:$C$224,$C424,'TL18'!$J$10:$J$224),0),
IF('TL18'!$B$229=P$3,SUMIF('TL18'!$C$238:$C$451,$C424,'TL18'!$J$238:$J$451),0),
IF('TL19'!$B$3=P$3,SUMIF('TL19'!$C$10:$C$224,$C424,'TL19'!$J$10:$J$224),0),
IF('TL19'!$B$229=P$3,SUMIF('TL19'!$C$238:$C$451,$C424,'TL19'!$J$238:$J$451),0)
),0)</f>
        <v>0</v>
      </c>
      <c r="Q424" s="138">
        <f>IFERROR(SUM(
IF('TL01'!$B$3=Q$3,SUMIF('TL01'!$C$10:$C$224,$C424,'TL01'!$J$10:$J$224),0),
IF('TL01'!$B$229=Q$3,SUMIF('TL01'!$C$238:$C$451,$C424,'TL01'!$J$238:$J$451),0),
IF('TL02'!$B$3=Q$3,SUMIF('TL02'!$C$10:$C$224,$C424,'TL02'!$J$10:$J$224),0),
IF('TL02'!$B$229=Q$3,SUMIF('TL02'!$C$238:$C$451,$C424,'TL02'!$J$238:$J$451),0),
IF('TL03'!$B$3=Q$3,SUMIF('TL03'!$C$10:$C$224,$C424,'TL03'!$J$10:$J$224),0),
IF('TL03'!$B$229=Q$3,SUMIF('TL03'!$C$238:$C$451,$C424,'TL03'!$J$238:$J$451),0),
IF('TL04'!$B$3=Q$3,SUMIF('TL04'!$C$10:$C$224,$C424,'TL04'!$J$10:$J$224),0),
IF('TL04'!$B$229=Q$3,SUMIF('TL04'!$C$238:$C$451,$C424,'TL04'!$J$238:$J$451),0),
IF('TL05'!$B$3=Q$3,SUMIF('TL05'!$C$10:$C$224,$C424,'TL05'!$J$10:$J$224),0),
IF('TL05'!$B$229=Q$3,SUMIF('TL05'!$C$238:$C$451,$C424,'TL05'!$J$238:$J$451),0),
IF('TL06'!$B$3=Q$3,SUMIF('TL06'!$C$10:$C$224,$C424,'TL06'!$J$10:$J$224),0),
IF('TL06'!$B$229=Q$3,SUMIF('TL06'!$C$238:$C$451,$C424,'TL06'!$J$238:$J$451),0),
IF('TL07'!$B$3=Q$3,SUMIF('TL07'!$C$10:$C$224,$C424,'TL07'!$J$10:$J$224),0),
IF('TL07'!$B$229=Q$3,SUMIF('TL07'!$C$238:$C$451,$C424,'TL07'!$J$238:$J$451),0),
IF('TL08'!$B$3=Q$3,SUMIF('TL08'!$C$10:$C$224,$C424,'TL08'!$J$10:$J$224),0),
IF('TL08'!$B$229=Q$3,SUMIF('TL08'!$C$238:$C$451,$C424,'TL08'!$J$238:$J$451),0),
IF('TL09'!$B$3=Q$3,SUMIF('TL09'!$C$10:$C$224,$C424,'TL09'!$J$10:$J$224),0),
IF('TL09'!$B$229=Q$3,SUMIF('TL09'!$C$238:$C$451,$C424,'TL09'!$J$238:$J$451),0),
IF('TL10'!$B$3=Q$3,SUMIF('TL10'!$C$10:$C$224,$C424,'TL10'!$J$10:$J$224),0),
IF('TL10'!$B$229=Q$3,SUMIF('TL10'!$C$238:$C$451,$C424,'TL10'!$J$238:$J$451),0),
IF('TL11'!$B$3=Q$3,SUMIF('TL11'!$C$10:$C$224,$C424,'TL11'!$J$10:$J$224),0),
IF('TL11'!$B$229=Q$3,SUMIF('TL11'!$C$238:$C$451,$C424,'TL11'!$J$238:$J$451),0),
IF('TL12'!$B$3=Q$3,SUMIF('TL12'!$C$10:$C$224,$C424,'TL12'!$J$10:$J$224),0),
IF('TL12'!$B$229=Q$3,SUMIF('TL12'!$C$238:$C$451,$C424,'TL12'!$J$238:$J$451),0),
IF('TL13'!$B$3=Q$3,SUMIF('TL13'!$C$10:$C$224,$C424,'TL13'!$J$10:$J$224),0),
IF('TL13'!$B$229=Q$3,SUMIF('TL13'!$C$238:$C$451,$C424,'TL13'!$J$238:$J$451),0),
IF('TL14'!$B$3=Q$3,SUMIF('TL14'!$C$10:$C$224,$C424,'TL14'!$J$10:$J$224),0),
IF('TL14'!$B$229=Q$3,SUMIF('TL14'!$C$238:$C$451,$C424,'TL14'!$J$238:$J$451),0),
IF('TL15'!$B$3=Q$3,SUMIF('TL15'!$C$10:$C$224,$C424,'TL15'!$J$10:$J$224),0),
IF('TL15'!$B$229=Q$3,SUMIF('TL15'!$C$238:$C$451,$C424,'TL15'!$J$238:$J$451),0),
IF('TL16'!$B$3=Q$3,SUMIF('TL16'!$C$10:$C$224,$C424,'TL16'!$J$10:$J$224),0),
IF('TL16'!$B$229=Q$3,SUMIF('TL16'!$C$238:$C$451,$C424,'TL16'!$J$238:$J$451),0),
IF('TL17'!$B$3=Q$3,SUMIF('TL17'!$C$10:$C$224,$C424,'TL17'!$J$10:$J$224),0),
IF('TL17'!$B$229=Q$3,SUMIF('TL17'!$C$238:$C$451,$C424,'TL17'!$J$238:$J$451),0),
IF('TL18'!$B$3=Q$3,SUMIF('TL18'!$C$10:$C$224,$C424,'TL18'!$J$10:$J$224),0),
IF('TL18'!$B$229=Q$3,SUMIF('TL18'!$C$238:$C$451,$C424,'TL18'!$J$238:$J$451),0),
IF('TL19'!$B$3=Q$3,SUMIF('TL19'!$C$10:$C$224,$C424,'TL19'!$J$10:$J$224),0),
IF('TL19'!$B$229=Q$3,SUMIF('TL19'!$C$238:$C$451,$C424,'TL19'!$J$238:$J$451),0)
),0)</f>
        <v>0</v>
      </c>
      <c r="R424" s="139">
        <f>IFERROR(
SUM(
SUMIF('TL01'!C:C,C424,'TL01'!J:J),
SUMIF('TL02'!C:C,C424,'TL02'!I:I),
SUMIF('TL03'!C:C,C424,'TL03'!I:I),
SUMIF('TL04'!C:C,C424,'TL04'!I:I),
SUMIF('TL05'!C:C,C424,'TL05'!I:I),
SUMIF('TL06'!C:C,C424,'TL06'!I:I),
SUMIF('TL07'!C:C,C424,'TL07'!I:I),
SUMIF('TL08'!C:C,C424,'TL08'!I:I),
SUMIF('TL09'!C:C,C424,'TL09'!I:I),
SUMIF('TL10'!C:C,C424,'TL10'!I:I),
SUMIF('TL11'!C:C,C424,'TL11'!I:I),
SUMIF('TL12'!C:C,C424,'TL12'!I:I),
SUMIF('TL13'!C:C,C424,'TL13'!I:I),
SUMIF('TL14'!C:C,C424,'TL14'!I:I),
SUMIF('TL15'!C:C,C424,'TL15'!I:I),
SUMIF('TL16'!C:C,C424,'TL16'!I:I),
SUMIF('TL17'!C:C,C424,'TL17'!I:I),
SUMIF('TL18'!C:C,C424,'TL18'!I:I))
,0)</f>
        <v>0</v>
      </c>
      <c r="S424" s="142" t="str">
        <f>'CUSTO OPERAÇÃO'!M28</f>
        <v/>
      </c>
      <c r="T424" s="139"/>
      <c r="U424" s="143">
        <f t="shared" si="2"/>
        <v>0</v>
      </c>
      <c r="V424" s="144">
        <f t="shared" si="3"/>
        <v>0</v>
      </c>
    </row>
    <row r="425" ht="15.75" hidden="1" customHeight="1">
      <c r="A425" s="138"/>
      <c r="B425" s="155"/>
      <c r="C425" s="138"/>
      <c r="D425" s="138"/>
      <c r="E425" s="139"/>
      <c r="F425" s="138" t="s">
        <v>1133</v>
      </c>
      <c r="G425" s="139"/>
      <c r="H425" s="140" t="str">
        <f>'CUSTO OPERAÇÃO'!J29</f>
        <v>#N/A</v>
      </c>
      <c r="I425" s="156"/>
      <c r="J425" s="138">
        <f>IFERROR(SUM(
IF('TL01'!$B$3=J$3,SUMIF('TL01'!$C$10:$C$224,$C425,'TL01'!$J$10:$J$224),0),
IF('TL01'!$B$229=J$3,SUMIF('TL01'!$C$238:$C$451,$C425,'TL01'!$J$238:$J$451),0),
IF('TL02'!$B$3=J$3,SUMIF('TL02'!$C$10:$C$224,$C425,'TL02'!$J$10:$J$224),0),
IF('TL02'!$B$229=J$3,SUMIF('TL02'!$C$238:$C$451,$C425,'TL02'!$J$238:$J$451),0),
IF('TL03'!$B$3=J$3,SUMIF('TL03'!$C$10:$C$224,$C425,'TL03'!$J$10:$J$224),0),
IF('TL03'!$B$229=J$3,SUMIF('TL03'!$C$238:$C$451,$C425,'TL03'!$J$238:$J$451),0),
IF('TL04'!$B$3=J$3,SUMIF('TL04'!$C$10:$C$224,$C425,'TL04'!$J$10:$J$224),0),
IF('TL04'!$B$229=J$3,SUMIF('TL04'!$C$238:$C$451,$C425,'TL04'!$J$238:$J$451),0),
IF('TL05'!$B$3=J$3,SUMIF('TL05'!$C$10:$C$224,$C425,'TL05'!$J$10:$J$224),0),
IF('TL05'!$B$229=J$3,SUMIF('TL05'!$C$238:$C$451,$C425,'TL05'!$J$238:$J$451),0),
IF('TL06'!$B$3=J$3,SUMIF('TL06'!$C$10:$C$224,$C425,'TL06'!$J$10:$J$224),0),
IF('TL06'!$B$229=J$3,SUMIF('TL06'!$C$238:$C$451,$C425,'TL06'!$J$238:$J$451),0),
IF('TL07'!$B$3=J$3,SUMIF('TL07'!$C$10:$C$224,$C425,'TL07'!$J$10:$J$224),0),
IF('TL07'!$B$229=J$3,SUMIF('TL07'!$C$238:$C$451,$C425,'TL07'!$J$238:$J$451),0),
IF('TL08'!$B$3=J$3,SUMIF('TL08'!$C$10:$C$224,$C425,'TL08'!$J$10:$J$224),0),
IF('TL08'!$B$229=J$3,SUMIF('TL08'!$C$238:$C$451,$C425,'TL08'!$J$238:$J$451),0),
IF('TL09'!$B$3=J$3,SUMIF('TL09'!$C$10:$C$224,$C425,'TL09'!$J$10:$J$224),0),
IF('TL09'!$B$229=J$3,SUMIF('TL09'!$C$238:$C$451,$C425,'TL09'!$J$238:$J$451),0),
IF('TL10'!$B$3=J$3,SUMIF('TL10'!$C$10:$C$224,$C425,'TL10'!$J$10:$J$224),0),
IF('TL10'!$B$229=J$3,SUMIF('TL10'!$C$238:$C$451,$C425,'TL10'!$J$238:$J$451),0),
IF('TL11'!$B$3=J$3,SUMIF('TL11'!$C$10:$C$224,$C425,'TL11'!$J$10:$J$224),0),
IF('TL11'!$B$229=J$3,SUMIF('TL11'!$C$238:$C$451,$C425,'TL11'!$J$238:$J$451),0),
IF('TL12'!$B$3=J$3,SUMIF('TL12'!$C$10:$C$224,$C425,'TL12'!$J$10:$J$224),0),
IF('TL12'!$B$229=J$3,SUMIF('TL12'!$C$238:$C$451,$C425,'TL12'!$J$238:$J$451),0),
IF('TL13'!$B$3=J$3,SUMIF('TL13'!$C$10:$C$224,$C425,'TL13'!$J$10:$J$224),0),
IF('TL13'!$B$229=J$3,SUMIF('TL13'!$C$238:$C$451,$C425,'TL13'!$J$238:$J$451),0),
IF('TL14'!$B$3=J$3,SUMIF('TL14'!$C$10:$C$224,$C425,'TL14'!$J$10:$J$224),0),
IF('TL14'!$B$229=J$3,SUMIF('TL14'!$C$238:$C$451,$C425,'TL14'!$J$238:$J$451),0),
IF('TL15'!$B$3=J$3,SUMIF('TL15'!$C$10:$C$224,$C425,'TL15'!$J$10:$J$224),0),
IF('TL15'!$B$229=J$3,SUMIF('TL15'!$C$238:$C$451,$C425,'TL15'!$J$238:$J$451),0),
IF('TL16'!$B$3=J$3,SUMIF('TL16'!$C$10:$C$224,$C425,'TL16'!$J$10:$J$224),0),
IF('TL16'!$B$229=J$3,SUMIF('TL16'!$C$238:$C$451,$C425,'TL16'!$J$238:$J$451),0),
IF('TL17'!$B$3=J$3,SUMIF('TL17'!$C$10:$C$224,$C425,'TL17'!$J$10:$J$224),0),
IF('TL17'!$B$229=J$3,SUMIF('TL17'!$C$238:$C$451,$C425,'TL17'!$J$238:$J$451),0),
IF('TL18'!$B$3=J$3,SUMIF('TL18'!$C$10:$C$224,$C425,'TL18'!$J$10:$J$224),0),
IF('TL18'!$B$229=J$3,SUMIF('TL18'!$C$238:$C$451,$C425,'TL18'!$J$238:$J$451),0),
IF('TL19'!$B$3=J$3,SUMIF('TL19'!$C$10:$C$224,$C425,'TL19'!$J$10:$J$224),0),
IF('TL19'!$B$229=J$3,SUMIF('TL19'!$C$238:$C$451,$C425,'TL19'!$J$238:$J$451),0)
),0)</f>
        <v>0</v>
      </c>
      <c r="K425" s="138">
        <f>IFERROR(SUM(
IF('TL01'!$B$3=K$3,SUMIF('TL01'!$C$10:$C$224,$C425,'TL01'!$J$10:$J$224),0),
IF('TL01'!$B$229=K$3,SUMIF('TL01'!$C$238:$C$451,$C425,'TL01'!$J$238:$J$451),0),
IF('TL02'!$B$3=K$3,SUMIF('TL02'!$C$10:$C$224,$C425,'TL02'!$J$10:$J$224),0),
IF('TL02'!$B$229=K$3,SUMIF('TL02'!$C$238:$C$451,$C425,'TL02'!$J$238:$J$451),0),
IF('TL03'!$B$3=K$3,SUMIF('TL03'!$C$10:$C$224,$C425,'TL03'!$J$10:$J$224),0),
IF('TL03'!$B$229=K$3,SUMIF('TL03'!$C$238:$C$451,$C425,'TL03'!$J$238:$J$451),0),
IF('TL04'!$B$3=K$3,SUMIF('TL04'!$C$10:$C$224,$C425,'TL04'!$J$10:$J$224),0),
IF('TL04'!$B$229=K$3,SUMIF('TL04'!$C$238:$C$451,$C425,'TL04'!$J$238:$J$451),0),
IF('TL05'!$B$3=K$3,SUMIF('TL05'!$C$10:$C$224,$C425,'TL05'!$J$10:$J$224),0),
IF('TL05'!$B$229=K$3,SUMIF('TL05'!$C$238:$C$451,$C425,'TL05'!$J$238:$J$451),0),
IF('TL06'!$B$3=K$3,SUMIF('TL06'!$C$10:$C$224,$C425,'TL06'!$J$10:$J$224),0),
IF('TL06'!$B$229=K$3,SUMIF('TL06'!$C$238:$C$451,$C425,'TL06'!$J$238:$J$451),0),
IF('TL07'!$B$3=K$3,SUMIF('TL07'!$C$10:$C$224,$C425,'TL07'!$J$10:$J$224),0),
IF('TL07'!$B$229=K$3,SUMIF('TL07'!$C$238:$C$451,$C425,'TL07'!$J$238:$J$451),0),
IF('TL08'!$B$3=K$3,SUMIF('TL08'!$C$10:$C$224,$C425,'TL08'!$J$10:$J$224),0),
IF('TL08'!$B$229=K$3,SUMIF('TL08'!$C$238:$C$451,$C425,'TL08'!$J$238:$J$451),0),
IF('TL09'!$B$3=K$3,SUMIF('TL09'!$C$10:$C$224,$C425,'TL09'!$J$10:$J$224),0),
IF('TL09'!$B$229=K$3,SUMIF('TL09'!$C$238:$C$451,$C425,'TL09'!$J$238:$J$451),0),
IF('TL10'!$B$3=K$3,SUMIF('TL10'!$C$10:$C$224,$C425,'TL10'!$J$10:$J$224),0),
IF('TL10'!$B$229=K$3,SUMIF('TL10'!$C$238:$C$451,$C425,'TL10'!$J$238:$J$451),0),
IF('TL11'!$B$3=K$3,SUMIF('TL11'!$C$10:$C$224,$C425,'TL11'!$J$10:$J$224),0),
IF('TL11'!$B$229=K$3,SUMIF('TL11'!$C$238:$C$451,$C425,'TL11'!$J$238:$J$451),0),
IF('TL12'!$B$3=K$3,SUMIF('TL12'!$C$10:$C$224,$C425,'TL12'!$J$10:$J$224),0),
IF('TL12'!$B$229=K$3,SUMIF('TL12'!$C$238:$C$451,$C425,'TL12'!$J$238:$J$451),0),
IF('TL13'!$B$3=K$3,SUMIF('TL13'!$C$10:$C$224,$C425,'TL13'!$J$10:$J$224),0),
IF('TL13'!$B$229=K$3,SUMIF('TL13'!$C$238:$C$451,$C425,'TL13'!$J$238:$J$451),0),
IF('TL14'!$B$3=K$3,SUMIF('TL14'!$C$10:$C$224,$C425,'TL14'!$J$10:$J$224),0),
IF('TL14'!$B$229=K$3,SUMIF('TL14'!$C$238:$C$451,$C425,'TL14'!$J$238:$J$451),0),
IF('TL15'!$B$3=K$3,SUMIF('TL15'!$C$10:$C$224,$C425,'TL15'!$J$10:$J$224),0),
IF('TL15'!$B$229=K$3,SUMIF('TL15'!$C$238:$C$451,$C425,'TL15'!$J$238:$J$451),0),
IF('TL16'!$B$3=K$3,SUMIF('TL16'!$C$10:$C$224,$C425,'TL16'!$J$10:$J$224),0),
IF('TL16'!$B$229=K$3,SUMIF('TL16'!$C$238:$C$451,$C425,'TL16'!$J$238:$J$451),0),
IF('TL17'!$B$3=K$3,SUMIF('TL17'!$C$10:$C$224,$C425,'TL17'!$J$10:$J$224),0),
IF('TL17'!$B$229=K$3,SUMIF('TL17'!$C$238:$C$451,$C425,'TL17'!$J$238:$J$451),0),
IF('TL18'!$B$3=K$3,SUMIF('TL18'!$C$10:$C$224,$C425,'TL18'!$J$10:$J$224),0),
IF('TL18'!$B$229=K$3,SUMIF('TL18'!$C$238:$C$451,$C425,'TL18'!$J$238:$J$451),0),
IF('TL19'!$B$3=K$3,SUMIF('TL19'!$C$10:$C$224,$C425,'TL19'!$J$10:$J$224),0),
IF('TL19'!$B$229=K$3,SUMIF('TL19'!$C$238:$C$451,$C425,'TL19'!$J$238:$J$451),0)
),0)</f>
        <v>0</v>
      </c>
      <c r="L425" s="138">
        <f>IFERROR(SUM(
IF('TL01'!$B$3=L$3,SUMIF('TL01'!$C$10:$C$224,$C425,'TL01'!$J$10:$J$224),0),
IF('TL01'!$B$229=L$3,SUMIF('TL01'!$C$238:$C$451,$C425,'TL01'!$J$238:$J$451),0),
IF('TL02'!$B$3=L$3,SUMIF('TL02'!$C$10:$C$224,$C425,'TL02'!$J$10:$J$224),0),
IF('TL02'!$B$229=L$3,SUMIF('TL02'!$C$238:$C$451,$C425,'TL02'!$J$238:$J$451),0),
IF('TL03'!$B$3=L$3,SUMIF('TL03'!$C$10:$C$224,$C425,'TL03'!$J$10:$J$224),0),
IF('TL03'!$B$229=L$3,SUMIF('TL03'!$C$238:$C$451,$C425,'TL03'!$J$238:$J$451),0),
IF('TL04'!$B$3=L$3,SUMIF('TL04'!$C$10:$C$224,$C425,'TL04'!$J$10:$J$224),0),
IF('TL04'!$B$229=L$3,SUMIF('TL04'!$C$238:$C$451,$C425,'TL04'!$J$238:$J$451),0),
IF('TL05'!$B$3=L$3,SUMIF('TL05'!$C$10:$C$224,$C425,'TL05'!$J$10:$J$224),0),
IF('TL05'!$B$229=L$3,SUMIF('TL05'!$C$238:$C$451,$C425,'TL05'!$J$238:$J$451),0),
IF('TL06'!$B$3=L$3,SUMIF('TL06'!$C$10:$C$224,$C425,'TL06'!$J$10:$J$224),0),
IF('TL06'!$B$229=L$3,SUMIF('TL06'!$C$238:$C$451,$C425,'TL06'!$J$238:$J$451),0),
IF('TL07'!$B$3=L$3,SUMIF('TL07'!$C$10:$C$224,$C425,'TL07'!$J$10:$J$224),0),
IF('TL07'!$B$229=L$3,SUMIF('TL07'!$C$238:$C$451,$C425,'TL07'!$J$238:$J$451),0),
IF('TL08'!$B$3=L$3,SUMIF('TL08'!$C$10:$C$224,$C425,'TL08'!$J$10:$J$224),0),
IF('TL08'!$B$229=L$3,SUMIF('TL08'!$C$238:$C$451,$C425,'TL08'!$J$238:$J$451),0),
IF('TL09'!$B$3=L$3,SUMIF('TL09'!$C$10:$C$224,$C425,'TL09'!$J$10:$J$224),0),
IF('TL09'!$B$229=L$3,SUMIF('TL09'!$C$238:$C$451,$C425,'TL09'!$J$238:$J$451),0),
IF('TL10'!$B$3=L$3,SUMIF('TL10'!$C$10:$C$224,$C425,'TL10'!$J$10:$J$224),0),
IF('TL10'!$B$229=L$3,SUMIF('TL10'!$C$238:$C$451,$C425,'TL10'!$J$238:$J$451),0),
IF('TL11'!$B$3=L$3,SUMIF('TL11'!$C$10:$C$224,$C425,'TL11'!$J$10:$J$224),0),
IF('TL11'!$B$229=L$3,SUMIF('TL11'!$C$238:$C$451,$C425,'TL11'!$J$238:$J$451),0),
IF('TL12'!$B$3=L$3,SUMIF('TL12'!$C$10:$C$224,$C425,'TL12'!$J$10:$J$224),0),
IF('TL12'!$B$229=L$3,SUMIF('TL12'!$C$238:$C$451,$C425,'TL12'!$J$238:$J$451),0),
IF('TL13'!$B$3=L$3,SUMIF('TL13'!$C$10:$C$224,$C425,'TL13'!$J$10:$J$224),0),
IF('TL13'!$B$229=L$3,SUMIF('TL13'!$C$238:$C$451,$C425,'TL13'!$J$238:$J$451),0),
IF('TL14'!$B$3=L$3,SUMIF('TL14'!$C$10:$C$224,$C425,'TL14'!$J$10:$J$224),0),
IF('TL14'!$B$229=L$3,SUMIF('TL14'!$C$238:$C$451,$C425,'TL14'!$J$238:$J$451),0),
IF('TL15'!$B$3=L$3,SUMIF('TL15'!$C$10:$C$224,$C425,'TL15'!$J$10:$J$224),0),
IF('TL15'!$B$229=L$3,SUMIF('TL15'!$C$238:$C$451,$C425,'TL15'!$J$238:$J$451),0),
IF('TL16'!$B$3=L$3,SUMIF('TL16'!$C$10:$C$224,$C425,'TL16'!$J$10:$J$224),0),
IF('TL16'!$B$229=L$3,SUMIF('TL16'!$C$238:$C$451,$C425,'TL16'!$J$238:$J$451),0),
IF('TL17'!$B$3=L$3,SUMIF('TL17'!$C$10:$C$224,$C425,'TL17'!$J$10:$J$224),0),
IF('TL17'!$B$229=L$3,SUMIF('TL17'!$C$238:$C$451,$C425,'TL17'!$J$238:$J$451),0),
IF('TL18'!$B$3=L$3,SUMIF('TL18'!$C$10:$C$224,$C425,'TL18'!$J$10:$J$224),0),
IF('TL18'!$B$229=L$3,SUMIF('TL18'!$C$238:$C$451,$C425,'TL18'!$J$238:$J$451),0),
IF('TL19'!$B$3=L$3,SUMIF('TL19'!$C$10:$C$224,$C425,'TL19'!$J$10:$J$224),0),
IF('TL19'!$B$229=L$3,SUMIF('TL19'!$C$238:$C$451,$C425,'TL19'!$J$238:$J$451),0)
),0)</f>
        <v>0</v>
      </c>
      <c r="M425" s="138">
        <f>IFERROR(SUM(
IF('TL01'!$B$3=M$3,SUMIF('TL01'!$C$10:$C$224,$C425,'TL01'!$J$10:$J$224),0),
IF('TL01'!$B$229=M$3,SUMIF('TL01'!$C$238:$C$451,$C425,'TL01'!$J$238:$J$451),0),
IF('TL02'!$B$3=M$3,SUMIF('TL02'!$C$10:$C$224,$C425,'TL02'!$J$10:$J$224),0),
IF('TL02'!$B$229=M$3,SUMIF('TL02'!$C$238:$C$451,$C425,'TL02'!$J$238:$J$451),0),
IF('TL03'!$B$3=M$3,SUMIF('TL03'!$C$10:$C$224,$C425,'TL03'!$J$10:$J$224),0),
IF('TL03'!$B$229=M$3,SUMIF('TL03'!$C$238:$C$451,$C425,'TL03'!$J$238:$J$451),0),
IF('TL04'!$B$3=M$3,SUMIF('TL04'!$C$10:$C$224,$C425,'TL04'!$J$10:$J$224),0),
IF('TL04'!$B$229=M$3,SUMIF('TL04'!$C$238:$C$451,$C425,'TL04'!$J$238:$J$451),0),
IF('TL05'!$B$3=M$3,SUMIF('TL05'!$C$10:$C$224,$C425,'TL05'!$J$10:$J$224),0),
IF('TL05'!$B$229=M$3,SUMIF('TL05'!$C$238:$C$451,$C425,'TL05'!$J$238:$J$451),0),
IF('TL06'!$B$3=M$3,SUMIF('TL06'!$C$10:$C$224,$C425,'TL06'!$J$10:$J$224),0),
IF('TL06'!$B$229=M$3,SUMIF('TL06'!$C$238:$C$451,$C425,'TL06'!$J$238:$J$451),0),
IF('TL07'!$B$3=M$3,SUMIF('TL07'!$C$10:$C$224,$C425,'TL07'!$J$10:$J$224),0),
IF('TL07'!$B$229=M$3,SUMIF('TL07'!$C$238:$C$451,$C425,'TL07'!$J$238:$J$451),0),
IF('TL08'!$B$3=M$3,SUMIF('TL08'!$C$10:$C$224,$C425,'TL08'!$J$10:$J$224),0),
IF('TL08'!$B$229=M$3,SUMIF('TL08'!$C$238:$C$451,$C425,'TL08'!$J$238:$J$451),0),
IF('TL09'!$B$3=M$3,SUMIF('TL09'!$C$10:$C$224,$C425,'TL09'!$J$10:$J$224),0),
IF('TL09'!$B$229=M$3,SUMIF('TL09'!$C$238:$C$451,$C425,'TL09'!$J$238:$J$451),0),
IF('TL10'!$B$3=M$3,SUMIF('TL10'!$C$10:$C$224,$C425,'TL10'!$J$10:$J$224),0),
IF('TL10'!$B$229=M$3,SUMIF('TL10'!$C$238:$C$451,$C425,'TL10'!$J$238:$J$451),0),
IF('TL11'!$B$3=M$3,SUMIF('TL11'!$C$10:$C$224,$C425,'TL11'!$J$10:$J$224),0),
IF('TL11'!$B$229=M$3,SUMIF('TL11'!$C$238:$C$451,$C425,'TL11'!$J$238:$J$451),0),
IF('TL12'!$B$3=M$3,SUMIF('TL12'!$C$10:$C$224,$C425,'TL12'!$J$10:$J$224),0),
IF('TL12'!$B$229=M$3,SUMIF('TL12'!$C$238:$C$451,$C425,'TL12'!$J$238:$J$451),0),
IF('TL13'!$B$3=M$3,SUMIF('TL13'!$C$10:$C$224,$C425,'TL13'!$J$10:$J$224),0),
IF('TL13'!$B$229=M$3,SUMIF('TL13'!$C$238:$C$451,$C425,'TL13'!$J$238:$J$451),0),
IF('TL14'!$B$3=M$3,SUMIF('TL14'!$C$10:$C$224,$C425,'TL14'!$J$10:$J$224),0),
IF('TL14'!$B$229=M$3,SUMIF('TL14'!$C$238:$C$451,$C425,'TL14'!$J$238:$J$451),0),
IF('TL15'!$B$3=M$3,SUMIF('TL15'!$C$10:$C$224,$C425,'TL15'!$J$10:$J$224),0),
IF('TL15'!$B$229=M$3,SUMIF('TL15'!$C$238:$C$451,$C425,'TL15'!$J$238:$J$451),0),
IF('TL16'!$B$3=M$3,SUMIF('TL16'!$C$10:$C$224,$C425,'TL16'!$J$10:$J$224),0),
IF('TL16'!$B$229=M$3,SUMIF('TL16'!$C$238:$C$451,$C425,'TL16'!$J$238:$J$451),0),
IF('TL17'!$B$3=M$3,SUMIF('TL17'!$C$10:$C$224,$C425,'TL17'!$J$10:$J$224),0),
IF('TL17'!$B$229=M$3,SUMIF('TL17'!$C$238:$C$451,$C425,'TL17'!$J$238:$J$451),0),
IF('TL18'!$B$3=M$3,SUMIF('TL18'!$C$10:$C$224,$C425,'TL18'!$J$10:$J$224),0),
IF('TL18'!$B$229=M$3,SUMIF('TL18'!$C$238:$C$451,$C425,'TL18'!$J$238:$J$451),0),
IF('TL19'!$B$3=M$3,SUMIF('TL19'!$C$10:$C$224,$C425,'TL19'!$J$10:$J$224),0),
IF('TL19'!$B$229=M$3,SUMIF('TL19'!$C$238:$C$451,$C425,'TL19'!$J$238:$J$451),0)
),0)</f>
        <v>0</v>
      </c>
      <c r="N425" s="138">
        <f>IFERROR(SUM(
IF('TL01'!$B$3=N$3,SUMIF('TL01'!$C$10:$C$224,$C425,'TL01'!$J$10:$J$224),0),
IF('TL01'!$B$229=N$3,SUMIF('TL01'!$C$238:$C$451,$C425,'TL01'!$J$238:$J$451),0),
IF('TL02'!$B$3=N$3,SUMIF('TL02'!$C$10:$C$224,$C425,'TL02'!$J$10:$J$224),0),
IF('TL02'!$B$229=N$3,SUMIF('TL02'!$C$238:$C$451,$C425,'TL02'!$J$238:$J$451),0),
IF('TL03'!$B$3=N$3,SUMIF('TL03'!$C$10:$C$224,$C425,'TL03'!$J$10:$J$224),0),
IF('TL03'!$B$229=N$3,SUMIF('TL03'!$C$238:$C$451,$C425,'TL03'!$J$238:$J$451),0),
IF('TL04'!$B$3=N$3,SUMIF('TL04'!$C$10:$C$224,$C425,'TL04'!$J$10:$J$224),0),
IF('TL04'!$B$229=N$3,SUMIF('TL04'!$C$238:$C$451,$C425,'TL04'!$J$238:$J$451),0),
IF('TL05'!$B$3=N$3,SUMIF('TL05'!$C$10:$C$224,$C425,'TL05'!$J$10:$J$224),0),
IF('TL05'!$B$229=N$3,SUMIF('TL05'!$C$238:$C$451,$C425,'TL05'!$J$238:$J$451),0),
IF('TL06'!$B$3=N$3,SUMIF('TL06'!$C$10:$C$224,$C425,'TL06'!$J$10:$J$224),0),
IF('TL06'!$B$229=N$3,SUMIF('TL06'!$C$238:$C$451,$C425,'TL06'!$J$238:$J$451),0),
IF('TL07'!$B$3=N$3,SUMIF('TL07'!$C$10:$C$224,$C425,'TL07'!$J$10:$J$224),0),
IF('TL07'!$B$229=N$3,SUMIF('TL07'!$C$238:$C$451,$C425,'TL07'!$J$238:$J$451),0),
IF('TL08'!$B$3=N$3,SUMIF('TL08'!$C$10:$C$224,$C425,'TL08'!$J$10:$J$224),0),
IF('TL08'!$B$229=N$3,SUMIF('TL08'!$C$238:$C$451,$C425,'TL08'!$J$238:$J$451),0),
IF('TL09'!$B$3=N$3,SUMIF('TL09'!$C$10:$C$224,$C425,'TL09'!$J$10:$J$224),0),
IF('TL09'!$B$229=N$3,SUMIF('TL09'!$C$238:$C$451,$C425,'TL09'!$J$238:$J$451),0),
IF('TL10'!$B$3=N$3,SUMIF('TL10'!$C$10:$C$224,$C425,'TL10'!$J$10:$J$224),0),
IF('TL10'!$B$229=N$3,SUMIF('TL10'!$C$238:$C$451,$C425,'TL10'!$J$238:$J$451),0),
IF('TL11'!$B$3=N$3,SUMIF('TL11'!$C$10:$C$224,$C425,'TL11'!$J$10:$J$224),0),
IF('TL11'!$B$229=N$3,SUMIF('TL11'!$C$238:$C$451,$C425,'TL11'!$J$238:$J$451),0),
IF('TL12'!$B$3=N$3,SUMIF('TL12'!$C$10:$C$224,$C425,'TL12'!$J$10:$J$224),0),
IF('TL12'!$B$229=N$3,SUMIF('TL12'!$C$238:$C$451,$C425,'TL12'!$J$238:$J$451),0),
IF('TL13'!$B$3=N$3,SUMIF('TL13'!$C$10:$C$224,$C425,'TL13'!$J$10:$J$224),0),
IF('TL13'!$B$229=N$3,SUMIF('TL13'!$C$238:$C$451,$C425,'TL13'!$J$238:$J$451),0),
IF('TL14'!$B$3=N$3,SUMIF('TL14'!$C$10:$C$224,$C425,'TL14'!$J$10:$J$224),0),
IF('TL14'!$B$229=N$3,SUMIF('TL14'!$C$238:$C$451,$C425,'TL14'!$J$238:$J$451),0),
IF('TL15'!$B$3=N$3,SUMIF('TL15'!$C$10:$C$224,$C425,'TL15'!$J$10:$J$224),0),
IF('TL15'!$B$229=N$3,SUMIF('TL15'!$C$238:$C$451,$C425,'TL15'!$J$238:$J$451),0),
IF('TL16'!$B$3=N$3,SUMIF('TL16'!$C$10:$C$224,$C425,'TL16'!$J$10:$J$224),0),
IF('TL16'!$B$229=N$3,SUMIF('TL16'!$C$238:$C$451,$C425,'TL16'!$J$238:$J$451),0),
IF('TL17'!$B$3=N$3,SUMIF('TL17'!$C$10:$C$224,$C425,'TL17'!$J$10:$J$224),0),
IF('TL17'!$B$229=N$3,SUMIF('TL17'!$C$238:$C$451,$C425,'TL17'!$J$238:$J$451),0),
IF('TL18'!$B$3=N$3,SUMIF('TL18'!$C$10:$C$224,$C425,'TL18'!$J$10:$J$224),0),
IF('TL18'!$B$229=N$3,SUMIF('TL18'!$C$238:$C$451,$C425,'TL18'!$J$238:$J$451),0),
IF('TL19'!$B$3=N$3,SUMIF('TL19'!$C$10:$C$224,$C425,'TL19'!$J$10:$J$224),0),
IF('TL19'!$B$229=N$3,SUMIF('TL19'!$C$238:$C$451,$C425,'TL19'!$J$238:$J$451),0)
),0)</f>
        <v>0</v>
      </c>
      <c r="O425" s="138">
        <f>IFERROR(SUM(
IF('TL01'!$B$3=O$3,SUMIF('TL01'!$C$10:$C$224,$C425,'TL01'!$J$10:$J$224),0),
IF('TL01'!$B$229=O$3,SUMIF('TL01'!$C$238:$C$451,$C425,'TL01'!$J$238:$J$451),0),
IF('TL02'!$B$3=O$3,SUMIF('TL02'!$C$10:$C$224,$C425,'TL02'!$J$10:$J$224),0),
IF('TL02'!$B$229=O$3,SUMIF('TL02'!$C$238:$C$451,$C425,'TL02'!$J$238:$J$451),0),
IF('TL03'!$B$3=O$3,SUMIF('TL03'!$C$10:$C$224,$C425,'TL03'!$J$10:$J$224),0),
IF('TL03'!$B$229=O$3,SUMIF('TL03'!$C$238:$C$451,$C425,'TL03'!$J$238:$J$451),0),
IF('TL04'!$B$3=O$3,SUMIF('TL04'!$C$10:$C$224,$C425,'TL04'!$J$10:$J$224),0),
IF('TL04'!$B$229=O$3,SUMIF('TL04'!$C$238:$C$451,$C425,'TL04'!$J$238:$J$451),0),
IF('TL05'!$B$3=O$3,SUMIF('TL05'!$C$10:$C$224,$C425,'TL05'!$J$10:$J$224),0),
IF('TL05'!$B$229=O$3,SUMIF('TL05'!$C$238:$C$451,$C425,'TL05'!$J$238:$J$451),0),
IF('TL06'!$B$3=O$3,SUMIF('TL06'!$C$10:$C$224,$C425,'TL06'!$J$10:$J$224),0),
IF('TL06'!$B$229=O$3,SUMIF('TL06'!$C$238:$C$451,$C425,'TL06'!$J$238:$J$451),0),
IF('TL07'!$B$3=O$3,SUMIF('TL07'!$C$10:$C$224,$C425,'TL07'!$J$10:$J$224),0),
IF('TL07'!$B$229=O$3,SUMIF('TL07'!$C$238:$C$451,$C425,'TL07'!$J$238:$J$451),0),
IF('TL08'!$B$3=O$3,SUMIF('TL08'!$C$10:$C$224,$C425,'TL08'!$J$10:$J$224),0),
IF('TL08'!$B$229=O$3,SUMIF('TL08'!$C$238:$C$451,$C425,'TL08'!$J$238:$J$451),0),
IF('TL09'!$B$3=O$3,SUMIF('TL09'!$C$10:$C$224,$C425,'TL09'!$J$10:$J$224),0),
IF('TL09'!$B$229=O$3,SUMIF('TL09'!$C$238:$C$451,$C425,'TL09'!$J$238:$J$451),0),
IF('TL10'!$B$3=O$3,SUMIF('TL10'!$C$10:$C$224,$C425,'TL10'!$J$10:$J$224),0),
IF('TL10'!$B$229=O$3,SUMIF('TL10'!$C$238:$C$451,$C425,'TL10'!$J$238:$J$451),0),
IF('TL11'!$B$3=O$3,SUMIF('TL11'!$C$10:$C$224,$C425,'TL11'!$J$10:$J$224),0),
IF('TL11'!$B$229=O$3,SUMIF('TL11'!$C$238:$C$451,$C425,'TL11'!$J$238:$J$451),0),
IF('TL12'!$B$3=O$3,SUMIF('TL12'!$C$10:$C$224,$C425,'TL12'!$J$10:$J$224),0),
IF('TL12'!$B$229=O$3,SUMIF('TL12'!$C$238:$C$451,$C425,'TL12'!$J$238:$J$451),0),
IF('TL13'!$B$3=O$3,SUMIF('TL13'!$C$10:$C$224,$C425,'TL13'!$J$10:$J$224),0),
IF('TL13'!$B$229=O$3,SUMIF('TL13'!$C$238:$C$451,$C425,'TL13'!$J$238:$J$451),0),
IF('TL14'!$B$3=O$3,SUMIF('TL14'!$C$10:$C$224,$C425,'TL14'!$J$10:$J$224),0),
IF('TL14'!$B$229=O$3,SUMIF('TL14'!$C$238:$C$451,$C425,'TL14'!$J$238:$J$451),0),
IF('TL15'!$B$3=O$3,SUMIF('TL15'!$C$10:$C$224,$C425,'TL15'!$J$10:$J$224),0),
IF('TL15'!$B$229=O$3,SUMIF('TL15'!$C$238:$C$451,$C425,'TL15'!$J$238:$J$451),0),
IF('TL16'!$B$3=O$3,SUMIF('TL16'!$C$10:$C$224,$C425,'TL16'!$J$10:$J$224),0),
IF('TL16'!$B$229=O$3,SUMIF('TL16'!$C$238:$C$451,$C425,'TL16'!$J$238:$J$451),0),
IF('TL17'!$B$3=O$3,SUMIF('TL17'!$C$10:$C$224,$C425,'TL17'!$J$10:$J$224),0),
IF('TL17'!$B$229=O$3,SUMIF('TL17'!$C$238:$C$451,$C425,'TL17'!$J$238:$J$451),0),
IF('TL18'!$B$3=O$3,SUMIF('TL18'!$C$10:$C$224,$C425,'TL18'!$J$10:$J$224),0),
IF('TL18'!$B$229=O$3,SUMIF('TL18'!$C$238:$C$451,$C425,'TL18'!$J$238:$J$451),0),
IF('TL19'!$B$3=O$3,SUMIF('TL19'!$C$10:$C$224,$C425,'TL19'!$J$10:$J$224),0),
IF('TL19'!$B$229=O$3,SUMIF('TL19'!$C$238:$C$451,$C425,'TL19'!$J$238:$J$451),0)
),0)</f>
        <v>0</v>
      </c>
      <c r="P425" s="138">
        <f>IFERROR(SUM(
IF('TL01'!$B$3=P$3,SUMIF('TL01'!$C$10:$C$224,$C425,'TL01'!$J$10:$J$224),0),
IF('TL01'!$B$229=P$3,SUMIF('TL01'!$C$238:$C$451,$C425,'TL01'!$J$238:$J$451),0),
IF('TL02'!$B$3=P$3,SUMIF('TL02'!$C$10:$C$224,$C425,'TL02'!$J$10:$J$224),0),
IF('TL02'!$B$229=P$3,SUMIF('TL02'!$C$238:$C$451,$C425,'TL02'!$J$238:$J$451),0),
IF('TL03'!$B$3=P$3,SUMIF('TL03'!$C$10:$C$224,$C425,'TL03'!$J$10:$J$224),0),
IF('TL03'!$B$229=P$3,SUMIF('TL03'!$C$238:$C$451,$C425,'TL03'!$J$238:$J$451),0),
IF('TL04'!$B$3=P$3,SUMIF('TL04'!$C$10:$C$224,$C425,'TL04'!$J$10:$J$224),0),
IF('TL04'!$B$229=P$3,SUMIF('TL04'!$C$238:$C$451,$C425,'TL04'!$J$238:$J$451),0),
IF('TL05'!$B$3=P$3,SUMIF('TL05'!$C$10:$C$224,$C425,'TL05'!$J$10:$J$224),0),
IF('TL05'!$B$229=P$3,SUMIF('TL05'!$C$238:$C$451,$C425,'TL05'!$J$238:$J$451),0),
IF('TL06'!$B$3=P$3,SUMIF('TL06'!$C$10:$C$224,$C425,'TL06'!$J$10:$J$224),0),
IF('TL06'!$B$229=P$3,SUMIF('TL06'!$C$238:$C$451,$C425,'TL06'!$J$238:$J$451),0),
IF('TL07'!$B$3=P$3,SUMIF('TL07'!$C$10:$C$224,$C425,'TL07'!$J$10:$J$224),0),
IF('TL07'!$B$229=P$3,SUMIF('TL07'!$C$238:$C$451,$C425,'TL07'!$J$238:$J$451),0),
IF('TL08'!$B$3=P$3,SUMIF('TL08'!$C$10:$C$224,$C425,'TL08'!$J$10:$J$224),0),
IF('TL08'!$B$229=P$3,SUMIF('TL08'!$C$238:$C$451,$C425,'TL08'!$J$238:$J$451),0),
IF('TL09'!$B$3=P$3,SUMIF('TL09'!$C$10:$C$224,$C425,'TL09'!$J$10:$J$224),0),
IF('TL09'!$B$229=P$3,SUMIF('TL09'!$C$238:$C$451,$C425,'TL09'!$J$238:$J$451),0),
IF('TL10'!$B$3=P$3,SUMIF('TL10'!$C$10:$C$224,$C425,'TL10'!$J$10:$J$224),0),
IF('TL10'!$B$229=P$3,SUMIF('TL10'!$C$238:$C$451,$C425,'TL10'!$J$238:$J$451),0),
IF('TL11'!$B$3=P$3,SUMIF('TL11'!$C$10:$C$224,$C425,'TL11'!$J$10:$J$224),0),
IF('TL11'!$B$229=P$3,SUMIF('TL11'!$C$238:$C$451,$C425,'TL11'!$J$238:$J$451),0),
IF('TL12'!$B$3=P$3,SUMIF('TL12'!$C$10:$C$224,$C425,'TL12'!$J$10:$J$224),0),
IF('TL12'!$B$229=P$3,SUMIF('TL12'!$C$238:$C$451,$C425,'TL12'!$J$238:$J$451),0),
IF('TL13'!$B$3=P$3,SUMIF('TL13'!$C$10:$C$224,$C425,'TL13'!$J$10:$J$224),0),
IF('TL13'!$B$229=P$3,SUMIF('TL13'!$C$238:$C$451,$C425,'TL13'!$J$238:$J$451),0),
IF('TL14'!$B$3=P$3,SUMIF('TL14'!$C$10:$C$224,$C425,'TL14'!$J$10:$J$224),0),
IF('TL14'!$B$229=P$3,SUMIF('TL14'!$C$238:$C$451,$C425,'TL14'!$J$238:$J$451),0),
IF('TL15'!$B$3=P$3,SUMIF('TL15'!$C$10:$C$224,$C425,'TL15'!$J$10:$J$224),0),
IF('TL15'!$B$229=P$3,SUMIF('TL15'!$C$238:$C$451,$C425,'TL15'!$J$238:$J$451),0),
IF('TL16'!$B$3=P$3,SUMIF('TL16'!$C$10:$C$224,$C425,'TL16'!$J$10:$J$224),0),
IF('TL16'!$B$229=P$3,SUMIF('TL16'!$C$238:$C$451,$C425,'TL16'!$J$238:$J$451),0),
IF('TL17'!$B$3=P$3,SUMIF('TL17'!$C$10:$C$224,$C425,'TL17'!$J$10:$J$224),0),
IF('TL17'!$B$229=P$3,SUMIF('TL17'!$C$238:$C$451,$C425,'TL17'!$J$238:$J$451),0),
IF('TL18'!$B$3=P$3,SUMIF('TL18'!$C$10:$C$224,$C425,'TL18'!$J$10:$J$224),0),
IF('TL18'!$B$229=P$3,SUMIF('TL18'!$C$238:$C$451,$C425,'TL18'!$J$238:$J$451),0),
IF('TL19'!$B$3=P$3,SUMIF('TL19'!$C$10:$C$224,$C425,'TL19'!$J$10:$J$224),0),
IF('TL19'!$B$229=P$3,SUMIF('TL19'!$C$238:$C$451,$C425,'TL19'!$J$238:$J$451),0)
),0)</f>
        <v>0</v>
      </c>
      <c r="Q425" s="138">
        <f>IFERROR(SUM(
IF('TL01'!$B$3=Q$3,SUMIF('TL01'!$C$10:$C$224,$C425,'TL01'!$J$10:$J$224),0),
IF('TL01'!$B$229=Q$3,SUMIF('TL01'!$C$238:$C$451,$C425,'TL01'!$J$238:$J$451),0),
IF('TL02'!$B$3=Q$3,SUMIF('TL02'!$C$10:$C$224,$C425,'TL02'!$J$10:$J$224),0),
IF('TL02'!$B$229=Q$3,SUMIF('TL02'!$C$238:$C$451,$C425,'TL02'!$J$238:$J$451),0),
IF('TL03'!$B$3=Q$3,SUMIF('TL03'!$C$10:$C$224,$C425,'TL03'!$J$10:$J$224),0),
IF('TL03'!$B$229=Q$3,SUMIF('TL03'!$C$238:$C$451,$C425,'TL03'!$J$238:$J$451),0),
IF('TL04'!$B$3=Q$3,SUMIF('TL04'!$C$10:$C$224,$C425,'TL04'!$J$10:$J$224),0),
IF('TL04'!$B$229=Q$3,SUMIF('TL04'!$C$238:$C$451,$C425,'TL04'!$J$238:$J$451),0),
IF('TL05'!$B$3=Q$3,SUMIF('TL05'!$C$10:$C$224,$C425,'TL05'!$J$10:$J$224),0),
IF('TL05'!$B$229=Q$3,SUMIF('TL05'!$C$238:$C$451,$C425,'TL05'!$J$238:$J$451),0),
IF('TL06'!$B$3=Q$3,SUMIF('TL06'!$C$10:$C$224,$C425,'TL06'!$J$10:$J$224),0),
IF('TL06'!$B$229=Q$3,SUMIF('TL06'!$C$238:$C$451,$C425,'TL06'!$J$238:$J$451),0),
IF('TL07'!$B$3=Q$3,SUMIF('TL07'!$C$10:$C$224,$C425,'TL07'!$J$10:$J$224),0),
IF('TL07'!$B$229=Q$3,SUMIF('TL07'!$C$238:$C$451,$C425,'TL07'!$J$238:$J$451),0),
IF('TL08'!$B$3=Q$3,SUMIF('TL08'!$C$10:$C$224,$C425,'TL08'!$J$10:$J$224),0),
IF('TL08'!$B$229=Q$3,SUMIF('TL08'!$C$238:$C$451,$C425,'TL08'!$J$238:$J$451),0),
IF('TL09'!$B$3=Q$3,SUMIF('TL09'!$C$10:$C$224,$C425,'TL09'!$J$10:$J$224),0),
IF('TL09'!$B$229=Q$3,SUMIF('TL09'!$C$238:$C$451,$C425,'TL09'!$J$238:$J$451),0),
IF('TL10'!$B$3=Q$3,SUMIF('TL10'!$C$10:$C$224,$C425,'TL10'!$J$10:$J$224),0),
IF('TL10'!$B$229=Q$3,SUMIF('TL10'!$C$238:$C$451,$C425,'TL10'!$J$238:$J$451),0),
IF('TL11'!$B$3=Q$3,SUMIF('TL11'!$C$10:$C$224,$C425,'TL11'!$J$10:$J$224),0),
IF('TL11'!$B$229=Q$3,SUMIF('TL11'!$C$238:$C$451,$C425,'TL11'!$J$238:$J$451),0),
IF('TL12'!$B$3=Q$3,SUMIF('TL12'!$C$10:$C$224,$C425,'TL12'!$J$10:$J$224),0),
IF('TL12'!$B$229=Q$3,SUMIF('TL12'!$C$238:$C$451,$C425,'TL12'!$J$238:$J$451),0),
IF('TL13'!$B$3=Q$3,SUMIF('TL13'!$C$10:$C$224,$C425,'TL13'!$J$10:$J$224),0),
IF('TL13'!$B$229=Q$3,SUMIF('TL13'!$C$238:$C$451,$C425,'TL13'!$J$238:$J$451),0),
IF('TL14'!$B$3=Q$3,SUMIF('TL14'!$C$10:$C$224,$C425,'TL14'!$J$10:$J$224),0),
IF('TL14'!$B$229=Q$3,SUMIF('TL14'!$C$238:$C$451,$C425,'TL14'!$J$238:$J$451),0),
IF('TL15'!$B$3=Q$3,SUMIF('TL15'!$C$10:$C$224,$C425,'TL15'!$J$10:$J$224),0),
IF('TL15'!$B$229=Q$3,SUMIF('TL15'!$C$238:$C$451,$C425,'TL15'!$J$238:$J$451),0),
IF('TL16'!$B$3=Q$3,SUMIF('TL16'!$C$10:$C$224,$C425,'TL16'!$J$10:$J$224),0),
IF('TL16'!$B$229=Q$3,SUMIF('TL16'!$C$238:$C$451,$C425,'TL16'!$J$238:$J$451),0),
IF('TL17'!$B$3=Q$3,SUMIF('TL17'!$C$10:$C$224,$C425,'TL17'!$J$10:$J$224),0),
IF('TL17'!$B$229=Q$3,SUMIF('TL17'!$C$238:$C$451,$C425,'TL17'!$J$238:$J$451),0),
IF('TL18'!$B$3=Q$3,SUMIF('TL18'!$C$10:$C$224,$C425,'TL18'!$J$10:$J$224),0),
IF('TL18'!$B$229=Q$3,SUMIF('TL18'!$C$238:$C$451,$C425,'TL18'!$J$238:$J$451),0),
IF('TL19'!$B$3=Q$3,SUMIF('TL19'!$C$10:$C$224,$C425,'TL19'!$J$10:$J$224),0),
IF('TL19'!$B$229=Q$3,SUMIF('TL19'!$C$238:$C$451,$C425,'TL19'!$J$238:$J$451),0)
),0)</f>
        <v>0</v>
      </c>
      <c r="R425" s="139">
        <f>IFERROR(
SUM(
SUMIF('TL01'!C:C,C425,'TL01'!J:J),
SUMIF('TL02'!C:C,C425,'TL02'!I:I),
SUMIF('TL03'!C:C,C425,'TL03'!I:I),
SUMIF('TL04'!C:C,C425,'TL04'!I:I),
SUMIF('TL05'!C:C,C425,'TL05'!I:I),
SUMIF('TL06'!C:C,C425,'TL06'!I:I),
SUMIF('TL07'!C:C,C425,'TL07'!I:I),
SUMIF('TL08'!C:C,C425,'TL08'!I:I),
SUMIF('TL09'!C:C,C425,'TL09'!I:I),
SUMIF('TL10'!C:C,C425,'TL10'!I:I),
SUMIF('TL11'!C:C,C425,'TL11'!I:I),
SUMIF('TL12'!C:C,C425,'TL12'!I:I),
SUMIF('TL13'!C:C,C425,'TL13'!I:I),
SUMIF('TL14'!C:C,C425,'TL14'!I:I),
SUMIF('TL15'!C:C,C425,'TL15'!I:I),
SUMIF('TL16'!C:C,C425,'TL16'!I:I),
SUMIF('TL17'!C:C,C425,'TL17'!I:I),
SUMIF('TL18'!C:C,C425,'TL18'!I:I))
,0)</f>
        <v>0</v>
      </c>
      <c r="S425" s="142" t="str">
        <f>'CUSTO OPERAÇÃO'!M29</f>
        <v/>
      </c>
      <c r="T425" s="139"/>
      <c r="U425" s="143">
        <f t="shared" si="2"/>
        <v>0</v>
      </c>
      <c r="V425" s="144">
        <f t="shared" si="3"/>
        <v>0</v>
      </c>
    </row>
    <row r="426" ht="15.75" hidden="1" customHeight="1">
      <c r="A426" s="138"/>
      <c r="B426" s="155"/>
      <c r="C426" s="138"/>
      <c r="D426" s="138"/>
      <c r="E426" s="139"/>
      <c r="F426" s="138" t="s">
        <v>1133</v>
      </c>
      <c r="G426" s="139"/>
      <c r="H426" s="140" t="str">
        <f>'CUSTO OPERAÇÃO'!J30</f>
        <v>#N/A</v>
      </c>
      <c r="I426" s="156"/>
      <c r="J426" s="138">
        <f>IFERROR(SUM(
IF('TL01'!$B$3=J$3,SUMIF('TL01'!$C$10:$C$224,$C426,'TL01'!$J$10:$J$224),0),
IF('TL01'!$B$229=J$3,SUMIF('TL01'!$C$238:$C$451,$C426,'TL01'!$J$238:$J$451),0),
IF('TL02'!$B$3=J$3,SUMIF('TL02'!$C$10:$C$224,$C426,'TL02'!$J$10:$J$224),0),
IF('TL02'!$B$229=J$3,SUMIF('TL02'!$C$238:$C$451,$C426,'TL02'!$J$238:$J$451),0),
IF('TL03'!$B$3=J$3,SUMIF('TL03'!$C$10:$C$224,$C426,'TL03'!$J$10:$J$224),0),
IF('TL03'!$B$229=J$3,SUMIF('TL03'!$C$238:$C$451,$C426,'TL03'!$J$238:$J$451),0),
IF('TL04'!$B$3=J$3,SUMIF('TL04'!$C$10:$C$224,$C426,'TL04'!$J$10:$J$224),0),
IF('TL04'!$B$229=J$3,SUMIF('TL04'!$C$238:$C$451,$C426,'TL04'!$J$238:$J$451),0),
IF('TL05'!$B$3=J$3,SUMIF('TL05'!$C$10:$C$224,$C426,'TL05'!$J$10:$J$224),0),
IF('TL05'!$B$229=J$3,SUMIF('TL05'!$C$238:$C$451,$C426,'TL05'!$J$238:$J$451),0),
IF('TL06'!$B$3=J$3,SUMIF('TL06'!$C$10:$C$224,$C426,'TL06'!$J$10:$J$224),0),
IF('TL06'!$B$229=J$3,SUMIF('TL06'!$C$238:$C$451,$C426,'TL06'!$J$238:$J$451),0),
IF('TL07'!$B$3=J$3,SUMIF('TL07'!$C$10:$C$224,$C426,'TL07'!$J$10:$J$224),0),
IF('TL07'!$B$229=J$3,SUMIF('TL07'!$C$238:$C$451,$C426,'TL07'!$J$238:$J$451),0),
IF('TL08'!$B$3=J$3,SUMIF('TL08'!$C$10:$C$224,$C426,'TL08'!$J$10:$J$224),0),
IF('TL08'!$B$229=J$3,SUMIF('TL08'!$C$238:$C$451,$C426,'TL08'!$J$238:$J$451),0),
IF('TL09'!$B$3=J$3,SUMIF('TL09'!$C$10:$C$224,$C426,'TL09'!$J$10:$J$224),0),
IF('TL09'!$B$229=J$3,SUMIF('TL09'!$C$238:$C$451,$C426,'TL09'!$J$238:$J$451),0),
IF('TL10'!$B$3=J$3,SUMIF('TL10'!$C$10:$C$224,$C426,'TL10'!$J$10:$J$224),0),
IF('TL10'!$B$229=J$3,SUMIF('TL10'!$C$238:$C$451,$C426,'TL10'!$J$238:$J$451),0),
IF('TL11'!$B$3=J$3,SUMIF('TL11'!$C$10:$C$224,$C426,'TL11'!$J$10:$J$224),0),
IF('TL11'!$B$229=J$3,SUMIF('TL11'!$C$238:$C$451,$C426,'TL11'!$J$238:$J$451),0),
IF('TL12'!$B$3=J$3,SUMIF('TL12'!$C$10:$C$224,$C426,'TL12'!$J$10:$J$224),0),
IF('TL12'!$B$229=J$3,SUMIF('TL12'!$C$238:$C$451,$C426,'TL12'!$J$238:$J$451),0),
IF('TL13'!$B$3=J$3,SUMIF('TL13'!$C$10:$C$224,$C426,'TL13'!$J$10:$J$224),0),
IF('TL13'!$B$229=J$3,SUMIF('TL13'!$C$238:$C$451,$C426,'TL13'!$J$238:$J$451),0),
IF('TL14'!$B$3=J$3,SUMIF('TL14'!$C$10:$C$224,$C426,'TL14'!$J$10:$J$224),0),
IF('TL14'!$B$229=J$3,SUMIF('TL14'!$C$238:$C$451,$C426,'TL14'!$J$238:$J$451),0),
IF('TL15'!$B$3=J$3,SUMIF('TL15'!$C$10:$C$224,$C426,'TL15'!$J$10:$J$224),0),
IF('TL15'!$B$229=J$3,SUMIF('TL15'!$C$238:$C$451,$C426,'TL15'!$J$238:$J$451),0),
IF('TL16'!$B$3=J$3,SUMIF('TL16'!$C$10:$C$224,$C426,'TL16'!$J$10:$J$224),0),
IF('TL16'!$B$229=J$3,SUMIF('TL16'!$C$238:$C$451,$C426,'TL16'!$J$238:$J$451),0),
IF('TL17'!$B$3=J$3,SUMIF('TL17'!$C$10:$C$224,$C426,'TL17'!$J$10:$J$224),0),
IF('TL17'!$B$229=J$3,SUMIF('TL17'!$C$238:$C$451,$C426,'TL17'!$J$238:$J$451),0),
IF('TL18'!$B$3=J$3,SUMIF('TL18'!$C$10:$C$224,$C426,'TL18'!$J$10:$J$224),0),
IF('TL18'!$B$229=J$3,SUMIF('TL18'!$C$238:$C$451,$C426,'TL18'!$J$238:$J$451),0),
IF('TL19'!$B$3=J$3,SUMIF('TL19'!$C$10:$C$224,$C426,'TL19'!$J$10:$J$224),0),
IF('TL19'!$B$229=J$3,SUMIF('TL19'!$C$238:$C$451,$C426,'TL19'!$J$238:$J$451),0)
),0)</f>
        <v>0</v>
      </c>
      <c r="K426" s="138">
        <f>IFERROR(SUM(
IF('TL01'!$B$3=K$3,SUMIF('TL01'!$C$10:$C$224,$C426,'TL01'!$J$10:$J$224),0),
IF('TL01'!$B$229=K$3,SUMIF('TL01'!$C$238:$C$451,$C426,'TL01'!$J$238:$J$451),0),
IF('TL02'!$B$3=K$3,SUMIF('TL02'!$C$10:$C$224,$C426,'TL02'!$J$10:$J$224),0),
IF('TL02'!$B$229=K$3,SUMIF('TL02'!$C$238:$C$451,$C426,'TL02'!$J$238:$J$451),0),
IF('TL03'!$B$3=K$3,SUMIF('TL03'!$C$10:$C$224,$C426,'TL03'!$J$10:$J$224),0),
IF('TL03'!$B$229=K$3,SUMIF('TL03'!$C$238:$C$451,$C426,'TL03'!$J$238:$J$451),0),
IF('TL04'!$B$3=K$3,SUMIF('TL04'!$C$10:$C$224,$C426,'TL04'!$J$10:$J$224),0),
IF('TL04'!$B$229=K$3,SUMIF('TL04'!$C$238:$C$451,$C426,'TL04'!$J$238:$J$451),0),
IF('TL05'!$B$3=K$3,SUMIF('TL05'!$C$10:$C$224,$C426,'TL05'!$J$10:$J$224),0),
IF('TL05'!$B$229=K$3,SUMIF('TL05'!$C$238:$C$451,$C426,'TL05'!$J$238:$J$451),0),
IF('TL06'!$B$3=K$3,SUMIF('TL06'!$C$10:$C$224,$C426,'TL06'!$J$10:$J$224),0),
IF('TL06'!$B$229=K$3,SUMIF('TL06'!$C$238:$C$451,$C426,'TL06'!$J$238:$J$451),0),
IF('TL07'!$B$3=K$3,SUMIF('TL07'!$C$10:$C$224,$C426,'TL07'!$J$10:$J$224),0),
IF('TL07'!$B$229=K$3,SUMIF('TL07'!$C$238:$C$451,$C426,'TL07'!$J$238:$J$451),0),
IF('TL08'!$B$3=K$3,SUMIF('TL08'!$C$10:$C$224,$C426,'TL08'!$J$10:$J$224),0),
IF('TL08'!$B$229=K$3,SUMIF('TL08'!$C$238:$C$451,$C426,'TL08'!$J$238:$J$451),0),
IF('TL09'!$B$3=K$3,SUMIF('TL09'!$C$10:$C$224,$C426,'TL09'!$J$10:$J$224),0),
IF('TL09'!$B$229=K$3,SUMIF('TL09'!$C$238:$C$451,$C426,'TL09'!$J$238:$J$451),0),
IF('TL10'!$B$3=K$3,SUMIF('TL10'!$C$10:$C$224,$C426,'TL10'!$J$10:$J$224),0),
IF('TL10'!$B$229=K$3,SUMIF('TL10'!$C$238:$C$451,$C426,'TL10'!$J$238:$J$451),0),
IF('TL11'!$B$3=K$3,SUMIF('TL11'!$C$10:$C$224,$C426,'TL11'!$J$10:$J$224),0),
IF('TL11'!$B$229=K$3,SUMIF('TL11'!$C$238:$C$451,$C426,'TL11'!$J$238:$J$451),0),
IF('TL12'!$B$3=K$3,SUMIF('TL12'!$C$10:$C$224,$C426,'TL12'!$J$10:$J$224),0),
IF('TL12'!$B$229=K$3,SUMIF('TL12'!$C$238:$C$451,$C426,'TL12'!$J$238:$J$451),0),
IF('TL13'!$B$3=K$3,SUMIF('TL13'!$C$10:$C$224,$C426,'TL13'!$J$10:$J$224),0),
IF('TL13'!$B$229=K$3,SUMIF('TL13'!$C$238:$C$451,$C426,'TL13'!$J$238:$J$451),0),
IF('TL14'!$B$3=K$3,SUMIF('TL14'!$C$10:$C$224,$C426,'TL14'!$J$10:$J$224),0),
IF('TL14'!$B$229=K$3,SUMIF('TL14'!$C$238:$C$451,$C426,'TL14'!$J$238:$J$451),0),
IF('TL15'!$B$3=K$3,SUMIF('TL15'!$C$10:$C$224,$C426,'TL15'!$J$10:$J$224),0),
IF('TL15'!$B$229=K$3,SUMIF('TL15'!$C$238:$C$451,$C426,'TL15'!$J$238:$J$451),0),
IF('TL16'!$B$3=K$3,SUMIF('TL16'!$C$10:$C$224,$C426,'TL16'!$J$10:$J$224),0),
IF('TL16'!$B$229=K$3,SUMIF('TL16'!$C$238:$C$451,$C426,'TL16'!$J$238:$J$451),0),
IF('TL17'!$B$3=K$3,SUMIF('TL17'!$C$10:$C$224,$C426,'TL17'!$J$10:$J$224),0),
IF('TL17'!$B$229=K$3,SUMIF('TL17'!$C$238:$C$451,$C426,'TL17'!$J$238:$J$451),0),
IF('TL18'!$B$3=K$3,SUMIF('TL18'!$C$10:$C$224,$C426,'TL18'!$J$10:$J$224),0),
IF('TL18'!$B$229=K$3,SUMIF('TL18'!$C$238:$C$451,$C426,'TL18'!$J$238:$J$451),0),
IF('TL19'!$B$3=K$3,SUMIF('TL19'!$C$10:$C$224,$C426,'TL19'!$J$10:$J$224),0),
IF('TL19'!$B$229=K$3,SUMIF('TL19'!$C$238:$C$451,$C426,'TL19'!$J$238:$J$451),0)
),0)</f>
        <v>0</v>
      </c>
      <c r="L426" s="138">
        <f>IFERROR(SUM(
IF('TL01'!$B$3=L$3,SUMIF('TL01'!$C$10:$C$224,$C426,'TL01'!$J$10:$J$224),0),
IF('TL01'!$B$229=L$3,SUMIF('TL01'!$C$238:$C$451,$C426,'TL01'!$J$238:$J$451),0),
IF('TL02'!$B$3=L$3,SUMIF('TL02'!$C$10:$C$224,$C426,'TL02'!$J$10:$J$224),0),
IF('TL02'!$B$229=L$3,SUMIF('TL02'!$C$238:$C$451,$C426,'TL02'!$J$238:$J$451),0),
IF('TL03'!$B$3=L$3,SUMIF('TL03'!$C$10:$C$224,$C426,'TL03'!$J$10:$J$224),0),
IF('TL03'!$B$229=L$3,SUMIF('TL03'!$C$238:$C$451,$C426,'TL03'!$J$238:$J$451),0),
IF('TL04'!$B$3=L$3,SUMIF('TL04'!$C$10:$C$224,$C426,'TL04'!$J$10:$J$224),0),
IF('TL04'!$B$229=L$3,SUMIF('TL04'!$C$238:$C$451,$C426,'TL04'!$J$238:$J$451),0),
IF('TL05'!$B$3=L$3,SUMIF('TL05'!$C$10:$C$224,$C426,'TL05'!$J$10:$J$224),0),
IF('TL05'!$B$229=L$3,SUMIF('TL05'!$C$238:$C$451,$C426,'TL05'!$J$238:$J$451),0),
IF('TL06'!$B$3=L$3,SUMIF('TL06'!$C$10:$C$224,$C426,'TL06'!$J$10:$J$224),0),
IF('TL06'!$B$229=L$3,SUMIF('TL06'!$C$238:$C$451,$C426,'TL06'!$J$238:$J$451),0),
IF('TL07'!$B$3=L$3,SUMIF('TL07'!$C$10:$C$224,$C426,'TL07'!$J$10:$J$224),0),
IF('TL07'!$B$229=L$3,SUMIF('TL07'!$C$238:$C$451,$C426,'TL07'!$J$238:$J$451),0),
IF('TL08'!$B$3=L$3,SUMIF('TL08'!$C$10:$C$224,$C426,'TL08'!$J$10:$J$224),0),
IF('TL08'!$B$229=L$3,SUMIF('TL08'!$C$238:$C$451,$C426,'TL08'!$J$238:$J$451),0),
IF('TL09'!$B$3=L$3,SUMIF('TL09'!$C$10:$C$224,$C426,'TL09'!$J$10:$J$224),0),
IF('TL09'!$B$229=L$3,SUMIF('TL09'!$C$238:$C$451,$C426,'TL09'!$J$238:$J$451),0),
IF('TL10'!$B$3=L$3,SUMIF('TL10'!$C$10:$C$224,$C426,'TL10'!$J$10:$J$224),0),
IF('TL10'!$B$229=L$3,SUMIF('TL10'!$C$238:$C$451,$C426,'TL10'!$J$238:$J$451),0),
IF('TL11'!$B$3=L$3,SUMIF('TL11'!$C$10:$C$224,$C426,'TL11'!$J$10:$J$224),0),
IF('TL11'!$B$229=L$3,SUMIF('TL11'!$C$238:$C$451,$C426,'TL11'!$J$238:$J$451),0),
IF('TL12'!$B$3=L$3,SUMIF('TL12'!$C$10:$C$224,$C426,'TL12'!$J$10:$J$224),0),
IF('TL12'!$B$229=L$3,SUMIF('TL12'!$C$238:$C$451,$C426,'TL12'!$J$238:$J$451),0),
IF('TL13'!$B$3=L$3,SUMIF('TL13'!$C$10:$C$224,$C426,'TL13'!$J$10:$J$224),0),
IF('TL13'!$B$229=L$3,SUMIF('TL13'!$C$238:$C$451,$C426,'TL13'!$J$238:$J$451),0),
IF('TL14'!$B$3=L$3,SUMIF('TL14'!$C$10:$C$224,$C426,'TL14'!$J$10:$J$224),0),
IF('TL14'!$B$229=L$3,SUMIF('TL14'!$C$238:$C$451,$C426,'TL14'!$J$238:$J$451),0),
IF('TL15'!$B$3=L$3,SUMIF('TL15'!$C$10:$C$224,$C426,'TL15'!$J$10:$J$224),0),
IF('TL15'!$B$229=L$3,SUMIF('TL15'!$C$238:$C$451,$C426,'TL15'!$J$238:$J$451),0),
IF('TL16'!$B$3=L$3,SUMIF('TL16'!$C$10:$C$224,$C426,'TL16'!$J$10:$J$224),0),
IF('TL16'!$B$229=L$3,SUMIF('TL16'!$C$238:$C$451,$C426,'TL16'!$J$238:$J$451),0),
IF('TL17'!$B$3=L$3,SUMIF('TL17'!$C$10:$C$224,$C426,'TL17'!$J$10:$J$224),0),
IF('TL17'!$B$229=L$3,SUMIF('TL17'!$C$238:$C$451,$C426,'TL17'!$J$238:$J$451),0),
IF('TL18'!$B$3=L$3,SUMIF('TL18'!$C$10:$C$224,$C426,'TL18'!$J$10:$J$224),0),
IF('TL18'!$B$229=L$3,SUMIF('TL18'!$C$238:$C$451,$C426,'TL18'!$J$238:$J$451),0),
IF('TL19'!$B$3=L$3,SUMIF('TL19'!$C$10:$C$224,$C426,'TL19'!$J$10:$J$224),0),
IF('TL19'!$B$229=L$3,SUMIF('TL19'!$C$238:$C$451,$C426,'TL19'!$J$238:$J$451),0)
),0)</f>
        <v>0</v>
      </c>
      <c r="M426" s="138">
        <f>IFERROR(SUM(
IF('TL01'!$B$3=M$3,SUMIF('TL01'!$C$10:$C$224,$C426,'TL01'!$J$10:$J$224),0),
IF('TL01'!$B$229=M$3,SUMIF('TL01'!$C$238:$C$451,$C426,'TL01'!$J$238:$J$451),0),
IF('TL02'!$B$3=M$3,SUMIF('TL02'!$C$10:$C$224,$C426,'TL02'!$J$10:$J$224),0),
IF('TL02'!$B$229=M$3,SUMIF('TL02'!$C$238:$C$451,$C426,'TL02'!$J$238:$J$451),0),
IF('TL03'!$B$3=M$3,SUMIF('TL03'!$C$10:$C$224,$C426,'TL03'!$J$10:$J$224),0),
IF('TL03'!$B$229=M$3,SUMIF('TL03'!$C$238:$C$451,$C426,'TL03'!$J$238:$J$451),0),
IF('TL04'!$B$3=M$3,SUMIF('TL04'!$C$10:$C$224,$C426,'TL04'!$J$10:$J$224),0),
IF('TL04'!$B$229=M$3,SUMIF('TL04'!$C$238:$C$451,$C426,'TL04'!$J$238:$J$451),0),
IF('TL05'!$B$3=M$3,SUMIF('TL05'!$C$10:$C$224,$C426,'TL05'!$J$10:$J$224),0),
IF('TL05'!$B$229=M$3,SUMIF('TL05'!$C$238:$C$451,$C426,'TL05'!$J$238:$J$451),0),
IF('TL06'!$B$3=M$3,SUMIF('TL06'!$C$10:$C$224,$C426,'TL06'!$J$10:$J$224),0),
IF('TL06'!$B$229=M$3,SUMIF('TL06'!$C$238:$C$451,$C426,'TL06'!$J$238:$J$451),0),
IF('TL07'!$B$3=M$3,SUMIF('TL07'!$C$10:$C$224,$C426,'TL07'!$J$10:$J$224),0),
IF('TL07'!$B$229=M$3,SUMIF('TL07'!$C$238:$C$451,$C426,'TL07'!$J$238:$J$451),0),
IF('TL08'!$B$3=M$3,SUMIF('TL08'!$C$10:$C$224,$C426,'TL08'!$J$10:$J$224),0),
IF('TL08'!$B$229=M$3,SUMIF('TL08'!$C$238:$C$451,$C426,'TL08'!$J$238:$J$451),0),
IF('TL09'!$B$3=M$3,SUMIF('TL09'!$C$10:$C$224,$C426,'TL09'!$J$10:$J$224),0),
IF('TL09'!$B$229=M$3,SUMIF('TL09'!$C$238:$C$451,$C426,'TL09'!$J$238:$J$451),0),
IF('TL10'!$B$3=M$3,SUMIF('TL10'!$C$10:$C$224,$C426,'TL10'!$J$10:$J$224),0),
IF('TL10'!$B$229=M$3,SUMIF('TL10'!$C$238:$C$451,$C426,'TL10'!$J$238:$J$451),0),
IF('TL11'!$B$3=M$3,SUMIF('TL11'!$C$10:$C$224,$C426,'TL11'!$J$10:$J$224),0),
IF('TL11'!$B$229=M$3,SUMIF('TL11'!$C$238:$C$451,$C426,'TL11'!$J$238:$J$451),0),
IF('TL12'!$B$3=M$3,SUMIF('TL12'!$C$10:$C$224,$C426,'TL12'!$J$10:$J$224),0),
IF('TL12'!$B$229=M$3,SUMIF('TL12'!$C$238:$C$451,$C426,'TL12'!$J$238:$J$451),0),
IF('TL13'!$B$3=M$3,SUMIF('TL13'!$C$10:$C$224,$C426,'TL13'!$J$10:$J$224),0),
IF('TL13'!$B$229=M$3,SUMIF('TL13'!$C$238:$C$451,$C426,'TL13'!$J$238:$J$451),0),
IF('TL14'!$B$3=M$3,SUMIF('TL14'!$C$10:$C$224,$C426,'TL14'!$J$10:$J$224),0),
IF('TL14'!$B$229=M$3,SUMIF('TL14'!$C$238:$C$451,$C426,'TL14'!$J$238:$J$451),0),
IF('TL15'!$B$3=M$3,SUMIF('TL15'!$C$10:$C$224,$C426,'TL15'!$J$10:$J$224),0),
IF('TL15'!$B$229=M$3,SUMIF('TL15'!$C$238:$C$451,$C426,'TL15'!$J$238:$J$451),0),
IF('TL16'!$B$3=M$3,SUMIF('TL16'!$C$10:$C$224,$C426,'TL16'!$J$10:$J$224),0),
IF('TL16'!$B$229=M$3,SUMIF('TL16'!$C$238:$C$451,$C426,'TL16'!$J$238:$J$451),0),
IF('TL17'!$B$3=M$3,SUMIF('TL17'!$C$10:$C$224,$C426,'TL17'!$J$10:$J$224),0),
IF('TL17'!$B$229=M$3,SUMIF('TL17'!$C$238:$C$451,$C426,'TL17'!$J$238:$J$451),0),
IF('TL18'!$B$3=M$3,SUMIF('TL18'!$C$10:$C$224,$C426,'TL18'!$J$10:$J$224),0),
IF('TL18'!$B$229=M$3,SUMIF('TL18'!$C$238:$C$451,$C426,'TL18'!$J$238:$J$451),0),
IF('TL19'!$B$3=M$3,SUMIF('TL19'!$C$10:$C$224,$C426,'TL19'!$J$10:$J$224),0),
IF('TL19'!$B$229=M$3,SUMIF('TL19'!$C$238:$C$451,$C426,'TL19'!$J$238:$J$451),0)
),0)</f>
        <v>0</v>
      </c>
      <c r="N426" s="138">
        <f>IFERROR(SUM(
IF('TL01'!$B$3=N$3,SUMIF('TL01'!$C$10:$C$224,$C426,'TL01'!$J$10:$J$224),0),
IF('TL01'!$B$229=N$3,SUMIF('TL01'!$C$238:$C$451,$C426,'TL01'!$J$238:$J$451),0),
IF('TL02'!$B$3=N$3,SUMIF('TL02'!$C$10:$C$224,$C426,'TL02'!$J$10:$J$224),0),
IF('TL02'!$B$229=N$3,SUMIF('TL02'!$C$238:$C$451,$C426,'TL02'!$J$238:$J$451),0),
IF('TL03'!$B$3=N$3,SUMIF('TL03'!$C$10:$C$224,$C426,'TL03'!$J$10:$J$224),0),
IF('TL03'!$B$229=N$3,SUMIF('TL03'!$C$238:$C$451,$C426,'TL03'!$J$238:$J$451),0),
IF('TL04'!$B$3=N$3,SUMIF('TL04'!$C$10:$C$224,$C426,'TL04'!$J$10:$J$224),0),
IF('TL04'!$B$229=N$3,SUMIF('TL04'!$C$238:$C$451,$C426,'TL04'!$J$238:$J$451),0),
IF('TL05'!$B$3=N$3,SUMIF('TL05'!$C$10:$C$224,$C426,'TL05'!$J$10:$J$224),0),
IF('TL05'!$B$229=N$3,SUMIF('TL05'!$C$238:$C$451,$C426,'TL05'!$J$238:$J$451),0),
IF('TL06'!$B$3=N$3,SUMIF('TL06'!$C$10:$C$224,$C426,'TL06'!$J$10:$J$224),0),
IF('TL06'!$B$229=N$3,SUMIF('TL06'!$C$238:$C$451,$C426,'TL06'!$J$238:$J$451),0),
IF('TL07'!$B$3=N$3,SUMIF('TL07'!$C$10:$C$224,$C426,'TL07'!$J$10:$J$224),0),
IF('TL07'!$B$229=N$3,SUMIF('TL07'!$C$238:$C$451,$C426,'TL07'!$J$238:$J$451),0),
IF('TL08'!$B$3=N$3,SUMIF('TL08'!$C$10:$C$224,$C426,'TL08'!$J$10:$J$224),0),
IF('TL08'!$B$229=N$3,SUMIF('TL08'!$C$238:$C$451,$C426,'TL08'!$J$238:$J$451),0),
IF('TL09'!$B$3=N$3,SUMIF('TL09'!$C$10:$C$224,$C426,'TL09'!$J$10:$J$224),0),
IF('TL09'!$B$229=N$3,SUMIF('TL09'!$C$238:$C$451,$C426,'TL09'!$J$238:$J$451),0),
IF('TL10'!$B$3=N$3,SUMIF('TL10'!$C$10:$C$224,$C426,'TL10'!$J$10:$J$224),0),
IF('TL10'!$B$229=N$3,SUMIF('TL10'!$C$238:$C$451,$C426,'TL10'!$J$238:$J$451),0),
IF('TL11'!$B$3=N$3,SUMIF('TL11'!$C$10:$C$224,$C426,'TL11'!$J$10:$J$224),0),
IF('TL11'!$B$229=N$3,SUMIF('TL11'!$C$238:$C$451,$C426,'TL11'!$J$238:$J$451),0),
IF('TL12'!$B$3=N$3,SUMIF('TL12'!$C$10:$C$224,$C426,'TL12'!$J$10:$J$224),0),
IF('TL12'!$B$229=N$3,SUMIF('TL12'!$C$238:$C$451,$C426,'TL12'!$J$238:$J$451),0),
IF('TL13'!$B$3=N$3,SUMIF('TL13'!$C$10:$C$224,$C426,'TL13'!$J$10:$J$224),0),
IF('TL13'!$B$229=N$3,SUMIF('TL13'!$C$238:$C$451,$C426,'TL13'!$J$238:$J$451),0),
IF('TL14'!$B$3=N$3,SUMIF('TL14'!$C$10:$C$224,$C426,'TL14'!$J$10:$J$224),0),
IF('TL14'!$B$229=N$3,SUMIF('TL14'!$C$238:$C$451,$C426,'TL14'!$J$238:$J$451),0),
IF('TL15'!$B$3=N$3,SUMIF('TL15'!$C$10:$C$224,$C426,'TL15'!$J$10:$J$224),0),
IF('TL15'!$B$229=N$3,SUMIF('TL15'!$C$238:$C$451,$C426,'TL15'!$J$238:$J$451),0),
IF('TL16'!$B$3=N$3,SUMIF('TL16'!$C$10:$C$224,$C426,'TL16'!$J$10:$J$224),0),
IF('TL16'!$B$229=N$3,SUMIF('TL16'!$C$238:$C$451,$C426,'TL16'!$J$238:$J$451),0),
IF('TL17'!$B$3=N$3,SUMIF('TL17'!$C$10:$C$224,$C426,'TL17'!$J$10:$J$224),0),
IF('TL17'!$B$229=N$3,SUMIF('TL17'!$C$238:$C$451,$C426,'TL17'!$J$238:$J$451),0),
IF('TL18'!$B$3=N$3,SUMIF('TL18'!$C$10:$C$224,$C426,'TL18'!$J$10:$J$224),0),
IF('TL18'!$B$229=N$3,SUMIF('TL18'!$C$238:$C$451,$C426,'TL18'!$J$238:$J$451),0),
IF('TL19'!$B$3=N$3,SUMIF('TL19'!$C$10:$C$224,$C426,'TL19'!$J$10:$J$224),0),
IF('TL19'!$B$229=N$3,SUMIF('TL19'!$C$238:$C$451,$C426,'TL19'!$J$238:$J$451),0)
),0)</f>
        <v>0</v>
      </c>
      <c r="O426" s="138">
        <f>IFERROR(SUM(
IF('TL01'!$B$3=O$3,SUMIF('TL01'!$C$10:$C$224,$C426,'TL01'!$J$10:$J$224),0),
IF('TL01'!$B$229=O$3,SUMIF('TL01'!$C$238:$C$451,$C426,'TL01'!$J$238:$J$451),0),
IF('TL02'!$B$3=O$3,SUMIF('TL02'!$C$10:$C$224,$C426,'TL02'!$J$10:$J$224),0),
IF('TL02'!$B$229=O$3,SUMIF('TL02'!$C$238:$C$451,$C426,'TL02'!$J$238:$J$451),0),
IF('TL03'!$B$3=O$3,SUMIF('TL03'!$C$10:$C$224,$C426,'TL03'!$J$10:$J$224),0),
IF('TL03'!$B$229=O$3,SUMIF('TL03'!$C$238:$C$451,$C426,'TL03'!$J$238:$J$451),0),
IF('TL04'!$B$3=O$3,SUMIF('TL04'!$C$10:$C$224,$C426,'TL04'!$J$10:$J$224),0),
IF('TL04'!$B$229=O$3,SUMIF('TL04'!$C$238:$C$451,$C426,'TL04'!$J$238:$J$451),0),
IF('TL05'!$B$3=O$3,SUMIF('TL05'!$C$10:$C$224,$C426,'TL05'!$J$10:$J$224),0),
IF('TL05'!$B$229=O$3,SUMIF('TL05'!$C$238:$C$451,$C426,'TL05'!$J$238:$J$451),0),
IF('TL06'!$B$3=O$3,SUMIF('TL06'!$C$10:$C$224,$C426,'TL06'!$J$10:$J$224),0),
IF('TL06'!$B$229=O$3,SUMIF('TL06'!$C$238:$C$451,$C426,'TL06'!$J$238:$J$451),0),
IF('TL07'!$B$3=O$3,SUMIF('TL07'!$C$10:$C$224,$C426,'TL07'!$J$10:$J$224),0),
IF('TL07'!$B$229=O$3,SUMIF('TL07'!$C$238:$C$451,$C426,'TL07'!$J$238:$J$451),0),
IF('TL08'!$B$3=O$3,SUMIF('TL08'!$C$10:$C$224,$C426,'TL08'!$J$10:$J$224),0),
IF('TL08'!$B$229=O$3,SUMIF('TL08'!$C$238:$C$451,$C426,'TL08'!$J$238:$J$451),0),
IF('TL09'!$B$3=O$3,SUMIF('TL09'!$C$10:$C$224,$C426,'TL09'!$J$10:$J$224),0),
IF('TL09'!$B$229=O$3,SUMIF('TL09'!$C$238:$C$451,$C426,'TL09'!$J$238:$J$451),0),
IF('TL10'!$B$3=O$3,SUMIF('TL10'!$C$10:$C$224,$C426,'TL10'!$J$10:$J$224),0),
IF('TL10'!$B$229=O$3,SUMIF('TL10'!$C$238:$C$451,$C426,'TL10'!$J$238:$J$451),0),
IF('TL11'!$B$3=O$3,SUMIF('TL11'!$C$10:$C$224,$C426,'TL11'!$J$10:$J$224),0),
IF('TL11'!$B$229=O$3,SUMIF('TL11'!$C$238:$C$451,$C426,'TL11'!$J$238:$J$451),0),
IF('TL12'!$B$3=O$3,SUMIF('TL12'!$C$10:$C$224,$C426,'TL12'!$J$10:$J$224),0),
IF('TL12'!$B$229=O$3,SUMIF('TL12'!$C$238:$C$451,$C426,'TL12'!$J$238:$J$451),0),
IF('TL13'!$B$3=O$3,SUMIF('TL13'!$C$10:$C$224,$C426,'TL13'!$J$10:$J$224),0),
IF('TL13'!$B$229=O$3,SUMIF('TL13'!$C$238:$C$451,$C426,'TL13'!$J$238:$J$451),0),
IF('TL14'!$B$3=O$3,SUMIF('TL14'!$C$10:$C$224,$C426,'TL14'!$J$10:$J$224),0),
IF('TL14'!$B$229=O$3,SUMIF('TL14'!$C$238:$C$451,$C426,'TL14'!$J$238:$J$451),0),
IF('TL15'!$B$3=O$3,SUMIF('TL15'!$C$10:$C$224,$C426,'TL15'!$J$10:$J$224),0),
IF('TL15'!$B$229=O$3,SUMIF('TL15'!$C$238:$C$451,$C426,'TL15'!$J$238:$J$451),0),
IF('TL16'!$B$3=O$3,SUMIF('TL16'!$C$10:$C$224,$C426,'TL16'!$J$10:$J$224),0),
IF('TL16'!$B$229=O$3,SUMIF('TL16'!$C$238:$C$451,$C426,'TL16'!$J$238:$J$451),0),
IF('TL17'!$B$3=O$3,SUMIF('TL17'!$C$10:$C$224,$C426,'TL17'!$J$10:$J$224),0),
IF('TL17'!$B$229=O$3,SUMIF('TL17'!$C$238:$C$451,$C426,'TL17'!$J$238:$J$451),0),
IF('TL18'!$B$3=O$3,SUMIF('TL18'!$C$10:$C$224,$C426,'TL18'!$J$10:$J$224),0),
IF('TL18'!$B$229=O$3,SUMIF('TL18'!$C$238:$C$451,$C426,'TL18'!$J$238:$J$451),0),
IF('TL19'!$B$3=O$3,SUMIF('TL19'!$C$10:$C$224,$C426,'TL19'!$J$10:$J$224),0),
IF('TL19'!$B$229=O$3,SUMIF('TL19'!$C$238:$C$451,$C426,'TL19'!$J$238:$J$451),0)
),0)</f>
        <v>0</v>
      </c>
      <c r="P426" s="138">
        <f>IFERROR(SUM(
IF('TL01'!$B$3=P$3,SUMIF('TL01'!$C$10:$C$224,$C426,'TL01'!$J$10:$J$224),0),
IF('TL01'!$B$229=P$3,SUMIF('TL01'!$C$238:$C$451,$C426,'TL01'!$J$238:$J$451),0),
IF('TL02'!$B$3=P$3,SUMIF('TL02'!$C$10:$C$224,$C426,'TL02'!$J$10:$J$224),0),
IF('TL02'!$B$229=P$3,SUMIF('TL02'!$C$238:$C$451,$C426,'TL02'!$J$238:$J$451),0),
IF('TL03'!$B$3=P$3,SUMIF('TL03'!$C$10:$C$224,$C426,'TL03'!$J$10:$J$224),0),
IF('TL03'!$B$229=P$3,SUMIF('TL03'!$C$238:$C$451,$C426,'TL03'!$J$238:$J$451),0),
IF('TL04'!$B$3=P$3,SUMIF('TL04'!$C$10:$C$224,$C426,'TL04'!$J$10:$J$224),0),
IF('TL04'!$B$229=P$3,SUMIF('TL04'!$C$238:$C$451,$C426,'TL04'!$J$238:$J$451),0),
IF('TL05'!$B$3=P$3,SUMIF('TL05'!$C$10:$C$224,$C426,'TL05'!$J$10:$J$224),0),
IF('TL05'!$B$229=P$3,SUMIF('TL05'!$C$238:$C$451,$C426,'TL05'!$J$238:$J$451),0),
IF('TL06'!$B$3=P$3,SUMIF('TL06'!$C$10:$C$224,$C426,'TL06'!$J$10:$J$224),0),
IF('TL06'!$B$229=P$3,SUMIF('TL06'!$C$238:$C$451,$C426,'TL06'!$J$238:$J$451),0),
IF('TL07'!$B$3=P$3,SUMIF('TL07'!$C$10:$C$224,$C426,'TL07'!$J$10:$J$224),0),
IF('TL07'!$B$229=P$3,SUMIF('TL07'!$C$238:$C$451,$C426,'TL07'!$J$238:$J$451),0),
IF('TL08'!$B$3=P$3,SUMIF('TL08'!$C$10:$C$224,$C426,'TL08'!$J$10:$J$224),0),
IF('TL08'!$B$229=P$3,SUMIF('TL08'!$C$238:$C$451,$C426,'TL08'!$J$238:$J$451),0),
IF('TL09'!$B$3=P$3,SUMIF('TL09'!$C$10:$C$224,$C426,'TL09'!$J$10:$J$224),0),
IF('TL09'!$B$229=P$3,SUMIF('TL09'!$C$238:$C$451,$C426,'TL09'!$J$238:$J$451),0),
IF('TL10'!$B$3=P$3,SUMIF('TL10'!$C$10:$C$224,$C426,'TL10'!$J$10:$J$224),0),
IF('TL10'!$B$229=P$3,SUMIF('TL10'!$C$238:$C$451,$C426,'TL10'!$J$238:$J$451),0),
IF('TL11'!$B$3=P$3,SUMIF('TL11'!$C$10:$C$224,$C426,'TL11'!$J$10:$J$224),0),
IF('TL11'!$B$229=P$3,SUMIF('TL11'!$C$238:$C$451,$C426,'TL11'!$J$238:$J$451),0),
IF('TL12'!$B$3=P$3,SUMIF('TL12'!$C$10:$C$224,$C426,'TL12'!$J$10:$J$224),0),
IF('TL12'!$B$229=P$3,SUMIF('TL12'!$C$238:$C$451,$C426,'TL12'!$J$238:$J$451),0),
IF('TL13'!$B$3=P$3,SUMIF('TL13'!$C$10:$C$224,$C426,'TL13'!$J$10:$J$224),0),
IF('TL13'!$B$229=P$3,SUMIF('TL13'!$C$238:$C$451,$C426,'TL13'!$J$238:$J$451),0),
IF('TL14'!$B$3=P$3,SUMIF('TL14'!$C$10:$C$224,$C426,'TL14'!$J$10:$J$224),0),
IF('TL14'!$B$229=P$3,SUMIF('TL14'!$C$238:$C$451,$C426,'TL14'!$J$238:$J$451),0),
IF('TL15'!$B$3=P$3,SUMIF('TL15'!$C$10:$C$224,$C426,'TL15'!$J$10:$J$224),0),
IF('TL15'!$B$229=P$3,SUMIF('TL15'!$C$238:$C$451,$C426,'TL15'!$J$238:$J$451),0),
IF('TL16'!$B$3=P$3,SUMIF('TL16'!$C$10:$C$224,$C426,'TL16'!$J$10:$J$224),0),
IF('TL16'!$B$229=P$3,SUMIF('TL16'!$C$238:$C$451,$C426,'TL16'!$J$238:$J$451),0),
IF('TL17'!$B$3=P$3,SUMIF('TL17'!$C$10:$C$224,$C426,'TL17'!$J$10:$J$224),0),
IF('TL17'!$B$229=P$3,SUMIF('TL17'!$C$238:$C$451,$C426,'TL17'!$J$238:$J$451),0),
IF('TL18'!$B$3=P$3,SUMIF('TL18'!$C$10:$C$224,$C426,'TL18'!$J$10:$J$224),0),
IF('TL18'!$B$229=P$3,SUMIF('TL18'!$C$238:$C$451,$C426,'TL18'!$J$238:$J$451),0),
IF('TL19'!$B$3=P$3,SUMIF('TL19'!$C$10:$C$224,$C426,'TL19'!$J$10:$J$224),0),
IF('TL19'!$B$229=P$3,SUMIF('TL19'!$C$238:$C$451,$C426,'TL19'!$J$238:$J$451),0)
),0)</f>
        <v>0</v>
      </c>
      <c r="Q426" s="138">
        <f>IFERROR(SUM(
IF('TL01'!$B$3=Q$3,SUMIF('TL01'!$C$10:$C$224,$C426,'TL01'!$J$10:$J$224),0),
IF('TL01'!$B$229=Q$3,SUMIF('TL01'!$C$238:$C$451,$C426,'TL01'!$J$238:$J$451),0),
IF('TL02'!$B$3=Q$3,SUMIF('TL02'!$C$10:$C$224,$C426,'TL02'!$J$10:$J$224),0),
IF('TL02'!$B$229=Q$3,SUMIF('TL02'!$C$238:$C$451,$C426,'TL02'!$J$238:$J$451),0),
IF('TL03'!$B$3=Q$3,SUMIF('TL03'!$C$10:$C$224,$C426,'TL03'!$J$10:$J$224),0),
IF('TL03'!$B$229=Q$3,SUMIF('TL03'!$C$238:$C$451,$C426,'TL03'!$J$238:$J$451),0),
IF('TL04'!$B$3=Q$3,SUMIF('TL04'!$C$10:$C$224,$C426,'TL04'!$J$10:$J$224),0),
IF('TL04'!$B$229=Q$3,SUMIF('TL04'!$C$238:$C$451,$C426,'TL04'!$J$238:$J$451),0),
IF('TL05'!$B$3=Q$3,SUMIF('TL05'!$C$10:$C$224,$C426,'TL05'!$J$10:$J$224),0),
IF('TL05'!$B$229=Q$3,SUMIF('TL05'!$C$238:$C$451,$C426,'TL05'!$J$238:$J$451),0),
IF('TL06'!$B$3=Q$3,SUMIF('TL06'!$C$10:$C$224,$C426,'TL06'!$J$10:$J$224),0),
IF('TL06'!$B$229=Q$3,SUMIF('TL06'!$C$238:$C$451,$C426,'TL06'!$J$238:$J$451),0),
IF('TL07'!$B$3=Q$3,SUMIF('TL07'!$C$10:$C$224,$C426,'TL07'!$J$10:$J$224),0),
IF('TL07'!$B$229=Q$3,SUMIF('TL07'!$C$238:$C$451,$C426,'TL07'!$J$238:$J$451),0),
IF('TL08'!$B$3=Q$3,SUMIF('TL08'!$C$10:$C$224,$C426,'TL08'!$J$10:$J$224),0),
IF('TL08'!$B$229=Q$3,SUMIF('TL08'!$C$238:$C$451,$C426,'TL08'!$J$238:$J$451),0),
IF('TL09'!$B$3=Q$3,SUMIF('TL09'!$C$10:$C$224,$C426,'TL09'!$J$10:$J$224),0),
IF('TL09'!$B$229=Q$3,SUMIF('TL09'!$C$238:$C$451,$C426,'TL09'!$J$238:$J$451),0),
IF('TL10'!$B$3=Q$3,SUMIF('TL10'!$C$10:$C$224,$C426,'TL10'!$J$10:$J$224),0),
IF('TL10'!$B$229=Q$3,SUMIF('TL10'!$C$238:$C$451,$C426,'TL10'!$J$238:$J$451),0),
IF('TL11'!$B$3=Q$3,SUMIF('TL11'!$C$10:$C$224,$C426,'TL11'!$J$10:$J$224),0),
IF('TL11'!$B$229=Q$3,SUMIF('TL11'!$C$238:$C$451,$C426,'TL11'!$J$238:$J$451),0),
IF('TL12'!$B$3=Q$3,SUMIF('TL12'!$C$10:$C$224,$C426,'TL12'!$J$10:$J$224),0),
IF('TL12'!$B$229=Q$3,SUMIF('TL12'!$C$238:$C$451,$C426,'TL12'!$J$238:$J$451),0),
IF('TL13'!$B$3=Q$3,SUMIF('TL13'!$C$10:$C$224,$C426,'TL13'!$J$10:$J$224),0),
IF('TL13'!$B$229=Q$3,SUMIF('TL13'!$C$238:$C$451,$C426,'TL13'!$J$238:$J$451),0),
IF('TL14'!$B$3=Q$3,SUMIF('TL14'!$C$10:$C$224,$C426,'TL14'!$J$10:$J$224),0),
IF('TL14'!$B$229=Q$3,SUMIF('TL14'!$C$238:$C$451,$C426,'TL14'!$J$238:$J$451),0),
IF('TL15'!$B$3=Q$3,SUMIF('TL15'!$C$10:$C$224,$C426,'TL15'!$J$10:$J$224),0),
IF('TL15'!$B$229=Q$3,SUMIF('TL15'!$C$238:$C$451,$C426,'TL15'!$J$238:$J$451),0),
IF('TL16'!$B$3=Q$3,SUMIF('TL16'!$C$10:$C$224,$C426,'TL16'!$J$10:$J$224),0),
IF('TL16'!$B$229=Q$3,SUMIF('TL16'!$C$238:$C$451,$C426,'TL16'!$J$238:$J$451),0),
IF('TL17'!$B$3=Q$3,SUMIF('TL17'!$C$10:$C$224,$C426,'TL17'!$J$10:$J$224),0),
IF('TL17'!$B$229=Q$3,SUMIF('TL17'!$C$238:$C$451,$C426,'TL17'!$J$238:$J$451),0),
IF('TL18'!$B$3=Q$3,SUMIF('TL18'!$C$10:$C$224,$C426,'TL18'!$J$10:$J$224),0),
IF('TL18'!$B$229=Q$3,SUMIF('TL18'!$C$238:$C$451,$C426,'TL18'!$J$238:$J$451),0),
IF('TL19'!$B$3=Q$3,SUMIF('TL19'!$C$10:$C$224,$C426,'TL19'!$J$10:$J$224),0),
IF('TL19'!$B$229=Q$3,SUMIF('TL19'!$C$238:$C$451,$C426,'TL19'!$J$238:$J$451),0)
),0)</f>
        <v>0</v>
      </c>
      <c r="R426" s="139">
        <f>IFERROR(
SUM(
SUMIF('TL01'!C:C,C426,'TL01'!J:J),
SUMIF('TL02'!C:C,C426,'TL02'!I:I),
SUMIF('TL03'!C:C,C426,'TL03'!I:I),
SUMIF('TL04'!C:C,C426,'TL04'!I:I),
SUMIF('TL05'!C:C,C426,'TL05'!I:I),
SUMIF('TL06'!C:C,C426,'TL06'!I:I),
SUMIF('TL07'!C:C,C426,'TL07'!I:I),
SUMIF('TL08'!C:C,C426,'TL08'!I:I),
SUMIF('TL09'!C:C,C426,'TL09'!I:I),
SUMIF('TL10'!C:C,C426,'TL10'!I:I),
SUMIF('TL11'!C:C,C426,'TL11'!I:I),
SUMIF('TL12'!C:C,C426,'TL12'!I:I),
SUMIF('TL13'!C:C,C426,'TL13'!I:I),
SUMIF('TL14'!C:C,C426,'TL14'!I:I),
SUMIF('TL15'!C:C,C426,'TL15'!I:I),
SUMIF('TL16'!C:C,C426,'TL16'!I:I),
SUMIF('TL17'!C:C,C426,'TL17'!I:I),
SUMIF('TL18'!C:C,C426,'TL18'!I:I))
,0)</f>
        <v>0</v>
      </c>
      <c r="S426" s="142" t="str">
        <f>'CUSTO OPERAÇÃO'!M30</f>
        <v/>
      </c>
      <c r="T426" s="139"/>
      <c r="U426" s="143">
        <f t="shared" si="2"/>
        <v>0</v>
      </c>
      <c r="V426" s="144">
        <f t="shared" si="3"/>
        <v>0</v>
      </c>
    </row>
    <row r="427" ht="15.75" hidden="1" customHeight="1">
      <c r="A427" s="138"/>
      <c r="B427" s="155"/>
      <c r="C427" s="138"/>
      <c r="D427" s="138"/>
      <c r="E427" s="139"/>
      <c r="F427" s="138" t="s">
        <v>1133</v>
      </c>
      <c r="G427" s="139"/>
      <c r="H427" s="139" t="str">
        <f>'CUSTO OPERAÇÃO'!J31</f>
        <v/>
      </c>
      <c r="I427" s="156"/>
      <c r="J427" s="138">
        <f>IFERROR(SUM(
IF('TL01'!$B$3=J$3,SUMIF('TL01'!$C$10:$C$224,$C427,'TL01'!$J$10:$J$224),0),
IF('TL01'!$B$229=J$3,SUMIF('TL01'!$C$238:$C$451,$C427,'TL01'!$J$238:$J$451),0),
IF('TL02'!$B$3=J$3,SUMIF('TL02'!$C$10:$C$224,$C427,'TL02'!$J$10:$J$224),0),
IF('TL02'!$B$229=J$3,SUMIF('TL02'!$C$238:$C$451,$C427,'TL02'!$J$238:$J$451),0),
IF('TL03'!$B$3=J$3,SUMIF('TL03'!$C$10:$C$224,$C427,'TL03'!$J$10:$J$224),0),
IF('TL03'!$B$229=J$3,SUMIF('TL03'!$C$238:$C$451,$C427,'TL03'!$J$238:$J$451),0),
IF('TL04'!$B$3=J$3,SUMIF('TL04'!$C$10:$C$224,$C427,'TL04'!$J$10:$J$224),0),
IF('TL04'!$B$229=J$3,SUMIF('TL04'!$C$238:$C$451,$C427,'TL04'!$J$238:$J$451),0),
IF('TL05'!$B$3=J$3,SUMIF('TL05'!$C$10:$C$224,$C427,'TL05'!$J$10:$J$224),0),
IF('TL05'!$B$229=J$3,SUMIF('TL05'!$C$238:$C$451,$C427,'TL05'!$J$238:$J$451),0),
IF('TL06'!$B$3=J$3,SUMIF('TL06'!$C$10:$C$224,$C427,'TL06'!$J$10:$J$224),0),
IF('TL06'!$B$229=J$3,SUMIF('TL06'!$C$238:$C$451,$C427,'TL06'!$J$238:$J$451),0),
IF('TL07'!$B$3=J$3,SUMIF('TL07'!$C$10:$C$224,$C427,'TL07'!$J$10:$J$224),0),
IF('TL07'!$B$229=J$3,SUMIF('TL07'!$C$238:$C$451,$C427,'TL07'!$J$238:$J$451),0),
IF('TL08'!$B$3=J$3,SUMIF('TL08'!$C$10:$C$224,$C427,'TL08'!$J$10:$J$224),0),
IF('TL08'!$B$229=J$3,SUMIF('TL08'!$C$238:$C$451,$C427,'TL08'!$J$238:$J$451),0),
IF('TL09'!$B$3=J$3,SUMIF('TL09'!$C$10:$C$224,$C427,'TL09'!$J$10:$J$224),0),
IF('TL09'!$B$229=J$3,SUMIF('TL09'!$C$238:$C$451,$C427,'TL09'!$J$238:$J$451),0),
IF('TL10'!$B$3=J$3,SUMIF('TL10'!$C$10:$C$224,$C427,'TL10'!$J$10:$J$224),0),
IF('TL10'!$B$229=J$3,SUMIF('TL10'!$C$238:$C$451,$C427,'TL10'!$J$238:$J$451),0),
IF('TL11'!$B$3=J$3,SUMIF('TL11'!$C$10:$C$224,$C427,'TL11'!$J$10:$J$224),0),
IF('TL11'!$B$229=J$3,SUMIF('TL11'!$C$238:$C$451,$C427,'TL11'!$J$238:$J$451),0),
IF('TL12'!$B$3=J$3,SUMIF('TL12'!$C$10:$C$224,$C427,'TL12'!$J$10:$J$224),0),
IF('TL12'!$B$229=J$3,SUMIF('TL12'!$C$238:$C$451,$C427,'TL12'!$J$238:$J$451),0),
IF('TL13'!$B$3=J$3,SUMIF('TL13'!$C$10:$C$224,$C427,'TL13'!$J$10:$J$224),0),
IF('TL13'!$B$229=J$3,SUMIF('TL13'!$C$238:$C$451,$C427,'TL13'!$J$238:$J$451),0),
IF('TL14'!$B$3=J$3,SUMIF('TL14'!$C$10:$C$224,$C427,'TL14'!$J$10:$J$224),0),
IF('TL14'!$B$229=J$3,SUMIF('TL14'!$C$238:$C$451,$C427,'TL14'!$J$238:$J$451),0),
IF('TL15'!$B$3=J$3,SUMIF('TL15'!$C$10:$C$224,$C427,'TL15'!$J$10:$J$224),0),
IF('TL15'!$B$229=J$3,SUMIF('TL15'!$C$238:$C$451,$C427,'TL15'!$J$238:$J$451),0),
IF('TL16'!$B$3=J$3,SUMIF('TL16'!$C$10:$C$224,$C427,'TL16'!$J$10:$J$224),0),
IF('TL16'!$B$229=J$3,SUMIF('TL16'!$C$238:$C$451,$C427,'TL16'!$J$238:$J$451),0),
IF('TL17'!$B$3=J$3,SUMIF('TL17'!$C$10:$C$224,$C427,'TL17'!$J$10:$J$224),0),
IF('TL17'!$B$229=J$3,SUMIF('TL17'!$C$238:$C$451,$C427,'TL17'!$J$238:$J$451),0),
IF('TL18'!$B$3=J$3,SUMIF('TL18'!$C$10:$C$224,$C427,'TL18'!$J$10:$J$224),0),
IF('TL18'!$B$229=J$3,SUMIF('TL18'!$C$238:$C$451,$C427,'TL18'!$J$238:$J$451),0),
IF('TL19'!$B$3=J$3,SUMIF('TL19'!$C$10:$C$224,$C427,'TL19'!$J$10:$J$224),0),
IF('TL19'!$B$229=J$3,SUMIF('TL19'!$C$238:$C$451,$C427,'TL19'!$J$238:$J$451),0)
),0)</f>
        <v>0</v>
      </c>
      <c r="K427" s="138">
        <f>IFERROR(SUM(
IF('TL01'!$B$3=K$3,SUMIF('TL01'!$C$10:$C$224,$C427,'TL01'!$J$10:$J$224),0),
IF('TL01'!$B$229=K$3,SUMIF('TL01'!$C$238:$C$451,$C427,'TL01'!$J$238:$J$451),0),
IF('TL02'!$B$3=K$3,SUMIF('TL02'!$C$10:$C$224,$C427,'TL02'!$J$10:$J$224),0),
IF('TL02'!$B$229=K$3,SUMIF('TL02'!$C$238:$C$451,$C427,'TL02'!$J$238:$J$451),0),
IF('TL03'!$B$3=K$3,SUMIF('TL03'!$C$10:$C$224,$C427,'TL03'!$J$10:$J$224),0),
IF('TL03'!$B$229=K$3,SUMIF('TL03'!$C$238:$C$451,$C427,'TL03'!$J$238:$J$451),0),
IF('TL04'!$B$3=K$3,SUMIF('TL04'!$C$10:$C$224,$C427,'TL04'!$J$10:$J$224),0),
IF('TL04'!$B$229=K$3,SUMIF('TL04'!$C$238:$C$451,$C427,'TL04'!$J$238:$J$451),0),
IF('TL05'!$B$3=K$3,SUMIF('TL05'!$C$10:$C$224,$C427,'TL05'!$J$10:$J$224),0),
IF('TL05'!$B$229=K$3,SUMIF('TL05'!$C$238:$C$451,$C427,'TL05'!$J$238:$J$451),0),
IF('TL06'!$B$3=K$3,SUMIF('TL06'!$C$10:$C$224,$C427,'TL06'!$J$10:$J$224),0),
IF('TL06'!$B$229=K$3,SUMIF('TL06'!$C$238:$C$451,$C427,'TL06'!$J$238:$J$451),0),
IF('TL07'!$B$3=K$3,SUMIF('TL07'!$C$10:$C$224,$C427,'TL07'!$J$10:$J$224),0),
IF('TL07'!$B$229=K$3,SUMIF('TL07'!$C$238:$C$451,$C427,'TL07'!$J$238:$J$451),0),
IF('TL08'!$B$3=K$3,SUMIF('TL08'!$C$10:$C$224,$C427,'TL08'!$J$10:$J$224),0),
IF('TL08'!$B$229=K$3,SUMIF('TL08'!$C$238:$C$451,$C427,'TL08'!$J$238:$J$451),0),
IF('TL09'!$B$3=K$3,SUMIF('TL09'!$C$10:$C$224,$C427,'TL09'!$J$10:$J$224),0),
IF('TL09'!$B$229=K$3,SUMIF('TL09'!$C$238:$C$451,$C427,'TL09'!$J$238:$J$451),0),
IF('TL10'!$B$3=K$3,SUMIF('TL10'!$C$10:$C$224,$C427,'TL10'!$J$10:$J$224),0),
IF('TL10'!$B$229=K$3,SUMIF('TL10'!$C$238:$C$451,$C427,'TL10'!$J$238:$J$451),0),
IF('TL11'!$B$3=K$3,SUMIF('TL11'!$C$10:$C$224,$C427,'TL11'!$J$10:$J$224),0),
IF('TL11'!$B$229=K$3,SUMIF('TL11'!$C$238:$C$451,$C427,'TL11'!$J$238:$J$451),0),
IF('TL12'!$B$3=K$3,SUMIF('TL12'!$C$10:$C$224,$C427,'TL12'!$J$10:$J$224),0),
IF('TL12'!$B$229=K$3,SUMIF('TL12'!$C$238:$C$451,$C427,'TL12'!$J$238:$J$451),0),
IF('TL13'!$B$3=K$3,SUMIF('TL13'!$C$10:$C$224,$C427,'TL13'!$J$10:$J$224),0),
IF('TL13'!$B$229=K$3,SUMIF('TL13'!$C$238:$C$451,$C427,'TL13'!$J$238:$J$451),0),
IF('TL14'!$B$3=K$3,SUMIF('TL14'!$C$10:$C$224,$C427,'TL14'!$J$10:$J$224),0),
IF('TL14'!$B$229=K$3,SUMIF('TL14'!$C$238:$C$451,$C427,'TL14'!$J$238:$J$451),0),
IF('TL15'!$B$3=K$3,SUMIF('TL15'!$C$10:$C$224,$C427,'TL15'!$J$10:$J$224),0),
IF('TL15'!$B$229=K$3,SUMIF('TL15'!$C$238:$C$451,$C427,'TL15'!$J$238:$J$451),0),
IF('TL16'!$B$3=K$3,SUMIF('TL16'!$C$10:$C$224,$C427,'TL16'!$J$10:$J$224),0),
IF('TL16'!$B$229=K$3,SUMIF('TL16'!$C$238:$C$451,$C427,'TL16'!$J$238:$J$451),0),
IF('TL17'!$B$3=K$3,SUMIF('TL17'!$C$10:$C$224,$C427,'TL17'!$J$10:$J$224),0),
IF('TL17'!$B$229=K$3,SUMIF('TL17'!$C$238:$C$451,$C427,'TL17'!$J$238:$J$451),0),
IF('TL18'!$B$3=K$3,SUMIF('TL18'!$C$10:$C$224,$C427,'TL18'!$J$10:$J$224),0),
IF('TL18'!$B$229=K$3,SUMIF('TL18'!$C$238:$C$451,$C427,'TL18'!$J$238:$J$451),0),
IF('TL19'!$B$3=K$3,SUMIF('TL19'!$C$10:$C$224,$C427,'TL19'!$J$10:$J$224),0),
IF('TL19'!$B$229=K$3,SUMIF('TL19'!$C$238:$C$451,$C427,'TL19'!$J$238:$J$451),0)
),0)</f>
        <v>0</v>
      </c>
      <c r="L427" s="138">
        <f>IFERROR(SUM(
IF('TL01'!$B$3=L$3,SUMIF('TL01'!$C$10:$C$224,$C427,'TL01'!$J$10:$J$224),0),
IF('TL01'!$B$229=L$3,SUMIF('TL01'!$C$238:$C$451,$C427,'TL01'!$J$238:$J$451),0),
IF('TL02'!$B$3=L$3,SUMIF('TL02'!$C$10:$C$224,$C427,'TL02'!$J$10:$J$224),0),
IF('TL02'!$B$229=L$3,SUMIF('TL02'!$C$238:$C$451,$C427,'TL02'!$J$238:$J$451),0),
IF('TL03'!$B$3=L$3,SUMIF('TL03'!$C$10:$C$224,$C427,'TL03'!$J$10:$J$224),0),
IF('TL03'!$B$229=L$3,SUMIF('TL03'!$C$238:$C$451,$C427,'TL03'!$J$238:$J$451),0),
IF('TL04'!$B$3=L$3,SUMIF('TL04'!$C$10:$C$224,$C427,'TL04'!$J$10:$J$224),0),
IF('TL04'!$B$229=L$3,SUMIF('TL04'!$C$238:$C$451,$C427,'TL04'!$J$238:$J$451),0),
IF('TL05'!$B$3=L$3,SUMIF('TL05'!$C$10:$C$224,$C427,'TL05'!$J$10:$J$224),0),
IF('TL05'!$B$229=L$3,SUMIF('TL05'!$C$238:$C$451,$C427,'TL05'!$J$238:$J$451),0),
IF('TL06'!$B$3=L$3,SUMIF('TL06'!$C$10:$C$224,$C427,'TL06'!$J$10:$J$224),0),
IF('TL06'!$B$229=L$3,SUMIF('TL06'!$C$238:$C$451,$C427,'TL06'!$J$238:$J$451),0),
IF('TL07'!$B$3=L$3,SUMIF('TL07'!$C$10:$C$224,$C427,'TL07'!$J$10:$J$224),0),
IF('TL07'!$B$229=L$3,SUMIF('TL07'!$C$238:$C$451,$C427,'TL07'!$J$238:$J$451),0),
IF('TL08'!$B$3=L$3,SUMIF('TL08'!$C$10:$C$224,$C427,'TL08'!$J$10:$J$224),0),
IF('TL08'!$B$229=L$3,SUMIF('TL08'!$C$238:$C$451,$C427,'TL08'!$J$238:$J$451),0),
IF('TL09'!$B$3=L$3,SUMIF('TL09'!$C$10:$C$224,$C427,'TL09'!$J$10:$J$224),0),
IF('TL09'!$B$229=L$3,SUMIF('TL09'!$C$238:$C$451,$C427,'TL09'!$J$238:$J$451),0),
IF('TL10'!$B$3=L$3,SUMIF('TL10'!$C$10:$C$224,$C427,'TL10'!$J$10:$J$224),0),
IF('TL10'!$B$229=L$3,SUMIF('TL10'!$C$238:$C$451,$C427,'TL10'!$J$238:$J$451),0),
IF('TL11'!$B$3=L$3,SUMIF('TL11'!$C$10:$C$224,$C427,'TL11'!$J$10:$J$224),0),
IF('TL11'!$B$229=L$3,SUMIF('TL11'!$C$238:$C$451,$C427,'TL11'!$J$238:$J$451),0),
IF('TL12'!$B$3=L$3,SUMIF('TL12'!$C$10:$C$224,$C427,'TL12'!$J$10:$J$224),0),
IF('TL12'!$B$229=L$3,SUMIF('TL12'!$C$238:$C$451,$C427,'TL12'!$J$238:$J$451),0),
IF('TL13'!$B$3=L$3,SUMIF('TL13'!$C$10:$C$224,$C427,'TL13'!$J$10:$J$224),0),
IF('TL13'!$B$229=L$3,SUMIF('TL13'!$C$238:$C$451,$C427,'TL13'!$J$238:$J$451),0),
IF('TL14'!$B$3=L$3,SUMIF('TL14'!$C$10:$C$224,$C427,'TL14'!$J$10:$J$224),0),
IF('TL14'!$B$229=L$3,SUMIF('TL14'!$C$238:$C$451,$C427,'TL14'!$J$238:$J$451),0),
IF('TL15'!$B$3=L$3,SUMIF('TL15'!$C$10:$C$224,$C427,'TL15'!$J$10:$J$224),0),
IF('TL15'!$B$229=L$3,SUMIF('TL15'!$C$238:$C$451,$C427,'TL15'!$J$238:$J$451),0),
IF('TL16'!$B$3=L$3,SUMIF('TL16'!$C$10:$C$224,$C427,'TL16'!$J$10:$J$224),0),
IF('TL16'!$B$229=L$3,SUMIF('TL16'!$C$238:$C$451,$C427,'TL16'!$J$238:$J$451),0),
IF('TL17'!$B$3=L$3,SUMIF('TL17'!$C$10:$C$224,$C427,'TL17'!$J$10:$J$224),0),
IF('TL17'!$B$229=L$3,SUMIF('TL17'!$C$238:$C$451,$C427,'TL17'!$J$238:$J$451),0),
IF('TL18'!$B$3=L$3,SUMIF('TL18'!$C$10:$C$224,$C427,'TL18'!$J$10:$J$224),0),
IF('TL18'!$B$229=L$3,SUMIF('TL18'!$C$238:$C$451,$C427,'TL18'!$J$238:$J$451),0),
IF('TL19'!$B$3=L$3,SUMIF('TL19'!$C$10:$C$224,$C427,'TL19'!$J$10:$J$224),0),
IF('TL19'!$B$229=L$3,SUMIF('TL19'!$C$238:$C$451,$C427,'TL19'!$J$238:$J$451),0)
),0)</f>
        <v>0</v>
      </c>
      <c r="M427" s="138">
        <f>IFERROR(SUM(
IF('TL01'!$B$3=M$3,SUMIF('TL01'!$C$10:$C$224,$C427,'TL01'!$J$10:$J$224),0),
IF('TL01'!$B$229=M$3,SUMIF('TL01'!$C$238:$C$451,$C427,'TL01'!$J$238:$J$451),0),
IF('TL02'!$B$3=M$3,SUMIF('TL02'!$C$10:$C$224,$C427,'TL02'!$J$10:$J$224),0),
IF('TL02'!$B$229=M$3,SUMIF('TL02'!$C$238:$C$451,$C427,'TL02'!$J$238:$J$451),0),
IF('TL03'!$B$3=M$3,SUMIF('TL03'!$C$10:$C$224,$C427,'TL03'!$J$10:$J$224),0),
IF('TL03'!$B$229=M$3,SUMIF('TL03'!$C$238:$C$451,$C427,'TL03'!$J$238:$J$451),0),
IF('TL04'!$B$3=M$3,SUMIF('TL04'!$C$10:$C$224,$C427,'TL04'!$J$10:$J$224),0),
IF('TL04'!$B$229=M$3,SUMIF('TL04'!$C$238:$C$451,$C427,'TL04'!$J$238:$J$451),0),
IF('TL05'!$B$3=M$3,SUMIF('TL05'!$C$10:$C$224,$C427,'TL05'!$J$10:$J$224),0),
IF('TL05'!$B$229=M$3,SUMIF('TL05'!$C$238:$C$451,$C427,'TL05'!$J$238:$J$451),0),
IF('TL06'!$B$3=M$3,SUMIF('TL06'!$C$10:$C$224,$C427,'TL06'!$J$10:$J$224),0),
IF('TL06'!$B$229=M$3,SUMIF('TL06'!$C$238:$C$451,$C427,'TL06'!$J$238:$J$451),0),
IF('TL07'!$B$3=M$3,SUMIF('TL07'!$C$10:$C$224,$C427,'TL07'!$J$10:$J$224),0),
IF('TL07'!$B$229=M$3,SUMIF('TL07'!$C$238:$C$451,$C427,'TL07'!$J$238:$J$451),0),
IF('TL08'!$B$3=M$3,SUMIF('TL08'!$C$10:$C$224,$C427,'TL08'!$J$10:$J$224),0),
IF('TL08'!$B$229=M$3,SUMIF('TL08'!$C$238:$C$451,$C427,'TL08'!$J$238:$J$451),0),
IF('TL09'!$B$3=M$3,SUMIF('TL09'!$C$10:$C$224,$C427,'TL09'!$J$10:$J$224),0),
IF('TL09'!$B$229=M$3,SUMIF('TL09'!$C$238:$C$451,$C427,'TL09'!$J$238:$J$451),0),
IF('TL10'!$B$3=M$3,SUMIF('TL10'!$C$10:$C$224,$C427,'TL10'!$J$10:$J$224),0),
IF('TL10'!$B$229=M$3,SUMIF('TL10'!$C$238:$C$451,$C427,'TL10'!$J$238:$J$451),0),
IF('TL11'!$B$3=M$3,SUMIF('TL11'!$C$10:$C$224,$C427,'TL11'!$J$10:$J$224),0),
IF('TL11'!$B$229=M$3,SUMIF('TL11'!$C$238:$C$451,$C427,'TL11'!$J$238:$J$451),0),
IF('TL12'!$B$3=M$3,SUMIF('TL12'!$C$10:$C$224,$C427,'TL12'!$J$10:$J$224),0),
IF('TL12'!$B$229=M$3,SUMIF('TL12'!$C$238:$C$451,$C427,'TL12'!$J$238:$J$451),0),
IF('TL13'!$B$3=M$3,SUMIF('TL13'!$C$10:$C$224,$C427,'TL13'!$J$10:$J$224),0),
IF('TL13'!$B$229=M$3,SUMIF('TL13'!$C$238:$C$451,$C427,'TL13'!$J$238:$J$451),0),
IF('TL14'!$B$3=M$3,SUMIF('TL14'!$C$10:$C$224,$C427,'TL14'!$J$10:$J$224),0),
IF('TL14'!$B$229=M$3,SUMIF('TL14'!$C$238:$C$451,$C427,'TL14'!$J$238:$J$451),0),
IF('TL15'!$B$3=M$3,SUMIF('TL15'!$C$10:$C$224,$C427,'TL15'!$J$10:$J$224),0),
IF('TL15'!$B$229=M$3,SUMIF('TL15'!$C$238:$C$451,$C427,'TL15'!$J$238:$J$451),0),
IF('TL16'!$B$3=M$3,SUMIF('TL16'!$C$10:$C$224,$C427,'TL16'!$J$10:$J$224),0),
IF('TL16'!$B$229=M$3,SUMIF('TL16'!$C$238:$C$451,$C427,'TL16'!$J$238:$J$451),0),
IF('TL17'!$B$3=M$3,SUMIF('TL17'!$C$10:$C$224,$C427,'TL17'!$J$10:$J$224),0),
IF('TL17'!$B$229=M$3,SUMIF('TL17'!$C$238:$C$451,$C427,'TL17'!$J$238:$J$451),0),
IF('TL18'!$B$3=M$3,SUMIF('TL18'!$C$10:$C$224,$C427,'TL18'!$J$10:$J$224),0),
IF('TL18'!$B$229=M$3,SUMIF('TL18'!$C$238:$C$451,$C427,'TL18'!$J$238:$J$451),0),
IF('TL19'!$B$3=M$3,SUMIF('TL19'!$C$10:$C$224,$C427,'TL19'!$J$10:$J$224),0),
IF('TL19'!$B$229=M$3,SUMIF('TL19'!$C$238:$C$451,$C427,'TL19'!$J$238:$J$451),0)
),0)</f>
        <v>0</v>
      </c>
      <c r="N427" s="138">
        <f>IFERROR(SUM(
IF('TL01'!$B$3=N$3,SUMIF('TL01'!$C$10:$C$224,$C427,'TL01'!$J$10:$J$224),0),
IF('TL01'!$B$229=N$3,SUMIF('TL01'!$C$238:$C$451,$C427,'TL01'!$J$238:$J$451),0),
IF('TL02'!$B$3=N$3,SUMIF('TL02'!$C$10:$C$224,$C427,'TL02'!$J$10:$J$224),0),
IF('TL02'!$B$229=N$3,SUMIF('TL02'!$C$238:$C$451,$C427,'TL02'!$J$238:$J$451),0),
IF('TL03'!$B$3=N$3,SUMIF('TL03'!$C$10:$C$224,$C427,'TL03'!$J$10:$J$224),0),
IF('TL03'!$B$229=N$3,SUMIF('TL03'!$C$238:$C$451,$C427,'TL03'!$J$238:$J$451),0),
IF('TL04'!$B$3=N$3,SUMIF('TL04'!$C$10:$C$224,$C427,'TL04'!$J$10:$J$224),0),
IF('TL04'!$B$229=N$3,SUMIF('TL04'!$C$238:$C$451,$C427,'TL04'!$J$238:$J$451),0),
IF('TL05'!$B$3=N$3,SUMIF('TL05'!$C$10:$C$224,$C427,'TL05'!$J$10:$J$224),0),
IF('TL05'!$B$229=N$3,SUMIF('TL05'!$C$238:$C$451,$C427,'TL05'!$J$238:$J$451),0),
IF('TL06'!$B$3=N$3,SUMIF('TL06'!$C$10:$C$224,$C427,'TL06'!$J$10:$J$224),0),
IF('TL06'!$B$229=N$3,SUMIF('TL06'!$C$238:$C$451,$C427,'TL06'!$J$238:$J$451),0),
IF('TL07'!$B$3=N$3,SUMIF('TL07'!$C$10:$C$224,$C427,'TL07'!$J$10:$J$224),0),
IF('TL07'!$B$229=N$3,SUMIF('TL07'!$C$238:$C$451,$C427,'TL07'!$J$238:$J$451),0),
IF('TL08'!$B$3=N$3,SUMIF('TL08'!$C$10:$C$224,$C427,'TL08'!$J$10:$J$224),0),
IF('TL08'!$B$229=N$3,SUMIF('TL08'!$C$238:$C$451,$C427,'TL08'!$J$238:$J$451),0),
IF('TL09'!$B$3=N$3,SUMIF('TL09'!$C$10:$C$224,$C427,'TL09'!$J$10:$J$224),0),
IF('TL09'!$B$229=N$3,SUMIF('TL09'!$C$238:$C$451,$C427,'TL09'!$J$238:$J$451),0),
IF('TL10'!$B$3=N$3,SUMIF('TL10'!$C$10:$C$224,$C427,'TL10'!$J$10:$J$224),0),
IF('TL10'!$B$229=N$3,SUMIF('TL10'!$C$238:$C$451,$C427,'TL10'!$J$238:$J$451),0),
IF('TL11'!$B$3=N$3,SUMIF('TL11'!$C$10:$C$224,$C427,'TL11'!$J$10:$J$224),0),
IF('TL11'!$B$229=N$3,SUMIF('TL11'!$C$238:$C$451,$C427,'TL11'!$J$238:$J$451),0),
IF('TL12'!$B$3=N$3,SUMIF('TL12'!$C$10:$C$224,$C427,'TL12'!$J$10:$J$224),0),
IF('TL12'!$B$229=N$3,SUMIF('TL12'!$C$238:$C$451,$C427,'TL12'!$J$238:$J$451),0),
IF('TL13'!$B$3=N$3,SUMIF('TL13'!$C$10:$C$224,$C427,'TL13'!$J$10:$J$224),0),
IF('TL13'!$B$229=N$3,SUMIF('TL13'!$C$238:$C$451,$C427,'TL13'!$J$238:$J$451),0),
IF('TL14'!$B$3=N$3,SUMIF('TL14'!$C$10:$C$224,$C427,'TL14'!$J$10:$J$224),0),
IF('TL14'!$B$229=N$3,SUMIF('TL14'!$C$238:$C$451,$C427,'TL14'!$J$238:$J$451),0),
IF('TL15'!$B$3=N$3,SUMIF('TL15'!$C$10:$C$224,$C427,'TL15'!$J$10:$J$224),0),
IF('TL15'!$B$229=N$3,SUMIF('TL15'!$C$238:$C$451,$C427,'TL15'!$J$238:$J$451),0),
IF('TL16'!$B$3=N$3,SUMIF('TL16'!$C$10:$C$224,$C427,'TL16'!$J$10:$J$224),0),
IF('TL16'!$B$229=N$3,SUMIF('TL16'!$C$238:$C$451,$C427,'TL16'!$J$238:$J$451),0),
IF('TL17'!$B$3=N$3,SUMIF('TL17'!$C$10:$C$224,$C427,'TL17'!$J$10:$J$224),0),
IF('TL17'!$B$229=N$3,SUMIF('TL17'!$C$238:$C$451,$C427,'TL17'!$J$238:$J$451),0),
IF('TL18'!$B$3=N$3,SUMIF('TL18'!$C$10:$C$224,$C427,'TL18'!$J$10:$J$224),0),
IF('TL18'!$B$229=N$3,SUMIF('TL18'!$C$238:$C$451,$C427,'TL18'!$J$238:$J$451),0),
IF('TL19'!$B$3=N$3,SUMIF('TL19'!$C$10:$C$224,$C427,'TL19'!$J$10:$J$224),0),
IF('TL19'!$B$229=N$3,SUMIF('TL19'!$C$238:$C$451,$C427,'TL19'!$J$238:$J$451),0)
),0)</f>
        <v>0</v>
      </c>
      <c r="O427" s="138">
        <f>IFERROR(SUM(
IF('TL01'!$B$3=O$3,SUMIF('TL01'!$C$10:$C$224,$C427,'TL01'!$J$10:$J$224),0),
IF('TL01'!$B$229=O$3,SUMIF('TL01'!$C$238:$C$451,$C427,'TL01'!$J$238:$J$451),0),
IF('TL02'!$B$3=O$3,SUMIF('TL02'!$C$10:$C$224,$C427,'TL02'!$J$10:$J$224),0),
IF('TL02'!$B$229=O$3,SUMIF('TL02'!$C$238:$C$451,$C427,'TL02'!$J$238:$J$451),0),
IF('TL03'!$B$3=O$3,SUMIF('TL03'!$C$10:$C$224,$C427,'TL03'!$J$10:$J$224),0),
IF('TL03'!$B$229=O$3,SUMIF('TL03'!$C$238:$C$451,$C427,'TL03'!$J$238:$J$451),0),
IF('TL04'!$B$3=O$3,SUMIF('TL04'!$C$10:$C$224,$C427,'TL04'!$J$10:$J$224),0),
IF('TL04'!$B$229=O$3,SUMIF('TL04'!$C$238:$C$451,$C427,'TL04'!$J$238:$J$451),0),
IF('TL05'!$B$3=O$3,SUMIF('TL05'!$C$10:$C$224,$C427,'TL05'!$J$10:$J$224),0),
IF('TL05'!$B$229=O$3,SUMIF('TL05'!$C$238:$C$451,$C427,'TL05'!$J$238:$J$451),0),
IF('TL06'!$B$3=O$3,SUMIF('TL06'!$C$10:$C$224,$C427,'TL06'!$J$10:$J$224),0),
IF('TL06'!$B$229=O$3,SUMIF('TL06'!$C$238:$C$451,$C427,'TL06'!$J$238:$J$451),0),
IF('TL07'!$B$3=O$3,SUMIF('TL07'!$C$10:$C$224,$C427,'TL07'!$J$10:$J$224),0),
IF('TL07'!$B$229=O$3,SUMIF('TL07'!$C$238:$C$451,$C427,'TL07'!$J$238:$J$451),0),
IF('TL08'!$B$3=O$3,SUMIF('TL08'!$C$10:$C$224,$C427,'TL08'!$J$10:$J$224),0),
IF('TL08'!$B$229=O$3,SUMIF('TL08'!$C$238:$C$451,$C427,'TL08'!$J$238:$J$451),0),
IF('TL09'!$B$3=O$3,SUMIF('TL09'!$C$10:$C$224,$C427,'TL09'!$J$10:$J$224),0),
IF('TL09'!$B$229=O$3,SUMIF('TL09'!$C$238:$C$451,$C427,'TL09'!$J$238:$J$451),0),
IF('TL10'!$B$3=O$3,SUMIF('TL10'!$C$10:$C$224,$C427,'TL10'!$J$10:$J$224),0),
IF('TL10'!$B$229=O$3,SUMIF('TL10'!$C$238:$C$451,$C427,'TL10'!$J$238:$J$451),0),
IF('TL11'!$B$3=O$3,SUMIF('TL11'!$C$10:$C$224,$C427,'TL11'!$J$10:$J$224),0),
IF('TL11'!$B$229=O$3,SUMIF('TL11'!$C$238:$C$451,$C427,'TL11'!$J$238:$J$451),0),
IF('TL12'!$B$3=O$3,SUMIF('TL12'!$C$10:$C$224,$C427,'TL12'!$J$10:$J$224),0),
IF('TL12'!$B$229=O$3,SUMIF('TL12'!$C$238:$C$451,$C427,'TL12'!$J$238:$J$451),0),
IF('TL13'!$B$3=O$3,SUMIF('TL13'!$C$10:$C$224,$C427,'TL13'!$J$10:$J$224),0),
IF('TL13'!$B$229=O$3,SUMIF('TL13'!$C$238:$C$451,$C427,'TL13'!$J$238:$J$451),0),
IF('TL14'!$B$3=O$3,SUMIF('TL14'!$C$10:$C$224,$C427,'TL14'!$J$10:$J$224),0),
IF('TL14'!$B$229=O$3,SUMIF('TL14'!$C$238:$C$451,$C427,'TL14'!$J$238:$J$451),0),
IF('TL15'!$B$3=O$3,SUMIF('TL15'!$C$10:$C$224,$C427,'TL15'!$J$10:$J$224),0),
IF('TL15'!$B$229=O$3,SUMIF('TL15'!$C$238:$C$451,$C427,'TL15'!$J$238:$J$451),0),
IF('TL16'!$B$3=O$3,SUMIF('TL16'!$C$10:$C$224,$C427,'TL16'!$J$10:$J$224),0),
IF('TL16'!$B$229=O$3,SUMIF('TL16'!$C$238:$C$451,$C427,'TL16'!$J$238:$J$451),0),
IF('TL17'!$B$3=O$3,SUMIF('TL17'!$C$10:$C$224,$C427,'TL17'!$J$10:$J$224),0),
IF('TL17'!$B$229=O$3,SUMIF('TL17'!$C$238:$C$451,$C427,'TL17'!$J$238:$J$451),0),
IF('TL18'!$B$3=O$3,SUMIF('TL18'!$C$10:$C$224,$C427,'TL18'!$J$10:$J$224),0),
IF('TL18'!$B$229=O$3,SUMIF('TL18'!$C$238:$C$451,$C427,'TL18'!$J$238:$J$451),0),
IF('TL19'!$B$3=O$3,SUMIF('TL19'!$C$10:$C$224,$C427,'TL19'!$J$10:$J$224),0),
IF('TL19'!$B$229=O$3,SUMIF('TL19'!$C$238:$C$451,$C427,'TL19'!$J$238:$J$451),0)
),0)</f>
        <v>0</v>
      </c>
      <c r="P427" s="138">
        <f>IFERROR(SUM(
IF('TL01'!$B$3=P$3,SUMIF('TL01'!$C$10:$C$224,$C427,'TL01'!$J$10:$J$224),0),
IF('TL01'!$B$229=P$3,SUMIF('TL01'!$C$238:$C$451,$C427,'TL01'!$J$238:$J$451),0),
IF('TL02'!$B$3=P$3,SUMIF('TL02'!$C$10:$C$224,$C427,'TL02'!$J$10:$J$224),0),
IF('TL02'!$B$229=P$3,SUMIF('TL02'!$C$238:$C$451,$C427,'TL02'!$J$238:$J$451),0),
IF('TL03'!$B$3=P$3,SUMIF('TL03'!$C$10:$C$224,$C427,'TL03'!$J$10:$J$224),0),
IF('TL03'!$B$229=P$3,SUMIF('TL03'!$C$238:$C$451,$C427,'TL03'!$J$238:$J$451),0),
IF('TL04'!$B$3=P$3,SUMIF('TL04'!$C$10:$C$224,$C427,'TL04'!$J$10:$J$224),0),
IF('TL04'!$B$229=P$3,SUMIF('TL04'!$C$238:$C$451,$C427,'TL04'!$J$238:$J$451),0),
IF('TL05'!$B$3=P$3,SUMIF('TL05'!$C$10:$C$224,$C427,'TL05'!$J$10:$J$224),0),
IF('TL05'!$B$229=P$3,SUMIF('TL05'!$C$238:$C$451,$C427,'TL05'!$J$238:$J$451),0),
IF('TL06'!$B$3=P$3,SUMIF('TL06'!$C$10:$C$224,$C427,'TL06'!$J$10:$J$224),0),
IF('TL06'!$B$229=P$3,SUMIF('TL06'!$C$238:$C$451,$C427,'TL06'!$J$238:$J$451),0),
IF('TL07'!$B$3=P$3,SUMIF('TL07'!$C$10:$C$224,$C427,'TL07'!$J$10:$J$224),0),
IF('TL07'!$B$229=P$3,SUMIF('TL07'!$C$238:$C$451,$C427,'TL07'!$J$238:$J$451),0),
IF('TL08'!$B$3=P$3,SUMIF('TL08'!$C$10:$C$224,$C427,'TL08'!$J$10:$J$224),0),
IF('TL08'!$B$229=P$3,SUMIF('TL08'!$C$238:$C$451,$C427,'TL08'!$J$238:$J$451),0),
IF('TL09'!$B$3=P$3,SUMIF('TL09'!$C$10:$C$224,$C427,'TL09'!$J$10:$J$224),0),
IF('TL09'!$B$229=P$3,SUMIF('TL09'!$C$238:$C$451,$C427,'TL09'!$J$238:$J$451),0),
IF('TL10'!$B$3=P$3,SUMIF('TL10'!$C$10:$C$224,$C427,'TL10'!$J$10:$J$224),0),
IF('TL10'!$B$229=P$3,SUMIF('TL10'!$C$238:$C$451,$C427,'TL10'!$J$238:$J$451),0),
IF('TL11'!$B$3=P$3,SUMIF('TL11'!$C$10:$C$224,$C427,'TL11'!$J$10:$J$224),0),
IF('TL11'!$B$229=P$3,SUMIF('TL11'!$C$238:$C$451,$C427,'TL11'!$J$238:$J$451),0),
IF('TL12'!$B$3=P$3,SUMIF('TL12'!$C$10:$C$224,$C427,'TL12'!$J$10:$J$224),0),
IF('TL12'!$B$229=P$3,SUMIF('TL12'!$C$238:$C$451,$C427,'TL12'!$J$238:$J$451),0),
IF('TL13'!$B$3=P$3,SUMIF('TL13'!$C$10:$C$224,$C427,'TL13'!$J$10:$J$224),0),
IF('TL13'!$B$229=P$3,SUMIF('TL13'!$C$238:$C$451,$C427,'TL13'!$J$238:$J$451),0),
IF('TL14'!$B$3=P$3,SUMIF('TL14'!$C$10:$C$224,$C427,'TL14'!$J$10:$J$224),0),
IF('TL14'!$B$229=P$3,SUMIF('TL14'!$C$238:$C$451,$C427,'TL14'!$J$238:$J$451),0),
IF('TL15'!$B$3=P$3,SUMIF('TL15'!$C$10:$C$224,$C427,'TL15'!$J$10:$J$224),0),
IF('TL15'!$B$229=P$3,SUMIF('TL15'!$C$238:$C$451,$C427,'TL15'!$J$238:$J$451),0),
IF('TL16'!$B$3=P$3,SUMIF('TL16'!$C$10:$C$224,$C427,'TL16'!$J$10:$J$224),0),
IF('TL16'!$B$229=P$3,SUMIF('TL16'!$C$238:$C$451,$C427,'TL16'!$J$238:$J$451),0),
IF('TL17'!$B$3=P$3,SUMIF('TL17'!$C$10:$C$224,$C427,'TL17'!$J$10:$J$224),0),
IF('TL17'!$B$229=P$3,SUMIF('TL17'!$C$238:$C$451,$C427,'TL17'!$J$238:$J$451),0),
IF('TL18'!$B$3=P$3,SUMIF('TL18'!$C$10:$C$224,$C427,'TL18'!$J$10:$J$224),0),
IF('TL18'!$B$229=P$3,SUMIF('TL18'!$C$238:$C$451,$C427,'TL18'!$J$238:$J$451),0),
IF('TL19'!$B$3=P$3,SUMIF('TL19'!$C$10:$C$224,$C427,'TL19'!$J$10:$J$224),0),
IF('TL19'!$B$229=P$3,SUMIF('TL19'!$C$238:$C$451,$C427,'TL19'!$J$238:$J$451),0)
),0)</f>
        <v>0</v>
      </c>
      <c r="Q427" s="138">
        <f>IFERROR(SUM(
IF('TL01'!$B$3=Q$3,SUMIF('TL01'!$C$10:$C$224,$C427,'TL01'!$J$10:$J$224),0),
IF('TL01'!$B$229=Q$3,SUMIF('TL01'!$C$238:$C$451,$C427,'TL01'!$J$238:$J$451),0),
IF('TL02'!$B$3=Q$3,SUMIF('TL02'!$C$10:$C$224,$C427,'TL02'!$J$10:$J$224),0),
IF('TL02'!$B$229=Q$3,SUMIF('TL02'!$C$238:$C$451,$C427,'TL02'!$J$238:$J$451),0),
IF('TL03'!$B$3=Q$3,SUMIF('TL03'!$C$10:$C$224,$C427,'TL03'!$J$10:$J$224),0),
IF('TL03'!$B$229=Q$3,SUMIF('TL03'!$C$238:$C$451,$C427,'TL03'!$J$238:$J$451),0),
IF('TL04'!$B$3=Q$3,SUMIF('TL04'!$C$10:$C$224,$C427,'TL04'!$J$10:$J$224),0),
IF('TL04'!$B$229=Q$3,SUMIF('TL04'!$C$238:$C$451,$C427,'TL04'!$J$238:$J$451),0),
IF('TL05'!$B$3=Q$3,SUMIF('TL05'!$C$10:$C$224,$C427,'TL05'!$J$10:$J$224),0),
IF('TL05'!$B$229=Q$3,SUMIF('TL05'!$C$238:$C$451,$C427,'TL05'!$J$238:$J$451),0),
IF('TL06'!$B$3=Q$3,SUMIF('TL06'!$C$10:$C$224,$C427,'TL06'!$J$10:$J$224),0),
IF('TL06'!$B$229=Q$3,SUMIF('TL06'!$C$238:$C$451,$C427,'TL06'!$J$238:$J$451),0),
IF('TL07'!$B$3=Q$3,SUMIF('TL07'!$C$10:$C$224,$C427,'TL07'!$J$10:$J$224),0),
IF('TL07'!$B$229=Q$3,SUMIF('TL07'!$C$238:$C$451,$C427,'TL07'!$J$238:$J$451),0),
IF('TL08'!$B$3=Q$3,SUMIF('TL08'!$C$10:$C$224,$C427,'TL08'!$J$10:$J$224),0),
IF('TL08'!$B$229=Q$3,SUMIF('TL08'!$C$238:$C$451,$C427,'TL08'!$J$238:$J$451),0),
IF('TL09'!$B$3=Q$3,SUMIF('TL09'!$C$10:$C$224,$C427,'TL09'!$J$10:$J$224),0),
IF('TL09'!$B$229=Q$3,SUMIF('TL09'!$C$238:$C$451,$C427,'TL09'!$J$238:$J$451),0),
IF('TL10'!$B$3=Q$3,SUMIF('TL10'!$C$10:$C$224,$C427,'TL10'!$J$10:$J$224),0),
IF('TL10'!$B$229=Q$3,SUMIF('TL10'!$C$238:$C$451,$C427,'TL10'!$J$238:$J$451),0),
IF('TL11'!$B$3=Q$3,SUMIF('TL11'!$C$10:$C$224,$C427,'TL11'!$J$10:$J$224),0),
IF('TL11'!$B$229=Q$3,SUMIF('TL11'!$C$238:$C$451,$C427,'TL11'!$J$238:$J$451),0),
IF('TL12'!$B$3=Q$3,SUMIF('TL12'!$C$10:$C$224,$C427,'TL12'!$J$10:$J$224),0),
IF('TL12'!$B$229=Q$3,SUMIF('TL12'!$C$238:$C$451,$C427,'TL12'!$J$238:$J$451),0),
IF('TL13'!$B$3=Q$3,SUMIF('TL13'!$C$10:$C$224,$C427,'TL13'!$J$10:$J$224),0),
IF('TL13'!$B$229=Q$3,SUMIF('TL13'!$C$238:$C$451,$C427,'TL13'!$J$238:$J$451),0),
IF('TL14'!$B$3=Q$3,SUMIF('TL14'!$C$10:$C$224,$C427,'TL14'!$J$10:$J$224),0),
IF('TL14'!$B$229=Q$3,SUMIF('TL14'!$C$238:$C$451,$C427,'TL14'!$J$238:$J$451),0),
IF('TL15'!$B$3=Q$3,SUMIF('TL15'!$C$10:$C$224,$C427,'TL15'!$J$10:$J$224),0),
IF('TL15'!$B$229=Q$3,SUMIF('TL15'!$C$238:$C$451,$C427,'TL15'!$J$238:$J$451),0),
IF('TL16'!$B$3=Q$3,SUMIF('TL16'!$C$10:$C$224,$C427,'TL16'!$J$10:$J$224),0),
IF('TL16'!$B$229=Q$3,SUMIF('TL16'!$C$238:$C$451,$C427,'TL16'!$J$238:$J$451),0),
IF('TL17'!$B$3=Q$3,SUMIF('TL17'!$C$10:$C$224,$C427,'TL17'!$J$10:$J$224),0),
IF('TL17'!$B$229=Q$3,SUMIF('TL17'!$C$238:$C$451,$C427,'TL17'!$J$238:$J$451),0),
IF('TL18'!$B$3=Q$3,SUMIF('TL18'!$C$10:$C$224,$C427,'TL18'!$J$10:$J$224),0),
IF('TL18'!$B$229=Q$3,SUMIF('TL18'!$C$238:$C$451,$C427,'TL18'!$J$238:$J$451),0),
IF('TL19'!$B$3=Q$3,SUMIF('TL19'!$C$10:$C$224,$C427,'TL19'!$J$10:$J$224),0),
IF('TL19'!$B$229=Q$3,SUMIF('TL19'!$C$238:$C$451,$C427,'TL19'!$J$238:$J$451),0)
),0)</f>
        <v>0</v>
      </c>
      <c r="R427" s="139">
        <f>IFERROR(
SUM(
SUMIF('TL01'!C:C,C427,'TL01'!J:J),
SUMIF('TL02'!C:C,C427,'TL02'!I:I),
SUMIF('TL03'!C:C,C427,'TL03'!I:I),
SUMIF('TL04'!C:C,C427,'TL04'!I:I),
SUMIF('TL05'!C:C,C427,'TL05'!I:I),
SUMIF('TL06'!C:C,C427,'TL06'!I:I),
SUMIF('TL07'!C:C,C427,'TL07'!I:I),
SUMIF('TL08'!C:C,C427,'TL08'!I:I),
SUMIF('TL09'!C:C,C427,'TL09'!I:I),
SUMIF('TL10'!C:C,C427,'TL10'!I:I),
SUMIF('TL11'!C:C,C427,'TL11'!I:I),
SUMIF('TL12'!C:C,C427,'TL12'!I:I),
SUMIF('TL13'!C:C,C427,'TL13'!I:I),
SUMIF('TL14'!C:C,C427,'TL14'!I:I),
SUMIF('TL15'!C:C,C427,'TL15'!I:I),
SUMIF('TL16'!C:C,C427,'TL16'!I:I),
SUMIF('TL17'!C:C,C427,'TL17'!I:I),
SUMIF('TL18'!C:C,C427,'TL18'!I:I))
,0)</f>
        <v>0</v>
      </c>
      <c r="S427" s="142" t="str">
        <f>'CUSTO OPERAÇÃO'!M31</f>
        <v/>
      </c>
      <c r="T427" s="139"/>
      <c r="U427" s="143">
        <f t="shared" si="2"/>
        <v>0</v>
      </c>
      <c r="V427" s="144">
        <f t="shared" si="3"/>
        <v>0</v>
      </c>
    </row>
    <row r="428" ht="15.75" hidden="1" customHeight="1">
      <c r="A428" s="138"/>
      <c r="B428" s="155"/>
      <c r="C428" s="138"/>
      <c r="D428" s="138"/>
      <c r="E428" s="139"/>
      <c r="F428" s="138" t="s">
        <v>1133</v>
      </c>
      <c r="G428" s="139"/>
      <c r="H428" s="139" t="str">
        <f>'CUSTO OPERAÇÃO'!J32</f>
        <v/>
      </c>
      <c r="I428" s="156"/>
      <c r="J428" s="138">
        <f>IFERROR(SUM(
IF('TL01'!$B$3=J$3,SUMIF('TL01'!$C$10:$C$224,$C428,'TL01'!$J$10:$J$224),0),
IF('TL01'!$B$229=J$3,SUMIF('TL01'!$C$238:$C$451,$C428,'TL01'!$J$238:$J$451),0),
IF('TL02'!$B$3=J$3,SUMIF('TL02'!$C$10:$C$224,$C428,'TL02'!$J$10:$J$224),0),
IF('TL02'!$B$229=J$3,SUMIF('TL02'!$C$238:$C$451,$C428,'TL02'!$J$238:$J$451),0),
IF('TL03'!$B$3=J$3,SUMIF('TL03'!$C$10:$C$224,$C428,'TL03'!$J$10:$J$224),0),
IF('TL03'!$B$229=J$3,SUMIF('TL03'!$C$238:$C$451,$C428,'TL03'!$J$238:$J$451),0),
IF('TL04'!$B$3=J$3,SUMIF('TL04'!$C$10:$C$224,$C428,'TL04'!$J$10:$J$224),0),
IF('TL04'!$B$229=J$3,SUMIF('TL04'!$C$238:$C$451,$C428,'TL04'!$J$238:$J$451),0),
IF('TL05'!$B$3=J$3,SUMIF('TL05'!$C$10:$C$224,$C428,'TL05'!$J$10:$J$224),0),
IF('TL05'!$B$229=J$3,SUMIF('TL05'!$C$238:$C$451,$C428,'TL05'!$J$238:$J$451),0),
IF('TL06'!$B$3=J$3,SUMIF('TL06'!$C$10:$C$224,$C428,'TL06'!$J$10:$J$224),0),
IF('TL06'!$B$229=J$3,SUMIF('TL06'!$C$238:$C$451,$C428,'TL06'!$J$238:$J$451),0),
IF('TL07'!$B$3=J$3,SUMIF('TL07'!$C$10:$C$224,$C428,'TL07'!$J$10:$J$224),0),
IF('TL07'!$B$229=J$3,SUMIF('TL07'!$C$238:$C$451,$C428,'TL07'!$J$238:$J$451),0),
IF('TL08'!$B$3=J$3,SUMIF('TL08'!$C$10:$C$224,$C428,'TL08'!$J$10:$J$224),0),
IF('TL08'!$B$229=J$3,SUMIF('TL08'!$C$238:$C$451,$C428,'TL08'!$J$238:$J$451),0),
IF('TL09'!$B$3=J$3,SUMIF('TL09'!$C$10:$C$224,$C428,'TL09'!$J$10:$J$224),0),
IF('TL09'!$B$229=J$3,SUMIF('TL09'!$C$238:$C$451,$C428,'TL09'!$J$238:$J$451),0),
IF('TL10'!$B$3=J$3,SUMIF('TL10'!$C$10:$C$224,$C428,'TL10'!$J$10:$J$224),0),
IF('TL10'!$B$229=J$3,SUMIF('TL10'!$C$238:$C$451,$C428,'TL10'!$J$238:$J$451),0),
IF('TL11'!$B$3=J$3,SUMIF('TL11'!$C$10:$C$224,$C428,'TL11'!$J$10:$J$224),0),
IF('TL11'!$B$229=J$3,SUMIF('TL11'!$C$238:$C$451,$C428,'TL11'!$J$238:$J$451),0),
IF('TL12'!$B$3=J$3,SUMIF('TL12'!$C$10:$C$224,$C428,'TL12'!$J$10:$J$224),0),
IF('TL12'!$B$229=J$3,SUMIF('TL12'!$C$238:$C$451,$C428,'TL12'!$J$238:$J$451),0),
IF('TL13'!$B$3=J$3,SUMIF('TL13'!$C$10:$C$224,$C428,'TL13'!$J$10:$J$224),0),
IF('TL13'!$B$229=J$3,SUMIF('TL13'!$C$238:$C$451,$C428,'TL13'!$J$238:$J$451),0),
IF('TL14'!$B$3=J$3,SUMIF('TL14'!$C$10:$C$224,$C428,'TL14'!$J$10:$J$224),0),
IF('TL14'!$B$229=J$3,SUMIF('TL14'!$C$238:$C$451,$C428,'TL14'!$J$238:$J$451),0),
IF('TL15'!$B$3=J$3,SUMIF('TL15'!$C$10:$C$224,$C428,'TL15'!$J$10:$J$224),0),
IF('TL15'!$B$229=J$3,SUMIF('TL15'!$C$238:$C$451,$C428,'TL15'!$J$238:$J$451),0),
IF('TL16'!$B$3=J$3,SUMIF('TL16'!$C$10:$C$224,$C428,'TL16'!$J$10:$J$224),0),
IF('TL16'!$B$229=J$3,SUMIF('TL16'!$C$238:$C$451,$C428,'TL16'!$J$238:$J$451),0),
IF('TL17'!$B$3=J$3,SUMIF('TL17'!$C$10:$C$224,$C428,'TL17'!$J$10:$J$224),0),
IF('TL17'!$B$229=J$3,SUMIF('TL17'!$C$238:$C$451,$C428,'TL17'!$J$238:$J$451),0),
IF('TL18'!$B$3=J$3,SUMIF('TL18'!$C$10:$C$224,$C428,'TL18'!$J$10:$J$224),0),
IF('TL18'!$B$229=J$3,SUMIF('TL18'!$C$238:$C$451,$C428,'TL18'!$J$238:$J$451),0),
IF('TL19'!$B$3=J$3,SUMIF('TL19'!$C$10:$C$224,$C428,'TL19'!$J$10:$J$224),0),
IF('TL19'!$B$229=J$3,SUMIF('TL19'!$C$238:$C$451,$C428,'TL19'!$J$238:$J$451),0)
),0)</f>
        <v>0</v>
      </c>
      <c r="K428" s="138">
        <f>IFERROR(SUM(
IF('TL01'!$B$3=K$3,SUMIF('TL01'!$C$10:$C$224,$C428,'TL01'!$J$10:$J$224),0),
IF('TL01'!$B$229=K$3,SUMIF('TL01'!$C$238:$C$451,$C428,'TL01'!$J$238:$J$451),0),
IF('TL02'!$B$3=K$3,SUMIF('TL02'!$C$10:$C$224,$C428,'TL02'!$J$10:$J$224),0),
IF('TL02'!$B$229=K$3,SUMIF('TL02'!$C$238:$C$451,$C428,'TL02'!$J$238:$J$451),0),
IF('TL03'!$B$3=K$3,SUMIF('TL03'!$C$10:$C$224,$C428,'TL03'!$J$10:$J$224),0),
IF('TL03'!$B$229=K$3,SUMIF('TL03'!$C$238:$C$451,$C428,'TL03'!$J$238:$J$451),0),
IF('TL04'!$B$3=K$3,SUMIF('TL04'!$C$10:$C$224,$C428,'TL04'!$J$10:$J$224),0),
IF('TL04'!$B$229=K$3,SUMIF('TL04'!$C$238:$C$451,$C428,'TL04'!$J$238:$J$451),0),
IF('TL05'!$B$3=K$3,SUMIF('TL05'!$C$10:$C$224,$C428,'TL05'!$J$10:$J$224),0),
IF('TL05'!$B$229=K$3,SUMIF('TL05'!$C$238:$C$451,$C428,'TL05'!$J$238:$J$451),0),
IF('TL06'!$B$3=K$3,SUMIF('TL06'!$C$10:$C$224,$C428,'TL06'!$J$10:$J$224),0),
IF('TL06'!$B$229=K$3,SUMIF('TL06'!$C$238:$C$451,$C428,'TL06'!$J$238:$J$451),0),
IF('TL07'!$B$3=K$3,SUMIF('TL07'!$C$10:$C$224,$C428,'TL07'!$J$10:$J$224),0),
IF('TL07'!$B$229=K$3,SUMIF('TL07'!$C$238:$C$451,$C428,'TL07'!$J$238:$J$451),0),
IF('TL08'!$B$3=K$3,SUMIF('TL08'!$C$10:$C$224,$C428,'TL08'!$J$10:$J$224),0),
IF('TL08'!$B$229=K$3,SUMIF('TL08'!$C$238:$C$451,$C428,'TL08'!$J$238:$J$451),0),
IF('TL09'!$B$3=K$3,SUMIF('TL09'!$C$10:$C$224,$C428,'TL09'!$J$10:$J$224),0),
IF('TL09'!$B$229=K$3,SUMIF('TL09'!$C$238:$C$451,$C428,'TL09'!$J$238:$J$451),0),
IF('TL10'!$B$3=K$3,SUMIF('TL10'!$C$10:$C$224,$C428,'TL10'!$J$10:$J$224),0),
IF('TL10'!$B$229=K$3,SUMIF('TL10'!$C$238:$C$451,$C428,'TL10'!$J$238:$J$451),0),
IF('TL11'!$B$3=K$3,SUMIF('TL11'!$C$10:$C$224,$C428,'TL11'!$J$10:$J$224),0),
IF('TL11'!$B$229=K$3,SUMIF('TL11'!$C$238:$C$451,$C428,'TL11'!$J$238:$J$451),0),
IF('TL12'!$B$3=K$3,SUMIF('TL12'!$C$10:$C$224,$C428,'TL12'!$J$10:$J$224),0),
IF('TL12'!$B$229=K$3,SUMIF('TL12'!$C$238:$C$451,$C428,'TL12'!$J$238:$J$451),0),
IF('TL13'!$B$3=K$3,SUMIF('TL13'!$C$10:$C$224,$C428,'TL13'!$J$10:$J$224),0),
IF('TL13'!$B$229=K$3,SUMIF('TL13'!$C$238:$C$451,$C428,'TL13'!$J$238:$J$451),0),
IF('TL14'!$B$3=K$3,SUMIF('TL14'!$C$10:$C$224,$C428,'TL14'!$J$10:$J$224),0),
IF('TL14'!$B$229=K$3,SUMIF('TL14'!$C$238:$C$451,$C428,'TL14'!$J$238:$J$451),0),
IF('TL15'!$B$3=K$3,SUMIF('TL15'!$C$10:$C$224,$C428,'TL15'!$J$10:$J$224),0),
IF('TL15'!$B$229=K$3,SUMIF('TL15'!$C$238:$C$451,$C428,'TL15'!$J$238:$J$451),0),
IF('TL16'!$B$3=K$3,SUMIF('TL16'!$C$10:$C$224,$C428,'TL16'!$J$10:$J$224),0),
IF('TL16'!$B$229=K$3,SUMIF('TL16'!$C$238:$C$451,$C428,'TL16'!$J$238:$J$451),0),
IF('TL17'!$B$3=K$3,SUMIF('TL17'!$C$10:$C$224,$C428,'TL17'!$J$10:$J$224),0),
IF('TL17'!$B$229=K$3,SUMIF('TL17'!$C$238:$C$451,$C428,'TL17'!$J$238:$J$451),0),
IF('TL18'!$B$3=K$3,SUMIF('TL18'!$C$10:$C$224,$C428,'TL18'!$J$10:$J$224),0),
IF('TL18'!$B$229=K$3,SUMIF('TL18'!$C$238:$C$451,$C428,'TL18'!$J$238:$J$451),0),
IF('TL19'!$B$3=K$3,SUMIF('TL19'!$C$10:$C$224,$C428,'TL19'!$J$10:$J$224),0),
IF('TL19'!$B$229=K$3,SUMIF('TL19'!$C$238:$C$451,$C428,'TL19'!$J$238:$J$451),0)
),0)</f>
        <v>0</v>
      </c>
      <c r="L428" s="138">
        <f>IFERROR(SUM(
IF('TL01'!$B$3=L$3,SUMIF('TL01'!$C$10:$C$224,$C428,'TL01'!$J$10:$J$224),0),
IF('TL01'!$B$229=L$3,SUMIF('TL01'!$C$238:$C$451,$C428,'TL01'!$J$238:$J$451),0),
IF('TL02'!$B$3=L$3,SUMIF('TL02'!$C$10:$C$224,$C428,'TL02'!$J$10:$J$224),0),
IF('TL02'!$B$229=L$3,SUMIF('TL02'!$C$238:$C$451,$C428,'TL02'!$J$238:$J$451),0),
IF('TL03'!$B$3=L$3,SUMIF('TL03'!$C$10:$C$224,$C428,'TL03'!$J$10:$J$224),0),
IF('TL03'!$B$229=L$3,SUMIF('TL03'!$C$238:$C$451,$C428,'TL03'!$J$238:$J$451),0),
IF('TL04'!$B$3=L$3,SUMIF('TL04'!$C$10:$C$224,$C428,'TL04'!$J$10:$J$224),0),
IF('TL04'!$B$229=L$3,SUMIF('TL04'!$C$238:$C$451,$C428,'TL04'!$J$238:$J$451),0),
IF('TL05'!$B$3=L$3,SUMIF('TL05'!$C$10:$C$224,$C428,'TL05'!$J$10:$J$224),0),
IF('TL05'!$B$229=L$3,SUMIF('TL05'!$C$238:$C$451,$C428,'TL05'!$J$238:$J$451),0),
IF('TL06'!$B$3=L$3,SUMIF('TL06'!$C$10:$C$224,$C428,'TL06'!$J$10:$J$224),0),
IF('TL06'!$B$229=L$3,SUMIF('TL06'!$C$238:$C$451,$C428,'TL06'!$J$238:$J$451),0),
IF('TL07'!$B$3=L$3,SUMIF('TL07'!$C$10:$C$224,$C428,'TL07'!$J$10:$J$224),0),
IF('TL07'!$B$229=L$3,SUMIF('TL07'!$C$238:$C$451,$C428,'TL07'!$J$238:$J$451),0),
IF('TL08'!$B$3=L$3,SUMIF('TL08'!$C$10:$C$224,$C428,'TL08'!$J$10:$J$224),0),
IF('TL08'!$B$229=L$3,SUMIF('TL08'!$C$238:$C$451,$C428,'TL08'!$J$238:$J$451),0),
IF('TL09'!$B$3=L$3,SUMIF('TL09'!$C$10:$C$224,$C428,'TL09'!$J$10:$J$224),0),
IF('TL09'!$B$229=L$3,SUMIF('TL09'!$C$238:$C$451,$C428,'TL09'!$J$238:$J$451),0),
IF('TL10'!$B$3=L$3,SUMIF('TL10'!$C$10:$C$224,$C428,'TL10'!$J$10:$J$224),0),
IF('TL10'!$B$229=L$3,SUMIF('TL10'!$C$238:$C$451,$C428,'TL10'!$J$238:$J$451),0),
IF('TL11'!$B$3=L$3,SUMIF('TL11'!$C$10:$C$224,$C428,'TL11'!$J$10:$J$224),0),
IF('TL11'!$B$229=L$3,SUMIF('TL11'!$C$238:$C$451,$C428,'TL11'!$J$238:$J$451),0),
IF('TL12'!$B$3=L$3,SUMIF('TL12'!$C$10:$C$224,$C428,'TL12'!$J$10:$J$224),0),
IF('TL12'!$B$229=L$3,SUMIF('TL12'!$C$238:$C$451,$C428,'TL12'!$J$238:$J$451),0),
IF('TL13'!$B$3=L$3,SUMIF('TL13'!$C$10:$C$224,$C428,'TL13'!$J$10:$J$224),0),
IF('TL13'!$B$229=L$3,SUMIF('TL13'!$C$238:$C$451,$C428,'TL13'!$J$238:$J$451),0),
IF('TL14'!$B$3=L$3,SUMIF('TL14'!$C$10:$C$224,$C428,'TL14'!$J$10:$J$224),0),
IF('TL14'!$B$229=L$3,SUMIF('TL14'!$C$238:$C$451,$C428,'TL14'!$J$238:$J$451),0),
IF('TL15'!$B$3=L$3,SUMIF('TL15'!$C$10:$C$224,$C428,'TL15'!$J$10:$J$224),0),
IF('TL15'!$B$229=L$3,SUMIF('TL15'!$C$238:$C$451,$C428,'TL15'!$J$238:$J$451),0),
IF('TL16'!$B$3=L$3,SUMIF('TL16'!$C$10:$C$224,$C428,'TL16'!$J$10:$J$224),0),
IF('TL16'!$B$229=L$3,SUMIF('TL16'!$C$238:$C$451,$C428,'TL16'!$J$238:$J$451),0),
IF('TL17'!$B$3=L$3,SUMIF('TL17'!$C$10:$C$224,$C428,'TL17'!$J$10:$J$224),0),
IF('TL17'!$B$229=L$3,SUMIF('TL17'!$C$238:$C$451,$C428,'TL17'!$J$238:$J$451),0),
IF('TL18'!$B$3=L$3,SUMIF('TL18'!$C$10:$C$224,$C428,'TL18'!$J$10:$J$224),0),
IF('TL18'!$B$229=L$3,SUMIF('TL18'!$C$238:$C$451,$C428,'TL18'!$J$238:$J$451),0),
IF('TL19'!$B$3=L$3,SUMIF('TL19'!$C$10:$C$224,$C428,'TL19'!$J$10:$J$224),0),
IF('TL19'!$B$229=L$3,SUMIF('TL19'!$C$238:$C$451,$C428,'TL19'!$J$238:$J$451),0)
),0)</f>
        <v>0</v>
      </c>
      <c r="M428" s="138">
        <f>IFERROR(SUM(
IF('TL01'!$B$3=M$3,SUMIF('TL01'!$C$10:$C$224,$C428,'TL01'!$J$10:$J$224),0),
IF('TL01'!$B$229=M$3,SUMIF('TL01'!$C$238:$C$451,$C428,'TL01'!$J$238:$J$451),0),
IF('TL02'!$B$3=M$3,SUMIF('TL02'!$C$10:$C$224,$C428,'TL02'!$J$10:$J$224),0),
IF('TL02'!$B$229=M$3,SUMIF('TL02'!$C$238:$C$451,$C428,'TL02'!$J$238:$J$451),0),
IF('TL03'!$B$3=M$3,SUMIF('TL03'!$C$10:$C$224,$C428,'TL03'!$J$10:$J$224),0),
IF('TL03'!$B$229=M$3,SUMIF('TL03'!$C$238:$C$451,$C428,'TL03'!$J$238:$J$451),0),
IF('TL04'!$B$3=M$3,SUMIF('TL04'!$C$10:$C$224,$C428,'TL04'!$J$10:$J$224),0),
IF('TL04'!$B$229=M$3,SUMIF('TL04'!$C$238:$C$451,$C428,'TL04'!$J$238:$J$451),0),
IF('TL05'!$B$3=M$3,SUMIF('TL05'!$C$10:$C$224,$C428,'TL05'!$J$10:$J$224),0),
IF('TL05'!$B$229=M$3,SUMIF('TL05'!$C$238:$C$451,$C428,'TL05'!$J$238:$J$451),0),
IF('TL06'!$B$3=M$3,SUMIF('TL06'!$C$10:$C$224,$C428,'TL06'!$J$10:$J$224),0),
IF('TL06'!$B$229=M$3,SUMIF('TL06'!$C$238:$C$451,$C428,'TL06'!$J$238:$J$451),0),
IF('TL07'!$B$3=M$3,SUMIF('TL07'!$C$10:$C$224,$C428,'TL07'!$J$10:$J$224),0),
IF('TL07'!$B$229=M$3,SUMIF('TL07'!$C$238:$C$451,$C428,'TL07'!$J$238:$J$451),0),
IF('TL08'!$B$3=M$3,SUMIF('TL08'!$C$10:$C$224,$C428,'TL08'!$J$10:$J$224),0),
IF('TL08'!$B$229=M$3,SUMIF('TL08'!$C$238:$C$451,$C428,'TL08'!$J$238:$J$451),0),
IF('TL09'!$B$3=M$3,SUMIF('TL09'!$C$10:$C$224,$C428,'TL09'!$J$10:$J$224),0),
IF('TL09'!$B$229=M$3,SUMIF('TL09'!$C$238:$C$451,$C428,'TL09'!$J$238:$J$451),0),
IF('TL10'!$B$3=M$3,SUMIF('TL10'!$C$10:$C$224,$C428,'TL10'!$J$10:$J$224),0),
IF('TL10'!$B$229=M$3,SUMIF('TL10'!$C$238:$C$451,$C428,'TL10'!$J$238:$J$451),0),
IF('TL11'!$B$3=M$3,SUMIF('TL11'!$C$10:$C$224,$C428,'TL11'!$J$10:$J$224),0),
IF('TL11'!$B$229=M$3,SUMIF('TL11'!$C$238:$C$451,$C428,'TL11'!$J$238:$J$451),0),
IF('TL12'!$B$3=M$3,SUMIF('TL12'!$C$10:$C$224,$C428,'TL12'!$J$10:$J$224),0),
IF('TL12'!$B$229=M$3,SUMIF('TL12'!$C$238:$C$451,$C428,'TL12'!$J$238:$J$451),0),
IF('TL13'!$B$3=M$3,SUMIF('TL13'!$C$10:$C$224,$C428,'TL13'!$J$10:$J$224),0),
IF('TL13'!$B$229=M$3,SUMIF('TL13'!$C$238:$C$451,$C428,'TL13'!$J$238:$J$451),0),
IF('TL14'!$B$3=M$3,SUMIF('TL14'!$C$10:$C$224,$C428,'TL14'!$J$10:$J$224),0),
IF('TL14'!$B$229=M$3,SUMIF('TL14'!$C$238:$C$451,$C428,'TL14'!$J$238:$J$451),0),
IF('TL15'!$B$3=M$3,SUMIF('TL15'!$C$10:$C$224,$C428,'TL15'!$J$10:$J$224),0),
IF('TL15'!$B$229=M$3,SUMIF('TL15'!$C$238:$C$451,$C428,'TL15'!$J$238:$J$451),0),
IF('TL16'!$B$3=M$3,SUMIF('TL16'!$C$10:$C$224,$C428,'TL16'!$J$10:$J$224),0),
IF('TL16'!$B$229=M$3,SUMIF('TL16'!$C$238:$C$451,$C428,'TL16'!$J$238:$J$451),0),
IF('TL17'!$B$3=M$3,SUMIF('TL17'!$C$10:$C$224,$C428,'TL17'!$J$10:$J$224),0),
IF('TL17'!$B$229=M$3,SUMIF('TL17'!$C$238:$C$451,$C428,'TL17'!$J$238:$J$451),0),
IF('TL18'!$B$3=M$3,SUMIF('TL18'!$C$10:$C$224,$C428,'TL18'!$J$10:$J$224),0),
IF('TL18'!$B$229=M$3,SUMIF('TL18'!$C$238:$C$451,$C428,'TL18'!$J$238:$J$451),0),
IF('TL19'!$B$3=M$3,SUMIF('TL19'!$C$10:$C$224,$C428,'TL19'!$J$10:$J$224),0),
IF('TL19'!$B$229=M$3,SUMIF('TL19'!$C$238:$C$451,$C428,'TL19'!$J$238:$J$451),0)
),0)</f>
        <v>0</v>
      </c>
      <c r="N428" s="138">
        <f>IFERROR(SUM(
IF('TL01'!$B$3=N$3,SUMIF('TL01'!$C$10:$C$224,$C428,'TL01'!$J$10:$J$224),0),
IF('TL01'!$B$229=N$3,SUMIF('TL01'!$C$238:$C$451,$C428,'TL01'!$J$238:$J$451),0),
IF('TL02'!$B$3=N$3,SUMIF('TL02'!$C$10:$C$224,$C428,'TL02'!$J$10:$J$224),0),
IF('TL02'!$B$229=N$3,SUMIF('TL02'!$C$238:$C$451,$C428,'TL02'!$J$238:$J$451),0),
IF('TL03'!$B$3=N$3,SUMIF('TL03'!$C$10:$C$224,$C428,'TL03'!$J$10:$J$224),0),
IF('TL03'!$B$229=N$3,SUMIF('TL03'!$C$238:$C$451,$C428,'TL03'!$J$238:$J$451),0),
IF('TL04'!$B$3=N$3,SUMIF('TL04'!$C$10:$C$224,$C428,'TL04'!$J$10:$J$224),0),
IF('TL04'!$B$229=N$3,SUMIF('TL04'!$C$238:$C$451,$C428,'TL04'!$J$238:$J$451),0),
IF('TL05'!$B$3=N$3,SUMIF('TL05'!$C$10:$C$224,$C428,'TL05'!$J$10:$J$224),0),
IF('TL05'!$B$229=N$3,SUMIF('TL05'!$C$238:$C$451,$C428,'TL05'!$J$238:$J$451),0),
IF('TL06'!$B$3=N$3,SUMIF('TL06'!$C$10:$C$224,$C428,'TL06'!$J$10:$J$224),0),
IF('TL06'!$B$229=N$3,SUMIF('TL06'!$C$238:$C$451,$C428,'TL06'!$J$238:$J$451),0),
IF('TL07'!$B$3=N$3,SUMIF('TL07'!$C$10:$C$224,$C428,'TL07'!$J$10:$J$224),0),
IF('TL07'!$B$229=N$3,SUMIF('TL07'!$C$238:$C$451,$C428,'TL07'!$J$238:$J$451),0),
IF('TL08'!$B$3=N$3,SUMIF('TL08'!$C$10:$C$224,$C428,'TL08'!$J$10:$J$224),0),
IF('TL08'!$B$229=N$3,SUMIF('TL08'!$C$238:$C$451,$C428,'TL08'!$J$238:$J$451),0),
IF('TL09'!$B$3=N$3,SUMIF('TL09'!$C$10:$C$224,$C428,'TL09'!$J$10:$J$224),0),
IF('TL09'!$B$229=N$3,SUMIF('TL09'!$C$238:$C$451,$C428,'TL09'!$J$238:$J$451),0),
IF('TL10'!$B$3=N$3,SUMIF('TL10'!$C$10:$C$224,$C428,'TL10'!$J$10:$J$224),0),
IF('TL10'!$B$229=N$3,SUMIF('TL10'!$C$238:$C$451,$C428,'TL10'!$J$238:$J$451),0),
IF('TL11'!$B$3=N$3,SUMIF('TL11'!$C$10:$C$224,$C428,'TL11'!$J$10:$J$224),0),
IF('TL11'!$B$229=N$3,SUMIF('TL11'!$C$238:$C$451,$C428,'TL11'!$J$238:$J$451),0),
IF('TL12'!$B$3=N$3,SUMIF('TL12'!$C$10:$C$224,$C428,'TL12'!$J$10:$J$224),0),
IF('TL12'!$B$229=N$3,SUMIF('TL12'!$C$238:$C$451,$C428,'TL12'!$J$238:$J$451),0),
IF('TL13'!$B$3=N$3,SUMIF('TL13'!$C$10:$C$224,$C428,'TL13'!$J$10:$J$224),0),
IF('TL13'!$B$229=N$3,SUMIF('TL13'!$C$238:$C$451,$C428,'TL13'!$J$238:$J$451),0),
IF('TL14'!$B$3=N$3,SUMIF('TL14'!$C$10:$C$224,$C428,'TL14'!$J$10:$J$224),0),
IF('TL14'!$B$229=N$3,SUMIF('TL14'!$C$238:$C$451,$C428,'TL14'!$J$238:$J$451),0),
IF('TL15'!$B$3=N$3,SUMIF('TL15'!$C$10:$C$224,$C428,'TL15'!$J$10:$J$224),0),
IF('TL15'!$B$229=N$3,SUMIF('TL15'!$C$238:$C$451,$C428,'TL15'!$J$238:$J$451),0),
IF('TL16'!$B$3=N$3,SUMIF('TL16'!$C$10:$C$224,$C428,'TL16'!$J$10:$J$224),0),
IF('TL16'!$B$229=N$3,SUMIF('TL16'!$C$238:$C$451,$C428,'TL16'!$J$238:$J$451),0),
IF('TL17'!$B$3=N$3,SUMIF('TL17'!$C$10:$C$224,$C428,'TL17'!$J$10:$J$224),0),
IF('TL17'!$B$229=N$3,SUMIF('TL17'!$C$238:$C$451,$C428,'TL17'!$J$238:$J$451),0),
IF('TL18'!$B$3=N$3,SUMIF('TL18'!$C$10:$C$224,$C428,'TL18'!$J$10:$J$224),0),
IF('TL18'!$B$229=N$3,SUMIF('TL18'!$C$238:$C$451,$C428,'TL18'!$J$238:$J$451),0),
IF('TL19'!$B$3=N$3,SUMIF('TL19'!$C$10:$C$224,$C428,'TL19'!$J$10:$J$224),0),
IF('TL19'!$B$229=N$3,SUMIF('TL19'!$C$238:$C$451,$C428,'TL19'!$J$238:$J$451),0)
),0)</f>
        <v>0</v>
      </c>
      <c r="O428" s="138">
        <f>IFERROR(SUM(
IF('TL01'!$B$3=O$3,SUMIF('TL01'!$C$10:$C$224,$C428,'TL01'!$J$10:$J$224),0),
IF('TL01'!$B$229=O$3,SUMIF('TL01'!$C$238:$C$451,$C428,'TL01'!$J$238:$J$451),0),
IF('TL02'!$B$3=O$3,SUMIF('TL02'!$C$10:$C$224,$C428,'TL02'!$J$10:$J$224),0),
IF('TL02'!$B$229=O$3,SUMIF('TL02'!$C$238:$C$451,$C428,'TL02'!$J$238:$J$451),0),
IF('TL03'!$B$3=O$3,SUMIF('TL03'!$C$10:$C$224,$C428,'TL03'!$J$10:$J$224),0),
IF('TL03'!$B$229=O$3,SUMIF('TL03'!$C$238:$C$451,$C428,'TL03'!$J$238:$J$451),0),
IF('TL04'!$B$3=O$3,SUMIF('TL04'!$C$10:$C$224,$C428,'TL04'!$J$10:$J$224),0),
IF('TL04'!$B$229=O$3,SUMIF('TL04'!$C$238:$C$451,$C428,'TL04'!$J$238:$J$451),0),
IF('TL05'!$B$3=O$3,SUMIF('TL05'!$C$10:$C$224,$C428,'TL05'!$J$10:$J$224),0),
IF('TL05'!$B$229=O$3,SUMIF('TL05'!$C$238:$C$451,$C428,'TL05'!$J$238:$J$451),0),
IF('TL06'!$B$3=O$3,SUMIF('TL06'!$C$10:$C$224,$C428,'TL06'!$J$10:$J$224),0),
IF('TL06'!$B$229=O$3,SUMIF('TL06'!$C$238:$C$451,$C428,'TL06'!$J$238:$J$451),0),
IF('TL07'!$B$3=O$3,SUMIF('TL07'!$C$10:$C$224,$C428,'TL07'!$J$10:$J$224),0),
IF('TL07'!$B$229=O$3,SUMIF('TL07'!$C$238:$C$451,$C428,'TL07'!$J$238:$J$451),0),
IF('TL08'!$B$3=O$3,SUMIF('TL08'!$C$10:$C$224,$C428,'TL08'!$J$10:$J$224),0),
IF('TL08'!$B$229=O$3,SUMIF('TL08'!$C$238:$C$451,$C428,'TL08'!$J$238:$J$451),0),
IF('TL09'!$B$3=O$3,SUMIF('TL09'!$C$10:$C$224,$C428,'TL09'!$J$10:$J$224),0),
IF('TL09'!$B$229=O$3,SUMIF('TL09'!$C$238:$C$451,$C428,'TL09'!$J$238:$J$451),0),
IF('TL10'!$B$3=O$3,SUMIF('TL10'!$C$10:$C$224,$C428,'TL10'!$J$10:$J$224),0),
IF('TL10'!$B$229=O$3,SUMIF('TL10'!$C$238:$C$451,$C428,'TL10'!$J$238:$J$451),0),
IF('TL11'!$B$3=O$3,SUMIF('TL11'!$C$10:$C$224,$C428,'TL11'!$J$10:$J$224),0),
IF('TL11'!$B$229=O$3,SUMIF('TL11'!$C$238:$C$451,$C428,'TL11'!$J$238:$J$451),0),
IF('TL12'!$B$3=O$3,SUMIF('TL12'!$C$10:$C$224,$C428,'TL12'!$J$10:$J$224),0),
IF('TL12'!$B$229=O$3,SUMIF('TL12'!$C$238:$C$451,$C428,'TL12'!$J$238:$J$451),0),
IF('TL13'!$B$3=O$3,SUMIF('TL13'!$C$10:$C$224,$C428,'TL13'!$J$10:$J$224),0),
IF('TL13'!$B$229=O$3,SUMIF('TL13'!$C$238:$C$451,$C428,'TL13'!$J$238:$J$451),0),
IF('TL14'!$B$3=O$3,SUMIF('TL14'!$C$10:$C$224,$C428,'TL14'!$J$10:$J$224),0),
IF('TL14'!$B$229=O$3,SUMIF('TL14'!$C$238:$C$451,$C428,'TL14'!$J$238:$J$451),0),
IF('TL15'!$B$3=O$3,SUMIF('TL15'!$C$10:$C$224,$C428,'TL15'!$J$10:$J$224),0),
IF('TL15'!$B$229=O$3,SUMIF('TL15'!$C$238:$C$451,$C428,'TL15'!$J$238:$J$451),0),
IF('TL16'!$B$3=O$3,SUMIF('TL16'!$C$10:$C$224,$C428,'TL16'!$J$10:$J$224),0),
IF('TL16'!$B$229=O$3,SUMIF('TL16'!$C$238:$C$451,$C428,'TL16'!$J$238:$J$451),0),
IF('TL17'!$B$3=O$3,SUMIF('TL17'!$C$10:$C$224,$C428,'TL17'!$J$10:$J$224),0),
IF('TL17'!$B$229=O$3,SUMIF('TL17'!$C$238:$C$451,$C428,'TL17'!$J$238:$J$451),0),
IF('TL18'!$B$3=O$3,SUMIF('TL18'!$C$10:$C$224,$C428,'TL18'!$J$10:$J$224),0),
IF('TL18'!$B$229=O$3,SUMIF('TL18'!$C$238:$C$451,$C428,'TL18'!$J$238:$J$451),0),
IF('TL19'!$B$3=O$3,SUMIF('TL19'!$C$10:$C$224,$C428,'TL19'!$J$10:$J$224),0),
IF('TL19'!$B$229=O$3,SUMIF('TL19'!$C$238:$C$451,$C428,'TL19'!$J$238:$J$451),0)
),0)</f>
        <v>0</v>
      </c>
      <c r="P428" s="138">
        <f>IFERROR(SUM(
IF('TL01'!$B$3=P$3,SUMIF('TL01'!$C$10:$C$224,$C428,'TL01'!$J$10:$J$224),0),
IF('TL01'!$B$229=P$3,SUMIF('TL01'!$C$238:$C$451,$C428,'TL01'!$J$238:$J$451),0),
IF('TL02'!$B$3=P$3,SUMIF('TL02'!$C$10:$C$224,$C428,'TL02'!$J$10:$J$224),0),
IF('TL02'!$B$229=P$3,SUMIF('TL02'!$C$238:$C$451,$C428,'TL02'!$J$238:$J$451),0),
IF('TL03'!$B$3=P$3,SUMIF('TL03'!$C$10:$C$224,$C428,'TL03'!$J$10:$J$224),0),
IF('TL03'!$B$229=P$3,SUMIF('TL03'!$C$238:$C$451,$C428,'TL03'!$J$238:$J$451),0),
IF('TL04'!$B$3=P$3,SUMIF('TL04'!$C$10:$C$224,$C428,'TL04'!$J$10:$J$224),0),
IF('TL04'!$B$229=P$3,SUMIF('TL04'!$C$238:$C$451,$C428,'TL04'!$J$238:$J$451),0),
IF('TL05'!$B$3=P$3,SUMIF('TL05'!$C$10:$C$224,$C428,'TL05'!$J$10:$J$224),0),
IF('TL05'!$B$229=P$3,SUMIF('TL05'!$C$238:$C$451,$C428,'TL05'!$J$238:$J$451),0),
IF('TL06'!$B$3=P$3,SUMIF('TL06'!$C$10:$C$224,$C428,'TL06'!$J$10:$J$224),0),
IF('TL06'!$B$229=P$3,SUMIF('TL06'!$C$238:$C$451,$C428,'TL06'!$J$238:$J$451),0),
IF('TL07'!$B$3=P$3,SUMIF('TL07'!$C$10:$C$224,$C428,'TL07'!$J$10:$J$224),0),
IF('TL07'!$B$229=P$3,SUMIF('TL07'!$C$238:$C$451,$C428,'TL07'!$J$238:$J$451),0),
IF('TL08'!$B$3=P$3,SUMIF('TL08'!$C$10:$C$224,$C428,'TL08'!$J$10:$J$224),0),
IF('TL08'!$B$229=P$3,SUMIF('TL08'!$C$238:$C$451,$C428,'TL08'!$J$238:$J$451),0),
IF('TL09'!$B$3=P$3,SUMIF('TL09'!$C$10:$C$224,$C428,'TL09'!$J$10:$J$224),0),
IF('TL09'!$B$229=P$3,SUMIF('TL09'!$C$238:$C$451,$C428,'TL09'!$J$238:$J$451),0),
IF('TL10'!$B$3=P$3,SUMIF('TL10'!$C$10:$C$224,$C428,'TL10'!$J$10:$J$224),0),
IF('TL10'!$B$229=P$3,SUMIF('TL10'!$C$238:$C$451,$C428,'TL10'!$J$238:$J$451),0),
IF('TL11'!$B$3=P$3,SUMIF('TL11'!$C$10:$C$224,$C428,'TL11'!$J$10:$J$224),0),
IF('TL11'!$B$229=P$3,SUMIF('TL11'!$C$238:$C$451,$C428,'TL11'!$J$238:$J$451),0),
IF('TL12'!$B$3=P$3,SUMIF('TL12'!$C$10:$C$224,$C428,'TL12'!$J$10:$J$224),0),
IF('TL12'!$B$229=P$3,SUMIF('TL12'!$C$238:$C$451,$C428,'TL12'!$J$238:$J$451),0),
IF('TL13'!$B$3=P$3,SUMIF('TL13'!$C$10:$C$224,$C428,'TL13'!$J$10:$J$224),0),
IF('TL13'!$B$229=P$3,SUMIF('TL13'!$C$238:$C$451,$C428,'TL13'!$J$238:$J$451),0),
IF('TL14'!$B$3=P$3,SUMIF('TL14'!$C$10:$C$224,$C428,'TL14'!$J$10:$J$224),0),
IF('TL14'!$B$229=P$3,SUMIF('TL14'!$C$238:$C$451,$C428,'TL14'!$J$238:$J$451),0),
IF('TL15'!$B$3=P$3,SUMIF('TL15'!$C$10:$C$224,$C428,'TL15'!$J$10:$J$224),0),
IF('TL15'!$B$229=P$3,SUMIF('TL15'!$C$238:$C$451,$C428,'TL15'!$J$238:$J$451),0),
IF('TL16'!$B$3=P$3,SUMIF('TL16'!$C$10:$C$224,$C428,'TL16'!$J$10:$J$224),0),
IF('TL16'!$B$229=P$3,SUMIF('TL16'!$C$238:$C$451,$C428,'TL16'!$J$238:$J$451),0),
IF('TL17'!$B$3=P$3,SUMIF('TL17'!$C$10:$C$224,$C428,'TL17'!$J$10:$J$224),0),
IF('TL17'!$B$229=P$3,SUMIF('TL17'!$C$238:$C$451,$C428,'TL17'!$J$238:$J$451),0),
IF('TL18'!$B$3=P$3,SUMIF('TL18'!$C$10:$C$224,$C428,'TL18'!$J$10:$J$224),0),
IF('TL18'!$B$229=P$3,SUMIF('TL18'!$C$238:$C$451,$C428,'TL18'!$J$238:$J$451),0),
IF('TL19'!$B$3=P$3,SUMIF('TL19'!$C$10:$C$224,$C428,'TL19'!$J$10:$J$224),0),
IF('TL19'!$B$229=P$3,SUMIF('TL19'!$C$238:$C$451,$C428,'TL19'!$J$238:$J$451),0)
),0)</f>
        <v>0</v>
      </c>
      <c r="Q428" s="138">
        <f>IFERROR(SUM(
IF('TL01'!$B$3=Q$3,SUMIF('TL01'!$C$10:$C$224,$C428,'TL01'!$J$10:$J$224),0),
IF('TL01'!$B$229=Q$3,SUMIF('TL01'!$C$238:$C$451,$C428,'TL01'!$J$238:$J$451),0),
IF('TL02'!$B$3=Q$3,SUMIF('TL02'!$C$10:$C$224,$C428,'TL02'!$J$10:$J$224),0),
IF('TL02'!$B$229=Q$3,SUMIF('TL02'!$C$238:$C$451,$C428,'TL02'!$J$238:$J$451),0),
IF('TL03'!$B$3=Q$3,SUMIF('TL03'!$C$10:$C$224,$C428,'TL03'!$J$10:$J$224),0),
IF('TL03'!$B$229=Q$3,SUMIF('TL03'!$C$238:$C$451,$C428,'TL03'!$J$238:$J$451),0),
IF('TL04'!$B$3=Q$3,SUMIF('TL04'!$C$10:$C$224,$C428,'TL04'!$J$10:$J$224),0),
IF('TL04'!$B$229=Q$3,SUMIF('TL04'!$C$238:$C$451,$C428,'TL04'!$J$238:$J$451),0),
IF('TL05'!$B$3=Q$3,SUMIF('TL05'!$C$10:$C$224,$C428,'TL05'!$J$10:$J$224),0),
IF('TL05'!$B$229=Q$3,SUMIF('TL05'!$C$238:$C$451,$C428,'TL05'!$J$238:$J$451),0),
IF('TL06'!$B$3=Q$3,SUMIF('TL06'!$C$10:$C$224,$C428,'TL06'!$J$10:$J$224),0),
IF('TL06'!$B$229=Q$3,SUMIF('TL06'!$C$238:$C$451,$C428,'TL06'!$J$238:$J$451),0),
IF('TL07'!$B$3=Q$3,SUMIF('TL07'!$C$10:$C$224,$C428,'TL07'!$J$10:$J$224),0),
IF('TL07'!$B$229=Q$3,SUMIF('TL07'!$C$238:$C$451,$C428,'TL07'!$J$238:$J$451),0),
IF('TL08'!$B$3=Q$3,SUMIF('TL08'!$C$10:$C$224,$C428,'TL08'!$J$10:$J$224),0),
IF('TL08'!$B$229=Q$3,SUMIF('TL08'!$C$238:$C$451,$C428,'TL08'!$J$238:$J$451),0),
IF('TL09'!$B$3=Q$3,SUMIF('TL09'!$C$10:$C$224,$C428,'TL09'!$J$10:$J$224),0),
IF('TL09'!$B$229=Q$3,SUMIF('TL09'!$C$238:$C$451,$C428,'TL09'!$J$238:$J$451),0),
IF('TL10'!$B$3=Q$3,SUMIF('TL10'!$C$10:$C$224,$C428,'TL10'!$J$10:$J$224),0),
IF('TL10'!$B$229=Q$3,SUMIF('TL10'!$C$238:$C$451,$C428,'TL10'!$J$238:$J$451),0),
IF('TL11'!$B$3=Q$3,SUMIF('TL11'!$C$10:$C$224,$C428,'TL11'!$J$10:$J$224),0),
IF('TL11'!$B$229=Q$3,SUMIF('TL11'!$C$238:$C$451,$C428,'TL11'!$J$238:$J$451),0),
IF('TL12'!$B$3=Q$3,SUMIF('TL12'!$C$10:$C$224,$C428,'TL12'!$J$10:$J$224),0),
IF('TL12'!$B$229=Q$3,SUMIF('TL12'!$C$238:$C$451,$C428,'TL12'!$J$238:$J$451),0),
IF('TL13'!$B$3=Q$3,SUMIF('TL13'!$C$10:$C$224,$C428,'TL13'!$J$10:$J$224),0),
IF('TL13'!$B$229=Q$3,SUMIF('TL13'!$C$238:$C$451,$C428,'TL13'!$J$238:$J$451),0),
IF('TL14'!$B$3=Q$3,SUMIF('TL14'!$C$10:$C$224,$C428,'TL14'!$J$10:$J$224),0),
IF('TL14'!$B$229=Q$3,SUMIF('TL14'!$C$238:$C$451,$C428,'TL14'!$J$238:$J$451),0),
IF('TL15'!$B$3=Q$3,SUMIF('TL15'!$C$10:$C$224,$C428,'TL15'!$J$10:$J$224),0),
IF('TL15'!$B$229=Q$3,SUMIF('TL15'!$C$238:$C$451,$C428,'TL15'!$J$238:$J$451),0),
IF('TL16'!$B$3=Q$3,SUMIF('TL16'!$C$10:$C$224,$C428,'TL16'!$J$10:$J$224),0),
IF('TL16'!$B$229=Q$3,SUMIF('TL16'!$C$238:$C$451,$C428,'TL16'!$J$238:$J$451),0),
IF('TL17'!$B$3=Q$3,SUMIF('TL17'!$C$10:$C$224,$C428,'TL17'!$J$10:$J$224),0),
IF('TL17'!$B$229=Q$3,SUMIF('TL17'!$C$238:$C$451,$C428,'TL17'!$J$238:$J$451),0),
IF('TL18'!$B$3=Q$3,SUMIF('TL18'!$C$10:$C$224,$C428,'TL18'!$J$10:$J$224),0),
IF('TL18'!$B$229=Q$3,SUMIF('TL18'!$C$238:$C$451,$C428,'TL18'!$J$238:$J$451),0),
IF('TL19'!$B$3=Q$3,SUMIF('TL19'!$C$10:$C$224,$C428,'TL19'!$J$10:$J$224),0),
IF('TL19'!$B$229=Q$3,SUMIF('TL19'!$C$238:$C$451,$C428,'TL19'!$J$238:$J$451),0)
),0)</f>
        <v>0</v>
      </c>
      <c r="R428" s="139">
        <f>IFERROR(
SUM(
SUMIF('TL01'!C:C,C428,'TL01'!J:J),
SUMIF('TL02'!C:C,C428,'TL02'!I:I),
SUMIF('TL03'!C:C,C428,'TL03'!I:I),
SUMIF('TL04'!C:C,C428,'TL04'!I:I),
SUMIF('TL05'!C:C,C428,'TL05'!I:I),
SUMIF('TL06'!C:C,C428,'TL06'!I:I),
SUMIF('TL07'!C:C,C428,'TL07'!I:I),
SUMIF('TL08'!C:C,C428,'TL08'!I:I),
SUMIF('TL09'!C:C,C428,'TL09'!I:I),
SUMIF('TL10'!C:C,C428,'TL10'!I:I),
SUMIF('TL11'!C:C,C428,'TL11'!I:I),
SUMIF('TL12'!C:C,C428,'TL12'!I:I),
SUMIF('TL13'!C:C,C428,'TL13'!I:I),
SUMIF('TL14'!C:C,C428,'TL14'!I:I),
SUMIF('TL15'!C:C,C428,'TL15'!I:I),
SUMIF('TL16'!C:C,C428,'TL16'!I:I),
SUMIF('TL17'!C:C,C428,'TL17'!I:I),
SUMIF('TL18'!C:C,C428,'TL18'!I:I))
,0)</f>
        <v>0</v>
      </c>
      <c r="S428" s="142" t="str">
        <f>'CUSTO OPERAÇÃO'!M32</f>
        <v/>
      </c>
      <c r="T428" s="139"/>
      <c r="U428" s="143">
        <f t="shared" si="2"/>
        <v>0</v>
      </c>
      <c r="V428" s="144">
        <f t="shared" si="3"/>
        <v>0</v>
      </c>
    </row>
    <row r="429" ht="15.75" hidden="1" customHeight="1">
      <c r="A429" s="138"/>
      <c r="B429" s="155"/>
      <c r="C429" s="138"/>
      <c r="D429" s="138"/>
      <c r="E429" s="139"/>
      <c r="F429" s="138" t="s">
        <v>1133</v>
      </c>
      <c r="G429" s="139"/>
      <c r="H429" s="139" t="str">
        <f>'CUSTO OPERAÇÃO'!J33</f>
        <v/>
      </c>
      <c r="I429" s="156"/>
      <c r="J429" s="138">
        <f>IFERROR(SUM(
IF('TL01'!$B$3=J$3,SUMIF('TL01'!$C$10:$C$224,$C429,'TL01'!$J$10:$J$224),0),
IF('TL01'!$B$229=J$3,SUMIF('TL01'!$C$238:$C$451,$C429,'TL01'!$J$238:$J$451),0),
IF('TL02'!$B$3=J$3,SUMIF('TL02'!$C$10:$C$224,$C429,'TL02'!$J$10:$J$224),0),
IF('TL02'!$B$229=J$3,SUMIF('TL02'!$C$238:$C$451,$C429,'TL02'!$J$238:$J$451),0),
IF('TL03'!$B$3=J$3,SUMIF('TL03'!$C$10:$C$224,$C429,'TL03'!$J$10:$J$224),0),
IF('TL03'!$B$229=J$3,SUMIF('TL03'!$C$238:$C$451,$C429,'TL03'!$J$238:$J$451),0),
IF('TL04'!$B$3=J$3,SUMIF('TL04'!$C$10:$C$224,$C429,'TL04'!$J$10:$J$224),0),
IF('TL04'!$B$229=J$3,SUMIF('TL04'!$C$238:$C$451,$C429,'TL04'!$J$238:$J$451),0),
IF('TL05'!$B$3=J$3,SUMIF('TL05'!$C$10:$C$224,$C429,'TL05'!$J$10:$J$224),0),
IF('TL05'!$B$229=J$3,SUMIF('TL05'!$C$238:$C$451,$C429,'TL05'!$J$238:$J$451),0),
IF('TL06'!$B$3=J$3,SUMIF('TL06'!$C$10:$C$224,$C429,'TL06'!$J$10:$J$224),0),
IF('TL06'!$B$229=J$3,SUMIF('TL06'!$C$238:$C$451,$C429,'TL06'!$J$238:$J$451),0),
IF('TL07'!$B$3=J$3,SUMIF('TL07'!$C$10:$C$224,$C429,'TL07'!$J$10:$J$224),0),
IF('TL07'!$B$229=J$3,SUMIF('TL07'!$C$238:$C$451,$C429,'TL07'!$J$238:$J$451),0),
IF('TL08'!$B$3=J$3,SUMIF('TL08'!$C$10:$C$224,$C429,'TL08'!$J$10:$J$224),0),
IF('TL08'!$B$229=J$3,SUMIF('TL08'!$C$238:$C$451,$C429,'TL08'!$J$238:$J$451),0),
IF('TL09'!$B$3=J$3,SUMIF('TL09'!$C$10:$C$224,$C429,'TL09'!$J$10:$J$224),0),
IF('TL09'!$B$229=J$3,SUMIF('TL09'!$C$238:$C$451,$C429,'TL09'!$J$238:$J$451),0),
IF('TL10'!$B$3=J$3,SUMIF('TL10'!$C$10:$C$224,$C429,'TL10'!$J$10:$J$224),0),
IF('TL10'!$B$229=J$3,SUMIF('TL10'!$C$238:$C$451,$C429,'TL10'!$J$238:$J$451),0),
IF('TL11'!$B$3=J$3,SUMIF('TL11'!$C$10:$C$224,$C429,'TL11'!$J$10:$J$224),0),
IF('TL11'!$B$229=J$3,SUMIF('TL11'!$C$238:$C$451,$C429,'TL11'!$J$238:$J$451),0),
IF('TL12'!$B$3=J$3,SUMIF('TL12'!$C$10:$C$224,$C429,'TL12'!$J$10:$J$224),0),
IF('TL12'!$B$229=J$3,SUMIF('TL12'!$C$238:$C$451,$C429,'TL12'!$J$238:$J$451),0),
IF('TL13'!$B$3=J$3,SUMIF('TL13'!$C$10:$C$224,$C429,'TL13'!$J$10:$J$224),0),
IF('TL13'!$B$229=J$3,SUMIF('TL13'!$C$238:$C$451,$C429,'TL13'!$J$238:$J$451),0),
IF('TL14'!$B$3=J$3,SUMIF('TL14'!$C$10:$C$224,$C429,'TL14'!$J$10:$J$224),0),
IF('TL14'!$B$229=J$3,SUMIF('TL14'!$C$238:$C$451,$C429,'TL14'!$J$238:$J$451),0),
IF('TL15'!$B$3=J$3,SUMIF('TL15'!$C$10:$C$224,$C429,'TL15'!$J$10:$J$224),0),
IF('TL15'!$B$229=J$3,SUMIF('TL15'!$C$238:$C$451,$C429,'TL15'!$J$238:$J$451),0),
IF('TL16'!$B$3=J$3,SUMIF('TL16'!$C$10:$C$224,$C429,'TL16'!$J$10:$J$224),0),
IF('TL16'!$B$229=J$3,SUMIF('TL16'!$C$238:$C$451,$C429,'TL16'!$J$238:$J$451),0),
IF('TL17'!$B$3=J$3,SUMIF('TL17'!$C$10:$C$224,$C429,'TL17'!$J$10:$J$224),0),
IF('TL17'!$B$229=J$3,SUMIF('TL17'!$C$238:$C$451,$C429,'TL17'!$J$238:$J$451),0),
IF('TL18'!$B$3=J$3,SUMIF('TL18'!$C$10:$C$224,$C429,'TL18'!$J$10:$J$224),0),
IF('TL18'!$B$229=J$3,SUMIF('TL18'!$C$238:$C$451,$C429,'TL18'!$J$238:$J$451),0),
IF('TL19'!$B$3=J$3,SUMIF('TL19'!$C$10:$C$224,$C429,'TL19'!$J$10:$J$224),0),
IF('TL19'!$B$229=J$3,SUMIF('TL19'!$C$238:$C$451,$C429,'TL19'!$J$238:$J$451),0)
),0)</f>
        <v>0</v>
      </c>
      <c r="K429" s="138">
        <f>IFERROR(SUM(
IF('TL01'!$B$3=K$3,SUMIF('TL01'!$C$10:$C$224,$C429,'TL01'!$J$10:$J$224),0),
IF('TL01'!$B$229=K$3,SUMIF('TL01'!$C$238:$C$451,$C429,'TL01'!$J$238:$J$451),0),
IF('TL02'!$B$3=K$3,SUMIF('TL02'!$C$10:$C$224,$C429,'TL02'!$J$10:$J$224),0),
IF('TL02'!$B$229=K$3,SUMIF('TL02'!$C$238:$C$451,$C429,'TL02'!$J$238:$J$451),0),
IF('TL03'!$B$3=K$3,SUMIF('TL03'!$C$10:$C$224,$C429,'TL03'!$J$10:$J$224),0),
IF('TL03'!$B$229=K$3,SUMIF('TL03'!$C$238:$C$451,$C429,'TL03'!$J$238:$J$451),0),
IF('TL04'!$B$3=K$3,SUMIF('TL04'!$C$10:$C$224,$C429,'TL04'!$J$10:$J$224),0),
IF('TL04'!$B$229=K$3,SUMIF('TL04'!$C$238:$C$451,$C429,'TL04'!$J$238:$J$451),0),
IF('TL05'!$B$3=K$3,SUMIF('TL05'!$C$10:$C$224,$C429,'TL05'!$J$10:$J$224),0),
IF('TL05'!$B$229=K$3,SUMIF('TL05'!$C$238:$C$451,$C429,'TL05'!$J$238:$J$451),0),
IF('TL06'!$B$3=K$3,SUMIF('TL06'!$C$10:$C$224,$C429,'TL06'!$J$10:$J$224),0),
IF('TL06'!$B$229=K$3,SUMIF('TL06'!$C$238:$C$451,$C429,'TL06'!$J$238:$J$451),0),
IF('TL07'!$B$3=K$3,SUMIF('TL07'!$C$10:$C$224,$C429,'TL07'!$J$10:$J$224),0),
IF('TL07'!$B$229=K$3,SUMIF('TL07'!$C$238:$C$451,$C429,'TL07'!$J$238:$J$451),0),
IF('TL08'!$B$3=K$3,SUMIF('TL08'!$C$10:$C$224,$C429,'TL08'!$J$10:$J$224),0),
IF('TL08'!$B$229=K$3,SUMIF('TL08'!$C$238:$C$451,$C429,'TL08'!$J$238:$J$451),0),
IF('TL09'!$B$3=K$3,SUMIF('TL09'!$C$10:$C$224,$C429,'TL09'!$J$10:$J$224),0),
IF('TL09'!$B$229=K$3,SUMIF('TL09'!$C$238:$C$451,$C429,'TL09'!$J$238:$J$451),0),
IF('TL10'!$B$3=K$3,SUMIF('TL10'!$C$10:$C$224,$C429,'TL10'!$J$10:$J$224),0),
IF('TL10'!$B$229=K$3,SUMIF('TL10'!$C$238:$C$451,$C429,'TL10'!$J$238:$J$451),0),
IF('TL11'!$B$3=K$3,SUMIF('TL11'!$C$10:$C$224,$C429,'TL11'!$J$10:$J$224),0),
IF('TL11'!$B$229=K$3,SUMIF('TL11'!$C$238:$C$451,$C429,'TL11'!$J$238:$J$451),0),
IF('TL12'!$B$3=K$3,SUMIF('TL12'!$C$10:$C$224,$C429,'TL12'!$J$10:$J$224),0),
IF('TL12'!$B$229=K$3,SUMIF('TL12'!$C$238:$C$451,$C429,'TL12'!$J$238:$J$451),0),
IF('TL13'!$B$3=K$3,SUMIF('TL13'!$C$10:$C$224,$C429,'TL13'!$J$10:$J$224),0),
IF('TL13'!$B$229=K$3,SUMIF('TL13'!$C$238:$C$451,$C429,'TL13'!$J$238:$J$451),0),
IF('TL14'!$B$3=K$3,SUMIF('TL14'!$C$10:$C$224,$C429,'TL14'!$J$10:$J$224),0),
IF('TL14'!$B$229=K$3,SUMIF('TL14'!$C$238:$C$451,$C429,'TL14'!$J$238:$J$451),0),
IF('TL15'!$B$3=K$3,SUMIF('TL15'!$C$10:$C$224,$C429,'TL15'!$J$10:$J$224),0),
IF('TL15'!$B$229=K$3,SUMIF('TL15'!$C$238:$C$451,$C429,'TL15'!$J$238:$J$451),0),
IF('TL16'!$B$3=K$3,SUMIF('TL16'!$C$10:$C$224,$C429,'TL16'!$J$10:$J$224),0),
IF('TL16'!$B$229=K$3,SUMIF('TL16'!$C$238:$C$451,$C429,'TL16'!$J$238:$J$451),0),
IF('TL17'!$B$3=K$3,SUMIF('TL17'!$C$10:$C$224,$C429,'TL17'!$J$10:$J$224),0),
IF('TL17'!$B$229=K$3,SUMIF('TL17'!$C$238:$C$451,$C429,'TL17'!$J$238:$J$451),0),
IF('TL18'!$B$3=K$3,SUMIF('TL18'!$C$10:$C$224,$C429,'TL18'!$J$10:$J$224),0),
IF('TL18'!$B$229=K$3,SUMIF('TL18'!$C$238:$C$451,$C429,'TL18'!$J$238:$J$451),0),
IF('TL19'!$B$3=K$3,SUMIF('TL19'!$C$10:$C$224,$C429,'TL19'!$J$10:$J$224),0),
IF('TL19'!$B$229=K$3,SUMIF('TL19'!$C$238:$C$451,$C429,'TL19'!$J$238:$J$451),0)
),0)</f>
        <v>0</v>
      </c>
      <c r="L429" s="138">
        <f>IFERROR(SUM(
IF('TL01'!$B$3=L$3,SUMIF('TL01'!$C$10:$C$224,$C429,'TL01'!$J$10:$J$224),0),
IF('TL01'!$B$229=L$3,SUMIF('TL01'!$C$238:$C$451,$C429,'TL01'!$J$238:$J$451),0),
IF('TL02'!$B$3=L$3,SUMIF('TL02'!$C$10:$C$224,$C429,'TL02'!$J$10:$J$224),0),
IF('TL02'!$B$229=L$3,SUMIF('TL02'!$C$238:$C$451,$C429,'TL02'!$J$238:$J$451),0),
IF('TL03'!$B$3=L$3,SUMIF('TL03'!$C$10:$C$224,$C429,'TL03'!$J$10:$J$224),0),
IF('TL03'!$B$229=L$3,SUMIF('TL03'!$C$238:$C$451,$C429,'TL03'!$J$238:$J$451),0),
IF('TL04'!$B$3=L$3,SUMIF('TL04'!$C$10:$C$224,$C429,'TL04'!$J$10:$J$224),0),
IF('TL04'!$B$229=L$3,SUMIF('TL04'!$C$238:$C$451,$C429,'TL04'!$J$238:$J$451),0),
IF('TL05'!$B$3=L$3,SUMIF('TL05'!$C$10:$C$224,$C429,'TL05'!$J$10:$J$224),0),
IF('TL05'!$B$229=L$3,SUMIF('TL05'!$C$238:$C$451,$C429,'TL05'!$J$238:$J$451),0),
IF('TL06'!$B$3=L$3,SUMIF('TL06'!$C$10:$C$224,$C429,'TL06'!$J$10:$J$224),0),
IF('TL06'!$B$229=L$3,SUMIF('TL06'!$C$238:$C$451,$C429,'TL06'!$J$238:$J$451),0),
IF('TL07'!$B$3=L$3,SUMIF('TL07'!$C$10:$C$224,$C429,'TL07'!$J$10:$J$224),0),
IF('TL07'!$B$229=L$3,SUMIF('TL07'!$C$238:$C$451,$C429,'TL07'!$J$238:$J$451),0),
IF('TL08'!$B$3=L$3,SUMIF('TL08'!$C$10:$C$224,$C429,'TL08'!$J$10:$J$224),0),
IF('TL08'!$B$229=L$3,SUMIF('TL08'!$C$238:$C$451,$C429,'TL08'!$J$238:$J$451),0),
IF('TL09'!$B$3=L$3,SUMIF('TL09'!$C$10:$C$224,$C429,'TL09'!$J$10:$J$224),0),
IF('TL09'!$B$229=L$3,SUMIF('TL09'!$C$238:$C$451,$C429,'TL09'!$J$238:$J$451),0),
IF('TL10'!$B$3=L$3,SUMIF('TL10'!$C$10:$C$224,$C429,'TL10'!$J$10:$J$224),0),
IF('TL10'!$B$229=L$3,SUMIF('TL10'!$C$238:$C$451,$C429,'TL10'!$J$238:$J$451),0),
IF('TL11'!$B$3=L$3,SUMIF('TL11'!$C$10:$C$224,$C429,'TL11'!$J$10:$J$224),0),
IF('TL11'!$B$229=L$3,SUMIF('TL11'!$C$238:$C$451,$C429,'TL11'!$J$238:$J$451),0),
IF('TL12'!$B$3=L$3,SUMIF('TL12'!$C$10:$C$224,$C429,'TL12'!$J$10:$J$224),0),
IF('TL12'!$B$229=L$3,SUMIF('TL12'!$C$238:$C$451,$C429,'TL12'!$J$238:$J$451),0),
IF('TL13'!$B$3=L$3,SUMIF('TL13'!$C$10:$C$224,$C429,'TL13'!$J$10:$J$224),0),
IF('TL13'!$B$229=L$3,SUMIF('TL13'!$C$238:$C$451,$C429,'TL13'!$J$238:$J$451),0),
IF('TL14'!$B$3=L$3,SUMIF('TL14'!$C$10:$C$224,$C429,'TL14'!$J$10:$J$224),0),
IF('TL14'!$B$229=L$3,SUMIF('TL14'!$C$238:$C$451,$C429,'TL14'!$J$238:$J$451),0),
IF('TL15'!$B$3=L$3,SUMIF('TL15'!$C$10:$C$224,$C429,'TL15'!$J$10:$J$224),0),
IF('TL15'!$B$229=L$3,SUMIF('TL15'!$C$238:$C$451,$C429,'TL15'!$J$238:$J$451),0),
IF('TL16'!$B$3=L$3,SUMIF('TL16'!$C$10:$C$224,$C429,'TL16'!$J$10:$J$224),0),
IF('TL16'!$B$229=L$3,SUMIF('TL16'!$C$238:$C$451,$C429,'TL16'!$J$238:$J$451),0),
IF('TL17'!$B$3=L$3,SUMIF('TL17'!$C$10:$C$224,$C429,'TL17'!$J$10:$J$224),0),
IF('TL17'!$B$229=L$3,SUMIF('TL17'!$C$238:$C$451,$C429,'TL17'!$J$238:$J$451),0),
IF('TL18'!$B$3=L$3,SUMIF('TL18'!$C$10:$C$224,$C429,'TL18'!$J$10:$J$224),0),
IF('TL18'!$B$229=L$3,SUMIF('TL18'!$C$238:$C$451,$C429,'TL18'!$J$238:$J$451),0),
IF('TL19'!$B$3=L$3,SUMIF('TL19'!$C$10:$C$224,$C429,'TL19'!$J$10:$J$224),0),
IF('TL19'!$B$229=L$3,SUMIF('TL19'!$C$238:$C$451,$C429,'TL19'!$J$238:$J$451),0)
),0)</f>
        <v>0</v>
      </c>
      <c r="M429" s="138">
        <f>IFERROR(SUM(
IF('TL01'!$B$3=M$3,SUMIF('TL01'!$C$10:$C$224,$C429,'TL01'!$J$10:$J$224),0),
IF('TL01'!$B$229=M$3,SUMIF('TL01'!$C$238:$C$451,$C429,'TL01'!$J$238:$J$451),0),
IF('TL02'!$B$3=M$3,SUMIF('TL02'!$C$10:$C$224,$C429,'TL02'!$J$10:$J$224),0),
IF('TL02'!$B$229=M$3,SUMIF('TL02'!$C$238:$C$451,$C429,'TL02'!$J$238:$J$451),0),
IF('TL03'!$B$3=M$3,SUMIF('TL03'!$C$10:$C$224,$C429,'TL03'!$J$10:$J$224),0),
IF('TL03'!$B$229=M$3,SUMIF('TL03'!$C$238:$C$451,$C429,'TL03'!$J$238:$J$451),0),
IF('TL04'!$B$3=M$3,SUMIF('TL04'!$C$10:$C$224,$C429,'TL04'!$J$10:$J$224),0),
IF('TL04'!$B$229=M$3,SUMIF('TL04'!$C$238:$C$451,$C429,'TL04'!$J$238:$J$451),0),
IF('TL05'!$B$3=M$3,SUMIF('TL05'!$C$10:$C$224,$C429,'TL05'!$J$10:$J$224),0),
IF('TL05'!$B$229=M$3,SUMIF('TL05'!$C$238:$C$451,$C429,'TL05'!$J$238:$J$451),0),
IF('TL06'!$B$3=M$3,SUMIF('TL06'!$C$10:$C$224,$C429,'TL06'!$J$10:$J$224),0),
IF('TL06'!$B$229=M$3,SUMIF('TL06'!$C$238:$C$451,$C429,'TL06'!$J$238:$J$451),0),
IF('TL07'!$B$3=M$3,SUMIF('TL07'!$C$10:$C$224,$C429,'TL07'!$J$10:$J$224),0),
IF('TL07'!$B$229=M$3,SUMIF('TL07'!$C$238:$C$451,$C429,'TL07'!$J$238:$J$451),0),
IF('TL08'!$B$3=M$3,SUMIF('TL08'!$C$10:$C$224,$C429,'TL08'!$J$10:$J$224),0),
IF('TL08'!$B$229=M$3,SUMIF('TL08'!$C$238:$C$451,$C429,'TL08'!$J$238:$J$451),0),
IF('TL09'!$B$3=M$3,SUMIF('TL09'!$C$10:$C$224,$C429,'TL09'!$J$10:$J$224),0),
IF('TL09'!$B$229=M$3,SUMIF('TL09'!$C$238:$C$451,$C429,'TL09'!$J$238:$J$451),0),
IF('TL10'!$B$3=M$3,SUMIF('TL10'!$C$10:$C$224,$C429,'TL10'!$J$10:$J$224),0),
IF('TL10'!$B$229=M$3,SUMIF('TL10'!$C$238:$C$451,$C429,'TL10'!$J$238:$J$451),0),
IF('TL11'!$B$3=M$3,SUMIF('TL11'!$C$10:$C$224,$C429,'TL11'!$J$10:$J$224),0),
IF('TL11'!$B$229=M$3,SUMIF('TL11'!$C$238:$C$451,$C429,'TL11'!$J$238:$J$451),0),
IF('TL12'!$B$3=M$3,SUMIF('TL12'!$C$10:$C$224,$C429,'TL12'!$J$10:$J$224),0),
IF('TL12'!$B$229=M$3,SUMIF('TL12'!$C$238:$C$451,$C429,'TL12'!$J$238:$J$451),0),
IF('TL13'!$B$3=M$3,SUMIF('TL13'!$C$10:$C$224,$C429,'TL13'!$J$10:$J$224),0),
IF('TL13'!$B$229=M$3,SUMIF('TL13'!$C$238:$C$451,$C429,'TL13'!$J$238:$J$451),0),
IF('TL14'!$B$3=M$3,SUMIF('TL14'!$C$10:$C$224,$C429,'TL14'!$J$10:$J$224),0),
IF('TL14'!$B$229=M$3,SUMIF('TL14'!$C$238:$C$451,$C429,'TL14'!$J$238:$J$451),0),
IF('TL15'!$B$3=M$3,SUMIF('TL15'!$C$10:$C$224,$C429,'TL15'!$J$10:$J$224),0),
IF('TL15'!$B$229=M$3,SUMIF('TL15'!$C$238:$C$451,$C429,'TL15'!$J$238:$J$451),0),
IF('TL16'!$B$3=M$3,SUMIF('TL16'!$C$10:$C$224,$C429,'TL16'!$J$10:$J$224),0),
IF('TL16'!$B$229=M$3,SUMIF('TL16'!$C$238:$C$451,$C429,'TL16'!$J$238:$J$451),0),
IF('TL17'!$B$3=M$3,SUMIF('TL17'!$C$10:$C$224,$C429,'TL17'!$J$10:$J$224),0),
IF('TL17'!$B$229=M$3,SUMIF('TL17'!$C$238:$C$451,$C429,'TL17'!$J$238:$J$451),0),
IF('TL18'!$B$3=M$3,SUMIF('TL18'!$C$10:$C$224,$C429,'TL18'!$J$10:$J$224),0),
IF('TL18'!$B$229=M$3,SUMIF('TL18'!$C$238:$C$451,$C429,'TL18'!$J$238:$J$451),0),
IF('TL19'!$B$3=M$3,SUMIF('TL19'!$C$10:$C$224,$C429,'TL19'!$J$10:$J$224),0),
IF('TL19'!$B$229=M$3,SUMIF('TL19'!$C$238:$C$451,$C429,'TL19'!$J$238:$J$451),0)
),0)</f>
        <v>0</v>
      </c>
      <c r="N429" s="138">
        <f>IFERROR(SUM(
IF('TL01'!$B$3=N$3,SUMIF('TL01'!$C$10:$C$224,$C429,'TL01'!$J$10:$J$224),0),
IF('TL01'!$B$229=N$3,SUMIF('TL01'!$C$238:$C$451,$C429,'TL01'!$J$238:$J$451),0),
IF('TL02'!$B$3=N$3,SUMIF('TL02'!$C$10:$C$224,$C429,'TL02'!$J$10:$J$224),0),
IF('TL02'!$B$229=N$3,SUMIF('TL02'!$C$238:$C$451,$C429,'TL02'!$J$238:$J$451),0),
IF('TL03'!$B$3=N$3,SUMIF('TL03'!$C$10:$C$224,$C429,'TL03'!$J$10:$J$224),0),
IF('TL03'!$B$229=N$3,SUMIF('TL03'!$C$238:$C$451,$C429,'TL03'!$J$238:$J$451),0),
IF('TL04'!$B$3=N$3,SUMIF('TL04'!$C$10:$C$224,$C429,'TL04'!$J$10:$J$224),0),
IF('TL04'!$B$229=N$3,SUMIF('TL04'!$C$238:$C$451,$C429,'TL04'!$J$238:$J$451),0),
IF('TL05'!$B$3=N$3,SUMIF('TL05'!$C$10:$C$224,$C429,'TL05'!$J$10:$J$224),0),
IF('TL05'!$B$229=N$3,SUMIF('TL05'!$C$238:$C$451,$C429,'TL05'!$J$238:$J$451),0),
IF('TL06'!$B$3=N$3,SUMIF('TL06'!$C$10:$C$224,$C429,'TL06'!$J$10:$J$224),0),
IF('TL06'!$B$229=N$3,SUMIF('TL06'!$C$238:$C$451,$C429,'TL06'!$J$238:$J$451),0),
IF('TL07'!$B$3=N$3,SUMIF('TL07'!$C$10:$C$224,$C429,'TL07'!$J$10:$J$224),0),
IF('TL07'!$B$229=N$3,SUMIF('TL07'!$C$238:$C$451,$C429,'TL07'!$J$238:$J$451),0),
IF('TL08'!$B$3=N$3,SUMIF('TL08'!$C$10:$C$224,$C429,'TL08'!$J$10:$J$224),0),
IF('TL08'!$B$229=N$3,SUMIF('TL08'!$C$238:$C$451,$C429,'TL08'!$J$238:$J$451),0),
IF('TL09'!$B$3=N$3,SUMIF('TL09'!$C$10:$C$224,$C429,'TL09'!$J$10:$J$224),0),
IF('TL09'!$B$229=N$3,SUMIF('TL09'!$C$238:$C$451,$C429,'TL09'!$J$238:$J$451),0),
IF('TL10'!$B$3=N$3,SUMIF('TL10'!$C$10:$C$224,$C429,'TL10'!$J$10:$J$224),0),
IF('TL10'!$B$229=N$3,SUMIF('TL10'!$C$238:$C$451,$C429,'TL10'!$J$238:$J$451),0),
IF('TL11'!$B$3=N$3,SUMIF('TL11'!$C$10:$C$224,$C429,'TL11'!$J$10:$J$224),0),
IF('TL11'!$B$229=N$3,SUMIF('TL11'!$C$238:$C$451,$C429,'TL11'!$J$238:$J$451),0),
IF('TL12'!$B$3=N$3,SUMIF('TL12'!$C$10:$C$224,$C429,'TL12'!$J$10:$J$224),0),
IF('TL12'!$B$229=N$3,SUMIF('TL12'!$C$238:$C$451,$C429,'TL12'!$J$238:$J$451),0),
IF('TL13'!$B$3=N$3,SUMIF('TL13'!$C$10:$C$224,$C429,'TL13'!$J$10:$J$224),0),
IF('TL13'!$B$229=N$3,SUMIF('TL13'!$C$238:$C$451,$C429,'TL13'!$J$238:$J$451),0),
IF('TL14'!$B$3=N$3,SUMIF('TL14'!$C$10:$C$224,$C429,'TL14'!$J$10:$J$224),0),
IF('TL14'!$B$229=N$3,SUMIF('TL14'!$C$238:$C$451,$C429,'TL14'!$J$238:$J$451),0),
IF('TL15'!$B$3=N$3,SUMIF('TL15'!$C$10:$C$224,$C429,'TL15'!$J$10:$J$224),0),
IF('TL15'!$B$229=N$3,SUMIF('TL15'!$C$238:$C$451,$C429,'TL15'!$J$238:$J$451),0),
IF('TL16'!$B$3=N$3,SUMIF('TL16'!$C$10:$C$224,$C429,'TL16'!$J$10:$J$224),0),
IF('TL16'!$B$229=N$3,SUMIF('TL16'!$C$238:$C$451,$C429,'TL16'!$J$238:$J$451),0),
IF('TL17'!$B$3=N$3,SUMIF('TL17'!$C$10:$C$224,$C429,'TL17'!$J$10:$J$224),0),
IF('TL17'!$B$229=N$3,SUMIF('TL17'!$C$238:$C$451,$C429,'TL17'!$J$238:$J$451),0),
IF('TL18'!$B$3=N$3,SUMIF('TL18'!$C$10:$C$224,$C429,'TL18'!$J$10:$J$224),0),
IF('TL18'!$B$229=N$3,SUMIF('TL18'!$C$238:$C$451,$C429,'TL18'!$J$238:$J$451),0),
IF('TL19'!$B$3=N$3,SUMIF('TL19'!$C$10:$C$224,$C429,'TL19'!$J$10:$J$224),0),
IF('TL19'!$B$229=N$3,SUMIF('TL19'!$C$238:$C$451,$C429,'TL19'!$J$238:$J$451),0)
),0)</f>
        <v>0</v>
      </c>
      <c r="O429" s="138">
        <f>IFERROR(SUM(
IF('TL01'!$B$3=O$3,SUMIF('TL01'!$C$10:$C$224,$C429,'TL01'!$J$10:$J$224),0),
IF('TL01'!$B$229=O$3,SUMIF('TL01'!$C$238:$C$451,$C429,'TL01'!$J$238:$J$451),0),
IF('TL02'!$B$3=O$3,SUMIF('TL02'!$C$10:$C$224,$C429,'TL02'!$J$10:$J$224),0),
IF('TL02'!$B$229=O$3,SUMIF('TL02'!$C$238:$C$451,$C429,'TL02'!$J$238:$J$451),0),
IF('TL03'!$B$3=O$3,SUMIF('TL03'!$C$10:$C$224,$C429,'TL03'!$J$10:$J$224),0),
IF('TL03'!$B$229=O$3,SUMIF('TL03'!$C$238:$C$451,$C429,'TL03'!$J$238:$J$451),0),
IF('TL04'!$B$3=O$3,SUMIF('TL04'!$C$10:$C$224,$C429,'TL04'!$J$10:$J$224),0),
IF('TL04'!$B$229=O$3,SUMIF('TL04'!$C$238:$C$451,$C429,'TL04'!$J$238:$J$451),0),
IF('TL05'!$B$3=O$3,SUMIF('TL05'!$C$10:$C$224,$C429,'TL05'!$J$10:$J$224),0),
IF('TL05'!$B$229=O$3,SUMIF('TL05'!$C$238:$C$451,$C429,'TL05'!$J$238:$J$451),0),
IF('TL06'!$B$3=O$3,SUMIF('TL06'!$C$10:$C$224,$C429,'TL06'!$J$10:$J$224),0),
IF('TL06'!$B$229=O$3,SUMIF('TL06'!$C$238:$C$451,$C429,'TL06'!$J$238:$J$451),0),
IF('TL07'!$B$3=O$3,SUMIF('TL07'!$C$10:$C$224,$C429,'TL07'!$J$10:$J$224),0),
IF('TL07'!$B$229=O$3,SUMIF('TL07'!$C$238:$C$451,$C429,'TL07'!$J$238:$J$451),0),
IF('TL08'!$B$3=O$3,SUMIF('TL08'!$C$10:$C$224,$C429,'TL08'!$J$10:$J$224),0),
IF('TL08'!$B$229=O$3,SUMIF('TL08'!$C$238:$C$451,$C429,'TL08'!$J$238:$J$451),0),
IF('TL09'!$B$3=O$3,SUMIF('TL09'!$C$10:$C$224,$C429,'TL09'!$J$10:$J$224),0),
IF('TL09'!$B$229=O$3,SUMIF('TL09'!$C$238:$C$451,$C429,'TL09'!$J$238:$J$451),0),
IF('TL10'!$B$3=O$3,SUMIF('TL10'!$C$10:$C$224,$C429,'TL10'!$J$10:$J$224),0),
IF('TL10'!$B$229=O$3,SUMIF('TL10'!$C$238:$C$451,$C429,'TL10'!$J$238:$J$451),0),
IF('TL11'!$B$3=O$3,SUMIF('TL11'!$C$10:$C$224,$C429,'TL11'!$J$10:$J$224),0),
IF('TL11'!$B$229=O$3,SUMIF('TL11'!$C$238:$C$451,$C429,'TL11'!$J$238:$J$451),0),
IF('TL12'!$B$3=O$3,SUMIF('TL12'!$C$10:$C$224,$C429,'TL12'!$J$10:$J$224),0),
IF('TL12'!$B$229=O$3,SUMIF('TL12'!$C$238:$C$451,$C429,'TL12'!$J$238:$J$451),0),
IF('TL13'!$B$3=O$3,SUMIF('TL13'!$C$10:$C$224,$C429,'TL13'!$J$10:$J$224),0),
IF('TL13'!$B$229=O$3,SUMIF('TL13'!$C$238:$C$451,$C429,'TL13'!$J$238:$J$451),0),
IF('TL14'!$B$3=O$3,SUMIF('TL14'!$C$10:$C$224,$C429,'TL14'!$J$10:$J$224),0),
IF('TL14'!$B$229=O$3,SUMIF('TL14'!$C$238:$C$451,$C429,'TL14'!$J$238:$J$451),0),
IF('TL15'!$B$3=O$3,SUMIF('TL15'!$C$10:$C$224,$C429,'TL15'!$J$10:$J$224),0),
IF('TL15'!$B$229=O$3,SUMIF('TL15'!$C$238:$C$451,$C429,'TL15'!$J$238:$J$451),0),
IF('TL16'!$B$3=O$3,SUMIF('TL16'!$C$10:$C$224,$C429,'TL16'!$J$10:$J$224),0),
IF('TL16'!$B$229=O$3,SUMIF('TL16'!$C$238:$C$451,$C429,'TL16'!$J$238:$J$451),0),
IF('TL17'!$B$3=O$3,SUMIF('TL17'!$C$10:$C$224,$C429,'TL17'!$J$10:$J$224),0),
IF('TL17'!$B$229=O$3,SUMIF('TL17'!$C$238:$C$451,$C429,'TL17'!$J$238:$J$451),0),
IF('TL18'!$B$3=O$3,SUMIF('TL18'!$C$10:$C$224,$C429,'TL18'!$J$10:$J$224),0),
IF('TL18'!$B$229=O$3,SUMIF('TL18'!$C$238:$C$451,$C429,'TL18'!$J$238:$J$451),0),
IF('TL19'!$B$3=O$3,SUMIF('TL19'!$C$10:$C$224,$C429,'TL19'!$J$10:$J$224),0),
IF('TL19'!$B$229=O$3,SUMIF('TL19'!$C$238:$C$451,$C429,'TL19'!$J$238:$J$451),0)
),0)</f>
        <v>0</v>
      </c>
      <c r="P429" s="138">
        <f>IFERROR(SUM(
IF('TL01'!$B$3=P$3,SUMIF('TL01'!$C$10:$C$224,$C429,'TL01'!$J$10:$J$224),0),
IF('TL01'!$B$229=P$3,SUMIF('TL01'!$C$238:$C$451,$C429,'TL01'!$J$238:$J$451),0),
IF('TL02'!$B$3=P$3,SUMIF('TL02'!$C$10:$C$224,$C429,'TL02'!$J$10:$J$224),0),
IF('TL02'!$B$229=P$3,SUMIF('TL02'!$C$238:$C$451,$C429,'TL02'!$J$238:$J$451),0),
IF('TL03'!$B$3=P$3,SUMIF('TL03'!$C$10:$C$224,$C429,'TL03'!$J$10:$J$224),0),
IF('TL03'!$B$229=P$3,SUMIF('TL03'!$C$238:$C$451,$C429,'TL03'!$J$238:$J$451),0),
IF('TL04'!$B$3=P$3,SUMIF('TL04'!$C$10:$C$224,$C429,'TL04'!$J$10:$J$224),0),
IF('TL04'!$B$229=P$3,SUMIF('TL04'!$C$238:$C$451,$C429,'TL04'!$J$238:$J$451),0),
IF('TL05'!$B$3=P$3,SUMIF('TL05'!$C$10:$C$224,$C429,'TL05'!$J$10:$J$224),0),
IF('TL05'!$B$229=P$3,SUMIF('TL05'!$C$238:$C$451,$C429,'TL05'!$J$238:$J$451),0),
IF('TL06'!$B$3=P$3,SUMIF('TL06'!$C$10:$C$224,$C429,'TL06'!$J$10:$J$224),0),
IF('TL06'!$B$229=P$3,SUMIF('TL06'!$C$238:$C$451,$C429,'TL06'!$J$238:$J$451),0),
IF('TL07'!$B$3=P$3,SUMIF('TL07'!$C$10:$C$224,$C429,'TL07'!$J$10:$J$224),0),
IF('TL07'!$B$229=P$3,SUMIF('TL07'!$C$238:$C$451,$C429,'TL07'!$J$238:$J$451),0),
IF('TL08'!$B$3=P$3,SUMIF('TL08'!$C$10:$C$224,$C429,'TL08'!$J$10:$J$224),0),
IF('TL08'!$B$229=P$3,SUMIF('TL08'!$C$238:$C$451,$C429,'TL08'!$J$238:$J$451),0),
IF('TL09'!$B$3=P$3,SUMIF('TL09'!$C$10:$C$224,$C429,'TL09'!$J$10:$J$224),0),
IF('TL09'!$B$229=P$3,SUMIF('TL09'!$C$238:$C$451,$C429,'TL09'!$J$238:$J$451),0),
IF('TL10'!$B$3=P$3,SUMIF('TL10'!$C$10:$C$224,$C429,'TL10'!$J$10:$J$224),0),
IF('TL10'!$B$229=P$3,SUMIF('TL10'!$C$238:$C$451,$C429,'TL10'!$J$238:$J$451),0),
IF('TL11'!$B$3=P$3,SUMIF('TL11'!$C$10:$C$224,$C429,'TL11'!$J$10:$J$224),0),
IF('TL11'!$B$229=P$3,SUMIF('TL11'!$C$238:$C$451,$C429,'TL11'!$J$238:$J$451),0),
IF('TL12'!$B$3=P$3,SUMIF('TL12'!$C$10:$C$224,$C429,'TL12'!$J$10:$J$224),0),
IF('TL12'!$B$229=P$3,SUMIF('TL12'!$C$238:$C$451,$C429,'TL12'!$J$238:$J$451),0),
IF('TL13'!$B$3=P$3,SUMIF('TL13'!$C$10:$C$224,$C429,'TL13'!$J$10:$J$224),0),
IF('TL13'!$B$229=P$3,SUMIF('TL13'!$C$238:$C$451,$C429,'TL13'!$J$238:$J$451),0),
IF('TL14'!$B$3=P$3,SUMIF('TL14'!$C$10:$C$224,$C429,'TL14'!$J$10:$J$224),0),
IF('TL14'!$B$229=P$3,SUMIF('TL14'!$C$238:$C$451,$C429,'TL14'!$J$238:$J$451),0),
IF('TL15'!$B$3=P$3,SUMIF('TL15'!$C$10:$C$224,$C429,'TL15'!$J$10:$J$224),0),
IF('TL15'!$B$229=P$3,SUMIF('TL15'!$C$238:$C$451,$C429,'TL15'!$J$238:$J$451),0),
IF('TL16'!$B$3=P$3,SUMIF('TL16'!$C$10:$C$224,$C429,'TL16'!$J$10:$J$224),0),
IF('TL16'!$B$229=P$3,SUMIF('TL16'!$C$238:$C$451,$C429,'TL16'!$J$238:$J$451),0),
IF('TL17'!$B$3=P$3,SUMIF('TL17'!$C$10:$C$224,$C429,'TL17'!$J$10:$J$224),0),
IF('TL17'!$B$229=P$3,SUMIF('TL17'!$C$238:$C$451,$C429,'TL17'!$J$238:$J$451),0),
IF('TL18'!$B$3=P$3,SUMIF('TL18'!$C$10:$C$224,$C429,'TL18'!$J$10:$J$224),0),
IF('TL18'!$B$229=P$3,SUMIF('TL18'!$C$238:$C$451,$C429,'TL18'!$J$238:$J$451),0),
IF('TL19'!$B$3=P$3,SUMIF('TL19'!$C$10:$C$224,$C429,'TL19'!$J$10:$J$224),0),
IF('TL19'!$B$229=P$3,SUMIF('TL19'!$C$238:$C$451,$C429,'TL19'!$J$238:$J$451),0)
),0)</f>
        <v>0</v>
      </c>
      <c r="Q429" s="138">
        <f>IFERROR(SUM(
IF('TL01'!$B$3=Q$3,SUMIF('TL01'!$C$10:$C$224,$C429,'TL01'!$J$10:$J$224),0),
IF('TL01'!$B$229=Q$3,SUMIF('TL01'!$C$238:$C$451,$C429,'TL01'!$J$238:$J$451),0),
IF('TL02'!$B$3=Q$3,SUMIF('TL02'!$C$10:$C$224,$C429,'TL02'!$J$10:$J$224),0),
IF('TL02'!$B$229=Q$3,SUMIF('TL02'!$C$238:$C$451,$C429,'TL02'!$J$238:$J$451),0),
IF('TL03'!$B$3=Q$3,SUMIF('TL03'!$C$10:$C$224,$C429,'TL03'!$J$10:$J$224),0),
IF('TL03'!$B$229=Q$3,SUMIF('TL03'!$C$238:$C$451,$C429,'TL03'!$J$238:$J$451),0),
IF('TL04'!$B$3=Q$3,SUMIF('TL04'!$C$10:$C$224,$C429,'TL04'!$J$10:$J$224),0),
IF('TL04'!$B$229=Q$3,SUMIF('TL04'!$C$238:$C$451,$C429,'TL04'!$J$238:$J$451),0),
IF('TL05'!$B$3=Q$3,SUMIF('TL05'!$C$10:$C$224,$C429,'TL05'!$J$10:$J$224),0),
IF('TL05'!$B$229=Q$3,SUMIF('TL05'!$C$238:$C$451,$C429,'TL05'!$J$238:$J$451),0),
IF('TL06'!$B$3=Q$3,SUMIF('TL06'!$C$10:$C$224,$C429,'TL06'!$J$10:$J$224),0),
IF('TL06'!$B$229=Q$3,SUMIF('TL06'!$C$238:$C$451,$C429,'TL06'!$J$238:$J$451),0),
IF('TL07'!$B$3=Q$3,SUMIF('TL07'!$C$10:$C$224,$C429,'TL07'!$J$10:$J$224),0),
IF('TL07'!$B$229=Q$3,SUMIF('TL07'!$C$238:$C$451,$C429,'TL07'!$J$238:$J$451),0),
IF('TL08'!$B$3=Q$3,SUMIF('TL08'!$C$10:$C$224,$C429,'TL08'!$J$10:$J$224),0),
IF('TL08'!$B$229=Q$3,SUMIF('TL08'!$C$238:$C$451,$C429,'TL08'!$J$238:$J$451),0),
IF('TL09'!$B$3=Q$3,SUMIF('TL09'!$C$10:$C$224,$C429,'TL09'!$J$10:$J$224),0),
IF('TL09'!$B$229=Q$3,SUMIF('TL09'!$C$238:$C$451,$C429,'TL09'!$J$238:$J$451),0),
IF('TL10'!$B$3=Q$3,SUMIF('TL10'!$C$10:$C$224,$C429,'TL10'!$J$10:$J$224),0),
IF('TL10'!$B$229=Q$3,SUMIF('TL10'!$C$238:$C$451,$C429,'TL10'!$J$238:$J$451),0),
IF('TL11'!$B$3=Q$3,SUMIF('TL11'!$C$10:$C$224,$C429,'TL11'!$J$10:$J$224),0),
IF('TL11'!$B$229=Q$3,SUMIF('TL11'!$C$238:$C$451,$C429,'TL11'!$J$238:$J$451),0),
IF('TL12'!$B$3=Q$3,SUMIF('TL12'!$C$10:$C$224,$C429,'TL12'!$J$10:$J$224),0),
IF('TL12'!$B$229=Q$3,SUMIF('TL12'!$C$238:$C$451,$C429,'TL12'!$J$238:$J$451),0),
IF('TL13'!$B$3=Q$3,SUMIF('TL13'!$C$10:$C$224,$C429,'TL13'!$J$10:$J$224),0),
IF('TL13'!$B$229=Q$3,SUMIF('TL13'!$C$238:$C$451,$C429,'TL13'!$J$238:$J$451),0),
IF('TL14'!$B$3=Q$3,SUMIF('TL14'!$C$10:$C$224,$C429,'TL14'!$J$10:$J$224),0),
IF('TL14'!$B$229=Q$3,SUMIF('TL14'!$C$238:$C$451,$C429,'TL14'!$J$238:$J$451),0),
IF('TL15'!$B$3=Q$3,SUMIF('TL15'!$C$10:$C$224,$C429,'TL15'!$J$10:$J$224),0),
IF('TL15'!$B$229=Q$3,SUMIF('TL15'!$C$238:$C$451,$C429,'TL15'!$J$238:$J$451),0),
IF('TL16'!$B$3=Q$3,SUMIF('TL16'!$C$10:$C$224,$C429,'TL16'!$J$10:$J$224),0),
IF('TL16'!$B$229=Q$3,SUMIF('TL16'!$C$238:$C$451,$C429,'TL16'!$J$238:$J$451),0),
IF('TL17'!$B$3=Q$3,SUMIF('TL17'!$C$10:$C$224,$C429,'TL17'!$J$10:$J$224),0),
IF('TL17'!$B$229=Q$3,SUMIF('TL17'!$C$238:$C$451,$C429,'TL17'!$J$238:$J$451),0),
IF('TL18'!$B$3=Q$3,SUMIF('TL18'!$C$10:$C$224,$C429,'TL18'!$J$10:$J$224),0),
IF('TL18'!$B$229=Q$3,SUMIF('TL18'!$C$238:$C$451,$C429,'TL18'!$J$238:$J$451),0),
IF('TL19'!$B$3=Q$3,SUMIF('TL19'!$C$10:$C$224,$C429,'TL19'!$J$10:$J$224),0),
IF('TL19'!$B$229=Q$3,SUMIF('TL19'!$C$238:$C$451,$C429,'TL19'!$J$238:$J$451),0)
),0)</f>
        <v>0</v>
      </c>
      <c r="R429" s="139">
        <f>IFERROR(
SUM(
SUMIF('TL01'!C:C,C429,'TL01'!J:J),
SUMIF('TL02'!C:C,C429,'TL02'!I:I),
SUMIF('TL03'!C:C,C429,'TL03'!I:I),
SUMIF('TL04'!C:C,C429,'TL04'!I:I),
SUMIF('TL05'!C:C,C429,'TL05'!I:I),
SUMIF('TL06'!C:C,C429,'TL06'!I:I),
SUMIF('TL07'!C:C,C429,'TL07'!I:I),
SUMIF('TL08'!C:C,C429,'TL08'!I:I),
SUMIF('TL09'!C:C,C429,'TL09'!I:I),
SUMIF('TL10'!C:C,C429,'TL10'!I:I),
SUMIF('TL11'!C:C,C429,'TL11'!I:I),
SUMIF('TL12'!C:C,C429,'TL12'!I:I),
SUMIF('TL13'!C:C,C429,'TL13'!I:I),
SUMIF('TL14'!C:C,C429,'TL14'!I:I),
SUMIF('TL15'!C:C,C429,'TL15'!I:I),
SUMIF('TL16'!C:C,C429,'TL16'!I:I),
SUMIF('TL17'!C:C,C429,'TL17'!I:I),
SUMIF('TL18'!C:C,C429,'TL18'!I:I))
,0)</f>
        <v>0</v>
      </c>
      <c r="S429" s="142" t="str">
        <f>'CUSTO OPERAÇÃO'!M33</f>
        <v/>
      </c>
      <c r="T429" s="139"/>
      <c r="U429" s="143">
        <f t="shared" si="2"/>
        <v>0</v>
      </c>
      <c r="V429" s="144">
        <f t="shared" si="3"/>
        <v>0</v>
      </c>
    </row>
    <row r="430" ht="15.75" hidden="1" customHeight="1">
      <c r="A430" s="138"/>
      <c r="B430" s="155"/>
      <c r="C430" s="138"/>
      <c r="D430" s="138"/>
      <c r="E430" s="139"/>
      <c r="F430" s="138" t="s">
        <v>1133</v>
      </c>
      <c r="G430" s="139"/>
      <c r="H430" s="139" t="str">
        <f>'CUSTO OPERAÇÃO'!J34</f>
        <v/>
      </c>
      <c r="I430" s="156"/>
      <c r="J430" s="138">
        <f>IFERROR(SUM(
IF('TL01'!$B$3=J$3,SUMIF('TL01'!$C$10:$C$224,$C430,'TL01'!$J$10:$J$224),0),
IF('TL01'!$B$229=J$3,SUMIF('TL01'!$C$238:$C$451,$C430,'TL01'!$J$238:$J$451),0),
IF('TL02'!$B$3=J$3,SUMIF('TL02'!$C$10:$C$224,$C430,'TL02'!$J$10:$J$224),0),
IF('TL02'!$B$229=J$3,SUMIF('TL02'!$C$238:$C$451,$C430,'TL02'!$J$238:$J$451),0),
IF('TL03'!$B$3=J$3,SUMIF('TL03'!$C$10:$C$224,$C430,'TL03'!$J$10:$J$224),0),
IF('TL03'!$B$229=J$3,SUMIF('TL03'!$C$238:$C$451,$C430,'TL03'!$J$238:$J$451),0),
IF('TL04'!$B$3=J$3,SUMIF('TL04'!$C$10:$C$224,$C430,'TL04'!$J$10:$J$224),0),
IF('TL04'!$B$229=J$3,SUMIF('TL04'!$C$238:$C$451,$C430,'TL04'!$J$238:$J$451),0),
IF('TL05'!$B$3=J$3,SUMIF('TL05'!$C$10:$C$224,$C430,'TL05'!$J$10:$J$224),0),
IF('TL05'!$B$229=J$3,SUMIF('TL05'!$C$238:$C$451,$C430,'TL05'!$J$238:$J$451),0),
IF('TL06'!$B$3=J$3,SUMIF('TL06'!$C$10:$C$224,$C430,'TL06'!$J$10:$J$224),0),
IF('TL06'!$B$229=J$3,SUMIF('TL06'!$C$238:$C$451,$C430,'TL06'!$J$238:$J$451),0),
IF('TL07'!$B$3=J$3,SUMIF('TL07'!$C$10:$C$224,$C430,'TL07'!$J$10:$J$224),0),
IF('TL07'!$B$229=J$3,SUMIF('TL07'!$C$238:$C$451,$C430,'TL07'!$J$238:$J$451),0),
IF('TL08'!$B$3=J$3,SUMIF('TL08'!$C$10:$C$224,$C430,'TL08'!$J$10:$J$224),0),
IF('TL08'!$B$229=J$3,SUMIF('TL08'!$C$238:$C$451,$C430,'TL08'!$J$238:$J$451),0),
IF('TL09'!$B$3=J$3,SUMIF('TL09'!$C$10:$C$224,$C430,'TL09'!$J$10:$J$224),0),
IF('TL09'!$B$229=J$3,SUMIF('TL09'!$C$238:$C$451,$C430,'TL09'!$J$238:$J$451),0),
IF('TL10'!$B$3=J$3,SUMIF('TL10'!$C$10:$C$224,$C430,'TL10'!$J$10:$J$224),0),
IF('TL10'!$B$229=J$3,SUMIF('TL10'!$C$238:$C$451,$C430,'TL10'!$J$238:$J$451),0),
IF('TL11'!$B$3=J$3,SUMIF('TL11'!$C$10:$C$224,$C430,'TL11'!$J$10:$J$224),0),
IF('TL11'!$B$229=J$3,SUMIF('TL11'!$C$238:$C$451,$C430,'TL11'!$J$238:$J$451),0),
IF('TL12'!$B$3=J$3,SUMIF('TL12'!$C$10:$C$224,$C430,'TL12'!$J$10:$J$224),0),
IF('TL12'!$B$229=J$3,SUMIF('TL12'!$C$238:$C$451,$C430,'TL12'!$J$238:$J$451),0),
IF('TL13'!$B$3=J$3,SUMIF('TL13'!$C$10:$C$224,$C430,'TL13'!$J$10:$J$224),0),
IF('TL13'!$B$229=J$3,SUMIF('TL13'!$C$238:$C$451,$C430,'TL13'!$J$238:$J$451),0),
IF('TL14'!$B$3=J$3,SUMIF('TL14'!$C$10:$C$224,$C430,'TL14'!$J$10:$J$224),0),
IF('TL14'!$B$229=J$3,SUMIF('TL14'!$C$238:$C$451,$C430,'TL14'!$J$238:$J$451),0),
IF('TL15'!$B$3=J$3,SUMIF('TL15'!$C$10:$C$224,$C430,'TL15'!$J$10:$J$224),0),
IF('TL15'!$B$229=J$3,SUMIF('TL15'!$C$238:$C$451,$C430,'TL15'!$J$238:$J$451),0),
IF('TL16'!$B$3=J$3,SUMIF('TL16'!$C$10:$C$224,$C430,'TL16'!$J$10:$J$224),0),
IF('TL16'!$B$229=J$3,SUMIF('TL16'!$C$238:$C$451,$C430,'TL16'!$J$238:$J$451),0),
IF('TL17'!$B$3=J$3,SUMIF('TL17'!$C$10:$C$224,$C430,'TL17'!$J$10:$J$224),0),
IF('TL17'!$B$229=J$3,SUMIF('TL17'!$C$238:$C$451,$C430,'TL17'!$J$238:$J$451),0),
IF('TL18'!$B$3=J$3,SUMIF('TL18'!$C$10:$C$224,$C430,'TL18'!$J$10:$J$224),0),
IF('TL18'!$B$229=J$3,SUMIF('TL18'!$C$238:$C$451,$C430,'TL18'!$J$238:$J$451),0),
IF('TL19'!$B$3=J$3,SUMIF('TL19'!$C$10:$C$224,$C430,'TL19'!$J$10:$J$224),0),
IF('TL19'!$B$229=J$3,SUMIF('TL19'!$C$238:$C$451,$C430,'TL19'!$J$238:$J$451),0)
),0)</f>
        <v>0</v>
      </c>
      <c r="K430" s="138">
        <f>IFERROR(SUM(
IF('TL01'!$B$3=K$3,SUMIF('TL01'!$C$10:$C$224,$C430,'TL01'!$J$10:$J$224),0),
IF('TL01'!$B$229=K$3,SUMIF('TL01'!$C$238:$C$451,$C430,'TL01'!$J$238:$J$451),0),
IF('TL02'!$B$3=K$3,SUMIF('TL02'!$C$10:$C$224,$C430,'TL02'!$J$10:$J$224),0),
IF('TL02'!$B$229=K$3,SUMIF('TL02'!$C$238:$C$451,$C430,'TL02'!$J$238:$J$451),0),
IF('TL03'!$B$3=K$3,SUMIF('TL03'!$C$10:$C$224,$C430,'TL03'!$J$10:$J$224),0),
IF('TL03'!$B$229=K$3,SUMIF('TL03'!$C$238:$C$451,$C430,'TL03'!$J$238:$J$451),0),
IF('TL04'!$B$3=K$3,SUMIF('TL04'!$C$10:$C$224,$C430,'TL04'!$J$10:$J$224),0),
IF('TL04'!$B$229=K$3,SUMIF('TL04'!$C$238:$C$451,$C430,'TL04'!$J$238:$J$451),0),
IF('TL05'!$B$3=K$3,SUMIF('TL05'!$C$10:$C$224,$C430,'TL05'!$J$10:$J$224),0),
IF('TL05'!$B$229=K$3,SUMIF('TL05'!$C$238:$C$451,$C430,'TL05'!$J$238:$J$451),0),
IF('TL06'!$B$3=K$3,SUMIF('TL06'!$C$10:$C$224,$C430,'TL06'!$J$10:$J$224),0),
IF('TL06'!$B$229=K$3,SUMIF('TL06'!$C$238:$C$451,$C430,'TL06'!$J$238:$J$451),0),
IF('TL07'!$B$3=K$3,SUMIF('TL07'!$C$10:$C$224,$C430,'TL07'!$J$10:$J$224),0),
IF('TL07'!$B$229=K$3,SUMIF('TL07'!$C$238:$C$451,$C430,'TL07'!$J$238:$J$451),0),
IF('TL08'!$B$3=K$3,SUMIF('TL08'!$C$10:$C$224,$C430,'TL08'!$J$10:$J$224),0),
IF('TL08'!$B$229=K$3,SUMIF('TL08'!$C$238:$C$451,$C430,'TL08'!$J$238:$J$451),0),
IF('TL09'!$B$3=K$3,SUMIF('TL09'!$C$10:$C$224,$C430,'TL09'!$J$10:$J$224),0),
IF('TL09'!$B$229=K$3,SUMIF('TL09'!$C$238:$C$451,$C430,'TL09'!$J$238:$J$451),0),
IF('TL10'!$B$3=K$3,SUMIF('TL10'!$C$10:$C$224,$C430,'TL10'!$J$10:$J$224),0),
IF('TL10'!$B$229=K$3,SUMIF('TL10'!$C$238:$C$451,$C430,'TL10'!$J$238:$J$451),0),
IF('TL11'!$B$3=K$3,SUMIF('TL11'!$C$10:$C$224,$C430,'TL11'!$J$10:$J$224),0),
IF('TL11'!$B$229=K$3,SUMIF('TL11'!$C$238:$C$451,$C430,'TL11'!$J$238:$J$451),0),
IF('TL12'!$B$3=K$3,SUMIF('TL12'!$C$10:$C$224,$C430,'TL12'!$J$10:$J$224),0),
IF('TL12'!$B$229=K$3,SUMIF('TL12'!$C$238:$C$451,$C430,'TL12'!$J$238:$J$451),0),
IF('TL13'!$B$3=K$3,SUMIF('TL13'!$C$10:$C$224,$C430,'TL13'!$J$10:$J$224),0),
IF('TL13'!$B$229=K$3,SUMIF('TL13'!$C$238:$C$451,$C430,'TL13'!$J$238:$J$451),0),
IF('TL14'!$B$3=K$3,SUMIF('TL14'!$C$10:$C$224,$C430,'TL14'!$J$10:$J$224),0),
IF('TL14'!$B$229=K$3,SUMIF('TL14'!$C$238:$C$451,$C430,'TL14'!$J$238:$J$451),0),
IF('TL15'!$B$3=K$3,SUMIF('TL15'!$C$10:$C$224,$C430,'TL15'!$J$10:$J$224),0),
IF('TL15'!$B$229=K$3,SUMIF('TL15'!$C$238:$C$451,$C430,'TL15'!$J$238:$J$451),0),
IF('TL16'!$B$3=K$3,SUMIF('TL16'!$C$10:$C$224,$C430,'TL16'!$J$10:$J$224),0),
IF('TL16'!$B$229=K$3,SUMIF('TL16'!$C$238:$C$451,$C430,'TL16'!$J$238:$J$451),0),
IF('TL17'!$B$3=K$3,SUMIF('TL17'!$C$10:$C$224,$C430,'TL17'!$J$10:$J$224),0),
IF('TL17'!$B$229=K$3,SUMIF('TL17'!$C$238:$C$451,$C430,'TL17'!$J$238:$J$451),0),
IF('TL18'!$B$3=K$3,SUMIF('TL18'!$C$10:$C$224,$C430,'TL18'!$J$10:$J$224),0),
IF('TL18'!$B$229=K$3,SUMIF('TL18'!$C$238:$C$451,$C430,'TL18'!$J$238:$J$451),0),
IF('TL19'!$B$3=K$3,SUMIF('TL19'!$C$10:$C$224,$C430,'TL19'!$J$10:$J$224),0),
IF('TL19'!$B$229=K$3,SUMIF('TL19'!$C$238:$C$451,$C430,'TL19'!$J$238:$J$451),0)
),0)</f>
        <v>0</v>
      </c>
      <c r="L430" s="138">
        <f>IFERROR(SUM(
IF('TL01'!$B$3=L$3,SUMIF('TL01'!$C$10:$C$224,$C430,'TL01'!$J$10:$J$224),0),
IF('TL01'!$B$229=L$3,SUMIF('TL01'!$C$238:$C$451,$C430,'TL01'!$J$238:$J$451),0),
IF('TL02'!$B$3=L$3,SUMIF('TL02'!$C$10:$C$224,$C430,'TL02'!$J$10:$J$224),0),
IF('TL02'!$B$229=L$3,SUMIF('TL02'!$C$238:$C$451,$C430,'TL02'!$J$238:$J$451),0),
IF('TL03'!$B$3=L$3,SUMIF('TL03'!$C$10:$C$224,$C430,'TL03'!$J$10:$J$224),0),
IF('TL03'!$B$229=L$3,SUMIF('TL03'!$C$238:$C$451,$C430,'TL03'!$J$238:$J$451),0),
IF('TL04'!$B$3=L$3,SUMIF('TL04'!$C$10:$C$224,$C430,'TL04'!$J$10:$J$224),0),
IF('TL04'!$B$229=L$3,SUMIF('TL04'!$C$238:$C$451,$C430,'TL04'!$J$238:$J$451),0),
IF('TL05'!$B$3=L$3,SUMIF('TL05'!$C$10:$C$224,$C430,'TL05'!$J$10:$J$224),0),
IF('TL05'!$B$229=L$3,SUMIF('TL05'!$C$238:$C$451,$C430,'TL05'!$J$238:$J$451),0),
IF('TL06'!$B$3=L$3,SUMIF('TL06'!$C$10:$C$224,$C430,'TL06'!$J$10:$J$224),0),
IF('TL06'!$B$229=L$3,SUMIF('TL06'!$C$238:$C$451,$C430,'TL06'!$J$238:$J$451),0),
IF('TL07'!$B$3=L$3,SUMIF('TL07'!$C$10:$C$224,$C430,'TL07'!$J$10:$J$224),0),
IF('TL07'!$B$229=L$3,SUMIF('TL07'!$C$238:$C$451,$C430,'TL07'!$J$238:$J$451),0),
IF('TL08'!$B$3=L$3,SUMIF('TL08'!$C$10:$C$224,$C430,'TL08'!$J$10:$J$224),0),
IF('TL08'!$B$229=L$3,SUMIF('TL08'!$C$238:$C$451,$C430,'TL08'!$J$238:$J$451),0),
IF('TL09'!$B$3=L$3,SUMIF('TL09'!$C$10:$C$224,$C430,'TL09'!$J$10:$J$224),0),
IF('TL09'!$B$229=L$3,SUMIF('TL09'!$C$238:$C$451,$C430,'TL09'!$J$238:$J$451),0),
IF('TL10'!$B$3=L$3,SUMIF('TL10'!$C$10:$C$224,$C430,'TL10'!$J$10:$J$224),0),
IF('TL10'!$B$229=L$3,SUMIF('TL10'!$C$238:$C$451,$C430,'TL10'!$J$238:$J$451),0),
IF('TL11'!$B$3=L$3,SUMIF('TL11'!$C$10:$C$224,$C430,'TL11'!$J$10:$J$224),0),
IF('TL11'!$B$229=L$3,SUMIF('TL11'!$C$238:$C$451,$C430,'TL11'!$J$238:$J$451),0),
IF('TL12'!$B$3=L$3,SUMIF('TL12'!$C$10:$C$224,$C430,'TL12'!$J$10:$J$224),0),
IF('TL12'!$B$229=L$3,SUMIF('TL12'!$C$238:$C$451,$C430,'TL12'!$J$238:$J$451),0),
IF('TL13'!$B$3=L$3,SUMIF('TL13'!$C$10:$C$224,$C430,'TL13'!$J$10:$J$224),0),
IF('TL13'!$B$229=L$3,SUMIF('TL13'!$C$238:$C$451,$C430,'TL13'!$J$238:$J$451),0),
IF('TL14'!$B$3=L$3,SUMIF('TL14'!$C$10:$C$224,$C430,'TL14'!$J$10:$J$224),0),
IF('TL14'!$B$229=L$3,SUMIF('TL14'!$C$238:$C$451,$C430,'TL14'!$J$238:$J$451),0),
IF('TL15'!$B$3=L$3,SUMIF('TL15'!$C$10:$C$224,$C430,'TL15'!$J$10:$J$224),0),
IF('TL15'!$B$229=L$3,SUMIF('TL15'!$C$238:$C$451,$C430,'TL15'!$J$238:$J$451),0),
IF('TL16'!$B$3=L$3,SUMIF('TL16'!$C$10:$C$224,$C430,'TL16'!$J$10:$J$224),0),
IF('TL16'!$B$229=L$3,SUMIF('TL16'!$C$238:$C$451,$C430,'TL16'!$J$238:$J$451),0),
IF('TL17'!$B$3=L$3,SUMIF('TL17'!$C$10:$C$224,$C430,'TL17'!$J$10:$J$224),0),
IF('TL17'!$B$229=L$3,SUMIF('TL17'!$C$238:$C$451,$C430,'TL17'!$J$238:$J$451),0),
IF('TL18'!$B$3=L$3,SUMIF('TL18'!$C$10:$C$224,$C430,'TL18'!$J$10:$J$224),0),
IF('TL18'!$B$229=L$3,SUMIF('TL18'!$C$238:$C$451,$C430,'TL18'!$J$238:$J$451),0),
IF('TL19'!$B$3=L$3,SUMIF('TL19'!$C$10:$C$224,$C430,'TL19'!$J$10:$J$224),0),
IF('TL19'!$B$229=L$3,SUMIF('TL19'!$C$238:$C$451,$C430,'TL19'!$J$238:$J$451),0)
),0)</f>
        <v>0</v>
      </c>
      <c r="M430" s="138">
        <f>IFERROR(SUM(
IF('TL01'!$B$3=M$3,SUMIF('TL01'!$C$10:$C$224,$C430,'TL01'!$J$10:$J$224),0),
IF('TL01'!$B$229=M$3,SUMIF('TL01'!$C$238:$C$451,$C430,'TL01'!$J$238:$J$451),0),
IF('TL02'!$B$3=M$3,SUMIF('TL02'!$C$10:$C$224,$C430,'TL02'!$J$10:$J$224),0),
IF('TL02'!$B$229=M$3,SUMIF('TL02'!$C$238:$C$451,$C430,'TL02'!$J$238:$J$451),0),
IF('TL03'!$B$3=M$3,SUMIF('TL03'!$C$10:$C$224,$C430,'TL03'!$J$10:$J$224),0),
IF('TL03'!$B$229=M$3,SUMIF('TL03'!$C$238:$C$451,$C430,'TL03'!$J$238:$J$451),0),
IF('TL04'!$B$3=M$3,SUMIF('TL04'!$C$10:$C$224,$C430,'TL04'!$J$10:$J$224),0),
IF('TL04'!$B$229=M$3,SUMIF('TL04'!$C$238:$C$451,$C430,'TL04'!$J$238:$J$451),0),
IF('TL05'!$B$3=M$3,SUMIF('TL05'!$C$10:$C$224,$C430,'TL05'!$J$10:$J$224),0),
IF('TL05'!$B$229=M$3,SUMIF('TL05'!$C$238:$C$451,$C430,'TL05'!$J$238:$J$451),0),
IF('TL06'!$B$3=M$3,SUMIF('TL06'!$C$10:$C$224,$C430,'TL06'!$J$10:$J$224),0),
IF('TL06'!$B$229=M$3,SUMIF('TL06'!$C$238:$C$451,$C430,'TL06'!$J$238:$J$451),0),
IF('TL07'!$B$3=M$3,SUMIF('TL07'!$C$10:$C$224,$C430,'TL07'!$J$10:$J$224),0),
IF('TL07'!$B$229=M$3,SUMIF('TL07'!$C$238:$C$451,$C430,'TL07'!$J$238:$J$451),0),
IF('TL08'!$B$3=M$3,SUMIF('TL08'!$C$10:$C$224,$C430,'TL08'!$J$10:$J$224),0),
IF('TL08'!$B$229=M$3,SUMIF('TL08'!$C$238:$C$451,$C430,'TL08'!$J$238:$J$451),0),
IF('TL09'!$B$3=M$3,SUMIF('TL09'!$C$10:$C$224,$C430,'TL09'!$J$10:$J$224),0),
IF('TL09'!$B$229=M$3,SUMIF('TL09'!$C$238:$C$451,$C430,'TL09'!$J$238:$J$451),0),
IF('TL10'!$B$3=M$3,SUMIF('TL10'!$C$10:$C$224,$C430,'TL10'!$J$10:$J$224),0),
IF('TL10'!$B$229=M$3,SUMIF('TL10'!$C$238:$C$451,$C430,'TL10'!$J$238:$J$451),0),
IF('TL11'!$B$3=M$3,SUMIF('TL11'!$C$10:$C$224,$C430,'TL11'!$J$10:$J$224),0),
IF('TL11'!$B$229=M$3,SUMIF('TL11'!$C$238:$C$451,$C430,'TL11'!$J$238:$J$451),0),
IF('TL12'!$B$3=M$3,SUMIF('TL12'!$C$10:$C$224,$C430,'TL12'!$J$10:$J$224),0),
IF('TL12'!$B$229=M$3,SUMIF('TL12'!$C$238:$C$451,$C430,'TL12'!$J$238:$J$451),0),
IF('TL13'!$B$3=M$3,SUMIF('TL13'!$C$10:$C$224,$C430,'TL13'!$J$10:$J$224),0),
IF('TL13'!$B$229=M$3,SUMIF('TL13'!$C$238:$C$451,$C430,'TL13'!$J$238:$J$451),0),
IF('TL14'!$B$3=M$3,SUMIF('TL14'!$C$10:$C$224,$C430,'TL14'!$J$10:$J$224),0),
IF('TL14'!$B$229=M$3,SUMIF('TL14'!$C$238:$C$451,$C430,'TL14'!$J$238:$J$451),0),
IF('TL15'!$B$3=M$3,SUMIF('TL15'!$C$10:$C$224,$C430,'TL15'!$J$10:$J$224),0),
IF('TL15'!$B$229=M$3,SUMIF('TL15'!$C$238:$C$451,$C430,'TL15'!$J$238:$J$451),0),
IF('TL16'!$B$3=M$3,SUMIF('TL16'!$C$10:$C$224,$C430,'TL16'!$J$10:$J$224),0),
IF('TL16'!$B$229=M$3,SUMIF('TL16'!$C$238:$C$451,$C430,'TL16'!$J$238:$J$451),0),
IF('TL17'!$B$3=M$3,SUMIF('TL17'!$C$10:$C$224,$C430,'TL17'!$J$10:$J$224),0),
IF('TL17'!$B$229=M$3,SUMIF('TL17'!$C$238:$C$451,$C430,'TL17'!$J$238:$J$451),0),
IF('TL18'!$B$3=M$3,SUMIF('TL18'!$C$10:$C$224,$C430,'TL18'!$J$10:$J$224),0),
IF('TL18'!$B$229=M$3,SUMIF('TL18'!$C$238:$C$451,$C430,'TL18'!$J$238:$J$451),0),
IF('TL19'!$B$3=M$3,SUMIF('TL19'!$C$10:$C$224,$C430,'TL19'!$J$10:$J$224),0),
IF('TL19'!$B$229=M$3,SUMIF('TL19'!$C$238:$C$451,$C430,'TL19'!$J$238:$J$451),0)
),0)</f>
        <v>0</v>
      </c>
      <c r="N430" s="138">
        <f>IFERROR(SUM(
IF('TL01'!$B$3=N$3,SUMIF('TL01'!$C$10:$C$224,$C430,'TL01'!$J$10:$J$224),0),
IF('TL01'!$B$229=N$3,SUMIF('TL01'!$C$238:$C$451,$C430,'TL01'!$J$238:$J$451),0),
IF('TL02'!$B$3=N$3,SUMIF('TL02'!$C$10:$C$224,$C430,'TL02'!$J$10:$J$224),0),
IF('TL02'!$B$229=N$3,SUMIF('TL02'!$C$238:$C$451,$C430,'TL02'!$J$238:$J$451),0),
IF('TL03'!$B$3=N$3,SUMIF('TL03'!$C$10:$C$224,$C430,'TL03'!$J$10:$J$224),0),
IF('TL03'!$B$229=N$3,SUMIF('TL03'!$C$238:$C$451,$C430,'TL03'!$J$238:$J$451),0),
IF('TL04'!$B$3=N$3,SUMIF('TL04'!$C$10:$C$224,$C430,'TL04'!$J$10:$J$224),0),
IF('TL04'!$B$229=N$3,SUMIF('TL04'!$C$238:$C$451,$C430,'TL04'!$J$238:$J$451),0),
IF('TL05'!$B$3=N$3,SUMIF('TL05'!$C$10:$C$224,$C430,'TL05'!$J$10:$J$224),0),
IF('TL05'!$B$229=N$3,SUMIF('TL05'!$C$238:$C$451,$C430,'TL05'!$J$238:$J$451),0),
IF('TL06'!$B$3=N$3,SUMIF('TL06'!$C$10:$C$224,$C430,'TL06'!$J$10:$J$224),0),
IF('TL06'!$B$229=N$3,SUMIF('TL06'!$C$238:$C$451,$C430,'TL06'!$J$238:$J$451),0),
IF('TL07'!$B$3=N$3,SUMIF('TL07'!$C$10:$C$224,$C430,'TL07'!$J$10:$J$224),0),
IF('TL07'!$B$229=N$3,SUMIF('TL07'!$C$238:$C$451,$C430,'TL07'!$J$238:$J$451),0),
IF('TL08'!$B$3=N$3,SUMIF('TL08'!$C$10:$C$224,$C430,'TL08'!$J$10:$J$224),0),
IF('TL08'!$B$229=N$3,SUMIF('TL08'!$C$238:$C$451,$C430,'TL08'!$J$238:$J$451),0),
IF('TL09'!$B$3=N$3,SUMIF('TL09'!$C$10:$C$224,$C430,'TL09'!$J$10:$J$224),0),
IF('TL09'!$B$229=N$3,SUMIF('TL09'!$C$238:$C$451,$C430,'TL09'!$J$238:$J$451),0),
IF('TL10'!$B$3=N$3,SUMIF('TL10'!$C$10:$C$224,$C430,'TL10'!$J$10:$J$224),0),
IF('TL10'!$B$229=N$3,SUMIF('TL10'!$C$238:$C$451,$C430,'TL10'!$J$238:$J$451),0),
IF('TL11'!$B$3=N$3,SUMIF('TL11'!$C$10:$C$224,$C430,'TL11'!$J$10:$J$224),0),
IF('TL11'!$B$229=N$3,SUMIF('TL11'!$C$238:$C$451,$C430,'TL11'!$J$238:$J$451),0),
IF('TL12'!$B$3=N$3,SUMIF('TL12'!$C$10:$C$224,$C430,'TL12'!$J$10:$J$224),0),
IF('TL12'!$B$229=N$3,SUMIF('TL12'!$C$238:$C$451,$C430,'TL12'!$J$238:$J$451),0),
IF('TL13'!$B$3=N$3,SUMIF('TL13'!$C$10:$C$224,$C430,'TL13'!$J$10:$J$224),0),
IF('TL13'!$B$229=N$3,SUMIF('TL13'!$C$238:$C$451,$C430,'TL13'!$J$238:$J$451),0),
IF('TL14'!$B$3=N$3,SUMIF('TL14'!$C$10:$C$224,$C430,'TL14'!$J$10:$J$224),0),
IF('TL14'!$B$229=N$3,SUMIF('TL14'!$C$238:$C$451,$C430,'TL14'!$J$238:$J$451),0),
IF('TL15'!$B$3=N$3,SUMIF('TL15'!$C$10:$C$224,$C430,'TL15'!$J$10:$J$224),0),
IF('TL15'!$B$229=N$3,SUMIF('TL15'!$C$238:$C$451,$C430,'TL15'!$J$238:$J$451),0),
IF('TL16'!$B$3=N$3,SUMIF('TL16'!$C$10:$C$224,$C430,'TL16'!$J$10:$J$224),0),
IF('TL16'!$B$229=N$3,SUMIF('TL16'!$C$238:$C$451,$C430,'TL16'!$J$238:$J$451),0),
IF('TL17'!$B$3=N$3,SUMIF('TL17'!$C$10:$C$224,$C430,'TL17'!$J$10:$J$224),0),
IF('TL17'!$B$229=N$3,SUMIF('TL17'!$C$238:$C$451,$C430,'TL17'!$J$238:$J$451),0),
IF('TL18'!$B$3=N$3,SUMIF('TL18'!$C$10:$C$224,$C430,'TL18'!$J$10:$J$224),0),
IF('TL18'!$B$229=N$3,SUMIF('TL18'!$C$238:$C$451,$C430,'TL18'!$J$238:$J$451),0),
IF('TL19'!$B$3=N$3,SUMIF('TL19'!$C$10:$C$224,$C430,'TL19'!$J$10:$J$224),0),
IF('TL19'!$B$229=N$3,SUMIF('TL19'!$C$238:$C$451,$C430,'TL19'!$J$238:$J$451),0)
),0)</f>
        <v>0</v>
      </c>
      <c r="O430" s="138">
        <f>IFERROR(SUM(
IF('TL01'!$B$3=O$3,SUMIF('TL01'!$C$10:$C$224,$C430,'TL01'!$J$10:$J$224),0),
IF('TL01'!$B$229=O$3,SUMIF('TL01'!$C$238:$C$451,$C430,'TL01'!$J$238:$J$451),0),
IF('TL02'!$B$3=O$3,SUMIF('TL02'!$C$10:$C$224,$C430,'TL02'!$J$10:$J$224),0),
IF('TL02'!$B$229=O$3,SUMIF('TL02'!$C$238:$C$451,$C430,'TL02'!$J$238:$J$451),0),
IF('TL03'!$B$3=O$3,SUMIF('TL03'!$C$10:$C$224,$C430,'TL03'!$J$10:$J$224),0),
IF('TL03'!$B$229=O$3,SUMIF('TL03'!$C$238:$C$451,$C430,'TL03'!$J$238:$J$451),0),
IF('TL04'!$B$3=O$3,SUMIF('TL04'!$C$10:$C$224,$C430,'TL04'!$J$10:$J$224),0),
IF('TL04'!$B$229=O$3,SUMIF('TL04'!$C$238:$C$451,$C430,'TL04'!$J$238:$J$451),0),
IF('TL05'!$B$3=O$3,SUMIF('TL05'!$C$10:$C$224,$C430,'TL05'!$J$10:$J$224),0),
IF('TL05'!$B$229=O$3,SUMIF('TL05'!$C$238:$C$451,$C430,'TL05'!$J$238:$J$451),0),
IF('TL06'!$B$3=O$3,SUMIF('TL06'!$C$10:$C$224,$C430,'TL06'!$J$10:$J$224),0),
IF('TL06'!$B$229=O$3,SUMIF('TL06'!$C$238:$C$451,$C430,'TL06'!$J$238:$J$451),0),
IF('TL07'!$B$3=O$3,SUMIF('TL07'!$C$10:$C$224,$C430,'TL07'!$J$10:$J$224),0),
IF('TL07'!$B$229=O$3,SUMIF('TL07'!$C$238:$C$451,$C430,'TL07'!$J$238:$J$451),0),
IF('TL08'!$B$3=O$3,SUMIF('TL08'!$C$10:$C$224,$C430,'TL08'!$J$10:$J$224),0),
IF('TL08'!$B$229=O$3,SUMIF('TL08'!$C$238:$C$451,$C430,'TL08'!$J$238:$J$451),0),
IF('TL09'!$B$3=O$3,SUMIF('TL09'!$C$10:$C$224,$C430,'TL09'!$J$10:$J$224),0),
IF('TL09'!$B$229=O$3,SUMIF('TL09'!$C$238:$C$451,$C430,'TL09'!$J$238:$J$451),0),
IF('TL10'!$B$3=O$3,SUMIF('TL10'!$C$10:$C$224,$C430,'TL10'!$J$10:$J$224),0),
IF('TL10'!$B$229=O$3,SUMIF('TL10'!$C$238:$C$451,$C430,'TL10'!$J$238:$J$451),0),
IF('TL11'!$B$3=O$3,SUMIF('TL11'!$C$10:$C$224,$C430,'TL11'!$J$10:$J$224),0),
IF('TL11'!$B$229=O$3,SUMIF('TL11'!$C$238:$C$451,$C430,'TL11'!$J$238:$J$451),0),
IF('TL12'!$B$3=O$3,SUMIF('TL12'!$C$10:$C$224,$C430,'TL12'!$J$10:$J$224),0),
IF('TL12'!$B$229=O$3,SUMIF('TL12'!$C$238:$C$451,$C430,'TL12'!$J$238:$J$451),0),
IF('TL13'!$B$3=O$3,SUMIF('TL13'!$C$10:$C$224,$C430,'TL13'!$J$10:$J$224),0),
IF('TL13'!$B$229=O$3,SUMIF('TL13'!$C$238:$C$451,$C430,'TL13'!$J$238:$J$451),0),
IF('TL14'!$B$3=O$3,SUMIF('TL14'!$C$10:$C$224,$C430,'TL14'!$J$10:$J$224),0),
IF('TL14'!$B$229=O$3,SUMIF('TL14'!$C$238:$C$451,$C430,'TL14'!$J$238:$J$451),0),
IF('TL15'!$B$3=O$3,SUMIF('TL15'!$C$10:$C$224,$C430,'TL15'!$J$10:$J$224),0),
IF('TL15'!$B$229=O$3,SUMIF('TL15'!$C$238:$C$451,$C430,'TL15'!$J$238:$J$451),0),
IF('TL16'!$B$3=O$3,SUMIF('TL16'!$C$10:$C$224,$C430,'TL16'!$J$10:$J$224),0),
IF('TL16'!$B$229=O$3,SUMIF('TL16'!$C$238:$C$451,$C430,'TL16'!$J$238:$J$451),0),
IF('TL17'!$B$3=O$3,SUMIF('TL17'!$C$10:$C$224,$C430,'TL17'!$J$10:$J$224),0),
IF('TL17'!$B$229=O$3,SUMIF('TL17'!$C$238:$C$451,$C430,'TL17'!$J$238:$J$451),0),
IF('TL18'!$B$3=O$3,SUMIF('TL18'!$C$10:$C$224,$C430,'TL18'!$J$10:$J$224),0),
IF('TL18'!$B$229=O$3,SUMIF('TL18'!$C$238:$C$451,$C430,'TL18'!$J$238:$J$451),0),
IF('TL19'!$B$3=O$3,SUMIF('TL19'!$C$10:$C$224,$C430,'TL19'!$J$10:$J$224),0),
IF('TL19'!$B$229=O$3,SUMIF('TL19'!$C$238:$C$451,$C430,'TL19'!$J$238:$J$451),0)
),0)</f>
        <v>0</v>
      </c>
      <c r="P430" s="138">
        <f>IFERROR(SUM(
IF('TL01'!$B$3=P$3,SUMIF('TL01'!$C$10:$C$224,$C430,'TL01'!$J$10:$J$224),0),
IF('TL01'!$B$229=P$3,SUMIF('TL01'!$C$238:$C$451,$C430,'TL01'!$J$238:$J$451),0),
IF('TL02'!$B$3=P$3,SUMIF('TL02'!$C$10:$C$224,$C430,'TL02'!$J$10:$J$224),0),
IF('TL02'!$B$229=P$3,SUMIF('TL02'!$C$238:$C$451,$C430,'TL02'!$J$238:$J$451),0),
IF('TL03'!$B$3=P$3,SUMIF('TL03'!$C$10:$C$224,$C430,'TL03'!$J$10:$J$224),0),
IF('TL03'!$B$229=P$3,SUMIF('TL03'!$C$238:$C$451,$C430,'TL03'!$J$238:$J$451),0),
IF('TL04'!$B$3=P$3,SUMIF('TL04'!$C$10:$C$224,$C430,'TL04'!$J$10:$J$224),0),
IF('TL04'!$B$229=P$3,SUMIF('TL04'!$C$238:$C$451,$C430,'TL04'!$J$238:$J$451),0),
IF('TL05'!$B$3=P$3,SUMIF('TL05'!$C$10:$C$224,$C430,'TL05'!$J$10:$J$224),0),
IF('TL05'!$B$229=P$3,SUMIF('TL05'!$C$238:$C$451,$C430,'TL05'!$J$238:$J$451),0),
IF('TL06'!$B$3=P$3,SUMIF('TL06'!$C$10:$C$224,$C430,'TL06'!$J$10:$J$224),0),
IF('TL06'!$B$229=P$3,SUMIF('TL06'!$C$238:$C$451,$C430,'TL06'!$J$238:$J$451),0),
IF('TL07'!$B$3=P$3,SUMIF('TL07'!$C$10:$C$224,$C430,'TL07'!$J$10:$J$224),0),
IF('TL07'!$B$229=P$3,SUMIF('TL07'!$C$238:$C$451,$C430,'TL07'!$J$238:$J$451),0),
IF('TL08'!$B$3=P$3,SUMIF('TL08'!$C$10:$C$224,$C430,'TL08'!$J$10:$J$224),0),
IF('TL08'!$B$229=P$3,SUMIF('TL08'!$C$238:$C$451,$C430,'TL08'!$J$238:$J$451),0),
IF('TL09'!$B$3=P$3,SUMIF('TL09'!$C$10:$C$224,$C430,'TL09'!$J$10:$J$224),0),
IF('TL09'!$B$229=P$3,SUMIF('TL09'!$C$238:$C$451,$C430,'TL09'!$J$238:$J$451),0),
IF('TL10'!$B$3=P$3,SUMIF('TL10'!$C$10:$C$224,$C430,'TL10'!$J$10:$J$224),0),
IF('TL10'!$B$229=P$3,SUMIF('TL10'!$C$238:$C$451,$C430,'TL10'!$J$238:$J$451),0),
IF('TL11'!$B$3=P$3,SUMIF('TL11'!$C$10:$C$224,$C430,'TL11'!$J$10:$J$224),0),
IF('TL11'!$B$229=P$3,SUMIF('TL11'!$C$238:$C$451,$C430,'TL11'!$J$238:$J$451),0),
IF('TL12'!$B$3=P$3,SUMIF('TL12'!$C$10:$C$224,$C430,'TL12'!$J$10:$J$224),0),
IF('TL12'!$B$229=P$3,SUMIF('TL12'!$C$238:$C$451,$C430,'TL12'!$J$238:$J$451),0),
IF('TL13'!$B$3=P$3,SUMIF('TL13'!$C$10:$C$224,$C430,'TL13'!$J$10:$J$224),0),
IF('TL13'!$B$229=P$3,SUMIF('TL13'!$C$238:$C$451,$C430,'TL13'!$J$238:$J$451),0),
IF('TL14'!$B$3=P$3,SUMIF('TL14'!$C$10:$C$224,$C430,'TL14'!$J$10:$J$224),0),
IF('TL14'!$B$229=P$3,SUMIF('TL14'!$C$238:$C$451,$C430,'TL14'!$J$238:$J$451),0),
IF('TL15'!$B$3=P$3,SUMIF('TL15'!$C$10:$C$224,$C430,'TL15'!$J$10:$J$224),0),
IF('TL15'!$B$229=P$3,SUMIF('TL15'!$C$238:$C$451,$C430,'TL15'!$J$238:$J$451),0),
IF('TL16'!$B$3=P$3,SUMIF('TL16'!$C$10:$C$224,$C430,'TL16'!$J$10:$J$224),0),
IF('TL16'!$B$229=P$3,SUMIF('TL16'!$C$238:$C$451,$C430,'TL16'!$J$238:$J$451),0),
IF('TL17'!$B$3=P$3,SUMIF('TL17'!$C$10:$C$224,$C430,'TL17'!$J$10:$J$224),0),
IF('TL17'!$B$229=P$3,SUMIF('TL17'!$C$238:$C$451,$C430,'TL17'!$J$238:$J$451),0),
IF('TL18'!$B$3=P$3,SUMIF('TL18'!$C$10:$C$224,$C430,'TL18'!$J$10:$J$224),0),
IF('TL18'!$B$229=P$3,SUMIF('TL18'!$C$238:$C$451,$C430,'TL18'!$J$238:$J$451),0),
IF('TL19'!$B$3=P$3,SUMIF('TL19'!$C$10:$C$224,$C430,'TL19'!$J$10:$J$224),0),
IF('TL19'!$B$229=P$3,SUMIF('TL19'!$C$238:$C$451,$C430,'TL19'!$J$238:$J$451),0)
),0)</f>
        <v>0</v>
      </c>
      <c r="Q430" s="138">
        <f>IFERROR(SUM(
IF('TL01'!$B$3=Q$3,SUMIF('TL01'!$C$10:$C$224,$C430,'TL01'!$J$10:$J$224),0),
IF('TL01'!$B$229=Q$3,SUMIF('TL01'!$C$238:$C$451,$C430,'TL01'!$J$238:$J$451),0),
IF('TL02'!$B$3=Q$3,SUMIF('TL02'!$C$10:$C$224,$C430,'TL02'!$J$10:$J$224),0),
IF('TL02'!$B$229=Q$3,SUMIF('TL02'!$C$238:$C$451,$C430,'TL02'!$J$238:$J$451),0),
IF('TL03'!$B$3=Q$3,SUMIF('TL03'!$C$10:$C$224,$C430,'TL03'!$J$10:$J$224),0),
IF('TL03'!$B$229=Q$3,SUMIF('TL03'!$C$238:$C$451,$C430,'TL03'!$J$238:$J$451),0),
IF('TL04'!$B$3=Q$3,SUMIF('TL04'!$C$10:$C$224,$C430,'TL04'!$J$10:$J$224),0),
IF('TL04'!$B$229=Q$3,SUMIF('TL04'!$C$238:$C$451,$C430,'TL04'!$J$238:$J$451),0),
IF('TL05'!$B$3=Q$3,SUMIF('TL05'!$C$10:$C$224,$C430,'TL05'!$J$10:$J$224),0),
IF('TL05'!$B$229=Q$3,SUMIF('TL05'!$C$238:$C$451,$C430,'TL05'!$J$238:$J$451),0),
IF('TL06'!$B$3=Q$3,SUMIF('TL06'!$C$10:$C$224,$C430,'TL06'!$J$10:$J$224),0),
IF('TL06'!$B$229=Q$3,SUMIF('TL06'!$C$238:$C$451,$C430,'TL06'!$J$238:$J$451),0),
IF('TL07'!$B$3=Q$3,SUMIF('TL07'!$C$10:$C$224,$C430,'TL07'!$J$10:$J$224),0),
IF('TL07'!$B$229=Q$3,SUMIF('TL07'!$C$238:$C$451,$C430,'TL07'!$J$238:$J$451),0),
IF('TL08'!$B$3=Q$3,SUMIF('TL08'!$C$10:$C$224,$C430,'TL08'!$J$10:$J$224),0),
IF('TL08'!$B$229=Q$3,SUMIF('TL08'!$C$238:$C$451,$C430,'TL08'!$J$238:$J$451),0),
IF('TL09'!$B$3=Q$3,SUMIF('TL09'!$C$10:$C$224,$C430,'TL09'!$J$10:$J$224),0),
IF('TL09'!$B$229=Q$3,SUMIF('TL09'!$C$238:$C$451,$C430,'TL09'!$J$238:$J$451),0),
IF('TL10'!$B$3=Q$3,SUMIF('TL10'!$C$10:$C$224,$C430,'TL10'!$J$10:$J$224),0),
IF('TL10'!$B$229=Q$3,SUMIF('TL10'!$C$238:$C$451,$C430,'TL10'!$J$238:$J$451),0),
IF('TL11'!$B$3=Q$3,SUMIF('TL11'!$C$10:$C$224,$C430,'TL11'!$J$10:$J$224),0),
IF('TL11'!$B$229=Q$3,SUMIF('TL11'!$C$238:$C$451,$C430,'TL11'!$J$238:$J$451),0),
IF('TL12'!$B$3=Q$3,SUMIF('TL12'!$C$10:$C$224,$C430,'TL12'!$J$10:$J$224),0),
IF('TL12'!$B$229=Q$3,SUMIF('TL12'!$C$238:$C$451,$C430,'TL12'!$J$238:$J$451),0),
IF('TL13'!$B$3=Q$3,SUMIF('TL13'!$C$10:$C$224,$C430,'TL13'!$J$10:$J$224),0),
IF('TL13'!$B$229=Q$3,SUMIF('TL13'!$C$238:$C$451,$C430,'TL13'!$J$238:$J$451),0),
IF('TL14'!$B$3=Q$3,SUMIF('TL14'!$C$10:$C$224,$C430,'TL14'!$J$10:$J$224),0),
IF('TL14'!$B$229=Q$3,SUMIF('TL14'!$C$238:$C$451,$C430,'TL14'!$J$238:$J$451),0),
IF('TL15'!$B$3=Q$3,SUMIF('TL15'!$C$10:$C$224,$C430,'TL15'!$J$10:$J$224),0),
IF('TL15'!$B$229=Q$3,SUMIF('TL15'!$C$238:$C$451,$C430,'TL15'!$J$238:$J$451),0),
IF('TL16'!$B$3=Q$3,SUMIF('TL16'!$C$10:$C$224,$C430,'TL16'!$J$10:$J$224),0),
IF('TL16'!$B$229=Q$3,SUMIF('TL16'!$C$238:$C$451,$C430,'TL16'!$J$238:$J$451),0),
IF('TL17'!$B$3=Q$3,SUMIF('TL17'!$C$10:$C$224,$C430,'TL17'!$J$10:$J$224),0),
IF('TL17'!$B$229=Q$3,SUMIF('TL17'!$C$238:$C$451,$C430,'TL17'!$J$238:$J$451),0),
IF('TL18'!$B$3=Q$3,SUMIF('TL18'!$C$10:$C$224,$C430,'TL18'!$J$10:$J$224),0),
IF('TL18'!$B$229=Q$3,SUMIF('TL18'!$C$238:$C$451,$C430,'TL18'!$J$238:$J$451),0),
IF('TL19'!$B$3=Q$3,SUMIF('TL19'!$C$10:$C$224,$C430,'TL19'!$J$10:$J$224),0),
IF('TL19'!$B$229=Q$3,SUMIF('TL19'!$C$238:$C$451,$C430,'TL19'!$J$238:$J$451),0)
),0)</f>
        <v>0</v>
      </c>
      <c r="R430" s="139">
        <f>IFERROR(
SUM(
SUMIF('TL01'!C:C,C430,'TL01'!J:J),
SUMIF('TL02'!C:C,C430,'TL02'!I:I),
SUMIF('TL03'!C:C,C430,'TL03'!I:I),
SUMIF('TL04'!C:C,C430,'TL04'!I:I),
SUMIF('TL05'!C:C,C430,'TL05'!I:I),
SUMIF('TL06'!C:C,C430,'TL06'!I:I),
SUMIF('TL07'!C:C,C430,'TL07'!I:I),
SUMIF('TL08'!C:C,C430,'TL08'!I:I),
SUMIF('TL09'!C:C,C430,'TL09'!I:I),
SUMIF('TL10'!C:C,C430,'TL10'!I:I),
SUMIF('TL11'!C:C,C430,'TL11'!I:I),
SUMIF('TL12'!C:C,C430,'TL12'!I:I),
SUMIF('TL13'!C:C,C430,'TL13'!I:I),
SUMIF('TL14'!C:C,C430,'TL14'!I:I),
SUMIF('TL15'!C:C,C430,'TL15'!I:I),
SUMIF('TL16'!C:C,C430,'TL16'!I:I),
SUMIF('TL17'!C:C,C430,'TL17'!I:I),
SUMIF('TL18'!C:C,C430,'TL18'!I:I))
,0)</f>
        <v>0</v>
      </c>
      <c r="S430" s="142" t="str">
        <f>'CUSTO OPERAÇÃO'!M34</f>
        <v/>
      </c>
      <c r="T430" s="139"/>
      <c r="U430" s="143">
        <f t="shared" si="2"/>
        <v>0</v>
      </c>
      <c r="V430" s="144">
        <f t="shared" si="3"/>
        <v>0</v>
      </c>
    </row>
    <row r="431" ht="15.75" hidden="1" customHeight="1">
      <c r="A431" s="138"/>
      <c r="B431" s="155"/>
      <c r="C431" s="138"/>
      <c r="D431" s="138"/>
      <c r="E431" s="139"/>
      <c r="F431" s="138" t="s">
        <v>1133</v>
      </c>
      <c r="G431" s="139"/>
      <c r="H431" s="139" t="str">
        <f>'CUSTO OPERAÇÃO'!J35</f>
        <v/>
      </c>
      <c r="I431" s="156"/>
      <c r="J431" s="138">
        <f>IFERROR(SUM(
IF('TL01'!$B$3=J$3,SUMIF('TL01'!$C$10:$C$224,$C431,'TL01'!$J$10:$J$224),0),
IF('TL01'!$B$229=J$3,SUMIF('TL01'!$C$238:$C$451,$C431,'TL01'!$J$238:$J$451),0),
IF('TL02'!$B$3=J$3,SUMIF('TL02'!$C$10:$C$224,$C431,'TL02'!$J$10:$J$224),0),
IF('TL02'!$B$229=J$3,SUMIF('TL02'!$C$238:$C$451,$C431,'TL02'!$J$238:$J$451),0),
IF('TL03'!$B$3=J$3,SUMIF('TL03'!$C$10:$C$224,$C431,'TL03'!$J$10:$J$224),0),
IF('TL03'!$B$229=J$3,SUMIF('TL03'!$C$238:$C$451,$C431,'TL03'!$J$238:$J$451),0),
IF('TL04'!$B$3=J$3,SUMIF('TL04'!$C$10:$C$224,$C431,'TL04'!$J$10:$J$224),0),
IF('TL04'!$B$229=J$3,SUMIF('TL04'!$C$238:$C$451,$C431,'TL04'!$J$238:$J$451),0),
IF('TL05'!$B$3=J$3,SUMIF('TL05'!$C$10:$C$224,$C431,'TL05'!$J$10:$J$224),0),
IF('TL05'!$B$229=J$3,SUMIF('TL05'!$C$238:$C$451,$C431,'TL05'!$J$238:$J$451),0),
IF('TL06'!$B$3=J$3,SUMIF('TL06'!$C$10:$C$224,$C431,'TL06'!$J$10:$J$224),0),
IF('TL06'!$B$229=J$3,SUMIF('TL06'!$C$238:$C$451,$C431,'TL06'!$J$238:$J$451),0),
IF('TL07'!$B$3=J$3,SUMIF('TL07'!$C$10:$C$224,$C431,'TL07'!$J$10:$J$224),0),
IF('TL07'!$B$229=J$3,SUMIF('TL07'!$C$238:$C$451,$C431,'TL07'!$J$238:$J$451),0),
IF('TL08'!$B$3=J$3,SUMIF('TL08'!$C$10:$C$224,$C431,'TL08'!$J$10:$J$224),0),
IF('TL08'!$B$229=J$3,SUMIF('TL08'!$C$238:$C$451,$C431,'TL08'!$J$238:$J$451),0),
IF('TL09'!$B$3=J$3,SUMIF('TL09'!$C$10:$C$224,$C431,'TL09'!$J$10:$J$224),0),
IF('TL09'!$B$229=J$3,SUMIF('TL09'!$C$238:$C$451,$C431,'TL09'!$J$238:$J$451),0),
IF('TL10'!$B$3=J$3,SUMIF('TL10'!$C$10:$C$224,$C431,'TL10'!$J$10:$J$224),0),
IF('TL10'!$B$229=J$3,SUMIF('TL10'!$C$238:$C$451,$C431,'TL10'!$J$238:$J$451),0),
IF('TL11'!$B$3=J$3,SUMIF('TL11'!$C$10:$C$224,$C431,'TL11'!$J$10:$J$224),0),
IF('TL11'!$B$229=J$3,SUMIF('TL11'!$C$238:$C$451,$C431,'TL11'!$J$238:$J$451),0),
IF('TL12'!$B$3=J$3,SUMIF('TL12'!$C$10:$C$224,$C431,'TL12'!$J$10:$J$224),0),
IF('TL12'!$B$229=J$3,SUMIF('TL12'!$C$238:$C$451,$C431,'TL12'!$J$238:$J$451),0),
IF('TL13'!$B$3=J$3,SUMIF('TL13'!$C$10:$C$224,$C431,'TL13'!$J$10:$J$224),0),
IF('TL13'!$B$229=J$3,SUMIF('TL13'!$C$238:$C$451,$C431,'TL13'!$J$238:$J$451),0),
IF('TL14'!$B$3=J$3,SUMIF('TL14'!$C$10:$C$224,$C431,'TL14'!$J$10:$J$224),0),
IF('TL14'!$B$229=J$3,SUMIF('TL14'!$C$238:$C$451,$C431,'TL14'!$J$238:$J$451),0),
IF('TL15'!$B$3=J$3,SUMIF('TL15'!$C$10:$C$224,$C431,'TL15'!$J$10:$J$224),0),
IF('TL15'!$B$229=J$3,SUMIF('TL15'!$C$238:$C$451,$C431,'TL15'!$J$238:$J$451),0),
IF('TL16'!$B$3=J$3,SUMIF('TL16'!$C$10:$C$224,$C431,'TL16'!$J$10:$J$224),0),
IF('TL16'!$B$229=J$3,SUMIF('TL16'!$C$238:$C$451,$C431,'TL16'!$J$238:$J$451),0),
IF('TL17'!$B$3=J$3,SUMIF('TL17'!$C$10:$C$224,$C431,'TL17'!$J$10:$J$224),0),
IF('TL17'!$B$229=J$3,SUMIF('TL17'!$C$238:$C$451,$C431,'TL17'!$J$238:$J$451),0),
IF('TL18'!$B$3=J$3,SUMIF('TL18'!$C$10:$C$224,$C431,'TL18'!$J$10:$J$224),0),
IF('TL18'!$B$229=J$3,SUMIF('TL18'!$C$238:$C$451,$C431,'TL18'!$J$238:$J$451),0),
IF('TL19'!$B$3=J$3,SUMIF('TL19'!$C$10:$C$224,$C431,'TL19'!$J$10:$J$224),0),
IF('TL19'!$B$229=J$3,SUMIF('TL19'!$C$238:$C$451,$C431,'TL19'!$J$238:$J$451),0)
),0)</f>
        <v>0</v>
      </c>
      <c r="K431" s="138">
        <f>IFERROR(SUM(
IF('TL01'!$B$3=K$3,SUMIF('TL01'!$C$10:$C$224,$C431,'TL01'!$J$10:$J$224),0),
IF('TL01'!$B$229=K$3,SUMIF('TL01'!$C$238:$C$451,$C431,'TL01'!$J$238:$J$451),0),
IF('TL02'!$B$3=K$3,SUMIF('TL02'!$C$10:$C$224,$C431,'TL02'!$J$10:$J$224),0),
IF('TL02'!$B$229=K$3,SUMIF('TL02'!$C$238:$C$451,$C431,'TL02'!$J$238:$J$451),0),
IF('TL03'!$B$3=K$3,SUMIF('TL03'!$C$10:$C$224,$C431,'TL03'!$J$10:$J$224),0),
IF('TL03'!$B$229=K$3,SUMIF('TL03'!$C$238:$C$451,$C431,'TL03'!$J$238:$J$451),0),
IF('TL04'!$B$3=K$3,SUMIF('TL04'!$C$10:$C$224,$C431,'TL04'!$J$10:$J$224),0),
IF('TL04'!$B$229=K$3,SUMIF('TL04'!$C$238:$C$451,$C431,'TL04'!$J$238:$J$451),0),
IF('TL05'!$B$3=K$3,SUMIF('TL05'!$C$10:$C$224,$C431,'TL05'!$J$10:$J$224),0),
IF('TL05'!$B$229=K$3,SUMIF('TL05'!$C$238:$C$451,$C431,'TL05'!$J$238:$J$451),0),
IF('TL06'!$B$3=K$3,SUMIF('TL06'!$C$10:$C$224,$C431,'TL06'!$J$10:$J$224),0),
IF('TL06'!$B$229=K$3,SUMIF('TL06'!$C$238:$C$451,$C431,'TL06'!$J$238:$J$451),0),
IF('TL07'!$B$3=K$3,SUMIF('TL07'!$C$10:$C$224,$C431,'TL07'!$J$10:$J$224),0),
IF('TL07'!$B$229=K$3,SUMIF('TL07'!$C$238:$C$451,$C431,'TL07'!$J$238:$J$451),0),
IF('TL08'!$B$3=K$3,SUMIF('TL08'!$C$10:$C$224,$C431,'TL08'!$J$10:$J$224),0),
IF('TL08'!$B$229=K$3,SUMIF('TL08'!$C$238:$C$451,$C431,'TL08'!$J$238:$J$451),0),
IF('TL09'!$B$3=K$3,SUMIF('TL09'!$C$10:$C$224,$C431,'TL09'!$J$10:$J$224),0),
IF('TL09'!$B$229=K$3,SUMIF('TL09'!$C$238:$C$451,$C431,'TL09'!$J$238:$J$451),0),
IF('TL10'!$B$3=K$3,SUMIF('TL10'!$C$10:$C$224,$C431,'TL10'!$J$10:$J$224),0),
IF('TL10'!$B$229=K$3,SUMIF('TL10'!$C$238:$C$451,$C431,'TL10'!$J$238:$J$451),0),
IF('TL11'!$B$3=K$3,SUMIF('TL11'!$C$10:$C$224,$C431,'TL11'!$J$10:$J$224),0),
IF('TL11'!$B$229=K$3,SUMIF('TL11'!$C$238:$C$451,$C431,'TL11'!$J$238:$J$451),0),
IF('TL12'!$B$3=K$3,SUMIF('TL12'!$C$10:$C$224,$C431,'TL12'!$J$10:$J$224),0),
IF('TL12'!$B$229=K$3,SUMIF('TL12'!$C$238:$C$451,$C431,'TL12'!$J$238:$J$451),0),
IF('TL13'!$B$3=K$3,SUMIF('TL13'!$C$10:$C$224,$C431,'TL13'!$J$10:$J$224),0),
IF('TL13'!$B$229=K$3,SUMIF('TL13'!$C$238:$C$451,$C431,'TL13'!$J$238:$J$451),0),
IF('TL14'!$B$3=K$3,SUMIF('TL14'!$C$10:$C$224,$C431,'TL14'!$J$10:$J$224),0),
IF('TL14'!$B$229=K$3,SUMIF('TL14'!$C$238:$C$451,$C431,'TL14'!$J$238:$J$451),0),
IF('TL15'!$B$3=K$3,SUMIF('TL15'!$C$10:$C$224,$C431,'TL15'!$J$10:$J$224),0),
IF('TL15'!$B$229=K$3,SUMIF('TL15'!$C$238:$C$451,$C431,'TL15'!$J$238:$J$451),0),
IF('TL16'!$B$3=K$3,SUMIF('TL16'!$C$10:$C$224,$C431,'TL16'!$J$10:$J$224),0),
IF('TL16'!$B$229=K$3,SUMIF('TL16'!$C$238:$C$451,$C431,'TL16'!$J$238:$J$451),0),
IF('TL17'!$B$3=K$3,SUMIF('TL17'!$C$10:$C$224,$C431,'TL17'!$J$10:$J$224),0),
IF('TL17'!$B$229=K$3,SUMIF('TL17'!$C$238:$C$451,$C431,'TL17'!$J$238:$J$451),0),
IF('TL18'!$B$3=K$3,SUMIF('TL18'!$C$10:$C$224,$C431,'TL18'!$J$10:$J$224),0),
IF('TL18'!$B$229=K$3,SUMIF('TL18'!$C$238:$C$451,$C431,'TL18'!$J$238:$J$451),0),
IF('TL19'!$B$3=K$3,SUMIF('TL19'!$C$10:$C$224,$C431,'TL19'!$J$10:$J$224),0),
IF('TL19'!$B$229=K$3,SUMIF('TL19'!$C$238:$C$451,$C431,'TL19'!$J$238:$J$451),0)
),0)</f>
        <v>0</v>
      </c>
      <c r="L431" s="138">
        <f>IFERROR(SUM(
IF('TL01'!$B$3=L$3,SUMIF('TL01'!$C$10:$C$224,$C431,'TL01'!$J$10:$J$224),0),
IF('TL01'!$B$229=L$3,SUMIF('TL01'!$C$238:$C$451,$C431,'TL01'!$J$238:$J$451),0),
IF('TL02'!$B$3=L$3,SUMIF('TL02'!$C$10:$C$224,$C431,'TL02'!$J$10:$J$224),0),
IF('TL02'!$B$229=L$3,SUMIF('TL02'!$C$238:$C$451,$C431,'TL02'!$J$238:$J$451),0),
IF('TL03'!$B$3=L$3,SUMIF('TL03'!$C$10:$C$224,$C431,'TL03'!$J$10:$J$224),0),
IF('TL03'!$B$229=L$3,SUMIF('TL03'!$C$238:$C$451,$C431,'TL03'!$J$238:$J$451),0),
IF('TL04'!$B$3=L$3,SUMIF('TL04'!$C$10:$C$224,$C431,'TL04'!$J$10:$J$224),0),
IF('TL04'!$B$229=L$3,SUMIF('TL04'!$C$238:$C$451,$C431,'TL04'!$J$238:$J$451),0),
IF('TL05'!$B$3=L$3,SUMIF('TL05'!$C$10:$C$224,$C431,'TL05'!$J$10:$J$224),0),
IF('TL05'!$B$229=L$3,SUMIF('TL05'!$C$238:$C$451,$C431,'TL05'!$J$238:$J$451),0),
IF('TL06'!$B$3=L$3,SUMIF('TL06'!$C$10:$C$224,$C431,'TL06'!$J$10:$J$224),0),
IF('TL06'!$B$229=L$3,SUMIF('TL06'!$C$238:$C$451,$C431,'TL06'!$J$238:$J$451),0),
IF('TL07'!$B$3=L$3,SUMIF('TL07'!$C$10:$C$224,$C431,'TL07'!$J$10:$J$224),0),
IF('TL07'!$B$229=L$3,SUMIF('TL07'!$C$238:$C$451,$C431,'TL07'!$J$238:$J$451),0),
IF('TL08'!$B$3=L$3,SUMIF('TL08'!$C$10:$C$224,$C431,'TL08'!$J$10:$J$224),0),
IF('TL08'!$B$229=L$3,SUMIF('TL08'!$C$238:$C$451,$C431,'TL08'!$J$238:$J$451),0),
IF('TL09'!$B$3=L$3,SUMIF('TL09'!$C$10:$C$224,$C431,'TL09'!$J$10:$J$224),0),
IF('TL09'!$B$229=L$3,SUMIF('TL09'!$C$238:$C$451,$C431,'TL09'!$J$238:$J$451),0),
IF('TL10'!$B$3=L$3,SUMIF('TL10'!$C$10:$C$224,$C431,'TL10'!$J$10:$J$224),0),
IF('TL10'!$B$229=L$3,SUMIF('TL10'!$C$238:$C$451,$C431,'TL10'!$J$238:$J$451),0),
IF('TL11'!$B$3=L$3,SUMIF('TL11'!$C$10:$C$224,$C431,'TL11'!$J$10:$J$224),0),
IF('TL11'!$B$229=L$3,SUMIF('TL11'!$C$238:$C$451,$C431,'TL11'!$J$238:$J$451),0),
IF('TL12'!$B$3=L$3,SUMIF('TL12'!$C$10:$C$224,$C431,'TL12'!$J$10:$J$224),0),
IF('TL12'!$B$229=L$3,SUMIF('TL12'!$C$238:$C$451,$C431,'TL12'!$J$238:$J$451),0),
IF('TL13'!$B$3=L$3,SUMIF('TL13'!$C$10:$C$224,$C431,'TL13'!$J$10:$J$224),0),
IF('TL13'!$B$229=L$3,SUMIF('TL13'!$C$238:$C$451,$C431,'TL13'!$J$238:$J$451),0),
IF('TL14'!$B$3=L$3,SUMIF('TL14'!$C$10:$C$224,$C431,'TL14'!$J$10:$J$224),0),
IF('TL14'!$B$229=L$3,SUMIF('TL14'!$C$238:$C$451,$C431,'TL14'!$J$238:$J$451),0),
IF('TL15'!$B$3=L$3,SUMIF('TL15'!$C$10:$C$224,$C431,'TL15'!$J$10:$J$224),0),
IF('TL15'!$B$229=L$3,SUMIF('TL15'!$C$238:$C$451,$C431,'TL15'!$J$238:$J$451),0),
IF('TL16'!$B$3=L$3,SUMIF('TL16'!$C$10:$C$224,$C431,'TL16'!$J$10:$J$224),0),
IF('TL16'!$B$229=L$3,SUMIF('TL16'!$C$238:$C$451,$C431,'TL16'!$J$238:$J$451),0),
IF('TL17'!$B$3=L$3,SUMIF('TL17'!$C$10:$C$224,$C431,'TL17'!$J$10:$J$224),0),
IF('TL17'!$B$229=L$3,SUMIF('TL17'!$C$238:$C$451,$C431,'TL17'!$J$238:$J$451),0),
IF('TL18'!$B$3=L$3,SUMIF('TL18'!$C$10:$C$224,$C431,'TL18'!$J$10:$J$224),0),
IF('TL18'!$B$229=L$3,SUMIF('TL18'!$C$238:$C$451,$C431,'TL18'!$J$238:$J$451),0),
IF('TL19'!$B$3=L$3,SUMIF('TL19'!$C$10:$C$224,$C431,'TL19'!$J$10:$J$224),0),
IF('TL19'!$B$229=L$3,SUMIF('TL19'!$C$238:$C$451,$C431,'TL19'!$J$238:$J$451),0)
),0)</f>
        <v>0</v>
      </c>
      <c r="M431" s="138">
        <f>IFERROR(SUM(
IF('TL01'!$B$3=M$3,SUMIF('TL01'!$C$10:$C$224,$C431,'TL01'!$J$10:$J$224),0),
IF('TL01'!$B$229=M$3,SUMIF('TL01'!$C$238:$C$451,$C431,'TL01'!$J$238:$J$451),0),
IF('TL02'!$B$3=M$3,SUMIF('TL02'!$C$10:$C$224,$C431,'TL02'!$J$10:$J$224),0),
IF('TL02'!$B$229=M$3,SUMIF('TL02'!$C$238:$C$451,$C431,'TL02'!$J$238:$J$451),0),
IF('TL03'!$B$3=M$3,SUMIF('TL03'!$C$10:$C$224,$C431,'TL03'!$J$10:$J$224),0),
IF('TL03'!$B$229=M$3,SUMIF('TL03'!$C$238:$C$451,$C431,'TL03'!$J$238:$J$451),0),
IF('TL04'!$B$3=M$3,SUMIF('TL04'!$C$10:$C$224,$C431,'TL04'!$J$10:$J$224),0),
IF('TL04'!$B$229=M$3,SUMIF('TL04'!$C$238:$C$451,$C431,'TL04'!$J$238:$J$451),0),
IF('TL05'!$B$3=M$3,SUMIF('TL05'!$C$10:$C$224,$C431,'TL05'!$J$10:$J$224),0),
IF('TL05'!$B$229=M$3,SUMIF('TL05'!$C$238:$C$451,$C431,'TL05'!$J$238:$J$451),0),
IF('TL06'!$B$3=M$3,SUMIF('TL06'!$C$10:$C$224,$C431,'TL06'!$J$10:$J$224),0),
IF('TL06'!$B$229=M$3,SUMIF('TL06'!$C$238:$C$451,$C431,'TL06'!$J$238:$J$451),0),
IF('TL07'!$B$3=M$3,SUMIF('TL07'!$C$10:$C$224,$C431,'TL07'!$J$10:$J$224),0),
IF('TL07'!$B$229=M$3,SUMIF('TL07'!$C$238:$C$451,$C431,'TL07'!$J$238:$J$451),0),
IF('TL08'!$B$3=M$3,SUMIF('TL08'!$C$10:$C$224,$C431,'TL08'!$J$10:$J$224),0),
IF('TL08'!$B$229=M$3,SUMIF('TL08'!$C$238:$C$451,$C431,'TL08'!$J$238:$J$451),0),
IF('TL09'!$B$3=M$3,SUMIF('TL09'!$C$10:$C$224,$C431,'TL09'!$J$10:$J$224),0),
IF('TL09'!$B$229=M$3,SUMIF('TL09'!$C$238:$C$451,$C431,'TL09'!$J$238:$J$451),0),
IF('TL10'!$B$3=M$3,SUMIF('TL10'!$C$10:$C$224,$C431,'TL10'!$J$10:$J$224),0),
IF('TL10'!$B$229=M$3,SUMIF('TL10'!$C$238:$C$451,$C431,'TL10'!$J$238:$J$451),0),
IF('TL11'!$B$3=M$3,SUMIF('TL11'!$C$10:$C$224,$C431,'TL11'!$J$10:$J$224),0),
IF('TL11'!$B$229=M$3,SUMIF('TL11'!$C$238:$C$451,$C431,'TL11'!$J$238:$J$451),0),
IF('TL12'!$B$3=M$3,SUMIF('TL12'!$C$10:$C$224,$C431,'TL12'!$J$10:$J$224),0),
IF('TL12'!$B$229=M$3,SUMIF('TL12'!$C$238:$C$451,$C431,'TL12'!$J$238:$J$451),0),
IF('TL13'!$B$3=M$3,SUMIF('TL13'!$C$10:$C$224,$C431,'TL13'!$J$10:$J$224),0),
IF('TL13'!$B$229=M$3,SUMIF('TL13'!$C$238:$C$451,$C431,'TL13'!$J$238:$J$451),0),
IF('TL14'!$B$3=M$3,SUMIF('TL14'!$C$10:$C$224,$C431,'TL14'!$J$10:$J$224),0),
IF('TL14'!$B$229=M$3,SUMIF('TL14'!$C$238:$C$451,$C431,'TL14'!$J$238:$J$451),0),
IF('TL15'!$B$3=M$3,SUMIF('TL15'!$C$10:$C$224,$C431,'TL15'!$J$10:$J$224),0),
IF('TL15'!$B$229=M$3,SUMIF('TL15'!$C$238:$C$451,$C431,'TL15'!$J$238:$J$451),0),
IF('TL16'!$B$3=M$3,SUMIF('TL16'!$C$10:$C$224,$C431,'TL16'!$J$10:$J$224),0),
IF('TL16'!$B$229=M$3,SUMIF('TL16'!$C$238:$C$451,$C431,'TL16'!$J$238:$J$451),0),
IF('TL17'!$B$3=M$3,SUMIF('TL17'!$C$10:$C$224,$C431,'TL17'!$J$10:$J$224),0),
IF('TL17'!$B$229=M$3,SUMIF('TL17'!$C$238:$C$451,$C431,'TL17'!$J$238:$J$451),0),
IF('TL18'!$B$3=M$3,SUMIF('TL18'!$C$10:$C$224,$C431,'TL18'!$J$10:$J$224),0),
IF('TL18'!$B$229=M$3,SUMIF('TL18'!$C$238:$C$451,$C431,'TL18'!$J$238:$J$451),0),
IF('TL19'!$B$3=M$3,SUMIF('TL19'!$C$10:$C$224,$C431,'TL19'!$J$10:$J$224),0),
IF('TL19'!$B$229=M$3,SUMIF('TL19'!$C$238:$C$451,$C431,'TL19'!$J$238:$J$451),0)
),0)</f>
        <v>0</v>
      </c>
      <c r="N431" s="138">
        <f>IFERROR(SUM(
IF('TL01'!$B$3=N$3,SUMIF('TL01'!$C$10:$C$224,$C431,'TL01'!$J$10:$J$224),0),
IF('TL01'!$B$229=N$3,SUMIF('TL01'!$C$238:$C$451,$C431,'TL01'!$J$238:$J$451),0),
IF('TL02'!$B$3=N$3,SUMIF('TL02'!$C$10:$C$224,$C431,'TL02'!$J$10:$J$224),0),
IF('TL02'!$B$229=N$3,SUMIF('TL02'!$C$238:$C$451,$C431,'TL02'!$J$238:$J$451),0),
IF('TL03'!$B$3=N$3,SUMIF('TL03'!$C$10:$C$224,$C431,'TL03'!$J$10:$J$224),0),
IF('TL03'!$B$229=N$3,SUMIF('TL03'!$C$238:$C$451,$C431,'TL03'!$J$238:$J$451),0),
IF('TL04'!$B$3=N$3,SUMIF('TL04'!$C$10:$C$224,$C431,'TL04'!$J$10:$J$224),0),
IF('TL04'!$B$229=N$3,SUMIF('TL04'!$C$238:$C$451,$C431,'TL04'!$J$238:$J$451),0),
IF('TL05'!$B$3=N$3,SUMIF('TL05'!$C$10:$C$224,$C431,'TL05'!$J$10:$J$224),0),
IF('TL05'!$B$229=N$3,SUMIF('TL05'!$C$238:$C$451,$C431,'TL05'!$J$238:$J$451),0),
IF('TL06'!$B$3=N$3,SUMIF('TL06'!$C$10:$C$224,$C431,'TL06'!$J$10:$J$224),0),
IF('TL06'!$B$229=N$3,SUMIF('TL06'!$C$238:$C$451,$C431,'TL06'!$J$238:$J$451),0),
IF('TL07'!$B$3=N$3,SUMIF('TL07'!$C$10:$C$224,$C431,'TL07'!$J$10:$J$224),0),
IF('TL07'!$B$229=N$3,SUMIF('TL07'!$C$238:$C$451,$C431,'TL07'!$J$238:$J$451),0),
IF('TL08'!$B$3=N$3,SUMIF('TL08'!$C$10:$C$224,$C431,'TL08'!$J$10:$J$224),0),
IF('TL08'!$B$229=N$3,SUMIF('TL08'!$C$238:$C$451,$C431,'TL08'!$J$238:$J$451),0),
IF('TL09'!$B$3=N$3,SUMIF('TL09'!$C$10:$C$224,$C431,'TL09'!$J$10:$J$224),0),
IF('TL09'!$B$229=N$3,SUMIF('TL09'!$C$238:$C$451,$C431,'TL09'!$J$238:$J$451),0),
IF('TL10'!$B$3=N$3,SUMIF('TL10'!$C$10:$C$224,$C431,'TL10'!$J$10:$J$224),0),
IF('TL10'!$B$229=N$3,SUMIF('TL10'!$C$238:$C$451,$C431,'TL10'!$J$238:$J$451),0),
IF('TL11'!$B$3=N$3,SUMIF('TL11'!$C$10:$C$224,$C431,'TL11'!$J$10:$J$224),0),
IF('TL11'!$B$229=N$3,SUMIF('TL11'!$C$238:$C$451,$C431,'TL11'!$J$238:$J$451),0),
IF('TL12'!$B$3=N$3,SUMIF('TL12'!$C$10:$C$224,$C431,'TL12'!$J$10:$J$224),0),
IF('TL12'!$B$229=N$3,SUMIF('TL12'!$C$238:$C$451,$C431,'TL12'!$J$238:$J$451),0),
IF('TL13'!$B$3=N$3,SUMIF('TL13'!$C$10:$C$224,$C431,'TL13'!$J$10:$J$224),0),
IF('TL13'!$B$229=N$3,SUMIF('TL13'!$C$238:$C$451,$C431,'TL13'!$J$238:$J$451),0),
IF('TL14'!$B$3=N$3,SUMIF('TL14'!$C$10:$C$224,$C431,'TL14'!$J$10:$J$224),0),
IF('TL14'!$B$229=N$3,SUMIF('TL14'!$C$238:$C$451,$C431,'TL14'!$J$238:$J$451),0),
IF('TL15'!$B$3=N$3,SUMIF('TL15'!$C$10:$C$224,$C431,'TL15'!$J$10:$J$224),0),
IF('TL15'!$B$229=N$3,SUMIF('TL15'!$C$238:$C$451,$C431,'TL15'!$J$238:$J$451),0),
IF('TL16'!$B$3=N$3,SUMIF('TL16'!$C$10:$C$224,$C431,'TL16'!$J$10:$J$224),0),
IF('TL16'!$B$229=N$3,SUMIF('TL16'!$C$238:$C$451,$C431,'TL16'!$J$238:$J$451),0),
IF('TL17'!$B$3=N$3,SUMIF('TL17'!$C$10:$C$224,$C431,'TL17'!$J$10:$J$224),0),
IF('TL17'!$B$229=N$3,SUMIF('TL17'!$C$238:$C$451,$C431,'TL17'!$J$238:$J$451),0),
IF('TL18'!$B$3=N$3,SUMIF('TL18'!$C$10:$C$224,$C431,'TL18'!$J$10:$J$224),0),
IF('TL18'!$B$229=N$3,SUMIF('TL18'!$C$238:$C$451,$C431,'TL18'!$J$238:$J$451),0),
IF('TL19'!$B$3=N$3,SUMIF('TL19'!$C$10:$C$224,$C431,'TL19'!$J$10:$J$224),0),
IF('TL19'!$B$229=N$3,SUMIF('TL19'!$C$238:$C$451,$C431,'TL19'!$J$238:$J$451),0)
),0)</f>
        <v>0</v>
      </c>
      <c r="O431" s="138">
        <f>IFERROR(SUM(
IF('TL01'!$B$3=O$3,SUMIF('TL01'!$C$10:$C$224,$C431,'TL01'!$J$10:$J$224),0),
IF('TL01'!$B$229=O$3,SUMIF('TL01'!$C$238:$C$451,$C431,'TL01'!$J$238:$J$451),0),
IF('TL02'!$B$3=O$3,SUMIF('TL02'!$C$10:$C$224,$C431,'TL02'!$J$10:$J$224),0),
IF('TL02'!$B$229=O$3,SUMIF('TL02'!$C$238:$C$451,$C431,'TL02'!$J$238:$J$451),0),
IF('TL03'!$B$3=O$3,SUMIF('TL03'!$C$10:$C$224,$C431,'TL03'!$J$10:$J$224),0),
IF('TL03'!$B$229=O$3,SUMIF('TL03'!$C$238:$C$451,$C431,'TL03'!$J$238:$J$451),0),
IF('TL04'!$B$3=O$3,SUMIF('TL04'!$C$10:$C$224,$C431,'TL04'!$J$10:$J$224),0),
IF('TL04'!$B$229=O$3,SUMIF('TL04'!$C$238:$C$451,$C431,'TL04'!$J$238:$J$451),0),
IF('TL05'!$B$3=O$3,SUMIF('TL05'!$C$10:$C$224,$C431,'TL05'!$J$10:$J$224),0),
IF('TL05'!$B$229=O$3,SUMIF('TL05'!$C$238:$C$451,$C431,'TL05'!$J$238:$J$451),0),
IF('TL06'!$B$3=O$3,SUMIF('TL06'!$C$10:$C$224,$C431,'TL06'!$J$10:$J$224),0),
IF('TL06'!$B$229=O$3,SUMIF('TL06'!$C$238:$C$451,$C431,'TL06'!$J$238:$J$451),0),
IF('TL07'!$B$3=O$3,SUMIF('TL07'!$C$10:$C$224,$C431,'TL07'!$J$10:$J$224),0),
IF('TL07'!$B$229=O$3,SUMIF('TL07'!$C$238:$C$451,$C431,'TL07'!$J$238:$J$451),0),
IF('TL08'!$B$3=O$3,SUMIF('TL08'!$C$10:$C$224,$C431,'TL08'!$J$10:$J$224),0),
IF('TL08'!$B$229=O$3,SUMIF('TL08'!$C$238:$C$451,$C431,'TL08'!$J$238:$J$451),0),
IF('TL09'!$B$3=O$3,SUMIF('TL09'!$C$10:$C$224,$C431,'TL09'!$J$10:$J$224),0),
IF('TL09'!$B$229=O$3,SUMIF('TL09'!$C$238:$C$451,$C431,'TL09'!$J$238:$J$451),0),
IF('TL10'!$B$3=O$3,SUMIF('TL10'!$C$10:$C$224,$C431,'TL10'!$J$10:$J$224),0),
IF('TL10'!$B$229=O$3,SUMIF('TL10'!$C$238:$C$451,$C431,'TL10'!$J$238:$J$451),0),
IF('TL11'!$B$3=O$3,SUMIF('TL11'!$C$10:$C$224,$C431,'TL11'!$J$10:$J$224),0),
IF('TL11'!$B$229=O$3,SUMIF('TL11'!$C$238:$C$451,$C431,'TL11'!$J$238:$J$451),0),
IF('TL12'!$B$3=O$3,SUMIF('TL12'!$C$10:$C$224,$C431,'TL12'!$J$10:$J$224),0),
IF('TL12'!$B$229=O$3,SUMIF('TL12'!$C$238:$C$451,$C431,'TL12'!$J$238:$J$451),0),
IF('TL13'!$B$3=O$3,SUMIF('TL13'!$C$10:$C$224,$C431,'TL13'!$J$10:$J$224),0),
IF('TL13'!$B$229=O$3,SUMIF('TL13'!$C$238:$C$451,$C431,'TL13'!$J$238:$J$451),0),
IF('TL14'!$B$3=O$3,SUMIF('TL14'!$C$10:$C$224,$C431,'TL14'!$J$10:$J$224),0),
IF('TL14'!$B$229=O$3,SUMIF('TL14'!$C$238:$C$451,$C431,'TL14'!$J$238:$J$451),0),
IF('TL15'!$B$3=O$3,SUMIF('TL15'!$C$10:$C$224,$C431,'TL15'!$J$10:$J$224),0),
IF('TL15'!$B$229=O$3,SUMIF('TL15'!$C$238:$C$451,$C431,'TL15'!$J$238:$J$451),0),
IF('TL16'!$B$3=O$3,SUMIF('TL16'!$C$10:$C$224,$C431,'TL16'!$J$10:$J$224),0),
IF('TL16'!$B$229=O$3,SUMIF('TL16'!$C$238:$C$451,$C431,'TL16'!$J$238:$J$451),0),
IF('TL17'!$B$3=O$3,SUMIF('TL17'!$C$10:$C$224,$C431,'TL17'!$J$10:$J$224),0),
IF('TL17'!$B$229=O$3,SUMIF('TL17'!$C$238:$C$451,$C431,'TL17'!$J$238:$J$451),0),
IF('TL18'!$B$3=O$3,SUMIF('TL18'!$C$10:$C$224,$C431,'TL18'!$J$10:$J$224),0),
IF('TL18'!$B$229=O$3,SUMIF('TL18'!$C$238:$C$451,$C431,'TL18'!$J$238:$J$451),0),
IF('TL19'!$B$3=O$3,SUMIF('TL19'!$C$10:$C$224,$C431,'TL19'!$J$10:$J$224),0),
IF('TL19'!$B$229=O$3,SUMIF('TL19'!$C$238:$C$451,$C431,'TL19'!$J$238:$J$451),0)
),0)</f>
        <v>0</v>
      </c>
      <c r="P431" s="138">
        <f>IFERROR(SUM(
IF('TL01'!$B$3=P$3,SUMIF('TL01'!$C$10:$C$224,$C431,'TL01'!$J$10:$J$224),0),
IF('TL01'!$B$229=P$3,SUMIF('TL01'!$C$238:$C$451,$C431,'TL01'!$J$238:$J$451),0),
IF('TL02'!$B$3=P$3,SUMIF('TL02'!$C$10:$C$224,$C431,'TL02'!$J$10:$J$224),0),
IF('TL02'!$B$229=P$3,SUMIF('TL02'!$C$238:$C$451,$C431,'TL02'!$J$238:$J$451),0),
IF('TL03'!$B$3=P$3,SUMIF('TL03'!$C$10:$C$224,$C431,'TL03'!$J$10:$J$224),0),
IF('TL03'!$B$229=P$3,SUMIF('TL03'!$C$238:$C$451,$C431,'TL03'!$J$238:$J$451),0),
IF('TL04'!$B$3=P$3,SUMIF('TL04'!$C$10:$C$224,$C431,'TL04'!$J$10:$J$224),0),
IF('TL04'!$B$229=P$3,SUMIF('TL04'!$C$238:$C$451,$C431,'TL04'!$J$238:$J$451),0),
IF('TL05'!$B$3=P$3,SUMIF('TL05'!$C$10:$C$224,$C431,'TL05'!$J$10:$J$224),0),
IF('TL05'!$B$229=P$3,SUMIF('TL05'!$C$238:$C$451,$C431,'TL05'!$J$238:$J$451),0),
IF('TL06'!$B$3=P$3,SUMIF('TL06'!$C$10:$C$224,$C431,'TL06'!$J$10:$J$224),0),
IF('TL06'!$B$229=P$3,SUMIF('TL06'!$C$238:$C$451,$C431,'TL06'!$J$238:$J$451),0),
IF('TL07'!$B$3=P$3,SUMIF('TL07'!$C$10:$C$224,$C431,'TL07'!$J$10:$J$224),0),
IF('TL07'!$B$229=P$3,SUMIF('TL07'!$C$238:$C$451,$C431,'TL07'!$J$238:$J$451),0),
IF('TL08'!$B$3=P$3,SUMIF('TL08'!$C$10:$C$224,$C431,'TL08'!$J$10:$J$224),0),
IF('TL08'!$B$229=P$3,SUMIF('TL08'!$C$238:$C$451,$C431,'TL08'!$J$238:$J$451),0),
IF('TL09'!$B$3=P$3,SUMIF('TL09'!$C$10:$C$224,$C431,'TL09'!$J$10:$J$224),0),
IF('TL09'!$B$229=P$3,SUMIF('TL09'!$C$238:$C$451,$C431,'TL09'!$J$238:$J$451),0),
IF('TL10'!$B$3=P$3,SUMIF('TL10'!$C$10:$C$224,$C431,'TL10'!$J$10:$J$224),0),
IF('TL10'!$B$229=P$3,SUMIF('TL10'!$C$238:$C$451,$C431,'TL10'!$J$238:$J$451),0),
IF('TL11'!$B$3=P$3,SUMIF('TL11'!$C$10:$C$224,$C431,'TL11'!$J$10:$J$224),0),
IF('TL11'!$B$229=P$3,SUMIF('TL11'!$C$238:$C$451,$C431,'TL11'!$J$238:$J$451),0),
IF('TL12'!$B$3=P$3,SUMIF('TL12'!$C$10:$C$224,$C431,'TL12'!$J$10:$J$224),0),
IF('TL12'!$B$229=P$3,SUMIF('TL12'!$C$238:$C$451,$C431,'TL12'!$J$238:$J$451),0),
IF('TL13'!$B$3=P$3,SUMIF('TL13'!$C$10:$C$224,$C431,'TL13'!$J$10:$J$224),0),
IF('TL13'!$B$229=P$3,SUMIF('TL13'!$C$238:$C$451,$C431,'TL13'!$J$238:$J$451),0),
IF('TL14'!$B$3=P$3,SUMIF('TL14'!$C$10:$C$224,$C431,'TL14'!$J$10:$J$224),0),
IF('TL14'!$B$229=P$3,SUMIF('TL14'!$C$238:$C$451,$C431,'TL14'!$J$238:$J$451),0),
IF('TL15'!$B$3=P$3,SUMIF('TL15'!$C$10:$C$224,$C431,'TL15'!$J$10:$J$224),0),
IF('TL15'!$B$229=P$3,SUMIF('TL15'!$C$238:$C$451,$C431,'TL15'!$J$238:$J$451),0),
IF('TL16'!$B$3=P$3,SUMIF('TL16'!$C$10:$C$224,$C431,'TL16'!$J$10:$J$224),0),
IF('TL16'!$B$229=P$3,SUMIF('TL16'!$C$238:$C$451,$C431,'TL16'!$J$238:$J$451),0),
IF('TL17'!$B$3=P$3,SUMIF('TL17'!$C$10:$C$224,$C431,'TL17'!$J$10:$J$224),0),
IF('TL17'!$B$229=P$3,SUMIF('TL17'!$C$238:$C$451,$C431,'TL17'!$J$238:$J$451),0),
IF('TL18'!$B$3=P$3,SUMIF('TL18'!$C$10:$C$224,$C431,'TL18'!$J$10:$J$224),0),
IF('TL18'!$B$229=P$3,SUMIF('TL18'!$C$238:$C$451,$C431,'TL18'!$J$238:$J$451),0),
IF('TL19'!$B$3=P$3,SUMIF('TL19'!$C$10:$C$224,$C431,'TL19'!$J$10:$J$224),0),
IF('TL19'!$B$229=P$3,SUMIF('TL19'!$C$238:$C$451,$C431,'TL19'!$J$238:$J$451),0)
),0)</f>
        <v>0</v>
      </c>
      <c r="Q431" s="138">
        <f>IFERROR(SUM(
IF('TL01'!$B$3=Q$3,SUMIF('TL01'!$C$10:$C$224,$C431,'TL01'!$J$10:$J$224),0),
IF('TL01'!$B$229=Q$3,SUMIF('TL01'!$C$238:$C$451,$C431,'TL01'!$J$238:$J$451),0),
IF('TL02'!$B$3=Q$3,SUMIF('TL02'!$C$10:$C$224,$C431,'TL02'!$J$10:$J$224),0),
IF('TL02'!$B$229=Q$3,SUMIF('TL02'!$C$238:$C$451,$C431,'TL02'!$J$238:$J$451),0),
IF('TL03'!$B$3=Q$3,SUMIF('TL03'!$C$10:$C$224,$C431,'TL03'!$J$10:$J$224),0),
IF('TL03'!$B$229=Q$3,SUMIF('TL03'!$C$238:$C$451,$C431,'TL03'!$J$238:$J$451),0),
IF('TL04'!$B$3=Q$3,SUMIF('TL04'!$C$10:$C$224,$C431,'TL04'!$J$10:$J$224),0),
IF('TL04'!$B$229=Q$3,SUMIF('TL04'!$C$238:$C$451,$C431,'TL04'!$J$238:$J$451),0),
IF('TL05'!$B$3=Q$3,SUMIF('TL05'!$C$10:$C$224,$C431,'TL05'!$J$10:$J$224),0),
IF('TL05'!$B$229=Q$3,SUMIF('TL05'!$C$238:$C$451,$C431,'TL05'!$J$238:$J$451),0),
IF('TL06'!$B$3=Q$3,SUMIF('TL06'!$C$10:$C$224,$C431,'TL06'!$J$10:$J$224),0),
IF('TL06'!$B$229=Q$3,SUMIF('TL06'!$C$238:$C$451,$C431,'TL06'!$J$238:$J$451),0),
IF('TL07'!$B$3=Q$3,SUMIF('TL07'!$C$10:$C$224,$C431,'TL07'!$J$10:$J$224),0),
IF('TL07'!$B$229=Q$3,SUMIF('TL07'!$C$238:$C$451,$C431,'TL07'!$J$238:$J$451),0),
IF('TL08'!$B$3=Q$3,SUMIF('TL08'!$C$10:$C$224,$C431,'TL08'!$J$10:$J$224),0),
IF('TL08'!$B$229=Q$3,SUMIF('TL08'!$C$238:$C$451,$C431,'TL08'!$J$238:$J$451),0),
IF('TL09'!$B$3=Q$3,SUMIF('TL09'!$C$10:$C$224,$C431,'TL09'!$J$10:$J$224),0),
IF('TL09'!$B$229=Q$3,SUMIF('TL09'!$C$238:$C$451,$C431,'TL09'!$J$238:$J$451),0),
IF('TL10'!$B$3=Q$3,SUMIF('TL10'!$C$10:$C$224,$C431,'TL10'!$J$10:$J$224),0),
IF('TL10'!$B$229=Q$3,SUMIF('TL10'!$C$238:$C$451,$C431,'TL10'!$J$238:$J$451),0),
IF('TL11'!$B$3=Q$3,SUMIF('TL11'!$C$10:$C$224,$C431,'TL11'!$J$10:$J$224),0),
IF('TL11'!$B$229=Q$3,SUMIF('TL11'!$C$238:$C$451,$C431,'TL11'!$J$238:$J$451),0),
IF('TL12'!$B$3=Q$3,SUMIF('TL12'!$C$10:$C$224,$C431,'TL12'!$J$10:$J$224),0),
IF('TL12'!$B$229=Q$3,SUMIF('TL12'!$C$238:$C$451,$C431,'TL12'!$J$238:$J$451),0),
IF('TL13'!$B$3=Q$3,SUMIF('TL13'!$C$10:$C$224,$C431,'TL13'!$J$10:$J$224),0),
IF('TL13'!$B$229=Q$3,SUMIF('TL13'!$C$238:$C$451,$C431,'TL13'!$J$238:$J$451),0),
IF('TL14'!$B$3=Q$3,SUMIF('TL14'!$C$10:$C$224,$C431,'TL14'!$J$10:$J$224),0),
IF('TL14'!$B$229=Q$3,SUMIF('TL14'!$C$238:$C$451,$C431,'TL14'!$J$238:$J$451),0),
IF('TL15'!$B$3=Q$3,SUMIF('TL15'!$C$10:$C$224,$C431,'TL15'!$J$10:$J$224),0),
IF('TL15'!$B$229=Q$3,SUMIF('TL15'!$C$238:$C$451,$C431,'TL15'!$J$238:$J$451),0),
IF('TL16'!$B$3=Q$3,SUMIF('TL16'!$C$10:$C$224,$C431,'TL16'!$J$10:$J$224),0),
IF('TL16'!$B$229=Q$3,SUMIF('TL16'!$C$238:$C$451,$C431,'TL16'!$J$238:$J$451),0),
IF('TL17'!$B$3=Q$3,SUMIF('TL17'!$C$10:$C$224,$C431,'TL17'!$J$10:$J$224),0),
IF('TL17'!$B$229=Q$3,SUMIF('TL17'!$C$238:$C$451,$C431,'TL17'!$J$238:$J$451),0),
IF('TL18'!$B$3=Q$3,SUMIF('TL18'!$C$10:$C$224,$C431,'TL18'!$J$10:$J$224),0),
IF('TL18'!$B$229=Q$3,SUMIF('TL18'!$C$238:$C$451,$C431,'TL18'!$J$238:$J$451),0),
IF('TL19'!$B$3=Q$3,SUMIF('TL19'!$C$10:$C$224,$C431,'TL19'!$J$10:$J$224),0),
IF('TL19'!$B$229=Q$3,SUMIF('TL19'!$C$238:$C$451,$C431,'TL19'!$J$238:$J$451),0)
),0)</f>
        <v>0</v>
      </c>
      <c r="R431" s="139">
        <f>IFERROR(
SUM(
SUMIF('TL01'!C:C,C431,'TL01'!J:J),
SUMIF('TL02'!C:C,C431,'TL02'!I:I),
SUMIF('TL03'!C:C,C431,'TL03'!I:I),
SUMIF('TL04'!C:C,C431,'TL04'!I:I),
SUMIF('TL05'!C:C,C431,'TL05'!I:I),
SUMIF('TL06'!C:C,C431,'TL06'!I:I),
SUMIF('TL07'!C:C,C431,'TL07'!I:I),
SUMIF('TL08'!C:C,C431,'TL08'!I:I),
SUMIF('TL09'!C:C,C431,'TL09'!I:I),
SUMIF('TL10'!C:C,C431,'TL10'!I:I),
SUMIF('TL11'!C:C,C431,'TL11'!I:I),
SUMIF('TL12'!C:C,C431,'TL12'!I:I),
SUMIF('TL13'!C:C,C431,'TL13'!I:I),
SUMIF('TL14'!C:C,C431,'TL14'!I:I),
SUMIF('TL15'!C:C,C431,'TL15'!I:I),
SUMIF('TL16'!C:C,C431,'TL16'!I:I),
SUMIF('TL17'!C:C,C431,'TL17'!I:I),
SUMIF('TL18'!C:C,C431,'TL18'!I:I))
,0)</f>
        <v>0</v>
      </c>
      <c r="S431" s="142" t="str">
        <f>'CUSTO OPERAÇÃO'!M35</f>
        <v/>
      </c>
      <c r="T431" s="139"/>
      <c r="U431" s="143">
        <f t="shared" si="2"/>
        <v>0</v>
      </c>
      <c r="V431" s="144">
        <f t="shared" si="3"/>
        <v>0</v>
      </c>
    </row>
    <row r="432" ht="15.75" hidden="1" customHeight="1">
      <c r="A432" s="138"/>
      <c r="B432" s="155"/>
      <c r="C432" s="138"/>
      <c r="D432" s="138"/>
      <c r="E432" s="139"/>
      <c r="F432" s="138" t="s">
        <v>1133</v>
      </c>
      <c r="G432" s="139"/>
      <c r="H432" s="139" t="str">
        <f>'CUSTO OPERAÇÃO'!J36</f>
        <v/>
      </c>
      <c r="I432" s="156"/>
      <c r="J432" s="138">
        <f>IFERROR(SUM(
IF('TL01'!$B$3=J$3,SUMIF('TL01'!$C$10:$C$224,$C432,'TL01'!$J$10:$J$224),0),
IF('TL01'!$B$229=J$3,SUMIF('TL01'!$C$238:$C$451,$C432,'TL01'!$J$238:$J$451),0),
IF('TL02'!$B$3=J$3,SUMIF('TL02'!$C$10:$C$224,$C432,'TL02'!$J$10:$J$224),0),
IF('TL02'!$B$229=J$3,SUMIF('TL02'!$C$238:$C$451,$C432,'TL02'!$J$238:$J$451),0),
IF('TL03'!$B$3=J$3,SUMIF('TL03'!$C$10:$C$224,$C432,'TL03'!$J$10:$J$224),0),
IF('TL03'!$B$229=J$3,SUMIF('TL03'!$C$238:$C$451,$C432,'TL03'!$J$238:$J$451),0),
IF('TL04'!$B$3=J$3,SUMIF('TL04'!$C$10:$C$224,$C432,'TL04'!$J$10:$J$224),0),
IF('TL04'!$B$229=J$3,SUMIF('TL04'!$C$238:$C$451,$C432,'TL04'!$J$238:$J$451),0),
IF('TL05'!$B$3=J$3,SUMIF('TL05'!$C$10:$C$224,$C432,'TL05'!$J$10:$J$224),0),
IF('TL05'!$B$229=J$3,SUMIF('TL05'!$C$238:$C$451,$C432,'TL05'!$J$238:$J$451),0),
IF('TL06'!$B$3=J$3,SUMIF('TL06'!$C$10:$C$224,$C432,'TL06'!$J$10:$J$224),0),
IF('TL06'!$B$229=J$3,SUMIF('TL06'!$C$238:$C$451,$C432,'TL06'!$J$238:$J$451),0),
IF('TL07'!$B$3=J$3,SUMIF('TL07'!$C$10:$C$224,$C432,'TL07'!$J$10:$J$224),0),
IF('TL07'!$B$229=J$3,SUMIF('TL07'!$C$238:$C$451,$C432,'TL07'!$J$238:$J$451),0),
IF('TL08'!$B$3=J$3,SUMIF('TL08'!$C$10:$C$224,$C432,'TL08'!$J$10:$J$224),0),
IF('TL08'!$B$229=J$3,SUMIF('TL08'!$C$238:$C$451,$C432,'TL08'!$J$238:$J$451),0),
IF('TL09'!$B$3=J$3,SUMIF('TL09'!$C$10:$C$224,$C432,'TL09'!$J$10:$J$224),0),
IF('TL09'!$B$229=J$3,SUMIF('TL09'!$C$238:$C$451,$C432,'TL09'!$J$238:$J$451),0),
IF('TL10'!$B$3=J$3,SUMIF('TL10'!$C$10:$C$224,$C432,'TL10'!$J$10:$J$224),0),
IF('TL10'!$B$229=J$3,SUMIF('TL10'!$C$238:$C$451,$C432,'TL10'!$J$238:$J$451),0),
IF('TL11'!$B$3=J$3,SUMIF('TL11'!$C$10:$C$224,$C432,'TL11'!$J$10:$J$224),0),
IF('TL11'!$B$229=J$3,SUMIF('TL11'!$C$238:$C$451,$C432,'TL11'!$J$238:$J$451),0),
IF('TL12'!$B$3=J$3,SUMIF('TL12'!$C$10:$C$224,$C432,'TL12'!$J$10:$J$224),0),
IF('TL12'!$B$229=J$3,SUMIF('TL12'!$C$238:$C$451,$C432,'TL12'!$J$238:$J$451),0),
IF('TL13'!$B$3=J$3,SUMIF('TL13'!$C$10:$C$224,$C432,'TL13'!$J$10:$J$224),0),
IF('TL13'!$B$229=J$3,SUMIF('TL13'!$C$238:$C$451,$C432,'TL13'!$J$238:$J$451),0),
IF('TL14'!$B$3=J$3,SUMIF('TL14'!$C$10:$C$224,$C432,'TL14'!$J$10:$J$224),0),
IF('TL14'!$B$229=J$3,SUMIF('TL14'!$C$238:$C$451,$C432,'TL14'!$J$238:$J$451),0),
IF('TL15'!$B$3=J$3,SUMIF('TL15'!$C$10:$C$224,$C432,'TL15'!$J$10:$J$224),0),
IF('TL15'!$B$229=J$3,SUMIF('TL15'!$C$238:$C$451,$C432,'TL15'!$J$238:$J$451),0),
IF('TL16'!$B$3=J$3,SUMIF('TL16'!$C$10:$C$224,$C432,'TL16'!$J$10:$J$224),0),
IF('TL16'!$B$229=J$3,SUMIF('TL16'!$C$238:$C$451,$C432,'TL16'!$J$238:$J$451),0),
IF('TL17'!$B$3=J$3,SUMIF('TL17'!$C$10:$C$224,$C432,'TL17'!$J$10:$J$224),0),
IF('TL17'!$B$229=J$3,SUMIF('TL17'!$C$238:$C$451,$C432,'TL17'!$J$238:$J$451),0),
IF('TL18'!$B$3=J$3,SUMIF('TL18'!$C$10:$C$224,$C432,'TL18'!$J$10:$J$224),0),
IF('TL18'!$B$229=J$3,SUMIF('TL18'!$C$238:$C$451,$C432,'TL18'!$J$238:$J$451),0),
IF('TL19'!$B$3=J$3,SUMIF('TL19'!$C$10:$C$224,$C432,'TL19'!$J$10:$J$224),0),
IF('TL19'!$B$229=J$3,SUMIF('TL19'!$C$238:$C$451,$C432,'TL19'!$J$238:$J$451),0)
),0)</f>
        <v>0</v>
      </c>
      <c r="K432" s="138">
        <f>IFERROR(SUM(
IF('TL01'!$B$3=K$3,SUMIF('TL01'!$C$10:$C$224,$C432,'TL01'!$J$10:$J$224),0),
IF('TL01'!$B$229=K$3,SUMIF('TL01'!$C$238:$C$451,$C432,'TL01'!$J$238:$J$451),0),
IF('TL02'!$B$3=K$3,SUMIF('TL02'!$C$10:$C$224,$C432,'TL02'!$J$10:$J$224),0),
IF('TL02'!$B$229=K$3,SUMIF('TL02'!$C$238:$C$451,$C432,'TL02'!$J$238:$J$451),0),
IF('TL03'!$B$3=K$3,SUMIF('TL03'!$C$10:$C$224,$C432,'TL03'!$J$10:$J$224),0),
IF('TL03'!$B$229=K$3,SUMIF('TL03'!$C$238:$C$451,$C432,'TL03'!$J$238:$J$451),0),
IF('TL04'!$B$3=K$3,SUMIF('TL04'!$C$10:$C$224,$C432,'TL04'!$J$10:$J$224),0),
IF('TL04'!$B$229=K$3,SUMIF('TL04'!$C$238:$C$451,$C432,'TL04'!$J$238:$J$451),0),
IF('TL05'!$B$3=K$3,SUMIF('TL05'!$C$10:$C$224,$C432,'TL05'!$J$10:$J$224),0),
IF('TL05'!$B$229=K$3,SUMIF('TL05'!$C$238:$C$451,$C432,'TL05'!$J$238:$J$451),0),
IF('TL06'!$B$3=K$3,SUMIF('TL06'!$C$10:$C$224,$C432,'TL06'!$J$10:$J$224),0),
IF('TL06'!$B$229=K$3,SUMIF('TL06'!$C$238:$C$451,$C432,'TL06'!$J$238:$J$451),0),
IF('TL07'!$B$3=K$3,SUMIF('TL07'!$C$10:$C$224,$C432,'TL07'!$J$10:$J$224),0),
IF('TL07'!$B$229=K$3,SUMIF('TL07'!$C$238:$C$451,$C432,'TL07'!$J$238:$J$451),0),
IF('TL08'!$B$3=K$3,SUMIF('TL08'!$C$10:$C$224,$C432,'TL08'!$J$10:$J$224),0),
IF('TL08'!$B$229=K$3,SUMIF('TL08'!$C$238:$C$451,$C432,'TL08'!$J$238:$J$451),0),
IF('TL09'!$B$3=K$3,SUMIF('TL09'!$C$10:$C$224,$C432,'TL09'!$J$10:$J$224),0),
IF('TL09'!$B$229=K$3,SUMIF('TL09'!$C$238:$C$451,$C432,'TL09'!$J$238:$J$451),0),
IF('TL10'!$B$3=K$3,SUMIF('TL10'!$C$10:$C$224,$C432,'TL10'!$J$10:$J$224),0),
IF('TL10'!$B$229=K$3,SUMIF('TL10'!$C$238:$C$451,$C432,'TL10'!$J$238:$J$451),0),
IF('TL11'!$B$3=K$3,SUMIF('TL11'!$C$10:$C$224,$C432,'TL11'!$J$10:$J$224),0),
IF('TL11'!$B$229=K$3,SUMIF('TL11'!$C$238:$C$451,$C432,'TL11'!$J$238:$J$451),0),
IF('TL12'!$B$3=K$3,SUMIF('TL12'!$C$10:$C$224,$C432,'TL12'!$J$10:$J$224),0),
IF('TL12'!$B$229=K$3,SUMIF('TL12'!$C$238:$C$451,$C432,'TL12'!$J$238:$J$451),0),
IF('TL13'!$B$3=K$3,SUMIF('TL13'!$C$10:$C$224,$C432,'TL13'!$J$10:$J$224),0),
IF('TL13'!$B$229=K$3,SUMIF('TL13'!$C$238:$C$451,$C432,'TL13'!$J$238:$J$451),0),
IF('TL14'!$B$3=K$3,SUMIF('TL14'!$C$10:$C$224,$C432,'TL14'!$J$10:$J$224),0),
IF('TL14'!$B$229=K$3,SUMIF('TL14'!$C$238:$C$451,$C432,'TL14'!$J$238:$J$451),0),
IF('TL15'!$B$3=K$3,SUMIF('TL15'!$C$10:$C$224,$C432,'TL15'!$J$10:$J$224),0),
IF('TL15'!$B$229=K$3,SUMIF('TL15'!$C$238:$C$451,$C432,'TL15'!$J$238:$J$451),0),
IF('TL16'!$B$3=K$3,SUMIF('TL16'!$C$10:$C$224,$C432,'TL16'!$J$10:$J$224),0),
IF('TL16'!$B$229=K$3,SUMIF('TL16'!$C$238:$C$451,$C432,'TL16'!$J$238:$J$451),0),
IF('TL17'!$B$3=K$3,SUMIF('TL17'!$C$10:$C$224,$C432,'TL17'!$J$10:$J$224),0),
IF('TL17'!$B$229=K$3,SUMIF('TL17'!$C$238:$C$451,$C432,'TL17'!$J$238:$J$451),0),
IF('TL18'!$B$3=K$3,SUMIF('TL18'!$C$10:$C$224,$C432,'TL18'!$J$10:$J$224),0),
IF('TL18'!$B$229=K$3,SUMIF('TL18'!$C$238:$C$451,$C432,'TL18'!$J$238:$J$451),0),
IF('TL19'!$B$3=K$3,SUMIF('TL19'!$C$10:$C$224,$C432,'TL19'!$J$10:$J$224),0),
IF('TL19'!$B$229=K$3,SUMIF('TL19'!$C$238:$C$451,$C432,'TL19'!$J$238:$J$451),0)
),0)</f>
        <v>0</v>
      </c>
      <c r="L432" s="138">
        <f>IFERROR(SUM(
IF('TL01'!$B$3=L$3,SUMIF('TL01'!$C$10:$C$224,$C432,'TL01'!$J$10:$J$224),0),
IF('TL01'!$B$229=L$3,SUMIF('TL01'!$C$238:$C$451,$C432,'TL01'!$J$238:$J$451),0),
IF('TL02'!$B$3=L$3,SUMIF('TL02'!$C$10:$C$224,$C432,'TL02'!$J$10:$J$224),0),
IF('TL02'!$B$229=L$3,SUMIF('TL02'!$C$238:$C$451,$C432,'TL02'!$J$238:$J$451),0),
IF('TL03'!$B$3=L$3,SUMIF('TL03'!$C$10:$C$224,$C432,'TL03'!$J$10:$J$224),0),
IF('TL03'!$B$229=L$3,SUMIF('TL03'!$C$238:$C$451,$C432,'TL03'!$J$238:$J$451),0),
IF('TL04'!$B$3=L$3,SUMIF('TL04'!$C$10:$C$224,$C432,'TL04'!$J$10:$J$224),0),
IF('TL04'!$B$229=L$3,SUMIF('TL04'!$C$238:$C$451,$C432,'TL04'!$J$238:$J$451),0),
IF('TL05'!$B$3=L$3,SUMIF('TL05'!$C$10:$C$224,$C432,'TL05'!$J$10:$J$224),0),
IF('TL05'!$B$229=L$3,SUMIF('TL05'!$C$238:$C$451,$C432,'TL05'!$J$238:$J$451),0),
IF('TL06'!$B$3=L$3,SUMIF('TL06'!$C$10:$C$224,$C432,'TL06'!$J$10:$J$224),0),
IF('TL06'!$B$229=L$3,SUMIF('TL06'!$C$238:$C$451,$C432,'TL06'!$J$238:$J$451),0),
IF('TL07'!$B$3=L$3,SUMIF('TL07'!$C$10:$C$224,$C432,'TL07'!$J$10:$J$224),0),
IF('TL07'!$B$229=L$3,SUMIF('TL07'!$C$238:$C$451,$C432,'TL07'!$J$238:$J$451),0),
IF('TL08'!$B$3=L$3,SUMIF('TL08'!$C$10:$C$224,$C432,'TL08'!$J$10:$J$224),0),
IF('TL08'!$B$229=L$3,SUMIF('TL08'!$C$238:$C$451,$C432,'TL08'!$J$238:$J$451),0),
IF('TL09'!$B$3=L$3,SUMIF('TL09'!$C$10:$C$224,$C432,'TL09'!$J$10:$J$224),0),
IF('TL09'!$B$229=L$3,SUMIF('TL09'!$C$238:$C$451,$C432,'TL09'!$J$238:$J$451),0),
IF('TL10'!$B$3=L$3,SUMIF('TL10'!$C$10:$C$224,$C432,'TL10'!$J$10:$J$224),0),
IF('TL10'!$B$229=L$3,SUMIF('TL10'!$C$238:$C$451,$C432,'TL10'!$J$238:$J$451),0),
IF('TL11'!$B$3=L$3,SUMIF('TL11'!$C$10:$C$224,$C432,'TL11'!$J$10:$J$224),0),
IF('TL11'!$B$229=L$3,SUMIF('TL11'!$C$238:$C$451,$C432,'TL11'!$J$238:$J$451),0),
IF('TL12'!$B$3=L$3,SUMIF('TL12'!$C$10:$C$224,$C432,'TL12'!$J$10:$J$224),0),
IF('TL12'!$B$229=L$3,SUMIF('TL12'!$C$238:$C$451,$C432,'TL12'!$J$238:$J$451),0),
IF('TL13'!$B$3=L$3,SUMIF('TL13'!$C$10:$C$224,$C432,'TL13'!$J$10:$J$224),0),
IF('TL13'!$B$229=L$3,SUMIF('TL13'!$C$238:$C$451,$C432,'TL13'!$J$238:$J$451),0),
IF('TL14'!$B$3=L$3,SUMIF('TL14'!$C$10:$C$224,$C432,'TL14'!$J$10:$J$224),0),
IF('TL14'!$B$229=L$3,SUMIF('TL14'!$C$238:$C$451,$C432,'TL14'!$J$238:$J$451),0),
IF('TL15'!$B$3=L$3,SUMIF('TL15'!$C$10:$C$224,$C432,'TL15'!$J$10:$J$224),0),
IF('TL15'!$B$229=L$3,SUMIF('TL15'!$C$238:$C$451,$C432,'TL15'!$J$238:$J$451),0),
IF('TL16'!$B$3=L$3,SUMIF('TL16'!$C$10:$C$224,$C432,'TL16'!$J$10:$J$224),0),
IF('TL16'!$B$229=L$3,SUMIF('TL16'!$C$238:$C$451,$C432,'TL16'!$J$238:$J$451),0),
IF('TL17'!$B$3=L$3,SUMIF('TL17'!$C$10:$C$224,$C432,'TL17'!$J$10:$J$224),0),
IF('TL17'!$B$229=L$3,SUMIF('TL17'!$C$238:$C$451,$C432,'TL17'!$J$238:$J$451),0),
IF('TL18'!$B$3=L$3,SUMIF('TL18'!$C$10:$C$224,$C432,'TL18'!$J$10:$J$224),0),
IF('TL18'!$B$229=L$3,SUMIF('TL18'!$C$238:$C$451,$C432,'TL18'!$J$238:$J$451),0),
IF('TL19'!$B$3=L$3,SUMIF('TL19'!$C$10:$C$224,$C432,'TL19'!$J$10:$J$224),0),
IF('TL19'!$B$229=L$3,SUMIF('TL19'!$C$238:$C$451,$C432,'TL19'!$J$238:$J$451),0)
),0)</f>
        <v>0</v>
      </c>
      <c r="M432" s="138">
        <f>IFERROR(SUM(
IF('TL01'!$B$3=M$3,SUMIF('TL01'!$C$10:$C$224,$C432,'TL01'!$J$10:$J$224),0),
IF('TL01'!$B$229=M$3,SUMIF('TL01'!$C$238:$C$451,$C432,'TL01'!$J$238:$J$451),0),
IF('TL02'!$B$3=M$3,SUMIF('TL02'!$C$10:$C$224,$C432,'TL02'!$J$10:$J$224),0),
IF('TL02'!$B$229=M$3,SUMIF('TL02'!$C$238:$C$451,$C432,'TL02'!$J$238:$J$451),0),
IF('TL03'!$B$3=M$3,SUMIF('TL03'!$C$10:$C$224,$C432,'TL03'!$J$10:$J$224),0),
IF('TL03'!$B$229=M$3,SUMIF('TL03'!$C$238:$C$451,$C432,'TL03'!$J$238:$J$451),0),
IF('TL04'!$B$3=M$3,SUMIF('TL04'!$C$10:$C$224,$C432,'TL04'!$J$10:$J$224),0),
IF('TL04'!$B$229=M$3,SUMIF('TL04'!$C$238:$C$451,$C432,'TL04'!$J$238:$J$451),0),
IF('TL05'!$B$3=M$3,SUMIF('TL05'!$C$10:$C$224,$C432,'TL05'!$J$10:$J$224),0),
IF('TL05'!$B$229=M$3,SUMIF('TL05'!$C$238:$C$451,$C432,'TL05'!$J$238:$J$451),0),
IF('TL06'!$B$3=M$3,SUMIF('TL06'!$C$10:$C$224,$C432,'TL06'!$J$10:$J$224),0),
IF('TL06'!$B$229=M$3,SUMIF('TL06'!$C$238:$C$451,$C432,'TL06'!$J$238:$J$451),0),
IF('TL07'!$B$3=M$3,SUMIF('TL07'!$C$10:$C$224,$C432,'TL07'!$J$10:$J$224),0),
IF('TL07'!$B$229=M$3,SUMIF('TL07'!$C$238:$C$451,$C432,'TL07'!$J$238:$J$451),0),
IF('TL08'!$B$3=M$3,SUMIF('TL08'!$C$10:$C$224,$C432,'TL08'!$J$10:$J$224),0),
IF('TL08'!$B$229=M$3,SUMIF('TL08'!$C$238:$C$451,$C432,'TL08'!$J$238:$J$451),0),
IF('TL09'!$B$3=M$3,SUMIF('TL09'!$C$10:$C$224,$C432,'TL09'!$J$10:$J$224),0),
IF('TL09'!$B$229=M$3,SUMIF('TL09'!$C$238:$C$451,$C432,'TL09'!$J$238:$J$451),0),
IF('TL10'!$B$3=M$3,SUMIF('TL10'!$C$10:$C$224,$C432,'TL10'!$J$10:$J$224),0),
IF('TL10'!$B$229=M$3,SUMIF('TL10'!$C$238:$C$451,$C432,'TL10'!$J$238:$J$451),0),
IF('TL11'!$B$3=M$3,SUMIF('TL11'!$C$10:$C$224,$C432,'TL11'!$J$10:$J$224),0),
IF('TL11'!$B$229=M$3,SUMIF('TL11'!$C$238:$C$451,$C432,'TL11'!$J$238:$J$451),0),
IF('TL12'!$B$3=M$3,SUMIF('TL12'!$C$10:$C$224,$C432,'TL12'!$J$10:$J$224),0),
IF('TL12'!$B$229=M$3,SUMIF('TL12'!$C$238:$C$451,$C432,'TL12'!$J$238:$J$451),0),
IF('TL13'!$B$3=M$3,SUMIF('TL13'!$C$10:$C$224,$C432,'TL13'!$J$10:$J$224),0),
IF('TL13'!$B$229=M$3,SUMIF('TL13'!$C$238:$C$451,$C432,'TL13'!$J$238:$J$451),0),
IF('TL14'!$B$3=M$3,SUMIF('TL14'!$C$10:$C$224,$C432,'TL14'!$J$10:$J$224),0),
IF('TL14'!$B$229=M$3,SUMIF('TL14'!$C$238:$C$451,$C432,'TL14'!$J$238:$J$451),0),
IF('TL15'!$B$3=M$3,SUMIF('TL15'!$C$10:$C$224,$C432,'TL15'!$J$10:$J$224),0),
IF('TL15'!$B$229=M$3,SUMIF('TL15'!$C$238:$C$451,$C432,'TL15'!$J$238:$J$451),0),
IF('TL16'!$B$3=M$3,SUMIF('TL16'!$C$10:$C$224,$C432,'TL16'!$J$10:$J$224),0),
IF('TL16'!$B$229=M$3,SUMIF('TL16'!$C$238:$C$451,$C432,'TL16'!$J$238:$J$451),0),
IF('TL17'!$B$3=M$3,SUMIF('TL17'!$C$10:$C$224,$C432,'TL17'!$J$10:$J$224),0),
IF('TL17'!$B$229=M$3,SUMIF('TL17'!$C$238:$C$451,$C432,'TL17'!$J$238:$J$451),0),
IF('TL18'!$B$3=M$3,SUMIF('TL18'!$C$10:$C$224,$C432,'TL18'!$J$10:$J$224),0),
IF('TL18'!$B$229=M$3,SUMIF('TL18'!$C$238:$C$451,$C432,'TL18'!$J$238:$J$451),0),
IF('TL19'!$B$3=M$3,SUMIF('TL19'!$C$10:$C$224,$C432,'TL19'!$J$10:$J$224),0),
IF('TL19'!$B$229=M$3,SUMIF('TL19'!$C$238:$C$451,$C432,'TL19'!$J$238:$J$451),0)
),0)</f>
        <v>0</v>
      </c>
      <c r="N432" s="138">
        <f>IFERROR(SUM(
IF('TL01'!$B$3=N$3,SUMIF('TL01'!$C$10:$C$224,$C432,'TL01'!$J$10:$J$224),0),
IF('TL01'!$B$229=N$3,SUMIF('TL01'!$C$238:$C$451,$C432,'TL01'!$J$238:$J$451),0),
IF('TL02'!$B$3=N$3,SUMIF('TL02'!$C$10:$C$224,$C432,'TL02'!$J$10:$J$224),0),
IF('TL02'!$B$229=N$3,SUMIF('TL02'!$C$238:$C$451,$C432,'TL02'!$J$238:$J$451),0),
IF('TL03'!$B$3=N$3,SUMIF('TL03'!$C$10:$C$224,$C432,'TL03'!$J$10:$J$224),0),
IF('TL03'!$B$229=N$3,SUMIF('TL03'!$C$238:$C$451,$C432,'TL03'!$J$238:$J$451),0),
IF('TL04'!$B$3=N$3,SUMIF('TL04'!$C$10:$C$224,$C432,'TL04'!$J$10:$J$224),0),
IF('TL04'!$B$229=N$3,SUMIF('TL04'!$C$238:$C$451,$C432,'TL04'!$J$238:$J$451),0),
IF('TL05'!$B$3=N$3,SUMIF('TL05'!$C$10:$C$224,$C432,'TL05'!$J$10:$J$224),0),
IF('TL05'!$B$229=N$3,SUMIF('TL05'!$C$238:$C$451,$C432,'TL05'!$J$238:$J$451),0),
IF('TL06'!$B$3=N$3,SUMIF('TL06'!$C$10:$C$224,$C432,'TL06'!$J$10:$J$224),0),
IF('TL06'!$B$229=N$3,SUMIF('TL06'!$C$238:$C$451,$C432,'TL06'!$J$238:$J$451),0),
IF('TL07'!$B$3=N$3,SUMIF('TL07'!$C$10:$C$224,$C432,'TL07'!$J$10:$J$224),0),
IF('TL07'!$B$229=N$3,SUMIF('TL07'!$C$238:$C$451,$C432,'TL07'!$J$238:$J$451),0),
IF('TL08'!$B$3=N$3,SUMIF('TL08'!$C$10:$C$224,$C432,'TL08'!$J$10:$J$224),0),
IF('TL08'!$B$229=N$3,SUMIF('TL08'!$C$238:$C$451,$C432,'TL08'!$J$238:$J$451),0),
IF('TL09'!$B$3=N$3,SUMIF('TL09'!$C$10:$C$224,$C432,'TL09'!$J$10:$J$224),0),
IF('TL09'!$B$229=N$3,SUMIF('TL09'!$C$238:$C$451,$C432,'TL09'!$J$238:$J$451),0),
IF('TL10'!$B$3=N$3,SUMIF('TL10'!$C$10:$C$224,$C432,'TL10'!$J$10:$J$224),0),
IF('TL10'!$B$229=N$3,SUMIF('TL10'!$C$238:$C$451,$C432,'TL10'!$J$238:$J$451),0),
IF('TL11'!$B$3=N$3,SUMIF('TL11'!$C$10:$C$224,$C432,'TL11'!$J$10:$J$224),0),
IF('TL11'!$B$229=N$3,SUMIF('TL11'!$C$238:$C$451,$C432,'TL11'!$J$238:$J$451),0),
IF('TL12'!$B$3=N$3,SUMIF('TL12'!$C$10:$C$224,$C432,'TL12'!$J$10:$J$224),0),
IF('TL12'!$B$229=N$3,SUMIF('TL12'!$C$238:$C$451,$C432,'TL12'!$J$238:$J$451),0),
IF('TL13'!$B$3=N$3,SUMIF('TL13'!$C$10:$C$224,$C432,'TL13'!$J$10:$J$224),0),
IF('TL13'!$B$229=N$3,SUMIF('TL13'!$C$238:$C$451,$C432,'TL13'!$J$238:$J$451),0),
IF('TL14'!$B$3=N$3,SUMIF('TL14'!$C$10:$C$224,$C432,'TL14'!$J$10:$J$224),0),
IF('TL14'!$B$229=N$3,SUMIF('TL14'!$C$238:$C$451,$C432,'TL14'!$J$238:$J$451),0),
IF('TL15'!$B$3=N$3,SUMIF('TL15'!$C$10:$C$224,$C432,'TL15'!$J$10:$J$224),0),
IF('TL15'!$B$229=N$3,SUMIF('TL15'!$C$238:$C$451,$C432,'TL15'!$J$238:$J$451),0),
IF('TL16'!$B$3=N$3,SUMIF('TL16'!$C$10:$C$224,$C432,'TL16'!$J$10:$J$224),0),
IF('TL16'!$B$229=N$3,SUMIF('TL16'!$C$238:$C$451,$C432,'TL16'!$J$238:$J$451),0),
IF('TL17'!$B$3=N$3,SUMIF('TL17'!$C$10:$C$224,$C432,'TL17'!$J$10:$J$224),0),
IF('TL17'!$B$229=N$3,SUMIF('TL17'!$C$238:$C$451,$C432,'TL17'!$J$238:$J$451),0),
IF('TL18'!$B$3=N$3,SUMIF('TL18'!$C$10:$C$224,$C432,'TL18'!$J$10:$J$224),0),
IF('TL18'!$B$229=N$3,SUMIF('TL18'!$C$238:$C$451,$C432,'TL18'!$J$238:$J$451),0),
IF('TL19'!$B$3=N$3,SUMIF('TL19'!$C$10:$C$224,$C432,'TL19'!$J$10:$J$224),0),
IF('TL19'!$B$229=N$3,SUMIF('TL19'!$C$238:$C$451,$C432,'TL19'!$J$238:$J$451),0)
),0)</f>
        <v>0</v>
      </c>
      <c r="O432" s="138">
        <f>IFERROR(SUM(
IF('TL01'!$B$3=O$3,SUMIF('TL01'!$C$10:$C$224,$C432,'TL01'!$J$10:$J$224),0),
IF('TL01'!$B$229=O$3,SUMIF('TL01'!$C$238:$C$451,$C432,'TL01'!$J$238:$J$451),0),
IF('TL02'!$B$3=O$3,SUMIF('TL02'!$C$10:$C$224,$C432,'TL02'!$J$10:$J$224),0),
IF('TL02'!$B$229=O$3,SUMIF('TL02'!$C$238:$C$451,$C432,'TL02'!$J$238:$J$451),0),
IF('TL03'!$B$3=O$3,SUMIF('TL03'!$C$10:$C$224,$C432,'TL03'!$J$10:$J$224),0),
IF('TL03'!$B$229=O$3,SUMIF('TL03'!$C$238:$C$451,$C432,'TL03'!$J$238:$J$451),0),
IF('TL04'!$B$3=O$3,SUMIF('TL04'!$C$10:$C$224,$C432,'TL04'!$J$10:$J$224),0),
IF('TL04'!$B$229=O$3,SUMIF('TL04'!$C$238:$C$451,$C432,'TL04'!$J$238:$J$451),0),
IF('TL05'!$B$3=O$3,SUMIF('TL05'!$C$10:$C$224,$C432,'TL05'!$J$10:$J$224),0),
IF('TL05'!$B$229=O$3,SUMIF('TL05'!$C$238:$C$451,$C432,'TL05'!$J$238:$J$451),0),
IF('TL06'!$B$3=O$3,SUMIF('TL06'!$C$10:$C$224,$C432,'TL06'!$J$10:$J$224),0),
IF('TL06'!$B$229=O$3,SUMIF('TL06'!$C$238:$C$451,$C432,'TL06'!$J$238:$J$451),0),
IF('TL07'!$B$3=O$3,SUMIF('TL07'!$C$10:$C$224,$C432,'TL07'!$J$10:$J$224),0),
IF('TL07'!$B$229=O$3,SUMIF('TL07'!$C$238:$C$451,$C432,'TL07'!$J$238:$J$451),0),
IF('TL08'!$B$3=O$3,SUMIF('TL08'!$C$10:$C$224,$C432,'TL08'!$J$10:$J$224),0),
IF('TL08'!$B$229=O$3,SUMIF('TL08'!$C$238:$C$451,$C432,'TL08'!$J$238:$J$451),0),
IF('TL09'!$B$3=O$3,SUMIF('TL09'!$C$10:$C$224,$C432,'TL09'!$J$10:$J$224),0),
IF('TL09'!$B$229=O$3,SUMIF('TL09'!$C$238:$C$451,$C432,'TL09'!$J$238:$J$451),0),
IF('TL10'!$B$3=O$3,SUMIF('TL10'!$C$10:$C$224,$C432,'TL10'!$J$10:$J$224),0),
IF('TL10'!$B$229=O$3,SUMIF('TL10'!$C$238:$C$451,$C432,'TL10'!$J$238:$J$451),0),
IF('TL11'!$B$3=O$3,SUMIF('TL11'!$C$10:$C$224,$C432,'TL11'!$J$10:$J$224),0),
IF('TL11'!$B$229=O$3,SUMIF('TL11'!$C$238:$C$451,$C432,'TL11'!$J$238:$J$451),0),
IF('TL12'!$B$3=O$3,SUMIF('TL12'!$C$10:$C$224,$C432,'TL12'!$J$10:$J$224),0),
IF('TL12'!$B$229=O$3,SUMIF('TL12'!$C$238:$C$451,$C432,'TL12'!$J$238:$J$451),0),
IF('TL13'!$B$3=O$3,SUMIF('TL13'!$C$10:$C$224,$C432,'TL13'!$J$10:$J$224),0),
IF('TL13'!$B$229=O$3,SUMIF('TL13'!$C$238:$C$451,$C432,'TL13'!$J$238:$J$451),0),
IF('TL14'!$B$3=O$3,SUMIF('TL14'!$C$10:$C$224,$C432,'TL14'!$J$10:$J$224),0),
IF('TL14'!$B$229=O$3,SUMIF('TL14'!$C$238:$C$451,$C432,'TL14'!$J$238:$J$451),0),
IF('TL15'!$B$3=O$3,SUMIF('TL15'!$C$10:$C$224,$C432,'TL15'!$J$10:$J$224),0),
IF('TL15'!$B$229=O$3,SUMIF('TL15'!$C$238:$C$451,$C432,'TL15'!$J$238:$J$451),0),
IF('TL16'!$B$3=O$3,SUMIF('TL16'!$C$10:$C$224,$C432,'TL16'!$J$10:$J$224),0),
IF('TL16'!$B$229=O$3,SUMIF('TL16'!$C$238:$C$451,$C432,'TL16'!$J$238:$J$451),0),
IF('TL17'!$B$3=O$3,SUMIF('TL17'!$C$10:$C$224,$C432,'TL17'!$J$10:$J$224),0),
IF('TL17'!$B$229=O$3,SUMIF('TL17'!$C$238:$C$451,$C432,'TL17'!$J$238:$J$451),0),
IF('TL18'!$B$3=O$3,SUMIF('TL18'!$C$10:$C$224,$C432,'TL18'!$J$10:$J$224),0),
IF('TL18'!$B$229=O$3,SUMIF('TL18'!$C$238:$C$451,$C432,'TL18'!$J$238:$J$451),0),
IF('TL19'!$B$3=O$3,SUMIF('TL19'!$C$10:$C$224,$C432,'TL19'!$J$10:$J$224),0),
IF('TL19'!$B$229=O$3,SUMIF('TL19'!$C$238:$C$451,$C432,'TL19'!$J$238:$J$451),0)
),0)</f>
        <v>0</v>
      </c>
      <c r="P432" s="138">
        <f>IFERROR(SUM(
IF('TL01'!$B$3=P$3,SUMIF('TL01'!$C$10:$C$224,$C432,'TL01'!$J$10:$J$224),0),
IF('TL01'!$B$229=P$3,SUMIF('TL01'!$C$238:$C$451,$C432,'TL01'!$J$238:$J$451),0),
IF('TL02'!$B$3=P$3,SUMIF('TL02'!$C$10:$C$224,$C432,'TL02'!$J$10:$J$224),0),
IF('TL02'!$B$229=P$3,SUMIF('TL02'!$C$238:$C$451,$C432,'TL02'!$J$238:$J$451),0),
IF('TL03'!$B$3=P$3,SUMIF('TL03'!$C$10:$C$224,$C432,'TL03'!$J$10:$J$224),0),
IF('TL03'!$B$229=P$3,SUMIF('TL03'!$C$238:$C$451,$C432,'TL03'!$J$238:$J$451),0),
IF('TL04'!$B$3=P$3,SUMIF('TL04'!$C$10:$C$224,$C432,'TL04'!$J$10:$J$224),0),
IF('TL04'!$B$229=P$3,SUMIF('TL04'!$C$238:$C$451,$C432,'TL04'!$J$238:$J$451),0),
IF('TL05'!$B$3=P$3,SUMIF('TL05'!$C$10:$C$224,$C432,'TL05'!$J$10:$J$224),0),
IF('TL05'!$B$229=P$3,SUMIF('TL05'!$C$238:$C$451,$C432,'TL05'!$J$238:$J$451),0),
IF('TL06'!$B$3=P$3,SUMIF('TL06'!$C$10:$C$224,$C432,'TL06'!$J$10:$J$224),0),
IF('TL06'!$B$229=P$3,SUMIF('TL06'!$C$238:$C$451,$C432,'TL06'!$J$238:$J$451),0),
IF('TL07'!$B$3=P$3,SUMIF('TL07'!$C$10:$C$224,$C432,'TL07'!$J$10:$J$224),0),
IF('TL07'!$B$229=P$3,SUMIF('TL07'!$C$238:$C$451,$C432,'TL07'!$J$238:$J$451),0),
IF('TL08'!$B$3=P$3,SUMIF('TL08'!$C$10:$C$224,$C432,'TL08'!$J$10:$J$224),0),
IF('TL08'!$B$229=P$3,SUMIF('TL08'!$C$238:$C$451,$C432,'TL08'!$J$238:$J$451),0),
IF('TL09'!$B$3=P$3,SUMIF('TL09'!$C$10:$C$224,$C432,'TL09'!$J$10:$J$224),0),
IF('TL09'!$B$229=P$3,SUMIF('TL09'!$C$238:$C$451,$C432,'TL09'!$J$238:$J$451),0),
IF('TL10'!$B$3=P$3,SUMIF('TL10'!$C$10:$C$224,$C432,'TL10'!$J$10:$J$224),0),
IF('TL10'!$B$229=P$3,SUMIF('TL10'!$C$238:$C$451,$C432,'TL10'!$J$238:$J$451),0),
IF('TL11'!$B$3=P$3,SUMIF('TL11'!$C$10:$C$224,$C432,'TL11'!$J$10:$J$224),0),
IF('TL11'!$B$229=P$3,SUMIF('TL11'!$C$238:$C$451,$C432,'TL11'!$J$238:$J$451),0),
IF('TL12'!$B$3=P$3,SUMIF('TL12'!$C$10:$C$224,$C432,'TL12'!$J$10:$J$224),0),
IF('TL12'!$B$229=P$3,SUMIF('TL12'!$C$238:$C$451,$C432,'TL12'!$J$238:$J$451),0),
IF('TL13'!$B$3=P$3,SUMIF('TL13'!$C$10:$C$224,$C432,'TL13'!$J$10:$J$224),0),
IF('TL13'!$B$229=P$3,SUMIF('TL13'!$C$238:$C$451,$C432,'TL13'!$J$238:$J$451),0),
IF('TL14'!$B$3=P$3,SUMIF('TL14'!$C$10:$C$224,$C432,'TL14'!$J$10:$J$224),0),
IF('TL14'!$B$229=P$3,SUMIF('TL14'!$C$238:$C$451,$C432,'TL14'!$J$238:$J$451),0),
IF('TL15'!$B$3=P$3,SUMIF('TL15'!$C$10:$C$224,$C432,'TL15'!$J$10:$J$224),0),
IF('TL15'!$B$229=P$3,SUMIF('TL15'!$C$238:$C$451,$C432,'TL15'!$J$238:$J$451),0),
IF('TL16'!$B$3=P$3,SUMIF('TL16'!$C$10:$C$224,$C432,'TL16'!$J$10:$J$224),0),
IF('TL16'!$B$229=P$3,SUMIF('TL16'!$C$238:$C$451,$C432,'TL16'!$J$238:$J$451),0),
IF('TL17'!$B$3=P$3,SUMIF('TL17'!$C$10:$C$224,$C432,'TL17'!$J$10:$J$224),0),
IF('TL17'!$B$229=P$3,SUMIF('TL17'!$C$238:$C$451,$C432,'TL17'!$J$238:$J$451),0),
IF('TL18'!$B$3=P$3,SUMIF('TL18'!$C$10:$C$224,$C432,'TL18'!$J$10:$J$224),0),
IF('TL18'!$B$229=P$3,SUMIF('TL18'!$C$238:$C$451,$C432,'TL18'!$J$238:$J$451),0),
IF('TL19'!$B$3=P$3,SUMIF('TL19'!$C$10:$C$224,$C432,'TL19'!$J$10:$J$224),0),
IF('TL19'!$B$229=P$3,SUMIF('TL19'!$C$238:$C$451,$C432,'TL19'!$J$238:$J$451),0)
),0)</f>
        <v>0</v>
      </c>
      <c r="Q432" s="138">
        <f>IFERROR(SUM(
IF('TL01'!$B$3=Q$3,SUMIF('TL01'!$C$10:$C$224,$C432,'TL01'!$J$10:$J$224),0),
IF('TL01'!$B$229=Q$3,SUMIF('TL01'!$C$238:$C$451,$C432,'TL01'!$J$238:$J$451),0),
IF('TL02'!$B$3=Q$3,SUMIF('TL02'!$C$10:$C$224,$C432,'TL02'!$J$10:$J$224),0),
IF('TL02'!$B$229=Q$3,SUMIF('TL02'!$C$238:$C$451,$C432,'TL02'!$J$238:$J$451),0),
IF('TL03'!$B$3=Q$3,SUMIF('TL03'!$C$10:$C$224,$C432,'TL03'!$J$10:$J$224),0),
IF('TL03'!$B$229=Q$3,SUMIF('TL03'!$C$238:$C$451,$C432,'TL03'!$J$238:$J$451),0),
IF('TL04'!$B$3=Q$3,SUMIF('TL04'!$C$10:$C$224,$C432,'TL04'!$J$10:$J$224),0),
IF('TL04'!$B$229=Q$3,SUMIF('TL04'!$C$238:$C$451,$C432,'TL04'!$J$238:$J$451),0),
IF('TL05'!$B$3=Q$3,SUMIF('TL05'!$C$10:$C$224,$C432,'TL05'!$J$10:$J$224),0),
IF('TL05'!$B$229=Q$3,SUMIF('TL05'!$C$238:$C$451,$C432,'TL05'!$J$238:$J$451),0),
IF('TL06'!$B$3=Q$3,SUMIF('TL06'!$C$10:$C$224,$C432,'TL06'!$J$10:$J$224),0),
IF('TL06'!$B$229=Q$3,SUMIF('TL06'!$C$238:$C$451,$C432,'TL06'!$J$238:$J$451),0),
IF('TL07'!$B$3=Q$3,SUMIF('TL07'!$C$10:$C$224,$C432,'TL07'!$J$10:$J$224),0),
IF('TL07'!$B$229=Q$3,SUMIF('TL07'!$C$238:$C$451,$C432,'TL07'!$J$238:$J$451),0),
IF('TL08'!$B$3=Q$3,SUMIF('TL08'!$C$10:$C$224,$C432,'TL08'!$J$10:$J$224),0),
IF('TL08'!$B$229=Q$3,SUMIF('TL08'!$C$238:$C$451,$C432,'TL08'!$J$238:$J$451),0),
IF('TL09'!$B$3=Q$3,SUMIF('TL09'!$C$10:$C$224,$C432,'TL09'!$J$10:$J$224),0),
IF('TL09'!$B$229=Q$3,SUMIF('TL09'!$C$238:$C$451,$C432,'TL09'!$J$238:$J$451),0),
IF('TL10'!$B$3=Q$3,SUMIF('TL10'!$C$10:$C$224,$C432,'TL10'!$J$10:$J$224),0),
IF('TL10'!$B$229=Q$3,SUMIF('TL10'!$C$238:$C$451,$C432,'TL10'!$J$238:$J$451),0),
IF('TL11'!$B$3=Q$3,SUMIF('TL11'!$C$10:$C$224,$C432,'TL11'!$J$10:$J$224),0),
IF('TL11'!$B$229=Q$3,SUMIF('TL11'!$C$238:$C$451,$C432,'TL11'!$J$238:$J$451),0),
IF('TL12'!$B$3=Q$3,SUMIF('TL12'!$C$10:$C$224,$C432,'TL12'!$J$10:$J$224),0),
IF('TL12'!$B$229=Q$3,SUMIF('TL12'!$C$238:$C$451,$C432,'TL12'!$J$238:$J$451),0),
IF('TL13'!$B$3=Q$3,SUMIF('TL13'!$C$10:$C$224,$C432,'TL13'!$J$10:$J$224),0),
IF('TL13'!$B$229=Q$3,SUMIF('TL13'!$C$238:$C$451,$C432,'TL13'!$J$238:$J$451),0),
IF('TL14'!$B$3=Q$3,SUMIF('TL14'!$C$10:$C$224,$C432,'TL14'!$J$10:$J$224),0),
IF('TL14'!$B$229=Q$3,SUMIF('TL14'!$C$238:$C$451,$C432,'TL14'!$J$238:$J$451),0),
IF('TL15'!$B$3=Q$3,SUMIF('TL15'!$C$10:$C$224,$C432,'TL15'!$J$10:$J$224),0),
IF('TL15'!$B$229=Q$3,SUMIF('TL15'!$C$238:$C$451,$C432,'TL15'!$J$238:$J$451),0),
IF('TL16'!$B$3=Q$3,SUMIF('TL16'!$C$10:$C$224,$C432,'TL16'!$J$10:$J$224),0),
IF('TL16'!$B$229=Q$3,SUMIF('TL16'!$C$238:$C$451,$C432,'TL16'!$J$238:$J$451),0),
IF('TL17'!$B$3=Q$3,SUMIF('TL17'!$C$10:$C$224,$C432,'TL17'!$J$10:$J$224),0),
IF('TL17'!$B$229=Q$3,SUMIF('TL17'!$C$238:$C$451,$C432,'TL17'!$J$238:$J$451),0),
IF('TL18'!$B$3=Q$3,SUMIF('TL18'!$C$10:$C$224,$C432,'TL18'!$J$10:$J$224),0),
IF('TL18'!$B$229=Q$3,SUMIF('TL18'!$C$238:$C$451,$C432,'TL18'!$J$238:$J$451),0),
IF('TL19'!$B$3=Q$3,SUMIF('TL19'!$C$10:$C$224,$C432,'TL19'!$J$10:$J$224),0),
IF('TL19'!$B$229=Q$3,SUMIF('TL19'!$C$238:$C$451,$C432,'TL19'!$J$238:$J$451),0)
),0)</f>
        <v>0</v>
      </c>
      <c r="R432" s="139">
        <f>IFERROR(
SUM(
SUMIF('TL01'!C:C,C432,'TL01'!J:J),
SUMIF('TL02'!C:C,C432,'TL02'!I:I),
SUMIF('TL03'!C:C,C432,'TL03'!I:I),
SUMIF('TL04'!C:C,C432,'TL04'!I:I),
SUMIF('TL05'!C:C,C432,'TL05'!I:I),
SUMIF('TL06'!C:C,C432,'TL06'!I:I),
SUMIF('TL07'!C:C,C432,'TL07'!I:I),
SUMIF('TL08'!C:C,C432,'TL08'!I:I),
SUMIF('TL09'!C:C,C432,'TL09'!I:I),
SUMIF('TL10'!C:C,C432,'TL10'!I:I),
SUMIF('TL11'!C:C,C432,'TL11'!I:I),
SUMIF('TL12'!C:C,C432,'TL12'!I:I),
SUMIF('TL13'!C:C,C432,'TL13'!I:I),
SUMIF('TL14'!C:C,C432,'TL14'!I:I),
SUMIF('TL15'!C:C,C432,'TL15'!I:I),
SUMIF('TL16'!C:C,C432,'TL16'!I:I),
SUMIF('TL17'!C:C,C432,'TL17'!I:I),
SUMIF('TL18'!C:C,C432,'TL18'!I:I))
,0)</f>
        <v>0</v>
      </c>
      <c r="S432" s="142" t="str">
        <f>'CUSTO OPERAÇÃO'!M36</f>
        <v/>
      </c>
      <c r="T432" s="139"/>
      <c r="U432" s="143">
        <f t="shared" si="2"/>
        <v>0</v>
      </c>
      <c r="V432" s="144">
        <f t="shared" si="3"/>
        <v>0</v>
      </c>
    </row>
    <row r="433" ht="15.75" hidden="1" customHeight="1">
      <c r="A433" s="4" t="s">
        <v>1134</v>
      </c>
      <c r="B433" s="125"/>
      <c r="C433" s="6"/>
      <c r="D433" s="6"/>
      <c r="E433" s="9"/>
      <c r="F433" s="4"/>
      <c r="G433" s="9"/>
      <c r="H433" s="9"/>
      <c r="I433" s="1"/>
      <c r="J433" s="9">
        <f>IFERROR(SUM(
IF('TL01'!$B$3=J$3,SUMIF('TL01'!$C$10:$C$224,$C433,'TL01'!$J$10:$J$224),0),
IF('TL01'!$B$229=J$3,SUMIF('TL01'!$C$238:$C$451,$C433,'TL01'!$J$238:$J$451),0),
IF('TL02'!$B$3=J$3,SUMIF('TL02'!$C$10:$C$224,$C433,'TL02'!$J$10:$J$224),0),
IF('TL02'!$B$229=J$3,SUMIF('TL02'!$C$238:$C$451,$C433,'TL02'!$J$238:$J$451),0),
IF('TL03'!$B$3=J$3,SUMIF('TL03'!$C$10:$C$224,$C433,'TL03'!$J$10:$J$224),0),
IF('TL03'!$B$229=J$3,SUMIF('TL03'!$C$238:$C$451,$C433,'TL03'!$J$238:$J$451),0),
IF('TL04'!$B$3=J$3,SUMIF('TL04'!$C$10:$C$224,$C433,'TL04'!$J$10:$J$224),0),
IF('TL04'!$B$229=J$3,SUMIF('TL04'!$C$238:$C$451,$C433,'TL04'!$J$238:$J$451),0),
IF('TL05'!$B$3=J$3,SUMIF('TL05'!$C$10:$C$224,$C433,'TL05'!$J$10:$J$224),0),
IF('TL05'!$B$229=J$3,SUMIF('TL05'!$C$238:$C$451,$C433,'TL05'!$J$238:$J$451),0),
IF('TL06'!$B$3=J$3,SUMIF('TL06'!$C$10:$C$224,$C433,'TL06'!$J$10:$J$224),0),
IF('TL06'!$B$229=J$3,SUMIF('TL06'!$C$238:$C$451,$C433,'TL06'!$J$238:$J$451),0),
IF('TL07'!$B$3=J$3,SUMIF('TL07'!$C$10:$C$224,$C433,'TL07'!$J$10:$J$224),0),
IF('TL07'!$B$229=J$3,SUMIF('TL07'!$C$238:$C$451,$C433,'TL07'!$J$238:$J$451),0),
IF('TL08'!$B$3=J$3,SUMIF('TL08'!$C$10:$C$224,$C433,'TL08'!$J$10:$J$224),0),
IF('TL08'!$B$229=J$3,SUMIF('TL08'!$C$238:$C$451,$C433,'TL08'!$J$238:$J$451),0),
IF('TL09'!$B$3=J$3,SUMIF('TL09'!$C$10:$C$224,$C433,'TL09'!$J$10:$J$224),0),
IF('TL09'!$B$229=J$3,SUMIF('TL09'!$C$238:$C$451,$C433,'TL09'!$J$238:$J$451),0),
IF('TL10'!$B$3=J$3,SUMIF('TL10'!$C$10:$C$224,$C433,'TL10'!$J$10:$J$224),0),
IF('TL10'!$B$229=J$3,SUMIF('TL10'!$C$238:$C$451,$C433,'TL10'!$J$238:$J$451),0),
IF('TL11'!$B$3=J$3,SUMIF('TL11'!$C$10:$C$224,$C433,'TL11'!$J$10:$J$224),0),
IF('TL11'!$B$229=J$3,SUMIF('TL11'!$C$238:$C$451,$C433,'TL11'!$J$238:$J$451),0),
IF('TL12'!$B$3=J$3,SUMIF('TL12'!$C$10:$C$224,$C433,'TL12'!$J$10:$J$224),0),
IF('TL12'!$B$229=J$3,SUMIF('TL12'!$C$238:$C$451,$C433,'TL12'!$J$238:$J$451),0),
IF('TL13'!$B$3=J$3,SUMIF('TL13'!$C$10:$C$224,$C433,'TL13'!$J$10:$J$224),0),
IF('TL13'!$B$229=J$3,SUMIF('TL13'!$C$238:$C$451,$C433,'TL13'!$J$238:$J$451),0),
IF('TL14'!$B$3=J$3,SUMIF('TL14'!$C$10:$C$224,$C433,'TL14'!$J$10:$J$224),0),
IF('TL14'!$B$229=J$3,SUMIF('TL14'!$C$238:$C$451,$C433,'TL14'!$J$238:$J$451),0),
IF('TL15'!$B$3=J$3,SUMIF('TL15'!$C$10:$C$224,$C433,'TL15'!$J$10:$J$224),0),
IF('TL15'!$B$229=J$3,SUMIF('TL15'!$C$238:$C$451,$C433,'TL15'!$J$238:$J$451),0),
IF('TL16'!$B$3=J$3,SUMIF('TL16'!$C$10:$C$224,$C433,'TL16'!$J$10:$J$224),0),
IF('TL16'!$B$229=J$3,SUMIF('TL16'!$C$238:$C$451,$C433,'TL16'!$J$238:$J$451),0),
IF('TL17'!$B$3=J$3,SUMIF('TL17'!$C$10:$C$224,$C433,'TL17'!$J$10:$J$224),0),
IF('TL17'!$B$229=J$3,SUMIF('TL17'!$C$238:$C$451,$C433,'TL17'!$J$238:$J$451),0),
IF('TL18'!$B$3=J$3,SUMIF('TL18'!$C$10:$C$224,$C433,'TL18'!$J$10:$J$224),0),
IF('TL18'!$B$229=J$3,SUMIF('TL18'!$C$238:$C$451,$C433,'TL18'!$J$238:$J$451),0),
IF('TL19'!$B$3=J$3,SUMIF('TL19'!$C$10:$C$224,$C433,'TL19'!$J$10:$J$224),0),
IF('TL19'!$B$229=J$3,SUMIF('TL19'!$C$238:$C$451,$C433,'TL19'!$J$238:$J$451),0)
),0)</f>
        <v>0</v>
      </c>
      <c r="K433" s="9">
        <f>IFERROR(SUM(
IF('TL01'!$B$3=K$3,SUMIF('TL01'!$C$10:$C$224,$C433,'TL01'!$J$10:$J$224),0),
IF('TL01'!$B$229=K$3,SUMIF('TL01'!$C$238:$C$451,$C433,'TL01'!$J$238:$J$451),0),
IF('TL02'!$B$3=K$3,SUMIF('TL02'!$C$10:$C$224,$C433,'TL02'!$J$10:$J$224),0),
IF('TL02'!$B$229=K$3,SUMIF('TL02'!$C$238:$C$451,$C433,'TL02'!$J$238:$J$451),0),
IF('TL03'!$B$3=K$3,SUMIF('TL03'!$C$10:$C$224,$C433,'TL03'!$J$10:$J$224),0),
IF('TL03'!$B$229=K$3,SUMIF('TL03'!$C$238:$C$451,$C433,'TL03'!$J$238:$J$451),0),
IF('TL04'!$B$3=K$3,SUMIF('TL04'!$C$10:$C$224,$C433,'TL04'!$J$10:$J$224),0),
IF('TL04'!$B$229=K$3,SUMIF('TL04'!$C$238:$C$451,$C433,'TL04'!$J$238:$J$451),0),
IF('TL05'!$B$3=K$3,SUMIF('TL05'!$C$10:$C$224,$C433,'TL05'!$J$10:$J$224),0),
IF('TL05'!$B$229=K$3,SUMIF('TL05'!$C$238:$C$451,$C433,'TL05'!$J$238:$J$451),0),
IF('TL06'!$B$3=K$3,SUMIF('TL06'!$C$10:$C$224,$C433,'TL06'!$J$10:$J$224),0),
IF('TL06'!$B$229=K$3,SUMIF('TL06'!$C$238:$C$451,$C433,'TL06'!$J$238:$J$451),0),
IF('TL07'!$B$3=K$3,SUMIF('TL07'!$C$10:$C$224,$C433,'TL07'!$J$10:$J$224),0),
IF('TL07'!$B$229=K$3,SUMIF('TL07'!$C$238:$C$451,$C433,'TL07'!$J$238:$J$451),0),
IF('TL08'!$B$3=K$3,SUMIF('TL08'!$C$10:$C$224,$C433,'TL08'!$J$10:$J$224),0),
IF('TL08'!$B$229=K$3,SUMIF('TL08'!$C$238:$C$451,$C433,'TL08'!$J$238:$J$451),0),
IF('TL09'!$B$3=K$3,SUMIF('TL09'!$C$10:$C$224,$C433,'TL09'!$J$10:$J$224),0),
IF('TL09'!$B$229=K$3,SUMIF('TL09'!$C$238:$C$451,$C433,'TL09'!$J$238:$J$451),0),
IF('TL10'!$B$3=K$3,SUMIF('TL10'!$C$10:$C$224,$C433,'TL10'!$J$10:$J$224),0),
IF('TL10'!$B$229=K$3,SUMIF('TL10'!$C$238:$C$451,$C433,'TL10'!$J$238:$J$451),0),
IF('TL11'!$B$3=K$3,SUMIF('TL11'!$C$10:$C$224,$C433,'TL11'!$J$10:$J$224),0),
IF('TL11'!$B$229=K$3,SUMIF('TL11'!$C$238:$C$451,$C433,'TL11'!$J$238:$J$451),0),
IF('TL12'!$B$3=K$3,SUMIF('TL12'!$C$10:$C$224,$C433,'TL12'!$J$10:$J$224),0),
IF('TL12'!$B$229=K$3,SUMIF('TL12'!$C$238:$C$451,$C433,'TL12'!$J$238:$J$451),0),
IF('TL13'!$B$3=K$3,SUMIF('TL13'!$C$10:$C$224,$C433,'TL13'!$J$10:$J$224),0),
IF('TL13'!$B$229=K$3,SUMIF('TL13'!$C$238:$C$451,$C433,'TL13'!$J$238:$J$451),0),
IF('TL14'!$B$3=K$3,SUMIF('TL14'!$C$10:$C$224,$C433,'TL14'!$J$10:$J$224),0),
IF('TL14'!$B$229=K$3,SUMIF('TL14'!$C$238:$C$451,$C433,'TL14'!$J$238:$J$451),0),
IF('TL15'!$B$3=K$3,SUMIF('TL15'!$C$10:$C$224,$C433,'TL15'!$J$10:$J$224),0),
IF('TL15'!$B$229=K$3,SUMIF('TL15'!$C$238:$C$451,$C433,'TL15'!$J$238:$J$451),0),
IF('TL16'!$B$3=K$3,SUMIF('TL16'!$C$10:$C$224,$C433,'TL16'!$J$10:$J$224),0),
IF('TL16'!$B$229=K$3,SUMIF('TL16'!$C$238:$C$451,$C433,'TL16'!$J$238:$J$451),0),
IF('TL17'!$B$3=K$3,SUMIF('TL17'!$C$10:$C$224,$C433,'TL17'!$J$10:$J$224),0),
IF('TL17'!$B$229=K$3,SUMIF('TL17'!$C$238:$C$451,$C433,'TL17'!$J$238:$J$451),0),
IF('TL18'!$B$3=K$3,SUMIF('TL18'!$C$10:$C$224,$C433,'TL18'!$J$10:$J$224),0),
IF('TL18'!$B$229=K$3,SUMIF('TL18'!$C$238:$C$451,$C433,'TL18'!$J$238:$J$451),0),
IF('TL19'!$B$3=K$3,SUMIF('TL19'!$C$10:$C$224,$C433,'TL19'!$J$10:$J$224),0),
IF('TL19'!$B$229=K$3,SUMIF('TL19'!$C$238:$C$451,$C433,'TL19'!$J$238:$J$451),0)
),0)</f>
        <v>0</v>
      </c>
      <c r="L433" s="9">
        <f>IFERROR(SUM(
IF('TL01'!$B$3=L$3,SUMIF('TL01'!$C$10:$C$224,$C433,'TL01'!$J$10:$J$224),0),
IF('TL01'!$B$229=L$3,SUMIF('TL01'!$C$238:$C$451,$C433,'TL01'!$J$238:$J$451),0),
IF('TL02'!$B$3=L$3,SUMIF('TL02'!$C$10:$C$224,$C433,'TL02'!$J$10:$J$224),0),
IF('TL02'!$B$229=L$3,SUMIF('TL02'!$C$238:$C$451,$C433,'TL02'!$J$238:$J$451),0),
IF('TL03'!$B$3=L$3,SUMIF('TL03'!$C$10:$C$224,$C433,'TL03'!$J$10:$J$224),0),
IF('TL03'!$B$229=L$3,SUMIF('TL03'!$C$238:$C$451,$C433,'TL03'!$J$238:$J$451),0),
IF('TL04'!$B$3=L$3,SUMIF('TL04'!$C$10:$C$224,$C433,'TL04'!$J$10:$J$224),0),
IF('TL04'!$B$229=L$3,SUMIF('TL04'!$C$238:$C$451,$C433,'TL04'!$J$238:$J$451),0),
IF('TL05'!$B$3=L$3,SUMIF('TL05'!$C$10:$C$224,$C433,'TL05'!$J$10:$J$224),0),
IF('TL05'!$B$229=L$3,SUMIF('TL05'!$C$238:$C$451,$C433,'TL05'!$J$238:$J$451),0),
IF('TL06'!$B$3=L$3,SUMIF('TL06'!$C$10:$C$224,$C433,'TL06'!$J$10:$J$224),0),
IF('TL06'!$B$229=L$3,SUMIF('TL06'!$C$238:$C$451,$C433,'TL06'!$J$238:$J$451),0),
IF('TL07'!$B$3=L$3,SUMIF('TL07'!$C$10:$C$224,$C433,'TL07'!$J$10:$J$224),0),
IF('TL07'!$B$229=L$3,SUMIF('TL07'!$C$238:$C$451,$C433,'TL07'!$J$238:$J$451),0),
IF('TL08'!$B$3=L$3,SUMIF('TL08'!$C$10:$C$224,$C433,'TL08'!$J$10:$J$224),0),
IF('TL08'!$B$229=L$3,SUMIF('TL08'!$C$238:$C$451,$C433,'TL08'!$J$238:$J$451),0),
IF('TL09'!$B$3=L$3,SUMIF('TL09'!$C$10:$C$224,$C433,'TL09'!$J$10:$J$224),0),
IF('TL09'!$B$229=L$3,SUMIF('TL09'!$C$238:$C$451,$C433,'TL09'!$J$238:$J$451),0),
IF('TL10'!$B$3=L$3,SUMIF('TL10'!$C$10:$C$224,$C433,'TL10'!$J$10:$J$224),0),
IF('TL10'!$B$229=L$3,SUMIF('TL10'!$C$238:$C$451,$C433,'TL10'!$J$238:$J$451),0),
IF('TL11'!$B$3=L$3,SUMIF('TL11'!$C$10:$C$224,$C433,'TL11'!$J$10:$J$224),0),
IF('TL11'!$B$229=L$3,SUMIF('TL11'!$C$238:$C$451,$C433,'TL11'!$J$238:$J$451),0),
IF('TL12'!$B$3=L$3,SUMIF('TL12'!$C$10:$C$224,$C433,'TL12'!$J$10:$J$224),0),
IF('TL12'!$B$229=L$3,SUMIF('TL12'!$C$238:$C$451,$C433,'TL12'!$J$238:$J$451),0),
IF('TL13'!$B$3=L$3,SUMIF('TL13'!$C$10:$C$224,$C433,'TL13'!$J$10:$J$224),0),
IF('TL13'!$B$229=L$3,SUMIF('TL13'!$C$238:$C$451,$C433,'TL13'!$J$238:$J$451),0),
IF('TL14'!$B$3=L$3,SUMIF('TL14'!$C$10:$C$224,$C433,'TL14'!$J$10:$J$224),0),
IF('TL14'!$B$229=L$3,SUMIF('TL14'!$C$238:$C$451,$C433,'TL14'!$J$238:$J$451),0),
IF('TL15'!$B$3=L$3,SUMIF('TL15'!$C$10:$C$224,$C433,'TL15'!$J$10:$J$224),0),
IF('TL15'!$B$229=L$3,SUMIF('TL15'!$C$238:$C$451,$C433,'TL15'!$J$238:$J$451),0),
IF('TL16'!$B$3=L$3,SUMIF('TL16'!$C$10:$C$224,$C433,'TL16'!$J$10:$J$224),0),
IF('TL16'!$B$229=L$3,SUMIF('TL16'!$C$238:$C$451,$C433,'TL16'!$J$238:$J$451),0),
IF('TL17'!$B$3=L$3,SUMIF('TL17'!$C$10:$C$224,$C433,'TL17'!$J$10:$J$224),0),
IF('TL17'!$B$229=L$3,SUMIF('TL17'!$C$238:$C$451,$C433,'TL17'!$J$238:$J$451),0),
IF('TL18'!$B$3=L$3,SUMIF('TL18'!$C$10:$C$224,$C433,'TL18'!$J$10:$J$224),0),
IF('TL18'!$B$229=L$3,SUMIF('TL18'!$C$238:$C$451,$C433,'TL18'!$J$238:$J$451),0),
IF('TL19'!$B$3=L$3,SUMIF('TL19'!$C$10:$C$224,$C433,'TL19'!$J$10:$J$224),0),
IF('TL19'!$B$229=L$3,SUMIF('TL19'!$C$238:$C$451,$C433,'TL19'!$J$238:$J$451),0)
),0)</f>
        <v>0</v>
      </c>
      <c r="M433" s="9">
        <f>IFERROR(SUM(
IF('TL01'!$B$3=M$3,SUMIF('TL01'!$C$10:$C$224,$C433,'TL01'!$J$10:$J$224),0),
IF('TL01'!$B$229=M$3,SUMIF('TL01'!$C$238:$C$451,$C433,'TL01'!$J$238:$J$451),0),
IF('TL02'!$B$3=M$3,SUMIF('TL02'!$C$10:$C$224,$C433,'TL02'!$J$10:$J$224),0),
IF('TL02'!$B$229=M$3,SUMIF('TL02'!$C$238:$C$451,$C433,'TL02'!$J$238:$J$451),0),
IF('TL03'!$B$3=M$3,SUMIF('TL03'!$C$10:$C$224,$C433,'TL03'!$J$10:$J$224),0),
IF('TL03'!$B$229=M$3,SUMIF('TL03'!$C$238:$C$451,$C433,'TL03'!$J$238:$J$451),0),
IF('TL04'!$B$3=M$3,SUMIF('TL04'!$C$10:$C$224,$C433,'TL04'!$J$10:$J$224),0),
IF('TL04'!$B$229=M$3,SUMIF('TL04'!$C$238:$C$451,$C433,'TL04'!$J$238:$J$451),0),
IF('TL05'!$B$3=M$3,SUMIF('TL05'!$C$10:$C$224,$C433,'TL05'!$J$10:$J$224),0),
IF('TL05'!$B$229=M$3,SUMIF('TL05'!$C$238:$C$451,$C433,'TL05'!$J$238:$J$451),0),
IF('TL06'!$B$3=M$3,SUMIF('TL06'!$C$10:$C$224,$C433,'TL06'!$J$10:$J$224),0),
IF('TL06'!$B$229=M$3,SUMIF('TL06'!$C$238:$C$451,$C433,'TL06'!$J$238:$J$451),0),
IF('TL07'!$B$3=M$3,SUMIF('TL07'!$C$10:$C$224,$C433,'TL07'!$J$10:$J$224),0),
IF('TL07'!$B$229=M$3,SUMIF('TL07'!$C$238:$C$451,$C433,'TL07'!$J$238:$J$451),0),
IF('TL08'!$B$3=M$3,SUMIF('TL08'!$C$10:$C$224,$C433,'TL08'!$J$10:$J$224),0),
IF('TL08'!$B$229=M$3,SUMIF('TL08'!$C$238:$C$451,$C433,'TL08'!$J$238:$J$451),0),
IF('TL09'!$B$3=M$3,SUMIF('TL09'!$C$10:$C$224,$C433,'TL09'!$J$10:$J$224),0),
IF('TL09'!$B$229=M$3,SUMIF('TL09'!$C$238:$C$451,$C433,'TL09'!$J$238:$J$451),0),
IF('TL10'!$B$3=M$3,SUMIF('TL10'!$C$10:$C$224,$C433,'TL10'!$J$10:$J$224),0),
IF('TL10'!$B$229=M$3,SUMIF('TL10'!$C$238:$C$451,$C433,'TL10'!$J$238:$J$451),0),
IF('TL11'!$B$3=M$3,SUMIF('TL11'!$C$10:$C$224,$C433,'TL11'!$J$10:$J$224),0),
IF('TL11'!$B$229=M$3,SUMIF('TL11'!$C$238:$C$451,$C433,'TL11'!$J$238:$J$451),0),
IF('TL12'!$B$3=M$3,SUMIF('TL12'!$C$10:$C$224,$C433,'TL12'!$J$10:$J$224),0),
IF('TL12'!$B$229=M$3,SUMIF('TL12'!$C$238:$C$451,$C433,'TL12'!$J$238:$J$451),0),
IF('TL13'!$B$3=M$3,SUMIF('TL13'!$C$10:$C$224,$C433,'TL13'!$J$10:$J$224),0),
IF('TL13'!$B$229=M$3,SUMIF('TL13'!$C$238:$C$451,$C433,'TL13'!$J$238:$J$451),0),
IF('TL14'!$B$3=M$3,SUMIF('TL14'!$C$10:$C$224,$C433,'TL14'!$J$10:$J$224),0),
IF('TL14'!$B$229=M$3,SUMIF('TL14'!$C$238:$C$451,$C433,'TL14'!$J$238:$J$451),0),
IF('TL15'!$B$3=M$3,SUMIF('TL15'!$C$10:$C$224,$C433,'TL15'!$J$10:$J$224),0),
IF('TL15'!$B$229=M$3,SUMIF('TL15'!$C$238:$C$451,$C433,'TL15'!$J$238:$J$451),0),
IF('TL16'!$B$3=M$3,SUMIF('TL16'!$C$10:$C$224,$C433,'TL16'!$J$10:$J$224),0),
IF('TL16'!$B$229=M$3,SUMIF('TL16'!$C$238:$C$451,$C433,'TL16'!$J$238:$J$451),0),
IF('TL17'!$B$3=M$3,SUMIF('TL17'!$C$10:$C$224,$C433,'TL17'!$J$10:$J$224),0),
IF('TL17'!$B$229=M$3,SUMIF('TL17'!$C$238:$C$451,$C433,'TL17'!$J$238:$J$451),0),
IF('TL18'!$B$3=M$3,SUMIF('TL18'!$C$10:$C$224,$C433,'TL18'!$J$10:$J$224),0),
IF('TL18'!$B$229=M$3,SUMIF('TL18'!$C$238:$C$451,$C433,'TL18'!$J$238:$J$451),0),
IF('TL19'!$B$3=M$3,SUMIF('TL19'!$C$10:$C$224,$C433,'TL19'!$J$10:$J$224),0),
IF('TL19'!$B$229=M$3,SUMIF('TL19'!$C$238:$C$451,$C433,'TL19'!$J$238:$J$451),0)
),0)</f>
        <v>0</v>
      </c>
      <c r="N433" s="9">
        <f>IFERROR(SUM(
IF('TL01'!$B$3=N$3,SUMIF('TL01'!$C$10:$C$224,$C433,'TL01'!$J$10:$J$224),0),
IF('TL01'!$B$229=N$3,SUMIF('TL01'!$C$238:$C$451,$C433,'TL01'!$J$238:$J$451),0),
IF('TL02'!$B$3=N$3,SUMIF('TL02'!$C$10:$C$224,$C433,'TL02'!$J$10:$J$224),0),
IF('TL02'!$B$229=N$3,SUMIF('TL02'!$C$238:$C$451,$C433,'TL02'!$J$238:$J$451),0),
IF('TL03'!$B$3=N$3,SUMIF('TL03'!$C$10:$C$224,$C433,'TL03'!$J$10:$J$224),0),
IF('TL03'!$B$229=N$3,SUMIF('TL03'!$C$238:$C$451,$C433,'TL03'!$J$238:$J$451),0),
IF('TL04'!$B$3=N$3,SUMIF('TL04'!$C$10:$C$224,$C433,'TL04'!$J$10:$J$224),0),
IF('TL04'!$B$229=N$3,SUMIF('TL04'!$C$238:$C$451,$C433,'TL04'!$J$238:$J$451),0),
IF('TL05'!$B$3=N$3,SUMIF('TL05'!$C$10:$C$224,$C433,'TL05'!$J$10:$J$224),0),
IF('TL05'!$B$229=N$3,SUMIF('TL05'!$C$238:$C$451,$C433,'TL05'!$J$238:$J$451),0),
IF('TL06'!$B$3=N$3,SUMIF('TL06'!$C$10:$C$224,$C433,'TL06'!$J$10:$J$224),0),
IF('TL06'!$B$229=N$3,SUMIF('TL06'!$C$238:$C$451,$C433,'TL06'!$J$238:$J$451),0),
IF('TL07'!$B$3=N$3,SUMIF('TL07'!$C$10:$C$224,$C433,'TL07'!$J$10:$J$224),0),
IF('TL07'!$B$229=N$3,SUMIF('TL07'!$C$238:$C$451,$C433,'TL07'!$J$238:$J$451),0),
IF('TL08'!$B$3=N$3,SUMIF('TL08'!$C$10:$C$224,$C433,'TL08'!$J$10:$J$224),0),
IF('TL08'!$B$229=N$3,SUMIF('TL08'!$C$238:$C$451,$C433,'TL08'!$J$238:$J$451),0),
IF('TL09'!$B$3=N$3,SUMIF('TL09'!$C$10:$C$224,$C433,'TL09'!$J$10:$J$224),0),
IF('TL09'!$B$229=N$3,SUMIF('TL09'!$C$238:$C$451,$C433,'TL09'!$J$238:$J$451),0),
IF('TL10'!$B$3=N$3,SUMIF('TL10'!$C$10:$C$224,$C433,'TL10'!$J$10:$J$224),0),
IF('TL10'!$B$229=N$3,SUMIF('TL10'!$C$238:$C$451,$C433,'TL10'!$J$238:$J$451),0),
IF('TL11'!$B$3=N$3,SUMIF('TL11'!$C$10:$C$224,$C433,'TL11'!$J$10:$J$224),0),
IF('TL11'!$B$229=N$3,SUMIF('TL11'!$C$238:$C$451,$C433,'TL11'!$J$238:$J$451),0),
IF('TL12'!$B$3=N$3,SUMIF('TL12'!$C$10:$C$224,$C433,'TL12'!$J$10:$J$224),0),
IF('TL12'!$B$229=N$3,SUMIF('TL12'!$C$238:$C$451,$C433,'TL12'!$J$238:$J$451),0),
IF('TL13'!$B$3=N$3,SUMIF('TL13'!$C$10:$C$224,$C433,'TL13'!$J$10:$J$224),0),
IF('TL13'!$B$229=N$3,SUMIF('TL13'!$C$238:$C$451,$C433,'TL13'!$J$238:$J$451),0),
IF('TL14'!$B$3=N$3,SUMIF('TL14'!$C$10:$C$224,$C433,'TL14'!$J$10:$J$224),0),
IF('TL14'!$B$229=N$3,SUMIF('TL14'!$C$238:$C$451,$C433,'TL14'!$J$238:$J$451),0),
IF('TL15'!$B$3=N$3,SUMIF('TL15'!$C$10:$C$224,$C433,'TL15'!$J$10:$J$224),0),
IF('TL15'!$B$229=N$3,SUMIF('TL15'!$C$238:$C$451,$C433,'TL15'!$J$238:$J$451),0),
IF('TL16'!$B$3=N$3,SUMIF('TL16'!$C$10:$C$224,$C433,'TL16'!$J$10:$J$224),0),
IF('TL16'!$B$229=N$3,SUMIF('TL16'!$C$238:$C$451,$C433,'TL16'!$J$238:$J$451),0),
IF('TL17'!$B$3=N$3,SUMIF('TL17'!$C$10:$C$224,$C433,'TL17'!$J$10:$J$224),0),
IF('TL17'!$B$229=N$3,SUMIF('TL17'!$C$238:$C$451,$C433,'TL17'!$J$238:$J$451),0),
IF('TL18'!$B$3=N$3,SUMIF('TL18'!$C$10:$C$224,$C433,'TL18'!$J$10:$J$224),0),
IF('TL18'!$B$229=N$3,SUMIF('TL18'!$C$238:$C$451,$C433,'TL18'!$J$238:$J$451),0),
IF('TL19'!$B$3=N$3,SUMIF('TL19'!$C$10:$C$224,$C433,'TL19'!$J$10:$J$224),0),
IF('TL19'!$B$229=N$3,SUMIF('TL19'!$C$238:$C$451,$C433,'TL19'!$J$238:$J$451),0)
),0)</f>
        <v>0</v>
      </c>
      <c r="O433" s="9">
        <f>IFERROR(SUM(
IF('TL01'!$B$3=O$3,SUMIF('TL01'!$C$10:$C$224,$C433,'TL01'!$J$10:$J$224),0),
IF('TL01'!$B$229=O$3,SUMIF('TL01'!$C$238:$C$451,$C433,'TL01'!$J$238:$J$451),0),
IF('TL02'!$B$3=O$3,SUMIF('TL02'!$C$10:$C$224,$C433,'TL02'!$J$10:$J$224),0),
IF('TL02'!$B$229=O$3,SUMIF('TL02'!$C$238:$C$451,$C433,'TL02'!$J$238:$J$451),0),
IF('TL03'!$B$3=O$3,SUMIF('TL03'!$C$10:$C$224,$C433,'TL03'!$J$10:$J$224),0),
IF('TL03'!$B$229=O$3,SUMIF('TL03'!$C$238:$C$451,$C433,'TL03'!$J$238:$J$451),0),
IF('TL04'!$B$3=O$3,SUMIF('TL04'!$C$10:$C$224,$C433,'TL04'!$J$10:$J$224),0),
IF('TL04'!$B$229=O$3,SUMIF('TL04'!$C$238:$C$451,$C433,'TL04'!$J$238:$J$451),0),
IF('TL05'!$B$3=O$3,SUMIF('TL05'!$C$10:$C$224,$C433,'TL05'!$J$10:$J$224),0),
IF('TL05'!$B$229=O$3,SUMIF('TL05'!$C$238:$C$451,$C433,'TL05'!$J$238:$J$451),0),
IF('TL06'!$B$3=O$3,SUMIF('TL06'!$C$10:$C$224,$C433,'TL06'!$J$10:$J$224),0),
IF('TL06'!$B$229=O$3,SUMIF('TL06'!$C$238:$C$451,$C433,'TL06'!$J$238:$J$451),0),
IF('TL07'!$B$3=O$3,SUMIF('TL07'!$C$10:$C$224,$C433,'TL07'!$J$10:$J$224),0),
IF('TL07'!$B$229=O$3,SUMIF('TL07'!$C$238:$C$451,$C433,'TL07'!$J$238:$J$451),0),
IF('TL08'!$B$3=O$3,SUMIF('TL08'!$C$10:$C$224,$C433,'TL08'!$J$10:$J$224),0),
IF('TL08'!$B$229=O$3,SUMIF('TL08'!$C$238:$C$451,$C433,'TL08'!$J$238:$J$451),0),
IF('TL09'!$B$3=O$3,SUMIF('TL09'!$C$10:$C$224,$C433,'TL09'!$J$10:$J$224),0),
IF('TL09'!$B$229=O$3,SUMIF('TL09'!$C$238:$C$451,$C433,'TL09'!$J$238:$J$451),0),
IF('TL10'!$B$3=O$3,SUMIF('TL10'!$C$10:$C$224,$C433,'TL10'!$J$10:$J$224),0),
IF('TL10'!$B$229=O$3,SUMIF('TL10'!$C$238:$C$451,$C433,'TL10'!$J$238:$J$451),0),
IF('TL11'!$B$3=O$3,SUMIF('TL11'!$C$10:$C$224,$C433,'TL11'!$J$10:$J$224),0),
IF('TL11'!$B$229=O$3,SUMIF('TL11'!$C$238:$C$451,$C433,'TL11'!$J$238:$J$451),0),
IF('TL12'!$B$3=O$3,SUMIF('TL12'!$C$10:$C$224,$C433,'TL12'!$J$10:$J$224),0),
IF('TL12'!$B$229=O$3,SUMIF('TL12'!$C$238:$C$451,$C433,'TL12'!$J$238:$J$451),0),
IF('TL13'!$B$3=O$3,SUMIF('TL13'!$C$10:$C$224,$C433,'TL13'!$J$10:$J$224),0),
IF('TL13'!$B$229=O$3,SUMIF('TL13'!$C$238:$C$451,$C433,'TL13'!$J$238:$J$451),0),
IF('TL14'!$B$3=O$3,SUMIF('TL14'!$C$10:$C$224,$C433,'TL14'!$J$10:$J$224),0),
IF('TL14'!$B$229=O$3,SUMIF('TL14'!$C$238:$C$451,$C433,'TL14'!$J$238:$J$451),0),
IF('TL15'!$B$3=O$3,SUMIF('TL15'!$C$10:$C$224,$C433,'TL15'!$J$10:$J$224),0),
IF('TL15'!$B$229=O$3,SUMIF('TL15'!$C$238:$C$451,$C433,'TL15'!$J$238:$J$451),0),
IF('TL16'!$B$3=O$3,SUMIF('TL16'!$C$10:$C$224,$C433,'TL16'!$J$10:$J$224),0),
IF('TL16'!$B$229=O$3,SUMIF('TL16'!$C$238:$C$451,$C433,'TL16'!$J$238:$J$451),0),
IF('TL17'!$B$3=O$3,SUMIF('TL17'!$C$10:$C$224,$C433,'TL17'!$J$10:$J$224),0),
IF('TL17'!$B$229=O$3,SUMIF('TL17'!$C$238:$C$451,$C433,'TL17'!$J$238:$J$451),0),
IF('TL18'!$B$3=O$3,SUMIF('TL18'!$C$10:$C$224,$C433,'TL18'!$J$10:$J$224),0),
IF('TL18'!$B$229=O$3,SUMIF('TL18'!$C$238:$C$451,$C433,'TL18'!$J$238:$J$451),0),
IF('TL19'!$B$3=O$3,SUMIF('TL19'!$C$10:$C$224,$C433,'TL19'!$J$10:$J$224),0),
IF('TL19'!$B$229=O$3,SUMIF('TL19'!$C$238:$C$451,$C433,'TL19'!$J$238:$J$451),0)
),0)</f>
        <v>0</v>
      </c>
      <c r="P433" s="9">
        <f>IFERROR(SUM(
IF('TL01'!$B$3=P$3,SUMIF('TL01'!$C$10:$C$224,$C433,'TL01'!$J$10:$J$224),0),
IF('TL01'!$B$229=P$3,SUMIF('TL01'!$C$238:$C$451,$C433,'TL01'!$J$238:$J$451),0),
IF('TL02'!$B$3=P$3,SUMIF('TL02'!$C$10:$C$224,$C433,'TL02'!$J$10:$J$224),0),
IF('TL02'!$B$229=P$3,SUMIF('TL02'!$C$238:$C$451,$C433,'TL02'!$J$238:$J$451),0),
IF('TL03'!$B$3=P$3,SUMIF('TL03'!$C$10:$C$224,$C433,'TL03'!$J$10:$J$224),0),
IF('TL03'!$B$229=P$3,SUMIF('TL03'!$C$238:$C$451,$C433,'TL03'!$J$238:$J$451),0),
IF('TL04'!$B$3=P$3,SUMIF('TL04'!$C$10:$C$224,$C433,'TL04'!$J$10:$J$224),0),
IF('TL04'!$B$229=P$3,SUMIF('TL04'!$C$238:$C$451,$C433,'TL04'!$J$238:$J$451),0),
IF('TL05'!$B$3=P$3,SUMIF('TL05'!$C$10:$C$224,$C433,'TL05'!$J$10:$J$224),0),
IF('TL05'!$B$229=P$3,SUMIF('TL05'!$C$238:$C$451,$C433,'TL05'!$J$238:$J$451),0),
IF('TL06'!$B$3=P$3,SUMIF('TL06'!$C$10:$C$224,$C433,'TL06'!$J$10:$J$224),0),
IF('TL06'!$B$229=P$3,SUMIF('TL06'!$C$238:$C$451,$C433,'TL06'!$J$238:$J$451),0),
IF('TL07'!$B$3=P$3,SUMIF('TL07'!$C$10:$C$224,$C433,'TL07'!$J$10:$J$224),0),
IF('TL07'!$B$229=P$3,SUMIF('TL07'!$C$238:$C$451,$C433,'TL07'!$J$238:$J$451),0),
IF('TL08'!$B$3=P$3,SUMIF('TL08'!$C$10:$C$224,$C433,'TL08'!$J$10:$J$224),0),
IF('TL08'!$B$229=P$3,SUMIF('TL08'!$C$238:$C$451,$C433,'TL08'!$J$238:$J$451),0),
IF('TL09'!$B$3=P$3,SUMIF('TL09'!$C$10:$C$224,$C433,'TL09'!$J$10:$J$224),0),
IF('TL09'!$B$229=P$3,SUMIF('TL09'!$C$238:$C$451,$C433,'TL09'!$J$238:$J$451),0),
IF('TL10'!$B$3=P$3,SUMIF('TL10'!$C$10:$C$224,$C433,'TL10'!$J$10:$J$224),0),
IF('TL10'!$B$229=P$3,SUMIF('TL10'!$C$238:$C$451,$C433,'TL10'!$J$238:$J$451),0),
IF('TL11'!$B$3=P$3,SUMIF('TL11'!$C$10:$C$224,$C433,'TL11'!$J$10:$J$224),0),
IF('TL11'!$B$229=P$3,SUMIF('TL11'!$C$238:$C$451,$C433,'TL11'!$J$238:$J$451),0),
IF('TL12'!$B$3=P$3,SUMIF('TL12'!$C$10:$C$224,$C433,'TL12'!$J$10:$J$224),0),
IF('TL12'!$B$229=P$3,SUMIF('TL12'!$C$238:$C$451,$C433,'TL12'!$J$238:$J$451),0),
IF('TL13'!$B$3=P$3,SUMIF('TL13'!$C$10:$C$224,$C433,'TL13'!$J$10:$J$224),0),
IF('TL13'!$B$229=P$3,SUMIF('TL13'!$C$238:$C$451,$C433,'TL13'!$J$238:$J$451),0),
IF('TL14'!$B$3=P$3,SUMIF('TL14'!$C$10:$C$224,$C433,'TL14'!$J$10:$J$224),0),
IF('TL14'!$B$229=P$3,SUMIF('TL14'!$C$238:$C$451,$C433,'TL14'!$J$238:$J$451),0),
IF('TL15'!$B$3=P$3,SUMIF('TL15'!$C$10:$C$224,$C433,'TL15'!$J$10:$J$224),0),
IF('TL15'!$B$229=P$3,SUMIF('TL15'!$C$238:$C$451,$C433,'TL15'!$J$238:$J$451),0),
IF('TL16'!$B$3=P$3,SUMIF('TL16'!$C$10:$C$224,$C433,'TL16'!$J$10:$J$224),0),
IF('TL16'!$B$229=P$3,SUMIF('TL16'!$C$238:$C$451,$C433,'TL16'!$J$238:$J$451),0),
IF('TL17'!$B$3=P$3,SUMIF('TL17'!$C$10:$C$224,$C433,'TL17'!$J$10:$J$224),0),
IF('TL17'!$B$229=P$3,SUMIF('TL17'!$C$238:$C$451,$C433,'TL17'!$J$238:$J$451),0),
IF('TL18'!$B$3=P$3,SUMIF('TL18'!$C$10:$C$224,$C433,'TL18'!$J$10:$J$224),0),
IF('TL18'!$B$229=P$3,SUMIF('TL18'!$C$238:$C$451,$C433,'TL18'!$J$238:$J$451),0),
IF('TL19'!$B$3=P$3,SUMIF('TL19'!$C$10:$C$224,$C433,'TL19'!$J$10:$J$224),0),
IF('TL19'!$B$229=P$3,SUMIF('TL19'!$C$238:$C$451,$C433,'TL19'!$J$238:$J$451),0)
),0)</f>
        <v>0</v>
      </c>
      <c r="Q433" s="9">
        <f>IFERROR(SUM(
IF('TL01'!$B$3=Q$3,SUMIF('TL01'!$C$10:$C$224,$C433,'TL01'!$J$10:$J$224),0),
IF('TL01'!$B$229=Q$3,SUMIF('TL01'!$C$238:$C$451,$C433,'TL01'!$J$238:$J$451),0),
IF('TL02'!$B$3=Q$3,SUMIF('TL02'!$C$10:$C$224,$C433,'TL02'!$J$10:$J$224),0),
IF('TL02'!$B$229=Q$3,SUMIF('TL02'!$C$238:$C$451,$C433,'TL02'!$J$238:$J$451),0),
IF('TL03'!$B$3=Q$3,SUMIF('TL03'!$C$10:$C$224,$C433,'TL03'!$J$10:$J$224),0),
IF('TL03'!$B$229=Q$3,SUMIF('TL03'!$C$238:$C$451,$C433,'TL03'!$J$238:$J$451),0),
IF('TL04'!$B$3=Q$3,SUMIF('TL04'!$C$10:$C$224,$C433,'TL04'!$J$10:$J$224),0),
IF('TL04'!$B$229=Q$3,SUMIF('TL04'!$C$238:$C$451,$C433,'TL04'!$J$238:$J$451),0),
IF('TL05'!$B$3=Q$3,SUMIF('TL05'!$C$10:$C$224,$C433,'TL05'!$J$10:$J$224),0),
IF('TL05'!$B$229=Q$3,SUMIF('TL05'!$C$238:$C$451,$C433,'TL05'!$J$238:$J$451),0),
IF('TL06'!$B$3=Q$3,SUMIF('TL06'!$C$10:$C$224,$C433,'TL06'!$J$10:$J$224),0),
IF('TL06'!$B$229=Q$3,SUMIF('TL06'!$C$238:$C$451,$C433,'TL06'!$J$238:$J$451),0),
IF('TL07'!$B$3=Q$3,SUMIF('TL07'!$C$10:$C$224,$C433,'TL07'!$J$10:$J$224),0),
IF('TL07'!$B$229=Q$3,SUMIF('TL07'!$C$238:$C$451,$C433,'TL07'!$J$238:$J$451),0),
IF('TL08'!$B$3=Q$3,SUMIF('TL08'!$C$10:$C$224,$C433,'TL08'!$J$10:$J$224),0),
IF('TL08'!$B$229=Q$3,SUMIF('TL08'!$C$238:$C$451,$C433,'TL08'!$J$238:$J$451),0),
IF('TL09'!$B$3=Q$3,SUMIF('TL09'!$C$10:$C$224,$C433,'TL09'!$J$10:$J$224),0),
IF('TL09'!$B$229=Q$3,SUMIF('TL09'!$C$238:$C$451,$C433,'TL09'!$J$238:$J$451),0),
IF('TL10'!$B$3=Q$3,SUMIF('TL10'!$C$10:$C$224,$C433,'TL10'!$J$10:$J$224),0),
IF('TL10'!$B$229=Q$3,SUMIF('TL10'!$C$238:$C$451,$C433,'TL10'!$J$238:$J$451),0),
IF('TL11'!$B$3=Q$3,SUMIF('TL11'!$C$10:$C$224,$C433,'TL11'!$J$10:$J$224),0),
IF('TL11'!$B$229=Q$3,SUMIF('TL11'!$C$238:$C$451,$C433,'TL11'!$J$238:$J$451),0),
IF('TL12'!$B$3=Q$3,SUMIF('TL12'!$C$10:$C$224,$C433,'TL12'!$J$10:$J$224),0),
IF('TL12'!$B$229=Q$3,SUMIF('TL12'!$C$238:$C$451,$C433,'TL12'!$J$238:$J$451),0),
IF('TL13'!$B$3=Q$3,SUMIF('TL13'!$C$10:$C$224,$C433,'TL13'!$J$10:$J$224),0),
IF('TL13'!$B$229=Q$3,SUMIF('TL13'!$C$238:$C$451,$C433,'TL13'!$J$238:$J$451),0),
IF('TL14'!$B$3=Q$3,SUMIF('TL14'!$C$10:$C$224,$C433,'TL14'!$J$10:$J$224),0),
IF('TL14'!$B$229=Q$3,SUMIF('TL14'!$C$238:$C$451,$C433,'TL14'!$J$238:$J$451),0),
IF('TL15'!$B$3=Q$3,SUMIF('TL15'!$C$10:$C$224,$C433,'TL15'!$J$10:$J$224),0),
IF('TL15'!$B$229=Q$3,SUMIF('TL15'!$C$238:$C$451,$C433,'TL15'!$J$238:$J$451),0),
IF('TL16'!$B$3=Q$3,SUMIF('TL16'!$C$10:$C$224,$C433,'TL16'!$J$10:$J$224),0),
IF('TL16'!$B$229=Q$3,SUMIF('TL16'!$C$238:$C$451,$C433,'TL16'!$J$238:$J$451),0),
IF('TL17'!$B$3=Q$3,SUMIF('TL17'!$C$10:$C$224,$C433,'TL17'!$J$10:$J$224),0),
IF('TL17'!$B$229=Q$3,SUMIF('TL17'!$C$238:$C$451,$C433,'TL17'!$J$238:$J$451),0),
IF('TL18'!$B$3=Q$3,SUMIF('TL18'!$C$10:$C$224,$C433,'TL18'!$J$10:$J$224),0),
IF('TL18'!$B$229=Q$3,SUMIF('TL18'!$C$238:$C$451,$C433,'TL18'!$J$238:$J$451),0),
IF('TL19'!$B$3=Q$3,SUMIF('TL19'!$C$10:$C$224,$C433,'TL19'!$J$10:$J$224),0),
IF('TL19'!$B$229=Q$3,SUMIF('TL19'!$C$238:$C$451,$C433,'TL19'!$J$238:$J$451),0)
),0)</f>
        <v>0</v>
      </c>
      <c r="R433" s="9">
        <f>IFERROR(
SUM(
SUMIF('TL01'!C:C,C433,'TL01'!J:J),
SUMIF('TL02'!C:C,C433,'TL02'!I:I),
SUMIF('TL03'!C:C,C433,'TL03'!I:I),
SUMIF('TL04'!C:C,C433,'TL04'!I:I),
SUMIF('TL05'!C:C,C433,'TL05'!I:I),
SUMIF('TL06'!C:C,C433,'TL06'!I:I),
SUMIF('TL07'!C:C,C433,'TL07'!I:I),
SUMIF('TL08'!C:C,C433,'TL08'!I:I),
SUMIF('TL09'!C:C,C433,'TL09'!I:I),
SUMIF('TL10'!C:C,C433,'TL10'!I:I),
SUMIF('TL11'!C:C,C433,'TL11'!I:I),
SUMIF('TL12'!C:C,C433,'TL12'!I:I),
SUMIF('TL13'!C:C,C433,'TL13'!I:I),
SUMIF('TL14'!C:C,C433,'TL14'!I:I),
SUMIF('TL15'!C:C,C433,'TL15'!I:I),
SUMIF('TL16'!C:C,C433,'TL16'!I:I),
SUMIF('TL17'!C:C,C433,'TL17'!I:I),
SUMIF('TL18'!C:C,C433,'TL18'!I:I))
,0)</f>
        <v>0</v>
      </c>
      <c r="S433" s="17"/>
      <c r="T433" s="9"/>
      <c r="U433" s="92">
        <f t="shared" si="2"/>
        <v>0</v>
      </c>
      <c r="V433" s="93">
        <f t="shared" si="3"/>
        <v>0</v>
      </c>
    </row>
    <row r="434" ht="15.75" customHeight="1">
      <c r="B434" s="80"/>
      <c r="E434" s="10"/>
      <c r="F434" s="10"/>
      <c r="G434" s="10"/>
      <c r="H434" s="10"/>
      <c r="I434" s="81"/>
      <c r="J434" s="10"/>
      <c r="K434" s="10"/>
      <c r="L434" s="10"/>
      <c r="M434" s="10"/>
      <c r="N434" s="10"/>
      <c r="O434" s="10"/>
      <c r="P434" s="10"/>
      <c r="Q434" s="10"/>
      <c r="R434" s="82"/>
      <c r="S434" s="10"/>
      <c r="T434" s="10"/>
      <c r="U434" s="83"/>
      <c r="V434" s="10"/>
    </row>
    <row r="435" ht="15.75" customHeight="1">
      <c r="B435" s="80"/>
      <c r="E435" s="10"/>
      <c r="F435" s="10"/>
      <c r="G435" s="10"/>
      <c r="H435" s="10"/>
      <c r="I435" s="81"/>
      <c r="J435" s="10"/>
      <c r="K435" s="10"/>
      <c r="L435" s="10"/>
      <c r="M435" s="10"/>
      <c r="N435" s="10"/>
      <c r="O435" s="10"/>
      <c r="P435" s="10"/>
      <c r="Q435" s="10"/>
      <c r="R435" s="82"/>
      <c r="S435" s="10"/>
      <c r="T435" s="10"/>
      <c r="U435" s="83"/>
      <c r="V435" s="10"/>
    </row>
    <row r="436" ht="15.75" customHeight="1">
      <c r="B436" s="80"/>
      <c r="E436" s="10"/>
      <c r="F436" s="10"/>
      <c r="G436" s="10"/>
      <c r="H436" s="10"/>
      <c r="I436" s="81"/>
      <c r="J436" s="10"/>
      <c r="K436" s="10"/>
      <c r="L436" s="10"/>
      <c r="M436" s="10"/>
      <c r="N436" s="10"/>
      <c r="O436" s="10"/>
      <c r="P436" s="10"/>
      <c r="Q436" s="10"/>
      <c r="R436" s="82"/>
      <c r="S436" s="10"/>
      <c r="T436" s="10"/>
      <c r="U436" s="83"/>
      <c r="V436" s="10"/>
    </row>
    <row r="437" ht="15.75" customHeight="1">
      <c r="B437" s="80"/>
      <c r="E437" s="10"/>
      <c r="F437" s="10"/>
      <c r="G437" s="10"/>
      <c r="H437" s="10"/>
      <c r="I437" s="81"/>
      <c r="J437" s="10"/>
      <c r="K437" s="10"/>
      <c r="L437" s="10"/>
      <c r="M437" s="10"/>
      <c r="N437" s="10"/>
      <c r="O437" s="10"/>
      <c r="P437" s="10"/>
      <c r="Q437" s="10"/>
      <c r="R437" s="82"/>
      <c r="S437" s="10"/>
      <c r="T437" s="10"/>
      <c r="U437" s="83"/>
      <c r="V437" s="10"/>
    </row>
    <row r="438" ht="15.75" customHeight="1">
      <c r="B438" s="80"/>
      <c r="E438" s="10"/>
      <c r="F438" s="10"/>
      <c r="G438" s="10"/>
      <c r="H438" s="10"/>
      <c r="I438" s="81"/>
      <c r="J438" s="10"/>
      <c r="K438" s="10"/>
      <c r="L438" s="10"/>
      <c r="M438" s="10"/>
      <c r="N438" s="10"/>
      <c r="O438" s="10"/>
      <c r="P438" s="10"/>
      <c r="Q438" s="10"/>
      <c r="R438" s="82"/>
      <c r="S438" s="10"/>
      <c r="T438" s="10"/>
      <c r="U438" s="83"/>
      <c r="V438" s="10"/>
    </row>
    <row r="439" ht="15.75" customHeight="1">
      <c r="B439" s="80"/>
      <c r="E439" s="10"/>
      <c r="F439" s="10"/>
      <c r="G439" s="10"/>
      <c r="H439" s="10"/>
      <c r="I439" s="81"/>
      <c r="J439" s="10"/>
      <c r="K439" s="10"/>
      <c r="L439" s="10"/>
      <c r="M439" s="10"/>
      <c r="N439" s="10"/>
      <c r="O439" s="10"/>
      <c r="P439" s="10"/>
      <c r="Q439" s="10"/>
      <c r="R439" s="82"/>
      <c r="S439" s="10"/>
      <c r="T439" s="10"/>
      <c r="U439" s="83"/>
      <c r="V439" s="10"/>
    </row>
    <row r="440" ht="15.75" customHeight="1">
      <c r="B440" s="80"/>
      <c r="E440" s="10"/>
      <c r="F440" s="10"/>
      <c r="G440" s="10"/>
      <c r="H440" s="10"/>
      <c r="I440" s="81"/>
      <c r="J440" s="10"/>
      <c r="K440" s="10"/>
      <c r="L440" s="10"/>
      <c r="M440" s="10"/>
      <c r="N440" s="10"/>
      <c r="O440" s="10"/>
      <c r="P440" s="10"/>
      <c r="Q440" s="10"/>
      <c r="R440" s="82"/>
      <c r="S440" s="10"/>
      <c r="T440" s="10"/>
      <c r="U440" s="83"/>
      <c r="V440" s="10"/>
    </row>
    <row r="441" ht="15.75" customHeight="1">
      <c r="B441" s="80"/>
      <c r="E441" s="10"/>
      <c r="F441" s="10"/>
      <c r="G441" s="10"/>
      <c r="H441" s="10"/>
      <c r="I441" s="81"/>
      <c r="J441" s="10"/>
      <c r="K441" s="10"/>
      <c r="L441" s="10"/>
      <c r="M441" s="10"/>
      <c r="N441" s="10"/>
      <c r="O441" s="10"/>
      <c r="P441" s="10"/>
      <c r="Q441" s="10"/>
      <c r="R441" s="82"/>
      <c r="S441" s="10"/>
      <c r="T441" s="10"/>
      <c r="U441" s="83"/>
      <c r="V441" s="10"/>
    </row>
    <row r="442" ht="15.75" customHeight="1">
      <c r="B442" s="80"/>
      <c r="E442" s="10"/>
      <c r="F442" s="10"/>
      <c r="G442" s="10"/>
      <c r="H442" s="10"/>
      <c r="I442" s="81"/>
      <c r="J442" s="10"/>
      <c r="K442" s="10"/>
      <c r="L442" s="10"/>
      <c r="M442" s="10"/>
      <c r="N442" s="10"/>
      <c r="O442" s="10"/>
      <c r="P442" s="10"/>
      <c r="Q442" s="10"/>
      <c r="R442" s="82"/>
      <c r="S442" s="10"/>
      <c r="T442" s="10"/>
      <c r="U442" s="83"/>
      <c r="V442" s="10"/>
    </row>
    <row r="443" ht="15.75" customHeight="1">
      <c r="B443" s="80"/>
      <c r="E443" s="10"/>
      <c r="F443" s="10"/>
      <c r="G443" s="10"/>
      <c r="H443" s="10"/>
      <c r="I443" s="81"/>
      <c r="J443" s="10"/>
      <c r="K443" s="10"/>
      <c r="L443" s="10"/>
      <c r="M443" s="10"/>
      <c r="N443" s="10"/>
      <c r="O443" s="10"/>
      <c r="P443" s="10"/>
      <c r="Q443" s="10"/>
      <c r="R443" s="82"/>
      <c r="S443" s="10"/>
      <c r="T443" s="10"/>
      <c r="U443" s="83"/>
      <c r="V443" s="10"/>
    </row>
    <row r="444" ht="15.75" customHeight="1">
      <c r="B444" s="80"/>
      <c r="E444" s="10"/>
      <c r="F444" s="10"/>
      <c r="G444" s="10"/>
      <c r="H444" s="10"/>
      <c r="I444" s="81"/>
      <c r="J444" s="10"/>
      <c r="K444" s="10"/>
      <c r="L444" s="10"/>
      <c r="M444" s="10"/>
      <c r="N444" s="10"/>
      <c r="O444" s="10"/>
      <c r="P444" s="10"/>
      <c r="Q444" s="10"/>
      <c r="R444" s="82"/>
      <c r="S444" s="10"/>
      <c r="T444" s="10"/>
      <c r="U444" s="83"/>
      <c r="V444" s="10"/>
    </row>
    <row r="445" ht="15.75" customHeight="1">
      <c r="B445" s="80"/>
      <c r="E445" s="10"/>
      <c r="F445" s="10"/>
      <c r="G445" s="10"/>
      <c r="H445" s="10"/>
      <c r="I445" s="81"/>
      <c r="J445" s="10"/>
      <c r="K445" s="10"/>
      <c r="L445" s="10"/>
      <c r="M445" s="10"/>
      <c r="N445" s="10"/>
      <c r="O445" s="10"/>
      <c r="P445" s="10"/>
      <c r="Q445" s="10"/>
      <c r="R445" s="82"/>
      <c r="S445" s="10"/>
      <c r="T445" s="10"/>
      <c r="U445" s="83"/>
      <c r="V445" s="10"/>
    </row>
    <row r="446" ht="15.75" customHeight="1">
      <c r="B446" s="80"/>
      <c r="E446" s="10"/>
      <c r="F446" s="10"/>
      <c r="G446" s="10"/>
      <c r="H446" s="10"/>
      <c r="I446" s="81"/>
      <c r="J446" s="10"/>
      <c r="K446" s="10"/>
      <c r="L446" s="10"/>
      <c r="M446" s="10"/>
      <c r="N446" s="10"/>
      <c r="O446" s="10"/>
      <c r="P446" s="10"/>
      <c r="Q446" s="10"/>
      <c r="R446" s="82"/>
      <c r="S446" s="10"/>
      <c r="T446" s="10"/>
      <c r="U446" s="83"/>
      <c r="V446" s="10"/>
    </row>
    <row r="447" ht="15.75" customHeight="1">
      <c r="B447" s="80"/>
      <c r="E447" s="10"/>
      <c r="F447" s="10"/>
      <c r="G447" s="10"/>
      <c r="H447" s="10"/>
      <c r="I447" s="81"/>
      <c r="J447" s="10"/>
      <c r="K447" s="10"/>
      <c r="L447" s="10"/>
      <c r="M447" s="10"/>
      <c r="N447" s="10"/>
      <c r="O447" s="10"/>
      <c r="P447" s="10"/>
      <c r="Q447" s="10"/>
      <c r="R447" s="82"/>
      <c r="S447" s="10"/>
      <c r="T447" s="10"/>
      <c r="U447" s="83"/>
      <c r="V447" s="10"/>
    </row>
    <row r="448" ht="15.75" customHeight="1">
      <c r="B448" s="80"/>
      <c r="E448" s="10"/>
      <c r="F448" s="10"/>
      <c r="G448" s="10"/>
      <c r="H448" s="10"/>
      <c r="I448" s="81"/>
      <c r="J448" s="10"/>
      <c r="K448" s="10"/>
      <c r="L448" s="10"/>
      <c r="M448" s="10"/>
      <c r="N448" s="10"/>
      <c r="O448" s="10"/>
      <c r="P448" s="10"/>
      <c r="Q448" s="10"/>
      <c r="R448" s="82"/>
      <c r="S448" s="10"/>
      <c r="T448" s="10"/>
      <c r="U448" s="83"/>
      <c r="V448" s="10"/>
    </row>
    <row r="449" ht="15.75" customHeight="1">
      <c r="B449" s="80"/>
      <c r="E449" s="10"/>
      <c r="F449" s="10"/>
      <c r="G449" s="10"/>
      <c r="H449" s="10"/>
      <c r="I449" s="81"/>
      <c r="J449" s="10"/>
      <c r="K449" s="10"/>
      <c r="L449" s="10"/>
      <c r="M449" s="10"/>
      <c r="N449" s="10"/>
      <c r="O449" s="10"/>
      <c r="P449" s="10"/>
      <c r="Q449" s="10"/>
      <c r="R449" s="82"/>
      <c r="S449" s="10"/>
      <c r="T449" s="10"/>
      <c r="U449" s="83"/>
      <c r="V449" s="10"/>
    </row>
    <row r="450" ht="15.75" customHeight="1">
      <c r="B450" s="80"/>
      <c r="E450" s="10"/>
      <c r="F450" s="10"/>
      <c r="G450" s="10"/>
      <c r="H450" s="10"/>
      <c r="I450" s="81"/>
      <c r="J450" s="10"/>
      <c r="K450" s="10"/>
      <c r="L450" s="10"/>
      <c r="M450" s="10"/>
      <c r="N450" s="10"/>
      <c r="O450" s="10"/>
      <c r="P450" s="10"/>
      <c r="Q450" s="10"/>
      <c r="R450" s="82"/>
      <c r="S450" s="10"/>
      <c r="T450" s="10"/>
      <c r="U450" s="83"/>
      <c r="V450" s="10"/>
    </row>
    <row r="451" ht="15.75" customHeight="1">
      <c r="B451" s="80"/>
      <c r="E451" s="10"/>
      <c r="F451" s="10"/>
      <c r="G451" s="10"/>
      <c r="H451" s="10"/>
      <c r="I451" s="81"/>
      <c r="J451" s="10"/>
      <c r="K451" s="10"/>
      <c r="L451" s="10"/>
      <c r="M451" s="10"/>
      <c r="N451" s="10"/>
      <c r="O451" s="10"/>
      <c r="P451" s="10"/>
      <c r="Q451" s="10"/>
      <c r="R451" s="82"/>
      <c r="S451" s="10"/>
      <c r="T451" s="10"/>
      <c r="U451" s="83"/>
      <c r="V451" s="10"/>
    </row>
    <row r="452" ht="15.75" customHeight="1">
      <c r="B452" s="80"/>
      <c r="E452" s="10"/>
      <c r="F452" s="10"/>
      <c r="G452" s="10"/>
      <c r="H452" s="10"/>
      <c r="I452" s="81"/>
      <c r="J452" s="10"/>
      <c r="K452" s="10"/>
      <c r="L452" s="10"/>
      <c r="M452" s="10"/>
      <c r="N452" s="10"/>
      <c r="O452" s="10"/>
      <c r="P452" s="10"/>
      <c r="Q452" s="10"/>
      <c r="R452" s="82"/>
      <c r="S452" s="10"/>
      <c r="T452" s="10"/>
      <c r="U452" s="83"/>
      <c r="V452" s="10"/>
    </row>
    <row r="453" ht="15.75" customHeight="1">
      <c r="B453" s="80"/>
      <c r="E453" s="10"/>
      <c r="F453" s="10"/>
      <c r="G453" s="10"/>
      <c r="H453" s="10"/>
      <c r="I453" s="81"/>
      <c r="J453" s="10"/>
      <c r="K453" s="10"/>
      <c r="L453" s="10"/>
      <c r="M453" s="10"/>
      <c r="N453" s="10"/>
      <c r="O453" s="10"/>
      <c r="P453" s="10"/>
      <c r="Q453" s="10"/>
      <c r="R453" s="82"/>
      <c r="S453" s="10"/>
      <c r="T453" s="10"/>
      <c r="U453" s="83"/>
      <c r="V453" s="10"/>
    </row>
    <row r="454" ht="15.75" customHeight="1">
      <c r="B454" s="80"/>
      <c r="E454" s="10"/>
      <c r="F454" s="10"/>
      <c r="G454" s="10"/>
      <c r="H454" s="10"/>
      <c r="I454" s="81"/>
      <c r="J454" s="10"/>
      <c r="K454" s="10"/>
      <c r="L454" s="10"/>
      <c r="M454" s="10"/>
      <c r="N454" s="10"/>
      <c r="O454" s="10"/>
      <c r="P454" s="10"/>
      <c r="Q454" s="10"/>
      <c r="R454" s="82"/>
      <c r="S454" s="10"/>
      <c r="T454" s="10"/>
      <c r="U454" s="83"/>
      <c r="V454" s="10"/>
    </row>
    <row r="455" ht="15.75" customHeight="1">
      <c r="B455" s="80"/>
      <c r="E455" s="10"/>
      <c r="F455" s="10"/>
      <c r="G455" s="10"/>
      <c r="H455" s="10"/>
      <c r="I455" s="81"/>
      <c r="J455" s="10"/>
      <c r="K455" s="10"/>
      <c r="L455" s="10"/>
      <c r="M455" s="10"/>
      <c r="N455" s="10"/>
      <c r="O455" s="10"/>
      <c r="P455" s="10"/>
      <c r="Q455" s="10"/>
      <c r="R455" s="82"/>
      <c r="S455" s="10"/>
      <c r="T455" s="10"/>
      <c r="U455" s="83"/>
      <c r="V455" s="10"/>
    </row>
    <row r="456" ht="15.75" customHeight="1">
      <c r="B456" s="80"/>
      <c r="E456" s="10"/>
      <c r="F456" s="10"/>
      <c r="G456" s="10"/>
      <c r="H456" s="10"/>
      <c r="I456" s="81"/>
      <c r="J456" s="10"/>
      <c r="K456" s="10"/>
      <c r="L456" s="10"/>
      <c r="M456" s="10"/>
      <c r="N456" s="10"/>
      <c r="O456" s="10"/>
      <c r="P456" s="10"/>
      <c r="Q456" s="10"/>
      <c r="R456" s="82"/>
      <c r="S456" s="10"/>
      <c r="T456" s="10"/>
      <c r="U456" s="83"/>
      <c r="V456" s="10"/>
    </row>
    <row r="457" ht="15.75" customHeight="1">
      <c r="B457" s="80"/>
      <c r="E457" s="10"/>
      <c r="F457" s="10"/>
      <c r="G457" s="10"/>
      <c r="H457" s="10"/>
      <c r="I457" s="81"/>
      <c r="J457" s="10"/>
      <c r="K457" s="10"/>
      <c r="L457" s="10"/>
      <c r="M457" s="10"/>
      <c r="N457" s="10"/>
      <c r="O457" s="10"/>
      <c r="P457" s="10"/>
      <c r="Q457" s="10"/>
      <c r="R457" s="82"/>
      <c r="S457" s="10"/>
      <c r="T457" s="10"/>
      <c r="U457" s="83"/>
      <c r="V457" s="10"/>
    </row>
    <row r="458" ht="15.75" customHeight="1">
      <c r="B458" s="80"/>
      <c r="E458" s="10"/>
      <c r="F458" s="10"/>
      <c r="G458" s="10"/>
      <c r="H458" s="10"/>
      <c r="I458" s="81"/>
      <c r="J458" s="10"/>
      <c r="K458" s="10"/>
      <c r="L458" s="10"/>
      <c r="M458" s="10"/>
      <c r="N458" s="10"/>
      <c r="O458" s="10"/>
      <c r="P458" s="10"/>
      <c r="Q458" s="10"/>
      <c r="R458" s="82"/>
      <c r="S458" s="10"/>
      <c r="T458" s="10"/>
      <c r="U458" s="83"/>
      <c r="V458" s="10"/>
    </row>
    <row r="459" ht="15.75" customHeight="1">
      <c r="B459" s="80"/>
      <c r="E459" s="10"/>
      <c r="F459" s="10"/>
      <c r="G459" s="10"/>
      <c r="H459" s="10"/>
      <c r="I459" s="81"/>
      <c r="J459" s="10"/>
      <c r="K459" s="10"/>
      <c r="L459" s="10"/>
      <c r="M459" s="10"/>
      <c r="N459" s="10"/>
      <c r="O459" s="10"/>
      <c r="P459" s="10"/>
      <c r="Q459" s="10"/>
      <c r="R459" s="82"/>
      <c r="S459" s="10"/>
      <c r="T459" s="10"/>
      <c r="U459" s="83"/>
      <c r="V459" s="10"/>
    </row>
    <row r="460" ht="15.75" customHeight="1">
      <c r="B460" s="80"/>
      <c r="E460" s="10"/>
      <c r="F460" s="10"/>
      <c r="G460" s="10"/>
      <c r="H460" s="10"/>
      <c r="I460" s="81"/>
      <c r="J460" s="10"/>
      <c r="K460" s="10"/>
      <c r="L460" s="10"/>
      <c r="M460" s="10"/>
      <c r="N460" s="10"/>
      <c r="O460" s="10"/>
      <c r="P460" s="10"/>
      <c r="Q460" s="10"/>
      <c r="R460" s="82"/>
      <c r="S460" s="10"/>
      <c r="T460" s="10"/>
      <c r="U460" s="83"/>
      <c r="V460" s="10"/>
    </row>
    <row r="461" ht="15.75" customHeight="1">
      <c r="B461" s="80"/>
      <c r="E461" s="10"/>
      <c r="F461" s="10"/>
      <c r="G461" s="10"/>
      <c r="H461" s="10"/>
      <c r="I461" s="81"/>
      <c r="J461" s="10"/>
      <c r="K461" s="10"/>
      <c r="L461" s="10"/>
      <c r="M461" s="10"/>
      <c r="N461" s="10"/>
      <c r="O461" s="10"/>
      <c r="P461" s="10"/>
      <c r="Q461" s="10"/>
      <c r="R461" s="82"/>
      <c r="S461" s="10"/>
      <c r="T461" s="10"/>
      <c r="U461" s="83"/>
      <c r="V461" s="10"/>
    </row>
    <row r="462" ht="15.75" customHeight="1">
      <c r="B462" s="80"/>
      <c r="E462" s="10"/>
      <c r="F462" s="10"/>
      <c r="G462" s="10"/>
      <c r="H462" s="10"/>
      <c r="I462" s="81"/>
      <c r="J462" s="10"/>
      <c r="K462" s="10"/>
      <c r="L462" s="10"/>
      <c r="M462" s="10"/>
      <c r="N462" s="10"/>
      <c r="O462" s="10"/>
      <c r="P462" s="10"/>
      <c r="Q462" s="10"/>
      <c r="R462" s="82"/>
      <c r="S462" s="10"/>
      <c r="T462" s="10"/>
      <c r="U462" s="83"/>
      <c r="V462" s="10"/>
    </row>
    <row r="463" ht="15.75" customHeight="1">
      <c r="B463" s="80"/>
      <c r="E463" s="10"/>
      <c r="F463" s="10"/>
      <c r="G463" s="10"/>
      <c r="H463" s="10"/>
      <c r="I463" s="81"/>
      <c r="J463" s="10"/>
      <c r="K463" s="10"/>
      <c r="L463" s="10"/>
      <c r="M463" s="10"/>
      <c r="N463" s="10"/>
      <c r="O463" s="10"/>
      <c r="P463" s="10"/>
      <c r="Q463" s="10"/>
      <c r="R463" s="82"/>
      <c r="S463" s="10"/>
      <c r="T463" s="10"/>
      <c r="U463" s="83"/>
      <c r="V463" s="10"/>
    </row>
    <row r="464" ht="15.75" customHeight="1">
      <c r="B464" s="80"/>
      <c r="E464" s="10"/>
      <c r="F464" s="10"/>
      <c r="G464" s="10"/>
      <c r="H464" s="10"/>
      <c r="I464" s="81"/>
      <c r="J464" s="10"/>
      <c r="K464" s="10"/>
      <c r="L464" s="10"/>
      <c r="M464" s="10"/>
      <c r="N464" s="10"/>
      <c r="O464" s="10"/>
      <c r="P464" s="10"/>
      <c r="Q464" s="10"/>
      <c r="R464" s="82"/>
      <c r="S464" s="10"/>
      <c r="T464" s="10"/>
      <c r="U464" s="83"/>
      <c r="V464" s="10"/>
    </row>
    <row r="465" ht="15.75" customHeight="1">
      <c r="B465" s="80"/>
      <c r="E465" s="10"/>
      <c r="F465" s="10"/>
      <c r="G465" s="10"/>
      <c r="H465" s="10"/>
      <c r="I465" s="81"/>
      <c r="J465" s="10"/>
      <c r="K465" s="10"/>
      <c r="L465" s="10"/>
      <c r="M465" s="10"/>
      <c r="N465" s="10"/>
      <c r="O465" s="10"/>
      <c r="P465" s="10"/>
      <c r="Q465" s="10"/>
      <c r="R465" s="82"/>
      <c r="S465" s="10"/>
      <c r="T465" s="10"/>
      <c r="U465" s="83"/>
      <c r="V465" s="10"/>
    </row>
    <row r="466" ht="15.75" customHeight="1">
      <c r="B466" s="80"/>
      <c r="E466" s="10"/>
      <c r="F466" s="10"/>
      <c r="G466" s="10"/>
      <c r="H466" s="10"/>
      <c r="I466" s="81"/>
      <c r="J466" s="10"/>
      <c r="K466" s="10"/>
      <c r="L466" s="10"/>
      <c r="M466" s="10"/>
      <c r="N466" s="10"/>
      <c r="O466" s="10"/>
      <c r="P466" s="10"/>
      <c r="Q466" s="10"/>
      <c r="R466" s="82"/>
      <c r="S466" s="10"/>
      <c r="T466" s="10"/>
      <c r="U466" s="83"/>
      <c r="V466" s="10"/>
    </row>
    <row r="467" ht="15.75" customHeight="1">
      <c r="B467" s="80"/>
      <c r="E467" s="10"/>
      <c r="F467" s="10"/>
      <c r="G467" s="10"/>
      <c r="H467" s="10"/>
      <c r="I467" s="81"/>
      <c r="J467" s="10"/>
      <c r="K467" s="10"/>
      <c r="L467" s="10"/>
      <c r="M467" s="10"/>
      <c r="N467" s="10"/>
      <c r="O467" s="10"/>
      <c r="P467" s="10"/>
      <c r="Q467" s="10"/>
      <c r="R467" s="82"/>
      <c r="S467" s="10"/>
      <c r="T467" s="10"/>
      <c r="U467" s="83"/>
      <c r="V467" s="10"/>
    </row>
    <row r="468" ht="15.75" customHeight="1">
      <c r="B468" s="80"/>
      <c r="E468" s="10"/>
      <c r="F468" s="10"/>
      <c r="G468" s="10"/>
      <c r="H468" s="10"/>
      <c r="I468" s="81"/>
      <c r="J468" s="10"/>
      <c r="K468" s="10"/>
      <c r="L468" s="10"/>
      <c r="M468" s="10"/>
      <c r="N468" s="10"/>
      <c r="O468" s="10"/>
      <c r="P468" s="10"/>
      <c r="Q468" s="10"/>
      <c r="R468" s="82"/>
      <c r="S468" s="10"/>
      <c r="T468" s="10"/>
      <c r="U468" s="83"/>
      <c r="V468" s="10"/>
    </row>
    <row r="469" ht="15.75" customHeight="1">
      <c r="B469" s="80"/>
      <c r="E469" s="10"/>
      <c r="F469" s="10"/>
      <c r="G469" s="10"/>
      <c r="H469" s="10"/>
      <c r="I469" s="81"/>
      <c r="J469" s="10"/>
      <c r="K469" s="10"/>
      <c r="L469" s="10"/>
      <c r="M469" s="10"/>
      <c r="N469" s="10"/>
      <c r="O469" s="10"/>
      <c r="P469" s="10"/>
      <c r="Q469" s="10"/>
      <c r="R469" s="82"/>
      <c r="S469" s="10"/>
      <c r="T469" s="10"/>
      <c r="U469" s="83"/>
      <c r="V469" s="10"/>
    </row>
    <row r="470" ht="15.75" customHeight="1">
      <c r="B470" s="80"/>
      <c r="E470" s="10"/>
      <c r="F470" s="10"/>
      <c r="G470" s="10"/>
      <c r="H470" s="10"/>
      <c r="I470" s="81"/>
      <c r="J470" s="10"/>
      <c r="K470" s="10"/>
      <c r="L470" s="10"/>
      <c r="M470" s="10"/>
      <c r="N470" s="10"/>
      <c r="O470" s="10"/>
      <c r="P470" s="10"/>
      <c r="Q470" s="10"/>
      <c r="R470" s="82"/>
      <c r="S470" s="10"/>
      <c r="T470" s="10"/>
      <c r="U470" s="83"/>
      <c r="V470" s="10"/>
    </row>
    <row r="471" ht="15.75" customHeight="1">
      <c r="B471" s="80"/>
      <c r="E471" s="10"/>
      <c r="F471" s="10"/>
      <c r="G471" s="10"/>
      <c r="H471" s="10"/>
      <c r="I471" s="81"/>
      <c r="J471" s="10"/>
      <c r="K471" s="10"/>
      <c r="L471" s="10"/>
      <c r="M471" s="10"/>
      <c r="N471" s="10"/>
      <c r="O471" s="10"/>
      <c r="P471" s="10"/>
      <c r="Q471" s="10"/>
      <c r="R471" s="82"/>
      <c r="S471" s="10"/>
      <c r="T471" s="10"/>
      <c r="U471" s="83"/>
      <c r="V471" s="10"/>
    </row>
    <row r="472" ht="15.75" customHeight="1">
      <c r="B472" s="80"/>
      <c r="E472" s="10"/>
      <c r="F472" s="10"/>
      <c r="G472" s="10"/>
      <c r="H472" s="10"/>
      <c r="I472" s="81"/>
      <c r="J472" s="10"/>
      <c r="K472" s="10"/>
      <c r="L472" s="10"/>
      <c r="M472" s="10"/>
      <c r="N472" s="10"/>
      <c r="O472" s="10"/>
      <c r="P472" s="10"/>
      <c r="Q472" s="10"/>
      <c r="R472" s="82"/>
      <c r="S472" s="10"/>
      <c r="T472" s="10"/>
      <c r="U472" s="83"/>
      <c r="V472" s="10"/>
    </row>
    <row r="473" ht="15.75" customHeight="1">
      <c r="B473" s="80"/>
      <c r="E473" s="10"/>
      <c r="F473" s="10"/>
      <c r="G473" s="10"/>
      <c r="H473" s="10"/>
      <c r="I473" s="81"/>
      <c r="J473" s="10"/>
      <c r="K473" s="10"/>
      <c r="L473" s="10"/>
      <c r="M473" s="10"/>
      <c r="N473" s="10"/>
      <c r="O473" s="10"/>
      <c r="P473" s="10"/>
      <c r="Q473" s="10"/>
      <c r="R473" s="82"/>
      <c r="S473" s="10"/>
      <c r="T473" s="10"/>
      <c r="U473" s="83"/>
      <c r="V473" s="10"/>
    </row>
    <row r="474" ht="15.75" customHeight="1">
      <c r="B474" s="80"/>
      <c r="E474" s="10"/>
      <c r="F474" s="10"/>
      <c r="G474" s="10"/>
      <c r="H474" s="10"/>
      <c r="I474" s="81"/>
      <c r="J474" s="10"/>
      <c r="K474" s="10"/>
      <c r="L474" s="10"/>
      <c r="M474" s="10"/>
      <c r="N474" s="10"/>
      <c r="O474" s="10"/>
      <c r="P474" s="10"/>
      <c r="Q474" s="10"/>
      <c r="R474" s="82"/>
      <c r="S474" s="10"/>
      <c r="T474" s="10"/>
      <c r="U474" s="83"/>
      <c r="V474" s="10"/>
    </row>
    <row r="475" ht="15.75" customHeight="1">
      <c r="B475" s="80"/>
      <c r="E475" s="10"/>
      <c r="F475" s="10"/>
      <c r="G475" s="10"/>
      <c r="H475" s="10"/>
      <c r="I475" s="81"/>
      <c r="J475" s="10"/>
      <c r="K475" s="10"/>
      <c r="L475" s="10"/>
      <c r="M475" s="10"/>
      <c r="N475" s="10"/>
      <c r="O475" s="10"/>
      <c r="P475" s="10"/>
      <c r="Q475" s="10"/>
      <c r="R475" s="82"/>
      <c r="S475" s="10"/>
      <c r="T475" s="10"/>
      <c r="U475" s="83"/>
      <c r="V475" s="10"/>
    </row>
    <row r="476" ht="15.75" customHeight="1">
      <c r="B476" s="80"/>
      <c r="E476" s="10"/>
      <c r="F476" s="10"/>
      <c r="G476" s="10"/>
      <c r="H476" s="10"/>
      <c r="I476" s="81"/>
      <c r="J476" s="10"/>
      <c r="K476" s="10"/>
      <c r="L476" s="10"/>
      <c r="M476" s="10"/>
      <c r="N476" s="10"/>
      <c r="O476" s="10"/>
      <c r="P476" s="10"/>
      <c r="Q476" s="10"/>
      <c r="R476" s="82"/>
      <c r="S476" s="10"/>
      <c r="T476" s="10"/>
      <c r="U476" s="83"/>
      <c r="V476" s="10"/>
    </row>
    <row r="477" ht="15.75" customHeight="1">
      <c r="B477" s="80"/>
      <c r="E477" s="10"/>
      <c r="F477" s="10"/>
      <c r="G477" s="10"/>
      <c r="H477" s="10"/>
      <c r="I477" s="81"/>
      <c r="J477" s="10"/>
      <c r="K477" s="10"/>
      <c r="L477" s="10"/>
      <c r="M477" s="10"/>
      <c r="N477" s="10"/>
      <c r="O477" s="10"/>
      <c r="P477" s="10"/>
      <c r="Q477" s="10"/>
      <c r="R477" s="82"/>
      <c r="S477" s="10"/>
      <c r="T477" s="10"/>
      <c r="U477" s="83"/>
      <c r="V477" s="10"/>
    </row>
    <row r="478" ht="15.75" customHeight="1">
      <c r="B478" s="80"/>
      <c r="E478" s="10"/>
      <c r="F478" s="10"/>
      <c r="G478" s="10"/>
      <c r="H478" s="10"/>
      <c r="I478" s="81"/>
      <c r="J478" s="10"/>
      <c r="K478" s="10"/>
      <c r="L478" s="10"/>
      <c r="M478" s="10"/>
      <c r="N478" s="10"/>
      <c r="O478" s="10"/>
      <c r="P478" s="10"/>
      <c r="Q478" s="10"/>
      <c r="R478" s="82"/>
      <c r="S478" s="10"/>
      <c r="T478" s="10"/>
      <c r="U478" s="83"/>
      <c r="V478" s="10"/>
    </row>
    <row r="479" ht="15.75" customHeight="1">
      <c r="B479" s="80"/>
      <c r="E479" s="10"/>
      <c r="F479" s="10"/>
      <c r="G479" s="10"/>
      <c r="H479" s="10"/>
      <c r="I479" s="81"/>
      <c r="J479" s="10"/>
      <c r="K479" s="10"/>
      <c r="L479" s="10"/>
      <c r="M479" s="10"/>
      <c r="N479" s="10"/>
      <c r="O479" s="10"/>
      <c r="P479" s="10"/>
      <c r="Q479" s="10"/>
      <c r="R479" s="82"/>
      <c r="S479" s="10"/>
      <c r="T479" s="10"/>
      <c r="U479" s="83"/>
      <c r="V479" s="10"/>
    </row>
    <row r="480" ht="15.75" customHeight="1">
      <c r="B480" s="80"/>
      <c r="E480" s="10"/>
      <c r="F480" s="10"/>
      <c r="G480" s="10"/>
      <c r="H480" s="10"/>
      <c r="I480" s="81"/>
      <c r="J480" s="10"/>
      <c r="K480" s="10"/>
      <c r="L480" s="10"/>
      <c r="M480" s="10"/>
      <c r="N480" s="10"/>
      <c r="O480" s="10"/>
      <c r="P480" s="10"/>
      <c r="Q480" s="10"/>
      <c r="R480" s="82"/>
      <c r="S480" s="10"/>
      <c r="T480" s="10"/>
      <c r="U480" s="83"/>
      <c r="V480" s="10"/>
    </row>
    <row r="481" ht="15.75" customHeight="1">
      <c r="B481" s="80"/>
      <c r="E481" s="10"/>
      <c r="F481" s="10"/>
      <c r="G481" s="10"/>
      <c r="H481" s="10"/>
      <c r="I481" s="81"/>
      <c r="J481" s="10"/>
      <c r="K481" s="10"/>
      <c r="L481" s="10"/>
      <c r="M481" s="10"/>
      <c r="N481" s="10"/>
      <c r="O481" s="10"/>
      <c r="P481" s="10"/>
      <c r="Q481" s="10"/>
      <c r="R481" s="82"/>
      <c r="S481" s="10"/>
      <c r="T481" s="10"/>
      <c r="U481" s="83"/>
      <c r="V481" s="10"/>
    </row>
    <row r="482" ht="15.75" customHeight="1">
      <c r="B482" s="80"/>
      <c r="E482" s="10"/>
      <c r="F482" s="10"/>
      <c r="G482" s="10"/>
      <c r="H482" s="10"/>
      <c r="I482" s="81"/>
      <c r="J482" s="10"/>
      <c r="K482" s="10"/>
      <c r="L482" s="10"/>
      <c r="M482" s="10"/>
      <c r="N482" s="10"/>
      <c r="O482" s="10"/>
      <c r="P482" s="10"/>
      <c r="Q482" s="10"/>
      <c r="R482" s="82"/>
      <c r="S482" s="10"/>
      <c r="T482" s="10"/>
      <c r="U482" s="83"/>
      <c r="V482" s="10"/>
    </row>
    <row r="483" ht="15.75" customHeight="1">
      <c r="B483" s="80"/>
      <c r="E483" s="10"/>
      <c r="F483" s="10"/>
      <c r="G483" s="10"/>
      <c r="H483" s="10"/>
      <c r="I483" s="81"/>
      <c r="J483" s="10"/>
      <c r="K483" s="10"/>
      <c r="L483" s="10"/>
      <c r="M483" s="10"/>
      <c r="N483" s="10"/>
      <c r="O483" s="10"/>
      <c r="P483" s="10"/>
      <c r="Q483" s="10"/>
      <c r="R483" s="82"/>
      <c r="S483" s="10"/>
      <c r="T483" s="10"/>
      <c r="U483" s="83"/>
      <c r="V483" s="10"/>
    </row>
    <row r="484" ht="15.75" customHeight="1">
      <c r="B484" s="80"/>
      <c r="E484" s="10"/>
      <c r="F484" s="10"/>
      <c r="G484" s="10"/>
      <c r="H484" s="10"/>
      <c r="I484" s="81"/>
      <c r="J484" s="10"/>
      <c r="K484" s="10"/>
      <c r="L484" s="10"/>
      <c r="M484" s="10"/>
      <c r="N484" s="10"/>
      <c r="O484" s="10"/>
      <c r="P484" s="10"/>
      <c r="Q484" s="10"/>
      <c r="R484" s="82"/>
      <c r="S484" s="10"/>
      <c r="T484" s="10"/>
      <c r="U484" s="83"/>
      <c r="V484" s="10"/>
    </row>
    <row r="485" ht="15.75" customHeight="1">
      <c r="B485" s="80"/>
      <c r="E485" s="10"/>
      <c r="F485" s="10"/>
      <c r="G485" s="10"/>
      <c r="H485" s="10"/>
      <c r="I485" s="81"/>
      <c r="J485" s="10"/>
      <c r="K485" s="10"/>
      <c r="L485" s="10"/>
      <c r="M485" s="10"/>
      <c r="N485" s="10"/>
      <c r="O485" s="10"/>
      <c r="P485" s="10"/>
      <c r="Q485" s="10"/>
      <c r="R485" s="82"/>
      <c r="S485" s="10"/>
      <c r="T485" s="10"/>
      <c r="U485" s="83"/>
      <c r="V485" s="10"/>
    </row>
    <row r="486" ht="15.75" customHeight="1">
      <c r="B486" s="80"/>
      <c r="E486" s="10"/>
      <c r="F486" s="10"/>
      <c r="G486" s="10"/>
      <c r="H486" s="10"/>
      <c r="I486" s="81"/>
      <c r="J486" s="10"/>
      <c r="K486" s="10"/>
      <c r="L486" s="10"/>
      <c r="M486" s="10"/>
      <c r="N486" s="10"/>
      <c r="O486" s="10"/>
      <c r="P486" s="10"/>
      <c r="Q486" s="10"/>
      <c r="R486" s="82"/>
      <c r="S486" s="10"/>
      <c r="T486" s="10"/>
      <c r="U486" s="83"/>
      <c r="V486" s="10"/>
    </row>
    <row r="487" ht="15.75" customHeight="1">
      <c r="B487" s="80"/>
      <c r="E487" s="10"/>
      <c r="F487" s="10"/>
      <c r="G487" s="10"/>
      <c r="H487" s="10"/>
      <c r="I487" s="81"/>
      <c r="J487" s="10"/>
      <c r="K487" s="10"/>
      <c r="L487" s="10"/>
      <c r="M487" s="10"/>
      <c r="N487" s="10"/>
      <c r="O487" s="10"/>
      <c r="P487" s="10"/>
      <c r="Q487" s="10"/>
      <c r="R487" s="82"/>
      <c r="S487" s="10"/>
      <c r="T487" s="10"/>
      <c r="U487" s="83"/>
      <c r="V487" s="10"/>
    </row>
    <row r="488" ht="15.75" customHeight="1">
      <c r="B488" s="80"/>
      <c r="E488" s="10"/>
      <c r="F488" s="10"/>
      <c r="G488" s="10"/>
      <c r="H488" s="10"/>
      <c r="I488" s="81"/>
      <c r="J488" s="10"/>
      <c r="K488" s="10"/>
      <c r="L488" s="10"/>
      <c r="M488" s="10"/>
      <c r="N488" s="10"/>
      <c r="O488" s="10"/>
      <c r="P488" s="10"/>
      <c r="Q488" s="10"/>
      <c r="R488" s="82"/>
      <c r="S488" s="10"/>
      <c r="T488" s="10"/>
      <c r="U488" s="83"/>
      <c r="V488" s="10"/>
    </row>
    <row r="489" ht="15.75" customHeight="1">
      <c r="B489" s="80"/>
      <c r="E489" s="10"/>
      <c r="F489" s="10"/>
      <c r="G489" s="10"/>
      <c r="H489" s="10"/>
      <c r="I489" s="81"/>
      <c r="J489" s="10"/>
      <c r="K489" s="10"/>
      <c r="L489" s="10"/>
      <c r="M489" s="10"/>
      <c r="N489" s="10"/>
      <c r="O489" s="10"/>
      <c r="P489" s="10"/>
      <c r="Q489" s="10"/>
      <c r="R489" s="82"/>
      <c r="S489" s="10"/>
      <c r="T489" s="10"/>
      <c r="U489" s="83"/>
      <c r="V489" s="10"/>
    </row>
    <row r="490" ht="15.75" customHeight="1">
      <c r="B490" s="80"/>
      <c r="E490" s="10"/>
      <c r="F490" s="10"/>
      <c r="G490" s="10"/>
      <c r="H490" s="10"/>
      <c r="I490" s="81"/>
      <c r="J490" s="10"/>
      <c r="K490" s="10"/>
      <c r="L490" s="10"/>
      <c r="M490" s="10"/>
      <c r="N490" s="10"/>
      <c r="O490" s="10"/>
      <c r="P490" s="10"/>
      <c r="Q490" s="10"/>
      <c r="R490" s="82"/>
      <c r="S490" s="10"/>
      <c r="T490" s="10"/>
      <c r="U490" s="83"/>
      <c r="V490" s="10"/>
    </row>
    <row r="491" ht="15.75" customHeight="1">
      <c r="B491" s="80"/>
      <c r="E491" s="10"/>
      <c r="F491" s="10"/>
      <c r="G491" s="10"/>
      <c r="H491" s="10"/>
      <c r="I491" s="81"/>
      <c r="J491" s="10"/>
      <c r="K491" s="10"/>
      <c r="L491" s="10"/>
      <c r="M491" s="10"/>
      <c r="N491" s="10"/>
      <c r="O491" s="10"/>
      <c r="P491" s="10"/>
      <c r="Q491" s="10"/>
      <c r="R491" s="82"/>
      <c r="S491" s="10"/>
      <c r="T491" s="10"/>
      <c r="U491" s="83"/>
      <c r="V491" s="10"/>
    </row>
    <row r="492" ht="15.75" customHeight="1">
      <c r="B492" s="80"/>
      <c r="E492" s="10"/>
      <c r="F492" s="10"/>
      <c r="G492" s="10"/>
      <c r="H492" s="10"/>
      <c r="I492" s="81"/>
      <c r="J492" s="10"/>
      <c r="K492" s="10"/>
      <c r="L492" s="10"/>
      <c r="M492" s="10"/>
      <c r="N492" s="10"/>
      <c r="O492" s="10"/>
      <c r="P492" s="10"/>
      <c r="Q492" s="10"/>
      <c r="R492" s="82"/>
      <c r="S492" s="10"/>
      <c r="T492" s="10"/>
      <c r="U492" s="83"/>
      <c r="V492" s="10"/>
    </row>
    <row r="493" ht="15.75" customHeight="1">
      <c r="B493" s="80"/>
      <c r="E493" s="10"/>
      <c r="F493" s="10"/>
      <c r="G493" s="10"/>
      <c r="H493" s="10"/>
      <c r="I493" s="81"/>
      <c r="J493" s="10"/>
      <c r="K493" s="10"/>
      <c r="L493" s="10"/>
      <c r="M493" s="10"/>
      <c r="N493" s="10"/>
      <c r="O493" s="10"/>
      <c r="P493" s="10"/>
      <c r="Q493" s="10"/>
      <c r="R493" s="82"/>
      <c r="S493" s="10"/>
      <c r="T493" s="10"/>
      <c r="U493" s="83"/>
      <c r="V493" s="10"/>
    </row>
    <row r="494" ht="15.75" customHeight="1">
      <c r="B494" s="80"/>
      <c r="E494" s="10"/>
      <c r="F494" s="10"/>
      <c r="G494" s="10"/>
      <c r="H494" s="10"/>
      <c r="I494" s="81"/>
      <c r="J494" s="10"/>
      <c r="K494" s="10"/>
      <c r="L494" s="10"/>
      <c r="M494" s="10"/>
      <c r="N494" s="10"/>
      <c r="O494" s="10"/>
      <c r="P494" s="10"/>
      <c r="Q494" s="10"/>
      <c r="R494" s="82"/>
      <c r="S494" s="10"/>
      <c r="T494" s="10"/>
      <c r="U494" s="83"/>
      <c r="V494" s="10"/>
    </row>
    <row r="495" ht="15.75" customHeight="1">
      <c r="B495" s="80"/>
      <c r="E495" s="10"/>
      <c r="F495" s="10"/>
      <c r="G495" s="10"/>
      <c r="H495" s="10"/>
      <c r="I495" s="81"/>
      <c r="J495" s="10"/>
      <c r="K495" s="10"/>
      <c r="L495" s="10"/>
      <c r="M495" s="10"/>
      <c r="N495" s="10"/>
      <c r="O495" s="10"/>
      <c r="P495" s="10"/>
      <c r="Q495" s="10"/>
      <c r="R495" s="82"/>
      <c r="S495" s="10"/>
      <c r="T495" s="10"/>
      <c r="U495" s="83"/>
      <c r="V495" s="10"/>
    </row>
    <row r="496" ht="15.75" customHeight="1">
      <c r="B496" s="80"/>
      <c r="E496" s="10"/>
      <c r="F496" s="10"/>
      <c r="G496" s="10"/>
      <c r="H496" s="10"/>
      <c r="I496" s="81"/>
      <c r="J496" s="10"/>
      <c r="K496" s="10"/>
      <c r="L496" s="10"/>
      <c r="M496" s="10"/>
      <c r="N496" s="10"/>
      <c r="O496" s="10"/>
      <c r="P496" s="10"/>
      <c r="Q496" s="10"/>
      <c r="R496" s="82"/>
      <c r="S496" s="10"/>
      <c r="T496" s="10"/>
      <c r="U496" s="83"/>
      <c r="V496" s="10"/>
    </row>
    <row r="497" ht="15.75" customHeight="1">
      <c r="B497" s="80"/>
      <c r="E497" s="10"/>
      <c r="F497" s="10"/>
      <c r="G497" s="10"/>
      <c r="H497" s="10"/>
      <c r="I497" s="81"/>
      <c r="J497" s="10"/>
      <c r="K497" s="10"/>
      <c r="L497" s="10"/>
      <c r="M497" s="10"/>
      <c r="N497" s="10"/>
      <c r="O497" s="10"/>
      <c r="P497" s="10"/>
      <c r="Q497" s="10"/>
      <c r="R497" s="82"/>
      <c r="S497" s="10"/>
      <c r="T497" s="10"/>
      <c r="U497" s="83"/>
      <c r="V497" s="10"/>
    </row>
    <row r="498" ht="15.75" customHeight="1">
      <c r="B498" s="80"/>
      <c r="E498" s="10"/>
      <c r="F498" s="10"/>
      <c r="G498" s="10"/>
      <c r="H498" s="10"/>
      <c r="I498" s="81"/>
      <c r="J498" s="10"/>
      <c r="K498" s="10"/>
      <c r="L498" s="10"/>
      <c r="M498" s="10"/>
      <c r="N498" s="10"/>
      <c r="O498" s="10"/>
      <c r="P498" s="10"/>
      <c r="Q498" s="10"/>
      <c r="R498" s="82"/>
      <c r="S498" s="10"/>
      <c r="T498" s="10"/>
      <c r="U498" s="83"/>
      <c r="V498" s="10"/>
    </row>
    <row r="499" ht="15.75" customHeight="1">
      <c r="B499" s="80"/>
      <c r="E499" s="10"/>
      <c r="F499" s="10"/>
      <c r="G499" s="10"/>
      <c r="H499" s="10"/>
      <c r="I499" s="81"/>
      <c r="J499" s="10"/>
      <c r="K499" s="10"/>
      <c r="L499" s="10"/>
      <c r="M499" s="10"/>
      <c r="N499" s="10"/>
      <c r="O499" s="10"/>
      <c r="P499" s="10"/>
      <c r="Q499" s="10"/>
      <c r="R499" s="82"/>
      <c r="S499" s="10"/>
      <c r="T499" s="10"/>
      <c r="U499" s="83"/>
      <c r="V499" s="10"/>
    </row>
    <row r="500" ht="15.75" customHeight="1">
      <c r="B500" s="80"/>
      <c r="E500" s="10"/>
      <c r="F500" s="10"/>
      <c r="G500" s="10"/>
      <c r="H500" s="10"/>
      <c r="I500" s="81"/>
      <c r="J500" s="10"/>
      <c r="K500" s="10"/>
      <c r="L500" s="10"/>
      <c r="M500" s="10"/>
      <c r="N500" s="10"/>
      <c r="O500" s="10"/>
      <c r="P500" s="10"/>
      <c r="Q500" s="10"/>
      <c r="R500" s="82"/>
      <c r="S500" s="10"/>
      <c r="T500" s="10"/>
      <c r="U500" s="83"/>
      <c r="V500" s="10"/>
    </row>
    <row r="501" ht="15.75" customHeight="1">
      <c r="B501" s="80"/>
      <c r="E501" s="10"/>
      <c r="F501" s="10"/>
      <c r="G501" s="10"/>
      <c r="H501" s="10"/>
      <c r="I501" s="81"/>
      <c r="J501" s="10"/>
      <c r="K501" s="10"/>
      <c r="L501" s="10"/>
      <c r="M501" s="10"/>
      <c r="N501" s="10"/>
      <c r="O501" s="10"/>
      <c r="P501" s="10"/>
      <c r="Q501" s="10"/>
      <c r="R501" s="82"/>
      <c r="S501" s="10"/>
      <c r="T501" s="10"/>
      <c r="U501" s="83"/>
      <c r="V501" s="10"/>
    </row>
    <row r="502" ht="15.75" customHeight="1">
      <c r="B502" s="80"/>
      <c r="E502" s="10"/>
      <c r="F502" s="10"/>
      <c r="G502" s="10"/>
      <c r="H502" s="10"/>
      <c r="I502" s="81"/>
      <c r="J502" s="10"/>
      <c r="K502" s="10"/>
      <c r="L502" s="10"/>
      <c r="M502" s="10"/>
      <c r="N502" s="10"/>
      <c r="O502" s="10"/>
      <c r="P502" s="10"/>
      <c r="Q502" s="10"/>
      <c r="R502" s="82"/>
      <c r="S502" s="10"/>
      <c r="T502" s="10"/>
      <c r="U502" s="83"/>
      <c r="V502" s="10"/>
    </row>
    <row r="503" ht="15.75" customHeight="1">
      <c r="B503" s="80"/>
      <c r="E503" s="10"/>
      <c r="F503" s="10"/>
      <c r="G503" s="10"/>
      <c r="H503" s="10"/>
      <c r="I503" s="81"/>
      <c r="J503" s="10"/>
      <c r="K503" s="10"/>
      <c r="L503" s="10"/>
      <c r="M503" s="10"/>
      <c r="N503" s="10"/>
      <c r="O503" s="10"/>
      <c r="P503" s="10"/>
      <c r="Q503" s="10"/>
      <c r="R503" s="82"/>
      <c r="S503" s="10"/>
      <c r="T503" s="10"/>
      <c r="U503" s="83"/>
      <c r="V503" s="10"/>
    </row>
    <row r="504" ht="15.75" customHeight="1">
      <c r="B504" s="80"/>
      <c r="E504" s="10"/>
      <c r="F504" s="10"/>
      <c r="G504" s="10"/>
      <c r="H504" s="10"/>
      <c r="I504" s="81"/>
      <c r="J504" s="10"/>
      <c r="K504" s="10"/>
      <c r="L504" s="10"/>
      <c r="M504" s="10"/>
      <c r="N504" s="10"/>
      <c r="O504" s="10"/>
      <c r="P504" s="10"/>
      <c r="Q504" s="10"/>
      <c r="R504" s="82"/>
      <c r="S504" s="10"/>
      <c r="T504" s="10"/>
      <c r="U504" s="83"/>
      <c r="V504" s="10"/>
    </row>
    <row r="505" ht="15.75" customHeight="1">
      <c r="B505" s="80"/>
      <c r="E505" s="10"/>
      <c r="F505" s="10"/>
      <c r="G505" s="10"/>
      <c r="H505" s="10"/>
      <c r="I505" s="81"/>
      <c r="J505" s="10"/>
      <c r="K505" s="10"/>
      <c r="L505" s="10"/>
      <c r="M505" s="10"/>
      <c r="N505" s="10"/>
      <c r="O505" s="10"/>
      <c r="P505" s="10"/>
      <c r="Q505" s="10"/>
      <c r="R505" s="82"/>
      <c r="S505" s="10"/>
      <c r="T505" s="10"/>
      <c r="U505" s="83"/>
      <c r="V505" s="10"/>
    </row>
    <row r="506" ht="15.75" customHeight="1">
      <c r="B506" s="80"/>
      <c r="E506" s="10"/>
      <c r="F506" s="10"/>
      <c r="G506" s="10"/>
      <c r="H506" s="10"/>
      <c r="I506" s="81"/>
      <c r="J506" s="10"/>
      <c r="K506" s="10"/>
      <c r="L506" s="10"/>
      <c r="M506" s="10"/>
      <c r="N506" s="10"/>
      <c r="O506" s="10"/>
      <c r="P506" s="10"/>
      <c r="Q506" s="10"/>
      <c r="R506" s="82"/>
      <c r="S506" s="10"/>
      <c r="T506" s="10"/>
      <c r="U506" s="83"/>
      <c r="V506" s="10"/>
    </row>
    <row r="507" ht="15.75" customHeight="1">
      <c r="B507" s="80"/>
      <c r="E507" s="10"/>
      <c r="F507" s="10"/>
      <c r="G507" s="10"/>
      <c r="H507" s="10"/>
      <c r="I507" s="81"/>
      <c r="J507" s="10"/>
      <c r="K507" s="10"/>
      <c r="L507" s="10"/>
      <c r="M507" s="10"/>
      <c r="N507" s="10"/>
      <c r="O507" s="10"/>
      <c r="P507" s="10"/>
      <c r="Q507" s="10"/>
      <c r="R507" s="82"/>
      <c r="S507" s="10"/>
      <c r="T507" s="10"/>
      <c r="U507" s="83"/>
      <c r="V507" s="10"/>
    </row>
    <row r="508" ht="15.75" customHeight="1">
      <c r="B508" s="80"/>
      <c r="E508" s="10"/>
      <c r="F508" s="10"/>
      <c r="G508" s="10"/>
      <c r="H508" s="10"/>
      <c r="I508" s="81"/>
      <c r="J508" s="10"/>
      <c r="K508" s="10"/>
      <c r="L508" s="10"/>
      <c r="M508" s="10"/>
      <c r="N508" s="10"/>
      <c r="O508" s="10"/>
      <c r="P508" s="10"/>
      <c r="Q508" s="10"/>
      <c r="R508" s="82"/>
      <c r="S508" s="10"/>
      <c r="T508" s="10"/>
      <c r="U508" s="83"/>
      <c r="V508" s="10"/>
    </row>
    <row r="509" ht="15.75" customHeight="1">
      <c r="B509" s="80"/>
      <c r="E509" s="10"/>
      <c r="F509" s="10"/>
      <c r="G509" s="10"/>
      <c r="H509" s="10"/>
      <c r="I509" s="81"/>
      <c r="J509" s="10"/>
      <c r="K509" s="10"/>
      <c r="L509" s="10"/>
      <c r="M509" s="10"/>
      <c r="N509" s="10"/>
      <c r="O509" s="10"/>
      <c r="P509" s="10"/>
      <c r="Q509" s="10"/>
      <c r="R509" s="82"/>
      <c r="S509" s="10"/>
      <c r="T509" s="10"/>
      <c r="U509" s="83"/>
      <c r="V509" s="10"/>
    </row>
    <row r="510" ht="15.75" customHeight="1">
      <c r="B510" s="80"/>
      <c r="E510" s="10"/>
      <c r="F510" s="10"/>
      <c r="G510" s="10"/>
      <c r="H510" s="10"/>
      <c r="I510" s="81"/>
      <c r="J510" s="10"/>
      <c r="K510" s="10"/>
      <c r="L510" s="10"/>
      <c r="M510" s="10"/>
      <c r="N510" s="10"/>
      <c r="O510" s="10"/>
      <c r="P510" s="10"/>
      <c r="Q510" s="10"/>
      <c r="R510" s="82"/>
      <c r="S510" s="10"/>
      <c r="T510" s="10"/>
      <c r="U510" s="83"/>
      <c r="V510" s="10"/>
    </row>
    <row r="511" ht="15.75" customHeight="1">
      <c r="B511" s="80"/>
      <c r="E511" s="10"/>
      <c r="F511" s="10"/>
      <c r="G511" s="10"/>
      <c r="H511" s="10"/>
      <c r="I511" s="81"/>
      <c r="J511" s="10"/>
      <c r="K511" s="10"/>
      <c r="L511" s="10"/>
      <c r="M511" s="10"/>
      <c r="N511" s="10"/>
      <c r="O511" s="10"/>
      <c r="P511" s="10"/>
      <c r="Q511" s="10"/>
      <c r="R511" s="82"/>
      <c r="S511" s="10"/>
      <c r="T511" s="10"/>
      <c r="U511" s="83"/>
      <c r="V511" s="10"/>
    </row>
    <row r="512" ht="15.75" customHeight="1">
      <c r="B512" s="80"/>
      <c r="E512" s="10"/>
      <c r="F512" s="10"/>
      <c r="G512" s="10"/>
      <c r="H512" s="10"/>
      <c r="I512" s="81"/>
      <c r="J512" s="10"/>
      <c r="K512" s="10"/>
      <c r="L512" s="10"/>
      <c r="M512" s="10"/>
      <c r="N512" s="10"/>
      <c r="O512" s="10"/>
      <c r="P512" s="10"/>
      <c r="Q512" s="10"/>
      <c r="R512" s="82"/>
      <c r="S512" s="10"/>
      <c r="T512" s="10"/>
      <c r="U512" s="83"/>
      <c r="V512" s="10"/>
    </row>
    <row r="513" ht="15.75" customHeight="1">
      <c r="B513" s="80"/>
      <c r="E513" s="10"/>
      <c r="F513" s="10"/>
      <c r="G513" s="10"/>
      <c r="H513" s="10"/>
      <c r="I513" s="81"/>
      <c r="J513" s="10"/>
      <c r="K513" s="10"/>
      <c r="L513" s="10"/>
      <c r="M513" s="10"/>
      <c r="N513" s="10"/>
      <c r="O513" s="10"/>
      <c r="P513" s="10"/>
      <c r="Q513" s="10"/>
      <c r="R513" s="82"/>
      <c r="S513" s="10"/>
      <c r="T513" s="10"/>
      <c r="U513" s="83"/>
      <c r="V513" s="10"/>
    </row>
    <row r="514" ht="15.75" customHeight="1">
      <c r="B514" s="80"/>
      <c r="E514" s="10"/>
      <c r="F514" s="10"/>
      <c r="G514" s="10"/>
      <c r="H514" s="10"/>
      <c r="I514" s="81"/>
      <c r="J514" s="10"/>
      <c r="K514" s="10"/>
      <c r="L514" s="10"/>
      <c r="M514" s="10"/>
      <c r="N514" s="10"/>
      <c r="O514" s="10"/>
      <c r="P514" s="10"/>
      <c r="Q514" s="10"/>
      <c r="R514" s="82"/>
      <c r="S514" s="10"/>
      <c r="T514" s="10"/>
      <c r="U514" s="83"/>
      <c r="V514" s="10"/>
    </row>
    <row r="515" ht="15.75" customHeight="1">
      <c r="B515" s="80"/>
      <c r="E515" s="10"/>
      <c r="F515" s="10"/>
      <c r="G515" s="10"/>
      <c r="H515" s="10"/>
      <c r="I515" s="81"/>
      <c r="J515" s="10"/>
      <c r="K515" s="10"/>
      <c r="L515" s="10"/>
      <c r="M515" s="10"/>
      <c r="N515" s="10"/>
      <c r="O515" s="10"/>
      <c r="P515" s="10"/>
      <c r="Q515" s="10"/>
      <c r="R515" s="82"/>
      <c r="S515" s="10"/>
      <c r="T515" s="10"/>
      <c r="U515" s="83"/>
      <c r="V515" s="10"/>
    </row>
    <row r="516" ht="15.75" customHeight="1">
      <c r="B516" s="80"/>
      <c r="E516" s="10"/>
      <c r="F516" s="10"/>
      <c r="G516" s="10"/>
      <c r="H516" s="10"/>
      <c r="I516" s="81"/>
      <c r="J516" s="10"/>
      <c r="K516" s="10"/>
      <c r="L516" s="10"/>
      <c r="M516" s="10"/>
      <c r="N516" s="10"/>
      <c r="O516" s="10"/>
      <c r="P516" s="10"/>
      <c r="Q516" s="10"/>
      <c r="R516" s="82"/>
      <c r="S516" s="10"/>
      <c r="T516" s="10"/>
      <c r="U516" s="83"/>
      <c r="V516" s="10"/>
    </row>
    <row r="517" ht="15.75" customHeight="1">
      <c r="B517" s="80"/>
      <c r="E517" s="10"/>
      <c r="F517" s="10"/>
      <c r="G517" s="10"/>
      <c r="H517" s="10"/>
      <c r="I517" s="81"/>
      <c r="J517" s="10"/>
      <c r="K517" s="10"/>
      <c r="L517" s="10"/>
      <c r="M517" s="10"/>
      <c r="N517" s="10"/>
      <c r="O517" s="10"/>
      <c r="P517" s="10"/>
      <c r="Q517" s="10"/>
      <c r="R517" s="82"/>
      <c r="S517" s="10"/>
      <c r="T517" s="10"/>
      <c r="U517" s="83"/>
      <c r="V517" s="10"/>
    </row>
    <row r="518" ht="15.75" customHeight="1">
      <c r="B518" s="80"/>
      <c r="E518" s="10"/>
      <c r="F518" s="10"/>
      <c r="G518" s="10"/>
      <c r="H518" s="10"/>
      <c r="I518" s="81"/>
      <c r="J518" s="10"/>
      <c r="K518" s="10"/>
      <c r="L518" s="10"/>
      <c r="M518" s="10"/>
      <c r="N518" s="10"/>
      <c r="O518" s="10"/>
      <c r="P518" s="10"/>
      <c r="Q518" s="10"/>
      <c r="R518" s="82"/>
      <c r="S518" s="10"/>
      <c r="T518" s="10"/>
      <c r="U518" s="83"/>
      <c r="V518" s="10"/>
    </row>
    <row r="519" ht="15.75" customHeight="1">
      <c r="B519" s="80"/>
      <c r="E519" s="10"/>
      <c r="F519" s="10"/>
      <c r="G519" s="10"/>
      <c r="H519" s="10"/>
      <c r="I519" s="81"/>
      <c r="J519" s="10"/>
      <c r="K519" s="10"/>
      <c r="L519" s="10"/>
      <c r="M519" s="10"/>
      <c r="N519" s="10"/>
      <c r="O519" s="10"/>
      <c r="P519" s="10"/>
      <c r="Q519" s="10"/>
      <c r="R519" s="82"/>
      <c r="S519" s="10"/>
      <c r="T519" s="10"/>
      <c r="U519" s="83"/>
      <c r="V519" s="10"/>
    </row>
    <row r="520" ht="15.75" customHeight="1">
      <c r="B520" s="80"/>
      <c r="E520" s="10"/>
      <c r="F520" s="10"/>
      <c r="G520" s="10"/>
      <c r="H520" s="10"/>
      <c r="I520" s="81"/>
      <c r="J520" s="10"/>
      <c r="K520" s="10"/>
      <c r="L520" s="10"/>
      <c r="M520" s="10"/>
      <c r="N520" s="10"/>
      <c r="O520" s="10"/>
      <c r="P520" s="10"/>
      <c r="Q520" s="10"/>
      <c r="R520" s="82"/>
      <c r="S520" s="10"/>
      <c r="T520" s="10"/>
      <c r="U520" s="83"/>
      <c r="V520" s="10"/>
    </row>
    <row r="521" ht="15.75" customHeight="1">
      <c r="B521" s="80"/>
      <c r="E521" s="10"/>
      <c r="F521" s="10"/>
      <c r="G521" s="10"/>
      <c r="H521" s="10"/>
      <c r="I521" s="81"/>
      <c r="J521" s="10"/>
      <c r="K521" s="10"/>
      <c r="L521" s="10"/>
      <c r="M521" s="10"/>
      <c r="N521" s="10"/>
      <c r="O521" s="10"/>
      <c r="P521" s="10"/>
      <c r="Q521" s="10"/>
      <c r="R521" s="82"/>
      <c r="S521" s="10"/>
      <c r="T521" s="10"/>
      <c r="U521" s="83"/>
      <c r="V521" s="10"/>
    </row>
    <row r="522" ht="15.75" customHeight="1">
      <c r="B522" s="80"/>
      <c r="E522" s="10"/>
      <c r="F522" s="10"/>
      <c r="G522" s="10"/>
      <c r="H522" s="10"/>
      <c r="I522" s="81"/>
      <c r="J522" s="10"/>
      <c r="K522" s="10"/>
      <c r="L522" s="10"/>
      <c r="M522" s="10"/>
      <c r="N522" s="10"/>
      <c r="O522" s="10"/>
      <c r="P522" s="10"/>
      <c r="Q522" s="10"/>
      <c r="R522" s="82"/>
      <c r="S522" s="10"/>
      <c r="T522" s="10"/>
      <c r="U522" s="83"/>
      <c r="V522" s="10"/>
    </row>
    <row r="523" ht="15.75" customHeight="1">
      <c r="B523" s="80"/>
      <c r="E523" s="10"/>
      <c r="F523" s="10"/>
      <c r="G523" s="10"/>
      <c r="H523" s="10"/>
      <c r="I523" s="81"/>
      <c r="J523" s="10"/>
      <c r="K523" s="10"/>
      <c r="L523" s="10"/>
      <c r="M523" s="10"/>
      <c r="N523" s="10"/>
      <c r="O523" s="10"/>
      <c r="P523" s="10"/>
      <c r="Q523" s="10"/>
      <c r="R523" s="82"/>
      <c r="S523" s="10"/>
      <c r="T523" s="10"/>
      <c r="U523" s="83"/>
      <c r="V523" s="10"/>
    </row>
    <row r="524" ht="15.75" customHeight="1">
      <c r="B524" s="80"/>
      <c r="E524" s="10"/>
      <c r="F524" s="10"/>
      <c r="G524" s="10"/>
      <c r="H524" s="10"/>
      <c r="I524" s="81"/>
      <c r="J524" s="10"/>
      <c r="K524" s="10"/>
      <c r="L524" s="10"/>
      <c r="M524" s="10"/>
      <c r="N524" s="10"/>
      <c r="O524" s="10"/>
      <c r="P524" s="10"/>
      <c r="Q524" s="10"/>
      <c r="R524" s="82"/>
      <c r="S524" s="10"/>
      <c r="T524" s="10"/>
      <c r="U524" s="83"/>
      <c r="V524" s="10"/>
    </row>
    <row r="525" ht="15.75" customHeight="1">
      <c r="B525" s="80"/>
      <c r="E525" s="10"/>
      <c r="F525" s="10"/>
      <c r="G525" s="10"/>
      <c r="H525" s="10"/>
      <c r="I525" s="81"/>
      <c r="J525" s="10"/>
      <c r="K525" s="10"/>
      <c r="L525" s="10"/>
      <c r="M525" s="10"/>
      <c r="N525" s="10"/>
      <c r="O525" s="10"/>
      <c r="P525" s="10"/>
      <c r="Q525" s="10"/>
      <c r="R525" s="82"/>
      <c r="S525" s="10"/>
      <c r="T525" s="10"/>
      <c r="U525" s="83"/>
      <c r="V525" s="10"/>
    </row>
    <row r="526" ht="15.75" customHeight="1">
      <c r="B526" s="80"/>
      <c r="E526" s="10"/>
      <c r="F526" s="10"/>
      <c r="G526" s="10"/>
      <c r="H526" s="10"/>
      <c r="I526" s="81"/>
      <c r="J526" s="10"/>
      <c r="K526" s="10"/>
      <c r="L526" s="10"/>
      <c r="M526" s="10"/>
      <c r="N526" s="10"/>
      <c r="O526" s="10"/>
      <c r="P526" s="10"/>
      <c r="Q526" s="10"/>
      <c r="R526" s="82"/>
      <c r="S526" s="10"/>
      <c r="T526" s="10"/>
      <c r="U526" s="83"/>
      <c r="V526" s="10"/>
    </row>
    <row r="527" ht="15.75" customHeight="1">
      <c r="B527" s="80"/>
      <c r="E527" s="10"/>
      <c r="F527" s="10"/>
      <c r="G527" s="10"/>
      <c r="H527" s="10"/>
      <c r="I527" s="81"/>
      <c r="J527" s="10"/>
      <c r="K527" s="10"/>
      <c r="L527" s="10"/>
      <c r="M527" s="10"/>
      <c r="N527" s="10"/>
      <c r="O527" s="10"/>
      <c r="P527" s="10"/>
      <c r="Q527" s="10"/>
      <c r="R527" s="82"/>
      <c r="S527" s="10"/>
      <c r="T527" s="10"/>
      <c r="U527" s="83"/>
      <c r="V527" s="10"/>
    </row>
    <row r="528" ht="15.75" customHeight="1">
      <c r="B528" s="80"/>
      <c r="E528" s="10"/>
      <c r="F528" s="10"/>
      <c r="G528" s="10"/>
      <c r="H528" s="10"/>
      <c r="I528" s="81"/>
      <c r="J528" s="10"/>
      <c r="K528" s="10"/>
      <c r="L528" s="10"/>
      <c r="M528" s="10"/>
      <c r="N528" s="10"/>
      <c r="O528" s="10"/>
      <c r="P528" s="10"/>
      <c r="Q528" s="10"/>
      <c r="R528" s="82"/>
      <c r="S528" s="10"/>
      <c r="T528" s="10"/>
      <c r="U528" s="83"/>
      <c r="V528" s="10"/>
    </row>
    <row r="529" ht="15.75" customHeight="1">
      <c r="B529" s="80"/>
      <c r="E529" s="10"/>
      <c r="F529" s="10"/>
      <c r="G529" s="10"/>
      <c r="H529" s="10"/>
      <c r="I529" s="81"/>
      <c r="J529" s="10"/>
      <c r="K529" s="10"/>
      <c r="L529" s="10"/>
      <c r="M529" s="10"/>
      <c r="N529" s="10"/>
      <c r="O529" s="10"/>
      <c r="P529" s="10"/>
      <c r="Q529" s="10"/>
      <c r="R529" s="82"/>
      <c r="S529" s="10"/>
      <c r="T529" s="10"/>
      <c r="U529" s="83"/>
      <c r="V529" s="10"/>
    </row>
    <row r="530" ht="15.75" customHeight="1">
      <c r="B530" s="80"/>
      <c r="E530" s="10"/>
      <c r="F530" s="10"/>
      <c r="G530" s="10"/>
      <c r="H530" s="10"/>
      <c r="I530" s="81"/>
      <c r="J530" s="10"/>
      <c r="K530" s="10"/>
      <c r="L530" s="10"/>
      <c r="M530" s="10"/>
      <c r="N530" s="10"/>
      <c r="O530" s="10"/>
      <c r="P530" s="10"/>
      <c r="Q530" s="10"/>
      <c r="R530" s="82"/>
      <c r="S530" s="10"/>
      <c r="T530" s="10"/>
      <c r="U530" s="83"/>
      <c r="V530" s="10"/>
    </row>
    <row r="531" ht="15.75" customHeight="1">
      <c r="B531" s="80"/>
      <c r="E531" s="10"/>
      <c r="F531" s="10"/>
      <c r="G531" s="10"/>
      <c r="H531" s="10"/>
      <c r="I531" s="81"/>
      <c r="J531" s="10"/>
      <c r="K531" s="10"/>
      <c r="L531" s="10"/>
      <c r="M531" s="10"/>
      <c r="N531" s="10"/>
      <c r="O531" s="10"/>
      <c r="P531" s="10"/>
      <c r="Q531" s="10"/>
      <c r="R531" s="82"/>
      <c r="S531" s="10"/>
      <c r="T531" s="10"/>
      <c r="U531" s="83"/>
      <c r="V531" s="10"/>
    </row>
    <row r="532" ht="15.75" customHeight="1">
      <c r="B532" s="80"/>
      <c r="E532" s="10"/>
      <c r="F532" s="10"/>
      <c r="G532" s="10"/>
      <c r="H532" s="10"/>
      <c r="I532" s="81"/>
      <c r="J532" s="10"/>
      <c r="K532" s="10"/>
      <c r="L532" s="10"/>
      <c r="M532" s="10"/>
      <c r="N532" s="10"/>
      <c r="O532" s="10"/>
      <c r="P532" s="10"/>
      <c r="Q532" s="10"/>
      <c r="R532" s="82"/>
      <c r="S532" s="10"/>
      <c r="T532" s="10"/>
      <c r="U532" s="83"/>
      <c r="V532" s="10"/>
    </row>
    <row r="533" ht="15.75" customHeight="1">
      <c r="B533" s="80"/>
      <c r="E533" s="10"/>
      <c r="F533" s="10"/>
      <c r="G533" s="10"/>
      <c r="H533" s="10"/>
      <c r="I533" s="81"/>
      <c r="J533" s="10"/>
      <c r="K533" s="10"/>
      <c r="L533" s="10"/>
      <c r="M533" s="10"/>
      <c r="N533" s="10"/>
      <c r="O533" s="10"/>
      <c r="P533" s="10"/>
      <c r="Q533" s="10"/>
      <c r="R533" s="82"/>
      <c r="S533" s="10"/>
      <c r="T533" s="10"/>
      <c r="U533" s="83"/>
      <c r="V533" s="10"/>
    </row>
    <row r="534" ht="15.75" customHeight="1">
      <c r="B534" s="80"/>
      <c r="E534" s="10"/>
      <c r="F534" s="10"/>
      <c r="G534" s="10"/>
      <c r="H534" s="10"/>
      <c r="I534" s="81"/>
      <c r="J534" s="10"/>
      <c r="K534" s="10"/>
      <c r="L534" s="10"/>
      <c r="M534" s="10"/>
      <c r="N534" s="10"/>
      <c r="O534" s="10"/>
      <c r="P534" s="10"/>
      <c r="Q534" s="10"/>
      <c r="R534" s="82"/>
      <c r="S534" s="10"/>
      <c r="T534" s="10"/>
      <c r="U534" s="83"/>
      <c r="V534" s="10"/>
    </row>
    <row r="535" ht="15.75" customHeight="1">
      <c r="B535" s="80"/>
      <c r="E535" s="10"/>
      <c r="F535" s="10"/>
      <c r="G535" s="10"/>
      <c r="H535" s="10"/>
      <c r="I535" s="81"/>
      <c r="J535" s="10"/>
      <c r="K535" s="10"/>
      <c r="L535" s="10"/>
      <c r="M535" s="10"/>
      <c r="N535" s="10"/>
      <c r="O535" s="10"/>
      <c r="P535" s="10"/>
      <c r="Q535" s="10"/>
      <c r="R535" s="82"/>
      <c r="S535" s="10"/>
      <c r="T535" s="10"/>
      <c r="U535" s="83"/>
      <c r="V535" s="10"/>
    </row>
    <row r="536" ht="15.75" customHeight="1">
      <c r="B536" s="80"/>
      <c r="E536" s="10"/>
      <c r="F536" s="10"/>
      <c r="G536" s="10"/>
      <c r="H536" s="10"/>
      <c r="I536" s="81"/>
      <c r="J536" s="10"/>
      <c r="K536" s="10"/>
      <c r="L536" s="10"/>
      <c r="M536" s="10"/>
      <c r="N536" s="10"/>
      <c r="O536" s="10"/>
      <c r="P536" s="10"/>
      <c r="Q536" s="10"/>
      <c r="R536" s="82"/>
      <c r="S536" s="10"/>
      <c r="T536" s="10"/>
      <c r="U536" s="83"/>
      <c r="V536" s="10"/>
    </row>
    <row r="537" ht="15.75" customHeight="1">
      <c r="B537" s="80"/>
      <c r="E537" s="10"/>
      <c r="F537" s="10"/>
      <c r="G537" s="10"/>
      <c r="H537" s="10"/>
      <c r="I537" s="81"/>
      <c r="J537" s="10"/>
      <c r="K537" s="10"/>
      <c r="L537" s="10"/>
      <c r="M537" s="10"/>
      <c r="N537" s="10"/>
      <c r="O537" s="10"/>
      <c r="P537" s="10"/>
      <c r="Q537" s="10"/>
      <c r="R537" s="82"/>
      <c r="S537" s="10"/>
      <c r="T537" s="10"/>
      <c r="U537" s="83"/>
      <c r="V537" s="10"/>
    </row>
    <row r="538" ht="15.75" customHeight="1">
      <c r="B538" s="80"/>
      <c r="E538" s="10"/>
      <c r="F538" s="10"/>
      <c r="G538" s="10"/>
      <c r="H538" s="10"/>
      <c r="I538" s="81"/>
      <c r="J538" s="10"/>
      <c r="K538" s="10"/>
      <c r="L538" s="10"/>
      <c r="M538" s="10"/>
      <c r="N538" s="10"/>
      <c r="O538" s="10"/>
      <c r="P538" s="10"/>
      <c r="Q538" s="10"/>
      <c r="R538" s="82"/>
      <c r="S538" s="10"/>
      <c r="T538" s="10"/>
      <c r="U538" s="83"/>
      <c r="V538" s="10"/>
    </row>
    <row r="539" ht="15.75" customHeight="1">
      <c r="B539" s="80"/>
      <c r="E539" s="10"/>
      <c r="F539" s="10"/>
      <c r="G539" s="10"/>
      <c r="H539" s="10"/>
      <c r="I539" s="81"/>
      <c r="J539" s="10"/>
      <c r="K539" s="10"/>
      <c r="L539" s="10"/>
      <c r="M539" s="10"/>
      <c r="N539" s="10"/>
      <c r="O539" s="10"/>
      <c r="P539" s="10"/>
      <c r="Q539" s="10"/>
      <c r="R539" s="82"/>
      <c r="S539" s="10"/>
      <c r="T539" s="10"/>
      <c r="U539" s="83"/>
      <c r="V539" s="10"/>
    </row>
    <row r="540" ht="15.75" customHeight="1">
      <c r="B540" s="80"/>
      <c r="E540" s="10"/>
      <c r="F540" s="10"/>
      <c r="G540" s="10"/>
      <c r="H540" s="10"/>
      <c r="I540" s="81"/>
      <c r="J540" s="10"/>
      <c r="K540" s="10"/>
      <c r="L540" s="10"/>
      <c r="M540" s="10"/>
      <c r="N540" s="10"/>
      <c r="O540" s="10"/>
      <c r="P540" s="10"/>
      <c r="Q540" s="10"/>
      <c r="R540" s="82"/>
      <c r="S540" s="10"/>
      <c r="T540" s="10"/>
      <c r="U540" s="83"/>
      <c r="V540" s="10"/>
    </row>
    <row r="541" ht="15.75" customHeight="1">
      <c r="B541" s="80"/>
      <c r="E541" s="10"/>
      <c r="F541" s="10"/>
      <c r="G541" s="10"/>
      <c r="H541" s="10"/>
      <c r="I541" s="81"/>
      <c r="J541" s="10"/>
      <c r="K541" s="10"/>
      <c r="L541" s="10"/>
      <c r="M541" s="10"/>
      <c r="N541" s="10"/>
      <c r="O541" s="10"/>
      <c r="P541" s="10"/>
      <c r="Q541" s="10"/>
      <c r="R541" s="82"/>
      <c r="S541" s="10"/>
      <c r="T541" s="10"/>
      <c r="U541" s="83"/>
      <c r="V541" s="10"/>
    </row>
    <row r="542" ht="15.75" customHeight="1">
      <c r="B542" s="80"/>
      <c r="E542" s="10"/>
      <c r="F542" s="10"/>
      <c r="G542" s="10"/>
      <c r="H542" s="10"/>
      <c r="I542" s="81"/>
      <c r="J542" s="10"/>
      <c r="K542" s="10"/>
      <c r="L542" s="10"/>
      <c r="M542" s="10"/>
      <c r="N542" s="10"/>
      <c r="O542" s="10"/>
      <c r="P542" s="10"/>
      <c r="Q542" s="10"/>
      <c r="R542" s="82"/>
      <c r="S542" s="10"/>
      <c r="T542" s="10"/>
      <c r="U542" s="83"/>
      <c r="V542" s="10"/>
    </row>
    <row r="543" ht="15.75" customHeight="1">
      <c r="B543" s="80"/>
      <c r="E543" s="10"/>
      <c r="F543" s="10"/>
      <c r="G543" s="10"/>
      <c r="H543" s="10"/>
      <c r="I543" s="81"/>
      <c r="J543" s="10"/>
      <c r="K543" s="10"/>
      <c r="L543" s="10"/>
      <c r="M543" s="10"/>
      <c r="N543" s="10"/>
      <c r="O543" s="10"/>
      <c r="P543" s="10"/>
      <c r="Q543" s="10"/>
      <c r="R543" s="82"/>
      <c r="S543" s="10"/>
      <c r="T543" s="10"/>
      <c r="U543" s="83"/>
      <c r="V543" s="10"/>
    </row>
    <row r="544" ht="15.75" customHeight="1">
      <c r="B544" s="80"/>
      <c r="E544" s="10"/>
      <c r="F544" s="10"/>
      <c r="G544" s="10"/>
      <c r="H544" s="10"/>
      <c r="I544" s="81"/>
      <c r="J544" s="10"/>
      <c r="K544" s="10"/>
      <c r="L544" s="10"/>
      <c r="M544" s="10"/>
      <c r="N544" s="10"/>
      <c r="O544" s="10"/>
      <c r="P544" s="10"/>
      <c r="Q544" s="10"/>
      <c r="R544" s="82"/>
      <c r="S544" s="10"/>
      <c r="T544" s="10"/>
      <c r="U544" s="83"/>
      <c r="V544" s="10"/>
    </row>
    <row r="545" ht="15.75" customHeight="1">
      <c r="B545" s="80"/>
      <c r="E545" s="10"/>
      <c r="F545" s="10"/>
      <c r="G545" s="10"/>
      <c r="H545" s="10"/>
      <c r="I545" s="81"/>
      <c r="J545" s="10"/>
      <c r="K545" s="10"/>
      <c r="L545" s="10"/>
      <c r="M545" s="10"/>
      <c r="N545" s="10"/>
      <c r="O545" s="10"/>
      <c r="P545" s="10"/>
      <c r="Q545" s="10"/>
      <c r="R545" s="82"/>
      <c r="S545" s="10"/>
      <c r="T545" s="10"/>
      <c r="U545" s="83"/>
      <c r="V545" s="10"/>
    </row>
    <row r="546" ht="15.75" customHeight="1">
      <c r="B546" s="80"/>
      <c r="E546" s="10"/>
      <c r="F546" s="10"/>
      <c r="G546" s="10"/>
      <c r="H546" s="10"/>
      <c r="I546" s="81"/>
      <c r="J546" s="10"/>
      <c r="K546" s="10"/>
      <c r="L546" s="10"/>
      <c r="M546" s="10"/>
      <c r="N546" s="10"/>
      <c r="O546" s="10"/>
      <c r="P546" s="10"/>
      <c r="Q546" s="10"/>
      <c r="R546" s="82"/>
      <c r="S546" s="10"/>
      <c r="T546" s="10"/>
      <c r="U546" s="83"/>
      <c r="V546" s="10"/>
    </row>
    <row r="547" ht="15.75" customHeight="1">
      <c r="B547" s="80"/>
      <c r="E547" s="10"/>
      <c r="F547" s="10"/>
      <c r="G547" s="10"/>
      <c r="H547" s="10"/>
      <c r="I547" s="81"/>
      <c r="J547" s="10"/>
      <c r="K547" s="10"/>
      <c r="L547" s="10"/>
      <c r="M547" s="10"/>
      <c r="N547" s="10"/>
      <c r="O547" s="10"/>
      <c r="P547" s="10"/>
      <c r="Q547" s="10"/>
      <c r="R547" s="82"/>
      <c r="S547" s="10"/>
      <c r="T547" s="10"/>
      <c r="U547" s="83"/>
      <c r="V547" s="10"/>
    </row>
    <row r="548" ht="15.75" customHeight="1">
      <c r="B548" s="80"/>
      <c r="E548" s="10"/>
      <c r="F548" s="10"/>
      <c r="G548" s="10"/>
      <c r="H548" s="10"/>
      <c r="I548" s="81"/>
      <c r="J548" s="10"/>
      <c r="K548" s="10"/>
      <c r="L548" s="10"/>
      <c r="M548" s="10"/>
      <c r="N548" s="10"/>
      <c r="O548" s="10"/>
      <c r="P548" s="10"/>
      <c r="Q548" s="10"/>
      <c r="R548" s="82"/>
      <c r="S548" s="10"/>
      <c r="T548" s="10"/>
      <c r="U548" s="83"/>
      <c r="V548" s="10"/>
    </row>
    <row r="549" ht="15.75" customHeight="1">
      <c r="B549" s="80"/>
      <c r="E549" s="10"/>
      <c r="F549" s="10"/>
      <c r="G549" s="10"/>
      <c r="H549" s="10"/>
      <c r="I549" s="81"/>
      <c r="J549" s="10"/>
      <c r="K549" s="10"/>
      <c r="L549" s="10"/>
      <c r="M549" s="10"/>
      <c r="N549" s="10"/>
      <c r="O549" s="10"/>
      <c r="P549" s="10"/>
      <c r="Q549" s="10"/>
      <c r="R549" s="82"/>
      <c r="S549" s="10"/>
      <c r="T549" s="10"/>
      <c r="U549" s="83"/>
      <c r="V549" s="10"/>
    </row>
    <row r="550" ht="15.75" customHeight="1">
      <c r="B550" s="80"/>
      <c r="E550" s="10"/>
      <c r="F550" s="10"/>
      <c r="G550" s="10"/>
      <c r="H550" s="10"/>
      <c r="I550" s="81"/>
      <c r="J550" s="10"/>
      <c r="K550" s="10"/>
      <c r="L550" s="10"/>
      <c r="M550" s="10"/>
      <c r="N550" s="10"/>
      <c r="O550" s="10"/>
      <c r="P550" s="10"/>
      <c r="Q550" s="10"/>
      <c r="R550" s="82"/>
      <c r="S550" s="10"/>
      <c r="T550" s="10"/>
      <c r="U550" s="83"/>
      <c r="V550" s="10"/>
    </row>
    <row r="551" ht="15.75" customHeight="1">
      <c r="B551" s="80"/>
      <c r="E551" s="10"/>
      <c r="F551" s="10"/>
      <c r="G551" s="10"/>
      <c r="H551" s="10"/>
      <c r="I551" s="81"/>
      <c r="J551" s="10"/>
      <c r="K551" s="10"/>
      <c r="L551" s="10"/>
      <c r="M551" s="10"/>
      <c r="N551" s="10"/>
      <c r="O551" s="10"/>
      <c r="P551" s="10"/>
      <c r="Q551" s="10"/>
      <c r="R551" s="82"/>
      <c r="S551" s="10"/>
      <c r="T551" s="10"/>
      <c r="U551" s="83"/>
      <c r="V551" s="10"/>
    </row>
    <row r="552" ht="15.75" customHeight="1">
      <c r="B552" s="80"/>
      <c r="E552" s="10"/>
      <c r="F552" s="10"/>
      <c r="G552" s="10"/>
      <c r="H552" s="10"/>
      <c r="I552" s="81"/>
      <c r="J552" s="10"/>
      <c r="K552" s="10"/>
      <c r="L552" s="10"/>
      <c r="M552" s="10"/>
      <c r="N552" s="10"/>
      <c r="O552" s="10"/>
      <c r="P552" s="10"/>
      <c r="Q552" s="10"/>
      <c r="R552" s="82"/>
      <c r="S552" s="10"/>
      <c r="T552" s="10"/>
      <c r="U552" s="83"/>
      <c r="V552" s="10"/>
    </row>
    <row r="553" ht="15.75" customHeight="1">
      <c r="B553" s="80"/>
      <c r="E553" s="10"/>
      <c r="F553" s="10"/>
      <c r="G553" s="10"/>
      <c r="H553" s="10"/>
      <c r="I553" s="81"/>
      <c r="J553" s="10"/>
      <c r="K553" s="10"/>
      <c r="L553" s="10"/>
      <c r="M553" s="10"/>
      <c r="N553" s="10"/>
      <c r="O553" s="10"/>
      <c r="P553" s="10"/>
      <c r="Q553" s="10"/>
      <c r="R553" s="82"/>
      <c r="S553" s="10"/>
      <c r="T553" s="10"/>
      <c r="U553" s="83"/>
      <c r="V553" s="10"/>
    </row>
    <row r="554" ht="15.75" customHeight="1">
      <c r="B554" s="80"/>
      <c r="E554" s="10"/>
      <c r="F554" s="10"/>
      <c r="G554" s="10"/>
      <c r="H554" s="10"/>
      <c r="I554" s="81"/>
      <c r="J554" s="10"/>
      <c r="K554" s="10"/>
      <c r="L554" s="10"/>
      <c r="M554" s="10"/>
      <c r="N554" s="10"/>
      <c r="O554" s="10"/>
      <c r="P554" s="10"/>
      <c r="Q554" s="10"/>
      <c r="R554" s="82"/>
      <c r="S554" s="10"/>
      <c r="T554" s="10"/>
      <c r="U554" s="83"/>
      <c r="V554" s="10"/>
    </row>
    <row r="555" ht="15.75" customHeight="1">
      <c r="B555" s="80"/>
      <c r="E555" s="10"/>
      <c r="F555" s="10"/>
      <c r="G555" s="10"/>
      <c r="H555" s="10"/>
      <c r="I555" s="81"/>
      <c r="J555" s="10"/>
      <c r="K555" s="10"/>
      <c r="L555" s="10"/>
      <c r="M555" s="10"/>
      <c r="N555" s="10"/>
      <c r="O555" s="10"/>
      <c r="P555" s="10"/>
      <c r="Q555" s="10"/>
      <c r="R555" s="82"/>
      <c r="S555" s="10"/>
      <c r="T555" s="10"/>
      <c r="U555" s="83"/>
      <c r="V555" s="10"/>
    </row>
    <row r="556" ht="15.75" customHeight="1">
      <c r="B556" s="80"/>
      <c r="E556" s="10"/>
      <c r="F556" s="10"/>
      <c r="G556" s="10"/>
      <c r="H556" s="10"/>
      <c r="I556" s="81"/>
      <c r="J556" s="10"/>
      <c r="K556" s="10"/>
      <c r="L556" s="10"/>
      <c r="M556" s="10"/>
      <c r="N556" s="10"/>
      <c r="O556" s="10"/>
      <c r="P556" s="10"/>
      <c r="Q556" s="10"/>
      <c r="R556" s="82"/>
      <c r="S556" s="10"/>
      <c r="T556" s="10"/>
      <c r="U556" s="83"/>
      <c r="V556" s="10"/>
    </row>
    <row r="557" ht="15.75" customHeight="1">
      <c r="B557" s="80"/>
      <c r="E557" s="10"/>
      <c r="F557" s="10"/>
      <c r="G557" s="10"/>
      <c r="H557" s="10"/>
      <c r="I557" s="81"/>
      <c r="J557" s="10"/>
      <c r="K557" s="10"/>
      <c r="L557" s="10"/>
      <c r="M557" s="10"/>
      <c r="N557" s="10"/>
      <c r="O557" s="10"/>
      <c r="P557" s="10"/>
      <c r="Q557" s="10"/>
      <c r="R557" s="82"/>
      <c r="S557" s="10"/>
      <c r="T557" s="10"/>
      <c r="U557" s="83"/>
      <c r="V557" s="10"/>
    </row>
    <row r="558" ht="15.75" customHeight="1">
      <c r="B558" s="80"/>
      <c r="E558" s="10"/>
      <c r="F558" s="10"/>
      <c r="G558" s="10"/>
      <c r="H558" s="10"/>
      <c r="I558" s="81"/>
      <c r="J558" s="10"/>
      <c r="K558" s="10"/>
      <c r="L558" s="10"/>
      <c r="M558" s="10"/>
      <c r="N558" s="10"/>
      <c r="O558" s="10"/>
      <c r="P558" s="10"/>
      <c r="Q558" s="10"/>
      <c r="R558" s="82"/>
      <c r="S558" s="10"/>
      <c r="T558" s="10"/>
      <c r="U558" s="83"/>
      <c r="V558" s="10"/>
    </row>
    <row r="559" ht="15.75" customHeight="1">
      <c r="B559" s="80"/>
      <c r="E559" s="10"/>
      <c r="F559" s="10"/>
      <c r="G559" s="10"/>
      <c r="H559" s="10"/>
      <c r="I559" s="81"/>
      <c r="J559" s="10"/>
      <c r="K559" s="10"/>
      <c r="L559" s="10"/>
      <c r="M559" s="10"/>
      <c r="N559" s="10"/>
      <c r="O559" s="10"/>
      <c r="P559" s="10"/>
      <c r="Q559" s="10"/>
      <c r="R559" s="82"/>
      <c r="S559" s="10"/>
      <c r="T559" s="10"/>
      <c r="U559" s="83"/>
      <c r="V559" s="10"/>
    </row>
    <row r="560" ht="15.75" customHeight="1">
      <c r="B560" s="80"/>
      <c r="E560" s="10"/>
      <c r="F560" s="10"/>
      <c r="G560" s="10"/>
      <c r="H560" s="10"/>
      <c r="I560" s="81"/>
      <c r="J560" s="10"/>
      <c r="K560" s="10"/>
      <c r="L560" s="10"/>
      <c r="M560" s="10"/>
      <c r="N560" s="10"/>
      <c r="O560" s="10"/>
      <c r="P560" s="10"/>
      <c r="Q560" s="10"/>
      <c r="R560" s="82"/>
      <c r="S560" s="10"/>
      <c r="T560" s="10"/>
      <c r="U560" s="83"/>
      <c r="V560" s="10"/>
    </row>
    <row r="561" ht="15.75" customHeight="1">
      <c r="B561" s="80"/>
      <c r="E561" s="10"/>
      <c r="F561" s="10"/>
      <c r="G561" s="10"/>
      <c r="H561" s="10"/>
      <c r="I561" s="81"/>
      <c r="J561" s="10"/>
      <c r="K561" s="10"/>
      <c r="L561" s="10"/>
      <c r="M561" s="10"/>
      <c r="N561" s="10"/>
      <c r="O561" s="10"/>
      <c r="P561" s="10"/>
      <c r="Q561" s="10"/>
      <c r="R561" s="82"/>
      <c r="S561" s="10"/>
      <c r="T561" s="10"/>
      <c r="U561" s="83"/>
      <c r="V561" s="10"/>
    </row>
    <row r="562" ht="15.75" customHeight="1">
      <c r="B562" s="80"/>
      <c r="E562" s="10"/>
      <c r="F562" s="10"/>
      <c r="G562" s="10"/>
      <c r="H562" s="10"/>
      <c r="I562" s="81"/>
      <c r="J562" s="10"/>
      <c r="K562" s="10"/>
      <c r="L562" s="10"/>
      <c r="M562" s="10"/>
      <c r="N562" s="10"/>
      <c r="O562" s="10"/>
      <c r="P562" s="10"/>
      <c r="Q562" s="10"/>
      <c r="R562" s="82"/>
      <c r="S562" s="10"/>
      <c r="T562" s="10"/>
      <c r="U562" s="83"/>
      <c r="V562" s="10"/>
    </row>
    <row r="563" ht="15.75" customHeight="1">
      <c r="B563" s="80"/>
      <c r="E563" s="10"/>
      <c r="F563" s="10"/>
      <c r="G563" s="10"/>
      <c r="H563" s="10"/>
      <c r="I563" s="81"/>
      <c r="J563" s="10"/>
      <c r="K563" s="10"/>
      <c r="L563" s="10"/>
      <c r="M563" s="10"/>
      <c r="N563" s="10"/>
      <c r="O563" s="10"/>
      <c r="P563" s="10"/>
      <c r="Q563" s="10"/>
      <c r="R563" s="82"/>
      <c r="S563" s="10"/>
      <c r="T563" s="10"/>
      <c r="U563" s="83"/>
      <c r="V563" s="10"/>
    </row>
    <row r="564" ht="15.75" customHeight="1">
      <c r="B564" s="80"/>
      <c r="E564" s="10"/>
      <c r="F564" s="10"/>
      <c r="G564" s="10"/>
      <c r="H564" s="10"/>
      <c r="I564" s="81"/>
      <c r="J564" s="10"/>
      <c r="K564" s="10"/>
      <c r="L564" s="10"/>
      <c r="M564" s="10"/>
      <c r="N564" s="10"/>
      <c r="O564" s="10"/>
      <c r="P564" s="10"/>
      <c r="Q564" s="10"/>
      <c r="R564" s="82"/>
      <c r="S564" s="10"/>
      <c r="T564" s="10"/>
      <c r="U564" s="83"/>
      <c r="V564" s="10"/>
    </row>
    <row r="565" ht="15.75" customHeight="1">
      <c r="B565" s="80"/>
      <c r="E565" s="10"/>
      <c r="F565" s="10"/>
      <c r="G565" s="10"/>
      <c r="H565" s="10"/>
      <c r="I565" s="81"/>
      <c r="J565" s="10"/>
      <c r="K565" s="10"/>
      <c r="L565" s="10"/>
      <c r="M565" s="10"/>
      <c r="N565" s="10"/>
      <c r="O565" s="10"/>
      <c r="P565" s="10"/>
      <c r="Q565" s="10"/>
      <c r="R565" s="82"/>
      <c r="S565" s="10"/>
      <c r="T565" s="10"/>
      <c r="U565" s="83"/>
      <c r="V565" s="10"/>
    </row>
    <row r="566" ht="15.75" customHeight="1">
      <c r="B566" s="80"/>
      <c r="E566" s="10"/>
      <c r="F566" s="10"/>
      <c r="G566" s="10"/>
      <c r="H566" s="10"/>
      <c r="I566" s="81"/>
      <c r="J566" s="10"/>
      <c r="K566" s="10"/>
      <c r="L566" s="10"/>
      <c r="M566" s="10"/>
      <c r="N566" s="10"/>
      <c r="O566" s="10"/>
      <c r="P566" s="10"/>
      <c r="Q566" s="10"/>
      <c r="R566" s="82"/>
      <c r="S566" s="10"/>
      <c r="T566" s="10"/>
      <c r="U566" s="83"/>
      <c r="V566" s="10"/>
    </row>
    <row r="567" ht="15.75" customHeight="1">
      <c r="B567" s="80"/>
      <c r="E567" s="10"/>
      <c r="F567" s="10"/>
      <c r="G567" s="10"/>
      <c r="H567" s="10"/>
      <c r="I567" s="81"/>
      <c r="J567" s="10"/>
      <c r="K567" s="10"/>
      <c r="L567" s="10"/>
      <c r="M567" s="10"/>
      <c r="N567" s="10"/>
      <c r="O567" s="10"/>
      <c r="P567" s="10"/>
      <c r="Q567" s="10"/>
      <c r="R567" s="82"/>
      <c r="S567" s="10"/>
      <c r="T567" s="10"/>
      <c r="U567" s="83"/>
      <c r="V567" s="10"/>
    </row>
    <row r="568" ht="15.75" customHeight="1">
      <c r="B568" s="80"/>
      <c r="E568" s="10"/>
      <c r="F568" s="10"/>
      <c r="G568" s="10"/>
      <c r="H568" s="10"/>
      <c r="I568" s="81"/>
      <c r="J568" s="10"/>
      <c r="K568" s="10"/>
      <c r="L568" s="10"/>
      <c r="M568" s="10"/>
      <c r="N568" s="10"/>
      <c r="O568" s="10"/>
      <c r="P568" s="10"/>
      <c r="Q568" s="10"/>
      <c r="R568" s="82"/>
      <c r="S568" s="10"/>
      <c r="T568" s="10"/>
      <c r="U568" s="83"/>
      <c r="V568" s="10"/>
    </row>
    <row r="569" ht="15.75" customHeight="1">
      <c r="B569" s="80"/>
      <c r="E569" s="10"/>
      <c r="F569" s="10"/>
      <c r="G569" s="10"/>
      <c r="H569" s="10"/>
      <c r="I569" s="81"/>
      <c r="J569" s="10"/>
      <c r="K569" s="10"/>
      <c r="L569" s="10"/>
      <c r="M569" s="10"/>
      <c r="N569" s="10"/>
      <c r="O569" s="10"/>
      <c r="P569" s="10"/>
      <c r="Q569" s="10"/>
      <c r="R569" s="82"/>
      <c r="S569" s="10"/>
      <c r="T569" s="10"/>
      <c r="U569" s="83"/>
      <c r="V569" s="10"/>
    </row>
    <row r="570" ht="15.75" customHeight="1">
      <c r="B570" s="80"/>
      <c r="E570" s="10"/>
      <c r="F570" s="10"/>
      <c r="G570" s="10"/>
      <c r="H570" s="10"/>
      <c r="I570" s="81"/>
      <c r="J570" s="10"/>
      <c r="K570" s="10"/>
      <c r="L570" s="10"/>
      <c r="M570" s="10"/>
      <c r="N570" s="10"/>
      <c r="O570" s="10"/>
      <c r="P570" s="10"/>
      <c r="Q570" s="10"/>
      <c r="R570" s="82"/>
      <c r="S570" s="10"/>
      <c r="T570" s="10"/>
      <c r="U570" s="83"/>
      <c r="V570" s="10"/>
    </row>
    <row r="571" ht="15.75" customHeight="1">
      <c r="B571" s="80"/>
      <c r="E571" s="10"/>
      <c r="F571" s="10"/>
      <c r="G571" s="10"/>
      <c r="H571" s="10"/>
      <c r="I571" s="81"/>
      <c r="J571" s="10"/>
      <c r="K571" s="10"/>
      <c r="L571" s="10"/>
      <c r="M571" s="10"/>
      <c r="N571" s="10"/>
      <c r="O571" s="10"/>
      <c r="P571" s="10"/>
      <c r="Q571" s="10"/>
      <c r="R571" s="82"/>
      <c r="S571" s="10"/>
      <c r="T571" s="10"/>
      <c r="U571" s="83"/>
      <c r="V571" s="10"/>
    </row>
    <row r="572" ht="15.75" customHeight="1">
      <c r="B572" s="80"/>
      <c r="E572" s="10"/>
      <c r="F572" s="10"/>
      <c r="G572" s="10"/>
      <c r="H572" s="10"/>
      <c r="I572" s="81"/>
      <c r="J572" s="10"/>
      <c r="K572" s="10"/>
      <c r="L572" s="10"/>
      <c r="M572" s="10"/>
      <c r="N572" s="10"/>
      <c r="O572" s="10"/>
      <c r="P572" s="10"/>
      <c r="Q572" s="10"/>
      <c r="R572" s="82"/>
      <c r="S572" s="10"/>
      <c r="T572" s="10"/>
      <c r="U572" s="83"/>
      <c r="V572" s="10"/>
    </row>
    <row r="573" ht="15.75" customHeight="1">
      <c r="B573" s="80"/>
      <c r="E573" s="10"/>
      <c r="F573" s="10"/>
      <c r="G573" s="10"/>
      <c r="H573" s="10"/>
      <c r="I573" s="81"/>
      <c r="J573" s="10"/>
      <c r="K573" s="10"/>
      <c r="L573" s="10"/>
      <c r="M573" s="10"/>
      <c r="N573" s="10"/>
      <c r="O573" s="10"/>
      <c r="P573" s="10"/>
      <c r="Q573" s="10"/>
      <c r="R573" s="82"/>
      <c r="S573" s="10"/>
      <c r="T573" s="10"/>
      <c r="U573" s="83"/>
      <c r="V573" s="10"/>
    </row>
    <row r="574" ht="15.75" customHeight="1">
      <c r="B574" s="80"/>
      <c r="E574" s="10"/>
      <c r="F574" s="10"/>
      <c r="G574" s="10"/>
      <c r="H574" s="10"/>
      <c r="I574" s="81"/>
      <c r="J574" s="10"/>
      <c r="K574" s="10"/>
      <c r="L574" s="10"/>
      <c r="M574" s="10"/>
      <c r="N574" s="10"/>
      <c r="O574" s="10"/>
      <c r="P574" s="10"/>
      <c r="Q574" s="10"/>
      <c r="R574" s="82"/>
      <c r="S574" s="10"/>
      <c r="T574" s="10"/>
      <c r="U574" s="83"/>
      <c r="V574" s="10"/>
    </row>
    <row r="575" ht="15.75" customHeight="1">
      <c r="B575" s="80"/>
      <c r="E575" s="10"/>
      <c r="F575" s="10"/>
      <c r="G575" s="10"/>
      <c r="H575" s="10"/>
      <c r="I575" s="81"/>
      <c r="J575" s="10"/>
      <c r="K575" s="10"/>
      <c r="L575" s="10"/>
      <c r="M575" s="10"/>
      <c r="N575" s="10"/>
      <c r="O575" s="10"/>
      <c r="P575" s="10"/>
      <c r="Q575" s="10"/>
      <c r="R575" s="82"/>
      <c r="S575" s="10"/>
      <c r="T575" s="10"/>
      <c r="U575" s="83"/>
      <c r="V575" s="10"/>
    </row>
    <row r="576" ht="15.75" customHeight="1">
      <c r="B576" s="80"/>
      <c r="E576" s="10"/>
      <c r="F576" s="10"/>
      <c r="G576" s="10"/>
      <c r="H576" s="10"/>
      <c r="I576" s="81"/>
      <c r="J576" s="10"/>
      <c r="K576" s="10"/>
      <c r="L576" s="10"/>
      <c r="M576" s="10"/>
      <c r="N576" s="10"/>
      <c r="O576" s="10"/>
      <c r="P576" s="10"/>
      <c r="Q576" s="10"/>
      <c r="R576" s="82"/>
      <c r="S576" s="10"/>
      <c r="T576" s="10"/>
      <c r="U576" s="83"/>
      <c r="V576" s="10"/>
    </row>
    <row r="577" ht="15.75" customHeight="1">
      <c r="B577" s="80"/>
      <c r="E577" s="10"/>
      <c r="F577" s="10"/>
      <c r="G577" s="10"/>
      <c r="H577" s="10"/>
      <c r="I577" s="81"/>
      <c r="J577" s="10"/>
      <c r="K577" s="10"/>
      <c r="L577" s="10"/>
      <c r="M577" s="10"/>
      <c r="N577" s="10"/>
      <c r="O577" s="10"/>
      <c r="P577" s="10"/>
      <c r="Q577" s="10"/>
      <c r="R577" s="82"/>
      <c r="S577" s="10"/>
      <c r="T577" s="10"/>
      <c r="U577" s="83"/>
      <c r="V577" s="10"/>
    </row>
    <row r="578" ht="15.75" customHeight="1">
      <c r="B578" s="80"/>
      <c r="E578" s="10"/>
      <c r="F578" s="10"/>
      <c r="G578" s="10"/>
      <c r="H578" s="10"/>
      <c r="I578" s="81"/>
      <c r="J578" s="10"/>
      <c r="K578" s="10"/>
      <c r="L578" s="10"/>
      <c r="M578" s="10"/>
      <c r="N578" s="10"/>
      <c r="O578" s="10"/>
      <c r="P578" s="10"/>
      <c r="Q578" s="10"/>
      <c r="R578" s="82"/>
      <c r="S578" s="10"/>
      <c r="T578" s="10"/>
      <c r="U578" s="83"/>
      <c r="V578" s="10"/>
    </row>
    <row r="579" ht="15.75" customHeight="1">
      <c r="B579" s="80"/>
      <c r="E579" s="10"/>
      <c r="F579" s="10"/>
      <c r="G579" s="10"/>
      <c r="H579" s="10"/>
      <c r="I579" s="81"/>
      <c r="J579" s="10"/>
      <c r="K579" s="10"/>
      <c r="L579" s="10"/>
      <c r="M579" s="10"/>
      <c r="N579" s="10"/>
      <c r="O579" s="10"/>
      <c r="P579" s="10"/>
      <c r="Q579" s="10"/>
      <c r="R579" s="82"/>
      <c r="S579" s="10"/>
      <c r="T579" s="10"/>
      <c r="U579" s="83"/>
      <c r="V579" s="10"/>
    </row>
    <row r="580" ht="15.75" customHeight="1">
      <c r="B580" s="80"/>
      <c r="E580" s="10"/>
      <c r="F580" s="10"/>
      <c r="G580" s="10"/>
      <c r="H580" s="10"/>
      <c r="I580" s="81"/>
      <c r="J580" s="10"/>
      <c r="K580" s="10"/>
      <c r="L580" s="10"/>
      <c r="M580" s="10"/>
      <c r="N580" s="10"/>
      <c r="O580" s="10"/>
      <c r="P580" s="10"/>
      <c r="Q580" s="10"/>
      <c r="R580" s="82"/>
      <c r="S580" s="10"/>
      <c r="T580" s="10"/>
      <c r="U580" s="83"/>
      <c r="V580" s="10"/>
    </row>
    <row r="581" ht="15.75" customHeight="1">
      <c r="B581" s="80"/>
      <c r="E581" s="10"/>
      <c r="F581" s="10"/>
      <c r="G581" s="10"/>
      <c r="H581" s="10"/>
      <c r="I581" s="81"/>
      <c r="J581" s="10"/>
      <c r="K581" s="10"/>
      <c r="L581" s="10"/>
      <c r="M581" s="10"/>
      <c r="N581" s="10"/>
      <c r="O581" s="10"/>
      <c r="P581" s="10"/>
      <c r="Q581" s="10"/>
      <c r="R581" s="82"/>
      <c r="S581" s="10"/>
      <c r="T581" s="10"/>
      <c r="U581" s="83"/>
      <c r="V581" s="10"/>
    </row>
    <row r="582" ht="15.75" customHeight="1">
      <c r="B582" s="80"/>
      <c r="E582" s="10"/>
      <c r="F582" s="10"/>
      <c r="G582" s="10"/>
      <c r="H582" s="10"/>
      <c r="I582" s="81"/>
      <c r="J582" s="10"/>
      <c r="K582" s="10"/>
      <c r="L582" s="10"/>
      <c r="M582" s="10"/>
      <c r="N582" s="10"/>
      <c r="O582" s="10"/>
      <c r="P582" s="10"/>
      <c r="Q582" s="10"/>
      <c r="R582" s="82"/>
      <c r="S582" s="10"/>
      <c r="T582" s="10"/>
      <c r="U582" s="83"/>
      <c r="V582" s="10"/>
    </row>
    <row r="583" ht="15.75" customHeight="1">
      <c r="B583" s="80"/>
      <c r="E583" s="10"/>
      <c r="F583" s="10"/>
      <c r="G583" s="10"/>
      <c r="H583" s="10"/>
      <c r="I583" s="81"/>
      <c r="J583" s="10"/>
      <c r="K583" s="10"/>
      <c r="L583" s="10"/>
      <c r="M583" s="10"/>
      <c r="N583" s="10"/>
      <c r="O583" s="10"/>
      <c r="P583" s="10"/>
      <c r="Q583" s="10"/>
      <c r="R583" s="82"/>
      <c r="S583" s="10"/>
      <c r="T583" s="10"/>
      <c r="U583" s="83"/>
      <c r="V583" s="10"/>
    </row>
    <row r="584" ht="15.75" customHeight="1">
      <c r="B584" s="80"/>
      <c r="E584" s="10"/>
      <c r="F584" s="10"/>
      <c r="G584" s="10"/>
      <c r="H584" s="10"/>
      <c r="I584" s="81"/>
      <c r="J584" s="10"/>
      <c r="K584" s="10"/>
      <c r="L584" s="10"/>
      <c r="M584" s="10"/>
      <c r="N584" s="10"/>
      <c r="O584" s="10"/>
      <c r="P584" s="10"/>
      <c r="Q584" s="10"/>
      <c r="R584" s="82"/>
      <c r="S584" s="10"/>
      <c r="T584" s="10"/>
      <c r="U584" s="83"/>
      <c r="V584" s="10"/>
    </row>
    <row r="585" ht="15.75" customHeight="1">
      <c r="B585" s="80"/>
      <c r="E585" s="10"/>
      <c r="F585" s="10"/>
      <c r="G585" s="10"/>
      <c r="H585" s="10"/>
      <c r="I585" s="81"/>
      <c r="J585" s="10"/>
      <c r="K585" s="10"/>
      <c r="L585" s="10"/>
      <c r="M585" s="10"/>
      <c r="N585" s="10"/>
      <c r="O585" s="10"/>
      <c r="P585" s="10"/>
      <c r="Q585" s="10"/>
      <c r="R585" s="82"/>
      <c r="S585" s="10"/>
      <c r="T585" s="10"/>
      <c r="U585" s="83"/>
      <c r="V585" s="10"/>
    </row>
    <row r="586" ht="15.75" customHeight="1">
      <c r="B586" s="80"/>
      <c r="E586" s="10"/>
      <c r="F586" s="10"/>
      <c r="G586" s="10"/>
      <c r="H586" s="10"/>
      <c r="I586" s="81"/>
      <c r="J586" s="10"/>
      <c r="K586" s="10"/>
      <c r="L586" s="10"/>
      <c r="M586" s="10"/>
      <c r="N586" s="10"/>
      <c r="O586" s="10"/>
      <c r="P586" s="10"/>
      <c r="Q586" s="10"/>
      <c r="R586" s="82"/>
      <c r="S586" s="10"/>
      <c r="T586" s="10"/>
      <c r="U586" s="83"/>
      <c r="V586" s="10"/>
    </row>
    <row r="587" ht="15.75" customHeight="1">
      <c r="B587" s="80"/>
      <c r="E587" s="10"/>
      <c r="F587" s="10"/>
      <c r="G587" s="10"/>
      <c r="H587" s="10"/>
      <c r="I587" s="81"/>
      <c r="J587" s="10"/>
      <c r="K587" s="10"/>
      <c r="L587" s="10"/>
      <c r="M587" s="10"/>
      <c r="N587" s="10"/>
      <c r="O587" s="10"/>
      <c r="P587" s="10"/>
      <c r="Q587" s="10"/>
      <c r="R587" s="82"/>
      <c r="S587" s="10"/>
      <c r="T587" s="10"/>
      <c r="U587" s="83"/>
      <c r="V587" s="10"/>
    </row>
    <row r="588" ht="15.75" customHeight="1">
      <c r="B588" s="80"/>
      <c r="E588" s="10"/>
      <c r="F588" s="10"/>
      <c r="G588" s="10"/>
      <c r="H588" s="10"/>
      <c r="I588" s="81"/>
      <c r="J588" s="10"/>
      <c r="K588" s="10"/>
      <c r="L588" s="10"/>
      <c r="M588" s="10"/>
      <c r="N588" s="10"/>
      <c r="O588" s="10"/>
      <c r="P588" s="10"/>
      <c r="Q588" s="10"/>
      <c r="R588" s="82"/>
      <c r="S588" s="10"/>
      <c r="T588" s="10"/>
      <c r="U588" s="83"/>
      <c r="V588" s="10"/>
    </row>
    <row r="589" ht="15.75" customHeight="1">
      <c r="B589" s="80"/>
      <c r="E589" s="10"/>
      <c r="F589" s="10"/>
      <c r="G589" s="10"/>
      <c r="H589" s="10"/>
      <c r="I589" s="81"/>
      <c r="J589" s="10"/>
      <c r="K589" s="10"/>
      <c r="L589" s="10"/>
      <c r="M589" s="10"/>
      <c r="N589" s="10"/>
      <c r="O589" s="10"/>
      <c r="P589" s="10"/>
      <c r="Q589" s="10"/>
      <c r="R589" s="82"/>
      <c r="S589" s="10"/>
      <c r="T589" s="10"/>
      <c r="U589" s="83"/>
      <c r="V589" s="10"/>
    </row>
    <row r="590" ht="15.75" customHeight="1">
      <c r="B590" s="80"/>
      <c r="E590" s="10"/>
      <c r="F590" s="10"/>
      <c r="G590" s="10"/>
      <c r="H590" s="10"/>
      <c r="I590" s="81"/>
      <c r="J590" s="10"/>
      <c r="K590" s="10"/>
      <c r="L590" s="10"/>
      <c r="M590" s="10"/>
      <c r="N590" s="10"/>
      <c r="O590" s="10"/>
      <c r="P590" s="10"/>
      <c r="Q590" s="10"/>
      <c r="R590" s="82"/>
      <c r="S590" s="10"/>
      <c r="T590" s="10"/>
      <c r="U590" s="83"/>
      <c r="V590" s="10"/>
    </row>
    <row r="591" ht="15.75" customHeight="1">
      <c r="B591" s="80"/>
      <c r="E591" s="10"/>
      <c r="F591" s="10"/>
      <c r="G591" s="10"/>
      <c r="H591" s="10"/>
      <c r="I591" s="81"/>
      <c r="J591" s="10"/>
      <c r="K591" s="10"/>
      <c r="L591" s="10"/>
      <c r="M591" s="10"/>
      <c r="N591" s="10"/>
      <c r="O591" s="10"/>
      <c r="P591" s="10"/>
      <c r="Q591" s="10"/>
      <c r="R591" s="82"/>
      <c r="S591" s="10"/>
      <c r="T591" s="10"/>
      <c r="U591" s="83"/>
      <c r="V591" s="10"/>
    </row>
    <row r="592" ht="15.75" customHeight="1">
      <c r="B592" s="80"/>
      <c r="E592" s="10"/>
      <c r="F592" s="10"/>
      <c r="G592" s="10"/>
      <c r="H592" s="10"/>
      <c r="I592" s="81"/>
      <c r="J592" s="10"/>
      <c r="K592" s="10"/>
      <c r="L592" s="10"/>
      <c r="M592" s="10"/>
      <c r="N592" s="10"/>
      <c r="O592" s="10"/>
      <c r="P592" s="10"/>
      <c r="Q592" s="10"/>
      <c r="R592" s="82"/>
      <c r="S592" s="10"/>
      <c r="T592" s="10"/>
      <c r="U592" s="83"/>
      <c r="V592" s="10"/>
    </row>
    <row r="593" ht="15.75" customHeight="1">
      <c r="B593" s="80"/>
      <c r="E593" s="10"/>
      <c r="F593" s="10"/>
      <c r="G593" s="10"/>
      <c r="H593" s="10"/>
      <c r="I593" s="81"/>
      <c r="J593" s="10"/>
      <c r="K593" s="10"/>
      <c r="L593" s="10"/>
      <c r="M593" s="10"/>
      <c r="N593" s="10"/>
      <c r="O593" s="10"/>
      <c r="P593" s="10"/>
      <c r="Q593" s="10"/>
      <c r="R593" s="82"/>
      <c r="S593" s="10"/>
      <c r="T593" s="10"/>
      <c r="U593" s="83"/>
      <c r="V593" s="10"/>
    </row>
    <row r="594" ht="15.75" customHeight="1">
      <c r="B594" s="80"/>
      <c r="E594" s="10"/>
      <c r="F594" s="10"/>
      <c r="G594" s="10"/>
      <c r="H594" s="10"/>
      <c r="I594" s="81"/>
      <c r="J594" s="10"/>
      <c r="K594" s="10"/>
      <c r="L594" s="10"/>
      <c r="M594" s="10"/>
      <c r="N594" s="10"/>
      <c r="O594" s="10"/>
      <c r="P594" s="10"/>
      <c r="Q594" s="10"/>
      <c r="R594" s="82"/>
      <c r="S594" s="10"/>
      <c r="T594" s="10"/>
      <c r="U594" s="83"/>
      <c r="V594" s="10"/>
    </row>
    <row r="595" ht="15.75" customHeight="1">
      <c r="B595" s="80"/>
      <c r="E595" s="10"/>
      <c r="F595" s="10"/>
      <c r="G595" s="10"/>
      <c r="H595" s="10"/>
      <c r="I595" s="81"/>
      <c r="J595" s="10"/>
      <c r="K595" s="10"/>
      <c r="L595" s="10"/>
      <c r="M595" s="10"/>
      <c r="N595" s="10"/>
      <c r="O595" s="10"/>
      <c r="P595" s="10"/>
      <c r="Q595" s="10"/>
      <c r="R595" s="82"/>
      <c r="S595" s="10"/>
      <c r="T595" s="10"/>
      <c r="U595" s="83"/>
      <c r="V595" s="10"/>
    </row>
    <row r="596" ht="15.75" customHeight="1">
      <c r="B596" s="80"/>
      <c r="E596" s="10"/>
      <c r="F596" s="10"/>
      <c r="G596" s="10"/>
      <c r="H596" s="10"/>
      <c r="I596" s="81"/>
      <c r="J596" s="10"/>
      <c r="K596" s="10"/>
      <c r="L596" s="10"/>
      <c r="M596" s="10"/>
      <c r="N596" s="10"/>
      <c r="O596" s="10"/>
      <c r="P596" s="10"/>
      <c r="Q596" s="10"/>
      <c r="R596" s="82"/>
      <c r="S596" s="10"/>
      <c r="T596" s="10"/>
      <c r="U596" s="83"/>
      <c r="V596" s="10"/>
    </row>
    <row r="597" ht="15.75" customHeight="1">
      <c r="B597" s="80"/>
      <c r="E597" s="10"/>
      <c r="F597" s="10"/>
      <c r="G597" s="10"/>
      <c r="H597" s="10"/>
      <c r="I597" s="81"/>
      <c r="J597" s="10"/>
      <c r="K597" s="10"/>
      <c r="L597" s="10"/>
      <c r="M597" s="10"/>
      <c r="N597" s="10"/>
      <c r="O597" s="10"/>
      <c r="P597" s="10"/>
      <c r="Q597" s="10"/>
      <c r="R597" s="82"/>
      <c r="S597" s="10"/>
      <c r="T597" s="10"/>
      <c r="U597" s="83"/>
      <c r="V597" s="10"/>
    </row>
    <row r="598" ht="15.75" customHeight="1">
      <c r="B598" s="80"/>
      <c r="E598" s="10"/>
      <c r="F598" s="10"/>
      <c r="G598" s="10"/>
      <c r="H598" s="10"/>
      <c r="I598" s="81"/>
      <c r="J598" s="10"/>
      <c r="K598" s="10"/>
      <c r="L598" s="10"/>
      <c r="M598" s="10"/>
      <c r="N598" s="10"/>
      <c r="O598" s="10"/>
      <c r="P598" s="10"/>
      <c r="Q598" s="10"/>
      <c r="R598" s="82"/>
      <c r="S598" s="10"/>
      <c r="T598" s="10"/>
      <c r="U598" s="83"/>
      <c r="V598" s="10"/>
    </row>
    <row r="599" ht="15.75" customHeight="1">
      <c r="B599" s="80"/>
      <c r="E599" s="10"/>
      <c r="F599" s="10"/>
      <c r="G599" s="10"/>
      <c r="H599" s="10"/>
      <c r="I599" s="81"/>
      <c r="J599" s="10"/>
      <c r="K599" s="10"/>
      <c r="L599" s="10"/>
      <c r="M599" s="10"/>
      <c r="N599" s="10"/>
      <c r="O599" s="10"/>
      <c r="P599" s="10"/>
      <c r="Q599" s="10"/>
      <c r="R599" s="82"/>
      <c r="S599" s="10"/>
      <c r="T599" s="10"/>
      <c r="U599" s="83"/>
      <c r="V599" s="10"/>
    </row>
    <row r="600" ht="15.75" customHeight="1">
      <c r="B600" s="80"/>
      <c r="E600" s="10"/>
      <c r="F600" s="10"/>
      <c r="G600" s="10"/>
      <c r="H600" s="10"/>
      <c r="I600" s="81"/>
      <c r="J600" s="10"/>
      <c r="K600" s="10"/>
      <c r="L600" s="10"/>
      <c r="M600" s="10"/>
      <c r="N600" s="10"/>
      <c r="O600" s="10"/>
      <c r="P600" s="10"/>
      <c r="Q600" s="10"/>
      <c r="R600" s="82"/>
      <c r="S600" s="10"/>
      <c r="T600" s="10"/>
      <c r="U600" s="83"/>
      <c r="V600" s="10"/>
    </row>
    <row r="601" ht="15.75" customHeight="1">
      <c r="B601" s="80"/>
      <c r="E601" s="10"/>
      <c r="F601" s="10"/>
      <c r="G601" s="10"/>
      <c r="H601" s="10"/>
      <c r="I601" s="81"/>
      <c r="J601" s="10"/>
      <c r="K601" s="10"/>
      <c r="L601" s="10"/>
      <c r="M601" s="10"/>
      <c r="N601" s="10"/>
      <c r="O601" s="10"/>
      <c r="P601" s="10"/>
      <c r="Q601" s="10"/>
      <c r="R601" s="82"/>
      <c r="S601" s="10"/>
      <c r="T601" s="10"/>
      <c r="U601" s="83"/>
      <c r="V601" s="10"/>
    </row>
    <row r="602" ht="15.75" customHeight="1">
      <c r="B602" s="80"/>
      <c r="E602" s="10"/>
      <c r="F602" s="10"/>
      <c r="G602" s="10"/>
      <c r="H602" s="10"/>
      <c r="I602" s="81"/>
      <c r="J602" s="10"/>
      <c r="K602" s="10"/>
      <c r="L602" s="10"/>
      <c r="M602" s="10"/>
      <c r="N602" s="10"/>
      <c r="O602" s="10"/>
      <c r="P602" s="10"/>
      <c r="Q602" s="10"/>
      <c r="R602" s="82"/>
      <c r="S602" s="10"/>
      <c r="T602" s="10"/>
      <c r="U602" s="83"/>
      <c r="V602" s="10"/>
    </row>
    <row r="603" ht="15.75" customHeight="1">
      <c r="B603" s="80"/>
      <c r="E603" s="10"/>
      <c r="F603" s="10"/>
      <c r="G603" s="10"/>
      <c r="H603" s="10"/>
      <c r="I603" s="81"/>
      <c r="J603" s="10"/>
      <c r="K603" s="10"/>
      <c r="L603" s="10"/>
      <c r="M603" s="10"/>
      <c r="N603" s="10"/>
      <c r="O603" s="10"/>
      <c r="P603" s="10"/>
      <c r="Q603" s="10"/>
      <c r="R603" s="82"/>
      <c r="S603" s="10"/>
      <c r="T603" s="10"/>
      <c r="U603" s="83"/>
      <c r="V603" s="10"/>
    </row>
    <row r="604" ht="15.75" customHeight="1">
      <c r="B604" s="80"/>
      <c r="E604" s="10"/>
      <c r="F604" s="10"/>
      <c r="G604" s="10"/>
      <c r="H604" s="10"/>
      <c r="I604" s="81"/>
      <c r="J604" s="10"/>
      <c r="K604" s="10"/>
      <c r="L604" s="10"/>
      <c r="M604" s="10"/>
      <c r="N604" s="10"/>
      <c r="O604" s="10"/>
      <c r="P604" s="10"/>
      <c r="Q604" s="10"/>
      <c r="R604" s="82"/>
      <c r="S604" s="10"/>
      <c r="T604" s="10"/>
      <c r="U604" s="83"/>
      <c r="V604" s="10"/>
    </row>
    <row r="605" ht="15.75" customHeight="1">
      <c r="B605" s="80"/>
      <c r="E605" s="10"/>
      <c r="F605" s="10"/>
      <c r="G605" s="10"/>
      <c r="H605" s="10"/>
      <c r="I605" s="81"/>
      <c r="J605" s="10"/>
      <c r="K605" s="10"/>
      <c r="L605" s="10"/>
      <c r="M605" s="10"/>
      <c r="N605" s="10"/>
      <c r="O605" s="10"/>
      <c r="P605" s="10"/>
      <c r="Q605" s="10"/>
      <c r="R605" s="82"/>
      <c r="S605" s="10"/>
      <c r="T605" s="10"/>
      <c r="U605" s="83"/>
      <c r="V605" s="10"/>
    </row>
    <row r="606" ht="15.75" customHeight="1">
      <c r="B606" s="80"/>
      <c r="E606" s="10"/>
      <c r="F606" s="10"/>
      <c r="G606" s="10"/>
      <c r="H606" s="10"/>
      <c r="I606" s="81"/>
      <c r="J606" s="10"/>
      <c r="K606" s="10"/>
      <c r="L606" s="10"/>
      <c r="M606" s="10"/>
      <c r="N606" s="10"/>
      <c r="O606" s="10"/>
      <c r="P606" s="10"/>
      <c r="Q606" s="10"/>
      <c r="R606" s="82"/>
      <c r="S606" s="10"/>
      <c r="T606" s="10"/>
      <c r="U606" s="83"/>
      <c r="V606" s="10"/>
    </row>
    <row r="607" ht="15.75" customHeight="1">
      <c r="B607" s="80"/>
      <c r="E607" s="10"/>
      <c r="F607" s="10"/>
      <c r="G607" s="10"/>
      <c r="H607" s="10"/>
      <c r="I607" s="81"/>
      <c r="J607" s="10"/>
      <c r="K607" s="10"/>
      <c r="L607" s="10"/>
      <c r="M607" s="10"/>
      <c r="N607" s="10"/>
      <c r="O607" s="10"/>
      <c r="P607" s="10"/>
      <c r="Q607" s="10"/>
      <c r="R607" s="82"/>
      <c r="S607" s="10"/>
      <c r="T607" s="10"/>
      <c r="U607" s="83"/>
      <c r="V607" s="10"/>
    </row>
    <row r="608" ht="15.75" customHeight="1">
      <c r="B608" s="80"/>
      <c r="E608" s="10"/>
      <c r="F608" s="10"/>
      <c r="G608" s="10"/>
      <c r="H608" s="10"/>
      <c r="I608" s="81"/>
      <c r="J608" s="10"/>
      <c r="K608" s="10"/>
      <c r="L608" s="10"/>
      <c r="M608" s="10"/>
      <c r="N608" s="10"/>
      <c r="O608" s="10"/>
      <c r="P608" s="10"/>
      <c r="Q608" s="10"/>
      <c r="R608" s="82"/>
      <c r="S608" s="10"/>
      <c r="T608" s="10"/>
      <c r="U608" s="83"/>
      <c r="V608" s="10"/>
    </row>
    <row r="609" ht="15.75" customHeight="1">
      <c r="B609" s="80"/>
      <c r="E609" s="10"/>
      <c r="F609" s="10"/>
      <c r="G609" s="10"/>
      <c r="H609" s="10"/>
      <c r="I609" s="81"/>
      <c r="J609" s="10"/>
      <c r="K609" s="10"/>
      <c r="L609" s="10"/>
      <c r="M609" s="10"/>
      <c r="N609" s="10"/>
      <c r="O609" s="10"/>
      <c r="P609" s="10"/>
      <c r="Q609" s="10"/>
      <c r="R609" s="82"/>
      <c r="S609" s="10"/>
      <c r="T609" s="10"/>
      <c r="U609" s="83"/>
      <c r="V609" s="10"/>
    </row>
    <row r="610" ht="15.75" customHeight="1">
      <c r="B610" s="80"/>
      <c r="E610" s="10"/>
      <c r="F610" s="10"/>
      <c r="G610" s="10"/>
      <c r="H610" s="10"/>
      <c r="I610" s="81"/>
      <c r="J610" s="10"/>
      <c r="K610" s="10"/>
      <c r="L610" s="10"/>
      <c r="M610" s="10"/>
      <c r="N610" s="10"/>
      <c r="O610" s="10"/>
      <c r="P610" s="10"/>
      <c r="Q610" s="10"/>
      <c r="R610" s="82"/>
      <c r="S610" s="10"/>
      <c r="T610" s="10"/>
      <c r="U610" s="83"/>
      <c r="V610" s="10"/>
    </row>
    <row r="611" ht="15.75" customHeight="1">
      <c r="B611" s="80"/>
      <c r="E611" s="10"/>
      <c r="F611" s="10"/>
      <c r="G611" s="10"/>
      <c r="H611" s="10"/>
      <c r="I611" s="81"/>
      <c r="J611" s="10"/>
      <c r="K611" s="10"/>
      <c r="L611" s="10"/>
      <c r="M611" s="10"/>
      <c r="N611" s="10"/>
      <c r="O611" s="10"/>
      <c r="P611" s="10"/>
      <c r="Q611" s="10"/>
      <c r="R611" s="82"/>
      <c r="S611" s="10"/>
      <c r="T611" s="10"/>
      <c r="U611" s="83"/>
      <c r="V611" s="10"/>
    </row>
    <row r="612" ht="15.75" customHeight="1">
      <c r="B612" s="80"/>
      <c r="E612" s="10"/>
      <c r="F612" s="10"/>
      <c r="G612" s="10"/>
      <c r="H612" s="10"/>
      <c r="I612" s="81"/>
      <c r="J612" s="10"/>
      <c r="K612" s="10"/>
      <c r="L612" s="10"/>
      <c r="M612" s="10"/>
      <c r="N612" s="10"/>
      <c r="O612" s="10"/>
      <c r="P612" s="10"/>
      <c r="Q612" s="10"/>
      <c r="R612" s="82"/>
      <c r="S612" s="10"/>
      <c r="T612" s="10"/>
      <c r="U612" s="83"/>
      <c r="V612" s="10"/>
    </row>
    <row r="613" ht="15.75" customHeight="1">
      <c r="B613" s="80"/>
      <c r="E613" s="10"/>
      <c r="F613" s="10"/>
      <c r="G613" s="10"/>
      <c r="H613" s="10"/>
      <c r="I613" s="81"/>
      <c r="J613" s="10"/>
      <c r="K613" s="10"/>
      <c r="L613" s="10"/>
      <c r="M613" s="10"/>
      <c r="N613" s="10"/>
      <c r="O613" s="10"/>
      <c r="P613" s="10"/>
      <c r="Q613" s="10"/>
      <c r="R613" s="82"/>
      <c r="S613" s="10"/>
      <c r="T613" s="10"/>
      <c r="U613" s="83"/>
      <c r="V613" s="10"/>
    </row>
    <row r="614" ht="15.75" customHeight="1">
      <c r="B614" s="80"/>
      <c r="E614" s="10"/>
      <c r="F614" s="10"/>
      <c r="G614" s="10"/>
      <c r="H614" s="10"/>
      <c r="I614" s="81"/>
      <c r="J614" s="10"/>
      <c r="K614" s="10"/>
      <c r="L614" s="10"/>
      <c r="M614" s="10"/>
      <c r="N614" s="10"/>
      <c r="O614" s="10"/>
      <c r="P614" s="10"/>
      <c r="Q614" s="10"/>
      <c r="R614" s="82"/>
      <c r="S614" s="10"/>
      <c r="T614" s="10"/>
      <c r="U614" s="83"/>
      <c r="V614" s="10"/>
    </row>
    <row r="615" ht="15.75" customHeight="1">
      <c r="B615" s="80"/>
      <c r="E615" s="10"/>
      <c r="F615" s="10"/>
      <c r="G615" s="10"/>
      <c r="H615" s="10"/>
      <c r="I615" s="81"/>
      <c r="J615" s="10"/>
      <c r="K615" s="10"/>
      <c r="L615" s="10"/>
      <c r="M615" s="10"/>
      <c r="N615" s="10"/>
      <c r="O615" s="10"/>
      <c r="P615" s="10"/>
      <c r="Q615" s="10"/>
      <c r="R615" s="82"/>
      <c r="S615" s="10"/>
      <c r="T615" s="10"/>
      <c r="U615" s="83"/>
      <c r="V615" s="10"/>
    </row>
    <row r="616" ht="15.75" customHeight="1">
      <c r="B616" s="80"/>
      <c r="E616" s="10"/>
      <c r="F616" s="10"/>
      <c r="G616" s="10"/>
      <c r="H616" s="10"/>
      <c r="I616" s="81"/>
      <c r="J616" s="10"/>
      <c r="K616" s="10"/>
      <c r="L616" s="10"/>
      <c r="M616" s="10"/>
      <c r="N616" s="10"/>
      <c r="O616" s="10"/>
      <c r="P616" s="10"/>
      <c r="Q616" s="10"/>
      <c r="R616" s="82"/>
      <c r="S616" s="10"/>
      <c r="T616" s="10"/>
      <c r="U616" s="83"/>
      <c r="V616" s="10"/>
    </row>
    <row r="617" ht="15.75" customHeight="1">
      <c r="B617" s="80"/>
      <c r="E617" s="10"/>
      <c r="F617" s="10"/>
      <c r="G617" s="10"/>
      <c r="H617" s="10"/>
      <c r="I617" s="81"/>
      <c r="J617" s="10"/>
      <c r="K617" s="10"/>
      <c r="L617" s="10"/>
      <c r="M617" s="10"/>
      <c r="N617" s="10"/>
      <c r="O617" s="10"/>
      <c r="P617" s="10"/>
      <c r="Q617" s="10"/>
      <c r="R617" s="82"/>
      <c r="S617" s="10"/>
      <c r="T617" s="10"/>
      <c r="U617" s="83"/>
      <c r="V617" s="10"/>
    </row>
    <row r="618" ht="15.75" customHeight="1">
      <c r="B618" s="80"/>
      <c r="E618" s="10"/>
      <c r="F618" s="10"/>
      <c r="G618" s="10"/>
      <c r="H618" s="10"/>
      <c r="I618" s="81"/>
      <c r="J618" s="10"/>
      <c r="K618" s="10"/>
      <c r="L618" s="10"/>
      <c r="M618" s="10"/>
      <c r="N618" s="10"/>
      <c r="O618" s="10"/>
      <c r="P618" s="10"/>
      <c r="Q618" s="10"/>
      <c r="R618" s="82"/>
      <c r="S618" s="10"/>
      <c r="T618" s="10"/>
      <c r="U618" s="83"/>
      <c r="V618" s="10"/>
    </row>
    <row r="619" ht="15.75" customHeight="1">
      <c r="B619" s="80"/>
      <c r="E619" s="10"/>
      <c r="F619" s="10"/>
      <c r="G619" s="10"/>
      <c r="H619" s="10"/>
      <c r="I619" s="81"/>
      <c r="J619" s="10"/>
      <c r="K619" s="10"/>
      <c r="L619" s="10"/>
      <c r="M619" s="10"/>
      <c r="N619" s="10"/>
      <c r="O619" s="10"/>
      <c r="P619" s="10"/>
      <c r="Q619" s="10"/>
      <c r="R619" s="82"/>
      <c r="S619" s="10"/>
      <c r="T619" s="10"/>
      <c r="U619" s="83"/>
      <c r="V619" s="10"/>
    </row>
    <row r="620" ht="15.75" customHeight="1">
      <c r="B620" s="80"/>
      <c r="E620" s="10"/>
      <c r="F620" s="10"/>
      <c r="G620" s="10"/>
      <c r="H620" s="10"/>
      <c r="I620" s="81"/>
      <c r="J620" s="10"/>
      <c r="K620" s="10"/>
      <c r="L620" s="10"/>
      <c r="M620" s="10"/>
      <c r="N620" s="10"/>
      <c r="O620" s="10"/>
      <c r="P620" s="10"/>
      <c r="Q620" s="10"/>
      <c r="R620" s="82"/>
      <c r="S620" s="10"/>
      <c r="T620" s="10"/>
      <c r="U620" s="83"/>
      <c r="V620" s="10"/>
    </row>
    <row r="621" ht="15.75" customHeight="1">
      <c r="B621" s="80"/>
      <c r="E621" s="10"/>
      <c r="F621" s="10"/>
      <c r="G621" s="10"/>
      <c r="H621" s="10"/>
      <c r="I621" s="81"/>
      <c r="J621" s="10"/>
      <c r="K621" s="10"/>
      <c r="L621" s="10"/>
      <c r="M621" s="10"/>
      <c r="N621" s="10"/>
      <c r="O621" s="10"/>
      <c r="P621" s="10"/>
      <c r="Q621" s="10"/>
      <c r="R621" s="82"/>
      <c r="S621" s="10"/>
      <c r="T621" s="10"/>
      <c r="U621" s="83"/>
      <c r="V621" s="10"/>
    </row>
    <row r="622" ht="15.75" customHeight="1">
      <c r="B622" s="80"/>
      <c r="E622" s="10"/>
      <c r="F622" s="10"/>
      <c r="G622" s="10"/>
      <c r="H622" s="10"/>
      <c r="I622" s="81"/>
      <c r="J622" s="10"/>
      <c r="K622" s="10"/>
      <c r="L622" s="10"/>
      <c r="M622" s="10"/>
      <c r="N622" s="10"/>
      <c r="O622" s="10"/>
      <c r="P622" s="10"/>
      <c r="Q622" s="10"/>
      <c r="R622" s="82"/>
      <c r="S622" s="10"/>
      <c r="T622" s="10"/>
      <c r="U622" s="83"/>
      <c r="V622" s="10"/>
    </row>
    <row r="623" ht="15.75" customHeight="1">
      <c r="B623" s="80"/>
      <c r="E623" s="10"/>
      <c r="F623" s="10"/>
      <c r="G623" s="10"/>
      <c r="H623" s="10"/>
      <c r="I623" s="81"/>
      <c r="J623" s="10"/>
      <c r="K623" s="10"/>
      <c r="L623" s="10"/>
      <c r="M623" s="10"/>
      <c r="N623" s="10"/>
      <c r="O623" s="10"/>
      <c r="P623" s="10"/>
      <c r="Q623" s="10"/>
      <c r="R623" s="82"/>
      <c r="S623" s="10"/>
      <c r="T623" s="10"/>
      <c r="U623" s="83"/>
      <c r="V623" s="10"/>
    </row>
    <row r="624" ht="15.75" customHeight="1">
      <c r="B624" s="80"/>
      <c r="E624" s="10"/>
      <c r="F624" s="10"/>
      <c r="G624" s="10"/>
      <c r="H624" s="10"/>
      <c r="I624" s="81"/>
      <c r="J624" s="10"/>
      <c r="K624" s="10"/>
      <c r="L624" s="10"/>
      <c r="M624" s="10"/>
      <c r="N624" s="10"/>
      <c r="O624" s="10"/>
      <c r="P624" s="10"/>
      <c r="Q624" s="10"/>
      <c r="R624" s="82"/>
      <c r="S624" s="10"/>
      <c r="T624" s="10"/>
      <c r="U624" s="83"/>
      <c r="V624" s="10"/>
    </row>
    <row r="625" ht="15.75" customHeight="1">
      <c r="B625" s="80"/>
      <c r="E625" s="10"/>
      <c r="F625" s="10"/>
      <c r="G625" s="10"/>
      <c r="H625" s="10"/>
      <c r="I625" s="81"/>
      <c r="J625" s="10"/>
      <c r="K625" s="10"/>
      <c r="L625" s="10"/>
      <c r="M625" s="10"/>
      <c r="N625" s="10"/>
      <c r="O625" s="10"/>
      <c r="P625" s="10"/>
      <c r="Q625" s="10"/>
      <c r="R625" s="82"/>
      <c r="S625" s="10"/>
      <c r="T625" s="10"/>
      <c r="U625" s="83"/>
      <c r="V625" s="10"/>
    </row>
    <row r="626" ht="15.75" customHeight="1">
      <c r="B626" s="80"/>
      <c r="E626" s="10"/>
      <c r="F626" s="10"/>
      <c r="G626" s="10"/>
      <c r="H626" s="10"/>
      <c r="I626" s="81"/>
      <c r="J626" s="10"/>
      <c r="K626" s="10"/>
      <c r="L626" s="10"/>
      <c r="M626" s="10"/>
      <c r="N626" s="10"/>
      <c r="O626" s="10"/>
      <c r="P626" s="10"/>
      <c r="Q626" s="10"/>
      <c r="R626" s="82"/>
      <c r="S626" s="10"/>
      <c r="T626" s="10"/>
      <c r="U626" s="83"/>
      <c r="V626" s="10"/>
    </row>
    <row r="627" ht="15.75" customHeight="1">
      <c r="B627" s="80"/>
      <c r="E627" s="10"/>
      <c r="F627" s="10"/>
      <c r="G627" s="10"/>
      <c r="H627" s="10"/>
      <c r="I627" s="81"/>
      <c r="J627" s="10"/>
      <c r="K627" s="10"/>
      <c r="L627" s="10"/>
      <c r="M627" s="10"/>
      <c r="N627" s="10"/>
      <c r="O627" s="10"/>
      <c r="P627" s="10"/>
      <c r="Q627" s="10"/>
      <c r="R627" s="82"/>
      <c r="S627" s="10"/>
      <c r="T627" s="10"/>
      <c r="U627" s="83"/>
      <c r="V627" s="10"/>
    </row>
    <row r="628" ht="15.75" customHeight="1">
      <c r="B628" s="80"/>
      <c r="E628" s="10"/>
      <c r="F628" s="10"/>
      <c r="G628" s="10"/>
      <c r="H628" s="10"/>
      <c r="I628" s="81"/>
      <c r="J628" s="10"/>
      <c r="K628" s="10"/>
      <c r="L628" s="10"/>
      <c r="M628" s="10"/>
      <c r="N628" s="10"/>
      <c r="O628" s="10"/>
      <c r="P628" s="10"/>
      <c r="Q628" s="10"/>
      <c r="R628" s="82"/>
      <c r="S628" s="10"/>
      <c r="T628" s="10"/>
      <c r="U628" s="83"/>
      <c r="V628" s="10"/>
    </row>
    <row r="629" ht="15.75" customHeight="1">
      <c r="B629" s="80"/>
      <c r="E629" s="10"/>
      <c r="F629" s="10"/>
      <c r="G629" s="10"/>
      <c r="H629" s="10"/>
      <c r="I629" s="81"/>
      <c r="J629" s="10"/>
      <c r="K629" s="10"/>
      <c r="L629" s="10"/>
      <c r="M629" s="10"/>
      <c r="N629" s="10"/>
      <c r="O629" s="10"/>
      <c r="P629" s="10"/>
      <c r="Q629" s="10"/>
      <c r="R629" s="82"/>
      <c r="S629" s="10"/>
      <c r="T629" s="10"/>
      <c r="U629" s="83"/>
      <c r="V629" s="10"/>
    </row>
    <row r="630" ht="15.75" customHeight="1">
      <c r="B630" s="80"/>
      <c r="E630" s="10"/>
      <c r="F630" s="10"/>
      <c r="G630" s="10"/>
      <c r="H630" s="10"/>
      <c r="I630" s="81"/>
      <c r="J630" s="10"/>
      <c r="K630" s="10"/>
      <c r="L630" s="10"/>
      <c r="M630" s="10"/>
      <c r="N630" s="10"/>
      <c r="O630" s="10"/>
      <c r="P630" s="10"/>
      <c r="Q630" s="10"/>
      <c r="R630" s="82"/>
      <c r="S630" s="10"/>
      <c r="T630" s="10"/>
      <c r="U630" s="83"/>
      <c r="V630" s="10"/>
    </row>
    <row r="631" ht="15.75" customHeight="1">
      <c r="B631" s="80"/>
      <c r="E631" s="10"/>
      <c r="F631" s="10"/>
      <c r="G631" s="10"/>
      <c r="H631" s="10"/>
      <c r="I631" s="81"/>
      <c r="J631" s="10"/>
      <c r="K631" s="10"/>
      <c r="L631" s="10"/>
      <c r="M631" s="10"/>
      <c r="N631" s="10"/>
      <c r="O631" s="10"/>
      <c r="P631" s="10"/>
      <c r="Q631" s="10"/>
      <c r="R631" s="82"/>
      <c r="S631" s="10"/>
      <c r="T631" s="10"/>
      <c r="U631" s="83"/>
      <c r="V631" s="10"/>
    </row>
    <row r="632" ht="15.75" customHeight="1">
      <c r="B632" s="80"/>
      <c r="E632" s="10"/>
      <c r="F632" s="10"/>
      <c r="G632" s="10"/>
      <c r="H632" s="10"/>
      <c r="I632" s="81"/>
      <c r="J632" s="10"/>
      <c r="K632" s="10"/>
      <c r="L632" s="10"/>
      <c r="M632" s="10"/>
      <c r="N632" s="10"/>
      <c r="O632" s="10"/>
      <c r="P632" s="10"/>
      <c r="Q632" s="10"/>
      <c r="R632" s="82"/>
      <c r="S632" s="10"/>
      <c r="T632" s="10"/>
      <c r="U632" s="83"/>
      <c r="V632" s="10"/>
    </row>
    <row r="633" ht="15.75" customHeight="1">
      <c r="B633" s="80"/>
      <c r="E633" s="10"/>
      <c r="F633" s="10"/>
      <c r="G633" s="10"/>
      <c r="H633" s="10"/>
      <c r="I633" s="81"/>
      <c r="J633" s="10"/>
      <c r="K633" s="10"/>
      <c r="L633" s="10"/>
      <c r="M633" s="10"/>
      <c r="N633" s="10"/>
      <c r="O633" s="10"/>
      <c r="P633" s="10"/>
      <c r="Q633" s="10"/>
      <c r="R633" s="82"/>
      <c r="S633" s="10"/>
      <c r="T633" s="10"/>
      <c r="U633" s="83"/>
      <c r="V633" s="10"/>
    </row>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4:F433">
      <formula1>"L,KG,R$/Ha,PROTEINAS,Ton,SC,5MM,HM"</formula1>
    </dataValidation>
    <dataValidation type="list" allowBlank="1" sqref="B4:B433">
      <formula1>"TS,ADJUVANTE,RC,HERBICIDA,INSETICIDA,NUTRIÇÃO,FUNGICIDA,FERTILIZANTES,CORRETIVOS,SEMENTE,MÁQUINAS,BIOLÓGICOS"</formula1>
    </dataValidation>
    <dataValidation type="list" allowBlank="1" showDropDown="1" showErrorMessage="1" sqref="A4:A433">
      <formula1>"ADAMA,BASF,BAYER,CORTEVA,FMC,SUMITOMO,SYNGENTA,UPL,ALBAUGH,NORTOX,SIPCAM,TECNOMYL,AGROPLACE,ACRESENTE,SOLUBIO,GRAN7,Vittia,Total"</formula1>
    </dataValidation>
    <dataValidation type="custom" allowBlank="1" showDropDown="1" sqref="S4:S433 U4:V433">
      <formula1>AND(ISNUMBER(S4),(NOT(OR(NOT(ISERROR(DATEVALUE(S4))), AND(ISNUMBER(S4), LEFT(CELL("format", S4))="D")))))</formula1>
    </dataValidation>
    <dataValidation type="list" allowBlank="1" showDropDown="1" showErrorMessage="1" sqref="I4:I433">
      <formula1>"4x5,12x1,1x20,1x25,2x10,5x0,250,1X20,Pallet 960L,Pallet 540L,10x0,35,20X250,12x0,100,4x2,10x0,480,6x0,880,10x0,420,4x5 e 1x20,20x0,500,20x1,1x10,20X1,1x22,5,25x0,200,2X5,10x1,4X5,12X1,10x0,5,2x5,16x1,10X2,10X1,1x15,BAG"</formula1>
    </dataValidation>
  </dataValidations>
  <hyperlinks>
    <hyperlink r:id="rId1" location="gid=942186745" ref="X2"/>
  </hyperlinks>
  <printOptions/>
  <pageMargins bottom="0.787401575" footer="0.0" header="0.0" left="0.511811024" right="0.511811024" top="0.787401575"/>
  <pageSetup orientation="landscape"/>
  <drawing r:id="rId2"/>
  <tableParts count="1">
    <tablePart r:id="rId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2" width="18.0"/>
    <col customWidth="1" min="3" max="3" width="28.25"/>
    <col customWidth="1" min="4" max="4" width="26.13"/>
    <col customWidth="1" min="5" max="5" width="10.63"/>
    <col customWidth="1" min="6" max="6" width="27.88"/>
    <col customWidth="1" min="7" max="7" width="17.63"/>
    <col customWidth="1" min="8" max="8" width="22.38"/>
    <col customWidth="1" min="9" max="9" width="18.0"/>
    <col customWidth="1" min="10" max="10" width="27.63"/>
  </cols>
  <sheetData>
    <row r="1" ht="22.5" customHeight="1">
      <c r="A1" s="157" t="s">
        <v>1135</v>
      </c>
      <c r="B1" s="157" t="s">
        <v>1136</v>
      </c>
      <c r="C1" s="157" t="s">
        <v>1137</v>
      </c>
      <c r="D1" s="157" t="s">
        <v>1138</v>
      </c>
      <c r="E1" s="157" t="s">
        <v>199</v>
      </c>
      <c r="F1" s="158" t="s">
        <v>1139</v>
      </c>
      <c r="G1" s="158" t="s">
        <v>1140</v>
      </c>
      <c r="H1" s="158" t="s">
        <v>1141</v>
      </c>
      <c r="I1" s="158" t="s">
        <v>1142</v>
      </c>
      <c r="J1" s="158" t="s">
        <v>1143</v>
      </c>
      <c r="K1" s="159" t="s">
        <v>1144</v>
      </c>
    </row>
    <row r="2" ht="22.5" customHeight="1">
      <c r="A2" s="160" t="s">
        <v>1145</v>
      </c>
      <c r="B2" s="161" t="s">
        <v>15</v>
      </c>
      <c r="C2" s="161" t="s">
        <v>14</v>
      </c>
      <c r="D2" s="162">
        <v>70.0</v>
      </c>
      <c r="E2" s="163">
        <f>IFERROR(VLOOKUP(B2,LISTA!$M$1:$N$1000,2,0),"")</f>
        <v>273</v>
      </c>
      <c r="F2" s="162">
        <f t="shared" ref="F2:F20" si="1">E2*D2</f>
        <v>19110</v>
      </c>
      <c r="G2" s="164">
        <f t="shared" ref="G2:G21" si="2">F2*60</f>
        <v>1146600</v>
      </c>
      <c r="H2" s="161" t="s">
        <v>20</v>
      </c>
      <c r="I2" s="162">
        <v>60.0</v>
      </c>
      <c r="J2" s="162">
        <f t="shared" ref="J2:J30" si="3">E2*I2</f>
        <v>16380</v>
      </c>
      <c r="K2" s="159"/>
    </row>
    <row r="3" ht="22.5" customHeight="1">
      <c r="A3" s="165" t="s">
        <v>1146</v>
      </c>
      <c r="B3" s="161" t="s">
        <v>17</v>
      </c>
      <c r="C3" s="161" t="s">
        <v>14</v>
      </c>
      <c r="D3" s="162">
        <v>70.0</v>
      </c>
      <c r="E3" s="163">
        <f>IFERROR(VLOOKUP(B3,LISTA!$M$1:$N$1000,2,0),"")</f>
        <v>103</v>
      </c>
      <c r="F3" s="162">
        <f t="shared" si="1"/>
        <v>7210</v>
      </c>
      <c r="G3" s="164">
        <f t="shared" si="2"/>
        <v>432600</v>
      </c>
      <c r="H3" s="161" t="s">
        <v>20</v>
      </c>
      <c r="I3" s="162">
        <v>60.0</v>
      </c>
      <c r="J3" s="162">
        <f t="shared" si="3"/>
        <v>6180</v>
      </c>
      <c r="K3" s="159"/>
    </row>
    <row r="4" ht="22.5" customHeight="1">
      <c r="A4" s="165" t="s">
        <v>1147</v>
      </c>
      <c r="B4" s="161" t="s">
        <v>19</v>
      </c>
      <c r="C4" s="161" t="s">
        <v>14</v>
      </c>
      <c r="D4" s="162">
        <v>70.0</v>
      </c>
      <c r="E4" s="163">
        <f>IFERROR(VLOOKUP(B4,LISTA!$M$1:$N$1000,2,0),"")</f>
        <v>110</v>
      </c>
      <c r="F4" s="162">
        <f t="shared" si="1"/>
        <v>7700</v>
      </c>
      <c r="G4" s="164">
        <f t="shared" si="2"/>
        <v>462000</v>
      </c>
      <c r="H4" s="161"/>
      <c r="I4" s="162"/>
      <c r="J4" s="162">
        <f t="shared" si="3"/>
        <v>0</v>
      </c>
      <c r="K4" s="159"/>
    </row>
    <row r="5" ht="22.5" customHeight="1">
      <c r="A5" s="165" t="s">
        <v>1148</v>
      </c>
      <c r="B5" s="161" t="s">
        <v>21</v>
      </c>
      <c r="C5" s="161" t="s">
        <v>14</v>
      </c>
      <c r="D5" s="162">
        <v>70.0</v>
      </c>
      <c r="E5" s="163">
        <f>IFERROR(VLOOKUP(B5,LISTA!$M$1:$N$1000,2,0),"")</f>
        <v>47</v>
      </c>
      <c r="F5" s="162">
        <f t="shared" si="1"/>
        <v>3290</v>
      </c>
      <c r="G5" s="164">
        <f t="shared" si="2"/>
        <v>197400</v>
      </c>
      <c r="H5" s="161"/>
      <c r="I5" s="162"/>
      <c r="J5" s="162">
        <f t="shared" si="3"/>
        <v>0</v>
      </c>
      <c r="K5" s="159"/>
    </row>
    <row r="6" ht="22.5" customHeight="1">
      <c r="A6" s="165" t="s">
        <v>1149</v>
      </c>
      <c r="B6" s="161" t="s">
        <v>23</v>
      </c>
      <c r="C6" s="161" t="s">
        <v>14</v>
      </c>
      <c r="D6" s="162">
        <v>70.0</v>
      </c>
      <c r="E6" s="163">
        <f>IFERROR(VLOOKUP(B6,LISTA!$M$1:$N$1000,2,0),"")</f>
        <v>60</v>
      </c>
      <c r="F6" s="162">
        <f t="shared" si="1"/>
        <v>4200</v>
      </c>
      <c r="G6" s="164">
        <f t="shared" si="2"/>
        <v>252000</v>
      </c>
      <c r="H6" s="161"/>
      <c r="I6" s="162"/>
      <c r="J6" s="162">
        <f t="shared" si="3"/>
        <v>0</v>
      </c>
      <c r="K6" s="159"/>
    </row>
    <row r="7" ht="22.5" customHeight="1">
      <c r="A7" s="165" t="s">
        <v>1150</v>
      </c>
      <c r="B7" s="161" t="s">
        <v>25</v>
      </c>
      <c r="C7" s="161" t="s">
        <v>14</v>
      </c>
      <c r="D7" s="162">
        <v>70.0</v>
      </c>
      <c r="E7" s="163">
        <f>IFERROR(VLOOKUP(B7,LISTA!$M$1:$N$1000,2,0),"")</f>
        <v>312</v>
      </c>
      <c r="F7" s="162">
        <f t="shared" si="1"/>
        <v>21840</v>
      </c>
      <c r="G7" s="164">
        <f t="shared" si="2"/>
        <v>1310400</v>
      </c>
      <c r="H7" s="161"/>
      <c r="I7" s="162"/>
      <c r="J7" s="162">
        <f t="shared" si="3"/>
        <v>0</v>
      </c>
      <c r="K7" s="159"/>
    </row>
    <row r="8" ht="22.5" customHeight="1">
      <c r="A8" s="165" t="s">
        <v>1151</v>
      </c>
      <c r="B8" s="161" t="s">
        <v>27</v>
      </c>
      <c r="C8" s="161" t="s">
        <v>14</v>
      </c>
      <c r="D8" s="162">
        <v>70.0</v>
      </c>
      <c r="E8" s="163">
        <f>IFERROR(VLOOKUP(B8,LISTA!$M$1:$N$1000,2,0),"")</f>
        <v>313</v>
      </c>
      <c r="F8" s="162">
        <f t="shared" si="1"/>
        <v>21910</v>
      </c>
      <c r="G8" s="164">
        <f t="shared" si="2"/>
        <v>1314600</v>
      </c>
      <c r="H8" s="161"/>
      <c r="I8" s="162"/>
      <c r="J8" s="162">
        <f t="shared" si="3"/>
        <v>0</v>
      </c>
      <c r="K8" s="159"/>
    </row>
    <row r="9" ht="22.5" customHeight="1">
      <c r="A9" s="165" t="s">
        <v>1152</v>
      </c>
      <c r="B9" s="161" t="s">
        <v>34</v>
      </c>
      <c r="C9" s="161" t="s">
        <v>18</v>
      </c>
      <c r="D9" s="162">
        <v>180.0</v>
      </c>
      <c r="E9" s="163">
        <f>IFERROR(VLOOKUP(B9,LISTA!$M$1:$N$1000,2,0),"")</f>
        <v>220</v>
      </c>
      <c r="F9" s="162">
        <f t="shared" si="1"/>
        <v>39600</v>
      </c>
      <c r="G9" s="164">
        <f t="shared" si="2"/>
        <v>2376000</v>
      </c>
      <c r="H9" s="161"/>
      <c r="I9" s="162"/>
      <c r="J9" s="162">
        <f t="shared" si="3"/>
        <v>0</v>
      </c>
      <c r="K9" s="159"/>
    </row>
    <row r="10" ht="22.5" customHeight="1">
      <c r="A10" s="165" t="s">
        <v>1153</v>
      </c>
      <c r="B10" s="161"/>
      <c r="C10" s="161"/>
      <c r="D10" s="162"/>
      <c r="E10" s="163" t="str">
        <f>IFERROR(VLOOKUP(B10,LISTA!$M$1:$N$1000,2,0),"")</f>
        <v/>
      </c>
      <c r="F10" s="162">
        <f t="shared" si="1"/>
        <v>0</v>
      </c>
      <c r="G10" s="164">
        <f t="shared" si="2"/>
        <v>0</v>
      </c>
      <c r="H10" s="161"/>
      <c r="I10" s="162"/>
      <c r="J10" s="162">
        <f t="shared" si="3"/>
        <v>0</v>
      </c>
      <c r="K10" s="159"/>
    </row>
    <row r="11" ht="22.5" customHeight="1">
      <c r="A11" s="165" t="s">
        <v>1154</v>
      </c>
      <c r="B11" s="161" t="s">
        <v>31</v>
      </c>
      <c r="C11" s="161" t="s">
        <v>16</v>
      </c>
      <c r="D11" s="162">
        <v>70.0</v>
      </c>
      <c r="E11" s="163">
        <f>IFERROR(VLOOKUP(B11,LISTA!$M$1:$N$1000,2,0),"")</f>
        <v>200</v>
      </c>
      <c r="F11" s="162">
        <f t="shared" si="1"/>
        <v>14000</v>
      </c>
      <c r="G11" s="164">
        <f t="shared" si="2"/>
        <v>840000</v>
      </c>
      <c r="H11" s="161" t="s">
        <v>22</v>
      </c>
      <c r="I11" s="162">
        <v>200.0</v>
      </c>
      <c r="J11" s="162">
        <f t="shared" si="3"/>
        <v>40000</v>
      </c>
      <c r="K11" s="159"/>
    </row>
    <row r="12" ht="22.5" customHeight="1">
      <c r="A12" s="165" t="s">
        <v>1155</v>
      </c>
      <c r="B12" s="161" t="s">
        <v>33</v>
      </c>
      <c r="C12" s="161" t="s">
        <v>16</v>
      </c>
      <c r="D12" s="162">
        <v>70.0</v>
      </c>
      <c r="E12" s="163">
        <f>IFERROR(VLOOKUP(B12,LISTA!$M$1:$N$1000,2,0),"")</f>
        <v>120</v>
      </c>
      <c r="F12" s="162">
        <f t="shared" si="1"/>
        <v>8400</v>
      </c>
      <c r="G12" s="164">
        <f t="shared" si="2"/>
        <v>504000</v>
      </c>
      <c r="H12" s="161"/>
      <c r="I12" s="162"/>
      <c r="J12" s="162">
        <f t="shared" si="3"/>
        <v>0</v>
      </c>
      <c r="K12" s="159"/>
    </row>
    <row r="13" ht="22.5" customHeight="1">
      <c r="A13" s="165" t="s">
        <v>1156</v>
      </c>
      <c r="B13" s="161" t="s">
        <v>35</v>
      </c>
      <c r="C13" s="161" t="s">
        <v>24</v>
      </c>
      <c r="D13" s="162">
        <v>65.0</v>
      </c>
      <c r="E13" s="163">
        <f>IFERROR(VLOOKUP(B13,LISTA!$M$1:$N$1000,2,0),"")</f>
        <v>60</v>
      </c>
      <c r="F13" s="162">
        <f t="shared" si="1"/>
        <v>3900</v>
      </c>
      <c r="G13" s="164">
        <f t="shared" si="2"/>
        <v>234000</v>
      </c>
      <c r="H13" s="161"/>
      <c r="I13" s="162"/>
      <c r="J13" s="162">
        <f t="shared" si="3"/>
        <v>0</v>
      </c>
      <c r="K13" s="159"/>
    </row>
    <row r="14" ht="22.5" customHeight="1">
      <c r="A14" s="165" t="s">
        <v>1157</v>
      </c>
      <c r="B14" s="161" t="s">
        <v>36</v>
      </c>
      <c r="C14" s="161" t="s">
        <v>24</v>
      </c>
      <c r="D14" s="162">
        <v>65.0</v>
      </c>
      <c r="E14" s="163">
        <f>IFERROR(VLOOKUP(B14,LISTA!$M$1:$N$1000,2,0),"")</f>
        <v>80</v>
      </c>
      <c r="F14" s="162">
        <f t="shared" si="1"/>
        <v>5200</v>
      </c>
      <c r="G14" s="164">
        <f t="shared" si="2"/>
        <v>312000</v>
      </c>
      <c r="H14" s="161"/>
      <c r="I14" s="162"/>
      <c r="J14" s="162">
        <f t="shared" si="3"/>
        <v>0</v>
      </c>
      <c r="K14" s="159"/>
    </row>
    <row r="15" ht="22.5" customHeight="1">
      <c r="A15" s="165" t="s">
        <v>1158</v>
      </c>
      <c r="B15" s="161" t="s">
        <v>37</v>
      </c>
      <c r="C15" s="161" t="s">
        <v>24</v>
      </c>
      <c r="D15" s="162">
        <v>65.0</v>
      </c>
      <c r="E15" s="163">
        <f>IFERROR(VLOOKUP(B15,LISTA!$M$1:$N$1000,2,0),"")</f>
        <v>120</v>
      </c>
      <c r="F15" s="162">
        <f t="shared" si="1"/>
        <v>7800</v>
      </c>
      <c r="G15" s="164">
        <f t="shared" si="2"/>
        <v>468000</v>
      </c>
      <c r="H15" s="161"/>
      <c r="I15" s="162"/>
      <c r="J15" s="162">
        <f t="shared" si="3"/>
        <v>0</v>
      </c>
      <c r="K15" s="159"/>
    </row>
    <row r="16" ht="22.5" customHeight="1">
      <c r="A16" s="165" t="s">
        <v>1159</v>
      </c>
      <c r="B16" s="161" t="s">
        <v>38</v>
      </c>
      <c r="C16" s="161" t="s">
        <v>26</v>
      </c>
      <c r="D16" s="162">
        <v>65.0</v>
      </c>
      <c r="E16" s="163">
        <f>IFERROR(VLOOKUP(B16,LISTA!$M$1:$N$1000,2,0),"")</f>
        <v>130</v>
      </c>
      <c r="F16" s="162">
        <f t="shared" si="1"/>
        <v>8450</v>
      </c>
      <c r="G16" s="164">
        <f t="shared" si="2"/>
        <v>507000</v>
      </c>
      <c r="H16" s="161"/>
      <c r="I16" s="162"/>
      <c r="J16" s="162">
        <f t="shared" si="3"/>
        <v>0</v>
      </c>
      <c r="K16" s="159"/>
    </row>
    <row r="17" ht="22.5" customHeight="1">
      <c r="A17" s="165" t="s">
        <v>1160</v>
      </c>
      <c r="B17" s="161" t="s">
        <v>39</v>
      </c>
      <c r="C17" s="161" t="s">
        <v>26</v>
      </c>
      <c r="D17" s="162">
        <v>65.0</v>
      </c>
      <c r="E17" s="163">
        <v>140.0</v>
      </c>
      <c r="F17" s="162">
        <f t="shared" si="1"/>
        <v>9100</v>
      </c>
      <c r="G17" s="164">
        <f t="shared" si="2"/>
        <v>546000</v>
      </c>
      <c r="H17" s="161"/>
      <c r="I17" s="162"/>
      <c r="J17" s="162">
        <f t="shared" si="3"/>
        <v>0</v>
      </c>
      <c r="K17" s="159"/>
    </row>
    <row r="18" ht="22.5" customHeight="1">
      <c r="A18" s="165" t="s">
        <v>1161</v>
      </c>
      <c r="B18" s="161" t="s">
        <v>40</v>
      </c>
      <c r="C18" s="161" t="s">
        <v>24</v>
      </c>
      <c r="D18" s="162">
        <v>50.0</v>
      </c>
      <c r="E18" s="163">
        <f>IFERROR(VLOOKUP(B18,LISTA!$M$1:$N$1000,2,0),"")</f>
        <v>40</v>
      </c>
      <c r="F18" s="162">
        <f t="shared" si="1"/>
        <v>2000</v>
      </c>
      <c r="G18" s="164">
        <f t="shared" si="2"/>
        <v>120000</v>
      </c>
      <c r="H18" s="161"/>
      <c r="I18" s="162"/>
      <c r="J18" s="162">
        <f t="shared" si="3"/>
        <v>0</v>
      </c>
      <c r="K18" s="159"/>
    </row>
    <row r="19" ht="22.5" customHeight="1">
      <c r="A19" s="165" t="s">
        <v>1162</v>
      </c>
      <c r="B19" s="161" t="s">
        <v>41</v>
      </c>
      <c r="C19" s="161" t="s">
        <v>26</v>
      </c>
      <c r="D19" s="162">
        <v>50.0</v>
      </c>
      <c r="E19" s="163">
        <f>IFERROR(VLOOKUP(B19,LISTA!$M$1:$N$1000,2,0),"")</f>
        <v>220</v>
      </c>
      <c r="F19" s="162">
        <f t="shared" si="1"/>
        <v>11000</v>
      </c>
      <c r="G19" s="164">
        <f t="shared" si="2"/>
        <v>660000</v>
      </c>
      <c r="H19" s="161"/>
      <c r="I19" s="161"/>
      <c r="J19" s="162">
        <f t="shared" si="3"/>
        <v>0</v>
      </c>
      <c r="K19" s="159"/>
    </row>
    <row r="20" ht="22.5" customHeight="1">
      <c r="A20" s="165" t="s">
        <v>1163</v>
      </c>
      <c r="B20" s="161" t="s">
        <v>42</v>
      </c>
      <c r="C20" s="161" t="s">
        <v>28</v>
      </c>
      <c r="D20" s="162">
        <v>50.0</v>
      </c>
      <c r="E20" s="163">
        <f>IFERROR(VLOOKUP(B20,LISTA!$M$1:$N$1000,2,0),"")</f>
        <v>220</v>
      </c>
      <c r="F20" s="162">
        <f t="shared" si="1"/>
        <v>11000</v>
      </c>
      <c r="G20" s="164">
        <f t="shared" si="2"/>
        <v>660000</v>
      </c>
      <c r="H20" s="161"/>
      <c r="I20" s="161"/>
      <c r="J20" s="162">
        <f t="shared" si="3"/>
        <v>0</v>
      </c>
      <c r="K20" s="159"/>
    </row>
    <row r="21" ht="22.5" customHeight="1">
      <c r="A21" s="166" t="s">
        <v>1164</v>
      </c>
      <c r="B21" s="161"/>
      <c r="C21" s="161"/>
      <c r="D21" s="162"/>
      <c r="E21" s="163"/>
      <c r="F21" s="162"/>
      <c r="G21" s="164">
        <f t="shared" si="2"/>
        <v>0</v>
      </c>
      <c r="H21" s="161"/>
      <c r="I21" s="161"/>
      <c r="J21" s="162">
        <f t="shared" si="3"/>
        <v>0</v>
      </c>
      <c r="K21" s="159"/>
    </row>
    <row r="22" ht="22.5" customHeight="1">
      <c r="A22" s="167"/>
      <c r="B22" s="161"/>
      <c r="C22" s="161"/>
      <c r="D22" s="162"/>
      <c r="E22" s="163"/>
      <c r="F22" s="162"/>
      <c r="G22" s="164"/>
      <c r="H22" s="161"/>
      <c r="I22" s="161"/>
      <c r="J22" s="162">
        <f t="shared" si="3"/>
        <v>0</v>
      </c>
      <c r="K22" s="159"/>
    </row>
    <row r="23" ht="22.5" customHeight="1">
      <c r="A23" s="167"/>
      <c r="B23" s="161"/>
      <c r="C23" s="161"/>
      <c r="D23" s="162"/>
      <c r="E23" s="163"/>
      <c r="F23" s="162"/>
      <c r="G23" s="164"/>
      <c r="H23" s="161"/>
      <c r="I23" s="161"/>
      <c r="J23" s="162">
        <f t="shared" si="3"/>
        <v>0</v>
      </c>
      <c r="K23" s="159"/>
    </row>
    <row r="24" ht="22.5" customHeight="1">
      <c r="A24" s="167"/>
      <c r="B24" s="161"/>
      <c r="C24" s="161"/>
      <c r="D24" s="162"/>
      <c r="E24" s="163"/>
      <c r="F24" s="162"/>
      <c r="G24" s="164"/>
      <c r="H24" s="161"/>
      <c r="I24" s="161"/>
      <c r="J24" s="162">
        <f t="shared" si="3"/>
        <v>0</v>
      </c>
      <c r="K24" s="159"/>
    </row>
    <row r="25" ht="22.5" customHeight="1">
      <c r="A25" s="167"/>
      <c r="B25" s="161"/>
      <c r="C25" s="161"/>
      <c r="D25" s="162"/>
      <c r="E25" s="163"/>
      <c r="F25" s="162"/>
      <c r="G25" s="164"/>
      <c r="H25" s="161"/>
      <c r="I25" s="161"/>
      <c r="J25" s="162">
        <f t="shared" si="3"/>
        <v>0</v>
      </c>
      <c r="K25" s="159"/>
    </row>
    <row r="26" ht="22.5" customHeight="1">
      <c r="A26" s="167"/>
      <c r="B26" s="161"/>
      <c r="C26" s="161"/>
      <c r="D26" s="162"/>
      <c r="E26" s="163"/>
      <c r="F26" s="162"/>
      <c r="G26" s="164"/>
      <c r="H26" s="161"/>
      <c r="I26" s="161"/>
      <c r="J26" s="162">
        <f t="shared" si="3"/>
        <v>0</v>
      </c>
      <c r="K26" s="159"/>
    </row>
    <row r="27" ht="22.5" customHeight="1">
      <c r="A27" s="167"/>
      <c r="B27" s="161"/>
      <c r="C27" s="161"/>
      <c r="D27" s="162"/>
      <c r="E27" s="161"/>
      <c r="F27" s="161"/>
      <c r="G27" s="161"/>
      <c r="H27" s="161"/>
      <c r="I27" s="161"/>
      <c r="J27" s="162">
        <f t="shared" si="3"/>
        <v>0</v>
      </c>
      <c r="K27" s="159"/>
    </row>
    <row r="28" ht="22.5" customHeight="1">
      <c r="A28" s="167"/>
      <c r="B28" s="161"/>
      <c r="C28" s="161"/>
      <c r="D28" s="162"/>
      <c r="E28" s="161"/>
      <c r="F28" s="161"/>
      <c r="G28" s="161"/>
      <c r="H28" s="161"/>
      <c r="I28" s="161"/>
      <c r="J28" s="162">
        <f t="shared" si="3"/>
        <v>0</v>
      </c>
      <c r="K28" s="159"/>
    </row>
    <row r="29" ht="22.5" customHeight="1">
      <c r="A29" s="167"/>
      <c r="B29" s="161"/>
      <c r="C29" s="161"/>
      <c r="D29" s="162"/>
      <c r="E29" s="161"/>
      <c r="F29" s="161"/>
      <c r="G29" s="161"/>
      <c r="H29" s="161"/>
      <c r="I29" s="161"/>
      <c r="J29" s="162">
        <f t="shared" si="3"/>
        <v>0</v>
      </c>
      <c r="K29" s="159"/>
    </row>
    <row r="30" ht="22.5" customHeight="1">
      <c r="A30" s="167"/>
      <c r="B30" s="161"/>
      <c r="C30" s="161"/>
      <c r="D30" s="162"/>
      <c r="E30" s="161"/>
      <c r="F30" s="161"/>
      <c r="G30" s="161"/>
      <c r="H30" s="161"/>
      <c r="I30" s="161"/>
      <c r="J30" s="162">
        <f t="shared" si="3"/>
        <v>0</v>
      </c>
      <c r="K30" s="159"/>
    </row>
    <row r="31" ht="15.75" customHeight="1">
      <c r="A31" s="168"/>
      <c r="B31" s="159"/>
      <c r="C31" s="159"/>
      <c r="D31" s="159"/>
      <c r="E31" s="159"/>
      <c r="F31" s="159"/>
      <c r="G31" s="159"/>
      <c r="H31" s="159"/>
      <c r="I31" s="159"/>
      <c r="J31" s="159"/>
      <c r="K31" s="159"/>
    </row>
    <row r="32" ht="15.75" customHeight="1">
      <c r="A32" s="168"/>
      <c r="B32" s="159"/>
      <c r="C32" s="159"/>
      <c r="D32" s="159"/>
      <c r="E32" s="159"/>
      <c r="F32" s="159"/>
      <c r="G32" s="159"/>
      <c r="H32" s="159"/>
      <c r="I32" s="159"/>
      <c r="J32" s="159"/>
      <c r="K32" s="159"/>
    </row>
    <row r="33" ht="15.75" customHeight="1">
      <c r="A33" s="168"/>
      <c r="B33" s="159"/>
      <c r="C33" s="159"/>
      <c r="D33" s="159"/>
      <c r="E33" s="159"/>
      <c r="F33" s="159"/>
      <c r="G33" s="159"/>
      <c r="H33" s="159"/>
      <c r="I33" s="159"/>
      <c r="J33" s="159"/>
      <c r="K33" s="159"/>
    </row>
    <row r="34" ht="15.75" customHeight="1">
      <c r="A34" s="168"/>
      <c r="B34" s="159"/>
      <c r="C34" s="159"/>
      <c r="D34" s="159"/>
      <c r="E34" s="159"/>
      <c r="F34" s="159"/>
      <c r="G34" s="159"/>
      <c r="H34" s="159"/>
      <c r="I34" s="159"/>
      <c r="J34" s="159"/>
      <c r="K34" s="159"/>
    </row>
    <row r="35" ht="15.75" customHeight="1">
      <c r="A35" s="168"/>
      <c r="B35" s="159"/>
      <c r="C35" s="159"/>
      <c r="D35" s="159"/>
      <c r="E35" s="159"/>
      <c r="F35" s="159"/>
      <c r="G35" s="159"/>
      <c r="H35" s="159"/>
      <c r="I35" s="159"/>
      <c r="J35" s="159"/>
      <c r="K35" s="159"/>
    </row>
    <row r="36" ht="15.75" customHeight="1">
      <c r="A36" s="168"/>
      <c r="B36" s="159"/>
      <c r="C36" s="159"/>
      <c r="D36" s="159"/>
      <c r="E36" s="159"/>
      <c r="F36" s="159"/>
      <c r="G36" s="159"/>
      <c r="H36" s="159"/>
      <c r="I36" s="159"/>
      <c r="J36" s="159"/>
      <c r="K36" s="159"/>
    </row>
    <row r="37" ht="15.75" customHeight="1">
      <c r="A37" s="168"/>
      <c r="B37" s="159"/>
      <c r="C37" s="159"/>
      <c r="D37" s="159"/>
      <c r="E37" s="159"/>
      <c r="F37" s="159"/>
      <c r="G37" s="159"/>
      <c r="H37" s="159"/>
      <c r="I37" s="159"/>
      <c r="J37" s="159"/>
      <c r="K37" s="159"/>
    </row>
    <row r="38" ht="15.75" customHeight="1">
      <c r="A38" s="168"/>
      <c r="B38" s="159"/>
      <c r="C38" s="159"/>
      <c r="D38" s="159"/>
      <c r="E38" s="159"/>
      <c r="F38" s="159"/>
      <c r="G38" s="159"/>
      <c r="H38" s="159"/>
      <c r="I38" s="159"/>
      <c r="J38" s="159"/>
      <c r="K38" s="159"/>
    </row>
    <row r="39" ht="15.75" customHeight="1">
      <c r="A39" s="168"/>
      <c r="B39" s="159"/>
      <c r="C39" s="159"/>
      <c r="D39" s="159"/>
      <c r="E39" s="159"/>
      <c r="F39" s="159"/>
      <c r="G39" s="159"/>
      <c r="H39" s="159"/>
      <c r="I39" s="159"/>
      <c r="J39" s="159"/>
      <c r="K39" s="159"/>
    </row>
    <row r="40" ht="15.75" customHeight="1">
      <c r="A40" s="168"/>
      <c r="B40" s="159"/>
      <c r="C40" s="159"/>
      <c r="D40" s="159"/>
      <c r="E40" s="159"/>
      <c r="F40" s="159"/>
      <c r="G40" s="159"/>
      <c r="H40" s="159"/>
      <c r="I40" s="159"/>
      <c r="J40" s="159"/>
      <c r="K40" s="159"/>
    </row>
    <row r="41" ht="15.75" customHeight="1">
      <c r="A41" s="168"/>
      <c r="B41" s="159"/>
      <c r="C41" s="159"/>
      <c r="D41" s="159"/>
      <c r="E41" s="159"/>
      <c r="F41" s="159"/>
      <c r="G41" s="159"/>
      <c r="H41" s="159"/>
      <c r="I41" s="159"/>
      <c r="J41" s="159"/>
      <c r="K41" s="159"/>
    </row>
    <row r="42" ht="15.75" customHeight="1">
      <c r="A42" s="168"/>
      <c r="B42" s="159"/>
      <c r="C42" s="159"/>
      <c r="D42" s="159"/>
      <c r="E42" s="159"/>
      <c r="F42" s="159"/>
      <c r="G42" s="159"/>
      <c r="H42" s="159"/>
      <c r="I42" s="159"/>
      <c r="J42" s="159"/>
      <c r="K42" s="159"/>
    </row>
    <row r="43" ht="15.75" customHeight="1">
      <c r="A43" s="168"/>
      <c r="B43" s="159"/>
      <c r="C43" s="159"/>
      <c r="D43" s="159"/>
      <c r="E43" s="159"/>
      <c r="F43" s="159"/>
      <c r="G43" s="159"/>
      <c r="H43" s="159"/>
      <c r="I43" s="159"/>
      <c r="J43" s="159"/>
      <c r="K43" s="159"/>
    </row>
    <row r="44" ht="15.75" customHeight="1">
      <c r="A44" s="168"/>
      <c r="B44" s="159"/>
      <c r="C44" s="159"/>
      <c r="D44" s="159"/>
      <c r="E44" s="159"/>
      <c r="F44" s="159"/>
      <c r="G44" s="159"/>
      <c r="H44" s="159"/>
      <c r="I44" s="159"/>
      <c r="J44" s="159"/>
      <c r="K44" s="159"/>
    </row>
    <row r="45" ht="15.75" customHeight="1">
      <c r="A45" s="168"/>
      <c r="B45" s="159"/>
      <c r="C45" s="159"/>
      <c r="D45" s="159"/>
      <c r="E45" s="159"/>
      <c r="F45" s="159"/>
      <c r="G45" s="159"/>
      <c r="H45" s="159"/>
      <c r="I45" s="159"/>
      <c r="J45" s="159"/>
      <c r="K45" s="159"/>
    </row>
    <row r="46" ht="15.75" customHeight="1">
      <c r="A46" s="168"/>
      <c r="B46" s="159"/>
      <c r="C46" s="159"/>
      <c r="D46" s="159"/>
      <c r="E46" s="159"/>
      <c r="F46" s="159"/>
      <c r="G46" s="159"/>
      <c r="H46" s="159"/>
      <c r="I46" s="159"/>
      <c r="J46" s="159"/>
      <c r="K46" s="159"/>
    </row>
    <row r="47" ht="15.75" customHeight="1">
      <c r="A47" s="168"/>
      <c r="B47" s="159"/>
      <c r="C47" s="159"/>
      <c r="D47" s="159"/>
      <c r="E47" s="159"/>
      <c r="F47" s="159"/>
      <c r="G47" s="159"/>
      <c r="H47" s="159"/>
      <c r="I47" s="159"/>
      <c r="J47" s="159"/>
      <c r="K47" s="159"/>
    </row>
    <row r="48" ht="15.75" customHeight="1">
      <c r="A48" s="168"/>
      <c r="B48" s="159"/>
      <c r="C48" s="159"/>
      <c r="D48" s="159"/>
      <c r="E48" s="159"/>
      <c r="F48" s="159"/>
      <c r="G48" s="159"/>
      <c r="H48" s="159"/>
      <c r="I48" s="159"/>
      <c r="J48" s="159"/>
      <c r="K48" s="159"/>
    </row>
    <row r="49" ht="15.75" customHeight="1">
      <c r="A49" s="168"/>
      <c r="B49" s="159"/>
      <c r="C49" s="159"/>
      <c r="D49" s="159"/>
      <c r="E49" s="159"/>
      <c r="F49" s="159"/>
      <c r="G49" s="159"/>
      <c r="H49" s="159"/>
      <c r="I49" s="159"/>
      <c r="J49" s="159"/>
      <c r="K49" s="159"/>
    </row>
    <row r="50" ht="15.75" customHeight="1">
      <c r="A50" s="168"/>
      <c r="B50" s="159"/>
      <c r="C50" s="159"/>
      <c r="D50" s="159"/>
      <c r="E50" s="159"/>
      <c r="F50" s="159"/>
      <c r="G50" s="159"/>
      <c r="H50" s="159"/>
      <c r="I50" s="159"/>
      <c r="J50" s="159"/>
      <c r="K50" s="159"/>
    </row>
    <row r="51" ht="15.75" customHeight="1">
      <c r="A51" s="168"/>
      <c r="B51" s="159"/>
      <c r="C51" s="159"/>
      <c r="D51" s="159"/>
      <c r="E51" s="159"/>
      <c r="F51" s="159"/>
      <c r="G51" s="159"/>
      <c r="H51" s="159"/>
      <c r="I51" s="159"/>
      <c r="J51" s="159"/>
      <c r="K51" s="159"/>
    </row>
    <row r="52" ht="15.75" customHeight="1">
      <c r="A52" s="168"/>
      <c r="B52" s="159"/>
      <c r="C52" s="159"/>
      <c r="D52" s="159"/>
      <c r="E52" s="159"/>
      <c r="F52" s="159"/>
      <c r="G52" s="159"/>
      <c r="H52" s="159"/>
      <c r="I52" s="159"/>
      <c r="J52" s="159"/>
      <c r="K52" s="159"/>
    </row>
    <row r="53" ht="15.75" customHeight="1">
      <c r="A53" s="168"/>
      <c r="B53" s="159"/>
      <c r="C53" s="159"/>
      <c r="D53" s="159"/>
      <c r="E53" s="159"/>
      <c r="F53" s="159"/>
      <c r="G53" s="159"/>
      <c r="H53" s="159"/>
      <c r="I53" s="159"/>
      <c r="J53" s="159"/>
      <c r="K53" s="159"/>
    </row>
    <row r="54" ht="15.75" customHeight="1">
      <c r="A54" s="168"/>
      <c r="B54" s="159"/>
      <c r="C54" s="159"/>
      <c r="D54" s="159"/>
      <c r="E54" s="159"/>
      <c r="F54" s="159"/>
      <c r="G54" s="159"/>
      <c r="H54" s="159"/>
      <c r="I54" s="159"/>
      <c r="J54" s="159"/>
      <c r="K54" s="159"/>
    </row>
    <row r="55" ht="15.75" customHeight="1">
      <c r="A55" s="168"/>
      <c r="B55" s="159"/>
      <c r="C55" s="159"/>
      <c r="D55" s="159"/>
      <c r="E55" s="159"/>
      <c r="F55" s="159"/>
      <c r="G55" s="159"/>
      <c r="H55" s="159"/>
      <c r="I55" s="159"/>
      <c r="J55" s="159"/>
      <c r="K55" s="159"/>
    </row>
    <row r="56" ht="15.75" customHeight="1">
      <c r="A56" s="168"/>
      <c r="B56" s="159"/>
      <c r="C56" s="159"/>
      <c r="D56" s="159"/>
      <c r="E56" s="159"/>
      <c r="F56" s="159"/>
      <c r="G56" s="159"/>
      <c r="H56" s="159"/>
      <c r="I56" s="159"/>
      <c r="J56" s="159"/>
      <c r="K56" s="159"/>
    </row>
    <row r="57" ht="15.75" customHeight="1">
      <c r="A57" s="168"/>
      <c r="B57" s="159"/>
      <c r="C57" s="159"/>
      <c r="D57" s="159"/>
      <c r="E57" s="159"/>
      <c r="F57" s="159"/>
      <c r="G57" s="159"/>
      <c r="H57" s="159"/>
      <c r="I57" s="159"/>
      <c r="J57" s="159"/>
      <c r="K57" s="159"/>
    </row>
    <row r="58" ht="15.75" customHeight="1">
      <c r="A58" s="168"/>
      <c r="B58" s="159"/>
      <c r="C58" s="159"/>
      <c r="D58" s="159"/>
      <c r="E58" s="159"/>
      <c r="F58" s="159"/>
      <c r="G58" s="159"/>
      <c r="H58" s="159"/>
      <c r="I58" s="159"/>
      <c r="J58" s="159"/>
      <c r="K58" s="159"/>
    </row>
    <row r="59" ht="15.75" customHeight="1">
      <c r="A59" s="168"/>
      <c r="B59" s="159"/>
      <c r="C59" s="159"/>
      <c r="D59" s="159"/>
      <c r="E59" s="159"/>
      <c r="F59" s="159"/>
      <c r="G59" s="159"/>
      <c r="H59" s="159"/>
      <c r="I59" s="159"/>
      <c r="J59" s="159"/>
      <c r="K59" s="159"/>
    </row>
    <row r="60" ht="15.75" customHeight="1">
      <c r="A60" s="168"/>
      <c r="B60" s="159"/>
      <c r="C60" s="159"/>
      <c r="D60" s="159"/>
      <c r="E60" s="159"/>
      <c r="F60" s="159"/>
      <c r="G60" s="159"/>
      <c r="H60" s="159"/>
      <c r="I60" s="159"/>
      <c r="J60" s="159"/>
      <c r="K60" s="159"/>
    </row>
    <row r="61" ht="15.75" customHeight="1">
      <c r="A61" s="168"/>
      <c r="B61" s="159"/>
      <c r="C61" s="159"/>
      <c r="D61" s="159"/>
      <c r="E61" s="159"/>
      <c r="F61" s="159"/>
      <c r="G61" s="159"/>
      <c r="H61" s="159"/>
      <c r="I61" s="159"/>
      <c r="J61" s="159"/>
      <c r="K61" s="159"/>
    </row>
    <row r="62" ht="15.75" customHeight="1">
      <c r="A62" s="168"/>
      <c r="B62" s="159"/>
      <c r="C62" s="159"/>
      <c r="D62" s="159"/>
      <c r="E62" s="159"/>
      <c r="F62" s="159"/>
      <c r="G62" s="159"/>
      <c r="H62" s="159"/>
      <c r="I62" s="159"/>
      <c r="J62" s="159"/>
      <c r="K62" s="159"/>
    </row>
    <row r="63" ht="15.75" customHeight="1">
      <c r="A63" s="168"/>
      <c r="B63" s="159"/>
      <c r="C63" s="159"/>
      <c r="D63" s="159"/>
      <c r="E63" s="159"/>
      <c r="F63" s="159"/>
      <c r="G63" s="159"/>
      <c r="H63" s="159"/>
      <c r="I63" s="159"/>
      <c r="J63" s="159"/>
      <c r="K63" s="159"/>
    </row>
    <row r="64" ht="15.75" customHeight="1">
      <c r="A64" s="168"/>
      <c r="B64" s="159"/>
      <c r="C64" s="159"/>
      <c r="D64" s="159"/>
      <c r="E64" s="159"/>
      <c r="F64" s="159"/>
      <c r="G64" s="159"/>
      <c r="H64" s="159"/>
      <c r="I64" s="159"/>
      <c r="J64" s="159"/>
      <c r="K64" s="159"/>
    </row>
    <row r="65" ht="15.75" customHeight="1">
      <c r="A65" s="168"/>
      <c r="B65" s="159"/>
      <c r="C65" s="159"/>
      <c r="D65" s="159"/>
      <c r="E65" s="159"/>
      <c r="F65" s="159"/>
      <c r="G65" s="159"/>
      <c r="H65" s="159"/>
      <c r="I65" s="159"/>
      <c r="J65" s="159"/>
      <c r="K65" s="159"/>
    </row>
    <row r="66" ht="15.75" customHeight="1">
      <c r="A66" s="168"/>
      <c r="B66" s="159"/>
      <c r="C66" s="159"/>
      <c r="D66" s="159"/>
      <c r="E66" s="159"/>
      <c r="F66" s="159"/>
      <c r="G66" s="159"/>
      <c r="H66" s="159"/>
      <c r="I66" s="159"/>
      <c r="J66" s="159"/>
      <c r="K66" s="159"/>
    </row>
    <row r="67" ht="15.75" customHeight="1">
      <c r="A67" s="168"/>
      <c r="B67" s="159"/>
      <c r="C67" s="159"/>
      <c r="D67" s="159"/>
      <c r="E67" s="159"/>
      <c r="F67" s="159"/>
      <c r="G67" s="159"/>
      <c r="H67" s="159"/>
      <c r="I67" s="159"/>
      <c r="J67" s="159"/>
      <c r="K67" s="159"/>
    </row>
    <row r="68" ht="15.75" customHeight="1">
      <c r="A68" s="168"/>
      <c r="B68" s="159"/>
      <c r="C68" s="159"/>
      <c r="D68" s="159"/>
      <c r="E68" s="159"/>
      <c r="F68" s="159"/>
      <c r="G68" s="159"/>
      <c r="H68" s="159"/>
      <c r="I68" s="159"/>
      <c r="J68" s="159"/>
      <c r="K68" s="159"/>
    </row>
    <row r="69" ht="15.75" customHeight="1">
      <c r="A69" s="168"/>
      <c r="B69" s="159"/>
      <c r="C69" s="159"/>
      <c r="D69" s="159"/>
      <c r="E69" s="159"/>
      <c r="F69" s="159"/>
      <c r="G69" s="159"/>
      <c r="H69" s="159"/>
      <c r="I69" s="159"/>
      <c r="J69" s="159"/>
      <c r="K69" s="159"/>
    </row>
    <row r="70" ht="15.75" customHeight="1">
      <c r="A70" s="168"/>
      <c r="B70" s="159"/>
      <c r="C70" s="159"/>
      <c r="D70" s="159"/>
      <c r="E70" s="159"/>
      <c r="F70" s="159"/>
      <c r="G70" s="159"/>
      <c r="H70" s="159"/>
      <c r="I70" s="159"/>
      <c r="J70" s="159"/>
      <c r="K70" s="159"/>
    </row>
    <row r="71" ht="15.75" customHeight="1">
      <c r="A71" s="168"/>
      <c r="B71" s="159"/>
      <c r="C71" s="159"/>
      <c r="D71" s="159"/>
      <c r="E71" s="159"/>
      <c r="F71" s="159"/>
      <c r="G71" s="159"/>
      <c r="H71" s="159"/>
      <c r="I71" s="159"/>
      <c r="J71" s="159"/>
      <c r="K71" s="159"/>
    </row>
    <row r="72" ht="15.75" customHeight="1">
      <c r="A72" s="168"/>
      <c r="B72" s="159"/>
      <c r="C72" s="159"/>
      <c r="D72" s="159"/>
      <c r="E72" s="159"/>
      <c r="F72" s="159"/>
      <c r="G72" s="159"/>
      <c r="H72" s="159"/>
      <c r="I72" s="159"/>
      <c r="J72" s="159"/>
      <c r="K72" s="159"/>
    </row>
    <row r="73" ht="15.75" customHeight="1">
      <c r="A73" s="168"/>
      <c r="B73" s="159"/>
      <c r="C73" s="159"/>
      <c r="D73" s="159"/>
      <c r="E73" s="159"/>
      <c r="F73" s="159"/>
      <c r="G73" s="159"/>
      <c r="H73" s="159"/>
      <c r="I73" s="159"/>
      <c r="J73" s="159"/>
      <c r="K73" s="159"/>
    </row>
    <row r="74" ht="15.75" customHeight="1">
      <c r="A74" s="168"/>
      <c r="B74" s="159"/>
      <c r="C74" s="159"/>
      <c r="D74" s="159"/>
      <c r="E74" s="159"/>
      <c r="F74" s="159"/>
      <c r="G74" s="159"/>
      <c r="H74" s="159"/>
      <c r="I74" s="159"/>
      <c r="J74" s="159"/>
      <c r="K74" s="159"/>
    </row>
    <row r="75" ht="15.75" customHeight="1">
      <c r="A75" s="168"/>
      <c r="B75" s="159"/>
      <c r="C75" s="159"/>
      <c r="D75" s="159"/>
      <c r="E75" s="159"/>
      <c r="F75" s="159"/>
      <c r="G75" s="159"/>
      <c r="H75" s="159"/>
      <c r="I75" s="159"/>
      <c r="J75" s="159"/>
      <c r="K75" s="159"/>
    </row>
    <row r="76" ht="15.75" customHeight="1">
      <c r="A76" s="168"/>
      <c r="B76" s="159"/>
      <c r="C76" s="159"/>
      <c r="D76" s="159"/>
      <c r="E76" s="159"/>
      <c r="F76" s="159"/>
      <c r="G76" s="159"/>
      <c r="H76" s="159"/>
      <c r="I76" s="159"/>
      <c r="J76" s="159"/>
      <c r="K76" s="159"/>
    </row>
    <row r="77" ht="15.75" customHeight="1">
      <c r="A77" s="168"/>
      <c r="B77" s="159"/>
      <c r="C77" s="159"/>
      <c r="D77" s="159"/>
      <c r="E77" s="159"/>
      <c r="F77" s="159"/>
      <c r="G77" s="159"/>
      <c r="H77" s="159"/>
      <c r="I77" s="159"/>
      <c r="J77" s="159"/>
      <c r="K77" s="159"/>
    </row>
    <row r="78" ht="15.75" customHeight="1">
      <c r="A78" s="168"/>
      <c r="B78" s="159"/>
      <c r="C78" s="159"/>
      <c r="D78" s="159"/>
      <c r="E78" s="159"/>
      <c r="F78" s="159"/>
      <c r="G78" s="159"/>
      <c r="H78" s="159"/>
      <c r="I78" s="159"/>
      <c r="J78" s="159"/>
      <c r="K78" s="159"/>
    </row>
    <row r="79" ht="15.75" customHeight="1">
      <c r="A79" s="168"/>
      <c r="B79" s="159"/>
      <c r="C79" s="159"/>
      <c r="D79" s="159"/>
      <c r="E79" s="159"/>
      <c r="F79" s="159"/>
      <c r="G79" s="159"/>
      <c r="H79" s="159"/>
      <c r="I79" s="159"/>
      <c r="J79" s="159"/>
      <c r="K79" s="159"/>
    </row>
    <row r="80" ht="15.75" customHeight="1">
      <c r="A80" s="168"/>
      <c r="B80" s="159"/>
      <c r="C80" s="159"/>
      <c r="D80" s="159"/>
      <c r="E80" s="159"/>
      <c r="F80" s="159"/>
      <c r="G80" s="159"/>
      <c r="H80" s="159"/>
      <c r="I80" s="159"/>
      <c r="J80" s="159"/>
      <c r="K80" s="159"/>
    </row>
    <row r="81" ht="15.75" customHeight="1">
      <c r="A81" s="168"/>
      <c r="B81" s="159"/>
      <c r="C81" s="159"/>
      <c r="D81" s="159"/>
      <c r="E81" s="159"/>
      <c r="F81" s="159"/>
      <c r="G81" s="159"/>
      <c r="H81" s="159"/>
      <c r="I81" s="159"/>
      <c r="J81" s="159"/>
      <c r="K81" s="159"/>
    </row>
    <row r="82" ht="15.75" customHeight="1">
      <c r="A82" s="168"/>
      <c r="B82" s="159"/>
      <c r="C82" s="159"/>
      <c r="D82" s="159"/>
      <c r="E82" s="159"/>
      <c r="F82" s="159"/>
      <c r="G82" s="159"/>
      <c r="H82" s="159"/>
      <c r="I82" s="159"/>
      <c r="J82" s="159"/>
      <c r="K82" s="159"/>
    </row>
    <row r="83" ht="15.75" customHeight="1">
      <c r="A83" s="168"/>
      <c r="B83" s="159"/>
      <c r="C83" s="159"/>
      <c r="D83" s="159"/>
      <c r="E83" s="159"/>
      <c r="F83" s="159"/>
      <c r="G83" s="159"/>
      <c r="H83" s="159"/>
      <c r="I83" s="159"/>
      <c r="J83" s="159"/>
      <c r="K83" s="159"/>
    </row>
    <row r="84" ht="15.75" customHeight="1">
      <c r="A84" s="168"/>
      <c r="B84" s="159"/>
      <c r="C84" s="159"/>
      <c r="D84" s="159"/>
      <c r="E84" s="159"/>
      <c r="F84" s="159"/>
      <c r="G84" s="159"/>
      <c r="H84" s="159"/>
      <c r="I84" s="159"/>
      <c r="J84" s="159"/>
      <c r="K84" s="159"/>
    </row>
    <row r="85" ht="15.75" customHeight="1">
      <c r="A85" s="168"/>
      <c r="B85" s="159"/>
      <c r="C85" s="159"/>
      <c r="D85" s="159"/>
      <c r="E85" s="159"/>
      <c r="F85" s="159"/>
      <c r="G85" s="159"/>
      <c r="H85" s="159"/>
      <c r="I85" s="159"/>
      <c r="J85" s="159"/>
      <c r="K85" s="159"/>
    </row>
    <row r="86" ht="15.75" customHeight="1">
      <c r="A86" s="168"/>
      <c r="B86" s="159"/>
      <c r="C86" s="159"/>
      <c r="D86" s="159"/>
      <c r="E86" s="159"/>
      <c r="F86" s="159"/>
      <c r="G86" s="159"/>
      <c r="H86" s="159"/>
      <c r="I86" s="159"/>
      <c r="J86" s="159"/>
      <c r="K86" s="159"/>
    </row>
    <row r="87" ht="15.75" customHeight="1">
      <c r="A87" s="168"/>
      <c r="B87" s="159"/>
      <c r="C87" s="159"/>
      <c r="D87" s="159"/>
      <c r="E87" s="159"/>
      <c r="F87" s="159"/>
      <c r="G87" s="159"/>
      <c r="H87" s="159"/>
      <c r="I87" s="159"/>
      <c r="J87" s="159"/>
      <c r="K87" s="159"/>
    </row>
    <row r="88" ht="15.75" customHeight="1">
      <c r="A88" s="168"/>
      <c r="B88" s="159"/>
      <c r="C88" s="159"/>
      <c r="D88" s="159"/>
      <c r="E88" s="159"/>
      <c r="F88" s="159"/>
      <c r="G88" s="159"/>
      <c r="H88" s="159"/>
      <c r="I88" s="159"/>
      <c r="J88" s="159"/>
      <c r="K88" s="159"/>
    </row>
    <row r="89" ht="15.75" customHeight="1">
      <c r="A89" s="168"/>
      <c r="B89" s="159"/>
      <c r="C89" s="159"/>
      <c r="D89" s="159"/>
      <c r="E89" s="159"/>
      <c r="F89" s="159"/>
      <c r="G89" s="159"/>
      <c r="H89" s="159"/>
      <c r="I89" s="159"/>
      <c r="J89" s="159"/>
      <c r="K89" s="159"/>
    </row>
    <row r="90" ht="15.75" customHeight="1">
      <c r="A90" s="168"/>
      <c r="B90" s="159"/>
      <c r="C90" s="159"/>
      <c r="D90" s="159"/>
      <c r="E90" s="159"/>
      <c r="F90" s="159"/>
      <c r="G90" s="159"/>
      <c r="H90" s="159"/>
      <c r="I90" s="159"/>
      <c r="J90" s="159"/>
      <c r="K90" s="159"/>
    </row>
    <row r="91" ht="15.75" customHeight="1">
      <c r="A91" s="168"/>
      <c r="B91" s="159"/>
      <c r="C91" s="159"/>
      <c r="D91" s="159"/>
      <c r="E91" s="159"/>
      <c r="F91" s="159"/>
      <c r="G91" s="159"/>
      <c r="H91" s="159"/>
      <c r="I91" s="159"/>
      <c r="J91" s="159"/>
      <c r="K91" s="159"/>
    </row>
    <row r="92" ht="15.75" customHeight="1">
      <c r="A92" s="168"/>
      <c r="B92" s="159"/>
      <c r="C92" s="159"/>
      <c r="D92" s="159"/>
      <c r="E92" s="159"/>
      <c r="F92" s="159"/>
      <c r="G92" s="159"/>
      <c r="H92" s="159"/>
      <c r="I92" s="159"/>
      <c r="J92" s="159"/>
      <c r="K92" s="159"/>
    </row>
    <row r="93" ht="15.75" customHeight="1">
      <c r="A93" s="168"/>
      <c r="B93" s="159"/>
      <c r="C93" s="159"/>
      <c r="D93" s="159"/>
      <c r="E93" s="159"/>
      <c r="F93" s="159"/>
      <c r="G93" s="159"/>
      <c r="H93" s="159"/>
      <c r="I93" s="159"/>
      <c r="J93" s="159"/>
      <c r="K93" s="159"/>
    </row>
    <row r="94" ht="15.75" customHeight="1">
      <c r="A94" s="168"/>
      <c r="B94" s="159"/>
      <c r="C94" s="159"/>
      <c r="D94" s="159"/>
      <c r="E94" s="159"/>
      <c r="F94" s="159"/>
      <c r="G94" s="159"/>
      <c r="H94" s="159"/>
      <c r="I94" s="159"/>
      <c r="J94" s="159"/>
      <c r="K94" s="159"/>
    </row>
    <row r="95" ht="15.75" customHeight="1">
      <c r="A95" s="168"/>
      <c r="B95" s="159"/>
      <c r="C95" s="159"/>
      <c r="D95" s="159"/>
      <c r="E95" s="159"/>
      <c r="F95" s="159"/>
      <c r="G95" s="159"/>
      <c r="H95" s="159"/>
      <c r="I95" s="159"/>
      <c r="J95" s="159"/>
      <c r="K95" s="159"/>
    </row>
    <row r="96" ht="15.75" customHeight="1">
      <c r="A96" s="168"/>
      <c r="B96" s="159"/>
      <c r="C96" s="159"/>
      <c r="D96" s="159"/>
      <c r="E96" s="159"/>
      <c r="F96" s="159"/>
      <c r="G96" s="159"/>
      <c r="H96" s="159"/>
      <c r="I96" s="159"/>
      <c r="J96" s="159"/>
      <c r="K96" s="159"/>
    </row>
    <row r="97" ht="15.75" customHeight="1">
      <c r="A97" s="168"/>
      <c r="B97" s="159"/>
      <c r="C97" s="159"/>
      <c r="D97" s="159"/>
      <c r="E97" s="159"/>
      <c r="F97" s="159"/>
      <c r="G97" s="159"/>
      <c r="H97" s="159"/>
      <c r="I97" s="159"/>
      <c r="J97" s="159"/>
      <c r="K97" s="159"/>
    </row>
    <row r="98" ht="15.75" customHeight="1">
      <c r="A98" s="168"/>
      <c r="B98" s="159"/>
      <c r="C98" s="159"/>
      <c r="D98" s="159"/>
      <c r="E98" s="159"/>
      <c r="F98" s="159"/>
      <c r="G98" s="159"/>
      <c r="H98" s="159"/>
      <c r="I98" s="159"/>
      <c r="J98" s="159"/>
      <c r="K98" s="159"/>
    </row>
    <row r="99" ht="15.75" customHeight="1">
      <c r="A99" s="168"/>
      <c r="B99" s="159"/>
      <c r="C99" s="159"/>
      <c r="D99" s="159"/>
      <c r="E99" s="159"/>
      <c r="F99" s="159"/>
      <c r="G99" s="159"/>
      <c r="H99" s="159"/>
      <c r="I99" s="159"/>
      <c r="J99" s="159"/>
      <c r="K99" s="159"/>
    </row>
    <row r="100" ht="15.75" customHeight="1">
      <c r="A100" s="168"/>
      <c r="B100" s="159"/>
      <c r="C100" s="159"/>
      <c r="D100" s="159"/>
      <c r="E100" s="159"/>
      <c r="F100" s="159"/>
      <c r="G100" s="159"/>
      <c r="H100" s="159"/>
      <c r="I100" s="159"/>
      <c r="J100" s="159"/>
      <c r="K100" s="159"/>
    </row>
    <row r="101" ht="15.75" customHeight="1">
      <c r="A101" s="168"/>
      <c r="B101" s="159"/>
      <c r="C101" s="159"/>
      <c r="D101" s="159"/>
      <c r="E101" s="159"/>
      <c r="F101" s="159"/>
      <c r="G101" s="159"/>
      <c r="H101" s="159"/>
      <c r="I101" s="159"/>
      <c r="J101" s="159"/>
      <c r="K101" s="159"/>
    </row>
    <row r="102" ht="15.75" customHeight="1">
      <c r="A102" s="168"/>
      <c r="B102" s="159"/>
      <c r="C102" s="159"/>
      <c r="D102" s="159"/>
      <c r="E102" s="159"/>
      <c r="F102" s="159"/>
      <c r="G102" s="159"/>
      <c r="H102" s="159"/>
      <c r="I102" s="159"/>
      <c r="J102" s="159"/>
      <c r="K102" s="159"/>
    </row>
    <row r="103" ht="15.75" customHeight="1">
      <c r="A103" s="168"/>
      <c r="B103" s="159"/>
      <c r="C103" s="159"/>
      <c r="D103" s="159"/>
      <c r="E103" s="159"/>
      <c r="F103" s="159"/>
      <c r="G103" s="159"/>
      <c r="H103" s="159"/>
      <c r="I103" s="159"/>
      <c r="J103" s="159"/>
      <c r="K103" s="159"/>
    </row>
    <row r="104" ht="15.75" customHeight="1">
      <c r="A104" s="168"/>
      <c r="B104" s="159"/>
      <c r="C104" s="159"/>
      <c r="D104" s="159"/>
      <c r="E104" s="159"/>
      <c r="F104" s="159"/>
      <c r="G104" s="159"/>
      <c r="H104" s="159"/>
      <c r="I104" s="159"/>
      <c r="J104" s="159"/>
      <c r="K104" s="159"/>
    </row>
    <row r="105" ht="15.75" customHeight="1">
      <c r="A105" s="168"/>
      <c r="B105" s="159"/>
      <c r="C105" s="159"/>
      <c r="D105" s="159"/>
      <c r="E105" s="159"/>
      <c r="F105" s="159"/>
      <c r="G105" s="159"/>
      <c r="H105" s="159"/>
      <c r="I105" s="159"/>
      <c r="J105" s="159"/>
      <c r="K105" s="159"/>
    </row>
    <row r="106" ht="15.75" customHeight="1">
      <c r="A106" s="168"/>
      <c r="B106" s="159"/>
      <c r="C106" s="159"/>
      <c r="D106" s="159"/>
      <c r="E106" s="159"/>
      <c r="F106" s="159"/>
      <c r="G106" s="159"/>
      <c r="H106" s="159"/>
      <c r="I106" s="159"/>
      <c r="J106" s="159"/>
      <c r="K106" s="159"/>
    </row>
    <row r="107" ht="15.75" customHeight="1">
      <c r="A107" s="168"/>
      <c r="B107" s="159"/>
      <c r="C107" s="159"/>
      <c r="D107" s="159"/>
      <c r="E107" s="159"/>
      <c r="F107" s="159"/>
      <c r="G107" s="159"/>
      <c r="H107" s="159"/>
      <c r="I107" s="159"/>
      <c r="J107" s="159"/>
      <c r="K107" s="159"/>
    </row>
    <row r="108" ht="15.75" customHeight="1">
      <c r="A108" s="168"/>
      <c r="B108" s="159"/>
      <c r="C108" s="159"/>
      <c r="D108" s="159"/>
      <c r="E108" s="159"/>
      <c r="F108" s="159"/>
      <c r="G108" s="159"/>
      <c r="H108" s="159"/>
      <c r="I108" s="159"/>
      <c r="J108" s="159"/>
      <c r="K108" s="159"/>
    </row>
    <row r="109" ht="15.75" customHeight="1">
      <c r="A109" s="168"/>
      <c r="B109" s="159"/>
      <c r="C109" s="159"/>
      <c r="D109" s="159"/>
      <c r="E109" s="159"/>
      <c r="F109" s="159"/>
      <c r="G109" s="159"/>
      <c r="H109" s="159"/>
      <c r="I109" s="159"/>
      <c r="J109" s="159"/>
      <c r="K109" s="159"/>
    </row>
    <row r="110" ht="15.75" customHeight="1">
      <c r="A110" s="168"/>
      <c r="B110" s="159"/>
      <c r="C110" s="159"/>
      <c r="D110" s="159"/>
      <c r="E110" s="159"/>
      <c r="F110" s="159"/>
      <c r="G110" s="159"/>
      <c r="H110" s="159"/>
      <c r="I110" s="159"/>
      <c r="J110" s="159"/>
      <c r="K110" s="159"/>
    </row>
    <row r="111" ht="15.75" customHeight="1">
      <c r="A111" s="168"/>
      <c r="B111" s="159"/>
      <c r="C111" s="159"/>
      <c r="D111" s="159"/>
      <c r="E111" s="159"/>
      <c r="F111" s="159"/>
      <c r="G111" s="159"/>
      <c r="H111" s="159"/>
      <c r="I111" s="159"/>
      <c r="J111" s="159"/>
      <c r="K111" s="159"/>
    </row>
    <row r="112" ht="15.75" customHeight="1">
      <c r="A112" s="168"/>
      <c r="B112" s="159"/>
      <c r="C112" s="159"/>
      <c r="D112" s="159"/>
      <c r="E112" s="159"/>
      <c r="F112" s="159"/>
      <c r="G112" s="159"/>
      <c r="H112" s="159"/>
      <c r="I112" s="159"/>
      <c r="J112" s="159"/>
      <c r="K112" s="159"/>
    </row>
    <row r="113" ht="15.75" customHeight="1">
      <c r="A113" s="168"/>
      <c r="B113" s="159"/>
      <c r="C113" s="159"/>
      <c r="D113" s="159"/>
      <c r="E113" s="159"/>
      <c r="F113" s="159"/>
      <c r="G113" s="159"/>
      <c r="H113" s="159"/>
      <c r="I113" s="159"/>
      <c r="J113" s="159"/>
      <c r="K113" s="159"/>
    </row>
    <row r="114" ht="15.75" customHeight="1">
      <c r="A114" s="168"/>
      <c r="B114" s="159"/>
      <c r="C114" s="159"/>
      <c r="D114" s="159"/>
      <c r="E114" s="159"/>
      <c r="F114" s="159"/>
      <c r="G114" s="159"/>
      <c r="H114" s="159"/>
      <c r="I114" s="159"/>
      <c r="J114" s="159"/>
      <c r="K114" s="159"/>
    </row>
    <row r="115" ht="15.75" customHeight="1">
      <c r="A115" s="168"/>
      <c r="B115" s="159"/>
      <c r="C115" s="159"/>
      <c r="D115" s="159"/>
      <c r="E115" s="159"/>
      <c r="F115" s="159"/>
      <c r="G115" s="159"/>
      <c r="H115" s="159"/>
      <c r="I115" s="159"/>
      <c r="J115" s="159"/>
      <c r="K115" s="159"/>
    </row>
    <row r="116" ht="15.75" customHeight="1">
      <c r="A116" s="168"/>
      <c r="B116" s="159"/>
      <c r="C116" s="159"/>
      <c r="D116" s="159"/>
      <c r="E116" s="159"/>
      <c r="F116" s="159"/>
      <c r="G116" s="159"/>
      <c r="H116" s="159"/>
      <c r="I116" s="159"/>
      <c r="J116" s="159"/>
      <c r="K116" s="159"/>
    </row>
    <row r="117" ht="15.75" customHeight="1">
      <c r="A117" s="168"/>
      <c r="B117" s="159"/>
      <c r="C117" s="159"/>
      <c r="D117" s="159"/>
      <c r="E117" s="159"/>
      <c r="F117" s="159"/>
      <c r="G117" s="159"/>
      <c r="H117" s="159"/>
      <c r="I117" s="159"/>
      <c r="J117" s="159"/>
      <c r="K117" s="159"/>
    </row>
    <row r="118" ht="15.75" customHeight="1">
      <c r="A118" s="168"/>
      <c r="B118" s="159"/>
      <c r="C118" s="159"/>
      <c r="D118" s="159"/>
      <c r="E118" s="159"/>
      <c r="F118" s="159"/>
      <c r="G118" s="159"/>
      <c r="H118" s="159"/>
      <c r="I118" s="159"/>
      <c r="J118" s="159"/>
      <c r="K118" s="159"/>
    </row>
    <row r="119" ht="15.75" customHeight="1">
      <c r="A119" s="168"/>
      <c r="B119" s="159"/>
      <c r="C119" s="159"/>
      <c r="D119" s="159"/>
      <c r="E119" s="159"/>
      <c r="F119" s="159"/>
      <c r="G119" s="159"/>
      <c r="H119" s="159"/>
      <c r="I119" s="159"/>
      <c r="J119" s="159"/>
      <c r="K119" s="159"/>
    </row>
    <row r="120" ht="15.75" customHeight="1">
      <c r="A120" s="168"/>
      <c r="B120" s="159"/>
      <c r="C120" s="159"/>
      <c r="D120" s="159"/>
      <c r="E120" s="159"/>
      <c r="F120" s="159"/>
      <c r="G120" s="159"/>
      <c r="H120" s="159"/>
      <c r="I120" s="159"/>
      <c r="J120" s="159"/>
      <c r="K120" s="159"/>
    </row>
    <row r="121" ht="15.75" customHeight="1">
      <c r="A121" s="168"/>
      <c r="B121" s="159"/>
      <c r="C121" s="159"/>
      <c r="D121" s="159"/>
      <c r="E121" s="159"/>
      <c r="F121" s="159"/>
      <c r="G121" s="159"/>
      <c r="H121" s="159"/>
      <c r="I121" s="159"/>
      <c r="J121" s="159"/>
      <c r="K121" s="159"/>
    </row>
    <row r="122" ht="15.75" customHeight="1">
      <c r="A122" s="168"/>
      <c r="B122" s="159"/>
      <c r="C122" s="159"/>
      <c r="D122" s="159"/>
      <c r="E122" s="159"/>
      <c r="F122" s="159"/>
      <c r="G122" s="159"/>
      <c r="H122" s="159"/>
      <c r="I122" s="159"/>
      <c r="J122" s="159"/>
      <c r="K122" s="159"/>
    </row>
    <row r="123" ht="15.75" customHeight="1">
      <c r="A123" s="168"/>
      <c r="B123" s="159"/>
      <c r="C123" s="159"/>
      <c r="D123" s="159"/>
      <c r="E123" s="159"/>
      <c r="F123" s="159"/>
      <c r="G123" s="159"/>
      <c r="H123" s="159"/>
      <c r="I123" s="159"/>
      <c r="J123" s="159"/>
      <c r="K123" s="159"/>
    </row>
    <row r="124" ht="15.75" customHeight="1">
      <c r="A124" s="168"/>
      <c r="B124" s="159"/>
      <c r="C124" s="159"/>
      <c r="D124" s="159"/>
      <c r="E124" s="159"/>
      <c r="F124" s="159"/>
      <c r="G124" s="159"/>
      <c r="H124" s="159"/>
      <c r="I124" s="159"/>
      <c r="J124" s="159"/>
      <c r="K124" s="159"/>
    </row>
    <row r="125" ht="15.75" customHeight="1">
      <c r="A125" s="168"/>
      <c r="B125" s="159"/>
      <c r="C125" s="159"/>
      <c r="D125" s="159"/>
      <c r="E125" s="159"/>
      <c r="F125" s="159"/>
      <c r="G125" s="159"/>
      <c r="H125" s="159"/>
      <c r="I125" s="159"/>
      <c r="J125" s="159"/>
      <c r="K125" s="159"/>
    </row>
    <row r="126" ht="15.75" customHeight="1">
      <c r="A126" s="168"/>
      <c r="B126" s="159"/>
      <c r="C126" s="159"/>
      <c r="D126" s="159"/>
      <c r="E126" s="159"/>
      <c r="F126" s="159"/>
      <c r="G126" s="159"/>
      <c r="H126" s="159"/>
      <c r="I126" s="159"/>
      <c r="J126" s="159"/>
      <c r="K126" s="159"/>
    </row>
    <row r="127" ht="15.75" customHeight="1">
      <c r="A127" s="168"/>
      <c r="B127" s="159"/>
      <c r="C127" s="159"/>
      <c r="D127" s="159"/>
      <c r="E127" s="159"/>
      <c r="F127" s="159"/>
      <c r="G127" s="159"/>
      <c r="H127" s="159"/>
      <c r="I127" s="159"/>
      <c r="J127" s="159"/>
      <c r="K127" s="159"/>
    </row>
    <row r="128" ht="15.75" customHeight="1">
      <c r="A128" s="168"/>
      <c r="B128" s="159"/>
      <c r="C128" s="159"/>
      <c r="D128" s="159"/>
      <c r="E128" s="159"/>
      <c r="F128" s="159"/>
      <c r="G128" s="159"/>
      <c r="H128" s="159"/>
      <c r="I128" s="159"/>
      <c r="J128" s="159"/>
      <c r="K128" s="159"/>
    </row>
    <row r="129" ht="15.75" customHeight="1">
      <c r="A129" s="168"/>
      <c r="B129" s="159"/>
      <c r="C129" s="159"/>
      <c r="D129" s="159"/>
      <c r="E129" s="159"/>
      <c r="F129" s="159"/>
      <c r="G129" s="159"/>
      <c r="H129" s="159"/>
      <c r="I129" s="159"/>
      <c r="J129" s="159"/>
      <c r="K129" s="159"/>
    </row>
    <row r="130" ht="15.75" customHeight="1">
      <c r="A130" s="168"/>
      <c r="B130" s="159"/>
      <c r="C130" s="159"/>
      <c r="D130" s="159"/>
      <c r="E130" s="159"/>
      <c r="F130" s="159"/>
      <c r="G130" s="159"/>
      <c r="H130" s="159"/>
      <c r="I130" s="159"/>
      <c r="J130" s="159"/>
      <c r="K130" s="159"/>
    </row>
    <row r="131" ht="15.75" customHeight="1">
      <c r="A131" s="168"/>
      <c r="B131" s="159"/>
      <c r="C131" s="159"/>
      <c r="D131" s="159"/>
      <c r="E131" s="159"/>
      <c r="F131" s="159"/>
      <c r="G131" s="159"/>
      <c r="H131" s="159"/>
      <c r="I131" s="159"/>
      <c r="J131" s="159"/>
      <c r="K131" s="159"/>
    </row>
    <row r="132" ht="15.75" customHeight="1">
      <c r="A132" s="168"/>
      <c r="B132" s="159"/>
      <c r="C132" s="159"/>
      <c r="D132" s="159"/>
      <c r="E132" s="159"/>
      <c r="F132" s="159"/>
      <c r="G132" s="159"/>
      <c r="H132" s="159"/>
      <c r="I132" s="159"/>
      <c r="J132" s="159"/>
      <c r="K132" s="159"/>
    </row>
    <row r="133" ht="15.75" customHeight="1">
      <c r="A133" s="168"/>
      <c r="B133" s="159"/>
      <c r="C133" s="159"/>
      <c r="D133" s="159"/>
      <c r="E133" s="159"/>
      <c r="F133" s="159"/>
      <c r="G133" s="159"/>
      <c r="H133" s="159"/>
      <c r="I133" s="159"/>
      <c r="J133" s="159"/>
      <c r="K133" s="159"/>
    </row>
    <row r="134" ht="15.75" customHeight="1">
      <c r="A134" s="168"/>
      <c r="B134" s="159"/>
      <c r="C134" s="159"/>
      <c r="D134" s="159"/>
      <c r="E134" s="159"/>
      <c r="F134" s="159"/>
      <c r="G134" s="159"/>
      <c r="H134" s="159"/>
      <c r="I134" s="159"/>
      <c r="J134" s="159"/>
      <c r="K134" s="159"/>
    </row>
    <row r="135" ht="15.75" customHeight="1">
      <c r="A135" s="168"/>
      <c r="B135" s="159"/>
      <c r="C135" s="159"/>
      <c r="D135" s="159"/>
      <c r="E135" s="159"/>
      <c r="F135" s="159"/>
      <c r="G135" s="159"/>
      <c r="H135" s="159"/>
      <c r="I135" s="159"/>
      <c r="J135" s="159"/>
      <c r="K135" s="159"/>
    </row>
    <row r="136" ht="15.75" customHeight="1">
      <c r="A136" s="168"/>
      <c r="B136" s="159"/>
      <c r="C136" s="159"/>
      <c r="D136" s="159"/>
      <c r="E136" s="159"/>
      <c r="F136" s="159"/>
      <c r="G136" s="159"/>
      <c r="H136" s="159"/>
      <c r="I136" s="159"/>
      <c r="J136" s="159"/>
      <c r="K136" s="159"/>
    </row>
    <row r="137" ht="15.75" customHeight="1">
      <c r="A137" s="168"/>
      <c r="B137" s="159"/>
      <c r="C137" s="159"/>
      <c r="D137" s="159"/>
      <c r="E137" s="159"/>
      <c r="F137" s="159"/>
      <c r="G137" s="159"/>
      <c r="H137" s="159"/>
      <c r="I137" s="159"/>
      <c r="J137" s="159"/>
      <c r="K137" s="159"/>
    </row>
    <row r="138" ht="15.75" customHeight="1">
      <c r="A138" s="168"/>
      <c r="B138" s="159"/>
      <c r="C138" s="159"/>
      <c r="D138" s="159"/>
      <c r="E138" s="159"/>
      <c r="F138" s="159"/>
      <c r="G138" s="159"/>
      <c r="H138" s="159"/>
      <c r="I138" s="159"/>
      <c r="J138" s="159"/>
      <c r="K138" s="159"/>
    </row>
    <row r="139" ht="15.75" customHeight="1">
      <c r="A139" s="168"/>
      <c r="B139" s="159"/>
      <c r="C139" s="159"/>
      <c r="D139" s="159"/>
      <c r="E139" s="159"/>
      <c r="F139" s="159"/>
      <c r="G139" s="159"/>
      <c r="H139" s="159"/>
      <c r="I139" s="159"/>
      <c r="J139" s="159"/>
      <c r="K139" s="159"/>
    </row>
    <row r="140" ht="15.75" customHeight="1">
      <c r="A140" s="168"/>
      <c r="B140" s="159"/>
      <c r="C140" s="159"/>
      <c r="D140" s="159"/>
      <c r="E140" s="159"/>
      <c r="F140" s="159"/>
      <c r="G140" s="159"/>
      <c r="H140" s="159"/>
      <c r="I140" s="159"/>
      <c r="J140" s="159"/>
      <c r="K140" s="159"/>
    </row>
    <row r="141" ht="15.75" customHeight="1">
      <c r="A141" s="168"/>
      <c r="B141" s="159"/>
      <c r="C141" s="159"/>
      <c r="D141" s="159"/>
      <c r="E141" s="159"/>
      <c r="F141" s="159"/>
      <c r="G141" s="159"/>
      <c r="H141" s="159"/>
      <c r="I141" s="159"/>
      <c r="J141" s="159"/>
      <c r="K141" s="159"/>
    </row>
    <row r="142" ht="15.75" customHeight="1">
      <c r="A142" s="168"/>
      <c r="B142" s="159"/>
      <c r="C142" s="159"/>
      <c r="D142" s="159"/>
      <c r="E142" s="159"/>
      <c r="F142" s="159"/>
      <c r="G142" s="159"/>
      <c r="H142" s="159"/>
      <c r="I142" s="159"/>
      <c r="J142" s="159"/>
      <c r="K142" s="159"/>
    </row>
    <row r="143" ht="15.75" customHeight="1">
      <c r="A143" s="168"/>
      <c r="B143" s="159"/>
      <c r="C143" s="159"/>
      <c r="D143" s="159"/>
      <c r="E143" s="159"/>
      <c r="F143" s="159"/>
      <c r="G143" s="159"/>
      <c r="H143" s="159"/>
      <c r="I143" s="159"/>
      <c r="J143" s="159"/>
      <c r="K143" s="159"/>
    </row>
    <row r="144" ht="15.75" customHeight="1">
      <c r="A144" s="168"/>
      <c r="B144" s="159"/>
      <c r="C144" s="159"/>
      <c r="D144" s="159"/>
      <c r="E144" s="159"/>
      <c r="F144" s="159"/>
      <c r="G144" s="159"/>
      <c r="H144" s="159"/>
      <c r="I144" s="159"/>
      <c r="J144" s="159"/>
      <c r="K144" s="159"/>
    </row>
    <row r="145" ht="15.75" customHeight="1">
      <c r="A145" s="168"/>
      <c r="B145" s="159"/>
      <c r="C145" s="159"/>
      <c r="D145" s="159"/>
      <c r="E145" s="159"/>
      <c r="F145" s="159"/>
      <c r="G145" s="159"/>
      <c r="H145" s="159"/>
      <c r="I145" s="159"/>
      <c r="J145" s="159"/>
      <c r="K145" s="159"/>
    </row>
    <row r="146" ht="15.75" customHeight="1">
      <c r="A146" s="168"/>
      <c r="B146" s="159"/>
      <c r="C146" s="159"/>
      <c r="D146" s="159"/>
      <c r="E146" s="159"/>
      <c r="F146" s="159"/>
      <c r="G146" s="159"/>
      <c r="H146" s="159"/>
      <c r="I146" s="159"/>
      <c r="J146" s="159"/>
      <c r="K146" s="159"/>
    </row>
    <row r="147" ht="15.75" customHeight="1">
      <c r="A147" s="168"/>
      <c r="B147" s="159"/>
      <c r="C147" s="159"/>
      <c r="D147" s="159"/>
      <c r="E147" s="159"/>
      <c r="F147" s="159"/>
      <c r="G147" s="159"/>
      <c r="H147" s="159"/>
      <c r="I147" s="159"/>
      <c r="J147" s="159"/>
      <c r="K147" s="159"/>
    </row>
    <row r="148" ht="15.75" customHeight="1">
      <c r="A148" s="168"/>
      <c r="B148" s="159"/>
      <c r="C148" s="159"/>
      <c r="D148" s="159"/>
      <c r="E148" s="159"/>
      <c r="F148" s="159"/>
      <c r="G148" s="159"/>
      <c r="H148" s="159"/>
      <c r="I148" s="159"/>
      <c r="J148" s="159"/>
      <c r="K148" s="159"/>
    </row>
    <row r="149" ht="15.75" customHeight="1">
      <c r="A149" s="168"/>
      <c r="B149" s="159"/>
      <c r="C149" s="159"/>
      <c r="D149" s="159"/>
      <c r="E149" s="159"/>
      <c r="F149" s="159"/>
      <c r="G149" s="159"/>
      <c r="H149" s="159"/>
      <c r="I149" s="159"/>
      <c r="J149" s="159"/>
      <c r="K149" s="159"/>
    </row>
    <row r="150" ht="15.75" customHeight="1">
      <c r="A150" s="168"/>
      <c r="B150" s="159"/>
      <c r="C150" s="159"/>
      <c r="D150" s="159"/>
      <c r="E150" s="159"/>
      <c r="F150" s="159"/>
      <c r="G150" s="159"/>
      <c r="H150" s="159"/>
      <c r="I150" s="159"/>
      <c r="J150" s="159"/>
      <c r="K150" s="159"/>
    </row>
    <row r="151" ht="15.75" customHeight="1">
      <c r="A151" s="168"/>
      <c r="B151" s="159"/>
      <c r="C151" s="159"/>
      <c r="D151" s="159"/>
      <c r="E151" s="159"/>
      <c r="F151" s="159"/>
      <c r="G151" s="159"/>
      <c r="H151" s="159"/>
      <c r="I151" s="159"/>
      <c r="J151" s="159"/>
      <c r="K151" s="159"/>
    </row>
    <row r="152" ht="15.75" customHeight="1">
      <c r="A152" s="168"/>
      <c r="B152" s="159"/>
      <c r="C152" s="159"/>
      <c r="D152" s="159"/>
      <c r="E152" s="159"/>
      <c r="F152" s="159"/>
      <c r="G152" s="159"/>
      <c r="H152" s="159"/>
      <c r="I152" s="159"/>
      <c r="J152" s="159"/>
      <c r="K152" s="159"/>
    </row>
    <row r="153" ht="15.75" customHeight="1">
      <c r="A153" s="168"/>
      <c r="B153" s="159"/>
      <c r="C153" s="159"/>
      <c r="D153" s="159"/>
      <c r="E153" s="159"/>
      <c r="F153" s="159"/>
      <c r="G153" s="159"/>
      <c r="H153" s="159"/>
      <c r="I153" s="159"/>
      <c r="J153" s="159"/>
      <c r="K153" s="159"/>
    </row>
    <row r="154" ht="15.75" customHeight="1">
      <c r="A154" s="168"/>
      <c r="B154" s="159"/>
      <c r="C154" s="159"/>
      <c r="D154" s="159"/>
      <c r="E154" s="159"/>
      <c r="F154" s="159"/>
      <c r="G154" s="159"/>
      <c r="H154" s="159"/>
      <c r="I154" s="159"/>
      <c r="J154" s="159"/>
      <c r="K154" s="159"/>
    </row>
    <row r="155" ht="15.75" customHeight="1">
      <c r="A155" s="168"/>
      <c r="B155" s="159"/>
      <c r="C155" s="159"/>
      <c r="D155" s="159"/>
      <c r="E155" s="159"/>
      <c r="F155" s="159"/>
      <c r="G155" s="159"/>
      <c r="H155" s="159"/>
      <c r="I155" s="159"/>
      <c r="J155" s="159"/>
      <c r="K155" s="159"/>
    </row>
    <row r="156" ht="15.75" customHeight="1">
      <c r="A156" s="168"/>
      <c r="B156" s="159"/>
      <c r="C156" s="159"/>
      <c r="D156" s="159"/>
      <c r="E156" s="159"/>
      <c r="F156" s="159"/>
      <c r="G156" s="159"/>
      <c r="H156" s="159"/>
      <c r="I156" s="159"/>
      <c r="J156" s="159"/>
      <c r="K156" s="159"/>
    </row>
    <row r="157" ht="15.75" customHeight="1">
      <c r="A157" s="168"/>
      <c r="B157" s="159"/>
      <c r="C157" s="159"/>
      <c r="D157" s="159"/>
      <c r="E157" s="159"/>
      <c r="F157" s="159"/>
      <c r="G157" s="159"/>
      <c r="H157" s="159"/>
      <c r="I157" s="159"/>
      <c r="J157" s="159"/>
      <c r="K157" s="159"/>
    </row>
    <row r="158" ht="15.75" customHeight="1">
      <c r="A158" s="168"/>
      <c r="B158" s="159"/>
      <c r="C158" s="159"/>
      <c r="D158" s="159"/>
      <c r="E158" s="159"/>
      <c r="F158" s="159"/>
      <c r="G158" s="159"/>
      <c r="H158" s="159"/>
      <c r="I158" s="159"/>
      <c r="J158" s="159"/>
      <c r="K158" s="159"/>
    </row>
    <row r="159" ht="15.75" customHeight="1">
      <c r="A159" s="168"/>
      <c r="B159" s="159"/>
      <c r="C159" s="159"/>
      <c r="D159" s="159"/>
      <c r="E159" s="159"/>
      <c r="F159" s="159"/>
      <c r="G159" s="159"/>
      <c r="H159" s="159"/>
      <c r="I159" s="159"/>
      <c r="J159" s="159"/>
      <c r="K159" s="159"/>
    </row>
    <row r="160" ht="15.75" customHeight="1">
      <c r="A160" s="168"/>
      <c r="B160" s="159"/>
      <c r="C160" s="159"/>
      <c r="D160" s="159"/>
      <c r="E160" s="159"/>
      <c r="F160" s="159"/>
      <c r="G160" s="159"/>
      <c r="H160" s="159"/>
      <c r="I160" s="159"/>
      <c r="J160" s="159"/>
      <c r="K160" s="159"/>
    </row>
    <row r="161" ht="15.75" customHeight="1">
      <c r="A161" s="168"/>
      <c r="B161" s="159"/>
      <c r="C161" s="159"/>
      <c r="D161" s="159"/>
      <c r="E161" s="159"/>
      <c r="F161" s="159"/>
      <c r="G161" s="159"/>
      <c r="H161" s="159"/>
      <c r="I161" s="159"/>
      <c r="J161" s="159"/>
      <c r="K161" s="159"/>
    </row>
    <row r="162" ht="15.75" customHeight="1">
      <c r="A162" s="168"/>
      <c r="B162" s="159"/>
      <c r="C162" s="159"/>
      <c r="D162" s="159"/>
      <c r="E162" s="159"/>
      <c r="F162" s="159"/>
      <c r="G162" s="159"/>
      <c r="H162" s="159"/>
      <c r="I162" s="159"/>
      <c r="J162" s="159"/>
      <c r="K162" s="159"/>
    </row>
    <row r="163" ht="15.75" customHeight="1">
      <c r="A163" s="168"/>
      <c r="B163" s="159"/>
      <c r="C163" s="159"/>
      <c r="D163" s="159"/>
      <c r="E163" s="159"/>
      <c r="F163" s="159"/>
      <c r="G163" s="159"/>
      <c r="H163" s="159"/>
      <c r="I163" s="159"/>
      <c r="J163" s="159"/>
      <c r="K163" s="159"/>
    </row>
    <row r="164" ht="15.75" customHeight="1">
      <c r="A164" s="168"/>
      <c r="B164" s="159"/>
      <c r="C164" s="159"/>
      <c r="D164" s="159"/>
      <c r="E164" s="159"/>
      <c r="F164" s="159"/>
      <c r="G164" s="159"/>
      <c r="H164" s="159"/>
      <c r="I164" s="159"/>
      <c r="J164" s="159"/>
      <c r="K164" s="159"/>
    </row>
    <row r="165" ht="15.75" customHeight="1">
      <c r="A165" s="168"/>
      <c r="B165" s="159"/>
      <c r="C165" s="159"/>
      <c r="D165" s="159"/>
      <c r="E165" s="159"/>
      <c r="F165" s="159"/>
      <c r="G165" s="159"/>
      <c r="H165" s="159"/>
      <c r="I165" s="159"/>
      <c r="J165" s="159"/>
      <c r="K165" s="159"/>
    </row>
    <row r="166" ht="15.75" customHeight="1">
      <c r="A166" s="168"/>
      <c r="B166" s="159"/>
      <c r="C166" s="159"/>
      <c r="D166" s="159"/>
      <c r="E166" s="159"/>
      <c r="F166" s="159"/>
      <c r="G166" s="159"/>
      <c r="H166" s="159"/>
      <c r="I166" s="159"/>
      <c r="J166" s="159"/>
      <c r="K166" s="159"/>
    </row>
    <row r="167" ht="15.75" customHeight="1">
      <c r="A167" s="168"/>
      <c r="B167" s="159"/>
      <c r="C167" s="159"/>
      <c r="D167" s="159"/>
      <c r="E167" s="159"/>
      <c r="F167" s="159"/>
      <c r="G167" s="159"/>
      <c r="H167" s="159"/>
      <c r="I167" s="159"/>
      <c r="J167" s="159"/>
      <c r="K167" s="159"/>
    </row>
    <row r="168" ht="15.75" customHeight="1">
      <c r="A168" s="168"/>
      <c r="B168" s="159"/>
      <c r="C168" s="159"/>
      <c r="D168" s="159"/>
      <c r="E168" s="159"/>
      <c r="F168" s="159"/>
      <c r="G168" s="159"/>
      <c r="H168" s="159"/>
      <c r="I168" s="159"/>
      <c r="J168" s="159"/>
      <c r="K168" s="159"/>
    </row>
    <row r="169" ht="15.75" customHeight="1">
      <c r="A169" s="168"/>
      <c r="B169" s="159"/>
      <c r="C169" s="159"/>
      <c r="D169" s="159"/>
      <c r="E169" s="159"/>
      <c r="F169" s="159"/>
      <c r="G169" s="159"/>
      <c r="H169" s="159"/>
      <c r="I169" s="159"/>
      <c r="J169" s="159"/>
      <c r="K169" s="159"/>
    </row>
    <row r="170" ht="15.75" customHeight="1">
      <c r="A170" s="168"/>
      <c r="B170" s="159"/>
      <c r="C170" s="159"/>
      <c r="D170" s="159"/>
      <c r="E170" s="159"/>
      <c r="F170" s="159"/>
      <c r="G170" s="159"/>
      <c r="H170" s="159"/>
      <c r="I170" s="159"/>
      <c r="J170" s="159"/>
      <c r="K170" s="159"/>
    </row>
    <row r="171" ht="15.75" customHeight="1">
      <c r="A171" s="168"/>
      <c r="B171" s="159"/>
      <c r="C171" s="159"/>
      <c r="D171" s="159"/>
      <c r="E171" s="159"/>
      <c r="F171" s="159"/>
      <c r="G171" s="159"/>
      <c r="H171" s="159"/>
      <c r="I171" s="159"/>
      <c r="J171" s="159"/>
      <c r="K171" s="159"/>
    </row>
    <row r="172" ht="15.75" customHeight="1">
      <c r="A172" s="168"/>
      <c r="B172" s="159"/>
      <c r="C172" s="159"/>
      <c r="D172" s="159"/>
      <c r="E172" s="159"/>
      <c r="F172" s="159"/>
      <c r="G172" s="159"/>
      <c r="H172" s="159"/>
      <c r="I172" s="159"/>
      <c r="J172" s="159"/>
      <c r="K172" s="159"/>
    </row>
    <row r="173" ht="15.75" customHeight="1">
      <c r="A173" s="168"/>
      <c r="B173" s="159"/>
      <c r="C173" s="159"/>
      <c r="D173" s="159"/>
      <c r="E173" s="159"/>
      <c r="F173" s="159"/>
      <c r="G173" s="159"/>
      <c r="H173" s="159"/>
      <c r="I173" s="159"/>
      <c r="J173" s="159"/>
      <c r="K173" s="159"/>
    </row>
    <row r="174" ht="15.75" customHeight="1">
      <c r="A174" s="168"/>
      <c r="B174" s="159"/>
      <c r="C174" s="159"/>
      <c r="D174" s="159"/>
      <c r="E174" s="159"/>
      <c r="F174" s="159"/>
      <c r="G174" s="159"/>
      <c r="H174" s="159"/>
      <c r="I174" s="159"/>
      <c r="J174" s="159"/>
      <c r="K174" s="159"/>
    </row>
    <row r="175" ht="15.75" customHeight="1">
      <c r="A175" s="168"/>
      <c r="B175" s="159"/>
      <c r="C175" s="159"/>
      <c r="D175" s="159"/>
      <c r="E175" s="159"/>
      <c r="F175" s="159"/>
      <c r="G175" s="159"/>
      <c r="H175" s="159"/>
      <c r="I175" s="159"/>
      <c r="J175" s="159"/>
      <c r="K175" s="159"/>
    </row>
    <row r="176" ht="15.75" customHeight="1">
      <c r="A176" s="168"/>
      <c r="B176" s="159"/>
      <c r="C176" s="159"/>
      <c r="D176" s="159"/>
      <c r="E176" s="159"/>
      <c r="F176" s="159"/>
      <c r="G176" s="159"/>
      <c r="H176" s="159"/>
      <c r="I176" s="159"/>
      <c r="J176" s="159"/>
      <c r="K176" s="159"/>
    </row>
    <row r="177" ht="15.75" customHeight="1">
      <c r="A177" s="168"/>
      <c r="B177" s="159"/>
      <c r="C177" s="159"/>
      <c r="D177" s="159"/>
      <c r="E177" s="159"/>
      <c r="F177" s="159"/>
      <c r="G177" s="159"/>
      <c r="H177" s="159"/>
      <c r="I177" s="159"/>
      <c r="J177" s="159"/>
      <c r="K177" s="159"/>
    </row>
    <row r="178" ht="15.75" customHeight="1">
      <c r="A178" s="168"/>
      <c r="B178" s="159"/>
      <c r="C178" s="159"/>
      <c r="D178" s="159"/>
      <c r="E178" s="159"/>
      <c r="F178" s="159"/>
      <c r="G178" s="159"/>
      <c r="H178" s="159"/>
      <c r="I178" s="159"/>
      <c r="J178" s="159"/>
      <c r="K178" s="159"/>
    </row>
    <row r="179" ht="15.75" customHeight="1">
      <c r="A179" s="168"/>
      <c r="B179" s="159"/>
      <c r="C179" s="159"/>
      <c r="D179" s="159"/>
      <c r="E179" s="159"/>
      <c r="F179" s="159"/>
      <c r="G179" s="159"/>
      <c r="H179" s="159"/>
      <c r="I179" s="159"/>
      <c r="J179" s="159"/>
      <c r="K179" s="159"/>
    </row>
    <row r="180" ht="15.75" customHeight="1">
      <c r="A180" s="168"/>
      <c r="B180" s="159"/>
      <c r="C180" s="159"/>
      <c r="D180" s="159"/>
      <c r="E180" s="159"/>
      <c r="F180" s="159"/>
      <c r="G180" s="159"/>
      <c r="H180" s="159"/>
      <c r="I180" s="159"/>
      <c r="J180" s="159"/>
      <c r="K180" s="159"/>
    </row>
    <row r="181" ht="15.75" customHeight="1">
      <c r="A181" s="168"/>
      <c r="B181" s="159"/>
      <c r="C181" s="159"/>
      <c r="D181" s="159"/>
      <c r="E181" s="159"/>
      <c r="F181" s="159"/>
      <c r="G181" s="159"/>
      <c r="H181" s="159"/>
      <c r="I181" s="159"/>
      <c r="J181" s="159"/>
      <c r="K181" s="159"/>
    </row>
    <row r="182" ht="15.75" customHeight="1">
      <c r="A182" s="168"/>
      <c r="B182" s="159"/>
      <c r="C182" s="159"/>
      <c r="D182" s="159"/>
      <c r="E182" s="159"/>
      <c r="F182" s="159"/>
      <c r="G182" s="159"/>
      <c r="H182" s="159"/>
      <c r="I182" s="159"/>
      <c r="J182" s="159"/>
      <c r="K182" s="159"/>
    </row>
    <row r="183" ht="15.75" customHeight="1">
      <c r="A183" s="168"/>
      <c r="B183" s="159"/>
      <c r="C183" s="159"/>
      <c r="D183" s="159"/>
      <c r="E183" s="159"/>
      <c r="F183" s="159"/>
      <c r="G183" s="159"/>
      <c r="H183" s="159"/>
      <c r="I183" s="159"/>
      <c r="J183" s="159"/>
      <c r="K183" s="159"/>
    </row>
    <row r="184" ht="15.75" customHeight="1">
      <c r="A184" s="168"/>
      <c r="B184" s="159"/>
      <c r="C184" s="159"/>
      <c r="D184" s="159"/>
      <c r="E184" s="159"/>
      <c r="F184" s="159"/>
      <c r="G184" s="159"/>
      <c r="H184" s="159"/>
      <c r="I184" s="159"/>
      <c r="J184" s="159"/>
      <c r="K184" s="159"/>
    </row>
    <row r="185" ht="15.75" customHeight="1">
      <c r="A185" s="168"/>
      <c r="B185" s="159"/>
      <c r="C185" s="159"/>
      <c r="D185" s="159"/>
      <c r="E185" s="159"/>
      <c r="F185" s="159"/>
      <c r="G185" s="159"/>
      <c r="H185" s="159"/>
      <c r="I185" s="159"/>
      <c r="J185" s="159"/>
      <c r="K185" s="159"/>
    </row>
    <row r="186" ht="15.75" customHeight="1">
      <c r="A186" s="168"/>
      <c r="B186" s="159"/>
      <c r="C186" s="159"/>
      <c r="D186" s="159"/>
      <c r="E186" s="159"/>
      <c r="F186" s="159"/>
      <c r="G186" s="159"/>
      <c r="H186" s="159"/>
      <c r="I186" s="159"/>
      <c r="J186" s="159"/>
      <c r="K186" s="159"/>
    </row>
    <row r="187" ht="15.75" customHeight="1">
      <c r="A187" s="168"/>
      <c r="B187" s="159"/>
      <c r="C187" s="159"/>
      <c r="D187" s="159"/>
      <c r="E187" s="159"/>
      <c r="F187" s="159"/>
      <c r="G187" s="159"/>
      <c r="H187" s="159"/>
      <c r="I187" s="159"/>
      <c r="J187" s="159"/>
      <c r="K187" s="159"/>
    </row>
    <row r="188" ht="15.75" customHeight="1">
      <c r="A188" s="168"/>
      <c r="B188" s="159"/>
      <c r="C188" s="159"/>
      <c r="D188" s="159"/>
      <c r="E188" s="159"/>
      <c r="F188" s="159"/>
      <c r="G188" s="159"/>
      <c r="H188" s="159"/>
      <c r="I188" s="159"/>
      <c r="J188" s="159"/>
      <c r="K188" s="159"/>
    </row>
    <row r="189" ht="15.75" customHeight="1">
      <c r="A189" s="168"/>
      <c r="B189" s="159"/>
      <c r="C189" s="159"/>
      <c r="D189" s="159"/>
      <c r="E189" s="159"/>
      <c r="F189" s="159"/>
      <c r="G189" s="159"/>
      <c r="H189" s="159"/>
      <c r="I189" s="159"/>
      <c r="J189" s="159"/>
      <c r="K189" s="159"/>
    </row>
    <row r="190" ht="15.75" customHeight="1">
      <c r="A190" s="168"/>
      <c r="B190" s="159"/>
      <c r="C190" s="159"/>
      <c r="D190" s="159"/>
      <c r="E190" s="159"/>
      <c r="F190" s="159"/>
      <c r="G190" s="159"/>
      <c r="H190" s="159"/>
      <c r="I190" s="159"/>
      <c r="J190" s="159"/>
      <c r="K190" s="159"/>
    </row>
    <row r="191" ht="15.75" customHeight="1">
      <c r="A191" s="168"/>
      <c r="B191" s="159"/>
      <c r="C191" s="159"/>
      <c r="D191" s="159"/>
      <c r="E191" s="159"/>
      <c r="F191" s="159"/>
      <c r="G191" s="159"/>
      <c r="H191" s="159"/>
      <c r="I191" s="159"/>
      <c r="J191" s="159"/>
      <c r="K191" s="159"/>
    </row>
    <row r="192" ht="15.75" customHeight="1">
      <c r="A192" s="168"/>
      <c r="B192" s="159"/>
      <c r="C192" s="159"/>
      <c r="D192" s="159"/>
      <c r="E192" s="159"/>
      <c r="F192" s="159"/>
      <c r="G192" s="159"/>
      <c r="H192" s="159"/>
      <c r="I192" s="159"/>
      <c r="J192" s="159"/>
      <c r="K192" s="159"/>
    </row>
    <row r="193" ht="15.75" customHeight="1">
      <c r="A193" s="168"/>
      <c r="B193" s="159"/>
      <c r="C193" s="159"/>
      <c r="D193" s="159"/>
      <c r="E193" s="159"/>
      <c r="F193" s="159"/>
      <c r="G193" s="159"/>
      <c r="H193" s="159"/>
      <c r="I193" s="159"/>
      <c r="J193" s="159"/>
      <c r="K193" s="159"/>
    </row>
    <row r="194" ht="15.75" customHeight="1">
      <c r="A194" s="168"/>
      <c r="B194" s="159"/>
      <c r="C194" s="159"/>
      <c r="D194" s="159"/>
      <c r="E194" s="159"/>
      <c r="F194" s="159"/>
      <c r="G194" s="159"/>
      <c r="H194" s="159"/>
      <c r="I194" s="159"/>
      <c r="J194" s="159"/>
      <c r="K194" s="159"/>
    </row>
    <row r="195" ht="15.75" customHeight="1">
      <c r="A195" s="168"/>
      <c r="B195" s="159"/>
      <c r="C195" s="159"/>
      <c r="D195" s="159"/>
      <c r="E195" s="159"/>
      <c r="F195" s="159"/>
      <c r="G195" s="159"/>
      <c r="H195" s="159"/>
      <c r="I195" s="159"/>
      <c r="J195" s="159"/>
      <c r="K195" s="159"/>
    </row>
    <row r="196" ht="15.75" customHeight="1">
      <c r="A196" s="168"/>
      <c r="B196" s="159"/>
      <c r="C196" s="159"/>
      <c r="D196" s="159"/>
      <c r="E196" s="159"/>
      <c r="F196" s="159"/>
      <c r="G196" s="159"/>
      <c r="H196" s="159"/>
      <c r="I196" s="159"/>
      <c r="J196" s="159"/>
      <c r="K196" s="159"/>
    </row>
    <row r="197" ht="15.75" customHeight="1">
      <c r="A197" s="168"/>
      <c r="B197" s="159"/>
      <c r="C197" s="159"/>
      <c r="D197" s="159"/>
      <c r="E197" s="159"/>
      <c r="F197" s="159"/>
      <c r="G197" s="159"/>
      <c r="H197" s="159"/>
      <c r="I197" s="159"/>
      <c r="J197" s="159"/>
      <c r="K197" s="159"/>
    </row>
    <row r="198" ht="15.75" customHeight="1">
      <c r="A198" s="168"/>
      <c r="B198" s="159"/>
      <c r="C198" s="159"/>
      <c r="D198" s="159"/>
      <c r="E198" s="159"/>
      <c r="F198" s="159"/>
      <c r="G198" s="159"/>
      <c r="H198" s="159"/>
      <c r="I198" s="159"/>
      <c r="J198" s="159"/>
      <c r="K198" s="159"/>
    </row>
    <row r="199" ht="15.75" customHeight="1">
      <c r="A199" s="168"/>
      <c r="B199" s="159"/>
      <c r="C199" s="159"/>
      <c r="D199" s="159"/>
      <c r="E199" s="159"/>
      <c r="F199" s="159"/>
      <c r="G199" s="159"/>
      <c r="H199" s="159"/>
      <c r="I199" s="159"/>
      <c r="J199" s="159"/>
      <c r="K199" s="159"/>
    </row>
    <row r="200" ht="15.75" customHeight="1">
      <c r="A200" s="168"/>
      <c r="B200" s="159"/>
      <c r="C200" s="159"/>
      <c r="D200" s="159"/>
      <c r="E200" s="159"/>
      <c r="F200" s="159"/>
      <c r="G200" s="159"/>
      <c r="H200" s="159"/>
      <c r="I200" s="159"/>
      <c r="J200" s="159"/>
      <c r="K200" s="159"/>
    </row>
    <row r="201" ht="15.75" customHeight="1">
      <c r="A201" s="168"/>
      <c r="B201" s="159"/>
      <c r="C201" s="159"/>
      <c r="D201" s="159"/>
      <c r="E201" s="159"/>
      <c r="F201" s="159"/>
      <c r="G201" s="159"/>
      <c r="H201" s="159"/>
      <c r="I201" s="159"/>
      <c r="J201" s="159"/>
      <c r="K201" s="159"/>
    </row>
    <row r="202" ht="15.75" customHeight="1">
      <c r="A202" s="168"/>
      <c r="B202" s="159"/>
      <c r="C202" s="159"/>
      <c r="D202" s="159"/>
      <c r="E202" s="159"/>
      <c r="F202" s="159"/>
      <c r="G202" s="159"/>
      <c r="H202" s="159"/>
      <c r="I202" s="159"/>
      <c r="J202" s="159"/>
      <c r="K202" s="159"/>
    </row>
    <row r="203" ht="15.75" customHeight="1">
      <c r="A203" s="168"/>
      <c r="B203" s="159"/>
      <c r="C203" s="159"/>
      <c r="D203" s="159"/>
      <c r="E203" s="159"/>
      <c r="F203" s="159"/>
      <c r="G203" s="159"/>
      <c r="H203" s="159"/>
      <c r="I203" s="159"/>
      <c r="J203" s="159"/>
      <c r="K203" s="159"/>
    </row>
    <row r="204" ht="15.75" customHeight="1">
      <c r="A204" s="168"/>
      <c r="B204" s="159"/>
      <c r="C204" s="159"/>
      <c r="D204" s="159"/>
      <c r="E204" s="159"/>
      <c r="F204" s="159"/>
      <c r="G204" s="159"/>
      <c r="H204" s="159"/>
      <c r="I204" s="159"/>
      <c r="J204" s="159"/>
      <c r="K204" s="159"/>
    </row>
    <row r="205" ht="15.75" customHeight="1">
      <c r="A205" s="168"/>
      <c r="B205" s="159"/>
      <c r="C205" s="159"/>
      <c r="D205" s="159"/>
      <c r="E205" s="159"/>
      <c r="F205" s="159"/>
      <c r="G205" s="159"/>
      <c r="H205" s="159"/>
      <c r="I205" s="159"/>
      <c r="J205" s="159"/>
      <c r="K205" s="159"/>
    </row>
    <row r="206" ht="15.75" customHeight="1">
      <c r="A206" s="168"/>
      <c r="B206" s="159"/>
      <c r="C206" s="159"/>
      <c r="D206" s="159"/>
      <c r="E206" s="159"/>
      <c r="F206" s="159"/>
      <c r="G206" s="159"/>
      <c r="H206" s="159"/>
      <c r="I206" s="159"/>
      <c r="J206" s="159"/>
      <c r="K206" s="159"/>
    </row>
    <row r="207" ht="15.75" customHeight="1">
      <c r="A207" s="168"/>
      <c r="B207" s="159"/>
      <c r="C207" s="159"/>
      <c r="D207" s="159"/>
      <c r="E207" s="159"/>
      <c r="F207" s="159"/>
      <c r="G207" s="159"/>
      <c r="H207" s="159"/>
      <c r="I207" s="159"/>
      <c r="J207" s="159"/>
      <c r="K207" s="159"/>
    </row>
    <row r="208" ht="15.75" customHeight="1">
      <c r="A208" s="168"/>
      <c r="B208" s="159"/>
      <c r="C208" s="159"/>
      <c r="D208" s="159"/>
      <c r="E208" s="159"/>
      <c r="F208" s="159"/>
      <c r="G208" s="159"/>
      <c r="H208" s="159"/>
      <c r="I208" s="159"/>
      <c r="J208" s="159"/>
      <c r="K208" s="159"/>
    </row>
    <row r="209" ht="15.75" customHeight="1">
      <c r="A209" s="168"/>
      <c r="B209" s="159"/>
      <c r="C209" s="159"/>
      <c r="D209" s="159"/>
      <c r="E209" s="159"/>
      <c r="F209" s="159"/>
      <c r="G209" s="159"/>
      <c r="H209" s="159"/>
      <c r="I209" s="159"/>
      <c r="J209" s="159"/>
      <c r="K209" s="159"/>
    </row>
    <row r="210" ht="15.75" customHeight="1">
      <c r="A210" s="168"/>
      <c r="B210" s="159"/>
      <c r="C210" s="159"/>
      <c r="D210" s="159"/>
      <c r="E210" s="159"/>
      <c r="F210" s="159"/>
      <c r="G210" s="159"/>
      <c r="H210" s="159"/>
      <c r="I210" s="159"/>
      <c r="J210" s="159"/>
      <c r="K210" s="159"/>
    </row>
    <row r="211" ht="15.75" customHeight="1">
      <c r="A211" s="168"/>
      <c r="B211" s="159"/>
      <c r="C211" s="159"/>
      <c r="D211" s="159"/>
      <c r="E211" s="159"/>
      <c r="F211" s="159"/>
      <c r="G211" s="159"/>
      <c r="H211" s="159"/>
      <c r="I211" s="159"/>
      <c r="J211" s="159"/>
      <c r="K211" s="159"/>
    </row>
    <row r="212" ht="15.75" customHeight="1">
      <c r="A212" s="168"/>
      <c r="B212" s="159"/>
      <c r="C212" s="159"/>
      <c r="D212" s="159"/>
      <c r="E212" s="159"/>
      <c r="F212" s="159"/>
      <c r="G212" s="159"/>
      <c r="H212" s="159"/>
      <c r="I212" s="159"/>
      <c r="J212" s="159"/>
      <c r="K212" s="159"/>
    </row>
    <row r="213" ht="15.75" customHeight="1">
      <c r="A213" s="168"/>
      <c r="B213" s="159"/>
      <c r="C213" s="159"/>
      <c r="D213" s="159"/>
      <c r="E213" s="159"/>
      <c r="F213" s="159"/>
      <c r="G213" s="159"/>
      <c r="H213" s="159"/>
      <c r="I213" s="159"/>
      <c r="J213" s="159"/>
      <c r="K213" s="159"/>
    </row>
    <row r="214" ht="15.75" customHeight="1">
      <c r="A214" s="168"/>
      <c r="B214" s="159"/>
      <c r="C214" s="159"/>
      <c r="D214" s="159"/>
      <c r="E214" s="159"/>
      <c r="F214" s="159"/>
      <c r="G214" s="159"/>
      <c r="H214" s="159"/>
      <c r="I214" s="159"/>
      <c r="J214" s="159"/>
      <c r="K214" s="159"/>
    </row>
    <row r="215" ht="15.75" customHeight="1">
      <c r="A215" s="168"/>
      <c r="B215" s="159"/>
      <c r="C215" s="159"/>
      <c r="D215" s="159"/>
      <c r="E215" s="159"/>
      <c r="F215" s="159"/>
      <c r="G215" s="159"/>
      <c r="H215" s="159"/>
      <c r="I215" s="159"/>
      <c r="J215" s="159"/>
      <c r="K215" s="159"/>
    </row>
    <row r="216" ht="15.75" customHeight="1">
      <c r="A216" s="168"/>
      <c r="B216" s="159"/>
      <c r="C216" s="159"/>
      <c r="D216" s="159"/>
      <c r="E216" s="159"/>
      <c r="F216" s="159"/>
      <c r="G216" s="159"/>
      <c r="H216" s="159"/>
      <c r="I216" s="159"/>
      <c r="J216" s="159"/>
      <c r="K216" s="159"/>
    </row>
    <row r="217" ht="15.75" customHeight="1">
      <c r="A217" s="168"/>
      <c r="B217" s="159"/>
      <c r="C217" s="159"/>
      <c r="D217" s="159"/>
      <c r="E217" s="159"/>
      <c r="F217" s="159"/>
      <c r="G217" s="159"/>
      <c r="H217" s="159"/>
      <c r="I217" s="159"/>
      <c r="J217" s="159"/>
      <c r="K217" s="159"/>
    </row>
    <row r="218" ht="15.75" customHeight="1">
      <c r="A218" s="168"/>
      <c r="B218" s="159"/>
      <c r="C218" s="159"/>
      <c r="D218" s="159"/>
      <c r="E218" s="159"/>
      <c r="F218" s="159"/>
      <c r="G218" s="159"/>
      <c r="H218" s="159"/>
      <c r="I218" s="159"/>
      <c r="J218" s="159"/>
      <c r="K218" s="159"/>
    </row>
    <row r="219" ht="15.75" customHeight="1">
      <c r="A219" s="168"/>
      <c r="B219" s="159"/>
      <c r="C219" s="159"/>
      <c r="D219" s="159"/>
      <c r="E219" s="159"/>
      <c r="F219" s="159"/>
      <c r="G219" s="159"/>
      <c r="H219" s="159"/>
      <c r="I219" s="159"/>
      <c r="J219" s="159"/>
      <c r="K219" s="159"/>
    </row>
    <row r="220" ht="15.75" customHeight="1">
      <c r="A220" s="168"/>
      <c r="B220" s="159"/>
      <c r="C220" s="159"/>
      <c r="D220" s="159"/>
      <c r="E220" s="159"/>
      <c r="F220" s="159"/>
      <c r="G220" s="159"/>
      <c r="H220" s="159"/>
      <c r="I220" s="159"/>
      <c r="J220" s="159"/>
      <c r="K220" s="159"/>
    </row>
    <row r="221" ht="15.75" customHeight="1">
      <c r="A221" s="168"/>
      <c r="B221" s="159"/>
      <c r="C221" s="159"/>
      <c r="D221" s="159"/>
      <c r="E221" s="159"/>
      <c r="F221" s="159"/>
      <c r="G221" s="159"/>
      <c r="H221" s="159"/>
      <c r="I221" s="159"/>
      <c r="J221" s="159"/>
      <c r="K221" s="159"/>
    </row>
    <row r="222" ht="15.75" customHeight="1">
      <c r="A222" s="168"/>
      <c r="B222" s="159"/>
      <c r="C222" s="159"/>
      <c r="D222" s="159"/>
      <c r="E222" s="159"/>
      <c r="F222" s="159"/>
      <c r="G222" s="159"/>
      <c r="H222" s="159"/>
      <c r="I222" s="159"/>
      <c r="J222" s="159"/>
      <c r="K222" s="159"/>
    </row>
    <row r="223" ht="15.75" customHeight="1">
      <c r="A223" s="168"/>
      <c r="B223" s="159"/>
      <c r="C223" s="159"/>
      <c r="D223" s="159"/>
      <c r="E223" s="159"/>
      <c r="F223" s="159"/>
      <c r="G223" s="159"/>
      <c r="H223" s="159"/>
      <c r="I223" s="159"/>
      <c r="J223" s="159"/>
      <c r="K223" s="159"/>
    </row>
    <row r="224" ht="15.75" customHeight="1">
      <c r="A224" s="168"/>
      <c r="B224" s="159"/>
      <c r="C224" s="159"/>
      <c r="D224" s="159"/>
      <c r="E224" s="159"/>
      <c r="F224" s="159"/>
      <c r="G224" s="159"/>
      <c r="H224" s="159"/>
      <c r="I224" s="159"/>
      <c r="J224" s="159"/>
      <c r="K224" s="159"/>
    </row>
    <row r="225" ht="15.75" customHeight="1">
      <c r="A225" s="168"/>
      <c r="B225" s="159"/>
      <c r="C225" s="159"/>
      <c r="D225" s="159"/>
      <c r="E225" s="159"/>
      <c r="F225" s="159"/>
      <c r="G225" s="159"/>
      <c r="H225" s="159"/>
      <c r="I225" s="159"/>
      <c r="J225" s="159"/>
      <c r="K225" s="159"/>
    </row>
    <row r="226" ht="15.75" customHeight="1">
      <c r="A226" s="168"/>
      <c r="B226" s="159"/>
      <c r="C226" s="159"/>
      <c r="D226" s="159"/>
      <c r="E226" s="159"/>
      <c r="F226" s="159"/>
      <c r="G226" s="159"/>
      <c r="H226" s="159"/>
      <c r="I226" s="159"/>
      <c r="J226" s="159"/>
      <c r="K226" s="159"/>
    </row>
    <row r="227" ht="15.75" customHeight="1">
      <c r="A227" s="168"/>
      <c r="B227" s="159"/>
      <c r="C227" s="159"/>
      <c r="D227" s="159"/>
      <c r="E227" s="159"/>
      <c r="F227" s="159"/>
      <c r="G227" s="159"/>
      <c r="H227" s="159"/>
      <c r="I227" s="159"/>
      <c r="J227" s="159"/>
      <c r="K227" s="159"/>
    </row>
    <row r="228" ht="15.75" customHeight="1">
      <c r="A228" s="168"/>
      <c r="B228" s="159"/>
      <c r="C228" s="159"/>
      <c r="D228" s="159"/>
      <c r="E228" s="159"/>
      <c r="F228" s="159"/>
      <c r="G228" s="159"/>
      <c r="H228" s="159"/>
      <c r="I228" s="159"/>
      <c r="J228" s="159"/>
      <c r="K228" s="159"/>
    </row>
    <row r="229" ht="15.75" customHeight="1">
      <c r="A229" s="168"/>
      <c r="B229" s="159"/>
      <c r="C229" s="159"/>
      <c r="D229" s="159"/>
      <c r="E229" s="159"/>
      <c r="F229" s="159"/>
      <c r="G229" s="159"/>
      <c r="H229" s="159"/>
      <c r="I229" s="159"/>
      <c r="J229" s="159"/>
      <c r="K229" s="159"/>
    </row>
    <row r="230" ht="15.75" customHeight="1">
      <c r="A230" s="168"/>
      <c r="B230" s="159"/>
      <c r="C230" s="159"/>
      <c r="D230" s="159"/>
      <c r="E230" s="159"/>
      <c r="F230" s="159"/>
      <c r="G230" s="159"/>
      <c r="H230" s="159"/>
      <c r="I230" s="159"/>
      <c r="J230" s="159"/>
      <c r="K230" s="159"/>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B2:C30 H2:H30">
      <formula1>#REF!</formula1>
    </dataValidation>
  </dataValidations>
  <hyperlinks>
    <hyperlink display="TL01" location="'TL01'!A1" ref="A2"/>
    <hyperlink display="TL02" location="'TL02'!A1" ref="A3"/>
    <hyperlink display="TL03" location="'TL03'!A1" ref="A4"/>
    <hyperlink display="TL04" location="'TL04'!A1" ref="A5"/>
    <hyperlink display="TL05" location="'TL05'!A1" ref="A6"/>
    <hyperlink display="TL06" location="'TL06'!A1" ref="A7"/>
    <hyperlink display="TL07" location="'TL07'!A1" ref="A8"/>
    <hyperlink display="TL08" location="'TL08'!A1" ref="A9"/>
    <hyperlink display="TL09" location="'TL09'!A1" ref="A10"/>
    <hyperlink display="TL10" location="'TL10'!A1" ref="A11"/>
    <hyperlink display="TL11" location="'TL11'!A1" ref="A12"/>
    <hyperlink display="TL12" location="'TL12'!A1" ref="A13"/>
    <hyperlink display="TL13" location="'TL13'!A1" ref="A14"/>
    <hyperlink display="TL14" location="'TL14'!A1" ref="A15"/>
    <hyperlink display="TL15" location="'TL15'!A1" ref="A16"/>
    <hyperlink display="TL16" location="'TL16'!A1" ref="A17"/>
    <hyperlink display="TL17" location="'TL17'!A1" ref="A18"/>
    <hyperlink display="TL18" location="'TL18'!A1" ref="A19"/>
    <hyperlink display="TL19" location="'TL19'!A1" ref="A20"/>
  </hyperlink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fitToPage="1"/>
  </sheetPr>
  <sheetViews>
    <sheetView workbookViewId="0"/>
  </sheetViews>
  <sheetFormatPr customHeight="1" defaultColWidth="12.63" defaultRowHeight="15.0" outlineLevelRow="1"/>
  <cols>
    <col customWidth="1" min="1" max="1" width="16.88"/>
    <col customWidth="1" min="2" max="2" width="21.5"/>
    <col customWidth="1" min="3" max="3" width="41.5"/>
    <col customWidth="1" min="4" max="4" width="38.38"/>
    <col customWidth="1" min="5" max="5" width="14.88"/>
    <col customWidth="1" min="6" max="6" width="11.88"/>
    <col customWidth="1" min="7" max="7" width="8.63"/>
    <col customWidth="1" min="8" max="8" width="11.0"/>
    <col customWidth="1" min="9" max="9" width="7.88"/>
    <col customWidth="1" min="10" max="10" width="7.75"/>
    <col customWidth="1" min="11" max="11" width="12.0"/>
    <col customWidth="1" min="12" max="12" width="14.63"/>
    <col customWidth="1" min="13" max="21" width="14.38"/>
    <col customWidth="1" min="22" max="22" width="5.25"/>
    <col customWidth="1" min="23" max="24" width="14.38"/>
  </cols>
  <sheetData>
    <row r="1">
      <c r="A1" s="169" t="s">
        <v>1165</v>
      </c>
      <c r="B1" s="170" t="str">
        <f>'ÁREA PLANTIO'!B2</f>
        <v>ÁREA 1</v>
      </c>
      <c r="C1" s="171" t="s">
        <v>1166</v>
      </c>
      <c r="D1" s="172">
        <f>$K$225</f>
        <v>1845.844771</v>
      </c>
      <c r="E1" s="173"/>
      <c r="F1" s="174" t="s">
        <v>1167</v>
      </c>
      <c r="G1" s="175"/>
      <c r="H1" s="176"/>
      <c r="I1" s="176"/>
      <c r="J1" s="176"/>
      <c r="K1" s="175"/>
      <c r="L1" s="177"/>
      <c r="M1" s="177"/>
      <c r="N1" s="177"/>
      <c r="O1" s="177"/>
      <c r="P1" s="177"/>
      <c r="Q1" s="177"/>
      <c r="R1" s="177"/>
      <c r="S1" s="177"/>
      <c r="T1" s="177"/>
      <c r="U1" s="177"/>
      <c r="V1" s="177"/>
      <c r="W1" s="177"/>
      <c r="X1" s="177"/>
    </row>
    <row r="2">
      <c r="A2" s="178" t="s">
        <v>1168</v>
      </c>
      <c r="B2" s="179">
        <f>'ÁREA PLANTIO'!E2</f>
        <v>273</v>
      </c>
      <c r="C2" s="180" t="s">
        <v>1169</v>
      </c>
      <c r="D2" s="181">
        <f>'ÁREA PLANTIO'!D2</f>
        <v>70</v>
      </c>
      <c r="E2" s="173"/>
      <c r="F2" s="173"/>
      <c r="G2" s="175"/>
      <c r="H2" s="176"/>
      <c r="I2" s="176"/>
      <c r="J2" s="176"/>
      <c r="K2" s="175"/>
      <c r="L2" s="177"/>
      <c r="M2" s="177"/>
      <c r="N2" s="177"/>
      <c r="O2" s="177"/>
      <c r="P2" s="177"/>
      <c r="Q2" s="177"/>
      <c r="R2" s="177"/>
      <c r="S2" s="177"/>
      <c r="T2" s="177"/>
      <c r="U2" s="177"/>
      <c r="V2" s="177"/>
      <c r="W2" s="177"/>
      <c r="X2" s="177"/>
    </row>
    <row r="3">
      <c r="A3" s="178" t="s">
        <v>1170</v>
      </c>
      <c r="B3" s="176" t="str">
        <f>'ÁREA PLANTIO'!C2</f>
        <v>FA-SOJA SEQUEIRO-26/27</v>
      </c>
      <c r="C3" s="180" t="s">
        <v>1171</v>
      </c>
      <c r="D3" s="182">
        <f>D1/D2</f>
        <v>26.36921102</v>
      </c>
      <c r="E3" s="173"/>
      <c r="F3" s="173"/>
      <c r="G3" s="175"/>
      <c r="H3" s="176"/>
      <c r="I3" s="176"/>
      <c r="J3" s="176"/>
      <c r="K3" s="175"/>
      <c r="L3" s="177"/>
      <c r="M3" s="177"/>
      <c r="N3" s="177"/>
      <c r="O3" s="177"/>
      <c r="P3" s="177"/>
      <c r="Q3" s="177"/>
      <c r="R3" s="177"/>
      <c r="S3" s="177"/>
      <c r="T3" s="177"/>
      <c r="U3" s="177"/>
      <c r="V3" s="177"/>
      <c r="W3" s="177"/>
      <c r="X3" s="177"/>
    </row>
    <row r="4">
      <c r="A4" s="183" t="s">
        <v>1172</v>
      </c>
      <c r="B4" s="184">
        <v>45606.0</v>
      </c>
      <c r="C4" s="185"/>
      <c r="D4" s="186"/>
      <c r="E4" s="187"/>
      <c r="F4" s="173"/>
      <c r="G4" s="175"/>
      <c r="H4" s="176"/>
      <c r="I4" s="176"/>
      <c r="J4" s="176"/>
      <c r="K4" s="175"/>
      <c r="L4" s="177"/>
      <c r="M4" s="177"/>
      <c r="N4" s="177"/>
      <c r="O4" s="177"/>
      <c r="P4" s="177"/>
      <c r="Q4" s="177"/>
      <c r="R4" s="177"/>
      <c r="S4" s="177"/>
      <c r="T4" s="177"/>
      <c r="U4" s="177"/>
      <c r="V4" s="177"/>
      <c r="W4" s="177"/>
      <c r="X4" s="177"/>
    </row>
    <row r="5">
      <c r="A5" s="177"/>
      <c r="B5" s="177"/>
      <c r="C5" s="177"/>
      <c r="D5" s="177"/>
      <c r="E5" s="188"/>
      <c r="F5" s="173"/>
      <c r="G5" s="175"/>
      <c r="H5" s="176"/>
      <c r="I5" s="176"/>
      <c r="J5" s="176"/>
      <c r="K5" s="175"/>
      <c r="L5" s="177"/>
      <c r="M5" s="177"/>
      <c r="N5" s="177"/>
      <c r="O5" s="177"/>
      <c r="P5" s="177"/>
      <c r="Q5" s="177"/>
      <c r="R5" s="177"/>
      <c r="S5" s="177"/>
      <c r="T5" s="177"/>
      <c r="U5" s="177"/>
      <c r="V5" s="177"/>
      <c r="W5" s="177"/>
      <c r="X5" s="177"/>
    </row>
    <row r="6">
      <c r="A6" s="178"/>
      <c r="B6" s="176"/>
      <c r="C6" s="173"/>
      <c r="D6" s="173"/>
      <c r="E6" s="173"/>
      <c r="F6" s="173"/>
      <c r="G6" s="175"/>
      <c r="H6" s="176"/>
      <c r="I6" s="176"/>
      <c r="J6" s="176"/>
      <c r="K6" s="175"/>
      <c r="L6" s="177"/>
      <c r="M6" s="189" t="s">
        <v>1165</v>
      </c>
      <c r="N6" s="189" t="s">
        <v>1165</v>
      </c>
      <c r="O6" s="189" t="s">
        <v>1165</v>
      </c>
      <c r="P6" s="189" t="s">
        <v>1165</v>
      </c>
      <c r="Q6" s="189" t="s">
        <v>1165</v>
      </c>
      <c r="R6" s="189" t="s">
        <v>1165</v>
      </c>
      <c r="S6" s="177"/>
      <c r="T6" s="177"/>
      <c r="U6" s="177"/>
      <c r="V6" s="177"/>
      <c r="W6" s="177"/>
      <c r="X6" s="177"/>
    </row>
    <row r="7">
      <c r="A7" s="176"/>
      <c r="B7" s="176"/>
      <c r="C7" s="173"/>
      <c r="D7" s="173"/>
      <c r="E7" s="173"/>
      <c r="F7" s="173"/>
      <c r="G7" s="175"/>
      <c r="H7" s="176"/>
      <c r="I7" s="176"/>
      <c r="J7" s="176"/>
      <c r="K7" s="175"/>
      <c r="L7" s="177"/>
      <c r="M7" s="177"/>
      <c r="N7" s="177"/>
      <c r="O7" s="177"/>
      <c r="P7" s="177"/>
      <c r="Q7" s="177"/>
      <c r="R7" s="177"/>
      <c r="S7" s="177"/>
      <c r="T7" s="177"/>
      <c r="U7" s="177"/>
      <c r="V7" s="177"/>
      <c r="W7" s="177"/>
      <c r="X7" s="177"/>
    </row>
    <row r="8">
      <c r="A8" s="176"/>
      <c r="B8" s="176"/>
      <c r="C8" s="176"/>
      <c r="D8" s="176"/>
      <c r="E8" s="173"/>
      <c r="F8" s="173"/>
      <c r="G8" s="175"/>
      <c r="H8" s="176"/>
      <c r="I8" s="176"/>
      <c r="J8" s="176"/>
      <c r="K8" s="175"/>
      <c r="L8" s="177"/>
      <c r="M8" s="177"/>
      <c r="N8" s="177"/>
      <c r="O8" s="177"/>
      <c r="P8" s="177"/>
      <c r="Q8" s="177"/>
      <c r="R8" s="177"/>
      <c r="S8" s="177"/>
      <c r="T8" s="177"/>
      <c r="U8" s="177"/>
      <c r="V8" s="177"/>
      <c r="W8" s="177"/>
      <c r="X8" s="177"/>
    </row>
    <row r="9">
      <c r="A9" s="190" t="s">
        <v>1173</v>
      </c>
      <c r="B9" s="191" t="s">
        <v>1174</v>
      </c>
      <c r="C9" s="191" t="s">
        <v>1175</v>
      </c>
      <c r="D9" s="190" t="s">
        <v>1176</v>
      </c>
      <c r="E9" s="190" t="s">
        <v>1177</v>
      </c>
      <c r="F9" s="190" t="s">
        <v>1178</v>
      </c>
      <c r="G9" s="192" t="s">
        <v>1179</v>
      </c>
      <c r="H9" s="192" t="s">
        <v>1180</v>
      </c>
      <c r="I9" s="192" t="s">
        <v>1181</v>
      </c>
      <c r="J9" s="193" t="s">
        <v>1134</v>
      </c>
      <c r="K9" s="194" t="s">
        <v>1182</v>
      </c>
      <c r="L9" s="195" t="s">
        <v>339</v>
      </c>
      <c r="M9" s="177"/>
      <c r="N9" s="177"/>
      <c r="O9" s="177"/>
      <c r="P9" s="177"/>
      <c r="Q9" s="177"/>
      <c r="R9" s="177"/>
      <c r="S9" s="177"/>
      <c r="T9" s="177"/>
      <c r="U9" s="177"/>
      <c r="V9" s="177"/>
      <c r="W9" s="177"/>
      <c r="X9" s="177"/>
    </row>
    <row r="10">
      <c r="A10" s="196" t="s">
        <v>1183</v>
      </c>
      <c r="B10" s="197"/>
      <c r="C10" s="196"/>
      <c r="D10" s="198" t="s">
        <v>216</v>
      </c>
      <c r="E10" s="196"/>
      <c r="F10" s="196"/>
      <c r="G10" s="199"/>
      <c r="H10" s="200"/>
      <c r="I10" s="201"/>
      <c r="J10" s="202"/>
      <c r="K10" s="203">
        <f t="shared" ref="K10:L10" si="1">SUBTOTAL(9,K11:K24)</f>
        <v>0</v>
      </c>
      <c r="L10" s="203">
        <f t="shared" si="1"/>
        <v>0</v>
      </c>
      <c r="M10" s="177"/>
      <c r="N10" s="177"/>
      <c r="O10" s="177"/>
      <c r="P10" s="177"/>
      <c r="Q10" s="177"/>
      <c r="R10" s="177"/>
      <c r="S10" s="177"/>
      <c r="T10" s="177"/>
      <c r="U10" s="177"/>
      <c r="V10" s="177"/>
      <c r="W10" s="177"/>
      <c r="X10" s="177"/>
    </row>
    <row r="11" outlineLevel="1">
      <c r="A11" s="191"/>
      <c r="B11" s="204" t="s">
        <v>8</v>
      </c>
      <c r="C11" s="191" t="s">
        <v>397</v>
      </c>
      <c r="D11" s="205" t="str">
        <f>IFERROR(VLOOKUP($C11,'PORTIFÓLIO'!C:V,2,0),"")</f>
        <v>CaO 38%  MgO 18%</v>
      </c>
      <c r="E11" s="190" t="str">
        <f>IFERROR(VLOOKUP($C11,'PORTIFÓLIO'!C:V,3,0),"")</f>
        <v/>
      </c>
      <c r="F11" s="190" t="str">
        <f>IFERROR(VLOOKUP($C11,'PORTIFÓLIO'!C:V,4,0),"")</f>
        <v>Ton</v>
      </c>
      <c r="G11" s="206" t="str">
        <f>IFERROR(VLOOKUP($C11,'PORTIFÓLIO'!C:V,5,0),"")</f>
        <v/>
      </c>
      <c r="H11" s="207" t="str">
        <f t="array" ref="H11">IFERROR(INDEX('PORTIFÓLIO'!$H$4:$H$433,MATCH($C11,'PORTIFÓLIO'!$C$4:$C$433,0)),"")</f>
        <v/>
      </c>
      <c r="I11" s="208">
        <v>3.0</v>
      </c>
      <c r="J11" s="209">
        <f t="shared" ref="J11:J24" si="2">I11*$B$2</f>
        <v>819</v>
      </c>
      <c r="K11" s="210">
        <f t="array" ref="K11">IFERROR(I11*INDEX('PORTIFÓLIO'!$S$4:$S$433,MATCH($C11,'PORTIFÓLIO'!$C$4:$C$433,0)),"")</f>
        <v>0</v>
      </c>
      <c r="L11" s="210">
        <f t="array" ref="L11">IFERROR(J11*INDEX('PORTIFÓLIO'!$S$4:$S$433,MATCH($C11,'PORTIFÓLIO'!$C$4:$C$433,0)),"")</f>
        <v>0</v>
      </c>
      <c r="M11" s="177"/>
      <c r="N11" s="177"/>
      <c r="O11" s="177"/>
      <c r="P11" s="177"/>
      <c r="Q11" s="177"/>
      <c r="R11" s="177"/>
      <c r="S11" s="177"/>
      <c r="T11" s="177"/>
      <c r="U11" s="177"/>
      <c r="V11" s="177" t="str">
        <f>IFERROR(__xludf.DUMMYFUNCTION("FILTER('PORTIFÓLIO'!C:C, 'PORTIFÓLIO'!B:B=B11)"),"#REF!")</f>
        <v>#REF!</v>
      </c>
      <c r="W11" s="177"/>
      <c r="X11" s="177"/>
    </row>
    <row r="12" outlineLevel="1">
      <c r="A12" s="191"/>
      <c r="B12" s="204" t="s">
        <v>7</v>
      </c>
      <c r="C12" s="191" t="s">
        <v>423</v>
      </c>
      <c r="D12" s="205" t="str">
        <f>IFERROR(VLOOKUP($C12,'PORTIFÓLIO'!C:V,2,0),"")</f>
        <v>P2O5 14%</v>
      </c>
      <c r="E12" s="190" t="str">
        <f>IFERROR(VLOOKUP($C12,'PORTIFÓLIO'!C:V,3,0),"")</f>
        <v/>
      </c>
      <c r="F12" s="190" t="str">
        <f>IFERROR(VLOOKUP($C12,'PORTIFÓLIO'!C:V,4,0),"")</f>
        <v>Ton</v>
      </c>
      <c r="G12" s="206" t="str">
        <f>IFERROR(VLOOKUP($C12,'PORTIFÓLIO'!C:V,5,0),"")</f>
        <v/>
      </c>
      <c r="H12" s="207" t="str">
        <f t="array" ref="H12">IFERROR(INDEX('PORTIFÓLIO'!$H$4:$H$433,MATCH($C12,'PORTIFÓLIO'!$C$4:$C$433,0)),"")</f>
        <v/>
      </c>
      <c r="I12" s="208">
        <v>0.5</v>
      </c>
      <c r="J12" s="209">
        <f t="shared" si="2"/>
        <v>136.5</v>
      </c>
      <c r="K12" s="210">
        <f t="array" ref="K12">IFERROR(I12*INDEX('PORTIFÓLIO'!$S$4:$S$433,MATCH($C12,'PORTIFÓLIO'!$C$4:$C$433,0)),"")</f>
        <v>0</v>
      </c>
      <c r="L12" s="210">
        <f t="array" ref="L12">IFERROR(J12*INDEX('PORTIFÓLIO'!$S$4:$S$433,MATCH($C12,'PORTIFÓLIO'!$C$4:$C$433,0)),"")</f>
        <v>0</v>
      </c>
      <c r="M12" s="177"/>
      <c r="N12" s="177"/>
      <c r="O12" s="177"/>
      <c r="P12" s="177"/>
      <c r="Q12" s="177"/>
      <c r="R12" s="177"/>
      <c r="S12" s="177"/>
      <c r="T12" s="177"/>
      <c r="U12" s="177"/>
      <c r="V12" s="177" t="str">
        <f>IFERROR(__xludf.DUMMYFUNCTION("FILTER('PORTIFÓLIO'!C:C, 'PORTIFÓLIO'!B:B=B12)"),"#REF!")</f>
        <v>#REF!</v>
      </c>
      <c r="W12" s="177"/>
      <c r="X12" s="177"/>
    </row>
    <row r="13" outlineLevel="1">
      <c r="A13" s="191"/>
      <c r="B13" s="204" t="s">
        <v>7</v>
      </c>
      <c r="C13" s="191" t="s">
        <v>405</v>
      </c>
      <c r="D13" s="205" t="str">
        <f>IFERROR(VLOOKUP($C13,'PORTIFÓLIO'!C:V,2,0),"")</f>
        <v>K2O 60%</v>
      </c>
      <c r="E13" s="190" t="str">
        <f>IFERROR(VLOOKUP($C13,'PORTIFÓLIO'!C:V,3,0),"")</f>
        <v/>
      </c>
      <c r="F13" s="190" t="str">
        <f>IFERROR(VLOOKUP($C13,'PORTIFÓLIO'!C:V,4,0),"")</f>
        <v>Ton</v>
      </c>
      <c r="G13" s="206" t="str">
        <f>IFERROR(VLOOKUP($C13,'PORTIFÓLIO'!C:V,5,0),"")</f>
        <v/>
      </c>
      <c r="H13" s="207" t="str">
        <f t="array" ref="H13">IFERROR(INDEX('PORTIFÓLIO'!$H$4:$H$433,MATCH($C13,'PORTIFÓLIO'!$C$4:$C$433,0)),"")</f>
        <v/>
      </c>
      <c r="I13" s="208">
        <v>0.2</v>
      </c>
      <c r="J13" s="209">
        <f t="shared" si="2"/>
        <v>54.6</v>
      </c>
      <c r="K13" s="210">
        <f t="array" ref="K13">IFERROR(I13*INDEX('PORTIFÓLIO'!$S$4:$S$433,MATCH($C13,'PORTIFÓLIO'!$C$4:$C$433,0)),"")</f>
        <v>0</v>
      </c>
      <c r="L13" s="210">
        <f t="array" ref="L13">IFERROR(J13*INDEX('PORTIFÓLIO'!$S$4:$S$433,MATCH($C13,'PORTIFÓLIO'!$C$4:$C$433,0)),"")</f>
        <v>0</v>
      </c>
      <c r="M13" s="177"/>
      <c r="N13" s="177"/>
      <c r="O13" s="177"/>
      <c r="P13" s="177"/>
      <c r="Q13" s="177"/>
      <c r="R13" s="177"/>
      <c r="S13" s="177"/>
      <c r="T13" s="177"/>
      <c r="U13" s="177"/>
      <c r="V13" s="177" t="str">
        <f>IFERROR(__xludf.DUMMYFUNCTION("FILTER('PORTIFÓLIO'!C:C, 'PORTIFÓLIO'!B:B=B13)"),"#REF!")</f>
        <v>#REF!</v>
      </c>
      <c r="W13" s="177"/>
      <c r="X13" s="177"/>
    </row>
    <row r="14" outlineLevel="1">
      <c r="A14" s="190"/>
      <c r="B14" s="204" t="s">
        <v>7</v>
      </c>
      <c r="C14" s="191" t="s">
        <v>429</v>
      </c>
      <c r="D14" s="205" t="str">
        <f>IFERROR(VLOOKUP($C14,'PORTIFÓLIO'!C:V,2,0),"")</f>
        <v>Cu 2% Mn 8% Zn 7% </v>
      </c>
      <c r="E14" s="190" t="str">
        <f>IFERROR(VLOOKUP($C14,'PORTIFÓLIO'!C:V,3,0),"")</f>
        <v/>
      </c>
      <c r="F14" s="190" t="str">
        <f>IFERROR(VLOOKUP($C14,'PORTIFÓLIO'!C:V,4,0),"")</f>
        <v>Ton</v>
      </c>
      <c r="G14" s="206" t="str">
        <f>IFERROR(VLOOKUP($C14,'PORTIFÓLIO'!C:V,5,0),"")</f>
        <v/>
      </c>
      <c r="H14" s="207" t="str">
        <f t="array" ref="H14">IFERROR(INDEX('PORTIFÓLIO'!$H$4:$H$433,MATCH($C14,'PORTIFÓLIO'!$C$4:$C$433,0)),"")</f>
        <v/>
      </c>
      <c r="I14" s="208">
        <v>0.05</v>
      </c>
      <c r="J14" s="209">
        <f t="shared" si="2"/>
        <v>13.65</v>
      </c>
      <c r="K14" s="210">
        <f t="array" ref="K14">IFERROR(I14*INDEX('PORTIFÓLIO'!$S$4:$S$433,MATCH($C14,'PORTIFÓLIO'!$C$4:$C$433,0)),"")</f>
        <v>0</v>
      </c>
      <c r="L14" s="210">
        <f t="array" ref="L14">IFERROR(J14*INDEX('PORTIFÓLIO'!$S$4:$S$433,MATCH($C14,'PORTIFÓLIO'!$C$4:$C$433,0)),"")</f>
        <v>0</v>
      </c>
      <c r="M14" s="177"/>
      <c r="N14" s="177"/>
      <c r="O14" s="177"/>
      <c r="P14" s="177"/>
      <c r="Q14" s="177"/>
      <c r="R14" s="177"/>
      <c r="S14" s="177"/>
      <c r="T14" s="177"/>
      <c r="U14" s="177"/>
      <c r="V14" s="177" t="str">
        <f>IFERROR(__xludf.DUMMYFUNCTION("FILTER('PORTIFÓLIO'!C:C, 'PORTIFÓLIO'!B:B=B14)"),"#REF!")</f>
        <v>#REF!</v>
      </c>
      <c r="W14" s="177"/>
      <c r="X14" s="177"/>
    </row>
    <row r="15" outlineLevel="1">
      <c r="A15" s="211"/>
      <c r="B15" s="212"/>
      <c r="C15" s="213"/>
      <c r="D15" s="214" t="str">
        <f>IFERROR(VLOOKUP($C15,'PORTIFÓLIO'!C:V,2,0),"")</f>
        <v/>
      </c>
      <c r="E15" s="211" t="str">
        <f>IFERROR(VLOOKUP($C15,'PORTIFÓLIO'!C:V,3,0),"")</f>
        <v/>
      </c>
      <c r="F15" s="211" t="str">
        <f>IFERROR(VLOOKUP($C15,'PORTIFÓLIO'!C:V,4,0),"")</f>
        <v/>
      </c>
      <c r="G15" s="215" t="str">
        <f>IFERROR(VLOOKUP($C15,'PORTIFÓLIO'!C:V,5,0),"")</f>
        <v/>
      </c>
      <c r="H15" s="216" t="str">
        <f t="array" ref="H15">IFERROR(INDEX('PORTIFÓLIO'!$H$4:$H$433,MATCH($C15,'PORTIFÓLIO'!$C$4:$C$433,0)),"")</f>
        <v/>
      </c>
      <c r="I15" s="217"/>
      <c r="J15" s="218">
        <f t="shared" si="2"/>
        <v>0</v>
      </c>
      <c r="K15" s="219" t="str">
        <f t="array" ref="K15">IFERROR(I15*INDEX('PORTIFÓLIO'!$S$4:$S$433,MATCH($C15,'PORTIFÓLIO'!$C$4:$C$433,0)),"")</f>
        <v/>
      </c>
      <c r="L15" s="219" t="str">
        <f t="array" ref="L15">IFERROR(J15*INDEX('PORTIFÓLIO'!$S$4:$S$433,MATCH($C15,'PORTIFÓLIO'!$C$4:$C$433,0)),"")</f>
        <v/>
      </c>
      <c r="M15" s="220"/>
      <c r="N15" s="220"/>
      <c r="O15" s="220"/>
      <c r="P15" s="220"/>
      <c r="Q15" s="220"/>
      <c r="R15" s="220"/>
      <c r="S15" s="220"/>
      <c r="T15" s="220"/>
      <c r="U15" s="220"/>
      <c r="V15" s="220" t="str">
        <f>IFERROR(__xludf.DUMMYFUNCTION("FILTER('PORTIFÓLIO'!C:C, 'PORTIFÓLIO'!B:B=B15)"),"#REF!")</f>
        <v>#REF!</v>
      </c>
      <c r="W15" s="220"/>
      <c r="X15" s="220"/>
    </row>
    <row r="16" outlineLevel="1">
      <c r="A16" s="211"/>
      <c r="B16" s="212"/>
      <c r="C16" s="213"/>
      <c r="D16" s="214" t="str">
        <f>IFERROR(VLOOKUP($C16,'PORTIFÓLIO'!C:V,2,0),"")</f>
        <v/>
      </c>
      <c r="E16" s="211" t="str">
        <f>IFERROR(VLOOKUP($C16,'PORTIFÓLIO'!C:V,3,0),"")</f>
        <v/>
      </c>
      <c r="F16" s="211" t="str">
        <f>IFERROR(VLOOKUP($C16,'PORTIFÓLIO'!C:V,4,0),"")</f>
        <v/>
      </c>
      <c r="G16" s="215" t="str">
        <f>IFERROR(VLOOKUP($C16,'PORTIFÓLIO'!C:V,5,0),"")</f>
        <v/>
      </c>
      <c r="H16" s="216" t="str">
        <f t="array" ref="H16">IFERROR(INDEX('PORTIFÓLIO'!$H$4:$H$433,MATCH($C16,'PORTIFÓLIO'!$C$4:$C$433,0)),"")</f>
        <v/>
      </c>
      <c r="I16" s="217"/>
      <c r="J16" s="218">
        <f t="shared" si="2"/>
        <v>0</v>
      </c>
      <c r="K16" s="219" t="str">
        <f t="array" ref="K16">IFERROR(I16*INDEX('PORTIFÓLIO'!$S$4:$S$433,MATCH($C16,'PORTIFÓLIO'!$C$4:$C$433,0)),"")</f>
        <v/>
      </c>
      <c r="L16" s="219" t="str">
        <f t="array" ref="L16">IFERROR(J16*INDEX('PORTIFÓLIO'!$S$4:$S$433,MATCH($C16,'PORTIFÓLIO'!$C$4:$C$433,0)),"")</f>
        <v/>
      </c>
      <c r="M16" s="220"/>
      <c r="N16" s="220"/>
      <c r="O16" s="220"/>
      <c r="P16" s="220"/>
      <c r="Q16" s="220"/>
      <c r="R16" s="220"/>
      <c r="S16" s="220"/>
      <c r="T16" s="220"/>
      <c r="U16" s="220"/>
      <c r="V16" s="220" t="str">
        <f>IFERROR(__xludf.DUMMYFUNCTION("FILTER('PORTIFÓLIO'!C:C, 'PORTIFÓLIO'!B:B=B16)"),"#REF!")</f>
        <v>#REF!</v>
      </c>
      <c r="W16" s="220"/>
      <c r="X16" s="220"/>
    </row>
    <row r="17" outlineLevel="1">
      <c r="A17" s="211"/>
      <c r="B17" s="212"/>
      <c r="C17" s="213"/>
      <c r="D17" s="214" t="str">
        <f>IFERROR(VLOOKUP($C17,'PORTIFÓLIO'!C:V,2,0),"")</f>
        <v/>
      </c>
      <c r="E17" s="211" t="str">
        <f>IFERROR(VLOOKUP($C17,'PORTIFÓLIO'!C:V,3,0),"")</f>
        <v/>
      </c>
      <c r="F17" s="211" t="str">
        <f>IFERROR(VLOOKUP($C17,'PORTIFÓLIO'!C:V,4,0),"")</f>
        <v/>
      </c>
      <c r="G17" s="215" t="str">
        <f>IFERROR(VLOOKUP($C17,'PORTIFÓLIO'!C:V,5,0),"")</f>
        <v/>
      </c>
      <c r="H17" s="216" t="str">
        <f t="array" ref="H17">IFERROR(INDEX('PORTIFÓLIO'!$H$4:$H$433,MATCH($C17,'PORTIFÓLIO'!$C$4:$C$433,0)),"")</f>
        <v/>
      </c>
      <c r="I17" s="217"/>
      <c r="J17" s="218">
        <f t="shared" si="2"/>
        <v>0</v>
      </c>
      <c r="K17" s="219" t="str">
        <f t="array" ref="K17">IFERROR(I17*INDEX('PORTIFÓLIO'!$S$4:$S$433,MATCH($C17,'PORTIFÓLIO'!$C$4:$C$433,0)),"")</f>
        <v/>
      </c>
      <c r="L17" s="219" t="str">
        <f t="array" ref="L17">IFERROR(J17*INDEX('PORTIFÓLIO'!$S$4:$S$433,MATCH($C17,'PORTIFÓLIO'!$C$4:$C$433,0)),"")</f>
        <v/>
      </c>
      <c r="M17" s="220"/>
      <c r="N17" s="220"/>
      <c r="O17" s="220"/>
      <c r="P17" s="220"/>
      <c r="Q17" s="220"/>
      <c r="R17" s="220"/>
      <c r="S17" s="220"/>
      <c r="T17" s="220"/>
      <c r="U17" s="220"/>
      <c r="V17" s="220" t="str">
        <f>IFERROR(__xludf.DUMMYFUNCTION("FILTER('PORTIFÓLIO'!C:C, 'PORTIFÓLIO'!B:B=B17)"),"#REF!")</f>
        <v>#REF!</v>
      </c>
      <c r="W17" s="220"/>
      <c r="X17" s="220"/>
    </row>
    <row r="18" outlineLevel="1">
      <c r="A18" s="211"/>
      <c r="B18" s="212"/>
      <c r="C18" s="213"/>
      <c r="D18" s="214" t="str">
        <f>IFERROR(VLOOKUP($C18,'PORTIFÓLIO'!C:V,2,0),"")</f>
        <v/>
      </c>
      <c r="E18" s="211" t="str">
        <f>IFERROR(VLOOKUP($C18,'PORTIFÓLIO'!C:V,3,0),"")</f>
        <v/>
      </c>
      <c r="F18" s="211" t="str">
        <f>IFERROR(VLOOKUP($C18,'PORTIFÓLIO'!C:V,4,0),"")</f>
        <v/>
      </c>
      <c r="G18" s="215" t="str">
        <f>IFERROR(VLOOKUP($C18,'PORTIFÓLIO'!C:V,5,0),"")</f>
        <v/>
      </c>
      <c r="H18" s="216" t="str">
        <f t="array" ref="H18">IFERROR(INDEX('PORTIFÓLIO'!$H$4:$H$433,MATCH($C18,'PORTIFÓLIO'!$C$4:$C$433,0)),"")</f>
        <v/>
      </c>
      <c r="I18" s="217"/>
      <c r="J18" s="218">
        <f t="shared" si="2"/>
        <v>0</v>
      </c>
      <c r="K18" s="219" t="str">
        <f t="array" ref="K18">IFERROR(I18*INDEX('PORTIFÓLIO'!$S$4:$S$433,MATCH($C18,'PORTIFÓLIO'!$C$4:$C$433,0)),"")</f>
        <v/>
      </c>
      <c r="L18" s="219" t="str">
        <f t="array" ref="L18">IFERROR(J18*INDEX('PORTIFÓLIO'!$S$4:$S$433,MATCH($C18,'PORTIFÓLIO'!$C$4:$C$433,0)),"")</f>
        <v/>
      </c>
      <c r="M18" s="220"/>
      <c r="N18" s="220"/>
      <c r="O18" s="220"/>
      <c r="P18" s="220"/>
      <c r="Q18" s="220"/>
      <c r="R18" s="220"/>
      <c r="S18" s="220"/>
      <c r="T18" s="220"/>
      <c r="U18" s="220"/>
      <c r="V18" s="220" t="str">
        <f>IFERROR(__xludf.DUMMYFUNCTION("FILTER('PORTIFÓLIO'!C:C, 'PORTIFÓLIO'!B:B=B18)"),"#REF!")</f>
        <v>#REF!</v>
      </c>
      <c r="W18" s="220"/>
      <c r="X18" s="220"/>
    </row>
    <row r="19" outlineLevel="1">
      <c r="A19" s="211"/>
      <c r="B19" s="212"/>
      <c r="C19" s="213"/>
      <c r="D19" s="214" t="str">
        <f>IFERROR(VLOOKUP($C19,'PORTIFÓLIO'!C:V,2,0),"")</f>
        <v/>
      </c>
      <c r="E19" s="211" t="str">
        <f>IFERROR(VLOOKUP($C19,'PORTIFÓLIO'!C:V,3,0),"")</f>
        <v/>
      </c>
      <c r="F19" s="211" t="str">
        <f>IFERROR(VLOOKUP($C19,'PORTIFÓLIO'!C:V,4,0),"")</f>
        <v/>
      </c>
      <c r="G19" s="215" t="str">
        <f>IFERROR(VLOOKUP($C19,'PORTIFÓLIO'!C:V,5,0),"")</f>
        <v/>
      </c>
      <c r="H19" s="216" t="str">
        <f t="array" ref="H19">IFERROR(INDEX('PORTIFÓLIO'!$H$4:$H$433,MATCH($C19,'PORTIFÓLIO'!$C$4:$C$433,0)),"")</f>
        <v/>
      </c>
      <c r="I19" s="217"/>
      <c r="J19" s="218">
        <f t="shared" si="2"/>
        <v>0</v>
      </c>
      <c r="K19" s="219" t="str">
        <f t="array" ref="K19">IFERROR(I19*INDEX('PORTIFÓLIO'!$S$4:$S$433,MATCH($C19,'PORTIFÓLIO'!$C$4:$C$433,0)),"")</f>
        <v/>
      </c>
      <c r="L19" s="219" t="str">
        <f t="array" ref="L19">IFERROR(J19*INDEX('PORTIFÓLIO'!$S$4:$S$433,MATCH($C19,'PORTIFÓLIO'!$C$4:$C$433,0)),"")</f>
        <v/>
      </c>
      <c r="M19" s="220"/>
      <c r="N19" s="220"/>
      <c r="O19" s="220"/>
      <c r="P19" s="220"/>
      <c r="Q19" s="220"/>
      <c r="R19" s="220"/>
      <c r="S19" s="220"/>
      <c r="T19" s="220"/>
      <c r="U19" s="220"/>
      <c r="V19" s="220" t="str">
        <f>IFERROR(__xludf.DUMMYFUNCTION("FILTER('PORTIFÓLIO'!C:C, 'PORTIFÓLIO'!B:B=B19)"),"")</f>
        <v/>
      </c>
      <c r="W19" s="220"/>
      <c r="X19" s="220"/>
    </row>
    <row r="20" outlineLevel="1">
      <c r="A20" s="211"/>
      <c r="B20" s="212"/>
      <c r="C20" s="213"/>
      <c r="D20" s="214" t="str">
        <f>IFERROR(VLOOKUP($C20,'PORTIFÓLIO'!C:V,2,0),"")</f>
        <v/>
      </c>
      <c r="E20" s="211" t="str">
        <f>IFERROR(VLOOKUP($C20,'PORTIFÓLIO'!C:V,3,0),"")</f>
        <v/>
      </c>
      <c r="F20" s="211" t="str">
        <f>IFERROR(VLOOKUP($C20,'PORTIFÓLIO'!C:V,4,0),"")</f>
        <v/>
      </c>
      <c r="G20" s="215" t="str">
        <f>IFERROR(VLOOKUP($C20,'PORTIFÓLIO'!C:V,5,0),"")</f>
        <v/>
      </c>
      <c r="H20" s="216" t="str">
        <f t="array" ref="H20">IFERROR(INDEX('PORTIFÓLIO'!$H$4:$H$433,MATCH($C20,'PORTIFÓLIO'!$C$4:$C$433,0)),"")</f>
        <v/>
      </c>
      <c r="I20" s="217"/>
      <c r="J20" s="218">
        <f t="shared" si="2"/>
        <v>0</v>
      </c>
      <c r="K20" s="219" t="str">
        <f t="array" ref="K20">IFERROR(I20*INDEX('PORTIFÓLIO'!$S$4:$S$433,MATCH($C20,'PORTIFÓLIO'!$C$4:$C$433,0)),"")</f>
        <v/>
      </c>
      <c r="L20" s="219" t="str">
        <f t="array" ref="L20">IFERROR(J20*INDEX('PORTIFÓLIO'!$S$4:$S$433,MATCH($C20,'PORTIFÓLIO'!$C$4:$C$433,0)),"")</f>
        <v/>
      </c>
      <c r="M20" s="220"/>
      <c r="N20" s="220"/>
      <c r="O20" s="220"/>
      <c r="P20" s="220"/>
      <c r="Q20" s="220"/>
      <c r="R20" s="220"/>
      <c r="S20" s="220"/>
      <c r="T20" s="220"/>
      <c r="U20" s="220"/>
      <c r="V20" s="220"/>
      <c r="W20" s="220"/>
      <c r="X20" s="220"/>
    </row>
    <row r="21" ht="15.75" customHeight="1" outlineLevel="1">
      <c r="A21" s="211"/>
      <c r="B21" s="212"/>
      <c r="C21" s="213"/>
      <c r="D21" s="214" t="str">
        <f>IFERROR(VLOOKUP($C21,'PORTIFÓLIO'!C:V,2,0),"")</f>
        <v/>
      </c>
      <c r="E21" s="211" t="str">
        <f>IFERROR(VLOOKUP($C21,'PORTIFÓLIO'!C:V,3,0),"")</f>
        <v/>
      </c>
      <c r="F21" s="211" t="str">
        <f>IFERROR(VLOOKUP($C21,'PORTIFÓLIO'!C:V,4,0),"")</f>
        <v/>
      </c>
      <c r="G21" s="215" t="str">
        <f>IFERROR(VLOOKUP($C21,'PORTIFÓLIO'!C:V,5,0),"")</f>
        <v/>
      </c>
      <c r="H21" s="216" t="str">
        <f t="array" ref="H21">IFERROR(INDEX('PORTIFÓLIO'!$H$4:$H$433,MATCH($C21,'PORTIFÓLIO'!$C$4:$C$433,0)),"")</f>
        <v/>
      </c>
      <c r="I21" s="217"/>
      <c r="J21" s="218">
        <f t="shared" si="2"/>
        <v>0</v>
      </c>
      <c r="K21" s="219" t="str">
        <f t="array" ref="K21">IFERROR(I21*INDEX('PORTIFÓLIO'!$S$4:$S$433,MATCH($C21,'PORTIFÓLIO'!$C$4:$C$433,0)),"")</f>
        <v/>
      </c>
      <c r="L21" s="219" t="str">
        <f t="array" ref="L21">IFERROR(J21*INDEX('PORTIFÓLIO'!$S$4:$S$433,MATCH($C21,'PORTIFÓLIO'!$C$4:$C$433,0)),"")</f>
        <v/>
      </c>
      <c r="M21" s="220"/>
      <c r="N21" s="220"/>
      <c r="O21" s="220"/>
      <c r="P21" s="220"/>
      <c r="Q21" s="220"/>
      <c r="R21" s="220"/>
      <c r="S21" s="220"/>
      <c r="T21" s="220"/>
      <c r="U21" s="220"/>
      <c r="V21" s="220"/>
      <c r="W21" s="220"/>
      <c r="X21" s="220"/>
    </row>
    <row r="22" ht="15.75" customHeight="1" outlineLevel="1">
      <c r="A22" s="211"/>
      <c r="B22" s="212"/>
      <c r="C22" s="213"/>
      <c r="D22" s="214" t="str">
        <f>IFERROR(VLOOKUP($C22,'PORTIFÓLIO'!C:V,2,0),"")</f>
        <v/>
      </c>
      <c r="E22" s="211" t="str">
        <f>IFERROR(VLOOKUP($C22,'PORTIFÓLIO'!C:V,3,0),"")</f>
        <v/>
      </c>
      <c r="F22" s="211" t="str">
        <f>IFERROR(VLOOKUP($C22,'PORTIFÓLIO'!C:V,4,0),"")</f>
        <v/>
      </c>
      <c r="G22" s="215" t="str">
        <f>IFERROR(VLOOKUP($C22,'PORTIFÓLIO'!C:V,5,0),"")</f>
        <v/>
      </c>
      <c r="H22" s="216" t="str">
        <f t="array" ref="H22">IFERROR(INDEX('PORTIFÓLIO'!$H$4:$H$433,MATCH($C22,'PORTIFÓLIO'!$C$4:$C$433,0)),"")</f>
        <v/>
      </c>
      <c r="I22" s="217"/>
      <c r="J22" s="218">
        <f t="shared" si="2"/>
        <v>0</v>
      </c>
      <c r="K22" s="219" t="str">
        <f t="array" ref="K22">IFERROR(I22*INDEX('PORTIFÓLIO'!$S$4:$S$433,MATCH($C22,'PORTIFÓLIO'!$C$4:$C$433,0)),"")</f>
        <v/>
      </c>
      <c r="L22" s="219" t="str">
        <f t="array" ref="L22">IFERROR(J22*INDEX('PORTIFÓLIO'!$S$4:$S$433,MATCH($C22,'PORTIFÓLIO'!$C$4:$C$433,0)),"")</f>
        <v/>
      </c>
      <c r="M22" s="220"/>
      <c r="N22" s="220"/>
      <c r="O22" s="220"/>
      <c r="P22" s="220"/>
      <c r="Q22" s="220"/>
      <c r="R22" s="220"/>
      <c r="S22" s="220"/>
      <c r="T22" s="220"/>
      <c r="U22" s="220"/>
      <c r="V22" s="220"/>
      <c r="W22" s="220"/>
      <c r="X22" s="220"/>
    </row>
    <row r="23" ht="15.75" customHeight="1" outlineLevel="1">
      <c r="A23" s="211"/>
      <c r="B23" s="212"/>
      <c r="C23" s="213"/>
      <c r="D23" s="214" t="str">
        <f>IFERROR(VLOOKUP($C23,'PORTIFÓLIO'!C:V,2,0),"")</f>
        <v/>
      </c>
      <c r="E23" s="211" t="str">
        <f>IFERROR(VLOOKUP($C23,'PORTIFÓLIO'!C:V,3,0),"")</f>
        <v/>
      </c>
      <c r="F23" s="211" t="str">
        <f>IFERROR(VLOOKUP($C23,'PORTIFÓLIO'!C:V,4,0),"")</f>
        <v/>
      </c>
      <c r="G23" s="215" t="str">
        <f>IFERROR(VLOOKUP($C23,'PORTIFÓLIO'!C:V,5,0),"")</f>
        <v/>
      </c>
      <c r="H23" s="216" t="str">
        <f t="array" ref="H23">IFERROR(INDEX('PORTIFÓLIO'!$H$4:$H$433,MATCH($C23,'PORTIFÓLIO'!$C$4:$C$433,0)),"")</f>
        <v/>
      </c>
      <c r="I23" s="217"/>
      <c r="J23" s="218">
        <f t="shared" si="2"/>
        <v>0</v>
      </c>
      <c r="K23" s="219" t="str">
        <f t="array" ref="K23">IFERROR(I23*INDEX('PORTIFÓLIO'!$S$4:$S$433,MATCH($C23,'PORTIFÓLIO'!$C$4:$C$433,0)),"")</f>
        <v/>
      </c>
      <c r="L23" s="219" t="str">
        <f t="array" ref="L23">IFERROR(J23*INDEX('PORTIFÓLIO'!$S$4:$S$433,MATCH($C23,'PORTIFÓLIO'!$C$4:$C$433,0)),"")</f>
        <v/>
      </c>
      <c r="M23" s="220"/>
      <c r="N23" s="220"/>
      <c r="O23" s="220"/>
      <c r="P23" s="220"/>
      <c r="Q23" s="220"/>
      <c r="R23" s="220"/>
      <c r="S23" s="220"/>
      <c r="T23" s="220"/>
      <c r="U23" s="220"/>
      <c r="V23" s="220"/>
      <c r="W23" s="220"/>
      <c r="X23" s="220"/>
    </row>
    <row r="24" ht="15.75" customHeight="1" outlineLevel="1">
      <c r="A24" s="211"/>
      <c r="B24" s="212"/>
      <c r="C24" s="213"/>
      <c r="D24" s="214" t="str">
        <f>IFERROR(VLOOKUP($C24,'PORTIFÓLIO'!C:V,2,0),"")</f>
        <v/>
      </c>
      <c r="E24" s="211" t="str">
        <f>IFERROR(VLOOKUP($C24,'PORTIFÓLIO'!C:V,3,0),"")</f>
        <v/>
      </c>
      <c r="F24" s="211" t="str">
        <f>IFERROR(VLOOKUP($C24,'PORTIFÓLIO'!C:V,4,0),"")</f>
        <v/>
      </c>
      <c r="G24" s="215" t="str">
        <f>IFERROR(VLOOKUP($C24,'PORTIFÓLIO'!C:V,5,0),"")</f>
        <v/>
      </c>
      <c r="H24" s="216" t="str">
        <f t="array" ref="H24">IFERROR(INDEX('PORTIFÓLIO'!$H$4:$H$433,MATCH($C24,'PORTIFÓLIO'!$C$4:$C$433,0)),"")</f>
        <v/>
      </c>
      <c r="I24" s="217"/>
      <c r="J24" s="218">
        <f t="shared" si="2"/>
        <v>0</v>
      </c>
      <c r="K24" s="219" t="str">
        <f t="array" ref="K24">IFERROR(I24*INDEX('PORTIFÓLIO'!$S$4:$S$433,MATCH($C24,'PORTIFÓLIO'!$C$4:$C$433,0)),"")</f>
        <v/>
      </c>
      <c r="L24" s="219" t="str">
        <f t="array" ref="L24">IFERROR(J24*INDEX('PORTIFÓLIO'!$S$4:$S$433,MATCH($C24,'PORTIFÓLIO'!$C$4:$C$433,0)),"")</f>
        <v/>
      </c>
      <c r="M24" s="220"/>
      <c r="N24" s="220"/>
      <c r="O24" s="220"/>
      <c r="P24" s="220"/>
      <c r="Q24" s="220"/>
      <c r="R24" s="220"/>
      <c r="S24" s="220"/>
      <c r="T24" s="220"/>
      <c r="U24" s="220"/>
      <c r="V24" s="220"/>
      <c r="W24" s="220"/>
      <c r="X24" s="220"/>
    </row>
    <row r="25" ht="15.75" customHeight="1">
      <c r="A25" s="221" t="s">
        <v>1184</v>
      </c>
      <c r="B25" s="197"/>
      <c r="C25" s="196"/>
      <c r="D25" s="198"/>
      <c r="E25" s="196"/>
      <c r="F25" s="196"/>
      <c r="G25" s="199"/>
      <c r="H25" s="222"/>
      <c r="I25" s="201"/>
      <c r="J25" s="202"/>
      <c r="K25" s="203">
        <f t="shared" ref="K25:L25" si="3">SUBTOTAL(9,K26:K39)</f>
        <v>121.6291032</v>
      </c>
      <c r="L25" s="203">
        <f t="shared" si="3"/>
        <v>33204.74517</v>
      </c>
      <c r="M25" s="177"/>
      <c r="N25" s="177"/>
      <c r="O25" s="177"/>
      <c r="P25" s="177"/>
      <c r="Q25" s="177"/>
      <c r="R25" s="177"/>
      <c r="S25" s="177"/>
      <c r="T25" s="177"/>
      <c r="U25" s="177"/>
      <c r="V25" s="177"/>
      <c r="W25" s="177"/>
      <c r="X25" s="177"/>
    </row>
    <row r="26" ht="15.75" customHeight="1" outlineLevel="1">
      <c r="A26" s="191"/>
      <c r="B26" s="204" t="s">
        <v>1</v>
      </c>
      <c r="C26" s="191" t="s">
        <v>637</v>
      </c>
      <c r="D26" s="205" t="str">
        <f>IFERROR(VLOOKUP($C26,'PORTIFÓLIO'!C:V,2,0),"")</f>
        <v>GLIFOSATO-SAL DE AMÔNIO</v>
      </c>
      <c r="E26" s="190">
        <f>IFERROR(VLOOKUP($C26,'PORTIFÓLIO'!C:V,3,0),"")</f>
        <v>720</v>
      </c>
      <c r="F26" s="190" t="str">
        <f>IFERROR(VLOOKUP($C26,'PORTIFÓLIO'!C:V,4,0),"")</f>
        <v>L</v>
      </c>
      <c r="G26" s="223" t="str">
        <f>IFERROR(VLOOKUP($C26,'PORTIFÓLIO'!C:V,5,0),"")</f>
        <v>📄 Ver bula</v>
      </c>
      <c r="H26" s="207">
        <f t="array" ref="H26">IFERROR(INDEX('PORTIFÓLIO'!$H$4:$H$433,MATCH($C26,'PORTIFÓLIO'!$C$4:$C$433,0)),"")</f>
        <v>2</v>
      </c>
      <c r="I26" s="208">
        <v>2.0</v>
      </c>
      <c r="J26" s="209">
        <f t="shared" ref="J26:J43" si="4">I26*$B$2</f>
        <v>546</v>
      </c>
      <c r="K26" s="210">
        <f t="array" ref="K26">IFERROR(I26*INDEX('PORTIFÓLIO'!$S$4:$S$433,MATCH($C26,'PORTIFÓLIO'!$C$4:$C$433,0)),"")</f>
        <v>49.16</v>
      </c>
      <c r="L26" s="210">
        <f t="array" ref="L26">IFERROR(J26*INDEX('PORTIFÓLIO'!$S$4:$S$433,MATCH($C26,'PORTIFÓLIO'!$C$4:$C$433,0)),"")</f>
        <v>13420.68</v>
      </c>
      <c r="M26" s="177"/>
      <c r="N26" s="177"/>
      <c r="O26" s="177"/>
      <c r="P26" s="177"/>
      <c r="Q26" s="177"/>
      <c r="R26" s="177"/>
      <c r="S26" s="177"/>
      <c r="T26" s="177"/>
      <c r="U26" s="177"/>
      <c r="V26" s="177"/>
      <c r="W26" s="177"/>
      <c r="X26" s="177"/>
    </row>
    <row r="27" ht="15.75" customHeight="1" outlineLevel="1">
      <c r="A27" s="190"/>
      <c r="B27" s="204" t="s">
        <v>1</v>
      </c>
      <c r="C27" s="191" t="s">
        <v>610</v>
      </c>
      <c r="D27" s="205" t="str">
        <f>IFERROR(VLOOKUP($C27,'PORTIFÓLIO'!C:V,2,0),"")</f>
        <v>CLETODIM + FLUROXIPIR-MEPTÍLICO</v>
      </c>
      <c r="E27" s="190" t="str">
        <f>IFERROR(VLOOKUP($C27,'PORTIFÓLIO'!C:V,3,0),"")</f>
        <v>140 + 288</v>
      </c>
      <c r="F27" s="190" t="str">
        <f>IFERROR(VLOOKUP($C27,'PORTIFÓLIO'!C:V,4,0),"")</f>
        <v>L</v>
      </c>
      <c r="G27" s="223" t="str">
        <f>IFERROR(VLOOKUP($C27,'PORTIFÓLIO'!C:V,5,0),"")</f>
        <v>📄 Ver bula</v>
      </c>
      <c r="H27" s="207">
        <f t="array" ref="H27">IFERROR(INDEX('PORTIFÓLIO'!$H$4:$H$433,MATCH($C27,'PORTIFÓLIO'!$C$4:$C$433,0)),"")</f>
        <v>1</v>
      </c>
      <c r="I27" s="208">
        <v>0.8</v>
      </c>
      <c r="J27" s="209">
        <f t="shared" si="4"/>
        <v>218.4</v>
      </c>
      <c r="K27" s="210">
        <f t="array" ref="K27">IFERROR(I27*INDEX('PORTIFÓLIO'!$S$4:$S$433,MATCH($C27,'PORTIFÓLIO'!$C$4:$C$433,0)),"")</f>
        <v>48.039152</v>
      </c>
      <c r="L27" s="210">
        <f t="array" ref="L27">IFERROR(J27*INDEX('PORTIFÓLIO'!$S$4:$S$433,MATCH($C27,'PORTIFÓLIO'!$C$4:$C$433,0)),"")</f>
        <v>13114.6885</v>
      </c>
      <c r="M27" s="177"/>
      <c r="N27" s="177"/>
      <c r="O27" s="177"/>
      <c r="P27" s="177"/>
      <c r="Q27" s="177"/>
      <c r="R27" s="177"/>
      <c r="S27" s="177"/>
      <c r="T27" s="177"/>
      <c r="U27" s="177"/>
      <c r="V27" s="177"/>
      <c r="W27" s="177"/>
      <c r="X27" s="177"/>
    </row>
    <row r="28" ht="15.75" customHeight="1" outlineLevel="1">
      <c r="A28" s="190"/>
      <c r="B28" s="204" t="s">
        <v>6</v>
      </c>
      <c r="C28" s="191" t="s">
        <v>354</v>
      </c>
      <c r="D28" s="205" t="str">
        <f>IFERROR(VLOOKUP($C28,'PORTIFÓLIO'!C:V,2,0),"")</f>
        <v>OLEO MINERAL</v>
      </c>
      <c r="E28" s="190">
        <f>IFERROR(VLOOKUP($C28,'PORTIFÓLIO'!C:V,3,0),"")</f>
        <v>761</v>
      </c>
      <c r="F28" s="190" t="str">
        <f>IFERROR(VLOOKUP($C28,'PORTIFÓLIO'!C:V,4,0),"")</f>
        <v>L</v>
      </c>
      <c r="G28" s="223" t="str">
        <f>IFERROR(VLOOKUP($C28,'PORTIFÓLIO'!C:V,5,0),"")</f>
        <v>📄 Ver bula</v>
      </c>
      <c r="H28" s="207">
        <f t="array" ref="H28">IFERROR(INDEX('PORTIFÓLIO'!$H$4:$H$433,MATCH($C28,'PORTIFÓLIO'!$C$4:$C$433,0)),"")</f>
        <v>0.2</v>
      </c>
      <c r="I28" s="208">
        <v>0.2</v>
      </c>
      <c r="J28" s="209">
        <f t="shared" si="4"/>
        <v>54.6</v>
      </c>
      <c r="K28" s="210">
        <f t="array" ref="K28">IFERROR(I28*INDEX('PORTIFÓLIO'!$S$4:$S$433,MATCH($C28,'PORTIFÓLIO'!$C$4:$C$433,0)),"")</f>
        <v>3.206</v>
      </c>
      <c r="L28" s="210">
        <f t="array" ref="L28">IFERROR(J28*INDEX('PORTIFÓLIO'!$S$4:$S$433,MATCH($C28,'PORTIFÓLIO'!$C$4:$C$433,0)),"")</f>
        <v>875.238</v>
      </c>
      <c r="M28" s="177"/>
      <c r="N28" s="177"/>
      <c r="O28" s="177"/>
      <c r="P28" s="177"/>
      <c r="Q28" s="177"/>
      <c r="R28" s="177"/>
      <c r="S28" s="177"/>
      <c r="T28" s="177"/>
      <c r="U28" s="177"/>
      <c r="V28" s="177"/>
      <c r="W28" s="177"/>
      <c r="X28" s="177"/>
    </row>
    <row r="29" ht="15.75" customHeight="1" outlineLevel="1">
      <c r="A29" s="190"/>
      <c r="B29" s="204" t="s">
        <v>2</v>
      </c>
      <c r="C29" s="191" t="s">
        <v>824</v>
      </c>
      <c r="D29" s="205" t="str">
        <f>IFERROR(VLOOKUP($C29,'PORTIFÓLIO'!C:V,2,0),"")</f>
        <v>CLORANTRANILIPROLE</v>
      </c>
      <c r="E29" s="190">
        <f>IFERROR(VLOOKUP($C29,'PORTIFÓLIO'!C:V,3,0),"")</f>
        <v>200</v>
      </c>
      <c r="F29" s="190" t="str">
        <f>IFERROR(VLOOKUP($C29,'PORTIFÓLIO'!C:V,4,0),"")</f>
        <v>L</v>
      </c>
      <c r="G29" s="223" t="str">
        <f>IFERROR(VLOOKUP($C29,'PORTIFÓLIO'!C:V,5,0),"")</f>
        <v>📄 Ver bula</v>
      </c>
      <c r="H29" s="207">
        <f t="array" ref="H29">IFERROR(INDEX('PORTIFÓLIO'!$H$4:$H$433,MATCH($C29,'PORTIFÓLIO'!$C$4:$C$433,0)),"")</f>
        <v>0.1</v>
      </c>
      <c r="I29" s="208">
        <v>0.04</v>
      </c>
      <c r="J29" s="209">
        <f t="shared" si="4"/>
        <v>10.92</v>
      </c>
      <c r="K29" s="210">
        <f t="array" ref="K29">IFERROR(I29*INDEX('PORTIFÓLIO'!$S$4:$S$433,MATCH($C29,'PORTIFÓLIO'!$C$4:$C$433,0)),"")</f>
        <v>11.31855</v>
      </c>
      <c r="L29" s="210">
        <f t="array" ref="L29">IFERROR(J29*INDEX('PORTIFÓLIO'!$S$4:$S$433,MATCH($C29,'PORTIFÓLIO'!$C$4:$C$433,0)),"")</f>
        <v>3089.96415</v>
      </c>
      <c r="M29" s="177"/>
      <c r="N29" s="177"/>
      <c r="O29" s="177"/>
      <c r="P29" s="177"/>
      <c r="Q29" s="177"/>
      <c r="R29" s="177"/>
      <c r="S29" s="177"/>
      <c r="T29" s="177"/>
      <c r="U29" s="177"/>
      <c r="V29" s="177"/>
      <c r="W29" s="177"/>
      <c r="X29" s="177"/>
    </row>
    <row r="30" ht="15.75" customHeight="1" outlineLevel="1">
      <c r="A30" s="190"/>
      <c r="B30" s="204" t="s">
        <v>2</v>
      </c>
      <c r="C30" s="191" t="s">
        <v>788</v>
      </c>
      <c r="D30" s="205" t="str">
        <f>IFERROR(VLOOKUP($C30,'PORTIFÓLIO'!C:V,2,0),"")</f>
        <v>FIPRONIL</v>
      </c>
      <c r="E30" s="190">
        <f>IFERROR(VLOOKUP($C30,'PORTIFÓLIO'!C:V,3,0),"")</f>
        <v>800</v>
      </c>
      <c r="F30" s="190" t="str">
        <f>IFERROR(VLOOKUP($C30,'PORTIFÓLIO'!C:V,4,0),"")</f>
        <v>L</v>
      </c>
      <c r="G30" s="223" t="str">
        <f>IFERROR(VLOOKUP($C30,'PORTIFÓLIO'!C:V,5,0),"")</f>
        <v>📄 Ver bula</v>
      </c>
      <c r="H30" s="207">
        <f t="array" ref="H30">IFERROR(INDEX('PORTIFÓLIO'!$H$4:$H$433,MATCH($C30,'PORTIFÓLIO'!$C$4:$C$433,0)),"")</f>
        <v>0.04</v>
      </c>
      <c r="I30" s="208">
        <v>0.04</v>
      </c>
      <c r="J30" s="209">
        <f t="shared" si="4"/>
        <v>10.92</v>
      </c>
      <c r="K30" s="210">
        <f t="array" ref="K30">IFERROR(I30*INDEX('PORTIFÓLIO'!$S$4:$S$433,MATCH($C30,'PORTIFÓLIO'!$C$4:$C$433,0)),"")</f>
        <v>9.9054012</v>
      </c>
      <c r="L30" s="210">
        <f t="array" ref="L30">IFERROR(J30*INDEX('PORTIFÓLIO'!$S$4:$S$433,MATCH($C30,'PORTIFÓLIO'!$C$4:$C$433,0)),"")</f>
        <v>2704.174528</v>
      </c>
      <c r="M30" s="177"/>
      <c r="N30" s="177"/>
      <c r="O30" s="177"/>
      <c r="P30" s="177"/>
      <c r="Q30" s="177"/>
      <c r="R30" s="177"/>
      <c r="S30" s="177"/>
      <c r="T30" s="177"/>
      <c r="U30" s="177"/>
      <c r="V30" s="177"/>
      <c r="W30" s="177"/>
      <c r="X30" s="177"/>
    </row>
    <row r="31" ht="15.75" customHeight="1" outlineLevel="1">
      <c r="A31" s="211"/>
      <c r="B31" s="212"/>
      <c r="C31" s="213"/>
      <c r="D31" s="214" t="str">
        <f>IFERROR(VLOOKUP($C31,'PORTIFÓLIO'!C:V,2,0),"")</f>
        <v/>
      </c>
      <c r="E31" s="211" t="str">
        <f>IFERROR(VLOOKUP($C31,'PORTIFÓLIO'!C:V,3,0),"")</f>
        <v/>
      </c>
      <c r="F31" s="211" t="str">
        <f>IFERROR(VLOOKUP($C31,'PORTIFÓLIO'!C:V,4,0),"")</f>
        <v/>
      </c>
      <c r="G31" s="215" t="str">
        <f>IFERROR(VLOOKUP($C31,'PORTIFÓLIO'!C:V,5,0),"")</f>
        <v/>
      </c>
      <c r="H31" s="216" t="str">
        <f t="array" ref="H31">IFERROR(INDEX('PORTIFÓLIO'!$H$4:$H$433,MATCH($C31,'PORTIFÓLIO'!$C$4:$C$433,0)),"")</f>
        <v/>
      </c>
      <c r="I31" s="217"/>
      <c r="J31" s="218">
        <f t="shared" si="4"/>
        <v>0</v>
      </c>
      <c r="K31" s="219" t="str">
        <f t="array" ref="K31">IFERROR(I31*INDEX('PORTIFÓLIO'!$S$4:$S$433,MATCH($C31,'PORTIFÓLIO'!$C$4:$C$433,0)),"")</f>
        <v/>
      </c>
      <c r="L31" s="219" t="str">
        <f t="array" ref="L31">IFERROR(J31*INDEX('PORTIFÓLIO'!$S$4:$S$433,MATCH($C31,'PORTIFÓLIO'!$C$4:$C$433,0)),"")</f>
        <v/>
      </c>
      <c r="M31" s="220"/>
      <c r="N31" s="220"/>
      <c r="O31" s="220"/>
      <c r="P31" s="220"/>
      <c r="Q31" s="220"/>
      <c r="R31" s="220"/>
      <c r="S31" s="220"/>
      <c r="T31" s="220"/>
      <c r="U31" s="220"/>
      <c r="V31" s="220"/>
      <c r="W31" s="220"/>
      <c r="X31" s="220"/>
    </row>
    <row r="32" ht="15.75" customHeight="1" outlineLevel="1">
      <c r="A32" s="211"/>
      <c r="B32" s="212"/>
      <c r="C32" s="213"/>
      <c r="D32" s="214" t="str">
        <f>IFERROR(VLOOKUP($C32,'PORTIFÓLIO'!C:V,2,0),"")</f>
        <v/>
      </c>
      <c r="E32" s="211" t="str">
        <f>IFERROR(VLOOKUP($C32,'PORTIFÓLIO'!C:V,3,0),"")</f>
        <v/>
      </c>
      <c r="F32" s="211" t="str">
        <f>IFERROR(VLOOKUP($C32,'PORTIFÓLIO'!C:V,4,0),"")</f>
        <v/>
      </c>
      <c r="G32" s="215" t="str">
        <f>IFERROR(VLOOKUP($C32,'PORTIFÓLIO'!C:V,5,0),"")</f>
        <v/>
      </c>
      <c r="H32" s="216" t="str">
        <f t="array" ref="H32">IFERROR(INDEX('PORTIFÓLIO'!$H$4:$H$433,MATCH($C32,'PORTIFÓLIO'!$C$4:$C$433,0)),"")</f>
        <v/>
      </c>
      <c r="I32" s="224"/>
      <c r="J32" s="218">
        <f t="shared" si="4"/>
        <v>0</v>
      </c>
      <c r="K32" s="219" t="str">
        <f t="array" ref="K32">IFERROR(I32*INDEX('PORTIFÓLIO'!$S$4:$S$433,MATCH($C32,'PORTIFÓLIO'!$C$4:$C$433,0)),"")</f>
        <v/>
      </c>
      <c r="L32" s="219" t="str">
        <f t="array" ref="L32">IFERROR(J32*INDEX('PORTIFÓLIO'!$S$4:$S$433,MATCH($C32,'PORTIFÓLIO'!$C$4:$C$433,0)),"")</f>
        <v/>
      </c>
      <c r="M32" s="220"/>
      <c r="N32" s="220"/>
      <c r="O32" s="220"/>
      <c r="P32" s="220"/>
      <c r="Q32" s="220"/>
      <c r="R32" s="220"/>
      <c r="S32" s="220"/>
      <c r="T32" s="220"/>
      <c r="U32" s="220"/>
      <c r="V32" s="220"/>
      <c r="W32" s="220"/>
      <c r="X32" s="220"/>
    </row>
    <row r="33" ht="15.75" customHeight="1" outlineLevel="1">
      <c r="A33" s="211"/>
      <c r="B33" s="212"/>
      <c r="C33" s="213"/>
      <c r="D33" s="214" t="str">
        <f>IFERROR(VLOOKUP($C33,'PORTIFÓLIO'!C:V,2,0),"")</f>
        <v/>
      </c>
      <c r="E33" s="211" t="str">
        <f>IFERROR(VLOOKUP($C33,'PORTIFÓLIO'!C:V,3,0),"")</f>
        <v/>
      </c>
      <c r="F33" s="211" t="str">
        <f>IFERROR(VLOOKUP($C33,'PORTIFÓLIO'!C:V,4,0),"")</f>
        <v/>
      </c>
      <c r="G33" s="215" t="str">
        <f>IFERROR(VLOOKUP($C33,'PORTIFÓLIO'!C:V,5,0),"")</f>
        <v/>
      </c>
      <c r="H33" s="216" t="str">
        <f t="array" ref="H33">IFERROR(INDEX('PORTIFÓLIO'!$H$4:$H$433,MATCH($C33,'PORTIFÓLIO'!$C$4:$C$433,0)),"")</f>
        <v/>
      </c>
      <c r="I33" s="224"/>
      <c r="J33" s="218">
        <f t="shared" si="4"/>
        <v>0</v>
      </c>
      <c r="K33" s="219" t="str">
        <f t="array" ref="K33">IFERROR(I33*INDEX('PORTIFÓLIO'!$S$4:$S$433,MATCH($C33,'PORTIFÓLIO'!$C$4:$C$433,0)),"")</f>
        <v/>
      </c>
      <c r="L33" s="219" t="str">
        <f t="array" ref="L33">IFERROR(J33*INDEX('PORTIFÓLIO'!$S$4:$S$433,MATCH($C33,'PORTIFÓLIO'!$C$4:$C$433,0)),"")</f>
        <v/>
      </c>
      <c r="M33" s="220"/>
      <c r="N33" s="220"/>
      <c r="O33" s="220"/>
      <c r="P33" s="220"/>
      <c r="Q33" s="220"/>
      <c r="R33" s="220"/>
      <c r="S33" s="220"/>
      <c r="T33" s="220"/>
      <c r="U33" s="220"/>
      <c r="V33" s="220"/>
      <c r="W33" s="220"/>
      <c r="X33" s="220"/>
    </row>
    <row r="34" ht="15.75" customHeight="1" outlineLevel="1">
      <c r="A34" s="211"/>
      <c r="B34" s="212"/>
      <c r="C34" s="213"/>
      <c r="D34" s="214" t="str">
        <f>IFERROR(VLOOKUP($C34,'PORTIFÓLIO'!C:V,2,0),"")</f>
        <v/>
      </c>
      <c r="E34" s="211" t="str">
        <f>IFERROR(VLOOKUP($C34,'PORTIFÓLIO'!C:V,3,0),"")</f>
        <v/>
      </c>
      <c r="F34" s="211" t="str">
        <f>IFERROR(VLOOKUP($C34,'PORTIFÓLIO'!C:V,4,0),"")</f>
        <v/>
      </c>
      <c r="G34" s="215" t="str">
        <f>IFERROR(VLOOKUP($C34,'PORTIFÓLIO'!C:V,5,0),"")</f>
        <v/>
      </c>
      <c r="H34" s="216" t="str">
        <f t="array" ref="H34">IFERROR(INDEX('PORTIFÓLIO'!$H$4:$H$433,MATCH($C34,'PORTIFÓLIO'!$C$4:$C$433,0)),"")</f>
        <v/>
      </c>
      <c r="I34" s="217"/>
      <c r="J34" s="218">
        <f t="shared" si="4"/>
        <v>0</v>
      </c>
      <c r="K34" s="219" t="str">
        <f t="array" ref="K34">IFERROR(I34*INDEX('PORTIFÓLIO'!$S$4:$S$433,MATCH($C34,'PORTIFÓLIO'!$C$4:$C$433,0)),"")</f>
        <v/>
      </c>
      <c r="L34" s="219" t="str">
        <f t="array" ref="L34">IFERROR(J34*INDEX('PORTIFÓLIO'!$S$4:$S$433,MATCH($C34,'PORTIFÓLIO'!$C$4:$C$433,0)),"")</f>
        <v/>
      </c>
      <c r="M34" s="220"/>
      <c r="N34" s="220"/>
      <c r="O34" s="220"/>
      <c r="P34" s="220"/>
      <c r="Q34" s="220"/>
      <c r="R34" s="220"/>
      <c r="S34" s="220"/>
      <c r="T34" s="220"/>
      <c r="U34" s="220"/>
      <c r="V34" s="220"/>
      <c r="W34" s="220"/>
      <c r="X34" s="220"/>
    </row>
    <row r="35" ht="15.75" customHeight="1" outlineLevel="1">
      <c r="A35" s="211"/>
      <c r="B35" s="212"/>
      <c r="C35" s="213"/>
      <c r="D35" s="214" t="str">
        <f>IFERROR(VLOOKUP($C35,'PORTIFÓLIO'!C:V,2,0),"")</f>
        <v/>
      </c>
      <c r="E35" s="211" t="str">
        <f>IFERROR(VLOOKUP($C35,'PORTIFÓLIO'!C:V,3,0),"")</f>
        <v/>
      </c>
      <c r="F35" s="211" t="str">
        <f>IFERROR(VLOOKUP($C35,'PORTIFÓLIO'!C:V,4,0),"")</f>
        <v/>
      </c>
      <c r="G35" s="215" t="str">
        <f>IFERROR(VLOOKUP($C35,'PORTIFÓLIO'!C:V,5,0),"")</f>
        <v/>
      </c>
      <c r="H35" s="216" t="str">
        <f t="array" ref="H35">IFERROR(INDEX('PORTIFÓLIO'!$H$4:$H$433,MATCH($C35,'PORTIFÓLIO'!$C$4:$C$433,0)),"")</f>
        <v/>
      </c>
      <c r="I35" s="224"/>
      <c r="J35" s="218">
        <f t="shared" si="4"/>
        <v>0</v>
      </c>
      <c r="K35" s="219" t="str">
        <f t="array" ref="K35">IFERROR(I35*INDEX('PORTIFÓLIO'!$S$4:$S$433,MATCH($C35,'PORTIFÓLIO'!$C$4:$C$433,0)),"")</f>
        <v/>
      </c>
      <c r="L35" s="219" t="str">
        <f t="array" ref="L35">IFERROR(J35*INDEX('PORTIFÓLIO'!$S$4:$S$433,MATCH($C35,'PORTIFÓLIO'!$C$4:$C$433,0)),"")</f>
        <v/>
      </c>
      <c r="M35" s="220"/>
      <c r="N35" s="220"/>
      <c r="O35" s="220"/>
      <c r="P35" s="220"/>
      <c r="Q35" s="220"/>
      <c r="R35" s="220"/>
      <c r="S35" s="220"/>
      <c r="T35" s="220"/>
      <c r="U35" s="220"/>
      <c r="V35" s="220"/>
      <c r="W35" s="220"/>
      <c r="X35" s="220"/>
    </row>
    <row r="36" ht="15.75" customHeight="1" outlineLevel="1">
      <c r="A36" s="211"/>
      <c r="B36" s="212"/>
      <c r="C36" s="213"/>
      <c r="D36" s="214" t="str">
        <f>IFERROR(VLOOKUP($C36,'PORTIFÓLIO'!C:V,2,0),"")</f>
        <v/>
      </c>
      <c r="E36" s="211" t="str">
        <f>IFERROR(VLOOKUP($C36,'PORTIFÓLIO'!C:V,3,0),"")</f>
        <v/>
      </c>
      <c r="F36" s="211" t="str">
        <f>IFERROR(VLOOKUP($C36,'PORTIFÓLIO'!C:V,4,0),"")</f>
        <v/>
      </c>
      <c r="G36" s="215" t="str">
        <f>IFERROR(VLOOKUP($C36,'PORTIFÓLIO'!C:V,5,0),"")</f>
        <v/>
      </c>
      <c r="H36" s="216" t="str">
        <f t="array" ref="H36">IFERROR(INDEX('PORTIFÓLIO'!$H$4:$H$433,MATCH($C36,'PORTIFÓLIO'!$C$4:$C$433,0)),"")</f>
        <v/>
      </c>
      <c r="I36" s="224"/>
      <c r="J36" s="218">
        <f t="shared" si="4"/>
        <v>0</v>
      </c>
      <c r="K36" s="219" t="str">
        <f t="array" ref="K36">IFERROR(I36*INDEX('PORTIFÓLIO'!$S$4:$S$433,MATCH($C36,'PORTIFÓLIO'!$C$4:$C$433,0)),"")</f>
        <v/>
      </c>
      <c r="L36" s="219" t="str">
        <f t="array" ref="L36">IFERROR(J36*INDEX('PORTIFÓLIO'!$S$4:$S$433,MATCH($C36,'PORTIFÓLIO'!$C$4:$C$433,0)),"")</f>
        <v/>
      </c>
      <c r="M36" s="220"/>
      <c r="N36" s="220"/>
      <c r="O36" s="220"/>
      <c r="P36" s="220"/>
      <c r="Q36" s="220"/>
      <c r="R36" s="220"/>
      <c r="S36" s="220"/>
      <c r="T36" s="220"/>
      <c r="U36" s="220"/>
      <c r="V36" s="220"/>
      <c r="W36" s="220"/>
      <c r="X36" s="220"/>
    </row>
    <row r="37" ht="15.75" customHeight="1" outlineLevel="1">
      <c r="A37" s="211"/>
      <c r="B37" s="212"/>
      <c r="C37" s="213"/>
      <c r="D37" s="214" t="str">
        <f>IFERROR(VLOOKUP($C37,'PORTIFÓLIO'!C:V,2,0),"")</f>
        <v/>
      </c>
      <c r="E37" s="211" t="str">
        <f>IFERROR(VLOOKUP($C37,'PORTIFÓLIO'!C:V,3,0),"")</f>
        <v/>
      </c>
      <c r="F37" s="211" t="str">
        <f>IFERROR(VLOOKUP($C37,'PORTIFÓLIO'!C:V,4,0),"")</f>
        <v/>
      </c>
      <c r="G37" s="215" t="str">
        <f>IFERROR(VLOOKUP($C37,'PORTIFÓLIO'!C:V,5,0),"")</f>
        <v/>
      </c>
      <c r="H37" s="216" t="str">
        <f t="array" ref="H37">IFERROR(INDEX('PORTIFÓLIO'!$H$4:$H$433,MATCH($C37,'PORTIFÓLIO'!$C$4:$C$433,0)),"")</f>
        <v/>
      </c>
      <c r="I37" s="224"/>
      <c r="J37" s="218">
        <f t="shared" si="4"/>
        <v>0</v>
      </c>
      <c r="K37" s="219" t="str">
        <f t="array" ref="K37">IFERROR(I37*INDEX('PORTIFÓLIO'!$S$4:$S$433,MATCH($C37,'PORTIFÓLIO'!$C$4:$C$433,0)),"")</f>
        <v/>
      </c>
      <c r="L37" s="219" t="str">
        <f t="array" ref="L37">IFERROR(J37*INDEX('PORTIFÓLIO'!$S$4:$S$433,MATCH($C37,'PORTIFÓLIO'!$C$4:$C$433,0)),"")</f>
        <v/>
      </c>
      <c r="M37" s="220"/>
      <c r="N37" s="220"/>
      <c r="O37" s="220"/>
      <c r="P37" s="220"/>
      <c r="Q37" s="220"/>
      <c r="R37" s="220"/>
      <c r="S37" s="220"/>
      <c r="T37" s="220"/>
      <c r="U37" s="220"/>
      <c r="V37" s="220"/>
      <c r="W37" s="220"/>
      <c r="X37" s="220"/>
    </row>
    <row r="38" ht="15.75" customHeight="1" outlineLevel="1">
      <c r="A38" s="211"/>
      <c r="B38" s="212"/>
      <c r="C38" s="213"/>
      <c r="D38" s="214" t="str">
        <f>IFERROR(VLOOKUP($C38,'PORTIFÓLIO'!C:V,2,0),"")</f>
        <v/>
      </c>
      <c r="E38" s="211" t="str">
        <f>IFERROR(VLOOKUP($C38,'PORTIFÓLIO'!C:V,3,0),"")</f>
        <v/>
      </c>
      <c r="F38" s="211" t="str">
        <f>IFERROR(VLOOKUP($C38,'PORTIFÓLIO'!C:V,4,0),"")</f>
        <v/>
      </c>
      <c r="G38" s="215" t="str">
        <f>IFERROR(VLOOKUP($C38,'PORTIFÓLIO'!C:V,5,0),"")</f>
        <v/>
      </c>
      <c r="H38" s="216" t="str">
        <f t="array" ref="H38">IFERROR(INDEX('PORTIFÓLIO'!$H$4:$H$433,MATCH($C38,'PORTIFÓLIO'!$C$4:$C$433,0)),"")</f>
        <v/>
      </c>
      <c r="I38" s="224"/>
      <c r="J38" s="218">
        <f t="shared" si="4"/>
        <v>0</v>
      </c>
      <c r="K38" s="219" t="str">
        <f t="array" ref="K38">IFERROR(I38*INDEX('PORTIFÓLIO'!$S$4:$S$433,MATCH($C38,'PORTIFÓLIO'!$C$4:$C$433,0)),"")</f>
        <v/>
      </c>
      <c r="L38" s="219" t="str">
        <f t="array" ref="L38">IFERROR(J38*INDEX('PORTIFÓLIO'!$S$4:$S$433,MATCH($C38,'PORTIFÓLIO'!$C$4:$C$433,0)),"")</f>
        <v/>
      </c>
      <c r="M38" s="220"/>
      <c r="N38" s="220"/>
      <c r="O38" s="220"/>
      <c r="P38" s="220"/>
      <c r="Q38" s="220"/>
      <c r="R38" s="220"/>
      <c r="S38" s="220"/>
      <c r="T38" s="220"/>
      <c r="U38" s="220"/>
      <c r="V38" s="220"/>
      <c r="W38" s="220"/>
      <c r="X38" s="220"/>
    </row>
    <row r="39" ht="15.75" customHeight="1" outlineLevel="1">
      <c r="A39" s="211"/>
      <c r="B39" s="212"/>
      <c r="C39" s="213"/>
      <c r="D39" s="214" t="str">
        <f>IFERROR(VLOOKUP($C39,'PORTIFÓLIO'!C:V,2,0),"")</f>
        <v/>
      </c>
      <c r="E39" s="211" t="str">
        <f>IFERROR(VLOOKUP($C39,'PORTIFÓLIO'!C:V,3,0),"")</f>
        <v/>
      </c>
      <c r="F39" s="211" t="str">
        <f>IFERROR(VLOOKUP($C39,'PORTIFÓLIO'!C:V,4,0),"")</f>
        <v/>
      </c>
      <c r="G39" s="215" t="str">
        <f>IFERROR(VLOOKUP($C39,'PORTIFÓLIO'!C:V,5,0),"")</f>
        <v/>
      </c>
      <c r="H39" s="216" t="str">
        <f t="array" ref="H39">IFERROR(INDEX('PORTIFÓLIO'!$H$4:$H$433,MATCH($C39,'PORTIFÓLIO'!$C$4:$C$433,0)),"")</f>
        <v/>
      </c>
      <c r="I39" s="224"/>
      <c r="J39" s="218">
        <f t="shared" si="4"/>
        <v>0</v>
      </c>
      <c r="K39" s="219" t="str">
        <f t="array" ref="K39">IFERROR(I39*INDEX('PORTIFÓLIO'!$S$4:$S$433,MATCH($C39,'PORTIFÓLIO'!$C$4:$C$433,0)),"")</f>
        <v/>
      </c>
      <c r="L39" s="219" t="str">
        <f t="array" ref="L39">IFERROR(J39*INDEX('PORTIFÓLIO'!$S$4:$S$433,MATCH($C39,'PORTIFÓLIO'!$C$4:$C$433,0)),"")</f>
        <v/>
      </c>
      <c r="M39" s="220"/>
      <c r="N39" s="220"/>
      <c r="O39" s="220"/>
      <c r="P39" s="220"/>
      <c r="Q39" s="220"/>
      <c r="R39" s="220"/>
      <c r="S39" s="220"/>
      <c r="T39" s="220"/>
      <c r="U39" s="220"/>
      <c r="V39" s="220"/>
      <c r="W39" s="220"/>
      <c r="X39" s="220"/>
    </row>
    <row r="40" ht="15.75" customHeight="1" outlineLevel="1">
      <c r="A40" s="211"/>
      <c r="B40" s="212"/>
      <c r="C40" s="213"/>
      <c r="D40" s="214" t="str">
        <f>IFERROR(VLOOKUP($C40,'PORTIFÓLIO'!C:V,2,0),"")</f>
        <v/>
      </c>
      <c r="E40" s="211" t="str">
        <f>IFERROR(VLOOKUP($C40,'PORTIFÓLIO'!C:V,3,0),"")</f>
        <v/>
      </c>
      <c r="F40" s="211" t="str">
        <f>IFERROR(VLOOKUP($C40,'PORTIFÓLIO'!C:V,4,0),"")</f>
        <v/>
      </c>
      <c r="G40" s="215" t="str">
        <f>IFERROR(VLOOKUP($C40,'PORTIFÓLIO'!C:V,5,0),"")</f>
        <v/>
      </c>
      <c r="H40" s="216" t="str">
        <f t="array" ref="H40">IFERROR(INDEX('PORTIFÓLIO'!$H$4:$H$433,MATCH($C40,'PORTIFÓLIO'!$C$4:$C$433,0)),"")</f>
        <v/>
      </c>
      <c r="I40" s="224"/>
      <c r="J40" s="218">
        <f t="shared" si="4"/>
        <v>0</v>
      </c>
      <c r="K40" s="219" t="str">
        <f t="array" ref="K40">IFERROR(I40*INDEX('PORTIFÓLIO'!$S$4:$S$433,MATCH($C40,'PORTIFÓLIO'!$C$4:$C$433,0)),"")</f>
        <v/>
      </c>
      <c r="L40" s="219" t="str">
        <f t="array" ref="L40">IFERROR(J40*INDEX('PORTIFÓLIO'!$S$4:$S$433,MATCH($C40,'PORTIFÓLIO'!$C$4:$C$433,0)),"")</f>
        <v/>
      </c>
      <c r="M40" s="220"/>
      <c r="N40" s="220"/>
      <c r="O40" s="220"/>
      <c r="P40" s="220"/>
      <c r="Q40" s="220"/>
      <c r="R40" s="220"/>
      <c r="S40" s="220"/>
      <c r="T40" s="220"/>
      <c r="U40" s="220"/>
      <c r="V40" s="220"/>
      <c r="W40" s="220"/>
      <c r="X40" s="220"/>
    </row>
    <row r="41" ht="15.75" customHeight="1" outlineLevel="1">
      <c r="A41" s="211"/>
      <c r="B41" s="212"/>
      <c r="C41" s="213"/>
      <c r="D41" s="214" t="str">
        <f>IFERROR(VLOOKUP($C41,'PORTIFÓLIO'!C:V,2,0),"")</f>
        <v/>
      </c>
      <c r="E41" s="211" t="str">
        <f>IFERROR(VLOOKUP($C41,'PORTIFÓLIO'!C:V,3,0),"")</f>
        <v/>
      </c>
      <c r="F41" s="211" t="str">
        <f>IFERROR(VLOOKUP($C41,'PORTIFÓLIO'!C:V,4,0),"")</f>
        <v/>
      </c>
      <c r="G41" s="215" t="str">
        <f>IFERROR(VLOOKUP($C41,'PORTIFÓLIO'!C:V,5,0),"")</f>
        <v/>
      </c>
      <c r="H41" s="216" t="str">
        <f t="array" ref="H41">IFERROR(INDEX('PORTIFÓLIO'!$H$4:$H$433,MATCH($C41,'PORTIFÓLIO'!$C$4:$C$433,0)),"")</f>
        <v/>
      </c>
      <c r="I41" s="224"/>
      <c r="J41" s="218">
        <f t="shared" si="4"/>
        <v>0</v>
      </c>
      <c r="K41" s="219" t="str">
        <f t="array" ref="K41">IFERROR(I41*INDEX('PORTIFÓLIO'!$S$4:$S$433,MATCH($C41,'PORTIFÓLIO'!$C$4:$C$433,0)),"")</f>
        <v/>
      </c>
      <c r="L41" s="219" t="str">
        <f t="array" ref="L41">IFERROR(J41*INDEX('PORTIFÓLIO'!$S$4:$S$433,MATCH($C41,'PORTIFÓLIO'!$C$4:$C$433,0)),"")</f>
        <v/>
      </c>
      <c r="M41" s="220"/>
      <c r="N41" s="220"/>
      <c r="O41" s="220"/>
      <c r="P41" s="220"/>
      <c r="Q41" s="220"/>
      <c r="R41" s="220"/>
      <c r="S41" s="220"/>
      <c r="T41" s="220"/>
      <c r="U41" s="220"/>
      <c r="V41" s="220"/>
      <c r="W41" s="220"/>
      <c r="X41" s="220"/>
    </row>
    <row r="42" ht="15.75" customHeight="1" outlineLevel="1">
      <c r="A42" s="211"/>
      <c r="B42" s="212"/>
      <c r="C42" s="213"/>
      <c r="D42" s="214" t="str">
        <f>IFERROR(VLOOKUP($C42,'PORTIFÓLIO'!C:V,2,0),"")</f>
        <v/>
      </c>
      <c r="E42" s="211" t="str">
        <f>IFERROR(VLOOKUP($C42,'PORTIFÓLIO'!C:V,3,0),"")</f>
        <v/>
      </c>
      <c r="F42" s="211" t="str">
        <f>IFERROR(VLOOKUP($C42,'PORTIFÓLIO'!C:V,4,0),"")</f>
        <v/>
      </c>
      <c r="G42" s="215" t="str">
        <f>IFERROR(VLOOKUP($C42,'PORTIFÓLIO'!C:V,5,0),"")</f>
        <v/>
      </c>
      <c r="H42" s="216" t="str">
        <f t="array" ref="H42">IFERROR(INDEX('PORTIFÓLIO'!$H$4:$H$433,MATCH($C42,'PORTIFÓLIO'!$C$4:$C$433,0)),"")</f>
        <v/>
      </c>
      <c r="I42" s="224"/>
      <c r="J42" s="218">
        <f t="shared" si="4"/>
        <v>0</v>
      </c>
      <c r="K42" s="219" t="str">
        <f t="array" ref="K42">IFERROR(I42*INDEX('PORTIFÓLIO'!$S$4:$S$433,MATCH($C42,'PORTIFÓLIO'!$C$4:$C$433,0)),"")</f>
        <v/>
      </c>
      <c r="L42" s="219" t="str">
        <f t="array" ref="L42">IFERROR(J42*INDEX('PORTIFÓLIO'!$S$4:$S$433,MATCH($C42,'PORTIFÓLIO'!$C$4:$C$433,0)),"")</f>
        <v/>
      </c>
      <c r="M42" s="220"/>
      <c r="N42" s="220"/>
      <c r="O42" s="220"/>
      <c r="P42" s="220"/>
      <c r="Q42" s="220"/>
      <c r="R42" s="220"/>
      <c r="S42" s="220"/>
      <c r="T42" s="220"/>
      <c r="U42" s="220"/>
      <c r="V42" s="220"/>
      <c r="W42" s="220"/>
      <c r="X42" s="220"/>
    </row>
    <row r="43" ht="15.75" customHeight="1" outlineLevel="1">
      <c r="A43" s="211"/>
      <c r="B43" s="212"/>
      <c r="C43" s="213"/>
      <c r="D43" s="214" t="str">
        <f>IFERROR(VLOOKUP($C43,'PORTIFÓLIO'!C:V,2,0),"")</f>
        <v/>
      </c>
      <c r="E43" s="211" t="str">
        <f>IFERROR(VLOOKUP($C43,'PORTIFÓLIO'!C:V,3,0),"")</f>
        <v/>
      </c>
      <c r="F43" s="211" t="str">
        <f>IFERROR(VLOOKUP($C43,'PORTIFÓLIO'!C:V,4,0),"")</f>
        <v/>
      </c>
      <c r="G43" s="215" t="str">
        <f>IFERROR(VLOOKUP($C43,'PORTIFÓLIO'!C:V,5,0),"")</f>
        <v/>
      </c>
      <c r="H43" s="216" t="str">
        <f t="array" ref="H43">IFERROR(INDEX('PORTIFÓLIO'!$H$4:$H$433,MATCH($C43,'PORTIFÓLIO'!$C$4:$C$433,0)),"")</f>
        <v/>
      </c>
      <c r="I43" s="224"/>
      <c r="J43" s="218">
        <f t="shared" si="4"/>
        <v>0</v>
      </c>
      <c r="K43" s="219" t="str">
        <f t="array" ref="K43">IFERROR(I43*INDEX('PORTIFÓLIO'!$S$4:$S$433,MATCH($C43,'PORTIFÓLIO'!$C$4:$C$433,0)),"")</f>
        <v/>
      </c>
      <c r="L43" s="219" t="str">
        <f t="array" ref="L43">IFERROR(J43*INDEX('PORTIFÓLIO'!$S$4:$S$433,MATCH($C43,'PORTIFÓLIO'!$C$4:$C$433,0)),"")</f>
        <v/>
      </c>
      <c r="M43" s="220"/>
      <c r="N43" s="220"/>
      <c r="O43" s="220"/>
      <c r="P43" s="220"/>
      <c r="Q43" s="220"/>
      <c r="R43" s="220"/>
      <c r="S43" s="220"/>
      <c r="T43" s="220"/>
      <c r="U43" s="220"/>
      <c r="V43" s="220"/>
      <c r="W43" s="220"/>
      <c r="X43" s="220"/>
    </row>
    <row r="44" ht="15.75" customHeight="1">
      <c r="A44" s="221" t="s">
        <v>1185</v>
      </c>
      <c r="B44" s="197"/>
      <c r="C44" s="196"/>
      <c r="D44" s="198" t="s">
        <v>216</v>
      </c>
      <c r="E44" s="196"/>
      <c r="F44" s="196"/>
      <c r="G44" s="199"/>
      <c r="H44" s="222"/>
      <c r="I44" s="201"/>
      <c r="J44" s="202"/>
      <c r="K44" s="203">
        <f t="shared" ref="K44:L44" si="5">SUBTOTAL(9,K45:K58)</f>
        <v>152.9952265</v>
      </c>
      <c r="L44" s="203">
        <f t="shared" si="5"/>
        <v>41767.69683</v>
      </c>
      <c r="M44" s="177"/>
      <c r="N44" s="177"/>
      <c r="O44" s="177"/>
      <c r="P44" s="177"/>
      <c r="Q44" s="177"/>
      <c r="R44" s="177"/>
      <c r="S44" s="177"/>
      <c r="T44" s="177"/>
      <c r="U44" s="177"/>
      <c r="V44" s="177"/>
      <c r="W44" s="177"/>
      <c r="X44" s="177"/>
    </row>
    <row r="45" ht="15.75" customHeight="1" outlineLevel="1">
      <c r="A45" s="191"/>
      <c r="B45" s="204" t="s">
        <v>1</v>
      </c>
      <c r="C45" s="191" t="s">
        <v>706</v>
      </c>
      <c r="D45" s="205" t="str">
        <f>IFERROR(VLOOKUP($C45,'PORTIFÓLIO'!C:V,2,0),"")</f>
        <v>GLUFOSINATO - SAL DE AMONIO</v>
      </c>
      <c r="E45" s="190">
        <f>IFERROR(VLOOKUP($C45,'PORTIFÓLIO'!C:V,3,0),"")</f>
        <v>880</v>
      </c>
      <c r="F45" s="190" t="str">
        <f>IFERROR(VLOOKUP($C45,'PORTIFÓLIO'!C:V,4,0),"")</f>
        <v>L</v>
      </c>
      <c r="G45" s="223" t="str">
        <f>IFERROR(VLOOKUP($C45,'PORTIFÓLIO'!C:V,5,0),"")</f>
        <v>📄 Ver bula</v>
      </c>
      <c r="H45" s="207">
        <f t="array" ref="H45">IFERROR(INDEX('PORTIFÓLIO'!$H$4:$H$433,MATCH($C45,'PORTIFÓLIO'!$C$4:$C$433,0)),"")</f>
        <v>0.5</v>
      </c>
      <c r="I45" s="208">
        <v>0.5</v>
      </c>
      <c r="J45" s="209">
        <f t="shared" ref="J45:J62" si="6">I45*$B$2</f>
        <v>136.5</v>
      </c>
      <c r="K45" s="210">
        <f t="array" ref="K45">IFERROR(I45*INDEX('PORTIFÓLIO'!$S$4:$S$433,MATCH($C45,'PORTIFÓLIO'!$C$4:$C$433,0)),"")</f>
        <v>23.49848</v>
      </c>
      <c r="L45" s="210">
        <f t="array" ref="L45">IFERROR(J45*INDEX('PORTIFÓLIO'!$S$4:$S$433,MATCH($C45,'PORTIFÓLIO'!$C$4:$C$433,0)),"")</f>
        <v>6415.08504</v>
      </c>
      <c r="M45" s="177"/>
      <c r="N45" s="177"/>
      <c r="O45" s="177"/>
      <c r="P45" s="177"/>
      <c r="Q45" s="177"/>
      <c r="R45" s="177"/>
      <c r="S45" s="177"/>
      <c r="T45" s="177"/>
      <c r="U45" s="177"/>
      <c r="V45" s="177"/>
      <c r="W45" s="177"/>
      <c r="X45" s="177"/>
    </row>
    <row r="46" ht="15.75" customHeight="1" outlineLevel="1">
      <c r="A46" s="190"/>
      <c r="B46" s="204" t="s">
        <v>1</v>
      </c>
      <c r="C46" s="191" t="s">
        <v>693</v>
      </c>
      <c r="D46" s="205" t="str">
        <f>IFERROR(VLOOKUP($C46,'PORTIFÓLIO'!C:V,2,0),"")</f>
        <v>CLOMAZONA</v>
      </c>
      <c r="E46" s="190">
        <f>IFERROR(VLOOKUP($C46,'PORTIFÓLIO'!C:V,3,0),"")</f>
        <v>360</v>
      </c>
      <c r="F46" s="190" t="str">
        <f>IFERROR(VLOOKUP($C46,'PORTIFÓLIO'!C:V,4,0),"")</f>
        <v>L</v>
      </c>
      <c r="G46" s="223" t="str">
        <f>IFERROR(VLOOKUP($C46,'PORTIFÓLIO'!C:V,5,0),"")</f>
        <v>📄 Ver bula</v>
      </c>
      <c r="H46" s="207">
        <f t="array" ref="H46">IFERROR(INDEX('PORTIFÓLIO'!$H$4:$H$433,MATCH($C46,'PORTIFÓLIO'!$C$4:$C$433,0)),"")</f>
        <v>1</v>
      </c>
      <c r="I46" s="208">
        <v>1.0</v>
      </c>
      <c r="J46" s="209">
        <f t="shared" si="6"/>
        <v>273</v>
      </c>
      <c r="K46" s="210">
        <f t="array" ref="K46">IFERROR(I46*INDEX('PORTIFÓLIO'!$S$4:$S$433,MATCH($C46,'PORTIFÓLIO'!$C$4:$C$433,0)),"")</f>
        <v>43.80156</v>
      </c>
      <c r="L46" s="210">
        <f t="array" ref="L46">IFERROR(J46*INDEX('PORTIFÓLIO'!$S$4:$S$433,MATCH($C46,'PORTIFÓLIO'!$C$4:$C$433,0)),"")</f>
        <v>11957.82588</v>
      </c>
      <c r="M46" s="177"/>
      <c r="N46" s="177"/>
      <c r="O46" s="177"/>
      <c r="P46" s="177"/>
      <c r="Q46" s="177"/>
      <c r="R46" s="177"/>
      <c r="S46" s="177"/>
      <c r="T46" s="177"/>
      <c r="U46" s="177"/>
      <c r="V46" s="177"/>
      <c r="W46" s="177"/>
      <c r="X46" s="177"/>
    </row>
    <row r="47" ht="15.75" customHeight="1" outlineLevel="1">
      <c r="A47" s="190"/>
      <c r="B47" s="204" t="s">
        <v>1</v>
      </c>
      <c r="C47" s="191" t="s">
        <v>728</v>
      </c>
      <c r="D47" s="205" t="str">
        <f>IFERROR(VLOOKUP($C47,'PORTIFÓLIO'!C:V,2,0),"")</f>
        <v>S-METOLACLORO</v>
      </c>
      <c r="E47" s="190">
        <f>IFERROR(VLOOKUP($C47,'PORTIFÓLIO'!C:V,3,0),"")</f>
        <v>960</v>
      </c>
      <c r="F47" s="190" t="str">
        <f>IFERROR(VLOOKUP($C47,'PORTIFÓLIO'!C:V,4,0),"")</f>
        <v>KG</v>
      </c>
      <c r="G47" s="223" t="str">
        <f>IFERROR(VLOOKUP($C47,'PORTIFÓLIO'!C:V,5,0),"")</f>
        <v>📄 Ver bula</v>
      </c>
      <c r="H47" s="207">
        <f t="array" ref="H47">IFERROR(INDEX('PORTIFÓLIO'!$H$4:$H$433,MATCH($C47,'PORTIFÓLIO'!$C$4:$C$433,0)),"")</f>
        <v>2</v>
      </c>
      <c r="I47" s="208">
        <v>1.0</v>
      </c>
      <c r="J47" s="209">
        <f t="shared" si="6"/>
        <v>273</v>
      </c>
      <c r="K47" s="210">
        <f t="array" ref="K47">IFERROR(I47*INDEX('PORTIFÓLIO'!$S$4:$S$433,MATCH($C47,'PORTIFÓLIO'!$C$4:$C$433,0)),"")</f>
        <v>29.1273</v>
      </c>
      <c r="L47" s="210">
        <f t="array" ref="L47">IFERROR(J47*INDEX('PORTIFÓLIO'!$S$4:$S$433,MATCH($C47,'PORTIFÓLIO'!$C$4:$C$433,0)),"")</f>
        <v>7951.7529</v>
      </c>
      <c r="M47" s="177"/>
      <c r="N47" s="177"/>
      <c r="O47" s="177"/>
      <c r="P47" s="177"/>
      <c r="Q47" s="177"/>
      <c r="R47" s="177"/>
      <c r="S47" s="177"/>
      <c r="T47" s="177"/>
      <c r="U47" s="177"/>
      <c r="V47" s="177"/>
      <c r="W47" s="177"/>
      <c r="X47" s="177"/>
    </row>
    <row r="48" ht="15.75" customHeight="1" outlineLevel="1">
      <c r="A48" s="190"/>
      <c r="B48" s="204" t="s">
        <v>6</v>
      </c>
      <c r="C48" s="191" t="s">
        <v>341</v>
      </c>
      <c r="D48" s="205" t="str">
        <f>IFERROR(VLOOKUP($C48,'PORTIFÓLIO'!C:V,2,0),"")</f>
        <v>ESTER METILICO DE SOJA</v>
      </c>
      <c r="E48" s="190">
        <f>IFERROR(VLOOKUP($C48,'PORTIFÓLIO'!C:V,3,0),"")</f>
        <v>765</v>
      </c>
      <c r="F48" s="190" t="str">
        <f>IFERROR(VLOOKUP($C48,'PORTIFÓLIO'!C:V,4,0),"")</f>
        <v>L</v>
      </c>
      <c r="G48" s="223" t="str">
        <f>IFERROR(VLOOKUP($C48,'PORTIFÓLIO'!C:V,5,0),"")</f>
        <v>📄 Ver bula</v>
      </c>
      <c r="H48" s="207">
        <f t="array" ref="H48">IFERROR(INDEX('PORTIFÓLIO'!$H$4:$H$433,MATCH($C48,'PORTIFÓLIO'!$C$4:$C$433,0)),"")</f>
        <v>0.2</v>
      </c>
      <c r="I48" s="208">
        <v>0.2</v>
      </c>
      <c r="J48" s="209">
        <f t="shared" si="6"/>
        <v>54.6</v>
      </c>
      <c r="K48" s="210">
        <f t="array" ref="K48">IFERROR(I48*INDEX('PORTIFÓLIO'!$S$4:$S$433,MATCH($C48,'PORTIFÓLIO'!$C$4:$C$433,0)),"")</f>
        <v>3.298974</v>
      </c>
      <c r="L48" s="210">
        <f t="array" ref="L48">IFERROR(J48*INDEX('PORTIFÓLIO'!$S$4:$S$433,MATCH($C48,'PORTIFÓLIO'!$C$4:$C$433,0)),"")</f>
        <v>900.619902</v>
      </c>
      <c r="M48" s="177"/>
      <c r="N48" s="177"/>
      <c r="O48" s="177"/>
      <c r="P48" s="177"/>
      <c r="Q48" s="177"/>
      <c r="R48" s="177"/>
      <c r="S48" s="177"/>
      <c r="T48" s="177"/>
      <c r="U48" s="177"/>
      <c r="V48" s="177"/>
      <c r="W48" s="177"/>
      <c r="X48" s="177"/>
    </row>
    <row r="49" ht="15.75" customHeight="1" outlineLevel="1">
      <c r="A49" s="190"/>
      <c r="B49" s="204" t="s">
        <v>2</v>
      </c>
      <c r="C49" s="191" t="s">
        <v>824</v>
      </c>
      <c r="D49" s="205" t="str">
        <f>IFERROR(VLOOKUP($C49,'PORTIFÓLIO'!C:V,2,0),"")</f>
        <v>CLORANTRANILIPROLE</v>
      </c>
      <c r="E49" s="190">
        <f>IFERROR(VLOOKUP($C49,'PORTIFÓLIO'!C:V,3,0),"")</f>
        <v>200</v>
      </c>
      <c r="F49" s="190" t="str">
        <f>IFERROR(VLOOKUP($C49,'PORTIFÓLIO'!C:V,4,0),"")</f>
        <v>L</v>
      </c>
      <c r="G49" s="223" t="str">
        <f>IFERROR(VLOOKUP($C49,'PORTIFÓLIO'!C:V,5,0),"")</f>
        <v>📄 Ver bula</v>
      </c>
      <c r="H49" s="207">
        <f t="array" ref="H49">IFERROR(INDEX('PORTIFÓLIO'!$H$4:$H$433,MATCH($C49,'PORTIFÓLIO'!$C$4:$C$433,0)),"")</f>
        <v>0.1</v>
      </c>
      <c r="I49" s="208">
        <v>0.03</v>
      </c>
      <c r="J49" s="209">
        <f t="shared" si="6"/>
        <v>8.19</v>
      </c>
      <c r="K49" s="210">
        <f t="array" ref="K49">IFERROR(I49*INDEX('PORTIFÓLIO'!$S$4:$S$433,MATCH($C49,'PORTIFÓLIO'!$C$4:$C$433,0)),"")</f>
        <v>8.4889125</v>
      </c>
      <c r="L49" s="210">
        <f t="array" ref="L49">IFERROR(J49*INDEX('PORTIFÓLIO'!$S$4:$S$433,MATCH($C49,'PORTIFÓLIO'!$C$4:$C$433,0)),"")</f>
        <v>2317.473113</v>
      </c>
      <c r="M49" s="177"/>
      <c r="N49" s="177"/>
      <c r="O49" s="177"/>
      <c r="P49" s="177"/>
      <c r="Q49" s="177"/>
      <c r="R49" s="177"/>
      <c r="S49" s="177"/>
      <c r="T49" s="177"/>
      <c r="U49" s="177"/>
      <c r="V49" s="177"/>
      <c r="W49" s="177"/>
      <c r="X49" s="177"/>
    </row>
    <row r="50" ht="15.75" customHeight="1" outlineLevel="1">
      <c r="A50" s="211"/>
      <c r="B50" s="212" t="s">
        <v>9</v>
      </c>
      <c r="C50" s="213" t="s">
        <v>933</v>
      </c>
      <c r="D50" s="214" t="str">
        <f>IFERROR(VLOOKUP($C50,'PORTIFÓLIO'!C:V,2,0),"")</f>
        <v>N1%;B9,5%</v>
      </c>
      <c r="E50" s="211" t="str">
        <f>IFERROR(VLOOKUP($C50,'PORTIFÓLIO'!C:V,3,0),"")</f>
        <v>13,8g/l + 131,1g/l</v>
      </c>
      <c r="F50" s="211" t="str">
        <f>IFERROR(VLOOKUP($C50,'PORTIFÓLIO'!C:V,4,0),"")</f>
        <v>L</v>
      </c>
      <c r="G50" s="215" t="str">
        <f>IFERROR(VLOOKUP($C50,'PORTIFÓLIO'!C:V,5,0),"")</f>
        <v/>
      </c>
      <c r="H50" s="216">
        <f t="array" ref="H50">IFERROR(INDEX('PORTIFÓLIO'!$H$4:$H$433,MATCH($C50,'PORTIFÓLIO'!$C$4:$C$433,0)),"")</f>
        <v>2</v>
      </c>
      <c r="I50" s="217">
        <v>1.0</v>
      </c>
      <c r="J50" s="218">
        <f t="shared" si="6"/>
        <v>273</v>
      </c>
      <c r="K50" s="219">
        <f t="array" ref="K50">IFERROR(I50*INDEX('PORTIFÓLIO'!$S$4:$S$433,MATCH($C50,'PORTIFÓLIO'!$C$4:$C$433,0)),"")</f>
        <v>44.78</v>
      </c>
      <c r="L50" s="219">
        <f t="array" ref="L50">IFERROR(J50*INDEX('PORTIFÓLIO'!$S$4:$S$433,MATCH($C50,'PORTIFÓLIO'!$C$4:$C$433,0)),"")</f>
        <v>12224.94</v>
      </c>
      <c r="M50" s="220"/>
      <c r="N50" s="220"/>
      <c r="O50" s="220"/>
      <c r="P50" s="220"/>
      <c r="Q50" s="220"/>
      <c r="R50" s="220"/>
      <c r="S50" s="220"/>
      <c r="T50" s="220"/>
      <c r="U50" s="220"/>
      <c r="V50" s="220"/>
      <c r="W50" s="220"/>
      <c r="X50" s="220"/>
    </row>
    <row r="51" ht="15.75" customHeight="1" outlineLevel="1">
      <c r="A51" s="211"/>
      <c r="B51" s="212"/>
      <c r="C51" s="213"/>
      <c r="D51" s="214" t="str">
        <f>IFERROR(VLOOKUP($C51,'PORTIFÓLIO'!C:V,2,0),"")</f>
        <v/>
      </c>
      <c r="E51" s="211" t="str">
        <f>IFERROR(VLOOKUP($C51,'PORTIFÓLIO'!C:V,3,0),"")</f>
        <v/>
      </c>
      <c r="F51" s="211" t="str">
        <f>IFERROR(VLOOKUP($C51,'PORTIFÓLIO'!C:V,4,0),"")</f>
        <v/>
      </c>
      <c r="G51" s="215" t="str">
        <f>IFERROR(VLOOKUP($C51,'PORTIFÓLIO'!C:V,5,0),"")</f>
        <v/>
      </c>
      <c r="H51" s="216" t="str">
        <f t="array" ref="H51">IFERROR(INDEX('PORTIFÓLIO'!$H$4:$H$433,MATCH($C51,'PORTIFÓLIO'!$C$4:$C$433,0)),"")</f>
        <v/>
      </c>
      <c r="I51" s="217"/>
      <c r="J51" s="218">
        <f t="shared" si="6"/>
        <v>0</v>
      </c>
      <c r="K51" s="219" t="str">
        <f t="array" ref="K51">IFERROR(I51*INDEX('PORTIFÓLIO'!$S$4:$S$433,MATCH($C51,'PORTIFÓLIO'!$C$4:$C$433,0)),"")</f>
        <v/>
      </c>
      <c r="L51" s="219" t="str">
        <f t="array" ref="L51">IFERROR(J51*INDEX('PORTIFÓLIO'!$S$4:$S$433,MATCH($C51,'PORTIFÓLIO'!$C$4:$C$433,0)),"")</f>
        <v/>
      </c>
      <c r="M51" s="220"/>
      <c r="N51" s="220"/>
      <c r="O51" s="220"/>
      <c r="P51" s="220"/>
      <c r="Q51" s="220"/>
      <c r="R51" s="220"/>
      <c r="S51" s="220"/>
      <c r="T51" s="220"/>
      <c r="U51" s="220"/>
      <c r="V51" s="220"/>
      <c r="W51" s="220"/>
      <c r="X51" s="220"/>
    </row>
    <row r="52" ht="15.75" customHeight="1" outlineLevel="1">
      <c r="A52" s="211"/>
      <c r="B52" s="212"/>
      <c r="C52" s="213"/>
      <c r="D52" s="214" t="str">
        <f>IFERROR(VLOOKUP($C52,'PORTIFÓLIO'!C:V,2,0),"")</f>
        <v/>
      </c>
      <c r="E52" s="211" t="str">
        <f>IFERROR(VLOOKUP($C52,'PORTIFÓLIO'!C:V,3,0),"")</f>
        <v/>
      </c>
      <c r="F52" s="211" t="str">
        <f>IFERROR(VLOOKUP($C52,'PORTIFÓLIO'!C:V,4,0),"")</f>
        <v/>
      </c>
      <c r="G52" s="215" t="str">
        <f>IFERROR(VLOOKUP($C52,'PORTIFÓLIO'!C:V,5,0),"")</f>
        <v/>
      </c>
      <c r="H52" s="216" t="str">
        <f t="array" ref="H52">IFERROR(INDEX('PORTIFÓLIO'!$H$4:$H$433,MATCH($C52,'PORTIFÓLIO'!$C$4:$C$433,0)),"")</f>
        <v/>
      </c>
      <c r="I52" s="224"/>
      <c r="J52" s="218">
        <f t="shared" si="6"/>
        <v>0</v>
      </c>
      <c r="K52" s="219" t="str">
        <f t="array" ref="K52">IFERROR(I52*INDEX('PORTIFÓLIO'!$S$4:$S$433,MATCH($C52,'PORTIFÓLIO'!$C$4:$C$433,0)),"")</f>
        <v/>
      </c>
      <c r="L52" s="219" t="str">
        <f t="array" ref="L52">IFERROR(J52*INDEX('PORTIFÓLIO'!$S$4:$S$433,MATCH($C52,'PORTIFÓLIO'!$C$4:$C$433,0)),"")</f>
        <v/>
      </c>
      <c r="M52" s="220"/>
      <c r="N52" s="220"/>
      <c r="O52" s="220"/>
      <c r="P52" s="220"/>
      <c r="Q52" s="220"/>
      <c r="R52" s="220"/>
      <c r="S52" s="220"/>
      <c r="T52" s="220"/>
      <c r="U52" s="220"/>
      <c r="V52" s="220"/>
      <c r="W52" s="220"/>
      <c r="X52" s="220"/>
    </row>
    <row r="53" ht="15.75" customHeight="1" outlineLevel="1">
      <c r="A53" s="211"/>
      <c r="B53" s="212"/>
      <c r="C53" s="213"/>
      <c r="D53" s="214" t="str">
        <f>IFERROR(VLOOKUP($C53,'PORTIFÓLIO'!C:V,2,0),"")</f>
        <v/>
      </c>
      <c r="E53" s="211" t="str">
        <f>IFERROR(VLOOKUP($C53,'PORTIFÓLIO'!C:V,3,0),"")</f>
        <v/>
      </c>
      <c r="F53" s="211" t="str">
        <f>IFERROR(VLOOKUP($C53,'PORTIFÓLIO'!C:V,4,0),"")</f>
        <v/>
      </c>
      <c r="G53" s="215" t="str">
        <f>IFERROR(VLOOKUP($C53,'PORTIFÓLIO'!C:V,5,0),"")</f>
        <v/>
      </c>
      <c r="H53" s="216" t="str">
        <f t="array" ref="H53">IFERROR(INDEX('PORTIFÓLIO'!$H$4:$H$433,MATCH($C53,'PORTIFÓLIO'!$C$4:$C$433,0)),"")</f>
        <v/>
      </c>
      <c r="I53" s="217"/>
      <c r="J53" s="218">
        <f t="shared" si="6"/>
        <v>0</v>
      </c>
      <c r="K53" s="219" t="str">
        <f t="array" ref="K53">IFERROR(I53*INDEX('PORTIFÓLIO'!$S$4:$S$433,MATCH($C53,'PORTIFÓLIO'!$C$4:$C$433,0)),"")</f>
        <v/>
      </c>
      <c r="L53" s="219" t="str">
        <f t="array" ref="L53">IFERROR(J53*INDEX('PORTIFÓLIO'!$S$4:$S$433,MATCH($C53,'PORTIFÓLIO'!$C$4:$C$433,0)),"")</f>
        <v/>
      </c>
      <c r="M53" s="220"/>
      <c r="N53" s="220"/>
      <c r="O53" s="220"/>
      <c r="P53" s="220"/>
      <c r="Q53" s="220"/>
      <c r="R53" s="220"/>
      <c r="S53" s="220"/>
      <c r="T53" s="220"/>
      <c r="U53" s="220"/>
      <c r="V53" s="220"/>
      <c r="W53" s="220"/>
      <c r="X53" s="220"/>
    </row>
    <row r="54" ht="15.75" customHeight="1" outlineLevel="1">
      <c r="A54" s="211"/>
      <c r="B54" s="212"/>
      <c r="C54" s="213"/>
      <c r="D54" s="214" t="str">
        <f>IFERROR(VLOOKUP($C54,'PORTIFÓLIO'!C:V,2,0),"")</f>
        <v/>
      </c>
      <c r="E54" s="211" t="str">
        <f>IFERROR(VLOOKUP($C54,'PORTIFÓLIO'!C:V,3,0),"")</f>
        <v/>
      </c>
      <c r="F54" s="211" t="str">
        <f>IFERROR(VLOOKUP($C54,'PORTIFÓLIO'!C:V,4,0),"")</f>
        <v/>
      </c>
      <c r="G54" s="215" t="str">
        <f>IFERROR(VLOOKUP($C54,'PORTIFÓLIO'!C:V,5,0),"")</f>
        <v/>
      </c>
      <c r="H54" s="216" t="str">
        <f t="array" ref="H54">IFERROR(INDEX('PORTIFÓLIO'!$H$4:$H$433,MATCH($C54,'PORTIFÓLIO'!$C$4:$C$433,0)),"")</f>
        <v/>
      </c>
      <c r="I54" s="224"/>
      <c r="J54" s="218">
        <f t="shared" si="6"/>
        <v>0</v>
      </c>
      <c r="K54" s="219" t="str">
        <f t="array" ref="K54">IFERROR(I54*INDEX('PORTIFÓLIO'!$S$4:$S$433,MATCH($C54,'PORTIFÓLIO'!$C$4:$C$433,0)),"")</f>
        <v/>
      </c>
      <c r="L54" s="219" t="str">
        <f t="array" ref="L54">IFERROR(J54*INDEX('PORTIFÓLIO'!$S$4:$S$433,MATCH($C54,'PORTIFÓLIO'!$C$4:$C$433,0)),"")</f>
        <v/>
      </c>
      <c r="M54" s="220"/>
      <c r="N54" s="220"/>
      <c r="O54" s="220"/>
      <c r="P54" s="220"/>
      <c r="Q54" s="220"/>
      <c r="R54" s="220"/>
      <c r="S54" s="220"/>
      <c r="T54" s="220"/>
      <c r="U54" s="220"/>
      <c r="V54" s="220"/>
      <c r="W54" s="220"/>
      <c r="X54" s="220"/>
    </row>
    <row r="55" ht="15.75" customHeight="1" outlineLevel="1">
      <c r="A55" s="211"/>
      <c r="B55" s="212"/>
      <c r="C55" s="213"/>
      <c r="D55" s="214" t="str">
        <f>IFERROR(VLOOKUP($C55,'PORTIFÓLIO'!C:V,2,0),"")</f>
        <v/>
      </c>
      <c r="E55" s="211" t="str">
        <f>IFERROR(VLOOKUP($C55,'PORTIFÓLIO'!C:V,3,0),"")</f>
        <v/>
      </c>
      <c r="F55" s="211" t="str">
        <f>IFERROR(VLOOKUP($C55,'PORTIFÓLIO'!C:V,4,0),"")</f>
        <v/>
      </c>
      <c r="G55" s="215" t="str">
        <f>IFERROR(VLOOKUP($C55,'PORTIFÓLIO'!C:V,5,0),"")</f>
        <v/>
      </c>
      <c r="H55" s="216" t="str">
        <f t="array" ref="H55">IFERROR(INDEX('PORTIFÓLIO'!$H$4:$H$433,MATCH($C55,'PORTIFÓLIO'!$C$4:$C$433,0)),"")</f>
        <v/>
      </c>
      <c r="I55" s="224"/>
      <c r="J55" s="218">
        <f t="shared" si="6"/>
        <v>0</v>
      </c>
      <c r="K55" s="219" t="str">
        <f t="array" ref="K55">IFERROR(I55*INDEX('PORTIFÓLIO'!$S$4:$S$433,MATCH($C55,'PORTIFÓLIO'!$C$4:$C$433,0)),"")</f>
        <v/>
      </c>
      <c r="L55" s="219" t="str">
        <f t="array" ref="L55">IFERROR(J55*INDEX('PORTIFÓLIO'!$S$4:$S$433,MATCH($C55,'PORTIFÓLIO'!$C$4:$C$433,0)),"")</f>
        <v/>
      </c>
      <c r="M55" s="220"/>
      <c r="N55" s="220"/>
      <c r="O55" s="220"/>
      <c r="P55" s="220"/>
      <c r="Q55" s="220"/>
      <c r="R55" s="220"/>
      <c r="S55" s="220"/>
      <c r="T55" s="220"/>
      <c r="U55" s="220"/>
      <c r="V55" s="220"/>
      <c r="W55" s="220"/>
      <c r="X55" s="220"/>
    </row>
    <row r="56" ht="15.75" customHeight="1" outlineLevel="1">
      <c r="A56" s="211"/>
      <c r="B56" s="212"/>
      <c r="C56" s="213"/>
      <c r="D56" s="214" t="str">
        <f>IFERROR(VLOOKUP($C56,'PORTIFÓLIO'!C:V,2,0),"")</f>
        <v/>
      </c>
      <c r="E56" s="211" t="str">
        <f>IFERROR(VLOOKUP($C56,'PORTIFÓLIO'!C:V,3,0),"")</f>
        <v/>
      </c>
      <c r="F56" s="211" t="str">
        <f>IFERROR(VLOOKUP($C56,'PORTIFÓLIO'!C:V,4,0),"")</f>
        <v/>
      </c>
      <c r="G56" s="215" t="str">
        <f>IFERROR(VLOOKUP($C56,'PORTIFÓLIO'!C:V,5,0),"")</f>
        <v/>
      </c>
      <c r="H56" s="216" t="str">
        <f t="array" ref="H56">IFERROR(INDEX('PORTIFÓLIO'!$H$4:$H$433,MATCH($C56,'PORTIFÓLIO'!$C$4:$C$433,0)),"")</f>
        <v/>
      </c>
      <c r="I56" s="224"/>
      <c r="J56" s="218">
        <f t="shared" si="6"/>
        <v>0</v>
      </c>
      <c r="K56" s="219" t="str">
        <f t="array" ref="K56">IFERROR(I56*INDEX('PORTIFÓLIO'!$S$4:$S$433,MATCH($C56,'PORTIFÓLIO'!$C$4:$C$433,0)),"")</f>
        <v/>
      </c>
      <c r="L56" s="219" t="str">
        <f t="array" ref="L56">IFERROR(J56*INDEX('PORTIFÓLIO'!$S$4:$S$433,MATCH($C56,'PORTIFÓLIO'!$C$4:$C$433,0)),"")</f>
        <v/>
      </c>
      <c r="M56" s="220"/>
      <c r="N56" s="220"/>
      <c r="O56" s="220"/>
      <c r="P56" s="220"/>
      <c r="Q56" s="220"/>
      <c r="R56" s="220"/>
      <c r="S56" s="220"/>
      <c r="T56" s="220"/>
      <c r="U56" s="220"/>
      <c r="V56" s="220"/>
      <c r="W56" s="220"/>
      <c r="X56" s="220"/>
    </row>
    <row r="57" ht="15.75" customHeight="1" outlineLevel="1">
      <c r="A57" s="211"/>
      <c r="B57" s="212"/>
      <c r="C57" s="213"/>
      <c r="D57" s="214" t="str">
        <f>IFERROR(VLOOKUP($C57,'PORTIFÓLIO'!C:V,2,0),"")</f>
        <v/>
      </c>
      <c r="E57" s="211" t="str">
        <f>IFERROR(VLOOKUP($C57,'PORTIFÓLIO'!C:V,3,0),"")</f>
        <v/>
      </c>
      <c r="F57" s="211" t="str">
        <f>IFERROR(VLOOKUP($C57,'PORTIFÓLIO'!C:V,4,0),"")</f>
        <v/>
      </c>
      <c r="G57" s="215" t="str">
        <f>IFERROR(VLOOKUP($C57,'PORTIFÓLIO'!C:V,5,0),"")</f>
        <v/>
      </c>
      <c r="H57" s="216" t="str">
        <f t="array" ref="H57">IFERROR(INDEX('PORTIFÓLIO'!$H$4:$H$433,MATCH($C57,'PORTIFÓLIO'!$C$4:$C$433,0)),"")</f>
        <v/>
      </c>
      <c r="I57" s="224"/>
      <c r="J57" s="218">
        <f t="shared" si="6"/>
        <v>0</v>
      </c>
      <c r="K57" s="219" t="str">
        <f t="array" ref="K57">IFERROR(I57*INDEX('PORTIFÓLIO'!$S$4:$S$433,MATCH($C57,'PORTIFÓLIO'!$C$4:$C$433,0)),"")</f>
        <v/>
      </c>
      <c r="L57" s="219" t="str">
        <f t="array" ref="L57">IFERROR(J57*INDEX('PORTIFÓLIO'!$S$4:$S$433,MATCH($C57,'PORTIFÓLIO'!$C$4:$C$433,0)),"")</f>
        <v/>
      </c>
      <c r="M57" s="220"/>
      <c r="N57" s="220"/>
      <c r="O57" s="220"/>
      <c r="P57" s="220"/>
      <c r="Q57" s="220"/>
      <c r="R57" s="220"/>
      <c r="S57" s="220"/>
      <c r="T57" s="220"/>
      <c r="U57" s="220"/>
      <c r="V57" s="220"/>
      <c r="W57" s="220"/>
      <c r="X57" s="220"/>
    </row>
    <row r="58" ht="15.75" customHeight="1" outlineLevel="1">
      <c r="A58" s="211"/>
      <c r="B58" s="212"/>
      <c r="C58" s="213"/>
      <c r="D58" s="214" t="str">
        <f>IFERROR(VLOOKUP($C58,'PORTIFÓLIO'!C:V,2,0),"")</f>
        <v/>
      </c>
      <c r="E58" s="211" t="str">
        <f>IFERROR(VLOOKUP($C58,'PORTIFÓLIO'!C:V,3,0),"")</f>
        <v/>
      </c>
      <c r="F58" s="211" t="str">
        <f>IFERROR(VLOOKUP($C58,'PORTIFÓLIO'!C:V,4,0),"")</f>
        <v/>
      </c>
      <c r="G58" s="215" t="str">
        <f>IFERROR(VLOOKUP($C58,'PORTIFÓLIO'!C:V,5,0),"")</f>
        <v/>
      </c>
      <c r="H58" s="216" t="str">
        <f t="array" ref="H58">IFERROR(INDEX('PORTIFÓLIO'!$H$4:$H$433,MATCH($C58,'PORTIFÓLIO'!$C$4:$C$433,0)),"")</f>
        <v/>
      </c>
      <c r="I58" s="224"/>
      <c r="J58" s="218">
        <f t="shared" si="6"/>
        <v>0</v>
      </c>
      <c r="K58" s="219" t="str">
        <f t="array" ref="K58">IFERROR(I58*INDEX('PORTIFÓLIO'!$S$4:$S$433,MATCH($C58,'PORTIFÓLIO'!$C$4:$C$433,0)),"")</f>
        <v/>
      </c>
      <c r="L58" s="219" t="str">
        <f t="array" ref="L58">IFERROR(J58*INDEX('PORTIFÓLIO'!$S$4:$S$433,MATCH($C58,'PORTIFÓLIO'!$C$4:$C$433,0)),"")</f>
        <v/>
      </c>
      <c r="M58" s="220"/>
      <c r="N58" s="220"/>
      <c r="O58" s="220"/>
      <c r="P58" s="220"/>
      <c r="Q58" s="220"/>
      <c r="R58" s="220"/>
      <c r="S58" s="220"/>
      <c r="T58" s="220"/>
      <c r="U58" s="220"/>
      <c r="V58" s="220"/>
      <c r="W58" s="220"/>
      <c r="X58" s="220"/>
    </row>
    <row r="59" ht="15.75" customHeight="1" outlineLevel="1">
      <c r="A59" s="211"/>
      <c r="B59" s="212"/>
      <c r="C59" s="213"/>
      <c r="D59" s="214" t="str">
        <f>IFERROR(VLOOKUP($C59,'PORTIFÓLIO'!C:V,2,0),"")</f>
        <v/>
      </c>
      <c r="E59" s="211" t="str">
        <f>IFERROR(VLOOKUP($C59,'PORTIFÓLIO'!C:V,3,0),"")</f>
        <v/>
      </c>
      <c r="F59" s="211" t="str">
        <f>IFERROR(VLOOKUP($C59,'PORTIFÓLIO'!C:V,4,0),"")</f>
        <v/>
      </c>
      <c r="G59" s="215" t="str">
        <f>IFERROR(VLOOKUP($C59,'PORTIFÓLIO'!C:V,5,0),"")</f>
        <v/>
      </c>
      <c r="H59" s="216" t="str">
        <f t="array" ref="H59">IFERROR(INDEX('PORTIFÓLIO'!$H$4:$H$433,MATCH($C59,'PORTIFÓLIO'!$C$4:$C$433,0)),"")</f>
        <v/>
      </c>
      <c r="I59" s="224"/>
      <c r="J59" s="218">
        <f t="shared" si="6"/>
        <v>0</v>
      </c>
      <c r="K59" s="219" t="str">
        <f t="array" ref="K59">IFERROR(I59*INDEX('PORTIFÓLIO'!$S$4:$S$433,MATCH($C59,'PORTIFÓLIO'!$C$4:$C$433,0)),"")</f>
        <v/>
      </c>
      <c r="L59" s="219" t="str">
        <f t="array" ref="L59">IFERROR(J59*INDEX('PORTIFÓLIO'!$S$4:$S$433,MATCH($C59,'PORTIFÓLIO'!$C$4:$C$433,0)),"")</f>
        <v/>
      </c>
      <c r="M59" s="220"/>
      <c r="N59" s="220"/>
      <c r="O59" s="220"/>
      <c r="P59" s="220"/>
      <c r="Q59" s="220"/>
      <c r="R59" s="220"/>
      <c r="S59" s="220"/>
      <c r="T59" s="220"/>
      <c r="U59" s="220"/>
      <c r="V59" s="220"/>
      <c r="W59" s="220"/>
      <c r="X59" s="220"/>
    </row>
    <row r="60" ht="15.75" customHeight="1" outlineLevel="1">
      <c r="A60" s="211"/>
      <c r="B60" s="212"/>
      <c r="C60" s="213"/>
      <c r="D60" s="214" t="str">
        <f>IFERROR(VLOOKUP($C60,'PORTIFÓLIO'!C:V,2,0),"")</f>
        <v/>
      </c>
      <c r="E60" s="211" t="str">
        <f>IFERROR(VLOOKUP($C60,'PORTIFÓLIO'!C:V,3,0),"")</f>
        <v/>
      </c>
      <c r="F60" s="211" t="str">
        <f>IFERROR(VLOOKUP($C60,'PORTIFÓLIO'!C:V,4,0),"")</f>
        <v/>
      </c>
      <c r="G60" s="215" t="str">
        <f>IFERROR(VLOOKUP($C60,'PORTIFÓLIO'!C:V,5,0),"")</f>
        <v/>
      </c>
      <c r="H60" s="216" t="str">
        <f t="array" ref="H60">IFERROR(INDEX('PORTIFÓLIO'!$H$4:$H$433,MATCH($C60,'PORTIFÓLIO'!$C$4:$C$433,0)),"")</f>
        <v/>
      </c>
      <c r="I60" s="224"/>
      <c r="J60" s="218">
        <f t="shared" si="6"/>
        <v>0</v>
      </c>
      <c r="K60" s="219" t="str">
        <f t="array" ref="K60">IFERROR(I60*INDEX('PORTIFÓLIO'!$S$4:$S$433,MATCH($C60,'PORTIFÓLIO'!$C$4:$C$433,0)),"")</f>
        <v/>
      </c>
      <c r="L60" s="219" t="str">
        <f t="array" ref="L60">IFERROR(J60*INDEX('PORTIFÓLIO'!$S$4:$S$433,MATCH($C60,'PORTIFÓLIO'!$C$4:$C$433,0)),"")</f>
        <v/>
      </c>
      <c r="M60" s="220"/>
      <c r="N60" s="220"/>
      <c r="O60" s="220"/>
      <c r="P60" s="220"/>
      <c r="Q60" s="220"/>
      <c r="R60" s="220"/>
      <c r="S60" s="220"/>
      <c r="T60" s="220"/>
      <c r="U60" s="220"/>
      <c r="V60" s="220"/>
      <c r="W60" s="220"/>
      <c r="X60" s="220"/>
    </row>
    <row r="61" ht="15.75" customHeight="1" outlineLevel="1">
      <c r="A61" s="211"/>
      <c r="B61" s="212"/>
      <c r="C61" s="213"/>
      <c r="D61" s="214" t="str">
        <f>IFERROR(VLOOKUP($C61,'PORTIFÓLIO'!C:V,2,0),"")</f>
        <v/>
      </c>
      <c r="E61" s="211" t="str">
        <f>IFERROR(VLOOKUP($C61,'PORTIFÓLIO'!C:V,3,0),"")</f>
        <v/>
      </c>
      <c r="F61" s="211" t="str">
        <f>IFERROR(VLOOKUP($C61,'PORTIFÓLIO'!C:V,4,0),"")</f>
        <v/>
      </c>
      <c r="G61" s="215" t="str">
        <f>IFERROR(VLOOKUP($C61,'PORTIFÓLIO'!C:V,5,0),"")</f>
        <v/>
      </c>
      <c r="H61" s="216" t="str">
        <f t="array" ref="H61">IFERROR(INDEX('PORTIFÓLIO'!$H$4:$H$433,MATCH($C61,'PORTIFÓLIO'!$C$4:$C$433,0)),"")</f>
        <v/>
      </c>
      <c r="I61" s="224"/>
      <c r="J61" s="218">
        <f t="shared" si="6"/>
        <v>0</v>
      </c>
      <c r="K61" s="219" t="str">
        <f t="array" ref="K61">IFERROR(I61*INDEX('PORTIFÓLIO'!$S$4:$S$433,MATCH($C61,'PORTIFÓLIO'!$C$4:$C$433,0)),"")</f>
        <v/>
      </c>
      <c r="L61" s="219" t="str">
        <f t="array" ref="L61">IFERROR(J61*INDEX('PORTIFÓLIO'!$S$4:$S$433,MATCH($C61,'PORTIFÓLIO'!$C$4:$C$433,0)),"")</f>
        <v/>
      </c>
      <c r="M61" s="220"/>
      <c r="N61" s="220"/>
      <c r="O61" s="220"/>
      <c r="P61" s="220"/>
      <c r="Q61" s="220"/>
      <c r="R61" s="220"/>
      <c r="S61" s="220"/>
      <c r="T61" s="220"/>
      <c r="U61" s="220"/>
      <c r="V61" s="220"/>
      <c r="W61" s="220"/>
      <c r="X61" s="220"/>
    </row>
    <row r="62" ht="15.75" customHeight="1" outlineLevel="1">
      <c r="A62" s="211"/>
      <c r="B62" s="212"/>
      <c r="C62" s="213"/>
      <c r="D62" s="214" t="str">
        <f>IFERROR(VLOOKUP($C62,'PORTIFÓLIO'!C:V,2,0),"")</f>
        <v/>
      </c>
      <c r="E62" s="211" t="str">
        <f>IFERROR(VLOOKUP($C62,'PORTIFÓLIO'!C:V,3,0),"")</f>
        <v/>
      </c>
      <c r="F62" s="211" t="str">
        <f>IFERROR(VLOOKUP($C62,'PORTIFÓLIO'!C:V,4,0),"")</f>
        <v/>
      </c>
      <c r="G62" s="215" t="str">
        <f>IFERROR(VLOOKUP($C62,'PORTIFÓLIO'!C:V,5,0),"")</f>
        <v/>
      </c>
      <c r="H62" s="216" t="str">
        <f t="array" ref="H62">IFERROR(INDEX('PORTIFÓLIO'!$H$4:$H$433,MATCH($C62,'PORTIFÓLIO'!$C$4:$C$433,0)),"")</f>
        <v/>
      </c>
      <c r="I62" s="224"/>
      <c r="J62" s="218">
        <f t="shared" si="6"/>
        <v>0</v>
      </c>
      <c r="K62" s="219" t="str">
        <f t="array" ref="K62">IFERROR(I62*INDEX('PORTIFÓLIO'!$S$4:$S$433,MATCH($C62,'PORTIFÓLIO'!$C$4:$C$433,0)),"")</f>
        <v/>
      </c>
      <c r="L62" s="219" t="str">
        <f t="array" ref="L62">IFERROR(J62*INDEX('PORTIFÓLIO'!$S$4:$S$433,MATCH($C62,'PORTIFÓLIO'!$C$4:$C$433,0)),"")</f>
        <v/>
      </c>
      <c r="M62" s="220"/>
      <c r="N62" s="220"/>
      <c r="O62" s="220"/>
      <c r="P62" s="220"/>
      <c r="Q62" s="220"/>
      <c r="R62" s="220"/>
      <c r="S62" s="220"/>
      <c r="T62" s="220"/>
      <c r="U62" s="220"/>
      <c r="V62" s="220"/>
      <c r="W62" s="220"/>
      <c r="X62" s="220"/>
    </row>
    <row r="63" ht="15.75" customHeight="1">
      <c r="A63" s="221" t="s">
        <v>1186</v>
      </c>
      <c r="B63" s="197"/>
      <c r="C63" s="196"/>
      <c r="D63" s="198"/>
      <c r="E63" s="196"/>
      <c r="F63" s="196"/>
      <c r="G63" s="199"/>
      <c r="H63" s="222"/>
      <c r="I63" s="201"/>
      <c r="J63" s="202"/>
      <c r="K63" s="203">
        <f t="shared" ref="K63:L63" si="7">SUBTOTAL(9,K64:K76)</f>
        <v>354.48304</v>
      </c>
      <c r="L63" s="203">
        <f t="shared" si="7"/>
        <v>96773.86992</v>
      </c>
      <c r="M63" s="177"/>
      <c r="N63" s="177"/>
      <c r="O63" s="177"/>
      <c r="P63" s="177"/>
      <c r="Q63" s="177"/>
      <c r="R63" s="177"/>
      <c r="S63" s="177"/>
      <c r="T63" s="177"/>
      <c r="U63" s="177"/>
      <c r="V63" s="177"/>
      <c r="W63" s="177"/>
      <c r="X63" s="177"/>
    </row>
    <row r="64" ht="15.75" customHeight="1" outlineLevel="1">
      <c r="A64" s="191"/>
      <c r="B64" s="204" t="s">
        <v>5</v>
      </c>
      <c r="C64" s="191" t="s">
        <v>1059</v>
      </c>
      <c r="D64" s="205" t="str">
        <f>IFERROR(VLOOKUP($C64,'PORTIFÓLIO'!C:V,2,0),"")</f>
        <v/>
      </c>
      <c r="E64" s="190" t="str">
        <f>IFERROR(VLOOKUP($C64,'PORTIFÓLIO'!C:V,3,0),"")</f>
        <v/>
      </c>
      <c r="F64" s="190" t="str">
        <f>IFERROR(VLOOKUP($C64,'PORTIFÓLIO'!C:V,4,0),"")</f>
        <v/>
      </c>
      <c r="G64" s="223" t="str">
        <f>IFERROR(VLOOKUP($C64,'PORTIFÓLIO'!C:V,5,0),"")</f>
        <v>📄 Ver bula</v>
      </c>
      <c r="H64" s="207" t="str">
        <f t="array" ref="H64">IFERROR(INDEX('PORTIFÓLIO'!$H$4:$H$433,MATCH($C64,'PORTIFÓLIO'!$C$4:$C$433,0)),"")</f>
        <v/>
      </c>
      <c r="I64" s="208">
        <v>0.04</v>
      </c>
      <c r="J64" s="209">
        <f t="shared" ref="J64:J80" si="8">I64*$B$2</f>
        <v>10.92</v>
      </c>
      <c r="K64" s="210">
        <f t="array" ref="K64">IFERROR(I64*INDEX('PORTIFÓLIO'!$S$4:$S$433,MATCH($C64,'PORTIFÓLIO'!$C$4:$C$433,0)),"")</f>
        <v>0</v>
      </c>
      <c r="L64" s="210">
        <f t="array" ref="L64">IFERROR(J64*INDEX('PORTIFÓLIO'!$S$4:$S$433,MATCH($C64,'PORTIFÓLIO'!$C$4:$C$433,0)),"")</f>
        <v>0</v>
      </c>
      <c r="M64" s="177"/>
      <c r="N64" s="177"/>
      <c r="O64" s="177"/>
      <c r="P64" s="177"/>
      <c r="Q64" s="177"/>
      <c r="R64" s="177"/>
      <c r="S64" s="177"/>
      <c r="T64" s="177"/>
      <c r="U64" s="177"/>
      <c r="V64" s="177"/>
      <c r="W64" s="177"/>
      <c r="X64" s="177"/>
    </row>
    <row r="65" ht="15.75" customHeight="1" outlineLevel="1">
      <c r="A65" s="190"/>
      <c r="B65" s="204" t="s">
        <v>3</v>
      </c>
      <c r="C65" s="191" t="s">
        <v>1011</v>
      </c>
      <c r="D65" s="205" t="str">
        <f>IFERROR(VLOOKUP($C65,'PORTIFÓLIO'!C:V,2,0),"")</f>
        <v>METALAXIL-M + TIABENDAZOL + FLUDIOXONIL +
 TIAMETOXAM</v>
      </c>
      <c r="E65" s="190" t="str">
        <f>IFERROR(VLOOKUP($C65,'PORTIFÓLIO'!C:V,3,0),"")</f>
        <v>20 + 150 + 25 + 350</v>
      </c>
      <c r="F65" s="190" t="str">
        <f>IFERROR(VLOOKUP($C65,'PORTIFÓLIO'!C:V,4,0),"")</f>
        <v/>
      </c>
      <c r="G65" s="223" t="str">
        <f>IFERROR(VLOOKUP($C65,'PORTIFÓLIO'!C:V,5,0),"")</f>
        <v>📄 Ver bula</v>
      </c>
      <c r="H65" s="207">
        <f t="array" ref="H65">IFERROR(INDEX('PORTIFÓLIO'!$H$4:$H$433,MATCH($C65,'PORTIFÓLIO'!$C$4:$C$433,0)),"")</f>
        <v>0.05</v>
      </c>
      <c r="I65" s="208">
        <v>0.05</v>
      </c>
      <c r="J65" s="209">
        <f t="shared" si="8"/>
        <v>13.65</v>
      </c>
      <c r="K65" s="210">
        <f t="array" ref="K65">IFERROR(I65*INDEX('PORTIFÓLIO'!$S$4:$S$433,MATCH($C65,'PORTIFÓLIO'!$C$4:$C$433,0)),"")</f>
        <v>25.27</v>
      </c>
      <c r="L65" s="210">
        <f t="array" ref="L65">IFERROR(J65*INDEX('PORTIFÓLIO'!$S$4:$S$433,MATCH($C65,'PORTIFÓLIO'!$C$4:$C$433,0)),"")</f>
        <v>6898.71</v>
      </c>
      <c r="M65" s="177"/>
      <c r="N65" s="177"/>
      <c r="O65" s="177"/>
      <c r="P65" s="177"/>
      <c r="Q65" s="177"/>
      <c r="R65" s="177"/>
      <c r="S65" s="177"/>
      <c r="T65" s="177"/>
      <c r="U65" s="177"/>
      <c r="V65" s="177"/>
      <c r="W65" s="177"/>
      <c r="X65" s="177"/>
    </row>
    <row r="66" ht="15.75" customHeight="1" outlineLevel="1">
      <c r="A66" s="190"/>
      <c r="B66" s="204" t="s">
        <v>3</v>
      </c>
      <c r="C66" s="191" t="s">
        <v>1007</v>
      </c>
      <c r="D66" s="205" t="str">
        <f>IFERROR(VLOOKUP($C66,'PORTIFÓLIO'!C:V,2,0),"")</f>
        <v>DIFENOCONAZOL</v>
      </c>
      <c r="E66" s="190">
        <f>IFERROR(VLOOKUP($C66,'PORTIFÓLIO'!C:V,3,0),"")</f>
        <v>150</v>
      </c>
      <c r="F66" s="190" t="str">
        <f>IFERROR(VLOOKUP($C66,'PORTIFÓLIO'!C:V,4,0),"")</f>
        <v/>
      </c>
      <c r="G66" s="223" t="str">
        <f>IFERROR(VLOOKUP($C66,'PORTIFÓLIO'!C:V,5,0),"")</f>
        <v>📄 Ver bula</v>
      </c>
      <c r="H66" s="207">
        <f t="array" ref="H66">IFERROR(INDEX('PORTIFÓLIO'!$H$4:$H$433,MATCH($C66,'PORTIFÓLIO'!$C$4:$C$433,0)),"")</f>
        <v>0.015</v>
      </c>
      <c r="I66" s="208">
        <v>0.02</v>
      </c>
      <c r="J66" s="209">
        <f t="shared" si="8"/>
        <v>5.46</v>
      </c>
      <c r="K66" s="210">
        <f t="array" ref="K66">IFERROR(I66*INDEX('PORTIFÓLIO'!$S$4:$S$433,MATCH($C66,'PORTIFÓLIO'!$C$4:$C$433,0)),"")</f>
        <v>1.78486</v>
      </c>
      <c r="L66" s="210">
        <f t="array" ref="L66">IFERROR(J66*INDEX('PORTIFÓLIO'!$S$4:$S$433,MATCH($C66,'PORTIFÓLIO'!$C$4:$C$433,0)),"")</f>
        <v>487.26678</v>
      </c>
      <c r="M66" s="177"/>
      <c r="N66" s="177"/>
      <c r="O66" s="177"/>
      <c r="P66" s="177"/>
      <c r="Q66" s="177"/>
      <c r="R66" s="177"/>
      <c r="S66" s="177"/>
      <c r="T66" s="177"/>
      <c r="U66" s="177"/>
      <c r="V66" s="177"/>
      <c r="W66" s="177"/>
      <c r="X66" s="177"/>
    </row>
    <row r="67" ht="15.75" customHeight="1" outlineLevel="1">
      <c r="A67" s="190"/>
      <c r="B67" s="204" t="s">
        <v>3</v>
      </c>
      <c r="C67" s="191" t="s">
        <v>1005</v>
      </c>
      <c r="D67" s="205" t="str">
        <f>IFERROR(VLOOKUP($C67,'PORTIFÓLIO'!C:V,2,0),"")</f>
        <v>CICLOBUTRIFLURAM</v>
      </c>
      <c r="E67" s="190">
        <f>IFERROR(VLOOKUP($C67,'PORTIFÓLIO'!C:V,3,0),"")</f>
        <v>500</v>
      </c>
      <c r="F67" s="190" t="str">
        <f>IFERROR(VLOOKUP($C67,'PORTIFÓLIO'!C:V,4,0),"")</f>
        <v/>
      </c>
      <c r="G67" s="223" t="str">
        <f>IFERROR(VLOOKUP($C67,'PORTIFÓLIO'!C:V,5,0),"")</f>
        <v>📄 Ver bula</v>
      </c>
      <c r="H67" s="207">
        <f t="array" ref="H67">IFERROR(INDEX('PORTIFÓLIO'!$H$4:$H$433,MATCH($C67,'PORTIFÓLIO'!$C$4:$C$433,0)),"")</f>
        <v>0.02</v>
      </c>
      <c r="I67" s="208">
        <v>0.02</v>
      </c>
      <c r="J67" s="209">
        <f t="shared" si="8"/>
        <v>5.46</v>
      </c>
      <c r="K67" s="210">
        <f t="array" ref="K67">IFERROR(I67*INDEX('PORTIFÓLIO'!$S$4:$S$433,MATCH($C67,'PORTIFÓLIO'!$C$4:$C$433,0)),"")</f>
        <v>87.70818</v>
      </c>
      <c r="L67" s="210">
        <f t="array" ref="L67">IFERROR(J67*INDEX('PORTIFÓLIO'!$S$4:$S$433,MATCH($C67,'PORTIFÓLIO'!$C$4:$C$433,0)),"")</f>
        <v>23944.33314</v>
      </c>
      <c r="M67" s="177"/>
      <c r="N67" s="177"/>
      <c r="O67" s="177"/>
      <c r="P67" s="177"/>
      <c r="Q67" s="177"/>
      <c r="R67" s="177"/>
      <c r="S67" s="177"/>
      <c r="T67" s="177"/>
      <c r="U67" s="177"/>
      <c r="V67" s="177"/>
      <c r="W67" s="177"/>
      <c r="X67" s="177"/>
    </row>
    <row r="68" ht="15.75" customHeight="1" outlineLevel="1">
      <c r="A68" s="211"/>
      <c r="B68" s="212" t="s">
        <v>4</v>
      </c>
      <c r="C68" s="213" t="s">
        <v>1094</v>
      </c>
      <c r="D68" s="214" t="str">
        <f>IFERROR(VLOOKUP($C68,'PORTIFÓLIO'!C:V,2,0),"")</f>
        <v>Bradyrhizobium sp.</v>
      </c>
      <c r="E68" s="211" t="str">
        <f>IFERROR(VLOOKUP($C68,'PORTIFÓLIO'!C:V,3,0),"")</f>
        <v/>
      </c>
      <c r="F68" s="211" t="str">
        <f>IFERROR(VLOOKUP($C68,'PORTIFÓLIO'!C:V,4,0),"")</f>
        <v>L</v>
      </c>
      <c r="G68" s="225" t="str">
        <f>IFERROR(VLOOKUP($C68,'PORTIFÓLIO'!C:V,5,0),"")</f>
        <v>📄 Ver bula</v>
      </c>
      <c r="H68" s="216">
        <f t="array" ref="H68">IFERROR(INDEX('PORTIFÓLIO'!$H$4:$H$433,MATCH($C68,'PORTIFÓLIO'!$C$4:$C$433,0)),"")</f>
        <v>2</v>
      </c>
      <c r="I68" s="217">
        <v>4.0</v>
      </c>
      <c r="J68" s="218">
        <f t="shared" si="8"/>
        <v>1092</v>
      </c>
      <c r="K68" s="219">
        <f t="array" ref="K68">IFERROR(I68*INDEX('PORTIFÓLIO'!$S$4:$S$433,MATCH($C68,'PORTIFÓLIO'!$C$4:$C$433,0)),"")</f>
        <v>104</v>
      </c>
      <c r="L68" s="219">
        <f t="array" ref="L68">IFERROR(J68*INDEX('PORTIFÓLIO'!$S$4:$S$433,MATCH($C68,'PORTIFÓLIO'!$C$4:$C$433,0)),"")</f>
        <v>28392</v>
      </c>
      <c r="M68" s="220"/>
      <c r="N68" s="220"/>
      <c r="O68" s="220"/>
      <c r="P68" s="220"/>
      <c r="Q68" s="220"/>
      <c r="R68" s="220"/>
      <c r="S68" s="220"/>
      <c r="T68" s="220"/>
      <c r="U68" s="220"/>
      <c r="V68" s="220"/>
      <c r="W68" s="220"/>
      <c r="X68" s="220"/>
    </row>
    <row r="69" ht="15.75" customHeight="1" outlineLevel="1">
      <c r="A69" s="211"/>
      <c r="B69" s="212" t="s">
        <v>4</v>
      </c>
      <c r="C69" s="213" t="s">
        <v>1092</v>
      </c>
      <c r="D69" s="214" t="str">
        <f>IFERROR(VLOOKUP($C69,'PORTIFÓLIO'!C:V,2,0),"")</f>
        <v>Azospirillum brasiliense</v>
      </c>
      <c r="E69" s="211" t="str">
        <f>IFERROR(VLOOKUP($C69,'PORTIFÓLIO'!C:V,3,0),"")</f>
        <v/>
      </c>
      <c r="F69" s="211" t="str">
        <f>IFERROR(VLOOKUP($C69,'PORTIFÓLIO'!C:V,4,0),"")</f>
        <v>L</v>
      </c>
      <c r="G69" s="225" t="str">
        <f>IFERROR(VLOOKUP($C69,'PORTIFÓLIO'!C:V,5,0),"")</f>
        <v>📄 Ver bula</v>
      </c>
      <c r="H69" s="216">
        <f t="array" ref="H69">IFERROR(INDEX('PORTIFÓLIO'!$H$4:$H$433,MATCH($C69,'PORTIFÓLIO'!$C$4:$C$433,0)),"")</f>
        <v>2</v>
      </c>
      <c r="I69" s="217">
        <v>1.0</v>
      </c>
      <c r="J69" s="218">
        <f t="shared" si="8"/>
        <v>273</v>
      </c>
      <c r="K69" s="219">
        <f t="array" ref="K69">IFERROR(I69*INDEX('PORTIFÓLIO'!$S$4:$S$433,MATCH($C69,'PORTIFÓLIO'!$C$4:$C$433,0)),"")</f>
        <v>36.4</v>
      </c>
      <c r="L69" s="219">
        <f t="array" ref="L69">IFERROR(J69*INDEX('PORTIFÓLIO'!$S$4:$S$433,MATCH($C69,'PORTIFÓLIO'!$C$4:$C$433,0)),"")</f>
        <v>9937.2</v>
      </c>
      <c r="M69" s="220"/>
      <c r="N69" s="220"/>
      <c r="O69" s="220"/>
      <c r="P69" s="220"/>
      <c r="Q69" s="220"/>
      <c r="R69" s="220"/>
      <c r="S69" s="220"/>
      <c r="T69" s="220"/>
      <c r="U69" s="220"/>
      <c r="V69" s="220"/>
      <c r="W69" s="220"/>
      <c r="X69" s="220"/>
    </row>
    <row r="70" ht="15.75" customHeight="1" outlineLevel="1">
      <c r="A70" s="211"/>
      <c r="B70" s="212" t="s">
        <v>4</v>
      </c>
      <c r="C70" s="213" t="s">
        <v>1107</v>
      </c>
      <c r="D70" s="214" t="str">
        <f>IFERROR(VLOOKUP($C70,'PORTIFÓLIO'!C:V,2,0),"")</f>
        <v>Priestia aryabhattai</v>
      </c>
      <c r="E70" s="211" t="str">
        <f>IFERROR(VLOOKUP($C70,'PORTIFÓLIO'!C:V,3,0),"")</f>
        <v/>
      </c>
      <c r="F70" s="211" t="str">
        <f>IFERROR(VLOOKUP($C70,'PORTIFÓLIO'!C:V,4,0),"")</f>
        <v/>
      </c>
      <c r="G70" s="225" t="str">
        <f>IFERROR(VLOOKUP($C70,'PORTIFÓLIO'!C:V,5,0),"")</f>
        <v>📄 Ver bula</v>
      </c>
      <c r="H70" s="216">
        <f t="array" ref="H70">IFERROR(INDEX('PORTIFÓLIO'!$H$4:$H$433,MATCH($C70,'PORTIFÓLIO'!$C$4:$C$433,0)),"")</f>
        <v>2</v>
      </c>
      <c r="I70" s="217">
        <v>1.0</v>
      </c>
      <c r="J70" s="218">
        <f t="shared" si="8"/>
        <v>273</v>
      </c>
      <c r="K70" s="219">
        <f t="array" ref="K70">IFERROR(I70*INDEX('PORTIFÓLIO'!$S$4:$S$433,MATCH($C70,'PORTIFÓLIO'!$C$4:$C$433,0)),"")</f>
        <v>81.12</v>
      </c>
      <c r="L70" s="219">
        <f t="array" ref="L70">IFERROR(J70*INDEX('PORTIFÓLIO'!$S$4:$S$433,MATCH($C70,'PORTIFÓLIO'!$C$4:$C$433,0)),"")</f>
        <v>22145.76</v>
      </c>
      <c r="M70" s="220"/>
      <c r="N70" s="220"/>
      <c r="O70" s="220"/>
      <c r="P70" s="220"/>
      <c r="Q70" s="220"/>
      <c r="R70" s="220"/>
      <c r="S70" s="220"/>
      <c r="T70" s="220"/>
      <c r="U70" s="220"/>
      <c r="V70" s="220"/>
      <c r="W70" s="220"/>
      <c r="X70" s="220"/>
    </row>
    <row r="71" ht="15.75" customHeight="1" outlineLevel="1">
      <c r="A71" s="211"/>
      <c r="B71" s="212" t="s">
        <v>4</v>
      </c>
      <c r="C71" s="213" t="s">
        <v>1187</v>
      </c>
      <c r="D71" s="214" t="str">
        <f>IFERROR(VLOOKUP($C71,'PORTIFÓLIO'!C:V,2,0),"")</f>
        <v/>
      </c>
      <c r="E71" s="211" t="str">
        <f>IFERROR(VLOOKUP($C71,'PORTIFÓLIO'!C:V,3,0),"")</f>
        <v/>
      </c>
      <c r="F71" s="211" t="str">
        <f>IFERROR(VLOOKUP($C71,'PORTIFÓLIO'!C:V,4,0),"")</f>
        <v/>
      </c>
      <c r="G71" s="215" t="str">
        <f>IFERROR(VLOOKUP($C71,'PORTIFÓLIO'!C:V,5,0),"")</f>
        <v/>
      </c>
      <c r="H71" s="216" t="str">
        <f t="array" ref="H71">IFERROR(INDEX('PORTIFÓLIO'!$H$4:$H$433,MATCH($C71,'PORTIFÓLIO'!$C$4:$C$433,0)),"")</f>
        <v/>
      </c>
      <c r="I71" s="217">
        <v>1.0</v>
      </c>
      <c r="J71" s="218">
        <f t="shared" si="8"/>
        <v>273</v>
      </c>
      <c r="K71" s="219" t="str">
        <f t="array" ref="K71">IFERROR(I71*INDEX('PORTIFÓLIO'!$S$4:$S$433,MATCH($C71,'PORTIFÓLIO'!$C$4:$C$433,0)),"")</f>
        <v/>
      </c>
      <c r="L71" s="219" t="str">
        <f t="array" ref="L71">IFERROR(J71*INDEX('PORTIFÓLIO'!$S$4:$S$433,MATCH($C71,'PORTIFÓLIO'!$C$4:$C$433,0)),"")</f>
        <v/>
      </c>
      <c r="M71" s="220"/>
      <c r="N71" s="220"/>
      <c r="O71" s="220"/>
      <c r="P71" s="220"/>
      <c r="Q71" s="220"/>
      <c r="R71" s="220"/>
      <c r="S71" s="220"/>
      <c r="T71" s="220"/>
      <c r="U71" s="220"/>
      <c r="V71" s="220"/>
      <c r="W71" s="220"/>
      <c r="X71" s="220"/>
    </row>
    <row r="72" ht="15.75" customHeight="1" outlineLevel="1">
      <c r="A72" s="211"/>
      <c r="B72" s="212" t="s">
        <v>9</v>
      </c>
      <c r="C72" s="213" t="s">
        <v>1115</v>
      </c>
      <c r="D72" s="214" t="str">
        <f>IFERROR(VLOOKUP($C72,'PORTIFÓLIO'!C:V,2,0),"")</f>
        <v>Nutrifarm</v>
      </c>
      <c r="E72" s="211" t="str">
        <f>IFERROR(VLOOKUP($C72,'PORTIFÓLIO'!C:V,3,0),"")</f>
        <v/>
      </c>
      <c r="F72" s="211" t="str">
        <f>IFERROR(VLOOKUP($C72,'PORTIFÓLIO'!C:V,4,0),"")</f>
        <v>L</v>
      </c>
      <c r="G72" s="225" t="str">
        <f>IFERROR(VLOOKUP($C72,'PORTIFÓLIO'!C:V,5,0),"")</f>
        <v>📄 Ver bula</v>
      </c>
      <c r="H72" s="216">
        <f t="array" ref="H72">IFERROR(INDEX('PORTIFÓLIO'!$H$4:$H$433,MATCH($C72,'PORTIFÓLIO'!$C$4:$C$433,0)),"")</f>
        <v>0.2</v>
      </c>
      <c r="I72" s="217">
        <v>0.1</v>
      </c>
      <c r="J72" s="218">
        <f t="shared" si="8"/>
        <v>27.3</v>
      </c>
      <c r="K72" s="219">
        <f t="array" ref="K72">IFERROR(I72*INDEX('PORTIFÓLIO'!$S$4:$S$433,MATCH($C72,'PORTIFÓLIO'!$C$4:$C$433,0)),"")</f>
        <v>18.2</v>
      </c>
      <c r="L72" s="219">
        <f t="array" ref="L72">IFERROR(J72*INDEX('PORTIFÓLIO'!$S$4:$S$433,MATCH($C72,'PORTIFÓLIO'!$C$4:$C$433,0)),"")</f>
        <v>4968.6</v>
      </c>
      <c r="M72" s="220"/>
      <c r="N72" s="220"/>
      <c r="O72" s="220"/>
      <c r="P72" s="220"/>
      <c r="Q72" s="220"/>
      <c r="R72" s="220"/>
      <c r="S72" s="220"/>
      <c r="T72" s="220"/>
      <c r="U72" s="220"/>
      <c r="V72" s="220"/>
      <c r="W72" s="220"/>
      <c r="X72" s="220"/>
    </row>
    <row r="73" ht="15.75" customHeight="1" outlineLevel="1">
      <c r="A73" s="211"/>
      <c r="B73" s="212"/>
      <c r="C73" s="213"/>
      <c r="D73" s="214" t="str">
        <f>IFERROR(VLOOKUP($C73,'PORTIFÓLIO'!C:V,2,0),"")</f>
        <v/>
      </c>
      <c r="E73" s="211" t="str">
        <f>IFERROR(VLOOKUP($C73,'PORTIFÓLIO'!C:V,3,0),"")</f>
        <v/>
      </c>
      <c r="F73" s="211" t="str">
        <f>IFERROR(VLOOKUP($C73,'PORTIFÓLIO'!C:V,4,0),"")</f>
        <v/>
      </c>
      <c r="G73" s="215" t="str">
        <f>IFERROR(VLOOKUP($C73,'PORTIFÓLIO'!C:V,5,0),"")</f>
        <v/>
      </c>
      <c r="H73" s="216" t="str">
        <f t="array" ref="H73">IFERROR(INDEX('PORTIFÓLIO'!$H$4:$H$433,MATCH($C73,'PORTIFÓLIO'!$C$4:$C$433,0)),"")</f>
        <v/>
      </c>
      <c r="I73" s="224"/>
      <c r="J73" s="218">
        <f t="shared" si="8"/>
        <v>0</v>
      </c>
      <c r="K73" s="219" t="str">
        <f t="array" ref="K73">IFERROR(I73*INDEX('PORTIFÓLIO'!$S$4:$S$433,MATCH($C73,'PORTIFÓLIO'!$C$4:$C$433,0)),"")</f>
        <v/>
      </c>
      <c r="L73" s="219" t="str">
        <f t="array" ref="L73">IFERROR(J73*INDEX('PORTIFÓLIO'!$S$4:$S$433,MATCH($C73,'PORTIFÓLIO'!$C$4:$C$433,0)),"")</f>
        <v/>
      </c>
      <c r="M73" s="220"/>
      <c r="N73" s="220"/>
      <c r="O73" s="220"/>
      <c r="P73" s="220"/>
      <c r="Q73" s="220"/>
      <c r="R73" s="220"/>
      <c r="S73" s="220"/>
      <c r="T73" s="220"/>
      <c r="U73" s="220"/>
      <c r="V73" s="220"/>
      <c r="W73" s="220"/>
      <c r="X73" s="220"/>
    </row>
    <row r="74" ht="15.75" customHeight="1" outlineLevel="1">
      <c r="A74" s="211"/>
      <c r="B74" s="212"/>
      <c r="C74" s="213"/>
      <c r="D74" s="214" t="str">
        <f>IFERROR(VLOOKUP($C74,'PORTIFÓLIO'!C:V,2,0),"")</f>
        <v/>
      </c>
      <c r="E74" s="211" t="str">
        <f>IFERROR(VLOOKUP($C74,'PORTIFÓLIO'!C:V,3,0),"")</f>
        <v/>
      </c>
      <c r="F74" s="211" t="str">
        <f>IFERROR(VLOOKUP($C74,'PORTIFÓLIO'!C:V,4,0),"")</f>
        <v/>
      </c>
      <c r="G74" s="215" t="str">
        <f>IFERROR(VLOOKUP($C74,'PORTIFÓLIO'!C:V,5,0),"")</f>
        <v/>
      </c>
      <c r="H74" s="216" t="str">
        <f t="array" ref="H74">IFERROR(INDEX('PORTIFÓLIO'!$H$4:$H$433,MATCH($C74,'PORTIFÓLIO'!$C$4:$C$433,0)),"")</f>
        <v/>
      </c>
      <c r="I74" s="224"/>
      <c r="J74" s="218">
        <f t="shared" si="8"/>
        <v>0</v>
      </c>
      <c r="K74" s="219" t="str">
        <f t="array" ref="K74">IFERROR(I74*INDEX('PORTIFÓLIO'!$S$4:$S$433,MATCH($C74,'PORTIFÓLIO'!$C$4:$C$433,0)),"")</f>
        <v/>
      </c>
      <c r="L74" s="219" t="str">
        <f t="array" ref="L74">IFERROR(J74*INDEX('PORTIFÓLIO'!$S$4:$S$433,MATCH($C74,'PORTIFÓLIO'!$C$4:$C$433,0)),"")</f>
        <v/>
      </c>
      <c r="M74" s="220"/>
      <c r="N74" s="220"/>
      <c r="O74" s="220"/>
      <c r="P74" s="220"/>
      <c r="Q74" s="220"/>
      <c r="R74" s="220"/>
      <c r="S74" s="220"/>
      <c r="T74" s="220"/>
      <c r="U74" s="220"/>
      <c r="V74" s="220"/>
      <c r="W74" s="220"/>
      <c r="X74" s="220"/>
    </row>
    <row r="75" ht="15.75" customHeight="1" outlineLevel="1">
      <c r="A75" s="211"/>
      <c r="B75" s="212"/>
      <c r="C75" s="213"/>
      <c r="D75" s="214" t="str">
        <f>IFERROR(VLOOKUP($C75,'PORTIFÓLIO'!C:V,2,0),"")</f>
        <v/>
      </c>
      <c r="E75" s="211" t="str">
        <f>IFERROR(VLOOKUP($C75,'PORTIFÓLIO'!C:V,3,0),"")</f>
        <v/>
      </c>
      <c r="F75" s="211" t="str">
        <f>IFERROR(VLOOKUP($C75,'PORTIFÓLIO'!C:V,4,0),"")</f>
        <v/>
      </c>
      <c r="G75" s="215" t="str">
        <f>IFERROR(VLOOKUP($C75,'PORTIFÓLIO'!C:V,5,0),"")</f>
        <v/>
      </c>
      <c r="H75" s="216" t="str">
        <f t="array" ref="H75">IFERROR(INDEX('PORTIFÓLIO'!$H$4:$H$433,MATCH($C75,'PORTIFÓLIO'!$C$4:$C$433,0)),"")</f>
        <v/>
      </c>
      <c r="I75" s="224"/>
      <c r="J75" s="218">
        <f t="shared" si="8"/>
        <v>0</v>
      </c>
      <c r="K75" s="219" t="str">
        <f t="array" ref="K75">IFERROR(I75*INDEX('PORTIFÓLIO'!$S$4:$S$433,MATCH($C75,'PORTIFÓLIO'!$C$4:$C$433,0)),"")</f>
        <v/>
      </c>
      <c r="L75" s="219" t="str">
        <f t="array" ref="L75">IFERROR(J75*INDEX('PORTIFÓLIO'!$S$4:$S$433,MATCH($C75,'PORTIFÓLIO'!$C$4:$C$433,0)),"")</f>
        <v/>
      </c>
      <c r="M75" s="220"/>
      <c r="N75" s="220"/>
      <c r="O75" s="220"/>
      <c r="P75" s="220"/>
      <c r="Q75" s="220"/>
      <c r="R75" s="220"/>
      <c r="S75" s="220"/>
      <c r="T75" s="220"/>
      <c r="U75" s="220"/>
      <c r="V75" s="220"/>
      <c r="W75" s="220"/>
      <c r="X75" s="220"/>
    </row>
    <row r="76" ht="15.75" customHeight="1" outlineLevel="1">
      <c r="A76" s="211"/>
      <c r="B76" s="212"/>
      <c r="C76" s="213"/>
      <c r="D76" s="214" t="str">
        <f>IFERROR(VLOOKUP($C76,'PORTIFÓLIO'!C:V,2,0),"")</f>
        <v/>
      </c>
      <c r="E76" s="211" t="str">
        <f>IFERROR(VLOOKUP($C76,'PORTIFÓLIO'!C:V,3,0),"")</f>
        <v/>
      </c>
      <c r="F76" s="211" t="str">
        <f>IFERROR(VLOOKUP($C76,'PORTIFÓLIO'!C:V,4,0),"")</f>
        <v/>
      </c>
      <c r="G76" s="215" t="str">
        <f>IFERROR(VLOOKUP($C76,'PORTIFÓLIO'!C:V,5,0),"")</f>
        <v/>
      </c>
      <c r="H76" s="216" t="str">
        <f t="array" ref="H76">IFERROR(INDEX('PORTIFÓLIO'!$H$4:$H$433,MATCH($C76,'PORTIFÓLIO'!$C$4:$C$433,0)),"")</f>
        <v/>
      </c>
      <c r="I76" s="224"/>
      <c r="J76" s="218">
        <f t="shared" si="8"/>
        <v>0</v>
      </c>
      <c r="K76" s="219" t="str">
        <f t="array" ref="K76">IFERROR(I76*INDEX('PORTIFÓLIO'!$S$4:$S$433,MATCH($C76,'PORTIFÓLIO'!$C$4:$C$433,0)),"")</f>
        <v/>
      </c>
      <c r="L76" s="219" t="str">
        <f t="array" ref="L76">IFERROR(J76*INDEX('PORTIFÓLIO'!$S$4:$S$433,MATCH($C76,'PORTIFÓLIO'!$C$4:$C$433,0)),"")</f>
        <v/>
      </c>
      <c r="M76" s="220"/>
      <c r="N76" s="220"/>
      <c r="O76" s="220"/>
      <c r="P76" s="220"/>
      <c r="Q76" s="220"/>
      <c r="R76" s="220"/>
      <c r="S76" s="220"/>
      <c r="T76" s="220"/>
      <c r="U76" s="220"/>
      <c r="V76" s="220"/>
      <c r="W76" s="220"/>
      <c r="X76" s="220"/>
    </row>
    <row r="77" ht="15.75" customHeight="1" outlineLevel="1">
      <c r="A77" s="211"/>
      <c r="B77" s="212"/>
      <c r="C77" s="213"/>
      <c r="D77" s="214" t="str">
        <f>IFERROR(VLOOKUP($C77,'PORTIFÓLIO'!C:V,2,0),"")</f>
        <v/>
      </c>
      <c r="E77" s="211" t="str">
        <f>IFERROR(VLOOKUP($C77,'PORTIFÓLIO'!C:V,3,0),"")</f>
        <v/>
      </c>
      <c r="F77" s="211" t="str">
        <f>IFERROR(VLOOKUP($C77,'PORTIFÓLIO'!C:V,4,0),"")</f>
        <v/>
      </c>
      <c r="G77" s="215" t="str">
        <f>IFERROR(VLOOKUP($C77,'PORTIFÓLIO'!C:V,5,0),"")</f>
        <v/>
      </c>
      <c r="H77" s="216" t="str">
        <f t="array" ref="H77">IFERROR(INDEX('PORTIFÓLIO'!$H$4:$H$433,MATCH($C77,'PORTIFÓLIO'!$C$4:$C$433,0)),"")</f>
        <v/>
      </c>
      <c r="I77" s="224"/>
      <c r="J77" s="218">
        <f t="shared" si="8"/>
        <v>0</v>
      </c>
      <c r="K77" s="219" t="str">
        <f t="array" ref="K77">IFERROR(I77*INDEX('PORTIFÓLIO'!$S$4:$S$433,MATCH($C77,'PORTIFÓLIO'!$C$4:$C$433,0)),"")</f>
        <v/>
      </c>
      <c r="L77" s="219" t="str">
        <f t="array" ref="L77">IFERROR(J77*INDEX('PORTIFÓLIO'!$S$4:$S$433,MATCH($C77,'PORTIFÓLIO'!$C$4:$C$433,0)),"")</f>
        <v/>
      </c>
      <c r="M77" s="220"/>
      <c r="N77" s="220"/>
      <c r="O77" s="220"/>
      <c r="P77" s="220"/>
      <c r="Q77" s="220"/>
      <c r="R77" s="220"/>
      <c r="S77" s="220"/>
      <c r="T77" s="220"/>
      <c r="U77" s="220"/>
      <c r="V77" s="220"/>
      <c r="W77" s="220"/>
      <c r="X77" s="220"/>
    </row>
    <row r="78" ht="15.75" customHeight="1" outlineLevel="1">
      <c r="A78" s="211"/>
      <c r="B78" s="212"/>
      <c r="C78" s="213"/>
      <c r="D78" s="214" t="str">
        <f>IFERROR(VLOOKUP($C78,'PORTIFÓLIO'!C:V,2,0),"")</f>
        <v/>
      </c>
      <c r="E78" s="211" t="str">
        <f>IFERROR(VLOOKUP($C78,'PORTIFÓLIO'!C:V,3,0),"")</f>
        <v/>
      </c>
      <c r="F78" s="211" t="str">
        <f>IFERROR(VLOOKUP($C78,'PORTIFÓLIO'!C:V,4,0),"")</f>
        <v/>
      </c>
      <c r="G78" s="215" t="str">
        <f>IFERROR(VLOOKUP($C78,'PORTIFÓLIO'!C:V,5,0),"")</f>
        <v/>
      </c>
      <c r="H78" s="216" t="str">
        <f t="array" ref="H78">IFERROR(INDEX('PORTIFÓLIO'!$H$4:$H$433,MATCH($C78,'PORTIFÓLIO'!$C$4:$C$433,0)),"")</f>
        <v/>
      </c>
      <c r="I78" s="224"/>
      <c r="J78" s="218">
        <f t="shared" si="8"/>
        <v>0</v>
      </c>
      <c r="K78" s="219" t="str">
        <f t="array" ref="K78">IFERROR(I78*INDEX('PORTIFÓLIO'!$S$4:$S$433,MATCH($C78,'PORTIFÓLIO'!$C$4:$C$433,0)),"")</f>
        <v/>
      </c>
      <c r="L78" s="219" t="str">
        <f t="array" ref="L78">IFERROR(J78*INDEX('PORTIFÓLIO'!$S$4:$S$433,MATCH($C78,'PORTIFÓLIO'!$C$4:$C$433,0)),"")</f>
        <v/>
      </c>
      <c r="M78" s="220"/>
      <c r="N78" s="220"/>
      <c r="O78" s="220"/>
      <c r="P78" s="220"/>
      <c r="Q78" s="220"/>
      <c r="R78" s="220"/>
      <c r="S78" s="220"/>
      <c r="T78" s="220"/>
      <c r="U78" s="220"/>
      <c r="V78" s="220"/>
      <c r="W78" s="220"/>
      <c r="X78" s="220"/>
    </row>
    <row r="79" ht="15.75" customHeight="1" outlineLevel="1">
      <c r="A79" s="211"/>
      <c r="B79" s="212"/>
      <c r="C79" s="213"/>
      <c r="D79" s="214" t="str">
        <f>IFERROR(VLOOKUP($C79,'PORTIFÓLIO'!C:V,2,0),"")</f>
        <v/>
      </c>
      <c r="E79" s="211" t="str">
        <f>IFERROR(VLOOKUP($C79,'PORTIFÓLIO'!C:V,3,0),"")</f>
        <v/>
      </c>
      <c r="F79" s="211" t="str">
        <f>IFERROR(VLOOKUP($C79,'PORTIFÓLIO'!C:V,4,0),"")</f>
        <v/>
      </c>
      <c r="G79" s="215" t="str">
        <f>IFERROR(VLOOKUP($C79,'PORTIFÓLIO'!C:V,5,0),"")</f>
        <v/>
      </c>
      <c r="H79" s="216" t="str">
        <f t="array" ref="H79">IFERROR(INDEX('PORTIFÓLIO'!$H$4:$H$433,MATCH($C79,'PORTIFÓLIO'!$C$4:$C$433,0)),"")</f>
        <v/>
      </c>
      <c r="I79" s="224"/>
      <c r="J79" s="218">
        <f t="shared" si="8"/>
        <v>0</v>
      </c>
      <c r="K79" s="219" t="str">
        <f t="array" ref="K79">IFERROR(I79*INDEX('PORTIFÓLIO'!$S$4:$S$433,MATCH($C79,'PORTIFÓLIO'!$C$4:$C$433,0)),"")</f>
        <v/>
      </c>
      <c r="L79" s="219" t="str">
        <f t="array" ref="L79">IFERROR(J79*INDEX('PORTIFÓLIO'!$S$4:$S$433,MATCH($C79,'PORTIFÓLIO'!$C$4:$C$433,0)),"")</f>
        <v/>
      </c>
      <c r="M79" s="220"/>
      <c r="N79" s="220"/>
      <c r="O79" s="220"/>
      <c r="P79" s="220"/>
      <c r="Q79" s="220"/>
      <c r="R79" s="220"/>
      <c r="S79" s="220"/>
      <c r="T79" s="220"/>
      <c r="U79" s="220"/>
      <c r="V79" s="220"/>
      <c r="W79" s="220"/>
      <c r="X79" s="220"/>
    </row>
    <row r="80" ht="15.75" customHeight="1" outlineLevel="1">
      <c r="A80" s="211"/>
      <c r="B80" s="212"/>
      <c r="C80" s="213"/>
      <c r="D80" s="214" t="str">
        <f>IFERROR(VLOOKUP($C80,'PORTIFÓLIO'!C:V,2,0),"")</f>
        <v/>
      </c>
      <c r="E80" s="211" t="str">
        <f>IFERROR(VLOOKUP($C80,'PORTIFÓLIO'!C:V,3,0),"")</f>
        <v/>
      </c>
      <c r="F80" s="211" t="str">
        <f>IFERROR(VLOOKUP($C80,'PORTIFÓLIO'!C:V,4,0),"")</f>
        <v/>
      </c>
      <c r="G80" s="215" t="str">
        <f>IFERROR(VLOOKUP($C80,'PORTIFÓLIO'!C:V,5,0),"")</f>
        <v/>
      </c>
      <c r="H80" s="216" t="str">
        <f t="array" ref="H80">IFERROR(INDEX('PORTIFÓLIO'!$H$4:$H$433,MATCH($C80,'PORTIFÓLIO'!$C$4:$C$433,0)),"")</f>
        <v/>
      </c>
      <c r="I80" s="224"/>
      <c r="J80" s="218">
        <f t="shared" si="8"/>
        <v>0</v>
      </c>
      <c r="K80" s="219" t="str">
        <f t="array" ref="K80">IFERROR(I80*INDEX('PORTIFÓLIO'!$S$4:$S$433,MATCH($C80,'PORTIFÓLIO'!$C$4:$C$433,0)),"")</f>
        <v/>
      </c>
      <c r="L80" s="219" t="str">
        <f t="array" ref="L80">IFERROR(J80*INDEX('PORTIFÓLIO'!$S$4:$S$433,MATCH($C80,'PORTIFÓLIO'!$C$4:$C$433,0)),"")</f>
        <v/>
      </c>
      <c r="M80" s="220"/>
      <c r="N80" s="220"/>
      <c r="O80" s="220"/>
      <c r="P80" s="220"/>
      <c r="Q80" s="220"/>
      <c r="R80" s="220"/>
      <c r="S80" s="220"/>
      <c r="T80" s="220"/>
      <c r="U80" s="220"/>
      <c r="V80" s="220"/>
      <c r="W80" s="220"/>
      <c r="X80" s="220"/>
    </row>
    <row r="81" ht="15.75" customHeight="1">
      <c r="A81" s="221" t="s">
        <v>1188</v>
      </c>
      <c r="B81" s="197"/>
      <c r="C81" s="196"/>
      <c r="D81" s="198" t="s">
        <v>216</v>
      </c>
      <c r="E81" s="196"/>
      <c r="F81" s="196"/>
      <c r="G81" s="199"/>
      <c r="H81" s="222"/>
      <c r="I81" s="201"/>
      <c r="J81" s="202"/>
      <c r="K81" s="203">
        <f t="shared" ref="K81:L81" si="9">SUBTOTAL(9,K82:K95)</f>
        <v>101.585534</v>
      </c>
      <c r="L81" s="203">
        <f t="shared" si="9"/>
        <v>27732.85078</v>
      </c>
      <c r="M81" s="177"/>
      <c r="N81" s="177"/>
      <c r="O81" s="177"/>
      <c r="P81" s="177"/>
      <c r="Q81" s="177"/>
      <c r="R81" s="177"/>
      <c r="S81" s="177"/>
      <c r="T81" s="177"/>
      <c r="U81" s="177"/>
      <c r="V81" s="177"/>
      <c r="W81" s="177"/>
      <c r="X81" s="177"/>
    </row>
    <row r="82" ht="15.75" customHeight="1" outlineLevel="1">
      <c r="A82" s="191"/>
      <c r="B82" s="204" t="s">
        <v>1</v>
      </c>
      <c r="C82" s="191" t="s">
        <v>637</v>
      </c>
      <c r="D82" s="205" t="str">
        <f>IFERROR(VLOOKUP($C82,'PORTIFÓLIO'!C:V,2,0),"")</f>
        <v>GLIFOSATO-SAL DE AMÔNIO</v>
      </c>
      <c r="E82" s="190">
        <f>IFERROR(VLOOKUP($C82,'PORTIFÓLIO'!C:V,3,0),"")</f>
        <v>720</v>
      </c>
      <c r="F82" s="190" t="str">
        <f>IFERROR(VLOOKUP($C82,'PORTIFÓLIO'!C:V,4,0),"")</f>
        <v>L</v>
      </c>
      <c r="G82" s="223" t="str">
        <f>IFERROR(VLOOKUP($C82,'PORTIFÓLIO'!C:V,5,0),"")</f>
        <v>📄 Ver bula</v>
      </c>
      <c r="H82" s="207">
        <f t="array" ref="H82">IFERROR(INDEX('PORTIFÓLIO'!$H$4:$H$433,MATCH($C82,'PORTIFÓLIO'!$C$4:$C$433,0)),"")</f>
        <v>2</v>
      </c>
      <c r="I82" s="208">
        <v>2.0</v>
      </c>
      <c r="J82" s="209">
        <f t="shared" ref="J82:J96" si="10">I82*$B$2</f>
        <v>546</v>
      </c>
      <c r="K82" s="210">
        <f t="array" ref="K82">IFERROR(I82*INDEX('PORTIFÓLIO'!$S$4:$S$433,MATCH($C82,'PORTIFÓLIO'!$C$4:$C$433,0)),"")</f>
        <v>49.16</v>
      </c>
      <c r="L82" s="210">
        <f t="array" ref="L82">IFERROR(J82*INDEX('PORTIFÓLIO'!$S$4:$S$433,MATCH($C82,'PORTIFÓLIO'!$C$4:$C$433,0)),"")</f>
        <v>13420.68</v>
      </c>
      <c r="M82" s="177"/>
      <c r="N82" s="177"/>
      <c r="O82" s="177"/>
      <c r="P82" s="177"/>
      <c r="Q82" s="177"/>
      <c r="R82" s="177"/>
      <c r="S82" s="177"/>
      <c r="T82" s="177"/>
      <c r="U82" s="177"/>
      <c r="V82" s="177"/>
      <c r="W82" s="177"/>
      <c r="X82" s="177"/>
    </row>
    <row r="83" ht="15.75" customHeight="1" outlineLevel="1">
      <c r="A83" s="190"/>
      <c r="B83" s="204" t="s">
        <v>1</v>
      </c>
      <c r="C83" s="191" t="s">
        <v>682</v>
      </c>
      <c r="D83" s="205" t="str">
        <f>IFERROR(VLOOKUP($C83,'PORTIFÓLIO'!C:V,2,0),"")</f>
        <v>CLETODIM</v>
      </c>
      <c r="E83" s="190">
        <f>IFERROR(VLOOKUP($C83,'PORTIFÓLIO'!C:V,3,0),"")</f>
        <v>240</v>
      </c>
      <c r="F83" s="190" t="str">
        <f>IFERROR(VLOOKUP($C83,'PORTIFÓLIO'!C:V,4,0),"")</f>
        <v>L</v>
      </c>
      <c r="G83" s="223" t="str">
        <f>IFERROR(VLOOKUP($C83,'PORTIFÓLIO'!C:V,5,0),"")</f>
        <v>📄 Ver bula</v>
      </c>
      <c r="H83" s="207">
        <f t="array" ref="H83">IFERROR(INDEX('PORTIFÓLIO'!$H$4:$H$433,MATCH($C83,'PORTIFÓLIO'!$C$4:$C$433,0)),"")</f>
        <v>0.4</v>
      </c>
      <c r="I83" s="208">
        <v>0.4</v>
      </c>
      <c r="J83" s="209">
        <f t="shared" si="10"/>
        <v>109.2</v>
      </c>
      <c r="K83" s="210">
        <f t="array" ref="K83">IFERROR(I83*INDEX('PORTIFÓLIO'!$S$4:$S$433,MATCH($C83,'PORTIFÓLIO'!$C$4:$C$433,0)),"")</f>
        <v>12.33916</v>
      </c>
      <c r="L83" s="210">
        <f t="array" ref="L83">IFERROR(J83*INDEX('PORTIFÓLIO'!$S$4:$S$433,MATCH($C83,'PORTIFÓLIO'!$C$4:$C$433,0)),"")</f>
        <v>3368.59068</v>
      </c>
      <c r="M83" s="177"/>
      <c r="N83" s="177"/>
      <c r="O83" s="177"/>
      <c r="P83" s="177"/>
      <c r="Q83" s="177"/>
      <c r="R83" s="177"/>
      <c r="S83" s="177"/>
      <c r="T83" s="177"/>
      <c r="U83" s="177"/>
      <c r="V83" s="177"/>
      <c r="W83" s="177"/>
      <c r="X83" s="177"/>
    </row>
    <row r="84" ht="15.75" customHeight="1" outlineLevel="1">
      <c r="A84" s="190"/>
      <c r="B84" s="204" t="s">
        <v>0</v>
      </c>
      <c r="C84" s="191" t="s">
        <v>505</v>
      </c>
      <c r="D84" s="205" t="str">
        <f>IFERROR(VLOOKUP($C84,'PORTIFÓLIO'!C:V,2,0),"")</f>
        <v>TEBUCONAZOL</v>
      </c>
      <c r="E84" s="190">
        <f>IFERROR(VLOOKUP($C84,'PORTIFÓLIO'!C:V,3,0),"")</f>
        <v>430</v>
      </c>
      <c r="F84" s="190" t="str">
        <f>IFERROR(VLOOKUP($C84,'PORTIFÓLIO'!C:V,4,0),"")</f>
        <v>L</v>
      </c>
      <c r="G84" s="223" t="str">
        <f>IFERROR(VLOOKUP($C84,'PORTIFÓLIO'!C:V,5,0),"")</f>
        <v>📄 Ver bula</v>
      </c>
      <c r="H84" s="207">
        <f t="array" ref="H84">IFERROR(INDEX('PORTIFÓLIO'!$H$4:$H$433,MATCH($C84,'PORTIFÓLIO'!$C$4:$C$433,0)),"")</f>
        <v>0.4</v>
      </c>
      <c r="I84" s="208">
        <v>0.4</v>
      </c>
      <c r="J84" s="209">
        <f t="shared" si="10"/>
        <v>109.2</v>
      </c>
      <c r="K84" s="210">
        <f t="array" ref="K84">IFERROR(I84*INDEX('PORTIFÓLIO'!$S$4:$S$433,MATCH($C84,'PORTIFÓLIO'!$C$4:$C$433,0)),"")</f>
        <v>12.1824</v>
      </c>
      <c r="L84" s="210">
        <f t="array" ref="L84">IFERROR(J84*INDEX('PORTIFÓLIO'!$S$4:$S$433,MATCH($C84,'PORTIFÓLIO'!$C$4:$C$433,0)),"")</f>
        <v>3325.7952</v>
      </c>
      <c r="M84" s="177"/>
      <c r="N84" s="177"/>
      <c r="O84" s="177"/>
      <c r="P84" s="177"/>
      <c r="Q84" s="177"/>
      <c r="R84" s="177"/>
      <c r="S84" s="177"/>
      <c r="T84" s="177"/>
      <c r="U84" s="177"/>
      <c r="V84" s="177"/>
      <c r="W84" s="177"/>
      <c r="X84" s="177"/>
    </row>
    <row r="85" ht="15.75" customHeight="1" outlineLevel="1">
      <c r="A85" s="190"/>
      <c r="B85" s="204" t="s">
        <v>6</v>
      </c>
      <c r="C85" s="191" t="s">
        <v>341</v>
      </c>
      <c r="D85" s="205" t="str">
        <f>IFERROR(VLOOKUP($C85,'PORTIFÓLIO'!C:V,2,0),"")</f>
        <v>ESTER METILICO DE SOJA</v>
      </c>
      <c r="E85" s="190">
        <f>IFERROR(VLOOKUP($C85,'PORTIFÓLIO'!C:V,3,0),"")</f>
        <v>765</v>
      </c>
      <c r="F85" s="190" t="str">
        <f>IFERROR(VLOOKUP($C85,'PORTIFÓLIO'!C:V,4,0),"")</f>
        <v>L</v>
      </c>
      <c r="G85" s="223" t="str">
        <f>IFERROR(VLOOKUP($C85,'PORTIFÓLIO'!C:V,5,0),"")</f>
        <v>📄 Ver bula</v>
      </c>
      <c r="H85" s="207">
        <f t="array" ref="H85">IFERROR(INDEX('PORTIFÓLIO'!$H$4:$H$433,MATCH($C85,'PORTIFÓLIO'!$C$4:$C$433,0)),"")</f>
        <v>0.2</v>
      </c>
      <c r="I85" s="208">
        <v>0.2</v>
      </c>
      <c r="J85" s="209">
        <f t="shared" si="10"/>
        <v>54.6</v>
      </c>
      <c r="K85" s="210">
        <f t="array" ref="K85">IFERROR(I85*INDEX('PORTIFÓLIO'!$S$4:$S$433,MATCH($C85,'PORTIFÓLIO'!$C$4:$C$433,0)),"")</f>
        <v>3.298974</v>
      </c>
      <c r="L85" s="210">
        <f t="array" ref="L85">IFERROR(J85*INDEX('PORTIFÓLIO'!$S$4:$S$433,MATCH($C85,'PORTIFÓLIO'!$C$4:$C$433,0)),"")</f>
        <v>900.619902</v>
      </c>
      <c r="M85" s="177"/>
      <c r="N85" s="177"/>
      <c r="O85" s="177"/>
      <c r="P85" s="177"/>
      <c r="Q85" s="177"/>
      <c r="R85" s="177"/>
      <c r="S85" s="177"/>
      <c r="T85" s="177"/>
      <c r="U85" s="177"/>
      <c r="V85" s="177"/>
      <c r="W85" s="177"/>
      <c r="X85" s="177"/>
    </row>
    <row r="86" ht="15.75" customHeight="1" outlineLevel="1">
      <c r="A86" s="211"/>
      <c r="B86" s="212" t="s">
        <v>9</v>
      </c>
      <c r="C86" s="213" t="s">
        <v>951</v>
      </c>
      <c r="D86" s="214" t="str">
        <f>IFERROR(VLOOKUP($C86,'PORTIFÓLIO'!C:V,2,0),"")</f>
        <v>N4%; P2O5 4%; S3,6%; Mn6%; Ni0,2%; Zn0,4%</v>
      </c>
      <c r="E86" s="211" t="str">
        <f>IFERROR(VLOOKUP($C86,'PORTIFÓLIO'!C:V,3,0),"")</f>
        <v>54,8g/l + 54,8g/l + 49,32g/l + 82,2g/l + 2,7g/l + 5,4g/l</v>
      </c>
      <c r="F86" s="211" t="str">
        <f>IFERROR(VLOOKUP($C86,'PORTIFÓLIO'!C:V,4,0),"")</f>
        <v>L</v>
      </c>
      <c r="G86" s="215" t="str">
        <f>IFERROR(VLOOKUP($C86,'PORTIFÓLIO'!C:V,5,0),"")</f>
        <v/>
      </c>
      <c r="H86" s="216">
        <f t="array" ref="H86">IFERROR(INDEX('PORTIFÓLIO'!$H$4:$H$433,MATCH($C86,'PORTIFÓLIO'!$C$4:$C$433,0)),"")</f>
        <v>0.5</v>
      </c>
      <c r="I86" s="217">
        <v>0.5</v>
      </c>
      <c r="J86" s="218">
        <f t="shared" si="10"/>
        <v>136.5</v>
      </c>
      <c r="K86" s="219">
        <f t="array" ref="K86">IFERROR(I86*INDEX('PORTIFÓLIO'!$S$4:$S$433,MATCH($C86,'PORTIFÓLIO'!$C$4:$C$433,0)),"")</f>
        <v>24.605</v>
      </c>
      <c r="L86" s="219">
        <f t="array" ref="L86">IFERROR(J86*INDEX('PORTIFÓLIO'!$S$4:$S$433,MATCH($C86,'PORTIFÓLIO'!$C$4:$C$433,0)),"")</f>
        <v>6717.165</v>
      </c>
      <c r="M86" s="220"/>
      <c r="N86" s="220"/>
      <c r="O86" s="220"/>
      <c r="P86" s="220"/>
      <c r="Q86" s="220"/>
      <c r="R86" s="220"/>
      <c r="S86" s="220"/>
      <c r="T86" s="220"/>
      <c r="U86" s="220"/>
      <c r="V86" s="220"/>
      <c r="W86" s="220"/>
      <c r="X86" s="220"/>
    </row>
    <row r="87" ht="15.75" customHeight="1" outlineLevel="1">
      <c r="A87" s="211"/>
      <c r="B87" s="212"/>
      <c r="C87" s="213"/>
      <c r="D87" s="214" t="str">
        <f>IFERROR(VLOOKUP($C87,'PORTIFÓLIO'!C:V,2,0),"")</f>
        <v/>
      </c>
      <c r="E87" s="211" t="str">
        <f>IFERROR(VLOOKUP($C87,'PORTIFÓLIO'!C:V,3,0),"")</f>
        <v/>
      </c>
      <c r="F87" s="211" t="str">
        <f>IFERROR(VLOOKUP($C87,'PORTIFÓLIO'!C:V,4,0),"")</f>
        <v/>
      </c>
      <c r="G87" s="215" t="str">
        <f>IFERROR(VLOOKUP($C87,'PORTIFÓLIO'!C:V,5,0),"")</f>
        <v/>
      </c>
      <c r="H87" s="216" t="str">
        <f t="array" ref="H87">IFERROR(INDEX('PORTIFÓLIO'!$H$4:$H$433,MATCH($C87,'PORTIFÓLIO'!$C$4:$C$433,0)),"")</f>
        <v/>
      </c>
      <c r="I87" s="224"/>
      <c r="J87" s="218">
        <f t="shared" si="10"/>
        <v>0</v>
      </c>
      <c r="K87" s="219" t="str">
        <f t="array" ref="K87">IFERROR(I87*INDEX('PORTIFÓLIO'!$S$4:$S$433,MATCH($C87,'PORTIFÓLIO'!$C$4:$C$433,0)),"")</f>
        <v/>
      </c>
      <c r="L87" s="219" t="str">
        <f t="array" ref="L87">IFERROR(J87*INDEX('PORTIFÓLIO'!$S$4:$S$433,MATCH($C87,'PORTIFÓLIO'!$C$4:$C$433,0)),"")</f>
        <v/>
      </c>
      <c r="M87" s="220"/>
      <c r="N87" s="220"/>
      <c r="O87" s="220"/>
      <c r="P87" s="220"/>
      <c r="Q87" s="220"/>
      <c r="R87" s="220"/>
      <c r="S87" s="220"/>
      <c r="T87" s="220"/>
      <c r="U87" s="220"/>
      <c r="V87" s="220"/>
      <c r="W87" s="220"/>
      <c r="X87" s="220"/>
    </row>
    <row r="88" ht="15.75" customHeight="1" outlineLevel="1">
      <c r="A88" s="211"/>
      <c r="B88" s="212"/>
      <c r="C88" s="213"/>
      <c r="D88" s="214" t="str">
        <f>IFERROR(VLOOKUP($C88,'PORTIFÓLIO'!C:V,2,0),"")</f>
        <v/>
      </c>
      <c r="E88" s="211" t="str">
        <f>IFERROR(VLOOKUP($C88,'PORTIFÓLIO'!C:V,3,0),"")</f>
        <v/>
      </c>
      <c r="F88" s="211" t="str">
        <f>IFERROR(VLOOKUP($C88,'PORTIFÓLIO'!C:V,4,0),"")</f>
        <v/>
      </c>
      <c r="G88" s="215" t="str">
        <f>IFERROR(VLOOKUP($C88,'PORTIFÓLIO'!C:V,5,0),"")</f>
        <v/>
      </c>
      <c r="H88" s="216" t="str">
        <f t="array" ref="H88">IFERROR(INDEX('PORTIFÓLIO'!$H$4:$H$433,MATCH($C88,'PORTIFÓLIO'!$C$4:$C$433,0)),"")</f>
        <v/>
      </c>
      <c r="I88" s="224"/>
      <c r="J88" s="218">
        <f t="shared" si="10"/>
        <v>0</v>
      </c>
      <c r="K88" s="219" t="str">
        <f t="array" ref="K88">IFERROR(I88*INDEX('PORTIFÓLIO'!$S$4:$S$433,MATCH($C88,'PORTIFÓLIO'!$C$4:$C$433,0)),"")</f>
        <v/>
      </c>
      <c r="L88" s="219" t="str">
        <f t="array" ref="L88">IFERROR(J88*INDEX('PORTIFÓLIO'!$S$4:$S$433,MATCH($C88,'PORTIFÓLIO'!$C$4:$C$433,0)),"")</f>
        <v/>
      </c>
      <c r="M88" s="220"/>
      <c r="N88" s="220"/>
      <c r="O88" s="220"/>
      <c r="P88" s="220"/>
      <c r="Q88" s="220"/>
      <c r="R88" s="220"/>
      <c r="S88" s="220"/>
      <c r="T88" s="220"/>
      <c r="U88" s="220"/>
      <c r="V88" s="220"/>
      <c r="W88" s="220"/>
      <c r="X88" s="220"/>
    </row>
    <row r="89" ht="15.75" customHeight="1" outlineLevel="1">
      <c r="A89" s="211"/>
      <c r="B89" s="212"/>
      <c r="C89" s="213"/>
      <c r="D89" s="214" t="str">
        <f>IFERROR(VLOOKUP($C89,'PORTIFÓLIO'!C:V,2,0),"")</f>
        <v/>
      </c>
      <c r="E89" s="211" t="str">
        <f>IFERROR(VLOOKUP($C89,'PORTIFÓLIO'!C:V,3,0),"")</f>
        <v/>
      </c>
      <c r="F89" s="211" t="str">
        <f>IFERROR(VLOOKUP($C89,'PORTIFÓLIO'!C:V,4,0),"")</f>
        <v/>
      </c>
      <c r="G89" s="215" t="str">
        <f>IFERROR(VLOOKUP($C89,'PORTIFÓLIO'!C:V,5,0),"")</f>
        <v/>
      </c>
      <c r="H89" s="216" t="str">
        <f t="array" ref="H89">IFERROR(INDEX('PORTIFÓLIO'!$H$4:$H$433,MATCH($C89,'PORTIFÓLIO'!$C$4:$C$433,0)),"")</f>
        <v/>
      </c>
      <c r="I89" s="224"/>
      <c r="J89" s="218">
        <f t="shared" si="10"/>
        <v>0</v>
      </c>
      <c r="K89" s="219" t="str">
        <f t="array" ref="K89">IFERROR(I89*INDEX('PORTIFÓLIO'!$S$4:$S$433,MATCH($C89,'PORTIFÓLIO'!$C$4:$C$433,0)),"")</f>
        <v/>
      </c>
      <c r="L89" s="219" t="str">
        <f t="array" ref="L89">IFERROR(J89*INDEX('PORTIFÓLIO'!$S$4:$S$433,MATCH($C89,'PORTIFÓLIO'!$C$4:$C$433,0)),"")</f>
        <v/>
      </c>
      <c r="M89" s="220"/>
      <c r="N89" s="220"/>
      <c r="O89" s="220"/>
      <c r="P89" s="220"/>
      <c r="Q89" s="220"/>
      <c r="R89" s="220"/>
      <c r="S89" s="220"/>
      <c r="T89" s="220"/>
      <c r="U89" s="220"/>
      <c r="V89" s="220"/>
      <c r="W89" s="220"/>
      <c r="X89" s="220"/>
    </row>
    <row r="90" ht="15.75" customHeight="1" outlineLevel="1">
      <c r="A90" s="211"/>
      <c r="B90" s="212"/>
      <c r="C90" s="213"/>
      <c r="D90" s="214" t="str">
        <f>IFERROR(VLOOKUP($C90,'PORTIFÓLIO'!C:V,2,0),"")</f>
        <v/>
      </c>
      <c r="E90" s="211" t="str">
        <f>IFERROR(VLOOKUP($C90,'PORTIFÓLIO'!C:V,3,0),"")</f>
        <v/>
      </c>
      <c r="F90" s="211" t="str">
        <f>IFERROR(VLOOKUP($C90,'PORTIFÓLIO'!C:V,4,0),"")</f>
        <v/>
      </c>
      <c r="G90" s="215" t="str">
        <f>IFERROR(VLOOKUP($C90,'PORTIFÓLIO'!C:V,5,0),"")</f>
        <v/>
      </c>
      <c r="H90" s="216" t="str">
        <f t="array" ref="H90">IFERROR(INDEX('PORTIFÓLIO'!$H$4:$H$433,MATCH($C90,'PORTIFÓLIO'!$C$4:$C$433,0)),"")</f>
        <v/>
      </c>
      <c r="I90" s="217"/>
      <c r="J90" s="218">
        <f t="shared" si="10"/>
        <v>0</v>
      </c>
      <c r="K90" s="219" t="str">
        <f t="array" ref="K90">IFERROR(I90*INDEX('PORTIFÓLIO'!$S$4:$S$433,MATCH($C90,'PORTIFÓLIO'!$C$4:$C$433,0)),"")</f>
        <v/>
      </c>
      <c r="L90" s="219" t="str">
        <f t="array" ref="L90">IFERROR(J90*INDEX('PORTIFÓLIO'!$S$4:$S$433,MATCH($C90,'PORTIFÓLIO'!$C$4:$C$433,0)),"")</f>
        <v/>
      </c>
      <c r="M90" s="220"/>
      <c r="N90" s="220"/>
      <c r="O90" s="220"/>
      <c r="P90" s="220"/>
      <c r="Q90" s="220"/>
      <c r="R90" s="220"/>
      <c r="S90" s="220"/>
      <c r="T90" s="220"/>
      <c r="U90" s="220"/>
      <c r="V90" s="220"/>
      <c r="W90" s="220"/>
      <c r="X90" s="220"/>
    </row>
    <row r="91" ht="15.75" customHeight="1" outlineLevel="1">
      <c r="A91" s="211"/>
      <c r="B91" s="212"/>
      <c r="C91" s="213"/>
      <c r="D91" s="214" t="str">
        <f>IFERROR(VLOOKUP($C91,'PORTIFÓLIO'!C:V,2,0),"")</f>
        <v/>
      </c>
      <c r="E91" s="211" t="str">
        <f>IFERROR(VLOOKUP($C91,'PORTIFÓLIO'!C:V,3,0),"")</f>
        <v/>
      </c>
      <c r="F91" s="211" t="str">
        <f>IFERROR(VLOOKUP($C91,'PORTIFÓLIO'!C:V,4,0),"")</f>
        <v/>
      </c>
      <c r="G91" s="215" t="str">
        <f>IFERROR(VLOOKUP($C91,'PORTIFÓLIO'!C:V,5,0),"")</f>
        <v/>
      </c>
      <c r="H91" s="216" t="str">
        <f t="array" ref="H91">IFERROR(INDEX('PORTIFÓLIO'!$H$4:$H$433,MATCH($C91,'PORTIFÓLIO'!$C$4:$C$433,0)),"")</f>
        <v/>
      </c>
      <c r="I91" s="224"/>
      <c r="J91" s="218">
        <f t="shared" si="10"/>
        <v>0</v>
      </c>
      <c r="K91" s="219" t="str">
        <f t="array" ref="K91">IFERROR(I91*INDEX('PORTIFÓLIO'!$S$4:$S$433,MATCH($C91,'PORTIFÓLIO'!$C$4:$C$433,0)),"")</f>
        <v/>
      </c>
      <c r="L91" s="219" t="str">
        <f t="array" ref="L91">IFERROR(J91*INDEX('PORTIFÓLIO'!$S$4:$S$433,MATCH($C91,'PORTIFÓLIO'!$C$4:$C$433,0)),"")</f>
        <v/>
      </c>
      <c r="M91" s="220"/>
      <c r="N91" s="220"/>
      <c r="O91" s="220"/>
      <c r="P91" s="220"/>
      <c r="Q91" s="220"/>
      <c r="R91" s="220"/>
      <c r="S91" s="220"/>
      <c r="T91" s="220"/>
      <c r="U91" s="220"/>
      <c r="V91" s="220"/>
      <c r="W91" s="220"/>
      <c r="X91" s="220"/>
    </row>
    <row r="92" ht="15.75" customHeight="1" outlineLevel="1">
      <c r="A92" s="211"/>
      <c r="B92" s="212"/>
      <c r="C92" s="213"/>
      <c r="D92" s="214" t="str">
        <f>IFERROR(VLOOKUP($C92,'PORTIFÓLIO'!C:V,2,0),"")</f>
        <v/>
      </c>
      <c r="E92" s="211" t="str">
        <f>IFERROR(VLOOKUP($C92,'PORTIFÓLIO'!C:V,3,0),"")</f>
        <v/>
      </c>
      <c r="F92" s="211" t="str">
        <f>IFERROR(VLOOKUP($C92,'PORTIFÓLIO'!C:V,4,0),"")</f>
        <v/>
      </c>
      <c r="G92" s="215" t="str">
        <f>IFERROR(VLOOKUP($C92,'PORTIFÓLIO'!C:V,5,0),"")</f>
        <v/>
      </c>
      <c r="H92" s="216" t="str">
        <f t="array" ref="H92">IFERROR(INDEX('PORTIFÓLIO'!$H$4:$H$433,MATCH($C92,'PORTIFÓLIO'!$C$4:$C$433,0)),"")</f>
        <v/>
      </c>
      <c r="I92" s="224"/>
      <c r="J92" s="218">
        <f t="shared" si="10"/>
        <v>0</v>
      </c>
      <c r="K92" s="219" t="str">
        <f t="array" ref="K92">IFERROR(I92*INDEX('PORTIFÓLIO'!$S$4:$S$433,MATCH($C92,'PORTIFÓLIO'!$C$4:$C$433,0)),"")</f>
        <v/>
      </c>
      <c r="L92" s="219" t="str">
        <f t="array" ref="L92">IFERROR(J92*INDEX('PORTIFÓLIO'!$S$4:$S$433,MATCH($C92,'PORTIFÓLIO'!$C$4:$C$433,0)),"")</f>
        <v/>
      </c>
      <c r="M92" s="220"/>
      <c r="N92" s="220"/>
      <c r="O92" s="220"/>
      <c r="P92" s="220"/>
      <c r="Q92" s="220"/>
      <c r="R92" s="220"/>
      <c r="S92" s="220"/>
      <c r="T92" s="220"/>
      <c r="U92" s="220"/>
      <c r="V92" s="220"/>
      <c r="W92" s="220"/>
      <c r="X92" s="220"/>
    </row>
    <row r="93" ht="15.75" customHeight="1" outlineLevel="1">
      <c r="A93" s="211"/>
      <c r="B93" s="212"/>
      <c r="C93" s="213"/>
      <c r="D93" s="214" t="str">
        <f>IFERROR(VLOOKUP($C93,'PORTIFÓLIO'!C:V,2,0),"")</f>
        <v/>
      </c>
      <c r="E93" s="211" t="str">
        <f>IFERROR(VLOOKUP($C93,'PORTIFÓLIO'!C:V,3,0),"")</f>
        <v/>
      </c>
      <c r="F93" s="211" t="str">
        <f>IFERROR(VLOOKUP($C93,'PORTIFÓLIO'!C:V,4,0),"")</f>
        <v/>
      </c>
      <c r="G93" s="215" t="str">
        <f>IFERROR(VLOOKUP($C93,'PORTIFÓLIO'!C:V,5,0),"")</f>
        <v/>
      </c>
      <c r="H93" s="216" t="str">
        <f t="array" ref="H93">IFERROR(INDEX('PORTIFÓLIO'!$H$4:$H$433,MATCH($C93,'PORTIFÓLIO'!$C$4:$C$433,0)),"")</f>
        <v/>
      </c>
      <c r="I93" s="224"/>
      <c r="J93" s="218">
        <f t="shared" si="10"/>
        <v>0</v>
      </c>
      <c r="K93" s="219" t="str">
        <f t="array" ref="K93">IFERROR(I93*INDEX('PORTIFÓLIO'!$S$4:$S$433,MATCH($C93,'PORTIFÓLIO'!$C$4:$C$433,0)),"")</f>
        <v/>
      </c>
      <c r="L93" s="219" t="str">
        <f t="array" ref="L93">IFERROR(J93*INDEX('PORTIFÓLIO'!$S$4:$S$433,MATCH($C93,'PORTIFÓLIO'!$C$4:$C$433,0)),"")</f>
        <v/>
      </c>
      <c r="M93" s="220"/>
      <c r="N93" s="220"/>
      <c r="O93" s="220"/>
      <c r="P93" s="220"/>
      <c r="Q93" s="220"/>
      <c r="R93" s="220"/>
      <c r="S93" s="220"/>
      <c r="T93" s="220"/>
      <c r="U93" s="220"/>
      <c r="V93" s="220"/>
      <c r="W93" s="220"/>
      <c r="X93" s="220"/>
    </row>
    <row r="94" ht="15.75" customHeight="1" outlineLevel="1">
      <c r="A94" s="211"/>
      <c r="B94" s="212"/>
      <c r="C94" s="213"/>
      <c r="D94" s="214" t="str">
        <f>IFERROR(VLOOKUP($C94,'PORTIFÓLIO'!C:V,2,0),"")</f>
        <v/>
      </c>
      <c r="E94" s="211" t="str">
        <f>IFERROR(VLOOKUP($C94,'PORTIFÓLIO'!C:V,3,0),"")</f>
        <v/>
      </c>
      <c r="F94" s="211" t="str">
        <f>IFERROR(VLOOKUP($C94,'PORTIFÓLIO'!C:V,4,0),"")</f>
        <v/>
      </c>
      <c r="G94" s="215" t="str">
        <f>IFERROR(VLOOKUP($C94,'PORTIFÓLIO'!C:V,5,0),"")</f>
        <v/>
      </c>
      <c r="H94" s="216" t="str">
        <f t="array" ref="H94">IFERROR(INDEX('PORTIFÓLIO'!$H$4:$H$433,MATCH($C94,'PORTIFÓLIO'!$C$4:$C$433,0)),"")</f>
        <v/>
      </c>
      <c r="I94" s="224"/>
      <c r="J94" s="218">
        <f t="shared" si="10"/>
        <v>0</v>
      </c>
      <c r="K94" s="219" t="str">
        <f t="array" ref="K94">IFERROR(I94*INDEX('PORTIFÓLIO'!$S$4:$S$433,MATCH($C94,'PORTIFÓLIO'!$C$4:$C$433,0)),"")</f>
        <v/>
      </c>
      <c r="L94" s="219" t="str">
        <f t="array" ref="L94">IFERROR(J94*INDEX('PORTIFÓLIO'!$S$4:$S$433,MATCH($C94,'PORTIFÓLIO'!$C$4:$C$433,0)),"")</f>
        <v/>
      </c>
      <c r="M94" s="220"/>
      <c r="N94" s="220"/>
      <c r="O94" s="220"/>
      <c r="P94" s="220"/>
      <c r="Q94" s="220"/>
      <c r="R94" s="220"/>
      <c r="S94" s="220"/>
      <c r="T94" s="220"/>
      <c r="U94" s="220"/>
      <c r="V94" s="220"/>
      <c r="W94" s="220"/>
      <c r="X94" s="220"/>
    </row>
    <row r="95" ht="15.75" customHeight="1" outlineLevel="1">
      <c r="A95" s="211"/>
      <c r="B95" s="212"/>
      <c r="C95" s="213"/>
      <c r="D95" s="214" t="str">
        <f>IFERROR(VLOOKUP($C95,'PORTIFÓLIO'!C:V,2,0),"")</f>
        <v/>
      </c>
      <c r="E95" s="211" t="str">
        <f>IFERROR(VLOOKUP($C95,'PORTIFÓLIO'!C:V,3,0),"")</f>
        <v/>
      </c>
      <c r="F95" s="211" t="str">
        <f>IFERROR(VLOOKUP($C95,'PORTIFÓLIO'!C:V,4,0),"")</f>
        <v/>
      </c>
      <c r="G95" s="215" t="str">
        <f>IFERROR(VLOOKUP($C95,'PORTIFÓLIO'!C:V,5,0),"")</f>
        <v/>
      </c>
      <c r="H95" s="216" t="str">
        <f t="array" ref="H95">IFERROR(INDEX('PORTIFÓLIO'!$H$4:$H$433,MATCH($C95,'PORTIFÓLIO'!$C$4:$C$433,0)),"")</f>
        <v/>
      </c>
      <c r="I95" s="224"/>
      <c r="J95" s="218">
        <f t="shared" si="10"/>
        <v>0</v>
      </c>
      <c r="K95" s="219" t="str">
        <f t="array" ref="K95">IFERROR(I95*INDEX('PORTIFÓLIO'!$S$4:$S$433,MATCH($C95,'PORTIFÓLIO'!$C$4:$C$433,0)),"")</f>
        <v/>
      </c>
      <c r="L95" s="219" t="str">
        <f t="array" ref="L95">IFERROR(J95*INDEX('PORTIFÓLIO'!$S$4:$S$433,MATCH($C95,'PORTIFÓLIO'!$C$4:$C$433,0)),"")</f>
        <v/>
      </c>
      <c r="M95" s="220"/>
      <c r="N95" s="220"/>
      <c r="O95" s="220"/>
      <c r="P95" s="220"/>
      <c r="Q95" s="220"/>
      <c r="R95" s="220"/>
      <c r="S95" s="220"/>
      <c r="T95" s="220"/>
      <c r="U95" s="220"/>
      <c r="V95" s="220"/>
      <c r="W95" s="220"/>
      <c r="X95" s="220"/>
    </row>
    <row r="96" ht="15.75" customHeight="1" outlineLevel="1">
      <c r="A96" s="211"/>
      <c r="B96" s="212"/>
      <c r="C96" s="213"/>
      <c r="D96" s="214" t="str">
        <f>IFERROR(VLOOKUP($C96,'PORTIFÓLIO'!C:V,2,0),"")</f>
        <v/>
      </c>
      <c r="E96" s="211" t="str">
        <f>IFERROR(VLOOKUP($C96,'PORTIFÓLIO'!C:V,3,0),"")</f>
        <v/>
      </c>
      <c r="F96" s="211" t="str">
        <f>IFERROR(VLOOKUP($C96,'PORTIFÓLIO'!C:V,4,0),"")</f>
        <v/>
      </c>
      <c r="G96" s="215" t="str">
        <f>IFERROR(VLOOKUP($C96,'PORTIFÓLIO'!C:V,5,0),"")</f>
        <v/>
      </c>
      <c r="H96" s="216" t="str">
        <f t="array" ref="H96">IFERROR(INDEX('PORTIFÓLIO'!$H$4:$H$433,MATCH($C96,'PORTIFÓLIO'!$C$4:$C$433,0)),"")</f>
        <v/>
      </c>
      <c r="I96" s="224"/>
      <c r="J96" s="218">
        <f t="shared" si="10"/>
        <v>0</v>
      </c>
      <c r="K96" s="219" t="str">
        <f t="array" ref="K96">IFERROR(I96*INDEX('PORTIFÓLIO'!$S$4:$S$433,MATCH($C96,'PORTIFÓLIO'!$C$4:$C$433,0)),"")</f>
        <v/>
      </c>
      <c r="L96" s="219" t="str">
        <f t="array" ref="L96">IFERROR(J96*INDEX('PORTIFÓLIO'!$S$4:$S$433,MATCH($C96,'PORTIFÓLIO'!$C$4:$C$433,0)),"")</f>
        <v/>
      </c>
      <c r="M96" s="220"/>
      <c r="N96" s="220"/>
      <c r="O96" s="220"/>
      <c r="P96" s="220"/>
      <c r="Q96" s="220"/>
      <c r="R96" s="220"/>
      <c r="S96" s="220"/>
      <c r="T96" s="220"/>
      <c r="U96" s="220"/>
      <c r="V96" s="220"/>
      <c r="W96" s="220"/>
      <c r="X96" s="220"/>
    </row>
    <row r="97" ht="15.75" customHeight="1">
      <c r="A97" s="221" t="s">
        <v>1189</v>
      </c>
      <c r="B97" s="197"/>
      <c r="C97" s="196"/>
      <c r="D97" s="198"/>
      <c r="E97" s="196"/>
      <c r="F97" s="196"/>
      <c r="G97" s="199"/>
      <c r="H97" s="222"/>
      <c r="I97" s="201"/>
      <c r="J97" s="202"/>
      <c r="K97" s="203">
        <f t="shared" ref="K97:L97" si="11">SUBTOTAL(9,K98:K111)</f>
        <v>251.9479845</v>
      </c>
      <c r="L97" s="203">
        <f t="shared" si="11"/>
        <v>68781.79977</v>
      </c>
      <c r="M97" s="177"/>
      <c r="N97" s="177"/>
      <c r="O97" s="177"/>
      <c r="P97" s="177"/>
      <c r="Q97" s="177"/>
      <c r="R97" s="177"/>
      <c r="S97" s="177"/>
      <c r="T97" s="177"/>
      <c r="U97" s="177"/>
      <c r="V97" s="177"/>
      <c r="W97" s="177"/>
      <c r="X97" s="177"/>
    </row>
    <row r="98" ht="15.75" customHeight="1" outlineLevel="1">
      <c r="A98" s="191"/>
      <c r="B98" s="204" t="s">
        <v>0</v>
      </c>
      <c r="C98" s="191" t="s">
        <v>443</v>
      </c>
      <c r="D98" s="205" t="str">
        <f>IFERROR(VLOOKUP($C98,'PORTIFÓLIO'!C:V,2,0),"")</f>
        <v>MEFENTRIFLUCONAZOL + PIRACLOSTROBINA +
 FLUXAPIROXADE</v>
      </c>
      <c r="E98" s="190" t="str">
        <f>IFERROR(VLOOKUP($C98,'PORTIFÓLIO'!C:V,3,0),"")</f>
        <v>133,3 + 177,8 + 88,9</v>
      </c>
      <c r="F98" s="190" t="str">
        <f>IFERROR(VLOOKUP($C98,'PORTIFÓLIO'!C:V,4,0),"")</f>
        <v>L</v>
      </c>
      <c r="G98" s="223" t="str">
        <f>IFERROR(VLOOKUP($C98,'PORTIFÓLIO'!C:V,5,0),"")</f>
        <v>📄 Ver bula</v>
      </c>
      <c r="H98" s="207">
        <f t="array" ref="H98">IFERROR(INDEX('PORTIFÓLIO'!$H$4:$H$433,MATCH($C98,'PORTIFÓLIO'!$C$4:$C$433,0)),"")</f>
        <v>0.7</v>
      </c>
      <c r="I98" s="208">
        <v>0.7</v>
      </c>
      <c r="J98" s="209">
        <f t="shared" ref="J98:J112" si="12">I98*$B$2</f>
        <v>191.1</v>
      </c>
      <c r="K98" s="210">
        <f t="array" ref="K98">IFERROR(I98*INDEX('PORTIFÓLIO'!$S$4:$S$433,MATCH($C98,'PORTIFÓLIO'!$C$4:$C$433,0)),"")</f>
        <v>119.38752</v>
      </c>
      <c r="L98" s="210">
        <f t="array" ref="L98">IFERROR(J98*INDEX('PORTIFÓLIO'!$S$4:$S$433,MATCH($C98,'PORTIFÓLIO'!$C$4:$C$433,0)),"")</f>
        <v>32592.79296</v>
      </c>
      <c r="M98" s="177"/>
      <c r="N98" s="177"/>
      <c r="O98" s="177"/>
      <c r="P98" s="177"/>
      <c r="Q98" s="177"/>
      <c r="R98" s="177"/>
      <c r="S98" s="177"/>
      <c r="T98" s="177"/>
      <c r="U98" s="177"/>
      <c r="V98" s="177"/>
      <c r="W98" s="177"/>
      <c r="X98" s="177"/>
    </row>
    <row r="99" ht="15.75" customHeight="1" outlineLevel="1">
      <c r="A99" s="190"/>
      <c r="B99" s="204" t="s">
        <v>0</v>
      </c>
      <c r="C99" s="191" t="s">
        <v>520</v>
      </c>
      <c r="D99" s="205" t="str">
        <f>IFERROR(VLOOKUP($C99,'PORTIFÓLIO'!C:V,2,0),"")</f>
        <v>FLUAZINAM</v>
      </c>
      <c r="E99" s="190">
        <f>IFERROR(VLOOKUP($C99,'PORTIFÓLIO'!C:V,3,0),"")</f>
        <v>500</v>
      </c>
      <c r="F99" s="190" t="str">
        <f>IFERROR(VLOOKUP($C99,'PORTIFÓLIO'!C:V,4,0),"")</f>
        <v>L</v>
      </c>
      <c r="G99" s="223" t="str">
        <f>IFERROR(VLOOKUP($C99,'PORTIFÓLIO'!C:V,5,0),"")</f>
        <v>📄 Ver bula</v>
      </c>
      <c r="H99" s="207">
        <f t="array" ref="H99">IFERROR(INDEX('PORTIFÓLIO'!$H$4:$H$433,MATCH($C99,'PORTIFÓLIO'!$C$4:$C$433,0)),"")</f>
        <v>1</v>
      </c>
      <c r="I99" s="208">
        <v>1.0</v>
      </c>
      <c r="J99" s="209">
        <f t="shared" si="12"/>
        <v>273</v>
      </c>
      <c r="K99" s="210">
        <f t="array" ref="K99">IFERROR(I99*INDEX('PORTIFÓLIO'!$S$4:$S$433,MATCH($C99,'PORTIFÓLIO'!$C$4:$C$433,0)),"")</f>
        <v>67.68</v>
      </c>
      <c r="L99" s="210">
        <f t="array" ref="L99">IFERROR(J99*INDEX('PORTIFÓLIO'!$S$4:$S$433,MATCH($C99,'PORTIFÓLIO'!$C$4:$C$433,0)),"")</f>
        <v>18476.64</v>
      </c>
      <c r="M99" s="177"/>
      <c r="N99" s="177"/>
      <c r="O99" s="177"/>
      <c r="P99" s="177"/>
      <c r="Q99" s="177"/>
      <c r="R99" s="177"/>
      <c r="S99" s="177"/>
      <c r="T99" s="177"/>
      <c r="U99" s="177"/>
      <c r="V99" s="177"/>
      <c r="W99" s="177"/>
      <c r="X99" s="177"/>
    </row>
    <row r="100" ht="15.75" customHeight="1" outlineLevel="1">
      <c r="A100" s="190"/>
      <c r="B100" s="204" t="s">
        <v>2</v>
      </c>
      <c r="C100" s="191" t="s">
        <v>829</v>
      </c>
      <c r="D100" s="205" t="str">
        <f>IFERROR(VLOOKUP($C100,'PORTIFÓLIO'!C:V,2,0),"")</f>
        <v>BIFENTRINA</v>
      </c>
      <c r="E100" s="190">
        <f>IFERROR(VLOOKUP($C100,'PORTIFÓLIO'!C:V,3,0),"")</f>
        <v>400</v>
      </c>
      <c r="F100" s="190" t="str">
        <f>IFERROR(VLOOKUP($C100,'PORTIFÓLIO'!C:V,4,0),"")</f>
        <v>L</v>
      </c>
      <c r="G100" s="223" t="str">
        <f>IFERROR(VLOOKUP($C100,'PORTIFÓLIO'!C:V,5,0),"")</f>
        <v>📄 Ver bula</v>
      </c>
      <c r="H100" s="207">
        <f t="array" ref="H100">IFERROR(INDEX('PORTIFÓLIO'!$H$4:$H$433,MATCH($C100,'PORTIFÓLIO'!$C$4:$C$433,0)),"")</f>
        <v>0.05</v>
      </c>
      <c r="I100" s="208">
        <v>0.05</v>
      </c>
      <c r="J100" s="209">
        <f t="shared" si="12"/>
        <v>13.65</v>
      </c>
      <c r="K100" s="210">
        <f t="array" ref="K100">IFERROR(I100*INDEX('PORTIFÓLIO'!$S$4:$S$433,MATCH($C100,'PORTIFÓLIO'!$C$4:$C$433,0)),"")</f>
        <v>3.076419</v>
      </c>
      <c r="L100" s="210">
        <f t="array" ref="L100">IFERROR(J100*INDEX('PORTIFÓLIO'!$S$4:$S$433,MATCH($C100,'PORTIFÓLIO'!$C$4:$C$433,0)),"")</f>
        <v>839.862387</v>
      </c>
      <c r="M100" s="177"/>
      <c r="N100" s="177"/>
      <c r="O100" s="177"/>
      <c r="P100" s="177"/>
      <c r="Q100" s="177"/>
      <c r="R100" s="177"/>
      <c r="S100" s="177"/>
      <c r="T100" s="177"/>
      <c r="U100" s="177"/>
      <c r="V100" s="177"/>
      <c r="W100" s="177"/>
      <c r="X100" s="177"/>
    </row>
    <row r="101" ht="15.75" customHeight="1" outlineLevel="1">
      <c r="A101" s="190"/>
      <c r="B101" s="204" t="s">
        <v>2</v>
      </c>
      <c r="C101" s="191" t="s">
        <v>842</v>
      </c>
      <c r="D101" s="205" t="str">
        <f>IFERROR(VLOOKUP($C101,'PORTIFÓLIO'!C:V,2,0),"")</f>
        <v>IMIDACLOPRIDO</v>
      </c>
      <c r="E101" s="190">
        <f>IFERROR(VLOOKUP($C101,'PORTIFÓLIO'!C:V,3,0),"")</f>
        <v>480</v>
      </c>
      <c r="F101" s="190" t="str">
        <f>IFERROR(VLOOKUP($C101,'PORTIFÓLIO'!C:V,4,0),"")</f>
        <v>L</v>
      </c>
      <c r="G101" s="223" t="str">
        <f>IFERROR(VLOOKUP($C101,'PORTIFÓLIO'!C:V,5,0),"")</f>
        <v>📄 Ver bula</v>
      </c>
      <c r="H101" s="207">
        <f t="array" ref="H101">IFERROR(INDEX('PORTIFÓLIO'!$H$4:$H$433,MATCH($C101,'PORTIFÓLIO'!$C$4:$C$433,0)),"")</f>
        <v>0.25</v>
      </c>
      <c r="I101" s="208">
        <v>0.25</v>
      </c>
      <c r="J101" s="209">
        <f t="shared" si="12"/>
        <v>68.25</v>
      </c>
      <c r="K101" s="210">
        <f t="array" ref="K101">IFERROR(I101*INDEX('PORTIFÓLIO'!$S$4:$S$433,MATCH($C101,'PORTIFÓLIO'!$C$4:$C$433,0)),"")</f>
        <v>14.0554125</v>
      </c>
      <c r="L101" s="210">
        <f t="array" ref="L101">IFERROR(J101*INDEX('PORTIFÓLIO'!$S$4:$S$433,MATCH($C101,'PORTIFÓLIO'!$C$4:$C$433,0)),"")</f>
        <v>3837.127613</v>
      </c>
      <c r="M101" s="177"/>
      <c r="N101" s="177"/>
      <c r="O101" s="177"/>
      <c r="P101" s="177"/>
      <c r="Q101" s="177"/>
      <c r="R101" s="177"/>
      <c r="S101" s="177"/>
      <c r="T101" s="177"/>
      <c r="U101" s="177"/>
      <c r="V101" s="177"/>
      <c r="W101" s="177"/>
      <c r="X101" s="177"/>
    </row>
    <row r="102" ht="15.75" customHeight="1" outlineLevel="1">
      <c r="A102" s="190"/>
      <c r="B102" s="204" t="s">
        <v>2</v>
      </c>
      <c r="C102" s="191" t="s">
        <v>786</v>
      </c>
      <c r="D102" s="205" t="str">
        <f>IFERROR(VLOOKUP($C102,'PORTIFÓLIO'!C:V,2,0),"")</f>
        <v>DIFLUBENZUROM</v>
      </c>
      <c r="E102" s="190">
        <f>IFERROR(VLOOKUP($C102,'PORTIFÓLIO'!C:V,3,0),"")</f>
        <v>480</v>
      </c>
      <c r="F102" s="190" t="str">
        <f>IFERROR(VLOOKUP($C102,'PORTIFÓLIO'!C:V,4,0),"")</f>
        <v>KG</v>
      </c>
      <c r="G102" s="223" t="str">
        <f>IFERROR(VLOOKUP($C102,'PORTIFÓLIO'!C:V,5,0),"")</f>
        <v>📄 Ver bula</v>
      </c>
      <c r="H102" s="207">
        <f t="array" ref="H102">IFERROR(INDEX('PORTIFÓLIO'!$H$4:$H$433,MATCH($C102,'PORTIFÓLIO'!$C$4:$C$433,0)),"")</f>
        <v>0.04</v>
      </c>
      <c r="I102" s="208">
        <v>0.05</v>
      </c>
      <c r="J102" s="209">
        <f t="shared" si="12"/>
        <v>13.65</v>
      </c>
      <c r="K102" s="210">
        <f t="array" ref="K102">IFERROR(I102*INDEX('PORTIFÓLIO'!$S$4:$S$433,MATCH($C102,'PORTIFÓLIO'!$C$4:$C$433,0)),"")</f>
        <v>2.927979</v>
      </c>
      <c r="L102" s="210">
        <f t="array" ref="L102">IFERROR(J102*INDEX('PORTIFÓLIO'!$S$4:$S$433,MATCH($C102,'PORTIFÓLIO'!$C$4:$C$433,0)),"")</f>
        <v>799.338267</v>
      </c>
      <c r="M102" s="177"/>
      <c r="N102" s="177"/>
      <c r="O102" s="177"/>
      <c r="P102" s="177"/>
      <c r="Q102" s="177"/>
      <c r="R102" s="177"/>
      <c r="S102" s="177"/>
      <c r="T102" s="177"/>
      <c r="U102" s="177"/>
      <c r="V102" s="177"/>
      <c r="W102" s="177"/>
      <c r="X102" s="177"/>
    </row>
    <row r="103" ht="15.75" customHeight="1" outlineLevel="1">
      <c r="A103" s="190"/>
      <c r="B103" s="204" t="s">
        <v>6</v>
      </c>
      <c r="C103" s="191" t="s">
        <v>341</v>
      </c>
      <c r="D103" s="205" t="str">
        <f>IFERROR(VLOOKUP($C103,'PORTIFÓLIO'!C:V,2,0),"")</f>
        <v>ESTER METILICO DE SOJA</v>
      </c>
      <c r="E103" s="190">
        <f>IFERROR(VLOOKUP($C103,'PORTIFÓLIO'!C:V,3,0),"")</f>
        <v>765</v>
      </c>
      <c r="F103" s="190" t="str">
        <f>IFERROR(VLOOKUP($C103,'PORTIFÓLIO'!C:V,4,0),"")</f>
        <v>L</v>
      </c>
      <c r="G103" s="223" t="str">
        <f>IFERROR(VLOOKUP($C103,'PORTIFÓLIO'!C:V,5,0),"")</f>
        <v>📄 Ver bula</v>
      </c>
      <c r="H103" s="207">
        <f t="array" ref="H103">IFERROR(INDEX('PORTIFÓLIO'!$H$4:$H$433,MATCH($C103,'PORTIFÓLIO'!$C$4:$C$433,0)),"")</f>
        <v>0.2</v>
      </c>
      <c r="I103" s="208">
        <v>0.2</v>
      </c>
      <c r="J103" s="209">
        <f t="shared" si="12"/>
        <v>54.6</v>
      </c>
      <c r="K103" s="210">
        <f t="array" ref="K103">IFERROR(I103*INDEX('PORTIFÓLIO'!$S$4:$S$433,MATCH($C103,'PORTIFÓLIO'!$C$4:$C$433,0)),"")</f>
        <v>3.298974</v>
      </c>
      <c r="L103" s="210">
        <f t="array" ref="L103">IFERROR(J103*INDEX('PORTIFÓLIO'!$S$4:$S$433,MATCH($C103,'PORTIFÓLIO'!$C$4:$C$433,0)),"")</f>
        <v>900.619902</v>
      </c>
      <c r="M103" s="177"/>
      <c r="N103" s="177"/>
      <c r="O103" s="177"/>
      <c r="P103" s="177"/>
      <c r="Q103" s="177"/>
      <c r="R103" s="177"/>
      <c r="S103" s="177"/>
      <c r="T103" s="177"/>
      <c r="U103" s="177"/>
      <c r="V103" s="177"/>
      <c r="W103" s="177"/>
      <c r="X103" s="177"/>
    </row>
    <row r="104" ht="15.75" customHeight="1" outlineLevel="1">
      <c r="A104" s="190"/>
      <c r="B104" s="204" t="s">
        <v>0</v>
      </c>
      <c r="C104" s="191" t="s">
        <v>484</v>
      </c>
      <c r="D104" s="205" t="str">
        <f>IFERROR(VLOOKUP($C104,'PORTIFÓLIO'!C:V,2,0),"")</f>
        <v>MANCOZEBE</v>
      </c>
      <c r="E104" s="190">
        <f>IFERROR(VLOOKUP($C104,'PORTIFÓLIO'!C:V,3,0),"")</f>
        <v>750</v>
      </c>
      <c r="F104" s="190" t="str">
        <f>IFERROR(VLOOKUP($C104,'PORTIFÓLIO'!C:V,4,0),"")</f>
        <v>L</v>
      </c>
      <c r="G104" s="223" t="str">
        <f>IFERROR(VLOOKUP($C104,'PORTIFÓLIO'!C:V,5,0),"")</f>
        <v>📄 Ver bula</v>
      </c>
      <c r="H104" s="207">
        <f t="array" ref="H104">IFERROR(INDEX('PORTIFÓLIO'!$H$4:$H$433,MATCH($C104,'PORTIFÓLIO'!$C$4:$C$433,0)),"")</f>
        <v>1.5</v>
      </c>
      <c r="I104" s="208">
        <v>1.5</v>
      </c>
      <c r="J104" s="209">
        <f t="shared" si="12"/>
        <v>409.5</v>
      </c>
      <c r="K104" s="210">
        <f t="array" ref="K104">IFERROR(I104*INDEX('PORTIFÓLIO'!$S$4:$S$433,MATCH($C104,'PORTIFÓLIO'!$C$4:$C$433,0)),"")</f>
        <v>41.52168</v>
      </c>
      <c r="L104" s="210">
        <f t="array" ref="L104">IFERROR(J104*INDEX('PORTIFÓLIO'!$S$4:$S$433,MATCH($C104,'PORTIFÓLIO'!$C$4:$C$433,0)),"")</f>
        <v>11335.41864</v>
      </c>
      <c r="M104" s="177"/>
      <c r="N104" s="177"/>
      <c r="O104" s="177"/>
      <c r="P104" s="177"/>
      <c r="Q104" s="177"/>
      <c r="R104" s="177"/>
      <c r="S104" s="177"/>
      <c r="T104" s="177"/>
      <c r="U104" s="177"/>
      <c r="V104" s="177"/>
      <c r="W104" s="177"/>
      <c r="X104" s="177"/>
    </row>
    <row r="105" ht="15.75" customHeight="1" outlineLevel="1">
      <c r="A105" s="211"/>
      <c r="B105" s="212"/>
      <c r="C105" s="213"/>
      <c r="D105" s="214" t="str">
        <f>IFERROR(VLOOKUP($C105,'PORTIFÓLIO'!C:V,2,0),"")</f>
        <v/>
      </c>
      <c r="E105" s="211" t="str">
        <f>IFERROR(VLOOKUP($C105,'PORTIFÓLIO'!C:V,3,0),"")</f>
        <v/>
      </c>
      <c r="F105" s="211" t="str">
        <f>IFERROR(VLOOKUP($C105,'PORTIFÓLIO'!C:V,4,0),"")</f>
        <v/>
      </c>
      <c r="G105" s="215" t="str">
        <f>IFERROR(VLOOKUP($C105,'PORTIFÓLIO'!C:V,5,0),"")</f>
        <v/>
      </c>
      <c r="H105" s="216" t="str">
        <f t="array" ref="H105">IFERROR(INDEX('PORTIFÓLIO'!$H$4:$H$433,MATCH($C105,'PORTIFÓLIO'!$C$4:$C$433,0)),"")</f>
        <v/>
      </c>
      <c r="I105" s="224"/>
      <c r="J105" s="218">
        <f t="shared" si="12"/>
        <v>0</v>
      </c>
      <c r="K105" s="219" t="str">
        <f t="array" ref="K105">IFERROR(I105*INDEX('PORTIFÓLIO'!$S$4:$S$433,MATCH($C105,'PORTIFÓLIO'!$C$4:$C$433,0)),"")</f>
        <v/>
      </c>
      <c r="L105" s="219" t="str">
        <f t="array" ref="L105">IFERROR(J105*INDEX('PORTIFÓLIO'!$S$4:$S$433,MATCH($C105,'PORTIFÓLIO'!$C$4:$C$433,0)),"")</f>
        <v/>
      </c>
      <c r="M105" s="220"/>
      <c r="N105" s="220"/>
      <c r="O105" s="220"/>
      <c r="P105" s="220"/>
      <c r="Q105" s="220"/>
      <c r="R105" s="220"/>
      <c r="S105" s="220"/>
      <c r="T105" s="220"/>
      <c r="U105" s="220"/>
      <c r="V105" s="220"/>
      <c r="W105" s="220"/>
      <c r="X105" s="220"/>
    </row>
    <row r="106" ht="15.75" customHeight="1" outlineLevel="1">
      <c r="A106" s="211"/>
      <c r="B106" s="212"/>
      <c r="C106" s="213"/>
      <c r="D106" s="214" t="str">
        <f>IFERROR(VLOOKUP($C106,'PORTIFÓLIO'!C:V,2,0),"")</f>
        <v/>
      </c>
      <c r="E106" s="211" t="str">
        <f>IFERROR(VLOOKUP($C106,'PORTIFÓLIO'!C:V,3,0),"")</f>
        <v/>
      </c>
      <c r="F106" s="211" t="str">
        <f>IFERROR(VLOOKUP($C106,'PORTIFÓLIO'!C:V,4,0),"")</f>
        <v/>
      </c>
      <c r="G106" s="215" t="str">
        <f>IFERROR(VLOOKUP($C106,'PORTIFÓLIO'!C:V,5,0),"")</f>
        <v/>
      </c>
      <c r="H106" s="216" t="str">
        <f t="array" ref="H106">IFERROR(INDEX('PORTIFÓLIO'!$H$4:$H$433,MATCH($C106,'PORTIFÓLIO'!$C$4:$C$433,0)),"")</f>
        <v/>
      </c>
      <c r="I106" s="217"/>
      <c r="J106" s="218">
        <f t="shared" si="12"/>
        <v>0</v>
      </c>
      <c r="K106" s="219" t="str">
        <f t="array" ref="K106">IFERROR(I106*INDEX('PORTIFÓLIO'!$S$4:$S$433,MATCH($C106,'PORTIFÓLIO'!$C$4:$C$433,0)),"")</f>
        <v/>
      </c>
      <c r="L106" s="219" t="str">
        <f t="array" ref="L106">IFERROR(J106*INDEX('PORTIFÓLIO'!$S$4:$S$433,MATCH($C106,'PORTIFÓLIO'!$C$4:$C$433,0)),"")</f>
        <v/>
      </c>
      <c r="M106" s="220"/>
      <c r="N106" s="220"/>
      <c r="O106" s="220"/>
      <c r="P106" s="220"/>
      <c r="Q106" s="220"/>
      <c r="R106" s="220"/>
      <c r="S106" s="220"/>
      <c r="T106" s="220"/>
      <c r="U106" s="220"/>
      <c r="V106" s="220"/>
      <c r="W106" s="220"/>
      <c r="X106" s="220"/>
    </row>
    <row r="107" ht="15.75" customHeight="1" outlineLevel="1">
      <c r="A107" s="211"/>
      <c r="B107" s="212"/>
      <c r="C107" s="213"/>
      <c r="D107" s="214" t="str">
        <f>IFERROR(VLOOKUP($C107,'PORTIFÓLIO'!C:V,2,0),"")</f>
        <v/>
      </c>
      <c r="E107" s="211" t="str">
        <f>IFERROR(VLOOKUP($C107,'PORTIFÓLIO'!C:V,3,0),"")</f>
        <v/>
      </c>
      <c r="F107" s="211" t="str">
        <f>IFERROR(VLOOKUP($C107,'PORTIFÓLIO'!C:V,4,0),"")</f>
        <v/>
      </c>
      <c r="G107" s="215" t="str">
        <f>IFERROR(VLOOKUP($C107,'PORTIFÓLIO'!C:V,5,0),"")</f>
        <v/>
      </c>
      <c r="H107" s="216" t="str">
        <f t="array" ref="H107">IFERROR(INDEX('PORTIFÓLIO'!$H$4:$H$433,MATCH($C107,'PORTIFÓLIO'!$C$4:$C$433,0)),"")</f>
        <v/>
      </c>
      <c r="I107" s="224"/>
      <c r="J107" s="218">
        <f t="shared" si="12"/>
        <v>0</v>
      </c>
      <c r="K107" s="219" t="str">
        <f t="array" ref="K107">IFERROR(I107*INDEX('PORTIFÓLIO'!$S$4:$S$433,MATCH($C107,'PORTIFÓLIO'!$C$4:$C$433,0)),"")</f>
        <v/>
      </c>
      <c r="L107" s="219" t="str">
        <f t="array" ref="L107">IFERROR(J107*INDEX('PORTIFÓLIO'!$S$4:$S$433,MATCH($C107,'PORTIFÓLIO'!$C$4:$C$433,0)),"")</f>
        <v/>
      </c>
      <c r="M107" s="220"/>
      <c r="N107" s="220"/>
      <c r="O107" s="220"/>
      <c r="P107" s="220"/>
      <c r="Q107" s="220"/>
      <c r="R107" s="220"/>
      <c r="S107" s="220"/>
      <c r="T107" s="220"/>
      <c r="U107" s="220"/>
      <c r="V107" s="220"/>
      <c r="W107" s="220"/>
      <c r="X107" s="220"/>
    </row>
    <row r="108" ht="15.75" customHeight="1" outlineLevel="1">
      <c r="A108" s="211"/>
      <c r="B108" s="212"/>
      <c r="C108" s="213"/>
      <c r="D108" s="214" t="str">
        <f>IFERROR(VLOOKUP($C108,'PORTIFÓLIO'!C:V,2,0),"")</f>
        <v/>
      </c>
      <c r="E108" s="211" t="str">
        <f>IFERROR(VLOOKUP($C108,'PORTIFÓLIO'!C:V,3,0),"")</f>
        <v/>
      </c>
      <c r="F108" s="211" t="str">
        <f>IFERROR(VLOOKUP($C108,'PORTIFÓLIO'!C:V,4,0),"")</f>
        <v/>
      </c>
      <c r="G108" s="215" t="str">
        <f>IFERROR(VLOOKUP($C108,'PORTIFÓLIO'!C:V,5,0),"")</f>
        <v/>
      </c>
      <c r="H108" s="216" t="str">
        <f t="array" ref="H108">IFERROR(INDEX('PORTIFÓLIO'!$H$4:$H$433,MATCH($C108,'PORTIFÓLIO'!$C$4:$C$433,0)),"")</f>
        <v/>
      </c>
      <c r="I108" s="224"/>
      <c r="J108" s="218">
        <f t="shared" si="12"/>
        <v>0</v>
      </c>
      <c r="K108" s="219" t="str">
        <f t="array" ref="K108">IFERROR(I108*INDEX('PORTIFÓLIO'!$S$4:$S$433,MATCH($C108,'PORTIFÓLIO'!$C$4:$C$433,0)),"")</f>
        <v/>
      </c>
      <c r="L108" s="219" t="str">
        <f t="array" ref="L108">IFERROR(J108*INDEX('PORTIFÓLIO'!$S$4:$S$433,MATCH($C108,'PORTIFÓLIO'!$C$4:$C$433,0)),"")</f>
        <v/>
      </c>
      <c r="M108" s="220"/>
      <c r="N108" s="220"/>
      <c r="O108" s="220"/>
      <c r="P108" s="220"/>
      <c r="Q108" s="220"/>
      <c r="R108" s="220"/>
      <c r="S108" s="220"/>
      <c r="T108" s="220"/>
      <c r="U108" s="220"/>
      <c r="V108" s="220"/>
      <c r="W108" s="220"/>
      <c r="X108" s="220"/>
    </row>
    <row r="109" ht="15.75" customHeight="1" outlineLevel="1">
      <c r="A109" s="211"/>
      <c r="B109" s="212"/>
      <c r="C109" s="213"/>
      <c r="D109" s="214" t="str">
        <f>IFERROR(VLOOKUP($C109,'PORTIFÓLIO'!C:V,2,0),"")</f>
        <v/>
      </c>
      <c r="E109" s="211" t="str">
        <f>IFERROR(VLOOKUP($C109,'PORTIFÓLIO'!C:V,3,0),"")</f>
        <v/>
      </c>
      <c r="F109" s="211" t="str">
        <f>IFERROR(VLOOKUP($C109,'PORTIFÓLIO'!C:V,4,0),"")</f>
        <v/>
      </c>
      <c r="G109" s="215" t="str">
        <f>IFERROR(VLOOKUP($C109,'PORTIFÓLIO'!C:V,5,0),"")</f>
        <v/>
      </c>
      <c r="H109" s="216" t="str">
        <f t="array" ref="H109">IFERROR(INDEX('PORTIFÓLIO'!$H$4:$H$433,MATCH($C109,'PORTIFÓLIO'!$C$4:$C$433,0)),"")</f>
        <v/>
      </c>
      <c r="I109" s="224"/>
      <c r="J109" s="218">
        <f t="shared" si="12"/>
        <v>0</v>
      </c>
      <c r="K109" s="219" t="str">
        <f t="array" ref="K109">IFERROR(I109*INDEX('PORTIFÓLIO'!$S$4:$S$433,MATCH($C109,'PORTIFÓLIO'!$C$4:$C$433,0)),"")</f>
        <v/>
      </c>
      <c r="L109" s="219" t="str">
        <f t="array" ref="L109">IFERROR(J109*INDEX('PORTIFÓLIO'!$S$4:$S$433,MATCH($C109,'PORTIFÓLIO'!$C$4:$C$433,0)),"")</f>
        <v/>
      </c>
      <c r="M109" s="220"/>
      <c r="N109" s="220"/>
      <c r="O109" s="220"/>
      <c r="P109" s="220"/>
      <c r="Q109" s="220"/>
      <c r="R109" s="220"/>
      <c r="S109" s="220"/>
      <c r="T109" s="220"/>
      <c r="U109" s="220"/>
      <c r="V109" s="220"/>
      <c r="W109" s="220"/>
      <c r="X109" s="220"/>
    </row>
    <row r="110" ht="15.75" customHeight="1" outlineLevel="1">
      <c r="A110" s="211"/>
      <c r="B110" s="212"/>
      <c r="C110" s="213"/>
      <c r="D110" s="214" t="str">
        <f>IFERROR(VLOOKUP($C110,'PORTIFÓLIO'!C:V,2,0),"")</f>
        <v/>
      </c>
      <c r="E110" s="211" t="str">
        <f>IFERROR(VLOOKUP($C110,'PORTIFÓLIO'!C:V,3,0),"")</f>
        <v/>
      </c>
      <c r="F110" s="211" t="str">
        <f>IFERROR(VLOOKUP($C110,'PORTIFÓLIO'!C:V,4,0),"")</f>
        <v/>
      </c>
      <c r="G110" s="215" t="str">
        <f>IFERROR(VLOOKUP($C110,'PORTIFÓLIO'!C:V,5,0),"")</f>
        <v/>
      </c>
      <c r="H110" s="216" t="str">
        <f t="array" ref="H110">IFERROR(INDEX('PORTIFÓLIO'!$H$4:$H$433,MATCH($C110,'PORTIFÓLIO'!$C$4:$C$433,0)),"")</f>
        <v/>
      </c>
      <c r="I110" s="224"/>
      <c r="J110" s="218">
        <f t="shared" si="12"/>
        <v>0</v>
      </c>
      <c r="K110" s="219" t="str">
        <f t="array" ref="K110">IFERROR(I110*INDEX('PORTIFÓLIO'!$S$4:$S$433,MATCH($C110,'PORTIFÓLIO'!$C$4:$C$433,0)),"")</f>
        <v/>
      </c>
      <c r="L110" s="219" t="str">
        <f t="array" ref="L110">IFERROR(J110*INDEX('PORTIFÓLIO'!$S$4:$S$433,MATCH($C110,'PORTIFÓLIO'!$C$4:$C$433,0)),"")</f>
        <v/>
      </c>
      <c r="M110" s="220"/>
      <c r="N110" s="220"/>
      <c r="O110" s="220"/>
      <c r="P110" s="220"/>
      <c r="Q110" s="220"/>
      <c r="R110" s="220"/>
      <c r="S110" s="220"/>
      <c r="T110" s="220"/>
      <c r="U110" s="220"/>
      <c r="V110" s="220"/>
      <c r="W110" s="220"/>
      <c r="X110" s="220"/>
    </row>
    <row r="111" ht="15.75" customHeight="1" outlineLevel="1">
      <c r="A111" s="211"/>
      <c r="B111" s="212"/>
      <c r="C111" s="213"/>
      <c r="D111" s="214" t="str">
        <f>IFERROR(VLOOKUP($C111,'PORTIFÓLIO'!C:V,2,0),"")</f>
        <v/>
      </c>
      <c r="E111" s="211" t="str">
        <f>IFERROR(VLOOKUP($C111,'PORTIFÓLIO'!C:V,3,0),"")</f>
        <v/>
      </c>
      <c r="F111" s="211" t="str">
        <f>IFERROR(VLOOKUP($C111,'PORTIFÓLIO'!C:V,4,0),"")</f>
        <v/>
      </c>
      <c r="G111" s="215" t="str">
        <f>IFERROR(VLOOKUP($C111,'PORTIFÓLIO'!C:V,5,0),"")</f>
        <v/>
      </c>
      <c r="H111" s="216" t="str">
        <f t="array" ref="H111">IFERROR(INDEX('PORTIFÓLIO'!$H$4:$H$433,MATCH($C111,'PORTIFÓLIO'!$C$4:$C$433,0)),"")</f>
        <v/>
      </c>
      <c r="I111" s="224"/>
      <c r="J111" s="218">
        <f t="shared" si="12"/>
        <v>0</v>
      </c>
      <c r="K111" s="219" t="str">
        <f t="array" ref="K111">IFERROR(I111*INDEX('PORTIFÓLIO'!$S$4:$S$433,MATCH($C111,'PORTIFÓLIO'!$C$4:$C$433,0)),"")</f>
        <v/>
      </c>
      <c r="L111" s="219" t="str">
        <f t="array" ref="L111">IFERROR(J111*INDEX('PORTIFÓLIO'!$S$4:$S$433,MATCH($C111,'PORTIFÓLIO'!$C$4:$C$433,0)),"")</f>
        <v/>
      </c>
      <c r="M111" s="220"/>
      <c r="N111" s="220"/>
      <c r="O111" s="220"/>
      <c r="P111" s="220"/>
      <c r="Q111" s="220"/>
      <c r="R111" s="220"/>
      <c r="S111" s="220"/>
      <c r="T111" s="220"/>
      <c r="U111" s="220"/>
      <c r="V111" s="220"/>
      <c r="W111" s="220"/>
      <c r="X111" s="220"/>
    </row>
    <row r="112" ht="15.75" customHeight="1" outlineLevel="1">
      <c r="A112" s="211"/>
      <c r="B112" s="212"/>
      <c r="C112" s="213"/>
      <c r="D112" s="214" t="str">
        <f>IFERROR(VLOOKUP($C112,'PORTIFÓLIO'!C:V,2,0),"")</f>
        <v/>
      </c>
      <c r="E112" s="211" t="str">
        <f>IFERROR(VLOOKUP($C112,'PORTIFÓLIO'!C:V,3,0),"")</f>
        <v/>
      </c>
      <c r="F112" s="211" t="str">
        <f>IFERROR(VLOOKUP($C112,'PORTIFÓLIO'!C:V,4,0),"")</f>
        <v/>
      </c>
      <c r="G112" s="215" t="str">
        <f>IFERROR(VLOOKUP($C112,'PORTIFÓLIO'!C:V,5,0),"")</f>
        <v/>
      </c>
      <c r="H112" s="216" t="str">
        <f t="array" ref="H112">IFERROR(INDEX('PORTIFÓLIO'!$H$4:$H$433,MATCH($C112,'PORTIFÓLIO'!$C$4:$C$433,0)),"")</f>
        <v/>
      </c>
      <c r="I112" s="224"/>
      <c r="J112" s="218">
        <f t="shared" si="12"/>
        <v>0</v>
      </c>
      <c r="K112" s="219" t="str">
        <f t="array" ref="K112">IFERROR(I112*INDEX('PORTIFÓLIO'!$S$4:$S$433,MATCH($C112,'PORTIFÓLIO'!$C$4:$C$433,0)),"")</f>
        <v/>
      </c>
      <c r="L112" s="219" t="str">
        <f t="array" ref="L112">IFERROR(J112*INDEX('PORTIFÓLIO'!$S$4:$S$433,MATCH($C112,'PORTIFÓLIO'!$C$4:$C$433,0)),"")</f>
        <v/>
      </c>
      <c r="M112" s="220"/>
      <c r="N112" s="220"/>
      <c r="O112" s="220"/>
      <c r="P112" s="220"/>
      <c r="Q112" s="220"/>
      <c r="R112" s="220"/>
      <c r="S112" s="220"/>
      <c r="T112" s="220"/>
      <c r="U112" s="220"/>
      <c r="V112" s="220"/>
      <c r="W112" s="220"/>
      <c r="X112" s="220"/>
    </row>
    <row r="113" ht="15.75" customHeight="1" outlineLevel="1">
      <c r="A113" s="211"/>
      <c r="B113" s="212"/>
      <c r="C113" s="211"/>
      <c r="D113" s="214" t="str">
        <f>IFERROR(VLOOKUP($C113,'PORTIFÓLIO'!C:V,2,0),"")</f>
        <v/>
      </c>
      <c r="E113" s="211" t="str">
        <f>IFERROR(VLOOKUP($C113,'PORTIFÓLIO'!C:V,3,0),"")</f>
        <v/>
      </c>
      <c r="F113" s="211" t="str">
        <f>IFERROR(VLOOKUP($C113,'PORTIFÓLIO'!C:V,4,0),"")</f>
        <v/>
      </c>
      <c r="G113" s="215" t="str">
        <f>IFERROR(VLOOKUP($C113,'PORTIFÓLIO'!C:V,5,0),"")</f>
        <v/>
      </c>
      <c r="H113" s="216" t="str">
        <f t="array" ref="H113">IFERROR(INDEX('PORTIFÓLIO'!$H$4:$H$433,MATCH($C113,'PORTIFÓLIO'!$C$4:$C$433,0)),"")</f>
        <v/>
      </c>
      <c r="I113" s="224"/>
      <c r="J113" s="218"/>
      <c r="K113" s="219" t="str">
        <f t="array" ref="K113">IFERROR(I113*INDEX('PORTIFÓLIO'!$S$4:$S$433,MATCH($C113,'PORTIFÓLIO'!$C$4:$C$433,0)),"")</f>
        <v/>
      </c>
      <c r="L113" s="219" t="str">
        <f t="array" ref="L113">IFERROR(J113*INDEX('PORTIFÓLIO'!$S$4:$S$433,MATCH($C113,'PORTIFÓLIO'!$C$4:$C$433,0)),"")</f>
        <v/>
      </c>
      <c r="M113" s="220"/>
      <c r="N113" s="220"/>
      <c r="O113" s="220"/>
      <c r="P113" s="220"/>
      <c r="Q113" s="220"/>
      <c r="R113" s="220"/>
      <c r="S113" s="220"/>
      <c r="T113" s="220"/>
      <c r="U113" s="220"/>
      <c r="V113" s="220"/>
      <c r="W113" s="220"/>
      <c r="X113" s="220"/>
    </row>
    <row r="114" ht="15.75" customHeight="1">
      <c r="A114" s="221" t="s">
        <v>1190</v>
      </c>
      <c r="B114" s="197"/>
      <c r="C114" s="196"/>
      <c r="D114" s="198"/>
      <c r="E114" s="196"/>
      <c r="F114" s="196"/>
      <c r="G114" s="199"/>
      <c r="H114" s="222"/>
      <c r="I114" s="201"/>
      <c r="J114" s="202"/>
      <c r="K114" s="203">
        <f t="shared" ref="K114:L114" si="13">SUBTOTAL(9,K115:K128)</f>
        <v>236.778153</v>
      </c>
      <c r="L114" s="203">
        <f t="shared" si="13"/>
        <v>64640.43577</v>
      </c>
      <c r="M114" s="177"/>
      <c r="N114" s="177"/>
      <c r="O114" s="177"/>
      <c r="P114" s="177"/>
      <c r="Q114" s="177"/>
      <c r="R114" s="177"/>
      <c r="S114" s="177"/>
      <c r="T114" s="177"/>
      <c r="U114" s="177"/>
      <c r="V114" s="177"/>
      <c r="W114" s="177"/>
      <c r="X114" s="177"/>
    </row>
    <row r="115" ht="15.75" customHeight="1" outlineLevel="1">
      <c r="A115" s="191"/>
      <c r="B115" s="204" t="s">
        <v>0</v>
      </c>
      <c r="C115" s="226" t="s">
        <v>467</v>
      </c>
      <c r="D115" s="205" t="str">
        <f>IFERROR(VLOOKUP($C115,'PORTIFÓLIO'!C:V,2,0),"")</f>
        <v>BIXAFEM + PROTIOCONAZOL + TRIFLOXISTROBINA</v>
      </c>
      <c r="E115" s="190" t="str">
        <f>IFERROR(VLOOKUP($C115,'PORTIFÓLIO'!C:V,3,0),"")</f>
        <v>125 + 175 + 150</v>
      </c>
      <c r="F115" s="190" t="str">
        <f>IFERROR(VLOOKUP($C115,'PORTIFÓLIO'!C:V,4,0),"")</f>
        <v>L</v>
      </c>
      <c r="G115" s="223" t="str">
        <f>IFERROR(VLOOKUP($C115,'PORTIFÓLIO'!C:V,5,0),"")</f>
        <v>📄 Ver bula</v>
      </c>
      <c r="H115" s="207">
        <f t="array" ref="H115">IFERROR(INDEX('PORTIFÓLIO'!$H$4:$H$433,MATCH($C115,'PORTIFÓLIO'!$C$4:$C$433,0)),"")</f>
        <v>0.5</v>
      </c>
      <c r="I115" s="208">
        <v>0.5</v>
      </c>
      <c r="J115" s="209">
        <f t="shared" ref="J115:J129" si="14">I115*$B$2</f>
        <v>136.5</v>
      </c>
      <c r="K115" s="210">
        <f t="array" ref="K115">IFERROR(I115*INDEX('PORTIFÓLIO'!$S$4:$S$433,MATCH($C115,'PORTIFÓLIO'!$C$4:$C$433,0)),"")</f>
        <v>99.08352</v>
      </c>
      <c r="L115" s="210">
        <f t="array" ref="L115">IFERROR(J115*INDEX('PORTIFÓLIO'!$S$4:$S$433,MATCH($C115,'PORTIFÓLIO'!$C$4:$C$433,0)),"")</f>
        <v>27049.80096</v>
      </c>
      <c r="M115" s="177"/>
      <c r="N115" s="177"/>
      <c r="O115" s="177"/>
      <c r="P115" s="177"/>
      <c r="Q115" s="177"/>
      <c r="R115" s="177"/>
      <c r="S115" s="177"/>
      <c r="T115" s="177"/>
      <c r="U115" s="177"/>
      <c r="V115" s="177"/>
      <c r="W115" s="177"/>
      <c r="X115" s="177"/>
    </row>
    <row r="116" ht="15.75" customHeight="1" outlineLevel="1">
      <c r="A116" s="190"/>
      <c r="B116" s="204" t="s">
        <v>0</v>
      </c>
      <c r="C116" s="226" t="s">
        <v>520</v>
      </c>
      <c r="D116" s="205" t="str">
        <f>IFERROR(VLOOKUP($C116,'PORTIFÓLIO'!C:V,2,0),"")</f>
        <v>FLUAZINAM</v>
      </c>
      <c r="E116" s="190">
        <f>IFERROR(VLOOKUP($C116,'PORTIFÓLIO'!C:V,3,0),"")</f>
        <v>500</v>
      </c>
      <c r="F116" s="190" t="str">
        <f>IFERROR(VLOOKUP($C116,'PORTIFÓLIO'!C:V,4,0),"")</f>
        <v>L</v>
      </c>
      <c r="G116" s="223" t="str">
        <f>IFERROR(VLOOKUP($C116,'PORTIFÓLIO'!C:V,5,0),"")</f>
        <v>📄 Ver bula</v>
      </c>
      <c r="H116" s="207">
        <f t="array" ref="H116">IFERROR(INDEX('PORTIFÓLIO'!$H$4:$H$433,MATCH($C116,'PORTIFÓLIO'!$C$4:$C$433,0)),"")</f>
        <v>1</v>
      </c>
      <c r="I116" s="208">
        <v>1.0</v>
      </c>
      <c r="J116" s="209">
        <f t="shared" si="14"/>
        <v>273</v>
      </c>
      <c r="K116" s="210">
        <f t="array" ref="K116">IFERROR(I116*INDEX('PORTIFÓLIO'!$S$4:$S$433,MATCH($C116,'PORTIFÓLIO'!$C$4:$C$433,0)),"")</f>
        <v>67.68</v>
      </c>
      <c r="L116" s="210">
        <f t="array" ref="L116">IFERROR(J116*INDEX('PORTIFÓLIO'!$S$4:$S$433,MATCH($C116,'PORTIFÓLIO'!$C$4:$C$433,0)),"")</f>
        <v>18476.64</v>
      </c>
      <c r="M116" s="177"/>
      <c r="N116" s="177"/>
      <c r="O116" s="177"/>
      <c r="P116" s="177"/>
      <c r="Q116" s="177"/>
      <c r="R116" s="177"/>
      <c r="S116" s="177"/>
      <c r="T116" s="177"/>
      <c r="U116" s="177"/>
      <c r="V116" s="177"/>
      <c r="W116" s="177"/>
      <c r="X116" s="177"/>
    </row>
    <row r="117" ht="15.75" customHeight="1" outlineLevel="1">
      <c r="A117" s="190"/>
      <c r="B117" s="204" t="s">
        <v>0</v>
      </c>
      <c r="C117" s="226" t="s">
        <v>484</v>
      </c>
      <c r="D117" s="205" t="str">
        <f>IFERROR(VLOOKUP($C117,'PORTIFÓLIO'!C:V,2,0),"")</f>
        <v>MANCOZEBE</v>
      </c>
      <c r="E117" s="190">
        <f>IFERROR(VLOOKUP($C117,'PORTIFÓLIO'!C:V,3,0),"")</f>
        <v>750</v>
      </c>
      <c r="F117" s="190" t="str">
        <f>IFERROR(VLOOKUP($C117,'PORTIFÓLIO'!C:V,4,0),"")</f>
        <v>L</v>
      </c>
      <c r="G117" s="223" t="str">
        <f>IFERROR(VLOOKUP($C117,'PORTIFÓLIO'!C:V,5,0),"")</f>
        <v>📄 Ver bula</v>
      </c>
      <c r="H117" s="207">
        <f t="array" ref="H117">IFERROR(INDEX('PORTIFÓLIO'!$H$4:$H$433,MATCH($C117,'PORTIFÓLIO'!$C$4:$C$433,0)),"")</f>
        <v>1.5</v>
      </c>
      <c r="I117" s="208">
        <v>1.5</v>
      </c>
      <c r="J117" s="209">
        <f t="shared" si="14"/>
        <v>409.5</v>
      </c>
      <c r="K117" s="210">
        <f t="array" ref="K117">IFERROR(I117*INDEX('PORTIFÓLIO'!$S$4:$S$433,MATCH($C117,'PORTIFÓLIO'!$C$4:$C$433,0)),"")</f>
        <v>41.52168</v>
      </c>
      <c r="L117" s="210">
        <f t="array" ref="L117">IFERROR(J117*INDEX('PORTIFÓLIO'!$S$4:$S$433,MATCH($C117,'PORTIFÓLIO'!$C$4:$C$433,0)),"")</f>
        <v>11335.41864</v>
      </c>
      <c r="M117" s="177"/>
      <c r="N117" s="177"/>
      <c r="O117" s="177"/>
      <c r="P117" s="177"/>
      <c r="Q117" s="177"/>
      <c r="R117" s="177"/>
      <c r="S117" s="177"/>
      <c r="T117" s="177"/>
      <c r="U117" s="177"/>
      <c r="V117" s="177"/>
      <c r="W117" s="177"/>
      <c r="X117" s="177"/>
    </row>
    <row r="118" ht="15.75" customHeight="1" outlineLevel="1">
      <c r="A118" s="190"/>
      <c r="B118" s="204" t="s">
        <v>2</v>
      </c>
      <c r="C118" s="226" t="s">
        <v>752</v>
      </c>
      <c r="D118" s="205" t="str">
        <f>IFERROR(VLOOKUP($C118,'PORTIFÓLIO'!C:V,2,0),"")</f>
        <v>ACEFATO</v>
      </c>
      <c r="E118" s="190">
        <f>IFERROR(VLOOKUP($C118,'PORTIFÓLIO'!C:V,3,0),"")</f>
        <v>970</v>
      </c>
      <c r="F118" s="190" t="str">
        <f>IFERROR(VLOOKUP($C118,'PORTIFÓLIO'!C:V,4,0),"")</f>
        <v>L</v>
      </c>
      <c r="G118" s="223" t="str">
        <f>IFERROR(VLOOKUP($C118,'PORTIFÓLIO'!C:V,5,0),"")</f>
        <v>📄 Ver bula</v>
      </c>
      <c r="H118" s="207">
        <f t="array" ref="H118">IFERROR(INDEX('PORTIFÓLIO'!$H$4:$H$433,MATCH($C118,'PORTIFÓLIO'!$C$4:$C$433,0)),"")</f>
        <v>0.6</v>
      </c>
      <c r="I118" s="208">
        <v>0.6</v>
      </c>
      <c r="J118" s="209">
        <f t="shared" si="14"/>
        <v>163.8</v>
      </c>
      <c r="K118" s="210">
        <f t="array" ref="K118">IFERROR(I118*INDEX('PORTIFÓLIO'!$S$4:$S$433,MATCH($C118,'PORTIFÓLIO'!$C$4:$C$433,0)),"")</f>
        <v>22.266</v>
      </c>
      <c r="L118" s="210">
        <f t="array" ref="L118">IFERROR(J118*INDEX('PORTIFÓLIO'!$S$4:$S$433,MATCH($C118,'PORTIFÓLIO'!$C$4:$C$433,0)),"")</f>
        <v>6078.618</v>
      </c>
      <c r="M118" s="177"/>
      <c r="N118" s="177"/>
      <c r="O118" s="177"/>
      <c r="P118" s="177"/>
      <c r="Q118" s="177"/>
      <c r="R118" s="177"/>
      <c r="S118" s="177"/>
      <c r="T118" s="177"/>
      <c r="U118" s="177"/>
      <c r="V118" s="177"/>
      <c r="W118" s="177"/>
      <c r="X118" s="177"/>
    </row>
    <row r="119" ht="15.75" customHeight="1" outlineLevel="1">
      <c r="A119" s="190"/>
      <c r="B119" s="204" t="s">
        <v>2</v>
      </c>
      <c r="C119" s="226" t="s">
        <v>786</v>
      </c>
      <c r="D119" s="205" t="str">
        <f>IFERROR(VLOOKUP($C119,'PORTIFÓLIO'!C:V,2,0),"")</f>
        <v>DIFLUBENZUROM</v>
      </c>
      <c r="E119" s="190">
        <f>IFERROR(VLOOKUP($C119,'PORTIFÓLIO'!C:V,3,0),"")</f>
        <v>480</v>
      </c>
      <c r="F119" s="190" t="str">
        <f>IFERROR(VLOOKUP($C119,'PORTIFÓLIO'!C:V,4,0),"")</f>
        <v>KG</v>
      </c>
      <c r="G119" s="223" t="str">
        <f>IFERROR(VLOOKUP($C119,'PORTIFÓLIO'!C:V,5,0),"")</f>
        <v>📄 Ver bula</v>
      </c>
      <c r="H119" s="207">
        <f t="array" ref="H119">IFERROR(INDEX('PORTIFÓLIO'!$H$4:$H$433,MATCH($C119,'PORTIFÓLIO'!$C$4:$C$433,0)),"")</f>
        <v>0.04</v>
      </c>
      <c r="I119" s="208">
        <v>0.05</v>
      </c>
      <c r="J119" s="209">
        <f t="shared" si="14"/>
        <v>13.65</v>
      </c>
      <c r="K119" s="210">
        <f t="array" ref="K119">IFERROR(I119*INDEX('PORTIFÓLIO'!$S$4:$S$433,MATCH($C119,'PORTIFÓLIO'!$C$4:$C$433,0)),"")</f>
        <v>2.927979</v>
      </c>
      <c r="L119" s="210">
        <f t="array" ref="L119">IFERROR(J119*INDEX('PORTIFÓLIO'!$S$4:$S$433,MATCH($C119,'PORTIFÓLIO'!$C$4:$C$433,0)),"")</f>
        <v>799.338267</v>
      </c>
      <c r="M119" s="177"/>
      <c r="N119" s="177"/>
      <c r="O119" s="177"/>
      <c r="P119" s="177"/>
      <c r="Q119" s="177"/>
      <c r="R119" s="177"/>
      <c r="S119" s="177"/>
      <c r="T119" s="177"/>
      <c r="U119" s="177"/>
      <c r="V119" s="177"/>
      <c r="W119" s="177"/>
      <c r="X119" s="177"/>
    </row>
    <row r="120" ht="15.75" customHeight="1" outlineLevel="1">
      <c r="A120" s="190"/>
      <c r="B120" s="204" t="s">
        <v>6</v>
      </c>
      <c r="C120" s="191" t="s">
        <v>341</v>
      </c>
      <c r="D120" s="205" t="str">
        <f>IFERROR(VLOOKUP($C120,'PORTIFÓLIO'!C:V,2,0),"")</f>
        <v>ESTER METILICO DE SOJA</v>
      </c>
      <c r="E120" s="190">
        <f>IFERROR(VLOOKUP($C120,'PORTIFÓLIO'!C:V,3,0),"")</f>
        <v>765</v>
      </c>
      <c r="F120" s="190" t="str">
        <f>IFERROR(VLOOKUP($C120,'PORTIFÓLIO'!C:V,4,0),"")</f>
        <v>L</v>
      </c>
      <c r="G120" s="223" t="str">
        <f>IFERROR(VLOOKUP($C120,'PORTIFÓLIO'!C:V,5,0),"")</f>
        <v>📄 Ver bula</v>
      </c>
      <c r="H120" s="207">
        <f t="array" ref="H120">IFERROR(INDEX('PORTIFÓLIO'!$H$4:$H$433,MATCH($C120,'PORTIFÓLIO'!$C$4:$C$433,0)),"")</f>
        <v>0.2</v>
      </c>
      <c r="I120" s="208">
        <v>0.2</v>
      </c>
      <c r="J120" s="209">
        <f t="shared" si="14"/>
        <v>54.6</v>
      </c>
      <c r="K120" s="210">
        <f t="array" ref="K120">IFERROR(I120*INDEX('PORTIFÓLIO'!$S$4:$S$433,MATCH($C120,'PORTIFÓLIO'!$C$4:$C$433,0)),"")</f>
        <v>3.298974</v>
      </c>
      <c r="L120" s="210">
        <f t="array" ref="L120">IFERROR(J120*INDEX('PORTIFÓLIO'!$S$4:$S$433,MATCH($C120,'PORTIFÓLIO'!$C$4:$C$433,0)),"")</f>
        <v>900.619902</v>
      </c>
      <c r="M120" s="177"/>
      <c r="N120" s="177"/>
      <c r="O120" s="177"/>
      <c r="P120" s="177"/>
      <c r="Q120" s="177"/>
      <c r="R120" s="177"/>
      <c r="S120" s="177"/>
      <c r="T120" s="177"/>
      <c r="U120" s="177"/>
      <c r="V120" s="177"/>
      <c r="W120" s="177"/>
      <c r="X120" s="177"/>
    </row>
    <row r="121" ht="15.75" customHeight="1" outlineLevel="1">
      <c r="A121" s="211"/>
      <c r="B121" s="212"/>
      <c r="C121" s="213"/>
      <c r="D121" s="214" t="str">
        <f>IFERROR(VLOOKUP($C121,'PORTIFÓLIO'!C:V,2,0),"")</f>
        <v/>
      </c>
      <c r="E121" s="211" t="str">
        <f>IFERROR(VLOOKUP($C121,'PORTIFÓLIO'!C:V,3,0),"")</f>
        <v/>
      </c>
      <c r="F121" s="211" t="str">
        <f>IFERROR(VLOOKUP($C121,'PORTIFÓLIO'!C:V,4,0),"")</f>
        <v/>
      </c>
      <c r="G121" s="215" t="str">
        <f>IFERROR(VLOOKUP($C121,'PORTIFÓLIO'!C:V,5,0),"")</f>
        <v/>
      </c>
      <c r="H121" s="216" t="str">
        <f t="array" ref="H121">IFERROR(INDEX('PORTIFÓLIO'!$H$4:$H$433,MATCH($C121,'PORTIFÓLIO'!$C$4:$C$433,0)),"")</f>
        <v/>
      </c>
      <c r="I121" s="217"/>
      <c r="J121" s="218">
        <f t="shared" si="14"/>
        <v>0</v>
      </c>
      <c r="K121" s="219" t="str">
        <f t="array" ref="K121">IFERROR(I121*INDEX('PORTIFÓLIO'!$S$4:$S$433,MATCH($C121,'PORTIFÓLIO'!$C$4:$C$433,0)),"")</f>
        <v/>
      </c>
      <c r="L121" s="219" t="str">
        <f t="array" ref="L121">IFERROR(J121*INDEX('PORTIFÓLIO'!$S$4:$S$433,MATCH($C121,'PORTIFÓLIO'!$C$4:$C$433,0)),"")</f>
        <v/>
      </c>
      <c r="M121" s="220"/>
      <c r="N121" s="220"/>
      <c r="O121" s="220"/>
      <c r="P121" s="220"/>
      <c r="Q121" s="220"/>
      <c r="R121" s="220"/>
      <c r="S121" s="220"/>
      <c r="T121" s="220"/>
      <c r="U121" s="220"/>
      <c r="V121" s="220"/>
      <c r="W121" s="220"/>
      <c r="X121" s="220"/>
    </row>
    <row r="122" ht="15.75" customHeight="1" outlineLevel="1">
      <c r="A122" s="211"/>
      <c r="B122" s="212"/>
      <c r="C122" s="213"/>
      <c r="D122" s="214" t="str">
        <f>IFERROR(VLOOKUP($C122,'PORTIFÓLIO'!C:V,2,0),"")</f>
        <v/>
      </c>
      <c r="E122" s="211" t="str">
        <f>IFERROR(VLOOKUP($C122,'PORTIFÓLIO'!C:V,3,0),"")</f>
        <v/>
      </c>
      <c r="F122" s="211" t="str">
        <f>IFERROR(VLOOKUP($C122,'PORTIFÓLIO'!C:V,4,0),"")</f>
        <v/>
      </c>
      <c r="G122" s="215" t="str">
        <f>IFERROR(VLOOKUP($C122,'PORTIFÓLIO'!C:V,5,0),"")</f>
        <v/>
      </c>
      <c r="H122" s="216" t="str">
        <f t="array" ref="H122">IFERROR(INDEX('PORTIFÓLIO'!$H$4:$H$433,MATCH($C122,'PORTIFÓLIO'!$C$4:$C$433,0)),"")</f>
        <v/>
      </c>
      <c r="I122" s="217"/>
      <c r="J122" s="218">
        <f t="shared" si="14"/>
        <v>0</v>
      </c>
      <c r="K122" s="219" t="str">
        <f t="array" ref="K122">IFERROR(I122*INDEX('PORTIFÓLIO'!$S$4:$S$433,MATCH($C122,'PORTIFÓLIO'!$C$4:$C$433,0)),"")</f>
        <v/>
      </c>
      <c r="L122" s="219" t="str">
        <f t="array" ref="L122">IFERROR(J122*INDEX('PORTIFÓLIO'!$S$4:$S$433,MATCH($C122,'PORTIFÓLIO'!$C$4:$C$433,0)),"")</f>
        <v/>
      </c>
      <c r="M122" s="220"/>
      <c r="N122" s="220"/>
      <c r="O122" s="220"/>
      <c r="P122" s="220"/>
      <c r="Q122" s="220"/>
      <c r="R122" s="220"/>
      <c r="S122" s="220"/>
      <c r="T122" s="220"/>
      <c r="U122" s="220"/>
      <c r="V122" s="220"/>
      <c r="W122" s="220"/>
      <c r="X122" s="220"/>
    </row>
    <row r="123" ht="15.75" customHeight="1" outlineLevel="1">
      <c r="A123" s="211"/>
      <c r="B123" s="212"/>
      <c r="C123" s="213"/>
      <c r="D123" s="214" t="str">
        <f>IFERROR(VLOOKUP($C123,'PORTIFÓLIO'!C:V,2,0),"")</f>
        <v/>
      </c>
      <c r="E123" s="211" t="str">
        <f>IFERROR(VLOOKUP($C123,'PORTIFÓLIO'!C:V,3,0),"")</f>
        <v/>
      </c>
      <c r="F123" s="211" t="str">
        <f>IFERROR(VLOOKUP($C123,'PORTIFÓLIO'!C:V,4,0),"")</f>
        <v/>
      </c>
      <c r="G123" s="215" t="str">
        <f>IFERROR(VLOOKUP($C123,'PORTIFÓLIO'!C:V,5,0),"")</f>
        <v/>
      </c>
      <c r="H123" s="216" t="str">
        <f t="array" ref="H123">IFERROR(INDEX('PORTIFÓLIO'!$H$4:$H$433,MATCH($C123,'PORTIFÓLIO'!$C$4:$C$433,0)),"")</f>
        <v/>
      </c>
      <c r="I123" s="217"/>
      <c r="J123" s="218">
        <f t="shared" si="14"/>
        <v>0</v>
      </c>
      <c r="K123" s="219" t="str">
        <f t="array" ref="K123">IFERROR(I123*INDEX('PORTIFÓLIO'!$S$4:$S$433,MATCH($C123,'PORTIFÓLIO'!$C$4:$C$433,0)),"")</f>
        <v/>
      </c>
      <c r="L123" s="219" t="str">
        <f t="array" ref="L123">IFERROR(J123*INDEX('PORTIFÓLIO'!$S$4:$S$433,MATCH($C123,'PORTIFÓLIO'!$C$4:$C$433,0)),"")</f>
        <v/>
      </c>
      <c r="M123" s="220"/>
      <c r="N123" s="220"/>
      <c r="O123" s="220"/>
      <c r="P123" s="220"/>
      <c r="Q123" s="220"/>
      <c r="R123" s="220"/>
      <c r="S123" s="220"/>
      <c r="T123" s="220"/>
      <c r="U123" s="220"/>
      <c r="V123" s="220"/>
      <c r="W123" s="220"/>
      <c r="X123" s="220"/>
    </row>
    <row r="124" ht="15.75" customHeight="1" outlineLevel="1">
      <c r="A124" s="211"/>
      <c r="B124" s="212"/>
      <c r="C124" s="213"/>
      <c r="D124" s="214" t="str">
        <f>IFERROR(VLOOKUP($C124,'PORTIFÓLIO'!C:V,2,0),"")</f>
        <v/>
      </c>
      <c r="E124" s="211" t="str">
        <f>IFERROR(VLOOKUP($C124,'PORTIFÓLIO'!C:V,3,0),"")</f>
        <v/>
      </c>
      <c r="F124" s="211" t="str">
        <f>IFERROR(VLOOKUP($C124,'PORTIFÓLIO'!C:V,4,0),"")</f>
        <v/>
      </c>
      <c r="G124" s="215" t="str">
        <f>IFERROR(VLOOKUP($C124,'PORTIFÓLIO'!C:V,5,0),"")</f>
        <v/>
      </c>
      <c r="H124" s="216" t="str">
        <f t="array" ref="H124">IFERROR(INDEX('PORTIFÓLIO'!$H$4:$H$433,MATCH($C124,'PORTIFÓLIO'!$C$4:$C$433,0)),"")</f>
        <v/>
      </c>
      <c r="I124" s="224"/>
      <c r="J124" s="218">
        <f t="shared" si="14"/>
        <v>0</v>
      </c>
      <c r="K124" s="219" t="str">
        <f t="array" ref="K124">IFERROR(I124*INDEX('PORTIFÓLIO'!$S$4:$S$433,MATCH($C124,'PORTIFÓLIO'!$C$4:$C$433,0)),"")</f>
        <v/>
      </c>
      <c r="L124" s="219" t="str">
        <f t="array" ref="L124">IFERROR(J124*INDEX('PORTIFÓLIO'!$S$4:$S$433,MATCH($C124,'PORTIFÓLIO'!$C$4:$C$433,0)),"")</f>
        <v/>
      </c>
      <c r="M124" s="220"/>
      <c r="N124" s="220"/>
      <c r="O124" s="220"/>
      <c r="P124" s="220"/>
      <c r="Q124" s="220"/>
      <c r="R124" s="220"/>
      <c r="S124" s="220"/>
      <c r="T124" s="220"/>
      <c r="U124" s="220"/>
      <c r="V124" s="220"/>
      <c r="W124" s="220"/>
      <c r="X124" s="220"/>
    </row>
    <row r="125" ht="15.75" customHeight="1" outlineLevel="1">
      <c r="A125" s="211"/>
      <c r="B125" s="212"/>
      <c r="C125" s="213"/>
      <c r="D125" s="214" t="str">
        <f>IFERROR(VLOOKUP($C125,'PORTIFÓLIO'!C:V,2,0),"")</f>
        <v/>
      </c>
      <c r="E125" s="211" t="str">
        <f>IFERROR(VLOOKUP($C125,'PORTIFÓLIO'!C:V,3,0),"")</f>
        <v/>
      </c>
      <c r="F125" s="211" t="str">
        <f>IFERROR(VLOOKUP($C125,'PORTIFÓLIO'!C:V,4,0),"")</f>
        <v/>
      </c>
      <c r="G125" s="215" t="str">
        <f>IFERROR(VLOOKUP($C125,'PORTIFÓLIO'!C:V,5,0),"")</f>
        <v/>
      </c>
      <c r="H125" s="216" t="str">
        <f t="array" ref="H125">IFERROR(INDEX('PORTIFÓLIO'!$H$4:$H$433,MATCH($C125,'PORTIFÓLIO'!$C$4:$C$433,0)),"")</f>
        <v/>
      </c>
      <c r="I125" s="224"/>
      <c r="J125" s="218">
        <f t="shared" si="14"/>
        <v>0</v>
      </c>
      <c r="K125" s="219" t="str">
        <f t="array" ref="K125">IFERROR(I125*INDEX('PORTIFÓLIO'!$S$4:$S$433,MATCH($C125,'PORTIFÓLIO'!$C$4:$C$433,0)),"")</f>
        <v/>
      </c>
      <c r="L125" s="219" t="str">
        <f t="array" ref="L125">IFERROR(J125*INDEX('PORTIFÓLIO'!$S$4:$S$433,MATCH($C125,'PORTIFÓLIO'!$C$4:$C$433,0)),"")</f>
        <v/>
      </c>
      <c r="M125" s="220"/>
      <c r="N125" s="220"/>
      <c r="O125" s="220"/>
      <c r="P125" s="220"/>
      <c r="Q125" s="220"/>
      <c r="R125" s="220"/>
      <c r="S125" s="220"/>
      <c r="T125" s="220"/>
      <c r="U125" s="220"/>
      <c r="V125" s="220"/>
      <c r="W125" s="220"/>
      <c r="X125" s="220"/>
    </row>
    <row r="126" ht="15.75" customHeight="1" outlineLevel="1">
      <c r="A126" s="211"/>
      <c r="B126" s="212"/>
      <c r="C126" s="213"/>
      <c r="D126" s="214" t="str">
        <f>IFERROR(VLOOKUP($C126,'PORTIFÓLIO'!C:V,2,0),"")</f>
        <v/>
      </c>
      <c r="E126" s="211" t="str">
        <f>IFERROR(VLOOKUP($C126,'PORTIFÓLIO'!C:V,3,0),"")</f>
        <v/>
      </c>
      <c r="F126" s="211" t="str">
        <f>IFERROR(VLOOKUP($C126,'PORTIFÓLIO'!C:V,4,0),"")</f>
        <v/>
      </c>
      <c r="G126" s="215" t="str">
        <f>IFERROR(VLOOKUP($C126,'PORTIFÓLIO'!C:V,5,0),"")</f>
        <v/>
      </c>
      <c r="H126" s="216" t="str">
        <f t="array" ref="H126">IFERROR(INDEX('PORTIFÓLIO'!$H$4:$H$433,MATCH($C126,'PORTIFÓLIO'!$C$4:$C$433,0)),"")</f>
        <v/>
      </c>
      <c r="I126" s="224"/>
      <c r="J126" s="218">
        <f t="shared" si="14"/>
        <v>0</v>
      </c>
      <c r="K126" s="219" t="str">
        <f t="array" ref="K126">IFERROR(I126*INDEX('PORTIFÓLIO'!$S$4:$S$433,MATCH($C126,'PORTIFÓLIO'!$C$4:$C$433,0)),"")</f>
        <v/>
      </c>
      <c r="L126" s="219" t="str">
        <f t="array" ref="L126">IFERROR(J126*INDEX('PORTIFÓLIO'!$S$4:$S$433,MATCH($C126,'PORTIFÓLIO'!$C$4:$C$433,0)),"")</f>
        <v/>
      </c>
      <c r="M126" s="220"/>
      <c r="N126" s="220"/>
      <c r="O126" s="220"/>
      <c r="P126" s="220"/>
      <c r="Q126" s="220"/>
      <c r="R126" s="220"/>
      <c r="S126" s="220"/>
      <c r="T126" s="220"/>
      <c r="U126" s="220"/>
      <c r="V126" s="220"/>
      <c r="W126" s="220"/>
      <c r="X126" s="220"/>
    </row>
    <row r="127" ht="15.75" customHeight="1" outlineLevel="1">
      <c r="A127" s="211"/>
      <c r="B127" s="212"/>
      <c r="C127" s="213"/>
      <c r="D127" s="214" t="str">
        <f>IFERROR(VLOOKUP($C127,'PORTIFÓLIO'!C:V,2,0),"")</f>
        <v/>
      </c>
      <c r="E127" s="211" t="str">
        <f>IFERROR(VLOOKUP($C127,'PORTIFÓLIO'!C:V,3,0),"")</f>
        <v/>
      </c>
      <c r="F127" s="211" t="str">
        <f>IFERROR(VLOOKUP($C127,'PORTIFÓLIO'!C:V,4,0),"")</f>
        <v/>
      </c>
      <c r="G127" s="215" t="str">
        <f>IFERROR(VLOOKUP($C127,'PORTIFÓLIO'!C:V,5,0),"")</f>
        <v/>
      </c>
      <c r="H127" s="216" t="str">
        <f t="array" ref="H127">IFERROR(INDEX('PORTIFÓLIO'!$H$4:$H$433,MATCH($C127,'PORTIFÓLIO'!$C$4:$C$433,0)),"")</f>
        <v/>
      </c>
      <c r="I127" s="224"/>
      <c r="J127" s="218">
        <f t="shared" si="14"/>
        <v>0</v>
      </c>
      <c r="K127" s="219" t="str">
        <f t="array" ref="K127">IFERROR(I127*INDEX('PORTIFÓLIO'!$S$4:$S$433,MATCH($C127,'PORTIFÓLIO'!$C$4:$C$433,0)),"")</f>
        <v/>
      </c>
      <c r="L127" s="219" t="str">
        <f t="array" ref="L127">IFERROR(J127*INDEX('PORTIFÓLIO'!$S$4:$S$433,MATCH($C127,'PORTIFÓLIO'!$C$4:$C$433,0)),"")</f>
        <v/>
      </c>
      <c r="M127" s="220"/>
      <c r="N127" s="220"/>
      <c r="O127" s="220"/>
      <c r="P127" s="220"/>
      <c r="Q127" s="220"/>
      <c r="R127" s="220"/>
      <c r="S127" s="220"/>
      <c r="T127" s="220"/>
      <c r="U127" s="220"/>
      <c r="V127" s="220"/>
      <c r="W127" s="220"/>
      <c r="X127" s="220"/>
    </row>
    <row r="128" ht="15.75" customHeight="1" outlineLevel="1">
      <c r="A128" s="211"/>
      <c r="B128" s="212"/>
      <c r="C128" s="213"/>
      <c r="D128" s="214" t="str">
        <f>IFERROR(VLOOKUP($C128,'PORTIFÓLIO'!C:V,2,0),"")</f>
        <v/>
      </c>
      <c r="E128" s="211" t="str">
        <f>IFERROR(VLOOKUP($C128,'PORTIFÓLIO'!C:V,3,0),"")</f>
        <v/>
      </c>
      <c r="F128" s="211" t="str">
        <f>IFERROR(VLOOKUP($C128,'PORTIFÓLIO'!C:V,4,0),"")</f>
        <v/>
      </c>
      <c r="G128" s="215" t="str">
        <f>IFERROR(VLOOKUP($C128,'PORTIFÓLIO'!C:V,5,0),"")</f>
        <v/>
      </c>
      <c r="H128" s="216" t="str">
        <f t="array" ref="H128">IFERROR(INDEX('PORTIFÓLIO'!$H$4:$H$433,MATCH($C128,'PORTIFÓLIO'!$C$4:$C$433,0)),"")</f>
        <v/>
      </c>
      <c r="I128" s="224"/>
      <c r="J128" s="218">
        <f t="shared" si="14"/>
        <v>0</v>
      </c>
      <c r="K128" s="219" t="str">
        <f t="array" ref="K128">IFERROR(I128*INDEX('PORTIFÓLIO'!$S$4:$S$433,MATCH($C128,'PORTIFÓLIO'!$C$4:$C$433,0)),"")</f>
        <v/>
      </c>
      <c r="L128" s="219" t="str">
        <f t="array" ref="L128">IFERROR(J128*INDEX('PORTIFÓLIO'!$S$4:$S$433,MATCH($C128,'PORTIFÓLIO'!$C$4:$C$433,0)),"")</f>
        <v/>
      </c>
      <c r="M128" s="220"/>
      <c r="N128" s="220"/>
      <c r="O128" s="220"/>
      <c r="P128" s="220"/>
      <c r="Q128" s="220"/>
      <c r="R128" s="220"/>
      <c r="S128" s="220"/>
      <c r="T128" s="220"/>
      <c r="U128" s="220"/>
      <c r="V128" s="220"/>
      <c r="W128" s="220"/>
      <c r="X128" s="220"/>
    </row>
    <row r="129" ht="15.75" customHeight="1" outlineLevel="1">
      <c r="A129" s="211"/>
      <c r="B129" s="212"/>
      <c r="C129" s="213"/>
      <c r="D129" s="214" t="str">
        <f>IFERROR(VLOOKUP($C129,'PORTIFÓLIO'!C:V,2,0),"")</f>
        <v/>
      </c>
      <c r="E129" s="211" t="str">
        <f>IFERROR(VLOOKUP($C129,'PORTIFÓLIO'!C:V,3,0),"")</f>
        <v/>
      </c>
      <c r="F129" s="211" t="str">
        <f>IFERROR(VLOOKUP($C129,'PORTIFÓLIO'!C:V,4,0),"")</f>
        <v/>
      </c>
      <c r="G129" s="215" t="str">
        <f>IFERROR(VLOOKUP($C129,'PORTIFÓLIO'!C:V,5,0),"")</f>
        <v/>
      </c>
      <c r="H129" s="216" t="str">
        <f t="array" ref="H129">IFERROR(INDEX('PORTIFÓLIO'!$H$4:$H$433,MATCH($C129,'PORTIFÓLIO'!$C$4:$C$433,0)),"")</f>
        <v/>
      </c>
      <c r="I129" s="224"/>
      <c r="J129" s="218">
        <f t="shared" si="14"/>
        <v>0</v>
      </c>
      <c r="K129" s="219" t="str">
        <f t="array" ref="K129">IFERROR(I129*INDEX('PORTIFÓLIO'!$S$4:$S$433,MATCH($C129,'PORTIFÓLIO'!$C$4:$C$433,0)),"")</f>
        <v/>
      </c>
      <c r="L129" s="219" t="str">
        <f t="array" ref="L129">IFERROR(J129*INDEX('PORTIFÓLIO'!$S$4:$S$433,MATCH($C129,'PORTIFÓLIO'!$C$4:$C$433,0)),"")</f>
        <v/>
      </c>
      <c r="M129" s="220"/>
      <c r="N129" s="220"/>
      <c r="O129" s="220"/>
      <c r="P129" s="220"/>
      <c r="Q129" s="220"/>
      <c r="R129" s="220"/>
      <c r="S129" s="220"/>
      <c r="T129" s="220"/>
      <c r="U129" s="220"/>
      <c r="V129" s="220"/>
      <c r="W129" s="220"/>
      <c r="X129" s="220"/>
    </row>
    <row r="130" ht="15.75" customHeight="1" outlineLevel="1">
      <c r="A130" s="211"/>
      <c r="B130" s="227"/>
      <c r="C130" s="211"/>
      <c r="D130" s="214" t="str">
        <f>IFERROR(VLOOKUP($C130,'PORTIFÓLIO'!C:V,2,0),"")</f>
        <v/>
      </c>
      <c r="E130" s="211" t="str">
        <f>IFERROR(VLOOKUP($C130,'PORTIFÓLIO'!C:V,3,0),"")</f>
        <v/>
      </c>
      <c r="F130" s="211" t="str">
        <f>IFERROR(VLOOKUP($C130,'PORTIFÓLIO'!C:V,4,0),"")</f>
        <v/>
      </c>
      <c r="G130" s="215" t="str">
        <f>IFERROR(VLOOKUP($C130,'PORTIFÓLIO'!C:V,5,0),"")</f>
        <v/>
      </c>
      <c r="H130" s="216" t="str">
        <f t="array" ref="H130">IFERROR(INDEX('PORTIFÓLIO'!$H$4:$H$433,MATCH($C130,'PORTIFÓLIO'!$C$4:$C$433,0)),"")</f>
        <v/>
      </c>
      <c r="I130" s="224"/>
      <c r="J130" s="218"/>
      <c r="K130" s="219" t="str">
        <f t="array" ref="K130">IFERROR(I130*INDEX('PORTIFÓLIO'!$S$4:$S$433,MATCH($C130,'PORTIFÓLIO'!$C$4:$C$433,0)),"")</f>
        <v/>
      </c>
      <c r="L130" s="219" t="str">
        <f t="array" ref="L130">IFERROR(J130*INDEX('PORTIFÓLIO'!$S$4:$S$433,MATCH($C130,'PORTIFÓLIO'!$C$4:$C$433,0)),"")</f>
        <v/>
      </c>
      <c r="M130" s="220"/>
      <c r="N130" s="220"/>
      <c r="O130" s="220"/>
      <c r="P130" s="220"/>
      <c r="Q130" s="220"/>
      <c r="R130" s="220"/>
      <c r="S130" s="220"/>
      <c r="T130" s="220"/>
      <c r="U130" s="220"/>
      <c r="V130" s="220"/>
      <c r="W130" s="220"/>
      <c r="X130" s="220"/>
    </row>
    <row r="131" ht="15.75" customHeight="1">
      <c r="A131" s="221" t="s">
        <v>1191</v>
      </c>
      <c r="B131" s="197"/>
      <c r="C131" s="196"/>
      <c r="D131" s="198"/>
      <c r="E131" s="196"/>
      <c r="F131" s="196"/>
      <c r="G131" s="199"/>
      <c r="H131" s="222"/>
      <c r="I131" s="201"/>
      <c r="J131" s="202"/>
      <c r="K131" s="203">
        <f t="shared" ref="K131:L131" si="15">SUBTOTAL(9,K132:K145)</f>
        <v>182.923288</v>
      </c>
      <c r="L131" s="203">
        <f t="shared" si="15"/>
        <v>49938.05762</v>
      </c>
      <c r="M131" s="177"/>
      <c r="N131" s="177"/>
      <c r="O131" s="177"/>
      <c r="P131" s="177"/>
      <c r="Q131" s="177"/>
      <c r="R131" s="177"/>
      <c r="S131" s="177"/>
      <c r="T131" s="177"/>
      <c r="U131" s="177"/>
      <c r="V131" s="177"/>
      <c r="W131" s="177"/>
      <c r="X131" s="177"/>
    </row>
    <row r="132" ht="15.75" customHeight="1" outlineLevel="1">
      <c r="A132" s="191"/>
      <c r="B132" s="204" t="s">
        <v>0</v>
      </c>
      <c r="C132" s="191" t="s">
        <v>487</v>
      </c>
      <c r="D132" s="205" t="str">
        <f>IFERROR(VLOOKUP($C132,'PORTIFÓLIO'!C:V,2,0),"")</f>
        <v>PICOXISTROBINA + CIPROCONAZOL</v>
      </c>
      <c r="E132" s="190" t="str">
        <f>IFERROR(VLOOKUP($C132,'PORTIFÓLIO'!C:V,3,0),"")</f>
        <v>90 + 40</v>
      </c>
      <c r="F132" s="190" t="str">
        <f>IFERROR(VLOOKUP($C132,'PORTIFÓLIO'!C:V,4,0),"")</f>
        <v>L</v>
      </c>
      <c r="G132" s="223" t="str">
        <f>IFERROR(VLOOKUP($C132,'PORTIFÓLIO'!C:V,5,0),"")</f>
        <v>📄 Ver bula</v>
      </c>
      <c r="H132" s="207">
        <f t="array" ref="H132">IFERROR(INDEX('PORTIFÓLIO'!$H$4:$H$433,MATCH($C132,'PORTIFÓLIO'!$C$4:$C$433,0)),"")</f>
        <v>0.6</v>
      </c>
      <c r="I132" s="208">
        <v>0.6</v>
      </c>
      <c r="J132" s="209">
        <f t="shared" ref="J132:J146" si="16">I132*$B$2</f>
        <v>163.8</v>
      </c>
      <c r="K132" s="210">
        <f t="array" ref="K132">IFERROR(I132*INDEX('PORTIFÓLIO'!$S$4:$S$433,MATCH($C132,'PORTIFÓLIO'!$C$4:$C$433,0)),"")</f>
        <v>39.349152</v>
      </c>
      <c r="L132" s="210">
        <f t="array" ref="L132">IFERROR(J132*INDEX('PORTIFÓLIO'!$S$4:$S$433,MATCH($C132,'PORTIFÓLIO'!$C$4:$C$433,0)),"")</f>
        <v>10742.3185</v>
      </c>
      <c r="M132" s="177"/>
      <c r="N132" s="177"/>
      <c r="O132" s="177"/>
      <c r="P132" s="177"/>
      <c r="Q132" s="177"/>
      <c r="R132" s="177"/>
      <c r="S132" s="177"/>
      <c r="T132" s="177"/>
      <c r="U132" s="177"/>
      <c r="V132" s="177"/>
      <c r="W132" s="177"/>
      <c r="X132" s="177"/>
    </row>
    <row r="133" ht="15.75" customHeight="1" outlineLevel="1">
      <c r="A133" s="190"/>
      <c r="B133" s="204" t="s">
        <v>0</v>
      </c>
      <c r="C133" s="191" t="s">
        <v>484</v>
      </c>
      <c r="D133" s="205" t="str">
        <f>IFERROR(VLOOKUP($C133,'PORTIFÓLIO'!C:V,2,0),"")</f>
        <v>MANCOZEBE</v>
      </c>
      <c r="E133" s="190">
        <f>IFERROR(VLOOKUP($C133,'PORTIFÓLIO'!C:V,3,0),"")</f>
        <v>750</v>
      </c>
      <c r="F133" s="190" t="str">
        <f>IFERROR(VLOOKUP($C133,'PORTIFÓLIO'!C:V,4,0),"")</f>
        <v>L</v>
      </c>
      <c r="G133" s="223" t="str">
        <f>IFERROR(VLOOKUP($C133,'PORTIFÓLIO'!C:V,5,0),"")</f>
        <v>📄 Ver bula</v>
      </c>
      <c r="H133" s="207">
        <f t="array" ref="H133">IFERROR(INDEX('PORTIFÓLIO'!$H$4:$H$433,MATCH($C133,'PORTIFÓLIO'!$C$4:$C$433,0)),"")</f>
        <v>1.5</v>
      </c>
      <c r="I133" s="208">
        <v>1.5</v>
      </c>
      <c r="J133" s="209">
        <f t="shared" si="16"/>
        <v>409.5</v>
      </c>
      <c r="K133" s="210">
        <f t="array" ref="K133">IFERROR(I133*INDEX('PORTIFÓLIO'!$S$4:$S$433,MATCH($C133,'PORTIFÓLIO'!$C$4:$C$433,0)),"")</f>
        <v>41.52168</v>
      </c>
      <c r="L133" s="210">
        <f t="array" ref="L133">IFERROR(J133*INDEX('PORTIFÓLIO'!$S$4:$S$433,MATCH($C133,'PORTIFÓLIO'!$C$4:$C$433,0)),"")</f>
        <v>11335.41864</v>
      </c>
      <c r="M133" s="177"/>
      <c r="N133" s="177"/>
      <c r="O133" s="177"/>
      <c r="P133" s="177"/>
      <c r="Q133" s="177"/>
      <c r="R133" s="177"/>
      <c r="S133" s="177"/>
      <c r="T133" s="177"/>
      <c r="U133" s="177"/>
      <c r="V133" s="177"/>
      <c r="W133" s="177"/>
      <c r="X133" s="177"/>
    </row>
    <row r="134" ht="15.75" customHeight="1" outlineLevel="1">
      <c r="A134" s="190"/>
      <c r="B134" s="204" t="s">
        <v>2</v>
      </c>
      <c r="C134" s="191" t="s">
        <v>897</v>
      </c>
      <c r="D134" s="205" t="str">
        <f>IFERROR(VLOOKUP($C134,'PORTIFÓLIO'!C:V,2,0),"")</f>
        <v>ISOCICLOSERAM + LAMBDA-CIALOTRINA</v>
      </c>
      <c r="E134" s="190" t="str">
        <f>IFERROR(VLOOKUP($C134,'PORTIFÓLIO'!C:V,3,0),"")</f>
        <v>100 + 150</v>
      </c>
      <c r="F134" s="190" t="str">
        <f>IFERROR(VLOOKUP($C134,'PORTIFÓLIO'!C:V,4,0),"")</f>
        <v>L</v>
      </c>
      <c r="G134" s="223" t="str">
        <f>IFERROR(VLOOKUP($C134,'PORTIFÓLIO'!C:V,5,0),"")</f>
        <v>📄 Ver bula</v>
      </c>
      <c r="H134" s="207">
        <f t="array" ref="H134">IFERROR(INDEX('PORTIFÓLIO'!$H$4:$H$433,MATCH($C134,'PORTIFÓLIO'!$C$4:$C$433,0)),"")</f>
        <v>0.25</v>
      </c>
      <c r="I134" s="208">
        <v>0.25</v>
      </c>
      <c r="J134" s="209">
        <f t="shared" si="16"/>
        <v>68.25</v>
      </c>
      <c r="K134" s="210">
        <f t="array" ref="K134">IFERROR(I134*INDEX('PORTIFÓLIO'!$S$4:$S$433,MATCH($C134,'PORTIFÓLIO'!$C$4:$C$433,0)),"")</f>
        <v>99.0837</v>
      </c>
      <c r="L134" s="210">
        <f t="array" ref="L134">IFERROR(J134*INDEX('PORTIFÓLIO'!$S$4:$S$433,MATCH($C134,'PORTIFÓLIO'!$C$4:$C$433,0)),"")</f>
        <v>27049.8501</v>
      </c>
      <c r="M134" s="177"/>
      <c r="N134" s="177"/>
      <c r="O134" s="177"/>
      <c r="P134" s="177"/>
      <c r="Q134" s="177"/>
      <c r="R134" s="177"/>
      <c r="S134" s="177"/>
      <c r="T134" s="177"/>
      <c r="U134" s="177"/>
      <c r="V134" s="177"/>
      <c r="W134" s="177"/>
      <c r="X134" s="177"/>
    </row>
    <row r="135" ht="15.75" customHeight="1" outlineLevel="1">
      <c r="A135" s="190"/>
      <c r="B135" s="204" t="s">
        <v>6</v>
      </c>
      <c r="C135" s="191" t="s">
        <v>351</v>
      </c>
      <c r="D135" s="205" t="str">
        <f>IFERROR(VLOOKUP($C135,'PORTIFÓLIO'!C:V,2,0),"")</f>
        <v>ÉSTER METILICO DE OLEO DE SOJA</v>
      </c>
      <c r="E135" s="190">
        <f>IFERROR(VLOOKUP($C135,'PORTIFÓLIO'!C:V,3,0),"")</f>
        <v>720</v>
      </c>
      <c r="F135" s="190" t="str">
        <f>IFERROR(VLOOKUP($C135,'PORTIFÓLIO'!C:V,4,0),"")</f>
        <v>L</v>
      </c>
      <c r="G135" s="223" t="str">
        <f>IFERROR(VLOOKUP($C135,'PORTIFÓLIO'!C:V,5,0),"")</f>
        <v>📄 Ver bula</v>
      </c>
      <c r="H135" s="207">
        <f t="array" ref="H135">IFERROR(INDEX('PORTIFÓLIO'!$H$4:$H$433,MATCH($C135,'PORTIFÓLIO'!$C$4:$C$433,0)),"")</f>
        <v>0.08</v>
      </c>
      <c r="I135" s="208">
        <v>0.2</v>
      </c>
      <c r="J135" s="209">
        <f t="shared" si="16"/>
        <v>54.6</v>
      </c>
      <c r="K135" s="210">
        <f t="array" ref="K135">IFERROR(I135*INDEX('PORTIFÓLIO'!$S$4:$S$433,MATCH($C135,'PORTIFÓLIO'!$C$4:$C$433,0)),"")</f>
        <v>2.968756</v>
      </c>
      <c r="L135" s="210">
        <f t="array" ref="L135">IFERROR(J135*INDEX('PORTIFÓLIO'!$S$4:$S$433,MATCH($C135,'PORTIFÓLIO'!$C$4:$C$433,0)),"")</f>
        <v>810.470388</v>
      </c>
      <c r="M135" s="177"/>
      <c r="N135" s="177"/>
      <c r="O135" s="177"/>
      <c r="P135" s="177"/>
      <c r="Q135" s="177"/>
      <c r="R135" s="177"/>
      <c r="S135" s="177"/>
      <c r="T135" s="177"/>
      <c r="U135" s="177"/>
      <c r="V135" s="177"/>
      <c r="W135" s="177"/>
      <c r="X135" s="177"/>
    </row>
    <row r="136" ht="15.75" customHeight="1" outlineLevel="1">
      <c r="A136" s="211"/>
      <c r="B136" s="212"/>
      <c r="C136" s="213"/>
      <c r="D136" s="214" t="str">
        <f>IFERROR(VLOOKUP($C136,'PORTIFÓLIO'!C:V,2,0),"")</f>
        <v/>
      </c>
      <c r="E136" s="211" t="str">
        <f>IFERROR(VLOOKUP($C136,'PORTIFÓLIO'!C:V,3,0),"")</f>
        <v/>
      </c>
      <c r="F136" s="211" t="str">
        <f>IFERROR(VLOOKUP($C136,'PORTIFÓLIO'!C:V,4,0),"")</f>
        <v/>
      </c>
      <c r="G136" s="215" t="str">
        <f>IFERROR(VLOOKUP($C136,'PORTIFÓLIO'!C:V,5,0),"")</f>
        <v/>
      </c>
      <c r="H136" s="216" t="str">
        <f t="array" ref="H136">IFERROR(INDEX('PORTIFÓLIO'!$H$4:$H$433,MATCH($C136,'PORTIFÓLIO'!$C$4:$C$433,0)),"")</f>
        <v/>
      </c>
      <c r="I136" s="224"/>
      <c r="J136" s="218">
        <f t="shared" si="16"/>
        <v>0</v>
      </c>
      <c r="K136" s="219" t="str">
        <f t="array" ref="K136">IFERROR(I136*INDEX('PORTIFÓLIO'!$S$4:$S$433,MATCH($C136,'PORTIFÓLIO'!$C$4:$C$433,0)),"")</f>
        <v/>
      </c>
      <c r="L136" s="219" t="str">
        <f t="array" ref="L136">IFERROR(J136*INDEX('PORTIFÓLIO'!$S$4:$S$433,MATCH($C136,'PORTIFÓLIO'!$C$4:$C$433,0)),"")</f>
        <v/>
      </c>
      <c r="M136" s="220"/>
      <c r="N136" s="220"/>
      <c r="O136" s="220"/>
      <c r="P136" s="220"/>
      <c r="Q136" s="220"/>
      <c r="R136" s="220"/>
      <c r="S136" s="220"/>
      <c r="T136" s="220"/>
      <c r="U136" s="220"/>
      <c r="V136" s="220"/>
      <c r="W136" s="220"/>
      <c r="X136" s="220"/>
    </row>
    <row r="137" ht="15.75" customHeight="1" outlineLevel="1">
      <c r="A137" s="211"/>
      <c r="B137" s="212"/>
      <c r="C137" s="213"/>
      <c r="D137" s="214" t="str">
        <f>IFERROR(VLOOKUP($C137,'PORTIFÓLIO'!C:V,2,0),"")</f>
        <v/>
      </c>
      <c r="E137" s="211" t="str">
        <f>IFERROR(VLOOKUP($C137,'PORTIFÓLIO'!C:V,3,0),"")</f>
        <v/>
      </c>
      <c r="F137" s="211" t="str">
        <f>IFERROR(VLOOKUP($C137,'PORTIFÓLIO'!C:V,4,0),"")</f>
        <v/>
      </c>
      <c r="G137" s="215" t="str">
        <f>IFERROR(VLOOKUP($C137,'PORTIFÓLIO'!C:V,5,0),"")</f>
        <v/>
      </c>
      <c r="H137" s="216" t="str">
        <f t="array" ref="H137">IFERROR(INDEX('PORTIFÓLIO'!$H$4:$H$433,MATCH($C137,'PORTIFÓLIO'!$C$4:$C$433,0)),"")</f>
        <v/>
      </c>
      <c r="I137" s="224"/>
      <c r="J137" s="218">
        <f t="shared" si="16"/>
        <v>0</v>
      </c>
      <c r="K137" s="219" t="str">
        <f t="array" ref="K137">IFERROR(I137*INDEX('PORTIFÓLIO'!$S$4:$S$433,MATCH($C137,'PORTIFÓLIO'!$C$4:$C$433,0)),"")</f>
        <v/>
      </c>
      <c r="L137" s="219" t="str">
        <f t="array" ref="L137">IFERROR(J137*INDEX('PORTIFÓLIO'!$S$4:$S$433,MATCH($C137,'PORTIFÓLIO'!$C$4:$C$433,0)),"")</f>
        <v/>
      </c>
      <c r="M137" s="220"/>
      <c r="N137" s="220"/>
      <c r="O137" s="220"/>
      <c r="P137" s="220"/>
      <c r="Q137" s="220"/>
      <c r="R137" s="220"/>
      <c r="S137" s="220"/>
      <c r="T137" s="220"/>
      <c r="U137" s="220"/>
      <c r="V137" s="220"/>
      <c r="W137" s="220"/>
      <c r="X137" s="220"/>
    </row>
    <row r="138" ht="15.75" customHeight="1" outlineLevel="1">
      <c r="A138" s="211"/>
      <c r="B138" s="212"/>
      <c r="C138" s="213"/>
      <c r="D138" s="214" t="str">
        <f>IFERROR(VLOOKUP($C138,'PORTIFÓLIO'!C:V,2,0),"")</f>
        <v/>
      </c>
      <c r="E138" s="211" t="str">
        <f>IFERROR(VLOOKUP($C138,'PORTIFÓLIO'!C:V,3,0),"")</f>
        <v/>
      </c>
      <c r="F138" s="211" t="str">
        <f>IFERROR(VLOOKUP($C138,'PORTIFÓLIO'!C:V,4,0),"")</f>
        <v/>
      </c>
      <c r="G138" s="215" t="str">
        <f>IFERROR(VLOOKUP($C138,'PORTIFÓLIO'!C:V,5,0),"")</f>
        <v/>
      </c>
      <c r="H138" s="216" t="str">
        <f t="array" ref="H138">IFERROR(INDEX('PORTIFÓLIO'!$H$4:$H$433,MATCH($C138,'PORTIFÓLIO'!$C$4:$C$433,0)),"")</f>
        <v/>
      </c>
      <c r="I138" s="224"/>
      <c r="J138" s="218">
        <f t="shared" si="16"/>
        <v>0</v>
      </c>
      <c r="K138" s="219" t="str">
        <f t="array" ref="K138">IFERROR(I138*INDEX('PORTIFÓLIO'!$S$4:$S$433,MATCH($C138,'PORTIFÓLIO'!$C$4:$C$433,0)),"")</f>
        <v/>
      </c>
      <c r="L138" s="219" t="str">
        <f t="array" ref="L138">IFERROR(J138*INDEX('PORTIFÓLIO'!$S$4:$S$433,MATCH($C138,'PORTIFÓLIO'!$C$4:$C$433,0)),"")</f>
        <v/>
      </c>
      <c r="M138" s="220"/>
      <c r="N138" s="220"/>
      <c r="O138" s="220"/>
      <c r="P138" s="220"/>
      <c r="Q138" s="220"/>
      <c r="R138" s="220"/>
      <c r="S138" s="220"/>
      <c r="T138" s="220"/>
      <c r="U138" s="220"/>
      <c r="V138" s="220"/>
      <c r="W138" s="220"/>
      <c r="X138" s="220"/>
    </row>
    <row r="139" ht="15.75" customHeight="1" outlineLevel="1">
      <c r="A139" s="211"/>
      <c r="B139" s="212"/>
      <c r="C139" s="213"/>
      <c r="D139" s="214" t="str">
        <f>IFERROR(VLOOKUP($C139,'PORTIFÓLIO'!C:V,2,0),"")</f>
        <v/>
      </c>
      <c r="E139" s="211" t="str">
        <f>IFERROR(VLOOKUP($C139,'PORTIFÓLIO'!C:V,3,0),"")</f>
        <v/>
      </c>
      <c r="F139" s="211" t="str">
        <f>IFERROR(VLOOKUP($C139,'PORTIFÓLIO'!C:V,4,0),"")</f>
        <v/>
      </c>
      <c r="G139" s="215" t="str">
        <f>IFERROR(VLOOKUP($C139,'PORTIFÓLIO'!C:V,5,0),"")</f>
        <v/>
      </c>
      <c r="H139" s="216" t="str">
        <f t="array" ref="H139">IFERROR(INDEX('PORTIFÓLIO'!$H$4:$H$433,MATCH($C139,'PORTIFÓLIO'!$C$4:$C$433,0)),"")</f>
        <v/>
      </c>
      <c r="I139" s="224"/>
      <c r="J139" s="218">
        <f t="shared" si="16"/>
        <v>0</v>
      </c>
      <c r="K139" s="219" t="str">
        <f t="array" ref="K139">IFERROR(I139*INDEX('PORTIFÓLIO'!$S$4:$S$433,MATCH($C139,'PORTIFÓLIO'!$C$4:$C$433,0)),"")</f>
        <v/>
      </c>
      <c r="L139" s="219" t="str">
        <f t="array" ref="L139">IFERROR(J139*INDEX('PORTIFÓLIO'!$S$4:$S$433,MATCH($C139,'PORTIFÓLIO'!$C$4:$C$433,0)),"")</f>
        <v/>
      </c>
      <c r="M139" s="220"/>
      <c r="N139" s="220"/>
      <c r="O139" s="220"/>
      <c r="P139" s="220"/>
      <c r="Q139" s="220"/>
      <c r="R139" s="220"/>
      <c r="S139" s="220"/>
      <c r="T139" s="220"/>
      <c r="U139" s="220"/>
      <c r="V139" s="220"/>
      <c r="W139" s="220"/>
      <c r="X139" s="220"/>
    </row>
    <row r="140" ht="15.75" customHeight="1" outlineLevel="1">
      <c r="A140" s="211"/>
      <c r="B140" s="212"/>
      <c r="C140" s="213"/>
      <c r="D140" s="214" t="str">
        <f>IFERROR(VLOOKUP($C140,'PORTIFÓLIO'!C:V,2,0),"")</f>
        <v/>
      </c>
      <c r="E140" s="211" t="str">
        <f>IFERROR(VLOOKUP($C140,'PORTIFÓLIO'!C:V,3,0),"")</f>
        <v/>
      </c>
      <c r="F140" s="211" t="str">
        <f>IFERROR(VLOOKUP($C140,'PORTIFÓLIO'!C:V,4,0),"")</f>
        <v/>
      </c>
      <c r="G140" s="215" t="str">
        <f>IFERROR(VLOOKUP($C140,'PORTIFÓLIO'!C:V,5,0),"")</f>
        <v/>
      </c>
      <c r="H140" s="216" t="str">
        <f t="array" ref="H140">IFERROR(INDEX('PORTIFÓLIO'!$H$4:$H$433,MATCH($C140,'PORTIFÓLIO'!$C$4:$C$433,0)),"")</f>
        <v/>
      </c>
      <c r="I140" s="217"/>
      <c r="J140" s="218">
        <f t="shared" si="16"/>
        <v>0</v>
      </c>
      <c r="K140" s="219" t="str">
        <f t="array" ref="K140">IFERROR(I140*INDEX('PORTIFÓLIO'!$S$4:$S$433,MATCH($C140,'PORTIFÓLIO'!$C$4:$C$433,0)),"")</f>
        <v/>
      </c>
      <c r="L140" s="219" t="str">
        <f t="array" ref="L140">IFERROR(J140*INDEX('PORTIFÓLIO'!$S$4:$S$433,MATCH($C140,'PORTIFÓLIO'!$C$4:$C$433,0)),"")</f>
        <v/>
      </c>
      <c r="M140" s="220"/>
      <c r="N140" s="220"/>
      <c r="O140" s="220"/>
      <c r="P140" s="220"/>
      <c r="Q140" s="220"/>
      <c r="R140" s="220"/>
      <c r="S140" s="220"/>
      <c r="T140" s="220"/>
      <c r="U140" s="220"/>
      <c r="V140" s="220"/>
      <c r="W140" s="220"/>
      <c r="X140" s="220"/>
    </row>
    <row r="141" ht="15.75" customHeight="1" outlineLevel="1">
      <c r="A141" s="211"/>
      <c r="B141" s="212"/>
      <c r="C141" s="213"/>
      <c r="D141" s="214" t="str">
        <f>IFERROR(VLOOKUP($C141,'PORTIFÓLIO'!C:V,2,0),"")</f>
        <v/>
      </c>
      <c r="E141" s="211" t="str">
        <f>IFERROR(VLOOKUP($C141,'PORTIFÓLIO'!C:V,3,0),"")</f>
        <v/>
      </c>
      <c r="F141" s="211" t="str">
        <f>IFERROR(VLOOKUP($C141,'PORTIFÓLIO'!C:V,4,0),"")</f>
        <v/>
      </c>
      <c r="G141" s="215" t="str">
        <f>IFERROR(VLOOKUP($C141,'PORTIFÓLIO'!C:V,5,0),"")</f>
        <v/>
      </c>
      <c r="H141" s="216" t="str">
        <f t="array" ref="H141">IFERROR(INDEX('PORTIFÓLIO'!$H$4:$H$433,MATCH($C141,'PORTIFÓLIO'!$C$4:$C$433,0)),"")</f>
        <v/>
      </c>
      <c r="I141" s="224"/>
      <c r="J141" s="218">
        <f t="shared" si="16"/>
        <v>0</v>
      </c>
      <c r="K141" s="219" t="str">
        <f t="array" ref="K141">IFERROR(I141*INDEX('PORTIFÓLIO'!$S$4:$S$433,MATCH($C141,'PORTIFÓLIO'!$C$4:$C$433,0)),"")</f>
        <v/>
      </c>
      <c r="L141" s="219" t="str">
        <f t="array" ref="L141">IFERROR(J141*INDEX('PORTIFÓLIO'!$S$4:$S$433,MATCH($C141,'PORTIFÓLIO'!$C$4:$C$433,0)),"")</f>
        <v/>
      </c>
      <c r="M141" s="220"/>
      <c r="N141" s="220"/>
      <c r="O141" s="220"/>
      <c r="P141" s="220"/>
      <c r="Q141" s="220"/>
      <c r="R141" s="220"/>
      <c r="S141" s="220"/>
      <c r="T141" s="220"/>
      <c r="U141" s="220"/>
      <c r="V141" s="220"/>
      <c r="W141" s="220"/>
      <c r="X141" s="220"/>
    </row>
    <row r="142" ht="15.75" customHeight="1" outlineLevel="1">
      <c r="A142" s="211"/>
      <c r="B142" s="212"/>
      <c r="C142" s="213"/>
      <c r="D142" s="214" t="str">
        <f>IFERROR(VLOOKUP($C142,'PORTIFÓLIO'!C:V,2,0),"")</f>
        <v/>
      </c>
      <c r="E142" s="211" t="str">
        <f>IFERROR(VLOOKUP($C142,'PORTIFÓLIO'!C:V,3,0),"")</f>
        <v/>
      </c>
      <c r="F142" s="211" t="str">
        <f>IFERROR(VLOOKUP($C142,'PORTIFÓLIO'!C:V,4,0),"")</f>
        <v/>
      </c>
      <c r="G142" s="215" t="str">
        <f>IFERROR(VLOOKUP($C142,'PORTIFÓLIO'!C:V,5,0),"")</f>
        <v/>
      </c>
      <c r="H142" s="216" t="str">
        <f t="array" ref="H142">IFERROR(INDEX('PORTIFÓLIO'!$H$4:$H$433,MATCH($C142,'PORTIFÓLIO'!$C$4:$C$433,0)),"")</f>
        <v/>
      </c>
      <c r="I142" s="224"/>
      <c r="J142" s="218">
        <f t="shared" si="16"/>
        <v>0</v>
      </c>
      <c r="K142" s="219" t="str">
        <f t="array" ref="K142">IFERROR(I142*INDEX('PORTIFÓLIO'!$S$4:$S$433,MATCH($C142,'PORTIFÓLIO'!$C$4:$C$433,0)),"")</f>
        <v/>
      </c>
      <c r="L142" s="219" t="str">
        <f t="array" ref="L142">IFERROR(J142*INDEX('PORTIFÓLIO'!$S$4:$S$433,MATCH($C142,'PORTIFÓLIO'!$C$4:$C$433,0)),"")</f>
        <v/>
      </c>
      <c r="M142" s="220"/>
      <c r="N142" s="220"/>
      <c r="O142" s="220"/>
      <c r="P142" s="220"/>
      <c r="Q142" s="220"/>
      <c r="R142" s="220"/>
      <c r="S142" s="220"/>
      <c r="T142" s="220"/>
      <c r="U142" s="220"/>
      <c r="V142" s="220"/>
      <c r="W142" s="220"/>
      <c r="X142" s="220"/>
    </row>
    <row r="143" ht="15.75" customHeight="1" outlineLevel="1">
      <c r="A143" s="211"/>
      <c r="B143" s="212"/>
      <c r="C143" s="213"/>
      <c r="D143" s="214" t="str">
        <f>IFERROR(VLOOKUP($C143,'PORTIFÓLIO'!C:V,2,0),"")</f>
        <v/>
      </c>
      <c r="E143" s="211" t="str">
        <f>IFERROR(VLOOKUP($C143,'PORTIFÓLIO'!C:V,3,0),"")</f>
        <v/>
      </c>
      <c r="F143" s="211" t="str">
        <f>IFERROR(VLOOKUP($C143,'PORTIFÓLIO'!C:V,4,0),"")</f>
        <v/>
      </c>
      <c r="G143" s="215" t="str">
        <f>IFERROR(VLOOKUP($C143,'PORTIFÓLIO'!C:V,5,0),"")</f>
        <v/>
      </c>
      <c r="H143" s="216" t="str">
        <f t="array" ref="H143">IFERROR(INDEX('PORTIFÓLIO'!$H$4:$H$433,MATCH($C143,'PORTIFÓLIO'!$C$4:$C$433,0)),"")</f>
        <v/>
      </c>
      <c r="I143" s="224"/>
      <c r="J143" s="218">
        <f t="shared" si="16"/>
        <v>0</v>
      </c>
      <c r="K143" s="219" t="str">
        <f t="array" ref="K143">IFERROR(I143*INDEX('PORTIFÓLIO'!$S$4:$S$433,MATCH($C143,'PORTIFÓLIO'!$C$4:$C$433,0)),"")</f>
        <v/>
      </c>
      <c r="L143" s="219" t="str">
        <f t="array" ref="L143">IFERROR(J143*INDEX('PORTIFÓLIO'!$S$4:$S$433,MATCH($C143,'PORTIFÓLIO'!$C$4:$C$433,0)),"")</f>
        <v/>
      </c>
      <c r="M143" s="220"/>
      <c r="N143" s="220"/>
      <c r="O143" s="220"/>
      <c r="P143" s="220"/>
      <c r="Q143" s="220"/>
      <c r="R143" s="220"/>
      <c r="S143" s="220"/>
      <c r="T143" s="220"/>
      <c r="U143" s="220"/>
      <c r="V143" s="220"/>
      <c r="W143" s="220"/>
      <c r="X143" s="220"/>
    </row>
    <row r="144" ht="15.75" customHeight="1" outlineLevel="1">
      <c r="A144" s="211"/>
      <c r="B144" s="212"/>
      <c r="C144" s="213"/>
      <c r="D144" s="214" t="str">
        <f>IFERROR(VLOOKUP($C144,'PORTIFÓLIO'!C:V,2,0),"")</f>
        <v/>
      </c>
      <c r="E144" s="211" t="str">
        <f>IFERROR(VLOOKUP($C144,'PORTIFÓLIO'!C:V,3,0),"")</f>
        <v/>
      </c>
      <c r="F144" s="211" t="str">
        <f>IFERROR(VLOOKUP($C144,'PORTIFÓLIO'!C:V,4,0),"")</f>
        <v/>
      </c>
      <c r="G144" s="215" t="str">
        <f>IFERROR(VLOOKUP($C144,'PORTIFÓLIO'!C:V,5,0),"")</f>
        <v/>
      </c>
      <c r="H144" s="216" t="str">
        <f t="array" ref="H144">IFERROR(INDEX('PORTIFÓLIO'!$H$4:$H$433,MATCH($C144,'PORTIFÓLIO'!$C$4:$C$433,0)),"")</f>
        <v/>
      </c>
      <c r="I144" s="224"/>
      <c r="J144" s="218">
        <f t="shared" si="16"/>
        <v>0</v>
      </c>
      <c r="K144" s="219" t="str">
        <f t="array" ref="K144">IFERROR(I144*INDEX('PORTIFÓLIO'!$S$4:$S$433,MATCH($C144,'PORTIFÓLIO'!$C$4:$C$433,0)),"")</f>
        <v/>
      </c>
      <c r="L144" s="219" t="str">
        <f t="array" ref="L144">IFERROR(J144*INDEX('PORTIFÓLIO'!$S$4:$S$433,MATCH($C144,'PORTIFÓLIO'!$C$4:$C$433,0)),"")</f>
        <v/>
      </c>
      <c r="M144" s="220"/>
      <c r="N144" s="220"/>
      <c r="O144" s="220"/>
      <c r="P144" s="220"/>
      <c r="Q144" s="220"/>
      <c r="R144" s="220"/>
      <c r="S144" s="220"/>
      <c r="T144" s="220"/>
      <c r="U144" s="220"/>
      <c r="V144" s="220"/>
      <c r="W144" s="220"/>
      <c r="X144" s="220"/>
    </row>
    <row r="145" ht="15.75" customHeight="1" outlineLevel="1">
      <c r="A145" s="211"/>
      <c r="B145" s="212"/>
      <c r="C145" s="213"/>
      <c r="D145" s="214" t="str">
        <f>IFERROR(VLOOKUP($C145,'PORTIFÓLIO'!C:V,2,0),"")</f>
        <v/>
      </c>
      <c r="E145" s="211" t="str">
        <f>IFERROR(VLOOKUP($C145,'PORTIFÓLIO'!C:V,3,0),"")</f>
        <v/>
      </c>
      <c r="F145" s="211" t="str">
        <f>IFERROR(VLOOKUP($C145,'PORTIFÓLIO'!C:V,4,0),"")</f>
        <v/>
      </c>
      <c r="G145" s="215" t="str">
        <f>IFERROR(VLOOKUP($C145,'PORTIFÓLIO'!C:V,5,0),"")</f>
        <v/>
      </c>
      <c r="H145" s="216" t="str">
        <f t="array" ref="H145">IFERROR(INDEX('PORTIFÓLIO'!$H$4:$H$433,MATCH($C145,'PORTIFÓLIO'!$C$4:$C$433,0)),"")</f>
        <v/>
      </c>
      <c r="I145" s="224"/>
      <c r="J145" s="218">
        <f t="shared" si="16"/>
        <v>0</v>
      </c>
      <c r="K145" s="219" t="str">
        <f t="array" ref="K145">IFERROR(I145*INDEX('PORTIFÓLIO'!$S$4:$S$433,MATCH($C145,'PORTIFÓLIO'!$C$4:$C$433,0)),"")</f>
        <v/>
      </c>
      <c r="L145" s="219" t="str">
        <f t="array" ref="L145">IFERROR(J145*INDEX('PORTIFÓLIO'!$S$4:$S$433,MATCH($C145,'PORTIFÓLIO'!$C$4:$C$433,0)),"")</f>
        <v/>
      </c>
      <c r="M145" s="220"/>
      <c r="N145" s="220"/>
      <c r="O145" s="220"/>
      <c r="P145" s="220"/>
      <c r="Q145" s="220"/>
      <c r="R145" s="220"/>
      <c r="S145" s="220"/>
      <c r="T145" s="220"/>
      <c r="U145" s="220"/>
      <c r="V145" s="220"/>
      <c r="W145" s="220"/>
      <c r="X145" s="220"/>
    </row>
    <row r="146" ht="15.75" customHeight="1" outlineLevel="1">
      <c r="A146" s="211"/>
      <c r="B146" s="212"/>
      <c r="C146" s="213"/>
      <c r="D146" s="214" t="str">
        <f>IFERROR(VLOOKUP($C146,'PORTIFÓLIO'!C:V,2,0),"")</f>
        <v/>
      </c>
      <c r="E146" s="211" t="str">
        <f>IFERROR(VLOOKUP($C146,'PORTIFÓLIO'!C:V,3,0),"")</f>
        <v/>
      </c>
      <c r="F146" s="211" t="str">
        <f>IFERROR(VLOOKUP($C146,'PORTIFÓLIO'!C:V,4,0),"")</f>
        <v/>
      </c>
      <c r="G146" s="215" t="str">
        <f>IFERROR(VLOOKUP($C146,'PORTIFÓLIO'!C:V,5,0),"")</f>
        <v/>
      </c>
      <c r="H146" s="216" t="str">
        <f t="array" ref="H146">IFERROR(INDEX('PORTIFÓLIO'!$H$4:$H$433,MATCH($C146,'PORTIFÓLIO'!$C$4:$C$433,0)),"")</f>
        <v/>
      </c>
      <c r="I146" s="224"/>
      <c r="J146" s="218">
        <f t="shared" si="16"/>
        <v>0</v>
      </c>
      <c r="K146" s="219" t="str">
        <f t="array" ref="K146">IFERROR(I146*INDEX('PORTIFÓLIO'!$S$4:$S$433,MATCH($C146,'PORTIFÓLIO'!$C$4:$C$433,0)),"")</f>
        <v/>
      </c>
      <c r="L146" s="219" t="str">
        <f t="array" ref="L146">IFERROR(J146*INDEX('PORTIFÓLIO'!$S$4:$S$433,MATCH($C146,'PORTIFÓLIO'!$C$4:$C$433,0)),"")</f>
        <v/>
      </c>
      <c r="M146" s="220"/>
      <c r="N146" s="220"/>
      <c r="O146" s="220"/>
      <c r="P146" s="220"/>
      <c r="Q146" s="220"/>
      <c r="R146" s="220"/>
      <c r="S146" s="220"/>
      <c r="T146" s="220"/>
      <c r="U146" s="220"/>
      <c r="V146" s="220"/>
      <c r="W146" s="220"/>
      <c r="X146" s="220"/>
    </row>
    <row r="147" ht="15.75" customHeight="1" outlineLevel="1">
      <c r="A147" s="211"/>
      <c r="B147" s="227"/>
      <c r="C147" s="211"/>
      <c r="D147" s="214" t="str">
        <f>IFERROR(VLOOKUP($C147,'PORTIFÓLIO'!C:V,2,0),"")</f>
        <v/>
      </c>
      <c r="E147" s="211" t="str">
        <f>IFERROR(VLOOKUP($C147,'PORTIFÓLIO'!C:V,3,0),"")</f>
        <v/>
      </c>
      <c r="F147" s="211" t="str">
        <f>IFERROR(VLOOKUP($C147,'PORTIFÓLIO'!C:V,4,0),"")</f>
        <v/>
      </c>
      <c r="G147" s="215" t="str">
        <f>IFERROR(VLOOKUP($C147,'PORTIFÓLIO'!C:V,5,0),"")</f>
        <v/>
      </c>
      <c r="H147" s="216" t="str">
        <f t="array" ref="H147">IFERROR(INDEX('PORTIFÓLIO'!$H$4:$H$433,MATCH($C147,'PORTIFÓLIO'!$C$4:$C$433,0)),"")</f>
        <v/>
      </c>
      <c r="I147" s="224"/>
      <c r="J147" s="218"/>
      <c r="K147" s="219" t="str">
        <f t="array" ref="K147">IFERROR(I147*INDEX('PORTIFÓLIO'!$S$4:$S$433,MATCH($C147,'PORTIFÓLIO'!$C$4:$C$433,0)),"")</f>
        <v/>
      </c>
      <c r="L147" s="219" t="str">
        <f t="array" ref="L147">IFERROR(J147*INDEX('PORTIFÓLIO'!$S$4:$S$433,MATCH($C147,'PORTIFÓLIO'!$C$4:$C$433,0)),"")</f>
        <v/>
      </c>
      <c r="M147" s="220"/>
      <c r="N147" s="220"/>
      <c r="O147" s="220"/>
      <c r="P147" s="220"/>
      <c r="Q147" s="220"/>
      <c r="R147" s="220"/>
      <c r="S147" s="220"/>
      <c r="T147" s="220"/>
      <c r="U147" s="220"/>
      <c r="V147" s="220"/>
      <c r="W147" s="220"/>
      <c r="X147" s="220"/>
    </row>
    <row r="148" ht="15.75" customHeight="1">
      <c r="A148" s="221" t="s">
        <v>1192</v>
      </c>
      <c r="B148" s="197"/>
      <c r="C148" s="196"/>
      <c r="D148" s="198"/>
      <c r="E148" s="196"/>
      <c r="F148" s="196"/>
      <c r="G148" s="199"/>
      <c r="H148" s="222"/>
      <c r="I148" s="201"/>
      <c r="J148" s="202"/>
      <c r="K148" s="203">
        <f t="shared" ref="K148:L148" si="17">SUBTOTAL(9,K149:K162)</f>
        <v>53.119636</v>
      </c>
      <c r="L148" s="203">
        <f t="shared" si="17"/>
        <v>14501.66063</v>
      </c>
      <c r="M148" s="177"/>
      <c r="N148" s="177"/>
      <c r="O148" s="177"/>
      <c r="P148" s="177"/>
      <c r="Q148" s="177"/>
      <c r="R148" s="177"/>
      <c r="S148" s="177"/>
      <c r="T148" s="177"/>
      <c r="U148" s="177"/>
      <c r="V148" s="177"/>
      <c r="W148" s="177"/>
      <c r="X148" s="177"/>
    </row>
    <row r="149" ht="15.75" customHeight="1" outlineLevel="1">
      <c r="A149" s="191"/>
      <c r="B149" s="204" t="s">
        <v>0</v>
      </c>
      <c r="C149" s="191" t="s">
        <v>577</v>
      </c>
      <c r="D149" s="205" t="str">
        <f>IFERROR(VLOOKUP($C149,'PORTIFÓLIO'!C:V,2,0),"")</f>
        <v>DIFENOCONAZOL + CIPROCONAZOL</v>
      </c>
      <c r="E149" s="190" t="str">
        <f>IFERROR(VLOOKUP($C149,'PORTIFÓLIO'!C:V,3,0),"")</f>
        <v>250 + 150</v>
      </c>
      <c r="F149" s="190" t="str">
        <f>IFERROR(VLOOKUP($C149,'PORTIFÓLIO'!C:V,4,0),"")</f>
        <v>KG</v>
      </c>
      <c r="G149" s="223" t="str">
        <f>IFERROR(VLOOKUP($C149,'PORTIFÓLIO'!C:V,5,0),"")</f>
        <v>📄 Ver bula</v>
      </c>
      <c r="H149" s="207">
        <f t="array" ref="H149">IFERROR(INDEX('PORTIFÓLIO'!$H$4:$H$433,MATCH($C149,'PORTIFÓLIO'!$C$4:$C$433,0)),"")</f>
        <v>0.5</v>
      </c>
      <c r="I149" s="208">
        <v>0.5</v>
      </c>
      <c r="J149" s="209">
        <f t="shared" ref="J149:J163" si="18">I149*$B$2</f>
        <v>136.5</v>
      </c>
      <c r="K149" s="210">
        <f t="array" ref="K149">IFERROR(I149*INDEX('PORTIFÓLIO'!$S$4:$S$433,MATCH($C149,'PORTIFÓLIO'!$C$4:$C$433,0)),"")</f>
        <v>13.80672</v>
      </c>
      <c r="L149" s="210">
        <f t="array" ref="L149">IFERROR(J149*INDEX('PORTIFÓLIO'!$S$4:$S$433,MATCH($C149,'PORTIFÓLIO'!$C$4:$C$433,0)),"")</f>
        <v>3769.23456</v>
      </c>
      <c r="M149" s="177"/>
      <c r="N149" s="177"/>
      <c r="O149" s="177"/>
      <c r="P149" s="177"/>
      <c r="Q149" s="177"/>
      <c r="R149" s="177"/>
      <c r="S149" s="177"/>
      <c r="T149" s="177"/>
      <c r="U149" s="177"/>
      <c r="V149" s="177"/>
      <c r="W149" s="177"/>
      <c r="X149" s="177"/>
    </row>
    <row r="150" ht="15.75" customHeight="1" outlineLevel="1">
      <c r="A150" s="190"/>
      <c r="B150" s="204" t="s">
        <v>0</v>
      </c>
      <c r="C150" s="191" t="s">
        <v>572</v>
      </c>
      <c r="D150" s="205" t="str">
        <f>IFERROR(VLOOKUP($C150,'PORTIFÓLIO'!C:V,2,0),"")</f>
        <v>CLOROTALONIL</v>
      </c>
      <c r="E150" s="190">
        <f>IFERROR(VLOOKUP($C150,'PORTIFÓLIO'!C:V,3,0),"")</f>
        <v>720</v>
      </c>
      <c r="F150" s="190" t="str">
        <f>IFERROR(VLOOKUP($C150,'PORTIFÓLIO'!C:V,4,0),"")</f>
        <v>KG</v>
      </c>
      <c r="G150" s="223" t="str">
        <f>IFERROR(VLOOKUP($C150,'PORTIFÓLIO'!C:V,5,0),"")</f>
        <v>📄 Ver bula</v>
      </c>
      <c r="H150" s="207">
        <f t="array" ref="H150">IFERROR(INDEX('PORTIFÓLIO'!$H$4:$H$433,MATCH($C150,'PORTIFÓLIO'!$C$4:$C$433,0)),"")</f>
        <v>1.5</v>
      </c>
      <c r="I150" s="208">
        <v>1.5</v>
      </c>
      <c r="J150" s="209">
        <f t="shared" si="18"/>
        <v>409.5</v>
      </c>
      <c r="K150" s="210">
        <f t="array" ref="K150">IFERROR(I150*INDEX('PORTIFÓLIO'!$S$4:$S$433,MATCH($C150,'PORTIFÓLIO'!$C$4:$C$433,0)),"")</f>
        <v>36.34416</v>
      </c>
      <c r="L150" s="210">
        <f t="array" ref="L150">IFERROR(J150*INDEX('PORTIFÓLIO'!$S$4:$S$433,MATCH($C150,'PORTIFÓLIO'!$C$4:$C$433,0)),"")</f>
        <v>9921.95568</v>
      </c>
      <c r="M150" s="177"/>
      <c r="N150" s="177"/>
      <c r="O150" s="177"/>
      <c r="P150" s="177"/>
      <c r="Q150" s="177"/>
      <c r="R150" s="177"/>
      <c r="S150" s="177"/>
      <c r="T150" s="177"/>
      <c r="U150" s="177"/>
      <c r="V150" s="177"/>
      <c r="W150" s="177"/>
      <c r="X150" s="177"/>
    </row>
    <row r="151" ht="15.75" customHeight="1" outlineLevel="1">
      <c r="A151" s="190"/>
      <c r="B151" s="204" t="s">
        <v>6</v>
      </c>
      <c r="C151" s="191" t="s">
        <v>351</v>
      </c>
      <c r="D151" s="205" t="str">
        <f>IFERROR(VLOOKUP($C151,'PORTIFÓLIO'!C:V,2,0),"")</f>
        <v>ÉSTER METILICO DE OLEO DE SOJA</v>
      </c>
      <c r="E151" s="190">
        <f>IFERROR(VLOOKUP($C151,'PORTIFÓLIO'!C:V,3,0),"")</f>
        <v>720</v>
      </c>
      <c r="F151" s="190" t="str">
        <f>IFERROR(VLOOKUP($C151,'PORTIFÓLIO'!C:V,4,0),"")</f>
        <v>L</v>
      </c>
      <c r="G151" s="223" t="str">
        <f>IFERROR(VLOOKUP($C151,'PORTIFÓLIO'!C:V,5,0),"")</f>
        <v>📄 Ver bula</v>
      </c>
      <c r="H151" s="207">
        <f t="array" ref="H151">IFERROR(INDEX('PORTIFÓLIO'!$H$4:$H$433,MATCH($C151,'PORTIFÓLIO'!$C$4:$C$433,0)),"")</f>
        <v>0.08</v>
      </c>
      <c r="I151" s="208">
        <v>0.2</v>
      </c>
      <c r="J151" s="209">
        <f t="shared" si="18"/>
        <v>54.6</v>
      </c>
      <c r="K151" s="210">
        <f t="array" ref="K151">IFERROR(I151*INDEX('PORTIFÓLIO'!$S$4:$S$433,MATCH($C151,'PORTIFÓLIO'!$C$4:$C$433,0)),"")</f>
        <v>2.968756</v>
      </c>
      <c r="L151" s="210">
        <f t="array" ref="L151">IFERROR(J151*INDEX('PORTIFÓLIO'!$S$4:$S$433,MATCH($C151,'PORTIFÓLIO'!$C$4:$C$433,0)),"")</f>
        <v>810.470388</v>
      </c>
      <c r="M151" s="177"/>
      <c r="N151" s="177"/>
      <c r="O151" s="177"/>
      <c r="P151" s="177"/>
      <c r="Q151" s="177"/>
      <c r="R151" s="177"/>
      <c r="S151" s="177"/>
      <c r="T151" s="177"/>
      <c r="U151" s="177"/>
      <c r="V151" s="177"/>
      <c r="W151" s="177"/>
      <c r="X151" s="177"/>
    </row>
    <row r="152" ht="15.75" customHeight="1" outlineLevel="1">
      <c r="A152" s="211"/>
      <c r="B152" s="212"/>
      <c r="C152" s="213"/>
      <c r="D152" s="214" t="str">
        <f>IFERROR(VLOOKUP($C152,'PORTIFÓLIO'!C:V,2,0),"")</f>
        <v/>
      </c>
      <c r="E152" s="211" t="str">
        <f>IFERROR(VLOOKUP($C152,'PORTIFÓLIO'!C:V,3,0),"")</f>
        <v/>
      </c>
      <c r="F152" s="211" t="str">
        <f>IFERROR(VLOOKUP($C152,'PORTIFÓLIO'!C:V,4,0),"")</f>
        <v/>
      </c>
      <c r="G152" s="215" t="str">
        <f>IFERROR(VLOOKUP($C152,'PORTIFÓLIO'!C:V,5,0),"")</f>
        <v/>
      </c>
      <c r="H152" s="216" t="str">
        <f t="array" ref="H152">IFERROR(INDEX('PORTIFÓLIO'!$H$4:$H$433,MATCH($C152,'PORTIFÓLIO'!$C$4:$C$433,0)),"")</f>
        <v/>
      </c>
      <c r="I152" s="217"/>
      <c r="J152" s="218">
        <f t="shared" si="18"/>
        <v>0</v>
      </c>
      <c r="K152" s="219" t="str">
        <f t="array" ref="K152">IFERROR(I152*INDEX('PORTIFÓLIO'!$S$4:$S$433,MATCH($C152,'PORTIFÓLIO'!$C$4:$C$433,0)),"")</f>
        <v/>
      </c>
      <c r="L152" s="219" t="str">
        <f t="array" ref="L152">IFERROR(J152*INDEX('PORTIFÓLIO'!$S$4:$S$433,MATCH($C152,'PORTIFÓLIO'!$C$4:$C$433,0)),"")</f>
        <v/>
      </c>
      <c r="M152" s="220"/>
      <c r="N152" s="220"/>
      <c r="O152" s="220"/>
      <c r="P152" s="220"/>
      <c r="Q152" s="220"/>
      <c r="R152" s="220"/>
      <c r="S152" s="220"/>
      <c r="T152" s="220"/>
      <c r="U152" s="220"/>
      <c r="V152" s="220"/>
      <c r="W152" s="220"/>
      <c r="X152" s="220"/>
    </row>
    <row r="153" ht="15.75" customHeight="1" outlineLevel="1">
      <c r="A153" s="211"/>
      <c r="B153" s="212"/>
      <c r="C153" s="213"/>
      <c r="D153" s="214" t="str">
        <f>IFERROR(VLOOKUP($C153,'PORTIFÓLIO'!C:V,2,0),"")</f>
        <v/>
      </c>
      <c r="E153" s="211" t="str">
        <f>IFERROR(VLOOKUP($C153,'PORTIFÓLIO'!C:V,3,0),"")</f>
        <v/>
      </c>
      <c r="F153" s="211" t="str">
        <f>IFERROR(VLOOKUP($C153,'PORTIFÓLIO'!C:V,4,0),"")</f>
        <v/>
      </c>
      <c r="G153" s="215" t="str">
        <f>IFERROR(VLOOKUP($C153,'PORTIFÓLIO'!C:V,5,0),"")</f>
        <v/>
      </c>
      <c r="H153" s="216" t="str">
        <f t="array" ref="H153">IFERROR(INDEX('PORTIFÓLIO'!$H$4:$H$433,MATCH($C153,'PORTIFÓLIO'!$C$4:$C$433,0)),"")</f>
        <v/>
      </c>
      <c r="I153" s="217"/>
      <c r="J153" s="218">
        <f t="shared" si="18"/>
        <v>0</v>
      </c>
      <c r="K153" s="219" t="str">
        <f t="array" ref="K153">IFERROR(I153*INDEX('PORTIFÓLIO'!$S$4:$S$433,MATCH($C153,'PORTIFÓLIO'!$C$4:$C$433,0)),"")</f>
        <v/>
      </c>
      <c r="L153" s="219" t="str">
        <f t="array" ref="L153">IFERROR(J153*INDEX('PORTIFÓLIO'!$S$4:$S$433,MATCH($C153,'PORTIFÓLIO'!$C$4:$C$433,0)),"")</f>
        <v/>
      </c>
      <c r="M153" s="220"/>
      <c r="N153" s="220"/>
      <c r="O153" s="220"/>
      <c r="P153" s="220"/>
      <c r="Q153" s="220"/>
      <c r="R153" s="220"/>
      <c r="S153" s="220"/>
      <c r="T153" s="220"/>
      <c r="U153" s="220"/>
      <c r="V153" s="220"/>
      <c r="W153" s="220"/>
      <c r="X153" s="220"/>
    </row>
    <row r="154" ht="15.75" customHeight="1" outlineLevel="1">
      <c r="A154" s="211"/>
      <c r="B154" s="212"/>
      <c r="C154" s="213"/>
      <c r="D154" s="214" t="str">
        <f>IFERROR(VLOOKUP($C154,'PORTIFÓLIO'!C:V,2,0),"")</f>
        <v/>
      </c>
      <c r="E154" s="211" t="str">
        <f>IFERROR(VLOOKUP($C154,'PORTIFÓLIO'!C:V,3,0),"")</f>
        <v/>
      </c>
      <c r="F154" s="211" t="str">
        <f>IFERROR(VLOOKUP($C154,'PORTIFÓLIO'!C:V,4,0),"")</f>
        <v/>
      </c>
      <c r="G154" s="215" t="str">
        <f>IFERROR(VLOOKUP($C154,'PORTIFÓLIO'!C:V,5,0),"")</f>
        <v/>
      </c>
      <c r="H154" s="216" t="str">
        <f t="array" ref="H154">IFERROR(INDEX('PORTIFÓLIO'!$H$4:$H$433,MATCH($C154,'PORTIFÓLIO'!$C$4:$C$433,0)),"")</f>
        <v/>
      </c>
      <c r="I154" s="224"/>
      <c r="J154" s="218">
        <f t="shared" si="18"/>
        <v>0</v>
      </c>
      <c r="K154" s="219" t="str">
        <f t="array" ref="K154">IFERROR(I154*INDEX('PORTIFÓLIO'!$S$4:$S$433,MATCH($C154,'PORTIFÓLIO'!$C$4:$C$433,0)),"")</f>
        <v/>
      </c>
      <c r="L154" s="219" t="str">
        <f t="array" ref="L154">IFERROR(J154*INDEX('PORTIFÓLIO'!$S$4:$S$433,MATCH($C154,'PORTIFÓLIO'!$C$4:$C$433,0)),"")</f>
        <v/>
      </c>
      <c r="M154" s="220"/>
      <c r="N154" s="220"/>
      <c r="O154" s="220"/>
      <c r="P154" s="220"/>
      <c r="Q154" s="220"/>
      <c r="R154" s="220"/>
      <c r="S154" s="220"/>
      <c r="T154" s="220"/>
      <c r="U154" s="220"/>
      <c r="V154" s="220"/>
      <c r="W154" s="220"/>
      <c r="X154" s="220"/>
    </row>
    <row r="155" ht="15.75" customHeight="1" outlineLevel="1">
      <c r="A155" s="211"/>
      <c r="B155" s="212"/>
      <c r="C155" s="213"/>
      <c r="D155" s="214" t="str">
        <f>IFERROR(VLOOKUP($C155,'PORTIFÓLIO'!C:V,2,0),"")</f>
        <v/>
      </c>
      <c r="E155" s="211" t="str">
        <f>IFERROR(VLOOKUP($C155,'PORTIFÓLIO'!C:V,3,0),"")</f>
        <v/>
      </c>
      <c r="F155" s="211" t="str">
        <f>IFERROR(VLOOKUP($C155,'PORTIFÓLIO'!C:V,4,0),"")</f>
        <v/>
      </c>
      <c r="G155" s="215" t="str">
        <f>IFERROR(VLOOKUP($C155,'PORTIFÓLIO'!C:V,5,0),"")</f>
        <v/>
      </c>
      <c r="H155" s="216" t="str">
        <f t="array" ref="H155">IFERROR(INDEX('PORTIFÓLIO'!$H$4:$H$433,MATCH($C155,'PORTIFÓLIO'!$C$4:$C$433,0)),"")</f>
        <v/>
      </c>
      <c r="I155" s="224"/>
      <c r="J155" s="218">
        <f t="shared" si="18"/>
        <v>0</v>
      </c>
      <c r="K155" s="219" t="str">
        <f t="array" ref="K155">IFERROR(I155*INDEX('PORTIFÓLIO'!$S$4:$S$433,MATCH($C155,'PORTIFÓLIO'!$C$4:$C$433,0)),"")</f>
        <v/>
      </c>
      <c r="L155" s="219" t="str">
        <f t="array" ref="L155">IFERROR(J155*INDEX('PORTIFÓLIO'!$S$4:$S$433,MATCH($C155,'PORTIFÓLIO'!$C$4:$C$433,0)),"")</f>
        <v/>
      </c>
      <c r="M155" s="220"/>
      <c r="N155" s="220"/>
      <c r="O155" s="220"/>
      <c r="P155" s="220"/>
      <c r="Q155" s="220"/>
      <c r="R155" s="220"/>
      <c r="S155" s="220"/>
      <c r="T155" s="220"/>
      <c r="U155" s="220"/>
      <c r="V155" s="220"/>
      <c r="W155" s="220"/>
      <c r="X155" s="220"/>
    </row>
    <row r="156" ht="15.75" customHeight="1" outlineLevel="1">
      <c r="A156" s="211"/>
      <c r="B156" s="212"/>
      <c r="C156" s="213"/>
      <c r="D156" s="214" t="str">
        <f>IFERROR(VLOOKUP($C156,'PORTIFÓLIO'!C:V,2,0),"")</f>
        <v/>
      </c>
      <c r="E156" s="211" t="str">
        <f>IFERROR(VLOOKUP($C156,'PORTIFÓLIO'!C:V,3,0),"")</f>
        <v/>
      </c>
      <c r="F156" s="211" t="str">
        <f>IFERROR(VLOOKUP($C156,'PORTIFÓLIO'!C:V,4,0),"")</f>
        <v/>
      </c>
      <c r="G156" s="215" t="str">
        <f>IFERROR(VLOOKUP($C156,'PORTIFÓLIO'!C:V,5,0),"")</f>
        <v/>
      </c>
      <c r="H156" s="216" t="str">
        <f t="array" ref="H156">IFERROR(INDEX('PORTIFÓLIO'!$H$4:$H$433,MATCH($C156,'PORTIFÓLIO'!$C$4:$C$433,0)),"")</f>
        <v/>
      </c>
      <c r="I156" s="224"/>
      <c r="J156" s="218">
        <f t="shared" si="18"/>
        <v>0</v>
      </c>
      <c r="K156" s="219" t="str">
        <f t="array" ref="K156">IFERROR(I156*INDEX('PORTIFÓLIO'!$S$4:$S$433,MATCH($C156,'PORTIFÓLIO'!$C$4:$C$433,0)),"")</f>
        <v/>
      </c>
      <c r="L156" s="219" t="str">
        <f t="array" ref="L156">IFERROR(J156*INDEX('PORTIFÓLIO'!$S$4:$S$433,MATCH($C156,'PORTIFÓLIO'!$C$4:$C$433,0)),"")</f>
        <v/>
      </c>
      <c r="M156" s="220"/>
      <c r="N156" s="220"/>
      <c r="O156" s="220"/>
      <c r="P156" s="220"/>
      <c r="Q156" s="220"/>
      <c r="R156" s="220"/>
      <c r="S156" s="220"/>
      <c r="T156" s="220"/>
      <c r="U156" s="220"/>
      <c r="V156" s="220"/>
      <c r="W156" s="220"/>
      <c r="X156" s="220"/>
    </row>
    <row r="157" ht="15.75" customHeight="1" outlineLevel="1">
      <c r="A157" s="211"/>
      <c r="B157" s="212"/>
      <c r="C157" s="213"/>
      <c r="D157" s="214" t="str">
        <f>IFERROR(VLOOKUP($C157,'PORTIFÓLIO'!C:V,2,0),"")</f>
        <v/>
      </c>
      <c r="E157" s="211" t="str">
        <f>IFERROR(VLOOKUP($C157,'PORTIFÓLIO'!C:V,3,0),"")</f>
        <v/>
      </c>
      <c r="F157" s="211" t="str">
        <f>IFERROR(VLOOKUP($C157,'PORTIFÓLIO'!C:V,4,0),"")</f>
        <v/>
      </c>
      <c r="G157" s="215" t="str">
        <f>IFERROR(VLOOKUP($C157,'PORTIFÓLIO'!C:V,5,0),"")</f>
        <v/>
      </c>
      <c r="H157" s="216" t="str">
        <f t="array" ref="H157">IFERROR(INDEX('PORTIFÓLIO'!$H$4:$H$433,MATCH($C157,'PORTIFÓLIO'!$C$4:$C$433,0)),"")</f>
        <v/>
      </c>
      <c r="I157" s="217"/>
      <c r="J157" s="218">
        <f t="shared" si="18"/>
        <v>0</v>
      </c>
      <c r="K157" s="219" t="str">
        <f t="array" ref="K157">IFERROR(I157*INDEX('PORTIFÓLIO'!$S$4:$S$433,MATCH($C157,'PORTIFÓLIO'!$C$4:$C$433,0)),"")</f>
        <v/>
      </c>
      <c r="L157" s="219" t="str">
        <f t="array" ref="L157">IFERROR(J157*INDEX('PORTIFÓLIO'!$S$4:$S$433,MATCH($C157,'PORTIFÓLIO'!$C$4:$C$433,0)),"")</f>
        <v/>
      </c>
      <c r="M157" s="220"/>
      <c r="N157" s="220"/>
      <c r="O157" s="220"/>
      <c r="P157" s="220"/>
      <c r="Q157" s="220"/>
      <c r="R157" s="220"/>
      <c r="S157" s="220"/>
      <c r="T157" s="220"/>
      <c r="U157" s="220"/>
      <c r="V157" s="220"/>
      <c r="W157" s="220"/>
      <c r="X157" s="220"/>
    </row>
    <row r="158" ht="15.75" customHeight="1" outlineLevel="1">
      <c r="A158" s="211"/>
      <c r="B158" s="212"/>
      <c r="C158" s="213"/>
      <c r="D158" s="214" t="str">
        <f>IFERROR(VLOOKUP($C158,'PORTIFÓLIO'!C:V,2,0),"")</f>
        <v/>
      </c>
      <c r="E158" s="211" t="str">
        <f>IFERROR(VLOOKUP($C158,'PORTIFÓLIO'!C:V,3,0),"")</f>
        <v/>
      </c>
      <c r="F158" s="211" t="str">
        <f>IFERROR(VLOOKUP($C158,'PORTIFÓLIO'!C:V,4,0),"")</f>
        <v/>
      </c>
      <c r="G158" s="215" t="str">
        <f>IFERROR(VLOOKUP($C158,'PORTIFÓLIO'!C:V,5,0),"")</f>
        <v/>
      </c>
      <c r="H158" s="216" t="str">
        <f t="array" ref="H158">IFERROR(INDEX('PORTIFÓLIO'!$H$4:$H$433,MATCH($C158,'PORTIFÓLIO'!$C$4:$C$433,0)),"")</f>
        <v/>
      </c>
      <c r="I158" s="224"/>
      <c r="J158" s="218">
        <f t="shared" si="18"/>
        <v>0</v>
      </c>
      <c r="K158" s="219" t="str">
        <f t="array" ref="K158">IFERROR(I158*INDEX('PORTIFÓLIO'!$S$4:$S$433,MATCH($C158,'PORTIFÓLIO'!$C$4:$C$433,0)),"")</f>
        <v/>
      </c>
      <c r="L158" s="219" t="str">
        <f t="array" ref="L158">IFERROR(J158*INDEX('PORTIFÓLIO'!$S$4:$S$433,MATCH($C158,'PORTIFÓLIO'!$C$4:$C$433,0)),"")</f>
        <v/>
      </c>
      <c r="M158" s="220"/>
      <c r="N158" s="220"/>
      <c r="O158" s="220"/>
      <c r="P158" s="220"/>
      <c r="Q158" s="220"/>
      <c r="R158" s="220"/>
      <c r="S158" s="220"/>
      <c r="T158" s="220"/>
      <c r="U158" s="220"/>
      <c r="V158" s="220"/>
      <c r="W158" s="220"/>
      <c r="X158" s="220"/>
    </row>
    <row r="159" ht="15.75" customHeight="1" outlineLevel="1">
      <c r="A159" s="211"/>
      <c r="B159" s="212"/>
      <c r="C159" s="213"/>
      <c r="D159" s="214" t="str">
        <f>IFERROR(VLOOKUP($C159,'PORTIFÓLIO'!C:V,2,0),"")</f>
        <v/>
      </c>
      <c r="E159" s="211" t="str">
        <f>IFERROR(VLOOKUP($C159,'PORTIFÓLIO'!C:V,3,0),"")</f>
        <v/>
      </c>
      <c r="F159" s="211" t="str">
        <f>IFERROR(VLOOKUP($C159,'PORTIFÓLIO'!C:V,4,0),"")</f>
        <v/>
      </c>
      <c r="G159" s="215" t="str">
        <f>IFERROR(VLOOKUP($C159,'PORTIFÓLIO'!C:V,5,0),"")</f>
        <v/>
      </c>
      <c r="H159" s="216" t="str">
        <f t="array" ref="H159">IFERROR(INDEX('PORTIFÓLIO'!$H$4:$H$433,MATCH($C159,'PORTIFÓLIO'!$C$4:$C$433,0)),"")</f>
        <v/>
      </c>
      <c r="I159" s="224"/>
      <c r="J159" s="218">
        <f t="shared" si="18"/>
        <v>0</v>
      </c>
      <c r="K159" s="219" t="str">
        <f t="array" ref="K159">IFERROR(I159*INDEX('PORTIFÓLIO'!$S$4:$S$433,MATCH($C159,'PORTIFÓLIO'!$C$4:$C$433,0)),"")</f>
        <v/>
      </c>
      <c r="L159" s="219" t="str">
        <f t="array" ref="L159">IFERROR(J159*INDEX('PORTIFÓLIO'!$S$4:$S$433,MATCH($C159,'PORTIFÓLIO'!$C$4:$C$433,0)),"")</f>
        <v/>
      </c>
      <c r="M159" s="220"/>
      <c r="N159" s="220"/>
      <c r="O159" s="220"/>
      <c r="P159" s="220"/>
      <c r="Q159" s="220"/>
      <c r="R159" s="220"/>
      <c r="S159" s="220"/>
      <c r="T159" s="220"/>
      <c r="U159" s="220"/>
      <c r="V159" s="220"/>
      <c r="W159" s="220"/>
      <c r="X159" s="220"/>
    </row>
    <row r="160" ht="15.75" customHeight="1" outlineLevel="1">
      <c r="A160" s="211"/>
      <c r="B160" s="212"/>
      <c r="C160" s="213"/>
      <c r="D160" s="214" t="str">
        <f>IFERROR(VLOOKUP($C160,'PORTIFÓLIO'!C:V,2,0),"")</f>
        <v/>
      </c>
      <c r="E160" s="211" t="str">
        <f>IFERROR(VLOOKUP($C160,'PORTIFÓLIO'!C:V,3,0),"")</f>
        <v/>
      </c>
      <c r="F160" s="211" t="str">
        <f>IFERROR(VLOOKUP($C160,'PORTIFÓLIO'!C:V,4,0),"")</f>
        <v/>
      </c>
      <c r="G160" s="215" t="str">
        <f>IFERROR(VLOOKUP($C160,'PORTIFÓLIO'!C:V,5,0),"")</f>
        <v/>
      </c>
      <c r="H160" s="216" t="str">
        <f t="array" ref="H160">IFERROR(INDEX('PORTIFÓLIO'!$H$4:$H$433,MATCH($C160,'PORTIFÓLIO'!$C$4:$C$433,0)),"")</f>
        <v/>
      </c>
      <c r="I160" s="224"/>
      <c r="J160" s="218">
        <f t="shared" si="18"/>
        <v>0</v>
      </c>
      <c r="K160" s="219" t="str">
        <f t="array" ref="K160">IFERROR(I160*INDEX('PORTIFÓLIO'!$S$4:$S$433,MATCH($C160,'PORTIFÓLIO'!$C$4:$C$433,0)),"")</f>
        <v/>
      </c>
      <c r="L160" s="219" t="str">
        <f t="array" ref="L160">IFERROR(J160*INDEX('PORTIFÓLIO'!$S$4:$S$433,MATCH($C160,'PORTIFÓLIO'!$C$4:$C$433,0)),"")</f>
        <v/>
      </c>
      <c r="M160" s="220"/>
      <c r="N160" s="220"/>
      <c r="O160" s="220"/>
      <c r="P160" s="220"/>
      <c r="Q160" s="220"/>
      <c r="R160" s="220"/>
      <c r="S160" s="220"/>
      <c r="T160" s="220"/>
      <c r="U160" s="220"/>
      <c r="V160" s="220"/>
      <c r="W160" s="220"/>
      <c r="X160" s="220"/>
    </row>
    <row r="161" ht="15.75" customHeight="1" outlineLevel="1">
      <c r="A161" s="211"/>
      <c r="B161" s="212"/>
      <c r="C161" s="213"/>
      <c r="D161" s="214" t="str">
        <f>IFERROR(VLOOKUP($C161,'PORTIFÓLIO'!C:V,2,0),"")</f>
        <v/>
      </c>
      <c r="E161" s="211" t="str">
        <f>IFERROR(VLOOKUP($C161,'PORTIFÓLIO'!C:V,3,0),"")</f>
        <v/>
      </c>
      <c r="F161" s="211" t="str">
        <f>IFERROR(VLOOKUP($C161,'PORTIFÓLIO'!C:V,4,0),"")</f>
        <v/>
      </c>
      <c r="G161" s="215" t="str">
        <f>IFERROR(VLOOKUP($C161,'PORTIFÓLIO'!C:V,5,0),"")</f>
        <v/>
      </c>
      <c r="H161" s="216" t="str">
        <f t="array" ref="H161">IFERROR(INDEX('PORTIFÓLIO'!$H$4:$H$433,MATCH($C161,'PORTIFÓLIO'!$C$4:$C$433,0)),"")</f>
        <v/>
      </c>
      <c r="I161" s="224"/>
      <c r="J161" s="218">
        <f t="shared" si="18"/>
        <v>0</v>
      </c>
      <c r="K161" s="219" t="str">
        <f t="array" ref="K161">IFERROR(I161*INDEX('PORTIFÓLIO'!$S$4:$S$433,MATCH($C161,'PORTIFÓLIO'!$C$4:$C$433,0)),"")</f>
        <v/>
      </c>
      <c r="L161" s="219" t="str">
        <f t="array" ref="L161">IFERROR(J161*INDEX('PORTIFÓLIO'!$S$4:$S$433,MATCH($C161,'PORTIFÓLIO'!$C$4:$C$433,0)),"")</f>
        <v/>
      </c>
      <c r="M161" s="220"/>
      <c r="N161" s="220"/>
      <c r="O161" s="220"/>
      <c r="P161" s="220"/>
      <c r="Q161" s="220"/>
      <c r="R161" s="220"/>
      <c r="S161" s="220"/>
      <c r="T161" s="220"/>
      <c r="U161" s="220"/>
      <c r="V161" s="220"/>
      <c r="W161" s="220"/>
      <c r="X161" s="220"/>
    </row>
    <row r="162" ht="15.75" customHeight="1" outlineLevel="1">
      <c r="A162" s="211"/>
      <c r="B162" s="212"/>
      <c r="C162" s="213"/>
      <c r="D162" s="214" t="str">
        <f>IFERROR(VLOOKUP($C162,'PORTIFÓLIO'!C:V,2,0),"")</f>
        <v/>
      </c>
      <c r="E162" s="211" t="str">
        <f>IFERROR(VLOOKUP($C162,'PORTIFÓLIO'!C:V,3,0),"")</f>
        <v/>
      </c>
      <c r="F162" s="211" t="str">
        <f>IFERROR(VLOOKUP($C162,'PORTIFÓLIO'!C:V,4,0),"")</f>
        <v/>
      </c>
      <c r="G162" s="215" t="str">
        <f>IFERROR(VLOOKUP($C162,'PORTIFÓLIO'!C:V,5,0),"")</f>
        <v/>
      </c>
      <c r="H162" s="216" t="str">
        <f t="array" ref="H162">IFERROR(INDEX('PORTIFÓLIO'!$H$4:$H$433,MATCH($C162,'PORTIFÓLIO'!$C$4:$C$433,0)),"")</f>
        <v/>
      </c>
      <c r="I162" s="224"/>
      <c r="J162" s="218">
        <f t="shared" si="18"/>
        <v>0</v>
      </c>
      <c r="K162" s="219" t="str">
        <f t="array" ref="K162">IFERROR(I162*INDEX('PORTIFÓLIO'!$S$4:$S$433,MATCH($C162,'PORTIFÓLIO'!$C$4:$C$433,0)),"")</f>
        <v/>
      </c>
      <c r="L162" s="219" t="str">
        <f t="array" ref="L162">IFERROR(J162*INDEX('PORTIFÓLIO'!$S$4:$S$433,MATCH($C162,'PORTIFÓLIO'!$C$4:$C$433,0)),"")</f>
        <v/>
      </c>
      <c r="M162" s="220"/>
      <c r="N162" s="220"/>
      <c r="O162" s="220"/>
      <c r="P162" s="220"/>
      <c r="Q162" s="220"/>
      <c r="R162" s="220"/>
      <c r="S162" s="220"/>
      <c r="T162" s="220"/>
      <c r="U162" s="220"/>
      <c r="V162" s="220"/>
      <c r="W162" s="220"/>
      <c r="X162" s="220"/>
    </row>
    <row r="163" ht="15.75" customHeight="1" outlineLevel="1">
      <c r="A163" s="211"/>
      <c r="B163" s="212"/>
      <c r="C163" s="213"/>
      <c r="D163" s="214" t="str">
        <f>IFERROR(VLOOKUP($C163,'PORTIFÓLIO'!C:V,2,0),"")</f>
        <v/>
      </c>
      <c r="E163" s="211" t="str">
        <f>IFERROR(VLOOKUP($C163,'PORTIFÓLIO'!C:V,3,0),"")</f>
        <v/>
      </c>
      <c r="F163" s="211" t="str">
        <f>IFERROR(VLOOKUP($C163,'PORTIFÓLIO'!C:V,4,0),"")</f>
        <v/>
      </c>
      <c r="G163" s="215" t="str">
        <f>IFERROR(VLOOKUP($C163,'PORTIFÓLIO'!C:V,5,0),"")</f>
        <v/>
      </c>
      <c r="H163" s="216" t="str">
        <f t="array" ref="H163">IFERROR(INDEX('PORTIFÓLIO'!$H$4:$H$433,MATCH($C163,'PORTIFÓLIO'!$C$4:$C$433,0)),"")</f>
        <v/>
      </c>
      <c r="I163" s="224"/>
      <c r="J163" s="218">
        <f t="shared" si="18"/>
        <v>0</v>
      </c>
      <c r="K163" s="219" t="str">
        <f t="array" ref="K163">IFERROR(I163*INDEX('PORTIFÓLIO'!$S$4:$S$433,MATCH($C163,'PORTIFÓLIO'!$C$4:$C$433,0)),"")</f>
        <v/>
      </c>
      <c r="L163" s="219" t="str">
        <f t="array" ref="L163">IFERROR(J163*INDEX('PORTIFÓLIO'!$S$4:$S$433,MATCH($C163,'PORTIFÓLIO'!$C$4:$C$433,0)),"")</f>
        <v/>
      </c>
      <c r="M163" s="220"/>
      <c r="N163" s="220"/>
      <c r="O163" s="220"/>
      <c r="P163" s="220"/>
      <c r="Q163" s="220"/>
      <c r="R163" s="220"/>
      <c r="S163" s="220"/>
      <c r="T163" s="220"/>
      <c r="U163" s="220"/>
      <c r="V163" s="220"/>
      <c r="W163" s="220"/>
      <c r="X163" s="220"/>
    </row>
    <row r="164" ht="15.75" customHeight="1" outlineLevel="1">
      <c r="A164" s="211"/>
      <c r="B164" s="227"/>
      <c r="C164" s="211"/>
      <c r="D164" s="214" t="str">
        <f>IFERROR(VLOOKUP($C164,'PORTIFÓLIO'!C:V,2,0),"")</f>
        <v/>
      </c>
      <c r="E164" s="211" t="str">
        <f>IFERROR(VLOOKUP($C164,'PORTIFÓLIO'!C:V,3,0),"")</f>
        <v/>
      </c>
      <c r="F164" s="211" t="str">
        <f>IFERROR(VLOOKUP($C164,'PORTIFÓLIO'!C:V,4,0),"")</f>
        <v/>
      </c>
      <c r="G164" s="215" t="str">
        <f>IFERROR(VLOOKUP($C164,'PORTIFÓLIO'!C:V,5,0),"")</f>
        <v/>
      </c>
      <c r="H164" s="216" t="str">
        <f t="array" ref="H164">IFERROR(INDEX('PORTIFÓLIO'!$H$4:$H$433,MATCH($C164,'PORTIFÓLIO'!$C$4:$C$433,0)),"")</f>
        <v/>
      </c>
      <c r="I164" s="224"/>
      <c r="J164" s="218"/>
      <c r="K164" s="219" t="str">
        <f t="array" ref="K164">IFERROR(I164*INDEX('PORTIFÓLIO'!$S$4:$S$433,MATCH($C164,'PORTIFÓLIO'!$C$4:$C$433,0)),"")</f>
        <v/>
      </c>
      <c r="L164" s="219" t="str">
        <f t="array" ref="L164">IFERROR(J164*INDEX('PORTIFÓLIO'!$S$4:$S$433,MATCH($C164,'PORTIFÓLIO'!$C$4:$C$433,0)),"")</f>
        <v/>
      </c>
      <c r="M164" s="220"/>
      <c r="N164" s="220"/>
      <c r="O164" s="220"/>
      <c r="P164" s="220"/>
      <c r="Q164" s="220"/>
      <c r="R164" s="220"/>
      <c r="S164" s="220"/>
      <c r="T164" s="220"/>
      <c r="U164" s="220"/>
      <c r="V164" s="220"/>
      <c r="W164" s="220"/>
      <c r="X164" s="220"/>
    </row>
    <row r="165" ht="15.75" customHeight="1">
      <c r="A165" s="221" t="s">
        <v>1193</v>
      </c>
      <c r="B165" s="197"/>
      <c r="C165" s="196"/>
      <c r="D165" s="198"/>
      <c r="E165" s="196"/>
      <c r="F165" s="196"/>
      <c r="G165" s="199"/>
      <c r="H165" s="222"/>
      <c r="I165" s="201"/>
      <c r="J165" s="202"/>
      <c r="K165" s="203">
        <f t="shared" ref="K165:L165" si="19">SUBTOTAL(9,K166:K179)</f>
        <v>50.457316</v>
      </c>
      <c r="L165" s="203">
        <f t="shared" si="19"/>
        <v>13774.84727</v>
      </c>
      <c r="M165" s="177"/>
      <c r="N165" s="177"/>
      <c r="O165" s="177"/>
      <c r="P165" s="177"/>
      <c r="Q165" s="177"/>
      <c r="R165" s="177"/>
      <c r="S165" s="177"/>
      <c r="T165" s="177"/>
      <c r="U165" s="177"/>
      <c r="V165" s="177"/>
      <c r="W165" s="177"/>
      <c r="X165" s="177"/>
    </row>
    <row r="166" ht="15.75" customHeight="1" outlineLevel="1">
      <c r="A166" s="191"/>
      <c r="B166" s="204" t="s">
        <v>1</v>
      </c>
      <c r="C166" s="191" t="s">
        <v>742</v>
      </c>
      <c r="D166" s="205" t="str">
        <f>IFERROR(VLOOKUP($C166,'PORTIFÓLIO'!C:V,2,0),"")</f>
        <v>DIQUATE</v>
      </c>
      <c r="E166" s="190">
        <f>IFERROR(VLOOKUP($C166,'PORTIFÓLIO'!C:V,3,0),"")</f>
        <v>200</v>
      </c>
      <c r="F166" s="190" t="str">
        <f>IFERROR(VLOOKUP($C166,'PORTIFÓLIO'!C:V,4,0),"")</f>
        <v>L</v>
      </c>
      <c r="G166" s="223" t="str">
        <f>IFERROR(VLOOKUP($C166,'PORTIFÓLIO'!C:V,5,0),"")</f>
        <v>📄 Ver bula</v>
      </c>
      <c r="H166" s="207">
        <f t="array" ref="H166">IFERROR(INDEX('PORTIFÓLIO'!$H$4:$H$433,MATCH($C166,'PORTIFÓLIO'!$C$4:$C$433,0)),"")</f>
        <v>2</v>
      </c>
      <c r="I166" s="208">
        <v>2.0</v>
      </c>
      <c r="J166" s="209">
        <f t="shared" ref="J166:J181" si="20">I166*$B$2</f>
        <v>546</v>
      </c>
      <c r="K166" s="210">
        <f t="array" ref="K166">IFERROR(I166*INDEX('PORTIFÓLIO'!$S$4:$S$433,MATCH($C166,'PORTIFÓLIO'!$C$4:$C$433,0)),"")</f>
        <v>47.48856</v>
      </c>
      <c r="L166" s="210">
        <f t="array" ref="L166">IFERROR(J166*INDEX('PORTIFÓLIO'!$S$4:$S$433,MATCH($C166,'PORTIFÓLIO'!$C$4:$C$433,0)),"")</f>
        <v>12964.37688</v>
      </c>
      <c r="M166" s="177"/>
      <c r="N166" s="177"/>
      <c r="O166" s="177"/>
      <c r="P166" s="177"/>
      <c r="Q166" s="177"/>
      <c r="R166" s="177"/>
      <c r="S166" s="177"/>
      <c r="T166" s="177"/>
      <c r="U166" s="177"/>
      <c r="V166" s="177"/>
      <c r="W166" s="177"/>
      <c r="X166" s="177"/>
    </row>
    <row r="167" ht="15.75" customHeight="1" outlineLevel="1">
      <c r="A167" s="190"/>
      <c r="B167" s="204" t="s">
        <v>6</v>
      </c>
      <c r="C167" s="191" t="s">
        <v>351</v>
      </c>
      <c r="D167" s="205" t="str">
        <f>IFERROR(VLOOKUP($C167,'PORTIFÓLIO'!C:V,2,0),"")</f>
        <v>ÉSTER METILICO DE OLEO DE SOJA</v>
      </c>
      <c r="E167" s="190">
        <f>IFERROR(VLOOKUP($C167,'PORTIFÓLIO'!C:V,3,0),"")</f>
        <v>720</v>
      </c>
      <c r="F167" s="190" t="str">
        <f>IFERROR(VLOOKUP($C167,'PORTIFÓLIO'!C:V,4,0),"")</f>
        <v>L</v>
      </c>
      <c r="G167" s="223" t="str">
        <f>IFERROR(VLOOKUP($C167,'PORTIFÓLIO'!C:V,5,0),"")</f>
        <v>📄 Ver bula</v>
      </c>
      <c r="H167" s="207">
        <f t="array" ref="H167">IFERROR(INDEX('PORTIFÓLIO'!$H$4:$H$433,MATCH($C167,'PORTIFÓLIO'!$C$4:$C$433,0)),"")</f>
        <v>0.08</v>
      </c>
      <c r="I167" s="208">
        <v>0.2</v>
      </c>
      <c r="J167" s="209">
        <f t="shared" si="20"/>
        <v>54.6</v>
      </c>
      <c r="K167" s="210">
        <f t="array" ref="K167">IFERROR(I167*INDEX('PORTIFÓLIO'!$S$4:$S$433,MATCH($C167,'PORTIFÓLIO'!$C$4:$C$433,0)),"")</f>
        <v>2.968756</v>
      </c>
      <c r="L167" s="210">
        <f t="array" ref="L167">IFERROR(J167*INDEX('PORTIFÓLIO'!$S$4:$S$433,MATCH($C167,'PORTIFÓLIO'!$C$4:$C$433,0)),"")</f>
        <v>810.470388</v>
      </c>
      <c r="M167" s="177"/>
      <c r="N167" s="177"/>
      <c r="O167" s="177"/>
      <c r="P167" s="177"/>
      <c r="Q167" s="177"/>
      <c r="R167" s="177"/>
      <c r="S167" s="177"/>
      <c r="T167" s="177"/>
      <c r="U167" s="177"/>
      <c r="V167" s="177"/>
      <c r="W167" s="177"/>
      <c r="X167" s="177"/>
    </row>
    <row r="168" ht="15.75" customHeight="1" outlineLevel="1">
      <c r="A168" s="211"/>
      <c r="B168" s="212"/>
      <c r="C168" s="213"/>
      <c r="D168" s="214" t="str">
        <f>IFERROR(VLOOKUP($C168,'PORTIFÓLIO'!C:V,2,0),"")</f>
        <v/>
      </c>
      <c r="E168" s="211" t="str">
        <f>IFERROR(VLOOKUP($C168,'PORTIFÓLIO'!C:V,3,0),"")</f>
        <v/>
      </c>
      <c r="F168" s="211" t="str">
        <f>IFERROR(VLOOKUP($C168,'PORTIFÓLIO'!C:V,4,0),"")</f>
        <v/>
      </c>
      <c r="G168" s="215" t="str">
        <f>IFERROR(VLOOKUP($C168,'PORTIFÓLIO'!C:V,5,0),"")</f>
        <v/>
      </c>
      <c r="H168" s="216" t="str">
        <f t="array" ref="H168">IFERROR(INDEX('PORTIFÓLIO'!$H$4:$H$433,MATCH($C168,'PORTIFÓLIO'!$C$4:$C$433,0)),"")</f>
        <v/>
      </c>
      <c r="I168" s="217">
        <v>1.5</v>
      </c>
      <c r="J168" s="218">
        <f t="shared" si="20"/>
        <v>409.5</v>
      </c>
      <c r="K168" s="219" t="str">
        <f t="array" ref="K168">IFERROR(I168*INDEX('PORTIFÓLIO'!$S$4:$S$433,MATCH($C168,'PORTIFÓLIO'!$C$4:$C$433,0)),"")</f>
        <v/>
      </c>
      <c r="L168" s="219" t="str">
        <f t="array" ref="L168">IFERROR(J168*INDEX('PORTIFÓLIO'!$S$4:$S$433,MATCH($C168,'PORTIFÓLIO'!$C$4:$C$433,0)),"")</f>
        <v/>
      </c>
      <c r="M168" s="220"/>
      <c r="N168" s="220"/>
      <c r="O168" s="220"/>
      <c r="P168" s="220"/>
      <c r="Q168" s="220"/>
      <c r="R168" s="220"/>
      <c r="S168" s="220"/>
      <c r="T168" s="220"/>
      <c r="U168" s="220"/>
      <c r="V168" s="220"/>
      <c r="W168" s="220"/>
      <c r="X168" s="220"/>
    </row>
    <row r="169" ht="15.75" customHeight="1" outlineLevel="1">
      <c r="A169" s="211"/>
      <c r="B169" s="212"/>
      <c r="C169" s="213"/>
      <c r="D169" s="214" t="str">
        <f>IFERROR(VLOOKUP($C169,'PORTIFÓLIO'!C:V,2,0),"")</f>
        <v/>
      </c>
      <c r="E169" s="211" t="str">
        <f>IFERROR(VLOOKUP($C169,'PORTIFÓLIO'!C:V,3,0),"")</f>
        <v/>
      </c>
      <c r="F169" s="211" t="str">
        <f>IFERROR(VLOOKUP($C169,'PORTIFÓLIO'!C:V,4,0),"")</f>
        <v/>
      </c>
      <c r="G169" s="215" t="str">
        <f>IFERROR(VLOOKUP($C169,'PORTIFÓLIO'!C:V,5,0),"")</f>
        <v/>
      </c>
      <c r="H169" s="216" t="str">
        <f t="array" ref="H169">IFERROR(INDEX('PORTIFÓLIO'!$H$4:$H$433,MATCH($C169,'PORTIFÓLIO'!$C$4:$C$433,0)),"")</f>
        <v/>
      </c>
      <c r="I169" s="224"/>
      <c r="J169" s="218">
        <f t="shared" si="20"/>
        <v>0</v>
      </c>
      <c r="K169" s="219" t="str">
        <f t="array" ref="K169">IFERROR(I169*INDEX('PORTIFÓLIO'!$S$4:$S$433,MATCH($C169,'PORTIFÓLIO'!$C$4:$C$433,0)),"")</f>
        <v/>
      </c>
      <c r="L169" s="219" t="str">
        <f t="array" ref="L169">IFERROR(J169*INDEX('PORTIFÓLIO'!$S$4:$S$433,MATCH($C169,'PORTIFÓLIO'!$C$4:$C$433,0)),"")</f>
        <v/>
      </c>
      <c r="M169" s="220"/>
      <c r="N169" s="220"/>
      <c r="O169" s="220"/>
      <c r="P169" s="220"/>
      <c r="Q169" s="220"/>
      <c r="R169" s="220"/>
      <c r="S169" s="220"/>
      <c r="T169" s="220"/>
      <c r="U169" s="220"/>
      <c r="V169" s="220"/>
      <c r="W169" s="220"/>
      <c r="X169" s="220"/>
    </row>
    <row r="170" ht="15.75" customHeight="1" outlineLevel="1">
      <c r="A170" s="211"/>
      <c r="B170" s="212"/>
      <c r="C170" s="213"/>
      <c r="D170" s="214" t="str">
        <f>IFERROR(VLOOKUP($C170,'PORTIFÓLIO'!C:V,2,0),"")</f>
        <v/>
      </c>
      <c r="E170" s="211" t="str">
        <f>IFERROR(VLOOKUP($C170,'PORTIFÓLIO'!C:V,3,0),"")</f>
        <v/>
      </c>
      <c r="F170" s="211" t="str">
        <f>IFERROR(VLOOKUP($C170,'PORTIFÓLIO'!C:V,4,0),"")</f>
        <v/>
      </c>
      <c r="G170" s="215" t="str">
        <f>IFERROR(VLOOKUP($C170,'PORTIFÓLIO'!C:V,5,0),"")</f>
        <v/>
      </c>
      <c r="H170" s="216" t="str">
        <f t="array" ref="H170">IFERROR(INDEX('PORTIFÓLIO'!$H$4:$H$433,MATCH($C170,'PORTIFÓLIO'!$C$4:$C$433,0)),"")</f>
        <v/>
      </c>
      <c r="I170" s="224"/>
      <c r="J170" s="218">
        <f t="shared" si="20"/>
        <v>0</v>
      </c>
      <c r="K170" s="219" t="str">
        <f t="array" ref="K170">IFERROR(I170*INDEX('PORTIFÓLIO'!$S$4:$S$433,MATCH($C170,'PORTIFÓLIO'!$C$4:$C$433,0)),"")</f>
        <v/>
      </c>
      <c r="L170" s="219" t="str">
        <f t="array" ref="L170">IFERROR(J170*INDEX('PORTIFÓLIO'!$S$4:$S$433,MATCH($C170,'PORTIFÓLIO'!$C$4:$C$433,0)),"")</f>
        <v/>
      </c>
      <c r="M170" s="220"/>
      <c r="N170" s="220"/>
      <c r="O170" s="220"/>
      <c r="P170" s="220"/>
      <c r="Q170" s="220"/>
      <c r="R170" s="220"/>
      <c r="S170" s="220"/>
      <c r="T170" s="220"/>
      <c r="U170" s="220"/>
      <c r="V170" s="220"/>
      <c r="W170" s="220"/>
      <c r="X170" s="220"/>
    </row>
    <row r="171" ht="15.75" customHeight="1" outlineLevel="1">
      <c r="A171" s="211"/>
      <c r="B171" s="212"/>
      <c r="C171" s="213"/>
      <c r="D171" s="214" t="str">
        <f>IFERROR(VLOOKUP($C171,'PORTIFÓLIO'!C:V,2,0),"")</f>
        <v/>
      </c>
      <c r="E171" s="211" t="str">
        <f>IFERROR(VLOOKUP($C171,'PORTIFÓLIO'!C:V,3,0),"")</f>
        <v/>
      </c>
      <c r="F171" s="211" t="str">
        <f>IFERROR(VLOOKUP($C171,'PORTIFÓLIO'!C:V,4,0),"")</f>
        <v/>
      </c>
      <c r="G171" s="215" t="str">
        <f>IFERROR(VLOOKUP($C171,'PORTIFÓLIO'!C:V,5,0),"")</f>
        <v/>
      </c>
      <c r="H171" s="216" t="str">
        <f t="array" ref="H171">IFERROR(INDEX('PORTIFÓLIO'!$H$4:$H$433,MATCH($C171,'PORTIFÓLIO'!$C$4:$C$433,0)),"")</f>
        <v/>
      </c>
      <c r="I171" s="224"/>
      <c r="J171" s="218">
        <f t="shared" si="20"/>
        <v>0</v>
      </c>
      <c r="K171" s="219" t="str">
        <f t="array" ref="K171">IFERROR(I171*INDEX('PORTIFÓLIO'!$S$4:$S$433,MATCH($C171,'PORTIFÓLIO'!$C$4:$C$433,0)),"")</f>
        <v/>
      </c>
      <c r="L171" s="219" t="str">
        <f t="array" ref="L171">IFERROR(J171*INDEX('PORTIFÓLIO'!$S$4:$S$433,MATCH($C171,'PORTIFÓLIO'!$C$4:$C$433,0)),"")</f>
        <v/>
      </c>
      <c r="M171" s="220"/>
      <c r="N171" s="220"/>
      <c r="O171" s="220"/>
      <c r="P171" s="220"/>
      <c r="Q171" s="220"/>
      <c r="R171" s="220"/>
      <c r="S171" s="220"/>
      <c r="T171" s="220"/>
      <c r="U171" s="220"/>
      <c r="V171" s="220"/>
      <c r="W171" s="220"/>
      <c r="X171" s="220"/>
    </row>
    <row r="172" ht="15.75" customHeight="1" outlineLevel="1">
      <c r="A172" s="211"/>
      <c r="B172" s="212"/>
      <c r="C172" s="213"/>
      <c r="D172" s="214" t="str">
        <f>IFERROR(VLOOKUP($C172,'PORTIFÓLIO'!C:V,2,0),"")</f>
        <v/>
      </c>
      <c r="E172" s="211" t="str">
        <f>IFERROR(VLOOKUP($C172,'PORTIFÓLIO'!C:V,3,0),"")</f>
        <v/>
      </c>
      <c r="F172" s="211" t="str">
        <f>IFERROR(VLOOKUP($C172,'PORTIFÓLIO'!C:V,4,0),"")</f>
        <v/>
      </c>
      <c r="G172" s="215" t="str">
        <f>IFERROR(VLOOKUP($C172,'PORTIFÓLIO'!C:V,5,0),"")</f>
        <v/>
      </c>
      <c r="H172" s="216" t="str">
        <f t="array" ref="H172">IFERROR(INDEX('PORTIFÓLIO'!$H$4:$H$433,MATCH($C172,'PORTIFÓLIO'!$C$4:$C$433,0)),"")</f>
        <v/>
      </c>
      <c r="I172" s="224"/>
      <c r="J172" s="218">
        <f t="shared" si="20"/>
        <v>0</v>
      </c>
      <c r="K172" s="219" t="str">
        <f t="array" ref="K172">IFERROR(I172*INDEX('PORTIFÓLIO'!$S$4:$S$433,MATCH($C172,'PORTIFÓLIO'!$C$4:$C$433,0)),"")</f>
        <v/>
      </c>
      <c r="L172" s="219" t="str">
        <f t="array" ref="L172">IFERROR(J172*INDEX('PORTIFÓLIO'!$S$4:$S$433,MATCH($C172,'PORTIFÓLIO'!$C$4:$C$433,0)),"")</f>
        <v/>
      </c>
      <c r="M172" s="220"/>
      <c r="N172" s="220"/>
      <c r="O172" s="220"/>
      <c r="P172" s="220"/>
      <c r="Q172" s="220"/>
      <c r="R172" s="220"/>
      <c r="S172" s="220"/>
      <c r="T172" s="220"/>
      <c r="U172" s="220"/>
      <c r="V172" s="220"/>
      <c r="W172" s="220"/>
      <c r="X172" s="220"/>
    </row>
    <row r="173" ht="15.75" customHeight="1" outlineLevel="1">
      <c r="A173" s="211"/>
      <c r="B173" s="212"/>
      <c r="C173" s="213"/>
      <c r="D173" s="214" t="str">
        <f>IFERROR(VLOOKUP($C173,'PORTIFÓLIO'!C:V,2,0),"")</f>
        <v/>
      </c>
      <c r="E173" s="211" t="str">
        <f>IFERROR(VLOOKUP($C173,'PORTIFÓLIO'!C:V,3,0),"")</f>
        <v/>
      </c>
      <c r="F173" s="211" t="str">
        <f>IFERROR(VLOOKUP($C173,'PORTIFÓLIO'!C:V,4,0),"")</f>
        <v/>
      </c>
      <c r="G173" s="215" t="str">
        <f>IFERROR(VLOOKUP($C173,'PORTIFÓLIO'!C:V,5,0),"")</f>
        <v/>
      </c>
      <c r="H173" s="216" t="str">
        <f t="array" ref="H173">IFERROR(INDEX('PORTIFÓLIO'!$H$4:$H$433,MATCH($C173,'PORTIFÓLIO'!$C$4:$C$433,0)),"")</f>
        <v/>
      </c>
      <c r="I173" s="224"/>
      <c r="J173" s="218">
        <f t="shared" si="20"/>
        <v>0</v>
      </c>
      <c r="K173" s="219" t="str">
        <f t="array" ref="K173">IFERROR(I173*INDEX('PORTIFÓLIO'!$S$4:$S$433,MATCH($C173,'PORTIFÓLIO'!$C$4:$C$433,0)),"")</f>
        <v/>
      </c>
      <c r="L173" s="219" t="str">
        <f t="array" ref="L173">IFERROR(J173*INDEX('PORTIFÓLIO'!$S$4:$S$433,MATCH($C173,'PORTIFÓLIO'!$C$4:$C$433,0)),"")</f>
        <v/>
      </c>
      <c r="M173" s="220"/>
      <c r="N173" s="220"/>
      <c r="O173" s="220"/>
      <c r="P173" s="220"/>
      <c r="Q173" s="220"/>
      <c r="R173" s="220"/>
      <c r="S173" s="220"/>
      <c r="T173" s="220"/>
      <c r="U173" s="220"/>
      <c r="V173" s="220"/>
      <c r="W173" s="220"/>
      <c r="X173" s="220"/>
    </row>
    <row r="174" ht="15.75" customHeight="1" outlineLevel="1">
      <c r="A174" s="211"/>
      <c r="B174" s="212"/>
      <c r="C174" s="213"/>
      <c r="D174" s="214" t="str">
        <f>IFERROR(VLOOKUP($C174,'PORTIFÓLIO'!C:V,2,0),"")</f>
        <v/>
      </c>
      <c r="E174" s="211" t="str">
        <f>IFERROR(VLOOKUP($C174,'PORTIFÓLIO'!C:V,3,0),"")</f>
        <v/>
      </c>
      <c r="F174" s="211" t="str">
        <f>IFERROR(VLOOKUP($C174,'PORTIFÓLIO'!C:V,4,0),"")</f>
        <v/>
      </c>
      <c r="G174" s="215" t="str">
        <f>IFERROR(VLOOKUP($C174,'PORTIFÓLIO'!C:V,5,0),"")</f>
        <v/>
      </c>
      <c r="H174" s="216" t="str">
        <f t="array" ref="H174">IFERROR(INDEX('PORTIFÓLIO'!$H$4:$H$433,MATCH($C174,'PORTIFÓLIO'!$C$4:$C$433,0)),"")</f>
        <v/>
      </c>
      <c r="I174" s="217"/>
      <c r="J174" s="218">
        <f t="shared" si="20"/>
        <v>0</v>
      </c>
      <c r="K174" s="219" t="str">
        <f t="array" ref="K174">IFERROR(I174*INDEX('PORTIFÓLIO'!$S$4:$S$433,MATCH($C174,'PORTIFÓLIO'!$C$4:$C$433,0)),"")</f>
        <v/>
      </c>
      <c r="L174" s="219" t="str">
        <f t="array" ref="L174">IFERROR(J174*INDEX('PORTIFÓLIO'!$S$4:$S$433,MATCH($C174,'PORTIFÓLIO'!$C$4:$C$433,0)),"")</f>
        <v/>
      </c>
      <c r="M174" s="220"/>
      <c r="N174" s="220"/>
      <c r="O174" s="220"/>
      <c r="P174" s="220"/>
      <c r="Q174" s="220"/>
      <c r="R174" s="220"/>
      <c r="S174" s="220"/>
      <c r="T174" s="220"/>
      <c r="U174" s="220"/>
      <c r="V174" s="220"/>
      <c r="W174" s="220"/>
      <c r="X174" s="220"/>
    </row>
    <row r="175" ht="15.75" customHeight="1" outlineLevel="1">
      <c r="A175" s="211"/>
      <c r="B175" s="212"/>
      <c r="C175" s="213"/>
      <c r="D175" s="214" t="str">
        <f>IFERROR(VLOOKUP($C175,'PORTIFÓLIO'!C:V,2,0),"")</f>
        <v/>
      </c>
      <c r="E175" s="211" t="str">
        <f>IFERROR(VLOOKUP($C175,'PORTIFÓLIO'!C:V,3,0),"")</f>
        <v/>
      </c>
      <c r="F175" s="211" t="str">
        <f>IFERROR(VLOOKUP($C175,'PORTIFÓLIO'!C:V,4,0),"")</f>
        <v/>
      </c>
      <c r="G175" s="215" t="str">
        <f>IFERROR(VLOOKUP($C175,'PORTIFÓLIO'!C:V,5,0),"")</f>
        <v/>
      </c>
      <c r="H175" s="216" t="str">
        <f t="array" ref="H175">IFERROR(INDEX('PORTIFÓLIO'!$H$4:$H$433,MATCH($C175,'PORTIFÓLIO'!$C$4:$C$433,0)),"")</f>
        <v/>
      </c>
      <c r="I175" s="224"/>
      <c r="J175" s="218">
        <f t="shared" si="20"/>
        <v>0</v>
      </c>
      <c r="K175" s="219" t="str">
        <f t="array" ref="K175">IFERROR(I175*INDEX('PORTIFÓLIO'!$S$4:$S$433,MATCH($C175,'PORTIFÓLIO'!$C$4:$C$433,0)),"")</f>
        <v/>
      </c>
      <c r="L175" s="219" t="str">
        <f t="array" ref="L175">IFERROR(J175*INDEX('PORTIFÓLIO'!$S$4:$S$433,MATCH($C175,'PORTIFÓLIO'!$C$4:$C$433,0)),"")</f>
        <v/>
      </c>
      <c r="M175" s="220"/>
      <c r="N175" s="220"/>
      <c r="O175" s="220"/>
      <c r="P175" s="220"/>
      <c r="Q175" s="220"/>
      <c r="R175" s="220"/>
      <c r="S175" s="220"/>
      <c r="T175" s="220"/>
      <c r="U175" s="220"/>
      <c r="V175" s="220"/>
      <c r="W175" s="220"/>
      <c r="X175" s="220"/>
    </row>
    <row r="176" ht="15.75" customHeight="1" outlineLevel="1">
      <c r="A176" s="211"/>
      <c r="B176" s="212"/>
      <c r="C176" s="213"/>
      <c r="D176" s="214" t="str">
        <f>IFERROR(VLOOKUP($C176,'PORTIFÓLIO'!C:V,2,0),"")</f>
        <v/>
      </c>
      <c r="E176" s="211" t="str">
        <f>IFERROR(VLOOKUP($C176,'PORTIFÓLIO'!C:V,3,0),"")</f>
        <v/>
      </c>
      <c r="F176" s="211" t="str">
        <f>IFERROR(VLOOKUP($C176,'PORTIFÓLIO'!C:V,4,0),"")</f>
        <v/>
      </c>
      <c r="G176" s="215" t="str">
        <f>IFERROR(VLOOKUP($C176,'PORTIFÓLIO'!C:V,5,0),"")</f>
        <v/>
      </c>
      <c r="H176" s="216" t="str">
        <f t="array" ref="H176">IFERROR(INDEX('PORTIFÓLIO'!$H$4:$H$433,MATCH($C176,'PORTIFÓLIO'!$C$4:$C$433,0)),"")</f>
        <v/>
      </c>
      <c r="I176" s="224"/>
      <c r="J176" s="218">
        <f t="shared" si="20"/>
        <v>0</v>
      </c>
      <c r="K176" s="219" t="str">
        <f t="array" ref="K176">IFERROR(I176*INDEX('PORTIFÓLIO'!$S$4:$S$433,MATCH($C176,'PORTIFÓLIO'!$C$4:$C$433,0)),"")</f>
        <v/>
      </c>
      <c r="L176" s="219" t="str">
        <f t="array" ref="L176">IFERROR(J176*INDEX('PORTIFÓLIO'!$S$4:$S$433,MATCH($C176,'PORTIFÓLIO'!$C$4:$C$433,0)),"")</f>
        <v/>
      </c>
      <c r="M176" s="220"/>
      <c r="N176" s="220"/>
      <c r="O176" s="220"/>
      <c r="P176" s="220"/>
      <c r="Q176" s="220"/>
      <c r="R176" s="220"/>
      <c r="S176" s="220"/>
      <c r="T176" s="220"/>
      <c r="U176" s="220"/>
      <c r="V176" s="220"/>
      <c r="W176" s="220"/>
      <c r="X176" s="220"/>
    </row>
    <row r="177" ht="15.75" customHeight="1" outlineLevel="1">
      <c r="A177" s="211"/>
      <c r="B177" s="212"/>
      <c r="C177" s="213"/>
      <c r="D177" s="214" t="str">
        <f>IFERROR(VLOOKUP($C177,'PORTIFÓLIO'!C:V,2,0),"")</f>
        <v/>
      </c>
      <c r="E177" s="211" t="str">
        <f>IFERROR(VLOOKUP($C177,'PORTIFÓLIO'!C:V,3,0),"")</f>
        <v/>
      </c>
      <c r="F177" s="211" t="str">
        <f>IFERROR(VLOOKUP($C177,'PORTIFÓLIO'!C:V,4,0),"")</f>
        <v/>
      </c>
      <c r="G177" s="215" t="str">
        <f>IFERROR(VLOOKUP($C177,'PORTIFÓLIO'!C:V,5,0),"")</f>
        <v/>
      </c>
      <c r="H177" s="216" t="str">
        <f t="array" ref="H177">IFERROR(INDEX('PORTIFÓLIO'!$H$4:$H$433,MATCH($C177,'PORTIFÓLIO'!$C$4:$C$433,0)),"")</f>
        <v/>
      </c>
      <c r="I177" s="224"/>
      <c r="J177" s="218">
        <f t="shared" si="20"/>
        <v>0</v>
      </c>
      <c r="K177" s="219" t="str">
        <f t="array" ref="K177">IFERROR(I177*INDEX('PORTIFÓLIO'!$S$4:$S$433,MATCH($C177,'PORTIFÓLIO'!$C$4:$C$433,0)),"")</f>
        <v/>
      </c>
      <c r="L177" s="219" t="str">
        <f t="array" ref="L177">IFERROR(J177*INDEX('PORTIFÓLIO'!$S$4:$S$433,MATCH($C177,'PORTIFÓLIO'!$C$4:$C$433,0)),"")</f>
        <v/>
      </c>
      <c r="M177" s="220"/>
      <c r="N177" s="220"/>
      <c r="O177" s="220"/>
      <c r="P177" s="220"/>
      <c r="Q177" s="220"/>
      <c r="R177" s="220"/>
      <c r="S177" s="220"/>
      <c r="T177" s="220"/>
      <c r="U177" s="220"/>
      <c r="V177" s="220"/>
      <c r="W177" s="220"/>
      <c r="X177" s="220"/>
    </row>
    <row r="178" ht="15.75" customHeight="1" outlineLevel="1">
      <c r="A178" s="211"/>
      <c r="B178" s="212"/>
      <c r="C178" s="213"/>
      <c r="D178" s="214" t="str">
        <f>IFERROR(VLOOKUP($C178,'PORTIFÓLIO'!C:V,2,0),"")</f>
        <v/>
      </c>
      <c r="E178" s="211" t="str">
        <f>IFERROR(VLOOKUP($C178,'PORTIFÓLIO'!C:V,3,0),"")</f>
        <v/>
      </c>
      <c r="F178" s="211" t="str">
        <f>IFERROR(VLOOKUP($C178,'PORTIFÓLIO'!C:V,4,0),"")</f>
        <v/>
      </c>
      <c r="G178" s="215" t="str">
        <f>IFERROR(VLOOKUP($C178,'PORTIFÓLIO'!C:V,5,0),"")</f>
        <v/>
      </c>
      <c r="H178" s="216" t="str">
        <f t="array" ref="H178">IFERROR(INDEX('PORTIFÓLIO'!$H$4:$H$433,MATCH($C178,'PORTIFÓLIO'!$C$4:$C$433,0)),"")</f>
        <v/>
      </c>
      <c r="I178" s="224"/>
      <c r="J178" s="218">
        <f t="shared" si="20"/>
        <v>0</v>
      </c>
      <c r="K178" s="219" t="str">
        <f t="array" ref="K178">IFERROR(I178*INDEX('PORTIFÓLIO'!$S$4:$S$433,MATCH($C178,'PORTIFÓLIO'!$C$4:$C$433,0)),"")</f>
        <v/>
      </c>
      <c r="L178" s="219" t="str">
        <f t="array" ref="L178">IFERROR(J178*INDEX('PORTIFÓLIO'!$S$4:$S$433,MATCH($C178,'PORTIFÓLIO'!$C$4:$C$433,0)),"")</f>
        <v/>
      </c>
      <c r="M178" s="220"/>
      <c r="N178" s="220"/>
      <c r="O178" s="220"/>
      <c r="P178" s="220"/>
      <c r="Q178" s="220"/>
      <c r="R178" s="220"/>
      <c r="S178" s="220"/>
      <c r="T178" s="220"/>
      <c r="U178" s="220"/>
      <c r="V178" s="220"/>
      <c r="W178" s="220"/>
      <c r="X178" s="220"/>
    </row>
    <row r="179" ht="15.75" customHeight="1" outlineLevel="1">
      <c r="A179" s="211"/>
      <c r="B179" s="212"/>
      <c r="C179" s="213"/>
      <c r="D179" s="214" t="str">
        <f>IFERROR(VLOOKUP($C179,'PORTIFÓLIO'!C:V,2,0),"")</f>
        <v/>
      </c>
      <c r="E179" s="211" t="str">
        <f>IFERROR(VLOOKUP($C179,'PORTIFÓLIO'!C:V,3,0),"")</f>
        <v/>
      </c>
      <c r="F179" s="211" t="str">
        <f>IFERROR(VLOOKUP($C179,'PORTIFÓLIO'!C:V,4,0),"")</f>
        <v/>
      </c>
      <c r="G179" s="215" t="str">
        <f>IFERROR(VLOOKUP($C179,'PORTIFÓLIO'!C:V,5,0),"")</f>
        <v/>
      </c>
      <c r="H179" s="216" t="str">
        <f t="array" ref="H179">IFERROR(INDEX('PORTIFÓLIO'!$H$4:$H$433,MATCH($C179,'PORTIFÓLIO'!$C$4:$C$433,0)),"")</f>
        <v/>
      </c>
      <c r="I179" s="224"/>
      <c r="J179" s="218">
        <f t="shared" si="20"/>
        <v>0</v>
      </c>
      <c r="K179" s="219" t="str">
        <f t="array" ref="K179">IFERROR(I179*INDEX('PORTIFÓLIO'!$S$4:$S$433,MATCH($C179,'PORTIFÓLIO'!$C$4:$C$433,0)),"")</f>
        <v/>
      </c>
      <c r="L179" s="219" t="str">
        <f t="array" ref="L179">IFERROR(J179*INDEX('PORTIFÓLIO'!$S$4:$S$433,MATCH($C179,'PORTIFÓLIO'!$C$4:$C$433,0)),"")</f>
        <v/>
      </c>
      <c r="M179" s="220"/>
      <c r="N179" s="220"/>
      <c r="O179" s="220"/>
      <c r="P179" s="220"/>
      <c r="Q179" s="220"/>
      <c r="R179" s="220"/>
      <c r="S179" s="220"/>
      <c r="T179" s="220"/>
      <c r="U179" s="220"/>
      <c r="V179" s="220"/>
      <c r="W179" s="220"/>
      <c r="X179" s="220"/>
    </row>
    <row r="180" ht="15.75" customHeight="1" outlineLevel="1">
      <c r="A180" s="211"/>
      <c r="B180" s="212"/>
      <c r="C180" s="213"/>
      <c r="D180" s="214" t="str">
        <f>IFERROR(VLOOKUP($C180,'PORTIFÓLIO'!C:V,2,0),"")</f>
        <v/>
      </c>
      <c r="E180" s="211" t="str">
        <f>IFERROR(VLOOKUP($C180,'PORTIFÓLIO'!C:V,3,0),"")</f>
        <v/>
      </c>
      <c r="F180" s="211" t="str">
        <f>IFERROR(VLOOKUP($C180,'PORTIFÓLIO'!C:V,4,0),"")</f>
        <v/>
      </c>
      <c r="G180" s="215" t="str">
        <f>IFERROR(VLOOKUP($C180,'PORTIFÓLIO'!C:V,5,0),"")</f>
        <v/>
      </c>
      <c r="H180" s="216" t="str">
        <f t="array" ref="H180">IFERROR(INDEX('PORTIFÓLIO'!$H$4:$H$433,MATCH($C180,'PORTIFÓLIO'!$C$4:$C$433,0)),"")</f>
        <v/>
      </c>
      <c r="I180" s="224"/>
      <c r="J180" s="218">
        <f t="shared" si="20"/>
        <v>0</v>
      </c>
      <c r="K180" s="219" t="str">
        <f t="array" ref="K180">IFERROR(I180*INDEX('PORTIFÓLIO'!$S$4:$S$433,MATCH($C180,'PORTIFÓLIO'!$C$4:$C$433,0)),"")</f>
        <v/>
      </c>
      <c r="L180" s="219" t="str">
        <f t="array" ref="L180">IFERROR(J180*INDEX('PORTIFÓLIO'!$S$4:$S$433,MATCH($C180,'PORTIFÓLIO'!$C$4:$C$433,0)),"")</f>
        <v/>
      </c>
      <c r="M180" s="220"/>
      <c r="N180" s="220"/>
      <c r="O180" s="220"/>
      <c r="P180" s="220"/>
      <c r="Q180" s="220"/>
      <c r="R180" s="220"/>
      <c r="S180" s="220"/>
      <c r="T180" s="220"/>
      <c r="U180" s="220"/>
      <c r="V180" s="220"/>
      <c r="W180" s="220"/>
      <c r="X180" s="220"/>
    </row>
    <row r="181" ht="15.75" customHeight="1" outlineLevel="1">
      <c r="A181" s="211"/>
      <c r="B181" s="227"/>
      <c r="C181" s="211"/>
      <c r="D181" s="214" t="str">
        <f>IFERROR(VLOOKUP($C181,'PORTIFÓLIO'!C:V,2,0),"")</f>
        <v/>
      </c>
      <c r="E181" s="211" t="str">
        <f>IFERROR(VLOOKUP($C181,'PORTIFÓLIO'!C:V,3,0),"")</f>
        <v/>
      </c>
      <c r="F181" s="211" t="str">
        <f>IFERROR(VLOOKUP($C181,'PORTIFÓLIO'!C:V,4,0),"")</f>
        <v/>
      </c>
      <c r="G181" s="215" t="str">
        <f>IFERROR(VLOOKUP($C181,'PORTIFÓLIO'!C:V,5,0),"")</f>
        <v/>
      </c>
      <c r="H181" s="216" t="str">
        <f t="array" ref="H181">IFERROR(INDEX('PORTIFÓLIO'!$H$4:$H$433,MATCH($C181,'PORTIFÓLIO'!$C$4:$C$433,0)),"")</f>
        <v/>
      </c>
      <c r="I181" s="224"/>
      <c r="J181" s="218">
        <f t="shared" si="20"/>
        <v>0</v>
      </c>
      <c r="K181" s="219" t="str">
        <f t="array" ref="K181">IFERROR(I181*INDEX('PORTIFÓLIO'!$S$4:$S$433,MATCH($C181,'PORTIFÓLIO'!$C$4:$C$433,0)),"")</f>
        <v/>
      </c>
      <c r="L181" s="219" t="str">
        <f t="array" ref="L181">IFERROR(J181*INDEX('PORTIFÓLIO'!$S$4:$S$433,MATCH($C181,'PORTIFÓLIO'!$C$4:$C$433,0)),"")</f>
        <v/>
      </c>
      <c r="M181" s="220"/>
      <c r="N181" s="220"/>
      <c r="O181" s="220"/>
      <c r="P181" s="220"/>
      <c r="Q181" s="220"/>
      <c r="R181" s="220"/>
      <c r="S181" s="220"/>
      <c r="T181" s="220"/>
      <c r="U181" s="220"/>
      <c r="V181" s="220"/>
      <c r="W181" s="220"/>
      <c r="X181" s="220"/>
    </row>
    <row r="182" ht="15.75" customHeight="1">
      <c r="A182" s="221" t="s">
        <v>1194</v>
      </c>
      <c r="B182" s="197"/>
      <c r="C182" s="196"/>
      <c r="D182" s="198"/>
      <c r="E182" s="196"/>
      <c r="F182" s="196"/>
      <c r="G182" s="199"/>
      <c r="H182" s="222"/>
      <c r="I182" s="201"/>
      <c r="J182" s="202"/>
      <c r="K182" s="203">
        <f t="shared" ref="K182:L182" si="21">SUBTOTAL(9,K183:K196)</f>
        <v>339.9254902</v>
      </c>
      <c r="L182" s="203">
        <f t="shared" si="21"/>
        <v>92799.65882</v>
      </c>
      <c r="M182" s="177"/>
      <c r="N182" s="177"/>
      <c r="O182" s="177"/>
      <c r="P182" s="177"/>
      <c r="Q182" s="177"/>
      <c r="R182" s="177"/>
      <c r="S182" s="177"/>
      <c r="T182" s="177"/>
      <c r="U182" s="177"/>
      <c r="V182" s="177"/>
      <c r="W182" s="177"/>
      <c r="X182" s="177"/>
    </row>
    <row r="183" ht="15.75" customHeight="1" outlineLevel="1">
      <c r="A183" s="191"/>
      <c r="B183" s="204" t="s">
        <v>10</v>
      </c>
      <c r="C183" s="191" t="s">
        <v>1195</v>
      </c>
      <c r="D183" s="205" t="str">
        <f>IFERROR(VLOOKUP($C183,'PORTIFÓLIO'!C:V,2,0),"")</f>
        <v/>
      </c>
      <c r="E183" s="190" t="str">
        <f>IFERROR(VLOOKUP($C183,'PORTIFÓLIO'!C:V,3,0),"")</f>
        <v/>
      </c>
      <c r="F183" s="190" t="str">
        <f>IFERROR(VLOOKUP($C183,'PORTIFÓLIO'!C:V,4,0),"")</f>
        <v>R$/Ha</v>
      </c>
      <c r="G183" s="206">
        <f t="array" ref="G183">IFERROR(INDEX('PORTIFÓLIO'!$H$4:$H$433,MATCH($C183,'PORTIFÓLIO'!$C$4:$C$433,0)),"")</f>
        <v>0.3267973856</v>
      </c>
      <c r="H183" s="207">
        <f t="array" ref="H183">IFERROR(INDEX('PORTIFÓLIO'!$H$4:$H$433,MATCH($C183,'PORTIFÓLIO'!$C$4:$C$433,0)),"")</f>
        <v>0.3267973856</v>
      </c>
      <c r="I183" s="208">
        <v>0.32</v>
      </c>
      <c r="J183" s="209">
        <f t="shared" ref="J183:J199" si="22">I183*$B$2</f>
        <v>87.36</v>
      </c>
      <c r="K183" s="210">
        <f t="array" ref="K183">IFERROR(I183*INDEX('PORTIFÓLIO'!$S$4:$S$433,MATCH($C183,'PORTIFÓLIO'!$C$4:$C$433,0)),"")</f>
        <v>36</v>
      </c>
      <c r="L183" s="210">
        <f t="array" ref="L183">IFERROR(J183*INDEX('PORTIFÓLIO'!$S$4:$S$433,MATCH($C183,'PORTIFÓLIO'!$C$4:$C$433,0)),"")</f>
        <v>9828</v>
      </c>
      <c r="M183" s="177"/>
      <c r="N183" s="177"/>
      <c r="O183" s="177"/>
      <c r="P183" s="177"/>
      <c r="Q183" s="177"/>
      <c r="R183" s="177"/>
      <c r="S183" s="177"/>
      <c r="T183" s="177"/>
      <c r="U183" s="177"/>
      <c r="V183" s="177"/>
      <c r="W183" s="177"/>
      <c r="X183" s="177"/>
    </row>
    <row r="184" ht="15.75" customHeight="1" outlineLevel="1">
      <c r="A184" s="190"/>
      <c r="B184" s="204" t="s">
        <v>10</v>
      </c>
      <c r="C184" s="191" t="s">
        <v>1196</v>
      </c>
      <c r="D184" s="205" t="str">
        <f>IFERROR(VLOOKUP($C184,'PORTIFÓLIO'!C:V,2,0),"")</f>
        <v/>
      </c>
      <c r="E184" s="190" t="str">
        <f>IFERROR(VLOOKUP($C184,'PORTIFÓLIO'!C:V,3,0),"")</f>
        <v/>
      </c>
      <c r="F184" s="190" t="str">
        <f>IFERROR(VLOOKUP($C184,'PORTIFÓLIO'!C:V,4,0),"")</f>
        <v>R$/Ha</v>
      </c>
      <c r="G184" s="206">
        <f t="array" ref="G184">IFERROR(INDEX('PORTIFÓLIO'!$H$4:$H$433,MATCH($C184,'PORTIFÓLIO'!$C$4:$C$433,0)),"")</f>
        <v>0.04901960784</v>
      </c>
      <c r="H184" s="207">
        <f t="array" ref="H184">IFERROR(INDEX('PORTIFÓLIO'!$H$4:$H$433,MATCH($C184,'PORTIFÓLIO'!$C$4:$C$433,0)),"")</f>
        <v>0.04901960784</v>
      </c>
      <c r="I184" s="228">
        <f>G184*4</f>
        <v>0.1960784314</v>
      </c>
      <c r="J184" s="209">
        <f t="shared" si="22"/>
        <v>53.52941176</v>
      </c>
      <c r="K184" s="210">
        <f t="array" ref="K184">IFERROR(I184*INDEX('PORTIFÓLIO'!$S$4:$S$433,MATCH($C184,'PORTIFÓLIO'!$C$4:$C$433,0)),"")</f>
        <v>22.05882353</v>
      </c>
      <c r="L184" s="210">
        <f t="array" ref="L184">IFERROR(J184*INDEX('PORTIFÓLIO'!$S$4:$S$433,MATCH($C184,'PORTIFÓLIO'!$C$4:$C$433,0)),"")</f>
        <v>6022.058824</v>
      </c>
      <c r="M184" s="177"/>
      <c r="N184" s="177"/>
      <c r="O184" s="177"/>
      <c r="P184" s="177"/>
      <c r="Q184" s="177"/>
      <c r="R184" s="177"/>
      <c r="S184" s="177"/>
      <c r="T184" s="177"/>
      <c r="U184" s="177"/>
      <c r="V184" s="177"/>
      <c r="W184" s="177"/>
      <c r="X184" s="177"/>
    </row>
    <row r="185" ht="15.75" customHeight="1" outlineLevel="1">
      <c r="A185" s="190"/>
      <c r="B185" s="204" t="s">
        <v>10</v>
      </c>
      <c r="C185" s="191" t="s">
        <v>1197</v>
      </c>
      <c r="D185" s="205" t="str">
        <f>IFERROR(VLOOKUP($C185,'PORTIFÓLIO'!C:V,2,0),"")</f>
        <v/>
      </c>
      <c r="E185" s="190" t="str">
        <f>IFERROR(VLOOKUP($C185,'PORTIFÓLIO'!C:V,3,0),"")</f>
        <v/>
      </c>
      <c r="F185" s="190" t="str">
        <f>IFERROR(VLOOKUP($C185,'PORTIFÓLIO'!C:V,4,0),"")</f>
        <v>R$/Ha</v>
      </c>
      <c r="G185" s="206">
        <f t="array" ref="G185">IFERROR(INDEX('PORTIFÓLIO'!$H$4:$H$433,MATCH($C185,'PORTIFÓLIO'!$C$4:$C$433,0)),"")</f>
        <v>0.01960784314</v>
      </c>
      <c r="H185" s="207">
        <f t="array" ref="H185">IFERROR(INDEX('PORTIFÓLIO'!$H$4:$H$433,MATCH($C185,'PORTIFÓLIO'!$C$4:$C$433,0)),"")</f>
        <v>0.01960784314</v>
      </c>
      <c r="I185" s="228">
        <f>G185*3</f>
        <v>0.05882352941</v>
      </c>
      <c r="J185" s="209">
        <f t="shared" si="22"/>
        <v>16.05882353</v>
      </c>
      <c r="K185" s="210">
        <f t="array" ref="K185">IFERROR(I185*INDEX('PORTIFÓLIO'!$S$4:$S$433,MATCH($C185,'PORTIFÓLIO'!$C$4:$C$433,0)),"")</f>
        <v>7.5</v>
      </c>
      <c r="L185" s="210">
        <f t="array" ref="L185">IFERROR(J185*INDEX('PORTIFÓLIO'!$S$4:$S$433,MATCH($C185,'PORTIFÓLIO'!$C$4:$C$433,0)),"")</f>
        <v>2047.5</v>
      </c>
      <c r="M185" s="177"/>
      <c r="N185" s="177"/>
      <c r="O185" s="177"/>
      <c r="P185" s="177"/>
      <c r="Q185" s="177"/>
      <c r="R185" s="177"/>
      <c r="S185" s="177"/>
      <c r="T185" s="177"/>
      <c r="U185" s="177"/>
      <c r="V185" s="177"/>
      <c r="W185" s="177"/>
      <c r="X185" s="177"/>
    </row>
    <row r="186" ht="15.75" customHeight="1" outlineLevel="1">
      <c r="A186" s="190"/>
      <c r="B186" s="204" t="s">
        <v>10</v>
      </c>
      <c r="C186" s="191" t="s">
        <v>1198</v>
      </c>
      <c r="D186" s="205" t="str">
        <f>IFERROR(VLOOKUP($C186,'PORTIFÓLIO'!C:V,2,0),"")</f>
        <v/>
      </c>
      <c r="E186" s="190" t="str">
        <f>IFERROR(VLOOKUP($C186,'PORTIFÓLIO'!C:V,3,0),"")</f>
        <v/>
      </c>
      <c r="F186" s="190" t="str">
        <f>IFERROR(VLOOKUP($C186,'PORTIFÓLIO'!C:V,4,0),"")</f>
        <v>R$/Ha</v>
      </c>
      <c r="G186" s="206">
        <f t="array" ref="G186">IFERROR(INDEX('PORTIFÓLIO'!$H$4:$H$433,MATCH($C186,'PORTIFÓLIO'!$C$4:$C$433,0)),"")</f>
        <v>0.006666666667</v>
      </c>
      <c r="H186" s="207">
        <f t="array" ref="H186">IFERROR(INDEX('PORTIFÓLIO'!$H$4:$H$433,MATCH($C186,'PORTIFÓLIO'!$C$4:$C$433,0)),"")</f>
        <v>0.006666666667</v>
      </c>
      <c r="I186" s="228">
        <f>G186*5</f>
        <v>0.03333333333</v>
      </c>
      <c r="J186" s="209">
        <f t="shared" si="22"/>
        <v>9.1</v>
      </c>
      <c r="K186" s="210">
        <f t="array" ref="K186">IFERROR(I186*INDEX('PORTIFÓLIO'!$S$4:$S$433,MATCH($C186,'PORTIFÓLIO'!$C$4:$C$433,0)),"")</f>
        <v>166.6666667</v>
      </c>
      <c r="L186" s="210">
        <f t="array" ref="L186">IFERROR(J186*INDEX('PORTIFÓLIO'!$S$4:$S$433,MATCH($C186,'PORTIFÓLIO'!$C$4:$C$433,0)),"")</f>
        <v>45500</v>
      </c>
      <c r="M186" s="177"/>
      <c r="N186" s="177"/>
      <c r="O186" s="177"/>
      <c r="P186" s="177"/>
      <c r="Q186" s="177"/>
      <c r="R186" s="177"/>
      <c r="S186" s="177"/>
      <c r="T186" s="177"/>
      <c r="U186" s="177"/>
      <c r="V186" s="177"/>
      <c r="W186" s="177"/>
      <c r="X186" s="177"/>
    </row>
    <row r="187" ht="15.75" customHeight="1" outlineLevel="1">
      <c r="A187" s="190"/>
      <c r="B187" s="204" t="s">
        <v>10</v>
      </c>
      <c r="C187" s="191" t="s">
        <v>1199</v>
      </c>
      <c r="D187" s="205" t="str">
        <f>IFERROR(VLOOKUP($C187,'PORTIFÓLIO'!C:V,2,0),"")</f>
        <v/>
      </c>
      <c r="E187" s="190" t="str">
        <f>IFERROR(VLOOKUP($C187,'PORTIFÓLIO'!C:V,3,0),"")</f>
        <v/>
      </c>
      <c r="F187" s="190" t="str">
        <f>IFERROR(VLOOKUP($C187,'PORTIFÓLIO'!C:V,4,0),"")</f>
        <v>R$/Ha</v>
      </c>
      <c r="G187" s="206">
        <f t="array" ref="G187">IFERROR(INDEX('PORTIFÓLIO'!$H$4:$H$433,MATCH($C187,'PORTIFÓLIO'!$C$4:$C$433,0)),"")</f>
        <v>0.08169934641</v>
      </c>
      <c r="H187" s="207">
        <f t="array" ref="H187">IFERROR(INDEX('PORTIFÓLIO'!$H$4:$H$433,MATCH($C187,'PORTIFÓLIO'!$C$4:$C$433,0)),"")</f>
        <v>0.08169934641</v>
      </c>
      <c r="I187" s="208">
        <v>0.081</v>
      </c>
      <c r="J187" s="209">
        <f t="shared" si="22"/>
        <v>22.113</v>
      </c>
      <c r="K187" s="210">
        <f t="array" ref="K187">IFERROR(I187*INDEX('PORTIFÓLIO'!$S$4:$S$433,MATCH($C187,'PORTIFÓLIO'!$C$4:$C$433,0)),"")</f>
        <v>36.45</v>
      </c>
      <c r="L187" s="210">
        <f t="array" ref="L187">IFERROR(J187*INDEX('PORTIFÓLIO'!$S$4:$S$433,MATCH($C187,'PORTIFÓLIO'!$C$4:$C$433,0)),"")</f>
        <v>9950.85</v>
      </c>
      <c r="M187" s="177"/>
      <c r="N187" s="177"/>
      <c r="O187" s="177"/>
      <c r="P187" s="177"/>
      <c r="Q187" s="177"/>
      <c r="R187" s="177"/>
      <c r="S187" s="177"/>
      <c r="T187" s="177"/>
      <c r="U187" s="177"/>
      <c r="V187" s="177"/>
      <c r="W187" s="177"/>
      <c r="X187" s="177"/>
    </row>
    <row r="188" ht="15.75" customHeight="1" outlineLevel="1">
      <c r="A188" s="190"/>
      <c r="B188" s="204" t="s">
        <v>10</v>
      </c>
      <c r="C188" s="191" t="s">
        <v>1200</v>
      </c>
      <c r="D188" s="205" t="str">
        <f>IFERROR(VLOOKUP($C188,'PORTIFÓLIO'!C:V,2,0),"")</f>
        <v/>
      </c>
      <c r="E188" s="190" t="str">
        <f>IFERROR(VLOOKUP($C188,'PORTIFÓLIO'!C:V,3,0),"")</f>
        <v/>
      </c>
      <c r="F188" s="190" t="str">
        <f>IFERROR(VLOOKUP($C188,'PORTIFÓLIO'!C:V,4,0),"")</f>
        <v>R$/Ha</v>
      </c>
      <c r="G188" s="206">
        <f t="array" ref="G188">IFERROR(INDEX('PORTIFÓLIO'!$H$4:$H$433,MATCH($C188,'PORTIFÓLIO'!$C$4:$C$433,0)),"")</f>
        <v>0.1508295626</v>
      </c>
      <c r="H188" s="207">
        <f t="array" ref="H188">IFERROR(INDEX('PORTIFÓLIO'!$H$4:$H$433,MATCH($C188,'PORTIFÓLIO'!$C$4:$C$433,0)),"")</f>
        <v>0.1508295626</v>
      </c>
      <c r="I188" s="208">
        <v>0.15</v>
      </c>
      <c r="J188" s="209">
        <f t="shared" si="22"/>
        <v>40.95</v>
      </c>
      <c r="K188" s="210">
        <f t="array" ref="K188">IFERROR(I188*INDEX('PORTIFÓLIO'!$S$4:$S$433,MATCH($C188,'PORTIFÓLIO'!$C$4:$C$433,0)),"")</f>
        <v>56.25</v>
      </c>
      <c r="L188" s="210">
        <f t="array" ref="L188">IFERROR(J188*INDEX('PORTIFÓLIO'!$S$4:$S$433,MATCH($C188,'PORTIFÓLIO'!$C$4:$C$433,0)),"")</f>
        <v>15356.25</v>
      </c>
      <c r="M188" s="177"/>
      <c r="N188" s="177"/>
      <c r="O188" s="177"/>
      <c r="P188" s="177"/>
      <c r="Q188" s="177"/>
      <c r="R188" s="177"/>
      <c r="S188" s="177"/>
      <c r="T188" s="177"/>
      <c r="U188" s="177"/>
      <c r="V188" s="177"/>
      <c r="W188" s="177"/>
      <c r="X188" s="177"/>
    </row>
    <row r="189" ht="15.75" customHeight="1" outlineLevel="1">
      <c r="A189" s="190"/>
      <c r="B189" s="204" t="s">
        <v>10</v>
      </c>
      <c r="C189" s="191" t="s">
        <v>1201</v>
      </c>
      <c r="D189" s="205" t="str">
        <f>IFERROR(VLOOKUP($C189,'PORTIFÓLIO'!C:V,2,0),"")</f>
        <v/>
      </c>
      <c r="E189" s="190" t="str">
        <f>IFERROR(VLOOKUP($C189,'PORTIFÓLIO'!C:V,3,0),"")</f>
        <v/>
      </c>
      <c r="F189" s="190" t="str">
        <f>IFERROR(VLOOKUP($C189,'PORTIFÓLIO'!C:V,4,0),"")</f>
        <v>R$/Ha</v>
      </c>
      <c r="G189" s="206">
        <f t="array" ref="G189">IFERROR(INDEX('PORTIFÓLIO'!$H$4:$H$433,MATCH($C189,'PORTIFÓLIO'!$C$4:$C$433,0)),"")</f>
        <v>0.001367989056</v>
      </c>
      <c r="H189" s="207">
        <f t="array" ref="H189">IFERROR(INDEX('PORTIFÓLIO'!$H$4:$H$433,MATCH($C189,'PORTIFÓLIO'!$C$4:$C$433,0)),"")</f>
        <v>0.001367989056</v>
      </c>
      <c r="I189" s="208">
        <v>0.1</v>
      </c>
      <c r="J189" s="209">
        <f t="shared" si="22"/>
        <v>27.3</v>
      </c>
      <c r="K189" s="210">
        <f t="array" ref="K189">IFERROR(I189*INDEX('PORTIFÓLIO'!$S$4:$S$433,MATCH($C189,'PORTIFÓLIO'!$C$4:$C$433,0)),"")</f>
        <v>15</v>
      </c>
      <c r="L189" s="210">
        <f t="array" ref="L189">IFERROR(J189*INDEX('PORTIFÓLIO'!$S$4:$S$433,MATCH($C189,'PORTIFÓLIO'!$C$4:$C$433,0)),"")</f>
        <v>4095</v>
      </c>
      <c r="M189" s="177"/>
      <c r="N189" s="177"/>
      <c r="O189" s="177"/>
      <c r="P189" s="177"/>
      <c r="Q189" s="177"/>
      <c r="R189" s="177"/>
      <c r="S189" s="177"/>
      <c r="T189" s="177"/>
      <c r="U189" s="177"/>
      <c r="V189" s="177"/>
      <c r="W189" s="177"/>
      <c r="X189" s="177"/>
    </row>
    <row r="190" ht="15.75" customHeight="1" outlineLevel="1">
      <c r="A190" s="211"/>
      <c r="B190" s="212"/>
      <c r="C190" s="213"/>
      <c r="D190" s="214" t="str">
        <f>IFERROR(VLOOKUP($C190,'PORTIFÓLIO'!C:V,2,0),"")</f>
        <v/>
      </c>
      <c r="E190" s="211" t="str">
        <f>IFERROR(VLOOKUP($C190,'PORTIFÓLIO'!C:V,3,0),"")</f>
        <v/>
      </c>
      <c r="F190" s="211" t="str">
        <f>IFERROR(VLOOKUP($C190,'PORTIFÓLIO'!C:V,4,0),"")</f>
        <v/>
      </c>
      <c r="G190" s="215" t="str">
        <f>IFERROR(VLOOKUP($C190,'PORTIFÓLIO'!C:V,5,0),"")</f>
        <v/>
      </c>
      <c r="H190" s="216" t="str">
        <f t="array" ref="H190">IFERROR(INDEX('PORTIFÓLIO'!$H$4:$H$433,MATCH($C190,'PORTIFÓLIO'!$C$4:$C$433,0)),"")</f>
        <v/>
      </c>
      <c r="I190" s="224"/>
      <c r="J190" s="218">
        <f t="shared" si="22"/>
        <v>0</v>
      </c>
      <c r="K190" s="219" t="str">
        <f t="array" ref="K190">IFERROR(I190*INDEX('PORTIFÓLIO'!$S$4:$S$433,MATCH($C190,'PORTIFÓLIO'!$C$4:$C$433,0)),"")</f>
        <v/>
      </c>
      <c r="L190" s="219" t="str">
        <f t="array" ref="L190">IFERROR(J190*INDEX('PORTIFÓLIO'!$S$4:$S$433,MATCH($C190,'PORTIFÓLIO'!$C$4:$C$433,0)),"")</f>
        <v/>
      </c>
      <c r="M190" s="220"/>
      <c r="N190" s="220"/>
      <c r="O190" s="220"/>
      <c r="P190" s="220"/>
      <c r="Q190" s="220"/>
      <c r="R190" s="220"/>
      <c r="S190" s="220"/>
      <c r="T190" s="220"/>
      <c r="U190" s="220"/>
      <c r="V190" s="220"/>
      <c r="W190" s="220"/>
      <c r="X190" s="220"/>
    </row>
    <row r="191" ht="15.75" customHeight="1" outlineLevel="1">
      <c r="A191" s="211"/>
      <c r="B191" s="212"/>
      <c r="C191" s="213"/>
      <c r="D191" s="214" t="str">
        <f>IFERROR(VLOOKUP($C191,'PORTIFÓLIO'!C:V,2,0),"")</f>
        <v/>
      </c>
      <c r="E191" s="211" t="str">
        <f>IFERROR(VLOOKUP($C191,'PORTIFÓLIO'!C:V,3,0),"")</f>
        <v/>
      </c>
      <c r="F191" s="211" t="str">
        <f>IFERROR(VLOOKUP($C191,'PORTIFÓLIO'!C:V,4,0),"")</f>
        <v/>
      </c>
      <c r="G191" s="215" t="str">
        <f>IFERROR(VLOOKUP($C191,'PORTIFÓLIO'!C:V,5,0),"")</f>
        <v/>
      </c>
      <c r="H191" s="216" t="str">
        <f t="array" ref="H191">IFERROR(INDEX('PORTIFÓLIO'!$H$4:$H$433,MATCH($C191,'PORTIFÓLIO'!$C$4:$C$433,0)),"")</f>
        <v/>
      </c>
      <c r="I191" s="217"/>
      <c r="J191" s="218">
        <f t="shared" si="22"/>
        <v>0</v>
      </c>
      <c r="K191" s="219" t="str">
        <f t="array" ref="K191">IFERROR(I191*INDEX('PORTIFÓLIO'!$S$4:$S$433,MATCH($C191,'PORTIFÓLIO'!$C$4:$C$433,0)),"")</f>
        <v/>
      </c>
      <c r="L191" s="219" t="str">
        <f t="array" ref="L191">IFERROR(J191*INDEX('PORTIFÓLIO'!$S$4:$S$433,MATCH($C191,'PORTIFÓLIO'!$C$4:$C$433,0)),"")</f>
        <v/>
      </c>
      <c r="M191" s="220"/>
      <c r="N191" s="220"/>
      <c r="O191" s="220"/>
      <c r="P191" s="220"/>
      <c r="Q191" s="220"/>
      <c r="R191" s="220"/>
      <c r="S191" s="220"/>
      <c r="T191" s="220"/>
      <c r="U191" s="220"/>
      <c r="V191" s="220"/>
      <c r="W191" s="220"/>
      <c r="X191" s="220"/>
    </row>
    <row r="192" ht="15.75" customHeight="1" outlineLevel="1">
      <c r="A192" s="211"/>
      <c r="B192" s="212"/>
      <c r="C192" s="213"/>
      <c r="D192" s="214" t="str">
        <f>IFERROR(VLOOKUP($C192,'PORTIFÓLIO'!C:V,2,0),"")</f>
        <v/>
      </c>
      <c r="E192" s="211" t="str">
        <f>IFERROR(VLOOKUP($C192,'PORTIFÓLIO'!C:V,3,0),"")</f>
        <v/>
      </c>
      <c r="F192" s="211" t="str">
        <f>IFERROR(VLOOKUP($C192,'PORTIFÓLIO'!C:V,4,0),"")</f>
        <v/>
      </c>
      <c r="G192" s="215" t="str">
        <f>IFERROR(VLOOKUP($C192,'PORTIFÓLIO'!C:V,5,0),"")</f>
        <v/>
      </c>
      <c r="H192" s="216" t="str">
        <f t="array" ref="H192">IFERROR(INDEX('PORTIFÓLIO'!$H$4:$H$433,MATCH($C192,'PORTIFÓLIO'!$C$4:$C$433,0)),"")</f>
        <v/>
      </c>
      <c r="I192" s="224"/>
      <c r="J192" s="218">
        <f t="shared" si="22"/>
        <v>0</v>
      </c>
      <c r="K192" s="219" t="str">
        <f t="array" ref="K192">IFERROR(I192*INDEX('PORTIFÓLIO'!$S$4:$S$433,MATCH($C192,'PORTIFÓLIO'!$C$4:$C$433,0)),"")</f>
        <v/>
      </c>
      <c r="L192" s="219" t="str">
        <f t="array" ref="L192">IFERROR(J192*INDEX('PORTIFÓLIO'!$S$4:$S$433,MATCH($C192,'PORTIFÓLIO'!$C$4:$C$433,0)),"")</f>
        <v/>
      </c>
      <c r="M192" s="220"/>
      <c r="N192" s="220"/>
      <c r="O192" s="220"/>
      <c r="P192" s="220"/>
      <c r="Q192" s="220"/>
      <c r="R192" s="220"/>
      <c r="S192" s="220"/>
      <c r="T192" s="220"/>
      <c r="U192" s="220"/>
      <c r="V192" s="220"/>
      <c r="W192" s="220"/>
      <c r="X192" s="220"/>
    </row>
    <row r="193" ht="15.75" customHeight="1" outlineLevel="1">
      <c r="A193" s="211"/>
      <c r="B193" s="212"/>
      <c r="C193" s="213"/>
      <c r="D193" s="214" t="str">
        <f>IFERROR(VLOOKUP($C193,'PORTIFÓLIO'!C:V,2,0),"")</f>
        <v/>
      </c>
      <c r="E193" s="211" t="str">
        <f>IFERROR(VLOOKUP($C193,'PORTIFÓLIO'!C:V,3,0),"")</f>
        <v/>
      </c>
      <c r="F193" s="211" t="str">
        <f>IFERROR(VLOOKUP($C193,'PORTIFÓLIO'!C:V,4,0),"")</f>
        <v/>
      </c>
      <c r="G193" s="215" t="str">
        <f>IFERROR(VLOOKUP($C193,'PORTIFÓLIO'!C:V,5,0),"")</f>
        <v/>
      </c>
      <c r="H193" s="216" t="str">
        <f t="array" ref="H193">IFERROR(INDEX('PORTIFÓLIO'!$H$4:$H$433,MATCH($C193,'PORTIFÓLIO'!$C$4:$C$433,0)),"")</f>
        <v/>
      </c>
      <c r="I193" s="224"/>
      <c r="J193" s="218">
        <f t="shared" si="22"/>
        <v>0</v>
      </c>
      <c r="K193" s="219" t="str">
        <f t="array" ref="K193">IFERROR(I193*INDEX('PORTIFÓLIO'!$S$4:$S$433,MATCH($C193,'PORTIFÓLIO'!$C$4:$C$433,0)),"")</f>
        <v/>
      </c>
      <c r="L193" s="219" t="str">
        <f t="array" ref="L193">IFERROR(J193*INDEX('PORTIFÓLIO'!$S$4:$S$433,MATCH($C193,'PORTIFÓLIO'!$C$4:$C$433,0)),"")</f>
        <v/>
      </c>
      <c r="M193" s="220"/>
      <c r="N193" s="220"/>
      <c r="O193" s="220"/>
      <c r="P193" s="220"/>
      <c r="Q193" s="220"/>
      <c r="R193" s="220"/>
      <c r="S193" s="220"/>
      <c r="T193" s="220"/>
      <c r="U193" s="220"/>
      <c r="V193" s="220"/>
      <c r="W193" s="220"/>
      <c r="X193" s="220"/>
    </row>
    <row r="194" ht="15.75" customHeight="1" outlineLevel="1">
      <c r="A194" s="211"/>
      <c r="B194" s="212"/>
      <c r="C194" s="213"/>
      <c r="D194" s="214" t="str">
        <f>IFERROR(VLOOKUP($C194,'PORTIFÓLIO'!C:V,2,0),"")</f>
        <v/>
      </c>
      <c r="E194" s="211" t="str">
        <f>IFERROR(VLOOKUP($C194,'PORTIFÓLIO'!C:V,3,0),"")</f>
        <v/>
      </c>
      <c r="F194" s="211" t="str">
        <f>IFERROR(VLOOKUP($C194,'PORTIFÓLIO'!C:V,4,0),"")</f>
        <v/>
      </c>
      <c r="G194" s="215" t="str">
        <f>IFERROR(VLOOKUP($C194,'PORTIFÓLIO'!C:V,5,0),"")</f>
        <v/>
      </c>
      <c r="H194" s="216" t="str">
        <f t="array" ref="H194">IFERROR(INDEX('PORTIFÓLIO'!$H$4:$H$433,MATCH($C194,'PORTIFÓLIO'!$C$4:$C$433,0)),"")</f>
        <v/>
      </c>
      <c r="I194" s="224"/>
      <c r="J194" s="218">
        <f t="shared" si="22"/>
        <v>0</v>
      </c>
      <c r="K194" s="219" t="str">
        <f t="array" ref="K194">IFERROR(I194*INDEX('PORTIFÓLIO'!$S$4:$S$433,MATCH($C194,'PORTIFÓLIO'!$C$4:$C$433,0)),"")</f>
        <v/>
      </c>
      <c r="L194" s="219" t="str">
        <f t="array" ref="L194">IFERROR(J194*INDEX('PORTIFÓLIO'!$S$4:$S$433,MATCH($C194,'PORTIFÓLIO'!$C$4:$C$433,0)),"")</f>
        <v/>
      </c>
      <c r="M194" s="220"/>
      <c r="N194" s="220"/>
      <c r="O194" s="220"/>
      <c r="P194" s="220"/>
      <c r="Q194" s="220"/>
      <c r="R194" s="220"/>
      <c r="S194" s="220"/>
      <c r="T194" s="220"/>
      <c r="U194" s="220"/>
      <c r="V194" s="220"/>
      <c r="W194" s="220"/>
      <c r="X194" s="220"/>
    </row>
    <row r="195" ht="15.75" customHeight="1" outlineLevel="1">
      <c r="A195" s="211"/>
      <c r="B195" s="212"/>
      <c r="C195" s="213"/>
      <c r="D195" s="214" t="str">
        <f>IFERROR(VLOOKUP($C195,'PORTIFÓLIO'!C:V,2,0),"")</f>
        <v/>
      </c>
      <c r="E195" s="211" t="str">
        <f>IFERROR(VLOOKUP($C195,'PORTIFÓLIO'!C:V,3,0),"")</f>
        <v/>
      </c>
      <c r="F195" s="211" t="str">
        <f>IFERROR(VLOOKUP($C195,'PORTIFÓLIO'!C:V,4,0),"")</f>
        <v/>
      </c>
      <c r="G195" s="215" t="str">
        <f>IFERROR(VLOOKUP($C195,'PORTIFÓLIO'!C:V,5,0),"")</f>
        <v/>
      </c>
      <c r="H195" s="216" t="str">
        <f t="array" ref="H195">IFERROR(INDEX('PORTIFÓLIO'!$H$4:$H$433,MATCH($C195,'PORTIFÓLIO'!$C$4:$C$433,0)),"")</f>
        <v/>
      </c>
      <c r="I195" s="224"/>
      <c r="J195" s="218">
        <f t="shared" si="22"/>
        <v>0</v>
      </c>
      <c r="K195" s="219" t="str">
        <f t="array" ref="K195">IFERROR(I195*INDEX('PORTIFÓLIO'!$S$4:$S$433,MATCH($C195,'PORTIFÓLIO'!$C$4:$C$433,0)),"")</f>
        <v/>
      </c>
      <c r="L195" s="219" t="str">
        <f t="array" ref="L195">IFERROR(J195*INDEX('PORTIFÓLIO'!$S$4:$S$433,MATCH($C195,'PORTIFÓLIO'!$C$4:$C$433,0)),"")</f>
        <v/>
      </c>
      <c r="M195" s="220"/>
      <c r="N195" s="220"/>
      <c r="O195" s="220"/>
      <c r="P195" s="220"/>
      <c r="Q195" s="220"/>
      <c r="R195" s="220"/>
      <c r="S195" s="220"/>
      <c r="T195" s="220"/>
      <c r="U195" s="220"/>
      <c r="V195" s="220"/>
      <c r="W195" s="220"/>
      <c r="X195" s="220"/>
    </row>
    <row r="196" ht="15.75" customHeight="1" outlineLevel="1">
      <c r="A196" s="211"/>
      <c r="B196" s="212"/>
      <c r="C196" s="213"/>
      <c r="D196" s="214" t="str">
        <f>IFERROR(VLOOKUP($C196,'PORTIFÓLIO'!C:V,2,0),"")</f>
        <v/>
      </c>
      <c r="E196" s="211" t="str">
        <f>IFERROR(VLOOKUP($C196,'PORTIFÓLIO'!C:V,3,0),"")</f>
        <v/>
      </c>
      <c r="F196" s="211" t="str">
        <f>IFERROR(VLOOKUP($C196,'PORTIFÓLIO'!C:V,4,0),"")</f>
        <v/>
      </c>
      <c r="G196" s="215" t="str">
        <f>IFERROR(VLOOKUP($C196,'PORTIFÓLIO'!C:V,5,0),"")</f>
        <v/>
      </c>
      <c r="H196" s="216" t="str">
        <f t="array" ref="H196">IFERROR(INDEX('PORTIFÓLIO'!$H$4:$H$433,MATCH($C196,'PORTIFÓLIO'!$C$4:$C$433,0)),"")</f>
        <v/>
      </c>
      <c r="I196" s="224"/>
      <c r="J196" s="218">
        <f t="shared" si="22"/>
        <v>0</v>
      </c>
      <c r="K196" s="219" t="str">
        <f t="array" ref="K196">IFERROR(I196*INDEX('PORTIFÓLIO'!$S$4:$S$433,MATCH($C196,'PORTIFÓLIO'!$C$4:$C$433,0)),"")</f>
        <v/>
      </c>
      <c r="L196" s="219" t="str">
        <f t="array" ref="L196">IFERROR(J196*INDEX('PORTIFÓLIO'!$S$4:$S$433,MATCH($C196,'PORTIFÓLIO'!$C$4:$C$433,0)),"")</f>
        <v/>
      </c>
      <c r="M196" s="220"/>
      <c r="N196" s="220"/>
      <c r="O196" s="220"/>
      <c r="P196" s="220"/>
      <c r="Q196" s="220"/>
      <c r="R196" s="220"/>
      <c r="S196" s="220"/>
      <c r="T196" s="220"/>
      <c r="U196" s="220"/>
      <c r="V196" s="220"/>
      <c r="W196" s="220"/>
      <c r="X196" s="220"/>
    </row>
    <row r="197" ht="15.75" customHeight="1" outlineLevel="1">
      <c r="A197" s="211"/>
      <c r="B197" s="212"/>
      <c r="C197" s="213"/>
      <c r="D197" s="214" t="str">
        <f>IFERROR(VLOOKUP($C197,'PORTIFÓLIO'!C:V,2,0),"")</f>
        <v/>
      </c>
      <c r="E197" s="211" t="str">
        <f>IFERROR(VLOOKUP($C197,'PORTIFÓLIO'!C:V,3,0),"")</f>
        <v/>
      </c>
      <c r="F197" s="211" t="str">
        <f>IFERROR(VLOOKUP($C197,'PORTIFÓLIO'!C:V,4,0),"")</f>
        <v/>
      </c>
      <c r="G197" s="215" t="str">
        <f>IFERROR(VLOOKUP($C197,'PORTIFÓLIO'!C:V,5,0),"")</f>
        <v/>
      </c>
      <c r="H197" s="216" t="str">
        <f t="array" ref="H197">IFERROR(INDEX('PORTIFÓLIO'!$H$4:$H$433,MATCH($C197,'PORTIFÓLIO'!$C$4:$C$433,0)),"")</f>
        <v/>
      </c>
      <c r="I197" s="224"/>
      <c r="J197" s="218">
        <f t="shared" si="22"/>
        <v>0</v>
      </c>
      <c r="K197" s="219" t="str">
        <f t="array" ref="K197">IFERROR(I197*INDEX('PORTIFÓLIO'!$S$4:$S$433,MATCH($C197,'PORTIFÓLIO'!$C$4:$C$433,0)),"")</f>
        <v/>
      </c>
      <c r="L197" s="219" t="str">
        <f t="array" ref="L197">IFERROR(J197*INDEX('PORTIFÓLIO'!$S$4:$S$433,MATCH($C197,'PORTIFÓLIO'!$C$4:$C$433,0)),"")</f>
        <v/>
      </c>
      <c r="M197" s="220"/>
      <c r="N197" s="220"/>
      <c r="O197" s="220"/>
      <c r="P197" s="220"/>
      <c r="Q197" s="220"/>
      <c r="R197" s="220"/>
      <c r="S197" s="220"/>
      <c r="T197" s="220"/>
      <c r="U197" s="220"/>
      <c r="V197" s="220"/>
      <c r="W197" s="220"/>
      <c r="X197" s="220"/>
    </row>
    <row r="198" ht="15.75" customHeight="1" outlineLevel="1">
      <c r="A198" s="211"/>
      <c r="B198" s="227"/>
      <c r="C198" s="211"/>
      <c r="D198" s="214" t="str">
        <f>IFERROR(VLOOKUP($C198,'PORTIFÓLIO'!C:V,2,0),"")</f>
        <v/>
      </c>
      <c r="E198" s="211" t="str">
        <f>IFERROR(VLOOKUP($C198,'PORTIFÓLIO'!C:V,3,0),"")</f>
        <v/>
      </c>
      <c r="F198" s="211" t="str">
        <f>IFERROR(VLOOKUP($C198,'PORTIFÓLIO'!C:V,4,0),"")</f>
        <v/>
      </c>
      <c r="G198" s="215" t="str">
        <f>IFERROR(VLOOKUP($C198,'PORTIFÓLIO'!C:V,5,0),"")</f>
        <v/>
      </c>
      <c r="H198" s="216" t="str">
        <f t="array" ref="H198">IFERROR(INDEX('PORTIFÓLIO'!$H$4:$H$433,MATCH($C198,'PORTIFÓLIO'!$C$4:$C$433,0)),"")</f>
        <v/>
      </c>
      <c r="I198" s="224"/>
      <c r="J198" s="218">
        <f t="shared" si="22"/>
        <v>0</v>
      </c>
      <c r="K198" s="219" t="str">
        <f t="array" ref="K198">IFERROR(I198*INDEX('PORTIFÓLIO'!$S$4:$S$433,MATCH($C198,'PORTIFÓLIO'!$C$4:$C$433,0)),"")</f>
        <v/>
      </c>
      <c r="L198" s="219" t="str">
        <f t="array" ref="L198">IFERROR(J198*INDEX('PORTIFÓLIO'!$S$4:$S$433,MATCH($C198,'PORTIFÓLIO'!$C$4:$C$433,0)),"")</f>
        <v/>
      </c>
      <c r="M198" s="220"/>
      <c r="N198" s="220"/>
      <c r="O198" s="220"/>
      <c r="P198" s="220"/>
      <c r="Q198" s="220"/>
      <c r="R198" s="220"/>
      <c r="S198" s="220"/>
      <c r="T198" s="220"/>
      <c r="U198" s="220"/>
      <c r="V198" s="220"/>
      <c r="W198" s="220"/>
      <c r="X198" s="220"/>
    </row>
    <row r="199" ht="15.75" customHeight="1" outlineLevel="1">
      <c r="A199" s="211"/>
      <c r="B199" s="227"/>
      <c r="C199" s="211"/>
      <c r="D199" s="214" t="str">
        <f>IFERROR(VLOOKUP($C199,'PORTIFÓLIO'!C:V,2,0),"")</f>
        <v/>
      </c>
      <c r="E199" s="211" t="str">
        <f>IFERROR(VLOOKUP($C199,'PORTIFÓLIO'!C:V,3,0),"")</f>
        <v/>
      </c>
      <c r="F199" s="211" t="str">
        <f>IFERROR(VLOOKUP($C199,'PORTIFÓLIO'!C:V,4,0),"")</f>
        <v/>
      </c>
      <c r="G199" s="215" t="str">
        <f>IFERROR(VLOOKUP($C199,'PORTIFÓLIO'!C:V,5,0),"")</f>
        <v/>
      </c>
      <c r="H199" s="216" t="str">
        <f t="array" ref="H199">IFERROR(INDEX('PORTIFÓLIO'!$H$4:$H$433,MATCH($C199,'PORTIFÓLIO'!$C$4:$C$433,0)),"")</f>
        <v/>
      </c>
      <c r="I199" s="224"/>
      <c r="J199" s="218">
        <f t="shared" si="22"/>
        <v>0</v>
      </c>
      <c r="K199" s="219" t="str">
        <f t="array" ref="K199">IFERROR(I199*INDEX('PORTIFÓLIO'!$S$4:$S$433,MATCH($C199,'PORTIFÓLIO'!$C$4:$C$433,0)),"")</f>
        <v/>
      </c>
      <c r="L199" s="219" t="str">
        <f t="array" ref="L199">IFERROR(J199*INDEX('PORTIFÓLIO'!$S$4:$S$433,MATCH($C199,'PORTIFÓLIO'!$C$4:$C$433,0)),"")</f>
        <v/>
      </c>
      <c r="M199" s="220"/>
      <c r="N199" s="220"/>
      <c r="O199" s="220"/>
      <c r="P199" s="220"/>
      <c r="Q199" s="220"/>
      <c r="R199" s="220"/>
      <c r="S199" s="220"/>
      <c r="T199" s="220"/>
      <c r="U199" s="220"/>
      <c r="V199" s="220"/>
      <c r="W199" s="220"/>
      <c r="X199" s="220"/>
    </row>
    <row r="200" ht="15.75" customHeight="1">
      <c r="A200" s="229" t="s">
        <v>1202</v>
      </c>
      <c r="B200" s="230"/>
      <c r="C200" s="231"/>
      <c r="D200" s="232"/>
      <c r="E200" s="231"/>
      <c r="F200" s="231"/>
      <c r="G200" s="233"/>
      <c r="H200" s="234"/>
      <c r="I200" s="235"/>
      <c r="J200" s="236"/>
      <c r="K200" s="237">
        <f t="shared" ref="K200:L200" si="23">SUBTOTAL(9,K201:K214)</f>
        <v>0</v>
      </c>
      <c r="L200" s="237">
        <f t="shared" si="23"/>
        <v>0</v>
      </c>
      <c r="M200" s="220"/>
      <c r="N200" s="220"/>
      <c r="O200" s="220"/>
      <c r="P200" s="220"/>
      <c r="Q200" s="220"/>
      <c r="R200" s="220"/>
      <c r="S200" s="220"/>
      <c r="T200" s="220"/>
      <c r="U200" s="220"/>
      <c r="V200" s="220"/>
      <c r="W200" s="220"/>
      <c r="X200" s="220"/>
    </row>
    <row r="201" ht="15.75" customHeight="1" outlineLevel="1">
      <c r="A201" s="213"/>
      <c r="B201" s="212"/>
      <c r="C201" s="213"/>
      <c r="D201" s="214" t="str">
        <f>IFERROR(VLOOKUP($C201,'PORTIFÓLIO'!C:V,2,0),"")</f>
        <v/>
      </c>
      <c r="E201" s="211" t="str">
        <f>IFERROR(VLOOKUP($C201,'PORTIFÓLIO'!C:V,3,0),"")</f>
        <v/>
      </c>
      <c r="F201" s="211" t="str">
        <f>IFERROR(VLOOKUP($C201,'PORTIFÓLIO'!C:V,4,0),"")</f>
        <v/>
      </c>
      <c r="G201" s="215" t="str">
        <f>IFERROR(VLOOKUP($C201,'PORTIFÓLIO'!C:V,5,0),"")</f>
        <v/>
      </c>
      <c r="H201" s="216" t="str">
        <f t="array" ref="H201">IFERROR(INDEX('PORTIFÓLIO'!$H$4:$H$433,MATCH($C201,'PORTIFÓLIO'!$C$4:$C$433,0)),"")</f>
        <v/>
      </c>
      <c r="I201" s="217"/>
      <c r="J201" s="218">
        <f t="shared" ref="J201:J224" si="24">I201*$B$2</f>
        <v>0</v>
      </c>
      <c r="K201" s="219" t="str">
        <f t="array" ref="K201">IFERROR(I201*INDEX('PORTIFÓLIO'!$S$4:$S$433,MATCH($C201,'PORTIFÓLIO'!$C$4:$C$433,0)),"")</f>
        <v/>
      </c>
      <c r="L201" s="219" t="str">
        <f t="array" ref="L201">IFERROR(J201*INDEX('PORTIFÓLIO'!$S$4:$S$433,MATCH($C201,'PORTIFÓLIO'!$C$4:$C$433,0)),"")</f>
        <v/>
      </c>
      <c r="M201" s="220"/>
      <c r="N201" s="220"/>
      <c r="O201" s="220"/>
      <c r="P201" s="220"/>
      <c r="Q201" s="220"/>
      <c r="R201" s="220"/>
      <c r="S201" s="220"/>
      <c r="T201" s="220"/>
      <c r="U201" s="220"/>
      <c r="V201" s="220"/>
      <c r="W201" s="220"/>
      <c r="X201" s="220"/>
    </row>
    <row r="202" ht="15.75" customHeight="1" outlineLevel="1">
      <c r="A202" s="211"/>
      <c r="B202" s="212"/>
      <c r="C202" s="213"/>
      <c r="D202" s="214" t="str">
        <f>IFERROR(VLOOKUP($C202,'PORTIFÓLIO'!C:V,2,0),"")</f>
        <v/>
      </c>
      <c r="E202" s="211" t="str">
        <f>IFERROR(VLOOKUP($C202,'PORTIFÓLIO'!C:V,3,0),"")</f>
        <v/>
      </c>
      <c r="F202" s="211" t="str">
        <f>IFERROR(VLOOKUP($C202,'PORTIFÓLIO'!C:V,4,0),"")</f>
        <v/>
      </c>
      <c r="G202" s="215" t="str">
        <f>IFERROR(VLOOKUP($C202,'PORTIFÓLIO'!C:V,5,0),"")</f>
        <v/>
      </c>
      <c r="H202" s="216" t="str">
        <f t="array" ref="H202">IFERROR(INDEX('PORTIFÓLIO'!$H$4:$H$433,MATCH($C202,'PORTIFÓLIO'!$C$4:$C$433,0)),"")</f>
        <v/>
      </c>
      <c r="I202" s="217"/>
      <c r="J202" s="218">
        <f t="shared" si="24"/>
        <v>0</v>
      </c>
      <c r="K202" s="219" t="str">
        <f t="array" ref="K202">IFERROR(I202*INDEX('PORTIFÓLIO'!$S$4:$S$433,MATCH($C202,'PORTIFÓLIO'!$C$4:$C$433,0)),"")</f>
        <v/>
      </c>
      <c r="L202" s="219" t="str">
        <f t="array" ref="L202">IFERROR(J202*INDEX('PORTIFÓLIO'!$S$4:$S$433,MATCH($C202,'PORTIFÓLIO'!$C$4:$C$433,0)),"")</f>
        <v/>
      </c>
      <c r="M202" s="220"/>
      <c r="N202" s="220"/>
      <c r="O202" s="220"/>
      <c r="P202" s="220"/>
      <c r="Q202" s="220"/>
      <c r="R202" s="220"/>
      <c r="S202" s="220"/>
      <c r="T202" s="220"/>
      <c r="U202" s="220"/>
      <c r="V202" s="220"/>
      <c r="W202" s="220"/>
      <c r="X202" s="220"/>
    </row>
    <row r="203" ht="15.75" customHeight="1" outlineLevel="1">
      <c r="A203" s="211"/>
      <c r="B203" s="212"/>
      <c r="C203" s="213"/>
      <c r="D203" s="214" t="str">
        <f>IFERROR(VLOOKUP($C203,'PORTIFÓLIO'!C:V,2,0),"")</f>
        <v/>
      </c>
      <c r="E203" s="211" t="str">
        <f>IFERROR(VLOOKUP($C203,'PORTIFÓLIO'!C:V,3,0),"")</f>
        <v/>
      </c>
      <c r="F203" s="211" t="str">
        <f>IFERROR(VLOOKUP($C203,'PORTIFÓLIO'!C:V,4,0),"")</f>
        <v/>
      </c>
      <c r="G203" s="215" t="str">
        <f>IFERROR(VLOOKUP($C203,'PORTIFÓLIO'!C:V,5,0),"")</f>
        <v/>
      </c>
      <c r="H203" s="216" t="str">
        <f t="array" ref="H203">IFERROR(INDEX('PORTIFÓLIO'!$H$4:$H$433,MATCH($C203,'PORTIFÓLIO'!$C$4:$C$433,0)),"")</f>
        <v/>
      </c>
      <c r="I203" s="217"/>
      <c r="J203" s="218">
        <f t="shared" si="24"/>
        <v>0</v>
      </c>
      <c r="K203" s="219" t="str">
        <f t="array" ref="K203">IFERROR(I203*INDEX('PORTIFÓLIO'!$S$4:$S$433,MATCH($C203,'PORTIFÓLIO'!$C$4:$C$433,0)),"")</f>
        <v/>
      </c>
      <c r="L203" s="219" t="str">
        <f t="array" ref="L203">IFERROR(J203*INDEX('PORTIFÓLIO'!$S$4:$S$433,MATCH($C203,'PORTIFÓLIO'!$C$4:$C$433,0)),"")</f>
        <v/>
      </c>
      <c r="M203" s="220"/>
      <c r="N203" s="220"/>
      <c r="O203" s="220"/>
      <c r="P203" s="220"/>
      <c r="Q203" s="220"/>
      <c r="R203" s="220"/>
      <c r="S203" s="220"/>
      <c r="T203" s="220"/>
      <c r="U203" s="220"/>
      <c r="V203" s="220"/>
      <c r="W203" s="220"/>
      <c r="X203" s="220"/>
    </row>
    <row r="204" ht="15.75" customHeight="1" outlineLevel="1">
      <c r="A204" s="211"/>
      <c r="B204" s="212"/>
      <c r="C204" s="213"/>
      <c r="D204" s="214" t="str">
        <f>IFERROR(VLOOKUP($C204,'PORTIFÓLIO'!C:V,2,0),"")</f>
        <v/>
      </c>
      <c r="E204" s="211" t="str">
        <f>IFERROR(VLOOKUP($C204,'PORTIFÓLIO'!C:V,3,0),"")</f>
        <v/>
      </c>
      <c r="F204" s="211" t="str">
        <f>IFERROR(VLOOKUP($C204,'PORTIFÓLIO'!C:V,4,0),"")</f>
        <v/>
      </c>
      <c r="G204" s="215" t="str">
        <f>IFERROR(VLOOKUP($C204,'PORTIFÓLIO'!C:V,5,0),"")</f>
        <v/>
      </c>
      <c r="H204" s="216" t="str">
        <f t="array" ref="H204">IFERROR(INDEX('PORTIFÓLIO'!$H$4:$H$433,MATCH($C204,'PORTIFÓLIO'!$C$4:$C$433,0)),"")</f>
        <v/>
      </c>
      <c r="I204" s="217"/>
      <c r="J204" s="218">
        <f t="shared" si="24"/>
        <v>0</v>
      </c>
      <c r="K204" s="219" t="str">
        <f t="array" ref="K204">IFERROR(I204*INDEX('PORTIFÓLIO'!$S$4:$S$433,MATCH($C204,'PORTIFÓLIO'!$C$4:$C$433,0)),"")</f>
        <v/>
      </c>
      <c r="L204" s="219" t="str">
        <f t="array" ref="L204">IFERROR(J204*INDEX('PORTIFÓLIO'!$S$4:$S$433,MATCH($C204,'PORTIFÓLIO'!$C$4:$C$433,0)),"")</f>
        <v/>
      </c>
      <c r="M204" s="220"/>
      <c r="N204" s="220"/>
      <c r="O204" s="220"/>
      <c r="P204" s="220"/>
      <c r="Q204" s="220"/>
      <c r="R204" s="220"/>
      <c r="S204" s="220"/>
      <c r="T204" s="220"/>
      <c r="U204" s="220"/>
      <c r="V204" s="220"/>
      <c r="W204" s="220"/>
      <c r="X204" s="220"/>
    </row>
    <row r="205" ht="15.75" customHeight="1" outlineLevel="1">
      <c r="A205" s="211"/>
      <c r="B205" s="212"/>
      <c r="C205" s="213"/>
      <c r="D205" s="214" t="str">
        <f>IFERROR(VLOOKUP($C205,'PORTIFÓLIO'!C:V,2,0),"")</f>
        <v/>
      </c>
      <c r="E205" s="211" t="str">
        <f>IFERROR(VLOOKUP($C205,'PORTIFÓLIO'!C:V,3,0),"")</f>
        <v/>
      </c>
      <c r="F205" s="211" t="str">
        <f>IFERROR(VLOOKUP($C205,'PORTIFÓLIO'!C:V,4,0),"")</f>
        <v/>
      </c>
      <c r="G205" s="215" t="str">
        <f>IFERROR(VLOOKUP($C205,'PORTIFÓLIO'!C:V,5,0),"")</f>
        <v/>
      </c>
      <c r="H205" s="216" t="str">
        <f t="array" ref="H205">IFERROR(INDEX('PORTIFÓLIO'!$H$4:$H$433,MATCH($C205,'PORTIFÓLIO'!$C$4:$C$433,0)),"")</f>
        <v/>
      </c>
      <c r="I205" s="217"/>
      <c r="J205" s="218">
        <f t="shared" si="24"/>
        <v>0</v>
      </c>
      <c r="K205" s="219" t="str">
        <f t="array" ref="K205">IFERROR(I205*INDEX('PORTIFÓLIO'!$S$4:$S$433,MATCH($C205,'PORTIFÓLIO'!$C$4:$C$433,0)),"")</f>
        <v/>
      </c>
      <c r="L205" s="219" t="str">
        <f t="array" ref="L205">IFERROR(J205*INDEX('PORTIFÓLIO'!$S$4:$S$433,MATCH($C205,'PORTIFÓLIO'!$C$4:$C$433,0)),"")</f>
        <v/>
      </c>
      <c r="M205" s="220"/>
      <c r="N205" s="220"/>
      <c r="O205" s="220"/>
      <c r="P205" s="220"/>
      <c r="Q205" s="220"/>
      <c r="R205" s="220"/>
      <c r="S205" s="220"/>
      <c r="T205" s="220"/>
      <c r="U205" s="220"/>
      <c r="V205" s="220"/>
      <c r="W205" s="220"/>
      <c r="X205" s="220"/>
    </row>
    <row r="206" ht="15.75" customHeight="1" outlineLevel="1">
      <c r="A206" s="211"/>
      <c r="B206" s="212"/>
      <c r="C206" s="213"/>
      <c r="D206" s="214" t="str">
        <f>IFERROR(VLOOKUP($C206,'PORTIFÓLIO'!C:V,2,0),"")</f>
        <v/>
      </c>
      <c r="E206" s="211" t="str">
        <f>IFERROR(VLOOKUP($C206,'PORTIFÓLIO'!C:V,3,0),"")</f>
        <v/>
      </c>
      <c r="F206" s="211" t="str">
        <f>IFERROR(VLOOKUP($C206,'PORTIFÓLIO'!C:V,4,0),"")</f>
        <v/>
      </c>
      <c r="G206" s="215" t="str">
        <f>IFERROR(VLOOKUP($C206,'PORTIFÓLIO'!C:V,5,0),"")</f>
        <v/>
      </c>
      <c r="H206" s="216" t="str">
        <f t="array" ref="H206">IFERROR(INDEX('PORTIFÓLIO'!$H$4:$H$433,MATCH($C206,'PORTIFÓLIO'!$C$4:$C$433,0)),"")</f>
        <v/>
      </c>
      <c r="I206" s="224"/>
      <c r="J206" s="218">
        <f t="shared" si="24"/>
        <v>0</v>
      </c>
      <c r="K206" s="219" t="str">
        <f t="array" ref="K206">IFERROR(I206*INDEX('PORTIFÓLIO'!$S$4:$S$433,MATCH($C206,'PORTIFÓLIO'!$C$4:$C$433,0)),"")</f>
        <v/>
      </c>
      <c r="L206" s="219" t="str">
        <f t="array" ref="L206">IFERROR(J206*INDEX('PORTIFÓLIO'!$S$4:$S$433,MATCH($C206,'PORTIFÓLIO'!$C$4:$C$433,0)),"")</f>
        <v/>
      </c>
      <c r="M206" s="220"/>
      <c r="N206" s="220"/>
      <c r="O206" s="220"/>
      <c r="P206" s="220"/>
      <c r="Q206" s="220"/>
      <c r="R206" s="220"/>
      <c r="S206" s="220"/>
      <c r="T206" s="220"/>
      <c r="U206" s="220"/>
      <c r="V206" s="220"/>
      <c r="W206" s="220"/>
      <c r="X206" s="220"/>
    </row>
    <row r="207" ht="15.75" customHeight="1" outlineLevel="1">
      <c r="A207" s="211"/>
      <c r="B207" s="212"/>
      <c r="C207" s="213"/>
      <c r="D207" s="214" t="str">
        <f>IFERROR(VLOOKUP($C207,'PORTIFÓLIO'!C:V,2,0),"")</f>
        <v/>
      </c>
      <c r="E207" s="211" t="str">
        <f>IFERROR(VLOOKUP($C207,'PORTIFÓLIO'!C:V,3,0),"")</f>
        <v/>
      </c>
      <c r="F207" s="211" t="str">
        <f>IFERROR(VLOOKUP($C207,'PORTIFÓLIO'!C:V,4,0),"")</f>
        <v/>
      </c>
      <c r="G207" s="215" t="str">
        <f>IFERROR(VLOOKUP($C207,'PORTIFÓLIO'!C:V,5,0),"")</f>
        <v/>
      </c>
      <c r="H207" s="216" t="str">
        <f t="array" ref="H207">IFERROR(INDEX('PORTIFÓLIO'!$H$4:$H$433,MATCH($C207,'PORTIFÓLIO'!$C$4:$C$433,0)),"")</f>
        <v/>
      </c>
      <c r="I207" s="224"/>
      <c r="J207" s="218">
        <f t="shared" si="24"/>
        <v>0</v>
      </c>
      <c r="K207" s="219" t="str">
        <f t="array" ref="K207">IFERROR(I207*INDEX('PORTIFÓLIO'!$S$4:$S$433,MATCH($C207,'PORTIFÓLIO'!$C$4:$C$433,0)),"")</f>
        <v/>
      </c>
      <c r="L207" s="219" t="str">
        <f t="array" ref="L207">IFERROR(J207*INDEX('PORTIFÓLIO'!$S$4:$S$433,MATCH($C207,'PORTIFÓLIO'!$C$4:$C$433,0)),"")</f>
        <v/>
      </c>
      <c r="M207" s="220"/>
      <c r="N207" s="220"/>
      <c r="O207" s="220"/>
      <c r="P207" s="220"/>
      <c r="Q207" s="220"/>
      <c r="R207" s="220"/>
      <c r="S207" s="220"/>
      <c r="T207" s="220"/>
      <c r="U207" s="220"/>
      <c r="V207" s="220"/>
      <c r="W207" s="220"/>
      <c r="X207" s="220"/>
    </row>
    <row r="208" ht="15.75" customHeight="1" outlineLevel="1">
      <c r="A208" s="211"/>
      <c r="B208" s="212"/>
      <c r="C208" s="213"/>
      <c r="D208" s="214" t="str">
        <f>IFERROR(VLOOKUP($C208,'PORTIFÓLIO'!C:V,2,0),"")</f>
        <v/>
      </c>
      <c r="E208" s="211" t="str">
        <f>IFERROR(VLOOKUP($C208,'PORTIFÓLIO'!C:V,3,0),"")</f>
        <v/>
      </c>
      <c r="F208" s="211" t="str">
        <f>IFERROR(VLOOKUP($C208,'PORTIFÓLIO'!C:V,4,0),"")</f>
        <v/>
      </c>
      <c r="G208" s="215" t="str">
        <f>IFERROR(VLOOKUP($C208,'PORTIFÓLIO'!C:V,5,0),"")</f>
        <v/>
      </c>
      <c r="H208" s="216" t="str">
        <f t="array" ref="H208">IFERROR(INDEX('PORTIFÓLIO'!$H$4:$H$433,MATCH($C208,'PORTIFÓLIO'!$C$4:$C$433,0)),"")</f>
        <v/>
      </c>
      <c r="I208" s="224"/>
      <c r="J208" s="218">
        <f t="shared" si="24"/>
        <v>0</v>
      </c>
      <c r="K208" s="219" t="str">
        <f t="array" ref="K208">IFERROR(I208*INDEX('PORTIFÓLIO'!$S$4:$S$433,MATCH($C208,'PORTIFÓLIO'!$C$4:$C$433,0)),"")</f>
        <v/>
      </c>
      <c r="L208" s="219" t="str">
        <f t="array" ref="L208">IFERROR(J208*INDEX('PORTIFÓLIO'!$S$4:$S$433,MATCH($C208,'PORTIFÓLIO'!$C$4:$C$433,0)),"")</f>
        <v/>
      </c>
      <c r="M208" s="220"/>
      <c r="N208" s="220"/>
      <c r="O208" s="220"/>
      <c r="P208" s="220"/>
      <c r="Q208" s="220"/>
      <c r="R208" s="220"/>
      <c r="S208" s="220"/>
      <c r="T208" s="220"/>
      <c r="U208" s="220"/>
      <c r="V208" s="220"/>
      <c r="W208" s="220"/>
      <c r="X208" s="220"/>
    </row>
    <row r="209" ht="15.75" customHeight="1" outlineLevel="1">
      <c r="A209" s="211"/>
      <c r="B209" s="212"/>
      <c r="C209" s="213"/>
      <c r="D209" s="214" t="str">
        <f>IFERROR(VLOOKUP($C209,'PORTIFÓLIO'!C:V,2,0),"")</f>
        <v/>
      </c>
      <c r="E209" s="211" t="str">
        <f>IFERROR(VLOOKUP($C209,'PORTIFÓLIO'!C:V,3,0),"")</f>
        <v/>
      </c>
      <c r="F209" s="211" t="str">
        <f>IFERROR(VLOOKUP($C209,'PORTIFÓLIO'!C:V,4,0),"")</f>
        <v/>
      </c>
      <c r="G209" s="215" t="str">
        <f>IFERROR(VLOOKUP($C209,'PORTIFÓLIO'!C:V,5,0),"")</f>
        <v/>
      </c>
      <c r="H209" s="216" t="str">
        <f t="array" ref="H209">IFERROR(INDEX('PORTIFÓLIO'!$H$4:$H$433,MATCH($C209,'PORTIFÓLIO'!$C$4:$C$433,0)),"")</f>
        <v/>
      </c>
      <c r="I209" s="224"/>
      <c r="J209" s="218">
        <f t="shared" si="24"/>
        <v>0</v>
      </c>
      <c r="K209" s="219" t="str">
        <f t="array" ref="K209">IFERROR(I209*INDEX('PORTIFÓLIO'!$S$4:$S$433,MATCH($C209,'PORTIFÓLIO'!$C$4:$C$433,0)),"")</f>
        <v/>
      </c>
      <c r="L209" s="219" t="str">
        <f t="array" ref="L209">IFERROR(J209*INDEX('PORTIFÓLIO'!$S$4:$S$433,MATCH($C209,'PORTIFÓLIO'!$C$4:$C$433,0)),"")</f>
        <v/>
      </c>
      <c r="M209" s="220"/>
      <c r="N209" s="220"/>
      <c r="O209" s="220"/>
      <c r="P209" s="220"/>
      <c r="Q209" s="220"/>
      <c r="R209" s="220"/>
      <c r="S209" s="220"/>
      <c r="T209" s="220"/>
      <c r="U209" s="220"/>
      <c r="V209" s="220"/>
      <c r="W209" s="220"/>
      <c r="X209" s="220"/>
    </row>
    <row r="210" ht="15.75" customHeight="1" outlineLevel="1">
      <c r="A210" s="211"/>
      <c r="B210" s="212"/>
      <c r="C210" s="213"/>
      <c r="D210" s="214" t="str">
        <f>IFERROR(VLOOKUP($C210,'PORTIFÓLIO'!C:V,2,0),"")</f>
        <v/>
      </c>
      <c r="E210" s="211" t="str">
        <f>IFERROR(VLOOKUP($C210,'PORTIFÓLIO'!C:V,3,0),"")</f>
        <v/>
      </c>
      <c r="F210" s="211" t="str">
        <f>IFERROR(VLOOKUP($C210,'PORTIFÓLIO'!C:V,4,0),"")</f>
        <v/>
      </c>
      <c r="G210" s="215" t="str">
        <f>IFERROR(VLOOKUP($C210,'PORTIFÓLIO'!C:V,5,0),"")</f>
        <v/>
      </c>
      <c r="H210" s="216" t="str">
        <f t="array" ref="H210">IFERROR(INDEX('PORTIFÓLIO'!$H$4:$H$433,MATCH($C210,'PORTIFÓLIO'!$C$4:$C$433,0)),"")</f>
        <v/>
      </c>
      <c r="I210" s="224"/>
      <c r="J210" s="218">
        <f t="shared" si="24"/>
        <v>0</v>
      </c>
      <c r="K210" s="219" t="str">
        <f t="array" ref="K210">IFERROR(I210*INDEX('PORTIFÓLIO'!$S$4:$S$433,MATCH($C210,'PORTIFÓLIO'!$C$4:$C$433,0)),"")</f>
        <v/>
      </c>
      <c r="L210" s="219" t="str">
        <f t="array" ref="L210">IFERROR(J210*INDEX('PORTIFÓLIO'!$S$4:$S$433,MATCH($C210,'PORTIFÓLIO'!$C$4:$C$433,0)),"")</f>
        <v/>
      </c>
      <c r="M210" s="220"/>
      <c r="N210" s="220"/>
      <c r="O210" s="220"/>
      <c r="P210" s="220"/>
      <c r="Q210" s="220"/>
      <c r="R210" s="220"/>
      <c r="S210" s="220"/>
      <c r="T210" s="220"/>
      <c r="U210" s="220"/>
      <c r="V210" s="220"/>
      <c r="W210" s="220"/>
      <c r="X210" s="220"/>
    </row>
    <row r="211" ht="15.75" customHeight="1" outlineLevel="1">
      <c r="A211" s="211"/>
      <c r="B211" s="212"/>
      <c r="C211" s="213"/>
      <c r="D211" s="214" t="str">
        <f>IFERROR(VLOOKUP($C211,'PORTIFÓLIO'!C:V,2,0),"")</f>
        <v/>
      </c>
      <c r="E211" s="211" t="str">
        <f>IFERROR(VLOOKUP($C211,'PORTIFÓLIO'!C:V,3,0),"")</f>
        <v/>
      </c>
      <c r="F211" s="211" t="str">
        <f>IFERROR(VLOOKUP($C211,'PORTIFÓLIO'!C:V,4,0),"")</f>
        <v/>
      </c>
      <c r="G211" s="215" t="str">
        <f>IFERROR(VLOOKUP($C211,'PORTIFÓLIO'!C:V,5,0),"")</f>
        <v/>
      </c>
      <c r="H211" s="216" t="str">
        <f t="array" ref="H211">IFERROR(INDEX('PORTIFÓLIO'!$H$4:$H$433,MATCH($C211,'PORTIFÓLIO'!$C$4:$C$433,0)),"")</f>
        <v/>
      </c>
      <c r="I211" s="224"/>
      <c r="J211" s="218">
        <f t="shared" si="24"/>
        <v>0</v>
      </c>
      <c r="K211" s="219" t="str">
        <f t="array" ref="K211">IFERROR(I211*INDEX('PORTIFÓLIO'!$S$4:$S$433,MATCH($C211,'PORTIFÓLIO'!$C$4:$C$433,0)),"")</f>
        <v/>
      </c>
      <c r="L211" s="219" t="str">
        <f t="array" ref="L211">IFERROR(J211*INDEX('PORTIFÓLIO'!$S$4:$S$433,MATCH($C211,'PORTIFÓLIO'!$C$4:$C$433,0)),"")</f>
        <v/>
      </c>
      <c r="M211" s="220"/>
      <c r="N211" s="220"/>
      <c r="O211" s="220"/>
      <c r="P211" s="220"/>
      <c r="Q211" s="220"/>
      <c r="R211" s="220"/>
      <c r="S211" s="220"/>
      <c r="T211" s="220"/>
      <c r="U211" s="220"/>
      <c r="V211" s="220"/>
      <c r="W211" s="220"/>
      <c r="X211" s="220"/>
    </row>
    <row r="212" ht="15.75" customHeight="1" outlineLevel="1">
      <c r="A212" s="211"/>
      <c r="B212" s="212"/>
      <c r="C212" s="213"/>
      <c r="D212" s="214" t="str">
        <f>IFERROR(VLOOKUP($C212,'PORTIFÓLIO'!C:V,2,0),"")</f>
        <v/>
      </c>
      <c r="E212" s="211" t="str">
        <f>IFERROR(VLOOKUP($C212,'PORTIFÓLIO'!C:V,3,0),"")</f>
        <v/>
      </c>
      <c r="F212" s="211" t="str">
        <f>IFERROR(VLOOKUP($C212,'PORTIFÓLIO'!C:V,4,0),"")</f>
        <v/>
      </c>
      <c r="G212" s="215" t="str">
        <f>IFERROR(VLOOKUP($C212,'PORTIFÓLIO'!C:V,5,0),"")</f>
        <v/>
      </c>
      <c r="H212" s="216" t="str">
        <f t="array" ref="H212">IFERROR(INDEX('PORTIFÓLIO'!$H$4:$H$433,MATCH($C212,'PORTIFÓLIO'!$C$4:$C$433,0)),"")</f>
        <v/>
      </c>
      <c r="I212" s="224"/>
      <c r="J212" s="218">
        <f t="shared" si="24"/>
        <v>0</v>
      </c>
      <c r="K212" s="219" t="str">
        <f t="array" ref="K212">IFERROR(I212*INDEX('PORTIFÓLIO'!$S$4:$S$433,MATCH($C212,'PORTIFÓLIO'!$C$4:$C$433,0)),"")</f>
        <v/>
      </c>
      <c r="L212" s="219" t="str">
        <f t="array" ref="L212">IFERROR(J212*INDEX('PORTIFÓLIO'!$S$4:$S$433,MATCH($C212,'PORTIFÓLIO'!$C$4:$C$433,0)),"")</f>
        <v/>
      </c>
      <c r="M212" s="220"/>
      <c r="N212" s="220"/>
      <c r="O212" s="220"/>
      <c r="P212" s="220"/>
      <c r="Q212" s="220"/>
      <c r="R212" s="220"/>
      <c r="S212" s="220"/>
      <c r="T212" s="220"/>
      <c r="U212" s="220"/>
      <c r="V212" s="220"/>
      <c r="W212" s="220"/>
      <c r="X212" s="220"/>
    </row>
    <row r="213" ht="15.75" customHeight="1" outlineLevel="1">
      <c r="A213" s="211"/>
      <c r="B213" s="212"/>
      <c r="C213" s="213"/>
      <c r="D213" s="214" t="str">
        <f>IFERROR(VLOOKUP($C213,'PORTIFÓLIO'!C:V,2,0),"")</f>
        <v/>
      </c>
      <c r="E213" s="211" t="str">
        <f>IFERROR(VLOOKUP($C213,'PORTIFÓLIO'!C:V,3,0),"")</f>
        <v/>
      </c>
      <c r="F213" s="211" t="str">
        <f>IFERROR(VLOOKUP($C213,'PORTIFÓLIO'!C:V,4,0),"")</f>
        <v/>
      </c>
      <c r="G213" s="215" t="str">
        <f>IFERROR(VLOOKUP($C213,'PORTIFÓLIO'!C:V,5,0),"")</f>
        <v/>
      </c>
      <c r="H213" s="216" t="str">
        <f t="array" ref="H213">IFERROR(INDEX('PORTIFÓLIO'!$H$4:$H$433,MATCH($C213,'PORTIFÓLIO'!$C$4:$C$433,0)),"")</f>
        <v/>
      </c>
      <c r="I213" s="224"/>
      <c r="J213" s="218">
        <f t="shared" si="24"/>
        <v>0</v>
      </c>
      <c r="K213" s="219" t="str">
        <f t="array" ref="K213">IFERROR(I213*INDEX('PORTIFÓLIO'!$S$4:$S$433,MATCH($C213,'PORTIFÓLIO'!$C$4:$C$433,0)),"")</f>
        <v/>
      </c>
      <c r="L213" s="219" t="str">
        <f t="array" ref="L213">IFERROR(J213*INDEX('PORTIFÓLIO'!$S$4:$S$433,MATCH($C213,'PORTIFÓLIO'!$C$4:$C$433,0)),"")</f>
        <v/>
      </c>
      <c r="M213" s="220"/>
      <c r="N213" s="220"/>
      <c r="O213" s="220"/>
      <c r="P213" s="220"/>
      <c r="Q213" s="220"/>
      <c r="R213" s="220"/>
      <c r="S213" s="220"/>
      <c r="T213" s="220"/>
      <c r="U213" s="220"/>
      <c r="V213" s="220"/>
      <c r="W213" s="220"/>
      <c r="X213" s="220"/>
    </row>
    <row r="214" ht="15.75" customHeight="1" outlineLevel="1">
      <c r="A214" s="211"/>
      <c r="B214" s="212"/>
      <c r="C214" s="213"/>
      <c r="D214" s="214" t="str">
        <f>IFERROR(VLOOKUP($C214,'PORTIFÓLIO'!C:V,2,0),"")</f>
        <v/>
      </c>
      <c r="E214" s="211" t="str">
        <f>IFERROR(VLOOKUP($C214,'PORTIFÓLIO'!C:V,3,0),"")</f>
        <v/>
      </c>
      <c r="F214" s="211" t="str">
        <f>IFERROR(VLOOKUP($C214,'PORTIFÓLIO'!C:V,4,0),"")</f>
        <v/>
      </c>
      <c r="G214" s="215" t="str">
        <f>IFERROR(VLOOKUP($C214,'PORTIFÓLIO'!C:V,5,0),"")</f>
        <v/>
      </c>
      <c r="H214" s="216" t="str">
        <f t="array" ref="H214">IFERROR(INDEX('PORTIFÓLIO'!$H$4:$H$433,MATCH($C214,'PORTIFÓLIO'!$C$4:$C$433,0)),"")</f>
        <v/>
      </c>
      <c r="I214" s="224"/>
      <c r="J214" s="218">
        <f t="shared" si="24"/>
        <v>0</v>
      </c>
      <c r="K214" s="219" t="str">
        <f t="array" ref="K214">IFERROR(I214*INDEX('PORTIFÓLIO'!$S$4:$S$433,MATCH($C214,'PORTIFÓLIO'!$C$4:$C$433,0)),"")</f>
        <v/>
      </c>
      <c r="L214" s="219" t="str">
        <f t="array" ref="L214">IFERROR(J214*INDEX('PORTIFÓLIO'!$S$4:$S$433,MATCH($C214,'PORTIFÓLIO'!$C$4:$C$433,0)),"")</f>
        <v/>
      </c>
      <c r="M214" s="220"/>
      <c r="N214" s="220"/>
      <c r="O214" s="220"/>
      <c r="P214" s="220"/>
      <c r="Q214" s="220"/>
      <c r="R214" s="220"/>
      <c r="S214" s="220"/>
      <c r="T214" s="220"/>
      <c r="U214" s="220"/>
      <c r="V214" s="220"/>
      <c r="W214" s="220"/>
      <c r="X214" s="220"/>
    </row>
    <row r="215" ht="15.75" customHeight="1" outlineLevel="1">
      <c r="A215" s="211"/>
      <c r="B215" s="212"/>
      <c r="C215" s="213"/>
      <c r="D215" s="214" t="str">
        <f>IFERROR(VLOOKUP($C215,'PORTIFÓLIO'!C:V,2,0),"")</f>
        <v/>
      </c>
      <c r="E215" s="211" t="str">
        <f>IFERROR(VLOOKUP($C215,'PORTIFÓLIO'!C:V,3,0),"")</f>
        <v/>
      </c>
      <c r="F215" s="211" t="str">
        <f>IFERROR(VLOOKUP($C215,'PORTIFÓLIO'!C:V,4,0),"")</f>
        <v/>
      </c>
      <c r="G215" s="215" t="str">
        <f>IFERROR(VLOOKUP($C215,'PORTIFÓLIO'!C:V,5,0),"")</f>
        <v/>
      </c>
      <c r="H215" s="216" t="str">
        <f t="array" ref="H215">IFERROR(INDEX('PORTIFÓLIO'!$H$4:$H$433,MATCH($C215,'PORTIFÓLIO'!$C$4:$C$433,0)),"")</f>
        <v/>
      </c>
      <c r="I215" s="224"/>
      <c r="J215" s="218">
        <f t="shared" si="24"/>
        <v>0</v>
      </c>
      <c r="K215" s="219" t="str">
        <f t="array" ref="K215">IFERROR(I215*INDEX('PORTIFÓLIO'!$S$4:$S$433,MATCH($C215,'PORTIFÓLIO'!$C$4:$C$433,0)),"")</f>
        <v/>
      </c>
      <c r="L215" s="219" t="str">
        <f t="array" ref="L215">IFERROR(J215*INDEX('PORTIFÓLIO'!$S$4:$S$433,MATCH($C215,'PORTIFÓLIO'!$C$4:$C$433,0)),"")</f>
        <v/>
      </c>
      <c r="M215" s="220"/>
      <c r="N215" s="220"/>
      <c r="O215" s="220"/>
      <c r="P215" s="220"/>
      <c r="Q215" s="220"/>
      <c r="R215" s="220"/>
      <c r="S215" s="220"/>
      <c r="T215" s="220"/>
      <c r="U215" s="220"/>
      <c r="V215" s="220"/>
      <c r="W215" s="220"/>
      <c r="X215" s="220"/>
    </row>
    <row r="216" ht="15.75" customHeight="1" outlineLevel="1">
      <c r="A216" s="211"/>
      <c r="B216" s="227"/>
      <c r="C216" s="211"/>
      <c r="D216" s="214" t="str">
        <f>IFERROR(VLOOKUP($C216,'PORTIFÓLIO'!C:V,2,0),"")</f>
        <v/>
      </c>
      <c r="E216" s="211" t="str">
        <f>IFERROR(VLOOKUP($C216,'PORTIFÓLIO'!C:V,3,0),"")</f>
        <v/>
      </c>
      <c r="F216" s="211" t="str">
        <f>IFERROR(VLOOKUP($C216,'PORTIFÓLIO'!C:V,4,0),"")</f>
        <v/>
      </c>
      <c r="G216" s="215" t="str">
        <f>IFERROR(VLOOKUP($C216,'PORTIFÓLIO'!C:V,5,0),"")</f>
        <v/>
      </c>
      <c r="H216" s="216" t="str">
        <f t="array" ref="H216">IFERROR(INDEX('PORTIFÓLIO'!$H$4:$H$433,MATCH($C216,'PORTIFÓLIO'!$C$4:$C$433,0)),"")</f>
        <v/>
      </c>
      <c r="I216" s="224"/>
      <c r="J216" s="218">
        <f t="shared" si="24"/>
        <v>0</v>
      </c>
      <c r="K216" s="219" t="str">
        <f t="array" ref="K216">IFERROR(I216*INDEX('PORTIFÓLIO'!$S$4:$S$433,MATCH($C216,'PORTIFÓLIO'!$C$4:$C$433,0)),"")</f>
        <v/>
      </c>
      <c r="L216" s="219" t="str">
        <f t="array" ref="L216">IFERROR(J216*INDEX('PORTIFÓLIO'!$S$4:$S$433,MATCH($C216,'PORTIFÓLIO'!$C$4:$C$433,0)),"")</f>
        <v/>
      </c>
      <c r="M216" s="220"/>
      <c r="N216" s="220"/>
      <c r="O216" s="220"/>
      <c r="P216" s="220"/>
      <c r="Q216" s="220"/>
      <c r="R216" s="220"/>
      <c r="S216" s="220"/>
      <c r="T216" s="220"/>
      <c r="U216" s="220"/>
      <c r="V216" s="220"/>
      <c r="W216" s="220"/>
      <c r="X216" s="220"/>
    </row>
    <row r="217" ht="15.75" customHeight="1" outlineLevel="1">
      <c r="A217" s="211"/>
      <c r="B217" s="227"/>
      <c r="C217" s="211"/>
      <c r="D217" s="214" t="str">
        <f>IFERROR(VLOOKUP($C217,'PORTIFÓLIO'!C:V,2,0),"")</f>
        <v/>
      </c>
      <c r="E217" s="211" t="str">
        <f>IFERROR(VLOOKUP($C217,'PORTIFÓLIO'!C:V,3,0),"")</f>
        <v/>
      </c>
      <c r="F217" s="211" t="str">
        <f>IFERROR(VLOOKUP($C217,'PORTIFÓLIO'!C:V,4,0),"")</f>
        <v/>
      </c>
      <c r="G217" s="215" t="str">
        <f>IFERROR(VLOOKUP($C217,'PORTIFÓLIO'!C:V,5,0),"")</f>
        <v/>
      </c>
      <c r="H217" s="216" t="str">
        <f t="array" ref="H217">IFERROR(INDEX('PORTIFÓLIO'!$H$4:$H$433,MATCH($C217,'PORTIFÓLIO'!$C$4:$C$433,0)),"")</f>
        <v/>
      </c>
      <c r="I217" s="224"/>
      <c r="J217" s="218">
        <f t="shared" si="24"/>
        <v>0</v>
      </c>
      <c r="K217" s="219" t="str">
        <f t="array" ref="K217">IFERROR(I217*INDEX('PORTIFÓLIO'!$S$4:$S$433,MATCH($C217,'PORTIFÓLIO'!$C$4:$C$433,0)),"")</f>
        <v/>
      </c>
      <c r="L217" s="219" t="str">
        <f t="array" ref="L217">IFERROR(J217*INDEX('PORTIFÓLIO'!$S$4:$S$433,MATCH($C217,'PORTIFÓLIO'!$C$4:$C$433,0)),"")</f>
        <v/>
      </c>
      <c r="M217" s="220"/>
      <c r="N217" s="220"/>
      <c r="O217" s="220"/>
      <c r="P217" s="220"/>
      <c r="Q217" s="220"/>
      <c r="R217" s="220"/>
      <c r="S217" s="220"/>
      <c r="T217" s="220"/>
      <c r="U217" s="220"/>
      <c r="V217" s="220"/>
      <c r="W217" s="220"/>
      <c r="X217" s="220"/>
    </row>
    <row r="218" ht="15.75" customHeight="1" outlineLevel="1">
      <c r="A218" s="211"/>
      <c r="B218" s="227"/>
      <c r="C218" s="211"/>
      <c r="D218" s="214" t="str">
        <f>IFERROR(VLOOKUP($C218,'PORTIFÓLIO'!C:V,2,0),"")</f>
        <v/>
      </c>
      <c r="E218" s="211" t="str">
        <f>IFERROR(VLOOKUP($C218,'PORTIFÓLIO'!C:V,3,0),"")</f>
        <v/>
      </c>
      <c r="F218" s="211" t="str">
        <f>IFERROR(VLOOKUP($C218,'PORTIFÓLIO'!C:V,4,0),"")</f>
        <v/>
      </c>
      <c r="G218" s="215" t="str">
        <f>IFERROR(VLOOKUP($C218,'PORTIFÓLIO'!C:V,5,0),"")</f>
        <v/>
      </c>
      <c r="H218" s="216" t="str">
        <f t="array" ref="H218">IFERROR(INDEX('PORTIFÓLIO'!$H$4:$H$433,MATCH($C218,'PORTIFÓLIO'!$C$4:$C$433,0)),"")</f>
        <v/>
      </c>
      <c r="I218" s="224"/>
      <c r="J218" s="218">
        <f t="shared" si="24"/>
        <v>0</v>
      </c>
      <c r="K218" s="219" t="str">
        <f t="array" ref="K218">IFERROR(I218*INDEX('PORTIFÓLIO'!$S$4:$S$433,MATCH($C218,'PORTIFÓLIO'!$C$4:$C$433,0)),"")</f>
        <v/>
      </c>
      <c r="L218" s="219" t="str">
        <f t="array" ref="L218">IFERROR(J218*INDEX('PORTIFÓLIO'!$S$4:$S$433,MATCH($C218,'PORTIFÓLIO'!$C$4:$C$433,0)),"")</f>
        <v/>
      </c>
      <c r="M218" s="220"/>
      <c r="N218" s="220"/>
      <c r="O218" s="220"/>
      <c r="P218" s="220"/>
      <c r="Q218" s="220"/>
      <c r="R218" s="220"/>
      <c r="S218" s="220"/>
      <c r="T218" s="220"/>
      <c r="U218" s="220"/>
      <c r="V218" s="220"/>
      <c r="W218" s="220"/>
      <c r="X218" s="220"/>
    </row>
    <row r="219" ht="15.75" customHeight="1" outlineLevel="1">
      <c r="A219" s="211"/>
      <c r="B219" s="227"/>
      <c r="C219" s="211"/>
      <c r="D219" s="214" t="str">
        <f>IFERROR(VLOOKUP($C219,'PORTIFÓLIO'!C:V,2,0),"")</f>
        <v/>
      </c>
      <c r="E219" s="211" t="str">
        <f>IFERROR(VLOOKUP($C219,'PORTIFÓLIO'!C:V,3,0),"")</f>
        <v/>
      </c>
      <c r="F219" s="211" t="str">
        <f>IFERROR(VLOOKUP($C219,'PORTIFÓLIO'!C:V,4,0),"")</f>
        <v/>
      </c>
      <c r="G219" s="215" t="str">
        <f>IFERROR(VLOOKUP($C219,'PORTIFÓLIO'!C:V,5,0),"")</f>
        <v/>
      </c>
      <c r="H219" s="216" t="str">
        <f t="array" ref="H219">IFERROR(INDEX('PORTIFÓLIO'!$H$4:$H$433,MATCH($C219,'PORTIFÓLIO'!$C$4:$C$433,0)),"")</f>
        <v/>
      </c>
      <c r="I219" s="224"/>
      <c r="J219" s="218">
        <f t="shared" si="24"/>
        <v>0</v>
      </c>
      <c r="K219" s="219" t="str">
        <f t="array" ref="K219">IFERROR(I219*INDEX('PORTIFÓLIO'!$S$4:$S$433,MATCH($C219,'PORTIFÓLIO'!$C$4:$C$433,0)),"")</f>
        <v/>
      </c>
      <c r="L219" s="219" t="str">
        <f t="array" ref="L219">IFERROR(J219*INDEX('PORTIFÓLIO'!$S$4:$S$433,MATCH($C219,'PORTIFÓLIO'!$C$4:$C$433,0)),"")</f>
        <v/>
      </c>
      <c r="M219" s="220"/>
      <c r="N219" s="220"/>
      <c r="O219" s="220"/>
      <c r="P219" s="220"/>
      <c r="Q219" s="220"/>
      <c r="R219" s="220"/>
      <c r="S219" s="220"/>
      <c r="T219" s="220"/>
      <c r="U219" s="220"/>
      <c r="V219" s="220"/>
      <c r="W219" s="220"/>
      <c r="X219" s="220"/>
    </row>
    <row r="220" ht="15.75" customHeight="1" outlineLevel="1">
      <c r="A220" s="211"/>
      <c r="B220" s="227"/>
      <c r="C220" s="211"/>
      <c r="D220" s="214" t="str">
        <f>IFERROR(VLOOKUP($C220,'PORTIFÓLIO'!C:V,2,0),"")</f>
        <v/>
      </c>
      <c r="E220" s="211" t="str">
        <f>IFERROR(VLOOKUP($C220,'PORTIFÓLIO'!C:V,3,0),"")</f>
        <v/>
      </c>
      <c r="F220" s="211" t="str">
        <f>IFERROR(VLOOKUP($C220,'PORTIFÓLIO'!C:V,4,0),"")</f>
        <v/>
      </c>
      <c r="G220" s="215" t="str">
        <f>IFERROR(VLOOKUP($C220,'PORTIFÓLIO'!C:V,5,0),"")</f>
        <v/>
      </c>
      <c r="H220" s="216" t="str">
        <f t="array" ref="H220">IFERROR(INDEX('PORTIFÓLIO'!$H$4:$H$433,MATCH($C220,'PORTIFÓLIO'!$C$4:$C$433,0)),"")</f>
        <v/>
      </c>
      <c r="I220" s="224"/>
      <c r="J220" s="218">
        <f t="shared" si="24"/>
        <v>0</v>
      </c>
      <c r="K220" s="219" t="str">
        <f t="array" ref="K220">IFERROR(I220*INDEX('PORTIFÓLIO'!$S$4:$S$433,MATCH($C220,'PORTIFÓLIO'!$C$4:$C$433,0)),"")</f>
        <v/>
      </c>
      <c r="L220" s="219" t="str">
        <f t="array" ref="L220">IFERROR(J220*INDEX('PORTIFÓLIO'!$S$4:$S$433,MATCH($C220,'PORTIFÓLIO'!$C$4:$C$433,0)),"")</f>
        <v/>
      </c>
      <c r="M220" s="220"/>
      <c r="N220" s="220"/>
      <c r="O220" s="220"/>
      <c r="P220" s="220"/>
      <c r="Q220" s="220"/>
      <c r="R220" s="220"/>
      <c r="S220" s="220"/>
      <c r="T220" s="220"/>
      <c r="U220" s="220"/>
      <c r="V220" s="220"/>
      <c r="W220" s="220"/>
      <c r="X220" s="220"/>
    </row>
    <row r="221" ht="15.75" customHeight="1" outlineLevel="1">
      <c r="A221" s="211"/>
      <c r="B221" s="227"/>
      <c r="C221" s="211"/>
      <c r="D221" s="214" t="str">
        <f>IFERROR(VLOOKUP($C221,'PORTIFÓLIO'!C:V,2,0),"")</f>
        <v/>
      </c>
      <c r="E221" s="211" t="str">
        <f>IFERROR(VLOOKUP($C221,'PORTIFÓLIO'!C:V,3,0),"")</f>
        <v/>
      </c>
      <c r="F221" s="211" t="str">
        <f>IFERROR(VLOOKUP($C221,'PORTIFÓLIO'!C:V,4,0),"")</f>
        <v/>
      </c>
      <c r="G221" s="215" t="str">
        <f>IFERROR(VLOOKUP($C221,'PORTIFÓLIO'!C:V,5,0),"")</f>
        <v/>
      </c>
      <c r="H221" s="216" t="str">
        <f t="array" ref="H221">IFERROR(INDEX('PORTIFÓLIO'!$H$4:$H$433,MATCH($C221,'PORTIFÓLIO'!$C$4:$C$433,0)),"")</f>
        <v/>
      </c>
      <c r="I221" s="224"/>
      <c r="J221" s="218">
        <f t="shared" si="24"/>
        <v>0</v>
      </c>
      <c r="K221" s="219" t="str">
        <f t="array" ref="K221">IFERROR(I221*INDEX('PORTIFÓLIO'!$S$4:$S$433,MATCH($C221,'PORTIFÓLIO'!$C$4:$C$433,0)),"")</f>
        <v/>
      </c>
      <c r="L221" s="219" t="str">
        <f t="array" ref="L221">IFERROR(J221*INDEX('PORTIFÓLIO'!$S$4:$S$433,MATCH($C221,'PORTIFÓLIO'!$C$4:$C$433,0)),"")</f>
        <v/>
      </c>
      <c r="M221" s="220"/>
      <c r="N221" s="220"/>
      <c r="O221" s="220"/>
      <c r="P221" s="220"/>
      <c r="Q221" s="220"/>
      <c r="R221" s="220"/>
      <c r="S221" s="220"/>
      <c r="T221" s="220"/>
      <c r="U221" s="220"/>
      <c r="V221" s="220"/>
      <c r="W221" s="220"/>
      <c r="X221" s="220"/>
    </row>
    <row r="222" ht="15.75" customHeight="1" outlineLevel="1">
      <c r="A222" s="211"/>
      <c r="B222" s="227"/>
      <c r="C222" s="211"/>
      <c r="D222" s="214" t="str">
        <f>IFERROR(VLOOKUP($C222,'PORTIFÓLIO'!C:V,2,0),"")</f>
        <v/>
      </c>
      <c r="E222" s="211" t="str">
        <f>IFERROR(VLOOKUP($C222,'PORTIFÓLIO'!C:V,3,0),"")</f>
        <v/>
      </c>
      <c r="F222" s="211" t="str">
        <f>IFERROR(VLOOKUP($C222,'PORTIFÓLIO'!C:V,4,0),"")</f>
        <v/>
      </c>
      <c r="G222" s="215" t="str">
        <f>IFERROR(VLOOKUP($C222,'PORTIFÓLIO'!C:V,5,0),"")</f>
        <v/>
      </c>
      <c r="H222" s="216" t="str">
        <f t="array" ref="H222">IFERROR(INDEX('PORTIFÓLIO'!$H$4:$H$433,MATCH($C222,'PORTIFÓLIO'!$C$4:$C$433,0)),"")</f>
        <v/>
      </c>
      <c r="I222" s="224"/>
      <c r="J222" s="218">
        <f t="shared" si="24"/>
        <v>0</v>
      </c>
      <c r="K222" s="219" t="str">
        <f t="array" ref="K222">IFERROR(I222*INDEX('PORTIFÓLIO'!$S$4:$S$433,MATCH($C222,'PORTIFÓLIO'!$C$4:$C$433,0)),"")</f>
        <v/>
      </c>
      <c r="L222" s="219" t="str">
        <f t="array" ref="L222">IFERROR(J222*INDEX('PORTIFÓLIO'!$S$4:$S$433,MATCH($C222,'PORTIFÓLIO'!$C$4:$C$433,0)),"")</f>
        <v/>
      </c>
      <c r="M222" s="220"/>
      <c r="N222" s="220"/>
      <c r="O222" s="220"/>
      <c r="P222" s="220"/>
      <c r="Q222" s="220"/>
      <c r="R222" s="220"/>
      <c r="S222" s="220"/>
      <c r="T222" s="220"/>
      <c r="U222" s="220"/>
      <c r="V222" s="220"/>
      <c r="W222" s="220"/>
      <c r="X222" s="220"/>
    </row>
    <row r="223" ht="15.75" customHeight="1" outlineLevel="1">
      <c r="A223" s="211"/>
      <c r="B223" s="227"/>
      <c r="C223" s="211"/>
      <c r="D223" s="214" t="str">
        <f>IFERROR(VLOOKUP($C223,'PORTIFÓLIO'!C:V,2,0),"")</f>
        <v/>
      </c>
      <c r="E223" s="211" t="str">
        <f>IFERROR(VLOOKUP($C223,'PORTIFÓLIO'!C:V,3,0),"")</f>
        <v/>
      </c>
      <c r="F223" s="211" t="str">
        <f>IFERROR(VLOOKUP($C223,'PORTIFÓLIO'!C:V,4,0),"")</f>
        <v/>
      </c>
      <c r="G223" s="215" t="str">
        <f>IFERROR(VLOOKUP($C223,'PORTIFÓLIO'!C:V,5,0),"")</f>
        <v/>
      </c>
      <c r="H223" s="216" t="str">
        <f t="array" ref="H223">IFERROR(INDEX('PORTIFÓLIO'!$H$4:$H$433,MATCH($C223,'PORTIFÓLIO'!$C$4:$C$433,0)),"")</f>
        <v/>
      </c>
      <c r="I223" s="224"/>
      <c r="J223" s="218">
        <f t="shared" si="24"/>
        <v>0</v>
      </c>
      <c r="K223" s="219" t="str">
        <f t="array" ref="K223">IFERROR(I223*INDEX('PORTIFÓLIO'!$S$4:$S$433,MATCH($C223,'PORTIFÓLIO'!$C$4:$C$433,0)),"")</f>
        <v/>
      </c>
      <c r="L223" s="219" t="str">
        <f t="array" ref="L223">IFERROR(J223*INDEX('PORTIFÓLIO'!$S$4:$S$433,MATCH($C223,'PORTIFÓLIO'!$C$4:$C$433,0)),"")</f>
        <v/>
      </c>
      <c r="M223" s="220"/>
      <c r="N223" s="220"/>
      <c r="O223" s="220"/>
      <c r="P223" s="220"/>
      <c r="Q223" s="220"/>
      <c r="R223" s="220"/>
      <c r="S223" s="220"/>
      <c r="T223" s="220"/>
      <c r="U223" s="220"/>
      <c r="V223" s="220"/>
      <c r="W223" s="220"/>
      <c r="X223" s="220"/>
    </row>
    <row r="224" ht="15.75" customHeight="1" outlineLevel="1">
      <c r="A224" s="211"/>
      <c r="B224" s="227"/>
      <c r="C224" s="211"/>
      <c r="D224" s="214" t="str">
        <f>IFERROR(VLOOKUP($C224,'PORTIFÓLIO'!C:V,2,0),"")</f>
        <v/>
      </c>
      <c r="E224" s="211" t="str">
        <f>IFERROR(VLOOKUP($C224,'PORTIFÓLIO'!C:V,3,0),"")</f>
        <v/>
      </c>
      <c r="F224" s="211" t="str">
        <f>IFERROR(VLOOKUP($C224,'PORTIFÓLIO'!C:V,4,0),"")</f>
        <v/>
      </c>
      <c r="G224" s="215" t="str">
        <f>IFERROR(VLOOKUP($C224,'PORTIFÓLIO'!C:V,5,0),"")</f>
        <v/>
      </c>
      <c r="H224" s="216" t="str">
        <f t="array" ref="H224">IFERROR(INDEX('PORTIFÓLIO'!$H$4:$H$433,MATCH($C224,'PORTIFÓLIO'!$C$4:$C$433,0)),"")</f>
        <v/>
      </c>
      <c r="I224" s="224"/>
      <c r="J224" s="218">
        <f t="shared" si="24"/>
        <v>0</v>
      </c>
      <c r="K224" s="219" t="str">
        <f t="array" ref="K224">IFERROR(I224*INDEX('PORTIFÓLIO'!$S$4:$S$433,MATCH($C224,'PORTIFÓLIO'!$C$4:$C$433,0)),"")</f>
        <v/>
      </c>
      <c r="L224" s="219" t="str">
        <f t="array" ref="L224">IFERROR(J224*INDEX('PORTIFÓLIO'!$S$4:$S$433,MATCH($C224,'PORTIFÓLIO'!$C$4:$C$433,0)),"")</f>
        <v/>
      </c>
      <c r="M224" s="220"/>
      <c r="N224" s="220"/>
      <c r="O224" s="220"/>
      <c r="P224" s="220"/>
      <c r="Q224" s="220"/>
      <c r="R224" s="220"/>
      <c r="S224" s="220"/>
      <c r="T224" s="220"/>
      <c r="U224" s="220"/>
      <c r="V224" s="220"/>
      <c r="W224" s="220"/>
      <c r="X224" s="220"/>
    </row>
    <row r="225" ht="15.75" customHeight="1">
      <c r="A225" s="238"/>
      <c r="B225" s="238"/>
      <c r="C225" s="238"/>
      <c r="D225" s="238"/>
      <c r="E225" s="238"/>
      <c r="F225" s="238"/>
      <c r="G225" s="206"/>
      <c r="H225" s="192" t="str">
        <f t="array" ref="H225">IFERROR(INDEX('PORTIFÓLIO'!$H$4:$H$433,MATCH($C225,'PORTIFÓLIO'!$C$4:$C$433,0)),"")</f>
        <v/>
      </c>
      <c r="I225" s="190"/>
      <c r="J225" s="238"/>
      <c r="K225" s="239">
        <f t="shared" ref="K225:L225" si="25">SUBTOTAL(9,K10:K200)</f>
        <v>1845.844771</v>
      </c>
      <c r="L225" s="239">
        <f t="shared" si="25"/>
        <v>503915.6226</v>
      </c>
      <c r="M225" s="177"/>
      <c r="N225" s="177"/>
      <c r="O225" s="177"/>
      <c r="P225" s="177"/>
      <c r="Q225" s="177"/>
      <c r="R225" s="177"/>
      <c r="S225" s="177"/>
      <c r="T225" s="177"/>
      <c r="U225" s="177"/>
      <c r="V225" s="177"/>
      <c r="W225" s="177"/>
      <c r="X225" s="177"/>
    </row>
    <row r="226" ht="15.75" customHeight="1">
      <c r="A226" s="240"/>
      <c r="B226" s="240"/>
      <c r="C226" s="240"/>
      <c r="D226" s="240"/>
      <c r="E226" s="240"/>
      <c r="F226" s="240"/>
      <c r="G226" s="241"/>
      <c r="H226" s="241"/>
      <c r="I226" s="242"/>
      <c r="J226" s="240"/>
      <c r="K226" s="240"/>
      <c r="L226" s="240"/>
      <c r="M226" s="240"/>
      <c r="N226" s="240"/>
      <c r="O226" s="240"/>
      <c r="P226" s="240"/>
      <c r="Q226" s="240"/>
      <c r="R226" s="240"/>
      <c r="S226" s="240"/>
      <c r="T226" s="240"/>
      <c r="U226" s="240"/>
      <c r="V226" s="240"/>
      <c r="W226" s="240"/>
      <c r="X226" s="240"/>
    </row>
    <row r="227" ht="15.75" customHeight="1">
      <c r="A227" s="178" t="s">
        <v>1203</v>
      </c>
      <c r="B227" s="170" t="str">
        <f>'ÁREA PLANTIO'!B2</f>
        <v>ÁREA 1</v>
      </c>
      <c r="C227" s="171" t="s">
        <v>1166</v>
      </c>
      <c r="D227" s="172">
        <f>$K$452</f>
        <v>329.804944</v>
      </c>
      <c r="E227" s="173"/>
      <c r="F227" s="174" t="s">
        <v>1167</v>
      </c>
      <c r="G227" s="175"/>
      <c r="H227" s="243" t="str">
        <f t="array" ref="H227">IFERROR(INDEX('PORTIFÓLIO'!$H$4:$H$433,MATCH($C227,'PORTIFÓLIO'!$C$4:$C$433,0)),"")</f>
        <v/>
      </c>
      <c r="I227" s="176"/>
      <c r="J227" s="176"/>
      <c r="K227" s="175"/>
      <c r="L227" s="177"/>
      <c r="M227" s="177"/>
      <c r="N227" s="177"/>
      <c r="O227" s="177"/>
      <c r="P227" s="177"/>
      <c r="Q227" s="177"/>
      <c r="R227" s="177"/>
      <c r="S227" s="177"/>
      <c r="T227" s="177"/>
      <c r="U227" s="177"/>
      <c r="V227" s="177"/>
      <c r="W227" s="177"/>
      <c r="X227" s="177"/>
    </row>
    <row r="228" ht="15.75" customHeight="1">
      <c r="A228" s="178" t="s">
        <v>1168</v>
      </c>
      <c r="B228" s="179">
        <f>'ÁREA PLANTIO'!E2</f>
        <v>273</v>
      </c>
      <c r="C228" s="180" t="s">
        <v>1169</v>
      </c>
      <c r="D228" s="181">
        <f>'ÁREA PLANTIO'!I2</f>
        <v>60</v>
      </c>
      <c r="E228" s="173"/>
      <c r="F228" s="173"/>
      <c r="G228" s="175"/>
      <c r="H228" s="243" t="str">
        <f t="array" ref="H228">IFERROR(INDEX('PORTIFÓLIO'!$H$4:$H$433,MATCH($C228,'PORTIFÓLIO'!$C$4:$C$433,0)),"")</f>
        <v/>
      </c>
      <c r="I228" s="176"/>
      <c r="J228" s="176"/>
      <c r="K228" s="175"/>
      <c r="L228" s="177"/>
      <c r="M228" s="177"/>
      <c r="N228" s="177"/>
      <c r="O228" s="177"/>
      <c r="P228" s="177"/>
      <c r="Q228" s="177"/>
      <c r="R228" s="177"/>
      <c r="S228" s="177"/>
      <c r="T228" s="177"/>
      <c r="U228" s="177"/>
      <c r="V228" s="177"/>
      <c r="W228" s="177"/>
      <c r="X228" s="177"/>
    </row>
    <row r="229" ht="15.75" customHeight="1">
      <c r="A229" s="178" t="s">
        <v>1170</v>
      </c>
      <c r="B229" s="176" t="str">
        <f>'ÁREA PLANTIO'!H2</f>
        <v>FA-SORGO SEQUEIRO-27/27</v>
      </c>
      <c r="C229" s="180" t="s">
        <v>1171</v>
      </c>
      <c r="D229" s="182">
        <f>D227/D228</f>
        <v>5.496749067</v>
      </c>
      <c r="E229" s="173"/>
      <c r="F229" s="173"/>
      <c r="G229" s="175"/>
      <c r="H229" s="243" t="str">
        <f t="array" ref="H229">IFERROR(INDEX('PORTIFÓLIO'!$H$4:$H$433,MATCH($C229,'PORTIFÓLIO'!$C$4:$C$433,0)),"")</f>
        <v/>
      </c>
      <c r="I229" s="176"/>
      <c r="J229" s="176"/>
      <c r="K229" s="175"/>
      <c r="L229" s="177"/>
      <c r="M229" s="177"/>
      <c r="N229" s="177"/>
      <c r="O229" s="177"/>
      <c r="P229" s="177"/>
      <c r="Q229" s="177"/>
      <c r="R229" s="177"/>
      <c r="S229" s="177"/>
      <c r="T229" s="177"/>
      <c r="U229" s="177"/>
      <c r="V229" s="177"/>
      <c r="W229" s="177"/>
      <c r="X229" s="177"/>
    </row>
    <row r="230" ht="15.75" customHeight="1">
      <c r="A230" s="183" t="s">
        <v>1172</v>
      </c>
      <c r="B230" s="184">
        <v>45606.0</v>
      </c>
      <c r="C230" s="185"/>
      <c r="D230" s="186"/>
      <c r="E230" s="187"/>
      <c r="F230" s="173"/>
      <c r="G230" s="175"/>
      <c r="H230" s="243" t="str">
        <f t="array" ref="H230">IFERROR(INDEX('PORTIFÓLIO'!$H$4:$H$433,MATCH($C230,'PORTIFÓLIO'!$C$4:$C$433,0)),"")</f>
        <v/>
      </c>
      <c r="I230" s="176"/>
      <c r="J230" s="176"/>
      <c r="K230" s="175"/>
      <c r="L230" s="177"/>
      <c r="M230" s="177"/>
      <c r="N230" s="177"/>
      <c r="O230" s="177"/>
      <c r="P230" s="177"/>
      <c r="Q230" s="177"/>
      <c r="R230" s="177"/>
      <c r="S230" s="177"/>
      <c r="T230" s="177"/>
      <c r="U230" s="177"/>
      <c r="V230" s="177"/>
      <c r="W230" s="177"/>
      <c r="X230" s="177"/>
    </row>
    <row r="231" ht="15.75" customHeight="1">
      <c r="A231" s="177"/>
      <c r="B231" s="177"/>
      <c r="C231" s="177"/>
      <c r="D231" s="177"/>
      <c r="E231" s="188"/>
      <c r="F231" s="173"/>
      <c r="G231" s="175"/>
      <c r="H231" s="243" t="str">
        <f t="array" ref="H231">IFERROR(INDEX('PORTIFÓLIO'!$H$4:$H$433,MATCH($C231,'PORTIFÓLIO'!$C$4:$C$433,0)),"")</f>
        <v/>
      </c>
      <c r="I231" s="176"/>
      <c r="J231" s="176"/>
      <c r="K231" s="175"/>
      <c r="L231" s="177"/>
      <c r="M231" s="177"/>
      <c r="N231" s="177"/>
      <c r="O231" s="177"/>
      <c r="P231" s="177"/>
      <c r="Q231" s="177"/>
      <c r="R231" s="177"/>
      <c r="S231" s="177"/>
      <c r="T231" s="177"/>
      <c r="U231" s="177"/>
      <c r="V231" s="177"/>
      <c r="W231" s="177"/>
      <c r="X231" s="177"/>
    </row>
    <row r="232" ht="15.75" customHeight="1">
      <c r="A232" s="178"/>
      <c r="B232" s="176"/>
      <c r="C232" s="173"/>
      <c r="D232" s="173"/>
      <c r="E232" s="173"/>
      <c r="F232" s="173"/>
      <c r="G232" s="175"/>
      <c r="H232" s="243" t="str">
        <f t="array" ref="H232">IFERROR(INDEX('PORTIFÓLIO'!$H$4:$H$433,MATCH($C232,'PORTIFÓLIO'!$C$4:$C$433,0)),"")</f>
        <v/>
      </c>
      <c r="I232" s="176"/>
      <c r="J232" s="176"/>
      <c r="K232" s="175"/>
      <c r="L232" s="177"/>
      <c r="M232" s="177"/>
      <c r="N232" s="177"/>
      <c r="O232" s="177"/>
      <c r="P232" s="177"/>
      <c r="Q232" s="177"/>
      <c r="R232" s="177"/>
      <c r="S232" s="177"/>
      <c r="T232" s="177"/>
      <c r="U232" s="177"/>
      <c r="V232" s="177"/>
      <c r="W232" s="177"/>
      <c r="X232" s="177"/>
    </row>
    <row r="233" ht="15.75" customHeight="1">
      <c r="A233" s="176"/>
      <c r="B233" s="176"/>
      <c r="C233" s="173"/>
      <c r="D233" s="173"/>
      <c r="E233" s="173"/>
      <c r="F233" s="173"/>
      <c r="G233" s="175"/>
      <c r="H233" s="243" t="str">
        <f t="array" ref="H233">IFERROR(INDEX('PORTIFÓLIO'!$H$4:$H$433,MATCH($C233,'PORTIFÓLIO'!$C$4:$C$433,0)),"")</f>
        <v/>
      </c>
      <c r="I233" s="176"/>
      <c r="J233" s="176"/>
      <c r="K233" s="175"/>
      <c r="L233" s="177"/>
      <c r="M233" s="177"/>
      <c r="N233" s="177"/>
      <c r="O233" s="177"/>
      <c r="P233" s="177"/>
      <c r="Q233" s="177"/>
      <c r="R233" s="177"/>
      <c r="S233" s="177"/>
      <c r="T233" s="177"/>
      <c r="U233" s="177"/>
      <c r="V233" s="177"/>
      <c r="W233" s="177"/>
      <c r="X233" s="177"/>
    </row>
    <row r="234" ht="15.75" customHeight="1">
      <c r="A234" s="176"/>
      <c r="B234" s="176"/>
      <c r="C234" s="176"/>
      <c r="D234" s="176"/>
      <c r="E234" s="173"/>
      <c r="F234" s="173"/>
      <c r="G234" s="175"/>
      <c r="H234" s="243" t="str">
        <f t="array" ref="H234">IFERROR(INDEX('PORTIFÓLIO'!$H$4:$H$433,MATCH($C234,'PORTIFÓLIO'!$C$4:$C$433,0)),"")</f>
        <v/>
      </c>
      <c r="I234" s="176"/>
      <c r="J234" s="176"/>
      <c r="K234" s="175"/>
      <c r="L234" s="177"/>
      <c r="M234" s="177"/>
      <c r="N234" s="177"/>
      <c r="O234" s="177"/>
      <c r="P234" s="177"/>
      <c r="Q234" s="177"/>
      <c r="R234" s="177"/>
      <c r="S234" s="177"/>
      <c r="T234" s="177"/>
      <c r="U234" s="177"/>
      <c r="V234" s="177"/>
      <c r="W234" s="177"/>
      <c r="X234" s="177"/>
    </row>
    <row r="235" ht="15.75" customHeight="1">
      <c r="A235" s="176"/>
      <c r="B235" s="244"/>
      <c r="C235" s="244"/>
      <c r="D235" s="176"/>
      <c r="E235" s="176"/>
      <c r="F235" s="176"/>
      <c r="G235" s="175"/>
      <c r="H235" s="243"/>
      <c r="I235" s="243"/>
      <c r="J235" s="245"/>
      <c r="K235" s="246"/>
      <c r="L235" s="189"/>
      <c r="M235" s="177"/>
      <c r="N235" s="177"/>
      <c r="O235" s="177"/>
      <c r="P235" s="177"/>
      <c r="Q235" s="177"/>
      <c r="R235" s="177"/>
      <c r="S235" s="177"/>
      <c r="T235" s="177"/>
      <c r="U235" s="177"/>
      <c r="V235" s="177"/>
      <c r="W235" s="177"/>
      <c r="X235" s="177"/>
    </row>
    <row r="236" ht="15.75" customHeight="1">
      <c r="A236" s="190" t="s">
        <v>1173</v>
      </c>
      <c r="B236" s="191" t="s">
        <v>1174</v>
      </c>
      <c r="C236" s="191" t="s">
        <v>1175</v>
      </c>
      <c r="D236" s="190" t="s">
        <v>1176</v>
      </c>
      <c r="E236" s="190" t="s">
        <v>1177</v>
      </c>
      <c r="F236" s="190" t="s">
        <v>1178</v>
      </c>
      <c r="G236" s="192" t="s">
        <v>1179</v>
      </c>
      <c r="H236" s="192" t="s">
        <v>1180</v>
      </c>
      <c r="I236" s="192" t="s">
        <v>1181</v>
      </c>
      <c r="J236" s="193" t="s">
        <v>1134</v>
      </c>
      <c r="K236" s="194" t="s">
        <v>1182</v>
      </c>
      <c r="L236" s="195" t="s">
        <v>339</v>
      </c>
      <c r="M236" s="177"/>
      <c r="N236" s="177"/>
      <c r="O236" s="177"/>
      <c r="P236" s="177"/>
      <c r="Q236" s="177"/>
      <c r="R236" s="177"/>
      <c r="S236" s="177"/>
      <c r="T236" s="177"/>
      <c r="U236" s="177"/>
      <c r="V236" s="177"/>
      <c r="W236" s="177"/>
      <c r="X236" s="177"/>
    </row>
    <row r="237" ht="15.75" customHeight="1">
      <c r="A237" s="196" t="s">
        <v>1183</v>
      </c>
      <c r="B237" s="197"/>
      <c r="C237" s="196"/>
      <c r="D237" s="198"/>
      <c r="E237" s="196"/>
      <c r="F237" s="196"/>
      <c r="G237" s="199"/>
      <c r="H237" s="199"/>
      <c r="I237" s="201"/>
      <c r="J237" s="202"/>
      <c r="K237" s="203">
        <f t="shared" ref="K237:L237" si="26">SUBTOTAL(9,K238:K251)</f>
        <v>0</v>
      </c>
      <c r="L237" s="203">
        <f t="shared" si="26"/>
        <v>0</v>
      </c>
      <c r="M237" s="177"/>
      <c r="N237" s="177"/>
      <c r="O237" s="177"/>
      <c r="P237" s="177"/>
      <c r="Q237" s="177"/>
      <c r="R237" s="177"/>
      <c r="S237" s="177"/>
      <c r="T237" s="177"/>
      <c r="U237" s="177"/>
      <c r="V237" s="177"/>
      <c r="W237" s="177"/>
      <c r="X237" s="177"/>
    </row>
    <row r="238" ht="15.75" customHeight="1" outlineLevel="1">
      <c r="A238" s="190"/>
      <c r="B238" s="204" t="s">
        <v>7</v>
      </c>
      <c r="C238" s="191" t="s">
        <v>413</v>
      </c>
      <c r="D238" s="205" t="str">
        <f>IFERROR(VLOOKUP($C238,'PORTIFÓLIO'!C:V,2,0),"")</f>
        <v>P 21%</v>
      </c>
      <c r="E238" s="190" t="str">
        <f>IFERROR(VLOOKUP($C238,'PORTIFÓLIO'!C:V,3,0),"")</f>
        <v/>
      </c>
      <c r="F238" s="190" t="str">
        <f>IFERROR(VLOOKUP($C238,'PORTIFÓLIO'!C:V,4,0),"")</f>
        <v>Ton</v>
      </c>
      <c r="G238" s="206" t="str">
        <f>IFERROR(VLOOKUP($C238,'PORTIFÓLIO'!C:V,5,0),"")</f>
        <v/>
      </c>
      <c r="H238" s="247" t="str">
        <f t="array" ref="H238">IFERROR(INDEX('PORTIFÓLIO'!$H$4:$H$433,MATCH($C238,'PORTIFÓLIO'!$C$4:$C$433,0)),"")</f>
        <v/>
      </c>
      <c r="I238" s="208">
        <v>0.2</v>
      </c>
      <c r="J238" s="209">
        <f t="shared" ref="J238:J251" si="27">I238*$B$2</f>
        <v>54.6</v>
      </c>
      <c r="K238" s="210">
        <f t="array" ref="K238">IFERROR(I238*INDEX('PORTIFÓLIO'!$S$4:$S$433,MATCH($C238,'PORTIFÓLIO'!$C$4:$C$433,0)),"")</f>
        <v>0</v>
      </c>
      <c r="L238" s="210">
        <f t="array" ref="L238">IFERROR(J238*INDEX('PORTIFÓLIO'!$S$4:$S$433,MATCH($C238,'PORTIFÓLIO'!$C$4:$C$433,0)),"")</f>
        <v>0</v>
      </c>
      <c r="M238" s="177"/>
      <c r="N238" s="177"/>
      <c r="O238" s="177"/>
      <c r="P238" s="177"/>
      <c r="Q238" s="177"/>
      <c r="R238" s="177"/>
      <c r="S238" s="177"/>
      <c r="T238" s="177"/>
      <c r="U238" s="177"/>
      <c r="V238" s="177"/>
      <c r="W238" s="177"/>
      <c r="X238" s="177"/>
    </row>
    <row r="239" ht="15.75" customHeight="1" outlineLevel="1">
      <c r="A239" s="190"/>
      <c r="B239" s="204" t="s">
        <v>7</v>
      </c>
      <c r="C239" s="191" t="s">
        <v>405</v>
      </c>
      <c r="D239" s="205" t="str">
        <f>IFERROR(VLOOKUP($C239,'PORTIFÓLIO'!C:V,2,0),"")</f>
        <v>K2O 60%</v>
      </c>
      <c r="E239" s="190" t="str">
        <f>IFERROR(VLOOKUP($C239,'PORTIFÓLIO'!C:V,3,0),"")</f>
        <v/>
      </c>
      <c r="F239" s="190" t="str">
        <f>IFERROR(VLOOKUP($C239,'PORTIFÓLIO'!C:V,4,0),"")</f>
        <v>Ton</v>
      </c>
      <c r="G239" s="206" t="str">
        <f>IFERROR(VLOOKUP($C239,'PORTIFÓLIO'!C:V,5,0),"")</f>
        <v/>
      </c>
      <c r="H239" s="247" t="str">
        <f t="array" ref="H239">IFERROR(INDEX('PORTIFÓLIO'!$H$4:$H$433,MATCH($C239,'PORTIFÓLIO'!$C$4:$C$433,0)),"")</f>
        <v/>
      </c>
      <c r="I239" s="208">
        <v>0.2</v>
      </c>
      <c r="J239" s="209">
        <f t="shared" si="27"/>
        <v>54.6</v>
      </c>
      <c r="K239" s="210">
        <f t="array" ref="K239">IFERROR(I239*INDEX('PORTIFÓLIO'!$S$4:$S$433,MATCH($C239,'PORTIFÓLIO'!$C$4:$C$433,0)),"")</f>
        <v>0</v>
      </c>
      <c r="L239" s="210">
        <f t="array" ref="L239">IFERROR(J239*INDEX('PORTIFÓLIO'!$S$4:$S$433,MATCH($C239,'PORTIFÓLIO'!$C$4:$C$433,0)),"")</f>
        <v>0</v>
      </c>
      <c r="M239" s="177"/>
      <c r="N239" s="177"/>
      <c r="O239" s="177"/>
      <c r="P239" s="177"/>
      <c r="Q239" s="177"/>
      <c r="R239" s="177"/>
      <c r="S239" s="177"/>
      <c r="T239" s="177"/>
      <c r="U239" s="177"/>
      <c r="V239" s="177"/>
      <c r="W239" s="177"/>
      <c r="X239" s="177"/>
    </row>
    <row r="240" ht="15.75" customHeight="1" outlineLevel="1">
      <c r="A240" s="190"/>
      <c r="B240" s="204" t="s">
        <v>7</v>
      </c>
      <c r="C240" s="191" t="s">
        <v>419</v>
      </c>
      <c r="D240" s="205" t="str">
        <f>IFERROR(VLOOKUP($C240,'PORTIFÓLIO'!C:V,2,0),"")</f>
        <v>N 22</v>
      </c>
      <c r="E240" s="190" t="str">
        <f>IFERROR(VLOOKUP($C240,'PORTIFÓLIO'!C:V,3,0),"")</f>
        <v/>
      </c>
      <c r="F240" s="190" t="str">
        <f>IFERROR(VLOOKUP($C240,'PORTIFÓLIO'!C:V,4,0),"")</f>
        <v>Ton</v>
      </c>
      <c r="G240" s="206" t="str">
        <f>IFERROR(VLOOKUP($C240,'PORTIFÓLIO'!C:V,5,0),"")</f>
        <v/>
      </c>
      <c r="H240" s="247" t="str">
        <f t="array" ref="H240">IFERROR(INDEX('PORTIFÓLIO'!$H$4:$H$433,MATCH($C240,'PORTIFÓLIO'!$C$4:$C$433,0)),"")</f>
        <v/>
      </c>
      <c r="I240" s="208">
        <v>0.4</v>
      </c>
      <c r="J240" s="209">
        <f t="shared" si="27"/>
        <v>109.2</v>
      </c>
      <c r="K240" s="210">
        <f t="array" ref="K240">IFERROR(I240*INDEX('PORTIFÓLIO'!$S$4:$S$433,MATCH($C240,'PORTIFÓLIO'!$C$4:$C$433,0)),"")</f>
        <v>0</v>
      </c>
      <c r="L240" s="210">
        <f t="array" ref="L240">IFERROR(J240*INDEX('PORTIFÓLIO'!$S$4:$S$433,MATCH($C240,'PORTIFÓLIO'!$C$4:$C$433,0)),"")</f>
        <v>0</v>
      </c>
      <c r="M240" s="177"/>
      <c r="N240" s="177"/>
      <c r="O240" s="177"/>
      <c r="P240" s="177"/>
      <c r="Q240" s="177"/>
      <c r="R240" s="177"/>
      <c r="S240" s="177"/>
      <c r="T240" s="177"/>
      <c r="U240" s="177"/>
      <c r="V240" s="177"/>
      <c r="W240" s="177"/>
      <c r="X240" s="177"/>
    </row>
    <row r="241" ht="15.75" customHeight="1" outlineLevel="1">
      <c r="A241" s="190"/>
      <c r="B241" s="204"/>
      <c r="C241" s="191"/>
      <c r="D241" s="205" t="str">
        <f>IFERROR(VLOOKUP($C241,'PORTIFÓLIO'!C:V,2,0),"")</f>
        <v/>
      </c>
      <c r="E241" s="190" t="str">
        <f>IFERROR(VLOOKUP($C241,'PORTIFÓLIO'!C:V,3,0),"")</f>
        <v/>
      </c>
      <c r="F241" s="190" t="str">
        <f>IFERROR(VLOOKUP($C241,'PORTIFÓLIO'!C:V,4,0),"")</f>
        <v/>
      </c>
      <c r="G241" s="206" t="str">
        <f>IFERROR(VLOOKUP($C241,'PORTIFÓLIO'!C:V,5,0),"")</f>
        <v/>
      </c>
      <c r="H241" s="247" t="str">
        <f t="array" ref="H241">IFERROR(INDEX('PORTIFÓLIO'!$H$4:$H$433,MATCH($C241,'PORTIFÓLIO'!$C$4:$C$433,0)),"")</f>
        <v/>
      </c>
      <c r="I241" s="228"/>
      <c r="J241" s="209">
        <f t="shared" si="27"/>
        <v>0</v>
      </c>
      <c r="K241" s="210" t="str">
        <f t="array" ref="K241">IFERROR(I241*INDEX('PORTIFÓLIO'!$S$4:$S$433,MATCH($C241,'PORTIFÓLIO'!$C$4:$C$433,0)),"")</f>
        <v/>
      </c>
      <c r="L241" s="210" t="str">
        <f t="array" ref="L241">IFERROR(J241*INDEX('PORTIFÓLIO'!$S$4:$S$433,MATCH($C241,'PORTIFÓLIO'!$C$4:$C$433,0)),"")</f>
        <v/>
      </c>
      <c r="M241" s="177"/>
      <c r="N241" s="177"/>
      <c r="O241" s="177"/>
      <c r="P241" s="177"/>
      <c r="Q241" s="177"/>
      <c r="R241" s="177"/>
      <c r="S241" s="177"/>
      <c r="T241" s="177"/>
      <c r="U241" s="177"/>
      <c r="V241" s="177"/>
      <c r="W241" s="177"/>
      <c r="X241" s="177"/>
    </row>
    <row r="242" ht="15.75" customHeight="1" outlineLevel="1">
      <c r="A242" s="190"/>
      <c r="B242" s="204"/>
      <c r="C242" s="191"/>
      <c r="D242" s="205" t="str">
        <f>IFERROR(VLOOKUP($C242,'PORTIFÓLIO'!C:V,2,0),"")</f>
        <v/>
      </c>
      <c r="E242" s="190" t="str">
        <f>IFERROR(VLOOKUP($C242,'PORTIFÓLIO'!C:V,3,0),"")</f>
        <v/>
      </c>
      <c r="F242" s="190" t="str">
        <f>IFERROR(VLOOKUP($C242,'PORTIFÓLIO'!C:V,4,0),"")</f>
        <v/>
      </c>
      <c r="G242" s="206" t="str">
        <f>IFERROR(VLOOKUP($C242,'PORTIFÓLIO'!C:V,5,0),"")</f>
        <v/>
      </c>
      <c r="H242" s="247" t="str">
        <f t="array" ref="H242">IFERROR(INDEX('PORTIFÓLIO'!$H$4:$H$433,MATCH($C242,'PORTIFÓLIO'!$C$4:$C$433,0)),"")</f>
        <v/>
      </c>
      <c r="I242" s="208"/>
      <c r="J242" s="209">
        <f t="shared" si="27"/>
        <v>0</v>
      </c>
      <c r="K242" s="210" t="str">
        <f t="array" ref="K242">IFERROR(I242*INDEX('PORTIFÓLIO'!$S$4:$S$433,MATCH($C242,'PORTIFÓLIO'!$C$4:$C$433,0)),"")</f>
        <v/>
      </c>
      <c r="L242" s="210" t="str">
        <f t="array" ref="L242">IFERROR(J242*INDEX('PORTIFÓLIO'!$S$4:$S$433,MATCH($C242,'PORTIFÓLIO'!$C$4:$C$433,0)),"")</f>
        <v/>
      </c>
      <c r="M242" s="177"/>
      <c r="N242" s="177"/>
      <c r="O242" s="177"/>
      <c r="P242" s="177"/>
      <c r="Q242" s="177"/>
      <c r="R242" s="177"/>
      <c r="S242" s="177"/>
      <c r="T242" s="177"/>
      <c r="U242" s="177"/>
      <c r="V242" s="177"/>
      <c r="W242" s="177"/>
      <c r="X242" s="177"/>
    </row>
    <row r="243" ht="15.75" customHeight="1" outlineLevel="1">
      <c r="A243" s="190"/>
      <c r="B243" s="204"/>
      <c r="C243" s="191"/>
      <c r="D243" s="205" t="str">
        <f>IFERROR(VLOOKUP($C243,'PORTIFÓLIO'!C:V,2,0),"")</f>
        <v/>
      </c>
      <c r="E243" s="190" t="str">
        <f>IFERROR(VLOOKUP($C243,'PORTIFÓLIO'!C:V,3,0),"")</f>
        <v/>
      </c>
      <c r="F243" s="190" t="str">
        <f>IFERROR(VLOOKUP($C243,'PORTIFÓLIO'!C:V,4,0),"")</f>
        <v/>
      </c>
      <c r="G243" s="206" t="str">
        <f>IFERROR(VLOOKUP($C243,'PORTIFÓLIO'!C:V,5,0),"")</f>
        <v/>
      </c>
      <c r="H243" s="247" t="str">
        <f t="array" ref="H243">IFERROR(INDEX('PORTIFÓLIO'!$H$4:$H$433,MATCH($C243,'PORTIFÓLIO'!$C$4:$C$433,0)),"")</f>
        <v/>
      </c>
      <c r="I243" s="228"/>
      <c r="J243" s="209">
        <f t="shared" si="27"/>
        <v>0</v>
      </c>
      <c r="K243" s="210" t="str">
        <f t="array" ref="K243">IFERROR(I243*INDEX('PORTIFÓLIO'!$S$4:$S$433,MATCH($C243,'PORTIFÓLIO'!$C$4:$C$433,0)),"")</f>
        <v/>
      </c>
      <c r="L243" s="210" t="str">
        <f t="array" ref="L243">IFERROR(J243*INDEX('PORTIFÓLIO'!$S$4:$S$433,MATCH($C243,'PORTIFÓLIO'!$C$4:$C$433,0)),"")</f>
        <v/>
      </c>
      <c r="M243" s="177"/>
      <c r="N243" s="177"/>
      <c r="O243" s="177"/>
      <c r="P243" s="177"/>
      <c r="Q243" s="177"/>
      <c r="R243" s="177"/>
      <c r="S243" s="177"/>
      <c r="T243" s="177"/>
      <c r="U243" s="177"/>
      <c r="V243" s="177"/>
      <c r="W243" s="177"/>
      <c r="X243" s="177"/>
    </row>
    <row r="244" ht="15.75" customHeight="1" outlineLevel="1">
      <c r="A244" s="190"/>
      <c r="B244" s="204"/>
      <c r="C244" s="191"/>
      <c r="D244" s="205" t="str">
        <f>IFERROR(VLOOKUP($C244,'PORTIFÓLIO'!C:V,2,0),"")</f>
        <v/>
      </c>
      <c r="E244" s="190" t="str">
        <f>IFERROR(VLOOKUP($C244,'PORTIFÓLIO'!C:V,3,0),"")</f>
        <v/>
      </c>
      <c r="F244" s="190" t="str">
        <f>IFERROR(VLOOKUP($C244,'PORTIFÓLIO'!C:V,4,0),"")</f>
        <v/>
      </c>
      <c r="G244" s="206" t="str">
        <f>IFERROR(VLOOKUP($C244,'PORTIFÓLIO'!C:V,5,0),"")</f>
        <v/>
      </c>
      <c r="H244" s="247" t="str">
        <f t="array" ref="H244">IFERROR(INDEX('PORTIFÓLIO'!$H$4:$H$433,MATCH($C244,'PORTIFÓLIO'!$C$4:$C$433,0)),"")</f>
        <v/>
      </c>
      <c r="I244" s="228"/>
      <c r="J244" s="209">
        <f t="shared" si="27"/>
        <v>0</v>
      </c>
      <c r="K244" s="210" t="str">
        <f t="array" ref="K244">IFERROR(I244*INDEX('PORTIFÓLIO'!$S$4:$S$433,MATCH($C244,'PORTIFÓLIO'!$C$4:$C$433,0)),"")</f>
        <v/>
      </c>
      <c r="L244" s="210" t="str">
        <f t="array" ref="L244">IFERROR(J244*INDEX('PORTIFÓLIO'!$S$4:$S$433,MATCH($C244,'PORTIFÓLIO'!$C$4:$C$433,0)),"")</f>
        <v/>
      </c>
      <c r="M244" s="177"/>
      <c r="N244" s="177"/>
      <c r="O244" s="177"/>
      <c r="P244" s="177"/>
      <c r="Q244" s="177"/>
      <c r="R244" s="177"/>
      <c r="S244" s="177"/>
      <c r="T244" s="177"/>
      <c r="U244" s="177"/>
      <c r="V244" s="177"/>
      <c r="W244" s="177"/>
      <c r="X244" s="177"/>
    </row>
    <row r="245" ht="15.75" customHeight="1" outlineLevel="1">
      <c r="A245" s="190"/>
      <c r="B245" s="204"/>
      <c r="C245" s="191"/>
      <c r="D245" s="205" t="str">
        <f>IFERROR(VLOOKUP($C245,'PORTIFÓLIO'!C:V,2,0),"")</f>
        <v/>
      </c>
      <c r="E245" s="190" t="str">
        <f>IFERROR(VLOOKUP($C245,'PORTIFÓLIO'!C:V,3,0),"")</f>
        <v/>
      </c>
      <c r="F245" s="190" t="str">
        <f>IFERROR(VLOOKUP($C245,'PORTIFÓLIO'!C:V,4,0),"")</f>
        <v/>
      </c>
      <c r="G245" s="206" t="str">
        <f>IFERROR(VLOOKUP($C245,'PORTIFÓLIO'!C:V,5,0),"")</f>
        <v/>
      </c>
      <c r="H245" s="247" t="str">
        <f t="array" ref="H245">IFERROR(INDEX('PORTIFÓLIO'!$H$4:$H$433,MATCH($C245,'PORTIFÓLIO'!$C$4:$C$433,0)),"")</f>
        <v/>
      </c>
      <c r="I245" s="228"/>
      <c r="J245" s="209">
        <f t="shared" si="27"/>
        <v>0</v>
      </c>
      <c r="K245" s="210" t="str">
        <f t="array" ref="K245">IFERROR(I245*INDEX('PORTIFÓLIO'!$S$4:$S$433,MATCH($C245,'PORTIFÓLIO'!$C$4:$C$433,0)),"")</f>
        <v/>
      </c>
      <c r="L245" s="210" t="str">
        <f t="array" ref="L245">IFERROR(J245*INDEX('PORTIFÓLIO'!$S$4:$S$433,MATCH($C245,'PORTIFÓLIO'!$C$4:$C$433,0)),"")</f>
        <v/>
      </c>
      <c r="M245" s="177"/>
      <c r="N245" s="177"/>
      <c r="O245" s="177"/>
      <c r="P245" s="177"/>
      <c r="Q245" s="177"/>
      <c r="R245" s="177"/>
      <c r="S245" s="177"/>
      <c r="T245" s="177"/>
      <c r="U245" s="177"/>
      <c r="V245" s="177"/>
      <c r="W245" s="177"/>
      <c r="X245" s="177"/>
    </row>
    <row r="246" ht="15.75" customHeight="1" outlineLevel="1">
      <c r="A246" s="190"/>
      <c r="B246" s="204"/>
      <c r="C246" s="191"/>
      <c r="D246" s="205" t="str">
        <f>IFERROR(VLOOKUP($C246,'PORTIFÓLIO'!C:V,2,0),"")</f>
        <v/>
      </c>
      <c r="E246" s="190" t="str">
        <f>IFERROR(VLOOKUP($C246,'PORTIFÓLIO'!C:V,3,0),"")</f>
        <v/>
      </c>
      <c r="F246" s="190" t="str">
        <f>IFERROR(VLOOKUP($C246,'PORTIFÓLIO'!C:V,4,0),"")</f>
        <v/>
      </c>
      <c r="G246" s="206" t="str">
        <f>IFERROR(VLOOKUP($C246,'PORTIFÓLIO'!C:V,5,0),"")</f>
        <v/>
      </c>
      <c r="H246" s="247" t="str">
        <f t="array" ref="H246">IFERROR(INDEX('PORTIFÓLIO'!$H$4:$H$433,MATCH($C246,'PORTIFÓLIO'!$C$4:$C$433,0)),"")</f>
        <v/>
      </c>
      <c r="I246" s="208"/>
      <c r="J246" s="209">
        <f t="shared" si="27"/>
        <v>0</v>
      </c>
      <c r="K246" s="210" t="str">
        <f t="array" ref="K246">IFERROR(I246*INDEX('PORTIFÓLIO'!$S$4:$S$433,MATCH($C246,'PORTIFÓLIO'!$C$4:$C$433,0)),"")</f>
        <v/>
      </c>
      <c r="L246" s="210" t="str">
        <f t="array" ref="L246">IFERROR(J246*INDEX('PORTIFÓLIO'!$S$4:$S$433,MATCH($C246,'PORTIFÓLIO'!$C$4:$C$433,0)),"")</f>
        <v/>
      </c>
      <c r="M246" s="177"/>
      <c r="N246" s="177"/>
      <c r="O246" s="177"/>
      <c r="P246" s="177"/>
      <c r="Q246" s="177"/>
      <c r="R246" s="177"/>
      <c r="S246" s="177"/>
      <c r="T246" s="177"/>
      <c r="U246" s="177"/>
      <c r="V246" s="177"/>
      <c r="W246" s="177"/>
      <c r="X246" s="177"/>
    </row>
    <row r="247" ht="15.75" customHeight="1" outlineLevel="1">
      <c r="A247" s="190"/>
      <c r="B247" s="204"/>
      <c r="C247" s="191"/>
      <c r="D247" s="205" t="str">
        <f>IFERROR(VLOOKUP($C247,'PORTIFÓLIO'!C:V,2,0),"")</f>
        <v/>
      </c>
      <c r="E247" s="190" t="str">
        <f>IFERROR(VLOOKUP($C247,'PORTIFÓLIO'!C:V,3,0),"")</f>
        <v/>
      </c>
      <c r="F247" s="190" t="str">
        <f>IFERROR(VLOOKUP($C247,'PORTIFÓLIO'!C:V,4,0),"")</f>
        <v/>
      </c>
      <c r="G247" s="206" t="str">
        <f>IFERROR(VLOOKUP($C247,'PORTIFÓLIO'!C:V,5,0),"")</f>
        <v/>
      </c>
      <c r="H247" s="247" t="str">
        <f t="array" ref="H247">IFERROR(INDEX('PORTIFÓLIO'!$H$4:$H$433,MATCH($C247,'PORTIFÓLIO'!$C$4:$C$433,0)),"")</f>
        <v/>
      </c>
      <c r="I247" s="208"/>
      <c r="J247" s="209">
        <f t="shared" si="27"/>
        <v>0</v>
      </c>
      <c r="K247" s="210" t="str">
        <f t="array" ref="K247">IFERROR(I247*INDEX('PORTIFÓLIO'!$S$4:$S$433,MATCH($C247,'PORTIFÓLIO'!$C$4:$C$433,0)),"")</f>
        <v/>
      </c>
      <c r="L247" s="210" t="str">
        <f t="array" ref="L247">IFERROR(J247*INDEX('PORTIFÓLIO'!$S$4:$S$433,MATCH($C247,'PORTIFÓLIO'!$C$4:$C$433,0)),"")</f>
        <v/>
      </c>
      <c r="M247" s="177"/>
      <c r="N247" s="177"/>
      <c r="O247" s="177"/>
      <c r="P247" s="177"/>
      <c r="Q247" s="177"/>
      <c r="R247" s="177"/>
      <c r="S247" s="177"/>
      <c r="T247" s="177"/>
      <c r="U247" s="177"/>
      <c r="V247" s="177"/>
      <c r="W247" s="177"/>
      <c r="X247" s="177"/>
    </row>
    <row r="248" ht="15.75" customHeight="1" outlineLevel="1">
      <c r="A248" s="190"/>
      <c r="B248" s="204"/>
      <c r="C248" s="191"/>
      <c r="D248" s="205" t="str">
        <f>IFERROR(VLOOKUP($C248,'PORTIFÓLIO'!C:V,2,0),"")</f>
        <v/>
      </c>
      <c r="E248" s="190" t="str">
        <f>IFERROR(VLOOKUP($C248,'PORTIFÓLIO'!C:V,3,0),"")</f>
        <v/>
      </c>
      <c r="F248" s="190" t="str">
        <f>IFERROR(VLOOKUP($C248,'PORTIFÓLIO'!C:V,4,0),"")</f>
        <v/>
      </c>
      <c r="G248" s="206" t="str">
        <f>IFERROR(VLOOKUP($C248,'PORTIFÓLIO'!C:V,5,0),"")</f>
        <v/>
      </c>
      <c r="H248" s="247" t="str">
        <f t="array" ref="H248">IFERROR(INDEX('PORTIFÓLIO'!$H$4:$H$433,MATCH($C248,'PORTIFÓLIO'!$C$4:$C$433,0)),"")</f>
        <v/>
      </c>
      <c r="I248" s="208"/>
      <c r="J248" s="209">
        <f t="shared" si="27"/>
        <v>0</v>
      </c>
      <c r="K248" s="210" t="str">
        <f t="array" ref="K248">IFERROR(I248*INDEX('PORTIFÓLIO'!$S$4:$S$433,MATCH($C248,'PORTIFÓLIO'!$C$4:$C$433,0)),"")</f>
        <v/>
      </c>
      <c r="L248" s="210" t="str">
        <f t="array" ref="L248">IFERROR(J248*INDEX('PORTIFÓLIO'!$S$4:$S$433,MATCH($C248,'PORTIFÓLIO'!$C$4:$C$433,0)),"")</f>
        <v/>
      </c>
      <c r="M248" s="177"/>
      <c r="N248" s="177"/>
      <c r="O248" s="177"/>
      <c r="P248" s="177"/>
      <c r="Q248" s="177"/>
      <c r="R248" s="177"/>
      <c r="S248" s="177"/>
      <c r="T248" s="177"/>
      <c r="U248" s="177"/>
      <c r="V248" s="177"/>
      <c r="W248" s="177"/>
      <c r="X248" s="177"/>
    </row>
    <row r="249" ht="15.75" customHeight="1" outlineLevel="1">
      <c r="A249" s="190"/>
      <c r="B249" s="204"/>
      <c r="C249" s="191"/>
      <c r="D249" s="205" t="str">
        <f>IFERROR(VLOOKUP($C249,'PORTIFÓLIO'!C:V,2,0),"")</f>
        <v/>
      </c>
      <c r="E249" s="190" t="str">
        <f>IFERROR(VLOOKUP($C249,'PORTIFÓLIO'!C:V,3,0),"")</f>
        <v/>
      </c>
      <c r="F249" s="190" t="str">
        <f>IFERROR(VLOOKUP($C249,'PORTIFÓLIO'!C:V,4,0),"")</f>
        <v/>
      </c>
      <c r="G249" s="206" t="str">
        <f>IFERROR(VLOOKUP($C249,'PORTIFÓLIO'!C:V,5,0),"")</f>
        <v/>
      </c>
      <c r="H249" s="247" t="str">
        <f t="array" ref="H249">IFERROR(INDEX('PORTIFÓLIO'!$H$4:$H$433,MATCH($C249,'PORTIFÓLIO'!$C$4:$C$433,0)),"")</f>
        <v/>
      </c>
      <c r="I249" s="208"/>
      <c r="J249" s="209">
        <f t="shared" si="27"/>
        <v>0</v>
      </c>
      <c r="K249" s="210" t="str">
        <f t="array" ref="K249">IFERROR(I249*INDEX('PORTIFÓLIO'!$S$4:$S$433,MATCH($C249,'PORTIFÓLIO'!$C$4:$C$433,0)),"")</f>
        <v/>
      </c>
      <c r="L249" s="210" t="str">
        <f t="array" ref="L249">IFERROR(J249*INDEX('PORTIFÓLIO'!$S$4:$S$433,MATCH($C249,'PORTIFÓLIO'!$C$4:$C$433,0)),"")</f>
        <v/>
      </c>
      <c r="M249" s="177"/>
      <c r="N249" s="177"/>
      <c r="O249" s="177"/>
      <c r="P249" s="177"/>
      <c r="Q249" s="177"/>
      <c r="R249" s="177"/>
      <c r="S249" s="177"/>
      <c r="T249" s="177"/>
      <c r="U249" s="177"/>
      <c r="V249" s="177"/>
      <c r="W249" s="177"/>
      <c r="X249" s="177"/>
    </row>
    <row r="250" ht="15.75" customHeight="1" outlineLevel="1">
      <c r="A250" s="190"/>
      <c r="B250" s="204"/>
      <c r="C250" s="191"/>
      <c r="D250" s="205" t="str">
        <f>IFERROR(VLOOKUP($C250,'PORTIFÓLIO'!C:V,2,0),"")</f>
        <v/>
      </c>
      <c r="E250" s="190" t="str">
        <f>IFERROR(VLOOKUP($C250,'PORTIFÓLIO'!C:V,3,0),"")</f>
        <v/>
      </c>
      <c r="F250" s="190" t="str">
        <f>IFERROR(VLOOKUP($C250,'PORTIFÓLIO'!C:V,4,0),"")</f>
        <v/>
      </c>
      <c r="G250" s="206" t="str">
        <f>IFERROR(VLOOKUP($C250,'PORTIFÓLIO'!C:V,5,0),"")</f>
        <v/>
      </c>
      <c r="H250" s="247" t="str">
        <f t="array" ref="H250">IFERROR(INDEX('PORTIFÓLIO'!$H$4:$H$433,MATCH($C250,'PORTIFÓLIO'!$C$4:$C$433,0)),"")</f>
        <v/>
      </c>
      <c r="I250" s="208"/>
      <c r="J250" s="209">
        <f t="shared" si="27"/>
        <v>0</v>
      </c>
      <c r="K250" s="210" t="str">
        <f t="array" ref="K250">IFERROR(I250*INDEX('PORTIFÓLIO'!$S$4:$S$433,MATCH($C250,'PORTIFÓLIO'!$C$4:$C$433,0)),"")</f>
        <v/>
      </c>
      <c r="L250" s="210" t="str">
        <f t="array" ref="L250">IFERROR(J250*INDEX('PORTIFÓLIO'!$S$4:$S$433,MATCH($C250,'PORTIFÓLIO'!$C$4:$C$433,0)),"")</f>
        <v/>
      </c>
      <c r="M250" s="177"/>
      <c r="N250" s="177"/>
      <c r="O250" s="177"/>
      <c r="P250" s="177"/>
      <c r="Q250" s="177"/>
      <c r="R250" s="177"/>
      <c r="S250" s="177"/>
      <c r="T250" s="177"/>
      <c r="U250" s="177"/>
      <c r="V250" s="177"/>
      <c r="W250" s="177"/>
      <c r="X250" s="177"/>
    </row>
    <row r="251" ht="15.75" customHeight="1" outlineLevel="1">
      <c r="A251" s="190"/>
      <c r="B251" s="204"/>
      <c r="C251" s="191"/>
      <c r="D251" s="205" t="str">
        <f>IFERROR(VLOOKUP($C251,'PORTIFÓLIO'!C:V,2,0),"")</f>
        <v/>
      </c>
      <c r="E251" s="190" t="str">
        <f>IFERROR(VLOOKUP($C251,'PORTIFÓLIO'!C:V,3,0),"")</f>
        <v/>
      </c>
      <c r="F251" s="190" t="str">
        <f>IFERROR(VLOOKUP($C251,'PORTIFÓLIO'!C:V,4,0),"")</f>
        <v/>
      </c>
      <c r="G251" s="206" t="str">
        <f>IFERROR(VLOOKUP($C251,'PORTIFÓLIO'!C:V,5,0),"")</f>
        <v/>
      </c>
      <c r="H251" s="247" t="str">
        <f t="array" ref="H251">IFERROR(INDEX('PORTIFÓLIO'!$H$4:$H$433,MATCH($C251,'PORTIFÓLIO'!$C$4:$C$433,0)),"")</f>
        <v/>
      </c>
      <c r="I251" s="208"/>
      <c r="J251" s="209">
        <f t="shared" si="27"/>
        <v>0</v>
      </c>
      <c r="K251" s="210" t="str">
        <f t="array" ref="K251">IFERROR(I251*INDEX('PORTIFÓLIO'!$S$4:$S$433,MATCH($C251,'PORTIFÓLIO'!$C$4:$C$433,0)),"")</f>
        <v/>
      </c>
      <c r="L251" s="210" t="str">
        <f t="array" ref="L251">IFERROR(J251*INDEX('PORTIFÓLIO'!$S$4:$S$433,MATCH($C251,'PORTIFÓLIO'!$C$4:$C$433,0)),"")</f>
        <v/>
      </c>
      <c r="M251" s="177"/>
      <c r="N251" s="177"/>
      <c r="O251" s="177"/>
      <c r="P251" s="177"/>
      <c r="Q251" s="177"/>
      <c r="R251" s="177"/>
      <c r="S251" s="177"/>
      <c r="T251" s="177"/>
      <c r="U251" s="177"/>
      <c r="V251" s="177"/>
      <c r="W251" s="177"/>
      <c r="X251" s="177"/>
    </row>
    <row r="252" ht="15.75" customHeight="1">
      <c r="A252" s="221" t="s">
        <v>1184</v>
      </c>
      <c r="B252" s="197"/>
      <c r="C252" s="196"/>
      <c r="D252" s="198"/>
      <c r="E252" s="196"/>
      <c r="F252" s="196"/>
      <c r="G252" s="199"/>
      <c r="H252" s="199"/>
      <c r="I252" s="201"/>
      <c r="J252" s="202"/>
      <c r="K252" s="203">
        <f t="shared" ref="K252:L252" si="28">SUBTOTAL(9,K253:K266)</f>
        <v>124.149432</v>
      </c>
      <c r="L252" s="203">
        <f t="shared" si="28"/>
        <v>33892.79494</v>
      </c>
      <c r="M252" s="177"/>
      <c r="N252" s="177"/>
      <c r="O252" s="177"/>
      <c r="P252" s="177"/>
      <c r="Q252" s="177"/>
      <c r="R252" s="177"/>
      <c r="S252" s="177"/>
      <c r="T252" s="177"/>
      <c r="U252" s="177"/>
      <c r="V252" s="177"/>
      <c r="W252" s="177"/>
      <c r="X252" s="177"/>
    </row>
    <row r="253" ht="15.75" customHeight="1" outlineLevel="1">
      <c r="A253" s="191"/>
      <c r="B253" s="204" t="s">
        <v>1</v>
      </c>
      <c r="C253" s="191" t="s">
        <v>637</v>
      </c>
      <c r="D253" s="205" t="str">
        <f>IFERROR(VLOOKUP($C253,'PORTIFÓLIO'!C:V,2,0),"")</f>
        <v>GLIFOSATO-SAL DE AMÔNIO</v>
      </c>
      <c r="E253" s="190">
        <f>IFERROR(VLOOKUP($C253,'PORTIFÓLIO'!C:V,3,0),"")</f>
        <v>720</v>
      </c>
      <c r="F253" s="190" t="str">
        <f>IFERROR(VLOOKUP($C253,'PORTIFÓLIO'!C:V,4,0),"")</f>
        <v>L</v>
      </c>
      <c r="G253" s="223" t="str">
        <f>IFERROR(VLOOKUP($C253,'PORTIFÓLIO'!C:V,5,0),"")</f>
        <v>📄 Ver bula</v>
      </c>
      <c r="H253" s="247">
        <f t="array" ref="H253">IFERROR(INDEX('PORTIFÓLIO'!$H$4:$H$433,MATCH($C253,'PORTIFÓLIO'!$C$4:$C$433,0)),"")</f>
        <v>2</v>
      </c>
      <c r="I253" s="208">
        <v>2.0</v>
      </c>
      <c r="J253" s="209">
        <f t="shared" ref="J253:J270" si="29">I253*$B$2</f>
        <v>546</v>
      </c>
      <c r="K253" s="248">
        <f t="array" ref="K253">IFERROR(I253*INDEX('PORTIFÓLIO'!$S$4:$S$433,MATCH($C253,'PORTIFÓLIO'!$C$4:$C$433,0)),"")</f>
        <v>49.16</v>
      </c>
      <c r="L253" s="248">
        <f t="array" ref="L253">IFERROR(J253*INDEX('PORTIFÓLIO'!$S$4:$S$433,MATCH($C253,'PORTIFÓLIO'!$C$4:$C$433,0)),"")</f>
        <v>13420.68</v>
      </c>
      <c r="M253" s="177"/>
      <c r="N253" s="177"/>
      <c r="O253" s="177"/>
      <c r="P253" s="177"/>
      <c r="Q253" s="177"/>
      <c r="R253" s="177"/>
      <c r="S253" s="177"/>
      <c r="T253" s="177"/>
      <c r="U253" s="177"/>
      <c r="V253" s="177"/>
      <c r="W253" s="177"/>
      <c r="X253" s="177"/>
    </row>
    <row r="254" ht="15.75" customHeight="1" outlineLevel="1">
      <c r="A254" s="190"/>
      <c r="B254" s="204" t="s">
        <v>1</v>
      </c>
      <c r="C254" s="191" t="s">
        <v>683</v>
      </c>
      <c r="D254" s="205" t="str">
        <f>IFERROR(VLOOKUP($C254,'PORTIFÓLIO'!C:V,2,0),"")</f>
        <v>GLUFOSINATO - SAL DE AMONIO</v>
      </c>
      <c r="E254" s="190">
        <f>IFERROR(VLOOKUP($C254,'PORTIFÓLIO'!C:V,3,0),"")</f>
        <v>880</v>
      </c>
      <c r="F254" s="190" t="str">
        <f>IFERROR(VLOOKUP($C254,'PORTIFÓLIO'!C:V,4,0),"")</f>
        <v>L</v>
      </c>
      <c r="G254" s="223" t="str">
        <f>IFERROR(VLOOKUP($C254,'PORTIFÓLIO'!C:V,5,0),"")</f>
        <v>📄 Ver bula</v>
      </c>
      <c r="H254" s="247">
        <f t="array" ref="H254">IFERROR(INDEX('PORTIFÓLIO'!$H$4:$H$433,MATCH($C254,'PORTIFÓLIO'!$C$4:$C$433,0)),"")</f>
        <v>0.5</v>
      </c>
      <c r="I254" s="208">
        <v>0.8</v>
      </c>
      <c r="J254" s="209">
        <f t="shared" si="29"/>
        <v>218.4</v>
      </c>
      <c r="K254" s="248">
        <f t="array" ref="K254">IFERROR(I254*INDEX('PORTIFÓLIO'!$S$4:$S$433,MATCH($C254,'PORTIFÓLIO'!$C$4:$C$433,0)),"")</f>
        <v>36.830672</v>
      </c>
      <c r="L254" s="248">
        <f t="array" ref="L254">IFERROR(J254*INDEX('PORTIFÓLIO'!$S$4:$S$433,MATCH($C254,'PORTIFÓLIO'!$C$4:$C$433,0)),"")</f>
        <v>10054.77346</v>
      </c>
      <c r="M254" s="177"/>
      <c r="N254" s="177"/>
      <c r="O254" s="177"/>
      <c r="P254" s="177"/>
      <c r="Q254" s="177"/>
      <c r="R254" s="177"/>
      <c r="S254" s="177"/>
      <c r="T254" s="177"/>
      <c r="U254" s="177"/>
      <c r="V254" s="177"/>
      <c r="W254" s="177"/>
      <c r="X254" s="177"/>
    </row>
    <row r="255" ht="15.75" customHeight="1" outlineLevel="1">
      <c r="A255" s="190"/>
      <c r="B255" s="204" t="s">
        <v>6</v>
      </c>
      <c r="C255" s="191" t="s">
        <v>354</v>
      </c>
      <c r="D255" s="205" t="str">
        <f>IFERROR(VLOOKUP($C255,'PORTIFÓLIO'!C:V,2,0),"")</f>
        <v>OLEO MINERAL</v>
      </c>
      <c r="E255" s="190">
        <f>IFERROR(VLOOKUP($C255,'PORTIFÓLIO'!C:V,3,0),"")</f>
        <v>761</v>
      </c>
      <c r="F255" s="190" t="str">
        <f>IFERROR(VLOOKUP($C255,'PORTIFÓLIO'!C:V,4,0),"")</f>
        <v>L</v>
      </c>
      <c r="G255" s="223" t="str">
        <f>IFERROR(VLOOKUP($C255,'PORTIFÓLIO'!C:V,5,0),"")</f>
        <v>📄 Ver bula</v>
      </c>
      <c r="H255" s="247">
        <f t="array" ref="H255">IFERROR(INDEX('PORTIFÓLIO'!$H$4:$H$433,MATCH($C255,'PORTIFÓLIO'!$C$4:$C$433,0)),"")</f>
        <v>0.2</v>
      </c>
      <c r="I255" s="208">
        <v>0.2</v>
      </c>
      <c r="J255" s="209">
        <f t="shared" si="29"/>
        <v>54.6</v>
      </c>
      <c r="K255" s="248">
        <f t="array" ref="K255">IFERROR(I255*INDEX('PORTIFÓLIO'!$S$4:$S$433,MATCH($C255,'PORTIFÓLIO'!$C$4:$C$433,0)),"")</f>
        <v>3.206</v>
      </c>
      <c r="L255" s="248">
        <f t="array" ref="L255">IFERROR(J255*INDEX('PORTIFÓLIO'!$S$4:$S$433,MATCH($C255,'PORTIFÓLIO'!$C$4:$C$433,0)),"")</f>
        <v>875.238</v>
      </c>
      <c r="M255" s="177"/>
      <c r="N255" s="177"/>
      <c r="O255" s="177"/>
      <c r="P255" s="177"/>
      <c r="Q255" s="177"/>
      <c r="R255" s="177"/>
      <c r="S255" s="177"/>
      <c r="T255" s="177"/>
      <c r="U255" s="177"/>
      <c r="V255" s="177"/>
      <c r="W255" s="177"/>
      <c r="X255" s="177"/>
    </row>
    <row r="256" ht="15.75" customHeight="1" outlineLevel="1">
      <c r="A256" s="190"/>
      <c r="B256" s="204" t="s">
        <v>1</v>
      </c>
      <c r="C256" s="191" t="s">
        <v>728</v>
      </c>
      <c r="D256" s="205" t="str">
        <f>IFERROR(VLOOKUP($C256,'PORTIFÓLIO'!C:V,2,0),"")</f>
        <v>S-METOLACLORO</v>
      </c>
      <c r="E256" s="190">
        <f>IFERROR(VLOOKUP($C256,'PORTIFÓLIO'!C:V,3,0),"")</f>
        <v>960</v>
      </c>
      <c r="F256" s="190" t="str">
        <f>IFERROR(VLOOKUP($C256,'PORTIFÓLIO'!C:V,4,0),"")</f>
        <v>KG</v>
      </c>
      <c r="G256" s="223" t="str">
        <f>IFERROR(VLOOKUP($C256,'PORTIFÓLIO'!C:V,5,0),"")</f>
        <v>📄 Ver bula</v>
      </c>
      <c r="H256" s="247">
        <f t="array" ref="H256">IFERROR(INDEX('PORTIFÓLIO'!$H$4:$H$433,MATCH($C256,'PORTIFÓLIO'!$C$4:$C$433,0)),"")</f>
        <v>2</v>
      </c>
      <c r="I256" s="208">
        <v>1.2</v>
      </c>
      <c r="J256" s="209">
        <f t="shared" si="29"/>
        <v>327.6</v>
      </c>
      <c r="K256" s="248">
        <f t="array" ref="K256">IFERROR(I256*INDEX('PORTIFÓLIO'!$S$4:$S$433,MATCH($C256,'PORTIFÓLIO'!$C$4:$C$433,0)),"")</f>
        <v>34.95276</v>
      </c>
      <c r="L256" s="248">
        <f t="array" ref="L256">IFERROR(J256*INDEX('PORTIFÓLIO'!$S$4:$S$433,MATCH($C256,'PORTIFÓLIO'!$C$4:$C$433,0)),"")</f>
        <v>9542.10348</v>
      </c>
      <c r="M256" s="177"/>
      <c r="N256" s="177"/>
      <c r="O256" s="177"/>
      <c r="P256" s="177"/>
      <c r="Q256" s="177"/>
      <c r="R256" s="177"/>
      <c r="S256" s="177"/>
      <c r="T256" s="177"/>
      <c r="U256" s="177"/>
      <c r="V256" s="177"/>
      <c r="W256" s="177"/>
      <c r="X256" s="177"/>
    </row>
    <row r="257" ht="15.75" customHeight="1" outlineLevel="1">
      <c r="A257" s="190"/>
      <c r="B257" s="204"/>
      <c r="C257" s="191"/>
      <c r="D257" s="205" t="str">
        <f>IFERROR(VLOOKUP($C257,'PORTIFÓLIO'!C:V,2,0),"")</f>
        <v/>
      </c>
      <c r="E257" s="190" t="str">
        <f>IFERROR(VLOOKUP($C257,'PORTIFÓLIO'!C:V,3,0),"")</f>
        <v/>
      </c>
      <c r="F257" s="190" t="str">
        <f>IFERROR(VLOOKUP($C257,'PORTIFÓLIO'!C:V,4,0),"")</f>
        <v/>
      </c>
      <c r="G257" s="206" t="str">
        <f>IFERROR(VLOOKUP($C257,'PORTIFÓLIO'!C:V,5,0),"")</f>
        <v/>
      </c>
      <c r="H257" s="247" t="str">
        <f t="array" ref="H257">IFERROR(INDEX('PORTIFÓLIO'!$H$4:$H$433,MATCH($C257,'PORTIFÓLIO'!$C$4:$C$433,0)),"")</f>
        <v/>
      </c>
      <c r="I257" s="228"/>
      <c r="J257" s="209">
        <f t="shared" si="29"/>
        <v>0</v>
      </c>
      <c r="K257" s="248" t="str">
        <f t="array" ref="K257">IFERROR(I257*INDEX('PORTIFÓLIO'!$S$4:$S$433,MATCH($C257,'PORTIFÓLIO'!$C$4:$C$433,0)),"")</f>
        <v/>
      </c>
      <c r="L257" s="248" t="str">
        <f t="array" ref="L257">IFERROR(J257*INDEX('PORTIFÓLIO'!$S$4:$S$433,MATCH($C257,'PORTIFÓLIO'!$C$4:$C$433,0)),"")</f>
        <v/>
      </c>
      <c r="M257" s="177"/>
      <c r="N257" s="177"/>
      <c r="O257" s="177"/>
      <c r="P257" s="177"/>
      <c r="Q257" s="177"/>
      <c r="R257" s="177"/>
      <c r="S257" s="177"/>
      <c r="T257" s="177"/>
      <c r="U257" s="177"/>
      <c r="V257" s="177"/>
      <c r="W257" s="177"/>
      <c r="X257" s="177"/>
    </row>
    <row r="258" ht="15.75" customHeight="1" outlineLevel="1">
      <c r="A258" s="190"/>
      <c r="B258" s="204"/>
      <c r="C258" s="191"/>
      <c r="D258" s="205" t="str">
        <f>IFERROR(VLOOKUP($C258,'PORTIFÓLIO'!C:V,2,0),"")</f>
        <v/>
      </c>
      <c r="E258" s="190" t="str">
        <f>IFERROR(VLOOKUP($C258,'PORTIFÓLIO'!C:V,3,0),"")</f>
        <v/>
      </c>
      <c r="F258" s="190" t="str">
        <f>IFERROR(VLOOKUP($C258,'PORTIFÓLIO'!C:V,4,0),"")</f>
        <v/>
      </c>
      <c r="G258" s="206" t="str">
        <f>IFERROR(VLOOKUP($C258,'PORTIFÓLIO'!C:V,5,0),"")</f>
        <v/>
      </c>
      <c r="H258" s="247" t="str">
        <f t="array" ref="H258">IFERROR(INDEX('PORTIFÓLIO'!$H$4:$H$433,MATCH($C258,'PORTIFÓLIO'!$C$4:$C$433,0)),"")</f>
        <v/>
      </c>
      <c r="I258" s="228"/>
      <c r="J258" s="209">
        <f t="shared" si="29"/>
        <v>0</v>
      </c>
      <c r="K258" s="248" t="str">
        <f t="array" ref="K258">IFERROR(I258*INDEX('PORTIFÓLIO'!$S$4:$S$433,MATCH($C258,'PORTIFÓLIO'!$C$4:$C$433,0)),"")</f>
        <v/>
      </c>
      <c r="L258" s="248" t="str">
        <f t="array" ref="L258">IFERROR(J258*INDEX('PORTIFÓLIO'!$S$4:$S$433,MATCH($C258,'PORTIFÓLIO'!$C$4:$C$433,0)),"")</f>
        <v/>
      </c>
      <c r="M258" s="177"/>
      <c r="N258" s="177"/>
      <c r="O258" s="177"/>
      <c r="P258" s="177"/>
      <c r="Q258" s="177"/>
      <c r="R258" s="177"/>
      <c r="S258" s="177"/>
      <c r="T258" s="177"/>
      <c r="U258" s="177"/>
      <c r="V258" s="177"/>
      <c r="W258" s="177"/>
      <c r="X258" s="177"/>
    </row>
    <row r="259" ht="15.75" customHeight="1" outlineLevel="1">
      <c r="A259" s="190"/>
      <c r="B259" s="204"/>
      <c r="C259" s="191"/>
      <c r="D259" s="205" t="str">
        <f>IFERROR(VLOOKUP($C259,'PORTIFÓLIO'!C:V,2,0),"")</f>
        <v/>
      </c>
      <c r="E259" s="190" t="str">
        <f>IFERROR(VLOOKUP($C259,'PORTIFÓLIO'!C:V,3,0),"")</f>
        <v/>
      </c>
      <c r="F259" s="190" t="str">
        <f>IFERROR(VLOOKUP($C259,'PORTIFÓLIO'!C:V,4,0),"")</f>
        <v/>
      </c>
      <c r="G259" s="206" t="str">
        <f>IFERROR(VLOOKUP($C259,'PORTIFÓLIO'!C:V,5,0),"")</f>
        <v/>
      </c>
      <c r="H259" s="247" t="str">
        <f t="array" ref="H259">IFERROR(INDEX('PORTIFÓLIO'!$H$4:$H$433,MATCH($C259,'PORTIFÓLIO'!$C$4:$C$433,0)),"")</f>
        <v/>
      </c>
      <c r="I259" s="228"/>
      <c r="J259" s="209">
        <f t="shared" si="29"/>
        <v>0</v>
      </c>
      <c r="K259" s="248" t="str">
        <f t="array" ref="K259">IFERROR(I259*INDEX('PORTIFÓLIO'!$S$4:$S$433,MATCH($C259,'PORTIFÓLIO'!$C$4:$C$433,0)),"")</f>
        <v/>
      </c>
      <c r="L259" s="248" t="str">
        <f t="array" ref="L259">IFERROR(J259*INDEX('PORTIFÓLIO'!$S$4:$S$433,MATCH($C259,'PORTIFÓLIO'!$C$4:$C$433,0)),"")</f>
        <v/>
      </c>
      <c r="M259" s="177"/>
      <c r="N259" s="177"/>
      <c r="O259" s="177"/>
      <c r="P259" s="177"/>
      <c r="Q259" s="177"/>
      <c r="R259" s="177"/>
      <c r="S259" s="177"/>
      <c r="T259" s="177"/>
      <c r="U259" s="177"/>
      <c r="V259" s="177"/>
      <c r="W259" s="177"/>
      <c r="X259" s="177"/>
    </row>
    <row r="260" ht="15.75" customHeight="1" outlineLevel="1">
      <c r="A260" s="190"/>
      <c r="B260" s="204"/>
      <c r="C260" s="191"/>
      <c r="D260" s="205" t="str">
        <f>IFERROR(VLOOKUP($C260,'PORTIFÓLIO'!C:V,2,0),"")</f>
        <v/>
      </c>
      <c r="E260" s="190" t="str">
        <f>IFERROR(VLOOKUP($C260,'PORTIFÓLIO'!C:V,3,0),"")</f>
        <v/>
      </c>
      <c r="F260" s="190" t="str">
        <f>IFERROR(VLOOKUP($C260,'PORTIFÓLIO'!C:V,4,0),"")</f>
        <v/>
      </c>
      <c r="G260" s="206" t="str">
        <f>IFERROR(VLOOKUP($C260,'PORTIFÓLIO'!C:V,5,0),"")</f>
        <v/>
      </c>
      <c r="H260" s="247" t="str">
        <f t="array" ref="H260">IFERROR(INDEX('PORTIFÓLIO'!$H$4:$H$433,MATCH($C260,'PORTIFÓLIO'!$C$4:$C$433,0)),"")</f>
        <v/>
      </c>
      <c r="I260" s="228"/>
      <c r="J260" s="209">
        <f t="shared" si="29"/>
        <v>0</v>
      </c>
      <c r="K260" s="248" t="str">
        <f t="array" ref="K260">IFERROR(I260*INDEX('PORTIFÓLIO'!$S$4:$S$433,MATCH($C260,'PORTIFÓLIO'!$C$4:$C$433,0)),"")</f>
        <v/>
      </c>
      <c r="L260" s="248" t="str">
        <f t="array" ref="L260">IFERROR(J260*INDEX('PORTIFÓLIO'!$S$4:$S$433,MATCH($C260,'PORTIFÓLIO'!$C$4:$C$433,0)),"")</f>
        <v/>
      </c>
      <c r="M260" s="177"/>
      <c r="N260" s="177"/>
      <c r="O260" s="177"/>
      <c r="P260" s="177"/>
      <c r="Q260" s="177"/>
      <c r="R260" s="177"/>
      <c r="S260" s="177"/>
      <c r="T260" s="177"/>
      <c r="U260" s="177"/>
      <c r="V260" s="177"/>
      <c r="W260" s="177"/>
      <c r="X260" s="177"/>
    </row>
    <row r="261" ht="15.75" customHeight="1" outlineLevel="1">
      <c r="A261" s="190"/>
      <c r="B261" s="204"/>
      <c r="C261" s="191"/>
      <c r="D261" s="205" t="str">
        <f>IFERROR(VLOOKUP($C261,'PORTIFÓLIO'!C:V,2,0),"")</f>
        <v/>
      </c>
      <c r="E261" s="190" t="str">
        <f>IFERROR(VLOOKUP($C261,'PORTIFÓLIO'!C:V,3,0),"")</f>
        <v/>
      </c>
      <c r="F261" s="190" t="str">
        <f>IFERROR(VLOOKUP($C261,'PORTIFÓLIO'!C:V,4,0),"")</f>
        <v/>
      </c>
      <c r="G261" s="206" t="str">
        <f>IFERROR(VLOOKUP($C261,'PORTIFÓLIO'!C:V,5,0),"")</f>
        <v/>
      </c>
      <c r="H261" s="247" t="str">
        <f t="array" ref="H261">IFERROR(INDEX('PORTIFÓLIO'!$H$4:$H$433,MATCH($C261,'PORTIFÓLIO'!$C$4:$C$433,0)),"")</f>
        <v/>
      </c>
      <c r="I261" s="208"/>
      <c r="J261" s="209">
        <f t="shared" si="29"/>
        <v>0</v>
      </c>
      <c r="K261" s="248" t="str">
        <f t="array" ref="K261">IFERROR(I261*INDEX('PORTIFÓLIO'!$S$4:$S$433,MATCH($C261,'PORTIFÓLIO'!$C$4:$C$433,0)),"")</f>
        <v/>
      </c>
      <c r="L261" s="248" t="str">
        <f t="array" ref="L261">IFERROR(J261*INDEX('PORTIFÓLIO'!$S$4:$S$433,MATCH($C261,'PORTIFÓLIO'!$C$4:$C$433,0)),"")</f>
        <v/>
      </c>
      <c r="M261" s="177"/>
      <c r="N261" s="177"/>
      <c r="O261" s="177"/>
      <c r="P261" s="177"/>
      <c r="Q261" s="177"/>
      <c r="R261" s="177"/>
      <c r="S261" s="177"/>
      <c r="T261" s="177"/>
      <c r="U261" s="177"/>
      <c r="V261" s="177"/>
      <c r="W261" s="177"/>
      <c r="X261" s="177"/>
    </row>
    <row r="262" ht="15.75" customHeight="1" outlineLevel="1">
      <c r="A262" s="190"/>
      <c r="B262" s="204"/>
      <c r="C262" s="191"/>
      <c r="D262" s="205" t="str">
        <f>IFERROR(VLOOKUP($C262,'PORTIFÓLIO'!C:V,2,0),"")</f>
        <v/>
      </c>
      <c r="E262" s="190" t="str">
        <f>IFERROR(VLOOKUP($C262,'PORTIFÓLIO'!C:V,3,0),"")</f>
        <v/>
      </c>
      <c r="F262" s="190" t="str">
        <f>IFERROR(VLOOKUP($C262,'PORTIFÓLIO'!C:V,4,0),"")</f>
        <v/>
      </c>
      <c r="G262" s="206" t="str">
        <f>IFERROR(VLOOKUP($C262,'PORTIFÓLIO'!C:V,5,0),"")</f>
        <v/>
      </c>
      <c r="H262" s="247" t="str">
        <f t="array" ref="H262">IFERROR(INDEX('PORTIFÓLIO'!$H$4:$H$433,MATCH($C262,'PORTIFÓLIO'!$C$4:$C$433,0)),"")</f>
        <v/>
      </c>
      <c r="I262" s="228"/>
      <c r="J262" s="209">
        <f t="shared" si="29"/>
        <v>0</v>
      </c>
      <c r="K262" s="248" t="str">
        <f t="array" ref="K262">IFERROR(I262*INDEX('PORTIFÓLIO'!$S$4:$S$433,MATCH($C262,'PORTIFÓLIO'!$C$4:$C$433,0)),"")</f>
        <v/>
      </c>
      <c r="L262" s="248" t="str">
        <f t="array" ref="L262">IFERROR(J262*INDEX('PORTIFÓLIO'!$S$4:$S$433,MATCH($C262,'PORTIFÓLIO'!$C$4:$C$433,0)),"")</f>
        <v/>
      </c>
      <c r="M262" s="177"/>
      <c r="N262" s="177"/>
      <c r="O262" s="177"/>
      <c r="P262" s="177"/>
      <c r="Q262" s="177"/>
      <c r="R262" s="177"/>
      <c r="S262" s="177"/>
      <c r="T262" s="177"/>
      <c r="U262" s="177"/>
      <c r="V262" s="177"/>
      <c r="W262" s="177"/>
      <c r="X262" s="177"/>
    </row>
    <row r="263" ht="15.75" customHeight="1" outlineLevel="1">
      <c r="A263" s="190"/>
      <c r="B263" s="204"/>
      <c r="C263" s="191"/>
      <c r="D263" s="205" t="str">
        <f>IFERROR(VLOOKUP($C263,'PORTIFÓLIO'!C:V,2,0),"")</f>
        <v/>
      </c>
      <c r="E263" s="190" t="str">
        <f>IFERROR(VLOOKUP($C263,'PORTIFÓLIO'!C:V,3,0),"")</f>
        <v/>
      </c>
      <c r="F263" s="190" t="str">
        <f>IFERROR(VLOOKUP($C263,'PORTIFÓLIO'!C:V,4,0),"")</f>
        <v/>
      </c>
      <c r="G263" s="206" t="str">
        <f>IFERROR(VLOOKUP($C263,'PORTIFÓLIO'!C:V,5,0),"")</f>
        <v/>
      </c>
      <c r="H263" s="247" t="str">
        <f t="array" ref="H263">IFERROR(INDEX('PORTIFÓLIO'!$H$4:$H$433,MATCH($C263,'PORTIFÓLIO'!$C$4:$C$433,0)),"")</f>
        <v/>
      </c>
      <c r="I263" s="228"/>
      <c r="J263" s="209">
        <f t="shared" si="29"/>
        <v>0</v>
      </c>
      <c r="K263" s="248" t="str">
        <f t="array" ref="K263">IFERROR(I263*INDEX('PORTIFÓLIO'!$S$4:$S$433,MATCH($C263,'PORTIFÓLIO'!$C$4:$C$433,0)),"")</f>
        <v/>
      </c>
      <c r="L263" s="248" t="str">
        <f t="array" ref="L263">IFERROR(J263*INDEX('PORTIFÓLIO'!$S$4:$S$433,MATCH($C263,'PORTIFÓLIO'!$C$4:$C$433,0)),"")</f>
        <v/>
      </c>
      <c r="M263" s="177"/>
      <c r="N263" s="177"/>
      <c r="O263" s="177"/>
      <c r="P263" s="177"/>
      <c r="Q263" s="177"/>
      <c r="R263" s="177"/>
      <c r="S263" s="177"/>
      <c r="T263" s="177"/>
      <c r="U263" s="177"/>
      <c r="V263" s="177"/>
      <c r="W263" s="177"/>
      <c r="X263" s="177"/>
    </row>
    <row r="264" ht="15.75" customHeight="1" outlineLevel="1">
      <c r="A264" s="190"/>
      <c r="B264" s="204"/>
      <c r="C264" s="191"/>
      <c r="D264" s="205" t="str">
        <f>IFERROR(VLOOKUP($C264,'PORTIFÓLIO'!C:V,2,0),"")</f>
        <v/>
      </c>
      <c r="E264" s="190" t="str">
        <f>IFERROR(VLOOKUP($C264,'PORTIFÓLIO'!C:V,3,0),"")</f>
        <v/>
      </c>
      <c r="F264" s="190" t="str">
        <f>IFERROR(VLOOKUP($C264,'PORTIFÓLIO'!C:V,4,0),"")</f>
        <v/>
      </c>
      <c r="G264" s="206" t="str">
        <f>IFERROR(VLOOKUP($C264,'PORTIFÓLIO'!C:V,5,0),"")</f>
        <v/>
      </c>
      <c r="H264" s="247" t="str">
        <f t="array" ref="H264">IFERROR(INDEX('PORTIFÓLIO'!$H$4:$H$433,MATCH($C264,'PORTIFÓLIO'!$C$4:$C$433,0)),"")</f>
        <v/>
      </c>
      <c r="I264" s="228"/>
      <c r="J264" s="209">
        <f t="shared" si="29"/>
        <v>0</v>
      </c>
      <c r="K264" s="248" t="str">
        <f t="array" ref="K264">IFERROR(I264*INDEX('PORTIFÓLIO'!$S$4:$S$433,MATCH($C264,'PORTIFÓLIO'!$C$4:$C$433,0)),"")</f>
        <v/>
      </c>
      <c r="L264" s="248" t="str">
        <f t="array" ref="L264">IFERROR(J264*INDEX('PORTIFÓLIO'!$S$4:$S$433,MATCH($C264,'PORTIFÓLIO'!$C$4:$C$433,0)),"")</f>
        <v/>
      </c>
      <c r="M264" s="177"/>
      <c r="N264" s="177"/>
      <c r="O264" s="177"/>
      <c r="P264" s="177"/>
      <c r="Q264" s="177"/>
      <c r="R264" s="177"/>
      <c r="S264" s="177"/>
      <c r="T264" s="177"/>
      <c r="U264" s="177"/>
      <c r="V264" s="177"/>
      <c r="W264" s="177"/>
      <c r="X264" s="177"/>
    </row>
    <row r="265" ht="15.75" customHeight="1" outlineLevel="1">
      <c r="A265" s="190"/>
      <c r="B265" s="204"/>
      <c r="C265" s="191"/>
      <c r="D265" s="205" t="str">
        <f>IFERROR(VLOOKUP($C265,'PORTIFÓLIO'!C:V,2,0),"")</f>
        <v/>
      </c>
      <c r="E265" s="190" t="str">
        <f>IFERROR(VLOOKUP($C265,'PORTIFÓLIO'!C:V,3,0),"")</f>
        <v/>
      </c>
      <c r="F265" s="190" t="str">
        <f>IFERROR(VLOOKUP($C265,'PORTIFÓLIO'!C:V,4,0),"")</f>
        <v/>
      </c>
      <c r="G265" s="206" t="str">
        <f>IFERROR(VLOOKUP($C265,'PORTIFÓLIO'!C:V,5,0),"")</f>
        <v/>
      </c>
      <c r="H265" s="247" t="str">
        <f t="array" ref="H265">IFERROR(INDEX('PORTIFÓLIO'!$H$4:$H$433,MATCH($C265,'PORTIFÓLIO'!$C$4:$C$433,0)),"")</f>
        <v/>
      </c>
      <c r="I265" s="228"/>
      <c r="J265" s="209">
        <f t="shared" si="29"/>
        <v>0</v>
      </c>
      <c r="K265" s="248" t="str">
        <f t="array" ref="K265">IFERROR(I265*INDEX('PORTIFÓLIO'!$S$4:$S$433,MATCH($C265,'PORTIFÓLIO'!$C$4:$C$433,0)),"")</f>
        <v/>
      </c>
      <c r="L265" s="248" t="str">
        <f t="array" ref="L265">IFERROR(J265*INDEX('PORTIFÓLIO'!$S$4:$S$433,MATCH($C265,'PORTIFÓLIO'!$C$4:$C$433,0)),"")</f>
        <v/>
      </c>
      <c r="M265" s="177"/>
      <c r="N265" s="177"/>
      <c r="O265" s="177"/>
      <c r="P265" s="177"/>
      <c r="Q265" s="177"/>
      <c r="R265" s="177"/>
      <c r="S265" s="177"/>
      <c r="T265" s="177"/>
      <c r="U265" s="177"/>
      <c r="V265" s="177"/>
      <c r="W265" s="177"/>
      <c r="X265" s="177"/>
    </row>
    <row r="266" ht="15.75" customHeight="1" outlineLevel="1">
      <c r="A266" s="190"/>
      <c r="B266" s="204"/>
      <c r="C266" s="191"/>
      <c r="D266" s="205" t="str">
        <f>IFERROR(VLOOKUP($C266,'PORTIFÓLIO'!C:V,2,0),"")</f>
        <v/>
      </c>
      <c r="E266" s="190" t="str">
        <f>IFERROR(VLOOKUP($C266,'PORTIFÓLIO'!C:V,3,0),"")</f>
        <v/>
      </c>
      <c r="F266" s="190" t="str">
        <f>IFERROR(VLOOKUP($C266,'PORTIFÓLIO'!C:V,4,0),"")</f>
        <v/>
      </c>
      <c r="G266" s="206" t="str">
        <f>IFERROR(VLOOKUP($C266,'PORTIFÓLIO'!C:V,5,0),"")</f>
        <v/>
      </c>
      <c r="H266" s="247" t="str">
        <f t="array" ref="H266">IFERROR(INDEX('PORTIFÓLIO'!$H$4:$H$433,MATCH($C266,'PORTIFÓLIO'!$C$4:$C$433,0)),"")</f>
        <v/>
      </c>
      <c r="I266" s="228"/>
      <c r="J266" s="209">
        <f t="shared" si="29"/>
        <v>0</v>
      </c>
      <c r="K266" s="248" t="str">
        <f t="array" ref="K266">IFERROR(I266*INDEX('PORTIFÓLIO'!$S$4:$S$433,MATCH($C266,'PORTIFÓLIO'!$C$4:$C$433,0)),"")</f>
        <v/>
      </c>
      <c r="L266" s="248" t="str">
        <f t="array" ref="L266">IFERROR(J266*INDEX('PORTIFÓLIO'!$S$4:$S$433,MATCH($C266,'PORTIFÓLIO'!$C$4:$C$433,0)),"")</f>
        <v/>
      </c>
      <c r="M266" s="177"/>
      <c r="N266" s="177"/>
      <c r="O266" s="177"/>
      <c r="P266" s="177"/>
      <c r="Q266" s="177"/>
      <c r="R266" s="177"/>
      <c r="S266" s="177"/>
      <c r="T266" s="177"/>
      <c r="U266" s="177"/>
      <c r="V266" s="177"/>
      <c r="W266" s="177"/>
      <c r="X266" s="177"/>
    </row>
    <row r="267" ht="15.75" customHeight="1" outlineLevel="1">
      <c r="A267" s="190"/>
      <c r="B267" s="204"/>
      <c r="C267" s="191"/>
      <c r="D267" s="205" t="str">
        <f>IFERROR(VLOOKUP($C267,'PORTIFÓLIO'!C:V,2,0),"")</f>
        <v/>
      </c>
      <c r="E267" s="190" t="str">
        <f>IFERROR(VLOOKUP($C267,'PORTIFÓLIO'!C:V,3,0),"")</f>
        <v/>
      </c>
      <c r="F267" s="190" t="str">
        <f>IFERROR(VLOOKUP($C267,'PORTIFÓLIO'!C:V,4,0),"")</f>
        <v/>
      </c>
      <c r="G267" s="206" t="str">
        <f>IFERROR(VLOOKUP($C267,'PORTIFÓLIO'!C:V,5,0),"")</f>
        <v/>
      </c>
      <c r="H267" s="247" t="str">
        <f t="array" ref="H267">IFERROR(INDEX('PORTIFÓLIO'!$H$4:$H$433,MATCH($C267,'PORTIFÓLIO'!$C$4:$C$433,0)),"")</f>
        <v/>
      </c>
      <c r="I267" s="228"/>
      <c r="J267" s="209">
        <f t="shared" si="29"/>
        <v>0</v>
      </c>
      <c r="K267" s="248" t="str">
        <f t="array" ref="K267">IFERROR(I267*INDEX('PORTIFÓLIO'!$S$4:$S$433,MATCH($C267,'PORTIFÓLIO'!$C$4:$C$433,0)),"")</f>
        <v/>
      </c>
      <c r="L267" s="248" t="str">
        <f t="array" ref="L267">IFERROR(J267*INDEX('PORTIFÓLIO'!$S$4:$S$433,MATCH($C267,'PORTIFÓLIO'!$C$4:$C$433,0)),"")</f>
        <v/>
      </c>
      <c r="M267" s="177"/>
      <c r="N267" s="177"/>
      <c r="O267" s="177"/>
      <c r="P267" s="177"/>
      <c r="Q267" s="177"/>
      <c r="R267" s="177"/>
      <c r="S267" s="177"/>
      <c r="T267" s="177"/>
      <c r="U267" s="177"/>
      <c r="V267" s="177"/>
      <c r="W267" s="177"/>
      <c r="X267" s="177"/>
    </row>
    <row r="268" ht="15.75" customHeight="1" outlineLevel="1">
      <c r="A268" s="190"/>
      <c r="B268" s="204"/>
      <c r="C268" s="191"/>
      <c r="D268" s="205" t="str">
        <f>IFERROR(VLOOKUP($C268,'PORTIFÓLIO'!C:V,2,0),"")</f>
        <v/>
      </c>
      <c r="E268" s="190" t="str">
        <f>IFERROR(VLOOKUP($C268,'PORTIFÓLIO'!C:V,3,0),"")</f>
        <v/>
      </c>
      <c r="F268" s="190" t="str">
        <f>IFERROR(VLOOKUP($C268,'PORTIFÓLIO'!C:V,4,0),"")</f>
        <v/>
      </c>
      <c r="G268" s="206" t="str">
        <f>IFERROR(VLOOKUP($C268,'PORTIFÓLIO'!C:V,5,0),"")</f>
        <v/>
      </c>
      <c r="H268" s="247" t="str">
        <f t="array" ref="H268">IFERROR(INDEX('PORTIFÓLIO'!$H$4:$H$433,MATCH($C268,'PORTIFÓLIO'!$C$4:$C$433,0)),"")</f>
        <v/>
      </c>
      <c r="I268" s="228"/>
      <c r="J268" s="209">
        <f t="shared" si="29"/>
        <v>0</v>
      </c>
      <c r="K268" s="248" t="str">
        <f t="array" ref="K268">IFERROR(I268*INDEX('PORTIFÓLIO'!$S$4:$S$433,MATCH($C268,'PORTIFÓLIO'!$C$4:$C$433,0)),"")</f>
        <v/>
      </c>
      <c r="L268" s="248" t="str">
        <f t="array" ref="L268">IFERROR(J268*INDEX('PORTIFÓLIO'!$S$4:$S$433,MATCH($C268,'PORTIFÓLIO'!$C$4:$C$433,0)),"")</f>
        <v/>
      </c>
      <c r="M268" s="177"/>
      <c r="N268" s="177"/>
      <c r="O268" s="177"/>
      <c r="P268" s="177"/>
      <c r="Q268" s="177"/>
      <c r="R268" s="177"/>
      <c r="S268" s="177"/>
      <c r="T268" s="177"/>
      <c r="U268" s="177"/>
      <c r="V268" s="177"/>
      <c r="W268" s="177"/>
      <c r="X268" s="177"/>
    </row>
    <row r="269" ht="15.75" customHeight="1" outlineLevel="1">
      <c r="A269" s="190"/>
      <c r="B269" s="204"/>
      <c r="C269" s="191"/>
      <c r="D269" s="205" t="str">
        <f>IFERROR(VLOOKUP($C269,'PORTIFÓLIO'!C:V,2,0),"")</f>
        <v/>
      </c>
      <c r="E269" s="190" t="str">
        <f>IFERROR(VLOOKUP($C269,'PORTIFÓLIO'!C:V,3,0),"")</f>
        <v/>
      </c>
      <c r="F269" s="190" t="str">
        <f>IFERROR(VLOOKUP($C269,'PORTIFÓLIO'!C:V,4,0),"")</f>
        <v/>
      </c>
      <c r="G269" s="206" t="str">
        <f>IFERROR(VLOOKUP($C269,'PORTIFÓLIO'!C:V,5,0),"")</f>
        <v/>
      </c>
      <c r="H269" s="247" t="str">
        <f t="array" ref="H269">IFERROR(INDEX('PORTIFÓLIO'!$H$4:$H$433,MATCH($C269,'PORTIFÓLIO'!$C$4:$C$433,0)),"")</f>
        <v/>
      </c>
      <c r="I269" s="228"/>
      <c r="J269" s="209">
        <f t="shared" si="29"/>
        <v>0</v>
      </c>
      <c r="K269" s="248" t="str">
        <f t="array" ref="K269">IFERROR(I269*INDEX('PORTIFÓLIO'!$S$4:$S$433,MATCH($C269,'PORTIFÓLIO'!$C$4:$C$433,0)),"")</f>
        <v/>
      </c>
      <c r="L269" s="248" t="str">
        <f t="array" ref="L269">IFERROR(J269*INDEX('PORTIFÓLIO'!$S$4:$S$433,MATCH($C269,'PORTIFÓLIO'!$C$4:$C$433,0)),"")</f>
        <v/>
      </c>
      <c r="M269" s="177"/>
      <c r="N269" s="177"/>
      <c r="O269" s="177"/>
      <c r="P269" s="177"/>
      <c r="Q269" s="177"/>
      <c r="R269" s="177"/>
      <c r="S269" s="177"/>
      <c r="T269" s="177"/>
      <c r="U269" s="177"/>
      <c r="V269" s="177"/>
      <c r="W269" s="177"/>
      <c r="X269" s="177"/>
    </row>
    <row r="270" ht="15.75" customHeight="1" outlineLevel="1">
      <c r="A270" s="190"/>
      <c r="B270" s="204"/>
      <c r="C270" s="191"/>
      <c r="D270" s="205" t="str">
        <f>IFERROR(VLOOKUP($C270,'PORTIFÓLIO'!C:V,2,0),"")</f>
        <v/>
      </c>
      <c r="E270" s="190" t="str">
        <f>IFERROR(VLOOKUP($C270,'PORTIFÓLIO'!C:V,3,0),"")</f>
        <v/>
      </c>
      <c r="F270" s="190" t="str">
        <f>IFERROR(VLOOKUP($C270,'PORTIFÓLIO'!C:V,4,0),"")</f>
        <v/>
      </c>
      <c r="G270" s="206" t="str">
        <f>IFERROR(VLOOKUP($C270,'PORTIFÓLIO'!C:V,5,0),"")</f>
        <v/>
      </c>
      <c r="H270" s="247" t="str">
        <f t="array" ref="H270">IFERROR(INDEX('PORTIFÓLIO'!$H$4:$H$433,MATCH($C270,'PORTIFÓLIO'!$C$4:$C$433,0)),"")</f>
        <v/>
      </c>
      <c r="I270" s="228"/>
      <c r="J270" s="209">
        <f t="shared" si="29"/>
        <v>0</v>
      </c>
      <c r="K270" s="248" t="str">
        <f t="array" ref="K270">IFERROR(I270*INDEX('PORTIFÓLIO'!$S$4:$S$433,MATCH($C270,'PORTIFÓLIO'!$C$4:$C$433,0)),"")</f>
        <v/>
      </c>
      <c r="L270" s="248" t="str">
        <f t="array" ref="L270">IFERROR(J270*INDEX('PORTIFÓLIO'!$S$4:$S$433,MATCH($C270,'PORTIFÓLIO'!$C$4:$C$433,0)),"")</f>
        <v/>
      </c>
      <c r="M270" s="177"/>
      <c r="N270" s="177"/>
      <c r="O270" s="177"/>
      <c r="P270" s="177"/>
      <c r="Q270" s="177"/>
      <c r="R270" s="177"/>
      <c r="S270" s="177"/>
      <c r="T270" s="177"/>
      <c r="U270" s="177"/>
      <c r="V270" s="177"/>
      <c r="W270" s="177"/>
      <c r="X270" s="177"/>
    </row>
    <row r="271" ht="15.75" customHeight="1">
      <c r="A271" s="221" t="s">
        <v>1185</v>
      </c>
      <c r="B271" s="197"/>
      <c r="C271" s="196"/>
      <c r="D271" s="198"/>
      <c r="E271" s="196"/>
      <c r="F271" s="196"/>
      <c r="G271" s="199"/>
      <c r="H271" s="199"/>
      <c r="I271" s="201"/>
      <c r="J271" s="202"/>
      <c r="K271" s="203">
        <f t="shared" ref="K271:L271" si="30">SUBTOTAL(9,K272:K285)</f>
        <v>79.6803</v>
      </c>
      <c r="L271" s="203">
        <f t="shared" si="30"/>
        <v>21752.7219</v>
      </c>
      <c r="M271" s="177"/>
      <c r="N271" s="177"/>
      <c r="O271" s="177"/>
      <c r="P271" s="177"/>
      <c r="Q271" s="177"/>
      <c r="R271" s="177"/>
      <c r="S271" s="177"/>
      <c r="T271" s="177"/>
      <c r="U271" s="177"/>
      <c r="V271" s="177"/>
      <c r="W271" s="177"/>
      <c r="X271" s="177"/>
    </row>
    <row r="272" ht="15.75" customHeight="1" outlineLevel="1">
      <c r="A272" s="191"/>
      <c r="B272" s="204" t="s">
        <v>5</v>
      </c>
      <c r="C272" s="191" t="s">
        <v>1070</v>
      </c>
      <c r="D272" s="205" t="str">
        <f>IFERROR(VLOOKUP($C272,'PORTIFÓLIO'!C:V,2,0),"")</f>
        <v/>
      </c>
      <c r="E272" s="190" t="str">
        <f>IFERROR(VLOOKUP($C272,'PORTIFÓLIO'!C:V,3,0),"")</f>
        <v/>
      </c>
      <c r="F272" s="190" t="str">
        <f>IFERROR(VLOOKUP($C272,'PORTIFÓLIO'!C:V,4,0),"")</f>
        <v/>
      </c>
      <c r="G272" s="223" t="str">
        <f>IFERROR(VLOOKUP($C272,'PORTIFÓLIO'!C:V,5,0),"")</f>
        <v>📄 Ver bula</v>
      </c>
      <c r="H272" s="247" t="str">
        <f t="array" ref="H272">IFERROR(INDEX('PORTIFÓLIO'!$H$4:$H$433,MATCH($C272,'PORTIFÓLIO'!$C$4:$C$433,0)),"")</f>
        <v/>
      </c>
      <c r="I272" s="208">
        <v>0.4</v>
      </c>
      <c r="J272" s="209">
        <f t="shared" ref="J272:J289" si="31">I272*$B$2</f>
        <v>109.2</v>
      </c>
      <c r="K272" s="248">
        <f t="array" ref="K272">IFERROR(I272*INDEX('PORTIFÓLIO'!$S$4:$S$433,MATCH($C272,'PORTIFÓLIO'!$C$4:$C$433,0)),"")</f>
        <v>0</v>
      </c>
      <c r="L272" s="248">
        <f t="array" ref="L272">IFERROR(J272*INDEX('PORTIFÓLIO'!$S$4:$S$433,MATCH($C272,'PORTIFÓLIO'!$C$4:$C$433,0)),"")</f>
        <v>0</v>
      </c>
      <c r="M272" s="177"/>
      <c r="N272" s="177"/>
      <c r="O272" s="177"/>
      <c r="P272" s="177"/>
      <c r="Q272" s="177"/>
      <c r="R272" s="177"/>
      <c r="S272" s="177"/>
      <c r="T272" s="177"/>
      <c r="U272" s="177"/>
      <c r="V272" s="177"/>
      <c r="W272" s="177"/>
      <c r="X272" s="177"/>
    </row>
    <row r="273" ht="15.75" customHeight="1" outlineLevel="1">
      <c r="A273" s="190"/>
      <c r="B273" s="204" t="s">
        <v>3</v>
      </c>
      <c r="C273" s="191" t="s">
        <v>1025</v>
      </c>
      <c r="D273" s="205" t="str">
        <f>IFERROR(VLOOKUP($C273,'PORTIFÓLIO'!C:V,2,0),"")</f>
        <v>CIANTRANILIPROLE</v>
      </c>
      <c r="E273" s="190">
        <f>IFERROR(VLOOKUP($C273,'PORTIFÓLIO'!C:V,3,0),"")</f>
        <v>600</v>
      </c>
      <c r="F273" s="190" t="str">
        <f>IFERROR(VLOOKUP($C273,'PORTIFÓLIO'!C:V,4,0),"")</f>
        <v>L</v>
      </c>
      <c r="G273" s="223" t="str">
        <f>IFERROR(VLOOKUP($C273,'PORTIFÓLIO'!C:V,5,0),"")</f>
        <v>📄 Ver bula</v>
      </c>
      <c r="H273" s="247">
        <f t="array" ref="H273">IFERROR(INDEX('PORTIFÓLIO'!$H$4:$H$433,MATCH($C273,'PORTIFÓLIO'!$C$4:$C$433,0)),"")</f>
        <v>0.05</v>
      </c>
      <c r="I273" s="208">
        <v>0.05</v>
      </c>
      <c r="J273" s="209">
        <f t="shared" si="31"/>
        <v>13.65</v>
      </c>
      <c r="K273" s="248">
        <f t="array" ref="K273">IFERROR(I273*INDEX('PORTIFÓLIO'!$S$4:$S$433,MATCH($C273,'PORTIFÓLIO'!$C$4:$C$433,0)),"")</f>
        <v>54.4103</v>
      </c>
      <c r="L273" s="248">
        <f t="array" ref="L273">IFERROR(J273*INDEX('PORTIFÓLIO'!$S$4:$S$433,MATCH($C273,'PORTIFÓLIO'!$C$4:$C$433,0)),"")</f>
        <v>14854.0119</v>
      </c>
      <c r="M273" s="177"/>
      <c r="N273" s="177"/>
      <c r="O273" s="177"/>
      <c r="P273" s="177"/>
      <c r="Q273" s="177"/>
      <c r="R273" s="177"/>
      <c r="S273" s="177"/>
      <c r="T273" s="177"/>
      <c r="U273" s="177"/>
      <c r="V273" s="177"/>
      <c r="W273" s="177"/>
      <c r="X273" s="177"/>
    </row>
    <row r="274" ht="15.75" customHeight="1" outlineLevel="1">
      <c r="A274" s="190"/>
      <c r="B274" s="204" t="s">
        <v>3</v>
      </c>
      <c r="C274" s="191" t="s">
        <v>1011</v>
      </c>
      <c r="D274" s="205" t="str">
        <f>IFERROR(VLOOKUP($C274,'PORTIFÓLIO'!C:V,2,0),"")</f>
        <v>METALAXIL-M + TIABENDAZOL + FLUDIOXONIL +
 TIAMETOXAM</v>
      </c>
      <c r="E274" s="190" t="str">
        <f>IFERROR(VLOOKUP($C274,'PORTIFÓLIO'!C:V,3,0),"")</f>
        <v>20 + 150 + 25 + 350</v>
      </c>
      <c r="F274" s="190" t="str">
        <f>IFERROR(VLOOKUP($C274,'PORTIFÓLIO'!C:V,4,0),"")</f>
        <v/>
      </c>
      <c r="G274" s="223" t="str">
        <f>IFERROR(VLOOKUP($C274,'PORTIFÓLIO'!C:V,5,0),"")</f>
        <v>📄 Ver bula</v>
      </c>
      <c r="H274" s="247">
        <f t="array" ref="H274">IFERROR(INDEX('PORTIFÓLIO'!$H$4:$H$433,MATCH($C274,'PORTIFÓLIO'!$C$4:$C$433,0)),"")</f>
        <v>0.05</v>
      </c>
      <c r="I274" s="208">
        <v>0.05</v>
      </c>
      <c r="J274" s="209">
        <f t="shared" si="31"/>
        <v>13.65</v>
      </c>
      <c r="K274" s="248">
        <f t="array" ref="K274">IFERROR(I274*INDEX('PORTIFÓLIO'!$S$4:$S$433,MATCH($C274,'PORTIFÓLIO'!$C$4:$C$433,0)),"")</f>
        <v>25.27</v>
      </c>
      <c r="L274" s="248">
        <f t="array" ref="L274">IFERROR(J274*INDEX('PORTIFÓLIO'!$S$4:$S$433,MATCH($C274,'PORTIFÓLIO'!$C$4:$C$433,0)),"")</f>
        <v>6898.71</v>
      </c>
      <c r="M274" s="177"/>
      <c r="N274" s="177"/>
      <c r="O274" s="177"/>
      <c r="P274" s="177"/>
      <c r="Q274" s="177"/>
      <c r="R274" s="177"/>
      <c r="S274" s="177"/>
      <c r="T274" s="177"/>
      <c r="U274" s="177"/>
      <c r="V274" s="177"/>
      <c r="W274" s="177"/>
      <c r="X274" s="177"/>
    </row>
    <row r="275" ht="15.75" customHeight="1" outlineLevel="1">
      <c r="A275" s="190"/>
      <c r="B275" s="204"/>
      <c r="C275" s="191"/>
      <c r="D275" s="205" t="str">
        <f>IFERROR(VLOOKUP($C275,'PORTIFÓLIO'!C:V,2,0),"")</f>
        <v/>
      </c>
      <c r="E275" s="190" t="str">
        <f>IFERROR(VLOOKUP($C275,'PORTIFÓLIO'!C:V,3,0),"")</f>
        <v/>
      </c>
      <c r="F275" s="190" t="str">
        <f>IFERROR(VLOOKUP($C275,'PORTIFÓLIO'!C:V,4,0),"")</f>
        <v/>
      </c>
      <c r="G275" s="206" t="str">
        <f>IFERROR(VLOOKUP($C275,'PORTIFÓLIO'!C:V,5,0),"")</f>
        <v/>
      </c>
      <c r="H275" s="247" t="str">
        <f t="array" ref="H275">IFERROR(INDEX('PORTIFÓLIO'!$H$4:$H$433,MATCH($C275,'PORTIFÓLIO'!$C$4:$C$433,0)),"")</f>
        <v/>
      </c>
      <c r="I275" s="228"/>
      <c r="J275" s="209">
        <f t="shared" si="31"/>
        <v>0</v>
      </c>
      <c r="K275" s="248" t="str">
        <f t="array" ref="K275">IFERROR(I275*INDEX('PORTIFÓLIO'!$S$4:$S$433,MATCH($C275,'PORTIFÓLIO'!$C$4:$C$433,0)),"")</f>
        <v/>
      </c>
      <c r="L275" s="248" t="str">
        <f t="array" ref="L275">IFERROR(J275*INDEX('PORTIFÓLIO'!$S$4:$S$433,MATCH($C275,'PORTIFÓLIO'!$C$4:$C$433,0)),"")</f>
        <v/>
      </c>
      <c r="M275" s="177"/>
      <c r="N275" s="177"/>
      <c r="O275" s="177"/>
      <c r="P275" s="177"/>
      <c r="Q275" s="177"/>
      <c r="R275" s="177"/>
      <c r="S275" s="177"/>
      <c r="T275" s="177"/>
      <c r="U275" s="177"/>
      <c r="V275" s="177"/>
      <c r="W275" s="177"/>
      <c r="X275" s="177"/>
    </row>
    <row r="276" ht="15.75" customHeight="1" outlineLevel="1">
      <c r="A276" s="190"/>
      <c r="B276" s="204"/>
      <c r="C276" s="191"/>
      <c r="D276" s="205" t="str">
        <f>IFERROR(VLOOKUP($C276,'PORTIFÓLIO'!C:V,2,0),"")</f>
        <v/>
      </c>
      <c r="E276" s="190" t="str">
        <f>IFERROR(VLOOKUP($C276,'PORTIFÓLIO'!C:V,3,0),"")</f>
        <v/>
      </c>
      <c r="F276" s="190" t="str">
        <f>IFERROR(VLOOKUP($C276,'PORTIFÓLIO'!C:V,4,0),"")</f>
        <v/>
      </c>
      <c r="G276" s="206" t="str">
        <f>IFERROR(VLOOKUP($C276,'PORTIFÓLIO'!C:V,5,0),"")</f>
        <v/>
      </c>
      <c r="H276" s="247" t="str">
        <f t="array" ref="H276">IFERROR(INDEX('PORTIFÓLIO'!$H$4:$H$433,MATCH($C276,'PORTIFÓLIO'!$C$4:$C$433,0)),"")</f>
        <v/>
      </c>
      <c r="I276" s="228"/>
      <c r="J276" s="209">
        <f t="shared" si="31"/>
        <v>0</v>
      </c>
      <c r="K276" s="248" t="str">
        <f t="array" ref="K276">IFERROR(I276*INDEX('PORTIFÓLIO'!$S$4:$S$433,MATCH($C276,'PORTIFÓLIO'!$C$4:$C$433,0)),"")</f>
        <v/>
      </c>
      <c r="L276" s="248" t="str">
        <f t="array" ref="L276">IFERROR(J276*INDEX('PORTIFÓLIO'!$S$4:$S$433,MATCH($C276,'PORTIFÓLIO'!$C$4:$C$433,0)),"")</f>
        <v/>
      </c>
      <c r="M276" s="177"/>
      <c r="N276" s="177"/>
      <c r="O276" s="177"/>
      <c r="P276" s="177"/>
      <c r="Q276" s="177"/>
      <c r="R276" s="177"/>
      <c r="S276" s="177"/>
      <c r="T276" s="177"/>
      <c r="U276" s="177"/>
      <c r="V276" s="177"/>
      <c r="W276" s="177"/>
      <c r="X276" s="177"/>
    </row>
    <row r="277" ht="15.75" customHeight="1" outlineLevel="1">
      <c r="A277" s="190"/>
      <c r="B277" s="204"/>
      <c r="C277" s="191"/>
      <c r="D277" s="205" t="str">
        <f>IFERROR(VLOOKUP($C277,'PORTIFÓLIO'!C:V,2,0),"")</f>
        <v/>
      </c>
      <c r="E277" s="190" t="str">
        <f>IFERROR(VLOOKUP($C277,'PORTIFÓLIO'!C:V,3,0),"")</f>
        <v/>
      </c>
      <c r="F277" s="190" t="str">
        <f>IFERROR(VLOOKUP($C277,'PORTIFÓLIO'!C:V,4,0),"")</f>
        <v/>
      </c>
      <c r="G277" s="206" t="str">
        <f>IFERROR(VLOOKUP($C277,'PORTIFÓLIO'!C:V,5,0),"")</f>
        <v/>
      </c>
      <c r="H277" s="247" t="str">
        <f t="array" ref="H277">IFERROR(INDEX('PORTIFÓLIO'!$H$4:$H$433,MATCH($C277,'PORTIFÓLIO'!$C$4:$C$433,0)),"")</f>
        <v/>
      </c>
      <c r="I277" s="228"/>
      <c r="J277" s="209">
        <f t="shared" si="31"/>
        <v>0</v>
      </c>
      <c r="K277" s="248" t="str">
        <f t="array" ref="K277">IFERROR(I277*INDEX('PORTIFÓLIO'!$S$4:$S$433,MATCH($C277,'PORTIFÓLIO'!$C$4:$C$433,0)),"")</f>
        <v/>
      </c>
      <c r="L277" s="248" t="str">
        <f t="array" ref="L277">IFERROR(J277*INDEX('PORTIFÓLIO'!$S$4:$S$433,MATCH($C277,'PORTIFÓLIO'!$C$4:$C$433,0)),"")</f>
        <v/>
      </c>
      <c r="M277" s="177"/>
      <c r="N277" s="177"/>
      <c r="O277" s="177"/>
      <c r="P277" s="177"/>
      <c r="Q277" s="177"/>
      <c r="R277" s="177"/>
      <c r="S277" s="177"/>
      <c r="T277" s="177"/>
      <c r="U277" s="177"/>
      <c r="V277" s="177"/>
      <c r="W277" s="177"/>
      <c r="X277" s="177"/>
    </row>
    <row r="278" ht="15.75" customHeight="1" outlineLevel="1">
      <c r="A278" s="190"/>
      <c r="B278" s="204"/>
      <c r="C278" s="191"/>
      <c r="D278" s="205" t="str">
        <f>IFERROR(VLOOKUP($C278,'PORTIFÓLIO'!C:V,2,0),"")</f>
        <v/>
      </c>
      <c r="E278" s="190" t="str">
        <f>IFERROR(VLOOKUP($C278,'PORTIFÓLIO'!C:V,3,0),"")</f>
        <v/>
      </c>
      <c r="F278" s="190" t="str">
        <f>IFERROR(VLOOKUP($C278,'PORTIFÓLIO'!C:V,4,0),"")</f>
        <v/>
      </c>
      <c r="G278" s="206" t="str">
        <f>IFERROR(VLOOKUP($C278,'PORTIFÓLIO'!C:V,5,0),"")</f>
        <v/>
      </c>
      <c r="H278" s="247" t="str">
        <f t="array" ref="H278">IFERROR(INDEX('PORTIFÓLIO'!$H$4:$H$433,MATCH($C278,'PORTIFÓLIO'!$C$4:$C$433,0)),"")</f>
        <v/>
      </c>
      <c r="I278" s="228"/>
      <c r="J278" s="209">
        <f t="shared" si="31"/>
        <v>0</v>
      </c>
      <c r="K278" s="248" t="str">
        <f t="array" ref="K278">IFERROR(I278*INDEX('PORTIFÓLIO'!$S$4:$S$433,MATCH($C278,'PORTIFÓLIO'!$C$4:$C$433,0)),"")</f>
        <v/>
      </c>
      <c r="L278" s="248" t="str">
        <f t="array" ref="L278">IFERROR(J278*INDEX('PORTIFÓLIO'!$S$4:$S$433,MATCH($C278,'PORTIFÓLIO'!$C$4:$C$433,0)),"")</f>
        <v/>
      </c>
      <c r="M278" s="177"/>
      <c r="N278" s="177"/>
      <c r="O278" s="177"/>
      <c r="P278" s="177"/>
      <c r="Q278" s="177"/>
      <c r="R278" s="177"/>
      <c r="S278" s="177"/>
      <c r="T278" s="177"/>
      <c r="U278" s="177"/>
      <c r="V278" s="177"/>
      <c r="W278" s="177"/>
      <c r="X278" s="177"/>
    </row>
    <row r="279" ht="15.75" customHeight="1" outlineLevel="1">
      <c r="A279" s="190"/>
      <c r="B279" s="204"/>
      <c r="C279" s="191"/>
      <c r="D279" s="205" t="str">
        <f>IFERROR(VLOOKUP($C279,'PORTIFÓLIO'!C:V,2,0),"")</f>
        <v/>
      </c>
      <c r="E279" s="190" t="str">
        <f>IFERROR(VLOOKUP($C279,'PORTIFÓLIO'!C:V,3,0),"")</f>
        <v/>
      </c>
      <c r="F279" s="190" t="str">
        <f>IFERROR(VLOOKUP($C279,'PORTIFÓLIO'!C:V,4,0),"")</f>
        <v/>
      </c>
      <c r="G279" s="206" t="str">
        <f>IFERROR(VLOOKUP($C279,'PORTIFÓLIO'!C:V,5,0),"")</f>
        <v/>
      </c>
      <c r="H279" s="247" t="str">
        <f t="array" ref="H279">IFERROR(INDEX('PORTIFÓLIO'!$H$4:$H$433,MATCH($C279,'PORTIFÓLIO'!$C$4:$C$433,0)),"")</f>
        <v/>
      </c>
      <c r="I279" s="228"/>
      <c r="J279" s="209">
        <f t="shared" si="31"/>
        <v>0</v>
      </c>
      <c r="K279" s="248" t="str">
        <f t="array" ref="K279">IFERROR(I279*INDEX('PORTIFÓLIO'!$S$4:$S$433,MATCH($C279,'PORTIFÓLIO'!$C$4:$C$433,0)),"")</f>
        <v/>
      </c>
      <c r="L279" s="248" t="str">
        <f t="array" ref="L279">IFERROR(J279*INDEX('PORTIFÓLIO'!$S$4:$S$433,MATCH($C279,'PORTIFÓLIO'!$C$4:$C$433,0)),"")</f>
        <v/>
      </c>
      <c r="M279" s="177"/>
      <c r="N279" s="177"/>
      <c r="O279" s="177"/>
      <c r="P279" s="177"/>
      <c r="Q279" s="177"/>
      <c r="R279" s="177"/>
      <c r="S279" s="177"/>
      <c r="T279" s="177"/>
      <c r="U279" s="177"/>
      <c r="V279" s="177"/>
      <c r="W279" s="177"/>
      <c r="X279" s="177"/>
    </row>
    <row r="280" ht="15.75" customHeight="1" outlineLevel="1">
      <c r="A280" s="190"/>
      <c r="B280" s="204"/>
      <c r="C280" s="191"/>
      <c r="D280" s="205" t="str">
        <f>IFERROR(VLOOKUP($C280,'PORTIFÓLIO'!C:V,2,0),"")</f>
        <v/>
      </c>
      <c r="E280" s="190" t="str">
        <f>IFERROR(VLOOKUP($C280,'PORTIFÓLIO'!C:V,3,0),"")</f>
        <v/>
      </c>
      <c r="F280" s="190" t="str">
        <f>IFERROR(VLOOKUP($C280,'PORTIFÓLIO'!C:V,4,0),"")</f>
        <v/>
      </c>
      <c r="G280" s="206" t="str">
        <f>IFERROR(VLOOKUP($C280,'PORTIFÓLIO'!C:V,5,0),"")</f>
        <v/>
      </c>
      <c r="H280" s="247" t="str">
        <f t="array" ref="H280">IFERROR(INDEX('PORTIFÓLIO'!$H$4:$H$433,MATCH($C280,'PORTIFÓLIO'!$C$4:$C$433,0)),"")</f>
        <v/>
      </c>
      <c r="I280" s="208"/>
      <c r="J280" s="209">
        <f t="shared" si="31"/>
        <v>0</v>
      </c>
      <c r="K280" s="248" t="str">
        <f t="array" ref="K280">IFERROR(I280*INDEX('PORTIFÓLIO'!$S$4:$S$433,MATCH($C280,'PORTIFÓLIO'!$C$4:$C$433,0)),"")</f>
        <v/>
      </c>
      <c r="L280" s="248" t="str">
        <f t="array" ref="L280">IFERROR(J280*INDEX('PORTIFÓLIO'!$S$4:$S$433,MATCH($C280,'PORTIFÓLIO'!$C$4:$C$433,0)),"")</f>
        <v/>
      </c>
      <c r="M280" s="177"/>
      <c r="N280" s="177"/>
      <c r="O280" s="177"/>
      <c r="P280" s="177"/>
      <c r="Q280" s="177"/>
      <c r="R280" s="177"/>
      <c r="S280" s="177"/>
      <c r="T280" s="177"/>
      <c r="U280" s="177"/>
      <c r="V280" s="177"/>
      <c r="W280" s="177"/>
      <c r="X280" s="177"/>
    </row>
    <row r="281" ht="15.75" customHeight="1" outlineLevel="1">
      <c r="A281" s="190"/>
      <c r="B281" s="204"/>
      <c r="C281" s="191"/>
      <c r="D281" s="205" t="str">
        <f>IFERROR(VLOOKUP($C281,'PORTIFÓLIO'!C:V,2,0),"")</f>
        <v/>
      </c>
      <c r="E281" s="190" t="str">
        <f>IFERROR(VLOOKUP($C281,'PORTIFÓLIO'!C:V,3,0),"")</f>
        <v/>
      </c>
      <c r="F281" s="190" t="str">
        <f>IFERROR(VLOOKUP($C281,'PORTIFÓLIO'!C:V,4,0),"")</f>
        <v/>
      </c>
      <c r="G281" s="206" t="str">
        <f>IFERROR(VLOOKUP($C281,'PORTIFÓLIO'!C:V,5,0),"")</f>
        <v/>
      </c>
      <c r="H281" s="247" t="str">
        <f t="array" ref="H281">IFERROR(INDEX('PORTIFÓLIO'!$H$4:$H$433,MATCH($C281,'PORTIFÓLIO'!$C$4:$C$433,0)),"")</f>
        <v/>
      </c>
      <c r="I281" s="228"/>
      <c r="J281" s="209">
        <f t="shared" si="31"/>
        <v>0</v>
      </c>
      <c r="K281" s="248" t="str">
        <f t="array" ref="K281">IFERROR(I281*INDEX('PORTIFÓLIO'!$S$4:$S$433,MATCH($C281,'PORTIFÓLIO'!$C$4:$C$433,0)),"")</f>
        <v/>
      </c>
      <c r="L281" s="248" t="str">
        <f t="array" ref="L281">IFERROR(J281*INDEX('PORTIFÓLIO'!$S$4:$S$433,MATCH($C281,'PORTIFÓLIO'!$C$4:$C$433,0)),"")</f>
        <v/>
      </c>
      <c r="M281" s="177"/>
      <c r="N281" s="177"/>
      <c r="O281" s="177"/>
      <c r="P281" s="177"/>
      <c r="Q281" s="177"/>
      <c r="R281" s="177"/>
      <c r="S281" s="177"/>
      <c r="T281" s="177"/>
      <c r="U281" s="177"/>
      <c r="V281" s="177"/>
      <c r="W281" s="177"/>
      <c r="X281" s="177"/>
    </row>
    <row r="282" ht="15.75" customHeight="1" outlineLevel="1">
      <c r="A282" s="190"/>
      <c r="B282" s="204"/>
      <c r="C282" s="191"/>
      <c r="D282" s="205" t="str">
        <f>IFERROR(VLOOKUP($C282,'PORTIFÓLIO'!C:V,2,0),"")</f>
        <v/>
      </c>
      <c r="E282" s="190" t="str">
        <f>IFERROR(VLOOKUP($C282,'PORTIFÓLIO'!C:V,3,0),"")</f>
        <v/>
      </c>
      <c r="F282" s="190" t="str">
        <f>IFERROR(VLOOKUP($C282,'PORTIFÓLIO'!C:V,4,0),"")</f>
        <v/>
      </c>
      <c r="G282" s="206" t="str">
        <f>IFERROR(VLOOKUP($C282,'PORTIFÓLIO'!C:V,5,0),"")</f>
        <v/>
      </c>
      <c r="H282" s="247" t="str">
        <f t="array" ref="H282">IFERROR(INDEX('PORTIFÓLIO'!$H$4:$H$433,MATCH($C282,'PORTIFÓLIO'!$C$4:$C$433,0)),"")</f>
        <v/>
      </c>
      <c r="I282" s="228"/>
      <c r="J282" s="209">
        <f t="shared" si="31"/>
        <v>0</v>
      </c>
      <c r="K282" s="248" t="str">
        <f t="array" ref="K282">IFERROR(I282*INDEX('PORTIFÓLIO'!$S$4:$S$433,MATCH($C282,'PORTIFÓLIO'!$C$4:$C$433,0)),"")</f>
        <v/>
      </c>
      <c r="L282" s="248" t="str">
        <f t="array" ref="L282">IFERROR(J282*INDEX('PORTIFÓLIO'!$S$4:$S$433,MATCH($C282,'PORTIFÓLIO'!$C$4:$C$433,0)),"")</f>
        <v/>
      </c>
      <c r="M282" s="177"/>
      <c r="N282" s="177"/>
      <c r="O282" s="177"/>
      <c r="P282" s="177"/>
      <c r="Q282" s="177"/>
      <c r="R282" s="177"/>
      <c r="S282" s="177"/>
      <c r="T282" s="177"/>
      <c r="U282" s="177"/>
      <c r="V282" s="177"/>
      <c r="W282" s="177"/>
      <c r="X282" s="177"/>
    </row>
    <row r="283" ht="15.75" customHeight="1" outlineLevel="1">
      <c r="A283" s="190"/>
      <c r="B283" s="204"/>
      <c r="C283" s="191"/>
      <c r="D283" s="205" t="str">
        <f>IFERROR(VLOOKUP($C283,'PORTIFÓLIO'!C:V,2,0),"")</f>
        <v/>
      </c>
      <c r="E283" s="190" t="str">
        <f>IFERROR(VLOOKUP($C283,'PORTIFÓLIO'!C:V,3,0),"")</f>
        <v/>
      </c>
      <c r="F283" s="190" t="str">
        <f>IFERROR(VLOOKUP($C283,'PORTIFÓLIO'!C:V,4,0),"")</f>
        <v/>
      </c>
      <c r="G283" s="206" t="str">
        <f>IFERROR(VLOOKUP($C283,'PORTIFÓLIO'!C:V,5,0),"")</f>
        <v/>
      </c>
      <c r="H283" s="247" t="str">
        <f t="array" ref="H283">IFERROR(INDEX('PORTIFÓLIO'!$H$4:$H$433,MATCH($C283,'PORTIFÓLIO'!$C$4:$C$433,0)),"")</f>
        <v/>
      </c>
      <c r="I283" s="228"/>
      <c r="J283" s="209">
        <f t="shared" si="31"/>
        <v>0</v>
      </c>
      <c r="K283" s="248" t="str">
        <f t="array" ref="K283">IFERROR(I283*INDEX('PORTIFÓLIO'!$S$4:$S$433,MATCH($C283,'PORTIFÓLIO'!$C$4:$C$433,0)),"")</f>
        <v/>
      </c>
      <c r="L283" s="248" t="str">
        <f t="array" ref="L283">IFERROR(J283*INDEX('PORTIFÓLIO'!$S$4:$S$433,MATCH($C283,'PORTIFÓLIO'!$C$4:$C$433,0)),"")</f>
        <v/>
      </c>
      <c r="M283" s="177"/>
      <c r="N283" s="177"/>
      <c r="O283" s="177"/>
      <c r="P283" s="177"/>
      <c r="Q283" s="177"/>
      <c r="R283" s="177"/>
      <c r="S283" s="177"/>
      <c r="T283" s="177"/>
      <c r="U283" s="177"/>
      <c r="V283" s="177"/>
      <c r="W283" s="177"/>
      <c r="X283" s="177"/>
    </row>
    <row r="284" ht="15.75" customHeight="1" outlineLevel="1">
      <c r="A284" s="190"/>
      <c r="B284" s="204"/>
      <c r="C284" s="191"/>
      <c r="D284" s="205" t="str">
        <f>IFERROR(VLOOKUP($C284,'PORTIFÓLIO'!C:V,2,0),"")</f>
        <v/>
      </c>
      <c r="E284" s="190" t="str">
        <f>IFERROR(VLOOKUP($C284,'PORTIFÓLIO'!C:V,3,0),"")</f>
        <v/>
      </c>
      <c r="F284" s="190" t="str">
        <f>IFERROR(VLOOKUP($C284,'PORTIFÓLIO'!C:V,4,0),"")</f>
        <v/>
      </c>
      <c r="G284" s="206" t="str">
        <f>IFERROR(VLOOKUP($C284,'PORTIFÓLIO'!C:V,5,0),"")</f>
        <v/>
      </c>
      <c r="H284" s="247" t="str">
        <f t="array" ref="H284">IFERROR(INDEX('PORTIFÓLIO'!$H$4:$H$433,MATCH($C284,'PORTIFÓLIO'!$C$4:$C$433,0)),"")</f>
        <v/>
      </c>
      <c r="I284" s="228"/>
      <c r="J284" s="209">
        <f t="shared" si="31"/>
        <v>0</v>
      </c>
      <c r="K284" s="248" t="str">
        <f t="array" ref="K284">IFERROR(I284*INDEX('PORTIFÓLIO'!$S$4:$S$433,MATCH($C284,'PORTIFÓLIO'!$C$4:$C$433,0)),"")</f>
        <v/>
      </c>
      <c r="L284" s="248" t="str">
        <f t="array" ref="L284">IFERROR(J284*INDEX('PORTIFÓLIO'!$S$4:$S$433,MATCH($C284,'PORTIFÓLIO'!$C$4:$C$433,0)),"")</f>
        <v/>
      </c>
      <c r="M284" s="177"/>
      <c r="N284" s="177"/>
      <c r="O284" s="177"/>
      <c r="P284" s="177"/>
      <c r="Q284" s="177"/>
      <c r="R284" s="177"/>
      <c r="S284" s="177"/>
      <c r="T284" s="177"/>
      <c r="U284" s="177"/>
      <c r="V284" s="177"/>
      <c r="W284" s="177"/>
      <c r="X284" s="177"/>
    </row>
    <row r="285" ht="15.75" customHeight="1" outlineLevel="1">
      <c r="A285" s="190"/>
      <c r="B285" s="204"/>
      <c r="C285" s="191"/>
      <c r="D285" s="205" t="str">
        <f>IFERROR(VLOOKUP($C285,'PORTIFÓLIO'!C:V,2,0),"")</f>
        <v/>
      </c>
      <c r="E285" s="190" t="str">
        <f>IFERROR(VLOOKUP($C285,'PORTIFÓLIO'!C:V,3,0),"")</f>
        <v/>
      </c>
      <c r="F285" s="190" t="str">
        <f>IFERROR(VLOOKUP($C285,'PORTIFÓLIO'!C:V,4,0),"")</f>
        <v/>
      </c>
      <c r="G285" s="206" t="str">
        <f>IFERROR(VLOOKUP($C285,'PORTIFÓLIO'!C:V,5,0),"")</f>
        <v/>
      </c>
      <c r="H285" s="247" t="str">
        <f t="array" ref="H285">IFERROR(INDEX('PORTIFÓLIO'!$H$4:$H$433,MATCH($C285,'PORTIFÓLIO'!$C$4:$C$433,0)),"")</f>
        <v/>
      </c>
      <c r="I285" s="228"/>
      <c r="J285" s="209">
        <f t="shared" si="31"/>
        <v>0</v>
      </c>
      <c r="K285" s="248" t="str">
        <f t="array" ref="K285">IFERROR(I285*INDEX('PORTIFÓLIO'!$S$4:$S$433,MATCH($C285,'PORTIFÓLIO'!$C$4:$C$433,0)),"")</f>
        <v/>
      </c>
      <c r="L285" s="248" t="str">
        <f t="array" ref="L285">IFERROR(J285*INDEX('PORTIFÓLIO'!$S$4:$S$433,MATCH($C285,'PORTIFÓLIO'!$C$4:$C$433,0)),"")</f>
        <v/>
      </c>
      <c r="M285" s="177"/>
      <c r="N285" s="177"/>
      <c r="O285" s="177"/>
      <c r="P285" s="177"/>
      <c r="Q285" s="177"/>
      <c r="R285" s="177"/>
      <c r="S285" s="177"/>
      <c r="T285" s="177"/>
      <c r="U285" s="177"/>
      <c r="V285" s="177"/>
      <c r="W285" s="177"/>
      <c r="X285" s="177"/>
    </row>
    <row r="286" ht="15.75" customHeight="1" outlineLevel="1">
      <c r="A286" s="190"/>
      <c r="B286" s="204"/>
      <c r="C286" s="191"/>
      <c r="D286" s="205" t="str">
        <f>IFERROR(VLOOKUP($C286,'PORTIFÓLIO'!C:V,2,0),"")</f>
        <v/>
      </c>
      <c r="E286" s="190" t="str">
        <f>IFERROR(VLOOKUP($C286,'PORTIFÓLIO'!C:V,3,0),"")</f>
        <v/>
      </c>
      <c r="F286" s="190" t="str">
        <f>IFERROR(VLOOKUP($C286,'PORTIFÓLIO'!C:V,4,0),"")</f>
        <v/>
      </c>
      <c r="G286" s="206" t="str">
        <f>IFERROR(VLOOKUP($C286,'PORTIFÓLIO'!C:V,5,0),"")</f>
        <v/>
      </c>
      <c r="H286" s="247" t="str">
        <f t="array" ref="H286">IFERROR(INDEX('PORTIFÓLIO'!$H$4:$H$433,MATCH($C286,'PORTIFÓLIO'!$C$4:$C$433,0)),"")</f>
        <v/>
      </c>
      <c r="I286" s="228"/>
      <c r="J286" s="209">
        <f t="shared" si="31"/>
        <v>0</v>
      </c>
      <c r="K286" s="248" t="str">
        <f t="array" ref="K286">IFERROR(I286*INDEX('PORTIFÓLIO'!$S$4:$S$433,MATCH($C286,'PORTIFÓLIO'!$C$4:$C$433,0)),"")</f>
        <v/>
      </c>
      <c r="L286" s="248" t="str">
        <f t="array" ref="L286">IFERROR(J286*INDEX('PORTIFÓLIO'!$S$4:$S$433,MATCH($C286,'PORTIFÓLIO'!$C$4:$C$433,0)),"")</f>
        <v/>
      </c>
      <c r="M286" s="177"/>
      <c r="N286" s="177"/>
      <c r="O286" s="177"/>
      <c r="P286" s="177"/>
      <c r="Q286" s="177"/>
      <c r="R286" s="177"/>
      <c r="S286" s="177"/>
      <c r="T286" s="177"/>
      <c r="U286" s="177"/>
      <c r="V286" s="177"/>
      <c r="W286" s="177"/>
      <c r="X286" s="177"/>
    </row>
    <row r="287" ht="15.75" customHeight="1" outlineLevel="1">
      <c r="A287" s="190"/>
      <c r="B287" s="204"/>
      <c r="C287" s="191"/>
      <c r="D287" s="205" t="str">
        <f>IFERROR(VLOOKUP($C287,'PORTIFÓLIO'!C:V,2,0),"")</f>
        <v/>
      </c>
      <c r="E287" s="190" t="str">
        <f>IFERROR(VLOOKUP($C287,'PORTIFÓLIO'!C:V,3,0),"")</f>
        <v/>
      </c>
      <c r="F287" s="190" t="str">
        <f>IFERROR(VLOOKUP($C287,'PORTIFÓLIO'!C:V,4,0),"")</f>
        <v/>
      </c>
      <c r="G287" s="206" t="str">
        <f>IFERROR(VLOOKUP($C287,'PORTIFÓLIO'!C:V,5,0),"")</f>
        <v/>
      </c>
      <c r="H287" s="247" t="str">
        <f t="array" ref="H287">IFERROR(INDEX('PORTIFÓLIO'!$H$4:$H$433,MATCH($C287,'PORTIFÓLIO'!$C$4:$C$433,0)),"")</f>
        <v/>
      </c>
      <c r="I287" s="228"/>
      <c r="J287" s="209">
        <f t="shared" si="31"/>
        <v>0</v>
      </c>
      <c r="K287" s="248" t="str">
        <f t="array" ref="K287">IFERROR(I287*INDEX('PORTIFÓLIO'!$S$4:$S$433,MATCH($C287,'PORTIFÓLIO'!$C$4:$C$433,0)),"")</f>
        <v/>
      </c>
      <c r="L287" s="248" t="str">
        <f t="array" ref="L287">IFERROR(J287*INDEX('PORTIFÓLIO'!$S$4:$S$433,MATCH($C287,'PORTIFÓLIO'!$C$4:$C$433,0)),"")</f>
        <v/>
      </c>
      <c r="M287" s="177"/>
      <c r="N287" s="177"/>
      <c r="O287" s="177"/>
      <c r="P287" s="177"/>
      <c r="Q287" s="177"/>
      <c r="R287" s="177"/>
      <c r="S287" s="177"/>
      <c r="T287" s="177"/>
      <c r="U287" s="177"/>
      <c r="V287" s="177"/>
      <c r="W287" s="177"/>
      <c r="X287" s="177"/>
    </row>
    <row r="288" ht="15.75" customHeight="1" outlineLevel="1">
      <c r="A288" s="190"/>
      <c r="B288" s="204"/>
      <c r="C288" s="191"/>
      <c r="D288" s="205" t="str">
        <f>IFERROR(VLOOKUP($C288,'PORTIFÓLIO'!C:V,2,0),"")</f>
        <v/>
      </c>
      <c r="E288" s="190" t="str">
        <f>IFERROR(VLOOKUP($C288,'PORTIFÓLIO'!C:V,3,0),"")</f>
        <v/>
      </c>
      <c r="F288" s="190" t="str">
        <f>IFERROR(VLOOKUP($C288,'PORTIFÓLIO'!C:V,4,0),"")</f>
        <v/>
      </c>
      <c r="G288" s="206" t="str">
        <f>IFERROR(VLOOKUP($C288,'PORTIFÓLIO'!C:V,5,0),"")</f>
        <v/>
      </c>
      <c r="H288" s="247" t="str">
        <f t="array" ref="H288">IFERROR(INDEX('PORTIFÓLIO'!$H$4:$H$433,MATCH($C288,'PORTIFÓLIO'!$C$4:$C$433,0)),"")</f>
        <v/>
      </c>
      <c r="I288" s="228"/>
      <c r="J288" s="209">
        <f t="shared" si="31"/>
        <v>0</v>
      </c>
      <c r="K288" s="248" t="str">
        <f t="array" ref="K288">IFERROR(I288*INDEX('PORTIFÓLIO'!$S$4:$S$433,MATCH($C288,'PORTIFÓLIO'!$C$4:$C$433,0)),"")</f>
        <v/>
      </c>
      <c r="L288" s="248" t="str">
        <f t="array" ref="L288">IFERROR(J288*INDEX('PORTIFÓLIO'!$S$4:$S$433,MATCH($C288,'PORTIFÓLIO'!$C$4:$C$433,0)),"")</f>
        <v/>
      </c>
      <c r="M288" s="177"/>
      <c r="N288" s="177"/>
      <c r="O288" s="177"/>
      <c r="P288" s="177"/>
      <c r="Q288" s="177"/>
      <c r="R288" s="177"/>
      <c r="S288" s="177"/>
      <c r="T288" s="177"/>
      <c r="U288" s="177"/>
      <c r="V288" s="177"/>
      <c r="W288" s="177"/>
      <c r="X288" s="177"/>
    </row>
    <row r="289" ht="15.75" customHeight="1" outlineLevel="1">
      <c r="A289" s="190"/>
      <c r="B289" s="204"/>
      <c r="C289" s="191"/>
      <c r="D289" s="205" t="str">
        <f>IFERROR(VLOOKUP($C289,'PORTIFÓLIO'!C:V,2,0),"")</f>
        <v/>
      </c>
      <c r="E289" s="190" t="str">
        <f>IFERROR(VLOOKUP($C289,'PORTIFÓLIO'!C:V,3,0),"")</f>
        <v/>
      </c>
      <c r="F289" s="190" t="str">
        <f>IFERROR(VLOOKUP($C289,'PORTIFÓLIO'!C:V,4,0),"")</f>
        <v/>
      </c>
      <c r="G289" s="206" t="str">
        <f>IFERROR(VLOOKUP($C289,'PORTIFÓLIO'!C:V,5,0),"")</f>
        <v/>
      </c>
      <c r="H289" s="247" t="str">
        <f t="array" ref="H289">IFERROR(INDEX('PORTIFÓLIO'!$H$4:$H$433,MATCH($C289,'PORTIFÓLIO'!$C$4:$C$433,0)),"")</f>
        <v/>
      </c>
      <c r="I289" s="228"/>
      <c r="J289" s="209">
        <f t="shared" si="31"/>
        <v>0</v>
      </c>
      <c r="K289" s="248" t="str">
        <f t="array" ref="K289">IFERROR(I289*INDEX('PORTIFÓLIO'!$S$4:$S$433,MATCH($C289,'PORTIFÓLIO'!$C$4:$C$433,0)),"")</f>
        <v/>
      </c>
      <c r="L289" s="248" t="str">
        <f t="array" ref="L289">IFERROR(J289*INDEX('PORTIFÓLIO'!$S$4:$S$433,MATCH($C289,'PORTIFÓLIO'!$C$4:$C$433,0)),"")</f>
        <v/>
      </c>
      <c r="M289" s="177"/>
      <c r="N289" s="177"/>
      <c r="O289" s="177"/>
      <c r="P289" s="177"/>
      <c r="Q289" s="177"/>
      <c r="R289" s="177"/>
      <c r="S289" s="177"/>
      <c r="T289" s="177"/>
      <c r="U289" s="177"/>
      <c r="V289" s="177"/>
      <c r="W289" s="177"/>
      <c r="X289" s="177"/>
    </row>
    <row r="290" ht="15.75" customHeight="1">
      <c r="A290" s="221" t="s">
        <v>1186</v>
      </c>
      <c r="B290" s="197"/>
      <c r="C290" s="196"/>
      <c r="D290" s="198"/>
      <c r="E290" s="196"/>
      <c r="F290" s="196"/>
      <c r="G290" s="199"/>
      <c r="H290" s="199"/>
      <c r="I290" s="201"/>
      <c r="J290" s="202"/>
      <c r="K290" s="203">
        <f t="shared" ref="K290:L290" si="32">SUBTOTAL(9,K291:K304)</f>
        <v>125.975212</v>
      </c>
      <c r="L290" s="203">
        <f t="shared" si="32"/>
        <v>34391.23288</v>
      </c>
      <c r="M290" s="177"/>
      <c r="N290" s="177"/>
      <c r="O290" s="177"/>
      <c r="P290" s="177"/>
      <c r="Q290" s="177"/>
      <c r="R290" s="177"/>
      <c r="S290" s="177"/>
      <c r="T290" s="177"/>
      <c r="U290" s="177"/>
      <c r="V290" s="177"/>
      <c r="W290" s="177"/>
      <c r="X290" s="177"/>
    </row>
    <row r="291" ht="15.75" customHeight="1" outlineLevel="1">
      <c r="A291" s="191"/>
      <c r="B291" s="204" t="s">
        <v>1</v>
      </c>
      <c r="C291" s="191" t="s">
        <v>736</v>
      </c>
      <c r="D291" s="205" t="str">
        <f>IFERROR(VLOOKUP($C291,'PORTIFÓLIO'!C:V,2,0),"")</f>
        <v>ATRAZINA</v>
      </c>
      <c r="E291" s="190">
        <f>IFERROR(VLOOKUP($C291,'PORTIFÓLIO'!C:V,3,0),"")</f>
        <v>880</v>
      </c>
      <c r="F291" s="190" t="str">
        <f>IFERROR(VLOOKUP($C291,'PORTIFÓLIO'!C:V,4,0),"")</f>
        <v>L</v>
      </c>
      <c r="G291" s="223" t="str">
        <f>IFERROR(VLOOKUP($C291,'PORTIFÓLIO'!C:V,5,0),"")</f>
        <v>📄 Ver bula</v>
      </c>
      <c r="H291" s="247" t="str">
        <f t="array" ref="H291">IFERROR(INDEX('PORTIFÓLIO'!$H$4:$H$433,MATCH($C291,'PORTIFÓLIO'!$C$4:$C$433,0)),"")</f>
        <v/>
      </c>
      <c r="I291" s="208">
        <v>2.0</v>
      </c>
      <c r="J291" s="209">
        <f t="shared" ref="J291:J307" si="33">I291*$B$2</f>
        <v>546</v>
      </c>
      <c r="K291" s="248">
        <f t="array" ref="K291">IFERROR(I291*INDEX('PORTIFÓLIO'!$S$4:$S$433,MATCH($C291,'PORTIFÓLIO'!$C$4:$C$433,0)),"")</f>
        <v>52.6012</v>
      </c>
      <c r="L291" s="248">
        <f t="array" ref="L291">IFERROR(J291*INDEX('PORTIFÓLIO'!$S$4:$S$433,MATCH($C291,'PORTIFÓLIO'!$C$4:$C$433,0)),"")</f>
        <v>14360.1276</v>
      </c>
      <c r="M291" s="177"/>
      <c r="N291" s="177"/>
      <c r="O291" s="177"/>
      <c r="P291" s="177"/>
      <c r="Q291" s="177"/>
      <c r="R291" s="177"/>
      <c r="S291" s="177"/>
      <c r="T291" s="177"/>
      <c r="U291" s="177"/>
      <c r="V291" s="177"/>
      <c r="W291" s="177"/>
      <c r="X291" s="177"/>
    </row>
    <row r="292" ht="15.75" customHeight="1" outlineLevel="1">
      <c r="A292" s="190"/>
      <c r="B292" s="204" t="s">
        <v>2</v>
      </c>
      <c r="C292" s="191" t="s">
        <v>881</v>
      </c>
      <c r="D292" s="205" t="str">
        <f>IFERROR(VLOOKUP($C292,'PORTIFÓLIO'!C:V,2,0),"")</f>
        <v>TIAMETOXAM + LAMBDA-CIALOTRINA</v>
      </c>
      <c r="E292" s="190" t="str">
        <f>IFERROR(VLOOKUP($C292,'PORTIFÓLIO'!C:V,3,0),"")</f>
        <v>141 + 106</v>
      </c>
      <c r="F292" s="190" t="str">
        <f>IFERROR(VLOOKUP($C292,'PORTIFÓLIO'!C:V,4,0),"")</f>
        <v>L</v>
      </c>
      <c r="G292" s="223" t="str">
        <f>IFERROR(VLOOKUP($C292,'PORTIFÓLIO'!C:V,5,0),"")</f>
        <v>📄 Ver bula</v>
      </c>
      <c r="H292" s="247">
        <f t="array" ref="H292">IFERROR(INDEX('PORTIFÓLIO'!$H$4:$H$433,MATCH($C292,'PORTIFÓLIO'!$C$4:$C$433,0)),"")</f>
        <v>0.2</v>
      </c>
      <c r="I292" s="208">
        <v>0.2</v>
      </c>
      <c r="J292" s="209">
        <f t="shared" si="33"/>
        <v>54.6</v>
      </c>
      <c r="K292" s="248">
        <f t="array" ref="K292">IFERROR(I292*INDEX('PORTIFÓLIO'!$S$4:$S$433,MATCH($C292,'PORTIFÓLIO'!$C$4:$C$433,0)),"")</f>
        <v>17.152242</v>
      </c>
      <c r="L292" s="248">
        <f t="array" ref="L292">IFERROR(J292*INDEX('PORTIFÓLIO'!$S$4:$S$433,MATCH($C292,'PORTIFÓLIO'!$C$4:$C$433,0)),"")</f>
        <v>4682.562066</v>
      </c>
      <c r="M292" s="177"/>
      <c r="N292" s="177"/>
      <c r="O292" s="177"/>
      <c r="P292" s="177"/>
      <c r="Q292" s="177"/>
      <c r="R292" s="177"/>
      <c r="S292" s="177"/>
      <c r="T292" s="177"/>
      <c r="U292" s="177"/>
      <c r="V292" s="177"/>
      <c r="W292" s="177"/>
      <c r="X292" s="177"/>
    </row>
    <row r="293" ht="15.75" customHeight="1" outlineLevel="1">
      <c r="A293" s="190"/>
      <c r="B293" s="204" t="s">
        <v>2</v>
      </c>
      <c r="C293" s="191" t="s">
        <v>837</v>
      </c>
      <c r="D293" s="205" t="str">
        <f>IFERROR(VLOOKUP($C293,'PORTIFÓLIO'!C:V,2,0),"")</f>
        <v>CLORFENAPIR</v>
      </c>
      <c r="E293" s="190">
        <f>IFERROR(VLOOKUP($C293,'PORTIFÓLIO'!C:V,3,0),"")</f>
        <v>240</v>
      </c>
      <c r="F293" s="190" t="str">
        <f>IFERROR(VLOOKUP($C293,'PORTIFÓLIO'!C:V,4,0),"")</f>
        <v>KG</v>
      </c>
      <c r="G293" s="223" t="str">
        <f>IFERROR(VLOOKUP($C293,'PORTIFÓLIO'!C:V,5,0),"")</f>
        <v>📄 Ver bula</v>
      </c>
      <c r="H293" s="247">
        <f t="array" ref="H293">IFERROR(INDEX('PORTIFÓLIO'!$H$4:$H$433,MATCH($C293,'PORTIFÓLIO'!$C$4:$C$433,0)),"")</f>
        <v>1</v>
      </c>
      <c r="I293" s="208">
        <v>1.0</v>
      </c>
      <c r="J293" s="209">
        <f t="shared" si="33"/>
        <v>273</v>
      </c>
      <c r="K293" s="248">
        <f t="array" ref="K293">IFERROR(I293*INDEX('PORTIFÓLIO'!$S$4:$S$433,MATCH($C293,'PORTIFÓLIO'!$C$4:$C$433,0)),"")</f>
        <v>38.55729</v>
      </c>
      <c r="L293" s="248">
        <f t="array" ref="L293">IFERROR(J293*INDEX('PORTIFÓLIO'!$S$4:$S$433,MATCH($C293,'PORTIFÓLIO'!$C$4:$C$433,0)),"")</f>
        <v>10526.14017</v>
      </c>
      <c r="M293" s="177"/>
      <c r="N293" s="177"/>
      <c r="O293" s="177"/>
      <c r="P293" s="177"/>
      <c r="Q293" s="177"/>
      <c r="R293" s="177"/>
      <c r="S293" s="177"/>
      <c r="T293" s="177"/>
      <c r="U293" s="177"/>
      <c r="V293" s="177"/>
      <c r="W293" s="177"/>
      <c r="X293" s="177"/>
    </row>
    <row r="294" ht="15.75" customHeight="1" outlineLevel="1">
      <c r="A294" s="190"/>
      <c r="B294" s="204" t="s">
        <v>0</v>
      </c>
      <c r="C294" s="191" t="s">
        <v>434</v>
      </c>
      <c r="D294" s="205" t="str">
        <f>IFERROR(VLOOKUP($C294,'PORTIFÓLIO'!C:V,2,0),"")</f>
        <v>AZOXISTROBINA + TEBUCONAZOL</v>
      </c>
      <c r="E294" s="190" t="str">
        <f>IFERROR(VLOOKUP($C294,'PORTIFÓLIO'!C:V,3,0),"")</f>
        <v>120 + 200</v>
      </c>
      <c r="F294" s="190" t="str">
        <f>IFERROR(VLOOKUP($C294,'PORTIFÓLIO'!C:V,4,0),"")</f>
        <v>L</v>
      </c>
      <c r="G294" s="223" t="str">
        <f>IFERROR(VLOOKUP($C294,'PORTIFÓLIO'!C:V,5,0),"")</f>
        <v>📄 Ver bula</v>
      </c>
      <c r="H294" s="247">
        <f t="array" ref="H294">IFERROR(INDEX('PORTIFÓLIO'!$H$4:$H$433,MATCH($C294,'PORTIFÓLIO'!$C$4:$C$433,0)),"")</f>
        <v>0.5</v>
      </c>
      <c r="I294" s="208">
        <v>0.5</v>
      </c>
      <c r="J294" s="209">
        <f t="shared" si="33"/>
        <v>136.5</v>
      </c>
      <c r="K294" s="248">
        <f t="array" ref="K294">IFERROR(I294*INDEX('PORTIFÓLIO'!$S$4:$S$433,MATCH($C294,'PORTIFÓLIO'!$C$4:$C$433,0)),"")</f>
        <v>17.66448</v>
      </c>
      <c r="L294" s="248">
        <f t="array" ref="L294">IFERROR(J294*INDEX('PORTIFÓLIO'!$S$4:$S$433,MATCH($C294,'PORTIFÓLIO'!$C$4:$C$433,0)),"")</f>
        <v>4822.40304</v>
      </c>
      <c r="M294" s="177"/>
      <c r="N294" s="177"/>
      <c r="O294" s="177"/>
      <c r="P294" s="177"/>
      <c r="Q294" s="177"/>
      <c r="R294" s="177"/>
      <c r="S294" s="177"/>
      <c r="T294" s="177"/>
      <c r="U294" s="177"/>
      <c r="V294" s="177"/>
      <c r="W294" s="177"/>
      <c r="X294" s="177"/>
    </row>
    <row r="295" ht="15.75" customHeight="1" outlineLevel="1">
      <c r="A295" s="190"/>
      <c r="B295" s="204"/>
      <c r="C295" s="191"/>
      <c r="D295" s="205" t="str">
        <f>IFERROR(VLOOKUP($C295,'PORTIFÓLIO'!C:V,2,0),"")</f>
        <v/>
      </c>
      <c r="E295" s="190" t="str">
        <f>IFERROR(VLOOKUP($C295,'PORTIFÓLIO'!C:V,3,0),"")</f>
        <v/>
      </c>
      <c r="F295" s="190" t="str">
        <f>IFERROR(VLOOKUP($C295,'PORTIFÓLIO'!C:V,4,0),"")</f>
        <v/>
      </c>
      <c r="G295" s="206" t="str">
        <f>IFERROR(VLOOKUP($C295,'PORTIFÓLIO'!C:V,5,0),"")</f>
        <v/>
      </c>
      <c r="H295" s="247" t="str">
        <f t="array" ref="H295">IFERROR(INDEX('PORTIFÓLIO'!$H$4:$H$433,MATCH($C295,'PORTIFÓLIO'!$C$4:$C$433,0)),"")</f>
        <v/>
      </c>
      <c r="I295" s="228"/>
      <c r="J295" s="209">
        <f t="shared" si="33"/>
        <v>0</v>
      </c>
      <c r="K295" s="248" t="str">
        <f t="array" ref="K295">IFERROR(I295*INDEX('PORTIFÓLIO'!$S$4:$S$433,MATCH($C295,'PORTIFÓLIO'!$C$4:$C$433,0)),"")</f>
        <v/>
      </c>
      <c r="L295" s="248" t="str">
        <f t="array" ref="L295">IFERROR(J295*INDEX('PORTIFÓLIO'!$S$4:$S$433,MATCH($C295,'PORTIFÓLIO'!$C$4:$C$433,0)),"")</f>
        <v/>
      </c>
      <c r="M295" s="177"/>
      <c r="N295" s="177"/>
      <c r="O295" s="177"/>
      <c r="P295" s="177"/>
      <c r="Q295" s="177"/>
      <c r="R295" s="177"/>
      <c r="S295" s="177"/>
      <c r="T295" s="177"/>
      <c r="U295" s="177"/>
      <c r="V295" s="177"/>
      <c r="W295" s="177"/>
      <c r="X295" s="177"/>
    </row>
    <row r="296" ht="15.75" customHeight="1" outlineLevel="1">
      <c r="A296" s="190"/>
      <c r="B296" s="204"/>
      <c r="C296" s="191"/>
      <c r="D296" s="205" t="str">
        <f>IFERROR(VLOOKUP($C296,'PORTIFÓLIO'!C:V,2,0),"")</f>
        <v/>
      </c>
      <c r="E296" s="190" t="str">
        <f>IFERROR(VLOOKUP($C296,'PORTIFÓLIO'!C:V,3,0),"")</f>
        <v/>
      </c>
      <c r="F296" s="190" t="str">
        <f>IFERROR(VLOOKUP($C296,'PORTIFÓLIO'!C:V,4,0),"")</f>
        <v/>
      </c>
      <c r="G296" s="206" t="str">
        <f>IFERROR(VLOOKUP($C296,'PORTIFÓLIO'!C:V,5,0),"")</f>
        <v/>
      </c>
      <c r="H296" s="247" t="str">
        <f t="array" ref="H296">IFERROR(INDEX('PORTIFÓLIO'!$H$4:$H$433,MATCH($C296,'PORTIFÓLIO'!$C$4:$C$433,0)),"")</f>
        <v/>
      </c>
      <c r="I296" s="228"/>
      <c r="J296" s="209">
        <f t="shared" si="33"/>
        <v>0</v>
      </c>
      <c r="K296" s="248" t="str">
        <f t="array" ref="K296">IFERROR(I296*INDEX('PORTIFÓLIO'!$S$4:$S$433,MATCH($C296,'PORTIFÓLIO'!$C$4:$C$433,0)),"")</f>
        <v/>
      </c>
      <c r="L296" s="248" t="str">
        <f t="array" ref="L296">IFERROR(J296*INDEX('PORTIFÓLIO'!$S$4:$S$433,MATCH($C296,'PORTIFÓLIO'!$C$4:$C$433,0)),"")</f>
        <v/>
      </c>
      <c r="M296" s="177"/>
      <c r="N296" s="177"/>
      <c r="O296" s="177"/>
      <c r="P296" s="177"/>
      <c r="Q296" s="177"/>
      <c r="R296" s="177"/>
      <c r="S296" s="177"/>
      <c r="T296" s="177"/>
      <c r="U296" s="177"/>
      <c r="V296" s="177"/>
      <c r="W296" s="177"/>
      <c r="X296" s="177"/>
    </row>
    <row r="297" ht="15.75" customHeight="1" outlineLevel="1">
      <c r="A297" s="190"/>
      <c r="B297" s="204"/>
      <c r="C297" s="191"/>
      <c r="D297" s="205" t="str">
        <f>IFERROR(VLOOKUP($C297,'PORTIFÓLIO'!C:V,2,0),"")</f>
        <v/>
      </c>
      <c r="E297" s="190" t="str">
        <f>IFERROR(VLOOKUP($C297,'PORTIFÓLIO'!C:V,3,0),"")</f>
        <v/>
      </c>
      <c r="F297" s="190" t="str">
        <f>IFERROR(VLOOKUP($C297,'PORTIFÓLIO'!C:V,4,0),"")</f>
        <v/>
      </c>
      <c r="G297" s="206" t="str">
        <f>IFERROR(VLOOKUP($C297,'PORTIFÓLIO'!C:V,5,0),"")</f>
        <v/>
      </c>
      <c r="H297" s="247" t="str">
        <f t="array" ref="H297">IFERROR(INDEX('PORTIFÓLIO'!$H$4:$H$433,MATCH($C297,'PORTIFÓLIO'!$C$4:$C$433,0)),"")</f>
        <v/>
      </c>
      <c r="I297" s="228"/>
      <c r="J297" s="209">
        <f t="shared" si="33"/>
        <v>0</v>
      </c>
      <c r="K297" s="248" t="str">
        <f t="array" ref="K297">IFERROR(I297*INDEX('PORTIFÓLIO'!$S$4:$S$433,MATCH($C297,'PORTIFÓLIO'!$C$4:$C$433,0)),"")</f>
        <v/>
      </c>
      <c r="L297" s="248" t="str">
        <f t="array" ref="L297">IFERROR(J297*INDEX('PORTIFÓLIO'!$S$4:$S$433,MATCH($C297,'PORTIFÓLIO'!$C$4:$C$433,0)),"")</f>
        <v/>
      </c>
      <c r="M297" s="177"/>
      <c r="N297" s="177"/>
      <c r="O297" s="177"/>
      <c r="P297" s="177"/>
      <c r="Q297" s="177"/>
      <c r="R297" s="177"/>
      <c r="S297" s="177"/>
      <c r="T297" s="177"/>
      <c r="U297" s="177"/>
      <c r="V297" s="177"/>
      <c r="W297" s="177"/>
      <c r="X297" s="177"/>
    </row>
    <row r="298" ht="15.75" customHeight="1" outlineLevel="1">
      <c r="A298" s="190"/>
      <c r="B298" s="204"/>
      <c r="C298" s="191"/>
      <c r="D298" s="205" t="str">
        <f>IFERROR(VLOOKUP($C298,'PORTIFÓLIO'!C:V,2,0),"")</f>
        <v/>
      </c>
      <c r="E298" s="190" t="str">
        <f>IFERROR(VLOOKUP($C298,'PORTIFÓLIO'!C:V,3,0),"")</f>
        <v/>
      </c>
      <c r="F298" s="190" t="str">
        <f>IFERROR(VLOOKUP($C298,'PORTIFÓLIO'!C:V,4,0),"")</f>
        <v/>
      </c>
      <c r="G298" s="206" t="str">
        <f>IFERROR(VLOOKUP($C298,'PORTIFÓLIO'!C:V,5,0),"")</f>
        <v/>
      </c>
      <c r="H298" s="247" t="str">
        <f t="array" ref="H298">IFERROR(INDEX('PORTIFÓLIO'!$H$4:$H$433,MATCH($C298,'PORTIFÓLIO'!$C$4:$C$433,0)),"")</f>
        <v/>
      </c>
      <c r="I298" s="228"/>
      <c r="J298" s="209">
        <f t="shared" si="33"/>
        <v>0</v>
      </c>
      <c r="K298" s="248" t="str">
        <f t="array" ref="K298">IFERROR(I298*INDEX('PORTIFÓLIO'!$S$4:$S$433,MATCH($C298,'PORTIFÓLIO'!$C$4:$C$433,0)),"")</f>
        <v/>
      </c>
      <c r="L298" s="248" t="str">
        <f t="array" ref="L298">IFERROR(J298*INDEX('PORTIFÓLIO'!$S$4:$S$433,MATCH($C298,'PORTIFÓLIO'!$C$4:$C$433,0)),"")</f>
        <v/>
      </c>
      <c r="M298" s="177"/>
      <c r="N298" s="177"/>
      <c r="O298" s="177"/>
      <c r="P298" s="177"/>
      <c r="Q298" s="177"/>
      <c r="R298" s="177"/>
      <c r="S298" s="177"/>
      <c r="T298" s="177"/>
      <c r="U298" s="177"/>
      <c r="V298" s="177"/>
      <c r="W298" s="177"/>
      <c r="X298" s="177"/>
    </row>
    <row r="299" ht="15.75" customHeight="1" outlineLevel="1">
      <c r="A299" s="190"/>
      <c r="B299" s="204"/>
      <c r="C299" s="191"/>
      <c r="D299" s="205" t="str">
        <f>IFERROR(VLOOKUP($C299,'PORTIFÓLIO'!C:V,2,0),"")</f>
        <v/>
      </c>
      <c r="E299" s="190" t="str">
        <f>IFERROR(VLOOKUP($C299,'PORTIFÓLIO'!C:V,3,0),"")</f>
        <v/>
      </c>
      <c r="F299" s="190" t="str">
        <f>IFERROR(VLOOKUP($C299,'PORTIFÓLIO'!C:V,4,0),"")</f>
        <v/>
      </c>
      <c r="G299" s="206" t="str">
        <f>IFERROR(VLOOKUP($C299,'PORTIFÓLIO'!C:V,5,0),"")</f>
        <v/>
      </c>
      <c r="H299" s="247" t="str">
        <f t="array" ref="H299">IFERROR(INDEX('PORTIFÓLIO'!$H$4:$H$433,MATCH($C299,'PORTIFÓLIO'!$C$4:$C$433,0)),"")</f>
        <v/>
      </c>
      <c r="I299" s="208"/>
      <c r="J299" s="209">
        <f t="shared" si="33"/>
        <v>0</v>
      </c>
      <c r="K299" s="248" t="str">
        <f t="array" ref="K299">IFERROR(I299*INDEX('PORTIFÓLIO'!$S$4:$S$433,MATCH($C299,'PORTIFÓLIO'!$C$4:$C$433,0)),"")</f>
        <v/>
      </c>
      <c r="L299" s="248" t="str">
        <f t="array" ref="L299">IFERROR(J299*INDEX('PORTIFÓLIO'!$S$4:$S$433,MATCH($C299,'PORTIFÓLIO'!$C$4:$C$433,0)),"")</f>
        <v/>
      </c>
      <c r="M299" s="177"/>
      <c r="N299" s="177"/>
      <c r="O299" s="177"/>
      <c r="P299" s="177"/>
      <c r="Q299" s="177"/>
      <c r="R299" s="177"/>
      <c r="S299" s="177"/>
      <c r="T299" s="177"/>
      <c r="U299" s="177"/>
      <c r="V299" s="177"/>
      <c r="W299" s="177"/>
      <c r="X299" s="177"/>
    </row>
    <row r="300" ht="15.75" customHeight="1" outlineLevel="1">
      <c r="A300" s="190"/>
      <c r="B300" s="204"/>
      <c r="C300" s="191"/>
      <c r="D300" s="205" t="str">
        <f>IFERROR(VLOOKUP($C300,'PORTIFÓLIO'!C:V,2,0),"")</f>
        <v/>
      </c>
      <c r="E300" s="190" t="str">
        <f>IFERROR(VLOOKUP($C300,'PORTIFÓLIO'!C:V,3,0),"")</f>
        <v/>
      </c>
      <c r="F300" s="190" t="str">
        <f>IFERROR(VLOOKUP($C300,'PORTIFÓLIO'!C:V,4,0),"")</f>
        <v/>
      </c>
      <c r="G300" s="206" t="str">
        <f>IFERROR(VLOOKUP($C300,'PORTIFÓLIO'!C:V,5,0),"")</f>
        <v/>
      </c>
      <c r="H300" s="247" t="str">
        <f t="array" ref="H300">IFERROR(INDEX('PORTIFÓLIO'!$H$4:$H$433,MATCH($C300,'PORTIFÓLIO'!$C$4:$C$433,0)),"")</f>
        <v/>
      </c>
      <c r="I300" s="228"/>
      <c r="J300" s="209">
        <f t="shared" si="33"/>
        <v>0</v>
      </c>
      <c r="K300" s="248" t="str">
        <f t="array" ref="K300">IFERROR(I300*INDEX('PORTIFÓLIO'!$S$4:$S$433,MATCH($C300,'PORTIFÓLIO'!$C$4:$C$433,0)),"")</f>
        <v/>
      </c>
      <c r="L300" s="248" t="str">
        <f t="array" ref="L300">IFERROR(J300*INDEX('PORTIFÓLIO'!$S$4:$S$433,MATCH($C300,'PORTIFÓLIO'!$C$4:$C$433,0)),"")</f>
        <v/>
      </c>
      <c r="M300" s="177"/>
      <c r="N300" s="177"/>
      <c r="O300" s="177"/>
      <c r="P300" s="177"/>
      <c r="Q300" s="177"/>
      <c r="R300" s="177"/>
      <c r="S300" s="177"/>
      <c r="T300" s="177"/>
      <c r="U300" s="177"/>
      <c r="V300" s="177"/>
      <c r="W300" s="177"/>
      <c r="X300" s="177"/>
    </row>
    <row r="301" ht="15.75" customHeight="1" outlineLevel="1">
      <c r="A301" s="190"/>
      <c r="B301" s="204"/>
      <c r="C301" s="191"/>
      <c r="D301" s="205" t="str">
        <f>IFERROR(VLOOKUP($C301,'PORTIFÓLIO'!C:V,2,0),"")</f>
        <v/>
      </c>
      <c r="E301" s="190" t="str">
        <f>IFERROR(VLOOKUP($C301,'PORTIFÓLIO'!C:V,3,0),"")</f>
        <v/>
      </c>
      <c r="F301" s="190" t="str">
        <f>IFERROR(VLOOKUP($C301,'PORTIFÓLIO'!C:V,4,0),"")</f>
        <v/>
      </c>
      <c r="G301" s="206" t="str">
        <f>IFERROR(VLOOKUP($C301,'PORTIFÓLIO'!C:V,5,0),"")</f>
        <v/>
      </c>
      <c r="H301" s="247" t="str">
        <f t="array" ref="H301">IFERROR(INDEX('PORTIFÓLIO'!$H$4:$H$433,MATCH($C301,'PORTIFÓLIO'!$C$4:$C$433,0)),"")</f>
        <v/>
      </c>
      <c r="I301" s="228"/>
      <c r="J301" s="209">
        <f t="shared" si="33"/>
        <v>0</v>
      </c>
      <c r="K301" s="248" t="str">
        <f t="array" ref="K301">IFERROR(I301*INDEX('PORTIFÓLIO'!$S$4:$S$433,MATCH($C301,'PORTIFÓLIO'!$C$4:$C$433,0)),"")</f>
        <v/>
      </c>
      <c r="L301" s="248" t="str">
        <f t="array" ref="L301">IFERROR(J301*INDEX('PORTIFÓLIO'!$S$4:$S$433,MATCH($C301,'PORTIFÓLIO'!$C$4:$C$433,0)),"")</f>
        <v/>
      </c>
      <c r="M301" s="177"/>
      <c r="N301" s="177"/>
      <c r="O301" s="177"/>
      <c r="P301" s="177"/>
      <c r="Q301" s="177"/>
      <c r="R301" s="177"/>
      <c r="S301" s="177"/>
      <c r="T301" s="177"/>
      <c r="U301" s="177"/>
      <c r="V301" s="177"/>
      <c r="W301" s="177"/>
      <c r="X301" s="177"/>
    </row>
    <row r="302" ht="15.75" customHeight="1" outlineLevel="1">
      <c r="A302" s="190"/>
      <c r="B302" s="204"/>
      <c r="C302" s="191"/>
      <c r="D302" s="205" t="str">
        <f>IFERROR(VLOOKUP($C302,'PORTIFÓLIO'!C:V,2,0),"")</f>
        <v/>
      </c>
      <c r="E302" s="190" t="str">
        <f>IFERROR(VLOOKUP($C302,'PORTIFÓLIO'!C:V,3,0),"")</f>
        <v/>
      </c>
      <c r="F302" s="190" t="str">
        <f>IFERROR(VLOOKUP($C302,'PORTIFÓLIO'!C:V,4,0),"")</f>
        <v/>
      </c>
      <c r="G302" s="206" t="str">
        <f>IFERROR(VLOOKUP($C302,'PORTIFÓLIO'!C:V,5,0),"")</f>
        <v/>
      </c>
      <c r="H302" s="247" t="str">
        <f t="array" ref="H302">IFERROR(INDEX('PORTIFÓLIO'!$H$4:$H$433,MATCH($C302,'PORTIFÓLIO'!$C$4:$C$433,0)),"")</f>
        <v/>
      </c>
      <c r="I302" s="228"/>
      <c r="J302" s="209">
        <f t="shared" si="33"/>
        <v>0</v>
      </c>
      <c r="K302" s="248" t="str">
        <f t="array" ref="K302">IFERROR(I302*INDEX('PORTIFÓLIO'!$S$4:$S$433,MATCH($C302,'PORTIFÓLIO'!$C$4:$C$433,0)),"")</f>
        <v/>
      </c>
      <c r="L302" s="248" t="str">
        <f t="array" ref="L302">IFERROR(J302*INDEX('PORTIFÓLIO'!$S$4:$S$433,MATCH($C302,'PORTIFÓLIO'!$C$4:$C$433,0)),"")</f>
        <v/>
      </c>
      <c r="M302" s="177"/>
      <c r="N302" s="177"/>
      <c r="O302" s="177"/>
      <c r="P302" s="177"/>
      <c r="Q302" s="177"/>
      <c r="R302" s="177"/>
      <c r="S302" s="177"/>
      <c r="T302" s="177"/>
      <c r="U302" s="177"/>
      <c r="V302" s="177"/>
      <c r="W302" s="177"/>
      <c r="X302" s="177"/>
    </row>
    <row r="303" ht="15.75" customHeight="1" outlineLevel="1">
      <c r="A303" s="190"/>
      <c r="B303" s="204"/>
      <c r="C303" s="191"/>
      <c r="D303" s="205" t="str">
        <f>IFERROR(VLOOKUP($C303,'PORTIFÓLIO'!C:V,2,0),"")</f>
        <v/>
      </c>
      <c r="E303" s="190" t="str">
        <f>IFERROR(VLOOKUP($C303,'PORTIFÓLIO'!C:V,3,0),"")</f>
        <v/>
      </c>
      <c r="F303" s="190" t="str">
        <f>IFERROR(VLOOKUP($C303,'PORTIFÓLIO'!C:V,4,0),"")</f>
        <v/>
      </c>
      <c r="G303" s="206" t="str">
        <f>IFERROR(VLOOKUP($C303,'PORTIFÓLIO'!C:V,5,0),"")</f>
        <v/>
      </c>
      <c r="H303" s="247" t="str">
        <f t="array" ref="H303">IFERROR(INDEX('PORTIFÓLIO'!$H$4:$H$433,MATCH($C303,'PORTIFÓLIO'!$C$4:$C$433,0)),"")</f>
        <v/>
      </c>
      <c r="I303" s="228"/>
      <c r="J303" s="209">
        <f t="shared" si="33"/>
        <v>0</v>
      </c>
      <c r="K303" s="248" t="str">
        <f t="array" ref="K303">IFERROR(I303*INDEX('PORTIFÓLIO'!$S$4:$S$433,MATCH($C303,'PORTIFÓLIO'!$C$4:$C$433,0)),"")</f>
        <v/>
      </c>
      <c r="L303" s="248" t="str">
        <f t="array" ref="L303">IFERROR(J303*INDEX('PORTIFÓLIO'!$S$4:$S$433,MATCH($C303,'PORTIFÓLIO'!$C$4:$C$433,0)),"")</f>
        <v/>
      </c>
      <c r="M303" s="177"/>
      <c r="N303" s="177"/>
      <c r="O303" s="177"/>
      <c r="P303" s="177"/>
      <c r="Q303" s="177"/>
      <c r="R303" s="177"/>
      <c r="S303" s="177"/>
      <c r="T303" s="177"/>
      <c r="U303" s="177"/>
      <c r="V303" s="177"/>
      <c r="W303" s="177"/>
      <c r="X303" s="177"/>
    </row>
    <row r="304" ht="15.75" customHeight="1" outlineLevel="1">
      <c r="A304" s="190"/>
      <c r="B304" s="204"/>
      <c r="C304" s="191"/>
      <c r="D304" s="205" t="str">
        <f>IFERROR(VLOOKUP($C304,'PORTIFÓLIO'!C:V,2,0),"")</f>
        <v/>
      </c>
      <c r="E304" s="190" t="str">
        <f>IFERROR(VLOOKUP($C304,'PORTIFÓLIO'!C:V,3,0),"")</f>
        <v/>
      </c>
      <c r="F304" s="190" t="str">
        <f>IFERROR(VLOOKUP($C304,'PORTIFÓLIO'!C:V,4,0),"")</f>
        <v/>
      </c>
      <c r="G304" s="206" t="str">
        <f>IFERROR(VLOOKUP($C304,'PORTIFÓLIO'!C:V,5,0),"")</f>
        <v/>
      </c>
      <c r="H304" s="247" t="str">
        <f t="array" ref="H304">IFERROR(INDEX('PORTIFÓLIO'!$H$4:$H$433,MATCH($C304,'PORTIFÓLIO'!$C$4:$C$433,0)),"")</f>
        <v/>
      </c>
      <c r="I304" s="228"/>
      <c r="J304" s="209">
        <f t="shared" si="33"/>
        <v>0</v>
      </c>
      <c r="K304" s="248" t="str">
        <f t="array" ref="K304">IFERROR(I304*INDEX('PORTIFÓLIO'!$S$4:$S$433,MATCH($C304,'PORTIFÓLIO'!$C$4:$C$433,0)),"")</f>
        <v/>
      </c>
      <c r="L304" s="248" t="str">
        <f t="array" ref="L304">IFERROR(J304*INDEX('PORTIFÓLIO'!$S$4:$S$433,MATCH($C304,'PORTIFÓLIO'!$C$4:$C$433,0)),"")</f>
        <v/>
      </c>
      <c r="M304" s="177"/>
      <c r="N304" s="177"/>
      <c r="O304" s="177"/>
      <c r="P304" s="177"/>
      <c r="Q304" s="177"/>
      <c r="R304" s="177"/>
      <c r="S304" s="177"/>
      <c r="T304" s="177"/>
      <c r="U304" s="177"/>
      <c r="V304" s="177"/>
      <c r="W304" s="177"/>
      <c r="X304" s="177"/>
    </row>
    <row r="305" ht="15.75" customHeight="1" outlineLevel="1">
      <c r="A305" s="190"/>
      <c r="B305" s="204"/>
      <c r="C305" s="191"/>
      <c r="D305" s="205" t="str">
        <f>IFERROR(VLOOKUP($C305,'PORTIFÓLIO'!C:V,2,0),"")</f>
        <v/>
      </c>
      <c r="E305" s="190" t="str">
        <f>IFERROR(VLOOKUP($C305,'PORTIFÓLIO'!C:V,3,0),"")</f>
        <v/>
      </c>
      <c r="F305" s="190" t="str">
        <f>IFERROR(VLOOKUP($C305,'PORTIFÓLIO'!C:V,4,0),"")</f>
        <v/>
      </c>
      <c r="G305" s="206" t="str">
        <f>IFERROR(VLOOKUP($C305,'PORTIFÓLIO'!C:V,5,0),"")</f>
        <v/>
      </c>
      <c r="H305" s="247" t="str">
        <f t="array" ref="H305">IFERROR(INDEX('PORTIFÓLIO'!$H$4:$H$433,MATCH($C305,'PORTIFÓLIO'!$C$4:$C$433,0)),"")</f>
        <v/>
      </c>
      <c r="I305" s="228"/>
      <c r="J305" s="209">
        <f t="shared" si="33"/>
        <v>0</v>
      </c>
      <c r="K305" s="248" t="str">
        <f t="array" ref="K305">IFERROR(I305*INDEX('PORTIFÓLIO'!$S$4:$S$433,MATCH($C305,'PORTIFÓLIO'!$C$4:$C$433,0)),"")</f>
        <v/>
      </c>
      <c r="L305" s="248" t="str">
        <f t="array" ref="L305">IFERROR(J305*INDEX('PORTIFÓLIO'!$S$4:$S$433,MATCH($C305,'PORTIFÓLIO'!$C$4:$C$433,0)),"")</f>
        <v/>
      </c>
      <c r="M305" s="177"/>
      <c r="N305" s="177"/>
      <c r="O305" s="177"/>
      <c r="P305" s="177"/>
      <c r="Q305" s="177"/>
      <c r="R305" s="177"/>
      <c r="S305" s="177"/>
      <c r="T305" s="177"/>
      <c r="U305" s="177"/>
      <c r="V305" s="177"/>
      <c r="W305" s="177"/>
      <c r="X305" s="177"/>
    </row>
    <row r="306" ht="15.75" customHeight="1" outlineLevel="1">
      <c r="A306" s="190"/>
      <c r="B306" s="204"/>
      <c r="C306" s="191"/>
      <c r="D306" s="205" t="str">
        <f>IFERROR(VLOOKUP($C306,'PORTIFÓLIO'!C:V,2,0),"")</f>
        <v/>
      </c>
      <c r="E306" s="190" t="str">
        <f>IFERROR(VLOOKUP($C306,'PORTIFÓLIO'!C:V,3,0),"")</f>
        <v/>
      </c>
      <c r="F306" s="190" t="str">
        <f>IFERROR(VLOOKUP($C306,'PORTIFÓLIO'!C:V,4,0),"")</f>
        <v/>
      </c>
      <c r="G306" s="206" t="str">
        <f>IFERROR(VLOOKUP($C306,'PORTIFÓLIO'!C:V,5,0),"")</f>
        <v/>
      </c>
      <c r="H306" s="247" t="str">
        <f t="array" ref="H306">IFERROR(INDEX('PORTIFÓLIO'!$H$4:$H$433,MATCH($C306,'PORTIFÓLIO'!$C$4:$C$433,0)),"")</f>
        <v/>
      </c>
      <c r="I306" s="228"/>
      <c r="J306" s="209">
        <f t="shared" si="33"/>
        <v>0</v>
      </c>
      <c r="K306" s="248" t="str">
        <f t="array" ref="K306">IFERROR(I306*INDEX('PORTIFÓLIO'!$S$4:$S$433,MATCH($C306,'PORTIFÓLIO'!$C$4:$C$433,0)),"")</f>
        <v/>
      </c>
      <c r="L306" s="248" t="str">
        <f t="array" ref="L306">IFERROR(J306*INDEX('PORTIFÓLIO'!$S$4:$S$433,MATCH($C306,'PORTIFÓLIO'!$C$4:$C$433,0)),"")</f>
        <v/>
      </c>
      <c r="M306" s="177"/>
      <c r="N306" s="177"/>
      <c r="O306" s="177"/>
      <c r="P306" s="177"/>
      <c r="Q306" s="177"/>
      <c r="R306" s="177"/>
      <c r="S306" s="177"/>
      <c r="T306" s="177"/>
      <c r="U306" s="177"/>
      <c r="V306" s="177"/>
      <c r="W306" s="177"/>
      <c r="X306" s="177"/>
    </row>
    <row r="307" ht="15.75" customHeight="1" outlineLevel="1">
      <c r="A307" s="190"/>
      <c r="B307" s="204"/>
      <c r="C307" s="191"/>
      <c r="D307" s="205" t="str">
        <f>IFERROR(VLOOKUP($C307,'PORTIFÓLIO'!C:V,2,0),"")</f>
        <v/>
      </c>
      <c r="E307" s="190" t="str">
        <f>IFERROR(VLOOKUP($C307,'PORTIFÓLIO'!C:V,3,0),"")</f>
        <v/>
      </c>
      <c r="F307" s="190" t="str">
        <f>IFERROR(VLOOKUP($C307,'PORTIFÓLIO'!C:V,4,0),"")</f>
        <v/>
      </c>
      <c r="G307" s="206" t="str">
        <f>IFERROR(VLOOKUP($C307,'PORTIFÓLIO'!C:V,5,0),"")</f>
        <v/>
      </c>
      <c r="H307" s="247" t="str">
        <f t="array" ref="H307">IFERROR(INDEX('PORTIFÓLIO'!$H$4:$H$433,MATCH($C307,'PORTIFÓLIO'!$C$4:$C$433,0)),"")</f>
        <v/>
      </c>
      <c r="I307" s="228"/>
      <c r="J307" s="209">
        <f t="shared" si="33"/>
        <v>0</v>
      </c>
      <c r="K307" s="248" t="str">
        <f t="array" ref="K307">IFERROR(I307*INDEX('PORTIFÓLIO'!$S$4:$S$433,MATCH($C307,'PORTIFÓLIO'!$C$4:$C$433,0)),"")</f>
        <v/>
      </c>
      <c r="L307" s="248" t="str">
        <f t="array" ref="L307">IFERROR(J307*INDEX('PORTIFÓLIO'!$S$4:$S$433,MATCH($C307,'PORTIFÓLIO'!$C$4:$C$433,0)),"")</f>
        <v/>
      </c>
      <c r="M307" s="177"/>
      <c r="N307" s="177"/>
      <c r="O307" s="177"/>
      <c r="P307" s="177"/>
      <c r="Q307" s="177"/>
      <c r="R307" s="177"/>
      <c r="S307" s="177"/>
      <c r="T307" s="177"/>
      <c r="U307" s="177"/>
      <c r="V307" s="177"/>
      <c r="W307" s="177"/>
      <c r="X307" s="177"/>
    </row>
    <row r="308" ht="15.75" customHeight="1">
      <c r="A308" s="221" t="s">
        <v>1188</v>
      </c>
      <c r="B308" s="197"/>
      <c r="C308" s="196"/>
      <c r="D308" s="198"/>
      <c r="E308" s="196"/>
      <c r="F308" s="196"/>
      <c r="G308" s="199"/>
      <c r="H308" s="199"/>
      <c r="I308" s="201"/>
      <c r="J308" s="202"/>
      <c r="K308" s="203">
        <f t="shared" ref="K308:L308" si="34">SUBTOTAL(9,K309:K322)</f>
        <v>0</v>
      </c>
      <c r="L308" s="203">
        <f t="shared" si="34"/>
        <v>0</v>
      </c>
      <c r="M308" s="177"/>
      <c r="N308" s="177"/>
      <c r="O308" s="177"/>
      <c r="P308" s="177"/>
      <c r="Q308" s="177"/>
      <c r="R308" s="177"/>
      <c r="S308" s="177"/>
      <c r="T308" s="177"/>
      <c r="U308" s="177"/>
      <c r="V308" s="177"/>
      <c r="W308" s="177"/>
      <c r="X308" s="177"/>
    </row>
    <row r="309" ht="15.75" customHeight="1" outlineLevel="1">
      <c r="A309" s="191"/>
      <c r="B309" s="204"/>
      <c r="C309" s="191"/>
      <c r="D309" s="205" t="str">
        <f>IFERROR(VLOOKUP($C309,'PORTIFÓLIO'!C:V,2,0),"")</f>
        <v/>
      </c>
      <c r="E309" s="190" t="str">
        <f>IFERROR(VLOOKUP($C309,'PORTIFÓLIO'!C:V,3,0),"")</f>
        <v/>
      </c>
      <c r="F309" s="190" t="str">
        <f>IFERROR(VLOOKUP($C309,'PORTIFÓLIO'!C:V,4,0),"")</f>
        <v/>
      </c>
      <c r="G309" s="206" t="str">
        <f>IFERROR(VLOOKUP($C309,'PORTIFÓLIO'!C:V,5,0),"")</f>
        <v/>
      </c>
      <c r="H309" s="247" t="str">
        <f t="array" ref="H309">IFERROR(INDEX('PORTIFÓLIO'!$H$4:$H$433,MATCH($C309,'PORTIFÓLIO'!$C$4:$C$433,0)),"")</f>
        <v/>
      </c>
      <c r="I309" s="208"/>
      <c r="J309" s="209">
        <f t="shared" ref="J309:J323" si="35">I309*$B$2</f>
        <v>0</v>
      </c>
      <c r="K309" s="248" t="str">
        <f t="array" ref="K309">IFERROR(I309*INDEX('PORTIFÓLIO'!$S$4:$S$433,MATCH($C309,'PORTIFÓLIO'!$C$4:$C$433,0)),"")</f>
        <v/>
      </c>
      <c r="L309" s="248" t="str">
        <f t="array" ref="L309">IFERROR(J309*INDEX('PORTIFÓLIO'!$S$4:$S$433,MATCH($C309,'PORTIFÓLIO'!$C$4:$C$433,0)),"")</f>
        <v/>
      </c>
      <c r="M309" s="177"/>
      <c r="N309" s="177"/>
      <c r="O309" s="177"/>
      <c r="P309" s="177"/>
      <c r="Q309" s="177"/>
      <c r="R309" s="177"/>
      <c r="S309" s="177"/>
      <c r="T309" s="177"/>
      <c r="U309" s="177"/>
      <c r="V309" s="177"/>
      <c r="W309" s="177"/>
      <c r="X309" s="177"/>
    </row>
    <row r="310" ht="15.75" customHeight="1" outlineLevel="1">
      <c r="A310" s="190"/>
      <c r="B310" s="204"/>
      <c r="C310" s="191"/>
      <c r="D310" s="205" t="str">
        <f>IFERROR(VLOOKUP($C310,'PORTIFÓLIO'!C:V,2,0),"")</f>
        <v/>
      </c>
      <c r="E310" s="190" t="str">
        <f>IFERROR(VLOOKUP($C310,'PORTIFÓLIO'!C:V,3,0),"")</f>
        <v/>
      </c>
      <c r="F310" s="190" t="str">
        <f>IFERROR(VLOOKUP($C310,'PORTIFÓLIO'!C:V,4,0),"")</f>
        <v/>
      </c>
      <c r="G310" s="206" t="str">
        <f>IFERROR(VLOOKUP($C310,'PORTIFÓLIO'!C:V,5,0),"")</f>
        <v/>
      </c>
      <c r="H310" s="247" t="str">
        <f t="array" ref="H310">IFERROR(INDEX('PORTIFÓLIO'!$H$4:$H$433,MATCH($C310,'PORTIFÓLIO'!$C$4:$C$433,0)),"")</f>
        <v/>
      </c>
      <c r="I310" s="228"/>
      <c r="J310" s="209">
        <f t="shared" si="35"/>
        <v>0</v>
      </c>
      <c r="K310" s="248" t="str">
        <f t="array" ref="K310">IFERROR(I310*INDEX('PORTIFÓLIO'!$S$4:$S$433,MATCH($C310,'PORTIFÓLIO'!$C$4:$C$433,0)),"")</f>
        <v/>
      </c>
      <c r="L310" s="248" t="str">
        <f t="array" ref="L310">IFERROR(J310*INDEX('PORTIFÓLIO'!$S$4:$S$433,MATCH($C310,'PORTIFÓLIO'!$C$4:$C$433,0)),"")</f>
        <v/>
      </c>
      <c r="M310" s="177"/>
      <c r="N310" s="177"/>
      <c r="O310" s="177"/>
      <c r="P310" s="177"/>
      <c r="Q310" s="177"/>
      <c r="R310" s="177"/>
      <c r="S310" s="177"/>
      <c r="T310" s="177"/>
      <c r="U310" s="177"/>
      <c r="V310" s="177"/>
      <c r="W310" s="177"/>
      <c r="X310" s="177"/>
    </row>
    <row r="311" ht="15.75" customHeight="1" outlineLevel="1">
      <c r="A311" s="190"/>
      <c r="B311" s="204"/>
      <c r="C311" s="191"/>
      <c r="D311" s="205" t="str">
        <f>IFERROR(VLOOKUP($C311,'PORTIFÓLIO'!C:V,2,0),"")</f>
        <v/>
      </c>
      <c r="E311" s="190" t="str">
        <f>IFERROR(VLOOKUP($C311,'PORTIFÓLIO'!C:V,3,0),"")</f>
        <v/>
      </c>
      <c r="F311" s="190" t="str">
        <f>IFERROR(VLOOKUP($C311,'PORTIFÓLIO'!C:V,4,0),"")</f>
        <v/>
      </c>
      <c r="G311" s="206" t="str">
        <f>IFERROR(VLOOKUP($C311,'PORTIFÓLIO'!C:V,5,0),"")</f>
        <v/>
      </c>
      <c r="H311" s="247" t="str">
        <f t="array" ref="H311">IFERROR(INDEX('PORTIFÓLIO'!$H$4:$H$433,MATCH($C311,'PORTIFÓLIO'!$C$4:$C$433,0)),"")</f>
        <v/>
      </c>
      <c r="I311" s="228"/>
      <c r="J311" s="209">
        <f t="shared" si="35"/>
        <v>0</v>
      </c>
      <c r="K311" s="248" t="str">
        <f t="array" ref="K311">IFERROR(I311*INDEX('PORTIFÓLIO'!$S$4:$S$433,MATCH($C311,'PORTIFÓLIO'!$C$4:$C$433,0)),"")</f>
        <v/>
      </c>
      <c r="L311" s="248" t="str">
        <f t="array" ref="L311">IFERROR(J311*INDEX('PORTIFÓLIO'!$S$4:$S$433,MATCH($C311,'PORTIFÓLIO'!$C$4:$C$433,0)),"")</f>
        <v/>
      </c>
      <c r="M311" s="177"/>
      <c r="N311" s="177"/>
      <c r="O311" s="177"/>
      <c r="P311" s="177"/>
      <c r="Q311" s="177"/>
      <c r="R311" s="177"/>
      <c r="S311" s="177"/>
      <c r="T311" s="177"/>
      <c r="U311" s="177"/>
      <c r="V311" s="177"/>
      <c r="W311" s="177"/>
      <c r="X311" s="177"/>
    </row>
    <row r="312" ht="15.75" customHeight="1" outlineLevel="1">
      <c r="A312" s="190"/>
      <c r="B312" s="204"/>
      <c r="C312" s="191"/>
      <c r="D312" s="205" t="str">
        <f>IFERROR(VLOOKUP($C312,'PORTIFÓLIO'!C:V,2,0),"")</f>
        <v/>
      </c>
      <c r="E312" s="190" t="str">
        <f>IFERROR(VLOOKUP($C312,'PORTIFÓLIO'!C:V,3,0),"")</f>
        <v/>
      </c>
      <c r="F312" s="190" t="str">
        <f>IFERROR(VLOOKUP($C312,'PORTIFÓLIO'!C:V,4,0),"")</f>
        <v/>
      </c>
      <c r="G312" s="206" t="str">
        <f>IFERROR(VLOOKUP($C312,'PORTIFÓLIO'!C:V,5,0),"")</f>
        <v/>
      </c>
      <c r="H312" s="247" t="str">
        <f t="array" ref="H312">IFERROR(INDEX('PORTIFÓLIO'!$H$4:$H$433,MATCH($C312,'PORTIFÓLIO'!$C$4:$C$433,0)),"")</f>
        <v/>
      </c>
      <c r="I312" s="228"/>
      <c r="J312" s="209">
        <f t="shared" si="35"/>
        <v>0</v>
      </c>
      <c r="K312" s="248" t="str">
        <f t="array" ref="K312">IFERROR(I312*INDEX('PORTIFÓLIO'!$S$4:$S$433,MATCH($C312,'PORTIFÓLIO'!$C$4:$C$433,0)),"")</f>
        <v/>
      </c>
      <c r="L312" s="248" t="str">
        <f t="array" ref="L312">IFERROR(J312*INDEX('PORTIFÓLIO'!$S$4:$S$433,MATCH($C312,'PORTIFÓLIO'!$C$4:$C$433,0)),"")</f>
        <v/>
      </c>
      <c r="M312" s="177"/>
      <c r="N312" s="177"/>
      <c r="O312" s="177"/>
      <c r="P312" s="177"/>
      <c r="Q312" s="177"/>
      <c r="R312" s="177"/>
      <c r="S312" s="177"/>
      <c r="T312" s="177"/>
      <c r="U312" s="177"/>
      <c r="V312" s="177"/>
      <c r="W312" s="177"/>
      <c r="X312" s="177"/>
    </row>
    <row r="313" ht="15.75" customHeight="1" outlineLevel="1">
      <c r="A313" s="190"/>
      <c r="B313" s="204"/>
      <c r="C313" s="191"/>
      <c r="D313" s="205" t="str">
        <f>IFERROR(VLOOKUP($C313,'PORTIFÓLIO'!C:V,2,0),"")</f>
        <v/>
      </c>
      <c r="E313" s="190" t="str">
        <f>IFERROR(VLOOKUP($C313,'PORTIFÓLIO'!C:V,3,0),"")</f>
        <v/>
      </c>
      <c r="F313" s="190" t="str">
        <f>IFERROR(VLOOKUP($C313,'PORTIFÓLIO'!C:V,4,0),"")</f>
        <v/>
      </c>
      <c r="G313" s="206" t="str">
        <f>IFERROR(VLOOKUP($C313,'PORTIFÓLIO'!C:V,5,0),"")</f>
        <v/>
      </c>
      <c r="H313" s="247" t="str">
        <f t="array" ref="H313">IFERROR(INDEX('PORTIFÓLIO'!$H$4:$H$433,MATCH($C313,'PORTIFÓLIO'!$C$4:$C$433,0)),"")</f>
        <v/>
      </c>
      <c r="I313" s="228"/>
      <c r="J313" s="209">
        <f t="shared" si="35"/>
        <v>0</v>
      </c>
      <c r="K313" s="248" t="str">
        <f t="array" ref="K313">IFERROR(I313*INDEX('PORTIFÓLIO'!$S$4:$S$433,MATCH($C313,'PORTIFÓLIO'!$C$4:$C$433,0)),"")</f>
        <v/>
      </c>
      <c r="L313" s="248" t="str">
        <f t="array" ref="L313">IFERROR(J313*INDEX('PORTIFÓLIO'!$S$4:$S$433,MATCH($C313,'PORTIFÓLIO'!$C$4:$C$433,0)),"")</f>
        <v/>
      </c>
      <c r="M313" s="177"/>
      <c r="N313" s="177"/>
      <c r="O313" s="177"/>
      <c r="P313" s="177"/>
      <c r="Q313" s="177"/>
      <c r="R313" s="177"/>
      <c r="S313" s="177"/>
      <c r="T313" s="177"/>
      <c r="U313" s="177"/>
      <c r="V313" s="177"/>
      <c r="W313" s="177"/>
      <c r="X313" s="177"/>
    </row>
    <row r="314" ht="15.75" customHeight="1" outlineLevel="1">
      <c r="A314" s="190"/>
      <c r="B314" s="204"/>
      <c r="C314" s="191"/>
      <c r="D314" s="205" t="str">
        <f>IFERROR(VLOOKUP($C314,'PORTIFÓLIO'!C:V,2,0),"")</f>
        <v/>
      </c>
      <c r="E314" s="190" t="str">
        <f>IFERROR(VLOOKUP($C314,'PORTIFÓLIO'!C:V,3,0),"")</f>
        <v/>
      </c>
      <c r="F314" s="190" t="str">
        <f>IFERROR(VLOOKUP($C314,'PORTIFÓLIO'!C:V,4,0),"")</f>
        <v/>
      </c>
      <c r="G314" s="206" t="str">
        <f>IFERROR(VLOOKUP($C314,'PORTIFÓLIO'!C:V,5,0),"")</f>
        <v/>
      </c>
      <c r="H314" s="247" t="str">
        <f t="array" ref="H314">IFERROR(INDEX('PORTIFÓLIO'!$H$4:$H$433,MATCH($C314,'PORTIFÓLIO'!$C$4:$C$433,0)),"")</f>
        <v/>
      </c>
      <c r="I314" s="228"/>
      <c r="J314" s="209">
        <f t="shared" si="35"/>
        <v>0</v>
      </c>
      <c r="K314" s="248" t="str">
        <f t="array" ref="K314">IFERROR(I314*INDEX('PORTIFÓLIO'!$S$4:$S$433,MATCH($C314,'PORTIFÓLIO'!$C$4:$C$433,0)),"")</f>
        <v/>
      </c>
      <c r="L314" s="248" t="str">
        <f t="array" ref="L314">IFERROR(J314*INDEX('PORTIFÓLIO'!$S$4:$S$433,MATCH($C314,'PORTIFÓLIO'!$C$4:$C$433,0)),"")</f>
        <v/>
      </c>
      <c r="M314" s="177"/>
      <c r="N314" s="177"/>
      <c r="O314" s="177"/>
      <c r="P314" s="177"/>
      <c r="Q314" s="177"/>
      <c r="R314" s="177"/>
      <c r="S314" s="177"/>
      <c r="T314" s="177"/>
      <c r="U314" s="177"/>
      <c r="V314" s="177"/>
      <c r="W314" s="177"/>
      <c r="X314" s="177"/>
    </row>
    <row r="315" ht="15.75" customHeight="1" outlineLevel="1">
      <c r="A315" s="190"/>
      <c r="B315" s="204"/>
      <c r="C315" s="191"/>
      <c r="D315" s="205" t="str">
        <f>IFERROR(VLOOKUP($C315,'PORTIFÓLIO'!C:V,2,0),"")</f>
        <v/>
      </c>
      <c r="E315" s="190" t="str">
        <f>IFERROR(VLOOKUP($C315,'PORTIFÓLIO'!C:V,3,0),"")</f>
        <v/>
      </c>
      <c r="F315" s="190" t="str">
        <f>IFERROR(VLOOKUP($C315,'PORTIFÓLIO'!C:V,4,0),"")</f>
        <v/>
      </c>
      <c r="G315" s="206" t="str">
        <f>IFERROR(VLOOKUP($C315,'PORTIFÓLIO'!C:V,5,0),"")</f>
        <v/>
      </c>
      <c r="H315" s="247" t="str">
        <f t="array" ref="H315">IFERROR(INDEX('PORTIFÓLIO'!$H$4:$H$433,MATCH($C315,'PORTIFÓLIO'!$C$4:$C$433,0)),"")</f>
        <v/>
      </c>
      <c r="I315" s="228"/>
      <c r="J315" s="209">
        <f t="shared" si="35"/>
        <v>0</v>
      </c>
      <c r="K315" s="248" t="str">
        <f t="array" ref="K315">IFERROR(I315*INDEX('PORTIFÓLIO'!$S$4:$S$433,MATCH($C315,'PORTIFÓLIO'!$C$4:$C$433,0)),"")</f>
        <v/>
      </c>
      <c r="L315" s="248" t="str">
        <f t="array" ref="L315">IFERROR(J315*INDEX('PORTIFÓLIO'!$S$4:$S$433,MATCH($C315,'PORTIFÓLIO'!$C$4:$C$433,0)),"")</f>
        <v/>
      </c>
      <c r="M315" s="177"/>
      <c r="N315" s="177"/>
      <c r="O315" s="177"/>
      <c r="P315" s="177"/>
      <c r="Q315" s="177"/>
      <c r="R315" s="177"/>
      <c r="S315" s="177"/>
      <c r="T315" s="177"/>
      <c r="U315" s="177"/>
      <c r="V315" s="177"/>
      <c r="W315" s="177"/>
      <c r="X315" s="177"/>
    </row>
    <row r="316" ht="15.75" customHeight="1" outlineLevel="1">
      <c r="A316" s="190"/>
      <c r="B316" s="204"/>
      <c r="C316" s="191"/>
      <c r="D316" s="205" t="str">
        <f>IFERROR(VLOOKUP($C316,'PORTIFÓLIO'!C:V,2,0),"")</f>
        <v/>
      </c>
      <c r="E316" s="190" t="str">
        <f>IFERROR(VLOOKUP($C316,'PORTIFÓLIO'!C:V,3,0),"")</f>
        <v/>
      </c>
      <c r="F316" s="190" t="str">
        <f>IFERROR(VLOOKUP($C316,'PORTIFÓLIO'!C:V,4,0),"")</f>
        <v/>
      </c>
      <c r="G316" s="206" t="str">
        <f>IFERROR(VLOOKUP($C316,'PORTIFÓLIO'!C:V,5,0),"")</f>
        <v/>
      </c>
      <c r="H316" s="247" t="str">
        <f t="array" ref="H316">IFERROR(INDEX('PORTIFÓLIO'!$H$4:$H$433,MATCH($C316,'PORTIFÓLIO'!$C$4:$C$433,0)),"")</f>
        <v/>
      </c>
      <c r="I316" s="228"/>
      <c r="J316" s="209">
        <f t="shared" si="35"/>
        <v>0</v>
      </c>
      <c r="K316" s="248" t="str">
        <f t="array" ref="K316">IFERROR(I316*INDEX('PORTIFÓLIO'!$S$4:$S$433,MATCH($C316,'PORTIFÓLIO'!$C$4:$C$433,0)),"")</f>
        <v/>
      </c>
      <c r="L316" s="248" t="str">
        <f t="array" ref="L316">IFERROR(J316*INDEX('PORTIFÓLIO'!$S$4:$S$433,MATCH($C316,'PORTIFÓLIO'!$C$4:$C$433,0)),"")</f>
        <v/>
      </c>
      <c r="M316" s="177"/>
      <c r="N316" s="177"/>
      <c r="O316" s="177"/>
      <c r="P316" s="177"/>
      <c r="Q316" s="177"/>
      <c r="R316" s="177"/>
      <c r="S316" s="177"/>
      <c r="T316" s="177"/>
      <c r="U316" s="177"/>
      <c r="V316" s="177"/>
      <c r="W316" s="177"/>
      <c r="X316" s="177"/>
    </row>
    <row r="317" ht="15.75" customHeight="1" outlineLevel="1">
      <c r="A317" s="190"/>
      <c r="B317" s="204"/>
      <c r="C317" s="191"/>
      <c r="D317" s="205" t="str">
        <f>IFERROR(VLOOKUP($C317,'PORTIFÓLIO'!C:V,2,0),"")</f>
        <v/>
      </c>
      <c r="E317" s="190" t="str">
        <f>IFERROR(VLOOKUP($C317,'PORTIFÓLIO'!C:V,3,0),"")</f>
        <v/>
      </c>
      <c r="F317" s="190" t="str">
        <f>IFERROR(VLOOKUP($C317,'PORTIFÓLIO'!C:V,4,0),"")</f>
        <v/>
      </c>
      <c r="G317" s="206" t="str">
        <f>IFERROR(VLOOKUP($C317,'PORTIFÓLIO'!C:V,5,0),"")</f>
        <v/>
      </c>
      <c r="H317" s="247" t="str">
        <f t="array" ref="H317">IFERROR(INDEX('PORTIFÓLIO'!$H$4:$H$433,MATCH($C317,'PORTIFÓLIO'!$C$4:$C$433,0)),"")</f>
        <v/>
      </c>
      <c r="I317" s="208"/>
      <c r="J317" s="209">
        <f t="shared" si="35"/>
        <v>0</v>
      </c>
      <c r="K317" s="248" t="str">
        <f t="array" ref="K317">IFERROR(I317*INDEX('PORTIFÓLIO'!$S$4:$S$433,MATCH($C317,'PORTIFÓLIO'!$C$4:$C$433,0)),"")</f>
        <v/>
      </c>
      <c r="L317" s="248" t="str">
        <f t="array" ref="L317">IFERROR(J317*INDEX('PORTIFÓLIO'!$S$4:$S$433,MATCH($C317,'PORTIFÓLIO'!$C$4:$C$433,0)),"")</f>
        <v/>
      </c>
      <c r="M317" s="177"/>
      <c r="N317" s="177"/>
      <c r="O317" s="177"/>
      <c r="P317" s="177"/>
      <c r="Q317" s="177"/>
      <c r="R317" s="177"/>
      <c r="S317" s="177"/>
      <c r="T317" s="177"/>
      <c r="U317" s="177"/>
      <c r="V317" s="177"/>
      <c r="W317" s="177"/>
      <c r="X317" s="177"/>
    </row>
    <row r="318" ht="15.75" customHeight="1" outlineLevel="1">
      <c r="A318" s="190"/>
      <c r="B318" s="204"/>
      <c r="C318" s="191"/>
      <c r="D318" s="205" t="str">
        <f>IFERROR(VLOOKUP($C318,'PORTIFÓLIO'!C:V,2,0),"")</f>
        <v/>
      </c>
      <c r="E318" s="190" t="str">
        <f>IFERROR(VLOOKUP($C318,'PORTIFÓLIO'!C:V,3,0),"")</f>
        <v/>
      </c>
      <c r="F318" s="190" t="str">
        <f>IFERROR(VLOOKUP($C318,'PORTIFÓLIO'!C:V,4,0),"")</f>
        <v/>
      </c>
      <c r="G318" s="206" t="str">
        <f>IFERROR(VLOOKUP($C318,'PORTIFÓLIO'!C:V,5,0),"")</f>
        <v/>
      </c>
      <c r="H318" s="247" t="str">
        <f t="array" ref="H318">IFERROR(INDEX('PORTIFÓLIO'!$H$4:$H$433,MATCH($C318,'PORTIFÓLIO'!$C$4:$C$433,0)),"")</f>
        <v/>
      </c>
      <c r="I318" s="228"/>
      <c r="J318" s="209">
        <f t="shared" si="35"/>
        <v>0</v>
      </c>
      <c r="K318" s="248" t="str">
        <f t="array" ref="K318">IFERROR(I318*INDEX('PORTIFÓLIO'!$S$4:$S$433,MATCH($C318,'PORTIFÓLIO'!$C$4:$C$433,0)),"")</f>
        <v/>
      </c>
      <c r="L318" s="248" t="str">
        <f t="array" ref="L318">IFERROR(J318*INDEX('PORTIFÓLIO'!$S$4:$S$433,MATCH($C318,'PORTIFÓLIO'!$C$4:$C$433,0)),"")</f>
        <v/>
      </c>
      <c r="M318" s="177"/>
      <c r="N318" s="177"/>
      <c r="O318" s="177"/>
      <c r="P318" s="177"/>
      <c r="Q318" s="177"/>
      <c r="R318" s="177"/>
      <c r="S318" s="177"/>
      <c r="T318" s="177"/>
      <c r="U318" s="177"/>
      <c r="V318" s="177"/>
      <c r="W318" s="177"/>
      <c r="X318" s="177"/>
    </row>
    <row r="319" ht="15.75" customHeight="1" outlineLevel="1">
      <c r="A319" s="190"/>
      <c r="B319" s="204"/>
      <c r="C319" s="191"/>
      <c r="D319" s="205" t="str">
        <f>IFERROR(VLOOKUP($C319,'PORTIFÓLIO'!C:V,2,0),"")</f>
        <v/>
      </c>
      <c r="E319" s="190" t="str">
        <f>IFERROR(VLOOKUP($C319,'PORTIFÓLIO'!C:V,3,0),"")</f>
        <v/>
      </c>
      <c r="F319" s="190" t="str">
        <f>IFERROR(VLOOKUP($C319,'PORTIFÓLIO'!C:V,4,0),"")</f>
        <v/>
      </c>
      <c r="G319" s="206" t="str">
        <f>IFERROR(VLOOKUP($C319,'PORTIFÓLIO'!C:V,5,0),"")</f>
        <v/>
      </c>
      <c r="H319" s="247" t="str">
        <f t="array" ref="H319">IFERROR(INDEX('PORTIFÓLIO'!$H$4:$H$433,MATCH($C319,'PORTIFÓLIO'!$C$4:$C$433,0)),"")</f>
        <v/>
      </c>
      <c r="I319" s="228"/>
      <c r="J319" s="209">
        <f t="shared" si="35"/>
        <v>0</v>
      </c>
      <c r="K319" s="248" t="str">
        <f t="array" ref="K319">IFERROR(I319*INDEX('PORTIFÓLIO'!$S$4:$S$433,MATCH($C319,'PORTIFÓLIO'!$C$4:$C$433,0)),"")</f>
        <v/>
      </c>
      <c r="L319" s="248" t="str">
        <f t="array" ref="L319">IFERROR(J319*INDEX('PORTIFÓLIO'!$S$4:$S$433,MATCH($C319,'PORTIFÓLIO'!$C$4:$C$433,0)),"")</f>
        <v/>
      </c>
      <c r="M319" s="177"/>
      <c r="N319" s="177"/>
      <c r="O319" s="177"/>
      <c r="P319" s="177"/>
      <c r="Q319" s="177"/>
      <c r="R319" s="177"/>
      <c r="S319" s="177"/>
      <c r="T319" s="177"/>
      <c r="U319" s="177"/>
      <c r="V319" s="177"/>
      <c r="W319" s="177"/>
      <c r="X319" s="177"/>
    </row>
    <row r="320" ht="15.75" customHeight="1" outlineLevel="1">
      <c r="A320" s="190"/>
      <c r="B320" s="204"/>
      <c r="C320" s="191"/>
      <c r="D320" s="205" t="str">
        <f>IFERROR(VLOOKUP($C320,'PORTIFÓLIO'!C:V,2,0),"")</f>
        <v/>
      </c>
      <c r="E320" s="190" t="str">
        <f>IFERROR(VLOOKUP($C320,'PORTIFÓLIO'!C:V,3,0),"")</f>
        <v/>
      </c>
      <c r="F320" s="190" t="str">
        <f>IFERROR(VLOOKUP($C320,'PORTIFÓLIO'!C:V,4,0),"")</f>
        <v/>
      </c>
      <c r="G320" s="206" t="str">
        <f>IFERROR(VLOOKUP($C320,'PORTIFÓLIO'!C:V,5,0),"")</f>
        <v/>
      </c>
      <c r="H320" s="247" t="str">
        <f t="array" ref="H320">IFERROR(INDEX('PORTIFÓLIO'!$H$4:$H$433,MATCH($C320,'PORTIFÓLIO'!$C$4:$C$433,0)),"")</f>
        <v/>
      </c>
      <c r="I320" s="228"/>
      <c r="J320" s="209">
        <f t="shared" si="35"/>
        <v>0</v>
      </c>
      <c r="K320" s="248" t="str">
        <f t="array" ref="K320">IFERROR(I320*INDEX('PORTIFÓLIO'!$S$4:$S$433,MATCH($C320,'PORTIFÓLIO'!$C$4:$C$433,0)),"")</f>
        <v/>
      </c>
      <c r="L320" s="248" t="str">
        <f t="array" ref="L320">IFERROR(J320*INDEX('PORTIFÓLIO'!$S$4:$S$433,MATCH($C320,'PORTIFÓLIO'!$C$4:$C$433,0)),"")</f>
        <v/>
      </c>
      <c r="M320" s="177"/>
      <c r="N320" s="177"/>
      <c r="O320" s="177"/>
      <c r="P320" s="177"/>
      <c r="Q320" s="177"/>
      <c r="R320" s="177"/>
      <c r="S320" s="177"/>
      <c r="T320" s="177"/>
      <c r="U320" s="177"/>
      <c r="V320" s="177"/>
      <c r="W320" s="177"/>
      <c r="X320" s="177"/>
    </row>
    <row r="321" ht="15.75" customHeight="1" outlineLevel="1">
      <c r="A321" s="190"/>
      <c r="B321" s="204"/>
      <c r="C321" s="191"/>
      <c r="D321" s="205" t="str">
        <f>IFERROR(VLOOKUP($C321,'PORTIFÓLIO'!C:V,2,0),"")</f>
        <v/>
      </c>
      <c r="E321" s="190" t="str">
        <f>IFERROR(VLOOKUP($C321,'PORTIFÓLIO'!C:V,3,0),"")</f>
        <v/>
      </c>
      <c r="F321" s="190" t="str">
        <f>IFERROR(VLOOKUP($C321,'PORTIFÓLIO'!C:V,4,0),"")</f>
        <v/>
      </c>
      <c r="G321" s="206" t="str">
        <f>IFERROR(VLOOKUP($C321,'PORTIFÓLIO'!C:V,5,0),"")</f>
        <v/>
      </c>
      <c r="H321" s="247" t="str">
        <f t="array" ref="H321">IFERROR(INDEX('PORTIFÓLIO'!$H$4:$H$433,MATCH($C321,'PORTIFÓLIO'!$C$4:$C$433,0)),"")</f>
        <v/>
      </c>
      <c r="I321" s="228"/>
      <c r="J321" s="209">
        <f t="shared" si="35"/>
        <v>0</v>
      </c>
      <c r="K321" s="248" t="str">
        <f t="array" ref="K321">IFERROR(I321*INDEX('PORTIFÓLIO'!$S$4:$S$433,MATCH($C321,'PORTIFÓLIO'!$C$4:$C$433,0)),"")</f>
        <v/>
      </c>
      <c r="L321" s="248" t="str">
        <f t="array" ref="L321">IFERROR(J321*INDEX('PORTIFÓLIO'!$S$4:$S$433,MATCH($C321,'PORTIFÓLIO'!$C$4:$C$433,0)),"")</f>
        <v/>
      </c>
      <c r="M321" s="177"/>
      <c r="N321" s="177"/>
      <c r="O321" s="177"/>
      <c r="P321" s="177"/>
      <c r="Q321" s="177"/>
      <c r="R321" s="177"/>
      <c r="S321" s="177"/>
      <c r="T321" s="177"/>
      <c r="U321" s="177"/>
      <c r="V321" s="177"/>
      <c r="W321" s="177"/>
      <c r="X321" s="177"/>
    </row>
    <row r="322" ht="15.75" customHeight="1" outlineLevel="1">
      <c r="A322" s="190"/>
      <c r="B322" s="204"/>
      <c r="C322" s="191"/>
      <c r="D322" s="205" t="str">
        <f>IFERROR(VLOOKUP($C322,'PORTIFÓLIO'!C:V,2,0),"")</f>
        <v/>
      </c>
      <c r="E322" s="190" t="str">
        <f>IFERROR(VLOOKUP($C322,'PORTIFÓLIO'!C:V,3,0),"")</f>
        <v/>
      </c>
      <c r="F322" s="190" t="str">
        <f>IFERROR(VLOOKUP($C322,'PORTIFÓLIO'!C:V,4,0),"")</f>
        <v/>
      </c>
      <c r="G322" s="206" t="str">
        <f>IFERROR(VLOOKUP($C322,'PORTIFÓLIO'!C:V,5,0),"")</f>
        <v/>
      </c>
      <c r="H322" s="247" t="str">
        <f t="array" ref="H322">IFERROR(INDEX('PORTIFÓLIO'!$H$4:$H$433,MATCH($C322,'PORTIFÓLIO'!$C$4:$C$433,0)),"")</f>
        <v/>
      </c>
      <c r="I322" s="228"/>
      <c r="J322" s="209">
        <f t="shared" si="35"/>
        <v>0</v>
      </c>
      <c r="K322" s="248" t="str">
        <f t="array" ref="K322">IFERROR(I322*INDEX('PORTIFÓLIO'!$S$4:$S$433,MATCH($C322,'PORTIFÓLIO'!$C$4:$C$433,0)),"")</f>
        <v/>
      </c>
      <c r="L322" s="248" t="str">
        <f t="array" ref="L322">IFERROR(J322*INDEX('PORTIFÓLIO'!$S$4:$S$433,MATCH($C322,'PORTIFÓLIO'!$C$4:$C$433,0)),"")</f>
        <v/>
      </c>
      <c r="M322" s="177"/>
      <c r="N322" s="177"/>
      <c r="O322" s="177"/>
      <c r="P322" s="177"/>
      <c r="Q322" s="177"/>
      <c r="R322" s="177"/>
      <c r="S322" s="177"/>
      <c r="T322" s="177"/>
      <c r="U322" s="177"/>
      <c r="V322" s="177"/>
      <c r="W322" s="177"/>
      <c r="X322" s="177"/>
    </row>
    <row r="323" ht="15.75" customHeight="1" outlineLevel="1">
      <c r="A323" s="190"/>
      <c r="B323" s="204"/>
      <c r="C323" s="191"/>
      <c r="D323" s="205" t="str">
        <f>IFERROR(VLOOKUP($C323,'PORTIFÓLIO'!C:V,2,0),"")</f>
        <v/>
      </c>
      <c r="E323" s="190" t="str">
        <f>IFERROR(VLOOKUP($C323,'PORTIFÓLIO'!C:V,3,0),"")</f>
        <v/>
      </c>
      <c r="F323" s="190" t="str">
        <f>IFERROR(VLOOKUP($C323,'PORTIFÓLIO'!C:V,4,0),"")</f>
        <v/>
      </c>
      <c r="G323" s="206" t="str">
        <f>IFERROR(VLOOKUP($C323,'PORTIFÓLIO'!C:V,5,0),"")</f>
        <v/>
      </c>
      <c r="H323" s="247" t="str">
        <f t="array" ref="H323">IFERROR(INDEX('PORTIFÓLIO'!$H$4:$H$433,MATCH($C323,'PORTIFÓLIO'!$C$4:$C$433,0)),"")</f>
        <v/>
      </c>
      <c r="I323" s="228"/>
      <c r="J323" s="209">
        <f t="shared" si="35"/>
        <v>0</v>
      </c>
      <c r="K323" s="248" t="str">
        <f t="array" ref="K323">IFERROR(I323*INDEX('PORTIFÓLIO'!$S$4:$S$433,MATCH($C323,'PORTIFÓLIO'!$C$4:$C$433,0)),"")</f>
        <v/>
      </c>
      <c r="L323" s="248" t="str">
        <f t="array" ref="L323">IFERROR(J323*INDEX('PORTIFÓLIO'!$S$4:$S$433,MATCH($C323,'PORTIFÓLIO'!$C$4:$C$433,0)),"")</f>
        <v/>
      </c>
      <c r="M323" s="177"/>
      <c r="N323" s="177"/>
      <c r="O323" s="177"/>
      <c r="P323" s="177"/>
      <c r="Q323" s="177"/>
      <c r="R323" s="177"/>
      <c r="S323" s="177"/>
      <c r="T323" s="177"/>
      <c r="U323" s="177"/>
      <c r="V323" s="177"/>
      <c r="W323" s="177"/>
      <c r="X323" s="177"/>
    </row>
    <row r="324" ht="15.75" customHeight="1">
      <c r="A324" s="221" t="s">
        <v>1189</v>
      </c>
      <c r="B324" s="197"/>
      <c r="C324" s="196"/>
      <c r="D324" s="198"/>
      <c r="E324" s="196"/>
      <c r="F324" s="196"/>
      <c r="G324" s="199"/>
      <c r="H324" s="199"/>
      <c r="I324" s="201"/>
      <c r="J324" s="202"/>
      <c r="K324" s="203">
        <f t="shared" ref="K324:L324" si="36">SUBTOTAL(9,K325:K338)</f>
        <v>0</v>
      </c>
      <c r="L324" s="203">
        <f t="shared" si="36"/>
        <v>0</v>
      </c>
      <c r="M324" s="177"/>
      <c r="N324" s="177"/>
      <c r="O324" s="177"/>
      <c r="P324" s="177"/>
      <c r="Q324" s="177"/>
      <c r="R324" s="177"/>
      <c r="S324" s="177"/>
      <c r="T324" s="177"/>
      <c r="U324" s="177"/>
      <c r="V324" s="177"/>
      <c r="W324" s="177"/>
      <c r="X324" s="177"/>
    </row>
    <row r="325" ht="15.75" customHeight="1" outlineLevel="1">
      <c r="A325" s="191"/>
      <c r="B325" s="204"/>
      <c r="C325" s="191"/>
      <c r="D325" s="205" t="str">
        <f>IFERROR(VLOOKUP($C325,'PORTIFÓLIO'!C:V,2,0),"")</f>
        <v/>
      </c>
      <c r="E325" s="190" t="str">
        <f>IFERROR(VLOOKUP($C325,'PORTIFÓLIO'!C:V,3,0),"")</f>
        <v/>
      </c>
      <c r="F325" s="190" t="str">
        <f>IFERROR(VLOOKUP($C325,'PORTIFÓLIO'!C:V,4,0),"")</f>
        <v/>
      </c>
      <c r="G325" s="206" t="str">
        <f>IFERROR(VLOOKUP($C325,'PORTIFÓLIO'!C:V,5,0),"")</f>
        <v/>
      </c>
      <c r="H325" s="247" t="str">
        <f t="array" ref="H325">IFERROR(INDEX('PORTIFÓLIO'!$H$4:$H$433,MATCH($C325,'PORTIFÓLIO'!$C$4:$C$433,0)),"")</f>
        <v/>
      </c>
      <c r="I325" s="208"/>
      <c r="J325" s="209">
        <f t="shared" ref="J325:J339" si="37">I325*$B$2</f>
        <v>0</v>
      </c>
      <c r="K325" s="248" t="str">
        <f t="array" ref="K325">IFERROR(I325*INDEX('PORTIFÓLIO'!$S$4:$S$433,MATCH($C325,'PORTIFÓLIO'!$C$4:$C$433,0)),"")</f>
        <v/>
      </c>
      <c r="L325" s="248" t="str">
        <f t="array" ref="L325">IFERROR(J325*INDEX('PORTIFÓLIO'!$S$4:$S$433,MATCH($C325,'PORTIFÓLIO'!$C$4:$C$433,0)),"")</f>
        <v/>
      </c>
      <c r="M325" s="177"/>
      <c r="N325" s="177"/>
      <c r="O325" s="177"/>
      <c r="P325" s="177"/>
      <c r="Q325" s="177"/>
      <c r="R325" s="177"/>
      <c r="S325" s="177"/>
      <c r="T325" s="177"/>
      <c r="U325" s="177"/>
      <c r="V325" s="177"/>
      <c r="W325" s="177"/>
      <c r="X325" s="177"/>
    </row>
    <row r="326" ht="15.75" customHeight="1" outlineLevel="1">
      <c r="A326" s="190"/>
      <c r="B326" s="204"/>
      <c r="C326" s="191"/>
      <c r="D326" s="205" t="str">
        <f>IFERROR(VLOOKUP($C326,'PORTIFÓLIO'!C:V,2,0),"")</f>
        <v/>
      </c>
      <c r="E326" s="190" t="str">
        <f>IFERROR(VLOOKUP($C326,'PORTIFÓLIO'!C:V,3,0),"")</f>
        <v/>
      </c>
      <c r="F326" s="190" t="str">
        <f>IFERROR(VLOOKUP($C326,'PORTIFÓLIO'!C:V,4,0),"")</f>
        <v/>
      </c>
      <c r="G326" s="206" t="str">
        <f>IFERROR(VLOOKUP($C326,'PORTIFÓLIO'!C:V,5,0),"")</f>
        <v/>
      </c>
      <c r="H326" s="247" t="str">
        <f t="array" ref="H326">IFERROR(INDEX('PORTIFÓLIO'!$H$4:$H$433,MATCH($C326,'PORTIFÓLIO'!$C$4:$C$433,0)),"")</f>
        <v/>
      </c>
      <c r="I326" s="228"/>
      <c r="J326" s="209">
        <f t="shared" si="37"/>
        <v>0</v>
      </c>
      <c r="K326" s="248" t="str">
        <f t="array" ref="K326">IFERROR(I326*INDEX('PORTIFÓLIO'!$S$4:$S$433,MATCH($C326,'PORTIFÓLIO'!$C$4:$C$433,0)),"")</f>
        <v/>
      </c>
      <c r="L326" s="248" t="str">
        <f t="array" ref="L326">IFERROR(J326*INDEX('PORTIFÓLIO'!$S$4:$S$433,MATCH($C326,'PORTIFÓLIO'!$C$4:$C$433,0)),"")</f>
        <v/>
      </c>
      <c r="M326" s="177"/>
      <c r="N326" s="177"/>
      <c r="O326" s="177"/>
      <c r="P326" s="177"/>
      <c r="Q326" s="177"/>
      <c r="R326" s="177"/>
      <c r="S326" s="177"/>
      <c r="T326" s="177"/>
      <c r="U326" s="177"/>
      <c r="V326" s="177"/>
      <c r="W326" s="177"/>
      <c r="X326" s="177"/>
    </row>
    <row r="327" ht="15.75" customHeight="1" outlineLevel="1">
      <c r="A327" s="190"/>
      <c r="B327" s="204"/>
      <c r="C327" s="191"/>
      <c r="D327" s="205" t="str">
        <f>IFERROR(VLOOKUP($C327,'PORTIFÓLIO'!C:V,2,0),"")</f>
        <v/>
      </c>
      <c r="E327" s="190" t="str">
        <f>IFERROR(VLOOKUP($C327,'PORTIFÓLIO'!C:V,3,0),"")</f>
        <v/>
      </c>
      <c r="F327" s="190" t="str">
        <f>IFERROR(VLOOKUP($C327,'PORTIFÓLIO'!C:V,4,0),"")</f>
        <v/>
      </c>
      <c r="G327" s="206" t="str">
        <f>IFERROR(VLOOKUP($C327,'PORTIFÓLIO'!C:V,5,0),"")</f>
        <v/>
      </c>
      <c r="H327" s="247" t="str">
        <f t="array" ref="H327">IFERROR(INDEX('PORTIFÓLIO'!$H$4:$H$433,MATCH($C327,'PORTIFÓLIO'!$C$4:$C$433,0)),"")</f>
        <v/>
      </c>
      <c r="I327" s="228"/>
      <c r="J327" s="209">
        <f t="shared" si="37"/>
        <v>0</v>
      </c>
      <c r="K327" s="248" t="str">
        <f t="array" ref="K327">IFERROR(I327*INDEX('PORTIFÓLIO'!$S$4:$S$433,MATCH($C327,'PORTIFÓLIO'!$C$4:$C$433,0)),"")</f>
        <v/>
      </c>
      <c r="L327" s="248" t="str">
        <f t="array" ref="L327">IFERROR(J327*INDEX('PORTIFÓLIO'!$S$4:$S$433,MATCH($C327,'PORTIFÓLIO'!$C$4:$C$433,0)),"")</f>
        <v/>
      </c>
      <c r="M327" s="177"/>
      <c r="N327" s="177"/>
      <c r="O327" s="177"/>
      <c r="P327" s="177"/>
      <c r="Q327" s="177"/>
      <c r="R327" s="177"/>
      <c r="S327" s="177"/>
      <c r="T327" s="177"/>
      <c r="U327" s="177"/>
      <c r="V327" s="177"/>
      <c r="W327" s="177"/>
      <c r="X327" s="177"/>
    </row>
    <row r="328" ht="15.75" customHeight="1" outlineLevel="1">
      <c r="A328" s="190"/>
      <c r="B328" s="204"/>
      <c r="C328" s="191"/>
      <c r="D328" s="205" t="str">
        <f>IFERROR(VLOOKUP($C328,'PORTIFÓLIO'!C:V,2,0),"")</f>
        <v/>
      </c>
      <c r="E328" s="190" t="str">
        <f>IFERROR(VLOOKUP($C328,'PORTIFÓLIO'!C:V,3,0),"")</f>
        <v/>
      </c>
      <c r="F328" s="190" t="str">
        <f>IFERROR(VLOOKUP($C328,'PORTIFÓLIO'!C:V,4,0),"")</f>
        <v/>
      </c>
      <c r="G328" s="206" t="str">
        <f>IFERROR(VLOOKUP($C328,'PORTIFÓLIO'!C:V,5,0),"")</f>
        <v/>
      </c>
      <c r="H328" s="247" t="str">
        <f t="array" ref="H328">IFERROR(INDEX('PORTIFÓLIO'!$H$4:$H$433,MATCH($C328,'PORTIFÓLIO'!$C$4:$C$433,0)),"")</f>
        <v/>
      </c>
      <c r="I328" s="228"/>
      <c r="J328" s="209">
        <f t="shared" si="37"/>
        <v>0</v>
      </c>
      <c r="K328" s="248" t="str">
        <f t="array" ref="K328">IFERROR(I328*INDEX('PORTIFÓLIO'!$S$4:$S$433,MATCH($C328,'PORTIFÓLIO'!$C$4:$C$433,0)),"")</f>
        <v/>
      </c>
      <c r="L328" s="248" t="str">
        <f t="array" ref="L328">IFERROR(J328*INDEX('PORTIFÓLIO'!$S$4:$S$433,MATCH($C328,'PORTIFÓLIO'!$C$4:$C$433,0)),"")</f>
        <v/>
      </c>
      <c r="M328" s="177"/>
      <c r="N328" s="177"/>
      <c r="O328" s="177"/>
      <c r="P328" s="177"/>
      <c r="Q328" s="177"/>
      <c r="R328" s="177"/>
      <c r="S328" s="177"/>
      <c r="T328" s="177"/>
      <c r="U328" s="177"/>
      <c r="V328" s="177"/>
      <c r="W328" s="177"/>
      <c r="X328" s="177"/>
    </row>
    <row r="329" ht="15.75" customHeight="1" outlineLevel="1">
      <c r="A329" s="190"/>
      <c r="B329" s="204"/>
      <c r="C329" s="191"/>
      <c r="D329" s="205" t="str">
        <f>IFERROR(VLOOKUP($C329,'PORTIFÓLIO'!C:V,2,0),"")</f>
        <v/>
      </c>
      <c r="E329" s="190" t="str">
        <f>IFERROR(VLOOKUP($C329,'PORTIFÓLIO'!C:V,3,0),"")</f>
        <v/>
      </c>
      <c r="F329" s="190" t="str">
        <f>IFERROR(VLOOKUP($C329,'PORTIFÓLIO'!C:V,4,0),"")</f>
        <v/>
      </c>
      <c r="G329" s="206" t="str">
        <f>IFERROR(VLOOKUP($C329,'PORTIFÓLIO'!C:V,5,0),"")</f>
        <v/>
      </c>
      <c r="H329" s="247" t="str">
        <f t="array" ref="H329">IFERROR(INDEX('PORTIFÓLIO'!$H$4:$H$433,MATCH($C329,'PORTIFÓLIO'!$C$4:$C$433,0)),"")</f>
        <v/>
      </c>
      <c r="I329" s="228"/>
      <c r="J329" s="209">
        <f t="shared" si="37"/>
        <v>0</v>
      </c>
      <c r="K329" s="248" t="str">
        <f t="array" ref="K329">IFERROR(I329*INDEX('PORTIFÓLIO'!$S$4:$S$433,MATCH($C329,'PORTIFÓLIO'!$C$4:$C$433,0)),"")</f>
        <v/>
      </c>
      <c r="L329" s="248" t="str">
        <f t="array" ref="L329">IFERROR(J329*INDEX('PORTIFÓLIO'!$S$4:$S$433,MATCH($C329,'PORTIFÓLIO'!$C$4:$C$433,0)),"")</f>
        <v/>
      </c>
      <c r="M329" s="177"/>
      <c r="N329" s="177"/>
      <c r="O329" s="177"/>
      <c r="P329" s="177"/>
      <c r="Q329" s="177"/>
      <c r="R329" s="177"/>
      <c r="S329" s="177"/>
      <c r="T329" s="177"/>
      <c r="U329" s="177"/>
      <c r="V329" s="177"/>
      <c r="W329" s="177"/>
      <c r="X329" s="177"/>
    </row>
    <row r="330" ht="15.75" customHeight="1" outlineLevel="1">
      <c r="A330" s="190"/>
      <c r="B330" s="204"/>
      <c r="C330" s="191"/>
      <c r="D330" s="205" t="str">
        <f>IFERROR(VLOOKUP($C330,'PORTIFÓLIO'!C:V,2,0),"")</f>
        <v/>
      </c>
      <c r="E330" s="190" t="str">
        <f>IFERROR(VLOOKUP($C330,'PORTIFÓLIO'!C:V,3,0),"")</f>
        <v/>
      </c>
      <c r="F330" s="190" t="str">
        <f>IFERROR(VLOOKUP($C330,'PORTIFÓLIO'!C:V,4,0),"")</f>
        <v/>
      </c>
      <c r="G330" s="206" t="str">
        <f>IFERROR(VLOOKUP($C330,'PORTIFÓLIO'!C:V,5,0),"")</f>
        <v/>
      </c>
      <c r="H330" s="247" t="str">
        <f t="array" ref="H330">IFERROR(INDEX('PORTIFÓLIO'!$H$4:$H$433,MATCH($C330,'PORTIFÓLIO'!$C$4:$C$433,0)),"")</f>
        <v/>
      </c>
      <c r="I330" s="228"/>
      <c r="J330" s="209">
        <f t="shared" si="37"/>
        <v>0</v>
      </c>
      <c r="K330" s="248" t="str">
        <f t="array" ref="K330">IFERROR(I330*INDEX('PORTIFÓLIO'!$S$4:$S$433,MATCH($C330,'PORTIFÓLIO'!$C$4:$C$433,0)),"")</f>
        <v/>
      </c>
      <c r="L330" s="248" t="str">
        <f t="array" ref="L330">IFERROR(J330*INDEX('PORTIFÓLIO'!$S$4:$S$433,MATCH($C330,'PORTIFÓLIO'!$C$4:$C$433,0)),"")</f>
        <v/>
      </c>
      <c r="M330" s="177"/>
      <c r="N330" s="177"/>
      <c r="O330" s="177"/>
      <c r="P330" s="177"/>
      <c r="Q330" s="177"/>
      <c r="R330" s="177"/>
      <c r="S330" s="177"/>
      <c r="T330" s="177"/>
      <c r="U330" s="177"/>
      <c r="V330" s="177"/>
      <c r="W330" s="177"/>
      <c r="X330" s="177"/>
    </row>
    <row r="331" ht="15.75" customHeight="1" outlineLevel="1">
      <c r="A331" s="190"/>
      <c r="B331" s="204"/>
      <c r="C331" s="191"/>
      <c r="D331" s="205" t="str">
        <f>IFERROR(VLOOKUP($C331,'PORTIFÓLIO'!C:V,2,0),"")</f>
        <v/>
      </c>
      <c r="E331" s="190" t="str">
        <f>IFERROR(VLOOKUP($C331,'PORTIFÓLIO'!C:V,3,0),"")</f>
        <v/>
      </c>
      <c r="F331" s="190" t="str">
        <f>IFERROR(VLOOKUP($C331,'PORTIFÓLIO'!C:V,4,0),"")</f>
        <v/>
      </c>
      <c r="G331" s="206" t="str">
        <f>IFERROR(VLOOKUP($C331,'PORTIFÓLIO'!C:V,5,0),"")</f>
        <v/>
      </c>
      <c r="H331" s="247" t="str">
        <f t="array" ref="H331">IFERROR(INDEX('PORTIFÓLIO'!$H$4:$H$433,MATCH($C331,'PORTIFÓLIO'!$C$4:$C$433,0)),"")</f>
        <v/>
      </c>
      <c r="I331" s="228"/>
      <c r="J331" s="209">
        <f t="shared" si="37"/>
        <v>0</v>
      </c>
      <c r="K331" s="248" t="str">
        <f t="array" ref="K331">IFERROR(I331*INDEX('PORTIFÓLIO'!$S$4:$S$433,MATCH($C331,'PORTIFÓLIO'!$C$4:$C$433,0)),"")</f>
        <v/>
      </c>
      <c r="L331" s="248" t="str">
        <f t="array" ref="L331">IFERROR(J331*INDEX('PORTIFÓLIO'!$S$4:$S$433,MATCH($C331,'PORTIFÓLIO'!$C$4:$C$433,0)),"")</f>
        <v/>
      </c>
      <c r="M331" s="177"/>
      <c r="N331" s="177"/>
      <c r="O331" s="177"/>
      <c r="P331" s="177"/>
      <c r="Q331" s="177"/>
      <c r="R331" s="177"/>
      <c r="S331" s="177"/>
      <c r="T331" s="177"/>
      <c r="U331" s="177"/>
      <c r="V331" s="177"/>
      <c r="W331" s="177"/>
      <c r="X331" s="177"/>
    </row>
    <row r="332" ht="15.75" customHeight="1" outlineLevel="1">
      <c r="A332" s="190"/>
      <c r="B332" s="204"/>
      <c r="C332" s="191"/>
      <c r="D332" s="205" t="str">
        <f>IFERROR(VLOOKUP($C332,'PORTIFÓLIO'!C:V,2,0),"")</f>
        <v/>
      </c>
      <c r="E332" s="190" t="str">
        <f>IFERROR(VLOOKUP($C332,'PORTIFÓLIO'!C:V,3,0),"")</f>
        <v/>
      </c>
      <c r="F332" s="190" t="str">
        <f>IFERROR(VLOOKUP($C332,'PORTIFÓLIO'!C:V,4,0),"")</f>
        <v/>
      </c>
      <c r="G332" s="206" t="str">
        <f>IFERROR(VLOOKUP($C332,'PORTIFÓLIO'!C:V,5,0),"")</f>
        <v/>
      </c>
      <c r="H332" s="247" t="str">
        <f t="array" ref="H332">IFERROR(INDEX('PORTIFÓLIO'!$H$4:$H$433,MATCH($C332,'PORTIFÓLIO'!$C$4:$C$433,0)),"")</f>
        <v/>
      </c>
      <c r="I332" s="228"/>
      <c r="J332" s="209">
        <f t="shared" si="37"/>
        <v>0</v>
      </c>
      <c r="K332" s="248" t="str">
        <f t="array" ref="K332">IFERROR(I332*INDEX('PORTIFÓLIO'!$S$4:$S$433,MATCH($C332,'PORTIFÓLIO'!$C$4:$C$433,0)),"")</f>
        <v/>
      </c>
      <c r="L332" s="248" t="str">
        <f t="array" ref="L332">IFERROR(J332*INDEX('PORTIFÓLIO'!$S$4:$S$433,MATCH($C332,'PORTIFÓLIO'!$C$4:$C$433,0)),"")</f>
        <v/>
      </c>
      <c r="M332" s="177"/>
      <c r="N332" s="177"/>
      <c r="O332" s="177"/>
      <c r="P332" s="177"/>
      <c r="Q332" s="177"/>
      <c r="R332" s="177"/>
      <c r="S332" s="177"/>
      <c r="T332" s="177"/>
      <c r="U332" s="177"/>
      <c r="V332" s="177"/>
      <c r="W332" s="177"/>
      <c r="X332" s="177"/>
    </row>
    <row r="333" ht="15.75" customHeight="1" outlineLevel="1">
      <c r="A333" s="190"/>
      <c r="B333" s="204"/>
      <c r="C333" s="191"/>
      <c r="D333" s="205" t="str">
        <f>IFERROR(VLOOKUP($C333,'PORTIFÓLIO'!C:V,2,0),"")</f>
        <v/>
      </c>
      <c r="E333" s="190" t="str">
        <f>IFERROR(VLOOKUP($C333,'PORTIFÓLIO'!C:V,3,0),"")</f>
        <v/>
      </c>
      <c r="F333" s="190" t="str">
        <f>IFERROR(VLOOKUP($C333,'PORTIFÓLIO'!C:V,4,0),"")</f>
        <v/>
      </c>
      <c r="G333" s="206" t="str">
        <f>IFERROR(VLOOKUP($C333,'PORTIFÓLIO'!C:V,5,0),"")</f>
        <v/>
      </c>
      <c r="H333" s="247" t="str">
        <f t="array" ref="H333">IFERROR(INDEX('PORTIFÓLIO'!$H$4:$H$433,MATCH($C333,'PORTIFÓLIO'!$C$4:$C$433,0)),"")</f>
        <v/>
      </c>
      <c r="I333" s="208"/>
      <c r="J333" s="209">
        <f t="shared" si="37"/>
        <v>0</v>
      </c>
      <c r="K333" s="248" t="str">
        <f t="array" ref="K333">IFERROR(I333*INDEX('PORTIFÓLIO'!$S$4:$S$433,MATCH($C333,'PORTIFÓLIO'!$C$4:$C$433,0)),"")</f>
        <v/>
      </c>
      <c r="L333" s="248" t="str">
        <f t="array" ref="L333">IFERROR(J333*INDEX('PORTIFÓLIO'!$S$4:$S$433,MATCH($C333,'PORTIFÓLIO'!$C$4:$C$433,0)),"")</f>
        <v/>
      </c>
      <c r="M333" s="177"/>
      <c r="N333" s="177"/>
      <c r="O333" s="177"/>
      <c r="P333" s="177"/>
      <c r="Q333" s="177"/>
      <c r="R333" s="177"/>
      <c r="S333" s="177"/>
      <c r="T333" s="177"/>
      <c r="U333" s="177"/>
      <c r="V333" s="177"/>
      <c r="W333" s="177"/>
      <c r="X333" s="177"/>
    </row>
    <row r="334" ht="15.75" customHeight="1" outlineLevel="1">
      <c r="A334" s="190"/>
      <c r="B334" s="204"/>
      <c r="C334" s="191"/>
      <c r="D334" s="205" t="str">
        <f>IFERROR(VLOOKUP($C334,'PORTIFÓLIO'!C:V,2,0),"")</f>
        <v/>
      </c>
      <c r="E334" s="190" t="str">
        <f>IFERROR(VLOOKUP($C334,'PORTIFÓLIO'!C:V,3,0),"")</f>
        <v/>
      </c>
      <c r="F334" s="190" t="str">
        <f>IFERROR(VLOOKUP($C334,'PORTIFÓLIO'!C:V,4,0),"")</f>
        <v/>
      </c>
      <c r="G334" s="206" t="str">
        <f>IFERROR(VLOOKUP($C334,'PORTIFÓLIO'!C:V,5,0),"")</f>
        <v/>
      </c>
      <c r="H334" s="247" t="str">
        <f t="array" ref="H334">IFERROR(INDEX('PORTIFÓLIO'!$H$4:$H$433,MATCH($C334,'PORTIFÓLIO'!$C$4:$C$433,0)),"")</f>
        <v/>
      </c>
      <c r="I334" s="228"/>
      <c r="J334" s="209">
        <f t="shared" si="37"/>
        <v>0</v>
      </c>
      <c r="K334" s="248" t="str">
        <f t="array" ref="K334">IFERROR(I334*INDEX('PORTIFÓLIO'!$S$4:$S$433,MATCH($C334,'PORTIFÓLIO'!$C$4:$C$433,0)),"")</f>
        <v/>
      </c>
      <c r="L334" s="248" t="str">
        <f t="array" ref="L334">IFERROR(J334*INDEX('PORTIFÓLIO'!$S$4:$S$433,MATCH($C334,'PORTIFÓLIO'!$C$4:$C$433,0)),"")</f>
        <v/>
      </c>
      <c r="M334" s="177"/>
      <c r="N334" s="177"/>
      <c r="O334" s="177"/>
      <c r="P334" s="177"/>
      <c r="Q334" s="177"/>
      <c r="R334" s="177"/>
      <c r="S334" s="177"/>
      <c r="T334" s="177"/>
      <c r="U334" s="177"/>
      <c r="V334" s="177"/>
      <c r="W334" s="177"/>
      <c r="X334" s="177"/>
    </row>
    <row r="335" ht="15.75" customHeight="1" outlineLevel="1">
      <c r="A335" s="190"/>
      <c r="B335" s="204"/>
      <c r="C335" s="191"/>
      <c r="D335" s="205" t="str">
        <f>IFERROR(VLOOKUP($C335,'PORTIFÓLIO'!C:V,2,0),"")</f>
        <v/>
      </c>
      <c r="E335" s="190" t="str">
        <f>IFERROR(VLOOKUP($C335,'PORTIFÓLIO'!C:V,3,0),"")</f>
        <v/>
      </c>
      <c r="F335" s="190" t="str">
        <f>IFERROR(VLOOKUP($C335,'PORTIFÓLIO'!C:V,4,0),"")</f>
        <v/>
      </c>
      <c r="G335" s="206" t="str">
        <f>IFERROR(VLOOKUP($C335,'PORTIFÓLIO'!C:V,5,0),"")</f>
        <v/>
      </c>
      <c r="H335" s="247" t="str">
        <f t="array" ref="H335">IFERROR(INDEX('PORTIFÓLIO'!$H$4:$H$433,MATCH($C335,'PORTIFÓLIO'!$C$4:$C$433,0)),"")</f>
        <v/>
      </c>
      <c r="I335" s="228"/>
      <c r="J335" s="209">
        <f t="shared" si="37"/>
        <v>0</v>
      </c>
      <c r="K335" s="248" t="str">
        <f t="array" ref="K335">IFERROR(I335*INDEX('PORTIFÓLIO'!$S$4:$S$433,MATCH($C335,'PORTIFÓLIO'!$C$4:$C$433,0)),"")</f>
        <v/>
      </c>
      <c r="L335" s="248" t="str">
        <f t="array" ref="L335">IFERROR(J335*INDEX('PORTIFÓLIO'!$S$4:$S$433,MATCH($C335,'PORTIFÓLIO'!$C$4:$C$433,0)),"")</f>
        <v/>
      </c>
      <c r="M335" s="177"/>
      <c r="N335" s="177"/>
      <c r="O335" s="177"/>
      <c r="P335" s="177"/>
      <c r="Q335" s="177"/>
      <c r="R335" s="177"/>
      <c r="S335" s="177"/>
      <c r="T335" s="177"/>
      <c r="U335" s="177"/>
      <c r="V335" s="177"/>
      <c r="W335" s="177"/>
      <c r="X335" s="177"/>
    </row>
    <row r="336" ht="15.75" customHeight="1" outlineLevel="1">
      <c r="A336" s="190"/>
      <c r="B336" s="204"/>
      <c r="C336" s="191"/>
      <c r="D336" s="205" t="str">
        <f>IFERROR(VLOOKUP($C336,'PORTIFÓLIO'!C:V,2,0),"")</f>
        <v/>
      </c>
      <c r="E336" s="190" t="str">
        <f>IFERROR(VLOOKUP($C336,'PORTIFÓLIO'!C:V,3,0),"")</f>
        <v/>
      </c>
      <c r="F336" s="190" t="str">
        <f>IFERROR(VLOOKUP($C336,'PORTIFÓLIO'!C:V,4,0),"")</f>
        <v/>
      </c>
      <c r="G336" s="206" t="str">
        <f>IFERROR(VLOOKUP($C336,'PORTIFÓLIO'!C:V,5,0),"")</f>
        <v/>
      </c>
      <c r="H336" s="247" t="str">
        <f t="array" ref="H336">IFERROR(INDEX('PORTIFÓLIO'!$H$4:$H$433,MATCH($C336,'PORTIFÓLIO'!$C$4:$C$433,0)),"")</f>
        <v/>
      </c>
      <c r="I336" s="228"/>
      <c r="J336" s="209">
        <f t="shared" si="37"/>
        <v>0</v>
      </c>
      <c r="K336" s="248" t="str">
        <f t="array" ref="K336">IFERROR(I336*INDEX('PORTIFÓLIO'!$S$4:$S$433,MATCH($C336,'PORTIFÓLIO'!$C$4:$C$433,0)),"")</f>
        <v/>
      </c>
      <c r="L336" s="248" t="str">
        <f t="array" ref="L336">IFERROR(J336*INDEX('PORTIFÓLIO'!$S$4:$S$433,MATCH($C336,'PORTIFÓLIO'!$C$4:$C$433,0)),"")</f>
        <v/>
      </c>
      <c r="M336" s="177"/>
      <c r="N336" s="177"/>
      <c r="O336" s="177"/>
      <c r="P336" s="177"/>
      <c r="Q336" s="177"/>
      <c r="R336" s="177"/>
      <c r="S336" s="177"/>
      <c r="T336" s="177"/>
      <c r="U336" s="177"/>
      <c r="V336" s="177"/>
      <c r="W336" s="177"/>
      <c r="X336" s="177"/>
    </row>
    <row r="337" ht="15.75" customHeight="1" outlineLevel="1">
      <c r="A337" s="190"/>
      <c r="B337" s="204"/>
      <c r="C337" s="191"/>
      <c r="D337" s="205" t="str">
        <f>IFERROR(VLOOKUP($C337,'PORTIFÓLIO'!C:V,2,0),"")</f>
        <v/>
      </c>
      <c r="E337" s="190" t="str">
        <f>IFERROR(VLOOKUP($C337,'PORTIFÓLIO'!C:V,3,0),"")</f>
        <v/>
      </c>
      <c r="F337" s="190" t="str">
        <f>IFERROR(VLOOKUP($C337,'PORTIFÓLIO'!C:V,4,0),"")</f>
        <v/>
      </c>
      <c r="G337" s="206" t="str">
        <f>IFERROR(VLOOKUP($C337,'PORTIFÓLIO'!C:V,5,0),"")</f>
        <v/>
      </c>
      <c r="H337" s="247" t="str">
        <f t="array" ref="H337">IFERROR(INDEX('PORTIFÓLIO'!$H$4:$H$433,MATCH($C337,'PORTIFÓLIO'!$C$4:$C$433,0)),"")</f>
        <v/>
      </c>
      <c r="I337" s="228"/>
      <c r="J337" s="209">
        <f t="shared" si="37"/>
        <v>0</v>
      </c>
      <c r="K337" s="248" t="str">
        <f t="array" ref="K337">IFERROR(I337*INDEX('PORTIFÓLIO'!$S$4:$S$433,MATCH($C337,'PORTIFÓLIO'!$C$4:$C$433,0)),"")</f>
        <v/>
      </c>
      <c r="L337" s="248" t="str">
        <f t="array" ref="L337">IFERROR(J337*INDEX('PORTIFÓLIO'!$S$4:$S$433,MATCH($C337,'PORTIFÓLIO'!$C$4:$C$433,0)),"")</f>
        <v/>
      </c>
      <c r="M337" s="177"/>
      <c r="N337" s="177"/>
      <c r="O337" s="177"/>
      <c r="P337" s="177"/>
      <c r="Q337" s="177"/>
      <c r="R337" s="177"/>
      <c r="S337" s="177"/>
      <c r="T337" s="177"/>
      <c r="U337" s="177"/>
      <c r="V337" s="177"/>
      <c r="W337" s="177"/>
      <c r="X337" s="177"/>
    </row>
    <row r="338" ht="15.75" customHeight="1" outlineLevel="1">
      <c r="A338" s="190"/>
      <c r="B338" s="204"/>
      <c r="C338" s="191"/>
      <c r="D338" s="205" t="str">
        <f>IFERROR(VLOOKUP($C338,'PORTIFÓLIO'!C:V,2,0),"")</f>
        <v/>
      </c>
      <c r="E338" s="190" t="str">
        <f>IFERROR(VLOOKUP($C338,'PORTIFÓLIO'!C:V,3,0),"")</f>
        <v/>
      </c>
      <c r="F338" s="190" t="str">
        <f>IFERROR(VLOOKUP($C338,'PORTIFÓLIO'!C:V,4,0),"")</f>
        <v/>
      </c>
      <c r="G338" s="206" t="str">
        <f>IFERROR(VLOOKUP($C338,'PORTIFÓLIO'!C:V,5,0),"")</f>
        <v/>
      </c>
      <c r="H338" s="247" t="str">
        <f t="array" ref="H338">IFERROR(INDEX('PORTIFÓLIO'!$H$4:$H$433,MATCH($C338,'PORTIFÓLIO'!$C$4:$C$433,0)),"")</f>
        <v/>
      </c>
      <c r="I338" s="228"/>
      <c r="J338" s="209">
        <f t="shared" si="37"/>
        <v>0</v>
      </c>
      <c r="K338" s="248" t="str">
        <f t="array" ref="K338">IFERROR(I338*INDEX('PORTIFÓLIO'!$S$4:$S$433,MATCH($C338,'PORTIFÓLIO'!$C$4:$C$433,0)),"")</f>
        <v/>
      </c>
      <c r="L338" s="248" t="str">
        <f t="array" ref="L338">IFERROR(J338*INDEX('PORTIFÓLIO'!$S$4:$S$433,MATCH($C338,'PORTIFÓLIO'!$C$4:$C$433,0)),"")</f>
        <v/>
      </c>
      <c r="M338" s="177"/>
      <c r="N338" s="177"/>
      <c r="O338" s="177"/>
      <c r="P338" s="177"/>
      <c r="Q338" s="177"/>
      <c r="R338" s="177"/>
      <c r="S338" s="177"/>
      <c r="T338" s="177"/>
      <c r="U338" s="177"/>
      <c r="V338" s="177"/>
      <c r="W338" s="177"/>
      <c r="X338" s="177"/>
    </row>
    <row r="339" ht="15.75" customHeight="1" outlineLevel="1">
      <c r="A339" s="190"/>
      <c r="B339" s="204"/>
      <c r="C339" s="191"/>
      <c r="D339" s="205" t="str">
        <f>IFERROR(VLOOKUP($C339,'PORTIFÓLIO'!C:V,2,0),"")</f>
        <v/>
      </c>
      <c r="E339" s="190" t="str">
        <f>IFERROR(VLOOKUP($C339,'PORTIFÓLIO'!C:V,3,0),"")</f>
        <v/>
      </c>
      <c r="F339" s="190" t="str">
        <f>IFERROR(VLOOKUP($C339,'PORTIFÓLIO'!C:V,4,0),"")</f>
        <v/>
      </c>
      <c r="G339" s="206" t="str">
        <f>IFERROR(VLOOKUP($C339,'PORTIFÓLIO'!C:V,5,0),"")</f>
        <v/>
      </c>
      <c r="H339" s="247" t="str">
        <f t="array" ref="H339">IFERROR(INDEX('PORTIFÓLIO'!$H$4:$H$433,MATCH($C339,'PORTIFÓLIO'!$C$4:$C$433,0)),"")</f>
        <v/>
      </c>
      <c r="I339" s="228"/>
      <c r="J339" s="209">
        <f t="shared" si="37"/>
        <v>0</v>
      </c>
      <c r="K339" s="248" t="str">
        <f t="array" ref="K339">IFERROR(I339*INDEX('PORTIFÓLIO'!$S$4:$S$433,MATCH($C339,'PORTIFÓLIO'!$C$4:$C$433,0)),"")</f>
        <v/>
      </c>
      <c r="L339" s="248" t="str">
        <f t="array" ref="L339">IFERROR(J339*INDEX('PORTIFÓLIO'!$S$4:$S$433,MATCH($C339,'PORTIFÓLIO'!$C$4:$C$433,0)),"")</f>
        <v/>
      </c>
      <c r="M339" s="177"/>
      <c r="N339" s="177"/>
      <c r="O339" s="177"/>
      <c r="P339" s="177"/>
      <c r="Q339" s="177"/>
      <c r="R339" s="177"/>
      <c r="S339" s="177"/>
      <c r="T339" s="177"/>
      <c r="U339" s="177"/>
      <c r="V339" s="177"/>
      <c r="W339" s="177"/>
      <c r="X339" s="177"/>
    </row>
    <row r="340" ht="15.75" customHeight="1" outlineLevel="1">
      <c r="A340" s="190"/>
      <c r="B340" s="238"/>
      <c r="C340" s="190"/>
      <c r="D340" s="205" t="str">
        <f>IFERROR(VLOOKUP($C340,'PORTIFÓLIO'!C:V,2,0),"")</f>
        <v/>
      </c>
      <c r="E340" s="190" t="str">
        <f>IFERROR(VLOOKUP($C340,'PORTIFÓLIO'!C:V,3,0),"")</f>
        <v/>
      </c>
      <c r="F340" s="190" t="str">
        <f>IFERROR(VLOOKUP($C340,'PORTIFÓLIO'!C:V,4,0),"")</f>
        <v/>
      </c>
      <c r="G340" s="206" t="str">
        <f>IFERROR(VLOOKUP($C340,'PORTIFÓLIO'!C:V,5,0),"")</f>
        <v/>
      </c>
      <c r="H340" s="247" t="str">
        <f t="array" ref="H340">IFERROR(INDEX('PORTIFÓLIO'!$H$4:$H$433,MATCH($C340,'PORTIFÓLIO'!$C$4:$C$433,0)),"")</f>
        <v/>
      </c>
      <c r="I340" s="228"/>
      <c r="J340" s="209"/>
      <c r="K340" s="248" t="str">
        <f t="array" ref="K340">IFERROR(I340*INDEX('PORTIFÓLIO'!$S$4:$S$433,MATCH($C340,'PORTIFÓLIO'!$C$4:$C$433,0)),"")</f>
        <v/>
      </c>
      <c r="L340" s="248" t="str">
        <f t="array" ref="L340">IFERROR(J340*INDEX('PORTIFÓLIO'!$S$4:$S$433,MATCH($C340,'PORTIFÓLIO'!$C$4:$C$433,0)),"")</f>
        <v/>
      </c>
      <c r="M340" s="177"/>
      <c r="N340" s="177"/>
      <c r="O340" s="177"/>
      <c r="P340" s="177"/>
      <c r="Q340" s="177"/>
      <c r="R340" s="177"/>
      <c r="S340" s="177"/>
      <c r="T340" s="177"/>
      <c r="U340" s="177"/>
      <c r="V340" s="177"/>
      <c r="W340" s="177"/>
      <c r="X340" s="177"/>
    </row>
    <row r="341" ht="15.75" customHeight="1">
      <c r="A341" s="221" t="s">
        <v>1190</v>
      </c>
      <c r="B341" s="197"/>
      <c r="C341" s="196"/>
      <c r="D341" s="198"/>
      <c r="E341" s="196"/>
      <c r="F341" s="196"/>
      <c r="G341" s="199"/>
      <c r="H341" s="199"/>
      <c r="I341" s="201"/>
      <c r="J341" s="202"/>
      <c r="K341" s="203">
        <f t="shared" ref="K341:L341" si="38">SUBTOTAL(9,K342:K355)</f>
        <v>0</v>
      </c>
      <c r="L341" s="203">
        <f t="shared" si="38"/>
        <v>0</v>
      </c>
      <c r="M341" s="177"/>
      <c r="N341" s="177"/>
      <c r="O341" s="177"/>
      <c r="P341" s="177"/>
      <c r="Q341" s="177"/>
      <c r="R341" s="177"/>
      <c r="S341" s="177"/>
      <c r="T341" s="177"/>
      <c r="U341" s="177"/>
      <c r="V341" s="177"/>
      <c r="W341" s="177"/>
      <c r="X341" s="177"/>
    </row>
    <row r="342" ht="15.75" customHeight="1" outlineLevel="1">
      <c r="A342" s="191"/>
      <c r="B342" s="204"/>
      <c r="C342" s="191"/>
      <c r="D342" s="205" t="str">
        <f>IFERROR(VLOOKUP($C342,'PORTIFÓLIO'!C:V,2,0),"")</f>
        <v/>
      </c>
      <c r="E342" s="190" t="str">
        <f>IFERROR(VLOOKUP($C342,'PORTIFÓLIO'!C:V,3,0),"")</f>
        <v/>
      </c>
      <c r="F342" s="190" t="str">
        <f>IFERROR(VLOOKUP($C342,'PORTIFÓLIO'!C:V,4,0),"")</f>
        <v/>
      </c>
      <c r="G342" s="206" t="str">
        <f>IFERROR(VLOOKUP($C342,'PORTIFÓLIO'!C:V,5,0),"")</f>
        <v/>
      </c>
      <c r="H342" s="247" t="str">
        <f t="array" ref="H342">IFERROR(INDEX('PORTIFÓLIO'!$H$4:$H$433,MATCH($C342,'PORTIFÓLIO'!$C$4:$C$433,0)),"")</f>
        <v/>
      </c>
      <c r="I342" s="208"/>
      <c r="J342" s="209">
        <f t="shared" ref="J342:J356" si="39">I342*$B$2</f>
        <v>0</v>
      </c>
      <c r="K342" s="248" t="str">
        <f t="array" ref="K342">IFERROR(I342*INDEX('PORTIFÓLIO'!$S$4:$S$433,MATCH($C342,'PORTIFÓLIO'!$C$4:$C$433,0)),"")</f>
        <v/>
      </c>
      <c r="L342" s="248" t="str">
        <f t="array" ref="L342">IFERROR(J342*INDEX('PORTIFÓLIO'!$S$4:$S$433,MATCH($C342,'PORTIFÓLIO'!$C$4:$C$433,0)),"")</f>
        <v/>
      </c>
      <c r="M342" s="177"/>
      <c r="N342" s="177"/>
      <c r="O342" s="177"/>
      <c r="P342" s="177"/>
      <c r="Q342" s="177"/>
      <c r="R342" s="177"/>
      <c r="S342" s="177"/>
      <c r="T342" s="177"/>
      <c r="U342" s="177"/>
      <c r="V342" s="177"/>
      <c r="W342" s="177"/>
      <c r="X342" s="177"/>
    </row>
    <row r="343" ht="15.75" customHeight="1" outlineLevel="1">
      <c r="A343" s="190"/>
      <c r="B343" s="204"/>
      <c r="C343" s="191"/>
      <c r="D343" s="205" t="str">
        <f>IFERROR(VLOOKUP($C343,'PORTIFÓLIO'!C:V,2,0),"")</f>
        <v/>
      </c>
      <c r="E343" s="190" t="str">
        <f>IFERROR(VLOOKUP($C343,'PORTIFÓLIO'!C:V,3,0),"")</f>
        <v/>
      </c>
      <c r="F343" s="190" t="str">
        <f>IFERROR(VLOOKUP($C343,'PORTIFÓLIO'!C:V,4,0),"")</f>
        <v/>
      </c>
      <c r="G343" s="206" t="str">
        <f>IFERROR(VLOOKUP($C343,'PORTIFÓLIO'!C:V,5,0),"")</f>
        <v/>
      </c>
      <c r="H343" s="247" t="str">
        <f t="array" ref="H343">IFERROR(INDEX('PORTIFÓLIO'!$H$4:$H$433,MATCH($C343,'PORTIFÓLIO'!$C$4:$C$433,0)),"")</f>
        <v/>
      </c>
      <c r="I343" s="228"/>
      <c r="J343" s="209">
        <f t="shared" si="39"/>
        <v>0</v>
      </c>
      <c r="K343" s="248" t="str">
        <f t="array" ref="K343">IFERROR(I343*INDEX('PORTIFÓLIO'!$S$4:$S$433,MATCH($C343,'PORTIFÓLIO'!$C$4:$C$433,0)),"")</f>
        <v/>
      </c>
      <c r="L343" s="248" t="str">
        <f t="array" ref="L343">IFERROR(J343*INDEX('PORTIFÓLIO'!$S$4:$S$433,MATCH($C343,'PORTIFÓLIO'!$C$4:$C$433,0)),"")</f>
        <v/>
      </c>
      <c r="M343" s="177"/>
      <c r="N343" s="177"/>
      <c r="O343" s="177"/>
      <c r="P343" s="177"/>
      <c r="Q343" s="177"/>
      <c r="R343" s="177"/>
      <c r="S343" s="177"/>
      <c r="T343" s="177"/>
      <c r="U343" s="177"/>
      <c r="V343" s="177"/>
      <c r="W343" s="177"/>
      <c r="X343" s="177"/>
    </row>
    <row r="344" ht="15.75" customHeight="1" outlineLevel="1">
      <c r="A344" s="190"/>
      <c r="B344" s="204"/>
      <c r="C344" s="191"/>
      <c r="D344" s="205" t="str">
        <f>IFERROR(VLOOKUP($C344,'PORTIFÓLIO'!C:V,2,0),"")</f>
        <v/>
      </c>
      <c r="E344" s="190" t="str">
        <f>IFERROR(VLOOKUP($C344,'PORTIFÓLIO'!C:V,3,0),"")</f>
        <v/>
      </c>
      <c r="F344" s="190" t="str">
        <f>IFERROR(VLOOKUP($C344,'PORTIFÓLIO'!C:V,4,0),"")</f>
        <v/>
      </c>
      <c r="G344" s="206" t="str">
        <f>IFERROR(VLOOKUP($C344,'PORTIFÓLIO'!C:V,5,0),"")</f>
        <v/>
      </c>
      <c r="H344" s="247" t="str">
        <f t="array" ref="H344">IFERROR(INDEX('PORTIFÓLIO'!$H$4:$H$433,MATCH($C344,'PORTIFÓLIO'!$C$4:$C$433,0)),"")</f>
        <v/>
      </c>
      <c r="I344" s="228"/>
      <c r="J344" s="209">
        <f t="shared" si="39"/>
        <v>0</v>
      </c>
      <c r="K344" s="248" t="str">
        <f t="array" ref="K344">IFERROR(I344*INDEX('PORTIFÓLIO'!$S$4:$S$433,MATCH($C344,'PORTIFÓLIO'!$C$4:$C$433,0)),"")</f>
        <v/>
      </c>
      <c r="L344" s="248" t="str">
        <f t="array" ref="L344">IFERROR(J344*INDEX('PORTIFÓLIO'!$S$4:$S$433,MATCH($C344,'PORTIFÓLIO'!$C$4:$C$433,0)),"")</f>
        <v/>
      </c>
      <c r="M344" s="177"/>
      <c r="N344" s="177"/>
      <c r="O344" s="177"/>
      <c r="P344" s="177"/>
      <c r="Q344" s="177"/>
      <c r="R344" s="177"/>
      <c r="S344" s="177"/>
      <c r="T344" s="177"/>
      <c r="U344" s="177"/>
      <c r="V344" s="177"/>
      <c r="W344" s="177"/>
      <c r="X344" s="177"/>
    </row>
    <row r="345" ht="15.75" customHeight="1" outlineLevel="1">
      <c r="A345" s="190"/>
      <c r="B345" s="204"/>
      <c r="C345" s="191"/>
      <c r="D345" s="205" t="str">
        <f>IFERROR(VLOOKUP($C345,'PORTIFÓLIO'!C:V,2,0),"")</f>
        <v/>
      </c>
      <c r="E345" s="190" t="str">
        <f>IFERROR(VLOOKUP($C345,'PORTIFÓLIO'!C:V,3,0),"")</f>
        <v/>
      </c>
      <c r="F345" s="190" t="str">
        <f>IFERROR(VLOOKUP($C345,'PORTIFÓLIO'!C:V,4,0),"")</f>
        <v/>
      </c>
      <c r="G345" s="206" t="str">
        <f>IFERROR(VLOOKUP($C345,'PORTIFÓLIO'!C:V,5,0),"")</f>
        <v/>
      </c>
      <c r="H345" s="247" t="str">
        <f t="array" ref="H345">IFERROR(INDEX('PORTIFÓLIO'!$H$4:$H$433,MATCH($C345,'PORTIFÓLIO'!$C$4:$C$433,0)),"")</f>
        <v/>
      </c>
      <c r="I345" s="228"/>
      <c r="J345" s="209">
        <f t="shared" si="39"/>
        <v>0</v>
      </c>
      <c r="K345" s="248" t="str">
        <f t="array" ref="K345">IFERROR(I345*INDEX('PORTIFÓLIO'!$S$4:$S$433,MATCH($C345,'PORTIFÓLIO'!$C$4:$C$433,0)),"")</f>
        <v/>
      </c>
      <c r="L345" s="248" t="str">
        <f t="array" ref="L345">IFERROR(J345*INDEX('PORTIFÓLIO'!$S$4:$S$433,MATCH($C345,'PORTIFÓLIO'!$C$4:$C$433,0)),"")</f>
        <v/>
      </c>
      <c r="M345" s="177"/>
      <c r="N345" s="177"/>
      <c r="O345" s="177"/>
      <c r="P345" s="177"/>
      <c r="Q345" s="177"/>
      <c r="R345" s="177"/>
      <c r="S345" s="177"/>
      <c r="T345" s="177"/>
      <c r="U345" s="177"/>
      <c r="V345" s="177"/>
      <c r="W345" s="177"/>
      <c r="X345" s="177"/>
    </row>
    <row r="346" ht="15.75" customHeight="1" outlineLevel="1">
      <c r="A346" s="190"/>
      <c r="B346" s="204"/>
      <c r="C346" s="191"/>
      <c r="D346" s="205" t="str">
        <f>IFERROR(VLOOKUP($C346,'PORTIFÓLIO'!C:V,2,0),"")</f>
        <v/>
      </c>
      <c r="E346" s="190" t="str">
        <f>IFERROR(VLOOKUP($C346,'PORTIFÓLIO'!C:V,3,0),"")</f>
        <v/>
      </c>
      <c r="F346" s="190" t="str">
        <f>IFERROR(VLOOKUP($C346,'PORTIFÓLIO'!C:V,4,0),"")</f>
        <v/>
      </c>
      <c r="G346" s="206" t="str">
        <f>IFERROR(VLOOKUP($C346,'PORTIFÓLIO'!C:V,5,0),"")</f>
        <v/>
      </c>
      <c r="H346" s="247" t="str">
        <f t="array" ref="H346">IFERROR(INDEX('PORTIFÓLIO'!$H$4:$H$433,MATCH($C346,'PORTIFÓLIO'!$C$4:$C$433,0)),"")</f>
        <v/>
      </c>
      <c r="I346" s="228"/>
      <c r="J346" s="209">
        <f t="shared" si="39"/>
        <v>0</v>
      </c>
      <c r="K346" s="248" t="str">
        <f t="array" ref="K346">IFERROR(I346*INDEX('PORTIFÓLIO'!$S$4:$S$433,MATCH($C346,'PORTIFÓLIO'!$C$4:$C$433,0)),"")</f>
        <v/>
      </c>
      <c r="L346" s="248" t="str">
        <f t="array" ref="L346">IFERROR(J346*INDEX('PORTIFÓLIO'!$S$4:$S$433,MATCH($C346,'PORTIFÓLIO'!$C$4:$C$433,0)),"")</f>
        <v/>
      </c>
      <c r="M346" s="177"/>
      <c r="N346" s="177"/>
      <c r="O346" s="177"/>
      <c r="P346" s="177"/>
      <c r="Q346" s="177"/>
      <c r="R346" s="177"/>
      <c r="S346" s="177"/>
      <c r="T346" s="177"/>
      <c r="U346" s="177"/>
      <c r="V346" s="177"/>
      <c r="W346" s="177"/>
      <c r="X346" s="177"/>
    </row>
    <row r="347" ht="15.75" customHeight="1" outlineLevel="1">
      <c r="A347" s="190"/>
      <c r="B347" s="204"/>
      <c r="C347" s="191"/>
      <c r="D347" s="205" t="str">
        <f>IFERROR(VLOOKUP($C347,'PORTIFÓLIO'!C:V,2,0),"")</f>
        <v/>
      </c>
      <c r="E347" s="190" t="str">
        <f>IFERROR(VLOOKUP($C347,'PORTIFÓLIO'!C:V,3,0),"")</f>
        <v/>
      </c>
      <c r="F347" s="190" t="str">
        <f>IFERROR(VLOOKUP($C347,'PORTIFÓLIO'!C:V,4,0),"")</f>
        <v/>
      </c>
      <c r="G347" s="206" t="str">
        <f>IFERROR(VLOOKUP($C347,'PORTIFÓLIO'!C:V,5,0),"")</f>
        <v/>
      </c>
      <c r="H347" s="247" t="str">
        <f t="array" ref="H347">IFERROR(INDEX('PORTIFÓLIO'!$H$4:$H$433,MATCH($C347,'PORTIFÓLIO'!$C$4:$C$433,0)),"")</f>
        <v/>
      </c>
      <c r="I347" s="228"/>
      <c r="J347" s="209">
        <f t="shared" si="39"/>
        <v>0</v>
      </c>
      <c r="K347" s="248" t="str">
        <f t="array" ref="K347">IFERROR(I347*INDEX('PORTIFÓLIO'!$S$4:$S$433,MATCH($C347,'PORTIFÓLIO'!$C$4:$C$433,0)),"")</f>
        <v/>
      </c>
      <c r="L347" s="248" t="str">
        <f t="array" ref="L347">IFERROR(J347*INDEX('PORTIFÓLIO'!$S$4:$S$433,MATCH($C347,'PORTIFÓLIO'!$C$4:$C$433,0)),"")</f>
        <v/>
      </c>
      <c r="M347" s="177"/>
      <c r="N347" s="177"/>
      <c r="O347" s="177"/>
      <c r="P347" s="177"/>
      <c r="Q347" s="177"/>
      <c r="R347" s="177"/>
      <c r="S347" s="177"/>
      <c r="T347" s="177"/>
      <c r="U347" s="177"/>
      <c r="V347" s="177"/>
      <c r="W347" s="177"/>
      <c r="X347" s="177"/>
    </row>
    <row r="348" ht="15.75" customHeight="1" outlineLevel="1">
      <c r="A348" s="190"/>
      <c r="B348" s="204"/>
      <c r="C348" s="191"/>
      <c r="D348" s="205" t="str">
        <f>IFERROR(VLOOKUP($C348,'PORTIFÓLIO'!C:V,2,0),"")</f>
        <v/>
      </c>
      <c r="E348" s="190" t="str">
        <f>IFERROR(VLOOKUP($C348,'PORTIFÓLIO'!C:V,3,0),"")</f>
        <v/>
      </c>
      <c r="F348" s="190" t="str">
        <f>IFERROR(VLOOKUP($C348,'PORTIFÓLIO'!C:V,4,0),"")</f>
        <v/>
      </c>
      <c r="G348" s="206" t="str">
        <f>IFERROR(VLOOKUP($C348,'PORTIFÓLIO'!C:V,5,0),"")</f>
        <v/>
      </c>
      <c r="H348" s="247" t="str">
        <f t="array" ref="H348">IFERROR(INDEX('PORTIFÓLIO'!$H$4:$H$433,MATCH($C348,'PORTIFÓLIO'!$C$4:$C$433,0)),"")</f>
        <v/>
      </c>
      <c r="I348" s="228"/>
      <c r="J348" s="209">
        <f t="shared" si="39"/>
        <v>0</v>
      </c>
      <c r="K348" s="248" t="str">
        <f t="array" ref="K348">IFERROR(I348*INDEX('PORTIFÓLIO'!$S$4:$S$433,MATCH($C348,'PORTIFÓLIO'!$C$4:$C$433,0)),"")</f>
        <v/>
      </c>
      <c r="L348" s="248" t="str">
        <f t="array" ref="L348">IFERROR(J348*INDEX('PORTIFÓLIO'!$S$4:$S$433,MATCH($C348,'PORTIFÓLIO'!$C$4:$C$433,0)),"")</f>
        <v/>
      </c>
      <c r="M348" s="177"/>
      <c r="N348" s="177"/>
      <c r="O348" s="177"/>
      <c r="P348" s="177"/>
      <c r="Q348" s="177"/>
      <c r="R348" s="177"/>
      <c r="S348" s="177"/>
      <c r="T348" s="177"/>
      <c r="U348" s="177"/>
      <c r="V348" s="177"/>
      <c r="W348" s="177"/>
      <c r="X348" s="177"/>
    </row>
    <row r="349" ht="15.75" customHeight="1" outlineLevel="1">
      <c r="A349" s="190"/>
      <c r="B349" s="204"/>
      <c r="C349" s="191"/>
      <c r="D349" s="205" t="str">
        <f>IFERROR(VLOOKUP($C349,'PORTIFÓLIO'!C:V,2,0),"")</f>
        <v/>
      </c>
      <c r="E349" s="190" t="str">
        <f>IFERROR(VLOOKUP($C349,'PORTIFÓLIO'!C:V,3,0),"")</f>
        <v/>
      </c>
      <c r="F349" s="190" t="str">
        <f>IFERROR(VLOOKUP($C349,'PORTIFÓLIO'!C:V,4,0),"")</f>
        <v/>
      </c>
      <c r="G349" s="206" t="str">
        <f>IFERROR(VLOOKUP($C349,'PORTIFÓLIO'!C:V,5,0),"")</f>
        <v/>
      </c>
      <c r="H349" s="247" t="str">
        <f t="array" ref="H349">IFERROR(INDEX('PORTIFÓLIO'!$H$4:$H$433,MATCH($C349,'PORTIFÓLIO'!$C$4:$C$433,0)),"")</f>
        <v/>
      </c>
      <c r="I349" s="228"/>
      <c r="J349" s="209">
        <f t="shared" si="39"/>
        <v>0</v>
      </c>
      <c r="K349" s="248" t="str">
        <f t="array" ref="K349">IFERROR(I349*INDEX('PORTIFÓLIO'!$S$4:$S$433,MATCH($C349,'PORTIFÓLIO'!$C$4:$C$433,0)),"")</f>
        <v/>
      </c>
      <c r="L349" s="248" t="str">
        <f t="array" ref="L349">IFERROR(J349*INDEX('PORTIFÓLIO'!$S$4:$S$433,MATCH($C349,'PORTIFÓLIO'!$C$4:$C$433,0)),"")</f>
        <v/>
      </c>
      <c r="M349" s="177"/>
      <c r="N349" s="177"/>
      <c r="O349" s="177"/>
      <c r="P349" s="177"/>
      <c r="Q349" s="177"/>
      <c r="R349" s="177"/>
      <c r="S349" s="177"/>
      <c r="T349" s="177"/>
      <c r="U349" s="177"/>
      <c r="V349" s="177"/>
      <c r="W349" s="177"/>
      <c r="X349" s="177"/>
    </row>
    <row r="350" ht="15.75" customHeight="1" outlineLevel="1">
      <c r="A350" s="190"/>
      <c r="B350" s="204"/>
      <c r="C350" s="191"/>
      <c r="D350" s="205" t="str">
        <f>IFERROR(VLOOKUP($C350,'PORTIFÓLIO'!C:V,2,0),"")</f>
        <v/>
      </c>
      <c r="E350" s="190" t="str">
        <f>IFERROR(VLOOKUP($C350,'PORTIFÓLIO'!C:V,3,0),"")</f>
        <v/>
      </c>
      <c r="F350" s="190" t="str">
        <f>IFERROR(VLOOKUP($C350,'PORTIFÓLIO'!C:V,4,0),"")</f>
        <v/>
      </c>
      <c r="G350" s="206" t="str">
        <f>IFERROR(VLOOKUP($C350,'PORTIFÓLIO'!C:V,5,0),"")</f>
        <v/>
      </c>
      <c r="H350" s="247" t="str">
        <f t="array" ref="H350">IFERROR(INDEX('PORTIFÓLIO'!$H$4:$H$433,MATCH($C350,'PORTIFÓLIO'!$C$4:$C$433,0)),"")</f>
        <v/>
      </c>
      <c r="I350" s="208"/>
      <c r="J350" s="209">
        <f t="shared" si="39"/>
        <v>0</v>
      </c>
      <c r="K350" s="248" t="str">
        <f t="array" ref="K350">IFERROR(I350*INDEX('PORTIFÓLIO'!$S$4:$S$433,MATCH($C350,'PORTIFÓLIO'!$C$4:$C$433,0)),"")</f>
        <v/>
      </c>
      <c r="L350" s="248" t="str">
        <f t="array" ref="L350">IFERROR(J350*INDEX('PORTIFÓLIO'!$S$4:$S$433,MATCH($C350,'PORTIFÓLIO'!$C$4:$C$433,0)),"")</f>
        <v/>
      </c>
      <c r="M350" s="177"/>
      <c r="N350" s="177"/>
      <c r="O350" s="177"/>
      <c r="P350" s="177"/>
      <c r="Q350" s="177"/>
      <c r="R350" s="177"/>
      <c r="S350" s="177"/>
      <c r="T350" s="177"/>
      <c r="U350" s="177"/>
      <c r="V350" s="177"/>
      <c r="W350" s="177"/>
      <c r="X350" s="177"/>
    </row>
    <row r="351" ht="15.75" customHeight="1" outlineLevel="1">
      <c r="A351" s="190"/>
      <c r="B351" s="204"/>
      <c r="C351" s="191"/>
      <c r="D351" s="205" t="str">
        <f>IFERROR(VLOOKUP($C351,'PORTIFÓLIO'!C:V,2,0),"")</f>
        <v/>
      </c>
      <c r="E351" s="190" t="str">
        <f>IFERROR(VLOOKUP($C351,'PORTIFÓLIO'!C:V,3,0),"")</f>
        <v/>
      </c>
      <c r="F351" s="190" t="str">
        <f>IFERROR(VLOOKUP($C351,'PORTIFÓLIO'!C:V,4,0),"")</f>
        <v/>
      </c>
      <c r="G351" s="206" t="str">
        <f>IFERROR(VLOOKUP($C351,'PORTIFÓLIO'!C:V,5,0),"")</f>
        <v/>
      </c>
      <c r="H351" s="247" t="str">
        <f t="array" ref="H351">IFERROR(INDEX('PORTIFÓLIO'!$H$4:$H$433,MATCH($C351,'PORTIFÓLIO'!$C$4:$C$433,0)),"")</f>
        <v/>
      </c>
      <c r="I351" s="228"/>
      <c r="J351" s="209">
        <f t="shared" si="39"/>
        <v>0</v>
      </c>
      <c r="K351" s="248" t="str">
        <f t="array" ref="K351">IFERROR(I351*INDEX('PORTIFÓLIO'!$S$4:$S$433,MATCH($C351,'PORTIFÓLIO'!$C$4:$C$433,0)),"")</f>
        <v/>
      </c>
      <c r="L351" s="248" t="str">
        <f t="array" ref="L351">IFERROR(J351*INDEX('PORTIFÓLIO'!$S$4:$S$433,MATCH($C351,'PORTIFÓLIO'!$C$4:$C$433,0)),"")</f>
        <v/>
      </c>
      <c r="M351" s="177"/>
      <c r="N351" s="177"/>
      <c r="O351" s="177"/>
      <c r="P351" s="177"/>
      <c r="Q351" s="177"/>
      <c r="R351" s="177"/>
      <c r="S351" s="177"/>
      <c r="T351" s="177"/>
      <c r="U351" s="177"/>
      <c r="V351" s="177"/>
      <c r="W351" s="177"/>
      <c r="X351" s="177"/>
    </row>
    <row r="352" ht="15.75" customHeight="1" outlineLevel="1">
      <c r="A352" s="190"/>
      <c r="B352" s="204"/>
      <c r="C352" s="191"/>
      <c r="D352" s="205" t="str">
        <f>IFERROR(VLOOKUP($C352,'PORTIFÓLIO'!C:V,2,0),"")</f>
        <v/>
      </c>
      <c r="E352" s="190" t="str">
        <f>IFERROR(VLOOKUP($C352,'PORTIFÓLIO'!C:V,3,0),"")</f>
        <v/>
      </c>
      <c r="F352" s="190" t="str">
        <f>IFERROR(VLOOKUP($C352,'PORTIFÓLIO'!C:V,4,0),"")</f>
        <v/>
      </c>
      <c r="G352" s="206" t="str">
        <f>IFERROR(VLOOKUP($C352,'PORTIFÓLIO'!C:V,5,0),"")</f>
        <v/>
      </c>
      <c r="H352" s="247" t="str">
        <f t="array" ref="H352">IFERROR(INDEX('PORTIFÓLIO'!$H$4:$H$433,MATCH($C352,'PORTIFÓLIO'!$C$4:$C$433,0)),"")</f>
        <v/>
      </c>
      <c r="I352" s="228"/>
      <c r="J352" s="209">
        <f t="shared" si="39"/>
        <v>0</v>
      </c>
      <c r="K352" s="248" t="str">
        <f t="array" ref="K352">IFERROR(I352*INDEX('PORTIFÓLIO'!$S$4:$S$433,MATCH($C352,'PORTIFÓLIO'!$C$4:$C$433,0)),"")</f>
        <v/>
      </c>
      <c r="L352" s="248" t="str">
        <f t="array" ref="L352">IFERROR(J352*INDEX('PORTIFÓLIO'!$S$4:$S$433,MATCH($C352,'PORTIFÓLIO'!$C$4:$C$433,0)),"")</f>
        <v/>
      </c>
      <c r="M352" s="177"/>
      <c r="N352" s="177"/>
      <c r="O352" s="177"/>
      <c r="P352" s="177"/>
      <c r="Q352" s="177"/>
      <c r="R352" s="177"/>
      <c r="S352" s="177"/>
      <c r="T352" s="177"/>
      <c r="U352" s="177"/>
      <c r="V352" s="177"/>
      <c r="W352" s="177"/>
      <c r="X352" s="177"/>
    </row>
    <row r="353" ht="15.75" customHeight="1" outlineLevel="1">
      <c r="A353" s="190"/>
      <c r="B353" s="204"/>
      <c r="C353" s="191"/>
      <c r="D353" s="205" t="str">
        <f>IFERROR(VLOOKUP($C353,'PORTIFÓLIO'!C:V,2,0),"")</f>
        <v/>
      </c>
      <c r="E353" s="190" t="str">
        <f>IFERROR(VLOOKUP($C353,'PORTIFÓLIO'!C:V,3,0),"")</f>
        <v/>
      </c>
      <c r="F353" s="190" t="str">
        <f>IFERROR(VLOOKUP($C353,'PORTIFÓLIO'!C:V,4,0),"")</f>
        <v/>
      </c>
      <c r="G353" s="206" t="str">
        <f>IFERROR(VLOOKUP($C353,'PORTIFÓLIO'!C:V,5,0),"")</f>
        <v/>
      </c>
      <c r="H353" s="247" t="str">
        <f t="array" ref="H353">IFERROR(INDEX('PORTIFÓLIO'!$H$4:$H$433,MATCH($C353,'PORTIFÓLIO'!$C$4:$C$433,0)),"")</f>
        <v/>
      </c>
      <c r="I353" s="228"/>
      <c r="J353" s="209">
        <f t="shared" si="39"/>
        <v>0</v>
      </c>
      <c r="K353" s="248" t="str">
        <f t="array" ref="K353">IFERROR(I353*INDEX('PORTIFÓLIO'!$S$4:$S$433,MATCH($C353,'PORTIFÓLIO'!$C$4:$C$433,0)),"")</f>
        <v/>
      </c>
      <c r="L353" s="248" t="str">
        <f t="array" ref="L353">IFERROR(J353*INDEX('PORTIFÓLIO'!$S$4:$S$433,MATCH($C353,'PORTIFÓLIO'!$C$4:$C$433,0)),"")</f>
        <v/>
      </c>
      <c r="M353" s="177"/>
      <c r="N353" s="177"/>
      <c r="O353" s="177"/>
      <c r="P353" s="177"/>
      <c r="Q353" s="177"/>
      <c r="R353" s="177"/>
      <c r="S353" s="177"/>
      <c r="T353" s="177"/>
      <c r="U353" s="177"/>
      <c r="V353" s="177"/>
      <c r="W353" s="177"/>
      <c r="X353" s="177"/>
    </row>
    <row r="354" ht="15.75" customHeight="1" outlineLevel="1">
      <c r="A354" s="190"/>
      <c r="B354" s="204"/>
      <c r="C354" s="191"/>
      <c r="D354" s="205" t="str">
        <f>IFERROR(VLOOKUP($C354,'PORTIFÓLIO'!C:V,2,0),"")</f>
        <v/>
      </c>
      <c r="E354" s="190" t="str">
        <f>IFERROR(VLOOKUP($C354,'PORTIFÓLIO'!C:V,3,0),"")</f>
        <v/>
      </c>
      <c r="F354" s="190" t="str">
        <f>IFERROR(VLOOKUP($C354,'PORTIFÓLIO'!C:V,4,0),"")</f>
        <v/>
      </c>
      <c r="G354" s="206" t="str">
        <f>IFERROR(VLOOKUP($C354,'PORTIFÓLIO'!C:V,5,0),"")</f>
        <v/>
      </c>
      <c r="H354" s="247" t="str">
        <f t="array" ref="H354">IFERROR(INDEX('PORTIFÓLIO'!$H$4:$H$433,MATCH($C354,'PORTIFÓLIO'!$C$4:$C$433,0)),"")</f>
        <v/>
      </c>
      <c r="I354" s="228"/>
      <c r="J354" s="209">
        <f t="shared" si="39"/>
        <v>0</v>
      </c>
      <c r="K354" s="248" t="str">
        <f t="array" ref="K354">IFERROR(I354*INDEX('PORTIFÓLIO'!$S$4:$S$433,MATCH($C354,'PORTIFÓLIO'!$C$4:$C$433,0)),"")</f>
        <v/>
      </c>
      <c r="L354" s="248" t="str">
        <f t="array" ref="L354">IFERROR(J354*INDEX('PORTIFÓLIO'!$S$4:$S$433,MATCH($C354,'PORTIFÓLIO'!$C$4:$C$433,0)),"")</f>
        <v/>
      </c>
      <c r="M354" s="177"/>
      <c r="N354" s="177"/>
      <c r="O354" s="177"/>
      <c r="P354" s="177"/>
      <c r="Q354" s="177"/>
      <c r="R354" s="177"/>
      <c r="S354" s="177"/>
      <c r="T354" s="177"/>
      <c r="U354" s="177"/>
      <c r="V354" s="177"/>
      <c r="W354" s="177"/>
      <c r="X354" s="177"/>
    </row>
    <row r="355" ht="15.75" customHeight="1" outlineLevel="1">
      <c r="A355" s="190"/>
      <c r="B355" s="204"/>
      <c r="C355" s="191"/>
      <c r="D355" s="205" t="str">
        <f>IFERROR(VLOOKUP($C355,'PORTIFÓLIO'!C:V,2,0),"")</f>
        <v/>
      </c>
      <c r="E355" s="190" t="str">
        <f>IFERROR(VLOOKUP($C355,'PORTIFÓLIO'!C:V,3,0),"")</f>
        <v/>
      </c>
      <c r="F355" s="190" t="str">
        <f>IFERROR(VLOOKUP($C355,'PORTIFÓLIO'!C:V,4,0),"")</f>
        <v/>
      </c>
      <c r="G355" s="206" t="str">
        <f>IFERROR(VLOOKUP($C355,'PORTIFÓLIO'!C:V,5,0),"")</f>
        <v/>
      </c>
      <c r="H355" s="247" t="str">
        <f t="array" ref="H355">IFERROR(INDEX('PORTIFÓLIO'!$H$4:$H$433,MATCH($C355,'PORTIFÓLIO'!$C$4:$C$433,0)),"")</f>
        <v/>
      </c>
      <c r="I355" s="228"/>
      <c r="J355" s="209">
        <f t="shared" si="39"/>
        <v>0</v>
      </c>
      <c r="K355" s="248" t="str">
        <f t="array" ref="K355">IFERROR(I355*INDEX('PORTIFÓLIO'!$S$4:$S$433,MATCH($C355,'PORTIFÓLIO'!$C$4:$C$433,0)),"")</f>
        <v/>
      </c>
      <c r="L355" s="248" t="str">
        <f t="array" ref="L355">IFERROR(J355*INDEX('PORTIFÓLIO'!$S$4:$S$433,MATCH($C355,'PORTIFÓLIO'!$C$4:$C$433,0)),"")</f>
        <v/>
      </c>
      <c r="M355" s="177"/>
      <c r="N355" s="177"/>
      <c r="O355" s="177"/>
      <c r="P355" s="177"/>
      <c r="Q355" s="177"/>
      <c r="R355" s="177"/>
      <c r="S355" s="177"/>
      <c r="T355" s="177"/>
      <c r="U355" s="177"/>
      <c r="V355" s="177"/>
      <c r="W355" s="177"/>
      <c r="X355" s="177"/>
    </row>
    <row r="356" ht="15.75" customHeight="1" outlineLevel="1">
      <c r="A356" s="190"/>
      <c r="B356" s="204"/>
      <c r="C356" s="191"/>
      <c r="D356" s="205" t="str">
        <f>IFERROR(VLOOKUP($C356,'PORTIFÓLIO'!C:V,2,0),"")</f>
        <v/>
      </c>
      <c r="E356" s="190" t="str">
        <f>IFERROR(VLOOKUP($C356,'PORTIFÓLIO'!C:V,3,0),"")</f>
        <v/>
      </c>
      <c r="F356" s="190" t="str">
        <f>IFERROR(VLOOKUP($C356,'PORTIFÓLIO'!C:V,4,0),"")</f>
        <v/>
      </c>
      <c r="G356" s="206" t="str">
        <f>IFERROR(VLOOKUP($C356,'PORTIFÓLIO'!C:V,5,0),"")</f>
        <v/>
      </c>
      <c r="H356" s="247" t="str">
        <f t="array" ref="H356">IFERROR(INDEX('PORTIFÓLIO'!$H$4:$H$433,MATCH($C356,'PORTIFÓLIO'!$C$4:$C$433,0)),"")</f>
        <v/>
      </c>
      <c r="I356" s="228"/>
      <c r="J356" s="209">
        <f t="shared" si="39"/>
        <v>0</v>
      </c>
      <c r="K356" s="248" t="str">
        <f t="array" ref="K356">IFERROR(I356*INDEX('PORTIFÓLIO'!$S$4:$S$433,MATCH($C356,'PORTIFÓLIO'!$C$4:$C$433,0)),"")</f>
        <v/>
      </c>
      <c r="L356" s="248" t="str">
        <f t="array" ref="L356">IFERROR(J356*INDEX('PORTIFÓLIO'!$S$4:$S$433,MATCH($C356,'PORTIFÓLIO'!$C$4:$C$433,0)),"")</f>
        <v/>
      </c>
      <c r="M356" s="177"/>
      <c r="N356" s="177"/>
      <c r="O356" s="177"/>
      <c r="P356" s="177"/>
      <c r="Q356" s="177"/>
      <c r="R356" s="177"/>
      <c r="S356" s="177"/>
      <c r="T356" s="177"/>
      <c r="U356" s="177"/>
      <c r="V356" s="177"/>
      <c r="W356" s="177"/>
      <c r="X356" s="177"/>
    </row>
    <row r="357" ht="15.75" customHeight="1" outlineLevel="1">
      <c r="A357" s="190"/>
      <c r="B357" s="238"/>
      <c r="C357" s="190"/>
      <c r="D357" s="205" t="str">
        <f>IFERROR(VLOOKUP($C357,'PORTIFÓLIO'!C:V,2,0),"")</f>
        <v/>
      </c>
      <c r="E357" s="190" t="str">
        <f>IFERROR(VLOOKUP($C357,'PORTIFÓLIO'!C:V,3,0),"")</f>
        <v/>
      </c>
      <c r="F357" s="190" t="str">
        <f>IFERROR(VLOOKUP($C357,'PORTIFÓLIO'!C:V,4,0),"")</f>
        <v/>
      </c>
      <c r="G357" s="206" t="str">
        <f>IFERROR(VLOOKUP($C357,'PORTIFÓLIO'!C:V,5,0),"")</f>
        <v/>
      </c>
      <c r="H357" s="247" t="str">
        <f t="array" ref="H357">IFERROR(INDEX('PORTIFÓLIO'!$H$4:$H$433,MATCH($C357,'PORTIFÓLIO'!$C$4:$C$433,0)),"")</f>
        <v/>
      </c>
      <c r="I357" s="228"/>
      <c r="J357" s="209"/>
      <c r="K357" s="248" t="str">
        <f t="array" ref="K357">IFERROR(I357*INDEX('PORTIFÓLIO'!$S$4:$S$433,MATCH($C357,'PORTIFÓLIO'!$C$4:$C$433,0)),"")</f>
        <v/>
      </c>
      <c r="L357" s="248" t="str">
        <f t="array" ref="L357">IFERROR(J357*INDEX('PORTIFÓLIO'!$S$4:$S$433,MATCH($C357,'PORTIFÓLIO'!$C$4:$C$433,0)),"")</f>
        <v/>
      </c>
      <c r="M357" s="177"/>
      <c r="N357" s="177"/>
      <c r="O357" s="177"/>
      <c r="P357" s="177"/>
      <c r="Q357" s="177"/>
      <c r="R357" s="177"/>
      <c r="S357" s="177"/>
      <c r="T357" s="177"/>
      <c r="U357" s="177"/>
      <c r="V357" s="177"/>
      <c r="W357" s="177"/>
      <c r="X357" s="177"/>
    </row>
    <row r="358" ht="15.75" customHeight="1">
      <c r="A358" s="221" t="s">
        <v>1191</v>
      </c>
      <c r="B358" s="197"/>
      <c r="C358" s="196"/>
      <c r="D358" s="198"/>
      <c r="E358" s="196"/>
      <c r="F358" s="196"/>
      <c r="G358" s="199"/>
      <c r="H358" s="199"/>
      <c r="I358" s="201"/>
      <c r="J358" s="202"/>
      <c r="K358" s="203">
        <f t="shared" ref="K358:L358" si="40">SUBTOTAL(9,K359:K372)</f>
        <v>0</v>
      </c>
      <c r="L358" s="203">
        <f t="shared" si="40"/>
        <v>0</v>
      </c>
      <c r="M358" s="177"/>
      <c r="N358" s="177"/>
      <c r="O358" s="177"/>
      <c r="P358" s="177"/>
      <c r="Q358" s="177"/>
      <c r="R358" s="177"/>
      <c r="S358" s="177"/>
      <c r="T358" s="177"/>
      <c r="U358" s="177"/>
      <c r="V358" s="177"/>
      <c r="W358" s="177"/>
      <c r="X358" s="177"/>
    </row>
    <row r="359" ht="15.75" customHeight="1" outlineLevel="1">
      <c r="A359" s="191"/>
      <c r="B359" s="204"/>
      <c r="C359" s="191"/>
      <c r="D359" s="205" t="str">
        <f>IFERROR(VLOOKUP($C359,'PORTIFÓLIO'!C:V,2,0),"")</f>
        <v/>
      </c>
      <c r="E359" s="190" t="str">
        <f>IFERROR(VLOOKUP($C359,'PORTIFÓLIO'!C:V,3,0),"")</f>
        <v/>
      </c>
      <c r="F359" s="190" t="str">
        <f>IFERROR(VLOOKUP($C359,'PORTIFÓLIO'!C:V,4,0),"")</f>
        <v/>
      </c>
      <c r="G359" s="206" t="str">
        <f>IFERROR(VLOOKUP($C359,'PORTIFÓLIO'!C:V,5,0),"")</f>
        <v/>
      </c>
      <c r="H359" s="247" t="str">
        <f t="array" ref="H359">IFERROR(INDEX('PORTIFÓLIO'!$H$4:$H$433,MATCH($C359,'PORTIFÓLIO'!$C$4:$C$433,0)),"")</f>
        <v/>
      </c>
      <c r="I359" s="208"/>
      <c r="J359" s="209">
        <f t="shared" ref="J359:J373" si="41">I359*$B$2</f>
        <v>0</v>
      </c>
      <c r="K359" s="248" t="str">
        <f t="array" ref="K359">IFERROR(I359*INDEX('PORTIFÓLIO'!$S$4:$S$433,MATCH($C359,'PORTIFÓLIO'!$C$4:$C$433,0)),"")</f>
        <v/>
      </c>
      <c r="L359" s="248" t="str">
        <f t="array" ref="L359">IFERROR(J359*INDEX('PORTIFÓLIO'!$S$4:$S$433,MATCH($C359,'PORTIFÓLIO'!$C$4:$C$433,0)),"")</f>
        <v/>
      </c>
      <c r="M359" s="177"/>
      <c r="N359" s="177"/>
      <c r="O359" s="177"/>
      <c r="P359" s="177"/>
      <c r="Q359" s="177"/>
      <c r="R359" s="177"/>
      <c r="S359" s="177"/>
      <c r="T359" s="177"/>
      <c r="U359" s="177"/>
      <c r="V359" s="177"/>
      <c r="W359" s="177"/>
      <c r="X359" s="177"/>
    </row>
    <row r="360" ht="15.75" customHeight="1" outlineLevel="1">
      <c r="A360" s="190"/>
      <c r="B360" s="204"/>
      <c r="C360" s="191"/>
      <c r="D360" s="205" t="str">
        <f>IFERROR(VLOOKUP($C360,'PORTIFÓLIO'!C:V,2,0),"")</f>
        <v/>
      </c>
      <c r="E360" s="190" t="str">
        <f>IFERROR(VLOOKUP($C360,'PORTIFÓLIO'!C:V,3,0),"")</f>
        <v/>
      </c>
      <c r="F360" s="190" t="str">
        <f>IFERROR(VLOOKUP($C360,'PORTIFÓLIO'!C:V,4,0),"")</f>
        <v/>
      </c>
      <c r="G360" s="206" t="str">
        <f>IFERROR(VLOOKUP($C360,'PORTIFÓLIO'!C:V,5,0),"")</f>
        <v/>
      </c>
      <c r="H360" s="247" t="str">
        <f t="array" ref="H360">IFERROR(INDEX('PORTIFÓLIO'!$H$4:$H$433,MATCH($C360,'PORTIFÓLIO'!$C$4:$C$433,0)),"")</f>
        <v/>
      </c>
      <c r="I360" s="228"/>
      <c r="J360" s="209">
        <f t="shared" si="41"/>
        <v>0</v>
      </c>
      <c r="K360" s="248" t="str">
        <f t="array" ref="K360">IFERROR(I360*INDEX('PORTIFÓLIO'!$S$4:$S$433,MATCH($C360,'PORTIFÓLIO'!$C$4:$C$433,0)),"")</f>
        <v/>
      </c>
      <c r="L360" s="248" t="str">
        <f t="array" ref="L360">IFERROR(J360*INDEX('PORTIFÓLIO'!$S$4:$S$433,MATCH($C360,'PORTIFÓLIO'!$C$4:$C$433,0)),"")</f>
        <v/>
      </c>
      <c r="M360" s="177"/>
      <c r="N360" s="177"/>
      <c r="O360" s="177"/>
      <c r="P360" s="177"/>
      <c r="Q360" s="177"/>
      <c r="R360" s="177"/>
      <c r="S360" s="177"/>
      <c r="T360" s="177"/>
      <c r="U360" s="177"/>
      <c r="V360" s="177"/>
      <c r="W360" s="177"/>
      <c r="X360" s="177"/>
    </row>
    <row r="361" ht="15.75" customHeight="1" outlineLevel="1">
      <c r="A361" s="190"/>
      <c r="B361" s="204"/>
      <c r="C361" s="191"/>
      <c r="D361" s="205" t="str">
        <f>IFERROR(VLOOKUP($C361,'PORTIFÓLIO'!C:V,2,0),"")</f>
        <v/>
      </c>
      <c r="E361" s="190" t="str">
        <f>IFERROR(VLOOKUP($C361,'PORTIFÓLIO'!C:V,3,0),"")</f>
        <v/>
      </c>
      <c r="F361" s="190" t="str">
        <f>IFERROR(VLOOKUP($C361,'PORTIFÓLIO'!C:V,4,0),"")</f>
        <v/>
      </c>
      <c r="G361" s="206" t="str">
        <f>IFERROR(VLOOKUP($C361,'PORTIFÓLIO'!C:V,5,0),"")</f>
        <v/>
      </c>
      <c r="H361" s="247" t="str">
        <f t="array" ref="H361">IFERROR(INDEX('PORTIFÓLIO'!$H$4:$H$433,MATCH($C361,'PORTIFÓLIO'!$C$4:$C$433,0)),"")</f>
        <v/>
      </c>
      <c r="I361" s="228"/>
      <c r="J361" s="209">
        <f t="shared" si="41"/>
        <v>0</v>
      </c>
      <c r="K361" s="248" t="str">
        <f t="array" ref="K361">IFERROR(I361*INDEX('PORTIFÓLIO'!$S$4:$S$433,MATCH($C361,'PORTIFÓLIO'!$C$4:$C$433,0)),"")</f>
        <v/>
      </c>
      <c r="L361" s="248" t="str">
        <f t="array" ref="L361">IFERROR(J361*INDEX('PORTIFÓLIO'!$S$4:$S$433,MATCH($C361,'PORTIFÓLIO'!$C$4:$C$433,0)),"")</f>
        <v/>
      </c>
      <c r="M361" s="177"/>
      <c r="N361" s="177"/>
      <c r="O361" s="177"/>
      <c r="P361" s="177"/>
      <c r="Q361" s="177"/>
      <c r="R361" s="177"/>
      <c r="S361" s="177"/>
      <c r="T361" s="177"/>
      <c r="U361" s="177"/>
      <c r="V361" s="177"/>
      <c r="W361" s="177"/>
      <c r="X361" s="177"/>
    </row>
    <row r="362" ht="15.75" customHeight="1" outlineLevel="1">
      <c r="A362" s="190"/>
      <c r="B362" s="204"/>
      <c r="C362" s="191"/>
      <c r="D362" s="205" t="str">
        <f>IFERROR(VLOOKUP($C362,'PORTIFÓLIO'!C:V,2,0),"")</f>
        <v/>
      </c>
      <c r="E362" s="190" t="str">
        <f>IFERROR(VLOOKUP($C362,'PORTIFÓLIO'!C:V,3,0),"")</f>
        <v/>
      </c>
      <c r="F362" s="190" t="str">
        <f>IFERROR(VLOOKUP($C362,'PORTIFÓLIO'!C:V,4,0),"")</f>
        <v/>
      </c>
      <c r="G362" s="206" t="str">
        <f>IFERROR(VLOOKUP($C362,'PORTIFÓLIO'!C:V,5,0),"")</f>
        <v/>
      </c>
      <c r="H362" s="247" t="str">
        <f t="array" ref="H362">IFERROR(INDEX('PORTIFÓLIO'!$H$4:$H$433,MATCH($C362,'PORTIFÓLIO'!$C$4:$C$433,0)),"")</f>
        <v/>
      </c>
      <c r="I362" s="228"/>
      <c r="J362" s="209">
        <f t="shared" si="41"/>
        <v>0</v>
      </c>
      <c r="K362" s="248" t="str">
        <f t="array" ref="K362">IFERROR(I362*INDEX('PORTIFÓLIO'!$S$4:$S$433,MATCH($C362,'PORTIFÓLIO'!$C$4:$C$433,0)),"")</f>
        <v/>
      </c>
      <c r="L362" s="248" t="str">
        <f t="array" ref="L362">IFERROR(J362*INDEX('PORTIFÓLIO'!$S$4:$S$433,MATCH($C362,'PORTIFÓLIO'!$C$4:$C$433,0)),"")</f>
        <v/>
      </c>
      <c r="M362" s="177"/>
      <c r="N362" s="177"/>
      <c r="O362" s="177"/>
      <c r="P362" s="177"/>
      <c r="Q362" s="177"/>
      <c r="R362" s="177"/>
      <c r="S362" s="177"/>
      <c r="T362" s="177"/>
      <c r="U362" s="177"/>
      <c r="V362" s="177"/>
      <c r="W362" s="177"/>
      <c r="X362" s="177"/>
    </row>
    <row r="363" ht="15.75" customHeight="1" outlineLevel="1">
      <c r="A363" s="190"/>
      <c r="B363" s="204"/>
      <c r="C363" s="191"/>
      <c r="D363" s="205" t="str">
        <f>IFERROR(VLOOKUP($C363,'PORTIFÓLIO'!C:V,2,0),"")</f>
        <v/>
      </c>
      <c r="E363" s="190" t="str">
        <f>IFERROR(VLOOKUP($C363,'PORTIFÓLIO'!C:V,3,0),"")</f>
        <v/>
      </c>
      <c r="F363" s="190" t="str">
        <f>IFERROR(VLOOKUP($C363,'PORTIFÓLIO'!C:V,4,0),"")</f>
        <v/>
      </c>
      <c r="G363" s="206" t="str">
        <f>IFERROR(VLOOKUP($C363,'PORTIFÓLIO'!C:V,5,0),"")</f>
        <v/>
      </c>
      <c r="H363" s="247" t="str">
        <f t="array" ref="H363">IFERROR(INDEX('PORTIFÓLIO'!$H$4:$H$433,MATCH($C363,'PORTIFÓLIO'!$C$4:$C$433,0)),"")</f>
        <v/>
      </c>
      <c r="I363" s="228"/>
      <c r="J363" s="209">
        <f t="shared" si="41"/>
        <v>0</v>
      </c>
      <c r="K363" s="248" t="str">
        <f t="array" ref="K363">IFERROR(I363*INDEX('PORTIFÓLIO'!$S$4:$S$433,MATCH($C363,'PORTIFÓLIO'!$C$4:$C$433,0)),"")</f>
        <v/>
      </c>
      <c r="L363" s="248" t="str">
        <f t="array" ref="L363">IFERROR(J363*INDEX('PORTIFÓLIO'!$S$4:$S$433,MATCH($C363,'PORTIFÓLIO'!$C$4:$C$433,0)),"")</f>
        <v/>
      </c>
      <c r="M363" s="177"/>
      <c r="N363" s="177"/>
      <c r="O363" s="177"/>
      <c r="P363" s="177"/>
      <c r="Q363" s="177"/>
      <c r="R363" s="177"/>
      <c r="S363" s="177"/>
      <c r="T363" s="177"/>
      <c r="U363" s="177"/>
      <c r="V363" s="177"/>
      <c r="W363" s="177"/>
      <c r="X363" s="177"/>
    </row>
    <row r="364" ht="15.75" customHeight="1" outlineLevel="1">
      <c r="A364" s="190"/>
      <c r="B364" s="204"/>
      <c r="C364" s="191"/>
      <c r="D364" s="205" t="str">
        <f>IFERROR(VLOOKUP($C364,'PORTIFÓLIO'!C:V,2,0),"")</f>
        <v/>
      </c>
      <c r="E364" s="190" t="str">
        <f>IFERROR(VLOOKUP($C364,'PORTIFÓLIO'!C:V,3,0),"")</f>
        <v/>
      </c>
      <c r="F364" s="190" t="str">
        <f>IFERROR(VLOOKUP($C364,'PORTIFÓLIO'!C:V,4,0),"")</f>
        <v/>
      </c>
      <c r="G364" s="206" t="str">
        <f>IFERROR(VLOOKUP($C364,'PORTIFÓLIO'!C:V,5,0),"")</f>
        <v/>
      </c>
      <c r="H364" s="247" t="str">
        <f t="array" ref="H364">IFERROR(INDEX('PORTIFÓLIO'!$H$4:$H$433,MATCH($C364,'PORTIFÓLIO'!$C$4:$C$433,0)),"")</f>
        <v/>
      </c>
      <c r="I364" s="228"/>
      <c r="J364" s="209">
        <f t="shared" si="41"/>
        <v>0</v>
      </c>
      <c r="K364" s="248" t="str">
        <f t="array" ref="K364">IFERROR(I364*INDEX('PORTIFÓLIO'!$S$4:$S$433,MATCH($C364,'PORTIFÓLIO'!$C$4:$C$433,0)),"")</f>
        <v/>
      </c>
      <c r="L364" s="248" t="str">
        <f t="array" ref="L364">IFERROR(J364*INDEX('PORTIFÓLIO'!$S$4:$S$433,MATCH($C364,'PORTIFÓLIO'!$C$4:$C$433,0)),"")</f>
        <v/>
      </c>
      <c r="M364" s="177"/>
      <c r="N364" s="177"/>
      <c r="O364" s="177"/>
      <c r="P364" s="177"/>
      <c r="Q364" s="177"/>
      <c r="R364" s="177"/>
      <c r="S364" s="177"/>
      <c r="T364" s="177"/>
      <c r="U364" s="177"/>
      <c r="V364" s="177"/>
      <c r="W364" s="177"/>
      <c r="X364" s="177"/>
    </row>
    <row r="365" ht="15.75" customHeight="1" outlineLevel="1">
      <c r="A365" s="190"/>
      <c r="B365" s="204"/>
      <c r="C365" s="191"/>
      <c r="D365" s="205" t="str">
        <f>IFERROR(VLOOKUP($C365,'PORTIFÓLIO'!C:V,2,0),"")</f>
        <v/>
      </c>
      <c r="E365" s="190" t="str">
        <f>IFERROR(VLOOKUP($C365,'PORTIFÓLIO'!C:V,3,0),"")</f>
        <v/>
      </c>
      <c r="F365" s="190" t="str">
        <f>IFERROR(VLOOKUP($C365,'PORTIFÓLIO'!C:V,4,0),"")</f>
        <v/>
      </c>
      <c r="G365" s="206" t="str">
        <f>IFERROR(VLOOKUP($C365,'PORTIFÓLIO'!C:V,5,0),"")</f>
        <v/>
      </c>
      <c r="H365" s="247" t="str">
        <f t="array" ref="H365">IFERROR(INDEX('PORTIFÓLIO'!$H$4:$H$433,MATCH($C365,'PORTIFÓLIO'!$C$4:$C$433,0)),"")</f>
        <v/>
      </c>
      <c r="I365" s="228"/>
      <c r="J365" s="209">
        <f t="shared" si="41"/>
        <v>0</v>
      </c>
      <c r="K365" s="248" t="str">
        <f t="array" ref="K365">IFERROR(I365*INDEX('PORTIFÓLIO'!$S$4:$S$433,MATCH($C365,'PORTIFÓLIO'!$C$4:$C$433,0)),"")</f>
        <v/>
      </c>
      <c r="L365" s="248" t="str">
        <f t="array" ref="L365">IFERROR(J365*INDEX('PORTIFÓLIO'!$S$4:$S$433,MATCH($C365,'PORTIFÓLIO'!$C$4:$C$433,0)),"")</f>
        <v/>
      </c>
      <c r="M365" s="177"/>
      <c r="N365" s="177"/>
      <c r="O365" s="177"/>
      <c r="P365" s="177"/>
      <c r="Q365" s="177"/>
      <c r="R365" s="177"/>
      <c r="S365" s="177"/>
      <c r="T365" s="177"/>
      <c r="U365" s="177"/>
      <c r="V365" s="177"/>
      <c r="W365" s="177"/>
      <c r="X365" s="177"/>
    </row>
    <row r="366" ht="15.75" customHeight="1" outlineLevel="1">
      <c r="A366" s="190"/>
      <c r="B366" s="204"/>
      <c r="C366" s="191"/>
      <c r="D366" s="205" t="str">
        <f>IFERROR(VLOOKUP($C366,'PORTIFÓLIO'!C:V,2,0),"")</f>
        <v/>
      </c>
      <c r="E366" s="190" t="str">
        <f>IFERROR(VLOOKUP($C366,'PORTIFÓLIO'!C:V,3,0),"")</f>
        <v/>
      </c>
      <c r="F366" s="190" t="str">
        <f>IFERROR(VLOOKUP($C366,'PORTIFÓLIO'!C:V,4,0),"")</f>
        <v/>
      </c>
      <c r="G366" s="206" t="str">
        <f>IFERROR(VLOOKUP($C366,'PORTIFÓLIO'!C:V,5,0),"")</f>
        <v/>
      </c>
      <c r="H366" s="247" t="str">
        <f t="array" ref="H366">IFERROR(INDEX('PORTIFÓLIO'!$H$4:$H$433,MATCH($C366,'PORTIFÓLIO'!$C$4:$C$433,0)),"")</f>
        <v/>
      </c>
      <c r="I366" s="228"/>
      <c r="J366" s="209">
        <f t="shared" si="41"/>
        <v>0</v>
      </c>
      <c r="K366" s="248" t="str">
        <f t="array" ref="K366">IFERROR(I366*INDEX('PORTIFÓLIO'!$S$4:$S$433,MATCH($C366,'PORTIFÓLIO'!$C$4:$C$433,0)),"")</f>
        <v/>
      </c>
      <c r="L366" s="248" t="str">
        <f t="array" ref="L366">IFERROR(J366*INDEX('PORTIFÓLIO'!$S$4:$S$433,MATCH($C366,'PORTIFÓLIO'!$C$4:$C$433,0)),"")</f>
        <v/>
      </c>
      <c r="M366" s="177"/>
      <c r="N366" s="177"/>
      <c r="O366" s="177"/>
      <c r="P366" s="177"/>
      <c r="Q366" s="177"/>
      <c r="R366" s="177"/>
      <c r="S366" s="177"/>
      <c r="T366" s="177"/>
      <c r="U366" s="177"/>
      <c r="V366" s="177"/>
      <c r="W366" s="177"/>
      <c r="X366" s="177"/>
    </row>
    <row r="367" ht="15.75" customHeight="1" outlineLevel="1">
      <c r="A367" s="190"/>
      <c r="B367" s="204"/>
      <c r="C367" s="191"/>
      <c r="D367" s="205" t="str">
        <f>IFERROR(VLOOKUP($C367,'PORTIFÓLIO'!C:V,2,0),"")</f>
        <v/>
      </c>
      <c r="E367" s="190" t="str">
        <f>IFERROR(VLOOKUP($C367,'PORTIFÓLIO'!C:V,3,0),"")</f>
        <v/>
      </c>
      <c r="F367" s="190" t="str">
        <f>IFERROR(VLOOKUP($C367,'PORTIFÓLIO'!C:V,4,0),"")</f>
        <v/>
      </c>
      <c r="G367" s="206" t="str">
        <f>IFERROR(VLOOKUP($C367,'PORTIFÓLIO'!C:V,5,0),"")</f>
        <v/>
      </c>
      <c r="H367" s="247" t="str">
        <f t="array" ref="H367">IFERROR(INDEX('PORTIFÓLIO'!$H$4:$H$433,MATCH($C367,'PORTIFÓLIO'!$C$4:$C$433,0)),"")</f>
        <v/>
      </c>
      <c r="I367" s="208"/>
      <c r="J367" s="209">
        <f t="shared" si="41"/>
        <v>0</v>
      </c>
      <c r="K367" s="248" t="str">
        <f t="array" ref="K367">IFERROR(I367*INDEX('PORTIFÓLIO'!$S$4:$S$433,MATCH($C367,'PORTIFÓLIO'!$C$4:$C$433,0)),"")</f>
        <v/>
      </c>
      <c r="L367" s="248" t="str">
        <f t="array" ref="L367">IFERROR(J367*INDEX('PORTIFÓLIO'!$S$4:$S$433,MATCH($C367,'PORTIFÓLIO'!$C$4:$C$433,0)),"")</f>
        <v/>
      </c>
      <c r="M367" s="177"/>
      <c r="N367" s="177"/>
      <c r="O367" s="177"/>
      <c r="P367" s="177"/>
      <c r="Q367" s="177"/>
      <c r="R367" s="177"/>
      <c r="S367" s="177"/>
      <c r="T367" s="177"/>
      <c r="U367" s="177"/>
      <c r="V367" s="177"/>
      <c r="W367" s="177"/>
      <c r="X367" s="177"/>
    </row>
    <row r="368" ht="15.75" customHeight="1" outlineLevel="1">
      <c r="A368" s="190"/>
      <c r="B368" s="204"/>
      <c r="C368" s="191"/>
      <c r="D368" s="205" t="str">
        <f>IFERROR(VLOOKUP($C368,'PORTIFÓLIO'!C:V,2,0),"")</f>
        <v/>
      </c>
      <c r="E368" s="190" t="str">
        <f>IFERROR(VLOOKUP($C368,'PORTIFÓLIO'!C:V,3,0),"")</f>
        <v/>
      </c>
      <c r="F368" s="190" t="str">
        <f>IFERROR(VLOOKUP($C368,'PORTIFÓLIO'!C:V,4,0),"")</f>
        <v/>
      </c>
      <c r="G368" s="206" t="str">
        <f>IFERROR(VLOOKUP($C368,'PORTIFÓLIO'!C:V,5,0),"")</f>
        <v/>
      </c>
      <c r="H368" s="247" t="str">
        <f t="array" ref="H368">IFERROR(INDEX('PORTIFÓLIO'!$H$4:$H$433,MATCH($C368,'PORTIFÓLIO'!$C$4:$C$433,0)),"")</f>
        <v/>
      </c>
      <c r="I368" s="228"/>
      <c r="J368" s="209">
        <f t="shared" si="41"/>
        <v>0</v>
      </c>
      <c r="K368" s="248" t="str">
        <f t="array" ref="K368">IFERROR(I368*INDEX('PORTIFÓLIO'!$S$4:$S$433,MATCH($C368,'PORTIFÓLIO'!$C$4:$C$433,0)),"")</f>
        <v/>
      </c>
      <c r="L368" s="248" t="str">
        <f t="array" ref="L368">IFERROR(J368*INDEX('PORTIFÓLIO'!$S$4:$S$433,MATCH($C368,'PORTIFÓLIO'!$C$4:$C$433,0)),"")</f>
        <v/>
      </c>
      <c r="M368" s="177"/>
      <c r="N368" s="177"/>
      <c r="O368" s="177"/>
      <c r="P368" s="177"/>
      <c r="Q368" s="177"/>
      <c r="R368" s="177"/>
      <c r="S368" s="177"/>
      <c r="T368" s="177"/>
      <c r="U368" s="177"/>
      <c r="V368" s="177"/>
      <c r="W368" s="177"/>
      <c r="X368" s="177"/>
    </row>
    <row r="369" ht="15.75" customHeight="1" outlineLevel="1">
      <c r="A369" s="190"/>
      <c r="B369" s="204"/>
      <c r="C369" s="191"/>
      <c r="D369" s="205" t="str">
        <f>IFERROR(VLOOKUP($C369,'PORTIFÓLIO'!C:V,2,0),"")</f>
        <v/>
      </c>
      <c r="E369" s="190" t="str">
        <f>IFERROR(VLOOKUP($C369,'PORTIFÓLIO'!C:V,3,0),"")</f>
        <v/>
      </c>
      <c r="F369" s="190" t="str">
        <f>IFERROR(VLOOKUP($C369,'PORTIFÓLIO'!C:V,4,0),"")</f>
        <v/>
      </c>
      <c r="G369" s="206" t="str">
        <f>IFERROR(VLOOKUP($C369,'PORTIFÓLIO'!C:V,5,0),"")</f>
        <v/>
      </c>
      <c r="H369" s="247" t="str">
        <f t="array" ref="H369">IFERROR(INDEX('PORTIFÓLIO'!$H$4:$H$433,MATCH($C369,'PORTIFÓLIO'!$C$4:$C$433,0)),"")</f>
        <v/>
      </c>
      <c r="I369" s="228"/>
      <c r="J369" s="209">
        <f t="shared" si="41"/>
        <v>0</v>
      </c>
      <c r="K369" s="248" t="str">
        <f t="array" ref="K369">IFERROR(I369*INDEX('PORTIFÓLIO'!$S$4:$S$433,MATCH($C369,'PORTIFÓLIO'!$C$4:$C$433,0)),"")</f>
        <v/>
      </c>
      <c r="L369" s="248" t="str">
        <f t="array" ref="L369">IFERROR(J369*INDEX('PORTIFÓLIO'!$S$4:$S$433,MATCH($C369,'PORTIFÓLIO'!$C$4:$C$433,0)),"")</f>
        <v/>
      </c>
      <c r="M369" s="177"/>
      <c r="N369" s="177"/>
      <c r="O369" s="177"/>
      <c r="P369" s="177"/>
      <c r="Q369" s="177"/>
      <c r="R369" s="177"/>
      <c r="S369" s="177"/>
      <c r="T369" s="177"/>
      <c r="U369" s="177"/>
      <c r="V369" s="177"/>
      <c r="W369" s="177"/>
      <c r="X369" s="177"/>
    </row>
    <row r="370" ht="15.75" customHeight="1" outlineLevel="1">
      <c r="A370" s="190"/>
      <c r="B370" s="204"/>
      <c r="C370" s="191"/>
      <c r="D370" s="205" t="str">
        <f>IFERROR(VLOOKUP($C370,'PORTIFÓLIO'!C:V,2,0),"")</f>
        <v/>
      </c>
      <c r="E370" s="190" t="str">
        <f>IFERROR(VLOOKUP($C370,'PORTIFÓLIO'!C:V,3,0),"")</f>
        <v/>
      </c>
      <c r="F370" s="190" t="str">
        <f>IFERROR(VLOOKUP($C370,'PORTIFÓLIO'!C:V,4,0),"")</f>
        <v/>
      </c>
      <c r="G370" s="206" t="str">
        <f>IFERROR(VLOOKUP($C370,'PORTIFÓLIO'!C:V,5,0),"")</f>
        <v/>
      </c>
      <c r="H370" s="247" t="str">
        <f t="array" ref="H370">IFERROR(INDEX('PORTIFÓLIO'!$H$4:$H$433,MATCH($C370,'PORTIFÓLIO'!$C$4:$C$433,0)),"")</f>
        <v/>
      </c>
      <c r="I370" s="228"/>
      <c r="J370" s="209">
        <f t="shared" si="41"/>
        <v>0</v>
      </c>
      <c r="K370" s="248" t="str">
        <f t="array" ref="K370">IFERROR(I370*INDEX('PORTIFÓLIO'!$S$4:$S$433,MATCH($C370,'PORTIFÓLIO'!$C$4:$C$433,0)),"")</f>
        <v/>
      </c>
      <c r="L370" s="248" t="str">
        <f t="array" ref="L370">IFERROR(J370*INDEX('PORTIFÓLIO'!$S$4:$S$433,MATCH($C370,'PORTIFÓLIO'!$C$4:$C$433,0)),"")</f>
        <v/>
      </c>
      <c r="M370" s="177"/>
      <c r="N370" s="177"/>
      <c r="O370" s="177"/>
      <c r="P370" s="177"/>
      <c r="Q370" s="177"/>
      <c r="R370" s="177"/>
      <c r="S370" s="177"/>
      <c r="T370" s="177"/>
      <c r="U370" s="177"/>
      <c r="V370" s="177"/>
      <c r="W370" s="177"/>
      <c r="X370" s="177"/>
    </row>
    <row r="371" ht="15.75" customHeight="1" outlineLevel="1">
      <c r="A371" s="190"/>
      <c r="B371" s="204"/>
      <c r="C371" s="191"/>
      <c r="D371" s="205" t="str">
        <f>IFERROR(VLOOKUP($C371,'PORTIFÓLIO'!C:V,2,0),"")</f>
        <v/>
      </c>
      <c r="E371" s="190" t="str">
        <f>IFERROR(VLOOKUP($C371,'PORTIFÓLIO'!C:V,3,0),"")</f>
        <v/>
      </c>
      <c r="F371" s="190" t="str">
        <f>IFERROR(VLOOKUP($C371,'PORTIFÓLIO'!C:V,4,0),"")</f>
        <v/>
      </c>
      <c r="G371" s="206" t="str">
        <f>IFERROR(VLOOKUP($C371,'PORTIFÓLIO'!C:V,5,0),"")</f>
        <v/>
      </c>
      <c r="H371" s="247" t="str">
        <f t="array" ref="H371">IFERROR(INDEX('PORTIFÓLIO'!$H$4:$H$433,MATCH($C371,'PORTIFÓLIO'!$C$4:$C$433,0)),"")</f>
        <v/>
      </c>
      <c r="I371" s="228"/>
      <c r="J371" s="209">
        <f t="shared" si="41"/>
        <v>0</v>
      </c>
      <c r="K371" s="248" t="str">
        <f t="array" ref="K371">IFERROR(I371*INDEX('PORTIFÓLIO'!$S$4:$S$433,MATCH($C371,'PORTIFÓLIO'!$C$4:$C$433,0)),"")</f>
        <v/>
      </c>
      <c r="L371" s="248" t="str">
        <f t="array" ref="L371">IFERROR(J371*INDEX('PORTIFÓLIO'!$S$4:$S$433,MATCH($C371,'PORTIFÓLIO'!$C$4:$C$433,0)),"")</f>
        <v/>
      </c>
      <c r="M371" s="177"/>
      <c r="N371" s="177"/>
      <c r="O371" s="177"/>
      <c r="P371" s="177"/>
      <c r="Q371" s="177"/>
      <c r="R371" s="177"/>
      <c r="S371" s="177"/>
      <c r="T371" s="177"/>
      <c r="U371" s="177"/>
      <c r="V371" s="177"/>
      <c r="W371" s="177"/>
      <c r="X371" s="177"/>
    </row>
    <row r="372" ht="15.75" customHeight="1" outlineLevel="1">
      <c r="A372" s="190"/>
      <c r="B372" s="204"/>
      <c r="C372" s="191"/>
      <c r="D372" s="205" t="str">
        <f>IFERROR(VLOOKUP($C372,'PORTIFÓLIO'!C:V,2,0),"")</f>
        <v/>
      </c>
      <c r="E372" s="190" t="str">
        <f>IFERROR(VLOOKUP($C372,'PORTIFÓLIO'!C:V,3,0),"")</f>
        <v/>
      </c>
      <c r="F372" s="190" t="str">
        <f>IFERROR(VLOOKUP($C372,'PORTIFÓLIO'!C:V,4,0),"")</f>
        <v/>
      </c>
      <c r="G372" s="206" t="str">
        <f>IFERROR(VLOOKUP($C372,'PORTIFÓLIO'!C:V,5,0),"")</f>
        <v/>
      </c>
      <c r="H372" s="247" t="str">
        <f t="array" ref="H372">IFERROR(INDEX('PORTIFÓLIO'!$H$4:$H$433,MATCH($C372,'PORTIFÓLIO'!$C$4:$C$433,0)),"")</f>
        <v/>
      </c>
      <c r="I372" s="228"/>
      <c r="J372" s="209">
        <f t="shared" si="41"/>
        <v>0</v>
      </c>
      <c r="K372" s="248" t="str">
        <f t="array" ref="K372">IFERROR(I372*INDEX('PORTIFÓLIO'!$S$4:$S$433,MATCH($C372,'PORTIFÓLIO'!$C$4:$C$433,0)),"")</f>
        <v/>
      </c>
      <c r="L372" s="248" t="str">
        <f t="array" ref="L372">IFERROR(J372*INDEX('PORTIFÓLIO'!$S$4:$S$433,MATCH($C372,'PORTIFÓLIO'!$C$4:$C$433,0)),"")</f>
        <v/>
      </c>
      <c r="M372" s="177"/>
      <c r="N372" s="177"/>
      <c r="O372" s="177"/>
      <c r="P372" s="177"/>
      <c r="Q372" s="177"/>
      <c r="R372" s="177"/>
      <c r="S372" s="177"/>
      <c r="T372" s="177"/>
      <c r="U372" s="177"/>
      <c r="V372" s="177"/>
      <c r="W372" s="177"/>
      <c r="X372" s="177"/>
    </row>
    <row r="373" ht="15.75" customHeight="1" outlineLevel="1">
      <c r="A373" s="190"/>
      <c r="B373" s="204"/>
      <c r="C373" s="191"/>
      <c r="D373" s="205" t="str">
        <f>IFERROR(VLOOKUP($C373,'PORTIFÓLIO'!C:V,2,0),"")</f>
        <v/>
      </c>
      <c r="E373" s="190" t="str">
        <f>IFERROR(VLOOKUP($C373,'PORTIFÓLIO'!C:V,3,0),"")</f>
        <v/>
      </c>
      <c r="F373" s="190" t="str">
        <f>IFERROR(VLOOKUP($C373,'PORTIFÓLIO'!C:V,4,0),"")</f>
        <v/>
      </c>
      <c r="G373" s="206" t="str">
        <f>IFERROR(VLOOKUP($C373,'PORTIFÓLIO'!C:V,5,0),"")</f>
        <v/>
      </c>
      <c r="H373" s="247" t="str">
        <f t="array" ref="H373">IFERROR(INDEX('PORTIFÓLIO'!$H$4:$H$433,MATCH($C373,'PORTIFÓLIO'!$C$4:$C$433,0)),"")</f>
        <v/>
      </c>
      <c r="I373" s="228"/>
      <c r="J373" s="209">
        <f t="shared" si="41"/>
        <v>0</v>
      </c>
      <c r="K373" s="248" t="str">
        <f t="array" ref="K373">IFERROR(I373*INDEX('PORTIFÓLIO'!$S$4:$S$433,MATCH($C373,'PORTIFÓLIO'!$C$4:$C$433,0)),"")</f>
        <v/>
      </c>
      <c r="L373" s="248" t="str">
        <f t="array" ref="L373">IFERROR(J373*INDEX('PORTIFÓLIO'!$S$4:$S$433,MATCH($C373,'PORTIFÓLIO'!$C$4:$C$433,0)),"")</f>
        <v/>
      </c>
      <c r="M373" s="177"/>
      <c r="N373" s="177"/>
      <c r="O373" s="177"/>
      <c r="P373" s="177"/>
      <c r="Q373" s="177"/>
      <c r="R373" s="177"/>
      <c r="S373" s="177"/>
      <c r="T373" s="177"/>
      <c r="U373" s="177"/>
      <c r="V373" s="177"/>
      <c r="W373" s="177"/>
      <c r="X373" s="177"/>
    </row>
    <row r="374" ht="15.75" customHeight="1" outlineLevel="1">
      <c r="A374" s="190"/>
      <c r="B374" s="238"/>
      <c r="C374" s="190"/>
      <c r="D374" s="205" t="str">
        <f>IFERROR(VLOOKUP($C374,'PORTIFÓLIO'!C:V,2,0),"")</f>
        <v/>
      </c>
      <c r="E374" s="190" t="str">
        <f>IFERROR(VLOOKUP($C374,'PORTIFÓLIO'!C:V,3,0),"")</f>
        <v/>
      </c>
      <c r="F374" s="190" t="str">
        <f>IFERROR(VLOOKUP($C374,'PORTIFÓLIO'!C:V,4,0),"")</f>
        <v/>
      </c>
      <c r="G374" s="206" t="str">
        <f>IFERROR(VLOOKUP($C374,'PORTIFÓLIO'!C:V,5,0),"")</f>
        <v/>
      </c>
      <c r="H374" s="247" t="str">
        <f t="array" ref="H374">IFERROR(INDEX('PORTIFÓLIO'!$H$4:$H$433,MATCH($C374,'PORTIFÓLIO'!$C$4:$C$433,0)),"")</f>
        <v/>
      </c>
      <c r="I374" s="228"/>
      <c r="J374" s="209"/>
      <c r="K374" s="248" t="str">
        <f t="array" ref="K374">IFERROR(I374*INDEX('PORTIFÓLIO'!$S$4:$S$433,MATCH($C374,'PORTIFÓLIO'!$C$4:$C$433,0)),"")</f>
        <v/>
      </c>
      <c r="L374" s="248" t="str">
        <f t="array" ref="L374">IFERROR(J374*INDEX('PORTIFÓLIO'!$S$4:$S$433,MATCH($C374,'PORTIFÓLIO'!$C$4:$C$433,0)),"")</f>
        <v/>
      </c>
      <c r="M374" s="177"/>
      <c r="N374" s="177"/>
      <c r="O374" s="177"/>
      <c r="P374" s="177"/>
      <c r="Q374" s="177"/>
      <c r="R374" s="177"/>
      <c r="S374" s="177"/>
      <c r="T374" s="177"/>
      <c r="U374" s="177"/>
      <c r="V374" s="177"/>
      <c r="W374" s="177"/>
      <c r="X374" s="177"/>
    </row>
    <row r="375" ht="15.75" customHeight="1">
      <c r="A375" s="221" t="s">
        <v>1192</v>
      </c>
      <c r="B375" s="197"/>
      <c r="C375" s="196"/>
      <c r="D375" s="198"/>
      <c r="E375" s="196"/>
      <c r="F375" s="196"/>
      <c r="G375" s="199"/>
      <c r="H375" s="199"/>
      <c r="I375" s="201"/>
      <c r="J375" s="202"/>
      <c r="K375" s="203">
        <f t="shared" ref="K375:L375" si="42">SUBTOTAL(9,K376:K389)</f>
        <v>0</v>
      </c>
      <c r="L375" s="203">
        <f t="shared" si="42"/>
        <v>0</v>
      </c>
      <c r="M375" s="177"/>
      <c r="N375" s="177"/>
      <c r="O375" s="177"/>
      <c r="P375" s="177"/>
      <c r="Q375" s="177"/>
      <c r="R375" s="177"/>
      <c r="S375" s="177"/>
      <c r="T375" s="177"/>
      <c r="U375" s="177"/>
      <c r="V375" s="177"/>
      <c r="W375" s="177"/>
      <c r="X375" s="177"/>
    </row>
    <row r="376" ht="15.75" customHeight="1" outlineLevel="1">
      <c r="A376" s="191"/>
      <c r="B376" s="204"/>
      <c r="C376" s="191"/>
      <c r="D376" s="205" t="str">
        <f>IFERROR(VLOOKUP($C376,'PORTIFÓLIO'!C:V,2,0),"")</f>
        <v/>
      </c>
      <c r="E376" s="190" t="str">
        <f>IFERROR(VLOOKUP($C376,'PORTIFÓLIO'!C:V,3,0),"")</f>
        <v/>
      </c>
      <c r="F376" s="190" t="str">
        <f>IFERROR(VLOOKUP($C376,'PORTIFÓLIO'!C:V,4,0),"")</f>
        <v/>
      </c>
      <c r="G376" s="206" t="str">
        <f>IFERROR(VLOOKUP($C376,'PORTIFÓLIO'!C:V,5,0),"")</f>
        <v/>
      </c>
      <c r="H376" s="247" t="str">
        <f t="array" ref="H376">IFERROR(INDEX('PORTIFÓLIO'!$H$4:$H$433,MATCH($C376,'PORTIFÓLIO'!$C$4:$C$433,0)),"")</f>
        <v/>
      </c>
      <c r="I376" s="208"/>
      <c r="J376" s="209">
        <f t="shared" ref="J376:J390" si="43">I376*$B$2</f>
        <v>0</v>
      </c>
      <c r="K376" s="248" t="str">
        <f t="array" ref="K376">IFERROR(I376*INDEX('PORTIFÓLIO'!$S$4:$S$433,MATCH($C376,'PORTIFÓLIO'!$C$4:$C$433,0)),"")</f>
        <v/>
      </c>
      <c r="L376" s="248" t="str">
        <f t="array" ref="L376">IFERROR(J376*INDEX('PORTIFÓLIO'!$S$4:$S$433,MATCH($C376,'PORTIFÓLIO'!$C$4:$C$433,0)),"")</f>
        <v/>
      </c>
      <c r="M376" s="177"/>
      <c r="N376" s="177"/>
      <c r="O376" s="177"/>
      <c r="P376" s="177"/>
      <c r="Q376" s="177"/>
      <c r="R376" s="177"/>
      <c r="S376" s="177"/>
      <c r="T376" s="177"/>
      <c r="U376" s="177"/>
      <c r="V376" s="177"/>
      <c r="W376" s="177"/>
      <c r="X376" s="177"/>
    </row>
    <row r="377" ht="15.75" customHeight="1" outlineLevel="1">
      <c r="A377" s="190"/>
      <c r="B377" s="204"/>
      <c r="C377" s="191"/>
      <c r="D377" s="205" t="str">
        <f>IFERROR(VLOOKUP($C377,'PORTIFÓLIO'!C:V,2,0),"")</f>
        <v/>
      </c>
      <c r="E377" s="190" t="str">
        <f>IFERROR(VLOOKUP($C377,'PORTIFÓLIO'!C:V,3,0),"")</f>
        <v/>
      </c>
      <c r="F377" s="190" t="str">
        <f>IFERROR(VLOOKUP($C377,'PORTIFÓLIO'!C:V,4,0),"")</f>
        <v/>
      </c>
      <c r="G377" s="206" t="str">
        <f>IFERROR(VLOOKUP($C377,'PORTIFÓLIO'!C:V,5,0),"")</f>
        <v/>
      </c>
      <c r="H377" s="247" t="str">
        <f t="array" ref="H377">IFERROR(INDEX('PORTIFÓLIO'!$H$4:$H$433,MATCH($C377,'PORTIFÓLIO'!$C$4:$C$433,0)),"")</f>
        <v/>
      </c>
      <c r="I377" s="228"/>
      <c r="J377" s="209">
        <f t="shared" si="43"/>
        <v>0</v>
      </c>
      <c r="K377" s="248" t="str">
        <f t="array" ref="K377">IFERROR(I377*INDEX('PORTIFÓLIO'!$S$4:$S$433,MATCH($C377,'PORTIFÓLIO'!$C$4:$C$433,0)),"")</f>
        <v/>
      </c>
      <c r="L377" s="248" t="str">
        <f t="array" ref="L377">IFERROR(J377*INDEX('PORTIFÓLIO'!$S$4:$S$433,MATCH($C377,'PORTIFÓLIO'!$C$4:$C$433,0)),"")</f>
        <v/>
      </c>
      <c r="M377" s="177"/>
      <c r="N377" s="177"/>
      <c r="O377" s="177"/>
      <c r="P377" s="177"/>
      <c r="Q377" s="177"/>
      <c r="R377" s="177"/>
      <c r="S377" s="177"/>
      <c r="T377" s="177"/>
      <c r="U377" s="177"/>
      <c r="V377" s="177"/>
      <c r="W377" s="177"/>
      <c r="X377" s="177"/>
    </row>
    <row r="378" ht="15.75" customHeight="1" outlineLevel="1">
      <c r="A378" s="190"/>
      <c r="B378" s="204"/>
      <c r="C378" s="191"/>
      <c r="D378" s="205" t="str">
        <f>IFERROR(VLOOKUP($C378,'PORTIFÓLIO'!C:V,2,0),"")</f>
        <v/>
      </c>
      <c r="E378" s="190" t="str">
        <f>IFERROR(VLOOKUP($C378,'PORTIFÓLIO'!C:V,3,0),"")</f>
        <v/>
      </c>
      <c r="F378" s="190" t="str">
        <f>IFERROR(VLOOKUP($C378,'PORTIFÓLIO'!C:V,4,0),"")</f>
        <v/>
      </c>
      <c r="G378" s="206" t="str">
        <f>IFERROR(VLOOKUP($C378,'PORTIFÓLIO'!C:V,5,0),"")</f>
        <v/>
      </c>
      <c r="H378" s="247" t="str">
        <f t="array" ref="H378">IFERROR(INDEX('PORTIFÓLIO'!$H$4:$H$433,MATCH($C378,'PORTIFÓLIO'!$C$4:$C$433,0)),"")</f>
        <v/>
      </c>
      <c r="I378" s="228"/>
      <c r="J378" s="209">
        <f t="shared" si="43"/>
        <v>0</v>
      </c>
      <c r="K378" s="248" t="str">
        <f t="array" ref="K378">IFERROR(I378*INDEX('PORTIFÓLIO'!$S$4:$S$433,MATCH($C378,'PORTIFÓLIO'!$C$4:$C$433,0)),"")</f>
        <v/>
      </c>
      <c r="L378" s="248" t="str">
        <f t="array" ref="L378">IFERROR(J378*INDEX('PORTIFÓLIO'!$S$4:$S$433,MATCH($C378,'PORTIFÓLIO'!$C$4:$C$433,0)),"")</f>
        <v/>
      </c>
      <c r="M378" s="177"/>
      <c r="N378" s="177"/>
      <c r="O378" s="177"/>
      <c r="P378" s="177"/>
      <c r="Q378" s="177"/>
      <c r="R378" s="177"/>
      <c r="S378" s="177"/>
      <c r="T378" s="177"/>
      <c r="U378" s="177"/>
      <c r="V378" s="177"/>
      <c r="W378" s="177"/>
      <c r="X378" s="177"/>
    </row>
    <row r="379" ht="15.75" customHeight="1" outlineLevel="1">
      <c r="A379" s="190"/>
      <c r="B379" s="204"/>
      <c r="C379" s="191"/>
      <c r="D379" s="205" t="str">
        <f>IFERROR(VLOOKUP($C379,'PORTIFÓLIO'!C:V,2,0),"")</f>
        <v/>
      </c>
      <c r="E379" s="190" t="str">
        <f>IFERROR(VLOOKUP($C379,'PORTIFÓLIO'!C:V,3,0),"")</f>
        <v/>
      </c>
      <c r="F379" s="190" t="str">
        <f>IFERROR(VLOOKUP($C379,'PORTIFÓLIO'!C:V,4,0),"")</f>
        <v/>
      </c>
      <c r="G379" s="206" t="str">
        <f>IFERROR(VLOOKUP($C379,'PORTIFÓLIO'!C:V,5,0),"")</f>
        <v/>
      </c>
      <c r="H379" s="247" t="str">
        <f t="array" ref="H379">IFERROR(INDEX('PORTIFÓLIO'!$H$4:$H$433,MATCH($C379,'PORTIFÓLIO'!$C$4:$C$433,0)),"")</f>
        <v/>
      </c>
      <c r="I379" s="228"/>
      <c r="J379" s="209">
        <f t="shared" si="43"/>
        <v>0</v>
      </c>
      <c r="K379" s="248" t="str">
        <f t="array" ref="K379">IFERROR(I379*INDEX('PORTIFÓLIO'!$S$4:$S$433,MATCH($C379,'PORTIFÓLIO'!$C$4:$C$433,0)),"")</f>
        <v/>
      </c>
      <c r="L379" s="248" t="str">
        <f t="array" ref="L379">IFERROR(J379*INDEX('PORTIFÓLIO'!$S$4:$S$433,MATCH($C379,'PORTIFÓLIO'!$C$4:$C$433,0)),"")</f>
        <v/>
      </c>
      <c r="M379" s="177"/>
      <c r="N379" s="177"/>
      <c r="O379" s="177"/>
      <c r="P379" s="177"/>
      <c r="Q379" s="177"/>
      <c r="R379" s="177"/>
      <c r="S379" s="177"/>
      <c r="T379" s="177"/>
      <c r="U379" s="177"/>
      <c r="V379" s="177"/>
      <c r="W379" s="177"/>
      <c r="X379" s="177"/>
    </row>
    <row r="380" ht="15.75" customHeight="1" outlineLevel="1">
      <c r="A380" s="190"/>
      <c r="B380" s="204"/>
      <c r="C380" s="191"/>
      <c r="D380" s="205" t="str">
        <f>IFERROR(VLOOKUP($C380,'PORTIFÓLIO'!C:V,2,0),"")</f>
        <v/>
      </c>
      <c r="E380" s="190" t="str">
        <f>IFERROR(VLOOKUP($C380,'PORTIFÓLIO'!C:V,3,0),"")</f>
        <v/>
      </c>
      <c r="F380" s="190" t="str">
        <f>IFERROR(VLOOKUP($C380,'PORTIFÓLIO'!C:V,4,0),"")</f>
        <v/>
      </c>
      <c r="G380" s="206" t="str">
        <f>IFERROR(VLOOKUP($C380,'PORTIFÓLIO'!C:V,5,0),"")</f>
        <v/>
      </c>
      <c r="H380" s="247" t="str">
        <f t="array" ref="H380">IFERROR(INDEX('PORTIFÓLIO'!$H$4:$H$433,MATCH($C380,'PORTIFÓLIO'!$C$4:$C$433,0)),"")</f>
        <v/>
      </c>
      <c r="I380" s="228"/>
      <c r="J380" s="209">
        <f t="shared" si="43"/>
        <v>0</v>
      </c>
      <c r="K380" s="248" t="str">
        <f t="array" ref="K380">IFERROR(I380*INDEX('PORTIFÓLIO'!$S$4:$S$433,MATCH($C380,'PORTIFÓLIO'!$C$4:$C$433,0)),"")</f>
        <v/>
      </c>
      <c r="L380" s="248" t="str">
        <f t="array" ref="L380">IFERROR(J380*INDEX('PORTIFÓLIO'!$S$4:$S$433,MATCH($C380,'PORTIFÓLIO'!$C$4:$C$433,0)),"")</f>
        <v/>
      </c>
      <c r="M380" s="177"/>
      <c r="N380" s="177"/>
      <c r="O380" s="177"/>
      <c r="P380" s="177"/>
      <c r="Q380" s="177"/>
      <c r="R380" s="177"/>
      <c r="S380" s="177"/>
      <c r="T380" s="177"/>
      <c r="U380" s="177"/>
      <c r="V380" s="177"/>
      <c r="W380" s="177"/>
      <c r="X380" s="177"/>
    </row>
    <row r="381" ht="15.75" customHeight="1" outlineLevel="1">
      <c r="A381" s="190"/>
      <c r="B381" s="204"/>
      <c r="C381" s="191"/>
      <c r="D381" s="205" t="str">
        <f>IFERROR(VLOOKUP($C381,'PORTIFÓLIO'!C:V,2,0),"")</f>
        <v/>
      </c>
      <c r="E381" s="190" t="str">
        <f>IFERROR(VLOOKUP($C381,'PORTIFÓLIO'!C:V,3,0),"")</f>
        <v/>
      </c>
      <c r="F381" s="190" t="str">
        <f>IFERROR(VLOOKUP($C381,'PORTIFÓLIO'!C:V,4,0),"")</f>
        <v/>
      </c>
      <c r="G381" s="206" t="str">
        <f>IFERROR(VLOOKUP($C381,'PORTIFÓLIO'!C:V,5,0),"")</f>
        <v/>
      </c>
      <c r="H381" s="247" t="str">
        <f t="array" ref="H381">IFERROR(INDEX('PORTIFÓLIO'!$H$4:$H$433,MATCH($C381,'PORTIFÓLIO'!$C$4:$C$433,0)),"")</f>
        <v/>
      </c>
      <c r="I381" s="228"/>
      <c r="J381" s="209">
        <f t="shared" si="43"/>
        <v>0</v>
      </c>
      <c r="K381" s="248" t="str">
        <f t="array" ref="K381">IFERROR(I381*INDEX('PORTIFÓLIO'!$S$4:$S$433,MATCH($C381,'PORTIFÓLIO'!$C$4:$C$433,0)),"")</f>
        <v/>
      </c>
      <c r="L381" s="248" t="str">
        <f t="array" ref="L381">IFERROR(J381*INDEX('PORTIFÓLIO'!$S$4:$S$433,MATCH($C381,'PORTIFÓLIO'!$C$4:$C$433,0)),"")</f>
        <v/>
      </c>
      <c r="M381" s="177"/>
      <c r="N381" s="177"/>
      <c r="O381" s="177"/>
      <c r="P381" s="177"/>
      <c r="Q381" s="177"/>
      <c r="R381" s="177"/>
      <c r="S381" s="177"/>
      <c r="T381" s="177"/>
      <c r="U381" s="177"/>
      <c r="V381" s="177"/>
      <c r="W381" s="177"/>
      <c r="X381" s="177"/>
    </row>
    <row r="382" ht="15.75" customHeight="1" outlineLevel="1">
      <c r="A382" s="190"/>
      <c r="B382" s="204"/>
      <c r="C382" s="191"/>
      <c r="D382" s="205" t="str">
        <f>IFERROR(VLOOKUP($C382,'PORTIFÓLIO'!C:V,2,0),"")</f>
        <v/>
      </c>
      <c r="E382" s="190" t="str">
        <f>IFERROR(VLOOKUP($C382,'PORTIFÓLIO'!C:V,3,0),"")</f>
        <v/>
      </c>
      <c r="F382" s="190" t="str">
        <f>IFERROR(VLOOKUP($C382,'PORTIFÓLIO'!C:V,4,0),"")</f>
        <v/>
      </c>
      <c r="G382" s="206" t="str">
        <f>IFERROR(VLOOKUP($C382,'PORTIFÓLIO'!C:V,5,0),"")</f>
        <v/>
      </c>
      <c r="H382" s="247" t="str">
        <f t="array" ref="H382">IFERROR(INDEX('PORTIFÓLIO'!$H$4:$H$433,MATCH($C382,'PORTIFÓLIO'!$C$4:$C$433,0)),"")</f>
        <v/>
      </c>
      <c r="I382" s="228"/>
      <c r="J382" s="209">
        <f t="shared" si="43"/>
        <v>0</v>
      </c>
      <c r="K382" s="248" t="str">
        <f t="array" ref="K382">IFERROR(I382*INDEX('PORTIFÓLIO'!$S$4:$S$433,MATCH($C382,'PORTIFÓLIO'!$C$4:$C$433,0)),"")</f>
        <v/>
      </c>
      <c r="L382" s="248" t="str">
        <f t="array" ref="L382">IFERROR(J382*INDEX('PORTIFÓLIO'!$S$4:$S$433,MATCH($C382,'PORTIFÓLIO'!$C$4:$C$433,0)),"")</f>
        <v/>
      </c>
      <c r="M382" s="177"/>
      <c r="N382" s="177"/>
      <c r="O382" s="177"/>
      <c r="P382" s="177"/>
      <c r="Q382" s="177"/>
      <c r="R382" s="177"/>
      <c r="S382" s="177"/>
      <c r="T382" s="177"/>
      <c r="U382" s="177"/>
      <c r="V382" s="177"/>
      <c r="W382" s="177"/>
      <c r="X382" s="177"/>
    </row>
    <row r="383" ht="15.75" customHeight="1" outlineLevel="1">
      <c r="A383" s="190"/>
      <c r="B383" s="204"/>
      <c r="C383" s="191"/>
      <c r="D383" s="205" t="str">
        <f>IFERROR(VLOOKUP($C383,'PORTIFÓLIO'!C:V,2,0),"")</f>
        <v/>
      </c>
      <c r="E383" s="190" t="str">
        <f>IFERROR(VLOOKUP($C383,'PORTIFÓLIO'!C:V,3,0),"")</f>
        <v/>
      </c>
      <c r="F383" s="190" t="str">
        <f>IFERROR(VLOOKUP($C383,'PORTIFÓLIO'!C:V,4,0),"")</f>
        <v/>
      </c>
      <c r="G383" s="206" t="str">
        <f>IFERROR(VLOOKUP($C383,'PORTIFÓLIO'!C:V,5,0),"")</f>
        <v/>
      </c>
      <c r="H383" s="247" t="str">
        <f t="array" ref="H383">IFERROR(INDEX('PORTIFÓLIO'!$H$4:$H$433,MATCH($C383,'PORTIFÓLIO'!$C$4:$C$433,0)),"")</f>
        <v/>
      </c>
      <c r="I383" s="228"/>
      <c r="J383" s="209">
        <f t="shared" si="43"/>
        <v>0</v>
      </c>
      <c r="K383" s="248" t="str">
        <f t="array" ref="K383">IFERROR(I383*INDEX('PORTIFÓLIO'!$S$4:$S$433,MATCH($C383,'PORTIFÓLIO'!$C$4:$C$433,0)),"")</f>
        <v/>
      </c>
      <c r="L383" s="248" t="str">
        <f t="array" ref="L383">IFERROR(J383*INDEX('PORTIFÓLIO'!$S$4:$S$433,MATCH($C383,'PORTIFÓLIO'!$C$4:$C$433,0)),"")</f>
        <v/>
      </c>
      <c r="M383" s="177"/>
      <c r="N383" s="177"/>
      <c r="O383" s="177"/>
      <c r="P383" s="177"/>
      <c r="Q383" s="177"/>
      <c r="R383" s="177"/>
      <c r="S383" s="177"/>
      <c r="T383" s="177"/>
      <c r="U383" s="177"/>
      <c r="V383" s="177"/>
      <c r="W383" s="177"/>
      <c r="X383" s="177"/>
    </row>
    <row r="384" ht="15.75" customHeight="1" outlineLevel="1">
      <c r="A384" s="190"/>
      <c r="B384" s="204"/>
      <c r="C384" s="191"/>
      <c r="D384" s="205" t="str">
        <f>IFERROR(VLOOKUP($C384,'PORTIFÓLIO'!C:V,2,0),"")</f>
        <v/>
      </c>
      <c r="E384" s="190" t="str">
        <f>IFERROR(VLOOKUP($C384,'PORTIFÓLIO'!C:V,3,0),"")</f>
        <v/>
      </c>
      <c r="F384" s="190" t="str">
        <f>IFERROR(VLOOKUP($C384,'PORTIFÓLIO'!C:V,4,0),"")</f>
        <v/>
      </c>
      <c r="G384" s="206" t="str">
        <f>IFERROR(VLOOKUP($C384,'PORTIFÓLIO'!C:V,5,0),"")</f>
        <v/>
      </c>
      <c r="H384" s="247" t="str">
        <f t="array" ref="H384">IFERROR(INDEX('PORTIFÓLIO'!$H$4:$H$433,MATCH($C384,'PORTIFÓLIO'!$C$4:$C$433,0)),"")</f>
        <v/>
      </c>
      <c r="I384" s="208"/>
      <c r="J384" s="209">
        <f t="shared" si="43"/>
        <v>0</v>
      </c>
      <c r="K384" s="248" t="str">
        <f t="array" ref="K384">IFERROR(I384*INDEX('PORTIFÓLIO'!$S$4:$S$433,MATCH($C384,'PORTIFÓLIO'!$C$4:$C$433,0)),"")</f>
        <v/>
      </c>
      <c r="L384" s="248" t="str">
        <f t="array" ref="L384">IFERROR(J384*INDEX('PORTIFÓLIO'!$S$4:$S$433,MATCH($C384,'PORTIFÓLIO'!$C$4:$C$433,0)),"")</f>
        <v/>
      </c>
      <c r="M384" s="177"/>
      <c r="N384" s="177"/>
      <c r="O384" s="177"/>
      <c r="P384" s="177"/>
      <c r="Q384" s="177"/>
      <c r="R384" s="177"/>
      <c r="S384" s="177"/>
      <c r="T384" s="177"/>
      <c r="U384" s="177"/>
      <c r="V384" s="177"/>
      <c r="W384" s="177"/>
      <c r="X384" s="177"/>
    </row>
    <row r="385" ht="15.75" customHeight="1" outlineLevel="1">
      <c r="A385" s="190"/>
      <c r="B385" s="204"/>
      <c r="C385" s="191"/>
      <c r="D385" s="205" t="str">
        <f>IFERROR(VLOOKUP($C385,'PORTIFÓLIO'!C:V,2,0),"")</f>
        <v/>
      </c>
      <c r="E385" s="190" t="str">
        <f>IFERROR(VLOOKUP($C385,'PORTIFÓLIO'!C:V,3,0),"")</f>
        <v/>
      </c>
      <c r="F385" s="190" t="str">
        <f>IFERROR(VLOOKUP($C385,'PORTIFÓLIO'!C:V,4,0),"")</f>
        <v/>
      </c>
      <c r="G385" s="206" t="str">
        <f>IFERROR(VLOOKUP($C385,'PORTIFÓLIO'!C:V,5,0),"")</f>
        <v/>
      </c>
      <c r="H385" s="247" t="str">
        <f t="array" ref="H385">IFERROR(INDEX('PORTIFÓLIO'!$H$4:$H$433,MATCH($C385,'PORTIFÓLIO'!$C$4:$C$433,0)),"")</f>
        <v/>
      </c>
      <c r="I385" s="228"/>
      <c r="J385" s="209">
        <f t="shared" si="43"/>
        <v>0</v>
      </c>
      <c r="K385" s="248" t="str">
        <f t="array" ref="K385">IFERROR(I385*INDEX('PORTIFÓLIO'!$S$4:$S$433,MATCH($C385,'PORTIFÓLIO'!$C$4:$C$433,0)),"")</f>
        <v/>
      </c>
      <c r="L385" s="248" t="str">
        <f t="array" ref="L385">IFERROR(J385*INDEX('PORTIFÓLIO'!$S$4:$S$433,MATCH($C385,'PORTIFÓLIO'!$C$4:$C$433,0)),"")</f>
        <v/>
      </c>
      <c r="M385" s="177"/>
      <c r="N385" s="177"/>
      <c r="O385" s="177"/>
      <c r="P385" s="177"/>
      <c r="Q385" s="177"/>
      <c r="R385" s="177"/>
      <c r="S385" s="177"/>
      <c r="T385" s="177"/>
      <c r="U385" s="177"/>
      <c r="V385" s="177"/>
      <c r="W385" s="177"/>
      <c r="X385" s="177"/>
    </row>
    <row r="386" ht="15.75" customHeight="1" outlineLevel="1">
      <c r="A386" s="190"/>
      <c r="B386" s="204"/>
      <c r="C386" s="191"/>
      <c r="D386" s="205" t="str">
        <f>IFERROR(VLOOKUP($C386,'PORTIFÓLIO'!C:V,2,0),"")</f>
        <v/>
      </c>
      <c r="E386" s="190" t="str">
        <f>IFERROR(VLOOKUP($C386,'PORTIFÓLIO'!C:V,3,0),"")</f>
        <v/>
      </c>
      <c r="F386" s="190" t="str">
        <f>IFERROR(VLOOKUP($C386,'PORTIFÓLIO'!C:V,4,0),"")</f>
        <v/>
      </c>
      <c r="G386" s="206" t="str">
        <f>IFERROR(VLOOKUP($C386,'PORTIFÓLIO'!C:V,5,0),"")</f>
        <v/>
      </c>
      <c r="H386" s="247" t="str">
        <f t="array" ref="H386">IFERROR(INDEX('PORTIFÓLIO'!$H$4:$H$433,MATCH($C386,'PORTIFÓLIO'!$C$4:$C$433,0)),"")</f>
        <v/>
      </c>
      <c r="I386" s="228"/>
      <c r="J386" s="209">
        <f t="shared" si="43"/>
        <v>0</v>
      </c>
      <c r="K386" s="248" t="str">
        <f t="array" ref="K386">IFERROR(I386*INDEX('PORTIFÓLIO'!$S$4:$S$433,MATCH($C386,'PORTIFÓLIO'!$C$4:$C$433,0)),"")</f>
        <v/>
      </c>
      <c r="L386" s="248" t="str">
        <f t="array" ref="L386">IFERROR(J386*INDEX('PORTIFÓLIO'!$S$4:$S$433,MATCH($C386,'PORTIFÓLIO'!$C$4:$C$433,0)),"")</f>
        <v/>
      </c>
      <c r="M386" s="177"/>
      <c r="N386" s="177"/>
      <c r="O386" s="177"/>
      <c r="P386" s="177"/>
      <c r="Q386" s="177"/>
      <c r="R386" s="177"/>
      <c r="S386" s="177"/>
      <c r="T386" s="177"/>
      <c r="U386" s="177"/>
      <c r="V386" s="177"/>
      <c r="W386" s="177"/>
      <c r="X386" s="177"/>
    </row>
    <row r="387" ht="15.75" customHeight="1" outlineLevel="1">
      <c r="A387" s="190"/>
      <c r="B387" s="204"/>
      <c r="C387" s="191"/>
      <c r="D387" s="205" t="str">
        <f>IFERROR(VLOOKUP($C387,'PORTIFÓLIO'!C:V,2,0),"")</f>
        <v/>
      </c>
      <c r="E387" s="190" t="str">
        <f>IFERROR(VLOOKUP($C387,'PORTIFÓLIO'!C:V,3,0),"")</f>
        <v/>
      </c>
      <c r="F387" s="190" t="str">
        <f>IFERROR(VLOOKUP($C387,'PORTIFÓLIO'!C:V,4,0),"")</f>
        <v/>
      </c>
      <c r="G387" s="206" t="str">
        <f>IFERROR(VLOOKUP($C387,'PORTIFÓLIO'!C:V,5,0),"")</f>
        <v/>
      </c>
      <c r="H387" s="247" t="str">
        <f t="array" ref="H387">IFERROR(INDEX('PORTIFÓLIO'!$H$4:$H$433,MATCH($C387,'PORTIFÓLIO'!$C$4:$C$433,0)),"")</f>
        <v/>
      </c>
      <c r="I387" s="228"/>
      <c r="J387" s="209">
        <f t="shared" si="43"/>
        <v>0</v>
      </c>
      <c r="K387" s="248" t="str">
        <f t="array" ref="K387">IFERROR(I387*INDEX('PORTIFÓLIO'!$S$4:$S$433,MATCH($C387,'PORTIFÓLIO'!$C$4:$C$433,0)),"")</f>
        <v/>
      </c>
      <c r="L387" s="248" t="str">
        <f t="array" ref="L387">IFERROR(J387*INDEX('PORTIFÓLIO'!$S$4:$S$433,MATCH($C387,'PORTIFÓLIO'!$C$4:$C$433,0)),"")</f>
        <v/>
      </c>
      <c r="M387" s="177"/>
      <c r="N387" s="177"/>
      <c r="O387" s="177"/>
      <c r="P387" s="177"/>
      <c r="Q387" s="177"/>
      <c r="R387" s="177"/>
      <c r="S387" s="177"/>
      <c r="T387" s="177"/>
      <c r="U387" s="177"/>
      <c r="V387" s="177"/>
      <c r="W387" s="177"/>
      <c r="X387" s="177"/>
    </row>
    <row r="388" ht="15.75" customHeight="1" outlineLevel="1">
      <c r="A388" s="190"/>
      <c r="B388" s="204"/>
      <c r="C388" s="191"/>
      <c r="D388" s="205" t="str">
        <f>IFERROR(VLOOKUP($C388,'PORTIFÓLIO'!C:V,2,0),"")</f>
        <v/>
      </c>
      <c r="E388" s="190" t="str">
        <f>IFERROR(VLOOKUP($C388,'PORTIFÓLIO'!C:V,3,0),"")</f>
        <v/>
      </c>
      <c r="F388" s="190" t="str">
        <f>IFERROR(VLOOKUP($C388,'PORTIFÓLIO'!C:V,4,0),"")</f>
        <v/>
      </c>
      <c r="G388" s="206" t="str">
        <f>IFERROR(VLOOKUP($C388,'PORTIFÓLIO'!C:V,5,0),"")</f>
        <v/>
      </c>
      <c r="H388" s="247" t="str">
        <f t="array" ref="H388">IFERROR(INDEX('PORTIFÓLIO'!$H$4:$H$433,MATCH($C388,'PORTIFÓLIO'!$C$4:$C$433,0)),"")</f>
        <v/>
      </c>
      <c r="I388" s="228"/>
      <c r="J388" s="209">
        <f t="shared" si="43"/>
        <v>0</v>
      </c>
      <c r="K388" s="248" t="str">
        <f t="array" ref="K388">IFERROR(I388*INDEX('PORTIFÓLIO'!$S$4:$S$433,MATCH($C388,'PORTIFÓLIO'!$C$4:$C$433,0)),"")</f>
        <v/>
      </c>
      <c r="L388" s="248" t="str">
        <f t="array" ref="L388">IFERROR(J388*INDEX('PORTIFÓLIO'!$S$4:$S$433,MATCH($C388,'PORTIFÓLIO'!$C$4:$C$433,0)),"")</f>
        <v/>
      </c>
      <c r="M388" s="177"/>
      <c r="N388" s="177"/>
      <c r="O388" s="177"/>
      <c r="P388" s="177"/>
      <c r="Q388" s="177"/>
      <c r="R388" s="177"/>
      <c r="S388" s="177"/>
      <c r="T388" s="177"/>
      <c r="U388" s="177"/>
      <c r="V388" s="177"/>
      <c r="W388" s="177"/>
      <c r="X388" s="177"/>
    </row>
    <row r="389" ht="15.75" customHeight="1" outlineLevel="1">
      <c r="A389" s="190"/>
      <c r="B389" s="204"/>
      <c r="C389" s="191"/>
      <c r="D389" s="205" t="str">
        <f>IFERROR(VLOOKUP($C389,'PORTIFÓLIO'!C:V,2,0),"")</f>
        <v/>
      </c>
      <c r="E389" s="190" t="str">
        <f>IFERROR(VLOOKUP($C389,'PORTIFÓLIO'!C:V,3,0),"")</f>
        <v/>
      </c>
      <c r="F389" s="190" t="str">
        <f>IFERROR(VLOOKUP($C389,'PORTIFÓLIO'!C:V,4,0),"")</f>
        <v/>
      </c>
      <c r="G389" s="206" t="str">
        <f>IFERROR(VLOOKUP($C389,'PORTIFÓLIO'!C:V,5,0),"")</f>
        <v/>
      </c>
      <c r="H389" s="247" t="str">
        <f t="array" ref="H389">IFERROR(INDEX('PORTIFÓLIO'!$H$4:$H$433,MATCH($C389,'PORTIFÓLIO'!$C$4:$C$433,0)),"")</f>
        <v/>
      </c>
      <c r="I389" s="228"/>
      <c r="J389" s="209">
        <f t="shared" si="43"/>
        <v>0</v>
      </c>
      <c r="K389" s="248" t="str">
        <f t="array" ref="K389">IFERROR(I389*INDEX('PORTIFÓLIO'!$S$4:$S$433,MATCH($C389,'PORTIFÓLIO'!$C$4:$C$433,0)),"")</f>
        <v/>
      </c>
      <c r="L389" s="248" t="str">
        <f t="array" ref="L389">IFERROR(J389*INDEX('PORTIFÓLIO'!$S$4:$S$433,MATCH($C389,'PORTIFÓLIO'!$C$4:$C$433,0)),"")</f>
        <v/>
      </c>
      <c r="M389" s="177"/>
      <c r="N389" s="177"/>
      <c r="O389" s="177"/>
      <c r="P389" s="177"/>
      <c r="Q389" s="177"/>
      <c r="R389" s="177"/>
      <c r="S389" s="177"/>
      <c r="T389" s="177"/>
      <c r="U389" s="177"/>
      <c r="V389" s="177"/>
      <c r="W389" s="177"/>
      <c r="X389" s="177"/>
    </row>
    <row r="390" ht="15.75" customHeight="1" outlineLevel="1">
      <c r="A390" s="190"/>
      <c r="B390" s="204"/>
      <c r="C390" s="191"/>
      <c r="D390" s="205" t="str">
        <f>IFERROR(VLOOKUP($C390,'PORTIFÓLIO'!C:V,2,0),"")</f>
        <v/>
      </c>
      <c r="E390" s="190" t="str">
        <f>IFERROR(VLOOKUP($C390,'PORTIFÓLIO'!C:V,3,0),"")</f>
        <v/>
      </c>
      <c r="F390" s="190" t="str">
        <f>IFERROR(VLOOKUP($C390,'PORTIFÓLIO'!C:V,4,0),"")</f>
        <v/>
      </c>
      <c r="G390" s="206" t="str">
        <f>IFERROR(VLOOKUP($C390,'PORTIFÓLIO'!C:V,5,0),"")</f>
        <v/>
      </c>
      <c r="H390" s="247" t="str">
        <f t="array" ref="H390">IFERROR(INDEX('PORTIFÓLIO'!$H$4:$H$433,MATCH($C390,'PORTIFÓLIO'!$C$4:$C$433,0)),"")</f>
        <v/>
      </c>
      <c r="I390" s="228"/>
      <c r="J390" s="209">
        <f t="shared" si="43"/>
        <v>0</v>
      </c>
      <c r="K390" s="248" t="str">
        <f t="array" ref="K390">IFERROR(I390*INDEX('PORTIFÓLIO'!$S$4:$S$433,MATCH($C390,'PORTIFÓLIO'!$C$4:$C$433,0)),"")</f>
        <v/>
      </c>
      <c r="L390" s="248" t="str">
        <f t="array" ref="L390">IFERROR(J390*INDEX('PORTIFÓLIO'!$S$4:$S$433,MATCH($C390,'PORTIFÓLIO'!$C$4:$C$433,0)),"")</f>
        <v/>
      </c>
      <c r="M390" s="177"/>
      <c r="N390" s="177"/>
      <c r="O390" s="177"/>
      <c r="P390" s="177"/>
      <c r="Q390" s="177"/>
      <c r="R390" s="177"/>
      <c r="S390" s="177"/>
      <c r="T390" s="177"/>
      <c r="U390" s="177"/>
      <c r="V390" s="177"/>
      <c r="W390" s="177"/>
      <c r="X390" s="177"/>
    </row>
    <row r="391" ht="15.75" customHeight="1" outlineLevel="1">
      <c r="A391" s="190"/>
      <c r="B391" s="238"/>
      <c r="C391" s="190"/>
      <c r="D391" s="205" t="str">
        <f>IFERROR(VLOOKUP($C391,'PORTIFÓLIO'!C:V,2,0),"")</f>
        <v/>
      </c>
      <c r="E391" s="190" t="str">
        <f>IFERROR(VLOOKUP($C391,'PORTIFÓLIO'!C:V,3,0),"")</f>
        <v/>
      </c>
      <c r="F391" s="190" t="str">
        <f>IFERROR(VLOOKUP($C391,'PORTIFÓLIO'!C:V,4,0),"")</f>
        <v/>
      </c>
      <c r="G391" s="206" t="str">
        <f>IFERROR(VLOOKUP($C391,'PORTIFÓLIO'!C:V,5,0),"")</f>
        <v/>
      </c>
      <c r="H391" s="247" t="str">
        <f t="array" ref="H391">IFERROR(INDEX('PORTIFÓLIO'!$H$4:$H$433,MATCH($C391,'PORTIFÓLIO'!$C$4:$C$433,0)),"")</f>
        <v/>
      </c>
      <c r="I391" s="228"/>
      <c r="J391" s="209"/>
      <c r="K391" s="248" t="str">
        <f t="array" ref="K391">IFERROR(I391*INDEX('PORTIFÓLIO'!$S$4:$S$433,MATCH($C391,'PORTIFÓLIO'!$C$4:$C$433,0)),"")</f>
        <v/>
      </c>
      <c r="L391" s="248" t="str">
        <f t="array" ref="L391">IFERROR(J391*INDEX('PORTIFÓLIO'!$S$4:$S$433,MATCH($C391,'PORTIFÓLIO'!$C$4:$C$433,0)),"")</f>
        <v/>
      </c>
      <c r="M391" s="177"/>
      <c r="N391" s="177"/>
      <c r="O391" s="177"/>
      <c r="P391" s="177"/>
      <c r="Q391" s="177"/>
      <c r="R391" s="177"/>
      <c r="S391" s="177"/>
      <c r="T391" s="177"/>
      <c r="U391" s="177"/>
      <c r="V391" s="177"/>
      <c r="W391" s="177"/>
      <c r="X391" s="177"/>
    </row>
    <row r="392" ht="15.75" customHeight="1">
      <c r="A392" s="221" t="s">
        <v>1193</v>
      </c>
      <c r="B392" s="197"/>
      <c r="C392" s="196"/>
      <c r="D392" s="198"/>
      <c r="E392" s="196"/>
      <c r="F392" s="196"/>
      <c r="G392" s="199"/>
      <c r="H392" s="199"/>
      <c r="I392" s="201"/>
      <c r="J392" s="202"/>
      <c r="K392" s="203">
        <f t="shared" ref="K392:L392" si="44">SUBTOTAL(9,K393:K406)</f>
        <v>0</v>
      </c>
      <c r="L392" s="203">
        <f t="shared" si="44"/>
        <v>0</v>
      </c>
      <c r="M392" s="177"/>
      <c r="N392" s="177"/>
      <c r="O392" s="177"/>
      <c r="P392" s="177"/>
      <c r="Q392" s="177"/>
      <c r="R392" s="177"/>
      <c r="S392" s="177"/>
      <c r="T392" s="177"/>
      <c r="U392" s="177"/>
      <c r="V392" s="177"/>
      <c r="W392" s="177"/>
      <c r="X392" s="177"/>
    </row>
    <row r="393" ht="15.75" customHeight="1" outlineLevel="1">
      <c r="A393" s="191"/>
      <c r="B393" s="204"/>
      <c r="C393" s="191"/>
      <c r="D393" s="205" t="str">
        <f>IFERROR(VLOOKUP($C393,'PORTIFÓLIO'!C:V,2,0),"")</f>
        <v/>
      </c>
      <c r="E393" s="190" t="str">
        <f>IFERROR(VLOOKUP($C393,'PORTIFÓLIO'!C:V,3,0),"")</f>
        <v/>
      </c>
      <c r="F393" s="190" t="str">
        <f>IFERROR(VLOOKUP($C393,'PORTIFÓLIO'!C:V,4,0),"")</f>
        <v/>
      </c>
      <c r="G393" s="206" t="str">
        <f>IFERROR(VLOOKUP($C393,'PORTIFÓLIO'!C:V,5,0),"")</f>
        <v/>
      </c>
      <c r="H393" s="247" t="str">
        <f t="array" ref="H393">IFERROR(INDEX('PORTIFÓLIO'!$H$4:$H$433,MATCH($C393,'PORTIFÓLIO'!$C$4:$C$433,0)),"")</f>
        <v/>
      </c>
      <c r="I393" s="208"/>
      <c r="J393" s="209">
        <f t="shared" ref="J393:J408" si="45">I393*$B$2</f>
        <v>0</v>
      </c>
      <c r="K393" s="248" t="str">
        <f t="array" ref="K393">IFERROR(I393*INDEX('PORTIFÓLIO'!$S$4:$S$433,MATCH($C393,'PORTIFÓLIO'!$C$4:$C$433,0)),"")</f>
        <v/>
      </c>
      <c r="L393" s="248" t="str">
        <f t="array" ref="L393">IFERROR(J393*INDEX('PORTIFÓLIO'!$S$4:$S$433,MATCH($C393,'PORTIFÓLIO'!$C$4:$C$433,0)),"")</f>
        <v/>
      </c>
      <c r="M393" s="177"/>
      <c r="N393" s="177"/>
      <c r="O393" s="177"/>
      <c r="P393" s="177"/>
      <c r="Q393" s="177"/>
      <c r="R393" s="177"/>
      <c r="S393" s="177"/>
      <c r="T393" s="177"/>
      <c r="U393" s="177"/>
      <c r="V393" s="177"/>
      <c r="W393" s="177"/>
      <c r="X393" s="177"/>
    </row>
    <row r="394" ht="15.75" customHeight="1" outlineLevel="1">
      <c r="A394" s="190"/>
      <c r="B394" s="204"/>
      <c r="C394" s="191"/>
      <c r="D394" s="205" t="str">
        <f>IFERROR(VLOOKUP($C394,'PORTIFÓLIO'!C:V,2,0),"")</f>
        <v/>
      </c>
      <c r="E394" s="190" t="str">
        <f>IFERROR(VLOOKUP($C394,'PORTIFÓLIO'!C:V,3,0),"")</f>
        <v/>
      </c>
      <c r="F394" s="190" t="str">
        <f>IFERROR(VLOOKUP($C394,'PORTIFÓLIO'!C:V,4,0),"")</f>
        <v/>
      </c>
      <c r="G394" s="206" t="str">
        <f>IFERROR(VLOOKUP($C394,'PORTIFÓLIO'!C:V,5,0),"")</f>
        <v/>
      </c>
      <c r="H394" s="247" t="str">
        <f t="array" ref="H394">IFERROR(INDEX('PORTIFÓLIO'!$H$4:$H$433,MATCH($C394,'PORTIFÓLIO'!$C$4:$C$433,0)),"")</f>
        <v/>
      </c>
      <c r="I394" s="228"/>
      <c r="J394" s="209">
        <f t="shared" si="45"/>
        <v>0</v>
      </c>
      <c r="K394" s="248" t="str">
        <f t="array" ref="K394">IFERROR(I394*INDEX('PORTIFÓLIO'!$S$4:$S$433,MATCH($C394,'PORTIFÓLIO'!$C$4:$C$433,0)),"")</f>
        <v/>
      </c>
      <c r="L394" s="248" t="str">
        <f t="array" ref="L394">IFERROR(J394*INDEX('PORTIFÓLIO'!$S$4:$S$433,MATCH($C394,'PORTIFÓLIO'!$C$4:$C$433,0)),"")</f>
        <v/>
      </c>
      <c r="M394" s="177"/>
      <c r="N394" s="177"/>
      <c r="O394" s="177"/>
      <c r="P394" s="177"/>
      <c r="Q394" s="177"/>
      <c r="R394" s="177"/>
      <c r="S394" s="177"/>
      <c r="T394" s="177"/>
      <c r="U394" s="177"/>
      <c r="V394" s="177"/>
      <c r="W394" s="177"/>
      <c r="X394" s="177"/>
    </row>
    <row r="395" ht="15.75" customHeight="1" outlineLevel="1">
      <c r="A395" s="190"/>
      <c r="B395" s="204"/>
      <c r="C395" s="191"/>
      <c r="D395" s="205" t="str">
        <f>IFERROR(VLOOKUP($C395,'PORTIFÓLIO'!C:V,2,0),"")</f>
        <v/>
      </c>
      <c r="E395" s="190" t="str">
        <f>IFERROR(VLOOKUP($C395,'PORTIFÓLIO'!C:V,3,0),"")</f>
        <v/>
      </c>
      <c r="F395" s="190" t="str">
        <f>IFERROR(VLOOKUP($C395,'PORTIFÓLIO'!C:V,4,0),"")</f>
        <v/>
      </c>
      <c r="G395" s="206" t="str">
        <f>IFERROR(VLOOKUP($C395,'PORTIFÓLIO'!C:V,5,0),"")</f>
        <v/>
      </c>
      <c r="H395" s="247" t="str">
        <f t="array" ref="H395">IFERROR(INDEX('PORTIFÓLIO'!$H$4:$H$433,MATCH($C395,'PORTIFÓLIO'!$C$4:$C$433,0)),"")</f>
        <v/>
      </c>
      <c r="I395" s="228"/>
      <c r="J395" s="209">
        <f t="shared" si="45"/>
        <v>0</v>
      </c>
      <c r="K395" s="248" t="str">
        <f t="array" ref="K395">IFERROR(I395*INDEX('PORTIFÓLIO'!$S$4:$S$433,MATCH($C395,'PORTIFÓLIO'!$C$4:$C$433,0)),"")</f>
        <v/>
      </c>
      <c r="L395" s="248" t="str">
        <f t="array" ref="L395">IFERROR(J395*INDEX('PORTIFÓLIO'!$S$4:$S$433,MATCH($C395,'PORTIFÓLIO'!$C$4:$C$433,0)),"")</f>
        <v/>
      </c>
      <c r="M395" s="177"/>
      <c r="N395" s="177"/>
      <c r="O395" s="177"/>
      <c r="P395" s="177"/>
      <c r="Q395" s="177"/>
      <c r="R395" s="177"/>
      <c r="S395" s="177"/>
      <c r="T395" s="177"/>
      <c r="U395" s="177"/>
      <c r="V395" s="177"/>
      <c r="W395" s="177"/>
      <c r="X395" s="177"/>
    </row>
    <row r="396" ht="15.75" customHeight="1" outlineLevel="1">
      <c r="A396" s="190"/>
      <c r="B396" s="204"/>
      <c r="C396" s="191"/>
      <c r="D396" s="205" t="str">
        <f>IFERROR(VLOOKUP($C396,'PORTIFÓLIO'!C:V,2,0),"")</f>
        <v/>
      </c>
      <c r="E396" s="190" t="str">
        <f>IFERROR(VLOOKUP($C396,'PORTIFÓLIO'!C:V,3,0),"")</f>
        <v/>
      </c>
      <c r="F396" s="190" t="str">
        <f>IFERROR(VLOOKUP($C396,'PORTIFÓLIO'!C:V,4,0),"")</f>
        <v/>
      </c>
      <c r="G396" s="206" t="str">
        <f>IFERROR(VLOOKUP($C396,'PORTIFÓLIO'!C:V,5,0),"")</f>
        <v/>
      </c>
      <c r="H396" s="247" t="str">
        <f t="array" ref="H396">IFERROR(INDEX('PORTIFÓLIO'!$H$4:$H$433,MATCH($C396,'PORTIFÓLIO'!$C$4:$C$433,0)),"")</f>
        <v/>
      </c>
      <c r="I396" s="228"/>
      <c r="J396" s="209">
        <f t="shared" si="45"/>
        <v>0</v>
      </c>
      <c r="K396" s="248" t="str">
        <f t="array" ref="K396">IFERROR(I396*INDEX('PORTIFÓLIO'!$S$4:$S$433,MATCH($C396,'PORTIFÓLIO'!$C$4:$C$433,0)),"")</f>
        <v/>
      </c>
      <c r="L396" s="248" t="str">
        <f t="array" ref="L396">IFERROR(J396*INDEX('PORTIFÓLIO'!$S$4:$S$433,MATCH($C396,'PORTIFÓLIO'!$C$4:$C$433,0)),"")</f>
        <v/>
      </c>
      <c r="M396" s="177"/>
      <c r="N396" s="177"/>
      <c r="O396" s="177"/>
      <c r="P396" s="177"/>
      <c r="Q396" s="177"/>
      <c r="R396" s="177"/>
      <c r="S396" s="177"/>
      <c r="T396" s="177"/>
      <c r="U396" s="177"/>
      <c r="V396" s="177"/>
      <c r="W396" s="177"/>
      <c r="X396" s="177"/>
    </row>
    <row r="397" ht="15.75" customHeight="1" outlineLevel="1">
      <c r="A397" s="190"/>
      <c r="B397" s="204"/>
      <c r="C397" s="191"/>
      <c r="D397" s="205" t="str">
        <f>IFERROR(VLOOKUP($C397,'PORTIFÓLIO'!C:V,2,0),"")</f>
        <v/>
      </c>
      <c r="E397" s="190" t="str">
        <f>IFERROR(VLOOKUP($C397,'PORTIFÓLIO'!C:V,3,0),"")</f>
        <v/>
      </c>
      <c r="F397" s="190" t="str">
        <f>IFERROR(VLOOKUP($C397,'PORTIFÓLIO'!C:V,4,0),"")</f>
        <v/>
      </c>
      <c r="G397" s="206" t="str">
        <f>IFERROR(VLOOKUP($C397,'PORTIFÓLIO'!C:V,5,0),"")</f>
        <v/>
      </c>
      <c r="H397" s="247" t="str">
        <f t="array" ref="H397">IFERROR(INDEX('PORTIFÓLIO'!$H$4:$H$433,MATCH($C397,'PORTIFÓLIO'!$C$4:$C$433,0)),"")</f>
        <v/>
      </c>
      <c r="I397" s="228"/>
      <c r="J397" s="209">
        <f t="shared" si="45"/>
        <v>0</v>
      </c>
      <c r="K397" s="248" t="str">
        <f t="array" ref="K397">IFERROR(I397*INDEX('PORTIFÓLIO'!$S$4:$S$433,MATCH($C397,'PORTIFÓLIO'!$C$4:$C$433,0)),"")</f>
        <v/>
      </c>
      <c r="L397" s="248" t="str">
        <f t="array" ref="L397">IFERROR(J397*INDEX('PORTIFÓLIO'!$S$4:$S$433,MATCH($C397,'PORTIFÓLIO'!$C$4:$C$433,0)),"")</f>
        <v/>
      </c>
      <c r="M397" s="177"/>
      <c r="N397" s="177"/>
      <c r="O397" s="177"/>
      <c r="P397" s="177"/>
      <c r="Q397" s="177"/>
      <c r="R397" s="177"/>
      <c r="S397" s="177"/>
      <c r="T397" s="177"/>
      <c r="U397" s="177"/>
      <c r="V397" s="177"/>
      <c r="W397" s="177"/>
      <c r="X397" s="177"/>
    </row>
    <row r="398" ht="15.75" customHeight="1" outlineLevel="1">
      <c r="A398" s="190"/>
      <c r="B398" s="204"/>
      <c r="C398" s="191"/>
      <c r="D398" s="205" t="str">
        <f>IFERROR(VLOOKUP($C398,'PORTIFÓLIO'!C:V,2,0),"")</f>
        <v/>
      </c>
      <c r="E398" s="190" t="str">
        <f>IFERROR(VLOOKUP($C398,'PORTIFÓLIO'!C:V,3,0),"")</f>
        <v/>
      </c>
      <c r="F398" s="190" t="str">
        <f>IFERROR(VLOOKUP($C398,'PORTIFÓLIO'!C:V,4,0),"")</f>
        <v/>
      </c>
      <c r="G398" s="206" t="str">
        <f>IFERROR(VLOOKUP($C398,'PORTIFÓLIO'!C:V,5,0),"")</f>
        <v/>
      </c>
      <c r="H398" s="247" t="str">
        <f t="array" ref="H398">IFERROR(INDEX('PORTIFÓLIO'!$H$4:$H$433,MATCH($C398,'PORTIFÓLIO'!$C$4:$C$433,0)),"")</f>
        <v/>
      </c>
      <c r="I398" s="228"/>
      <c r="J398" s="209">
        <f t="shared" si="45"/>
        <v>0</v>
      </c>
      <c r="K398" s="248" t="str">
        <f t="array" ref="K398">IFERROR(I398*INDEX('PORTIFÓLIO'!$S$4:$S$433,MATCH($C398,'PORTIFÓLIO'!$C$4:$C$433,0)),"")</f>
        <v/>
      </c>
      <c r="L398" s="248" t="str">
        <f t="array" ref="L398">IFERROR(J398*INDEX('PORTIFÓLIO'!$S$4:$S$433,MATCH($C398,'PORTIFÓLIO'!$C$4:$C$433,0)),"")</f>
        <v/>
      </c>
      <c r="M398" s="177"/>
      <c r="N398" s="177"/>
      <c r="O398" s="177"/>
      <c r="P398" s="177"/>
      <c r="Q398" s="177"/>
      <c r="R398" s="177"/>
      <c r="S398" s="177"/>
      <c r="T398" s="177"/>
      <c r="U398" s="177"/>
      <c r="V398" s="177"/>
      <c r="W398" s="177"/>
      <c r="X398" s="177"/>
    </row>
    <row r="399" ht="15.75" customHeight="1" outlineLevel="1">
      <c r="A399" s="190"/>
      <c r="B399" s="204"/>
      <c r="C399" s="191"/>
      <c r="D399" s="205" t="str">
        <f>IFERROR(VLOOKUP($C399,'PORTIFÓLIO'!C:V,2,0),"")</f>
        <v/>
      </c>
      <c r="E399" s="190" t="str">
        <f>IFERROR(VLOOKUP($C399,'PORTIFÓLIO'!C:V,3,0),"")</f>
        <v/>
      </c>
      <c r="F399" s="190" t="str">
        <f>IFERROR(VLOOKUP($C399,'PORTIFÓLIO'!C:V,4,0),"")</f>
        <v/>
      </c>
      <c r="G399" s="206" t="str">
        <f>IFERROR(VLOOKUP($C399,'PORTIFÓLIO'!C:V,5,0),"")</f>
        <v/>
      </c>
      <c r="H399" s="247" t="str">
        <f t="array" ref="H399">IFERROR(INDEX('PORTIFÓLIO'!$H$4:$H$433,MATCH($C399,'PORTIFÓLIO'!$C$4:$C$433,0)),"")</f>
        <v/>
      </c>
      <c r="I399" s="228"/>
      <c r="J399" s="209">
        <f t="shared" si="45"/>
        <v>0</v>
      </c>
      <c r="K399" s="248" t="str">
        <f t="array" ref="K399">IFERROR(I399*INDEX('PORTIFÓLIO'!$S$4:$S$433,MATCH($C399,'PORTIFÓLIO'!$C$4:$C$433,0)),"")</f>
        <v/>
      </c>
      <c r="L399" s="248" t="str">
        <f t="array" ref="L399">IFERROR(J399*INDEX('PORTIFÓLIO'!$S$4:$S$433,MATCH($C399,'PORTIFÓLIO'!$C$4:$C$433,0)),"")</f>
        <v/>
      </c>
      <c r="M399" s="177"/>
      <c r="N399" s="177"/>
      <c r="O399" s="177"/>
      <c r="P399" s="177"/>
      <c r="Q399" s="177"/>
      <c r="R399" s="177"/>
      <c r="S399" s="177"/>
      <c r="T399" s="177"/>
      <c r="U399" s="177"/>
      <c r="V399" s="177"/>
      <c r="W399" s="177"/>
      <c r="X399" s="177"/>
    </row>
    <row r="400" ht="15.75" customHeight="1" outlineLevel="1">
      <c r="A400" s="190"/>
      <c r="B400" s="204"/>
      <c r="C400" s="191"/>
      <c r="D400" s="205" t="str">
        <f>IFERROR(VLOOKUP($C400,'PORTIFÓLIO'!C:V,2,0),"")</f>
        <v/>
      </c>
      <c r="E400" s="190" t="str">
        <f>IFERROR(VLOOKUP($C400,'PORTIFÓLIO'!C:V,3,0),"")</f>
        <v/>
      </c>
      <c r="F400" s="190" t="str">
        <f>IFERROR(VLOOKUP($C400,'PORTIFÓLIO'!C:V,4,0),"")</f>
        <v/>
      </c>
      <c r="G400" s="206" t="str">
        <f>IFERROR(VLOOKUP($C400,'PORTIFÓLIO'!C:V,5,0),"")</f>
        <v/>
      </c>
      <c r="H400" s="247" t="str">
        <f t="array" ref="H400">IFERROR(INDEX('PORTIFÓLIO'!$H$4:$H$433,MATCH($C400,'PORTIFÓLIO'!$C$4:$C$433,0)),"")</f>
        <v/>
      </c>
      <c r="I400" s="228"/>
      <c r="J400" s="209">
        <f t="shared" si="45"/>
        <v>0</v>
      </c>
      <c r="K400" s="248" t="str">
        <f t="array" ref="K400">IFERROR(I400*INDEX('PORTIFÓLIO'!$S$4:$S$433,MATCH($C400,'PORTIFÓLIO'!$C$4:$C$433,0)),"")</f>
        <v/>
      </c>
      <c r="L400" s="248" t="str">
        <f t="array" ref="L400">IFERROR(J400*INDEX('PORTIFÓLIO'!$S$4:$S$433,MATCH($C400,'PORTIFÓLIO'!$C$4:$C$433,0)),"")</f>
        <v/>
      </c>
      <c r="M400" s="177"/>
      <c r="N400" s="177"/>
      <c r="O400" s="177"/>
      <c r="P400" s="177"/>
      <c r="Q400" s="177"/>
      <c r="R400" s="177"/>
      <c r="S400" s="177"/>
      <c r="T400" s="177"/>
      <c r="U400" s="177"/>
      <c r="V400" s="177"/>
      <c r="W400" s="177"/>
      <c r="X400" s="177"/>
    </row>
    <row r="401" ht="15.75" customHeight="1" outlineLevel="1">
      <c r="A401" s="190"/>
      <c r="B401" s="204"/>
      <c r="C401" s="191"/>
      <c r="D401" s="205" t="str">
        <f>IFERROR(VLOOKUP($C401,'PORTIFÓLIO'!C:V,2,0),"")</f>
        <v/>
      </c>
      <c r="E401" s="190" t="str">
        <f>IFERROR(VLOOKUP($C401,'PORTIFÓLIO'!C:V,3,0),"")</f>
        <v/>
      </c>
      <c r="F401" s="190" t="str">
        <f>IFERROR(VLOOKUP($C401,'PORTIFÓLIO'!C:V,4,0),"")</f>
        <v/>
      </c>
      <c r="G401" s="206" t="str">
        <f>IFERROR(VLOOKUP($C401,'PORTIFÓLIO'!C:V,5,0),"")</f>
        <v/>
      </c>
      <c r="H401" s="247" t="str">
        <f t="array" ref="H401">IFERROR(INDEX('PORTIFÓLIO'!$H$4:$H$433,MATCH($C401,'PORTIFÓLIO'!$C$4:$C$433,0)),"")</f>
        <v/>
      </c>
      <c r="I401" s="208"/>
      <c r="J401" s="209">
        <f t="shared" si="45"/>
        <v>0</v>
      </c>
      <c r="K401" s="248" t="str">
        <f t="array" ref="K401">IFERROR(I401*INDEX('PORTIFÓLIO'!$S$4:$S$433,MATCH($C401,'PORTIFÓLIO'!$C$4:$C$433,0)),"")</f>
        <v/>
      </c>
      <c r="L401" s="248" t="str">
        <f t="array" ref="L401">IFERROR(J401*INDEX('PORTIFÓLIO'!$S$4:$S$433,MATCH($C401,'PORTIFÓLIO'!$C$4:$C$433,0)),"")</f>
        <v/>
      </c>
      <c r="M401" s="177"/>
      <c r="N401" s="177"/>
      <c r="O401" s="177"/>
      <c r="P401" s="177"/>
      <c r="Q401" s="177"/>
      <c r="R401" s="177"/>
      <c r="S401" s="177"/>
      <c r="T401" s="177"/>
      <c r="U401" s="177"/>
      <c r="V401" s="177"/>
      <c r="W401" s="177"/>
      <c r="X401" s="177"/>
    </row>
    <row r="402" ht="15.75" customHeight="1" outlineLevel="1">
      <c r="A402" s="190"/>
      <c r="B402" s="204"/>
      <c r="C402" s="191"/>
      <c r="D402" s="205" t="str">
        <f>IFERROR(VLOOKUP($C402,'PORTIFÓLIO'!C:V,2,0),"")</f>
        <v/>
      </c>
      <c r="E402" s="190" t="str">
        <f>IFERROR(VLOOKUP($C402,'PORTIFÓLIO'!C:V,3,0),"")</f>
        <v/>
      </c>
      <c r="F402" s="190" t="str">
        <f>IFERROR(VLOOKUP($C402,'PORTIFÓLIO'!C:V,4,0),"")</f>
        <v/>
      </c>
      <c r="G402" s="206" t="str">
        <f>IFERROR(VLOOKUP($C402,'PORTIFÓLIO'!C:V,5,0),"")</f>
        <v/>
      </c>
      <c r="H402" s="247" t="str">
        <f t="array" ref="H402">IFERROR(INDEX('PORTIFÓLIO'!$H$4:$H$433,MATCH($C402,'PORTIFÓLIO'!$C$4:$C$433,0)),"")</f>
        <v/>
      </c>
      <c r="I402" s="228"/>
      <c r="J402" s="209">
        <f t="shared" si="45"/>
        <v>0</v>
      </c>
      <c r="K402" s="248" t="str">
        <f t="array" ref="K402">IFERROR(I402*INDEX('PORTIFÓLIO'!$S$4:$S$433,MATCH($C402,'PORTIFÓLIO'!$C$4:$C$433,0)),"")</f>
        <v/>
      </c>
      <c r="L402" s="248" t="str">
        <f t="array" ref="L402">IFERROR(J402*INDEX('PORTIFÓLIO'!$S$4:$S$433,MATCH($C402,'PORTIFÓLIO'!$C$4:$C$433,0)),"")</f>
        <v/>
      </c>
      <c r="M402" s="177"/>
      <c r="N402" s="177"/>
      <c r="O402" s="177"/>
      <c r="P402" s="177"/>
      <c r="Q402" s="177"/>
      <c r="R402" s="177"/>
      <c r="S402" s="177"/>
      <c r="T402" s="177"/>
      <c r="U402" s="177"/>
      <c r="V402" s="177"/>
      <c r="W402" s="177"/>
      <c r="X402" s="177"/>
    </row>
    <row r="403" ht="15.75" customHeight="1" outlineLevel="1">
      <c r="A403" s="190"/>
      <c r="B403" s="204"/>
      <c r="C403" s="191"/>
      <c r="D403" s="205" t="str">
        <f>IFERROR(VLOOKUP($C403,'PORTIFÓLIO'!C:V,2,0),"")</f>
        <v/>
      </c>
      <c r="E403" s="190" t="str">
        <f>IFERROR(VLOOKUP($C403,'PORTIFÓLIO'!C:V,3,0),"")</f>
        <v/>
      </c>
      <c r="F403" s="190" t="str">
        <f>IFERROR(VLOOKUP($C403,'PORTIFÓLIO'!C:V,4,0),"")</f>
        <v/>
      </c>
      <c r="G403" s="206" t="str">
        <f>IFERROR(VLOOKUP($C403,'PORTIFÓLIO'!C:V,5,0),"")</f>
        <v/>
      </c>
      <c r="H403" s="247" t="str">
        <f t="array" ref="H403">IFERROR(INDEX('PORTIFÓLIO'!$H$4:$H$433,MATCH($C403,'PORTIFÓLIO'!$C$4:$C$433,0)),"")</f>
        <v/>
      </c>
      <c r="I403" s="228"/>
      <c r="J403" s="209">
        <f t="shared" si="45"/>
        <v>0</v>
      </c>
      <c r="K403" s="248" t="str">
        <f t="array" ref="K403">IFERROR(I403*INDEX('PORTIFÓLIO'!$S$4:$S$433,MATCH($C403,'PORTIFÓLIO'!$C$4:$C$433,0)),"")</f>
        <v/>
      </c>
      <c r="L403" s="248" t="str">
        <f t="array" ref="L403">IFERROR(J403*INDEX('PORTIFÓLIO'!$S$4:$S$433,MATCH($C403,'PORTIFÓLIO'!$C$4:$C$433,0)),"")</f>
        <v/>
      </c>
      <c r="M403" s="177"/>
      <c r="N403" s="177"/>
      <c r="O403" s="177"/>
      <c r="P403" s="177"/>
      <c r="Q403" s="177"/>
      <c r="R403" s="177"/>
      <c r="S403" s="177"/>
      <c r="T403" s="177"/>
      <c r="U403" s="177"/>
      <c r="V403" s="177"/>
      <c r="W403" s="177"/>
      <c r="X403" s="177"/>
    </row>
    <row r="404" ht="15.75" customHeight="1" outlineLevel="1">
      <c r="A404" s="190"/>
      <c r="B404" s="204"/>
      <c r="C404" s="191"/>
      <c r="D404" s="205" t="str">
        <f>IFERROR(VLOOKUP($C404,'PORTIFÓLIO'!C:V,2,0),"")</f>
        <v/>
      </c>
      <c r="E404" s="190" t="str">
        <f>IFERROR(VLOOKUP($C404,'PORTIFÓLIO'!C:V,3,0),"")</f>
        <v/>
      </c>
      <c r="F404" s="190" t="str">
        <f>IFERROR(VLOOKUP($C404,'PORTIFÓLIO'!C:V,4,0),"")</f>
        <v/>
      </c>
      <c r="G404" s="206" t="str">
        <f>IFERROR(VLOOKUP($C404,'PORTIFÓLIO'!C:V,5,0),"")</f>
        <v/>
      </c>
      <c r="H404" s="247" t="str">
        <f t="array" ref="H404">IFERROR(INDEX('PORTIFÓLIO'!$H$4:$H$433,MATCH($C404,'PORTIFÓLIO'!$C$4:$C$433,0)),"")</f>
        <v/>
      </c>
      <c r="I404" s="228"/>
      <c r="J404" s="209">
        <f t="shared" si="45"/>
        <v>0</v>
      </c>
      <c r="K404" s="248" t="str">
        <f t="array" ref="K404">IFERROR(I404*INDEX('PORTIFÓLIO'!$S$4:$S$433,MATCH($C404,'PORTIFÓLIO'!$C$4:$C$433,0)),"")</f>
        <v/>
      </c>
      <c r="L404" s="248" t="str">
        <f t="array" ref="L404">IFERROR(J404*INDEX('PORTIFÓLIO'!$S$4:$S$433,MATCH($C404,'PORTIFÓLIO'!$C$4:$C$433,0)),"")</f>
        <v/>
      </c>
      <c r="M404" s="177"/>
      <c r="N404" s="177"/>
      <c r="O404" s="177"/>
      <c r="P404" s="177"/>
      <c r="Q404" s="177"/>
      <c r="R404" s="177"/>
      <c r="S404" s="177"/>
      <c r="T404" s="177"/>
      <c r="U404" s="177"/>
      <c r="V404" s="177"/>
      <c r="W404" s="177"/>
      <c r="X404" s="177"/>
    </row>
    <row r="405" ht="15.75" customHeight="1" outlineLevel="1">
      <c r="A405" s="190"/>
      <c r="B405" s="204"/>
      <c r="C405" s="191"/>
      <c r="D405" s="205" t="str">
        <f>IFERROR(VLOOKUP($C405,'PORTIFÓLIO'!C:V,2,0),"")</f>
        <v/>
      </c>
      <c r="E405" s="190" t="str">
        <f>IFERROR(VLOOKUP($C405,'PORTIFÓLIO'!C:V,3,0),"")</f>
        <v/>
      </c>
      <c r="F405" s="190" t="str">
        <f>IFERROR(VLOOKUP($C405,'PORTIFÓLIO'!C:V,4,0),"")</f>
        <v/>
      </c>
      <c r="G405" s="206" t="str">
        <f>IFERROR(VLOOKUP($C405,'PORTIFÓLIO'!C:V,5,0),"")</f>
        <v/>
      </c>
      <c r="H405" s="247" t="str">
        <f t="array" ref="H405">IFERROR(INDEX('PORTIFÓLIO'!$H$4:$H$433,MATCH($C405,'PORTIFÓLIO'!$C$4:$C$433,0)),"")</f>
        <v/>
      </c>
      <c r="I405" s="228"/>
      <c r="J405" s="209">
        <f t="shared" si="45"/>
        <v>0</v>
      </c>
      <c r="K405" s="248" t="str">
        <f t="array" ref="K405">IFERROR(I405*INDEX('PORTIFÓLIO'!$S$4:$S$433,MATCH($C405,'PORTIFÓLIO'!$C$4:$C$433,0)),"")</f>
        <v/>
      </c>
      <c r="L405" s="248" t="str">
        <f t="array" ref="L405">IFERROR(J405*INDEX('PORTIFÓLIO'!$S$4:$S$433,MATCH($C405,'PORTIFÓLIO'!$C$4:$C$433,0)),"")</f>
        <v/>
      </c>
      <c r="M405" s="177"/>
      <c r="N405" s="177"/>
      <c r="O405" s="177"/>
      <c r="P405" s="177"/>
      <c r="Q405" s="177"/>
      <c r="R405" s="177"/>
      <c r="S405" s="177"/>
      <c r="T405" s="177"/>
      <c r="U405" s="177"/>
      <c r="V405" s="177"/>
      <c r="W405" s="177"/>
      <c r="X405" s="177"/>
    </row>
    <row r="406" ht="15.75" customHeight="1" outlineLevel="1">
      <c r="A406" s="190"/>
      <c r="B406" s="204"/>
      <c r="C406" s="191"/>
      <c r="D406" s="205" t="str">
        <f>IFERROR(VLOOKUP($C406,'PORTIFÓLIO'!C:V,2,0),"")</f>
        <v/>
      </c>
      <c r="E406" s="190" t="str">
        <f>IFERROR(VLOOKUP($C406,'PORTIFÓLIO'!C:V,3,0),"")</f>
        <v/>
      </c>
      <c r="F406" s="190" t="str">
        <f>IFERROR(VLOOKUP($C406,'PORTIFÓLIO'!C:V,4,0),"")</f>
        <v/>
      </c>
      <c r="G406" s="206" t="str">
        <f>IFERROR(VLOOKUP($C406,'PORTIFÓLIO'!C:V,5,0),"")</f>
        <v/>
      </c>
      <c r="H406" s="247" t="str">
        <f t="array" ref="H406">IFERROR(INDEX('PORTIFÓLIO'!$H$4:$H$433,MATCH($C406,'PORTIFÓLIO'!$C$4:$C$433,0)),"")</f>
        <v/>
      </c>
      <c r="I406" s="228"/>
      <c r="J406" s="209">
        <f t="shared" si="45"/>
        <v>0</v>
      </c>
      <c r="K406" s="248" t="str">
        <f t="array" ref="K406">IFERROR(I406*INDEX('PORTIFÓLIO'!$S$4:$S$433,MATCH($C406,'PORTIFÓLIO'!$C$4:$C$433,0)),"")</f>
        <v/>
      </c>
      <c r="L406" s="248" t="str">
        <f t="array" ref="L406">IFERROR(J406*INDEX('PORTIFÓLIO'!$S$4:$S$433,MATCH($C406,'PORTIFÓLIO'!$C$4:$C$433,0)),"")</f>
        <v/>
      </c>
      <c r="M406" s="177"/>
      <c r="N406" s="177"/>
      <c r="O406" s="177"/>
      <c r="P406" s="177"/>
      <c r="Q406" s="177"/>
      <c r="R406" s="177"/>
      <c r="S406" s="177"/>
      <c r="T406" s="177"/>
      <c r="U406" s="177"/>
      <c r="V406" s="177"/>
      <c r="W406" s="177"/>
      <c r="X406" s="177"/>
    </row>
    <row r="407" ht="15.75" customHeight="1" outlineLevel="1">
      <c r="A407" s="190"/>
      <c r="B407" s="204"/>
      <c r="C407" s="191"/>
      <c r="D407" s="205" t="str">
        <f>IFERROR(VLOOKUP($C407,'PORTIFÓLIO'!C:V,2,0),"")</f>
        <v/>
      </c>
      <c r="E407" s="190" t="str">
        <f>IFERROR(VLOOKUP($C407,'PORTIFÓLIO'!C:V,3,0),"")</f>
        <v/>
      </c>
      <c r="F407" s="190" t="str">
        <f>IFERROR(VLOOKUP($C407,'PORTIFÓLIO'!C:V,4,0),"")</f>
        <v/>
      </c>
      <c r="G407" s="206" t="str">
        <f>IFERROR(VLOOKUP($C407,'PORTIFÓLIO'!C:V,5,0),"")</f>
        <v/>
      </c>
      <c r="H407" s="247" t="str">
        <f t="array" ref="H407">IFERROR(INDEX('PORTIFÓLIO'!$H$4:$H$433,MATCH($C407,'PORTIFÓLIO'!$C$4:$C$433,0)),"")</f>
        <v/>
      </c>
      <c r="I407" s="228"/>
      <c r="J407" s="209">
        <f t="shared" si="45"/>
        <v>0</v>
      </c>
      <c r="K407" s="248" t="str">
        <f t="array" ref="K407">IFERROR(I407*INDEX('PORTIFÓLIO'!$S$4:$S$433,MATCH($C407,'PORTIFÓLIO'!$C$4:$C$433,0)),"")</f>
        <v/>
      </c>
      <c r="L407" s="248" t="str">
        <f t="array" ref="L407">IFERROR(J407*INDEX('PORTIFÓLIO'!$S$4:$S$433,MATCH($C407,'PORTIFÓLIO'!$C$4:$C$433,0)),"")</f>
        <v/>
      </c>
      <c r="M407" s="177"/>
      <c r="N407" s="177"/>
      <c r="O407" s="177"/>
      <c r="P407" s="177"/>
      <c r="Q407" s="177"/>
      <c r="R407" s="177"/>
      <c r="S407" s="177"/>
      <c r="T407" s="177"/>
      <c r="U407" s="177"/>
      <c r="V407" s="177"/>
      <c r="W407" s="177"/>
      <c r="X407" s="177"/>
    </row>
    <row r="408" ht="15.75" customHeight="1" outlineLevel="1">
      <c r="A408" s="190"/>
      <c r="B408" s="238"/>
      <c r="C408" s="190"/>
      <c r="D408" s="205" t="str">
        <f>IFERROR(VLOOKUP($C408,'PORTIFÓLIO'!C:V,2,0),"")</f>
        <v/>
      </c>
      <c r="E408" s="190" t="str">
        <f>IFERROR(VLOOKUP($C408,'PORTIFÓLIO'!C:V,3,0),"")</f>
        <v/>
      </c>
      <c r="F408" s="190" t="str">
        <f>IFERROR(VLOOKUP($C408,'PORTIFÓLIO'!C:V,4,0),"")</f>
        <v/>
      </c>
      <c r="G408" s="206" t="str">
        <f>IFERROR(VLOOKUP($C408,'PORTIFÓLIO'!C:V,5,0),"")</f>
        <v/>
      </c>
      <c r="H408" s="247" t="str">
        <f t="array" ref="H408">IFERROR(INDEX('PORTIFÓLIO'!$H$4:$H$433,MATCH($C408,'PORTIFÓLIO'!$C$4:$C$433,0)),"")</f>
        <v/>
      </c>
      <c r="I408" s="228"/>
      <c r="J408" s="209">
        <f t="shared" si="45"/>
        <v>0</v>
      </c>
      <c r="K408" s="248" t="str">
        <f t="array" ref="K408">IFERROR(I408*INDEX('PORTIFÓLIO'!$S$4:$S$433,MATCH($C408,'PORTIFÓLIO'!$C$4:$C$433,0)),"")</f>
        <v/>
      </c>
      <c r="L408" s="248" t="str">
        <f t="array" ref="L408">IFERROR(J408*INDEX('PORTIFÓLIO'!$S$4:$S$433,MATCH($C408,'PORTIFÓLIO'!$C$4:$C$433,0)),"")</f>
        <v/>
      </c>
      <c r="M408" s="177"/>
      <c r="N408" s="177"/>
      <c r="O408" s="177"/>
      <c r="P408" s="177"/>
      <c r="Q408" s="177"/>
      <c r="R408" s="177"/>
      <c r="S408" s="177"/>
      <c r="T408" s="177"/>
      <c r="U408" s="177"/>
      <c r="V408" s="177"/>
      <c r="W408" s="177"/>
      <c r="X408" s="177"/>
    </row>
    <row r="409" ht="15.75" customHeight="1">
      <c r="A409" s="221" t="s">
        <v>1194</v>
      </c>
      <c r="B409" s="197"/>
      <c r="C409" s="196"/>
      <c r="D409" s="198"/>
      <c r="E409" s="196"/>
      <c r="F409" s="196"/>
      <c r="G409" s="199"/>
      <c r="H409" s="199"/>
      <c r="I409" s="201"/>
      <c r="J409" s="202"/>
      <c r="K409" s="203">
        <f t="shared" ref="K409:L409" si="46">SUBTOTAL(9,K410:K423)</f>
        <v>0</v>
      </c>
      <c r="L409" s="203">
        <f t="shared" si="46"/>
        <v>0</v>
      </c>
      <c r="M409" s="177"/>
      <c r="N409" s="177"/>
      <c r="O409" s="177"/>
      <c r="P409" s="177"/>
      <c r="Q409" s="177"/>
      <c r="R409" s="177"/>
      <c r="S409" s="177"/>
      <c r="T409" s="177"/>
      <c r="U409" s="177"/>
      <c r="V409" s="177"/>
      <c r="W409" s="177"/>
      <c r="X409" s="177"/>
    </row>
    <row r="410" ht="15.75" customHeight="1" outlineLevel="1">
      <c r="A410" s="191"/>
      <c r="B410" s="204"/>
      <c r="C410" s="191"/>
      <c r="D410" s="205" t="str">
        <f>IFERROR(VLOOKUP($C410,'PORTIFÓLIO'!C:V,2,0),"")</f>
        <v/>
      </c>
      <c r="E410" s="190" t="str">
        <f>IFERROR(VLOOKUP($C410,'PORTIFÓLIO'!C:V,3,0),"")</f>
        <v/>
      </c>
      <c r="F410" s="190" t="str">
        <f>IFERROR(VLOOKUP($C410,'PORTIFÓLIO'!C:V,4,0),"")</f>
        <v/>
      </c>
      <c r="G410" s="206" t="str">
        <f>IFERROR(VLOOKUP($C410,'PORTIFÓLIO'!C:V,5,0),"")</f>
        <v/>
      </c>
      <c r="H410" s="247" t="str">
        <f t="array" ref="H410">IFERROR(INDEX('PORTIFÓLIO'!$H$4:$H$433,MATCH($C410,'PORTIFÓLIO'!$C$4:$C$433,0)),"")</f>
        <v/>
      </c>
      <c r="I410" s="208"/>
      <c r="J410" s="209">
        <f t="shared" ref="J410:J426" si="47">I410*$B$2</f>
        <v>0</v>
      </c>
      <c r="K410" s="248" t="str">
        <f t="array" ref="K410">IFERROR(I410*INDEX('PORTIFÓLIO'!$S$4:$S$433,MATCH($C410,'PORTIFÓLIO'!$C$4:$C$433,0)),"")</f>
        <v/>
      </c>
      <c r="L410" s="248" t="str">
        <f t="array" ref="L410">IFERROR(J410*INDEX('PORTIFÓLIO'!$S$4:$S$433,MATCH($C410,'PORTIFÓLIO'!$C$4:$C$433,0)),"")</f>
        <v/>
      </c>
      <c r="M410" s="177"/>
      <c r="N410" s="177"/>
      <c r="O410" s="177"/>
      <c r="P410" s="177"/>
      <c r="Q410" s="177"/>
      <c r="R410" s="177"/>
      <c r="S410" s="177"/>
      <c r="T410" s="177"/>
      <c r="U410" s="177"/>
      <c r="V410" s="177"/>
      <c r="W410" s="177"/>
      <c r="X410" s="177"/>
    </row>
    <row r="411" ht="15.75" customHeight="1" outlineLevel="1">
      <c r="A411" s="190"/>
      <c r="B411" s="204"/>
      <c r="C411" s="191"/>
      <c r="D411" s="205" t="str">
        <f>IFERROR(VLOOKUP($C411,'PORTIFÓLIO'!C:V,2,0),"")</f>
        <v/>
      </c>
      <c r="E411" s="190" t="str">
        <f>IFERROR(VLOOKUP($C411,'PORTIFÓLIO'!C:V,3,0),"")</f>
        <v/>
      </c>
      <c r="F411" s="190" t="str">
        <f>IFERROR(VLOOKUP($C411,'PORTIFÓLIO'!C:V,4,0),"")</f>
        <v/>
      </c>
      <c r="G411" s="206" t="str">
        <f>IFERROR(VLOOKUP($C411,'PORTIFÓLIO'!C:V,5,0),"")</f>
        <v/>
      </c>
      <c r="H411" s="247" t="str">
        <f t="array" ref="H411">IFERROR(INDEX('PORTIFÓLIO'!$H$4:$H$433,MATCH($C411,'PORTIFÓLIO'!$C$4:$C$433,0)),"")</f>
        <v/>
      </c>
      <c r="I411" s="228"/>
      <c r="J411" s="209">
        <f t="shared" si="47"/>
        <v>0</v>
      </c>
      <c r="K411" s="248" t="str">
        <f t="array" ref="K411">IFERROR(I411*INDEX('PORTIFÓLIO'!$S$4:$S$433,MATCH($C411,'PORTIFÓLIO'!$C$4:$C$433,0)),"")</f>
        <v/>
      </c>
      <c r="L411" s="248" t="str">
        <f t="array" ref="L411">IFERROR(J411*INDEX('PORTIFÓLIO'!$S$4:$S$433,MATCH($C411,'PORTIFÓLIO'!$C$4:$C$433,0)),"")</f>
        <v/>
      </c>
      <c r="M411" s="177"/>
      <c r="N411" s="177"/>
      <c r="O411" s="177"/>
      <c r="P411" s="177"/>
      <c r="Q411" s="177"/>
      <c r="R411" s="177"/>
      <c r="S411" s="177"/>
      <c r="T411" s="177"/>
      <c r="U411" s="177"/>
      <c r="V411" s="177"/>
      <c r="W411" s="177"/>
      <c r="X411" s="177"/>
    </row>
    <row r="412" ht="15.75" customHeight="1" outlineLevel="1">
      <c r="A412" s="190"/>
      <c r="B412" s="204"/>
      <c r="C412" s="191"/>
      <c r="D412" s="205" t="str">
        <f>IFERROR(VLOOKUP($C412,'PORTIFÓLIO'!C:V,2,0),"")</f>
        <v/>
      </c>
      <c r="E412" s="190" t="str">
        <f>IFERROR(VLOOKUP($C412,'PORTIFÓLIO'!C:V,3,0),"")</f>
        <v/>
      </c>
      <c r="F412" s="190" t="str">
        <f>IFERROR(VLOOKUP($C412,'PORTIFÓLIO'!C:V,4,0),"")</f>
        <v/>
      </c>
      <c r="G412" s="206" t="str">
        <f>IFERROR(VLOOKUP($C412,'PORTIFÓLIO'!C:V,5,0),"")</f>
        <v/>
      </c>
      <c r="H412" s="247" t="str">
        <f t="array" ref="H412">IFERROR(INDEX('PORTIFÓLIO'!$H$4:$H$433,MATCH($C412,'PORTIFÓLIO'!$C$4:$C$433,0)),"")</f>
        <v/>
      </c>
      <c r="I412" s="228"/>
      <c r="J412" s="209">
        <f t="shared" si="47"/>
        <v>0</v>
      </c>
      <c r="K412" s="248" t="str">
        <f t="array" ref="K412">IFERROR(I412*INDEX('PORTIFÓLIO'!$S$4:$S$433,MATCH($C412,'PORTIFÓLIO'!$C$4:$C$433,0)),"")</f>
        <v/>
      </c>
      <c r="L412" s="248" t="str">
        <f t="array" ref="L412">IFERROR(J412*INDEX('PORTIFÓLIO'!$S$4:$S$433,MATCH($C412,'PORTIFÓLIO'!$C$4:$C$433,0)),"")</f>
        <v/>
      </c>
      <c r="M412" s="177"/>
      <c r="N412" s="177"/>
      <c r="O412" s="177"/>
      <c r="P412" s="177"/>
      <c r="Q412" s="177"/>
      <c r="R412" s="177"/>
      <c r="S412" s="177"/>
      <c r="T412" s="177"/>
      <c r="U412" s="177"/>
      <c r="V412" s="177"/>
      <c r="W412" s="177"/>
      <c r="X412" s="177"/>
    </row>
    <row r="413" ht="15.75" customHeight="1" outlineLevel="1">
      <c r="A413" s="190"/>
      <c r="B413" s="204"/>
      <c r="C413" s="191"/>
      <c r="D413" s="205" t="str">
        <f>IFERROR(VLOOKUP($C413,'PORTIFÓLIO'!C:V,2,0),"")</f>
        <v/>
      </c>
      <c r="E413" s="190" t="str">
        <f>IFERROR(VLOOKUP($C413,'PORTIFÓLIO'!C:V,3,0),"")</f>
        <v/>
      </c>
      <c r="F413" s="190" t="str">
        <f>IFERROR(VLOOKUP($C413,'PORTIFÓLIO'!C:V,4,0),"")</f>
        <v/>
      </c>
      <c r="G413" s="206" t="str">
        <f>IFERROR(VLOOKUP($C413,'PORTIFÓLIO'!C:V,5,0),"")</f>
        <v/>
      </c>
      <c r="H413" s="247" t="str">
        <f t="array" ref="H413">IFERROR(INDEX('PORTIFÓLIO'!$H$4:$H$433,MATCH($C413,'PORTIFÓLIO'!$C$4:$C$433,0)),"")</f>
        <v/>
      </c>
      <c r="I413" s="228"/>
      <c r="J413" s="209">
        <f t="shared" si="47"/>
        <v>0</v>
      </c>
      <c r="K413" s="248" t="str">
        <f t="array" ref="K413">IFERROR(I413*INDEX('PORTIFÓLIO'!$S$4:$S$433,MATCH($C413,'PORTIFÓLIO'!$C$4:$C$433,0)),"")</f>
        <v/>
      </c>
      <c r="L413" s="248" t="str">
        <f t="array" ref="L413">IFERROR(J413*INDEX('PORTIFÓLIO'!$S$4:$S$433,MATCH($C413,'PORTIFÓLIO'!$C$4:$C$433,0)),"")</f>
        <v/>
      </c>
      <c r="M413" s="177"/>
      <c r="N413" s="177"/>
      <c r="O413" s="177"/>
      <c r="P413" s="177"/>
      <c r="Q413" s="177"/>
      <c r="R413" s="177"/>
      <c r="S413" s="177"/>
      <c r="T413" s="177"/>
      <c r="U413" s="177"/>
      <c r="V413" s="177"/>
      <c r="W413" s="177"/>
      <c r="X413" s="177"/>
    </row>
    <row r="414" ht="15.75" customHeight="1" outlineLevel="1">
      <c r="A414" s="190"/>
      <c r="B414" s="204"/>
      <c r="C414" s="191"/>
      <c r="D414" s="205" t="str">
        <f>IFERROR(VLOOKUP($C414,'PORTIFÓLIO'!C:V,2,0),"")</f>
        <v/>
      </c>
      <c r="E414" s="190" t="str">
        <f>IFERROR(VLOOKUP($C414,'PORTIFÓLIO'!C:V,3,0),"")</f>
        <v/>
      </c>
      <c r="F414" s="190" t="str">
        <f>IFERROR(VLOOKUP($C414,'PORTIFÓLIO'!C:V,4,0),"")</f>
        <v/>
      </c>
      <c r="G414" s="206" t="str">
        <f>IFERROR(VLOOKUP($C414,'PORTIFÓLIO'!C:V,5,0),"")</f>
        <v/>
      </c>
      <c r="H414" s="247" t="str">
        <f t="array" ref="H414">IFERROR(INDEX('PORTIFÓLIO'!$H$4:$H$433,MATCH($C414,'PORTIFÓLIO'!$C$4:$C$433,0)),"")</f>
        <v/>
      </c>
      <c r="I414" s="228"/>
      <c r="J414" s="209">
        <f t="shared" si="47"/>
        <v>0</v>
      </c>
      <c r="K414" s="248" t="str">
        <f t="array" ref="K414">IFERROR(I414*INDEX('PORTIFÓLIO'!$S$4:$S$433,MATCH($C414,'PORTIFÓLIO'!$C$4:$C$433,0)),"")</f>
        <v/>
      </c>
      <c r="L414" s="248" t="str">
        <f t="array" ref="L414">IFERROR(J414*INDEX('PORTIFÓLIO'!$S$4:$S$433,MATCH($C414,'PORTIFÓLIO'!$C$4:$C$433,0)),"")</f>
        <v/>
      </c>
      <c r="M414" s="177"/>
      <c r="N414" s="177"/>
      <c r="O414" s="177"/>
      <c r="P414" s="177"/>
      <c r="Q414" s="177"/>
      <c r="R414" s="177"/>
      <c r="S414" s="177"/>
      <c r="T414" s="177"/>
      <c r="U414" s="177"/>
      <c r="V414" s="177"/>
      <c r="W414" s="177"/>
      <c r="X414" s="177"/>
    </row>
    <row r="415" ht="15.75" customHeight="1" outlineLevel="1">
      <c r="A415" s="190"/>
      <c r="B415" s="204"/>
      <c r="C415" s="191"/>
      <c r="D415" s="205" t="str">
        <f>IFERROR(VLOOKUP($C415,'PORTIFÓLIO'!C:V,2,0),"")</f>
        <v/>
      </c>
      <c r="E415" s="190" t="str">
        <f>IFERROR(VLOOKUP($C415,'PORTIFÓLIO'!C:V,3,0),"")</f>
        <v/>
      </c>
      <c r="F415" s="190" t="str">
        <f>IFERROR(VLOOKUP($C415,'PORTIFÓLIO'!C:V,4,0),"")</f>
        <v/>
      </c>
      <c r="G415" s="206" t="str">
        <f>IFERROR(VLOOKUP($C415,'PORTIFÓLIO'!C:V,5,0),"")</f>
        <v/>
      </c>
      <c r="H415" s="247" t="str">
        <f t="array" ref="H415">IFERROR(INDEX('PORTIFÓLIO'!$H$4:$H$433,MATCH($C415,'PORTIFÓLIO'!$C$4:$C$433,0)),"")</f>
        <v/>
      </c>
      <c r="I415" s="228"/>
      <c r="J415" s="209">
        <f t="shared" si="47"/>
        <v>0</v>
      </c>
      <c r="K415" s="248" t="str">
        <f t="array" ref="K415">IFERROR(I415*INDEX('PORTIFÓLIO'!$S$4:$S$433,MATCH($C415,'PORTIFÓLIO'!$C$4:$C$433,0)),"")</f>
        <v/>
      </c>
      <c r="L415" s="248" t="str">
        <f t="array" ref="L415">IFERROR(J415*INDEX('PORTIFÓLIO'!$S$4:$S$433,MATCH($C415,'PORTIFÓLIO'!$C$4:$C$433,0)),"")</f>
        <v/>
      </c>
      <c r="M415" s="177"/>
      <c r="N415" s="177"/>
      <c r="O415" s="177"/>
      <c r="P415" s="177"/>
      <c r="Q415" s="177"/>
      <c r="R415" s="177"/>
      <c r="S415" s="177"/>
      <c r="T415" s="177"/>
      <c r="U415" s="177"/>
      <c r="V415" s="177"/>
      <c r="W415" s="177"/>
      <c r="X415" s="177"/>
    </row>
    <row r="416" ht="15.75" customHeight="1" outlineLevel="1">
      <c r="A416" s="190"/>
      <c r="B416" s="204"/>
      <c r="C416" s="191"/>
      <c r="D416" s="205" t="str">
        <f>IFERROR(VLOOKUP($C416,'PORTIFÓLIO'!C:V,2,0),"")</f>
        <v/>
      </c>
      <c r="E416" s="190" t="str">
        <f>IFERROR(VLOOKUP($C416,'PORTIFÓLIO'!C:V,3,0),"")</f>
        <v/>
      </c>
      <c r="F416" s="190" t="str">
        <f>IFERROR(VLOOKUP($C416,'PORTIFÓLIO'!C:V,4,0),"")</f>
        <v/>
      </c>
      <c r="G416" s="206" t="str">
        <f>IFERROR(VLOOKUP($C416,'PORTIFÓLIO'!C:V,5,0),"")</f>
        <v/>
      </c>
      <c r="H416" s="247" t="str">
        <f t="array" ref="H416">IFERROR(INDEX('PORTIFÓLIO'!$H$4:$H$433,MATCH($C416,'PORTIFÓLIO'!$C$4:$C$433,0)),"")</f>
        <v/>
      </c>
      <c r="I416" s="228"/>
      <c r="J416" s="209">
        <f t="shared" si="47"/>
        <v>0</v>
      </c>
      <c r="K416" s="248" t="str">
        <f t="array" ref="K416">IFERROR(I416*INDEX('PORTIFÓLIO'!$S$4:$S$433,MATCH($C416,'PORTIFÓLIO'!$C$4:$C$433,0)),"")</f>
        <v/>
      </c>
      <c r="L416" s="248" t="str">
        <f t="array" ref="L416">IFERROR(J416*INDEX('PORTIFÓLIO'!$S$4:$S$433,MATCH($C416,'PORTIFÓLIO'!$C$4:$C$433,0)),"")</f>
        <v/>
      </c>
      <c r="M416" s="177"/>
      <c r="N416" s="177"/>
      <c r="O416" s="177"/>
      <c r="P416" s="177"/>
      <c r="Q416" s="177"/>
      <c r="R416" s="177"/>
      <c r="S416" s="177"/>
      <c r="T416" s="177"/>
      <c r="U416" s="177"/>
      <c r="V416" s="177"/>
      <c r="W416" s="177"/>
      <c r="X416" s="177"/>
    </row>
    <row r="417" ht="15.75" customHeight="1" outlineLevel="1">
      <c r="A417" s="190"/>
      <c r="B417" s="204"/>
      <c r="C417" s="191"/>
      <c r="D417" s="205" t="str">
        <f>IFERROR(VLOOKUP($C417,'PORTIFÓLIO'!C:V,2,0),"")</f>
        <v/>
      </c>
      <c r="E417" s="190" t="str">
        <f>IFERROR(VLOOKUP($C417,'PORTIFÓLIO'!C:V,3,0),"")</f>
        <v/>
      </c>
      <c r="F417" s="190" t="str">
        <f>IFERROR(VLOOKUP($C417,'PORTIFÓLIO'!C:V,4,0),"")</f>
        <v/>
      </c>
      <c r="G417" s="206" t="str">
        <f>IFERROR(VLOOKUP($C417,'PORTIFÓLIO'!C:V,5,0),"")</f>
        <v/>
      </c>
      <c r="H417" s="247" t="str">
        <f t="array" ref="H417">IFERROR(INDEX('PORTIFÓLIO'!$H$4:$H$433,MATCH($C417,'PORTIFÓLIO'!$C$4:$C$433,0)),"")</f>
        <v/>
      </c>
      <c r="I417" s="228"/>
      <c r="J417" s="209">
        <f t="shared" si="47"/>
        <v>0</v>
      </c>
      <c r="K417" s="248" t="str">
        <f t="array" ref="K417">IFERROR(I417*INDEX('PORTIFÓLIO'!$S$4:$S$433,MATCH($C417,'PORTIFÓLIO'!$C$4:$C$433,0)),"")</f>
        <v/>
      </c>
      <c r="L417" s="248" t="str">
        <f t="array" ref="L417">IFERROR(J417*INDEX('PORTIFÓLIO'!$S$4:$S$433,MATCH($C417,'PORTIFÓLIO'!$C$4:$C$433,0)),"")</f>
        <v/>
      </c>
      <c r="M417" s="177"/>
      <c r="N417" s="177"/>
      <c r="O417" s="177"/>
      <c r="P417" s="177"/>
      <c r="Q417" s="177"/>
      <c r="R417" s="177"/>
      <c r="S417" s="177"/>
      <c r="T417" s="177"/>
      <c r="U417" s="177"/>
      <c r="V417" s="177"/>
      <c r="W417" s="177"/>
      <c r="X417" s="177"/>
    </row>
    <row r="418" ht="15.75" customHeight="1" outlineLevel="1">
      <c r="A418" s="190"/>
      <c r="B418" s="204"/>
      <c r="C418" s="191"/>
      <c r="D418" s="205" t="str">
        <f>IFERROR(VLOOKUP($C418,'PORTIFÓLIO'!C:V,2,0),"")</f>
        <v/>
      </c>
      <c r="E418" s="190" t="str">
        <f>IFERROR(VLOOKUP($C418,'PORTIFÓLIO'!C:V,3,0),"")</f>
        <v/>
      </c>
      <c r="F418" s="190" t="str">
        <f>IFERROR(VLOOKUP($C418,'PORTIFÓLIO'!C:V,4,0),"")</f>
        <v/>
      </c>
      <c r="G418" s="206" t="str">
        <f>IFERROR(VLOOKUP($C418,'PORTIFÓLIO'!C:V,5,0),"")</f>
        <v/>
      </c>
      <c r="H418" s="247" t="str">
        <f t="array" ref="H418">IFERROR(INDEX('PORTIFÓLIO'!$H$4:$H$433,MATCH($C418,'PORTIFÓLIO'!$C$4:$C$433,0)),"")</f>
        <v/>
      </c>
      <c r="I418" s="208"/>
      <c r="J418" s="209">
        <f t="shared" si="47"/>
        <v>0</v>
      </c>
      <c r="K418" s="248" t="str">
        <f t="array" ref="K418">IFERROR(I418*INDEX('PORTIFÓLIO'!$S$4:$S$433,MATCH($C418,'PORTIFÓLIO'!$C$4:$C$433,0)),"")</f>
        <v/>
      </c>
      <c r="L418" s="248" t="str">
        <f t="array" ref="L418">IFERROR(J418*INDEX('PORTIFÓLIO'!$S$4:$S$433,MATCH($C418,'PORTIFÓLIO'!$C$4:$C$433,0)),"")</f>
        <v/>
      </c>
      <c r="M418" s="177"/>
      <c r="N418" s="177"/>
      <c r="O418" s="177"/>
      <c r="P418" s="177"/>
      <c r="Q418" s="177"/>
      <c r="R418" s="177"/>
      <c r="S418" s="177"/>
      <c r="T418" s="177"/>
      <c r="U418" s="177"/>
      <c r="V418" s="177"/>
      <c r="W418" s="177"/>
      <c r="X418" s="177"/>
    </row>
    <row r="419" ht="15.75" customHeight="1" outlineLevel="1">
      <c r="A419" s="190"/>
      <c r="B419" s="204"/>
      <c r="C419" s="191"/>
      <c r="D419" s="205" t="str">
        <f>IFERROR(VLOOKUP($C419,'PORTIFÓLIO'!C:V,2,0),"")</f>
        <v/>
      </c>
      <c r="E419" s="190" t="str">
        <f>IFERROR(VLOOKUP($C419,'PORTIFÓLIO'!C:V,3,0),"")</f>
        <v/>
      </c>
      <c r="F419" s="190" t="str">
        <f>IFERROR(VLOOKUP($C419,'PORTIFÓLIO'!C:V,4,0),"")</f>
        <v/>
      </c>
      <c r="G419" s="206" t="str">
        <f>IFERROR(VLOOKUP($C419,'PORTIFÓLIO'!C:V,5,0),"")</f>
        <v/>
      </c>
      <c r="H419" s="247" t="str">
        <f t="array" ref="H419">IFERROR(INDEX('PORTIFÓLIO'!$H$4:$H$433,MATCH($C419,'PORTIFÓLIO'!$C$4:$C$433,0)),"")</f>
        <v/>
      </c>
      <c r="I419" s="228"/>
      <c r="J419" s="209">
        <f t="shared" si="47"/>
        <v>0</v>
      </c>
      <c r="K419" s="248" t="str">
        <f t="array" ref="K419">IFERROR(I419*INDEX('PORTIFÓLIO'!$S$4:$S$433,MATCH($C419,'PORTIFÓLIO'!$C$4:$C$433,0)),"")</f>
        <v/>
      </c>
      <c r="L419" s="248" t="str">
        <f t="array" ref="L419">IFERROR(J419*INDEX('PORTIFÓLIO'!$S$4:$S$433,MATCH($C419,'PORTIFÓLIO'!$C$4:$C$433,0)),"")</f>
        <v/>
      </c>
      <c r="M419" s="177"/>
      <c r="N419" s="177"/>
      <c r="O419" s="177"/>
      <c r="P419" s="177"/>
      <c r="Q419" s="177"/>
      <c r="R419" s="177"/>
      <c r="S419" s="177"/>
      <c r="T419" s="177"/>
      <c r="U419" s="177"/>
      <c r="V419" s="177"/>
      <c r="W419" s="177"/>
      <c r="X419" s="177"/>
    </row>
    <row r="420" ht="15.75" customHeight="1" outlineLevel="1">
      <c r="A420" s="190"/>
      <c r="B420" s="204"/>
      <c r="C420" s="191"/>
      <c r="D420" s="205" t="str">
        <f>IFERROR(VLOOKUP($C420,'PORTIFÓLIO'!C:V,2,0),"")</f>
        <v/>
      </c>
      <c r="E420" s="190" t="str">
        <f>IFERROR(VLOOKUP($C420,'PORTIFÓLIO'!C:V,3,0),"")</f>
        <v/>
      </c>
      <c r="F420" s="190" t="str">
        <f>IFERROR(VLOOKUP($C420,'PORTIFÓLIO'!C:V,4,0),"")</f>
        <v/>
      </c>
      <c r="G420" s="206" t="str">
        <f>IFERROR(VLOOKUP($C420,'PORTIFÓLIO'!C:V,5,0),"")</f>
        <v/>
      </c>
      <c r="H420" s="247" t="str">
        <f t="array" ref="H420">IFERROR(INDEX('PORTIFÓLIO'!$H$4:$H$433,MATCH($C420,'PORTIFÓLIO'!$C$4:$C$433,0)),"")</f>
        <v/>
      </c>
      <c r="I420" s="228"/>
      <c r="J420" s="209">
        <f t="shared" si="47"/>
        <v>0</v>
      </c>
      <c r="K420" s="248" t="str">
        <f t="array" ref="K420">IFERROR(I420*INDEX('PORTIFÓLIO'!$S$4:$S$433,MATCH($C420,'PORTIFÓLIO'!$C$4:$C$433,0)),"")</f>
        <v/>
      </c>
      <c r="L420" s="248" t="str">
        <f t="array" ref="L420">IFERROR(J420*INDEX('PORTIFÓLIO'!$S$4:$S$433,MATCH($C420,'PORTIFÓLIO'!$C$4:$C$433,0)),"")</f>
        <v/>
      </c>
      <c r="M420" s="177"/>
      <c r="N420" s="177"/>
      <c r="O420" s="177"/>
      <c r="P420" s="177"/>
      <c r="Q420" s="177"/>
      <c r="R420" s="177"/>
      <c r="S420" s="177"/>
      <c r="T420" s="177"/>
      <c r="U420" s="177"/>
      <c r="V420" s="177"/>
      <c r="W420" s="177"/>
      <c r="X420" s="177"/>
    </row>
    <row r="421" ht="15.75" customHeight="1" outlineLevel="1">
      <c r="A421" s="190"/>
      <c r="B421" s="204"/>
      <c r="C421" s="191"/>
      <c r="D421" s="205" t="str">
        <f>IFERROR(VLOOKUP($C421,'PORTIFÓLIO'!C:V,2,0),"")</f>
        <v/>
      </c>
      <c r="E421" s="190" t="str">
        <f>IFERROR(VLOOKUP($C421,'PORTIFÓLIO'!C:V,3,0),"")</f>
        <v/>
      </c>
      <c r="F421" s="190" t="str">
        <f>IFERROR(VLOOKUP($C421,'PORTIFÓLIO'!C:V,4,0),"")</f>
        <v/>
      </c>
      <c r="G421" s="206" t="str">
        <f>IFERROR(VLOOKUP($C421,'PORTIFÓLIO'!C:V,5,0),"")</f>
        <v/>
      </c>
      <c r="H421" s="247" t="str">
        <f t="array" ref="H421">IFERROR(INDEX('PORTIFÓLIO'!$H$4:$H$433,MATCH($C421,'PORTIFÓLIO'!$C$4:$C$433,0)),"")</f>
        <v/>
      </c>
      <c r="I421" s="228"/>
      <c r="J421" s="209">
        <f t="shared" si="47"/>
        <v>0</v>
      </c>
      <c r="K421" s="248" t="str">
        <f t="array" ref="K421">IFERROR(I421*INDEX('PORTIFÓLIO'!$S$4:$S$433,MATCH($C421,'PORTIFÓLIO'!$C$4:$C$433,0)),"")</f>
        <v/>
      </c>
      <c r="L421" s="248" t="str">
        <f t="array" ref="L421">IFERROR(J421*INDEX('PORTIFÓLIO'!$S$4:$S$433,MATCH($C421,'PORTIFÓLIO'!$C$4:$C$433,0)),"")</f>
        <v/>
      </c>
      <c r="M421" s="177"/>
      <c r="N421" s="177"/>
      <c r="O421" s="177"/>
      <c r="P421" s="177"/>
      <c r="Q421" s="177"/>
      <c r="R421" s="177"/>
      <c r="S421" s="177"/>
      <c r="T421" s="177"/>
      <c r="U421" s="177"/>
      <c r="V421" s="177"/>
      <c r="W421" s="177"/>
      <c r="X421" s="177"/>
    </row>
    <row r="422" ht="15.75" customHeight="1" outlineLevel="1">
      <c r="A422" s="190"/>
      <c r="B422" s="204"/>
      <c r="C422" s="191"/>
      <c r="D422" s="205" t="str">
        <f>IFERROR(VLOOKUP($C422,'PORTIFÓLIO'!C:V,2,0),"")</f>
        <v/>
      </c>
      <c r="E422" s="190" t="str">
        <f>IFERROR(VLOOKUP($C422,'PORTIFÓLIO'!C:V,3,0),"")</f>
        <v/>
      </c>
      <c r="F422" s="190" t="str">
        <f>IFERROR(VLOOKUP($C422,'PORTIFÓLIO'!C:V,4,0),"")</f>
        <v/>
      </c>
      <c r="G422" s="206" t="str">
        <f>IFERROR(VLOOKUP($C422,'PORTIFÓLIO'!C:V,5,0),"")</f>
        <v/>
      </c>
      <c r="H422" s="247" t="str">
        <f t="array" ref="H422">IFERROR(INDEX('PORTIFÓLIO'!$H$4:$H$433,MATCH($C422,'PORTIFÓLIO'!$C$4:$C$433,0)),"")</f>
        <v/>
      </c>
      <c r="I422" s="228"/>
      <c r="J422" s="209">
        <f t="shared" si="47"/>
        <v>0</v>
      </c>
      <c r="K422" s="248" t="str">
        <f t="array" ref="K422">IFERROR(I422*INDEX('PORTIFÓLIO'!$S$4:$S$433,MATCH($C422,'PORTIFÓLIO'!$C$4:$C$433,0)),"")</f>
        <v/>
      </c>
      <c r="L422" s="248" t="str">
        <f t="array" ref="L422">IFERROR(J422*INDEX('PORTIFÓLIO'!$S$4:$S$433,MATCH($C422,'PORTIFÓLIO'!$C$4:$C$433,0)),"")</f>
        <v/>
      </c>
      <c r="M422" s="177"/>
      <c r="N422" s="177"/>
      <c r="O422" s="177"/>
      <c r="P422" s="177"/>
      <c r="Q422" s="177"/>
      <c r="R422" s="177"/>
      <c r="S422" s="177"/>
      <c r="T422" s="177"/>
      <c r="U422" s="177"/>
      <c r="V422" s="177"/>
      <c r="W422" s="177"/>
      <c r="X422" s="177"/>
    </row>
    <row r="423" ht="15.75" customHeight="1" outlineLevel="1">
      <c r="A423" s="190"/>
      <c r="B423" s="204"/>
      <c r="C423" s="191"/>
      <c r="D423" s="205" t="str">
        <f>IFERROR(VLOOKUP($C423,'PORTIFÓLIO'!C:V,2,0),"")</f>
        <v/>
      </c>
      <c r="E423" s="190" t="str">
        <f>IFERROR(VLOOKUP($C423,'PORTIFÓLIO'!C:V,3,0),"")</f>
        <v/>
      </c>
      <c r="F423" s="190" t="str">
        <f>IFERROR(VLOOKUP($C423,'PORTIFÓLIO'!C:V,4,0),"")</f>
        <v/>
      </c>
      <c r="G423" s="206" t="str">
        <f>IFERROR(VLOOKUP($C423,'PORTIFÓLIO'!C:V,5,0),"")</f>
        <v/>
      </c>
      <c r="H423" s="247" t="str">
        <f t="array" ref="H423">IFERROR(INDEX('PORTIFÓLIO'!$H$4:$H$433,MATCH($C423,'PORTIFÓLIO'!$C$4:$C$433,0)),"")</f>
        <v/>
      </c>
      <c r="I423" s="228"/>
      <c r="J423" s="209">
        <f t="shared" si="47"/>
        <v>0</v>
      </c>
      <c r="K423" s="248" t="str">
        <f t="array" ref="K423">IFERROR(I423*INDEX('PORTIFÓLIO'!$S$4:$S$433,MATCH($C423,'PORTIFÓLIO'!$C$4:$C$433,0)),"")</f>
        <v/>
      </c>
      <c r="L423" s="248" t="str">
        <f t="array" ref="L423">IFERROR(J423*INDEX('PORTIFÓLIO'!$S$4:$S$433,MATCH($C423,'PORTIFÓLIO'!$C$4:$C$433,0)),"")</f>
        <v/>
      </c>
      <c r="M423" s="177"/>
      <c r="N423" s="177"/>
      <c r="O423" s="177"/>
      <c r="P423" s="177"/>
      <c r="Q423" s="177"/>
      <c r="R423" s="177"/>
      <c r="S423" s="177"/>
      <c r="T423" s="177"/>
      <c r="U423" s="177"/>
      <c r="V423" s="177"/>
      <c r="W423" s="177"/>
      <c r="X423" s="177"/>
    </row>
    <row r="424" ht="15.75" customHeight="1" outlineLevel="1">
      <c r="A424" s="190"/>
      <c r="B424" s="204"/>
      <c r="C424" s="191"/>
      <c r="D424" s="205" t="str">
        <f>IFERROR(VLOOKUP($C424,'PORTIFÓLIO'!C:V,2,0),"")</f>
        <v/>
      </c>
      <c r="E424" s="190" t="str">
        <f>IFERROR(VLOOKUP($C424,'PORTIFÓLIO'!C:V,3,0),"")</f>
        <v/>
      </c>
      <c r="F424" s="190" t="str">
        <f>IFERROR(VLOOKUP($C424,'PORTIFÓLIO'!C:V,4,0),"")</f>
        <v/>
      </c>
      <c r="G424" s="206" t="str">
        <f>IFERROR(VLOOKUP($C424,'PORTIFÓLIO'!C:V,5,0),"")</f>
        <v/>
      </c>
      <c r="H424" s="247" t="str">
        <f t="array" ref="H424">IFERROR(INDEX('PORTIFÓLIO'!$H$4:$H$433,MATCH($C424,'PORTIFÓLIO'!$C$4:$C$433,0)),"")</f>
        <v/>
      </c>
      <c r="I424" s="228"/>
      <c r="J424" s="209">
        <f t="shared" si="47"/>
        <v>0</v>
      </c>
      <c r="K424" s="248" t="str">
        <f t="array" ref="K424">IFERROR(I424*INDEX('PORTIFÓLIO'!$S$4:$S$433,MATCH($C424,'PORTIFÓLIO'!$C$4:$C$433,0)),"")</f>
        <v/>
      </c>
      <c r="L424" s="248" t="str">
        <f t="array" ref="L424">IFERROR(J424*INDEX('PORTIFÓLIO'!$S$4:$S$433,MATCH($C424,'PORTIFÓLIO'!$C$4:$C$433,0)),"")</f>
        <v/>
      </c>
      <c r="M424" s="177"/>
      <c r="N424" s="177"/>
      <c r="O424" s="177"/>
      <c r="P424" s="177"/>
      <c r="Q424" s="177"/>
      <c r="R424" s="177"/>
      <c r="S424" s="177"/>
      <c r="T424" s="177"/>
      <c r="U424" s="177"/>
      <c r="V424" s="177"/>
      <c r="W424" s="177"/>
      <c r="X424" s="177"/>
    </row>
    <row r="425" ht="15.75" customHeight="1" outlineLevel="1">
      <c r="A425" s="190"/>
      <c r="B425" s="238"/>
      <c r="C425" s="190"/>
      <c r="D425" s="205" t="str">
        <f>IFERROR(VLOOKUP($C425,'PORTIFÓLIO'!C:V,2,0),"")</f>
        <v/>
      </c>
      <c r="E425" s="190" t="str">
        <f>IFERROR(VLOOKUP($C425,'PORTIFÓLIO'!C:V,3,0),"")</f>
        <v/>
      </c>
      <c r="F425" s="190" t="str">
        <f>IFERROR(VLOOKUP($C425,'PORTIFÓLIO'!C:V,4,0),"")</f>
        <v/>
      </c>
      <c r="G425" s="206" t="str">
        <f>IFERROR(VLOOKUP($C425,'PORTIFÓLIO'!C:V,5,0),"")</f>
        <v/>
      </c>
      <c r="H425" s="247" t="str">
        <f t="array" ref="H425">IFERROR(INDEX('PORTIFÓLIO'!$H$4:$H$433,MATCH($C425,'PORTIFÓLIO'!$C$4:$C$433,0)),"")</f>
        <v/>
      </c>
      <c r="I425" s="228"/>
      <c r="J425" s="209">
        <f t="shared" si="47"/>
        <v>0</v>
      </c>
      <c r="K425" s="248" t="str">
        <f t="array" ref="K425">IFERROR(I425*INDEX('PORTIFÓLIO'!$S$4:$S$433,MATCH($C425,'PORTIFÓLIO'!$C$4:$C$433,0)),"")</f>
        <v/>
      </c>
      <c r="L425" s="248" t="str">
        <f t="array" ref="L425">IFERROR(J425*INDEX('PORTIFÓLIO'!$S$4:$S$433,MATCH($C425,'PORTIFÓLIO'!$C$4:$C$433,0)),"")</f>
        <v/>
      </c>
      <c r="M425" s="177"/>
      <c r="N425" s="177"/>
      <c r="O425" s="177"/>
      <c r="P425" s="177"/>
      <c r="Q425" s="177"/>
      <c r="R425" s="177"/>
      <c r="S425" s="177"/>
      <c r="T425" s="177"/>
      <c r="U425" s="177"/>
      <c r="V425" s="177"/>
      <c r="W425" s="177"/>
      <c r="X425" s="177"/>
    </row>
    <row r="426" ht="15.75" customHeight="1" outlineLevel="1">
      <c r="A426" s="190"/>
      <c r="B426" s="238"/>
      <c r="C426" s="190"/>
      <c r="D426" s="205" t="str">
        <f>IFERROR(VLOOKUP($C426,'PORTIFÓLIO'!C:V,2,0),"")</f>
        <v/>
      </c>
      <c r="E426" s="190" t="str">
        <f>IFERROR(VLOOKUP($C426,'PORTIFÓLIO'!C:V,3,0),"")</f>
        <v/>
      </c>
      <c r="F426" s="190" t="str">
        <f>IFERROR(VLOOKUP($C426,'PORTIFÓLIO'!C:V,4,0),"")</f>
        <v/>
      </c>
      <c r="G426" s="206" t="str">
        <f>IFERROR(VLOOKUP($C426,'PORTIFÓLIO'!C:V,5,0),"")</f>
        <v/>
      </c>
      <c r="H426" s="247" t="str">
        <f t="array" ref="H426">IFERROR(INDEX('PORTIFÓLIO'!$H$4:$H$433,MATCH($C426,'PORTIFÓLIO'!$C$4:$C$433,0)),"")</f>
        <v/>
      </c>
      <c r="I426" s="228"/>
      <c r="J426" s="209">
        <f t="shared" si="47"/>
        <v>0</v>
      </c>
      <c r="K426" s="248" t="str">
        <f t="array" ref="K426">IFERROR(I426*INDEX('PORTIFÓLIO'!$S$4:$S$433,MATCH($C426,'PORTIFÓLIO'!$C$4:$C$433,0)),"")</f>
        <v/>
      </c>
      <c r="L426" s="248" t="str">
        <f t="array" ref="L426">IFERROR(J426*INDEX('PORTIFÓLIO'!$S$4:$S$433,MATCH($C426,'PORTIFÓLIO'!$C$4:$C$433,0)),"")</f>
        <v/>
      </c>
      <c r="M426" s="177"/>
      <c r="N426" s="177"/>
      <c r="O426" s="177"/>
      <c r="P426" s="177"/>
      <c r="Q426" s="177"/>
      <c r="R426" s="177"/>
      <c r="S426" s="177"/>
      <c r="T426" s="177"/>
      <c r="U426" s="177"/>
      <c r="V426" s="177"/>
      <c r="W426" s="177"/>
      <c r="X426" s="177"/>
    </row>
    <row r="427" ht="15.75" customHeight="1">
      <c r="A427" s="221" t="s">
        <v>1202</v>
      </c>
      <c r="B427" s="197"/>
      <c r="C427" s="196"/>
      <c r="D427" s="198"/>
      <c r="E427" s="196"/>
      <c r="F427" s="196"/>
      <c r="G427" s="199"/>
      <c r="H427" s="199"/>
      <c r="I427" s="201"/>
      <c r="J427" s="202"/>
      <c r="K427" s="203">
        <f t="shared" ref="K427:L427" si="48">SUBTOTAL(9,K428:K441)</f>
        <v>0</v>
      </c>
      <c r="L427" s="203">
        <f t="shared" si="48"/>
        <v>0</v>
      </c>
      <c r="M427" s="177"/>
      <c r="N427" s="177"/>
      <c r="O427" s="177"/>
      <c r="P427" s="177"/>
      <c r="Q427" s="177"/>
      <c r="R427" s="177"/>
      <c r="S427" s="177"/>
      <c r="T427" s="177"/>
      <c r="U427" s="177"/>
      <c r="V427" s="177"/>
      <c r="W427" s="177"/>
      <c r="X427" s="177"/>
    </row>
    <row r="428" ht="15.75" customHeight="1" outlineLevel="1">
      <c r="A428" s="191"/>
      <c r="B428" s="204"/>
      <c r="C428" s="191"/>
      <c r="D428" s="205" t="str">
        <f>IFERROR(VLOOKUP($C428,'PORTIFÓLIO'!C:V,2,0),"")</f>
        <v/>
      </c>
      <c r="E428" s="190" t="str">
        <f>IFERROR(VLOOKUP($C428,'PORTIFÓLIO'!C:V,3,0),"")</f>
        <v/>
      </c>
      <c r="F428" s="190" t="str">
        <f>IFERROR(VLOOKUP($C428,'PORTIFÓLIO'!C:V,4,0),"")</f>
        <v/>
      </c>
      <c r="G428" s="206" t="str">
        <f>IFERROR(VLOOKUP($C428,'PORTIFÓLIO'!C:V,5,0),"")</f>
        <v/>
      </c>
      <c r="H428" s="247" t="str">
        <f t="array" ref="H428">IFERROR(INDEX('PORTIFÓLIO'!$H$4:$H$433,MATCH($C428,'PORTIFÓLIO'!$C$4:$C$433,0)),"")</f>
        <v/>
      </c>
      <c r="I428" s="228"/>
      <c r="J428" s="209">
        <f t="shared" ref="J428:J451" si="49">I428*$B$2</f>
        <v>0</v>
      </c>
      <c r="K428" s="248" t="str">
        <f t="array" ref="K428">IFERROR(I428*INDEX('PORTIFÓLIO'!$S$4:$S$433,MATCH($C428,'PORTIFÓLIO'!$C$4:$C$433,0)),"")</f>
        <v/>
      </c>
      <c r="L428" s="248" t="str">
        <f t="array" ref="L428">IFERROR(J428*INDEX('PORTIFÓLIO'!$S$4:$S$433,MATCH($C428,'PORTIFÓLIO'!$C$4:$C$433,0)),"")</f>
        <v/>
      </c>
      <c r="M428" s="177"/>
      <c r="N428" s="177"/>
      <c r="O428" s="177"/>
      <c r="P428" s="177"/>
      <c r="Q428" s="177"/>
      <c r="R428" s="177"/>
      <c r="S428" s="177"/>
      <c r="T428" s="177"/>
      <c r="U428" s="177"/>
      <c r="V428" s="177"/>
      <c r="W428" s="177"/>
      <c r="X428" s="177"/>
    </row>
    <row r="429" ht="15.75" customHeight="1" outlineLevel="1">
      <c r="A429" s="190"/>
      <c r="B429" s="204"/>
      <c r="C429" s="191"/>
      <c r="D429" s="205" t="str">
        <f>IFERROR(VLOOKUP($C429,'PORTIFÓLIO'!C:V,2,0),"")</f>
        <v/>
      </c>
      <c r="E429" s="190" t="str">
        <f>IFERROR(VLOOKUP($C429,'PORTIFÓLIO'!C:V,3,0),"")</f>
        <v/>
      </c>
      <c r="F429" s="190" t="str">
        <f>IFERROR(VLOOKUP($C429,'PORTIFÓLIO'!C:V,4,0),"")</f>
        <v/>
      </c>
      <c r="G429" s="206" t="str">
        <f>IFERROR(VLOOKUP($C429,'PORTIFÓLIO'!C:V,5,0),"")</f>
        <v/>
      </c>
      <c r="H429" s="247" t="str">
        <f t="array" ref="H429">IFERROR(INDEX('PORTIFÓLIO'!$H$4:$H$433,MATCH($C429,'PORTIFÓLIO'!$C$4:$C$433,0)),"")</f>
        <v/>
      </c>
      <c r="I429" s="228"/>
      <c r="J429" s="209">
        <f t="shared" si="49"/>
        <v>0</v>
      </c>
      <c r="K429" s="248" t="str">
        <f t="array" ref="K429">IFERROR(I429*INDEX('PORTIFÓLIO'!$S$4:$S$433,MATCH($C429,'PORTIFÓLIO'!$C$4:$C$433,0)),"")</f>
        <v/>
      </c>
      <c r="L429" s="248" t="str">
        <f t="array" ref="L429">IFERROR(J429*INDEX('PORTIFÓLIO'!$S$4:$S$433,MATCH($C429,'PORTIFÓLIO'!$C$4:$C$433,0)),"")</f>
        <v/>
      </c>
      <c r="M429" s="177"/>
      <c r="N429" s="177"/>
      <c r="O429" s="177"/>
      <c r="P429" s="177"/>
      <c r="Q429" s="177"/>
      <c r="R429" s="177"/>
      <c r="S429" s="177"/>
      <c r="T429" s="177"/>
      <c r="U429" s="177"/>
      <c r="V429" s="177"/>
      <c r="W429" s="177"/>
      <c r="X429" s="177"/>
    </row>
    <row r="430" ht="15.75" customHeight="1" outlineLevel="1">
      <c r="A430" s="190"/>
      <c r="B430" s="204"/>
      <c r="C430" s="191"/>
      <c r="D430" s="205" t="str">
        <f>IFERROR(VLOOKUP($C430,'PORTIFÓLIO'!C:V,2,0),"")</f>
        <v/>
      </c>
      <c r="E430" s="190" t="str">
        <f>IFERROR(VLOOKUP($C430,'PORTIFÓLIO'!C:V,3,0),"")</f>
        <v/>
      </c>
      <c r="F430" s="190" t="str">
        <f>IFERROR(VLOOKUP($C430,'PORTIFÓLIO'!C:V,4,0),"")</f>
        <v/>
      </c>
      <c r="G430" s="206" t="str">
        <f>IFERROR(VLOOKUP($C430,'PORTIFÓLIO'!C:V,5,0),"")</f>
        <v/>
      </c>
      <c r="H430" s="247" t="str">
        <f t="array" ref="H430">IFERROR(INDEX('PORTIFÓLIO'!$H$4:$H$433,MATCH($C430,'PORTIFÓLIO'!$C$4:$C$433,0)),"")</f>
        <v/>
      </c>
      <c r="I430" s="228"/>
      <c r="J430" s="209">
        <f t="shared" si="49"/>
        <v>0</v>
      </c>
      <c r="K430" s="248" t="str">
        <f t="array" ref="K430">IFERROR(I430*INDEX('PORTIFÓLIO'!$S$4:$S$433,MATCH($C430,'PORTIFÓLIO'!$C$4:$C$433,0)),"")</f>
        <v/>
      </c>
      <c r="L430" s="248" t="str">
        <f t="array" ref="L430">IFERROR(J430*INDEX('PORTIFÓLIO'!$S$4:$S$433,MATCH($C430,'PORTIFÓLIO'!$C$4:$C$433,0)),"")</f>
        <v/>
      </c>
      <c r="M430" s="177"/>
      <c r="N430" s="177"/>
      <c r="O430" s="177"/>
      <c r="P430" s="177"/>
      <c r="Q430" s="177"/>
      <c r="R430" s="177"/>
      <c r="S430" s="177"/>
      <c r="T430" s="177"/>
      <c r="U430" s="177"/>
      <c r="V430" s="177"/>
      <c r="W430" s="177"/>
      <c r="X430" s="177"/>
    </row>
    <row r="431" ht="15.75" customHeight="1" outlineLevel="1">
      <c r="A431" s="190"/>
      <c r="B431" s="204"/>
      <c r="C431" s="191"/>
      <c r="D431" s="205" t="str">
        <f>IFERROR(VLOOKUP($C431,'PORTIFÓLIO'!C:V,2,0),"")</f>
        <v/>
      </c>
      <c r="E431" s="190" t="str">
        <f>IFERROR(VLOOKUP($C431,'PORTIFÓLIO'!C:V,3,0),"")</f>
        <v/>
      </c>
      <c r="F431" s="190" t="str">
        <f>IFERROR(VLOOKUP($C431,'PORTIFÓLIO'!C:V,4,0),"")</f>
        <v/>
      </c>
      <c r="G431" s="206" t="str">
        <f>IFERROR(VLOOKUP($C431,'PORTIFÓLIO'!C:V,5,0),"")</f>
        <v/>
      </c>
      <c r="H431" s="247" t="str">
        <f t="array" ref="H431">IFERROR(INDEX('PORTIFÓLIO'!$H$4:$H$433,MATCH($C431,'PORTIFÓLIO'!$C$4:$C$433,0)),"")</f>
        <v/>
      </c>
      <c r="I431" s="228"/>
      <c r="J431" s="209">
        <f t="shared" si="49"/>
        <v>0</v>
      </c>
      <c r="K431" s="248" t="str">
        <f t="array" ref="K431">IFERROR(I431*INDEX('PORTIFÓLIO'!$S$4:$S$433,MATCH($C431,'PORTIFÓLIO'!$C$4:$C$433,0)),"")</f>
        <v/>
      </c>
      <c r="L431" s="248" t="str">
        <f t="array" ref="L431">IFERROR(J431*INDEX('PORTIFÓLIO'!$S$4:$S$433,MATCH($C431,'PORTIFÓLIO'!$C$4:$C$433,0)),"")</f>
        <v/>
      </c>
      <c r="M431" s="177"/>
      <c r="N431" s="177"/>
      <c r="O431" s="177"/>
      <c r="P431" s="177"/>
      <c r="Q431" s="177"/>
      <c r="R431" s="177"/>
      <c r="S431" s="177"/>
      <c r="T431" s="177"/>
      <c r="U431" s="177"/>
      <c r="V431" s="177"/>
      <c r="W431" s="177"/>
      <c r="X431" s="177"/>
    </row>
    <row r="432" ht="15.75" customHeight="1" outlineLevel="1">
      <c r="A432" s="190"/>
      <c r="B432" s="204"/>
      <c r="C432" s="191"/>
      <c r="D432" s="205" t="str">
        <f>IFERROR(VLOOKUP($C432,'PORTIFÓLIO'!C:V,2,0),"")</f>
        <v/>
      </c>
      <c r="E432" s="190" t="str">
        <f>IFERROR(VLOOKUP($C432,'PORTIFÓLIO'!C:V,3,0),"")</f>
        <v/>
      </c>
      <c r="F432" s="190" t="str">
        <f>IFERROR(VLOOKUP($C432,'PORTIFÓLIO'!C:V,4,0),"")</f>
        <v/>
      </c>
      <c r="G432" s="206" t="str">
        <f>IFERROR(VLOOKUP($C432,'PORTIFÓLIO'!C:V,5,0),"")</f>
        <v/>
      </c>
      <c r="H432" s="247" t="str">
        <f t="array" ref="H432">IFERROR(INDEX('PORTIFÓLIO'!$H$4:$H$433,MATCH($C432,'PORTIFÓLIO'!$C$4:$C$433,0)),"")</f>
        <v/>
      </c>
      <c r="I432" s="228"/>
      <c r="J432" s="209">
        <f t="shared" si="49"/>
        <v>0</v>
      </c>
      <c r="K432" s="248" t="str">
        <f t="array" ref="K432">IFERROR(I432*INDEX('PORTIFÓLIO'!$S$4:$S$433,MATCH($C432,'PORTIFÓLIO'!$C$4:$C$433,0)),"")</f>
        <v/>
      </c>
      <c r="L432" s="248" t="str">
        <f t="array" ref="L432">IFERROR(J432*INDEX('PORTIFÓLIO'!$S$4:$S$433,MATCH($C432,'PORTIFÓLIO'!$C$4:$C$433,0)),"")</f>
        <v/>
      </c>
      <c r="M432" s="177"/>
      <c r="N432" s="177"/>
      <c r="O432" s="177"/>
      <c r="P432" s="177"/>
      <c r="Q432" s="177"/>
      <c r="R432" s="177"/>
      <c r="S432" s="177"/>
      <c r="T432" s="177"/>
      <c r="U432" s="177"/>
      <c r="V432" s="177"/>
      <c r="W432" s="177"/>
      <c r="X432" s="177"/>
    </row>
    <row r="433" ht="15.75" customHeight="1" outlineLevel="1">
      <c r="A433" s="190"/>
      <c r="B433" s="204"/>
      <c r="C433" s="191"/>
      <c r="D433" s="205" t="str">
        <f>IFERROR(VLOOKUP($C433,'PORTIFÓLIO'!C:V,2,0),"")</f>
        <v/>
      </c>
      <c r="E433" s="190" t="str">
        <f>IFERROR(VLOOKUP($C433,'PORTIFÓLIO'!C:V,3,0),"")</f>
        <v/>
      </c>
      <c r="F433" s="190" t="str">
        <f>IFERROR(VLOOKUP($C433,'PORTIFÓLIO'!C:V,4,0),"")</f>
        <v/>
      </c>
      <c r="G433" s="206" t="str">
        <f>IFERROR(VLOOKUP($C433,'PORTIFÓLIO'!C:V,5,0),"")</f>
        <v/>
      </c>
      <c r="H433" s="247" t="str">
        <f t="array" ref="H433">IFERROR(INDEX('PORTIFÓLIO'!$H$4:$H$433,MATCH($C433,'PORTIFÓLIO'!$C$4:$C$433,0)),"")</f>
        <v/>
      </c>
      <c r="I433" s="228"/>
      <c r="J433" s="209">
        <f t="shared" si="49"/>
        <v>0</v>
      </c>
      <c r="K433" s="248" t="str">
        <f t="array" ref="K433">IFERROR(I433*INDEX('PORTIFÓLIO'!$S$4:$S$433,MATCH($C433,'PORTIFÓLIO'!$C$4:$C$433,0)),"")</f>
        <v/>
      </c>
      <c r="L433" s="248" t="str">
        <f t="array" ref="L433">IFERROR(J433*INDEX('PORTIFÓLIO'!$S$4:$S$433,MATCH($C433,'PORTIFÓLIO'!$C$4:$C$433,0)),"")</f>
        <v/>
      </c>
      <c r="M433" s="177"/>
      <c r="N433" s="177"/>
      <c r="O433" s="177"/>
      <c r="P433" s="177"/>
      <c r="Q433" s="177"/>
      <c r="R433" s="177"/>
      <c r="S433" s="177"/>
      <c r="T433" s="177"/>
      <c r="U433" s="177"/>
      <c r="V433" s="177"/>
      <c r="W433" s="177"/>
      <c r="X433" s="177"/>
    </row>
    <row r="434" ht="15.75" customHeight="1" outlineLevel="1">
      <c r="A434" s="190"/>
      <c r="B434" s="204"/>
      <c r="C434" s="191"/>
      <c r="D434" s="205" t="str">
        <f>IFERROR(VLOOKUP($C434,'PORTIFÓLIO'!C:V,2,0),"")</f>
        <v/>
      </c>
      <c r="E434" s="190" t="str">
        <f>IFERROR(VLOOKUP($C434,'PORTIFÓLIO'!C:V,3,0),"")</f>
        <v/>
      </c>
      <c r="F434" s="190" t="str">
        <f>IFERROR(VLOOKUP($C434,'PORTIFÓLIO'!C:V,4,0),"")</f>
        <v/>
      </c>
      <c r="G434" s="206" t="str">
        <f>IFERROR(VLOOKUP($C434,'PORTIFÓLIO'!C:V,5,0),"")</f>
        <v/>
      </c>
      <c r="H434" s="247" t="str">
        <f t="array" ref="H434">IFERROR(INDEX('PORTIFÓLIO'!$H$4:$H$433,MATCH($C434,'PORTIFÓLIO'!$C$4:$C$433,0)),"")</f>
        <v/>
      </c>
      <c r="I434" s="228"/>
      <c r="J434" s="209">
        <f t="shared" si="49"/>
        <v>0</v>
      </c>
      <c r="K434" s="248" t="str">
        <f t="array" ref="K434">IFERROR(I434*INDEX('PORTIFÓLIO'!$S$4:$S$433,MATCH($C434,'PORTIFÓLIO'!$C$4:$C$433,0)),"")</f>
        <v/>
      </c>
      <c r="L434" s="248" t="str">
        <f t="array" ref="L434">IFERROR(J434*INDEX('PORTIFÓLIO'!$S$4:$S$433,MATCH($C434,'PORTIFÓLIO'!$C$4:$C$433,0)),"")</f>
        <v/>
      </c>
      <c r="M434" s="177"/>
      <c r="N434" s="177"/>
      <c r="O434" s="177"/>
      <c r="P434" s="177"/>
      <c r="Q434" s="177"/>
      <c r="R434" s="177"/>
      <c r="S434" s="177"/>
      <c r="T434" s="177"/>
      <c r="U434" s="177"/>
      <c r="V434" s="177"/>
      <c r="W434" s="177"/>
      <c r="X434" s="177"/>
    </row>
    <row r="435" ht="15.75" customHeight="1" outlineLevel="1">
      <c r="A435" s="190"/>
      <c r="B435" s="204"/>
      <c r="C435" s="191"/>
      <c r="D435" s="205" t="str">
        <f>IFERROR(VLOOKUP($C435,'PORTIFÓLIO'!C:V,2,0),"")</f>
        <v/>
      </c>
      <c r="E435" s="190" t="str">
        <f>IFERROR(VLOOKUP($C435,'PORTIFÓLIO'!C:V,3,0),"")</f>
        <v/>
      </c>
      <c r="F435" s="190" t="str">
        <f>IFERROR(VLOOKUP($C435,'PORTIFÓLIO'!C:V,4,0),"")</f>
        <v/>
      </c>
      <c r="G435" s="206" t="str">
        <f>IFERROR(VLOOKUP($C435,'PORTIFÓLIO'!C:V,5,0),"")</f>
        <v/>
      </c>
      <c r="H435" s="247" t="str">
        <f t="array" ref="H435">IFERROR(INDEX('PORTIFÓLIO'!$H$4:$H$433,MATCH($C435,'PORTIFÓLIO'!$C$4:$C$433,0)),"")</f>
        <v/>
      </c>
      <c r="I435" s="228"/>
      <c r="J435" s="209">
        <f t="shared" si="49"/>
        <v>0</v>
      </c>
      <c r="K435" s="248" t="str">
        <f t="array" ref="K435">IFERROR(I435*INDEX('PORTIFÓLIO'!$S$4:$S$433,MATCH($C435,'PORTIFÓLIO'!$C$4:$C$433,0)),"")</f>
        <v/>
      </c>
      <c r="L435" s="248" t="str">
        <f t="array" ref="L435">IFERROR(J435*INDEX('PORTIFÓLIO'!$S$4:$S$433,MATCH($C435,'PORTIFÓLIO'!$C$4:$C$433,0)),"")</f>
        <v/>
      </c>
      <c r="M435" s="177"/>
      <c r="N435" s="177"/>
      <c r="O435" s="177"/>
      <c r="P435" s="177"/>
      <c r="Q435" s="177"/>
      <c r="R435" s="177"/>
      <c r="S435" s="177"/>
      <c r="T435" s="177"/>
      <c r="U435" s="177"/>
      <c r="V435" s="177"/>
      <c r="W435" s="177"/>
      <c r="X435" s="177"/>
    </row>
    <row r="436" ht="15.75" customHeight="1" outlineLevel="1">
      <c r="A436" s="190"/>
      <c r="B436" s="204"/>
      <c r="C436" s="191"/>
      <c r="D436" s="205" t="str">
        <f>IFERROR(VLOOKUP($C436,'PORTIFÓLIO'!C:V,2,0),"")</f>
        <v/>
      </c>
      <c r="E436" s="190" t="str">
        <f>IFERROR(VLOOKUP($C436,'PORTIFÓLIO'!C:V,3,0),"")</f>
        <v/>
      </c>
      <c r="F436" s="190" t="str">
        <f>IFERROR(VLOOKUP($C436,'PORTIFÓLIO'!C:V,4,0),"")</f>
        <v/>
      </c>
      <c r="G436" s="206" t="str">
        <f>IFERROR(VLOOKUP($C436,'PORTIFÓLIO'!C:V,5,0),"")</f>
        <v/>
      </c>
      <c r="H436" s="247" t="str">
        <f t="array" ref="H436">IFERROR(INDEX('PORTIFÓLIO'!$H$4:$H$433,MATCH($C436,'PORTIFÓLIO'!$C$4:$C$433,0)),"")</f>
        <v/>
      </c>
      <c r="I436" s="228"/>
      <c r="J436" s="209">
        <f t="shared" si="49"/>
        <v>0</v>
      </c>
      <c r="K436" s="248" t="str">
        <f t="array" ref="K436">IFERROR(I436*INDEX('PORTIFÓLIO'!$S$4:$S$433,MATCH($C436,'PORTIFÓLIO'!$C$4:$C$433,0)),"")</f>
        <v/>
      </c>
      <c r="L436" s="248" t="str">
        <f t="array" ref="L436">IFERROR(J436*INDEX('PORTIFÓLIO'!$S$4:$S$433,MATCH($C436,'PORTIFÓLIO'!$C$4:$C$433,0)),"")</f>
        <v/>
      </c>
      <c r="M436" s="177"/>
      <c r="N436" s="177"/>
      <c r="O436" s="177"/>
      <c r="P436" s="177"/>
      <c r="Q436" s="177"/>
      <c r="R436" s="177"/>
      <c r="S436" s="177"/>
      <c r="T436" s="177"/>
      <c r="U436" s="177"/>
      <c r="V436" s="177"/>
      <c r="W436" s="177"/>
      <c r="X436" s="177"/>
    </row>
    <row r="437" ht="15.75" customHeight="1" outlineLevel="1">
      <c r="A437" s="190"/>
      <c r="B437" s="204"/>
      <c r="C437" s="191"/>
      <c r="D437" s="205" t="str">
        <f>IFERROR(VLOOKUP($C437,'PORTIFÓLIO'!C:V,2,0),"")</f>
        <v/>
      </c>
      <c r="E437" s="190" t="str">
        <f>IFERROR(VLOOKUP($C437,'PORTIFÓLIO'!C:V,3,0),"")</f>
        <v/>
      </c>
      <c r="F437" s="190" t="str">
        <f>IFERROR(VLOOKUP($C437,'PORTIFÓLIO'!C:V,4,0),"")</f>
        <v/>
      </c>
      <c r="G437" s="206" t="str">
        <f>IFERROR(VLOOKUP($C437,'PORTIFÓLIO'!C:V,5,0),"")</f>
        <v/>
      </c>
      <c r="H437" s="247" t="str">
        <f t="array" ref="H437">IFERROR(INDEX('PORTIFÓLIO'!$H$4:$H$433,MATCH($C437,'PORTIFÓLIO'!$C$4:$C$433,0)),"")</f>
        <v/>
      </c>
      <c r="I437" s="228"/>
      <c r="J437" s="209">
        <f t="shared" si="49"/>
        <v>0</v>
      </c>
      <c r="K437" s="248" t="str">
        <f t="array" ref="K437">IFERROR(I437*INDEX('PORTIFÓLIO'!$S$4:$S$433,MATCH($C437,'PORTIFÓLIO'!$C$4:$C$433,0)),"")</f>
        <v/>
      </c>
      <c r="L437" s="248" t="str">
        <f t="array" ref="L437">IFERROR(J437*INDEX('PORTIFÓLIO'!$S$4:$S$433,MATCH($C437,'PORTIFÓLIO'!$C$4:$C$433,0)),"")</f>
        <v/>
      </c>
      <c r="M437" s="177"/>
      <c r="N437" s="177"/>
      <c r="O437" s="177"/>
      <c r="P437" s="177"/>
      <c r="Q437" s="177"/>
      <c r="R437" s="177"/>
      <c r="S437" s="177"/>
      <c r="T437" s="177"/>
      <c r="U437" s="177"/>
      <c r="V437" s="177"/>
      <c r="W437" s="177"/>
      <c r="X437" s="177"/>
    </row>
    <row r="438" ht="15.75" customHeight="1" outlineLevel="1">
      <c r="A438" s="190"/>
      <c r="B438" s="204"/>
      <c r="C438" s="191"/>
      <c r="D438" s="205" t="str">
        <f>IFERROR(VLOOKUP($C438,'PORTIFÓLIO'!C:V,2,0),"")</f>
        <v/>
      </c>
      <c r="E438" s="190" t="str">
        <f>IFERROR(VLOOKUP($C438,'PORTIFÓLIO'!C:V,3,0),"")</f>
        <v/>
      </c>
      <c r="F438" s="190" t="str">
        <f>IFERROR(VLOOKUP($C438,'PORTIFÓLIO'!C:V,4,0),"")</f>
        <v/>
      </c>
      <c r="G438" s="206" t="str">
        <f>IFERROR(VLOOKUP($C438,'PORTIFÓLIO'!C:V,5,0),"")</f>
        <v/>
      </c>
      <c r="H438" s="247" t="str">
        <f t="array" ref="H438">IFERROR(INDEX('PORTIFÓLIO'!$H$4:$H$433,MATCH($C438,'PORTIFÓLIO'!$C$4:$C$433,0)),"")</f>
        <v/>
      </c>
      <c r="I438" s="228"/>
      <c r="J438" s="209">
        <f t="shared" si="49"/>
        <v>0</v>
      </c>
      <c r="K438" s="248" t="str">
        <f t="array" ref="K438">IFERROR(I438*INDEX('PORTIFÓLIO'!$S$4:$S$433,MATCH($C438,'PORTIFÓLIO'!$C$4:$C$433,0)),"")</f>
        <v/>
      </c>
      <c r="L438" s="248" t="str">
        <f t="array" ref="L438">IFERROR(J438*INDEX('PORTIFÓLIO'!$S$4:$S$433,MATCH($C438,'PORTIFÓLIO'!$C$4:$C$433,0)),"")</f>
        <v/>
      </c>
      <c r="M438" s="177"/>
      <c r="N438" s="177"/>
      <c r="O438" s="177"/>
      <c r="P438" s="177"/>
      <c r="Q438" s="177"/>
      <c r="R438" s="177"/>
      <c r="S438" s="177"/>
      <c r="T438" s="177"/>
      <c r="U438" s="177"/>
      <c r="V438" s="177"/>
      <c r="W438" s="177"/>
      <c r="X438" s="177"/>
    </row>
    <row r="439" ht="15.75" customHeight="1" outlineLevel="1">
      <c r="A439" s="190"/>
      <c r="B439" s="204"/>
      <c r="C439" s="191"/>
      <c r="D439" s="205" t="str">
        <f>IFERROR(VLOOKUP($C439,'PORTIFÓLIO'!C:V,2,0),"")</f>
        <v/>
      </c>
      <c r="E439" s="190" t="str">
        <f>IFERROR(VLOOKUP($C439,'PORTIFÓLIO'!C:V,3,0),"")</f>
        <v/>
      </c>
      <c r="F439" s="190" t="str">
        <f>IFERROR(VLOOKUP($C439,'PORTIFÓLIO'!C:V,4,0),"")</f>
        <v/>
      </c>
      <c r="G439" s="206" t="str">
        <f>IFERROR(VLOOKUP($C439,'PORTIFÓLIO'!C:V,5,0),"")</f>
        <v/>
      </c>
      <c r="H439" s="247" t="str">
        <f t="array" ref="H439">IFERROR(INDEX('PORTIFÓLIO'!$H$4:$H$433,MATCH($C439,'PORTIFÓLIO'!$C$4:$C$433,0)),"")</f>
        <v/>
      </c>
      <c r="I439" s="228"/>
      <c r="J439" s="209">
        <f t="shared" si="49"/>
        <v>0</v>
      </c>
      <c r="K439" s="248" t="str">
        <f t="array" ref="K439">IFERROR(I439*INDEX('PORTIFÓLIO'!$S$4:$S$433,MATCH($C439,'PORTIFÓLIO'!$C$4:$C$433,0)),"")</f>
        <v/>
      </c>
      <c r="L439" s="248" t="str">
        <f t="array" ref="L439">IFERROR(J439*INDEX('PORTIFÓLIO'!$S$4:$S$433,MATCH($C439,'PORTIFÓLIO'!$C$4:$C$433,0)),"")</f>
        <v/>
      </c>
      <c r="M439" s="177"/>
      <c r="N439" s="177"/>
      <c r="O439" s="177"/>
      <c r="P439" s="177"/>
      <c r="Q439" s="177"/>
      <c r="R439" s="177"/>
      <c r="S439" s="177"/>
      <c r="T439" s="177"/>
      <c r="U439" s="177"/>
      <c r="V439" s="177"/>
      <c r="W439" s="177"/>
      <c r="X439" s="177"/>
    </row>
    <row r="440" ht="15.75" customHeight="1" outlineLevel="1">
      <c r="A440" s="190"/>
      <c r="B440" s="204"/>
      <c r="C440" s="191"/>
      <c r="D440" s="205" t="str">
        <f>IFERROR(VLOOKUP($C440,'PORTIFÓLIO'!C:V,2,0),"")</f>
        <v/>
      </c>
      <c r="E440" s="190" t="str">
        <f>IFERROR(VLOOKUP($C440,'PORTIFÓLIO'!C:V,3,0),"")</f>
        <v/>
      </c>
      <c r="F440" s="190" t="str">
        <f>IFERROR(VLOOKUP($C440,'PORTIFÓLIO'!C:V,4,0),"")</f>
        <v/>
      </c>
      <c r="G440" s="206" t="str">
        <f>IFERROR(VLOOKUP($C440,'PORTIFÓLIO'!C:V,5,0),"")</f>
        <v/>
      </c>
      <c r="H440" s="247" t="str">
        <f t="array" ref="H440">IFERROR(INDEX('PORTIFÓLIO'!$H$4:$H$433,MATCH($C440,'PORTIFÓLIO'!$C$4:$C$433,0)),"")</f>
        <v/>
      </c>
      <c r="I440" s="228"/>
      <c r="J440" s="209">
        <f t="shared" si="49"/>
        <v>0</v>
      </c>
      <c r="K440" s="248" t="str">
        <f t="array" ref="K440">IFERROR(I440*INDEX('PORTIFÓLIO'!$S$4:$S$433,MATCH($C440,'PORTIFÓLIO'!$C$4:$C$433,0)),"")</f>
        <v/>
      </c>
      <c r="L440" s="248" t="str">
        <f t="array" ref="L440">IFERROR(J440*INDEX('PORTIFÓLIO'!$S$4:$S$433,MATCH($C440,'PORTIFÓLIO'!$C$4:$C$433,0)),"")</f>
        <v/>
      </c>
      <c r="M440" s="177"/>
      <c r="N440" s="177"/>
      <c r="O440" s="177"/>
      <c r="P440" s="177"/>
      <c r="Q440" s="177"/>
      <c r="R440" s="177"/>
      <c r="S440" s="177"/>
      <c r="T440" s="177"/>
      <c r="U440" s="177"/>
      <c r="V440" s="177"/>
      <c r="W440" s="177"/>
      <c r="X440" s="177"/>
    </row>
    <row r="441" ht="15.75" customHeight="1" outlineLevel="1">
      <c r="A441" s="190"/>
      <c r="B441" s="204"/>
      <c r="C441" s="191"/>
      <c r="D441" s="205" t="str">
        <f>IFERROR(VLOOKUP($C441,'PORTIFÓLIO'!C:V,2,0),"")</f>
        <v/>
      </c>
      <c r="E441" s="190" t="str">
        <f>IFERROR(VLOOKUP($C441,'PORTIFÓLIO'!C:V,3,0),"")</f>
        <v/>
      </c>
      <c r="F441" s="190" t="str">
        <f>IFERROR(VLOOKUP($C441,'PORTIFÓLIO'!C:V,4,0),"")</f>
        <v/>
      </c>
      <c r="G441" s="206" t="str">
        <f>IFERROR(VLOOKUP($C441,'PORTIFÓLIO'!C:V,5,0),"")</f>
        <v/>
      </c>
      <c r="H441" s="247" t="str">
        <f t="array" ref="H441">IFERROR(INDEX('PORTIFÓLIO'!$H$4:$H$433,MATCH($C441,'PORTIFÓLIO'!$C$4:$C$433,0)),"")</f>
        <v/>
      </c>
      <c r="I441" s="228"/>
      <c r="J441" s="209">
        <f t="shared" si="49"/>
        <v>0</v>
      </c>
      <c r="K441" s="248" t="str">
        <f t="array" ref="K441">IFERROR(I441*INDEX('PORTIFÓLIO'!$S$4:$S$433,MATCH($C441,'PORTIFÓLIO'!$C$4:$C$433,0)),"")</f>
        <v/>
      </c>
      <c r="L441" s="248" t="str">
        <f t="array" ref="L441">IFERROR(J441*INDEX('PORTIFÓLIO'!$S$4:$S$433,MATCH($C441,'PORTIFÓLIO'!$C$4:$C$433,0)),"")</f>
        <v/>
      </c>
      <c r="M441" s="177"/>
      <c r="N441" s="177"/>
      <c r="O441" s="177"/>
      <c r="P441" s="177"/>
      <c r="Q441" s="177"/>
      <c r="R441" s="177"/>
      <c r="S441" s="177"/>
      <c r="T441" s="177"/>
      <c r="U441" s="177"/>
      <c r="V441" s="177"/>
      <c r="W441" s="177"/>
      <c r="X441" s="177"/>
    </row>
    <row r="442" ht="15.75" customHeight="1" outlineLevel="1">
      <c r="A442" s="190"/>
      <c r="B442" s="204"/>
      <c r="C442" s="191"/>
      <c r="D442" s="205" t="str">
        <f>IFERROR(VLOOKUP($C442,'PORTIFÓLIO'!C:V,2,0),"")</f>
        <v/>
      </c>
      <c r="E442" s="190" t="str">
        <f>IFERROR(VLOOKUP($C442,'PORTIFÓLIO'!C:V,3,0),"")</f>
        <v/>
      </c>
      <c r="F442" s="190" t="str">
        <f>IFERROR(VLOOKUP($C442,'PORTIFÓLIO'!C:V,4,0),"")</f>
        <v/>
      </c>
      <c r="G442" s="206" t="str">
        <f>IFERROR(VLOOKUP($C442,'PORTIFÓLIO'!C:V,5,0),"")</f>
        <v/>
      </c>
      <c r="H442" s="247" t="str">
        <f t="array" ref="H442">IFERROR(INDEX('PORTIFÓLIO'!$H$4:$H$433,MATCH($C442,'PORTIFÓLIO'!$C$4:$C$433,0)),"")</f>
        <v/>
      </c>
      <c r="I442" s="228"/>
      <c r="J442" s="209">
        <f t="shared" si="49"/>
        <v>0</v>
      </c>
      <c r="K442" s="248" t="str">
        <f t="array" ref="K442">IFERROR(I442*INDEX('PORTIFÓLIO'!$S$4:$S$433,MATCH($C442,'PORTIFÓLIO'!$C$4:$C$433,0)),"")</f>
        <v/>
      </c>
      <c r="L442" s="248" t="str">
        <f t="array" ref="L442">IFERROR(J442*INDEX('PORTIFÓLIO'!$S$4:$S$433,MATCH($C442,'PORTIFÓLIO'!$C$4:$C$433,0)),"")</f>
        <v/>
      </c>
      <c r="M442" s="177"/>
      <c r="N442" s="177"/>
      <c r="O442" s="177"/>
      <c r="P442" s="177"/>
      <c r="Q442" s="177"/>
      <c r="R442" s="177"/>
      <c r="S442" s="177"/>
      <c r="T442" s="177"/>
      <c r="U442" s="177"/>
      <c r="V442" s="177"/>
      <c r="W442" s="177"/>
      <c r="X442" s="177"/>
    </row>
    <row r="443" ht="15.75" customHeight="1" outlineLevel="1">
      <c r="A443" s="190"/>
      <c r="B443" s="238"/>
      <c r="C443" s="190"/>
      <c r="D443" s="205" t="str">
        <f>IFERROR(VLOOKUP($C443,'PORTIFÓLIO'!C:V,2,0),"")</f>
        <v/>
      </c>
      <c r="E443" s="190" t="str">
        <f>IFERROR(VLOOKUP($C443,'PORTIFÓLIO'!C:V,3,0),"")</f>
        <v/>
      </c>
      <c r="F443" s="190" t="str">
        <f>IFERROR(VLOOKUP($C443,'PORTIFÓLIO'!C:V,4,0),"")</f>
        <v/>
      </c>
      <c r="G443" s="206" t="str">
        <f>IFERROR(VLOOKUP($C443,'PORTIFÓLIO'!C:V,5,0),"")</f>
        <v/>
      </c>
      <c r="H443" s="247" t="str">
        <f t="array" ref="H443">IFERROR(INDEX('PORTIFÓLIO'!$H$4:$H$433,MATCH($C443,'PORTIFÓLIO'!$C$4:$C$433,0)),"")</f>
        <v/>
      </c>
      <c r="I443" s="228"/>
      <c r="J443" s="209">
        <f t="shared" si="49"/>
        <v>0</v>
      </c>
      <c r="K443" s="248" t="str">
        <f t="array" ref="K443">IFERROR(I443*INDEX('PORTIFÓLIO'!$S$4:$S$433,MATCH($C443,'PORTIFÓLIO'!$C$4:$C$433,0)),"")</f>
        <v/>
      </c>
      <c r="L443" s="248" t="str">
        <f t="array" ref="L443">IFERROR(J443*INDEX('PORTIFÓLIO'!$S$4:$S$433,MATCH($C443,'PORTIFÓLIO'!$C$4:$C$433,0)),"")</f>
        <v/>
      </c>
      <c r="M443" s="177"/>
      <c r="N443" s="177"/>
      <c r="O443" s="177"/>
      <c r="P443" s="177"/>
      <c r="Q443" s="177"/>
      <c r="R443" s="177"/>
      <c r="S443" s="177"/>
      <c r="T443" s="177"/>
      <c r="U443" s="177"/>
      <c r="V443" s="177"/>
      <c r="W443" s="177"/>
      <c r="X443" s="177"/>
    </row>
    <row r="444" ht="15.75" customHeight="1" outlineLevel="1">
      <c r="A444" s="190"/>
      <c r="B444" s="238"/>
      <c r="C444" s="190"/>
      <c r="D444" s="205" t="str">
        <f>IFERROR(VLOOKUP($C444,'PORTIFÓLIO'!C:V,2,0),"")</f>
        <v/>
      </c>
      <c r="E444" s="190" t="str">
        <f>IFERROR(VLOOKUP($C444,'PORTIFÓLIO'!C:V,3,0),"")</f>
        <v/>
      </c>
      <c r="F444" s="190" t="str">
        <f>IFERROR(VLOOKUP($C444,'PORTIFÓLIO'!C:V,4,0),"")</f>
        <v/>
      </c>
      <c r="G444" s="206" t="str">
        <f>IFERROR(VLOOKUP($C444,'PORTIFÓLIO'!C:V,5,0),"")</f>
        <v/>
      </c>
      <c r="H444" s="247" t="str">
        <f t="array" ref="H444">IFERROR(INDEX('PORTIFÓLIO'!$H$4:$H$433,MATCH($C444,'PORTIFÓLIO'!$C$4:$C$433,0)),"")</f>
        <v/>
      </c>
      <c r="I444" s="228"/>
      <c r="J444" s="209">
        <f t="shared" si="49"/>
        <v>0</v>
      </c>
      <c r="K444" s="248" t="str">
        <f t="array" ref="K444">IFERROR(I444*INDEX('PORTIFÓLIO'!$S$4:$S$433,MATCH($C444,'PORTIFÓLIO'!$C$4:$C$433,0)),"")</f>
        <v/>
      </c>
      <c r="L444" s="248" t="str">
        <f t="array" ref="L444">IFERROR(J444*INDEX('PORTIFÓLIO'!$S$4:$S$433,MATCH($C444,'PORTIFÓLIO'!$C$4:$C$433,0)),"")</f>
        <v/>
      </c>
      <c r="M444" s="177"/>
      <c r="N444" s="177"/>
      <c r="O444" s="177"/>
      <c r="P444" s="177"/>
      <c r="Q444" s="177"/>
      <c r="R444" s="177"/>
      <c r="S444" s="177"/>
      <c r="T444" s="177"/>
      <c r="U444" s="177"/>
      <c r="V444" s="177"/>
      <c r="W444" s="177"/>
      <c r="X444" s="177"/>
    </row>
    <row r="445" ht="15.75" customHeight="1" outlineLevel="1">
      <c r="A445" s="190"/>
      <c r="B445" s="238"/>
      <c r="C445" s="190"/>
      <c r="D445" s="205" t="str">
        <f>IFERROR(VLOOKUP($C445,'PORTIFÓLIO'!C:V,2,0),"")</f>
        <v/>
      </c>
      <c r="E445" s="190" t="str">
        <f>IFERROR(VLOOKUP($C445,'PORTIFÓLIO'!C:V,3,0),"")</f>
        <v/>
      </c>
      <c r="F445" s="190" t="str">
        <f>IFERROR(VLOOKUP($C445,'PORTIFÓLIO'!C:V,4,0),"")</f>
        <v/>
      </c>
      <c r="G445" s="206" t="str">
        <f>IFERROR(VLOOKUP($C445,'PORTIFÓLIO'!C:V,5,0),"")</f>
        <v/>
      </c>
      <c r="H445" s="247" t="str">
        <f t="array" ref="H445">IFERROR(INDEX('PORTIFÓLIO'!$H$4:$H$433,MATCH($C445,'PORTIFÓLIO'!$C$4:$C$433,0)),"")</f>
        <v/>
      </c>
      <c r="I445" s="228"/>
      <c r="J445" s="209">
        <f t="shared" si="49"/>
        <v>0</v>
      </c>
      <c r="K445" s="248" t="str">
        <f t="array" ref="K445">IFERROR(I445*INDEX('PORTIFÓLIO'!$S$4:$S$433,MATCH($C445,'PORTIFÓLIO'!$C$4:$C$433,0)),"")</f>
        <v/>
      </c>
      <c r="L445" s="248" t="str">
        <f t="array" ref="L445">IFERROR(J445*INDEX('PORTIFÓLIO'!$S$4:$S$433,MATCH($C445,'PORTIFÓLIO'!$C$4:$C$433,0)),"")</f>
        <v/>
      </c>
      <c r="M445" s="177"/>
      <c r="N445" s="177"/>
      <c r="O445" s="177"/>
      <c r="P445" s="177"/>
      <c r="Q445" s="177"/>
      <c r="R445" s="177"/>
      <c r="S445" s="177"/>
      <c r="T445" s="177"/>
      <c r="U445" s="177"/>
      <c r="V445" s="177"/>
      <c r="W445" s="177"/>
      <c r="X445" s="177"/>
    </row>
    <row r="446" ht="15.75" customHeight="1" outlineLevel="1">
      <c r="A446" s="190"/>
      <c r="B446" s="238"/>
      <c r="C446" s="190"/>
      <c r="D446" s="205" t="str">
        <f>IFERROR(VLOOKUP($C446,'PORTIFÓLIO'!C:V,2,0),"")</f>
        <v/>
      </c>
      <c r="E446" s="190" t="str">
        <f>IFERROR(VLOOKUP($C446,'PORTIFÓLIO'!C:V,3,0),"")</f>
        <v/>
      </c>
      <c r="F446" s="190" t="str">
        <f>IFERROR(VLOOKUP($C446,'PORTIFÓLIO'!C:V,4,0),"")</f>
        <v/>
      </c>
      <c r="G446" s="206" t="str">
        <f>IFERROR(VLOOKUP($C446,'PORTIFÓLIO'!C:V,5,0),"")</f>
        <v/>
      </c>
      <c r="H446" s="247" t="str">
        <f t="array" ref="H446">IFERROR(INDEX('PORTIFÓLIO'!$H$4:$H$433,MATCH($C446,'PORTIFÓLIO'!$C$4:$C$433,0)),"")</f>
        <v/>
      </c>
      <c r="I446" s="228"/>
      <c r="J446" s="209">
        <f t="shared" si="49"/>
        <v>0</v>
      </c>
      <c r="K446" s="248" t="str">
        <f t="array" ref="K446">IFERROR(I446*INDEX('PORTIFÓLIO'!$S$4:$S$433,MATCH($C446,'PORTIFÓLIO'!$C$4:$C$433,0)),"")</f>
        <v/>
      </c>
      <c r="L446" s="248" t="str">
        <f t="array" ref="L446">IFERROR(J446*INDEX('PORTIFÓLIO'!$S$4:$S$433,MATCH($C446,'PORTIFÓLIO'!$C$4:$C$433,0)),"")</f>
        <v/>
      </c>
      <c r="M446" s="177"/>
      <c r="N446" s="177"/>
      <c r="O446" s="177"/>
      <c r="P446" s="177"/>
      <c r="Q446" s="177"/>
      <c r="R446" s="177"/>
      <c r="S446" s="177"/>
      <c r="T446" s="177"/>
      <c r="U446" s="177"/>
      <c r="V446" s="177"/>
      <c r="W446" s="177"/>
      <c r="X446" s="177"/>
    </row>
    <row r="447" ht="15.75" customHeight="1" outlineLevel="1">
      <c r="A447" s="190"/>
      <c r="B447" s="238"/>
      <c r="C447" s="190"/>
      <c r="D447" s="205" t="str">
        <f>IFERROR(VLOOKUP($C447,'PORTIFÓLIO'!C:V,2,0),"")</f>
        <v/>
      </c>
      <c r="E447" s="190" t="str">
        <f>IFERROR(VLOOKUP($C447,'PORTIFÓLIO'!C:V,3,0),"")</f>
        <v/>
      </c>
      <c r="F447" s="190" t="str">
        <f>IFERROR(VLOOKUP($C447,'PORTIFÓLIO'!C:V,4,0),"")</f>
        <v/>
      </c>
      <c r="G447" s="206" t="str">
        <f>IFERROR(VLOOKUP($C447,'PORTIFÓLIO'!C:V,5,0),"")</f>
        <v/>
      </c>
      <c r="H447" s="247" t="str">
        <f t="array" ref="H447">IFERROR(INDEX('PORTIFÓLIO'!$H$4:$H$433,MATCH($C447,'PORTIFÓLIO'!$C$4:$C$433,0)),"")</f>
        <v/>
      </c>
      <c r="I447" s="228"/>
      <c r="J447" s="209">
        <f t="shared" si="49"/>
        <v>0</v>
      </c>
      <c r="K447" s="248" t="str">
        <f t="array" ref="K447">IFERROR(I447*INDEX('PORTIFÓLIO'!$S$4:$S$433,MATCH($C447,'PORTIFÓLIO'!$C$4:$C$433,0)),"")</f>
        <v/>
      </c>
      <c r="L447" s="248" t="str">
        <f t="array" ref="L447">IFERROR(J447*INDEX('PORTIFÓLIO'!$S$4:$S$433,MATCH($C447,'PORTIFÓLIO'!$C$4:$C$433,0)),"")</f>
        <v/>
      </c>
      <c r="M447" s="177"/>
      <c r="N447" s="177"/>
      <c r="O447" s="177"/>
      <c r="P447" s="177"/>
      <c r="Q447" s="177"/>
      <c r="R447" s="177"/>
      <c r="S447" s="177"/>
      <c r="T447" s="177"/>
      <c r="U447" s="177"/>
      <c r="V447" s="177"/>
      <c r="W447" s="177"/>
      <c r="X447" s="177"/>
    </row>
    <row r="448" ht="15.75" customHeight="1" outlineLevel="1">
      <c r="A448" s="190"/>
      <c r="B448" s="238"/>
      <c r="C448" s="190"/>
      <c r="D448" s="205" t="str">
        <f>IFERROR(VLOOKUP($C448,'PORTIFÓLIO'!C:V,2,0),"")</f>
        <v/>
      </c>
      <c r="E448" s="190" t="str">
        <f>IFERROR(VLOOKUP($C448,'PORTIFÓLIO'!C:V,3,0),"")</f>
        <v/>
      </c>
      <c r="F448" s="190" t="str">
        <f>IFERROR(VLOOKUP($C448,'PORTIFÓLIO'!C:V,4,0),"")</f>
        <v/>
      </c>
      <c r="G448" s="206" t="str">
        <f>IFERROR(VLOOKUP($C448,'PORTIFÓLIO'!C:V,5,0),"")</f>
        <v/>
      </c>
      <c r="H448" s="247" t="str">
        <f t="array" ref="H448">IFERROR(INDEX('PORTIFÓLIO'!$H$4:$H$433,MATCH($C448,'PORTIFÓLIO'!$C$4:$C$433,0)),"")</f>
        <v/>
      </c>
      <c r="I448" s="228"/>
      <c r="J448" s="209">
        <f t="shared" si="49"/>
        <v>0</v>
      </c>
      <c r="K448" s="248" t="str">
        <f t="array" ref="K448">IFERROR(I448*INDEX('PORTIFÓLIO'!$S$4:$S$433,MATCH($C448,'PORTIFÓLIO'!$C$4:$C$433,0)),"")</f>
        <v/>
      </c>
      <c r="L448" s="248" t="str">
        <f t="array" ref="L448">IFERROR(J448*INDEX('PORTIFÓLIO'!$S$4:$S$433,MATCH($C448,'PORTIFÓLIO'!$C$4:$C$433,0)),"")</f>
        <v/>
      </c>
      <c r="M448" s="177"/>
      <c r="N448" s="177"/>
      <c r="O448" s="177"/>
      <c r="P448" s="177"/>
      <c r="Q448" s="177"/>
      <c r="R448" s="177"/>
      <c r="S448" s="177"/>
      <c r="T448" s="177"/>
      <c r="U448" s="177"/>
      <c r="V448" s="177"/>
      <c r="W448" s="177"/>
      <c r="X448" s="177"/>
    </row>
    <row r="449" ht="15.75" customHeight="1" outlineLevel="1">
      <c r="A449" s="190"/>
      <c r="B449" s="238"/>
      <c r="C449" s="190"/>
      <c r="D449" s="205" t="str">
        <f>IFERROR(VLOOKUP($C449,'PORTIFÓLIO'!C:V,2,0),"")</f>
        <v/>
      </c>
      <c r="E449" s="190" t="str">
        <f>IFERROR(VLOOKUP($C449,'PORTIFÓLIO'!C:V,3,0),"")</f>
        <v/>
      </c>
      <c r="F449" s="190" t="str">
        <f>IFERROR(VLOOKUP($C449,'PORTIFÓLIO'!C:V,4,0),"")</f>
        <v/>
      </c>
      <c r="G449" s="206" t="str">
        <f>IFERROR(VLOOKUP($C449,'PORTIFÓLIO'!C:V,5,0),"")</f>
        <v/>
      </c>
      <c r="H449" s="247" t="str">
        <f t="array" ref="H449">IFERROR(INDEX('PORTIFÓLIO'!$H$4:$H$433,MATCH($C449,'PORTIFÓLIO'!$C$4:$C$433,0)),"")</f>
        <v/>
      </c>
      <c r="I449" s="228"/>
      <c r="J449" s="209">
        <f t="shared" si="49"/>
        <v>0</v>
      </c>
      <c r="K449" s="248" t="str">
        <f t="array" ref="K449">IFERROR(I449*INDEX('PORTIFÓLIO'!$S$4:$S$433,MATCH($C449,'PORTIFÓLIO'!$C$4:$C$433,0)),"")</f>
        <v/>
      </c>
      <c r="L449" s="248" t="str">
        <f t="array" ref="L449">IFERROR(J449*INDEX('PORTIFÓLIO'!$S$4:$S$433,MATCH($C449,'PORTIFÓLIO'!$C$4:$C$433,0)),"")</f>
        <v/>
      </c>
      <c r="M449" s="177"/>
      <c r="N449" s="177"/>
      <c r="O449" s="177"/>
      <c r="P449" s="177"/>
      <c r="Q449" s="177"/>
      <c r="R449" s="177"/>
      <c r="S449" s="177"/>
      <c r="T449" s="177"/>
      <c r="U449" s="177"/>
      <c r="V449" s="177"/>
      <c r="W449" s="177"/>
      <c r="X449" s="177"/>
    </row>
    <row r="450" ht="15.75" customHeight="1" outlineLevel="1">
      <c r="A450" s="190"/>
      <c r="B450" s="238"/>
      <c r="C450" s="190"/>
      <c r="D450" s="205" t="str">
        <f>IFERROR(VLOOKUP($C450,'PORTIFÓLIO'!C:V,2,0),"")</f>
        <v/>
      </c>
      <c r="E450" s="190" t="str">
        <f>IFERROR(VLOOKUP($C450,'PORTIFÓLIO'!C:V,3,0),"")</f>
        <v/>
      </c>
      <c r="F450" s="190" t="str">
        <f>IFERROR(VLOOKUP($C450,'PORTIFÓLIO'!C:V,4,0),"")</f>
        <v/>
      </c>
      <c r="G450" s="206" t="str">
        <f>IFERROR(VLOOKUP($C450,'PORTIFÓLIO'!C:V,5,0),"")</f>
        <v/>
      </c>
      <c r="H450" s="247" t="str">
        <f t="array" ref="H450">IFERROR(INDEX('PORTIFÓLIO'!$H$4:$H$433,MATCH($C450,'PORTIFÓLIO'!$C$4:$C$433,0)),"")</f>
        <v/>
      </c>
      <c r="I450" s="228"/>
      <c r="J450" s="209">
        <f t="shared" si="49"/>
        <v>0</v>
      </c>
      <c r="K450" s="248" t="str">
        <f t="array" ref="K450">IFERROR(I450*INDEX('PORTIFÓLIO'!$S$4:$S$433,MATCH($C450,'PORTIFÓLIO'!$C$4:$C$433,0)),"")</f>
        <v/>
      </c>
      <c r="L450" s="248" t="str">
        <f t="array" ref="L450">IFERROR(J450*INDEX('PORTIFÓLIO'!$S$4:$S$433,MATCH($C450,'PORTIFÓLIO'!$C$4:$C$433,0)),"")</f>
        <v/>
      </c>
      <c r="M450" s="177"/>
      <c r="N450" s="177"/>
      <c r="O450" s="177"/>
      <c r="P450" s="177"/>
      <c r="Q450" s="177"/>
      <c r="R450" s="177"/>
      <c r="S450" s="177"/>
      <c r="T450" s="177"/>
      <c r="U450" s="177"/>
      <c r="V450" s="177"/>
      <c r="W450" s="177"/>
      <c r="X450" s="177"/>
    </row>
    <row r="451" ht="15.75" customHeight="1" outlineLevel="1">
      <c r="A451" s="190"/>
      <c r="B451" s="238"/>
      <c r="C451" s="190"/>
      <c r="D451" s="205" t="str">
        <f>IFERROR(VLOOKUP($C451,'PORTIFÓLIO'!C:V,2,0),"")</f>
        <v/>
      </c>
      <c r="E451" s="190" t="str">
        <f>IFERROR(VLOOKUP($C451,'PORTIFÓLIO'!C:V,3,0),"")</f>
        <v/>
      </c>
      <c r="F451" s="190" t="str">
        <f>IFERROR(VLOOKUP($C451,'PORTIFÓLIO'!C:V,4,0),"")</f>
        <v/>
      </c>
      <c r="G451" s="206" t="str">
        <f>IFERROR(VLOOKUP($C451,'PORTIFÓLIO'!C:V,5,0),"")</f>
        <v/>
      </c>
      <c r="H451" s="247" t="str">
        <f t="array" ref="H451">IFERROR(INDEX('PORTIFÓLIO'!$H$4:$H$433,MATCH($C451,'PORTIFÓLIO'!$C$4:$C$433,0)),"")</f>
        <v/>
      </c>
      <c r="I451" s="228"/>
      <c r="J451" s="209">
        <f t="shared" si="49"/>
        <v>0</v>
      </c>
      <c r="K451" s="248" t="str">
        <f t="array" ref="K451">IFERROR(I451*INDEX('PORTIFÓLIO'!$S$4:$S$433,MATCH($C451,'PORTIFÓLIO'!$C$4:$C$433,0)),"")</f>
        <v/>
      </c>
      <c r="L451" s="248" t="str">
        <f t="array" ref="L451">IFERROR(J451*INDEX('PORTIFÓLIO'!$S$4:$S$433,MATCH($C451,'PORTIFÓLIO'!$C$4:$C$433,0)),"")</f>
        <v/>
      </c>
      <c r="M451" s="177"/>
      <c r="N451" s="177"/>
      <c r="O451" s="177"/>
      <c r="P451" s="177"/>
      <c r="Q451" s="177"/>
      <c r="R451" s="177"/>
      <c r="S451" s="177"/>
      <c r="T451" s="177"/>
      <c r="U451" s="177"/>
      <c r="V451" s="177"/>
      <c r="W451" s="177"/>
      <c r="X451" s="177"/>
    </row>
    <row r="452" ht="15.75" customHeight="1">
      <c r="A452" s="238"/>
      <c r="B452" s="238"/>
      <c r="C452" s="238"/>
      <c r="D452" s="238"/>
      <c r="E452" s="238"/>
      <c r="F452" s="238"/>
      <c r="G452" s="206"/>
      <c r="H452" s="238"/>
      <c r="I452" s="190"/>
      <c r="J452" s="238"/>
      <c r="K452" s="249">
        <f t="shared" ref="K452:L452" si="50">SUBTOTAL(9,K237:K427)</f>
        <v>329.804944</v>
      </c>
      <c r="L452" s="249">
        <f t="shared" si="50"/>
        <v>90036.74971</v>
      </c>
      <c r="M452" s="177"/>
      <c r="N452" s="177"/>
      <c r="O452" s="177"/>
      <c r="P452" s="177"/>
      <c r="Q452" s="177"/>
      <c r="R452" s="177"/>
      <c r="S452" s="177"/>
      <c r="T452" s="177"/>
      <c r="U452" s="177"/>
      <c r="V452" s="177"/>
      <c r="W452" s="177"/>
      <c r="X452" s="177"/>
    </row>
    <row r="453" ht="15.75" customHeight="1">
      <c r="A453" s="177"/>
      <c r="B453" s="177"/>
      <c r="C453" s="177"/>
      <c r="D453" s="177"/>
      <c r="E453" s="177"/>
      <c r="F453" s="177"/>
      <c r="G453" s="250"/>
      <c r="H453" s="177"/>
      <c r="I453" s="176"/>
      <c r="J453" s="177"/>
      <c r="K453" s="177"/>
      <c r="L453" s="177"/>
      <c r="M453" s="177"/>
      <c r="N453" s="177"/>
      <c r="O453" s="177"/>
      <c r="P453" s="177"/>
      <c r="Q453" s="177"/>
      <c r="R453" s="177"/>
      <c r="S453" s="177"/>
      <c r="T453" s="177"/>
      <c r="U453" s="177"/>
      <c r="V453" s="177"/>
      <c r="W453" s="177"/>
      <c r="X453" s="177"/>
    </row>
    <row r="454" ht="15.75" customHeight="1">
      <c r="A454" s="177"/>
      <c r="B454" s="177"/>
      <c r="C454" s="177"/>
      <c r="D454" s="177"/>
      <c r="E454" s="177"/>
      <c r="F454" s="177"/>
      <c r="G454" s="250"/>
      <c r="H454" s="177"/>
      <c r="I454" s="176"/>
      <c r="J454" s="177"/>
      <c r="K454" s="177"/>
      <c r="L454" s="177"/>
      <c r="M454" s="177"/>
      <c r="N454" s="177"/>
      <c r="O454" s="177"/>
      <c r="P454" s="177"/>
      <c r="Q454" s="177"/>
      <c r="R454" s="177"/>
      <c r="S454" s="177"/>
      <c r="T454" s="177"/>
      <c r="U454" s="177"/>
      <c r="V454" s="177"/>
      <c r="W454" s="177"/>
      <c r="X454" s="177"/>
    </row>
    <row r="455" ht="15.75" customHeight="1">
      <c r="A455" s="177"/>
      <c r="B455" s="177"/>
      <c r="C455" s="177"/>
      <c r="D455" s="177"/>
      <c r="E455" s="177"/>
      <c r="F455" s="177"/>
      <c r="G455" s="250"/>
      <c r="H455" s="177"/>
      <c r="I455" s="176"/>
      <c r="J455" s="177"/>
      <c r="K455" s="177"/>
      <c r="L455" s="177"/>
      <c r="M455" s="177"/>
      <c r="N455" s="177"/>
      <c r="O455" s="177"/>
      <c r="P455" s="177"/>
      <c r="Q455" s="177"/>
      <c r="R455" s="177"/>
      <c r="S455" s="177"/>
      <c r="T455" s="177"/>
      <c r="U455" s="177"/>
      <c r="V455" s="177"/>
      <c r="W455" s="177"/>
      <c r="X455" s="177"/>
    </row>
    <row r="456" ht="15.75" customHeight="1">
      <c r="A456" s="177"/>
      <c r="B456" s="177"/>
      <c r="C456" s="177"/>
      <c r="D456" s="177"/>
      <c r="E456" s="177"/>
      <c r="F456" s="177"/>
      <c r="G456" s="250"/>
      <c r="H456" s="177"/>
      <c r="I456" s="176"/>
      <c r="J456" s="177"/>
      <c r="K456" s="177"/>
      <c r="L456" s="177"/>
      <c r="M456" s="177"/>
      <c r="N456" s="177"/>
      <c r="O456" s="177"/>
      <c r="P456" s="177"/>
      <c r="Q456" s="177"/>
      <c r="R456" s="177"/>
      <c r="S456" s="177"/>
      <c r="T456" s="177"/>
      <c r="U456" s="177"/>
      <c r="V456" s="177"/>
      <c r="W456" s="177"/>
      <c r="X456" s="177"/>
    </row>
    <row r="457" ht="15.75" customHeight="1">
      <c r="A457" s="177"/>
      <c r="B457" s="177"/>
      <c r="C457" s="177"/>
      <c r="D457" s="177"/>
      <c r="E457" s="177"/>
      <c r="F457" s="177"/>
      <c r="G457" s="250"/>
      <c r="H457" s="177"/>
      <c r="I457" s="176"/>
      <c r="J457" s="177"/>
      <c r="K457" s="177"/>
      <c r="L457" s="177"/>
      <c r="M457" s="177"/>
      <c r="N457" s="177"/>
      <c r="O457" s="177"/>
      <c r="P457" s="177"/>
      <c r="Q457" s="177"/>
      <c r="R457" s="177"/>
      <c r="S457" s="177"/>
      <c r="T457" s="177"/>
      <c r="U457" s="177"/>
      <c r="V457" s="177"/>
      <c r="W457" s="177"/>
      <c r="X457" s="177"/>
    </row>
    <row r="458" ht="15.75" customHeight="1">
      <c r="A458" s="177"/>
      <c r="B458" s="177"/>
      <c r="C458" s="177"/>
      <c r="D458" s="177"/>
      <c r="E458" s="177"/>
      <c r="F458" s="177"/>
      <c r="G458" s="250"/>
      <c r="H458" s="177"/>
      <c r="I458" s="176"/>
      <c r="J458" s="177"/>
      <c r="K458" s="177"/>
      <c r="L458" s="177"/>
      <c r="M458" s="177"/>
      <c r="N458" s="177"/>
      <c r="O458" s="177"/>
      <c r="P458" s="177"/>
      <c r="Q458" s="177"/>
      <c r="R458" s="177"/>
      <c r="S458" s="177"/>
      <c r="T458" s="177"/>
      <c r="U458" s="177"/>
      <c r="V458" s="177"/>
      <c r="W458" s="177"/>
      <c r="X458" s="177"/>
    </row>
    <row r="459" ht="15.75" customHeight="1">
      <c r="A459" s="177"/>
      <c r="B459" s="177"/>
      <c r="C459" s="177"/>
      <c r="D459" s="177"/>
      <c r="E459" s="177"/>
      <c r="F459" s="177"/>
      <c r="G459" s="250"/>
      <c r="H459" s="177"/>
      <c r="I459" s="176"/>
      <c r="J459" s="177"/>
      <c r="K459" s="177"/>
      <c r="L459" s="177"/>
      <c r="M459" s="177"/>
      <c r="N459" s="177"/>
      <c r="O459" s="177"/>
      <c r="P459" s="177"/>
      <c r="Q459" s="177"/>
      <c r="R459" s="177"/>
      <c r="S459" s="177"/>
      <c r="T459" s="177"/>
      <c r="U459" s="177"/>
      <c r="V459" s="177"/>
      <c r="W459" s="177"/>
      <c r="X459" s="177"/>
    </row>
    <row r="460" ht="15.75" customHeight="1">
      <c r="A460" s="177"/>
      <c r="B460" s="177"/>
      <c r="C460" s="177"/>
      <c r="D460" s="177"/>
      <c r="E460" s="177"/>
      <c r="F460" s="177"/>
      <c r="G460" s="250"/>
      <c r="H460" s="177"/>
      <c r="I460" s="176"/>
      <c r="J460" s="177"/>
      <c r="K460" s="177"/>
      <c r="L460" s="177"/>
      <c r="M460" s="177"/>
      <c r="N460" s="177"/>
      <c r="O460" s="177"/>
      <c r="P460" s="177"/>
      <c r="Q460" s="177"/>
      <c r="R460" s="177"/>
      <c r="S460" s="177"/>
      <c r="T460" s="177"/>
      <c r="U460" s="177"/>
      <c r="V460" s="177"/>
      <c r="W460" s="177"/>
      <c r="X460" s="177"/>
    </row>
    <row r="461" ht="15.75" customHeight="1">
      <c r="A461" s="177"/>
      <c r="B461" s="177"/>
      <c r="C461" s="177"/>
      <c r="D461" s="177"/>
      <c r="E461" s="177"/>
      <c r="F461" s="177"/>
      <c r="G461" s="250"/>
      <c r="H461" s="177"/>
      <c r="I461" s="176"/>
      <c r="J461" s="177"/>
      <c r="K461" s="177"/>
      <c r="L461" s="177"/>
      <c r="M461" s="177"/>
      <c r="N461" s="177"/>
      <c r="O461" s="177"/>
      <c r="P461" s="177"/>
      <c r="Q461" s="177"/>
      <c r="R461" s="177"/>
      <c r="S461" s="177"/>
      <c r="T461" s="177"/>
      <c r="U461" s="177"/>
      <c r="V461" s="177"/>
      <c r="W461" s="177"/>
      <c r="X461" s="177"/>
    </row>
    <row r="462" ht="15.75" customHeight="1">
      <c r="A462" s="177"/>
      <c r="B462" s="177"/>
      <c r="C462" s="177"/>
      <c r="D462" s="177"/>
      <c r="E462" s="177"/>
      <c r="F462" s="177"/>
      <c r="G462" s="250"/>
      <c r="H462" s="177"/>
      <c r="I462" s="176"/>
      <c r="J462" s="177"/>
      <c r="K462" s="177"/>
      <c r="L462" s="177"/>
      <c r="M462" s="177"/>
      <c r="N462" s="177"/>
      <c r="O462" s="177"/>
      <c r="P462" s="177"/>
      <c r="Q462" s="177"/>
      <c r="R462" s="177"/>
      <c r="S462" s="177"/>
      <c r="T462" s="177"/>
      <c r="U462" s="177"/>
      <c r="V462" s="177"/>
      <c r="W462" s="177"/>
      <c r="X462" s="177"/>
    </row>
    <row r="463" ht="15.75" customHeight="1">
      <c r="A463" s="177"/>
      <c r="B463" s="177"/>
      <c r="C463" s="177"/>
      <c r="D463" s="177"/>
      <c r="E463" s="177"/>
      <c r="F463" s="177"/>
      <c r="G463" s="250"/>
      <c r="H463" s="177"/>
      <c r="I463" s="176"/>
      <c r="J463" s="177"/>
      <c r="K463" s="177"/>
      <c r="L463" s="177"/>
      <c r="M463" s="177"/>
      <c r="N463" s="177"/>
      <c r="O463" s="177"/>
      <c r="P463" s="177"/>
      <c r="Q463" s="177"/>
      <c r="R463" s="177"/>
      <c r="S463" s="177"/>
      <c r="T463" s="177"/>
      <c r="U463" s="177"/>
      <c r="V463" s="177"/>
      <c r="W463" s="177"/>
      <c r="X463" s="177"/>
    </row>
    <row r="464" ht="15.75" customHeight="1">
      <c r="A464" s="177"/>
      <c r="B464" s="177"/>
      <c r="C464" s="177"/>
      <c r="D464" s="177"/>
      <c r="E464" s="177"/>
      <c r="F464" s="177"/>
      <c r="G464" s="250"/>
      <c r="H464" s="177"/>
      <c r="I464" s="176"/>
      <c r="J464" s="177"/>
      <c r="K464" s="177"/>
      <c r="L464" s="177"/>
      <c r="M464" s="177"/>
      <c r="N464" s="177"/>
      <c r="O464" s="177"/>
      <c r="P464" s="177"/>
      <c r="Q464" s="177"/>
      <c r="R464" s="177"/>
      <c r="S464" s="177"/>
      <c r="T464" s="177"/>
      <c r="U464" s="177"/>
      <c r="V464" s="177"/>
      <c r="W464" s="177"/>
      <c r="X464" s="177"/>
    </row>
    <row r="465" ht="15.75" customHeight="1">
      <c r="A465" s="177"/>
      <c r="B465" s="177"/>
      <c r="C465" s="177"/>
      <c r="D465" s="177"/>
      <c r="E465" s="177"/>
      <c r="F465" s="177"/>
      <c r="G465" s="250"/>
      <c r="H465" s="177"/>
      <c r="I465" s="176"/>
      <c r="J465" s="177"/>
      <c r="K465" s="177"/>
      <c r="L465" s="177"/>
      <c r="M465" s="177"/>
      <c r="N465" s="177"/>
      <c r="O465" s="177"/>
      <c r="P465" s="177"/>
      <c r="Q465" s="177"/>
      <c r="R465" s="177"/>
      <c r="S465" s="177"/>
      <c r="T465" s="177"/>
      <c r="U465" s="177"/>
      <c r="V465" s="177"/>
      <c r="W465" s="177"/>
      <c r="X465" s="177"/>
    </row>
    <row r="466" ht="15.75" customHeight="1">
      <c r="A466" s="177"/>
      <c r="B466" s="177"/>
      <c r="C466" s="177"/>
      <c r="D466" s="177"/>
      <c r="E466" s="177"/>
      <c r="F466" s="177"/>
      <c r="G466" s="250"/>
      <c r="H466" s="177"/>
      <c r="I466" s="176"/>
      <c r="J466" s="177"/>
      <c r="K466" s="177"/>
      <c r="L466" s="177"/>
      <c r="M466" s="177"/>
      <c r="N466" s="177"/>
      <c r="O466" s="177"/>
      <c r="P466" s="177"/>
      <c r="Q466" s="177"/>
      <c r="R466" s="177"/>
      <c r="S466" s="177"/>
      <c r="T466" s="177"/>
      <c r="U466" s="177"/>
      <c r="V466" s="177"/>
      <c r="W466" s="177"/>
      <c r="X466" s="177"/>
    </row>
    <row r="467" ht="15.75" customHeight="1">
      <c r="A467" s="177"/>
      <c r="B467" s="177"/>
      <c r="C467" s="177"/>
      <c r="D467" s="177"/>
      <c r="E467" s="177"/>
      <c r="F467" s="177"/>
      <c r="G467" s="250"/>
      <c r="H467" s="177"/>
      <c r="I467" s="176"/>
      <c r="J467" s="177"/>
      <c r="K467" s="177"/>
      <c r="L467" s="177"/>
      <c r="M467" s="177"/>
      <c r="N467" s="177"/>
      <c r="O467" s="177"/>
      <c r="P467" s="177"/>
      <c r="Q467" s="177"/>
      <c r="R467" s="177"/>
      <c r="S467" s="177"/>
      <c r="T467" s="177"/>
      <c r="U467" s="177"/>
      <c r="V467" s="177"/>
      <c r="W467" s="177"/>
      <c r="X467" s="177"/>
    </row>
    <row r="468" ht="15.75" customHeight="1">
      <c r="A468" s="177"/>
      <c r="B468" s="177"/>
      <c r="C468" s="177"/>
      <c r="D468" s="177"/>
      <c r="E468" s="177"/>
      <c r="F468" s="177"/>
      <c r="G468" s="250"/>
      <c r="H468" s="177"/>
      <c r="I468" s="176"/>
      <c r="J468" s="177"/>
      <c r="K468" s="177"/>
      <c r="L468" s="177"/>
      <c r="M468" s="177"/>
      <c r="N468" s="177"/>
      <c r="O468" s="177"/>
      <c r="P468" s="177"/>
      <c r="Q468" s="177"/>
      <c r="R468" s="177"/>
      <c r="S468" s="177"/>
      <c r="T468" s="177"/>
      <c r="U468" s="177"/>
      <c r="V468" s="177"/>
      <c r="W468" s="177"/>
      <c r="X468" s="177"/>
    </row>
    <row r="469" ht="15.75" customHeight="1">
      <c r="A469" s="177"/>
      <c r="B469" s="177"/>
      <c r="C469" s="177"/>
      <c r="D469" s="177"/>
      <c r="E469" s="177"/>
      <c r="F469" s="177"/>
      <c r="G469" s="250"/>
      <c r="H469" s="177"/>
      <c r="I469" s="176"/>
      <c r="J469" s="177"/>
      <c r="K469" s="177"/>
      <c r="L469" s="177"/>
      <c r="M469" s="177"/>
      <c r="N469" s="177"/>
      <c r="O469" s="177"/>
      <c r="P469" s="177"/>
      <c r="Q469" s="177"/>
      <c r="R469" s="177"/>
      <c r="S469" s="177"/>
      <c r="T469" s="177"/>
      <c r="U469" s="177"/>
      <c r="V469" s="177"/>
      <c r="W469" s="177"/>
      <c r="X469" s="177"/>
    </row>
    <row r="470" ht="15.75" customHeight="1">
      <c r="A470" s="177"/>
      <c r="B470" s="177"/>
      <c r="C470" s="177"/>
      <c r="D470" s="177"/>
      <c r="E470" s="177"/>
      <c r="F470" s="177"/>
      <c r="G470" s="250"/>
      <c r="H470" s="177"/>
      <c r="I470" s="176"/>
      <c r="J470" s="177"/>
      <c r="K470" s="177"/>
      <c r="L470" s="177"/>
      <c r="M470" s="177"/>
      <c r="N470" s="177"/>
      <c r="O470" s="177"/>
      <c r="P470" s="177"/>
      <c r="Q470" s="177"/>
      <c r="R470" s="177"/>
      <c r="S470" s="177"/>
      <c r="T470" s="177"/>
      <c r="U470" s="177"/>
      <c r="V470" s="177"/>
      <c r="W470" s="177"/>
      <c r="X470" s="177"/>
    </row>
    <row r="471" ht="15.75" customHeight="1">
      <c r="A471" s="177"/>
      <c r="B471" s="177"/>
      <c r="C471" s="177"/>
      <c r="D471" s="177"/>
      <c r="E471" s="177"/>
      <c r="F471" s="177"/>
      <c r="G471" s="250"/>
      <c r="H471" s="177"/>
      <c r="I471" s="176"/>
      <c r="J471" s="177"/>
      <c r="K471" s="177"/>
      <c r="L471" s="177"/>
      <c r="M471" s="177"/>
      <c r="N471" s="177"/>
      <c r="O471" s="177"/>
      <c r="P471" s="177"/>
      <c r="Q471" s="177"/>
      <c r="R471" s="177"/>
      <c r="S471" s="177"/>
      <c r="T471" s="177"/>
      <c r="U471" s="177"/>
      <c r="V471" s="177"/>
      <c r="W471" s="177"/>
      <c r="X471" s="177"/>
    </row>
    <row r="472" ht="15.75" customHeight="1">
      <c r="A472" s="177"/>
      <c r="B472" s="177"/>
      <c r="C472" s="177"/>
      <c r="D472" s="177"/>
      <c r="E472" s="177"/>
      <c r="F472" s="177"/>
      <c r="G472" s="250"/>
      <c r="H472" s="177"/>
      <c r="I472" s="176"/>
      <c r="J472" s="177"/>
      <c r="K472" s="177"/>
      <c r="L472" s="177"/>
      <c r="M472" s="177"/>
      <c r="N472" s="177"/>
      <c r="O472" s="177"/>
      <c r="P472" s="177"/>
      <c r="Q472" s="177"/>
      <c r="R472" s="177"/>
      <c r="S472" s="177"/>
      <c r="T472" s="177"/>
      <c r="U472" s="177"/>
      <c r="V472" s="177"/>
      <c r="W472" s="177"/>
      <c r="X472" s="177"/>
    </row>
    <row r="473" ht="15.75" customHeight="1">
      <c r="A473" s="177"/>
      <c r="B473" s="177"/>
      <c r="C473" s="177"/>
      <c r="D473" s="177"/>
      <c r="E473" s="177"/>
      <c r="F473" s="177"/>
      <c r="G473" s="250"/>
      <c r="H473" s="177"/>
      <c r="I473" s="176"/>
      <c r="J473" s="177"/>
      <c r="K473" s="177"/>
      <c r="L473" s="177"/>
      <c r="M473" s="177"/>
      <c r="N473" s="177"/>
      <c r="O473" s="177"/>
      <c r="P473" s="177"/>
      <c r="Q473" s="177"/>
      <c r="R473" s="177"/>
      <c r="S473" s="177"/>
      <c r="T473" s="177"/>
      <c r="U473" s="177"/>
      <c r="V473" s="177"/>
      <c r="W473" s="177"/>
      <c r="X473" s="177"/>
    </row>
    <row r="474" ht="15.75" customHeight="1">
      <c r="A474" s="177"/>
      <c r="B474" s="177"/>
      <c r="C474" s="177"/>
      <c r="D474" s="177"/>
      <c r="E474" s="177"/>
      <c r="F474" s="177"/>
      <c r="G474" s="250"/>
      <c r="H474" s="177"/>
      <c r="I474" s="176"/>
      <c r="J474" s="177"/>
      <c r="K474" s="177"/>
      <c r="L474" s="177"/>
      <c r="M474" s="177"/>
      <c r="N474" s="177"/>
      <c r="O474" s="177"/>
      <c r="P474" s="177"/>
      <c r="Q474" s="177"/>
      <c r="R474" s="177"/>
      <c r="S474" s="177"/>
      <c r="T474" s="177"/>
      <c r="U474" s="177"/>
      <c r="V474" s="177"/>
      <c r="W474" s="177"/>
      <c r="X474" s="177"/>
    </row>
    <row r="475" ht="15.75" customHeight="1">
      <c r="A475" s="177"/>
      <c r="B475" s="177"/>
      <c r="C475" s="177"/>
      <c r="D475" s="177"/>
      <c r="E475" s="177"/>
      <c r="F475" s="177"/>
      <c r="G475" s="250"/>
      <c r="H475" s="177"/>
      <c r="I475" s="176"/>
      <c r="J475" s="177"/>
      <c r="K475" s="177"/>
      <c r="L475" s="177"/>
      <c r="M475" s="177"/>
      <c r="N475" s="177"/>
      <c r="O475" s="177"/>
      <c r="P475" s="177"/>
      <c r="Q475" s="177"/>
      <c r="R475" s="177"/>
      <c r="S475" s="177"/>
      <c r="T475" s="177"/>
      <c r="U475" s="177"/>
      <c r="V475" s="177"/>
      <c r="W475" s="177"/>
      <c r="X475" s="177"/>
    </row>
    <row r="476" ht="15.75" customHeight="1">
      <c r="A476" s="177"/>
      <c r="B476" s="177"/>
      <c r="C476" s="177"/>
      <c r="D476" s="177"/>
      <c r="E476" s="177"/>
      <c r="F476" s="177"/>
      <c r="G476" s="250"/>
      <c r="H476" s="177"/>
      <c r="I476" s="176"/>
      <c r="J476" s="177"/>
      <c r="K476" s="177"/>
      <c r="L476" s="177"/>
      <c r="M476" s="177"/>
      <c r="N476" s="177"/>
      <c r="O476" s="177"/>
      <c r="P476" s="177"/>
      <c r="Q476" s="177"/>
      <c r="R476" s="177"/>
      <c r="S476" s="177"/>
      <c r="T476" s="177"/>
      <c r="U476" s="177"/>
      <c r="V476" s="177"/>
      <c r="W476" s="177"/>
      <c r="X476" s="177"/>
    </row>
    <row r="477" ht="15.75" customHeight="1">
      <c r="A477" s="177"/>
      <c r="B477" s="177"/>
      <c r="C477" s="177"/>
      <c r="D477" s="177"/>
      <c r="E477" s="177"/>
      <c r="F477" s="177"/>
      <c r="G477" s="250"/>
      <c r="H477" s="177"/>
      <c r="I477" s="176"/>
      <c r="J477" s="177"/>
      <c r="K477" s="177"/>
      <c r="L477" s="177"/>
      <c r="M477" s="177"/>
      <c r="N477" s="177"/>
      <c r="O477" s="177"/>
      <c r="P477" s="177"/>
      <c r="Q477" s="177"/>
      <c r="R477" s="177"/>
      <c r="S477" s="177"/>
      <c r="T477" s="177"/>
      <c r="U477" s="177"/>
      <c r="V477" s="177"/>
      <c r="W477" s="177"/>
      <c r="X477" s="177"/>
    </row>
    <row r="478" ht="15.75" customHeight="1">
      <c r="A478" s="177"/>
      <c r="B478" s="177"/>
      <c r="C478" s="177"/>
      <c r="D478" s="177"/>
      <c r="E478" s="177"/>
      <c r="F478" s="177"/>
      <c r="G478" s="250"/>
      <c r="H478" s="177"/>
      <c r="I478" s="176"/>
      <c r="J478" s="177"/>
      <c r="K478" s="177"/>
      <c r="L478" s="177"/>
      <c r="M478" s="177"/>
      <c r="N478" s="177"/>
      <c r="O478" s="177"/>
      <c r="P478" s="177"/>
      <c r="Q478" s="177"/>
      <c r="R478" s="177"/>
      <c r="S478" s="177"/>
      <c r="T478" s="177"/>
      <c r="U478" s="177"/>
      <c r="V478" s="177"/>
      <c r="W478" s="177"/>
      <c r="X478" s="177"/>
    </row>
    <row r="479" ht="15.75" customHeight="1">
      <c r="A479" s="177"/>
      <c r="B479" s="177"/>
      <c r="C479" s="177"/>
      <c r="D479" s="177"/>
      <c r="E479" s="177"/>
      <c r="F479" s="177"/>
      <c r="G479" s="250"/>
      <c r="H479" s="177"/>
      <c r="I479" s="176"/>
      <c r="J479" s="177"/>
      <c r="K479" s="177"/>
      <c r="L479" s="177"/>
      <c r="M479" s="177"/>
      <c r="N479" s="177"/>
      <c r="O479" s="177"/>
      <c r="P479" s="177"/>
      <c r="Q479" s="177"/>
      <c r="R479" s="177"/>
      <c r="S479" s="177"/>
      <c r="T479" s="177"/>
      <c r="U479" s="177"/>
      <c r="V479" s="177"/>
      <c r="W479" s="177"/>
      <c r="X479" s="177"/>
    </row>
    <row r="480" ht="15.75" customHeight="1">
      <c r="A480" s="177"/>
      <c r="B480" s="177"/>
      <c r="C480" s="177"/>
      <c r="D480" s="177"/>
      <c r="E480" s="177"/>
      <c r="F480" s="177"/>
      <c r="G480" s="250"/>
      <c r="H480" s="177"/>
      <c r="I480" s="176"/>
      <c r="J480" s="177"/>
      <c r="K480" s="177"/>
      <c r="L480" s="177"/>
      <c r="M480" s="177"/>
      <c r="N480" s="177"/>
      <c r="O480" s="177"/>
      <c r="P480" s="177"/>
      <c r="Q480" s="177"/>
      <c r="R480" s="177"/>
      <c r="S480" s="177"/>
      <c r="T480" s="177"/>
      <c r="U480" s="177"/>
      <c r="V480" s="177"/>
      <c r="W480" s="177"/>
      <c r="X480" s="177"/>
    </row>
    <row r="481" ht="15.75" customHeight="1">
      <c r="A481" s="177"/>
      <c r="B481" s="177"/>
      <c r="C481" s="177"/>
      <c r="D481" s="177"/>
      <c r="E481" s="177"/>
      <c r="F481" s="177"/>
      <c r="G481" s="250"/>
      <c r="H481" s="177"/>
      <c r="I481" s="176"/>
      <c r="J481" s="177"/>
      <c r="K481" s="177"/>
      <c r="L481" s="177"/>
      <c r="M481" s="177"/>
      <c r="N481" s="177"/>
      <c r="O481" s="177"/>
      <c r="P481" s="177"/>
      <c r="Q481" s="177"/>
      <c r="R481" s="177"/>
      <c r="S481" s="177"/>
      <c r="T481" s="177"/>
      <c r="U481" s="177"/>
      <c r="V481" s="177"/>
      <c r="W481" s="177"/>
      <c r="X481" s="177"/>
    </row>
    <row r="482" ht="15.75" customHeight="1">
      <c r="A482" s="177"/>
      <c r="B482" s="177"/>
      <c r="C482" s="177"/>
      <c r="D482" s="177"/>
      <c r="E482" s="177"/>
      <c r="F482" s="177"/>
      <c r="G482" s="250"/>
      <c r="H482" s="177"/>
      <c r="I482" s="176"/>
      <c r="J482" s="177"/>
      <c r="K482" s="177"/>
      <c r="L482" s="177"/>
      <c r="M482" s="177"/>
      <c r="N482" s="177"/>
      <c r="O482" s="177"/>
      <c r="P482" s="177"/>
      <c r="Q482" s="177"/>
      <c r="R482" s="177"/>
      <c r="S482" s="177"/>
      <c r="T482" s="177"/>
      <c r="U482" s="177"/>
      <c r="V482" s="177"/>
      <c r="W482" s="177"/>
      <c r="X482" s="177"/>
    </row>
    <row r="483" ht="15.75" customHeight="1">
      <c r="A483" s="177"/>
      <c r="B483" s="177"/>
      <c r="C483" s="177"/>
      <c r="D483" s="177"/>
      <c r="E483" s="177"/>
      <c r="F483" s="177"/>
      <c r="G483" s="250"/>
      <c r="H483" s="177"/>
      <c r="I483" s="176"/>
      <c r="J483" s="177"/>
      <c r="K483" s="177"/>
      <c r="L483" s="177"/>
      <c r="M483" s="177"/>
      <c r="N483" s="177"/>
      <c r="O483" s="177"/>
      <c r="P483" s="177"/>
      <c r="Q483" s="177"/>
      <c r="R483" s="177"/>
      <c r="S483" s="177"/>
      <c r="T483" s="177"/>
      <c r="U483" s="177"/>
      <c r="V483" s="177"/>
      <c r="W483" s="177"/>
      <c r="X483" s="177"/>
    </row>
    <row r="484" ht="15.75" customHeight="1">
      <c r="A484" s="177"/>
      <c r="B484" s="177"/>
      <c r="C484" s="177"/>
      <c r="D484" s="177"/>
      <c r="E484" s="177"/>
      <c r="F484" s="177"/>
      <c r="G484" s="250"/>
      <c r="H484" s="177"/>
      <c r="I484" s="176"/>
      <c r="J484" s="177"/>
      <c r="K484" s="177"/>
      <c r="L484" s="177"/>
      <c r="M484" s="177"/>
      <c r="N484" s="177"/>
      <c r="O484" s="177"/>
      <c r="P484" s="177"/>
      <c r="Q484" s="177"/>
      <c r="R484" s="177"/>
      <c r="S484" s="177"/>
      <c r="T484" s="177"/>
      <c r="U484" s="177"/>
      <c r="V484" s="177"/>
      <c r="W484" s="177"/>
      <c r="X484" s="177"/>
    </row>
    <row r="485" ht="15.75" customHeight="1">
      <c r="A485" s="177"/>
      <c r="B485" s="177"/>
      <c r="C485" s="177"/>
      <c r="D485" s="177"/>
      <c r="E485" s="177"/>
      <c r="F485" s="177"/>
      <c r="G485" s="250"/>
      <c r="H485" s="177"/>
      <c r="I485" s="176"/>
      <c r="J485" s="177"/>
      <c r="K485" s="177"/>
      <c r="L485" s="177"/>
      <c r="M485" s="177"/>
      <c r="N485" s="177"/>
      <c r="O485" s="177"/>
      <c r="P485" s="177"/>
      <c r="Q485" s="177"/>
      <c r="R485" s="177"/>
      <c r="S485" s="177"/>
      <c r="T485" s="177"/>
      <c r="U485" s="177"/>
      <c r="V485" s="177"/>
      <c r="W485" s="177"/>
      <c r="X485" s="177"/>
    </row>
    <row r="486" ht="15.75" customHeight="1">
      <c r="A486" s="177"/>
      <c r="B486" s="177"/>
      <c r="C486" s="177"/>
      <c r="D486" s="177"/>
      <c r="E486" s="177"/>
      <c r="F486" s="177"/>
      <c r="G486" s="250"/>
      <c r="H486" s="177"/>
      <c r="I486" s="176"/>
      <c r="J486" s="177"/>
      <c r="K486" s="177"/>
      <c r="L486" s="177"/>
      <c r="M486" s="177"/>
      <c r="N486" s="177"/>
      <c r="O486" s="177"/>
      <c r="P486" s="177"/>
      <c r="Q486" s="177"/>
      <c r="R486" s="177"/>
      <c r="S486" s="177"/>
      <c r="T486" s="177"/>
      <c r="U486" s="177"/>
      <c r="V486" s="177"/>
      <c r="W486" s="177"/>
      <c r="X486" s="177"/>
    </row>
    <row r="487" ht="15.75" customHeight="1">
      <c r="A487" s="177"/>
      <c r="B487" s="177"/>
      <c r="C487" s="177"/>
      <c r="D487" s="177"/>
      <c r="E487" s="177"/>
      <c r="F487" s="177"/>
      <c r="G487" s="250"/>
      <c r="H487" s="177"/>
      <c r="I487" s="176"/>
      <c r="J487" s="177"/>
      <c r="K487" s="177"/>
      <c r="L487" s="177"/>
      <c r="M487" s="177"/>
      <c r="N487" s="177"/>
      <c r="O487" s="177"/>
      <c r="P487" s="177"/>
      <c r="Q487" s="177"/>
      <c r="R487" s="177"/>
      <c r="S487" s="177"/>
      <c r="T487" s="177"/>
      <c r="U487" s="177"/>
      <c r="V487" s="177"/>
      <c r="W487" s="177"/>
      <c r="X487" s="177"/>
    </row>
    <row r="488" ht="15.75" customHeight="1">
      <c r="A488" s="177"/>
      <c r="B488" s="177"/>
      <c r="C488" s="177"/>
      <c r="D488" s="177"/>
      <c r="E488" s="177"/>
      <c r="F488" s="177"/>
      <c r="G488" s="250"/>
      <c r="H488" s="177"/>
      <c r="I488" s="176"/>
      <c r="J488" s="177"/>
      <c r="K488" s="177"/>
      <c r="L488" s="177"/>
      <c r="M488" s="177"/>
      <c r="N488" s="177"/>
      <c r="O488" s="177"/>
      <c r="P488" s="177"/>
      <c r="Q488" s="177"/>
      <c r="R488" s="177"/>
      <c r="S488" s="177"/>
      <c r="T488" s="177"/>
      <c r="U488" s="177"/>
      <c r="V488" s="177"/>
      <c r="W488" s="177"/>
      <c r="X488" s="177"/>
    </row>
    <row r="489" ht="15.75" customHeight="1">
      <c r="A489" s="177"/>
      <c r="B489" s="177"/>
      <c r="C489" s="177"/>
      <c r="D489" s="177"/>
      <c r="E489" s="177"/>
      <c r="F489" s="177"/>
      <c r="G489" s="250"/>
      <c r="H489" s="177"/>
      <c r="I489" s="176"/>
      <c r="J489" s="177"/>
      <c r="K489" s="177"/>
      <c r="L489" s="177"/>
      <c r="M489" s="177"/>
      <c r="N489" s="177"/>
      <c r="O489" s="177"/>
      <c r="P489" s="177"/>
      <c r="Q489" s="177"/>
      <c r="R489" s="177"/>
      <c r="S489" s="177"/>
      <c r="T489" s="177"/>
      <c r="U489" s="177"/>
      <c r="V489" s="177"/>
      <c r="W489" s="177"/>
      <c r="X489" s="177"/>
    </row>
    <row r="490" ht="15.75" customHeight="1">
      <c r="A490" s="177"/>
      <c r="B490" s="177"/>
      <c r="C490" s="177"/>
      <c r="D490" s="177"/>
      <c r="E490" s="177"/>
      <c r="F490" s="177"/>
      <c r="G490" s="250"/>
      <c r="H490" s="177"/>
      <c r="I490" s="176"/>
      <c r="J490" s="177"/>
      <c r="K490" s="177"/>
      <c r="L490" s="177"/>
      <c r="M490" s="177"/>
      <c r="N490" s="177"/>
      <c r="O490" s="177"/>
      <c r="P490" s="177"/>
      <c r="Q490" s="177"/>
      <c r="R490" s="177"/>
      <c r="S490" s="177"/>
      <c r="T490" s="177"/>
      <c r="U490" s="177"/>
      <c r="V490" s="177"/>
      <c r="W490" s="177"/>
      <c r="X490" s="177"/>
    </row>
    <row r="491" ht="15.75" customHeight="1">
      <c r="A491" s="177"/>
      <c r="B491" s="177"/>
      <c r="C491" s="177"/>
      <c r="D491" s="177"/>
      <c r="E491" s="177"/>
      <c r="F491" s="177"/>
      <c r="G491" s="250"/>
      <c r="H491" s="177"/>
      <c r="I491" s="176"/>
      <c r="J491" s="177"/>
      <c r="K491" s="177"/>
      <c r="L491" s="177"/>
      <c r="M491" s="177"/>
      <c r="N491" s="177"/>
      <c r="O491" s="177"/>
      <c r="P491" s="177"/>
      <c r="Q491" s="177"/>
      <c r="R491" s="177"/>
      <c r="S491" s="177"/>
      <c r="T491" s="177"/>
      <c r="U491" s="177"/>
      <c r="V491" s="177"/>
      <c r="W491" s="177"/>
      <c r="X491" s="177"/>
    </row>
    <row r="492" ht="15.75" customHeight="1">
      <c r="A492" s="177"/>
      <c r="B492" s="177"/>
      <c r="C492" s="177"/>
      <c r="D492" s="177"/>
      <c r="E492" s="177"/>
      <c r="F492" s="177"/>
      <c r="G492" s="250"/>
      <c r="H492" s="177"/>
      <c r="I492" s="176"/>
      <c r="J492" s="177"/>
      <c r="K492" s="177"/>
      <c r="L492" s="177"/>
      <c r="M492" s="177"/>
      <c r="N492" s="177"/>
      <c r="O492" s="177"/>
      <c r="P492" s="177"/>
      <c r="Q492" s="177"/>
      <c r="R492" s="177"/>
      <c r="S492" s="177"/>
      <c r="T492" s="177"/>
      <c r="U492" s="177"/>
      <c r="V492" s="177"/>
      <c r="W492" s="177"/>
      <c r="X492" s="177"/>
    </row>
    <row r="493" ht="15.75" customHeight="1">
      <c r="A493" s="177"/>
      <c r="B493" s="177"/>
      <c r="C493" s="177"/>
      <c r="D493" s="177"/>
      <c r="E493" s="177"/>
      <c r="F493" s="177"/>
      <c r="G493" s="250"/>
      <c r="H493" s="177"/>
      <c r="I493" s="176"/>
      <c r="J493" s="177"/>
      <c r="K493" s="177"/>
      <c r="L493" s="177"/>
      <c r="M493" s="177"/>
      <c r="N493" s="177"/>
      <c r="O493" s="177"/>
      <c r="P493" s="177"/>
      <c r="Q493" s="177"/>
      <c r="R493" s="177"/>
      <c r="S493" s="177"/>
      <c r="T493" s="177"/>
      <c r="U493" s="177"/>
      <c r="V493" s="177"/>
      <c r="W493" s="177"/>
      <c r="X493" s="177"/>
    </row>
    <row r="494" ht="15.75" customHeight="1">
      <c r="A494" s="177"/>
      <c r="B494" s="177"/>
      <c r="C494" s="177"/>
      <c r="D494" s="177"/>
      <c r="E494" s="177"/>
      <c r="F494" s="177"/>
      <c r="G494" s="250"/>
      <c r="H494" s="177"/>
      <c r="I494" s="176"/>
      <c r="J494" s="177"/>
      <c r="K494" s="177"/>
      <c r="L494" s="177"/>
      <c r="M494" s="177"/>
      <c r="N494" s="177"/>
      <c r="O494" s="177"/>
      <c r="P494" s="177"/>
      <c r="Q494" s="177"/>
      <c r="R494" s="177"/>
      <c r="S494" s="177"/>
      <c r="T494" s="177"/>
      <c r="U494" s="177"/>
      <c r="V494" s="177"/>
      <c r="W494" s="177"/>
      <c r="X494" s="177"/>
    </row>
    <row r="495" ht="15.75" customHeight="1">
      <c r="A495" s="177"/>
      <c r="B495" s="177"/>
      <c r="C495" s="177"/>
      <c r="D495" s="177"/>
      <c r="E495" s="177"/>
      <c r="F495" s="177"/>
      <c r="G495" s="250"/>
      <c r="H495" s="177"/>
      <c r="I495" s="176"/>
      <c r="J495" s="177"/>
      <c r="K495" s="177"/>
      <c r="L495" s="177"/>
      <c r="M495" s="177"/>
      <c r="N495" s="177"/>
      <c r="O495" s="177"/>
      <c r="P495" s="177"/>
      <c r="Q495" s="177"/>
      <c r="R495" s="177"/>
      <c r="S495" s="177"/>
      <c r="T495" s="177"/>
      <c r="U495" s="177"/>
      <c r="V495" s="177"/>
      <c r="W495" s="177"/>
      <c r="X495" s="177"/>
    </row>
    <row r="496" ht="15.75" customHeight="1">
      <c r="A496" s="177"/>
      <c r="B496" s="177"/>
      <c r="C496" s="177"/>
      <c r="D496" s="177"/>
      <c r="E496" s="177"/>
      <c r="F496" s="177"/>
      <c r="G496" s="250"/>
      <c r="H496" s="177"/>
      <c r="I496" s="176"/>
      <c r="J496" s="177"/>
      <c r="K496" s="177"/>
      <c r="L496" s="177"/>
      <c r="M496" s="177"/>
      <c r="N496" s="177"/>
      <c r="O496" s="177"/>
      <c r="P496" s="177"/>
      <c r="Q496" s="177"/>
      <c r="R496" s="177"/>
      <c r="S496" s="177"/>
      <c r="T496" s="177"/>
      <c r="U496" s="177"/>
      <c r="V496" s="177"/>
      <c r="W496" s="177"/>
      <c r="X496" s="177"/>
    </row>
    <row r="497" ht="15.75" customHeight="1">
      <c r="A497" s="177"/>
      <c r="B497" s="177"/>
      <c r="C497" s="177"/>
      <c r="D497" s="177"/>
      <c r="E497" s="177"/>
      <c r="F497" s="177"/>
      <c r="G497" s="250"/>
      <c r="H497" s="177"/>
      <c r="I497" s="176"/>
      <c r="J497" s="177"/>
      <c r="K497" s="177"/>
      <c r="L497" s="177"/>
      <c r="M497" s="177"/>
      <c r="N497" s="177"/>
      <c r="O497" s="177"/>
      <c r="P497" s="177"/>
      <c r="Q497" s="177"/>
      <c r="R497" s="177"/>
      <c r="S497" s="177"/>
      <c r="T497" s="177"/>
      <c r="U497" s="177"/>
      <c r="V497" s="177"/>
      <c r="W497" s="177"/>
      <c r="X497" s="177"/>
    </row>
    <row r="498" ht="15.75" customHeight="1">
      <c r="A498" s="177"/>
      <c r="B498" s="177"/>
      <c r="C498" s="177"/>
      <c r="D498" s="177"/>
      <c r="E498" s="177"/>
      <c r="F498" s="177"/>
      <c r="G498" s="250"/>
      <c r="H498" s="177"/>
      <c r="I498" s="176"/>
      <c r="J498" s="177"/>
      <c r="K498" s="177"/>
      <c r="L498" s="177"/>
      <c r="M498" s="177"/>
      <c r="N498" s="177"/>
      <c r="O498" s="177"/>
      <c r="P498" s="177"/>
      <c r="Q498" s="177"/>
      <c r="R498" s="177"/>
      <c r="S498" s="177"/>
      <c r="T498" s="177"/>
      <c r="U498" s="177"/>
      <c r="V498" s="177"/>
      <c r="W498" s="177"/>
      <c r="X498" s="177"/>
    </row>
    <row r="499" ht="15.75" customHeight="1">
      <c r="A499" s="177"/>
      <c r="B499" s="177"/>
      <c r="C499" s="177"/>
      <c r="D499" s="177"/>
      <c r="E499" s="177"/>
      <c r="F499" s="177"/>
      <c r="G499" s="250"/>
      <c r="H499" s="177"/>
      <c r="I499" s="176"/>
      <c r="J499" s="177"/>
      <c r="K499" s="177"/>
      <c r="L499" s="177"/>
      <c r="M499" s="177"/>
      <c r="N499" s="177"/>
      <c r="O499" s="177"/>
      <c r="P499" s="177"/>
      <c r="Q499" s="177"/>
      <c r="R499" s="177"/>
      <c r="S499" s="177"/>
      <c r="T499" s="177"/>
      <c r="U499" s="177"/>
      <c r="V499" s="177"/>
      <c r="W499" s="177"/>
      <c r="X499" s="177"/>
    </row>
    <row r="500" ht="15.75" customHeight="1">
      <c r="A500" s="177"/>
      <c r="B500" s="177"/>
      <c r="C500" s="177"/>
      <c r="D500" s="177"/>
      <c r="E500" s="177"/>
      <c r="F500" s="177"/>
      <c r="G500" s="250"/>
      <c r="H500" s="177"/>
      <c r="I500" s="176"/>
      <c r="J500" s="177"/>
      <c r="K500" s="177"/>
      <c r="L500" s="177"/>
      <c r="M500" s="177"/>
      <c r="N500" s="177"/>
      <c r="O500" s="177"/>
      <c r="P500" s="177"/>
      <c r="Q500" s="177"/>
      <c r="R500" s="177"/>
      <c r="S500" s="177"/>
      <c r="T500" s="177"/>
      <c r="U500" s="177"/>
      <c r="V500" s="177"/>
      <c r="W500" s="177"/>
      <c r="X500" s="177"/>
    </row>
    <row r="501" ht="15.75" customHeight="1">
      <c r="A501" s="177"/>
      <c r="B501" s="177"/>
      <c r="C501" s="177"/>
      <c r="D501" s="177"/>
      <c r="E501" s="177"/>
      <c r="F501" s="177"/>
      <c r="G501" s="250"/>
      <c r="H501" s="177"/>
      <c r="I501" s="176"/>
      <c r="J501" s="177"/>
      <c r="K501" s="177"/>
      <c r="L501" s="177"/>
      <c r="M501" s="177"/>
      <c r="N501" s="177"/>
      <c r="O501" s="177"/>
      <c r="P501" s="177"/>
      <c r="Q501" s="177"/>
      <c r="R501" s="177"/>
      <c r="S501" s="177"/>
      <c r="T501" s="177"/>
      <c r="U501" s="177"/>
      <c r="V501" s="177"/>
      <c r="W501" s="177"/>
      <c r="X501" s="177"/>
    </row>
    <row r="502" ht="15.75" customHeight="1">
      <c r="A502" s="177"/>
      <c r="B502" s="177"/>
      <c r="C502" s="177"/>
      <c r="D502" s="177"/>
      <c r="E502" s="177"/>
      <c r="F502" s="177"/>
      <c r="G502" s="250"/>
      <c r="H502" s="177"/>
      <c r="I502" s="176"/>
      <c r="J502" s="177"/>
      <c r="K502" s="177"/>
      <c r="L502" s="177"/>
      <c r="M502" s="177"/>
      <c r="N502" s="177"/>
      <c r="O502" s="177"/>
      <c r="P502" s="177"/>
      <c r="Q502" s="177"/>
      <c r="R502" s="177"/>
      <c r="S502" s="177"/>
      <c r="T502" s="177"/>
      <c r="U502" s="177"/>
      <c r="V502" s="177"/>
      <c r="W502" s="177"/>
      <c r="X502" s="177"/>
    </row>
    <row r="503" ht="15.75" customHeight="1">
      <c r="A503" s="177"/>
      <c r="B503" s="177"/>
      <c r="C503" s="177"/>
      <c r="D503" s="177"/>
      <c r="E503" s="177"/>
      <c r="F503" s="177"/>
      <c r="G503" s="250"/>
      <c r="H503" s="177"/>
      <c r="I503" s="176"/>
      <c r="J503" s="177"/>
      <c r="K503" s="177"/>
      <c r="L503" s="177"/>
      <c r="M503" s="177"/>
      <c r="N503" s="177"/>
      <c r="O503" s="177"/>
      <c r="P503" s="177"/>
      <c r="Q503" s="177"/>
      <c r="R503" s="177"/>
      <c r="S503" s="177"/>
      <c r="T503" s="177"/>
      <c r="U503" s="177"/>
      <c r="V503" s="177"/>
      <c r="W503" s="177"/>
      <c r="X503" s="177"/>
    </row>
    <row r="504" ht="15.75" customHeight="1">
      <c r="A504" s="177"/>
      <c r="B504" s="177"/>
      <c r="C504" s="177"/>
      <c r="D504" s="177"/>
      <c r="E504" s="177"/>
      <c r="F504" s="177"/>
      <c r="G504" s="250"/>
      <c r="H504" s="177"/>
      <c r="I504" s="176"/>
      <c r="J504" s="177"/>
      <c r="K504" s="177"/>
      <c r="L504" s="177"/>
      <c r="M504" s="177"/>
      <c r="N504" s="177"/>
      <c r="O504" s="177"/>
      <c r="P504" s="177"/>
      <c r="Q504" s="177"/>
      <c r="R504" s="177"/>
      <c r="S504" s="177"/>
      <c r="T504" s="177"/>
      <c r="U504" s="177"/>
      <c r="V504" s="177"/>
      <c r="W504" s="177"/>
      <c r="X504" s="177"/>
    </row>
    <row r="505" ht="15.75" customHeight="1">
      <c r="A505" s="177"/>
      <c r="B505" s="177"/>
      <c r="C505" s="177"/>
      <c r="D505" s="177"/>
      <c r="E505" s="177"/>
      <c r="F505" s="177"/>
      <c r="G505" s="250"/>
      <c r="H505" s="177"/>
      <c r="I505" s="176"/>
      <c r="J505" s="177"/>
      <c r="K505" s="177"/>
      <c r="L505" s="177"/>
      <c r="M505" s="177"/>
      <c r="N505" s="177"/>
      <c r="O505" s="177"/>
      <c r="P505" s="177"/>
      <c r="Q505" s="177"/>
      <c r="R505" s="177"/>
      <c r="S505" s="177"/>
      <c r="T505" s="177"/>
      <c r="U505" s="177"/>
      <c r="V505" s="177"/>
      <c r="W505" s="177"/>
      <c r="X505" s="177"/>
    </row>
    <row r="506" ht="15.75" customHeight="1">
      <c r="A506" s="177"/>
      <c r="B506" s="177"/>
      <c r="C506" s="177"/>
      <c r="D506" s="177"/>
      <c r="E506" s="177"/>
      <c r="F506" s="177"/>
      <c r="G506" s="250"/>
      <c r="H506" s="177"/>
      <c r="I506" s="176"/>
      <c r="J506" s="177"/>
      <c r="K506" s="177"/>
      <c r="L506" s="177"/>
      <c r="M506" s="177"/>
      <c r="N506" s="177"/>
      <c r="O506" s="177"/>
      <c r="P506" s="177"/>
      <c r="Q506" s="177"/>
      <c r="R506" s="177"/>
      <c r="S506" s="177"/>
      <c r="T506" s="177"/>
      <c r="U506" s="177"/>
      <c r="V506" s="177"/>
      <c r="W506" s="177"/>
      <c r="X506" s="177"/>
    </row>
    <row r="507" ht="15.75" customHeight="1">
      <c r="A507" s="177"/>
      <c r="B507" s="177"/>
      <c r="C507" s="177"/>
      <c r="D507" s="177"/>
      <c r="E507" s="177"/>
      <c r="F507" s="177"/>
      <c r="G507" s="250"/>
      <c r="H507" s="177"/>
      <c r="I507" s="176"/>
      <c r="J507" s="177"/>
      <c r="K507" s="177"/>
      <c r="L507" s="177"/>
      <c r="M507" s="177"/>
      <c r="N507" s="177"/>
      <c r="O507" s="177"/>
      <c r="P507" s="177"/>
      <c r="Q507" s="177"/>
      <c r="R507" s="177"/>
      <c r="S507" s="177"/>
      <c r="T507" s="177"/>
      <c r="U507" s="177"/>
      <c r="V507" s="177"/>
      <c r="W507" s="177"/>
      <c r="X507" s="177"/>
    </row>
    <row r="508" ht="15.75" customHeight="1">
      <c r="A508" s="177"/>
      <c r="B508" s="177"/>
      <c r="C508" s="177"/>
      <c r="D508" s="177"/>
      <c r="E508" s="177"/>
      <c r="F508" s="177"/>
      <c r="G508" s="250"/>
      <c r="H508" s="177"/>
      <c r="I508" s="176"/>
      <c r="J508" s="177"/>
      <c r="K508" s="177"/>
      <c r="L508" s="177"/>
      <c r="M508" s="177"/>
      <c r="N508" s="177"/>
      <c r="O508" s="177"/>
      <c r="P508" s="177"/>
      <c r="Q508" s="177"/>
      <c r="R508" s="177"/>
      <c r="S508" s="177"/>
      <c r="T508" s="177"/>
      <c r="U508" s="177"/>
      <c r="V508" s="177"/>
      <c r="W508" s="177"/>
      <c r="X508" s="177"/>
    </row>
    <row r="509" ht="15.75" customHeight="1">
      <c r="A509" s="177"/>
      <c r="B509" s="177"/>
      <c r="C509" s="177"/>
      <c r="D509" s="177"/>
      <c r="E509" s="177"/>
      <c r="F509" s="177"/>
      <c r="G509" s="250"/>
      <c r="H509" s="177"/>
      <c r="I509" s="176"/>
      <c r="J509" s="177"/>
      <c r="K509" s="177"/>
      <c r="L509" s="177"/>
      <c r="M509" s="177"/>
      <c r="N509" s="177"/>
      <c r="O509" s="177"/>
      <c r="P509" s="177"/>
      <c r="Q509" s="177"/>
      <c r="R509" s="177"/>
      <c r="S509" s="177"/>
      <c r="T509" s="177"/>
      <c r="U509" s="177"/>
      <c r="V509" s="177"/>
      <c r="W509" s="177"/>
      <c r="X509" s="177"/>
    </row>
    <row r="510" ht="15.75" customHeight="1">
      <c r="A510" s="177"/>
      <c r="B510" s="177"/>
      <c r="C510" s="177"/>
      <c r="D510" s="177"/>
      <c r="E510" s="177"/>
      <c r="F510" s="177"/>
      <c r="G510" s="250"/>
      <c r="H510" s="177"/>
      <c r="I510" s="176"/>
      <c r="J510" s="177"/>
      <c r="K510" s="177"/>
      <c r="L510" s="177"/>
      <c r="M510" s="177"/>
      <c r="N510" s="177"/>
      <c r="O510" s="177"/>
      <c r="P510" s="177"/>
      <c r="Q510" s="177"/>
      <c r="R510" s="177"/>
      <c r="S510" s="177"/>
      <c r="T510" s="177"/>
      <c r="U510" s="177"/>
      <c r="V510" s="177"/>
      <c r="W510" s="177"/>
      <c r="X510" s="177"/>
    </row>
    <row r="511" ht="15.75" customHeight="1">
      <c r="A511" s="177"/>
      <c r="B511" s="177"/>
      <c r="C511" s="177"/>
      <c r="D511" s="177"/>
      <c r="E511" s="177"/>
      <c r="F511" s="177"/>
      <c r="G511" s="250"/>
      <c r="H511" s="177"/>
      <c r="I511" s="176"/>
      <c r="J511" s="177"/>
      <c r="K511" s="177"/>
      <c r="L511" s="177"/>
      <c r="M511" s="177"/>
      <c r="N511" s="177"/>
      <c r="O511" s="177"/>
      <c r="P511" s="177"/>
      <c r="Q511" s="177"/>
      <c r="R511" s="177"/>
      <c r="S511" s="177"/>
      <c r="T511" s="177"/>
      <c r="U511" s="177"/>
      <c r="V511" s="177"/>
      <c r="W511" s="177"/>
      <c r="X511" s="177"/>
    </row>
    <row r="512" ht="15.75" customHeight="1">
      <c r="A512" s="177"/>
      <c r="B512" s="177"/>
      <c r="C512" s="177"/>
      <c r="D512" s="177"/>
      <c r="E512" s="177"/>
      <c r="F512" s="177"/>
      <c r="G512" s="250"/>
      <c r="H512" s="177"/>
      <c r="I512" s="176"/>
      <c r="J512" s="177"/>
      <c r="K512" s="177"/>
      <c r="L512" s="177"/>
      <c r="M512" s="177"/>
      <c r="N512" s="177"/>
      <c r="O512" s="177"/>
      <c r="P512" s="177"/>
      <c r="Q512" s="177"/>
      <c r="R512" s="177"/>
      <c r="S512" s="177"/>
      <c r="T512" s="177"/>
      <c r="U512" s="177"/>
      <c r="V512" s="177"/>
      <c r="W512" s="177"/>
      <c r="X512" s="177"/>
    </row>
    <row r="513" ht="15.75" customHeight="1">
      <c r="A513" s="177"/>
      <c r="B513" s="177"/>
      <c r="C513" s="177"/>
      <c r="D513" s="177"/>
      <c r="E513" s="177"/>
      <c r="F513" s="177"/>
      <c r="G513" s="250"/>
      <c r="H513" s="177"/>
      <c r="I513" s="176"/>
      <c r="J513" s="177"/>
      <c r="K513" s="177"/>
      <c r="L513" s="177"/>
      <c r="M513" s="177"/>
      <c r="N513" s="177"/>
      <c r="O513" s="177"/>
      <c r="P513" s="177"/>
      <c r="Q513" s="177"/>
      <c r="R513" s="177"/>
      <c r="S513" s="177"/>
      <c r="T513" s="177"/>
      <c r="U513" s="177"/>
      <c r="V513" s="177"/>
      <c r="W513" s="177"/>
      <c r="X513" s="177"/>
    </row>
    <row r="514" ht="15.75" customHeight="1">
      <c r="A514" s="177"/>
      <c r="B514" s="177"/>
      <c r="C514" s="177"/>
      <c r="D514" s="177"/>
      <c r="E514" s="177"/>
      <c r="F514" s="177"/>
      <c r="G514" s="250"/>
      <c r="H514" s="177"/>
      <c r="I514" s="176"/>
      <c r="J514" s="177"/>
      <c r="K514" s="177"/>
      <c r="L514" s="177"/>
      <c r="M514" s="177"/>
      <c r="N514" s="177"/>
      <c r="O514" s="177"/>
      <c r="P514" s="177"/>
      <c r="Q514" s="177"/>
      <c r="R514" s="177"/>
      <c r="S514" s="177"/>
      <c r="T514" s="177"/>
      <c r="U514" s="177"/>
      <c r="V514" s="177"/>
      <c r="W514" s="177"/>
      <c r="X514" s="177"/>
    </row>
    <row r="515" ht="15.75" customHeight="1">
      <c r="A515" s="177"/>
      <c r="B515" s="177"/>
      <c r="C515" s="177"/>
      <c r="D515" s="177"/>
      <c r="E515" s="177"/>
      <c r="F515" s="177"/>
      <c r="G515" s="250"/>
      <c r="H515" s="177"/>
      <c r="I515" s="176"/>
      <c r="J515" s="177"/>
      <c r="K515" s="177"/>
      <c r="L515" s="177"/>
      <c r="M515" s="177"/>
      <c r="N515" s="177"/>
      <c r="O515" s="177"/>
      <c r="P515" s="177"/>
      <c r="Q515" s="177"/>
      <c r="R515" s="177"/>
      <c r="S515" s="177"/>
      <c r="T515" s="177"/>
      <c r="U515" s="177"/>
      <c r="V515" s="177"/>
      <c r="W515" s="177"/>
      <c r="X515" s="177"/>
    </row>
    <row r="516" ht="15.75" customHeight="1">
      <c r="A516" s="177"/>
      <c r="B516" s="177"/>
      <c r="C516" s="177"/>
      <c r="D516" s="177"/>
      <c r="E516" s="177"/>
      <c r="F516" s="177"/>
      <c r="G516" s="250"/>
      <c r="H516" s="177"/>
      <c r="I516" s="176"/>
      <c r="J516" s="177"/>
      <c r="K516" s="177"/>
      <c r="L516" s="177"/>
      <c r="M516" s="177"/>
      <c r="N516" s="177"/>
      <c r="O516" s="177"/>
      <c r="P516" s="177"/>
      <c r="Q516" s="177"/>
      <c r="R516" s="177"/>
      <c r="S516" s="177"/>
      <c r="T516" s="177"/>
      <c r="U516" s="177"/>
      <c r="V516" s="177"/>
      <c r="W516" s="177"/>
      <c r="X516" s="177"/>
    </row>
    <row r="517" ht="15.75" customHeight="1">
      <c r="A517" s="177"/>
      <c r="B517" s="177"/>
      <c r="C517" s="177"/>
      <c r="D517" s="177"/>
      <c r="E517" s="177"/>
      <c r="F517" s="177"/>
      <c r="G517" s="250"/>
      <c r="H517" s="177"/>
      <c r="I517" s="176"/>
      <c r="J517" s="177"/>
      <c r="K517" s="177"/>
      <c r="L517" s="177"/>
      <c r="M517" s="177"/>
      <c r="N517" s="177"/>
      <c r="O517" s="177"/>
      <c r="P517" s="177"/>
      <c r="Q517" s="177"/>
      <c r="R517" s="177"/>
      <c r="S517" s="177"/>
      <c r="T517" s="177"/>
      <c r="U517" s="177"/>
      <c r="V517" s="177"/>
      <c r="W517" s="177"/>
      <c r="X517" s="177"/>
    </row>
    <row r="518" ht="15.75" customHeight="1">
      <c r="A518" s="177"/>
      <c r="B518" s="177"/>
      <c r="C518" s="177"/>
      <c r="D518" s="177"/>
      <c r="E518" s="177"/>
      <c r="F518" s="177"/>
      <c r="G518" s="250"/>
      <c r="H518" s="177"/>
      <c r="I518" s="176"/>
      <c r="J518" s="177"/>
      <c r="K518" s="177"/>
      <c r="L518" s="177"/>
      <c r="M518" s="177"/>
      <c r="N518" s="177"/>
      <c r="O518" s="177"/>
      <c r="P518" s="177"/>
      <c r="Q518" s="177"/>
      <c r="R518" s="177"/>
      <c r="S518" s="177"/>
      <c r="T518" s="177"/>
      <c r="U518" s="177"/>
      <c r="V518" s="177"/>
      <c r="W518" s="177"/>
      <c r="X518" s="177"/>
    </row>
    <row r="519" ht="15.75" customHeight="1">
      <c r="A519" s="177"/>
      <c r="B519" s="177"/>
      <c r="C519" s="177"/>
      <c r="D519" s="177"/>
      <c r="E519" s="177"/>
      <c r="F519" s="177"/>
      <c r="G519" s="250"/>
      <c r="H519" s="177"/>
      <c r="I519" s="176"/>
      <c r="J519" s="177"/>
      <c r="K519" s="177"/>
      <c r="L519" s="177"/>
      <c r="M519" s="177"/>
      <c r="N519" s="177"/>
      <c r="O519" s="177"/>
      <c r="P519" s="177"/>
      <c r="Q519" s="177"/>
      <c r="R519" s="177"/>
      <c r="S519" s="177"/>
      <c r="T519" s="177"/>
      <c r="U519" s="177"/>
      <c r="V519" s="177"/>
      <c r="W519" s="177"/>
      <c r="X519" s="177"/>
    </row>
    <row r="520" ht="15.75" customHeight="1">
      <c r="A520" s="177"/>
      <c r="B520" s="177"/>
      <c r="C520" s="177"/>
      <c r="D520" s="177"/>
      <c r="E520" s="177"/>
      <c r="F520" s="177"/>
      <c r="G520" s="250"/>
      <c r="H520" s="177"/>
      <c r="I520" s="176"/>
      <c r="J520" s="177"/>
      <c r="K520" s="177"/>
      <c r="L520" s="177"/>
      <c r="M520" s="177"/>
      <c r="N520" s="177"/>
      <c r="O520" s="177"/>
      <c r="P520" s="177"/>
      <c r="Q520" s="177"/>
      <c r="R520" s="177"/>
      <c r="S520" s="177"/>
      <c r="T520" s="177"/>
      <c r="U520" s="177"/>
      <c r="V520" s="177"/>
      <c r="W520" s="177"/>
      <c r="X520" s="177"/>
    </row>
    <row r="521" ht="15.75" customHeight="1">
      <c r="A521" s="177"/>
      <c r="B521" s="177"/>
      <c r="C521" s="177"/>
      <c r="D521" s="177"/>
      <c r="E521" s="177"/>
      <c r="F521" s="177"/>
      <c r="G521" s="250"/>
      <c r="H521" s="177"/>
      <c r="I521" s="176"/>
      <c r="J521" s="177"/>
      <c r="K521" s="177"/>
      <c r="L521" s="177"/>
      <c r="M521" s="177"/>
      <c r="N521" s="177"/>
      <c r="O521" s="177"/>
      <c r="P521" s="177"/>
      <c r="Q521" s="177"/>
      <c r="R521" s="177"/>
      <c r="S521" s="177"/>
      <c r="T521" s="177"/>
      <c r="U521" s="177"/>
      <c r="V521" s="177"/>
      <c r="W521" s="177"/>
      <c r="X521" s="177"/>
    </row>
    <row r="522" ht="15.75" customHeight="1">
      <c r="A522" s="177"/>
      <c r="B522" s="177"/>
      <c r="C522" s="177"/>
      <c r="D522" s="177"/>
      <c r="E522" s="177"/>
      <c r="F522" s="177"/>
      <c r="G522" s="250"/>
      <c r="H522" s="177"/>
      <c r="I522" s="176"/>
      <c r="J522" s="177"/>
      <c r="K522" s="177"/>
      <c r="L522" s="177"/>
      <c r="M522" s="177"/>
      <c r="N522" s="177"/>
      <c r="O522" s="177"/>
      <c r="P522" s="177"/>
      <c r="Q522" s="177"/>
      <c r="R522" s="177"/>
      <c r="S522" s="177"/>
      <c r="T522" s="177"/>
      <c r="U522" s="177"/>
      <c r="V522" s="177"/>
      <c r="W522" s="177"/>
      <c r="X522" s="177"/>
    </row>
    <row r="523" ht="15.75" customHeight="1">
      <c r="A523" s="177"/>
      <c r="B523" s="177"/>
      <c r="C523" s="177"/>
      <c r="D523" s="177"/>
      <c r="E523" s="177"/>
      <c r="F523" s="177"/>
      <c r="G523" s="250"/>
      <c r="H523" s="177"/>
      <c r="I523" s="176"/>
      <c r="J523" s="177"/>
      <c r="K523" s="177"/>
      <c r="L523" s="177"/>
      <c r="M523" s="177"/>
      <c r="N523" s="177"/>
      <c r="O523" s="177"/>
      <c r="P523" s="177"/>
      <c r="Q523" s="177"/>
      <c r="R523" s="177"/>
      <c r="S523" s="177"/>
      <c r="T523" s="177"/>
      <c r="U523" s="177"/>
      <c r="V523" s="177"/>
      <c r="W523" s="177"/>
      <c r="X523" s="177"/>
    </row>
    <row r="524" ht="15.75" customHeight="1">
      <c r="A524" s="177"/>
      <c r="B524" s="177"/>
      <c r="C524" s="177"/>
      <c r="D524" s="177"/>
      <c r="E524" s="177"/>
      <c r="F524" s="177"/>
      <c r="G524" s="250"/>
      <c r="H524" s="177"/>
      <c r="I524" s="176"/>
      <c r="J524" s="177"/>
      <c r="K524" s="177"/>
      <c r="L524" s="177"/>
      <c r="M524" s="177"/>
      <c r="N524" s="177"/>
      <c r="O524" s="177"/>
      <c r="P524" s="177"/>
      <c r="Q524" s="177"/>
      <c r="R524" s="177"/>
      <c r="S524" s="177"/>
      <c r="T524" s="177"/>
      <c r="U524" s="177"/>
      <c r="V524" s="177"/>
      <c r="W524" s="177"/>
      <c r="X524" s="177"/>
    </row>
    <row r="525" ht="15.75" customHeight="1">
      <c r="A525" s="177"/>
      <c r="B525" s="177"/>
      <c r="C525" s="177"/>
      <c r="D525" s="177"/>
      <c r="E525" s="177"/>
      <c r="F525" s="177"/>
      <c r="G525" s="250"/>
      <c r="H525" s="177"/>
      <c r="I525" s="176"/>
      <c r="J525" s="177"/>
      <c r="K525" s="177"/>
      <c r="L525" s="177"/>
      <c r="M525" s="177"/>
      <c r="N525" s="177"/>
      <c r="O525" s="177"/>
      <c r="P525" s="177"/>
      <c r="Q525" s="177"/>
      <c r="R525" s="177"/>
      <c r="S525" s="177"/>
      <c r="T525" s="177"/>
      <c r="U525" s="177"/>
      <c r="V525" s="177"/>
      <c r="W525" s="177"/>
      <c r="X525" s="177"/>
    </row>
    <row r="526" ht="15.75" customHeight="1">
      <c r="A526" s="177"/>
      <c r="B526" s="177"/>
      <c r="C526" s="177"/>
      <c r="D526" s="177"/>
      <c r="E526" s="177"/>
      <c r="F526" s="177"/>
      <c r="G526" s="250"/>
      <c r="H526" s="177"/>
      <c r="I526" s="176"/>
      <c r="J526" s="177"/>
      <c r="K526" s="177"/>
      <c r="L526" s="177"/>
      <c r="M526" s="177"/>
      <c r="N526" s="177"/>
      <c r="O526" s="177"/>
      <c r="P526" s="177"/>
      <c r="Q526" s="177"/>
      <c r="R526" s="177"/>
      <c r="S526" s="177"/>
      <c r="T526" s="177"/>
      <c r="U526" s="177"/>
      <c r="V526" s="177"/>
      <c r="W526" s="177"/>
      <c r="X526" s="177"/>
    </row>
    <row r="527" ht="15.75" customHeight="1">
      <c r="A527" s="177"/>
      <c r="B527" s="177"/>
      <c r="C527" s="177"/>
      <c r="D527" s="177"/>
      <c r="E527" s="177"/>
      <c r="F527" s="177"/>
      <c r="G527" s="250"/>
      <c r="H527" s="177"/>
      <c r="I527" s="176"/>
      <c r="J527" s="177"/>
      <c r="K527" s="177"/>
      <c r="L527" s="177"/>
      <c r="M527" s="177"/>
      <c r="N527" s="177"/>
      <c r="O527" s="177"/>
      <c r="P527" s="177"/>
      <c r="Q527" s="177"/>
      <c r="R527" s="177"/>
      <c r="S527" s="177"/>
      <c r="T527" s="177"/>
      <c r="U527" s="177"/>
      <c r="V527" s="177"/>
      <c r="W527" s="177"/>
      <c r="X527" s="177"/>
    </row>
    <row r="528" ht="15.75" customHeight="1">
      <c r="A528" s="177"/>
      <c r="B528" s="177"/>
      <c r="C528" s="177"/>
      <c r="D528" s="177"/>
      <c r="E528" s="177"/>
      <c r="F528" s="177"/>
      <c r="G528" s="250"/>
      <c r="H528" s="177"/>
      <c r="I528" s="176"/>
      <c r="J528" s="177"/>
      <c r="K528" s="177"/>
      <c r="L528" s="177"/>
      <c r="M528" s="177"/>
      <c r="N528" s="177"/>
      <c r="O528" s="177"/>
      <c r="P528" s="177"/>
      <c r="Q528" s="177"/>
      <c r="R528" s="177"/>
      <c r="S528" s="177"/>
      <c r="T528" s="177"/>
      <c r="U528" s="177"/>
      <c r="V528" s="177"/>
      <c r="W528" s="177"/>
      <c r="X528" s="177"/>
    </row>
    <row r="529" ht="15.75" customHeight="1">
      <c r="A529" s="177"/>
      <c r="B529" s="177"/>
      <c r="C529" s="177"/>
      <c r="D529" s="177"/>
      <c r="E529" s="177"/>
      <c r="F529" s="177"/>
      <c r="G529" s="250"/>
      <c r="H529" s="177"/>
      <c r="I529" s="176"/>
      <c r="J529" s="177"/>
      <c r="K529" s="177"/>
      <c r="L529" s="177"/>
      <c r="M529" s="177"/>
      <c r="N529" s="177"/>
      <c r="O529" s="177"/>
      <c r="P529" s="177"/>
      <c r="Q529" s="177"/>
      <c r="R529" s="177"/>
      <c r="S529" s="177"/>
      <c r="T529" s="177"/>
      <c r="U529" s="177"/>
      <c r="V529" s="177"/>
      <c r="W529" s="177"/>
      <c r="X529" s="177"/>
    </row>
    <row r="530" ht="15.75" customHeight="1">
      <c r="A530" s="177"/>
      <c r="B530" s="177"/>
      <c r="C530" s="177"/>
      <c r="D530" s="177"/>
      <c r="E530" s="177"/>
      <c r="F530" s="177"/>
      <c r="G530" s="250"/>
      <c r="H530" s="177"/>
      <c r="I530" s="176"/>
      <c r="J530" s="177"/>
      <c r="K530" s="177"/>
      <c r="L530" s="177"/>
      <c r="M530" s="177"/>
      <c r="N530" s="177"/>
      <c r="O530" s="177"/>
      <c r="P530" s="177"/>
      <c r="Q530" s="177"/>
      <c r="R530" s="177"/>
      <c r="S530" s="177"/>
      <c r="T530" s="177"/>
      <c r="U530" s="177"/>
      <c r="V530" s="177"/>
      <c r="W530" s="177"/>
      <c r="X530" s="177"/>
    </row>
    <row r="531" ht="15.75" customHeight="1">
      <c r="A531" s="177"/>
      <c r="B531" s="177"/>
      <c r="C531" s="177"/>
      <c r="D531" s="177"/>
      <c r="E531" s="177"/>
      <c r="F531" s="177"/>
      <c r="G531" s="250"/>
      <c r="H531" s="177"/>
      <c r="I531" s="176"/>
      <c r="J531" s="177"/>
      <c r="K531" s="177"/>
      <c r="L531" s="177"/>
      <c r="M531" s="177"/>
      <c r="N531" s="177"/>
      <c r="O531" s="177"/>
      <c r="P531" s="177"/>
      <c r="Q531" s="177"/>
      <c r="R531" s="177"/>
      <c r="S531" s="177"/>
      <c r="T531" s="177"/>
      <c r="U531" s="177"/>
      <c r="V531" s="177"/>
      <c r="W531" s="177"/>
      <c r="X531" s="177"/>
    </row>
    <row r="532" ht="15.75" customHeight="1">
      <c r="A532" s="177"/>
      <c r="B532" s="177"/>
      <c r="C532" s="177"/>
      <c r="D532" s="177"/>
      <c r="E532" s="177"/>
      <c r="F532" s="177"/>
      <c r="G532" s="250"/>
      <c r="H532" s="177"/>
      <c r="I532" s="176"/>
      <c r="J532" s="177"/>
      <c r="K532" s="177"/>
      <c r="L532" s="177"/>
      <c r="M532" s="177"/>
      <c r="N532" s="177"/>
      <c r="O532" s="177"/>
      <c r="P532" s="177"/>
      <c r="Q532" s="177"/>
      <c r="R532" s="177"/>
      <c r="S532" s="177"/>
      <c r="T532" s="177"/>
      <c r="U532" s="177"/>
      <c r="V532" s="177"/>
      <c r="W532" s="177"/>
      <c r="X532" s="177"/>
    </row>
    <row r="533" ht="15.75" customHeight="1">
      <c r="A533" s="177"/>
      <c r="B533" s="177"/>
      <c r="C533" s="177"/>
      <c r="D533" s="177"/>
      <c r="E533" s="177"/>
      <c r="F533" s="177"/>
      <c r="G533" s="250"/>
      <c r="H533" s="177"/>
      <c r="I533" s="176"/>
      <c r="J533" s="177"/>
      <c r="K533" s="177"/>
      <c r="L533" s="177"/>
      <c r="M533" s="177"/>
      <c r="N533" s="177"/>
      <c r="O533" s="177"/>
      <c r="P533" s="177"/>
      <c r="Q533" s="177"/>
      <c r="R533" s="177"/>
      <c r="S533" s="177"/>
      <c r="T533" s="177"/>
      <c r="U533" s="177"/>
      <c r="V533" s="177"/>
      <c r="W533" s="177"/>
      <c r="X533" s="177"/>
    </row>
    <row r="534" ht="15.75" customHeight="1">
      <c r="A534" s="177"/>
      <c r="B534" s="177"/>
      <c r="C534" s="177"/>
      <c r="D534" s="177"/>
      <c r="E534" s="177"/>
      <c r="F534" s="177"/>
      <c r="G534" s="250"/>
      <c r="H534" s="177"/>
      <c r="I534" s="176"/>
      <c r="J534" s="177"/>
      <c r="K534" s="177"/>
      <c r="L534" s="177"/>
      <c r="M534" s="177"/>
      <c r="N534" s="177"/>
      <c r="O534" s="177"/>
      <c r="P534" s="177"/>
      <c r="Q534" s="177"/>
      <c r="R534" s="177"/>
      <c r="S534" s="177"/>
      <c r="T534" s="177"/>
      <c r="U534" s="177"/>
      <c r="V534" s="177"/>
      <c r="W534" s="177"/>
      <c r="X534" s="177"/>
    </row>
    <row r="535" ht="15.75" customHeight="1">
      <c r="A535" s="177"/>
      <c r="B535" s="177"/>
      <c r="C535" s="177"/>
      <c r="D535" s="177"/>
      <c r="E535" s="177"/>
      <c r="F535" s="177"/>
      <c r="G535" s="250"/>
      <c r="H535" s="177"/>
      <c r="I535" s="176"/>
      <c r="J535" s="177"/>
      <c r="K535" s="177"/>
      <c r="L535" s="177"/>
      <c r="M535" s="177"/>
      <c r="N535" s="177"/>
      <c r="O535" s="177"/>
      <c r="P535" s="177"/>
      <c r="Q535" s="177"/>
      <c r="R535" s="177"/>
      <c r="S535" s="177"/>
      <c r="T535" s="177"/>
      <c r="U535" s="177"/>
      <c r="V535" s="177"/>
      <c r="W535" s="177"/>
      <c r="X535" s="177"/>
    </row>
    <row r="536" ht="15.75" customHeight="1">
      <c r="A536" s="177"/>
      <c r="B536" s="177"/>
      <c r="C536" s="177"/>
      <c r="D536" s="177"/>
      <c r="E536" s="177"/>
      <c r="F536" s="177"/>
      <c r="G536" s="250"/>
      <c r="H536" s="177"/>
      <c r="I536" s="176"/>
      <c r="J536" s="177"/>
      <c r="K536" s="177"/>
      <c r="L536" s="177"/>
      <c r="M536" s="177"/>
      <c r="N536" s="177"/>
      <c r="O536" s="177"/>
      <c r="P536" s="177"/>
      <c r="Q536" s="177"/>
      <c r="R536" s="177"/>
      <c r="S536" s="177"/>
      <c r="T536" s="177"/>
      <c r="U536" s="177"/>
      <c r="V536" s="177"/>
      <c r="W536" s="177"/>
      <c r="X536" s="177"/>
    </row>
    <row r="537" ht="15.75" customHeight="1">
      <c r="A537" s="177"/>
      <c r="B537" s="177"/>
      <c r="C537" s="177"/>
      <c r="D537" s="177"/>
      <c r="E537" s="177"/>
      <c r="F537" s="177"/>
      <c r="G537" s="250"/>
      <c r="H537" s="177"/>
      <c r="I537" s="176"/>
      <c r="J537" s="177"/>
      <c r="K537" s="177"/>
      <c r="L537" s="177"/>
      <c r="M537" s="177"/>
      <c r="N537" s="177"/>
      <c r="O537" s="177"/>
      <c r="P537" s="177"/>
      <c r="Q537" s="177"/>
      <c r="R537" s="177"/>
      <c r="S537" s="177"/>
      <c r="T537" s="177"/>
      <c r="U537" s="177"/>
      <c r="V537" s="177"/>
      <c r="W537" s="177"/>
      <c r="X537" s="177"/>
    </row>
    <row r="538" ht="15.75" customHeight="1">
      <c r="A538" s="177"/>
      <c r="B538" s="177"/>
      <c r="C538" s="177"/>
      <c r="D538" s="177"/>
      <c r="E538" s="177"/>
      <c r="F538" s="177"/>
      <c r="G538" s="250"/>
      <c r="H538" s="177"/>
      <c r="I538" s="176"/>
      <c r="J538" s="177"/>
      <c r="K538" s="177"/>
      <c r="L538" s="177"/>
      <c r="M538" s="177"/>
      <c r="N538" s="177"/>
      <c r="O538" s="177"/>
      <c r="P538" s="177"/>
      <c r="Q538" s="177"/>
      <c r="R538" s="177"/>
      <c r="S538" s="177"/>
      <c r="T538" s="177"/>
      <c r="U538" s="177"/>
      <c r="V538" s="177"/>
      <c r="W538" s="177"/>
      <c r="X538" s="177"/>
    </row>
    <row r="539" ht="15.75" customHeight="1">
      <c r="A539" s="177"/>
      <c r="B539" s="177"/>
      <c r="C539" s="177"/>
      <c r="D539" s="177"/>
      <c r="E539" s="177"/>
      <c r="F539" s="177"/>
      <c r="G539" s="250"/>
      <c r="H539" s="177"/>
      <c r="I539" s="176"/>
      <c r="J539" s="177"/>
      <c r="K539" s="177"/>
      <c r="L539" s="177"/>
      <c r="M539" s="177"/>
      <c r="N539" s="177"/>
      <c r="O539" s="177"/>
      <c r="P539" s="177"/>
      <c r="Q539" s="177"/>
      <c r="R539" s="177"/>
      <c r="S539" s="177"/>
      <c r="T539" s="177"/>
      <c r="U539" s="177"/>
      <c r="V539" s="177"/>
      <c r="W539" s="177"/>
      <c r="X539" s="177"/>
    </row>
    <row r="540" ht="15.75" customHeight="1">
      <c r="A540" s="177"/>
      <c r="B540" s="177"/>
      <c r="C540" s="177"/>
      <c r="D540" s="177"/>
      <c r="E540" s="177"/>
      <c r="F540" s="177"/>
      <c r="G540" s="250"/>
      <c r="H540" s="177"/>
      <c r="I540" s="176"/>
      <c r="J540" s="177"/>
      <c r="K540" s="177"/>
      <c r="L540" s="177"/>
      <c r="M540" s="177"/>
      <c r="N540" s="177"/>
      <c r="O540" s="177"/>
      <c r="P540" s="177"/>
      <c r="Q540" s="177"/>
      <c r="R540" s="177"/>
      <c r="S540" s="177"/>
      <c r="T540" s="177"/>
      <c r="U540" s="177"/>
      <c r="V540" s="177"/>
      <c r="W540" s="177"/>
      <c r="X540" s="177"/>
    </row>
    <row r="541" ht="15.75" customHeight="1">
      <c r="A541" s="177"/>
      <c r="B541" s="177"/>
      <c r="C541" s="177"/>
      <c r="D541" s="177"/>
      <c r="E541" s="177"/>
      <c r="F541" s="177"/>
      <c r="G541" s="250"/>
      <c r="H541" s="177"/>
      <c r="I541" s="176"/>
      <c r="J541" s="177"/>
      <c r="K541" s="177"/>
      <c r="L541" s="177"/>
      <c r="M541" s="177"/>
      <c r="N541" s="177"/>
      <c r="O541" s="177"/>
      <c r="P541" s="177"/>
      <c r="Q541" s="177"/>
      <c r="R541" s="177"/>
      <c r="S541" s="177"/>
      <c r="T541" s="177"/>
      <c r="U541" s="177"/>
      <c r="V541" s="177"/>
      <c r="W541" s="177"/>
      <c r="X541" s="177"/>
    </row>
    <row r="542" ht="15.75" customHeight="1">
      <c r="A542" s="177"/>
      <c r="B542" s="177"/>
      <c r="C542" s="177"/>
      <c r="D542" s="177"/>
      <c r="E542" s="177"/>
      <c r="F542" s="177"/>
      <c r="G542" s="250"/>
      <c r="H542" s="177"/>
      <c r="I542" s="176"/>
      <c r="J542" s="177"/>
      <c r="K542" s="177"/>
      <c r="L542" s="177"/>
      <c r="M542" s="177"/>
      <c r="N542" s="177"/>
      <c r="O542" s="177"/>
      <c r="P542" s="177"/>
      <c r="Q542" s="177"/>
      <c r="R542" s="177"/>
      <c r="S542" s="177"/>
      <c r="T542" s="177"/>
      <c r="U542" s="177"/>
      <c r="V542" s="177"/>
      <c r="W542" s="177"/>
      <c r="X542" s="177"/>
    </row>
    <row r="543" ht="15.75" customHeight="1">
      <c r="A543" s="177"/>
      <c r="B543" s="177"/>
      <c r="C543" s="177"/>
      <c r="D543" s="177"/>
      <c r="E543" s="177"/>
      <c r="F543" s="177"/>
      <c r="G543" s="250"/>
      <c r="H543" s="177"/>
      <c r="I543" s="176"/>
      <c r="J543" s="177"/>
      <c r="K543" s="177"/>
      <c r="L543" s="177"/>
      <c r="M543" s="177"/>
      <c r="N543" s="177"/>
      <c r="O543" s="177"/>
      <c r="P543" s="177"/>
      <c r="Q543" s="177"/>
      <c r="R543" s="177"/>
      <c r="S543" s="177"/>
      <c r="T543" s="177"/>
      <c r="U543" s="177"/>
      <c r="V543" s="177"/>
      <c r="W543" s="177"/>
      <c r="X543" s="177"/>
    </row>
    <row r="544" ht="15.75" customHeight="1">
      <c r="A544" s="177"/>
      <c r="B544" s="177"/>
      <c r="C544" s="177"/>
      <c r="D544" s="177"/>
      <c r="E544" s="177"/>
      <c r="F544" s="177"/>
      <c r="G544" s="250"/>
      <c r="H544" s="177"/>
      <c r="I544" s="176"/>
      <c r="J544" s="177"/>
      <c r="K544" s="177"/>
      <c r="L544" s="177"/>
      <c r="M544" s="177"/>
      <c r="N544" s="177"/>
      <c r="O544" s="177"/>
      <c r="P544" s="177"/>
      <c r="Q544" s="177"/>
      <c r="R544" s="177"/>
      <c r="S544" s="177"/>
      <c r="T544" s="177"/>
      <c r="U544" s="177"/>
      <c r="V544" s="177"/>
      <c r="W544" s="177"/>
      <c r="X544" s="177"/>
    </row>
    <row r="545" ht="15.75" customHeight="1">
      <c r="A545" s="177"/>
      <c r="B545" s="177"/>
      <c r="C545" s="177"/>
      <c r="D545" s="177"/>
      <c r="E545" s="177"/>
      <c r="F545" s="177"/>
      <c r="G545" s="250"/>
      <c r="H545" s="177"/>
      <c r="I545" s="176"/>
      <c r="J545" s="177"/>
      <c r="K545" s="177"/>
      <c r="L545" s="177"/>
      <c r="M545" s="177"/>
      <c r="N545" s="177"/>
      <c r="O545" s="177"/>
      <c r="P545" s="177"/>
      <c r="Q545" s="177"/>
      <c r="R545" s="177"/>
      <c r="S545" s="177"/>
      <c r="T545" s="177"/>
      <c r="U545" s="177"/>
      <c r="V545" s="177"/>
      <c r="W545" s="177"/>
      <c r="X545" s="177"/>
    </row>
    <row r="546" ht="15.75" customHeight="1">
      <c r="A546" s="177"/>
      <c r="B546" s="177"/>
      <c r="C546" s="177"/>
      <c r="D546" s="177"/>
      <c r="E546" s="177"/>
      <c r="F546" s="177"/>
      <c r="G546" s="250"/>
      <c r="H546" s="177"/>
      <c r="I546" s="176"/>
      <c r="J546" s="177"/>
      <c r="K546" s="177"/>
      <c r="L546" s="177"/>
      <c r="M546" s="177"/>
      <c r="N546" s="177"/>
      <c r="O546" s="177"/>
      <c r="P546" s="177"/>
      <c r="Q546" s="177"/>
      <c r="R546" s="177"/>
      <c r="S546" s="177"/>
      <c r="T546" s="177"/>
      <c r="U546" s="177"/>
      <c r="V546" s="177"/>
      <c r="W546" s="177"/>
      <c r="X546" s="177"/>
    </row>
    <row r="547" ht="15.75" customHeight="1">
      <c r="A547" s="177"/>
      <c r="B547" s="177"/>
      <c r="C547" s="177"/>
      <c r="D547" s="177"/>
      <c r="E547" s="177"/>
      <c r="F547" s="177"/>
      <c r="G547" s="250"/>
      <c r="H547" s="177"/>
      <c r="I547" s="176"/>
      <c r="J547" s="177"/>
      <c r="K547" s="177"/>
      <c r="L547" s="177"/>
      <c r="M547" s="177"/>
      <c r="N547" s="177"/>
      <c r="O547" s="177"/>
      <c r="P547" s="177"/>
      <c r="Q547" s="177"/>
      <c r="R547" s="177"/>
      <c r="S547" s="177"/>
      <c r="T547" s="177"/>
      <c r="U547" s="177"/>
      <c r="V547" s="177"/>
      <c r="W547" s="177"/>
      <c r="X547" s="177"/>
    </row>
    <row r="548" ht="15.75" customHeight="1">
      <c r="A548" s="177"/>
      <c r="B548" s="177"/>
      <c r="C548" s="177"/>
      <c r="D548" s="177"/>
      <c r="E548" s="177"/>
      <c r="F548" s="177"/>
      <c r="G548" s="250"/>
      <c r="H548" s="177"/>
      <c r="I548" s="176"/>
      <c r="J548" s="177"/>
      <c r="K548" s="177"/>
      <c r="L548" s="177"/>
      <c r="M548" s="177"/>
      <c r="N548" s="177"/>
      <c r="O548" s="177"/>
      <c r="P548" s="177"/>
      <c r="Q548" s="177"/>
      <c r="R548" s="177"/>
      <c r="S548" s="177"/>
      <c r="T548" s="177"/>
      <c r="U548" s="177"/>
      <c r="V548" s="177"/>
      <c r="W548" s="177"/>
      <c r="X548" s="177"/>
    </row>
    <row r="549" ht="15.75" customHeight="1">
      <c r="A549" s="177"/>
      <c r="B549" s="177"/>
      <c r="C549" s="177"/>
      <c r="D549" s="177"/>
      <c r="E549" s="177"/>
      <c r="F549" s="177"/>
      <c r="G549" s="250"/>
      <c r="H549" s="177"/>
      <c r="I549" s="176"/>
      <c r="J549" s="177"/>
      <c r="K549" s="177"/>
      <c r="L549" s="177"/>
      <c r="M549" s="177"/>
      <c r="N549" s="177"/>
      <c r="O549" s="177"/>
      <c r="P549" s="177"/>
      <c r="Q549" s="177"/>
      <c r="R549" s="177"/>
      <c r="S549" s="177"/>
      <c r="T549" s="177"/>
      <c r="U549" s="177"/>
      <c r="V549" s="177"/>
      <c r="W549" s="177"/>
      <c r="X549" s="177"/>
    </row>
    <row r="550" ht="15.75" customHeight="1">
      <c r="A550" s="177"/>
      <c r="B550" s="177"/>
      <c r="C550" s="177"/>
      <c r="D550" s="177"/>
      <c r="E550" s="177"/>
      <c r="F550" s="177"/>
      <c r="G550" s="250"/>
      <c r="H550" s="177"/>
      <c r="I550" s="176"/>
      <c r="J550" s="177"/>
      <c r="K550" s="177"/>
      <c r="L550" s="177"/>
      <c r="M550" s="177"/>
      <c r="N550" s="177"/>
      <c r="O550" s="177"/>
      <c r="P550" s="177"/>
      <c r="Q550" s="177"/>
      <c r="R550" s="177"/>
      <c r="S550" s="177"/>
      <c r="T550" s="177"/>
      <c r="U550" s="177"/>
      <c r="V550" s="177"/>
      <c r="W550" s="177"/>
      <c r="X550" s="177"/>
    </row>
    <row r="551" ht="15.75" customHeight="1">
      <c r="A551" s="177"/>
      <c r="B551" s="177"/>
      <c r="C551" s="177"/>
      <c r="D551" s="177"/>
      <c r="E551" s="177"/>
      <c r="F551" s="177"/>
      <c r="G551" s="250"/>
      <c r="H551" s="177"/>
      <c r="I551" s="176"/>
      <c r="J551" s="177"/>
      <c r="K551" s="177"/>
      <c r="L551" s="177"/>
      <c r="M551" s="177"/>
      <c r="N551" s="177"/>
      <c r="O551" s="177"/>
      <c r="P551" s="177"/>
      <c r="Q551" s="177"/>
      <c r="R551" s="177"/>
      <c r="S551" s="177"/>
      <c r="T551" s="177"/>
      <c r="U551" s="177"/>
      <c r="V551" s="177"/>
      <c r="W551" s="177"/>
      <c r="X551" s="177"/>
    </row>
    <row r="552" ht="15.75" customHeight="1">
      <c r="A552" s="177"/>
      <c r="B552" s="177"/>
      <c r="C552" s="177"/>
      <c r="D552" s="177"/>
      <c r="E552" s="177"/>
      <c r="F552" s="177"/>
      <c r="G552" s="250"/>
      <c r="H552" s="177"/>
      <c r="I552" s="176"/>
      <c r="J552" s="177"/>
      <c r="K552" s="177"/>
      <c r="L552" s="177"/>
      <c r="M552" s="177"/>
      <c r="N552" s="177"/>
      <c r="O552" s="177"/>
      <c r="P552" s="177"/>
      <c r="Q552" s="177"/>
      <c r="R552" s="177"/>
      <c r="S552" s="177"/>
      <c r="T552" s="177"/>
      <c r="U552" s="177"/>
      <c r="V552" s="177"/>
      <c r="W552" s="177"/>
      <c r="X552" s="177"/>
    </row>
    <row r="553" ht="15.75" customHeight="1">
      <c r="A553" s="177"/>
      <c r="B553" s="177"/>
      <c r="C553" s="177"/>
      <c r="D553" s="177"/>
      <c r="E553" s="177"/>
      <c r="F553" s="177"/>
      <c r="G553" s="250"/>
      <c r="H553" s="177"/>
      <c r="I553" s="176"/>
      <c r="J553" s="177"/>
      <c r="K553" s="177"/>
      <c r="L553" s="177"/>
      <c r="M553" s="177"/>
      <c r="N553" s="177"/>
      <c r="O553" s="177"/>
      <c r="P553" s="177"/>
      <c r="Q553" s="177"/>
      <c r="R553" s="177"/>
      <c r="S553" s="177"/>
      <c r="T553" s="177"/>
      <c r="U553" s="177"/>
      <c r="V553" s="177"/>
      <c r="W553" s="177"/>
      <c r="X553" s="177"/>
    </row>
    <row r="554" ht="15.75" customHeight="1">
      <c r="A554" s="177"/>
      <c r="B554" s="177"/>
      <c r="C554" s="177"/>
      <c r="D554" s="177"/>
      <c r="E554" s="177"/>
      <c r="F554" s="177"/>
      <c r="G554" s="250"/>
      <c r="H554" s="177"/>
      <c r="I554" s="176"/>
      <c r="J554" s="177"/>
      <c r="K554" s="177"/>
      <c r="L554" s="177"/>
      <c r="M554" s="177"/>
      <c r="N554" s="177"/>
      <c r="O554" s="177"/>
      <c r="P554" s="177"/>
      <c r="Q554" s="177"/>
      <c r="R554" s="177"/>
      <c r="S554" s="177"/>
      <c r="T554" s="177"/>
      <c r="U554" s="177"/>
      <c r="V554" s="177"/>
      <c r="W554" s="177"/>
      <c r="X554" s="177"/>
    </row>
    <row r="555" ht="15.75" customHeight="1">
      <c r="A555" s="177"/>
      <c r="B555" s="177"/>
      <c r="C555" s="177"/>
      <c r="D555" s="177"/>
      <c r="E555" s="177"/>
      <c r="F555" s="177"/>
      <c r="G555" s="250"/>
      <c r="H555" s="177"/>
      <c r="I555" s="176"/>
      <c r="J555" s="177"/>
      <c r="K555" s="177"/>
      <c r="L555" s="177"/>
      <c r="M555" s="177"/>
      <c r="N555" s="177"/>
      <c r="O555" s="177"/>
      <c r="P555" s="177"/>
      <c r="Q555" s="177"/>
      <c r="R555" s="177"/>
      <c r="S555" s="177"/>
      <c r="T555" s="177"/>
      <c r="U555" s="177"/>
      <c r="V555" s="177"/>
      <c r="W555" s="177"/>
      <c r="X555" s="177"/>
    </row>
    <row r="556" ht="15.75" customHeight="1">
      <c r="A556" s="177"/>
      <c r="B556" s="177"/>
      <c r="C556" s="177"/>
      <c r="D556" s="177"/>
      <c r="E556" s="177"/>
      <c r="F556" s="177"/>
      <c r="G556" s="250"/>
      <c r="H556" s="177"/>
      <c r="I556" s="176"/>
      <c r="J556" s="177"/>
      <c r="K556" s="177"/>
      <c r="L556" s="177"/>
      <c r="M556" s="177"/>
      <c r="N556" s="177"/>
      <c r="O556" s="177"/>
      <c r="P556" s="177"/>
      <c r="Q556" s="177"/>
      <c r="R556" s="177"/>
      <c r="S556" s="177"/>
      <c r="T556" s="177"/>
      <c r="U556" s="177"/>
      <c r="V556" s="177"/>
      <c r="W556" s="177"/>
      <c r="X556" s="177"/>
    </row>
    <row r="557" ht="15.75" customHeight="1">
      <c r="A557" s="177"/>
      <c r="B557" s="177"/>
      <c r="C557" s="177"/>
      <c r="D557" s="177"/>
      <c r="E557" s="177"/>
      <c r="F557" s="177"/>
      <c r="G557" s="250"/>
      <c r="H557" s="177"/>
      <c r="I557" s="176"/>
      <c r="J557" s="177"/>
      <c r="K557" s="177"/>
      <c r="L557" s="177"/>
      <c r="M557" s="177"/>
      <c r="N557" s="177"/>
      <c r="O557" s="177"/>
      <c r="P557" s="177"/>
      <c r="Q557" s="177"/>
      <c r="R557" s="177"/>
      <c r="S557" s="177"/>
      <c r="T557" s="177"/>
      <c r="U557" s="177"/>
      <c r="V557" s="177"/>
      <c r="W557" s="177"/>
      <c r="X557" s="177"/>
    </row>
    <row r="558" ht="15.75" customHeight="1">
      <c r="A558" s="177"/>
      <c r="B558" s="177"/>
      <c r="C558" s="177"/>
      <c r="D558" s="177"/>
      <c r="E558" s="177"/>
      <c r="F558" s="177"/>
      <c r="G558" s="250"/>
      <c r="H558" s="177"/>
      <c r="I558" s="176"/>
      <c r="J558" s="177"/>
      <c r="K558" s="177"/>
      <c r="L558" s="177"/>
      <c r="M558" s="177"/>
      <c r="N558" s="177"/>
      <c r="O558" s="177"/>
      <c r="P558" s="177"/>
      <c r="Q558" s="177"/>
      <c r="R558" s="177"/>
      <c r="S558" s="177"/>
      <c r="T558" s="177"/>
      <c r="U558" s="177"/>
      <c r="V558" s="177"/>
      <c r="W558" s="177"/>
      <c r="X558" s="177"/>
    </row>
    <row r="559" ht="15.75" customHeight="1">
      <c r="A559" s="177"/>
      <c r="B559" s="177"/>
      <c r="C559" s="177"/>
      <c r="D559" s="177"/>
      <c r="E559" s="177"/>
      <c r="F559" s="177"/>
      <c r="G559" s="250"/>
      <c r="H559" s="177"/>
      <c r="I559" s="176"/>
      <c r="J559" s="177"/>
      <c r="K559" s="177"/>
      <c r="L559" s="177"/>
      <c r="M559" s="177"/>
      <c r="N559" s="177"/>
      <c r="O559" s="177"/>
      <c r="P559" s="177"/>
      <c r="Q559" s="177"/>
      <c r="R559" s="177"/>
      <c r="S559" s="177"/>
      <c r="T559" s="177"/>
      <c r="U559" s="177"/>
      <c r="V559" s="177"/>
      <c r="W559" s="177"/>
      <c r="X559" s="177"/>
    </row>
    <row r="560" ht="15.75" customHeight="1">
      <c r="A560" s="177"/>
      <c r="B560" s="177"/>
      <c r="C560" s="177"/>
      <c r="D560" s="177"/>
      <c r="E560" s="177"/>
      <c r="F560" s="177"/>
      <c r="G560" s="250"/>
      <c r="H560" s="177"/>
      <c r="I560" s="176"/>
      <c r="J560" s="177"/>
      <c r="K560" s="177"/>
      <c r="L560" s="177"/>
      <c r="M560" s="177"/>
      <c r="N560" s="177"/>
      <c r="O560" s="177"/>
      <c r="P560" s="177"/>
      <c r="Q560" s="177"/>
      <c r="R560" s="177"/>
      <c r="S560" s="177"/>
      <c r="T560" s="177"/>
      <c r="U560" s="177"/>
      <c r="V560" s="177"/>
      <c r="W560" s="177"/>
      <c r="X560" s="177"/>
    </row>
    <row r="561" ht="15.75" customHeight="1">
      <c r="A561" s="177"/>
      <c r="B561" s="177"/>
      <c r="C561" s="177"/>
      <c r="D561" s="177"/>
      <c r="E561" s="177"/>
      <c r="F561" s="177"/>
      <c r="G561" s="250"/>
      <c r="H561" s="177"/>
      <c r="I561" s="176"/>
      <c r="J561" s="177"/>
      <c r="K561" s="177"/>
      <c r="L561" s="177"/>
      <c r="M561" s="177"/>
      <c r="N561" s="177"/>
      <c r="O561" s="177"/>
      <c r="P561" s="177"/>
      <c r="Q561" s="177"/>
      <c r="R561" s="177"/>
      <c r="S561" s="177"/>
      <c r="T561" s="177"/>
      <c r="U561" s="177"/>
      <c r="V561" s="177"/>
      <c r="W561" s="177"/>
      <c r="X561" s="177"/>
    </row>
    <row r="562" ht="15.75" customHeight="1">
      <c r="A562" s="177"/>
      <c r="B562" s="177"/>
      <c r="C562" s="177"/>
      <c r="D562" s="177"/>
      <c r="E562" s="177"/>
      <c r="F562" s="177"/>
      <c r="G562" s="250"/>
      <c r="H562" s="177"/>
      <c r="I562" s="176"/>
      <c r="J562" s="177"/>
      <c r="K562" s="177"/>
      <c r="L562" s="177"/>
      <c r="M562" s="177"/>
      <c r="N562" s="177"/>
      <c r="O562" s="177"/>
      <c r="P562" s="177"/>
      <c r="Q562" s="177"/>
      <c r="R562" s="177"/>
      <c r="S562" s="177"/>
      <c r="T562" s="177"/>
      <c r="U562" s="177"/>
      <c r="V562" s="177"/>
      <c r="W562" s="177"/>
      <c r="X562" s="177"/>
    </row>
    <row r="563" ht="15.75" customHeight="1">
      <c r="A563" s="177"/>
      <c r="B563" s="177"/>
      <c r="C563" s="177"/>
      <c r="D563" s="177"/>
      <c r="E563" s="177"/>
      <c r="F563" s="177"/>
      <c r="G563" s="250"/>
      <c r="H563" s="177"/>
      <c r="I563" s="176"/>
      <c r="J563" s="177"/>
      <c r="K563" s="177"/>
      <c r="L563" s="177"/>
      <c r="M563" s="177"/>
      <c r="N563" s="177"/>
      <c r="O563" s="177"/>
      <c r="P563" s="177"/>
      <c r="Q563" s="177"/>
      <c r="R563" s="177"/>
      <c r="S563" s="177"/>
      <c r="T563" s="177"/>
      <c r="U563" s="177"/>
      <c r="V563" s="177"/>
      <c r="W563" s="177"/>
      <c r="X563" s="177"/>
    </row>
    <row r="564" ht="15.75" customHeight="1">
      <c r="A564" s="177"/>
      <c r="B564" s="177"/>
      <c r="C564" s="177"/>
      <c r="D564" s="177"/>
      <c r="E564" s="177"/>
      <c r="F564" s="177"/>
      <c r="G564" s="250"/>
      <c r="H564" s="177"/>
      <c r="I564" s="176"/>
      <c r="J564" s="177"/>
      <c r="K564" s="177"/>
      <c r="L564" s="177"/>
      <c r="M564" s="177"/>
      <c r="N564" s="177"/>
      <c r="O564" s="177"/>
      <c r="P564" s="177"/>
      <c r="Q564" s="177"/>
      <c r="R564" s="177"/>
      <c r="S564" s="177"/>
      <c r="T564" s="177"/>
      <c r="U564" s="177"/>
      <c r="V564" s="177"/>
      <c r="W564" s="177"/>
      <c r="X564" s="177"/>
    </row>
    <row r="565" ht="15.75" customHeight="1">
      <c r="A565" s="177"/>
      <c r="B565" s="177"/>
      <c r="C565" s="177"/>
      <c r="D565" s="177"/>
      <c r="E565" s="177"/>
      <c r="F565" s="177"/>
      <c r="G565" s="250"/>
      <c r="H565" s="177"/>
      <c r="I565" s="176"/>
      <c r="J565" s="177"/>
      <c r="K565" s="177"/>
      <c r="L565" s="177"/>
      <c r="M565" s="177"/>
      <c r="N565" s="177"/>
      <c r="O565" s="177"/>
      <c r="P565" s="177"/>
      <c r="Q565" s="177"/>
      <c r="R565" s="177"/>
      <c r="S565" s="177"/>
      <c r="T565" s="177"/>
      <c r="U565" s="177"/>
      <c r="V565" s="177"/>
      <c r="W565" s="177"/>
      <c r="X565" s="177"/>
    </row>
    <row r="566" ht="15.75" customHeight="1">
      <c r="A566" s="177"/>
      <c r="B566" s="177"/>
      <c r="C566" s="177"/>
      <c r="D566" s="177"/>
      <c r="E566" s="177"/>
      <c r="F566" s="177"/>
      <c r="G566" s="250"/>
      <c r="H566" s="177"/>
      <c r="I566" s="176"/>
      <c r="J566" s="177"/>
      <c r="K566" s="177"/>
      <c r="L566" s="177"/>
      <c r="M566" s="177"/>
      <c r="N566" s="177"/>
      <c r="O566" s="177"/>
      <c r="P566" s="177"/>
      <c r="Q566" s="177"/>
      <c r="R566" s="177"/>
      <c r="S566" s="177"/>
      <c r="T566" s="177"/>
      <c r="U566" s="177"/>
      <c r="V566" s="177"/>
      <c r="W566" s="177"/>
      <c r="X566" s="177"/>
    </row>
    <row r="567" ht="15.75" customHeight="1">
      <c r="A567" s="177"/>
      <c r="B567" s="177"/>
      <c r="C567" s="177"/>
      <c r="D567" s="177"/>
      <c r="E567" s="177"/>
      <c r="F567" s="177"/>
      <c r="G567" s="250"/>
      <c r="H567" s="177"/>
      <c r="I567" s="176"/>
      <c r="J567" s="177"/>
      <c r="K567" s="177"/>
      <c r="L567" s="177"/>
      <c r="M567" s="177"/>
      <c r="N567" s="177"/>
      <c r="O567" s="177"/>
      <c r="P567" s="177"/>
      <c r="Q567" s="177"/>
      <c r="R567" s="177"/>
      <c r="S567" s="177"/>
      <c r="T567" s="177"/>
      <c r="U567" s="177"/>
      <c r="V567" s="177"/>
      <c r="W567" s="177"/>
      <c r="X567" s="177"/>
    </row>
    <row r="568" ht="15.75" customHeight="1">
      <c r="A568" s="177"/>
      <c r="B568" s="177"/>
      <c r="C568" s="177"/>
      <c r="D568" s="177"/>
      <c r="E568" s="177"/>
      <c r="F568" s="177"/>
      <c r="G568" s="250"/>
      <c r="H568" s="177"/>
      <c r="I568" s="176"/>
      <c r="J568" s="177"/>
      <c r="K568" s="177"/>
      <c r="L568" s="177"/>
      <c r="M568" s="177"/>
      <c r="N568" s="177"/>
      <c r="O568" s="177"/>
      <c r="P568" s="177"/>
      <c r="Q568" s="177"/>
      <c r="R568" s="177"/>
      <c r="S568" s="177"/>
      <c r="T568" s="177"/>
      <c r="U568" s="177"/>
      <c r="V568" s="177"/>
      <c r="W568" s="177"/>
      <c r="X568" s="177"/>
    </row>
    <row r="569" ht="15.75" customHeight="1">
      <c r="A569" s="177"/>
      <c r="B569" s="177"/>
      <c r="C569" s="177"/>
      <c r="D569" s="177"/>
      <c r="E569" s="177"/>
      <c r="F569" s="177"/>
      <c r="G569" s="250"/>
      <c r="H569" s="177"/>
      <c r="I569" s="176"/>
      <c r="J569" s="177"/>
      <c r="K569" s="177"/>
      <c r="L569" s="177"/>
      <c r="M569" s="177"/>
      <c r="N569" s="177"/>
      <c r="O569" s="177"/>
      <c r="P569" s="177"/>
      <c r="Q569" s="177"/>
      <c r="R569" s="177"/>
      <c r="S569" s="177"/>
      <c r="T569" s="177"/>
      <c r="U569" s="177"/>
      <c r="V569" s="177"/>
      <c r="W569" s="177"/>
      <c r="X569" s="177"/>
    </row>
    <row r="570" ht="15.75" customHeight="1">
      <c r="A570" s="177"/>
      <c r="B570" s="177"/>
      <c r="C570" s="177"/>
      <c r="D570" s="177"/>
      <c r="E570" s="177"/>
      <c r="F570" s="177"/>
      <c r="G570" s="250"/>
      <c r="H570" s="177"/>
      <c r="I570" s="176"/>
      <c r="J570" s="177"/>
      <c r="K570" s="177"/>
      <c r="L570" s="177"/>
      <c r="M570" s="177"/>
      <c r="N570" s="177"/>
      <c r="O570" s="177"/>
      <c r="P570" s="177"/>
      <c r="Q570" s="177"/>
      <c r="R570" s="177"/>
      <c r="S570" s="177"/>
      <c r="T570" s="177"/>
      <c r="U570" s="177"/>
      <c r="V570" s="177"/>
      <c r="W570" s="177"/>
      <c r="X570" s="177"/>
    </row>
    <row r="571" ht="15.75" customHeight="1">
      <c r="A571" s="177"/>
      <c r="B571" s="177"/>
      <c r="C571" s="177"/>
      <c r="D571" s="177"/>
      <c r="E571" s="177"/>
      <c r="F571" s="177"/>
      <c r="G571" s="250"/>
      <c r="H571" s="177"/>
      <c r="I571" s="176"/>
      <c r="J571" s="177"/>
      <c r="K571" s="177"/>
      <c r="L571" s="177"/>
      <c r="M571" s="177"/>
      <c r="N571" s="177"/>
      <c r="O571" s="177"/>
      <c r="P571" s="177"/>
      <c r="Q571" s="177"/>
      <c r="R571" s="177"/>
      <c r="S571" s="177"/>
      <c r="T571" s="177"/>
      <c r="U571" s="177"/>
      <c r="V571" s="177"/>
      <c r="W571" s="177"/>
      <c r="X571" s="177"/>
    </row>
    <row r="572" ht="15.75" customHeight="1">
      <c r="A572" s="177"/>
      <c r="B572" s="177"/>
      <c r="C572" s="177"/>
      <c r="D572" s="177"/>
      <c r="E572" s="177"/>
      <c r="F572" s="177"/>
      <c r="G572" s="250"/>
      <c r="H572" s="177"/>
      <c r="I572" s="176"/>
      <c r="J572" s="177"/>
      <c r="K572" s="177"/>
      <c r="L572" s="177"/>
      <c r="M572" s="177"/>
      <c r="N572" s="177"/>
      <c r="O572" s="177"/>
      <c r="P572" s="177"/>
      <c r="Q572" s="177"/>
      <c r="R572" s="177"/>
      <c r="S572" s="177"/>
      <c r="T572" s="177"/>
      <c r="U572" s="177"/>
      <c r="V572" s="177"/>
      <c r="W572" s="177"/>
      <c r="X572" s="177"/>
    </row>
    <row r="573" ht="15.75" customHeight="1">
      <c r="A573" s="177"/>
      <c r="B573" s="177"/>
      <c r="C573" s="177"/>
      <c r="D573" s="177"/>
      <c r="E573" s="177"/>
      <c r="F573" s="177"/>
      <c r="G573" s="250"/>
      <c r="H573" s="177"/>
      <c r="I573" s="176"/>
      <c r="J573" s="177"/>
      <c r="K573" s="177"/>
      <c r="L573" s="177"/>
      <c r="M573" s="177"/>
      <c r="N573" s="177"/>
      <c r="O573" s="177"/>
      <c r="P573" s="177"/>
      <c r="Q573" s="177"/>
      <c r="R573" s="177"/>
      <c r="S573" s="177"/>
      <c r="T573" s="177"/>
      <c r="U573" s="177"/>
      <c r="V573" s="177"/>
      <c r="W573" s="177"/>
      <c r="X573" s="177"/>
    </row>
    <row r="574" ht="15.75" customHeight="1">
      <c r="A574" s="177"/>
      <c r="B574" s="177"/>
      <c r="C574" s="177"/>
      <c r="D574" s="177"/>
      <c r="E574" s="177"/>
      <c r="F574" s="177"/>
      <c r="G574" s="250"/>
      <c r="H574" s="177"/>
      <c r="I574" s="176"/>
      <c r="J574" s="177"/>
      <c r="K574" s="177"/>
      <c r="L574" s="177"/>
      <c r="M574" s="177"/>
      <c r="N574" s="177"/>
      <c r="O574" s="177"/>
      <c r="P574" s="177"/>
      <c r="Q574" s="177"/>
      <c r="R574" s="177"/>
      <c r="S574" s="177"/>
      <c r="T574" s="177"/>
      <c r="U574" s="177"/>
      <c r="V574" s="177"/>
      <c r="W574" s="177"/>
      <c r="X574" s="177"/>
    </row>
    <row r="575" ht="15.75" customHeight="1">
      <c r="A575" s="177"/>
      <c r="B575" s="177"/>
      <c r="C575" s="177"/>
      <c r="D575" s="177"/>
      <c r="E575" s="177"/>
      <c r="F575" s="177"/>
      <c r="G575" s="250"/>
      <c r="H575" s="177"/>
      <c r="I575" s="176"/>
      <c r="J575" s="177"/>
      <c r="K575" s="177"/>
      <c r="L575" s="177"/>
      <c r="M575" s="177"/>
      <c r="N575" s="177"/>
      <c r="O575" s="177"/>
      <c r="P575" s="177"/>
      <c r="Q575" s="177"/>
      <c r="R575" s="177"/>
      <c r="S575" s="177"/>
      <c r="T575" s="177"/>
      <c r="U575" s="177"/>
      <c r="V575" s="177"/>
      <c r="W575" s="177"/>
      <c r="X575" s="177"/>
    </row>
    <row r="576" ht="15.75" customHeight="1">
      <c r="A576" s="177"/>
      <c r="B576" s="177"/>
      <c r="C576" s="177"/>
      <c r="D576" s="177"/>
      <c r="E576" s="177"/>
      <c r="F576" s="177"/>
      <c r="G576" s="250"/>
      <c r="H576" s="177"/>
      <c r="I576" s="176"/>
      <c r="J576" s="177"/>
      <c r="K576" s="177"/>
      <c r="L576" s="177"/>
      <c r="M576" s="177"/>
      <c r="N576" s="177"/>
      <c r="O576" s="177"/>
      <c r="P576" s="177"/>
      <c r="Q576" s="177"/>
      <c r="R576" s="177"/>
      <c r="S576" s="177"/>
      <c r="T576" s="177"/>
      <c r="U576" s="177"/>
      <c r="V576" s="177"/>
      <c r="W576" s="177"/>
      <c r="X576" s="177"/>
    </row>
    <row r="577" ht="15.75" customHeight="1">
      <c r="A577" s="177"/>
      <c r="B577" s="177"/>
      <c r="C577" s="177"/>
      <c r="D577" s="177"/>
      <c r="E577" s="177"/>
      <c r="F577" s="177"/>
      <c r="G577" s="250"/>
      <c r="H577" s="177"/>
      <c r="I577" s="176"/>
      <c r="J577" s="177"/>
      <c r="K577" s="177"/>
      <c r="L577" s="177"/>
      <c r="M577" s="177"/>
      <c r="N577" s="177"/>
      <c r="O577" s="177"/>
      <c r="P577" s="177"/>
      <c r="Q577" s="177"/>
      <c r="R577" s="177"/>
      <c r="S577" s="177"/>
      <c r="T577" s="177"/>
      <c r="U577" s="177"/>
      <c r="V577" s="177"/>
      <c r="W577" s="177"/>
      <c r="X577" s="177"/>
    </row>
    <row r="578" ht="15.75" customHeight="1">
      <c r="A578" s="177"/>
      <c r="B578" s="177"/>
      <c r="C578" s="177"/>
      <c r="D578" s="177"/>
      <c r="E578" s="177"/>
      <c r="F578" s="177"/>
      <c r="G578" s="250"/>
      <c r="H578" s="177"/>
      <c r="I578" s="176"/>
      <c r="J578" s="177"/>
      <c r="K578" s="177"/>
      <c r="L578" s="177"/>
      <c r="M578" s="177"/>
      <c r="N578" s="177"/>
      <c r="O578" s="177"/>
      <c r="P578" s="177"/>
      <c r="Q578" s="177"/>
      <c r="R578" s="177"/>
      <c r="S578" s="177"/>
      <c r="T578" s="177"/>
      <c r="U578" s="177"/>
      <c r="V578" s="177"/>
      <c r="W578" s="177"/>
      <c r="X578" s="177"/>
    </row>
    <row r="579" ht="15.75" customHeight="1">
      <c r="A579" s="177"/>
      <c r="B579" s="177"/>
      <c r="C579" s="177"/>
      <c r="D579" s="177"/>
      <c r="E579" s="177"/>
      <c r="F579" s="177"/>
      <c r="G579" s="250"/>
      <c r="H579" s="177"/>
      <c r="I579" s="176"/>
      <c r="J579" s="177"/>
      <c r="K579" s="177"/>
      <c r="L579" s="177"/>
      <c r="M579" s="177"/>
      <c r="N579" s="177"/>
      <c r="O579" s="177"/>
      <c r="P579" s="177"/>
      <c r="Q579" s="177"/>
      <c r="R579" s="177"/>
      <c r="S579" s="177"/>
      <c r="T579" s="177"/>
      <c r="U579" s="177"/>
      <c r="V579" s="177"/>
      <c r="W579" s="177"/>
      <c r="X579" s="177"/>
    </row>
    <row r="580" ht="15.75" customHeight="1">
      <c r="A580" s="177"/>
      <c r="B580" s="177"/>
      <c r="C580" s="177"/>
      <c r="D580" s="177"/>
      <c r="E580" s="177"/>
      <c r="F580" s="177"/>
      <c r="G580" s="250"/>
      <c r="H580" s="177"/>
      <c r="I580" s="176"/>
      <c r="J580" s="177"/>
      <c r="K580" s="177"/>
      <c r="L580" s="177"/>
      <c r="M580" s="177"/>
      <c r="N580" s="177"/>
      <c r="O580" s="177"/>
      <c r="P580" s="177"/>
      <c r="Q580" s="177"/>
      <c r="R580" s="177"/>
      <c r="S580" s="177"/>
      <c r="T580" s="177"/>
      <c r="U580" s="177"/>
      <c r="V580" s="177"/>
      <c r="W580" s="177"/>
      <c r="X580" s="177"/>
    </row>
    <row r="581" ht="15.75" customHeight="1">
      <c r="A581" s="177"/>
      <c r="B581" s="177"/>
      <c r="C581" s="177"/>
      <c r="D581" s="177"/>
      <c r="E581" s="177"/>
      <c r="F581" s="177"/>
      <c r="G581" s="250"/>
      <c r="H581" s="177"/>
      <c r="I581" s="176"/>
      <c r="J581" s="177"/>
      <c r="K581" s="177"/>
      <c r="L581" s="177"/>
      <c r="M581" s="177"/>
      <c r="N581" s="177"/>
      <c r="O581" s="177"/>
      <c r="P581" s="177"/>
      <c r="Q581" s="177"/>
      <c r="R581" s="177"/>
      <c r="S581" s="177"/>
      <c r="T581" s="177"/>
      <c r="U581" s="177"/>
      <c r="V581" s="177"/>
      <c r="W581" s="177"/>
      <c r="X581" s="177"/>
    </row>
    <row r="582" ht="15.75" customHeight="1">
      <c r="A582" s="177"/>
      <c r="B582" s="177"/>
      <c r="C582" s="177"/>
      <c r="D582" s="177"/>
      <c r="E582" s="177"/>
      <c r="F582" s="177"/>
      <c r="G582" s="250"/>
      <c r="H582" s="177"/>
      <c r="I582" s="176"/>
      <c r="J582" s="177"/>
      <c r="K582" s="177"/>
      <c r="L582" s="177"/>
      <c r="M582" s="177"/>
      <c r="N582" s="177"/>
      <c r="O582" s="177"/>
      <c r="P582" s="177"/>
      <c r="Q582" s="177"/>
      <c r="R582" s="177"/>
      <c r="S582" s="177"/>
      <c r="T582" s="177"/>
      <c r="U582" s="177"/>
      <c r="V582" s="177"/>
      <c r="W582" s="177"/>
      <c r="X582" s="177"/>
    </row>
    <row r="583" ht="15.75" customHeight="1">
      <c r="A583" s="177"/>
      <c r="B583" s="177"/>
      <c r="C583" s="177"/>
      <c r="D583" s="177"/>
      <c r="E583" s="177"/>
      <c r="F583" s="177"/>
      <c r="G583" s="250"/>
      <c r="H583" s="177"/>
      <c r="I583" s="176"/>
      <c r="J583" s="177"/>
      <c r="K583" s="177"/>
      <c r="L583" s="177"/>
      <c r="M583" s="177"/>
      <c r="N583" s="177"/>
      <c r="O583" s="177"/>
      <c r="P583" s="177"/>
      <c r="Q583" s="177"/>
      <c r="R583" s="177"/>
      <c r="S583" s="177"/>
      <c r="T583" s="177"/>
      <c r="U583" s="177"/>
      <c r="V583" s="177"/>
      <c r="W583" s="177"/>
      <c r="X583" s="177"/>
    </row>
    <row r="584" ht="15.75" customHeight="1">
      <c r="A584" s="177"/>
      <c r="B584" s="177"/>
      <c r="C584" s="177"/>
      <c r="D584" s="177"/>
      <c r="E584" s="177"/>
      <c r="F584" s="177"/>
      <c r="G584" s="250"/>
      <c r="H584" s="177"/>
      <c r="I584" s="176"/>
      <c r="J584" s="177"/>
      <c r="K584" s="177"/>
      <c r="L584" s="177"/>
      <c r="M584" s="177"/>
      <c r="N584" s="177"/>
      <c r="O584" s="177"/>
      <c r="P584" s="177"/>
      <c r="Q584" s="177"/>
      <c r="R584" s="177"/>
      <c r="S584" s="177"/>
      <c r="T584" s="177"/>
      <c r="U584" s="177"/>
      <c r="V584" s="177"/>
      <c r="W584" s="177"/>
      <c r="X584" s="177"/>
    </row>
    <row r="585" ht="15.75" customHeight="1">
      <c r="A585" s="177"/>
      <c r="B585" s="177"/>
      <c r="C585" s="177"/>
      <c r="D585" s="177"/>
      <c r="E585" s="177"/>
      <c r="F585" s="177"/>
      <c r="G585" s="250"/>
      <c r="H585" s="177"/>
      <c r="I585" s="176"/>
      <c r="J585" s="177"/>
      <c r="K585" s="177"/>
      <c r="L585" s="177"/>
      <c r="M585" s="177"/>
      <c r="N585" s="177"/>
      <c r="O585" s="177"/>
      <c r="P585" s="177"/>
      <c r="Q585" s="177"/>
      <c r="R585" s="177"/>
      <c r="S585" s="177"/>
      <c r="T585" s="177"/>
      <c r="U585" s="177"/>
      <c r="V585" s="177"/>
      <c r="W585" s="177"/>
      <c r="X585" s="177"/>
    </row>
    <row r="586" ht="15.75" customHeight="1">
      <c r="A586" s="177"/>
      <c r="B586" s="177"/>
      <c r="C586" s="177"/>
      <c r="D586" s="177"/>
      <c r="E586" s="177"/>
      <c r="F586" s="177"/>
      <c r="G586" s="250"/>
      <c r="H586" s="177"/>
      <c r="I586" s="176"/>
      <c r="J586" s="177"/>
      <c r="K586" s="177"/>
      <c r="L586" s="177"/>
      <c r="M586" s="177"/>
      <c r="N586" s="177"/>
      <c r="O586" s="177"/>
      <c r="P586" s="177"/>
      <c r="Q586" s="177"/>
      <c r="R586" s="177"/>
      <c r="S586" s="177"/>
      <c r="T586" s="177"/>
      <c r="U586" s="177"/>
      <c r="V586" s="177"/>
      <c r="W586" s="177"/>
      <c r="X586" s="177"/>
    </row>
    <row r="587" ht="15.75" customHeight="1">
      <c r="A587" s="177"/>
      <c r="B587" s="177"/>
      <c r="C587" s="177"/>
      <c r="D587" s="177"/>
      <c r="E587" s="177"/>
      <c r="F587" s="177"/>
      <c r="G587" s="250"/>
      <c r="H587" s="177"/>
      <c r="I587" s="176"/>
      <c r="J587" s="177"/>
      <c r="K587" s="177"/>
      <c r="L587" s="177"/>
      <c r="M587" s="177"/>
      <c r="N587" s="177"/>
      <c r="O587" s="177"/>
      <c r="P587" s="177"/>
      <c r="Q587" s="177"/>
      <c r="R587" s="177"/>
      <c r="S587" s="177"/>
      <c r="T587" s="177"/>
      <c r="U587" s="177"/>
      <c r="V587" s="177"/>
      <c r="W587" s="177"/>
      <c r="X587" s="177"/>
    </row>
    <row r="588" ht="15.75" customHeight="1">
      <c r="A588" s="177"/>
      <c r="B588" s="177"/>
      <c r="C588" s="177"/>
      <c r="D588" s="177"/>
      <c r="E588" s="177"/>
      <c r="F588" s="177"/>
      <c r="G588" s="250"/>
      <c r="H588" s="177"/>
      <c r="I588" s="176"/>
      <c r="J588" s="177"/>
      <c r="K588" s="177"/>
      <c r="L588" s="177"/>
      <c r="M588" s="177"/>
      <c r="N588" s="177"/>
      <c r="O588" s="177"/>
      <c r="P588" s="177"/>
      <c r="Q588" s="177"/>
      <c r="R588" s="177"/>
      <c r="S588" s="177"/>
      <c r="T588" s="177"/>
      <c r="U588" s="177"/>
      <c r="V588" s="177"/>
      <c r="W588" s="177"/>
      <c r="X588" s="177"/>
    </row>
    <row r="589" ht="15.75" customHeight="1">
      <c r="A589" s="177"/>
      <c r="B589" s="177"/>
      <c r="C589" s="177"/>
      <c r="D589" s="177"/>
      <c r="E589" s="177"/>
      <c r="F589" s="177"/>
      <c r="G589" s="250"/>
      <c r="H589" s="177"/>
      <c r="I589" s="176"/>
      <c r="J589" s="177"/>
      <c r="K589" s="177"/>
      <c r="L589" s="177"/>
      <c r="M589" s="177"/>
      <c r="N589" s="177"/>
      <c r="O589" s="177"/>
      <c r="P589" s="177"/>
      <c r="Q589" s="177"/>
      <c r="R589" s="177"/>
      <c r="S589" s="177"/>
      <c r="T589" s="177"/>
      <c r="U589" s="177"/>
      <c r="V589" s="177"/>
      <c r="W589" s="177"/>
      <c r="X589" s="177"/>
    </row>
    <row r="590" ht="15.75" customHeight="1">
      <c r="A590" s="177"/>
      <c r="B590" s="177"/>
      <c r="C590" s="177"/>
      <c r="D590" s="177"/>
      <c r="E590" s="177"/>
      <c r="F590" s="177"/>
      <c r="G590" s="250"/>
      <c r="H590" s="177"/>
      <c r="I590" s="176"/>
      <c r="J590" s="177"/>
      <c r="K590" s="177"/>
      <c r="L590" s="177"/>
      <c r="M590" s="177"/>
      <c r="N590" s="177"/>
      <c r="O590" s="177"/>
      <c r="P590" s="177"/>
      <c r="Q590" s="177"/>
      <c r="R590" s="177"/>
      <c r="S590" s="177"/>
      <c r="T590" s="177"/>
      <c r="U590" s="177"/>
      <c r="V590" s="177"/>
      <c r="W590" s="177"/>
      <c r="X590" s="177"/>
    </row>
    <row r="591" ht="15.75" customHeight="1">
      <c r="A591" s="177"/>
      <c r="B591" s="177"/>
      <c r="C591" s="177"/>
      <c r="D591" s="177"/>
      <c r="E591" s="177"/>
      <c r="F591" s="177"/>
      <c r="G591" s="250"/>
      <c r="H591" s="177"/>
      <c r="I591" s="176"/>
      <c r="J591" s="177"/>
      <c r="K591" s="177"/>
      <c r="L591" s="177"/>
      <c r="M591" s="177"/>
      <c r="N591" s="177"/>
      <c r="O591" s="177"/>
      <c r="P591" s="177"/>
      <c r="Q591" s="177"/>
      <c r="R591" s="177"/>
      <c r="S591" s="177"/>
      <c r="T591" s="177"/>
      <c r="U591" s="177"/>
      <c r="V591" s="177"/>
      <c r="W591" s="177"/>
      <c r="X591" s="177"/>
    </row>
    <row r="592" ht="15.75" customHeight="1">
      <c r="A592" s="177"/>
      <c r="B592" s="177"/>
      <c r="C592" s="177"/>
      <c r="D592" s="177"/>
      <c r="E592" s="177"/>
      <c r="F592" s="177"/>
      <c r="G592" s="250"/>
      <c r="H592" s="177"/>
      <c r="I592" s="176"/>
      <c r="J592" s="177"/>
      <c r="K592" s="177"/>
      <c r="L592" s="177"/>
      <c r="M592" s="177"/>
      <c r="N592" s="177"/>
      <c r="O592" s="177"/>
      <c r="P592" s="177"/>
      <c r="Q592" s="177"/>
      <c r="R592" s="177"/>
      <c r="S592" s="177"/>
      <c r="T592" s="177"/>
      <c r="U592" s="177"/>
      <c r="V592" s="177"/>
      <c r="W592" s="177"/>
      <c r="X592" s="177"/>
    </row>
    <row r="593" ht="15.75" customHeight="1">
      <c r="A593" s="177"/>
      <c r="B593" s="177"/>
      <c r="C593" s="177"/>
      <c r="D593" s="177"/>
      <c r="E593" s="177"/>
      <c r="F593" s="177"/>
      <c r="G593" s="250"/>
      <c r="H593" s="177"/>
      <c r="I593" s="176"/>
      <c r="J593" s="177"/>
      <c r="K593" s="177"/>
      <c r="L593" s="177"/>
      <c r="M593" s="177"/>
      <c r="N593" s="177"/>
      <c r="O593" s="177"/>
      <c r="P593" s="177"/>
      <c r="Q593" s="177"/>
      <c r="R593" s="177"/>
      <c r="S593" s="177"/>
      <c r="T593" s="177"/>
      <c r="U593" s="177"/>
      <c r="V593" s="177"/>
      <c r="W593" s="177"/>
      <c r="X593" s="177"/>
    </row>
    <row r="594" ht="15.75" customHeight="1">
      <c r="A594" s="177"/>
      <c r="B594" s="177"/>
      <c r="C594" s="177"/>
      <c r="D594" s="177"/>
      <c r="E594" s="177"/>
      <c r="F594" s="177"/>
      <c r="G594" s="250"/>
      <c r="H594" s="177"/>
      <c r="I594" s="176"/>
      <c r="J594" s="177"/>
      <c r="K594" s="177"/>
      <c r="L594" s="177"/>
      <c r="M594" s="177"/>
      <c r="N594" s="177"/>
      <c r="O594" s="177"/>
      <c r="P594" s="177"/>
      <c r="Q594" s="177"/>
      <c r="R594" s="177"/>
      <c r="S594" s="177"/>
      <c r="T594" s="177"/>
      <c r="U594" s="177"/>
      <c r="V594" s="177"/>
      <c r="W594" s="177"/>
      <c r="X594" s="177"/>
    </row>
    <row r="595" ht="15.75" customHeight="1">
      <c r="A595" s="177"/>
      <c r="B595" s="177"/>
      <c r="C595" s="177"/>
      <c r="D595" s="177"/>
      <c r="E595" s="177"/>
      <c r="F595" s="177"/>
      <c r="G595" s="250"/>
      <c r="H595" s="177"/>
      <c r="I595" s="176"/>
      <c r="J595" s="177"/>
      <c r="K595" s="177"/>
      <c r="L595" s="177"/>
      <c r="M595" s="177"/>
      <c r="N595" s="177"/>
      <c r="O595" s="177"/>
      <c r="P595" s="177"/>
      <c r="Q595" s="177"/>
      <c r="R595" s="177"/>
      <c r="S595" s="177"/>
      <c r="T595" s="177"/>
      <c r="U595" s="177"/>
      <c r="V595" s="177"/>
      <c r="W595" s="177"/>
      <c r="X595" s="177"/>
    </row>
    <row r="596" ht="15.75" customHeight="1">
      <c r="A596" s="177"/>
      <c r="B596" s="177"/>
      <c r="C596" s="177"/>
      <c r="D596" s="177"/>
      <c r="E596" s="177"/>
      <c r="F596" s="177"/>
      <c r="G596" s="250"/>
      <c r="H596" s="177"/>
      <c r="I596" s="176"/>
      <c r="J596" s="177"/>
      <c r="K596" s="177"/>
      <c r="L596" s="177"/>
      <c r="M596" s="177"/>
      <c r="N596" s="177"/>
      <c r="O596" s="177"/>
      <c r="P596" s="177"/>
      <c r="Q596" s="177"/>
      <c r="R596" s="177"/>
      <c r="S596" s="177"/>
      <c r="T596" s="177"/>
      <c r="U596" s="177"/>
      <c r="V596" s="177"/>
      <c r="W596" s="177"/>
      <c r="X596" s="177"/>
    </row>
    <row r="597" ht="15.75" customHeight="1">
      <c r="A597" s="177"/>
      <c r="B597" s="177"/>
      <c r="C597" s="177"/>
      <c r="D597" s="177"/>
      <c r="E597" s="177"/>
      <c r="F597" s="177"/>
      <c r="G597" s="250"/>
      <c r="H597" s="177"/>
      <c r="I597" s="176"/>
      <c r="J597" s="177"/>
      <c r="K597" s="177"/>
      <c r="L597" s="177"/>
      <c r="M597" s="177"/>
      <c r="N597" s="177"/>
      <c r="O597" s="177"/>
      <c r="P597" s="177"/>
      <c r="Q597" s="177"/>
      <c r="R597" s="177"/>
      <c r="S597" s="177"/>
      <c r="T597" s="177"/>
      <c r="U597" s="177"/>
      <c r="V597" s="177"/>
      <c r="W597" s="177"/>
      <c r="X597" s="177"/>
    </row>
    <row r="598" ht="15.75" customHeight="1">
      <c r="A598" s="177"/>
      <c r="B598" s="177"/>
      <c r="C598" s="177"/>
      <c r="D598" s="177"/>
      <c r="E598" s="177"/>
      <c r="F598" s="177"/>
      <c r="G598" s="250"/>
      <c r="H598" s="177"/>
      <c r="I598" s="176"/>
      <c r="J598" s="177"/>
      <c r="K598" s="177"/>
      <c r="L598" s="177"/>
      <c r="M598" s="177"/>
      <c r="N598" s="177"/>
      <c r="O598" s="177"/>
      <c r="P598" s="177"/>
      <c r="Q598" s="177"/>
      <c r="R598" s="177"/>
      <c r="S598" s="177"/>
      <c r="T598" s="177"/>
      <c r="U598" s="177"/>
      <c r="V598" s="177"/>
      <c r="W598" s="177"/>
      <c r="X598" s="177"/>
    </row>
    <row r="599" ht="15.75" customHeight="1">
      <c r="A599" s="177"/>
      <c r="B599" s="177"/>
      <c r="C599" s="177"/>
      <c r="D599" s="177"/>
      <c r="E599" s="177"/>
      <c r="F599" s="177"/>
      <c r="G599" s="250"/>
      <c r="H599" s="177"/>
      <c r="I599" s="176"/>
      <c r="J599" s="177"/>
      <c r="K599" s="177"/>
      <c r="L599" s="177"/>
      <c r="M599" s="177"/>
      <c r="N599" s="177"/>
      <c r="O599" s="177"/>
      <c r="P599" s="177"/>
      <c r="Q599" s="177"/>
      <c r="R599" s="177"/>
      <c r="S599" s="177"/>
      <c r="T599" s="177"/>
      <c r="U599" s="177"/>
      <c r="V599" s="177"/>
      <c r="W599" s="177"/>
      <c r="X599" s="177"/>
    </row>
    <row r="600" ht="15.75" customHeight="1">
      <c r="A600" s="177"/>
      <c r="B600" s="177"/>
      <c r="C600" s="177"/>
      <c r="D600" s="177"/>
      <c r="E600" s="177"/>
      <c r="F600" s="177"/>
      <c r="G600" s="250"/>
      <c r="H600" s="177"/>
      <c r="I600" s="176"/>
      <c r="J600" s="177"/>
      <c r="K600" s="177"/>
      <c r="L600" s="177"/>
      <c r="M600" s="177"/>
      <c r="N600" s="177"/>
      <c r="O600" s="177"/>
      <c r="P600" s="177"/>
      <c r="Q600" s="177"/>
      <c r="R600" s="177"/>
      <c r="S600" s="177"/>
      <c r="T600" s="177"/>
      <c r="U600" s="177"/>
      <c r="V600" s="177"/>
      <c r="W600" s="177"/>
      <c r="X600" s="177"/>
    </row>
    <row r="601" ht="15.75" customHeight="1">
      <c r="A601" s="177"/>
      <c r="B601" s="177"/>
      <c r="C601" s="177"/>
      <c r="D601" s="177"/>
      <c r="E601" s="177"/>
      <c r="F601" s="177"/>
      <c r="G601" s="250"/>
      <c r="H601" s="177"/>
      <c r="I601" s="176"/>
      <c r="J601" s="177"/>
      <c r="K601" s="177"/>
      <c r="L601" s="177"/>
      <c r="M601" s="177"/>
      <c r="N601" s="177"/>
      <c r="O601" s="177"/>
      <c r="P601" s="177"/>
      <c r="Q601" s="177"/>
      <c r="R601" s="177"/>
      <c r="S601" s="177"/>
      <c r="T601" s="177"/>
      <c r="U601" s="177"/>
      <c r="V601" s="177"/>
      <c r="W601" s="177"/>
      <c r="X601" s="177"/>
    </row>
    <row r="602" ht="15.75" customHeight="1">
      <c r="A602" s="177"/>
      <c r="B602" s="177"/>
      <c r="C602" s="177"/>
      <c r="D602" s="177"/>
      <c r="E602" s="177"/>
      <c r="F602" s="177"/>
      <c r="G602" s="250"/>
      <c r="H602" s="177"/>
      <c r="I602" s="176"/>
      <c r="J602" s="177"/>
      <c r="K602" s="177"/>
      <c r="L602" s="177"/>
      <c r="M602" s="177"/>
      <c r="N602" s="177"/>
      <c r="O602" s="177"/>
      <c r="P602" s="177"/>
      <c r="Q602" s="177"/>
      <c r="R602" s="177"/>
      <c r="S602" s="177"/>
      <c r="T602" s="177"/>
      <c r="U602" s="177"/>
      <c r="V602" s="177"/>
      <c r="W602" s="177"/>
      <c r="X602" s="177"/>
    </row>
    <row r="603" ht="15.75" customHeight="1">
      <c r="A603" s="177"/>
      <c r="B603" s="177"/>
      <c r="C603" s="177"/>
      <c r="D603" s="177"/>
      <c r="E603" s="177"/>
      <c r="F603" s="177"/>
      <c r="G603" s="250"/>
      <c r="H603" s="177"/>
      <c r="I603" s="176"/>
      <c r="J603" s="177"/>
      <c r="K603" s="177"/>
      <c r="L603" s="177"/>
      <c r="M603" s="177"/>
      <c r="N603" s="177"/>
      <c r="O603" s="177"/>
      <c r="P603" s="177"/>
      <c r="Q603" s="177"/>
      <c r="R603" s="177"/>
      <c r="S603" s="177"/>
      <c r="T603" s="177"/>
      <c r="U603" s="177"/>
      <c r="V603" s="177"/>
      <c r="W603" s="177"/>
      <c r="X603" s="177"/>
    </row>
    <row r="604" ht="15.75" customHeight="1">
      <c r="A604" s="177"/>
      <c r="B604" s="177"/>
      <c r="C604" s="177"/>
      <c r="D604" s="177"/>
      <c r="E604" s="177"/>
      <c r="F604" s="177"/>
      <c r="G604" s="250"/>
      <c r="H604" s="177"/>
      <c r="I604" s="176"/>
      <c r="J604" s="177"/>
      <c r="K604" s="177"/>
      <c r="L604" s="177"/>
      <c r="M604" s="177"/>
      <c r="N604" s="177"/>
      <c r="O604" s="177"/>
      <c r="P604" s="177"/>
      <c r="Q604" s="177"/>
      <c r="R604" s="177"/>
      <c r="S604" s="177"/>
      <c r="T604" s="177"/>
      <c r="U604" s="177"/>
      <c r="V604" s="177"/>
      <c r="W604" s="177"/>
      <c r="X604" s="177"/>
    </row>
    <row r="605" ht="15.75" customHeight="1">
      <c r="A605" s="177"/>
      <c r="B605" s="177"/>
      <c r="C605" s="177"/>
      <c r="D605" s="177"/>
      <c r="E605" s="177"/>
      <c r="F605" s="177"/>
      <c r="G605" s="250"/>
      <c r="H605" s="177"/>
      <c r="I605" s="176"/>
      <c r="J605" s="177"/>
      <c r="K605" s="177"/>
      <c r="L605" s="177"/>
      <c r="M605" s="177"/>
      <c r="N605" s="177"/>
      <c r="O605" s="177"/>
      <c r="P605" s="177"/>
      <c r="Q605" s="177"/>
      <c r="R605" s="177"/>
      <c r="S605" s="177"/>
      <c r="T605" s="177"/>
      <c r="U605" s="177"/>
      <c r="V605" s="177"/>
      <c r="W605" s="177"/>
      <c r="X605" s="177"/>
    </row>
    <row r="606" ht="15.75" customHeight="1">
      <c r="A606" s="177"/>
      <c r="B606" s="177"/>
      <c r="C606" s="177"/>
      <c r="D606" s="177"/>
      <c r="E606" s="177"/>
      <c r="F606" s="177"/>
      <c r="G606" s="250"/>
      <c r="H606" s="177"/>
      <c r="I606" s="176"/>
      <c r="J606" s="177"/>
      <c r="K606" s="177"/>
      <c r="L606" s="177"/>
      <c r="M606" s="177"/>
      <c r="N606" s="177"/>
      <c r="O606" s="177"/>
      <c r="P606" s="177"/>
      <c r="Q606" s="177"/>
      <c r="R606" s="177"/>
      <c r="S606" s="177"/>
      <c r="T606" s="177"/>
      <c r="U606" s="177"/>
      <c r="V606" s="177"/>
      <c r="W606" s="177"/>
      <c r="X606" s="177"/>
    </row>
    <row r="607" ht="15.75" customHeight="1">
      <c r="A607" s="177"/>
      <c r="B607" s="177"/>
      <c r="C607" s="177"/>
      <c r="D607" s="177"/>
      <c r="E607" s="177"/>
      <c r="F607" s="177"/>
      <c r="G607" s="250"/>
      <c r="H607" s="177"/>
      <c r="I607" s="176"/>
      <c r="J607" s="177"/>
      <c r="K607" s="177"/>
      <c r="L607" s="177"/>
      <c r="M607" s="177"/>
      <c r="N607" s="177"/>
      <c r="O607" s="177"/>
      <c r="P607" s="177"/>
      <c r="Q607" s="177"/>
      <c r="R607" s="177"/>
      <c r="S607" s="177"/>
      <c r="T607" s="177"/>
      <c r="U607" s="177"/>
      <c r="V607" s="177"/>
      <c r="W607" s="177"/>
      <c r="X607" s="177"/>
    </row>
    <row r="608" ht="15.75" customHeight="1">
      <c r="A608" s="177"/>
      <c r="B608" s="177"/>
      <c r="C608" s="177"/>
      <c r="D608" s="177"/>
      <c r="E608" s="177"/>
      <c r="F608" s="177"/>
      <c r="G608" s="250"/>
      <c r="H608" s="177"/>
      <c r="I608" s="176"/>
      <c r="J608" s="177"/>
      <c r="K608" s="177"/>
      <c r="L608" s="177"/>
      <c r="M608" s="177"/>
      <c r="N608" s="177"/>
      <c r="O608" s="177"/>
      <c r="P608" s="177"/>
      <c r="Q608" s="177"/>
      <c r="R608" s="177"/>
      <c r="S608" s="177"/>
      <c r="T608" s="177"/>
      <c r="U608" s="177"/>
      <c r="V608" s="177"/>
      <c r="W608" s="177"/>
      <c r="X608" s="177"/>
    </row>
    <row r="609" ht="15.75" customHeight="1">
      <c r="A609" s="177"/>
      <c r="B609" s="177"/>
      <c r="C609" s="177"/>
      <c r="D609" s="177"/>
      <c r="E609" s="177"/>
      <c r="F609" s="177"/>
      <c r="G609" s="250"/>
      <c r="H609" s="177"/>
      <c r="I609" s="176"/>
      <c r="J609" s="177"/>
      <c r="K609" s="177"/>
      <c r="L609" s="177"/>
      <c r="M609" s="177"/>
      <c r="N609" s="177"/>
      <c r="O609" s="177"/>
      <c r="P609" s="177"/>
      <c r="Q609" s="177"/>
      <c r="R609" s="177"/>
      <c r="S609" s="177"/>
      <c r="T609" s="177"/>
      <c r="U609" s="177"/>
      <c r="V609" s="177"/>
      <c r="W609" s="177"/>
      <c r="X609" s="177"/>
    </row>
    <row r="610" ht="15.75" customHeight="1">
      <c r="A610" s="177"/>
      <c r="B610" s="177"/>
      <c r="C610" s="177"/>
      <c r="D610" s="177"/>
      <c r="E610" s="177"/>
      <c r="F610" s="177"/>
      <c r="G610" s="250"/>
      <c r="H610" s="177"/>
      <c r="I610" s="176"/>
      <c r="J610" s="177"/>
      <c r="K610" s="177"/>
      <c r="L610" s="177"/>
      <c r="M610" s="177"/>
      <c r="N610" s="177"/>
      <c r="O610" s="177"/>
      <c r="P610" s="177"/>
      <c r="Q610" s="177"/>
      <c r="R610" s="177"/>
      <c r="S610" s="177"/>
      <c r="T610" s="177"/>
      <c r="U610" s="177"/>
      <c r="V610" s="177"/>
      <c r="W610" s="177"/>
      <c r="X610" s="177"/>
    </row>
    <row r="611" ht="15.75" customHeight="1">
      <c r="A611" s="177"/>
      <c r="B611" s="177"/>
      <c r="C611" s="177"/>
      <c r="D611" s="177"/>
      <c r="E611" s="177"/>
      <c r="F611" s="177"/>
      <c r="G611" s="250"/>
      <c r="H611" s="177"/>
      <c r="I611" s="176"/>
      <c r="J611" s="177"/>
      <c r="K611" s="177"/>
      <c r="L611" s="177"/>
      <c r="M611" s="177"/>
      <c r="N611" s="177"/>
      <c r="O611" s="177"/>
      <c r="P611" s="177"/>
      <c r="Q611" s="177"/>
      <c r="R611" s="177"/>
      <c r="S611" s="177"/>
      <c r="T611" s="177"/>
      <c r="U611" s="177"/>
      <c r="V611" s="177"/>
      <c r="W611" s="177"/>
      <c r="X611" s="177"/>
    </row>
    <row r="612" ht="15.75" customHeight="1">
      <c r="A612" s="177"/>
      <c r="B612" s="177"/>
      <c r="C612" s="177"/>
      <c r="D612" s="177"/>
      <c r="E612" s="177"/>
      <c r="F612" s="177"/>
      <c r="G612" s="250"/>
      <c r="H612" s="177"/>
      <c r="I612" s="176"/>
      <c r="J612" s="177"/>
      <c r="K612" s="177"/>
      <c r="L612" s="177"/>
      <c r="M612" s="177"/>
      <c r="N612" s="177"/>
      <c r="O612" s="177"/>
      <c r="P612" s="177"/>
      <c r="Q612" s="177"/>
      <c r="R612" s="177"/>
      <c r="S612" s="177"/>
      <c r="T612" s="177"/>
      <c r="U612" s="177"/>
      <c r="V612" s="177"/>
      <c r="W612" s="177"/>
      <c r="X612" s="177"/>
    </row>
    <row r="613" ht="15.75" customHeight="1">
      <c r="A613" s="177"/>
      <c r="B613" s="177"/>
      <c r="C613" s="177"/>
      <c r="D613" s="177"/>
      <c r="E613" s="177"/>
      <c r="F613" s="177"/>
      <c r="G613" s="250"/>
      <c r="H613" s="177"/>
      <c r="I613" s="176"/>
      <c r="J613" s="177"/>
      <c r="K613" s="177"/>
      <c r="L613" s="177"/>
      <c r="M613" s="177"/>
      <c r="N613" s="177"/>
      <c r="O613" s="177"/>
      <c r="P613" s="177"/>
      <c r="Q613" s="177"/>
      <c r="R613" s="177"/>
      <c r="S613" s="177"/>
      <c r="T613" s="177"/>
      <c r="U613" s="177"/>
      <c r="V613" s="177"/>
      <c r="W613" s="177"/>
      <c r="X613" s="177"/>
    </row>
    <row r="614" ht="15.75" customHeight="1">
      <c r="A614" s="177"/>
      <c r="B614" s="177"/>
      <c r="C614" s="177"/>
      <c r="D614" s="177"/>
      <c r="E614" s="177"/>
      <c r="F614" s="177"/>
      <c r="G614" s="250"/>
      <c r="H614" s="177"/>
      <c r="I614" s="176"/>
      <c r="J614" s="177"/>
      <c r="K614" s="177"/>
      <c r="L614" s="177"/>
      <c r="M614" s="177"/>
      <c r="N614" s="177"/>
      <c r="O614" s="177"/>
      <c r="P614" s="177"/>
      <c r="Q614" s="177"/>
      <c r="R614" s="177"/>
      <c r="S614" s="177"/>
      <c r="T614" s="177"/>
      <c r="U614" s="177"/>
      <c r="V614" s="177"/>
      <c r="W614" s="177"/>
      <c r="X614" s="177"/>
    </row>
    <row r="615" ht="15.75" customHeight="1">
      <c r="A615" s="177"/>
      <c r="B615" s="177"/>
      <c r="C615" s="177"/>
      <c r="D615" s="177"/>
      <c r="E615" s="177"/>
      <c r="F615" s="177"/>
      <c r="G615" s="250"/>
      <c r="H615" s="177"/>
      <c r="I615" s="176"/>
      <c r="J615" s="177"/>
      <c r="K615" s="177"/>
      <c r="L615" s="177"/>
      <c r="M615" s="177"/>
      <c r="N615" s="177"/>
      <c r="O615" s="177"/>
      <c r="P615" s="177"/>
      <c r="Q615" s="177"/>
      <c r="R615" s="177"/>
      <c r="S615" s="177"/>
      <c r="T615" s="177"/>
      <c r="U615" s="177"/>
      <c r="V615" s="177"/>
      <c r="W615" s="177"/>
      <c r="X615" s="177"/>
    </row>
    <row r="616" ht="15.75" customHeight="1">
      <c r="A616" s="177"/>
      <c r="B616" s="177"/>
      <c r="C616" s="177"/>
      <c r="D616" s="177"/>
      <c r="E616" s="177"/>
      <c r="F616" s="177"/>
      <c r="G616" s="250"/>
      <c r="H616" s="177"/>
      <c r="I616" s="176"/>
      <c r="J616" s="177"/>
      <c r="K616" s="177"/>
      <c r="L616" s="177"/>
      <c r="M616" s="177"/>
      <c r="N616" s="177"/>
      <c r="O616" s="177"/>
      <c r="P616" s="177"/>
      <c r="Q616" s="177"/>
      <c r="R616" s="177"/>
      <c r="S616" s="177"/>
      <c r="T616" s="177"/>
      <c r="U616" s="177"/>
      <c r="V616" s="177"/>
      <c r="W616" s="177"/>
      <c r="X616" s="177"/>
    </row>
    <row r="617" ht="15.75" customHeight="1">
      <c r="A617" s="177"/>
      <c r="B617" s="177"/>
      <c r="C617" s="177"/>
      <c r="D617" s="177"/>
      <c r="E617" s="177"/>
      <c r="F617" s="177"/>
      <c r="G617" s="250"/>
      <c r="H617" s="177"/>
      <c r="I617" s="176"/>
      <c r="J617" s="177"/>
      <c r="K617" s="177"/>
      <c r="L617" s="177"/>
      <c r="M617" s="177"/>
      <c r="N617" s="177"/>
      <c r="O617" s="177"/>
      <c r="P617" s="177"/>
      <c r="Q617" s="177"/>
      <c r="R617" s="177"/>
      <c r="S617" s="177"/>
      <c r="T617" s="177"/>
      <c r="U617" s="177"/>
      <c r="V617" s="177"/>
      <c r="W617" s="177"/>
      <c r="X617" s="177"/>
    </row>
    <row r="618" ht="15.75" customHeight="1">
      <c r="A618" s="177"/>
      <c r="B618" s="177"/>
      <c r="C618" s="177"/>
      <c r="D618" s="177"/>
      <c r="E618" s="177"/>
      <c r="F618" s="177"/>
      <c r="G618" s="250"/>
      <c r="H618" s="177"/>
      <c r="I618" s="176"/>
      <c r="J618" s="177"/>
      <c r="K618" s="177"/>
      <c r="L618" s="177"/>
      <c r="M618" s="177"/>
      <c r="N618" s="177"/>
      <c r="O618" s="177"/>
      <c r="P618" s="177"/>
      <c r="Q618" s="177"/>
      <c r="R618" s="177"/>
      <c r="S618" s="177"/>
      <c r="T618" s="177"/>
      <c r="U618" s="177"/>
      <c r="V618" s="177"/>
      <c r="W618" s="177"/>
      <c r="X618" s="177"/>
    </row>
    <row r="619" ht="15.75" customHeight="1">
      <c r="A619" s="177"/>
      <c r="B619" s="177"/>
      <c r="C619" s="177"/>
      <c r="D619" s="177"/>
      <c r="E619" s="177"/>
      <c r="F619" s="177"/>
      <c r="G619" s="250"/>
      <c r="H619" s="177"/>
      <c r="I619" s="176"/>
      <c r="J619" s="177"/>
      <c r="K619" s="177"/>
      <c r="L619" s="177"/>
      <c r="M619" s="177"/>
      <c r="N619" s="177"/>
      <c r="O619" s="177"/>
      <c r="P619" s="177"/>
      <c r="Q619" s="177"/>
      <c r="R619" s="177"/>
      <c r="S619" s="177"/>
      <c r="T619" s="177"/>
      <c r="U619" s="177"/>
      <c r="V619" s="177"/>
      <c r="W619" s="177"/>
      <c r="X619" s="177"/>
    </row>
    <row r="620" ht="15.75" customHeight="1">
      <c r="A620" s="177"/>
      <c r="B620" s="177"/>
      <c r="C620" s="177"/>
      <c r="D620" s="177"/>
      <c r="E620" s="177"/>
      <c r="F620" s="177"/>
      <c r="G620" s="250"/>
      <c r="H620" s="177"/>
      <c r="I620" s="176"/>
      <c r="J620" s="177"/>
      <c r="K620" s="177"/>
      <c r="L620" s="177"/>
      <c r="M620" s="177"/>
      <c r="N620" s="177"/>
      <c r="O620" s="177"/>
      <c r="P620" s="177"/>
      <c r="Q620" s="177"/>
      <c r="R620" s="177"/>
      <c r="S620" s="177"/>
      <c r="T620" s="177"/>
      <c r="U620" s="177"/>
      <c r="V620" s="177"/>
      <c r="W620" s="177"/>
      <c r="X620" s="177"/>
    </row>
    <row r="621" ht="15.75" customHeight="1">
      <c r="A621" s="177"/>
      <c r="B621" s="177"/>
      <c r="C621" s="177"/>
      <c r="D621" s="177"/>
      <c r="E621" s="177"/>
      <c r="F621" s="177"/>
      <c r="G621" s="250"/>
      <c r="H621" s="177"/>
      <c r="I621" s="176"/>
      <c r="J621" s="177"/>
      <c r="K621" s="177"/>
      <c r="L621" s="177"/>
      <c r="M621" s="177"/>
      <c r="N621" s="177"/>
      <c r="O621" s="177"/>
      <c r="P621" s="177"/>
      <c r="Q621" s="177"/>
      <c r="R621" s="177"/>
      <c r="S621" s="177"/>
      <c r="T621" s="177"/>
      <c r="U621" s="177"/>
      <c r="V621" s="177"/>
      <c r="W621" s="177"/>
      <c r="X621" s="177"/>
    </row>
    <row r="622" ht="15.75" customHeight="1">
      <c r="A622" s="177"/>
      <c r="B622" s="177"/>
      <c r="C622" s="177"/>
      <c r="D622" s="177"/>
      <c r="E622" s="177"/>
      <c r="F622" s="177"/>
      <c r="G622" s="250"/>
      <c r="H622" s="177"/>
      <c r="I622" s="176"/>
      <c r="J622" s="177"/>
      <c r="K622" s="177"/>
      <c r="L622" s="177"/>
      <c r="M622" s="177"/>
      <c r="N622" s="177"/>
      <c r="O622" s="177"/>
      <c r="P622" s="177"/>
      <c r="Q622" s="177"/>
      <c r="R622" s="177"/>
      <c r="S622" s="177"/>
      <c r="T622" s="177"/>
      <c r="U622" s="177"/>
      <c r="V622" s="177"/>
      <c r="W622" s="177"/>
      <c r="X622" s="177"/>
    </row>
    <row r="623" ht="15.75" customHeight="1">
      <c r="A623" s="177"/>
      <c r="B623" s="177"/>
      <c r="C623" s="177"/>
      <c r="D623" s="177"/>
      <c r="E623" s="177"/>
      <c r="F623" s="177"/>
      <c r="G623" s="250"/>
      <c r="H623" s="177"/>
      <c r="I623" s="176"/>
      <c r="J623" s="177"/>
      <c r="K623" s="177"/>
      <c r="L623" s="177"/>
      <c r="M623" s="177"/>
      <c r="N623" s="177"/>
      <c r="O623" s="177"/>
      <c r="P623" s="177"/>
      <c r="Q623" s="177"/>
      <c r="R623" s="177"/>
      <c r="S623" s="177"/>
      <c r="T623" s="177"/>
      <c r="U623" s="177"/>
      <c r="V623" s="177"/>
      <c r="W623" s="177"/>
      <c r="X623" s="177"/>
    </row>
    <row r="624" ht="15.75" customHeight="1">
      <c r="A624" s="177"/>
      <c r="B624" s="177"/>
      <c r="C624" s="177"/>
      <c r="D624" s="177"/>
      <c r="E624" s="177"/>
      <c r="F624" s="177"/>
      <c r="G624" s="250"/>
      <c r="H624" s="177"/>
      <c r="I624" s="176"/>
      <c r="J624" s="177"/>
      <c r="K624" s="177"/>
      <c r="L624" s="177"/>
      <c r="M624" s="177"/>
      <c r="N624" s="177"/>
      <c r="O624" s="177"/>
      <c r="P624" s="177"/>
      <c r="Q624" s="177"/>
      <c r="R624" s="177"/>
      <c r="S624" s="177"/>
      <c r="T624" s="177"/>
      <c r="U624" s="177"/>
      <c r="V624" s="177"/>
      <c r="W624" s="177"/>
      <c r="X624" s="177"/>
    </row>
    <row r="625" ht="15.75" customHeight="1">
      <c r="A625" s="177"/>
      <c r="B625" s="177"/>
      <c r="C625" s="177"/>
      <c r="D625" s="177"/>
      <c r="E625" s="177"/>
      <c r="F625" s="177"/>
      <c r="G625" s="250"/>
      <c r="H625" s="177"/>
      <c r="I625" s="176"/>
      <c r="J625" s="177"/>
      <c r="K625" s="177"/>
      <c r="L625" s="177"/>
      <c r="M625" s="177"/>
      <c r="N625" s="177"/>
      <c r="O625" s="177"/>
      <c r="P625" s="177"/>
      <c r="Q625" s="177"/>
      <c r="R625" s="177"/>
      <c r="S625" s="177"/>
      <c r="T625" s="177"/>
      <c r="U625" s="177"/>
      <c r="V625" s="177"/>
      <c r="W625" s="177"/>
      <c r="X625" s="177"/>
    </row>
    <row r="626" ht="15.75" customHeight="1">
      <c r="A626" s="177"/>
      <c r="B626" s="177"/>
      <c r="C626" s="177"/>
      <c r="D626" s="177"/>
      <c r="E626" s="177"/>
      <c r="F626" s="177"/>
      <c r="G626" s="250"/>
      <c r="H626" s="177"/>
      <c r="I626" s="176"/>
      <c r="J626" s="177"/>
      <c r="K626" s="177"/>
      <c r="L626" s="177"/>
      <c r="M626" s="177"/>
      <c r="N626" s="177"/>
      <c r="O626" s="177"/>
      <c r="P626" s="177"/>
      <c r="Q626" s="177"/>
      <c r="R626" s="177"/>
      <c r="S626" s="177"/>
      <c r="T626" s="177"/>
      <c r="U626" s="177"/>
      <c r="V626" s="177"/>
      <c r="W626" s="177"/>
      <c r="X626" s="177"/>
    </row>
    <row r="627" ht="15.75" customHeight="1">
      <c r="A627" s="177"/>
      <c r="B627" s="177"/>
      <c r="C627" s="177"/>
      <c r="D627" s="177"/>
      <c r="E627" s="177"/>
      <c r="F627" s="177"/>
      <c r="G627" s="250"/>
      <c r="H627" s="177"/>
      <c r="I627" s="176"/>
      <c r="J627" s="177"/>
      <c r="K627" s="177"/>
      <c r="L627" s="177"/>
      <c r="M627" s="177"/>
      <c r="N627" s="177"/>
      <c r="O627" s="177"/>
      <c r="P627" s="177"/>
      <c r="Q627" s="177"/>
      <c r="R627" s="177"/>
      <c r="S627" s="177"/>
      <c r="T627" s="177"/>
      <c r="U627" s="177"/>
      <c r="V627" s="177"/>
      <c r="W627" s="177"/>
      <c r="X627" s="177"/>
    </row>
    <row r="628" ht="15.75" customHeight="1">
      <c r="A628" s="177"/>
      <c r="B628" s="177"/>
      <c r="C628" s="177"/>
      <c r="D628" s="177"/>
      <c r="E628" s="177"/>
      <c r="F628" s="177"/>
      <c r="G628" s="250"/>
      <c r="H628" s="177"/>
      <c r="I628" s="176"/>
      <c r="J628" s="177"/>
      <c r="K628" s="177"/>
      <c r="L628" s="177"/>
      <c r="M628" s="177"/>
      <c r="N628" s="177"/>
      <c r="O628" s="177"/>
      <c r="P628" s="177"/>
      <c r="Q628" s="177"/>
      <c r="R628" s="177"/>
      <c r="S628" s="177"/>
      <c r="T628" s="177"/>
      <c r="U628" s="177"/>
      <c r="V628" s="177"/>
      <c r="W628" s="177"/>
      <c r="X628" s="177"/>
    </row>
    <row r="629" ht="15.75" customHeight="1">
      <c r="A629" s="177"/>
      <c r="B629" s="177"/>
      <c r="C629" s="177"/>
      <c r="D629" s="177"/>
      <c r="E629" s="177"/>
      <c r="F629" s="177"/>
      <c r="G629" s="250"/>
      <c r="H629" s="177"/>
      <c r="I629" s="176"/>
      <c r="J629" s="177"/>
      <c r="K629" s="177"/>
      <c r="L629" s="177"/>
      <c r="M629" s="177"/>
      <c r="N629" s="177"/>
      <c r="O629" s="177"/>
      <c r="P629" s="177"/>
      <c r="Q629" s="177"/>
      <c r="R629" s="177"/>
      <c r="S629" s="177"/>
      <c r="T629" s="177"/>
      <c r="U629" s="177"/>
      <c r="V629" s="177"/>
      <c r="W629" s="177"/>
      <c r="X629" s="177"/>
    </row>
    <row r="630" ht="15.75" customHeight="1">
      <c r="A630" s="177"/>
      <c r="B630" s="177"/>
      <c r="C630" s="177"/>
      <c r="D630" s="177"/>
      <c r="E630" s="177"/>
      <c r="F630" s="177"/>
      <c r="G630" s="250"/>
      <c r="H630" s="177"/>
      <c r="I630" s="176"/>
      <c r="J630" s="177"/>
      <c r="K630" s="177"/>
      <c r="L630" s="177"/>
      <c r="M630" s="177"/>
      <c r="N630" s="177"/>
      <c r="O630" s="177"/>
      <c r="P630" s="177"/>
      <c r="Q630" s="177"/>
      <c r="R630" s="177"/>
      <c r="S630" s="177"/>
      <c r="T630" s="177"/>
      <c r="U630" s="177"/>
      <c r="V630" s="177"/>
      <c r="W630" s="177"/>
      <c r="X630" s="177"/>
    </row>
    <row r="631" ht="15.75" customHeight="1">
      <c r="A631" s="177"/>
      <c r="B631" s="177"/>
      <c r="C631" s="177"/>
      <c r="D631" s="177"/>
      <c r="E631" s="177"/>
      <c r="F631" s="177"/>
      <c r="G631" s="250"/>
      <c r="H631" s="177"/>
      <c r="I631" s="176"/>
      <c r="J631" s="177"/>
      <c r="K631" s="177"/>
      <c r="L631" s="177"/>
      <c r="M631" s="177"/>
      <c r="N631" s="177"/>
      <c r="O631" s="177"/>
      <c r="P631" s="177"/>
      <c r="Q631" s="177"/>
      <c r="R631" s="177"/>
      <c r="S631" s="177"/>
      <c r="T631" s="177"/>
      <c r="U631" s="177"/>
      <c r="V631" s="177"/>
      <c r="W631" s="177"/>
      <c r="X631" s="177"/>
    </row>
    <row r="632" ht="15.75" customHeight="1">
      <c r="A632" s="177"/>
      <c r="B632" s="177"/>
      <c r="C632" s="177"/>
      <c r="D632" s="177"/>
      <c r="E632" s="177"/>
      <c r="F632" s="177"/>
      <c r="G632" s="250"/>
      <c r="H632" s="177"/>
      <c r="I632" s="176"/>
      <c r="J632" s="177"/>
      <c r="K632" s="177"/>
      <c r="L632" s="177"/>
      <c r="M632" s="177"/>
      <c r="N632" s="177"/>
      <c r="O632" s="177"/>
      <c r="P632" s="177"/>
      <c r="Q632" s="177"/>
      <c r="R632" s="177"/>
      <c r="S632" s="177"/>
      <c r="T632" s="177"/>
      <c r="U632" s="177"/>
      <c r="V632" s="177"/>
      <c r="W632" s="177"/>
      <c r="X632" s="177"/>
    </row>
    <row r="633" ht="15.75" customHeight="1">
      <c r="A633" s="177"/>
      <c r="B633" s="177"/>
      <c r="C633" s="177"/>
      <c r="D633" s="177"/>
      <c r="E633" s="177"/>
      <c r="F633" s="177"/>
      <c r="G633" s="250"/>
      <c r="H633" s="177"/>
      <c r="I633" s="176"/>
      <c r="J633" s="177"/>
      <c r="K633" s="177"/>
      <c r="L633" s="177"/>
      <c r="M633" s="177"/>
      <c r="N633" s="177"/>
      <c r="O633" s="177"/>
      <c r="P633" s="177"/>
      <c r="Q633" s="177"/>
      <c r="R633" s="177"/>
      <c r="S633" s="177"/>
      <c r="T633" s="177"/>
      <c r="U633" s="177"/>
      <c r="V633" s="177"/>
      <c r="W633" s="177"/>
      <c r="X633" s="177"/>
    </row>
    <row r="634" ht="15.75" customHeight="1">
      <c r="A634" s="177"/>
      <c r="B634" s="177"/>
      <c r="C634" s="177"/>
      <c r="D634" s="177"/>
      <c r="E634" s="177"/>
      <c r="F634" s="177"/>
      <c r="G634" s="250"/>
      <c r="H634" s="177"/>
      <c r="I634" s="176"/>
      <c r="J634" s="177"/>
      <c r="K634" s="177"/>
      <c r="L634" s="177"/>
      <c r="M634" s="177"/>
      <c r="N634" s="177"/>
      <c r="O634" s="177"/>
      <c r="P634" s="177"/>
      <c r="Q634" s="177"/>
      <c r="R634" s="177"/>
      <c r="S634" s="177"/>
      <c r="T634" s="177"/>
      <c r="U634" s="177"/>
      <c r="V634" s="177"/>
      <c r="W634" s="177"/>
      <c r="X634" s="177"/>
    </row>
    <row r="635" ht="15.75" customHeight="1">
      <c r="A635" s="177"/>
      <c r="B635" s="177"/>
      <c r="C635" s="177"/>
      <c r="D635" s="177"/>
      <c r="E635" s="177"/>
      <c r="F635" s="177"/>
      <c r="G635" s="250"/>
      <c r="H635" s="177"/>
      <c r="I635" s="176"/>
      <c r="J635" s="177"/>
      <c r="K635" s="177"/>
      <c r="L635" s="177"/>
      <c r="M635" s="177"/>
      <c r="N635" s="177"/>
      <c r="O635" s="177"/>
      <c r="P635" s="177"/>
      <c r="Q635" s="177"/>
      <c r="R635" s="177"/>
      <c r="S635" s="177"/>
      <c r="T635" s="177"/>
      <c r="U635" s="177"/>
      <c r="V635" s="177"/>
      <c r="W635" s="177"/>
      <c r="X635" s="177"/>
    </row>
    <row r="636" ht="15.75" customHeight="1">
      <c r="A636" s="177"/>
      <c r="B636" s="177"/>
      <c r="C636" s="177"/>
      <c r="D636" s="177"/>
      <c r="E636" s="177"/>
      <c r="F636" s="177"/>
      <c r="G636" s="250"/>
      <c r="H636" s="177"/>
      <c r="I636" s="176"/>
      <c r="J636" s="177"/>
      <c r="K636" s="177"/>
      <c r="L636" s="177"/>
      <c r="M636" s="177"/>
      <c r="N636" s="177"/>
      <c r="O636" s="177"/>
      <c r="P636" s="177"/>
      <c r="Q636" s="177"/>
      <c r="R636" s="177"/>
      <c r="S636" s="177"/>
      <c r="T636" s="177"/>
      <c r="U636" s="177"/>
      <c r="V636" s="177"/>
      <c r="W636" s="177"/>
      <c r="X636" s="177"/>
    </row>
    <row r="637" ht="15.75" customHeight="1">
      <c r="A637" s="177"/>
      <c r="B637" s="177"/>
      <c r="C637" s="177"/>
      <c r="D637" s="177"/>
      <c r="E637" s="177"/>
      <c r="F637" s="177"/>
      <c r="G637" s="250"/>
      <c r="H637" s="177"/>
      <c r="I637" s="176"/>
      <c r="J637" s="177"/>
      <c r="K637" s="177"/>
      <c r="L637" s="177"/>
      <c r="M637" s="177"/>
      <c r="N637" s="177"/>
      <c r="O637" s="177"/>
      <c r="P637" s="177"/>
      <c r="Q637" s="177"/>
      <c r="R637" s="177"/>
      <c r="S637" s="177"/>
      <c r="T637" s="177"/>
      <c r="U637" s="177"/>
      <c r="V637" s="177"/>
      <c r="W637" s="177"/>
      <c r="X637" s="177"/>
    </row>
    <row r="638" ht="15.75" customHeight="1">
      <c r="A638" s="177"/>
      <c r="B638" s="177"/>
      <c r="C638" s="177"/>
      <c r="D638" s="177"/>
      <c r="E638" s="177"/>
      <c r="F638" s="177"/>
      <c r="G638" s="250"/>
      <c r="H638" s="177"/>
      <c r="I638" s="176"/>
      <c r="J638" s="177"/>
      <c r="K638" s="177"/>
      <c r="L638" s="177"/>
      <c r="M638" s="177"/>
      <c r="N638" s="177"/>
      <c r="O638" s="177"/>
      <c r="P638" s="177"/>
      <c r="Q638" s="177"/>
      <c r="R638" s="177"/>
      <c r="S638" s="177"/>
      <c r="T638" s="177"/>
      <c r="U638" s="177"/>
      <c r="V638" s="177"/>
      <c r="W638" s="177"/>
      <c r="X638" s="177"/>
    </row>
    <row r="639" ht="15.75" customHeight="1">
      <c r="A639" s="177"/>
      <c r="B639" s="177"/>
      <c r="C639" s="177"/>
      <c r="D639" s="177"/>
      <c r="E639" s="177"/>
      <c r="F639" s="177"/>
      <c r="G639" s="250"/>
      <c r="H639" s="177"/>
      <c r="I639" s="176"/>
      <c r="J639" s="177"/>
      <c r="K639" s="177"/>
      <c r="L639" s="177"/>
      <c r="M639" s="177"/>
      <c r="N639" s="177"/>
      <c r="O639" s="177"/>
      <c r="P639" s="177"/>
      <c r="Q639" s="177"/>
      <c r="R639" s="177"/>
      <c r="S639" s="177"/>
      <c r="T639" s="177"/>
      <c r="U639" s="177"/>
      <c r="V639" s="177"/>
      <c r="W639" s="177"/>
      <c r="X639" s="177"/>
    </row>
    <row r="640" ht="15.75" customHeight="1">
      <c r="A640" s="177"/>
      <c r="B640" s="177"/>
      <c r="C640" s="177"/>
      <c r="D640" s="177"/>
      <c r="E640" s="177"/>
      <c r="F640" s="177"/>
      <c r="G640" s="250"/>
      <c r="H640" s="177"/>
      <c r="I640" s="176"/>
      <c r="J640" s="177"/>
      <c r="K640" s="177"/>
      <c r="L640" s="177"/>
      <c r="M640" s="177"/>
      <c r="N640" s="177"/>
      <c r="O640" s="177"/>
      <c r="P640" s="177"/>
      <c r="Q640" s="177"/>
      <c r="R640" s="177"/>
      <c r="S640" s="177"/>
      <c r="T640" s="177"/>
      <c r="U640" s="177"/>
      <c r="V640" s="177"/>
      <c r="W640" s="177"/>
      <c r="X640" s="177"/>
    </row>
    <row r="641" ht="15.75" customHeight="1">
      <c r="A641" s="177"/>
      <c r="B641" s="177"/>
      <c r="C641" s="177"/>
      <c r="D641" s="177"/>
      <c r="E641" s="177"/>
      <c r="F641" s="177"/>
      <c r="G641" s="250"/>
      <c r="H641" s="177"/>
      <c r="I641" s="176"/>
      <c r="J641" s="177"/>
      <c r="K641" s="177"/>
      <c r="L641" s="177"/>
      <c r="M641" s="177"/>
      <c r="N641" s="177"/>
      <c r="O641" s="177"/>
      <c r="P641" s="177"/>
      <c r="Q641" s="177"/>
      <c r="R641" s="177"/>
      <c r="S641" s="177"/>
      <c r="T641" s="177"/>
      <c r="U641" s="177"/>
      <c r="V641" s="177"/>
      <c r="W641" s="177"/>
      <c r="X641" s="177"/>
    </row>
    <row r="642" ht="15.75" customHeight="1">
      <c r="A642" s="177"/>
      <c r="B642" s="177"/>
      <c r="C642" s="177"/>
      <c r="D642" s="177"/>
      <c r="E642" s="177"/>
      <c r="F642" s="177"/>
      <c r="G642" s="250"/>
      <c r="H642" s="177"/>
      <c r="I642" s="176"/>
      <c r="J642" s="177"/>
      <c r="K642" s="177"/>
      <c r="L642" s="177"/>
      <c r="M642" s="177"/>
      <c r="N642" s="177"/>
      <c r="O642" s="177"/>
      <c r="P642" s="177"/>
      <c r="Q642" s="177"/>
      <c r="R642" s="177"/>
      <c r="S642" s="177"/>
      <c r="T642" s="177"/>
      <c r="U642" s="177"/>
      <c r="V642" s="177"/>
      <c r="W642" s="177"/>
      <c r="X642" s="177"/>
    </row>
    <row r="643" ht="15.75" customHeight="1">
      <c r="A643" s="177"/>
      <c r="B643" s="177"/>
      <c r="C643" s="177"/>
      <c r="D643" s="177"/>
      <c r="E643" s="177"/>
      <c r="F643" s="177"/>
      <c r="G643" s="250"/>
      <c r="H643" s="177"/>
      <c r="I643" s="176"/>
      <c r="J643" s="177"/>
      <c r="K643" s="177"/>
      <c r="L643" s="177"/>
      <c r="M643" s="177"/>
      <c r="N643" s="177"/>
      <c r="O643" s="177"/>
      <c r="P643" s="177"/>
      <c r="Q643" s="177"/>
      <c r="R643" s="177"/>
      <c r="S643" s="177"/>
      <c r="T643" s="177"/>
      <c r="U643" s="177"/>
      <c r="V643" s="177"/>
      <c r="W643" s="177"/>
      <c r="X643" s="177"/>
    </row>
    <row r="644" ht="15.75" customHeight="1">
      <c r="A644" s="177"/>
      <c r="B644" s="177"/>
      <c r="C644" s="177"/>
      <c r="D644" s="177"/>
      <c r="E644" s="177"/>
      <c r="F644" s="177"/>
      <c r="G644" s="250"/>
      <c r="H644" s="177"/>
      <c r="I644" s="176"/>
      <c r="J644" s="177"/>
      <c r="K644" s="177"/>
      <c r="L644" s="177"/>
      <c r="M644" s="177"/>
      <c r="N644" s="177"/>
      <c r="O644" s="177"/>
      <c r="P644" s="177"/>
      <c r="Q644" s="177"/>
      <c r="R644" s="177"/>
      <c r="S644" s="177"/>
      <c r="T644" s="177"/>
      <c r="U644" s="177"/>
      <c r="V644" s="177"/>
      <c r="W644" s="177"/>
      <c r="X644" s="177"/>
    </row>
    <row r="645" ht="15.75" customHeight="1">
      <c r="A645" s="177"/>
      <c r="B645" s="177"/>
      <c r="C645" s="177"/>
      <c r="D645" s="177"/>
      <c r="E645" s="177"/>
      <c r="F645" s="177"/>
      <c r="G645" s="250"/>
      <c r="H645" s="177"/>
      <c r="I645" s="176"/>
      <c r="J645" s="177"/>
      <c r="K645" s="177"/>
      <c r="L645" s="177"/>
      <c r="M645" s="177"/>
      <c r="N645" s="177"/>
      <c r="O645" s="177"/>
      <c r="P645" s="177"/>
      <c r="Q645" s="177"/>
      <c r="R645" s="177"/>
      <c r="S645" s="177"/>
      <c r="T645" s="177"/>
      <c r="U645" s="177"/>
      <c r="V645" s="177"/>
      <c r="W645" s="177"/>
      <c r="X645" s="177"/>
    </row>
    <row r="646" ht="15.75" customHeight="1">
      <c r="A646" s="177"/>
      <c r="B646" s="177"/>
      <c r="C646" s="177"/>
      <c r="D646" s="177"/>
      <c r="E646" s="177"/>
      <c r="F646" s="177"/>
      <c r="G646" s="250"/>
      <c r="H646" s="177"/>
      <c r="I646" s="176"/>
      <c r="J646" s="177"/>
      <c r="K646" s="177"/>
      <c r="L646" s="177"/>
      <c r="M646" s="177"/>
      <c r="N646" s="177"/>
      <c r="O646" s="177"/>
      <c r="P646" s="177"/>
      <c r="Q646" s="177"/>
      <c r="R646" s="177"/>
      <c r="S646" s="177"/>
      <c r="T646" s="177"/>
      <c r="U646" s="177"/>
      <c r="V646" s="177"/>
      <c r="W646" s="177"/>
      <c r="X646" s="177"/>
    </row>
    <row r="647" ht="15.75" customHeight="1">
      <c r="A647" s="177"/>
      <c r="B647" s="177"/>
      <c r="C647" s="177"/>
      <c r="D647" s="177"/>
      <c r="E647" s="177"/>
      <c r="F647" s="177"/>
      <c r="G647" s="250"/>
      <c r="H647" s="177"/>
      <c r="I647" s="176"/>
      <c r="J647" s="177"/>
      <c r="K647" s="177"/>
      <c r="L647" s="177"/>
      <c r="M647" s="177"/>
      <c r="N647" s="177"/>
      <c r="O647" s="177"/>
      <c r="P647" s="177"/>
      <c r="Q647" s="177"/>
      <c r="R647" s="177"/>
      <c r="S647" s="177"/>
      <c r="T647" s="177"/>
      <c r="U647" s="177"/>
      <c r="V647" s="177"/>
      <c r="W647" s="177"/>
      <c r="X647" s="177"/>
    </row>
    <row r="648" ht="15.75" customHeight="1">
      <c r="A648" s="177"/>
      <c r="B648" s="177"/>
      <c r="C648" s="177"/>
      <c r="D648" s="177"/>
      <c r="E648" s="177"/>
      <c r="F648" s="177"/>
      <c r="G648" s="250"/>
      <c r="H648" s="177"/>
      <c r="I648" s="176"/>
      <c r="J648" s="177"/>
      <c r="K648" s="177"/>
      <c r="L648" s="177"/>
      <c r="M648" s="177"/>
      <c r="N648" s="177"/>
      <c r="O648" s="177"/>
      <c r="P648" s="177"/>
      <c r="Q648" s="177"/>
      <c r="R648" s="177"/>
      <c r="S648" s="177"/>
      <c r="T648" s="177"/>
      <c r="U648" s="177"/>
      <c r="V648" s="177"/>
      <c r="W648" s="177"/>
      <c r="X648" s="177"/>
    </row>
    <row r="649" ht="15.75" customHeight="1">
      <c r="A649" s="177"/>
      <c r="B649" s="177"/>
      <c r="C649" s="177"/>
      <c r="D649" s="177"/>
      <c r="E649" s="177"/>
      <c r="F649" s="177"/>
      <c r="G649" s="250"/>
      <c r="H649" s="177"/>
      <c r="I649" s="176"/>
      <c r="J649" s="177"/>
      <c r="K649" s="177"/>
      <c r="L649" s="177"/>
      <c r="M649" s="177"/>
      <c r="N649" s="177"/>
      <c r="O649" s="177"/>
      <c r="P649" s="177"/>
      <c r="Q649" s="177"/>
      <c r="R649" s="177"/>
      <c r="S649" s="177"/>
      <c r="T649" s="177"/>
      <c r="U649" s="177"/>
      <c r="V649" s="177"/>
      <c r="W649" s="177"/>
      <c r="X649" s="177"/>
    </row>
    <row r="650" ht="15.75" customHeight="1">
      <c r="A650" s="177"/>
      <c r="B650" s="177"/>
      <c r="C650" s="177"/>
      <c r="D650" s="177"/>
      <c r="E650" s="177"/>
      <c r="F650" s="177"/>
      <c r="G650" s="250"/>
      <c r="H650" s="177"/>
      <c r="I650" s="176"/>
      <c r="J650" s="177"/>
      <c r="K650" s="177"/>
      <c r="L650" s="177"/>
      <c r="M650" s="177"/>
      <c r="N650" s="177"/>
      <c r="O650" s="177"/>
      <c r="P650" s="177"/>
      <c r="Q650" s="177"/>
      <c r="R650" s="177"/>
      <c r="S650" s="177"/>
      <c r="T650" s="177"/>
      <c r="U650" s="177"/>
      <c r="V650" s="177"/>
      <c r="W650" s="177"/>
      <c r="X650" s="177"/>
    </row>
    <row r="651" ht="15.75" customHeight="1">
      <c r="A651" s="177"/>
      <c r="B651" s="177"/>
      <c r="C651" s="177"/>
      <c r="D651" s="177"/>
      <c r="E651" s="177"/>
      <c r="F651" s="177"/>
      <c r="G651" s="250"/>
      <c r="H651" s="177"/>
      <c r="I651" s="176"/>
      <c r="J651" s="177"/>
      <c r="K651" s="177"/>
      <c r="L651" s="177"/>
      <c r="M651" s="177"/>
      <c r="N651" s="177"/>
      <c r="O651" s="177"/>
      <c r="P651" s="177"/>
      <c r="Q651" s="177"/>
      <c r="R651" s="177"/>
      <c r="S651" s="177"/>
      <c r="T651" s="177"/>
      <c r="U651" s="177"/>
      <c r="V651" s="177"/>
      <c r="W651" s="177"/>
      <c r="X651" s="177"/>
    </row>
    <row r="652" ht="15.75" customHeight="1">
      <c r="A652" s="177"/>
      <c r="B652" s="177"/>
      <c r="C652" s="177"/>
      <c r="D652" s="177"/>
      <c r="E652" s="177"/>
      <c r="F652" s="177"/>
      <c r="G652" s="250"/>
      <c r="H652" s="177"/>
      <c r="I652" s="176"/>
      <c r="J652" s="177"/>
      <c r="K652" s="177"/>
      <c r="L652" s="177"/>
      <c r="M652" s="177"/>
      <c r="N652" s="177"/>
      <c r="O652" s="177"/>
      <c r="P652" s="177"/>
      <c r="Q652" s="177"/>
      <c r="R652" s="177"/>
      <c r="S652" s="177"/>
      <c r="T652" s="177"/>
      <c r="U652" s="177"/>
      <c r="V652" s="177"/>
      <c r="W652" s="177"/>
      <c r="X652" s="177"/>
    </row>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11:A12 A26:A27 A45:A46 A64:A65 A82:A83 A98:A99 A115:A116 A132:A133 A149:A150 A166:A167 A183:A184 A201:A202 A238:A239 A253:A254 A272:A273 A290:A292 A309:A310 A325:A326 A342:A343 A359:A360 A376:A377 A393:A394 A410:A411 A428:A429">
    <cfRule type="colorScale" priority="1">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2">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3">
      <colorScale>
        <cfvo type="min"/>
        <cfvo type="percentile" val="50"/>
        <cfvo type="max"/>
        <color rgb="FF63BE7B"/>
        <color rgb="FFFFEB84"/>
        <color rgb="FFF8696B"/>
      </colorScale>
    </cfRule>
  </conditionalFormatting>
  <conditionalFormatting sqref="A16 A31 A50 A68:A69 A87 A103 A120 A137 A154 A171 A188 A206 A243 A258 A277 A295:A296 A314 A330 A347 A364 A381 A398 A415 A433">
    <cfRule type="colorScale" priority="4">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5">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6">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7">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8">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9">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0">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1">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2">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3">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4">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5">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6">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7">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8">
      <colorScale>
        <cfvo type="min"/>
        <cfvo type="percentile" val="50"/>
        <cfvo type="max"/>
        <color rgb="FF63BE7B"/>
        <color rgb="FFFCFCFF"/>
        <color rgb="FFF8696B"/>
      </colorScale>
    </cfRule>
  </conditionalFormatting>
  <conditionalFormatting sqref="A64:A67 A82:A85 A98:A101 A115:A118 A132:A135 A149:A152 A166:A169 A183:A186 A201:A204 A290:A294 A309:A312 A325:A328 A342:A345 A359:A362 A376:A379 A393:A396 A410:A413 A428:A431">
    <cfRule type="colorScale" priority="19">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0">
      <colorScale>
        <cfvo type="min"/>
        <cfvo type="percentile" val="50"/>
        <cfvo type="max"/>
        <color rgb="FF63BE7B"/>
        <color rgb="FFFCFCFF"/>
        <color rgb="FFF8696B"/>
      </colorScale>
    </cfRule>
  </conditionalFormatting>
  <conditionalFormatting sqref="A67:A68 A86 A102 A119 A136 A153 A170 A187 A205 A294:A295 A313 A329 A346 A363 A380 A397 A414 A432">
    <cfRule type="colorScale" priority="21">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2">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3">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4">
      <colorScale>
        <cfvo type="min"/>
        <cfvo type="percentile" val="50"/>
        <cfvo type="max"/>
        <color rgb="FF63BE7B"/>
        <color rgb="FFFCFCFF"/>
        <color rgb="FFF8696B"/>
      </colorScale>
    </cfRule>
  </conditionalFormatting>
  <conditionalFormatting sqref="A82:A86 A98:A102 A115:A119 A132:A136 A149:A153 A166:A170 A183:A187 A201:A205 A290 A309:A313 A325:A329 A342:A346 A359:A363 A376:A380 A393:A397 A410:A414 A428:A432">
    <cfRule type="colorScale" priority="25">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6">
      <colorScale>
        <cfvo type="min"/>
        <cfvo type="percentile" val="50"/>
        <cfvo type="max"/>
        <color rgb="FF63BE7B"/>
        <color rgb="FFFCFCFF"/>
        <color rgb="FFF8696B"/>
      </colorScale>
    </cfRule>
  </conditionalFormatting>
  <conditionalFormatting sqref="A87 A103 A120 A137 A154 A171 A188 A206 A314 A330 A347 A364 A381 A398 A415 A433">
    <cfRule type="colorScale" priority="27">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8">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29">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0">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1">
      <colorScale>
        <cfvo type="min"/>
        <cfvo type="percentile" val="50"/>
        <cfvo type="max"/>
        <color rgb="FF63BE7B"/>
        <color rgb="FFFCFCFF"/>
        <color rgb="FFF8696B"/>
      </colorScale>
    </cfRule>
  </conditionalFormatting>
  <conditionalFormatting sqref="A81:A84 A97:A100 A114:A117 A131:A134 A148:A151 A165:A168 A182:A185 A200:A203 A308:A311 A324:A327 A341:A344 A358:A361 A375:A378 A392:A395 A409:A412 A427:A430">
    <cfRule type="colorScale" priority="32">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3">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4">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5">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6">
      <colorScale>
        <cfvo type="min"/>
        <cfvo type="percentile" val="50"/>
        <cfvo type="max"/>
        <color rgb="FF63BE7B"/>
        <color rgb="FFFCFCFF"/>
        <color rgb="FFF8696B"/>
      </colorScale>
    </cfRule>
  </conditionalFormatting>
  <conditionalFormatting sqref="A82:A84 A98:A100 A115:A117 A132:A134 A149:A151 A166:A168 A183:A185 A201:A203 A309:A311 A325:A327 A342:A344 A359:A361 A376:A378 A393:A395 A410:A412 A428:A430">
    <cfRule type="colorScale" priority="37">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8">
      <colorScale>
        <cfvo type="min"/>
        <cfvo type="percentile" val="50"/>
        <cfvo type="max"/>
        <color rgb="FF63BE7B"/>
        <color rgb="FFFCFCFF"/>
        <color rgb="FFF8696B"/>
      </colorScale>
    </cfRule>
  </conditionalFormatting>
  <conditionalFormatting sqref="A85 A101 A118 A135 A152 A169 A186 A204 A312 A328 A345 A362 A379 A396 A413 A431">
    <cfRule type="colorScale" priority="39">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0">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41">
      <colorScale>
        <cfvo type="min"/>
        <cfvo type="percentile" val="50"/>
        <cfvo type="max"/>
        <color rgb="FF63BE7B"/>
        <color rgb="FFFFEB84"/>
        <color rgb="FFF8696B"/>
      </colorScale>
    </cfRule>
  </conditionalFormatting>
  <conditionalFormatting sqref="A98 A325">
    <cfRule type="colorScale" priority="42">
      <colorScale>
        <cfvo type="min"/>
        <cfvo type="percentile" val="50"/>
        <cfvo type="max"/>
        <color rgb="FF63BE7B"/>
        <color rgb="FFFCFCFF"/>
        <color rgb="FFF8696B"/>
      </colorScale>
    </cfRule>
  </conditionalFormatting>
  <conditionalFormatting sqref="A98 A325">
    <cfRule type="colorScale" priority="43">
      <colorScale>
        <cfvo type="min"/>
        <cfvo type="percentile" val="50"/>
        <cfvo type="max"/>
        <color rgb="FF63BE7B"/>
        <color rgb="FFFFEB84"/>
        <color rgb="FFF8696B"/>
      </colorScale>
    </cfRule>
  </conditionalFormatting>
  <conditionalFormatting sqref="A99 A326">
    <cfRule type="colorScale" priority="44">
      <colorScale>
        <cfvo type="min"/>
        <cfvo type="percentile" val="50"/>
        <cfvo type="max"/>
        <color rgb="FF63BE7B"/>
        <color rgb="FFFFEB84"/>
        <color rgb="FFF8696B"/>
      </colorScale>
    </cfRule>
  </conditionalFormatting>
  <conditionalFormatting sqref="A100:A104 A327:A331">
    <cfRule type="colorScale" priority="45">
      <colorScale>
        <cfvo type="min"/>
        <cfvo type="percentile" val="50"/>
        <cfvo type="max"/>
        <color rgb="FF63BE7B"/>
        <color rgb="FFFFEB84"/>
        <color rgb="FFF8696B"/>
      </colorScale>
    </cfRule>
  </conditionalFormatting>
  <conditionalFormatting sqref="A115 A342">
    <cfRule type="colorScale" priority="46">
      <colorScale>
        <cfvo type="min"/>
        <cfvo type="percentile" val="50"/>
        <cfvo type="max"/>
        <color rgb="FF63BE7B"/>
        <color rgb="FFFCFCFF"/>
        <color rgb="FFF8696B"/>
      </colorScale>
    </cfRule>
  </conditionalFormatting>
  <conditionalFormatting sqref="A115 A342">
    <cfRule type="colorScale" priority="47">
      <colorScale>
        <cfvo type="min"/>
        <cfvo type="percentile" val="50"/>
        <cfvo type="max"/>
        <color rgb="FF63BE7B"/>
        <color rgb="FFFFEB84"/>
        <color rgb="FFF8696B"/>
      </colorScale>
    </cfRule>
  </conditionalFormatting>
  <conditionalFormatting sqref="A116:A129 A343:A356">
    <cfRule type="colorScale" priority="48">
      <colorScale>
        <cfvo type="min"/>
        <cfvo type="percentile" val="50"/>
        <cfvo type="max"/>
        <color rgb="FF63BE7B"/>
        <color rgb="FFFFEB84"/>
        <color rgb="FFF8696B"/>
      </colorScale>
    </cfRule>
  </conditionalFormatting>
  <conditionalFormatting sqref="A132:A133 A359:A360">
    <cfRule type="colorScale" priority="49">
      <colorScale>
        <cfvo type="min"/>
        <cfvo type="percentile" val="50"/>
        <cfvo type="max"/>
        <color rgb="FF63BE7B"/>
        <color rgb="FFFFEB84"/>
        <color rgb="FFF8696B"/>
      </colorScale>
    </cfRule>
  </conditionalFormatting>
  <conditionalFormatting sqref="A149:A163 A376:A390">
    <cfRule type="colorScale" priority="50">
      <colorScale>
        <cfvo type="min"/>
        <cfvo type="percentile" val="50"/>
        <cfvo type="max"/>
        <color rgb="FF63BE7B"/>
        <color rgb="FFFFEB84"/>
        <color rgb="FFF8696B"/>
      </colorScale>
    </cfRule>
  </conditionalFormatting>
  <conditionalFormatting sqref="A166:A180 A393:A407">
    <cfRule type="colorScale" priority="51">
      <colorScale>
        <cfvo type="min"/>
        <cfvo type="percentile" val="50"/>
        <cfvo type="max"/>
        <color rgb="FF63BE7B"/>
        <color rgb="FFFFEB84"/>
        <color rgb="FFF8696B"/>
      </colorScale>
    </cfRule>
  </conditionalFormatting>
  <conditionalFormatting sqref="A183:A185 A410:A412">
    <cfRule type="colorScale" priority="52">
      <colorScale>
        <cfvo type="min"/>
        <cfvo type="percentile" val="50"/>
        <cfvo type="max"/>
        <color rgb="FF63BE7B"/>
        <color rgb="FFFFEB84"/>
        <color rgb="FFF8696B"/>
      </colorScale>
    </cfRule>
  </conditionalFormatting>
  <conditionalFormatting sqref="A201:A203 A428:A430">
    <cfRule type="colorScale" priority="53">
      <colorScale>
        <cfvo type="min"/>
        <cfvo type="percentile" val="50"/>
        <cfvo type="max"/>
        <color rgb="FF63BE7B"/>
        <color rgb="FFFFEB84"/>
        <color rgb="FFF8696B"/>
      </colorScale>
    </cfRule>
  </conditionalFormatting>
  <conditionalFormatting sqref="A208:A210 A435:A437">
    <cfRule type="colorScale" priority="54">
      <colorScale>
        <cfvo type="min"/>
        <cfvo type="percentile" val="50"/>
        <cfvo type="max"/>
        <color rgb="FF63BE7B"/>
        <color rgb="FFFFEB84"/>
        <color rgb="FFF8696B"/>
      </colorScale>
    </cfRule>
  </conditionalFormatting>
  <conditionalFormatting sqref="A211:A224 A438:A451">
    <cfRule type="colorScale" priority="55">
      <colorScale>
        <cfvo type="min"/>
        <cfvo type="percentile" val="50"/>
        <cfvo type="max"/>
        <color rgb="FF63BE7B"/>
        <color rgb="FFFFEB84"/>
        <color rgb="FFF8696B"/>
      </colorScale>
    </cfRule>
  </conditionalFormatting>
  <conditionalFormatting sqref="K10:L224 K237:L451">
    <cfRule type="cellIs" dxfId="8" priority="56" operator="equal">
      <formula>0</formula>
    </cfRule>
  </conditionalFormatting>
  <dataValidations>
    <dataValidation type="list" allowBlank="1" sqref="C67 C273:C274">
      <formula1>"ENDOFUSE,ENDOMAXX,RIZOLIQ LLI,PROVILAR,REVERB,ARVATICO,VERANGO PRIME,FIPRONIL NORTOX MAX,MAXIM ADVANCED,MAXIM XL,VICTRATO,SPECTRO,STANDAK TOP,CRUISER ADVANCED,PLUST,SOMBRERO,CROPSTAR,DERMACOR,OPTERASEED,AVICTA 500 FS,CRUISER 350 FS,FORTENZA 600 FS,ILEVO,P"&amp;"ERMIT STAR"</formula1>
    </dataValidation>
    <dataValidation type="list" allowBlank="1" sqref="C33 C52 C89 C105 C139 C156 C166 C173 C190 C208 C245 C260 C279 C298 C310 C316 C326 C332 C343 C349 C360 C366 C377 C383 C394 C400 C411 C417 C429 C435">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type="list" allowBlank="1" sqref="C272">
      <formula1>"FEIJÃO,SEMENTE TRIGO,SEMENTE MILHO,MG540PWU,MG711PWU,MG616PWU,P3707PWU,P39209PWU,P40537PWU,FS650PWU,SEMENTE SOJA CV,OLIMPO,M8349,CORDIUS C2795 CE,HERA I2X,SPARTA 8.0,IMPETO,NEO 790,APORÉ 7.3,GUAPÓ 7.7,MITICA 7.7,TMG MURICI I2X 7.6,DOMÍNIO 8.4,LENDA,SEMENT"&amp;"E SOJA RR,BRACHIARIA RUZIZIENCES,CAPIM MIAGE,TMG INGÁ I2X 6.9,TMG 2383 IPRO 8.3,BRACHIARIA BASICA,GH 2478 IPRO 8.1,HO COCARI I2X 8.2,SEMENTE DE SORGO"</formula1>
    </dataValidation>
    <dataValidation type="list" allowBlank="1" sqref="C17:C18">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formula1>
    </dataValidation>
    <dataValidation type="list" allowBlank="1" sqref="C50">
      <formula1>"RADIFARM,MEGAFOL,OCTABORATO,BOP,METAL NUTRE,MONIC,AP MAGNÉSIO,GRANO KMG,AP MANGANÊS,AMINOS Mn,MICROBOX,ACRESECENT ALGA,RAIZ F,ACRESCENTE SOLUS F,SALUT,MATRIZ D,POTENZA,BRAVERO,Glyfort,Fergsum,Spander,Halattus,Sallvare Complex,Zinctaus Complex,Emezine Comp"&amp;"lex,Boratus Complex,Magmill Complex,Brave K,Brave Max Up,MAX RAIZ,Polyamine,Sulfato de Magnésio,Map Purificado,MANGAN 10,NHT ZINCO,KELLUS CUPPER,MOLIBIDENIO 16,ZINCO 10"</formula1>
    </dataValidation>
    <dataValidation type="list" allowBlank="1" sqref="C20:C24 C43 C62 C80 C98 C247:C251 C307">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type="list" allowBlank="1" sqref="C19">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formula1>
    </dataValidation>
    <dataValidation type="list" allowBlank="1" sqref="C136 C170 C242 C257 C276 C295 C309 C313 C325 C329 C342 C346 C359 C363 C376 C380 C393 C397 C410 C414 C432">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type="list" allowBlank="1" sqref="C64">
      <formula1>"FEIJÃO,SEMENTE TRIGO,SEMENTE MILHO,MG540PWU,MG711PWU,MG616PWU,P3707PWU,P39209PWU,P40537PWU,FS650PWU,SEMENTE SOJA CV,OLIMPO,M8349,CORDIUS C2795 CE,HERA I2X,SPARTA 8.0,CORDIUS C2795 CE 7.9,IMPETO,NEO 790,APORÉ 7.3,GUAPÓ 7.7,MITICA 7.7,TMG MURICI I2X 7.6,DOM"&amp;"ÍNIO 8.4,LENDA,BRASMAX HERA,BRASMAX OLIMPO,S6525 I2X,TMG ITAÚBA I2X,SEMENTE SOJA RR,BRACHIARIA RUZIZIENCES,CAPIM MIAGE,TMG INGÁ I2X 6.9,TMG 2383 IPRO 8.3,BRACHIARIA BASICA,GH 2478 IPRO 8.1,HO COCARI I2X 8.2,SEMENTE DE SORGO"</formula1>
    </dataValidation>
    <dataValidation type="list" allowBlank="1" sqref="C68:C71">
      <formula1>"UTRISHA N,PRESENCE FULL,Now Lock,Now Guard,Now Force,Now Raze,Now Bolt,Now Active,Now React,Now Cover,Now Pulse,Now Sprint,Bio Az,Bio ND,Tec Catp Pro,Bio Elipso,Tec Bug,Solu Shield,Solu Strong,Solu Leaf,Bio Hidric,Bio Bokashi,Bio Oil,Carbon Pro,Essencial "&amp;"Mg,Expelir,Potenza NiCoMo,Primafert,Reserva,Tec White,Bio Solubilize,Bio Release,Bio Raiz Plus,Bio Balance,SoluBio Raiz Performance,Tec Isaria"</formula1>
    </dataValidation>
    <dataValidation type="list" allowBlank="1" showErrorMessage="1" sqref="B237:B451">
      <formula1>#REF!</formula1>
    </dataValidation>
    <dataValidation type="list" allowBlank="1" sqref="C65:C66 C311 C327 C344 C361 C378 C395 C412 C430">
      <formula1>"SOMBRERO,STANDAK TOP,CROPSTAR,DERMACOR,PERMIT STAR,PRESENCE FULL,PLUST,CRUISER 350 FS,CRUISER ADVANCED,FORTENZA 600 FS,MAXIM ADVANCED,MAXIM XL,SPECTRO,BIOZYME,NIMAXXA,VITAVAX-THIRAM 200 SC"</formula1>
    </dataValidation>
    <dataValidation type="list" allowBlank="1" sqref="C184:C189">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formula1>
    </dataValidation>
    <dataValidation type="list" allowBlank="1" sqref="B10:B224">
      <formula1>#REF!</formula1>
    </dataValidation>
    <dataValidation type="list" allowBlank="1" sqref="C12:C14 C87 C137 C154 C171 C206 C238:C241 C243 C258 C275 C277 C296 C312 C314 C328 C330 C345 C347 C362 C364 C379 C381 C396 C398 C413 C415 C431 C433">
      <formula1>"I-ACTIVE,MAP,KCL 60%,05-37-00,10-46-00 + S,08-42-00,SSP 21,03-15-07 +14%CO,URÉIA,SULFATO DE AMÔNIO,BOROGRAN,SUPER DUO,08-40-00 - 100M,AURUS 500,00-01-00+Cu2 Mn8 Zn7"</formula1>
    </dataValidation>
    <dataValidation type="list" allowBlank="1" sqref="C183">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formula1>
    </dataValidation>
    <dataValidation type="list" allowBlank="1" sqref="C26:C27 C45:C47 C82:C83 C169 C202:C203 C205 C253:C254 C256 C291">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type="custom" allowBlank="1" showDropDown="1" sqref="H10:L224 G237:L451">
      <formula1>AND(ISNUMBER(G10),(NOT(OR(NOT(ISERROR(DATEVALUE(G10))), AND(ISNUMBER(G10), LEFT(CELL("format", G10))="D")))))</formula1>
    </dataValidation>
    <dataValidation type="list" allowBlank="1" sqref="C28 C48 C103 C120 C135 C151 C167 C204 C255">
      <formula1>"RUMBA,ASSIST,MEES,AUREO,JOINT ULTRA,ADGREEN,ENERGIC,EXTRAVON,OCHIMA"</formula1>
    </dataValidation>
    <dataValidation type="list" allowBlank="1" sqref="C29:C30 C49 C100:C102 C118:C119 C134 C292:C293">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type="list" allowBlank="1" sqref="C11 C88 C138 C155 C172 C207 C244 C259 C278 C297 C315 C331 C348 C365 C382 C399 C416 C434">
      <formula1>"CALCÁRIO DOLOMITICO,GESSO AGRICOLA"</formula1>
    </dataValidation>
    <dataValidation type="list" allowBlank="1" sqref="C72 C86">
      <formula1>"RADIFARM,MEGAFOL,OCTABORATO,BOP,METAL NUTRE,MONIC,AP MAGNÉSIO,GRANO KMG,AP MANGANÊS,AMINOS Mn,MICROBOX,ACRESECENT ALGA,RAIZ F,ACRESCENTE SOLUS F,SALUT,MATRIZ D,BRAVERO,Glyfort,Fergsum,Spander,Halattus,Sallvare Complex,Zinctaus Complex,Emezine Complex,Bora"&amp;"tus Complex,Magmill Complex,Brave K,Brave Max Up,MAX RAIZ,Polyamine,Sulfato de Magnésio,Map Purificado,MANGAN 10,NHT ZINCO,KELLUS CUPPER,MOLIBIDENIO 16,ZINCO 10,Potenza NiCoMo"</formula1>
    </dataValidation>
    <dataValidation type="list" allowBlank="1" sqref="C85">
      <formula1>"RUMBA,ASSIST,MEES,AUREO EC,JOINT ULTRA,ENERGIC,EXTRAVON,OCHIMA,STRIDES"</formula1>
    </dataValidation>
    <dataValidation type="list" allowBlank="1" sqref="C84 C99 C104 C115:C117 C132:C133 C149:C150 C294">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type="list" allowBlank="1" sqref="C34 C53:C54 C59 C90:C91 C96 C106:C107 C112 C123:C124 C129 C140:C141 C146 C157:C158 C163 C174:C175 C180 C191:C192 C197 C209:C210 C215 C246 C261:C270 C280:C289 C299:C306 C317:C318 C323 C333:C334 C339 C350:C351 C356 C367:C368 C373 C384:C385 C390 C401:C402 C407 C418:C419 C424 C436:C437 C442">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display="ÁREA PLANTIO" location="'ÁREA PLANTIO'!A1" ref="F1"/>
    <hyperlink display="ÁREA PLANTIO" location="'ÁREA PLANTIO'!A1" ref="F227"/>
  </hyperlinks>
  <printOptions/>
  <pageMargins bottom="0.27442551823879163" footer="0.0" header="0.0" left="1.3916533395809356" right="0.511811024" top="0.19090470834002898"/>
  <pageSetup paperSize="9" orientation="landscape"/>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15.5"/>
    <col customWidth="1" min="2" max="2" width="19.25"/>
    <col customWidth="1" min="3" max="3" width="37.25"/>
    <col customWidth="1" min="4" max="4" width="34.25"/>
    <col customWidth="1" min="5" max="5" width="13.25"/>
    <col customWidth="1" min="6" max="6" width="10.75"/>
    <col customWidth="1" min="7" max="7" width="9.88"/>
    <col customWidth="1" min="8" max="8" width="10.25"/>
    <col customWidth="1" min="9" max="9" width="7.5"/>
    <col customWidth="1" min="10" max="10" width="7.38"/>
    <col customWidth="1" min="11" max="11" width="11.13"/>
    <col customWidth="1" min="12" max="12" width="13.5"/>
    <col customWidth="1" min="13" max="13" width="9.88"/>
    <col customWidth="1" min="14" max="20" width="14.38"/>
    <col customWidth="1" min="21" max="21" width="4.75"/>
    <col customWidth="1" min="22" max="23" width="14.38"/>
  </cols>
  <sheetData>
    <row r="1" ht="15.75" customHeight="1">
      <c r="A1" s="178" t="s">
        <v>1203</v>
      </c>
      <c r="B1" s="170" t="str">
        <f>'ÁREA PLANTIO'!B3</f>
        <v>ESTEVÃO</v>
      </c>
      <c r="C1" s="171" t="s">
        <v>1166</v>
      </c>
      <c r="D1" s="172">
        <f>$K$225</f>
        <v>1853.584533</v>
      </c>
      <c r="E1" s="173"/>
      <c r="F1" s="174" t="s">
        <v>1167</v>
      </c>
      <c r="G1" s="175"/>
      <c r="H1" s="176"/>
      <c r="I1" s="176"/>
      <c r="J1" s="176"/>
      <c r="K1" s="175"/>
      <c r="L1" s="177"/>
      <c r="M1" s="177"/>
      <c r="N1" s="177"/>
      <c r="O1" s="177"/>
      <c r="P1" s="177"/>
      <c r="Q1" s="177"/>
      <c r="R1" s="177"/>
      <c r="S1" s="177"/>
      <c r="T1" s="177"/>
      <c r="U1" s="177"/>
      <c r="V1" s="177"/>
      <c r="W1" s="177"/>
    </row>
    <row r="2" ht="15.75" customHeight="1">
      <c r="A2" s="178" t="s">
        <v>1168</v>
      </c>
      <c r="B2" s="179">
        <f>'ÁREA PLANTIO'!E3</f>
        <v>103</v>
      </c>
      <c r="C2" s="180" t="s">
        <v>1169</v>
      </c>
      <c r="D2" s="181">
        <f>'ÁREA PLANTIO'!D3</f>
        <v>70</v>
      </c>
      <c r="E2" s="173"/>
      <c r="F2" s="173"/>
      <c r="G2" s="175"/>
      <c r="H2" s="176"/>
      <c r="I2" s="176"/>
      <c r="J2" s="176"/>
      <c r="K2" s="175"/>
      <c r="L2" s="177"/>
      <c r="M2" s="177"/>
      <c r="N2" s="177"/>
      <c r="O2" s="177"/>
      <c r="P2" s="177"/>
      <c r="Q2" s="177"/>
      <c r="R2" s="177"/>
      <c r="S2" s="177"/>
      <c r="T2" s="177"/>
      <c r="U2" s="177"/>
      <c r="V2" s="177"/>
      <c r="W2" s="177"/>
    </row>
    <row r="3" ht="15.75" customHeight="1">
      <c r="A3" s="178" t="s">
        <v>1170</v>
      </c>
      <c r="B3" s="176" t="str">
        <f>'ÁREA PLANTIO'!C3</f>
        <v>FA-SOJA SEQUEIRO-26/27</v>
      </c>
      <c r="C3" s="180" t="s">
        <v>1171</v>
      </c>
      <c r="D3" s="182">
        <f>D1/D2</f>
        <v>26.47977904</v>
      </c>
      <c r="E3" s="173"/>
      <c r="F3" s="173"/>
      <c r="G3" s="175"/>
      <c r="H3" s="176"/>
      <c r="I3" s="176"/>
      <c r="J3" s="176"/>
      <c r="K3" s="175"/>
      <c r="L3" s="177"/>
      <c r="M3" s="177"/>
      <c r="N3" s="177"/>
      <c r="O3" s="177"/>
      <c r="P3" s="177"/>
      <c r="Q3" s="177"/>
      <c r="R3" s="177"/>
      <c r="S3" s="177"/>
      <c r="T3" s="177"/>
      <c r="U3" s="177"/>
      <c r="V3" s="177"/>
      <c r="W3" s="177"/>
    </row>
    <row r="4" ht="15.75" customHeight="1">
      <c r="A4" s="183" t="s">
        <v>1172</v>
      </c>
      <c r="B4" s="184">
        <v>45606.0</v>
      </c>
      <c r="C4" s="185"/>
      <c r="D4" s="186"/>
      <c r="E4" s="187"/>
      <c r="F4" s="173"/>
      <c r="G4" s="175"/>
      <c r="H4" s="176"/>
      <c r="I4" s="176"/>
      <c r="J4" s="176"/>
      <c r="K4" s="175"/>
      <c r="L4" s="177"/>
      <c r="M4" s="177"/>
      <c r="N4" s="177"/>
      <c r="O4" s="177"/>
      <c r="P4" s="177"/>
      <c r="Q4" s="177"/>
      <c r="R4" s="177"/>
      <c r="S4" s="177"/>
      <c r="T4" s="177"/>
      <c r="U4" s="177"/>
      <c r="V4" s="177"/>
      <c r="W4" s="177"/>
    </row>
    <row r="5" ht="15.75" customHeight="1">
      <c r="A5" s="177"/>
      <c r="B5" s="177"/>
      <c r="C5" s="177"/>
      <c r="D5" s="177"/>
      <c r="E5" s="188"/>
      <c r="F5" s="173"/>
      <c r="G5" s="175"/>
      <c r="H5" s="176"/>
      <c r="I5" s="176"/>
      <c r="J5" s="176"/>
      <c r="K5" s="175"/>
      <c r="L5" s="177"/>
      <c r="M5" s="177"/>
      <c r="N5" s="177"/>
      <c r="O5" s="177"/>
      <c r="P5" s="177"/>
      <c r="Q5" s="177"/>
      <c r="R5" s="177"/>
      <c r="S5" s="177"/>
      <c r="T5" s="177"/>
      <c r="U5" s="177"/>
      <c r="V5" s="177"/>
      <c r="W5" s="177"/>
    </row>
    <row r="6" ht="15.75" customHeight="1">
      <c r="A6" s="178"/>
      <c r="B6" s="176"/>
      <c r="C6" s="173"/>
      <c r="D6" s="173"/>
      <c r="E6" s="173"/>
      <c r="F6" s="173"/>
      <c r="G6" s="175"/>
      <c r="H6" s="176"/>
      <c r="I6" s="176"/>
      <c r="J6" s="176"/>
      <c r="K6" s="175"/>
      <c r="L6" s="177"/>
      <c r="M6" s="177"/>
      <c r="N6" s="177"/>
      <c r="O6" s="177"/>
      <c r="P6" s="177"/>
      <c r="Q6" s="177"/>
      <c r="R6" s="177"/>
      <c r="S6" s="177"/>
      <c r="T6" s="177"/>
      <c r="U6" s="177"/>
      <c r="V6" s="177"/>
      <c r="W6" s="177"/>
    </row>
    <row r="7" ht="15.75" customHeight="1">
      <c r="A7" s="176"/>
      <c r="B7" s="176"/>
      <c r="C7" s="173"/>
      <c r="D7" s="173"/>
      <c r="E7" s="173"/>
      <c r="F7" s="173"/>
      <c r="G7" s="175"/>
      <c r="H7" s="176"/>
      <c r="I7" s="176"/>
      <c r="J7" s="176"/>
      <c r="K7" s="175"/>
      <c r="L7" s="177"/>
      <c r="M7" s="177"/>
      <c r="N7" s="177"/>
      <c r="O7" s="177"/>
      <c r="P7" s="177"/>
      <c r="Q7" s="177"/>
      <c r="R7" s="177"/>
      <c r="S7" s="177"/>
      <c r="T7" s="177"/>
      <c r="U7" s="177"/>
      <c r="V7" s="177"/>
      <c r="W7" s="177"/>
    </row>
    <row r="8" ht="15.75" customHeight="1">
      <c r="A8" s="176"/>
      <c r="B8" s="176"/>
      <c r="C8" s="176"/>
      <c r="D8" s="176"/>
      <c r="E8" s="173"/>
      <c r="F8" s="173"/>
      <c r="G8" s="175"/>
      <c r="H8" s="176"/>
      <c r="I8" s="176"/>
      <c r="J8" s="176"/>
      <c r="K8" s="175"/>
      <c r="L8" s="177"/>
      <c r="M8" s="177"/>
      <c r="N8" s="177"/>
      <c r="O8" s="177"/>
      <c r="P8" s="177"/>
      <c r="Q8" s="177"/>
      <c r="R8" s="177"/>
      <c r="S8" s="177"/>
      <c r="T8" s="177"/>
      <c r="U8" s="177"/>
      <c r="V8" s="177"/>
      <c r="W8" s="177"/>
    </row>
    <row r="9" ht="15.75" customHeight="1">
      <c r="A9" s="190" t="s">
        <v>1173</v>
      </c>
      <c r="B9" s="191" t="s">
        <v>1174</v>
      </c>
      <c r="C9" s="191" t="s">
        <v>1175</v>
      </c>
      <c r="D9" s="190" t="s">
        <v>1176</v>
      </c>
      <c r="E9" s="190" t="s">
        <v>1177</v>
      </c>
      <c r="F9" s="190" t="s">
        <v>1178</v>
      </c>
      <c r="G9" s="192" t="s">
        <v>1179</v>
      </c>
      <c r="H9" s="192" t="s">
        <v>1180</v>
      </c>
      <c r="I9" s="192" t="s">
        <v>1181</v>
      </c>
      <c r="J9" s="193" t="s">
        <v>1134</v>
      </c>
      <c r="K9" s="194" t="s">
        <v>1182</v>
      </c>
      <c r="L9" s="195" t="s">
        <v>339</v>
      </c>
      <c r="M9" s="251" t="s">
        <v>1204</v>
      </c>
      <c r="N9" s="177"/>
      <c r="O9" s="177"/>
      <c r="P9" s="177"/>
      <c r="Q9" s="177"/>
      <c r="R9" s="177"/>
      <c r="S9" s="177"/>
      <c r="T9" s="177"/>
      <c r="U9" s="177"/>
      <c r="V9" s="177"/>
      <c r="W9" s="177"/>
    </row>
    <row r="10" ht="15.75" customHeight="1">
      <c r="A10" s="196" t="s">
        <v>1183</v>
      </c>
      <c r="B10" s="197"/>
      <c r="C10" s="196"/>
      <c r="D10" s="198" t="s">
        <v>216</v>
      </c>
      <c r="E10" s="196"/>
      <c r="F10" s="196"/>
      <c r="G10" s="199"/>
      <c r="H10" s="200"/>
      <c r="I10" s="252"/>
      <c r="J10" s="202"/>
      <c r="K10" s="203">
        <f t="shared" ref="K10:L10" si="1">SUBTOTAL(9,K11:K24)</f>
        <v>0</v>
      </c>
      <c r="L10" s="203">
        <f t="shared" si="1"/>
        <v>0</v>
      </c>
      <c r="M10" s="238"/>
      <c r="N10" s="177"/>
      <c r="O10" s="177"/>
      <c r="P10" s="177"/>
      <c r="Q10" s="177"/>
      <c r="R10" s="177"/>
      <c r="S10" s="177"/>
      <c r="T10" s="177"/>
      <c r="U10" s="177"/>
      <c r="V10" s="177"/>
      <c r="W10" s="177"/>
    </row>
    <row r="11" outlineLevel="1">
      <c r="A11" s="191"/>
      <c r="B11" s="204" t="s">
        <v>8</v>
      </c>
      <c r="C11" s="191" t="s">
        <v>397</v>
      </c>
      <c r="D11" s="205" t="str">
        <f>IFERROR(VLOOKUP($C11,'PORTIFÓLIO'!C:V,2,0),"")</f>
        <v>CaO 38%  MgO 18%</v>
      </c>
      <c r="E11" s="190" t="str">
        <f>IFERROR(VLOOKUP($C11,'PORTIFÓLIO'!C:V,3,0),"")</f>
        <v/>
      </c>
      <c r="F11" s="190" t="str">
        <f>IFERROR(VLOOKUP($C11,'PORTIFÓLIO'!C:V,4,0),"")</f>
        <v>Ton</v>
      </c>
      <c r="G11" s="206" t="str">
        <f>IFERROR(VLOOKUP($C11,'PORTIFÓLIO'!C:V,5,0),"")</f>
        <v/>
      </c>
      <c r="H11" s="247" t="str">
        <f t="array" ref="H11">IFERROR(INDEX('PORTIFÓLIO'!$H$4:$H$433,MATCH($C11,'PORTIFÓLIO'!$C$4:$C$433,0)),"")</f>
        <v/>
      </c>
      <c r="I11" s="253">
        <v>3.0</v>
      </c>
      <c r="J11" s="209">
        <f t="shared" ref="J11:J24" si="2">I11*$B$2</f>
        <v>309</v>
      </c>
      <c r="K11" s="210">
        <f t="array" ref="K11">IFERROR(I11*INDEX('PORTIFÓLIO'!$S$4:$S$433,MATCH($C11,'PORTIFÓLIO'!$C$4:$C$433,0)),"")</f>
        <v>0</v>
      </c>
      <c r="L11" s="210">
        <f t="array" ref="L11">IFERROR(J11*INDEX('PORTIFÓLIO'!$S$4:$S$433,MATCH($C11,'PORTIFÓLIO'!$C$4:$C$433,0)),"")</f>
        <v>0</v>
      </c>
      <c r="M11" s="238"/>
      <c r="N11" s="177"/>
      <c r="O11" s="177"/>
      <c r="P11" s="177"/>
      <c r="Q11" s="177"/>
      <c r="R11" s="177"/>
      <c r="S11" s="177"/>
      <c r="T11" s="177"/>
      <c r="U11" s="177" t="str">
        <f>IFERROR(__xludf.DUMMYFUNCTION("FILTER('PORTIFÓLIO'!C:C, 'PORTIFÓLIO'!B:B=B11)"),"#REF!")</f>
        <v>#REF!</v>
      </c>
      <c r="V11" s="177"/>
      <c r="W11" s="177"/>
    </row>
    <row r="12" outlineLevel="1">
      <c r="A12" s="191"/>
      <c r="B12" s="204" t="s">
        <v>7</v>
      </c>
      <c r="C12" s="191" t="s">
        <v>423</v>
      </c>
      <c r="D12" s="205" t="str">
        <f>IFERROR(VLOOKUP($C12,'PORTIFÓLIO'!C:V,2,0),"")</f>
        <v>P2O5 14%</v>
      </c>
      <c r="E12" s="190" t="str">
        <f>IFERROR(VLOOKUP($C12,'PORTIFÓLIO'!C:V,3,0),"")</f>
        <v/>
      </c>
      <c r="F12" s="190" t="str">
        <f>IFERROR(VLOOKUP($C12,'PORTIFÓLIO'!C:V,4,0),"")</f>
        <v>Ton</v>
      </c>
      <c r="G12" s="206" t="str">
        <f>IFERROR(VLOOKUP($C12,'PORTIFÓLIO'!C:V,5,0),"")</f>
        <v/>
      </c>
      <c r="H12" s="247" t="str">
        <f t="array" ref="H12">IFERROR(INDEX('PORTIFÓLIO'!$H$4:$H$433,MATCH($C12,'PORTIFÓLIO'!$C$4:$C$433,0)),"")</f>
        <v/>
      </c>
      <c r="I12" s="253">
        <v>0.5</v>
      </c>
      <c r="J12" s="209">
        <f t="shared" si="2"/>
        <v>51.5</v>
      </c>
      <c r="K12" s="210">
        <f t="array" ref="K12">IFERROR(I12*INDEX('PORTIFÓLIO'!$S$4:$S$433,MATCH($C12,'PORTIFÓLIO'!$C$4:$C$433,0)),"")</f>
        <v>0</v>
      </c>
      <c r="L12" s="210">
        <f t="array" ref="L12">IFERROR(J12*INDEX('PORTIFÓLIO'!$S$4:$S$433,MATCH($C12,'PORTIFÓLIO'!$C$4:$C$433,0)),"")</f>
        <v>0</v>
      </c>
      <c r="M12" s="238"/>
      <c r="N12" s="177"/>
      <c r="O12" s="177"/>
      <c r="P12" s="177"/>
      <c r="Q12" s="177"/>
      <c r="R12" s="177"/>
      <c r="S12" s="177"/>
      <c r="T12" s="177"/>
      <c r="U12" s="177" t="str">
        <f>IFERROR(__xludf.DUMMYFUNCTION("FILTER('PORTIFÓLIO'!C:C, 'PORTIFÓLIO'!B:B=B12)"),"#REF!")</f>
        <v>#REF!</v>
      </c>
      <c r="V12" s="177"/>
      <c r="W12" s="177"/>
    </row>
    <row r="13" outlineLevel="1">
      <c r="A13" s="191"/>
      <c r="B13" s="204" t="s">
        <v>7</v>
      </c>
      <c r="C13" s="191" t="s">
        <v>405</v>
      </c>
      <c r="D13" s="205" t="str">
        <f>IFERROR(VLOOKUP($C13,'PORTIFÓLIO'!C:V,2,0),"")</f>
        <v>K2O 60%</v>
      </c>
      <c r="E13" s="190" t="str">
        <f>IFERROR(VLOOKUP($C13,'PORTIFÓLIO'!C:V,3,0),"")</f>
        <v/>
      </c>
      <c r="F13" s="190" t="str">
        <f>IFERROR(VLOOKUP($C13,'PORTIFÓLIO'!C:V,4,0),"")</f>
        <v>Ton</v>
      </c>
      <c r="G13" s="206" t="str">
        <f>IFERROR(VLOOKUP($C13,'PORTIFÓLIO'!C:V,5,0),"")</f>
        <v/>
      </c>
      <c r="H13" s="247" t="str">
        <f t="array" ref="H13">IFERROR(INDEX('PORTIFÓLIO'!$H$4:$H$433,MATCH($C13,'PORTIFÓLIO'!$C$4:$C$433,0)),"")</f>
        <v/>
      </c>
      <c r="I13" s="253">
        <v>0.2</v>
      </c>
      <c r="J13" s="209">
        <f t="shared" si="2"/>
        <v>20.6</v>
      </c>
      <c r="K13" s="210">
        <f t="array" ref="K13">IFERROR(I13*INDEX('PORTIFÓLIO'!$S$4:$S$433,MATCH($C13,'PORTIFÓLIO'!$C$4:$C$433,0)),"")</f>
        <v>0</v>
      </c>
      <c r="L13" s="210">
        <f t="array" ref="L13">IFERROR(J13*INDEX('PORTIFÓLIO'!$S$4:$S$433,MATCH($C13,'PORTIFÓLIO'!$C$4:$C$433,0)),"")</f>
        <v>0</v>
      </c>
      <c r="M13" s="238"/>
      <c r="N13" s="177"/>
      <c r="O13" s="177"/>
      <c r="P13" s="177"/>
      <c r="Q13" s="177"/>
      <c r="R13" s="177"/>
      <c r="S13" s="177"/>
      <c r="T13" s="177"/>
      <c r="U13" s="177" t="str">
        <f>IFERROR(__xludf.DUMMYFUNCTION("FILTER('PORTIFÓLIO'!C:C, 'PORTIFÓLIO'!B:B=B13)"),"#REF!")</f>
        <v>#REF!</v>
      </c>
      <c r="V13" s="177"/>
      <c r="W13" s="177"/>
    </row>
    <row r="14" outlineLevel="1">
      <c r="A14" s="190"/>
      <c r="B14" s="204" t="s">
        <v>7</v>
      </c>
      <c r="C14" s="191" t="s">
        <v>429</v>
      </c>
      <c r="D14" s="205" t="str">
        <f>IFERROR(VLOOKUP($C14,'PORTIFÓLIO'!C:V,2,0),"")</f>
        <v>Cu 2% Mn 8% Zn 7% </v>
      </c>
      <c r="E14" s="190" t="str">
        <f>IFERROR(VLOOKUP($C14,'PORTIFÓLIO'!C:V,3,0),"")</f>
        <v/>
      </c>
      <c r="F14" s="190" t="str">
        <f>IFERROR(VLOOKUP($C14,'PORTIFÓLIO'!C:V,4,0),"")</f>
        <v>Ton</v>
      </c>
      <c r="G14" s="206" t="str">
        <f>IFERROR(VLOOKUP($C14,'PORTIFÓLIO'!C:V,5,0),"")</f>
        <v/>
      </c>
      <c r="H14" s="247" t="str">
        <f t="array" ref="H14">IFERROR(INDEX('PORTIFÓLIO'!$H$4:$H$433,MATCH($C14,'PORTIFÓLIO'!$C$4:$C$433,0)),"")</f>
        <v/>
      </c>
      <c r="I14" s="253">
        <v>0.05</v>
      </c>
      <c r="J14" s="209">
        <f t="shared" si="2"/>
        <v>5.15</v>
      </c>
      <c r="K14" s="210">
        <f t="array" ref="K14">IFERROR(I14*INDEX('PORTIFÓLIO'!$S$4:$S$433,MATCH($C14,'PORTIFÓLIO'!$C$4:$C$433,0)),"")</f>
        <v>0</v>
      </c>
      <c r="L14" s="210">
        <f t="array" ref="L14">IFERROR(J14*INDEX('PORTIFÓLIO'!$S$4:$S$433,MATCH($C14,'PORTIFÓLIO'!$C$4:$C$433,0)),"")</f>
        <v>0</v>
      </c>
      <c r="M14" s="238"/>
      <c r="N14" s="177"/>
      <c r="O14" s="177"/>
      <c r="P14" s="177"/>
      <c r="Q14" s="177"/>
      <c r="R14" s="177"/>
      <c r="S14" s="177"/>
      <c r="T14" s="177"/>
      <c r="U14" s="177" t="str">
        <f>IFERROR(__xludf.DUMMYFUNCTION("FILTER('PORTIFÓLIO'!C:C, 'PORTIFÓLIO'!B:B=B14)"),"#REF!")</f>
        <v>#REF!</v>
      </c>
      <c r="V14" s="177"/>
      <c r="W14" s="177"/>
    </row>
    <row r="15" outlineLevel="1">
      <c r="A15" s="211"/>
      <c r="B15" s="212"/>
      <c r="C15" s="213"/>
      <c r="D15" s="214" t="str">
        <f>IFERROR(VLOOKUP($C15,'PORTIFÓLIO'!C:V,2,0),"")</f>
        <v/>
      </c>
      <c r="E15" s="211" t="str">
        <f>IFERROR(VLOOKUP($C15,'PORTIFÓLIO'!C:V,3,0),"")</f>
        <v/>
      </c>
      <c r="F15" s="211" t="str">
        <f>IFERROR(VLOOKUP($C15,'PORTIFÓLIO'!C:V,4,0),"")</f>
        <v/>
      </c>
      <c r="G15" s="215" t="str">
        <f>IFERROR(VLOOKUP($C15,'PORTIFÓLIO'!C:V,5,0),"")</f>
        <v/>
      </c>
      <c r="H15" s="254" t="str">
        <f t="array" ref="H15">IFERROR(INDEX('PORTIFÓLIO'!$H$4:$H$433,MATCH($C15,'PORTIFÓLIO'!$C$4:$C$433,0)),"")</f>
        <v/>
      </c>
      <c r="I15" s="255"/>
      <c r="J15" s="218">
        <f t="shared" si="2"/>
        <v>0</v>
      </c>
      <c r="K15" s="219" t="str">
        <f t="array" ref="K15">IFERROR(I15*INDEX('PORTIFÓLIO'!$S$4:$S$433,MATCH($C15,'PORTIFÓLIO'!$C$4:$C$433,0)),"")</f>
        <v/>
      </c>
      <c r="L15" s="219" t="str">
        <f t="array" ref="L15">IFERROR(J15*INDEX('PORTIFÓLIO'!$S$4:$S$433,MATCH($C15,'PORTIFÓLIO'!$C$4:$C$433,0)),"")</f>
        <v/>
      </c>
      <c r="M15" s="227"/>
      <c r="N15" s="220"/>
      <c r="O15" s="220"/>
      <c r="P15" s="220"/>
      <c r="Q15" s="220"/>
      <c r="R15" s="220"/>
      <c r="S15" s="220"/>
      <c r="T15" s="220"/>
      <c r="U15" s="220" t="str">
        <f>IFERROR(__xludf.DUMMYFUNCTION("FILTER('PORTIFÓLIO'!C:C, 'PORTIFÓLIO'!B:B=B15)"),"#REF!")</f>
        <v>#REF!</v>
      </c>
      <c r="V15" s="220"/>
      <c r="W15" s="220"/>
    </row>
    <row r="16" outlineLevel="1">
      <c r="A16" s="211"/>
      <c r="B16" s="212"/>
      <c r="C16" s="213"/>
      <c r="D16" s="214" t="str">
        <f>IFERROR(VLOOKUP($C16,'PORTIFÓLIO'!C:V,2,0),"")</f>
        <v/>
      </c>
      <c r="E16" s="211" t="str">
        <f>IFERROR(VLOOKUP($C16,'PORTIFÓLIO'!C:V,3,0),"")</f>
        <v/>
      </c>
      <c r="F16" s="211" t="str">
        <f>IFERROR(VLOOKUP($C16,'PORTIFÓLIO'!C:V,4,0),"")</f>
        <v/>
      </c>
      <c r="G16" s="215" t="str">
        <f>IFERROR(VLOOKUP($C16,'PORTIFÓLIO'!C:V,5,0),"")</f>
        <v/>
      </c>
      <c r="H16" s="254" t="str">
        <f t="array" ref="H16">IFERROR(INDEX('PORTIFÓLIO'!$H$4:$H$433,MATCH($C16,'PORTIFÓLIO'!$C$4:$C$433,0)),"")</f>
        <v/>
      </c>
      <c r="I16" s="255"/>
      <c r="J16" s="218">
        <f t="shared" si="2"/>
        <v>0</v>
      </c>
      <c r="K16" s="219" t="str">
        <f t="array" ref="K16">IFERROR(I16*INDEX('PORTIFÓLIO'!$S$4:$S$433,MATCH($C16,'PORTIFÓLIO'!$C$4:$C$433,0)),"")</f>
        <v/>
      </c>
      <c r="L16" s="219" t="str">
        <f t="array" ref="L16">IFERROR(J16*INDEX('PORTIFÓLIO'!$S$4:$S$433,MATCH($C16,'PORTIFÓLIO'!$C$4:$C$433,0)),"")</f>
        <v/>
      </c>
      <c r="M16" s="227"/>
      <c r="N16" s="220"/>
      <c r="O16" s="220"/>
      <c r="P16" s="220"/>
      <c r="Q16" s="220"/>
      <c r="R16" s="220"/>
      <c r="S16" s="220"/>
      <c r="T16" s="220"/>
      <c r="U16" s="220" t="str">
        <f>IFERROR(__xludf.DUMMYFUNCTION("FILTER('PORTIFÓLIO'!C:C, 'PORTIFÓLIO'!B:B=B16)"),"#REF!")</f>
        <v>#REF!</v>
      </c>
      <c r="V16" s="220"/>
      <c r="W16" s="220"/>
    </row>
    <row r="17" outlineLevel="1">
      <c r="A17" s="211"/>
      <c r="B17" s="212"/>
      <c r="C17" s="213"/>
      <c r="D17" s="214" t="str">
        <f>IFERROR(VLOOKUP($C17,'PORTIFÓLIO'!C:V,2,0),"")</f>
        <v/>
      </c>
      <c r="E17" s="211" t="str">
        <f>IFERROR(VLOOKUP($C17,'PORTIFÓLIO'!C:V,3,0),"")</f>
        <v/>
      </c>
      <c r="F17" s="211" t="str">
        <f>IFERROR(VLOOKUP($C17,'PORTIFÓLIO'!C:V,4,0),"")</f>
        <v/>
      </c>
      <c r="G17" s="215" t="str">
        <f>IFERROR(VLOOKUP($C17,'PORTIFÓLIO'!C:V,5,0),"")</f>
        <v/>
      </c>
      <c r="H17" s="254" t="str">
        <f t="array" ref="H17">IFERROR(INDEX('PORTIFÓLIO'!$H$4:$H$433,MATCH($C17,'PORTIFÓLIO'!$C$4:$C$433,0)),"")</f>
        <v/>
      </c>
      <c r="I17" s="255"/>
      <c r="J17" s="218">
        <f t="shared" si="2"/>
        <v>0</v>
      </c>
      <c r="K17" s="219" t="str">
        <f t="array" ref="K17">IFERROR(I17*INDEX('PORTIFÓLIO'!$S$4:$S$433,MATCH($C17,'PORTIFÓLIO'!$C$4:$C$433,0)),"")</f>
        <v/>
      </c>
      <c r="L17" s="219" t="str">
        <f t="array" ref="L17">IFERROR(J17*INDEX('PORTIFÓLIO'!$S$4:$S$433,MATCH($C17,'PORTIFÓLIO'!$C$4:$C$433,0)),"")</f>
        <v/>
      </c>
      <c r="M17" s="227"/>
      <c r="N17" s="220"/>
      <c r="O17" s="220"/>
      <c r="P17" s="220"/>
      <c r="Q17" s="220"/>
      <c r="R17" s="220"/>
      <c r="S17" s="220"/>
      <c r="T17" s="220"/>
      <c r="U17" s="220" t="str">
        <f>IFERROR(__xludf.DUMMYFUNCTION("FILTER('PORTIFÓLIO'!C:C, 'PORTIFÓLIO'!B:B=B17)"),"#REF!")</f>
        <v>#REF!</v>
      </c>
      <c r="V17" s="220"/>
      <c r="W17" s="220"/>
    </row>
    <row r="18" outlineLevel="1">
      <c r="A18" s="211"/>
      <c r="B18" s="212"/>
      <c r="C18" s="213"/>
      <c r="D18" s="214" t="str">
        <f>IFERROR(VLOOKUP($C18,'PORTIFÓLIO'!C:V,2,0),"")</f>
        <v/>
      </c>
      <c r="E18" s="211" t="str">
        <f>IFERROR(VLOOKUP($C18,'PORTIFÓLIO'!C:V,3,0),"")</f>
        <v/>
      </c>
      <c r="F18" s="211" t="str">
        <f>IFERROR(VLOOKUP($C18,'PORTIFÓLIO'!C:V,4,0),"")</f>
        <v/>
      </c>
      <c r="G18" s="215" t="str">
        <f>IFERROR(VLOOKUP($C18,'PORTIFÓLIO'!C:V,5,0),"")</f>
        <v/>
      </c>
      <c r="H18" s="254" t="str">
        <f t="array" ref="H18">IFERROR(INDEX('PORTIFÓLIO'!$H$4:$H$433,MATCH($C18,'PORTIFÓLIO'!$C$4:$C$433,0)),"")</f>
        <v/>
      </c>
      <c r="I18" s="255"/>
      <c r="J18" s="218">
        <f t="shared" si="2"/>
        <v>0</v>
      </c>
      <c r="K18" s="219" t="str">
        <f t="array" ref="K18">IFERROR(I18*INDEX('PORTIFÓLIO'!$S$4:$S$433,MATCH($C18,'PORTIFÓLIO'!$C$4:$C$433,0)),"")</f>
        <v/>
      </c>
      <c r="L18" s="219" t="str">
        <f t="array" ref="L18">IFERROR(J18*INDEX('PORTIFÓLIO'!$S$4:$S$433,MATCH($C18,'PORTIFÓLIO'!$C$4:$C$433,0)),"")</f>
        <v/>
      </c>
      <c r="M18" s="227"/>
      <c r="N18" s="220"/>
      <c r="O18" s="220"/>
      <c r="P18" s="220"/>
      <c r="Q18" s="220"/>
      <c r="R18" s="220"/>
      <c r="S18" s="220"/>
      <c r="T18" s="220"/>
      <c r="U18" s="220" t="str">
        <f>IFERROR(__xludf.DUMMYFUNCTION("FILTER('PORTIFÓLIO'!C:C, 'PORTIFÓLIO'!B:B=B18)"),"#REF!")</f>
        <v>#REF!</v>
      </c>
      <c r="V18" s="220"/>
      <c r="W18" s="220"/>
    </row>
    <row r="19" outlineLevel="1">
      <c r="A19" s="211"/>
      <c r="B19" s="212"/>
      <c r="C19" s="213"/>
      <c r="D19" s="214" t="str">
        <f>IFERROR(VLOOKUP($C19,'PORTIFÓLIO'!C:V,2,0),"")</f>
        <v/>
      </c>
      <c r="E19" s="211" t="str">
        <f>IFERROR(VLOOKUP($C19,'PORTIFÓLIO'!C:V,3,0),"")</f>
        <v/>
      </c>
      <c r="F19" s="211" t="str">
        <f>IFERROR(VLOOKUP($C19,'PORTIFÓLIO'!C:V,4,0),"")</f>
        <v/>
      </c>
      <c r="G19" s="215" t="str">
        <f>IFERROR(VLOOKUP($C19,'PORTIFÓLIO'!C:V,5,0),"")</f>
        <v/>
      </c>
      <c r="H19" s="254" t="str">
        <f t="array" ref="H19">IFERROR(INDEX('PORTIFÓLIO'!$H$4:$H$433,MATCH($C19,'PORTIFÓLIO'!$C$4:$C$433,0)),"")</f>
        <v/>
      </c>
      <c r="I19" s="255"/>
      <c r="J19" s="218">
        <f t="shared" si="2"/>
        <v>0</v>
      </c>
      <c r="K19" s="219" t="str">
        <f t="array" ref="K19">IFERROR(I19*INDEX('PORTIFÓLIO'!$S$4:$S$433,MATCH($C19,'PORTIFÓLIO'!$C$4:$C$433,0)),"")</f>
        <v/>
      </c>
      <c r="L19" s="219" t="str">
        <f t="array" ref="L19">IFERROR(J19*INDEX('PORTIFÓLIO'!$S$4:$S$433,MATCH($C19,'PORTIFÓLIO'!$C$4:$C$433,0)),"")</f>
        <v/>
      </c>
      <c r="M19" s="227"/>
      <c r="N19" s="220"/>
      <c r="O19" s="220"/>
      <c r="P19" s="220"/>
      <c r="Q19" s="220"/>
      <c r="R19" s="220"/>
      <c r="S19" s="220"/>
      <c r="T19" s="220"/>
      <c r="U19" s="220" t="str">
        <f>IFERROR(__xludf.DUMMYFUNCTION("FILTER('PORTIFÓLIO'!C:C, 'PORTIFÓLIO'!B:B=B19)"),"")</f>
        <v/>
      </c>
      <c r="V19" s="220"/>
      <c r="W19" s="220"/>
    </row>
    <row r="20" outlineLevel="1">
      <c r="A20" s="211"/>
      <c r="B20" s="212"/>
      <c r="C20" s="213"/>
      <c r="D20" s="214" t="str">
        <f>IFERROR(VLOOKUP($C20,'PORTIFÓLIO'!C:V,2,0),"")</f>
        <v/>
      </c>
      <c r="E20" s="211" t="str">
        <f>IFERROR(VLOOKUP($C20,'PORTIFÓLIO'!C:V,3,0),"")</f>
        <v/>
      </c>
      <c r="F20" s="211" t="str">
        <f>IFERROR(VLOOKUP($C20,'PORTIFÓLIO'!C:V,4,0),"")</f>
        <v/>
      </c>
      <c r="G20" s="215" t="str">
        <f>IFERROR(VLOOKUP($C20,'PORTIFÓLIO'!C:V,5,0),"")</f>
        <v/>
      </c>
      <c r="H20" s="254" t="str">
        <f t="array" ref="H20">IFERROR(INDEX('PORTIFÓLIO'!$H$4:$H$433,MATCH($C20,'PORTIFÓLIO'!$C$4:$C$433,0)),"")</f>
        <v/>
      </c>
      <c r="I20" s="255"/>
      <c r="J20" s="218">
        <f t="shared" si="2"/>
        <v>0</v>
      </c>
      <c r="K20" s="219" t="str">
        <f t="array" ref="K20">IFERROR(I20*INDEX('PORTIFÓLIO'!$S$4:$S$433,MATCH($C20,'PORTIFÓLIO'!$C$4:$C$433,0)),"")</f>
        <v/>
      </c>
      <c r="L20" s="219" t="str">
        <f t="array" ref="L20">IFERROR(J20*INDEX('PORTIFÓLIO'!$S$4:$S$433,MATCH($C20,'PORTIFÓLIO'!$C$4:$C$433,0)),"")</f>
        <v/>
      </c>
      <c r="M20" s="227"/>
      <c r="N20" s="220"/>
      <c r="O20" s="220"/>
      <c r="P20" s="220"/>
      <c r="Q20" s="220"/>
      <c r="R20" s="220"/>
      <c r="S20" s="220"/>
      <c r="T20" s="220"/>
      <c r="U20" s="220"/>
      <c r="V20" s="220"/>
      <c r="W20" s="220"/>
    </row>
    <row r="21" ht="15.75" customHeight="1" outlineLevel="1">
      <c r="A21" s="211"/>
      <c r="B21" s="212"/>
      <c r="C21" s="213"/>
      <c r="D21" s="214" t="str">
        <f>IFERROR(VLOOKUP($C21,'PORTIFÓLIO'!C:V,2,0),"")</f>
        <v/>
      </c>
      <c r="E21" s="211" t="str">
        <f>IFERROR(VLOOKUP($C21,'PORTIFÓLIO'!C:V,3,0),"")</f>
        <v/>
      </c>
      <c r="F21" s="211" t="str">
        <f>IFERROR(VLOOKUP($C21,'PORTIFÓLIO'!C:V,4,0),"")</f>
        <v/>
      </c>
      <c r="G21" s="215" t="str">
        <f>IFERROR(VLOOKUP($C21,'PORTIFÓLIO'!C:V,5,0),"")</f>
        <v/>
      </c>
      <c r="H21" s="254" t="str">
        <f t="array" ref="H21">IFERROR(INDEX('PORTIFÓLIO'!$H$4:$H$433,MATCH($C21,'PORTIFÓLIO'!$C$4:$C$433,0)),"")</f>
        <v/>
      </c>
      <c r="I21" s="255"/>
      <c r="J21" s="218">
        <f t="shared" si="2"/>
        <v>0</v>
      </c>
      <c r="K21" s="219" t="str">
        <f t="array" ref="K21">IFERROR(I21*INDEX('PORTIFÓLIO'!$S$4:$S$433,MATCH($C21,'PORTIFÓLIO'!$C$4:$C$433,0)),"")</f>
        <v/>
      </c>
      <c r="L21" s="219" t="str">
        <f t="array" ref="L21">IFERROR(J21*INDEX('PORTIFÓLIO'!$S$4:$S$433,MATCH($C21,'PORTIFÓLIO'!$C$4:$C$433,0)),"")</f>
        <v/>
      </c>
      <c r="M21" s="227"/>
      <c r="N21" s="220"/>
      <c r="O21" s="220"/>
      <c r="P21" s="220"/>
      <c r="Q21" s="220"/>
      <c r="R21" s="220"/>
      <c r="S21" s="220"/>
      <c r="T21" s="220"/>
      <c r="U21" s="220"/>
      <c r="V21" s="220"/>
      <c r="W21" s="220"/>
    </row>
    <row r="22" ht="15.75" customHeight="1" outlineLevel="1">
      <c r="A22" s="211"/>
      <c r="B22" s="212"/>
      <c r="C22" s="213"/>
      <c r="D22" s="214" t="str">
        <f>IFERROR(VLOOKUP($C22,'PORTIFÓLIO'!C:V,2,0),"")</f>
        <v/>
      </c>
      <c r="E22" s="211" t="str">
        <f>IFERROR(VLOOKUP($C22,'PORTIFÓLIO'!C:V,3,0),"")</f>
        <v/>
      </c>
      <c r="F22" s="211" t="str">
        <f>IFERROR(VLOOKUP($C22,'PORTIFÓLIO'!C:V,4,0),"")</f>
        <v/>
      </c>
      <c r="G22" s="215" t="str">
        <f>IFERROR(VLOOKUP($C22,'PORTIFÓLIO'!C:V,5,0),"")</f>
        <v/>
      </c>
      <c r="H22" s="254" t="str">
        <f t="array" ref="H22">IFERROR(INDEX('PORTIFÓLIO'!$H$4:$H$433,MATCH($C22,'PORTIFÓLIO'!$C$4:$C$433,0)),"")</f>
        <v/>
      </c>
      <c r="I22" s="255"/>
      <c r="J22" s="218">
        <f t="shared" si="2"/>
        <v>0</v>
      </c>
      <c r="K22" s="219" t="str">
        <f t="array" ref="K22">IFERROR(I22*INDEX('PORTIFÓLIO'!$S$4:$S$433,MATCH($C22,'PORTIFÓLIO'!$C$4:$C$433,0)),"")</f>
        <v/>
      </c>
      <c r="L22" s="219" t="str">
        <f t="array" ref="L22">IFERROR(J22*INDEX('PORTIFÓLIO'!$S$4:$S$433,MATCH($C22,'PORTIFÓLIO'!$C$4:$C$433,0)),"")</f>
        <v/>
      </c>
      <c r="M22" s="227"/>
      <c r="N22" s="220"/>
      <c r="O22" s="220"/>
      <c r="P22" s="220"/>
      <c r="Q22" s="220"/>
      <c r="R22" s="220"/>
      <c r="S22" s="220"/>
      <c r="T22" s="220"/>
      <c r="U22" s="220"/>
      <c r="V22" s="220"/>
      <c r="W22" s="220"/>
    </row>
    <row r="23" ht="15.75" customHeight="1" outlineLevel="1">
      <c r="A23" s="211"/>
      <c r="B23" s="212"/>
      <c r="C23" s="213"/>
      <c r="D23" s="214" t="str">
        <f>IFERROR(VLOOKUP($C23,'PORTIFÓLIO'!C:V,2,0),"")</f>
        <v/>
      </c>
      <c r="E23" s="211" t="str">
        <f>IFERROR(VLOOKUP($C23,'PORTIFÓLIO'!C:V,3,0),"")</f>
        <v/>
      </c>
      <c r="F23" s="211" t="str">
        <f>IFERROR(VLOOKUP($C23,'PORTIFÓLIO'!C:V,4,0),"")</f>
        <v/>
      </c>
      <c r="G23" s="215" t="str">
        <f>IFERROR(VLOOKUP($C23,'PORTIFÓLIO'!C:V,5,0),"")</f>
        <v/>
      </c>
      <c r="H23" s="254" t="str">
        <f t="array" ref="H23">IFERROR(INDEX('PORTIFÓLIO'!$H$4:$H$433,MATCH($C23,'PORTIFÓLIO'!$C$4:$C$433,0)),"")</f>
        <v/>
      </c>
      <c r="I23" s="255"/>
      <c r="J23" s="218">
        <f t="shared" si="2"/>
        <v>0</v>
      </c>
      <c r="K23" s="219" t="str">
        <f t="array" ref="K23">IFERROR(I23*INDEX('PORTIFÓLIO'!$S$4:$S$433,MATCH($C23,'PORTIFÓLIO'!$C$4:$C$433,0)),"")</f>
        <v/>
      </c>
      <c r="L23" s="219" t="str">
        <f t="array" ref="L23">IFERROR(J23*INDEX('PORTIFÓLIO'!$S$4:$S$433,MATCH($C23,'PORTIFÓLIO'!$C$4:$C$433,0)),"")</f>
        <v/>
      </c>
      <c r="M23" s="227"/>
      <c r="N23" s="220"/>
      <c r="O23" s="220"/>
      <c r="P23" s="220"/>
      <c r="Q23" s="220"/>
      <c r="R23" s="220"/>
      <c r="S23" s="220"/>
      <c r="T23" s="220"/>
      <c r="U23" s="220"/>
      <c r="V23" s="220"/>
      <c r="W23" s="220"/>
    </row>
    <row r="24" ht="15.75" customHeight="1" outlineLevel="1">
      <c r="A24" s="211"/>
      <c r="B24" s="212"/>
      <c r="C24" s="213"/>
      <c r="D24" s="214" t="str">
        <f>IFERROR(VLOOKUP($C24,'PORTIFÓLIO'!C:V,2,0),"")</f>
        <v/>
      </c>
      <c r="E24" s="211" t="str">
        <f>IFERROR(VLOOKUP($C24,'PORTIFÓLIO'!C:V,3,0),"")</f>
        <v/>
      </c>
      <c r="F24" s="211" t="str">
        <f>IFERROR(VLOOKUP($C24,'PORTIFÓLIO'!C:V,4,0),"")</f>
        <v/>
      </c>
      <c r="G24" s="215" t="str">
        <f>IFERROR(VLOOKUP($C24,'PORTIFÓLIO'!C:V,5,0),"")</f>
        <v/>
      </c>
      <c r="H24" s="254" t="str">
        <f t="array" ref="H24">IFERROR(INDEX('PORTIFÓLIO'!$H$4:$H$433,MATCH($C24,'PORTIFÓLIO'!$C$4:$C$433,0)),"")</f>
        <v/>
      </c>
      <c r="I24" s="255"/>
      <c r="J24" s="218">
        <f t="shared" si="2"/>
        <v>0</v>
      </c>
      <c r="K24" s="219" t="str">
        <f t="array" ref="K24">IFERROR(I24*INDEX('PORTIFÓLIO'!$S$4:$S$433,MATCH($C24,'PORTIFÓLIO'!$C$4:$C$433,0)),"")</f>
        <v/>
      </c>
      <c r="L24" s="219" t="str">
        <f t="array" ref="L24">IFERROR(J24*INDEX('PORTIFÓLIO'!$S$4:$S$433,MATCH($C24,'PORTIFÓLIO'!$C$4:$C$433,0)),"")</f>
        <v/>
      </c>
      <c r="M24" s="227"/>
      <c r="N24" s="220"/>
      <c r="O24" s="220"/>
      <c r="P24" s="220"/>
      <c r="Q24" s="220"/>
      <c r="R24" s="220"/>
      <c r="S24" s="220"/>
      <c r="T24" s="220"/>
      <c r="U24" s="220"/>
      <c r="V24" s="220"/>
      <c r="W24" s="220"/>
    </row>
    <row r="25" ht="15.75" customHeight="1">
      <c r="A25" s="221" t="s">
        <v>1184</v>
      </c>
      <c r="B25" s="197"/>
      <c r="C25" s="196"/>
      <c r="D25" s="198"/>
      <c r="E25" s="196"/>
      <c r="F25" s="196"/>
      <c r="G25" s="199"/>
      <c r="H25" s="199"/>
      <c r="I25" s="252"/>
      <c r="J25" s="202"/>
      <c r="K25" s="203">
        <f t="shared" ref="K25:L25" si="3">SUBTOTAL(9,K26:K39)</f>
        <v>123.496246</v>
      </c>
      <c r="L25" s="203">
        <f t="shared" si="3"/>
        <v>12720.11334</v>
      </c>
      <c r="M25" s="238"/>
      <c r="N25" s="177"/>
      <c r="O25" s="177"/>
      <c r="P25" s="177"/>
      <c r="Q25" s="177"/>
      <c r="R25" s="177"/>
      <c r="S25" s="177"/>
      <c r="T25" s="177"/>
      <c r="U25" s="177"/>
      <c r="V25" s="177"/>
      <c r="W25" s="177"/>
    </row>
    <row r="26" ht="15.75" customHeight="1" outlineLevel="1">
      <c r="A26" s="191"/>
      <c r="B26" s="204" t="s">
        <v>1</v>
      </c>
      <c r="C26" s="191" t="s">
        <v>637</v>
      </c>
      <c r="D26" s="205" t="str">
        <f>IFERROR(VLOOKUP($C26,'PORTIFÓLIO'!C:V,2,0),"")</f>
        <v>GLIFOSATO-SAL DE AMÔNIO</v>
      </c>
      <c r="E26" s="190">
        <f>IFERROR(VLOOKUP($C26,'PORTIFÓLIO'!C:V,3,0),"")</f>
        <v>720</v>
      </c>
      <c r="F26" s="190" t="str">
        <f>IFERROR(VLOOKUP($C26,'PORTIFÓLIO'!C:V,4,0),"")</f>
        <v>L</v>
      </c>
      <c r="G26" s="223" t="str">
        <f>IFERROR(VLOOKUP($C26,'PORTIFÓLIO'!C:V,5,0),"")</f>
        <v>📄 Ver bula</v>
      </c>
      <c r="H26" s="247">
        <f t="array" ref="H26">IFERROR(INDEX('PORTIFÓLIO'!$H$4:$H$433,MATCH($C26,'PORTIFÓLIO'!$C$4:$C$433,0)),"")</f>
        <v>2</v>
      </c>
      <c r="I26" s="253">
        <v>2.0</v>
      </c>
      <c r="J26" s="209">
        <f t="shared" ref="J26:J43" si="4">I26*$B$2</f>
        <v>206</v>
      </c>
      <c r="K26" s="210">
        <f t="array" ref="K26">IFERROR(I26*INDEX('PORTIFÓLIO'!$S$4:$S$433,MATCH($C26,'PORTIFÓLIO'!$C$4:$C$433,0)),"")</f>
        <v>49.16</v>
      </c>
      <c r="L26" s="210">
        <f t="array" ref="L26">IFERROR(J26*INDEX('PORTIFÓLIO'!$S$4:$S$433,MATCH($C26,'PORTIFÓLIO'!$C$4:$C$433,0)),"")</f>
        <v>5063.48</v>
      </c>
      <c r="M26" s="238"/>
      <c r="N26" s="177"/>
      <c r="O26" s="177"/>
      <c r="P26" s="177"/>
      <c r="Q26" s="177"/>
      <c r="R26" s="177"/>
      <c r="S26" s="177"/>
      <c r="T26" s="177"/>
      <c r="U26" s="177"/>
      <c r="V26" s="177"/>
      <c r="W26" s="177"/>
    </row>
    <row r="27" ht="15.75" customHeight="1" outlineLevel="1">
      <c r="A27" s="190"/>
      <c r="B27" s="204" t="s">
        <v>1</v>
      </c>
      <c r="C27" s="191" t="s">
        <v>610</v>
      </c>
      <c r="D27" s="205" t="str">
        <f>IFERROR(VLOOKUP($C27,'PORTIFÓLIO'!C:V,2,0),"")</f>
        <v>CLETODIM + FLUROXIPIR-MEPTÍLICO</v>
      </c>
      <c r="E27" s="190" t="str">
        <f>IFERROR(VLOOKUP($C27,'PORTIFÓLIO'!C:V,3,0),"")</f>
        <v>140 + 288</v>
      </c>
      <c r="F27" s="190" t="str">
        <f>IFERROR(VLOOKUP($C27,'PORTIFÓLIO'!C:V,4,0),"")</f>
        <v>L</v>
      </c>
      <c r="G27" s="223" t="str">
        <f>IFERROR(VLOOKUP($C27,'PORTIFÓLIO'!C:V,5,0),"")</f>
        <v>📄 Ver bula</v>
      </c>
      <c r="H27" s="247">
        <f t="array" ref="H27">IFERROR(INDEX('PORTIFÓLIO'!$H$4:$H$433,MATCH($C27,'PORTIFÓLIO'!$C$4:$C$433,0)),"")</f>
        <v>1</v>
      </c>
      <c r="I27" s="253">
        <v>1.0</v>
      </c>
      <c r="J27" s="209">
        <f t="shared" si="4"/>
        <v>103</v>
      </c>
      <c r="K27" s="210">
        <f t="array" ref="K27">IFERROR(I27*INDEX('PORTIFÓLIO'!$S$4:$S$433,MATCH($C27,'PORTIFÓLIO'!$C$4:$C$433,0)),"")</f>
        <v>60.04894</v>
      </c>
      <c r="L27" s="210">
        <f t="array" ref="L27">IFERROR(J27*INDEX('PORTIFÓLIO'!$S$4:$S$433,MATCH($C27,'PORTIFÓLIO'!$C$4:$C$433,0)),"")</f>
        <v>6185.04082</v>
      </c>
      <c r="M27" s="238"/>
      <c r="N27" s="177"/>
      <c r="O27" s="177"/>
      <c r="P27" s="177"/>
      <c r="Q27" s="177"/>
      <c r="R27" s="177"/>
      <c r="S27" s="177"/>
      <c r="T27" s="177"/>
      <c r="U27" s="177"/>
      <c r="V27" s="177"/>
      <c r="W27" s="177"/>
    </row>
    <row r="28" ht="15.75" customHeight="1" outlineLevel="1">
      <c r="A28" s="190"/>
      <c r="B28" s="204" t="s">
        <v>6</v>
      </c>
      <c r="C28" s="191" t="s">
        <v>351</v>
      </c>
      <c r="D28" s="205" t="str">
        <f>IFERROR(VLOOKUP($C28,'PORTIFÓLIO'!C:V,2,0),"")</f>
        <v>ÉSTER METILICO DE OLEO DE SOJA</v>
      </c>
      <c r="E28" s="190">
        <f>IFERROR(VLOOKUP($C28,'PORTIFÓLIO'!C:V,3,0),"")</f>
        <v>720</v>
      </c>
      <c r="F28" s="190" t="str">
        <f>IFERROR(VLOOKUP($C28,'PORTIFÓLIO'!C:V,4,0),"")</f>
        <v>L</v>
      </c>
      <c r="G28" s="223" t="str">
        <f>IFERROR(VLOOKUP($C28,'PORTIFÓLIO'!C:V,5,0),"")</f>
        <v>📄 Ver bula</v>
      </c>
      <c r="H28" s="247">
        <f t="array" ref="H28">IFERROR(INDEX('PORTIFÓLIO'!$H$4:$H$433,MATCH($C28,'PORTIFÓLIO'!$C$4:$C$433,0)),"")</f>
        <v>0.08</v>
      </c>
      <c r="I28" s="253">
        <v>0.2</v>
      </c>
      <c r="J28" s="209">
        <f t="shared" si="4"/>
        <v>20.6</v>
      </c>
      <c r="K28" s="210">
        <f t="array" ref="K28">IFERROR(I28*INDEX('PORTIFÓLIO'!$S$4:$S$433,MATCH($C28,'PORTIFÓLIO'!$C$4:$C$433,0)),"")</f>
        <v>2.968756</v>
      </c>
      <c r="L28" s="210">
        <f t="array" ref="L28">IFERROR(J28*INDEX('PORTIFÓLIO'!$S$4:$S$433,MATCH($C28,'PORTIFÓLIO'!$C$4:$C$433,0)),"")</f>
        <v>305.781868</v>
      </c>
      <c r="M28" s="238"/>
      <c r="N28" s="177"/>
      <c r="O28" s="177"/>
      <c r="P28" s="177"/>
      <c r="Q28" s="177"/>
      <c r="R28" s="177"/>
      <c r="S28" s="177"/>
      <c r="T28" s="177"/>
      <c r="U28" s="177"/>
      <c r="V28" s="177"/>
      <c r="W28" s="177"/>
    </row>
    <row r="29" ht="15.75" customHeight="1" outlineLevel="1">
      <c r="A29" s="190"/>
      <c r="B29" s="204" t="s">
        <v>2</v>
      </c>
      <c r="C29" s="191" t="s">
        <v>824</v>
      </c>
      <c r="D29" s="205" t="str">
        <f>IFERROR(VLOOKUP($C29,'PORTIFÓLIO'!C:V,2,0),"")</f>
        <v>CLORANTRANILIPROLE</v>
      </c>
      <c r="E29" s="190">
        <f>IFERROR(VLOOKUP($C29,'PORTIFÓLIO'!C:V,3,0),"")</f>
        <v>200</v>
      </c>
      <c r="F29" s="190" t="str">
        <f>IFERROR(VLOOKUP($C29,'PORTIFÓLIO'!C:V,4,0),"")</f>
        <v>L</v>
      </c>
      <c r="G29" s="223" t="str">
        <f>IFERROR(VLOOKUP($C29,'PORTIFÓLIO'!C:V,5,0),"")</f>
        <v>📄 Ver bula</v>
      </c>
      <c r="H29" s="247">
        <f t="array" ref="H29">IFERROR(INDEX('PORTIFÓLIO'!$H$4:$H$433,MATCH($C29,'PORTIFÓLIO'!$C$4:$C$433,0)),"")</f>
        <v>0.1</v>
      </c>
      <c r="I29" s="253">
        <v>0.04</v>
      </c>
      <c r="J29" s="209">
        <f t="shared" si="4"/>
        <v>4.12</v>
      </c>
      <c r="K29" s="210">
        <f t="array" ref="K29">IFERROR(I29*INDEX('PORTIFÓLIO'!$S$4:$S$433,MATCH($C29,'PORTIFÓLIO'!$C$4:$C$433,0)),"")</f>
        <v>11.31855</v>
      </c>
      <c r="L29" s="210">
        <f t="array" ref="L29">IFERROR(J29*INDEX('PORTIFÓLIO'!$S$4:$S$433,MATCH($C29,'PORTIFÓLIO'!$C$4:$C$433,0)),"")</f>
        <v>1165.81065</v>
      </c>
      <c r="M29" s="238"/>
      <c r="N29" s="177"/>
      <c r="O29" s="177"/>
      <c r="P29" s="177"/>
      <c r="Q29" s="177"/>
      <c r="R29" s="177"/>
      <c r="S29" s="177"/>
      <c r="T29" s="177"/>
      <c r="U29" s="177"/>
      <c r="V29" s="177"/>
      <c r="W29" s="177"/>
    </row>
    <row r="30" ht="15.75" customHeight="1" outlineLevel="1">
      <c r="A30" s="211"/>
      <c r="B30" s="212"/>
      <c r="C30" s="213"/>
      <c r="D30" s="214" t="str">
        <f>IFERROR(VLOOKUP($C30,'PORTIFÓLIO'!C:V,2,0),"")</f>
        <v/>
      </c>
      <c r="E30" s="211" t="str">
        <f>IFERROR(VLOOKUP($C30,'PORTIFÓLIO'!C:V,3,0),"")</f>
        <v/>
      </c>
      <c r="F30" s="211" t="str">
        <f>IFERROR(VLOOKUP($C30,'PORTIFÓLIO'!C:V,4,0),"")</f>
        <v/>
      </c>
      <c r="G30" s="215" t="str">
        <f>IFERROR(VLOOKUP($C30,'PORTIFÓLIO'!C:V,5,0),"")</f>
        <v/>
      </c>
      <c r="H30" s="254" t="str">
        <f t="array" ref="H30">IFERROR(INDEX('PORTIFÓLIO'!$H$4:$H$433,MATCH($C30,'PORTIFÓLIO'!$C$4:$C$433,0)),"")</f>
        <v/>
      </c>
      <c r="I30" s="255"/>
      <c r="J30" s="218">
        <f t="shared" si="4"/>
        <v>0</v>
      </c>
      <c r="K30" s="219" t="str">
        <f t="array" ref="K30">IFERROR(I30*INDEX('PORTIFÓLIO'!$S$4:$S$433,MATCH($C30,'PORTIFÓLIO'!$C$4:$C$433,0)),"")</f>
        <v/>
      </c>
      <c r="L30" s="219" t="str">
        <f t="array" ref="L30">IFERROR(J30*INDEX('PORTIFÓLIO'!$S$4:$S$433,MATCH($C30,'PORTIFÓLIO'!$C$4:$C$433,0)),"")</f>
        <v/>
      </c>
      <c r="M30" s="227"/>
      <c r="N30" s="220"/>
      <c r="O30" s="220"/>
      <c r="P30" s="220"/>
      <c r="Q30" s="220"/>
      <c r="R30" s="220"/>
      <c r="S30" s="220"/>
      <c r="T30" s="220"/>
      <c r="U30" s="220"/>
      <c r="V30" s="220"/>
      <c r="W30" s="220"/>
    </row>
    <row r="31" ht="15.75" customHeight="1" outlineLevel="1">
      <c r="A31" s="211"/>
      <c r="B31" s="212"/>
      <c r="C31" s="213"/>
      <c r="D31" s="214" t="str">
        <f>IFERROR(VLOOKUP($C31,'PORTIFÓLIO'!C:V,2,0),"")</f>
        <v/>
      </c>
      <c r="E31" s="211" t="str">
        <f>IFERROR(VLOOKUP($C31,'PORTIFÓLIO'!C:V,3,0),"")</f>
        <v/>
      </c>
      <c r="F31" s="211" t="str">
        <f>IFERROR(VLOOKUP($C31,'PORTIFÓLIO'!C:V,4,0),"")</f>
        <v/>
      </c>
      <c r="G31" s="215" t="str">
        <f>IFERROR(VLOOKUP($C31,'PORTIFÓLIO'!C:V,5,0),"")</f>
        <v/>
      </c>
      <c r="H31" s="254" t="str">
        <f t="array" ref="H31">IFERROR(INDEX('PORTIFÓLIO'!$H$4:$H$433,MATCH($C31,'PORTIFÓLIO'!$C$4:$C$433,0)),"")</f>
        <v/>
      </c>
      <c r="I31" s="255"/>
      <c r="J31" s="218">
        <f t="shared" si="4"/>
        <v>0</v>
      </c>
      <c r="K31" s="219" t="str">
        <f t="array" ref="K31">IFERROR(I31*INDEX('PORTIFÓLIO'!$S$4:$S$433,MATCH($C31,'PORTIFÓLIO'!$C$4:$C$433,0)),"")</f>
        <v/>
      </c>
      <c r="L31" s="219" t="str">
        <f t="array" ref="L31">IFERROR(J31*INDEX('PORTIFÓLIO'!$S$4:$S$433,MATCH($C31,'PORTIFÓLIO'!$C$4:$C$433,0)),"")</f>
        <v/>
      </c>
      <c r="M31" s="227"/>
      <c r="N31" s="220"/>
      <c r="O31" s="220"/>
      <c r="P31" s="220"/>
      <c r="Q31" s="220"/>
      <c r="R31" s="220"/>
      <c r="S31" s="220"/>
      <c r="T31" s="220"/>
      <c r="U31" s="220"/>
      <c r="V31" s="220"/>
      <c r="W31" s="220"/>
    </row>
    <row r="32" ht="15.75" customHeight="1" outlineLevel="1">
      <c r="A32" s="211"/>
      <c r="B32" s="212"/>
      <c r="C32" s="213"/>
      <c r="D32" s="214" t="str">
        <f>IFERROR(VLOOKUP($C32,'PORTIFÓLIO'!C:V,2,0),"")</f>
        <v/>
      </c>
      <c r="E32" s="211" t="str">
        <f>IFERROR(VLOOKUP($C32,'PORTIFÓLIO'!C:V,3,0),"")</f>
        <v/>
      </c>
      <c r="F32" s="211" t="str">
        <f>IFERROR(VLOOKUP($C32,'PORTIFÓLIO'!C:V,4,0),"")</f>
        <v/>
      </c>
      <c r="G32" s="215" t="str">
        <f>IFERROR(VLOOKUP($C32,'PORTIFÓLIO'!C:V,5,0),"")</f>
        <v/>
      </c>
      <c r="H32" s="254" t="str">
        <f t="array" ref="H32">IFERROR(INDEX('PORTIFÓLIO'!$H$4:$H$433,MATCH($C32,'PORTIFÓLIO'!$C$4:$C$433,0)),"")</f>
        <v/>
      </c>
      <c r="I32" s="256"/>
      <c r="J32" s="218">
        <f t="shared" si="4"/>
        <v>0</v>
      </c>
      <c r="K32" s="219" t="str">
        <f t="array" ref="K32">IFERROR(I32*INDEX('PORTIFÓLIO'!$S$4:$S$433,MATCH($C32,'PORTIFÓLIO'!$C$4:$C$433,0)),"")</f>
        <v/>
      </c>
      <c r="L32" s="219" t="str">
        <f t="array" ref="L32">IFERROR(J32*INDEX('PORTIFÓLIO'!$S$4:$S$433,MATCH($C32,'PORTIFÓLIO'!$C$4:$C$433,0)),"")</f>
        <v/>
      </c>
      <c r="M32" s="227"/>
      <c r="N32" s="220"/>
      <c r="O32" s="220"/>
      <c r="P32" s="220"/>
      <c r="Q32" s="220"/>
      <c r="R32" s="220"/>
      <c r="S32" s="220"/>
      <c r="T32" s="220"/>
      <c r="U32" s="220"/>
      <c r="V32" s="220"/>
      <c r="W32" s="220"/>
    </row>
    <row r="33" ht="15.75" customHeight="1" outlineLevel="1">
      <c r="A33" s="211"/>
      <c r="B33" s="212"/>
      <c r="C33" s="213"/>
      <c r="D33" s="214" t="str">
        <f>IFERROR(VLOOKUP($C33,'PORTIFÓLIO'!C:V,2,0),"")</f>
        <v/>
      </c>
      <c r="E33" s="211" t="str">
        <f>IFERROR(VLOOKUP($C33,'PORTIFÓLIO'!C:V,3,0),"")</f>
        <v/>
      </c>
      <c r="F33" s="211" t="str">
        <f>IFERROR(VLOOKUP($C33,'PORTIFÓLIO'!C:V,4,0),"")</f>
        <v/>
      </c>
      <c r="G33" s="215" t="str">
        <f>IFERROR(VLOOKUP($C33,'PORTIFÓLIO'!C:V,5,0),"")</f>
        <v/>
      </c>
      <c r="H33" s="254" t="str">
        <f t="array" ref="H33">IFERROR(INDEX('PORTIFÓLIO'!$H$4:$H$433,MATCH($C33,'PORTIFÓLIO'!$C$4:$C$433,0)),"")</f>
        <v/>
      </c>
      <c r="I33" s="256"/>
      <c r="J33" s="218">
        <f t="shared" si="4"/>
        <v>0</v>
      </c>
      <c r="K33" s="219" t="str">
        <f t="array" ref="K33">IFERROR(I33*INDEX('PORTIFÓLIO'!$S$4:$S$433,MATCH($C33,'PORTIFÓLIO'!$C$4:$C$433,0)),"")</f>
        <v/>
      </c>
      <c r="L33" s="219" t="str">
        <f t="array" ref="L33">IFERROR(J33*INDEX('PORTIFÓLIO'!$S$4:$S$433,MATCH($C33,'PORTIFÓLIO'!$C$4:$C$433,0)),"")</f>
        <v/>
      </c>
      <c r="M33" s="227"/>
      <c r="N33" s="220"/>
      <c r="O33" s="220"/>
      <c r="P33" s="220"/>
      <c r="Q33" s="220"/>
      <c r="R33" s="220"/>
      <c r="S33" s="220"/>
      <c r="T33" s="220"/>
      <c r="U33" s="220"/>
      <c r="V33" s="220"/>
      <c r="W33" s="220"/>
    </row>
    <row r="34" ht="15.75" customHeight="1" outlineLevel="1">
      <c r="A34" s="211"/>
      <c r="B34" s="212"/>
      <c r="C34" s="213"/>
      <c r="D34" s="214" t="str">
        <f>IFERROR(VLOOKUP($C34,'PORTIFÓLIO'!C:V,2,0),"")</f>
        <v/>
      </c>
      <c r="E34" s="211" t="str">
        <f>IFERROR(VLOOKUP($C34,'PORTIFÓLIO'!C:V,3,0),"")</f>
        <v/>
      </c>
      <c r="F34" s="211" t="str">
        <f>IFERROR(VLOOKUP($C34,'PORTIFÓLIO'!C:V,4,0),"")</f>
        <v/>
      </c>
      <c r="G34" s="215" t="str">
        <f>IFERROR(VLOOKUP($C34,'PORTIFÓLIO'!C:V,5,0),"")</f>
        <v/>
      </c>
      <c r="H34" s="254" t="str">
        <f t="array" ref="H34">IFERROR(INDEX('PORTIFÓLIO'!$H$4:$H$433,MATCH($C34,'PORTIFÓLIO'!$C$4:$C$433,0)),"")</f>
        <v/>
      </c>
      <c r="I34" s="255"/>
      <c r="J34" s="218">
        <f t="shared" si="4"/>
        <v>0</v>
      </c>
      <c r="K34" s="219" t="str">
        <f t="array" ref="K34">IFERROR(I34*INDEX('PORTIFÓLIO'!$S$4:$S$433,MATCH($C34,'PORTIFÓLIO'!$C$4:$C$433,0)),"")</f>
        <v/>
      </c>
      <c r="L34" s="219" t="str">
        <f t="array" ref="L34">IFERROR(J34*INDEX('PORTIFÓLIO'!$S$4:$S$433,MATCH($C34,'PORTIFÓLIO'!$C$4:$C$433,0)),"")</f>
        <v/>
      </c>
      <c r="M34" s="227"/>
      <c r="N34" s="220"/>
      <c r="O34" s="220"/>
      <c r="P34" s="220"/>
      <c r="Q34" s="220"/>
      <c r="R34" s="220"/>
      <c r="S34" s="220"/>
      <c r="T34" s="220"/>
      <c r="U34" s="220"/>
      <c r="V34" s="220"/>
      <c r="W34" s="220"/>
    </row>
    <row r="35" ht="15.75" customHeight="1" outlineLevel="1">
      <c r="A35" s="211"/>
      <c r="B35" s="212"/>
      <c r="C35" s="213"/>
      <c r="D35" s="214" t="str">
        <f>IFERROR(VLOOKUP($C35,'PORTIFÓLIO'!C:V,2,0),"")</f>
        <v/>
      </c>
      <c r="E35" s="211" t="str">
        <f>IFERROR(VLOOKUP($C35,'PORTIFÓLIO'!C:V,3,0),"")</f>
        <v/>
      </c>
      <c r="F35" s="211" t="str">
        <f>IFERROR(VLOOKUP($C35,'PORTIFÓLIO'!C:V,4,0),"")</f>
        <v/>
      </c>
      <c r="G35" s="215" t="str">
        <f>IFERROR(VLOOKUP($C35,'PORTIFÓLIO'!C:V,5,0),"")</f>
        <v/>
      </c>
      <c r="H35" s="254" t="str">
        <f t="array" ref="H35">IFERROR(INDEX('PORTIFÓLIO'!$H$4:$H$433,MATCH($C35,'PORTIFÓLIO'!$C$4:$C$433,0)),"")</f>
        <v/>
      </c>
      <c r="I35" s="256"/>
      <c r="J35" s="218">
        <f t="shared" si="4"/>
        <v>0</v>
      </c>
      <c r="K35" s="219" t="str">
        <f t="array" ref="K35">IFERROR(I35*INDEX('PORTIFÓLIO'!$S$4:$S$433,MATCH($C35,'PORTIFÓLIO'!$C$4:$C$433,0)),"")</f>
        <v/>
      </c>
      <c r="L35" s="219" t="str">
        <f t="array" ref="L35">IFERROR(J35*INDEX('PORTIFÓLIO'!$S$4:$S$433,MATCH($C35,'PORTIFÓLIO'!$C$4:$C$433,0)),"")</f>
        <v/>
      </c>
      <c r="M35" s="227"/>
      <c r="N35" s="220"/>
      <c r="O35" s="220"/>
      <c r="P35" s="220"/>
      <c r="Q35" s="220"/>
      <c r="R35" s="220"/>
      <c r="S35" s="220"/>
      <c r="T35" s="220"/>
      <c r="U35" s="220"/>
      <c r="V35" s="220"/>
      <c r="W35" s="220"/>
    </row>
    <row r="36" ht="15.75" customHeight="1" outlineLevel="1">
      <c r="A36" s="211"/>
      <c r="B36" s="212"/>
      <c r="C36" s="213"/>
      <c r="D36" s="214" t="str">
        <f>IFERROR(VLOOKUP($C36,'PORTIFÓLIO'!C:V,2,0),"")</f>
        <v/>
      </c>
      <c r="E36" s="211" t="str">
        <f>IFERROR(VLOOKUP($C36,'PORTIFÓLIO'!C:V,3,0),"")</f>
        <v/>
      </c>
      <c r="F36" s="211" t="str">
        <f>IFERROR(VLOOKUP($C36,'PORTIFÓLIO'!C:V,4,0),"")</f>
        <v/>
      </c>
      <c r="G36" s="215" t="str">
        <f>IFERROR(VLOOKUP($C36,'PORTIFÓLIO'!C:V,5,0),"")</f>
        <v/>
      </c>
      <c r="H36" s="254" t="str">
        <f t="array" ref="H36">IFERROR(INDEX('PORTIFÓLIO'!$H$4:$H$433,MATCH($C36,'PORTIFÓLIO'!$C$4:$C$433,0)),"")</f>
        <v/>
      </c>
      <c r="I36" s="256"/>
      <c r="J36" s="218">
        <f t="shared" si="4"/>
        <v>0</v>
      </c>
      <c r="K36" s="219" t="str">
        <f t="array" ref="K36">IFERROR(I36*INDEX('PORTIFÓLIO'!$S$4:$S$433,MATCH($C36,'PORTIFÓLIO'!$C$4:$C$433,0)),"")</f>
        <v/>
      </c>
      <c r="L36" s="219" t="str">
        <f t="array" ref="L36">IFERROR(J36*INDEX('PORTIFÓLIO'!$S$4:$S$433,MATCH($C36,'PORTIFÓLIO'!$C$4:$C$433,0)),"")</f>
        <v/>
      </c>
      <c r="M36" s="227"/>
      <c r="N36" s="220"/>
      <c r="O36" s="220"/>
      <c r="P36" s="220"/>
      <c r="Q36" s="220"/>
      <c r="R36" s="220"/>
      <c r="S36" s="220"/>
      <c r="T36" s="220"/>
      <c r="U36" s="220"/>
      <c r="V36" s="220"/>
      <c r="W36" s="220"/>
    </row>
    <row r="37" ht="15.75" customHeight="1" outlineLevel="1">
      <c r="A37" s="211"/>
      <c r="B37" s="212"/>
      <c r="C37" s="213"/>
      <c r="D37" s="214" t="str">
        <f>IFERROR(VLOOKUP($C37,'PORTIFÓLIO'!C:V,2,0),"")</f>
        <v/>
      </c>
      <c r="E37" s="211" t="str">
        <f>IFERROR(VLOOKUP($C37,'PORTIFÓLIO'!C:V,3,0),"")</f>
        <v/>
      </c>
      <c r="F37" s="211" t="str">
        <f>IFERROR(VLOOKUP($C37,'PORTIFÓLIO'!C:V,4,0),"")</f>
        <v/>
      </c>
      <c r="G37" s="215" t="str">
        <f>IFERROR(VLOOKUP($C37,'PORTIFÓLIO'!C:V,5,0),"")</f>
        <v/>
      </c>
      <c r="H37" s="254" t="str">
        <f t="array" ref="H37">IFERROR(INDEX('PORTIFÓLIO'!$H$4:$H$433,MATCH($C37,'PORTIFÓLIO'!$C$4:$C$433,0)),"")</f>
        <v/>
      </c>
      <c r="I37" s="256"/>
      <c r="J37" s="218">
        <f t="shared" si="4"/>
        <v>0</v>
      </c>
      <c r="K37" s="219" t="str">
        <f t="array" ref="K37">IFERROR(I37*INDEX('PORTIFÓLIO'!$S$4:$S$433,MATCH($C37,'PORTIFÓLIO'!$C$4:$C$433,0)),"")</f>
        <v/>
      </c>
      <c r="L37" s="219" t="str">
        <f t="array" ref="L37">IFERROR(J37*INDEX('PORTIFÓLIO'!$S$4:$S$433,MATCH($C37,'PORTIFÓLIO'!$C$4:$C$433,0)),"")</f>
        <v/>
      </c>
      <c r="M37" s="227"/>
      <c r="N37" s="220"/>
      <c r="O37" s="220"/>
      <c r="P37" s="220"/>
      <c r="Q37" s="220"/>
      <c r="R37" s="220"/>
      <c r="S37" s="220"/>
      <c r="T37" s="220"/>
      <c r="U37" s="220"/>
      <c r="V37" s="220"/>
      <c r="W37" s="220"/>
    </row>
    <row r="38" ht="15.75" customHeight="1" outlineLevel="1">
      <c r="A38" s="211"/>
      <c r="B38" s="212"/>
      <c r="C38" s="213"/>
      <c r="D38" s="214" t="str">
        <f>IFERROR(VLOOKUP($C38,'PORTIFÓLIO'!C:V,2,0),"")</f>
        <v/>
      </c>
      <c r="E38" s="211" t="str">
        <f>IFERROR(VLOOKUP($C38,'PORTIFÓLIO'!C:V,3,0),"")</f>
        <v/>
      </c>
      <c r="F38" s="211" t="str">
        <f>IFERROR(VLOOKUP($C38,'PORTIFÓLIO'!C:V,4,0),"")</f>
        <v/>
      </c>
      <c r="G38" s="215" t="str">
        <f>IFERROR(VLOOKUP($C38,'PORTIFÓLIO'!C:V,5,0),"")</f>
        <v/>
      </c>
      <c r="H38" s="254" t="str">
        <f t="array" ref="H38">IFERROR(INDEX('PORTIFÓLIO'!$H$4:$H$433,MATCH($C38,'PORTIFÓLIO'!$C$4:$C$433,0)),"")</f>
        <v/>
      </c>
      <c r="I38" s="256"/>
      <c r="J38" s="218">
        <f t="shared" si="4"/>
        <v>0</v>
      </c>
      <c r="K38" s="219" t="str">
        <f t="array" ref="K38">IFERROR(I38*INDEX('PORTIFÓLIO'!$S$4:$S$433,MATCH($C38,'PORTIFÓLIO'!$C$4:$C$433,0)),"")</f>
        <v/>
      </c>
      <c r="L38" s="219" t="str">
        <f t="array" ref="L38">IFERROR(J38*INDEX('PORTIFÓLIO'!$S$4:$S$433,MATCH($C38,'PORTIFÓLIO'!$C$4:$C$433,0)),"")</f>
        <v/>
      </c>
      <c r="M38" s="227"/>
      <c r="N38" s="220"/>
      <c r="O38" s="220"/>
      <c r="P38" s="220"/>
      <c r="Q38" s="220"/>
      <c r="R38" s="220"/>
      <c r="S38" s="220"/>
      <c r="T38" s="220"/>
      <c r="U38" s="220"/>
      <c r="V38" s="220"/>
      <c r="W38" s="220"/>
    </row>
    <row r="39" ht="15.75" customHeight="1" outlineLevel="1">
      <c r="A39" s="211"/>
      <c r="B39" s="212"/>
      <c r="C39" s="213"/>
      <c r="D39" s="214" t="str">
        <f>IFERROR(VLOOKUP($C39,'PORTIFÓLIO'!C:V,2,0),"")</f>
        <v/>
      </c>
      <c r="E39" s="211" t="str">
        <f>IFERROR(VLOOKUP($C39,'PORTIFÓLIO'!C:V,3,0),"")</f>
        <v/>
      </c>
      <c r="F39" s="211" t="str">
        <f>IFERROR(VLOOKUP($C39,'PORTIFÓLIO'!C:V,4,0),"")</f>
        <v/>
      </c>
      <c r="G39" s="215" t="str">
        <f>IFERROR(VLOOKUP($C39,'PORTIFÓLIO'!C:V,5,0),"")</f>
        <v/>
      </c>
      <c r="H39" s="254" t="str">
        <f t="array" ref="H39">IFERROR(INDEX('PORTIFÓLIO'!$H$4:$H$433,MATCH($C39,'PORTIFÓLIO'!$C$4:$C$433,0)),"")</f>
        <v/>
      </c>
      <c r="I39" s="256"/>
      <c r="J39" s="218">
        <f t="shared" si="4"/>
        <v>0</v>
      </c>
      <c r="K39" s="219" t="str">
        <f t="array" ref="K39">IFERROR(I39*INDEX('PORTIFÓLIO'!$S$4:$S$433,MATCH($C39,'PORTIFÓLIO'!$C$4:$C$433,0)),"")</f>
        <v/>
      </c>
      <c r="L39" s="219" t="str">
        <f t="array" ref="L39">IFERROR(J39*INDEX('PORTIFÓLIO'!$S$4:$S$433,MATCH($C39,'PORTIFÓLIO'!$C$4:$C$433,0)),"")</f>
        <v/>
      </c>
      <c r="M39" s="227"/>
      <c r="N39" s="220"/>
      <c r="O39" s="220"/>
      <c r="P39" s="220"/>
      <c r="Q39" s="220"/>
      <c r="R39" s="220"/>
      <c r="S39" s="220"/>
      <c r="T39" s="220"/>
      <c r="U39" s="220"/>
      <c r="V39" s="220"/>
      <c r="W39" s="220"/>
    </row>
    <row r="40" ht="15.75" customHeight="1" outlineLevel="1">
      <c r="A40" s="211"/>
      <c r="B40" s="212"/>
      <c r="C40" s="213"/>
      <c r="D40" s="214" t="str">
        <f>IFERROR(VLOOKUP($C40,'PORTIFÓLIO'!C:V,2,0),"")</f>
        <v/>
      </c>
      <c r="E40" s="211" t="str">
        <f>IFERROR(VLOOKUP($C40,'PORTIFÓLIO'!C:V,3,0),"")</f>
        <v/>
      </c>
      <c r="F40" s="211" t="str">
        <f>IFERROR(VLOOKUP($C40,'PORTIFÓLIO'!C:V,4,0),"")</f>
        <v/>
      </c>
      <c r="G40" s="215" t="str">
        <f>IFERROR(VLOOKUP($C40,'PORTIFÓLIO'!C:V,5,0),"")</f>
        <v/>
      </c>
      <c r="H40" s="254" t="str">
        <f t="array" ref="H40">IFERROR(INDEX('PORTIFÓLIO'!$H$4:$H$433,MATCH($C40,'PORTIFÓLIO'!$C$4:$C$433,0)),"")</f>
        <v/>
      </c>
      <c r="I40" s="256"/>
      <c r="J40" s="218">
        <f t="shared" si="4"/>
        <v>0</v>
      </c>
      <c r="K40" s="219" t="str">
        <f t="array" ref="K40">IFERROR(I40*INDEX('PORTIFÓLIO'!$S$4:$S$433,MATCH($C40,'PORTIFÓLIO'!$C$4:$C$433,0)),"")</f>
        <v/>
      </c>
      <c r="L40" s="219" t="str">
        <f t="array" ref="L40">IFERROR(J40*INDEX('PORTIFÓLIO'!$S$4:$S$433,MATCH($C40,'PORTIFÓLIO'!$C$4:$C$433,0)),"")</f>
        <v/>
      </c>
      <c r="M40" s="227"/>
      <c r="N40" s="220"/>
      <c r="O40" s="220"/>
      <c r="P40" s="220"/>
      <c r="Q40" s="220"/>
      <c r="R40" s="220"/>
      <c r="S40" s="220"/>
      <c r="T40" s="220"/>
      <c r="U40" s="220"/>
      <c r="V40" s="220"/>
      <c r="W40" s="220"/>
    </row>
    <row r="41" ht="15.75" customHeight="1" outlineLevel="1">
      <c r="A41" s="211"/>
      <c r="B41" s="212"/>
      <c r="C41" s="213"/>
      <c r="D41" s="214" t="str">
        <f>IFERROR(VLOOKUP($C41,'PORTIFÓLIO'!C:V,2,0),"")</f>
        <v/>
      </c>
      <c r="E41" s="211" t="str">
        <f>IFERROR(VLOOKUP($C41,'PORTIFÓLIO'!C:V,3,0),"")</f>
        <v/>
      </c>
      <c r="F41" s="211" t="str">
        <f>IFERROR(VLOOKUP($C41,'PORTIFÓLIO'!C:V,4,0),"")</f>
        <v/>
      </c>
      <c r="G41" s="215" t="str">
        <f>IFERROR(VLOOKUP($C41,'PORTIFÓLIO'!C:V,5,0),"")</f>
        <v/>
      </c>
      <c r="H41" s="254" t="str">
        <f t="array" ref="H41">IFERROR(INDEX('PORTIFÓLIO'!$H$4:$H$433,MATCH($C41,'PORTIFÓLIO'!$C$4:$C$433,0)),"")</f>
        <v/>
      </c>
      <c r="I41" s="256"/>
      <c r="J41" s="218">
        <f t="shared" si="4"/>
        <v>0</v>
      </c>
      <c r="K41" s="219" t="str">
        <f t="array" ref="K41">IFERROR(I41*INDEX('PORTIFÓLIO'!$S$4:$S$433,MATCH($C41,'PORTIFÓLIO'!$C$4:$C$433,0)),"")</f>
        <v/>
      </c>
      <c r="L41" s="219" t="str">
        <f t="array" ref="L41">IFERROR(J41*INDEX('PORTIFÓLIO'!$S$4:$S$433,MATCH($C41,'PORTIFÓLIO'!$C$4:$C$433,0)),"")</f>
        <v/>
      </c>
      <c r="M41" s="227"/>
      <c r="N41" s="220"/>
      <c r="O41" s="220"/>
      <c r="P41" s="220"/>
      <c r="Q41" s="220"/>
      <c r="R41" s="220"/>
      <c r="S41" s="220"/>
      <c r="T41" s="220"/>
      <c r="U41" s="220"/>
      <c r="V41" s="220"/>
      <c r="W41" s="220"/>
    </row>
    <row r="42" ht="15.75" customHeight="1" outlineLevel="1">
      <c r="A42" s="211"/>
      <c r="B42" s="212"/>
      <c r="C42" s="213"/>
      <c r="D42" s="214" t="str">
        <f>IFERROR(VLOOKUP($C42,'PORTIFÓLIO'!C:V,2,0),"")</f>
        <v/>
      </c>
      <c r="E42" s="211" t="str">
        <f>IFERROR(VLOOKUP($C42,'PORTIFÓLIO'!C:V,3,0),"")</f>
        <v/>
      </c>
      <c r="F42" s="211" t="str">
        <f>IFERROR(VLOOKUP($C42,'PORTIFÓLIO'!C:V,4,0),"")</f>
        <v/>
      </c>
      <c r="G42" s="215" t="str">
        <f>IFERROR(VLOOKUP($C42,'PORTIFÓLIO'!C:V,5,0),"")</f>
        <v/>
      </c>
      <c r="H42" s="254" t="str">
        <f t="array" ref="H42">IFERROR(INDEX('PORTIFÓLIO'!$H$4:$H$433,MATCH($C42,'PORTIFÓLIO'!$C$4:$C$433,0)),"")</f>
        <v/>
      </c>
      <c r="I42" s="256"/>
      <c r="J42" s="218">
        <f t="shared" si="4"/>
        <v>0</v>
      </c>
      <c r="K42" s="219" t="str">
        <f t="array" ref="K42">IFERROR(I42*INDEX('PORTIFÓLIO'!$S$4:$S$433,MATCH($C42,'PORTIFÓLIO'!$C$4:$C$433,0)),"")</f>
        <v/>
      </c>
      <c r="L42" s="219" t="str">
        <f t="array" ref="L42">IFERROR(J42*INDEX('PORTIFÓLIO'!$S$4:$S$433,MATCH($C42,'PORTIFÓLIO'!$C$4:$C$433,0)),"")</f>
        <v/>
      </c>
      <c r="M42" s="227"/>
      <c r="N42" s="220"/>
      <c r="O42" s="220"/>
      <c r="P42" s="220"/>
      <c r="Q42" s="220"/>
      <c r="R42" s="220"/>
      <c r="S42" s="220"/>
      <c r="T42" s="220"/>
      <c r="U42" s="220"/>
      <c r="V42" s="220"/>
      <c r="W42" s="220"/>
    </row>
    <row r="43" ht="15.75" customHeight="1" outlineLevel="1">
      <c r="A43" s="211"/>
      <c r="B43" s="212"/>
      <c r="C43" s="213"/>
      <c r="D43" s="214" t="str">
        <f>IFERROR(VLOOKUP($C43,'PORTIFÓLIO'!C:V,2,0),"")</f>
        <v/>
      </c>
      <c r="E43" s="211" t="str">
        <f>IFERROR(VLOOKUP($C43,'PORTIFÓLIO'!C:V,3,0),"")</f>
        <v/>
      </c>
      <c r="F43" s="211" t="str">
        <f>IFERROR(VLOOKUP($C43,'PORTIFÓLIO'!C:V,4,0),"")</f>
        <v/>
      </c>
      <c r="G43" s="215" t="str">
        <f>IFERROR(VLOOKUP($C43,'PORTIFÓLIO'!C:V,5,0),"")</f>
        <v/>
      </c>
      <c r="H43" s="254" t="str">
        <f t="array" ref="H43">IFERROR(INDEX('PORTIFÓLIO'!$H$4:$H$433,MATCH($C43,'PORTIFÓLIO'!$C$4:$C$433,0)),"")</f>
        <v/>
      </c>
      <c r="I43" s="256"/>
      <c r="J43" s="218">
        <f t="shared" si="4"/>
        <v>0</v>
      </c>
      <c r="K43" s="219" t="str">
        <f t="array" ref="K43">IFERROR(I43*INDEX('PORTIFÓLIO'!$S$4:$S$433,MATCH($C43,'PORTIFÓLIO'!$C$4:$C$433,0)),"")</f>
        <v/>
      </c>
      <c r="L43" s="219" t="str">
        <f t="array" ref="L43">IFERROR(J43*INDEX('PORTIFÓLIO'!$S$4:$S$433,MATCH($C43,'PORTIFÓLIO'!$C$4:$C$433,0)),"")</f>
        <v/>
      </c>
      <c r="M43" s="227"/>
      <c r="N43" s="220"/>
      <c r="O43" s="220"/>
      <c r="P43" s="220"/>
      <c r="Q43" s="220"/>
      <c r="R43" s="220"/>
      <c r="S43" s="220"/>
      <c r="T43" s="220"/>
      <c r="U43" s="220"/>
      <c r="V43" s="220"/>
      <c r="W43" s="220"/>
    </row>
    <row r="44" ht="15.75" customHeight="1">
      <c r="A44" s="221" t="s">
        <v>1185</v>
      </c>
      <c r="B44" s="197"/>
      <c r="C44" s="196"/>
      <c r="D44" s="198" t="s">
        <v>216</v>
      </c>
      <c r="E44" s="196"/>
      <c r="F44" s="196"/>
      <c r="G44" s="199"/>
      <c r="H44" s="199"/>
      <c r="I44" s="252"/>
      <c r="J44" s="202"/>
      <c r="K44" s="203">
        <f t="shared" ref="K44:L44" si="5">SUBTOTAL(9,K45:K58)</f>
        <v>154.6635032</v>
      </c>
      <c r="L44" s="203">
        <f t="shared" si="5"/>
        <v>15930.34083</v>
      </c>
      <c r="M44" s="238"/>
      <c r="N44" s="177"/>
      <c r="O44" s="177"/>
      <c r="P44" s="177"/>
      <c r="Q44" s="177"/>
      <c r="R44" s="177"/>
      <c r="S44" s="177"/>
      <c r="T44" s="177"/>
      <c r="U44" s="177"/>
      <c r="V44" s="177"/>
      <c r="W44" s="177"/>
    </row>
    <row r="45" ht="15.75" customHeight="1" outlineLevel="1">
      <c r="A45" s="191"/>
      <c r="B45" s="204" t="s">
        <v>1</v>
      </c>
      <c r="C45" s="191" t="s">
        <v>706</v>
      </c>
      <c r="D45" s="205" t="str">
        <f>IFERROR(VLOOKUP($C45,'PORTIFÓLIO'!C:V,2,0),"")</f>
        <v>GLUFOSINATO - SAL DE AMONIO</v>
      </c>
      <c r="E45" s="190">
        <f>IFERROR(VLOOKUP($C45,'PORTIFÓLIO'!C:V,3,0),"")</f>
        <v>880</v>
      </c>
      <c r="F45" s="190" t="str">
        <f>IFERROR(VLOOKUP($C45,'PORTIFÓLIO'!C:V,4,0),"")</f>
        <v>L</v>
      </c>
      <c r="G45" s="223" t="str">
        <f>IFERROR(VLOOKUP($C45,'PORTIFÓLIO'!C:V,5,0),"")</f>
        <v>📄 Ver bula</v>
      </c>
      <c r="H45" s="247">
        <f t="array" ref="H45">IFERROR(INDEX('PORTIFÓLIO'!$H$4:$H$433,MATCH($C45,'PORTIFÓLIO'!$C$4:$C$433,0)),"")</f>
        <v>0.5</v>
      </c>
      <c r="I45" s="253">
        <v>0.5</v>
      </c>
      <c r="J45" s="209">
        <f t="shared" ref="J45:J62" si="6">I45*$B$2</f>
        <v>51.5</v>
      </c>
      <c r="K45" s="210">
        <f t="array" ref="K45">IFERROR(I45*INDEX('PORTIFÓLIO'!$S$4:$S$433,MATCH($C45,'PORTIFÓLIO'!$C$4:$C$433,0)),"")</f>
        <v>23.49848</v>
      </c>
      <c r="L45" s="210">
        <f t="array" ref="L45">IFERROR(J45*INDEX('PORTIFÓLIO'!$S$4:$S$433,MATCH($C45,'PORTIFÓLIO'!$C$4:$C$433,0)),"")</f>
        <v>2420.34344</v>
      </c>
      <c r="M45" s="238"/>
      <c r="N45" s="177"/>
      <c r="O45" s="177"/>
      <c r="P45" s="177"/>
      <c r="Q45" s="177"/>
      <c r="R45" s="177"/>
      <c r="S45" s="177"/>
      <c r="T45" s="177"/>
      <c r="U45" s="177"/>
      <c r="V45" s="177"/>
      <c r="W45" s="177"/>
    </row>
    <row r="46" ht="15.75" customHeight="1" outlineLevel="1">
      <c r="A46" s="190"/>
      <c r="B46" s="204" t="s">
        <v>1</v>
      </c>
      <c r="C46" s="191" t="s">
        <v>719</v>
      </c>
      <c r="D46" s="205" t="str">
        <f>IFERROR(VLOOKUP($C46,'PORTIFÓLIO'!C:V,2,0),"")</f>
        <v>IMAZETAPIR + FLUMIOXAZINA</v>
      </c>
      <c r="E46" s="190" t="str">
        <f>IFERROR(VLOOKUP($C46,'PORTIFÓLIO'!C:V,3,0),"")</f>
        <v>212 + 100</v>
      </c>
      <c r="F46" s="190" t="str">
        <f>IFERROR(VLOOKUP($C46,'PORTIFÓLIO'!C:V,4,0),"")</f>
        <v>L</v>
      </c>
      <c r="G46" s="223" t="str">
        <f>IFERROR(VLOOKUP($C46,'PORTIFÓLIO'!C:V,5,0),"")</f>
        <v>📄 Ver bula</v>
      </c>
      <c r="H46" s="247">
        <f t="array" ref="H46">IFERROR(INDEX('PORTIFÓLIO'!$H$4:$H$433,MATCH($C46,'PORTIFÓLIO'!$C$4:$C$433,0)),"")</f>
        <v>0.4</v>
      </c>
      <c r="I46" s="253">
        <v>0.4</v>
      </c>
      <c r="J46" s="209">
        <f t="shared" si="6"/>
        <v>41.2</v>
      </c>
      <c r="K46" s="210">
        <f t="array" ref="K46">IFERROR(I46*INDEX('PORTIFÓLIO'!$S$4:$S$433,MATCH($C46,'PORTIFÓLIO'!$C$4:$C$433,0)),"")</f>
        <v>33.065016</v>
      </c>
      <c r="L46" s="210">
        <f t="array" ref="L46">IFERROR(J46*INDEX('PORTIFÓLIO'!$S$4:$S$433,MATCH($C46,'PORTIFÓLIO'!$C$4:$C$433,0)),"")</f>
        <v>3405.696648</v>
      </c>
      <c r="M46" s="238"/>
      <c r="N46" s="177"/>
      <c r="O46" s="177"/>
      <c r="P46" s="177"/>
      <c r="Q46" s="177"/>
      <c r="R46" s="177"/>
      <c r="S46" s="177"/>
      <c r="T46" s="177"/>
      <c r="U46" s="177"/>
      <c r="V46" s="177"/>
      <c r="W46" s="177"/>
    </row>
    <row r="47" ht="15.75" customHeight="1" outlineLevel="1">
      <c r="A47" s="190"/>
      <c r="B47" s="204" t="s">
        <v>1</v>
      </c>
      <c r="C47" s="191" t="s">
        <v>728</v>
      </c>
      <c r="D47" s="205" t="str">
        <f>IFERROR(VLOOKUP($C47,'PORTIFÓLIO'!C:V,2,0),"")</f>
        <v>S-METOLACLORO</v>
      </c>
      <c r="E47" s="190">
        <f>IFERROR(VLOOKUP($C47,'PORTIFÓLIO'!C:V,3,0),"")</f>
        <v>960</v>
      </c>
      <c r="F47" s="190" t="str">
        <f>IFERROR(VLOOKUP($C47,'PORTIFÓLIO'!C:V,4,0),"")</f>
        <v>KG</v>
      </c>
      <c r="G47" s="223" t="str">
        <f>IFERROR(VLOOKUP($C47,'PORTIFÓLIO'!C:V,5,0),"")</f>
        <v>📄 Ver bula</v>
      </c>
      <c r="H47" s="247">
        <f t="array" ref="H47">IFERROR(INDEX('PORTIFÓLIO'!$H$4:$H$433,MATCH($C47,'PORTIFÓLIO'!$C$4:$C$433,0)),"")</f>
        <v>2</v>
      </c>
      <c r="I47" s="253">
        <v>1.0</v>
      </c>
      <c r="J47" s="209">
        <f t="shared" si="6"/>
        <v>103</v>
      </c>
      <c r="K47" s="210">
        <f t="array" ref="K47">IFERROR(I47*INDEX('PORTIFÓLIO'!$S$4:$S$433,MATCH($C47,'PORTIFÓLIO'!$C$4:$C$433,0)),"")</f>
        <v>29.1273</v>
      </c>
      <c r="L47" s="210">
        <f t="array" ref="L47">IFERROR(J47*INDEX('PORTIFÓLIO'!$S$4:$S$433,MATCH($C47,'PORTIFÓLIO'!$C$4:$C$433,0)),"")</f>
        <v>3000.1119</v>
      </c>
      <c r="M47" s="238"/>
      <c r="N47" s="177"/>
      <c r="O47" s="177"/>
      <c r="P47" s="177"/>
      <c r="Q47" s="177"/>
      <c r="R47" s="177"/>
      <c r="S47" s="177"/>
      <c r="T47" s="177"/>
      <c r="U47" s="177"/>
      <c r="V47" s="177"/>
      <c r="W47" s="177"/>
    </row>
    <row r="48" ht="15.75" customHeight="1" outlineLevel="1">
      <c r="A48" s="190"/>
      <c r="B48" s="204" t="s">
        <v>6</v>
      </c>
      <c r="C48" s="191" t="s">
        <v>351</v>
      </c>
      <c r="D48" s="205" t="str">
        <f>IFERROR(VLOOKUP($C48,'PORTIFÓLIO'!C:V,2,0),"")</f>
        <v>ÉSTER METILICO DE OLEO DE SOJA</v>
      </c>
      <c r="E48" s="190">
        <f>IFERROR(VLOOKUP($C48,'PORTIFÓLIO'!C:V,3,0),"")</f>
        <v>720</v>
      </c>
      <c r="F48" s="190" t="str">
        <f>IFERROR(VLOOKUP($C48,'PORTIFÓLIO'!C:V,4,0),"")</f>
        <v>L</v>
      </c>
      <c r="G48" s="223" t="str">
        <f>IFERROR(VLOOKUP($C48,'PORTIFÓLIO'!C:V,5,0),"")</f>
        <v>📄 Ver bula</v>
      </c>
      <c r="H48" s="247">
        <f t="array" ref="H48">IFERROR(INDEX('PORTIFÓLIO'!$H$4:$H$433,MATCH($C48,'PORTIFÓLIO'!$C$4:$C$433,0)),"")</f>
        <v>0.08</v>
      </c>
      <c r="I48" s="253">
        <v>0.2</v>
      </c>
      <c r="J48" s="209">
        <f t="shared" si="6"/>
        <v>20.6</v>
      </c>
      <c r="K48" s="210">
        <f t="array" ref="K48">IFERROR(I48*INDEX('PORTIFÓLIO'!$S$4:$S$433,MATCH($C48,'PORTIFÓLIO'!$C$4:$C$433,0)),"")</f>
        <v>2.968756</v>
      </c>
      <c r="L48" s="210">
        <f t="array" ref="L48">IFERROR(J48*INDEX('PORTIFÓLIO'!$S$4:$S$433,MATCH($C48,'PORTIFÓLIO'!$C$4:$C$433,0)),"")</f>
        <v>305.781868</v>
      </c>
      <c r="M48" s="238"/>
      <c r="N48" s="177"/>
      <c r="O48" s="177"/>
      <c r="P48" s="177"/>
      <c r="Q48" s="177"/>
      <c r="R48" s="177"/>
      <c r="S48" s="177"/>
      <c r="T48" s="177"/>
      <c r="U48" s="177"/>
      <c r="V48" s="177"/>
      <c r="W48" s="177"/>
    </row>
    <row r="49" ht="15.75" customHeight="1" outlineLevel="1">
      <c r="A49" s="190"/>
      <c r="B49" s="204" t="s">
        <v>2</v>
      </c>
      <c r="C49" s="191" t="s">
        <v>824</v>
      </c>
      <c r="D49" s="205" t="str">
        <f>IFERROR(VLOOKUP($C49,'PORTIFÓLIO'!C:V,2,0),"")</f>
        <v>CLORANTRANILIPROLE</v>
      </c>
      <c r="E49" s="190">
        <f>IFERROR(VLOOKUP($C49,'PORTIFÓLIO'!C:V,3,0),"")</f>
        <v>200</v>
      </c>
      <c r="F49" s="190" t="str">
        <f>IFERROR(VLOOKUP($C49,'PORTIFÓLIO'!C:V,4,0),"")</f>
        <v>L</v>
      </c>
      <c r="G49" s="223" t="str">
        <f>IFERROR(VLOOKUP($C49,'PORTIFÓLIO'!C:V,5,0),"")</f>
        <v>📄 Ver bula</v>
      </c>
      <c r="H49" s="247">
        <f t="array" ref="H49">IFERROR(INDEX('PORTIFÓLIO'!$H$4:$H$433,MATCH($C49,'PORTIFÓLIO'!$C$4:$C$433,0)),"")</f>
        <v>0.1</v>
      </c>
      <c r="I49" s="253">
        <v>0.04</v>
      </c>
      <c r="J49" s="209">
        <f t="shared" si="6"/>
        <v>4.12</v>
      </c>
      <c r="K49" s="210">
        <f t="array" ref="K49">IFERROR(I49*INDEX('PORTIFÓLIO'!$S$4:$S$433,MATCH($C49,'PORTIFÓLIO'!$C$4:$C$433,0)),"")</f>
        <v>11.31855</v>
      </c>
      <c r="L49" s="210">
        <f t="array" ref="L49">IFERROR(J49*INDEX('PORTIFÓLIO'!$S$4:$S$433,MATCH($C49,'PORTIFÓLIO'!$C$4:$C$433,0)),"")</f>
        <v>1165.81065</v>
      </c>
      <c r="M49" s="238"/>
      <c r="N49" s="177"/>
      <c r="O49" s="177"/>
      <c r="P49" s="177"/>
      <c r="Q49" s="177"/>
      <c r="R49" s="177"/>
      <c r="S49" s="177"/>
      <c r="T49" s="177"/>
      <c r="U49" s="177"/>
      <c r="V49" s="177"/>
      <c r="W49" s="177"/>
    </row>
    <row r="50" ht="15.75" customHeight="1" outlineLevel="1">
      <c r="A50" s="190"/>
      <c r="B50" s="204" t="s">
        <v>2</v>
      </c>
      <c r="C50" s="191" t="s">
        <v>788</v>
      </c>
      <c r="D50" s="205" t="str">
        <f>IFERROR(VLOOKUP($C50,'PORTIFÓLIO'!C:V,2,0),"")</f>
        <v>FIPRONIL</v>
      </c>
      <c r="E50" s="190">
        <f>IFERROR(VLOOKUP($C50,'PORTIFÓLIO'!C:V,3,0),"")</f>
        <v>800</v>
      </c>
      <c r="F50" s="190" t="str">
        <f>IFERROR(VLOOKUP($C50,'PORTIFÓLIO'!C:V,4,0),"")</f>
        <v>L</v>
      </c>
      <c r="G50" s="223" t="str">
        <f>IFERROR(VLOOKUP($C50,'PORTIFÓLIO'!C:V,5,0),"")</f>
        <v>📄 Ver bula</v>
      </c>
      <c r="H50" s="247">
        <f t="array" ref="H50">IFERROR(INDEX('PORTIFÓLIO'!$H$4:$H$433,MATCH($C50,'PORTIFÓLIO'!$C$4:$C$433,0)),"")</f>
        <v>0.04</v>
      </c>
      <c r="I50" s="253">
        <v>0.04</v>
      </c>
      <c r="J50" s="209">
        <f t="shared" si="6"/>
        <v>4.12</v>
      </c>
      <c r="K50" s="210">
        <f t="array" ref="K50">IFERROR(I50*INDEX('PORTIFÓLIO'!$S$4:$S$433,MATCH($C50,'PORTIFÓLIO'!$C$4:$C$433,0)),"")</f>
        <v>9.9054012</v>
      </c>
      <c r="L50" s="210">
        <f t="array" ref="L50">IFERROR(J50*INDEX('PORTIFÓLIO'!$S$4:$S$433,MATCH($C50,'PORTIFÓLIO'!$C$4:$C$433,0)),"")</f>
        <v>1020.256324</v>
      </c>
      <c r="M50" s="238"/>
      <c r="N50" s="177"/>
      <c r="O50" s="177"/>
      <c r="P50" s="177"/>
      <c r="Q50" s="177"/>
      <c r="R50" s="177"/>
      <c r="S50" s="177"/>
      <c r="T50" s="177"/>
      <c r="U50" s="177"/>
      <c r="V50" s="177"/>
      <c r="W50" s="177"/>
    </row>
    <row r="51" ht="15.75" customHeight="1" outlineLevel="1">
      <c r="A51" s="211"/>
      <c r="B51" s="212" t="s">
        <v>9</v>
      </c>
      <c r="C51" s="213" t="s">
        <v>933</v>
      </c>
      <c r="D51" s="214" t="str">
        <f>IFERROR(VLOOKUP($C51,'PORTIFÓLIO'!C:V,2,0),"")</f>
        <v>N1%;B9,5%</v>
      </c>
      <c r="E51" s="211" t="str">
        <f>IFERROR(VLOOKUP($C51,'PORTIFÓLIO'!C:V,3,0),"")</f>
        <v>13,8g/l + 131,1g/l</v>
      </c>
      <c r="F51" s="211" t="str">
        <f>IFERROR(VLOOKUP($C51,'PORTIFÓLIO'!C:V,4,0),"")</f>
        <v>L</v>
      </c>
      <c r="G51" s="215" t="str">
        <f>IFERROR(VLOOKUP($C51,'PORTIFÓLIO'!C:V,5,0),"")</f>
        <v/>
      </c>
      <c r="H51" s="254">
        <f t="array" ref="H51">IFERROR(INDEX('PORTIFÓLIO'!$H$4:$H$433,MATCH($C51,'PORTIFÓLIO'!$C$4:$C$433,0)),"")</f>
        <v>2</v>
      </c>
      <c r="I51" s="255">
        <v>1.0</v>
      </c>
      <c r="J51" s="218">
        <f t="shared" si="6"/>
        <v>103</v>
      </c>
      <c r="K51" s="219">
        <f t="array" ref="K51">IFERROR(I51*INDEX('PORTIFÓLIO'!$S$4:$S$433,MATCH($C51,'PORTIFÓLIO'!$C$4:$C$433,0)),"")</f>
        <v>44.78</v>
      </c>
      <c r="L51" s="219">
        <f t="array" ref="L51">IFERROR(J51*INDEX('PORTIFÓLIO'!$S$4:$S$433,MATCH($C51,'PORTIFÓLIO'!$C$4:$C$433,0)),"")</f>
        <v>4612.34</v>
      </c>
      <c r="M51" s="227"/>
      <c r="N51" s="220"/>
      <c r="O51" s="220"/>
      <c r="P51" s="220"/>
      <c r="Q51" s="220"/>
      <c r="R51" s="220"/>
      <c r="S51" s="220"/>
      <c r="T51" s="220"/>
      <c r="U51" s="220"/>
      <c r="V51" s="220"/>
      <c r="W51" s="220"/>
    </row>
    <row r="52" ht="15.75" customHeight="1" outlineLevel="1">
      <c r="A52" s="211"/>
      <c r="B52" s="212"/>
      <c r="C52" s="213"/>
      <c r="D52" s="214" t="str">
        <f>IFERROR(VLOOKUP($C52,'PORTIFÓLIO'!C:V,2,0),"")</f>
        <v/>
      </c>
      <c r="E52" s="211" t="str">
        <f>IFERROR(VLOOKUP($C52,'PORTIFÓLIO'!C:V,3,0),"")</f>
        <v/>
      </c>
      <c r="F52" s="211" t="str">
        <f>IFERROR(VLOOKUP($C52,'PORTIFÓLIO'!C:V,4,0),"")</f>
        <v/>
      </c>
      <c r="G52" s="215" t="str">
        <f>IFERROR(VLOOKUP($C52,'PORTIFÓLIO'!C:V,5,0),"")</f>
        <v/>
      </c>
      <c r="H52" s="254" t="str">
        <f t="array" ref="H52">IFERROR(INDEX('PORTIFÓLIO'!$H$4:$H$433,MATCH($C52,'PORTIFÓLIO'!$C$4:$C$433,0)),"")</f>
        <v/>
      </c>
      <c r="I52" s="256"/>
      <c r="J52" s="218">
        <f t="shared" si="6"/>
        <v>0</v>
      </c>
      <c r="K52" s="219" t="str">
        <f t="array" ref="K52">IFERROR(I52*INDEX('PORTIFÓLIO'!$S$4:$S$433,MATCH($C52,'PORTIFÓLIO'!$C$4:$C$433,0)),"")</f>
        <v/>
      </c>
      <c r="L52" s="219" t="str">
        <f t="array" ref="L52">IFERROR(J52*INDEX('PORTIFÓLIO'!$S$4:$S$433,MATCH($C52,'PORTIFÓLIO'!$C$4:$C$433,0)),"")</f>
        <v/>
      </c>
      <c r="M52" s="227"/>
      <c r="N52" s="220"/>
      <c r="O52" s="220"/>
      <c r="P52" s="220"/>
      <c r="Q52" s="220"/>
      <c r="R52" s="220"/>
      <c r="S52" s="220"/>
      <c r="T52" s="220"/>
      <c r="U52" s="220"/>
      <c r="V52" s="220"/>
      <c r="W52" s="220"/>
    </row>
    <row r="53" ht="15.75" customHeight="1" outlineLevel="1">
      <c r="A53" s="211"/>
      <c r="B53" s="212"/>
      <c r="C53" s="213"/>
      <c r="D53" s="214" t="str">
        <f>IFERROR(VLOOKUP($C53,'PORTIFÓLIO'!C:V,2,0),"")</f>
        <v/>
      </c>
      <c r="E53" s="211" t="str">
        <f>IFERROR(VLOOKUP($C53,'PORTIFÓLIO'!C:V,3,0),"")</f>
        <v/>
      </c>
      <c r="F53" s="211" t="str">
        <f>IFERROR(VLOOKUP($C53,'PORTIFÓLIO'!C:V,4,0),"")</f>
        <v/>
      </c>
      <c r="G53" s="215" t="str">
        <f>IFERROR(VLOOKUP($C53,'PORTIFÓLIO'!C:V,5,0),"")</f>
        <v/>
      </c>
      <c r="H53" s="254" t="str">
        <f t="array" ref="H53">IFERROR(INDEX('PORTIFÓLIO'!$H$4:$H$433,MATCH($C53,'PORTIFÓLIO'!$C$4:$C$433,0)),"")</f>
        <v/>
      </c>
      <c r="I53" s="255"/>
      <c r="J53" s="218">
        <f t="shared" si="6"/>
        <v>0</v>
      </c>
      <c r="K53" s="219" t="str">
        <f t="array" ref="K53">IFERROR(I53*INDEX('PORTIFÓLIO'!$S$4:$S$433,MATCH($C53,'PORTIFÓLIO'!$C$4:$C$433,0)),"")</f>
        <v/>
      </c>
      <c r="L53" s="219" t="str">
        <f t="array" ref="L53">IFERROR(J53*INDEX('PORTIFÓLIO'!$S$4:$S$433,MATCH($C53,'PORTIFÓLIO'!$C$4:$C$433,0)),"")</f>
        <v/>
      </c>
      <c r="M53" s="227"/>
      <c r="N53" s="220"/>
      <c r="O53" s="220"/>
      <c r="P53" s="220"/>
      <c r="Q53" s="220"/>
      <c r="R53" s="220"/>
      <c r="S53" s="220"/>
      <c r="T53" s="220"/>
      <c r="U53" s="220"/>
      <c r="V53" s="220"/>
      <c r="W53" s="220"/>
    </row>
    <row r="54" ht="15.75" customHeight="1" outlineLevel="1">
      <c r="A54" s="211"/>
      <c r="B54" s="212"/>
      <c r="C54" s="213"/>
      <c r="D54" s="214" t="str">
        <f>IFERROR(VLOOKUP($C54,'PORTIFÓLIO'!C:V,2,0),"")</f>
        <v/>
      </c>
      <c r="E54" s="211" t="str">
        <f>IFERROR(VLOOKUP($C54,'PORTIFÓLIO'!C:V,3,0),"")</f>
        <v/>
      </c>
      <c r="F54" s="211" t="str">
        <f>IFERROR(VLOOKUP($C54,'PORTIFÓLIO'!C:V,4,0),"")</f>
        <v/>
      </c>
      <c r="G54" s="215" t="str">
        <f>IFERROR(VLOOKUP($C54,'PORTIFÓLIO'!C:V,5,0),"")</f>
        <v/>
      </c>
      <c r="H54" s="254" t="str">
        <f t="array" ref="H54">IFERROR(INDEX('PORTIFÓLIO'!$H$4:$H$433,MATCH($C54,'PORTIFÓLIO'!$C$4:$C$433,0)),"")</f>
        <v/>
      </c>
      <c r="I54" s="256"/>
      <c r="J54" s="218">
        <f t="shared" si="6"/>
        <v>0</v>
      </c>
      <c r="K54" s="219" t="str">
        <f t="array" ref="K54">IFERROR(I54*INDEX('PORTIFÓLIO'!$S$4:$S$433,MATCH($C54,'PORTIFÓLIO'!$C$4:$C$433,0)),"")</f>
        <v/>
      </c>
      <c r="L54" s="219" t="str">
        <f t="array" ref="L54">IFERROR(J54*INDEX('PORTIFÓLIO'!$S$4:$S$433,MATCH($C54,'PORTIFÓLIO'!$C$4:$C$433,0)),"")</f>
        <v/>
      </c>
      <c r="M54" s="227"/>
      <c r="N54" s="220"/>
      <c r="O54" s="220"/>
      <c r="P54" s="220"/>
      <c r="Q54" s="220"/>
      <c r="R54" s="220"/>
      <c r="S54" s="220"/>
      <c r="T54" s="220"/>
      <c r="U54" s="220"/>
      <c r="V54" s="220"/>
      <c r="W54" s="220"/>
    </row>
    <row r="55" ht="15.75" customHeight="1" outlineLevel="1">
      <c r="A55" s="211"/>
      <c r="B55" s="212"/>
      <c r="C55" s="213"/>
      <c r="D55" s="214" t="str">
        <f>IFERROR(VLOOKUP($C55,'PORTIFÓLIO'!C:V,2,0),"")</f>
        <v/>
      </c>
      <c r="E55" s="211" t="str">
        <f>IFERROR(VLOOKUP($C55,'PORTIFÓLIO'!C:V,3,0),"")</f>
        <v/>
      </c>
      <c r="F55" s="211" t="str">
        <f>IFERROR(VLOOKUP($C55,'PORTIFÓLIO'!C:V,4,0),"")</f>
        <v/>
      </c>
      <c r="G55" s="215" t="str">
        <f>IFERROR(VLOOKUP($C55,'PORTIFÓLIO'!C:V,5,0),"")</f>
        <v/>
      </c>
      <c r="H55" s="254" t="str">
        <f t="array" ref="H55">IFERROR(INDEX('PORTIFÓLIO'!$H$4:$H$433,MATCH($C55,'PORTIFÓLIO'!$C$4:$C$433,0)),"")</f>
        <v/>
      </c>
      <c r="I55" s="256"/>
      <c r="J55" s="218">
        <f t="shared" si="6"/>
        <v>0</v>
      </c>
      <c r="K55" s="219" t="str">
        <f t="array" ref="K55">IFERROR(I55*INDEX('PORTIFÓLIO'!$S$4:$S$433,MATCH($C55,'PORTIFÓLIO'!$C$4:$C$433,0)),"")</f>
        <v/>
      </c>
      <c r="L55" s="219" t="str">
        <f t="array" ref="L55">IFERROR(J55*INDEX('PORTIFÓLIO'!$S$4:$S$433,MATCH($C55,'PORTIFÓLIO'!$C$4:$C$433,0)),"")</f>
        <v/>
      </c>
      <c r="M55" s="227"/>
      <c r="N55" s="220"/>
      <c r="O55" s="220"/>
      <c r="P55" s="220"/>
      <c r="Q55" s="220"/>
      <c r="R55" s="220"/>
      <c r="S55" s="220"/>
      <c r="T55" s="220"/>
      <c r="U55" s="220"/>
      <c r="V55" s="220"/>
      <c r="W55" s="220"/>
    </row>
    <row r="56" ht="15.75" customHeight="1" outlineLevel="1">
      <c r="A56" s="211"/>
      <c r="B56" s="212"/>
      <c r="C56" s="213"/>
      <c r="D56" s="214" t="str">
        <f>IFERROR(VLOOKUP($C56,'PORTIFÓLIO'!C:V,2,0),"")</f>
        <v/>
      </c>
      <c r="E56" s="211" t="str">
        <f>IFERROR(VLOOKUP($C56,'PORTIFÓLIO'!C:V,3,0),"")</f>
        <v/>
      </c>
      <c r="F56" s="211" t="str">
        <f>IFERROR(VLOOKUP($C56,'PORTIFÓLIO'!C:V,4,0),"")</f>
        <v/>
      </c>
      <c r="G56" s="215" t="str">
        <f>IFERROR(VLOOKUP($C56,'PORTIFÓLIO'!C:V,5,0),"")</f>
        <v/>
      </c>
      <c r="H56" s="254" t="str">
        <f t="array" ref="H56">IFERROR(INDEX('PORTIFÓLIO'!$H$4:$H$433,MATCH($C56,'PORTIFÓLIO'!$C$4:$C$433,0)),"")</f>
        <v/>
      </c>
      <c r="I56" s="256"/>
      <c r="J56" s="218">
        <f t="shared" si="6"/>
        <v>0</v>
      </c>
      <c r="K56" s="219" t="str">
        <f t="array" ref="K56">IFERROR(I56*INDEX('PORTIFÓLIO'!$S$4:$S$433,MATCH($C56,'PORTIFÓLIO'!$C$4:$C$433,0)),"")</f>
        <v/>
      </c>
      <c r="L56" s="219" t="str">
        <f t="array" ref="L56">IFERROR(J56*INDEX('PORTIFÓLIO'!$S$4:$S$433,MATCH($C56,'PORTIFÓLIO'!$C$4:$C$433,0)),"")</f>
        <v/>
      </c>
      <c r="M56" s="227"/>
      <c r="N56" s="220"/>
      <c r="O56" s="220"/>
      <c r="P56" s="220"/>
      <c r="Q56" s="220"/>
      <c r="R56" s="220"/>
      <c r="S56" s="220"/>
      <c r="T56" s="220"/>
      <c r="U56" s="220"/>
      <c r="V56" s="220"/>
      <c r="W56" s="220"/>
    </row>
    <row r="57" ht="15.75" customHeight="1" outlineLevel="1">
      <c r="A57" s="211"/>
      <c r="B57" s="212"/>
      <c r="C57" s="213"/>
      <c r="D57" s="214" t="str">
        <f>IFERROR(VLOOKUP($C57,'PORTIFÓLIO'!C:V,2,0),"")</f>
        <v/>
      </c>
      <c r="E57" s="211" t="str">
        <f>IFERROR(VLOOKUP($C57,'PORTIFÓLIO'!C:V,3,0),"")</f>
        <v/>
      </c>
      <c r="F57" s="211" t="str">
        <f>IFERROR(VLOOKUP($C57,'PORTIFÓLIO'!C:V,4,0),"")</f>
        <v/>
      </c>
      <c r="G57" s="215" t="str">
        <f>IFERROR(VLOOKUP($C57,'PORTIFÓLIO'!C:V,5,0),"")</f>
        <v/>
      </c>
      <c r="H57" s="254" t="str">
        <f t="array" ref="H57">IFERROR(INDEX('PORTIFÓLIO'!$H$4:$H$433,MATCH($C57,'PORTIFÓLIO'!$C$4:$C$433,0)),"")</f>
        <v/>
      </c>
      <c r="I57" s="256"/>
      <c r="J57" s="218">
        <f t="shared" si="6"/>
        <v>0</v>
      </c>
      <c r="K57" s="219" t="str">
        <f t="array" ref="K57">IFERROR(I57*INDEX('PORTIFÓLIO'!$S$4:$S$433,MATCH($C57,'PORTIFÓLIO'!$C$4:$C$433,0)),"")</f>
        <v/>
      </c>
      <c r="L57" s="219" t="str">
        <f t="array" ref="L57">IFERROR(J57*INDEX('PORTIFÓLIO'!$S$4:$S$433,MATCH($C57,'PORTIFÓLIO'!$C$4:$C$433,0)),"")</f>
        <v/>
      </c>
      <c r="M57" s="227"/>
      <c r="N57" s="220"/>
      <c r="O57" s="220"/>
      <c r="P57" s="220"/>
      <c r="Q57" s="220"/>
      <c r="R57" s="220"/>
      <c r="S57" s="220"/>
      <c r="T57" s="220"/>
      <c r="U57" s="220"/>
      <c r="V57" s="220"/>
      <c r="W57" s="220"/>
    </row>
    <row r="58" ht="15.75" customHeight="1" outlineLevel="1">
      <c r="A58" s="211"/>
      <c r="B58" s="212"/>
      <c r="C58" s="213"/>
      <c r="D58" s="214" t="str">
        <f>IFERROR(VLOOKUP($C58,'PORTIFÓLIO'!C:V,2,0),"")</f>
        <v/>
      </c>
      <c r="E58" s="211" t="str">
        <f>IFERROR(VLOOKUP($C58,'PORTIFÓLIO'!C:V,3,0),"")</f>
        <v/>
      </c>
      <c r="F58" s="211" t="str">
        <f>IFERROR(VLOOKUP($C58,'PORTIFÓLIO'!C:V,4,0),"")</f>
        <v/>
      </c>
      <c r="G58" s="215" t="str">
        <f>IFERROR(VLOOKUP($C58,'PORTIFÓLIO'!C:V,5,0),"")</f>
        <v/>
      </c>
      <c r="H58" s="254" t="str">
        <f t="array" ref="H58">IFERROR(INDEX('PORTIFÓLIO'!$H$4:$H$433,MATCH($C58,'PORTIFÓLIO'!$C$4:$C$433,0)),"")</f>
        <v/>
      </c>
      <c r="I58" s="256"/>
      <c r="J58" s="218">
        <f t="shared" si="6"/>
        <v>0</v>
      </c>
      <c r="K58" s="219" t="str">
        <f t="array" ref="K58">IFERROR(I58*INDEX('PORTIFÓLIO'!$S$4:$S$433,MATCH($C58,'PORTIFÓLIO'!$C$4:$C$433,0)),"")</f>
        <v/>
      </c>
      <c r="L58" s="219" t="str">
        <f t="array" ref="L58">IFERROR(J58*INDEX('PORTIFÓLIO'!$S$4:$S$433,MATCH($C58,'PORTIFÓLIO'!$C$4:$C$433,0)),"")</f>
        <v/>
      </c>
      <c r="M58" s="227"/>
      <c r="N58" s="220"/>
      <c r="O58" s="220"/>
      <c r="P58" s="220"/>
      <c r="Q58" s="220"/>
      <c r="R58" s="220"/>
      <c r="S58" s="220"/>
      <c r="T58" s="220"/>
      <c r="U58" s="220"/>
      <c r="V58" s="220"/>
      <c r="W58" s="220"/>
    </row>
    <row r="59" ht="15.75" customHeight="1" outlineLevel="1">
      <c r="A59" s="211"/>
      <c r="B59" s="212"/>
      <c r="C59" s="213"/>
      <c r="D59" s="214" t="str">
        <f>IFERROR(VLOOKUP($C59,'PORTIFÓLIO'!C:V,2,0),"")</f>
        <v/>
      </c>
      <c r="E59" s="211" t="str">
        <f>IFERROR(VLOOKUP($C59,'PORTIFÓLIO'!C:V,3,0),"")</f>
        <v/>
      </c>
      <c r="F59" s="211" t="str">
        <f>IFERROR(VLOOKUP($C59,'PORTIFÓLIO'!C:V,4,0),"")</f>
        <v/>
      </c>
      <c r="G59" s="215" t="str">
        <f>IFERROR(VLOOKUP($C59,'PORTIFÓLIO'!C:V,5,0),"")</f>
        <v/>
      </c>
      <c r="H59" s="254" t="str">
        <f t="array" ref="H59">IFERROR(INDEX('PORTIFÓLIO'!$H$4:$H$433,MATCH($C59,'PORTIFÓLIO'!$C$4:$C$433,0)),"")</f>
        <v/>
      </c>
      <c r="I59" s="256"/>
      <c r="J59" s="218">
        <f t="shared" si="6"/>
        <v>0</v>
      </c>
      <c r="K59" s="219" t="str">
        <f t="array" ref="K59">IFERROR(I59*INDEX('PORTIFÓLIO'!$S$4:$S$433,MATCH($C59,'PORTIFÓLIO'!$C$4:$C$433,0)),"")</f>
        <v/>
      </c>
      <c r="L59" s="219" t="str">
        <f t="array" ref="L59">IFERROR(J59*INDEX('PORTIFÓLIO'!$S$4:$S$433,MATCH($C59,'PORTIFÓLIO'!$C$4:$C$433,0)),"")</f>
        <v/>
      </c>
      <c r="M59" s="227"/>
      <c r="N59" s="220"/>
      <c r="O59" s="220"/>
      <c r="P59" s="220"/>
      <c r="Q59" s="220"/>
      <c r="R59" s="220"/>
      <c r="S59" s="220"/>
      <c r="T59" s="220"/>
      <c r="U59" s="220"/>
      <c r="V59" s="220"/>
      <c r="W59" s="220"/>
    </row>
    <row r="60" ht="15.75" customHeight="1" outlineLevel="1">
      <c r="A60" s="211"/>
      <c r="B60" s="212"/>
      <c r="C60" s="213"/>
      <c r="D60" s="214" t="str">
        <f>IFERROR(VLOOKUP($C60,'PORTIFÓLIO'!C:V,2,0),"")</f>
        <v/>
      </c>
      <c r="E60" s="211" t="str">
        <f>IFERROR(VLOOKUP($C60,'PORTIFÓLIO'!C:V,3,0),"")</f>
        <v/>
      </c>
      <c r="F60" s="211" t="str">
        <f>IFERROR(VLOOKUP($C60,'PORTIFÓLIO'!C:V,4,0),"")</f>
        <v/>
      </c>
      <c r="G60" s="215" t="str">
        <f>IFERROR(VLOOKUP($C60,'PORTIFÓLIO'!C:V,5,0),"")</f>
        <v/>
      </c>
      <c r="H60" s="254" t="str">
        <f t="array" ref="H60">IFERROR(INDEX('PORTIFÓLIO'!$H$4:$H$433,MATCH($C60,'PORTIFÓLIO'!$C$4:$C$433,0)),"")</f>
        <v/>
      </c>
      <c r="I60" s="256"/>
      <c r="J60" s="218">
        <f t="shared" si="6"/>
        <v>0</v>
      </c>
      <c r="K60" s="219" t="str">
        <f t="array" ref="K60">IFERROR(I60*INDEX('PORTIFÓLIO'!$S$4:$S$433,MATCH($C60,'PORTIFÓLIO'!$C$4:$C$433,0)),"")</f>
        <v/>
      </c>
      <c r="L60" s="219" t="str">
        <f t="array" ref="L60">IFERROR(J60*INDEX('PORTIFÓLIO'!$S$4:$S$433,MATCH($C60,'PORTIFÓLIO'!$C$4:$C$433,0)),"")</f>
        <v/>
      </c>
      <c r="M60" s="227"/>
      <c r="N60" s="220"/>
      <c r="O60" s="220"/>
      <c r="P60" s="220"/>
      <c r="Q60" s="220"/>
      <c r="R60" s="220"/>
      <c r="S60" s="220"/>
      <c r="T60" s="220"/>
      <c r="U60" s="220"/>
      <c r="V60" s="220"/>
      <c r="W60" s="220"/>
    </row>
    <row r="61" ht="15.75" customHeight="1" outlineLevel="1">
      <c r="A61" s="211"/>
      <c r="B61" s="212"/>
      <c r="C61" s="213"/>
      <c r="D61" s="214" t="str">
        <f>IFERROR(VLOOKUP($C61,'PORTIFÓLIO'!C:V,2,0),"")</f>
        <v/>
      </c>
      <c r="E61" s="211" t="str">
        <f>IFERROR(VLOOKUP($C61,'PORTIFÓLIO'!C:V,3,0),"")</f>
        <v/>
      </c>
      <c r="F61" s="211" t="str">
        <f>IFERROR(VLOOKUP($C61,'PORTIFÓLIO'!C:V,4,0),"")</f>
        <v/>
      </c>
      <c r="G61" s="215" t="str">
        <f>IFERROR(VLOOKUP($C61,'PORTIFÓLIO'!C:V,5,0),"")</f>
        <v/>
      </c>
      <c r="H61" s="254" t="str">
        <f t="array" ref="H61">IFERROR(INDEX('PORTIFÓLIO'!$H$4:$H$433,MATCH($C61,'PORTIFÓLIO'!$C$4:$C$433,0)),"")</f>
        <v/>
      </c>
      <c r="I61" s="256"/>
      <c r="J61" s="218">
        <f t="shared" si="6"/>
        <v>0</v>
      </c>
      <c r="K61" s="219" t="str">
        <f t="array" ref="K61">IFERROR(I61*INDEX('PORTIFÓLIO'!$S$4:$S$433,MATCH($C61,'PORTIFÓLIO'!$C$4:$C$433,0)),"")</f>
        <v/>
      </c>
      <c r="L61" s="219" t="str">
        <f t="array" ref="L61">IFERROR(J61*INDEX('PORTIFÓLIO'!$S$4:$S$433,MATCH($C61,'PORTIFÓLIO'!$C$4:$C$433,0)),"")</f>
        <v/>
      </c>
      <c r="M61" s="227"/>
      <c r="N61" s="220"/>
      <c r="O61" s="220"/>
      <c r="P61" s="220"/>
      <c r="Q61" s="220"/>
      <c r="R61" s="220"/>
      <c r="S61" s="220"/>
      <c r="T61" s="220"/>
      <c r="U61" s="220"/>
      <c r="V61" s="220"/>
      <c r="W61" s="220"/>
    </row>
    <row r="62" ht="15.75" customHeight="1" outlineLevel="1">
      <c r="A62" s="211"/>
      <c r="B62" s="212"/>
      <c r="C62" s="213"/>
      <c r="D62" s="214" t="str">
        <f>IFERROR(VLOOKUP($C62,'PORTIFÓLIO'!C:V,2,0),"")</f>
        <v/>
      </c>
      <c r="E62" s="211" t="str">
        <f>IFERROR(VLOOKUP($C62,'PORTIFÓLIO'!C:V,3,0),"")</f>
        <v/>
      </c>
      <c r="F62" s="211" t="str">
        <f>IFERROR(VLOOKUP($C62,'PORTIFÓLIO'!C:V,4,0),"")</f>
        <v/>
      </c>
      <c r="G62" s="215" t="str">
        <f>IFERROR(VLOOKUP($C62,'PORTIFÓLIO'!C:V,5,0),"")</f>
        <v/>
      </c>
      <c r="H62" s="254" t="str">
        <f t="array" ref="H62">IFERROR(INDEX('PORTIFÓLIO'!$H$4:$H$433,MATCH($C62,'PORTIFÓLIO'!$C$4:$C$433,0)),"")</f>
        <v/>
      </c>
      <c r="I62" s="256"/>
      <c r="J62" s="218">
        <f t="shared" si="6"/>
        <v>0</v>
      </c>
      <c r="K62" s="219" t="str">
        <f t="array" ref="K62">IFERROR(I62*INDEX('PORTIFÓLIO'!$S$4:$S$433,MATCH($C62,'PORTIFÓLIO'!$C$4:$C$433,0)),"")</f>
        <v/>
      </c>
      <c r="L62" s="219" t="str">
        <f t="array" ref="L62">IFERROR(J62*INDEX('PORTIFÓLIO'!$S$4:$S$433,MATCH($C62,'PORTIFÓLIO'!$C$4:$C$433,0)),"")</f>
        <v/>
      </c>
      <c r="M62" s="227"/>
      <c r="N62" s="220"/>
      <c r="O62" s="220"/>
      <c r="P62" s="220"/>
      <c r="Q62" s="220"/>
      <c r="R62" s="220"/>
      <c r="S62" s="220"/>
      <c r="T62" s="220"/>
      <c r="U62" s="220"/>
      <c r="V62" s="220"/>
      <c r="W62" s="220"/>
    </row>
    <row r="63" ht="15.75" customHeight="1">
      <c r="A63" s="221" t="s">
        <v>1186</v>
      </c>
      <c r="B63" s="197"/>
      <c r="C63" s="196"/>
      <c r="D63" s="198"/>
      <c r="E63" s="196"/>
      <c r="F63" s="196"/>
      <c r="G63" s="199"/>
      <c r="H63" s="199"/>
      <c r="I63" s="252"/>
      <c r="J63" s="202"/>
      <c r="K63" s="203">
        <f t="shared" ref="K63:L63" si="7">SUBTOTAL(9,K64:K76)</f>
        <v>354.48304</v>
      </c>
      <c r="L63" s="203">
        <f t="shared" si="7"/>
        <v>36511.75312</v>
      </c>
      <c r="M63" s="238"/>
      <c r="N63" s="177"/>
      <c r="O63" s="177"/>
      <c r="P63" s="177"/>
      <c r="Q63" s="177"/>
      <c r="R63" s="177"/>
      <c r="S63" s="177"/>
      <c r="T63" s="177"/>
      <c r="U63" s="177"/>
      <c r="V63" s="177"/>
      <c r="W63" s="177"/>
    </row>
    <row r="64" ht="15.75" customHeight="1" outlineLevel="1">
      <c r="A64" s="191"/>
      <c r="B64" s="204" t="s">
        <v>5</v>
      </c>
      <c r="C64" s="191" t="s">
        <v>1059</v>
      </c>
      <c r="D64" s="205" t="str">
        <f>IFERROR(VLOOKUP($C64,'PORTIFÓLIO'!C:V,2,0),"")</f>
        <v/>
      </c>
      <c r="E64" s="190" t="str">
        <f>IFERROR(VLOOKUP($C64,'PORTIFÓLIO'!C:V,3,0),"")</f>
        <v/>
      </c>
      <c r="F64" s="190" t="str">
        <f>IFERROR(VLOOKUP($C64,'PORTIFÓLIO'!C:V,4,0),"")</f>
        <v/>
      </c>
      <c r="G64" s="223" t="str">
        <f>IFERROR(VLOOKUP($C64,'PORTIFÓLIO'!C:V,5,0),"")</f>
        <v>📄 Ver bula</v>
      </c>
      <c r="H64" s="247" t="str">
        <f t="array" ref="H64">IFERROR(INDEX('PORTIFÓLIO'!$H$4:$H$433,MATCH($C64,'PORTIFÓLIO'!$C$4:$C$433,0)),"")</f>
        <v/>
      </c>
      <c r="I64" s="253">
        <v>0.04</v>
      </c>
      <c r="J64" s="209">
        <f t="shared" ref="J64:J80" si="8">I64*$B$2</f>
        <v>4.12</v>
      </c>
      <c r="K64" s="210">
        <f t="array" ref="K64">IFERROR(I64*INDEX('PORTIFÓLIO'!$S$4:$S$433,MATCH($C64,'PORTIFÓLIO'!$C$4:$C$433,0)),"")</f>
        <v>0</v>
      </c>
      <c r="L64" s="210">
        <f t="array" ref="L64">IFERROR(J64*INDEX('PORTIFÓLIO'!$S$4:$S$433,MATCH($C64,'PORTIFÓLIO'!$C$4:$C$433,0)),"")</f>
        <v>0</v>
      </c>
      <c r="M64" s="238"/>
      <c r="N64" s="177"/>
      <c r="O64" s="177"/>
      <c r="P64" s="177"/>
      <c r="Q64" s="177"/>
      <c r="R64" s="177"/>
      <c r="S64" s="177"/>
      <c r="T64" s="177"/>
      <c r="U64" s="177"/>
      <c r="V64" s="177"/>
      <c r="W64" s="177"/>
    </row>
    <row r="65" ht="15.75" customHeight="1" outlineLevel="1">
      <c r="A65" s="190"/>
      <c r="B65" s="204" t="s">
        <v>3</v>
      </c>
      <c r="C65" s="191" t="s">
        <v>1011</v>
      </c>
      <c r="D65" s="205" t="str">
        <f>IFERROR(VLOOKUP($C65,'PORTIFÓLIO'!C:V,2,0),"")</f>
        <v>METALAXIL-M + TIABENDAZOL + FLUDIOXONIL +
 TIAMETOXAM</v>
      </c>
      <c r="E65" s="190" t="str">
        <f>IFERROR(VLOOKUP($C65,'PORTIFÓLIO'!C:V,3,0),"")</f>
        <v>20 + 150 + 25 + 350</v>
      </c>
      <c r="F65" s="190" t="str">
        <f>IFERROR(VLOOKUP($C65,'PORTIFÓLIO'!C:V,4,0),"")</f>
        <v/>
      </c>
      <c r="G65" s="223" t="str">
        <f>IFERROR(VLOOKUP($C65,'PORTIFÓLIO'!C:V,5,0),"")</f>
        <v>📄 Ver bula</v>
      </c>
      <c r="H65" s="247">
        <f t="array" ref="H65">IFERROR(INDEX('PORTIFÓLIO'!$H$4:$H$433,MATCH($C65,'PORTIFÓLIO'!$C$4:$C$433,0)),"")</f>
        <v>0.05</v>
      </c>
      <c r="I65" s="253">
        <v>0.05</v>
      </c>
      <c r="J65" s="209">
        <f t="shared" si="8"/>
        <v>5.15</v>
      </c>
      <c r="K65" s="210">
        <f t="array" ref="K65">IFERROR(I65*INDEX('PORTIFÓLIO'!$S$4:$S$433,MATCH($C65,'PORTIFÓLIO'!$C$4:$C$433,0)),"")</f>
        <v>25.27</v>
      </c>
      <c r="L65" s="210">
        <f t="array" ref="L65">IFERROR(J65*INDEX('PORTIFÓLIO'!$S$4:$S$433,MATCH($C65,'PORTIFÓLIO'!$C$4:$C$433,0)),"")</f>
        <v>2602.81</v>
      </c>
      <c r="M65" s="238"/>
      <c r="N65" s="177"/>
      <c r="O65" s="177"/>
      <c r="P65" s="177"/>
      <c r="Q65" s="177"/>
      <c r="R65" s="177"/>
      <c r="S65" s="177"/>
      <c r="T65" s="177"/>
      <c r="U65" s="177"/>
      <c r="V65" s="177"/>
      <c r="W65" s="177"/>
    </row>
    <row r="66" ht="15.75" customHeight="1" outlineLevel="1">
      <c r="A66" s="190"/>
      <c r="B66" s="204" t="s">
        <v>3</v>
      </c>
      <c r="C66" s="191" t="s">
        <v>1007</v>
      </c>
      <c r="D66" s="205" t="str">
        <f>IFERROR(VLOOKUP($C66,'PORTIFÓLIO'!C:V,2,0),"")</f>
        <v>DIFENOCONAZOL</v>
      </c>
      <c r="E66" s="190">
        <f>IFERROR(VLOOKUP($C66,'PORTIFÓLIO'!C:V,3,0),"")</f>
        <v>150</v>
      </c>
      <c r="F66" s="190" t="str">
        <f>IFERROR(VLOOKUP($C66,'PORTIFÓLIO'!C:V,4,0),"")</f>
        <v/>
      </c>
      <c r="G66" s="223" t="str">
        <f>IFERROR(VLOOKUP($C66,'PORTIFÓLIO'!C:V,5,0),"")</f>
        <v>📄 Ver bula</v>
      </c>
      <c r="H66" s="247">
        <f t="array" ref="H66">IFERROR(INDEX('PORTIFÓLIO'!$H$4:$H$433,MATCH($C66,'PORTIFÓLIO'!$C$4:$C$433,0)),"")</f>
        <v>0.015</v>
      </c>
      <c r="I66" s="253">
        <v>0.02</v>
      </c>
      <c r="J66" s="209">
        <f t="shared" si="8"/>
        <v>2.06</v>
      </c>
      <c r="K66" s="210">
        <f t="array" ref="K66">IFERROR(I66*INDEX('PORTIFÓLIO'!$S$4:$S$433,MATCH($C66,'PORTIFÓLIO'!$C$4:$C$433,0)),"")</f>
        <v>1.78486</v>
      </c>
      <c r="L66" s="210">
        <f t="array" ref="L66">IFERROR(J66*INDEX('PORTIFÓLIO'!$S$4:$S$433,MATCH($C66,'PORTIFÓLIO'!$C$4:$C$433,0)),"")</f>
        <v>183.84058</v>
      </c>
      <c r="M66" s="238"/>
      <c r="N66" s="177"/>
      <c r="O66" s="177"/>
      <c r="P66" s="177"/>
      <c r="Q66" s="177"/>
      <c r="R66" s="177"/>
      <c r="S66" s="177"/>
      <c r="T66" s="177"/>
      <c r="U66" s="177"/>
      <c r="V66" s="177"/>
      <c r="W66" s="177"/>
    </row>
    <row r="67" ht="15.75" customHeight="1" outlineLevel="1">
      <c r="A67" s="190"/>
      <c r="B67" s="204" t="s">
        <v>3</v>
      </c>
      <c r="C67" s="191" t="s">
        <v>1005</v>
      </c>
      <c r="D67" s="205" t="str">
        <f>IFERROR(VLOOKUP($C67,'PORTIFÓLIO'!C:V,2,0),"")</f>
        <v>CICLOBUTRIFLURAM</v>
      </c>
      <c r="E67" s="190">
        <f>IFERROR(VLOOKUP($C67,'PORTIFÓLIO'!C:V,3,0),"")</f>
        <v>500</v>
      </c>
      <c r="F67" s="190" t="str">
        <f>IFERROR(VLOOKUP($C67,'PORTIFÓLIO'!C:V,4,0),"")</f>
        <v/>
      </c>
      <c r="G67" s="223" t="str">
        <f>IFERROR(VLOOKUP($C67,'PORTIFÓLIO'!C:V,5,0),"")</f>
        <v>📄 Ver bula</v>
      </c>
      <c r="H67" s="247">
        <f t="array" ref="H67">IFERROR(INDEX('PORTIFÓLIO'!$H$4:$H$433,MATCH($C67,'PORTIFÓLIO'!$C$4:$C$433,0)),"")</f>
        <v>0.02</v>
      </c>
      <c r="I67" s="253">
        <v>0.02</v>
      </c>
      <c r="J67" s="209">
        <f t="shared" si="8"/>
        <v>2.06</v>
      </c>
      <c r="K67" s="210">
        <f t="array" ref="K67">IFERROR(I67*INDEX('PORTIFÓLIO'!$S$4:$S$433,MATCH($C67,'PORTIFÓLIO'!$C$4:$C$433,0)),"")</f>
        <v>87.70818</v>
      </c>
      <c r="L67" s="210">
        <f t="array" ref="L67">IFERROR(J67*INDEX('PORTIFÓLIO'!$S$4:$S$433,MATCH($C67,'PORTIFÓLIO'!$C$4:$C$433,0)),"")</f>
        <v>9033.94254</v>
      </c>
      <c r="M67" s="238"/>
      <c r="N67" s="177"/>
      <c r="O67" s="177"/>
      <c r="P67" s="177"/>
      <c r="Q67" s="177"/>
      <c r="R67" s="177"/>
      <c r="S67" s="177"/>
      <c r="T67" s="177"/>
      <c r="U67" s="177"/>
      <c r="V67" s="177"/>
      <c r="W67" s="177"/>
    </row>
    <row r="68" ht="15.75" customHeight="1" outlineLevel="1">
      <c r="A68" s="211"/>
      <c r="B68" s="212" t="s">
        <v>4</v>
      </c>
      <c r="C68" s="213" t="s">
        <v>1094</v>
      </c>
      <c r="D68" s="214" t="str">
        <f>IFERROR(VLOOKUP($C68,'PORTIFÓLIO'!C:V,2,0),"")</f>
        <v>Bradyrhizobium sp.</v>
      </c>
      <c r="E68" s="211" t="str">
        <f>IFERROR(VLOOKUP($C68,'PORTIFÓLIO'!C:V,3,0),"")</f>
        <v/>
      </c>
      <c r="F68" s="211" t="str">
        <f>IFERROR(VLOOKUP($C68,'PORTIFÓLIO'!C:V,4,0),"")</f>
        <v>L</v>
      </c>
      <c r="G68" s="225" t="str">
        <f>IFERROR(VLOOKUP($C68,'PORTIFÓLIO'!C:V,5,0),"")</f>
        <v>📄 Ver bula</v>
      </c>
      <c r="H68" s="254">
        <f t="array" ref="H68">IFERROR(INDEX('PORTIFÓLIO'!$H$4:$H$433,MATCH($C68,'PORTIFÓLIO'!$C$4:$C$433,0)),"")</f>
        <v>2</v>
      </c>
      <c r="I68" s="255">
        <v>4.0</v>
      </c>
      <c r="J68" s="218">
        <f t="shared" si="8"/>
        <v>412</v>
      </c>
      <c r="K68" s="219">
        <f t="array" ref="K68">IFERROR(I68*INDEX('PORTIFÓLIO'!$S$4:$S$433,MATCH($C68,'PORTIFÓLIO'!$C$4:$C$433,0)),"")</f>
        <v>104</v>
      </c>
      <c r="L68" s="219">
        <f t="array" ref="L68">IFERROR(J68*INDEX('PORTIFÓLIO'!$S$4:$S$433,MATCH($C68,'PORTIFÓLIO'!$C$4:$C$433,0)),"")</f>
        <v>10712</v>
      </c>
      <c r="M68" s="227"/>
      <c r="N68" s="220"/>
      <c r="O68" s="220"/>
      <c r="P68" s="220"/>
      <c r="Q68" s="220"/>
      <c r="R68" s="220"/>
      <c r="S68" s="220"/>
      <c r="T68" s="220"/>
      <c r="U68" s="220"/>
      <c r="V68" s="220"/>
      <c r="W68" s="220"/>
    </row>
    <row r="69" ht="15.75" customHeight="1" outlineLevel="1">
      <c r="A69" s="211"/>
      <c r="B69" s="212" t="s">
        <v>4</v>
      </c>
      <c r="C69" s="213" t="s">
        <v>1092</v>
      </c>
      <c r="D69" s="214" t="str">
        <f>IFERROR(VLOOKUP($C69,'PORTIFÓLIO'!C:V,2,0),"")</f>
        <v>Azospirillum brasiliense</v>
      </c>
      <c r="E69" s="211" t="str">
        <f>IFERROR(VLOOKUP($C69,'PORTIFÓLIO'!C:V,3,0),"")</f>
        <v/>
      </c>
      <c r="F69" s="211" t="str">
        <f>IFERROR(VLOOKUP($C69,'PORTIFÓLIO'!C:V,4,0),"")</f>
        <v>L</v>
      </c>
      <c r="G69" s="225" t="str">
        <f>IFERROR(VLOOKUP($C69,'PORTIFÓLIO'!C:V,5,0),"")</f>
        <v>📄 Ver bula</v>
      </c>
      <c r="H69" s="254">
        <f t="array" ref="H69">IFERROR(INDEX('PORTIFÓLIO'!$H$4:$H$433,MATCH($C69,'PORTIFÓLIO'!$C$4:$C$433,0)),"")</f>
        <v>2</v>
      </c>
      <c r="I69" s="255">
        <v>1.0</v>
      </c>
      <c r="J69" s="218">
        <f t="shared" si="8"/>
        <v>103</v>
      </c>
      <c r="K69" s="219">
        <f t="array" ref="K69">IFERROR(I69*INDEX('PORTIFÓLIO'!$S$4:$S$433,MATCH($C69,'PORTIFÓLIO'!$C$4:$C$433,0)),"")</f>
        <v>36.4</v>
      </c>
      <c r="L69" s="219">
        <f t="array" ref="L69">IFERROR(J69*INDEX('PORTIFÓLIO'!$S$4:$S$433,MATCH($C69,'PORTIFÓLIO'!$C$4:$C$433,0)),"")</f>
        <v>3749.2</v>
      </c>
      <c r="M69" s="227"/>
      <c r="N69" s="220"/>
      <c r="O69" s="220"/>
      <c r="P69" s="220"/>
      <c r="Q69" s="220"/>
      <c r="R69" s="220"/>
      <c r="S69" s="220"/>
      <c r="T69" s="220"/>
      <c r="U69" s="220"/>
      <c r="V69" s="220"/>
      <c r="W69" s="220"/>
    </row>
    <row r="70" ht="15.75" customHeight="1" outlineLevel="1">
      <c r="A70" s="211"/>
      <c r="B70" s="212" t="s">
        <v>4</v>
      </c>
      <c r="C70" s="213" t="s">
        <v>1107</v>
      </c>
      <c r="D70" s="214" t="str">
        <f>IFERROR(VLOOKUP($C70,'PORTIFÓLIO'!C:V,2,0),"")</f>
        <v>Priestia aryabhattai</v>
      </c>
      <c r="E70" s="211" t="str">
        <f>IFERROR(VLOOKUP($C70,'PORTIFÓLIO'!C:V,3,0),"")</f>
        <v/>
      </c>
      <c r="F70" s="211" t="str">
        <f>IFERROR(VLOOKUP($C70,'PORTIFÓLIO'!C:V,4,0),"")</f>
        <v/>
      </c>
      <c r="G70" s="225" t="str">
        <f>IFERROR(VLOOKUP($C70,'PORTIFÓLIO'!C:V,5,0),"")</f>
        <v>📄 Ver bula</v>
      </c>
      <c r="H70" s="254">
        <f t="array" ref="H70">IFERROR(INDEX('PORTIFÓLIO'!$H$4:$H$433,MATCH($C70,'PORTIFÓLIO'!$C$4:$C$433,0)),"")</f>
        <v>2</v>
      </c>
      <c r="I70" s="255">
        <v>1.0</v>
      </c>
      <c r="J70" s="218">
        <f t="shared" si="8"/>
        <v>103</v>
      </c>
      <c r="K70" s="219">
        <f t="array" ref="K70">IFERROR(I70*INDEX('PORTIFÓLIO'!$S$4:$S$433,MATCH($C70,'PORTIFÓLIO'!$C$4:$C$433,0)),"")</f>
        <v>81.12</v>
      </c>
      <c r="L70" s="219">
        <f t="array" ref="L70">IFERROR(J70*INDEX('PORTIFÓLIO'!$S$4:$S$433,MATCH($C70,'PORTIFÓLIO'!$C$4:$C$433,0)),"")</f>
        <v>8355.36</v>
      </c>
      <c r="M70" s="227"/>
      <c r="N70" s="220"/>
      <c r="O70" s="220"/>
      <c r="P70" s="220"/>
      <c r="Q70" s="220"/>
      <c r="R70" s="220"/>
      <c r="S70" s="220"/>
      <c r="T70" s="220"/>
      <c r="U70" s="220"/>
      <c r="V70" s="220"/>
      <c r="W70" s="220"/>
    </row>
    <row r="71" ht="15.75" customHeight="1" outlineLevel="1">
      <c r="A71" s="211"/>
      <c r="B71" s="212" t="s">
        <v>4</v>
      </c>
      <c r="C71" s="213" t="s">
        <v>1187</v>
      </c>
      <c r="D71" s="214" t="str">
        <f>IFERROR(VLOOKUP($C71,'PORTIFÓLIO'!C:V,2,0),"")</f>
        <v/>
      </c>
      <c r="E71" s="211" t="str">
        <f>IFERROR(VLOOKUP($C71,'PORTIFÓLIO'!C:V,3,0),"")</f>
        <v/>
      </c>
      <c r="F71" s="211" t="str">
        <f>IFERROR(VLOOKUP($C71,'PORTIFÓLIO'!C:V,4,0),"")</f>
        <v/>
      </c>
      <c r="G71" s="215" t="str">
        <f>IFERROR(VLOOKUP($C71,'PORTIFÓLIO'!C:V,5,0),"")</f>
        <v/>
      </c>
      <c r="H71" s="254" t="str">
        <f t="array" ref="H71">IFERROR(INDEX('PORTIFÓLIO'!$H$4:$H$433,MATCH($C71,'PORTIFÓLIO'!$C$4:$C$433,0)),"")</f>
        <v/>
      </c>
      <c r="I71" s="255">
        <v>1.0</v>
      </c>
      <c r="J71" s="218">
        <f t="shared" si="8"/>
        <v>103</v>
      </c>
      <c r="K71" s="219" t="str">
        <f t="array" ref="K71">IFERROR(I71*INDEX('PORTIFÓLIO'!$S$4:$S$433,MATCH($C71,'PORTIFÓLIO'!$C$4:$C$433,0)),"")</f>
        <v/>
      </c>
      <c r="L71" s="219" t="str">
        <f t="array" ref="L71">IFERROR(J71*INDEX('PORTIFÓLIO'!$S$4:$S$433,MATCH($C71,'PORTIFÓLIO'!$C$4:$C$433,0)),"")</f>
        <v/>
      </c>
      <c r="M71" s="227"/>
      <c r="N71" s="220"/>
      <c r="O71" s="220"/>
      <c r="P71" s="220"/>
      <c r="Q71" s="220"/>
      <c r="R71" s="220"/>
      <c r="S71" s="220"/>
      <c r="T71" s="220"/>
      <c r="U71" s="220"/>
      <c r="V71" s="220"/>
      <c r="W71" s="220"/>
    </row>
    <row r="72" ht="15.75" customHeight="1" outlineLevel="1">
      <c r="A72" s="211"/>
      <c r="B72" s="212" t="s">
        <v>9</v>
      </c>
      <c r="C72" s="213" t="s">
        <v>1115</v>
      </c>
      <c r="D72" s="214" t="str">
        <f>IFERROR(VLOOKUP($C72,'PORTIFÓLIO'!C:V,2,0),"")</f>
        <v>Nutrifarm</v>
      </c>
      <c r="E72" s="211" t="str">
        <f>IFERROR(VLOOKUP($C72,'PORTIFÓLIO'!C:V,3,0),"")</f>
        <v/>
      </c>
      <c r="F72" s="211" t="str">
        <f>IFERROR(VLOOKUP($C72,'PORTIFÓLIO'!C:V,4,0),"")</f>
        <v>L</v>
      </c>
      <c r="G72" s="225" t="str">
        <f>IFERROR(VLOOKUP($C72,'PORTIFÓLIO'!C:V,5,0),"")</f>
        <v>📄 Ver bula</v>
      </c>
      <c r="H72" s="254">
        <f t="array" ref="H72">IFERROR(INDEX('PORTIFÓLIO'!$H$4:$H$433,MATCH($C72,'PORTIFÓLIO'!$C$4:$C$433,0)),"")</f>
        <v>0.2</v>
      </c>
      <c r="I72" s="255">
        <v>0.1</v>
      </c>
      <c r="J72" s="218">
        <f t="shared" si="8"/>
        <v>10.3</v>
      </c>
      <c r="K72" s="219">
        <f t="array" ref="K72">IFERROR(I72*INDEX('PORTIFÓLIO'!$S$4:$S$433,MATCH($C72,'PORTIFÓLIO'!$C$4:$C$433,0)),"")</f>
        <v>18.2</v>
      </c>
      <c r="L72" s="219">
        <f t="array" ref="L72">IFERROR(J72*INDEX('PORTIFÓLIO'!$S$4:$S$433,MATCH($C72,'PORTIFÓLIO'!$C$4:$C$433,0)),"")</f>
        <v>1874.6</v>
      </c>
      <c r="M72" s="227"/>
      <c r="N72" s="220"/>
      <c r="O72" s="220"/>
      <c r="P72" s="220"/>
      <c r="Q72" s="220"/>
      <c r="R72" s="220"/>
      <c r="S72" s="220"/>
      <c r="T72" s="220"/>
      <c r="U72" s="220"/>
      <c r="V72" s="220"/>
      <c r="W72" s="220"/>
    </row>
    <row r="73" ht="15.75" customHeight="1" outlineLevel="1">
      <c r="A73" s="211"/>
      <c r="B73" s="212"/>
      <c r="C73" s="213"/>
      <c r="D73" s="214" t="str">
        <f>IFERROR(VLOOKUP($C73,'PORTIFÓLIO'!C:V,2,0),"")</f>
        <v/>
      </c>
      <c r="E73" s="211" t="str">
        <f>IFERROR(VLOOKUP($C73,'PORTIFÓLIO'!C:V,3,0),"")</f>
        <v/>
      </c>
      <c r="F73" s="211" t="str">
        <f>IFERROR(VLOOKUP($C73,'PORTIFÓLIO'!C:V,4,0),"")</f>
        <v/>
      </c>
      <c r="G73" s="215" t="str">
        <f>IFERROR(VLOOKUP($C73,'PORTIFÓLIO'!C:V,5,0),"")</f>
        <v/>
      </c>
      <c r="H73" s="254" t="str">
        <f t="array" ref="H73">IFERROR(INDEX('PORTIFÓLIO'!$H$4:$H$433,MATCH($C73,'PORTIFÓLIO'!$C$4:$C$433,0)),"")</f>
        <v/>
      </c>
      <c r="I73" s="256"/>
      <c r="J73" s="218">
        <f t="shared" si="8"/>
        <v>0</v>
      </c>
      <c r="K73" s="219" t="str">
        <f t="array" ref="K73">IFERROR(I73*INDEX('PORTIFÓLIO'!$S$4:$S$433,MATCH($C73,'PORTIFÓLIO'!$C$4:$C$433,0)),"")</f>
        <v/>
      </c>
      <c r="L73" s="219" t="str">
        <f t="array" ref="L73">IFERROR(J73*INDEX('PORTIFÓLIO'!$S$4:$S$433,MATCH($C73,'PORTIFÓLIO'!$C$4:$C$433,0)),"")</f>
        <v/>
      </c>
      <c r="M73" s="227"/>
      <c r="N73" s="220"/>
      <c r="O73" s="220"/>
      <c r="P73" s="220"/>
      <c r="Q73" s="220"/>
      <c r="R73" s="220"/>
      <c r="S73" s="220"/>
      <c r="T73" s="220"/>
      <c r="U73" s="220"/>
      <c r="V73" s="220"/>
      <c r="W73" s="220"/>
    </row>
    <row r="74" ht="15.75" customHeight="1" outlineLevel="1">
      <c r="A74" s="211"/>
      <c r="B74" s="212"/>
      <c r="C74" s="213"/>
      <c r="D74" s="214" t="str">
        <f>IFERROR(VLOOKUP($C74,'PORTIFÓLIO'!C:V,2,0),"")</f>
        <v/>
      </c>
      <c r="E74" s="211" t="str">
        <f>IFERROR(VLOOKUP($C74,'PORTIFÓLIO'!C:V,3,0),"")</f>
        <v/>
      </c>
      <c r="F74" s="211" t="str">
        <f>IFERROR(VLOOKUP($C74,'PORTIFÓLIO'!C:V,4,0),"")</f>
        <v/>
      </c>
      <c r="G74" s="215" t="str">
        <f>IFERROR(VLOOKUP($C74,'PORTIFÓLIO'!C:V,5,0),"")</f>
        <v/>
      </c>
      <c r="H74" s="254" t="str">
        <f t="array" ref="H74">IFERROR(INDEX('PORTIFÓLIO'!$H$4:$H$433,MATCH($C74,'PORTIFÓLIO'!$C$4:$C$433,0)),"")</f>
        <v/>
      </c>
      <c r="I74" s="256"/>
      <c r="J74" s="218">
        <f t="shared" si="8"/>
        <v>0</v>
      </c>
      <c r="K74" s="219" t="str">
        <f t="array" ref="K74">IFERROR(I74*INDEX('PORTIFÓLIO'!$S$4:$S$433,MATCH($C74,'PORTIFÓLIO'!$C$4:$C$433,0)),"")</f>
        <v/>
      </c>
      <c r="L74" s="219" t="str">
        <f t="array" ref="L74">IFERROR(J74*INDEX('PORTIFÓLIO'!$S$4:$S$433,MATCH($C74,'PORTIFÓLIO'!$C$4:$C$433,0)),"")</f>
        <v/>
      </c>
      <c r="M74" s="227"/>
      <c r="N74" s="220"/>
      <c r="O74" s="220"/>
      <c r="P74" s="220"/>
      <c r="Q74" s="220"/>
      <c r="R74" s="220"/>
      <c r="S74" s="220"/>
      <c r="T74" s="220"/>
      <c r="U74" s="220"/>
      <c r="V74" s="220"/>
      <c r="W74" s="220"/>
    </row>
    <row r="75" ht="15.75" customHeight="1" outlineLevel="1">
      <c r="A75" s="211"/>
      <c r="B75" s="212"/>
      <c r="C75" s="213"/>
      <c r="D75" s="214" t="str">
        <f>IFERROR(VLOOKUP($C75,'PORTIFÓLIO'!C:V,2,0),"")</f>
        <v/>
      </c>
      <c r="E75" s="211" t="str">
        <f>IFERROR(VLOOKUP($C75,'PORTIFÓLIO'!C:V,3,0),"")</f>
        <v/>
      </c>
      <c r="F75" s="211" t="str">
        <f>IFERROR(VLOOKUP($C75,'PORTIFÓLIO'!C:V,4,0),"")</f>
        <v/>
      </c>
      <c r="G75" s="215" t="str">
        <f>IFERROR(VLOOKUP($C75,'PORTIFÓLIO'!C:V,5,0),"")</f>
        <v/>
      </c>
      <c r="H75" s="254" t="str">
        <f t="array" ref="H75">IFERROR(INDEX('PORTIFÓLIO'!$H$4:$H$433,MATCH($C75,'PORTIFÓLIO'!$C$4:$C$433,0)),"")</f>
        <v/>
      </c>
      <c r="I75" s="256"/>
      <c r="J75" s="218">
        <f t="shared" si="8"/>
        <v>0</v>
      </c>
      <c r="K75" s="219" t="str">
        <f t="array" ref="K75">IFERROR(I75*INDEX('PORTIFÓLIO'!$S$4:$S$433,MATCH($C75,'PORTIFÓLIO'!$C$4:$C$433,0)),"")</f>
        <v/>
      </c>
      <c r="L75" s="219" t="str">
        <f t="array" ref="L75">IFERROR(J75*INDEX('PORTIFÓLIO'!$S$4:$S$433,MATCH($C75,'PORTIFÓLIO'!$C$4:$C$433,0)),"")</f>
        <v/>
      </c>
      <c r="M75" s="227"/>
      <c r="N75" s="220"/>
      <c r="O75" s="220"/>
      <c r="P75" s="220"/>
      <c r="Q75" s="220"/>
      <c r="R75" s="220"/>
      <c r="S75" s="220"/>
      <c r="T75" s="220"/>
      <c r="U75" s="220"/>
      <c r="V75" s="220"/>
      <c r="W75" s="220"/>
    </row>
    <row r="76" ht="15.75" customHeight="1" outlineLevel="1">
      <c r="A76" s="211"/>
      <c r="B76" s="212"/>
      <c r="C76" s="213"/>
      <c r="D76" s="214" t="str">
        <f>IFERROR(VLOOKUP($C76,'PORTIFÓLIO'!C:V,2,0),"")</f>
        <v/>
      </c>
      <c r="E76" s="211" t="str">
        <f>IFERROR(VLOOKUP($C76,'PORTIFÓLIO'!C:V,3,0),"")</f>
        <v/>
      </c>
      <c r="F76" s="211" t="str">
        <f>IFERROR(VLOOKUP($C76,'PORTIFÓLIO'!C:V,4,0),"")</f>
        <v/>
      </c>
      <c r="G76" s="215" t="str">
        <f>IFERROR(VLOOKUP($C76,'PORTIFÓLIO'!C:V,5,0),"")</f>
        <v/>
      </c>
      <c r="H76" s="254" t="str">
        <f t="array" ref="H76">IFERROR(INDEX('PORTIFÓLIO'!$H$4:$H$433,MATCH($C76,'PORTIFÓLIO'!$C$4:$C$433,0)),"")</f>
        <v/>
      </c>
      <c r="I76" s="256"/>
      <c r="J76" s="218">
        <f t="shared" si="8"/>
        <v>0</v>
      </c>
      <c r="K76" s="219" t="str">
        <f t="array" ref="K76">IFERROR(I76*INDEX('PORTIFÓLIO'!$S$4:$S$433,MATCH($C76,'PORTIFÓLIO'!$C$4:$C$433,0)),"")</f>
        <v/>
      </c>
      <c r="L76" s="219" t="str">
        <f t="array" ref="L76">IFERROR(J76*INDEX('PORTIFÓLIO'!$S$4:$S$433,MATCH($C76,'PORTIFÓLIO'!$C$4:$C$433,0)),"")</f>
        <v/>
      </c>
      <c r="M76" s="227"/>
      <c r="N76" s="220"/>
      <c r="O76" s="220"/>
      <c r="P76" s="220"/>
      <c r="Q76" s="220"/>
      <c r="R76" s="220"/>
      <c r="S76" s="220"/>
      <c r="T76" s="220"/>
      <c r="U76" s="220"/>
      <c r="V76" s="220"/>
      <c r="W76" s="220"/>
    </row>
    <row r="77" ht="15.75" customHeight="1" outlineLevel="1">
      <c r="A77" s="211"/>
      <c r="B77" s="212"/>
      <c r="C77" s="213"/>
      <c r="D77" s="214" t="str">
        <f>IFERROR(VLOOKUP($C77,'PORTIFÓLIO'!C:V,2,0),"")</f>
        <v/>
      </c>
      <c r="E77" s="211" t="str">
        <f>IFERROR(VLOOKUP($C77,'PORTIFÓLIO'!C:V,3,0),"")</f>
        <v/>
      </c>
      <c r="F77" s="211" t="str">
        <f>IFERROR(VLOOKUP($C77,'PORTIFÓLIO'!C:V,4,0),"")</f>
        <v/>
      </c>
      <c r="G77" s="215" t="str">
        <f>IFERROR(VLOOKUP($C77,'PORTIFÓLIO'!C:V,5,0),"")</f>
        <v/>
      </c>
      <c r="H77" s="254" t="str">
        <f t="array" ref="H77">IFERROR(INDEX('PORTIFÓLIO'!$H$4:$H$433,MATCH($C77,'PORTIFÓLIO'!$C$4:$C$433,0)),"")</f>
        <v/>
      </c>
      <c r="I77" s="256"/>
      <c r="J77" s="218">
        <f t="shared" si="8"/>
        <v>0</v>
      </c>
      <c r="K77" s="219" t="str">
        <f t="array" ref="K77">IFERROR(I77*INDEX('PORTIFÓLIO'!$S$4:$S$433,MATCH($C77,'PORTIFÓLIO'!$C$4:$C$433,0)),"")</f>
        <v/>
      </c>
      <c r="L77" s="219" t="str">
        <f t="array" ref="L77">IFERROR(J77*INDEX('PORTIFÓLIO'!$S$4:$S$433,MATCH($C77,'PORTIFÓLIO'!$C$4:$C$433,0)),"")</f>
        <v/>
      </c>
      <c r="M77" s="227"/>
      <c r="N77" s="220"/>
      <c r="O77" s="220"/>
      <c r="P77" s="220"/>
      <c r="Q77" s="220"/>
      <c r="R77" s="220"/>
      <c r="S77" s="220"/>
      <c r="T77" s="220"/>
      <c r="U77" s="220"/>
      <c r="V77" s="220"/>
      <c r="W77" s="220"/>
    </row>
    <row r="78" ht="15.75" customHeight="1" outlineLevel="1">
      <c r="A78" s="211"/>
      <c r="B78" s="212"/>
      <c r="C78" s="213"/>
      <c r="D78" s="214" t="str">
        <f>IFERROR(VLOOKUP($C78,'PORTIFÓLIO'!C:V,2,0),"")</f>
        <v/>
      </c>
      <c r="E78" s="211" t="str">
        <f>IFERROR(VLOOKUP($C78,'PORTIFÓLIO'!C:V,3,0),"")</f>
        <v/>
      </c>
      <c r="F78" s="211" t="str">
        <f>IFERROR(VLOOKUP($C78,'PORTIFÓLIO'!C:V,4,0),"")</f>
        <v/>
      </c>
      <c r="G78" s="215" t="str">
        <f>IFERROR(VLOOKUP($C78,'PORTIFÓLIO'!C:V,5,0),"")</f>
        <v/>
      </c>
      <c r="H78" s="254" t="str">
        <f t="array" ref="H78">IFERROR(INDEX('PORTIFÓLIO'!$H$4:$H$433,MATCH($C78,'PORTIFÓLIO'!$C$4:$C$433,0)),"")</f>
        <v/>
      </c>
      <c r="I78" s="256"/>
      <c r="J78" s="218">
        <f t="shared" si="8"/>
        <v>0</v>
      </c>
      <c r="K78" s="219" t="str">
        <f t="array" ref="K78">IFERROR(I78*INDEX('PORTIFÓLIO'!$S$4:$S$433,MATCH($C78,'PORTIFÓLIO'!$C$4:$C$433,0)),"")</f>
        <v/>
      </c>
      <c r="L78" s="219" t="str">
        <f t="array" ref="L78">IFERROR(J78*INDEX('PORTIFÓLIO'!$S$4:$S$433,MATCH($C78,'PORTIFÓLIO'!$C$4:$C$433,0)),"")</f>
        <v/>
      </c>
      <c r="M78" s="227"/>
      <c r="N78" s="220"/>
      <c r="O78" s="220"/>
      <c r="P78" s="220"/>
      <c r="Q78" s="220"/>
      <c r="R78" s="220"/>
      <c r="S78" s="220"/>
      <c r="T78" s="220"/>
      <c r="U78" s="220"/>
      <c r="V78" s="220"/>
      <c r="W78" s="220"/>
    </row>
    <row r="79" ht="15.75" customHeight="1" outlineLevel="1">
      <c r="A79" s="211"/>
      <c r="B79" s="212"/>
      <c r="C79" s="213"/>
      <c r="D79" s="214" t="str">
        <f>IFERROR(VLOOKUP($C79,'PORTIFÓLIO'!C:V,2,0),"")</f>
        <v/>
      </c>
      <c r="E79" s="211" t="str">
        <f>IFERROR(VLOOKUP($C79,'PORTIFÓLIO'!C:V,3,0),"")</f>
        <v/>
      </c>
      <c r="F79" s="211" t="str">
        <f>IFERROR(VLOOKUP($C79,'PORTIFÓLIO'!C:V,4,0),"")</f>
        <v/>
      </c>
      <c r="G79" s="215" t="str">
        <f>IFERROR(VLOOKUP($C79,'PORTIFÓLIO'!C:V,5,0),"")</f>
        <v/>
      </c>
      <c r="H79" s="254" t="str">
        <f t="array" ref="H79">IFERROR(INDEX('PORTIFÓLIO'!$H$4:$H$433,MATCH($C79,'PORTIFÓLIO'!$C$4:$C$433,0)),"")</f>
        <v/>
      </c>
      <c r="I79" s="256"/>
      <c r="J79" s="218">
        <f t="shared" si="8"/>
        <v>0</v>
      </c>
      <c r="K79" s="219" t="str">
        <f t="array" ref="K79">IFERROR(I79*INDEX('PORTIFÓLIO'!$S$4:$S$433,MATCH($C79,'PORTIFÓLIO'!$C$4:$C$433,0)),"")</f>
        <v/>
      </c>
      <c r="L79" s="219" t="str">
        <f t="array" ref="L79">IFERROR(J79*INDEX('PORTIFÓLIO'!$S$4:$S$433,MATCH($C79,'PORTIFÓLIO'!$C$4:$C$433,0)),"")</f>
        <v/>
      </c>
      <c r="M79" s="227"/>
      <c r="N79" s="220"/>
      <c r="O79" s="220"/>
      <c r="P79" s="220"/>
      <c r="Q79" s="220"/>
      <c r="R79" s="220"/>
      <c r="S79" s="220"/>
      <c r="T79" s="220"/>
      <c r="U79" s="220"/>
      <c r="V79" s="220"/>
      <c r="W79" s="220"/>
    </row>
    <row r="80" ht="15.75" customHeight="1" outlineLevel="1">
      <c r="A80" s="211"/>
      <c r="B80" s="212"/>
      <c r="C80" s="213"/>
      <c r="D80" s="214" t="str">
        <f>IFERROR(VLOOKUP($C80,'PORTIFÓLIO'!C:V,2,0),"")</f>
        <v/>
      </c>
      <c r="E80" s="211" t="str">
        <f>IFERROR(VLOOKUP($C80,'PORTIFÓLIO'!C:V,3,0),"")</f>
        <v/>
      </c>
      <c r="F80" s="211" t="str">
        <f>IFERROR(VLOOKUP($C80,'PORTIFÓLIO'!C:V,4,0),"")</f>
        <v/>
      </c>
      <c r="G80" s="215" t="str">
        <f>IFERROR(VLOOKUP($C80,'PORTIFÓLIO'!C:V,5,0),"")</f>
        <v/>
      </c>
      <c r="H80" s="254" t="str">
        <f t="array" ref="H80">IFERROR(INDEX('PORTIFÓLIO'!$H$4:$H$433,MATCH($C80,'PORTIFÓLIO'!$C$4:$C$433,0)),"")</f>
        <v/>
      </c>
      <c r="I80" s="256"/>
      <c r="J80" s="218">
        <f t="shared" si="8"/>
        <v>0</v>
      </c>
      <c r="K80" s="219" t="str">
        <f t="array" ref="K80">IFERROR(I80*INDEX('PORTIFÓLIO'!$S$4:$S$433,MATCH($C80,'PORTIFÓLIO'!$C$4:$C$433,0)),"")</f>
        <v/>
      </c>
      <c r="L80" s="219" t="str">
        <f t="array" ref="L80">IFERROR(J80*INDEX('PORTIFÓLIO'!$S$4:$S$433,MATCH($C80,'PORTIFÓLIO'!$C$4:$C$433,0)),"")</f>
        <v/>
      </c>
      <c r="M80" s="227"/>
      <c r="N80" s="220"/>
      <c r="O80" s="220"/>
      <c r="P80" s="220"/>
      <c r="Q80" s="220"/>
      <c r="R80" s="220"/>
      <c r="S80" s="220"/>
      <c r="T80" s="220"/>
      <c r="U80" s="220"/>
      <c r="V80" s="220"/>
      <c r="W80" s="220"/>
    </row>
    <row r="81" ht="15.75" customHeight="1">
      <c r="A81" s="221" t="s">
        <v>1188</v>
      </c>
      <c r="B81" s="197"/>
      <c r="C81" s="196"/>
      <c r="D81" s="198" t="s">
        <v>216</v>
      </c>
      <c r="E81" s="196"/>
      <c r="F81" s="196"/>
      <c r="G81" s="199"/>
      <c r="H81" s="199"/>
      <c r="I81" s="252"/>
      <c r="J81" s="202"/>
      <c r="K81" s="203">
        <f t="shared" ref="K81:L81" si="9">SUBTOTAL(9,K82:K95)</f>
        <v>101.585534</v>
      </c>
      <c r="L81" s="203">
        <f t="shared" si="9"/>
        <v>10463.31</v>
      </c>
      <c r="M81" s="238"/>
      <c r="N81" s="177"/>
      <c r="O81" s="177"/>
      <c r="P81" s="177"/>
      <c r="Q81" s="177"/>
      <c r="R81" s="177"/>
      <c r="S81" s="177"/>
      <c r="T81" s="177"/>
      <c r="U81" s="177"/>
      <c r="V81" s="177"/>
      <c r="W81" s="177"/>
    </row>
    <row r="82" ht="15.75" customHeight="1" outlineLevel="1">
      <c r="A82" s="191"/>
      <c r="B82" s="204" t="s">
        <v>1</v>
      </c>
      <c r="C82" s="191" t="s">
        <v>637</v>
      </c>
      <c r="D82" s="205" t="str">
        <f>IFERROR(VLOOKUP($C82,'PORTIFÓLIO'!C:V,2,0),"")</f>
        <v>GLIFOSATO-SAL DE AMÔNIO</v>
      </c>
      <c r="E82" s="190">
        <f>IFERROR(VLOOKUP($C82,'PORTIFÓLIO'!C:V,3,0),"")</f>
        <v>720</v>
      </c>
      <c r="F82" s="190" t="str">
        <f>IFERROR(VLOOKUP($C82,'PORTIFÓLIO'!C:V,4,0),"")</f>
        <v>L</v>
      </c>
      <c r="G82" s="223" t="str">
        <f>IFERROR(VLOOKUP($C82,'PORTIFÓLIO'!C:V,5,0),"")</f>
        <v>📄 Ver bula</v>
      </c>
      <c r="H82" s="247">
        <f t="array" ref="H82">IFERROR(INDEX('PORTIFÓLIO'!$H$4:$H$433,MATCH($C82,'PORTIFÓLIO'!$C$4:$C$433,0)),"")</f>
        <v>2</v>
      </c>
      <c r="I82" s="253">
        <v>2.0</v>
      </c>
      <c r="J82" s="209">
        <f t="shared" ref="J82:J96" si="10">I82*$B$2</f>
        <v>206</v>
      </c>
      <c r="K82" s="210">
        <f t="array" ref="K82">IFERROR(I82*INDEX('PORTIFÓLIO'!$S$4:$S$433,MATCH($C82,'PORTIFÓLIO'!$C$4:$C$433,0)),"")</f>
        <v>49.16</v>
      </c>
      <c r="L82" s="210">
        <f t="array" ref="L82">IFERROR(J82*INDEX('PORTIFÓLIO'!$S$4:$S$433,MATCH($C82,'PORTIFÓLIO'!$C$4:$C$433,0)),"")</f>
        <v>5063.48</v>
      </c>
      <c r="M82" s="238"/>
      <c r="N82" s="177"/>
      <c r="O82" s="177"/>
      <c r="P82" s="177"/>
      <c r="Q82" s="177"/>
      <c r="R82" s="177"/>
      <c r="S82" s="177"/>
      <c r="T82" s="177"/>
      <c r="U82" s="177"/>
      <c r="V82" s="177"/>
      <c r="W82" s="177"/>
    </row>
    <row r="83" ht="15.75" customHeight="1" outlineLevel="1">
      <c r="A83" s="190"/>
      <c r="B83" s="204" t="s">
        <v>1</v>
      </c>
      <c r="C83" s="191" t="s">
        <v>682</v>
      </c>
      <c r="D83" s="205" t="str">
        <f>IFERROR(VLOOKUP($C83,'PORTIFÓLIO'!C:V,2,0),"")</f>
        <v>CLETODIM</v>
      </c>
      <c r="E83" s="190">
        <f>IFERROR(VLOOKUP($C83,'PORTIFÓLIO'!C:V,3,0),"")</f>
        <v>240</v>
      </c>
      <c r="F83" s="190" t="str">
        <f>IFERROR(VLOOKUP($C83,'PORTIFÓLIO'!C:V,4,0),"")</f>
        <v>L</v>
      </c>
      <c r="G83" s="223" t="str">
        <f>IFERROR(VLOOKUP($C83,'PORTIFÓLIO'!C:V,5,0),"")</f>
        <v>📄 Ver bula</v>
      </c>
      <c r="H83" s="247">
        <f t="array" ref="H83">IFERROR(INDEX('PORTIFÓLIO'!$H$4:$H$433,MATCH($C83,'PORTIFÓLIO'!$C$4:$C$433,0)),"")</f>
        <v>0.4</v>
      </c>
      <c r="I83" s="253">
        <v>0.4</v>
      </c>
      <c r="J83" s="209">
        <f t="shared" si="10"/>
        <v>41.2</v>
      </c>
      <c r="K83" s="210">
        <f t="array" ref="K83">IFERROR(I83*INDEX('PORTIFÓLIO'!$S$4:$S$433,MATCH($C83,'PORTIFÓLIO'!$C$4:$C$433,0)),"")</f>
        <v>12.33916</v>
      </c>
      <c r="L83" s="210">
        <f t="array" ref="L83">IFERROR(J83*INDEX('PORTIFÓLIO'!$S$4:$S$433,MATCH($C83,'PORTIFÓLIO'!$C$4:$C$433,0)),"")</f>
        <v>1270.93348</v>
      </c>
      <c r="M83" s="238"/>
      <c r="N83" s="177"/>
      <c r="O83" s="177"/>
      <c r="P83" s="177"/>
      <c r="Q83" s="177"/>
      <c r="R83" s="177"/>
      <c r="S83" s="177"/>
      <c r="T83" s="177"/>
      <c r="U83" s="177"/>
      <c r="V83" s="177"/>
      <c r="W83" s="177"/>
    </row>
    <row r="84" ht="15.75" customHeight="1" outlineLevel="1">
      <c r="A84" s="190"/>
      <c r="B84" s="204" t="s">
        <v>0</v>
      </c>
      <c r="C84" s="191" t="s">
        <v>505</v>
      </c>
      <c r="D84" s="205" t="str">
        <f>IFERROR(VLOOKUP($C84,'PORTIFÓLIO'!C:V,2,0),"")</f>
        <v>TEBUCONAZOL</v>
      </c>
      <c r="E84" s="190">
        <f>IFERROR(VLOOKUP($C84,'PORTIFÓLIO'!C:V,3,0),"")</f>
        <v>430</v>
      </c>
      <c r="F84" s="190" t="str">
        <f>IFERROR(VLOOKUP($C84,'PORTIFÓLIO'!C:V,4,0),"")</f>
        <v>L</v>
      </c>
      <c r="G84" s="223" t="str">
        <f>IFERROR(VLOOKUP($C84,'PORTIFÓLIO'!C:V,5,0),"")</f>
        <v>📄 Ver bula</v>
      </c>
      <c r="H84" s="247">
        <f t="array" ref="H84">IFERROR(INDEX('PORTIFÓLIO'!$H$4:$H$433,MATCH($C84,'PORTIFÓLIO'!$C$4:$C$433,0)),"")</f>
        <v>0.4</v>
      </c>
      <c r="I84" s="253">
        <v>0.4</v>
      </c>
      <c r="J84" s="209">
        <f t="shared" si="10"/>
        <v>41.2</v>
      </c>
      <c r="K84" s="210">
        <f t="array" ref="K84">IFERROR(I84*INDEX('PORTIFÓLIO'!$S$4:$S$433,MATCH($C84,'PORTIFÓLIO'!$C$4:$C$433,0)),"")</f>
        <v>12.1824</v>
      </c>
      <c r="L84" s="210">
        <f t="array" ref="L84">IFERROR(J84*INDEX('PORTIFÓLIO'!$S$4:$S$433,MATCH($C84,'PORTIFÓLIO'!$C$4:$C$433,0)),"")</f>
        <v>1254.7872</v>
      </c>
      <c r="M84" s="238"/>
      <c r="N84" s="177"/>
      <c r="O84" s="177"/>
      <c r="P84" s="177"/>
      <c r="Q84" s="177"/>
      <c r="R84" s="177"/>
      <c r="S84" s="177"/>
      <c r="T84" s="177"/>
      <c r="U84" s="177"/>
      <c r="V84" s="177"/>
      <c r="W84" s="177"/>
    </row>
    <row r="85" ht="15.75" customHeight="1" outlineLevel="1">
      <c r="A85" s="211"/>
      <c r="B85" s="212" t="s">
        <v>6</v>
      </c>
      <c r="C85" s="213" t="s">
        <v>341</v>
      </c>
      <c r="D85" s="214" t="str">
        <f>IFERROR(VLOOKUP($C85,'PORTIFÓLIO'!C:V,2,0),"")</f>
        <v>ESTER METILICO DE SOJA</v>
      </c>
      <c r="E85" s="211">
        <f>IFERROR(VLOOKUP($C85,'PORTIFÓLIO'!C:V,3,0),"")</f>
        <v>765</v>
      </c>
      <c r="F85" s="211" t="str">
        <f>IFERROR(VLOOKUP($C85,'PORTIFÓLIO'!C:V,4,0),"")</f>
        <v>L</v>
      </c>
      <c r="G85" s="225" t="str">
        <f>IFERROR(VLOOKUP($C85,'PORTIFÓLIO'!C:V,5,0),"")</f>
        <v>📄 Ver bula</v>
      </c>
      <c r="H85" s="254">
        <f t="array" ref="H85">IFERROR(INDEX('PORTIFÓLIO'!$H$4:$H$433,MATCH($C85,'PORTIFÓLIO'!$C$4:$C$433,0)),"")</f>
        <v>0.2</v>
      </c>
      <c r="I85" s="255">
        <v>0.2</v>
      </c>
      <c r="J85" s="218">
        <f t="shared" si="10"/>
        <v>20.6</v>
      </c>
      <c r="K85" s="219">
        <f t="array" ref="K85">IFERROR(I85*INDEX('PORTIFÓLIO'!$S$4:$S$433,MATCH($C85,'PORTIFÓLIO'!$C$4:$C$433,0)),"")</f>
        <v>3.298974</v>
      </c>
      <c r="L85" s="219">
        <f t="array" ref="L85">IFERROR(J85*INDEX('PORTIFÓLIO'!$S$4:$S$433,MATCH($C85,'PORTIFÓLIO'!$C$4:$C$433,0)),"")</f>
        <v>339.794322</v>
      </c>
      <c r="M85" s="227"/>
      <c r="N85" s="220"/>
      <c r="O85" s="220"/>
      <c r="P85" s="220"/>
      <c r="Q85" s="220"/>
      <c r="R85" s="220"/>
      <c r="S85" s="220"/>
      <c r="T85" s="220"/>
      <c r="U85" s="220"/>
      <c r="V85" s="220"/>
      <c r="W85" s="220"/>
    </row>
    <row r="86" ht="15.75" customHeight="1" outlineLevel="1">
      <c r="A86" s="211"/>
      <c r="B86" s="212" t="s">
        <v>9</v>
      </c>
      <c r="C86" s="213" t="s">
        <v>951</v>
      </c>
      <c r="D86" s="214" t="str">
        <f>IFERROR(VLOOKUP($C86,'PORTIFÓLIO'!C:V,2,0),"")</f>
        <v>N4%; P2O5 4%; S3,6%; Mn6%; Ni0,2%; Zn0,4%</v>
      </c>
      <c r="E86" s="211" t="str">
        <f>IFERROR(VLOOKUP($C86,'PORTIFÓLIO'!C:V,3,0),"")</f>
        <v>54,8g/l + 54,8g/l + 49,32g/l + 82,2g/l + 2,7g/l + 5,4g/l</v>
      </c>
      <c r="F86" s="211" t="str">
        <f>IFERROR(VLOOKUP($C86,'PORTIFÓLIO'!C:V,4,0),"")</f>
        <v>L</v>
      </c>
      <c r="G86" s="215" t="str">
        <f>IFERROR(VLOOKUP($C86,'PORTIFÓLIO'!C:V,5,0),"")</f>
        <v/>
      </c>
      <c r="H86" s="254">
        <f t="array" ref="H86">IFERROR(INDEX('PORTIFÓLIO'!$H$4:$H$433,MATCH($C86,'PORTIFÓLIO'!$C$4:$C$433,0)),"")</f>
        <v>0.5</v>
      </c>
      <c r="I86" s="255">
        <v>0.5</v>
      </c>
      <c r="J86" s="218">
        <f t="shared" si="10"/>
        <v>51.5</v>
      </c>
      <c r="K86" s="219">
        <f t="array" ref="K86">IFERROR(I86*INDEX('PORTIFÓLIO'!$S$4:$S$433,MATCH($C86,'PORTIFÓLIO'!$C$4:$C$433,0)),"")</f>
        <v>24.605</v>
      </c>
      <c r="L86" s="219">
        <f t="array" ref="L86">IFERROR(J86*INDEX('PORTIFÓLIO'!$S$4:$S$433,MATCH($C86,'PORTIFÓLIO'!$C$4:$C$433,0)),"")</f>
        <v>2534.315</v>
      </c>
      <c r="M86" s="227"/>
      <c r="N86" s="220"/>
      <c r="O86" s="220"/>
      <c r="P86" s="220"/>
      <c r="Q86" s="220"/>
      <c r="R86" s="220"/>
      <c r="S86" s="220"/>
      <c r="T86" s="220"/>
      <c r="U86" s="220"/>
      <c r="V86" s="220"/>
      <c r="W86" s="220"/>
    </row>
    <row r="87" ht="15.75" customHeight="1" outlineLevel="1">
      <c r="A87" s="211"/>
      <c r="B87" s="212"/>
      <c r="C87" s="213"/>
      <c r="D87" s="214" t="str">
        <f>IFERROR(VLOOKUP($C87,'PORTIFÓLIO'!C:V,2,0),"")</f>
        <v/>
      </c>
      <c r="E87" s="211" t="str">
        <f>IFERROR(VLOOKUP($C87,'PORTIFÓLIO'!C:V,3,0),"")</f>
        <v/>
      </c>
      <c r="F87" s="211" t="str">
        <f>IFERROR(VLOOKUP($C87,'PORTIFÓLIO'!C:V,4,0),"")</f>
        <v/>
      </c>
      <c r="G87" s="215" t="str">
        <f>IFERROR(VLOOKUP($C87,'PORTIFÓLIO'!C:V,5,0),"")</f>
        <v/>
      </c>
      <c r="H87" s="254" t="str">
        <f t="array" ref="H87">IFERROR(INDEX('PORTIFÓLIO'!$H$4:$H$433,MATCH($C87,'PORTIFÓLIO'!$C$4:$C$433,0)),"")</f>
        <v/>
      </c>
      <c r="I87" s="256"/>
      <c r="J87" s="218">
        <f t="shared" si="10"/>
        <v>0</v>
      </c>
      <c r="K87" s="219" t="str">
        <f t="array" ref="K87">IFERROR(I87*INDEX('PORTIFÓLIO'!$S$4:$S$433,MATCH($C87,'PORTIFÓLIO'!$C$4:$C$433,0)),"")</f>
        <v/>
      </c>
      <c r="L87" s="219" t="str">
        <f t="array" ref="L87">IFERROR(J87*INDEX('PORTIFÓLIO'!$S$4:$S$433,MATCH($C87,'PORTIFÓLIO'!$C$4:$C$433,0)),"")</f>
        <v/>
      </c>
      <c r="M87" s="227"/>
      <c r="N87" s="220"/>
      <c r="O87" s="220"/>
      <c r="P87" s="220"/>
      <c r="Q87" s="220"/>
      <c r="R87" s="220"/>
      <c r="S87" s="220"/>
      <c r="T87" s="220"/>
      <c r="U87" s="220"/>
      <c r="V87" s="220"/>
      <c r="W87" s="220"/>
    </row>
    <row r="88" ht="15.75" customHeight="1" outlineLevel="1">
      <c r="A88" s="211"/>
      <c r="B88" s="212"/>
      <c r="C88" s="213"/>
      <c r="D88" s="214" t="str">
        <f>IFERROR(VLOOKUP($C88,'PORTIFÓLIO'!C:V,2,0),"")</f>
        <v/>
      </c>
      <c r="E88" s="211" t="str">
        <f>IFERROR(VLOOKUP($C88,'PORTIFÓLIO'!C:V,3,0),"")</f>
        <v/>
      </c>
      <c r="F88" s="211" t="str">
        <f>IFERROR(VLOOKUP($C88,'PORTIFÓLIO'!C:V,4,0),"")</f>
        <v/>
      </c>
      <c r="G88" s="215" t="str">
        <f>IFERROR(VLOOKUP($C88,'PORTIFÓLIO'!C:V,5,0),"")</f>
        <v/>
      </c>
      <c r="H88" s="254" t="str">
        <f t="array" ref="H88">IFERROR(INDEX('PORTIFÓLIO'!$H$4:$H$433,MATCH($C88,'PORTIFÓLIO'!$C$4:$C$433,0)),"")</f>
        <v/>
      </c>
      <c r="I88" s="256"/>
      <c r="J88" s="218">
        <f t="shared" si="10"/>
        <v>0</v>
      </c>
      <c r="K88" s="219" t="str">
        <f t="array" ref="K88">IFERROR(I88*INDEX('PORTIFÓLIO'!$S$4:$S$433,MATCH($C88,'PORTIFÓLIO'!$C$4:$C$433,0)),"")</f>
        <v/>
      </c>
      <c r="L88" s="219" t="str">
        <f t="array" ref="L88">IFERROR(J88*INDEX('PORTIFÓLIO'!$S$4:$S$433,MATCH($C88,'PORTIFÓLIO'!$C$4:$C$433,0)),"")</f>
        <v/>
      </c>
      <c r="M88" s="227"/>
      <c r="N88" s="220"/>
      <c r="O88" s="220"/>
      <c r="P88" s="220"/>
      <c r="Q88" s="220"/>
      <c r="R88" s="220"/>
      <c r="S88" s="220"/>
      <c r="T88" s="220"/>
      <c r="U88" s="220"/>
      <c r="V88" s="220"/>
      <c r="W88" s="220"/>
    </row>
    <row r="89" ht="15.75" customHeight="1" outlineLevel="1">
      <c r="A89" s="211"/>
      <c r="B89" s="212"/>
      <c r="C89" s="213"/>
      <c r="D89" s="214" t="str">
        <f>IFERROR(VLOOKUP($C89,'PORTIFÓLIO'!C:V,2,0),"")</f>
        <v/>
      </c>
      <c r="E89" s="211" t="str">
        <f>IFERROR(VLOOKUP($C89,'PORTIFÓLIO'!C:V,3,0),"")</f>
        <v/>
      </c>
      <c r="F89" s="211" t="str">
        <f>IFERROR(VLOOKUP($C89,'PORTIFÓLIO'!C:V,4,0),"")</f>
        <v/>
      </c>
      <c r="G89" s="215" t="str">
        <f>IFERROR(VLOOKUP($C89,'PORTIFÓLIO'!C:V,5,0),"")</f>
        <v/>
      </c>
      <c r="H89" s="254" t="str">
        <f t="array" ref="H89">IFERROR(INDEX('PORTIFÓLIO'!$H$4:$H$433,MATCH($C89,'PORTIFÓLIO'!$C$4:$C$433,0)),"")</f>
        <v/>
      </c>
      <c r="I89" s="256"/>
      <c r="J89" s="218">
        <f t="shared" si="10"/>
        <v>0</v>
      </c>
      <c r="K89" s="219" t="str">
        <f t="array" ref="K89">IFERROR(I89*INDEX('PORTIFÓLIO'!$S$4:$S$433,MATCH($C89,'PORTIFÓLIO'!$C$4:$C$433,0)),"")</f>
        <v/>
      </c>
      <c r="L89" s="219" t="str">
        <f t="array" ref="L89">IFERROR(J89*INDEX('PORTIFÓLIO'!$S$4:$S$433,MATCH($C89,'PORTIFÓLIO'!$C$4:$C$433,0)),"")</f>
        <v/>
      </c>
      <c r="M89" s="227"/>
      <c r="N89" s="220"/>
      <c r="O89" s="220"/>
      <c r="P89" s="220"/>
      <c r="Q89" s="220"/>
      <c r="R89" s="220"/>
      <c r="S89" s="220"/>
      <c r="T89" s="220"/>
      <c r="U89" s="220"/>
      <c r="V89" s="220"/>
      <c r="W89" s="220"/>
    </row>
    <row r="90" ht="15.75" customHeight="1" outlineLevel="1">
      <c r="A90" s="211"/>
      <c r="B90" s="212"/>
      <c r="C90" s="213"/>
      <c r="D90" s="214" t="str">
        <f>IFERROR(VLOOKUP($C90,'PORTIFÓLIO'!C:V,2,0),"")</f>
        <v/>
      </c>
      <c r="E90" s="211" t="str">
        <f>IFERROR(VLOOKUP($C90,'PORTIFÓLIO'!C:V,3,0),"")</f>
        <v/>
      </c>
      <c r="F90" s="211" t="str">
        <f>IFERROR(VLOOKUP($C90,'PORTIFÓLIO'!C:V,4,0),"")</f>
        <v/>
      </c>
      <c r="G90" s="215" t="str">
        <f>IFERROR(VLOOKUP($C90,'PORTIFÓLIO'!C:V,5,0),"")</f>
        <v/>
      </c>
      <c r="H90" s="254" t="str">
        <f t="array" ref="H90">IFERROR(INDEX('PORTIFÓLIO'!$H$4:$H$433,MATCH($C90,'PORTIFÓLIO'!$C$4:$C$433,0)),"")</f>
        <v/>
      </c>
      <c r="I90" s="255"/>
      <c r="J90" s="218">
        <f t="shared" si="10"/>
        <v>0</v>
      </c>
      <c r="K90" s="219" t="str">
        <f t="array" ref="K90">IFERROR(I90*INDEX('PORTIFÓLIO'!$S$4:$S$433,MATCH($C90,'PORTIFÓLIO'!$C$4:$C$433,0)),"")</f>
        <v/>
      </c>
      <c r="L90" s="219" t="str">
        <f t="array" ref="L90">IFERROR(J90*INDEX('PORTIFÓLIO'!$S$4:$S$433,MATCH($C90,'PORTIFÓLIO'!$C$4:$C$433,0)),"")</f>
        <v/>
      </c>
      <c r="M90" s="227"/>
      <c r="N90" s="220"/>
      <c r="O90" s="220"/>
      <c r="P90" s="220"/>
      <c r="Q90" s="220"/>
      <c r="R90" s="220"/>
      <c r="S90" s="220"/>
      <c r="T90" s="220"/>
      <c r="U90" s="220"/>
      <c r="V90" s="220"/>
      <c r="W90" s="220"/>
    </row>
    <row r="91" ht="15.75" customHeight="1" outlineLevel="1">
      <c r="A91" s="211"/>
      <c r="B91" s="212"/>
      <c r="C91" s="213"/>
      <c r="D91" s="214" t="str">
        <f>IFERROR(VLOOKUP($C91,'PORTIFÓLIO'!C:V,2,0),"")</f>
        <v/>
      </c>
      <c r="E91" s="211" t="str">
        <f>IFERROR(VLOOKUP($C91,'PORTIFÓLIO'!C:V,3,0),"")</f>
        <v/>
      </c>
      <c r="F91" s="211" t="str">
        <f>IFERROR(VLOOKUP($C91,'PORTIFÓLIO'!C:V,4,0),"")</f>
        <v/>
      </c>
      <c r="G91" s="215" t="str">
        <f>IFERROR(VLOOKUP($C91,'PORTIFÓLIO'!C:V,5,0),"")</f>
        <v/>
      </c>
      <c r="H91" s="254" t="str">
        <f t="array" ref="H91">IFERROR(INDEX('PORTIFÓLIO'!$H$4:$H$433,MATCH($C91,'PORTIFÓLIO'!$C$4:$C$433,0)),"")</f>
        <v/>
      </c>
      <c r="I91" s="256"/>
      <c r="J91" s="218">
        <f t="shared" si="10"/>
        <v>0</v>
      </c>
      <c r="K91" s="219" t="str">
        <f t="array" ref="K91">IFERROR(I91*INDEX('PORTIFÓLIO'!$S$4:$S$433,MATCH($C91,'PORTIFÓLIO'!$C$4:$C$433,0)),"")</f>
        <v/>
      </c>
      <c r="L91" s="219" t="str">
        <f t="array" ref="L91">IFERROR(J91*INDEX('PORTIFÓLIO'!$S$4:$S$433,MATCH($C91,'PORTIFÓLIO'!$C$4:$C$433,0)),"")</f>
        <v/>
      </c>
      <c r="M91" s="227"/>
      <c r="N91" s="220"/>
      <c r="O91" s="220"/>
      <c r="P91" s="220"/>
      <c r="Q91" s="220"/>
      <c r="R91" s="220"/>
      <c r="S91" s="220"/>
      <c r="T91" s="220"/>
      <c r="U91" s="220"/>
      <c r="V91" s="220"/>
      <c r="W91" s="220"/>
    </row>
    <row r="92" ht="15.75" customHeight="1" outlineLevel="1">
      <c r="A92" s="211"/>
      <c r="B92" s="212"/>
      <c r="C92" s="213"/>
      <c r="D92" s="214" t="str">
        <f>IFERROR(VLOOKUP($C92,'PORTIFÓLIO'!C:V,2,0),"")</f>
        <v/>
      </c>
      <c r="E92" s="211" t="str">
        <f>IFERROR(VLOOKUP($C92,'PORTIFÓLIO'!C:V,3,0),"")</f>
        <v/>
      </c>
      <c r="F92" s="211" t="str">
        <f>IFERROR(VLOOKUP($C92,'PORTIFÓLIO'!C:V,4,0),"")</f>
        <v/>
      </c>
      <c r="G92" s="215" t="str">
        <f>IFERROR(VLOOKUP($C92,'PORTIFÓLIO'!C:V,5,0),"")</f>
        <v/>
      </c>
      <c r="H92" s="254" t="str">
        <f t="array" ref="H92">IFERROR(INDEX('PORTIFÓLIO'!$H$4:$H$433,MATCH($C92,'PORTIFÓLIO'!$C$4:$C$433,0)),"")</f>
        <v/>
      </c>
      <c r="I92" s="256"/>
      <c r="J92" s="218">
        <f t="shared" si="10"/>
        <v>0</v>
      </c>
      <c r="K92" s="219" t="str">
        <f t="array" ref="K92">IFERROR(I92*INDEX('PORTIFÓLIO'!$S$4:$S$433,MATCH($C92,'PORTIFÓLIO'!$C$4:$C$433,0)),"")</f>
        <v/>
      </c>
      <c r="L92" s="219" t="str">
        <f t="array" ref="L92">IFERROR(J92*INDEX('PORTIFÓLIO'!$S$4:$S$433,MATCH($C92,'PORTIFÓLIO'!$C$4:$C$433,0)),"")</f>
        <v/>
      </c>
      <c r="M92" s="227"/>
      <c r="N92" s="220"/>
      <c r="O92" s="220"/>
      <c r="P92" s="220"/>
      <c r="Q92" s="220"/>
      <c r="R92" s="220"/>
      <c r="S92" s="220"/>
      <c r="T92" s="220"/>
      <c r="U92" s="220"/>
      <c r="V92" s="220"/>
      <c r="W92" s="220"/>
    </row>
    <row r="93" ht="15.75" customHeight="1" outlineLevel="1">
      <c r="A93" s="211"/>
      <c r="B93" s="212"/>
      <c r="C93" s="213"/>
      <c r="D93" s="214" t="str">
        <f>IFERROR(VLOOKUP($C93,'PORTIFÓLIO'!C:V,2,0),"")</f>
        <v/>
      </c>
      <c r="E93" s="211" t="str">
        <f>IFERROR(VLOOKUP($C93,'PORTIFÓLIO'!C:V,3,0),"")</f>
        <v/>
      </c>
      <c r="F93" s="211" t="str">
        <f>IFERROR(VLOOKUP($C93,'PORTIFÓLIO'!C:V,4,0),"")</f>
        <v/>
      </c>
      <c r="G93" s="215" t="str">
        <f>IFERROR(VLOOKUP($C93,'PORTIFÓLIO'!C:V,5,0),"")</f>
        <v/>
      </c>
      <c r="H93" s="254" t="str">
        <f t="array" ref="H93">IFERROR(INDEX('PORTIFÓLIO'!$H$4:$H$433,MATCH($C93,'PORTIFÓLIO'!$C$4:$C$433,0)),"")</f>
        <v/>
      </c>
      <c r="I93" s="256"/>
      <c r="J93" s="218">
        <f t="shared" si="10"/>
        <v>0</v>
      </c>
      <c r="K93" s="219" t="str">
        <f t="array" ref="K93">IFERROR(I93*INDEX('PORTIFÓLIO'!$S$4:$S$433,MATCH($C93,'PORTIFÓLIO'!$C$4:$C$433,0)),"")</f>
        <v/>
      </c>
      <c r="L93" s="219" t="str">
        <f t="array" ref="L93">IFERROR(J93*INDEX('PORTIFÓLIO'!$S$4:$S$433,MATCH($C93,'PORTIFÓLIO'!$C$4:$C$433,0)),"")</f>
        <v/>
      </c>
      <c r="M93" s="227"/>
      <c r="N93" s="220"/>
      <c r="O93" s="220"/>
      <c r="P93" s="220"/>
      <c r="Q93" s="220"/>
      <c r="R93" s="220"/>
      <c r="S93" s="220"/>
      <c r="T93" s="220"/>
      <c r="U93" s="220"/>
      <c r="V93" s="220"/>
      <c r="W93" s="220"/>
    </row>
    <row r="94" ht="15.75" customHeight="1" outlineLevel="1">
      <c r="A94" s="211"/>
      <c r="B94" s="212"/>
      <c r="C94" s="213"/>
      <c r="D94" s="214" t="str">
        <f>IFERROR(VLOOKUP($C94,'PORTIFÓLIO'!C:V,2,0),"")</f>
        <v/>
      </c>
      <c r="E94" s="211" t="str">
        <f>IFERROR(VLOOKUP($C94,'PORTIFÓLIO'!C:V,3,0),"")</f>
        <v/>
      </c>
      <c r="F94" s="211" t="str">
        <f>IFERROR(VLOOKUP($C94,'PORTIFÓLIO'!C:V,4,0),"")</f>
        <v/>
      </c>
      <c r="G94" s="215" t="str">
        <f>IFERROR(VLOOKUP($C94,'PORTIFÓLIO'!C:V,5,0),"")</f>
        <v/>
      </c>
      <c r="H94" s="254" t="str">
        <f t="array" ref="H94">IFERROR(INDEX('PORTIFÓLIO'!$H$4:$H$433,MATCH($C94,'PORTIFÓLIO'!$C$4:$C$433,0)),"")</f>
        <v/>
      </c>
      <c r="I94" s="256"/>
      <c r="J94" s="218">
        <f t="shared" si="10"/>
        <v>0</v>
      </c>
      <c r="K94" s="219" t="str">
        <f t="array" ref="K94">IFERROR(I94*INDEX('PORTIFÓLIO'!$S$4:$S$433,MATCH($C94,'PORTIFÓLIO'!$C$4:$C$433,0)),"")</f>
        <v/>
      </c>
      <c r="L94" s="219" t="str">
        <f t="array" ref="L94">IFERROR(J94*INDEX('PORTIFÓLIO'!$S$4:$S$433,MATCH($C94,'PORTIFÓLIO'!$C$4:$C$433,0)),"")</f>
        <v/>
      </c>
      <c r="M94" s="227"/>
      <c r="N94" s="220"/>
      <c r="O94" s="220"/>
      <c r="P94" s="220"/>
      <c r="Q94" s="220"/>
      <c r="R94" s="220"/>
      <c r="S94" s="220"/>
      <c r="T94" s="220"/>
      <c r="U94" s="220"/>
      <c r="V94" s="220"/>
      <c r="W94" s="220"/>
    </row>
    <row r="95" ht="15.75" customHeight="1" outlineLevel="1">
      <c r="A95" s="211"/>
      <c r="B95" s="212"/>
      <c r="C95" s="213"/>
      <c r="D95" s="214" t="str">
        <f>IFERROR(VLOOKUP($C95,'PORTIFÓLIO'!C:V,2,0),"")</f>
        <v/>
      </c>
      <c r="E95" s="211" t="str">
        <f>IFERROR(VLOOKUP($C95,'PORTIFÓLIO'!C:V,3,0),"")</f>
        <v/>
      </c>
      <c r="F95" s="211" t="str">
        <f>IFERROR(VLOOKUP($C95,'PORTIFÓLIO'!C:V,4,0),"")</f>
        <v/>
      </c>
      <c r="G95" s="215" t="str">
        <f>IFERROR(VLOOKUP($C95,'PORTIFÓLIO'!C:V,5,0),"")</f>
        <v/>
      </c>
      <c r="H95" s="254" t="str">
        <f t="array" ref="H95">IFERROR(INDEX('PORTIFÓLIO'!$H$4:$H$433,MATCH($C95,'PORTIFÓLIO'!$C$4:$C$433,0)),"")</f>
        <v/>
      </c>
      <c r="I95" s="256"/>
      <c r="J95" s="218">
        <f t="shared" si="10"/>
        <v>0</v>
      </c>
      <c r="K95" s="219" t="str">
        <f t="array" ref="K95">IFERROR(I95*INDEX('PORTIFÓLIO'!$S$4:$S$433,MATCH($C95,'PORTIFÓLIO'!$C$4:$C$433,0)),"")</f>
        <v/>
      </c>
      <c r="L95" s="219" t="str">
        <f t="array" ref="L95">IFERROR(J95*INDEX('PORTIFÓLIO'!$S$4:$S$433,MATCH($C95,'PORTIFÓLIO'!$C$4:$C$433,0)),"")</f>
        <v/>
      </c>
      <c r="M95" s="227"/>
      <c r="N95" s="220"/>
      <c r="O95" s="220"/>
      <c r="P95" s="220"/>
      <c r="Q95" s="220"/>
      <c r="R95" s="220"/>
      <c r="S95" s="220"/>
      <c r="T95" s="220"/>
      <c r="U95" s="220"/>
      <c r="V95" s="220"/>
      <c r="W95" s="220"/>
    </row>
    <row r="96" ht="15.75" customHeight="1" outlineLevel="1">
      <c r="A96" s="211"/>
      <c r="B96" s="212"/>
      <c r="C96" s="213"/>
      <c r="D96" s="214" t="str">
        <f>IFERROR(VLOOKUP($C96,'PORTIFÓLIO'!C:V,2,0),"")</f>
        <v/>
      </c>
      <c r="E96" s="211" t="str">
        <f>IFERROR(VLOOKUP($C96,'PORTIFÓLIO'!C:V,3,0),"")</f>
        <v/>
      </c>
      <c r="F96" s="211" t="str">
        <f>IFERROR(VLOOKUP($C96,'PORTIFÓLIO'!C:V,4,0),"")</f>
        <v/>
      </c>
      <c r="G96" s="215" t="str">
        <f>IFERROR(VLOOKUP($C96,'PORTIFÓLIO'!C:V,5,0),"")</f>
        <v/>
      </c>
      <c r="H96" s="254" t="str">
        <f t="array" ref="H96">IFERROR(INDEX('PORTIFÓLIO'!$H$4:$H$433,MATCH($C96,'PORTIFÓLIO'!$C$4:$C$433,0)),"")</f>
        <v/>
      </c>
      <c r="I96" s="256"/>
      <c r="J96" s="218">
        <f t="shared" si="10"/>
        <v>0</v>
      </c>
      <c r="K96" s="219" t="str">
        <f t="array" ref="K96">IFERROR(I96*INDEX('PORTIFÓLIO'!$S$4:$S$433,MATCH($C96,'PORTIFÓLIO'!$C$4:$C$433,0)),"")</f>
        <v/>
      </c>
      <c r="L96" s="219" t="str">
        <f t="array" ref="L96">IFERROR(J96*INDEX('PORTIFÓLIO'!$S$4:$S$433,MATCH($C96,'PORTIFÓLIO'!$C$4:$C$433,0)),"")</f>
        <v/>
      </c>
      <c r="M96" s="227"/>
      <c r="N96" s="220"/>
      <c r="O96" s="220"/>
      <c r="P96" s="220"/>
      <c r="Q96" s="220"/>
      <c r="R96" s="220"/>
      <c r="S96" s="220"/>
      <c r="T96" s="220"/>
      <c r="U96" s="220"/>
      <c r="V96" s="220"/>
      <c r="W96" s="220"/>
    </row>
    <row r="97" ht="15.75" customHeight="1">
      <c r="A97" s="221" t="s">
        <v>1189</v>
      </c>
      <c r="B97" s="197"/>
      <c r="C97" s="196"/>
      <c r="D97" s="198"/>
      <c r="E97" s="196"/>
      <c r="F97" s="196"/>
      <c r="G97" s="199"/>
      <c r="H97" s="199"/>
      <c r="I97" s="252"/>
      <c r="J97" s="202"/>
      <c r="K97" s="203">
        <f t="shared" ref="K97:L97" si="11">SUBTOTAL(9,K98:K111)</f>
        <v>251.9479845</v>
      </c>
      <c r="L97" s="203">
        <f t="shared" si="11"/>
        <v>25950.6424</v>
      </c>
      <c r="M97" s="238"/>
      <c r="N97" s="177"/>
      <c r="O97" s="177"/>
      <c r="P97" s="177"/>
      <c r="Q97" s="177"/>
      <c r="R97" s="177"/>
      <c r="S97" s="177"/>
      <c r="T97" s="177"/>
      <c r="U97" s="177"/>
      <c r="V97" s="177"/>
      <c r="W97" s="177"/>
    </row>
    <row r="98" ht="15.75" customHeight="1" outlineLevel="1">
      <c r="A98" s="191"/>
      <c r="B98" s="204" t="s">
        <v>0</v>
      </c>
      <c r="C98" s="191" t="s">
        <v>443</v>
      </c>
      <c r="D98" s="205" t="str">
        <f>IFERROR(VLOOKUP($C98,'PORTIFÓLIO'!C:V,2,0),"")</f>
        <v>MEFENTRIFLUCONAZOL + PIRACLOSTROBINA +
 FLUXAPIROXADE</v>
      </c>
      <c r="E98" s="190" t="str">
        <f>IFERROR(VLOOKUP($C98,'PORTIFÓLIO'!C:V,3,0),"")</f>
        <v>133,3 + 177,8 + 88,9</v>
      </c>
      <c r="F98" s="190" t="str">
        <f>IFERROR(VLOOKUP($C98,'PORTIFÓLIO'!C:V,4,0),"")</f>
        <v>L</v>
      </c>
      <c r="G98" s="223" t="str">
        <f>IFERROR(VLOOKUP($C98,'PORTIFÓLIO'!C:V,5,0),"")</f>
        <v>📄 Ver bula</v>
      </c>
      <c r="H98" s="247">
        <f t="array" ref="H98">IFERROR(INDEX('PORTIFÓLIO'!$H$4:$H$433,MATCH($C98,'PORTIFÓLIO'!$C$4:$C$433,0)),"")</f>
        <v>0.7</v>
      </c>
      <c r="I98" s="253">
        <v>0.7</v>
      </c>
      <c r="J98" s="209">
        <f t="shared" ref="J98:J112" si="12">I98*$B$2</f>
        <v>72.1</v>
      </c>
      <c r="K98" s="210">
        <f t="array" ref="K98">IFERROR(I98*INDEX('PORTIFÓLIO'!$S$4:$S$433,MATCH($C98,'PORTIFÓLIO'!$C$4:$C$433,0)),"")</f>
        <v>119.38752</v>
      </c>
      <c r="L98" s="210">
        <f t="array" ref="L98">IFERROR(J98*INDEX('PORTIFÓLIO'!$S$4:$S$433,MATCH($C98,'PORTIFÓLIO'!$C$4:$C$433,0)),"")</f>
        <v>12296.91456</v>
      </c>
      <c r="M98" s="238"/>
      <c r="N98" s="177"/>
      <c r="O98" s="177"/>
      <c r="P98" s="177"/>
      <c r="Q98" s="177"/>
      <c r="R98" s="177"/>
      <c r="S98" s="177"/>
      <c r="T98" s="177"/>
      <c r="U98" s="177"/>
      <c r="V98" s="177"/>
      <c r="W98" s="177"/>
    </row>
    <row r="99" ht="15.75" customHeight="1" outlineLevel="1">
      <c r="A99" s="190"/>
      <c r="B99" s="204" t="s">
        <v>0</v>
      </c>
      <c r="C99" s="191" t="s">
        <v>520</v>
      </c>
      <c r="D99" s="205" t="str">
        <f>IFERROR(VLOOKUP($C99,'PORTIFÓLIO'!C:V,2,0),"")</f>
        <v>FLUAZINAM</v>
      </c>
      <c r="E99" s="190">
        <f>IFERROR(VLOOKUP($C99,'PORTIFÓLIO'!C:V,3,0),"")</f>
        <v>500</v>
      </c>
      <c r="F99" s="190" t="str">
        <f>IFERROR(VLOOKUP($C99,'PORTIFÓLIO'!C:V,4,0),"")</f>
        <v>L</v>
      </c>
      <c r="G99" s="223" t="str">
        <f>IFERROR(VLOOKUP($C99,'PORTIFÓLIO'!C:V,5,0),"")</f>
        <v>📄 Ver bula</v>
      </c>
      <c r="H99" s="247">
        <f t="array" ref="H99">IFERROR(INDEX('PORTIFÓLIO'!$H$4:$H$433,MATCH($C99,'PORTIFÓLIO'!$C$4:$C$433,0)),"")</f>
        <v>1</v>
      </c>
      <c r="I99" s="253">
        <v>1.0</v>
      </c>
      <c r="J99" s="209">
        <f t="shared" si="12"/>
        <v>103</v>
      </c>
      <c r="K99" s="210">
        <f t="array" ref="K99">IFERROR(I99*INDEX('PORTIFÓLIO'!$S$4:$S$433,MATCH($C99,'PORTIFÓLIO'!$C$4:$C$433,0)),"")</f>
        <v>67.68</v>
      </c>
      <c r="L99" s="210">
        <f t="array" ref="L99">IFERROR(J99*INDEX('PORTIFÓLIO'!$S$4:$S$433,MATCH($C99,'PORTIFÓLIO'!$C$4:$C$433,0)),"")</f>
        <v>6971.04</v>
      </c>
      <c r="M99" s="238"/>
      <c r="N99" s="177"/>
      <c r="O99" s="177"/>
      <c r="P99" s="177"/>
      <c r="Q99" s="177"/>
      <c r="R99" s="177"/>
      <c r="S99" s="177"/>
      <c r="T99" s="177"/>
      <c r="U99" s="177"/>
      <c r="V99" s="177"/>
      <c r="W99" s="177"/>
    </row>
    <row r="100" ht="15.75" customHeight="1" outlineLevel="1">
      <c r="A100" s="190"/>
      <c r="B100" s="204" t="s">
        <v>2</v>
      </c>
      <c r="C100" s="191" t="s">
        <v>829</v>
      </c>
      <c r="D100" s="205" t="str">
        <f>IFERROR(VLOOKUP($C100,'PORTIFÓLIO'!C:V,2,0),"")</f>
        <v>BIFENTRINA</v>
      </c>
      <c r="E100" s="190">
        <f>IFERROR(VLOOKUP($C100,'PORTIFÓLIO'!C:V,3,0),"")</f>
        <v>400</v>
      </c>
      <c r="F100" s="190" t="str">
        <f>IFERROR(VLOOKUP($C100,'PORTIFÓLIO'!C:V,4,0),"")</f>
        <v>L</v>
      </c>
      <c r="G100" s="223" t="str">
        <f>IFERROR(VLOOKUP($C100,'PORTIFÓLIO'!C:V,5,0),"")</f>
        <v>📄 Ver bula</v>
      </c>
      <c r="H100" s="247">
        <f t="array" ref="H100">IFERROR(INDEX('PORTIFÓLIO'!$H$4:$H$433,MATCH($C100,'PORTIFÓLIO'!$C$4:$C$433,0)),"")</f>
        <v>0.05</v>
      </c>
      <c r="I100" s="253">
        <v>0.05</v>
      </c>
      <c r="J100" s="209">
        <f t="shared" si="12"/>
        <v>5.15</v>
      </c>
      <c r="K100" s="210">
        <f t="array" ref="K100">IFERROR(I100*INDEX('PORTIFÓLIO'!$S$4:$S$433,MATCH($C100,'PORTIFÓLIO'!$C$4:$C$433,0)),"")</f>
        <v>3.076419</v>
      </c>
      <c r="L100" s="210">
        <f t="array" ref="L100">IFERROR(J100*INDEX('PORTIFÓLIO'!$S$4:$S$433,MATCH($C100,'PORTIFÓLIO'!$C$4:$C$433,0)),"")</f>
        <v>316.871157</v>
      </c>
      <c r="M100" s="238"/>
      <c r="N100" s="177"/>
      <c r="O100" s="177"/>
      <c r="P100" s="177"/>
      <c r="Q100" s="177"/>
      <c r="R100" s="177"/>
      <c r="S100" s="177"/>
      <c r="T100" s="177"/>
      <c r="U100" s="177"/>
      <c r="V100" s="177"/>
      <c r="W100" s="177"/>
    </row>
    <row r="101" ht="15.75" customHeight="1" outlineLevel="1">
      <c r="A101" s="190"/>
      <c r="B101" s="204" t="s">
        <v>2</v>
      </c>
      <c r="C101" s="191" t="s">
        <v>842</v>
      </c>
      <c r="D101" s="205" t="str">
        <f>IFERROR(VLOOKUP($C101,'PORTIFÓLIO'!C:V,2,0),"")</f>
        <v>IMIDACLOPRIDO</v>
      </c>
      <c r="E101" s="190">
        <f>IFERROR(VLOOKUP($C101,'PORTIFÓLIO'!C:V,3,0),"")</f>
        <v>480</v>
      </c>
      <c r="F101" s="190" t="str">
        <f>IFERROR(VLOOKUP($C101,'PORTIFÓLIO'!C:V,4,0),"")</f>
        <v>L</v>
      </c>
      <c r="G101" s="223" t="str">
        <f>IFERROR(VLOOKUP($C101,'PORTIFÓLIO'!C:V,5,0),"")</f>
        <v>📄 Ver bula</v>
      </c>
      <c r="H101" s="247">
        <f t="array" ref="H101">IFERROR(INDEX('PORTIFÓLIO'!$H$4:$H$433,MATCH($C101,'PORTIFÓLIO'!$C$4:$C$433,0)),"")</f>
        <v>0.25</v>
      </c>
      <c r="I101" s="253">
        <v>0.25</v>
      </c>
      <c r="J101" s="209">
        <f t="shared" si="12"/>
        <v>25.75</v>
      </c>
      <c r="K101" s="210">
        <f t="array" ref="K101">IFERROR(I101*INDEX('PORTIFÓLIO'!$S$4:$S$433,MATCH($C101,'PORTIFÓLIO'!$C$4:$C$433,0)),"")</f>
        <v>14.0554125</v>
      </c>
      <c r="L101" s="210">
        <f t="array" ref="L101">IFERROR(J101*INDEX('PORTIFÓLIO'!$S$4:$S$433,MATCH($C101,'PORTIFÓLIO'!$C$4:$C$433,0)),"")</f>
        <v>1447.707488</v>
      </c>
      <c r="M101" s="238"/>
      <c r="N101" s="177"/>
      <c r="O101" s="177"/>
      <c r="P101" s="177"/>
      <c r="Q101" s="177"/>
      <c r="R101" s="177"/>
      <c r="S101" s="177"/>
      <c r="T101" s="177"/>
      <c r="U101" s="177"/>
      <c r="V101" s="177"/>
      <c r="W101" s="177"/>
    </row>
    <row r="102" ht="15.75" customHeight="1" outlineLevel="1">
      <c r="A102" s="190"/>
      <c r="B102" s="204" t="s">
        <v>2</v>
      </c>
      <c r="C102" s="191" t="s">
        <v>786</v>
      </c>
      <c r="D102" s="205" t="str">
        <f>IFERROR(VLOOKUP($C102,'PORTIFÓLIO'!C:V,2,0),"")</f>
        <v>DIFLUBENZUROM</v>
      </c>
      <c r="E102" s="190">
        <f>IFERROR(VLOOKUP($C102,'PORTIFÓLIO'!C:V,3,0),"")</f>
        <v>480</v>
      </c>
      <c r="F102" s="190" t="str">
        <f>IFERROR(VLOOKUP($C102,'PORTIFÓLIO'!C:V,4,0),"")</f>
        <v>KG</v>
      </c>
      <c r="G102" s="223" t="str">
        <f>IFERROR(VLOOKUP($C102,'PORTIFÓLIO'!C:V,5,0),"")</f>
        <v>📄 Ver bula</v>
      </c>
      <c r="H102" s="247">
        <f t="array" ref="H102">IFERROR(INDEX('PORTIFÓLIO'!$H$4:$H$433,MATCH($C102,'PORTIFÓLIO'!$C$4:$C$433,0)),"")</f>
        <v>0.04</v>
      </c>
      <c r="I102" s="253">
        <v>0.05</v>
      </c>
      <c r="J102" s="209">
        <f t="shared" si="12"/>
        <v>5.15</v>
      </c>
      <c r="K102" s="210">
        <f t="array" ref="K102">IFERROR(I102*INDEX('PORTIFÓLIO'!$S$4:$S$433,MATCH($C102,'PORTIFÓLIO'!$C$4:$C$433,0)),"")</f>
        <v>2.927979</v>
      </c>
      <c r="L102" s="210">
        <f t="array" ref="L102">IFERROR(J102*INDEX('PORTIFÓLIO'!$S$4:$S$433,MATCH($C102,'PORTIFÓLIO'!$C$4:$C$433,0)),"")</f>
        <v>301.581837</v>
      </c>
      <c r="M102" s="238"/>
      <c r="N102" s="177"/>
      <c r="O102" s="177"/>
      <c r="P102" s="177"/>
      <c r="Q102" s="177"/>
      <c r="R102" s="177"/>
      <c r="S102" s="177"/>
      <c r="T102" s="177"/>
      <c r="U102" s="177"/>
      <c r="V102" s="177"/>
      <c r="W102" s="177"/>
    </row>
    <row r="103" ht="15.75" customHeight="1" outlineLevel="1">
      <c r="A103" s="190"/>
      <c r="B103" s="204" t="s">
        <v>6</v>
      </c>
      <c r="C103" s="191" t="s">
        <v>341</v>
      </c>
      <c r="D103" s="205" t="str">
        <f>IFERROR(VLOOKUP($C103,'PORTIFÓLIO'!C:V,2,0),"")</f>
        <v>ESTER METILICO DE SOJA</v>
      </c>
      <c r="E103" s="190">
        <f>IFERROR(VLOOKUP($C103,'PORTIFÓLIO'!C:V,3,0),"")</f>
        <v>765</v>
      </c>
      <c r="F103" s="190" t="str">
        <f>IFERROR(VLOOKUP($C103,'PORTIFÓLIO'!C:V,4,0),"")</f>
        <v>L</v>
      </c>
      <c r="G103" s="223" t="str">
        <f>IFERROR(VLOOKUP($C103,'PORTIFÓLIO'!C:V,5,0),"")</f>
        <v>📄 Ver bula</v>
      </c>
      <c r="H103" s="247">
        <f t="array" ref="H103">IFERROR(INDEX('PORTIFÓLIO'!$H$4:$H$433,MATCH($C103,'PORTIFÓLIO'!$C$4:$C$433,0)),"")</f>
        <v>0.2</v>
      </c>
      <c r="I103" s="253">
        <v>0.2</v>
      </c>
      <c r="J103" s="209">
        <f t="shared" si="12"/>
        <v>20.6</v>
      </c>
      <c r="K103" s="210">
        <f t="array" ref="K103">IFERROR(I103*INDEX('PORTIFÓLIO'!$S$4:$S$433,MATCH($C103,'PORTIFÓLIO'!$C$4:$C$433,0)),"")</f>
        <v>3.298974</v>
      </c>
      <c r="L103" s="210">
        <f t="array" ref="L103">IFERROR(J103*INDEX('PORTIFÓLIO'!$S$4:$S$433,MATCH($C103,'PORTIFÓLIO'!$C$4:$C$433,0)),"")</f>
        <v>339.794322</v>
      </c>
      <c r="M103" s="238"/>
      <c r="N103" s="177"/>
      <c r="O103" s="177"/>
      <c r="P103" s="177"/>
      <c r="Q103" s="177"/>
      <c r="R103" s="177"/>
      <c r="S103" s="177"/>
      <c r="T103" s="177"/>
      <c r="U103" s="177"/>
      <c r="V103" s="177"/>
      <c r="W103" s="177"/>
    </row>
    <row r="104" ht="15.75" customHeight="1" outlineLevel="1">
      <c r="A104" s="190"/>
      <c r="B104" s="204" t="s">
        <v>0</v>
      </c>
      <c r="C104" s="191" t="s">
        <v>484</v>
      </c>
      <c r="D104" s="205" t="str">
        <f>IFERROR(VLOOKUP($C104,'PORTIFÓLIO'!C:V,2,0),"")</f>
        <v>MANCOZEBE</v>
      </c>
      <c r="E104" s="190">
        <f>IFERROR(VLOOKUP($C104,'PORTIFÓLIO'!C:V,3,0),"")</f>
        <v>750</v>
      </c>
      <c r="F104" s="190" t="str">
        <f>IFERROR(VLOOKUP($C104,'PORTIFÓLIO'!C:V,4,0),"")</f>
        <v>L</v>
      </c>
      <c r="G104" s="223" t="str">
        <f>IFERROR(VLOOKUP($C104,'PORTIFÓLIO'!C:V,5,0),"")</f>
        <v>📄 Ver bula</v>
      </c>
      <c r="H104" s="247">
        <f t="array" ref="H104">IFERROR(INDEX('PORTIFÓLIO'!$H$4:$H$433,MATCH($C104,'PORTIFÓLIO'!$C$4:$C$433,0)),"")</f>
        <v>1.5</v>
      </c>
      <c r="I104" s="253">
        <v>1.5</v>
      </c>
      <c r="J104" s="209">
        <f t="shared" si="12"/>
        <v>154.5</v>
      </c>
      <c r="K104" s="210">
        <f t="array" ref="K104">IFERROR(I104*INDEX('PORTIFÓLIO'!$S$4:$S$433,MATCH($C104,'PORTIFÓLIO'!$C$4:$C$433,0)),"")</f>
        <v>41.52168</v>
      </c>
      <c r="L104" s="210">
        <f t="array" ref="L104">IFERROR(J104*INDEX('PORTIFÓLIO'!$S$4:$S$433,MATCH($C104,'PORTIFÓLIO'!$C$4:$C$433,0)),"")</f>
        <v>4276.73304</v>
      </c>
      <c r="M104" s="238"/>
      <c r="N104" s="177"/>
      <c r="O104" s="177"/>
      <c r="P104" s="177"/>
      <c r="Q104" s="177"/>
      <c r="R104" s="177"/>
      <c r="S104" s="177"/>
      <c r="T104" s="177"/>
      <c r="U104" s="177"/>
      <c r="V104" s="177"/>
      <c r="W104" s="177"/>
    </row>
    <row r="105" ht="15.75" customHeight="1" outlineLevel="1">
      <c r="A105" s="211"/>
      <c r="B105" s="212"/>
      <c r="C105" s="213"/>
      <c r="D105" s="214" t="str">
        <f>IFERROR(VLOOKUP($C105,'PORTIFÓLIO'!C:V,2,0),"")</f>
        <v/>
      </c>
      <c r="E105" s="211" t="str">
        <f>IFERROR(VLOOKUP($C105,'PORTIFÓLIO'!C:V,3,0),"")</f>
        <v/>
      </c>
      <c r="F105" s="211" t="str">
        <f>IFERROR(VLOOKUP($C105,'PORTIFÓLIO'!C:V,4,0),"")</f>
        <v/>
      </c>
      <c r="G105" s="215" t="str">
        <f>IFERROR(VLOOKUP($C105,'PORTIFÓLIO'!C:V,5,0),"")</f>
        <v/>
      </c>
      <c r="H105" s="254" t="str">
        <f t="array" ref="H105">IFERROR(INDEX('PORTIFÓLIO'!$H$4:$H$433,MATCH($C105,'PORTIFÓLIO'!$C$4:$C$433,0)),"")</f>
        <v/>
      </c>
      <c r="I105" s="256"/>
      <c r="J105" s="218">
        <f t="shared" si="12"/>
        <v>0</v>
      </c>
      <c r="K105" s="219" t="str">
        <f t="array" ref="K105">IFERROR(I105*INDEX('PORTIFÓLIO'!$S$4:$S$433,MATCH($C105,'PORTIFÓLIO'!$C$4:$C$433,0)),"")</f>
        <v/>
      </c>
      <c r="L105" s="219" t="str">
        <f t="array" ref="L105">IFERROR(J105*INDEX('PORTIFÓLIO'!$S$4:$S$433,MATCH($C105,'PORTIFÓLIO'!$C$4:$C$433,0)),"")</f>
        <v/>
      </c>
      <c r="M105" s="227"/>
      <c r="N105" s="220"/>
      <c r="O105" s="220"/>
      <c r="P105" s="220"/>
      <c r="Q105" s="220"/>
      <c r="R105" s="220"/>
      <c r="S105" s="220"/>
      <c r="T105" s="220"/>
      <c r="U105" s="220"/>
      <c r="V105" s="220"/>
      <c r="W105" s="220"/>
    </row>
    <row r="106" ht="15.75" customHeight="1" outlineLevel="1">
      <c r="A106" s="211"/>
      <c r="B106" s="212"/>
      <c r="C106" s="213"/>
      <c r="D106" s="214" t="str">
        <f>IFERROR(VLOOKUP($C106,'PORTIFÓLIO'!C:V,2,0),"")</f>
        <v/>
      </c>
      <c r="E106" s="211" t="str">
        <f>IFERROR(VLOOKUP($C106,'PORTIFÓLIO'!C:V,3,0),"")</f>
        <v/>
      </c>
      <c r="F106" s="211" t="str">
        <f>IFERROR(VLOOKUP($C106,'PORTIFÓLIO'!C:V,4,0),"")</f>
        <v/>
      </c>
      <c r="G106" s="215" t="str">
        <f>IFERROR(VLOOKUP($C106,'PORTIFÓLIO'!C:V,5,0),"")</f>
        <v/>
      </c>
      <c r="H106" s="254" t="str">
        <f t="array" ref="H106">IFERROR(INDEX('PORTIFÓLIO'!$H$4:$H$433,MATCH($C106,'PORTIFÓLIO'!$C$4:$C$433,0)),"")</f>
        <v/>
      </c>
      <c r="I106" s="255"/>
      <c r="J106" s="218">
        <f t="shared" si="12"/>
        <v>0</v>
      </c>
      <c r="K106" s="219" t="str">
        <f t="array" ref="K106">IFERROR(I106*INDEX('PORTIFÓLIO'!$S$4:$S$433,MATCH($C106,'PORTIFÓLIO'!$C$4:$C$433,0)),"")</f>
        <v/>
      </c>
      <c r="L106" s="219" t="str">
        <f t="array" ref="L106">IFERROR(J106*INDEX('PORTIFÓLIO'!$S$4:$S$433,MATCH($C106,'PORTIFÓLIO'!$C$4:$C$433,0)),"")</f>
        <v/>
      </c>
      <c r="M106" s="227"/>
      <c r="N106" s="220"/>
      <c r="O106" s="220"/>
      <c r="P106" s="220"/>
      <c r="Q106" s="220"/>
      <c r="R106" s="220"/>
      <c r="S106" s="220"/>
      <c r="T106" s="220"/>
      <c r="U106" s="220"/>
      <c r="V106" s="220"/>
      <c r="W106" s="220"/>
    </row>
    <row r="107" ht="15.75" customHeight="1" outlineLevel="1">
      <c r="A107" s="211"/>
      <c r="B107" s="212"/>
      <c r="C107" s="213"/>
      <c r="D107" s="214" t="str">
        <f>IFERROR(VLOOKUP($C107,'PORTIFÓLIO'!C:V,2,0),"")</f>
        <v/>
      </c>
      <c r="E107" s="211" t="str">
        <f>IFERROR(VLOOKUP($C107,'PORTIFÓLIO'!C:V,3,0),"")</f>
        <v/>
      </c>
      <c r="F107" s="211" t="str">
        <f>IFERROR(VLOOKUP($C107,'PORTIFÓLIO'!C:V,4,0),"")</f>
        <v/>
      </c>
      <c r="G107" s="215" t="str">
        <f>IFERROR(VLOOKUP($C107,'PORTIFÓLIO'!C:V,5,0),"")</f>
        <v/>
      </c>
      <c r="H107" s="254" t="str">
        <f t="array" ref="H107">IFERROR(INDEX('PORTIFÓLIO'!$H$4:$H$433,MATCH($C107,'PORTIFÓLIO'!$C$4:$C$433,0)),"")</f>
        <v/>
      </c>
      <c r="I107" s="256"/>
      <c r="J107" s="218">
        <f t="shared" si="12"/>
        <v>0</v>
      </c>
      <c r="K107" s="219" t="str">
        <f t="array" ref="K107">IFERROR(I107*INDEX('PORTIFÓLIO'!$S$4:$S$433,MATCH($C107,'PORTIFÓLIO'!$C$4:$C$433,0)),"")</f>
        <v/>
      </c>
      <c r="L107" s="219" t="str">
        <f t="array" ref="L107">IFERROR(J107*INDEX('PORTIFÓLIO'!$S$4:$S$433,MATCH($C107,'PORTIFÓLIO'!$C$4:$C$433,0)),"")</f>
        <v/>
      </c>
      <c r="M107" s="227"/>
      <c r="N107" s="220"/>
      <c r="O107" s="220"/>
      <c r="P107" s="220"/>
      <c r="Q107" s="220"/>
      <c r="R107" s="220"/>
      <c r="S107" s="220"/>
      <c r="T107" s="220"/>
      <c r="U107" s="220"/>
      <c r="V107" s="220"/>
      <c r="W107" s="220"/>
    </row>
    <row r="108" ht="15.75" customHeight="1" outlineLevel="1">
      <c r="A108" s="211"/>
      <c r="B108" s="212"/>
      <c r="C108" s="213"/>
      <c r="D108" s="214" t="str">
        <f>IFERROR(VLOOKUP($C108,'PORTIFÓLIO'!C:V,2,0),"")</f>
        <v/>
      </c>
      <c r="E108" s="211" t="str">
        <f>IFERROR(VLOOKUP($C108,'PORTIFÓLIO'!C:V,3,0),"")</f>
        <v/>
      </c>
      <c r="F108" s="211" t="str">
        <f>IFERROR(VLOOKUP($C108,'PORTIFÓLIO'!C:V,4,0),"")</f>
        <v/>
      </c>
      <c r="G108" s="215" t="str">
        <f>IFERROR(VLOOKUP($C108,'PORTIFÓLIO'!C:V,5,0),"")</f>
        <v/>
      </c>
      <c r="H108" s="254" t="str">
        <f t="array" ref="H108">IFERROR(INDEX('PORTIFÓLIO'!$H$4:$H$433,MATCH($C108,'PORTIFÓLIO'!$C$4:$C$433,0)),"")</f>
        <v/>
      </c>
      <c r="I108" s="256"/>
      <c r="J108" s="218">
        <f t="shared" si="12"/>
        <v>0</v>
      </c>
      <c r="K108" s="219" t="str">
        <f t="array" ref="K108">IFERROR(I108*INDEX('PORTIFÓLIO'!$S$4:$S$433,MATCH($C108,'PORTIFÓLIO'!$C$4:$C$433,0)),"")</f>
        <v/>
      </c>
      <c r="L108" s="219" t="str">
        <f t="array" ref="L108">IFERROR(J108*INDEX('PORTIFÓLIO'!$S$4:$S$433,MATCH($C108,'PORTIFÓLIO'!$C$4:$C$433,0)),"")</f>
        <v/>
      </c>
      <c r="M108" s="227"/>
      <c r="N108" s="220"/>
      <c r="O108" s="220"/>
      <c r="P108" s="220"/>
      <c r="Q108" s="220"/>
      <c r="R108" s="220"/>
      <c r="S108" s="220"/>
      <c r="T108" s="220"/>
      <c r="U108" s="220"/>
      <c r="V108" s="220"/>
      <c r="W108" s="220"/>
    </row>
    <row r="109" ht="15.75" customHeight="1" outlineLevel="1">
      <c r="A109" s="211"/>
      <c r="B109" s="212"/>
      <c r="C109" s="213"/>
      <c r="D109" s="214" t="str">
        <f>IFERROR(VLOOKUP($C109,'PORTIFÓLIO'!C:V,2,0),"")</f>
        <v/>
      </c>
      <c r="E109" s="211" t="str">
        <f>IFERROR(VLOOKUP($C109,'PORTIFÓLIO'!C:V,3,0),"")</f>
        <v/>
      </c>
      <c r="F109" s="211" t="str">
        <f>IFERROR(VLOOKUP($C109,'PORTIFÓLIO'!C:V,4,0),"")</f>
        <v/>
      </c>
      <c r="G109" s="215" t="str">
        <f>IFERROR(VLOOKUP($C109,'PORTIFÓLIO'!C:V,5,0),"")</f>
        <v/>
      </c>
      <c r="H109" s="254" t="str">
        <f t="array" ref="H109">IFERROR(INDEX('PORTIFÓLIO'!$H$4:$H$433,MATCH($C109,'PORTIFÓLIO'!$C$4:$C$433,0)),"")</f>
        <v/>
      </c>
      <c r="I109" s="256"/>
      <c r="J109" s="218">
        <f t="shared" si="12"/>
        <v>0</v>
      </c>
      <c r="K109" s="219" t="str">
        <f t="array" ref="K109">IFERROR(I109*INDEX('PORTIFÓLIO'!$S$4:$S$433,MATCH($C109,'PORTIFÓLIO'!$C$4:$C$433,0)),"")</f>
        <v/>
      </c>
      <c r="L109" s="219" t="str">
        <f t="array" ref="L109">IFERROR(J109*INDEX('PORTIFÓLIO'!$S$4:$S$433,MATCH($C109,'PORTIFÓLIO'!$C$4:$C$433,0)),"")</f>
        <v/>
      </c>
      <c r="M109" s="227"/>
      <c r="N109" s="220"/>
      <c r="O109" s="220"/>
      <c r="P109" s="220"/>
      <c r="Q109" s="220"/>
      <c r="R109" s="220"/>
      <c r="S109" s="220"/>
      <c r="T109" s="220"/>
      <c r="U109" s="220"/>
      <c r="V109" s="220"/>
      <c r="W109" s="220"/>
    </row>
    <row r="110" ht="15.75" customHeight="1" outlineLevel="1">
      <c r="A110" s="211"/>
      <c r="B110" s="212"/>
      <c r="C110" s="213"/>
      <c r="D110" s="214" t="str">
        <f>IFERROR(VLOOKUP($C110,'PORTIFÓLIO'!C:V,2,0),"")</f>
        <v/>
      </c>
      <c r="E110" s="211" t="str">
        <f>IFERROR(VLOOKUP($C110,'PORTIFÓLIO'!C:V,3,0),"")</f>
        <v/>
      </c>
      <c r="F110" s="211" t="str">
        <f>IFERROR(VLOOKUP($C110,'PORTIFÓLIO'!C:V,4,0),"")</f>
        <v/>
      </c>
      <c r="G110" s="215" t="str">
        <f>IFERROR(VLOOKUP($C110,'PORTIFÓLIO'!C:V,5,0),"")</f>
        <v/>
      </c>
      <c r="H110" s="254" t="str">
        <f t="array" ref="H110">IFERROR(INDEX('PORTIFÓLIO'!$H$4:$H$433,MATCH($C110,'PORTIFÓLIO'!$C$4:$C$433,0)),"")</f>
        <v/>
      </c>
      <c r="I110" s="256"/>
      <c r="J110" s="218">
        <f t="shared" si="12"/>
        <v>0</v>
      </c>
      <c r="K110" s="219" t="str">
        <f t="array" ref="K110">IFERROR(I110*INDEX('PORTIFÓLIO'!$S$4:$S$433,MATCH($C110,'PORTIFÓLIO'!$C$4:$C$433,0)),"")</f>
        <v/>
      </c>
      <c r="L110" s="219" t="str">
        <f t="array" ref="L110">IFERROR(J110*INDEX('PORTIFÓLIO'!$S$4:$S$433,MATCH($C110,'PORTIFÓLIO'!$C$4:$C$433,0)),"")</f>
        <v/>
      </c>
      <c r="M110" s="227"/>
      <c r="N110" s="220"/>
      <c r="O110" s="220"/>
      <c r="P110" s="220"/>
      <c r="Q110" s="220"/>
      <c r="R110" s="220"/>
      <c r="S110" s="220"/>
      <c r="T110" s="220"/>
      <c r="U110" s="220"/>
      <c r="V110" s="220"/>
      <c r="W110" s="220"/>
    </row>
    <row r="111" ht="15.75" customHeight="1" outlineLevel="1">
      <c r="A111" s="211"/>
      <c r="B111" s="212"/>
      <c r="C111" s="213"/>
      <c r="D111" s="214" t="str">
        <f>IFERROR(VLOOKUP($C111,'PORTIFÓLIO'!C:V,2,0),"")</f>
        <v/>
      </c>
      <c r="E111" s="211" t="str">
        <f>IFERROR(VLOOKUP($C111,'PORTIFÓLIO'!C:V,3,0),"")</f>
        <v/>
      </c>
      <c r="F111" s="211" t="str">
        <f>IFERROR(VLOOKUP($C111,'PORTIFÓLIO'!C:V,4,0),"")</f>
        <v/>
      </c>
      <c r="G111" s="215" t="str">
        <f>IFERROR(VLOOKUP($C111,'PORTIFÓLIO'!C:V,5,0),"")</f>
        <v/>
      </c>
      <c r="H111" s="254" t="str">
        <f t="array" ref="H111">IFERROR(INDEX('PORTIFÓLIO'!$H$4:$H$433,MATCH($C111,'PORTIFÓLIO'!$C$4:$C$433,0)),"")</f>
        <v/>
      </c>
      <c r="I111" s="256"/>
      <c r="J111" s="218">
        <f t="shared" si="12"/>
        <v>0</v>
      </c>
      <c r="K111" s="219" t="str">
        <f t="array" ref="K111">IFERROR(I111*INDEX('PORTIFÓLIO'!$S$4:$S$433,MATCH($C111,'PORTIFÓLIO'!$C$4:$C$433,0)),"")</f>
        <v/>
      </c>
      <c r="L111" s="219" t="str">
        <f t="array" ref="L111">IFERROR(J111*INDEX('PORTIFÓLIO'!$S$4:$S$433,MATCH($C111,'PORTIFÓLIO'!$C$4:$C$433,0)),"")</f>
        <v/>
      </c>
      <c r="M111" s="227"/>
      <c r="N111" s="220"/>
      <c r="O111" s="220"/>
      <c r="P111" s="220"/>
      <c r="Q111" s="220"/>
      <c r="R111" s="220"/>
      <c r="S111" s="220"/>
      <c r="T111" s="220"/>
      <c r="U111" s="220"/>
      <c r="V111" s="220"/>
      <c r="W111" s="220"/>
    </row>
    <row r="112" ht="15.75" customHeight="1" outlineLevel="1">
      <c r="A112" s="211"/>
      <c r="B112" s="212"/>
      <c r="C112" s="213"/>
      <c r="D112" s="214" t="str">
        <f>IFERROR(VLOOKUP($C112,'PORTIFÓLIO'!C:V,2,0),"")</f>
        <v/>
      </c>
      <c r="E112" s="211" t="str">
        <f>IFERROR(VLOOKUP($C112,'PORTIFÓLIO'!C:V,3,0),"")</f>
        <v/>
      </c>
      <c r="F112" s="211" t="str">
        <f>IFERROR(VLOOKUP($C112,'PORTIFÓLIO'!C:V,4,0),"")</f>
        <v/>
      </c>
      <c r="G112" s="215" t="str">
        <f>IFERROR(VLOOKUP($C112,'PORTIFÓLIO'!C:V,5,0),"")</f>
        <v/>
      </c>
      <c r="H112" s="254" t="str">
        <f t="array" ref="H112">IFERROR(INDEX('PORTIFÓLIO'!$H$4:$H$433,MATCH($C112,'PORTIFÓLIO'!$C$4:$C$433,0)),"")</f>
        <v/>
      </c>
      <c r="I112" s="256"/>
      <c r="J112" s="218">
        <f t="shared" si="12"/>
        <v>0</v>
      </c>
      <c r="K112" s="219" t="str">
        <f t="array" ref="K112">IFERROR(I112*INDEX('PORTIFÓLIO'!$S$4:$S$433,MATCH($C112,'PORTIFÓLIO'!$C$4:$C$433,0)),"")</f>
        <v/>
      </c>
      <c r="L112" s="219" t="str">
        <f t="array" ref="L112">IFERROR(J112*INDEX('PORTIFÓLIO'!$S$4:$S$433,MATCH($C112,'PORTIFÓLIO'!$C$4:$C$433,0)),"")</f>
        <v/>
      </c>
      <c r="M112" s="227"/>
      <c r="N112" s="220"/>
      <c r="O112" s="220"/>
      <c r="P112" s="220"/>
      <c r="Q112" s="220"/>
      <c r="R112" s="220"/>
      <c r="S112" s="220"/>
      <c r="T112" s="220"/>
      <c r="U112" s="220"/>
      <c r="V112" s="220"/>
      <c r="W112" s="220"/>
    </row>
    <row r="113" ht="15.75" customHeight="1" outlineLevel="1">
      <c r="A113" s="211"/>
      <c r="B113" s="212"/>
      <c r="C113" s="211"/>
      <c r="D113" s="214" t="str">
        <f>IFERROR(VLOOKUP($C113,'PORTIFÓLIO'!C:V,2,0),"")</f>
        <v/>
      </c>
      <c r="E113" s="211" t="str">
        <f>IFERROR(VLOOKUP($C113,'PORTIFÓLIO'!C:V,3,0),"")</f>
        <v/>
      </c>
      <c r="F113" s="211" t="str">
        <f>IFERROR(VLOOKUP($C113,'PORTIFÓLIO'!C:V,4,0),"")</f>
        <v/>
      </c>
      <c r="G113" s="215" t="str">
        <f>IFERROR(VLOOKUP($C113,'PORTIFÓLIO'!C:V,5,0),"")</f>
        <v/>
      </c>
      <c r="H113" s="254" t="str">
        <f t="array" ref="H113">IFERROR(INDEX('PORTIFÓLIO'!$H$4:$H$433,MATCH($C113,'PORTIFÓLIO'!$C$4:$C$433,0)),"")</f>
        <v/>
      </c>
      <c r="I113" s="256"/>
      <c r="J113" s="218"/>
      <c r="K113" s="219" t="str">
        <f t="array" ref="K113">IFERROR(I113*INDEX('PORTIFÓLIO'!$S$4:$S$433,MATCH($C113,'PORTIFÓLIO'!$C$4:$C$433,0)),"")</f>
        <v/>
      </c>
      <c r="L113" s="219" t="str">
        <f t="array" ref="L113">IFERROR(J113*INDEX('PORTIFÓLIO'!$S$4:$S$433,MATCH($C113,'PORTIFÓLIO'!$C$4:$C$433,0)),"")</f>
        <v/>
      </c>
      <c r="M113" s="227"/>
      <c r="N113" s="220"/>
      <c r="O113" s="220"/>
      <c r="P113" s="220"/>
      <c r="Q113" s="220"/>
      <c r="R113" s="220"/>
      <c r="S113" s="220"/>
      <c r="T113" s="220"/>
      <c r="U113" s="220"/>
      <c r="V113" s="220"/>
      <c r="W113" s="220"/>
    </row>
    <row r="114" ht="15.75" customHeight="1">
      <c r="A114" s="221" t="s">
        <v>1190</v>
      </c>
      <c r="B114" s="197"/>
      <c r="C114" s="196"/>
      <c r="D114" s="198"/>
      <c r="E114" s="196"/>
      <c r="F114" s="196"/>
      <c r="G114" s="199"/>
      <c r="H114" s="199"/>
      <c r="I114" s="252"/>
      <c r="J114" s="202"/>
      <c r="K114" s="203">
        <f t="shared" ref="K114:L114" si="13">SUBTOTAL(9,K115:K128)</f>
        <v>236.447935</v>
      </c>
      <c r="L114" s="203">
        <f t="shared" si="13"/>
        <v>24354.13731</v>
      </c>
      <c r="M114" s="238"/>
      <c r="N114" s="177"/>
      <c r="O114" s="177"/>
      <c r="P114" s="177"/>
      <c r="Q114" s="177"/>
      <c r="R114" s="177"/>
      <c r="S114" s="177"/>
      <c r="T114" s="177"/>
      <c r="U114" s="177"/>
      <c r="V114" s="177"/>
      <c r="W114" s="177"/>
    </row>
    <row r="115" ht="15.75" customHeight="1" outlineLevel="1">
      <c r="A115" s="191"/>
      <c r="B115" s="204" t="s">
        <v>0</v>
      </c>
      <c r="C115" s="226" t="s">
        <v>467</v>
      </c>
      <c r="D115" s="205" t="str">
        <f>IFERROR(VLOOKUP($C115,'PORTIFÓLIO'!C:V,2,0),"")</f>
        <v>BIXAFEM + PROTIOCONAZOL + TRIFLOXISTROBINA</v>
      </c>
      <c r="E115" s="190" t="str">
        <f>IFERROR(VLOOKUP($C115,'PORTIFÓLIO'!C:V,3,0),"")</f>
        <v>125 + 175 + 150</v>
      </c>
      <c r="F115" s="190" t="str">
        <f>IFERROR(VLOOKUP($C115,'PORTIFÓLIO'!C:V,4,0),"")</f>
        <v>L</v>
      </c>
      <c r="G115" s="223" t="str">
        <f>IFERROR(VLOOKUP($C115,'PORTIFÓLIO'!C:V,5,0),"")</f>
        <v>📄 Ver bula</v>
      </c>
      <c r="H115" s="247">
        <f t="array" ref="H115">IFERROR(INDEX('PORTIFÓLIO'!$H$4:$H$433,MATCH($C115,'PORTIFÓLIO'!$C$4:$C$433,0)),"")</f>
        <v>0.5</v>
      </c>
      <c r="I115" s="253">
        <v>0.5</v>
      </c>
      <c r="J115" s="209">
        <f t="shared" ref="J115:J129" si="14">I115*$B$2</f>
        <v>51.5</v>
      </c>
      <c r="K115" s="210">
        <f t="array" ref="K115">IFERROR(I115*INDEX('PORTIFÓLIO'!$S$4:$S$433,MATCH($C115,'PORTIFÓLIO'!$C$4:$C$433,0)),"")</f>
        <v>99.08352</v>
      </c>
      <c r="L115" s="210">
        <f t="array" ref="L115">IFERROR(J115*INDEX('PORTIFÓLIO'!$S$4:$S$433,MATCH($C115,'PORTIFÓLIO'!$C$4:$C$433,0)),"")</f>
        <v>10205.60256</v>
      </c>
      <c r="M115" s="238"/>
      <c r="N115" s="177"/>
      <c r="O115" s="177"/>
      <c r="P115" s="177"/>
      <c r="Q115" s="177"/>
      <c r="R115" s="177"/>
      <c r="S115" s="177"/>
      <c r="T115" s="177"/>
      <c r="U115" s="177"/>
      <c r="V115" s="177"/>
      <c r="W115" s="177"/>
    </row>
    <row r="116" ht="15.75" customHeight="1" outlineLevel="1">
      <c r="A116" s="190"/>
      <c r="B116" s="204" t="s">
        <v>0</v>
      </c>
      <c r="C116" s="226" t="s">
        <v>520</v>
      </c>
      <c r="D116" s="205" t="str">
        <f>IFERROR(VLOOKUP($C116,'PORTIFÓLIO'!C:V,2,0),"")</f>
        <v>FLUAZINAM</v>
      </c>
      <c r="E116" s="190">
        <f>IFERROR(VLOOKUP($C116,'PORTIFÓLIO'!C:V,3,0),"")</f>
        <v>500</v>
      </c>
      <c r="F116" s="190" t="str">
        <f>IFERROR(VLOOKUP($C116,'PORTIFÓLIO'!C:V,4,0),"")</f>
        <v>L</v>
      </c>
      <c r="G116" s="223" t="str">
        <f>IFERROR(VLOOKUP($C116,'PORTIFÓLIO'!C:V,5,0),"")</f>
        <v>📄 Ver bula</v>
      </c>
      <c r="H116" s="247">
        <f t="array" ref="H116">IFERROR(INDEX('PORTIFÓLIO'!$H$4:$H$433,MATCH($C116,'PORTIFÓLIO'!$C$4:$C$433,0)),"")</f>
        <v>1</v>
      </c>
      <c r="I116" s="253">
        <v>1.0</v>
      </c>
      <c r="J116" s="209">
        <f t="shared" si="14"/>
        <v>103</v>
      </c>
      <c r="K116" s="210">
        <f t="array" ref="K116">IFERROR(I116*INDEX('PORTIFÓLIO'!$S$4:$S$433,MATCH($C116,'PORTIFÓLIO'!$C$4:$C$433,0)),"")</f>
        <v>67.68</v>
      </c>
      <c r="L116" s="210">
        <f t="array" ref="L116">IFERROR(J116*INDEX('PORTIFÓLIO'!$S$4:$S$433,MATCH($C116,'PORTIFÓLIO'!$C$4:$C$433,0)),"")</f>
        <v>6971.04</v>
      </c>
      <c r="M116" s="238"/>
      <c r="N116" s="177"/>
      <c r="O116" s="177"/>
      <c r="P116" s="177"/>
      <c r="Q116" s="177"/>
      <c r="R116" s="177"/>
      <c r="S116" s="177"/>
      <c r="T116" s="177"/>
      <c r="U116" s="177"/>
      <c r="V116" s="177"/>
      <c r="W116" s="177"/>
    </row>
    <row r="117" ht="15.75" customHeight="1" outlineLevel="1">
      <c r="A117" s="190"/>
      <c r="B117" s="204" t="s">
        <v>0</v>
      </c>
      <c r="C117" s="226" t="s">
        <v>484</v>
      </c>
      <c r="D117" s="205" t="str">
        <f>IFERROR(VLOOKUP($C117,'PORTIFÓLIO'!C:V,2,0),"")</f>
        <v>MANCOZEBE</v>
      </c>
      <c r="E117" s="190">
        <f>IFERROR(VLOOKUP($C117,'PORTIFÓLIO'!C:V,3,0),"")</f>
        <v>750</v>
      </c>
      <c r="F117" s="190" t="str">
        <f>IFERROR(VLOOKUP($C117,'PORTIFÓLIO'!C:V,4,0),"")</f>
        <v>L</v>
      </c>
      <c r="G117" s="223" t="str">
        <f>IFERROR(VLOOKUP($C117,'PORTIFÓLIO'!C:V,5,0),"")</f>
        <v>📄 Ver bula</v>
      </c>
      <c r="H117" s="247">
        <f t="array" ref="H117">IFERROR(INDEX('PORTIFÓLIO'!$H$4:$H$433,MATCH($C117,'PORTIFÓLIO'!$C$4:$C$433,0)),"")</f>
        <v>1.5</v>
      </c>
      <c r="I117" s="253">
        <v>1.5</v>
      </c>
      <c r="J117" s="209">
        <f t="shared" si="14"/>
        <v>154.5</v>
      </c>
      <c r="K117" s="210">
        <f t="array" ref="K117">IFERROR(I117*INDEX('PORTIFÓLIO'!$S$4:$S$433,MATCH($C117,'PORTIFÓLIO'!$C$4:$C$433,0)),"")</f>
        <v>41.52168</v>
      </c>
      <c r="L117" s="210">
        <f t="array" ref="L117">IFERROR(J117*INDEX('PORTIFÓLIO'!$S$4:$S$433,MATCH($C117,'PORTIFÓLIO'!$C$4:$C$433,0)),"")</f>
        <v>4276.73304</v>
      </c>
      <c r="M117" s="238"/>
      <c r="N117" s="177"/>
      <c r="O117" s="177"/>
      <c r="P117" s="177"/>
      <c r="Q117" s="177"/>
      <c r="R117" s="177"/>
      <c r="S117" s="177"/>
      <c r="T117" s="177"/>
      <c r="U117" s="177"/>
      <c r="V117" s="177"/>
      <c r="W117" s="177"/>
    </row>
    <row r="118" ht="15.75" customHeight="1" outlineLevel="1">
      <c r="A118" s="190"/>
      <c r="B118" s="204" t="s">
        <v>2</v>
      </c>
      <c r="C118" s="226" t="s">
        <v>752</v>
      </c>
      <c r="D118" s="205" t="str">
        <f>IFERROR(VLOOKUP($C118,'PORTIFÓLIO'!C:V,2,0),"")</f>
        <v>ACEFATO</v>
      </c>
      <c r="E118" s="190">
        <f>IFERROR(VLOOKUP($C118,'PORTIFÓLIO'!C:V,3,0),"")</f>
        <v>970</v>
      </c>
      <c r="F118" s="190" t="str">
        <f>IFERROR(VLOOKUP($C118,'PORTIFÓLIO'!C:V,4,0),"")</f>
        <v>L</v>
      </c>
      <c r="G118" s="223" t="str">
        <f>IFERROR(VLOOKUP($C118,'PORTIFÓLIO'!C:V,5,0),"")</f>
        <v>📄 Ver bula</v>
      </c>
      <c r="H118" s="247">
        <f t="array" ref="H118">IFERROR(INDEX('PORTIFÓLIO'!$H$4:$H$433,MATCH($C118,'PORTIFÓLIO'!$C$4:$C$433,0)),"")</f>
        <v>0.6</v>
      </c>
      <c r="I118" s="253">
        <v>0.6</v>
      </c>
      <c r="J118" s="209">
        <f t="shared" si="14"/>
        <v>61.8</v>
      </c>
      <c r="K118" s="210">
        <f t="array" ref="K118">IFERROR(I118*INDEX('PORTIFÓLIO'!$S$4:$S$433,MATCH($C118,'PORTIFÓLIO'!$C$4:$C$433,0)),"")</f>
        <v>22.266</v>
      </c>
      <c r="L118" s="210">
        <f t="array" ref="L118">IFERROR(J118*INDEX('PORTIFÓLIO'!$S$4:$S$433,MATCH($C118,'PORTIFÓLIO'!$C$4:$C$433,0)),"")</f>
        <v>2293.398</v>
      </c>
      <c r="M118" s="238"/>
      <c r="N118" s="177"/>
      <c r="O118" s="177"/>
      <c r="P118" s="177"/>
      <c r="Q118" s="177"/>
      <c r="R118" s="177"/>
      <c r="S118" s="177"/>
      <c r="T118" s="177"/>
      <c r="U118" s="177"/>
      <c r="V118" s="177"/>
      <c r="W118" s="177"/>
    </row>
    <row r="119" ht="15.75" customHeight="1" outlineLevel="1">
      <c r="A119" s="190"/>
      <c r="B119" s="204" t="s">
        <v>2</v>
      </c>
      <c r="C119" s="226" t="s">
        <v>786</v>
      </c>
      <c r="D119" s="205" t="str">
        <f>IFERROR(VLOOKUP($C119,'PORTIFÓLIO'!C:V,2,0),"")</f>
        <v>DIFLUBENZUROM</v>
      </c>
      <c r="E119" s="190">
        <f>IFERROR(VLOOKUP($C119,'PORTIFÓLIO'!C:V,3,0),"")</f>
        <v>480</v>
      </c>
      <c r="F119" s="190" t="str">
        <f>IFERROR(VLOOKUP($C119,'PORTIFÓLIO'!C:V,4,0),"")</f>
        <v>KG</v>
      </c>
      <c r="G119" s="223" t="str">
        <f>IFERROR(VLOOKUP($C119,'PORTIFÓLIO'!C:V,5,0),"")</f>
        <v>📄 Ver bula</v>
      </c>
      <c r="H119" s="247">
        <f t="array" ref="H119">IFERROR(INDEX('PORTIFÓLIO'!$H$4:$H$433,MATCH($C119,'PORTIFÓLIO'!$C$4:$C$433,0)),"")</f>
        <v>0.04</v>
      </c>
      <c r="I119" s="253">
        <v>0.05</v>
      </c>
      <c r="J119" s="209">
        <f t="shared" si="14"/>
        <v>5.15</v>
      </c>
      <c r="K119" s="210">
        <f t="array" ref="K119">IFERROR(I119*INDEX('PORTIFÓLIO'!$S$4:$S$433,MATCH($C119,'PORTIFÓLIO'!$C$4:$C$433,0)),"")</f>
        <v>2.927979</v>
      </c>
      <c r="L119" s="210">
        <f t="array" ref="L119">IFERROR(J119*INDEX('PORTIFÓLIO'!$S$4:$S$433,MATCH($C119,'PORTIFÓLIO'!$C$4:$C$433,0)),"")</f>
        <v>301.581837</v>
      </c>
      <c r="M119" s="238"/>
      <c r="N119" s="177"/>
      <c r="O119" s="177"/>
      <c r="P119" s="177"/>
      <c r="Q119" s="177"/>
      <c r="R119" s="177"/>
      <c r="S119" s="177"/>
      <c r="T119" s="177"/>
      <c r="U119" s="177"/>
      <c r="V119" s="177"/>
      <c r="W119" s="177"/>
    </row>
    <row r="120" ht="15.75" customHeight="1" outlineLevel="1">
      <c r="A120" s="190"/>
      <c r="B120" s="204" t="s">
        <v>6</v>
      </c>
      <c r="C120" s="191" t="s">
        <v>351</v>
      </c>
      <c r="D120" s="205" t="str">
        <f>IFERROR(VLOOKUP($C120,'PORTIFÓLIO'!C:V,2,0),"")</f>
        <v>ÉSTER METILICO DE OLEO DE SOJA</v>
      </c>
      <c r="E120" s="190">
        <f>IFERROR(VLOOKUP($C120,'PORTIFÓLIO'!C:V,3,0),"")</f>
        <v>720</v>
      </c>
      <c r="F120" s="190" t="str">
        <f>IFERROR(VLOOKUP($C120,'PORTIFÓLIO'!C:V,4,0),"")</f>
        <v>L</v>
      </c>
      <c r="G120" s="223" t="str">
        <f>IFERROR(VLOOKUP($C120,'PORTIFÓLIO'!C:V,5,0),"")</f>
        <v>📄 Ver bula</v>
      </c>
      <c r="H120" s="247">
        <f t="array" ref="H120">IFERROR(INDEX('PORTIFÓLIO'!$H$4:$H$433,MATCH($C120,'PORTIFÓLIO'!$C$4:$C$433,0)),"")</f>
        <v>0.08</v>
      </c>
      <c r="I120" s="253">
        <v>0.2</v>
      </c>
      <c r="J120" s="209">
        <f t="shared" si="14"/>
        <v>20.6</v>
      </c>
      <c r="K120" s="210">
        <f t="array" ref="K120">IFERROR(I120*INDEX('PORTIFÓLIO'!$S$4:$S$433,MATCH($C120,'PORTIFÓLIO'!$C$4:$C$433,0)),"")</f>
        <v>2.968756</v>
      </c>
      <c r="L120" s="210">
        <f t="array" ref="L120">IFERROR(J120*INDEX('PORTIFÓLIO'!$S$4:$S$433,MATCH($C120,'PORTIFÓLIO'!$C$4:$C$433,0)),"")</f>
        <v>305.781868</v>
      </c>
      <c r="M120" s="238"/>
      <c r="N120" s="177"/>
      <c r="O120" s="177"/>
      <c r="P120" s="177"/>
      <c r="Q120" s="177"/>
      <c r="R120" s="177"/>
      <c r="S120" s="177"/>
      <c r="T120" s="177"/>
      <c r="U120" s="177"/>
      <c r="V120" s="177"/>
      <c r="W120" s="177"/>
    </row>
    <row r="121" ht="15.75" customHeight="1" outlineLevel="1">
      <c r="A121" s="211"/>
      <c r="B121" s="212"/>
      <c r="C121" s="213"/>
      <c r="D121" s="214" t="str">
        <f>IFERROR(VLOOKUP($C121,'PORTIFÓLIO'!C:V,2,0),"")</f>
        <v/>
      </c>
      <c r="E121" s="211" t="str">
        <f>IFERROR(VLOOKUP($C121,'PORTIFÓLIO'!C:V,3,0),"")</f>
        <v/>
      </c>
      <c r="F121" s="211" t="str">
        <f>IFERROR(VLOOKUP($C121,'PORTIFÓLIO'!C:V,4,0),"")</f>
        <v/>
      </c>
      <c r="G121" s="215" t="str">
        <f>IFERROR(VLOOKUP($C121,'PORTIFÓLIO'!C:V,5,0),"")</f>
        <v/>
      </c>
      <c r="H121" s="254" t="str">
        <f t="array" ref="H121">IFERROR(INDEX('PORTIFÓLIO'!$H$4:$H$433,MATCH($C121,'PORTIFÓLIO'!$C$4:$C$433,0)),"")</f>
        <v/>
      </c>
      <c r="I121" s="255"/>
      <c r="J121" s="218">
        <f t="shared" si="14"/>
        <v>0</v>
      </c>
      <c r="K121" s="219" t="str">
        <f t="array" ref="K121">IFERROR(I121*INDEX('PORTIFÓLIO'!$S$4:$S$433,MATCH($C121,'PORTIFÓLIO'!$C$4:$C$433,0)),"")</f>
        <v/>
      </c>
      <c r="L121" s="219" t="str">
        <f t="array" ref="L121">IFERROR(J121*INDEX('PORTIFÓLIO'!$S$4:$S$433,MATCH($C121,'PORTIFÓLIO'!$C$4:$C$433,0)),"")</f>
        <v/>
      </c>
      <c r="M121" s="227"/>
      <c r="N121" s="220"/>
      <c r="O121" s="220"/>
      <c r="P121" s="220"/>
      <c r="Q121" s="220"/>
      <c r="R121" s="220"/>
      <c r="S121" s="220"/>
      <c r="T121" s="220"/>
      <c r="U121" s="220"/>
      <c r="V121" s="220"/>
      <c r="W121" s="220"/>
    </row>
    <row r="122" ht="15.75" customHeight="1" outlineLevel="1">
      <c r="A122" s="211"/>
      <c r="B122" s="212"/>
      <c r="C122" s="213"/>
      <c r="D122" s="214" t="str">
        <f>IFERROR(VLOOKUP($C122,'PORTIFÓLIO'!C:V,2,0),"")</f>
        <v/>
      </c>
      <c r="E122" s="211" t="str">
        <f>IFERROR(VLOOKUP($C122,'PORTIFÓLIO'!C:V,3,0),"")</f>
        <v/>
      </c>
      <c r="F122" s="211" t="str">
        <f>IFERROR(VLOOKUP($C122,'PORTIFÓLIO'!C:V,4,0),"")</f>
        <v/>
      </c>
      <c r="G122" s="215" t="str">
        <f>IFERROR(VLOOKUP($C122,'PORTIFÓLIO'!C:V,5,0),"")</f>
        <v/>
      </c>
      <c r="H122" s="254" t="str">
        <f t="array" ref="H122">IFERROR(INDEX('PORTIFÓLIO'!$H$4:$H$433,MATCH($C122,'PORTIFÓLIO'!$C$4:$C$433,0)),"")</f>
        <v/>
      </c>
      <c r="I122" s="255"/>
      <c r="J122" s="218">
        <f t="shared" si="14"/>
        <v>0</v>
      </c>
      <c r="K122" s="219" t="str">
        <f t="array" ref="K122">IFERROR(I122*INDEX('PORTIFÓLIO'!$S$4:$S$433,MATCH($C122,'PORTIFÓLIO'!$C$4:$C$433,0)),"")</f>
        <v/>
      </c>
      <c r="L122" s="219" t="str">
        <f t="array" ref="L122">IFERROR(J122*INDEX('PORTIFÓLIO'!$S$4:$S$433,MATCH($C122,'PORTIFÓLIO'!$C$4:$C$433,0)),"")</f>
        <v/>
      </c>
      <c r="M122" s="227"/>
      <c r="N122" s="220"/>
      <c r="O122" s="220"/>
      <c r="P122" s="220"/>
      <c r="Q122" s="220"/>
      <c r="R122" s="220"/>
      <c r="S122" s="220"/>
      <c r="T122" s="220"/>
      <c r="U122" s="220"/>
      <c r="V122" s="220"/>
      <c r="W122" s="220"/>
    </row>
    <row r="123" ht="15.75" customHeight="1" outlineLevel="1">
      <c r="A123" s="211"/>
      <c r="B123" s="212"/>
      <c r="C123" s="213"/>
      <c r="D123" s="214" t="str">
        <f>IFERROR(VLOOKUP($C123,'PORTIFÓLIO'!C:V,2,0),"")</f>
        <v/>
      </c>
      <c r="E123" s="211" t="str">
        <f>IFERROR(VLOOKUP($C123,'PORTIFÓLIO'!C:V,3,0),"")</f>
        <v/>
      </c>
      <c r="F123" s="211" t="str">
        <f>IFERROR(VLOOKUP($C123,'PORTIFÓLIO'!C:V,4,0),"")</f>
        <v/>
      </c>
      <c r="G123" s="215" t="str">
        <f>IFERROR(VLOOKUP($C123,'PORTIFÓLIO'!C:V,5,0),"")</f>
        <v/>
      </c>
      <c r="H123" s="254" t="str">
        <f t="array" ref="H123">IFERROR(INDEX('PORTIFÓLIO'!$H$4:$H$433,MATCH($C123,'PORTIFÓLIO'!$C$4:$C$433,0)),"")</f>
        <v/>
      </c>
      <c r="I123" s="255"/>
      <c r="J123" s="218">
        <f t="shared" si="14"/>
        <v>0</v>
      </c>
      <c r="K123" s="219" t="str">
        <f t="array" ref="K123">IFERROR(I123*INDEX('PORTIFÓLIO'!$S$4:$S$433,MATCH($C123,'PORTIFÓLIO'!$C$4:$C$433,0)),"")</f>
        <v/>
      </c>
      <c r="L123" s="219" t="str">
        <f t="array" ref="L123">IFERROR(J123*INDEX('PORTIFÓLIO'!$S$4:$S$433,MATCH($C123,'PORTIFÓLIO'!$C$4:$C$433,0)),"")</f>
        <v/>
      </c>
      <c r="M123" s="227"/>
      <c r="N123" s="220"/>
      <c r="O123" s="220"/>
      <c r="P123" s="220"/>
      <c r="Q123" s="220"/>
      <c r="R123" s="220"/>
      <c r="S123" s="220"/>
      <c r="T123" s="220"/>
      <c r="U123" s="220"/>
      <c r="V123" s="220"/>
      <c r="W123" s="220"/>
    </row>
    <row r="124" ht="15.75" customHeight="1" outlineLevel="1">
      <c r="A124" s="211"/>
      <c r="B124" s="212"/>
      <c r="C124" s="213"/>
      <c r="D124" s="214" t="str">
        <f>IFERROR(VLOOKUP($C124,'PORTIFÓLIO'!C:V,2,0),"")</f>
        <v/>
      </c>
      <c r="E124" s="211" t="str">
        <f>IFERROR(VLOOKUP($C124,'PORTIFÓLIO'!C:V,3,0),"")</f>
        <v/>
      </c>
      <c r="F124" s="211" t="str">
        <f>IFERROR(VLOOKUP($C124,'PORTIFÓLIO'!C:V,4,0),"")</f>
        <v/>
      </c>
      <c r="G124" s="215" t="str">
        <f>IFERROR(VLOOKUP($C124,'PORTIFÓLIO'!C:V,5,0),"")</f>
        <v/>
      </c>
      <c r="H124" s="254" t="str">
        <f t="array" ref="H124">IFERROR(INDEX('PORTIFÓLIO'!$H$4:$H$433,MATCH($C124,'PORTIFÓLIO'!$C$4:$C$433,0)),"")</f>
        <v/>
      </c>
      <c r="I124" s="256"/>
      <c r="J124" s="218">
        <f t="shared" si="14"/>
        <v>0</v>
      </c>
      <c r="K124" s="219" t="str">
        <f t="array" ref="K124">IFERROR(I124*INDEX('PORTIFÓLIO'!$S$4:$S$433,MATCH($C124,'PORTIFÓLIO'!$C$4:$C$433,0)),"")</f>
        <v/>
      </c>
      <c r="L124" s="219" t="str">
        <f t="array" ref="L124">IFERROR(J124*INDEX('PORTIFÓLIO'!$S$4:$S$433,MATCH($C124,'PORTIFÓLIO'!$C$4:$C$433,0)),"")</f>
        <v/>
      </c>
      <c r="M124" s="227"/>
      <c r="N124" s="220"/>
      <c r="O124" s="220"/>
      <c r="P124" s="220"/>
      <c r="Q124" s="220"/>
      <c r="R124" s="220"/>
      <c r="S124" s="220"/>
      <c r="T124" s="220"/>
      <c r="U124" s="220"/>
      <c r="V124" s="220"/>
      <c r="W124" s="220"/>
    </row>
    <row r="125" ht="15.75" customHeight="1" outlineLevel="1">
      <c r="A125" s="211"/>
      <c r="B125" s="212"/>
      <c r="C125" s="213"/>
      <c r="D125" s="214" t="str">
        <f>IFERROR(VLOOKUP($C125,'PORTIFÓLIO'!C:V,2,0),"")</f>
        <v/>
      </c>
      <c r="E125" s="211" t="str">
        <f>IFERROR(VLOOKUP($C125,'PORTIFÓLIO'!C:V,3,0),"")</f>
        <v/>
      </c>
      <c r="F125" s="211" t="str">
        <f>IFERROR(VLOOKUP($C125,'PORTIFÓLIO'!C:V,4,0),"")</f>
        <v/>
      </c>
      <c r="G125" s="215" t="str">
        <f>IFERROR(VLOOKUP($C125,'PORTIFÓLIO'!C:V,5,0),"")</f>
        <v/>
      </c>
      <c r="H125" s="254" t="str">
        <f t="array" ref="H125">IFERROR(INDEX('PORTIFÓLIO'!$H$4:$H$433,MATCH($C125,'PORTIFÓLIO'!$C$4:$C$433,0)),"")</f>
        <v/>
      </c>
      <c r="I125" s="256"/>
      <c r="J125" s="218">
        <f t="shared" si="14"/>
        <v>0</v>
      </c>
      <c r="K125" s="219" t="str">
        <f t="array" ref="K125">IFERROR(I125*INDEX('PORTIFÓLIO'!$S$4:$S$433,MATCH($C125,'PORTIFÓLIO'!$C$4:$C$433,0)),"")</f>
        <v/>
      </c>
      <c r="L125" s="219" t="str">
        <f t="array" ref="L125">IFERROR(J125*INDEX('PORTIFÓLIO'!$S$4:$S$433,MATCH($C125,'PORTIFÓLIO'!$C$4:$C$433,0)),"")</f>
        <v/>
      </c>
      <c r="M125" s="227"/>
      <c r="N125" s="220"/>
      <c r="O125" s="220"/>
      <c r="P125" s="220"/>
      <c r="Q125" s="220"/>
      <c r="R125" s="220"/>
      <c r="S125" s="220"/>
      <c r="T125" s="220"/>
      <c r="U125" s="220"/>
      <c r="V125" s="220"/>
      <c r="W125" s="220"/>
    </row>
    <row r="126" ht="15.75" customHeight="1" outlineLevel="1">
      <c r="A126" s="211"/>
      <c r="B126" s="212"/>
      <c r="C126" s="213"/>
      <c r="D126" s="214" t="str">
        <f>IFERROR(VLOOKUP($C126,'PORTIFÓLIO'!C:V,2,0),"")</f>
        <v/>
      </c>
      <c r="E126" s="211" t="str">
        <f>IFERROR(VLOOKUP($C126,'PORTIFÓLIO'!C:V,3,0),"")</f>
        <v/>
      </c>
      <c r="F126" s="211" t="str">
        <f>IFERROR(VLOOKUP($C126,'PORTIFÓLIO'!C:V,4,0),"")</f>
        <v/>
      </c>
      <c r="G126" s="215" t="str">
        <f>IFERROR(VLOOKUP($C126,'PORTIFÓLIO'!C:V,5,0),"")</f>
        <v/>
      </c>
      <c r="H126" s="254" t="str">
        <f t="array" ref="H126">IFERROR(INDEX('PORTIFÓLIO'!$H$4:$H$433,MATCH($C126,'PORTIFÓLIO'!$C$4:$C$433,0)),"")</f>
        <v/>
      </c>
      <c r="I126" s="256"/>
      <c r="J126" s="218">
        <f t="shared" si="14"/>
        <v>0</v>
      </c>
      <c r="K126" s="219" t="str">
        <f t="array" ref="K126">IFERROR(I126*INDEX('PORTIFÓLIO'!$S$4:$S$433,MATCH($C126,'PORTIFÓLIO'!$C$4:$C$433,0)),"")</f>
        <v/>
      </c>
      <c r="L126" s="219" t="str">
        <f t="array" ref="L126">IFERROR(J126*INDEX('PORTIFÓLIO'!$S$4:$S$433,MATCH($C126,'PORTIFÓLIO'!$C$4:$C$433,0)),"")</f>
        <v/>
      </c>
      <c r="M126" s="227"/>
      <c r="N126" s="220"/>
      <c r="O126" s="220"/>
      <c r="P126" s="220"/>
      <c r="Q126" s="220"/>
      <c r="R126" s="220"/>
      <c r="S126" s="220"/>
      <c r="T126" s="220"/>
      <c r="U126" s="220"/>
      <c r="V126" s="220"/>
      <c r="W126" s="220"/>
    </row>
    <row r="127" ht="15.75" customHeight="1" outlineLevel="1">
      <c r="A127" s="211"/>
      <c r="B127" s="212"/>
      <c r="C127" s="213"/>
      <c r="D127" s="214" t="str">
        <f>IFERROR(VLOOKUP($C127,'PORTIFÓLIO'!C:V,2,0),"")</f>
        <v/>
      </c>
      <c r="E127" s="211" t="str">
        <f>IFERROR(VLOOKUP($C127,'PORTIFÓLIO'!C:V,3,0),"")</f>
        <v/>
      </c>
      <c r="F127" s="211" t="str">
        <f>IFERROR(VLOOKUP($C127,'PORTIFÓLIO'!C:V,4,0),"")</f>
        <v/>
      </c>
      <c r="G127" s="215" t="str">
        <f>IFERROR(VLOOKUP($C127,'PORTIFÓLIO'!C:V,5,0),"")</f>
        <v/>
      </c>
      <c r="H127" s="254" t="str">
        <f t="array" ref="H127">IFERROR(INDEX('PORTIFÓLIO'!$H$4:$H$433,MATCH($C127,'PORTIFÓLIO'!$C$4:$C$433,0)),"")</f>
        <v/>
      </c>
      <c r="I127" s="256"/>
      <c r="J127" s="218">
        <f t="shared" si="14"/>
        <v>0</v>
      </c>
      <c r="K127" s="219" t="str">
        <f t="array" ref="K127">IFERROR(I127*INDEX('PORTIFÓLIO'!$S$4:$S$433,MATCH($C127,'PORTIFÓLIO'!$C$4:$C$433,0)),"")</f>
        <v/>
      </c>
      <c r="L127" s="219" t="str">
        <f t="array" ref="L127">IFERROR(J127*INDEX('PORTIFÓLIO'!$S$4:$S$433,MATCH($C127,'PORTIFÓLIO'!$C$4:$C$433,0)),"")</f>
        <v/>
      </c>
      <c r="M127" s="227"/>
      <c r="N127" s="220"/>
      <c r="O127" s="220"/>
      <c r="P127" s="220"/>
      <c r="Q127" s="220"/>
      <c r="R127" s="220"/>
      <c r="S127" s="220"/>
      <c r="T127" s="220"/>
      <c r="U127" s="220"/>
      <c r="V127" s="220"/>
      <c r="W127" s="220"/>
    </row>
    <row r="128" ht="15.75" customHeight="1" outlineLevel="1">
      <c r="A128" s="211"/>
      <c r="B128" s="212"/>
      <c r="C128" s="213"/>
      <c r="D128" s="214" t="str">
        <f>IFERROR(VLOOKUP($C128,'PORTIFÓLIO'!C:V,2,0),"")</f>
        <v/>
      </c>
      <c r="E128" s="211" t="str">
        <f>IFERROR(VLOOKUP($C128,'PORTIFÓLIO'!C:V,3,0),"")</f>
        <v/>
      </c>
      <c r="F128" s="211" t="str">
        <f>IFERROR(VLOOKUP($C128,'PORTIFÓLIO'!C:V,4,0),"")</f>
        <v/>
      </c>
      <c r="G128" s="215" t="str">
        <f>IFERROR(VLOOKUP($C128,'PORTIFÓLIO'!C:V,5,0),"")</f>
        <v/>
      </c>
      <c r="H128" s="254" t="str">
        <f t="array" ref="H128">IFERROR(INDEX('PORTIFÓLIO'!$H$4:$H$433,MATCH($C128,'PORTIFÓLIO'!$C$4:$C$433,0)),"")</f>
        <v/>
      </c>
      <c r="I128" s="256"/>
      <c r="J128" s="218">
        <f t="shared" si="14"/>
        <v>0</v>
      </c>
      <c r="K128" s="219" t="str">
        <f t="array" ref="K128">IFERROR(I128*INDEX('PORTIFÓLIO'!$S$4:$S$433,MATCH($C128,'PORTIFÓLIO'!$C$4:$C$433,0)),"")</f>
        <v/>
      </c>
      <c r="L128" s="219" t="str">
        <f t="array" ref="L128">IFERROR(J128*INDEX('PORTIFÓLIO'!$S$4:$S$433,MATCH($C128,'PORTIFÓLIO'!$C$4:$C$433,0)),"")</f>
        <v/>
      </c>
      <c r="M128" s="227"/>
      <c r="N128" s="220"/>
      <c r="O128" s="220"/>
      <c r="P128" s="220"/>
      <c r="Q128" s="220"/>
      <c r="R128" s="220"/>
      <c r="S128" s="220"/>
      <c r="T128" s="220"/>
      <c r="U128" s="220"/>
      <c r="V128" s="220"/>
      <c r="W128" s="220"/>
    </row>
    <row r="129" ht="15.75" customHeight="1" outlineLevel="1">
      <c r="A129" s="211"/>
      <c r="B129" s="212"/>
      <c r="C129" s="213"/>
      <c r="D129" s="214" t="str">
        <f>IFERROR(VLOOKUP($C129,'PORTIFÓLIO'!C:V,2,0),"")</f>
        <v/>
      </c>
      <c r="E129" s="211" t="str">
        <f>IFERROR(VLOOKUP($C129,'PORTIFÓLIO'!C:V,3,0),"")</f>
        <v/>
      </c>
      <c r="F129" s="211" t="str">
        <f>IFERROR(VLOOKUP($C129,'PORTIFÓLIO'!C:V,4,0),"")</f>
        <v/>
      </c>
      <c r="G129" s="215" t="str">
        <f>IFERROR(VLOOKUP($C129,'PORTIFÓLIO'!C:V,5,0),"")</f>
        <v/>
      </c>
      <c r="H129" s="254" t="str">
        <f t="array" ref="H129">IFERROR(INDEX('PORTIFÓLIO'!$H$4:$H$433,MATCH($C129,'PORTIFÓLIO'!$C$4:$C$433,0)),"")</f>
        <v/>
      </c>
      <c r="I129" s="256"/>
      <c r="J129" s="218">
        <f t="shared" si="14"/>
        <v>0</v>
      </c>
      <c r="K129" s="219" t="str">
        <f t="array" ref="K129">IFERROR(I129*INDEX('PORTIFÓLIO'!$S$4:$S$433,MATCH($C129,'PORTIFÓLIO'!$C$4:$C$433,0)),"")</f>
        <v/>
      </c>
      <c r="L129" s="219" t="str">
        <f t="array" ref="L129">IFERROR(J129*INDEX('PORTIFÓLIO'!$S$4:$S$433,MATCH($C129,'PORTIFÓLIO'!$C$4:$C$433,0)),"")</f>
        <v/>
      </c>
      <c r="M129" s="227"/>
      <c r="N129" s="220"/>
      <c r="O129" s="220"/>
      <c r="P129" s="220"/>
      <c r="Q129" s="220"/>
      <c r="R129" s="220"/>
      <c r="S129" s="220"/>
      <c r="T129" s="220"/>
      <c r="U129" s="220"/>
      <c r="V129" s="220"/>
      <c r="W129" s="220"/>
    </row>
    <row r="130" ht="15.75" customHeight="1" outlineLevel="1">
      <c r="A130" s="211"/>
      <c r="B130" s="227"/>
      <c r="C130" s="211"/>
      <c r="D130" s="214" t="str">
        <f>IFERROR(VLOOKUP($C130,'PORTIFÓLIO'!C:V,2,0),"")</f>
        <v/>
      </c>
      <c r="E130" s="211" t="str">
        <f>IFERROR(VLOOKUP($C130,'PORTIFÓLIO'!C:V,3,0),"")</f>
        <v/>
      </c>
      <c r="F130" s="211" t="str">
        <f>IFERROR(VLOOKUP($C130,'PORTIFÓLIO'!C:V,4,0),"")</f>
        <v/>
      </c>
      <c r="G130" s="215" t="str">
        <f>IFERROR(VLOOKUP($C130,'PORTIFÓLIO'!C:V,5,0),"")</f>
        <v/>
      </c>
      <c r="H130" s="254" t="str">
        <f t="array" ref="H130">IFERROR(INDEX('PORTIFÓLIO'!$H$4:$H$433,MATCH($C130,'PORTIFÓLIO'!$C$4:$C$433,0)),"")</f>
        <v/>
      </c>
      <c r="I130" s="256"/>
      <c r="J130" s="218"/>
      <c r="K130" s="219" t="str">
        <f t="array" ref="K130">IFERROR(I130*INDEX('PORTIFÓLIO'!$S$4:$S$433,MATCH($C130,'PORTIFÓLIO'!$C$4:$C$433,0)),"")</f>
        <v/>
      </c>
      <c r="L130" s="219" t="str">
        <f t="array" ref="L130">IFERROR(J130*INDEX('PORTIFÓLIO'!$S$4:$S$433,MATCH($C130,'PORTIFÓLIO'!$C$4:$C$433,0)),"")</f>
        <v/>
      </c>
      <c r="M130" s="227"/>
      <c r="N130" s="220"/>
      <c r="O130" s="220"/>
      <c r="P130" s="220"/>
      <c r="Q130" s="220"/>
      <c r="R130" s="220"/>
      <c r="S130" s="220"/>
      <c r="T130" s="220"/>
      <c r="U130" s="220"/>
      <c r="V130" s="220"/>
      <c r="W130" s="220"/>
    </row>
    <row r="131" ht="15.75" customHeight="1">
      <c r="A131" s="221" t="s">
        <v>1191</v>
      </c>
      <c r="B131" s="197"/>
      <c r="C131" s="196"/>
      <c r="D131" s="198"/>
      <c r="E131" s="196"/>
      <c r="F131" s="196"/>
      <c r="G131" s="199"/>
      <c r="H131" s="199"/>
      <c r="I131" s="252"/>
      <c r="J131" s="202"/>
      <c r="K131" s="203">
        <f t="shared" ref="K131:L131" si="15">SUBTOTAL(9,K132:K145)</f>
        <v>182.923288</v>
      </c>
      <c r="L131" s="203">
        <f t="shared" si="15"/>
        <v>18841.09866</v>
      </c>
      <c r="M131" s="238"/>
      <c r="N131" s="177"/>
      <c r="O131" s="177"/>
      <c r="P131" s="177"/>
      <c r="Q131" s="177"/>
      <c r="R131" s="177"/>
      <c r="S131" s="177"/>
      <c r="T131" s="177"/>
      <c r="U131" s="177"/>
      <c r="V131" s="177"/>
      <c r="W131" s="177"/>
    </row>
    <row r="132" ht="15.75" customHeight="1" outlineLevel="1">
      <c r="A132" s="191"/>
      <c r="B132" s="204" t="s">
        <v>0</v>
      </c>
      <c r="C132" s="191" t="s">
        <v>487</v>
      </c>
      <c r="D132" s="205" t="str">
        <f>IFERROR(VLOOKUP($C132,'PORTIFÓLIO'!C:V,2,0),"")</f>
        <v>PICOXISTROBINA + CIPROCONAZOL</v>
      </c>
      <c r="E132" s="190" t="str">
        <f>IFERROR(VLOOKUP($C132,'PORTIFÓLIO'!C:V,3,0),"")</f>
        <v>90 + 40</v>
      </c>
      <c r="F132" s="190" t="str">
        <f>IFERROR(VLOOKUP($C132,'PORTIFÓLIO'!C:V,4,0),"")</f>
        <v>L</v>
      </c>
      <c r="G132" s="223" t="str">
        <f>IFERROR(VLOOKUP($C132,'PORTIFÓLIO'!C:V,5,0),"")</f>
        <v>📄 Ver bula</v>
      </c>
      <c r="H132" s="247">
        <f t="array" ref="H132">IFERROR(INDEX('PORTIFÓLIO'!$H$4:$H$433,MATCH($C132,'PORTIFÓLIO'!$C$4:$C$433,0)),"")</f>
        <v>0.6</v>
      </c>
      <c r="I132" s="253">
        <v>0.6</v>
      </c>
      <c r="J132" s="209">
        <f t="shared" ref="J132:J146" si="16">I132*$B$2</f>
        <v>61.8</v>
      </c>
      <c r="K132" s="210">
        <f t="array" ref="K132">IFERROR(I132*INDEX('PORTIFÓLIO'!$S$4:$S$433,MATCH($C132,'PORTIFÓLIO'!$C$4:$C$433,0)),"")</f>
        <v>39.349152</v>
      </c>
      <c r="L132" s="210">
        <f t="array" ref="L132">IFERROR(J132*INDEX('PORTIFÓLIO'!$S$4:$S$433,MATCH($C132,'PORTIFÓLIO'!$C$4:$C$433,0)),"")</f>
        <v>4052.962656</v>
      </c>
      <c r="M132" s="238"/>
      <c r="N132" s="177"/>
      <c r="O132" s="177"/>
      <c r="P132" s="177"/>
      <c r="Q132" s="177"/>
      <c r="R132" s="177"/>
      <c r="S132" s="177"/>
      <c r="T132" s="177"/>
      <c r="U132" s="177"/>
      <c r="V132" s="177"/>
      <c r="W132" s="177"/>
    </row>
    <row r="133" ht="15.75" customHeight="1" outlineLevel="1">
      <c r="A133" s="190"/>
      <c r="B133" s="204" t="s">
        <v>0</v>
      </c>
      <c r="C133" s="191" t="s">
        <v>484</v>
      </c>
      <c r="D133" s="205" t="str">
        <f>IFERROR(VLOOKUP($C133,'PORTIFÓLIO'!C:V,2,0),"")</f>
        <v>MANCOZEBE</v>
      </c>
      <c r="E133" s="190">
        <f>IFERROR(VLOOKUP($C133,'PORTIFÓLIO'!C:V,3,0),"")</f>
        <v>750</v>
      </c>
      <c r="F133" s="190" t="str">
        <f>IFERROR(VLOOKUP($C133,'PORTIFÓLIO'!C:V,4,0),"")</f>
        <v>L</v>
      </c>
      <c r="G133" s="223" t="str">
        <f>IFERROR(VLOOKUP($C133,'PORTIFÓLIO'!C:V,5,0),"")</f>
        <v>📄 Ver bula</v>
      </c>
      <c r="H133" s="247">
        <f t="array" ref="H133">IFERROR(INDEX('PORTIFÓLIO'!$H$4:$H$433,MATCH($C133,'PORTIFÓLIO'!$C$4:$C$433,0)),"")</f>
        <v>1.5</v>
      </c>
      <c r="I133" s="253">
        <v>1.5</v>
      </c>
      <c r="J133" s="209">
        <f t="shared" si="16"/>
        <v>154.5</v>
      </c>
      <c r="K133" s="210">
        <f t="array" ref="K133">IFERROR(I133*INDEX('PORTIFÓLIO'!$S$4:$S$433,MATCH($C133,'PORTIFÓLIO'!$C$4:$C$433,0)),"")</f>
        <v>41.52168</v>
      </c>
      <c r="L133" s="210">
        <f t="array" ref="L133">IFERROR(J133*INDEX('PORTIFÓLIO'!$S$4:$S$433,MATCH($C133,'PORTIFÓLIO'!$C$4:$C$433,0)),"")</f>
        <v>4276.73304</v>
      </c>
      <c r="M133" s="238"/>
      <c r="N133" s="177"/>
      <c r="O133" s="177"/>
      <c r="P133" s="177"/>
      <c r="Q133" s="177"/>
      <c r="R133" s="177"/>
      <c r="S133" s="177"/>
      <c r="T133" s="177"/>
      <c r="U133" s="177"/>
      <c r="V133" s="177"/>
      <c r="W133" s="177"/>
    </row>
    <row r="134" ht="15.75" customHeight="1" outlineLevel="1">
      <c r="A134" s="190"/>
      <c r="B134" s="204" t="s">
        <v>2</v>
      </c>
      <c r="C134" s="191" t="s">
        <v>897</v>
      </c>
      <c r="D134" s="205" t="str">
        <f>IFERROR(VLOOKUP($C134,'PORTIFÓLIO'!C:V,2,0),"")</f>
        <v>ISOCICLOSERAM + LAMBDA-CIALOTRINA</v>
      </c>
      <c r="E134" s="190" t="str">
        <f>IFERROR(VLOOKUP($C134,'PORTIFÓLIO'!C:V,3,0),"")</f>
        <v>100 + 150</v>
      </c>
      <c r="F134" s="190" t="str">
        <f>IFERROR(VLOOKUP($C134,'PORTIFÓLIO'!C:V,4,0),"")</f>
        <v>L</v>
      </c>
      <c r="G134" s="223" t="str">
        <f>IFERROR(VLOOKUP($C134,'PORTIFÓLIO'!C:V,5,0),"")</f>
        <v>📄 Ver bula</v>
      </c>
      <c r="H134" s="247">
        <f t="array" ref="H134">IFERROR(INDEX('PORTIFÓLIO'!$H$4:$H$433,MATCH($C134,'PORTIFÓLIO'!$C$4:$C$433,0)),"")</f>
        <v>0.25</v>
      </c>
      <c r="I134" s="253">
        <v>0.25</v>
      </c>
      <c r="J134" s="209">
        <f t="shared" si="16"/>
        <v>25.75</v>
      </c>
      <c r="K134" s="210">
        <f t="array" ref="K134">IFERROR(I134*INDEX('PORTIFÓLIO'!$S$4:$S$433,MATCH($C134,'PORTIFÓLIO'!$C$4:$C$433,0)),"")</f>
        <v>99.0837</v>
      </c>
      <c r="L134" s="210">
        <f t="array" ref="L134">IFERROR(J134*INDEX('PORTIFÓLIO'!$S$4:$S$433,MATCH($C134,'PORTIFÓLIO'!$C$4:$C$433,0)),"")</f>
        <v>10205.6211</v>
      </c>
      <c r="M134" s="238"/>
      <c r="N134" s="177"/>
      <c r="O134" s="177"/>
      <c r="P134" s="177"/>
      <c r="Q134" s="177"/>
      <c r="R134" s="177"/>
      <c r="S134" s="177"/>
      <c r="T134" s="177"/>
      <c r="U134" s="177"/>
      <c r="V134" s="177"/>
      <c r="W134" s="177"/>
    </row>
    <row r="135" ht="15.75" customHeight="1" outlineLevel="1">
      <c r="A135" s="190"/>
      <c r="B135" s="204" t="s">
        <v>6</v>
      </c>
      <c r="C135" s="191" t="s">
        <v>351</v>
      </c>
      <c r="D135" s="205" t="str">
        <f>IFERROR(VLOOKUP($C135,'PORTIFÓLIO'!C:V,2,0),"")</f>
        <v>ÉSTER METILICO DE OLEO DE SOJA</v>
      </c>
      <c r="E135" s="190">
        <f>IFERROR(VLOOKUP($C135,'PORTIFÓLIO'!C:V,3,0),"")</f>
        <v>720</v>
      </c>
      <c r="F135" s="190" t="str">
        <f>IFERROR(VLOOKUP($C135,'PORTIFÓLIO'!C:V,4,0),"")</f>
        <v>L</v>
      </c>
      <c r="G135" s="223" t="str">
        <f>IFERROR(VLOOKUP($C135,'PORTIFÓLIO'!C:V,5,0),"")</f>
        <v>📄 Ver bula</v>
      </c>
      <c r="H135" s="247">
        <f t="array" ref="H135">IFERROR(INDEX('PORTIFÓLIO'!$H$4:$H$433,MATCH($C135,'PORTIFÓLIO'!$C$4:$C$433,0)),"")</f>
        <v>0.08</v>
      </c>
      <c r="I135" s="253">
        <v>0.2</v>
      </c>
      <c r="J135" s="209">
        <f t="shared" si="16"/>
        <v>20.6</v>
      </c>
      <c r="K135" s="210">
        <f t="array" ref="K135">IFERROR(I135*INDEX('PORTIFÓLIO'!$S$4:$S$433,MATCH($C135,'PORTIFÓLIO'!$C$4:$C$433,0)),"")</f>
        <v>2.968756</v>
      </c>
      <c r="L135" s="210">
        <f t="array" ref="L135">IFERROR(J135*INDEX('PORTIFÓLIO'!$S$4:$S$433,MATCH($C135,'PORTIFÓLIO'!$C$4:$C$433,0)),"")</f>
        <v>305.781868</v>
      </c>
      <c r="M135" s="238"/>
      <c r="N135" s="177"/>
      <c r="O135" s="177"/>
      <c r="P135" s="177"/>
      <c r="Q135" s="177"/>
      <c r="R135" s="177"/>
      <c r="S135" s="177"/>
      <c r="T135" s="177"/>
      <c r="U135" s="177"/>
      <c r="V135" s="177"/>
      <c r="W135" s="177"/>
    </row>
    <row r="136" ht="15.75" customHeight="1" outlineLevel="1">
      <c r="A136" s="211"/>
      <c r="B136" s="212"/>
      <c r="C136" s="213"/>
      <c r="D136" s="214" t="str">
        <f>IFERROR(VLOOKUP($C136,'PORTIFÓLIO'!C:V,2,0),"")</f>
        <v/>
      </c>
      <c r="E136" s="211" t="str">
        <f>IFERROR(VLOOKUP($C136,'PORTIFÓLIO'!C:V,3,0),"")</f>
        <v/>
      </c>
      <c r="F136" s="211" t="str">
        <f>IFERROR(VLOOKUP($C136,'PORTIFÓLIO'!C:V,4,0),"")</f>
        <v/>
      </c>
      <c r="G136" s="215" t="str">
        <f>IFERROR(VLOOKUP($C136,'PORTIFÓLIO'!C:V,5,0),"")</f>
        <v/>
      </c>
      <c r="H136" s="254" t="str">
        <f t="array" ref="H136">IFERROR(INDEX('PORTIFÓLIO'!$H$4:$H$433,MATCH($C136,'PORTIFÓLIO'!$C$4:$C$433,0)),"")</f>
        <v/>
      </c>
      <c r="I136" s="256"/>
      <c r="J136" s="218">
        <f t="shared" si="16"/>
        <v>0</v>
      </c>
      <c r="K136" s="219" t="str">
        <f t="array" ref="K136">IFERROR(I136*INDEX('PORTIFÓLIO'!$S$4:$S$433,MATCH($C136,'PORTIFÓLIO'!$C$4:$C$433,0)),"")</f>
        <v/>
      </c>
      <c r="L136" s="219" t="str">
        <f t="array" ref="L136">IFERROR(J136*INDEX('PORTIFÓLIO'!$S$4:$S$433,MATCH($C136,'PORTIFÓLIO'!$C$4:$C$433,0)),"")</f>
        <v/>
      </c>
      <c r="M136" s="227"/>
      <c r="N136" s="220"/>
      <c r="O136" s="220"/>
      <c r="P136" s="220"/>
      <c r="Q136" s="220"/>
      <c r="R136" s="220"/>
      <c r="S136" s="220"/>
      <c r="T136" s="220"/>
      <c r="U136" s="220"/>
      <c r="V136" s="220"/>
      <c r="W136" s="220"/>
    </row>
    <row r="137" ht="15.75" customHeight="1" outlineLevel="1">
      <c r="A137" s="211"/>
      <c r="B137" s="212"/>
      <c r="C137" s="213"/>
      <c r="D137" s="214" t="str">
        <f>IFERROR(VLOOKUP($C137,'PORTIFÓLIO'!C:V,2,0),"")</f>
        <v/>
      </c>
      <c r="E137" s="211" t="str">
        <f>IFERROR(VLOOKUP($C137,'PORTIFÓLIO'!C:V,3,0),"")</f>
        <v/>
      </c>
      <c r="F137" s="211" t="str">
        <f>IFERROR(VLOOKUP($C137,'PORTIFÓLIO'!C:V,4,0),"")</f>
        <v/>
      </c>
      <c r="G137" s="215" t="str">
        <f>IFERROR(VLOOKUP($C137,'PORTIFÓLIO'!C:V,5,0),"")</f>
        <v/>
      </c>
      <c r="H137" s="254" t="str">
        <f t="array" ref="H137">IFERROR(INDEX('PORTIFÓLIO'!$H$4:$H$433,MATCH($C137,'PORTIFÓLIO'!$C$4:$C$433,0)),"")</f>
        <v/>
      </c>
      <c r="I137" s="256"/>
      <c r="J137" s="218">
        <f t="shared" si="16"/>
        <v>0</v>
      </c>
      <c r="K137" s="219" t="str">
        <f t="array" ref="K137">IFERROR(I137*INDEX('PORTIFÓLIO'!$S$4:$S$433,MATCH($C137,'PORTIFÓLIO'!$C$4:$C$433,0)),"")</f>
        <v/>
      </c>
      <c r="L137" s="219" t="str">
        <f t="array" ref="L137">IFERROR(J137*INDEX('PORTIFÓLIO'!$S$4:$S$433,MATCH($C137,'PORTIFÓLIO'!$C$4:$C$433,0)),"")</f>
        <v/>
      </c>
      <c r="M137" s="227"/>
      <c r="N137" s="220"/>
      <c r="O137" s="220"/>
      <c r="P137" s="220"/>
      <c r="Q137" s="220"/>
      <c r="R137" s="220"/>
      <c r="S137" s="220"/>
      <c r="T137" s="220"/>
      <c r="U137" s="220"/>
      <c r="V137" s="220"/>
      <c r="W137" s="220"/>
    </row>
    <row r="138" ht="15.75" customHeight="1" outlineLevel="1">
      <c r="A138" s="211"/>
      <c r="B138" s="212"/>
      <c r="C138" s="213"/>
      <c r="D138" s="214" t="str">
        <f>IFERROR(VLOOKUP($C138,'PORTIFÓLIO'!C:V,2,0),"")</f>
        <v/>
      </c>
      <c r="E138" s="211" t="str">
        <f>IFERROR(VLOOKUP($C138,'PORTIFÓLIO'!C:V,3,0),"")</f>
        <v/>
      </c>
      <c r="F138" s="211" t="str">
        <f>IFERROR(VLOOKUP($C138,'PORTIFÓLIO'!C:V,4,0),"")</f>
        <v/>
      </c>
      <c r="G138" s="215" t="str">
        <f>IFERROR(VLOOKUP($C138,'PORTIFÓLIO'!C:V,5,0),"")</f>
        <v/>
      </c>
      <c r="H138" s="254" t="str">
        <f t="array" ref="H138">IFERROR(INDEX('PORTIFÓLIO'!$H$4:$H$433,MATCH($C138,'PORTIFÓLIO'!$C$4:$C$433,0)),"")</f>
        <v/>
      </c>
      <c r="I138" s="256"/>
      <c r="J138" s="218">
        <f t="shared" si="16"/>
        <v>0</v>
      </c>
      <c r="K138" s="219" t="str">
        <f t="array" ref="K138">IFERROR(I138*INDEX('PORTIFÓLIO'!$S$4:$S$433,MATCH($C138,'PORTIFÓLIO'!$C$4:$C$433,0)),"")</f>
        <v/>
      </c>
      <c r="L138" s="219" t="str">
        <f t="array" ref="L138">IFERROR(J138*INDEX('PORTIFÓLIO'!$S$4:$S$433,MATCH($C138,'PORTIFÓLIO'!$C$4:$C$433,0)),"")</f>
        <v/>
      </c>
      <c r="M138" s="227"/>
      <c r="N138" s="220"/>
      <c r="O138" s="220"/>
      <c r="P138" s="220"/>
      <c r="Q138" s="220"/>
      <c r="R138" s="220"/>
      <c r="S138" s="220"/>
      <c r="T138" s="220"/>
      <c r="U138" s="220"/>
      <c r="V138" s="220"/>
      <c r="W138" s="220"/>
    </row>
    <row r="139" ht="15.75" customHeight="1" outlineLevel="1">
      <c r="A139" s="211"/>
      <c r="B139" s="212"/>
      <c r="C139" s="213"/>
      <c r="D139" s="214" t="str">
        <f>IFERROR(VLOOKUP($C139,'PORTIFÓLIO'!C:V,2,0),"")</f>
        <v/>
      </c>
      <c r="E139" s="211" t="str">
        <f>IFERROR(VLOOKUP($C139,'PORTIFÓLIO'!C:V,3,0),"")</f>
        <v/>
      </c>
      <c r="F139" s="211" t="str">
        <f>IFERROR(VLOOKUP($C139,'PORTIFÓLIO'!C:V,4,0),"")</f>
        <v/>
      </c>
      <c r="G139" s="215" t="str">
        <f>IFERROR(VLOOKUP($C139,'PORTIFÓLIO'!C:V,5,0),"")</f>
        <v/>
      </c>
      <c r="H139" s="254" t="str">
        <f t="array" ref="H139">IFERROR(INDEX('PORTIFÓLIO'!$H$4:$H$433,MATCH($C139,'PORTIFÓLIO'!$C$4:$C$433,0)),"")</f>
        <v/>
      </c>
      <c r="I139" s="256"/>
      <c r="J139" s="218">
        <f t="shared" si="16"/>
        <v>0</v>
      </c>
      <c r="K139" s="219" t="str">
        <f t="array" ref="K139">IFERROR(I139*INDEX('PORTIFÓLIO'!$S$4:$S$433,MATCH($C139,'PORTIFÓLIO'!$C$4:$C$433,0)),"")</f>
        <v/>
      </c>
      <c r="L139" s="219" t="str">
        <f t="array" ref="L139">IFERROR(J139*INDEX('PORTIFÓLIO'!$S$4:$S$433,MATCH($C139,'PORTIFÓLIO'!$C$4:$C$433,0)),"")</f>
        <v/>
      </c>
      <c r="M139" s="227"/>
      <c r="N139" s="220"/>
      <c r="O139" s="220"/>
      <c r="P139" s="220"/>
      <c r="Q139" s="220"/>
      <c r="R139" s="220"/>
      <c r="S139" s="220"/>
      <c r="T139" s="220"/>
      <c r="U139" s="220"/>
      <c r="V139" s="220"/>
      <c r="W139" s="220"/>
    </row>
    <row r="140" ht="15.75" customHeight="1" outlineLevel="1">
      <c r="A140" s="211"/>
      <c r="B140" s="212"/>
      <c r="C140" s="213"/>
      <c r="D140" s="214" t="str">
        <f>IFERROR(VLOOKUP($C140,'PORTIFÓLIO'!C:V,2,0),"")</f>
        <v/>
      </c>
      <c r="E140" s="211" t="str">
        <f>IFERROR(VLOOKUP($C140,'PORTIFÓLIO'!C:V,3,0),"")</f>
        <v/>
      </c>
      <c r="F140" s="211" t="str">
        <f>IFERROR(VLOOKUP($C140,'PORTIFÓLIO'!C:V,4,0),"")</f>
        <v/>
      </c>
      <c r="G140" s="215" t="str">
        <f>IFERROR(VLOOKUP($C140,'PORTIFÓLIO'!C:V,5,0),"")</f>
        <v/>
      </c>
      <c r="H140" s="254" t="str">
        <f t="array" ref="H140">IFERROR(INDEX('PORTIFÓLIO'!$H$4:$H$433,MATCH($C140,'PORTIFÓLIO'!$C$4:$C$433,0)),"")</f>
        <v/>
      </c>
      <c r="I140" s="255"/>
      <c r="J140" s="218">
        <f t="shared" si="16"/>
        <v>0</v>
      </c>
      <c r="K140" s="219" t="str">
        <f t="array" ref="K140">IFERROR(I140*INDEX('PORTIFÓLIO'!$S$4:$S$433,MATCH($C140,'PORTIFÓLIO'!$C$4:$C$433,0)),"")</f>
        <v/>
      </c>
      <c r="L140" s="219" t="str">
        <f t="array" ref="L140">IFERROR(J140*INDEX('PORTIFÓLIO'!$S$4:$S$433,MATCH($C140,'PORTIFÓLIO'!$C$4:$C$433,0)),"")</f>
        <v/>
      </c>
      <c r="M140" s="227"/>
      <c r="N140" s="220"/>
      <c r="O140" s="220"/>
      <c r="P140" s="220"/>
      <c r="Q140" s="220"/>
      <c r="R140" s="220"/>
      <c r="S140" s="220"/>
      <c r="T140" s="220"/>
      <c r="U140" s="220"/>
      <c r="V140" s="220"/>
      <c r="W140" s="220"/>
    </row>
    <row r="141" ht="15.75" customHeight="1" outlineLevel="1">
      <c r="A141" s="211"/>
      <c r="B141" s="212"/>
      <c r="C141" s="213"/>
      <c r="D141" s="214" t="str">
        <f>IFERROR(VLOOKUP($C141,'PORTIFÓLIO'!C:V,2,0),"")</f>
        <v/>
      </c>
      <c r="E141" s="211" t="str">
        <f>IFERROR(VLOOKUP($C141,'PORTIFÓLIO'!C:V,3,0),"")</f>
        <v/>
      </c>
      <c r="F141" s="211" t="str">
        <f>IFERROR(VLOOKUP($C141,'PORTIFÓLIO'!C:V,4,0),"")</f>
        <v/>
      </c>
      <c r="G141" s="215" t="str">
        <f>IFERROR(VLOOKUP($C141,'PORTIFÓLIO'!C:V,5,0),"")</f>
        <v/>
      </c>
      <c r="H141" s="254" t="str">
        <f t="array" ref="H141">IFERROR(INDEX('PORTIFÓLIO'!$H$4:$H$433,MATCH($C141,'PORTIFÓLIO'!$C$4:$C$433,0)),"")</f>
        <v/>
      </c>
      <c r="I141" s="256"/>
      <c r="J141" s="218">
        <f t="shared" si="16"/>
        <v>0</v>
      </c>
      <c r="K141" s="219" t="str">
        <f t="array" ref="K141">IFERROR(I141*INDEX('PORTIFÓLIO'!$S$4:$S$433,MATCH($C141,'PORTIFÓLIO'!$C$4:$C$433,0)),"")</f>
        <v/>
      </c>
      <c r="L141" s="219" t="str">
        <f t="array" ref="L141">IFERROR(J141*INDEX('PORTIFÓLIO'!$S$4:$S$433,MATCH($C141,'PORTIFÓLIO'!$C$4:$C$433,0)),"")</f>
        <v/>
      </c>
      <c r="M141" s="227"/>
      <c r="N141" s="220"/>
      <c r="O141" s="220"/>
      <c r="P141" s="220"/>
      <c r="Q141" s="220"/>
      <c r="R141" s="220"/>
      <c r="S141" s="220"/>
      <c r="T141" s="220"/>
      <c r="U141" s="220"/>
      <c r="V141" s="220"/>
      <c r="W141" s="220"/>
    </row>
    <row r="142" ht="15.75" customHeight="1" outlineLevel="1">
      <c r="A142" s="211"/>
      <c r="B142" s="212"/>
      <c r="C142" s="213"/>
      <c r="D142" s="214" t="str">
        <f>IFERROR(VLOOKUP($C142,'PORTIFÓLIO'!C:V,2,0),"")</f>
        <v/>
      </c>
      <c r="E142" s="211" t="str">
        <f>IFERROR(VLOOKUP($C142,'PORTIFÓLIO'!C:V,3,0),"")</f>
        <v/>
      </c>
      <c r="F142" s="211" t="str">
        <f>IFERROR(VLOOKUP($C142,'PORTIFÓLIO'!C:V,4,0),"")</f>
        <v/>
      </c>
      <c r="G142" s="215" t="str">
        <f>IFERROR(VLOOKUP($C142,'PORTIFÓLIO'!C:V,5,0),"")</f>
        <v/>
      </c>
      <c r="H142" s="254" t="str">
        <f t="array" ref="H142">IFERROR(INDEX('PORTIFÓLIO'!$H$4:$H$433,MATCH($C142,'PORTIFÓLIO'!$C$4:$C$433,0)),"")</f>
        <v/>
      </c>
      <c r="I142" s="256"/>
      <c r="J142" s="218">
        <f t="shared" si="16"/>
        <v>0</v>
      </c>
      <c r="K142" s="219" t="str">
        <f t="array" ref="K142">IFERROR(I142*INDEX('PORTIFÓLIO'!$S$4:$S$433,MATCH($C142,'PORTIFÓLIO'!$C$4:$C$433,0)),"")</f>
        <v/>
      </c>
      <c r="L142" s="219" t="str">
        <f t="array" ref="L142">IFERROR(J142*INDEX('PORTIFÓLIO'!$S$4:$S$433,MATCH($C142,'PORTIFÓLIO'!$C$4:$C$433,0)),"")</f>
        <v/>
      </c>
      <c r="M142" s="227"/>
      <c r="N142" s="220"/>
      <c r="O142" s="220"/>
      <c r="P142" s="220"/>
      <c r="Q142" s="220"/>
      <c r="R142" s="220"/>
      <c r="S142" s="220"/>
      <c r="T142" s="220"/>
      <c r="U142" s="220"/>
      <c r="V142" s="220"/>
      <c r="W142" s="220"/>
    </row>
    <row r="143" ht="15.75" customHeight="1" outlineLevel="1">
      <c r="A143" s="211"/>
      <c r="B143" s="212"/>
      <c r="C143" s="213"/>
      <c r="D143" s="214" t="str">
        <f>IFERROR(VLOOKUP($C143,'PORTIFÓLIO'!C:V,2,0),"")</f>
        <v/>
      </c>
      <c r="E143" s="211" t="str">
        <f>IFERROR(VLOOKUP($C143,'PORTIFÓLIO'!C:V,3,0),"")</f>
        <v/>
      </c>
      <c r="F143" s="211" t="str">
        <f>IFERROR(VLOOKUP($C143,'PORTIFÓLIO'!C:V,4,0),"")</f>
        <v/>
      </c>
      <c r="G143" s="215" t="str">
        <f>IFERROR(VLOOKUP($C143,'PORTIFÓLIO'!C:V,5,0),"")</f>
        <v/>
      </c>
      <c r="H143" s="254" t="str">
        <f t="array" ref="H143">IFERROR(INDEX('PORTIFÓLIO'!$H$4:$H$433,MATCH($C143,'PORTIFÓLIO'!$C$4:$C$433,0)),"")</f>
        <v/>
      </c>
      <c r="I143" s="256"/>
      <c r="J143" s="218">
        <f t="shared" si="16"/>
        <v>0</v>
      </c>
      <c r="K143" s="219" t="str">
        <f t="array" ref="K143">IFERROR(I143*INDEX('PORTIFÓLIO'!$S$4:$S$433,MATCH($C143,'PORTIFÓLIO'!$C$4:$C$433,0)),"")</f>
        <v/>
      </c>
      <c r="L143" s="219" t="str">
        <f t="array" ref="L143">IFERROR(J143*INDEX('PORTIFÓLIO'!$S$4:$S$433,MATCH($C143,'PORTIFÓLIO'!$C$4:$C$433,0)),"")</f>
        <v/>
      </c>
      <c r="M143" s="227"/>
      <c r="N143" s="220"/>
      <c r="O143" s="220"/>
      <c r="P143" s="220"/>
      <c r="Q143" s="220"/>
      <c r="R143" s="220"/>
      <c r="S143" s="220"/>
      <c r="T143" s="220"/>
      <c r="U143" s="220"/>
      <c r="V143" s="220"/>
      <c r="W143" s="220"/>
    </row>
    <row r="144" ht="15.75" customHeight="1" outlineLevel="1">
      <c r="A144" s="211"/>
      <c r="B144" s="212"/>
      <c r="C144" s="213"/>
      <c r="D144" s="214" t="str">
        <f>IFERROR(VLOOKUP($C144,'PORTIFÓLIO'!C:V,2,0),"")</f>
        <v/>
      </c>
      <c r="E144" s="211" t="str">
        <f>IFERROR(VLOOKUP($C144,'PORTIFÓLIO'!C:V,3,0),"")</f>
        <v/>
      </c>
      <c r="F144" s="211" t="str">
        <f>IFERROR(VLOOKUP($C144,'PORTIFÓLIO'!C:V,4,0),"")</f>
        <v/>
      </c>
      <c r="G144" s="215" t="str">
        <f>IFERROR(VLOOKUP($C144,'PORTIFÓLIO'!C:V,5,0),"")</f>
        <v/>
      </c>
      <c r="H144" s="254" t="str">
        <f t="array" ref="H144">IFERROR(INDEX('PORTIFÓLIO'!$H$4:$H$433,MATCH($C144,'PORTIFÓLIO'!$C$4:$C$433,0)),"")</f>
        <v/>
      </c>
      <c r="I144" s="256"/>
      <c r="J144" s="218">
        <f t="shared" si="16"/>
        <v>0</v>
      </c>
      <c r="K144" s="219" t="str">
        <f t="array" ref="K144">IFERROR(I144*INDEX('PORTIFÓLIO'!$S$4:$S$433,MATCH($C144,'PORTIFÓLIO'!$C$4:$C$433,0)),"")</f>
        <v/>
      </c>
      <c r="L144" s="219" t="str">
        <f t="array" ref="L144">IFERROR(J144*INDEX('PORTIFÓLIO'!$S$4:$S$433,MATCH($C144,'PORTIFÓLIO'!$C$4:$C$433,0)),"")</f>
        <v/>
      </c>
      <c r="M144" s="227"/>
      <c r="N144" s="220"/>
      <c r="O144" s="220"/>
      <c r="P144" s="220"/>
      <c r="Q144" s="220"/>
      <c r="R144" s="220"/>
      <c r="S144" s="220"/>
      <c r="T144" s="220"/>
      <c r="U144" s="220"/>
      <c r="V144" s="220"/>
      <c r="W144" s="220"/>
    </row>
    <row r="145" ht="15.75" customHeight="1" outlineLevel="1">
      <c r="A145" s="211"/>
      <c r="B145" s="212"/>
      <c r="C145" s="213"/>
      <c r="D145" s="214" t="str">
        <f>IFERROR(VLOOKUP($C145,'PORTIFÓLIO'!C:V,2,0),"")</f>
        <v/>
      </c>
      <c r="E145" s="211" t="str">
        <f>IFERROR(VLOOKUP($C145,'PORTIFÓLIO'!C:V,3,0),"")</f>
        <v/>
      </c>
      <c r="F145" s="211" t="str">
        <f>IFERROR(VLOOKUP($C145,'PORTIFÓLIO'!C:V,4,0),"")</f>
        <v/>
      </c>
      <c r="G145" s="215" t="str">
        <f>IFERROR(VLOOKUP($C145,'PORTIFÓLIO'!C:V,5,0),"")</f>
        <v/>
      </c>
      <c r="H145" s="254" t="str">
        <f t="array" ref="H145">IFERROR(INDEX('PORTIFÓLIO'!$H$4:$H$433,MATCH($C145,'PORTIFÓLIO'!$C$4:$C$433,0)),"")</f>
        <v/>
      </c>
      <c r="I145" s="256"/>
      <c r="J145" s="218">
        <f t="shared" si="16"/>
        <v>0</v>
      </c>
      <c r="K145" s="219" t="str">
        <f t="array" ref="K145">IFERROR(I145*INDEX('PORTIFÓLIO'!$S$4:$S$433,MATCH($C145,'PORTIFÓLIO'!$C$4:$C$433,0)),"")</f>
        <v/>
      </c>
      <c r="L145" s="219" t="str">
        <f t="array" ref="L145">IFERROR(J145*INDEX('PORTIFÓLIO'!$S$4:$S$433,MATCH($C145,'PORTIFÓLIO'!$C$4:$C$433,0)),"")</f>
        <v/>
      </c>
      <c r="M145" s="227"/>
      <c r="N145" s="220"/>
      <c r="O145" s="220"/>
      <c r="P145" s="220"/>
      <c r="Q145" s="220"/>
      <c r="R145" s="220"/>
      <c r="S145" s="220"/>
      <c r="T145" s="220"/>
      <c r="U145" s="220"/>
      <c r="V145" s="220"/>
      <c r="W145" s="220"/>
    </row>
    <row r="146" ht="15.75" customHeight="1" outlineLevel="1">
      <c r="A146" s="211"/>
      <c r="B146" s="212"/>
      <c r="C146" s="213"/>
      <c r="D146" s="214" t="str">
        <f>IFERROR(VLOOKUP($C146,'PORTIFÓLIO'!C:V,2,0),"")</f>
        <v/>
      </c>
      <c r="E146" s="211" t="str">
        <f>IFERROR(VLOOKUP($C146,'PORTIFÓLIO'!C:V,3,0),"")</f>
        <v/>
      </c>
      <c r="F146" s="211" t="str">
        <f>IFERROR(VLOOKUP($C146,'PORTIFÓLIO'!C:V,4,0),"")</f>
        <v/>
      </c>
      <c r="G146" s="215" t="str">
        <f>IFERROR(VLOOKUP($C146,'PORTIFÓLIO'!C:V,5,0),"")</f>
        <v/>
      </c>
      <c r="H146" s="254" t="str">
        <f t="array" ref="H146">IFERROR(INDEX('PORTIFÓLIO'!$H$4:$H$433,MATCH($C146,'PORTIFÓLIO'!$C$4:$C$433,0)),"")</f>
        <v/>
      </c>
      <c r="I146" s="256"/>
      <c r="J146" s="218">
        <f t="shared" si="16"/>
        <v>0</v>
      </c>
      <c r="K146" s="219" t="str">
        <f t="array" ref="K146">IFERROR(I146*INDEX('PORTIFÓLIO'!$S$4:$S$433,MATCH($C146,'PORTIFÓLIO'!$C$4:$C$433,0)),"")</f>
        <v/>
      </c>
      <c r="L146" s="219" t="str">
        <f t="array" ref="L146">IFERROR(J146*INDEX('PORTIFÓLIO'!$S$4:$S$433,MATCH($C146,'PORTIFÓLIO'!$C$4:$C$433,0)),"")</f>
        <v/>
      </c>
      <c r="M146" s="227"/>
      <c r="N146" s="220"/>
      <c r="O146" s="220"/>
      <c r="P146" s="220"/>
      <c r="Q146" s="220"/>
      <c r="R146" s="220"/>
      <c r="S146" s="220"/>
      <c r="T146" s="220"/>
      <c r="U146" s="220"/>
      <c r="V146" s="220"/>
      <c r="W146" s="220"/>
    </row>
    <row r="147" ht="15.75" customHeight="1" outlineLevel="1">
      <c r="A147" s="211"/>
      <c r="B147" s="227"/>
      <c r="C147" s="211"/>
      <c r="D147" s="214" t="str">
        <f>IFERROR(VLOOKUP($C147,'PORTIFÓLIO'!C:V,2,0),"")</f>
        <v/>
      </c>
      <c r="E147" s="211" t="str">
        <f>IFERROR(VLOOKUP($C147,'PORTIFÓLIO'!C:V,3,0),"")</f>
        <v/>
      </c>
      <c r="F147" s="211" t="str">
        <f>IFERROR(VLOOKUP($C147,'PORTIFÓLIO'!C:V,4,0),"")</f>
        <v/>
      </c>
      <c r="G147" s="215" t="str">
        <f>IFERROR(VLOOKUP($C147,'PORTIFÓLIO'!C:V,5,0),"")</f>
        <v/>
      </c>
      <c r="H147" s="254" t="str">
        <f t="array" ref="H147">IFERROR(INDEX('PORTIFÓLIO'!$H$4:$H$433,MATCH($C147,'PORTIFÓLIO'!$C$4:$C$433,0)),"")</f>
        <v/>
      </c>
      <c r="I147" s="256"/>
      <c r="J147" s="218"/>
      <c r="K147" s="219" t="str">
        <f t="array" ref="K147">IFERROR(I147*INDEX('PORTIFÓLIO'!$S$4:$S$433,MATCH($C147,'PORTIFÓLIO'!$C$4:$C$433,0)),"")</f>
        <v/>
      </c>
      <c r="L147" s="219" t="str">
        <f t="array" ref="L147">IFERROR(J147*INDEX('PORTIFÓLIO'!$S$4:$S$433,MATCH($C147,'PORTIFÓLIO'!$C$4:$C$433,0)),"")</f>
        <v/>
      </c>
      <c r="M147" s="227"/>
      <c r="N147" s="220"/>
      <c r="O147" s="220"/>
      <c r="P147" s="220"/>
      <c r="Q147" s="220"/>
      <c r="R147" s="220"/>
      <c r="S147" s="220"/>
      <c r="T147" s="220"/>
      <c r="U147" s="220"/>
      <c r="V147" s="220"/>
      <c r="W147" s="220"/>
    </row>
    <row r="148" ht="15.75" customHeight="1">
      <c r="A148" s="221" t="s">
        <v>1192</v>
      </c>
      <c r="B148" s="197"/>
      <c r="C148" s="196"/>
      <c r="D148" s="198"/>
      <c r="E148" s="196"/>
      <c r="F148" s="196"/>
      <c r="G148" s="199"/>
      <c r="H148" s="199"/>
      <c r="I148" s="252"/>
      <c r="J148" s="202"/>
      <c r="K148" s="203">
        <f t="shared" ref="K148:L148" si="17">SUBTOTAL(9,K149:K162)</f>
        <v>57.654196</v>
      </c>
      <c r="L148" s="203">
        <f t="shared" si="17"/>
        <v>5938.382188</v>
      </c>
      <c r="M148" s="238"/>
      <c r="N148" s="177"/>
      <c r="O148" s="177"/>
      <c r="P148" s="177"/>
      <c r="Q148" s="177"/>
      <c r="R148" s="177"/>
      <c r="S148" s="177"/>
      <c r="T148" s="177"/>
      <c r="U148" s="177"/>
      <c r="V148" s="177"/>
      <c r="W148" s="177"/>
    </row>
    <row r="149" ht="15.75" customHeight="1" outlineLevel="1">
      <c r="A149" s="191"/>
      <c r="B149" s="204" t="s">
        <v>0</v>
      </c>
      <c r="C149" s="191" t="s">
        <v>530</v>
      </c>
      <c r="D149" s="205" t="str">
        <f>IFERROR(VLOOKUP($C149,'PORTIFÓLIO'!C:V,2,0),"")</f>
        <v>AZOXISTROBINA + TEBUCONAZOL</v>
      </c>
      <c r="E149" s="190" t="str">
        <f>IFERROR(VLOOKUP($C149,'PORTIFÓLIO'!C:V,3,0),"")</f>
        <v>125 + 240</v>
      </c>
      <c r="F149" s="190" t="str">
        <f>IFERROR(VLOOKUP($C149,'PORTIFÓLIO'!C:V,4,0),"")</f>
        <v>L</v>
      </c>
      <c r="G149" s="223" t="str">
        <f>IFERROR(VLOOKUP($C149,'PORTIFÓLIO'!C:V,5,0),"")</f>
        <v>📄 Ver bula</v>
      </c>
      <c r="H149" s="247">
        <f t="array" ref="H149">IFERROR(INDEX('PORTIFÓLIO'!$H$4:$H$433,MATCH($C149,'PORTIFÓLIO'!$C$4:$C$433,0)),"")</f>
        <v>0.5</v>
      </c>
      <c r="I149" s="253">
        <v>0.5</v>
      </c>
      <c r="J149" s="209">
        <f t="shared" ref="J149:J163" si="18">I149*$B$2</f>
        <v>51.5</v>
      </c>
      <c r="K149" s="210">
        <f t="array" ref="K149">IFERROR(I149*INDEX('PORTIFÓLIO'!$S$4:$S$433,MATCH($C149,'PORTIFÓLIO'!$C$4:$C$433,0)),"")</f>
        <v>18.34128</v>
      </c>
      <c r="L149" s="210">
        <f t="array" ref="L149">IFERROR(J149*INDEX('PORTIFÓLIO'!$S$4:$S$433,MATCH($C149,'PORTIFÓLIO'!$C$4:$C$433,0)),"")</f>
        <v>1889.15184</v>
      </c>
      <c r="M149" s="238"/>
      <c r="N149" s="177"/>
      <c r="O149" s="177"/>
      <c r="P149" s="177"/>
      <c r="Q149" s="177"/>
      <c r="R149" s="177"/>
      <c r="S149" s="177"/>
      <c r="T149" s="177"/>
      <c r="U149" s="177"/>
      <c r="V149" s="177"/>
      <c r="W149" s="177"/>
    </row>
    <row r="150" ht="15.75" customHeight="1" outlineLevel="1">
      <c r="A150" s="190"/>
      <c r="B150" s="204" t="s">
        <v>0</v>
      </c>
      <c r="C150" s="191" t="s">
        <v>572</v>
      </c>
      <c r="D150" s="205" t="str">
        <f>IFERROR(VLOOKUP($C150,'PORTIFÓLIO'!C:V,2,0),"")</f>
        <v>CLOROTALONIL</v>
      </c>
      <c r="E150" s="190">
        <f>IFERROR(VLOOKUP($C150,'PORTIFÓLIO'!C:V,3,0),"")</f>
        <v>720</v>
      </c>
      <c r="F150" s="190" t="str">
        <f>IFERROR(VLOOKUP($C150,'PORTIFÓLIO'!C:V,4,0),"")</f>
        <v>KG</v>
      </c>
      <c r="G150" s="223" t="str">
        <f>IFERROR(VLOOKUP($C150,'PORTIFÓLIO'!C:V,5,0),"")</f>
        <v>📄 Ver bula</v>
      </c>
      <c r="H150" s="247">
        <f t="array" ref="H150">IFERROR(INDEX('PORTIFÓLIO'!$H$4:$H$433,MATCH($C150,'PORTIFÓLIO'!$C$4:$C$433,0)),"")</f>
        <v>1.5</v>
      </c>
      <c r="I150" s="253">
        <v>1.5</v>
      </c>
      <c r="J150" s="209">
        <f t="shared" si="18"/>
        <v>154.5</v>
      </c>
      <c r="K150" s="210">
        <f t="array" ref="K150">IFERROR(I150*INDEX('PORTIFÓLIO'!$S$4:$S$433,MATCH($C150,'PORTIFÓLIO'!$C$4:$C$433,0)),"")</f>
        <v>36.34416</v>
      </c>
      <c r="L150" s="210">
        <f t="array" ref="L150">IFERROR(J150*INDEX('PORTIFÓLIO'!$S$4:$S$433,MATCH($C150,'PORTIFÓLIO'!$C$4:$C$433,0)),"")</f>
        <v>3743.44848</v>
      </c>
      <c r="M150" s="238"/>
      <c r="N150" s="177"/>
      <c r="O150" s="177"/>
      <c r="P150" s="177"/>
      <c r="Q150" s="177"/>
      <c r="R150" s="177"/>
      <c r="S150" s="177"/>
      <c r="T150" s="177"/>
      <c r="U150" s="177"/>
      <c r="V150" s="177"/>
      <c r="W150" s="177"/>
    </row>
    <row r="151" ht="15.75" customHeight="1" outlineLevel="1">
      <c r="A151" s="190"/>
      <c r="B151" s="204" t="s">
        <v>6</v>
      </c>
      <c r="C151" s="191" t="s">
        <v>351</v>
      </c>
      <c r="D151" s="205" t="str">
        <f>IFERROR(VLOOKUP($C151,'PORTIFÓLIO'!C:V,2,0),"")</f>
        <v>ÉSTER METILICO DE OLEO DE SOJA</v>
      </c>
      <c r="E151" s="190">
        <f>IFERROR(VLOOKUP($C151,'PORTIFÓLIO'!C:V,3,0),"")</f>
        <v>720</v>
      </c>
      <c r="F151" s="190" t="str">
        <f>IFERROR(VLOOKUP($C151,'PORTIFÓLIO'!C:V,4,0),"")</f>
        <v>L</v>
      </c>
      <c r="G151" s="223" t="str">
        <f>IFERROR(VLOOKUP($C151,'PORTIFÓLIO'!C:V,5,0),"")</f>
        <v>📄 Ver bula</v>
      </c>
      <c r="H151" s="247">
        <f t="array" ref="H151">IFERROR(INDEX('PORTIFÓLIO'!$H$4:$H$433,MATCH($C151,'PORTIFÓLIO'!$C$4:$C$433,0)),"")</f>
        <v>0.08</v>
      </c>
      <c r="I151" s="253">
        <v>0.2</v>
      </c>
      <c r="J151" s="209">
        <f t="shared" si="18"/>
        <v>20.6</v>
      </c>
      <c r="K151" s="210">
        <f t="array" ref="K151">IFERROR(I151*INDEX('PORTIFÓLIO'!$S$4:$S$433,MATCH($C151,'PORTIFÓLIO'!$C$4:$C$433,0)),"")</f>
        <v>2.968756</v>
      </c>
      <c r="L151" s="210">
        <f t="array" ref="L151">IFERROR(J151*INDEX('PORTIFÓLIO'!$S$4:$S$433,MATCH($C151,'PORTIFÓLIO'!$C$4:$C$433,0)),"")</f>
        <v>305.781868</v>
      </c>
      <c r="M151" s="238"/>
      <c r="N151" s="177"/>
      <c r="O151" s="177"/>
      <c r="P151" s="177"/>
      <c r="Q151" s="177"/>
      <c r="R151" s="177"/>
      <c r="S151" s="177"/>
      <c r="T151" s="177"/>
      <c r="U151" s="177"/>
      <c r="V151" s="177"/>
      <c r="W151" s="177"/>
    </row>
    <row r="152" ht="15.75" customHeight="1" outlineLevel="1">
      <c r="A152" s="211"/>
      <c r="B152" s="212"/>
      <c r="C152" s="213"/>
      <c r="D152" s="214" t="str">
        <f>IFERROR(VLOOKUP($C152,'PORTIFÓLIO'!C:V,2,0),"")</f>
        <v/>
      </c>
      <c r="E152" s="211" t="str">
        <f>IFERROR(VLOOKUP($C152,'PORTIFÓLIO'!C:V,3,0),"")</f>
        <v/>
      </c>
      <c r="F152" s="211" t="str">
        <f>IFERROR(VLOOKUP($C152,'PORTIFÓLIO'!C:V,4,0),"")</f>
        <v/>
      </c>
      <c r="G152" s="215" t="str">
        <f>IFERROR(VLOOKUP($C152,'PORTIFÓLIO'!C:V,5,0),"")</f>
        <v/>
      </c>
      <c r="H152" s="254" t="str">
        <f t="array" ref="H152">IFERROR(INDEX('PORTIFÓLIO'!$H$4:$H$433,MATCH($C152,'PORTIFÓLIO'!$C$4:$C$433,0)),"")</f>
        <v/>
      </c>
      <c r="I152" s="256"/>
      <c r="J152" s="218">
        <f t="shared" si="18"/>
        <v>0</v>
      </c>
      <c r="K152" s="219" t="str">
        <f t="array" ref="K152">IFERROR(I152*INDEX('PORTIFÓLIO'!$S$4:$S$433,MATCH($C152,'PORTIFÓLIO'!$C$4:$C$433,0)),"")</f>
        <v/>
      </c>
      <c r="L152" s="219" t="str">
        <f t="array" ref="L152">IFERROR(J152*INDEX('PORTIFÓLIO'!$S$4:$S$433,MATCH($C152,'PORTIFÓLIO'!$C$4:$C$433,0)),"")</f>
        <v/>
      </c>
      <c r="M152" s="227"/>
      <c r="N152" s="220"/>
      <c r="O152" s="220"/>
      <c r="P152" s="220"/>
      <c r="Q152" s="220"/>
      <c r="R152" s="220"/>
      <c r="S152" s="220"/>
      <c r="T152" s="220"/>
      <c r="U152" s="220"/>
      <c r="V152" s="220"/>
      <c r="W152" s="220"/>
    </row>
    <row r="153" ht="15.75" customHeight="1" outlineLevel="1">
      <c r="A153" s="211"/>
      <c r="B153" s="212"/>
      <c r="C153" s="213"/>
      <c r="D153" s="214" t="str">
        <f>IFERROR(VLOOKUP($C153,'PORTIFÓLIO'!C:V,2,0),"")</f>
        <v/>
      </c>
      <c r="E153" s="211" t="str">
        <f>IFERROR(VLOOKUP($C153,'PORTIFÓLIO'!C:V,3,0),"")</f>
        <v/>
      </c>
      <c r="F153" s="211" t="str">
        <f>IFERROR(VLOOKUP($C153,'PORTIFÓLIO'!C:V,4,0),"")</f>
        <v/>
      </c>
      <c r="G153" s="215" t="str">
        <f>IFERROR(VLOOKUP($C153,'PORTIFÓLIO'!C:V,5,0),"")</f>
        <v/>
      </c>
      <c r="H153" s="254" t="str">
        <f t="array" ref="H153">IFERROR(INDEX('PORTIFÓLIO'!$H$4:$H$433,MATCH($C153,'PORTIFÓLIO'!$C$4:$C$433,0)),"")</f>
        <v/>
      </c>
      <c r="I153" s="256"/>
      <c r="J153" s="218">
        <f t="shared" si="18"/>
        <v>0</v>
      </c>
      <c r="K153" s="219" t="str">
        <f t="array" ref="K153">IFERROR(I153*INDEX('PORTIFÓLIO'!$S$4:$S$433,MATCH($C153,'PORTIFÓLIO'!$C$4:$C$433,0)),"")</f>
        <v/>
      </c>
      <c r="L153" s="219" t="str">
        <f t="array" ref="L153">IFERROR(J153*INDEX('PORTIFÓLIO'!$S$4:$S$433,MATCH($C153,'PORTIFÓLIO'!$C$4:$C$433,0)),"")</f>
        <v/>
      </c>
      <c r="M153" s="227"/>
      <c r="N153" s="220"/>
      <c r="O153" s="220"/>
      <c r="P153" s="220"/>
      <c r="Q153" s="220"/>
      <c r="R153" s="220"/>
      <c r="S153" s="220"/>
      <c r="T153" s="220"/>
      <c r="U153" s="220"/>
      <c r="V153" s="220"/>
      <c r="W153" s="220"/>
    </row>
    <row r="154" ht="15.75" customHeight="1" outlineLevel="1">
      <c r="A154" s="211"/>
      <c r="B154" s="212"/>
      <c r="C154" s="213"/>
      <c r="D154" s="214" t="str">
        <f>IFERROR(VLOOKUP($C154,'PORTIFÓLIO'!C:V,2,0),"")</f>
        <v/>
      </c>
      <c r="E154" s="211" t="str">
        <f>IFERROR(VLOOKUP($C154,'PORTIFÓLIO'!C:V,3,0),"")</f>
        <v/>
      </c>
      <c r="F154" s="211" t="str">
        <f>IFERROR(VLOOKUP($C154,'PORTIFÓLIO'!C:V,4,0),"")</f>
        <v/>
      </c>
      <c r="G154" s="215" t="str">
        <f>IFERROR(VLOOKUP($C154,'PORTIFÓLIO'!C:V,5,0),"")</f>
        <v/>
      </c>
      <c r="H154" s="254" t="str">
        <f t="array" ref="H154">IFERROR(INDEX('PORTIFÓLIO'!$H$4:$H$433,MATCH($C154,'PORTIFÓLIO'!$C$4:$C$433,0)),"")</f>
        <v/>
      </c>
      <c r="I154" s="256"/>
      <c r="J154" s="218">
        <f t="shared" si="18"/>
        <v>0</v>
      </c>
      <c r="K154" s="219" t="str">
        <f t="array" ref="K154">IFERROR(I154*INDEX('PORTIFÓLIO'!$S$4:$S$433,MATCH($C154,'PORTIFÓLIO'!$C$4:$C$433,0)),"")</f>
        <v/>
      </c>
      <c r="L154" s="219" t="str">
        <f t="array" ref="L154">IFERROR(J154*INDEX('PORTIFÓLIO'!$S$4:$S$433,MATCH($C154,'PORTIFÓLIO'!$C$4:$C$433,0)),"")</f>
        <v/>
      </c>
      <c r="M154" s="227"/>
      <c r="N154" s="220"/>
      <c r="O154" s="220"/>
      <c r="P154" s="220"/>
      <c r="Q154" s="220"/>
      <c r="R154" s="220"/>
      <c r="S154" s="220"/>
      <c r="T154" s="220"/>
      <c r="U154" s="220"/>
      <c r="V154" s="220"/>
      <c r="W154" s="220"/>
    </row>
    <row r="155" ht="15.75" customHeight="1" outlineLevel="1">
      <c r="A155" s="211"/>
      <c r="B155" s="212"/>
      <c r="C155" s="213"/>
      <c r="D155" s="214" t="str">
        <f>IFERROR(VLOOKUP($C155,'PORTIFÓLIO'!C:V,2,0),"")</f>
        <v/>
      </c>
      <c r="E155" s="211" t="str">
        <f>IFERROR(VLOOKUP($C155,'PORTIFÓLIO'!C:V,3,0),"")</f>
        <v/>
      </c>
      <c r="F155" s="211" t="str">
        <f>IFERROR(VLOOKUP($C155,'PORTIFÓLIO'!C:V,4,0),"")</f>
        <v/>
      </c>
      <c r="G155" s="215" t="str">
        <f>IFERROR(VLOOKUP($C155,'PORTIFÓLIO'!C:V,5,0),"")</f>
        <v/>
      </c>
      <c r="H155" s="254" t="str">
        <f t="array" ref="H155">IFERROR(INDEX('PORTIFÓLIO'!$H$4:$H$433,MATCH($C155,'PORTIFÓLIO'!$C$4:$C$433,0)),"")</f>
        <v/>
      </c>
      <c r="I155" s="256"/>
      <c r="J155" s="218">
        <f t="shared" si="18"/>
        <v>0</v>
      </c>
      <c r="K155" s="219" t="str">
        <f t="array" ref="K155">IFERROR(I155*INDEX('PORTIFÓLIO'!$S$4:$S$433,MATCH($C155,'PORTIFÓLIO'!$C$4:$C$433,0)),"")</f>
        <v/>
      </c>
      <c r="L155" s="219" t="str">
        <f t="array" ref="L155">IFERROR(J155*INDEX('PORTIFÓLIO'!$S$4:$S$433,MATCH($C155,'PORTIFÓLIO'!$C$4:$C$433,0)),"")</f>
        <v/>
      </c>
      <c r="M155" s="227"/>
      <c r="N155" s="220"/>
      <c r="O155" s="220"/>
      <c r="P155" s="220"/>
      <c r="Q155" s="220"/>
      <c r="R155" s="220"/>
      <c r="S155" s="220"/>
      <c r="T155" s="220"/>
      <c r="U155" s="220"/>
      <c r="V155" s="220"/>
      <c r="W155" s="220"/>
    </row>
    <row r="156" ht="15.75" customHeight="1" outlineLevel="1">
      <c r="A156" s="211"/>
      <c r="B156" s="212"/>
      <c r="C156" s="213"/>
      <c r="D156" s="214" t="str">
        <f>IFERROR(VLOOKUP($C156,'PORTIFÓLIO'!C:V,2,0),"")</f>
        <v/>
      </c>
      <c r="E156" s="211" t="str">
        <f>IFERROR(VLOOKUP($C156,'PORTIFÓLIO'!C:V,3,0),"")</f>
        <v/>
      </c>
      <c r="F156" s="211" t="str">
        <f>IFERROR(VLOOKUP($C156,'PORTIFÓLIO'!C:V,4,0),"")</f>
        <v/>
      </c>
      <c r="G156" s="215" t="str">
        <f>IFERROR(VLOOKUP($C156,'PORTIFÓLIO'!C:V,5,0),"")</f>
        <v/>
      </c>
      <c r="H156" s="254" t="str">
        <f t="array" ref="H156">IFERROR(INDEX('PORTIFÓLIO'!$H$4:$H$433,MATCH($C156,'PORTIFÓLIO'!$C$4:$C$433,0)),"")</f>
        <v/>
      </c>
      <c r="I156" s="256"/>
      <c r="J156" s="218">
        <f t="shared" si="18"/>
        <v>0</v>
      </c>
      <c r="K156" s="219" t="str">
        <f t="array" ref="K156">IFERROR(I156*INDEX('PORTIFÓLIO'!$S$4:$S$433,MATCH($C156,'PORTIFÓLIO'!$C$4:$C$433,0)),"")</f>
        <v/>
      </c>
      <c r="L156" s="219" t="str">
        <f t="array" ref="L156">IFERROR(J156*INDEX('PORTIFÓLIO'!$S$4:$S$433,MATCH($C156,'PORTIFÓLIO'!$C$4:$C$433,0)),"")</f>
        <v/>
      </c>
      <c r="M156" s="227"/>
      <c r="N156" s="220"/>
      <c r="O156" s="220"/>
      <c r="P156" s="220"/>
      <c r="Q156" s="220"/>
      <c r="R156" s="220"/>
      <c r="S156" s="220"/>
      <c r="T156" s="220"/>
      <c r="U156" s="220"/>
      <c r="V156" s="220"/>
      <c r="W156" s="220"/>
    </row>
    <row r="157" ht="15.75" customHeight="1" outlineLevel="1">
      <c r="A157" s="211"/>
      <c r="B157" s="212"/>
      <c r="C157" s="213"/>
      <c r="D157" s="214" t="str">
        <f>IFERROR(VLOOKUP($C157,'PORTIFÓLIO'!C:V,2,0),"")</f>
        <v/>
      </c>
      <c r="E157" s="211" t="str">
        <f>IFERROR(VLOOKUP($C157,'PORTIFÓLIO'!C:V,3,0),"")</f>
        <v/>
      </c>
      <c r="F157" s="211" t="str">
        <f>IFERROR(VLOOKUP($C157,'PORTIFÓLIO'!C:V,4,0),"")</f>
        <v/>
      </c>
      <c r="G157" s="215" t="str">
        <f>IFERROR(VLOOKUP($C157,'PORTIFÓLIO'!C:V,5,0),"")</f>
        <v/>
      </c>
      <c r="H157" s="254" t="str">
        <f t="array" ref="H157">IFERROR(INDEX('PORTIFÓLIO'!$H$4:$H$433,MATCH($C157,'PORTIFÓLIO'!$C$4:$C$433,0)),"")</f>
        <v/>
      </c>
      <c r="I157" s="255"/>
      <c r="J157" s="218">
        <f t="shared" si="18"/>
        <v>0</v>
      </c>
      <c r="K157" s="219" t="str">
        <f t="array" ref="K157">IFERROR(I157*INDEX('PORTIFÓLIO'!$S$4:$S$433,MATCH($C157,'PORTIFÓLIO'!$C$4:$C$433,0)),"")</f>
        <v/>
      </c>
      <c r="L157" s="219" t="str">
        <f t="array" ref="L157">IFERROR(J157*INDEX('PORTIFÓLIO'!$S$4:$S$433,MATCH($C157,'PORTIFÓLIO'!$C$4:$C$433,0)),"")</f>
        <v/>
      </c>
      <c r="M157" s="227"/>
      <c r="N157" s="220"/>
      <c r="O157" s="220"/>
      <c r="P157" s="220"/>
      <c r="Q157" s="220"/>
      <c r="R157" s="220"/>
      <c r="S157" s="220"/>
      <c r="T157" s="220"/>
      <c r="U157" s="220"/>
      <c r="V157" s="220"/>
      <c r="W157" s="220"/>
    </row>
    <row r="158" ht="15.75" customHeight="1" outlineLevel="1">
      <c r="A158" s="211"/>
      <c r="B158" s="212"/>
      <c r="C158" s="213"/>
      <c r="D158" s="214" t="str">
        <f>IFERROR(VLOOKUP($C158,'PORTIFÓLIO'!C:V,2,0),"")</f>
        <v/>
      </c>
      <c r="E158" s="211" t="str">
        <f>IFERROR(VLOOKUP($C158,'PORTIFÓLIO'!C:V,3,0),"")</f>
        <v/>
      </c>
      <c r="F158" s="211" t="str">
        <f>IFERROR(VLOOKUP($C158,'PORTIFÓLIO'!C:V,4,0),"")</f>
        <v/>
      </c>
      <c r="G158" s="215" t="str">
        <f>IFERROR(VLOOKUP($C158,'PORTIFÓLIO'!C:V,5,0),"")</f>
        <v/>
      </c>
      <c r="H158" s="254" t="str">
        <f t="array" ref="H158">IFERROR(INDEX('PORTIFÓLIO'!$H$4:$H$433,MATCH($C158,'PORTIFÓLIO'!$C$4:$C$433,0)),"")</f>
        <v/>
      </c>
      <c r="I158" s="256"/>
      <c r="J158" s="218">
        <f t="shared" si="18"/>
        <v>0</v>
      </c>
      <c r="K158" s="219" t="str">
        <f t="array" ref="K158">IFERROR(I158*INDEX('PORTIFÓLIO'!$S$4:$S$433,MATCH($C158,'PORTIFÓLIO'!$C$4:$C$433,0)),"")</f>
        <v/>
      </c>
      <c r="L158" s="219" t="str">
        <f t="array" ref="L158">IFERROR(J158*INDEX('PORTIFÓLIO'!$S$4:$S$433,MATCH($C158,'PORTIFÓLIO'!$C$4:$C$433,0)),"")</f>
        <v/>
      </c>
      <c r="M158" s="227"/>
      <c r="N158" s="220"/>
      <c r="O158" s="220"/>
      <c r="P158" s="220"/>
      <c r="Q158" s="220"/>
      <c r="R158" s="220"/>
      <c r="S158" s="220"/>
      <c r="T158" s="220"/>
      <c r="U158" s="220"/>
      <c r="V158" s="220"/>
      <c r="W158" s="220"/>
    </row>
    <row r="159" ht="15.75" customHeight="1" outlineLevel="1">
      <c r="A159" s="211"/>
      <c r="B159" s="212"/>
      <c r="C159" s="213"/>
      <c r="D159" s="214" t="str">
        <f>IFERROR(VLOOKUP($C159,'PORTIFÓLIO'!C:V,2,0),"")</f>
        <v/>
      </c>
      <c r="E159" s="211" t="str">
        <f>IFERROR(VLOOKUP($C159,'PORTIFÓLIO'!C:V,3,0),"")</f>
        <v/>
      </c>
      <c r="F159" s="211" t="str">
        <f>IFERROR(VLOOKUP($C159,'PORTIFÓLIO'!C:V,4,0),"")</f>
        <v/>
      </c>
      <c r="G159" s="215" t="str">
        <f>IFERROR(VLOOKUP($C159,'PORTIFÓLIO'!C:V,5,0),"")</f>
        <v/>
      </c>
      <c r="H159" s="254" t="str">
        <f t="array" ref="H159">IFERROR(INDEX('PORTIFÓLIO'!$H$4:$H$433,MATCH($C159,'PORTIFÓLIO'!$C$4:$C$433,0)),"")</f>
        <v/>
      </c>
      <c r="I159" s="256"/>
      <c r="J159" s="218">
        <f t="shared" si="18"/>
        <v>0</v>
      </c>
      <c r="K159" s="219" t="str">
        <f t="array" ref="K159">IFERROR(I159*INDEX('PORTIFÓLIO'!$S$4:$S$433,MATCH($C159,'PORTIFÓLIO'!$C$4:$C$433,0)),"")</f>
        <v/>
      </c>
      <c r="L159" s="219" t="str">
        <f t="array" ref="L159">IFERROR(J159*INDEX('PORTIFÓLIO'!$S$4:$S$433,MATCH($C159,'PORTIFÓLIO'!$C$4:$C$433,0)),"")</f>
        <v/>
      </c>
      <c r="M159" s="227"/>
      <c r="N159" s="220"/>
      <c r="O159" s="220"/>
      <c r="P159" s="220"/>
      <c r="Q159" s="220"/>
      <c r="R159" s="220"/>
      <c r="S159" s="220"/>
      <c r="T159" s="220"/>
      <c r="U159" s="220"/>
      <c r="V159" s="220"/>
      <c r="W159" s="220"/>
    </row>
    <row r="160" ht="15.75" customHeight="1" outlineLevel="1">
      <c r="A160" s="211"/>
      <c r="B160" s="212"/>
      <c r="C160" s="213"/>
      <c r="D160" s="214" t="str">
        <f>IFERROR(VLOOKUP($C160,'PORTIFÓLIO'!C:V,2,0),"")</f>
        <v/>
      </c>
      <c r="E160" s="211" t="str">
        <f>IFERROR(VLOOKUP($C160,'PORTIFÓLIO'!C:V,3,0),"")</f>
        <v/>
      </c>
      <c r="F160" s="211" t="str">
        <f>IFERROR(VLOOKUP($C160,'PORTIFÓLIO'!C:V,4,0),"")</f>
        <v/>
      </c>
      <c r="G160" s="215" t="str">
        <f>IFERROR(VLOOKUP($C160,'PORTIFÓLIO'!C:V,5,0),"")</f>
        <v/>
      </c>
      <c r="H160" s="254" t="str">
        <f t="array" ref="H160">IFERROR(INDEX('PORTIFÓLIO'!$H$4:$H$433,MATCH($C160,'PORTIFÓLIO'!$C$4:$C$433,0)),"")</f>
        <v/>
      </c>
      <c r="I160" s="256"/>
      <c r="J160" s="218">
        <f t="shared" si="18"/>
        <v>0</v>
      </c>
      <c r="K160" s="219" t="str">
        <f t="array" ref="K160">IFERROR(I160*INDEX('PORTIFÓLIO'!$S$4:$S$433,MATCH($C160,'PORTIFÓLIO'!$C$4:$C$433,0)),"")</f>
        <v/>
      </c>
      <c r="L160" s="219" t="str">
        <f t="array" ref="L160">IFERROR(J160*INDEX('PORTIFÓLIO'!$S$4:$S$433,MATCH($C160,'PORTIFÓLIO'!$C$4:$C$433,0)),"")</f>
        <v/>
      </c>
      <c r="M160" s="227"/>
      <c r="N160" s="220"/>
      <c r="O160" s="220"/>
      <c r="P160" s="220"/>
      <c r="Q160" s="220"/>
      <c r="R160" s="220"/>
      <c r="S160" s="220"/>
      <c r="T160" s="220"/>
      <c r="U160" s="220"/>
      <c r="V160" s="220"/>
      <c r="W160" s="220"/>
    </row>
    <row r="161" ht="15.75" customHeight="1" outlineLevel="1">
      <c r="A161" s="211"/>
      <c r="B161" s="212"/>
      <c r="C161" s="213"/>
      <c r="D161" s="214" t="str">
        <f>IFERROR(VLOOKUP($C161,'PORTIFÓLIO'!C:V,2,0),"")</f>
        <v/>
      </c>
      <c r="E161" s="211" t="str">
        <f>IFERROR(VLOOKUP($C161,'PORTIFÓLIO'!C:V,3,0),"")</f>
        <v/>
      </c>
      <c r="F161" s="211" t="str">
        <f>IFERROR(VLOOKUP($C161,'PORTIFÓLIO'!C:V,4,0),"")</f>
        <v/>
      </c>
      <c r="G161" s="215" t="str">
        <f>IFERROR(VLOOKUP($C161,'PORTIFÓLIO'!C:V,5,0),"")</f>
        <v/>
      </c>
      <c r="H161" s="254" t="str">
        <f t="array" ref="H161">IFERROR(INDEX('PORTIFÓLIO'!$H$4:$H$433,MATCH($C161,'PORTIFÓLIO'!$C$4:$C$433,0)),"")</f>
        <v/>
      </c>
      <c r="I161" s="256"/>
      <c r="J161" s="218">
        <f t="shared" si="18"/>
        <v>0</v>
      </c>
      <c r="K161" s="219" t="str">
        <f t="array" ref="K161">IFERROR(I161*INDEX('PORTIFÓLIO'!$S$4:$S$433,MATCH($C161,'PORTIFÓLIO'!$C$4:$C$433,0)),"")</f>
        <v/>
      </c>
      <c r="L161" s="219" t="str">
        <f t="array" ref="L161">IFERROR(J161*INDEX('PORTIFÓLIO'!$S$4:$S$433,MATCH($C161,'PORTIFÓLIO'!$C$4:$C$433,0)),"")</f>
        <v/>
      </c>
      <c r="M161" s="227"/>
      <c r="N161" s="220"/>
      <c r="O161" s="220"/>
      <c r="P161" s="220"/>
      <c r="Q161" s="220"/>
      <c r="R161" s="220"/>
      <c r="S161" s="220"/>
      <c r="T161" s="220"/>
      <c r="U161" s="220"/>
      <c r="V161" s="220"/>
      <c r="W161" s="220"/>
    </row>
    <row r="162" ht="15.75" customHeight="1" outlineLevel="1">
      <c r="A162" s="211"/>
      <c r="B162" s="212"/>
      <c r="C162" s="213"/>
      <c r="D162" s="214" t="str">
        <f>IFERROR(VLOOKUP($C162,'PORTIFÓLIO'!C:V,2,0),"")</f>
        <v/>
      </c>
      <c r="E162" s="211" t="str">
        <f>IFERROR(VLOOKUP($C162,'PORTIFÓLIO'!C:V,3,0),"")</f>
        <v/>
      </c>
      <c r="F162" s="211" t="str">
        <f>IFERROR(VLOOKUP($C162,'PORTIFÓLIO'!C:V,4,0),"")</f>
        <v/>
      </c>
      <c r="G162" s="215" t="str">
        <f>IFERROR(VLOOKUP($C162,'PORTIFÓLIO'!C:V,5,0),"")</f>
        <v/>
      </c>
      <c r="H162" s="254" t="str">
        <f t="array" ref="H162">IFERROR(INDEX('PORTIFÓLIO'!$H$4:$H$433,MATCH($C162,'PORTIFÓLIO'!$C$4:$C$433,0)),"")</f>
        <v/>
      </c>
      <c r="I162" s="256"/>
      <c r="J162" s="218">
        <f t="shared" si="18"/>
        <v>0</v>
      </c>
      <c r="K162" s="219" t="str">
        <f t="array" ref="K162">IFERROR(I162*INDEX('PORTIFÓLIO'!$S$4:$S$433,MATCH($C162,'PORTIFÓLIO'!$C$4:$C$433,0)),"")</f>
        <v/>
      </c>
      <c r="L162" s="219" t="str">
        <f t="array" ref="L162">IFERROR(J162*INDEX('PORTIFÓLIO'!$S$4:$S$433,MATCH($C162,'PORTIFÓLIO'!$C$4:$C$433,0)),"")</f>
        <v/>
      </c>
      <c r="M162" s="227"/>
      <c r="N162" s="220"/>
      <c r="O162" s="220"/>
      <c r="P162" s="220"/>
      <c r="Q162" s="220"/>
      <c r="R162" s="220"/>
      <c r="S162" s="220"/>
      <c r="T162" s="220"/>
      <c r="U162" s="220"/>
      <c r="V162" s="220"/>
      <c r="W162" s="220"/>
    </row>
    <row r="163" ht="15.75" customHeight="1" outlineLevel="1">
      <c r="A163" s="211"/>
      <c r="B163" s="212"/>
      <c r="C163" s="213"/>
      <c r="D163" s="214" t="str">
        <f>IFERROR(VLOOKUP($C163,'PORTIFÓLIO'!C:V,2,0),"")</f>
        <v/>
      </c>
      <c r="E163" s="211" t="str">
        <f>IFERROR(VLOOKUP($C163,'PORTIFÓLIO'!C:V,3,0),"")</f>
        <v/>
      </c>
      <c r="F163" s="211" t="str">
        <f>IFERROR(VLOOKUP($C163,'PORTIFÓLIO'!C:V,4,0),"")</f>
        <v/>
      </c>
      <c r="G163" s="215" t="str">
        <f>IFERROR(VLOOKUP($C163,'PORTIFÓLIO'!C:V,5,0),"")</f>
        <v/>
      </c>
      <c r="H163" s="254" t="str">
        <f t="array" ref="H163">IFERROR(INDEX('PORTIFÓLIO'!$H$4:$H$433,MATCH($C163,'PORTIFÓLIO'!$C$4:$C$433,0)),"")</f>
        <v/>
      </c>
      <c r="I163" s="256"/>
      <c r="J163" s="218">
        <f t="shared" si="18"/>
        <v>0</v>
      </c>
      <c r="K163" s="219" t="str">
        <f t="array" ref="K163">IFERROR(I163*INDEX('PORTIFÓLIO'!$S$4:$S$433,MATCH($C163,'PORTIFÓLIO'!$C$4:$C$433,0)),"")</f>
        <v/>
      </c>
      <c r="L163" s="219" t="str">
        <f t="array" ref="L163">IFERROR(J163*INDEX('PORTIFÓLIO'!$S$4:$S$433,MATCH($C163,'PORTIFÓLIO'!$C$4:$C$433,0)),"")</f>
        <v/>
      </c>
      <c r="M163" s="227"/>
      <c r="N163" s="220"/>
      <c r="O163" s="220"/>
      <c r="P163" s="220"/>
      <c r="Q163" s="220"/>
      <c r="R163" s="220"/>
      <c r="S163" s="220"/>
      <c r="T163" s="220"/>
      <c r="U163" s="220"/>
      <c r="V163" s="220"/>
      <c r="W163" s="220"/>
    </row>
    <row r="164" ht="15.75" customHeight="1" outlineLevel="1">
      <c r="A164" s="211"/>
      <c r="B164" s="227"/>
      <c r="C164" s="211"/>
      <c r="D164" s="214" t="str">
        <f>IFERROR(VLOOKUP($C164,'PORTIFÓLIO'!C:V,2,0),"")</f>
        <v/>
      </c>
      <c r="E164" s="211" t="str">
        <f>IFERROR(VLOOKUP($C164,'PORTIFÓLIO'!C:V,3,0),"")</f>
        <v/>
      </c>
      <c r="F164" s="211" t="str">
        <f>IFERROR(VLOOKUP($C164,'PORTIFÓLIO'!C:V,4,0),"")</f>
        <v/>
      </c>
      <c r="G164" s="215" t="str">
        <f>IFERROR(VLOOKUP($C164,'PORTIFÓLIO'!C:V,5,0),"")</f>
        <v/>
      </c>
      <c r="H164" s="254" t="str">
        <f t="array" ref="H164">IFERROR(INDEX('PORTIFÓLIO'!$H$4:$H$433,MATCH($C164,'PORTIFÓLIO'!$C$4:$C$433,0)),"")</f>
        <v/>
      </c>
      <c r="I164" s="256"/>
      <c r="J164" s="218"/>
      <c r="K164" s="219" t="str">
        <f t="array" ref="K164">IFERROR(I164*INDEX('PORTIFÓLIO'!$S$4:$S$433,MATCH($C164,'PORTIFÓLIO'!$C$4:$C$433,0)),"")</f>
        <v/>
      </c>
      <c r="L164" s="219" t="str">
        <f t="array" ref="L164">IFERROR(J164*INDEX('PORTIFÓLIO'!$S$4:$S$433,MATCH($C164,'PORTIFÓLIO'!$C$4:$C$433,0)),"")</f>
        <v/>
      </c>
      <c r="M164" s="227"/>
      <c r="N164" s="220"/>
      <c r="O164" s="220"/>
      <c r="P164" s="220"/>
      <c r="Q164" s="220"/>
      <c r="R164" s="220"/>
      <c r="S164" s="220"/>
      <c r="T164" s="220"/>
      <c r="U164" s="220"/>
      <c r="V164" s="220"/>
      <c r="W164" s="220"/>
    </row>
    <row r="165" ht="15.75" customHeight="1">
      <c r="A165" s="221" t="s">
        <v>1193</v>
      </c>
      <c r="B165" s="197"/>
      <c r="C165" s="196"/>
      <c r="D165" s="198"/>
      <c r="E165" s="196"/>
      <c r="F165" s="196"/>
      <c r="G165" s="199"/>
      <c r="H165" s="199"/>
      <c r="I165" s="252"/>
      <c r="J165" s="202"/>
      <c r="K165" s="203">
        <f t="shared" ref="K165:L165" si="19">SUBTOTAL(9,K166:K179)</f>
        <v>50.457316</v>
      </c>
      <c r="L165" s="203">
        <f t="shared" si="19"/>
        <v>5197.103548</v>
      </c>
      <c r="M165" s="238"/>
      <c r="N165" s="177"/>
      <c r="O165" s="177"/>
      <c r="P165" s="177"/>
      <c r="Q165" s="177"/>
      <c r="R165" s="177"/>
      <c r="S165" s="177"/>
      <c r="T165" s="177"/>
      <c r="U165" s="177"/>
      <c r="V165" s="177"/>
      <c r="W165" s="177"/>
    </row>
    <row r="166" ht="15.75" customHeight="1" outlineLevel="1">
      <c r="A166" s="191"/>
      <c r="B166" s="204" t="s">
        <v>1</v>
      </c>
      <c r="C166" s="191" t="s">
        <v>742</v>
      </c>
      <c r="D166" s="205" t="str">
        <f>IFERROR(VLOOKUP($C166,'PORTIFÓLIO'!C:V,2,0),"")</f>
        <v>DIQUATE</v>
      </c>
      <c r="E166" s="190">
        <f>IFERROR(VLOOKUP($C166,'PORTIFÓLIO'!C:V,3,0),"")</f>
        <v>200</v>
      </c>
      <c r="F166" s="190" t="str">
        <f>IFERROR(VLOOKUP($C166,'PORTIFÓLIO'!C:V,4,0),"")</f>
        <v>L</v>
      </c>
      <c r="G166" s="223" t="str">
        <f>IFERROR(VLOOKUP($C166,'PORTIFÓLIO'!C:V,5,0),"")</f>
        <v>📄 Ver bula</v>
      </c>
      <c r="H166" s="247">
        <f t="array" ref="H166">IFERROR(INDEX('PORTIFÓLIO'!$H$4:$H$433,MATCH($C166,'PORTIFÓLIO'!$C$4:$C$433,0)),"")</f>
        <v>2</v>
      </c>
      <c r="I166" s="253">
        <v>2.0</v>
      </c>
      <c r="J166" s="209">
        <f t="shared" ref="J166:J181" si="20">I166*$B$2</f>
        <v>206</v>
      </c>
      <c r="K166" s="210">
        <f t="array" ref="K166">IFERROR(I166*INDEX('PORTIFÓLIO'!$S$4:$S$433,MATCH($C166,'PORTIFÓLIO'!$C$4:$C$433,0)),"")</f>
        <v>47.48856</v>
      </c>
      <c r="L166" s="210">
        <f t="array" ref="L166">IFERROR(J166*INDEX('PORTIFÓLIO'!$S$4:$S$433,MATCH($C166,'PORTIFÓLIO'!$C$4:$C$433,0)),"")</f>
        <v>4891.32168</v>
      </c>
      <c r="M166" s="238"/>
      <c r="N166" s="177"/>
      <c r="O166" s="177"/>
      <c r="P166" s="177"/>
      <c r="Q166" s="177"/>
      <c r="R166" s="177"/>
      <c r="S166" s="177"/>
      <c r="T166" s="177"/>
      <c r="U166" s="177"/>
      <c r="V166" s="177"/>
      <c r="W166" s="177"/>
    </row>
    <row r="167" ht="15.75" customHeight="1" outlineLevel="1">
      <c r="A167" s="190"/>
      <c r="B167" s="204" t="s">
        <v>6</v>
      </c>
      <c r="C167" s="191" t="s">
        <v>351</v>
      </c>
      <c r="D167" s="205" t="str">
        <f>IFERROR(VLOOKUP($C167,'PORTIFÓLIO'!C:V,2,0),"")</f>
        <v>ÉSTER METILICO DE OLEO DE SOJA</v>
      </c>
      <c r="E167" s="190">
        <f>IFERROR(VLOOKUP($C167,'PORTIFÓLIO'!C:V,3,0),"")</f>
        <v>720</v>
      </c>
      <c r="F167" s="190" t="str">
        <f>IFERROR(VLOOKUP($C167,'PORTIFÓLIO'!C:V,4,0),"")</f>
        <v>L</v>
      </c>
      <c r="G167" s="223" t="str">
        <f>IFERROR(VLOOKUP($C167,'PORTIFÓLIO'!C:V,5,0),"")</f>
        <v>📄 Ver bula</v>
      </c>
      <c r="H167" s="247">
        <f t="array" ref="H167">IFERROR(INDEX('PORTIFÓLIO'!$H$4:$H$433,MATCH($C167,'PORTIFÓLIO'!$C$4:$C$433,0)),"")</f>
        <v>0.08</v>
      </c>
      <c r="I167" s="253">
        <v>0.2</v>
      </c>
      <c r="J167" s="209">
        <f t="shared" si="20"/>
        <v>20.6</v>
      </c>
      <c r="K167" s="210">
        <f t="array" ref="K167">IFERROR(I167*INDEX('PORTIFÓLIO'!$S$4:$S$433,MATCH($C167,'PORTIFÓLIO'!$C$4:$C$433,0)),"")</f>
        <v>2.968756</v>
      </c>
      <c r="L167" s="210">
        <f t="array" ref="L167">IFERROR(J167*INDEX('PORTIFÓLIO'!$S$4:$S$433,MATCH($C167,'PORTIFÓLIO'!$C$4:$C$433,0)),"")</f>
        <v>305.781868</v>
      </c>
      <c r="M167" s="238"/>
      <c r="N167" s="177"/>
      <c r="O167" s="177"/>
      <c r="P167" s="177"/>
      <c r="Q167" s="177"/>
      <c r="R167" s="177"/>
      <c r="S167" s="177"/>
      <c r="T167" s="177"/>
      <c r="U167" s="177"/>
      <c r="V167" s="177"/>
      <c r="W167" s="177"/>
    </row>
    <row r="168" ht="15.75" customHeight="1" outlineLevel="1">
      <c r="A168" s="211"/>
      <c r="B168" s="212"/>
      <c r="C168" s="213"/>
      <c r="D168" s="214" t="str">
        <f>IFERROR(VLOOKUP($C168,'PORTIFÓLIO'!C:V,2,0),"")</f>
        <v/>
      </c>
      <c r="E168" s="211" t="str">
        <f>IFERROR(VLOOKUP($C168,'PORTIFÓLIO'!C:V,3,0),"")</f>
        <v/>
      </c>
      <c r="F168" s="211" t="str">
        <f>IFERROR(VLOOKUP($C168,'PORTIFÓLIO'!C:V,4,0),"")</f>
        <v/>
      </c>
      <c r="G168" s="215" t="str">
        <f>IFERROR(VLOOKUP($C168,'PORTIFÓLIO'!C:V,5,0),"")</f>
        <v/>
      </c>
      <c r="H168" s="254" t="str">
        <f t="array" ref="H168">IFERROR(INDEX('PORTIFÓLIO'!$H$4:$H$433,MATCH($C168,'PORTIFÓLIO'!$C$4:$C$433,0)),"")</f>
        <v/>
      </c>
      <c r="I168" s="256"/>
      <c r="J168" s="218">
        <f t="shared" si="20"/>
        <v>0</v>
      </c>
      <c r="K168" s="219" t="str">
        <f t="array" ref="K168">IFERROR(I168*INDEX('PORTIFÓLIO'!$S$4:$S$433,MATCH($C168,'PORTIFÓLIO'!$C$4:$C$433,0)),"")</f>
        <v/>
      </c>
      <c r="L168" s="219" t="str">
        <f t="array" ref="L168">IFERROR(J168*INDEX('PORTIFÓLIO'!$S$4:$S$433,MATCH($C168,'PORTIFÓLIO'!$C$4:$C$433,0)),"")</f>
        <v/>
      </c>
      <c r="M168" s="227"/>
      <c r="N168" s="220"/>
      <c r="O168" s="220"/>
      <c r="P168" s="220"/>
      <c r="Q168" s="220"/>
      <c r="R168" s="220"/>
      <c r="S168" s="220"/>
      <c r="T168" s="220"/>
      <c r="U168" s="220"/>
      <c r="V168" s="220"/>
      <c r="W168" s="220"/>
    </row>
    <row r="169" ht="15.75" customHeight="1" outlineLevel="1">
      <c r="A169" s="211"/>
      <c r="B169" s="212"/>
      <c r="C169" s="213"/>
      <c r="D169" s="214" t="str">
        <f>IFERROR(VLOOKUP($C169,'PORTIFÓLIO'!C:V,2,0),"")</f>
        <v/>
      </c>
      <c r="E169" s="211" t="str">
        <f>IFERROR(VLOOKUP($C169,'PORTIFÓLIO'!C:V,3,0),"")</f>
        <v/>
      </c>
      <c r="F169" s="211" t="str">
        <f>IFERROR(VLOOKUP($C169,'PORTIFÓLIO'!C:V,4,0),"")</f>
        <v/>
      </c>
      <c r="G169" s="215" t="str">
        <f>IFERROR(VLOOKUP($C169,'PORTIFÓLIO'!C:V,5,0),"")</f>
        <v/>
      </c>
      <c r="H169" s="254" t="str">
        <f t="array" ref="H169">IFERROR(INDEX('PORTIFÓLIO'!$H$4:$H$433,MATCH($C169,'PORTIFÓLIO'!$C$4:$C$433,0)),"")</f>
        <v/>
      </c>
      <c r="I169" s="256"/>
      <c r="J169" s="218">
        <f t="shared" si="20"/>
        <v>0</v>
      </c>
      <c r="K169" s="219" t="str">
        <f t="array" ref="K169">IFERROR(I169*INDEX('PORTIFÓLIO'!$S$4:$S$433,MATCH($C169,'PORTIFÓLIO'!$C$4:$C$433,0)),"")</f>
        <v/>
      </c>
      <c r="L169" s="219" t="str">
        <f t="array" ref="L169">IFERROR(J169*INDEX('PORTIFÓLIO'!$S$4:$S$433,MATCH($C169,'PORTIFÓLIO'!$C$4:$C$433,0)),"")</f>
        <v/>
      </c>
      <c r="M169" s="227"/>
      <c r="N169" s="220"/>
      <c r="O169" s="220"/>
      <c r="P169" s="220"/>
      <c r="Q169" s="220"/>
      <c r="R169" s="220"/>
      <c r="S169" s="220"/>
      <c r="T169" s="220"/>
      <c r="U169" s="220"/>
      <c r="V169" s="220"/>
      <c r="W169" s="220"/>
    </row>
    <row r="170" ht="15.75" customHeight="1" outlineLevel="1">
      <c r="A170" s="211"/>
      <c r="B170" s="212"/>
      <c r="C170" s="213"/>
      <c r="D170" s="214" t="str">
        <f>IFERROR(VLOOKUP($C170,'PORTIFÓLIO'!C:V,2,0),"")</f>
        <v/>
      </c>
      <c r="E170" s="211" t="str">
        <f>IFERROR(VLOOKUP($C170,'PORTIFÓLIO'!C:V,3,0),"")</f>
        <v/>
      </c>
      <c r="F170" s="211" t="str">
        <f>IFERROR(VLOOKUP($C170,'PORTIFÓLIO'!C:V,4,0),"")</f>
        <v/>
      </c>
      <c r="G170" s="215" t="str">
        <f>IFERROR(VLOOKUP($C170,'PORTIFÓLIO'!C:V,5,0),"")</f>
        <v/>
      </c>
      <c r="H170" s="254" t="str">
        <f t="array" ref="H170">IFERROR(INDEX('PORTIFÓLIO'!$H$4:$H$433,MATCH($C170,'PORTIFÓLIO'!$C$4:$C$433,0)),"")</f>
        <v/>
      </c>
      <c r="I170" s="256"/>
      <c r="J170" s="218">
        <f t="shared" si="20"/>
        <v>0</v>
      </c>
      <c r="K170" s="219" t="str">
        <f t="array" ref="K170">IFERROR(I170*INDEX('PORTIFÓLIO'!$S$4:$S$433,MATCH($C170,'PORTIFÓLIO'!$C$4:$C$433,0)),"")</f>
        <v/>
      </c>
      <c r="L170" s="219" t="str">
        <f t="array" ref="L170">IFERROR(J170*INDEX('PORTIFÓLIO'!$S$4:$S$433,MATCH($C170,'PORTIFÓLIO'!$C$4:$C$433,0)),"")</f>
        <v/>
      </c>
      <c r="M170" s="227"/>
      <c r="N170" s="220"/>
      <c r="O170" s="220"/>
      <c r="P170" s="220"/>
      <c r="Q170" s="220"/>
      <c r="R170" s="220"/>
      <c r="S170" s="220"/>
      <c r="T170" s="220"/>
      <c r="U170" s="220"/>
      <c r="V170" s="220"/>
      <c r="W170" s="220"/>
    </row>
    <row r="171" ht="15.75" customHeight="1" outlineLevel="1">
      <c r="A171" s="211"/>
      <c r="B171" s="212"/>
      <c r="C171" s="213"/>
      <c r="D171" s="214" t="str">
        <f>IFERROR(VLOOKUP($C171,'PORTIFÓLIO'!C:V,2,0),"")</f>
        <v/>
      </c>
      <c r="E171" s="211" t="str">
        <f>IFERROR(VLOOKUP($C171,'PORTIFÓLIO'!C:V,3,0),"")</f>
        <v/>
      </c>
      <c r="F171" s="211" t="str">
        <f>IFERROR(VLOOKUP($C171,'PORTIFÓLIO'!C:V,4,0),"")</f>
        <v/>
      </c>
      <c r="G171" s="215" t="str">
        <f>IFERROR(VLOOKUP($C171,'PORTIFÓLIO'!C:V,5,0),"")</f>
        <v/>
      </c>
      <c r="H171" s="254" t="str">
        <f t="array" ref="H171">IFERROR(INDEX('PORTIFÓLIO'!$H$4:$H$433,MATCH($C171,'PORTIFÓLIO'!$C$4:$C$433,0)),"")</f>
        <v/>
      </c>
      <c r="I171" s="256"/>
      <c r="J171" s="218">
        <f t="shared" si="20"/>
        <v>0</v>
      </c>
      <c r="K171" s="219" t="str">
        <f t="array" ref="K171">IFERROR(I171*INDEX('PORTIFÓLIO'!$S$4:$S$433,MATCH($C171,'PORTIFÓLIO'!$C$4:$C$433,0)),"")</f>
        <v/>
      </c>
      <c r="L171" s="219" t="str">
        <f t="array" ref="L171">IFERROR(J171*INDEX('PORTIFÓLIO'!$S$4:$S$433,MATCH($C171,'PORTIFÓLIO'!$C$4:$C$433,0)),"")</f>
        <v/>
      </c>
      <c r="M171" s="227"/>
      <c r="N171" s="220"/>
      <c r="O171" s="220"/>
      <c r="P171" s="220"/>
      <c r="Q171" s="220"/>
      <c r="R171" s="220"/>
      <c r="S171" s="220"/>
      <c r="T171" s="220"/>
      <c r="U171" s="220"/>
      <c r="V171" s="220"/>
      <c r="W171" s="220"/>
    </row>
    <row r="172" ht="15.75" customHeight="1" outlineLevel="1">
      <c r="A172" s="211"/>
      <c r="B172" s="212"/>
      <c r="C172" s="213"/>
      <c r="D172" s="214" t="str">
        <f>IFERROR(VLOOKUP($C172,'PORTIFÓLIO'!C:V,2,0),"")</f>
        <v/>
      </c>
      <c r="E172" s="211" t="str">
        <f>IFERROR(VLOOKUP($C172,'PORTIFÓLIO'!C:V,3,0),"")</f>
        <v/>
      </c>
      <c r="F172" s="211" t="str">
        <f>IFERROR(VLOOKUP($C172,'PORTIFÓLIO'!C:V,4,0),"")</f>
        <v/>
      </c>
      <c r="G172" s="215" t="str">
        <f>IFERROR(VLOOKUP($C172,'PORTIFÓLIO'!C:V,5,0),"")</f>
        <v/>
      </c>
      <c r="H172" s="254" t="str">
        <f t="array" ref="H172">IFERROR(INDEX('PORTIFÓLIO'!$H$4:$H$433,MATCH($C172,'PORTIFÓLIO'!$C$4:$C$433,0)),"")</f>
        <v/>
      </c>
      <c r="I172" s="256"/>
      <c r="J172" s="218">
        <f t="shared" si="20"/>
        <v>0</v>
      </c>
      <c r="K172" s="219" t="str">
        <f t="array" ref="K172">IFERROR(I172*INDEX('PORTIFÓLIO'!$S$4:$S$433,MATCH($C172,'PORTIFÓLIO'!$C$4:$C$433,0)),"")</f>
        <v/>
      </c>
      <c r="L172" s="219" t="str">
        <f t="array" ref="L172">IFERROR(J172*INDEX('PORTIFÓLIO'!$S$4:$S$433,MATCH($C172,'PORTIFÓLIO'!$C$4:$C$433,0)),"")</f>
        <v/>
      </c>
      <c r="M172" s="227"/>
      <c r="N172" s="220"/>
      <c r="O172" s="220"/>
      <c r="P172" s="220"/>
      <c r="Q172" s="220"/>
      <c r="R172" s="220"/>
      <c r="S172" s="220"/>
      <c r="T172" s="220"/>
      <c r="U172" s="220"/>
      <c r="V172" s="220"/>
      <c r="W172" s="220"/>
    </row>
    <row r="173" ht="15.75" customHeight="1" outlineLevel="1">
      <c r="A173" s="211"/>
      <c r="B173" s="212"/>
      <c r="C173" s="213"/>
      <c r="D173" s="214" t="str">
        <f>IFERROR(VLOOKUP($C173,'PORTIFÓLIO'!C:V,2,0),"")</f>
        <v/>
      </c>
      <c r="E173" s="211" t="str">
        <f>IFERROR(VLOOKUP($C173,'PORTIFÓLIO'!C:V,3,0),"")</f>
        <v/>
      </c>
      <c r="F173" s="211" t="str">
        <f>IFERROR(VLOOKUP($C173,'PORTIFÓLIO'!C:V,4,0),"")</f>
        <v/>
      </c>
      <c r="G173" s="215" t="str">
        <f>IFERROR(VLOOKUP($C173,'PORTIFÓLIO'!C:V,5,0),"")</f>
        <v/>
      </c>
      <c r="H173" s="254" t="str">
        <f t="array" ref="H173">IFERROR(INDEX('PORTIFÓLIO'!$H$4:$H$433,MATCH($C173,'PORTIFÓLIO'!$C$4:$C$433,0)),"")</f>
        <v/>
      </c>
      <c r="I173" s="256"/>
      <c r="J173" s="218">
        <f t="shared" si="20"/>
        <v>0</v>
      </c>
      <c r="K173" s="219" t="str">
        <f t="array" ref="K173">IFERROR(I173*INDEX('PORTIFÓLIO'!$S$4:$S$433,MATCH($C173,'PORTIFÓLIO'!$C$4:$C$433,0)),"")</f>
        <v/>
      </c>
      <c r="L173" s="219" t="str">
        <f t="array" ref="L173">IFERROR(J173*INDEX('PORTIFÓLIO'!$S$4:$S$433,MATCH($C173,'PORTIFÓLIO'!$C$4:$C$433,0)),"")</f>
        <v/>
      </c>
      <c r="M173" s="227"/>
      <c r="N173" s="220"/>
      <c r="O173" s="220"/>
      <c r="P173" s="220"/>
      <c r="Q173" s="220"/>
      <c r="R173" s="220"/>
      <c r="S173" s="220"/>
      <c r="T173" s="220"/>
      <c r="U173" s="220"/>
      <c r="V173" s="220"/>
      <c r="W173" s="220"/>
    </row>
    <row r="174" ht="15.75" customHeight="1" outlineLevel="1">
      <c r="A174" s="211"/>
      <c r="B174" s="212"/>
      <c r="C174" s="213"/>
      <c r="D174" s="214" t="str">
        <f>IFERROR(VLOOKUP($C174,'PORTIFÓLIO'!C:V,2,0),"")</f>
        <v/>
      </c>
      <c r="E174" s="211" t="str">
        <f>IFERROR(VLOOKUP($C174,'PORTIFÓLIO'!C:V,3,0),"")</f>
        <v/>
      </c>
      <c r="F174" s="211" t="str">
        <f>IFERROR(VLOOKUP($C174,'PORTIFÓLIO'!C:V,4,0),"")</f>
        <v/>
      </c>
      <c r="G174" s="215" t="str">
        <f>IFERROR(VLOOKUP($C174,'PORTIFÓLIO'!C:V,5,0),"")</f>
        <v/>
      </c>
      <c r="H174" s="254" t="str">
        <f t="array" ref="H174">IFERROR(INDEX('PORTIFÓLIO'!$H$4:$H$433,MATCH($C174,'PORTIFÓLIO'!$C$4:$C$433,0)),"")</f>
        <v/>
      </c>
      <c r="I174" s="255"/>
      <c r="J174" s="218">
        <f t="shared" si="20"/>
        <v>0</v>
      </c>
      <c r="K174" s="219" t="str">
        <f t="array" ref="K174">IFERROR(I174*INDEX('PORTIFÓLIO'!$S$4:$S$433,MATCH($C174,'PORTIFÓLIO'!$C$4:$C$433,0)),"")</f>
        <v/>
      </c>
      <c r="L174" s="219" t="str">
        <f t="array" ref="L174">IFERROR(J174*INDEX('PORTIFÓLIO'!$S$4:$S$433,MATCH($C174,'PORTIFÓLIO'!$C$4:$C$433,0)),"")</f>
        <v/>
      </c>
      <c r="M174" s="227"/>
      <c r="N174" s="220"/>
      <c r="O174" s="220"/>
      <c r="P174" s="220"/>
      <c r="Q174" s="220"/>
      <c r="R174" s="220"/>
      <c r="S174" s="220"/>
      <c r="T174" s="220"/>
      <c r="U174" s="220"/>
      <c r="V174" s="220"/>
      <c r="W174" s="220"/>
    </row>
    <row r="175" ht="15.75" customHeight="1" outlineLevel="1">
      <c r="A175" s="211"/>
      <c r="B175" s="212"/>
      <c r="C175" s="213"/>
      <c r="D175" s="214" t="str">
        <f>IFERROR(VLOOKUP($C175,'PORTIFÓLIO'!C:V,2,0),"")</f>
        <v/>
      </c>
      <c r="E175" s="211" t="str">
        <f>IFERROR(VLOOKUP($C175,'PORTIFÓLIO'!C:V,3,0),"")</f>
        <v/>
      </c>
      <c r="F175" s="211" t="str">
        <f>IFERROR(VLOOKUP($C175,'PORTIFÓLIO'!C:V,4,0),"")</f>
        <v/>
      </c>
      <c r="G175" s="215" t="str">
        <f>IFERROR(VLOOKUP($C175,'PORTIFÓLIO'!C:V,5,0),"")</f>
        <v/>
      </c>
      <c r="H175" s="254" t="str">
        <f t="array" ref="H175">IFERROR(INDEX('PORTIFÓLIO'!$H$4:$H$433,MATCH($C175,'PORTIFÓLIO'!$C$4:$C$433,0)),"")</f>
        <v/>
      </c>
      <c r="I175" s="256"/>
      <c r="J175" s="218">
        <f t="shared" si="20"/>
        <v>0</v>
      </c>
      <c r="K175" s="219" t="str">
        <f t="array" ref="K175">IFERROR(I175*INDEX('PORTIFÓLIO'!$S$4:$S$433,MATCH($C175,'PORTIFÓLIO'!$C$4:$C$433,0)),"")</f>
        <v/>
      </c>
      <c r="L175" s="219" t="str">
        <f t="array" ref="L175">IFERROR(J175*INDEX('PORTIFÓLIO'!$S$4:$S$433,MATCH($C175,'PORTIFÓLIO'!$C$4:$C$433,0)),"")</f>
        <v/>
      </c>
      <c r="M175" s="227"/>
      <c r="N175" s="220"/>
      <c r="O175" s="220"/>
      <c r="P175" s="220"/>
      <c r="Q175" s="220"/>
      <c r="R175" s="220"/>
      <c r="S175" s="220"/>
      <c r="T175" s="220"/>
      <c r="U175" s="220"/>
      <c r="V175" s="220"/>
      <c r="W175" s="220"/>
    </row>
    <row r="176" ht="15.75" customHeight="1" outlineLevel="1">
      <c r="A176" s="211"/>
      <c r="B176" s="212"/>
      <c r="C176" s="213"/>
      <c r="D176" s="214" t="str">
        <f>IFERROR(VLOOKUP($C176,'PORTIFÓLIO'!C:V,2,0),"")</f>
        <v/>
      </c>
      <c r="E176" s="211" t="str">
        <f>IFERROR(VLOOKUP($C176,'PORTIFÓLIO'!C:V,3,0),"")</f>
        <v/>
      </c>
      <c r="F176" s="211" t="str">
        <f>IFERROR(VLOOKUP($C176,'PORTIFÓLIO'!C:V,4,0),"")</f>
        <v/>
      </c>
      <c r="G176" s="215" t="str">
        <f>IFERROR(VLOOKUP($C176,'PORTIFÓLIO'!C:V,5,0),"")</f>
        <v/>
      </c>
      <c r="H176" s="254" t="str">
        <f t="array" ref="H176">IFERROR(INDEX('PORTIFÓLIO'!$H$4:$H$433,MATCH($C176,'PORTIFÓLIO'!$C$4:$C$433,0)),"")</f>
        <v/>
      </c>
      <c r="I176" s="256"/>
      <c r="J176" s="218">
        <f t="shared" si="20"/>
        <v>0</v>
      </c>
      <c r="K176" s="219" t="str">
        <f t="array" ref="K176">IFERROR(I176*INDEX('PORTIFÓLIO'!$S$4:$S$433,MATCH($C176,'PORTIFÓLIO'!$C$4:$C$433,0)),"")</f>
        <v/>
      </c>
      <c r="L176" s="219" t="str">
        <f t="array" ref="L176">IFERROR(J176*INDEX('PORTIFÓLIO'!$S$4:$S$433,MATCH($C176,'PORTIFÓLIO'!$C$4:$C$433,0)),"")</f>
        <v/>
      </c>
      <c r="M176" s="227"/>
      <c r="N176" s="220"/>
      <c r="O176" s="220"/>
      <c r="P176" s="220"/>
      <c r="Q176" s="220"/>
      <c r="R176" s="220"/>
      <c r="S176" s="220"/>
      <c r="T176" s="220"/>
      <c r="U176" s="220"/>
      <c r="V176" s="220"/>
      <c r="W176" s="220"/>
    </row>
    <row r="177" ht="15.75" customHeight="1" outlineLevel="1">
      <c r="A177" s="211"/>
      <c r="B177" s="212"/>
      <c r="C177" s="213"/>
      <c r="D177" s="214" t="str">
        <f>IFERROR(VLOOKUP($C177,'PORTIFÓLIO'!C:V,2,0),"")</f>
        <v/>
      </c>
      <c r="E177" s="211" t="str">
        <f>IFERROR(VLOOKUP($C177,'PORTIFÓLIO'!C:V,3,0),"")</f>
        <v/>
      </c>
      <c r="F177" s="211" t="str">
        <f>IFERROR(VLOOKUP($C177,'PORTIFÓLIO'!C:V,4,0),"")</f>
        <v/>
      </c>
      <c r="G177" s="215" t="str">
        <f>IFERROR(VLOOKUP($C177,'PORTIFÓLIO'!C:V,5,0),"")</f>
        <v/>
      </c>
      <c r="H177" s="254" t="str">
        <f t="array" ref="H177">IFERROR(INDEX('PORTIFÓLIO'!$H$4:$H$433,MATCH($C177,'PORTIFÓLIO'!$C$4:$C$433,0)),"")</f>
        <v/>
      </c>
      <c r="I177" s="256"/>
      <c r="J177" s="218">
        <f t="shared" si="20"/>
        <v>0</v>
      </c>
      <c r="K177" s="219" t="str">
        <f t="array" ref="K177">IFERROR(I177*INDEX('PORTIFÓLIO'!$S$4:$S$433,MATCH($C177,'PORTIFÓLIO'!$C$4:$C$433,0)),"")</f>
        <v/>
      </c>
      <c r="L177" s="219" t="str">
        <f t="array" ref="L177">IFERROR(J177*INDEX('PORTIFÓLIO'!$S$4:$S$433,MATCH($C177,'PORTIFÓLIO'!$C$4:$C$433,0)),"")</f>
        <v/>
      </c>
      <c r="M177" s="227"/>
      <c r="N177" s="220"/>
      <c r="O177" s="220"/>
      <c r="P177" s="220"/>
      <c r="Q177" s="220"/>
      <c r="R177" s="220"/>
      <c r="S177" s="220"/>
      <c r="T177" s="220"/>
      <c r="U177" s="220"/>
      <c r="V177" s="220"/>
      <c r="W177" s="220"/>
    </row>
    <row r="178" ht="15.75" customHeight="1" outlineLevel="1">
      <c r="A178" s="211"/>
      <c r="B178" s="212"/>
      <c r="C178" s="213"/>
      <c r="D178" s="214" t="str">
        <f>IFERROR(VLOOKUP($C178,'PORTIFÓLIO'!C:V,2,0),"")</f>
        <v/>
      </c>
      <c r="E178" s="211" t="str">
        <f>IFERROR(VLOOKUP($C178,'PORTIFÓLIO'!C:V,3,0),"")</f>
        <v/>
      </c>
      <c r="F178" s="211" t="str">
        <f>IFERROR(VLOOKUP($C178,'PORTIFÓLIO'!C:V,4,0),"")</f>
        <v/>
      </c>
      <c r="G178" s="215" t="str">
        <f>IFERROR(VLOOKUP($C178,'PORTIFÓLIO'!C:V,5,0),"")</f>
        <v/>
      </c>
      <c r="H178" s="254" t="str">
        <f t="array" ref="H178">IFERROR(INDEX('PORTIFÓLIO'!$H$4:$H$433,MATCH($C178,'PORTIFÓLIO'!$C$4:$C$433,0)),"")</f>
        <v/>
      </c>
      <c r="I178" s="256"/>
      <c r="J178" s="218">
        <f t="shared" si="20"/>
        <v>0</v>
      </c>
      <c r="K178" s="219" t="str">
        <f t="array" ref="K178">IFERROR(I178*INDEX('PORTIFÓLIO'!$S$4:$S$433,MATCH($C178,'PORTIFÓLIO'!$C$4:$C$433,0)),"")</f>
        <v/>
      </c>
      <c r="L178" s="219" t="str">
        <f t="array" ref="L178">IFERROR(J178*INDEX('PORTIFÓLIO'!$S$4:$S$433,MATCH($C178,'PORTIFÓLIO'!$C$4:$C$433,0)),"")</f>
        <v/>
      </c>
      <c r="M178" s="227"/>
      <c r="N178" s="220"/>
      <c r="O178" s="220"/>
      <c r="P178" s="220"/>
      <c r="Q178" s="220"/>
      <c r="R178" s="220"/>
      <c r="S178" s="220"/>
      <c r="T178" s="220"/>
      <c r="U178" s="220"/>
      <c r="V178" s="220"/>
      <c r="W178" s="220"/>
    </row>
    <row r="179" ht="15.75" customHeight="1" outlineLevel="1">
      <c r="A179" s="211"/>
      <c r="B179" s="212"/>
      <c r="C179" s="213"/>
      <c r="D179" s="214" t="str">
        <f>IFERROR(VLOOKUP($C179,'PORTIFÓLIO'!C:V,2,0),"")</f>
        <v/>
      </c>
      <c r="E179" s="211" t="str">
        <f>IFERROR(VLOOKUP($C179,'PORTIFÓLIO'!C:V,3,0),"")</f>
        <v/>
      </c>
      <c r="F179" s="211" t="str">
        <f>IFERROR(VLOOKUP($C179,'PORTIFÓLIO'!C:V,4,0),"")</f>
        <v/>
      </c>
      <c r="G179" s="215" t="str">
        <f>IFERROR(VLOOKUP($C179,'PORTIFÓLIO'!C:V,5,0),"")</f>
        <v/>
      </c>
      <c r="H179" s="254" t="str">
        <f t="array" ref="H179">IFERROR(INDEX('PORTIFÓLIO'!$H$4:$H$433,MATCH($C179,'PORTIFÓLIO'!$C$4:$C$433,0)),"")</f>
        <v/>
      </c>
      <c r="I179" s="256"/>
      <c r="J179" s="218">
        <f t="shared" si="20"/>
        <v>0</v>
      </c>
      <c r="K179" s="219" t="str">
        <f t="array" ref="K179">IFERROR(I179*INDEX('PORTIFÓLIO'!$S$4:$S$433,MATCH($C179,'PORTIFÓLIO'!$C$4:$C$433,0)),"")</f>
        <v/>
      </c>
      <c r="L179" s="219" t="str">
        <f t="array" ref="L179">IFERROR(J179*INDEX('PORTIFÓLIO'!$S$4:$S$433,MATCH($C179,'PORTIFÓLIO'!$C$4:$C$433,0)),"")</f>
        <v/>
      </c>
      <c r="M179" s="227"/>
      <c r="N179" s="220"/>
      <c r="O179" s="220"/>
      <c r="P179" s="220"/>
      <c r="Q179" s="220"/>
      <c r="R179" s="220"/>
      <c r="S179" s="220"/>
      <c r="T179" s="220"/>
      <c r="U179" s="220"/>
      <c r="V179" s="220"/>
      <c r="W179" s="220"/>
    </row>
    <row r="180" ht="15.75" customHeight="1" outlineLevel="1">
      <c r="A180" s="211"/>
      <c r="B180" s="212"/>
      <c r="C180" s="213"/>
      <c r="D180" s="214" t="str">
        <f>IFERROR(VLOOKUP($C180,'PORTIFÓLIO'!C:V,2,0),"")</f>
        <v/>
      </c>
      <c r="E180" s="211" t="str">
        <f>IFERROR(VLOOKUP($C180,'PORTIFÓLIO'!C:V,3,0),"")</f>
        <v/>
      </c>
      <c r="F180" s="211" t="str">
        <f>IFERROR(VLOOKUP($C180,'PORTIFÓLIO'!C:V,4,0),"")</f>
        <v/>
      </c>
      <c r="G180" s="215" t="str">
        <f>IFERROR(VLOOKUP($C180,'PORTIFÓLIO'!C:V,5,0),"")</f>
        <v/>
      </c>
      <c r="H180" s="254" t="str">
        <f t="array" ref="H180">IFERROR(INDEX('PORTIFÓLIO'!$H$4:$H$433,MATCH($C180,'PORTIFÓLIO'!$C$4:$C$433,0)),"")</f>
        <v/>
      </c>
      <c r="I180" s="256"/>
      <c r="J180" s="218">
        <f t="shared" si="20"/>
        <v>0</v>
      </c>
      <c r="K180" s="219" t="str">
        <f t="array" ref="K180">IFERROR(I180*INDEX('PORTIFÓLIO'!$S$4:$S$433,MATCH($C180,'PORTIFÓLIO'!$C$4:$C$433,0)),"")</f>
        <v/>
      </c>
      <c r="L180" s="219" t="str">
        <f t="array" ref="L180">IFERROR(J180*INDEX('PORTIFÓLIO'!$S$4:$S$433,MATCH($C180,'PORTIFÓLIO'!$C$4:$C$433,0)),"")</f>
        <v/>
      </c>
      <c r="M180" s="227"/>
      <c r="N180" s="220"/>
      <c r="O180" s="220"/>
      <c r="P180" s="220"/>
      <c r="Q180" s="220"/>
      <c r="R180" s="220"/>
      <c r="S180" s="220"/>
      <c r="T180" s="220"/>
      <c r="U180" s="220"/>
      <c r="V180" s="220"/>
      <c r="W180" s="220"/>
    </row>
    <row r="181" ht="15.75" customHeight="1" outlineLevel="1">
      <c r="A181" s="211"/>
      <c r="B181" s="227"/>
      <c r="C181" s="211"/>
      <c r="D181" s="214" t="str">
        <f>IFERROR(VLOOKUP($C181,'PORTIFÓLIO'!C:V,2,0),"")</f>
        <v/>
      </c>
      <c r="E181" s="211" t="str">
        <f>IFERROR(VLOOKUP($C181,'PORTIFÓLIO'!C:V,3,0),"")</f>
        <v/>
      </c>
      <c r="F181" s="211" t="str">
        <f>IFERROR(VLOOKUP($C181,'PORTIFÓLIO'!C:V,4,0),"")</f>
        <v/>
      </c>
      <c r="G181" s="215" t="str">
        <f>IFERROR(VLOOKUP($C181,'PORTIFÓLIO'!C:V,5,0),"")</f>
        <v/>
      </c>
      <c r="H181" s="254" t="str">
        <f t="array" ref="H181">IFERROR(INDEX('PORTIFÓLIO'!$H$4:$H$433,MATCH($C181,'PORTIFÓLIO'!$C$4:$C$433,0)),"")</f>
        <v/>
      </c>
      <c r="I181" s="256"/>
      <c r="J181" s="218">
        <f t="shared" si="20"/>
        <v>0</v>
      </c>
      <c r="K181" s="219" t="str">
        <f t="array" ref="K181">IFERROR(I181*INDEX('PORTIFÓLIO'!$S$4:$S$433,MATCH($C181,'PORTIFÓLIO'!$C$4:$C$433,0)),"")</f>
        <v/>
      </c>
      <c r="L181" s="219" t="str">
        <f t="array" ref="L181">IFERROR(J181*INDEX('PORTIFÓLIO'!$S$4:$S$433,MATCH($C181,'PORTIFÓLIO'!$C$4:$C$433,0)),"")</f>
        <v/>
      </c>
      <c r="M181" s="227"/>
      <c r="N181" s="220"/>
      <c r="O181" s="220"/>
      <c r="P181" s="220"/>
      <c r="Q181" s="220"/>
      <c r="R181" s="220"/>
      <c r="S181" s="220"/>
      <c r="T181" s="220"/>
      <c r="U181" s="220"/>
      <c r="V181" s="220"/>
      <c r="W181" s="220"/>
    </row>
    <row r="182" ht="15.75" customHeight="1">
      <c r="A182" s="221" t="s">
        <v>1194</v>
      </c>
      <c r="B182" s="197"/>
      <c r="C182" s="196"/>
      <c r="D182" s="198"/>
      <c r="E182" s="196"/>
      <c r="F182" s="196"/>
      <c r="G182" s="199"/>
      <c r="H182" s="199"/>
      <c r="I182" s="252"/>
      <c r="J182" s="202"/>
      <c r="K182" s="203">
        <f t="shared" ref="K182:L182" si="21">SUBTOTAL(9,K183:K196)</f>
        <v>339.9254902</v>
      </c>
      <c r="L182" s="203">
        <f t="shared" si="21"/>
        <v>35012.32549</v>
      </c>
      <c r="M182" s="238"/>
      <c r="N182" s="177"/>
      <c r="O182" s="177"/>
      <c r="P182" s="177"/>
      <c r="Q182" s="177"/>
      <c r="R182" s="177"/>
      <c r="S182" s="177"/>
      <c r="T182" s="177"/>
      <c r="U182" s="177"/>
      <c r="V182" s="177"/>
      <c r="W182" s="177"/>
    </row>
    <row r="183" ht="15.75" customHeight="1" outlineLevel="1">
      <c r="A183" s="191"/>
      <c r="B183" s="204" t="s">
        <v>10</v>
      </c>
      <c r="C183" s="191" t="s">
        <v>1195</v>
      </c>
      <c r="D183" s="205" t="str">
        <f>IFERROR(VLOOKUP($C183,'PORTIFÓLIO'!C:V,2,0),"")</f>
        <v/>
      </c>
      <c r="E183" s="190" t="str">
        <f>IFERROR(VLOOKUP($C183,'PORTIFÓLIO'!C:V,3,0),"")</f>
        <v/>
      </c>
      <c r="F183" s="190" t="str">
        <f>IFERROR(VLOOKUP($C183,'PORTIFÓLIO'!C:V,4,0),"")</f>
        <v>R$/Ha</v>
      </c>
      <c r="G183" s="206">
        <f t="array" ref="G183">IFERROR(INDEX('PORTIFÓLIO'!$H$4:$H$433,MATCH($C183,'PORTIFÓLIO'!$C$4:$C$433,0)),"")</f>
        <v>0.3267973856</v>
      </c>
      <c r="H183" s="247">
        <f t="array" ref="H183">IFERROR(INDEX('PORTIFÓLIO'!$H$4:$H$433,MATCH($C183,'PORTIFÓLIO'!$C$4:$C$433,0)),"")</f>
        <v>0.3267973856</v>
      </c>
      <c r="I183" s="253">
        <v>0.32</v>
      </c>
      <c r="J183" s="209">
        <f t="shared" ref="J183:J199" si="22">I183*$B$2</f>
        <v>32.96</v>
      </c>
      <c r="K183" s="210">
        <f t="array" ref="K183">IFERROR(I183*INDEX('PORTIFÓLIO'!$S$4:$S$433,MATCH($C183,'PORTIFÓLIO'!$C$4:$C$433,0)),"")</f>
        <v>36</v>
      </c>
      <c r="L183" s="210">
        <f t="array" ref="L183">IFERROR(J183*INDEX('PORTIFÓLIO'!$S$4:$S$433,MATCH($C183,'PORTIFÓLIO'!$C$4:$C$433,0)),"")</f>
        <v>3708</v>
      </c>
      <c r="M183" s="238"/>
      <c r="N183" s="177"/>
      <c r="O183" s="177"/>
      <c r="P183" s="177"/>
      <c r="Q183" s="177"/>
      <c r="R183" s="177"/>
      <c r="S183" s="177"/>
      <c r="T183" s="177"/>
      <c r="U183" s="177"/>
      <c r="V183" s="177"/>
      <c r="W183" s="177"/>
    </row>
    <row r="184" ht="15.75" customHeight="1" outlineLevel="1">
      <c r="A184" s="190"/>
      <c r="B184" s="204" t="s">
        <v>10</v>
      </c>
      <c r="C184" s="191" t="s">
        <v>1196</v>
      </c>
      <c r="D184" s="205" t="str">
        <f>IFERROR(VLOOKUP($C184,'PORTIFÓLIO'!C:V,2,0),"")</f>
        <v/>
      </c>
      <c r="E184" s="190" t="str">
        <f>IFERROR(VLOOKUP($C184,'PORTIFÓLIO'!C:V,3,0),"")</f>
        <v/>
      </c>
      <c r="F184" s="190" t="str">
        <f>IFERROR(VLOOKUP($C184,'PORTIFÓLIO'!C:V,4,0),"")</f>
        <v>R$/Ha</v>
      </c>
      <c r="G184" s="206">
        <f t="array" ref="G184">IFERROR(INDEX('PORTIFÓLIO'!$H$4:$H$433,MATCH($C184,'PORTIFÓLIO'!$C$4:$C$433,0)),"")</f>
        <v>0.04901960784</v>
      </c>
      <c r="H184" s="247">
        <f t="array" ref="H184">IFERROR(INDEX('PORTIFÓLIO'!$H$4:$H$433,MATCH($C184,'PORTIFÓLIO'!$C$4:$C$433,0)),"")</f>
        <v>0.04901960784</v>
      </c>
      <c r="I184" s="257">
        <f>G184*4</f>
        <v>0.1960784314</v>
      </c>
      <c r="J184" s="209">
        <f t="shared" si="22"/>
        <v>20.19607843</v>
      </c>
      <c r="K184" s="210">
        <f t="array" ref="K184">IFERROR(I184*INDEX('PORTIFÓLIO'!$S$4:$S$433,MATCH($C184,'PORTIFÓLIO'!$C$4:$C$433,0)),"")</f>
        <v>22.05882353</v>
      </c>
      <c r="L184" s="210">
        <f t="array" ref="L184">IFERROR(J184*INDEX('PORTIFÓLIO'!$S$4:$S$433,MATCH($C184,'PORTIFÓLIO'!$C$4:$C$433,0)),"")</f>
        <v>2272.058824</v>
      </c>
      <c r="M184" s="238"/>
      <c r="N184" s="177"/>
      <c r="O184" s="177"/>
      <c r="P184" s="177"/>
      <c r="Q184" s="177"/>
      <c r="R184" s="177"/>
      <c r="S184" s="177"/>
      <c r="T184" s="177"/>
      <c r="U184" s="177"/>
      <c r="V184" s="177"/>
      <c r="W184" s="177"/>
    </row>
    <row r="185" ht="15.75" customHeight="1" outlineLevel="1">
      <c r="A185" s="190"/>
      <c r="B185" s="204" t="s">
        <v>10</v>
      </c>
      <c r="C185" s="191" t="s">
        <v>1197</v>
      </c>
      <c r="D185" s="205" t="str">
        <f>IFERROR(VLOOKUP($C185,'PORTIFÓLIO'!C:V,2,0),"")</f>
        <v/>
      </c>
      <c r="E185" s="190" t="str">
        <f>IFERROR(VLOOKUP($C185,'PORTIFÓLIO'!C:V,3,0),"")</f>
        <v/>
      </c>
      <c r="F185" s="190" t="str">
        <f>IFERROR(VLOOKUP($C185,'PORTIFÓLIO'!C:V,4,0),"")</f>
        <v>R$/Ha</v>
      </c>
      <c r="G185" s="206">
        <f t="array" ref="G185">IFERROR(INDEX('PORTIFÓLIO'!$H$4:$H$433,MATCH($C185,'PORTIFÓLIO'!$C$4:$C$433,0)),"")</f>
        <v>0.01960784314</v>
      </c>
      <c r="H185" s="247">
        <f t="array" ref="H185">IFERROR(INDEX('PORTIFÓLIO'!$H$4:$H$433,MATCH($C185,'PORTIFÓLIO'!$C$4:$C$433,0)),"")</f>
        <v>0.01960784314</v>
      </c>
      <c r="I185" s="257">
        <f>G185*3</f>
        <v>0.05882352941</v>
      </c>
      <c r="J185" s="209">
        <f t="shared" si="22"/>
        <v>6.058823529</v>
      </c>
      <c r="K185" s="210">
        <f t="array" ref="K185">IFERROR(I185*INDEX('PORTIFÓLIO'!$S$4:$S$433,MATCH($C185,'PORTIFÓLIO'!$C$4:$C$433,0)),"")</f>
        <v>7.5</v>
      </c>
      <c r="L185" s="210">
        <f t="array" ref="L185">IFERROR(J185*INDEX('PORTIFÓLIO'!$S$4:$S$433,MATCH($C185,'PORTIFÓLIO'!$C$4:$C$433,0)),"")</f>
        <v>772.5</v>
      </c>
      <c r="M185" s="238"/>
      <c r="N185" s="177"/>
      <c r="O185" s="177"/>
      <c r="P185" s="177"/>
      <c r="Q185" s="177"/>
      <c r="R185" s="177"/>
      <c r="S185" s="177"/>
      <c r="T185" s="177"/>
      <c r="U185" s="177"/>
      <c r="V185" s="177"/>
      <c r="W185" s="177"/>
    </row>
    <row r="186" ht="15.75" customHeight="1" outlineLevel="1">
      <c r="A186" s="190"/>
      <c r="B186" s="204" t="s">
        <v>10</v>
      </c>
      <c r="C186" s="191" t="s">
        <v>1198</v>
      </c>
      <c r="D186" s="205" t="str">
        <f>IFERROR(VLOOKUP($C186,'PORTIFÓLIO'!C:V,2,0),"")</f>
        <v/>
      </c>
      <c r="E186" s="190" t="str">
        <f>IFERROR(VLOOKUP($C186,'PORTIFÓLIO'!C:V,3,0),"")</f>
        <v/>
      </c>
      <c r="F186" s="190" t="str">
        <f>IFERROR(VLOOKUP($C186,'PORTIFÓLIO'!C:V,4,0),"")</f>
        <v>R$/Ha</v>
      </c>
      <c r="G186" s="206">
        <f t="array" ref="G186">IFERROR(INDEX('PORTIFÓLIO'!$H$4:$H$433,MATCH($C186,'PORTIFÓLIO'!$C$4:$C$433,0)),"")</f>
        <v>0.006666666667</v>
      </c>
      <c r="H186" s="247">
        <f t="array" ref="H186">IFERROR(INDEX('PORTIFÓLIO'!$H$4:$H$433,MATCH($C186,'PORTIFÓLIO'!$C$4:$C$433,0)),"")</f>
        <v>0.006666666667</v>
      </c>
      <c r="I186" s="257">
        <f>G186*5</f>
        <v>0.03333333333</v>
      </c>
      <c r="J186" s="209">
        <f t="shared" si="22"/>
        <v>3.433333333</v>
      </c>
      <c r="K186" s="210">
        <f t="array" ref="K186">IFERROR(I186*INDEX('PORTIFÓLIO'!$S$4:$S$433,MATCH($C186,'PORTIFÓLIO'!$C$4:$C$433,0)),"")</f>
        <v>166.6666667</v>
      </c>
      <c r="L186" s="210">
        <f t="array" ref="L186">IFERROR(J186*INDEX('PORTIFÓLIO'!$S$4:$S$433,MATCH($C186,'PORTIFÓLIO'!$C$4:$C$433,0)),"")</f>
        <v>17166.66667</v>
      </c>
      <c r="M186" s="238"/>
      <c r="N186" s="177"/>
      <c r="O186" s="177"/>
      <c r="P186" s="177"/>
      <c r="Q186" s="177"/>
      <c r="R186" s="177"/>
      <c r="S186" s="177"/>
      <c r="T186" s="177"/>
      <c r="U186" s="177"/>
      <c r="V186" s="177"/>
      <c r="W186" s="177"/>
    </row>
    <row r="187" ht="15.75" customHeight="1" outlineLevel="1">
      <c r="A187" s="190"/>
      <c r="B187" s="204" t="s">
        <v>10</v>
      </c>
      <c r="C187" s="191" t="s">
        <v>1199</v>
      </c>
      <c r="D187" s="205" t="str">
        <f>IFERROR(VLOOKUP($C187,'PORTIFÓLIO'!C:V,2,0),"")</f>
        <v/>
      </c>
      <c r="E187" s="190" t="str">
        <f>IFERROR(VLOOKUP($C187,'PORTIFÓLIO'!C:V,3,0),"")</f>
        <v/>
      </c>
      <c r="F187" s="190" t="str">
        <f>IFERROR(VLOOKUP($C187,'PORTIFÓLIO'!C:V,4,0),"")</f>
        <v>R$/Ha</v>
      </c>
      <c r="G187" s="206">
        <f t="array" ref="G187">IFERROR(INDEX('PORTIFÓLIO'!$H$4:$H$433,MATCH($C187,'PORTIFÓLIO'!$C$4:$C$433,0)),"")</f>
        <v>0.08169934641</v>
      </c>
      <c r="H187" s="247">
        <f t="array" ref="H187">IFERROR(INDEX('PORTIFÓLIO'!$H$4:$H$433,MATCH($C187,'PORTIFÓLIO'!$C$4:$C$433,0)),"")</f>
        <v>0.08169934641</v>
      </c>
      <c r="I187" s="253">
        <v>0.081</v>
      </c>
      <c r="J187" s="209">
        <f t="shared" si="22"/>
        <v>8.343</v>
      </c>
      <c r="K187" s="210">
        <f t="array" ref="K187">IFERROR(I187*INDEX('PORTIFÓLIO'!$S$4:$S$433,MATCH($C187,'PORTIFÓLIO'!$C$4:$C$433,0)),"")</f>
        <v>36.45</v>
      </c>
      <c r="L187" s="210">
        <f t="array" ref="L187">IFERROR(J187*INDEX('PORTIFÓLIO'!$S$4:$S$433,MATCH($C187,'PORTIFÓLIO'!$C$4:$C$433,0)),"")</f>
        <v>3754.35</v>
      </c>
      <c r="M187" s="238"/>
      <c r="N187" s="177"/>
      <c r="O187" s="177"/>
      <c r="P187" s="177"/>
      <c r="Q187" s="177"/>
      <c r="R187" s="177"/>
      <c r="S187" s="177"/>
      <c r="T187" s="177"/>
      <c r="U187" s="177"/>
      <c r="V187" s="177"/>
      <c r="W187" s="177"/>
    </row>
    <row r="188" ht="15.75" customHeight="1" outlineLevel="1">
      <c r="A188" s="190"/>
      <c r="B188" s="204" t="s">
        <v>10</v>
      </c>
      <c r="C188" s="191" t="s">
        <v>1200</v>
      </c>
      <c r="D188" s="205" t="str">
        <f>IFERROR(VLOOKUP($C188,'PORTIFÓLIO'!C:V,2,0),"")</f>
        <v/>
      </c>
      <c r="E188" s="190" t="str">
        <f>IFERROR(VLOOKUP($C188,'PORTIFÓLIO'!C:V,3,0),"")</f>
        <v/>
      </c>
      <c r="F188" s="190" t="str">
        <f>IFERROR(VLOOKUP($C188,'PORTIFÓLIO'!C:V,4,0),"")</f>
        <v>R$/Ha</v>
      </c>
      <c r="G188" s="206">
        <f t="array" ref="G188">IFERROR(INDEX('PORTIFÓLIO'!$H$4:$H$433,MATCH($C188,'PORTIFÓLIO'!$C$4:$C$433,0)),"")</f>
        <v>0.1508295626</v>
      </c>
      <c r="H188" s="247">
        <f t="array" ref="H188">IFERROR(INDEX('PORTIFÓLIO'!$H$4:$H$433,MATCH($C188,'PORTIFÓLIO'!$C$4:$C$433,0)),"")</f>
        <v>0.1508295626</v>
      </c>
      <c r="I188" s="253">
        <v>0.15</v>
      </c>
      <c r="J188" s="209">
        <f t="shared" si="22"/>
        <v>15.45</v>
      </c>
      <c r="K188" s="210">
        <f t="array" ref="K188">IFERROR(I188*INDEX('PORTIFÓLIO'!$S$4:$S$433,MATCH($C188,'PORTIFÓLIO'!$C$4:$C$433,0)),"")</f>
        <v>56.25</v>
      </c>
      <c r="L188" s="210">
        <f t="array" ref="L188">IFERROR(J188*INDEX('PORTIFÓLIO'!$S$4:$S$433,MATCH($C188,'PORTIFÓLIO'!$C$4:$C$433,0)),"")</f>
        <v>5793.75</v>
      </c>
      <c r="M188" s="238"/>
      <c r="N188" s="177"/>
      <c r="O188" s="177"/>
      <c r="P188" s="177"/>
      <c r="Q188" s="177"/>
      <c r="R188" s="177"/>
      <c r="S188" s="177"/>
      <c r="T188" s="177"/>
      <c r="U188" s="177"/>
      <c r="V188" s="177"/>
      <c r="W188" s="177"/>
    </row>
    <row r="189" ht="15.75" customHeight="1" outlineLevel="1">
      <c r="A189" s="190"/>
      <c r="B189" s="204" t="s">
        <v>10</v>
      </c>
      <c r="C189" s="191" t="s">
        <v>1201</v>
      </c>
      <c r="D189" s="205" t="str">
        <f>IFERROR(VLOOKUP($C189,'PORTIFÓLIO'!C:V,2,0),"")</f>
        <v/>
      </c>
      <c r="E189" s="190" t="str">
        <f>IFERROR(VLOOKUP($C189,'PORTIFÓLIO'!C:V,3,0),"")</f>
        <v/>
      </c>
      <c r="F189" s="190" t="str">
        <f>IFERROR(VLOOKUP($C189,'PORTIFÓLIO'!C:V,4,0),"")</f>
        <v>R$/Ha</v>
      </c>
      <c r="G189" s="206">
        <f t="array" ref="G189">IFERROR(INDEX('PORTIFÓLIO'!$H$4:$H$433,MATCH($C189,'PORTIFÓLIO'!$C$4:$C$433,0)),"")</f>
        <v>0.001367989056</v>
      </c>
      <c r="H189" s="247">
        <f t="array" ref="H189">IFERROR(INDEX('PORTIFÓLIO'!$H$4:$H$433,MATCH($C189,'PORTIFÓLIO'!$C$4:$C$433,0)),"")</f>
        <v>0.001367989056</v>
      </c>
      <c r="I189" s="253">
        <v>0.1</v>
      </c>
      <c r="J189" s="209">
        <f t="shared" si="22"/>
        <v>10.3</v>
      </c>
      <c r="K189" s="210">
        <f t="array" ref="K189">IFERROR(I189*INDEX('PORTIFÓLIO'!$S$4:$S$433,MATCH($C189,'PORTIFÓLIO'!$C$4:$C$433,0)),"")</f>
        <v>15</v>
      </c>
      <c r="L189" s="210">
        <f t="array" ref="L189">IFERROR(J189*INDEX('PORTIFÓLIO'!$S$4:$S$433,MATCH($C189,'PORTIFÓLIO'!$C$4:$C$433,0)),"")</f>
        <v>1545</v>
      </c>
      <c r="M189" s="238"/>
      <c r="N189" s="177"/>
      <c r="O189" s="177"/>
      <c r="P189" s="177"/>
      <c r="Q189" s="177"/>
      <c r="R189" s="177"/>
      <c r="S189" s="177"/>
      <c r="T189" s="177"/>
      <c r="U189" s="177"/>
      <c r="V189" s="177"/>
      <c r="W189" s="177"/>
    </row>
    <row r="190" ht="15.75" customHeight="1" outlineLevel="1">
      <c r="A190" s="211"/>
      <c r="B190" s="212"/>
      <c r="C190" s="213"/>
      <c r="D190" s="214" t="str">
        <f>IFERROR(VLOOKUP($C190,'PORTIFÓLIO'!C:V,2,0),"")</f>
        <v/>
      </c>
      <c r="E190" s="211" t="str">
        <f>IFERROR(VLOOKUP($C190,'PORTIFÓLIO'!C:V,3,0),"")</f>
        <v/>
      </c>
      <c r="F190" s="211" t="str">
        <f>IFERROR(VLOOKUP($C190,'PORTIFÓLIO'!C:V,4,0),"")</f>
        <v/>
      </c>
      <c r="G190" s="215" t="str">
        <f>IFERROR(VLOOKUP($C190,'PORTIFÓLIO'!C:V,5,0),"")</f>
        <v/>
      </c>
      <c r="H190" s="254" t="str">
        <f t="array" ref="H190">IFERROR(INDEX('PORTIFÓLIO'!$H$4:$H$433,MATCH($C190,'PORTIFÓLIO'!$C$4:$C$433,0)),"")</f>
        <v/>
      </c>
      <c r="I190" s="256"/>
      <c r="J190" s="218">
        <f t="shared" si="22"/>
        <v>0</v>
      </c>
      <c r="K190" s="219" t="str">
        <f t="array" ref="K190">IFERROR(I190*INDEX('PORTIFÓLIO'!$S$4:$S$433,MATCH($C190,'PORTIFÓLIO'!$C$4:$C$433,0)),"")</f>
        <v/>
      </c>
      <c r="L190" s="219" t="str">
        <f t="array" ref="L190">IFERROR(J190*INDEX('PORTIFÓLIO'!$S$4:$S$433,MATCH($C190,'PORTIFÓLIO'!$C$4:$C$433,0)),"")</f>
        <v/>
      </c>
      <c r="M190" s="227"/>
      <c r="N190" s="220"/>
      <c r="O190" s="220"/>
      <c r="P190" s="220"/>
      <c r="Q190" s="220"/>
      <c r="R190" s="220"/>
      <c r="S190" s="220"/>
      <c r="T190" s="220"/>
      <c r="U190" s="220"/>
      <c r="V190" s="220"/>
      <c r="W190" s="220"/>
    </row>
    <row r="191" ht="15.75" customHeight="1" outlineLevel="1">
      <c r="A191" s="211"/>
      <c r="B191" s="212"/>
      <c r="C191" s="213"/>
      <c r="D191" s="214" t="str">
        <f>IFERROR(VLOOKUP($C191,'PORTIFÓLIO'!C:V,2,0),"")</f>
        <v/>
      </c>
      <c r="E191" s="211" t="str">
        <f>IFERROR(VLOOKUP($C191,'PORTIFÓLIO'!C:V,3,0),"")</f>
        <v/>
      </c>
      <c r="F191" s="211" t="str">
        <f>IFERROR(VLOOKUP($C191,'PORTIFÓLIO'!C:V,4,0),"")</f>
        <v/>
      </c>
      <c r="G191" s="215" t="str">
        <f>IFERROR(VLOOKUP($C191,'PORTIFÓLIO'!C:V,5,0),"")</f>
        <v/>
      </c>
      <c r="H191" s="254" t="str">
        <f t="array" ref="H191">IFERROR(INDEX('PORTIFÓLIO'!$H$4:$H$433,MATCH($C191,'PORTIFÓLIO'!$C$4:$C$433,0)),"")</f>
        <v/>
      </c>
      <c r="I191" s="255"/>
      <c r="J191" s="218">
        <f t="shared" si="22"/>
        <v>0</v>
      </c>
      <c r="K191" s="219" t="str">
        <f t="array" ref="K191">IFERROR(I191*INDEX('PORTIFÓLIO'!$S$4:$S$433,MATCH($C191,'PORTIFÓLIO'!$C$4:$C$433,0)),"")</f>
        <v/>
      </c>
      <c r="L191" s="219" t="str">
        <f t="array" ref="L191">IFERROR(J191*INDEX('PORTIFÓLIO'!$S$4:$S$433,MATCH($C191,'PORTIFÓLIO'!$C$4:$C$433,0)),"")</f>
        <v/>
      </c>
      <c r="M191" s="227"/>
      <c r="N191" s="220"/>
      <c r="O191" s="220"/>
      <c r="P191" s="220"/>
      <c r="Q191" s="220"/>
      <c r="R191" s="220"/>
      <c r="S191" s="220"/>
      <c r="T191" s="220"/>
      <c r="U191" s="220"/>
      <c r="V191" s="220"/>
      <c r="W191" s="220"/>
    </row>
    <row r="192" ht="15.75" customHeight="1" outlineLevel="1">
      <c r="A192" s="211"/>
      <c r="B192" s="212"/>
      <c r="C192" s="213"/>
      <c r="D192" s="214" t="str">
        <f>IFERROR(VLOOKUP($C192,'PORTIFÓLIO'!C:V,2,0),"")</f>
        <v/>
      </c>
      <c r="E192" s="211" t="str">
        <f>IFERROR(VLOOKUP($C192,'PORTIFÓLIO'!C:V,3,0),"")</f>
        <v/>
      </c>
      <c r="F192" s="211" t="str">
        <f>IFERROR(VLOOKUP($C192,'PORTIFÓLIO'!C:V,4,0),"")</f>
        <v/>
      </c>
      <c r="G192" s="215" t="str">
        <f>IFERROR(VLOOKUP($C192,'PORTIFÓLIO'!C:V,5,0),"")</f>
        <v/>
      </c>
      <c r="H192" s="254" t="str">
        <f t="array" ref="H192">IFERROR(INDEX('PORTIFÓLIO'!$H$4:$H$433,MATCH($C192,'PORTIFÓLIO'!$C$4:$C$433,0)),"")</f>
        <v/>
      </c>
      <c r="I192" s="256"/>
      <c r="J192" s="218">
        <f t="shared" si="22"/>
        <v>0</v>
      </c>
      <c r="K192" s="219" t="str">
        <f t="array" ref="K192">IFERROR(I192*INDEX('PORTIFÓLIO'!$S$4:$S$433,MATCH($C192,'PORTIFÓLIO'!$C$4:$C$433,0)),"")</f>
        <v/>
      </c>
      <c r="L192" s="219" t="str">
        <f t="array" ref="L192">IFERROR(J192*INDEX('PORTIFÓLIO'!$S$4:$S$433,MATCH($C192,'PORTIFÓLIO'!$C$4:$C$433,0)),"")</f>
        <v/>
      </c>
      <c r="M192" s="227"/>
      <c r="N192" s="220"/>
      <c r="O192" s="220"/>
      <c r="P192" s="220"/>
      <c r="Q192" s="220"/>
      <c r="R192" s="220"/>
      <c r="S192" s="220"/>
      <c r="T192" s="220"/>
      <c r="U192" s="220"/>
      <c r="V192" s="220"/>
      <c r="W192" s="220"/>
    </row>
    <row r="193" ht="15.75" customHeight="1" outlineLevel="1">
      <c r="A193" s="211"/>
      <c r="B193" s="212"/>
      <c r="C193" s="213"/>
      <c r="D193" s="214" t="str">
        <f>IFERROR(VLOOKUP($C193,'PORTIFÓLIO'!C:V,2,0),"")</f>
        <v/>
      </c>
      <c r="E193" s="211" t="str">
        <f>IFERROR(VLOOKUP($C193,'PORTIFÓLIO'!C:V,3,0),"")</f>
        <v/>
      </c>
      <c r="F193" s="211" t="str">
        <f>IFERROR(VLOOKUP($C193,'PORTIFÓLIO'!C:V,4,0),"")</f>
        <v/>
      </c>
      <c r="G193" s="215" t="str">
        <f>IFERROR(VLOOKUP($C193,'PORTIFÓLIO'!C:V,5,0),"")</f>
        <v/>
      </c>
      <c r="H193" s="254" t="str">
        <f t="array" ref="H193">IFERROR(INDEX('PORTIFÓLIO'!$H$4:$H$433,MATCH($C193,'PORTIFÓLIO'!$C$4:$C$433,0)),"")</f>
        <v/>
      </c>
      <c r="I193" s="256"/>
      <c r="J193" s="218">
        <f t="shared" si="22"/>
        <v>0</v>
      </c>
      <c r="K193" s="219" t="str">
        <f t="array" ref="K193">IFERROR(I193*INDEX('PORTIFÓLIO'!$S$4:$S$433,MATCH($C193,'PORTIFÓLIO'!$C$4:$C$433,0)),"")</f>
        <v/>
      </c>
      <c r="L193" s="219" t="str">
        <f t="array" ref="L193">IFERROR(J193*INDEX('PORTIFÓLIO'!$S$4:$S$433,MATCH($C193,'PORTIFÓLIO'!$C$4:$C$433,0)),"")</f>
        <v/>
      </c>
      <c r="M193" s="227"/>
      <c r="N193" s="220"/>
      <c r="O193" s="220"/>
      <c r="P193" s="220"/>
      <c r="Q193" s="220"/>
      <c r="R193" s="220"/>
      <c r="S193" s="220"/>
      <c r="T193" s="220"/>
      <c r="U193" s="220"/>
      <c r="V193" s="220"/>
      <c r="W193" s="220"/>
    </row>
    <row r="194" ht="15.75" customHeight="1" outlineLevel="1">
      <c r="A194" s="211"/>
      <c r="B194" s="212"/>
      <c r="C194" s="213"/>
      <c r="D194" s="214" t="str">
        <f>IFERROR(VLOOKUP($C194,'PORTIFÓLIO'!C:V,2,0),"")</f>
        <v/>
      </c>
      <c r="E194" s="211" t="str">
        <f>IFERROR(VLOOKUP($C194,'PORTIFÓLIO'!C:V,3,0),"")</f>
        <v/>
      </c>
      <c r="F194" s="211" t="str">
        <f>IFERROR(VLOOKUP($C194,'PORTIFÓLIO'!C:V,4,0),"")</f>
        <v/>
      </c>
      <c r="G194" s="215" t="str">
        <f>IFERROR(VLOOKUP($C194,'PORTIFÓLIO'!C:V,5,0),"")</f>
        <v/>
      </c>
      <c r="H194" s="254" t="str">
        <f t="array" ref="H194">IFERROR(INDEX('PORTIFÓLIO'!$H$4:$H$433,MATCH($C194,'PORTIFÓLIO'!$C$4:$C$433,0)),"")</f>
        <v/>
      </c>
      <c r="I194" s="256"/>
      <c r="J194" s="218">
        <f t="shared" si="22"/>
        <v>0</v>
      </c>
      <c r="K194" s="219" t="str">
        <f t="array" ref="K194">IFERROR(I194*INDEX('PORTIFÓLIO'!$S$4:$S$433,MATCH($C194,'PORTIFÓLIO'!$C$4:$C$433,0)),"")</f>
        <v/>
      </c>
      <c r="L194" s="219" t="str">
        <f t="array" ref="L194">IFERROR(J194*INDEX('PORTIFÓLIO'!$S$4:$S$433,MATCH($C194,'PORTIFÓLIO'!$C$4:$C$433,0)),"")</f>
        <v/>
      </c>
      <c r="M194" s="227"/>
      <c r="N194" s="220"/>
      <c r="O194" s="220"/>
      <c r="P194" s="220"/>
      <c r="Q194" s="220"/>
      <c r="R194" s="220"/>
      <c r="S194" s="220"/>
      <c r="T194" s="220"/>
      <c r="U194" s="220"/>
      <c r="V194" s="220"/>
      <c r="W194" s="220"/>
    </row>
    <row r="195" ht="15.75" customHeight="1" outlineLevel="1">
      <c r="A195" s="211"/>
      <c r="B195" s="212"/>
      <c r="C195" s="213"/>
      <c r="D195" s="214" t="str">
        <f>IFERROR(VLOOKUP($C195,'PORTIFÓLIO'!C:V,2,0),"")</f>
        <v/>
      </c>
      <c r="E195" s="211" t="str">
        <f>IFERROR(VLOOKUP($C195,'PORTIFÓLIO'!C:V,3,0),"")</f>
        <v/>
      </c>
      <c r="F195" s="211" t="str">
        <f>IFERROR(VLOOKUP($C195,'PORTIFÓLIO'!C:V,4,0),"")</f>
        <v/>
      </c>
      <c r="G195" s="215" t="str">
        <f>IFERROR(VLOOKUP($C195,'PORTIFÓLIO'!C:V,5,0),"")</f>
        <v/>
      </c>
      <c r="H195" s="254" t="str">
        <f t="array" ref="H195">IFERROR(INDEX('PORTIFÓLIO'!$H$4:$H$433,MATCH($C195,'PORTIFÓLIO'!$C$4:$C$433,0)),"")</f>
        <v/>
      </c>
      <c r="I195" s="256"/>
      <c r="J195" s="218">
        <f t="shared" si="22"/>
        <v>0</v>
      </c>
      <c r="K195" s="219" t="str">
        <f t="array" ref="K195">IFERROR(I195*INDEX('PORTIFÓLIO'!$S$4:$S$433,MATCH($C195,'PORTIFÓLIO'!$C$4:$C$433,0)),"")</f>
        <v/>
      </c>
      <c r="L195" s="219" t="str">
        <f t="array" ref="L195">IFERROR(J195*INDEX('PORTIFÓLIO'!$S$4:$S$433,MATCH($C195,'PORTIFÓLIO'!$C$4:$C$433,0)),"")</f>
        <v/>
      </c>
      <c r="M195" s="227"/>
      <c r="N195" s="220"/>
      <c r="O195" s="220"/>
      <c r="P195" s="220"/>
      <c r="Q195" s="220"/>
      <c r="R195" s="220"/>
      <c r="S195" s="220"/>
      <c r="T195" s="220"/>
      <c r="U195" s="220"/>
      <c r="V195" s="220"/>
      <c r="W195" s="220"/>
    </row>
    <row r="196" ht="15.75" customHeight="1" outlineLevel="1">
      <c r="A196" s="211"/>
      <c r="B196" s="212"/>
      <c r="C196" s="213"/>
      <c r="D196" s="214" t="str">
        <f>IFERROR(VLOOKUP($C196,'PORTIFÓLIO'!C:V,2,0),"")</f>
        <v/>
      </c>
      <c r="E196" s="211" t="str">
        <f>IFERROR(VLOOKUP($C196,'PORTIFÓLIO'!C:V,3,0),"")</f>
        <v/>
      </c>
      <c r="F196" s="211" t="str">
        <f>IFERROR(VLOOKUP($C196,'PORTIFÓLIO'!C:V,4,0),"")</f>
        <v/>
      </c>
      <c r="G196" s="215" t="str">
        <f>IFERROR(VLOOKUP($C196,'PORTIFÓLIO'!C:V,5,0),"")</f>
        <v/>
      </c>
      <c r="H196" s="254" t="str">
        <f t="array" ref="H196">IFERROR(INDEX('PORTIFÓLIO'!$H$4:$H$433,MATCH($C196,'PORTIFÓLIO'!$C$4:$C$433,0)),"")</f>
        <v/>
      </c>
      <c r="I196" s="256"/>
      <c r="J196" s="218">
        <f t="shared" si="22"/>
        <v>0</v>
      </c>
      <c r="K196" s="219" t="str">
        <f t="array" ref="K196">IFERROR(I196*INDEX('PORTIFÓLIO'!$S$4:$S$433,MATCH($C196,'PORTIFÓLIO'!$C$4:$C$433,0)),"")</f>
        <v/>
      </c>
      <c r="L196" s="219" t="str">
        <f t="array" ref="L196">IFERROR(J196*INDEX('PORTIFÓLIO'!$S$4:$S$433,MATCH($C196,'PORTIFÓLIO'!$C$4:$C$433,0)),"")</f>
        <v/>
      </c>
      <c r="M196" s="227"/>
      <c r="N196" s="220"/>
      <c r="O196" s="220"/>
      <c r="P196" s="220"/>
      <c r="Q196" s="220"/>
      <c r="R196" s="220"/>
      <c r="S196" s="220"/>
      <c r="T196" s="220"/>
      <c r="U196" s="220"/>
      <c r="V196" s="220"/>
      <c r="W196" s="220"/>
    </row>
    <row r="197" ht="15.75" customHeight="1" outlineLevel="1">
      <c r="A197" s="211"/>
      <c r="B197" s="212"/>
      <c r="C197" s="213"/>
      <c r="D197" s="214" t="str">
        <f>IFERROR(VLOOKUP($C197,'PORTIFÓLIO'!C:V,2,0),"")</f>
        <v/>
      </c>
      <c r="E197" s="211" t="str">
        <f>IFERROR(VLOOKUP($C197,'PORTIFÓLIO'!C:V,3,0),"")</f>
        <v/>
      </c>
      <c r="F197" s="211" t="str">
        <f>IFERROR(VLOOKUP($C197,'PORTIFÓLIO'!C:V,4,0),"")</f>
        <v/>
      </c>
      <c r="G197" s="215" t="str">
        <f>IFERROR(VLOOKUP($C197,'PORTIFÓLIO'!C:V,5,0),"")</f>
        <v/>
      </c>
      <c r="H197" s="254" t="str">
        <f t="array" ref="H197">IFERROR(INDEX('PORTIFÓLIO'!$H$4:$H$433,MATCH($C197,'PORTIFÓLIO'!$C$4:$C$433,0)),"")</f>
        <v/>
      </c>
      <c r="I197" s="256"/>
      <c r="J197" s="218">
        <f t="shared" si="22"/>
        <v>0</v>
      </c>
      <c r="K197" s="219" t="str">
        <f t="array" ref="K197">IFERROR(I197*INDEX('PORTIFÓLIO'!$S$4:$S$433,MATCH($C197,'PORTIFÓLIO'!$C$4:$C$433,0)),"")</f>
        <v/>
      </c>
      <c r="L197" s="219" t="str">
        <f t="array" ref="L197">IFERROR(J197*INDEX('PORTIFÓLIO'!$S$4:$S$433,MATCH($C197,'PORTIFÓLIO'!$C$4:$C$433,0)),"")</f>
        <v/>
      </c>
      <c r="M197" s="227"/>
      <c r="N197" s="220"/>
      <c r="O197" s="220"/>
      <c r="P197" s="220"/>
      <c r="Q197" s="220"/>
      <c r="R197" s="220"/>
      <c r="S197" s="220"/>
      <c r="T197" s="220"/>
      <c r="U197" s="220"/>
      <c r="V197" s="220"/>
      <c r="W197" s="220"/>
    </row>
    <row r="198" ht="15.75" customHeight="1" outlineLevel="1">
      <c r="A198" s="211"/>
      <c r="B198" s="227"/>
      <c r="C198" s="211"/>
      <c r="D198" s="214" t="str">
        <f>IFERROR(VLOOKUP($C198,'PORTIFÓLIO'!C:V,2,0),"")</f>
        <v/>
      </c>
      <c r="E198" s="211" t="str">
        <f>IFERROR(VLOOKUP($C198,'PORTIFÓLIO'!C:V,3,0),"")</f>
        <v/>
      </c>
      <c r="F198" s="211" t="str">
        <f>IFERROR(VLOOKUP($C198,'PORTIFÓLIO'!C:V,4,0),"")</f>
        <v/>
      </c>
      <c r="G198" s="215" t="str">
        <f>IFERROR(VLOOKUP($C198,'PORTIFÓLIO'!C:V,5,0),"")</f>
        <v/>
      </c>
      <c r="H198" s="254" t="str">
        <f t="array" ref="H198">IFERROR(INDEX('PORTIFÓLIO'!$H$4:$H$433,MATCH($C198,'PORTIFÓLIO'!$C$4:$C$433,0)),"")</f>
        <v/>
      </c>
      <c r="I198" s="256"/>
      <c r="J198" s="218">
        <f t="shared" si="22"/>
        <v>0</v>
      </c>
      <c r="K198" s="219" t="str">
        <f t="array" ref="K198">IFERROR(I198*INDEX('PORTIFÓLIO'!$S$4:$S$433,MATCH($C198,'PORTIFÓLIO'!$C$4:$C$433,0)),"")</f>
        <v/>
      </c>
      <c r="L198" s="219" t="str">
        <f t="array" ref="L198">IFERROR(J198*INDEX('PORTIFÓLIO'!$S$4:$S$433,MATCH($C198,'PORTIFÓLIO'!$C$4:$C$433,0)),"")</f>
        <v/>
      </c>
      <c r="M198" s="227"/>
      <c r="N198" s="220"/>
      <c r="O198" s="220"/>
      <c r="P198" s="220"/>
      <c r="Q198" s="220"/>
      <c r="R198" s="220"/>
      <c r="S198" s="220"/>
      <c r="T198" s="220"/>
      <c r="U198" s="220"/>
      <c r="V198" s="220"/>
      <c r="W198" s="220"/>
    </row>
    <row r="199" ht="15.75" customHeight="1" outlineLevel="1">
      <c r="A199" s="211"/>
      <c r="B199" s="227"/>
      <c r="C199" s="211"/>
      <c r="D199" s="214" t="str">
        <f>IFERROR(VLOOKUP($C199,'PORTIFÓLIO'!C:V,2,0),"")</f>
        <v/>
      </c>
      <c r="E199" s="211" t="str">
        <f>IFERROR(VLOOKUP($C199,'PORTIFÓLIO'!C:V,3,0),"")</f>
        <v/>
      </c>
      <c r="F199" s="211" t="str">
        <f>IFERROR(VLOOKUP($C199,'PORTIFÓLIO'!C:V,4,0),"")</f>
        <v/>
      </c>
      <c r="G199" s="215" t="str">
        <f>IFERROR(VLOOKUP($C199,'PORTIFÓLIO'!C:V,5,0),"")</f>
        <v/>
      </c>
      <c r="H199" s="254" t="str">
        <f t="array" ref="H199">IFERROR(INDEX('PORTIFÓLIO'!$H$4:$H$433,MATCH($C199,'PORTIFÓLIO'!$C$4:$C$433,0)),"")</f>
        <v/>
      </c>
      <c r="I199" s="256"/>
      <c r="J199" s="218">
        <f t="shared" si="22"/>
        <v>0</v>
      </c>
      <c r="K199" s="219" t="str">
        <f t="array" ref="K199">IFERROR(I199*INDEX('PORTIFÓLIO'!$S$4:$S$433,MATCH($C199,'PORTIFÓLIO'!$C$4:$C$433,0)),"")</f>
        <v/>
      </c>
      <c r="L199" s="219" t="str">
        <f t="array" ref="L199">IFERROR(J199*INDEX('PORTIFÓLIO'!$S$4:$S$433,MATCH($C199,'PORTIFÓLIO'!$C$4:$C$433,0)),"")</f>
        <v/>
      </c>
      <c r="M199" s="227"/>
      <c r="N199" s="220"/>
      <c r="O199" s="220"/>
      <c r="P199" s="220"/>
      <c r="Q199" s="220"/>
      <c r="R199" s="220"/>
      <c r="S199" s="220"/>
      <c r="T199" s="220"/>
      <c r="U199" s="220"/>
      <c r="V199" s="220"/>
      <c r="W199" s="220"/>
    </row>
    <row r="200" ht="15.75" customHeight="1">
      <c r="A200" s="229" t="s">
        <v>1202</v>
      </c>
      <c r="B200" s="230"/>
      <c r="C200" s="231"/>
      <c r="D200" s="232"/>
      <c r="E200" s="231"/>
      <c r="F200" s="231"/>
      <c r="G200" s="233"/>
      <c r="H200" s="233"/>
      <c r="I200" s="258"/>
      <c r="J200" s="236"/>
      <c r="K200" s="237">
        <f t="shared" ref="K200:L200" si="23">SUBTOTAL(9,K201:K214)</f>
        <v>0</v>
      </c>
      <c r="L200" s="237">
        <f t="shared" si="23"/>
        <v>0</v>
      </c>
      <c r="M200" s="227"/>
      <c r="N200" s="220"/>
      <c r="O200" s="220"/>
      <c r="P200" s="220"/>
      <c r="Q200" s="220"/>
      <c r="R200" s="220"/>
      <c r="S200" s="220"/>
      <c r="T200" s="220"/>
      <c r="U200" s="220"/>
      <c r="V200" s="220"/>
      <c r="W200" s="220"/>
    </row>
    <row r="201" ht="15.75" customHeight="1" outlineLevel="1">
      <c r="A201" s="213"/>
      <c r="B201" s="212"/>
      <c r="C201" s="213"/>
      <c r="D201" s="214" t="str">
        <f>IFERROR(VLOOKUP($C201,'PORTIFÓLIO'!C:V,2,0),"")</f>
        <v/>
      </c>
      <c r="E201" s="211" t="str">
        <f>IFERROR(VLOOKUP($C201,'PORTIFÓLIO'!C:V,3,0),"")</f>
        <v/>
      </c>
      <c r="F201" s="211" t="str">
        <f>IFERROR(VLOOKUP($C201,'PORTIFÓLIO'!C:V,4,0),"")</f>
        <v/>
      </c>
      <c r="G201" s="215" t="str">
        <f>IFERROR(VLOOKUP($C201,'PORTIFÓLIO'!C:V,5,0),"")</f>
        <v/>
      </c>
      <c r="H201" s="254" t="str">
        <f t="array" ref="H201">IFERROR(INDEX('PORTIFÓLIO'!$H$4:$H$433,MATCH($C201,'PORTIFÓLIO'!$C$4:$C$433,0)),"")</f>
        <v/>
      </c>
      <c r="I201" s="256"/>
      <c r="J201" s="218">
        <f t="shared" ref="J201:J224" si="24">I201*$B$2</f>
        <v>0</v>
      </c>
      <c r="K201" s="219" t="str">
        <f>IFERROR(I201* VLOOKUP($C201,'PORTIFÓLIO'!C:V,10,0),"")</f>
        <v/>
      </c>
      <c r="L201" s="219" t="str">
        <f>IFERROR(J201* VLOOKUP($C201,'PORTIFÓLIO'!C:V,10,0),"")</f>
        <v/>
      </c>
      <c r="M201" s="227"/>
      <c r="N201" s="220"/>
      <c r="O201" s="220"/>
      <c r="P201" s="220"/>
      <c r="Q201" s="220"/>
      <c r="R201" s="220"/>
      <c r="S201" s="220"/>
      <c r="T201" s="220"/>
      <c r="U201" s="220"/>
      <c r="V201" s="220"/>
      <c r="W201" s="220"/>
    </row>
    <row r="202" ht="15.75" customHeight="1" outlineLevel="1">
      <c r="A202" s="211"/>
      <c r="B202" s="212"/>
      <c r="C202" s="213"/>
      <c r="D202" s="214" t="str">
        <f>IFERROR(VLOOKUP($C202,'PORTIFÓLIO'!C:V,2,0),"")</f>
        <v/>
      </c>
      <c r="E202" s="211" t="str">
        <f>IFERROR(VLOOKUP($C202,'PORTIFÓLIO'!C:V,3,0),"")</f>
        <v/>
      </c>
      <c r="F202" s="211" t="str">
        <f>IFERROR(VLOOKUP($C202,'PORTIFÓLIO'!C:V,4,0),"")</f>
        <v/>
      </c>
      <c r="G202" s="215" t="str">
        <f>IFERROR(VLOOKUP($C202,'PORTIFÓLIO'!C:V,5,0),"")</f>
        <v/>
      </c>
      <c r="H202" s="254" t="str">
        <f t="array" ref="H202">IFERROR(INDEX('PORTIFÓLIO'!$H$4:$H$433,MATCH($C202,'PORTIFÓLIO'!$C$4:$C$433,0)),"")</f>
        <v/>
      </c>
      <c r="I202" s="256"/>
      <c r="J202" s="218">
        <f t="shared" si="24"/>
        <v>0</v>
      </c>
      <c r="K202" s="219" t="str">
        <f>IFERROR(I202* VLOOKUP($C202,'PORTIFÓLIO'!C:V,10,0),"")</f>
        <v/>
      </c>
      <c r="L202" s="219" t="str">
        <f>IFERROR(J202* VLOOKUP($C202,'PORTIFÓLIO'!C:V,10,0),"")</f>
        <v/>
      </c>
      <c r="M202" s="227"/>
      <c r="N202" s="220"/>
      <c r="O202" s="220"/>
      <c r="P202" s="220"/>
      <c r="Q202" s="220"/>
      <c r="R202" s="220"/>
      <c r="S202" s="220"/>
      <c r="T202" s="220"/>
      <c r="U202" s="220"/>
      <c r="V202" s="220"/>
      <c r="W202" s="220"/>
    </row>
    <row r="203" ht="15.75" customHeight="1" outlineLevel="1">
      <c r="A203" s="211"/>
      <c r="B203" s="212"/>
      <c r="C203" s="213"/>
      <c r="D203" s="214" t="str">
        <f>IFERROR(VLOOKUP($C203,'PORTIFÓLIO'!C:V,2,0),"")</f>
        <v/>
      </c>
      <c r="E203" s="211" t="str">
        <f>IFERROR(VLOOKUP($C203,'PORTIFÓLIO'!C:V,3,0),"")</f>
        <v/>
      </c>
      <c r="F203" s="211" t="str">
        <f>IFERROR(VLOOKUP($C203,'PORTIFÓLIO'!C:V,4,0),"")</f>
        <v/>
      </c>
      <c r="G203" s="215" t="str">
        <f>IFERROR(VLOOKUP($C203,'PORTIFÓLIO'!C:V,5,0),"")</f>
        <v/>
      </c>
      <c r="H203" s="254" t="str">
        <f t="array" ref="H203">IFERROR(INDEX('PORTIFÓLIO'!$H$4:$H$433,MATCH($C203,'PORTIFÓLIO'!$C$4:$C$433,0)),"")</f>
        <v/>
      </c>
      <c r="I203" s="256"/>
      <c r="J203" s="218">
        <f t="shared" si="24"/>
        <v>0</v>
      </c>
      <c r="K203" s="219" t="str">
        <f>IFERROR(I203* VLOOKUP($C203,'PORTIFÓLIO'!C:V,10,0),"")</f>
        <v/>
      </c>
      <c r="L203" s="219" t="str">
        <f>IFERROR(J203* VLOOKUP($C203,'PORTIFÓLIO'!C:V,10,0),"")</f>
        <v/>
      </c>
      <c r="M203" s="227"/>
      <c r="N203" s="220"/>
      <c r="O203" s="220"/>
      <c r="P203" s="220"/>
      <c r="Q203" s="220"/>
      <c r="R203" s="220"/>
      <c r="S203" s="220"/>
      <c r="T203" s="220"/>
      <c r="U203" s="220"/>
      <c r="V203" s="220"/>
      <c r="W203" s="220"/>
    </row>
    <row r="204" ht="15.75" customHeight="1" outlineLevel="1">
      <c r="A204" s="211"/>
      <c r="B204" s="212"/>
      <c r="C204" s="213"/>
      <c r="D204" s="214" t="str">
        <f>IFERROR(VLOOKUP($C204,'PORTIFÓLIO'!C:V,2,0),"")</f>
        <v/>
      </c>
      <c r="E204" s="211" t="str">
        <f>IFERROR(VLOOKUP($C204,'PORTIFÓLIO'!C:V,3,0),"")</f>
        <v/>
      </c>
      <c r="F204" s="211" t="str">
        <f>IFERROR(VLOOKUP($C204,'PORTIFÓLIO'!C:V,4,0),"")</f>
        <v/>
      </c>
      <c r="G204" s="215" t="str">
        <f>IFERROR(VLOOKUP($C204,'PORTIFÓLIO'!C:V,5,0),"")</f>
        <v/>
      </c>
      <c r="H204" s="254" t="str">
        <f t="array" ref="H204">IFERROR(INDEX('PORTIFÓLIO'!$H$4:$H$433,MATCH($C204,'PORTIFÓLIO'!$C$4:$C$433,0)),"")</f>
        <v/>
      </c>
      <c r="I204" s="256"/>
      <c r="J204" s="218">
        <f t="shared" si="24"/>
        <v>0</v>
      </c>
      <c r="K204" s="219" t="str">
        <f>IFERROR(I204* VLOOKUP($C204,'PORTIFÓLIO'!C:V,10,0),"")</f>
        <v/>
      </c>
      <c r="L204" s="219" t="str">
        <f>IFERROR(J204* VLOOKUP($C204,'PORTIFÓLIO'!C:V,10,0),"")</f>
        <v/>
      </c>
      <c r="M204" s="227"/>
      <c r="N204" s="220"/>
      <c r="O204" s="220"/>
      <c r="P204" s="220"/>
      <c r="Q204" s="220"/>
      <c r="R204" s="220"/>
      <c r="S204" s="220"/>
      <c r="T204" s="220"/>
      <c r="U204" s="220"/>
      <c r="V204" s="220"/>
      <c r="W204" s="220"/>
    </row>
    <row r="205" ht="15.75" customHeight="1" outlineLevel="1">
      <c r="A205" s="211"/>
      <c r="B205" s="212"/>
      <c r="C205" s="213"/>
      <c r="D205" s="214" t="str">
        <f>IFERROR(VLOOKUP($C205,'PORTIFÓLIO'!C:V,2,0),"")</f>
        <v/>
      </c>
      <c r="E205" s="211" t="str">
        <f>IFERROR(VLOOKUP($C205,'PORTIFÓLIO'!C:V,3,0),"")</f>
        <v/>
      </c>
      <c r="F205" s="211" t="str">
        <f>IFERROR(VLOOKUP($C205,'PORTIFÓLIO'!C:V,4,0),"")</f>
        <v/>
      </c>
      <c r="G205" s="215" t="str">
        <f>IFERROR(VLOOKUP($C205,'PORTIFÓLIO'!C:V,5,0),"")</f>
        <v/>
      </c>
      <c r="H205" s="254" t="str">
        <f t="array" ref="H205">IFERROR(INDEX('PORTIFÓLIO'!$H$4:$H$433,MATCH($C205,'PORTIFÓLIO'!$C$4:$C$433,0)),"")</f>
        <v/>
      </c>
      <c r="I205" s="256"/>
      <c r="J205" s="218">
        <f t="shared" si="24"/>
        <v>0</v>
      </c>
      <c r="K205" s="219" t="str">
        <f>IFERROR(I205* VLOOKUP($C205,'PORTIFÓLIO'!C:V,10,0),"")</f>
        <v/>
      </c>
      <c r="L205" s="219" t="str">
        <f>IFERROR(J205* VLOOKUP($C205,'PORTIFÓLIO'!C:V,10,0),"")</f>
        <v/>
      </c>
      <c r="M205" s="227"/>
      <c r="N205" s="220"/>
      <c r="O205" s="220"/>
      <c r="P205" s="220"/>
      <c r="Q205" s="220"/>
      <c r="R205" s="220"/>
      <c r="S205" s="220"/>
      <c r="T205" s="220"/>
      <c r="U205" s="220"/>
      <c r="V205" s="220"/>
      <c r="W205" s="220"/>
    </row>
    <row r="206" ht="15.75" customHeight="1" outlineLevel="1">
      <c r="A206" s="211"/>
      <c r="B206" s="212"/>
      <c r="C206" s="213"/>
      <c r="D206" s="214" t="str">
        <f>IFERROR(VLOOKUP($C206,'PORTIFÓLIO'!C:V,2,0),"")</f>
        <v/>
      </c>
      <c r="E206" s="211" t="str">
        <f>IFERROR(VLOOKUP($C206,'PORTIFÓLIO'!C:V,3,0),"")</f>
        <v/>
      </c>
      <c r="F206" s="211" t="str">
        <f>IFERROR(VLOOKUP($C206,'PORTIFÓLIO'!C:V,4,0),"")</f>
        <v/>
      </c>
      <c r="G206" s="215" t="str">
        <f>IFERROR(VLOOKUP($C206,'PORTIFÓLIO'!C:V,5,0),"")</f>
        <v/>
      </c>
      <c r="H206" s="254" t="str">
        <f t="array" ref="H206">IFERROR(INDEX('PORTIFÓLIO'!$H$4:$H$433,MATCH($C206,'PORTIFÓLIO'!$C$4:$C$433,0)),"")</f>
        <v/>
      </c>
      <c r="I206" s="256"/>
      <c r="J206" s="218">
        <f t="shared" si="24"/>
        <v>0</v>
      </c>
      <c r="K206" s="219" t="str">
        <f>IFERROR(I206* VLOOKUP($C206,'PORTIFÓLIO'!C:V,10,0),"")</f>
        <v/>
      </c>
      <c r="L206" s="219" t="str">
        <f>IFERROR(J206* VLOOKUP($C206,'PORTIFÓLIO'!C:V,10,0),"")</f>
        <v/>
      </c>
      <c r="M206" s="227"/>
      <c r="N206" s="220"/>
      <c r="O206" s="220"/>
      <c r="P206" s="220"/>
      <c r="Q206" s="220"/>
      <c r="R206" s="220"/>
      <c r="S206" s="220"/>
      <c r="T206" s="220"/>
      <c r="U206" s="220"/>
      <c r="V206" s="220"/>
      <c r="W206" s="220"/>
    </row>
    <row r="207" ht="15.75" customHeight="1" outlineLevel="1">
      <c r="A207" s="211"/>
      <c r="B207" s="212"/>
      <c r="C207" s="213"/>
      <c r="D207" s="214" t="str">
        <f>IFERROR(VLOOKUP($C207,'PORTIFÓLIO'!C:V,2,0),"")</f>
        <v/>
      </c>
      <c r="E207" s="211" t="str">
        <f>IFERROR(VLOOKUP($C207,'PORTIFÓLIO'!C:V,3,0),"")</f>
        <v/>
      </c>
      <c r="F207" s="211" t="str">
        <f>IFERROR(VLOOKUP($C207,'PORTIFÓLIO'!C:V,4,0),"")</f>
        <v/>
      </c>
      <c r="G207" s="215" t="str">
        <f>IFERROR(VLOOKUP($C207,'PORTIFÓLIO'!C:V,5,0),"")</f>
        <v/>
      </c>
      <c r="H207" s="254" t="str">
        <f t="array" ref="H207">IFERROR(INDEX('PORTIFÓLIO'!$H$4:$H$433,MATCH($C207,'PORTIFÓLIO'!$C$4:$C$433,0)),"")</f>
        <v/>
      </c>
      <c r="I207" s="256"/>
      <c r="J207" s="218">
        <f t="shared" si="24"/>
        <v>0</v>
      </c>
      <c r="K207" s="219" t="str">
        <f>IFERROR(I207* VLOOKUP($C207,'PORTIFÓLIO'!C:V,10,0),"")</f>
        <v/>
      </c>
      <c r="L207" s="219" t="str">
        <f>IFERROR(J207* VLOOKUP($C207,'PORTIFÓLIO'!C:V,10,0),"")</f>
        <v/>
      </c>
      <c r="M207" s="227"/>
      <c r="N207" s="220"/>
      <c r="O207" s="220"/>
      <c r="P207" s="220"/>
      <c r="Q207" s="220"/>
      <c r="R207" s="220"/>
      <c r="S207" s="220"/>
      <c r="T207" s="220"/>
      <c r="U207" s="220"/>
      <c r="V207" s="220"/>
      <c r="W207" s="220"/>
    </row>
    <row r="208" ht="15.75" customHeight="1" outlineLevel="1">
      <c r="A208" s="211"/>
      <c r="B208" s="212"/>
      <c r="C208" s="213"/>
      <c r="D208" s="214" t="str">
        <f>IFERROR(VLOOKUP($C208,'PORTIFÓLIO'!C:V,2,0),"")</f>
        <v/>
      </c>
      <c r="E208" s="211" t="str">
        <f>IFERROR(VLOOKUP($C208,'PORTIFÓLIO'!C:V,3,0),"")</f>
        <v/>
      </c>
      <c r="F208" s="211" t="str">
        <f>IFERROR(VLOOKUP($C208,'PORTIFÓLIO'!C:V,4,0),"")</f>
        <v/>
      </c>
      <c r="G208" s="215" t="str">
        <f>IFERROR(VLOOKUP($C208,'PORTIFÓLIO'!C:V,5,0),"")</f>
        <v/>
      </c>
      <c r="H208" s="254" t="str">
        <f t="array" ref="H208">IFERROR(INDEX('PORTIFÓLIO'!$H$4:$H$433,MATCH($C208,'PORTIFÓLIO'!$C$4:$C$433,0)),"")</f>
        <v/>
      </c>
      <c r="I208" s="256"/>
      <c r="J208" s="218">
        <f t="shared" si="24"/>
        <v>0</v>
      </c>
      <c r="K208" s="219" t="str">
        <f>IFERROR(I208* VLOOKUP($C208,'PORTIFÓLIO'!C:V,10,0),"")</f>
        <v/>
      </c>
      <c r="L208" s="219" t="str">
        <f>IFERROR(J208* VLOOKUP($C208,'PORTIFÓLIO'!C:V,10,0),"")</f>
        <v/>
      </c>
      <c r="M208" s="227"/>
      <c r="N208" s="220"/>
      <c r="O208" s="220"/>
      <c r="P208" s="220"/>
      <c r="Q208" s="220"/>
      <c r="R208" s="220"/>
      <c r="S208" s="220"/>
      <c r="T208" s="220"/>
      <c r="U208" s="220"/>
      <c r="V208" s="220"/>
      <c r="W208" s="220"/>
    </row>
    <row r="209" ht="15.75" customHeight="1" outlineLevel="1">
      <c r="A209" s="211"/>
      <c r="B209" s="212"/>
      <c r="C209" s="213"/>
      <c r="D209" s="214" t="str">
        <f>IFERROR(VLOOKUP($C209,'PORTIFÓLIO'!C:V,2,0),"")</f>
        <v/>
      </c>
      <c r="E209" s="211" t="str">
        <f>IFERROR(VLOOKUP($C209,'PORTIFÓLIO'!C:V,3,0),"")</f>
        <v/>
      </c>
      <c r="F209" s="211" t="str">
        <f>IFERROR(VLOOKUP($C209,'PORTIFÓLIO'!C:V,4,0),"")</f>
        <v/>
      </c>
      <c r="G209" s="215" t="str">
        <f>IFERROR(VLOOKUP($C209,'PORTIFÓLIO'!C:V,5,0),"")</f>
        <v/>
      </c>
      <c r="H209" s="254" t="str">
        <f t="array" ref="H209">IFERROR(INDEX('PORTIFÓLIO'!$H$4:$H$433,MATCH($C209,'PORTIFÓLIO'!$C$4:$C$433,0)),"")</f>
        <v/>
      </c>
      <c r="I209" s="256"/>
      <c r="J209" s="218">
        <f t="shared" si="24"/>
        <v>0</v>
      </c>
      <c r="K209" s="219" t="str">
        <f>IFERROR(I209* VLOOKUP($C209,'PORTIFÓLIO'!C:V,10,0),"")</f>
        <v/>
      </c>
      <c r="L209" s="219" t="str">
        <f>IFERROR(J209* VLOOKUP($C209,'PORTIFÓLIO'!C:V,10,0),"")</f>
        <v/>
      </c>
      <c r="M209" s="227"/>
      <c r="N209" s="220"/>
      <c r="O209" s="220"/>
      <c r="P209" s="220"/>
      <c r="Q209" s="220"/>
      <c r="R209" s="220"/>
      <c r="S209" s="220"/>
      <c r="T209" s="220"/>
      <c r="U209" s="220"/>
      <c r="V209" s="220"/>
      <c r="W209" s="220"/>
    </row>
    <row r="210" ht="15.75" customHeight="1" outlineLevel="1">
      <c r="A210" s="211"/>
      <c r="B210" s="212"/>
      <c r="C210" s="213"/>
      <c r="D210" s="214" t="str">
        <f>IFERROR(VLOOKUP($C210,'PORTIFÓLIO'!C:V,2,0),"")</f>
        <v/>
      </c>
      <c r="E210" s="211" t="str">
        <f>IFERROR(VLOOKUP($C210,'PORTIFÓLIO'!C:V,3,0),"")</f>
        <v/>
      </c>
      <c r="F210" s="211" t="str">
        <f>IFERROR(VLOOKUP($C210,'PORTIFÓLIO'!C:V,4,0),"")</f>
        <v/>
      </c>
      <c r="G210" s="215" t="str">
        <f>IFERROR(VLOOKUP($C210,'PORTIFÓLIO'!C:V,5,0),"")</f>
        <v/>
      </c>
      <c r="H210" s="254" t="str">
        <f t="array" ref="H210">IFERROR(INDEX('PORTIFÓLIO'!$H$4:$H$433,MATCH($C210,'PORTIFÓLIO'!$C$4:$C$433,0)),"")</f>
        <v/>
      </c>
      <c r="I210" s="256"/>
      <c r="J210" s="218">
        <f t="shared" si="24"/>
        <v>0</v>
      </c>
      <c r="K210" s="219" t="str">
        <f>IFERROR(I210* VLOOKUP($C210,'PORTIFÓLIO'!C:V,10,0),"")</f>
        <v/>
      </c>
      <c r="L210" s="219" t="str">
        <f>IFERROR(J210* VLOOKUP($C210,'PORTIFÓLIO'!C:V,10,0),"")</f>
        <v/>
      </c>
      <c r="M210" s="227"/>
      <c r="N210" s="220"/>
      <c r="O210" s="220"/>
      <c r="P210" s="220"/>
      <c r="Q210" s="220"/>
      <c r="R210" s="220"/>
      <c r="S210" s="220"/>
      <c r="T210" s="220"/>
      <c r="U210" s="220"/>
      <c r="V210" s="220"/>
      <c r="W210" s="220"/>
    </row>
    <row r="211" ht="15.75" customHeight="1" outlineLevel="1">
      <c r="A211" s="211"/>
      <c r="B211" s="212"/>
      <c r="C211" s="213"/>
      <c r="D211" s="214" t="str">
        <f>IFERROR(VLOOKUP($C211,'PORTIFÓLIO'!C:V,2,0),"")</f>
        <v/>
      </c>
      <c r="E211" s="211" t="str">
        <f>IFERROR(VLOOKUP($C211,'PORTIFÓLIO'!C:V,3,0),"")</f>
        <v/>
      </c>
      <c r="F211" s="211" t="str">
        <f>IFERROR(VLOOKUP($C211,'PORTIFÓLIO'!C:V,4,0),"")</f>
        <v/>
      </c>
      <c r="G211" s="215" t="str">
        <f>IFERROR(VLOOKUP($C211,'PORTIFÓLIO'!C:V,5,0),"")</f>
        <v/>
      </c>
      <c r="H211" s="254" t="str">
        <f t="array" ref="H211">IFERROR(INDEX('PORTIFÓLIO'!$H$4:$H$433,MATCH($C211,'PORTIFÓLIO'!$C$4:$C$433,0)),"")</f>
        <v/>
      </c>
      <c r="I211" s="256"/>
      <c r="J211" s="218">
        <f t="shared" si="24"/>
        <v>0</v>
      </c>
      <c r="K211" s="219" t="str">
        <f>IFERROR(I211* VLOOKUP($C211,'PORTIFÓLIO'!C:V,10,0),"")</f>
        <v/>
      </c>
      <c r="L211" s="219" t="str">
        <f>IFERROR(J211* VLOOKUP($C211,'PORTIFÓLIO'!C:V,10,0),"")</f>
        <v/>
      </c>
      <c r="M211" s="227"/>
      <c r="N211" s="220"/>
      <c r="O211" s="220"/>
      <c r="P211" s="220"/>
      <c r="Q211" s="220"/>
      <c r="R211" s="220"/>
      <c r="S211" s="220"/>
      <c r="T211" s="220"/>
      <c r="U211" s="220"/>
      <c r="V211" s="220"/>
      <c r="W211" s="220"/>
    </row>
    <row r="212" ht="15.75" customHeight="1" outlineLevel="1">
      <c r="A212" s="211"/>
      <c r="B212" s="212"/>
      <c r="C212" s="213"/>
      <c r="D212" s="214" t="str">
        <f>IFERROR(VLOOKUP($C212,'PORTIFÓLIO'!C:V,2,0),"")</f>
        <v/>
      </c>
      <c r="E212" s="211" t="str">
        <f>IFERROR(VLOOKUP($C212,'PORTIFÓLIO'!C:V,3,0),"")</f>
        <v/>
      </c>
      <c r="F212" s="211" t="str">
        <f>IFERROR(VLOOKUP($C212,'PORTIFÓLIO'!C:V,4,0),"")</f>
        <v/>
      </c>
      <c r="G212" s="215" t="str">
        <f>IFERROR(VLOOKUP($C212,'PORTIFÓLIO'!C:V,5,0),"")</f>
        <v/>
      </c>
      <c r="H212" s="254" t="str">
        <f t="array" ref="H212">IFERROR(INDEX('PORTIFÓLIO'!$H$4:$H$433,MATCH($C212,'PORTIFÓLIO'!$C$4:$C$433,0)),"")</f>
        <v/>
      </c>
      <c r="I212" s="256"/>
      <c r="J212" s="218">
        <f t="shared" si="24"/>
        <v>0</v>
      </c>
      <c r="K212" s="219" t="str">
        <f>IFERROR(I212* VLOOKUP($C212,'PORTIFÓLIO'!C:V,10,0),"")</f>
        <v/>
      </c>
      <c r="L212" s="219" t="str">
        <f>IFERROR(J212* VLOOKUP($C212,'PORTIFÓLIO'!C:V,10,0),"")</f>
        <v/>
      </c>
      <c r="M212" s="227"/>
      <c r="N212" s="220"/>
      <c r="O212" s="220"/>
      <c r="P212" s="220"/>
      <c r="Q212" s="220"/>
      <c r="R212" s="220"/>
      <c r="S212" s="220"/>
      <c r="T212" s="220"/>
      <c r="U212" s="220"/>
      <c r="V212" s="220"/>
      <c r="W212" s="220"/>
    </row>
    <row r="213" ht="15.75" customHeight="1" outlineLevel="1">
      <c r="A213" s="211"/>
      <c r="B213" s="212"/>
      <c r="C213" s="213"/>
      <c r="D213" s="214" t="str">
        <f>IFERROR(VLOOKUP($C213,'PORTIFÓLIO'!C:V,2,0),"")</f>
        <v/>
      </c>
      <c r="E213" s="211" t="str">
        <f>IFERROR(VLOOKUP($C213,'PORTIFÓLIO'!C:V,3,0),"")</f>
        <v/>
      </c>
      <c r="F213" s="211" t="str">
        <f>IFERROR(VLOOKUP($C213,'PORTIFÓLIO'!C:V,4,0),"")</f>
        <v/>
      </c>
      <c r="G213" s="215" t="str">
        <f>IFERROR(VLOOKUP($C213,'PORTIFÓLIO'!C:V,5,0),"")</f>
        <v/>
      </c>
      <c r="H213" s="254" t="str">
        <f t="array" ref="H213">IFERROR(INDEX('PORTIFÓLIO'!$H$4:$H$433,MATCH($C213,'PORTIFÓLIO'!$C$4:$C$433,0)),"")</f>
        <v/>
      </c>
      <c r="I213" s="256"/>
      <c r="J213" s="218">
        <f t="shared" si="24"/>
        <v>0</v>
      </c>
      <c r="K213" s="219" t="str">
        <f>IFERROR(I213* VLOOKUP($C213,'PORTIFÓLIO'!C:V,10,0),"")</f>
        <v/>
      </c>
      <c r="L213" s="219" t="str">
        <f>IFERROR(J213* VLOOKUP($C213,'PORTIFÓLIO'!C:V,10,0),"")</f>
        <v/>
      </c>
      <c r="M213" s="227"/>
      <c r="N213" s="220"/>
      <c r="O213" s="220"/>
      <c r="P213" s="220"/>
      <c r="Q213" s="220"/>
      <c r="R213" s="220"/>
      <c r="S213" s="220"/>
      <c r="T213" s="220"/>
      <c r="U213" s="220"/>
      <c r="V213" s="220"/>
      <c r="W213" s="220"/>
    </row>
    <row r="214" ht="15.75" customHeight="1" outlineLevel="1">
      <c r="A214" s="211"/>
      <c r="B214" s="212"/>
      <c r="C214" s="213"/>
      <c r="D214" s="214" t="str">
        <f>IFERROR(VLOOKUP($C214,'PORTIFÓLIO'!C:V,2,0),"")</f>
        <v/>
      </c>
      <c r="E214" s="211" t="str">
        <f>IFERROR(VLOOKUP($C214,'PORTIFÓLIO'!C:V,3,0),"")</f>
        <v/>
      </c>
      <c r="F214" s="211" t="str">
        <f>IFERROR(VLOOKUP($C214,'PORTIFÓLIO'!C:V,4,0),"")</f>
        <v/>
      </c>
      <c r="G214" s="215" t="str">
        <f>IFERROR(VLOOKUP($C214,'PORTIFÓLIO'!C:V,5,0),"")</f>
        <v/>
      </c>
      <c r="H214" s="254" t="str">
        <f t="array" ref="H214">IFERROR(INDEX('PORTIFÓLIO'!$H$4:$H$433,MATCH($C214,'PORTIFÓLIO'!$C$4:$C$433,0)),"")</f>
        <v/>
      </c>
      <c r="I214" s="256"/>
      <c r="J214" s="218">
        <f t="shared" si="24"/>
        <v>0</v>
      </c>
      <c r="K214" s="219" t="str">
        <f>IFERROR(I214* VLOOKUP($C214,'PORTIFÓLIO'!C:V,10,0),"")</f>
        <v/>
      </c>
      <c r="L214" s="219" t="str">
        <f>IFERROR(J214* VLOOKUP($C214,'PORTIFÓLIO'!C:V,10,0),"")</f>
        <v/>
      </c>
      <c r="M214" s="227"/>
      <c r="N214" s="220"/>
      <c r="O214" s="220"/>
      <c r="P214" s="220"/>
      <c r="Q214" s="220"/>
      <c r="R214" s="220"/>
      <c r="S214" s="220"/>
      <c r="T214" s="220"/>
      <c r="U214" s="220"/>
      <c r="V214" s="220"/>
      <c r="W214" s="220"/>
    </row>
    <row r="215" ht="15.75" customHeight="1" outlineLevel="1">
      <c r="A215" s="211"/>
      <c r="B215" s="212"/>
      <c r="C215" s="213"/>
      <c r="D215" s="214" t="str">
        <f>IFERROR(VLOOKUP($C215,'PORTIFÓLIO'!C:V,2,0),"")</f>
        <v/>
      </c>
      <c r="E215" s="211" t="str">
        <f>IFERROR(VLOOKUP($C215,'PORTIFÓLIO'!C:V,3,0),"")</f>
        <v/>
      </c>
      <c r="F215" s="211" t="str">
        <f>IFERROR(VLOOKUP($C215,'PORTIFÓLIO'!C:V,4,0),"")</f>
        <v/>
      </c>
      <c r="G215" s="215" t="str">
        <f>IFERROR(VLOOKUP($C215,'PORTIFÓLIO'!C:V,5,0),"")</f>
        <v/>
      </c>
      <c r="H215" s="254" t="str">
        <f t="array" ref="H215">IFERROR(INDEX('PORTIFÓLIO'!$H$4:$H$433,MATCH($C215,'PORTIFÓLIO'!$C$4:$C$433,0)),"")</f>
        <v/>
      </c>
      <c r="I215" s="256"/>
      <c r="J215" s="218">
        <f t="shared" si="24"/>
        <v>0</v>
      </c>
      <c r="K215" s="219" t="str">
        <f>IFERROR(I215* VLOOKUP($C215,'PORTIFÓLIO'!C:V,10,0),"")</f>
        <v/>
      </c>
      <c r="L215" s="219" t="str">
        <f>IFERROR(J215* VLOOKUP($C215,'PORTIFÓLIO'!C:V,10,0),"")</f>
        <v/>
      </c>
      <c r="M215" s="227"/>
      <c r="N215" s="220"/>
      <c r="O215" s="220"/>
      <c r="P215" s="220"/>
      <c r="Q215" s="220"/>
      <c r="R215" s="220"/>
      <c r="S215" s="220"/>
      <c r="T215" s="220"/>
      <c r="U215" s="220"/>
      <c r="V215" s="220"/>
      <c r="W215" s="220"/>
    </row>
    <row r="216" ht="15.75" customHeight="1" outlineLevel="1">
      <c r="A216" s="211"/>
      <c r="B216" s="227"/>
      <c r="C216" s="211"/>
      <c r="D216" s="214" t="str">
        <f>IFERROR(VLOOKUP($C216,'PORTIFÓLIO'!C:V,2,0),"")</f>
        <v/>
      </c>
      <c r="E216" s="211" t="str">
        <f>IFERROR(VLOOKUP($C216,'PORTIFÓLIO'!C:V,3,0),"")</f>
        <v/>
      </c>
      <c r="F216" s="211" t="str">
        <f>IFERROR(VLOOKUP($C216,'PORTIFÓLIO'!C:V,4,0),"")</f>
        <v/>
      </c>
      <c r="G216" s="215" t="str">
        <f>IFERROR(VLOOKUP($C216,'PORTIFÓLIO'!C:V,5,0),"")</f>
        <v/>
      </c>
      <c r="H216" s="254" t="str">
        <f t="array" ref="H216">IFERROR(INDEX('PORTIFÓLIO'!$H$4:$H$433,MATCH($C216,'PORTIFÓLIO'!$C$4:$C$433,0)),"")</f>
        <v/>
      </c>
      <c r="I216" s="256"/>
      <c r="J216" s="218">
        <f t="shared" si="24"/>
        <v>0</v>
      </c>
      <c r="K216" s="219" t="str">
        <f>IFERROR(I216* VLOOKUP($C216,'PORTIFÓLIO'!C:V,10,0),"")</f>
        <v/>
      </c>
      <c r="L216" s="219" t="str">
        <f>IFERROR(J216* VLOOKUP($C216,'PORTIFÓLIO'!C:V,10,0),"")</f>
        <v/>
      </c>
      <c r="M216" s="227"/>
      <c r="N216" s="220"/>
      <c r="O216" s="220"/>
      <c r="P216" s="220"/>
      <c r="Q216" s="220"/>
      <c r="R216" s="220"/>
      <c r="S216" s="220"/>
      <c r="T216" s="220"/>
      <c r="U216" s="220"/>
      <c r="V216" s="220"/>
      <c r="W216" s="220"/>
    </row>
    <row r="217" ht="15.75" customHeight="1" outlineLevel="1">
      <c r="A217" s="211"/>
      <c r="B217" s="227"/>
      <c r="C217" s="211"/>
      <c r="D217" s="214" t="str">
        <f>IFERROR(VLOOKUP($C217,'PORTIFÓLIO'!C:V,2,0),"")</f>
        <v/>
      </c>
      <c r="E217" s="211" t="str">
        <f>IFERROR(VLOOKUP($C217,'PORTIFÓLIO'!C:V,3,0),"")</f>
        <v/>
      </c>
      <c r="F217" s="211" t="str">
        <f>IFERROR(VLOOKUP($C217,'PORTIFÓLIO'!C:V,4,0),"")</f>
        <v/>
      </c>
      <c r="G217" s="215" t="str">
        <f>IFERROR(VLOOKUP($C217,'PORTIFÓLIO'!C:V,5,0),"")</f>
        <v/>
      </c>
      <c r="H217" s="254" t="str">
        <f t="array" ref="H217">IFERROR(INDEX('PORTIFÓLIO'!$H$4:$H$433,MATCH($C217,'PORTIFÓLIO'!$C$4:$C$433,0)),"")</f>
        <v/>
      </c>
      <c r="I217" s="256"/>
      <c r="J217" s="218">
        <f t="shared" si="24"/>
        <v>0</v>
      </c>
      <c r="K217" s="219" t="str">
        <f>IFERROR(I217* VLOOKUP($C217,'PORTIFÓLIO'!C:V,10,0),"")</f>
        <v/>
      </c>
      <c r="L217" s="219" t="str">
        <f>IFERROR(J217* VLOOKUP($C217,'PORTIFÓLIO'!C:V,10,0),"")</f>
        <v/>
      </c>
      <c r="M217" s="227"/>
      <c r="N217" s="220"/>
      <c r="O217" s="220"/>
      <c r="P217" s="220"/>
      <c r="Q217" s="220"/>
      <c r="R217" s="220"/>
      <c r="S217" s="220"/>
      <c r="T217" s="220"/>
      <c r="U217" s="220"/>
      <c r="V217" s="220"/>
      <c r="W217" s="220"/>
    </row>
    <row r="218" ht="15.75" customHeight="1" outlineLevel="1">
      <c r="A218" s="211"/>
      <c r="B218" s="227"/>
      <c r="C218" s="211"/>
      <c r="D218" s="214" t="str">
        <f>IFERROR(VLOOKUP($C218,'PORTIFÓLIO'!C:V,2,0),"")</f>
        <v/>
      </c>
      <c r="E218" s="211" t="str">
        <f>IFERROR(VLOOKUP($C218,'PORTIFÓLIO'!C:V,3,0),"")</f>
        <v/>
      </c>
      <c r="F218" s="211" t="str">
        <f>IFERROR(VLOOKUP($C218,'PORTIFÓLIO'!C:V,4,0),"")</f>
        <v/>
      </c>
      <c r="G218" s="215" t="str">
        <f>IFERROR(VLOOKUP($C218,'PORTIFÓLIO'!C:V,5,0),"")</f>
        <v/>
      </c>
      <c r="H218" s="254" t="str">
        <f t="array" ref="H218">IFERROR(INDEX('PORTIFÓLIO'!$H$4:$H$433,MATCH($C218,'PORTIFÓLIO'!$C$4:$C$433,0)),"")</f>
        <v/>
      </c>
      <c r="I218" s="256"/>
      <c r="J218" s="218">
        <f t="shared" si="24"/>
        <v>0</v>
      </c>
      <c r="K218" s="219" t="str">
        <f>IFERROR(I218* VLOOKUP($C218,'PORTIFÓLIO'!C:V,10,0),"")</f>
        <v/>
      </c>
      <c r="L218" s="219" t="str">
        <f>IFERROR(J218* VLOOKUP($C218,'PORTIFÓLIO'!C:V,10,0),"")</f>
        <v/>
      </c>
      <c r="M218" s="227"/>
      <c r="N218" s="220"/>
      <c r="O218" s="220"/>
      <c r="P218" s="220"/>
      <c r="Q218" s="220"/>
      <c r="R218" s="220"/>
      <c r="S218" s="220"/>
      <c r="T218" s="220"/>
      <c r="U218" s="220"/>
      <c r="V218" s="220"/>
      <c r="W218" s="220"/>
    </row>
    <row r="219" ht="15.75" customHeight="1" outlineLevel="1">
      <c r="A219" s="211"/>
      <c r="B219" s="227"/>
      <c r="C219" s="211"/>
      <c r="D219" s="214" t="str">
        <f>IFERROR(VLOOKUP($C219,'PORTIFÓLIO'!C:V,2,0),"")</f>
        <v/>
      </c>
      <c r="E219" s="211" t="str">
        <f>IFERROR(VLOOKUP($C219,'PORTIFÓLIO'!C:V,3,0),"")</f>
        <v/>
      </c>
      <c r="F219" s="211" t="str">
        <f>IFERROR(VLOOKUP($C219,'PORTIFÓLIO'!C:V,4,0),"")</f>
        <v/>
      </c>
      <c r="G219" s="215" t="str">
        <f>IFERROR(VLOOKUP($C219,'PORTIFÓLIO'!C:V,5,0),"")</f>
        <v/>
      </c>
      <c r="H219" s="254" t="str">
        <f t="array" ref="H219">IFERROR(INDEX('PORTIFÓLIO'!$H$4:$H$433,MATCH($C219,'PORTIFÓLIO'!$C$4:$C$433,0)),"")</f>
        <v/>
      </c>
      <c r="I219" s="256"/>
      <c r="J219" s="218">
        <f t="shared" si="24"/>
        <v>0</v>
      </c>
      <c r="K219" s="219" t="str">
        <f>IFERROR(I219* VLOOKUP($C219,'PORTIFÓLIO'!C:V,10,0),"")</f>
        <v/>
      </c>
      <c r="L219" s="219" t="str">
        <f>IFERROR(J219* VLOOKUP($C219,'PORTIFÓLIO'!C:V,10,0),"")</f>
        <v/>
      </c>
      <c r="M219" s="227"/>
      <c r="N219" s="220"/>
      <c r="O219" s="220"/>
      <c r="P219" s="220"/>
      <c r="Q219" s="220"/>
      <c r="R219" s="220"/>
      <c r="S219" s="220"/>
      <c r="T219" s="220"/>
      <c r="U219" s="220"/>
      <c r="V219" s="220"/>
      <c r="W219" s="220"/>
    </row>
    <row r="220" ht="15.75" customHeight="1" outlineLevel="1">
      <c r="A220" s="211"/>
      <c r="B220" s="227"/>
      <c r="C220" s="211"/>
      <c r="D220" s="214" t="str">
        <f>IFERROR(VLOOKUP($C220,'PORTIFÓLIO'!C:V,2,0),"")</f>
        <v/>
      </c>
      <c r="E220" s="211" t="str">
        <f>IFERROR(VLOOKUP($C220,'PORTIFÓLIO'!C:V,3,0),"")</f>
        <v/>
      </c>
      <c r="F220" s="211" t="str">
        <f>IFERROR(VLOOKUP($C220,'PORTIFÓLIO'!C:V,4,0),"")</f>
        <v/>
      </c>
      <c r="G220" s="215" t="str">
        <f>IFERROR(VLOOKUP($C220,'PORTIFÓLIO'!C:V,5,0),"")</f>
        <v/>
      </c>
      <c r="H220" s="254" t="str">
        <f t="array" ref="H220">IFERROR(INDEX('PORTIFÓLIO'!$H$4:$H$433,MATCH($C220,'PORTIFÓLIO'!$C$4:$C$433,0)),"")</f>
        <v/>
      </c>
      <c r="I220" s="256"/>
      <c r="J220" s="218">
        <f t="shared" si="24"/>
        <v>0</v>
      </c>
      <c r="K220" s="219" t="str">
        <f>IFERROR(I220* VLOOKUP($C220,'PORTIFÓLIO'!C:V,10,0),"")</f>
        <v/>
      </c>
      <c r="L220" s="219" t="str">
        <f>IFERROR(J220* VLOOKUP($C220,'PORTIFÓLIO'!C:V,10,0),"")</f>
        <v/>
      </c>
      <c r="M220" s="227"/>
      <c r="N220" s="220"/>
      <c r="O220" s="220"/>
      <c r="P220" s="220"/>
      <c r="Q220" s="220"/>
      <c r="R220" s="220"/>
      <c r="S220" s="220"/>
      <c r="T220" s="220"/>
      <c r="U220" s="220"/>
      <c r="V220" s="220"/>
      <c r="W220" s="220"/>
    </row>
    <row r="221" ht="15.75" customHeight="1" outlineLevel="1">
      <c r="A221" s="211"/>
      <c r="B221" s="227"/>
      <c r="C221" s="211"/>
      <c r="D221" s="214" t="str">
        <f>IFERROR(VLOOKUP($C221,'PORTIFÓLIO'!C:V,2,0),"")</f>
        <v/>
      </c>
      <c r="E221" s="211" t="str">
        <f>IFERROR(VLOOKUP($C221,'PORTIFÓLIO'!C:V,3,0),"")</f>
        <v/>
      </c>
      <c r="F221" s="211" t="str">
        <f>IFERROR(VLOOKUP($C221,'PORTIFÓLIO'!C:V,4,0),"")</f>
        <v/>
      </c>
      <c r="G221" s="215" t="str">
        <f>IFERROR(VLOOKUP($C221,'PORTIFÓLIO'!C:V,5,0),"")</f>
        <v/>
      </c>
      <c r="H221" s="254" t="str">
        <f t="array" ref="H221">IFERROR(INDEX('PORTIFÓLIO'!$H$4:$H$433,MATCH($C221,'PORTIFÓLIO'!$C$4:$C$433,0)),"")</f>
        <v/>
      </c>
      <c r="I221" s="256"/>
      <c r="J221" s="218">
        <f t="shared" si="24"/>
        <v>0</v>
      </c>
      <c r="K221" s="219" t="str">
        <f>IFERROR(I221* VLOOKUP($C221,'PORTIFÓLIO'!C:V,10,0),"")</f>
        <v/>
      </c>
      <c r="L221" s="219" t="str">
        <f>IFERROR(J221* VLOOKUP($C221,'PORTIFÓLIO'!C:V,10,0),"")</f>
        <v/>
      </c>
      <c r="M221" s="227"/>
      <c r="N221" s="220"/>
      <c r="O221" s="220"/>
      <c r="P221" s="220"/>
      <c r="Q221" s="220"/>
      <c r="R221" s="220"/>
      <c r="S221" s="220"/>
      <c r="T221" s="220"/>
      <c r="U221" s="220"/>
      <c r="V221" s="220"/>
      <c r="W221" s="220"/>
    </row>
    <row r="222" ht="15.75" customHeight="1" outlineLevel="1">
      <c r="A222" s="211"/>
      <c r="B222" s="227"/>
      <c r="C222" s="211"/>
      <c r="D222" s="214" t="str">
        <f>IFERROR(VLOOKUP($C222,'PORTIFÓLIO'!C:V,2,0),"")</f>
        <v/>
      </c>
      <c r="E222" s="211" t="str">
        <f>IFERROR(VLOOKUP($C222,'PORTIFÓLIO'!C:V,3,0),"")</f>
        <v/>
      </c>
      <c r="F222" s="211" t="str">
        <f>IFERROR(VLOOKUP($C222,'PORTIFÓLIO'!C:V,4,0),"")</f>
        <v/>
      </c>
      <c r="G222" s="215" t="str">
        <f>IFERROR(VLOOKUP($C222,'PORTIFÓLIO'!C:V,5,0),"")</f>
        <v/>
      </c>
      <c r="H222" s="254" t="str">
        <f t="array" ref="H222">IFERROR(INDEX('PORTIFÓLIO'!$H$4:$H$433,MATCH($C222,'PORTIFÓLIO'!$C$4:$C$433,0)),"")</f>
        <v/>
      </c>
      <c r="I222" s="256"/>
      <c r="J222" s="218">
        <f t="shared" si="24"/>
        <v>0</v>
      </c>
      <c r="K222" s="219" t="str">
        <f>IFERROR(I222* VLOOKUP($C222,'PORTIFÓLIO'!C:V,10,0),"")</f>
        <v/>
      </c>
      <c r="L222" s="219" t="str">
        <f>IFERROR(J222* VLOOKUP($C222,'PORTIFÓLIO'!C:V,10,0),"")</f>
        <v/>
      </c>
      <c r="M222" s="227"/>
      <c r="N222" s="220"/>
      <c r="O222" s="220"/>
      <c r="P222" s="220"/>
      <c r="Q222" s="220"/>
      <c r="R222" s="220"/>
      <c r="S222" s="220"/>
      <c r="T222" s="220"/>
      <c r="U222" s="220"/>
      <c r="V222" s="220"/>
      <c r="W222" s="220"/>
    </row>
    <row r="223" ht="15.75" customHeight="1" outlineLevel="1">
      <c r="A223" s="211"/>
      <c r="B223" s="227"/>
      <c r="C223" s="211"/>
      <c r="D223" s="214" t="str">
        <f>IFERROR(VLOOKUP($C223,'PORTIFÓLIO'!C:V,2,0),"")</f>
        <v/>
      </c>
      <c r="E223" s="211" t="str">
        <f>IFERROR(VLOOKUP($C223,'PORTIFÓLIO'!C:V,3,0),"")</f>
        <v/>
      </c>
      <c r="F223" s="211" t="str">
        <f>IFERROR(VLOOKUP($C223,'PORTIFÓLIO'!C:V,4,0),"")</f>
        <v/>
      </c>
      <c r="G223" s="215" t="str">
        <f>IFERROR(VLOOKUP($C223,'PORTIFÓLIO'!C:V,5,0),"")</f>
        <v/>
      </c>
      <c r="H223" s="254" t="str">
        <f t="array" ref="H223">IFERROR(INDEX('PORTIFÓLIO'!$H$4:$H$433,MATCH($C223,'PORTIFÓLIO'!$C$4:$C$433,0)),"")</f>
        <v/>
      </c>
      <c r="I223" s="256"/>
      <c r="J223" s="218">
        <f t="shared" si="24"/>
        <v>0</v>
      </c>
      <c r="K223" s="219" t="str">
        <f>IFERROR(I223* VLOOKUP($C223,'PORTIFÓLIO'!C:V,10,0),"")</f>
        <v/>
      </c>
      <c r="L223" s="219" t="str">
        <f>IFERROR(J223* VLOOKUP($C223,'PORTIFÓLIO'!C:V,10,0),"")</f>
        <v/>
      </c>
      <c r="M223" s="227"/>
      <c r="N223" s="220"/>
      <c r="O223" s="220"/>
      <c r="P223" s="220"/>
      <c r="Q223" s="220"/>
      <c r="R223" s="220"/>
      <c r="S223" s="220"/>
      <c r="T223" s="220"/>
      <c r="U223" s="220"/>
      <c r="V223" s="220"/>
      <c r="W223" s="220"/>
    </row>
    <row r="224" ht="15.75" customHeight="1" outlineLevel="1">
      <c r="A224" s="211"/>
      <c r="B224" s="227"/>
      <c r="C224" s="211"/>
      <c r="D224" s="214" t="str">
        <f>IFERROR(VLOOKUP($C224,'PORTIFÓLIO'!C:V,2,0),"")</f>
        <v/>
      </c>
      <c r="E224" s="211" t="str">
        <f>IFERROR(VLOOKUP($C224,'PORTIFÓLIO'!C:V,3,0),"")</f>
        <v/>
      </c>
      <c r="F224" s="211" t="str">
        <f>IFERROR(VLOOKUP($C224,'PORTIFÓLIO'!C:V,4,0),"")</f>
        <v/>
      </c>
      <c r="G224" s="215" t="str">
        <f>IFERROR(VLOOKUP($C224,'PORTIFÓLIO'!C:V,5,0),"")</f>
        <v/>
      </c>
      <c r="H224" s="254" t="str">
        <f t="array" ref="H224">IFERROR(INDEX('PORTIFÓLIO'!$H$4:$H$433,MATCH($C224,'PORTIFÓLIO'!$C$4:$C$433,0)),"")</f>
        <v/>
      </c>
      <c r="I224" s="256"/>
      <c r="J224" s="218">
        <f t="shared" si="24"/>
        <v>0</v>
      </c>
      <c r="K224" s="219" t="str">
        <f>IFERROR(I224* VLOOKUP($C224,'PORTIFÓLIO'!C:V,10,0),"")</f>
        <v/>
      </c>
      <c r="L224" s="219" t="str">
        <f>IFERROR(J224* VLOOKUP($C224,'PORTIFÓLIO'!C:V,10,0),"")</f>
        <v/>
      </c>
      <c r="M224" s="227"/>
      <c r="N224" s="220"/>
      <c r="O224" s="220"/>
      <c r="P224" s="220"/>
      <c r="Q224" s="220"/>
      <c r="R224" s="220"/>
      <c r="S224" s="220"/>
      <c r="T224" s="220"/>
      <c r="U224" s="220"/>
      <c r="V224" s="220"/>
      <c r="W224" s="220"/>
    </row>
    <row r="225" ht="15.75" customHeight="1">
      <c r="A225" s="238"/>
      <c r="B225" s="238"/>
      <c r="C225" s="238"/>
      <c r="D225" s="238"/>
      <c r="E225" s="238"/>
      <c r="F225" s="238"/>
      <c r="G225" s="206"/>
      <c r="H225" s="192" t="str">
        <f t="array" ref="H225">IFERROR(INDEX('PORTIFÓLIO'!$H$4:$H$433,MATCH($C225,'PORTIFÓLIO'!$C$4:$C$433,0)),"")</f>
        <v/>
      </c>
      <c r="I225" s="238"/>
      <c r="J225" s="238"/>
      <c r="K225" s="239">
        <f t="shared" ref="K225:L225" si="25">SUBTOTAL(9,K10:K200)</f>
        <v>1853.584533</v>
      </c>
      <c r="L225" s="239">
        <f t="shared" si="25"/>
        <v>190919.2069</v>
      </c>
      <c r="M225" s="238"/>
      <c r="N225" s="177"/>
      <c r="O225" s="177"/>
      <c r="P225" s="177"/>
      <c r="Q225" s="177"/>
      <c r="R225" s="177"/>
      <c r="S225" s="177"/>
      <c r="T225" s="177"/>
      <c r="U225" s="177"/>
      <c r="V225" s="177"/>
      <c r="W225" s="177"/>
    </row>
    <row r="226" ht="15.75" customHeight="1">
      <c r="A226" s="240"/>
      <c r="B226" s="240"/>
      <c r="C226" s="240"/>
      <c r="D226" s="240"/>
      <c r="E226" s="240"/>
      <c r="F226" s="240"/>
      <c r="G226" s="241"/>
      <c r="H226" s="241"/>
      <c r="I226" s="240"/>
      <c r="J226" s="240"/>
      <c r="K226" s="240"/>
      <c r="L226" s="240"/>
      <c r="M226" s="240"/>
      <c r="N226" s="240"/>
      <c r="O226" s="240"/>
      <c r="P226" s="240"/>
      <c r="Q226" s="240"/>
      <c r="R226" s="240"/>
      <c r="S226" s="240"/>
      <c r="T226" s="240"/>
      <c r="U226" s="240"/>
      <c r="V226" s="240"/>
      <c r="W226" s="240"/>
    </row>
    <row r="227" ht="15.75" customHeight="1">
      <c r="A227" s="178" t="s">
        <v>1203</v>
      </c>
      <c r="B227" s="170" t="str">
        <f>'ÁREA PLANTIO'!B3</f>
        <v>ESTEVÃO</v>
      </c>
      <c r="C227" s="171" t="s">
        <v>1166</v>
      </c>
      <c r="D227" s="172">
        <f>$K$452</f>
        <v>321.274076</v>
      </c>
      <c r="E227" s="173"/>
      <c r="F227" s="174" t="s">
        <v>1167</v>
      </c>
      <c r="G227" s="175"/>
      <c r="H227" s="243" t="str">
        <f t="array" ref="H227">IFERROR(INDEX('PORTIFÓLIO'!$H$4:$H$433,MATCH($C227,'PORTIFÓLIO'!$C$4:$C$433,0)),"")</f>
        <v/>
      </c>
      <c r="I227" s="176"/>
      <c r="J227" s="176"/>
      <c r="K227" s="175"/>
      <c r="L227" s="177"/>
      <c r="M227" s="177"/>
      <c r="N227" s="177"/>
      <c r="O227" s="177"/>
      <c r="P227" s="177"/>
      <c r="Q227" s="177"/>
      <c r="R227" s="177"/>
      <c r="S227" s="177"/>
      <c r="T227" s="177"/>
      <c r="U227" s="177"/>
      <c r="V227" s="177"/>
      <c r="W227" s="177"/>
    </row>
    <row r="228" ht="15.75" customHeight="1">
      <c r="A228" s="178" t="s">
        <v>1168</v>
      </c>
      <c r="B228" s="179">
        <f>'ÁREA PLANTIO'!E3</f>
        <v>103</v>
      </c>
      <c r="C228" s="180" t="s">
        <v>1169</v>
      </c>
      <c r="D228" s="181">
        <f>'ÁREA PLANTIO'!I3</f>
        <v>60</v>
      </c>
      <c r="E228" s="173"/>
      <c r="F228" s="173"/>
      <c r="G228" s="175"/>
      <c r="H228" s="243" t="str">
        <f t="array" ref="H228">IFERROR(INDEX('PORTIFÓLIO'!$H$4:$H$433,MATCH($C228,'PORTIFÓLIO'!$C$4:$C$433,0)),"")</f>
        <v/>
      </c>
      <c r="I228" s="176"/>
      <c r="J228" s="176"/>
      <c r="K228" s="175"/>
      <c r="L228" s="177"/>
      <c r="M228" s="177"/>
      <c r="N228" s="177"/>
      <c r="O228" s="177"/>
      <c r="P228" s="177"/>
      <c r="Q228" s="177"/>
      <c r="R228" s="177"/>
      <c r="S228" s="177"/>
      <c r="T228" s="177"/>
      <c r="U228" s="177"/>
      <c r="V228" s="177"/>
      <c r="W228" s="177"/>
    </row>
    <row r="229" ht="15.75" customHeight="1">
      <c r="A229" s="178" t="s">
        <v>1170</v>
      </c>
      <c r="B229" s="176" t="str">
        <f>'ÁREA PLANTIO'!H3</f>
        <v>FA-SORGO SEQUEIRO-27/27</v>
      </c>
      <c r="C229" s="180" t="s">
        <v>1171</v>
      </c>
      <c r="D229" s="182">
        <f>D227/D228</f>
        <v>5.354567933</v>
      </c>
      <c r="E229" s="173"/>
      <c r="F229" s="173"/>
      <c r="G229" s="175"/>
      <c r="H229" s="243" t="str">
        <f t="array" ref="H229">IFERROR(INDEX('PORTIFÓLIO'!$H$4:$H$433,MATCH($C229,'PORTIFÓLIO'!$C$4:$C$433,0)),"")</f>
        <v/>
      </c>
      <c r="I229" s="176"/>
      <c r="J229" s="176"/>
      <c r="K229" s="175"/>
      <c r="L229" s="177"/>
      <c r="M229" s="177"/>
      <c r="N229" s="177"/>
      <c r="O229" s="177"/>
      <c r="P229" s="177"/>
      <c r="Q229" s="177"/>
      <c r="R229" s="177"/>
      <c r="S229" s="177"/>
      <c r="T229" s="177"/>
      <c r="U229" s="177"/>
      <c r="V229" s="177"/>
      <c r="W229" s="177"/>
    </row>
    <row r="230" ht="15.75" customHeight="1">
      <c r="A230" s="183" t="s">
        <v>1172</v>
      </c>
      <c r="B230" s="184">
        <v>45606.0</v>
      </c>
      <c r="C230" s="185"/>
      <c r="D230" s="186"/>
      <c r="E230" s="187"/>
      <c r="F230" s="173"/>
      <c r="G230" s="175"/>
      <c r="H230" s="243" t="str">
        <f t="array" ref="H230">IFERROR(INDEX('PORTIFÓLIO'!$H$4:$H$433,MATCH($C230,'PORTIFÓLIO'!$C$4:$C$433,0)),"")</f>
        <v/>
      </c>
      <c r="I230" s="176"/>
      <c r="J230" s="176"/>
      <c r="K230" s="175"/>
      <c r="L230" s="177"/>
      <c r="M230" s="177"/>
      <c r="N230" s="177"/>
      <c r="O230" s="177"/>
      <c r="P230" s="177"/>
      <c r="Q230" s="177"/>
      <c r="R230" s="177"/>
      <c r="S230" s="177"/>
      <c r="T230" s="177"/>
      <c r="U230" s="177"/>
      <c r="V230" s="177"/>
      <c r="W230" s="177"/>
    </row>
    <row r="231" ht="15.75" customHeight="1">
      <c r="A231" s="177"/>
      <c r="B231" s="177"/>
      <c r="C231" s="177"/>
      <c r="D231" s="177"/>
      <c r="E231" s="188"/>
      <c r="F231" s="173"/>
      <c r="G231" s="175"/>
      <c r="H231" s="243" t="str">
        <f t="array" ref="H231">IFERROR(INDEX('PORTIFÓLIO'!$H$4:$H$433,MATCH($C231,'PORTIFÓLIO'!$C$4:$C$433,0)),"")</f>
        <v/>
      </c>
      <c r="I231" s="176"/>
      <c r="J231" s="176"/>
      <c r="K231" s="175"/>
      <c r="L231" s="177"/>
      <c r="M231" s="177"/>
      <c r="N231" s="177"/>
      <c r="O231" s="177"/>
      <c r="P231" s="177"/>
      <c r="Q231" s="177"/>
      <c r="R231" s="177"/>
      <c r="S231" s="177"/>
      <c r="T231" s="177"/>
      <c r="U231" s="177"/>
      <c r="V231" s="177"/>
      <c r="W231" s="177"/>
    </row>
    <row r="232" ht="15.75" customHeight="1">
      <c r="A232" s="178"/>
      <c r="B232" s="176"/>
      <c r="C232" s="173"/>
      <c r="D232" s="173"/>
      <c r="E232" s="173"/>
      <c r="F232" s="173"/>
      <c r="G232" s="175"/>
      <c r="H232" s="243" t="str">
        <f t="array" ref="H232">IFERROR(INDEX('PORTIFÓLIO'!$H$4:$H$433,MATCH($C232,'PORTIFÓLIO'!$C$4:$C$433,0)),"")</f>
        <v/>
      </c>
      <c r="I232" s="176"/>
      <c r="J232" s="176"/>
      <c r="K232" s="175"/>
      <c r="L232" s="177"/>
      <c r="M232" s="177"/>
      <c r="N232" s="177"/>
      <c r="O232" s="177"/>
      <c r="P232" s="177"/>
      <c r="Q232" s="177"/>
      <c r="R232" s="177"/>
      <c r="S232" s="177"/>
      <c r="T232" s="177"/>
      <c r="U232" s="177"/>
      <c r="V232" s="177"/>
      <c r="W232" s="177"/>
    </row>
    <row r="233" ht="15.75" customHeight="1">
      <c r="A233" s="176"/>
      <c r="B233" s="176"/>
      <c r="C233" s="173"/>
      <c r="D233" s="173"/>
      <c r="E233" s="173"/>
      <c r="F233" s="173"/>
      <c r="G233" s="175"/>
      <c r="H233" s="243" t="str">
        <f t="array" ref="H233">IFERROR(INDEX('PORTIFÓLIO'!$H$4:$H$433,MATCH($C233,'PORTIFÓLIO'!$C$4:$C$433,0)),"")</f>
        <v/>
      </c>
      <c r="I233" s="176"/>
      <c r="J233" s="176"/>
      <c r="K233" s="175"/>
      <c r="L233" s="177"/>
      <c r="M233" s="177"/>
      <c r="N233" s="177"/>
      <c r="O233" s="177"/>
      <c r="P233" s="177"/>
      <c r="Q233" s="177"/>
      <c r="R233" s="177"/>
      <c r="S233" s="177"/>
      <c r="T233" s="177"/>
      <c r="U233" s="177"/>
      <c r="V233" s="177"/>
      <c r="W233" s="177"/>
    </row>
    <row r="234" ht="15.75" customHeight="1">
      <c r="A234" s="176"/>
      <c r="B234" s="176"/>
      <c r="C234" s="176"/>
      <c r="D234" s="176"/>
      <c r="E234" s="173"/>
      <c r="F234" s="173"/>
      <c r="G234" s="175"/>
      <c r="H234" s="243" t="str">
        <f t="array" ref="H234">IFERROR(INDEX('PORTIFÓLIO'!$H$4:$H$433,MATCH($C234,'PORTIFÓLIO'!$C$4:$C$433,0)),"")</f>
        <v/>
      </c>
      <c r="I234" s="176"/>
      <c r="J234" s="176"/>
      <c r="K234" s="175"/>
      <c r="L234" s="177"/>
      <c r="M234" s="177"/>
      <c r="N234" s="177"/>
      <c r="O234" s="177"/>
      <c r="P234" s="177"/>
      <c r="Q234" s="177"/>
      <c r="R234" s="177"/>
      <c r="S234" s="177"/>
      <c r="T234" s="177"/>
      <c r="U234" s="177"/>
      <c r="V234" s="177"/>
      <c r="W234" s="177"/>
    </row>
    <row r="235" ht="15.75" customHeight="1">
      <c r="A235" s="176"/>
      <c r="B235" s="176"/>
      <c r="C235" s="176"/>
      <c r="D235" s="176"/>
      <c r="E235" s="176"/>
      <c r="F235" s="176"/>
      <c r="G235" s="175"/>
      <c r="H235" s="243"/>
      <c r="I235" s="243"/>
      <c r="J235" s="245"/>
      <c r="K235" s="246"/>
      <c r="L235" s="189"/>
      <c r="M235" s="177"/>
      <c r="N235" s="177"/>
      <c r="O235" s="177"/>
      <c r="P235" s="177"/>
      <c r="Q235" s="177"/>
      <c r="R235" s="177"/>
      <c r="S235" s="177"/>
      <c r="T235" s="177"/>
      <c r="U235" s="177"/>
      <c r="V235" s="177"/>
      <c r="W235" s="177"/>
    </row>
    <row r="236" ht="15.75" customHeight="1">
      <c r="A236" s="190" t="s">
        <v>1173</v>
      </c>
      <c r="B236" s="191" t="s">
        <v>1174</v>
      </c>
      <c r="C236" s="191" t="s">
        <v>1175</v>
      </c>
      <c r="D236" s="190" t="s">
        <v>1176</v>
      </c>
      <c r="E236" s="190" t="s">
        <v>1177</v>
      </c>
      <c r="F236" s="190" t="s">
        <v>1178</v>
      </c>
      <c r="G236" s="259" t="s">
        <v>1180</v>
      </c>
      <c r="H236" s="192" t="s">
        <v>1179</v>
      </c>
      <c r="I236" s="192" t="s">
        <v>1181</v>
      </c>
      <c r="J236" s="193" t="s">
        <v>1134</v>
      </c>
      <c r="K236" s="194" t="s">
        <v>1182</v>
      </c>
      <c r="L236" s="195" t="s">
        <v>339</v>
      </c>
      <c r="M236" s="251" t="s">
        <v>1205</v>
      </c>
      <c r="N236" s="177"/>
      <c r="O236" s="177"/>
      <c r="P236" s="177"/>
      <c r="Q236" s="177"/>
      <c r="R236" s="177"/>
      <c r="S236" s="177"/>
      <c r="T236" s="177"/>
      <c r="U236" s="177"/>
      <c r="V236" s="177"/>
      <c r="W236" s="177"/>
    </row>
    <row r="237" ht="15.75" customHeight="1">
      <c r="A237" s="196" t="s">
        <v>1183</v>
      </c>
      <c r="B237" s="197"/>
      <c r="C237" s="196"/>
      <c r="D237" s="198"/>
      <c r="E237" s="196"/>
      <c r="F237" s="196"/>
      <c r="G237" s="199"/>
      <c r="H237" s="199"/>
      <c r="I237" s="252"/>
      <c r="J237" s="202"/>
      <c r="K237" s="203">
        <f t="shared" ref="K237:L237" si="26">SUBTOTAL(9,K238:K251)</f>
        <v>0</v>
      </c>
      <c r="L237" s="203">
        <f t="shared" si="26"/>
        <v>0</v>
      </c>
      <c r="M237" s="238"/>
      <c r="N237" s="177"/>
      <c r="O237" s="177"/>
      <c r="P237" s="177"/>
      <c r="Q237" s="177"/>
      <c r="R237" s="177"/>
      <c r="S237" s="177"/>
      <c r="T237" s="177"/>
      <c r="U237" s="177"/>
      <c r="V237" s="177"/>
      <c r="W237" s="177"/>
    </row>
    <row r="238" ht="15.75" customHeight="1" outlineLevel="1">
      <c r="A238" s="190"/>
      <c r="B238" s="204" t="s">
        <v>7</v>
      </c>
      <c r="C238" s="191" t="s">
        <v>413</v>
      </c>
      <c r="D238" s="205" t="str">
        <f>IFERROR(VLOOKUP($C238,'PORTIFÓLIO'!C:V,2,0),"")</f>
        <v>P 21%</v>
      </c>
      <c r="E238" s="190" t="str">
        <f>IFERROR(VLOOKUP($C238,'PORTIFÓLIO'!C:V,3,0),"")</f>
        <v/>
      </c>
      <c r="F238" s="190" t="str">
        <f>IFERROR(VLOOKUP($C238,'PORTIFÓLIO'!C:V,4,0),"")</f>
        <v>Ton</v>
      </c>
      <c r="G238" s="206" t="str">
        <f>IFERROR(VLOOKUP($C238,'PORTIFÓLIO'!C:V,5,0),"")</f>
        <v/>
      </c>
      <c r="H238" s="247" t="str">
        <f t="array" ref="H238">IFERROR(INDEX('PORTIFÓLIO'!$H$4:$H$433,MATCH($C238,'PORTIFÓLIO'!$C$4:$C$433,0)),"")</f>
        <v/>
      </c>
      <c r="I238" s="253">
        <v>0.2</v>
      </c>
      <c r="J238" s="209">
        <f t="shared" ref="J238:J251" si="27">I238*$B$2</f>
        <v>20.6</v>
      </c>
      <c r="K238" s="210">
        <f t="array" ref="K238">IFERROR(I238*INDEX('PORTIFÓLIO'!$S$4:$S$433,MATCH($C238,'PORTIFÓLIO'!$C$4:$C$433,0)),"")</f>
        <v>0</v>
      </c>
      <c r="L238" s="210">
        <f t="array" ref="L238">IFERROR(J238*INDEX('PORTIFÓLIO'!$S$4:$S$433,MATCH($C238,'PORTIFÓLIO'!$C$4:$C$433,0)),"")</f>
        <v>0</v>
      </c>
      <c r="M238" s="238"/>
      <c r="N238" s="177"/>
      <c r="O238" s="177"/>
      <c r="P238" s="177"/>
      <c r="Q238" s="177"/>
      <c r="R238" s="177"/>
      <c r="S238" s="177"/>
      <c r="T238" s="177"/>
      <c r="U238" s="177"/>
      <c r="V238" s="177"/>
      <c r="W238" s="177"/>
    </row>
    <row r="239" ht="15.75" customHeight="1" outlineLevel="1">
      <c r="A239" s="190"/>
      <c r="B239" s="204" t="s">
        <v>7</v>
      </c>
      <c r="C239" s="191" t="s">
        <v>405</v>
      </c>
      <c r="D239" s="205" t="str">
        <f>IFERROR(VLOOKUP($C239,'PORTIFÓLIO'!C:V,2,0),"")</f>
        <v>K2O 60%</v>
      </c>
      <c r="E239" s="190" t="str">
        <f>IFERROR(VLOOKUP($C239,'PORTIFÓLIO'!C:V,3,0),"")</f>
        <v/>
      </c>
      <c r="F239" s="190" t="str">
        <f>IFERROR(VLOOKUP($C239,'PORTIFÓLIO'!C:V,4,0),"")</f>
        <v>Ton</v>
      </c>
      <c r="G239" s="206" t="str">
        <f>IFERROR(VLOOKUP($C239,'PORTIFÓLIO'!C:V,5,0),"")</f>
        <v/>
      </c>
      <c r="H239" s="247" t="str">
        <f t="array" ref="H239">IFERROR(INDEX('PORTIFÓLIO'!$H$4:$H$433,MATCH($C239,'PORTIFÓLIO'!$C$4:$C$433,0)),"")</f>
        <v/>
      </c>
      <c r="I239" s="253">
        <v>0.2</v>
      </c>
      <c r="J239" s="209">
        <f t="shared" si="27"/>
        <v>20.6</v>
      </c>
      <c r="K239" s="210">
        <f t="array" ref="K239">IFERROR(I239*INDEX('PORTIFÓLIO'!$S$4:$S$433,MATCH($C239,'PORTIFÓLIO'!$C$4:$C$433,0)),"")</f>
        <v>0</v>
      </c>
      <c r="L239" s="210">
        <f t="array" ref="L239">IFERROR(J239*INDEX('PORTIFÓLIO'!$S$4:$S$433,MATCH($C239,'PORTIFÓLIO'!$C$4:$C$433,0)),"")</f>
        <v>0</v>
      </c>
      <c r="M239" s="238"/>
      <c r="N239" s="177"/>
      <c r="O239" s="177"/>
      <c r="P239" s="177"/>
      <c r="Q239" s="177"/>
      <c r="R239" s="177"/>
      <c r="S239" s="177"/>
      <c r="T239" s="177"/>
      <c r="U239" s="177"/>
      <c r="V239" s="177"/>
      <c r="W239" s="177"/>
    </row>
    <row r="240" ht="15.75" customHeight="1" outlineLevel="1">
      <c r="A240" s="190"/>
      <c r="B240" s="204" t="s">
        <v>7</v>
      </c>
      <c r="C240" s="191" t="s">
        <v>419</v>
      </c>
      <c r="D240" s="205" t="str">
        <f>IFERROR(VLOOKUP($C240,'PORTIFÓLIO'!C:V,2,0),"")</f>
        <v>N 22</v>
      </c>
      <c r="E240" s="190" t="str">
        <f>IFERROR(VLOOKUP($C240,'PORTIFÓLIO'!C:V,3,0),"")</f>
        <v/>
      </c>
      <c r="F240" s="190" t="str">
        <f>IFERROR(VLOOKUP($C240,'PORTIFÓLIO'!C:V,4,0),"")</f>
        <v>Ton</v>
      </c>
      <c r="G240" s="206" t="str">
        <f>IFERROR(VLOOKUP($C240,'PORTIFÓLIO'!C:V,5,0),"")</f>
        <v/>
      </c>
      <c r="H240" s="247" t="str">
        <f t="array" ref="H240">IFERROR(INDEX('PORTIFÓLIO'!$H$4:$H$433,MATCH($C240,'PORTIFÓLIO'!$C$4:$C$433,0)),"")</f>
        <v/>
      </c>
      <c r="I240" s="253">
        <v>0.4</v>
      </c>
      <c r="J240" s="209">
        <f t="shared" si="27"/>
        <v>41.2</v>
      </c>
      <c r="K240" s="210">
        <f t="array" ref="K240">IFERROR(I240*INDEX('PORTIFÓLIO'!$S$4:$S$433,MATCH($C240,'PORTIFÓLIO'!$C$4:$C$433,0)),"")</f>
        <v>0</v>
      </c>
      <c r="L240" s="210">
        <f t="array" ref="L240">IFERROR(J240*INDEX('PORTIFÓLIO'!$S$4:$S$433,MATCH($C240,'PORTIFÓLIO'!$C$4:$C$433,0)),"")</f>
        <v>0</v>
      </c>
      <c r="M240" s="238"/>
      <c r="N240" s="177"/>
      <c r="O240" s="177"/>
      <c r="P240" s="177"/>
      <c r="Q240" s="177"/>
      <c r="R240" s="177"/>
      <c r="S240" s="177"/>
      <c r="T240" s="177"/>
      <c r="U240" s="177"/>
      <c r="V240" s="177"/>
      <c r="W240" s="177"/>
    </row>
    <row r="241" ht="15.75" customHeight="1" outlineLevel="1">
      <c r="A241" s="190"/>
      <c r="B241" s="204"/>
      <c r="C241" s="191"/>
      <c r="D241" s="205" t="str">
        <f>IFERROR(VLOOKUP($C241,'PORTIFÓLIO'!C:V,2,0),"")</f>
        <v/>
      </c>
      <c r="E241" s="190" t="str">
        <f>IFERROR(VLOOKUP($C241,'PORTIFÓLIO'!C:V,3,0),"")</f>
        <v/>
      </c>
      <c r="F241" s="190" t="str">
        <f>IFERROR(VLOOKUP($C241,'PORTIFÓLIO'!C:V,4,0),"")</f>
        <v/>
      </c>
      <c r="G241" s="206" t="str">
        <f>IFERROR(VLOOKUP($C241,'PORTIFÓLIO'!C:V,5,0),"")</f>
        <v/>
      </c>
      <c r="H241" s="247" t="str">
        <f t="array" ref="H241">IFERROR(INDEX('PORTIFÓLIO'!$H$4:$H$433,MATCH($C241,'PORTIFÓLIO'!$C$4:$C$433,0)),"")</f>
        <v/>
      </c>
      <c r="I241" s="257"/>
      <c r="J241" s="209">
        <f t="shared" si="27"/>
        <v>0</v>
      </c>
      <c r="K241" s="210" t="str">
        <f t="array" ref="K241">IFERROR(I241*INDEX('PORTIFÓLIO'!$S$4:$S$433,MATCH($C241,'PORTIFÓLIO'!$C$4:$C$433,0)),"")</f>
        <v/>
      </c>
      <c r="L241" s="210" t="str">
        <f t="array" ref="L241">IFERROR(J241*INDEX('PORTIFÓLIO'!$S$4:$S$433,MATCH($C241,'PORTIFÓLIO'!$C$4:$C$433,0)),"")</f>
        <v/>
      </c>
      <c r="M241" s="238"/>
      <c r="N241" s="177"/>
      <c r="O241" s="177"/>
      <c r="P241" s="177"/>
      <c r="Q241" s="177"/>
      <c r="R241" s="177"/>
      <c r="S241" s="177"/>
      <c r="T241" s="177"/>
      <c r="U241" s="177"/>
      <c r="V241" s="177"/>
      <c r="W241" s="177"/>
    </row>
    <row r="242" ht="15.75" customHeight="1" outlineLevel="1">
      <c r="A242" s="190"/>
      <c r="B242" s="204"/>
      <c r="C242" s="191"/>
      <c r="D242" s="205" t="str">
        <f>IFERROR(VLOOKUP($C242,'PORTIFÓLIO'!C:V,2,0),"")</f>
        <v/>
      </c>
      <c r="E242" s="190" t="str">
        <f>IFERROR(VLOOKUP($C242,'PORTIFÓLIO'!C:V,3,0),"")</f>
        <v/>
      </c>
      <c r="F242" s="190" t="str">
        <f>IFERROR(VLOOKUP($C242,'PORTIFÓLIO'!C:V,4,0),"")</f>
        <v/>
      </c>
      <c r="G242" s="206" t="str">
        <f>IFERROR(VLOOKUP($C242,'PORTIFÓLIO'!C:V,5,0),"")</f>
        <v/>
      </c>
      <c r="H242" s="247" t="str">
        <f t="array" ref="H242">IFERROR(INDEX('PORTIFÓLIO'!$H$4:$H$433,MATCH($C242,'PORTIFÓLIO'!$C$4:$C$433,0)),"")</f>
        <v/>
      </c>
      <c r="I242" s="253"/>
      <c r="J242" s="209">
        <f t="shared" si="27"/>
        <v>0</v>
      </c>
      <c r="K242" s="210" t="str">
        <f t="array" ref="K242">IFERROR(I242*INDEX('PORTIFÓLIO'!$S$4:$S$433,MATCH($C242,'PORTIFÓLIO'!$C$4:$C$433,0)),"")</f>
        <v/>
      </c>
      <c r="L242" s="210" t="str">
        <f t="array" ref="L242">IFERROR(J242*INDEX('PORTIFÓLIO'!$S$4:$S$433,MATCH($C242,'PORTIFÓLIO'!$C$4:$C$433,0)),"")</f>
        <v/>
      </c>
      <c r="M242" s="238"/>
      <c r="N242" s="177"/>
      <c r="O242" s="177"/>
      <c r="P242" s="177"/>
      <c r="Q242" s="177"/>
      <c r="R242" s="177"/>
      <c r="S242" s="177"/>
      <c r="T242" s="177"/>
      <c r="U242" s="177"/>
      <c r="V242" s="177"/>
      <c r="W242" s="177"/>
    </row>
    <row r="243" ht="15.75" customHeight="1" outlineLevel="1">
      <c r="A243" s="190"/>
      <c r="B243" s="204"/>
      <c r="C243" s="191"/>
      <c r="D243" s="205" t="str">
        <f>IFERROR(VLOOKUP($C243,'PORTIFÓLIO'!C:V,2,0),"")</f>
        <v/>
      </c>
      <c r="E243" s="190" t="str">
        <f>IFERROR(VLOOKUP($C243,'PORTIFÓLIO'!C:V,3,0),"")</f>
        <v/>
      </c>
      <c r="F243" s="190" t="str">
        <f>IFERROR(VLOOKUP($C243,'PORTIFÓLIO'!C:V,4,0),"")</f>
        <v/>
      </c>
      <c r="G243" s="206" t="str">
        <f>IFERROR(VLOOKUP($C243,'PORTIFÓLIO'!C:V,5,0),"")</f>
        <v/>
      </c>
      <c r="H243" s="247" t="str">
        <f t="array" ref="H243">IFERROR(INDEX('PORTIFÓLIO'!$H$4:$H$433,MATCH($C243,'PORTIFÓLIO'!$C$4:$C$433,0)),"")</f>
        <v/>
      </c>
      <c r="I243" s="257"/>
      <c r="J243" s="209">
        <f t="shared" si="27"/>
        <v>0</v>
      </c>
      <c r="K243" s="210" t="str">
        <f t="array" ref="K243">IFERROR(I243*INDEX('PORTIFÓLIO'!$S$4:$S$433,MATCH($C243,'PORTIFÓLIO'!$C$4:$C$433,0)),"")</f>
        <v/>
      </c>
      <c r="L243" s="210" t="str">
        <f t="array" ref="L243">IFERROR(J243*INDEX('PORTIFÓLIO'!$S$4:$S$433,MATCH($C243,'PORTIFÓLIO'!$C$4:$C$433,0)),"")</f>
        <v/>
      </c>
      <c r="M243" s="238"/>
      <c r="N243" s="177"/>
      <c r="O243" s="177"/>
      <c r="P243" s="177"/>
      <c r="Q243" s="177"/>
      <c r="R243" s="177"/>
      <c r="S243" s="177"/>
      <c r="T243" s="177"/>
      <c r="U243" s="177"/>
      <c r="V243" s="177"/>
      <c r="W243" s="177"/>
    </row>
    <row r="244" ht="15.75" customHeight="1" outlineLevel="1">
      <c r="A244" s="190"/>
      <c r="B244" s="204"/>
      <c r="C244" s="191"/>
      <c r="D244" s="205" t="str">
        <f>IFERROR(VLOOKUP($C244,'PORTIFÓLIO'!C:V,2,0),"")</f>
        <v/>
      </c>
      <c r="E244" s="190" t="str">
        <f>IFERROR(VLOOKUP($C244,'PORTIFÓLIO'!C:V,3,0),"")</f>
        <v/>
      </c>
      <c r="F244" s="190" t="str">
        <f>IFERROR(VLOOKUP($C244,'PORTIFÓLIO'!C:V,4,0),"")</f>
        <v/>
      </c>
      <c r="G244" s="206" t="str">
        <f>IFERROR(VLOOKUP($C244,'PORTIFÓLIO'!C:V,5,0),"")</f>
        <v/>
      </c>
      <c r="H244" s="247" t="str">
        <f t="array" ref="H244">IFERROR(INDEX('PORTIFÓLIO'!$H$4:$H$433,MATCH($C244,'PORTIFÓLIO'!$C$4:$C$433,0)),"")</f>
        <v/>
      </c>
      <c r="I244" s="257"/>
      <c r="J244" s="209">
        <f t="shared" si="27"/>
        <v>0</v>
      </c>
      <c r="K244" s="210" t="str">
        <f t="array" ref="K244">IFERROR(I244*INDEX('PORTIFÓLIO'!$S$4:$S$433,MATCH($C244,'PORTIFÓLIO'!$C$4:$C$433,0)),"")</f>
        <v/>
      </c>
      <c r="L244" s="210" t="str">
        <f t="array" ref="L244">IFERROR(J244*INDEX('PORTIFÓLIO'!$S$4:$S$433,MATCH($C244,'PORTIFÓLIO'!$C$4:$C$433,0)),"")</f>
        <v/>
      </c>
      <c r="M244" s="238"/>
      <c r="N244" s="177"/>
      <c r="O244" s="177"/>
      <c r="P244" s="177"/>
      <c r="Q244" s="177"/>
      <c r="R244" s="177"/>
      <c r="S244" s="177"/>
      <c r="T244" s="177"/>
      <c r="U244" s="177"/>
      <c r="V244" s="177"/>
      <c r="W244" s="177"/>
    </row>
    <row r="245" ht="15.75" customHeight="1" outlineLevel="1">
      <c r="A245" s="190"/>
      <c r="B245" s="204"/>
      <c r="C245" s="191"/>
      <c r="D245" s="205" t="str">
        <f>IFERROR(VLOOKUP($C245,'PORTIFÓLIO'!C:V,2,0),"")</f>
        <v/>
      </c>
      <c r="E245" s="190" t="str">
        <f>IFERROR(VLOOKUP($C245,'PORTIFÓLIO'!C:V,3,0),"")</f>
        <v/>
      </c>
      <c r="F245" s="190" t="str">
        <f>IFERROR(VLOOKUP($C245,'PORTIFÓLIO'!C:V,4,0),"")</f>
        <v/>
      </c>
      <c r="G245" s="206" t="str">
        <f>IFERROR(VLOOKUP($C245,'PORTIFÓLIO'!C:V,5,0),"")</f>
        <v/>
      </c>
      <c r="H245" s="247" t="str">
        <f t="array" ref="H245">IFERROR(INDEX('PORTIFÓLIO'!$H$4:$H$433,MATCH($C245,'PORTIFÓLIO'!$C$4:$C$433,0)),"")</f>
        <v/>
      </c>
      <c r="I245" s="257"/>
      <c r="J245" s="209">
        <f t="shared" si="27"/>
        <v>0</v>
      </c>
      <c r="K245" s="210" t="str">
        <f t="array" ref="K245">IFERROR(I245*INDEX('PORTIFÓLIO'!$S$4:$S$433,MATCH($C245,'PORTIFÓLIO'!$C$4:$C$433,0)),"")</f>
        <v/>
      </c>
      <c r="L245" s="210" t="str">
        <f t="array" ref="L245">IFERROR(J245*INDEX('PORTIFÓLIO'!$S$4:$S$433,MATCH($C245,'PORTIFÓLIO'!$C$4:$C$433,0)),"")</f>
        <v/>
      </c>
      <c r="M245" s="238"/>
      <c r="N245" s="177"/>
      <c r="O245" s="177"/>
      <c r="P245" s="177"/>
      <c r="Q245" s="177"/>
      <c r="R245" s="177"/>
      <c r="S245" s="177"/>
      <c r="T245" s="177"/>
      <c r="U245" s="177"/>
      <c r="V245" s="177"/>
      <c r="W245" s="177"/>
    </row>
    <row r="246" ht="15.75" customHeight="1" outlineLevel="1">
      <c r="A246" s="190"/>
      <c r="B246" s="204"/>
      <c r="C246" s="191"/>
      <c r="D246" s="205" t="str">
        <f>IFERROR(VLOOKUP($C246,'PORTIFÓLIO'!C:V,2,0),"")</f>
        <v/>
      </c>
      <c r="E246" s="190" t="str">
        <f>IFERROR(VLOOKUP($C246,'PORTIFÓLIO'!C:V,3,0),"")</f>
        <v/>
      </c>
      <c r="F246" s="190" t="str">
        <f>IFERROR(VLOOKUP($C246,'PORTIFÓLIO'!C:V,4,0),"")</f>
        <v/>
      </c>
      <c r="G246" s="206" t="str">
        <f>IFERROR(VLOOKUP($C246,'PORTIFÓLIO'!C:V,5,0),"")</f>
        <v/>
      </c>
      <c r="H246" s="247" t="str">
        <f t="array" ref="H246">IFERROR(INDEX('PORTIFÓLIO'!$H$4:$H$433,MATCH($C246,'PORTIFÓLIO'!$C$4:$C$433,0)),"")</f>
        <v/>
      </c>
      <c r="I246" s="253"/>
      <c r="J246" s="209">
        <f t="shared" si="27"/>
        <v>0</v>
      </c>
      <c r="K246" s="210" t="str">
        <f t="array" ref="K246">IFERROR(I246*INDEX('PORTIFÓLIO'!$S$4:$S$433,MATCH($C246,'PORTIFÓLIO'!$C$4:$C$433,0)),"")</f>
        <v/>
      </c>
      <c r="L246" s="210" t="str">
        <f t="array" ref="L246">IFERROR(J246*INDEX('PORTIFÓLIO'!$S$4:$S$433,MATCH($C246,'PORTIFÓLIO'!$C$4:$C$433,0)),"")</f>
        <v/>
      </c>
      <c r="M246" s="238"/>
      <c r="N246" s="177"/>
      <c r="O246" s="177"/>
      <c r="P246" s="177"/>
      <c r="Q246" s="177"/>
      <c r="R246" s="177"/>
      <c r="S246" s="177"/>
      <c r="T246" s="177"/>
      <c r="U246" s="177"/>
      <c r="V246" s="177"/>
      <c r="W246" s="177"/>
    </row>
    <row r="247" ht="15.75" customHeight="1" outlineLevel="1">
      <c r="A247" s="190"/>
      <c r="B247" s="204"/>
      <c r="C247" s="191"/>
      <c r="D247" s="205" t="str">
        <f>IFERROR(VLOOKUP($C247,'PORTIFÓLIO'!C:V,2,0),"")</f>
        <v/>
      </c>
      <c r="E247" s="190" t="str">
        <f>IFERROR(VLOOKUP($C247,'PORTIFÓLIO'!C:V,3,0),"")</f>
        <v/>
      </c>
      <c r="F247" s="190" t="str">
        <f>IFERROR(VLOOKUP($C247,'PORTIFÓLIO'!C:V,4,0),"")</f>
        <v/>
      </c>
      <c r="G247" s="206" t="str">
        <f>IFERROR(VLOOKUP($C247,'PORTIFÓLIO'!C:V,5,0),"")</f>
        <v/>
      </c>
      <c r="H247" s="247" t="str">
        <f t="array" ref="H247">IFERROR(INDEX('PORTIFÓLIO'!$H$4:$H$433,MATCH($C247,'PORTIFÓLIO'!$C$4:$C$433,0)),"")</f>
        <v/>
      </c>
      <c r="I247" s="253"/>
      <c r="J247" s="209">
        <f t="shared" si="27"/>
        <v>0</v>
      </c>
      <c r="K247" s="210" t="str">
        <f t="array" ref="K247">IFERROR(I247*INDEX('PORTIFÓLIO'!$S$4:$S$433,MATCH($C247,'PORTIFÓLIO'!$C$4:$C$433,0)),"")</f>
        <v/>
      </c>
      <c r="L247" s="210" t="str">
        <f t="array" ref="L247">IFERROR(J247*INDEX('PORTIFÓLIO'!$S$4:$S$433,MATCH($C247,'PORTIFÓLIO'!$C$4:$C$433,0)),"")</f>
        <v/>
      </c>
      <c r="M247" s="238"/>
      <c r="N247" s="177"/>
      <c r="O247" s="177"/>
      <c r="P247" s="177"/>
      <c r="Q247" s="177"/>
      <c r="R247" s="177"/>
      <c r="S247" s="177"/>
      <c r="T247" s="177"/>
      <c r="U247" s="177"/>
      <c r="V247" s="177"/>
      <c r="W247" s="177"/>
    </row>
    <row r="248" ht="15.75" customHeight="1" outlineLevel="1">
      <c r="A248" s="190"/>
      <c r="B248" s="204"/>
      <c r="C248" s="191"/>
      <c r="D248" s="205" t="str">
        <f>IFERROR(VLOOKUP($C248,'PORTIFÓLIO'!C:V,2,0),"")</f>
        <v/>
      </c>
      <c r="E248" s="190" t="str">
        <f>IFERROR(VLOOKUP($C248,'PORTIFÓLIO'!C:V,3,0),"")</f>
        <v/>
      </c>
      <c r="F248" s="190" t="str">
        <f>IFERROR(VLOOKUP($C248,'PORTIFÓLIO'!C:V,4,0),"")</f>
        <v/>
      </c>
      <c r="G248" s="206" t="str">
        <f>IFERROR(VLOOKUP($C248,'PORTIFÓLIO'!C:V,5,0),"")</f>
        <v/>
      </c>
      <c r="H248" s="247" t="str">
        <f t="array" ref="H248">IFERROR(INDEX('PORTIFÓLIO'!$H$4:$H$433,MATCH($C248,'PORTIFÓLIO'!$C$4:$C$433,0)),"")</f>
        <v/>
      </c>
      <c r="I248" s="253"/>
      <c r="J248" s="209">
        <f t="shared" si="27"/>
        <v>0</v>
      </c>
      <c r="K248" s="210" t="str">
        <f t="array" ref="K248">IFERROR(I248*INDEX('PORTIFÓLIO'!$S$4:$S$433,MATCH($C248,'PORTIFÓLIO'!$C$4:$C$433,0)),"")</f>
        <v/>
      </c>
      <c r="L248" s="210" t="str">
        <f t="array" ref="L248">IFERROR(J248*INDEX('PORTIFÓLIO'!$S$4:$S$433,MATCH($C248,'PORTIFÓLIO'!$C$4:$C$433,0)),"")</f>
        <v/>
      </c>
      <c r="M248" s="238"/>
      <c r="N248" s="177"/>
      <c r="O248" s="177"/>
      <c r="P248" s="177"/>
      <c r="Q248" s="177"/>
      <c r="R248" s="177"/>
      <c r="S248" s="177"/>
      <c r="T248" s="177"/>
      <c r="U248" s="177"/>
      <c r="V248" s="177"/>
      <c r="W248" s="177"/>
    </row>
    <row r="249" ht="15.75" customHeight="1" outlineLevel="1">
      <c r="A249" s="190"/>
      <c r="B249" s="204"/>
      <c r="C249" s="191"/>
      <c r="D249" s="205" t="str">
        <f>IFERROR(VLOOKUP($C249,'PORTIFÓLIO'!C:V,2,0),"")</f>
        <v/>
      </c>
      <c r="E249" s="190" t="str">
        <f>IFERROR(VLOOKUP($C249,'PORTIFÓLIO'!C:V,3,0),"")</f>
        <v/>
      </c>
      <c r="F249" s="190" t="str">
        <f>IFERROR(VLOOKUP($C249,'PORTIFÓLIO'!C:V,4,0),"")</f>
        <v/>
      </c>
      <c r="G249" s="206" t="str">
        <f>IFERROR(VLOOKUP($C249,'PORTIFÓLIO'!C:V,5,0),"")</f>
        <v/>
      </c>
      <c r="H249" s="247" t="str">
        <f t="array" ref="H249">IFERROR(INDEX('PORTIFÓLIO'!$H$4:$H$433,MATCH($C249,'PORTIFÓLIO'!$C$4:$C$433,0)),"")</f>
        <v/>
      </c>
      <c r="I249" s="253"/>
      <c r="J249" s="209">
        <f t="shared" si="27"/>
        <v>0</v>
      </c>
      <c r="K249" s="210" t="str">
        <f t="array" ref="K249">IFERROR(I249*INDEX('PORTIFÓLIO'!$S$4:$S$433,MATCH($C249,'PORTIFÓLIO'!$C$4:$C$433,0)),"")</f>
        <v/>
      </c>
      <c r="L249" s="210" t="str">
        <f t="array" ref="L249">IFERROR(J249*INDEX('PORTIFÓLIO'!$S$4:$S$433,MATCH($C249,'PORTIFÓLIO'!$C$4:$C$433,0)),"")</f>
        <v/>
      </c>
      <c r="M249" s="238"/>
      <c r="N249" s="177"/>
      <c r="O249" s="177"/>
      <c r="P249" s="177"/>
      <c r="Q249" s="177"/>
      <c r="R249" s="177"/>
      <c r="S249" s="177"/>
      <c r="T249" s="177"/>
      <c r="U249" s="177"/>
      <c r="V249" s="177"/>
      <c r="W249" s="177"/>
    </row>
    <row r="250" ht="15.75" customHeight="1" outlineLevel="1">
      <c r="A250" s="190"/>
      <c r="B250" s="204"/>
      <c r="C250" s="191"/>
      <c r="D250" s="205" t="str">
        <f>IFERROR(VLOOKUP($C250,'PORTIFÓLIO'!C:V,2,0),"")</f>
        <v/>
      </c>
      <c r="E250" s="190" t="str">
        <f>IFERROR(VLOOKUP($C250,'PORTIFÓLIO'!C:V,3,0),"")</f>
        <v/>
      </c>
      <c r="F250" s="190" t="str">
        <f>IFERROR(VLOOKUP($C250,'PORTIFÓLIO'!C:V,4,0),"")</f>
        <v/>
      </c>
      <c r="G250" s="206" t="str">
        <f>IFERROR(VLOOKUP($C250,'PORTIFÓLIO'!C:V,5,0),"")</f>
        <v/>
      </c>
      <c r="H250" s="247" t="str">
        <f t="array" ref="H250">IFERROR(INDEX('PORTIFÓLIO'!$H$4:$H$433,MATCH($C250,'PORTIFÓLIO'!$C$4:$C$433,0)),"")</f>
        <v/>
      </c>
      <c r="I250" s="253"/>
      <c r="J250" s="209">
        <f t="shared" si="27"/>
        <v>0</v>
      </c>
      <c r="K250" s="210" t="str">
        <f t="array" ref="K250">IFERROR(I250*INDEX('PORTIFÓLIO'!$S$4:$S$433,MATCH($C250,'PORTIFÓLIO'!$C$4:$C$433,0)),"")</f>
        <v/>
      </c>
      <c r="L250" s="210" t="str">
        <f t="array" ref="L250">IFERROR(J250*INDEX('PORTIFÓLIO'!$S$4:$S$433,MATCH($C250,'PORTIFÓLIO'!$C$4:$C$433,0)),"")</f>
        <v/>
      </c>
      <c r="M250" s="238"/>
      <c r="N250" s="177"/>
      <c r="O250" s="177"/>
      <c r="P250" s="177"/>
      <c r="Q250" s="177"/>
      <c r="R250" s="177"/>
      <c r="S250" s="177"/>
      <c r="T250" s="177"/>
      <c r="U250" s="177"/>
      <c r="V250" s="177"/>
      <c r="W250" s="177"/>
    </row>
    <row r="251" ht="15.75" customHeight="1" outlineLevel="1">
      <c r="A251" s="190"/>
      <c r="B251" s="204"/>
      <c r="C251" s="191"/>
      <c r="D251" s="205" t="str">
        <f>IFERROR(VLOOKUP($C251,'PORTIFÓLIO'!C:V,2,0),"")</f>
        <v/>
      </c>
      <c r="E251" s="190" t="str">
        <f>IFERROR(VLOOKUP($C251,'PORTIFÓLIO'!C:V,3,0),"")</f>
        <v/>
      </c>
      <c r="F251" s="190" t="str">
        <f>IFERROR(VLOOKUP($C251,'PORTIFÓLIO'!C:V,4,0),"")</f>
        <v/>
      </c>
      <c r="G251" s="206" t="str">
        <f>IFERROR(VLOOKUP($C251,'PORTIFÓLIO'!C:V,5,0),"")</f>
        <v/>
      </c>
      <c r="H251" s="247" t="str">
        <f t="array" ref="H251">IFERROR(INDEX('PORTIFÓLIO'!$H$4:$H$433,MATCH($C251,'PORTIFÓLIO'!$C$4:$C$433,0)),"")</f>
        <v/>
      </c>
      <c r="I251" s="253"/>
      <c r="J251" s="209">
        <f t="shared" si="27"/>
        <v>0</v>
      </c>
      <c r="K251" s="210" t="str">
        <f t="array" ref="K251">IFERROR(I251*INDEX('PORTIFÓLIO'!$S$4:$S$433,MATCH($C251,'PORTIFÓLIO'!$C$4:$C$433,0)),"")</f>
        <v/>
      </c>
      <c r="L251" s="210" t="str">
        <f t="array" ref="L251">IFERROR(J251*INDEX('PORTIFÓLIO'!$S$4:$S$433,MATCH($C251,'PORTIFÓLIO'!$C$4:$C$433,0)),"")</f>
        <v/>
      </c>
      <c r="M251" s="238"/>
      <c r="N251" s="177"/>
      <c r="O251" s="177"/>
      <c r="P251" s="177"/>
      <c r="Q251" s="177"/>
      <c r="R251" s="177"/>
      <c r="S251" s="177"/>
      <c r="T251" s="177"/>
      <c r="U251" s="177"/>
      <c r="V251" s="177"/>
      <c r="W251" s="177"/>
    </row>
    <row r="252" ht="15.75" customHeight="1">
      <c r="A252" s="221" t="s">
        <v>1184</v>
      </c>
      <c r="B252" s="197"/>
      <c r="C252" s="196"/>
      <c r="D252" s="198"/>
      <c r="E252" s="196"/>
      <c r="F252" s="196"/>
      <c r="G252" s="199"/>
      <c r="H252" s="199"/>
      <c r="I252" s="252"/>
      <c r="J252" s="202"/>
      <c r="K252" s="203">
        <f t="shared" ref="K252:L252" si="28">SUBTOTAL(9,K253:K266)</f>
        <v>114.941764</v>
      </c>
      <c r="L252" s="203">
        <f t="shared" si="28"/>
        <v>11839.00169</v>
      </c>
      <c r="M252" s="238"/>
      <c r="N252" s="177"/>
      <c r="O252" s="177"/>
      <c r="P252" s="177"/>
      <c r="Q252" s="177"/>
      <c r="R252" s="177"/>
      <c r="S252" s="177"/>
      <c r="T252" s="177"/>
      <c r="U252" s="177"/>
      <c r="V252" s="177"/>
      <c r="W252" s="177"/>
    </row>
    <row r="253" ht="15.75" customHeight="1" outlineLevel="1">
      <c r="A253" s="191"/>
      <c r="B253" s="204" t="s">
        <v>1</v>
      </c>
      <c r="C253" s="191" t="s">
        <v>637</v>
      </c>
      <c r="D253" s="205" t="str">
        <f>IFERROR(VLOOKUP($C253,'PORTIFÓLIO'!C:V,2,0),"")</f>
        <v>GLIFOSATO-SAL DE AMÔNIO</v>
      </c>
      <c r="E253" s="190">
        <f>IFERROR(VLOOKUP($C253,'PORTIFÓLIO'!C:V,3,0),"")</f>
        <v>720</v>
      </c>
      <c r="F253" s="190" t="str">
        <f>IFERROR(VLOOKUP($C253,'PORTIFÓLIO'!C:V,4,0),"")</f>
        <v>L</v>
      </c>
      <c r="G253" s="223" t="str">
        <f>IFERROR(VLOOKUP($C253,'PORTIFÓLIO'!C:V,5,0),"")</f>
        <v>📄 Ver bula</v>
      </c>
      <c r="H253" s="247">
        <f t="array" ref="H253">IFERROR(INDEX('PORTIFÓLIO'!$H$4:$H$433,MATCH($C253,'PORTIFÓLIO'!$C$4:$C$433,0)),"")</f>
        <v>2</v>
      </c>
      <c r="I253" s="253">
        <v>2.0</v>
      </c>
      <c r="J253" s="209">
        <f t="shared" ref="J253:J270" si="29">I253*$B$2</f>
        <v>206</v>
      </c>
      <c r="K253" s="248">
        <f t="array" ref="K253">IFERROR(I253*INDEX('PORTIFÓLIO'!$S$4:$S$433,MATCH($C253,'PORTIFÓLIO'!$C$4:$C$433,0)),"")</f>
        <v>49.16</v>
      </c>
      <c r="L253" s="248">
        <f t="array" ref="L253">IFERROR(J253*INDEX('PORTIFÓLIO'!$S$4:$S$433,MATCH($C253,'PORTIFÓLIO'!$C$4:$C$433,0)),"")</f>
        <v>5063.48</v>
      </c>
      <c r="M253" s="238"/>
      <c r="N253" s="177"/>
      <c r="O253" s="177"/>
      <c r="P253" s="177"/>
      <c r="Q253" s="177"/>
      <c r="R253" s="177"/>
      <c r="S253" s="177"/>
      <c r="T253" s="177"/>
      <c r="U253" s="177"/>
      <c r="V253" s="177"/>
      <c r="W253" s="177"/>
    </row>
    <row r="254" ht="15.75" customHeight="1" outlineLevel="1">
      <c r="A254" s="190"/>
      <c r="B254" s="204" t="s">
        <v>1</v>
      </c>
      <c r="C254" s="191" t="s">
        <v>683</v>
      </c>
      <c r="D254" s="205" t="str">
        <f>IFERROR(VLOOKUP($C254,'PORTIFÓLIO'!C:V,2,0),"")</f>
        <v>GLUFOSINATO - SAL DE AMONIO</v>
      </c>
      <c r="E254" s="190">
        <f>IFERROR(VLOOKUP($C254,'PORTIFÓLIO'!C:V,3,0),"")</f>
        <v>880</v>
      </c>
      <c r="F254" s="190" t="str">
        <f>IFERROR(VLOOKUP($C254,'PORTIFÓLIO'!C:V,4,0),"")</f>
        <v>L</v>
      </c>
      <c r="G254" s="223" t="str">
        <f>IFERROR(VLOOKUP($C254,'PORTIFÓLIO'!C:V,5,0),"")</f>
        <v>📄 Ver bula</v>
      </c>
      <c r="H254" s="247">
        <f t="array" ref="H254">IFERROR(INDEX('PORTIFÓLIO'!$H$4:$H$433,MATCH($C254,'PORTIFÓLIO'!$C$4:$C$433,0)),"")</f>
        <v>0.5</v>
      </c>
      <c r="I254" s="253">
        <v>0.6</v>
      </c>
      <c r="J254" s="209">
        <f t="shared" si="29"/>
        <v>61.8</v>
      </c>
      <c r="K254" s="248">
        <f t="array" ref="K254">IFERROR(I254*INDEX('PORTIFÓLIO'!$S$4:$S$433,MATCH($C254,'PORTIFÓLIO'!$C$4:$C$433,0)),"")</f>
        <v>27.623004</v>
      </c>
      <c r="L254" s="248">
        <f t="array" ref="L254">IFERROR(J254*INDEX('PORTIFÓLIO'!$S$4:$S$433,MATCH($C254,'PORTIFÓLIO'!$C$4:$C$433,0)),"")</f>
        <v>2845.169412</v>
      </c>
      <c r="M254" s="238"/>
      <c r="N254" s="177"/>
      <c r="O254" s="177"/>
      <c r="P254" s="177"/>
      <c r="Q254" s="177"/>
      <c r="R254" s="177"/>
      <c r="S254" s="177"/>
      <c r="T254" s="177"/>
      <c r="U254" s="177"/>
      <c r="V254" s="177"/>
      <c r="W254" s="177"/>
    </row>
    <row r="255" ht="15.75" customHeight="1" outlineLevel="1">
      <c r="A255" s="190"/>
      <c r="B255" s="204" t="s">
        <v>6</v>
      </c>
      <c r="C255" s="191" t="s">
        <v>354</v>
      </c>
      <c r="D255" s="205" t="str">
        <f>IFERROR(VLOOKUP($C255,'PORTIFÓLIO'!C:V,2,0),"")</f>
        <v>OLEO MINERAL</v>
      </c>
      <c r="E255" s="190">
        <f>IFERROR(VLOOKUP($C255,'PORTIFÓLIO'!C:V,3,0),"")</f>
        <v>761</v>
      </c>
      <c r="F255" s="190" t="str">
        <f>IFERROR(VLOOKUP($C255,'PORTIFÓLIO'!C:V,4,0),"")</f>
        <v>L</v>
      </c>
      <c r="G255" s="223" t="str">
        <f>IFERROR(VLOOKUP($C255,'PORTIFÓLIO'!C:V,5,0),"")</f>
        <v>📄 Ver bula</v>
      </c>
      <c r="H255" s="247">
        <f t="array" ref="H255">IFERROR(INDEX('PORTIFÓLIO'!$H$4:$H$433,MATCH($C255,'PORTIFÓLIO'!$C$4:$C$433,0)),"")</f>
        <v>0.2</v>
      </c>
      <c r="I255" s="253">
        <v>0.2</v>
      </c>
      <c r="J255" s="209">
        <f t="shared" si="29"/>
        <v>20.6</v>
      </c>
      <c r="K255" s="248">
        <f t="array" ref="K255">IFERROR(I255*INDEX('PORTIFÓLIO'!$S$4:$S$433,MATCH($C255,'PORTIFÓLIO'!$C$4:$C$433,0)),"")</f>
        <v>3.206</v>
      </c>
      <c r="L255" s="248">
        <f t="array" ref="L255">IFERROR(J255*INDEX('PORTIFÓLIO'!$S$4:$S$433,MATCH($C255,'PORTIFÓLIO'!$C$4:$C$433,0)),"")</f>
        <v>330.218</v>
      </c>
      <c r="M255" s="238"/>
      <c r="N255" s="177"/>
      <c r="O255" s="177"/>
      <c r="P255" s="177"/>
      <c r="Q255" s="177"/>
      <c r="R255" s="177"/>
      <c r="S255" s="177"/>
      <c r="T255" s="177"/>
      <c r="U255" s="177"/>
      <c r="V255" s="177"/>
      <c r="W255" s="177"/>
    </row>
    <row r="256" ht="15.75" customHeight="1" outlineLevel="1">
      <c r="A256" s="190"/>
      <c r="B256" s="204" t="s">
        <v>1</v>
      </c>
      <c r="C256" s="191" t="s">
        <v>728</v>
      </c>
      <c r="D256" s="205" t="str">
        <f>IFERROR(VLOOKUP($C256,'PORTIFÓLIO'!C:V,2,0),"")</f>
        <v>S-METOLACLORO</v>
      </c>
      <c r="E256" s="190">
        <f>IFERROR(VLOOKUP($C256,'PORTIFÓLIO'!C:V,3,0),"")</f>
        <v>960</v>
      </c>
      <c r="F256" s="190" t="str">
        <f>IFERROR(VLOOKUP($C256,'PORTIFÓLIO'!C:V,4,0),"")</f>
        <v>KG</v>
      </c>
      <c r="G256" s="223" t="str">
        <f>IFERROR(VLOOKUP($C256,'PORTIFÓLIO'!C:V,5,0),"")</f>
        <v>📄 Ver bula</v>
      </c>
      <c r="H256" s="247">
        <f t="array" ref="H256">IFERROR(INDEX('PORTIFÓLIO'!$H$4:$H$433,MATCH($C256,'PORTIFÓLIO'!$C$4:$C$433,0)),"")</f>
        <v>2</v>
      </c>
      <c r="I256" s="253">
        <v>1.2</v>
      </c>
      <c r="J256" s="209">
        <f t="shared" si="29"/>
        <v>123.6</v>
      </c>
      <c r="K256" s="248">
        <f t="array" ref="K256">IFERROR(I256*INDEX('PORTIFÓLIO'!$S$4:$S$433,MATCH($C256,'PORTIFÓLIO'!$C$4:$C$433,0)),"")</f>
        <v>34.95276</v>
      </c>
      <c r="L256" s="248">
        <f t="array" ref="L256">IFERROR(J256*INDEX('PORTIFÓLIO'!$S$4:$S$433,MATCH($C256,'PORTIFÓLIO'!$C$4:$C$433,0)),"")</f>
        <v>3600.13428</v>
      </c>
      <c r="M256" s="238"/>
      <c r="N256" s="177"/>
      <c r="O256" s="177"/>
      <c r="P256" s="177"/>
      <c r="Q256" s="177"/>
      <c r="R256" s="177"/>
      <c r="S256" s="177"/>
      <c r="T256" s="177"/>
      <c r="U256" s="177"/>
      <c r="V256" s="177"/>
      <c r="W256" s="177"/>
    </row>
    <row r="257" ht="15.75" customHeight="1" outlineLevel="1">
      <c r="A257" s="190"/>
      <c r="B257" s="204"/>
      <c r="C257" s="191"/>
      <c r="D257" s="205" t="str">
        <f>IFERROR(VLOOKUP($C257,'PORTIFÓLIO'!C:V,2,0),"")</f>
        <v/>
      </c>
      <c r="E257" s="190" t="str">
        <f>IFERROR(VLOOKUP($C257,'PORTIFÓLIO'!C:V,3,0),"")</f>
        <v/>
      </c>
      <c r="F257" s="190" t="str">
        <f>IFERROR(VLOOKUP($C257,'PORTIFÓLIO'!C:V,4,0),"")</f>
        <v/>
      </c>
      <c r="G257" s="206" t="str">
        <f>IFERROR(VLOOKUP($C257,'PORTIFÓLIO'!C:V,5,0),"")</f>
        <v/>
      </c>
      <c r="H257" s="247" t="str">
        <f t="array" ref="H257">IFERROR(INDEX('PORTIFÓLIO'!$H$4:$H$433,MATCH($C257,'PORTIFÓLIO'!$C$4:$C$433,0)),"")</f>
        <v/>
      </c>
      <c r="I257" s="257"/>
      <c r="J257" s="209">
        <f t="shared" si="29"/>
        <v>0</v>
      </c>
      <c r="K257" s="248" t="str">
        <f t="array" ref="K257">IFERROR(I257*INDEX('PORTIFÓLIO'!$S$4:$S$433,MATCH($C257,'PORTIFÓLIO'!$C$4:$C$433,0)),"")</f>
        <v/>
      </c>
      <c r="L257" s="248" t="str">
        <f t="array" ref="L257">IFERROR(J257*INDEX('PORTIFÓLIO'!$S$4:$S$433,MATCH($C257,'PORTIFÓLIO'!$C$4:$C$433,0)),"")</f>
        <v/>
      </c>
      <c r="M257" s="238"/>
      <c r="N257" s="177"/>
      <c r="O257" s="177"/>
      <c r="P257" s="177"/>
      <c r="Q257" s="177"/>
      <c r="R257" s="177"/>
      <c r="S257" s="177"/>
      <c r="T257" s="177"/>
      <c r="U257" s="177"/>
      <c r="V257" s="177"/>
      <c r="W257" s="177"/>
    </row>
    <row r="258" ht="15.75" customHeight="1" outlineLevel="1">
      <c r="A258" s="190"/>
      <c r="B258" s="204"/>
      <c r="C258" s="191"/>
      <c r="D258" s="205" t="str">
        <f>IFERROR(VLOOKUP($C258,'PORTIFÓLIO'!C:V,2,0),"")</f>
        <v/>
      </c>
      <c r="E258" s="190" t="str">
        <f>IFERROR(VLOOKUP($C258,'PORTIFÓLIO'!C:V,3,0),"")</f>
        <v/>
      </c>
      <c r="F258" s="190" t="str">
        <f>IFERROR(VLOOKUP($C258,'PORTIFÓLIO'!C:V,4,0),"")</f>
        <v/>
      </c>
      <c r="G258" s="206" t="str">
        <f>IFERROR(VLOOKUP($C258,'PORTIFÓLIO'!C:V,5,0),"")</f>
        <v/>
      </c>
      <c r="H258" s="247" t="str">
        <f t="array" ref="H258">IFERROR(INDEX('PORTIFÓLIO'!$H$4:$H$433,MATCH($C258,'PORTIFÓLIO'!$C$4:$C$433,0)),"")</f>
        <v/>
      </c>
      <c r="I258" s="257"/>
      <c r="J258" s="209">
        <f t="shared" si="29"/>
        <v>0</v>
      </c>
      <c r="K258" s="248" t="str">
        <f t="array" ref="K258">IFERROR(I258*INDEX('PORTIFÓLIO'!$S$4:$S$433,MATCH($C258,'PORTIFÓLIO'!$C$4:$C$433,0)),"")</f>
        <v/>
      </c>
      <c r="L258" s="248" t="str">
        <f t="array" ref="L258">IFERROR(J258*INDEX('PORTIFÓLIO'!$S$4:$S$433,MATCH($C258,'PORTIFÓLIO'!$C$4:$C$433,0)),"")</f>
        <v/>
      </c>
      <c r="M258" s="238"/>
      <c r="N258" s="177"/>
      <c r="O258" s="177"/>
      <c r="P258" s="177"/>
      <c r="Q258" s="177"/>
      <c r="R258" s="177"/>
      <c r="S258" s="177"/>
      <c r="T258" s="177"/>
      <c r="U258" s="177"/>
      <c r="V258" s="177"/>
      <c r="W258" s="177"/>
    </row>
    <row r="259" ht="15.75" customHeight="1" outlineLevel="1">
      <c r="A259" s="190"/>
      <c r="B259" s="204"/>
      <c r="C259" s="191"/>
      <c r="D259" s="205" t="str">
        <f>IFERROR(VLOOKUP($C259,'PORTIFÓLIO'!C:V,2,0),"")</f>
        <v/>
      </c>
      <c r="E259" s="190" t="str">
        <f>IFERROR(VLOOKUP($C259,'PORTIFÓLIO'!C:V,3,0),"")</f>
        <v/>
      </c>
      <c r="F259" s="190" t="str">
        <f>IFERROR(VLOOKUP($C259,'PORTIFÓLIO'!C:V,4,0),"")</f>
        <v/>
      </c>
      <c r="G259" s="206" t="str">
        <f>IFERROR(VLOOKUP($C259,'PORTIFÓLIO'!C:V,5,0),"")</f>
        <v/>
      </c>
      <c r="H259" s="247" t="str">
        <f t="array" ref="H259">IFERROR(INDEX('PORTIFÓLIO'!$H$4:$H$433,MATCH($C259,'PORTIFÓLIO'!$C$4:$C$433,0)),"")</f>
        <v/>
      </c>
      <c r="I259" s="257"/>
      <c r="J259" s="209">
        <f t="shared" si="29"/>
        <v>0</v>
      </c>
      <c r="K259" s="248" t="str">
        <f t="array" ref="K259">IFERROR(I259*INDEX('PORTIFÓLIO'!$S$4:$S$433,MATCH($C259,'PORTIFÓLIO'!$C$4:$C$433,0)),"")</f>
        <v/>
      </c>
      <c r="L259" s="248" t="str">
        <f t="array" ref="L259">IFERROR(J259*INDEX('PORTIFÓLIO'!$S$4:$S$433,MATCH($C259,'PORTIFÓLIO'!$C$4:$C$433,0)),"")</f>
        <v/>
      </c>
      <c r="M259" s="238"/>
      <c r="N259" s="177"/>
      <c r="O259" s="177"/>
      <c r="P259" s="177"/>
      <c r="Q259" s="177"/>
      <c r="R259" s="177"/>
      <c r="S259" s="177"/>
      <c r="T259" s="177"/>
      <c r="U259" s="177"/>
      <c r="V259" s="177"/>
      <c r="W259" s="177"/>
    </row>
    <row r="260" ht="15.75" customHeight="1" outlineLevel="1">
      <c r="A260" s="190"/>
      <c r="B260" s="204"/>
      <c r="C260" s="191"/>
      <c r="D260" s="205" t="str">
        <f>IFERROR(VLOOKUP($C260,'PORTIFÓLIO'!C:V,2,0),"")</f>
        <v/>
      </c>
      <c r="E260" s="190" t="str">
        <f>IFERROR(VLOOKUP($C260,'PORTIFÓLIO'!C:V,3,0),"")</f>
        <v/>
      </c>
      <c r="F260" s="190" t="str">
        <f>IFERROR(VLOOKUP($C260,'PORTIFÓLIO'!C:V,4,0),"")</f>
        <v/>
      </c>
      <c r="G260" s="206" t="str">
        <f>IFERROR(VLOOKUP($C260,'PORTIFÓLIO'!C:V,5,0),"")</f>
        <v/>
      </c>
      <c r="H260" s="247" t="str">
        <f t="array" ref="H260">IFERROR(INDEX('PORTIFÓLIO'!$H$4:$H$433,MATCH($C260,'PORTIFÓLIO'!$C$4:$C$433,0)),"")</f>
        <v/>
      </c>
      <c r="I260" s="257"/>
      <c r="J260" s="209">
        <f t="shared" si="29"/>
        <v>0</v>
      </c>
      <c r="K260" s="248" t="str">
        <f t="array" ref="K260">IFERROR(I260*INDEX('PORTIFÓLIO'!$S$4:$S$433,MATCH($C260,'PORTIFÓLIO'!$C$4:$C$433,0)),"")</f>
        <v/>
      </c>
      <c r="L260" s="248" t="str">
        <f t="array" ref="L260">IFERROR(J260*INDEX('PORTIFÓLIO'!$S$4:$S$433,MATCH($C260,'PORTIFÓLIO'!$C$4:$C$433,0)),"")</f>
        <v/>
      </c>
      <c r="M260" s="238"/>
      <c r="N260" s="177"/>
      <c r="O260" s="177"/>
      <c r="P260" s="177"/>
      <c r="Q260" s="177"/>
      <c r="R260" s="177"/>
      <c r="S260" s="177"/>
      <c r="T260" s="177"/>
      <c r="U260" s="177"/>
      <c r="V260" s="177"/>
      <c r="W260" s="177"/>
    </row>
    <row r="261" ht="15.75" customHeight="1" outlineLevel="1">
      <c r="A261" s="190"/>
      <c r="B261" s="204"/>
      <c r="C261" s="191"/>
      <c r="D261" s="205" t="str">
        <f>IFERROR(VLOOKUP($C261,'PORTIFÓLIO'!C:V,2,0),"")</f>
        <v/>
      </c>
      <c r="E261" s="190" t="str">
        <f>IFERROR(VLOOKUP($C261,'PORTIFÓLIO'!C:V,3,0),"")</f>
        <v/>
      </c>
      <c r="F261" s="190" t="str">
        <f>IFERROR(VLOOKUP($C261,'PORTIFÓLIO'!C:V,4,0),"")</f>
        <v/>
      </c>
      <c r="G261" s="206" t="str">
        <f>IFERROR(VLOOKUP($C261,'PORTIFÓLIO'!C:V,5,0),"")</f>
        <v/>
      </c>
      <c r="H261" s="247" t="str">
        <f t="array" ref="H261">IFERROR(INDEX('PORTIFÓLIO'!$H$4:$H$433,MATCH($C261,'PORTIFÓLIO'!$C$4:$C$433,0)),"")</f>
        <v/>
      </c>
      <c r="I261" s="253"/>
      <c r="J261" s="209">
        <f t="shared" si="29"/>
        <v>0</v>
      </c>
      <c r="K261" s="248" t="str">
        <f t="array" ref="K261">IFERROR(I261*INDEX('PORTIFÓLIO'!$S$4:$S$433,MATCH($C261,'PORTIFÓLIO'!$C$4:$C$433,0)),"")</f>
        <v/>
      </c>
      <c r="L261" s="248" t="str">
        <f t="array" ref="L261">IFERROR(J261*INDEX('PORTIFÓLIO'!$S$4:$S$433,MATCH($C261,'PORTIFÓLIO'!$C$4:$C$433,0)),"")</f>
        <v/>
      </c>
      <c r="M261" s="238"/>
      <c r="N261" s="177"/>
      <c r="O261" s="177"/>
      <c r="P261" s="177"/>
      <c r="Q261" s="177"/>
      <c r="R261" s="177"/>
      <c r="S261" s="177"/>
      <c r="T261" s="177"/>
      <c r="U261" s="177"/>
      <c r="V261" s="177"/>
      <c r="W261" s="177"/>
    </row>
    <row r="262" ht="15.75" customHeight="1" outlineLevel="1">
      <c r="A262" s="190"/>
      <c r="B262" s="204"/>
      <c r="C262" s="191"/>
      <c r="D262" s="205" t="str">
        <f>IFERROR(VLOOKUP($C262,'PORTIFÓLIO'!C:V,2,0),"")</f>
        <v/>
      </c>
      <c r="E262" s="190" t="str">
        <f>IFERROR(VLOOKUP($C262,'PORTIFÓLIO'!C:V,3,0),"")</f>
        <v/>
      </c>
      <c r="F262" s="190" t="str">
        <f>IFERROR(VLOOKUP($C262,'PORTIFÓLIO'!C:V,4,0),"")</f>
        <v/>
      </c>
      <c r="G262" s="206" t="str">
        <f>IFERROR(VLOOKUP($C262,'PORTIFÓLIO'!C:V,5,0),"")</f>
        <v/>
      </c>
      <c r="H262" s="247" t="str">
        <f t="array" ref="H262">IFERROR(INDEX('PORTIFÓLIO'!$H$4:$H$433,MATCH($C262,'PORTIFÓLIO'!$C$4:$C$433,0)),"")</f>
        <v/>
      </c>
      <c r="I262" s="257"/>
      <c r="J262" s="209">
        <f t="shared" si="29"/>
        <v>0</v>
      </c>
      <c r="K262" s="248" t="str">
        <f t="array" ref="K262">IFERROR(I262*INDEX('PORTIFÓLIO'!$S$4:$S$433,MATCH($C262,'PORTIFÓLIO'!$C$4:$C$433,0)),"")</f>
        <v/>
      </c>
      <c r="L262" s="248" t="str">
        <f t="array" ref="L262">IFERROR(J262*INDEX('PORTIFÓLIO'!$S$4:$S$433,MATCH($C262,'PORTIFÓLIO'!$C$4:$C$433,0)),"")</f>
        <v/>
      </c>
      <c r="M262" s="238"/>
      <c r="N262" s="177"/>
      <c r="O262" s="177"/>
      <c r="P262" s="177"/>
      <c r="Q262" s="177"/>
      <c r="R262" s="177"/>
      <c r="S262" s="177"/>
      <c r="T262" s="177"/>
      <c r="U262" s="177"/>
      <c r="V262" s="177"/>
      <c r="W262" s="177"/>
    </row>
    <row r="263" ht="15.75" customHeight="1" outlineLevel="1">
      <c r="A263" s="190"/>
      <c r="B263" s="204"/>
      <c r="C263" s="191"/>
      <c r="D263" s="205" t="str">
        <f>IFERROR(VLOOKUP($C263,'PORTIFÓLIO'!C:V,2,0),"")</f>
        <v/>
      </c>
      <c r="E263" s="190" t="str">
        <f>IFERROR(VLOOKUP($C263,'PORTIFÓLIO'!C:V,3,0),"")</f>
        <v/>
      </c>
      <c r="F263" s="190" t="str">
        <f>IFERROR(VLOOKUP($C263,'PORTIFÓLIO'!C:V,4,0),"")</f>
        <v/>
      </c>
      <c r="G263" s="206" t="str">
        <f>IFERROR(VLOOKUP($C263,'PORTIFÓLIO'!C:V,5,0),"")</f>
        <v/>
      </c>
      <c r="H263" s="247" t="str">
        <f t="array" ref="H263">IFERROR(INDEX('PORTIFÓLIO'!$H$4:$H$433,MATCH($C263,'PORTIFÓLIO'!$C$4:$C$433,0)),"")</f>
        <v/>
      </c>
      <c r="I263" s="257"/>
      <c r="J263" s="209">
        <f t="shared" si="29"/>
        <v>0</v>
      </c>
      <c r="K263" s="248" t="str">
        <f t="array" ref="K263">IFERROR(I263*INDEX('PORTIFÓLIO'!$S$4:$S$433,MATCH($C263,'PORTIFÓLIO'!$C$4:$C$433,0)),"")</f>
        <v/>
      </c>
      <c r="L263" s="248" t="str">
        <f t="array" ref="L263">IFERROR(J263*INDEX('PORTIFÓLIO'!$S$4:$S$433,MATCH($C263,'PORTIFÓLIO'!$C$4:$C$433,0)),"")</f>
        <v/>
      </c>
      <c r="M263" s="238"/>
      <c r="N263" s="177"/>
      <c r="O263" s="177"/>
      <c r="P263" s="177"/>
      <c r="Q263" s="177"/>
      <c r="R263" s="177"/>
      <c r="S263" s="177"/>
      <c r="T263" s="177"/>
      <c r="U263" s="177"/>
      <c r="V263" s="177"/>
      <c r="W263" s="177"/>
    </row>
    <row r="264" ht="15.75" customHeight="1" outlineLevel="1">
      <c r="A264" s="190"/>
      <c r="B264" s="204"/>
      <c r="C264" s="191"/>
      <c r="D264" s="205" t="str">
        <f>IFERROR(VLOOKUP($C264,'PORTIFÓLIO'!C:V,2,0),"")</f>
        <v/>
      </c>
      <c r="E264" s="190" t="str">
        <f>IFERROR(VLOOKUP($C264,'PORTIFÓLIO'!C:V,3,0),"")</f>
        <v/>
      </c>
      <c r="F264" s="190" t="str">
        <f>IFERROR(VLOOKUP($C264,'PORTIFÓLIO'!C:V,4,0),"")</f>
        <v/>
      </c>
      <c r="G264" s="206" t="str">
        <f>IFERROR(VLOOKUP($C264,'PORTIFÓLIO'!C:V,5,0),"")</f>
        <v/>
      </c>
      <c r="H264" s="247" t="str">
        <f t="array" ref="H264">IFERROR(INDEX('PORTIFÓLIO'!$H$4:$H$433,MATCH($C264,'PORTIFÓLIO'!$C$4:$C$433,0)),"")</f>
        <v/>
      </c>
      <c r="I264" s="257"/>
      <c r="J264" s="209">
        <f t="shared" si="29"/>
        <v>0</v>
      </c>
      <c r="K264" s="248" t="str">
        <f t="array" ref="K264">IFERROR(I264*INDEX('PORTIFÓLIO'!$S$4:$S$433,MATCH($C264,'PORTIFÓLIO'!$C$4:$C$433,0)),"")</f>
        <v/>
      </c>
      <c r="L264" s="248" t="str">
        <f t="array" ref="L264">IFERROR(J264*INDEX('PORTIFÓLIO'!$S$4:$S$433,MATCH($C264,'PORTIFÓLIO'!$C$4:$C$433,0)),"")</f>
        <v/>
      </c>
      <c r="M264" s="238"/>
      <c r="N264" s="177"/>
      <c r="O264" s="177"/>
      <c r="P264" s="177"/>
      <c r="Q264" s="177"/>
      <c r="R264" s="177"/>
      <c r="S264" s="177"/>
      <c r="T264" s="177"/>
      <c r="U264" s="177"/>
      <c r="V264" s="177"/>
      <c r="W264" s="177"/>
    </row>
    <row r="265" ht="15.75" customHeight="1" outlineLevel="1">
      <c r="A265" s="190"/>
      <c r="B265" s="204"/>
      <c r="C265" s="191"/>
      <c r="D265" s="205" t="str">
        <f>IFERROR(VLOOKUP($C265,'PORTIFÓLIO'!C:V,2,0),"")</f>
        <v/>
      </c>
      <c r="E265" s="190" t="str">
        <f>IFERROR(VLOOKUP($C265,'PORTIFÓLIO'!C:V,3,0),"")</f>
        <v/>
      </c>
      <c r="F265" s="190" t="str">
        <f>IFERROR(VLOOKUP($C265,'PORTIFÓLIO'!C:V,4,0),"")</f>
        <v/>
      </c>
      <c r="G265" s="206" t="str">
        <f>IFERROR(VLOOKUP($C265,'PORTIFÓLIO'!C:V,5,0),"")</f>
        <v/>
      </c>
      <c r="H265" s="247" t="str">
        <f t="array" ref="H265">IFERROR(INDEX('PORTIFÓLIO'!$H$4:$H$433,MATCH($C265,'PORTIFÓLIO'!$C$4:$C$433,0)),"")</f>
        <v/>
      </c>
      <c r="I265" s="257"/>
      <c r="J265" s="209">
        <f t="shared" si="29"/>
        <v>0</v>
      </c>
      <c r="K265" s="248" t="str">
        <f t="array" ref="K265">IFERROR(I265*INDEX('PORTIFÓLIO'!$S$4:$S$433,MATCH($C265,'PORTIFÓLIO'!$C$4:$C$433,0)),"")</f>
        <v/>
      </c>
      <c r="L265" s="248" t="str">
        <f t="array" ref="L265">IFERROR(J265*INDEX('PORTIFÓLIO'!$S$4:$S$433,MATCH($C265,'PORTIFÓLIO'!$C$4:$C$433,0)),"")</f>
        <v/>
      </c>
      <c r="M265" s="238"/>
      <c r="N265" s="177"/>
      <c r="O265" s="177"/>
      <c r="P265" s="177"/>
      <c r="Q265" s="177"/>
      <c r="R265" s="177"/>
      <c r="S265" s="177"/>
      <c r="T265" s="177"/>
      <c r="U265" s="177"/>
      <c r="V265" s="177"/>
      <c r="W265" s="177"/>
    </row>
    <row r="266" ht="15.75" customHeight="1" outlineLevel="1">
      <c r="A266" s="190"/>
      <c r="B266" s="204"/>
      <c r="C266" s="191"/>
      <c r="D266" s="205" t="str">
        <f>IFERROR(VLOOKUP($C266,'PORTIFÓLIO'!C:V,2,0),"")</f>
        <v/>
      </c>
      <c r="E266" s="190" t="str">
        <f>IFERROR(VLOOKUP($C266,'PORTIFÓLIO'!C:V,3,0),"")</f>
        <v/>
      </c>
      <c r="F266" s="190" t="str">
        <f>IFERROR(VLOOKUP($C266,'PORTIFÓLIO'!C:V,4,0),"")</f>
        <v/>
      </c>
      <c r="G266" s="206" t="str">
        <f>IFERROR(VLOOKUP($C266,'PORTIFÓLIO'!C:V,5,0),"")</f>
        <v/>
      </c>
      <c r="H266" s="247" t="str">
        <f t="array" ref="H266">IFERROR(INDEX('PORTIFÓLIO'!$H$4:$H$433,MATCH($C266,'PORTIFÓLIO'!$C$4:$C$433,0)),"")</f>
        <v/>
      </c>
      <c r="I266" s="257"/>
      <c r="J266" s="209">
        <f t="shared" si="29"/>
        <v>0</v>
      </c>
      <c r="K266" s="248" t="str">
        <f t="array" ref="K266">IFERROR(I266*INDEX('PORTIFÓLIO'!$S$4:$S$433,MATCH($C266,'PORTIFÓLIO'!$C$4:$C$433,0)),"")</f>
        <v/>
      </c>
      <c r="L266" s="248" t="str">
        <f t="array" ref="L266">IFERROR(J266*INDEX('PORTIFÓLIO'!$S$4:$S$433,MATCH($C266,'PORTIFÓLIO'!$C$4:$C$433,0)),"")</f>
        <v/>
      </c>
      <c r="M266" s="238"/>
      <c r="N266" s="177"/>
      <c r="O266" s="177"/>
      <c r="P266" s="177"/>
      <c r="Q266" s="177"/>
      <c r="R266" s="177"/>
      <c r="S266" s="177"/>
      <c r="T266" s="177"/>
      <c r="U266" s="177"/>
      <c r="V266" s="177"/>
      <c r="W266" s="177"/>
    </row>
    <row r="267" ht="15.75" customHeight="1" outlineLevel="1">
      <c r="A267" s="190"/>
      <c r="B267" s="204"/>
      <c r="C267" s="191"/>
      <c r="D267" s="205" t="str">
        <f>IFERROR(VLOOKUP($C267,'PORTIFÓLIO'!C:V,2,0),"")</f>
        <v/>
      </c>
      <c r="E267" s="190" t="str">
        <f>IFERROR(VLOOKUP($C267,'PORTIFÓLIO'!C:V,3,0),"")</f>
        <v/>
      </c>
      <c r="F267" s="190" t="str">
        <f>IFERROR(VLOOKUP($C267,'PORTIFÓLIO'!C:V,4,0),"")</f>
        <v/>
      </c>
      <c r="G267" s="206" t="str">
        <f>IFERROR(VLOOKUP($C267,'PORTIFÓLIO'!C:V,5,0),"")</f>
        <v/>
      </c>
      <c r="H267" s="247" t="str">
        <f t="array" ref="H267">IFERROR(INDEX('PORTIFÓLIO'!$H$4:$H$433,MATCH($C267,'PORTIFÓLIO'!$C$4:$C$433,0)),"")</f>
        <v/>
      </c>
      <c r="I267" s="257"/>
      <c r="J267" s="209">
        <f t="shared" si="29"/>
        <v>0</v>
      </c>
      <c r="K267" s="248" t="str">
        <f t="array" ref="K267">IFERROR(I267*INDEX('PORTIFÓLIO'!$S$4:$S$433,MATCH($C267,'PORTIFÓLIO'!$C$4:$C$433,0)),"")</f>
        <v/>
      </c>
      <c r="L267" s="248" t="str">
        <f t="array" ref="L267">IFERROR(J267*INDEX('PORTIFÓLIO'!$S$4:$S$433,MATCH($C267,'PORTIFÓLIO'!$C$4:$C$433,0)),"")</f>
        <v/>
      </c>
      <c r="M267" s="238"/>
      <c r="N267" s="177"/>
      <c r="O267" s="177"/>
      <c r="P267" s="177"/>
      <c r="Q267" s="177"/>
      <c r="R267" s="177"/>
      <c r="S267" s="177"/>
      <c r="T267" s="177"/>
      <c r="U267" s="177"/>
      <c r="V267" s="177"/>
      <c r="W267" s="177"/>
    </row>
    <row r="268" ht="15.75" customHeight="1" outlineLevel="1">
      <c r="A268" s="190"/>
      <c r="B268" s="204"/>
      <c r="C268" s="191"/>
      <c r="D268" s="205" t="str">
        <f>IFERROR(VLOOKUP($C268,'PORTIFÓLIO'!C:V,2,0),"")</f>
        <v/>
      </c>
      <c r="E268" s="190" t="str">
        <f>IFERROR(VLOOKUP($C268,'PORTIFÓLIO'!C:V,3,0),"")</f>
        <v/>
      </c>
      <c r="F268" s="190" t="str">
        <f>IFERROR(VLOOKUP($C268,'PORTIFÓLIO'!C:V,4,0),"")</f>
        <v/>
      </c>
      <c r="G268" s="206" t="str">
        <f>IFERROR(VLOOKUP($C268,'PORTIFÓLIO'!C:V,5,0),"")</f>
        <v/>
      </c>
      <c r="H268" s="247" t="str">
        <f t="array" ref="H268">IFERROR(INDEX('PORTIFÓLIO'!$H$4:$H$433,MATCH($C268,'PORTIFÓLIO'!$C$4:$C$433,0)),"")</f>
        <v/>
      </c>
      <c r="I268" s="257"/>
      <c r="J268" s="209">
        <f t="shared" si="29"/>
        <v>0</v>
      </c>
      <c r="K268" s="248" t="str">
        <f t="array" ref="K268">IFERROR(I268*INDEX('PORTIFÓLIO'!$S$4:$S$433,MATCH($C268,'PORTIFÓLIO'!$C$4:$C$433,0)),"")</f>
        <v/>
      </c>
      <c r="L268" s="248" t="str">
        <f t="array" ref="L268">IFERROR(J268*INDEX('PORTIFÓLIO'!$S$4:$S$433,MATCH($C268,'PORTIFÓLIO'!$C$4:$C$433,0)),"")</f>
        <v/>
      </c>
      <c r="M268" s="238"/>
      <c r="N268" s="177"/>
      <c r="O268" s="177"/>
      <c r="P268" s="177"/>
      <c r="Q268" s="177"/>
      <c r="R268" s="177"/>
      <c r="S268" s="177"/>
      <c r="T268" s="177"/>
      <c r="U268" s="177"/>
      <c r="V268" s="177"/>
      <c r="W268" s="177"/>
    </row>
    <row r="269" ht="15.75" customHeight="1" outlineLevel="1">
      <c r="A269" s="190"/>
      <c r="B269" s="204"/>
      <c r="C269" s="191"/>
      <c r="D269" s="205" t="str">
        <f>IFERROR(VLOOKUP($C269,'PORTIFÓLIO'!C:V,2,0),"")</f>
        <v/>
      </c>
      <c r="E269" s="190" t="str">
        <f>IFERROR(VLOOKUP($C269,'PORTIFÓLIO'!C:V,3,0),"")</f>
        <v/>
      </c>
      <c r="F269" s="190" t="str">
        <f>IFERROR(VLOOKUP($C269,'PORTIFÓLIO'!C:V,4,0),"")</f>
        <v/>
      </c>
      <c r="G269" s="206" t="str">
        <f>IFERROR(VLOOKUP($C269,'PORTIFÓLIO'!C:V,5,0),"")</f>
        <v/>
      </c>
      <c r="H269" s="247" t="str">
        <f t="array" ref="H269">IFERROR(INDEX('PORTIFÓLIO'!$H$4:$H$433,MATCH($C269,'PORTIFÓLIO'!$C$4:$C$433,0)),"")</f>
        <v/>
      </c>
      <c r="I269" s="257"/>
      <c r="J269" s="209">
        <f t="shared" si="29"/>
        <v>0</v>
      </c>
      <c r="K269" s="248" t="str">
        <f t="array" ref="K269">IFERROR(I269*INDEX('PORTIFÓLIO'!$S$4:$S$433,MATCH($C269,'PORTIFÓLIO'!$C$4:$C$433,0)),"")</f>
        <v/>
      </c>
      <c r="L269" s="248" t="str">
        <f t="array" ref="L269">IFERROR(J269*INDEX('PORTIFÓLIO'!$S$4:$S$433,MATCH($C269,'PORTIFÓLIO'!$C$4:$C$433,0)),"")</f>
        <v/>
      </c>
      <c r="M269" s="238"/>
      <c r="N269" s="177"/>
      <c r="O269" s="177"/>
      <c r="P269" s="177"/>
      <c r="Q269" s="177"/>
      <c r="R269" s="177"/>
      <c r="S269" s="177"/>
      <c r="T269" s="177"/>
      <c r="U269" s="177"/>
      <c r="V269" s="177"/>
      <c r="W269" s="177"/>
    </row>
    <row r="270" ht="15.75" customHeight="1" outlineLevel="1">
      <c r="A270" s="190"/>
      <c r="B270" s="204"/>
      <c r="C270" s="191"/>
      <c r="D270" s="205" t="str">
        <f>IFERROR(VLOOKUP($C270,'PORTIFÓLIO'!C:V,2,0),"")</f>
        <v/>
      </c>
      <c r="E270" s="190" t="str">
        <f>IFERROR(VLOOKUP($C270,'PORTIFÓLIO'!C:V,3,0),"")</f>
        <v/>
      </c>
      <c r="F270" s="190" t="str">
        <f>IFERROR(VLOOKUP($C270,'PORTIFÓLIO'!C:V,4,0),"")</f>
        <v/>
      </c>
      <c r="G270" s="206" t="str">
        <f>IFERROR(VLOOKUP($C270,'PORTIFÓLIO'!C:V,5,0),"")</f>
        <v/>
      </c>
      <c r="H270" s="247" t="str">
        <f t="array" ref="H270">IFERROR(INDEX('PORTIFÓLIO'!$H$4:$H$433,MATCH($C270,'PORTIFÓLIO'!$C$4:$C$433,0)),"")</f>
        <v/>
      </c>
      <c r="I270" s="257"/>
      <c r="J270" s="209">
        <f t="shared" si="29"/>
        <v>0</v>
      </c>
      <c r="K270" s="248" t="str">
        <f t="array" ref="K270">IFERROR(I270*INDEX('PORTIFÓLIO'!$S$4:$S$433,MATCH($C270,'PORTIFÓLIO'!$C$4:$C$433,0)),"")</f>
        <v/>
      </c>
      <c r="L270" s="248" t="str">
        <f t="array" ref="L270">IFERROR(J270*INDEX('PORTIFÓLIO'!$S$4:$S$433,MATCH($C270,'PORTIFÓLIO'!$C$4:$C$433,0)),"")</f>
        <v/>
      </c>
      <c r="M270" s="238"/>
      <c r="N270" s="177"/>
      <c r="O270" s="177"/>
      <c r="P270" s="177"/>
      <c r="Q270" s="177"/>
      <c r="R270" s="177"/>
      <c r="S270" s="177"/>
      <c r="T270" s="177"/>
      <c r="U270" s="177"/>
      <c r="V270" s="177"/>
      <c r="W270" s="177"/>
    </row>
    <row r="271" ht="15.75" customHeight="1">
      <c r="A271" s="221" t="s">
        <v>1185</v>
      </c>
      <c r="B271" s="197"/>
      <c r="C271" s="196"/>
      <c r="D271" s="198"/>
      <c r="E271" s="196"/>
      <c r="F271" s="196"/>
      <c r="G271" s="199"/>
      <c r="H271" s="199"/>
      <c r="I271" s="252"/>
      <c r="J271" s="202"/>
      <c r="K271" s="203">
        <f t="shared" ref="K271:L271" si="30">SUBTOTAL(9,K272:K285)</f>
        <v>79.6803</v>
      </c>
      <c r="L271" s="203">
        <f t="shared" si="30"/>
        <v>8207.0709</v>
      </c>
      <c r="M271" s="238"/>
      <c r="N271" s="177"/>
      <c r="O271" s="177"/>
      <c r="P271" s="177"/>
      <c r="Q271" s="177"/>
      <c r="R271" s="177"/>
      <c r="S271" s="177"/>
      <c r="T271" s="177"/>
      <c r="U271" s="177"/>
      <c r="V271" s="177"/>
      <c r="W271" s="177"/>
    </row>
    <row r="272" ht="15.75" customHeight="1" outlineLevel="1">
      <c r="A272" s="191"/>
      <c r="B272" s="204" t="s">
        <v>5</v>
      </c>
      <c r="C272" s="191" t="s">
        <v>1070</v>
      </c>
      <c r="D272" s="205" t="str">
        <f>IFERROR(VLOOKUP($C272,'PORTIFÓLIO'!C:V,2,0),"")</f>
        <v/>
      </c>
      <c r="E272" s="190" t="str">
        <f>IFERROR(VLOOKUP($C272,'PORTIFÓLIO'!C:V,3,0),"")</f>
        <v/>
      </c>
      <c r="F272" s="190" t="str">
        <f>IFERROR(VLOOKUP($C272,'PORTIFÓLIO'!C:V,4,0),"")</f>
        <v/>
      </c>
      <c r="G272" s="223" t="str">
        <f>IFERROR(VLOOKUP($C272,'PORTIFÓLIO'!C:V,5,0),"")</f>
        <v>📄 Ver bula</v>
      </c>
      <c r="H272" s="247" t="str">
        <f t="array" ref="H272">IFERROR(INDEX('PORTIFÓLIO'!$H$4:$H$433,MATCH($C272,'PORTIFÓLIO'!$C$4:$C$433,0)),"")</f>
        <v/>
      </c>
      <c r="I272" s="253">
        <v>0.4</v>
      </c>
      <c r="J272" s="209">
        <f t="shared" ref="J272:J289" si="31">I272*$B$2</f>
        <v>41.2</v>
      </c>
      <c r="K272" s="248">
        <f t="array" ref="K272">IFERROR(I272*INDEX('PORTIFÓLIO'!$S$4:$S$433,MATCH($C272,'PORTIFÓLIO'!$C$4:$C$433,0)),"")</f>
        <v>0</v>
      </c>
      <c r="L272" s="248">
        <f t="array" ref="L272">IFERROR(J272*INDEX('PORTIFÓLIO'!$S$4:$S$433,MATCH($C272,'PORTIFÓLIO'!$C$4:$C$433,0)),"")</f>
        <v>0</v>
      </c>
      <c r="M272" s="238"/>
      <c r="N272" s="177"/>
      <c r="O272" s="177"/>
      <c r="P272" s="177"/>
      <c r="Q272" s="177"/>
      <c r="R272" s="177"/>
      <c r="S272" s="177"/>
      <c r="T272" s="177"/>
      <c r="U272" s="177"/>
      <c r="V272" s="177"/>
      <c r="W272" s="177"/>
    </row>
    <row r="273" ht="15.75" customHeight="1" outlineLevel="1">
      <c r="A273" s="190"/>
      <c r="B273" s="204" t="s">
        <v>3</v>
      </c>
      <c r="C273" s="191" t="s">
        <v>1025</v>
      </c>
      <c r="D273" s="205" t="str">
        <f>IFERROR(VLOOKUP($C273,'PORTIFÓLIO'!C:V,2,0),"")</f>
        <v>CIANTRANILIPROLE</v>
      </c>
      <c r="E273" s="190">
        <f>IFERROR(VLOOKUP($C273,'PORTIFÓLIO'!C:V,3,0),"")</f>
        <v>600</v>
      </c>
      <c r="F273" s="190" t="str">
        <f>IFERROR(VLOOKUP($C273,'PORTIFÓLIO'!C:V,4,0),"")</f>
        <v>L</v>
      </c>
      <c r="G273" s="223" t="str">
        <f>IFERROR(VLOOKUP($C273,'PORTIFÓLIO'!C:V,5,0),"")</f>
        <v>📄 Ver bula</v>
      </c>
      <c r="H273" s="247">
        <f t="array" ref="H273">IFERROR(INDEX('PORTIFÓLIO'!$H$4:$H$433,MATCH($C273,'PORTIFÓLIO'!$C$4:$C$433,0)),"")</f>
        <v>0.05</v>
      </c>
      <c r="I273" s="253">
        <v>0.05</v>
      </c>
      <c r="J273" s="209">
        <f t="shared" si="31"/>
        <v>5.15</v>
      </c>
      <c r="K273" s="248">
        <f t="array" ref="K273">IFERROR(I273*INDEX('PORTIFÓLIO'!$S$4:$S$433,MATCH($C273,'PORTIFÓLIO'!$C$4:$C$433,0)),"")</f>
        <v>54.4103</v>
      </c>
      <c r="L273" s="248">
        <f t="array" ref="L273">IFERROR(J273*INDEX('PORTIFÓLIO'!$S$4:$S$433,MATCH($C273,'PORTIFÓLIO'!$C$4:$C$433,0)),"")</f>
        <v>5604.2609</v>
      </c>
      <c r="M273" s="238"/>
      <c r="N273" s="177"/>
      <c r="O273" s="177"/>
      <c r="P273" s="177"/>
      <c r="Q273" s="177"/>
      <c r="R273" s="177"/>
      <c r="S273" s="177"/>
      <c r="T273" s="177"/>
      <c r="U273" s="177"/>
      <c r="V273" s="177"/>
      <c r="W273" s="177"/>
    </row>
    <row r="274" ht="15.75" customHeight="1" outlineLevel="1">
      <c r="A274" s="190"/>
      <c r="B274" s="204" t="s">
        <v>3</v>
      </c>
      <c r="C274" s="191" t="s">
        <v>1011</v>
      </c>
      <c r="D274" s="205" t="str">
        <f>IFERROR(VLOOKUP($C274,'PORTIFÓLIO'!C:V,2,0),"")</f>
        <v>METALAXIL-M + TIABENDAZOL + FLUDIOXONIL +
 TIAMETOXAM</v>
      </c>
      <c r="E274" s="190" t="str">
        <f>IFERROR(VLOOKUP($C274,'PORTIFÓLIO'!C:V,3,0),"")</f>
        <v>20 + 150 + 25 + 350</v>
      </c>
      <c r="F274" s="190" t="str">
        <f>IFERROR(VLOOKUP($C274,'PORTIFÓLIO'!C:V,4,0),"")</f>
        <v/>
      </c>
      <c r="G274" s="223" t="str">
        <f>IFERROR(VLOOKUP($C274,'PORTIFÓLIO'!C:V,5,0),"")</f>
        <v>📄 Ver bula</v>
      </c>
      <c r="H274" s="247">
        <f t="array" ref="H274">IFERROR(INDEX('PORTIFÓLIO'!$H$4:$H$433,MATCH($C274,'PORTIFÓLIO'!$C$4:$C$433,0)),"")</f>
        <v>0.05</v>
      </c>
      <c r="I274" s="253">
        <v>0.05</v>
      </c>
      <c r="J274" s="209">
        <f t="shared" si="31"/>
        <v>5.15</v>
      </c>
      <c r="K274" s="248">
        <f t="array" ref="K274">IFERROR(I274*INDEX('PORTIFÓLIO'!$S$4:$S$433,MATCH($C274,'PORTIFÓLIO'!$C$4:$C$433,0)),"")</f>
        <v>25.27</v>
      </c>
      <c r="L274" s="248">
        <f t="array" ref="L274">IFERROR(J274*INDEX('PORTIFÓLIO'!$S$4:$S$433,MATCH($C274,'PORTIFÓLIO'!$C$4:$C$433,0)),"")</f>
        <v>2602.81</v>
      </c>
      <c r="M274" s="238"/>
      <c r="N274" s="177"/>
      <c r="O274" s="177"/>
      <c r="P274" s="177"/>
      <c r="Q274" s="177"/>
      <c r="R274" s="177"/>
      <c r="S274" s="177"/>
      <c r="T274" s="177"/>
      <c r="U274" s="177"/>
      <c r="V274" s="177"/>
      <c r="W274" s="177"/>
    </row>
    <row r="275" ht="15.75" customHeight="1" outlineLevel="1">
      <c r="A275" s="190"/>
      <c r="B275" s="204"/>
      <c r="C275" s="191"/>
      <c r="D275" s="205" t="str">
        <f>IFERROR(VLOOKUP($C275,'PORTIFÓLIO'!C:V,2,0),"")</f>
        <v/>
      </c>
      <c r="E275" s="190" t="str">
        <f>IFERROR(VLOOKUP($C275,'PORTIFÓLIO'!C:V,3,0),"")</f>
        <v/>
      </c>
      <c r="F275" s="190" t="str">
        <f>IFERROR(VLOOKUP($C275,'PORTIFÓLIO'!C:V,4,0),"")</f>
        <v/>
      </c>
      <c r="G275" s="206" t="str">
        <f>IFERROR(VLOOKUP($C275,'PORTIFÓLIO'!C:V,5,0),"")</f>
        <v/>
      </c>
      <c r="H275" s="247" t="str">
        <f t="array" ref="H275">IFERROR(INDEX('PORTIFÓLIO'!$H$4:$H$433,MATCH($C275,'PORTIFÓLIO'!$C$4:$C$433,0)),"")</f>
        <v/>
      </c>
      <c r="I275" s="257"/>
      <c r="J275" s="209">
        <f t="shared" si="31"/>
        <v>0</v>
      </c>
      <c r="K275" s="248" t="str">
        <f t="array" ref="K275">IFERROR(I275*INDEX('PORTIFÓLIO'!$S$4:$S$433,MATCH($C275,'PORTIFÓLIO'!$C$4:$C$433,0)),"")</f>
        <v/>
      </c>
      <c r="L275" s="248" t="str">
        <f t="array" ref="L275">IFERROR(J275*INDEX('PORTIFÓLIO'!$S$4:$S$433,MATCH($C275,'PORTIFÓLIO'!$C$4:$C$433,0)),"")</f>
        <v/>
      </c>
      <c r="M275" s="238"/>
      <c r="N275" s="177"/>
      <c r="O275" s="177"/>
      <c r="P275" s="177"/>
      <c r="Q275" s="177"/>
      <c r="R275" s="177"/>
      <c r="S275" s="177"/>
      <c r="T275" s="177"/>
      <c r="U275" s="177"/>
      <c r="V275" s="177"/>
      <c r="W275" s="177"/>
    </row>
    <row r="276" ht="15.75" customHeight="1" outlineLevel="1">
      <c r="A276" s="190"/>
      <c r="B276" s="204"/>
      <c r="C276" s="191"/>
      <c r="D276" s="205" t="str">
        <f>IFERROR(VLOOKUP($C276,'PORTIFÓLIO'!C:V,2,0),"")</f>
        <v/>
      </c>
      <c r="E276" s="190" t="str">
        <f>IFERROR(VLOOKUP($C276,'PORTIFÓLIO'!C:V,3,0),"")</f>
        <v/>
      </c>
      <c r="F276" s="190" t="str">
        <f>IFERROR(VLOOKUP($C276,'PORTIFÓLIO'!C:V,4,0),"")</f>
        <v/>
      </c>
      <c r="G276" s="206" t="str">
        <f>IFERROR(VLOOKUP($C276,'PORTIFÓLIO'!C:V,5,0),"")</f>
        <v/>
      </c>
      <c r="H276" s="247" t="str">
        <f t="array" ref="H276">IFERROR(INDEX('PORTIFÓLIO'!$H$4:$H$433,MATCH($C276,'PORTIFÓLIO'!$C$4:$C$433,0)),"")</f>
        <v/>
      </c>
      <c r="I276" s="257"/>
      <c r="J276" s="209">
        <f t="shared" si="31"/>
        <v>0</v>
      </c>
      <c r="K276" s="248" t="str">
        <f t="array" ref="K276">IFERROR(I276*INDEX('PORTIFÓLIO'!$S$4:$S$433,MATCH($C276,'PORTIFÓLIO'!$C$4:$C$433,0)),"")</f>
        <v/>
      </c>
      <c r="L276" s="248" t="str">
        <f t="array" ref="L276">IFERROR(J276*INDEX('PORTIFÓLIO'!$S$4:$S$433,MATCH($C276,'PORTIFÓLIO'!$C$4:$C$433,0)),"")</f>
        <v/>
      </c>
      <c r="M276" s="238"/>
      <c r="N276" s="177"/>
      <c r="O276" s="177"/>
      <c r="P276" s="177"/>
      <c r="Q276" s="177"/>
      <c r="R276" s="177"/>
      <c r="S276" s="177"/>
      <c r="T276" s="177"/>
      <c r="U276" s="177"/>
      <c r="V276" s="177"/>
      <c r="W276" s="177"/>
    </row>
    <row r="277" ht="15.75" customHeight="1" outlineLevel="1">
      <c r="A277" s="190"/>
      <c r="B277" s="204"/>
      <c r="C277" s="191"/>
      <c r="D277" s="205" t="str">
        <f>IFERROR(VLOOKUP($C277,'PORTIFÓLIO'!C:V,2,0),"")</f>
        <v/>
      </c>
      <c r="E277" s="190" t="str">
        <f>IFERROR(VLOOKUP($C277,'PORTIFÓLIO'!C:V,3,0),"")</f>
        <v/>
      </c>
      <c r="F277" s="190" t="str">
        <f>IFERROR(VLOOKUP($C277,'PORTIFÓLIO'!C:V,4,0),"")</f>
        <v/>
      </c>
      <c r="G277" s="206" t="str">
        <f>IFERROR(VLOOKUP($C277,'PORTIFÓLIO'!C:V,5,0),"")</f>
        <v/>
      </c>
      <c r="H277" s="247" t="str">
        <f t="array" ref="H277">IFERROR(INDEX('PORTIFÓLIO'!$H$4:$H$433,MATCH($C277,'PORTIFÓLIO'!$C$4:$C$433,0)),"")</f>
        <v/>
      </c>
      <c r="I277" s="257"/>
      <c r="J277" s="209">
        <f t="shared" si="31"/>
        <v>0</v>
      </c>
      <c r="K277" s="248" t="str">
        <f t="array" ref="K277">IFERROR(I277*INDEX('PORTIFÓLIO'!$S$4:$S$433,MATCH($C277,'PORTIFÓLIO'!$C$4:$C$433,0)),"")</f>
        <v/>
      </c>
      <c r="L277" s="248" t="str">
        <f t="array" ref="L277">IFERROR(J277*INDEX('PORTIFÓLIO'!$S$4:$S$433,MATCH($C277,'PORTIFÓLIO'!$C$4:$C$433,0)),"")</f>
        <v/>
      </c>
      <c r="M277" s="238"/>
      <c r="N277" s="177"/>
      <c r="O277" s="177"/>
      <c r="P277" s="177"/>
      <c r="Q277" s="177"/>
      <c r="R277" s="177"/>
      <c r="S277" s="177"/>
      <c r="T277" s="177"/>
      <c r="U277" s="177"/>
      <c r="V277" s="177"/>
      <c r="W277" s="177"/>
    </row>
    <row r="278" ht="15.75" customHeight="1" outlineLevel="1">
      <c r="A278" s="190"/>
      <c r="B278" s="204"/>
      <c r="C278" s="191"/>
      <c r="D278" s="205" t="str">
        <f>IFERROR(VLOOKUP($C278,'PORTIFÓLIO'!C:V,2,0),"")</f>
        <v/>
      </c>
      <c r="E278" s="190" t="str">
        <f>IFERROR(VLOOKUP($C278,'PORTIFÓLIO'!C:V,3,0),"")</f>
        <v/>
      </c>
      <c r="F278" s="190" t="str">
        <f>IFERROR(VLOOKUP($C278,'PORTIFÓLIO'!C:V,4,0),"")</f>
        <v/>
      </c>
      <c r="G278" s="206" t="str">
        <f>IFERROR(VLOOKUP($C278,'PORTIFÓLIO'!C:V,5,0),"")</f>
        <v/>
      </c>
      <c r="H278" s="247" t="str">
        <f t="array" ref="H278">IFERROR(INDEX('PORTIFÓLIO'!$H$4:$H$433,MATCH($C278,'PORTIFÓLIO'!$C$4:$C$433,0)),"")</f>
        <v/>
      </c>
      <c r="I278" s="257"/>
      <c r="J278" s="209">
        <f t="shared" si="31"/>
        <v>0</v>
      </c>
      <c r="K278" s="248" t="str">
        <f t="array" ref="K278">IFERROR(I278*INDEX('PORTIFÓLIO'!$S$4:$S$433,MATCH($C278,'PORTIFÓLIO'!$C$4:$C$433,0)),"")</f>
        <v/>
      </c>
      <c r="L278" s="248" t="str">
        <f t="array" ref="L278">IFERROR(J278*INDEX('PORTIFÓLIO'!$S$4:$S$433,MATCH($C278,'PORTIFÓLIO'!$C$4:$C$433,0)),"")</f>
        <v/>
      </c>
      <c r="M278" s="238"/>
      <c r="N278" s="177"/>
      <c r="O278" s="177"/>
      <c r="P278" s="177"/>
      <c r="Q278" s="177"/>
      <c r="R278" s="177"/>
      <c r="S278" s="177"/>
      <c r="T278" s="177"/>
      <c r="U278" s="177"/>
      <c r="V278" s="177"/>
      <c r="W278" s="177"/>
    </row>
    <row r="279" ht="15.75" customHeight="1" outlineLevel="1">
      <c r="A279" s="190"/>
      <c r="B279" s="204"/>
      <c r="C279" s="191"/>
      <c r="D279" s="205" t="str">
        <f>IFERROR(VLOOKUP($C279,'PORTIFÓLIO'!C:V,2,0),"")</f>
        <v/>
      </c>
      <c r="E279" s="190" t="str">
        <f>IFERROR(VLOOKUP($C279,'PORTIFÓLIO'!C:V,3,0),"")</f>
        <v/>
      </c>
      <c r="F279" s="190" t="str">
        <f>IFERROR(VLOOKUP($C279,'PORTIFÓLIO'!C:V,4,0),"")</f>
        <v/>
      </c>
      <c r="G279" s="206" t="str">
        <f>IFERROR(VLOOKUP($C279,'PORTIFÓLIO'!C:V,5,0),"")</f>
        <v/>
      </c>
      <c r="H279" s="247" t="str">
        <f t="array" ref="H279">IFERROR(INDEX('PORTIFÓLIO'!$H$4:$H$433,MATCH($C279,'PORTIFÓLIO'!$C$4:$C$433,0)),"")</f>
        <v/>
      </c>
      <c r="I279" s="257"/>
      <c r="J279" s="209">
        <f t="shared" si="31"/>
        <v>0</v>
      </c>
      <c r="K279" s="248" t="str">
        <f t="array" ref="K279">IFERROR(I279*INDEX('PORTIFÓLIO'!$S$4:$S$433,MATCH($C279,'PORTIFÓLIO'!$C$4:$C$433,0)),"")</f>
        <v/>
      </c>
      <c r="L279" s="248" t="str">
        <f t="array" ref="L279">IFERROR(J279*INDEX('PORTIFÓLIO'!$S$4:$S$433,MATCH($C279,'PORTIFÓLIO'!$C$4:$C$433,0)),"")</f>
        <v/>
      </c>
      <c r="M279" s="238"/>
      <c r="N279" s="177"/>
      <c r="O279" s="177"/>
      <c r="P279" s="177"/>
      <c r="Q279" s="177"/>
      <c r="R279" s="177"/>
      <c r="S279" s="177"/>
      <c r="T279" s="177"/>
      <c r="U279" s="177"/>
      <c r="V279" s="177"/>
      <c r="W279" s="177"/>
    </row>
    <row r="280" ht="15.75" customHeight="1" outlineLevel="1">
      <c r="A280" s="190"/>
      <c r="B280" s="204"/>
      <c r="C280" s="191"/>
      <c r="D280" s="205" t="str">
        <f>IFERROR(VLOOKUP($C280,'PORTIFÓLIO'!C:V,2,0),"")</f>
        <v/>
      </c>
      <c r="E280" s="190" t="str">
        <f>IFERROR(VLOOKUP($C280,'PORTIFÓLIO'!C:V,3,0),"")</f>
        <v/>
      </c>
      <c r="F280" s="190" t="str">
        <f>IFERROR(VLOOKUP($C280,'PORTIFÓLIO'!C:V,4,0),"")</f>
        <v/>
      </c>
      <c r="G280" s="206" t="str">
        <f>IFERROR(VLOOKUP($C280,'PORTIFÓLIO'!C:V,5,0),"")</f>
        <v/>
      </c>
      <c r="H280" s="247" t="str">
        <f t="array" ref="H280">IFERROR(INDEX('PORTIFÓLIO'!$H$4:$H$433,MATCH($C280,'PORTIFÓLIO'!$C$4:$C$433,0)),"")</f>
        <v/>
      </c>
      <c r="I280" s="253"/>
      <c r="J280" s="209">
        <f t="shared" si="31"/>
        <v>0</v>
      </c>
      <c r="K280" s="248" t="str">
        <f t="array" ref="K280">IFERROR(I280*INDEX('PORTIFÓLIO'!$S$4:$S$433,MATCH($C280,'PORTIFÓLIO'!$C$4:$C$433,0)),"")</f>
        <v/>
      </c>
      <c r="L280" s="248" t="str">
        <f t="array" ref="L280">IFERROR(J280*INDEX('PORTIFÓLIO'!$S$4:$S$433,MATCH($C280,'PORTIFÓLIO'!$C$4:$C$433,0)),"")</f>
        <v/>
      </c>
      <c r="M280" s="238"/>
      <c r="N280" s="177"/>
      <c r="O280" s="177"/>
      <c r="P280" s="177"/>
      <c r="Q280" s="177"/>
      <c r="R280" s="177"/>
      <c r="S280" s="177"/>
      <c r="T280" s="177"/>
      <c r="U280" s="177"/>
      <c r="V280" s="177"/>
      <c r="W280" s="177"/>
    </row>
    <row r="281" ht="15.75" customHeight="1" outlineLevel="1">
      <c r="A281" s="190"/>
      <c r="B281" s="204"/>
      <c r="C281" s="191"/>
      <c r="D281" s="205" t="str">
        <f>IFERROR(VLOOKUP($C281,'PORTIFÓLIO'!C:V,2,0),"")</f>
        <v/>
      </c>
      <c r="E281" s="190" t="str">
        <f>IFERROR(VLOOKUP($C281,'PORTIFÓLIO'!C:V,3,0),"")</f>
        <v/>
      </c>
      <c r="F281" s="190" t="str">
        <f>IFERROR(VLOOKUP($C281,'PORTIFÓLIO'!C:V,4,0),"")</f>
        <v/>
      </c>
      <c r="G281" s="206" t="str">
        <f>IFERROR(VLOOKUP($C281,'PORTIFÓLIO'!C:V,5,0),"")</f>
        <v/>
      </c>
      <c r="H281" s="247" t="str">
        <f t="array" ref="H281">IFERROR(INDEX('PORTIFÓLIO'!$H$4:$H$433,MATCH($C281,'PORTIFÓLIO'!$C$4:$C$433,0)),"")</f>
        <v/>
      </c>
      <c r="I281" s="257"/>
      <c r="J281" s="209">
        <f t="shared" si="31"/>
        <v>0</v>
      </c>
      <c r="K281" s="248" t="str">
        <f t="array" ref="K281">IFERROR(I281*INDEX('PORTIFÓLIO'!$S$4:$S$433,MATCH($C281,'PORTIFÓLIO'!$C$4:$C$433,0)),"")</f>
        <v/>
      </c>
      <c r="L281" s="248" t="str">
        <f t="array" ref="L281">IFERROR(J281*INDEX('PORTIFÓLIO'!$S$4:$S$433,MATCH($C281,'PORTIFÓLIO'!$C$4:$C$433,0)),"")</f>
        <v/>
      </c>
      <c r="M281" s="238"/>
      <c r="N281" s="177"/>
      <c r="O281" s="177"/>
      <c r="P281" s="177"/>
      <c r="Q281" s="177"/>
      <c r="R281" s="177"/>
      <c r="S281" s="177"/>
      <c r="T281" s="177"/>
      <c r="U281" s="177"/>
      <c r="V281" s="177"/>
      <c r="W281" s="177"/>
    </row>
    <row r="282" ht="15.75" customHeight="1" outlineLevel="1">
      <c r="A282" s="190"/>
      <c r="B282" s="204"/>
      <c r="C282" s="191"/>
      <c r="D282" s="205" t="str">
        <f>IFERROR(VLOOKUP($C282,'PORTIFÓLIO'!C:V,2,0),"")</f>
        <v/>
      </c>
      <c r="E282" s="190" t="str">
        <f>IFERROR(VLOOKUP($C282,'PORTIFÓLIO'!C:V,3,0),"")</f>
        <v/>
      </c>
      <c r="F282" s="190" t="str">
        <f>IFERROR(VLOOKUP($C282,'PORTIFÓLIO'!C:V,4,0),"")</f>
        <v/>
      </c>
      <c r="G282" s="206" t="str">
        <f>IFERROR(VLOOKUP($C282,'PORTIFÓLIO'!C:V,5,0),"")</f>
        <v/>
      </c>
      <c r="H282" s="247" t="str">
        <f t="array" ref="H282">IFERROR(INDEX('PORTIFÓLIO'!$H$4:$H$433,MATCH($C282,'PORTIFÓLIO'!$C$4:$C$433,0)),"")</f>
        <v/>
      </c>
      <c r="I282" s="257"/>
      <c r="J282" s="209">
        <f t="shared" si="31"/>
        <v>0</v>
      </c>
      <c r="K282" s="248" t="str">
        <f t="array" ref="K282">IFERROR(I282*INDEX('PORTIFÓLIO'!$S$4:$S$433,MATCH($C282,'PORTIFÓLIO'!$C$4:$C$433,0)),"")</f>
        <v/>
      </c>
      <c r="L282" s="248" t="str">
        <f t="array" ref="L282">IFERROR(J282*INDEX('PORTIFÓLIO'!$S$4:$S$433,MATCH($C282,'PORTIFÓLIO'!$C$4:$C$433,0)),"")</f>
        <v/>
      </c>
      <c r="M282" s="238"/>
      <c r="N282" s="177"/>
      <c r="O282" s="177"/>
      <c r="P282" s="177"/>
      <c r="Q282" s="177"/>
      <c r="R282" s="177"/>
      <c r="S282" s="177"/>
      <c r="T282" s="177"/>
      <c r="U282" s="177"/>
      <c r="V282" s="177"/>
      <c r="W282" s="177"/>
    </row>
    <row r="283" ht="15.75" customHeight="1" outlineLevel="1">
      <c r="A283" s="190"/>
      <c r="B283" s="204"/>
      <c r="C283" s="191"/>
      <c r="D283" s="205" t="str">
        <f>IFERROR(VLOOKUP($C283,'PORTIFÓLIO'!C:V,2,0),"")</f>
        <v/>
      </c>
      <c r="E283" s="190" t="str">
        <f>IFERROR(VLOOKUP($C283,'PORTIFÓLIO'!C:V,3,0),"")</f>
        <v/>
      </c>
      <c r="F283" s="190" t="str">
        <f>IFERROR(VLOOKUP($C283,'PORTIFÓLIO'!C:V,4,0),"")</f>
        <v/>
      </c>
      <c r="G283" s="206" t="str">
        <f>IFERROR(VLOOKUP($C283,'PORTIFÓLIO'!C:V,5,0),"")</f>
        <v/>
      </c>
      <c r="H283" s="247" t="str">
        <f t="array" ref="H283">IFERROR(INDEX('PORTIFÓLIO'!$H$4:$H$433,MATCH($C283,'PORTIFÓLIO'!$C$4:$C$433,0)),"")</f>
        <v/>
      </c>
      <c r="I283" s="257"/>
      <c r="J283" s="209">
        <f t="shared" si="31"/>
        <v>0</v>
      </c>
      <c r="K283" s="248" t="str">
        <f t="array" ref="K283">IFERROR(I283*INDEX('PORTIFÓLIO'!$S$4:$S$433,MATCH($C283,'PORTIFÓLIO'!$C$4:$C$433,0)),"")</f>
        <v/>
      </c>
      <c r="L283" s="248" t="str">
        <f t="array" ref="L283">IFERROR(J283*INDEX('PORTIFÓLIO'!$S$4:$S$433,MATCH($C283,'PORTIFÓLIO'!$C$4:$C$433,0)),"")</f>
        <v/>
      </c>
      <c r="M283" s="238"/>
      <c r="N283" s="177"/>
      <c r="O283" s="177"/>
      <c r="P283" s="177"/>
      <c r="Q283" s="177"/>
      <c r="R283" s="177"/>
      <c r="S283" s="177"/>
      <c r="T283" s="177"/>
      <c r="U283" s="177"/>
      <c r="V283" s="177"/>
      <c r="W283" s="177"/>
    </row>
    <row r="284" ht="15.75" customHeight="1" outlineLevel="1">
      <c r="A284" s="190"/>
      <c r="B284" s="204"/>
      <c r="C284" s="191"/>
      <c r="D284" s="205" t="str">
        <f>IFERROR(VLOOKUP($C284,'PORTIFÓLIO'!C:V,2,0),"")</f>
        <v/>
      </c>
      <c r="E284" s="190" t="str">
        <f>IFERROR(VLOOKUP($C284,'PORTIFÓLIO'!C:V,3,0),"")</f>
        <v/>
      </c>
      <c r="F284" s="190" t="str">
        <f>IFERROR(VLOOKUP($C284,'PORTIFÓLIO'!C:V,4,0),"")</f>
        <v/>
      </c>
      <c r="G284" s="206" t="str">
        <f>IFERROR(VLOOKUP($C284,'PORTIFÓLIO'!C:V,5,0),"")</f>
        <v/>
      </c>
      <c r="H284" s="247" t="str">
        <f t="array" ref="H284">IFERROR(INDEX('PORTIFÓLIO'!$H$4:$H$433,MATCH($C284,'PORTIFÓLIO'!$C$4:$C$433,0)),"")</f>
        <v/>
      </c>
      <c r="I284" s="257"/>
      <c r="J284" s="209">
        <f t="shared" si="31"/>
        <v>0</v>
      </c>
      <c r="K284" s="248" t="str">
        <f t="array" ref="K284">IFERROR(I284*INDEX('PORTIFÓLIO'!$S$4:$S$433,MATCH($C284,'PORTIFÓLIO'!$C$4:$C$433,0)),"")</f>
        <v/>
      </c>
      <c r="L284" s="248" t="str">
        <f t="array" ref="L284">IFERROR(J284*INDEX('PORTIFÓLIO'!$S$4:$S$433,MATCH($C284,'PORTIFÓLIO'!$C$4:$C$433,0)),"")</f>
        <v/>
      </c>
      <c r="M284" s="238"/>
      <c r="N284" s="177"/>
      <c r="O284" s="177"/>
      <c r="P284" s="177"/>
      <c r="Q284" s="177"/>
      <c r="R284" s="177"/>
      <c r="S284" s="177"/>
      <c r="T284" s="177"/>
      <c r="U284" s="177"/>
      <c r="V284" s="177"/>
      <c r="W284" s="177"/>
    </row>
    <row r="285" ht="15.75" customHeight="1" outlineLevel="1">
      <c r="A285" s="190"/>
      <c r="B285" s="204"/>
      <c r="C285" s="191"/>
      <c r="D285" s="205" t="str">
        <f>IFERROR(VLOOKUP($C285,'PORTIFÓLIO'!C:V,2,0),"")</f>
        <v/>
      </c>
      <c r="E285" s="190" t="str">
        <f>IFERROR(VLOOKUP($C285,'PORTIFÓLIO'!C:V,3,0),"")</f>
        <v/>
      </c>
      <c r="F285" s="190" t="str">
        <f>IFERROR(VLOOKUP($C285,'PORTIFÓLIO'!C:V,4,0),"")</f>
        <v/>
      </c>
      <c r="G285" s="206" t="str">
        <f>IFERROR(VLOOKUP($C285,'PORTIFÓLIO'!C:V,5,0),"")</f>
        <v/>
      </c>
      <c r="H285" s="247" t="str">
        <f t="array" ref="H285">IFERROR(INDEX('PORTIFÓLIO'!$H$4:$H$433,MATCH($C285,'PORTIFÓLIO'!$C$4:$C$433,0)),"")</f>
        <v/>
      </c>
      <c r="I285" s="257"/>
      <c r="J285" s="209">
        <f t="shared" si="31"/>
        <v>0</v>
      </c>
      <c r="K285" s="248" t="str">
        <f t="array" ref="K285">IFERROR(I285*INDEX('PORTIFÓLIO'!$S$4:$S$433,MATCH($C285,'PORTIFÓLIO'!$C$4:$C$433,0)),"")</f>
        <v/>
      </c>
      <c r="L285" s="248" t="str">
        <f t="array" ref="L285">IFERROR(J285*INDEX('PORTIFÓLIO'!$S$4:$S$433,MATCH($C285,'PORTIFÓLIO'!$C$4:$C$433,0)),"")</f>
        <v/>
      </c>
      <c r="M285" s="238"/>
      <c r="N285" s="177"/>
      <c r="O285" s="177"/>
      <c r="P285" s="177"/>
      <c r="Q285" s="177"/>
      <c r="R285" s="177"/>
      <c r="S285" s="177"/>
      <c r="T285" s="177"/>
      <c r="U285" s="177"/>
      <c r="V285" s="177"/>
      <c r="W285" s="177"/>
    </row>
    <row r="286" ht="15.75" customHeight="1" outlineLevel="1">
      <c r="A286" s="190"/>
      <c r="B286" s="204"/>
      <c r="C286" s="191"/>
      <c r="D286" s="205" t="str">
        <f>IFERROR(VLOOKUP($C286,'PORTIFÓLIO'!C:V,2,0),"")</f>
        <v/>
      </c>
      <c r="E286" s="190" t="str">
        <f>IFERROR(VLOOKUP($C286,'PORTIFÓLIO'!C:V,3,0),"")</f>
        <v/>
      </c>
      <c r="F286" s="190" t="str">
        <f>IFERROR(VLOOKUP($C286,'PORTIFÓLIO'!C:V,4,0),"")</f>
        <v/>
      </c>
      <c r="G286" s="206" t="str">
        <f>IFERROR(VLOOKUP($C286,'PORTIFÓLIO'!C:V,5,0),"")</f>
        <v/>
      </c>
      <c r="H286" s="247" t="str">
        <f t="array" ref="H286">IFERROR(INDEX('PORTIFÓLIO'!$H$4:$H$433,MATCH($C286,'PORTIFÓLIO'!$C$4:$C$433,0)),"")</f>
        <v/>
      </c>
      <c r="I286" s="257"/>
      <c r="J286" s="209">
        <f t="shared" si="31"/>
        <v>0</v>
      </c>
      <c r="K286" s="248" t="str">
        <f t="array" ref="K286">IFERROR(I286*INDEX('PORTIFÓLIO'!$S$4:$S$433,MATCH($C286,'PORTIFÓLIO'!$C$4:$C$433,0)),"")</f>
        <v/>
      </c>
      <c r="L286" s="248" t="str">
        <f t="array" ref="L286">IFERROR(J286*INDEX('PORTIFÓLIO'!$S$4:$S$433,MATCH($C286,'PORTIFÓLIO'!$C$4:$C$433,0)),"")</f>
        <v/>
      </c>
      <c r="M286" s="238"/>
      <c r="N286" s="177"/>
      <c r="O286" s="177"/>
      <c r="P286" s="177"/>
      <c r="Q286" s="177"/>
      <c r="R286" s="177"/>
      <c r="S286" s="177"/>
      <c r="T286" s="177"/>
      <c r="U286" s="177"/>
      <c r="V286" s="177"/>
      <c r="W286" s="177"/>
    </row>
    <row r="287" ht="15.75" customHeight="1" outlineLevel="1">
      <c r="A287" s="190"/>
      <c r="B287" s="204"/>
      <c r="C287" s="191"/>
      <c r="D287" s="205" t="str">
        <f>IFERROR(VLOOKUP($C287,'PORTIFÓLIO'!C:V,2,0),"")</f>
        <v/>
      </c>
      <c r="E287" s="190" t="str">
        <f>IFERROR(VLOOKUP($C287,'PORTIFÓLIO'!C:V,3,0),"")</f>
        <v/>
      </c>
      <c r="F287" s="190" t="str">
        <f>IFERROR(VLOOKUP($C287,'PORTIFÓLIO'!C:V,4,0),"")</f>
        <v/>
      </c>
      <c r="G287" s="206" t="str">
        <f>IFERROR(VLOOKUP($C287,'PORTIFÓLIO'!C:V,5,0),"")</f>
        <v/>
      </c>
      <c r="H287" s="247" t="str">
        <f t="array" ref="H287">IFERROR(INDEX('PORTIFÓLIO'!$H$4:$H$433,MATCH($C287,'PORTIFÓLIO'!$C$4:$C$433,0)),"")</f>
        <v/>
      </c>
      <c r="I287" s="257"/>
      <c r="J287" s="209">
        <f t="shared" si="31"/>
        <v>0</v>
      </c>
      <c r="K287" s="248" t="str">
        <f t="array" ref="K287">IFERROR(I287*INDEX('PORTIFÓLIO'!$S$4:$S$433,MATCH($C287,'PORTIFÓLIO'!$C$4:$C$433,0)),"")</f>
        <v/>
      </c>
      <c r="L287" s="248" t="str">
        <f t="array" ref="L287">IFERROR(J287*INDEX('PORTIFÓLIO'!$S$4:$S$433,MATCH($C287,'PORTIFÓLIO'!$C$4:$C$433,0)),"")</f>
        <v/>
      </c>
      <c r="M287" s="238"/>
      <c r="N287" s="177"/>
      <c r="O287" s="177"/>
      <c r="P287" s="177"/>
      <c r="Q287" s="177"/>
      <c r="R287" s="177"/>
      <c r="S287" s="177"/>
      <c r="T287" s="177"/>
      <c r="U287" s="177"/>
      <c r="V287" s="177"/>
      <c r="W287" s="177"/>
    </row>
    <row r="288" ht="15.75" customHeight="1" outlineLevel="1">
      <c r="A288" s="190"/>
      <c r="B288" s="204"/>
      <c r="C288" s="191"/>
      <c r="D288" s="205" t="str">
        <f>IFERROR(VLOOKUP($C288,'PORTIFÓLIO'!C:V,2,0),"")</f>
        <v/>
      </c>
      <c r="E288" s="190" t="str">
        <f>IFERROR(VLOOKUP($C288,'PORTIFÓLIO'!C:V,3,0),"")</f>
        <v/>
      </c>
      <c r="F288" s="190" t="str">
        <f>IFERROR(VLOOKUP($C288,'PORTIFÓLIO'!C:V,4,0),"")</f>
        <v/>
      </c>
      <c r="G288" s="206" t="str">
        <f>IFERROR(VLOOKUP($C288,'PORTIFÓLIO'!C:V,5,0),"")</f>
        <v/>
      </c>
      <c r="H288" s="247" t="str">
        <f t="array" ref="H288">IFERROR(INDEX('PORTIFÓLIO'!$H$4:$H$433,MATCH($C288,'PORTIFÓLIO'!$C$4:$C$433,0)),"")</f>
        <v/>
      </c>
      <c r="I288" s="257"/>
      <c r="J288" s="209">
        <f t="shared" si="31"/>
        <v>0</v>
      </c>
      <c r="K288" s="248" t="str">
        <f t="array" ref="K288">IFERROR(I288*INDEX('PORTIFÓLIO'!$S$4:$S$433,MATCH($C288,'PORTIFÓLIO'!$C$4:$C$433,0)),"")</f>
        <v/>
      </c>
      <c r="L288" s="248" t="str">
        <f t="array" ref="L288">IFERROR(J288*INDEX('PORTIFÓLIO'!$S$4:$S$433,MATCH($C288,'PORTIFÓLIO'!$C$4:$C$433,0)),"")</f>
        <v/>
      </c>
      <c r="M288" s="238"/>
      <c r="N288" s="177"/>
      <c r="O288" s="177"/>
      <c r="P288" s="177"/>
      <c r="Q288" s="177"/>
      <c r="R288" s="177"/>
      <c r="S288" s="177"/>
      <c r="T288" s="177"/>
      <c r="U288" s="177"/>
      <c r="V288" s="177"/>
      <c r="W288" s="177"/>
    </row>
    <row r="289" ht="15.75" customHeight="1" outlineLevel="1">
      <c r="A289" s="190"/>
      <c r="B289" s="204"/>
      <c r="C289" s="191"/>
      <c r="D289" s="205" t="str">
        <f>IFERROR(VLOOKUP($C289,'PORTIFÓLIO'!C:V,2,0),"")</f>
        <v/>
      </c>
      <c r="E289" s="190" t="str">
        <f>IFERROR(VLOOKUP($C289,'PORTIFÓLIO'!C:V,3,0),"")</f>
        <v/>
      </c>
      <c r="F289" s="190" t="str">
        <f>IFERROR(VLOOKUP($C289,'PORTIFÓLIO'!C:V,4,0),"")</f>
        <v/>
      </c>
      <c r="G289" s="206" t="str">
        <f>IFERROR(VLOOKUP($C289,'PORTIFÓLIO'!C:V,5,0),"")</f>
        <v/>
      </c>
      <c r="H289" s="247" t="str">
        <f t="array" ref="H289">IFERROR(INDEX('PORTIFÓLIO'!$H$4:$H$433,MATCH($C289,'PORTIFÓLIO'!$C$4:$C$433,0)),"")</f>
        <v/>
      </c>
      <c r="I289" s="257"/>
      <c r="J289" s="209">
        <f t="shared" si="31"/>
        <v>0</v>
      </c>
      <c r="K289" s="248" t="str">
        <f t="array" ref="K289">IFERROR(I289*INDEX('PORTIFÓLIO'!$S$4:$S$433,MATCH($C289,'PORTIFÓLIO'!$C$4:$C$433,0)),"")</f>
        <v/>
      </c>
      <c r="L289" s="248" t="str">
        <f t="array" ref="L289">IFERROR(J289*INDEX('PORTIFÓLIO'!$S$4:$S$433,MATCH($C289,'PORTIFÓLIO'!$C$4:$C$433,0)),"")</f>
        <v/>
      </c>
      <c r="M289" s="238"/>
      <c r="N289" s="177"/>
      <c r="O289" s="177"/>
      <c r="P289" s="177"/>
      <c r="Q289" s="177"/>
      <c r="R289" s="177"/>
      <c r="S289" s="177"/>
      <c r="T289" s="177"/>
      <c r="U289" s="177"/>
      <c r="V289" s="177"/>
      <c r="W289" s="177"/>
    </row>
    <row r="290" ht="15.75" customHeight="1">
      <c r="A290" s="221" t="s">
        <v>1186</v>
      </c>
      <c r="B290" s="197"/>
      <c r="C290" s="196"/>
      <c r="D290" s="198"/>
      <c r="E290" s="196"/>
      <c r="F290" s="196"/>
      <c r="G290" s="199"/>
      <c r="H290" s="199"/>
      <c r="I290" s="252"/>
      <c r="J290" s="202"/>
      <c r="K290" s="203">
        <f t="shared" ref="K290:L290" si="32">SUBTOTAL(9,K291:K304)</f>
        <v>126.652012</v>
      </c>
      <c r="L290" s="203">
        <f t="shared" si="32"/>
        <v>13045.15724</v>
      </c>
      <c r="M290" s="238"/>
      <c r="N290" s="177"/>
      <c r="O290" s="177"/>
      <c r="P290" s="177"/>
      <c r="Q290" s="177"/>
      <c r="R290" s="177"/>
      <c r="S290" s="177"/>
      <c r="T290" s="177"/>
      <c r="U290" s="177"/>
      <c r="V290" s="177"/>
      <c r="W290" s="177"/>
    </row>
    <row r="291" ht="15.75" customHeight="1" outlineLevel="1">
      <c r="A291" s="191"/>
      <c r="B291" s="204" t="s">
        <v>1</v>
      </c>
      <c r="C291" s="191" t="s">
        <v>736</v>
      </c>
      <c r="D291" s="205" t="str">
        <f>IFERROR(VLOOKUP($C291,'PORTIFÓLIO'!C:V,2,0),"")</f>
        <v>ATRAZINA</v>
      </c>
      <c r="E291" s="190">
        <f>IFERROR(VLOOKUP($C291,'PORTIFÓLIO'!C:V,3,0),"")</f>
        <v>880</v>
      </c>
      <c r="F291" s="190" t="str">
        <f>IFERROR(VLOOKUP($C291,'PORTIFÓLIO'!C:V,4,0),"")</f>
        <v>L</v>
      </c>
      <c r="G291" s="223" t="str">
        <f>IFERROR(VLOOKUP($C291,'PORTIFÓLIO'!C:V,5,0),"")</f>
        <v>📄 Ver bula</v>
      </c>
      <c r="H291" s="247" t="str">
        <f t="array" ref="H291">IFERROR(INDEX('PORTIFÓLIO'!$H$4:$H$433,MATCH($C291,'PORTIFÓLIO'!$C$4:$C$433,0)),"")</f>
        <v/>
      </c>
      <c r="I291" s="253">
        <v>2.0</v>
      </c>
      <c r="J291" s="209">
        <f t="shared" ref="J291:J307" si="33">I291*$B$2</f>
        <v>206</v>
      </c>
      <c r="K291" s="248">
        <f t="array" ref="K291">IFERROR(I291*INDEX('PORTIFÓLIO'!$S$4:$S$433,MATCH($C291,'PORTIFÓLIO'!$C$4:$C$433,0)),"")</f>
        <v>52.6012</v>
      </c>
      <c r="L291" s="248">
        <f t="array" ref="L291">IFERROR(J291*INDEX('PORTIFÓLIO'!$S$4:$S$433,MATCH($C291,'PORTIFÓLIO'!$C$4:$C$433,0)),"")</f>
        <v>5417.9236</v>
      </c>
      <c r="M291" s="238"/>
      <c r="N291" s="177"/>
      <c r="O291" s="177"/>
      <c r="P291" s="177"/>
      <c r="Q291" s="177"/>
      <c r="R291" s="177"/>
      <c r="S291" s="177"/>
      <c r="T291" s="177"/>
      <c r="U291" s="177"/>
      <c r="V291" s="177"/>
      <c r="W291" s="177"/>
    </row>
    <row r="292" ht="15.75" customHeight="1" outlineLevel="1">
      <c r="A292" s="190"/>
      <c r="B292" s="204" t="s">
        <v>2</v>
      </c>
      <c r="C292" s="191" t="s">
        <v>881</v>
      </c>
      <c r="D292" s="205" t="str">
        <f>IFERROR(VLOOKUP($C292,'PORTIFÓLIO'!C:V,2,0),"")</f>
        <v>TIAMETOXAM + LAMBDA-CIALOTRINA</v>
      </c>
      <c r="E292" s="190" t="str">
        <f>IFERROR(VLOOKUP($C292,'PORTIFÓLIO'!C:V,3,0),"")</f>
        <v>141 + 106</v>
      </c>
      <c r="F292" s="190" t="str">
        <f>IFERROR(VLOOKUP($C292,'PORTIFÓLIO'!C:V,4,0),"")</f>
        <v>L</v>
      </c>
      <c r="G292" s="223" t="str">
        <f>IFERROR(VLOOKUP($C292,'PORTIFÓLIO'!C:V,5,0),"")</f>
        <v>📄 Ver bula</v>
      </c>
      <c r="H292" s="247">
        <f t="array" ref="H292">IFERROR(INDEX('PORTIFÓLIO'!$H$4:$H$433,MATCH($C292,'PORTIFÓLIO'!$C$4:$C$433,0)),"")</f>
        <v>0.2</v>
      </c>
      <c r="I292" s="253">
        <v>0.2</v>
      </c>
      <c r="J292" s="209">
        <f t="shared" si="33"/>
        <v>20.6</v>
      </c>
      <c r="K292" s="248">
        <f t="array" ref="K292">IFERROR(I292*INDEX('PORTIFÓLIO'!$S$4:$S$433,MATCH($C292,'PORTIFÓLIO'!$C$4:$C$433,0)),"")</f>
        <v>17.152242</v>
      </c>
      <c r="L292" s="248">
        <f t="array" ref="L292">IFERROR(J292*INDEX('PORTIFÓLIO'!$S$4:$S$433,MATCH($C292,'PORTIFÓLIO'!$C$4:$C$433,0)),"")</f>
        <v>1766.680926</v>
      </c>
      <c r="M292" s="238"/>
      <c r="N292" s="177"/>
      <c r="O292" s="177"/>
      <c r="P292" s="177"/>
      <c r="Q292" s="177"/>
      <c r="R292" s="177"/>
      <c r="S292" s="177"/>
      <c r="T292" s="177"/>
      <c r="U292" s="177"/>
      <c r="V292" s="177"/>
      <c r="W292" s="177"/>
    </row>
    <row r="293" ht="15.75" customHeight="1" outlineLevel="1">
      <c r="A293" s="190"/>
      <c r="B293" s="204" t="s">
        <v>2</v>
      </c>
      <c r="C293" s="191" t="s">
        <v>837</v>
      </c>
      <c r="D293" s="205" t="str">
        <f>IFERROR(VLOOKUP($C293,'PORTIFÓLIO'!C:V,2,0),"")</f>
        <v>CLORFENAPIR</v>
      </c>
      <c r="E293" s="190">
        <f>IFERROR(VLOOKUP($C293,'PORTIFÓLIO'!C:V,3,0),"")</f>
        <v>240</v>
      </c>
      <c r="F293" s="190" t="str">
        <f>IFERROR(VLOOKUP($C293,'PORTIFÓLIO'!C:V,4,0),"")</f>
        <v>KG</v>
      </c>
      <c r="G293" s="223" t="str">
        <f>IFERROR(VLOOKUP($C293,'PORTIFÓLIO'!C:V,5,0),"")</f>
        <v>📄 Ver bula</v>
      </c>
      <c r="H293" s="247">
        <f t="array" ref="H293">IFERROR(INDEX('PORTIFÓLIO'!$H$4:$H$433,MATCH($C293,'PORTIFÓLIO'!$C$4:$C$433,0)),"")</f>
        <v>1</v>
      </c>
      <c r="I293" s="253">
        <v>1.0</v>
      </c>
      <c r="J293" s="209">
        <f t="shared" si="33"/>
        <v>103</v>
      </c>
      <c r="K293" s="248">
        <f t="array" ref="K293">IFERROR(I293*INDEX('PORTIFÓLIO'!$S$4:$S$433,MATCH($C293,'PORTIFÓLIO'!$C$4:$C$433,0)),"")</f>
        <v>38.55729</v>
      </c>
      <c r="L293" s="248">
        <f t="array" ref="L293">IFERROR(J293*INDEX('PORTIFÓLIO'!$S$4:$S$433,MATCH($C293,'PORTIFÓLIO'!$C$4:$C$433,0)),"")</f>
        <v>3971.40087</v>
      </c>
      <c r="M293" s="238"/>
      <c r="N293" s="177"/>
      <c r="O293" s="177"/>
      <c r="P293" s="177"/>
      <c r="Q293" s="177"/>
      <c r="R293" s="177"/>
      <c r="S293" s="177"/>
      <c r="T293" s="177"/>
      <c r="U293" s="177"/>
      <c r="V293" s="177"/>
      <c r="W293" s="177"/>
    </row>
    <row r="294" ht="15.75" customHeight="1" outlineLevel="1">
      <c r="A294" s="190"/>
      <c r="B294" s="204" t="s">
        <v>0</v>
      </c>
      <c r="C294" s="191" t="s">
        <v>530</v>
      </c>
      <c r="D294" s="205" t="str">
        <f>IFERROR(VLOOKUP($C294,'PORTIFÓLIO'!C:V,2,0),"")</f>
        <v>AZOXISTROBINA + TEBUCONAZOL</v>
      </c>
      <c r="E294" s="190" t="str">
        <f>IFERROR(VLOOKUP($C294,'PORTIFÓLIO'!C:V,3,0),"")</f>
        <v>125 + 240</v>
      </c>
      <c r="F294" s="190" t="str">
        <f>IFERROR(VLOOKUP($C294,'PORTIFÓLIO'!C:V,4,0),"")</f>
        <v>L</v>
      </c>
      <c r="G294" s="223" t="str">
        <f>IFERROR(VLOOKUP($C294,'PORTIFÓLIO'!C:V,5,0),"")</f>
        <v>📄 Ver bula</v>
      </c>
      <c r="H294" s="247">
        <f t="array" ref="H294">IFERROR(INDEX('PORTIFÓLIO'!$H$4:$H$433,MATCH($C294,'PORTIFÓLIO'!$C$4:$C$433,0)),"")</f>
        <v>0.5</v>
      </c>
      <c r="I294" s="253">
        <v>0.5</v>
      </c>
      <c r="J294" s="209">
        <f t="shared" si="33"/>
        <v>51.5</v>
      </c>
      <c r="K294" s="248">
        <f t="array" ref="K294">IFERROR(I294*INDEX('PORTIFÓLIO'!$S$4:$S$433,MATCH($C294,'PORTIFÓLIO'!$C$4:$C$433,0)),"")</f>
        <v>18.34128</v>
      </c>
      <c r="L294" s="248">
        <f t="array" ref="L294">IFERROR(J294*INDEX('PORTIFÓLIO'!$S$4:$S$433,MATCH($C294,'PORTIFÓLIO'!$C$4:$C$433,0)),"")</f>
        <v>1889.15184</v>
      </c>
      <c r="M294" s="238"/>
      <c r="N294" s="177"/>
      <c r="O294" s="177"/>
      <c r="P294" s="177"/>
      <c r="Q294" s="177"/>
      <c r="R294" s="177"/>
      <c r="S294" s="177"/>
      <c r="T294" s="177"/>
      <c r="U294" s="177"/>
      <c r="V294" s="177"/>
      <c r="W294" s="177"/>
    </row>
    <row r="295" ht="15.75" customHeight="1" outlineLevel="1">
      <c r="A295" s="190"/>
      <c r="B295" s="204"/>
      <c r="C295" s="191"/>
      <c r="D295" s="205" t="str">
        <f>IFERROR(VLOOKUP($C295,'PORTIFÓLIO'!C:V,2,0),"")</f>
        <v/>
      </c>
      <c r="E295" s="190" t="str">
        <f>IFERROR(VLOOKUP($C295,'PORTIFÓLIO'!C:V,3,0),"")</f>
        <v/>
      </c>
      <c r="F295" s="190" t="str">
        <f>IFERROR(VLOOKUP($C295,'PORTIFÓLIO'!C:V,4,0),"")</f>
        <v/>
      </c>
      <c r="G295" s="206" t="str">
        <f>IFERROR(VLOOKUP($C295,'PORTIFÓLIO'!C:V,5,0),"")</f>
        <v/>
      </c>
      <c r="H295" s="247" t="str">
        <f t="array" ref="H295">IFERROR(INDEX('PORTIFÓLIO'!$H$4:$H$433,MATCH($C295,'PORTIFÓLIO'!$C$4:$C$433,0)),"")</f>
        <v/>
      </c>
      <c r="I295" s="257"/>
      <c r="J295" s="209">
        <f t="shared" si="33"/>
        <v>0</v>
      </c>
      <c r="K295" s="248" t="str">
        <f t="array" ref="K295">IFERROR(I295*INDEX('PORTIFÓLIO'!$S$4:$S$433,MATCH($C295,'PORTIFÓLIO'!$C$4:$C$433,0)),"")</f>
        <v/>
      </c>
      <c r="L295" s="248" t="str">
        <f t="array" ref="L295">IFERROR(J295*INDEX('PORTIFÓLIO'!$S$4:$S$433,MATCH($C295,'PORTIFÓLIO'!$C$4:$C$433,0)),"")</f>
        <v/>
      </c>
      <c r="M295" s="238"/>
      <c r="N295" s="177"/>
      <c r="O295" s="177"/>
      <c r="P295" s="177"/>
      <c r="Q295" s="177"/>
      <c r="R295" s="177"/>
      <c r="S295" s="177"/>
      <c r="T295" s="177"/>
      <c r="U295" s="177"/>
      <c r="V295" s="177"/>
      <c r="W295" s="177"/>
    </row>
    <row r="296" ht="15.75" customHeight="1" outlineLevel="1">
      <c r="A296" s="190"/>
      <c r="B296" s="204"/>
      <c r="C296" s="191"/>
      <c r="D296" s="205" t="str">
        <f>IFERROR(VLOOKUP($C296,'PORTIFÓLIO'!C:V,2,0),"")</f>
        <v/>
      </c>
      <c r="E296" s="190" t="str">
        <f>IFERROR(VLOOKUP($C296,'PORTIFÓLIO'!C:V,3,0),"")</f>
        <v/>
      </c>
      <c r="F296" s="190" t="str">
        <f>IFERROR(VLOOKUP($C296,'PORTIFÓLIO'!C:V,4,0),"")</f>
        <v/>
      </c>
      <c r="G296" s="206" t="str">
        <f>IFERROR(VLOOKUP($C296,'PORTIFÓLIO'!C:V,5,0),"")</f>
        <v/>
      </c>
      <c r="H296" s="247" t="str">
        <f t="array" ref="H296">IFERROR(INDEX('PORTIFÓLIO'!$H$4:$H$433,MATCH($C296,'PORTIFÓLIO'!$C$4:$C$433,0)),"")</f>
        <v/>
      </c>
      <c r="I296" s="257"/>
      <c r="J296" s="209">
        <f t="shared" si="33"/>
        <v>0</v>
      </c>
      <c r="K296" s="248" t="str">
        <f t="array" ref="K296">IFERROR(I296*INDEX('PORTIFÓLIO'!$S$4:$S$433,MATCH($C296,'PORTIFÓLIO'!$C$4:$C$433,0)),"")</f>
        <v/>
      </c>
      <c r="L296" s="248" t="str">
        <f t="array" ref="L296">IFERROR(J296*INDEX('PORTIFÓLIO'!$S$4:$S$433,MATCH($C296,'PORTIFÓLIO'!$C$4:$C$433,0)),"")</f>
        <v/>
      </c>
      <c r="M296" s="238"/>
      <c r="N296" s="177"/>
      <c r="O296" s="177"/>
      <c r="P296" s="177"/>
      <c r="Q296" s="177"/>
      <c r="R296" s="177"/>
      <c r="S296" s="177"/>
      <c r="T296" s="177"/>
      <c r="U296" s="177"/>
      <c r="V296" s="177"/>
      <c r="W296" s="177"/>
    </row>
    <row r="297" ht="15.75" customHeight="1" outlineLevel="1">
      <c r="A297" s="190"/>
      <c r="B297" s="204"/>
      <c r="C297" s="191"/>
      <c r="D297" s="205" t="str">
        <f>IFERROR(VLOOKUP($C297,'PORTIFÓLIO'!C:V,2,0),"")</f>
        <v/>
      </c>
      <c r="E297" s="190" t="str">
        <f>IFERROR(VLOOKUP($C297,'PORTIFÓLIO'!C:V,3,0),"")</f>
        <v/>
      </c>
      <c r="F297" s="190" t="str">
        <f>IFERROR(VLOOKUP($C297,'PORTIFÓLIO'!C:V,4,0),"")</f>
        <v/>
      </c>
      <c r="G297" s="206" t="str">
        <f>IFERROR(VLOOKUP($C297,'PORTIFÓLIO'!C:V,5,0),"")</f>
        <v/>
      </c>
      <c r="H297" s="247" t="str">
        <f t="array" ref="H297">IFERROR(INDEX('PORTIFÓLIO'!$H$4:$H$433,MATCH($C297,'PORTIFÓLIO'!$C$4:$C$433,0)),"")</f>
        <v/>
      </c>
      <c r="I297" s="257"/>
      <c r="J297" s="209">
        <f t="shared" si="33"/>
        <v>0</v>
      </c>
      <c r="K297" s="248" t="str">
        <f t="array" ref="K297">IFERROR(I297*INDEX('PORTIFÓLIO'!$S$4:$S$433,MATCH($C297,'PORTIFÓLIO'!$C$4:$C$433,0)),"")</f>
        <v/>
      </c>
      <c r="L297" s="248" t="str">
        <f t="array" ref="L297">IFERROR(J297*INDEX('PORTIFÓLIO'!$S$4:$S$433,MATCH($C297,'PORTIFÓLIO'!$C$4:$C$433,0)),"")</f>
        <v/>
      </c>
      <c r="M297" s="238"/>
      <c r="N297" s="177"/>
      <c r="O297" s="177"/>
      <c r="P297" s="177"/>
      <c r="Q297" s="177"/>
      <c r="R297" s="177"/>
      <c r="S297" s="177"/>
      <c r="T297" s="177"/>
      <c r="U297" s="177"/>
      <c r="V297" s="177"/>
      <c r="W297" s="177"/>
    </row>
    <row r="298" ht="15.75" customHeight="1" outlineLevel="1">
      <c r="A298" s="190"/>
      <c r="B298" s="204"/>
      <c r="C298" s="191"/>
      <c r="D298" s="205" t="str">
        <f>IFERROR(VLOOKUP($C298,'PORTIFÓLIO'!C:V,2,0),"")</f>
        <v/>
      </c>
      <c r="E298" s="190" t="str">
        <f>IFERROR(VLOOKUP($C298,'PORTIFÓLIO'!C:V,3,0),"")</f>
        <v/>
      </c>
      <c r="F298" s="190" t="str">
        <f>IFERROR(VLOOKUP($C298,'PORTIFÓLIO'!C:V,4,0),"")</f>
        <v/>
      </c>
      <c r="G298" s="206" t="str">
        <f>IFERROR(VLOOKUP($C298,'PORTIFÓLIO'!C:V,5,0),"")</f>
        <v/>
      </c>
      <c r="H298" s="247" t="str">
        <f t="array" ref="H298">IFERROR(INDEX('PORTIFÓLIO'!$H$4:$H$433,MATCH($C298,'PORTIFÓLIO'!$C$4:$C$433,0)),"")</f>
        <v/>
      </c>
      <c r="I298" s="257"/>
      <c r="J298" s="209">
        <f t="shared" si="33"/>
        <v>0</v>
      </c>
      <c r="K298" s="248" t="str">
        <f t="array" ref="K298">IFERROR(I298*INDEX('PORTIFÓLIO'!$S$4:$S$433,MATCH($C298,'PORTIFÓLIO'!$C$4:$C$433,0)),"")</f>
        <v/>
      </c>
      <c r="L298" s="248" t="str">
        <f t="array" ref="L298">IFERROR(J298*INDEX('PORTIFÓLIO'!$S$4:$S$433,MATCH($C298,'PORTIFÓLIO'!$C$4:$C$433,0)),"")</f>
        <v/>
      </c>
      <c r="M298" s="238"/>
      <c r="N298" s="177"/>
      <c r="O298" s="177"/>
      <c r="P298" s="177"/>
      <c r="Q298" s="177"/>
      <c r="R298" s="177"/>
      <c r="S298" s="177"/>
      <c r="T298" s="177"/>
      <c r="U298" s="177"/>
      <c r="V298" s="177"/>
      <c r="W298" s="177"/>
    </row>
    <row r="299" ht="15.75" customHeight="1" outlineLevel="1">
      <c r="A299" s="190"/>
      <c r="B299" s="204"/>
      <c r="C299" s="191"/>
      <c r="D299" s="205" t="str">
        <f>IFERROR(VLOOKUP($C299,'PORTIFÓLIO'!C:V,2,0),"")</f>
        <v/>
      </c>
      <c r="E299" s="190" t="str">
        <f>IFERROR(VLOOKUP($C299,'PORTIFÓLIO'!C:V,3,0),"")</f>
        <v/>
      </c>
      <c r="F299" s="190" t="str">
        <f>IFERROR(VLOOKUP($C299,'PORTIFÓLIO'!C:V,4,0),"")</f>
        <v/>
      </c>
      <c r="G299" s="206" t="str">
        <f>IFERROR(VLOOKUP($C299,'PORTIFÓLIO'!C:V,5,0),"")</f>
        <v/>
      </c>
      <c r="H299" s="247" t="str">
        <f t="array" ref="H299">IFERROR(INDEX('PORTIFÓLIO'!$H$4:$H$433,MATCH($C299,'PORTIFÓLIO'!$C$4:$C$433,0)),"")</f>
        <v/>
      </c>
      <c r="I299" s="253"/>
      <c r="J299" s="209">
        <f t="shared" si="33"/>
        <v>0</v>
      </c>
      <c r="K299" s="248" t="str">
        <f t="array" ref="K299">IFERROR(I299*INDEX('PORTIFÓLIO'!$S$4:$S$433,MATCH($C299,'PORTIFÓLIO'!$C$4:$C$433,0)),"")</f>
        <v/>
      </c>
      <c r="L299" s="248" t="str">
        <f t="array" ref="L299">IFERROR(J299*INDEX('PORTIFÓLIO'!$S$4:$S$433,MATCH($C299,'PORTIFÓLIO'!$C$4:$C$433,0)),"")</f>
        <v/>
      </c>
      <c r="M299" s="238"/>
      <c r="N299" s="177"/>
      <c r="O299" s="177"/>
      <c r="P299" s="177"/>
      <c r="Q299" s="177"/>
      <c r="R299" s="177"/>
      <c r="S299" s="177"/>
      <c r="T299" s="177"/>
      <c r="U299" s="177"/>
      <c r="V299" s="177"/>
      <c r="W299" s="177"/>
    </row>
    <row r="300" ht="15.75" customHeight="1" outlineLevel="1">
      <c r="A300" s="190"/>
      <c r="B300" s="204"/>
      <c r="C300" s="191"/>
      <c r="D300" s="205" t="str">
        <f>IFERROR(VLOOKUP($C300,'PORTIFÓLIO'!C:V,2,0),"")</f>
        <v/>
      </c>
      <c r="E300" s="190" t="str">
        <f>IFERROR(VLOOKUP($C300,'PORTIFÓLIO'!C:V,3,0),"")</f>
        <v/>
      </c>
      <c r="F300" s="190" t="str">
        <f>IFERROR(VLOOKUP($C300,'PORTIFÓLIO'!C:V,4,0),"")</f>
        <v/>
      </c>
      <c r="G300" s="206" t="str">
        <f>IFERROR(VLOOKUP($C300,'PORTIFÓLIO'!C:V,5,0),"")</f>
        <v/>
      </c>
      <c r="H300" s="247" t="str">
        <f t="array" ref="H300">IFERROR(INDEX('PORTIFÓLIO'!$H$4:$H$433,MATCH($C300,'PORTIFÓLIO'!$C$4:$C$433,0)),"")</f>
        <v/>
      </c>
      <c r="I300" s="257"/>
      <c r="J300" s="209">
        <f t="shared" si="33"/>
        <v>0</v>
      </c>
      <c r="K300" s="248" t="str">
        <f t="array" ref="K300">IFERROR(I300*INDEX('PORTIFÓLIO'!$S$4:$S$433,MATCH($C300,'PORTIFÓLIO'!$C$4:$C$433,0)),"")</f>
        <v/>
      </c>
      <c r="L300" s="248" t="str">
        <f t="array" ref="L300">IFERROR(J300*INDEX('PORTIFÓLIO'!$S$4:$S$433,MATCH($C300,'PORTIFÓLIO'!$C$4:$C$433,0)),"")</f>
        <v/>
      </c>
      <c r="M300" s="238"/>
      <c r="N300" s="177"/>
      <c r="O300" s="177"/>
      <c r="P300" s="177"/>
      <c r="Q300" s="177"/>
      <c r="R300" s="177"/>
      <c r="S300" s="177"/>
      <c r="T300" s="177"/>
      <c r="U300" s="177"/>
      <c r="V300" s="177"/>
      <c r="W300" s="177"/>
    </row>
    <row r="301" ht="15.75" customHeight="1" outlineLevel="1">
      <c r="A301" s="190"/>
      <c r="B301" s="204"/>
      <c r="C301" s="191"/>
      <c r="D301" s="205" t="str">
        <f>IFERROR(VLOOKUP($C301,'PORTIFÓLIO'!C:V,2,0),"")</f>
        <v/>
      </c>
      <c r="E301" s="190" t="str">
        <f>IFERROR(VLOOKUP($C301,'PORTIFÓLIO'!C:V,3,0),"")</f>
        <v/>
      </c>
      <c r="F301" s="190" t="str">
        <f>IFERROR(VLOOKUP($C301,'PORTIFÓLIO'!C:V,4,0),"")</f>
        <v/>
      </c>
      <c r="G301" s="206" t="str">
        <f>IFERROR(VLOOKUP($C301,'PORTIFÓLIO'!C:V,5,0),"")</f>
        <v/>
      </c>
      <c r="H301" s="247" t="str">
        <f t="array" ref="H301">IFERROR(INDEX('PORTIFÓLIO'!$H$4:$H$433,MATCH($C301,'PORTIFÓLIO'!$C$4:$C$433,0)),"")</f>
        <v/>
      </c>
      <c r="I301" s="257"/>
      <c r="J301" s="209">
        <f t="shared" si="33"/>
        <v>0</v>
      </c>
      <c r="K301" s="248" t="str">
        <f t="array" ref="K301">IFERROR(I301*INDEX('PORTIFÓLIO'!$S$4:$S$433,MATCH($C301,'PORTIFÓLIO'!$C$4:$C$433,0)),"")</f>
        <v/>
      </c>
      <c r="L301" s="248" t="str">
        <f t="array" ref="L301">IFERROR(J301*INDEX('PORTIFÓLIO'!$S$4:$S$433,MATCH($C301,'PORTIFÓLIO'!$C$4:$C$433,0)),"")</f>
        <v/>
      </c>
      <c r="M301" s="238"/>
      <c r="N301" s="177"/>
      <c r="O301" s="177"/>
      <c r="P301" s="177"/>
      <c r="Q301" s="177"/>
      <c r="R301" s="177"/>
      <c r="S301" s="177"/>
      <c r="T301" s="177"/>
      <c r="U301" s="177"/>
      <c r="V301" s="177"/>
      <c r="W301" s="177"/>
    </row>
    <row r="302" ht="15.75" customHeight="1" outlineLevel="1">
      <c r="A302" s="190"/>
      <c r="B302" s="204"/>
      <c r="C302" s="191"/>
      <c r="D302" s="205" t="str">
        <f>IFERROR(VLOOKUP($C302,'PORTIFÓLIO'!C:V,2,0),"")</f>
        <v/>
      </c>
      <c r="E302" s="190" t="str">
        <f>IFERROR(VLOOKUP($C302,'PORTIFÓLIO'!C:V,3,0),"")</f>
        <v/>
      </c>
      <c r="F302" s="190" t="str">
        <f>IFERROR(VLOOKUP($C302,'PORTIFÓLIO'!C:V,4,0),"")</f>
        <v/>
      </c>
      <c r="G302" s="206" t="str">
        <f>IFERROR(VLOOKUP($C302,'PORTIFÓLIO'!C:V,5,0),"")</f>
        <v/>
      </c>
      <c r="H302" s="247" t="str">
        <f t="array" ref="H302">IFERROR(INDEX('PORTIFÓLIO'!$H$4:$H$433,MATCH($C302,'PORTIFÓLIO'!$C$4:$C$433,0)),"")</f>
        <v/>
      </c>
      <c r="I302" s="257"/>
      <c r="J302" s="209">
        <f t="shared" si="33"/>
        <v>0</v>
      </c>
      <c r="K302" s="248" t="str">
        <f t="array" ref="K302">IFERROR(I302*INDEX('PORTIFÓLIO'!$S$4:$S$433,MATCH($C302,'PORTIFÓLIO'!$C$4:$C$433,0)),"")</f>
        <v/>
      </c>
      <c r="L302" s="248" t="str">
        <f t="array" ref="L302">IFERROR(J302*INDEX('PORTIFÓLIO'!$S$4:$S$433,MATCH($C302,'PORTIFÓLIO'!$C$4:$C$433,0)),"")</f>
        <v/>
      </c>
      <c r="M302" s="238"/>
      <c r="N302" s="177"/>
      <c r="O302" s="177"/>
      <c r="P302" s="177"/>
      <c r="Q302" s="177"/>
      <c r="R302" s="177"/>
      <c r="S302" s="177"/>
      <c r="T302" s="177"/>
      <c r="U302" s="177"/>
      <c r="V302" s="177"/>
      <c r="W302" s="177"/>
    </row>
    <row r="303" ht="15.75" customHeight="1" outlineLevel="1">
      <c r="A303" s="190"/>
      <c r="B303" s="204"/>
      <c r="C303" s="191"/>
      <c r="D303" s="205" t="str">
        <f>IFERROR(VLOOKUP($C303,'PORTIFÓLIO'!C:V,2,0),"")</f>
        <v/>
      </c>
      <c r="E303" s="190" t="str">
        <f>IFERROR(VLOOKUP($C303,'PORTIFÓLIO'!C:V,3,0),"")</f>
        <v/>
      </c>
      <c r="F303" s="190" t="str">
        <f>IFERROR(VLOOKUP($C303,'PORTIFÓLIO'!C:V,4,0),"")</f>
        <v/>
      </c>
      <c r="G303" s="206" t="str">
        <f>IFERROR(VLOOKUP($C303,'PORTIFÓLIO'!C:V,5,0),"")</f>
        <v/>
      </c>
      <c r="H303" s="247" t="str">
        <f t="array" ref="H303">IFERROR(INDEX('PORTIFÓLIO'!$H$4:$H$433,MATCH($C303,'PORTIFÓLIO'!$C$4:$C$433,0)),"")</f>
        <v/>
      </c>
      <c r="I303" s="257"/>
      <c r="J303" s="209">
        <f t="shared" si="33"/>
        <v>0</v>
      </c>
      <c r="K303" s="248" t="str">
        <f t="array" ref="K303">IFERROR(I303*INDEX('PORTIFÓLIO'!$S$4:$S$433,MATCH($C303,'PORTIFÓLIO'!$C$4:$C$433,0)),"")</f>
        <v/>
      </c>
      <c r="L303" s="248" t="str">
        <f t="array" ref="L303">IFERROR(J303*INDEX('PORTIFÓLIO'!$S$4:$S$433,MATCH($C303,'PORTIFÓLIO'!$C$4:$C$433,0)),"")</f>
        <v/>
      </c>
      <c r="M303" s="238"/>
      <c r="N303" s="177"/>
      <c r="O303" s="177"/>
      <c r="P303" s="177"/>
      <c r="Q303" s="177"/>
      <c r="R303" s="177"/>
      <c r="S303" s="177"/>
      <c r="T303" s="177"/>
      <c r="U303" s="177"/>
      <c r="V303" s="177"/>
      <c r="W303" s="177"/>
    </row>
    <row r="304" ht="15.75" customHeight="1" outlineLevel="1">
      <c r="A304" s="190"/>
      <c r="B304" s="204"/>
      <c r="C304" s="191"/>
      <c r="D304" s="205" t="str">
        <f>IFERROR(VLOOKUP($C304,'PORTIFÓLIO'!C:V,2,0),"")</f>
        <v/>
      </c>
      <c r="E304" s="190" t="str">
        <f>IFERROR(VLOOKUP($C304,'PORTIFÓLIO'!C:V,3,0),"")</f>
        <v/>
      </c>
      <c r="F304" s="190" t="str">
        <f>IFERROR(VLOOKUP($C304,'PORTIFÓLIO'!C:V,4,0),"")</f>
        <v/>
      </c>
      <c r="G304" s="206" t="str">
        <f>IFERROR(VLOOKUP($C304,'PORTIFÓLIO'!C:V,5,0),"")</f>
        <v/>
      </c>
      <c r="H304" s="247" t="str">
        <f t="array" ref="H304">IFERROR(INDEX('PORTIFÓLIO'!$H$4:$H$433,MATCH($C304,'PORTIFÓLIO'!$C$4:$C$433,0)),"")</f>
        <v/>
      </c>
      <c r="I304" s="257"/>
      <c r="J304" s="209">
        <f t="shared" si="33"/>
        <v>0</v>
      </c>
      <c r="K304" s="248" t="str">
        <f t="array" ref="K304">IFERROR(I304*INDEX('PORTIFÓLIO'!$S$4:$S$433,MATCH($C304,'PORTIFÓLIO'!$C$4:$C$433,0)),"")</f>
        <v/>
      </c>
      <c r="L304" s="248" t="str">
        <f t="array" ref="L304">IFERROR(J304*INDEX('PORTIFÓLIO'!$S$4:$S$433,MATCH($C304,'PORTIFÓLIO'!$C$4:$C$433,0)),"")</f>
        <v/>
      </c>
      <c r="M304" s="238"/>
      <c r="N304" s="177"/>
      <c r="O304" s="177"/>
      <c r="P304" s="177"/>
      <c r="Q304" s="177"/>
      <c r="R304" s="177"/>
      <c r="S304" s="177"/>
      <c r="T304" s="177"/>
      <c r="U304" s="177"/>
      <c r="V304" s="177"/>
      <c r="W304" s="177"/>
    </row>
    <row r="305" ht="15.75" customHeight="1" outlineLevel="1">
      <c r="A305" s="190"/>
      <c r="B305" s="204"/>
      <c r="C305" s="191"/>
      <c r="D305" s="205" t="str">
        <f>IFERROR(VLOOKUP($C305,'PORTIFÓLIO'!C:V,2,0),"")</f>
        <v/>
      </c>
      <c r="E305" s="190" t="str">
        <f>IFERROR(VLOOKUP($C305,'PORTIFÓLIO'!C:V,3,0),"")</f>
        <v/>
      </c>
      <c r="F305" s="190" t="str">
        <f>IFERROR(VLOOKUP($C305,'PORTIFÓLIO'!C:V,4,0),"")</f>
        <v/>
      </c>
      <c r="G305" s="206" t="str">
        <f>IFERROR(VLOOKUP($C305,'PORTIFÓLIO'!C:V,5,0),"")</f>
        <v/>
      </c>
      <c r="H305" s="247" t="str">
        <f t="array" ref="H305">IFERROR(INDEX('PORTIFÓLIO'!$H$4:$H$433,MATCH($C305,'PORTIFÓLIO'!$C$4:$C$433,0)),"")</f>
        <v/>
      </c>
      <c r="I305" s="257"/>
      <c r="J305" s="209">
        <f t="shared" si="33"/>
        <v>0</v>
      </c>
      <c r="K305" s="248" t="str">
        <f t="array" ref="K305">IFERROR(I305*INDEX('PORTIFÓLIO'!$S$4:$S$433,MATCH($C305,'PORTIFÓLIO'!$C$4:$C$433,0)),"")</f>
        <v/>
      </c>
      <c r="L305" s="248" t="str">
        <f t="array" ref="L305">IFERROR(J305*INDEX('PORTIFÓLIO'!$S$4:$S$433,MATCH($C305,'PORTIFÓLIO'!$C$4:$C$433,0)),"")</f>
        <v/>
      </c>
      <c r="M305" s="238"/>
      <c r="N305" s="177"/>
      <c r="O305" s="177"/>
      <c r="P305" s="177"/>
      <c r="Q305" s="177"/>
      <c r="R305" s="177"/>
      <c r="S305" s="177"/>
      <c r="T305" s="177"/>
      <c r="U305" s="177"/>
      <c r="V305" s="177"/>
      <c r="W305" s="177"/>
    </row>
    <row r="306" ht="15.75" customHeight="1" outlineLevel="1">
      <c r="A306" s="190"/>
      <c r="B306" s="204"/>
      <c r="C306" s="191"/>
      <c r="D306" s="205" t="str">
        <f>IFERROR(VLOOKUP($C306,'PORTIFÓLIO'!C:V,2,0),"")</f>
        <v/>
      </c>
      <c r="E306" s="190" t="str">
        <f>IFERROR(VLOOKUP($C306,'PORTIFÓLIO'!C:V,3,0),"")</f>
        <v/>
      </c>
      <c r="F306" s="190" t="str">
        <f>IFERROR(VLOOKUP($C306,'PORTIFÓLIO'!C:V,4,0),"")</f>
        <v/>
      </c>
      <c r="G306" s="206" t="str">
        <f>IFERROR(VLOOKUP($C306,'PORTIFÓLIO'!C:V,5,0),"")</f>
        <v/>
      </c>
      <c r="H306" s="247" t="str">
        <f t="array" ref="H306">IFERROR(INDEX('PORTIFÓLIO'!$H$4:$H$433,MATCH($C306,'PORTIFÓLIO'!$C$4:$C$433,0)),"")</f>
        <v/>
      </c>
      <c r="I306" s="257"/>
      <c r="J306" s="209">
        <f t="shared" si="33"/>
        <v>0</v>
      </c>
      <c r="K306" s="248" t="str">
        <f t="array" ref="K306">IFERROR(I306*INDEX('PORTIFÓLIO'!$S$4:$S$433,MATCH($C306,'PORTIFÓLIO'!$C$4:$C$433,0)),"")</f>
        <v/>
      </c>
      <c r="L306" s="248" t="str">
        <f t="array" ref="L306">IFERROR(J306*INDEX('PORTIFÓLIO'!$S$4:$S$433,MATCH($C306,'PORTIFÓLIO'!$C$4:$C$433,0)),"")</f>
        <v/>
      </c>
      <c r="M306" s="238"/>
      <c r="N306" s="177"/>
      <c r="O306" s="177"/>
      <c r="P306" s="177"/>
      <c r="Q306" s="177"/>
      <c r="R306" s="177"/>
      <c r="S306" s="177"/>
      <c r="T306" s="177"/>
      <c r="U306" s="177"/>
      <c r="V306" s="177"/>
      <c r="W306" s="177"/>
    </row>
    <row r="307" ht="15.75" customHeight="1" outlineLevel="1">
      <c r="A307" s="190"/>
      <c r="B307" s="204"/>
      <c r="C307" s="191"/>
      <c r="D307" s="205" t="str">
        <f>IFERROR(VLOOKUP($C307,'PORTIFÓLIO'!C:V,2,0),"")</f>
        <v/>
      </c>
      <c r="E307" s="190" t="str">
        <f>IFERROR(VLOOKUP($C307,'PORTIFÓLIO'!C:V,3,0),"")</f>
        <v/>
      </c>
      <c r="F307" s="190" t="str">
        <f>IFERROR(VLOOKUP($C307,'PORTIFÓLIO'!C:V,4,0),"")</f>
        <v/>
      </c>
      <c r="G307" s="206" t="str">
        <f>IFERROR(VLOOKUP($C307,'PORTIFÓLIO'!C:V,5,0),"")</f>
        <v/>
      </c>
      <c r="H307" s="247" t="str">
        <f t="array" ref="H307">IFERROR(INDEX('PORTIFÓLIO'!$H$4:$H$433,MATCH($C307,'PORTIFÓLIO'!$C$4:$C$433,0)),"")</f>
        <v/>
      </c>
      <c r="I307" s="257"/>
      <c r="J307" s="209">
        <f t="shared" si="33"/>
        <v>0</v>
      </c>
      <c r="K307" s="248" t="str">
        <f t="array" ref="K307">IFERROR(I307*INDEX('PORTIFÓLIO'!$S$4:$S$433,MATCH($C307,'PORTIFÓLIO'!$C$4:$C$433,0)),"")</f>
        <v/>
      </c>
      <c r="L307" s="248" t="str">
        <f t="array" ref="L307">IFERROR(J307*INDEX('PORTIFÓLIO'!$S$4:$S$433,MATCH($C307,'PORTIFÓLIO'!$C$4:$C$433,0)),"")</f>
        <v/>
      </c>
      <c r="M307" s="238"/>
      <c r="N307" s="177"/>
      <c r="O307" s="177"/>
      <c r="P307" s="177"/>
      <c r="Q307" s="177"/>
      <c r="R307" s="177"/>
      <c r="S307" s="177"/>
      <c r="T307" s="177"/>
      <c r="U307" s="177"/>
      <c r="V307" s="177"/>
      <c r="W307" s="177"/>
    </row>
    <row r="308" ht="15.75" customHeight="1">
      <c r="A308" s="221" t="s">
        <v>1188</v>
      </c>
      <c r="B308" s="197"/>
      <c r="C308" s="196"/>
      <c r="D308" s="198"/>
      <c r="E308" s="196"/>
      <c r="F308" s="196"/>
      <c r="G308" s="199"/>
      <c r="H308" s="199"/>
      <c r="I308" s="252"/>
      <c r="J308" s="202"/>
      <c r="K308" s="203">
        <f t="shared" ref="K308:L308" si="34">SUBTOTAL(9,K309:K322)</f>
        <v>0</v>
      </c>
      <c r="L308" s="203">
        <f t="shared" si="34"/>
        <v>0</v>
      </c>
      <c r="M308" s="238"/>
      <c r="N308" s="177"/>
      <c r="O308" s="177"/>
      <c r="P308" s="177"/>
      <c r="Q308" s="177"/>
      <c r="R308" s="177"/>
      <c r="S308" s="177"/>
      <c r="T308" s="177"/>
      <c r="U308" s="177"/>
      <c r="V308" s="177"/>
      <c r="W308" s="177"/>
    </row>
    <row r="309" ht="15.75" customHeight="1" outlineLevel="1">
      <c r="A309" s="191"/>
      <c r="B309" s="204"/>
      <c r="C309" s="191"/>
      <c r="D309" s="205" t="str">
        <f>IFERROR(VLOOKUP($C309,'PORTIFÓLIO'!C:V,2,0),"")</f>
        <v/>
      </c>
      <c r="E309" s="190" t="str">
        <f>IFERROR(VLOOKUP($C309,'PORTIFÓLIO'!C:V,3,0),"")</f>
        <v/>
      </c>
      <c r="F309" s="190" t="str">
        <f>IFERROR(VLOOKUP($C309,'PORTIFÓLIO'!C:V,4,0),"")</f>
        <v/>
      </c>
      <c r="G309" s="206" t="str">
        <f>IFERROR(VLOOKUP($C309,'PORTIFÓLIO'!C:V,5,0),"")</f>
        <v/>
      </c>
      <c r="H309" s="247" t="str">
        <f t="array" ref="H309">IFERROR(INDEX('PORTIFÓLIO'!$H$4:$H$433,MATCH($C309,'PORTIFÓLIO'!$C$4:$C$433,0)),"")</f>
        <v/>
      </c>
      <c r="I309" s="253"/>
      <c r="J309" s="209">
        <f t="shared" ref="J309:J323" si="35">I309*$B$2</f>
        <v>0</v>
      </c>
      <c r="K309" s="248" t="str">
        <f t="array" ref="K309">IFERROR(I309*INDEX('PORTIFÓLIO'!$S$4:$S$433,MATCH($C309,'PORTIFÓLIO'!$C$4:$C$433,0)),"")</f>
        <v/>
      </c>
      <c r="L309" s="248" t="str">
        <f t="array" ref="L309">IFERROR(J309*INDEX('PORTIFÓLIO'!$S$4:$S$433,MATCH($C309,'PORTIFÓLIO'!$C$4:$C$433,0)),"")</f>
        <v/>
      </c>
      <c r="M309" s="238"/>
      <c r="N309" s="177"/>
      <c r="O309" s="177"/>
      <c r="P309" s="177"/>
      <c r="Q309" s="177"/>
      <c r="R309" s="177"/>
      <c r="S309" s="177"/>
      <c r="T309" s="177"/>
      <c r="U309" s="177"/>
      <c r="V309" s="177"/>
      <c r="W309" s="177"/>
    </row>
    <row r="310" ht="15.75" customHeight="1" outlineLevel="1">
      <c r="A310" s="190"/>
      <c r="B310" s="204"/>
      <c r="C310" s="191"/>
      <c r="D310" s="205" t="str">
        <f>IFERROR(VLOOKUP($C310,'PORTIFÓLIO'!C:V,2,0),"")</f>
        <v/>
      </c>
      <c r="E310" s="190" t="str">
        <f>IFERROR(VLOOKUP($C310,'PORTIFÓLIO'!C:V,3,0),"")</f>
        <v/>
      </c>
      <c r="F310" s="190" t="str">
        <f>IFERROR(VLOOKUP($C310,'PORTIFÓLIO'!C:V,4,0),"")</f>
        <v/>
      </c>
      <c r="G310" s="206" t="str">
        <f>IFERROR(VLOOKUP($C310,'PORTIFÓLIO'!C:V,5,0),"")</f>
        <v/>
      </c>
      <c r="H310" s="247" t="str">
        <f t="array" ref="H310">IFERROR(INDEX('PORTIFÓLIO'!$H$4:$H$433,MATCH($C310,'PORTIFÓLIO'!$C$4:$C$433,0)),"")</f>
        <v/>
      </c>
      <c r="I310" s="257"/>
      <c r="J310" s="209">
        <f t="shared" si="35"/>
        <v>0</v>
      </c>
      <c r="K310" s="248" t="str">
        <f t="array" ref="K310">IFERROR(I310*INDEX('PORTIFÓLIO'!$S$4:$S$433,MATCH($C310,'PORTIFÓLIO'!$C$4:$C$433,0)),"")</f>
        <v/>
      </c>
      <c r="L310" s="248" t="str">
        <f t="array" ref="L310">IFERROR(J310*INDEX('PORTIFÓLIO'!$S$4:$S$433,MATCH($C310,'PORTIFÓLIO'!$C$4:$C$433,0)),"")</f>
        <v/>
      </c>
      <c r="M310" s="238"/>
      <c r="N310" s="177"/>
      <c r="O310" s="177"/>
      <c r="P310" s="177"/>
      <c r="Q310" s="177"/>
      <c r="R310" s="177"/>
      <c r="S310" s="177"/>
      <c r="T310" s="177"/>
      <c r="U310" s="177"/>
      <c r="V310" s="177"/>
      <c r="W310" s="177"/>
    </row>
    <row r="311" ht="15.75" customHeight="1" outlineLevel="1">
      <c r="A311" s="190"/>
      <c r="B311" s="204"/>
      <c r="C311" s="191"/>
      <c r="D311" s="205" t="str">
        <f>IFERROR(VLOOKUP($C311,'PORTIFÓLIO'!C:V,2,0),"")</f>
        <v/>
      </c>
      <c r="E311" s="190" t="str">
        <f>IFERROR(VLOOKUP($C311,'PORTIFÓLIO'!C:V,3,0),"")</f>
        <v/>
      </c>
      <c r="F311" s="190" t="str">
        <f>IFERROR(VLOOKUP($C311,'PORTIFÓLIO'!C:V,4,0),"")</f>
        <v/>
      </c>
      <c r="G311" s="206" t="str">
        <f>IFERROR(VLOOKUP($C311,'PORTIFÓLIO'!C:V,5,0),"")</f>
        <v/>
      </c>
      <c r="H311" s="247" t="str">
        <f t="array" ref="H311">IFERROR(INDEX('PORTIFÓLIO'!$H$4:$H$433,MATCH($C311,'PORTIFÓLIO'!$C$4:$C$433,0)),"")</f>
        <v/>
      </c>
      <c r="I311" s="257"/>
      <c r="J311" s="209">
        <f t="shared" si="35"/>
        <v>0</v>
      </c>
      <c r="K311" s="248" t="str">
        <f t="array" ref="K311">IFERROR(I311*INDEX('PORTIFÓLIO'!$S$4:$S$433,MATCH($C311,'PORTIFÓLIO'!$C$4:$C$433,0)),"")</f>
        <v/>
      </c>
      <c r="L311" s="248" t="str">
        <f t="array" ref="L311">IFERROR(J311*INDEX('PORTIFÓLIO'!$S$4:$S$433,MATCH($C311,'PORTIFÓLIO'!$C$4:$C$433,0)),"")</f>
        <v/>
      </c>
      <c r="M311" s="238"/>
      <c r="N311" s="177"/>
      <c r="O311" s="177"/>
      <c r="P311" s="177"/>
      <c r="Q311" s="177"/>
      <c r="R311" s="177"/>
      <c r="S311" s="177"/>
      <c r="T311" s="177"/>
      <c r="U311" s="177"/>
      <c r="V311" s="177"/>
      <c r="W311" s="177"/>
    </row>
    <row r="312" ht="15.75" customHeight="1" outlineLevel="1">
      <c r="A312" s="190"/>
      <c r="B312" s="204"/>
      <c r="C312" s="191"/>
      <c r="D312" s="205" t="str">
        <f>IFERROR(VLOOKUP($C312,'PORTIFÓLIO'!C:V,2,0),"")</f>
        <v/>
      </c>
      <c r="E312" s="190" t="str">
        <f>IFERROR(VLOOKUP($C312,'PORTIFÓLIO'!C:V,3,0),"")</f>
        <v/>
      </c>
      <c r="F312" s="190" t="str">
        <f>IFERROR(VLOOKUP($C312,'PORTIFÓLIO'!C:V,4,0),"")</f>
        <v/>
      </c>
      <c r="G312" s="206" t="str">
        <f>IFERROR(VLOOKUP($C312,'PORTIFÓLIO'!C:V,5,0),"")</f>
        <v/>
      </c>
      <c r="H312" s="247" t="str">
        <f t="array" ref="H312">IFERROR(INDEX('PORTIFÓLIO'!$H$4:$H$433,MATCH($C312,'PORTIFÓLIO'!$C$4:$C$433,0)),"")</f>
        <v/>
      </c>
      <c r="I312" s="257"/>
      <c r="J312" s="209">
        <f t="shared" si="35"/>
        <v>0</v>
      </c>
      <c r="K312" s="248" t="str">
        <f t="array" ref="K312">IFERROR(I312*INDEX('PORTIFÓLIO'!$S$4:$S$433,MATCH($C312,'PORTIFÓLIO'!$C$4:$C$433,0)),"")</f>
        <v/>
      </c>
      <c r="L312" s="248" t="str">
        <f t="array" ref="L312">IFERROR(J312*INDEX('PORTIFÓLIO'!$S$4:$S$433,MATCH($C312,'PORTIFÓLIO'!$C$4:$C$433,0)),"")</f>
        <v/>
      </c>
      <c r="M312" s="238"/>
      <c r="N312" s="177"/>
      <c r="O312" s="177"/>
      <c r="P312" s="177"/>
      <c r="Q312" s="177"/>
      <c r="R312" s="177"/>
      <c r="S312" s="177"/>
      <c r="T312" s="177"/>
      <c r="U312" s="177"/>
      <c r="V312" s="177"/>
      <c r="W312" s="177"/>
    </row>
    <row r="313" ht="15.75" customHeight="1" outlineLevel="1">
      <c r="A313" s="190"/>
      <c r="B313" s="204"/>
      <c r="C313" s="191"/>
      <c r="D313" s="205" t="str">
        <f>IFERROR(VLOOKUP($C313,'PORTIFÓLIO'!C:V,2,0),"")</f>
        <v/>
      </c>
      <c r="E313" s="190" t="str">
        <f>IFERROR(VLOOKUP($C313,'PORTIFÓLIO'!C:V,3,0),"")</f>
        <v/>
      </c>
      <c r="F313" s="190" t="str">
        <f>IFERROR(VLOOKUP($C313,'PORTIFÓLIO'!C:V,4,0),"")</f>
        <v/>
      </c>
      <c r="G313" s="206" t="str">
        <f>IFERROR(VLOOKUP($C313,'PORTIFÓLIO'!C:V,5,0),"")</f>
        <v/>
      </c>
      <c r="H313" s="247" t="str">
        <f t="array" ref="H313">IFERROR(INDEX('PORTIFÓLIO'!$H$4:$H$433,MATCH($C313,'PORTIFÓLIO'!$C$4:$C$433,0)),"")</f>
        <v/>
      </c>
      <c r="I313" s="257"/>
      <c r="J313" s="209">
        <f t="shared" si="35"/>
        <v>0</v>
      </c>
      <c r="K313" s="248" t="str">
        <f t="array" ref="K313">IFERROR(I313*INDEX('PORTIFÓLIO'!$S$4:$S$433,MATCH($C313,'PORTIFÓLIO'!$C$4:$C$433,0)),"")</f>
        <v/>
      </c>
      <c r="L313" s="248" t="str">
        <f t="array" ref="L313">IFERROR(J313*INDEX('PORTIFÓLIO'!$S$4:$S$433,MATCH($C313,'PORTIFÓLIO'!$C$4:$C$433,0)),"")</f>
        <v/>
      </c>
      <c r="M313" s="238"/>
      <c r="N313" s="177"/>
      <c r="O313" s="177"/>
      <c r="P313" s="177"/>
      <c r="Q313" s="177"/>
      <c r="R313" s="177"/>
      <c r="S313" s="177"/>
      <c r="T313" s="177"/>
      <c r="U313" s="177"/>
      <c r="V313" s="177"/>
      <c r="W313" s="177"/>
    </row>
    <row r="314" ht="15.75" customHeight="1" outlineLevel="1">
      <c r="A314" s="190"/>
      <c r="B314" s="204"/>
      <c r="C314" s="191"/>
      <c r="D314" s="205" t="str">
        <f>IFERROR(VLOOKUP($C314,'PORTIFÓLIO'!C:V,2,0),"")</f>
        <v/>
      </c>
      <c r="E314" s="190" t="str">
        <f>IFERROR(VLOOKUP($C314,'PORTIFÓLIO'!C:V,3,0),"")</f>
        <v/>
      </c>
      <c r="F314" s="190" t="str">
        <f>IFERROR(VLOOKUP($C314,'PORTIFÓLIO'!C:V,4,0),"")</f>
        <v/>
      </c>
      <c r="G314" s="206" t="str">
        <f>IFERROR(VLOOKUP($C314,'PORTIFÓLIO'!C:V,5,0),"")</f>
        <v/>
      </c>
      <c r="H314" s="247" t="str">
        <f t="array" ref="H314">IFERROR(INDEX('PORTIFÓLIO'!$H$4:$H$433,MATCH($C314,'PORTIFÓLIO'!$C$4:$C$433,0)),"")</f>
        <v/>
      </c>
      <c r="I314" s="257"/>
      <c r="J314" s="209">
        <f t="shared" si="35"/>
        <v>0</v>
      </c>
      <c r="K314" s="248" t="str">
        <f t="array" ref="K314">IFERROR(I314*INDEX('PORTIFÓLIO'!$S$4:$S$433,MATCH($C314,'PORTIFÓLIO'!$C$4:$C$433,0)),"")</f>
        <v/>
      </c>
      <c r="L314" s="248" t="str">
        <f t="array" ref="L314">IFERROR(J314*INDEX('PORTIFÓLIO'!$S$4:$S$433,MATCH($C314,'PORTIFÓLIO'!$C$4:$C$433,0)),"")</f>
        <v/>
      </c>
      <c r="M314" s="238"/>
      <c r="N314" s="177"/>
      <c r="O314" s="177"/>
      <c r="P314" s="177"/>
      <c r="Q314" s="177"/>
      <c r="R314" s="177"/>
      <c r="S314" s="177"/>
      <c r="T314" s="177"/>
      <c r="U314" s="177"/>
      <c r="V314" s="177"/>
      <c r="W314" s="177"/>
    </row>
    <row r="315" ht="15.75" customHeight="1" outlineLevel="1">
      <c r="A315" s="190"/>
      <c r="B315" s="204"/>
      <c r="C315" s="191"/>
      <c r="D315" s="205" t="str">
        <f>IFERROR(VLOOKUP($C315,'PORTIFÓLIO'!C:V,2,0),"")</f>
        <v/>
      </c>
      <c r="E315" s="190" t="str">
        <f>IFERROR(VLOOKUP($C315,'PORTIFÓLIO'!C:V,3,0),"")</f>
        <v/>
      </c>
      <c r="F315" s="190" t="str">
        <f>IFERROR(VLOOKUP($C315,'PORTIFÓLIO'!C:V,4,0),"")</f>
        <v/>
      </c>
      <c r="G315" s="206" t="str">
        <f>IFERROR(VLOOKUP($C315,'PORTIFÓLIO'!C:V,5,0),"")</f>
        <v/>
      </c>
      <c r="H315" s="247" t="str">
        <f t="array" ref="H315">IFERROR(INDEX('PORTIFÓLIO'!$H$4:$H$433,MATCH($C315,'PORTIFÓLIO'!$C$4:$C$433,0)),"")</f>
        <v/>
      </c>
      <c r="I315" s="257"/>
      <c r="J315" s="209">
        <f t="shared" si="35"/>
        <v>0</v>
      </c>
      <c r="K315" s="248" t="str">
        <f t="array" ref="K315">IFERROR(I315*INDEX('PORTIFÓLIO'!$S$4:$S$433,MATCH($C315,'PORTIFÓLIO'!$C$4:$C$433,0)),"")</f>
        <v/>
      </c>
      <c r="L315" s="248" t="str">
        <f t="array" ref="L315">IFERROR(J315*INDEX('PORTIFÓLIO'!$S$4:$S$433,MATCH($C315,'PORTIFÓLIO'!$C$4:$C$433,0)),"")</f>
        <v/>
      </c>
      <c r="M315" s="238"/>
      <c r="N315" s="177"/>
      <c r="O315" s="177"/>
      <c r="P315" s="177"/>
      <c r="Q315" s="177"/>
      <c r="R315" s="177"/>
      <c r="S315" s="177"/>
      <c r="T315" s="177"/>
      <c r="U315" s="177"/>
      <c r="V315" s="177"/>
      <c r="W315" s="177"/>
    </row>
    <row r="316" ht="15.75" customHeight="1" outlineLevel="1">
      <c r="A316" s="190"/>
      <c r="B316" s="204"/>
      <c r="C316" s="191"/>
      <c r="D316" s="205" t="str">
        <f>IFERROR(VLOOKUP($C316,'PORTIFÓLIO'!C:V,2,0),"")</f>
        <v/>
      </c>
      <c r="E316" s="190" t="str">
        <f>IFERROR(VLOOKUP($C316,'PORTIFÓLIO'!C:V,3,0),"")</f>
        <v/>
      </c>
      <c r="F316" s="190" t="str">
        <f>IFERROR(VLOOKUP($C316,'PORTIFÓLIO'!C:V,4,0),"")</f>
        <v/>
      </c>
      <c r="G316" s="206" t="str">
        <f>IFERROR(VLOOKUP($C316,'PORTIFÓLIO'!C:V,5,0),"")</f>
        <v/>
      </c>
      <c r="H316" s="247" t="str">
        <f t="array" ref="H316">IFERROR(INDEX('PORTIFÓLIO'!$H$4:$H$433,MATCH($C316,'PORTIFÓLIO'!$C$4:$C$433,0)),"")</f>
        <v/>
      </c>
      <c r="I316" s="257"/>
      <c r="J316" s="209">
        <f t="shared" si="35"/>
        <v>0</v>
      </c>
      <c r="K316" s="248" t="str">
        <f t="array" ref="K316">IFERROR(I316*INDEX('PORTIFÓLIO'!$S$4:$S$433,MATCH($C316,'PORTIFÓLIO'!$C$4:$C$433,0)),"")</f>
        <v/>
      </c>
      <c r="L316" s="248" t="str">
        <f t="array" ref="L316">IFERROR(J316*INDEX('PORTIFÓLIO'!$S$4:$S$433,MATCH($C316,'PORTIFÓLIO'!$C$4:$C$433,0)),"")</f>
        <v/>
      </c>
      <c r="M316" s="238"/>
      <c r="N316" s="177"/>
      <c r="O316" s="177"/>
      <c r="P316" s="177"/>
      <c r="Q316" s="177"/>
      <c r="R316" s="177"/>
      <c r="S316" s="177"/>
      <c r="T316" s="177"/>
      <c r="U316" s="177"/>
      <c r="V316" s="177"/>
      <c r="W316" s="177"/>
    </row>
    <row r="317" ht="15.75" customHeight="1" outlineLevel="1">
      <c r="A317" s="190"/>
      <c r="B317" s="204"/>
      <c r="C317" s="191"/>
      <c r="D317" s="205" t="str">
        <f>IFERROR(VLOOKUP($C317,'PORTIFÓLIO'!C:V,2,0),"")</f>
        <v/>
      </c>
      <c r="E317" s="190" t="str">
        <f>IFERROR(VLOOKUP($C317,'PORTIFÓLIO'!C:V,3,0),"")</f>
        <v/>
      </c>
      <c r="F317" s="190" t="str">
        <f>IFERROR(VLOOKUP($C317,'PORTIFÓLIO'!C:V,4,0),"")</f>
        <v/>
      </c>
      <c r="G317" s="206" t="str">
        <f>IFERROR(VLOOKUP($C317,'PORTIFÓLIO'!C:V,5,0),"")</f>
        <v/>
      </c>
      <c r="H317" s="247" t="str">
        <f t="array" ref="H317">IFERROR(INDEX('PORTIFÓLIO'!$H$4:$H$433,MATCH($C317,'PORTIFÓLIO'!$C$4:$C$433,0)),"")</f>
        <v/>
      </c>
      <c r="I317" s="253"/>
      <c r="J317" s="209">
        <f t="shared" si="35"/>
        <v>0</v>
      </c>
      <c r="K317" s="248" t="str">
        <f t="array" ref="K317">IFERROR(I317*INDEX('PORTIFÓLIO'!$S$4:$S$433,MATCH($C317,'PORTIFÓLIO'!$C$4:$C$433,0)),"")</f>
        <v/>
      </c>
      <c r="L317" s="248" t="str">
        <f t="array" ref="L317">IFERROR(J317*INDEX('PORTIFÓLIO'!$S$4:$S$433,MATCH($C317,'PORTIFÓLIO'!$C$4:$C$433,0)),"")</f>
        <v/>
      </c>
      <c r="M317" s="238"/>
      <c r="N317" s="177"/>
      <c r="O317" s="177"/>
      <c r="P317" s="177"/>
      <c r="Q317" s="177"/>
      <c r="R317" s="177"/>
      <c r="S317" s="177"/>
      <c r="T317" s="177"/>
      <c r="U317" s="177"/>
      <c r="V317" s="177"/>
      <c r="W317" s="177"/>
    </row>
    <row r="318" ht="15.75" customHeight="1" outlineLevel="1">
      <c r="A318" s="190"/>
      <c r="B318" s="204"/>
      <c r="C318" s="191"/>
      <c r="D318" s="205" t="str">
        <f>IFERROR(VLOOKUP($C318,'PORTIFÓLIO'!C:V,2,0),"")</f>
        <v/>
      </c>
      <c r="E318" s="190" t="str">
        <f>IFERROR(VLOOKUP($C318,'PORTIFÓLIO'!C:V,3,0),"")</f>
        <v/>
      </c>
      <c r="F318" s="190" t="str">
        <f>IFERROR(VLOOKUP($C318,'PORTIFÓLIO'!C:V,4,0),"")</f>
        <v/>
      </c>
      <c r="G318" s="206" t="str">
        <f>IFERROR(VLOOKUP($C318,'PORTIFÓLIO'!C:V,5,0),"")</f>
        <v/>
      </c>
      <c r="H318" s="247" t="str">
        <f t="array" ref="H318">IFERROR(INDEX('PORTIFÓLIO'!$H$4:$H$433,MATCH($C318,'PORTIFÓLIO'!$C$4:$C$433,0)),"")</f>
        <v/>
      </c>
      <c r="I318" s="257"/>
      <c r="J318" s="209">
        <f t="shared" si="35"/>
        <v>0</v>
      </c>
      <c r="K318" s="248" t="str">
        <f t="array" ref="K318">IFERROR(I318*INDEX('PORTIFÓLIO'!$S$4:$S$433,MATCH($C318,'PORTIFÓLIO'!$C$4:$C$433,0)),"")</f>
        <v/>
      </c>
      <c r="L318" s="248" t="str">
        <f t="array" ref="L318">IFERROR(J318*INDEX('PORTIFÓLIO'!$S$4:$S$433,MATCH($C318,'PORTIFÓLIO'!$C$4:$C$433,0)),"")</f>
        <v/>
      </c>
      <c r="M318" s="238"/>
      <c r="N318" s="177"/>
      <c r="O318" s="177"/>
      <c r="P318" s="177"/>
      <c r="Q318" s="177"/>
      <c r="R318" s="177"/>
      <c r="S318" s="177"/>
      <c r="T318" s="177"/>
      <c r="U318" s="177"/>
      <c r="V318" s="177"/>
      <c r="W318" s="177"/>
    </row>
    <row r="319" ht="15.75" customHeight="1" outlineLevel="1">
      <c r="A319" s="190"/>
      <c r="B319" s="204"/>
      <c r="C319" s="191"/>
      <c r="D319" s="205" t="str">
        <f>IFERROR(VLOOKUP($C319,'PORTIFÓLIO'!C:V,2,0),"")</f>
        <v/>
      </c>
      <c r="E319" s="190" t="str">
        <f>IFERROR(VLOOKUP($C319,'PORTIFÓLIO'!C:V,3,0),"")</f>
        <v/>
      </c>
      <c r="F319" s="190" t="str">
        <f>IFERROR(VLOOKUP($C319,'PORTIFÓLIO'!C:V,4,0),"")</f>
        <v/>
      </c>
      <c r="G319" s="206" t="str">
        <f>IFERROR(VLOOKUP($C319,'PORTIFÓLIO'!C:V,5,0),"")</f>
        <v/>
      </c>
      <c r="H319" s="247" t="str">
        <f t="array" ref="H319">IFERROR(INDEX('PORTIFÓLIO'!$H$4:$H$433,MATCH($C319,'PORTIFÓLIO'!$C$4:$C$433,0)),"")</f>
        <v/>
      </c>
      <c r="I319" s="257"/>
      <c r="J319" s="209">
        <f t="shared" si="35"/>
        <v>0</v>
      </c>
      <c r="K319" s="248" t="str">
        <f t="array" ref="K319">IFERROR(I319*INDEX('PORTIFÓLIO'!$S$4:$S$433,MATCH($C319,'PORTIFÓLIO'!$C$4:$C$433,0)),"")</f>
        <v/>
      </c>
      <c r="L319" s="248" t="str">
        <f t="array" ref="L319">IFERROR(J319*INDEX('PORTIFÓLIO'!$S$4:$S$433,MATCH($C319,'PORTIFÓLIO'!$C$4:$C$433,0)),"")</f>
        <v/>
      </c>
      <c r="M319" s="238"/>
      <c r="N319" s="177"/>
      <c r="O319" s="177"/>
      <c r="P319" s="177"/>
      <c r="Q319" s="177"/>
      <c r="R319" s="177"/>
      <c r="S319" s="177"/>
      <c r="T319" s="177"/>
      <c r="U319" s="177"/>
      <c r="V319" s="177"/>
      <c r="W319" s="177"/>
    </row>
    <row r="320" ht="15.75" customHeight="1" outlineLevel="1">
      <c r="A320" s="190"/>
      <c r="B320" s="204"/>
      <c r="C320" s="191"/>
      <c r="D320" s="205" t="str">
        <f>IFERROR(VLOOKUP($C320,'PORTIFÓLIO'!C:V,2,0),"")</f>
        <v/>
      </c>
      <c r="E320" s="190" t="str">
        <f>IFERROR(VLOOKUP($C320,'PORTIFÓLIO'!C:V,3,0),"")</f>
        <v/>
      </c>
      <c r="F320" s="190" t="str">
        <f>IFERROR(VLOOKUP($C320,'PORTIFÓLIO'!C:V,4,0),"")</f>
        <v/>
      </c>
      <c r="G320" s="206" t="str">
        <f>IFERROR(VLOOKUP($C320,'PORTIFÓLIO'!C:V,5,0),"")</f>
        <v/>
      </c>
      <c r="H320" s="247" t="str">
        <f t="array" ref="H320">IFERROR(INDEX('PORTIFÓLIO'!$H$4:$H$433,MATCH($C320,'PORTIFÓLIO'!$C$4:$C$433,0)),"")</f>
        <v/>
      </c>
      <c r="I320" s="257"/>
      <c r="J320" s="209">
        <f t="shared" si="35"/>
        <v>0</v>
      </c>
      <c r="K320" s="248" t="str">
        <f t="array" ref="K320">IFERROR(I320*INDEX('PORTIFÓLIO'!$S$4:$S$433,MATCH($C320,'PORTIFÓLIO'!$C$4:$C$433,0)),"")</f>
        <v/>
      </c>
      <c r="L320" s="248" t="str">
        <f t="array" ref="L320">IFERROR(J320*INDEX('PORTIFÓLIO'!$S$4:$S$433,MATCH($C320,'PORTIFÓLIO'!$C$4:$C$433,0)),"")</f>
        <v/>
      </c>
      <c r="M320" s="238"/>
      <c r="N320" s="177"/>
      <c r="O320" s="177"/>
      <c r="P320" s="177"/>
      <c r="Q320" s="177"/>
      <c r="R320" s="177"/>
      <c r="S320" s="177"/>
      <c r="T320" s="177"/>
      <c r="U320" s="177"/>
      <c r="V320" s="177"/>
      <c r="W320" s="177"/>
    </row>
    <row r="321" ht="15.75" customHeight="1" outlineLevel="1">
      <c r="A321" s="190"/>
      <c r="B321" s="204"/>
      <c r="C321" s="191"/>
      <c r="D321" s="205" t="str">
        <f>IFERROR(VLOOKUP($C321,'PORTIFÓLIO'!C:V,2,0),"")</f>
        <v/>
      </c>
      <c r="E321" s="190" t="str">
        <f>IFERROR(VLOOKUP($C321,'PORTIFÓLIO'!C:V,3,0),"")</f>
        <v/>
      </c>
      <c r="F321" s="190" t="str">
        <f>IFERROR(VLOOKUP($C321,'PORTIFÓLIO'!C:V,4,0),"")</f>
        <v/>
      </c>
      <c r="G321" s="206" t="str">
        <f>IFERROR(VLOOKUP($C321,'PORTIFÓLIO'!C:V,5,0),"")</f>
        <v/>
      </c>
      <c r="H321" s="247" t="str">
        <f t="array" ref="H321">IFERROR(INDEX('PORTIFÓLIO'!$H$4:$H$433,MATCH($C321,'PORTIFÓLIO'!$C$4:$C$433,0)),"")</f>
        <v/>
      </c>
      <c r="I321" s="257"/>
      <c r="J321" s="209">
        <f t="shared" si="35"/>
        <v>0</v>
      </c>
      <c r="K321" s="248" t="str">
        <f t="array" ref="K321">IFERROR(I321*INDEX('PORTIFÓLIO'!$S$4:$S$433,MATCH($C321,'PORTIFÓLIO'!$C$4:$C$433,0)),"")</f>
        <v/>
      </c>
      <c r="L321" s="248" t="str">
        <f t="array" ref="L321">IFERROR(J321*INDEX('PORTIFÓLIO'!$S$4:$S$433,MATCH($C321,'PORTIFÓLIO'!$C$4:$C$433,0)),"")</f>
        <v/>
      </c>
      <c r="M321" s="238"/>
      <c r="N321" s="177"/>
      <c r="O321" s="177"/>
      <c r="P321" s="177"/>
      <c r="Q321" s="177"/>
      <c r="R321" s="177"/>
      <c r="S321" s="177"/>
      <c r="T321" s="177"/>
      <c r="U321" s="177"/>
      <c r="V321" s="177"/>
      <c r="W321" s="177"/>
    </row>
    <row r="322" ht="15.75" customHeight="1" outlineLevel="1">
      <c r="A322" s="190"/>
      <c r="B322" s="204"/>
      <c r="C322" s="191"/>
      <c r="D322" s="205" t="str">
        <f>IFERROR(VLOOKUP($C322,'PORTIFÓLIO'!C:V,2,0),"")</f>
        <v/>
      </c>
      <c r="E322" s="190" t="str">
        <f>IFERROR(VLOOKUP($C322,'PORTIFÓLIO'!C:V,3,0),"")</f>
        <v/>
      </c>
      <c r="F322" s="190" t="str">
        <f>IFERROR(VLOOKUP($C322,'PORTIFÓLIO'!C:V,4,0),"")</f>
        <v/>
      </c>
      <c r="G322" s="206" t="str">
        <f>IFERROR(VLOOKUP($C322,'PORTIFÓLIO'!C:V,5,0),"")</f>
        <v/>
      </c>
      <c r="H322" s="247" t="str">
        <f t="array" ref="H322">IFERROR(INDEX('PORTIFÓLIO'!$H$4:$H$433,MATCH($C322,'PORTIFÓLIO'!$C$4:$C$433,0)),"")</f>
        <v/>
      </c>
      <c r="I322" s="257"/>
      <c r="J322" s="209">
        <f t="shared" si="35"/>
        <v>0</v>
      </c>
      <c r="K322" s="248" t="str">
        <f t="array" ref="K322">IFERROR(I322*INDEX('PORTIFÓLIO'!$S$4:$S$433,MATCH($C322,'PORTIFÓLIO'!$C$4:$C$433,0)),"")</f>
        <v/>
      </c>
      <c r="L322" s="248" t="str">
        <f t="array" ref="L322">IFERROR(J322*INDEX('PORTIFÓLIO'!$S$4:$S$433,MATCH($C322,'PORTIFÓLIO'!$C$4:$C$433,0)),"")</f>
        <v/>
      </c>
      <c r="M322" s="238"/>
      <c r="N322" s="177"/>
      <c r="O322" s="177"/>
      <c r="P322" s="177"/>
      <c r="Q322" s="177"/>
      <c r="R322" s="177"/>
      <c r="S322" s="177"/>
      <c r="T322" s="177"/>
      <c r="U322" s="177"/>
      <c r="V322" s="177"/>
      <c r="W322" s="177"/>
    </row>
    <row r="323" ht="15.75" customHeight="1" outlineLevel="1">
      <c r="A323" s="190"/>
      <c r="B323" s="204"/>
      <c r="C323" s="191"/>
      <c r="D323" s="205" t="str">
        <f>IFERROR(VLOOKUP($C323,'PORTIFÓLIO'!C:V,2,0),"")</f>
        <v/>
      </c>
      <c r="E323" s="190" t="str">
        <f>IFERROR(VLOOKUP($C323,'PORTIFÓLIO'!C:V,3,0),"")</f>
        <v/>
      </c>
      <c r="F323" s="190" t="str">
        <f>IFERROR(VLOOKUP($C323,'PORTIFÓLIO'!C:V,4,0),"")</f>
        <v/>
      </c>
      <c r="G323" s="206" t="str">
        <f>IFERROR(VLOOKUP($C323,'PORTIFÓLIO'!C:V,5,0),"")</f>
        <v/>
      </c>
      <c r="H323" s="247" t="str">
        <f t="array" ref="H323">IFERROR(INDEX('PORTIFÓLIO'!$H$4:$H$433,MATCH($C323,'PORTIFÓLIO'!$C$4:$C$433,0)),"")</f>
        <v/>
      </c>
      <c r="I323" s="257"/>
      <c r="J323" s="209">
        <f t="shared" si="35"/>
        <v>0</v>
      </c>
      <c r="K323" s="248" t="str">
        <f t="array" ref="K323">IFERROR(I323*INDEX('PORTIFÓLIO'!$S$4:$S$433,MATCH($C323,'PORTIFÓLIO'!$C$4:$C$433,0)),"")</f>
        <v/>
      </c>
      <c r="L323" s="248" t="str">
        <f t="array" ref="L323">IFERROR(J323*INDEX('PORTIFÓLIO'!$S$4:$S$433,MATCH($C323,'PORTIFÓLIO'!$C$4:$C$433,0)),"")</f>
        <v/>
      </c>
      <c r="M323" s="238"/>
      <c r="N323" s="177"/>
      <c r="O323" s="177"/>
      <c r="P323" s="177"/>
      <c r="Q323" s="177"/>
      <c r="R323" s="177"/>
      <c r="S323" s="177"/>
      <c r="T323" s="177"/>
      <c r="U323" s="177"/>
      <c r="V323" s="177"/>
      <c r="W323" s="177"/>
    </row>
    <row r="324" ht="15.75" customHeight="1">
      <c r="A324" s="221" t="s">
        <v>1189</v>
      </c>
      <c r="B324" s="197"/>
      <c r="C324" s="196"/>
      <c r="D324" s="198"/>
      <c r="E324" s="196"/>
      <c r="F324" s="196"/>
      <c r="G324" s="199"/>
      <c r="H324" s="199"/>
      <c r="I324" s="252"/>
      <c r="J324" s="202"/>
      <c r="K324" s="203">
        <f t="shared" ref="K324:L324" si="36">SUBTOTAL(9,K325:K338)</f>
        <v>0</v>
      </c>
      <c r="L324" s="203">
        <f t="shared" si="36"/>
        <v>0</v>
      </c>
      <c r="M324" s="238"/>
      <c r="N324" s="177"/>
      <c r="O324" s="177"/>
      <c r="P324" s="177"/>
      <c r="Q324" s="177"/>
      <c r="R324" s="177"/>
      <c r="S324" s="177"/>
      <c r="T324" s="177"/>
      <c r="U324" s="177"/>
      <c r="V324" s="177"/>
      <c r="W324" s="177"/>
    </row>
    <row r="325" ht="15.75" customHeight="1" outlineLevel="1">
      <c r="A325" s="191"/>
      <c r="B325" s="204"/>
      <c r="C325" s="191"/>
      <c r="D325" s="205" t="str">
        <f>IFERROR(VLOOKUP($C325,'PORTIFÓLIO'!C:V,2,0),"")</f>
        <v/>
      </c>
      <c r="E325" s="190" t="str">
        <f>IFERROR(VLOOKUP($C325,'PORTIFÓLIO'!C:V,3,0),"")</f>
        <v/>
      </c>
      <c r="F325" s="190" t="str">
        <f>IFERROR(VLOOKUP($C325,'PORTIFÓLIO'!C:V,4,0),"")</f>
        <v/>
      </c>
      <c r="G325" s="206" t="str">
        <f>IFERROR(VLOOKUP($C325,'PORTIFÓLIO'!C:V,5,0),"")</f>
        <v/>
      </c>
      <c r="H325" s="247" t="str">
        <f t="array" ref="H325">IFERROR(INDEX('PORTIFÓLIO'!$H$4:$H$433,MATCH($C325,'PORTIFÓLIO'!$C$4:$C$433,0)),"")</f>
        <v/>
      </c>
      <c r="I325" s="253"/>
      <c r="J325" s="209">
        <f t="shared" ref="J325:J339" si="37">I325*$B$2</f>
        <v>0</v>
      </c>
      <c r="K325" s="248" t="str">
        <f t="array" ref="K325">IFERROR(I325*INDEX('PORTIFÓLIO'!$S$4:$S$433,MATCH($C325,'PORTIFÓLIO'!$C$4:$C$433,0)),"")</f>
        <v/>
      </c>
      <c r="L325" s="248" t="str">
        <f t="array" ref="L325">IFERROR(J325*INDEX('PORTIFÓLIO'!$S$4:$S$433,MATCH($C325,'PORTIFÓLIO'!$C$4:$C$433,0)),"")</f>
        <v/>
      </c>
      <c r="M325" s="238"/>
      <c r="N325" s="177"/>
      <c r="O325" s="177"/>
      <c r="P325" s="177"/>
      <c r="Q325" s="177"/>
      <c r="R325" s="177"/>
      <c r="S325" s="177"/>
      <c r="T325" s="177"/>
      <c r="U325" s="177"/>
      <c r="V325" s="177"/>
      <c r="W325" s="177"/>
    </row>
    <row r="326" ht="15.75" customHeight="1" outlineLevel="1">
      <c r="A326" s="190"/>
      <c r="B326" s="204"/>
      <c r="C326" s="191"/>
      <c r="D326" s="205" t="str">
        <f>IFERROR(VLOOKUP($C326,'PORTIFÓLIO'!C:V,2,0),"")</f>
        <v/>
      </c>
      <c r="E326" s="190" t="str">
        <f>IFERROR(VLOOKUP($C326,'PORTIFÓLIO'!C:V,3,0),"")</f>
        <v/>
      </c>
      <c r="F326" s="190" t="str">
        <f>IFERROR(VLOOKUP($C326,'PORTIFÓLIO'!C:V,4,0),"")</f>
        <v/>
      </c>
      <c r="G326" s="206" t="str">
        <f>IFERROR(VLOOKUP($C326,'PORTIFÓLIO'!C:V,5,0),"")</f>
        <v/>
      </c>
      <c r="H326" s="247" t="str">
        <f t="array" ref="H326">IFERROR(INDEX('PORTIFÓLIO'!$H$4:$H$433,MATCH($C326,'PORTIFÓLIO'!$C$4:$C$433,0)),"")</f>
        <v/>
      </c>
      <c r="I326" s="257"/>
      <c r="J326" s="209">
        <f t="shared" si="37"/>
        <v>0</v>
      </c>
      <c r="K326" s="248" t="str">
        <f t="array" ref="K326">IFERROR(I326*INDEX('PORTIFÓLIO'!$S$4:$S$433,MATCH($C326,'PORTIFÓLIO'!$C$4:$C$433,0)),"")</f>
        <v/>
      </c>
      <c r="L326" s="248" t="str">
        <f t="array" ref="L326">IFERROR(J326*INDEX('PORTIFÓLIO'!$S$4:$S$433,MATCH($C326,'PORTIFÓLIO'!$C$4:$C$433,0)),"")</f>
        <v/>
      </c>
      <c r="M326" s="238"/>
      <c r="N326" s="177"/>
      <c r="O326" s="177"/>
      <c r="P326" s="177"/>
      <c r="Q326" s="177"/>
      <c r="R326" s="177"/>
      <c r="S326" s="177"/>
      <c r="T326" s="177"/>
      <c r="U326" s="177"/>
      <c r="V326" s="177"/>
      <c r="W326" s="177"/>
    </row>
    <row r="327" ht="15.75" customHeight="1" outlineLevel="1">
      <c r="A327" s="190"/>
      <c r="B327" s="204"/>
      <c r="C327" s="191"/>
      <c r="D327" s="205" t="str">
        <f>IFERROR(VLOOKUP($C327,'PORTIFÓLIO'!C:V,2,0),"")</f>
        <v/>
      </c>
      <c r="E327" s="190" t="str">
        <f>IFERROR(VLOOKUP($C327,'PORTIFÓLIO'!C:V,3,0),"")</f>
        <v/>
      </c>
      <c r="F327" s="190" t="str">
        <f>IFERROR(VLOOKUP($C327,'PORTIFÓLIO'!C:V,4,0),"")</f>
        <v/>
      </c>
      <c r="G327" s="206" t="str">
        <f>IFERROR(VLOOKUP($C327,'PORTIFÓLIO'!C:V,5,0),"")</f>
        <v/>
      </c>
      <c r="H327" s="247" t="str">
        <f t="array" ref="H327">IFERROR(INDEX('PORTIFÓLIO'!$H$4:$H$433,MATCH($C327,'PORTIFÓLIO'!$C$4:$C$433,0)),"")</f>
        <v/>
      </c>
      <c r="I327" s="257"/>
      <c r="J327" s="209">
        <f t="shared" si="37"/>
        <v>0</v>
      </c>
      <c r="K327" s="248" t="str">
        <f t="array" ref="K327">IFERROR(I327*INDEX('PORTIFÓLIO'!$S$4:$S$433,MATCH($C327,'PORTIFÓLIO'!$C$4:$C$433,0)),"")</f>
        <v/>
      </c>
      <c r="L327" s="248" t="str">
        <f t="array" ref="L327">IFERROR(J327*INDEX('PORTIFÓLIO'!$S$4:$S$433,MATCH($C327,'PORTIFÓLIO'!$C$4:$C$433,0)),"")</f>
        <v/>
      </c>
      <c r="M327" s="238"/>
      <c r="N327" s="177"/>
      <c r="O327" s="177"/>
      <c r="P327" s="177"/>
      <c r="Q327" s="177"/>
      <c r="R327" s="177"/>
      <c r="S327" s="177"/>
      <c r="T327" s="177"/>
      <c r="U327" s="177"/>
      <c r="V327" s="177"/>
      <c r="W327" s="177"/>
    </row>
    <row r="328" ht="15.75" customHeight="1" outlineLevel="1">
      <c r="A328" s="190"/>
      <c r="B328" s="204"/>
      <c r="C328" s="191"/>
      <c r="D328" s="205" t="str">
        <f>IFERROR(VLOOKUP($C328,'PORTIFÓLIO'!C:V,2,0),"")</f>
        <v/>
      </c>
      <c r="E328" s="190" t="str">
        <f>IFERROR(VLOOKUP($C328,'PORTIFÓLIO'!C:V,3,0),"")</f>
        <v/>
      </c>
      <c r="F328" s="190" t="str">
        <f>IFERROR(VLOOKUP($C328,'PORTIFÓLIO'!C:V,4,0),"")</f>
        <v/>
      </c>
      <c r="G328" s="206" t="str">
        <f>IFERROR(VLOOKUP($C328,'PORTIFÓLIO'!C:V,5,0),"")</f>
        <v/>
      </c>
      <c r="H328" s="247" t="str">
        <f t="array" ref="H328">IFERROR(INDEX('PORTIFÓLIO'!$H$4:$H$433,MATCH($C328,'PORTIFÓLIO'!$C$4:$C$433,0)),"")</f>
        <v/>
      </c>
      <c r="I328" s="257"/>
      <c r="J328" s="209">
        <f t="shared" si="37"/>
        <v>0</v>
      </c>
      <c r="K328" s="248" t="str">
        <f t="array" ref="K328">IFERROR(I328*INDEX('PORTIFÓLIO'!$S$4:$S$433,MATCH($C328,'PORTIFÓLIO'!$C$4:$C$433,0)),"")</f>
        <v/>
      </c>
      <c r="L328" s="248" t="str">
        <f t="array" ref="L328">IFERROR(J328*INDEX('PORTIFÓLIO'!$S$4:$S$433,MATCH($C328,'PORTIFÓLIO'!$C$4:$C$433,0)),"")</f>
        <v/>
      </c>
      <c r="M328" s="238"/>
      <c r="N328" s="177"/>
      <c r="O328" s="177"/>
      <c r="P328" s="177"/>
      <c r="Q328" s="177"/>
      <c r="R328" s="177"/>
      <c r="S328" s="177"/>
      <c r="T328" s="177"/>
      <c r="U328" s="177"/>
      <c r="V328" s="177"/>
      <c r="W328" s="177"/>
    </row>
    <row r="329" ht="15.75" customHeight="1" outlineLevel="1">
      <c r="A329" s="190"/>
      <c r="B329" s="204"/>
      <c r="C329" s="191"/>
      <c r="D329" s="205" t="str">
        <f>IFERROR(VLOOKUP($C329,'PORTIFÓLIO'!C:V,2,0),"")</f>
        <v/>
      </c>
      <c r="E329" s="190" t="str">
        <f>IFERROR(VLOOKUP($C329,'PORTIFÓLIO'!C:V,3,0),"")</f>
        <v/>
      </c>
      <c r="F329" s="190" t="str">
        <f>IFERROR(VLOOKUP($C329,'PORTIFÓLIO'!C:V,4,0),"")</f>
        <v/>
      </c>
      <c r="G329" s="206" t="str">
        <f>IFERROR(VLOOKUP($C329,'PORTIFÓLIO'!C:V,5,0),"")</f>
        <v/>
      </c>
      <c r="H329" s="247" t="str">
        <f t="array" ref="H329">IFERROR(INDEX('PORTIFÓLIO'!$H$4:$H$433,MATCH($C329,'PORTIFÓLIO'!$C$4:$C$433,0)),"")</f>
        <v/>
      </c>
      <c r="I329" s="257"/>
      <c r="J329" s="209">
        <f t="shared" si="37"/>
        <v>0</v>
      </c>
      <c r="K329" s="248" t="str">
        <f t="array" ref="K329">IFERROR(I329*INDEX('PORTIFÓLIO'!$S$4:$S$433,MATCH($C329,'PORTIFÓLIO'!$C$4:$C$433,0)),"")</f>
        <v/>
      </c>
      <c r="L329" s="248" t="str">
        <f t="array" ref="L329">IFERROR(J329*INDEX('PORTIFÓLIO'!$S$4:$S$433,MATCH($C329,'PORTIFÓLIO'!$C$4:$C$433,0)),"")</f>
        <v/>
      </c>
      <c r="M329" s="238"/>
      <c r="N329" s="177"/>
      <c r="O329" s="177"/>
      <c r="P329" s="177"/>
      <c r="Q329" s="177"/>
      <c r="R329" s="177"/>
      <c r="S329" s="177"/>
      <c r="T329" s="177"/>
      <c r="U329" s="177"/>
      <c r="V329" s="177"/>
      <c r="W329" s="177"/>
    </row>
    <row r="330" ht="15.75" customHeight="1" outlineLevel="1">
      <c r="A330" s="190"/>
      <c r="B330" s="204"/>
      <c r="C330" s="191"/>
      <c r="D330" s="205" t="str">
        <f>IFERROR(VLOOKUP($C330,'PORTIFÓLIO'!C:V,2,0),"")</f>
        <v/>
      </c>
      <c r="E330" s="190" t="str">
        <f>IFERROR(VLOOKUP($C330,'PORTIFÓLIO'!C:V,3,0),"")</f>
        <v/>
      </c>
      <c r="F330" s="190" t="str">
        <f>IFERROR(VLOOKUP($C330,'PORTIFÓLIO'!C:V,4,0),"")</f>
        <v/>
      </c>
      <c r="G330" s="206" t="str">
        <f>IFERROR(VLOOKUP($C330,'PORTIFÓLIO'!C:V,5,0),"")</f>
        <v/>
      </c>
      <c r="H330" s="247" t="str">
        <f t="array" ref="H330">IFERROR(INDEX('PORTIFÓLIO'!$H$4:$H$433,MATCH($C330,'PORTIFÓLIO'!$C$4:$C$433,0)),"")</f>
        <v/>
      </c>
      <c r="I330" s="257"/>
      <c r="J330" s="209">
        <f t="shared" si="37"/>
        <v>0</v>
      </c>
      <c r="K330" s="248" t="str">
        <f t="array" ref="K330">IFERROR(I330*INDEX('PORTIFÓLIO'!$S$4:$S$433,MATCH($C330,'PORTIFÓLIO'!$C$4:$C$433,0)),"")</f>
        <v/>
      </c>
      <c r="L330" s="248" t="str">
        <f t="array" ref="L330">IFERROR(J330*INDEX('PORTIFÓLIO'!$S$4:$S$433,MATCH($C330,'PORTIFÓLIO'!$C$4:$C$433,0)),"")</f>
        <v/>
      </c>
      <c r="M330" s="238"/>
      <c r="N330" s="177"/>
      <c r="O330" s="177"/>
      <c r="P330" s="177"/>
      <c r="Q330" s="177"/>
      <c r="R330" s="177"/>
      <c r="S330" s="177"/>
      <c r="T330" s="177"/>
      <c r="U330" s="177"/>
      <c r="V330" s="177"/>
      <c r="W330" s="177"/>
    </row>
    <row r="331" ht="15.75" customHeight="1" outlineLevel="1">
      <c r="A331" s="190"/>
      <c r="B331" s="204"/>
      <c r="C331" s="191"/>
      <c r="D331" s="205" t="str">
        <f>IFERROR(VLOOKUP($C331,'PORTIFÓLIO'!C:V,2,0),"")</f>
        <v/>
      </c>
      <c r="E331" s="190" t="str">
        <f>IFERROR(VLOOKUP($C331,'PORTIFÓLIO'!C:V,3,0),"")</f>
        <v/>
      </c>
      <c r="F331" s="190" t="str">
        <f>IFERROR(VLOOKUP($C331,'PORTIFÓLIO'!C:V,4,0),"")</f>
        <v/>
      </c>
      <c r="G331" s="206" t="str">
        <f>IFERROR(VLOOKUP($C331,'PORTIFÓLIO'!C:V,5,0),"")</f>
        <v/>
      </c>
      <c r="H331" s="247" t="str">
        <f t="array" ref="H331">IFERROR(INDEX('PORTIFÓLIO'!$H$4:$H$433,MATCH($C331,'PORTIFÓLIO'!$C$4:$C$433,0)),"")</f>
        <v/>
      </c>
      <c r="I331" s="257"/>
      <c r="J331" s="209">
        <f t="shared" si="37"/>
        <v>0</v>
      </c>
      <c r="K331" s="248" t="str">
        <f t="array" ref="K331">IFERROR(I331*INDEX('PORTIFÓLIO'!$S$4:$S$433,MATCH($C331,'PORTIFÓLIO'!$C$4:$C$433,0)),"")</f>
        <v/>
      </c>
      <c r="L331" s="248" t="str">
        <f t="array" ref="L331">IFERROR(J331*INDEX('PORTIFÓLIO'!$S$4:$S$433,MATCH($C331,'PORTIFÓLIO'!$C$4:$C$433,0)),"")</f>
        <v/>
      </c>
      <c r="M331" s="238"/>
      <c r="N331" s="177"/>
      <c r="O331" s="177"/>
      <c r="P331" s="177"/>
      <c r="Q331" s="177"/>
      <c r="R331" s="177"/>
      <c r="S331" s="177"/>
      <c r="T331" s="177"/>
      <c r="U331" s="177"/>
      <c r="V331" s="177"/>
      <c r="W331" s="177"/>
    </row>
    <row r="332" ht="15.75" customHeight="1" outlineLevel="1">
      <c r="A332" s="190"/>
      <c r="B332" s="204"/>
      <c r="C332" s="191"/>
      <c r="D332" s="205" t="str">
        <f>IFERROR(VLOOKUP($C332,'PORTIFÓLIO'!C:V,2,0),"")</f>
        <v/>
      </c>
      <c r="E332" s="190" t="str">
        <f>IFERROR(VLOOKUP($C332,'PORTIFÓLIO'!C:V,3,0),"")</f>
        <v/>
      </c>
      <c r="F332" s="190" t="str">
        <f>IFERROR(VLOOKUP($C332,'PORTIFÓLIO'!C:V,4,0),"")</f>
        <v/>
      </c>
      <c r="G332" s="206" t="str">
        <f>IFERROR(VLOOKUP($C332,'PORTIFÓLIO'!C:V,5,0),"")</f>
        <v/>
      </c>
      <c r="H332" s="247" t="str">
        <f t="array" ref="H332">IFERROR(INDEX('PORTIFÓLIO'!$H$4:$H$433,MATCH($C332,'PORTIFÓLIO'!$C$4:$C$433,0)),"")</f>
        <v/>
      </c>
      <c r="I332" s="257"/>
      <c r="J332" s="209">
        <f t="shared" si="37"/>
        <v>0</v>
      </c>
      <c r="K332" s="248" t="str">
        <f t="array" ref="K332">IFERROR(I332*INDEX('PORTIFÓLIO'!$S$4:$S$433,MATCH($C332,'PORTIFÓLIO'!$C$4:$C$433,0)),"")</f>
        <v/>
      </c>
      <c r="L332" s="248" t="str">
        <f t="array" ref="L332">IFERROR(J332*INDEX('PORTIFÓLIO'!$S$4:$S$433,MATCH($C332,'PORTIFÓLIO'!$C$4:$C$433,0)),"")</f>
        <v/>
      </c>
      <c r="M332" s="238"/>
      <c r="N332" s="177"/>
      <c r="O332" s="177"/>
      <c r="P332" s="177"/>
      <c r="Q332" s="177"/>
      <c r="R332" s="177"/>
      <c r="S332" s="177"/>
      <c r="T332" s="177"/>
      <c r="U332" s="177"/>
      <c r="V332" s="177"/>
      <c r="W332" s="177"/>
    </row>
    <row r="333" ht="15.75" customHeight="1" outlineLevel="1">
      <c r="A333" s="190"/>
      <c r="B333" s="204"/>
      <c r="C333" s="191"/>
      <c r="D333" s="205" t="str">
        <f>IFERROR(VLOOKUP($C333,'PORTIFÓLIO'!C:V,2,0),"")</f>
        <v/>
      </c>
      <c r="E333" s="190" t="str">
        <f>IFERROR(VLOOKUP($C333,'PORTIFÓLIO'!C:V,3,0),"")</f>
        <v/>
      </c>
      <c r="F333" s="190" t="str">
        <f>IFERROR(VLOOKUP($C333,'PORTIFÓLIO'!C:V,4,0),"")</f>
        <v/>
      </c>
      <c r="G333" s="206" t="str">
        <f>IFERROR(VLOOKUP($C333,'PORTIFÓLIO'!C:V,5,0),"")</f>
        <v/>
      </c>
      <c r="H333" s="247" t="str">
        <f t="array" ref="H333">IFERROR(INDEX('PORTIFÓLIO'!$H$4:$H$433,MATCH($C333,'PORTIFÓLIO'!$C$4:$C$433,0)),"")</f>
        <v/>
      </c>
      <c r="I333" s="253"/>
      <c r="J333" s="209">
        <f t="shared" si="37"/>
        <v>0</v>
      </c>
      <c r="K333" s="248" t="str">
        <f t="array" ref="K333">IFERROR(I333*INDEX('PORTIFÓLIO'!$S$4:$S$433,MATCH($C333,'PORTIFÓLIO'!$C$4:$C$433,0)),"")</f>
        <v/>
      </c>
      <c r="L333" s="248" t="str">
        <f t="array" ref="L333">IFERROR(J333*INDEX('PORTIFÓLIO'!$S$4:$S$433,MATCH($C333,'PORTIFÓLIO'!$C$4:$C$433,0)),"")</f>
        <v/>
      </c>
      <c r="M333" s="238"/>
      <c r="N333" s="177"/>
      <c r="O333" s="177"/>
      <c r="P333" s="177"/>
      <c r="Q333" s="177"/>
      <c r="R333" s="177"/>
      <c r="S333" s="177"/>
      <c r="T333" s="177"/>
      <c r="U333" s="177"/>
      <c r="V333" s="177"/>
      <c r="W333" s="177"/>
    </row>
    <row r="334" ht="15.75" customHeight="1" outlineLevel="1">
      <c r="A334" s="190"/>
      <c r="B334" s="204"/>
      <c r="C334" s="191"/>
      <c r="D334" s="205" t="str">
        <f>IFERROR(VLOOKUP($C334,'PORTIFÓLIO'!C:V,2,0),"")</f>
        <v/>
      </c>
      <c r="E334" s="190" t="str">
        <f>IFERROR(VLOOKUP($C334,'PORTIFÓLIO'!C:V,3,0),"")</f>
        <v/>
      </c>
      <c r="F334" s="190" t="str">
        <f>IFERROR(VLOOKUP($C334,'PORTIFÓLIO'!C:V,4,0),"")</f>
        <v/>
      </c>
      <c r="G334" s="206" t="str">
        <f>IFERROR(VLOOKUP($C334,'PORTIFÓLIO'!C:V,5,0),"")</f>
        <v/>
      </c>
      <c r="H334" s="247" t="str">
        <f t="array" ref="H334">IFERROR(INDEX('PORTIFÓLIO'!$H$4:$H$433,MATCH($C334,'PORTIFÓLIO'!$C$4:$C$433,0)),"")</f>
        <v/>
      </c>
      <c r="I334" s="257"/>
      <c r="J334" s="209">
        <f t="shared" si="37"/>
        <v>0</v>
      </c>
      <c r="K334" s="248" t="str">
        <f t="array" ref="K334">IFERROR(I334*INDEX('PORTIFÓLIO'!$S$4:$S$433,MATCH($C334,'PORTIFÓLIO'!$C$4:$C$433,0)),"")</f>
        <v/>
      </c>
      <c r="L334" s="248" t="str">
        <f t="array" ref="L334">IFERROR(J334*INDEX('PORTIFÓLIO'!$S$4:$S$433,MATCH($C334,'PORTIFÓLIO'!$C$4:$C$433,0)),"")</f>
        <v/>
      </c>
      <c r="M334" s="238"/>
      <c r="N334" s="177"/>
      <c r="O334" s="177"/>
      <c r="P334" s="177"/>
      <c r="Q334" s="177"/>
      <c r="R334" s="177"/>
      <c r="S334" s="177"/>
      <c r="T334" s="177"/>
      <c r="U334" s="177"/>
      <c r="V334" s="177"/>
      <c r="W334" s="177"/>
    </row>
    <row r="335" ht="15.75" customHeight="1" outlineLevel="1">
      <c r="A335" s="190"/>
      <c r="B335" s="204"/>
      <c r="C335" s="191"/>
      <c r="D335" s="205" t="str">
        <f>IFERROR(VLOOKUP($C335,'PORTIFÓLIO'!C:V,2,0),"")</f>
        <v/>
      </c>
      <c r="E335" s="190" t="str">
        <f>IFERROR(VLOOKUP($C335,'PORTIFÓLIO'!C:V,3,0),"")</f>
        <v/>
      </c>
      <c r="F335" s="190" t="str">
        <f>IFERROR(VLOOKUP($C335,'PORTIFÓLIO'!C:V,4,0),"")</f>
        <v/>
      </c>
      <c r="G335" s="206" t="str">
        <f>IFERROR(VLOOKUP($C335,'PORTIFÓLIO'!C:V,5,0),"")</f>
        <v/>
      </c>
      <c r="H335" s="247" t="str">
        <f t="array" ref="H335">IFERROR(INDEX('PORTIFÓLIO'!$H$4:$H$433,MATCH($C335,'PORTIFÓLIO'!$C$4:$C$433,0)),"")</f>
        <v/>
      </c>
      <c r="I335" s="257"/>
      <c r="J335" s="209">
        <f t="shared" si="37"/>
        <v>0</v>
      </c>
      <c r="K335" s="248" t="str">
        <f t="array" ref="K335">IFERROR(I335*INDEX('PORTIFÓLIO'!$S$4:$S$433,MATCH($C335,'PORTIFÓLIO'!$C$4:$C$433,0)),"")</f>
        <v/>
      </c>
      <c r="L335" s="248" t="str">
        <f t="array" ref="L335">IFERROR(J335*INDEX('PORTIFÓLIO'!$S$4:$S$433,MATCH($C335,'PORTIFÓLIO'!$C$4:$C$433,0)),"")</f>
        <v/>
      </c>
      <c r="M335" s="238"/>
      <c r="N335" s="177"/>
      <c r="O335" s="177"/>
      <c r="P335" s="177"/>
      <c r="Q335" s="177"/>
      <c r="R335" s="177"/>
      <c r="S335" s="177"/>
      <c r="T335" s="177"/>
      <c r="U335" s="177"/>
      <c r="V335" s="177"/>
      <c r="W335" s="177"/>
    </row>
    <row r="336" ht="15.75" customHeight="1" outlineLevel="1">
      <c r="A336" s="190"/>
      <c r="B336" s="204"/>
      <c r="C336" s="191"/>
      <c r="D336" s="205" t="str">
        <f>IFERROR(VLOOKUP($C336,'PORTIFÓLIO'!C:V,2,0),"")</f>
        <v/>
      </c>
      <c r="E336" s="190" t="str">
        <f>IFERROR(VLOOKUP($C336,'PORTIFÓLIO'!C:V,3,0),"")</f>
        <v/>
      </c>
      <c r="F336" s="190" t="str">
        <f>IFERROR(VLOOKUP($C336,'PORTIFÓLIO'!C:V,4,0),"")</f>
        <v/>
      </c>
      <c r="G336" s="206" t="str">
        <f>IFERROR(VLOOKUP($C336,'PORTIFÓLIO'!C:V,5,0),"")</f>
        <v/>
      </c>
      <c r="H336" s="247" t="str">
        <f t="array" ref="H336">IFERROR(INDEX('PORTIFÓLIO'!$H$4:$H$433,MATCH($C336,'PORTIFÓLIO'!$C$4:$C$433,0)),"")</f>
        <v/>
      </c>
      <c r="I336" s="257"/>
      <c r="J336" s="209">
        <f t="shared" si="37"/>
        <v>0</v>
      </c>
      <c r="K336" s="248" t="str">
        <f t="array" ref="K336">IFERROR(I336*INDEX('PORTIFÓLIO'!$S$4:$S$433,MATCH($C336,'PORTIFÓLIO'!$C$4:$C$433,0)),"")</f>
        <v/>
      </c>
      <c r="L336" s="248" t="str">
        <f t="array" ref="L336">IFERROR(J336*INDEX('PORTIFÓLIO'!$S$4:$S$433,MATCH($C336,'PORTIFÓLIO'!$C$4:$C$433,0)),"")</f>
        <v/>
      </c>
      <c r="M336" s="238"/>
      <c r="N336" s="177"/>
      <c r="O336" s="177"/>
      <c r="P336" s="177"/>
      <c r="Q336" s="177"/>
      <c r="R336" s="177"/>
      <c r="S336" s="177"/>
      <c r="T336" s="177"/>
      <c r="U336" s="177"/>
      <c r="V336" s="177"/>
      <c r="W336" s="177"/>
    </row>
    <row r="337" ht="15.75" customHeight="1" outlineLevel="1">
      <c r="A337" s="190"/>
      <c r="B337" s="204"/>
      <c r="C337" s="191"/>
      <c r="D337" s="205" t="str">
        <f>IFERROR(VLOOKUP($C337,'PORTIFÓLIO'!C:V,2,0),"")</f>
        <v/>
      </c>
      <c r="E337" s="190" t="str">
        <f>IFERROR(VLOOKUP($C337,'PORTIFÓLIO'!C:V,3,0),"")</f>
        <v/>
      </c>
      <c r="F337" s="190" t="str">
        <f>IFERROR(VLOOKUP($C337,'PORTIFÓLIO'!C:V,4,0),"")</f>
        <v/>
      </c>
      <c r="G337" s="206" t="str">
        <f>IFERROR(VLOOKUP($C337,'PORTIFÓLIO'!C:V,5,0),"")</f>
        <v/>
      </c>
      <c r="H337" s="247" t="str">
        <f t="array" ref="H337">IFERROR(INDEX('PORTIFÓLIO'!$H$4:$H$433,MATCH($C337,'PORTIFÓLIO'!$C$4:$C$433,0)),"")</f>
        <v/>
      </c>
      <c r="I337" s="257"/>
      <c r="J337" s="209">
        <f t="shared" si="37"/>
        <v>0</v>
      </c>
      <c r="K337" s="248" t="str">
        <f t="array" ref="K337">IFERROR(I337*INDEX('PORTIFÓLIO'!$S$4:$S$433,MATCH($C337,'PORTIFÓLIO'!$C$4:$C$433,0)),"")</f>
        <v/>
      </c>
      <c r="L337" s="248" t="str">
        <f t="array" ref="L337">IFERROR(J337*INDEX('PORTIFÓLIO'!$S$4:$S$433,MATCH($C337,'PORTIFÓLIO'!$C$4:$C$433,0)),"")</f>
        <v/>
      </c>
      <c r="M337" s="238"/>
      <c r="N337" s="177"/>
      <c r="O337" s="177"/>
      <c r="P337" s="177"/>
      <c r="Q337" s="177"/>
      <c r="R337" s="177"/>
      <c r="S337" s="177"/>
      <c r="T337" s="177"/>
      <c r="U337" s="177"/>
      <c r="V337" s="177"/>
      <c r="W337" s="177"/>
    </row>
    <row r="338" ht="15.75" customHeight="1" outlineLevel="1">
      <c r="A338" s="190"/>
      <c r="B338" s="204"/>
      <c r="C338" s="191"/>
      <c r="D338" s="205" t="str">
        <f>IFERROR(VLOOKUP($C338,'PORTIFÓLIO'!C:V,2,0),"")</f>
        <v/>
      </c>
      <c r="E338" s="190" t="str">
        <f>IFERROR(VLOOKUP($C338,'PORTIFÓLIO'!C:V,3,0),"")</f>
        <v/>
      </c>
      <c r="F338" s="190" t="str">
        <f>IFERROR(VLOOKUP($C338,'PORTIFÓLIO'!C:V,4,0),"")</f>
        <v/>
      </c>
      <c r="G338" s="206" t="str">
        <f>IFERROR(VLOOKUP($C338,'PORTIFÓLIO'!C:V,5,0),"")</f>
        <v/>
      </c>
      <c r="H338" s="247" t="str">
        <f t="array" ref="H338">IFERROR(INDEX('PORTIFÓLIO'!$H$4:$H$433,MATCH($C338,'PORTIFÓLIO'!$C$4:$C$433,0)),"")</f>
        <v/>
      </c>
      <c r="I338" s="257"/>
      <c r="J338" s="209">
        <f t="shared" si="37"/>
        <v>0</v>
      </c>
      <c r="K338" s="248" t="str">
        <f t="array" ref="K338">IFERROR(I338*INDEX('PORTIFÓLIO'!$S$4:$S$433,MATCH($C338,'PORTIFÓLIO'!$C$4:$C$433,0)),"")</f>
        <v/>
      </c>
      <c r="L338" s="248" t="str">
        <f t="array" ref="L338">IFERROR(J338*INDEX('PORTIFÓLIO'!$S$4:$S$433,MATCH($C338,'PORTIFÓLIO'!$C$4:$C$433,0)),"")</f>
        <v/>
      </c>
      <c r="M338" s="238"/>
      <c r="N338" s="177"/>
      <c r="O338" s="177"/>
      <c r="P338" s="177"/>
      <c r="Q338" s="177"/>
      <c r="R338" s="177"/>
      <c r="S338" s="177"/>
      <c r="T338" s="177"/>
      <c r="U338" s="177"/>
      <c r="V338" s="177"/>
      <c r="W338" s="177"/>
    </row>
    <row r="339" ht="15.75" customHeight="1" outlineLevel="1">
      <c r="A339" s="190"/>
      <c r="B339" s="204"/>
      <c r="C339" s="191"/>
      <c r="D339" s="205" t="str">
        <f>IFERROR(VLOOKUP($C339,'PORTIFÓLIO'!C:V,2,0),"")</f>
        <v/>
      </c>
      <c r="E339" s="190" t="str">
        <f>IFERROR(VLOOKUP($C339,'PORTIFÓLIO'!C:V,3,0),"")</f>
        <v/>
      </c>
      <c r="F339" s="190" t="str">
        <f>IFERROR(VLOOKUP($C339,'PORTIFÓLIO'!C:V,4,0),"")</f>
        <v/>
      </c>
      <c r="G339" s="206" t="str">
        <f>IFERROR(VLOOKUP($C339,'PORTIFÓLIO'!C:V,5,0),"")</f>
        <v/>
      </c>
      <c r="H339" s="247" t="str">
        <f t="array" ref="H339">IFERROR(INDEX('PORTIFÓLIO'!$H$4:$H$433,MATCH($C339,'PORTIFÓLIO'!$C$4:$C$433,0)),"")</f>
        <v/>
      </c>
      <c r="I339" s="257"/>
      <c r="J339" s="209">
        <f t="shared" si="37"/>
        <v>0</v>
      </c>
      <c r="K339" s="248" t="str">
        <f t="array" ref="K339">IFERROR(I339*INDEX('PORTIFÓLIO'!$S$4:$S$433,MATCH($C339,'PORTIFÓLIO'!$C$4:$C$433,0)),"")</f>
        <v/>
      </c>
      <c r="L339" s="248" t="str">
        <f t="array" ref="L339">IFERROR(J339*INDEX('PORTIFÓLIO'!$S$4:$S$433,MATCH($C339,'PORTIFÓLIO'!$C$4:$C$433,0)),"")</f>
        <v/>
      </c>
      <c r="M339" s="238"/>
      <c r="N339" s="177"/>
      <c r="O339" s="177"/>
      <c r="P339" s="177"/>
      <c r="Q339" s="177"/>
      <c r="R339" s="177"/>
      <c r="S339" s="177"/>
      <c r="T339" s="177"/>
      <c r="U339" s="177"/>
      <c r="V339" s="177"/>
      <c r="W339" s="177"/>
    </row>
    <row r="340" ht="15.75" customHeight="1" outlineLevel="1">
      <c r="A340" s="190"/>
      <c r="B340" s="238"/>
      <c r="C340" s="190"/>
      <c r="D340" s="205" t="str">
        <f>IFERROR(VLOOKUP($C340,'PORTIFÓLIO'!C:V,2,0),"")</f>
        <v/>
      </c>
      <c r="E340" s="190" t="str">
        <f>IFERROR(VLOOKUP($C340,'PORTIFÓLIO'!C:V,3,0),"")</f>
        <v/>
      </c>
      <c r="F340" s="190" t="str">
        <f>IFERROR(VLOOKUP($C340,'PORTIFÓLIO'!C:V,4,0),"")</f>
        <v/>
      </c>
      <c r="G340" s="206" t="str">
        <f>IFERROR(VLOOKUP($C340,'PORTIFÓLIO'!C:V,5,0),"")</f>
        <v/>
      </c>
      <c r="H340" s="247" t="str">
        <f t="array" ref="H340">IFERROR(INDEX('PORTIFÓLIO'!$H$4:$H$433,MATCH($C340,'PORTIFÓLIO'!$C$4:$C$433,0)),"")</f>
        <v/>
      </c>
      <c r="I340" s="257"/>
      <c r="J340" s="209"/>
      <c r="K340" s="248" t="str">
        <f t="array" ref="K340">IFERROR(I340*INDEX('PORTIFÓLIO'!$S$4:$S$433,MATCH($C340,'PORTIFÓLIO'!$C$4:$C$433,0)),"")</f>
        <v/>
      </c>
      <c r="L340" s="248" t="str">
        <f t="array" ref="L340">IFERROR(J340*INDEX('PORTIFÓLIO'!$S$4:$S$433,MATCH($C340,'PORTIFÓLIO'!$C$4:$C$433,0)),"")</f>
        <v/>
      </c>
      <c r="M340" s="238"/>
      <c r="N340" s="177"/>
      <c r="O340" s="177"/>
      <c r="P340" s="177"/>
      <c r="Q340" s="177"/>
      <c r="R340" s="177"/>
      <c r="S340" s="177"/>
      <c r="T340" s="177"/>
      <c r="U340" s="177"/>
      <c r="V340" s="177"/>
      <c r="W340" s="177"/>
    </row>
    <row r="341" ht="15.75" customHeight="1">
      <c r="A341" s="221" t="s">
        <v>1190</v>
      </c>
      <c r="B341" s="197"/>
      <c r="C341" s="196"/>
      <c r="D341" s="198"/>
      <c r="E341" s="196"/>
      <c r="F341" s="196"/>
      <c r="G341" s="199"/>
      <c r="H341" s="199"/>
      <c r="I341" s="252"/>
      <c r="J341" s="202"/>
      <c r="K341" s="203">
        <f t="shared" ref="K341:L341" si="38">SUBTOTAL(9,K342:K355)</f>
        <v>0</v>
      </c>
      <c r="L341" s="203">
        <f t="shared" si="38"/>
        <v>0</v>
      </c>
      <c r="M341" s="238"/>
      <c r="N341" s="177"/>
      <c r="O341" s="177"/>
      <c r="P341" s="177"/>
      <c r="Q341" s="177"/>
      <c r="R341" s="177"/>
      <c r="S341" s="177"/>
      <c r="T341" s="177"/>
      <c r="U341" s="177"/>
      <c r="V341" s="177"/>
      <c r="W341" s="177"/>
    </row>
    <row r="342" ht="15.75" customHeight="1" outlineLevel="1">
      <c r="A342" s="191"/>
      <c r="B342" s="204"/>
      <c r="C342" s="191"/>
      <c r="D342" s="205" t="str">
        <f>IFERROR(VLOOKUP($C342,'PORTIFÓLIO'!C:V,2,0),"")</f>
        <v/>
      </c>
      <c r="E342" s="190" t="str">
        <f>IFERROR(VLOOKUP($C342,'PORTIFÓLIO'!C:V,3,0),"")</f>
        <v/>
      </c>
      <c r="F342" s="190" t="str">
        <f>IFERROR(VLOOKUP($C342,'PORTIFÓLIO'!C:V,4,0),"")</f>
        <v/>
      </c>
      <c r="G342" s="206" t="str">
        <f>IFERROR(VLOOKUP($C342,'PORTIFÓLIO'!C:V,5,0),"")</f>
        <v/>
      </c>
      <c r="H342" s="247" t="str">
        <f t="array" ref="H342">IFERROR(INDEX('PORTIFÓLIO'!$H$4:$H$433,MATCH($C342,'PORTIFÓLIO'!$C$4:$C$433,0)),"")</f>
        <v/>
      </c>
      <c r="I342" s="253"/>
      <c r="J342" s="209">
        <f t="shared" ref="J342:J356" si="39">I342*$B$2</f>
        <v>0</v>
      </c>
      <c r="K342" s="248" t="str">
        <f t="array" ref="K342">IFERROR(I342*INDEX('PORTIFÓLIO'!$S$4:$S$433,MATCH($C342,'PORTIFÓLIO'!$C$4:$C$433,0)),"")</f>
        <v/>
      </c>
      <c r="L342" s="248" t="str">
        <f t="array" ref="L342">IFERROR(J342*INDEX('PORTIFÓLIO'!$S$4:$S$433,MATCH($C342,'PORTIFÓLIO'!$C$4:$C$433,0)),"")</f>
        <v/>
      </c>
      <c r="M342" s="238"/>
      <c r="N342" s="177"/>
      <c r="O342" s="177"/>
      <c r="P342" s="177"/>
      <c r="Q342" s="177"/>
      <c r="R342" s="177"/>
      <c r="S342" s="177"/>
      <c r="T342" s="177"/>
      <c r="U342" s="177"/>
      <c r="V342" s="177"/>
      <c r="W342" s="177"/>
    </row>
    <row r="343" ht="15.75" customHeight="1" outlineLevel="1">
      <c r="A343" s="190"/>
      <c r="B343" s="204"/>
      <c r="C343" s="191"/>
      <c r="D343" s="205" t="str">
        <f>IFERROR(VLOOKUP($C343,'PORTIFÓLIO'!C:V,2,0),"")</f>
        <v/>
      </c>
      <c r="E343" s="190" t="str">
        <f>IFERROR(VLOOKUP($C343,'PORTIFÓLIO'!C:V,3,0),"")</f>
        <v/>
      </c>
      <c r="F343" s="190" t="str">
        <f>IFERROR(VLOOKUP($C343,'PORTIFÓLIO'!C:V,4,0),"")</f>
        <v/>
      </c>
      <c r="G343" s="206" t="str">
        <f>IFERROR(VLOOKUP($C343,'PORTIFÓLIO'!C:V,5,0),"")</f>
        <v/>
      </c>
      <c r="H343" s="247" t="str">
        <f t="array" ref="H343">IFERROR(INDEX('PORTIFÓLIO'!$H$4:$H$433,MATCH($C343,'PORTIFÓLIO'!$C$4:$C$433,0)),"")</f>
        <v/>
      </c>
      <c r="I343" s="257"/>
      <c r="J343" s="209">
        <f t="shared" si="39"/>
        <v>0</v>
      </c>
      <c r="K343" s="248" t="str">
        <f t="array" ref="K343">IFERROR(I343*INDEX('PORTIFÓLIO'!$S$4:$S$433,MATCH($C343,'PORTIFÓLIO'!$C$4:$C$433,0)),"")</f>
        <v/>
      </c>
      <c r="L343" s="248" t="str">
        <f t="array" ref="L343">IFERROR(J343*INDEX('PORTIFÓLIO'!$S$4:$S$433,MATCH($C343,'PORTIFÓLIO'!$C$4:$C$433,0)),"")</f>
        <v/>
      </c>
      <c r="M343" s="238"/>
      <c r="N343" s="177"/>
      <c r="O343" s="177"/>
      <c r="P343" s="177"/>
      <c r="Q343" s="177"/>
      <c r="R343" s="177"/>
      <c r="S343" s="177"/>
      <c r="T343" s="177"/>
      <c r="U343" s="177"/>
      <c r="V343" s="177"/>
      <c r="W343" s="177"/>
    </row>
    <row r="344" ht="15.75" customHeight="1" outlineLevel="1">
      <c r="A344" s="190"/>
      <c r="B344" s="204"/>
      <c r="C344" s="191"/>
      <c r="D344" s="205" t="str">
        <f>IFERROR(VLOOKUP($C344,'PORTIFÓLIO'!C:V,2,0),"")</f>
        <v/>
      </c>
      <c r="E344" s="190" t="str">
        <f>IFERROR(VLOOKUP($C344,'PORTIFÓLIO'!C:V,3,0),"")</f>
        <v/>
      </c>
      <c r="F344" s="190" t="str">
        <f>IFERROR(VLOOKUP($C344,'PORTIFÓLIO'!C:V,4,0),"")</f>
        <v/>
      </c>
      <c r="G344" s="206" t="str">
        <f>IFERROR(VLOOKUP($C344,'PORTIFÓLIO'!C:V,5,0),"")</f>
        <v/>
      </c>
      <c r="H344" s="247" t="str">
        <f t="array" ref="H344">IFERROR(INDEX('PORTIFÓLIO'!$H$4:$H$433,MATCH($C344,'PORTIFÓLIO'!$C$4:$C$433,0)),"")</f>
        <v/>
      </c>
      <c r="I344" s="257"/>
      <c r="J344" s="209">
        <f t="shared" si="39"/>
        <v>0</v>
      </c>
      <c r="K344" s="248" t="str">
        <f t="array" ref="K344">IFERROR(I344*INDEX('PORTIFÓLIO'!$S$4:$S$433,MATCH($C344,'PORTIFÓLIO'!$C$4:$C$433,0)),"")</f>
        <v/>
      </c>
      <c r="L344" s="248" t="str">
        <f t="array" ref="L344">IFERROR(J344*INDEX('PORTIFÓLIO'!$S$4:$S$433,MATCH($C344,'PORTIFÓLIO'!$C$4:$C$433,0)),"")</f>
        <v/>
      </c>
      <c r="M344" s="238"/>
      <c r="N344" s="177"/>
      <c r="O344" s="177"/>
      <c r="P344" s="177"/>
      <c r="Q344" s="177"/>
      <c r="R344" s="177"/>
      <c r="S344" s="177"/>
      <c r="T344" s="177"/>
      <c r="U344" s="177"/>
      <c r="V344" s="177"/>
      <c r="W344" s="177"/>
    </row>
    <row r="345" ht="15.75" customHeight="1" outlineLevel="1">
      <c r="A345" s="190"/>
      <c r="B345" s="204"/>
      <c r="C345" s="191"/>
      <c r="D345" s="205" t="str">
        <f>IFERROR(VLOOKUP($C345,'PORTIFÓLIO'!C:V,2,0),"")</f>
        <v/>
      </c>
      <c r="E345" s="190" t="str">
        <f>IFERROR(VLOOKUP($C345,'PORTIFÓLIO'!C:V,3,0),"")</f>
        <v/>
      </c>
      <c r="F345" s="190" t="str">
        <f>IFERROR(VLOOKUP($C345,'PORTIFÓLIO'!C:V,4,0),"")</f>
        <v/>
      </c>
      <c r="G345" s="206" t="str">
        <f>IFERROR(VLOOKUP($C345,'PORTIFÓLIO'!C:V,5,0),"")</f>
        <v/>
      </c>
      <c r="H345" s="247" t="str">
        <f t="array" ref="H345">IFERROR(INDEX('PORTIFÓLIO'!$H$4:$H$433,MATCH($C345,'PORTIFÓLIO'!$C$4:$C$433,0)),"")</f>
        <v/>
      </c>
      <c r="I345" s="257"/>
      <c r="J345" s="209">
        <f t="shared" si="39"/>
        <v>0</v>
      </c>
      <c r="K345" s="248" t="str">
        <f t="array" ref="K345">IFERROR(I345*INDEX('PORTIFÓLIO'!$S$4:$S$433,MATCH($C345,'PORTIFÓLIO'!$C$4:$C$433,0)),"")</f>
        <v/>
      </c>
      <c r="L345" s="248" t="str">
        <f t="array" ref="L345">IFERROR(J345*INDEX('PORTIFÓLIO'!$S$4:$S$433,MATCH($C345,'PORTIFÓLIO'!$C$4:$C$433,0)),"")</f>
        <v/>
      </c>
      <c r="M345" s="238"/>
      <c r="N345" s="177"/>
      <c r="O345" s="177"/>
      <c r="P345" s="177"/>
      <c r="Q345" s="177"/>
      <c r="R345" s="177"/>
      <c r="S345" s="177"/>
      <c r="T345" s="177"/>
      <c r="U345" s="177"/>
      <c r="V345" s="177"/>
      <c r="W345" s="177"/>
    </row>
    <row r="346" ht="15.75" customHeight="1" outlineLevel="1">
      <c r="A346" s="190"/>
      <c r="B346" s="204"/>
      <c r="C346" s="191"/>
      <c r="D346" s="205" t="str">
        <f>IFERROR(VLOOKUP($C346,'PORTIFÓLIO'!C:V,2,0),"")</f>
        <v/>
      </c>
      <c r="E346" s="190" t="str">
        <f>IFERROR(VLOOKUP($C346,'PORTIFÓLIO'!C:V,3,0),"")</f>
        <v/>
      </c>
      <c r="F346" s="190" t="str">
        <f>IFERROR(VLOOKUP($C346,'PORTIFÓLIO'!C:V,4,0),"")</f>
        <v/>
      </c>
      <c r="G346" s="206" t="str">
        <f>IFERROR(VLOOKUP($C346,'PORTIFÓLIO'!C:V,5,0),"")</f>
        <v/>
      </c>
      <c r="H346" s="247" t="str">
        <f t="array" ref="H346">IFERROR(INDEX('PORTIFÓLIO'!$H$4:$H$433,MATCH($C346,'PORTIFÓLIO'!$C$4:$C$433,0)),"")</f>
        <v/>
      </c>
      <c r="I346" s="257"/>
      <c r="J346" s="209">
        <f t="shared" si="39"/>
        <v>0</v>
      </c>
      <c r="K346" s="248" t="str">
        <f t="array" ref="K346">IFERROR(I346*INDEX('PORTIFÓLIO'!$S$4:$S$433,MATCH($C346,'PORTIFÓLIO'!$C$4:$C$433,0)),"")</f>
        <v/>
      </c>
      <c r="L346" s="248" t="str">
        <f t="array" ref="L346">IFERROR(J346*INDEX('PORTIFÓLIO'!$S$4:$S$433,MATCH($C346,'PORTIFÓLIO'!$C$4:$C$433,0)),"")</f>
        <v/>
      </c>
      <c r="M346" s="238"/>
      <c r="N346" s="177"/>
      <c r="O346" s="177"/>
      <c r="P346" s="177"/>
      <c r="Q346" s="177"/>
      <c r="R346" s="177"/>
      <c r="S346" s="177"/>
      <c r="T346" s="177"/>
      <c r="U346" s="177"/>
      <c r="V346" s="177"/>
      <c r="W346" s="177"/>
    </row>
    <row r="347" ht="15.75" customHeight="1" outlineLevel="1">
      <c r="A347" s="190"/>
      <c r="B347" s="204"/>
      <c r="C347" s="191"/>
      <c r="D347" s="205" t="str">
        <f>IFERROR(VLOOKUP($C347,'PORTIFÓLIO'!C:V,2,0),"")</f>
        <v/>
      </c>
      <c r="E347" s="190" t="str">
        <f>IFERROR(VLOOKUP($C347,'PORTIFÓLIO'!C:V,3,0),"")</f>
        <v/>
      </c>
      <c r="F347" s="190" t="str">
        <f>IFERROR(VLOOKUP($C347,'PORTIFÓLIO'!C:V,4,0),"")</f>
        <v/>
      </c>
      <c r="G347" s="206" t="str">
        <f>IFERROR(VLOOKUP($C347,'PORTIFÓLIO'!C:V,5,0),"")</f>
        <v/>
      </c>
      <c r="H347" s="247" t="str">
        <f t="array" ref="H347">IFERROR(INDEX('PORTIFÓLIO'!$H$4:$H$433,MATCH($C347,'PORTIFÓLIO'!$C$4:$C$433,0)),"")</f>
        <v/>
      </c>
      <c r="I347" s="257"/>
      <c r="J347" s="209">
        <f t="shared" si="39"/>
        <v>0</v>
      </c>
      <c r="K347" s="248" t="str">
        <f t="array" ref="K347">IFERROR(I347*INDEX('PORTIFÓLIO'!$S$4:$S$433,MATCH($C347,'PORTIFÓLIO'!$C$4:$C$433,0)),"")</f>
        <v/>
      </c>
      <c r="L347" s="248" t="str">
        <f t="array" ref="L347">IFERROR(J347*INDEX('PORTIFÓLIO'!$S$4:$S$433,MATCH($C347,'PORTIFÓLIO'!$C$4:$C$433,0)),"")</f>
        <v/>
      </c>
      <c r="M347" s="238"/>
      <c r="N347" s="177"/>
      <c r="O347" s="177"/>
      <c r="P347" s="177"/>
      <c r="Q347" s="177"/>
      <c r="R347" s="177"/>
      <c r="S347" s="177"/>
      <c r="T347" s="177"/>
      <c r="U347" s="177"/>
      <c r="V347" s="177"/>
      <c r="W347" s="177"/>
    </row>
    <row r="348" ht="15.75" customHeight="1" outlineLevel="1">
      <c r="A348" s="190"/>
      <c r="B348" s="204"/>
      <c r="C348" s="191"/>
      <c r="D348" s="205" t="str">
        <f>IFERROR(VLOOKUP($C348,'PORTIFÓLIO'!C:V,2,0),"")</f>
        <v/>
      </c>
      <c r="E348" s="190" t="str">
        <f>IFERROR(VLOOKUP($C348,'PORTIFÓLIO'!C:V,3,0),"")</f>
        <v/>
      </c>
      <c r="F348" s="190" t="str">
        <f>IFERROR(VLOOKUP($C348,'PORTIFÓLIO'!C:V,4,0),"")</f>
        <v/>
      </c>
      <c r="G348" s="206" t="str">
        <f>IFERROR(VLOOKUP($C348,'PORTIFÓLIO'!C:V,5,0),"")</f>
        <v/>
      </c>
      <c r="H348" s="247" t="str">
        <f t="array" ref="H348">IFERROR(INDEX('PORTIFÓLIO'!$H$4:$H$433,MATCH($C348,'PORTIFÓLIO'!$C$4:$C$433,0)),"")</f>
        <v/>
      </c>
      <c r="I348" s="257"/>
      <c r="J348" s="209">
        <f t="shared" si="39"/>
        <v>0</v>
      </c>
      <c r="K348" s="248" t="str">
        <f t="array" ref="K348">IFERROR(I348*INDEX('PORTIFÓLIO'!$S$4:$S$433,MATCH($C348,'PORTIFÓLIO'!$C$4:$C$433,0)),"")</f>
        <v/>
      </c>
      <c r="L348" s="248" t="str">
        <f t="array" ref="L348">IFERROR(J348*INDEX('PORTIFÓLIO'!$S$4:$S$433,MATCH($C348,'PORTIFÓLIO'!$C$4:$C$433,0)),"")</f>
        <v/>
      </c>
      <c r="M348" s="238"/>
      <c r="N348" s="177"/>
      <c r="O348" s="177"/>
      <c r="P348" s="177"/>
      <c r="Q348" s="177"/>
      <c r="R348" s="177"/>
      <c r="S348" s="177"/>
      <c r="T348" s="177"/>
      <c r="U348" s="177"/>
      <c r="V348" s="177"/>
      <c r="W348" s="177"/>
    </row>
    <row r="349" ht="15.75" customHeight="1" outlineLevel="1">
      <c r="A349" s="190"/>
      <c r="B349" s="204"/>
      <c r="C349" s="191"/>
      <c r="D349" s="205" t="str">
        <f>IFERROR(VLOOKUP($C349,'PORTIFÓLIO'!C:V,2,0),"")</f>
        <v/>
      </c>
      <c r="E349" s="190" t="str">
        <f>IFERROR(VLOOKUP($C349,'PORTIFÓLIO'!C:V,3,0),"")</f>
        <v/>
      </c>
      <c r="F349" s="190" t="str">
        <f>IFERROR(VLOOKUP($C349,'PORTIFÓLIO'!C:V,4,0),"")</f>
        <v/>
      </c>
      <c r="G349" s="206" t="str">
        <f>IFERROR(VLOOKUP($C349,'PORTIFÓLIO'!C:V,5,0),"")</f>
        <v/>
      </c>
      <c r="H349" s="247" t="str">
        <f t="array" ref="H349">IFERROR(INDEX('PORTIFÓLIO'!$H$4:$H$433,MATCH($C349,'PORTIFÓLIO'!$C$4:$C$433,0)),"")</f>
        <v/>
      </c>
      <c r="I349" s="257"/>
      <c r="J349" s="209">
        <f t="shared" si="39"/>
        <v>0</v>
      </c>
      <c r="K349" s="248" t="str">
        <f t="array" ref="K349">IFERROR(I349*INDEX('PORTIFÓLIO'!$S$4:$S$433,MATCH($C349,'PORTIFÓLIO'!$C$4:$C$433,0)),"")</f>
        <v/>
      </c>
      <c r="L349" s="248" t="str">
        <f t="array" ref="L349">IFERROR(J349*INDEX('PORTIFÓLIO'!$S$4:$S$433,MATCH($C349,'PORTIFÓLIO'!$C$4:$C$433,0)),"")</f>
        <v/>
      </c>
      <c r="M349" s="238"/>
      <c r="N349" s="177"/>
      <c r="O349" s="177"/>
      <c r="P349" s="177"/>
      <c r="Q349" s="177"/>
      <c r="R349" s="177"/>
      <c r="S349" s="177"/>
      <c r="T349" s="177"/>
      <c r="U349" s="177"/>
      <c r="V349" s="177"/>
      <c r="W349" s="177"/>
    </row>
    <row r="350" ht="15.75" customHeight="1" outlineLevel="1">
      <c r="A350" s="190"/>
      <c r="B350" s="204"/>
      <c r="C350" s="191"/>
      <c r="D350" s="205" t="str">
        <f>IFERROR(VLOOKUP($C350,'PORTIFÓLIO'!C:V,2,0),"")</f>
        <v/>
      </c>
      <c r="E350" s="190" t="str">
        <f>IFERROR(VLOOKUP($C350,'PORTIFÓLIO'!C:V,3,0),"")</f>
        <v/>
      </c>
      <c r="F350" s="190" t="str">
        <f>IFERROR(VLOOKUP($C350,'PORTIFÓLIO'!C:V,4,0),"")</f>
        <v/>
      </c>
      <c r="G350" s="206" t="str">
        <f>IFERROR(VLOOKUP($C350,'PORTIFÓLIO'!C:V,5,0),"")</f>
        <v/>
      </c>
      <c r="H350" s="247" t="str">
        <f t="array" ref="H350">IFERROR(INDEX('PORTIFÓLIO'!$H$4:$H$433,MATCH($C350,'PORTIFÓLIO'!$C$4:$C$433,0)),"")</f>
        <v/>
      </c>
      <c r="I350" s="253"/>
      <c r="J350" s="209">
        <f t="shared" si="39"/>
        <v>0</v>
      </c>
      <c r="K350" s="248" t="str">
        <f t="array" ref="K350">IFERROR(I350*INDEX('PORTIFÓLIO'!$S$4:$S$433,MATCH($C350,'PORTIFÓLIO'!$C$4:$C$433,0)),"")</f>
        <v/>
      </c>
      <c r="L350" s="248" t="str">
        <f t="array" ref="L350">IFERROR(J350*INDEX('PORTIFÓLIO'!$S$4:$S$433,MATCH($C350,'PORTIFÓLIO'!$C$4:$C$433,0)),"")</f>
        <v/>
      </c>
      <c r="M350" s="238"/>
      <c r="N350" s="177"/>
      <c r="O350" s="177"/>
      <c r="P350" s="177"/>
      <c r="Q350" s="177"/>
      <c r="R350" s="177"/>
      <c r="S350" s="177"/>
      <c r="T350" s="177"/>
      <c r="U350" s="177"/>
      <c r="V350" s="177"/>
      <c r="W350" s="177"/>
    </row>
    <row r="351" ht="15.75" customHeight="1" outlineLevel="1">
      <c r="A351" s="190"/>
      <c r="B351" s="204"/>
      <c r="C351" s="191"/>
      <c r="D351" s="205" t="str">
        <f>IFERROR(VLOOKUP($C351,'PORTIFÓLIO'!C:V,2,0),"")</f>
        <v/>
      </c>
      <c r="E351" s="190" t="str">
        <f>IFERROR(VLOOKUP($C351,'PORTIFÓLIO'!C:V,3,0),"")</f>
        <v/>
      </c>
      <c r="F351" s="190" t="str">
        <f>IFERROR(VLOOKUP($C351,'PORTIFÓLIO'!C:V,4,0),"")</f>
        <v/>
      </c>
      <c r="G351" s="206" t="str">
        <f>IFERROR(VLOOKUP($C351,'PORTIFÓLIO'!C:V,5,0),"")</f>
        <v/>
      </c>
      <c r="H351" s="247" t="str">
        <f t="array" ref="H351">IFERROR(INDEX('PORTIFÓLIO'!$H$4:$H$433,MATCH($C351,'PORTIFÓLIO'!$C$4:$C$433,0)),"")</f>
        <v/>
      </c>
      <c r="I351" s="257"/>
      <c r="J351" s="209">
        <f t="shared" si="39"/>
        <v>0</v>
      </c>
      <c r="K351" s="248" t="str">
        <f t="array" ref="K351">IFERROR(I351*INDEX('PORTIFÓLIO'!$S$4:$S$433,MATCH($C351,'PORTIFÓLIO'!$C$4:$C$433,0)),"")</f>
        <v/>
      </c>
      <c r="L351" s="248" t="str">
        <f t="array" ref="L351">IFERROR(J351*INDEX('PORTIFÓLIO'!$S$4:$S$433,MATCH($C351,'PORTIFÓLIO'!$C$4:$C$433,0)),"")</f>
        <v/>
      </c>
      <c r="M351" s="238"/>
      <c r="N351" s="177"/>
      <c r="O351" s="177"/>
      <c r="P351" s="177"/>
      <c r="Q351" s="177"/>
      <c r="R351" s="177"/>
      <c r="S351" s="177"/>
      <c r="T351" s="177"/>
      <c r="U351" s="177"/>
      <c r="V351" s="177"/>
      <c r="W351" s="177"/>
    </row>
    <row r="352" ht="15.75" customHeight="1" outlineLevel="1">
      <c r="A352" s="190"/>
      <c r="B352" s="204"/>
      <c r="C352" s="191"/>
      <c r="D352" s="205" t="str">
        <f>IFERROR(VLOOKUP($C352,'PORTIFÓLIO'!C:V,2,0),"")</f>
        <v/>
      </c>
      <c r="E352" s="190" t="str">
        <f>IFERROR(VLOOKUP($C352,'PORTIFÓLIO'!C:V,3,0),"")</f>
        <v/>
      </c>
      <c r="F352" s="190" t="str">
        <f>IFERROR(VLOOKUP($C352,'PORTIFÓLIO'!C:V,4,0),"")</f>
        <v/>
      </c>
      <c r="G352" s="206" t="str">
        <f>IFERROR(VLOOKUP($C352,'PORTIFÓLIO'!C:V,5,0),"")</f>
        <v/>
      </c>
      <c r="H352" s="247" t="str">
        <f t="array" ref="H352">IFERROR(INDEX('PORTIFÓLIO'!$H$4:$H$433,MATCH($C352,'PORTIFÓLIO'!$C$4:$C$433,0)),"")</f>
        <v/>
      </c>
      <c r="I352" s="257"/>
      <c r="J352" s="209">
        <f t="shared" si="39"/>
        <v>0</v>
      </c>
      <c r="K352" s="248" t="str">
        <f t="array" ref="K352">IFERROR(I352*INDEX('PORTIFÓLIO'!$S$4:$S$433,MATCH($C352,'PORTIFÓLIO'!$C$4:$C$433,0)),"")</f>
        <v/>
      </c>
      <c r="L352" s="248" t="str">
        <f t="array" ref="L352">IFERROR(J352*INDEX('PORTIFÓLIO'!$S$4:$S$433,MATCH($C352,'PORTIFÓLIO'!$C$4:$C$433,0)),"")</f>
        <v/>
      </c>
      <c r="M352" s="238"/>
      <c r="N352" s="177"/>
      <c r="O352" s="177"/>
      <c r="P352" s="177"/>
      <c r="Q352" s="177"/>
      <c r="R352" s="177"/>
      <c r="S352" s="177"/>
      <c r="T352" s="177"/>
      <c r="U352" s="177"/>
      <c r="V352" s="177"/>
      <c r="W352" s="177"/>
    </row>
    <row r="353" ht="15.75" customHeight="1" outlineLevel="1">
      <c r="A353" s="190"/>
      <c r="B353" s="204"/>
      <c r="C353" s="191"/>
      <c r="D353" s="205" t="str">
        <f>IFERROR(VLOOKUP($C353,'PORTIFÓLIO'!C:V,2,0),"")</f>
        <v/>
      </c>
      <c r="E353" s="190" t="str">
        <f>IFERROR(VLOOKUP($C353,'PORTIFÓLIO'!C:V,3,0),"")</f>
        <v/>
      </c>
      <c r="F353" s="190" t="str">
        <f>IFERROR(VLOOKUP($C353,'PORTIFÓLIO'!C:V,4,0),"")</f>
        <v/>
      </c>
      <c r="G353" s="206" t="str">
        <f>IFERROR(VLOOKUP($C353,'PORTIFÓLIO'!C:V,5,0),"")</f>
        <v/>
      </c>
      <c r="H353" s="247" t="str">
        <f t="array" ref="H353">IFERROR(INDEX('PORTIFÓLIO'!$H$4:$H$433,MATCH($C353,'PORTIFÓLIO'!$C$4:$C$433,0)),"")</f>
        <v/>
      </c>
      <c r="I353" s="257"/>
      <c r="J353" s="209">
        <f t="shared" si="39"/>
        <v>0</v>
      </c>
      <c r="K353" s="248" t="str">
        <f t="array" ref="K353">IFERROR(I353*INDEX('PORTIFÓLIO'!$S$4:$S$433,MATCH($C353,'PORTIFÓLIO'!$C$4:$C$433,0)),"")</f>
        <v/>
      </c>
      <c r="L353" s="248" t="str">
        <f t="array" ref="L353">IFERROR(J353*INDEX('PORTIFÓLIO'!$S$4:$S$433,MATCH($C353,'PORTIFÓLIO'!$C$4:$C$433,0)),"")</f>
        <v/>
      </c>
      <c r="M353" s="238"/>
      <c r="N353" s="177"/>
      <c r="O353" s="177"/>
      <c r="P353" s="177"/>
      <c r="Q353" s="177"/>
      <c r="R353" s="177"/>
      <c r="S353" s="177"/>
      <c r="T353" s="177"/>
      <c r="U353" s="177"/>
      <c r="V353" s="177"/>
      <c r="W353" s="177"/>
    </row>
    <row r="354" ht="15.75" customHeight="1" outlineLevel="1">
      <c r="A354" s="190"/>
      <c r="B354" s="204"/>
      <c r="C354" s="191"/>
      <c r="D354" s="205" t="str">
        <f>IFERROR(VLOOKUP($C354,'PORTIFÓLIO'!C:V,2,0),"")</f>
        <v/>
      </c>
      <c r="E354" s="190" t="str">
        <f>IFERROR(VLOOKUP($C354,'PORTIFÓLIO'!C:V,3,0),"")</f>
        <v/>
      </c>
      <c r="F354" s="190" t="str">
        <f>IFERROR(VLOOKUP($C354,'PORTIFÓLIO'!C:V,4,0),"")</f>
        <v/>
      </c>
      <c r="G354" s="206" t="str">
        <f>IFERROR(VLOOKUP($C354,'PORTIFÓLIO'!C:V,5,0),"")</f>
        <v/>
      </c>
      <c r="H354" s="247" t="str">
        <f t="array" ref="H354">IFERROR(INDEX('PORTIFÓLIO'!$H$4:$H$433,MATCH($C354,'PORTIFÓLIO'!$C$4:$C$433,0)),"")</f>
        <v/>
      </c>
      <c r="I354" s="257"/>
      <c r="J354" s="209">
        <f t="shared" si="39"/>
        <v>0</v>
      </c>
      <c r="K354" s="248" t="str">
        <f t="array" ref="K354">IFERROR(I354*INDEX('PORTIFÓLIO'!$S$4:$S$433,MATCH($C354,'PORTIFÓLIO'!$C$4:$C$433,0)),"")</f>
        <v/>
      </c>
      <c r="L354" s="248" t="str">
        <f t="array" ref="L354">IFERROR(J354*INDEX('PORTIFÓLIO'!$S$4:$S$433,MATCH($C354,'PORTIFÓLIO'!$C$4:$C$433,0)),"")</f>
        <v/>
      </c>
      <c r="M354" s="238"/>
      <c r="N354" s="177"/>
      <c r="O354" s="177"/>
      <c r="P354" s="177"/>
      <c r="Q354" s="177"/>
      <c r="R354" s="177"/>
      <c r="S354" s="177"/>
      <c r="T354" s="177"/>
      <c r="U354" s="177"/>
      <c r="V354" s="177"/>
      <c r="W354" s="177"/>
    </row>
    <row r="355" ht="15.75" customHeight="1" outlineLevel="1">
      <c r="A355" s="190"/>
      <c r="B355" s="204"/>
      <c r="C355" s="191"/>
      <c r="D355" s="205" t="str">
        <f>IFERROR(VLOOKUP($C355,'PORTIFÓLIO'!C:V,2,0),"")</f>
        <v/>
      </c>
      <c r="E355" s="190" t="str">
        <f>IFERROR(VLOOKUP($C355,'PORTIFÓLIO'!C:V,3,0),"")</f>
        <v/>
      </c>
      <c r="F355" s="190" t="str">
        <f>IFERROR(VLOOKUP($C355,'PORTIFÓLIO'!C:V,4,0),"")</f>
        <v/>
      </c>
      <c r="G355" s="206" t="str">
        <f>IFERROR(VLOOKUP($C355,'PORTIFÓLIO'!C:V,5,0),"")</f>
        <v/>
      </c>
      <c r="H355" s="247" t="str">
        <f t="array" ref="H355">IFERROR(INDEX('PORTIFÓLIO'!$H$4:$H$433,MATCH($C355,'PORTIFÓLIO'!$C$4:$C$433,0)),"")</f>
        <v/>
      </c>
      <c r="I355" s="257"/>
      <c r="J355" s="209">
        <f t="shared" si="39"/>
        <v>0</v>
      </c>
      <c r="K355" s="248" t="str">
        <f t="array" ref="K355">IFERROR(I355*INDEX('PORTIFÓLIO'!$S$4:$S$433,MATCH($C355,'PORTIFÓLIO'!$C$4:$C$433,0)),"")</f>
        <v/>
      </c>
      <c r="L355" s="248" t="str">
        <f t="array" ref="L355">IFERROR(J355*INDEX('PORTIFÓLIO'!$S$4:$S$433,MATCH($C355,'PORTIFÓLIO'!$C$4:$C$433,0)),"")</f>
        <v/>
      </c>
      <c r="M355" s="238"/>
      <c r="N355" s="177"/>
      <c r="O355" s="177"/>
      <c r="P355" s="177"/>
      <c r="Q355" s="177"/>
      <c r="R355" s="177"/>
      <c r="S355" s="177"/>
      <c r="T355" s="177"/>
      <c r="U355" s="177"/>
      <c r="V355" s="177"/>
      <c r="W355" s="177"/>
    </row>
    <row r="356" ht="15.75" customHeight="1" outlineLevel="1">
      <c r="A356" s="190"/>
      <c r="B356" s="204"/>
      <c r="C356" s="191"/>
      <c r="D356" s="205" t="str">
        <f>IFERROR(VLOOKUP($C356,'PORTIFÓLIO'!C:V,2,0),"")</f>
        <v/>
      </c>
      <c r="E356" s="190" t="str">
        <f>IFERROR(VLOOKUP($C356,'PORTIFÓLIO'!C:V,3,0),"")</f>
        <v/>
      </c>
      <c r="F356" s="190" t="str">
        <f>IFERROR(VLOOKUP($C356,'PORTIFÓLIO'!C:V,4,0),"")</f>
        <v/>
      </c>
      <c r="G356" s="206" t="str">
        <f>IFERROR(VLOOKUP($C356,'PORTIFÓLIO'!C:V,5,0),"")</f>
        <v/>
      </c>
      <c r="H356" s="247" t="str">
        <f t="array" ref="H356">IFERROR(INDEX('PORTIFÓLIO'!$H$4:$H$433,MATCH($C356,'PORTIFÓLIO'!$C$4:$C$433,0)),"")</f>
        <v/>
      </c>
      <c r="I356" s="257"/>
      <c r="J356" s="209">
        <f t="shared" si="39"/>
        <v>0</v>
      </c>
      <c r="K356" s="248" t="str">
        <f t="array" ref="K356">IFERROR(I356*INDEX('PORTIFÓLIO'!$S$4:$S$433,MATCH($C356,'PORTIFÓLIO'!$C$4:$C$433,0)),"")</f>
        <v/>
      </c>
      <c r="L356" s="248" t="str">
        <f t="array" ref="L356">IFERROR(J356*INDEX('PORTIFÓLIO'!$S$4:$S$433,MATCH($C356,'PORTIFÓLIO'!$C$4:$C$433,0)),"")</f>
        <v/>
      </c>
      <c r="M356" s="238"/>
      <c r="N356" s="177"/>
      <c r="O356" s="177"/>
      <c r="P356" s="177"/>
      <c r="Q356" s="177"/>
      <c r="R356" s="177"/>
      <c r="S356" s="177"/>
      <c r="T356" s="177"/>
      <c r="U356" s="177"/>
      <c r="V356" s="177"/>
      <c r="W356" s="177"/>
    </row>
    <row r="357" ht="15.75" customHeight="1" outlineLevel="1">
      <c r="A357" s="190"/>
      <c r="B357" s="238"/>
      <c r="C357" s="190"/>
      <c r="D357" s="205" t="str">
        <f>IFERROR(VLOOKUP($C357,'PORTIFÓLIO'!C:V,2,0),"")</f>
        <v/>
      </c>
      <c r="E357" s="190" t="str">
        <f>IFERROR(VLOOKUP($C357,'PORTIFÓLIO'!C:V,3,0),"")</f>
        <v/>
      </c>
      <c r="F357" s="190" t="str">
        <f>IFERROR(VLOOKUP($C357,'PORTIFÓLIO'!C:V,4,0),"")</f>
        <v/>
      </c>
      <c r="G357" s="206" t="str">
        <f>IFERROR(VLOOKUP($C357,'PORTIFÓLIO'!C:V,5,0),"")</f>
        <v/>
      </c>
      <c r="H357" s="247" t="str">
        <f t="array" ref="H357">IFERROR(INDEX('PORTIFÓLIO'!$H$4:$H$433,MATCH($C357,'PORTIFÓLIO'!$C$4:$C$433,0)),"")</f>
        <v/>
      </c>
      <c r="I357" s="257"/>
      <c r="J357" s="209"/>
      <c r="K357" s="248" t="str">
        <f t="array" ref="K357">IFERROR(I357*INDEX('PORTIFÓLIO'!$S$4:$S$433,MATCH($C357,'PORTIFÓLIO'!$C$4:$C$433,0)),"")</f>
        <v/>
      </c>
      <c r="L357" s="248" t="str">
        <f t="array" ref="L357">IFERROR(J357*INDEX('PORTIFÓLIO'!$S$4:$S$433,MATCH($C357,'PORTIFÓLIO'!$C$4:$C$433,0)),"")</f>
        <v/>
      </c>
      <c r="M357" s="238"/>
      <c r="N357" s="177"/>
      <c r="O357" s="177"/>
      <c r="P357" s="177"/>
      <c r="Q357" s="177"/>
      <c r="R357" s="177"/>
      <c r="S357" s="177"/>
      <c r="T357" s="177"/>
      <c r="U357" s="177"/>
      <c r="V357" s="177"/>
      <c r="W357" s="177"/>
    </row>
    <row r="358" ht="15.75" customHeight="1">
      <c r="A358" s="221" t="s">
        <v>1191</v>
      </c>
      <c r="B358" s="197"/>
      <c r="C358" s="196"/>
      <c r="D358" s="198"/>
      <c r="E358" s="196"/>
      <c r="F358" s="196"/>
      <c r="G358" s="199"/>
      <c r="H358" s="199"/>
      <c r="I358" s="252"/>
      <c r="J358" s="202"/>
      <c r="K358" s="203">
        <f t="shared" ref="K358:L358" si="40">SUBTOTAL(9,K359:K372)</f>
        <v>0</v>
      </c>
      <c r="L358" s="203">
        <f t="shared" si="40"/>
        <v>0</v>
      </c>
      <c r="M358" s="238"/>
      <c r="N358" s="177"/>
      <c r="O358" s="177"/>
      <c r="P358" s="177"/>
      <c r="Q358" s="177"/>
      <c r="R358" s="177"/>
      <c r="S358" s="177"/>
      <c r="T358" s="177"/>
      <c r="U358" s="177"/>
      <c r="V358" s="177"/>
      <c r="W358" s="177"/>
    </row>
    <row r="359" ht="15.75" customHeight="1" outlineLevel="1">
      <c r="A359" s="191"/>
      <c r="B359" s="204"/>
      <c r="C359" s="191"/>
      <c r="D359" s="205" t="str">
        <f>IFERROR(VLOOKUP($C359,'PORTIFÓLIO'!C:V,2,0),"")</f>
        <v/>
      </c>
      <c r="E359" s="190" t="str">
        <f>IFERROR(VLOOKUP($C359,'PORTIFÓLIO'!C:V,3,0),"")</f>
        <v/>
      </c>
      <c r="F359" s="190" t="str">
        <f>IFERROR(VLOOKUP($C359,'PORTIFÓLIO'!C:V,4,0),"")</f>
        <v/>
      </c>
      <c r="G359" s="206" t="str">
        <f>IFERROR(VLOOKUP($C359,'PORTIFÓLIO'!C:V,5,0),"")</f>
        <v/>
      </c>
      <c r="H359" s="247" t="str">
        <f t="array" ref="H359">IFERROR(INDEX('PORTIFÓLIO'!$H$4:$H$433,MATCH($C359,'PORTIFÓLIO'!$C$4:$C$433,0)),"")</f>
        <v/>
      </c>
      <c r="I359" s="253"/>
      <c r="J359" s="209">
        <f t="shared" ref="J359:J373" si="41">I359*$B$2</f>
        <v>0</v>
      </c>
      <c r="K359" s="248" t="str">
        <f t="array" ref="K359">IFERROR(I359*INDEX('PORTIFÓLIO'!$S$4:$S$433,MATCH($C359,'PORTIFÓLIO'!$C$4:$C$433,0)),"")</f>
        <v/>
      </c>
      <c r="L359" s="248" t="str">
        <f t="array" ref="L359">IFERROR(J359*INDEX('PORTIFÓLIO'!$S$4:$S$433,MATCH($C359,'PORTIFÓLIO'!$C$4:$C$433,0)),"")</f>
        <v/>
      </c>
      <c r="M359" s="238"/>
      <c r="N359" s="177"/>
      <c r="O359" s="177"/>
      <c r="P359" s="177"/>
      <c r="Q359" s="177"/>
      <c r="R359" s="177"/>
      <c r="S359" s="177"/>
      <c r="T359" s="177"/>
      <c r="U359" s="177"/>
      <c r="V359" s="177"/>
      <c r="W359" s="177"/>
    </row>
    <row r="360" ht="15.75" customHeight="1" outlineLevel="1">
      <c r="A360" s="190"/>
      <c r="B360" s="204"/>
      <c r="C360" s="191"/>
      <c r="D360" s="205" t="str">
        <f>IFERROR(VLOOKUP($C360,'PORTIFÓLIO'!C:V,2,0),"")</f>
        <v/>
      </c>
      <c r="E360" s="190" t="str">
        <f>IFERROR(VLOOKUP($C360,'PORTIFÓLIO'!C:V,3,0),"")</f>
        <v/>
      </c>
      <c r="F360" s="190" t="str">
        <f>IFERROR(VLOOKUP($C360,'PORTIFÓLIO'!C:V,4,0),"")</f>
        <v/>
      </c>
      <c r="G360" s="206" t="str">
        <f>IFERROR(VLOOKUP($C360,'PORTIFÓLIO'!C:V,5,0),"")</f>
        <v/>
      </c>
      <c r="H360" s="247" t="str">
        <f t="array" ref="H360">IFERROR(INDEX('PORTIFÓLIO'!$H$4:$H$433,MATCH($C360,'PORTIFÓLIO'!$C$4:$C$433,0)),"")</f>
        <v/>
      </c>
      <c r="I360" s="257"/>
      <c r="J360" s="209">
        <f t="shared" si="41"/>
        <v>0</v>
      </c>
      <c r="K360" s="248" t="str">
        <f t="array" ref="K360">IFERROR(I360*INDEX('PORTIFÓLIO'!$S$4:$S$433,MATCH($C360,'PORTIFÓLIO'!$C$4:$C$433,0)),"")</f>
        <v/>
      </c>
      <c r="L360" s="248" t="str">
        <f t="array" ref="L360">IFERROR(J360*INDEX('PORTIFÓLIO'!$S$4:$S$433,MATCH($C360,'PORTIFÓLIO'!$C$4:$C$433,0)),"")</f>
        <v/>
      </c>
      <c r="M360" s="238"/>
      <c r="N360" s="177"/>
      <c r="O360" s="177"/>
      <c r="P360" s="177"/>
      <c r="Q360" s="177"/>
      <c r="R360" s="177"/>
      <c r="S360" s="177"/>
      <c r="T360" s="177"/>
      <c r="U360" s="177"/>
      <c r="V360" s="177"/>
      <c r="W360" s="177"/>
    </row>
    <row r="361" ht="15.75" customHeight="1" outlineLevel="1">
      <c r="A361" s="190"/>
      <c r="B361" s="204"/>
      <c r="C361" s="191"/>
      <c r="D361" s="205" t="str">
        <f>IFERROR(VLOOKUP($C361,'PORTIFÓLIO'!C:V,2,0),"")</f>
        <v/>
      </c>
      <c r="E361" s="190" t="str">
        <f>IFERROR(VLOOKUP($C361,'PORTIFÓLIO'!C:V,3,0),"")</f>
        <v/>
      </c>
      <c r="F361" s="190" t="str">
        <f>IFERROR(VLOOKUP($C361,'PORTIFÓLIO'!C:V,4,0),"")</f>
        <v/>
      </c>
      <c r="G361" s="206" t="str">
        <f>IFERROR(VLOOKUP($C361,'PORTIFÓLIO'!C:V,5,0),"")</f>
        <v/>
      </c>
      <c r="H361" s="247" t="str">
        <f t="array" ref="H361">IFERROR(INDEX('PORTIFÓLIO'!$H$4:$H$433,MATCH($C361,'PORTIFÓLIO'!$C$4:$C$433,0)),"")</f>
        <v/>
      </c>
      <c r="I361" s="257"/>
      <c r="J361" s="209">
        <f t="shared" si="41"/>
        <v>0</v>
      </c>
      <c r="K361" s="248" t="str">
        <f t="array" ref="K361">IFERROR(I361*INDEX('PORTIFÓLIO'!$S$4:$S$433,MATCH($C361,'PORTIFÓLIO'!$C$4:$C$433,0)),"")</f>
        <v/>
      </c>
      <c r="L361" s="248" t="str">
        <f t="array" ref="L361">IFERROR(J361*INDEX('PORTIFÓLIO'!$S$4:$S$433,MATCH($C361,'PORTIFÓLIO'!$C$4:$C$433,0)),"")</f>
        <v/>
      </c>
      <c r="M361" s="238"/>
      <c r="N361" s="177"/>
      <c r="O361" s="177"/>
      <c r="P361" s="177"/>
      <c r="Q361" s="177"/>
      <c r="R361" s="177"/>
      <c r="S361" s="177"/>
      <c r="T361" s="177"/>
      <c r="U361" s="177"/>
      <c r="V361" s="177"/>
      <c r="W361" s="177"/>
    </row>
    <row r="362" ht="15.75" customHeight="1" outlineLevel="1">
      <c r="A362" s="190"/>
      <c r="B362" s="204"/>
      <c r="C362" s="191"/>
      <c r="D362" s="205" t="str">
        <f>IFERROR(VLOOKUP($C362,'PORTIFÓLIO'!C:V,2,0),"")</f>
        <v/>
      </c>
      <c r="E362" s="190" t="str">
        <f>IFERROR(VLOOKUP($C362,'PORTIFÓLIO'!C:V,3,0),"")</f>
        <v/>
      </c>
      <c r="F362" s="190" t="str">
        <f>IFERROR(VLOOKUP($C362,'PORTIFÓLIO'!C:V,4,0),"")</f>
        <v/>
      </c>
      <c r="G362" s="206" t="str">
        <f>IFERROR(VLOOKUP($C362,'PORTIFÓLIO'!C:V,5,0),"")</f>
        <v/>
      </c>
      <c r="H362" s="247" t="str">
        <f t="array" ref="H362">IFERROR(INDEX('PORTIFÓLIO'!$H$4:$H$433,MATCH($C362,'PORTIFÓLIO'!$C$4:$C$433,0)),"")</f>
        <v/>
      </c>
      <c r="I362" s="257"/>
      <c r="J362" s="209">
        <f t="shared" si="41"/>
        <v>0</v>
      </c>
      <c r="K362" s="248" t="str">
        <f t="array" ref="K362">IFERROR(I362*INDEX('PORTIFÓLIO'!$S$4:$S$433,MATCH($C362,'PORTIFÓLIO'!$C$4:$C$433,0)),"")</f>
        <v/>
      </c>
      <c r="L362" s="248" t="str">
        <f t="array" ref="L362">IFERROR(J362*INDEX('PORTIFÓLIO'!$S$4:$S$433,MATCH($C362,'PORTIFÓLIO'!$C$4:$C$433,0)),"")</f>
        <v/>
      </c>
      <c r="M362" s="238"/>
      <c r="N362" s="177"/>
      <c r="O362" s="177"/>
      <c r="P362" s="177"/>
      <c r="Q362" s="177"/>
      <c r="R362" s="177"/>
      <c r="S362" s="177"/>
      <c r="T362" s="177"/>
      <c r="U362" s="177"/>
      <c r="V362" s="177"/>
      <c r="W362" s="177"/>
    </row>
    <row r="363" ht="15.75" customHeight="1" outlineLevel="1">
      <c r="A363" s="190"/>
      <c r="B363" s="204"/>
      <c r="C363" s="191"/>
      <c r="D363" s="205" t="str">
        <f>IFERROR(VLOOKUP($C363,'PORTIFÓLIO'!C:V,2,0),"")</f>
        <v/>
      </c>
      <c r="E363" s="190" t="str">
        <f>IFERROR(VLOOKUP($C363,'PORTIFÓLIO'!C:V,3,0),"")</f>
        <v/>
      </c>
      <c r="F363" s="190" t="str">
        <f>IFERROR(VLOOKUP($C363,'PORTIFÓLIO'!C:V,4,0),"")</f>
        <v/>
      </c>
      <c r="G363" s="206" t="str">
        <f>IFERROR(VLOOKUP($C363,'PORTIFÓLIO'!C:V,5,0),"")</f>
        <v/>
      </c>
      <c r="H363" s="247" t="str">
        <f t="array" ref="H363">IFERROR(INDEX('PORTIFÓLIO'!$H$4:$H$433,MATCH($C363,'PORTIFÓLIO'!$C$4:$C$433,0)),"")</f>
        <v/>
      </c>
      <c r="I363" s="257"/>
      <c r="J363" s="209">
        <f t="shared" si="41"/>
        <v>0</v>
      </c>
      <c r="K363" s="248" t="str">
        <f t="array" ref="K363">IFERROR(I363*INDEX('PORTIFÓLIO'!$S$4:$S$433,MATCH($C363,'PORTIFÓLIO'!$C$4:$C$433,0)),"")</f>
        <v/>
      </c>
      <c r="L363" s="248" t="str">
        <f t="array" ref="L363">IFERROR(J363*INDEX('PORTIFÓLIO'!$S$4:$S$433,MATCH($C363,'PORTIFÓLIO'!$C$4:$C$433,0)),"")</f>
        <v/>
      </c>
      <c r="M363" s="238"/>
      <c r="N363" s="177"/>
      <c r="O363" s="177"/>
      <c r="P363" s="177"/>
      <c r="Q363" s="177"/>
      <c r="R363" s="177"/>
      <c r="S363" s="177"/>
      <c r="T363" s="177"/>
      <c r="U363" s="177"/>
      <c r="V363" s="177"/>
      <c r="W363" s="177"/>
    </row>
    <row r="364" ht="15.75" customHeight="1" outlineLevel="1">
      <c r="A364" s="190"/>
      <c r="B364" s="204"/>
      <c r="C364" s="191"/>
      <c r="D364" s="205" t="str">
        <f>IFERROR(VLOOKUP($C364,'PORTIFÓLIO'!C:V,2,0),"")</f>
        <v/>
      </c>
      <c r="E364" s="190" t="str">
        <f>IFERROR(VLOOKUP($C364,'PORTIFÓLIO'!C:V,3,0),"")</f>
        <v/>
      </c>
      <c r="F364" s="190" t="str">
        <f>IFERROR(VLOOKUP($C364,'PORTIFÓLIO'!C:V,4,0),"")</f>
        <v/>
      </c>
      <c r="G364" s="206" t="str">
        <f>IFERROR(VLOOKUP($C364,'PORTIFÓLIO'!C:V,5,0),"")</f>
        <v/>
      </c>
      <c r="H364" s="247" t="str">
        <f t="array" ref="H364">IFERROR(INDEX('PORTIFÓLIO'!$H$4:$H$433,MATCH($C364,'PORTIFÓLIO'!$C$4:$C$433,0)),"")</f>
        <v/>
      </c>
      <c r="I364" s="257"/>
      <c r="J364" s="209">
        <f t="shared" si="41"/>
        <v>0</v>
      </c>
      <c r="K364" s="248" t="str">
        <f t="array" ref="K364">IFERROR(I364*INDEX('PORTIFÓLIO'!$S$4:$S$433,MATCH($C364,'PORTIFÓLIO'!$C$4:$C$433,0)),"")</f>
        <v/>
      </c>
      <c r="L364" s="248" t="str">
        <f t="array" ref="L364">IFERROR(J364*INDEX('PORTIFÓLIO'!$S$4:$S$433,MATCH($C364,'PORTIFÓLIO'!$C$4:$C$433,0)),"")</f>
        <v/>
      </c>
      <c r="M364" s="238"/>
      <c r="N364" s="177"/>
      <c r="O364" s="177"/>
      <c r="P364" s="177"/>
      <c r="Q364" s="177"/>
      <c r="R364" s="177"/>
      <c r="S364" s="177"/>
      <c r="T364" s="177"/>
      <c r="U364" s="177"/>
      <c r="V364" s="177"/>
      <c r="W364" s="177"/>
    </row>
    <row r="365" ht="15.75" customHeight="1" outlineLevel="1">
      <c r="A365" s="190"/>
      <c r="B365" s="204"/>
      <c r="C365" s="191"/>
      <c r="D365" s="205" t="str">
        <f>IFERROR(VLOOKUP($C365,'PORTIFÓLIO'!C:V,2,0),"")</f>
        <v/>
      </c>
      <c r="E365" s="190" t="str">
        <f>IFERROR(VLOOKUP($C365,'PORTIFÓLIO'!C:V,3,0),"")</f>
        <v/>
      </c>
      <c r="F365" s="190" t="str">
        <f>IFERROR(VLOOKUP($C365,'PORTIFÓLIO'!C:V,4,0),"")</f>
        <v/>
      </c>
      <c r="G365" s="206" t="str">
        <f>IFERROR(VLOOKUP($C365,'PORTIFÓLIO'!C:V,5,0),"")</f>
        <v/>
      </c>
      <c r="H365" s="247" t="str">
        <f t="array" ref="H365">IFERROR(INDEX('PORTIFÓLIO'!$H$4:$H$433,MATCH($C365,'PORTIFÓLIO'!$C$4:$C$433,0)),"")</f>
        <v/>
      </c>
      <c r="I365" s="257"/>
      <c r="J365" s="209">
        <f t="shared" si="41"/>
        <v>0</v>
      </c>
      <c r="K365" s="248" t="str">
        <f t="array" ref="K365">IFERROR(I365*INDEX('PORTIFÓLIO'!$S$4:$S$433,MATCH($C365,'PORTIFÓLIO'!$C$4:$C$433,0)),"")</f>
        <v/>
      </c>
      <c r="L365" s="248" t="str">
        <f t="array" ref="L365">IFERROR(J365*INDEX('PORTIFÓLIO'!$S$4:$S$433,MATCH($C365,'PORTIFÓLIO'!$C$4:$C$433,0)),"")</f>
        <v/>
      </c>
      <c r="M365" s="238"/>
      <c r="N365" s="177"/>
      <c r="O365" s="177"/>
      <c r="P365" s="177"/>
      <c r="Q365" s="177"/>
      <c r="R365" s="177"/>
      <c r="S365" s="177"/>
      <c r="T365" s="177"/>
      <c r="U365" s="177"/>
      <c r="V365" s="177"/>
      <c r="W365" s="177"/>
    </row>
    <row r="366" ht="15.75" customHeight="1" outlineLevel="1">
      <c r="A366" s="190"/>
      <c r="B366" s="204"/>
      <c r="C366" s="191"/>
      <c r="D366" s="205" t="str">
        <f>IFERROR(VLOOKUP($C366,'PORTIFÓLIO'!C:V,2,0),"")</f>
        <v/>
      </c>
      <c r="E366" s="190" t="str">
        <f>IFERROR(VLOOKUP($C366,'PORTIFÓLIO'!C:V,3,0),"")</f>
        <v/>
      </c>
      <c r="F366" s="190" t="str">
        <f>IFERROR(VLOOKUP($C366,'PORTIFÓLIO'!C:V,4,0),"")</f>
        <v/>
      </c>
      <c r="G366" s="206" t="str">
        <f>IFERROR(VLOOKUP($C366,'PORTIFÓLIO'!C:V,5,0),"")</f>
        <v/>
      </c>
      <c r="H366" s="247" t="str">
        <f t="array" ref="H366">IFERROR(INDEX('PORTIFÓLIO'!$H$4:$H$433,MATCH($C366,'PORTIFÓLIO'!$C$4:$C$433,0)),"")</f>
        <v/>
      </c>
      <c r="I366" s="257"/>
      <c r="J366" s="209">
        <f t="shared" si="41"/>
        <v>0</v>
      </c>
      <c r="K366" s="248" t="str">
        <f t="array" ref="K366">IFERROR(I366*INDEX('PORTIFÓLIO'!$S$4:$S$433,MATCH($C366,'PORTIFÓLIO'!$C$4:$C$433,0)),"")</f>
        <v/>
      </c>
      <c r="L366" s="248" t="str">
        <f t="array" ref="L366">IFERROR(J366*INDEX('PORTIFÓLIO'!$S$4:$S$433,MATCH($C366,'PORTIFÓLIO'!$C$4:$C$433,0)),"")</f>
        <v/>
      </c>
      <c r="M366" s="238"/>
      <c r="N366" s="177"/>
      <c r="O366" s="177"/>
      <c r="P366" s="177"/>
      <c r="Q366" s="177"/>
      <c r="R366" s="177"/>
      <c r="S366" s="177"/>
      <c r="T366" s="177"/>
      <c r="U366" s="177"/>
      <c r="V366" s="177"/>
      <c r="W366" s="177"/>
    </row>
    <row r="367" ht="15.75" customHeight="1" outlineLevel="1">
      <c r="A367" s="190"/>
      <c r="B367" s="204"/>
      <c r="C367" s="191"/>
      <c r="D367" s="205" t="str">
        <f>IFERROR(VLOOKUP($C367,'PORTIFÓLIO'!C:V,2,0),"")</f>
        <v/>
      </c>
      <c r="E367" s="190" t="str">
        <f>IFERROR(VLOOKUP($C367,'PORTIFÓLIO'!C:V,3,0),"")</f>
        <v/>
      </c>
      <c r="F367" s="190" t="str">
        <f>IFERROR(VLOOKUP($C367,'PORTIFÓLIO'!C:V,4,0),"")</f>
        <v/>
      </c>
      <c r="G367" s="206" t="str">
        <f>IFERROR(VLOOKUP($C367,'PORTIFÓLIO'!C:V,5,0),"")</f>
        <v/>
      </c>
      <c r="H367" s="247" t="str">
        <f t="array" ref="H367">IFERROR(INDEX('PORTIFÓLIO'!$H$4:$H$433,MATCH($C367,'PORTIFÓLIO'!$C$4:$C$433,0)),"")</f>
        <v/>
      </c>
      <c r="I367" s="253"/>
      <c r="J367" s="209">
        <f t="shared" si="41"/>
        <v>0</v>
      </c>
      <c r="K367" s="248" t="str">
        <f t="array" ref="K367">IFERROR(I367*INDEX('PORTIFÓLIO'!$S$4:$S$433,MATCH($C367,'PORTIFÓLIO'!$C$4:$C$433,0)),"")</f>
        <v/>
      </c>
      <c r="L367" s="248" t="str">
        <f t="array" ref="L367">IFERROR(J367*INDEX('PORTIFÓLIO'!$S$4:$S$433,MATCH($C367,'PORTIFÓLIO'!$C$4:$C$433,0)),"")</f>
        <v/>
      </c>
      <c r="M367" s="238"/>
      <c r="N367" s="177"/>
      <c r="O367" s="177"/>
      <c r="P367" s="177"/>
      <c r="Q367" s="177"/>
      <c r="R367" s="177"/>
      <c r="S367" s="177"/>
      <c r="T367" s="177"/>
      <c r="U367" s="177"/>
      <c r="V367" s="177"/>
      <c r="W367" s="177"/>
    </row>
    <row r="368" ht="15.75" customHeight="1" outlineLevel="1">
      <c r="A368" s="190"/>
      <c r="B368" s="204"/>
      <c r="C368" s="191"/>
      <c r="D368" s="205" t="str">
        <f>IFERROR(VLOOKUP($C368,'PORTIFÓLIO'!C:V,2,0),"")</f>
        <v/>
      </c>
      <c r="E368" s="190" t="str">
        <f>IFERROR(VLOOKUP($C368,'PORTIFÓLIO'!C:V,3,0),"")</f>
        <v/>
      </c>
      <c r="F368" s="190" t="str">
        <f>IFERROR(VLOOKUP($C368,'PORTIFÓLIO'!C:V,4,0),"")</f>
        <v/>
      </c>
      <c r="G368" s="206" t="str">
        <f>IFERROR(VLOOKUP($C368,'PORTIFÓLIO'!C:V,5,0),"")</f>
        <v/>
      </c>
      <c r="H368" s="247" t="str">
        <f t="array" ref="H368">IFERROR(INDEX('PORTIFÓLIO'!$H$4:$H$433,MATCH($C368,'PORTIFÓLIO'!$C$4:$C$433,0)),"")</f>
        <v/>
      </c>
      <c r="I368" s="257"/>
      <c r="J368" s="209">
        <f t="shared" si="41"/>
        <v>0</v>
      </c>
      <c r="K368" s="248" t="str">
        <f t="array" ref="K368">IFERROR(I368*INDEX('PORTIFÓLIO'!$S$4:$S$433,MATCH($C368,'PORTIFÓLIO'!$C$4:$C$433,0)),"")</f>
        <v/>
      </c>
      <c r="L368" s="248" t="str">
        <f t="array" ref="L368">IFERROR(J368*INDEX('PORTIFÓLIO'!$S$4:$S$433,MATCH($C368,'PORTIFÓLIO'!$C$4:$C$433,0)),"")</f>
        <v/>
      </c>
      <c r="M368" s="238"/>
      <c r="N368" s="177"/>
      <c r="O368" s="177"/>
      <c r="P368" s="177"/>
      <c r="Q368" s="177"/>
      <c r="R368" s="177"/>
      <c r="S368" s="177"/>
      <c r="T368" s="177"/>
      <c r="U368" s="177"/>
      <c r="V368" s="177"/>
      <c r="W368" s="177"/>
    </row>
    <row r="369" ht="15.75" customHeight="1" outlineLevel="1">
      <c r="A369" s="190"/>
      <c r="B369" s="204"/>
      <c r="C369" s="191"/>
      <c r="D369" s="205" t="str">
        <f>IFERROR(VLOOKUP($C369,'PORTIFÓLIO'!C:V,2,0),"")</f>
        <v/>
      </c>
      <c r="E369" s="190" t="str">
        <f>IFERROR(VLOOKUP($C369,'PORTIFÓLIO'!C:V,3,0),"")</f>
        <v/>
      </c>
      <c r="F369" s="190" t="str">
        <f>IFERROR(VLOOKUP($C369,'PORTIFÓLIO'!C:V,4,0),"")</f>
        <v/>
      </c>
      <c r="G369" s="206" t="str">
        <f>IFERROR(VLOOKUP($C369,'PORTIFÓLIO'!C:V,5,0),"")</f>
        <v/>
      </c>
      <c r="H369" s="247" t="str">
        <f t="array" ref="H369">IFERROR(INDEX('PORTIFÓLIO'!$H$4:$H$433,MATCH($C369,'PORTIFÓLIO'!$C$4:$C$433,0)),"")</f>
        <v/>
      </c>
      <c r="I369" s="257"/>
      <c r="J369" s="209">
        <f t="shared" si="41"/>
        <v>0</v>
      </c>
      <c r="K369" s="248" t="str">
        <f t="array" ref="K369">IFERROR(I369*INDEX('PORTIFÓLIO'!$S$4:$S$433,MATCH($C369,'PORTIFÓLIO'!$C$4:$C$433,0)),"")</f>
        <v/>
      </c>
      <c r="L369" s="248" t="str">
        <f t="array" ref="L369">IFERROR(J369*INDEX('PORTIFÓLIO'!$S$4:$S$433,MATCH($C369,'PORTIFÓLIO'!$C$4:$C$433,0)),"")</f>
        <v/>
      </c>
      <c r="M369" s="238"/>
      <c r="N369" s="177"/>
      <c r="O369" s="177"/>
      <c r="P369" s="177"/>
      <c r="Q369" s="177"/>
      <c r="R369" s="177"/>
      <c r="S369" s="177"/>
      <c r="T369" s="177"/>
      <c r="U369" s="177"/>
      <c r="V369" s="177"/>
      <c r="W369" s="177"/>
    </row>
    <row r="370" ht="15.75" customHeight="1" outlineLevel="1">
      <c r="A370" s="190"/>
      <c r="B370" s="204"/>
      <c r="C370" s="191"/>
      <c r="D370" s="205" t="str">
        <f>IFERROR(VLOOKUP($C370,'PORTIFÓLIO'!C:V,2,0),"")</f>
        <v/>
      </c>
      <c r="E370" s="190" t="str">
        <f>IFERROR(VLOOKUP($C370,'PORTIFÓLIO'!C:V,3,0),"")</f>
        <v/>
      </c>
      <c r="F370" s="190" t="str">
        <f>IFERROR(VLOOKUP($C370,'PORTIFÓLIO'!C:V,4,0),"")</f>
        <v/>
      </c>
      <c r="G370" s="206" t="str">
        <f>IFERROR(VLOOKUP($C370,'PORTIFÓLIO'!C:V,5,0),"")</f>
        <v/>
      </c>
      <c r="H370" s="247" t="str">
        <f t="array" ref="H370">IFERROR(INDEX('PORTIFÓLIO'!$H$4:$H$433,MATCH($C370,'PORTIFÓLIO'!$C$4:$C$433,0)),"")</f>
        <v/>
      </c>
      <c r="I370" s="257"/>
      <c r="J370" s="209">
        <f t="shared" si="41"/>
        <v>0</v>
      </c>
      <c r="K370" s="248" t="str">
        <f t="array" ref="K370">IFERROR(I370*INDEX('PORTIFÓLIO'!$S$4:$S$433,MATCH($C370,'PORTIFÓLIO'!$C$4:$C$433,0)),"")</f>
        <v/>
      </c>
      <c r="L370" s="248" t="str">
        <f t="array" ref="L370">IFERROR(J370*INDEX('PORTIFÓLIO'!$S$4:$S$433,MATCH($C370,'PORTIFÓLIO'!$C$4:$C$433,0)),"")</f>
        <v/>
      </c>
      <c r="M370" s="238"/>
      <c r="N370" s="177"/>
      <c r="O370" s="177"/>
      <c r="P370" s="177"/>
      <c r="Q370" s="177"/>
      <c r="R370" s="177"/>
      <c r="S370" s="177"/>
      <c r="T370" s="177"/>
      <c r="U370" s="177"/>
      <c r="V370" s="177"/>
      <c r="W370" s="177"/>
    </row>
    <row r="371" ht="15.75" customHeight="1" outlineLevel="1">
      <c r="A371" s="190"/>
      <c r="B371" s="204"/>
      <c r="C371" s="191"/>
      <c r="D371" s="205" t="str">
        <f>IFERROR(VLOOKUP($C371,'PORTIFÓLIO'!C:V,2,0),"")</f>
        <v/>
      </c>
      <c r="E371" s="190" t="str">
        <f>IFERROR(VLOOKUP($C371,'PORTIFÓLIO'!C:V,3,0),"")</f>
        <v/>
      </c>
      <c r="F371" s="190" t="str">
        <f>IFERROR(VLOOKUP($C371,'PORTIFÓLIO'!C:V,4,0),"")</f>
        <v/>
      </c>
      <c r="G371" s="206" t="str">
        <f>IFERROR(VLOOKUP($C371,'PORTIFÓLIO'!C:V,5,0),"")</f>
        <v/>
      </c>
      <c r="H371" s="247" t="str">
        <f t="array" ref="H371">IFERROR(INDEX('PORTIFÓLIO'!$H$4:$H$433,MATCH($C371,'PORTIFÓLIO'!$C$4:$C$433,0)),"")</f>
        <v/>
      </c>
      <c r="I371" s="257"/>
      <c r="J371" s="209">
        <f t="shared" si="41"/>
        <v>0</v>
      </c>
      <c r="K371" s="248" t="str">
        <f t="array" ref="K371">IFERROR(I371*INDEX('PORTIFÓLIO'!$S$4:$S$433,MATCH($C371,'PORTIFÓLIO'!$C$4:$C$433,0)),"")</f>
        <v/>
      </c>
      <c r="L371" s="248" t="str">
        <f t="array" ref="L371">IFERROR(J371*INDEX('PORTIFÓLIO'!$S$4:$S$433,MATCH($C371,'PORTIFÓLIO'!$C$4:$C$433,0)),"")</f>
        <v/>
      </c>
      <c r="M371" s="238"/>
      <c r="N371" s="177"/>
      <c r="O371" s="177"/>
      <c r="P371" s="177"/>
      <c r="Q371" s="177"/>
      <c r="R371" s="177"/>
      <c r="S371" s="177"/>
      <c r="T371" s="177"/>
      <c r="U371" s="177"/>
      <c r="V371" s="177"/>
      <c r="W371" s="177"/>
    </row>
    <row r="372" ht="15.75" customHeight="1" outlineLevel="1">
      <c r="A372" s="190"/>
      <c r="B372" s="204"/>
      <c r="C372" s="191"/>
      <c r="D372" s="205" t="str">
        <f>IFERROR(VLOOKUP($C372,'PORTIFÓLIO'!C:V,2,0),"")</f>
        <v/>
      </c>
      <c r="E372" s="190" t="str">
        <f>IFERROR(VLOOKUP($C372,'PORTIFÓLIO'!C:V,3,0),"")</f>
        <v/>
      </c>
      <c r="F372" s="190" t="str">
        <f>IFERROR(VLOOKUP($C372,'PORTIFÓLIO'!C:V,4,0),"")</f>
        <v/>
      </c>
      <c r="G372" s="206" t="str">
        <f>IFERROR(VLOOKUP($C372,'PORTIFÓLIO'!C:V,5,0),"")</f>
        <v/>
      </c>
      <c r="H372" s="247" t="str">
        <f t="array" ref="H372">IFERROR(INDEX('PORTIFÓLIO'!$H$4:$H$433,MATCH($C372,'PORTIFÓLIO'!$C$4:$C$433,0)),"")</f>
        <v/>
      </c>
      <c r="I372" s="257"/>
      <c r="J372" s="209">
        <f t="shared" si="41"/>
        <v>0</v>
      </c>
      <c r="K372" s="248" t="str">
        <f t="array" ref="K372">IFERROR(I372*INDEX('PORTIFÓLIO'!$S$4:$S$433,MATCH($C372,'PORTIFÓLIO'!$C$4:$C$433,0)),"")</f>
        <v/>
      </c>
      <c r="L372" s="248" t="str">
        <f t="array" ref="L372">IFERROR(J372*INDEX('PORTIFÓLIO'!$S$4:$S$433,MATCH($C372,'PORTIFÓLIO'!$C$4:$C$433,0)),"")</f>
        <v/>
      </c>
      <c r="M372" s="238"/>
      <c r="N372" s="177"/>
      <c r="O372" s="177"/>
      <c r="P372" s="177"/>
      <c r="Q372" s="177"/>
      <c r="R372" s="177"/>
      <c r="S372" s="177"/>
      <c r="T372" s="177"/>
      <c r="U372" s="177"/>
      <c r="V372" s="177"/>
      <c r="W372" s="177"/>
    </row>
    <row r="373" ht="15.75" customHeight="1" outlineLevel="1">
      <c r="A373" s="190"/>
      <c r="B373" s="204"/>
      <c r="C373" s="191"/>
      <c r="D373" s="205" t="str">
        <f>IFERROR(VLOOKUP($C373,'PORTIFÓLIO'!C:V,2,0),"")</f>
        <v/>
      </c>
      <c r="E373" s="190" t="str">
        <f>IFERROR(VLOOKUP($C373,'PORTIFÓLIO'!C:V,3,0),"")</f>
        <v/>
      </c>
      <c r="F373" s="190" t="str">
        <f>IFERROR(VLOOKUP($C373,'PORTIFÓLIO'!C:V,4,0),"")</f>
        <v/>
      </c>
      <c r="G373" s="206" t="str">
        <f>IFERROR(VLOOKUP($C373,'PORTIFÓLIO'!C:V,5,0),"")</f>
        <v/>
      </c>
      <c r="H373" s="247" t="str">
        <f t="array" ref="H373">IFERROR(INDEX('PORTIFÓLIO'!$H$4:$H$433,MATCH($C373,'PORTIFÓLIO'!$C$4:$C$433,0)),"")</f>
        <v/>
      </c>
      <c r="I373" s="257"/>
      <c r="J373" s="209">
        <f t="shared" si="41"/>
        <v>0</v>
      </c>
      <c r="K373" s="248" t="str">
        <f t="array" ref="K373">IFERROR(I373*INDEX('PORTIFÓLIO'!$S$4:$S$433,MATCH($C373,'PORTIFÓLIO'!$C$4:$C$433,0)),"")</f>
        <v/>
      </c>
      <c r="L373" s="248" t="str">
        <f t="array" ref="L373">IFERROR(J373*INDEX('PORTIFÓLIO'!$S$4:$S$433,MATCH($C373,'PORTIFÓLIO'!$C$4:$C$433,0)),"")</f>
        <v/>
      </c>
      <c r="M373" s="238"/>
      <c r="N373" s="177"/>
      <c r="O373" s="177"/>
      <c r="P373" s="177"/>
      <c r="Q373" s="177"/>
      <c r="R373" s="177"/>
      <c r="S373" s="177"/>
      <c r="T373" s="177"/>
      <c r="U373" s="177"/>
      <c r="V373" s="177"/>
      <c r="W373" s="177"/>
    </row>
    <row r="374" ht="15.75" customHeight="1" outlineLevel="1">
      <c r="A374" s="190"/>
      <c r="B374" s="238"/>
      <c r="C374" s="190"/>
      <c r="D374" s="205" t="str">
        <f>IFERROR(VLOOKUP($C374,'PORTIFÓLIO'!C:V,2,0),"")</f>
        <v/>
      </c>
      <c r="E374" s="190" t="str">
        <f>IFERROR(VLOOKUP($C374,'PORTIFÓLIO'!C:V,3,0),"")</f>
        <v/>
      </c>
      <c r="F374" s="190" t="str">
        <f>IFERROR(VLOOKUP($C374,'PORTIFÓLIO'!C:V,4,0),"")</f>
        <v/>
      </c>
      <c r="G374" s="206" t="str">
        <f>IFERROR(VLOOKUP($C374,'PORTIFÓLIO'!C:V,5,0),"")</f>
        <v/>
      </c>
      <c r="H374" s="247" t="str">
        <f t="array" ref="H374">IFERROR(INDEX('PORTIFÓLIO'!$H$4:$H$433,MATCH($C374,'PORTIFÓLIO'!$C$4:$C$433,0)),"")</f>
        <v/>
      </c>
      <c r="I374" s="257"/>
      <c r="J374" s="209"/>
      <c r="K374" s="248" t="str">
        <f t="array" ref="K374">IFERROR(I374*INDEX('PORTIFÓLIO'!$S$4:$S$433,MATCH($C374,'PORTIFÓLIO'!$C$4:$C$433,0)),"")</f>
        <v/>
      </c>
      <c r="L374" s="248" t="str">
        <f t="array" ref="L374">IFERROR(J374*INDEX('PORTIFÓLIO'!$S$4:$S$433,MATCH($C374,'PORTIFÓLIO'!$C$4:$C$433,0)),"")</f>
        <v/>
      </c>
      <c r="M374" s="238"/>
      <c r="N374" s="177"/>
      <c r="O374" s="177"/>
      <c r="P374" s="177"/>
      <c r="Q374" s="177"/>
      <c r="R374" s="177"/>
      <c r="S374" s="177"/>
      <c r="T374" s="177"/>
      <c r="U374" s="177"/>
      <c r="V374" s="177"/>
      <c r="W374" s="177"/>
    </row>
    <row r="375" ht="15.75" customHeight="1">
      <c r="A375" s="221" t="s">
        <v>1192</v>
      </c>
      <c r="B375" s="197"/>
      <c r="C375" s="196"/>
      <c r="D375" s="198"/>
      <c r="E375" s="196"/>
      <c r="F375" s="196"/>
      <c r="G375" s="199"/>
      <c r="H375" s="199"/>
      <c r="I375" s="252"/>
      <c r="J375" s="202"/>
      <c r="K375" s="203">
        <f t="shared" ref="K375:L375" si="42">SUBTOTAL(9,K376:K389)</f>
        <v>0</v>
      </c>
      <c r="L375" s="203">
        <f t="shared" si="42"/>
        <v>0</v>
      </c>
      <c r="M375" s="238"/>
      <c r="N375" s="177"/>
      <c r="O375" s="177"/>
      <c r="P375" s="177"/>
      <c r="Q375" s="177"/>
      <c r="R375" s="177"/>
      <c r="S375" s="177"/>
      <c r="T375" s="177"/>
      <c r="U375" s="177"/>
      <c r="V375" s="177"/>
      <c r="W375" s="177"/>
    </row>
    <row r="376" ht="15.75" customHeight="1" outlineLevel="1">
      <c r="A376" s="191"/>
      <c r="B376" s="204"/>
      <c r="C376" s="191"/>
      <c r="D376" s="205" t="str">
        <f>IFERROR(VLOOKUP($C376,'PORTIFÓLIO'!C:V,2,0),"")</f>
        <v/>
      </c>
      <c r="E376" s="190" t="str">
        <f>IFERROR(VLOOKUP($C376,'PORTIFÓLIO'!C:V,3,0),"")</f>
        <v/>
      </c>
      <c r="F376" s="190" t="str">
        <f>IFERROR(VLOOKUP($C376,'PORTIFÓLIO'!C:V,4,0),"")</f>
        <v/>
      </c>
      <c r="G376" s="206" t="str">
        <f>IFERROR(VLOOKUP($C376,'PORTIFÓLIO'!C:V,5,0),"")</f>
        <v/>
      </c>
      <c r="H376" s="247" t="str">
        <f t="array" ref="H376">IFERROR(INDEX('PORTIFÓLIO'!$H$4:$H$433,MATCH($C376,'PORTIFÓLIO'!$C$4:$C$433,0)),"")</f>
        <v/>
      </c>
      <c r="I376" s="253"/>
      <c r="J376" s="209">
        <f t="shared" ref="J376:J390" si="43">I376*$B$2</f>
        <v>0</v>
      </c>
      <c r="K376" s="248" t="str">
        <f t="array" ref="K376">IFERROR(I376*INDEX('PORTIFÓLIO'!$S$4:$S$433,MATCH($C376,'PORTIFÓLIO'!$C$4:$C$433,0)),"")</f>
        <v/>
      </c>
      <c r="L376" s="248" t="str">
        <f t="array" ref="L376">IFERROR(J376*INDEX('PORTIFÓLIO'!$S$4:$S$433,MATCH($C376,'PORTIFÓLIO'!$C$4:$C$433,0)),"")</f>
        <v/>
      </c>
      <c r="M376" s="238"/>
      <c r="N376" s="177"/>
      <c r="O376" s="177"/>
      <c r="P376" s="177"/>
      <c r="Q376" s="177"/>
      <c r="R376" s="177"/>
      <c r="S376" s="177"/>
      <c r="T376" s="177"/>
      <c r="U376" s="177"/>
      <c r="V376" s="177"/>
      <c r="W376" s="177"/>
    </row>
    <row r="377" ht="15.75" customHeight="1" outlineLevel="1">
      <c r="A377" s="190"/>
      <c r="B377" s="204"/>
      <c r="C377" s="191"/>
      <c r="D377" s="205" t="str">
        <f>IFERROR(VLOOKUP($C377,'PORTIFÓLIO'!C:V,2,0),"")</f>
        <v/>
      </c>
      <c r="E377" s="190" t="str">
        <f>IFERROR(VLOOKUP($C377,'PORTIFÓLIO'!C:V,3,0),"")</f>
        <v/>
      </c>
      <c r="F377" s="190" t="str">
        <f>IFERROR(VLOOKUP($C377,'PORTIFÓLIO'!C:V,4,0),"")</f>
        <v/>
      </c>
      <c r="G377" s="206" t="str">
        <f>IFERROR(VLOOKUP($C377,'PORTIFÓLIO'!C:V,5,0),"")</f>
        <v/>
      </c>
      <c r="H377" s="247" t="str">
        <f t="array" ref="H377">IFERROR(INDEX('PORTIFÓLIO'!$H$4:$H$433,MATCH($C377,'PORTIFÓLIO'!$C$4:$C$433,0)),"")</f>
        <v/>
      </c>
      <c r="I377" s="257"/>
      <c r="J377" s="209">
        <f t="shared" si="43"/>
        <v>0</v>
      </c>
      <c r="K377" s="248" t="str">
        <f t="array" ref="K377">IFERROR(I377*INDEX('PORTIFÓLIO'!$S$4:$S$433,MATCH($C377,'PORTIFÓLIO'!$C$4:$C$433,0)),"")</f>
        <v/>
      </c>
      <c r="L377" s="248" t="str">
        <f t="array" ref="L377">IFERROR(J377*INDEX('PORTIFÓLIO'!$S$4:$S$433,MATCH($C377,'PORTIFÓLIO'!$C$4:$C$433,0)),"")</f>
        <v/>
      </c>
      <c r="M377" s="238"/>
      <c r="N377" s="177"/>
      <c r="O377" s="177"/>
      <c r="P377" s="177"/>
      <c r="Q377" s="177"/>
      <c r="R377" s="177"/>
      <c r="S377" s="177"/>
      <c r="T377" s="177"/>
      <c r="U377" s="177"/>
      <c r="V377" s="177"/>
      <c r="W377" s="177"/>
    </row>
    <row r="378" ht="15.75" customHeight="1" outlineLevel="1">
      <c r="A378" s="190"/>
      <c r="B378" s="204"/>
      <c r="C378" s="191"/>
      <c r="D378" s="205" t="str">
        <f>IFERROR(VLOOKUP($C378,'PORTIFÓLIO'!C:V,2,0),"")</f>
        <v/>
      </c>
      <c r="E378" s="190" t="str">
        <f>IFERROR(VLOOKUP($C378,'PORTIFÓLIO'!C:V,3,0),"")</f>
        <v/>
      </c>
      <c r="F378" s="190" t="str">
        <f>IFERROR(VLOOKUP($C378,'PORTIFÓLIO'!C:V,4,0),"")</f>
        <v/>
      </c>
      <c r="G378" s="206" t="str">
        <f>IFERROR(VLOOKUP($C378,'PORTIFÓLIO'!C:V,5,0),"")</f>
        <v/>
      </c>
      <c r="H378" s="247" t="str">
        <f t="array" ref="H378">IFERROR(INDEX('PORTIFÓLIO'!$H$4:$H$433,MATCH($C378,'PORTIFÓLIO'!$C$4:$C$433,0)),"")</f>
        <v/>
      </c>
      <c r="I378" s="257"/>
      <c r="J378" s="209">
        <f t="shared" si="43"/>
        <v>0</v>
      </c>
      <c r="K378" s="248" t="str">
        <f t="array" ref="K378">IFERROR(I378*INDEX('PORTIFÓLIO'!$S$4:$S$433,MATCH($C378,'PORTIFÓLIO'!$C$4:$C$433,0)),"")</f>
        <v/>
      </c>
      <c r="L378" s="248" t="str">
        <f t="array" ref="L378">IFERROR(J378*INDEX('PORTIFÓLIO'!$S$4:$S$433,MATCH($C378,'PORTIFÓLIO'!$C$4:$C$433,0)),"")</f>
        <v/>
      </c>
      <c r="M378" s="238"/>
      <c r="N378" s="177"/>
      <c r="O378" s="177"/>
      <c r="P378" s="177"/>
      <c r="Q378" s="177"/>
      <c r="R378" s="177"/>
      <c r="S378" s="177"/>
      <c r="T378" s="177"/>
      <c r="U378" s="177"/>
      <c r="V378" s="177"/>
      <c r="W378" s="177"/>
    </row>
    <row r="379" ht="15.75" customHeight="1" outlineLevel="1">
      <c r="A379" s="190"/>
      <c r="B379" s="204"/>
      <c r="C379" s="191"/>
      <c r="D379" s="205" t="str">
        <f>IFERROR(VLOOKUP($C379,'PORTIFÓLIO'!C:V,2,0),"")</f>
        <v/>
      </c>
      <c r="E379" s="190" t="str">
        <f>IFERROR(VLOOKUP($C379,'PORTIFÓLIO'!C:V,3,0),"")</f>
        <v/>
      </c>
      <c r="F379" s="190" t="str">
        <f>IFERROR(VLOOKUP($C379,'PORTIFÓLIO'!C:V,4,0),"")</f>
        <v/>
      </c>
      <c r="G379" s="206" t="str">
        <f>IFERROR(VLOOKUP($C379,'PORTIFÓLIO'!C:V,5,0),"")</f>
        <v/>
      </c>
      <c r="H379" s="247" t="str">
        <f t="array" ref="H379">IFERROR(INDEX('PORTIFÓLIO'!$H$4:$H$433,MATCH($C379,'PORTIFÓLIO'!$C$4:$C$433,0)),"")</f>
        <v/>
      </c>
      <c r="I379" s="257"/>
      <c r="J379" s="209">
        <f t="shared" si="43"/>
        <v>0</v>
      </c>
      <c r="K379" s="248" t="str">
        <f t="array" ref="K379">IFERROR(I379*INDEX('PORTIFÓLIO'!$S$4:$S$433,MATCH($C379,'PORTIFÓLIO'!$C$4:$C$433,0)),"")</f>
        <v/>
      </c>
      <c r="L379" s="248" t="str">
        <f t="array" ref="L379">IFERROR(J379*INDEX('PORTIFÓLIO'!$S$4:$S$433,MATCH($C379,'PORTIFÓLIO'!$C$4:$C$433,0)),"")</f>
        <v/>
      </c>
      <c r="M379" s="238"/>
      <c r="N379" s="177"/>
      <c r="O379" s="177"/>
      <c r="P379" s="177"/>
      <c r="Q379" s="177"/>
      <c r="R379" s="177"/>
      <c r="S379" s="177"/>
      <c r="T379" s="177"/>
      <c r="U379" s="177"/>
      <c r="V379" s="177"/>
      <c r="W379" s="177"/>
    </row>
    <row r="380" ht="15.75" customHeight="1" outlineLevel="1">
      <c r="A380" s="190"/>
      <c r="B380" s="204"/>
      <c r="C380" s="191"/>
      <c r="D380" s="205" t="str">
        <f>IFERROR(VLOOKUP($C380,'PORTIFÓLIO'!C:V,2,0),"")</f>
        <v/>
      </c>
      <c r="E380" s="190" t="str">
        <f>IFERROR(VLOOKUP($C380,'PORTIFÓLIO'!C:V,3,0),"")</f>
        <v/>
      </c>
      <c r="F380" s="190" t="str">
        <f>IFERROR(VLOOKUP($C380,'PORTIFÓLIO'!C:V,4,0),"")</f>
        <v/>
      </c>
      <c r="G380" s="206" t="str">
        <f>IFERROR(VLOOKUP($C380,'PORTIFÓLIO'!C:V,5,0),"")</f>
        <v/>
      </c>
      <c r="H380" s="247" t="str">
        <f t="array" ref="H380">IFERROR(INDEX('PORTIFÓLIO'!$H$4:$H$433,MATCH($C380,'PORTIFÓLIO'!$C$4:$C$433,0)),"")</f>
        <v/>
      </c>
      <c r="I380" s="257"/>
      <c r="J380" s="209">
        <f t="shared" si="43"/>
        <v>0</v>
      </c>
      <c r="K380" s="248" t="str">
        <f t="array" ref="K380">IFERROR(I380*INDEX('PORTIFÓLIO'!$S$4:$S$433,MATCH($C380,'PORTIFÓLIO'!$C$4:$C$433,0)),"")</f>
        <v/>
      </c>
      <c r="L380" s="248" t="str">
        <f t="array" ref="L380">IFERROR(J380*INDEX('PORTIFÓLIO'!$S$4:$S$433,MATCH($C380,'PORTIFÓLIO'!$C$4:$C$433,0)),"")</f>
        <v/>
      </c>
      <c r="M380" s="238"/>
      <c r="N380" s="177"/>
      <c r="O380" s="177"/>
      <c r="P380" s="177"/>
      <c r="Q380" s="177"/>
      <c r="R380" s="177"/>
      <c r="S380" s="177"/>
      <c r="T380" s="177"/>
      <c r="U380" s="177"/>
      <c r="V380" s="177"/>
      <c r="W380" s="177"/>
    </row>
    <row r="381" ht="15.75" customHeight="1" outlineLevel="1">
      <c r="A381" s="190"/>
      <c r="B381" s="204"/>
      <c r="C381" s="191"/>
      <c r="D381" s="205" t="str">
        <f>IFERROR(VLOOKUP($C381,'PORTIFÓLIO'!C:V,2,0),"")</f>
        <v/>
      </c>
      <c r="E381" s="190" t="str">
        <f>IFERROR(VLOOKUP($C381,'PORTIFÓLIO'!C:V,3,0),"")</f>
        <v/>
      </c>
      <c r="F381" s="190" t="str">
        <f>IFERROR(VLOOKUP($C381,'PORTIFÓLIO'!C:V,4,0),"")</f>
        <v/>
      </c>
      <c r="G381" s="206" t="str">
        <f>IFERROR(VLOOKUP($C381,'PORTIFÓLIO'!C:V,5,0),"")</f>
        <v/>
      </c>
      <c r="H381" s="247" t="str">
        <f t="array" ref="H381">IFERROR(INDEX('PORTIFÓLIO'!$H$4:$H$433,MATCH($C381,'PORTIFÓLIO'!$C$4:$C$433,0)),"")</f>
        <v/>
      </c>
      <c r="I381" s="257"/>
      <c r="J381" s="209">
        <f t="shared" si="43"/>
        <v>0</v>
      </c>
      <c r="K381" s="248" t="str">
        <f t="array" ref="K381">IFERROR(I381*INDEX('PORTIFÓLIO'!$S$4:$S$433,MATCH($C381,'PORTIFÓLIO'!$C$4:$C$433,0)),"")</f>
        <v/>
      </c>
      <c r="L381" s="248" t="str">
        <f t="array" ref="L381">IFERROR(J381*INDEX('PORTIFÓLIO'!$S$4:$S$433,MATCH($C381,'PORTIFÓLIO'!$C$4:$C$433,0)),"")</f>
        <v/>
      </c>
      <c r="M381" s="238"/>
      <c r="N381" s="177"/>
      <c r="O381" s="177"/>
      <c r="P381" s="177"/>
      <c r="Q381" s="177"/>
      <c r="R381" s="177"/>
      <c r="S381" s="177"/>
      <c r="T381" s="177"/>
      <c r="U381" s="177"/>
      <c r="V381" s="177"/>
      <c r="W381" s="177"/>
    </row>
    <row r="382" ht="15.75" customHeight="1" outlineLevel="1">
      <c r="A382" s="190"/>
      <c r="B382" s="204"/>
      <c r="C382" s="191"/>
      <c r="D382" s="205" t="str">
        <f>IFERROR(VLOOKUP($C382,'PORTIFÓLIO'!C:V,2,0),"")</f>
        <v/>
      </c>
      <c r="E382" s="190" t="str">
        <f>IFERROR(VLOOKUP($C382,'PORTIFÓLIO'!C:V,3,0),"")</f>
        <v/>
      </c>
      <c r="F382" s="190" t="str">
        <f>IFERROR(VLOOKUP($C382,'PORTIFÓLIO'!C:V,4,0),"")</f>
        <v/>
      </c>
      <c r="G382" s="206" t="str">
        <f>IFERROR(VLOOKUP($C382,'PORTIFÓLIO'!C:V,5,0),"")</f>
        <v/>
      </c>
      <c r="H382" s="247" t="str">
        <f t="array" ref="H382">IFERROR(INDEX('PORTIFÓLIO'!$H$4:$H$433,MATCH($C382,'PORTIFÓLIO'!$C$4:$C$433,0)),"")</f>
        <v/>
      </c>
      <c r="I382" s="257"/>
      <c r="J382" s="209">
        <f t="shared" si="43"/>
        <v>0</v>
      </c>
      <c r="K382" s="248" t="str">
        <f t="array" ref="K382">IFERROR(I382*INDEX('PORTIFÓLIO'!$S$4:$S$433,MATCH($C382,'PORTIFÓLIO'!$C$4:$C$433,0)),"")</f>
        <v/>
      </c>
      <c r="L382" s="248" t="str">
        <f t="array" ref="L382">IFERROR(J382*INDEX('PORTIFÓLIO'!$S$4:$S$433,MATCH($C382,'PORTIFÓLIO'!$C$4:$C$433,0)),"")</f>
        <v/>
      </c>
      <c r="M382" s="238"/>
      <c r="N382" s="177"/>
      <c r="O382" s="177"/>
      <c r="P382" s="177"/>
      <c r="Q382" s="177"/>
      <c r="R382" s="177"/>
      <c r="S382" s="177"/>
      <c r="T382" s="177"/>
      <c r="U382" s="177"/>
      <c r="V382" s="177"/>
      <c r="W382" s="177"/>
    </row>
    <row r="383" ht="15.75" customHeight="1" outlineLevel="1">
      <c r="A383" s="190"/>
      <c r="B383" s="204"/>
      <c r="C383" s="191"/>
      <c r="D383" s="205" t="str">
        <f>IFERROR(VLOOKUP($C383,'PORTIFÓLIO'!C:V,2,0),"")</f>
        <v/>
      </c>
      <c r="E383" s="190" t="str">
        <f>IFERROR(VLOOKUP($C383,'PORTIFÓLIO'!C:V,3,0),"")</f>
        <v/>
      </c>
      <c r="F383" s="190" t="str">
        <f>IFERROR(VLOOKUP($C383,'PORTIFÓLIO'!C:V,4,0),"")</f>
        <v/>
      </c>
      <c r="G383" s="206" t="str">
        <f>IFERROR(VLOOKUP($C383,'PORTIFÓLIO'!C:V,5,0),"")</f>
        <v/>
      </c>
      <c r="H383" s="247" t="str">
        <f t="array" ref="H383">IFERROR(INDEX('PORTIFÓLIO'!$H$4:$H$433,MATCH($C383,'PORTIFÓLIO'!$C$4:$C$433,0)),"")</f>
        <v/>
      </c>
      <c r="I383" s="257"/>
      <c r="J383" s="209">
        <f t="shared" si="43"/>
        <v>0</v>
      </c>
      <c r="K383" s="248" t="str">
        <f t="array" ref="K383">IFERROR(I383*INDEX('PORTIFÓLIO'!$S$4:$S$433,MATCH($C383,'PORTIFÓLIO'!$C$4:$C$433,0)),"")</f>
        <v/>
      </c>
      <c r="L383" s="248" t="str">
        <f t="array" ref="L383">IFERROR(J383*INDEX('PORTIFÓLIO'!$S$4:$S$433,MATCH($C383,'PORTIFÓLIO'!$C$4:$C$433,0)),"")</f>
        <v/>
      </c>
      <c r="M383" s="238"/>
      <c r="N383" s="177"/>
      <c r="O383" s="177"/>
      <c r="P383" s="177"/>
      <c r="Q383" s="177"/>
      <c r="R383" s="177"/>
      <c r="S383" s="177"/>
      <c r="T383" s="177"/>
      <c r="U383" s="177"/>
      <c r="V383" s="177"/>
      <c r="W383" s="177"/>
    </row>
    <row r="384" ht="15.75" customHeight="1" outlineLevel="1">
      <c r="A384" s="190"/>
      <c r="B384" s="204"/>
      <c r="C384" s="191"/>
      <c r="D384" s="205" t="str">
        <f>IFERROR(VLOOKUP($C384,'PORTIFÓLIO'!C:V,2,0),"")</f>
        <v/>
      </c>
      <c r="E384" s="190" t="str">
        <f>IFERROR(VLOOKUP($C384,'PORTIFÓLIO'!C:V,3,0),"")</f>
        <v/>
      </c>
      <c r="F384" s="190" t="str">
        <f>IFERROR(VLOOKUP($C384,'PORTIFÓLIO'!C:V,4,0),"")</f>
        <v/>
      </c>
      <c r="G384" s="206" t="str">
        <f>IFERROR(VLOOKUP($C384,'PORTIFÓLIO'!C:V,5,0),"")</f>
        <v/>
      </c>
      <c r="H384" s="247" t="str">
        <f t="array" ref="H384">IFERROR(INDEX('PORTIFÓLIO'!$H$4:$H$433,MATCH($C384,'PORTIFÓLIO'!$C$4:$C$433,0)),"")</f>
        <v/>
      </c>
      <c r="I384" s="253"/>
      <c r="J384" s="209">
        <f t="shared" si="43"/>
        <v>0</v>
      </c>
      <c r="K384" s="248" t="str">
        <f t="array" ref="K384">IFERROR(I384*INDEX('PORTIFÓLIO'!$S$4:$S$433,MATCH($C384,'PORTIFÓLIO'!$C$4:$C$433,0)),"")</f>
        <v/>
      </c>
      <c r="L384" s="248" t="str">
        <f t="array" ref="L384">IFERROR(J384*INDEX('PORTIFÓLIO'!$S$4:$S$433,MATCH($C384,'PORTIFÓLIO'!$C$4:$C$433,0)),"")</f>
        <v/>
      </c>
      <c r="M384" s="238"/>
      <c r="N384" s="177"/>
      <c r="O384" s="177"/>
      <c r="P384" s="177"/>
      <c r="Q384" s="177"/>
      <c r="R384" s="177"/>
      <c r="S384" s="177"/>
      <c r="T384" s="177"/>
      <c r="U384" s="177"/>
      <c r="V384" s="177"/>
      <c r="W384" s="177"/>
    </row>
    <row r="385" ht="15.75" customHeight="1" outlineLevel="1">
      <c r="A385" s="190"/>
      <c r="B385" s="204"/>
      <c r="C385" s="191"/>
      <c r="D385" s="205" t="str">
        <f>IFERROR(VLOOKUP($C385,'PORTIFÓLIO'!C:V,2,0),"")</f>
        <v/>
      </c>
      <c r="E385" s="190" t="str">
        <f>IFERROR(VLOOKUP($C385,'PORTIFÓLIO'!C:V,3,0),"")</f>
        <v/>
      </c>
      <c r="F385" s="190" t="str">
        <f>IFERROR(VLOOKUP($C385,'PORTIFÓLIO'!C:V,4,0),"")</f>
        <v/>
      </c>
      <c r="G385" s="206" t="str">
        <f>IFERROR(VLOOKUP($C385,'PORTIFÓLIO'!C:V,5,0),"")</f>
        <v/>
      </c>
      <c r="H385" s="247" t="str">
        <f t="array" ref="H385">IFERROR(INDEX('PORTIFÓLIO'!$H$4:$H$433,MATCH($C385,'PORTIFÓLIO'!$C$4:$C$433,0)),"")</f>
        <v/>
      </c>
      <c r="I385" s="257"/>
      <c r="J385" s="209">
        <f t="shared" si="43"/>
        <v>0</v>
      </c>
      <c r="K385" s="248" t="str">
        <f t="array" ref="K385">IFERROR(I385*INDEX('PORTIFÓLIO'!$S$4:$S$433,MATCH($C385,'PORTIFÓLIO'!$C$4:$C$433,0)),"")</f>
        <v/>
      </c>
      <c r="L385" s="248" t="str">
        <f t="array" ref="L385">IFERROR(J385*INDEX('PORTIFÓLIO'!$S$4:$S$433,MATCH($C385,'PORTIFÓLIO'!$C$4:$C$433,0)),"")</f>
        <v/>
      </c>
      <c r="M385" s="238"/>
      <c r="N385" s="177"/>
      <c r="O385" s="177"/>
      <c r="P385" s="177"/>
      <c r="Q385" s="177"/>
      <c r="R385" s="177"/>
      <c r="S385" s="177"/>
      <c r="T385" s="177"/>
      <c r="U385" s="177"/>
      <c r="V385" s="177"/>
      <c r="W385" s="177"/>
    </row>
    <row r="386" ht="15.75" customHeight="1" outlineLevel="1">
      <c r="A386" s="190"/>
      <c r="B386" s="204"/>
      <c r="C386" s="191"/>
      <c r="D386" s="205" t="str">
        <f>IFERROR(VLOOKUP($C386,'PORTIFÓLIO'!C:V,2,0),"")</f>
        <v/>
      </c>
      <c r="E386" s="190" t="str">
        <f>IFERROR(VLOOKUP($C386,'PORTIFÓLIO'!C:V,3,0),"")</f>
        <v/>
      </c>
      <c r="F386" s="190" t="str">
        <f>IFERROR(VLOOKUP($C386,'PORTIFÓLIO'!C:V,4,0),"")</f>
        <v/>
      </c>
      <c r="G386" s="206" t="str">
        <f>IFERROR(VLOOKUP($C386,'PORTIFÓLIO'!C:V,5,0),"")</f>
        <v/>
      </c>
      <c r="H386" s="247" t="str">
        <f t="array" ref="H386">IFERROR(INDEX('PORTIFÓLIO'!$H$4:$H$433,MATCH($C386,'PORTIFÓLIO'!$C$4:$C$433,0)),"")</f>
        <v/>
      </c>
      <c r="I386" s="257"/>
      <c r="J386" s="209">
        <f t="shared" si="43"/>
        <v>0</v>
      </c>
      <c r="K386" s="248" t="str">
        <f t="array" ref="K386">IFERROR(I386*INDEX('PORTIFÓLIO'!$S$4:$S$433,MATCH($C386,'PORTIFÓLIO'!$C$4:$C$433,0)),"")</f>
        <v/>
      </c>
      <c r="L386" s="248" t="str">
        <f t="array" ref="L386">IFERROR(J386*INDEX('PORTIFÓLIO'!$S$4:$S$433,MATCH($C386,'PORTIFÓLIO'!$C$4:$C$433,0)),"")</f>
        <v/>
      </c>
      <c r="M386" s="238"/>
      <c r="N386" s="177"/>
      <c r="O386" s="177"/>
      <c r="P386" s="177"/>
      <c r="Q386" s="177"/>
      <c r="R386" s="177"/>
      <c r="S386" s="177"/>
      <c r="T386" s="177"/>
      <c r="U386" s="177"/>
      <c r="V386" s="177"/>
      <c r="W386" s="177"/>
    </row>
    <row r="387" ht="15.75" customHeight="1" outlineLevel="1">
      <c r="A387" s="190"/>
      <c r="B387" s="204"/>
      <c r="C387" s="191"/>
      <c r="D387" s="205" t="str">
        <f>IFERROR(VLOOKUP($C387,'PORTIFÓLIO'!C:V,2,0),"")</f>
        <v/>
      </c>
      <c r="E387" s="190" t="str">
        <f>IFERROR(VLOOKUP($C387,'PORTIFÓLIO'!C:V,3,0),"")</f>
        <v/>
      </c>
      <c r="F387" s="190" t="str">
        <f>IFERROR(VLOOKUP($C387,'PORTIFÓLIO'!C:V,4,0),"")</f>
        <v/>
      </c>
      <c r="G387" s="206" t="str">
        <f>IFERROR(VLOOKUP($C387,'PORTIFÓLIO'!C:V,5,0),"")</f>
        <v/>
      </c>
      <c r="H387" s="247" t="str">
        <f t="array" ref="H387">IFERROR(INDEX('PORTIFÓLIO'!$H$4:$H$433,MATCH($C387,'PORTIFÓLIO'!$C$4:$C$433,0)),"")</f>
        <v/>
      </c>
      <c r="I387" s="257"/>
      <c r="J387" s="209">
        <f t="shared" si="43"/>
        <v>0</v>
      </c>
      <c r="K387" s="248" t="str">
        <f t="array" ref="K387">IFERROR(I387*INDEX('PORTIFÓLIO'!$S$4:$S$433,MATCH($C387,'PORTIFÓLIO'!$C$4:$C$433,0)),"")</f>
        <v/>
      </c>
      <c r="L387" s="248" t="str">
        <f t="array" ref="L387">IFERROR(J387*INDEX('PORTIFÓLIO'!$S$4:$S$433,MATCH($C387,'PORTIFÓLIO'!$C$4:$C$433,0)),"")</f>
        <v/>
      </c>
      <c r="M387" s="238"/>
      <c r="N387" s="177"/>
      <c r="O387" s="177"/>
      <c r="P387" s="177"/>
      <c r="Q387" s="177"/>
      <c r="R387" s="177"/>
      <c r="S387" s="177"/>
      <c r="T387" s="177"/>
      <c r="U387" s="177"/>
      <c r="V387" s="177"/>
      <c r="W387" s="177"/>
    </row>
    <row r="388" ht="15.75" customHeight="1" outlineLevel="1">
      <c r="A388" s="190"/>
      <c r="B388" s="204"/>
      <c r="C388" s="191"/>
      <c r="D388" s="205" t="str">
        <f>IFERROR(VLOOKUP($C388,'PORTIFÓLIO'!C:V,2,0),"")</f>
        <v/>
      </c>
      <c r="E388" s="190" t="str">
        <f>IFERROR(VLOOKUP($C388,'PORTIFÓLIO'!C:V,3,0),"")</f>
        <v/>
      </c>
      <c r="F388" s="190" t="str">
        <f>IFERROR(VLOOKUP($C388,'PORTIFÓLIO'!C:V,4,0),"")</f>
        <v/>
      </c>
      <c r="G388" s="206" t="str">
        <f>IFERROR(VLOOKUP($C388,'PORTIFÓLIO'!C:V,5,0),"")</f>
        <v/>
      </c>
      <c r="H388" s="247" t="str">
        <f t="array" ref="H388">IFERROR(INDEX('PORTIFÓLIO'!$H$4:$H$433,MATCH($C388,'PORTIFÓLIO'!$C$4:$C$433,0)),"")</f>
        <v/>
      </c>
      <c r="I388" s="257"/>
      <c r="J388" s="209">
        <f t="shared" si="43"/>
        <v>0</v>
      </c>
      <c r="K388" s="248" t="str">
        <f t="array" ref="K388">IFERROR(I388*INDEX('PORTIFÓLIO'!$S$4:$S$433,MATCH($C388,'PORTIFÓLIO'!$C$4:$C$433,0)),"")</f>
        <v/>
      </c>
      <c r="L388" s="248" t="str">
        <f t="array" ref="L388">IFERROR(J388*INDEX('PORTIFÓLIO'!$S$4:$S$433,MATCH($C388,'PORTIFÓLIO'!$C$4:$C$433,0)),"")</f>
        <v/>
      </c>
      <c r="M388" s="238"/>
      <c r="N388" s="177"/>
      <c r="O388" s="177"/>
      <c r="P388" s="177"/>
      <c r="Q388" s="177"/>
      <c r="R388" s="177"/>
      <c r="S388" s="177"/>
      <c r="T388" s="177"/>
      <c r="U388" s="177"/>
      <c r="V388" s="177"/>
      <c r="W388" s="177"/>
    </row>
    <row r="389" ht="15.75" customHeight="1" outlineLevel="1">
      <c r="A389" s="190"/>
      <c r="B389" s="204"/>
      <c r="C389" s="191"/>
      <c r="D389" s="205" t="str">
        <f>IFERROR(VLOOKUP($C389,'PORTIFÓLIO'!C:V,2,0),"")</f>
        <v/>
      </c>
      <c r="E389" s="190" t="str">
        <f>IFERROR(VLOOKUP($C389,'PORTIFÓLIO'!C:V,3,0),"")</f>
        <v/>
      </c>
      <c r="F389" s="190" t="str">
        <f>IFERROR(VLOOKUP($C389,'PORTIFÓLIO'!C:V,4,0),"")</f>
        <v/>
      </c>
      <c r="G389" s="206" t="str">
        <f>IFERROR(VLOOKUP($C389,'PORTIFÓLIO'!C:V,5,0),"")</f>
        <v/>
      </c>
      <c r="H389" s="247" t="str">
        <f t="array" ref="H389">IFERROR(INDEX('PORTIFÓLIO'!$H$4:$H$433,MATCH($C389,'PORTIFÓLIO'!$C$4:$C$433,0)),"")</f>
        <v/>
      </c>
      <c r="I389" s="257"/>
      <c r="J389" s="209">
        <f t="shared" si="43"/>
        <v>0</v>
      </c>
      <c r="K389" s="248" t="str">
        <f t="array" ref="K389">IFERROR(I389*INDEX('PORTIFÓLIO'!$S$4:$S$433,MATCH($C389,'PORTIFÓLIO'!$C$4:$C$433,0)),"")</f>
        <v/>
      </c>
      <c r="L389" s="248" t="str">
        <f t="array" ref="L389">IFERROR(J389*INDEX('PORTIFÓLIO'!$S$4:$S$433,MATCH($C389,'PORTIFÓLIO'!$C$4:$C$433,0)),"")</f>
        <v/>
      </c>
      <c r="M389" s="238"/>
      <c r="N389" s="177"/>
      <c r="O389" s="177"/>
      <c r="P389" s="177"/>
      <c r="Q389" s="177"/>
      <c r="R389" s="177"/>
      <c r="S389" s="177"/>
      <c r="T389" s="177"/>
      <c r="U389" s="177"/>
      <c r="V389" s="177"/>
      <c r="W389" s="177"/>
    </row>
    <row r="390" ht="15.75" customHeight="1" outlineLevel="1">
      <c r="A390" s="190"/>
      <c r="B390" s="204"/>
      <c r="C390" s="191"/>
      <c r="D390" s="205" t="str">
        <f>IFERROR(VLOOKUP($C390,'PORTIFÓLIO'!C:V,2,0),"")</f>
        <v/>
      </c>
      <c r="E390" s="190" t="str">
        <f>IFERROR(VLOOKUP($C390,'PORTIFÓLIO'!C:V,3,0),"")</f>
        <v/>
      </c>
      <c r="F390" s="190" t="str">
        <f>IFERROR(VLOOKUP($C390,'PORTIFÓLIO'!C:V,4,0),"")</f>
        <v/>
      </c>
      <c r="G390" s="206" t="str">
        <f>IFERROR(VLOOKUP($C390,'PORTIFÓLIO'!C:V,5,0),"")</f>
        <v/>
      </c>
      <c r="H390" s="247" t="str">
        <f t="array" ref="H390">IFERROR(INDEX('PORTIFÓLIO'!$H$4:$H$433,MATCH($C390,'PORTIFÓLIO'!$C$4:$C$433,0)),"")</f>
        <v/>
      </c>
      <c r="I390" s="257"/>
      <c r="J390" s="209">
        <f t="shared" si="43"/>
        <v>0</v>
      </c>
      <c r="K390" s="248" t="str">
        <f t="array" ref="K390">IFERROR(I390*INDEX('PORTIFÓLIO'!$S$4:$S$433,MATCH($C390,'PORTIFÓLIO'!$C$4:$C$433,0)),"")</f>
        <v/>
      </c>
      <c r="L390" s="248" t="str">
        <f t="array" ref="L390">IFERROR(J390*INDEX('PORTIFÓLIO'!$S$4:$S$433,MATCH($C390,'PORTIFÓLIO'!$C$4:$C$433,0)),"")</f>
        <v/>
      </c>
      <c r="M390" s="238"/>
      <c r="N390" s="177"/>
      <c r="O390" s="177"/>
      <c r="P390" s="177"/>
      <c r="Q390" s="177"/>
      <c r="R390" s="177"/>
      <c r="S390" s="177"/>
      <c r="T390" s="177"/>
      <c r="U390" s="177"/>
      <c r="V390" s="177"/>
      <c r="W390" s="177"/>
    </row>
    <row r="391" ht="15.75" customHeight="1" outlineLevel="1">
      <c r="A391" s="190"/>
      <c r="B391" s="238"/>
      <c r="C391" s="190"/>
      <c r="D391" s="205" t="str">
        <f>IFERROR(VLOOKUP($C391,'PORTIFÓLIO'!C:V,2,0),"")</f>
        <v/>
      </c>
      <c r="E391" s="190" t="str">
        <f>IFERROR(VLOOKUP($C391,'PORTIFÓLIO'!C:V,3,0),"")</f>
        <v/>
      </c>
      <c r="F391" s="190" t="str">
        <f>IFERROR(VLOOKUP($C391,'PORTIFÓLIO'!C:V,4,0),"")</f>
        <v/>
      </c>
      <c r="G391" s="206" t="str">
        <f>IFERROR(VLOOKUP($C391,'PORTIFÓLIO'!C:V,5,0),"")</f>
        <v/>
      </c>
      <c r="H391" s="247" t="str">
        <f t="array" ref="H391">IFERROR(INDEX('PORTIFÓLIO'!$H$4:$H$433,MATCH($C391,'PORTIFÓLIO'!$C$4:$C$433,0)),"")</f>
        <v/>
      </c>
      <c r="I391" s="257"/>
      <c r="J391" s="209"/>
      <c r="K391" s="248" t="str">
        <f t="array" ref="K391">IFERROR(I391*INDEX('PORTIFÓLIO'!$S$4:$S$433,MATCH($C391,'PORTIFÓLIO'!$C$4:$C$433,0)),"")</f>
        <v/>
      </c>
      <c r="L391" s="248" t="str">
        <f t="array" ref="L391">IFERROR(J391*INDEX('PORTIFÓLIO'!$S$4:$S$433,MATCH($C391,'PORTIFÓLIO'!$C$4:$C$433,0)),"")</f>
        <v/>
      </c>
      <c r="M391" s="238"/>
      <c r="N391" s="177"/>
      <c r="O391" s="177"/>
      <c r="P391" s="177"/>
      <c r="Q391" s="177"/>
      <c r="R391" s="177"/>
      <c r="S391" s="177"/>
      <c r="T391" s="177"/>
      <c r="U391" s="177"/>
      <c r="V391" s="177"/>
      <c r="W391" s="177"/>
    </row>
    <row r="392" ht="15.75" customHeight="1">
      <c r="A392" s="221" t="s">
        <v>1193</v>
      </c>
      <c r="B392" s="197"/>
      <c r="C392" s="196"/>
      <c r="D392" s="198"/>
      <c r="E392" s="196"/>
      <c r="F392" s="196"/>
      <c r="G392" s="199"/>
      <c r="H392" s="199"/>
      <c r="I392" s="252"/>
      <c r="J392" s="202"/>
      <c r="K392" s="203">
        <f t="shared" ref="K392:L392" si="44">SUBTOTAL(9,K393:K406)</f>
        <v>0</v>
      </c>
      <c r="L392" s="203">
        <f t="shared" si="44"/>
        <v>0</v>
      </c>
      <c r="M392" s="238"/>
      <c r="N392" s="177"/>
      <c r="O392" s="177"/>
      <c r="P392" s="177"/>
      <c r="Q392" s="177"/>
      <c r="R392" s="177"/>
      <c r="S392" s="177"/>
      <c r="T392" s="177"/>
      <c r="U392" s="177"/>
      <c r="V392" s="177"/>
      <c r="W392" s="177"/>
    </row>
    <row r="393" ht="15.75" customHeight="1" outlineLevel="1">
      <c r="A393" s="191"/>
      <c r="B393" s="204"/>
      <c r="C393" s="191"/>
      <c r="D393" s="205" t="str">
        <f>IFERROR(VLOOKUP($C393,'PORTIFÓLIO'!C:V,2,0),"")</f>
        <v/>
      </c>
      <c r="E393" s="190" t="str">
        <f>IFERROR(VLOOKUP($C393,'PORTIFÓLIO'!C:V,3,0),"")</f>
        <v/>
      </c>
      <c r="F393" s="190" t="str">
        <f>IFERROR(VLOOKUP($C393,'PORTIFÓLIO'!C:V,4,0),"")</f>
        <v/>
      </c>
      <c r="G393" s="206" t="str">
        <f>IFERROR(VLOOKUP($C393,'PORTIFÓLIO'!C:V,5,0),"")</f>
        <v/>
      </c>
      <c r="H393" s="247" t="str">
        <f t="array" ref="H393">IFERROR(INDEX('PORTIFÓLIO'!$H$4:$H$433,MATCH($C393,'PORTIFÓLIO'!$C$4:$C$433,0)),"")</f>
        <v/>
      </c>
      <c r="I393" s="253"/>
      <c r="J393" s="209">
        <f t="shared" ref="J393:J408" si="45">I393*$B$2</f>
        <v>0</v>
      </c>
      <c r="K393" s="248" t="str">
        <f t="array" ref="K393">IFERROR(I393*INDEX('PORTIFÓLIO'!$S$4:$S$433,MATCH($C393,'PORTIFÓLIO'!$C$4:$C$433,0)),"")</f>
        <v/>
      </c>
      <c r="L393" s="248" t="str">
        <f t="array" ref="L393">IFERROR(J393*INDEX('PORTIFÓLIO'!$S$4:$S$433,MATCH($C393,'PORTIFÓLIO'!$C$4:$C$433,0)),"")</f>
        <v/>
      </c>
      <c r="M393" s="238"/>
      <c r="N393" s="177"/>
      <c r="O393" s="177"/>
      <c r="P393" s="177"/>
      <c r="Q393" s="177"/>
      <c r="R393" s="177"/>
      <c r="S393" s="177"/>
      <c r="T393" s="177"/>
      <c r="U393" s="177"/>
      <c r="V393" s="177"/>
      <c r="W393" s="177"/>
    </row>
    <row r="394" ht="15.75" customHeight="1" outlineLevel="1">
      <c r="A394" s="190"/>
      <c r="B394" s="204"/>
      <c r="C394" s="191"/>
      <c r="D394" s="205" t="str">
        <f>IFERROR(VLOOKUP($C394,'PORTIFÓLIO'!C:V,2,0),"")</f>
        <v/>
      </c>
      <c r="E394" s="190" t="str">
        <f>IFERROR(VLOOKUP($C394,'PORTIFÓLIO'!C:V,3,0),"")</f>
        <v/>
      </c>
      <c r="F394" s="190" t="str">
        <f>IFERROR(VLOOKUP($C394,'PORTIFÓLIO'!C:V,4,0),"")</f>
        <v/>
      </c>
      <c r="G394" s="206" t="str">
        <f>IFERROR(VLOOKUP($C394,'PORTIFÓLIO'!C:V,5,0),"")</f>
        <v/>
      </c>
      <c r="H394" s="247" t="str">
        <f t="array" ref="H394">IFERROR(INDEX('PORTIFÓLIO'!$H$4:$H$433,MATCH($C394,'PORTIFÓLIO'!$C$4:$C$433,0)),"")</f>
        <v/>
      </c>
      <c r="I394" s="257"/>
      <c r="J394" s="209">
        <f t="shared" si="45"/>
        <v>0</v>
      </c>
      <c r="K394" s="248" t="str">
        <f t="array" ref="K394">IFERROR(I394*INDEX('PORTIFÓLIO'!$S$4:$S$433,MATCH($C394,'PORTIFÓLIO'!$C$4:$C$433,0)),"")</f>
        <v/>
      </c>
      <c r="L394" s="248" t="str">
        <f t="array" ref="L394">IFERROR(J394*INDEX('PORTIFÓLIO'!$S$4:$S$433,MATCH($C394,'PORTIFÓLIO'!$C$4:$C$433,0)),"")</f>
        <v/>
      </c>
      <c r="M394" s="238"/>
      <c r="N394" s="177"/>
      <c r="O394" s="177"/>
      <c r="P394" s="177"/>
      <c r="Q394" s="177"/>
      <c r="R394" s="177"/>
      <c r="S394" s="177"/>
      <c r="T394" s="177"/>
      <c r="U394" s="177"/>
      <c r="V394" s="177"/>
      <c r="W394" s="177"/>
    </row>
    <row r="395" ht="15.75" customHeight="1" outlineLevel="1">
      <c r="A395" s="190"/>
      <c r="B395" s="204"/>
      <c r="C395" s="191"/>
      <c r="D395" s="205" t="str">
        <f>IFERROR(VLOOKUP($C395,'PORTIFÓLIO'!C:V,2,0),"")</f>
        <v/>
      </c>
      <c r="E395" s="190" t="str">
        <f>IFERROR(VLOOKUP($C395,'PORTIFÓLIO'!C:V,3,0),"")</f>
        <v/>
      </c>
      <c r="F395" s="190" t="str">
        <f>IFERROR(VLOOKUP($C395,'PORTIFÓLIO'!C:V,4,0),"")</f>
        <v/>
      </c>
      <c r="G395" s="206" t="str">
        <f>IFERROR(VLOOKUP($C395,'PORTIFÓLIO'!C:V,5,0),"")</f>
        <v/>
      </c>
      <c r="H395" s="247" t="str">
        <f t="array" ref="H395">IFERROR(INDEX('PORTIFÓLIO'!$H$4:$H$433,MATCH($C395,'PORTIFÓLIO'!$C$4:$C$433,0)),"")</f>
        <v/>
      </c>
      <c r="I395" s="257"/>
      <c r="J395" s="209">
        <f t="shared" si="45"/>
        <v>0</v>
      </c>
      <c r="K395" s="248" t="str">
        <f t="array" ref="K395">IFERROR(I395*INDEX('PORTIFÓLIO'!$S$4:$S$433,MATCH($C395,'PORTIFÓLIO'!$C$4:$C$433,0)),"")</f>
        <v/>
      </c>
      <c r="L395" s="248" t="str">
        <f t="array" ref="L395">IFERROR(J395*INDEX('PORTIFÓLIO'!$S$4:$S$433,MATCH($C395,'PORTIFÓLIO'!$C$4:$C$433,0)),"")</f>
        <v/>
      </c>
      <c r="M395" s="238"/>
      <c r="N395" s="177"/>
      <c r="O395" s="177"/>
      <c r="P395" s="177"/>
      <c r="Q395" s="177"/>
      <c r="R395" s="177"/>
      <c r="S395" s="177"/>
      <c r="T395" s="177"/>
      <c r="U395" s="177"/>
      <c r="V395" s="177"/>
      <c r="W395" s="177"/>
    </row>
    <row r="396" ht="15.75" customHeight="1" outlineLevel="1">
      <c r="A396" s="190"/>
      <c r="B396" s="204"/>
      <c r="C396" s="191"/>
      <c r="D396" s="205" t="str">
        <f>IFERROR(VLOOKUP($C396,'PORTIFÓLIO'!C:V,2,0),"")</f>
        <v/>
      </c>
      <c r="E396" s="190" t="str">
        <f>IFERROR(VLOOKUP($C396,'PORTIFÓLIO'!C:V,3,0),"")</f>
        <v/>
      </c>
      <c r="F396" s="190" t="str">
        <f>IFERROR(VLOOKUP($C396,'PORTIFÓLIO'!C:V,4,0),"")</f>
        <v/>
      </c>
      <c r="G396" s="206" t="str">
        <f>IFERROR(VLOOKUP($C396,'PORTIFÓLIO'!C:V,5,0),"")</f>
        <v/>
      </c>
      <c r="H396" s="247" t="str">
        <f t="array" ref="H396">IFERROR(INDEX('PORTIFÓLIO'!$H$4:$H$433,MATCH($C396,'PORTIFÓLIO'!$C$4:$C$433,0)),"")</f>
        <v/>
      </c>
      <c r="I396" s="257"/>
      <c r="J396" s="209">
        <f t="shared" si="45"/>
        <v>0</v>
      </c>
      <c r="K396" s="248" t="str">
        <f t="array" ref="K396">IFERROR(I396*INDEX('PORTIFÓLIO'!$S$4:$S$433,MATCH($C396,'PORTIFÓLIO'!$C$4:$C$433,0)),"")</f>
        <v/>
      </c>
      <c r="L396" s="248" t="str">
        <f t="array" ref="L396">IFERROR(J396*INDEX('PORTIFÓLIO'!$S$4:$S$433,MATCH($C396,'PORTIFÓLIO'!$C$4:$C$433,0)),"")</f>
        <v/>
      </c>
      <c r="M396" s="238"/>
      <c r="N396" s="177"/>
      <c r="O396" s="177"/>
      <c r="P396" s="177"/>
      <c r="Q396" s="177"/>
      <c r="R396" s="177"/>
      <c r="S396" s="177"/>
      <c r="T396" s="177"/>
      <c r="U396" s="177"/>
      <c r="V396" s="177"/>
      <c r="W396" s="177"/>
    </row>
    <row r="397" ht="15.75" customHeight="1" outlineLevel="1">
      <c r="A397" s="190"/>
      <c r="B397" s="204"/>
      <c r="C397" s="191"/>
      <c r="D397" s="205" t="str">
        <f>IFERROR(VLOOKUP($C397,'PORTIFÓLIO'!C:V,2,0),"")</f>
        <v/>
      </c>
      <c r="E397" s="190" t="str">
        <f>IFERROR(VLOOKUP($C397,'PORTIFÓLIO'!C:V,3,0),"")</f>
        <v/>
      </c>
      <c r="F397" s="190" t="str">
        <f>IFERROR(VLOOKUP($C397,'PORTIFÓLIO'!C:V,4,0),"")</f>
        <v/>
      </c>
      <c r="G397" s="206" t="str">
        <f>IFERROR(VLOOKUP($C397,'PORTIFÓLIO'!C:V,5,0),"")</f>
        <v/>
      </c>
      <c r="H397" s="247" t="str">
        <f t="array" ref="H397">IFERROR(INDEX('PORTIFÓLIO'!$H$4:$H$433,MATCH($C397,'PORTIFÓLIO'!$C$4:$C$433,0)),"")</f>
        <v/>
      </c>
      <c r="I397" s="257"/>
      <c r="J397" s="209">
        <f t="shared" si="45"/>
        <v>0</v>
      </c>
      <c r="K397" s="248" t="str">
        <f t="array" ref="K397">IFERROR(I397*INDEX('PORTIFÓLIO'!$S$4:$S$433,MATCH($C397,'PORTIFÓLIO'!$C$4:$C$433,0)),"")</f>
        <v/>
      </c>
      <c r="L397" s="248" t="str">
        <f t="array" ref="L397">IFERROR(J397*INDEX('PORTIFÓLIO'!$S$4:$S$433,MATCH($C397,'PORTIFÓLIO'!$C$4:$C$433,0)),"")</f>
        <v/>
      </c>
      <c r="M397" s="238"/>
      <c r="N397" s="177"/>
      <c r="O397" s="177"/>
      <c r="P397" s="177"/>
      <c r="Q397" s="177"/>
      <c r="R397" s="177"/>
      <c r="S397" s="177"/>
      <c r="T397" s="177"/>
      <c r="U397" s="177"/>
      <c r="V397" s="177"/>
      <c r="W397" s="177"/>
    </row>
    <row r="398" ht="15.75" customHeight="1" outlineLevel="1">
      <c r="A398" s="190"/>
      <c r="B398" s="204"/>
      <c r="C398" s="191"/>
      <c r="D398" s="205" t="str">
        <f>IFERROR(VLOOKUP($C398,'PORTIFÓLIO'!C:V,2,0),"")</f>
        <v/>
      </c>
      <c r="E398" s="190" t="str">
        <f>IFERROR(VLOOKUP($C398,'PORTIFÓLIO'!C:V,3,0),"")</f>
        <v/>
      </c>
      <c r="F398" s="190" t="str">
        <f>IFERROR(VLOOKUP($C398,'PORTIFÓLIO'!C:V,4,0),"")</f>
        <v/>
      </c>
      <c r="G398" s="206" t="str">
        <f>IFERROR(VLOOKUP($C398,'PORTIFÓLIO'!C:V,5,0),"")</f>
        <v/>
      </c>
      <c r="H398" s="247" t="str">
        <f t="array" ref="H398">IFERROR(INDEX('PORTIFÓLIO'!$H$4:$H$433,MATCH($C398,'PORTIFÓLIO'!$C$4:$C$433,0)),"")</f>
        <v/>
      </c>
      <c r="I398" s="257"/>
      <c r="J398" s="209">
        <f t="shared" si="45"/>
        <v>0</v>
      </c>
      <c r="K398" s="248" t="str">
        <f t="array" ref="K398">IFERROR(I398*INDEX('PORTIFÓLIO'!$S$4:$S$433,MATCH($C398,'PORTIFÓLIO'!$C$4:$C$433,0)),"")</f>
        <v/>
      </c>
      <c r="L398" s="248" t="str">
        <f t="array" ref="L398">IFERROR(J398*INDEX('PORTIFÓLIO'!$S$4:$S$433,MATCH($C398,'PORTIFÓLIO'!$C$4:$C$433,0)),"")</f>
        <v/>
      </c>
      <c r="M398" s="238"/>
      <c r="N398" s="177"/>
      <c r="O398" s="177"/>
      <c r="P398" s="177"/>
      <c r="Q398" s="177"/>
      <c r="R398" s="177"/>
      <c r="S398" s="177"/>
      <c r="T398" s="177"/>
      <c r="U398" s="177"/>
      <c r="V398" s="177"/>
      <c r="W398" s="177"/>
    </row>
    <row r="399" ht="15.75" customHeight="1" outlineLevel="1">
      <c r="A399" s="190"/>
      <c r="B399" s="204"/>
      <c r="C399" s="191"/>
      <c r="D399" s="205" t="str">
        <f>IFERROR(VLOOKUP($C399,'PORTIFÓLIO'!C:V,2,0),"")</f>
        <v/>
      </c>
      <c r="E399" s="190" t="str">
        <f>IFERROR(VLOOKUP($C399,'PORTIFÓLIO'!C:V,3,0),"")</f>
        <v/>
      </c>
      <c r="F399" s="190" t="str">
        <f>IFERROR(VLOOKUP($C399,'PORTIFÓLIO'!C:V,4,0),"")</f>
        <v/>
      </c>
      <c r="G399" s="206" t="str">
        <f>IFERROR(VLOOKUP($C399,'PORTIFÓLIO'!C:V,5,0),"")</f>
        <v/>
      </c>
      <c r="H399" s="247" t="str">
        <f t="array" ref="H399">IFERROR(INDEX('PORTIFÓLIO'!$H$4:$H$433,MATCH($C399,'PORTIFÓLIO'!$C$4:$C$433,0)),"")</f>
        <v/>
      </c>
      <c r="I399" s="257"/>
      <c r="J399" s="209">
        <f t="shared" si="45"/>
        <v>0</v>
      </c>
      <c r="K399" s="248" t="str">
        <f t="array" ref="K399">IFERROR(I399*INDEX('PORTIFÓLIO'!$S$4:$S$433,MATCH($C399,'PORTIFÓLIO'!$C$4:$C$433,0)),"")</f>
        <v/>
      </c>
      <c r="L399" s="248" t="str">
        <f t="array" ref="L399">IFERROR(J399*INDEX('PORTIFÓLIO'!$S$4:$S$433,MATCH($C399,'PORTIFÓLIO'!$C$4:$C$433,0)),"")</f>
        <v/>
      </c>
      <c r="M399" s="238"/>
      <c r="N399" s="177"/>
      <c r="O399" s="177"/>
      <c r="P399" s="177"/>
      <c r="Q399" s="177"/>
      <c r="R399" s="177"/>
      <c r="S399" s="177"/>
      <c r="T399" s="177"/>
      <c r="U399" s="177"/>
      <c r="V399" s="177"/>
      <c r="W399" s="177"/>
    </row>
    <row r="400" ht="15.75" customHeight="1" outlineLevel="1">
      <c r="A400" s="190"/>
      <c r="B400" s="204"/>
      <c r="C400" s="191"/>
      <c r="D400" s="205" t="str">
        <f>IFERROR(VLOOKUP($C400,'PORTIFÓLIO'!C:V,2,0),"")</f>
        <v/>
      </c>
      <c r="E400" s="190" t="str">
        <f>IFERROR(VLOOKUP($C400,'PORTIFÓLIO'!C:V,3,0),"")</f>
        <v/>
      </c>
      <c r="F400" s="190" t="str">
        <f>IFERROR(VLOOKUP($C400,'PORTIFÓLIO'!C:V,4,0),"")</f>
        <v/>
      </c>
      <c r="G400" s="206" t="str">
        <f>IFERROR(VLOOKUP($C400,'PORTIFÓLIO'!C:V,5,0),"")</f>
        <v/>
      </c>
      <c r="H400" s="247" t="str">
        <f t="array" ref="H400">IFERROR(INDEX('PORTIFÓLIO'!$H$4:$H$433,MATCH($C400,'PORTIFÓLIO'!$C$4:$C$433,0)),"")</f>
        <v/>
      </c>
      <c r="I400" s="257"/>
      <c r="J400" s="209">
        <f t="shared" si="45"/>
        <v>0</v>
      </c>
      <c r="K400" s="248" t="str">
        <f t="array" ref="K400">IFERROR(I400*INDEX('PORTIFÓLIO'!$S$4:$S$433,MATCH($C400,'PORTIFÓLIO'!$C$4:$C$433,0)),"")</f>
        <v/>
      </c>
      <c r="L400" s="248" t="str">
        <f t="array" ref="L400">IFERROR(J400*INDEX('PORTIFÓLIO'!$S$4:$S$433,MATCH($C400,'PORTIFÓLIO'!$C$4:$C$433,0)),"")</f>
        <v/>
      </c>
      <c r="M400" s="238"/>
      <c r="N400" s="177"/>
      <c r="O400" s="177"/>
      <c r="P400" s="177"/>
      <c r="Q400" s="177"/>
      <c r="R400" s="177"/>
      <c r="S400" s="177"/>
      <c r="T400" s="177"/>
      <c r="U400" s="177"/>
      <c r="V400" s="177"/>
      <c r="W400" s="177"/>
    </row>
    <row r="401" ht="15.75" customHeight="1" outlineLevel="1">
      <c r="A401" s="190"/>
      <c r="B401" s="204"/>
      <c r="C401" s="191"/>
      <c r="D401" s="205" t="str">
        <f>IFERROR(VLOOKUP($C401,'PORTIFÓLIO'!C:V,2,0),"")</f>
        <v/>
      </c>
      <c r="E401" s="190" t="str">
        <f>IFERROR(VLOOKUP($C401,'PORTIFÓLIO'!C:V,3,0),"")</f>
        <v/>
      </c>
      <c r="F401" s="190" t="str">
        <f>IFERROR(VLOOKUP($C401,'PORTIFÓLIO'!C:V,4,0),"")</f>
        <v/>
      </c>
      <c r="G401" s="206" t="str">
        <f>IFERROR(VLOOKUP($C401,'PORTIFÓLIO'!C:V,5,0),"")</f>
        <v/>
      </c>
      <c r="H401" s="247" t="str">
        <f t="array" ref="H401">IFERROR(INDEX('PORTIFÓLIO'!$H$4:$H$433,MATCH($C401,'PORTIFÓLIO'!$C$4:$C$433,0)),"")</f>
        <v/>
      </c>
      <c r="I401" s="253"/>
      <c r="J401" s="209">
        <f t="shared" si="45"/>
        <v>0</v>
      </c>
      <c r="K401" s="248" t="str">
        <f t="array" ref="K401">IFERROR(I401*INDEX('PORTIFÓLIO'!$S$4:$S$433,MATCH($C401,'PORTIFÓLIO'!$C$4:$C$433,0)),"")</f>
        <v/>
      </c>
      <c r="L401" s="248" t="str">
        <f t="array" ref="L401">IFERROR(J401*INDEX('PORTIFÓLIO'!$S$4:$S$433,MATCH($C401,'PORTIFÓLIO'!$C$4:$C$433,0)),"")</f>
        <v/>
      </c>
      <c r="M401" s="238"/>
      <c r="N401" s="177"/>
      <c r="O401" s="177"/>
      <c r="P401" s="177"/>
      <c r="Q401" s="177"/>
      <c r="R401" s="177"/>
      <c r="S401" s="177"/>
      <c r="T401" s="177"/>
      <c r="U401" s="177"/>
      <c r="V401" s="177"/>
      <c r="W401" s="177"/>
    </row>
    <row r="402" ht="15.75" customHeight="1" outlineLevel="1">
      <c r="A402" s="190"/>
      <c r="B402" s="204"/>
      <c r="C402" s="191"/>
      <c r="D402" s="205" t="str">
        <f>IFERROR(VLOOKUP($C402,'PORTIFÓLIO'!C:V,2,0),"")</f>
        <v/>
      </c>
      <c r="E402" s="190" t="str">
        <f>IFERROR(VLOOKUP($C402,'PORTIFÓLIO'!C:V,3,0),"")</f>
        <v/>
      </c>
      <c r="F402" s="190" t="str">
        <f>IFERROR(VLOOKUP($C402,'PORTIFÓLIO'!C:V,4,0),"")</f>
        <v/>
      </c>
      <c r="G402" s="206" t="str">
        <f>IFERROR(VLOOKUP($C402,'PORTIFÓLIO'!C:V,5,0),"")</f>
        <v/>
      </c>
      <c r="H402" s="247" t="str">
        <f t="array" ref="H402">IFERROR(INDEX('PORTIFÓLIO'!$H$4:$H$433,MATCH($C402,'PORTIFÓLIO'!$C$4:$C$433,0)),"")</f>
        <v/>
      </c>
      <c r="I402" s="257"/>
      <c r="J402" s="209">
        <f t="shared" si="45"/>
        <v>0</v>
      </c>
      <c r="K402" s="248" t="str">
        <f t="array" ref="K402">IFERROR(I402*INDEX('PORTIFÓLIO'!$S$4:$S$433,MATCH($C402,'PORTIFÓLIO'!$C$4:$C$433,0)),"")</f>
        <v/>
      </c>
      <c r="L402" s="248" t="str">
        <f t="array" ref="L402">IFERROR(J402*INDEX('PORTIFÓLIO'!$S$4:$S$433,MATCH($C402,'PORTIFÓLIO'!$C$4:$C$433,0)),"")</f>
        <v/>
      </c>
      <c r="M402" s="238"/>
      <c r="N402" s="177"/>
      <c r="O402" s="177"/>
      <c r="P402" s="177"/>
      <c r="Q402" s="177"/>
      <c r="R402" s="177"/>
      <c r="S402" s="177"/>
      <c r="T402" s="177"/>
      <c r="U402" s="177"/>
      <c r="V402" s="177"/>
      <c r="W402" s="177"/>
    </row>
    <row r="403" ht="15.75" customHeight="1" outlineLevel="1">
      <c r="A403" s="190"/>
      <c r="B403" s="204"/>
      <c r="C403" s="191"/>
      <c r="D403" s="205" t="str">
        <f>IFERROR(VLOOKUP($C403,'PORTIFÓLIO'!C:V,2,0),"")</f>
        <v/>
      </c>
      <c r="E403" s="190" t="str">
        <f>IFERROR(VLOOKUP($C403,'PORTIFÓLIO'!C:V,3,0),"")</f>
        <v/>
      </c>
      <c r="F403" s="190" t="str">
        <f>IFERROR(VLOOKUP($C403,'PORTIFÓLIO'!C:V,4,0),"")</f>
        <v/>
      </c>
      <c r="G403" s="206" t="str">
        <f>IFERROR(VLOOKUP($C403,'PORTIFÓLIO'!C:V,5,0),"")</f>
        <v/>
      </c>
      <c r="H403" s="247" t="str">
        <f t="array" ref="H403">IFERROR(INDEX('PORTIFÓLIO'!$H$4:$H$433,MATCH($C403,'PORTIFÓLIO'!$C$4:$C$433,0)),"")</f>
        <v/>
      </c>
      <c r="I403" s="257"/>
      <c r="J403" s="209">
        <f t="shared" si="45"/>
        <v>0</v>
      </c>
      <c r="K403" s="248" t="str">
        <f t="array" ref="K403">IFERROR(I403*INDEX('PORTIFÓLIO'!$S$4:$S$433,MATCH($C403,'PORTIFÓLIO'!$C$4:$C$433,0)),"")</f>
        <v/>
      </c>
      <c r="L403" s="248" t="str">
        <f t="array" ref="L403">IFERROR(J403*INDEX('PORTIFÓLIO'!$S$4:$S$433,MATCH($C403,'PORTIFÓLIO'!$C$4:$C$433,0)),"")</f>
        <v/>
      </c>
      <c r="M403" s="238"/>
      <c r="N403" s="177"/>
      <c r="O403" s="177"/>
      <c r="P403" s="177"/>
      <c r="Q403" s="177"/>
      <c r="R403" s="177"/>
      <c r="S403" s="177"/>
      <c r="T403" s="177"/>
      <c r="U403" s="177"/>
      <c r="V403" s="177"/>
      <c r="W403" s="177"/>
    </row>
    <row r="404" ht="15.75" customHeight="1" outlineLevel="1">
      <c r="A404" s="190"/>
      <c r="B404" s="204"/>
      <c r="C404" s="191"/>
      <c r="D404" s="205" t="str">
        <f>IFERROR(VLOOKUP($C404,'PORTIFÓLIO'!C:V,2,0),"")</f>
        <v/>
      </c>
      <c r="E404" s="190" t="str">
        <f>IFERROR(VLOOKUP($C404,'PORTIFÓLIO'!C:V,3,0),"")</f>
        <v/>
      </c>
      <c r="F404" s="190" t="str">
        <f>IFERROR(VLOOKUP($C404,'PORTIFÓLIO'!C:V,4,0),"")</f>
        <v/>
      </c>
      <c r="G404" s="206" t="str">
        <f>IFERROR(VLOOKUP($C404,'PORTIFÓLIO'!C:V,5,0),"")</f>
        <v/>
      </c>
      <c r="H404" s="247" t="str">
        <f t="array" ref="H404">IFERROR(INDEX('PORTIFÓLIO'!$H$4:$H$433,MATCH($C404,'PORTIFÓLIO'!$C$4:$C$433,0)),"")</f>
        <v/>
      </c>
      <c r="I404" s="257"/>
      <c r="J404" s="209">
        <f t="shared" si="45"/>
        <v>0</v>
      </c>
      <c r="K404" s="248" t="str">
        <f t="array" ref="K404">IFERROR(I404*INDEX('PORTIFÓLIO'!$S$4:$S$433,MATCH($C404,'PORTIFÓLIO'!$C$4:$C$433,0)),"")</f>
        <v/>
      </c>
      <c r="L404" s="248" t="str">
        <f t="array" ref="L404">IFERROR(J404*INDEX('PORTIFÓLIO'!$S$4:$S$433,MATCH($C404,'PORTIFÓLIO'!$C$4:$C$433,0)),"")</f>
        <v/>
      </c>
      <c r="M404" s="238"/>
      <c r="N404" s="177"/>
      <c r="O404" s="177"/>
      <c r="P404" s="177"/>
      <c r="Q404" s="177"/>
      <c r="R404" s="177"/>
      <c r="S404" s="177"/>
      <c r="T404" s="177"/>
      <c r="U404" s="177"/>
      <c r="V404" s="177"/>
      <c r="W404" s="177"/>
    </row>
    <row r="405" ht="15.75" customHeight="1" outlineLevel="1">
      <c r="A405" s="190"/>
      <c r="B405" s="204"/>
      <c r="C405" s="191"/>
      <c r="D405" s="205" t="str">
        <f>IFERROR(VLOOKUP($C405,'PORTIFÓLIO'!C:V,2,0),"")</f>
        <v/>
      </c>
      <c r="E405" s="190" t="str">
        <f>IFERROR(VLOOKUP($C405,'PORTIFÓLIO'!C:V,3,0),"")</f>
        <v/>
      </c>
      <c r="F405" s="190" t="str">
        <f>IFERROR(VLOOKUP($C405,'PORTIFÓLIO'!C:V,4,0),"")</f>
        <v/>
      </c>
      <c r="G405" s="206" t="str">
        <f>IFERROR(VLOOKUP($C405,'PORTIFÓLIO'!C:V,5,0),"")</f>
        <v/>
      </c>
      <c r="H405" s="247" t="str">
        <f t="array" ref="H405">IFERROR(INDEX('PORTIFÓLIO'!$H$4:$H$433,MATCH($C405,'PORTIFÓLIO'!$C$4:$C$433,0)),"")</f>
        <v/>
      </c>
      <c r="I405" s="257"/>
      <c r="J405" s="209">
        <f t="shared" si="45"/>
        <v>0</v>
      </c>
      <c r="K405" s="248" t="str">
        <f t="array" ref="K405">IFERROR(I405*INDEX('PORTIFÓLIO'!$S$4:$S$433,MATCH($C405,'PORTIFÓLIO'!$C$4:$C$433,0)),"")</f>
        <v/>
      </c>
      <c r="L405" s="248" t="str">
        <f t="array" ref="L405">IFERROR(J405*INDEX('PORTIFÓLIO'!$S$4:$S$433,MATCH($C405,'PORTIFÓLIO'!$C$4:$C$433,0)),"")</f>
        <v/>
      </c>
      <c r="M405" s="238"/>
      <c r="N405" s="177"/>
      <c r="O405" s="177"/>
      <c r="P405" s="177"/>
      <c r="Q405" s="177"/>
      <c r="R405" s="177"/>
      <c r="S405" s="177"/>
      <c r="T405" s="177"/>
      <c r="U405" s="177"/>
      <c r="V405" s="177"/>
      <c r="W405" s="177"/>
    </row>
    <row r="406" ht="15.75" customHeight="1" outlineLevel="1">
      <c r="A406" s="190"/>
      <c r="B406" s="204"/>
      <c r="C406" s="191"/>
      <c r="D406" s="205" t="str">
        <f>IFERROR(VLOOKUP($C406,'PORTIFÓLIO'!C:V,2,0),"")</f>
        <v/>
      </c>
      <c r="E406" s="190" t="str">
        <f>IFERROR(VLOOKUP($C406,'PORTIFÓLIO'!C:V,3,0),"")</f>
        <v/>
      </c>
      <c r="F406" s="190" t="str">
        <f>IFERROR(VLOOKUP($C406,'PORTIFÓLIO'!C:V,4,0),"")</f>
        <v/>
      </c>
      <c r="G406" s="206" t="str">
        <f>IFERROR(VLOOKUP($C406,'PORTIFÓLIO'!C:V,5,0),"")</f>
        <v/>
      </c>
      <c r="H406" s="247" t="str">
        <f t="array" ref="H406">IFERROR(INDEX('PORTIFÓLIO'!$H$4:$H$433,MATCH($C406,'PORTIFÓLIO'!$C$4:$C$433,0)),"")</f>
        <v/>
      </c>
      <c r="I406" s="257"/>
      <c r="J406" s="209">
        <f t="shared" si="45"/>
        <v>0</v>
      </c>
      <c r="K406" s="248" t="str">
        <f t="array" ref="K406">IFERROR(I406*INDEX('PORTIFÓLIO'!$S$4:$S$433,MATCH($C406,'PORTIFÓLIO'!$C$4:$C$433,0)),"")</f>
        <v/>
      </c>
      <c r="L406" s="248" t="str">
        <f t="array" ref="L406">IFERROR(J406*INDEX('PORTIFÓLIO'!$S$4:$S$433,MATCH($C406,'PORTIFÓLIO'!$C$4:$C$433,0)),"")</f>
        <v/>
      </c>
      <c r="M406" s="238"/>
      <c r="N406" s="177"/>
      <c r="O406" s="177"/>
      <c r="P406" s="177"/>
      <c r="Q406" s="177"/>
      <c r="R406" s="177"/>
      <c r="S406" s="177"/>
      <c r="T406" s="177"/>
      <c r="U406" s="177"/>
      <c r="V406" s="177"/>
      <c r="W406" s="177"/>
    </row>
    <row r="407" ht="15.75" customHeight="1" outlineLevel="1">
      <c r="A407" s="190"/>
      <c r="B407" s="204"/>
      <c r="C407" s="191"/>
      <c r="D407" s="205" t="str">
        <f>IFERROR(VLOOKUP($C407,'PORTIFÓLIO'!C:V,2,0),"")</f>
        <v/>
      </c>
      <c r="E407" s="190" t="str">
        <f>IFERROR(VLOOKUP($C407,'PORTIFÓLIO'!C:V,3,0),"")</f>
        <v/>
      </c>
      <c r="F407" s="190" t="str">
        <f>IFERROR(VLOOKUP($C407,'PORTIFÓLIO'!C:V,4,0),"")</f>
        <v/>
      </c>
      <c r="G407" s="206" t="str">
        <f>IFERROR(VLOOKUP($C407,'PORTIFÓLIO'!C:V,5,0),"")</f>
        <v/>
      </c>
      <c r="H407" s="247" t="str">
        <f t="array" ref="H407">IFERROR(INDEX('PORTIFÓLIO'!$H$4:$H$433,MATCH($C407,'PORTIFÓLIO'!$C$4:$C$433,0)),"")</f>
        <v/>
      </c>
      <c r="I407" s="257"/>
      <c r="J407" s="209">
        <f t="shared" si="45"/>
        <v>0</v>
      </c>
      <c r="K407" s="248" t="str">
        <f t="array" ref="K407">IFERROR(I407*INDEX('PORTIFÓLIO'!$S$4:$S$433,MATCH($C407,'PORTIFÓLIO'!$C$4:$C$433,0)),"")</f>
        <v/>
      </c>
      <c r="L407" s="248" t="str">
        <f t="array" ref="L407">IFERROR(J407*INDEX('PORTIFÓLIO'!$S$4:$S$433,MATCH($C407,'PORTIFÓLIO'!$C$4:$C$433,0)),"")</f>
        <v/>
      </c>
      <c r="M407" s="238"/>
      <c r="N407" s="177"/>
      <c r="O407" s="177"/>
      <c r="P407" s="177"/>
      <c r="Q407" s="177"/>
      <c r="R407" s="177"/>
      <c r="S407" s="177"/>
      <c r="T407" s="177"/>
      <c r="U407" s="177"/>
      <c r="V407" s="177"/>
      <c r="W407" s="177"/>
    </row>
    <row r="408" ht="15.75" customHeight="1" outlineLevel="1">
      <c r="A408" s="190"/>
      <c r="B408" s="238"/>
      <c r="C408" s="190"/>
      <c r="D408" s="205" t="str">
        <f>IFERROR(VLOOKUP($C408,'PORTIFÓLIO'!C:V,2,0),"")</f>
        <v/>
      </c>
      <c r="E408" s="190" t="str">
        <f>IFERROR(VLOOKUP($C408,'PORTIFÓLIO'!C:V,3,0),"")</f>
        <v/>
      </c>
      <c r="F408" s="190" t="str">
        <f>IFERROR(VLOOKUP($C408,'PORTIFÓLIO'!C:V,4,0),"")</f>
        <v/>
      </c>
      <c r="G408" s="206" t="str">
        <f>IFERROR(VLOOKUP($C408,'PORTIFÓLIO'!C:V,5,0),"")</f>
        <v/>
      </c>
      <c r="H408" s="247" t="str">
        <f t="array" ref="H408">IFERROR(INDEX('PORTIFÓLIO'!$H$4:$H$433,MATCH($C408,'PORTIFÓLIO'!$C$4:$C$433,0)),"")</f>
        <v/>
      </c>
      <c r="I408" s="257"/>
      <c r="J408" s="209">
        <f t="shared" si="45"/>
        <v>0</v>
      </c>
      <c r="K408" s="248" t="str">
        <f t="array" ref="K408">IFERROR(I408*INDEX('PORTIFÓLIO'!$S$4:$S$433,MATCH($C408,'PORTIFÓLIO'!$C$4:$C$433,0)),"")</f>
        <v/>
      </c>
      <c r="L408" s="248" t="str">
        <f t="array" ref="L408">IFERROR(J408*INDEX('PORTIFÓLIO'!$S$4:$S$433,MATCH($C408,'PORTIFÓLIO'!$C$4:$C$433,0)),"")</f>
        <v/>
      </c>
      <c r="M408" s="238"/>
      <c r="N408" s="177"/>
      <c r="O408" s="177"/>
      <c r="P408" s="177"/>
      <c r="Q408" s="177"/>
      <c r="R408" s="177"/>
      <c r="S408" s="177"/>
      <c r="T408" s="177"/>
      <c r="U408" s="177"/>
      <c r="V408" s="177"/>
      <c r="W408" s="177"/>
    </row>
    <row r="409" ht="15.75" customHeight="1">
      <c r="A409" s="221" t="s">
        <v>1194</v>
      </c>
      <c r="B409" s="197"/>
      <c r="C409" s="196"/>
      <c r="D409" s="198"/>
      <c r="E409" s="196"/>
      <c r="F409" s="196"/>
      <c r="G409" s="199"/>
      <c r="H409" s="199"/>
      <c r="I409" s="252"/>
      <c r="J409" s="202"/>
      <c r="K409" s="203">
        <f t="shared" ref="K409:L409" si="46">SUBTOTAL(9,K410:K423)</f>
        <v>0</v>
      </c>
      <c r="L409" s="203">
        <f t="shared" si="46"/>
        <v>0</v>
      </c>
      <c r="M409" s="238"/>
      <c r="N409" s="177"/>
      <c r="O409" s="177"/>
      <c r="P409" s="177"/>
      <c r="Q409" s="177"/>
      <c r="R409" s="177"/>
      <c r="S409" s="177"/>
      <c r="T409" s="177"/>
      <c r="U409" s="177"/>
      <c r="V409" s="177"/>
      <c r="W409" s="177"/>
    </row>
    <row r="410" ht="15.75" customHeight="1" outlineLevel="1">
      <c r="A410" s="191"/>
      <c r="B410" s="204"/>
      <c r="C410" s="191"/>
      <c r="D410" s="205" t="str">
        <f>IFERROR(VLOOKUP($C410,'PORTIFÓLIO'!C:V,2,0),"")</f>
        <v/>
      </c>
      <c r="E410" s="190" t="str">
        <f>IFERROR(VLOOKUP($C410,'PORTIFÓLIO'!C:V,3,0),"")</f>
        <v/>
      </c>
      <c r="F410" s="190" t="str">
        <f>IFERROR(VLOOKUP($C410,'PORTIFÓLIO'!C:V,4,0),"")</f>
        <v/>
      </c>
      <c r="G410" s="206" t="str">
        <f>IFERROR(VLOOKUP($C410,'PORTIFÓLIO'!C:V,5,0),"")</f>
        <v/>
      </c>
      <c r="H410" s="247" t="str">
        <f t="array" ref="H410">IFERROR(INDEX('PORTIFÓLIO'!$H$4:$H$433,MATCH($C410,'PORTIFÓLIO'!$C$4:$C$433,0)),"")</f>
        <v/>
      </c>
      <c r="I410" s="253"/>
      <c r="J410" s="209">
        <f t="shared" ref="J410:J426" si="47">I410*$B$2</f>
        <v>0</v>
      </c>
      <c r="K410" s="248" t="str">
        <f t="array" ref="K410">IFERROR(I410*INDEX('PORTIFÓLIO'!$S$4:$S$433,MATCH($C410,'PORTIFÓLIO'!$C$4:$C$433,0)),"")</f>
        <v/>
      </c>
      <c r="L410" s="248" t="str">
        <f t="array" ref="L410">IFERROR(J410*INDEX('PORTIFÓLIO'!$S$4:$S$433,MATCH($C410,'PORTIFÓLIO'!$C$4:$C$433,0)),"")</f>
        <v/>
      </c>
      <c r="M410" s="238"/>
      <c r="N410" s="177"/>
      <c r="O410" s="177"/>
      <c r="P410" s="177"/>
      <c r="Q410" s="177"/>
      <c r="R410" s="177"/>
      <c r="S410" s="177"/>
      <c r="T410" s="177"/>
      <c r="U410" s="177"/>
      <c r="V410" s="177"/>
      <c r="W410" s="177"/>
    </row>
    <row r="411" ht="15.75" customHeight="1" outlineLevel="1">
      <c r="A411" s="190"/>
      <c r="B411" s="204"/>
      <c r="C411" s="191"/>
      <c r="D411" s="205" t="str">
        <f>IFERROR(VLOOKUP($C411,'PORTIFÓLIO'!C:V,2,0),"")</f>
        <v/>
      </c>
      <c r="E411" s="190" t="str">
        <f>IFERROR(VLOOKUP($C411,'PORTIFÓLIO'!C:V,3,0),"")</f>
        <v/>
      </c>
      <c r="F411" s="190" t="str">
        <f>IFERROR(VLOOKUP($C411,'PORTIFÓLIO'!C:V,4,0),"")</f>
        <v/>
      </c>
      <c r="G411" s="206" t="str">
        <f>IFERROR(VLOOKUP($C411,'PORTIFÓLIO'!C:V,5,0),"")</f>
        <v/>
      </c>
      <c r="H411" s="247" t="str">
        <f t="array" ref="H411">IFERROR(INDEX('PORTIFÓLIO'!$H$4:$H$433,MATCH($C411,'PORTIFÓLIO'!$C$4:$C$433,0)),"")</f>
        <v/>
      </c>
      <c r="I411" s="257"/>
      <c r="J411" s="209">
        <f t="shared" si="47"/>
        <v>0</v>
      </c>
      <c r="K411" s="248" t="str">
        <f t="array" ref="K411">IFERROR(I411*INDEX('PORTIFÓLIO'!$S$4:$S$433,MATCH($C411,'PORTIFÓLIO'!$C$4:$C$433,0)),"")</f>
        <v/>
      </c>
      <c r="L411" s="248" t="str">
        <f t="array" ref="L411">IFERROR(J411*INDEX('PORTIFÓLIO'!$S$4:$S$433,MATCH($C411,'PORTIFÓLIO'!$C$4:$C$433,0)),"")</f>
        <v/>
      </c>
      <c r="M411" s="238"/>
      <c r="N411" s="177"/>
      <c r="O411" s="177"/>
      <c r="P411" s="177"/>
      <c r="Q411" s="177"/>
      <c r="R411" s="177"/>
      <c r="S411" s="177"/>
      <c r="T411" s="177"/>
      <c r="U411" s="177"/>
      <c r="V411" s="177"/>
      <c r="W411" s="177"/>
    </row>
    <row r="412" ht="15.75" customHeight="1" outlineLevel="1">
      <c r="A412" s="190"/>
      <c r="B412" s="204"/>
      <c r="C412" s="191"/>
      <c r="D412" s="205" t="str">
        <f>IFERROR(VLOOKUP($C412,'PORTIFÓLIO'!C:V,2,0),"")</f>
        <v/>
      </c>
      <c r="E412" s="190" t="str">
        <f>IFERROR(VLOOKUP($C412,'PORTIFÓLIO'!C:V,3,0),"")</f>
        <v/>
      </c>
      <c r="F412" s="190" t="str">
        <f>IFERROR(VLOOKUP($C412,'PORTIFÓLIO'!C:V,4,0),"")</f>
        <v/>
      </c>
      <c r="G412" s="206" t="str">
        <f>IFERROR(VLOOKUP($C412,'PORTIFÓLIO'!C:V,5,0),"")</f>
        <v/>
      </c>
      <c r="H412" s="247" t="str">
        <f t="array" ref="H412">IFERROR(INDEX('PORTIFÓLIO'!$H$4:$H$433,MATCH($C412,'PORTIFÓLIO'!$C$4:$C$433,0)),"")</f>
        <v/>
      </c>
      <c r="I412" s="257"/>
      <c r="J412" s="209">
        <f t="shared" si="47"/>
        <v>0</v>
      </c>
      <c r="K412" s="248" t="str">
        <f t="array" ref="K412">IFERROR(I412*INDEX('PORTIFÓLIO'!$S$4:$S$433,MATCH($C412,'PORTIFÓLIO'!$C$4:$C$433,0)),"")</f>
        <v/>
      </c>
      <c r="L412" s="248" t="str">
        <f t="array" ref="L412">IFERROR(J412*INDEX('PORTIFÓLIO'!$S$4:$S$433,MATCH($C412,'PORTIFÓLIO'!$C$4:$C$433,0)),"")</f>
        <v/>
      </c>
      <c r="M412" s="238"/>
      <c r="N412" s="177"/>
      <c r="O412" s="177"/>
      <c r="P412" s="177"/>
      <c r="Q412" s="177"/>
      <c r="R412" s="177"/>
      <c r="S412" s="177"/>
      <c r="T412" s="177"/>
      <c r="U412" s="177"/>
      <c r="V412" s="177"/>
      <c r="W412" s="177"/>
    </row>
    <row r="413" ht="15.75" customHeight="1" outlineLevel="1">
      <c r="A413" s="190"/>
      <c r="B413" s="204"/>
      <c r="C413" s="191"/>
      <c r="D413" s="205" t="str">
        <f>IFERROR(VLOOKUP($C413,'PORTIFÓLIO'!C:V,2,0),"")</f>
        <v/>
      </c>
      <c r="E413" s="190" t="str">
        <f>IFERROR(VLOOKUP($C413,'PORTIFÓLIO'!C:V,3,0),"")</f>
        <v/>
      </c>
      <c r="F413" s="190" t="str">
        <f>IFERROR(VLOOKUP($C413,'PORTIFÓLIO'!C:V,4,0),"")</f>
        <v/>
      </c>
      <c r="G413" s="206" t="str">
        <f>IFERROR(VLOOKUP($C413,'PORTIFÓLIO'!C:V,5,0),"")</f>
        <v/>
      </c>
      <c r="H413" s="247" t="str">
        <f t="array" ref="H413">IFERROR(INDEX('PORTIFÓLIO'!$H$4:$H$433,MATCH($C413,'PORTIFÓLIO'!$C$4:$C$433,0)),"")</f>
        <v/>
      </c>
      <c r="I413" s="257"/>
      <c r="J413" s="209">
        <f t="shared" si="47"/>
        <v>0</v>
      </c>
      <c r="K413" s="248" t="str">
        <f t="array" ref="K413">IFERROR(I413*INDEX('PORTIFÓLIO'!$S$4:$S$433,MATCH($C413,'PORTIFÓLIO'!$C$4:$C$433,0)),"")</f>
        <v/>
      </c>
      <c r="L413" s="248" t="str">
        <f t="array" ref="L413">IFERROR(J413*INDEX('PORTIFÓLIO'!$S$4:$S$433,MATCH($C413,'PORTIFÓLIO'!$C$4:$C$433,0)),"")</f>
        <v/>
      </c>
      <c r="M413" s="238"/>
      <c r="N413" s="177"/>
      <c r="O413" s="177"/>
      <c r="P413" s="177"/>
      <c r="Q413" s="177"/>
      <c r="R413" s="177"/>
      <c r="S413" s="177"/>
      <c r="T413" s="177"/>
      <c r="U413" s="177"/>
      <c r="V413" s="177"/>
      <c r="W413" s="177"/>
    </row>
    <row r="414" ht="15.75" customHeight="1" outlineLevel="1">
      <c r="A414" s="190"/>
      <c r="B414" s="204"/>
      <c r="C414" s="191"/>
      <c r="D414" s="205" t="str">
        <f>IFERROR(VLOOKUP($C414,'PORTIFÓLIO'!C:V,2,0),"")</f>
        <v/>
      </c>
      <c r="E414" s="190" t="str">
        <f>IFERROR(VLOOKUP($C414,'PORTIFÓLIO'!C:V,3,0),"")</f>
        <v/>
      </c>
      <c r="F414" s="190" t="str">
        <f>IFERROR(VLOOKUP($C414,'PORTIFÓLIO'!C:V,4,0),"")</f>
        <v/>
      </c>
      <c r="G414" s="206" t="str">
        <f>IFERROR(VLOOKUP($C414,'PORTIFÓLIO'!C:V,5,0),"")</f>
        <v/>
      </c>
      <c r="H414" s="247" t="str">
        <f t="array" ref="H414">IFERROR(INDEX('PORTIFÓLIO'!$H$4:$H$433,MATCH($C414,'PORTIFÓLIO'!$C$4:$C$433,0)),"")</f>
        <v/>
      </c>
      <c r="I414" s="257"/>
      <c r="J414" s="209">
        <f t="shared" si="47"/>
        <v>0</v>
      </c>
      <c r="K414" s="248" t="str">
        <f t="array" ref="K414">IFERROR(I414*INDEX('PORTIFÓLIO'!$S$4:$S$433,MATCH($C414,'PORTIFÓLIO'!$C$4:$C$433,0)),"")</f>
        <v/>
      </c>
      <c r="L414" s="248" t="str">
        <f t="array" ref="L414">IFERROR(J414*INDEX('PORTIFÓLIO'!$S$4:$S$433,MATCH($C414,'PORTIFÓLIO'!$C$4:$C$433,0)),"")</f>
        <v/>
      </c>
      <c r="M414" s="238"/>
      <c r="N414" s="177"/>
      <c r="O414" s="177"/>
      <c r="P414" s="177"/>
      <c r="Q414" s="177"/>
      <c r="R414" s="177"/>
      <c r="S414" s="177"/>
      <c r="T414" s="177"/>
      <c r="U414" s="177"/>
      <c r="V414" s="177"/>
      <c r="W414" s="177"/>
    </row>
    <row r="415" ht="15.75" customHeight="1" outlineLevel="1">
      <c r="A415" s="190"/>
      <c r="B415" s="204"/>
      <c r="C415" s="191"/>
      <c r="D415" s="205" t="str">
        <f>IFERROR(VLOOKUP($C415,'PORTIFÓLIO'!C:V,2,0),"")</f>
        <v/>
      </c>
      <c r="E415" s="190" t="str">
        <f>IFERROR(VLOOKUP($C415,'PORTIFÓLIO'!C:V,3,0),"")</f>
        <v/>
      </c>
      <c r="F415" s="190" t="str">
        <f>IFERROR(VLOOKUP($C415,'PORTIFÓLIO'!C:V,4,0),"")</f>
        <v/>
      </c>
      <c r="G415" s="206" t="str">
        <f>IFERROR(VLOOKUP($C415,'PORTIFÓLIO'!C:V,5,0),"")</f>
        <v/>
      </c>
      <c r="H415" s="247" t="str">
        <f t="array" ref="H415">IFERROR(INDEX('PORTIFÓLIO'!$H$4:$H$433,MATCH($C415,'PORTIFÓLIO'!$C$4:$C$433,0)),"")</f>
        <v/>
      </c>
      <c r="I415" s="257"/>
      <c r="J415" s="209">
        <f t="shared" si="47"/>
        <v>0</v>
      </c>
      <c r="K415" s="248" t="str">
        <f t="array" ref="K415">IFERROR(I415*INDEX('PORTIFÓLIO'!$S$4:$S$433,MATCH($C415,'PORTIFÓLIO'!$C$4:$C$433,0)),"")</f>
        <v/>
      </c>
      <c r="L415" s="248" t="str">
        <f t="array" ref="L415">IFERROR(J415*INDEX('PORTIFÓLIO'!$S$4:$S$433,MATCH($C415,'PORTIFÓLIO'!$C$4:$C$433,0)),"")</f>
        <v/>
      </c>
      <c r="M415" s="238"/>
      <c r="N415" s="177"/>
      <c r="O415" s="177"/>
      <c r="P415" s="177"/>
      <c r="Q415" s="177"/>
      <c r="R415" s="177"/>
      <c r="S415" s="177"/>
      <c r="T415" s="177"/>
      <c r="U415" s="177"/>
      <c r="V415" s="177"/>
      <c r="W415" s="177"/>
    </row>
    <row r="416" ht="15.75" customHeight="1" outlineLevel="1">
      <c r="A416" s="190"/>
      <c r="B416" s="204"/>
      <c r="C416" s="191"/>
      <c r="D416" s="205" t="str">
        <f>IFERROR(VLOOKUP($C416,'PORTIFÓLIO'!C:V,2,0),"")</f>
        <v/>
      </c>
      <c r="E416" s="190" t="str">
        <f>IFERROR(VLOOKUP($C416,'PORTIFÓLIO'!C:V,3,0),"")</f>
        <v/>
      </c>
      <c r="F416" s="190" t="str">
        <f>IFERROR(VLOOKUP($C416,'PORTIFÓLIO'!C:V,4,0),"")</f>
        <v/>
      </c>
      <c r="G416" s="206" t="str">
        <f>IFERROR(VLOOKUP($C416,'PORTIFÓLIO'!C:V,5,0),"")</f>
        <v/>
      </c>
      <c r="H416" s="247" t="str">
        <f t="array" ref="H416">IFERROR(INDEX('PORTIFÓLIO'!$H$4:$H$433,MATCH($C416,'PORTIFÓLIO'!$C$4:$C$433,0)),"")</f>
        <v/>
      </c>
      <c r="I416" s="257"/>
      <c r="J416" s="209">
        <f t="shared" si="47"/>
        <v>0</v>
      </c>
      <c r="K416" s="248" t="str">
        <f t="array" ref="K416">IFERROR(I416*INDEX('PORTIFÓLIO'!$S$4:$S$433,MATCH($C416,'PORTIFÓLIO'!$C$4:$C$433,0)),"")</f>
        <v/>
      </c>
      <c r="L416" s="248" t="str">
        <f t="array" ref="L416">IFERROR(J416*INDEX('PORTIFÓLIO'!$S$4:$S$433,MATCH($C416,'PORTIFÓLIO'!$C$4:$C$433,0)),"")</f>
        <v/>
      </c>
      <c r="M416" s="238"/>
      <c r="N416" s="177"/>
      <c r="O416" s="177"/>
      <c r="P416" s="177"/>
      <c r="Q416" s="177"/>
      <c r="R416" s="177"/>
      <c r="S416" s="177"/>
      <c r="T416" s="177"/>
      <c r="U416" s="177"/>
      <c r="V416" s="177"/>
      <c r="W416" s="177"/>
    </row>
    <row r="417" ht="15.75" customHeight="1" outlineLevel="1">
      <c r="A417" s="190"/>
      <c r="B417" s="204"/>
      <c r="C417" s="191"/>
      <c r="D417" s="205" t="str">
        <f>IFERROR(VLOOKUP($C417,'PORTIFÓLIO'!C:V,2,0),"")</f>
        <v/>
      </c>
      <c r="E417" s="190" t="str">
        <f>IFERROR(VLOOKUP($C417,'PORTIFÓLIO'!C:V,3,0),"")</f>
        <v/>
      </c>
      <c r="F417" s="190" t="str">
        <f>IFERROR(VLOOKUP($C417,'PORTIFÓLIO'!C:V,4,0),"")</f>
        <v/>
      </c>
      <c r="G417" s="206" t="str">
        <f>IFERROR(VLOOKUP($C417,'PORTIFÓLIO'!C:V,5,0),"")</f>
        <v/>
      </c>
      <c r="H417" s="247" t="str">
        <f t="array" ref="H417">IFERROR(INDEX('PORTIFÓLIO'!$H$4:$H$433,MATCH($C417,'PORTIFÓLIO'!$C$4:$C$433,0)),"")</f>
        <v/>
      </c>
      <c r="I417" s="257"/>
      <c r="J417" s="209">
        <f t="shared" si="47"/>
        <v>0</v>
      </c>
      <c r="K417" s="248" t="str">
        <f t="array" ref="K417">IFERROR(I417*INDEX('PORTIFÓLIO'!$S$4:$S$433,MATCH($C417,'PORTIFÓLIO'!$C$4:$C$433,0)),"")</f>
        <v/>
      </c>
      <c r="L417" s="248" t="str">
        <f t="array" ref="L417">IFERROR(J417*INDEX('PORTIFÓLIO'!$S$4:$S$433,MATCH($C417,'PORTIFÓLIO'!$C$4:$C$433,0)),"")</f>
        <v/>
      </c>
      <c r="M417" s="238"/>
      <c r="N417" s="177"/>
      <c r="O417" s="177"/>
      <c r="P417" s="177"/>
      <c r="Q417" s="177"/>
      <c r="R417" s="177"/>
      <c r="S417" s="177"/>
      <c r="T417" s="177"/>
      <c r="U417" s="177"/>
      <c r="V417" s="177"/>
      <c r="W417" s="177"/>
    </row>
    <row r="418" ht="15.75" customHeight="1" outlineLevel="1">
      <c r="A418" s="190"/>
      <c r="B418" s="204"/>
      <c r="C418" s="191"/>
      <c r="D418" s="205" t="str">
        <f>IFERROR(VLOOKUP($C418,'PORTIFÓLIO'!C:V,2,0),"")</f>
        <v/>
      </c>
      <c r="E418" s="190" t="str">
        <f>IFERROR(VLOOKUP($C418,'PORTIFÓLIO'!C:V,3,0),"")</f>
        <v/>
      </c>
      <c r="F418" s="190" t="str">
        <f>IFERROR(VLOOKUP($C418,'PORTIFÓLIO'!C:V,4,0),"")</f>
        <v/>
      </c>
      <c r="G418" s="206" t="str">
        <f>IFERROR(VLOOKUP($C418,'PORTIFÓLIO'!C:V,5,0),"")</f>
        <v/>
      </c>
      <c r="H418" s="247" t="str">
        <f t="array" ref="H418">IFERROR(INDEX('PORTIFÓLIO'!$H$4:$H$433,MATCH($C418,'PORTIFÓLIO'!$C$4:$C$433,0)),"")</f>
        <v/>
      </c>
      <c r="I418" s="253"/>
      <c r="J418" s="209">
        <f t="shared" si="47"/>
        <v>0</v>
      </c>
      <c r="K418" s="248" t="str">
        <f t="array" ref="K418">IFERROR(I418*INDEX('PORTIFÓLIO'!$S$4:$S$433,MATCH($C418,'PORTIFÓLIO'!$C$4:$C$433,0)),"")</f>
        <v/>
      </c>
      <c r="L418" s="248" t="str">
        <f t="array" ref="L418">IFERROR(J418*INDEX('PORTIFÓLIO'!$S$4:$S$433,MATCH($C418,'PORTIFÓLIO'!$C$4:$C$433,0)),"")</f>
        <v/>
      </c>
      <c r="M418" s="238"/>
      <c r="N418" s="177"/>
      <c r="O418" s="177"/>
      <c r="P418" s="177"/>
      <c r="Q418" s="177"/>
      <c r="R418" s="177"/>
      <c r="S418" s="177"/>
      <c r="T418" s="177"/>
      <c r="U418" s="177"/>
      <c r="V418" s="177"/>
      <c r="W418" s="177"/>
    </row>
    <row r="419" ht="15.75" customHeight="1" outlineLevel="1">
      <c r="A419" s="190"/>
      <c r="B419" s="204"/>
      <c r="C419" s="191"/>
      <c r="D419" s="205" t="str">
        <f>IFERROR(VLOOKUP($C419,'PORTIFÓLIO'!C:V,2,0),"")</f>
        <v/>
      </c>
      <c r="E419" s="190" t="str">
        <f>IFERROR(VLOOKUP($C419,'PORTIFÓLIO'!C:V,3,0),"")</f>
        <v/>
      </c>
      <c r="F419" s="190" t="str">
        <f>IFERROR(VLOOKUP($C419,'PORTIFÓLIO'!C:V,4,0),"")</f>
        <v/>
      </c>
      <c r="G419" s="206" t="str">
        <f>IFERROR(VLOOKUP($C419,'PORTIFÓLIO'!C:V,5,0),"")</f>
        <v/>
      </c>
      <c r="H419" s="247" t="str">
        <f t="array" ref="H419">IFERROR(INDEX('PORTIFÓLIO'!$H$4:$H$433,MATCH($C419,'PORTIFÓLIO'!$C$4:$C$433,0)),"")</f>
        <v/>
      </c>
      <c r="I419" s="257"/>
      <c r="J419" s="209">
        <f t="shared" si="47"/>
        <v>0</v>
      </c>
      <c r="K419" s="248" t="str">
        <f t="array" ref="K419">IFERROR(I419*INDEX('PORTIFÓLIO'!$S$4:$S$433,MATCH($C419,'PORTIFÓLIO'!$C$4:$C$433,0)),"")</f>
        <v/>
      </c>
      <c r="L419" s="248" t="str">
        <f t="array" ref="L419">IFERROR(J419*INDEX('PORTIFÓLIO'!$S$4:$S$433,MATCH($C419,'PORTIFÓLIO'!$C$4:$C$433,0)),"")</f>
        <v/>
      </c>
      <c r="M419" s="238"/>
      <c r="N419" s="177"/>
      <c r="O419" s="177"/>
      <c r="P419" s="177"/>
      <c r="Q419" s="177"/>
      <c r="R419" s="177"/>
      <c r="S419" s="177"/>
      <c r="T419" s="177"/>
      <c r="U419" s="177"/>
      <c r="V419" s="177"/>
      <c r="W419" s="177"/>
    </row>
    <row r="420" ht="15.75" customHeight="1" outlineLevel="1">
      <c r="A420" s="190"/>
      <c r="B420" s="204"/>
      <c r="C420" s="191"/>
      <c r="D420" s="205" t="str">
        <f>IFERROR(VLOOKUP($C420,'PORTIFÓLIO'!C:V,2,0),"")</f>
        <v/>
      </c>
      <c r="E420" s="190" t="str">
        <f>IFERROR(VLOOKUP($C420,'PORTIFÓLIO'!C:V,3,0),"")</f>
        <v/>
      </c>
      <c r="F420" s="190" t="str">
        <f>IFERROR(VLOOKUP($C420,'PORTIFÓLIO'!C:V,4,0),"")</f>
        <v/>
      </c>
      <c r="G420" s="206" t="str">
        <f>IFERROR(VLOOKUP($C420,'PORTIFÓLIO'!C:V,5,0),"")</f>
        <v/>
      </c>
      <c r="H420" s="247" t="str">
        <f t="array" ref="H420">IFERROR(INDEX('PORTIFÓLIO'!$H$4:$H$433,MATCH($C420,'PORTIFÓLIO'!$C$4:$C$433,0)),"")</f>
        <v/>
      </c>
      <c r="I420" s="257"/>
      <c r="J420" s="209">
        <f t="shared" si="47"/>
        <v>0</v>
      </c>
      <c r="K420" s="248" t="str">
        <f t="array" ref="K420">IFERROR(I420*INDEX('PORTIFÓLIO'!$S$4:$S$433,MATCH($C420,'PORTIFÓLIO'!$C$4:$C$433,0)),"")</f>
        <v/>
      </c>
      <c r="L420" s="248" t="str">
        <f t="array" ref="L420">IFERROR(J420*INDEX('PORTIFÓLIO'!$S$4:$S$433,MATCH($C420,'PORTIFÓLIO'!$C$4:$C$433,0)),"")</f>
        <v/>
      </c>
      <c r="M420" s="238"/>
      <c r="N420" s="177"/>
      <c r="O420" s="177"/>
      <c r="P420" s="177"/>
      <c r="Q420" s="177"/>
      <c r="R420" s="177"/>
      <c r="S420" s="177"/>
      <c r="T420" s="177"/>
      <c r="U420" s="177"/>
      <c r="V420" s="177"/>
      <c r="W420" s="177"/>
    </row>
    <row r="421" ht="15.75" customHeight="1" outlineLevel="1">
      <c r="A421" s="190"/>
      <c r="B421" s="204"/>
      <c r="C421" s="191"/>
      <c r="D421" s="205" t="str">
        <f>IFERROR(VLOOKUP($C421,'PORTIFÓLIO'!C:V,2,0),"")</f>
        <v/>
      </c>
      <c r="E421" s="190" t="str">
        <f>IFERROR(VLOOKUP($C421,'PORTIFÓLIO'!C:V,3,0),"")</f>
        <v/>
      </c>
      <c r="F421" s="190" t="str">
        <f>IFERROR(VLOOKUP($C421,'PORTIFÓLIO'!C:V,4,0),"")</f>
        <v/>
      </c>
      <c r="G421" s="206" t="str">
        <f>IFERROR(VLOOKUP($C421,'PORTIFÓLIO'!C:V,5,0),"")</f>
        <v/>
      </c>
      <c r="H421" s="247" t="str">
        <f t="array" ref="H421">IFERROR(INDEX('PORTIFÓLIO'!$H$4:$H$433,MATCH($C421,'PORTIFÓLIO'!$C$4:$C$433,0)),"")</f>
        <v/>
      </c>
      <c r="I421" s="257"/>
      <c r="J421" s="209">
        <f t="shared" si="47"/>
        <v>0</v>
      </c>
      <c r="K421" s="248" t="str">
        <f t="array" ref="K421">IFERROR(I421*INDEX('PORTIFÓLIO'!$S$4:$S$433,MATCH($C421,'PORTIFÓLIO'!$C$4:$C$433,0)),"")</f>
        <v/>
      </c>
      <c r="L421" s="248" t="str">
        <f t="array" ref="L421">IFERROR(J421*INDEX('PORTIFÓLIO'!$S$4:$S$433,MATCH($C421,'PORTIFÓLIO'!$C$4:$C$433,0)),"")</f>
        <v/>
      </c>
      <c r="M421" s="238"/>
      <c r="N421" s="177"/>
      <c r="O421" s="177"/>
      <c r="P421" s="177"/>
      <c r="Q421" s="177"/>
      <c r="R421" s="177"/>
      <c r="S421" s="177"/>
      <c r="T421" s="177"/>
      <c r="U421" s="177"/>
      <c r="V421" s="177"/>
      <c r="W421" s="177"/>
    </row>
    <row r="422" ht="15.75" customHeight="1" outlineLevel="1">
      <c r="A422" s="190"/>
      <c r="B422" s="204"/>
      <c r="C422" s="191"/>
      <c r="D422" s="205" t="str">
        <f>IFERROR(VLOOKUP($C422,'PORTIFÓLIO'!C:V,2,0),"")</f>
        <v/>
      </c>
      <c r="E422" s="190" t="str">
        <f>IFERROR(VLOOKUP($C422,'PORTIFÓLIO'!C:V,3,0),"")</f>
        <v/>
      </c>
      <c r="F422" s="190" t="str">
        <f>IFERROR(VLOOKUP($C422,'PORTIFÓLIO'!C:V,4,0),"")</f>
        <v/>
      </c>
      <c r="G422" s="206" t="str">
        <f>IFERROR(VLOOKUP($C422,'PORTIFÓLIO'!C:V,5,0),"")</f>
        <v/>
      </c>
      <c r="H422" s="247" t="str">
        <f t="array" ref="H422">IFERROR(INDEX('PORTIFÓLIO'!$H$4:$H$433,MATCH($C422,'PORTIFÓLIO'!$C$4:$C$433,0)),"")</f>
        <v/>
      </c>
      <c r="I422" s="257"/>
      <c r="J422" s="209">
        <f t="shared" si="47"/>
        <v>0</v>
      </c>
      <c r="K422" s="248" t="str">
        <f t="array" ref="K422">IFERROR(I422*INDEX('PORTIFÓLIO'!$S$4:$S$433,MATCH($C422,'PORTIFÓLIO'!$C$4:$C$433,0)),"")</f>
        <v/>
      </c>
      <c r="L422" s="248" t="str">
        <f t="array" ref="L422">IFERROR(J422*INDEX('PORTIFÓLIO'!$S$4:$S$433,MATCH($C422,'PORTIFÓLIO'!$C$4:$C$433,0)),"")</f>
        <v/>
      </c>
      <c r="M422" s="238"/>
      <c r="N422" s="177"/>
      <c r="O422" s="177"/>
      <c r="P422" s="177"/>
      <c r="Q422" s="177"/>
      <c r="R422" s="177"/>
      <c r="S422" s="177"/>
      <c r="T422" s="177"/>
      <c r="U422" s="177"/>
      <c r="V422" s="177"/>
      <c r="W422" s="177"/>
    </row>
    <row r="423" ht="15.75" customHeight="1" outlineLevel="1">
      <c r="A423" s="190"/>
      <c r="B423" s="204"/>
      <c r="C423" s="191"/>
      <c r="D423" s="205" t="str">
        <f>IFERROR(VLOOKUP($C423,'PORTIFÓLIO'!C:V,2,0),"")</f>
        <v/>
      </c>
      <c r="E423" s="190" t="str">
        <f>IFERROR(VLOOKUP($C423,'PORTIFÓLIO'!C:V,3,0),"")</f>
        <v/>
      </c>
      <c r="F423" s="190" t="str">
        <f>IFERROR(VLOOKUP($C423,'PORTIFÓLIO'!C:V,4,0),"")</f>
        <v/>
      </c>
      <c r="G423" s="206" t="str">
        <f>IFERROR(VLOOKUP($C423,'PORTIFÓLIO'!C:V,5,0),"")</f>
        <v/>
      </c>
      <c r="H423" s="247" t="str">
        <f t="array" ref="H423">IFERROR(INDEX('PORTIFÓLIO'!$H$4:$H$433,MATCH($C423,'PORTIFÓLIO'!$C$4:$C$433,0)),"")</f>
        <v/>
      </c>
      <c r="I423" s="257"/>
      <c r="J423" s="209">
        <f t="shared" si="47"/>
        <v>0</v>
      </c>
      <c r="K423" s="248" t="str">
        <f t="array" ref="K423">IFERROR(I423*INDEX('PORTIFÓLIO'!$S$4:$S$433,MATCH($C423,'PORTIFÓLIO'!$C$4:$C$433,0)),"")</f>
        <v/>
      </c>
      <c r="L423" s="248" t="str">
        <f t="array" ref="L423">IFERROR(J423*INDEX('PORTIFÓLIO'!$S$4:$S$433,MATCH($C423,'PORTIFÓLIO'!$C$4:$C$433,0)),"")</f>
        <v/>
      </c>
      <c r="M423" s="238"/>
      <c r="N423" s="177"/>
      <c r="O423" s="177"/>
      <c r="P423" s="177"/>
      <c r="Q423" s="177"/>
      <c r="R423" s="177"/>
      <c r="S423" s="177"/>
      <c r="T423" s="177"/>
      <c r="U423" s="177"/>
      <c r="V423" s="177"/>
      <c r="W423" s="177"/>
    </row>
    <row r="424" ht="15.75" customHeight="1" outlineLevel="1">
      <c r="A424" s="190"/>
      <c r="B424" s="204"/>
      <c r="C424" s="191"/>
      <c r="D424" s="205" t="str">
        <f>IFERROR(VLOOKUP($C424,'PORTIFÓLIO'!C:V,2,0),"")</f>
        <v/>
      </c>
      <c r="E424" s="190" t="str">
        <f>IFERROR(VLOOKUP($C424,'PORTIFÓLIO'!C:V,3,0),"")</f>
        <v/>
      </c>
      <c r="F424" s="190" t="str">
        <f>IFERROR(VLOOKUP($C424,'PORTIFÓLIO'!C:V,4,0),"")</f>
        <v/>
      </c>
      <c r="G424" s="206" t="str">
        <f>IFERROR(VLOOKUP($C424,'PORTIFÓLIO'!C:V,5,0),"")</f>
        <v/>
      </c>
      <c r="H424" s="247" t="str">
        <f t="array" ref="H424">IFERROR(INDEX('PORTIFÓLIO'!$H$4:$H$433,MATCH($C424,'PORTIFÓLIO'!$C$4:$C$433,0)),"")</f>
        <v/>
      </c>
      <c r="I424" s="257"/>
      <c r="J424" s="209">
        <f t="shared" si="47"/>
        <v>0</v>
      </c>
      <c r="K424" s="248" t="str">
        <f t="array" ref="K424">IFERROR(I424*INDEX('PORTIFÓLIO'!$S$4:$S$433,MATCH($C424,'PORTIFÓLIO'!$C$4:$C$433,0)),"")</f>
        <v/>
      </c>
      <c r="L424" s="248" t="str">
        <f t="array" ref="L424">IFERROR(J424*INDEX('PORTIFÓLIO'!$S$4:$S$433,MATCH($C424,'PORTIFÓLIO'!$C$4:$C$433,0)),"")</f>
        <v/>
      </c>
      <c r="M424" s="238"/>
      <c r="N424" s="177"/>
      <c r="O424" s="177"/>
      <c r="P424" s="177"/>
      <c r="Q424" s="177"/>
      <c r="R424" s="177"/>
      <c r="S424" s="177"/>
      <c r="T424" s="177"/>
      <c r="U424" s="177"/>
      <c r="V424" s="177"/>
      <c r="W424" s="177"/>
    </row>
    <row r="425" ht="15.75" customHeight="1" outlineLevel="1">
      <c r="A425" s="190"/>
      <c r="B425" s="238"/>
      <c r="C425" s="190"/>
      <c r="D425" s="205" t="str">
        <f>IFERROR(VLOOKUP($C425,'PORTIFÓLIO'!C:V,2,0),"")</f>
        <v/>
      </c>
      <c r="E425" s="190" t="str">
        <f>IFERROR(VLOOKUP($C425,'PORTIFÓLIO'!C:V,3,0),"")</f>
        <v/>
      </c>
      <c r="F425" s="190" t="str">
        <f>IFERROR(VLOOKUP($C425,'PORTIFÓLIO'!C:V,4,0),"")</f>
        <v/>
      </c>
      <c r="G425" s="206" t="str">
        <f>IFERROR(VLOOKUP($C425,'PORTIFÓLIO'!C:V,5,0),"")</f>
        <v/>
      </c>
      <c r="H425" s="247" t="str">
        <f t="array" ref="H425">IFERROR(INDEX('PORTIFÓLIO'!$H$4:$H$433,MATCH($C425,'PORTIFÓLIO'!$C$4:$C$433,0)),"")</f>
        <v/>
      </c>
      <c r="I425" s="257"/>
      <c r="J425" s="209">
        <f t="shared" si="47"/>
        <v>0</v>
      </c>
      <c r="K425" s="248" t="str">
        <f t="array" ref="K425">IFERROR(I425*INDEX('PORTIFÓLIO'!$S$4:$S$433,MATCH($C425,'PORTIFÓLIO'!$C$4:$C$433,0)),"")</f>
        <v/>
      </c>
      <c r="L425" s="248" t="str">
        <f t="array" ref="L425">IFERROR(J425*INDEX('PORTIFÓLIO'!$S$4:$S$433,MATCH($C425,'PORTIFÓLIO'!$C$4:$C$433,0)),"")</f>
        <v/>
      </c>
      <c r="M425" s="238"/>
      <c r="N425" s="177"/>
      <c r="O425" s="177"/>
      <c r="P425" s="177"/>
      <c r="Q425" s="177"/>
      <c r="R425" s="177"/>
      <c r="S425" s="177"/>
      <c r="T425" s="177"/>
      <c r="U425" s="177"/>
      <c r="V425" s="177"/>
      <c r="W425" s="177"/>
    </row>
    <row r="426" ht="15.75" customHeight="1" outlineLevel="1">
      <c r="A426" s="190"/>
      <c r="B426" s="238"/>
      <c r="C426" s="190"/>
      <c r="D426" s="205" t="str">
        <f>IFERROR(VLOOKUP($C426,'PORTIFÓLIO'!C:V,2,0),"")</f>
        <v/>
      </c>
      <c r="E426" s="190" t="str">
        <f>IFERROR(VLOOKUP($C426,'PORTIFÓLIO'!C:V,3,0),"")</f>
        <v/>
      </c>
      <c r="F426" s="190" t="str">
        <f>IFERROR(VLOOKUP($C426,'PORTIFÓLIO'!C:V,4,0),"")</f>
        <v/>
      </c>
      <c r="G426" s="206" t="str">
        <f>IFERROR(VLOOKUP($C426,'PORTIFÓLIO'!C:V,5,0),"")</f>
        <v/>
      </c>
      <c r="H426" s="247" t="str">
        <f t="array" ref="H426">IFERROR(INDEX('PORTIFÓLIO'!$H$4:$H$433,MATCH($C426,'PORTIFÓLIO'!$C$4:$C$433,0)),"")</f>
        <v/>
      </c>
      <c r="I426" s="257"/>
      <c r="J426" s="209">
        <f t="shared" si="47"/>
        <v>0</v>
      </c>
      <c r="K426" s="248" t="str">
        <f t="array" ref="K426">IFERROR(I426*INDEX('PORTIFÓLIO'!$S$4:$S$433,MATCH($C426,'PORTIFÓLIO'!$C$4:$C$433,0)),"")</f>
        <v/>
      </c>
      <c r="L426" s="248" t="str">
        <f t="array" ref="L426">IFERROR(J426*INDEX('PORTIFÓLIO'!$S$4:$S$433,MATCH($C426,'PORTIFÓLIO'!$C$4:$C$433,0)),"")</f>
        <v/>
      </c>
      <c r="M426" s="238"/>
      <c r="N426" s="177"/>
      <c r="O426" s="177"/>
      <c r="P426" s="177"/>
      <c r="Q426" s="177"/>
      <c r="R426" s="177"/>
      <c r="S426" s="177"/>
      <c r="T426" s="177"/>
      <c r="U426" s="177"/>
      <c r="V426" s="177"/>
      <c r="W426" s="177"/>
    </row>
    <row r="427" ht="15.75" customHeight="1">
      <c r="A427" s="221" t="s">
        <v>1202</v>
      </c>
      <c r="B427" s="197"/>
      <c r="C427" s="196"/>
      <c r="D427" s="198"/>
      <c r="E427" s="196"/>
      <c r="F427" s="196"/>
      <c r="G427" s="199"/>
      <c r="H427" s="199"/>
      <c r="I427" s="252"/>
      <c r="J427" s="202"/>
      <c r="K427" s="203">
        <f t="shared" ref="K427:L427" si="48">SUBTOTAL(9,K428:K441)</f>
        <v>0</v>
      </c>
      <c r="L427" s="203">
        <f t="shared" si="48"/>
        <v>0</v>
      </c>
      <c r="M427" s="238"/>
      <c r="N427" s="177"/>
      <c r="O427" s="177"/>
      <c r="P427" s="177"/>
      <c r="Q427" s="177"/>
      <c r="R427" s="177"/>
      <c r="S427" s="177"/>
      <c r="T427" s="177"/>
      <c r="U427" s="177"/>
      <c r="V427" s="177"/>
      <c r="W427" s="177"/>
    </row>
    <row r="428" ht="15.75" customHeight="1" outlineLevel="1">
      <c r="A428" s="191"/>
      <c r="B428" s="204"/>
      <c r="C428" s="191"/>
      <c r="D428" s="205" t="str">
        <f>IFERROR(VLOOKUP($C428,'PORTIFÓLIO'!C:V,2,0),"")</f>
        <v/>
      </c>
      <c r="E428" s="190" t="str">
        <f>IFERROR(VLOOKUP($C428,'PORTIFÓLIO'!C:V,3,0),"")</f>
        <v/>
      </c>
      <c r="F428" s="190" t="str">
        <f>IFERROR(VLOOKUP($C428,'PORTIFÓLIO'!C:V,4,0),"")</f>
        <v/>
      </c>
      <c r="G428" s="206" t="str">
        <f>IFERROR(VLOOKUP($C428,'PORTIFÓLIO'!C:V,5,0),"")</f>
        <v/>
      </c>
      <c r="H428" s="247" t="str">
        <f t="array" ref="H428">IFERROR(INDEX('PORTIFÓLIO'!$H$4:$H$433,MATCH($C428,'PORTIFÓLIO'!$C$4:$C$433,0)),"")</f>
        <v/>
      </c>
      <c r="I428" s="257"/>
      <c r="J428" s="209">
        <f t="shared" ref="J428:J451" si="49">I428*$B$2</f>
        <v>0</v>
      </c>
      <c r="K428" s="248" t="str">
        <f t="array" ref="K428">IFERROR(I428*INDEX('PORTIFÓLIO'!$S$4:$S$433,MATCH($C428,'PORTIFÓLIO'!$C$4:$C$433,0)),"")</f>
        <v/>
      </c>
      <c r="L428" s="248" t="str">
        <f t="array" ref="L428">IFERROR(J428*INDEX('PORTIFÓLIO'!$S$4:$S$433,MATCH($C428,'PORTIFÓLIO'!$C$4:$C$433,0)),"")</f>
        <v/>
      </c>
      <c r="M428" s="238"/>
      <c r="N428" s="177"/>
      <c r="O428" s="177"/>
      <c r="P428" s="177"/>
      <c r="Q428" s="177"/>
      <c r="R428" s="177"/>
      <c r="S428" s="177"/>
      <c r="T428" s="177"/>
      <c r="U428" s="177"/>
      <c r="V428" s="177"/>
      <c r="W428" s="177"/>
    </row>
    <row r="429" ht="15.75" customHeight="1" outlineLevel="1">
      <c r="A429" s="190"/>
      <c r="B429" s="204"/>
      <c r="C429" s="191"/>
      <c r="D429" s="205" t="str">
        <f>IFERROR(VLOOKUP($C429,'PORTIFÓLIO'!C:V,2,0),"")</f>
        <v/>
      </c>
      <c r="E429" s="190" t="str">
        <f>IFERROR(VLOOKUP($C429,'PORTIFÓLIO'!C:V,3,0),"")</f>
        <v/>
      </c>
      <c r="F429" s="190" t="str">
        <f>IFERROR(VLOOKUP($C429,'PORTIFÓLIO'!C:V,4,0),"")</f>
        <v/>
      </c>
      <c r="G429" s="206" t="str">
        <f>IFERROR(VLOOKUP($C429,'PORTIFÓLIO'!C:V,5,0),"")</f>
        <v/>
      </c>
      <c r="H429" s="247" t="str">
        <f t="array" ref="H429">IFERROR(INDEX('PORTIFÓLIO'!$H$4:$H$433,MATCH($C429,'PORTIFÓLIO'!$C$4:$C$433,0)),"")</f>
        <v/>
      </c>
      <c r="I429" s="257"/>
      <c r="J429" s="209">
        <f t="shared" si="49"/>
        <v>0</v>
      </c>
      <c r="K429" s="248" t="str">
        <f t="array" ref="K429">IFERROR(I429*INDEX('PORTIFÓLIO'!$S$4:$S$433,MATCH($C429,'PORTIFÓLIO'!$C$4:$C$433,0)),"")</f>
        <v/>
      </c>
      <c r="L429" s="248" t="str">
        <f t="array" ref="L429">IFERROR(J429*INDEX('PORTIFÓLIO'!$S$4:$S$433,MATCH($C429,'PORTIFÓLIO'!$C$4:$C$433,0)),"")</f>
        <v/>
      </c>
      <c r="M429" s="238"/>
      <c r="N429" s="177"/>
      <c r="O429" s="177"/>
      <c r="P429" s="177"/>
      <c r="Q429" s="177"/>
      <c r="R429" s="177"/>
      <c r="S429" s="177"/>
      <c r="T429" s="177"/>
      <c r="U429" s="177"/>
      <c r="V429" s="177"/>
      <c r="W429" s="177"/>
    </row>
    <row r="430" ht="15.75" customHeight="1" outlineLevel="1">
      <c r="A430" s="190"/>
      <c r="B430" s="204"/>
      <c r="C430" s="191"/>
      <c r="D430" s="205" t="str">
        <f>IFERROR(VLOOKUP($C430,'PORTIFÓLIO'!C:V,2,0),"")</f>
        <v/>
      </c>
      <c r="E430" s="190" t="str">
        <f>IFERROR(VLOOKUP($C430,'PORTIFÓLIO'!C:V,3,0),"")</f>
        <v/>
      </c>
      <c r="F430" s="190" t="str">
        <f>IFERROR(VLOOKUP($C430,'PORTIFÓLIO'!C:V,4,0),"")</f>
        <v/>
      </c>
      <c r="G430" s="206" t="str">
        <f>IFERROR(VLOOKUP($C430,'PORTIFÓLIO'!C:V,5,0),"")</f>
        <v/>
      </c>
      <c r="H430" s="247" t="str">
        <f t="array" ref="H430">IFERROR(INDEX('PORTIFÓLIO'!$H$4:$H$433,MATCH($C430,'PORTIFÓLIO'!$C$4:$C$433,0)),"")</f>
        <v/>
      </c>
      <c r="I430" s="257"/>
      <c r="J430" s="209">
        <f t="shared" si="49"/>
        <v>0</v>
      </c>
      <c r="K430" s="248" t="str">
        <f t="array" ref="K430">IFERROR(I430*INDEX('PORTIFÓLIO'!$S$4:$S$433,MATCH($C430,'PORTIFÓLIO'!$C$4:$C$433,0)),"")</f>
        <v/>
      </c>
      <c r="L430" s="248" t="str">
        <f t="array" ref="L430">IFERROR(J430*INDEX('PORTIFÓLIO'!$S$4:$S$433,MATCH($C430,'PORTIFÓLIO'!$C$4:$C$433,0)),"")</f>
        <v/>
      </c>
      <c r="M430" s="238"/>
      <c r="N430" s="177"/>
      <c r="O430" s="177"/>
      <c r="P430" s="177"/>
      <c r="Q430" s="177"/>
      <c r="R430" s="177"/>
      <c r="S430" s="177"/>
      <c r="T430" s="177"/>
      <c r="U430" s="177"/>
      <c r="V430" s="177"/>
      <c r="W430" s="177"/>
    </row>
    <row r="431" ht="15.75" customHeight="1" outlineLevel="1">
      <c r="A431" s="190"/>
      <c r="B431" s="204"/>
      <c r="C431" s="191"/>
      <c r="D431" s="205" t="str">
        <f>IFERROR(VLOOKUP($C431,'PORTIFÓLIO'!C:V,2,0),"")</f>
        <v/>
      </c>
      <c r="E431" s="190" t="str">
        <f>IFERROR(VLOOKUP($C431,'PORTIFÓLIO'!C:V,3,0),"")</f>
        <v/>
      </c>
      <c r="F431" s="190" t="str">
        <f>IFERROR(VLOOKUP($C431,'PORTIFÓLIO'!C:V,4,0),"")</f>
        <v/>
      </c>
      <c r="G431" s="206" t="str">
        <f>IFERROR(VLOOKUP($C431,'PORTIFÓLIO'!C:V,5,0),"")</f>
        <v/>
      </c>
      <c r="H431" s="247" t="str">
        <f t="array" ref="H431">IFERROR(INDEX('PORTIFÓLIO'!$H$4:$H$433,MATCH($C431,'PORTIFÓLIO'!$C$4:$C$433,0)),"")</f>
        <v/>
      </c>
      <c r="I431" s="257"/>
      <c r="J431" s="209">
        <f t="shared" si="49"/>
        <v>0</v>
      </c>
      <c r="K431" s="248" t="str">
        <f t="array" ref="K431">IFERROR(I431*INDEX('PORTIFÓLIO'!$S$4:$S$433,MATCH($C431,'PORTIFÓLIO'!$C$4:$C$433,0)),"")</f>
        <v/>
      </c>
      <c r="L431" s="248" t="str">
        <f t="array" ref="L431">IFERROR(J431*INDEX('PORTIFÓLIO'!$S$4:$S$433,MATCH($C431,'PORTIFÓLIO'!$C$4:$C$433,0)),"")</f>
        <v/>
      </c>
      <c r="M431" s="238"/>
      <c r="N431" s="177"/>
      <c r="O431" s="177"/>
      <c r="P431" s="177"/>
      <c r="Q431" s="177"/>
      <c r="R431" s="177"/>
      <c r="S431" s="177"/>
      <c r="T431" s="177"/>
      <c r="U431" s="177"/>
      <c r="V431" s="177"/>
      <c r="W431" s="177"/>
    </row>
    <row r="432" ht="15.75" customHeight="1" outlineLevel="1">
      <c r="A432" s="190"/>
      <c r="B432" s="204"/>
      <c r="C432" s="191"/>
      <c r="D432" s="205" t="str">
        <f>IFERROR(VLOOKUP($C432,'PORTIFÓLIO'!C:V,2,0),"")</f>
        <v/>
      </c>
      <c r="E432" s="190" t="str">
        <f>IFERROR(VLOOKUP($C432,'PORTIFÓLIO'!C:V,3,0),"")</f>
        <v/>
      </c>
      <c r="F432" s="190" t="str">
        <f>IFERROR(VLOOKUP($C432,'PORTIFÓLIO'!C:V,4,0),"")</f>
        <v/>
      </c>
      <c r="G432" s="206" t="str">
        <f>IFERROR(VLOOKUP($C432,'PORTIFÓLIO'!C:V,5,0),"")</f>
        <v/>
      </c>
      <c r="H432" s="247" t="str">
        <f t="array" ref="H432">IFERROR(INDEX('PORTIFÓLIO'!$H$4:$H$433,MATCH($C432,'PORTIFÓLIO'!$C$4:$C$433,0)),"")</f>
        <v/>
      </c>
      <c r="I432" s="257"/>
      <c r="J432" s="209">
        <f t="shared" si="49"/>
        <v>0</v>
      </c>
      <c r="K432" s="248" t="str">
        <f t="array" ref="K432">IFERROR(I432*INDEX('PORTIFÓLIO'!$S$4:$S$433,MATCH($C432,'PORTIFÓLIO'!$C$4:$C$433,0)),"")</f>
        <v/>
      </c>
      <c r="L432" s="248" t="str">
        <f t="array" ref="L432">IFERROR(J432*INDEX('PORTIFÓLIO'!$S$4:$S$433,MATCH($C432,'PORTIFÓLIO'!$C$4:$C$433,0)),"")</f>
        <v/>
      </c>
      <c r="M432" s="238"/>
      <c r="N432" s="177"/>
      <c r="O432" s="177"/>
      <c r="P432" s="177"/>
      <c r="Q432" s="177"/>
      <c r="R432" s="177"/>
      <c r="S432" s="177"/>
      <c r="T432" s="177"/>
      <c r="U432" s="177"/>
      <c r="V432" s="177"/>
      <c r="W432" s="177"/>
    </row>
    <row r="433" ht="15.75" customHeight="1" outlineLevel="1">
      <c r="A433" s="190"/>
      <c r="B433" s="204"/>
      <c r="C433" s="191"/>
      <c r="D433" s="205" t="str">
        <f>IFERROR(VLOOKUP($C433,'PORTIFÓLIO'!C:V,2,0),"")</f>
        <v/>
      </c>
      <c r="E433" s="190" t="str">
        <f>IFERROR(VLOOKUP($C433,'PORTIFÓLIO'!C:V,3,0),"")</f>
        <v/>
      </c>
      <c r="F433" s="190" t="str">
        <f>IFERROR(VLOOKUP($C433,'PORTIFÓLIO'!C:V,4,0),"")</f>
        <v/>
      </c>
      <c r="G433" s="206" t="str">
        <f>IFERROR(VLOOKUP($C433,'PORTIFÓLIO'!C:V,5,0),"")</f>
        <v/>
      </c>
      <c r="H433" s="247" t="str">
        <f t="array" ref="H433">IFERROR(INDEX('PORTIFÓLIO'!$H$4:$H$433,MATCH($C433,'PORTIFÓLIO'!$C$4:$C$433,0)),"")</f>
        <v/>
      </c>
      <c r="I433" s="257"/>
      <c r="J433" s="209">
        <f t="shared" si="49"/>
        <v>0</v>
      </c>
      <c r="K433" s="248" t="str">
        <f t="array" ref="K433">IFERROR(I433*INDEX('PORTIFÓLIO'!$S$4:$S$433,MATCH($C433,'PORTIFÓLIO'!$C$4:$C$433,0)),"")</f>
        <v/>
      </c>
      <c r="L433" s="248" t="str">
        <f t="array" ref="L433">IFERROR(J433*INDEX('PORTIFÓLIO'!$S$4:$S$433,MATCH($C433,'PORTIFÓLIO'!$C$4:$C$433,0)),"")</f>
        <v/>
      </c>
      <c r="M433" s="238"/>
      <c r="N433" s="177"/>
      <c r="O433" s="177"/>
      <c r="P433" s="177"/>
      <c r="Q433" s="177"/>
      <c r="R433" s="177"/>
      <c r="S433" s="177"/>
      <c r="T433" s="177"/>
      <c r="U433" s="177"/>
      <c r="V433" s="177"/>
      <c r="W433" s="177"/>
    </row>
    <row r="434" ht="15.75" customHeight="1" outlineLevel="1">
      <c r="A434" s="190"/>
      <c r="B434" s="204"/>
      <c r="C434" s="191"/>
      <c r="D434" s="205" t="str">
        <f>IFERROR(VLOOKUP($C434,'PORTIFÓLIO'!C:V,2,0),"")</f>
        <v/>
      </c>
      <c r="E434" s="190" t="str">
        <f>IFERROR(VLOOKUP($C434,'PORTIFÓLIO'!C:V,3,0),"")</f>
        <v/>
      </c>
      <c r="F434" s="190" t="str">
        <f>IFERROR(VLOOKUP($C434,'PORTIFÓLIO'!C:V,4,0),"")</f>
        <v/>
      </c>
      <c r="G434" s="206" t="str">
        <f>IFERROR(VLOOKUP($C434,'PORTIFÓLIO'!C:V,5,0),"")</f>
        <v/>
      </c>
      <c r="H434" s="247" t="str">
        <f t="array" ref="H434">IFERROR(INDEX('PORTIFÓLIO'!$H$4:$H$433,MATCH($C434,'PORTIFÓLIO'!$C$4:$C$433,0)),"")</f>
        <v/>
      </c>
      <c r="I434" s="257"/>
      <c r="J434" s="209">
        <f t="shared" si="49"/>
        <v>0</v>
      </c>
      <c r="K434" s="248" t="str">
        <f t="array" ref="K434">IFERROR(I434*INDEX('PORTIFÓLIO'!$S$4:$S$433,MATCH($C434,'PORTIFÓLIO'!$C$4:$C$433,0)),"")</f>
        <v/>
      </c>
      <c r="L434" s="248" t="str">
        <f t="array" ref="L434">IFERROR(J434*INDEX('PORTIFÓLIO'!$S$4:$S$433,MATCH($C434,'PORTIFÓLIO'!$C$4:$C$433,0)),"")</f>
        <v/>
      </c>
      <c r="M434" s="238"/>
      <c r="N434" s="177"/>
      <c r="O434" s="177"/>
      <c r="P434" s="177"/>
      <c r="Q434" s="177"/>
      <c r="R434" s="177"/>
      <c r="S434" s="177"/>
      <c r="T434" s="177"/>
      <c r="U434" s="177"/>
      <c r="V434" s="177"/>
      <c r="W434" s="177"/>
    </row>
    <row r="435" ht="15.75" customHeight="1" outlineLevel="1">
      <c r="A435" s="190"/>
      <c r="B435" s="204"/>
      <c r="C435" s="191"/>
      <c r="D435" s="205" t="str">
        <f>IFERROR(VLOOKUP($C435,'PORTIFÓLIO'!C:V,2,0),"")</f>
        <v/>
      </c>
      <c r="E435" s="190" t="str">
        <f>IFERROR(VLOOKUP($C435,'PORTIFÓLIO'!C:V,3,0),"")</f>
        <v/>
      </c>
      <c r="F435" s="190" t="str">
        <f>IFERROR(VLOOKUP($C435,'PORTIFÓLIO'!C:V,4,0),"")</f>
        <v/>
      </c>
      <c r="G435" s="206" t="str">
        <f>IFERROR(VLOOKUP($C435,'PORTIFÓLIO'!C:V,5,0),"")</f>
        <v/>
      </c>
      <c r="H435" s="247" t="str">
        <f t="array" ref="H435">IFERROR(INDEX('PORTIFÓLIO'!$H$4:$H$433,MATCH($C435,'PORTIFÓLIO'!$C$4:$C$433,0)),"")</f>
        <v/>
      </c>
      <c r="I435" s="257"/>
      <c r="J435" s="209">
        <f t="shared" si="49"/>
        <v>0</v>
      </c>
      <c r="K435" s="248" t="str">
        <f t="array" ref="K435">IFERROR(I435*INDEX('PORTIFÓLIO'!$S$4:$S$433,MATCH($C435,'PORTIFÓLIO'!$C$4:$C$433,0)),"")</f>
        <v/>
      </c>
      <c r="L435" s="248" t="str">
        <f t="array" ref="L435">IFERROR(J435*INDEX('PORTIFÓLIO'!$S$4:$S$433,MATCH($C435,'PORTIFÓLIO'!$C$4:$C$433,0)),"")</f>
        <v/>
      </c>
      <c r="M435" s="238"/>
      <c r="N435" s="177"/>
      <c r="O435" s="177"/>
      <c r="P435" s="177"/>
      <c r="Q435" s="177"/>
      <c r="R435" s="177"/>
      <c r="S435" s="177"/>
      <c r="T435" s="177"/>
      <c r="U435" s="177"/>
      <c r="V435" s="177"/>
      <c r="W435" s="177"/>
    </row>
    <row r="436" ht="15.75" customHeight="1" outlineLevel="1">
      <c r="A436" s="190"/>
      <c r="B436" s="204"/>
      <c r="C436" s="191"/>
      <c r="D436" s="205" t="str">
        <f>IFERROR(VLOOKUP($C436,'PORTIFÓLIO'!C:V,2,0),"")</f>
        <v/>
      </c>
      <c r="E436" s="190" t="str">
        <f>IFERROR(VLOOKUP($C436,'PORTIFÓLIO'!C:V,3,0),"")</f>
        <v/>
      </c>
      <c r="F436" s="190" t="str">
        <f>IFERROR(VLOOKUP($C436,'PORTIFÓLIO'!C:V,4,0),"")</f>
        <v/>
      </c>
      <c r="G436" s="206" t="str">
        <f>IFERROR(VLOOKUP($C436,'PORTIFÓLIO'!C:V,5,0),"")</f>
        <v/>
      </c>
      <c r="H436" s="247" t="str">
        <f t="array" ref="H436">IFERROR(INDEX('PORTIFÓLIO'!$H$4:$H$433,MATCH($C436,'PORTIFÓLIO'!$C$4:$C$433,0)),"")</f>
        <v/>
      </c>
      <c r="I436" s="257"/>
      <c r="J436" s="209">
        <f t="shared" si="49"/>
        <v>0</v>
      </c>
      <c r="K436" s="248" t="str">
        <f t="array" ref="K436">IFERROR(I436*INDEX('PORTIFÓLIO'!$S$4:$S$433,MATCH($C436,'PORTIFÓLIO'!$C$4:$C$433,0)),"")</f>
        <v/>
      </c>
      <c r="L436" s="248" t="str">
        <f t="array" ref="L436">IFERROR(J436*INDEX('PORTIFÓLIO'!$S$4:$S$433,MATCH($C436,'PORTIFÓLIO'!$C$4:$C$433,0)),"")</f>
        <v/>
      </c>
      <c r="M436" s="238"/>
      <c r="N436" s="177"/>
      <c r="O436" s="177"/>
      <c r="P436" s="177"/>
      <c r="Q436" s="177"/>
      <c r="R436" s="177"/>
      <c r="S436" s="177"/>
      <c r="T436" s="177"/>
      <c r="U436" s="177"/>
      <c r="V436" s="177"/>
      <c r="W436" s="177"/>
    </row>
    <row r="437" ht="15.75" customHeight="1" outlineLevel="1">
      <c r="A437" s="190"/>
      <c r="B437" s="204"/>
      <c r="C437" s="191"/>
      <c r="D437" s="205" t="str">
        <f>IFERROR(VLOOKUP($C437,'PORTIFÓLIO'!C:V,2,0),"")</f>
        <v/>
      </c>
      <c r="E437" s="190" t="str">
        <f>IFERROR(VLOOKUP($C437,'PORTIFÓLIO'!C:V,3,0),"")</f>
        <v/>
      </c>
      <c r="F437" s="190" t="str">
        <f>IFERROR(VLOOKUP($C437,'PORTIFÓLIO'!C:V,4,0),"")</f>
        <v/>
      </c>
      <c r="G437" s="206" t="str">
        <f>IFERROR(VLOOKUP($C437,'PORTIFÓLIO'!C:V,5,0),"")</f>
        <v/>
      </c>
      <c r="H437" s="247" t="str">
        <f t="array" ref="H437">IFERROR(INDEX('PORTIFÓLIO'!$H$4:$H$433,MATCH($C437,'PORTIFÓLIO'!$C$4:$C$433,0)),"")</f>
        <v/>
      </c>
      <c r="I437" s="257"/>
      <c r="J437" s="209">
        <f t="shared" si="49"/>
        <v>0</v>
      </c>
      <c r="K437" s="248" t="str">
        <f t="array" ref="K437">IFERROR(I437*INDEX('PORTIFÓLIO'!$S$4:$S$433,MATCH($C437,'PORTIFÓLIO'!$C$4:$C$433,0)),"")</f>
        <v/>
      </c>
      <c r="L437" s="248" t="str">
        <f t="array" ref="L437">IFERROR(J437*INDEX('PORTIFÓLIO'!$S$4:$S$433,MATCH($C437,'PORTIFÓLIO'!$C$4:$C$433,0)),"")</f>
        <v/>
      </c>
      <c r="M437" s="238"/>
      <c r="N437" s="177"/>
      <c r="O437" s="177"/>
      <c r="P437" s="177"/>
      <c r="Q437" s="177"/>
      <c r="R437" s="177"/>
      <c r="S437" s="177"/>
      <c r="T437" s="177"/>
      <c r="U437" s="177"/>
      <c r="V437" s="177"/>
      <c r="W437" s="177"/>
    </row>
    <row r="438" ht="15.75" customHeight="1" outlineLevel="1">
      <c r="A438" s="190"/>
      <c r="B438" s="204"/>
      <c r="C438" s="191"/>
      <c r="D438" s="205" t="str">
        <f>IFERROR(VLOOKUP($C438,'PORTIFÓLIO'!C:V,2,0),"")</f>
        <v/>
      </c>
      <c r="E438" s="190" t="str">
        <f>IFERROR(VLOOKUP($C438,'PORTIFÓLIO'!C:V,3,0),"")</f>
        <v/>
      </c>
      <c r="F438" s="190" t="str">
        <f>IFERROR(VLOOKUP($C438,'PORTIFÓLIO'!C:V,4,0),"")</f>
        <v/>
      </c>
      <c r="G438" s="206" t="str">
        <f>IFERROR(VLOOKUP($C438,'PORTIFÓLIO'!C:V,5,0),"")</f>
        <v/>
      </c>
      <c r="H438" s="247" t="str">
        <f t="array" ref="H438">IFERROR(INDEX('PORTIFÓLIO'!$H$4:$H$433,MATCH($C438,'PORTIFÓLIO'!$C$4:$C$433,0)),"")</f>
        <v/>
      </c>
      <c r="I438" s="257"/>
      <c r="J438" s="209">
        <f t="shared" si="49"/>
        <v>0</v>
      </c>
      <c r="K438" s="248" t="str">
        <f t="array" ref="K438">IFERROR(I438*INDEX('PORTIFÓLIO'!$S$4:$S$433,MATCH($C438,'PORTIFÓLIO'!$C$4:$C$433,0)),"")</f>
        <v/>
      </c>
      <c r="L438" s="248" t="str">
        <f t="array" ref="L438">IFERROR(J438*INDEX('PORTIFÓLIO'!$S$4:$S$433,MATCH($C438,'PORTIFÓLIO'!$C$4:$C$433,0)),"")</f>
        <v/>
      </c>
      <c r="M438" s="238"/>
      <c r="N438" s="177"/>
      <c r="O438" s="177"/>
      <c r="P438" s="177"/>
      <c r="Q438" s="177"/>
      <c r="R438" s="177"/>
      <c r="S438" s="177"/>
      <c r="T438" s="177"/>
      <c r="U438" s="177"/>
      <c r="V438" s="177"/>
      <c r="W438" s="177"/>
    </row>
    <row r="439" ht="15.75" customHeight="1" outlineLevel="1">
      <c r="A439" s="190"/>
      <c r="B439" s="204"/>
      <c r="C439" s="191"/>
      <c r="D439" s="205" t="str">
        <f>IFERROR(VLOOKUP($C439,'PORTIFÓLIO'!C:V,2,0),"")</f>
        <v/>
      </c>
      <c r="E439" s="190" t="str">
        <f>IFERROR(VLOOKUP($C439,'PORTIFÓLIO'!C:V,3,0),"")</f>
        <v/>
      </c>
      <c r="F439" s="190" t="str">
        <f>IFERROR(VLOOKUP($C439,'PORTIFÓLIO'!C:V,4,0),"")</f>
        <v/>
      </c>
      <c r="G439" s="206" t="str">
        <f>IFERROR(VLOOKUP($C439,'PORTIFÓLIO'!C:V,5,0),"")</f>
        <v/>
      </c>
      <c r="H439" s="247" t="str">
        <f t="array" ref="H439">IFERROR(INDEX('PORTIFÓLIO'!$H$4:$H$433,MATCH($C439,'PORTIFÓLIO'!$C$4:$C$433,0)),"")</f>
        <v/>
      </c>
      <c r="I439" s="257"/>
      <c r="J439" s="209">
        <f t="shared" si="49"/>
        <v>0</v>
      </c>
      <c r="K439" s="248" t="str">
        <f t="array" ref="K439">IFERROR(I439*INDEX('PORTIFÓLIO'!$S$4:$S$433,MATCH($C439,'PORTIFÓLIO'!$C$4:$C$433,0)),"")</f>
        <v/>
      </c>
      <c r="L439" s="248" t="str">
        <f t="array" ref="L439">IFERROR(J439*INDEX('PORTIFÓLIO'!$S$4:$S$433,MATCH($C439,'PORTIFÓLIO'!$C$4:$C$433,0)),"")</f>
        <v/>
      </c>
      <c r="M439" s="238"/>
      <c r="N439" s="177"/>
      <c r="O439" s="177"/>
      <c r="P439" s="177"/>
      <c r="Q439" s="177"/>
      <c r="R439" s="177"/>
      <c r="S439" s="177"/>
      <c r="T439" s="177"/>
      <c r="U439" s="177"/>
      <c r="V439" s="177"/>
      <c r="W439" s="177"/>
    </row>
    <row r="440" ht="15.75" customHeight="1" outlineLevel="1">
      <c r="A440" s="190"/>
      <c r="B440" s="204"/>
      <c r="C440" s="191"/>
      <c r="D440" s="205" t="str">
        <f>IFERROR(VLOOKUP($C440,'PORTIFÓLIO'!C:V,2,0),"")</f>
        <v/>
      </c>
      <c r="E440" s="190" t="str">
        <f>IFERROR(VLOOKUP($C440,'PORTIFÓLIO'!C:V,3,0),"")</f>
        <v/>
      </c>
      <c r="F440" s="190" t="str">
        <f>IFERROR(VLOOKUP($C440,'PORTIFÓLIO'!C:V,4,0),"")</f>
        <v/>
      </c>
      <c r="G440" s="206" t="str">
        <f>IFERROR(VLOOKUP($C440,'PORTIFÓLIO'!C:V,5,0),"")</f>
        <v/>
      </c>
      <c r="H440" s="247" t="str">
        <f t="array" ref="H440">IFERROR(INDEX('PORTIFÓLIO'!$H$4:$H$433,MATCH($C440,'PORTIFÓLIO'!$C$4:$C$433,0)),"")</f>
        <v/>
      </c>
      <c r="I440" s="257"/>
      <c r="J440" s="209">
        <f t="shared" si="49"/>
        <v>0</v>
      </c>
      <c r="K440" s="248" t="str">
        <f t="array" ref="K440">IFERROR(I440*INDEX('PORTIFÓLIO'!$S$4:$S$433,MATCH($C440,'PORTIFÓLIO'!$C$4:$C$433,0)),"")</f>
        <v/>
      </c>
      <c r="L440" s="248" t="str">
        <f t="array" ref="L440">IFERROR(J440*INDEX('PORTIFÓLIO'!$S$4:$S$433,MATCH($C440,'PORTIFÓLIO'!$C$4:$C$433,0)),"")</f>
        <v/>
      </c>
      <c r="M440" s="238"/>
      <c r="N440" s="177"/>
      <c r="O440" s="177"/>
      <c r="P440" s="177"/>
      <c r="Q440" s="177"/>
      <c r="R440" s="177"/>
      <c r="S440" s="177"/>
      <c r="T440" s="177"/>
      <c r="U440" s="177"/>
      <c r="V440" s="177"/>
      <c r="W440" s="177"/>
    </row>
    <row r="441" ht="15.75" customHeight="1" outlineLevel="1">
      <c r="A441" s="190"/>
      <c r="B441" s="204"/>
      <c r="C441" s="191"/>
      <c r="D441" s="205" t="str">
        <f>IFERROR(VLOOKUP($C441,'PORTIFÓLIO'!C:V,2,0),"")</f>
        <v/>
      </c>
      <c r="E441" s="190" t="str">
        <f>IFERROR(VLOOKUP($C441,'PORTIFÓLIO'!C:V,3,0),"")</f>
        <v/>
      </c>
      <c r="F441" s="190" t="str">
        <f>IFERROR(VLOOKUP($C441,'PORTIFÓLIO'!C:V,4,0),"")</f>
        <v/>
      </c>
      <c r="G441" s="206" t="str">
        <f>IFERROR(VLOOKUP($C441,'PORTIFÓLIO'!C:V,5,0),"")</f>
        <v/>
      </c>
      <c r="H441" s="247" t="str">
        <f t="array" ref="H441">IFERROR(INDEX('PORTIFÓLIO'!$H$4:$H$433,MATCH($C441,'PORTIFÓLIO'!$C$4:$C$433,0)),"")</f>
        <v/>
      </c>
      <c r="I441" s="257"/>
      <c r="J441" s="209">
        <f t="shared" si="49"/>
        <v>0</v>
      </c>
      <c r="K441" s="248" t="str">
        <f t="array" ref="K441">IFERROR(I441*INDEX('PORTIFÓLIO'!$S$4:$S$433,MATCH($C441,'PORTIFÓLIO'!$C$4:$C$433,0)),"")</f>
        <v/>
      </c>
      <c r="L441" s="248" t="str">
        <f t="array" ref="L441">IFERROR(J441*INDEX('PORTIFÓLIO'!$S$4:$S$433,MATCH($C441,'PORTIFÓLIO'!$C$4:$C$433,0)),"")</f>
        <v/>
      </c>
      <c r="M441" s="238"/>
      <c r="N441" s="177"/>
      <c r="O441" s="177"/>
      <c r="P441" s="177"/>
      <c r="Q441" s="177"/>
      <c r="R441" s="177"/>
      <c r="S441" s="177"/>
      <c r="T441" s="177"/>
      <c r="U441" s="177"/>
      <c r="V441" s="177"/>
      <c r="W441" s="177"/>
    </row>
    <row r="442" ht="15.75" customHeight="1" outlineLevel="1">
      <c r="A442" s="190"/>
      <c r="B442" s="204"/>
      <c r="C442" s="191"/>
      <c r="D442" s="205" t="str">
        <f>IFERROR(VLOOKUP($C442,'PORTIFÓLIO'!C:V,2,0),"")</f>
        <v/>
      </c>
      <c r="E442" s="190" t="str">
        <f>IFERROR(VLOOKUP($C442,'PORTIFÓLIO'!C:V,3,0),"")</f>
        <v/>
      </c>
      <c r="F442" s="190" t="str">
        <f>IFERROR(VLOOKUP($C442,'PORTIFÓLIO'!C:V,4,0),"")</f>
        <v/>
      </c>
      <c r="G442" s="206" t="str">
        <f>IFERROR(VLOOKUP($C442,'PORTIFÓLIO'!C:V,5,0),"")</f>
        <v/>
      </c>
      <c r="H442" s="247" t="str">
        <f t="array" ref="H442">IFERROR(INDEX('PORTIFÓLIO'!$H$4:$H$433,MATCH($C442,'PORTIFÓLIO'!$C$4:$C$433,0)),"")</f>
        <v/>
      </c>
      <c r="I442" s="257"/>
      <c r="J442" s="209">
        <f t="shared" si="49"/>
        <v>0</v>
      </c>
      <c r="K442" s="248" t="str">
        <f t="array" ref="K442">IFERROR(I442*INDEX('PORTIFÓLIO'!$S$4:$S$433,MATCH($C442,'PORTIFÓLIO'!$C$4:$C$433,0)),"")</f>
        <v/>
      </c>
      <c r="L442" s="248" t="str">
        <f t="array" ref="L442">IFERROR(J442*INDEX('PORTIFÓLIO'!$S$4:$S$433,MATCH($C442,'PORTIFÓLIO'!$C$4:$C$433,0)),"")</f>
        <v/>
      </c>
      <c r="M442" s="238"/>
      <c r="N442" s="177"/>
      <c r="O442" s="177"/>
      <c r="P442" s="177"/>
      <c r="Q442" s="177"/>
      <c r="R442" s="177"/>
      <c r="S442" s="177"/>
      <c r="T442" s="177"/>
      <c r="U442" s="177"/>
      <c r="V442" s="177"/>
      <c r="W442" s="177"/>
    </row>
    <row r="443" ht="15.75" customHeight="1" outlineLevel="1">
      <c r="A443" s="190"/>
      <c r="B443" s="238"/>
      <c r="C443" s="190"/>
      <c r="D443" s="205" t="str">
        <f>IFERROR(VLOOKUP($C443,'PORTIFÓLIO'!C:V,2,0),"")</f>
        <v/>
      </c>
      <c r="E443" s="190" t="str">
        <f>IFERROR(VLOOKUP($C443,'PORTIFÓLIO'!C:V,3,0),"")</f>
        <v/>
      </c>
      <c r="F443" s="190" t="str">
        <f>IFERROR(VLOOKUP($C443,'PORTIFÓLIO'!C:V,4,0),"")</f>
        <v/>
      </c>
      <c r="G443" s="206" t="str">
        <f>IFERROR(VLOOKUP($C443,'PORTIFÓLIO'!C:V,5,0),"")</f>
        <v/>
      </c>
      <c r="H443" s="247" t="str">
        <f t="array" ref="H443">IFERROR(INDEX('PORTIFÓLIO'!$H$4:$H$433,MATCH($C443,'PORTIFÓLIO'!$C$4:$C$433,0)),"")</f>
        <v/>
      </c>
      <c r="I443" s="257"/>
      <c r="J443" s="209">
        <f t="shared" si="49"/>
        <v>0</v>
      </c>
      <c r="K443" s="248" t="str">
        <f t="array" ref="K443">IFERROR(I443*INDEX('PORTIFÓLIO'!$S$4:$S$433,MATCH($C443,'PORTIFÓLIO'!$C$4:$C$433,0)),"")</f>
        <v/>
      </c>
      <c r="L443" s="248" t="str">
        <f t="array" ref="L443">IFERROR(J443*INDEX('PORTIFÓLIO'!$S$4:$S$433,MATCH($C443,'PORTIFÓLIO'!$C$4:$C$433,0)),"")</f>
        <v/>
      </c>
      <c r="M443" s="238"/>
      <c r="N443" s="177"/>
      <c r="O443" s="177"/>
      <c r="P443" s="177"/>
      <c r="Q443" s="177"/>
      <c r="R443" s="177"/>
      <c r="S443" s="177"/>
      <c r="T443" s="177"/>
      <c r="U443" s="177"/>
      <c r="V443" s="177"/>
      <c r="W443" s="177"/>
    </row>
    <row r="444" ht="15.75" customHeight="1" outlineLevel="1">
      <c r="A444" s="190"/>
      <c r="B444" s="238"/>
      <c r="C444" s="190"/>
      <c r="D444" s="205" t="str">
        <f>IFERROR(VLOOKUP($C444,'PORTIFÓLIO'!C:V,2,0),"")</f>
        <v/>
      </c>
      <c r="E444" s="190" t="str">
        <f>IFERROR(VLOOKUP($C444,'PORTIFÓLIO'!C:V,3,0),"")</f>
        <v/>
      </c>
      <c r="F444" s="190" t="str">
        <f>IFERROR(VLOOKUP($C444,'PORTIFÓLIO'!C:V,4,0),"")</f>
        <v/>
      </c>
      <c r="G444" s="206" t="str">
        <f>IFERROR(VLOOKUP($C444,'PORTIFÓLIO'!C:V,5,0),"")</f>
        <v/>
      </c>
      <c r="H444" s="247" t="str">
        <f t="array" ref="H444">IFERROR(INDEX('PORTIFÓLIO'!$H$4:$H$433,MATCH($C444,'PORTIFÓLIO'!$C$4:$C$433,0)),"")</f>
        <v/>
      </c>
      <c r="I444" s="257"/>
      <c r="J444" s="209">
        <f t="shared" si="49"/>
        <v>0</v>
      </c>
      <c r="K444" s="248" t="str">
        <f t="array" ref="K444">IFERROR(I444*INDEX('PORTIFÓLIO'!$S$4:$S$433,MATCH($C444,'PORTIFÓLIO'!$C$4:$C$433,0)),"")</f>
        <v/>
      </c>
      <c r="L444" s="248" t="str">
        <f t="array" ref="L444">IFERROR(J444*INDEX('PORTIFÓLIO'!$S$4:$S$433,MATCH($C444,'PORTIFÓLIO'!$C$4:$C$433,0)),"")</f>
        <v/>
      </c>
      <c r="M444" s="238"/>
      <c r="N444" s="177"/>
      <c r="O444" s="177"/>
      <c r="P444" s="177"/>
      <c r="Q444" s="177"/>
      <c r="R444" s="177"/>
      <c r="S444" s="177"/>
      <c r="T444" s="177"/>
      <c r="U444" s="177"/>
      <c r="V444" s="177"/>
      <c r="W444" s="177"/>
    </row>
    <row r="445" ht="15.75" customHeight="1" outlineLevel="1">
      <c r="A445" s="190"/>
      <c r="B445" s="238"/>
      <c r="C445" s="190"/>
      <c r="D445" s="205" t="str">
        <f>IFERROR(VLOOKUP($C445,'PORTIFÓLIO'!C:V,2,0),"")</f>
        <v/>
      </c>
      <c r="E445" s="190" t="str">
        <f>IFERROR(VLOOKUP($C445,'PORTIFÓLIO'!C:V,3,0),"")</f>
        <v/>
      </c>
      <c r="F445" s="190" t="str">
        <f>IFERROR(VLOOKUP($C445,'PORTIFÓLIO'!C:V,4,0),"")</f>
        <v/>
      </c>
      <c r="G445" s="206" t="str">
        <f>IFERROR(VLOOKUP($C445,'PORTIFÓLIO'!C:V,5,0),"")</f>
        <v/>
      </c>
      <c r="H445" s="247" t="str">
        <f t="array" ref="H445">IFERROR(INDEX('PORTIFÓLIO'!$H$4:$H$433,MATCH($C445,'PORTIFÓLIO'!$C$4:$C$433,0)),"")</f>
        <v/>
      </c>
      <c r="I445" s="257"/>
      <c r="J445" s="209">
        <f t="shared" si="49"/>
        <v>0</v>
      </c>
      <c r="K445" s="248" t="str">
        <f t="array" ref="K445">IFERROR(I445*INDEX('PORTIFÓLIO'!$S$4:$S$433,MATCH($C445,'PORTIFÓLIO'!$C$4:$C$433,0)),"")</f>
        <v/>
      </c>
      <c r="L445" s="248" t="str">
        <f t="array" ref="L445">IFERROR(J445*INDEX('PORTIFÓLIO'!$S$4:$S$433,MATCH($C445,'PORTIFÓLIO'!$C$4:$C$433,0)),"")</f>
        <v/>
      </c>
      <c r="M445" s="238"/>
      <c r="N445" s="177"/>
      <c r="O445" s="177"/>
      <c r="P445" s="177"/>
      <c r="Q445" s="177"/>
      <c r="R445" s="177"/>
      <c r="S445" s="177"/>
      <c r="T445" s="177"/>
      <c r="U445" s="177"/>
      <c r="V445" s="177"/>
      <c r="W445" s="177"/>
    </row>
    <row r="446" ht="15.75" customHeight="1" outlineLevel="1">
      <c r="A446" s="190"/>
      <c r="B446" s="238"/>
      <c r="C446" s="190"/>
      <c r="D446" s="205" t="str">
        <f>IFERROR(VLOOKUP($C446,'PORTIFÓLIO'!C:V,2,0),"")</f>
        <v/>
      </c>
      <c r="E446" s="190" t="str">
        <f>IFERROR(VLOOKUP($C446,'PORTIFÓLIO'!C:V,3,0),"")</f>
        <v/>
      </c>
      <c r="F446" s="190" t="str">
        <f>IFERROR(VLOOKUP($C446,'PORTIFÓLIO'!C:V,4,0),"")</f>
        <v/>
      </c>
      <c r="G446" s="206" t="str">
        <f>IFERROR(VLOOKUP($C446,'PORTIFÓLIO'!C:V,5,0),"")</f>
        <v/>
      </c>
      <c r="H446" s="247" t="str">
        <f t="array" ref="H446">IFERROR(INDEX('PORTIFÓLIO'!$H$4:$H$433,MATCH($C446,'PORTIFÓLIO'!$C$4:$C$433,0)),"")</f>
        <v/>
      </c>
      <c r="I446" s="257"/>
      <c r="J446" s="209">
        <f t="shared" si="49"/>
        <v>0</v>
      </c>
      <c r="K446" s="248" t="str">
        <f t="array" ref="K446">IFERROR(I446*INDEX('PORTIFÓLIO'!$S$4:$S$433,MATCH($C446,'PORTIFÓLIO'!$C$4:$C$433,0)),"")</f>
        <v/>
      </c>
      <c r="L446" s="248" t="str">
        <f t="array" ref="L446">IFERROR(J446*INDEX('PORTIFÓLIO'!$S$4:$S$433,MATCH($C446,'PORTIFÓLIO'!$C$4:$C$433,0)),"")</f>
        <v/>
      </c>
      <c r="M446" s="238"/>
      <c r="N446" s="177"/>
      <c r="O446" s="177"/>
      <c r="P446" s="177"/>
      <c r="Q446" s="177"/>
      <c r="R446" s="177"/>
      <c r="S446" s="177"/>
      <c r="T446" s="177"/>
      <c r="U446" s="177"/>
      <c r="V446" s="177"/>
      <c r="W446" s="177"/>
    </row>
    <row r="447" ht="15.75" customHeight="1" outlineLevel="1">
      <c r="A447" s="190"/>
      <c r="B447" s="238"/>
      <c r="C447" s="190"/>
      <c r="D447" s="205" t="str">
        <f>IFERROR(VLOOKUP($C447,'PORTIFÓLIO'!C:V,2,0),"")</f>
        <v/>
      </c>
      <c r="E447" s="190" t="str">
        <f>IFERROR(VLOOKUP($C447,'PORTIFÓLIO'!C:V,3,0),"")</f>
        <v/>
      </c>
      <c r="F447" s="190" t="str">
        <f>IFERROR(VLOOKUP($C447,'PORTIFÓLIO'!C:V,4,0),"")</f>
        <v/>
      </c>
      <c r="G447" s="206" t="str">
        <f>IFERROR(VLOOKUP($C447,'PORTIFÓLIO'!C:V,5,0),"")</f>
        <v/>
      </c>
      <c r="H447" s="247" t="str">
        <f t="array" ref="H447">IFERROR(INDEX('PORTIFÓLIO'!$H$4:$H$433,MATCH($C447,'PORTIFÓLIO'!$C$4:$C$433,0)),"")</f>
        <v/>
      </c>
      <c r="I447" s="257"/>
      <c r="J447" s="209">
        <f t="shared" si="49"/>
        <v>0</v>
      </c>
      <c r="K447" s="248" t="str">
        <f t="array" ref="K447">IFERROR(I447*INDEX('PORTIFÓLIO'!$S$4:$S$433,MATCH($C447,'PORTIFÓLIO'!$C$4:$C$433,0)),"")</f>
        <v/>
      </c>
      <c r="L447" s="248" t="str">
        <f t="array" ref="L447">IFERROR(J447*INDEX('PORTIFÓLIO'!$S$4:$S$433,MATCH($C447,'PORTIFÓLIO'!$C$4:$C$433,0)),"")</f>
        <v/>
      </c>
      <c r="M447" s="238"/>
      <c r="N447" s="177"/>
      <c r="O447" s="177"/>
      <c r="P447" s="177"/>
      <c r="Q447" s="177"/>
      <c r="R447" s="177"/>
      <c r="S447" s="177"/>
      <c r="T447" s="177"/>
      <c r="U447" s="177"/>
      <c r="V447" s="177"/>
      <c r="W447" s="177"/>
    </row>
    <row r="448" ht="15.75" customHeight="1" outlineLevel="1">
      <c r="A448" s="190"/>
      <c r="B448" s="238"/>
      <c r="C448" s="190"/>
      <c r="D448" s="205" t="str">
        <f>IFERROR(VLOOKUP($C448,'PORTIFÓLIO'!C:V,2,0),"")</f>
        <v/>
      </c>
      <c r="E448" s="190" t="str">
        <f>IFERROR(VLOOKUP($C448,'PORTIFÓLIO'!C:V,3,0),"")</f>
        <v/>
      </c>
      <c r="F448" s="190" t="str">
        <f>IFERROR(VLOOKUP($C448,'PORTIFÓLIO'!C:V,4,0),"")</f>
        <v/>
      </c>
      <c r="G448" s="206" t="str">
        <f>IFERROR(VLOOKUP($C448,'PORTIFÓLIO'!C:V,5,0),"")</f>
        <v/>
      </c>
      <c r="H448" s="247" t="str">
        <f t="array" ref="H448">IFERROR(INDEX('PORTIFÓLIO'!$H$4:$H$433,MATCH($C448,'PORTIFÓLIO'!$C$4:$C$433,0)),"")</f>
        <v/>
      </c>
      <c r="I448" s="257"/>
      <c r="J448" s="209">
        <f t="shared" si="49"/>
        <v>0</v>
      </c>
      <c r="K448" s="248" t="str">
        <f t="array" ref="K448">IFERROR(I448*INDEX('PORTIFÓLIO'!$S$4:$S$433,MATCH($C448,'PORTIFÓLIO'!$C$4:$C$433,0)),"")</f>
        <v/>
      </c>
      <c r="L448" s="248" t="str">
        <f t="array" ref="L448">IFERROR(J448*INDEX('PORTIFÓLIO'!$S$4:$S$433,MATCH($C448,'PORTIFÓLIO'!$C$4:$C$433,0)),"")</f>
        <v/>
      </c>
      <c r="M448" s="238"/>
      <c r="N448" s="177"/>
      <c r="O448" s="177"/>
      <c r="P448" s="177"/>
      <c r="Q448" s="177"/>
      <c r="R448" s="177"/>
      <c r="S448" s="177"/>
      <c r="T448" s="177"/>
      <c r="U448" s="177"/>
      <c r="V448" s="177"/>
      <c r="W448" s="177"/>
    </row>
    <row r="449" ht="15.75" customHeight="1" outlineLevel="1">
      <c r="A449" s="190"/>
      <c r="B449" s="238"/>
      <c r="C449" s="190"/>
      <c r="D449" s="205" t="str">
        <f>IFERROR(VLOOKUP($C449,'PORTIFÓLIO'!C:V,2,0),"")</f>
        <v/>
      </c>
      <c r="E449" s="190" t="str">
        <f>IFERROR(VLOOKUP($C449,'PORTIFÓLIO'!C:V,3,0),"")</f>
        <v/>
      </c>
      <c r="F449" s="190" t="str">
        <f>IFERROR(VLOOKUP($C449,'PORTIFÓLIO'!C:V,4,0),"")</f>
        <v/>
      </c>
      <c r="G449" s="206" t="str">
        <f>IFERROR(VLOOKUP($C449,'PORTIFÓLIO'!C:V,5,0),"")</f>
        <v/>
      </c>
      <c r="H449" s="247" t="str">
        <f t="array" ref="H449">IFERROR(INDEX('PORTIFÓLIO'!$H$4:$H$433,MATCH($C449,'PORTIFÓLIO'!$C$4:$C$433,0)),"")</f>
        <v/>
      </c>
      <c r="I449" s="257"/>
      <c r="J449" s="209">
        <f t="shared" si="49"/>
        <v>0</v>
      </c>
      <c r="K449" s="248" t="str">
        <f t="array" ref="K449">IFERROR(I449*INDEX('PORTIFÓLIO'!$S$4:$S$433,MATCH($C449,'PORTIFÓLIO'!$C$4:$C$433,0)),"")</f>
        <v/>
      </c>
      <c r="L449" s="248" t="str">
        <f t="array" ref="L449">IFERROR(J449*INDEX('PORTIFÓLIO'!$S$4:$S$433,MATCH($C449,'PORTIFÓLIO'!$C$4:$C$433,0)),"")</f>
        <v/>
      </c>
      <c r="M449" s="238"/>
      <c r="N449" s="177"/>
      <c r="O449" s="177"/>
      <c r="P449" s="177"/>
      <c r="Q449" s="177"/>
      <c r="R449" s="177"/>
      <c r="S449" s="177"/>
      <c r="T449" s="177"/>
      <c r="U449" s="177"/>
      <c r="V449" s="177"/>
      <c r="W449" s="177"/>
    </row>
    <row r="450" ht="15.75" customHeight="1" outlineLevel="1">
      <c r="A450" s="190"/>
      <c r="B450" s="238"/>
      <c r="C450" s="190"/>
      <c r="D450" s="205" t="str">
        <f>IFERROR(VLOOKUP($C450,'PORTIFÓLIO'!C:V,2,0),"")</f>
        <v/>
      </c>
      <c r="E450" s="190" t="str">
        <f>IFERROR(VLOOKUP($C450,'PORTIFÓLIO'!C:V,3,0),"")</f>
        <v/>
      </c>
      <c r="F450" s="190" t="str">
        <f>IFERROR(VLOOKUP($C450,'PORTIFÓLIO'!C:V,4,0),"")</f>
        <v/>
      </c>
      <c r="G450" s="206" t="str">
        <f>IFERROR(VLOOKUP($C450,'PORTIFÓLIO'!C:V,5,0),"")</f>
        <v/>
      </c>
      <c r="H450" s="247" t="str">
        <f t="array" ref="H450">IFERROR(INDEX('PORTIFÓLIO'!$H$4:$H$433,MATCH($C450,'PORTIFÓLIO'!$C$4:$C$433,0)),"")</f>
        <v/>
      </c>
      <c r="I450" s="257"/>
      <c r="J450" s="209">
        <f t="shared" si="49"/>
        <v>0</v>
      </c>
      <c r="K450" s="248" t="str">
        <f t="array" ref="K450">IFERROR(I450*INDEX('PORTIFÓLIO'!$S$4:$S$433,MATCH($C450,'PORTIFÓLIO'!$C$4:$C$433,0)),"")</f>
        <v/>
      </c>
      <c r="L450" s="248" t="str">
        <f t="array" ref="L450">IFERROR(J450*INDEX('PORTIFÓLIO'!$S$4:$S$433,MATCH($C450,'PORTIFÓLIO'!$C$4:$C$433,0)),"")</f>
        <v/>
      </c>
      <c r="M450" s="238"/>
      <c r="N450" s="177"/>
      <c r="O450" s="177"/>
      <c r="P450" s="177"/>
      <c r="Q450" s="177"/>
      <c r="R450" s="177"/>
      <c r="S450" s="177"/>
      <c r="T450" s="177"/>
      <c r="U450" s="177"/>
      <c r="V450" s="177"/>
      <c r="W450" s="177"/>
    </row>
    <row r="451" ht="15.75" customHeight="1" outlineLevel="1">
      <c r="A451" s="190"/>
      <c r="B451" s="238"/>
      <c r="C451" s="190"/>
      <c r="D451" s="205" t="str">
        <f>IFERROR(VLOOKUP($C451,'PORTIFÓLIO'!C:V,2,0),"")</f>
        <v/>
      </c>
      <c r="E451" s="190" t="str">
        <f>IFERROR(VLOOKUP($C451,'PORTIFÓLIO'!C:V,3,0),"")</f>
        <v/>
      </c>
      <c r="F451" s="190" t="str">
        <f>IFERROR(VLOOKUP($C451,'PORTIFÓLIO'!C:V,4,0),"")</f>
        <v/>
      </c>
      <c r="G451" s="206" t="str">
        <f>IFERROR(VLOOKUP($C451,'PORTIFÓLIO'!C:V,5,0),"")</f>
        <v/>
      </c>
      <c r="H451" s="247" t="str">
        <f t="array" ref="H451">IFERROR(INDEX('PORTIFÓLIO'!$H$4:$H$433,MATCH($C451,'PORTIFÓLIO'!$C$4:$C$433,0)),"")</f>
        <v/>
      </c>
      <c r="I451" s="257"/>
      <c r="J451" s="209">
        <f t="shared" si="49"/>
        <v>0</v>
      </c>
      <c r="K451" s="248" t="str">
        <f t="array" ref="K451">IFERROR(I451*INDEX('PORTIFÓLIO'!$S$4:$S$433,MATCH($C451,'PORTIFÓLIO'!$C$4:$C$433,0)),"")</f>
        <v/>
      </c>
      <c r="L451" s="248" t="str">
        <f t="array" ref="L451">IFERROR(J451*INDEX('PORTIFÓLIO'!$S$4:$S$433,MATCH($C451,'PORTIFÓLIO'!$C$4:$C$433,0)),"")</f>
        <v/>
      </c>
      <c r="M451" s="238"/>
      <c r="N451" s="177"/>
      <c r="O451" s="177"/>
      <c r="P451" s="177"/>
      <c r="Q451" s="177"/>
      <c r="R451" s="177"/>
      <c r="S451" s="177"/>
      <c r="T451" s="177"/>
      <c r="U451" s="177"/>
      <c r="V451" s="177"/>
      <c r="W451" s="177"/>
    </row>
    <row r="452" ht="15.75" customHeight="1">
      <c r="A452" s="238"/>
      <c r="B452" s="238"/>
      <c r="C452" s="238"/>
      <c r="D452" s="238"/>
      <c r="E452" s="238"/>
      <c r="F452" s="238"/>
      <c r="G452" s="206"/>
      <c r="H452" s="238"/>
      <c r="I452" s="238"/>
      <c r="J452" s="238"/>
      <c r="K452" s="249">
        <f t="shared" ref="K452:L452" si="50">SUBTOTAL(9,K237:K427)</f>
        <v>321.274076</v>
      </c>
      <c r="L452" s="249">
        <f t="shared" si="50"/>
        <v>33091.22983</v>
      </c>
      <c r="M452" s="238"/>
      <c r="N452" s="177"/>
      <c r="O452" s="177"/>
      <c r="P452" s="177"/>
      <c r="Q452" s="177"/>
      <c r="R452" s="177"/>
      <c r="S452" s="177"/>
      <c r="T452" s="177"/>
      <c r="U452" s="177"/>
      <c r="V452" s="177"/>
      <c r="W452" s="177"/>
    </row>
    <row r="453" ht="15.75" customHeight="1">
      <c r="A453" s="177"/>
      <c r="B453" s="177"/>
      <c r="C453" s="177"/>
      <c r="D453" s="177"/>
      <c r="E453" s="177"/>
      <c r="F453" s="177"/>
      <c r="G453" s="177"/>
      <c r="H453" s="177"/>
      <c r="I453" s="177"/>
      <c r="J453" s="177"/>
      <c r="K453" s="177"/>
      <c r="L453" s="177"/>
      <c r="M453" s="177"/>
      <c r="N453" s="177"/>
      <c r="O453" s="177"/>
      <c r="P453" s="177"/>
      <c r="Q453" s="177"/>
      <c r="R453" s="177"/>
      <c r="S453" s="177"/>
      <c r="T453" s="177"/>
      <c r="U453" s="177"/>
      <c r="V453" s="177"/>
      <c r="W453" s="177"/>
    </row>
    <row r="454" ht="15.75" customHeight="1">
      <c r="A454" s="177"/>
      <c r="B454" s="177"/>
      <c r="C454" s="177"/>
      <c r="D454" s="177"/>
      <c r="E454" s="177"/>
      <c r="F454" s="177"/>
      <c r="G454" s="177"/>
      <c r="H454" s="177"/>
      <c r="I454" s="177"/>
      <c r="J454" s="177"/>
      <c r="K454" s="177"/>
      <c r="L454" s="177"/>
      <c r="M454" s="177"/>
      <c r="N454" s="177"/>
      <c r="O454" s="177"/>
      <c r="P454" s="177"/>
      <c r="Q454" s="177"/>
      <c r="R454" s="177"/>
      <c r="S454" s="177"/>
      <c r="T454" s="177"/>
      <c r="U454" s="177"/>
      <c r="V454" s="177"/>
      <c r="W454" s="177"/>
    </row>
    <row r="455" ht="15.75" customHeight="1">
      <c r="A455" s="177"/>
      <c r="B455" s="177"/>
      <c r="C455" s="177"/>
      <c r="D455" s="177"/>
      <c r="E455" s="177"/>
      <c r="F455" s="177"/>
      <c r="G455" s="177"/>
      <c r="H455" s="177"/>
      <c r="I455" s="177"/>
      <c r="J455" s="177"/>
      <c r="K455" s="177"/>
      <c r="L455" s="177"/>
      <c r="M455" s="177"/>
      <c r="N455" s="177"/>
      <c r="O455" s="177"/>
      <c r="P455" s="177"/>
      <c r="Q455" s="177"/>
      <c r="R455" s="177"/>
      <c r="S455" s="177"/>
      <c r="T455" s="177"/>
      <c r="U455" s="177"/>
      <c r="V455" s="177"/>
      <c r="W455" s="177"/>
    </row>
    <row r="456" ht="15.75" customHeight="1">
      <c r="A456" s="177"/>
      <c r="B456" s="177"/>
      <c r="C456" s="177"/>
      <c r="D456" s="177"/>
      <c r="E456" s="177"/>
      <c r="F456" s="177"/>
      <c r="G456" s="177"/>
      <c r="H456" s="177"/>
      <c r="I456" s="177"/>
      <c r="J456" s="177"/>
      <c r="K456" s="177"/>
      <c r="L456" s="177"/>
      <c r="M456" s="177"/>
      <c r="N456" s="177"/>
      <c r="O456" s="177"/>
      <c r="P456" s="177"/>
      <c r="Q456" s="177"/>
      <c r="R456" s="177"/>
      <c r="S456" s="177"/>
      <c r="T456" s="177"/>
      <c r="U456" s="177"/>
      <c r="V456" s="177"/>
      <c r="W456" s="177"/>
    </row>
    <row r="457" ht="15.75" customHeight="1">
      <c r="A457" s="177"/>
      <c r="B457" s="177"/>
      <c r="C457" s="177"/>
      <c r="D457" s="177"/>
      <c r="E457" s="177"/>
      <c r="F457" s="177"/>
      <c r="G457" s="177"/>
      <c r="H457" s="177"/>
      <c r="I457" s="177"/>
      <c r="J457" s="177"/>
      <c r="K457" s="177"/>
      <c r="L457" s="177"/>
      <c r="M457" s="177"/>
      <c r="N457" s="177"/>
      <c r="O457" s="177"/>
      <c r="P457" s="177"/>
      <c r="Q457" s="177"/>
      <c r="R457" s="177"/>
      <c r="S457" s="177"/>
      <c r="T457" s="177"/>
      <c r="U457" s="177"/>
      <c r="V457" s="177"/>
      <c r="W457" s="177"/>
    </row>
    <row r="458" ht="15.75" customHeight="1">
      <c r="A458" s="177"/>
      <c r="B458" s="177"/>
      <c r="C458" s="177"/>
      <c r="D458" s="177"/>
      <c r="E458" s="177"/>
      <c r="F458" s="177"/>
      <c r="G458" s="177"/>
      <c r="H458" s="177"/>
      <c r="I458" s="177"/>
      <c r="J458" s="177"/>
      <c r="K458" s="177"/>
      <c r="L458" s="177"/>
      <c r="M458" s="177"/>
      <c r="N458" s="177"/>
      <c r="O458" s="177"/>
      <c r="P458" s="177"/>
      <c r="Q458" s="177"/>
      <c r="R458" s="177"/>
      <c r="S458" s="177"/>
      <c r="T458" s="177"/>
      <c r="U458" s="177"/>
      <c r="V458" s="177"/>
      <c r="W458" s="177"/>
    </row>
    <row r="459" ht="15.75" customHeight="1">
      <c r="A459" s="177"/>
      <c r="B459" s="177"/>
      <c r="C459" s="177"/>
      <c r="D459" s="177"/>
      <c r="E459" s="177"/>
      <c r="F459" s="177"/>
      <c r="G459" s="177"/>
      <c r="H459" s="177"/>
      <c r="I459" s="177"/>
      <c r="J459" s="177"/>
      <c r="K459" s="177"/>
      <c r="L459" s="177"/>
      <c r="M459" s="177"/>
      <c r="N459" s="177"/>
      <c r="O459" s="177"/>
      <c r="P459" s="177"/>
      <c r="Q459" s="177"/>
      <c r="R459" s="177"/>
      <c r="S459" s="177"/>
      <c r="T459" s="177"/>
      <c r="U459" s="177"/>
      <c r="V459" s="177"/>
      <c r="W459" s="177"/>
    </row>
    <row r="460" ht="15.75" customHeight="1">
      <c r="A460" s="177"/>
      <c r="B460" s="177"/>
      <c r="C460" s="177"/>
      <c r="D460" s="177"/>
      <c r="E460" s="177"/>
      <c r="F460" s="177"/>
      <c r="G460" s="177"/>
      <c r="H460" s="177"/>
      <c r="I460" s="177"/>
      <c r="J460" s="177"/>
      <c r="K460" s="177"/>
      <c r="L460" s="177"/>
      <c r="M460" s="177"/>
      <c r="N460" s="177"/>
      <c r="O460" s="177"/>
      <c r="P460" s="177"/>
      <c r="Q460" s="177"/>
      <c r="R460" s="177"/>
      <c r="S460" s="177"/>
      <c r="T460" s="177"/>
      <c r="U460" s="177"/>
      <c r="V460" s="177"/>
      <c r="W460" s="177"/>
    </row>
    <row r="461" ht="15.75" customHeight="1">
      <c r="A461" s="177"/>
      <c r="B461" s="177"/>
      <c r="C461" s="177"/>
      <c r="D461" s="177"/>
      <c r="E461" s="177"/>
      <c r="F461" s="177"/>
      <c r="G461" s="177"/>
      <c r="H461" s="177"/>
      <c r="I461" s="177"/>
      <c r="J461" s="177"/>
      <c r="K461" s="177"/>
      <c r="L461" s="177"/>
      <c r="M461" s="177"/>
      <c r="N461" s="177"/>
      <c r="O461" s="177"/>
      <c r="P461" s="177"/>
      <c r="Q461" s="177"/>
      <c r="R461" s="177"/>
      <c r="S461" s="177"/>
      <c r="T461" s="177"/>
      <c r="U461" s="177"/>
      <c r="V461" s="177"/>
      <c r="W461" s="177"/>
    </row>
    <row r="462" ht="15.75" customHeight="1">
      <c r="A462" s="177"/>
      <c r="B462" s="177"/>
      <c r="C462" s="177"/>
      <c r="D462" s="177"/>
      <c r="E462" s="177"/>
      <c r="F462" s="177"/>
      <c r="G462" s="177"/>
      <c r="H462" s="177"/>
      <c r="I462" s="177"/>
      <c r="J462" s="177"/>
      <c r="K462" s="177"/>
      <c r="L462" s="177"/>
      <c r="M462" s="177"/>
      <c r="N462" s="177"/>
      <c r="O462" s="177"/>
      <c r="P462" s="177"/>
      <c r="Q462" s="177"/>
      <c r="R462" s="177"/>
      <c r="S462" s="177"/>
      <c r="T462" s="177"/>
      <c r="U462" s="177"/>
      <c r="V462" s="177"/>
      <c r="W462" s="177"/>
    </row>
    <row r="463" ht="15.75" customHeight="1">
      <c r="A463" s="177"/>
      <c r="B463" s="177"/>
      <c r="C463" s="177"/>
      <c r="D463" s="177"/>
      <c r="E463" s="177"/>
      <c r="F463" s="177"/>
      <c r="G463" s="177"/>
      <c r="H463" s="177"/>
      <c r="I463" s="177"/>
      <c r="J463" s="177"/>
      <c r="K463" s="177"/>
      <c r="L463" s="177"/>
      <c r="M463" s="177"/>
      <c r="N463" s="177"/>
      <c r="O463" s="177"/>
      <c r="P463" s="177"/>
      <c r="Q463" s="177"/>
      <c r="R463" s="177"/>
      <c r="S463" s="177"/>
      <c r="T463" s="177"/>
      <c r="U463" s="177"/>
      <c r="V463" s="177"/>
      <c r="W463" s="177"/>
    </row>
    <row r="464" ht="15.75" customHeight="1">
      <c r="A464" s="177"/>
      <c r="B464" s="177"/>
      <c r="C464" s="177"/>
      <c r="D464" s="177"/>
      <c r="E464" s="177"/>
      <c r="F464" s="177"/>
      <c r="G464" s="177"/>
      <c r="H464" s="177"/>
      <c r="I464" s="177"/>
      <c r="J464" s="177"/>
      <c r="K464" s="177"/>
      <c r="L464" s="177"/>
      <c r="M464" s="177"/>
      <c r="N464" s="177"/>
      <c r="O464" s="177"/>
      <c r="P464" s="177"/>
      <c r="Q464" s="177"/>
      <c r="R464" s="177"/>
      <c r="S464" s="177"/>
      <c r="T464" s="177"/>
      <c r="U464" s="177"/>
      <c r="V464" s="177"/>
      <c r="W464" s="177"/>
    </row>
    <row r="465" ht="15.75" customHeight="1">
      <c r="A465" s="177"/>
      <c r="B465" s="177"/>
      <c r="C465" s="177"/>
      <c r="D465" s="177"/>
      <c r="E465" s="177"/>
      <c r="F465" s="177"/>
      <c r="G465" s="177"/>
      <c r="H465" s="177"/>
      <c r="I465" s="177"/>
      <c r="J465" s="177"/>
      <c r="K465" s="177"/>
      <c r="L465" s="177"/>
      <c r="M465" s="177"/>
      <c r="N465" s="177"/>
      <c r="O465" s="177"/>
      <c r="P465" s="177"/>
      <c r="Q465" s="177"/>
      <c r="R465" s="177"/>
      <c r="S465" s="177"/>
      <c r="T465" s="177"/>
      <c r="U465" s="177"/>
      <c r="V465" s="177"/>
      <c r="W465" s="177"/>
    </row>
    <row r="466" ht="15.75" customHeight="1">
      <c r="A466" s="177"/>
      <c r="B466" s="177"/>
      <c r="C466" s="177"/>
      <c r="D466" s="177"/>
      <c r="E466" s="177"/>
      <c r="F466" s="177"/>
      <c r="G466" s="177"/>
      <c r="H466" s="177"/>
      <c r="I466" s="177"/>
      <c r="J466" s="177"/>
      <c r="K466" s="177"/>
      <c r="L466" s="177"/>
      <c r="M466" s="177"/>
      <c r="N466" s="177"/>
      <c r="O466" s="177"/>
      <c r="P466" s="177"/>
      <c r="Q466" s="177"/>
      <c r="R466" s="177"/>
      <c r="S466" s="177"/>
      <c r="T466" s="177"/>
      <c r="U466" s="177"/>
      <c r="V466" s="177"/>
      <c r="W466" s="177"/>
    </row>
    <row r="467" ht="15.75" customHeight="1">
      <c r="A467" s="177"/>
      <c r="B467" s="177"/>
      <c r="C467" s="177"/>
      <c r="D467" s="177"/>
      <c r="E467" s="177"/>
      <c r="F467" s="177"/>
      <c r="G467" s="177"/>
      <c r="H467" s="177"/>
      <c r="I467" s="177"/>
      <c r="J467" s="177"/>
      <c r="K467" s="177"/>
      <c r="L467" s="177"/>
      <c r="M467" s="177"/>
      <c r="N467" s="177"/>
      <c r="O467" s="177"/>
      <c r="P467" s="177"/>
      <c r="Q467" s="177"/>
      <c r="R467" s="177"/>
      <c r="S467" s="177"/>
      <c r="T467" s="177"/>
      <c r="U467" s="177"/>
      <c r="V467" s="177"/>
      <c r="W467" s="177"/>
    </row>
    <row r="468" ht="15.75" customHeight="1">
      <c r="A468" s="177"/>
      <c r="B468" s="177"/>
      <c r="C468" s="177"/>
      <c r="D468" s="177"/>
      <c r="E468" s="177"/>
      <c r="F468" s="177"/>
      <c r="G468" s="177"/>
      <c r="H468" s="177"/>
      <c r="I468" s="177"/>
      <c r="J468" s="177"/>
      <c r="K468" s="177"/>
      <c r="L468" s="177"/>
      <c r="M468" s="177"/>
      <c r="N468" s="177"/>
      <c r="O468" s="177"/>
      <c r="P468" s="177"/>
      <c r="Q468" s="177"/>
      <c r="R468" s="177"/>
      <c r="S468" s="177"/>
      <c r="T468" s="177"/>
      <c r="U468" s="177"/>
      <c r="V468" s="177"/>
      <c r="W468" s="177"/>
    </row>
    <row r="469" ht="15.75" customHeight="1">
      <c r="A469" s="177"/>
      <c r="B469" s="177"/>
      <c r="C469" s="177"/>
      <c r="D469" s="177"/>
      <c r="E469" s="177"/>
      <c r="F469" s="177"/>
      <c r="G469" s="177"/>
      <c r="H469" s="177"/>
      <c r="I469" s="177"/>
      <c r="J469" s="177"/>
      <c r="K469" s="177"/>
      <c r="L469" s="177"/>
      <c r="M469" s="177"/>
      <c r="N469" s="177"/>
      <c r="O469" s="177"/>
      <c r="P469" s="177"/>
      <c r="Q469" s="177"/>
      <c r="R469" s="177"/>
      <c r="S469" s="177"/>
      <c r="T469" s="177"/>
      <c r="U469" s="177"/>
      <c r="V469" s="177"/>
      <c r="W469" s="177"/>
    </row>
    <row r="470" ht="15.75" customHeight="1">
      <c r="A470" s="177"/>
      <c r="B470" s="177"/>
      <c r="C470" s="177"/>
      <c r="D470" s="177"/>
      <c r="E470" s="177"/>
      <c r="F470" s="177"/>
      <c r="G470" s="177"/>
      <c r="H470" s="177"/>
      <c r="I470" s="177"/>
      <c r="J470" s="177"/>
      <c r="K470" s="177"/>
      <c r="L470" s="177"/>
      <c r="M470" s="177"/>
      <c r="N470" s="177"/>
      <c r="O470" s="177"/>
      <c r="P470" s="177"/>
      <c r="Q470" s="177"/>
      <c r="R470" s="177"/>
      <c r="S470" s="177"/>
      <c r="T470" s="177"/>
      <c r="U470" s="177"/>
      <c r="V470" s="177"/>
      <c r="W470" s="177"/>
    </row>
    <row r="471" ht="15.75" customHeight="1">
      <c r="A471" s="177"/>
      <c r="B471" s="177"/>
      <c r="C471" s="177"/>
      <c r="D471" s="177"/>
      <c r="E471" s="177"/>
      <c r="F471" s="177"/>
      <c r="G471" s="177"/>
      <c r="H471" s="177"/>
      <c r="I471" s="177"/>
      <c r="J471" s="177"/>
      <c r="K471" s="177"/>
      <c r="L471" s="177"/>
      <c r="M471" s="177"/>
      <c r="N471" s="177"/>
      <c r="O471" s="177"/>
      <c r="P471" s="177"/>
      <c r="Q471" s="177"/>
      <c r="R471" s="177"/>
      <c r="S471" s="177"/>
      <c r="T471" s="177"/>
      <c r="U471" s="177"/>
      <c r="V471" s="177"/>
      <c r="W471" s="177"/>
    </row>
    <row r="472" ht="15.75" customHeight="1">
      <c r="A472" s="177"/>
      <c r="B472" s="177"/>
      <c r="C472" s="177"/>
      <c r="D472" s="177"/>
      <c r="E472" s="177"/>
      <c r="F472" s="177"/>
      <c r="G472" s="177"/>
      <c r="H472" s="177"/>
      <c r="I472" s="177"/>
      <c r="J472" s="177"/>
      <c r="K472" s="177"/>
      <c r="L472" s="177"/>
      <c r="M472" s="177"/>
      <c r="N472" s="177"/>
      <c r="O472" s="177"/>
      <c r="P472" s="177"/>
      <c r="Q472" s="177"/>
      <c r="R472" s="177"/>
      <c r="S472" s="177"/>
      <c r="T472" s="177"/>
      <c r="U472" s="177"/>
      <c r="V472" s="177"/>
      <c r="W472" s="177"/>
    </row>
    <row r="473" ht="15.75" customHeight="1">
      <c r="A473" s="177"/>
      <c r="B473" s="177"/>
      <c r="C473" s="177"/>
      <c r="D473" s="177"/>
      <c r="E473" s="177"/>
      <c r="F473" s="177"/>
      <c r="G473" s="177"/>
      <c r="H473" s="177"/>
      <c r="I473" s="177"/>
      <c r="J473" s="177"/>
      <c r="K473" s="177"/>
      <c r="L473" s="177"/>
      <c r="M473" s="177"/>
      <c r="N473" s="177"/>
      <c r="O473" s="177"/>
      <c r="P473" s="177"/>
      <c r="Q473" s="177"/>
      <c r="R473" s="177"/>
      <c r="S473" s="177"/>
      <c r="T473" s="177"/>
      <c r="U473" s="177"/>
      <c r="V473" s="177"/>
      <c r="W473" s="177"/>
    </row>
    <row r="474" ht="15.75" customHeight="1">
      <c r="A474" s="177"/>
      <c r="B474" s="177"/>
      <c r="C474" s="177"/>
      <c r="D474" s="177"/>
      <c r="E474" s="177"/>
      <c r="F474" s="177"/>
      <c r="G474" s="177"/>
      <c r="H474" s="177"/>
      <c r="I474" s="177"/>
      <c r="J474" s="177"/>
      <c r="K474" s="177"/>
      <c r="L474" s="177"/>
      <c r="M474" s="177"/>
      <c r="N474" s="177"/>
      <c r="O474" s="177"/>
      <c r="P474" s="177"/>
      <c r="Q474" s="177"/>
      <c r="R474" s="177"/>
      <c r="S474" s="177"/>
      <c r="T474" s="177"/>
      <c r="U474" s="177"/>
      <c r="V474" s="177"/>
      <c r="W474" s="177"/>
    </row>
    <row r="475" ht="15.75" customHeight="1">
      <c r="A475" s="177"/>
      <c r="B475" s="177"/>
      <c r="C475" s="177"/>
      <c r="D475" s="177"/>
      <c r="E475" s="177"/>
      <c r="F475" s="177"/>
      <c r="G475" s="177"/>
      <c r="H475" s="177"/>
      <c r="I475" s="177"/>
      <c r="J475" s="177"/>
      <c r="K475" s="177"/>
      <c r="L475" s="177"/>
      <c r="M475" s="177"/>
      <c r="N475" s="177"/>
      <c r="O475" s="177"/>
      <c r="P475" s="177"/>
      <c r="Q475" s="177"/>
      <c r="R475" s="177"/>
      <c r="S475" s="177"/>
      <c r="T475" s="177"/>
      <c r="U475" s="177"/>
      <c r="V475" s="177"/>
      <c r="W475" s="177"/>
    </row>
    <row r="476" ht="15.75" customHeight="1">
      <c r="A476" s="177"/>
      <c r="B476" s="177"/>
      <c r="C476" s="177"/>
      <c r="D476" s="177"/>
      <c r="E476" s="177"/>
      <c r="F476" s="177"/>
      <c r="G476" s="177"/>
      <c r="H476" s="177"/>
      <c r="I476" s="177"/>
      <c r="J476" s="177"/>
      <c r="K476" s="177"/>
      <c r="L476" s="177"/>
      <c r="M476" s="177"/>
      <c r="N476" s="177"/>
      <c r="O476" s="177"/>
      <c r="P476" s="177"/>
      <c r="Q476" s="177"/>
      <c r="R476" s="177"/>
      <c r="S476" s="177"/>
      <c r="T476" s="177"/>
      <c r="U476" s="177"/>
      <c r="V476" s="177"/>
      <c r="W476" s="177"/>
    </row>
    <row r="477" ht="15.75" customHeight="1">
      <c r="A477" s="177"/>
      <c r="B477" s="177"/>
      <c r="C477" s="177"/>
      <c r="D477" s="177"/>
      <c r="E477" s="177"/>
      <c r="F477" s="177"/>
      <c r="G477" s="177"/>
      <c r="H477" s="177"/>
      <c r="I477" s="177"/>
      <c r="J477" s="177"/>
      <c r="K477" s="177"/>
      <c r="L477" s="177"/>
      <c r="M477" s="177"/>
      <c r="N477" s="177"/>
      <c r="O477" s="177"/>
      <c r="P477" s="177"/>
      <c r="Q477" s="177"/>
      <c r="R477" s="177"/>
      <c r="S477" s="177"/>
      <c r="T477" s="177"/>
      <c r="U477" s="177"/>
      <c r="V477" s="177"/>
      <c r="W477" s="177"/>
    </row>
    <row r="478" ht="15.75" customHeight="1">
      <c r="A478" s="177"/>
      <c r="B478" s="177"/>
      <c r="C478" s="177"/>
      <c r="D478" s="177"/>
      <c r="E478" s="177"/>
      <c r="F478" s="177"/>
      <c r="G478" s="177"/>
      <c r="H478" s="177"/>
      <c r="I478" s="177"/>
      <c r="J478" s="177"/>
      <c r="K478" s="177"/>
      <c r="L478" s="177"/>
      <c r="M478" s="177"/>
      <c r="N478" s="177"/>
      <c r="O478" s="177"/>
      <c r="P478" s="177"/>
      <c r="Q478" s="177"/>
      <c r="R478" s="177"/>
      <c r="S478" s="177"/>
      <c r="T478" s="177"/>
      <c r="U478" s="177"/>
      <c r="V478" s="177"/>
      <c r="W478" s="177"/>
    </row>
    <row r="479" ht="15.75" customHeight="1">
      <c r="A479" s="177"/>
      <c r="B479" s="177"/>
      <c r="C479" s="177"/>
      <c r="D479" s="177"/>
      <c r="E479" s="177"/>
      <c r="F479" s="177"/>
      <c r="G479" s="177"/>
      <c r="H479" s="177"/>
      <c r="I479" s="177"/>
      <c r="J479" s="177"/>
      <c r="K479" s="177"/>
      <c r="L479" s="177"/>
      <c r="M479" s="177"/>
      <c r="N479" s="177"/>
      <c r="O479" s="177"/>
      <c r="P479" s="177"/>
      <c r="Q479" s="177"/>
      <c r="R479" s="177"/>
      <c r="S479" s="177"/>
      <c r="T479" s="177"/>
      <c r="U479" s="177"/>
      <c r="V479" s="177"/>
      <c r="W479" s="177"/>
    </row>
    <row r="480" ht="15.75" customHeight="1">
      <c r="A480" s="177"/>
      <c r="B480" s="177"/>
      <c r="C480" s="177"/>
      <c r="D480" s="177"/>
      <c r="E480" s="177"/>
      <c r="F480" s="177"/>
      <c r="G480" s="177"/>
      <c r="H480" s="177"/>
      <c r="I480" s="177"/>
      <c r="J480" s="177"/>
      <c r="K480" s="177"/>
      <c r="L480" s="177"/>
      <c r="M480" s="177"/>
      <c r="N480" s="177"/>
      <c r="O480" s="177"/>
      <c r="P480" s="177"/>
      <c r="Q480" s="177"/>
      <c r="R480" s="177"/>
      <c r="S480" s="177"/>
      <c r="T480" s="177"/>
      <c r="U480" s="177"/>
      <c r="V480" s="177"/>
      <c r="W480" s="177"/>
    </row>
    <row r="481" ht="15.75" customHeight="1">
      <c r="A481" s="177"/>
      <c r="B481" s="177"/>
      <c r="C481" s="177"/>
      <c r="D481" s="177"/>
      <c r="E481" s="177"/>
      <c r="F481" s="177"/>
      <c r="G481" s="177"/>
      <c r="H481" s="177"/>
      <c r="I481" s="177"/>
      <c r="J481" s="177"/>
      <c r="K481" s="177"/>
      <c r="L481" s="177"/>
      <c r="M481" s="177"/>
      <c r="N481" s="177"/>
      <c r="O481" s="177"/>
      <c r="P481" s="177"/>
      <c r="Q481" s="177"/>
      <c r="R481" s="177"/>
      <c r="S481" s="177"/>
      <c r="T481" s="177"/>
      <c r="U481" s="177"/>
      <c r="V481" s="177"/>
      <c r="W481" s="177"/>
    </row>
    <row r="482" ht="15.75" customHeight="1">
      <c r="A482" s="177"/>
      <c r="B482" s="177"/>
      <c r="C482" s="177"/>
      <c r="D482" s="177"/>
      <c r="E482" s="177"/>
      <c r="F482" s="177"/>
      <c r="G482" s="177"/>
      <c r="H482" s="177"/>
      <c r="I482" s="177"/>
      <c r="J482" s="177"/>
      <c r="K482" s="177"/>
      <c r="L482" s="177"/>
      <c r="M482" s="177"/>
      <c r="N482" s="177"/>
      <c r="O482" s="177"/>
      <c r="P482" s="177"/>
      <c r="Q482" s="177"/>
      <c r="R482" s="177"/>
      <c r="S482" s="177"/>
      <c r="T482" s="177"/>
      <c r="U482" s="177"/>
      <c r="V482" s="177"/>
      <c r="W482" s="177"/>
    </row>
    <row r="483" ht="15.75" customHeight="1">
      <c r="A483" s="177"/>
      <c r="B483" s="177"/>
      <c r="C483" s="177"/>
      <c r="D483" s="177"/>
      <c r="E483" s="177"/>
      <c r="F483" s="177"/>
      <c r="G483" s="177"/>
      <c r="H483" s="177"/>
      <c r="I483" s="177"/>
      <c r="J483" s="177"/>
      <c r="K483" s="177"/>
      <c r="L483" s="177"/>
      <c r="M483" s="177"/>
      <c r="N483" s="177"/>
      <c r="O483" s="177"/>
      <c r="P483" s="177"/>
      <c r="Q483" s="177"/>
      <c r="R483" s="177"/>
      <c r="S483" s="177"/>
      <c r="T483" s="177"/>
      <c r="U483" s="177"/>
      <c r="V483" s="177"/>
      <c r="W483" s="177"/>
    </row>
    <row r="484" ht="15.75" customHeight="1">
      <c r="A484" s="177"/>
      <c r="B484" s="177"/>
      <c r="C484" s="177"/>
      <c r="D484" s="177"/>
      <c r="E484" s="177"/>
      <c r="F484" s="177"/>
      <c r="G484" s="177"/>
      <c r="H484" s="177"/>
      <c r="I484" s="177"/>
      <c r="J484" s="177"/>
      <c r="K484" s="177"/>
      <c r="L484" s="177"/>
      <c r="M484" s="177"/>
      <c r="N484" s="177"/>
      <c r="O484" s="177"/>
      <c r="P484" s="177"/>
      <c r="Q484" s="177"/>
      <c r="R484" s="177"/>
      <c r="S484" s="177"/>
      <c r="T484" s="177"/>
      <c r="U484" s="177"/>
      <c r="V484" s="177"/>
      <c r="W484" s="177"/>
    </row>
    <row r="485" ht="15.75" customHeight="1">
      <c r="A485" s="177"/>
      <c r="B485" s="177"/>
      <c r="C485" s="177"/>
      <c r="D485" s="177"/>
      <c r="E485" s="177"/>
      <c r="F485" s="177"/>
      <c r="G485" s="177"/>
      <c r="H485" s="177"/>
      <c r="I485" s="177"/>
      <c r="J485" s="177"/>
      <c r="K485" s="177"/>
      <c r="L485" s="177"/>
      <c r="M485" s="177"/>
      <c r="N485" s="177"/>
      <c r="O485" s="177"/>
      <c r="P485" s="177"/>
      <c r="Q485" s="177"/>
      <c r="R485" s="177"/>
      <c r="S485" s="177"/>
      <c r="T485" s="177"/>
      <c r="U485" s="177"/>
      <c r="V485" s="177"/>
      <c r="W485" s="177"/>
    </row>
    <row r="486" ht="15.75" customHeight="1">
      <c r="A486" s="177"/>
      <c r="B486" s="177"/>
      <c r="C486" s="177"/>
      <c r="D486" s="177"/>
      <c r="E486" s="177"/>
      <c r="F486" s="177"/>
      <c r="G486" s="177"/>
      <c r="H486" s="177"/>
      <c r="I486" s="177"/>
      <c r="J486" s="177"/>
      <c r="K486" s="177"/>
      <c r="L486" s="177"/>
      <c r="M486" s="177"/>
      <c r="N486" s="177"/>
      <c r="O486" s="177"/>
      <c r="P486" s="177"/>
      <c r="Q486" s="177"/>
      <c r="R486" s="177"/>
      <c r="S486" s="177"/>
      <c r="T486" s="177"/>
      <c r="U486" s="177"/>
      <c r="V486" s="177"/>
      <c r="W486" s="177"/>
    </row>
    <row r="487" ht="15.75" customHeight="1">
      <c r="A487" s="177"/>
      <c r="B487" s="177"/>
      <c r="C487" s="177"/>
      <c r="D487" s="177"/>
      <c r="E487" s="177"/>
      <c r="F487" s="177"/>
      <c r="G487" s="177"/>
      <c r="H487" s="177"/>
      <c r="I487" s="177"/>
      <c r="J487" s="177"/>
      <c r="K487" s="177"/>
      <c r="L487" s="177"/>
      <c r="M487" s="177"/>
      <c r="N487" s="177"/>
      <c r="O487" s="177"/>
      <c r="P487" s="177"/>
      <c r="Q487" s="177"/>
      <c r="R487" s="177"/>
      <c r="S487" s="177"/>
      <c r="T487" s="177"/>
      <c r="U487" s="177"/>
      <c r="V487" s="177"/>
      <c r="W487" s="177"/>
    </row>
    <row r="488" ht="15.75" customHeight="1">
      <c r="A488" s="177"/>
      <c r="B488" s="177"/>
      <c r="C488" s="177"/>
      <c r="D488" s="177"/>
      <c r="E488" s="177"/>
      <c r="F488" s="177"/>
      <c r="G488" s="177"/>
      <c r="H488" s="177"/>
      <c r="I488" s="177"/>
      <c r="J488" s="177"/>
      <c r="K488" s="177"/>
      <c r="L488" s="177"/>
      <c r="M488" s="177"/>
      <c r="N488" s="177"/>
      <c r="O488" s="177"/>
      <c r="P488" s="177"/>
      <c r="Q488" s="177"/>
      <c r="R488" s="177"/>
      <c r="S488" s="177"/>
      <c r="T488" s="177"/>
      <c r="U488" s="177"/>
      <c r="V488" s="177"/>
      <c r="W488" s="177"/>
    </row>
    <row r="489" ht="15.75" customHeight="1">
      <c r="A489" s="177"/>
      <c r="B489" s="177"/>
      <c r="C489" s="177"/>
      <c r="D489" s="177"/>
      <c r="E489" s="177"/>
      <c r="F489" s="177"/>
      <c r="G489" s="177"/>
      <c r="H489" s="177"/>
      <c r="I489" s="177"/>
      <c r="J489" s="177"/>
      <c r="K489" s="177"/>
      <c r="L489" s="177"/>
      <c r="M489" s="177"/>
      <c r="N489" s="177"/>
      <c r="O489" s="177"/>
      <c r="P489" s="177"/>
      <c r="Q489" s="177"/>
      <c r="R489" s="177"/>
      <c r="S489" s="177"/>
      <c r="T489" s="177"/>
      <c r="U489" s="177"/>
      <c r="V489" s="177"/>
      <c r="W489" s="177"/>
    </row>
    <row r="490" ht="15.75" customHeight="1">
      <c r="A490" s="177"/>
      <c r="B490" s="177"/>
      <c r="C490" s="177"/>
      <c r="D490" s="177"/>
      <c r="E490" s="177"/>
      <c r="F490" s="177"/>
      <c r="G490" s="177"/>
      <c r="H490" s="177"/>
      <c r="I490" s="177"/>
      <c r="J490" s="177"/>
      <c r="K490" s="177"/>
      <c r="L490" s="177"/>
      <c r="M490" s="177"/>
      <c r="N490" s="177"/>
      <c r="O490" s="177"/>
      <c r="P490" s="177"/>
      <c r="Q490" s="177"/>
      <c r="R490" s="177"/>
      <c r="S490" s="177"/>
      <c r="T490" s="177"/>
      <c r="U490" s="177"/>
      <c r="V490" s="177"/>
      <c r="W490" s="177"/>
    </row>
    <row r="491" ht="15.75" customHeight="1">
      <c r="A491" s="177"/>
      <c r="B491" s="177"/>
      <c r="C491" s="177"/>
      <c r="D491" s="177"/>
      <c r="E491" s="177"/>
      <c r="F491" s="177"/>
      <c r="G491" s="177"/>
      <c r="H491" s="177"/>
      <c r="I491" s="177"/>
      <c r="J491" s="177"/>
      <c r="K491" s="177"/>
      <c r="L491" s="177"/>
      <c r="M491" s="177"/>
      <c r="N491" s="177"/>
      <c r="O491" s="177"/>
      <c r="P491" s="177"/>
      <c r="Q491" s="177"/>
      <c r="R491" s="177"/>
      <c r="S491" s="177"/>
      <c r="T491" s="177"/>
      <c r="U491" s="177"/>
      <c r="V491" s="177"/>
      <c r="W491" s="177"/>
    </row>
    <row r="492" ht="15.75" customHeight="1">
      <c r="A492" s="177"/>
      <c r="B492" s="177"/>
      <c r="C492" s="177"/>
      <c r="D492" s="177"/>
      <c r="E492" s="177"/>
      <c r="F492" s="177"/>
      <c r="G492" s="177"/>
      <c r="H492" s="177"/>
      <c r="I492" s="177"/>
      <c r="J492" s="177"/>
      <c r="K492" s="177"/>
      <c r="L492" s="177"/>
      <c r="M492" s="177"/>
      <c r="N492" s="177"/>
      <c r="O492" s="177"/>
      <c r="P492" s="177"/>
      <c r="Q492" s="177"/>
      <c r="R492" s="177"/>
      <c r="S492" s="177"/>
      <c r="T492" s="177"/>
      <c r="U492" s="177"/>
      <c r="V492" s="177"/>
      <c r="W492" s="177"/>
    </row>
    <row r="493" ht="15.75" customHeight="1">
      <c r="A493" s="177"/>
      <c r="B493" s="177"/>
      <c r="C493" s="177"/>
      <c r="D493" s="177"/>
      <c r="E493" s="177"/>
      <c r="F493" s="177"/>
      <c r="G493" s="177"/>
      <c r="H493" s="177"/>
      <c r="I493" s="177"/>
      <c r="J493" s="177"/>
      <c r="K493" s="177"/>
      <c r="L493" s="177"/>
      <c r="M493" s="177"/>
      <c r="N493" s="177"/>
      <c r="O493" s="177"/>
      <c r="P493" s="177"/>
      <c r="Q493" s="177"/>
      <c r="R493" s="177"/>
      <c r="S493" s="177"/>
      <c r="T493" s="177"/>
      <c r="U493" s="177"/>
      <c r="V493" s="177"/>
      <c r="W493" s="177"/>
    </row>
    <row r="494" ht="15.75" customHeight="1">
      <c r="A494" s="177"/>
      <c r="B494" s="177"/>
      <c r="C494" s="177"/>
      <c r="D494" s="177"/>
      <c r="E494" s="177"/>
      <c r="F494" s="177"/>
      <c r="G494" s="177"/>
      <c r="H494" s="177"/>
      <c r="I494" s="177"/>
      <c r="J494" s="177"/>
      <c r="K494" s="177"/>
      <c r="L494" s="177"/>
      <c r="M494" s="177"/>
      <c r="N494" s="177"/>
      <c r="O494" s="177"/>
      <c r="P494" s="177"/>
      <c r="Q494" s="177"/>
      <c r="R494" s="177"/>
      <c r="S494" s="177"/>
      <c r="T494" s="177"/>
      <c r="U494" s="177"/>
      <c r="V494" s="177"/>
      <c r="W494" s="177"/>
    </row>
    <row r="495" ht="15.75" customHeight="1">
      <c r="A495" s="177"/>
      <c r="B495" s="177"/>
      <c r="C495" s="177"/>
      <c r="D495" s="177"/>
      <c r="E495" s="177"/>
      <c r="F495" s="177"/>
      <c r="G495" s="177"/>
      <c r="H495" s="177"/>
      <c r="I495" s="177"/>
      <c r="J495" s="177"/>
      <c r="K495" s="177"/>
      <c r="L495" s="177"/>
      <c r="M495" s="177"/>
      <c r="N495" s="177"/>
      <c r="O495" s="177"/>
      <c r="P495" s="177"/>
      <c r="Q495" s="177"/>
      <c r="R495" s="177"/>
      <c r="S495" s="177"/>
      <c r="T495" s="177"/>
      <c r="U495" s="177"/>
      <c r="V495" s="177"/>
      <c r="W495" s="177"/>
    </row>
    <row r="496" ht="15.75" customHeight="1">
      <c r="A496" s="177"/>
      <c r="B496" s="177"/>
      <c r="C496" s="177"/>
      <c r="D496" s="177"/>
      <c r="E496" s="177"/>
      <c r="F496" s="177"/>
      <c r="G496" s="177"/>
      <c r="H496" s="177"/>
      <c r="I496" s="177"/>
      <c r="J496" s="177"/>
      <c r="K496" s="177"/>
      <c r="L496" s="177"/>
      <c r="M496" s="177"/>
      <c r="N496" s="177"/>
      <c r="O496" s="177"/>
      <c r="P496" s="177"/>
      <c r="Q496" s="177"/>
      <c r="R496" s="177"/>
      <c r="S496" s="177"/>
      <c r="T496" s="177"/>
      <c r="U496" s="177"/>
      <c r="V496" s="177"/>
      <c r="W496" s="177"/>
    </row>
    <row r="497" ht="15.75" customHeight="1">
      <c r="A497" s="177"/>
      <c r="B497" s="177"/>
      <c r="C497" s="177"/>
      <c r="D497" s="177"/>
      <c r="E497" s="177"/>
      <c r="F497" s="177"/>
      <c r="G497" s="177"/>
      <c r="H497" s="177"/>
      <c r="I497" s="177"/>
      <c r="J497" s="177"/>
      <c r="K497" s="177"/>
      <c r="L497" s="177"/>
      <c r="M497" s="177"/>
      <c r="N497" s="177"/>
      <c r="O497" s="177"/>
      <c r="P497" s="177"/>
      <c r="Q497" s="177"/>
      <c r="R497" s="177"/>
      <c r="S497" s="177"/>
      <c r="T497" s="177"/>
      <c r="U497" s="177"/>
      <c r="V497" s="177"/>
      <c r="W497" s="177"/>
    </row>
    <row r="498" ht="15.75" customHeight="1">
      <c r="A498" s="177"/>
      <c r="B498" s="177"/>
      <c r="C498" s="177"/>
      <c r="D498" s="177"/>
      <c r="E498" s="177"/>
      <c r="F498" s="177"/>
      <c r="G498" s="177"/>
      <c r="H498" s="177"/>
      <c r="I498" s="177"/>
      <c r="J498" s="177"/>
      <c r="K498" s="177"/>
      <c r="L498" s="177"/>
      <c r="M498" s="177"/>
      <c r="N498" s="177"/>
      <c r="O498" s="177"/>
      <c r="P498" s="177"/>
      <c r="Q498" s="177"/>
      <c r="R498" s="177"/>
      <c r="S498" s="177"/>
      <c r="T498" s="177"/>
      <c r="U498" s="177"/>
      <c r="V498" s="177"/>
      <c r="W498" s="177"/>
    </row>
    <row r="499" ht="15.75" customHeight="1">
      <c r="A499" s="177"/>
      <c r="B499" s="177"/>
      <c r="C499" s="177"/>
      <c r="D499" s="177"/>
      <c r="E499" s="177"/>
      <c r="F499" s="177"/>
      <c r="G499" s="177"/>
      <c r="H499" s="177"/>
      <c r="I499" s="177"/>
      <c r="J499" s="177"/>
      <c r="K499" s="177"/>
      <c r="L499" s="177"/>
      <c r="M499" s="177"/>
      <c r="N499" s="177"/>
      <c r="O499" s="177"/>
      <c r="P499" s="177"/>
      <c r="Q499" s="177"/>
      <c r="R499" s="177"/>
      <c r="S499" s="177"/>
      <c r="T499" s="177"/>
      <c r="U499" s="177"/>
      <c r="V499" s="177"/>
      <c r="W499" s="177"/>
    </row>
    <row r="500" ht="15.75" customHeight="1">
      <c r="A500" s="177"/>
      <c r="B500" s="177"/>
      <c r="C500" s="177"/>
      <c r="D500" s="177"/>
      <c r="E500" s="177"/>
      <c r="F500" s="177"/>
      <c r="G500" s="177"/>
      <c r="H500" s="177"/>
      <c r="I500" s="177"/>
      <c r="J500" s="177"/>
      <c r="K500" s="177"/>
      <c r="L500" s="177"/>
      <c r="M500" s="177"/>
      <c r="N500" s="177"/>
      <c r="O500" s="177"/>
      <c r="P500" s="177"/>
      <c r="Q500" s="177"/>
      <c r="R500" s="177"/>
      <c r="S500" s="177"/>
      <c r="T500" s="177"/>
      <c r="U500" s="177"/>
      <c r="V500" s="177"/>
      <c r="W500" s="177"/>
    </row>
    <row r="501" ht="15.75" customHeight="1">
      <c r="A501" s="177"/>
      <c r="B501" s="177"/>
      <c r="C501" s="177"/>
      <c r="D501" s="177"/>
      <c r="E501" s="177"/>
      <c r="F501" s="177"/>
      <c r="G501" s="177"/>
      <c r="H501" s="177"/>
      <c r="I501" s="177"/>
      <c r="J501" s="177"/>
      <c r="K501" s="177"/>
      <c r="L501" s="177"/>
      <c r="M501" s="177"/>
      <c r="N501" s="177"/>
      <c r="O501" s="177"/>
      <c r="P501" s="177"/>
      <c r="Q501" s="177"/>
      <c r="R501" s="177"/>
      <c r="S501" s="177"/>
      <c r="T501" s="177"/>
      <c r="U501" s="177"/>
      <c r="V501" s="177"/>
      <c r="W501" s="177"/>
    </row>
    <row r="502" ht="15.75" customHeight="1">
      <c r="A502" s="177"/>
      <c r="B502" s="177"/>
      <c r="C502" s="177"/>
      <c r="D502" s="177"/>
      <c r="E502" s="177"/>
      <c r="F502" s="177"/>
      <c r="G502" s="177"/>
      <c r="H502" s="177"/>
      <c r="I502" s="177"/>
      <c r="J502" s="177"/>
      <c r="K502" s="177"/>
      <c r="L502" s="177"/>
      <c r="M502" s="177"/>
      <c r="N502" s="177"/>
      <c r="O502" s="177"/>
      <c r="P502" s="177"/>
      <c r="Q502" s="177"/>
      <c r="R502" s="177"/>
      <c r="S502" s="177"/>
      <c r="T502" s="177"/>
      <c r="U502" s="177"/>
      <c r="V502" s="177"/>
      <c r="W502" s="177"/>
    </row>
    <row r="503" ht="15.75" customHeight="1">
      <c r="A503" s="177"/>
      <c r="B503" s="177"/>
      <c r="C503" s="177"/>
      <c r="D503" s="177"/>
      <c r="E503" s="177"/>
      <c r="F503" s="177"/>
      <c r="G503" s="177"/>
      <c r="H503" s="177"/>
      <c r="I503" s="177"/>
      <c r="J503" s="177"/>
      <c r="K503" s="177"/>
      <c r="L503" s="177"/>
      <c r="M503" s="177"/>
      <c r="N503" s="177"/>
      <c r="O503" s="177"/>
      <c r="P503" s="177"/>
      <c r="Q503" s="177"/>
      <c r="R503" s="177"/>
      <c r="S503" s="177"/>
      <c r="T503" s="177"/>
      <c r="U503" s="177"/>
      <c r="V503" s="177"/>
      <c r="W503" s="177"/>
    </row>
    <row r="504" ht="15.75" customHeight="1">
      <c r="A504" s="177"/>
      <c r="B504" s="177"/>
      <c r="C504" s="177"/>
      <c r="D504" s="177"/>
      <c r="E504" s="177"/>
      <c r="F504" s="177"/>
      <c r="G504" s="177"/>
      <c r="H504" s="177"/>
      <c r="I504" s="177"/>
      <c r="J504" s="177"/>
      <c r="K504" s="177"/>
      <c r="L504" s="177"/>
      <c r="M504" s="177"/>
      <c r="N504" s="177"/>
      <c r="O504" s="177"/>
      <c r="P504" s="177"/>
      <c r="Q504" s="177"/>
      <c r="R504" s="177"/>
      <c r="S504" s="177"/>
      <c r="T504" s="177"/>
      <c r="U504" s="177"/>
      <c r="V504" s="177"/>
      <c r="W504" s="177"/>
    </row>
    <row r="505" ht="15.75" customHeight="1">
      <c r="A505" s="177"/>
      <c r="B505" s="177"/>
      <c r="C505" s="177"/>
      <c r="D505" s="177"/>
      <c r="E505" s="177"/>
      <c r="F505" s="177"/>
      <c r="G505" s="177"/>
      <c r="H505" s="177"/>
      <c r="I505" s="177"/>
      <c r="J505" s="177"/>
      <c r="K505" s="177"/>
      <c r="L505" s="177"/>
      <c r="M505" s="177"/>
      <c r="N505" s="177"/>
      <c r="O505" s="177"/>
      <c r="P505" s="177"/>
      <c r="Q505" s="177"/>
      <c r="R505" s="177"/>
      <c r="S505" s="177"/>
      <c r="T505" s="177"/>
      <c r="U505" s="177"/>
      <c r="V505" s="177"/>
      <c r="W505" s="177"/>
    </row>
    <row r="506" ht="15.75" customHeight="1">
      <c r="A506" s="177"/>
      <c r="B506" s="177"/>
      <c r="C506" s="177"/>
      <c r="D506" s="177"/>
      <c r="E506" s="177"/>
      <c r="F506" s="177"/>
      <c r="G506" s="177"/>
      <c r="H506" s="177"/>
      <c r="I506" s="177"/>
      <c r="J506" s="177"/>
      <c r="K506" s="177"/>
      <c r="L506" s="177"/>
      <c r="M506" s="177"/>
      <c r="N506" s="177"/>
      <c r="O506" s="177"/>
      <c r="P506" s="177"/>
      <c r="Q506" s="177"/>
      <c r="R506" s="177"/>
      <c r="S506" s="177"/>
      <c r="T506" s="177"/>
      <c r="U506" s="177"/>
      <c r="V506" s="177"/>
      <c r="W506" s="177"/>
    </row>
    <row r="507" ht="15.75" customHeight="1">
      <c r="A507" s="177"/>
      <c r="B507" s="177"/>
      <c r="C507" s="177"/>
      <c r="D507" s="177"/>
      <c r="E507" s="177"/>
      <c r="F507" s="177"/>
      <c r="G507" s="177"/>
      <c r="H507" s="177"/>
      <c r="I507" s="177"/>
      <c r="J507" s="177"/>
      <c r="K507" s="177"/>
      <c r="L507" s="177"/>
      <c r="M507" s="177"/>
      <c r="N507" s="177"/>
      <c r="O507" s="177"/>
      <c r="P507" s="177"/>
      <c r="Q507" s="177"/>
      <c r="R507" s="177"/>
      <c r="S507" s="177"/>
      <c r="T507" s="177"/>
      <c r="U507" s="177"/>
      <c r="V507" s="177"/>
      <c r="W507" s="177"/>
    </row>
    <row r="508" ht="15.75" customHeight="1">
      <c r="A508" s="177"/>
      <c r="B508" s="177"/>
      <c r="C508" s="177"/>
      <c r="D508" s="177"/>
      <c r="E508" s="177"/>
      <c r="F508" s="177"/>
      <c r="G508" s="177"/>
      <c r="H508" s="177"/>
      <c r="I508" s="177"/>
      <c r="J508" s="177"/>
      <c r="K508" s="177"/>
      <c r="L508" s="177"/>
      <c r="M508" s="177"/>
      <c r="N508" s="177"/>
      <c r="O508" s="177"/>
      <c r="P508" s="177"/>
      <c r="Q508" s="177"/>
      <c r="R508" s="177"/>
      <c r="S508" s="177"/>
      <c r="T508" s="177"/>
      <c r="U508" s="177"/>
      <c r="V508" s="177"/>
      <c r="W508" s="177"/>
    </row>
    <row r="509" ht="15.75" customHeight="1">
      <c r="A509" s="177"/>
      <c r="B509" s="177"/>
      <c r="C509" s="177"/>
      <c r="D509" s="177"/>
      <c r="E509" s="177"/>
      <c r="F509" s="177"/>
      <c r="G509" s="177"/>
      <c r="H509" s="177"/>
      <c r="I509" s="177"/>
      <c r="J509" s="177"/>
      <c r="K509" s="177"/>
      <c r="L509" s="177"/>
      <c r="M509" s="177"/>
      <c r="N509" s="177"/>
      <c r="O509" s="177"/>
      <c r="P509" s="177"/>
      <c r="Q509" s="177"/>
      <c r="R509" s="177"/>
      <c r="S509" s="177"/>
      <c r="T509" s="177"/>
      <c r="U509" s="177"/>
      <c r="V509" s="177"/>
      <c r="W509" s="177"/>
    </row>
    <row r="510" ht="15.75" customHeight="1">
      <c r="A510" s="177"/>
      <c r="B510" s="177"/>
      <c r="C510" s="177"/>
      <c r="D510" s="177"/>
      <c r="E510" s="177"/>
      <c r="F510" s="177"/>
      <c r="G510" s="177"/>
      <c r="H510" s="177"/>
      <c r="I510" s="177"/>
      <c r="J510" s="177"/>
      <c r="K510" s="177"/>
      <c r="L510" s="177"/>
      <c r="M510" s="177"/>
      <c r="N510" s="177"/>
      <c r="O510" s="177"/>
      <c r="P510" s="177"/>
      <c r="Q510" s="177"/>
      <c r="R510" s="177"/>
      <c r="S510" s="177"/>
      <c r="T510" s="177"/>
      <c r="U510" s="177"/>
      <c r="V510" s="177"/>
      <c r="W510" s="177"/>
    </row>
    <row r="511" ht="15.75" customHeight="1">
      <c r="A511" s="177"/>
      <c r="B511" s="177"/>
      <c r="C511" s="177"/>
      <c r="D511" s="177"/>
      <c r="E511" s="177"/>
      <c r="F511" s="177"/>
      <c r="G511" s="177"/>
      <c r="H511" s="177"/>
      <c r="I511" s="177"/>
      <c r="J511" s="177"/>
      <c r="K511" s="177"/>
      <c r="L511" s="177"/>
      <c r="M511" s="177"/>
      <c r="N511" s="177"/>
      <c r="O511" s="177"/>
      <c r="P511" s="177"/>
      <c r="Q511" s="177"/>
      <c r="R511" s="177"/>
      <c r="S511" s="177"/>
      <c r="T511" s="177"/>
      <c r="U511" s="177"/>
      <c r="V511" s="177"/>
      <c r="W511" s="177"/>
    </row>
    <row r="512" ht="15.75" customHeight="1">
      <c r="A512" s="177"/>
      <c r="B512" s="177"/>
      <c r="C512" s="177"/>
      <c r="D512" s="177"/>
      <c r="E512" s="177"/>
      <c r="F512" s="177"/>
      <c r="G512" s="177"/>
      <c r="H512" s="177"/>
      <c r="I512" s="177"/>
      <c r="J512" s="177"/>
      <c r="K512" s="177"/>
      <c r="L512" s="177"/>
      <c r="M512" s="177"/>
      <c r="N512" s="177"/>
      <c r="O512" s="177"/>
      <c r="P512" s="177"/>
      <c r="Q512" s="177"/>
      <c r="R512" s="177"/>
      <c r="S512" s="177"/>
      <c r="T512" s="177"/>
      <c r="U512" s="177"/>
      <c r="V512" s="177"/>
      <c r="W512" s="177"/>
    </row>
    <row r="513" ht="15.75" customHeight="1">
      <c r="A513" s="177"/>
      <c r="B513" s="177"/>
      <c r="C513" s="177"/>
      <c r="D513" s="177"/>
      <c r="E513" s="177"/>
      <c r="F513" s="177"/>
      <c r="G513" s="177"/>
      <c r="H513" s="177"/>
      <c r="I513" s="177"/>
      <c r="J513" s="177"/>
      <c r="K513" s="177"/>
      <c r="L513" s="177"/>
      <c r="M513" s="177"/>
      <c r="N513" s="177"/>
      <c r="O513" s="177"/>
      <c r="P513" s="177"/>
      <c r="Q513" s="177"/>
      <c r="R513" s="177"/>
      <c r="S513" s="177"/>
      <c r="T513" s="177"/>
      <c r="U513" s="177"/>
      <c r="V513" s="177"/>
      <c r="W513" s="177"/>
    </row>
    <row r="514" ht="15.75" customHeight="1">
      <c r="A514" s="177"/>
      <c r="B514" s="177"/>
      <c r="C514" s="177"/>
      <c r="D514" s="177"/>
      <c r="E514" s="177"/>
      <c r="F514" s="177"/>
      <c r="G514" s="177"/>
      <c r="H514" s="177"/>
      <c r="I514" s="177"/>
      <c r="J514" s="177"/>
      <c r="K514" s="177"/>
      <c r="L514" s="177"/>
      <c r="M514" s="177"/>
      <c r="N514" s="177"/>
      <c r="O514" s="177"/>
      <c r="P514" s="177"/>
      <c r="Q514" s="177"/>
      <c r="R514" s="177"/>
      <c r="S514" s="177"/>
      <c r="T514" s="177"/>
      <c r="U514" s="177"/>
      <c r="V514" s="177"/>
      <c r="W514" s="177"/>
    </row>
    <row r="515" ht="15.75" customHeight="1">
      <c r="A515" s="177"/>
      <c r="B515" s="177"/>
      <c r="C515" s="177"/>
      <c r="D515" s="177"/>
      <c r="E515" s="177"/>
      <c r="F515" s="177"/>
      <c r="G515" s="177"/>
      <c r="H515" s="177"/>
      <c r="I515" s="177"/>
      <c r="J515" s="177"/>
      <c r="K515" s="177"/>
      <c r="L515" s="177"/>
      <c r="M515" s="177"/>
      <c r="N515" s="177"/>
      <c r="O515" s="177"/>
      <c r="P515" s="177"/>
      <c r="Q515" s="177"/>
      <c r="R515" s="177"/>
      <c r="S515" s="177"/>
      <c r="T515" s="177"/>
      <c r="U515" s="177"/>
      <c r="V515" s="177"/>
      <c r="W515" s="177"/>
    </row>
    <row r="516" ht="15.75" customHeight="1">
      <c r="A516" s="177"/>
      <c r="B516" s="177"/>
      <c r="C516" s="177"/>
      <c r="D516" s="177"/>
      <c r="E516" s="177"/>
      <c r="F516" s="177"/>
      <c r="G516" s="177"/>
      <c r="H516" s="177"/>
      <c r="I516" s="177"/>
      <c r="J516" s="177"/>
      <c r="K516" s="177"/>
      <c r="L516" s="177"/>
      <c r="M516" s="177"/>
      <c r="N516" s="177"/>
      <c r="O516" s="177"/>
      <c r="P516" s="177"/>
      <c r="Q516" s="177"/>
      <c r="R516" s="177"/>
      <c r="S516" s="177"/>
      <c r="T516" s="177"/>
      <c r="U516" s="177"/>
      <c r="V516" s="177"/>
      <c r="W516" s="177"/>
    </row>
    <row r="517" ht="15.75" customHeight="1">
      <c r="A517" s="177"/>
      <c r="B517" s="177"/>
      <c r="C517" s="177"/>
      <c r="D517" s="177"/>
      <c r="E517" s="177"/>
      <c r="F517" s="177"/>
      <c r="G517" s="177"/>
      <c r="H517" s="177"/>
      <c r="I517" s="177"/>
      <c r="J517" s="177"/>
      <c r="K517" s="177"/>
      <c r="L517" s="177"/>
      <c r="M517" s="177"/>
      <c r="N517" s="177"/>
      <c r="O517" s="177"/>
      <c r="P517" s="177"/>
      <c r="Q517" s="177"/>
      <c r="R517" s="177"/>
      <c r="S517" s="177"/>
      <c r="T517" s="177"/>
      <c r="U517" s="177"/>
      <c r="V517" s="177"/>
      <c r="W517" s="177"/>
    </row>
    <row r="518" ht="15.75" customHeight="1">
      <c r="A518" s="177"/>
      <c r="B518" s="177"/>
      <c r="C518" s="177"/>
      <c r="D518" s="177"/>
      <c r="E518" s="177"/>
      <c r="F518" s="177"/>
      <c r="G518" s="177"/>
      <c r="H518" s="177"/>
      <c r="I518" s="177"/>
      <c r="J518" s="177"/>
      <c r="K518" s="177"/>
      <c r="L518" s="177"/>
      <c r="M518" s="177"/>
      <c r="N518" s="177"/>
      <c r="O518" s="177"/>
      <c r="P518" s="177"/>
      <c r="Q518" s="177"/>
      <c r="R518" s="177"/>
      <c r="S518" s="177"/>
      <c r="T518" s="177"/>
      <c r="U518" s="177"/>
      <c r="V518" s="177"/>
      <c r="W518" s="177"/>
    </row>
    <row r="519" ht="15.75" customHeight="1">
      <c r="A519" s="177"/>
      <c r="B519" s="177"/>
      <c r="C519" s="177"/>
      <c r="D519" s="177"/>
      <c r="E519" s="177"/>
      <c r="F519" s="177"/>
      <c r="G519" s="177"/>
      <c r="H519" s="177"/>
      <c r="I519" s="177"/>
      <c r="J519" s="177"/>
      <c r="K519" s="177"/>
      <c r="L519" s="177"/>
      <c r="M519" s="177"/>
      <c r="N519" s="177"/>
      <c r="O519" s="177"/>
      <c r="P519" s="177"/>
      <c r="Q519" s="177"/>
      <c r="R519" s="177"/>
      <c r="S519" s="177"/>
      <c r="T519" s="177"/>
      <c r="U519" s="177"/>
      <c r="V519" s="177"/>
      <c r="W519" s="177"/>
    </row>
    <row r="520" ht="15.75" customHeight="1">
      <c r="A520" s="177"/>
      <c r="B520" s="177"/>
      <c r="C520" s="177"/>
      <c r="D520" s="177"/>
      <c r="E520" s="177"/>
      <c r="F520" s="177"/>
      <c r="G520" s="177"/>
      <c r="H520" s="177"/>
      <c r="I520" s="177"/>
      <c r="J520" s="177"/>
      <c r="K520" s="177"/>
      <c r="L520" s="177"/>
      <c r="M520" s="177"/>
      <c r="N520" s="177"/>
      <c r="O520" s="177"/>
      <c r="P520" s="177"/>
      <c r="Q520" s="177"/>
      <c r="R520" s="177"/>
      <c r="S520" s="177"/>
      <c r="T520" s="177"/>
      <c r="U520" s="177"/>
      <c r="V520" s="177"/>
      <c r="W520" s="177"/>
    </row>
    <row r="521" ht="15.75" customHeight="1">
      <c r="A521" s="177"/>
      <c r="B521" s="177"/>
      <c r="C521" s="177"/>
      <c r="D521" s="177"/>
      <c r="E521" s="177"/>
      <c r="F521" s="177"/>
      <c r="G521" s="177"/>
      <c r="H521" s="177"/>
      <c r="I521" s="177"/>
      <c r="J521" s="177"/>
      <c r="K521" s="177"/>
      <c r="L521" s="177"/>
      <c r="M521" s="177"/>
      <c r="N521" s="177"/>
      <c r="O521" s="177"/>
      <c r="P521" s="177"/>
      <c r="Q521" s="177"/>
      <c r="R521" s="177"/>
      <c r="S521" s="177"/>
      <c r="T521" s="177"/>
      <c r="U521" s="177"/>
      <c r="V521" s="177"/>
      <c r="W521" s="177"/>
    </row>
    <row r="522" ht="15.75" customHeight="1">
      <c r="A522" s="177"/>
      <c r="B522" s="177"/>
      <c r="C522" s="177"/>
      <c r="D522" s="177"/>
      <c r="E522" s="177"/>
      <c r="F522" s="177"/>
      <c r="G522" s="177"/>
      <c r="H522" s="177"/>
      <c r="I522" s="177"/>
      <c r="J522" s="177"/>
      <c r="K522" s="177"/>
      <c r="L522" s="177"/>
      <c r="M522" s="177"/>
      <c r="N522" s="177"/>
      <c r="O522" s="177"/>
      <c r="P522" s="177"/>
      <c r="Q522" s="177"/>
      <c r="R522" s="177"/>
      <c r="S522" s="177"/>
      <c r="T522" s="177"/>
      <c r="U522" s="177"/>
      <c r="V522" s="177"/>
      <c r="W522" s="177"/>
    </row>
    <row r="523" ht="15.75" customHeight="1">
      <c r="A523" s="177"/>
      <c r="B523" s="177"/>
      <c r="C523" s="177"/>
      <c r="D523" s="177"/>
      <c r="E523" s="177"/>
      <c r="F523" s="177"/>
      <c r="G523" s="177"/>
      <c r="H523" s="177"/>
      <c r="I523" s="177"/>
      <c r="J523" s="177"/>
      <c r="K523" s="177"/>
      <c r="L523" s="177"/>
      <c r="M523" s="177"/>
      <c r="N523" s="177"/>
      <c r="O523" s="177"/>
      <c r="P523" s="177"/>
      <c r="Q523" s="177"/>
      <c r="R523" s="177"/>
      <c r="S523" s="177"/>
      <c r="T523" s="177"/>
      <c r="U523" s="177"/>
      <c r="V523" s="177"/>
      <c r="W523" s="177"/>
    </row>
    <row r="524" ht="15.75" customHeight="1">
      <c r="A524" s="177"/>
      <c r="B524" s="177"/>
      <c r="C524" s="177"/>
      <c r="D524" s="177"/>
      <c r="E524" s="177"/>
      <c r="F524" s="177"/>
      <c r="G524" s="177"/>
      <c r="H524" s="177"/>
      <c r="I524" s="177"/>
      <c r="J524" s="177"/>
      <c r="K524" s="177"/>
      <c r="L524" s="177"/>
      <c r="M524" s="177"/>
      <c r="N524" s="177"/>
      <c r="O524" s="177"/>
      <c r="P524" s="177"/>
      <c r="Q524" s="177"/>
      <c r="R524" s="177"/>
      <c r="S524" s="177"/>
      <c r="T524" s="177"/>
      <c r="U524" s="177"/>
      <c r="V524" s="177"/>
      <c r="W524" s="177"/>
    </row>
    <row r="525" ht="15.75" customHeight="1">
      <c r="A525" s="177"/>
      <c r="B525" s="177"/>
      <c r="C525" s="177"/>
      <c r="D525" s="177"/>
      <c r="E525" s="177"/>
      <c r="F525" s="177"/>
      <c r="G525" s="177"/>
      <c r="H525" s="177"/>
      <c r="I525" s="177"/>
      <c r="J525" s="177"/>
      <c r="K525" s="177"/>
      <c r="L525" s="177"/>
      <c r="M525" s="177"/>
      <c r="N525" s="177"/>
      <c r="O525" s="177"/>
      <c r="P525" s="177"/>
      <c r="Q525" s="177"/>
      <c r="R525" s="177"/>
      <c r="S525" s="177"/>
      <c r="T525" s="177"/>
      <c r="U525" s="177"/>
      <c r="V525" s="177"/>
      <c r="W525" s="177"/>
    </row>
    <row r="526" ht="15.75" customHeight="1">
      <c r="A526" s="177"/>
      <c r="B526" s="177"/>
      <c r="C526" s="177"/>
      <c r="D526" s="177"/>
      <c r="E526" s="177"/>
      <c r="F526" s="177"/>
      <c r="G526" s="177"/>
      <c r="H526" s="177"/>
      <c r="I526" s="177"/>
      <c r="J526" s="177"/>
      <c r="K526" s="177"/>
      <c r="L526" s="177"/>
      <c r="M526" s="177"/>
      <c r="N526" s="177"/>
      <c r="O526" s="177"/>
      <c r="P526" s="177"/>
      <c r="Q526" s="177"/>
      <c r="R526" s="177"/>
      <c r="S526" s="177"/>
      <c r="T526" s="177"/>
      <c r="U526" s="177"/>
      <c r="V526" s="177"/>
      <c r="W526" s="177"/>
    </row>
    <row r="527" ht="15.75" customHeight="1">
      <c r="A527" s="177"/>
      <c r="B527" s="177"/>
      <c r="C527" s="177"/>
      <c r="D527" s="177"/>
      <c r="E527" s="177"/>
      <c r="F527" s="177"/>
      <c r="G527" s="177"/>
      <c r="H527" s="177"/>
      <c r="I527" s="177"/>
      <c r="J527" s="177"/>
      <c r="K527" s="177"/>
      <c r="L527" s="177"/>
      <c r="M527" s="177"/>
      <c r="N527" s="177"/>
      <c r="O527" s="177"/>
      <c r="P527" s="177"/>
      <c r="Q527" s="177"/>
      <c r="R527" s="177"/>
      <c r="S527" s="177"/>
      <c r="T527" s="177"/>
      <c r="U527" s="177"/>
      <c r="V527" s="177"/>
      <c r="W527" s="177"/>
    </row>
    <row r="528" ht="15.75" customHeight="1">
      <c r="A528" s="177"/>
      <c r="B528" s="177"/>
      <c r="C528" s="177"/>
      <c r="D528" s="177"/>
      <c r="E528" s="177"/>
      <c r="F528" s="177"/>
      <c r="G528" s="177"/>
      <c r="H528" s="177"/>
      <c r="I528" s="177"/>
      <c r="J528" s="177"/>
      <c r="K528" s="177"/>
      <c r="L528" s="177"/>
      <c r="M528" s="177"/>
      <c r="N528" s="177"/>
      <c r="O528" s="177"/>
      <c r="P528" s="177"/>
      <c r="Q528" s="177"/>
      <c r="R528" s="177"/>
      <c r="S528" s="177"/>
      <c r="T528" s="177"/>
      <c r="U528" s="177"/>
      <c r="V528" s="177"/>
      <c r="W528" s="177"/>
    </row>
    <row r="529" ht="15.75" customHeight="1">
      <c r="A529" s="177"/>
      <c r="B529" s="177"/>
      <c r="C529" s="177"/>
      <c r="D529" s="177"/>
      <c r="E529" s="177"/>
      <c r="F529" s="177"/>
      <c r="G529" s="177"/>
      <c r="H529" s="177"/>
      <c r="I529" s="177"/>
      <c r="J529" s="177"/>
      <c r="K529" s="177"/>
      <c r="L529" s="177"/>
      <c r="M529" s="177"/>
      <c r="N529" s="177"/>
      <c r="O529" s="177"/>
      <c r="P529" s="177"/>
      <c r="Q529" s="177"/>
      <c r="R529" s="177"/>
      <c r="S529" s="177"/>
      <c r="T529" s="177"/>
      <c r="U529" s="177"/>
      <c r="V529" s="177"/>
      <c r="W529" s="177"/>
    </row>
    <row r="530" ht="15.75" customHeight="1">
      <c r="A530" s="177"/>
      <c r="B530" s="177"/>
      <c r="C530" s="177"/>
      <c r="D530" s="177"/>
      <c r="E530" s="177"/>
      <c r="F530" s="177"/>
      <c r="G530" s="177"/>
      <c r="H530" s="177"/>
      <c r="I530" s="177"/>
      <c r="J530" s="177"/>
      <c r="K530" s="177"/>
      <c r="L530" s="177"/>
      <c r="M530" s="177"/>
      <c r="N530" s="177"/>
      <c r="O530" s="177"/>
      <c r="P530" s="177"/>
      <c r="Q530" s="177"/>
      <c r="R530" s="177"/>
      <c r="S530" s="177"/>
      <c r="T530" s="177"/>
      <c r="U530" s="177"/>
      <c r="V530" s="177"/>
      <c r="W530" s="177"/>
    </row>
    <row r="531" ht="15.75" customHeight="1">
      <c r="A531" s="177"/>
      <c r="B531" s="177"/>
      <c r="C531" s="177"/>
      <c r="D531" s="177"/>
      <c r="E531" s="177"/>
      <c r="F531" s="177"/>
      <c r="G531" s="177"/>
      <c r="H531" s="177"/>
      <c r="I531" s="177"/>
      <c r="J531" s="177"/>
      <c r="K531" s="177"/>
      <c r="L531" s="177"/>
      <c r="M531" s="177"/>
      <c r="N531" s="177"/>
      <c r="O531" s="177"/>
      <c r="P531" s="177"/>
      <c r="Q531" s="177"/>
      <c r="R531" s="177"/>
      <c r="S531" s="177"/>
      <c r="T531" s="177"/>
      <c r="U531" s="177"/>
      <c r="V531" s="177"/>
      <c r="W531" s="177"/>
    </row>
    <row r="532" ht="15.75" customHeight="1">
      <c r="A532" s="177"/>
      <c r="B532" s="177"/>
      <c r="C532" s="177"/>
      <c r="D532" s="177"/>
      <c r="E532" s="177"/>
      <c r="F532" s="177"/>
      <c r="G532" s="177"/>
      <c r="H532" s="177"/>
      <c r="I532" s="177"/>
      <c r="J532" s="177"/>
      <c r="K532" s="177"/>
      <c r="L532" s="177"/>
      <c r="M532" s="177"/>
      <c r="N532" s="177"/>
      <c r="O532" s="177"/>
      <c r="P532" s="177"/>
      <c r="Q532" s="177"/>
      <c r="R532" s="177"/>
      <c r="S532" s="177"/>
      <c r="T532" s="177"/>
      <c r="U532" s="177"/>
      <c r="V532" s="177"/>
      <c r="W532" s="177"/>
    </row>
    <row r="533" ht="15.75" customHeight="1">
      <c r="A533" s="177"/>
      <c r="B533" s="177"/>
      <c r="C533" s="177"/>
      <c r="D533" s="177"/>
      <c r="E533" s="177"/>
      <c r="F533" s="177"/>
      <c r="G533" s="177"/>
      <c r="H533" s="177"/>
      <c r="I533" s="177"/>
      <c r="J533" s="177"/>
      <c r="K533" s="177"/>
      <c r="L533" s="177"/>
      <c r="M533" s="177"/>
      <c r="N533" s="177"/>
      <c r="O533" s="177"/>
      <c r="P533" s="177"/>
      <c r="Q533" s="177"/>
      <c r="R533" s="177"/>
      <c r="S533" s="177"/>
      <c r="T533" s="177"/>
      <c r="U533" s="177"/>
      <c r="V533" s="177"/>
      <c r="W533" s="177"/>
    </row>
    <row r="534" ht="15.75" customHeight="1">
      <c r="A534" s="177"/>
      <c r="B534" s="177"/>
      <c r="C534" s="177"/>
      <c r="D534" s="177"/>
      <c r="E534" s="177"/>
      <c r="F534" s="177"/>
      <c r="G534" s="177"/>
      <c r="H534" s="177"/>
      <c r="I534" s="177"/>
      <c r="J534" s="177"/>
      <c r="K534" s="177"/>
      <c r="L534" s="177"/>
      <c r="M534" s="177"/>
      <c r="N534" s="177"/>
      <c r="O534" s="177"/>
      <c r="P534" s="177"/>
      <c r="Q534" s="177"/>
      <c r="R534" s="177"/>
      <c r="S534" s="177"/>
      <c r="T534" s="177"/>
      <c r="U534" s="177"/>
      <c r="V534" s="177"/>
      <c r="W534" s="177"/>
    </row>
    <row r="535" ht="15.75" customHeight="1">
      <c r="A535" s="177"/>
      <c r="B535" s="177"/>
      <c r="C535" s="177"/>
      <c r="D535" s="177"/>
      <c r="E535" s="177"/>
      <c r="F535" s="177"/>
      <c r="G535" s="177"/>
      <c r="H535" s="177"/>
      <c r="I535" s="177"/>
      <c r="J535" s="177"/>
      <c r="K535" s="177"/>
      <c r="L535" s="177"/>
      <c r="M535" s="177"/>
      <c r="N535" s="177"/>
      <c r="O535" s="177"/>
      <c r="P535" s="177"/>
      <c r="Q535" s="177"/>
      <c r="R535" s="177"/>
      <c r="S535" s="177"/>
      <c r="T535" s="177"/>
      <c r="U535" s="177"/>
      <c r="V535" s="177"/>
      <c r="W535" s="177"/>
    </row>
    <row r="536" ht="15.75" customHeight="1">
      <c r="A536" s="177"/>
      <c r="B536" s="177"/>
      <c r="C536" s="177"/>
      <c r="D536" s="177"/>
      <c r="E536" s="177"/>
      <c r="F536" s="177"/>
      <c r="G536" s="177"/>
      <c r="H536" s="177"/>
      <c r="I536" s="177"/>
      <c r="J536" s="177"/>
      <c r="K536" s="177"/>
      <c r="L536" s="177"/>
      <c r="M536" s="177"/>
      <c r="N536" s="177"/>
      <c r="O536" s="177"/>
      <c r="P536" s="177"/>
      <c r="Q536" s="177"/>
      <c r="R536" s="177"/>
      <c r="S536" s="177"/>
      <c r="T536" s="177"/>
      <c r="U536" s="177"/>
      <c r="V536" s="177"/>
      <c r="W536" s="177"/>
    </row>
    <row r="537" ht="15.75" customHeight="1">
      <c r="A537" s="177"/>
      <c r="B537" s="177"/>
      <c r="C537" s="177"/>
      <c r="D537" s="177"/>
      <c r="E537" s="177"/>
      <c r="F537" s="177"/>
      <c r="G537" s="177"/>
      <c r="H537" s="177"/>
      <c r="I537" s="177"/>
      <c r="J537" s="177"/>
      <c r="K537" s="177"/>
      <c r="L537" s="177"/>
      <c r="M537" s="177"/>
      <c r="N537" s="177"/>
      <c r="O537" s="177"/>
      <c r="P537" s="177"/>
      <c r="Q537" s="177"/>
      <c r="R537" s="177"/>
      <c r="S537" s="177"/>
      <c r="T537" s="177"/>
      <c r="U537" s="177"/>
      <c r="V537" s="177"/>
      <c r="W537" s="177"/>
    </row>
    <row r="538" ht="15.75" customHeight="1">
      <c r="A538" s="177"/>
      <c r="B538" s="177"/>
      <c r="C538" s="177"/>
      <c r="D538" s="177"/>
      <c r="E538" s="177"/>
      <c r="F538" s="177"/>
      <c r="G538" s="177"/>
      <c r="H538" s="177"/>
      <c r="I538" s="177"/>
      <c r="J538" s="177"/>
      <c r="K538" s="177"/>
      <c r="L538" s="177"/>
      <c r="M538" s="177"/>
      <c r="N538" s="177"/>
      <c r="O538" s="177"/>
      <c r="P538" s="177"/>
      <c r="Q538" s="177"/>
      <c r="R538" s="177"/>
      <c r="S538" s="177"/>
      <c r="T538" s="177"/>
      <c r="U538" s="177"/>
      <c r="V538" s="177"/>
      <c r="W538" s="177"/>
    </row>
    <row r="539" ht="15.75" customHeight="1">
      <c r="A539" s="177"/>
      <c r="B539" s="177"/>
      <c r="C539" s="177"/>
      <c r="D539" s="177"/>
      <c r="E539" s="177"/>
      <c r="F539" s="177"/>
      <c r="G539" s="177"/>
      <c r="H539" s="177"/>
      <c r="I539" s="177"/>
      <c r="J539" s="177"/>
      <c r="K539" s="177"/>
      <c r="L539" s="177"/>
      <c r="M539" s="177"/>
      <c r="N539" s="177"/>
      <c r="O539" s="177"/>
      <c r="P539" s="177"/>
      <c r="Q539" s="177"/>
      <c r="R539" s="177"/>
      <c r="S539" s="177"/>
      <c r="T539" s="177"/>
      <c r="U539" s="177"/>
      <c r="V539" s="177"/>
      <c r="W539" s="177"/>
    </row>
    <row r="540" ht="15.75" customHeight="1">
      <c r="A540" s="177"/>
      <c r="B540" s="177"/>
      <c r="C540" s="177"/>
      <c r="D540" s="177"/>
      <c r="E540" s="177"/>
      <c r="F540" s="177"/>
      <c r="G540" s="177"/>
      <c r="H540" s="177"/>
      <c r="I540" s="177"/>
      <c r="J540" s="177"/>
      <c r="K540" s="177"/>
      <c r="L540" s="177"/>
      <c r="M540" s="177"/>
      <c r="N540" s="177"/>
      <c r="O540" s="177"/>
      <c r="P540" s="177"/>
      <c r="Q540" s="177"/>
      <c r="R540" s="177"/>
      <c r="S540" s="177"/>
      <c r="T540" s="177"/>
      <c r="U540" s="177"/>
      <c r="V540" s="177"/>
      <c r="W540" s="177"/>
    </row>
    <row r="541" ht="15.75" customHeight="1">
      <c r="A541" s="177"/>
      <c r="B541" s="177"/>
      <c r="C541" s="177"/>
      <c r="D541" s="177"/>
      <c r="E541" s="177"/>
      <c r="F541" s="177"/>
      <c r="G541" s="177"/>
      <c r="H541" s="177"/>
      <c r="I541" s="177"/>
      <c r="J541" s="177"/>
      <c r="K541" s="177"/>
      <c r="L541" s="177"/>
      <c r="M541" s="177"/>
      <c r="N541" s="177"/>
      <c r="O541" s="177"/>
      <c r="P541" s="177"/>
      <c r="Q541" s="177"/>
      <c r="R541" s="177"/>
      <c r="S541" s="177"/>
      <c r="T541" s="177"/>
      <c r="U541" s="177"/>
      <c r="V541" s="177"/>
      <c r="W541" s="177"/>
    </row>
    <row r="542" ht="15.75" customHeight="1">
      <c r="A542" s="177"/>
      <c r="B542" s="177"/>
      <c r="C542" s="177"/>
      <c r="D542" s="177"/>
      <c r="E542" s="177"/>
      <c r="F542" s="177"/>
      <c r="G542" s="177"/>
      <c r="H542" s="177"/>
      <c r="I542" s="177"/>
      <c r="J542" s="177"/>
      <c r="K542" s="177"/>
      <c r="L542" s="177"/>
      <c r="M542" s="177"/>
      <c r="N542" s="177"/>
      <c r="O542" s="177"/>
      <c r="P542" s="177"/>
      <c r="Q542" s="177"/>
      <c r="R542" s="177"/>
      <c r="S542" s="177"/>
      <c r="T542" s="177"/>
      <c r="U542" s="177"/>
      <c r="V542" s="177"/>
      <c r="W542" s="177"/>
    </row>
    <row r="543" ht="15.75" customHeight="1">
      <c r="A543" s="177"/>
      <c r="B543" s="177"/>
      <c r="C543" s="177"/>
      <c r="D543" s="177"/>
      <c r="E543" s="177"/>
      <c r="F543" s="177"/>
      <c r="G543" s="177"/>
      <c r="H543" s="177"/>
      <c r="I543" s="177"/>
      <c r="J543" s="177"/>
      <c r="K543" s="177"/>
      <c r="L543" s="177"/>
      <c r="M543" s="177"/>
      <c r="N543" s="177"/>
      <c r="O543" s="177"/>
      <c r="P543" s="177"/>
      <c r="Q543" s="177"/>
      <c r="R543" s="177"/>
      <c r="S543" s="177"/>
      <c r="T543" s="177"/>
      <c r="U543" s="177"/>
      <c r="V543" s="177"/>
      <c r="W543" s="177"/>
    </row>
    <row r="544" ht="15.75" customHeight="1">
      <c r="A544" s="177"/>
      <c r="B544" s="177"/>
      <c r="C544" s="177"/>
      <c r="D544" s="177"/>
      <c r="E544" s="177"/>
      <c r="F544" s="177"/>
      <c r="G544" s="177"/>
      <c r="H544" s="177"/>
      <c r="I544" s="177"/>
      <c r="J544" s="177"/>
      <c r="K544" s="177"/>
      <c r="L544" s="177"/>
      <c r="M544" s="177"/>
      <c r="N544" s="177"/>
      <c r="O544" s="177"/>
      <c r="P544" s="177"/>
      <c r="Q544" s="177"/>
      <c r="R544" s="177"/>
      <c r="S544" s="177"/>
      <c r="T544" s="177"/>
      <c r="U544" s="177"/>
      <c r="V544" s="177"/>
      <c r="W544" s="177"/>
    </row>
    <row r="545" ht="15.75" customHeight="1">
      <c r="A545" s="177"/>
      <c r="B545" s="177"/>
      <c r="C545" s="177"/>
      <c r="D545" s="177"/>
      <c r="E545" s="177"/>
      <c r="F545" s="177"/>
      <c r="G545" s="177"/>
      <c r="H545" s="177"/>
      <c r="I545" s="177"/>
      <c r="J545" s="177"/>
      <c r="K545" s="177"/>
      <c r="L545" s="177"/>
      <c r="M545" s="177"/>
      <c r="N545" s="177"/>
      <c r="O545" s="177"/>
      <c r="P545" s="177"/>
      <c r="Q545" s="177"/>
      <c r="R545" s="177"/>
      <c r="S545" s="177"/>
      <c r="T545" s="177"/>
      <c r="U545" s="177"/>
      <c r="V545" s="177"/>
      <c r="W545" s="177"/>
    </row>
    <row r="546" ht="15.75" customHeight="1">
      <c r="A546" s="177"/>
      <c r="B546" s="177"/>
      <c r="C546" s="177"/>
      <c r="D546" s="177"/>
      <c r="E546" s="177"/>
      <c r="F546" s="177"/>
      <c r="G546" s="177"/>
      <c r="H546" s="177"/>
      <c r="I546" s="177"/>
      <c r="J546" s="177"/>
      <c r="K546" s="177"/>
      <c r="L546" s="177"/>
      <c r="M546" s="177"/>
      <c r="N546" s="177"/>
      <c r="O546" s="177"/>
      <c r="P546" s="177"/>
      <c r="Q546" s="177"/>
      <c r="R546" s="177"/>
      <c r="S546" s="177"/>
      <c r="T546" s="177"/>
      <c r="U546" s="177"/>
      <c r="V546" s="177"/>
      <c r="W546" s="177"/>
    </row>
    <row r="547" ht="15.75" customHeight="1">
      <c r="A547" s="177"/>
      <c r="B547" s="177"/>
      <c r="C547" s="177"/>
      <c r="D547" s="177"/>
      <c r="E547" s="177"/>
      <c r="F547" s="177"/>
      <c r="G547" s="177"/>
      <c r="H547" s="177"/>
      <c r="I547" s="177"/>
      <c r="J547" s="177"/>
      <c r="K547" s="177"/>
      <c r="L547" s="177"/>
      <c r="M547" s="177"/>
      <c r="N547" s="177"/>
      <c r="O547" s="177"/>
      <c r="P547" s="177"/>
      <c r="Q547" s="177"/>
      <c r="R547" s="177"/>
      <c r="S547" s="177"/>
      <c r="T547" s="177"/>
      <c r="U547" s="177"/>
      <c r="V547" s="177"/>
      <c r="W547" s="177"/>
    </row>
    <row r="548" ht="15.75" customHeight="1">
      <c r="A548" s="177"/>
      <c r="B548" s="177"/>
      <c r="C548" s="177"/>
      <c r="D548" s="177"/>
      <c r="E548" s="177"/>
      <c r="F548" s="177"/>
      <c r="G548" s="177"/>
      <c r="H548" s="177"/>
      <c r="I548" s="177"/>
      <c r="J548" s="177"/>
      <c r="K548" s="177"/>
      <c r="L548" s="177"/>
      <c r="M548" s="177"/>
      <c r="N548" s="177"/>
      <c r="O548" s="177"/>
      <c r="P548" s="177"/>
      <c r="Q548" s="177"/>
      <c r="R548" s="177"/>
      <c r="S548" s="177"/>
      <c r="T548" s="177"/>
      <c r="U548" s="177"/>
      <c r="V548" s="177"/>
      <c r="W548" s="177"/>
    </row>
    <row r="549" ht="15.75" customHeight="1">
      <c r="A549" s="177"/>
      <c r="B549" s="177"/>
      <c r="C549" s="177"/>
      <c r="D549" s="177"/>
      <c r="E549" s="177"/>
      <c r="F549" s="177"/>
      <c r="G549" s="177"/>
      <c r="H549" s="177"/>
      <c r="I549" s="177"/>
      <c r="J549" s="177"/>
      <c r="K549" s="177"/>
      <c r="L549" s="177"/>
      <c r="M549" s="177"/>
      <c r="N549" s="177"/>
      <c r="O549" s="177"/>
      <c r="P549" s="177"/>
      <c r="Q549" s="177"/>
      <c r="R549" s="177"/>
      <c r="S549" s="177"/>
      <c r="T549" s="177"/>
      <c r="U549" s="177"/>
      <c r="V549" s="177"/>
      <c r="W549" s="177"/>
    </row>
    <row r="550" ht="15.75" customHeight="1">
      <c r="A550" s="177"/>
      <c r="B550" s="177"/>
      <c r="C550" s="177"/>
      <c r="D550" s="177"/>
      <c r="E550" s="177"/>
      <c r="F550" s="177"/>
      <c r="G550" s="177"/>
      <c r="H550" s="177"/>
      <c r="I550" s="177"/>
      <c r="J550" s="177"/>
      <c r="K550" s="177"/>
      <c r="L550" s="177"/>
      <c r="M550" s="177"/>
      <c r="N550" s="177"/>
      <c r="O550" s="177"/>
      <c r="P550" s="177"/>
      <c r="Q550" s="177"/>
      <c r="R550" s="177"/>
      <c r="S550" s="177"/>
      <c r="T550" s="177"/>
      <c r="U550" s="177"/>
      <c r="V550" s="177"/>
      <c r="W550" s="177"/>
    </row>
    <row r="551" ht="15.75" customHeight="1">
      <c r="A551" s="177"/>
      <c r="B551" s="177"/>
      <c r="C551" s="177"/>
      <c r="D551" s="177"/>
      <c r="E551" s="177"/>
      <c r="F551" s="177"/>
      <c r="G551" s="177"/>
      <c r="H551" s="177"/>
      <c r="I551" s="177"/>
      <c r="J551" s="177"/>
      <c r="K551" s="177"/>
      <c r="L551" s="177"/>
      <c r="M551" s="177"/>
      <c r="N551" s="177"/>
      <c r="O551" s="177"/>
      <c r="P551" s="177"/>
      <c r="Q551" s="177"/>
      <c r="R551" s="177"/>
      <c r="S551" s="177"/>
      <c r="T551" s="177"/>
      <c r="U551" s="177"/>
      <c r="V551" s="177"/>
      <c r="W551" s="177"/>
    </row>
    <row r="552" ht="15.75" customHeight="1">
      <c r="A552" s="177"/>
      <c r="B552" s="177"/>
      <c r="C552" s="177"/>
      <c r="D552" s="177"/>
      <c r="E552" s="177"/>
      <c r="F552" s="177"/>
      <c r="G552" s="177"/>
      <c r="H552" s="177"/>
      <c r="I552" s="177"/>
      <c r="J552" s="177"/>
      <c r="K552" s="177"/>
      <c r="L552" s="177"/>
      <c r="M552" s="177"/>
      <c r="N552" s="177"/>
      <c r="O552" s="177"/>
      <c r="P552" s="177"/>
      <c r="Q552" s="177"/>
      <c r="R552" s="177"/>
      <c r="S552" s="177"/>
      <c r="T552" s="177"/>
      <c r="U552" s="177"/>
      <c r="V552" s="177"/>
      <c r="W552" s="177"/>
    </row>
    <row r="553" ht="15.75" customHeight="1">
      <c r="A553" s="177"/>
      <c r="B553" s="177"/>
      <c r="C553" s="177"/>
      <c r="D553" s="177"/>
      <c r="E553" s="177"/>
      <c r="F553" s="177"/>
      <c r="G553" s="177"/>
      <c r="H553" s="177"/>
      <c r="I553" s="177"/>
      <c r="J553" s="177"/>
      <c r="K553" s="177"/>
      <c r="L553" s="177"/>
      <c r="M553" s="177"/>
      <c r="N553" s="177"/>
      <c r="O553" s="177"/>
      <c r="P553" s="177"/>
      <c r="Q553" s="177"/>
      <c r="R553" s="177"/>
      <c r="S553" s="177"/>
      <c r="T553" s="177"/>
      <c r="U553" s="177"/>
      <c r="V553" s="177"/>
      <c r="W553" s="177"/>
    </row>
    <row r="554" ht="15.75" customHeight="1">
      <c r="A554" s="177"/>
      <c r="B554" s="177"/>
      <c r="C554" s="177"/>
      <c r="D554" s="177"/>
      <c r="E554" s="177"/>
      <c r="F554" s="177"/>
      <c r="G554" s="177"/>
      <c r="H554" s="177"/>
      <c r="I554" s="177"/>
      <c r="J554" s="177"/>
      <c r="K554" s="177"/>
      <c r="L554" s="177"/>
      <c r="M554" s="177"/>
      <c r="N554" s="177"/>
      <c r="O554" s="177"/>
      <c r="P554" s="177"/>
      <c r="Q554" s="177"/>
      <c r="R554" s="177"/>
      <c r="S554" s="177"/>
      <c r="T554" s="177"/>
      <c r="U554" s="177"/>
      <c r="V554" s="177"/>
      <c r="W554" s="177"/>
    </row>
    <row r="555" ht="15.75" customHeight="1">
      <c r="A555" s="177"/>
      <c r="B555" s="177"/>
      <c r="C555" s="177"/>
      <c r="D555" s="177"/>
      <c r="E555" s="177"/>
      <c r="F555" s="177"/>
      <c r="G555" s="177"/>
      <c r="H555" s="177"/>
      <c r="I555" s="177"/>
      <c r="J555" s="177"/>
      <c r="K555" s="177"/>
      <c r="L555" s="177"/>
      <c r="M555" s="177"/>
      <c r="N555" s="177"/>
      <c r="O555" s="177"/>
      <c r="P555" s="177"/>
      <c r="Q555" s="177"/>
      <c r="R555" s="177"/>
      <c r="S555" s="177"/>
      <c r="T555" s="177"/>
      <c r="U555" s="177"/>
      <c r="V555" s="177"/>
      <c r="W555" s="177"/>
    </row>
    <row r="556" ht="15.75" customHeight="1">
      <c r="A556" s="177"/>
      <c r="B556" s="177"/>
      <c r="C556" s="177"/>
      <c r="D556" s="177"/>
      <c r="E556" s="177"/>
      <c r="F556" s="177"/>
      <c r="G556" s="177"/>
      <c r="H556" s="177"/>
      <c r="I556" s="177"/>
      <c r="J556" s="177"/>
      <c r="K556" s="177"/>
      <c r="L556" s="177"/>
      <c r="M556" s="177"/>
      <c r="N556" s="177"/>
      <c r="O556" s="177"/>
      <c r="P556" s="177"/>
      <c r="Q556" s="177"/>
      <c r="R556" s="177"/>
      <c r="S556" s="177"/>
      <c r="T556" s="177"/>
      <c r="U556" s="177"/>
      <c r="V556" s="177"/>
      <c r="W556" s="177"/>
    </row>
    <row r="557" ht="15.75" customHeight="1">
      <c r="A557" s="177"/>
      <c r="B557" s="177"/>
      <c r="C557" s="177"/>
      <c r="D557" s="177"/>
      <c r="E557" s="177"/>
      <c r="F557" s="177"/>
      <c r="G557" s="177"/>
      <c r="H557" s="177"/>
      <c r="I557" s="177"/>
      <c r="J557" s="177"/>
      <c r="K557" s="177"/>
      <c r="L557" s="177"/>
      <c r="M557" s="177"/>
      <c r="N557" s="177"/>
      <c r="O557" s="177"/>
      <c r="P557" s="177"/>
      <c r="Q557" s="177"/>
      <c r="R557" s="177"/>
      <c r="S557" s="177"/>
      <c r="T557" s="177"/>
      <c r="U557" s="177"/>
      <c r="V557" s="177"/>
      <c r="W557" s="177"/>
    </row>
    <row r="558" ht="15.75" customHeight="1">
      <c r="A558" s="177"/>
      <c r="B558" s="177"/>
      <c r="C558" s="177"/>
      <c r="D558" s="177"/>
      <c r="E558" s="177"/>
      <c r="F558" s="177"/>
      <c r="G558" s="177"/>
      <c r="H558" s="177"/>
      <c r="I558" s="177"/>
      <c r="J558" s="177"/>
      <c r="K558" s="177"/>
      <c r="L558" s="177"/>
      <c r="M558" s="177"/>
      <c r="N558" s="177"/>
      <c r="O558" s="177"/>
      <c r="P558" s="177"/>
      <c r="Q558" s="177"/>
      <c r="R558" s="177"/>
      <c r="S558" s="177"/>
      <c r="T558" s="177"/>
      <c r="U558" s="177"/>
      <c r="V558" s="177"/>
      <c r="W558" s="177"/>
    </row>
    <row r="559" ht="15.75" customHeight="1">
      <c r="A559" s="177"/>
      <c r="B559" s="177"/>
      <c r="C559" s="177"/>
      <c r="D559" s="177"/>
      <c r="E559" s="177"/>
      <c r="F559" s="177"/>
      <c r="G559" s="177"/>
      <c r="H559" s="177"/>
      <c r="I559" s="177"/>
      <c r="J559" s="177"/>
      <c r="K559" s="177"/>
      <c r="L559" s="177"/>
      <c r="M559" s="177"/>
      <c r="N559" s="177"/>
      <c r="O559" s="177"/>
      <c r="P559" s="177"/>
      <c r="Q559" s="177"/>
      <c r="R559" s="177"/>
      <c r="S559" s="177"/>
      <c r="T559" s="177"/>
      <c r="U559" s="177"/>
      <c r="V559" s="177"/>
      <c r="W559" s="177"/>
    </row>
    <row r="560" ht="15.75" customHeight="1">
      <c r="A560" s="177"/>
      <c r="B560" s="177"/>
      <c r="C560" s="177"/>
      <c r="D560" s="177"/>
      <c r="E560" s="177"/>
      <c r="F560" s="177"/>
      <c r="G560" s="177"/>
      <c r="H560" s="177"/>
      <c r="I560" s="177"/>
      <c r="J560" s="177"/>
      <c r="K560" s="177"/>
      <c r="L560" s="177"/>
      <c r="M560" s="177"/>
      <c r="N560" s="177"/>
      <c r="O560" s="177"/>
      <c r="P560" s="177"/>
      <c r="Q560" s="177"/>
      <c r="R560" s="177"/>
      <c r="S560" s="177"/>
      <c r="T560" s="177"/>
      <c r="U560" s="177"/>
      <c r="V560" s="177"/>
      <c r="W560" s="177"/>
    </row>
    <row r="561" ht="15.75" customHeight="1">
      <c r="A561" s="177"/>
      <c r="B561" s="177"/>
      <c r="C561" s="177"/>
      <c r="D561" s="177"/>
      <c r="E561" s="177"/>
      <c r="F561" s="177"/>
      <c r="G561" s="177"/>
      <c r="H561" s="177"/>
      <c r="I561" s="177"/>
      <c r="J561" s="177"/>
      <c r="K561" s="177"/>
      <c r="L561" s="177"/>
      <c r="M561" s="177"/>
      <c r="N561" s="177"/>
      <c r="O561" s="177"/>
      <c r="P561" s="177"/>
      <c r="Q561" s="177"/>
      <c r="R561" s="177"/>
      <c r="S561" s="177"/>
      <c r="T561" s="177"/>
      <c r="U561" s="177"/>
      <c r="V561" s="177"/>
      <c r="W561" s="177"/>
    </row>
    <row r="562" ht="15.75" customHeight="1">
      <c r="A562" s="177"/>
      <c r="B562" s="177"/>
      <c r="C562" s="177"/>
      <c r="D562" s="177"/>
      <c r="E562" s="177"/>
      <c r="F562" s="177"/>
      <c r="G562" s="177"/>
      <c r="H562" s="177"/>
      <c r="I562" s="177"/>
      <c r="J562" s="177"/>
      <c r="K562" s="177"/>
      <c r="L562" s="177"/>
      <c r="M562" s="177"/>
      <c r="N562" s="177"/>
      <c r="O562" s="177"/>
      <c r="P562" s="177"/>
      <c r="Q562" s="177"/>
      <c r="R562" s="177"/>
      <c r="S562" s="177"/>
      <c r="T562" s="177"/>
      <c r="U562" s="177"/>
      <c r="V562" s="177"/>
      <c r="W562" s="177"/>
    </row>
    <row r="563" ht="15.75" customHeight="1">
      <c r="A563" s="177"/>
      <c r="B563" s="177"/>
      <c r="C563" s="177"/>
      <c r="D563" s="177"/>
      <c r="E563" s="177"/>
      <c r="F563" s="177"/>
      <c r="G563" s="177"/>
      <c r="H563" s="177"/>
      <c r="I563" s="177"/>
      <c r="J563" s="177"/>
      <c r="K563" s="177"/>
      <c r="L563" s="177"/>
      <c r="M563" s="177"/>
      <c r="N563" s="177"/>
      <c r="O563" s="177"/>
      <c r="P563" s="177"/>
      <c r="Q563" s="177"/>
      <c r="R563" s="177"/>
      <c r="S563" s="177"/>
      <c r="T563" s="177"/>
      <c r="U563" s="177"/>
      <c r="V563" s="177"/>
      <c r="W563" s="177"/>
    </row>
    <row r="564" ht="15.75" customHeight="1">
      <c r="A564" s="177"/>
      <c r="B564" s="177"/>
      <c r="C564" s="177"/>
      <c r="D564" s="177"/>
      <c r="E564" s="177"/>
      <c r="F564" s="177"/>
      <c r="G564" s="177"/>
      <c r="H564" s="177"/>
      <c r="I564" s="177"/>
      <c r="J564" s="177"/>
      <c r="K564" s="177"/>
      <c r="L564" s="177"/>
      <c r="M564" s="177"/>
      <c r="N564" s="177"/>
      <c r="O564" s="177"/>
      <c r="P564" s="177"/>
      <c r="Q564" s="177"/>
      <c r="R564" s="177"/>
      <c r="S564" s="177"/>
      <c r="T564" s="177"/>
      <c r="U564" s="177"/>
      <c r="V564" s="177"/>
      <c r="W564" s="177"/>
    </row>
    <row r="565" ht="15.75" customHeight="1">
      <c r="A565" s="177"/>
      <c r="B565" s="177"/>
      <c r="C565" s="177"/>
      <c r="D565" s="177"/>
      <c r="E565" s="177"/>
      <c r="F565" s="177"/>
      <c r="G565" s="177"/>
      <c r="H565" s="177"/>
      <c r="I565" s="177"/>
      <c r="J565" s="177"/>
      <c r="K565" s="177"/>
      <c r="L565" s="177"/>
      <c r="M565" s="177"/>
      <c r="N565" s="177"/>
      <c r="O565" s="177"/>
      <c r="P565" s="177"/>
      <c r="Q565" s="177"/>
      <c r="R565" s="177"/>
      <c r="S565" s="177"/>
      <c r="T565" s="177"/>
      <c r="U565" s="177"/>
      <c r="V565" s="177"/>
      <c r="W565" s="177"/>
    </row>
    <row r="566" ht="15.75" customHeight="1">
      <c r="A566" s="177"/>
      <c r="B566" s="177"/>
      <c r="C566" s="177"/>
      <c r="D566" s="177"/>
      <c r="E566" s="177"/>
      <c r="F566" s="177"/>
      <c r="G566" s="177"/>
      <c r="H566" s="177"/>
      <c r="I566" s="177"/>
      <c r="J566" s="177"/>
      <c r="K566" s="177"/>
      <c r="L566" s="177"/>
      <c r="M566" s="177"/>
      <c r="N566" s="177"/>
      <c r="O566" s="177"/>
      <c r="P566" s="177"/>
      <c r="Q566" s="177"/>
      <c r="R566" s="177"/>
      <c r="S566" s="177"/>
      <c r="T566" s="177"/>
      <c r="U566" s="177"/>
      <c r="V566" s="177"/>
      <c r="W566" s="177"/>
    </row>
    <row r="567" ht="15.75" customHeight="1">
      <c r="A567" s="177"/>
      <c r="B567" s="177"/>
      <c r="C567" s="177"/>
      <c r="D567" s="177"/>
      <c r="E567" s="177"/>
      <c r="F567" s="177"/>
      <c r="G567" s="177"/>
      <c r="H567" s="177"/>
      <c r="I567" s="177"/>
      <c r="J567" s="177"/>
      <c r="K567" s="177"/>
      <c r="L567" s="177"/>
      <c r="M567" s="177"/>
      <c r="N567" s="177"/>
      <c r="O567" s="177"/>
      <c r="P567" s="177"/>
      <c r="Q567" s="177"/>
      <c r="R567" s="177"/>
      <c r="S567" s="177"/>
      <c r="T567" s="177"/>
      <c r="U567" s="177"/>
      <c r="V567" s="177"/>
      <c r="W567" s="177"/>
    </row>
    <row r="568" ht="15.75" customHeight="1">
      <c r="A568" s="177"/>
      <c r="B568" s="177"/>
      <c r="C568" s="177"/>
      <c r="D568" s="177"/>
      <c r="E568" s="177"/>
      <c r="F568" s="177"/>
      <c r="G568" s="177"/>
      <c r="H568" s="177"/>
      <c r="I568" s="177"/>
      <c r="J568" s="177"/>
      <c r="K568" s="177"/>
      <c r="L568" s="177"/>
      <c r="M568" s="177"/>
      <c r="N568" s="177"/>
      <c r="O568" s="177"/>
      <c r="P568" s="177"/>
      <c r="Q568" s="177"/>
      <c r="R568" s="177"/>
      <c r="S568" s="177"/>
      <c r="T568" s="177"/>
      <c r="U568" s="177"/>
      <c r="V568" s="177"/>
      <c r="W568" s="177"/>
    </row>
    <row r="569" ht="15.75" customHeight="1">
      <c r="A569" s="177"/>
      <c r="B569" s="177"/>
      <c r="C569" s="177"/>
      <c r="D569" s="177"/>
      <c r="E569" s="177"/>
      <c r="F569" s="177"/>
      <c r="G569" s="177"/>
      <c r="H569" s="177"/>
      <c r="I569" s="177"/>
      <c r="J569" s="177"/>
      <c r="K569" s="177"/>
      <c r="L569" s="177"/>
      <c r="M569" s="177"/>
      <c r="N569" s="177"/>
      <c r="O569" s="177"/>
      <c r="P569" s="177"/>
      <c r="Q569" s="177"/>
      <c r="R569" s="177"/>
      <c r="S569" s="177"/>
      <c r="T569" s="177"/>
      <c r="U569" s="177"/>
      <c r="V569" s="177"/>
      <c r="W569" s="177"/>
    </row>
    <row r="570" ht="15.75" customHeight="1">
      <c r="A570" s="177"/>
      <c r="B570" s="177"/>
      <c r="C570" s="177"/>
      <c r="D570" s="177"/>
      <c r="E570" s="177"/>
      <c r="F570" s="177"/>
      <c r="G570" s="177"/>
      <c r="H570" s="177"/>
      <c r="I570" s="177"/>
      <c r="J570" s="177"/>
      <c r="K570" s="177"/>
      <c r="L570" s="177"/>
      <c r="M570" s="177"/>
      <c r="N570" s="177"/>
      <c r="O570" s="177"/>
      <c r="P570" s="177"/>
      <c r="Q570" s="177"/>
      <c r="R570" s="177"/>
      <c r="S570" s="177"/>
      <c r="T570" s="177"/>
      <c r="U570" s="177"/>
      <c r="V570" s="177"/>
      <c r="W570" s="177"/>
    </row>
    <row r="571" ht="15.75" customHeight="1">
      <c r="A571" s="177"/>
      <c r="B571" s="177"/>
      <c r="C571" s="177"/>
      <c r="D571" s="177"/>
      <c r="E571" s="177"/>
      <c r="F571" s="177"/>
      <c r="G571" s="177"/>
      <c r="H571" s="177"/>
      <c r="I571" s="177"/>
      <c r="J571" s="177"/>
      <c r="K571" s="177"/>
      <c r="L571" s="177"/>
      <c r="M571" s="177"/>
      <c r="N571" s="177"/>
      <c r="O571" s="177"/>
      <c r="P571" s="177"/>
      <c r="Q571" s="177"/>
      <c r="R571" s="177"/>
      <c r="S571" s="177"/>
      <c r="T571" s="177"/>
      <c r="U571" s="177"/>
      <c r="V571" s="177"/>
      <c r="W571" s="177"/>
    </row>
    <row r="572" ht="15.75" customHeight="1">
      <c r="A572" s="177"/>
      <c r="B572" s="177"/>
      <c r="C572" s="177"/>
      <c r="D572" s="177"/>
      <c r="E572" s="177"/>
      <c r="F572" s="177"/>
      <c r="G572" s="177"/>
      <c r="H572" s="177"/>
      <c r="I572" s="177"/>
      <c r="J572" s="177"/>
      <c r="K572" s="177"/>
      <c r="L572" s="177"/>
      <c r="M572" s="177"/>
      <c r="N572" s="177"/>
      <c r="O572" s="177"/>
      <c r="P572" s="177"/>
      <c r="Q572" s="177"/>
      <c r="R572" s="177"/>
      <c r="S572" s="177"/>
      <c r="T572" s="177"/>
      <c r="U572" s="177"/>
      <c r="V572" s="177"/>
      <c r="W572" s="177"/>
    </row>
    <row r="573" ht="15.75" customHeight="1">
      <c r="A573" s="177"/>
      <c r="B573" s="177"/>
      <c r="C573" s="177"/>
      <c r="D573" s="177"/>
      <c r="E573" s="177"/>
      <c r="F573" s="177"/>
      <c r="G573" s="177"/>
      <c r="H573" s="177"/>
      <c r="I573" s="177"/>
      <c r="J573" s="177"/>
      <c r="K573" s="177"/>
      <c r="L573" s="177"/>
      <c r="M573" s="177"/>
      <c r="N573" s="177"/>
      <c r="O573" s="177"/>
      <c r="P573" s="177"/>
      <c r="Q573" s="177"/>
      <c r="R573" s="177"/>
      <c r="S573" s="177"/>
      <c r="T573" s="177"/>
      <c r="U573" s="177"/>
      <c r="V573" s="177"/>
      <c r="W573" s="177"/>
    </row>
    <row r="574" ht="15.75" customHeight="1">
      <c r="A574" s="177"/>
      <c r="B574" s="177"/>
      <c r="C574" s="177"/>
      <c r="D574" s="177"/>
      <c r="E574" s="177"/>
      <c r="F574" s="177"/>
      <c r="G574" s="177"/>
      <c r="H574" s="177"/>
      <c r="I574" s="177"/>
      <c r="J574" s="177"/>
      <c r="K574" s="177"/>
      <c r="L574" s="177"/>
      <c r="M574" s="177"/>
      <c r="N574" s="177"/>
      <c r="O574" s="177"/>
      <c r="P574" s="177"/>
      <c r="Q574" s="177"/>
      <c r="R574" s="177"/>
      <c r="S574" s="177"/>
      <c r="T574" s="177"/>
      <c r="U574" s="177"/>
      <c r="V574" s="177"/>
      <c r="W574" s="177"/>
    </row>
    <row r="575" ht="15.75" customHeight="1">
      <c r="A575" s="177"/>
      <c r="B575" s="177"/>
      <c r="C575" s="177"/>
      <c r="D575" s="177"/>
      <c r="E575" s="177"/>
      <c r="F575" s="177"/>
      <c r="G575" s="177"/>
      <c r="H575" s="177"/>
      <c r="I575" s="177"/>
      <c r="J575" s="177"/>
      <c r="K575" s="177"/>
      <c r="L575" s="177"/>
      <c r="M575" s="177"/>
      <c r="N575" s="177"/>
      <c r="O575" s="177"/>
      <c r="P575" s="177"/>
      <c r="Q575" s="177"/>
      <c r="R575" s="177"/>
      <c r="S575" s="177"/>
      <c r="T575" s="177"/>
      <c r="U575" s="177"/>
      <c r="V575" s="177"/>
      <c r="W575" s="177"/>
    </row>
    <row r="576" ht="15.75" customHeight="1">
      <c r="A576" s="177"/>
      <c r="B576" s="177"/>
      <c r="C576" s="177"/>
      <c r="D576" s="177"/>
      <c r="E576" s="177"/>
      <c r="F576" s="177"/>
      <c r="G576" s="177"/>
      <c r="H576" s="177"/>
      <c r="I576" s="177"/>
      <c r="J576" s="177"/>
      <c r="K576" s="177"/>
      <c r="L576" s="177"/>
      <c r="M576" s="177"/>
      <c r="N576" s="177"/>
      <c r="O576" s="177"/>
      <c r="P576" s="177"/>
      <c r="Q576" s="177"/>
      <c r="R576" s="177"/>
      <c r="S576" s="177"/>
      <c r="T576" s="177"/>
      <c r="U576" s="177"/>
      <c r="V576" s="177"/>
      <c r="W576" s="177"/>
    </row>
    <row r="577" ht="15.75" customHeight="1">
      <c r="A577" s="177"/>
      <c r="B577" s="177"/>
      <c r="C577" s="177"/>
      <c r="D577" s="177"/>
      <c r="E577" s="177"/>
      <c r="F577" s="177"/>
      <c r="G577" s="177"/>
      <c r="H577" s="177"/>
      <c r="I577" s="177"/>
      <c r="J577" s="177"/>
      <c r="K577" s="177"/>
      <c r="L577" s="177"/>
      <c r="M577" s="177"/>
      <c r="N577" s="177"/>
      <c r="O577" s="177"/>
      <c r="P577" s="177"/>
      <c r="Q577" s="177"/>
      <c r="R577" s="177"/>
      <c r="S577" s="177"/>
      <c r="T577" s="177"/>
      <c r="U577" s="177"/>
      <c r="V577" s="177"/>
      <c r="W577" s="177"/>
    </row>
    <row r="578" ht="15.75" customHeight="1">
      <c r="A578" s="177"/>
      <c r="B578" s="177"/>
      <c r="C578" s="177"/>
      <c r="D578" s="177"/>
      <c r="E578" s="177"/>
      <c r="F578" s="177"/>
      <c r="G578" s="177"/>
      <c r="H578" s="177"/>
      <c r="I578" s="177"/>
      <c r="J578" s="177"/>
      <c r="K578" s="177"/>
      <c r="L578" s="177"/>
      <c r="M578" s="177"/>
      <c r="N578" s="177"/>
      <c r="O578" s="177"/>
      <c r="P578" s="177"/>
      <c r="Q578" s="177"/>
      <c r="R578" s="177"/>
      <c r="S578" s="177"/>
      <c r="T578" s="177"/>
      <c r="U578" s="177"/>
      <c r="V578" s="177"/>
      <c r="W578" s="177"/>
    </row>
    <row r="579" ht="15.75" customHeight="1">
      <c r="A579" s="177"/>
      <c r="B579" s="177"/>
      <c r="C579" s="177"/>
      <c r="D579" s="177"/>
      <c r="E579" s="177"/>
      <c r="F579" s="177"/>
      <c r="G579" s="177"/>
      <c r="H579" s="177"/>
      <c r="I579" s="177"/>
      <c r="J579" s="177"/>
      <c r="K579" s="177"/>
      <c r="L579" s="177"/>
      <c r="M579" s="177"/>
      <c r="N579" s="177"/>
      <c r="O579" s="177"/>
      <c r="P579" s="177"/>
      <c r="Q579" s="177"/>
      <c r="R579" s="177"/>
      <c r="S579" s="177"/>
      <c r="T579" s="177"/>
      <c r="U579" s="177"/>
      <c r="V579" s="177"/>
      <c r="W579" s="177"/>
    </row>
    <row r="580" ht="15.75" customHeight="1">
      <c r="A580" s="177"/>
      <c r="B580" s="177"/>
      <c r="C580" s="177"/>
      <c r="D580" s="177"/>
      <c r="E580" s="177"/>
      <c r="F580" s="177"/>
      <c r="G580" s="177"/>
      <c r="H580" s="177"/>
      <c r="I580" s="177"/>
      <c r="J580" s="177"/>
      <c r="K580" s="177"/>
      <c r="L580" s="177"/>
      <c r="M580" s="177"/>
      <c r="N580" s="177"/>
      <c r="O580" s="177"/>
      <c r="P580" s="177"/>
      <c r="Q580" s="177"/>
      <c r="R580" s="177"/>
      <c r="S580" s="177"/>
      <c r="T580" s="177"/>
      <c r="U580" s="177"/>
      <c r="V580" s="177"/>
      <c r="W580" s="177"/>
    </row>
    <row r="581" ht="15.75" customHeight="1">
      <c r="A581" s="177"/>
      <c r="B581" s="177"/>
      <c r="C581" s="177"/>
      <c r="D581" s="177"/>
      <c r="E581" s="177"/>
      <c r="F581" s="177"/>
      <c r="G581" s="177"/>
      <c r="H581" s="177"/>
      <c r="I581" s="177"/>
      <c r="J581" s="177"/>
      <c r="K581" s="177"/>
      <c r="L581" s="177"/>
      <c r="M581" s="177"/>
      <c r="N581" s="177"/>
      <c r="O581" s="177"/>
      <c r="P581" s="177"/>
      <c r="Q581" s="177"/>
      <c r="R581" s="177"/>
      <c r="S581" s="177"/>
      <c r="T581" s="177"/>
      <c r="U581" s="177"/>
      <c r="V581" s="177"/>
      <c r="W581" s="177"/>
    </row>
    <row r="582" ht="15.75" customHeight="1">
      <c r="A582" s="177"/>
      <c r="B582" s="177"/>
      <c r="C582" s="177"/>
      <c r="D582" s="177"/>
      <c r="E582" s="177"/>
      <c r="F582" s="177"/>
      <c r="G582" s="177"/>
      <c r="H582" s="177"/>
      <c r="I582" s="177"/>
      <c r="J582" s="177"/>
      <c r="K582" s="177"/>
      <c r="L582" s="177"/>
      <c r="M582" s="177"/>
      <c r="N582" s="177"/>
      <c r="O582" s="177"/>
      <c r="P582" s="177"/>
      <c r="Q582" s="177"/>
      <c r="R582" s="177"/>
      <c r="S582" s="177"/>
      <c r="T582" s="177"/>
      <c r="U582" s="177"/>
      <c r="V582" s="177"/>
      <c r="W582" s="177"/>
    </row>
    <row r="583" ht="15.75" customHeight="1">
      <c r="A583" s="177"/>
      <c r="B583" s="177"/>
      <c r="C583" s="177"/>
      <c r="D583" s="177"/>
      <c r="E583" s="177"/>
      <c r="F583" s="177"/>
      <c r="G583" s="177"/>
      <c r="H583" s="177"/>
      <c r="I583" s="177"/>
      <c r="J583" s="177"/>
      <c r="K583" s="177"/>
      <c r="L583" s="177"/>
      <c r="M583" s="177"/>
      <c r="N583" s="177"/>
      <c r="O583" s="177"/>
      <c r="P583" s="177"/>
      <c r="Q583" s="177"/>
      <c r="R583" s="177"/>
      <c r="S583" s="177"/>
      <c r="T583" s="177"/>
      <c r="U583" s="177"/>
      <c r="V583" s="177"/>
      <c r="W583" s="177"/>
    </row>
    <row r="584" ht="15.75" customHeight="1">
      <c r="A584" s="177"/>
      <c r="B584" s="177"/>
      <c r="C584" s="177"/>
      <c r="D584" s="177"/>
      <c r="E584" s="177"/>
      <c r="F584" s="177"/>
      <c r="G584" s="177"/>
      <c r="H584" s="177"/>
      <c r="I584" s="177"/>
      <c r="J584" s="177"/>
      <c r="K584" s="177"/>
      <c r="L584" s="177"/>
      <c r="M584" s="177"/>
      <c r="N584" s="177"/>
      <c r="O584" s="177"/>
      <c r="P584" s="177"/>
      <c r="Q584" s="177"/>
      <c r="R584" s="177"/>
      <c r="S584" s="177"/>
      <c r="T584" s="177"/>
      <c r="U584" s="177"/>
      <c r="V584" s="177"/>
      <c r="W584" s="177"/>
    </row>
    <row r="585" ht="15.75" customHeight="1">
      <c r="A585" s="177"/>
      <c r="B585" s="177"/>
      <c r="C585" s="177"/>
      <c r="D585" s="177"/>
      <c r="E585" s="177"/>
      <c r="F585" s="177"/>
      <c r="G585" s="177"/>
      <c r="H585" s="177"/>
      <c r="I585" s="177"/>
      <c r="J585" s="177"/>
      <c r="K585" s="177"/>
      <c r="L585" s="177"/>
      <c r="M585" s="177"/>
      <c r="N585" s="177"/>
      <c r="O585" s="177"/>
      <c r="P585" s="177"/>
      <c r="Q585" s="177"/>
      <c r="R585" s="177"/>
      <c r="S585" s="177"/>
      <c r="T585" s="177"/>
      <c r="U585" s="177"/>
      <c r="V585" s="177"/>
      <c r="W585" s="177"/>
    </row>
    <row r="586" ht="15.75" customHeight="1">
      <c r="A586" s="177"/>
      <c r="B586" s="177"/>
      <c r="C586" s="177"/>
      <c r="D586" s="177"/>
      <c r="E586" s="177"/>
      <c r="F586" s="177"/>
      <c r="G586" s="177"/>
      <c r="H586" s="177"/>
      <c r="I586" s="177"/>
      <c r="J586" s="177"/>
      <c r="K586" s="177"/>
      <c r="L586" s="177"/>
      <c r="M586" s="177"/>
      <c r="N586" s="177"/>
      <c r="O586" s="177"/>
      <c r="P586" s="177"/>
      <c r="Q586" s="177"/>
      <c r="R586" s="177"/>
      <c r="S586" s="177"/>
      <c r="T586" s="177"/>
      <c r="U586" s="177"/>
      <c r="V586" s="177"/>
      <c r="W586" s="177"/>
    </row>
    <row r="587" ht="15.75" customHeight="1">
      <c r="A587" s="177"/>
      <c r="B587" s="177"/>
      <c r="C587" s="177"/>
      <c r="D587" s="177"/>
      <c r="E587" s="177"/>
      <c r="F587" s="177"/>
      <c r="G587" s="177"/>
      <c r="H587" s="177"/>
      <c r="I587" s="177"/>
      <c r="J587" s="177"/>
      <c r="K587" s="177"/>
      <c r="L587" s="177"/>
      <c r="M587" s="177"/>
      <c r="N587" s="177"/>
      <c r="O587" s="177"/>
      <c r="P587" s="177"/>
      <c r="Q587" s="177"/>
      <c r="R587" s="177"/>
      <c r="S587" s="177"/>
      <c r="T587" s="177"/>
      <c r="U587" s="177"/>
      <c r="V587" s="177"/>
      <c r="W587" s="177"/>
    </row>
    <row r="588" ht="15.75" customHeight="1">
      <c r="A588" s="177"/>
      <c r="B588" s="177"/>
      <c r="C588" s="177"/>
      <c r="D588" s="177"/>
      <c r="E588" s="177"/>
      <c r="F588" s="177"/>
      <c r="G588" s="177"/>
      <c r="H588" s="177"/>
      <c r="I588" s="177"/>
      <c r="J588" s="177"/>
      <c r="K588" s="177"/>
      <c r="L588" s="177"/>
      <c r="M588" s="177"/>
      <c r="N588" s="177"/>
      <c r="O588" s="177"/>
      <c r="P588" s="177"/>
      <c r="Q588" s="177"/>
      <c r="R588" s="177"/>
      <c r="S588" s="177"/>
      <c r="T588" s="177"/>
      <c r="U588" s="177"/>
      <c r="V588" s="177"/>
      <c r="W588" s="177"/>
    </row>
    <row r="589" ht="15.75" customHeight="1">
      <c r="A589" s="177"/>
      <c r="B589" s="177"/>
      <c r="C589" s="177"/>
      <c r="D589" s="177"/>
      <c r="E589" s="177"/>
      <c r="F589" s="177"/>
      <c r="G589" s="177"/>
      <c r="H589" s="177"/>
      <c r="I589" s="177"/>
      <c r="J589" s="177"/>
      <c r="K589" s="177"/>
      <c r="L589" s="177"/>
      <c r="M589" s="177"/>
      <c r="N589" s="177"/>
      <c r="O589" s="177"/>
      <c r="P589" s="177"/>
      <c r="Q589" s="177"/>
      <c r="R589" s="177"/>
      <c r="S589" s="177"/>
      <c r="T589" s="177"/>
      <c r="U589" s="177"/>
      <c r="V589" s="177"/>
      <c r="W589" s="177"/>
    </row>
    <row r="590" ht="15.75" customHeight="1">
      <c r="A590" s="177"/>
      <c r="B590" s="177"/>
      <c r="C590" s="177"/>
      <c r="D590" s="177"/>
      <c r="E590" s="177"/>
      <c r="F590" s="177"/>
      <c r="G590" s="177"/>
      <c r="H590" s="177"/>
      <c r="I590" s="177"/>
      <c r="J590" s="177"/>
      <c r="K590" s="177"/>
      <c r="L590" s="177"/>
      <c r="M590" s="177"/>
      <c r="N590" s="177"/>
      <c r="O590" s="177"/>
      <c r="P590" s="177"/>
      <c r="Q590" s="177"/>
      <c r="R590" s="177"/>
      <c r="S590" s="177"/>
      <c r="T590" s="177"/>
      <c r="U590" s="177"/>
      <c r="V590" s="177"/>
      <c r="W590" s="177"/>
    </row>
    <row r="591" ht="15.75" customHeight="1">
      <c r="A591" s="177"/>
      <c r="B591" s="177"/>
      <c r="C591" s="177"/>
      <c r="D591" s="177"/>
      <c r="E591" s="177"/>
      <c r="F591" s="177"/>
      <c r="G591" s="177"/>
      <c r="H591" s="177"/>
      <c r="I591" s="177"/>
      <c r="J591" s="177"/>
      <c r="K591" s="177"/>
      <c r="L591" s="177"/>
      <c r="M591" s="177"/>
      <c r="N591" s="177"/>
      <c r="O591" s="177"/>
      <c r="P591" s="177"/>
      <c r="Q591" s="177"/>
      <c r="R591" s="177"/>
      <c r="S591" s="177"/>
      <c r="T591" s="177"/>
      <c r="U591" s="177"/>
      <c r="V591" s="177"/>
      <c r="W591" s="177"/>
    </row>
    <row r="592" ht="15.75" customHeight="1">
      <c r="A592" s="177"/>
      <c r="B592" s="177"/>
      <c r="C592" s="177"/>
      <c r="D592" s="177"/>
      <c r="E592" s="177"/>
      <c r="F592" s="177"/>
      <c r="G592" s="177"/>
      <c r="H592" s="177"/>
      <c r="I592" s="177"/>
      <c r="J592" s="177"/>
      <c r="K592" s="177"/>
      <c r="L592" s="177"/>
      <c r="M592" s="177"/>
      <c r="N592" s="177"/>
      <c r="O592" s="177"/>
      <c r="P592" s="177"/>
      <c r="Q592" s="177"/>
      <c r="R592" s="177"/>
      <c r="S592" s="177"/>
      <c r="T592" s="177"/>
      <c r="U592" s="177"/>
      <c r="V592" s="177"/>
      <c r="W592" s="177"/>
    </row>
    <row r="593" ht="15.75" customHeight="1">
      <c r="A593" s="177"/>
      <c r="B593" s="177"/>
      <c r="C593" s="177"/>
      <c r="D593" s="177"/>
      <c r="E593" s="177"/>
      <c r="F593" s="177"/>
      <c r="G593" s="177"/>
      <c r="H593" s="177"/>
      <c r="I593" s="177"/>
      <c r="J593" s="177"/>
      <c r="K593" s="177"/>
      <c r="L593" s="177"/>
      <c r="M593" s="177"/>
      <c r="N593" s="177"/>
      <c r="O593" s="177"/>
      <c r="P593" s="177"/>
      <c r="Q593" s="177"/>
      <c r="R593" s="177"/>
      <c r="S593" s="177"/>
      <c r="T593" s="177"/>
      <c r="U593" s="177"/>
      <c r="V593" s="177"/>
      <c r="W593" s="177"/>
    </row>
    <row r="594" ht="15.75" customHeight="1">
      <c r="A594" s="177"/>
      <c r="B594" s="177"/>
      <c r="C594" s="177"/>
      <c r="D594" s="177"/>
      <c r="E594" s="177"/>
      <c r="F594" s="177"/>
      <c r="G594" s="177"/>
      <c r="H594" s="177"/>
      <c r="I594" s="177"/>
      <c r="J594" s="177"/>
      <c r="K594" s="177"/>
      <c r="L594" s="177"/>
      <c r="M594" s="177"/>
      <c r="N594" s="177"/>
      <c r="O594" s="177"/>
      <c r="P594" s="177"/>
      <c r="Q594" s="177"/>
      <c r="R594" s="177"/>
      <c r="S594" s="177"/>
      <c r="T594" s="177"/>
      <c r="U594" s="177"/>
      <c r="V594" s="177"/>
      <c r="W594" s="177"/>
    </row>
    <row r="595" ht="15.75" customHeight="1">
      <c r="A595" s="177"/>
      <c r="B595" s="177"/>
      <c r="C595" s="177"/>
      <c r="D595" s="177"/>
      <c r="E595" s="177"/>
      <c r="F595" s="177"/>
      <c r="G595" s="177"/>
      <c r="H595" s="177"/>
      <c r="I595" s="177"/>
      <c r="J595" s="177"/>
      <c r="K595" s="177"/>
      <c r="L595" s="177"/>
      <c r="M595" s="177"/>
      <c r="N595" s="177"/>
      <c r="O595" s="177"/>
      <c r="P595" s="177"/>
      <c r="Q595" s="177"/>
      <c r="R595" s="177"/>
      <c r="S595" s="177"/>
      <c r="T595" s="177"/>
      <c r="U595" s="177"/>
      <c r="V595" s="177"/>
      <c r="W595" s="177"/>
    </row>
    <row r="596" ht="15.75" customHeight="1">
      <c r="A596" s="177"/>
      <c r="B596" s="177"/>
      <c r="C596" s="177"/>
      <c r="D596" s="177"/>
      <c r="E596" s="177"/>
      <c r="F596" s="177"/>
      <c r="G596" s="177"/>
      <c r="H596" s="177"/>
      <c r="I596" s="177"/>
      <c r="J596" s="177"/>
      <c r="K596" s="177"/>
      <c r="L596" s="177"/>
      <c r="M596" s="177"/>
      <c r="N596" s="177"/>
      <c r="O596" s="177"/>
      <c r="P596" s="177"/>
      <c r="Q596" s="177"/>
      <c r="R596" s="177"/>
      <c r="S596" s="177"/>
      <c r="T596" s="177"/>
      <c r="U596" s="177"/>
      <c r="V596" s="177"/>
      <c r="W596" s="177"/>
    </row>
    <row r="597" ht="15.75" customHeight="1">
      <c r="A597" s="177"/>
      <c r="B597" s="177"/>
      <c r="C597" s="177"/>
      <c r="D597" s="177"/>
      <c r="E597" s="177"/>
      <c r="F597" s="177"/>
      <c r="G597" s="177"/>
      <c r="H597" s="177"/>
      <c r="I597" s="177"/>
      <c r="J597" s="177"/>
      <c r="K597" s="177"/>
      <c r="L597" s="177"/>
      <c r="M597" s="177"/>
      <c r="N597" s="177"/>
      <c r="O597" s="177"/>
      <c r="P597" s="177"/>
      <c r="Q597" s="177"/>
      <c r="R597" s="177"/>
      <c r="S597" s="177"/>
      <c r="T597" s="177"/>
      <c r="U597" s="177"/>
      <c r="V597" s="177"/>
      <c r="W597" s="177"/>
    </row>
    <row r="598" ht="15.75" customHeight="1">
      <c r="A598" s="177"/>
      <c r="B598" s="177"/>
      <c r="C598" s="177"/>
      <c r="D598" s="177"/>
      <c r="E598" s="177"/>
      <c r="F598" s="177"/>
      <c r="G598" s="177"/>
      <c r="H598" s="177"/>
      <c r="I598" s="177"/>
      <c r="J598" s="177"/>
      <c r="K598" s="177"/>
      <c r="L598" s="177"/>
      <c r="M598" s="177"/>
      <c r="N598" s="177"/>
      <c r="O598" s="177"/>
      <c r="P598" s="177"/>
      <c r="Q598" s="177"/>
      <c r="R598" s="177"/>
      <c r="S598" s="177"/>
      <c r="T598" s="177"/>
      <c r="U598" s="177"/>
      <c r="V598" s="177"/>
      <c r="W598" s="177"/>
    </row>
    <row r="599" ht="15.75" customHeight="1">
      <c r="A599" s="177"/>
      <c r="B599" s="177"/>
      <c r="C599" s="177"/>
      <c r="D599" s="177"/>
      <c r="E599" s="177"/>
      <c r="F599" s="177"/>
      <c r="G599" s="177"/>
      <c r="H599" s="177"/>
      <c r="I599" s="177"/>
      <c r="J599" s="177"/>
      <c r="K599" s="177"/>
      <c r="L599" s="177"/>
      <c r="M599" s="177"/>
      <c r="N599" s="177"/>
      <c r="O599" s="177"/>
      <c r="P599" s="177"/>
      <c r="Q599" s="177"/>
      <c r="R599" s="177"/>
      <c r="S599" s="177"/>
      <c r="T599" s="177"/>
      <c r="U599" s="177"/>
      <c r="V599" s="177"/>
      <c r="W599" s="177"/>
    </row>
    <row r="600" ht="15.75" customHeight="1">
      <c r="A600" s="177"/>
      <c r="B600" s="177"/>
      <c r="C600" s="177"/>
      <c r="D600" s="177"/>
      <c r="E600" s="177"/>
      <c r="F600" s="177"/>
      <c r="G600" s="177"/>
      <c r="H600" s="177"/>
      <c r="I600" s="177"/>
      <c r="J600" s="177"/>
      <c r="K600" s="177"/>
      <c r="L600" s="177"/>
      <c r="M600" s="177"/>
      <c r="N600" s="177"/>
      <c r="O600" s="177"/>
      <c r="P600" s="177"/>
      <c r="Q600" s="177"/>
      <c r="R600" s="177"/>
      <c r="S600" s="177"/>
      <c r="T600" s="177"/>
      <c r="U600" s="177"/>
      <c r="V600" s="177"/>
      <c r="W600" s="177"/>
    </row>
    <row r="601" ht="15.75" customHeight="1">
      <c r="A601" s="177"/>
      <c r="B601" s="177"/>
      <c r="C601" s="177"/>
      <c r="D601" s="177"/>
      <c r="E601" s="177"/>
      <c r="F601" s="177"/>
      <c r="G601" s="177"/>
      <c r="H601" s="177"/>
      <c r="I601" s="177"/>
      <c r="J601" s="177"/>
      <c r="K601" s="177"/>
      <c r="L601" s="177"/>
      <c r="M601" s="177"/>
      <c r="N601" s="177"/>
      <c r="O601" s="177"/>
      <c r="P601" s="177"/>
      <c r="Q601" s="177"/>
      <c r="R601" s="177"/>
      <c r="S601" s="177"/>
      <c r="T601" s="177"/>
      <c r="U601" s="177"/>
      <c r="V601" s="177"/>
      <c r="W601" s="177"/>
    </row>
    <row r="602" ht="15.75" customHeight="1">
      <c r="A602" s="177"/>
      <c r="B602" s="177"/>
      <c r="C602" s="177"/>
      <c r="D602" s="177"/>
      <c r="E602" s="177"/>
      <c r="F602" s="177"/>
      <c r="G602" s="177"/>
      <c r="H602" s="177"/>
      <c r="I602" s="177"/>
      <c r="J602" s="177"/>
      <c r="K602" s="177"/>
      <c r="L602" s="177"/>
      <c r="M602" s="177"/>
      <c r="N602" s="177"/>
      <c r="O602" s="177"/>
      <c r="P602" s="177"/>
      <c r="Q602" s="177"/>
      <c r="R602" s="177"/>
      <c r="S602" s="177"/>
      <c r="T602" s="177"/>
      <c r="U602" s="177"/>
      <c r="V602" s="177"/>
      <c r="W602" s="177"/>
    </row>
    <row r="603" ht="15.75" customHeight="1">
      <c r="A603" s="177"/>
      <c r="B603" s="177"/>
      <c r="C603" s="177"/>
      <c r="D603" s="177"/>
      <c r="E603" s="177"/>
      <c r="F603" s="177"/>
      <c r="G603" s="177"/>
      <c r="H603" s="177"/>
      <c r="I603" s="177"/>
      <c r="J603" s="177"/>
      <c r="K603" s="177"/>
      <c r="L603" s="177"/>
      <c r="M603" s="177"/>
      <c r="N603" s="177"/>
      <c r="O603" s="177"/>
      <c r="P603" s="177"/>
      <c r="Q603" s="177"/>
      <c r="R603" s="177"/>
      <c r="S603" s="177"/>
      <c r="T603" s="177"/>
      <c r="U603" s="177"/>
      <c r="V603" s="177"/>
      <c r="W603" s="177"/>
    </row>
    <row r="604" ht="15.75" customHeight="1">
      <c r="A604" s="177"/>
      <c r="B604" s="177"/>
      <c r="C604" s="177"/>
      <c r="D604" s="177"/>
      <c r="E604" s="177"/>
      <c r="F604" s="177"/>
      <c r="G604" s="177"/>
      <c r="H604" s="177"/>
      <c r="I604" s="177"/>
      <c r="J604" s="177"/>
      <c r="K604" s="177"/>
      <c r="L604" s="177"/>
      <c r="M604" s="177"/>
      <c r="N604" s="177"/>
      <c r="O604" s="177"/>
      <c r="P604" s="177"/>
      <c r="Q604" s="177"/>
      <c r="R604" s="177"/>
      <c r="S604" s="177"/>
      <c r="T604" s="177"/>
      <c r="U604" s="177"/>
      <c r="V604" s="177"/>
      <c r="W604" s="177"/>
    </row>
    <row r="605" ht="15.75" customHeight="1">
      <c r="A605" s="177"/>
      <c r="B605" s="177"/>
      <c r="C605" s="177"/>
      <c r="D605" s="177"/>
      <c r="E605" s="177"/>
      <c r="F605" s="177"/>
      <c r="G605" s="177"/>
      <c r="H605" s="177"/>
      <c r="I605" s="177"/>
      <c r="J605" s="177"/>
      <c r="K605" s="177"/>
      <c r="L605" s="177"/>
      <c r="M605" s="177"/>
      <c r="N605" s="177"/>
      <c r="O605" s="177"/>
      <c r="P605" s="177"/>
      <c r="Q605" s="177"/>
      <c r="R605" s="177"/>
      <c r="S605" s="177"/>
      <c r="T605" s="177"/>
      <c r="U605" s="177"/>
      <c r="V605" s="177"/>
      <c r="W605" s="177"/>
    </row>
    <row r="606" ht="15.75" customHeight="1">
      <c r="A606" s="177"/>
      <c r="B606" s="177"/>
      <c r="C606" s="177"/>
      <c r="D606" s="177"/>
      <c r="E606" s="177"/>
      <c r="F606" s="177"/>
      <c r="G606" s="177"/>
      <c r="H606" s="177"/>
      <c r="I606" s="177"/>
      <c r="J606" s="177"/>
      <c r="K606" s="177"/>
      <c r="L606" s="177"/>
      <c r="M606" s="177"/>
      <c r="N606" s="177"/>
      <c r="O606" s="177"/>
      <c r="P606" s="177"/>
      <c r="Q606" s="177"/>
      <c r="R606" s="177"/>
      <c r="S606" s="177"/>
      <c r="T606" s="177"/>
      <c r="U606" s="177"/>
      <c r="V606" s="177"/>
      <c r="W606" s="177"/>
    </row>
    <row r="607" ht="15.75" customHeight="1">
      <c r="A607" s="177"/>
      <c r="B607" s="177"/>
      <c r="C607" s="177"/>
      <c r="D607" s="177"/>
      <c r="E607" s="177"/>
      <c r="F607" s="177"/>
      <c r="G607" s="177"/>
      <c r="H607" s="177"/>
      <c r="I607" s="177"/>
      <c r="J607" s="177"/>
      <c r="K607" s="177"/>
      <c r="L607" s="177"/>
      <c r="M607" s="177"/>
      <c r="N607" s="177"/>
      <c r="O607" s="177"/>
      <c r="P607" s="177"/>
      <c r="Q607" s="177"/>
      <c r="R607" s="177"/>
      <c r="S607" s="177"/>
      <c r="T607" s="177"/>
      <c r="U607" s="177"/>
      <c r="V607" s="177"/>
      <c r="W607" s="177"/>
    </row>
    <row r="608" ht="15.75" customHeight="1">
      <c r="A608" s="177"/>
      <c r="B608" s="177"/>
      <c r="C608" s="177"/>
      <c r="D608" s="177"/>
      <c r="E608" s="177"/>
      <c r="F608" s="177"/>
      <c r="G608" s="177"/>
      <c r="H608" s="177"/>
      <c r="I608" s="177"/>
      <c r="J608" s="177"/>
      <c r="K608" s="177"/>
      <c r="L608" s="177"/>
      <c r="M608" s="177"/>
      <c r="N608" s="177"/>
      <c r="O608" s="177"/>
      <c r="P608" s="177"/>
      <c r="Q608" s="177"/>
      <c r="R608" s="177"/>
      <c r="S608" s="177"/>
      <c r="T608" s="177"/>
      <c r="U608" s="177"/>
      <c r="V608" s="177"/>
      <c r="W608" s="177"/>
    </row>
    <row r="609" ht="15.75" customHeight="1">
      <c r="A609" s="177"/>
      <c r="B609" s="177"/>
      <c r="C609" s="177"/>
      <c r="D609" s="177"/>
      <c r="E609" s="177"/>
      <c r="F609" s="177"/>
      <c r="G609" s="177"/>
      <c r="H609" s="177"/>
      <c r="I609" s="177"/>
      <c r="J609" s="177"/>
      <c r="K609" s="177"/>
      <c r="L609" s="177"/>
      <c r="M609" s="177"/>
      <c r="N609" s="177"/>
      <c r="O609" s="177"/>
      <c r="P609" s="177"/>
      <c r="Q609" s="177"/>
      <c r="R609" s="177"/>
      <c r="S609" s="177"/>
      <c r="T609" s="177"/>
      <c r="U609" s="177"/>
      <c r="V609" s="177"/>
      <c r="W609" s="177"/>
    </row>
    <row r="610" ht="15.75" customHeight="1">
      <c r="A610" s="177"/>
      <c r="B610" s="177"/>
      <c r="C610" s="177"/>
      <c r="D610" s="177"/>
      <c r="E610" s="177"/>
      <c r="F610" s="177"/>
      <c r="G610" s="177"/>
      <c r="H610" s="177"/>
      <c r="I610" s="177"/>
      <c r="J610" s="177"/>
      <c r="K610" s="177"/>
      <c r="L610" s="177"/>
      <c r="M610" s="177"/>
      <c r="N610" s="177"/>
      <c r="O610" s="177"/>
      <c r="P610" s="177"/>
      <c r="Q610" s="177"/>
      <c r="R610" s="177"/>
      <c r="S610" s="177"/>
      <c r="T610" s="177"/>
      <c r="U610" s="177"/>
      <c r="V610" s="177"/>
      <c r="W610" s="177"/>
    </row>
    <row r="611" ht="15.75" customHeight="1">
      <c r="A611" s="177"/>
      <c r="B611" s="177"/>
      <c r="C611" s="177"/>
      <c r="D611" s="177"/>
      <c r="E611" s="177"/>
      <c r="F611" s="177"/>
      <c r="G611" s="177"/>
      <c r="H611" s="177"/>
      <c r="I611" s="177"/>
      <c r="J611" s="177"/>
      <c r="K611" s="177"/>
      <c r="L611" s="177"/>
      <c r="M611" s="177"/>
      <c r="N611" s="177"/>
      <c r="O611" s="177"/>
      <c r="P611" s="177"/>
      <c r="Q611" s="177"/>
      <c r="R611" s="177"/>
      <c r="S611" s="177"/>
      <c r="T611" s="177"/>
      <c r="U611" s="177"/>
      <c r="V611" s="177"/>
      <c r="W611" s="177"/>
    </row>
    <row r="612" ht="15.75" customHeight="1">
      <c r="A612" s="177"/>
      <c r="B612" s="177"/>
      <c r="C612" s="177"/>
      <c r="D612" s="177"/>
      <c r="E612" s="177"/>
      <c r="F612" s="177"/>
      <c r="G612" s="177"/>
      <c r="H612" s="177"/>
      <c r="I612" s="177"/>
      <c r="J612" s="177"/>
      <c r="K612" s="177"/>
      <c r="L612" s="177"/>
      <c r="M612" s="177"/>
      <c r="N612" s="177"/>
      <c r="O612" s="177"/>
      <c r="P612" s="177"/>
      <c r="Q612" s="177"/>
      <c r="R612" s="177"/>
      <c r="S612" s="177"/>
      <c r="T612" s="177"/>
      <c r="U612" s="177"/>
      <c r="V612" s="177"/>
      <c r="W612" s="177"/>
    </row>
    <row r="613" ht="15.75" customHeight="1">
      <c r="A613" s="177"/>
      <c r="B613" s="177"/>
      <c r="C613" s="177"/>
      <c r="D613" s="177"/>
      <c r="E613" s="177"/>
      <c r="F613" s="177"/>
      <c r="G613" s="177"/>
      <c r="H613" s="177"/>
      <c r="I613" s="177"/>
      <c r="J613" s="177"/>
      <c r="K613" s="177"/>
      <c r="L613" s="177"/>
      <c r="M613" s="177"/>
      <c r="N613" s="177"/>
      <c r="O613" s="177"/>
      <c r="P613" s="177"/>
      <c r="Q613" s="177"/>
      <c r="R613" s="177"/>
      <c r="S613" s="177"/>
      <c r="T613" s="177"/>
      <c r="U613" s="177"/>
      <c r="V613" s="177"/>
      <c r="W613" s="177"/>
    </row>
    <row r="614" ht="15.75" customHeight="1">
      <c r="A614" s="177"/>
      <c r="B614" s="177"/>
      <c r="C614" s="177"/>
      <c r="D614" s="177"/>
      <c r="E614" s="177"/>
      <c r="F614" s="177"/>
      <c r="G614" s="177"/>
      <c r="H614" s="177"/>
      <c r="I614" s="177"/>
      <c r="J614" s="177"/>
      <c r="K614" s="177"/>
      <c r="L614" s="177"/>
      <c r="M614" s="177"/>
      <c r="N614" s="177"/>
      <c r="O614" s="177"/>
      <c r="P614" s="177"/>
      <c r="Q614" s="177"/>
      <c r="R614" s="177"/>
      <c r="S614" s="177"/>
      <c r="T614" s="177"/>
      <c r="U614" s="177"/>
      <c r="V614" s="177"/>
      <c r="W614" s="177"/>
    </row>
    <row r="615" ht="15.75" customHeight="1">
      <c r="A615" s="177"/>
      <c r="B615" s="177"/>
      <c r="C615" s="177"/>
      <c r="D615" s="177"/>
      <c r="E615" s="177"/>
      <c r="F615" s="177"/>
      <c r="G615" s="177"/>
      <c r="H615" s="177"/>
      <c r="I615" s="177"/>
      <c r="J615" s="177"/>
      <c r="K615" s="177"/>
      <c r="L615" s="177"/>
      <c r="M615" s="177"/>
      <c r="N615" s="177"/>
      <c r="O615" s="177"/>
      <c r="P615" s="177"/>
      <c r="Q615" s="177"/>
      <c r="R615" s="177"/>
      <c r="S615" s="177"/>
      <c r="T615" s="177"/>
      <c r="U615" s="177"/>
      <c r="V615" s="177"/>
      <c r="W615" s="177"/>
    </row>
    <row r="616" ht="15.75" customHeight="1">
      <c r="A616" s="177"/>
      <c r="B616" s="177"/>
      <c r="C616" s="177"/>
      <c r="D616" s="177"/>
      <c r="E616" s="177"/>
      <c r="F616" s="177"/>
      <c r="G616" s="177"/>
      <c r="H616" s="177"/>
      <c r="I616" s="177"/>
      <c r="J616" s="177"/>
      <c r="K616" s="177"/>
      <c r="L616" s="177"/>
      <c r="M616" s="177"/>
      <c r="N616" s="177"/>
      <c r="O616" s="177"/>
      <c r="P616" s="177"/>
      <c r="Q616" s="177"/>
      <c r="R616" s="177"/>
      <c r="S616" s="177"/>
      <c r="T616" s="177"/>
      <c r="U616" s="177"/>
      <c r="V616" s="177"/>
      <c r="W616" s="177"/>
    </row>
    <row r="617" ht="15.75" customHeight="1">
      <c r="A617" s="177"/>
      <c r="B617" s="177"/>
      <c r="C617" s="177"/>
      <c r="D617" s="177"/>
      <c r="E617" s="177"/>
      <c r="F617" s="177"/>
      <c r="G617" s="177"/>
      <c r="H617" s="177"/>
      <c r="I617" s="177"/>
      <c r="J617" s="177"/>
      <c r="K617" s="177"/>
      <c r="L617" s="177"/>
      <c r="M617" s="177"/>
      <c r="N617" s="177"/>
      <c r="O617" s="177"/>
      <c r="P617" s="177"/>
      <c r="Q617" s="177"/>
      <c r="R617" s="177"/>
      <c r="S617" s="177"/>
      <c r="T617" s="177"/>
      <c r="U617" s="177"/>
      <c r="V617" s="177"/>
      <c r="W617" s="177"/>
    </row>
    <row r="618" ht="15.75" customHeight="1">
      <c r="A618" s="177"/>
      <c r="B618" s="177"/>
      <c r="C618" s="177"/>
      <c r="D618" s="177"/>
      <c r="E618" s="177"/>
      <c r="F618" s="177"/>
      <c r="G618" s="177"/>
      <c r="H618" s="177"/>
      <c r="I618" s="177"/>
      <c r="J618" s="177"/>
      <c r="K618" s="177"/>
      <c r="L618" s="177"/>
      <c r="M618" s="177"/>
      <c r="N618" s="177"/>
      <c r="O618" s="177"/>
      <c r="P618" s="177"/>
      <c r="Q618" s="177"/>
      <c r="R618" s="177"/>
      <c r="S618" s="177"/>
      <c r="T618" s="177"/>
      <c r="U618" s="177"/>
      <c r="V618" s="177"/>
      <c r="W618" s="177"/>
    </row>
    <row r="619" ht="15.75" customHeight="1">
      <c r="A619" s="177"/>
      <c r="B619" s="177"/>
      <c r="C619" s="177"/>
      <c r="D619" s="177"/>
      <c r="E619" s="177"/>
      <c r="F619" s="177"/>
      <c r="G619" s="177"/>
      <c r="H619" s="177"/>
      <c r="I619" s="177"/>
      <c r="J619" s="177"/>
      <c r="K619" s="177"/>
      <c r="L619" s="177"/>
      <c r="M619" s="177"/>
      <c r="N619" s="177"/>
      <c r="O619" s="177"/>
      <c r="P619" s="177"/>
      <c r="Q619" s="177"/>
      <c r="R619" s="177"/>
      <c r="S619" s="177"/>
      <c r="T619" s="177"/>
      <c r="U619" s="177"/>
      <c r="V619" s="177"/>
      <c r="W619" s="177"/>
    </row>
    <row r="620" ht="15.75" customHeight="1">
      <c r="A620" s="177"/>
      <c r="B620" s="177"/>
      <c r="C620" s="177"/>
      <c r="D620" s="177"/>
      <c r="E620" s="177"/>
      <c r="F620" s="177"/>
      <c r="G620" s="177"/>
      <c r="H620" s="177"/>
      <c r="I620" s="177"/>
      <c r="J620" s="177"/>
      <c r="K620" s="177"/>
      <c r="L620" s="177"/>
      <c r="M620" s="177"/>
      <c r="N620" s="177"/>
      <c r="O620" s="177"/>
      <c r="P620" s="177"/>
      <c r="Q620" s="177"/>
      <c r="R620" s="177"/>
      <c r="S620" s="177"/>
      <c r="T620" s="177"/>
      <c r="U620" s="177"/>
      <c r="V620" s="177"/>
      <c r="W620" s="177"/>
    </row>
    <row r="621" ht="15.75" customHeight="1">
      <c r="A621" s="177"/>
      <c r="B621" s="177"/>
      <c r="C621" s="177"/>
      <c r="D621" s="177"/>
      <c r="E621" s="177"/>
      <c r="F621" s="177"/>
      <c r="G621" s="177"/>
      <c r="H621" s="177"/>
      <c r="I621" s="177"/>
      <c r="J621" s="177"/>
      <c r="K621" s="177"/>
      <c r="L621" s="177"/>
      <c r="M621" s="177"/>
      <c r="N621" s="177"/>
      <c r="O621" s="177"/>
      <c r="P621" s="177"/>
      <c r="Q621" s="177"/>
      <c r="R621" s="177"/>
      <c r="S621" s="177"/>
      <c r="T621" s="177"/>
      <c r="U621" s="177"/>
      <c r="V621" s="177"/>
      <c r="W621" s="177"/>
    </row>
    <row r="622" ht="15.75" customHeight="1">
      <c r="A622" s="177"/>
      <c r="B622" s="177"/>
      <c r="C622" s="177"/>
      <c r="D622" s="177"/>
      <c r="E622" s="177"/>
      <c r="F622" s="177"/>
      <c r="G622" s="177"/>
      <c r="H622" s="177"/>
      <c r="I622" s="177"/>
      <c r="J622" s="177"/>
      <c r="K622" s="177"/>
      <c r="L622" s="177"/>
      <c r="M622" s="177"/>
      <c r="N622" s="177"/>
      <c r="O622" s="177"/>
      <c r="P622" s="177"/>
      <c r="Q622" s="177"/>
      <c r="R622" s="177"/>
      <c r="S622" s="177"/>
      <c r="T622" s="177"/>
      <c r="U622" s="177"/>
      <c r="V622" s="177"/>
      <c r="W622" s="177"/>
    </row>
    <row r="623" ht="15.75" customHeight="1">
      <c r="A623" s="177"/>
      <c r="B623" s="177"/>
      <c r="C623" s="177"/>
      <c r="D623" s="177"/>
      <c r="E623" s="177"/>
      <c r="F623" s="177"/>
      <c r="G623" s="177"/>
      <c r="H623" s="177"/>
      <c r="I623" s="177"/>
      <c r="J623" s="177"/>
      <c r="K623" s="177"/>
      <c r="L623" s="177"/>
      <c r="M623" s="177"/>
      <c r="N623" s="177"/>
      <c r="O623" s="177"/>
      <c r="P623" s="177"/>
      <c r="Q623" s="177"/>
      <c r="R623" s="177"/>
      <c r="S623" s="177"/>
      <c r="T623" s="177"/>
      <c r="U623" s="177"/>
      <c r="V623" s="177"/>
      <c r="W623" s="177"/>
    </row>
    <row r="624" ht="15.75" customHeight="1">
      <c r="A624" s="177"/>
      <c r="B624" s="177"/>
      <c r="C624" s="177"/>
      <c r="D624" s="177"/>
      <c r="E624" s="177"/>
      <c r="F624" s="177"/>
      <c r="G624" s="177"/>
      <c r="H624" s="177"/>
      <c r="I624" s="177"/>
      <c r="J624" s="177"/>
      <c r="K624" s="177"/>
      <c r="L624" s="177"/>
      <c r="M624" s="177"/>
      <c r="N624" s="177"/>
      <c r="O624" s="177"/>
      <c r="P624" s="177"/>
      <c r="Q624" s="177"/>
      <c r="R624" s="177"/>
      <c r="S624" s="177"/>
      <c r="T624" s="177"/>
      <c r="U624" s="177"/>
      <c r="V624" s="177"/>
      <c r="W624" s="177"/>
    </row>
    <row r="625" ht="15.75" customHeight="1">
      <c r="A625" s="177"/>
      <c r="B625" s="177"/>
      <c r="C625" s="177"/>
      <c r="D625" s="177"/>
      <c r="E625" s="177"/>
      <c r="F625" s="177"/>
      <c r="G625" s="177"/>
      <c r="H625" s="177"/>
      <c r="I625" s="177"/>
      <c r="J625" s="177"/>
      <c r="K625" s="177"/>
      <c r="L625" s="177"/>
      <c r="M625" s="177"/>
      <c r="N625" s="177"/>
      <c r="O625" s="177"/>
      <c r="P625" s="177"/>
      <c r="Q625" s="177"/>
      <c r="R625" s="177"/>
      <c r="S625" s="177"/>
      <c r="T625" s="177"/>
      <c r="U625" s="177"/>
      <c r="V625" s="177"/>
      <c r="W625" s="177"/>
    </row>
    <row r="626" ht="15.75" customHeight="1">
      <c r="A626" s="177"/>
      <c r="B626" s="177"/>
      <c r="C626" s="177"/>
      <c r="D626" s="177"/>
      <c r="E626" s="177"/>
      <c r="F626" s="177"/>
      <c r="G626" s="177"/>
      <c r="H626" s="177"/>
      <c r="I626" s="177"/>
      <c r="J626" s="177"/>
      <c r="K626" s="177"/>
      <c r="L626" s="177"/>
      <c r="M626" s="177"/>
      <c r="N626" s="177"/>
      <c r="O626" s="177"/>
      <c r="P626" s="177"/>
      <c r="Q626" s="177"/>
      <c r="R626" s="177"/>
      <c r="S626" s="177"/>
      <c r="T626" s="177"/>
      <c r="U626" s="177"/>
      <c r="V626" s="177"/>
      <c r="W626" s="177"/>
    </row>
    <row r="627" ht="15.75" customHeight="1">
      <c r="A627" s="177"/>
      <c r="B627" s="177"/>
      <c r="C627" s="177"/>
      <c r="D627" s="177"/>
      <c r="E627" s="177"/>
      <c r="F627" s="177"/>
      <c r="G627" s="177"/>
      <c r="H627" s="177"/>
      <c r="I627" s="177"/>
      <c r="J627" s="177"/>
      <c r="K627" s="177"/>
      <c r="L627" s="177"/>
      <c r="M627" s="177"/>
      <c r="N627" s="177"/>
      <c r="O627" s="177"/>
      <c r="P627" s="177"/>
      <c r="Q627" s="177"/>
      <c r="R627" s="177"/>
      <c r="S627" s="177"/>
      <c r="T627" s="177"/>
      <c r="U627" s="177"/>
      <c r="V627" s="177"/>
      <c r="W627" s="177"/>
    </row>
    <row r="628" ht="15.75" customHeight="1">
      <c r="A628" s="177"/>
      <c r="B628" s="177"/>
      <c r="C628" s="177"/>
      <c r="D628" s="177"/>
      <c r="E628" s="177"/>
      <c r="F628" s="177"/>
      <c r="G628" s="177"/>
      <c r="H628" s="177"/>
      <c r="I628" s="177"/>
      <c r="J628" s="177"/>
      <c r="K628" s="177"/>
      <c r="L628" s="177"/>
      <c r="M628" s="177"/>
      <c r="N628" s="177"/>
      <c r="O628" s="177"/>
      <c r="P628" s="177"/>
      <c r="Q628" s="177"/>
      <c r="R628" s="177"/>
      <c r="S628" s="177"/>
      <c r="T628" s="177"/>
      <c r="U628" s="177"/>
      <c r="V628" s="177"/>
      <c r="W628" s="177"/>
    </row>
    <row r="629" ht="15.75" customHeight="1">
      <c r="A629" s="177"/>
      <c r="B629" s="177"/>
      <c r="C629" s="177"/>
      <c r="D629" s="177"/>
      <c r="E629" s="177"/>
      <c r="F629" s="177"/>
      <c r="G629" s="177"/>
      <c r="H629" s="177"/>
      <c r="I629" s="177"/>
      <c r="J629" s="177"/>
      <c r="K629" s="177"/>
      <c r="L629" s="177"/>
      <c r="M629" s="177"/>
      <c r="N629" s="177"/>
      <c r="O629" s="177"/>
      <c r="P629" s="177"/>
      <c r="Q629" s="177"/>
      <c r="R629" s="177"/>
      <c r="S629" s="177"/>
      <c r="T629" s="177"/>
      <c r="U629" s="177"/>
      <c r="V629" s="177"/>
      <c r="W629" s="177"/>
    </row>
    <row r="630" ht="15.75" customHeight="1">
      <c r="A630" s="177"/>
      <c r="B630" s="177"/>
      <c r="C630" s="177"/>
      <c r="D630" s="177"/>
      <c r="E630" s="177"/>
      <c r="F630" s="177"/>
      <c r="G630" s="177"/>
      <c r="H630" s="177"/>
      <c r="I630" s="177"/>
      <c r="J630" s="177"/>
      <c r="K630" s="177"/>
      <c r="L630" s="177"/>
      <c r="M630" s="177"/>
      <c r="N630" s="177"/>
      <c r="O630" s="177"/>
      <c r="P630" s="177"/>
      <c r="Q630" s="177"/>
      <c r="R630" s="177"/>
      <c r="S630" s="177"/>
      <c r="T630" s="177"/>
      <c r="U630" s="177"/>
      <c r="V630" s="177"/>
      <c r="W630" s="177"/>
    </row>
    <row r="631" ht="15.75" customHeight="1">
      <c r="A631" s="177"/>
      <c r="B631" s="177"/>
      <c r="C631" s="177"/>
      <c r="D631" s="177"/>
      <c r="E631" s="177"/>
      <c r="F631" s="177"/>
      <c r="G631" s="177"/>
      <c r="H631" s="177"/>
      <c r="I631" s="177"/>
      <c r="J631" s="177"/>
      <c r="K631" s="177"/>
      <c r="L631" s="177"/>
      <c r="M631" s="177"/>
      <c r="N631" s="177"/>
      <c r="O631" s="177"/>
      <c r="P631" s="177"/>
      <c r="Q631" s="177"/>
      <c r="R631" s="177"/>
      <c r="S631" s="177"/>
      <c r="T631" s="177"/>
      <c r="U631" s="177"/>
      <c r="V631" s="177"/>
      <c r="W631" s="177"/>
    </row>
    <row r="632" ht="15.75" customHeight="1">
      <c r="A632" s="177"/>
      <c r="B632" s="177"/>
      <c r="C632" s="177"/>
      <c r="D632" s="177"/>
      <c r="E632" s="177"/>
      <c r="F632" s="177"/>
      <c r="G632" s="177"/>
      <c r="H632" s="177"/>
      <c r="I632" s="177"/>
      <c r="J632" s="177"/>
      <c r="K632" s="177"/>
      <c r="L632" s="177"/>
      <c r="M632" s="177"/>
      <c r="N632" s="177"/>
      <c r="O632" s="177"/>
      <c r="P632" s="177"/>
      <c r="Q632" s="177"/>
      <c r="R632" s="177"/>
      <c r="S632" s="177"/>
      <c r="T632" s="177"/>
      <c r="U632" s="177"/>
      <c r="V632" s="177"/>
      <c r="W632" s="177"/>
    </row>
    <row r="633" ht="15.75" customHeight="1">
      <c r="A633" s="177"/>
      <c r="B633" s="177"/>
      <c r="C633" s="177"/>
      <c r="D633" s="177"/>
      <c r="E633" s="177"/>
      <c r="F633" s="177"/>
      <c r="G633" s="177"/>
      <c r="H633" s="177"/>
      <c r="I633" s="177"/>
      <c r="J633" s="177"/>
      <c r="K633" s="177"/>
      <c r="L633" s="177"/>
      <c r="M633" s="177"/>
      <c r="N633" s="177"/>
      <c r="O633" s="177"/>
      <c r="P633" s="177"/>
      <c r="Q633" s="177"/>
      <c r="R633" s="177"/>
      <c r="S633" s="177"/>
      <c r="T633" s="177"/>
      <c r="U633" s="177"/>
      <c r="V633" s="177"/>
      <c r="W633" s="177"/>
    </row>
    <row r="634" ht="15.75" customHeight="1">
      <c r="A634" s="177"/>
      <c r="B634" s="177"/>
      <c r="C634" s="177"/>
      <c r="D634" s="177"/>
      <c r="E634" s="177"/>
      <c r="F634" s="177"/>
      <c r="G634" s="177"/>
      <c r="H634" s="177"/>
      <c r="I634" s="177"/>
      <c r="J634" s="177"/>
      <c r="K634" s="177"/>
      <c r="L634" s="177"/>
      <c r="M634" s="177"/>
      <c r="N634" s="177"/>
      <c r="O634" s="177"/>
      <c r="P634" s="177"/>
      <c r="Q634" s="177"/>
      <c r="R634" s="177"/>
      <c r="S634" s="177"/>
      <c r="T634" s="177"/>
      <c r="U634" s="177"/>
      <c r="V634" s="177"/>
      <c r="W634" s="177"/>
    </row>
    <row r="635" ht="15.75" customHeight="1">
      <c r="A635" s="177"/>
      <c r="B635" s="177"/>
      <c r="C635" s="177"/>
      <c r="D635" s="177"/>
      <c r="E635" s="177"/>
      <c r="F635" s="177"/>
      <c r="G635" s="177"/>
      <c r="H635" s="177"/>
      <c r="I635" s="177"/>
      <c r="J635" s="177"/>
      <c r="K635" s="177"/>
      <c r="L635" s="177"/>
      <c r="M635" s="177"/>
      <c r="N635" s="177"/>
      <c r="O635" s="177"/>
      <c r="P635" s="177"/>
      <c r="Q635" s="177"/>
      <c r="R635" s="177"/>
      <c r="S635" s="177"/>
      <c r="T635" s="177"/>
      <c r="U635" s="177"/>
      <c r="V635" s="177"/>
      <c r="W635" s="177"/>
    </row>
    <row r="636" ht="15.75" customHeight="1">
      <c r="A636" s="177"/>
      <c r="B636" s="177"/>
      <c r="C636" s="177"/>
      <c r="D636" s="177"/>
      <c r="E636" s="177"/>
      <c r="F636" s="177"/>
      <c r="G636" s="177"/>
      <c r="H636" s="177"/>
      <c r="I636" s="177"/>
      <c r="J636" s="177"/>
      <c r="K636" s="177"/>
      <c r="L636" s="177"/>
      <c r="M636" s="177"/>
      <c r="N636" s="177"/>
      <c r="O636" s="177"/>
      <c r="P636" s="177"/>
      <c r="Q636" s="177"/>
      <c r="R636" s="177"/>
      <c r="S636" s="177"/>
      <c r="T636" s="177"/>
      <c r="U636" s="177"/>
      <c r="V636" s="177"/>
      <c r="W636" s="177"/>
    </row>
    <row r="637" ht="15.75" customHeight="1">
      <c r="A637" s="177"/>
      <c r="B637" s="177"/>
      <c r="C637" s="177"/>
      <c r="D637" s="177"/>
      <c r="E637" s="177"/>
      <c r="F637" s="177"/>
      <c r="G637" s="177"/>
      <c r="H637" s="177"/>
      <c r="I637" s="177"/>
      <c r="J637" s="177"/>
      <c r="K637" s="177"/>
      <c r="L637" s="177"/>
      <c r="M637" s="177"/>
      <c r="N637" s="177"/>
      <c r="O637" s="177"/>
      <c r="P637" s="177"/>
      <c r="Q637" s="177"/>
      <c r="R637" s="177"/>
      <c r="S637" s="177"/>
      <c r="T637" s="177"/>
      <c r="U637" s="177"/>
      <c r="V637" s="177"/>
      <c r="W637" s="177"/>
    </row>
    <row r="638" ht="15.75" customHeight="1">
      <c r="A638" s="177"/>
      <c r="B638" s="177"/>
      <c r="C638" s="177"/>
      <c r="D638" s="177"/>
      <c r="E638" s="177"/>
      <c r="F638" s="177"/>
      <c r="G638" s="177"/>
      <c r="H638" s="177"/>
      <c r="I638" s="177"/>
      <c r="J638" s="177"/>
      <c r="K638" s="177"/>
      <c r="L638" s="177"/>
      <c r="M638" s="177"/>
      <c r="N638" s="177"/>
      <c r="O638" s="177"/>
      <c r="P638" s="177"/>
      <c r="Q638" s="177"/>
      <c r="R638" s="177"/>
      <c r="S638" s="177"/>
      <c r="T638" s="177"/>
      <c r="U638" s="177"/>
      <c r="V638" s="177"/>
      <c r="W638" s="177"/>
    </row>
    <row r="639" ht="15.75" customHeight="1">
      <c r="A639" s="177"/>
      <c r="B639" s="177"/>
      <c r="C639" s="177"/>
      <c r="D639" s="177"/>
      <c r="E639" s="177"/>
      <c r="F639" s="177"/>
      <c r="G639" s="177"/>
      <c r="H639" s="177"/>
      <c r="I639" s="177"/>
      <c r="J639" s="177"/>
      <c r="K639" s="177"/>
      <c r="L639" s="177"/>
      <c r="M639" s="177"/>
      <c r="N639" s="177"/>
      <c r="O639" s="177"/>
      <c r="P639" s="177"/>
      <c r="Q639" s="177"/>
      <c r="R639" s="177"/>
      <c r="S639" s="177"/>
      <c r="T639" s="177"/>
      <c r="U639" s="177"/>
      <c r="V639" s="177"/>
      <c r="W639" s="177"/>
    </row>
    <row r="640" ht="15.75" customHeight="1">
      <c r="A640" s="177"/>
      <c r="B640" s="177"/>
      <c r="C640" s="177"/>
      <c r="D640" s="177"/>
      <c r="E640" s="177"/>
      <c r="F640" s="177"/>
      <c r="G640" s="177"/>
      <c r="H640" s="177"/>
      <c r="I640" s="177"/>
      <c r="J640" s="177"/>
      <c r="K640" s="177"/>
      <c r="L640" s="177"/>
      <c r="M640" s="177"/>
      <c r="N640" s="177"/>
      <c r="O640" s="177"/>
      <c r="P640" s="177"/>
      <c r="Q640" s="177"/>
      <c r="R640" s="177"/>
      <c r="S640" s="177"/>
      <c r="T640" s="177"/>
      <c r="U640" s="177"/>
      <c r="V640" s="177"/>
      <c r="W640" s="177"/>
    </row>
    <row r="641" ht="15.75" customHeight="1">
      <c r="A641" s="177"/>
      <c r="B641" s="177"/>
      <c r="C641" s="177"/>
      <c r="D641" s="177"/>
      <c r="E641" s="177"/>
      <c r="F641" s="177"/>
      <c r="G641" s="177"/>
      <c r="H641" s="177"/>
      <c r="I641" s="177"/>
      <c r="J641" s="177"/>
      <c r="K641" s="177"/>
      <c r="L641" s="177"/>
      <c r="M641" s="177"/>
      <c r="N641" s="177"/>
      <c r="O641" s="177"/>
      <c r="P641" s="177"/>
      <c r="Q641" s="177"/>
      <c r="R641" s="177"/>
      <c r="S641" s="177"/>
      <c r="T641" s="177"/>
      <c r="U641" s="177"/>
      <c r="V641" s="177"/>
      <c r="W641" s="177"/>
    </row>
    <row r="642" ht="15.75" customHeight="1">
      <c r="A642" s="177"/>
      <c r="B642" s="177"/>
      <c r="C642" s="177"/>
      <c r="D642" s="177"/>
      <c r="E642" s="177"/>
      <c r="F642" s="177"/>
      <c r="G642" s="177"/>
      <c r="H642" s="177"/>
      <c r="I642" s="177"/>
      <c r="J642" s="177"/>
      <c r="K642" s="177"/>
      <c r="L642" s="177"/>
      <c r="M642" s="177"/>
      <c r="N642" s="177"/>
      <c r="O642" s="177"/>
      <c r="P642" s="177"/>
      <c r="Q642" s="177"/>
      <c r="R642" s="177"/>
      <c r="S642" s="177"/>
      <c r="T642" s="177"/>
      <c r="U642" s="177"/>
      <c r="V642" s="177"/>
      <c r="W642" s="177"/>
    </row>
    <row r="643" ht="15.75" customHeight="1">
      <c r="A643" s="177"/>
      <c r="B643" s="177"/>
      <c r="C643" s="177"/>
      <c r="D643" s="177"/>
      <c r="E643" s="177"/>
      <c r="F643" s="177"/>
      <c r="G643" s="177"/>
      <c r="H643" s="177"/>
      <c r="I643" s="177"/>
      <c r="J643" s="177"/>
      <c r="K643" s="177"/>
      <c r="L643" s="177"/>
      <c r="M643" s="177"/>
      <c r="N643" s="177"/>
      <c r="O643" s="177"/>
      <c r="P643" s="177"/>
      <c r="Q643" s="177"/>
      <c r="R643" s="177"/>
      <c r="S643" s="177"/>
      <c r="T643" s="177"/>
      <c r="U643" s="177"/>
      <c r="V643" s="177"/>
      <c r="W643" s="177"/>
    </row>
    <row r="644" ht="15.75" customHeight="1">
      <c r="A644" s="177"/>
      <c r="B644" s="177"/>
      <c r="C644" s="177"/>
      <c r="D644" s="177"/>
      <c r="E644" s="177"/>
      <c r="F644" s="177"/>
      <c r="G644" s="177"/>
      <c r="H644" s="177"/>
      <c r="I644" s="177"/>
      <c r="J644" s="177"/>
      <c r="K644" s="177"/>
      <c r="L644" s="177"/>
      <c r="M644" s="177"/>
      <c r="N644" s="177"/>
      <c r="O644" s="177"/>
      <c r="P644" s="177"/>
      <c r="Q644" s="177"/>
      <c r="R644" s="177"/>
      <c r="S644" s="177"/>
      <c r="T644" s="177"/>
      <c r="U644" s="177"/>
      <c r="V644" s="177"/>
      <c r="W644" s="177"/>
    </row>
    <row r="645" ht="15.75" customHeight="1">
      <c r="A645" s="177"/>
      <c r="B645" s="177"/>
      <c r="C645" s="177"/>
      <c r="D645" s="177"/>
      <c r="E645" s="177"/>
      <c r="F645" s="177"/>
      <c r="G645" s="177"/>
      <c r="H645" s="177"/>
      <c r="I645" s="177"/>
      <c r="J645" s="177"/>
      <c r="K645" s="177"/>
      <c r="L645" s="177"/>
      <c r="M645" s="177"/>
      <c r="N645" s="177"/>
      <c r="O645" s="177"/>
      <c r="P645" s="177"/>
      <c r="Q645" s="177"/>
      <c r="R645" s="177"/>
      <c r="S645" s="177"/>
      <c r="T645" s="177"/>
      <c r="U645" s="177"/>
      <c r="V645" s="177"/>
      <c r="W645" s="177"/>
    </row>
    <row r="646" ht="15.75" customHeight="1">
      <c r="A646" s="177"/>
      <c r="B646" s="177"/>
      <c r="C646" s="177"/>
      <c r="D646" s="177"/>
      <c r="E646" s="177"/>
      <c r="F646" s="177"/>
      <c r="G646" s="177"/>
      <c r="H646" s="177"/>
      <c r="I646" s="177"/>
      <c r="J646" s="177"/>
      <c r="K646" s="177"/>
      <c r="L646" s="177"/>
      <c r="M646" s="177"/>
      <c r="N646" s="177"/>
      <c r="O646" s="177"/>
      <c r="P646" s="177"/>
      <c r="Q646" s="177"/>
      <c r="R646" s="177"/>
      <c r="S646" s="177"/>
      <c r="T646" s="177"/>
      <c r="U646" s="177"/>
      <c r="V646" s="177"/>
      <c r="W646" s="177"/>
    </row>
    <row r="647" ht="15.75" customHeight="1">
      <c r="A647" s="177"/>
      <c r="B647" s="177"/>
      <c r="C647" s="177"/>
      <c r="D647" s="177"/>
      <c r="E647" s="177"/>
      <c r="F647" s="177"/>
      <c r="G647" s="177"/>
      <c r="H647" s="177"/>
      <c r="I647" s="177"/>
      <c r="J647" s="177"/>
      <c r="K647" s="177"/>
      <c r="L647" s="177"/>
      <c r="M647" s="177"/>
      <c r="N647" s="177"/>
      <c r="O647" s="177"/>
      <c r="P647" s="177"/>
      <c r="Q647" s="177"/>
      <c r="R647" s="177"/>
      <c r="S647" s="177"/>
      <c r="T647" s="177"/>
      <c r="U647" s="177"/>
      <c r="V647" s="177"/>
      <c r="W647" s="177"/>
    </row>
    <row r="648" ht="15.75" customHeight="1">
      <c r="A648" s="177"/>
      <c r="B648" s="177"/>
      <c r="C648" s="177"/>
      <c r="D648" s="177"/>
      <c r="E648" s="177"/>
      <c r="F648" s="177"/>
      <c r="G648" s="177"/>
      <c r="H648" s="177"/>
      <c r="I648" s="177"/>
      <c r="J648" s="177"/>
      <c r="K648" s="177"/>
      <c r="L648" s="177"/>
      <c r="M648" s="177"/>
      <c r="N648" s="177"/>
      <c r="O648" s="177"/>
      <c r="P648" s="177"/>
      <c r="Q648" s="177"/>
      <c r="R648" s="177"/>
      <c r="S648" s="177"/>
      <c r="T648" s="177"/>
      <c r="U648" s="177"/>
      <c r="V648" s="177"/>
      <c r="W648" s="177"/>
    </row>
    <row r="649" ht="15.75" customHeight="1">
      <c r="A649" s="177"/>
      <c r="B649" s="177"/>
      <c r="C649" s="177"/>
      <c r="D649" s="177"/>
      <c r="E649" s="177"/>
      <c r="F649" s="177"/>
      <c r="G649" s="177"/>
      <c r="H649" s="177"/>
      <c r="I649" s="177"/>
      <c r="J649" s="177"/>
      <c r="K649" s="177"/>
      <c r="L649" s="177"/>
      <c r="M649" s="177"/>
      <c r="N649" s="177"/>
      <c r="O649" s="177"/>
      <c r="P649" s="177"/>
      <c r="Q649" s="177"/>
      <c r="R649" s="177"/>
      <c r="S649" s="177"/>
      <c r="T649" s="177"/>
      <c r="U649" s="177"/>
      <c r="V649" s="177"/>
      <c r="W649" s="177"/>
    </row>
    <row r="650" ht="15.75" customHeight="1">
      <c r="A650" s="177"/>
      <c r="B650" s="177"/>
      <c r="C650" s="177"/>
      <c r="D650" s="177"/>
      <c r="E650" s="177"/>
      <c r="F650" s="177"/>
      <c r="G650" s="177"/>
      <c r="H650" s="177"/>
      <c r="I650" s="177"/>
      <c r="J650" s="177"/>
      <c r="K650" s="177"/>
      <c r="L650" s="177"/>
      <c r="M650" s="177"/>
      <c r="N650" s="177"/>
      <c r="O650" s="177"/>
      <c r="P650" s="177"/>
      <c r="Q650" s="177"/>
      <c r="R650" s="177"/>
      <c r="S650" s="177"/>
      <c r="T650" s="177"/>
      <c r="U650" s="177"/>
      <c r="V650" s="177"/>
      <c r="W650" s="177"/>
    </row>
    <row r="651" ht="15.75" customHeight="1">
      <c r="A651" s="177"/>
      <c r="B651" s="177"/>
      <c r="C651" s="177"/>
      <c r="D651" s="177"/>
      <c r="E651" s="177"/>
      <c r="F651" s="177"/>
      <c r="G651" s="177"/>
      <c r="H651" s="177"/>
      <c r="I651" s="177"/>
      <c r="J651" s="177"/>
      <c r="K651" s="177"/>
      <c r="L651" s="177"/>
      <c r="M651" s="177"/>
      <c r="N651" s="177"/>
      <c r="O651" s="177"/>
      <c r="P651" s="177"/>
      <c r="Q651" s="177"/>
      <c r="R651" s="177"/>
      <c r="S651" s="177"/>
      <c r="T651" s="177"/>
      <c r="U651" s="177"/>
      <c r="V651" s="177"/>
      <c r="W651" s="177"/>
    </row>
    <row r="652" ht="15.75" customHeight="1">
      <c r="A652" s="177"/>
      <c r="B652" s="177"/>
      <c r="C652" s="177"/>
      <c r="D652" s="177"/>
      <c r="E652" s="177"/>
      <c r="F652" s="177"/>
      <c r="G652" s="177"/>
      <c r="H652" s="177"/>
      <c r="I652" s="177"/>
      <c r="J652" s="177"/>
      <c r="K652" s="177"/>
      <c r="L652" s="177"/>
      <c r="M652" s="177"/>
      <c r="N652" s="177"/>
      <c r="O652" s="177"/>
      <c r="P652" s="177"/>
      <c r="Q652" s="177"/>
      <c r="R652" s="177"/>
      <c r="S652" s="177"/>
      <c r="T652" s="177"/>
      <c r="U652" s="177"/>
      <c r="V652" s="177"/>
      <c r="W652" s="177"/>
    </row>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K10:L224 K237:L451">
    <cfRule type="cellIs" dxfId="8" priority="1" operator="equal">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2">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3">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4">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5">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6">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7">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8">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9">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0">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1">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2">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3">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4">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5">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6">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7">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8">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9">
      <colorScale>
        <cfvo type="min"/>
        <cfvo type="percentile" val="50"/>
        <cfvo type="max"/>
        <color rgb="FF63BE7B"/>
        <color rgb="FFFCFCFF"/>
        <color rgb="FFF8696B"/>
      </colorScale>
    </cfRule>
  </conditionalFormatting>
  <conditionalFormatting sqref="A64:A67 A82:A85 A98:A101 A115:A118 A132:A135 A149:A152 A166:A169 A183:A186 A201:A204 A290:A294 A309:A312 A325:A328 A342:A345 A359:A362 A376:A379 A393:A396 A410:A413 A428:A431">
    <cfRule type="colorScale" priority="20">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1">
      <colorScale>
        <cfvo type="min"/>
        <cfvo type="percentile" val="50"/>
        <cfvo type="max"/>
        <color rgb="FF63BE7B"/>
        <color rgb="FFFCFCFF"/>
        <color rgb="FFF8696B"/>
      </colorScale>
    </cfRule>
  </conditionalFormatting>
  <conditionalFormatting sqref="A67:A68 A86 A102 A119 A136 A153 A170 A187 A205 A294:A295 A313 A329 A346 A363 A380 A397 A414 A432">
    <cfRule type="colorScale" priority="22">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3">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4">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5">
      <colorScale>
        <cfvo type="min"/>
        <cfvo type="percentile" val="50"/>
        <cfvo type="max"/>
        <color rgb="FF63BE7B"/>
        <color rgb="FFFCFCFF"/>
        <color rgb="FFF8696B"/>
      </colorScale>
    </cfRule>
  </conditionalFormatting>
  <conditionalFormatting sqref="A82:A86 A98:A102 A115:A119 A132:A136 A149:A153 A166:A170 A183:A187 A201:A205 A290 A309:A313 A325:A329 A342:A346 A359:A363 A376:A380 A393:A397 A410:A414 A428:A432">
    <cfRule type="colorScale" priority="26">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7">
      <colorScale>
        <cfvo type="min"/>
        <cfvo type="percentile" val="50"/>
        <cfvo type="max"/>
        <color rgb="FF63BE7B"/>
        <color rgb="FFFCFCFF"/>
        <color rgb="FFF8696B"/>
      </colorScale>
    </cfRule>
  </conditionalFormatting>
  <conditionalFormatting sqref="A87 A103 A120 A137 A154 A171 A188 A206 A314 A330 A347 A364 A381 A398 A415 A433">
    <cfRule type="colorScale" priority="28">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9">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0">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1">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2">
      <colorScale>
        <cfvo type="min"/>
        <cfvo type="percentile" val="50"/>
        <cfvo type="max"/>
        <color rgb="FF63BE7B"/>
        <color rgb="FFFCFCFF"/>
        <color rgb="FFF8696B"/>
      </colorScale>
    </cfRule>
  </conditionalFormatting>
  <conditionalFormatting sqref="A81:A84 A97:A100 A114:A117 A131:A134 A148:A151 A165:A168 A182:A185 A200:A203 A308:A311 A324:A327 A341:A344 A358:A361 A375:A378 A392:A395 A409:A412 A427:A430">
    <cfRule type="colorScale" priority="33">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4">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5">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6">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7">
      <colorScale>
        <cfvo type="min"/>
        <cfvo type="percentile" val="50"/>
        <cfvo type="max"/>
        <color rgb="FF63BE7B"/>
        <color rgb="FFFCFCFF"/>
        <color rgb="FFF8696B"/>
      </colorScale>
    </cfRule>
  </conditionalFormatting>
  <conditionalFormatting sqref="A82:A84 A98:A100 A115:A117 A132:A134 A149:A151 A166:A168 A183:A185 A201:A203 A309:A311 A325:A327 A342:A344 A359:A361 A376:A378 A393:A395 A410:A412 A428:A430">
    <cfRule type="colorScale" priority="38">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9">
      <colorScale>
        <cfvo type="min"/>
        <cfvo type="percentile" val="50"/>
        <cfvo type="max"/>
        <color rgb="FF63BE7B"/>
        <color rgb="FFFCFCFF"/>
        <color rgb="FFF8696B"/>
      </colorScale>
    </cfRule>
  </conditionalFormatting>
  <conditionalFormatting sqref="A85 A101 A118 A135 A152 A169 A186 A204 A312 A328 A345 A362 A379 A396 A413 A431">
    <cfRule type="colorScale" priority="40">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1">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42">
      <colorScale>
        <cfvo type="min"/>
        <cfvo type="percentile" val="50"/>
        <cfvo type="max"/>
        <color rgb="FF63BE7B"/>
        <color rgb="FFFFEB84"/>
        <color rgb="FFF8696B"/>
      </colorScale>
    </cfRule>
  </conditionalFormatting>
  <conditionalFormatting sqref="A98 A325">
    <cfRule type="colorScale" priority="43">
      <colorScale>
        <cfvo type="min"/>
        <cfvo type="percentile" val="50"/>
        <cfvo type="max"/>
        <color rgb="FF63BE7B"/>
        <color rgb="FFFCFCFF"/>
        <color rgb="FFF8696B"/>
      </colorScale>
    </cfRule>
  </conditionalFormatting>
  <conditionalFormatting sqref="A98 A325">
    <cfRule type="colorScale" priority="44">
      <colorScale>
        <cfvo type="min"/>
        <cfvo type="percentile" val="50"/>
        <cfvo type="max"/>
        <color rgb="FF63BE7B"/>
        <color rgb="FFFFEB84"/>
        <color rgb="FFF8696B"/>
      </colorScale>
    </cfRule>
  </conditionalFormatting>
  <conditionalFormatting sqref="A99 A326">
    <cfRule type="colorScale" priority="45">
      <colorScale>
        <cfvo type="min"/>
        <cfvo type="percentile" val="50"/>
        <cfvo type="max"/>
        <color rgb="FF63BE7B"/>
        <color rgb="FFFFEB84"/>
        <color rgb="FFF8696B"/>
      </colorScale>
    </cfRule>
  </conditionalFormatting>
  <conditionalFormatting sqref="A100:A104 A327:A331">
    <cfRule type="colorScale" priority="46">
      <colorScale>
        <cfvo type="min"/>
        <cfvo type="percentile" val="50"/>
        <cfvo type="max"/>
        <color rgb="FF63BE7B"/>
        <color rgb="FFFFEB84"/>
        <color rgb="FFF8696B"/>
      </colorScale>
    </cfRule>
  </conditionalFormatting>
  <conditionalFormatting sqref="A115 A342">
    <cfRule type="colorScale" priority="47">
      <colorScale>
        <cfvo type="min"/>
        <cfvo type="percentile" val="50"/>
        <cfvo type="max"/>
        <color rgb="FF63BE7B"/>
        <color rgb="FFFCFCFF"/>
        <color rgb="FFF8696B"/>
      </colorScale>
    </cfRule>
  </conditionalFormatting>
  <conditionalFormatting sqref="A115 A342">
    <cfRule type="colorScale" priority="48">
      <colorScale>
        <cfvo type="min"/>
        <cfvo type="percentile" val="50"/>
        <cfvo type="max"/>
        <color rgb="FF63BE7B"/>
        <color rgb="FFFFEB84"/>
        <color rgb="FFF8696B"/>
      </colorScale>
    </cfRule>
  </conditionalFormatting>
  <conditionalFormatting sqref="A116:A129 A343:A356">
    <cfRule type="colorScale" priority="49">
      <colorScale>
        <cfvo type="min"/>
        <cfvo type="percentile" val="50"/>
        <cfvo type="max"/>
        <color rgb="FF63BE7B"/>
        <color rgb="FFFFEB84"/>
        <color rgb="FFF8696B"/>
      </colorScale>
    </cfRule>
  </conditionalFormatting>
  <conditionalFormatting sqref="A132:A133 A359:A360">
    <cfRule type="colorScale" priority="50">
      <colorScale>
        <cfvo type="min"/>
        <cfvo type="percentile" val="50"/>
        <cfvo type="max"/>
        <color rgb="FF63BE7B"/>
        <color rgb="FFFFEB84"/>
        <color rgb="FFF8696B"/>
      </colorScale>
    </cfRule>
  </conditionalFormatting>
  <conditionalFormatting sqref="A149:A163 A376:A390">
    <cfRule type="colorScale" priority="51">
      <colorScale>
        <cfvo type="min"/>
        <cfvo type="percentile" val="50"/>
        <cfvo type="max"/>
        <color rgb="FF63BE7B"/>
        <color rgb="FFFFEB84"/>
        <color rgb="FFF8696B"/>
      </colorScale>
    </cfRule>
  </conditionalFormatting>
  <conditionalFormatting sqref="A166:A180 A393:A407">
    <cfRule type="colorScale" priority="52">
      <colorScale>
        <cfvo type="min"/>
        <cfvo type="percentile" val="50"/>
        <cfvo type="max"/>
        <color rgb="FF63BE7B"/>
        <color rgb="FFFFEB84"/>
        <color rgb="FFF8696B"/>
      </colorScale>
    </cfRule>
  </conditionalFormatting>
  <conditionalFormatting sqref="A183:A185 A410:A412">
    <cfRule type="colorScale" priority="53">
      <colorScale>
        <cfvo type="min"/>
        <cfvo type="percentile" val="50"/>
        <cfvo type="max"/>
        <color rgb="FF63BE7B"/>
        <color rgb="FFFFEB84"/>
        <color rgb="FFF8696B"/>
      </colorScale>
    </cfRule>
  </conditionalFormatting>
  <conditionalFormatting sqref="A201:A203 A428:A430">
    <cfRule type="colorScale" priority="54">
      <colorScale>
        <cfvo type="min"/>
        <cfvo type="percentile" val="50"/>
        <cfvo type="max"/>
        <color rgb="FF63BE7B"/>
        <color rgb="FFFFEB84"/>
        <color rgb="FFF8696B"/>
      </colorScale>
    </cfRule>
  </conditionalFormatting>
  <conditionalFormatting sqref="A208:A210 A435:A437">
    <cfRule type="colorScale" priority="55">
      <colorScale>
        <cfvo type="min"/>
        <cfvo type="percentile" val="50"/>
        <cfvo type="max"/>
        <color rgb="FF63BE7B"/>
        <color rgb="FFFFEB84"/>
        <color rgb="FFF8696B"/>
      </colorScale>
    </cfRule>
  </conditionalFormatting>
  <conditionalFormatting sqref="A211:A224 A438:A451">
    <cfRule type="colorScale" priority="56">
      <colorScale>
        <cfvo type="min"/>
        <cfvo type="percentile" val="50"/>
        <cfvo type="max"/>
        <color rgb="FF63BE7B"/>
        <color rgb="FFFFEB84"/>
        <color rgb="FFF8696B"/>
      </colorScale>
    </cfRule>
  </conditionalFormatting>
  <conditionalFormatting sqref="K10:L224 K237:L451">
    <cfRule type="cellIs" dxfId="9" priority="57" operator="equal">
      <formula>0</formula>
    </cfRule>
  </conditionalFormatting>
  <dataValidations>
    <dataValidation type="list" allowBlank="1" sqref="C12:C14 C87 C137 C152 C154 C169 C171 C204 C206 C238:C241 C243 C258 C275 C277 C296 C312 C314 C328 C330 C345 C347 C362 C364 C379 C381 C396 C398 C413 C415 C431 C433">
      <formula1>"I-ACTIVE,MAP,KCL 60%,05-37-00,10-46-00 + S,08-42-00,SSP 21,03-15-07 +14%CO,URÉIA,SULFATO DE AMÔNIO,BOROGRAN,SUPER DUO,08-40-00 - 100M,AURUS 500,00-01-00+Cu2 Mn8 Zn7"</formula1>
    </dataValidation>
    <dataValidation type="list" allowBlank="1" sqref="C183">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formula1>
    </dataValidation>
    <dataValidation type="list" allowBlank="1" sqref="C68">
      <formula1>"UTRISHA N,PRESENCE FULL,Now Lock,Now Guard,Now Force,Now Raze,Now Bolt,Now Active,Now React,Now Cover,Now Pulse,Now Sprint,Bio Az,Bio ND,Tec Catp Pro,Bio Elipso,Tec Bug,Solu Shield,Solu Strong,Solu Leaf,Bio Hidric,Bio Bokashi,Bio Oil,Carbon Pro,Essencial "&amp;"Mg,Expelir,Primafert,Reserva,Tec Catp Pro Kit On-farm,Tec Bug Kit On-farm,Solu Shield Kit On-farm,Solu Strong Kit On-farm,Solu Leaf Kit On-farm,Bio Hidric Kit On-farm,Bio Bokashi Kit On-farm,Tec White Kit On-farm,Bio Solubilize Kit On-farm,Bio Release Kit"&amp;" On-farm,Bio Raiz Plus Kit On-farm,Bio Balance Kit On-farm,SoluBio Raiz Performance Kit On-farm,Tec Isaria Kit On-farm"</formula1>
    </dataValidation>
    <dataValidation type="list" allowBlank="1" sqref="C26:C27 C45:C47 C82:C83 C253:C254 C256 C291">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type="custom" allowBlank="1" showDropDown="1" sqref="H10:L224 G237:L451">
      <formula1>AND(ISNUMBER(G10),(NOT(OR(NOT(ISERROR(DATEVALUE(G10))), AND(ISNUMBER(G10), LEFT(CELL("format", G10))="D")))))</formula1>
    </dataValidation>
    <dataValidation type="list" allowBlank="1" sqref="C28 C48 C85 C103 C120 C135 C151 C167 C255">
      <formula1>"RUMBA,ASSIST,MEES,AUREO,JOINT ULTRA,ADGREEN,ENERGIC,EXTRAVON,OCHIMA"</formula1>
    </dataValidation>
    <dataValidation type="list" allowBlank="1" sqref="C67 C273:C274">
      <formula1>"ENDOFUSE,ENDOMAXX,RIZOLIQ LLI,PROVILAR,REVERB,ARVATICO,VERANGO PRIME,FIPRONIL NORTOX MAX,MAXIM ADVANCED,MAXIM XL,VICTRATO,SPECTRO,STANDAK TOP,CRUISER ADVANCED,PLUST,SOMBRERO,CROPSTAR,DERMACOR,OPTERASEED,AVICTA 500 FS,CRUISER 350 FS,FORTENZA 600 FS,ILEVO,P"&amp;"ERMIT STAR"</formula1>
    </dataValidation>
    <dataValidation type="list" allowBlank="1" sqref="C33 C52 C89 C105 C139 C156 C166 C173 C190 C202 C208 C245 C260 C279 C298 C310 C316 C326 C332 C343 C349 C360 C366 C377 C383 C394 C400 C411 C417 C429 C435">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type="list" allowBlank="1" sqref="C272">
      <formula1>"FEIJÃO,SEMENTE TRIGO,SEMENTE MILHO,MG540PWU,MG711PWU,MG616PWU,P3707PWU,P39209PWU,P40537PWU,FS650PWU,SEMENTE SOJA CV,OLIMPO,M8349,CORDIUS C2795 CE,HERA I2X,SPARTA 8.0,IMPETO,NEO 790,APORÉ 7.3,GUAPÓ 7.7,MITICA 7.7,TMG MURICI I2X 7.6,DOMÍNIO 8.4,LENDA,SEMENT"&amp;"E SOJA RR,BRACHIARIA RUZIZIENCES,CAPIM MIAGE,TMG INGÁ I2X 6.9,TMG 2383 IPRO 8.3,BRACHIARIA BASICA,GH 2478 IPRO 8.1,HO COCARI I2X 8.2,SEMENTE DE SORGO"</formula1>
    </dataValidation>
    <dataValidation type="list" allowBlank="1" sqref="C17:C18">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formula1>
    </dataValidation>
    <dataValidation type="list" allowBlank="1" sqref="C29 C49:C50 C100:C102 C118:C119 C134 C292:C293">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type="list" allowBlank="1" sqref="C20:C24 C43 C62 C80 C247:C251 C270 C289 C307">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type="list" allowBlank="1" sqref="C11 C88 C138 C155 C172 C207 C244 C259 C278 C297 C315 C331 C348 C365 C382 C399 C416 C434">
      <formula1>"CALCÁRIO DOLOMITICO,GESSO AGRICOLA"</formula1>
    </dataValidation>
    <dataValidation type="list" allowBlank="1" sqref="C19">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formula1>
    </dataValidation>
    <dataValidation type="list" allowBlank="1" sqref="C136 C153 C170 C205 C242 C257 C276 C295 C309 C313 C325 C329 C342 C346 C359 C363 C376 C380 C393 C397 C410 C414 C432">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type="list" allowBlank="1" sqref="C64">
      <formula1>"FEIJÃO,SEMENTE TRIGO,SEMENTE MILHO,MG540PWU,MG711PWU,MG616PWU,P3707PWU,P39209PWU,P40537PWU,FS650PWU,SEMENTE SOJA CV,OLIMPO,M8349,CORDIUS C2795 CE,HERA I2X,SPARTA 8.0,CORDIUS C2795 CE 7.9,IMPETO,NEO 790,APORÉ 7.3,GUAPÓ 7.7,MITICA 7.7,TMG MURICI I2X 7.6,DOM"&amp;"ÍNIO 8.4,LENDA,BRASMAX HERA,BRASMAX OLIMPO,S6525 I2X,TMG ITAÚBA I2X,SEMENTE SOJA RR,BRACHIARIA RUZIZIENCES,CAPIM MIAGE,TMG INGÁ I2X 6.9,TMG 2383 IPRO 8.3,BRACHIARIA BASICA,GH 2478 IPRO 8.1,HO COCARI I2X 8.2,SEMENTE DE SORGO"</formula1>
    </dataValidation>
    <dataValidation type="list" allowBlank="1" sqref="C51 C72 C86">
      <formula1>"RADIFARM,MEGAFOL,OCTABORATO,BOP,METAL NUTRE,MONIC,AP MAGNÉSIO,GRANO KMG,AP MANGANÊS,AMINOS Mn,MICROBOX,ACRESECENT ALGA,RAIZ F,ACRESCENTE SOLUS F,SALUT,MATRIZ D,BRAVERO,Glyfort,Fergsum,Spander,Halattus,Sallvare Complex,Zinctaus Complex,Emezine Complex,Bora"&amp;"tus Complex,Magmill Complex,Brave K,Brave Max Up,MAX RAIZ,Polyamine,Sulfato de Magnésio,Map Purificado,MANGAN 10,NHT ZINCO,KELLUS CUPPER,MOLIBIDENIO 16,ZINCO 10,Potenza NiCoMo"</formula1>
    </dataValidation>
    <dataValidation type="list" allowBlank="1" sqref="C31">
      <formula1>"RUMBA,ASSIST,MEES,AUREO EC,JOINT ULTRA,ENERGIC,EXTRAVON,OCHIMA,STRIDES"</formula1>
    </dataValidation>
    <dataValidation type="list" allowBlank="1" sqref="C84 C98:C99 C104 C115:C117 C132:C133 C149:C150 C294">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type="list" allowBlank="1" sqref="C69:C71">
      <formula1>"UTRISHA N,PRESENCE FULL,Now Lock,Now Guard,Now Force,Now Raze,Now Bolt,Now Active,Now React,Now Cover,Now Pulse,Now Sprint,Bio Az,Bio ND,Tec Catp Pro,Bio Elipso,Tec Bug,Solu Shield,Solu Strong,Solu Leaf,Bio Hidric,Bio Bokashi,Bio Oil,Carbon Pro,Essencial "&amp;"Mg,Expelir,Potenza NiCoMo,Primafert,Reserva,Tec White,Bio Solubilize,Bio Release,Bio Raiz Plus,Bio Balance,SoluBio Raiz Performance,Tec Isaria"</formula1>
    </dataValidation>
    <dataValidation type="list" allowBlank="1" showErrorMessage="1" sqref="B10:B224 B237:B451">
      <formula1>#REF!</formula1>
    </dataValidation>
    <dataValidation type="list" allowBlank="1" sqref="C65:C66 C168 C203 C311 C327 C344 C361 C378 C395 C412 C430">
      <formula1>"SOMBRERO,STANDAK TOP,CROPSTAR,DERMACOR,PERMIT STAR,PRESENCE FULL,PLUST,CRUISER 350 FS,CRUISER ADVANCED,FORTENZA 600 FS,MAXIM ADVANCED,MAXIM XL,SPECTRO,BIOZYME,NIMAXXA,VITAVAX-THIRAM 200 SC"</formula1>
    </dataValidation>
    <dataValidation type="list" allowBlank="1" sqref="C184:C189">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formula1>
    </dataValidation>
    <dataValidation type="list" allowBlank="1" sqref="C34 C53:C54 C59 C73 C90:C91 C96 C106:C107 C112 C123:C124 C129 C140:C141 C146 C157:C158 C163 C174:C175 C180 C191:C192 C197 C209:C210 C215 C246 C261:C262 C267 C280:C281 C286 C299:C300 C317:C318 C323 C333:C334 C339 C350:C351 C356 C367:C368 C373 C384:C385 C390 C401:C402 C407 C418:C419 C424 C436:C437 C442">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display="ÁREA PLANTIO" location="'ÁREA PLANTIO'!A1" ref="F1"/>
    <hyperlink display="ÁREA PLANTIO" location="'ÁREA PLANTIO'!A1" ref="F227"/>
  </hyperlinks>
  <printOptions/>
  <pageMargins bottom="0.787401575" footer="0.0" header="0.0" left="0.511811024" right="0.511811024" top="0.787401575"/>
  <pageSetup orientation="landscape"/>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15.13"/>
    <col customWidth="1" min="2" max="2" width="17.75"/>
    <col customWidth="1" min="3" max="3" width="37.25"/>
    <col customWidth="1" min="4" max="4" width="34.25"/>
    <col customWidth="1" min="5" max="5" width="13.25"/>
    <col customWidth="1" min="6" max="6" width="10.75"/>
    <col customWidth="1" min="7" max="8" width="9.88"/>
    <col customWidth="1" min="9" max="9" width="7.38"/>
    <col customWidth="1" min="10" max="10" width="7.13"/>
    <col customWidth="1" min="11" max="11" width="11.13"/>
    <col customWidth="1" min="12" max="12" width="13.25"/>
    <col customWidth="1" min="13" max="20" width="14.38"/>
    <col customWidth="1" min="21" max="21" width="4.75"/>
    <col customWidth="1" min="22" max="23" width="14.38"/>
  </cols>
  <sheetData>
    <row r="1" ht="15.75" customHeight="1">
      <c r="A1" s="178" t="s">
        <v>1203</v>
      </c>
      <c r="B1" s="170" t="str">
        <f>'ÁREA PLANTIO'!B4</f>
        <v>ÁREA 2</v>
      </c>
      <c r="C1" s="171" t="s">
        <v>1166</v>
      </c>
      <c r="D1" s="172">
        <f>$K$225</f>
        <v>1728.995675</v>
      </c>
      <c r="E1" s="173"/>
      <c r="F1" s="174" t="s">
        <v>1167</v>
      </c>
      <c r="G1" s="175"/>
      <c r="H1" s="176"/>
      <c r="I1" s="176"/>
      <c r="J1" s="176"/>
      <c r="K1" s="175"/>
      <c r="L1" s="177"/>
      <c r="M1" s="177"/>
      <c r="N1" s="177"/>
      <c r="O1" s="177"/>
      <c r="P1" s="177"/>
      <c r="Q1" s="177"/>
      <c r="R1" s="177"/>
      <c r="S1" s="177"/>
      <c r="T1" s="177"/>
      <c r="U1" s="177"/>
      <c r="V1" s="177"/>
      <c r="W1" s="177"/>
    </row>
    <row r="2" ht="15.75" customHeight="1">
      <c r="A2" s="178" t="s">
        <v>1168</v>
      </c>
      <c r="B2" s="179">
        <f>'ÁREA PLANTIO'!E4</f>
        <v>110</v>
      </c>
      <c r="C2" s="180" t="s">
        <v>1169</v>
      </c>
      <c r="D2" s="181">
        <f>'ÁREA PLANTIO'!D4</f>
        <v>70</v>
      </c>
      <c r="E2" s="173"/>
      <c r="F2" s="173"/>
      <c r="G2" s="175"/>
      <c r="H2" s="176"/>
      <c r="I2" s="176"/>
      <c r="J2" s="176"/>
      <c r="K2" s="175"/>
      <c r="L2" s="177"/>
      <c r="M2" s="177"/>
      <c r="N2" s="177"/>
      <c r="O2" s="177"/>
      <c r="P2" s="177"/>
      <c r="Q2" s="177"/>
      <c r="R2" s="177"/>
      <c r="S2" s="177"/>
      <c r="T2" s="177"/>
      <c r="U2" s="177"/>
      <c r="V2" s="177"/>
      <c r="W2" s="177"/>
    </row>
    <row r="3" ht="15.75" customHeight="1">
      <c r="A3" s="178" t="s">
        <v>1170</v>
      </c>
      <c r="B3" s="176" t="str">
        <f>'ÁREA PLANTIO'!C4</f>
        <v>FA-SOJA SEQUEIRO-26/27</v>
      </c>
      <c r="C3" s="180" t="s">
        <v>1171</v>
      </c>
      <c r="D3" s="182">
        <f>D1/D2</f>
        <v>24.69993821</v>
      </c>
      <c r="E3" s="173"/>
      <c r="F3" s="173"/>
      <c r="G3" s="175"/>
      <c r="H3" s="176"/>
      <c r="I3" s="176"/>
      <c r="J3" s="176"/>
      <c r="K3" s="175"/>
      <c r="L3" s="177"/>
      <c r="M3" s="177"/>
      <c r="N3" s="177"/>
      <c r="O3" s="177"/>
      <c r="P3" s="177"/>
      <c r="Q3" s="177"/>
      <c r="R3" s="177"/>
      <c r="S3" s="177"/>
      <c r="T3" s="177"/>
      <c r="U3" s="177"/>
      <c r="V3" s="177"/>
      <c r="W3" s="177"/>
    </row>
    <row r="4" ht="15.75" customHeight="1">
      <c r="A4" s="183" t="s">
        <v>1172</v>
      </c>
      <c r="B4" s="184">
        <v>45606.0</v>
      </c>
      <c r="C4" s="185"/>
      <c r="D4" s="186"/>
      <c r="E4" s="187"/>
      <c r="F4" s="173"/>
      <c r="G4" s="175"/>
      <c r="H4" s="176"/>
      <c r="I4" s="176"/>
      <c r="J4" s="176"/>
      <c r="K4" s="175"/>
      <c r="L4" s="177"/>
      <c r="M4" s="177"/>
      <c r="N4" s="177"/>
      <c r="O4" s="177"/>
      <c r="P4" s="177"/>
      <c r="Q4" s="177"/>
      <c r="R4" s="177"/>
      <c r="S4" s="177"/>
      <c r="T4" s="177"/>
      <c r="U4" s="177"/>
      <c r="V4" s="177"/>
      <c r="W4" s="177"/>
    </row>
    <row r="5" ht="15.75" customHeight="1">
      <c r="A5" s="177"/>
      <c r="B5" s="177"/>
      <c r="C5" s="177"/>
      <c r="D5" s="177"/>
      <c r="E5" s="188"/>
      <c r="F5" s="173"/>
      <c r="G5" s="175"/>
      <c r="H5" s="176"/>
      <c r="I5" s="176"/>
      <c r="J5" s="176"/>
      <c r="K5" s="175"/>
      <c r="L5" s="177"/>
      <c r="M5" s="177"/>
      <c r="N5" s="177"/>
      <c r="O5" s="177"/>
      <c r="P5" s="177"/>
      <c r="Q5" s="177"/>
      <c r="R5" s="177"/>
      <c r="S5" s="177"/>
      <c r="T5" s="177"/>
      <c r="U5" s="177"/>
      <c r="V5" s="177"/>
      <c r="W5" s="177"/>
    </row>
    <row r="6" ht="15.75" customHeight="1">
      <c r="A6" s="178"/>
      <c r="B6" s="176"/>
      <c r="C6" s="173"/>
      <c r="D6" s="173"/>
      <c r="E6" s="173"/>
      <c r="F6" s="173"/>
      <c r="G6" s="175"/>
      <c r="H6" s="176"/>
      <c r="I6" s="176"/>
      <c r="J6" s="176"/>
      <c r="K6" s="175"/>
      <c r="L6" s="177"/>
      <c r="M6" s="177"/>
      <c r="N6" s="177"/>
      <c r="O6" s="177"/>
      <c r="P6" s="177"/>
      <c r="Q6" s="177"/>
      <c r="R6" s="177"/>
      <c r="S6" s="177"/>
      <c r="T6" s="177"/>
      <c r="U6" s="177"/>
      <c r="V6" s="177"/>
      <c r="W6" s="177"/>
    </row>
    <row r="7" ht="15.75" customHeight="1">
      <c r="A7" s="176"/>
      <c r="B7" s="176"/>
      <c r="C7" s="173"/>
      <c r="D7" s="173"/>
      <c r="E7" s="173"/>
      <c r="F7" s="173"/>
      <c r="G7" s="175"/>
      <c r="H7" s="176"/>
      <c r="I7" s="176"/>
      <c r="J7" s="176"/>
      <c r="K7" s="175"/>
      <c r="L7" s="177"/>
      <c r="M7" s="177"/>
      <c r="N7" s="177"/>
      <c r="O7" s="177"/>
      <c r="P7" s="177"/>
      <c r="Q7" s="177"/>
      <c r="R7" s="177"/>
      <c r="S7" s="177"/>
      <c r="T7" s="177"/>
      <c r="U7" s="177"/>
      <c r="V7" s="177"/>
      <c r="W7" s="177"/>
    </row>
    <row r="8" ht="15.75" customHeight="1">
      <c r="A8" s="176"/>
      <c r="B8" s="176"/>
      <c r="C8" s="176"/>
      <c r="D8" s="176"/>
      <c r="E8" s="173"/>
      <c r="F8" s="173"/>
      <c r="G8" s="175"/>
      <c r="H8" s="176"/>
      <c r="I8" s="176"/>
      <c r="J8" s="176"/>
      <c r="K8" s="175"/>
      <c r="L8" s="177"/>
      <c r="M8" s="177"/>
      <c r="N8" s="177"/>
      <c r="O8" s="177"/>
      <c r="P8" s="177"/>
      <c r="Q8" s="177"/>
      <c r="R8" s="177"/>
      <c r="S8" s="177"/>
      <c r="T8" s="177"/>
      <c r="U8" s="177"/>
      <c r="V8" s="177"/>
      <c r="W8" s="177"/>
    </row>
    <row r="9" ht="15.75" customHeight="1">
      <c r="A9" s="190" t="s">
        <v>1173</v>
      </c>
      <c r="B9" s="191" t="s">
        <v>1174</v>
      </c>
      <c r="C9" s="191" t="s">
        <v>1175</v>
      </c>
      <c r="D9" s="190" t="s">
        <v>1176</v>
      </c>
      <c r="E9" s="190" t="s">
        <v>1177</v>
      </c>
      <c r="F9" s="190" t="s">
        <v>1178</v>
      </c>
      <c r="G9" s="192" t="s">
        <v>1179</v>
      </c>
      <c r="H9" s="192" t="s">
        <v>1180</v>
      </c>
      <c r="I9" s="192" t="s">
        <v>1181</v>
      </c>
      <c r="J9" s="193" t="s">
        <v>1134</v>
      </c>
      <c r="K9" s="194" t="s">
        <v>1182</v>
      </c>
      <c r="L9" s="195" t="s">
        <v>339</v>
      </c>
      <c r="M9" s="177"/>
      <c r="N9" s="177"/>
      <c r="O9" s="177"/>
      <c r="P9" s="177"/>
      <c r="Q9" s="177"/>
      <c r="R9" s="177"/>
      <c r="S9" s="177"/>
      <c r="T9" s="177"/>
      <c r="U9" s="177"/>
      <c r="V9" s="177"/>
      <c r="W9" s="177"/>
    </row>
    <row r="10" ht="15.75" customHeight="1">
      <c r="A10" s="196" t="s">
        <v>1183</v>
      </c>
      <c r="B10" s="197"/>
      <c r="C10" s="196"/>
      <c r="D10" s="198" t="s">
        <v>216</v>
      </c>
      <c r="E10" s="196"/>
      <c r="F10" s="196"/>
      <c r="G10" s="199"/>
      <c r="H10" s="200"/>
      <c r="I10" s="252"/>
      <c r="J10" s="202"/>
      <c r="K10" s="203">
        <f t="shared" ref="K10:L10" si="1">SUBTOTAL(9,K11:K24)</f>
        <v>0</v>
      </c>
      <c r="L10" s="203">
        <f t="shared" si="1"/>
        <v>0</v>
      </c>
      <c r="M10" s="177"/>
      <c r="N10" s="177"/>
      <c r="O10" s="177"/>
      <c r="P10" s="177"/>
      <c r="Q10" s="177"/>
      <c r="R10" s="177"/>
      <c r="S10" s="177"/>
      <c r="T10" s="177"/>
      <c r="U10" s="177"/>
      <c r="V10" s="177"/>
      <c r="W10" s="177"/>
    </row>
    <row r="11" outlineLevel="1">
      <c r="A11" s="191"/>
      <c r="B11" s="204" t="s">
        <v>8</v>
      </c>
      <c r="C11" s="191" t="s">
        <v>397</v>
      </c>
      <c r="D11" s="205" t="str">
        <f>IFERROR(VLOOKUP($C11,'PORTIFÓLIO'!C:V,2,0),"")</f>
        <v>CaO 38%  MgO 18%</v>
      </c>
      <c r="E11" s="190" t="str">
        <f>IFERROR(VLOOKUP($C11,'PORTIFÓLIO'!C:V,3,0),"")</f>
        <v/>
      </c>
      <c r="F11" s="190" t="str">
        <f>IFERROR(VLOOKUP($C11,'PORTIFÓLIO'!C:V,4,0),"")</f>
        <v>Ton</v>
      </c>
      <c r="G11" s="206" t="str">
        <f>IFERROR(VLOOKUP($C11,'PORTIFÓLIO'!C:V,5,0),"")</f>
        <v/>
      </c>
      <c r="H11" s="247" t="str">
        <f t="array" ref="H11">IFERROR(INDEX('PORTIFÓLIO'!$H$4:$H$433,MATCH($C11,'PORTIFÓLIO'!$C$4:$C$433,0)),"")</f>
        <v/>
      </c>
      <c r="I11" s="253">
        <v>3.0</v>
      </c>
      <c r="J11" s="209">
        <f t="shared" ref="J11:J24" si="2">I11*$B$2</f>
        <v>330</v>
      </c>
      <c r="K11" s="210">
        <f t="array" ref="K11">IFERROR(I11*INDEX('PORTIFÓLIO'!$S$4:$S$433,MATCH($C11,'PORTIFÓLIO'!$C$4:$C$433,0)),"")</f>
        <v>0</v>
      </c>
      <c r="L11" s="210">
        <f t="array" ref="L11">IFERROR(J11*INDEX('PORTIFÓLIO'!$S$4:$S$433,MATCH($C11,'PORTIFÓLIO'!$C$4:$C$433,0)),"")</f>
        <v>0</v>
      </c>
      <c r="M11" s="177"/>
      <c r="N11" s="177"/>
      <c r="O11" s="177"/>
      <c r="P11" s="177"/>
      <c r="Q11" s="177"/>
      <c r="R11" s="177"/>
      <c r="S11" s="177"/>
      <c r="T11" s="177"/>
      <c r="U11" s="177" t="str">
        <f>IFERROR(__xludf.DUMMYFUNCTION("FILTER('PORTIFÓLIO'!C:C, 'PORTIFÓLIO'!B:B=B11)"),"#REF!")</f>
        <v>#REF!</v>
      </c>
      <c r="V11" s="177"/>
      <c r="W11" s="177"/>
    </row>
    <row r="12" outlineLevel="1">
      <c r="A12" s="191"/>
      <c r="B12" s="204" t="s">
        <v>7</v>
      </c>
      <c r="C12" s="191" t="s">
        <v>423</v>
      </c>
      <c r="D12" s="205" t="str">
        <f>IFERROR(VLOOKUP($C12,'PORTIFÓLIO'!C:V,2,0),"")</f>
        <v>P2O5 14%</v>
      </c>
      <c r="E12" s="190" t="str">
        <f>IFERROR(VLOOKUP($C12,'PORTIFÓLIO'!C:V,3,0),"")</f>
        <v/>
      </c>
      <c r="F12" s="190" t="str">
        <f>IFERROR(VLOOKUP($C12,'PORTIFÓLIO'!C:V,4,0),"")</f>
        <v>Ton</v>
      </c>
      <c r="G12" s="206" t="str">
        <f>IFERROR(VLOOKUP($C12,'PORTIFÓLIO'!C:V,5,0),"")</f>
        <v/>
      </c>
      <c r="H12" s="247" t="str">
        <f t="array" ref="H12">IFERROR(INDEX('PORTIFÓLIO'!$H$4:$H$433,MATCH($C12,'PORTIFÓLIO'!$C$4:$C$433,0)),"")</f>
        <v/>
      </c>
      <c r="I12" s="253">
        <v>0.5</v>
      </c>
      <c r="J12" s="209">
        <f t="shared" si="2"/>
        <v>55</v>
      </c>
      <c r="K12" s="210">
        <f t="array" ref="K12">IFERROR(I12*INDEX('PORTIFÓLIO'!$S$4:$S$433,MATCH($C12,'PORTIFÓLIO'!$C$4:$C$433,0)),"")</f>
        <v>0</v>
      </c>
      <c r="L12" s="210">
        <f t="array" ref="L12">IFERROR(J12*INDEX('PORTIFÓLIO'!$S$4:$S$433,MATCH($C12,'PORTIFÓLIO'!$C$4:$C$433,0)),"")</f>
        <v>0</v>
      </c>
      <c r="M12" s="177"/>
      <c r="N12" s="177"/>
      <c r="O12" s="177"/>
      <c r="P12" s="177"/>
      <c r="Q12" s="177"/>
      <c r="R12" s="177"/>
      <c r="S12" s="177"/>
      <c r="T12" s="177"/>
      <c r="U12" s="177" t="str">
        <f>IFERROR(__xludf.DUMMYFUNCTION("FILTER('PORTIFÓLIO'!C:C, 'PORTIFÓLIO'!B:B=B12)"),"#REF!")</f>
        <v>#REF!</v>
      </c>
      <c r="V12" s="177"/>
      <c r="W12" s="177"/>
    </row>
    <row r="13" outlineLevel="1">
      <c r="A13" s="191"/>
      <c r="B13" s="204" t="s">
        <v>7</v>
      </c>
      <c r="C13" s="191" t="s">
        <v>405</v>
      </c>
      <c r="D13" s="205" t="str">
        <f>IFERROR(VLOOKUP($C13,'PORTIFÓLIO'!C:V,2,0),"")</f>
        <v>K2O 60%</v>
      </c>
      <c r="E13" s="190" t="str">
        <f>IFERROR(VLOOKUP($C13,'PORTIFÓLIO'!C:V,3,0),"")</f>
        <v/>
      </c>
      <c r="F13" s="190" t="str">
        <f>IFERROR(VLOOKUP($C13,'PORTIFÓLIO'!C:V,4,0),"")</f>
        <v>Ton</v>
      </c>
      <c r="G13" s="206" t="str">
        <f>IFERROR(VLOOKUP($C13,'PORTIFÓLIO'!C:V,5,0),"")</f>
        <v/>
      </c>
      <c r="H13" s="247" t="str">
        <f t="array" ref="H13">IFERROR(INDEX('PORTIFÓLIO'!$H$4:$H$433,MATCH($C13,'PORTIFÓLIO'!$C$4:$C$433,0)),"")</f>
        <v/>
      </c>
      <c r="I13" s="253">
        <v>0.2</v>
      </c>
      <c r="J13" s="209">
        <f t="shared" si="2"/>
        <v>22</v>
      </c>
      <c r="K13" s="210">
        <f t="array" ref="K13">IFERROR(I13*INDEX('PORTIFÓLIO'!$S$4:$S$433,MATCH($C13,'PORTIFÓLIO'!$C$4:$C$433,0)),"")</f>
        <v>0</v>
      </c>
      <c r="L13" s="210">
        <f t="array" ref="L13">IFERROR(J13*INDEX('PORTIFÓLIO'!$S$4:$S$433,MATCH($C13,'PORTIFÓLIO'!$C$4:$C$433,0)),"")</f>
        <v>0</v>
      </c>
      <c r="M13" s="177"/>
      <c r="N13" s="177"/>
      <c r="O13" s="177"/>
      <c r="P13" s="177"/>
      <c r="Q13" s="177"/>
      <c r="R13" s="177"/>
      <c r="S13" s="177"/>
      <c r="T13" s="177"/>
      <c r="U13" s="177" t="str">
        <f>IFERROR(__xludf.DUMMYFUNCTION("FILTER('PORTIFÓLIO'!C:C, 'PORTIFÓLIO'!B:B=B13)"),"#REF!")</f>
        <v>#REF!</v>
      </c>
      <c r="V13" s="177"/>
      <c r="W13" s="177"/>
    </row>
    <row r="14" outlineLevel="1">
      <c r="A14" s="190"/>
      <c r="B14" s="204" t="s">
        <v>7</v>
      </c>
      <c r="C14" s="191" t="s">
        <v>429</v>
      </c>
      <c r="D14" s="205" t="str">
        <f>IFERROR(VLOOKUP($C14,'PORTIFÓLIO'!C:V,2,0),"")</f>
        <v>Cu 2% Mn 8% Zn 7% </v>
      </c>
      <c r="E14" s="190" t="str">
        <f>IFERROR(VLOOKUP($C14,'PORTIFÓLIO'!C:V,3,0),"")</f>
        <v/>
      </c>
      <c r="F14" s="190" t="str">
        <f>IFERROR(VLOOKUP($C14,'PORTIFÓLIO'!C:V,4,0),"")</f>
        <v>Ton</v>
      </c>
      <c r="G14" s="206" t="str">
        <f>IFERROR(VLOOKUP($C14,'PORTIFÓLIO'!C:V,5,0),"")</f>
        <v/>
      </c>
      <c r="H14" s="247" t="str">
        <f t="array" ref="H14">IFERROR(INDEX('PORTIFÓLIO'!$H$4:$H$433,MATCH($C14,'PORTIFÓLIO'!$C$4:$C$433,0)),"")</f>
        <v/>
      </c>
      <c r="I14" s="253">
        <v>0.05</v>
      </c>
      <c r="J14" s="209">
        <f t="shared" si="2"/>
        <v>5.5</v>
      </c>
      <c r="K14" s="210">
        <f t="array" ref="K14">IFERROR(I14*INDEX('PORTIFÓLIO'!$S$4:$S$433,MATCH($C14,'PORTIFÓLIO'!$C$4:$C$433,0)),"")</f>
        <v>0</v>
      </c>
      <c r="L14" s="210">
        <f t="array" ref="L14">IFERROR(J14*INDEX('PORTIFÓLIO'!$S$4:$S$433,MATCH($C14,'PORTIFÓLIO'!$C$4:$C$433,0)),"")</f>
        <v>0</v>
      </c>
      <c r="M14" s="177"/>
      <c r="N14" s="177"/>
      <c r="O14" s="177"/>
      <c r="P14" s="177"/>
      <c r="Q14" s="177"/>
      <c r="R14" s="177"/>
      <c r="S14" s="177"/>
      <c r="T14" s="177"/>
      <c r="U14" s="177" t="str">
        <f>IFERROR(__xludf.DUMMYFUNCTION("FILTER('PORTIFÓLIO'!C:C, 'PORTIFÓLIO'!B:B=B14)"),"#REF!")</f>
        <v>#REF!</v>
      </c>
      <c r="V14" s="177"/>
      <c r="W14" s="177"/>
    </row>
    <row r="15" outlineLevel="1">
      <c r="A15" s="190"/>
      <c r="B15" s="204"/>
      <c r="C15" s="191"/>
      <c r="D15" s="205" t="str">
        <f>IFERROR(VLOOKUP($C15,'PORTIFÓLIO'!C:V,2,0),"")</f>
        <v/>
      </c>
      <c r="E15" s="190" t="str">
        <f>IFERROR(VLOOKUP($C15,'PORTIFÓLIO'!C:V,3,0),"")</f>
        <v/>
      </c>
      <c r="F15" s="190" t="str">
        <f>IFERROR(VLOOKUP($C15,'PORTIFÓLIO'!C:V,4,0),"")</f>
        <v/>
      </c>
      <c r="G15" s="206" t="str">
        <f>IFERROR(VLOOKUP($C15,'PORTIFÓLIO'!C:V,5,0),"")</f>
        <v/>
      </c>
      <c r="H15" s="247" t="str">
        <f t="array" ref="H15">IFERROR(INDEX('PORTIFÓLIO'!$H$4:$H$433,MATCH($C15,'PORTIFÓLIO'!$C$4:$C$433,0)),"")</f>
        <v/>
      </c>
      <c r="I15" s="253"/>
      <c r="J15" s="209">
        <f t="shared" si="2"/>
        <v>0</v>
      </c>
      <c r="K15" s="210" t="str">
        <f t="array" ref="K15">IFERROR(I15*INDEX('PORTIFÓLIO'!$S$4:$S$433,MATCH($C15,'PORTIFÓLIO'!$C$4:$C$433,0)),"")</f>
        <v/>
      </c>
      <c r="L15" s="210" t="str">
        <f t="array" ref="L15">IFERROR(J15*INDEX('PORTIFÓLIO'!$S$4:$S$433,MATCH($C15,'PORTIFÓLIO'!$C$4:$C$433,0)),"")</f>
        <v/>
      </c>
      <c r="M15" s="177"/>
      <c r="N15" s="177"/>
      <c r="O15" s="177"/>
      <c r="P15" s="177"/>
      <c r="Q15" s="177"/>
      <c r="R15" s="177"/>
      <c r="S15" s="177"/>
      <c r="T15" s="177"/>
      <c r="U15" s="177" t="str">
        <f>IFERROR(__xludf.DUMMYFUNCTION("FILTER('PORTIFÓLIO'!C:C, 'PORTIFÓLIO'!B:B=B15)"),"#REF!")</f>
        <v>#REF!</v>
      </c>
      <c r="V15" s="177"/>
      <c r="W15" s="177"/>
    </row>
    <row r="16" outlineLevel="1">
      <c r="A16" s="190"/>
      <c r="B16" s="204"/>
      <c r="C16" s="191"/>
      <c r="D16" s="205" t="str">
        <f>IFERROR(VLOOKUP($C16,'PORTIFÓLIO'!C:V,2,0),"")</f>
        <v/>
      </c>
      <c r="E16" s="190" t="str">
        <f>IFERROR(VLOOKUP($C16,'PORTIFÓLIO'!C:V,3,0),"")</f>
        <v/>
      </c>
      <c r="F16" s="190" t="str">
        <f>IFERROR(VLOOKUP($C16,'PORTIFÓLIO'!C:V,4,0),"")</f>
        <v/>
      </c>
      <c r="G16" s="206" t="str">
        <f>IFERROR(VLOOKUP($C16,'PORTIFÓLIO'!C:V,5,0),"")</f>
        <v/>
      </c>
      <c r="H16" s="247" t="str">
        <f t="array" ref="H16">IFERROR(INDEX('PORTIFÓLIO'!$H$4:$H$433,MATCH($C16,'PORTIFÓLIO'!$C$4:$C$433,0)),"")</f>
        <v/>
      </c>
      <c r="I16" s="253"/>
      <c r="J16" s="209">
        <f t="shared" si="2"/>
        <v>0</v>
      </c>
      <c r="K16" s="210" t="str">
        <f t="array" ref="K16">IFERROR(I16*INDEX('PORTIFÓLIO'!$S$4:$S$433,MATCH($C16,'PORTIFÓLIO'!$C$4:$C$433,0)),"")</f>
        <v/>
      </c>
      <c r="L16" s="210" t="str">
        <f t="array" ref="L16">IFERROR(J16*INDEX('PORTIFÓLIO'!$S$4:$S$433,MATCH($C16,'PORTIFÓLIO'!$C$4:$C$433,0)),"")</f>
        <v/>
      </c>
      <c r="M16" s="177"/>
      <c r="N16" s="177"/>
      <c r="O16" s="177"/>
      <c r="P16" s="177"/>
      <c r="Q16" s="177"/>
      <c r="R16" s="177"/>
      <c r="S16" s="177"/>
      <c r="T16" s="177"/>
      <c r="U16" s="177" t="str">
        <f>IFERROR(__xludf.DUMMYFUNCTION("FILTER('PORTIFÓLIO'!C:C, 'PORTIFÓLIO'!B:B=B16)"),"#REF!")</f>
        <v>#REF!</v>
      </c>
      <c r="V16" s="177"/>
      <c r="W16" s="177"/>
    </row>
    <row r="17" outlineLevel="1">
      <c r="A17" s="190"/>
      <c r="B17" s="204"/>
      <c r="C17" s="191"/>
      <c r="D17" s="205" t="str">
        <f>IFERROR(VLOOKUP($C17,'PORTIFÓLIO'!C:V,2,0),"")</f>
        <v/>
      </c>
      <c r="E17" s="190" t="str">
        <f>IFERROR(VLOOKUP($C17,'PORTIFÓLIO'!C:V,3,0),"")</f>
        <v/>
      </c>
      <c r="F17" s="190" t="str">
        <f>IFERROR(VLOOKUP($C17,'PORTIFÓLIO'!C:V,4,0),"")</f>
        <v/>
      </c>
      <c r="G17" s="206" t="str">
        <f>IFERROR(VLOOKUP($C17,'PORTIFÓLIO'!C:V,5,0),"")</f>
        <v/>
      </c>
      <c r="H17" s="247" t="str">
        <f t="array" ref="H17">IFERROR(INDEX('PORTIFÓLIO'!$H$4:$H$433,MATCH($C17,'PORTIFÓLIO'!$C$4:$C$433,0)),"")</f>
        <v/>
      </c>
      <c r="I17" s="253"/>
      <c r="J17" s="209">
        <f t="shared" si="2"/>
        <v>0</v>
      </c>
      <c r="K17" s="210" t="str">
        <f t="array" ref="K17">IFERROR(I17*INDEX('PORTIFÓLIO'!$S$4:$S$433,MATCH($C17,'PORTIFÓLIO'!$C$4:$C$433,0)),"")</f>
        <v/>
      </c>
      <c r="L17" s="210" t="str">
        <f t="array" ref="L17">IFERROR(J17*INDEX('PORTIFÓLIO'!$S$4:$S$433,MATCH($C17,'PORTIFÓLIO'!$C$4:$C$433,0)),"")</f>
        <v/>
      </c>
      <c r="M17" s="177"/>
      <c r="N17" s="177"/>
      <c r="O17" s="177"/>
      <c r="P17" s="177"/>
      <c r="Q17" s="177"/>
      <c r="R17" s="177"/>
      <c r="S17" s="177"/>
      <c r="T17" s="177"/>
      <c r="U17" s="177" t="str">
        <f>IFERROR(__xludf.DUMMYFUNCTION("FILTER('PORTIFÓLIO'!C:C, 'PORTIFÓLIO'!B:B=B17)"),"#REF!")</f>
        <v>#REF!</v>
      </c>
      <c r="V17" s="177"/>
      <c r="W17" s="177"/>
    </row>
    <row r="18" outlineLevel="1">
      <c r="A18" s="190"/>
      <c r="B18" s="204"/>
      <c r="C18" s="191"/>
      <c r="D18" s="205" t="str">
        <f>IFERROR(VLOOKUP($C18,'PORTIFÓLIO'!C:V,2,0),"")</f>
        <v/>
      </c>
      <c r="E18" s="190" t="str">
        <f>IFERROR(VLOOKUP($C18,'PORTIFÓLIO'!C:V,3,0),"")</f>
        <v/>
      </c>
      <c r="F18" s="190" t="str">
        <f>IFERROR(VLOOKUP($C18,'PORTIFÓLIO'!C:V,4,0),"")</f>
        <v/>
      </c>
      <c r="G18" s="206" t="str">
        <f>IFERROR(VLOOKUP($C18,'PORTIFÓLIO'!C:V,5,0),"")</f>
        <v/>
      </c>
      <c r="H18" s="247" t="str">
        <f t="array" ref="H18">IFERROR(INDEX('PORTIFÓLIO'!$H$4:$H$433,MATCH($C18,'PORTIFÓLIO'!$C$4:$C$433,0)),"")</f>
        <v/>
      </c>
      <c r="I18" s="253"/>
      <c r="J18" s="209">
        <f t="shared" si="2"/>
        <v>0</v>
      </c>
      <c r="K18" s="210" t="str">
        <f t="array" ref="K18">IFERROR(I18*INDEX('PORTIFÓLIO'!$S$4:$S$433,MATCH($C18,'PORTIFÓLIO'!$C$4:$C$433,0)),"")</f>
        <v/>
      </c>
      <c r="L18" s="210" t="str">
        <f t="array" ref="L18">IFERROR(J18*INDEX('PORTIFÓLIO'!$S$4:$S$433,MATCH($C18,'PORTIFÓLIO'!$C$4:$C$433,0)),"")</f>
        <v/>
      </c>
      <c r="M18" s="177"/>
      <c r="N18" s="177"/>
      <c r="O18" s="177"/>
      <c r="P18" s="177"/>
      <c r="Q18" s="177"/>
      <c r="R18" s="177"/>
      <c r="S18" s="177"/>
      <c r="T18" s="177"/>
      <c r="U18" s="177" t="str">
        <f>IFERROR(__xludf.DUMMYFUNCTION("FILTER('PORTIFÓLIO'!C:C, 'PORTIFÓLIO'!B:B=B18)"),"#REF!")</f>
        <v>#REF!</v>
      </c>
      <c r="V18" s="177"/>
      <c r="W18" s="177"/>
    </row>
    <row r="19" outlineLevel="1">
      <c r="A19" s="190"/>
      <c r="B19" s="204"/>
      <c r="C19" s="191"/>
      <c r="D19" s="205" t="str">
        <f>IFERROR(VLOOKUP($C19,'PORTIFÓLIO'!C:V,2,0),"")</f>
        <v/>
      </c>
      <c r="E19" s="190" t="str">
        <f>IFERROR(VLOOKUP($C19,'PORTIFÓLIO'!C:V,3,0),"")</f>
        <v/>
      </c>
      <c r="F19" s="190" t="str">
        <f>IFERROR(VLOOKUP($C19,'PORTIFÓLIO'!C:V,4,0),"")</f>
        <v/>
      </c>
      <c r="G19" s="206" t="str">
        <f>IFERROR(VLOOKUP($C19,'PORTIFÓLIO'!C:V,5,0),"")</f>
        <v/>
      </c>
      <c r="H19" s="247" t="str">
        <f t="array" ref="H19">IFERROR(INDEX('PORTIFÓLIO'!$H$4:$H$433,MATCH($C19,'PORTIFÓLIO'!$C$4:$C$433,0)),"")</f>
        <v/>
      </c>
      <c r="I19" s="253"/>
      <c r="J19" s="209">
        <f t="shared" si="2"/>
        <v>0</v>
      </c>
      <c r="K19" s="210" t="str">
        <f t="array" ref="K19">IFERROR(I19*INDEX('PORTIFÓLIO'!$S$4:$S$433,MATCH($C19,'PORTIFÓLIO'!$C$4:$C$433,0)),"")</f>
        <v/>
      </c>
      <c r="L19" s="210" t="str">
        <f t="array" ref="L19">IFERROR(J19*INDEX('PORTIFÓLIO'!$S$4:$S$433,MATCH($C19,'PORTIFÓLIO'!$C$4:$C$433,0)),"")</f>
        <v/>
      </c>
      <c r="M19" s="177"/>
      <c r="N19" s="177"/>
      <c r="O19" s="177"/>
      <c r="P19" s="177"/>
      <c r="Q19" s="177"/>
      <c r="R19" s="177"/>
      <c r="S19" s="177"/>
      <c r="T19" s="177"/>
      <c r="U19" s="177" t="str">
        <f>IFERROR(__xludf.DUMMYFUNCTION("FILTER('PORTIFÓLIO'!C:C, 'PORTIFÓLIO'!B:B=B19)"),"")</f>
        <v/>
      </c>
      <c r="V19" s="177"/>
      <c r="W19" s="177"/>
    </row>
    <row r="20" outlineLevel="1">
      <c r="A20" s="190"/>
      <c r="B20" s="204"/>
      <c r="C20" s="191"/>
      <c r="D20" s="205" t="str">
        <f>IFERROR(VLOOKUP($C20,'PORTIFÓLIO'!C:V,2,0),"")</f>
        <v/>
      </c>
      <c r="E20" s="190" t="str">
        <f>IFERROR(VLOOKUP($C20,'PORTIFÓLIO'!C:V,3,0),"")</f>
        <v/>
      </c>
      <c r="F20" s="190" t="str">
        <f>IFERROR(VLOOKUP($C20,'PORTIFÓLIO'!C:V,4,0),"")</f>
        <v/>
      </c>
      <c r="G20" s="206" t="str">
        <f>IFERROR(VLOOKUP($C20,'PORTIFÓLIO'!C:V,5,0),"")</f>
        <v/>
      </c>
      <c r="H20" s="247" t="str">
        <f t="array" ref="H20">IFERROR(INDEX('PORTIFÓLIO'!$H$4:$H$433,MATCH($C20,'PORTIFÓLIO'!$C$4:$C$433,0)),"")</f>
        <v/>
      </c>
      <c r="I20" s="253"/>
      <c r="J20" s="209">
        <f t="shared" si="2"/>
        <v>0</v>
      </c>
      <c r="K20" s="210" t="str">
        <f t="array" ref="K20">IFERROR(I20*INDEX('PORTIFÓLIO'!$S$4:$S$433,MATCH($C20,'PORTIFÓLIO'!$C$4:$C$433,0)),"")</f>
        <v/>
      </c>
      <c r="L20" s="210" t="str">
        <f t="array" ref="L20">IFERROR(J20*INDEX('PORTIFÓLIO'!$S$4:$S$433,MATCH($C20,'PORTIFÓLIO'!$C$4:$C$433,0)),"")</f>
        <v/>
      </c>
      <c r="M20" s="177"/>
      <c r="N20" s="177"/>
      <c r="O20" s="177"/>
      <c r="P20" s="177"/>
      <c r="Q20" s="177"/>
      <c r="R20" s="177"/>
      <c r="S20" s="177"/>
      <c r="T20" s="177"/>
      <c r="U20" s="177"/>
      <c r="V20" s="177"/>
      <c r="W20" s="177"/>
    </row>
    <row r="21" ht="15.75" customHeight="1" outlineLevel="1">
      <c r="A21" s="190"/>
      <c r="B21" s="204"/>
      <c r="C21" s="191"/>
      <c r="D21" s="205" t="str">
        <f>IFERROR(VLOOKUP($C21,'PORTIFÓLIO'!C:V,2,0),"")</f>
        <v/>
      </c>
      <c r="E21" s="190" t="str">
        <f>IFERROR(VLOOKUP($C21,'PORTIFÓLIO'!C:V,3,0),"")</f>
        <v/>
      </c>
      <c r="F21" s="190" t="str">
        <f>IFERROR(VLOOKUP($C21,'PORTIFÓLIO'!C:V,4,0),"")</f>
        <v/>
      </c>
      <c r="G21" s="206" t="str">
        <f>IFERROR(VLOOKUP($C21,'PORTIFÓLIO'!C:V,5,0),"")</f>
        <v/>
      </c>
      <c r="H21" s="247" t="str">
        <f t="array" ref="H21">IFERROR(INDEX('PORTIFÓLIO'!$H$4:$H$433,MATCH($C21,'PORTIFÓLIO'!$C$4:$C$433,0)),"")</f>
        <v/>
      </c>
      <c r="I21" s="253"/>
      <c r="J21" s="209">
        <f t="shared" si="2"/>
        <v>0</v>
      </c>
      <c r="K21" s="210" t="str">
        <f t="array" ref="K21">IFERROR(I21*INDEX('PORTIFÓLIO'!$S$4:$S$433,MATCH($C21,'PORTIFÓLIO'!$C$4:$C$433,0)),"")</f>
        <v/>
      </c>
      <c r="L21" s="210" t="str">
        <f t="array" ref="L21">IFERROR(J21*INDEX('PORTIFÓLIO'!$S$4:$S$433,MATCH($C21,'PORTIFÓLIO'!$C$4:$C$433,0)),"")</f>
        <v/>
      </c>
      <c r="M21" s="177"/>
      <c r="N21" s="177"/>
      <c r="O21" s="177"/>
      <c r="P21" s="177"/>
      <c r="Q21" s="177"/>
      <c r="R21" s="177"/>
      <c r="S21" s="177"/>
      <c r="T21" s="177"/>
      <c r="U21" s="177"/>
      <c r="V21" s="177"/>
      <c r="W21" s="177"/>
    </row>
    <row r="22" ht="15.75" customHeight="1" outlineLevel="1">
      <c r="A22" s="190"/>
      <c r="B22" s="204"/>
      <c r="C22" s="191"/>
      <c r="D22" s="205" t="str">
        <f>IFERROR(VLOOKUP($C22,'PORTIFÓLIO'!C:V,2,0),"")</f>
        <v/>
      </c>
      <c r="E22" s="190" t="str">
        <f>IFERROR(VLOOKUP($C22,'PORTIFÓLIO'!C:V,3,0),"")</f>
        <v/>
      </c>
      <c r="F22" s="190" t="str">
        <f>IFERROR(VLOOKUP($C22,'PORTIFÓLIO'!C:V,4,0),"")</f>
        <v/>
      </c>
      <c r="G22" s="206" t="str">
        <f>IFERROR(VLOOKUP($C22,'PORTIFÓLIO'!C:V,5,0),"")</f>
        <v/>
      </c>
      <c r="H22" s="247" t="str">
        <f t="array" ref="H22">IFERROR(INDEX('PORTIFÓLIO'!$H$4:$H$433,MATCH($C22,'PORTIFÓLIO'!$C$4:$C$433,0)),"")</f>
        <v/>
      </c>
      <c r="I22" s="253"/>
      <c r="J22" s="209">
        <f t="shared" si="2"/>
        <v>0</v>
      </c>
      <c r="K22" s="210" t="str">
        <f t="array" ref="K22">IFERROR(I22*INDEX('PORTIFÓLIO'!$S$4:$S$433,MATCH($C22,'PORTIFÓLIO'!$C$4:$C$433,0)),"")</f>
        <v/>
      </c>
      <c r="L22" s="210" t="str">
        <f t="array" ref="L22">IFERROR(J22*INDEX('PORTIFÓLIO'!$S$4:$S$433,MATCH($C22,'PORTIFÓLIO'!$C$4:$C$433,0)),"")</f>
        <v/>
      </c>
      <c r="M22" s="177"/>
      <c r="N22" s="177"/>
      <c r="O22" s="177"/>
      <c r="P22" s="177"/>
      <c r="Q22" s="177"/>
      <c r="R22" s="177"/>
      <c r="S22" s="177"/>
      <c r="T22" s="177"/>
      <c r="U22" s="177"/>
      <c r="V22" s="177"/>
      <c r="W22" s="177"/>
    </row>
    <row r="23" ht="15.75" customHeight="1" outlineLevel="1">
      <c r="A23" s="190"/>
      <c r="B23" s="204"/>
      <c r="C23" s="191"/>
      <c r="D23" s="205" t="str">
        <f>IFERROR(VLOOKUP($C23,'PORTIFÓLIO'!C:V,2,0),"")</f>
        <v/>
      </c>
      <c r="E23" s="190" t="str">
        <f>IFERROR(VLOOKUP($C23,'PORTIFÓLIO'!C:V,3,0),"")</f>
        <v/>
      </c>
      <c r="F23" s="190" t="str">
        <f>IFERROR(VLOOKUP($C23,'PORTIFÓLIO'!C:V,4,0),"")</f>
        <v/>
      </c>
      <c r="G23" s="206" t="str">
        <f>IFERROR(VLOOKUP($C23,'PORTIFÓLIO'!C:V,5,0),"")</f>
        <v/>
      </c>
      <c r="H23" s="247" t="str">
        <f t="array" ref="H23">IFERROR(INDEX('PORTIFÓLIO'!$H$4:$H$433,MATCH($C23,'PORTIFÓLIO'!$C$4:$C$433,0)),"")</f>
        <v/>
      </c>
      <c r="I23" s="253"/>
      <c r="J23" s="209">
        <f t="shared" si="2"/>
        <v>0</v>
      </c>
      <c r="K23" s="210" t="str">
        <f t="array" ref="K23">IFERROR(I23*INDEX('PORTIFÓLIO'!$S$4:$S$433,MATCH($C23,'PORTIFÓLIO'!$C$4:$C$433,0)),"")</f>
        <v/>
      </c>
      <c r="L23" s="210" t="str">
        <f t="array" ref="L23">IFERROR(J23*INDEX('PORTIFÓLIO'!$S$4:$S$433,MATCH($C23,'PORTIFÓLIO'!$C$4:$C$433,0)),"")</f>
        <v/>
      </c>
      <c r="M23" s="177"/>
      <c r="N23" s="177"/>
      <c r="O23" s="177"/>
      <c r="P23" s="177"/>
      <c r="Q23" s="177"/>
      <c r="R23" s="177"/>
      <c r="S23" s="177"/>
      <c r="T23" s="177"/>
      <c r="U23" s="177"/>
      <c r="V23" s="177"/>
      <c r="W23" s="177"/>
    </row>
    <row r="24" ht="15.75" customHeight="1" outlineLevel="1">
      <c r="A24" s="190"/>
      <c r="B24" s="204"/>
      <c r="C24" s="191"/>
      <c r="D24" s="205" t="str">
        <f>IFERROR(VLOOKUP($C24,'PORTIFÓLIO'!C:V,2,0),"")</f>
        <v/>
      </c>
      <c r="E24" s="190" t="str">
        <f>IFERROR(VLOOKUP($C24,'PORTIFÓLIO'!C:V,3,0),"")</f>
        <v/>
      </c>
      <c r="F24" s="190" t="str">
        <f>IFERROR(VLOOKUP($C24,'PORTIFÓLIO'!C:V,4,0),"")</f>
        <v/>
      </c>
      <c r="G24" s="206" t="str">
        <f>IFERROR(VLOOKUP($C24,'PORTIFÓLIO'!C:V,5,0),"")</f>
        <v/>
      </c>
      <c r="H24" s="247" t="str">
        <f t="array" ref="H24">IFERROR(INDEX('PORTIFÓLIO'!$H$4:$H$433,MATCH($C24,'PORTIFÓLIO'!$C$4:$C$433,0)),"")</f>
        <v/>
      </c>
      <c r="I24" s="253"/>
      <c r="J24" s="209">
        <f t="shared" si="2"/>
        <v>0</v>
      </c>
      <c r="K24" s="210" t="str">
        <f t="array" ref="K24">IFERROR(I24*INDEX('PORTIFÓLIO'!$S$4:$S$433,MATCH($C24,'PORTIFÓLIO'!$C$4:$C$433,0)),"")</f>
        <v/>
      </c>
      <c r="L24" s="210" t="str">
        <f t="array" ref="L24">IFERROR(J24*INDEX('PORTIFÓLIO'!$S$4:$S$433,MATCH($C24,'PORTIFÓLIO'!$C$4:$C$433,0)),"")</f>
        <v/>
      </c>
      <c r="M24" s="177"/>
      <c r="N24" s="177"/>
      <c r="O24" s="177"/>
      <c r="P24" s="177"/>
      <c r="Q24" s="177"/>
      <c r="R24" s="177"/>
      <c r="S24" s="177"/>
      <c r="T24" s="177"/>
      <c r="U24" s="177"/>
      <c r="V24" s="177"/>
      <c r="W24" s="177"/>
    </row>
    <row r="25" ht="15.75" customHeight="1">
      <c r="A25" s="221" t="s">
        <v>1184</v>
      </c>
      <c r="B25" s="197"/>
      <c r="C25" s="196"/>
      <c r="D25" s="198"/>
      <c r="E25" s="196"/>
      <c r="F25" s="196"/>
      <c r="G25" s="199"/>
      <c r="H25" s="199"/>
      <c r="I25" s="252"/>
      <c r="J25" s="202"/>
      <c r="K25" s="203">
        <f t="shared" ref="K25:L25" si="3">SUBTOTAL(9,K26:K39)</f>
        <v>86.945786</v>
      </c>
      <c r="L25" s="203">
        <f t="shared" si="3"/>
        <v>9564.03646</v>
      </c>
      <c r="M25" s="177"/>
      <c r="N25" s="177"/>
      <c r="O25" s="177"/>
      <c r="P25" s="177"/>
      <c r="Q25" s="177"/>
      <c r="R25" s="177"/>
      <c r="S25" s="177"/>
      <c r="T25" s="177"/>
      <c r="U25" s="177"/>
      <c r="V25" s="177"/>
      <c r="W25" s="177"/>
    </row>
    <row r="26" ht="15.75" customHeight="1" outlineLevel="1">
      <c r="A26" s="191"/>
      <c r="B26" s="204" t="s">
        <v>1</v>
      </c>
      <c r="C26" s="191" t="s">
        <v>637</v>
      </c>
      <c r="D26" s="205" t="str">
        <f>IFERROR(VLOOKUP($C26,'PORTIFÓLIO'!C:V,2,0),"")</f>
        <v>GLIFOSATO-SAL DE AMÔNIO</v>
      </c>
      <c r="E26" s="190">
        <f>IFERROR(VLOOKUP($C26,'PORTIFÓLIO'!C:V,3,0),"")</f>
        <v>720</v>
      </c>
      <c r="F26" s="190" t="str">
        <f>IFERROR(VLOOKUP($C26,'PORTIFÓLIO'!C:V,4,0),"")</f>
        <v>L</v>
      </c>
      <c r="G26" s="223" t="str">
        <f>IFERROR(VLOOKUP($C26,'PORTIFÓLIO'!C:V,5,0),"")</f>
        <v>📄 Ver bula</v>
      </c>
      <c r="H26" s="247">
        <f t="array" ref="H26">IFERROR(INDEX('PORTIFÓLIO'!$H$4:$H$433,MATCH($C26,'PORTIFÓLIO'!$C$4:$C$433,0)),"")</f>
        <v>2</v>
      </c>
      <c r="I26" s="253">
        <v>2.0</v>
      </c>
      <c r="J26" s="209">
        <f t="shared" ref="J26:J43" si="4">I26*$B$2</f>
        <v>220</v>
      </c>
      <c r="K26" s="210">
        <f t="array" ref="K26">IFERROR(I26*INDEX('PORTIFÓLIO'!$S$4:$S$433,MATCH($C26,'PORTIFÓLIO'!$C$4:$C$433,0)),"")</f>
        <v>49.16</v>
      </c>
      <c r="L26" s="210">
        <f t="array" ref="L26">IFERROR(J26*INDEX('PORTIFÓLIO'!$S$4:$S$433,MATCH($C26,'PORTIFÓLIO'!$C$4:$C$433,0)),"")</f>
        <v>5407.6</v>
      </c>
      <c r="M26" s="177"/>
      <c r="N26" s="177"/>
      <c r="O26" s="177"/>
      <c r="P26" s="177"/>
      <c r="Q26" s="177"/>
      <c r="R26" s="177"/>
      <c r="S26" s="177"/>
      <c r="T26" s="177"/>
      <c r="U26" s="177"/>
      <c r="V26" s="177"/>
      <c r="W26" s="177"/>
    </row>
    <row r="27" ht="15.75" customHeight="1" outlineLevel="1">
      <c r="A27" s="190"/>
      <c r="B27" s="204" t="s">
        <v>1</v>
      </c>
      <c r="C27" s="191" t="s">
        <v>706</v>
      </c>
      <c r="D27" s="205" t="str">
        <f>IFERROR(VLOOKUP($C27,'PORTIFÓLIO'!C:V,2,0),"")</f>
        <v>GLUFOSINATO - SAL DE AMONIO</v>
      </c>
      <c r="E27" s="190">
        <f>IFERROR(VLOOKUP($C27,'PORTIFÓLIO'!C:V,3,0),"")</f>
        <v>880</v>
      </c>
      <c r="F27" s="190" t="str">
        <f>IFERROR(VLOOKUP($C27,'PORTIFÓLIO'!C:V,4,0),"")</f>
        <v>L</v>
      </c>
      <c r="G27" s="223" t="str">
        <f>IFERROR(VLOOKUP($C27,'PORTIFÓLIO'!C:V,5,0),"")</f>
        <v>📄 Ver bula</v>
      </c>
      <c r="H27" s="247">
        <f t="array" ref="H27">IFERROR(INDEX('PORTIFÓLIO'!$H$4:$H$433,MATCH($C27,'PORTIFÓLIO'!$C$4:$C$433,0)),"")</f>
        <v>0.5</v>
      </c>
      <c r="I27" s="253">
        <v>0.5</v>
      </c>
      <c r="J27" s="209">
        <f t="shared" si="4"/>
        <v>55</v>
      </c>
      <c r="K27" s="210">
        <f t="array" ref="K27">IFERROR(I27*INDEX('PORTIFÓLIO'!$S$4:$S$433,MATCH($C27,'PORTIFÓLIO'!$C$4:$C$433,0)),"")</f>
        <v>23.49848</v>
      </c>
      <c r="L27" s="210">
        <f t="array" ref="L27">IFERROR(J27*INDEX('PORTIFÓLIO'!$S$4:$S$433,MATCH($C27,'PORTIFÓLIO'!$C$4:$C$433,0)),"")</f>
        <v>2584.8328</v>
      </c>
      <c r="M27" s="177"/>
      <c r="N27" s="177"/>
      <c r="O27" s="177"/>
      <c r="P27" s="177"/>
      <c r="Q27" s="177"/>
      <c r="R27" s="177"/>
      <c r="S27" s="177"/>
      <c r="T27" s="177"/>
      <c r="U27" s="177"/>
      <c r="V27" s="177"/>
      <c r="W27" s="177"/>
    </row>
    <row r="28" ht="15.75" customHeight="1" outlineLevel="1">
      <c r="A28" s="190"/>
      <c r="B28" s="204" t="s">
        <v>6</v>
      </c>
      <c r="C28" s="191" t="s">
        <v>351</v>
      </c>
      <c r="D28" s="205" t="str">
        <f>IFERROR(VLOOKUP($C28,'PORTIFÓLIO'!C:V,2,0),"")</f>
        <v>ÉSTER METILICO DE OLEO DE SOJA</v>
      </c>
      <c r="E28" s="190">
        <f>IFERROR(VLOOKUP($C28,'PORTIFÓLIO'!C:V,3,0),"")</f>
        <v>720</v>
      </c>
      <c r="F28" s="190" t="str">
        <f>IFERROR(VLOOKUP($C28,'PORTIFÓLIO'!C:V,4,0),"")</f>
        <v>L</v>
      </c>
      <c r="G28" s="223" t="str">
        <f>IFERROR(VLOOKUP($C28,'PORTIFÓLIO'!C:V,5,0),"")</f>
        <v>📄 Ver bula</v>
      </c>
      <c r="H28" s="247">
        <f t="array" ref="H28">IFERROR(INDEX('PORTIFÓLIO'!$H$4:$H$433,MATCH($C28,'PORTIFÓLIO'!$C$4:$C$433,0)),"")</f>
        <v>0.08</v>
      </c>
      <c r="I28" s="253">
        <v>0.2</v>
      </c>
      <c r="J28" s="209">
        <f t="shared" si="4"/>
        <v>22</v>
      </c>
      <c r="K28" s="210">
        <f t="array" ref="K28">IFERROR(I28*INDEX('PORTIFÓLIO'!$S$4:$S$433,MATCH($C28,'PORTIFÓLIO'!$C$4:$C$433,0)),"")</f>
        <v>2.968756</v>
      </c>
      <c r="L28" s="210">
        <f t="array" ref="L28">IFERROR(J28*INDEX('PORTIFÓLIO'!$S$4:$S$433,MATCH($C28,'PORTIFÓLIO'!$C$4:$C$433,0)),"")</f>
        <v>326.56316</v>
      </c>
      <c r="M28" s="177"/>
      <c r="N28" s="177"/>
      <c r="O28" s="177"/>
      <c r="P28" s="177"/>
      <c r="Q28" s="177"/>
      <c r="R28" s="177"/>
      <c r="S28" s="177"/>
      <c r="T28" s="177"/>
      <c r="U28" s="177"/>
      <c r="V28" s="177"/>
      <c r="W28" s="177"/>
    </row>
    <row r="29" ht="15.75" customHeight="1" outlineLevel="1">
      <c r="A29" s="190"/>
      <c r="B29" s="204" t="s">
        <v>2</v>
      </c>
      <c r="C29" s="191" t="s">
        <v>824</v>
      </c>
      <c r="D29" s="205" t="str">
        <f>IFERROR(VLOOKUP($C29,'PORTIFÓLIO'!C:V,2,0),"")</f>
        <v>CLORANTRANILIPROLE</v>
      </c>
      <c r="E29" s="190">
        <f>IFERROR(VLOOKUP($C29,'PORTIFÓLIO'!C:V,3,0),"")</f>
        <v>200</v>
      </c>
      <c r="F29" s="190" t="str">
        <f>IFERROR(VLOOKUP($C29,'PORTIFÓLIO'!C:V,4,0),"")</f>
        <v>L</v>
      </c>
      <c r="G29" s="223" t="str">
        <f>IFERROR(VLOOKUP($C29,'PORTIFÓLIO'!C:V,5,0),"")</f>
        <v>📄 Ver bula</v>
      </c>
      <c r="H29" s="247">
        <f t="array" ref="H29">IFERROR(INDEX('PORTIFÓLIO'!$H$4:$H$433,MATCH($C29,'PORTIFÓLIO'!$C$4:$C$433,0)),"")</f>
        <v>0.1</v>
      </c>
      <c r="I29" s="253">
        <v>0.04</v>
      </c>
      <c r="J29" s="209">
        <f t="shared" si="4"/>
        <v>4.4</v>
      </c>
      <c r="K29" s="210">
        <f t="array" ref="K29">IFERROR(I29*INDEX('PORTIFÓLIO'!$S$4:$S$433,MATCH($C29,'PORTIFÓLIO'!$C$4:$C$433,0)),"")</f>
        <v>11.31855</v>
      </c>
      <c r="L29" s="210">
        <f t="array" ref="L29">IFERROR(J29*INDEX('PORTIFÓLIO'!$S$4:$S$433,MATCH($C29,'PORTIFÓLIO'!$C$4:$C$433,0)),"")</f>
        <v>1245.0405</v>
      </c>
      <c r="M29" s="177"/>
      <c r="N29" s="177"/>
      <c r="O29" s="177"/>
      <c r="P29" s="177"/>
      <c r="Q29" s="177"/>
      <c r="R29" s="177"/>
      <c r="S29" s="177"/>
      <c r="T29" s="177"/>
      <c r="U29" s="177"/>
      <c r="V29" s="177"/>
      <c r="W29" s="177"/>
    </row>
    <row r="30" ht="15.75" customHeight="1" outlineLevel="1">
      <c r="A30" s="190"/>
      <c r="B30" s="204"/>
      <c r="C30" s="191"/>
      <c r="D30" s="205" t="str">
        <f>IFERROR(VLOOKUP($C30,'PORTIFÓLIO'!C:V,2,0),"")</f>
        <v/>
      </c>
      <c r="E30" s="190" t="str">
        <f>IFERROR(VLOOKUP($C30,'PORTIFÓLIO'!C:V,3,0),"")</f>
        <v/>
      </c>
      <c r="F30" s="190" t="str">
        <f>IFERROR(VLOOKUP($C30,'PORTIFÓLIO'!C:V,4,0),"")</f>
        <v/>
      </c>
      <c r="G30" s="206" t="str">
        <f>IFERROR(VLOOKUP($C30,'PORTIFÓLIO'!C:V,5,0),"")</f>
        <v/>
      </c>
      <c r="H30" s="247" t="str">
        <f t="array" ref="H30">IFERROR(INDEX('PORTIFÓLIO'!$H$4:$H$433,MATCH($C30,'PORTIFÓLIO'!$C$4:$C$433,0)),"")</f>
        <v/>
      </c>
      <c r="I30" s="253"/>
      <c r="J30" s="209">
        <f t="shared" si="4"/>
        <v>0</v>
      </c>
      <c r="K30" s="210" t="str">
        <f t="array" ref="K30">IFERROR(I30*INDEX('PORTIFÓLIO'!$S$4:$S$433,MATCH($C30,'PORTIFÓLIO'!$C$4:$C$433,0)),"")</f>
        <v/>
      </c>
      <c r="L30" s="210" t="str">
        <f t="array" ref="L30">IFERROR(J30*INDEX('PORTIFÓLIO'!$S$4:$S$433,MATCH($C30,'PORTIFÓLIO'!$C$4:$C$433,0)),"")</f>
        <v/>
      </c>
      <c r="M30" s="177"/>
      <c r="N30" s="177"/>
      <c r="O30" s="177"/>
      <c r="P30" s="177"/>
      <c r="Q30" s="177"/>
      <c r="R30" s="177"/>
      <c r="S30" s="177"/>
      <c r="T30" s="177"/>
      <c r="U30" s="177"/>
      <c r="V30" s="177"/>
      <c r="W30" s="177"/>
    </row>
    <row r="31" ht="15.75" customHeight="1" outlineLevel="1">
      <c r="A31" s="190"/>
      <c r="B31" s="204"/>
      <c r="C31" s="191"/>
      <c r="D31" s="205" t="str">
        <f>IFERROR(VLOOKUP($C31,'PORTIFÓLIO'!C:V,2,0),"")</f>
        <v/>
      </c>
      <c r="E31" s="190" t="str">
        <f>IFERROR(VLOOKUP($C31,'PORTIFÓLIO'!C:V,3,0),"")</f>
        <v/>
      </c>
      <c r="F31" s="190" t="str">
        <f>IFERROR(VLOOKUP($C31,'PORTIFÓLIO'!C:V,4,0),"")</f>
        <v/>
      </c>
      <c r="G31" s="206" t="str">
        <f>IFERROR(VLOOKUP($C31,'PORTIFÓLIO'!C:V,5,0),"")</f>
        <v/>
      </c>
      <c r="H31" s="247" t="str">
        <f t="array" ref="H31">IFERROR(INDEX('PORTIFÓLIO'!$H$4:$H$433,MATCH($C31,'PORTIFÓLIO'!$C$4:$C$433,0)),"")</f>
        <v/>
      </c>
      <c r="I31" s="253"/>
      <c r="J31" s="209">
        <f t="shared" si="4"/>
        <v>0</v>
      </c>
      <c r="K31" s="210" t="str">
        <f t="array" ref="K31">IFERROR(I31*INDEX('PORTIFÓLIO'!$S$4:$S$433,MATCH($C31,'PORTIFÓLIO'!$C$4:$C$433,0)),"")</f>
        <v/>
      </c>
      <c r="L31" s="210" t="str">
        <f t="array" ref="L31">IFERROR(J31*INDEX('PORTIFÓLIO'!$S$4:$S$433,MATCH($C31,'PORTIFÓLIO'!$C$4:$C$433,0)),"")</f>
        <v/>
      </c>
      <c r="M31" s="177"/>
      <c r="N31" s="177"/>
      <c r="O31" s="177"/>
      <c r="P31" s="177"/>
      <c r="Q31" s="177"/>
      <c r="R31" s="177"/>
      <c r="S31" s="177"/>
      <c r="T31" s="177"/>
      <c r="U31" s="177"/>
      <c r="V31" s="177"/>
      <c r="W31" s="177"/>
    </row>
    <row r="32" ht="15.75" customHeight="1" outlineLevel="1">
      <c r="A32" s="190"/>
      <c r="B32" s="204"/>
      <c r="C32" s="191"/>
      <c r="D32" s="205" t="str">
        <f>IFERROR(VLOOKUP($C32,'PORTIFÓLIO'!C:V,2,0),"")</f>
        <v/>
      </c>
      <c r="E32" s="190" t="str">
        <f>IFERROR(VLOOKUP($C32,'PORTIFÓLIO'!C:V,3,0),"")</f>
        <v/>
      </c>
      <c r="F32" s="190" t="str">
        <f>IFERROR(VLOOKUP($C32,'PORTIFÓLIO'!C:V,4,0),"")</f>
        <v/>
      </c>
      <c r="G32" s="206" t="str">
        <f>IFERROR(VLOOKUP($C32,'PORTIFÓLIO'!C:V,5,0),"")</f>
        <v/>
      </c>
      <c r="H32" s="247" t="str">
        <f t="array" ref="H32">IFERROR(INDEX('PORTIFÓLIO'!$H$4:$H$433,MATCH($C32,'PORTIFÓLIO'!$C$4:$C$433,0)),"")</f>
        <v/>
      </c>
      <c r="I32" s="257"/>
      <c r="J32" s="209">
        <f t="shared" si="4"/>
        <v>0</v>
      </c>
      <c r="K32" s="210" t="str">
        <f t="array" ref="K32">IFERROR(I32*INDEX('PORTIFÓLIO'!$S$4:$S$433,MATCH($C32,'PORTIFÓLIO'!$C$4:$C$433,0)),"")</f>
        <v/>
      </c>
      <c r="L32" s="210" t="str">
        <f t="array" ref="L32">IFERROR(J32*INDEX('PORTIFÓLIO'!$S$4:$S$433,MATCH($C32,'PORTIFÓLIO'!$C$4:$C$433,0)),"")</f>
        <v/>
      </c>
      <c r="M32" s="177"/>
      <c r="N32" s="177"/>
      <c r="O32" s="177"/>
      <c r="P32" s="177"/>
      <c r="Q32" s="177"/>
      <c r="R32" s="177"/>
      <c r="S32" s="177"/>
      <c r="T32" s="177"/>
      <c r="U32" s="177"/>
      <c r="V32" s="177"/>
      <c r="W32" s="177"/>
    </row>
    <row r="33" ht="15.75" customHeight="1" outlineLevel="1">
      <c r="A33" s="190"/>
      <c r="B33" s="204"/>
      <c r="C33" s="191"/>
      <c r="D33" s="205" t="str">
        <f>IFERROR(VLOOKUP($C33,'PORTIFÓLIO'!C:V,2,0),"")</f>
        <v/>
      </c>
      <c r="E33" s="190" t="str">
        <f>IFERROR(VLOOKUP($C33,'PORTIFÓLIO'!C:V,3,0),"")</f>
        <v/>
      </c>
      <c r="F33" s="190" t="str">
        <f>IFERROR(VLOOKUP($C33,'PORTIFÓLIO'!C:V,4,0),"")</f>
        <v/>
      </c>
      <c r="G33" s="206" t="str">
        <f>IFERROR(VLOOKUP($C33,'PORTIFÓLIO'!C:V,5,0),"")</f>
        <v/>
      </c>
      <c r="H33" s="247" t="str">
        <f t="array" ref="H33">IFERROR(INDEX('PORTIFÓLIO'!$H$4:$H$433,MATCH($C33,'PORTIFÓLIO'!$C$4:$C$433,0)),"")</f>
        <v/>
      </c>
      <c r="I33" s="257"/>
      <c r="J33" s="209">
        <f t="shared" si="4"/>
        <v>0</v>
      </c>
      <c r="K33" s="210" t="str">
        <f t="array" ref="K33">IFERROR(I33*INDEX('PORTIFÓLIO'!$S$4:$S$433,MATCH($C33,'PORTIFÓLIO'!$C$4:$C$433,0)),"")</f>
        <v/>
      </c>
      <c r="L33" s="210" t="str">
        <f t="array" ref="L33">IFERROR(J33*INDEX('PORTIFÓLIO'!$S$4:$S$433,MATCH($C33,'PORTIFÓLIO'!$C$4:$C$433,0)),"")</f>
        <v/>
      </c>
      <c r="M33" s="177"/>
      <c r="N33" s="177"/>
      <c r="O33" s="177"/>
      <c r="P33" s="177"/>
      <c r="Q33" s="177"/>
      <c r="R33" s="177"/>
      <c r="S33" s="177"/>
      <c r="T33" s="177"/>
      <c r="U33" s="177"/>
      <c r="V33" s="177"/>
      <c r="W33" s="177"/>
    </row>
    <row r="34" ht="15.75" customHeight="1" outlineLevel="1">
      <c r="A34" s="190"/>
      <c r="B34" s="204"/>
      <c r="C34" s="191"/>
      <c r="D34" s="205" t="str">
        <f>IFERROR(VLOOKUP($C34,'PORTIFÓLIO'!C:V,2,0),"")</f>
        <v/>
      </c>
      <c r="E34" s="190" t="str">
        <f>IFERROR(VLOOKUP($C34,'PORTIFÓLIO'!C:V,3,0),"")</f>
        <v/>
      </c>
      <c r="F34" s="190" t="str">
        <f>IFERROR(VLOOKUP($C34,'PORTIFÓLIO'!C:V,4,0),"")</f>
        <v/>
      </c>
      <c r="G34" s="206" t="str">
        <f>IFERROR(VLOOKUP($C34,'PORTIFÓLIO'!C:V,5,0),"")</f>
        <v/>
      </c>
      <c r="H34" s="247" t="str">
        <f t="array" ref="H34">IFERROR(INDEX('PORTIFÓLIO'!$H$4:$H$433,MATCH($C34,'PORTIFÓLIO'!$C$4:$C$433,0)),"")</f>
        <v/>
      </c>
      <c r="I34" s="253"/>
      <c r="J34" s="209">
        <f t="shared" si="4"/>
        <v>0</v>
      </c>
      <c r="K34" s="210" t="str">
        <f t="array" ref="K34">IFERROR(I34*INDEX('PORTIFÓLIO'!$S$4:$S$433,MATCH($C34,'PORTIFÓLIO'!$C$4:$C$433,0)),"")</f>
        <v/>
      </c>
      <c r="L34" s="210" t="str">
        <f t="array" ref="L34">IFERROR(J34*INDEX('PORTIFÓLIO'!$S$4:$S$433,MATCH($C34,'PORTIFÓLIO'!$C$4:$C$433,0)),"")</f>
        <v/>
      </c>
      <c r="M34" s="177"/>
      <c r="N34" s="177"/>
      <c r="O34" s="177"/>
      <c r="P34" s="177"/>
      <c r="Q34" s="177"/>
      <c r="R34" s="177"/>
      <c r="S34" s="177"/>
      <c r="T34" s="177"/>
      <c r="U34" s="177"/>
      <c r="V34" s="177"/>
      <c r="W34" s="177"/>
    </row>
    <row r="35" ht="15.75" customHeight="1" outlineLevel="1">
      <c r="A35" s="190"/>
      <c r="B35" s="204"/>
      <c r="C35" s="191"/>
      <c r="D35" s="205" t="str">
        <f>IFERROR(VLOOKUP($C35,'PORTIFÓLIO'!C:V,2,0),"")</f>
        <v/>
      </c>
      <c r="E35" s="190" t="str">
        <f>IFERROR(VLOOKUP($C35,'PORTIFÓLIO'!C:V,3,0),"")</f>
        <v/>
      </c>
      <c r="F35" s="190" t="str">
        <f>IFERROR(VLOOKUP($C35,'PORTIFÓLIO'!C:V,4,0),"")</f>
        <v/>
      </c>
      <c r="G35" s="206" t="str">
        <f>IFERROR(VLOOKUP($C35,'PORTIFÓLIO'!C:V,5,0),"")</f>
        <v/>
      </c>
      <c r="H35" s="247" t="str">
        <f t="array" ref="H35">IFERROR(INDEX('PORTIFÓLIO'!$H$4:$H$433,MATCH($C35,'PORTIFÓLIO'!$C$4:$C$433,0)),"")</f>
        <v/>
      </c>
      <c r="I35" s="257"/>
      <c r="J35" s="209">
        <f t="shared" si="4"/>
        <v>0</v>
      </c>
      <c r="K35" s="210" t="str">
        <f t="array" ref="K35">IFERROR(I35*INDEX('PORTIFÓLIO'!$S$4:$S$433,MATCH($C35,'PORTIFÓLIO'!$C$4:$C$433,0)),"")</f>
        <v/>
      </c>
      <c r="L35" s="210" t="str">
        <f t="array" ref="L35">IFERROR(J35*INDEX('PORTIFÓLIO'!$S$4:$S$433,MATCH($C35,'PORTIFÓLIO'!$C$4:$C$433,0)),"")</f>
        <v/>
      </c>
      <c r="M35" s="177"/>
      <c r="N35" s="177"/>
      <c r="O35" s="177"/>
      <c r="P35" s="177"/>
      <c r="Q35" s="177"/>
      <c r="R35" s="177"/>
      <c r="S35" s="177"/>
      <c r="T35" s="177"/>
      <c r="U35" s="177"/>
      <c r="V35" s="177"/>
      <c r="W35" s="177"/>
    </row>
    <row r="36" ht="15.75" customHeight="1" outlineLevel="1">
      <c r="A36" s="190"/>
      <c r="B36" s="204"/>
      <c r="C36" s="191"/>
      <c r="D36" s="205" t="str">
        <f>IFERROR(VLOOKUP($C36,'PORTIFÓLIO'!C:V,2,0),"")</f>
        <v/>
      </c>
      <c r="E36" s="190" t="str">
        <f>IFERROR(VLOOKUP($C36,'PORTIFÓLIO'!C:V,3,0),"")</f>
        <v/>
      </c>
      <c r="F36" s="190" t="str">
        <f>IFERROR(VLOOKUP($C36,'PORTIFÓLIO'!C:V,4,0),"")</f>
        <v/>
      </c>
      <c r="G36" s="206" t="str">
        <f>IFERROR(VLOOKUP($C36,'PORTIFÓLIO'!C:V,5,0),"")</f>
        <v/>
      </c>
      <c r="H36" s="247" t="str">
        <f t="array" ref="H36">IFERROR(INDEX('PORTIFÓLIO'!$H$4:$H$433,MATCH($C36,'PORTIFÓLIO'!$C$4:$C$433,0)),"")</f>
        <v/>
      </c>
      <c r="I36" s="257"/>
      <c r="J36" s="209">
        <f t="shared" si="4"/>
        <v>0</v>
      </c>
      <c r="K36" s="210" t="str">
        <f t="array" ref="K36">IFERROR(I36*INDEX('PORTIFÓLIO'!$S$4:$S$433,MATCH($C36,'PORTIFÓLIO'!$C$4:$C$433,0)),"")</f>
        <v/>
      </c>
      <c r="L36" s="210" t="str">
        <f t="array" ref="L36">IFERROR(J36*INDEX('PORTIFÓLIO'!$S$4:$S$433,MATCH($C36,'PORTIFÓLIO'!$C$4:$C$433,0)),"")</f>
        <v/>
      </c>
      <c r="M36" s="177"/>
      <c r="N36" s="177"/>
      <c r="O36" s="177"/>
      <c r="P36" s="177"/>
      <c r="Q36" s="177"/>
      <c r="R36" s="177"/>
      <c r="S36" s="177"/>
      <c r="T36" s="177"/>
      <c r="U36" s="177"/>
      <c r="V36" s="177"/>
      <c r="W36" s="177"/>
    </row>
    <row r="37" ht="15.75" customHeight="1" outlineLevel="1">
      <c r="A37" s="190"/>
      <c r="B37" s="204"/>
      <c r="C37" s="191"/>
      <c r="D37" s="205" t="str">
        <f>IFERROR(VLOOKUP($C37,'PORTIFÓLIO'!C:V,2,0),"")</f>
        <v/>
      </c>
      <c r="E37" s="190" t="str">
        <f>IFERROR(VLOOKUP($C37,'PORTIFÓLIO'!C:V,3,0),"")</f>
        <v/>
      </c>
      <c r="F37" s="190" t="str">
        <f>IFERROR(VLOOKUP($C37,'PORTIFÓLIO'!C:V,4,0),"")</f>
        <v/>
      </c>
      <c r="G37" s="206" t="str">
        <f>IFERROR(VLOOKUP($C37,'PORTIFÓLIO'!C:V,5,0),"")</f>
        <v/>
      </c>
      <c r="H37" s="247" t="str">
        <f t="array" ref="H37">IFERROR(INDEX('PORTIFÓLIO'!$H$4:$H$433,MATCH($C37,'PORTIFÓLIO'!$C$4:$C$433,0)),"")</f>
        <v/>
      </c>
      <c r="I37" s="257"/>
      <c r="J37" s="209">
        <f t="shared" si="4"/>
        <v>0</v>
      </c>
      <c r="K37" s="210" t="str">
        <f t="array" ref="K37">IFERROR(I37*INDEX('PORTIFÓLIO'!$S$4:$S$433,MATCH($C37,'PORTIFÓLIO'!$C$4:$C$433,0)),"")</f>
        <v/>
      </c>
      <c r="L37" s="210" t="str">
        <f t="array" ref="L37">IFERROR(J37*INDEX('PORTIFÓLIO'!$S$4:$S$433,MATCH($C37,'PORTIFÓLIO'!$C$4:$C$433,0)),"")</f>
        <v/>
      </c>
      <c r="M37" s="177"/>
      <c r="N37" s="177"/>
      <c r="O37" s="177"/>
      <c r="P37" s="177"/>
      <c r="Q37" s="177"/>
      <c r="R37" s="177"/>
      <c r="S37" s="177"/>
      <c r="T37" s="177"/>
      <c r="U37" s="177"/>
      <c r="V37" s="177"/>
      <c r="W37" s="177"/>
    </row>
    <row r="38" ht="15.75" customHeight="1" outlineLevel="1">
      <c r="A38" s="190"/>
      <c r="B38" s="204"/>
      <c r="C38" s="191"/>
      <c r="D38" s="205" t="str">
        <f>IFERROR(VLOOKUP($C38,'PORTIFÓLIO'!C:V,2,0),"")</f>
        <v/>
      </c>
      <c r="E38" s="190" t="str">
        <f>IFERROR(VLOOKUP($C38,'PORTIFÓLIO'!C:V,3,0),"")</f>
        <v/>
      </c>
      <c r="F38" s="190" t="str">
        <f>IFERROR(VLOOKUP($C38,'PORTIFÓLIO'!C:V,4,0),"")</f>
        <v/>
      </c>
      <c r="G38" s="206" t="str">
        <f>IFERROR(VLOOKUP($C38,'PORTIFÓLIO'!C:V,5,0),"")</f>
        <v/>
      </c>
      <c r="H38" s="247" t="str">
        <f t="array" ref="H38">IFERROR(INDEX('PORTIFÓLIO'!$H$4:$H$433,MATCH($C38,'PORTIFÓLIO'!$C$4:$C$433,0)),"")</f>
        <v/>
      </c>
      <c r="I38" s="257"/>
      <c r="J38" s="209">
        <f t="shared" si="4"/>
        <v>0</v>
      </c>
      <c r="K38" s="210" t="str">
        <f t="array" ref="K38">IFERROR(I38*INDEX('PORTIFÓLIO'!$S$4:$S$433,MATCH($C38,'PORTIFÓLIO'!$C$4:$C$433,0)),"")</f>
        <v/>
      </c>
      <c r="L38" s="210" t="str">
        <f t="array" ref="L38">IFERROR(J38*INDEX('PORTIFÓLIO'!$S$4:$S$433,MATCH($C38,'PORTIFÓLIO'!$C$4:$C$433,0)),"")</f>
        <v/>
      </c>
      <c r="M38" s="177"/>
      <c r="N38" s="177"/>
      <c r="O38" s="177"/>
      <c r="P38" s="177"/>
      <c r="Q38" s="177"/>
      <c r="R38" s="177"/>
      <c r="S38" s="177"/>
      <c r="T38" s="177"/>
      <c r="U38" s="177"/>
      <c r="V38" s="177"/>
      <c r="W38" s="177"/>
    </row>
    <row r="39" ht="15.75" customHeight="1" outlineLevel="1">
      <c r="A39" s="190"/>
      <c r="B39" s="204"/>
      <c r="C39" s="191"/>
      <c r="D39" s="205" t="str">
        <f>IFERROR(VLOOKUP($C39,'PORTIFÓLIO'!C:V,2,0),"")</f>
        <v/>
      </c>
      <c r="E39" s="190" t="str">
        <f>IFERROR(VLOOKUP($C39,'PORTIFÓLIO'!C:V,3,0),"")</f>
        <v/>
      </c>
      <c r="F39" s="190" t="str">
        <f>IFERROR(VLOOKUP($C39,'PORTIFÓLIO'!C:V,4,0),"")</f>
        <v/>
      </c>
      <c r="G39" s="206" t="str">
        <f>IFERROR(VLOOKUP($C39,'PORTIFÓLIO'!C:V,5,0),"")</f>
        <v/>
      </c>
      <c r="H39" s="247" t="str">
        <f t="array" ref="H39">IFERROR(INDEX('PORTIFÓLIO'!$H$4:$H$433,MATCH($C39,'PORTIFÓLIO'!$C$4:$C$433,0)),"")</f>
        <v/>
      </c>
      <c r="I39" s="257"/>
      <c r="J39" s="209">
        <f t="shared" si="4"/>
        <v>0</v>
      </c>
      <c r="K39" s="210" t="str">
        <f t="array" ref="K39">IFERROR(I39*INDEX('PORTIFÓLIO'!$S$4:$S$433,MATCH($C39,'PORTIFÓLIO'!$C$4:$C$433,0)),"")</f>
        <v/>
      </c>
      <c r="L39" s="210" t="str">
        <f t="array" ref="L39">IFERROR(J39*INDEX('PORTIFÓLIO'!$S$4:$S$433,MATCH($C39,'PORTIFÓLIO'!$C$4:$C$433,0)),"")</f>
        <v/>
      </c>
      <c r="M39" s="177"/>
      <c r="N39" s="177"/>
      <c r="O39" s="177"/>
      <c r="P39" s="177"/>
      <c r="Q39" s="177"/>
      <c r="R39" s="177"/>
      <c r="S39" s="177"/>
      <c r="T39" s="177"/>
      <c r="U39" s="177"/>
      <c r="V39" s="177"/>
      <c r="W39" s="177"/>
    </row>
    <row r="40" ht="15.75" customHeight="1" outlineLevel="1">
      <c r="A40" s="190"/>
      <c r="B40" s="204"/>
      <c r="C40" s="191"/>
      <c r="D40" s="205" t="str">
        <f>IFERROR(VLOOKUP($C40,'PORTIFÓLIO'!C:V,2,0),"")</f>
        <v/>
      </c>
      <c r="E40" s="190" t="str">
        <f>IFERROR(VLOOKUP($C40,'PORTIFÓLIO'!C:V,3,0),"")</f>
        <v/>
      </c>
      <c r="F40" s="190" t="str">
        <f>IFERROR(VLOOKUP($C40,'PORTIFÓLIO'!C:V,4,0),"")</f>
        <v/>
      </c>
      <c r="G40" s="206" t="str">
        <f>IFERROR(VLOOKUP($C40,'PORTIFÓLIO'!C:V,5,0),"")</f>
        <v/>
      </c>
      <c r="H40" s="247" t="str">
        <f t="array" ref="H40">IFERROR(INDEX('PORTIFÓLIO'!$H$4:$H$433,MATCH($C40,'PORTIFÓLIO'!$C$4:$C$433,0)),"")</f>
        <v/>
      </c>
      <c r="I40" s="257"/>
      <c r="J40" s="209">
        <f t="shared" si="4"/>
        <v>0</v>
      </c>
      <c r="K40" s="210" t="str">
        <f t="array" ref="K40">IFERROR(I40*INDEX('PORTIFÓLIO'!$S$4:$S$433,MATCH($C40,'PORTIFÓLIO'!$C$4:$C$433,0)),"")</f>
        <v/>
      </c>
      <c r="L40" s="210" t="str">
        <f t="array" ref="L40">IFERROR(J40*INDEX('PORTIFÓLIO'!$S$4:$S$433,MATCH($C40,'PORTIFÓLIO'!$C$4:$C$433,0)),"")</f>
        <v/>
      </c>
      <c r="M40" s="177"/>
      <c r="N40" s="177"/>
      <c r="O40" s="177"/>
      <c r="P40" s="177"/>
      <c r="Q40" s="177"/>
      <c r="R40" s="177"/>
      <c r="S40" s="177"/>
      <c r="T40" s="177"/>
      <c r="U40" s="177"/>
      <c r="V40" s="177"/>
      <c r="W40" s="177"/>
    </row>
    <row r="41" ht="15.75" customHeight="1" outlineLevel="1">
      <c r="A41" s="190"/>
      <c r="B41" s="204"/>
      <c r="C41" s="191"/>
      <c r="D41" s="205" t="str">
        <f>IFERROR(VLOOKUP($C41,'PORTIFÓLIO'!C:V,2,0),"")</f>
        <v/>
      </c>
      <c r="E41" s="190" t="str">
        <f>IFERROR(VLOOKUP($C41,'PORTIFÓLIO'!C:V,3,0),"")</f>
        <v/>
      </c>
      <c r="F41" s="190" t="str">
        <f>IFERROR(VLOOKUP($C41,'PORTIFÓLIO'!C:V,4,0),"")</f>
        <v/>
      </c>
      <c r="G41" s="206" t="str">
        <f>IFERROR(VLOOKUP($C41,'PORTIFÓLIO'!C:V,5,0),"")</f>
        <v/>
      </c>
      <c r="H41" s="247" t="str">
        <f t="array" ref="H41">IFERROR(INDEX('PORTIFÓLIO'!$H$4:$H$433,MATCH($C41,'PORTIFÓLIO'!$C$4:$C$433,0)),"")</f>
        <v/>
      </c>
      <c r="I41" s="257"/>
      <c r="J41" s="209">
        <f t="shared" si="4"/>
        <v>0</v>
      </c>
      <c r="K41" s="210" t="str">
        <f t="array" ref="K41">IFERROR(I41*INDEX('PORTIFÓLIO'!$S$4:$S$433,MATCH($C41,'PORTIFÓLIO'!$C$4:$C$433,0)),"")</f>
        <v/>
      </c>
      <c r="L41" s="210" t="str">
        <f t="array" ref="L41">IFERROR(J41*INDEX('PORTIFÓLIO'!$S$4:$S$433,MATCH($C41,'PORTIFÓLIO'!$C$4:$C$433,0)),"")</f>
        <v/>
      </c>
      <c r="M41" s="177"/>
      <c r="N41" s="177"/>
      <c r="O41" s="177"/>
      <c r="P41" s="177"/>
      <c r="Q41" s="177"/>
      <c r="R41" s="177"/>
      <c r="S41" s="177"/>
      <c r="T41" s="177"/>
      <c r="U41" s="177"/>
      <c r="V41" s="177"/>
      <c r="W41" s="177"/>
    </row>
    <row r="42" ht="15.75" customHeight="1" outlineLevel="1">
      <c r="A42" s="190"/>
      <c r="B42" s="204"/>
      <c r="C42" s="191"/>
      <c r="D42" s="205" t="str">
        <f>IFERROR(VLOOKUP($C42,'PORTIFÓLIO'!C:V,2,0),"")</f>
        <v/>
      </c>
      <c r="E42" s="190" t="str">
        <f>IFERROR(VLOOKUP($C42,'PORTIFÓLIO'!C:V,3,0),"")</f>
        <v/>
      </c>
      <c r="F42" s="190" t="str">
        <f>IFERROR(VLOOKUP($C42,'PORTIFÓLIO'!C:V,4,0),"")</f>
        <v/>
      </c>
      <c r="G42" s="206" t="str">
        <f>IFERROR(VLOOKUP($C42,'PORTIFÓLIO'!C:V,5,0),"")</f>
        <v/>
      </c>
      <c r="H42" s="247" t="str">
        <f t="array" ref="H42">IFERROR(INDEX('PORTIFÓLIO'!$H$4:$H$433,MATCH($C42,'PORTIFÓLIO'!$C$4:$C$433,0)),"")</f>
        <v/>
      </c>
      <c r="I42" s="257"/>
      <c r="J42" s="209">
        <f t="shared" si="4"/>
        <v>0</v>
      </c>
      <c r="K42" s="210" t="str">
        <f t="array" ref="K42">IFERROR(I42*INDEX('PORTIFÓLIO'!$S$4:$S$433,MATCH($C42,'PORTIFÓLIO'!$C$4:$C$433,0)),"")</f>
        <v/>
      </c>
      <c r="L42" s="210" t="str">
        <f t="array" ref="L42">IFERROR(J42*INDEX('PORTIFÓLIO'!$S$4:$S$433,MATCH($C42,'PORTIFÓLIO'!$C$4:$C$433,0)),"")</f>
        <v/>
      </c>
      <c r="M42" s="177"/>
      <c r="N42" s="177"/>
      <c r="O42" s="177"/>
      <c r="P42" s="177"/>
      <c r="Q42" s="177"/>
      <c r="R42" s="177"/>
      <c r="S42" s="177"/>
      <c r="T42" s="177"/>
      <c r="U42" s="177"/>
      <c r="V42" s="177"/>
      <c r="W42" s="177"/>
    </row>
    <row r="43" ht="15.75" customHeight="1" outlineLevel="1">
      <c r="A43" s="190"/>
      <c r="B43" s="204"/>
      <c r="C43" s="191"/>
      <c r="D43" s="205" t="str">
        <f>IFERROR(VLOOKUP($C43,'PORTIFÓLIO'!C:V,2,0),"")</f>
        <v/>
      </c>
      <c r="E43" s="190" t="str">
        <f>IFERROR(VLOOKUP($C43,'PORTIFÓLIO'!C:V,3,0),"")</f>
        <v/>
      </c>
      <c r="F43" s="190" t="str">
        <f>IFERROR(VLOOKUP($C43,'PORTIFÓLIO'!C:V,4,0),"")</f>
        <v/>
      </c>
      <c r="G43" s="206" t="str">
        <f>IFERROR(VLOOKUP($C43,'PORTIFÓLIO'!C:V,5,0),"")</f>
        <v/>
      </c>
      <c r="H43" s="247" t="str">
        <f t="array" ref="H43">IFERROR(INDEX('PORTIFÓLIO'!$H$4:$H$433,MATCH($C43,'PORTIFÓLIO'!$C$4:$C$433,0)),"")</f>
        <v/>
      </c>
      <c r="I43" s="257"/>
      <c r="J43" s="209">
        <f t="shared" si="4"/>
        <v>0</v>
      </c>
      <c r="K43" s="210" t="str">
        <f t="array" ref="K43">IFERROR(I43*INDEX('PORTIFÓLIO'!$S$4:$S$433,MATCH($C43,'PORTIFÓLIO'!$C$4:$C$433,0)),"")</f>
        <v/>
      </c>
      <c r="L43" s="210" t="str">
        <f t="array" ref="L43">IFERROR(J43*INDEX('PORTIFÓLIO'!$S$4:$S$433,MATCH($C43,'PORTIFÓLIO'!$C$4:$C$433,0)),"")</f>
        <v/>
      </c>
      <c r="M43" s="177"/>
      <c r="N43" s="177"/>
      <c r="O43" s="177"/>
      <c r="P43" s="177"/>
      <c r="Q43" s="177"/>
      <c r="R43" s="177"/>
      <c r="S43" s="177"/>
      <c r="T43" s="177"/>
      <c r="U43" s="177"/>
      <c r="V43" s="177"/>
      <c r="W43" s="177"/>
    </row>
    <row r="44" ht="15.75" customHeight="1">
      <c r="A44" s="221" t="s">
        <v>1185</v>
      </c>
      <c r="B44" s="197"/>
      <c r="C44" s="196"/>
      <c r="D44" s="198" t="s">
        <v>216</v>
      </c>
      <c r="E44" s="196"/>
      <c r="F44" s="196"/>
      <c r="G44" s="199"/>
      <c r="H44" s="199"/>
      <c r="I44" s="252"/>
      <c r="J44" s="202"/>
      <c r="K44" s="203">
        <f t="shared" ref="K44:L44" si="5">SUBTOTAL(9,K45:K58)</f>
        <v>154.6635032</v>
      </c>
      <c r="L44" s="203">
        <f t="shared" si="5"/>
        <v>17012.98535</v>
      </c>
      <c r="M44" s="177"/>
      <c r="N44" s="177"/>
      <c r="O44" s="177"/>
      <c r="P44" s="177"/>
      <c r="Q44" s="177"/>
      <c r="R44" s="177"/>
      <c r="S44" s="177"/>
      <c r="T44" s="177"/>
      <c r="U44" s="177"/>
      <c r="V44" s="177"/>
      <c r="W44" s="177"/>
    </row>
    <row r="45" ht="15.75" customHeight="1" outlineLevel="1">
      <c r="A45" s="191"/>
      <c r="B45" s="204" t="s">
        <v>1</v>
      </c>
      <c r="C45" s="191" t="s">
        <v>706</v>
      </c>
      <c r="D45" s="205" t="str">
        <f>IFERROR(VLOOKUP($C45,'PORTIFÓLIO'!C:V,2,0),"")</f>
        <v>GLUFOSINATO - SAL DE AMONIO</v>
      </c>
      <c r="E45" s="190">
        <f>IFERROR(VLOOKUP($C45,'PORTIFÓLIO'!C:V,3,0),"")</f>
        <v>880</v>
      </c>
      <c r="F45" s="190" t="str">
        <f>IFERROR(VLOOKUP($C45,'PORTIFÓLIO'!C:V,4,0),"")</f>
        <v>L</v>
      </c>
      <c r="G45" s="223" t="str">
        <f>IFERROR(VLOOKUP($C45,'PORTIFÓLIO'!C:V,5,0),"")</f>
        <v>📄 Ver bula</v>
      </c>
      <c r="H45" s="247">
        <f t="array" ref="H45">IFERROR(INDEX('PORTIFÓLIO'!$H$4:$H$433,MATCH($C45,'PORTIFÓLIO'!$C$4:$C$433,0)),"")</f>
        <v>0.5</v>
      </c>
      <c r="I45" s="253">
        <v>0.5</v>
      </c>
      <c r="J45" s="209">
        <f t="shared" ref="J45:J62" si="6">I45*$B$2</f>
        <v>55</v>
      </c>
      <c r="K45" s="210">
        <f t="array" ref="K45">IFERROR(I45*INDEX('PORTIFÓLIO'!$S$4:$S$433,MATCH($C45,'PORTIFÓLIO'!$C$4:$C$433,0)),"")</f>
        <v>23.49848</v>
      </c>
      <c r="L45" s="210">
        <f t="array" ref="L45">IFERROR(J45*INDEX('PORTIFÓLIO'!$S$4:$S$433,MATCH($C45,'PORTIFÓLIO'!$C$4:$C$433,0)),"")</f>
        <v>2584.8328</v>
      </c>
      <c r="M45" s="177"/>
      <c r="N45" s="177"/>
      <c r="O45" s="177"/>
      <c r="P45" s="177"/>
      <c r="Q45" s="177"/>
      <c r="R45" s="177"/>
      <c r="S45" s="177"/>
      <c r="T45" s="177"/>
      <c r="U45" s="177"/>
      <c r="V45" s="177"/>
      <c r="W45" s="177"/>
    </row>
    <row r="46" ht="15.75" customHeight="1" outlineLevel="1">
      <c r="A46" s="190"/>
      <c r="B46" s="204" t="s">
        <v>1</v>
      </c>
      <c r="C46" s="191" t="s">
        <v>719</v>
      </c>
      <c r="D46" s="205" t="str">
        <f>IFERROR(VLOOKUP($C46,'PORTIFÓLIO'!C:V,2,0),"")</f>
        <v>IMAZETAPIR + FLUMIOXAZINA</v>
      </c>
      <c r="E46" s="190" t="str">
        <f>IFERROR(VLOOKUP($C46,'PORTIFÓLIO'!C:V,3,0),"")</f>
        <v>212 + 100</v>
      </c>
      <c r="F46" s="190" t="str">
        <f>IFERROR(VLOOKUP($C46,'PORTIFÓLIO'!C:V,4,0),"")</f>
        <v>L</v>
      </c>
      <c r="G46" s="223" t="str">
        <f>IFERROR(VLOOKUP($C46,'PORTIFÓLIO'!C:V,5,0),"")</f>
        <v>📄 Ver bula</v>
      </c>
      <c r="H46" s="247">
        <f t="array" ref="H46">IFERROR(INDEX('PORTIFÓLIO'!$H$4:$H$433,MATCH($C46,'PORTIFÓLIO'!$C$4:$C$433,0)),"")</f>
        <v>0.4</v>
      </c>
      <c r="I46" s="253">
        <v>0.4</v>
      </c>
      <c r="J46" s="209">
        <f t="shared" si="6"/>
        <v>44</v>
      </c>
      <c r="K46" s="210">
        <f t="array" ref="K46">IFERROR(I46*INDEX('PORTIFÓLIO'!$S$4:$S$433,MATCH($C46,'PORTIFÓLIO'!$C$4:$C$433,0)),"")</f>
        <v>33.065016</v>
      </c>
      <c r="L46" s="210">
        <f t="array" ref="L46">IFERROR(J46*INDEX('PORTIFÓLIO'!$S$4:$S$433,MATCH($C46,'PORTIFÓLIO'!$C$4:$C$433,0)),"")</f>
        <v>3637.15176</v>
      </c>
      <c r="M46" s="177"/>
      <c r="N46" s="177"/>
      <c r="O46" s="177"/>
      <c r="P46" s="177"/>
      <c r="Q46" s="177"/>
      <c r="R46" s="177"/>
      <c r="S46" s="177"/>
      <c r="T46" s="177"/>
      <c r="U46" s="177"/>
      <c r="V46" s="177"/>
      <c r="W46" s="177"/>
    </row>
    <row r="47" ht="15.75" customHeight="1" outlineLevel="1">
      <c r="A47" s="190"/>
      <c r="B47" s="204" t="s">
        <v>1</v>
      </c>
      <c r="C47" s="191" t="s">
        <v>728</v>
      </c>
      <c r="D47" s="205" t="str">
        <f>IFERROR(VLOOKUP($C47,'PORTIFÓLIO'!C:V,2,0),"")</f>
        <v>S-METOLACLORO</v>
      </c>
      <c r="E47" s="190">
        <f>IFERROR(VLOOKUP($C47,'PORTIFÓLIO'!C:V,3,0),"")</f>
        <v>960</v>
      </c>
      <c r="F47" s="190" t="str">
        <f>IFERROR(VLOOKUP($C47,'PORTIFÓLIO'!C:V,4,0),"")</f>
        <v>KG</v>
      </c>
      <c r="G47" s="223" t="str">
        <f>IFERROR(VLOOKUP($C47,'PORTIFÓLIO'!C:V,5,0),"")</f>
        <v>📄 Ver bula</v>
      </c>
      <c r="H47" s="247">
        <f t="array" ref="H47">IFERROR(INDEX('PORTIFÓLIO'!$H$4:$H$433,MATCH($C47,'PORTIFÓLIO'!$C$4:$C$433,0)),"")</f>
        <v>2</v>
      </c>
      <c r="I47" s="253">
        <v>1.0</v>
      </c>
      <c r="J47" s="209">
        <f t="shared" si="6"/>
        <v>110</v>
      </c>
      <c r="K47" s="210">
        <f t="array" ref="K47">IFERROR(I47*INDEX('PORTIFÓLIO'!$S$4:$S$433,MATCH($C47,'PORTIFÓLIO'!$C$4:$C$433,0)),"")</f>
        <v>29.1273</v>
      </c>
      <c r="L47" s="210">
        <f t="array" ref="L47">IFERROR(J47*INDEX('PORTIFÓLIO'!$S$4:$S$433,MATCH($C47,'PORTIFÓLIO'!$C$4:$C$433,0)),"")</f>
        <v>3204.003</v>
      </c>
      <c r="M47" s="177"/>
      <c r="N47" s="177"/>
      <c r="O47" s="177"/>
      <c r="P47" s="177"/>
      <c r="Q47" s="177"/>
      <c r="R47" s="177"/>
      <c r="S47" s="177"/>
      <c r="T47" s="177"/>
      <c r="U47" s="177"/>
      <c r="V47" s="177"/>
      <c r="W47" s="177"/>
    </row>
    <row r="48" ht="15.75" customHeight="1" outlineLevel="1">
      <c r="A48" s="190"/>
      <c r="B48" s="204" t="s">
        <v>6</v>
      </c>
      <c r="C48" s="191" t="s">
        <v>351</v>
      </c>
      <c r="D48" s="205" t="str">
        <f>IFERROR(VLOOKUP($C48,'PORTIFÓLIO'!C:V,2,0),"")</f>
        <v>ÉSTER METILICO DE OLEO DE SOJA</v>
      </c>
      <c r="E48" s="190">
        <f>IFERROR(VLOOKUP($C48,'PORTIFÓLIO'!C:V,3,0),"")</f>
        <v>720</v>
      </c>
      <c r="F48" s="190" t="str">
        <f>IFERROR(VLOOKUP($C48,'PORTIFÓLIO'!C:V,4,0),"")</f>
        <v>L</v>
      </c>
      <c r="G48" s="223" t="str">
        <f>IFERROR(VLOOKUP($C48,'PORTIFÓLIO'!C:V,5,0),"")</f>
        <v>📄 Ver bula</v>
      </c>
      <c r="H48" s="247">
        <f t="array" ref="H48">IFERROR(INDEX('PORTIFÓLIO'!$H$4:$H$433,MATCH($C48,'PORTIFÓLIO'!$C$4:$C$433,0)),"")</f>
        <v>0.08</v>
      </c>
      <c r="I48" s="253">
        <v>0.2</v>
      </c>
      <c r="J48" s="209">
        <f t="shared" si="6"/>
        <v>22</v>
      </c>
      <c r="K48" s="210">
        <f t="array" ref="K48">IFERROR(I48*INDEX('PORTIFÓLIO'!$S$4:$S$433,MATCH($C48,'PORTIFÓLIO'!$C$4:$C$433,0)),"")</f>
        <v>2.968756</v>
      </c>
      <c r="L48" s="210">
        <f t="array" ref="L48">IFERROR(J48*INDEX('PORTIFÓLIO'!$S$4:$S$433,MATCH($C48,'PORTIFÓLIO'!$C$4:$C$433,0)),"")</f>
        <v>326.56316</v>
      </c>
      <c r="M48" s="177"/>
      <c r="N48" s="177"/>
      <c r="O48" s="177"/>
      <c r="P48" s="177"/>
      <c r="Q48" s="177"/>
      <c r="R48" s="177"/>
      <c r="S48" s="177"/>
      <c r="T48" s="177"/>
      <c r="U48" s="177"/>
      <c r="V48" s="177"/>
      <c r="W48" s="177"/>
    </row>
    <row r="49" ht="15.75" customHeight="1" outlineLevel="1">
      <c r="A49" s="190"/>
      <c r="B49" s="204" t="s">
        <v>2</v>
      </c>
      <c r="C49" s="191" t="s">
        <v>824</v>
      </c>
      <c r="D49" s="205" t="str">
        <f>IFERROR(VLOOKUP($C49,'PORTIFÓLIO'!C:V,2,0),"")</f>
        <v>CLORANTRANILIPROLE</v>
      </c>
      <c r="E49" s="190">
        <f>IFERROR(VLOOKUP($C49,'PORTIFÓLIO'!C:V,3,0),"")</f>
        <v>200</v>
      </c>
      <c r="F49" s="190" t="str">
        <f>IFERROR(VLOOKUP($C49,'PORTIFÓLIO'!C:V,4,0),"")</f>
        <v>L</v>
      </c>
      <c r="G49" s="223" t="str">
        <f>IFERROR(VLOOKUP($C49,'PORTIFÓLIO'!C:V,5,0),"")</f>
        <v>📄 Ver bula</v>
      </c>
      <c r="H49" s="247">
        <f t="array" ref="H49">IFERROR(INDEX('PORTIFÓLIO'!$H$4:$H$433,MATCH($C49,'PORTIFÓLIO'!$C$4:$C$433,0)),"")</f>
        <v>0.1</v>
      </c>
      <c r="I49" s="253">
        <v>0.04</v>
      </c>
      <c r="J49" s="209">
        <f t="shared" si="6"/>
        <v>4.4</v>
      </c>
      <c r="K49" s="210">
        <f t="array" ref="K49">IFERROR(I49*INDEX('PORTIFÓLIO'!$S$4:$S$433,MATCH($C49,'PORTIFÓLIO'!$C$4:$C$433,0)),"")</f>
        <v>11.31855</v>
      </c>
      <c r="L49" s="210">
        <f t="array" ref="L49">IFERROR(J49*INDEX('PORTIFÓLIO'!$S$4:$S$433,MATCH($C49,'PORTIFÓLIO'!$C$4:$C$433,0)),"")</f>
        <v>1245.0405</v>
      </c>
      <c r="M49" s="177"/>
      <c r="N49" s="177"/>
      <c r="O49" s="177"/>
      <c r="P49" s="177"/>
      <c r="Q49" s="177"/>
      <c r="R49" s="177"/>
      <c r="S49" s="177"/>
      <c r="T49" s="177"/>
      <c r="U49" s="177"/>
      <c r="V49" s="177"/>
      <c r="W49" s="177"/>
    </row>
    <row r="50" ht="15.75" customHeight="1" outlineLevel="1">
      <c r="A50" s="190"/>
      <c r="B50" s="204" t="s">
        <v>2</v>
      </c>
      <c r="C50" s="191" t="s">
        <v>788</v>
      </c>
      <c r="D50" s="205" t="str">
        <f>IFERROR(VLOOKUP($C50,'PORTIFÓLIO'!C:V,2,0),"")</f>
        <v>FIPRONIL</v>
      </c>
      <c r="E50" s="190">
        <f>IFERROR(VLOOKUP($C50,'PORTIFÓLIO'!C:V,3,0),"")</f>
        <v>800</v>
      </c>
      <c r="F50" s="190" t="str">
        <f>IFERROR(VLOOKUP($C50,'PORTIFÓLIO'!C:V,4,0),"")</f>
        <v>L</v>
      </c>
      <c r="G50" s="223" t="str">
        <f>IFERROR(VLOOKUP($C50,'PORTIFÓLIO'!C:V,5,0),"")</f>
        <v>📄 Ver bula</v>
      </c>
      <c r="H50" s="247">
        <f t="array" ref="H50">IFERROR(INDEX('PORTIFÓLIO'!$H$4:$H$433,MATCH($C50,'PORTIFÓLIO'!$C$4:$C$433,0)),"")</f>
        <v>0.04</v>
      </c>
      <c r="I50" s="253">
        <v>0.04</v>
      </c>
      <c r="J50" s="209">
        <f t="shared" si="6"/>
        <v>4.4</v>
      </c>
      <c r="K50" s="210">
        <f t="array" ref="K50">IFERROR(I50*INDEX('PORTIFÓLIO'!$S$4:$S$433,MATCH($C50,'PORTIFÓLIO'!$C$4:$C$433,0)),"")</f>
        <v>9.9054012</v>
      </c>
      <c r="L50" s="210">
        <f t="array" ref="L50">IFERROR(J50*INDEX('PORTIFÓLIO'!$S$4:$S$433,MATCH($C50,'PORTIFÓLIO'!$C$4:$C$433,0)),"")</f>
        <v>1089.594132</v>
      </c>
      <c r="M50" s="177"/>
      <c r="N50" s="177"/>
      <c r="O50" s="177"/>
      <c r="P50" s="177"/>
      <c r="Q50" s="177"/>
      <c r="R50" s="177"/>
      <c r="S50" s="177"/>
      <c r="T50" s="177"/>
      <c r="U50" s="177"/>
      <c r="V50" s="177"/>
      <c r="W50" s="177"/>
    </row>
    <row r="51" ht="15.75" customHeight="1" outlineLevel="1">
      <c r="A51" s="190"/>
      <c r="B51" s="204" t="s">
        <v>9</v>
      </c>
      <c r="C51" s="191" t="s">
        <v>933</v>
      </c>
      <c r="D51" s="205" t="str">
        <f>IFERROR(VLOOKUP($C51,'PORTIFÓLIO'!C:V,2,0),"")</f>
        <v>N1%;B9,5%</v>
      </c>
      <c r="E51" s="190" t="str">
        <f>IFERROR(VLOOKUP($C51,'PORTIFÓLIO'!C:V,3,0),"")</f>
        <v>13,8g/l + 131,1g/l</v>
      </c>
      <c r="F51" s="190" t="str">
        <f>IFERROR(VLOOKUP($C51,'PORTIFÓLIO'!C:V,4,0),"")</f>
        <v>L</v>
      </c>
      <c r="G51" s="206" t="str">
        <f>IFERROR(VLOOKUP($C51,'PORTIFÓLIO'!C:V,5,0),"")</f>
        <v/>
      </c>
      <c r="H51" s="247">
        <f t="array" ref="H51">IFERROR(INDEX('PORTIFÓLIO'!$H$4:$H$433,MATCH($C51,'PORTIFÓLIO'!$C$4:$C$433,0)),"")</f>
        <v>2</v>
      </c>
      <c r="I51" s="253">
        <v>1.0</v>
      </c>
      <c r="J51" s="209">
        <f t="shared" si="6"/>
        <v>110</v>
      </c>
      <c r="K51" s="210">
        <f t="array" ref="K51">IFERROR(I51*INDEX('PORTIFÓLIO'!$S$4:$S$433,MATCH($C51,'PORTIFÓLIO'!$C$4:$C$433,0)),"")</f>
        <v>44.78</v>
      </c>
      <c r="L51" s="210">
        <f t="array" ref="L51">IFERROR(J51*INDEX('PORTIFÓLIO'!$S$4:$S$433,MATCH($C51,'PORTIFÓLIO'!$C$4:$C$433,0)),"")</f>
        <v>4925.8</v>
      </c>
      <c r="M51" s="177"/>
      <c r="N51" s="177"/>
      <c r="O51" s="177"/>
      <c r="P51" s="177"/>
      <c r="Q51" s="177"/>
      <c r="R51" s="177"/>
      <c r="S51" s="177"/>
      <c r="T51" s="177"/>
      <c r="U51" s="177"/>
      <c r="V51" s="177"/>
      <c r="W51" s="177"/>
    </row>
    <row r="52" ht="15.75" customHeight="1" outlineLevel="1">
      <c r="A52" s="190"/>
      <c r="B52" s="204"/>
      <c r="C52" s="191"/>
      <c r="D52" s="205" t="str">
        <f>IFERROR(VLOOKUP($C52,'PORTIFÓLIO'!C:V,2,0),"")</f>
        <v/>
      </c>
      <c r="E52" s="190" t="str">
        <f>IFERROR(VLOOKUP($C52,'PORTIFÓLIO'!C:V,3,0),"")</f>
        <v/>
      </c>
      <c r="F52" s="190" t="str">
        <f>IFERROR(VLOOKUP($C52,'PORTIFÓLIO'!C:V,4,0),"")</f>
        <v/>
      </c>
      <c r="G52" s="206" t="str">
        <f>IFERROR(VLOOKUP($C52,'PORTIFÓLIO'!C:V,5,0),"")</f>
        <v/>
      </c>
      <c r="H52" s="247" t="str">
        <f t="array" ref="H52">IFERROR(INDEX('PORTIFÓLIO'!$H$4:$H$433,MATCH($C52,'PORTIFÓLIO'!$C$4:$C$433,0)),"")</f>
        <v/>
      </c>
      <c r="I52" s="257"/>
      <c r="J52" s="209">
        <f t="shared" si="6"/>
        <v>0</v>
      </c>
      <c r="K52" s="210" t="str">
        <f t="array" ref="K52">IFERROR(I52*INDEX('PORTIFÓLIO'!$S$4:$S$433,MATCH($C52,'PORTIFÓLIO'!$C$4:$C$433,0)),"")</f>
        <v/>
      </c>
      <c r="L52" s="210" t="str">
        <f t="array" ref="L52">IFERROR(J52*INDEX('PORTIFÓLIO'!$S$4:$S$433,MATCH($C52,'PORTIFÓLIO'!$C$4:$C$433,0)),"")</f>
        <v/>
      </c>
      <c r="M52" s="177"/>
      <c r="N52" s="177"/>
      <c r="O52" s="177"/>
      <c r="P52" s="177"/>
      <c r="Q52" s="177"/>
      <c r="R52" s="177"/>
      <c r="S52" s="177"/>
      <c r="T52" s="177"/>
      <c r="U52" s="177"/>
      <c r="V52" s="177"/>
      <c r="W52" s="177"/>
    </row>
    <row r="53" ht="15.75" customHeight="1" outlineLevel="1">
      <c r="A53" s="190"/>
      <c r="B53" s="204"/>
      <c r="C53" s="191"/>
      <c r="D53" s="205" t="str">
        <f>IFERROR(VLOOKUP($C53,'PORTIFÓLIO'!C:V,2,0),"")</f>
        <v/>
      </c>
      <c r="E53" s="190" t="str">
        <f>IFERROR(VLOOKUP($C53,'PORTIFÓLIO'!C:V,3,0),"")</f>
        <v/>
      </c>
      <c r="F53" s="190" t="str">
        <f>IFERROR(VLOOKUP($C53,'PORTIFÓLIO'!C:V,4,0),"")</f>
        <v/>
      </c>
      <c r="G53" s="206" t="str">
        <f>IFERROR(VLOOKUP($C53,'PORTIFÓLIO'!C:V,5,0),"")</f>
        <v/>
      </c>
      <c r="H53" s="247" t="str">
        <f t="array" ref="H53">IFERROR(INDEX('PORTIFÓLIO'!$H$4:$H$433,MATCH($C53,'PORTIFÓLIO'!$C$4:$C$433,0)),"")</f>
        <v/>
      </c>
      <c r="I53" s="253"/>
      <c r="J53" s="209">
        <f t="shared" si="6"/>
        <v>0</v>
      </c>
      <c r="K53" s="210" t="str">
        <f t="array" ref="K53">IFERROR(I53*INDEX('PORTIFÓLIO'!$S$4:$S$433,MATCH($C53,'PORTIFÓLIO'!$C$4:$C$433,0)),"")</f>
        <v/>
      </c>
      <c r="L53" s="210" t="str">
        <f t="array" ref="L53">IFERROR(J53*INDEX('PORTIFÓLIO'!$S$4:$S$433,MATCH($C53,'PORTIFÓLIO'!$C$4:$C$433,0)),"")</f>
        <v/>
      </c>
      <c r="M53" s="177"/>
      <c r="N53" s="177"/>
      <c r="O53" s="177"/>
      <c r="P53" s="177"/>
      <c r="Q53" s="177"/>
      <c r="R53" s="177"/>
      <c r="S53" s="177"/>
      <c r="T53" s="177"/>
      <c r="U53" s="177"/>
      <c r="V53" s="177"/>
      <c r="W53" s="177"/>
    </row>
    <row r="54" ht="15.75" customHeight="1" outlineLevel="1">
      <c r="A54" s="190"/>
      <c r="B54" s="204"/>
      <c r="C54" s="191"/>
      <c r="D54" s="205" t="str">
        <f>IFERROR(VLOOKUP($C54,'PORTIFÓLIO'!C:V,2,0),"")</f>
        <v/>
      </c>
      <c r="E54" s="190" t="str">
        <f>IFERROR(VLOOKUP($C54,'PORTIFÓLIO'!C:V,3,0),"")</f>
        <v/>
      </c>
      <c r="F54" s="190" t="str">
        <f>IFERROR(VLOOKUP($C54,'PORTIFÓLIO'!C:V,4,0),"")</f>
        <v/>
      </c>
      <c r="G54" s="206" t="str">
        <f>IFERROR(VLOOKUP($C54,'PORTIFÓLIO'!C:V,5,0),"")</f>
        <v/>
      </c>
      <c r="H54" s="247" t="str">
        <f t="array" ref="H54">IFERROR(INDEX('PORTIFÓLIO'!$H$4:$H$433,MATCH($C54,'PORTIFÓLIO'!$C$4:$C$433,0)),"")</f>
        <v/>
      </c>
      <c r="I54" s="257"/>
      <c r="J54" s="209">
        <f t="shared" si="6"/>
        <v>0</v>
      </c>
      <c r="K54" s="210" t="str">
        <f t="array" ref="K54">IFERROR(I54*INDEX('PORTIFÓLIO'!$S$4:$S$433,MATCH($C54,'PORTIFÓLIO'!$C$4:$C$433,0)),"")</f>
        <v/>
      </c>
      <c r="L54" s="210" t="str">
        <f t="array" ref="L54">IFERROR(J54*INDEX('PORTIFÓLIO'!$S$4:$S$433,MATCH($C54,'PORTIFÓLIO'!$C$4:$C$433,0)),"")</f>
        <v/>
      </c>
      <c r="M54" s="177"/>
      <c r="N54" s="177"/>
      <c r="O54" s="177"/>
      <c r="P54" s="177"/>
      <c r="Q54" s="177"/>
      <c r="R54" s="177"/>
      <c r="S54" s="177"/>
      <c r="T54" s="177"/>
      <c r="U54" s="177"/>
      <c r="V54" s="177"/>
      <c r="W54" s="177"/>
    </row>
    <row r="55" ht="15.75" customHeight="1" outlineLevel="1">
      <c r="A55" s="190"/>
      <c r="B55" s="204"/>
      <c r="C55" s="191"/>
      <c r="D55" s="205" t="str">
        <f>IFERROR(VLOOKUP($C55,'PORTIFÓLIO'!C:V,2,0),"")</f>
        <v/>
      </c>
      <c r="E55" s="190" t="str">
        <f>IFERROR(VLOOKUP($C55,'PORTIFÓLIO'!C:V,3,0),"")</f>
        <v/>
      </c>
      <c r="F55" s="190" t="str">
        <f>IFERROR(VLOOKUP($C55,'PORTIFÓLIO'!C:V,4,0),"")</f>
        <v/>
      </c>
      <c r="G55" s="206" t="str">
        <f>IFERROR(VLOOKUP($C55,'PORTIFÓLIO'!C:V,5,0),"")</f>
        <v/>
      </c>
      <c r="H55" s="247" t="str">
        <f t="array" ref="H55">IFERROR(INDEX('PORTIFÓLIO'!$H$4:$H$433,MATCH($C55,'PORTIFÓLIO'!$C$4:$C$433,0)),"")</f>
        <v/>
      </c>
      <c r="I55" s="257"/>
      <c r="J55" s="209">
        <f t="shared" si="6"/>
        <v>0</v>
      </c>
      <c r="K55" s="210" t="str">
        <f t="array" ref="K55">IFERROR(I55*INDEX('PORTIFÓLIO'!$S$4:$S$433,MATCH($C55,'PORTIFÓLIO'!$C$4:$C$433,0)),"")</f>
        <v/>
      </c>
      <c r="L55" s="210" t="str">
        <f t="array" ref="L55">IFERROR(J55*INDEX('PORTIFÓLIO'!$S$4:$S$433,MATCH($C55,'PORTIFÓLIO'!$C$4:$C$433,0)),"")</f>
        <v/>
      </c>
      <c r="M55" s="177"/>
      <c r="N55" s="177"/>
      <c r="O55" s="177"/>
      <c r="P55" s="177"/>
      <c r="Q55" s="177"/>
      <c r="R55" s="177"/>
      <c r="S55" s="177"/>
      <c r="T55" s="177"/>
      <c r="U55" s="177"/>
      <c r="V55" s="177"/>
      <c r="W55" s="177"/>
    </row>
    <row r="56" ht="15.75" customHeight="1" outlineLevel="1">
      <c r="A56" s="190"/>
      <c r="B56" s="204"/>
      <c r="C56" s="191"/>
      <c r="D56" s="205" t="str">
        <f>IFERROR(VLOOKUP($C56,'PORTIFÓLIO'!C:V,2,0),"")</f>
        <v/>
      </c>
      <c r="E56" s="190" t="str">
        <f>IFERROR(VLOOKUP($C56,'PORTIFÓLIO'!C:V,3,0),"")</f>
        <v/>
      </c>
      <c r="F56" s="190" t="str">
        <f>IFERROR(VLOOKUP($C56,'PORTIFÓLIO'!C:V,4,0),"")</f>
        <v/>
      </c>
      <c r="G56" s="206" t="str">
        <f>IFERROR(VLOOKUP($C56,'PORTIFÓLIO'!C:V,5,0),"")</f>
        <v/>
      </c>
      <c r="H56" s="247" t="str">
        <f t="array" ref="H56">IFERROR(INDEX('PORTIFÓLIO'!$H$4:$H$433,MATCH($C56,'PORTIFÓLIO'!$C$4:$C$433,0)),"")</f>
        <v/>
      </c>
      <c r="I56" s="257"/>
      <c r="J56" s="209">
        <f t="shared" si="6"/>
        <v>0</v>
      </c>
      <c r="K56" s="210" t="str">
        <f t="array" ref="K56">IFERROR(I56*INDEX('PORTIFÓLIO'!$S$4:$S$433,MATCH($C56,'PORTIFÓLIO'!$C$4:$C$433,0)),"")</f>
        <v/>
      </c>
      <c r="L56" s="210" t="str">
        <f t="array" ref="L56">IFERROR(J56*INDEX('PORTIFÓLIO'!$S$4:$S$433,MATCH($C56,'PORTIFÓLIO'!$C$4:$C$433,0)),"")</f>
        <v/>
      </c>
      <c r="M56" s="177"/>
      <c r="N56" s="177"/>
      <c r="O56" s="177"/>
      <c r="P56" s="177"/>
      <c r="Q56" s="177"/>
      <c r="R56" s="177"/>
      <c r="S56" s="177"/>
      <c r="T56" s="177"/>
      <c r="U56" s="177"/>
      <c r="V56" s="177"/>
      <c r="W56" s="177"/>
    </row>
    <row r="57" ht="15.75" customHeight="1" outlineLevel="1">
      <c r="A57" s="190"/>
      <c r="B57" s="204"/>
      <c r="C57" s="191"/>
      <c r="D57" s="205" t="str">
        <f>IFERROR(VLOOKUP($C57,'PORTIFÓLIO'!C:V,2,0),"")</f>
        <v/>
      </c>
      <c r="E57" s="190" t="str">
        <f>IFERROR(VLOOKUP($C57,'PORTIFÓLIO'!C:V,3,0),"")</f>
        <v/>
      </c>
      <c r="F57" s="190" t="str">
        <f>IFERROR(VLOOKUP($C57,'PORTIFÓLIO'!C:V,4,0),"")</f>
        <v/>
      </c>
      <c r="G57" s="206" t="str">
        <f>IFERROR(VLOOKUP($C57,'PORTIFÓLIO'!C:V,5,0),"")</f>
        <v/>
      </c>
      <c r="H57" s="247" t="str">
        <f t="array" ref="H57">IFERROR(INDEX('PORTIFÓLIO'!$H$4:$H$433,MATCH($C57,'PORTIFÓLIO'!$C$4:$C$433,0)),"")</f>
        <v/>
      </c>
      <c r="I57" s="257"/>
      <c r="J57" s="209">
        <f t="shared" si="6"/>
        <v>0</v>
      </c>
      <c r="K57" s="210" t="str">
        <f t="array" ref="K57">IFERROR(I57*INDEX('PORTIFÓLIO'!$S$4:$S$433,MATCH($C57,'PORTIFÓLIO'!$C$4:$C$433,0)),"")</f>
        <v/>
      </c>
      <c r="L57" s="210" t="str">
        <f t="array" ref="L57">IFERROR(J57*INDEX('PORTIFÓLIO'!$S$4:$S$433,MATCH($C57,'PORTIFÓLIO'!$C$4:$C$433,0)),"")</f>
        <v/>
      </c>
      <c r="M57" s="177"/>
      <c r="N57" s="177"/>
      <c r="O57" s="177"/>
      <c r="P57" s="177"/>
      <c r="Q57" s="177"/>
      <c r="R57" s="177"/>
      <c r="S57" s="177"/>
      <c r="T57" s="177"/>
      <c r="U57" s="177"/>
      <c r="V57" s="177"/>
      <c r="W57" s="177"/>
    </row>
    <row r="58" ht="15.75" customHeight="1" outlineLevel="1">
      <c r="A58" s="190"/>
      <c r="B58" s="204"/>
      <c r="C58" s="191"/>
      <c r="D58" s="205" t="str">
        <f>IFERROR(VLOOKUP($C58,'PORTIFÓLIO'!C:V,2,0),"")</f>
        <v/>
      </c>
      <c r="E58" s="190" t="str">
        <f>IFERROR(VLOOKUP($C58,'PORTIFÓLIO'!C:V,3,0),"")</f>
        <v/>
      </c>
      <c r="F58" s="190" t="str">
        <f>IFERROR(VLOOKUP($C58,'PORTIFÓLIO'!C:V,4,0),"")</f>
        <v/>
      </c>
      <c r="G58" s="206" t="str">
        <f>IFERROR(VLOOKUP($C58,'PORTIFÓLIO'!C:V,5,0),"")</f>
        <v/>
      </c>
      <c r="H58" s="247" t="str">
        <f t="array" ref="H58">IFERROR(INDEX('PORTIFÓLIO'!$H$4:$H$433,MATCH($C58,'PORTIFÓLIO'!$C$4:$C$433,0)),"")</f>
        <v/>
      </c>
      <c r="I58" s="257"/>
      <c r="J58" s="209">
        <f t="shared" si="6"/>
        <v>0</v>
      </c>
      <c r="K58" s="210" t="str">
        <f t="array" ref="K58">IFERROR(I58*INDEX('PORTIFÓLIO'!$S$4:$S$433,MATCH($C58,'PORTIFÓLIO'!$C$4:$C$433,0)),"")</f>
        <v/>
      </c>
      <c r="L58" s="210" t="str">
        <f t="array" ref="L58">IFERROR(J58*INDEX('PORTIFÓLIO'!$S$4:$S$433,MATCH($C58,'PORTIFÓLIO'!$C$4:$C$433,0)),"")</f>
        <v/>
      </c>
      <c r="M58" s="177"/>
      <c r="N58" s="177"/>
      <c r="O58" s="177"/>
      <c r="P58" s="177"/>
      <c r="Q58" s="177"/>
      <c r="R58" s="177"/>
      <c r="S58" s="177"/>
      <c r="T58" s="177"/>
      <c r="U58" s="177"/>
      <c r="V58" s="177"/>
      <c r="W58" s="177"/>
    </row>
    <row r="59" ht="15.75" customHeight="1" outlineLevel="1">
      <c r="A59" s="190"/>
      <c r="B59" s="204"/>
      <c r="C59" s="191"/>
      <c r="D59" s="205" t="str">
        <f>IFERROR(VLOOKUP($C59,'PORTIFÓLIO'!C:V,2,0),"")</f>
        <v/>
      </c>
      <c r="E59" s="190" t="str">
        <f>IFERROR(VLOOKUP($C59,'PORTIFÓLIO'!C:V,3,0),"")</f>
        <v/>
      </c>
      <c r="F59" s="190" t="str">
        <f>IFERROR(VLOOKUP($C59,'PORTIFÓLIO'!C:V,4,0),"")</f>
        <v/>
      </c>
      <c r="G59" s="206" t="str">
        <f>IFERROR(VLOOKUP($C59,'PORTIFÓLIO'!C:V,5,0),"")</f>
        <v/>
      </c>
      <c r="H59" s="247" t="str">
        <f t="array" ref="H59">IFERROR(INDEX('PORTIFÓLIO'!$H$4:$H$433,MATCH($C59,'PORTIFÓLIO'!$C$4:$C$433,0)),"")</f>
        <v/>
      </c>
      <c r="I59" s="257"/>
      <c r="J59" s="209">
        <f t="shared" si="6"/>
        <v>0</v>
      </c>
      <c r="K59" s="210" t="str">
        <f t="array" ref="K59">IFERROR(I59*INDEX('PORTIFÓLIO'!$S$4:$S$433,MATCH($C59,'PORTIFÓLIO'!$C$4:$C$433,0)),"")</f>
        <v/>
      </c>
      <c r="L59" s="210" t="str">
        <f t="array" ref="L59">IFERROR(J59*INDEX('PORTIFÓLIO'!$S$4:$S$433,MATCH($C59,'PORTIFÓLIO'!$C$4:$C$433,0)),"")</f>
        <v/>
      </c>
      <c r="M59" s="177"/>
      <c r="N59" s="177"/>
      <c r="O59" s="177"/>
      <c r="P59" s="177"/>
      <c r="Q59" s="177"/>
      <c r="R59" s="177"/>
      <c r="S59" s="177"/>
      <c r="T59" s="177"/>
      <c r="U59" s="177"/>
      <c r="V59" s="177"/>
      <c r="W59" s="177"/>
    </row>
    <row r="60" ht="15.75" customHeight="1" outlineLevel="1">
      <c r="A60" s="190"/>
      <c r="B60" s="204"/>
      <c r="C60" s="191"/>
      <c r="D60" s="205" t="str">
        <f>IFERROR(VLOOKUP($C60,'PORTIFÓLIO'!C:V,2,0),"")</f>
        <v/>
      </c>
      <c r="E60" s="190" t="str">
        <f>IFERROR(VLOOKUP($C60,'PORTIFÓLIO'!C:V,3,0),"")</f>
        <v/>
      </c>
      <c r="F60" s="190" t="str">
        <f>IFERROR(VLOOKUP($C60,'PORTIFÓLIO'!C:V,4,0),"")</f>
        <v/>
      </c>
      <c r="G60" s="206" t="str">
        <f>IFERROR(VLOOKUP($C60,'PORTIFÓLIO'!C:V,5,0),"")</f>
        <v/>
      </c>
      <c r="H60" s="247" t="str">
        <f t="array" ref="H60">IFERROR(INDEX('PORTIFÓLIO'!$H$4:$H$433,MATCH($C60,'PORTIFÓLIO'!$C$4:$C$433,0)),"")</f>
        <v/>
      </c>
      <c r="I60" s="257"/>
      <c r="J60" s="209">
        <f t="shared" si="6"/>
        <v>0</v>
      </c>
      <c r="K60" s="210" t="str">
        <f t="array" ref="K60">IFERROR(I60*INDEX('PORTIFÓLIO'!$S$4:$S$433,MATCH($C60,'PORTIFÓLIO'!$C$4:$C$433,0)),"")</f>
        <v/>
      </c>
      <c r="L60" s="210" t="str">
        <f t="array" ref="L60">IFERROR(J60*INDEX('PORTIFÓLIO'!$S$4:$S$433,MATCH($C60,'PORTIFÓLIO'!$C$4:$C$433,0)),"")</f>
        <v/>
      </c>
      <c r="M60" s="177"/>
      <c r="N60" s="177"/>
      <c r="O60" s="177"/>
      <c r="P60" s="177"/>
      <c r="Q60" s="177"/>
      <c r="R60" s="177"/>
      <c r="S60" s="177"/>
      <c r="T60" s="177"/>
      <c r="U60" s="177"/>
      <c r="V60" s="177"/>
      <c r="W60" s="177"/>
    </row>
    <row r="61" ht="15.75" customHeight="1" outlineLevel="1">
      <c r="A61" s="190"/>
      <c r="B61" s="204"/>
      <c r="C61" s="191"/>
      <c r="D61" s="205" t="str">
        <f>IFERROR(VLOOKUP($C61,'PORTIFÓLIO'!C:V,2,0),"")</f>
        <v/>
      </c>
      <c r="E61" s="190" t="str">
        <f>IFERROR(VLOOKUP($C61,'PORTIFÓLIO'!C:V,3,0),"")</f>
        <v/>
      </c>
      <c r="F61" s="190" t="str">
        <f>IFERROR(VLOOKUP($C61,'PORTIFÓLIO'!C:V,4,0),"")</f>
        <v/>
      </c>
      <c r="G61" s="206" t="str">
        <f>IFERROR(VLOOKUP($C61,'PORTIFÓLIO'!C:V,5,0),"")</f>
        <v/>
      </c>
      <c r="H61" s="247" t="str">
        <f t="array" ref="H61">IFERROR(INDEX('PORTIFÓLIO'!$H$4:$H$433,MATCH($C61,'PORTIFÓLIO'!$C$4:$C$433,0)),"")</f>
        <v/>
      </c>
      <c r="I61" s="257"/>
      <c r="J61" s="209">
        <f t="shared" si="6"/>
        <v>0</v>
      </c>
      <c r="K61" s="210" t="str">
        <f t="array" ref="K61">IFERROR(I61*INDEX('PORTIFÓLIO'!$S$4:$S$433,MATCH($C61,'PORTIFÓLIO'!$C$4:$C$433,0)),"")</f>
        <v/>
      </c>
      <c r="L61" s="210" t="str">
        <f t="array" ref="L61">IFERROR(J61*INDEX('PORTIFÓLIO'!$S$4:$S$433,MATCH($C61,'PORTIFÓLIO'!$C$4:$C$433,0)),"")</f>
        <v/>
      </c>
      <c r="M61" s="177"/>
      <c r="N61" s="177"/>
      <c r="O61" s="177"/>
      <c r="P61" s="177"/>
      <c r="Q61" s="177"/>
      <c r="R61" s="177"/>
      <c r="S61" s="177"/>
      <c r="T61" s="177"/>
      <c r="U61" s="177"/>
      <c r="V61" s="177"/>
      <c r="W61" s="177"/>
    </row>
    <row r="62" ht="15.75" customHeight="1" outlineLevel="1">
      <c r="A62" s="190"/>
      <c r="B62" s="204"/>
      <c r="C62" s="191"/>
      <c r="D62" s="205" t="str">
        <f>IFERROR(VLOOKUP($C62,'PORTIFÓLIO'!C:V,2,0),"")</f>
        <v/>
      </c>
      <c r="E62" s="190" t="str">
        <f>IFERROR(VLOOKUP($C62,'PORTIFÓLIO'!C:V,3,0),"")</f>
        <v/>
      </c>
      <c r="F62" s="190" t="str">
        <f>IFERROR(VLOOKUP($C62,'PORTIFÓLIO'!C:V,4,0),"")</f>
        <v/>
      </c>
      <c r="G62" s="206" t="str">
        <f>IFERROR(VLOOKUP($C62,'PORTIFÓLIO'!C:V,5,0),"")</f>
        <v/>
      </c>
      <c r="H62" s="247" t="str">
        <f t="array" ref="H62">IFERROR(INDEX('PORTIFÓLIO'!$H$4:$H$433,MATCH($C62,'PORTIFÓLIO'!$C$4:$C$433,0)),"")</f>
        <v/>
      </c>
      <c r="I62" s="257"/>
      <c r="J62" s="209">
        <f t="shared" si="6"/>
        <v>0</v>
      </c>
      <c r="K62" s="210" t="str">
        <f t="array" ref="K62">IFERROR(I62*INDEX('PORTIFÓLIO'!$S$4:$S$433,MATCH($C62,'PORTIFÓLIO'!$C$4:$C$433,0)),"")</f>
        <v/>
      </c>
      <c r="L62" s="210" t="str">
        <f t="array" ref="L62">IFERROR(J62*INDEX('PORTIFÓLIO'!$S$4:$S$433,MATCH($C62,'PORTIFÓLIO'!$C$4:$C$433,0)),"")</f>
        <v/>
      </c>
      <c r="M62" s="177"/>
      <c r="N62" s="177"/>
      <c r="O62" s="177"/>
      <c r="P62" s="177"/>
      <c r="Q62" s="177"/>
      <c r="R62" s="177"/>
      <c r="S62" s="177"/>
      <c r="T62" s="177"/>
      <c r="U62" s="177"/>
      <c r="V62" s="177"/>
      <c r="W62" s="177"/>
    </row>
    <row r="63" ht="15.75" customHeight="1">
      <c r="A63" s="221" t="s">
        <v>1186</v>
      </c>
      <c r="B63" s="197"/>
      <c r="C63" s="196"/>
      <c r="D63" s="198"/>
      <c r="E63" s="196"/>
      <c r="F63" s="196"/>
      <c r="G63" s="199"/>
      <c r="H63" s="199"/>
      <c r="I63" s="252"/>
      <c r="J63" s="202"/>
      <c r="K63" s="203">
        <f t="shared" ref="K63:L63" si="7">SUBTOTAL(9,K64:K76)</f>
        <v>266.77486</v>
      </c>
      <c r="L63" s="203">
        <f t="shared" si="7"/>
        <v>29345.2346</v>
      </c>
      <c r="M63" s="177"/>
      <c r="N63" s="177"/>
      <c r="O63" s="177"/>
      <c r="P63" s="177"/>
      <c r="Q63" s="177"/>
      <c r="R63" s="177"/>
      <c r="S63" s="177"/>
      <c r="T63" s="177"/>
      <c r="U63" s="177"/>
      <c r="V63" s="177"/>
      <c r="W63" s="177"/>
    </row>
    <row r="64" ht="15.75" customHeight="1" outlineLevel="1">
      <c r="A64" s="191"/>
      <c r="B64" s="204" t="s">
        <v>5</v>
      </c>
      <c r="C64" s="191" t="s">
        <v>1049</v>
      </c>
      <c r="D64" s="205" t="str">
        <f>IFERROR(VLOOKUP($C64,'PORTIFÓLIO'!C:V,2,0),"")</f>
        <v/>
      </c>
      <c r="E64" s="190" t="str">
        <f>IFERROR(VLOOKUP($C64,'PORTIFÓLIO'!C:V,3,0),"")</f>
        <v/>
      </c>
      <c r="F64" s="190" t="str">
        <f>IFERROR(VLOOKUP($C64,'PORTIFÓLIO'!C:V,4,0),"")</f>
        <v/>
      </c>
      <c r="G64" s="223" t="str">
        <f>IFERROR(VLOOKUP($C64,'PORTIFÓLIO'!C:V,5,0),"")</f>
        <v>📄 Ver bula</v>
      </c>
      <c r="H64" s="247" t="str">
        <f t="array" ref="H64">IFERROR(INDEX('PORTIFÓLIO'!$H$4:$H$433,MATCH($C64,'PORTIFÓLIO'!$C$4:$C$433,0)),"")</f>
        <v/>
      </c>
      <c r="I64" s="253">
        <v>0.04</v>
      </c>
      <c r="J64" s="209">
        <f t="shared" ref="J64:J80" si="8">I64*$B$2</f>
        <v>4.4</v>
      </c>
      <c r="K64" s="210">
        <f t="array" ref="K64">IFERROR(I64*INDEX('PORTIFÓLIO'!$S$4:$S$433,MATCH($C64,'PORTIFÓLIO'!$C$4:$C$433,0)),"")</f>
        <v>0</v>
      </c>
      <c r="L64" s="210">
        <f t="array" ref="L64">IFERROR(J64*INDEX('PORTIFÓLIO'!$S$4:$S$433,MATCH($C64,'PORTIFÓLIO'!$C$4:$C$433,0)),"")</f>
        <v>0</v>
      </c>
      <c r="M64" s="177"/>
      <c r="N64" s="177"/>
      <c r="O64" s="177"/>
      <c r="P64" s="177"/>
      <c r="Q64" s="177"/>
      <c r="R64" s="177"/>
      <c r="S64" s="177"/>
      <c r="T64" s="177"/>
      <c r="U64" s="177"/>
      <c r="V64" s="177"/>
      <c r="W64" s="177"/>
    </row>
    <row r="65" ht="15.75" customHeight="1" outlineLevel="1">
      <c r="A65" s="190"/>
      <c r="B65" s="204" t="s">
        <v>3</v>
      </c>
      <c r="C65" s="191" t="s">
        <v>1011</v>
      </c>
      <c r="D65" s="205" t="str">
        <f>IFERROR(VLOOKUP($C65,'PORTIFÓLIO'!C:V,2,0),"")</f>
        <v>METALAXIL-M + TIABENDAZOL + FLUDIOXONIL +
 TIAMETOXAM</v>
      </c>
      <c r="E65" s="190" t="str">
        <f>IFERROR(VLOOKUP($C65,'PORTIFÓLIO'!C:V,3,0),"")</f>
        <v>20 + 150 + 25 + 350</v>
      </c>
      <c r="F65" s="190" t="str">
        <f>IFERROR(VLOOKUP($C65,'PORTIFÓLIO'!C:V,4,0),"")</f>
        <v/>
      </c>
      <c r="G65" s="223" t="str">
        <f>IFERROR(VLOOKUP($C65,'PORTIFÓLIO'!C:V,5,0),"")</f>
        <v>📄 Ver bula</v>
      </c>
      <c r="H65" s="247">
        <f t="array" ref="H65">IFERROR(INDEX('PORTIFÓLIO'!$H$4:$H$433,MATCH($C65,'PORTIFÓLIO'!$C$4:$C$433,0)),"")</f>
        <v>0.05</v>
      </c>
      <c r="I65" s="253">
        <v>0.05</v>
      </c>
      <c r="J65" s="209">
        <f t="shared" si="8"/>
        <v>5.5</v>
      </c>
      <c r="K65" s="210">
        <f t="array" ref="K65">IFERROR(I65*INDEX('PORTIFÓLIO'!$S$4:$S$433,MATCH($C65,'PORTIFÓLIO'!$C$4:$C$433,0)),"")</f>
        <v>25.27</v>
      </c>
      <c r="L65" s="210">
        <f t="array" ref="L65">IFERROR(J65*INDEX('PORTIFÓLIO'!$S$4:$S$433,MATCH($C65,'PORTIFÓLIO'!$C$4:$C$433,0)),"")</f>
        <v>2779.7</v>
      </c>
      <c r="M65" s="177"/>
      <c r="N65" s="177"/>
      <c r="O65" s="177"/>
      <c r="P65" s="177"/>
      <c r="Q65" s="177"/>
      <c r="R65" s="177"/>
      <c r="S65" s="177"/>
      <c r="T65" s="177"/>
      <c r="U65" s="177"/>
      <c r="V65" s="177"/>
      <c r="W65" s="177"/>
    </row>
    <row r="66" ht="15.75" customHeight="1" outlineLevel="1">
      <c r="A66" s="190"/>
      <c r="B66" s="204" t="s">
        <v>3</v>
      </c>
      <c r="C66" s="191" t="s">
        <v>1007</v>
      </c>
      <c r="D66" s="205" t="str">
        <f>IFERROR(VLOOKUP($C66,'PORTIFÓLIO'!C:V,2,0),"")</f>
        <v>DIFENOCONAZOL</v>
      </c>
      <c r="E66" s="190">
        <f>IFERROR(VLOOKUP($C66,'PORTIFÓLIO'!C:V,3,0),"")</f>
        <v>150</v>
      </c>
      <c r="F66" s="190" t="str">
        <f>IFERROR(VLOOKUP($C66,'PORTIFÓLIO'!C:V,4,0),"")</f>
        <v/>
      </c>
      <c r="G66" s="223" t="str">
        <f>IFERROR(VLOOKUP($C66,'PORTIFÓLIO'!C:V,5,0),"")</f>
        <v>📄 Ver bula</v>
      </c>
      <c r="H66" s="247">
        <f t="array" ref="H66">IFERROR(INDEX('PORTIFÓLIO'!$H$4:$H$433,MATCH($C66,'PORTIFÓLIO'!$C$4:$C$433,0)),"")</f>
        <v>0.015</v>
      </c>
      <c r="I66" s="253">
        <v>0.02</v>
      </c>
      <c r="J66" s="209">
        <f t="shared" si="8"/>
        <v>2.2</v>
      </c>
      <c r="K66" s="210">
        <f t="array" ref="K66">IFERROR(I66*INDEX('PORTIFÓLIO'!$S$4:$S$433,MATCH($C66,'PORTIFÓLIO'!$C$4:$C$433,0)),"")</f>
        <v>1.78486</v>
      </c>
      <c r="L66" s="210">
        <f t="array" ref="L66">IFERROR(J66*INDEX('PORTIFÓLIO'!$S$4:$S$433,MATCH($C66,'PORTIFÓLIO'!$C$4:$C$433,0)),"")</f>
        <v>196.3346</v>
      </c>
      <c r="M66" s="177"/>
      <c r="N66" s="177"/>
      <c r="O66" s="177"/>
      <c r="P66" s="177"/>
      <c r="Q66" s="177"/>
      <c r="R66" s="177"/>
      <c r="S66" s="177"/>
      <c r="T66" s="177"/>
      <c r="U66" s="177"/>
      <c r="V66" s="177"/>
      <c r="W66" s="177"/>
    </row>
    <row r="67" ht="15.75" customHeight="1" outlineLevel="1">
      <c r="A67" s="190"/>
      <c r="B67" s="212" t="s">
        <v>4</v>
      </c>
      <c r="C67" s="213" t="s">
        <v>1094</v>
      </c>
      <c r="D67" s="205" t="str">
        <f>IFERROR(VLOOKUP($C67,'PORTIFÓLIO'!C:V,2,0),"")</f>
        <v>Bradyrhizobium sp.</v>
      </c>
      <c r="E67" s="190" t="str">
        <f>IFERROR(VLOOKUP($C67,'PORTIFÓLIO'!C:V,3,0),"")</f>
        <v/>
      </c>
      <c r="F67" s="190" t="str">
        <f>IFERROR(VLOOKUP($C67,'PORTIFÓLIO'!C:V,4,0),"")</f>
        <v>L</v>
      </c>
      <c r="G67" s="223" t="str">
        <f>IFERROR(VLOOKUP($C67,'PORTIFÓLIO'!C:V,5,0),"")</f>
        <v>📄 Ver bula</v>
      </c>
      <c r="H67" s="247">
        <f t="array" ref="H67">IFERROR(INDEX('PORTIFÓLIO'!$H$4:$H$433,MATCH($C67,'PORTIFÓLIO'!$C$4:$C$433,0)),"")</f>
        <v>2</v>
      </c>
      <c r="I67" s="253">
        <v>4.0</v>
      </c>
      <c r="J67" s="209">
        <f t="shared" si="8"/>
        <v>440</v>
      </c>
      <c r="K67" s="210">
        <f t="array" ref="K67">IFERROR(I67*INDEX('PORTIFÓLIO'!$S$4:$S$433,MATCH($C67,'PORTIFÓLIO'!$C$4:$C$433,0)),"")</f>
        <v>104</v>
      </c>
      <c r="L67" s="210">
        <f t="array" ref="L67">IFERROR(J67*INDEX('PORTIFÓLIO'!$S$4:$S$433,MATCH($C67,'PORTIFÓLIO'!$C$4:$C$433,0)),"")</f>
        <v>11440</v>
      </c>
      <c r="M67" s="177"/>
      <c r="N67" s="177"/>
      <c r="O67" s="177"/>
      <c r="P67" s="177"/>
      <c r="Q67" s="177"/>
      <c r="R67" s="177"/>
      <c r="S67" s="177"/>
      <c r="T67" s="177"/>
      <c r="U67" s="177"/>
      <c r="V67" s="177"/>
      <c r="W67" s="177"/>
    </row>
    <row r="68" ht="15.75" customHeight="1" outlineLevel="1">
      <c r="A68" s="190"/>
      <c r="B68" s="212" t="s">
        <v>4</v>
      </c>
      <c r="C68" s="213" t="s">
        <v>1092</v>
      </c>
      <c r="D68" s="205" t="str">
        <f>IFERROR(VLOOKUP($C68,'PORTIFÓLIO'!C:V,2,0),"")</f>
        <v>Azospirillum brasiliense</v>
      </c>
      <c r="E68" s="190" t="str">
        <f>IFERROR(VLOOKUP($C68,'PORTIFÓLIO'!C:V,3,0),"")</f>
        <v/>
      </c>
      <c r="F68" s="190" t="str">
        <f>IFERROR(VLOOKUP($C68,'PORTIFÓLIO'!C:V,4,0),"")</f>
        <v>L</v>
      </c>
      <c r="G68" s="223" t="str">
        <f>IFERROR(VLOOKUP($C68,'PORTIFÓLIO'!C:V,5,0),"")</f>
        <v>📄 Ver bula</v>
      </c>
      <c r="H68" s="247">
        <f t="array" ref="H68">IFERROR(INDEX('PORTIFÓLIO'!$H$4:$H$433,MATCH($C68,'PORTIFÓLIO'!$C$4:$C$433,0)),"")</f>
        <v>2</v>
      </c>
      <c r="I68" s="253">
        <v>1.0</v>
      </c>
      <c r="J68" s="209">
        <f t="shared" si="8"/>
        <v>110</v>
      </c>
      <c r="K68" s="210">
        <f t="array" ref="K68">IFERROR(I68*INDEX('PORTIFÓLIO'!$S$4:$S$433,MATCH($C68,'PORTIFÓLIO'!$C$4:$C$433,0)),"")</f>
        <v>36.4</v>
      </c>
      <c r="L68" s="210">
        <f t="array" ref="L68">IFERROR(J68*INDEX('PORTIFÓLIO'!$S$4:$S$433,MATCH($C68,'PORTIFÓLIO'!$C$4:$C$433,0)),"")</f>
        <v>4004</v>
      </c>
      <c r="M68" s="177"/>
      <c r="N68" s="177"/>
      <c r="O68" s="177"/>
      <c r="P68" s="177"/>
      <c r="Q68" s="177"/>
      <c r="R68" s="177"/>
      <c r="S68" s="177"/>
      <c r="T68" s="177"/>
      <c r="U68" s="177"/>
      <c r="V68" s="177"/>
      <c r="W68" s="177"/>
    </row>
    <row r="69" ht="15.75" customHeight="1" outlineLevel="1">
      <c r="A69" s="190"/>
      <c r="B69" s="212" t="s">
        <v>4</v>
      </c>
      <c r="C69" s="213" t="s">
        <v>1107</v>
      </c>
      <c r="D69" s="205" t="str">
        <f>IFERROR(VLOOKUP($C69,'PORTIFÓLIO'!C:V,2,0),"")</f>
        <v>Priestia aryabhattai</v>
      </c>
      <c r="E69" s="190" t="str">
        <f>IFERROR(VLOOKUP($C69,'PORTIFÓLIO'!C:V,3,0),"")</f>
        <v/>
      </c>
      <c r="F69" s="190" t="str">
        <f>IFERROR(VLOOKUP($C69,'PORTIFÓLIO'!C:V,4,0),"")</f>
        <v/>
      </c>
      <c r="G69" s="223" t="str">
        <f>IFERROR(VLOOKUP($C69,'PORTIFÓLIO'!C:V,5,0),"")</f>
        <v>📄 Ver bula</v>
      </c>
      <c r="H69" s="247">
        <f t="array" ref="H69">IFERROR(INDEX('PORTIFÓLIO'!$H$4:$H$433,MATCH($C69,'PORTIFÓLIO'!$C$4:$C$433,0)),"")</f>
        <v>2</v>
      </c>
      <c r="I69" s="253">
        <v>1.0</v>
      </c>
      <c r="J69" s="209">
        <f t="shared" si="8"/>
        <v>110</v>
      </c>
      <c r="K69" s="210">
        <f t="array" ref="K69">IFERROR(I69*INDEX('PORTIFÓLIO'!$S$4:$S$433,MATCH($C69,'PORTIFÓLIO'!$C$4:$C$433,0)),"")</f>
        <v>81.12</v>
      </c>
      <c r="L69" s="210">
        <f t="array" ref="L69">IFERROR(J69*INDEX('PORTIFÓLIO'!$S$4:$S$433,MATCH($C69,'PORTIFÓLIO'!$C$4:$C$433,0)),"")</f>
        <v>8923.2</v>
      </c>
      <c r="M69" s="177"/>
      <c r="N69" s="177"/>
      <c r="O69" s="177"/>
      <c r="P69" s="177"/>
      <c r="Q69" s="177"/>
      <c r="R69" s="177"/>
      <c r="S69" s="177"/>
      <c r="T69" s="177"/>
      <c r="U69" s="177"/>
      <c r="V69" s="177"/>
      <c r="W69" s="177"/>
    </row>
    <row r="70" ht="15.75" customHeight="1" outlineLevel="1">
      <c r="A70" s="190"/>
      <c r="B70" s="212" t="s">
        <v>4</v>
      </c>
      <c r="C70" s="213" t="s">
        <v>1187</v>
      </c>
      <c r="D70" s="205" t="str">
        <f>IFERROR(VLOOKUP($C70,'PORTIFÓLIO'!C:V,2,0),"")</f>
        <v/>
      </c>
      <c r="E70" s="190" t="str">
        <f>IFERROR(VLOOKUP($C70,'PORTIFÓLIO'!C:V,3,0),"")</f>
        <v/>
      </c>
      <c r="F70" s="190" t="str">
        <f>IFERROR(VLOOKUP($C70,'PORTIFÓLIO'!C:V,4,0),"")</f>
        <v/>
      </c>
      <c r="G70" s="206" t="str">
        <f>IFERROR(VLOOKUP($C70,'PORTIFÓLIO'!C:V,5,0),"")</f>
        <v/>
      </c>
      <c r="H70" s="247" t="str">
        <f t="array" ref="H70">IFERROR(INDEX('PORTIFÓLIO'!$H$4:$H$433,MATCH($C70,'PORTIFÓLIO'!$C$4:$C$433,0)),"")</f>
        <v/>
      </c>
      <c r="I70" s="253">
        <v>1.0</v>
      </c>
      <c r="J70" s="209">
        <f t="shared" si="8"/>
        <v>110</v>
      </c>
      <c r="K70" s="210" t="str">
        <f t="array" ref="K70">IFERROR(I70*INDEX('PORTIFÓLIO'!$S$4:$S$433,MATCH($C70,'PORTIFÓLIO'!$C$4:$C$433,0)),"")</f>
        <v/>
      </c>
      <c r="L70" s="210" t="str">
        <f t="array" ref="L70">IFERROR(J70*INDEX('PORTIFÓLIO'!$S$4:$S$433,MATCH($C70,'PORTIFÓLIO'!$C$4:$C$433,0)),"")</f>
        <v/>
      </c>
      <c r="M70" s="177"/>
      <c r="N70" s="177"/>
      <c r="O70" s="177"/>
      <c r="P70" s="177"/>
      <c r="Q70" s="177"/>
      <c r="R70" s="177"/>
      <c r="S70" s="177"/>
      <c r="T70" s="177"/>
      <c r="U70" s="177"/>
      <c r="V70" s="177"/>
      <c r="W70" s="177"/>
    </row>
    <row r="71" ht="15.75" customHeight="1" outlineLevel="1">
      <c r="A71" s="190"/>
      <c r="B71" s="212" t="s">
        <v>9</v>
      </c>
      <c r="C71" s="213" t="s">
        <v>1115</v>
      </c>
      <c r="D71" s="205" t="str">
        <f>IFERROR(VLOOKUP($C71,'PORTIFÓLIO'!C:V,2,0),"")</f>
        <v>Nutrifarm</v>
      </c>
      <c r="E71" s="190" t="str">
        <f>IFERROR(VLOOKUP($C71,'PORTIFÓLIO'!C:V,3,0),"")</f>
        <v/>
      </c>
      <c r="F71" s="190" t="str">
        <f>IFERROR(VLOOKUP($C71,'PORTIFÓLIO'!C:V,4,0),"")</f>
        <v>L</v>
      </c>
      <c r="G71" s="223" t="str">
        <f>IFERROR(VLOOKUP($C71,'PORTIFÓLIO'!C:V,5,0),"")</f>
        <v>📄 Ver bula</v>
      </c>
      <c r="H71" s="247">
        <f t="array" ref="H71">IFERROR(INDEX('PORTIFÓLIO'!$H$4:$H$433,MATCH($C71,'PORTIFÓLIO'!$C$4:$C$433,0)),"")</f>
        <v>0.2</v>
      </c>
      <c r="I71" s="253">
        <v>0.1</v>
      </c>
      <c r="J71" s="209">
        <f t="shared" si="8"/>
        <v>11</v>
      </c>
      <c r="K71" s="210">
        <f t="array" ref="K71">IFERROR(I71*INDEX('PORTIFÓLIO'!$S$4:$S$433,MATCH($C71,'PORTIFÓLIO'!$C$4:$C$433,0)),"")</f>
        <v>18.2</v>
      </c>
      <c r="L71" s="210">
        <f t="array" ref="L71">IFERROR(J71*INDEX('PORTIFÓLIO'!$S$4:$S$433,MATCH($C71,'PORTIFÓLIO'!$C$4:$C$433,0)),"")</f>
        <v>2002</v>
      </c>
      <c r="M71" s="177"/>
      <c r="N71" s="177"/>
      <c r="O71" s="177"/>
      <c r="P71" s="177"/>
      <c r="Q71" s="177"/>
      <c r="R71" s="177"/>
      <c r="S71" s="177"/>
      <c r="T71" s="177"/>
      <c r="U71" s="177"/>
      <c r="V71" s="177"/>
      <c r="W71" s="177"/>
    </row>
    <row r="72" ht="15.75" customHeight="1" outlineLevel="1">
      <c r="A72" s="190"/>
      <c r="B72" s="204"/>
      <c r="C72" s="191"/>
      <c r="D72" s="205" t="str">
        <f>IFERROR(VLOOKUP($C72,'PORTIFÓLIO'!C:V,2,0),"")</f>
        <v/>
      </c>
      <c r="E72" s="190" t="str">
        <f>IFERROR(VLOOKUP($C72,'PORTIFÓLIO'!C:V,3,0),"")</f>
        <v/>
      </c>
      <c r="F72" s="190" t="str">
        <f>IFERROR(VLOOKUP($C72,'PORTIFÓLIO'!C:V,4,0),"")</f>
        <v/>
      </c>
      <c r="G72" s="206" t="str">
        <f>IFERROR(VLOOKUP($C72,'PORTIFÓLIO'!C:V,5,0),"")</f>
        <v/>
      </c>
      <c r="H72" s="247" t="str">
        <f t="array" ref="H72">IFERROR(INDEX('PORTIFÓLIO'!$H$4:$H$433,MATCH($C72,'PORTIFÓLIO'!$C$4:$C$433,0)),"")</f>
        <v/>
      </c>
      <c r="I72" s="253"/>
      <c r="J72" s="209">
        <f t="shared" si="8"/>
        <v>0</v>
      </c>
      <c r="K72" s="210" t="str">
        <f t="array" ref="K72">IFERROR(I72*INDEX('PORTIFÓLIO'!$S$4:$S$433,MATCH($C72,'PORTIFÓLIO'!$C$4:$C$433,0)),"")</f>
        <v/>
      </c>
      <c r="L72" s="210" t="str">
        <f t="array" ref="L72">IFERROR(J72*INDEX('PORTIFÓLIO'!$S$4:$S$433,MATCH($C72,'PORTIFÓLIO'!$C$4:$C$433,0)),"")</f>
        <v/>
      </c>
      <c r="M72" s="177"/>
      <c r="N72" s="177"/>
      <c r="O72" s="177"/>
      <c r="P72" s="177"/>
      <c r="Q72" s="177"/>
      <c r="R72" s="177"/>
      <c r="S72" s="177"/>
      <c r="T72" s="177"/>
      <c r="U72" s="177"/>
      <c r="V72" s="177"/>
      <c r="W72" s="177"/>
    </row>
    <row r="73" ht="15.75" customHeight="1" outlineLevel="1">
      <c r="A73" s="190"/>
      <c r="B73" s="204"/>
      <c r="C73" s="191"/>
      <c r="D73" s="205" t="str">
        <f>IFERROR(VLOOKUP($C73,'PORTIFÓLIO'!C:V,2,0),"")</f>
        <v/>
      </c>
      <c r="E73" s="190" t="str">
        <f>IFERROR(VLOOKUP($C73,'PORTIFÓLIO'!C:V,3,0),"")</f>
        <v/>
      </c>
      <c r="F73" s="190" t="str">
        <f>IFERROR(VLOOKUP($C73,'PORTIFÓLIO'!C:V,4,0),"")</f>
        <v/>
      </c>
      <c r="G73" s="206" t="str">
        <f>IFERROR(VLOOKUP($C73,'PORTIFÓLIO'!C:V,5,0),"")</f>
        <v/>
      </c>
      <c r="H73" s="247" t="str">
        <f t="array" ref="H73">IFERROR(INDEX('PORTIFÓLIO'!$H$4:$H$433,MATCH($C73,'PORTIFÓLIO'!$C$4:$C$433,0)),"")</f>
        <v/>
      </c>
      <c r="I73" s="257"/>
      <c r="J73" s="209">
        <f t="shared" si="8"/>
        <v>0</v>
      </c>
      <c r="K73" s="210" t="str">
        <f t="array" ref="K73">IFERROR(I73*INDEX('PORTIFÓLIO'!$S$4:$S$433,MATCH($C73,'PORTIFÓLIO'!$C$4:$C$433,0)),"")</f>
        <v/>
      </c>
      <c r="L73" s="210" t="str">
        <f t="array" ref="L73">IFERROR(J73*INDEX('PORTIFÓLIO'!$S$4:$S$433,MATCH($C73,'PORTIFÓLIO'!$C$4:$C$433,0)),"")</f>
        <v/>
      </c>
      <c r="M73" s="177"/>
      <c r="N73" s="177"/>
      <c r="O73" s="177"/>
      <c r="P73" s="177"/>
      <c r="Q73" s="177"/>
      <c r="R73" s="177"/>
      <c r="S73" s="177"/>
      <c r="T73" s="177"/>
      <c r="U73" s="177"/>
      <c r="V73" s="177"/>
      <c r="W73" s="177"/>
    </row>
    <row r="74" ht="15.75" customHeight="1" outlineLevel="1">
      <c r="A74" s="190"/>
      <c r="B74" s="204"/>
      <c r="C74" s="191"/>
      <c r="D74" s="205" t="str">
        <f>IFERROR(VLOOKUP($C74,'PORTIFÓLIO'!C:V,2,0),"")</f>
        <v/>
      </c>
      <c r="E74" s="190" t="str">
        <f>IFERROR(VLOOKUP($C74,'PORTIFÓLIO'!C:V,3,0),"")</f>
        <v/>
      </c>
      <c r="F74" s="190" t="str">
        <f>IFERROR(VLOOKUP($C74,'PORTIFÓLIO'!C:V,4,0),"")</f>
        <v/>
      </c>
      <c r="G74" s="206" t="str">
        <f>IFERROR(VLOOKUP($C74,'PORTIFÓLIO'!C:V,5,0),"")</f>
        <v/>
      </c>
      <c r="H74" s="247" t="str">
        <f t="array" ref="H74">IFERROR(INDEX('PORTIFÓLIO'!$H$4:$H$433,MATCH($C74,'PORTIFÓLIO'!$C$4:$C$433,0)),"")</f>
        <v/>
      </c>
      <c r="I74" s="257"/>
      <c r="J74" s="209">
        <f t="shared" si="8"/>
        <v>0</v>
      </c>
      <c r="K74" s="210" t="str">
        <f t="array" ref="K74">IFERROR(I74*INDEX('PORTIFÓLIO'!$S$4:$S$433,MATCH($C74,'PORTIFÓLIO'!$C$4:$C$433,0)),"")</f>
        <v/>
      </c>
      <c r="L74" s="210" t="str">
        <f t="array" ref="L74">IFERROR(J74*INDEX('PORTIFÓLIO'!$S$4:$S$433,MATCH($C74,'PORTIFÓLIO'!$C$4:$C$433,0)),"")</f>
        <v/>
      </c>
      <c r="M74" s="177"/>
      <c r="N74" s="177"/>
      <c r="O74" s="177"/>
      <c r="P74" s="177"/>
      <c r="Q74" s="177"/>
      <c r="R74" s="177"/>
      <c r="S74" s="177"/>
      <c r="T74" s="177"/>
      <c r="U74" s="177"/>
      <c r="V74" s="177"/>
      <c r="W74" s="177"/>
    </row>
    <row r="75" ht="15.75" customHeight="1" outlineLevel="1">
      <c r="A75" s="190"/>
      <c r="B75" s="204"/>
      <c r="C75" s="191"/>
      <c r="D75" s="205" t="str">
        <f>IFERROR(VLOOKUP($C75,'PORTIFÓLIO'!C:V,2,0),"")</f>
        <v/>
      </c>
      <c r="E75" s="190" t="str">
        <f>IFERROR(VLOOKUP($C75,'PORTIFÓLIO'!C:V,3,0),"")</f>
        <v/>
      </c>
      <c r="F75" s="190" t="str">
        <f>IFERROR(VLOOKUP($C75,'PORTIFÓLIO'!C:V,4,0),"")</f>
        <v/>
      </c>
      <c r="G75" s="206" t="str">
        <f>IFERROR(VLOOKUP($C75,'PORTIFÓLIO'!C:V,5,0),"")</f>
        <v/>
      </c>
      <c r="H75" s="247" t="str">
        <f t="array" ref="H75">IFERROR(INDEX('PORTIFÓLIO'!$H$4:$H$433,MATCH($C75,'PORTIFÓLIO'!$C$4:$C$433,0)),"")</f>
        <v/>
      </c>
      <c r="I75" s="257"/>
      <c r="J75" s="209">
        <f t="shared" si="8"/>
        <v>0</v>
      </c>
      <c r="K75" s="210" t="str">
        <f t="array" ref="K75">IFERROR(I75*INDEX('PORTIFÓLIO'!$S$4:$S$433,MATCH($C75,'PORTIFÓLIO'!$C$4:$C$433,0)),"")</f>
        <v/>
      </c>
      <c r="L75" s="210" t="str">
        <f t="array" ref="L75">IFERROR(J75*INDEX('PORTIFÓLIO'!$S$4:$S$433,MATCH($C75,'PORTIFÓLIO'!$C$4:$C$433,0)),"")</f>
        <v/>
      </c>
      <c r="M75" s="177"/>
      <c r="N75" s="177"/>
      <c r="O75" s="177"/>
      <c r="P75" s="177"/>
      <c r="Q75" s="177"/>
      <c r="R75" s="177"/>
      <c r="S75" s="177"/>
      <c r="T75" s="177"/>
      <c r="U75" s="177"/>
      <c r="V75" s="177"/>
      <c r="W75" s="177"/>
    </row>
    <row r="76" ht="15.75" customHeight="1" outlineLevel="1">
      <c r="A76" s="190"/>
      <c r="B76" s="204"/>
      <c r="C76" s="191"/>
      <c r="D76" s="205" t="str">
        <f>IFERROR(VLOOKUP($C76,'PORTIFÓLIO'!C:V,2,0),"")</f>
        <v/>
      </c>
      <c r="E76" s="190" t="str">
        <f>IFERROR(VLOOKUP($C76,'PORTIFÓLIO'!C:V,3,0),"")</f>
        <v/>
      </c>
      <c r="F76" s="190" t="str">
        <f>IFERROR(VLOOKUP($C76,'PORTIFÓLIO'!C:V,4,0),"")</f>
        <v/>
      </c>
      <c r="G76" s="206" t="str">
        <f>IFERROR(VLOOKUP($C76,'PORTIFÓLIO'!C:V,5,0),"")</f>
        <v/>
      </c>
      <c r="H76" s="247" t="str">
        <f t="array" ref="H76">IFERROR(INDEX('PORTIFÓLIO'!$H$4:$H$433,MATCH($C76,'PORTIFÓLIO'!$C$4:$C$433,0)),"")</f>
        <v/>
      </c>
      <c r="I76" s="257"/>
      <c r="J76" s="209">
        <f t="shared" si="8"/>
        <v>0</v>
      </c>
      <c r="K76" s="210" t="str">
        <f t="array" ref="K76">IFERROR(I76*INDEX('PORTIFÓLIO'!$S$4:$S$433,MATCH($C76,'PORTIFÓLIO'!$C$4:$C$433,0)),"")</f>
        <v/>
      </c>
      <c r="L76" s="210" t="str">
        <f t="array" ref="L76">IFERROR(J76*INDEX('PORTIFÓLIO'!$S$4:$S$433,MATCH($C76,'PORTIFÓLIO'!$C$4:$C$433,0)),"")</f>
        <v/>
      </c>
      <c r="M76" s="177"/>
      <c r="N76" s="177"/>
      <c r="O76" s="177"/>
      <c r="P76" s="177"/>
      <c r="Q76" s="177"/>
      <c r="R76" s="177"/>
      <c r="S76" s="177"/>
      <c r="T76" s="177"/>
      <c r="U76" s="177"/>
      <c r="V76" s="177"/>
      <c r="W76" s="177"/>
    </row>
    <row r="77" ht="15.75" customHeight="1" outlineLevel="1">
      <c r="A77" s="190"/>
      <c r="B77" s="204"/>
      <c r="C77" s="191"/>
      <c r="D77" s="205" t="str">
        <f>IFERROR(VLOOKUP($C77,'PORTIFÓLIO'!C:V,2,0),"")</f>
        <v/>
      </c>
      <c r="E77" s="190" t="str">
        <f>IFERROR(VLOOKUP($C77,'PORTIFÓLIO'!C:V,3,0),"")</f>
        <v/>
      </c>
      <c r="F77" s="190" t="str">
        <f>IFERROR(VLOOKUP($C77,'PORTIFÓLIO'!C:V,4,0),"")</f>
        <v/>
      </c>
      <c r="G77" s="206" t="str">
        <f>IFERROR(VLOOKUP($C77,'PORTIFÓLIO'!C:V,5,0),"")</f>
        <v/>
      </c>
      <c r="H77" s="247" t="str">
        <f t="array" ref="H77">IFERROR(INDEX('PORTIFÓLIO'!$H$4:$H$433,MATCH($C77,'PORTIFÓLIO'!$C$4:$C$433,0)),"")</f>
        <v/>
      </c>
      <c r="I77" s="257"/>
      <c r="J77" s="209">
        <f t="shared" si="8"/>
        <v>0</v>
      </c>
      <c r="K77" s="210" t="str">
        <f t="array" ref="K77">IFERROR(I77*INDEX('PORTIFÓLIO'!$S$4:$S$433,MATCH($C77,'PORTIFÓLIO'!$C$4:$C$433,0)),"")</f>
        <v/>
      </c>
      <c r="L77" s="210" t="str">
        <f t="array" ref="L77">IFERROR(J77*INDEX('PORTIFÓLIO'!$S$4:$S$433,MATCH($C77,'PORTIFÓLIO'!$C$4:$C$433,0)),"")</f>
        <v/>
      </c>
      <c r="M77" s="177"/>
      <c r="N77" s="177"/>
      <c r="O77" s="177"/>
      <c r="P77" s="177"/>
      <c r="Q77" s="177"/>
      <c r="R77" s="177"/>
      <c r="S77" s="177"/>
      <c r="T77" s="177"/>
      <c r="U77" s="177"/>
      <c r="V77" s="177"/>
      <c r="W77" s="177"/>
    </row>
    <row r="78" ht="15.75" customHeight="1" outlineLevel="1">
      <c r="A78" s="190"/>
      <c r="B78" s="204"/>
      <c r="C78" s="191"/>
      <c r="D78" s="205" t="str">
        <f>IFERROR(VLOOKUP($C78,'PORTIFÓLIO'!C:V,2,0),"")</f>
        <v/>
      </c>
      <c r="E78" s="190" t="str">
        <f>IFERROR(VLOOKUP($C78,'PORTIFÓLIO'!C:V,3,0),"")</f>
        <v/>
      </c>
      <c r="F78" s="190" t="str">
        <f>IFERROR(VLOOKUP($C78,'PORTIFÓLIO'!C:V,4,0),"")</f>
        <v/>
      </c>
      <c r="G78" s="206" t="str">
        <f>IFERROR(VLOOKUP($C78,'PORTIFÓLIO'!C:V,5,0),"")</f>
        <v/>
      </c>
      <c r="H78" s="247" t="str">
        <f t="array" ref="H78">IFERROR(INDEX('PORTIFÓLIO'!$H$4:$H$433,MATCH($C78,'PORTIFÓLIO'!$C$4:$C$433,0)),"")</f>
        <v/>
      </c>
      <c r="I78" s="257"/>
      <c r="J78" s="209">
        <f t="shared" si="8"/>
        <v>0</v>
      </c>
      <c r="K78" s="210" t="str">
        <f t="array" ref="K78">IFERROR(I78*INDEX('PORTIFÓLIO'!$S$4:$S$433,MATCH($C78,'PORTIFÓLIO'!$C$4:$C$433,0)),"")</f>
        <v/>
      </c>
      <c r="L78" s="210" t="str">
        <f t="array" ref="L78">IFERROR(J78*INDEX('PORTIFÓLIO'!$S$4:$S$433,MATCH($C78,'PORTIFÓLIO'!$C$4:$C$433,0)),"")</f>
        <v/>
      </c>
      <c r="M78" s="177"/>
      <c r="N78" s="177"/>
      <c r="O78" s="177"/>
      <c r="P78" s="177"/>
      <c r="Q78" s="177"/>
      <c r="R78" s="177"/>
      <c r="S78" s="177"/>
      <c r="T78" s="177"/>
      <c r="U78" s="177"/>
      <c r="V78" s="177"/>
      <c r="W78" s="177"/>
    </row>
    <row r="79" ht="15.75" customHeight="1" outlineLevel="1">
      <c r="A79" s="190"/>
      <c r="B79" s="204"/>
      <c r="C79" s="191"/>
      <c r="D79" s="205" t="str">
        <f>IFERROR(VLOOKUP($C79,'PORTIFÓLIO'!C:V,2,0),"")</f>
        <v/>
      </c>
      <c r="E79" s="190" t="str">
        <f>IFERROR(VLOOKUP($C79,'PORTIFÓLIO'!C:V,3,0),"")</f>
        <v/>
      </c>
      <c r="F79" s="190" t="str">
        <f>IFERROR(VLOOKUP($C79,'PORTIFÓLIO'!C:V,4,0),"")</f>
        <v/>
      </c>
      <c r="G79" s="206" t="str">
        <f>IFERROR(VLOOKUP($C79,'PORTIFÓLIO'!C:V,5,0),"")</f>
        <v/>
      </c>
      <c r="H79" s="247" t="str">
        <f t="array" ref="H79">IFERROR(INDEX('PORTIFÓLIO'!$H$4:$H$433,MATCH($C79,'PORTIFÓLIO'!$C$4:$C$433,0)),"")</f>
        <v/>
      </c>
      <c r="I79" s="257"/>
      <c r="J79" s="209">
        <f t="shared" si="8"/>
        <v>0</v>
      </c>
      <c r="K79" s="210" t="str">
        <f t="array" ref="K79">IFERROR(I79*INDEX('PORTIFÓLIO'!$S$4:$S$433,MATCH($C79,'PORTIFÓLIO'!$C$4:$C$433,0)),"")</f>
        <v/>
      </c>
      <c r="L79" s="210" t="str">
        <f t="array" ref="L79">IFERROR(J79*INDEX('PORTIFÓLIO'!$S$4:$S$433,MATCH($C79,'PORTIFÓLIO'!$C$4:$C$433,0)),"")</f>
        <v/>
      </c>
      <c r="M79" s="177"/>
      <c r="N79" s="177"/>
      <c r="O79" s="177"/>
      <c r="P79" s="177"/>
      <c r="Q79" s="177"/>
      <c r="R79" s="177"/>
      <c r="S79" s="177"/>
      <c r="T79" s="177"/>
      <c r="U79" s="177"/>
      <c r="V79" s="177"/>
      <c r="W79" s="177"/>
    </row>
    <row r="80" ht="15.75" customHeight="1" outlineLevel="1">
      <c r="A80" s="190"/>
      <c r="B80" s="204"/>
      <c r="C80" s="191"/>
      <c r="D80" s="205" t="str">
        <f>IFERROR(VLOOKUP($C80,'PORTIFÓLIO'!C:V,2,0),"")</f>
        <v/>
      </c>
      <c r="E80" s="190" t="str">
        <f>IFERROR(VLOOKUP($C80,'PORTIFÓLIO'!C:V,3,0),"")</f>
        <v/>
      </c>
      <c r="F80" s="190" t="str">
        <f>IFERROR(VLOOKUP($C80,'PORTIFÓLIO'!C:V,4,0),"")</f>
        <v/>
      </c>
      <c r="G80" s="206" t="str">
        <f>IFERROR(VLOOKUP($C80,'PORTIFÓLIO'!C:V,5,0),"")</f>
        <v/>
      </c>
      <c r="H80" s="247" t="str">
        <f t="array" ref="H80">IFERROR(INDEX('PORTIFÓLIO'!$H$4:$H$433,MATCH($C80,'PORTIFÓLIO'!$C$4:$C$433,0)),"")</f>
        <v/>
      </c>
      <c r="I80" s="257"/>
      <c r="J80" s="209">
        <f t="shared" si="8"/>
        <v>0</v>
      </c>
      <c r="K80" s="210" t="str">
        <f t="array" ref="K80">IFERROR(I80*INDEX('PORTIFÓLIO'!$S$4:$S$433,MATCH($C80,'PORTIFÓLIO'!$C$4:$C$433,0)),"")</f>
        <v/>
      </c>
      <c r="L80" s="210" t="str">
        <f t="array" ref="L80">IFERROR(J80*INDEX('PORTIFÓLIO'!$S$4:$S$433,MATCH($C80,'PORTIFÓLIO'!$C$4:$C$433,0)),"")</f>
        <v/>
      </c>
      <c r="M80" s="177"/>
      <c r="N80" s="177"/>
      <c r="O80" s="177"/>
      <c r="P80" s="177"/>
      <c r="Q80" s="177"/>
      <c r="R80" s="177"/>
      <c r="S80" s="177"/>
      <c r="T80" s="177"/>
      <c r="U80" s="177"/>
      <c r="V80" s="177"/>
      <c r="W80" s="177"/>
    </row>
    <row r="81" ht="15.75" customHeight="1">
      <c r="A81" s="221" t="s">
        <v>1188</v>
      </c>
      <c r="B81" s="197"/>
      <c r="C81" s="196"/>
      <c r="D81" s="198" t="s">
        <v>216</v>
      </c>
      <c r="E81" s="196"/>
      <c r="F81" s="196"/>
      <c r="G81" s="199"/>
      <c r="H81" s="199"/>
      <c r="I81" s="252"/>
      <c r="J81" s="202"/>
      <c r="K81" s="203">
        <f t="shared" ref="K81:L81" si="9">SUBTOTAL(9,K82:K95)</f>
        <v>101.255316</v>
      </c>
      <c r="L81" s="203">
        <f t="shared" si="9"/>
        <v>11138.08476</v>
      </c>
      <c r="M81" s="177"/>
      <c r="N81" s="177"/>
      <c r="O81" s="177"/>
      <c r="P81" s="177"/>
      <c r="Q81" s="177"/>
      <c r="R81" s="177"/>
      <c r="S81" s="177"/>
      <c r="T81" s="177"/>
      <c r="U81" s="177"/>
      <c r="V81" s="177"/>
      <c r="W81" s="177"/>
    </row>
    <row r="82" ht="15.75" customHeight="1" outlineLevel="1">
      <c r="A82" s="191"/>
      <c r="B82" s="204" t="s">
        <v>1</v>
      </c>
      <c r="C82" s="191" t="s">
        <v>637</v>
      </c>
      <c r="D82" s="205" t="str">
        <f>IFERROR(VLOOKUP($C82,'PORTIFÓLIO'!C:V,2,0),"")</f>
        <v>GLIFOSATO-SAL DE AMÔNIO</v>
      </c>
      <c r="E82" s="190">
        <f>IFERROR(VLOOKUP($C82,'PORTIFÓLIO'!C:V,3,0),"")</f>
        <v>720</v>
      </c>
      <c r="F82" s="190" t="str">
        <f>IFERROR(VLOOKUP($C82,'PORTIFÓLIO'!C:V,4,0),"")</f>
        <v>L</v>
      </c>
      <c r="G82" s="223" t="str">
        <f>IFERROR(VLOOKUP($C82,'PORTIFÓLIO'!C:V,5,0),"")</f>
        <v>📄 Ver bula</v>
      </c>
      <c r="H82" s="247">
        <f t="array" ref="H82">IFERROR(INDEX('PORTIFÓLIO'!$H$4:$H$433,MATCH($C82,'PORTIFÓLIO'!$C$4:$C$433,0)),"")</f>
        <v>2</v>
      </c>
      <c r="I82" s="253">
        <v>2.0</v>
      </c>
      <c r="J82" s="209">
        <f t="shared" ref="J82:J96" si="10">I82*$B$2</f>
        <v>220</v>
      </c>
      <c r="K82" s="210">
        <f t="array" ref="K82">IFERROR(I82*INDEX('PORTIFÓLIO'!$S$4:$S$433,MATCH($C82,'PORTIFÓLIO'!$C$4:$C$433,0)),"")</f>
        <v>49.16</v>
      </c>
      <c r="L82" s="210">
        <f t="array" ref="L82">IFERROR(J82*INDEX('PORTIFÓLIO'!$S$4:$S$433,MATCH($C82,'PORTIFÓLIO'!$C$4:$C$433,0)),"")</f>
        <v>5407.6</v>
      </c>
      <c r="M82" s="177"/>
      <c r="N82" s="177"/>
      <c r="O82" s="177"/>
      <c r="P82" s="177"/>
      <c r="Q82" s="177"/>
      <c r="R82" s="177"/>
      <c r="S82" s="177"/>
      <c r="T82" s="177"/>
      <c r="U82" s="177"/>
      <c r="V82" s="177"/>
      <c r="W82" s="177"/>
    </row>
    <row r="83" ht="15.75" customHeight="1" outlineLevel="1">
      <c r="A83" s="190"/>
      <c r="B83" s="204" t="s">
        <v>1</v>
      </c>
      <c r="C83" s="191" t="s">
        <v>682</v>
      </c>
      <c r="D83" s="205" t="str">
        <f>IFERROR(VLOOKUP($C83,'PORTIFÓLIO'!C:V,2,0),"")</f>
        <v>CLETODIM</v>
      </c>
      <c r="E83" s="190">
        <f>IFERROR(VLOOKUP($C83,'PORTIFÓLIO'!C:V,3,0),"")</f>
        <v>240</v>
      </c>
      <c r="F83" s="190" t="str">
        <f>IFERROR(VLOOKUP($C83,'PORTIFÓLIO'!C:V,4,0),"")</f>
        <v>L</v>
      </c>
      <c r="G83" s="223" t="str">
        <f>IFERROR(VLOOKUP($C83,'PORTIFÓLIO'!C:V,5,0),"")</f>
        <v>📄 Ver bula</v>
      </c>
      <c r="H83" s="247">
        <f t="array" ref="H83">IFERROR(INDEX('PORTIFÓLIO'!$H$4:$H$433,MATCH($C83,'PORTIFÓLIO'!$C$4:$C$433,0)),"")</f>
        <v>0.4</v>
      </c>
      <c r="I83" s="253">
        <v>0.4</v>
      </c>
      <c r="J83" s="209">
        <f t="shared" si="10"/>
        <v>44</v>
      </c>
      <c r="K83" s="210">
        <f t="array" ref="K83">IFERROR(I83*INDEX('PORTIFÓLIO'!$S$4:$S$433,MATCH($C83,'PORTIFÓLIO'!$C$4:$C$433,0)),"")</f>
        <v>12.33916</v>
      </c>
      <c r="L83" s="210">
        <f t="array" ref="L83">IFERROR(J83*INDEX('PORTIFÓLIO'!$S$4:$S$433,MATCH($C83,'PORTIFÓLIO'!$C$4:$C$433,0)),"")</f>
        <v>1357.3076</v>
      </c>
      <c r="M83" s="177"/>
      <c r="N83" s="177"/>
      <c r="O83" s="177"/>
      <c r="P83" s="177"/>
      <c r="Q83" s="177"/>
      <c r="R83" s="177"/>
      <c r="S83" s="177"/>
      <c r="T83" s="177"/>
      <c r="U83" s="177"/>
      <c r="V83" s="177"/>
      <c r="W83" s="177"/>
    </row>
    <row r="84" ht="15.75" customHeight="1" outlineLevel="1">
      <c r="A84" s="190"/>
      <c r="B84" s="204" t="s">
        <v>0</v>
      </c>
      <c r="C84" s="191" t="s">
        <v>505</v>
      </c>
      <c r="D84" s="205" t="str">
        <f>IFERROR(VLOOKUP($C84,'PORTIFÓLIO'!C:V,2,0),"")</f>
        <v>TEBUCONAZOL</v>
      </c>
      <c r="E84" s="190">
        <f>IFERROR(VLOOKUP($C84,'PORTIFÓLIO'!C:V,3,0),"")</f>
        <v>430</v>
      </c>
      <c r="F84" s="190" t="str">
        <f>IFERROR(VLOOKUP($C84,'PORTIFÓLIO'!C:V,4,0),"")</f>
        <v>L</v>
      </c>
      <c r="G84" s="223" t="str">
        <f>IFERROR(VLOOKUP($C84,'PORTIFÓLIO'!C:V,5,0),"")</f>
        <v>📄 Ver bula</v>
      </c>
      <c r="H84" s="247">
        <f t="array" ref="H84">IFERROR(INDEX('PORTIFÓLIO'!$H$4:$H$433,MATCH($C84,'PORTIFÓLIO'!$C$4:$C$433,0)),"")</f>
        <v>0.4</v>
      </c>
      <c r="I84" s="253">
        <v>0.4</v>
      </c>
      <c r="J84" s="209">
        <f t="shared" si="10"/>
        <v>44</v>
      </c>
      <c r="K84" s="210">
        <f t="array" ref="K84">IFERROR(I84*INDEX('PORTIFÓLIO'!$S$4:$S$433,MATCH($C84,'PORTIFÓLIO'!$C$4:$C$433,0)),"")</f>
        <v>12.1824</v>
      </c>
      <c r="L84" s="210">
        <f t="array" ref="L84">IFERROR(J84*INDEX('PORTIFÓLIO'!$S$4:$S$433,MATCH($C84,'PORTIFÓLIO'!$C$4:$C$433,0)),"")</f>
        <v>1340.064</v>
      </c>
      <c r="M84" s="177"/>
      <c r="N84" s="177"/>
      <c r="O84" s="177"/>
      <c r="P84" s="177"/>
      <c r="Q84" s="177"/>
      <c r="R84" s="177"/>
      <c r="S84" s="177"/>
      <c r="T84" s="177"/>
      <c r="U84" s="177"/>
      <c r="V84" s="177"/>
      <c r="W84" s="177"/>
    </row>
    <row r="85" ht="15.75" customHeight="1" outlineLevel="1">
      <c r="A85" s="190"/>
      <c r="B85" s="204" t="s">
        <v>6</v>
      </c>
      <c r="C85" s="191" t="s">
        <v>351</v>
      </c>
      <c r="D85" s="205" t="str">
        <f>IFERROR(VLOOKUP($C85,'PORTIFÓLIO'!C:V,2,0),"")</f>
        <v>ÉSTER METILICO DE OLEO DE SOJA</v>
      </c>
      <c r="E85" s="190">
        <f>IFERROR(VLOOKUP($C85,'PORTIFÓLIO'!C:V,3,0),"")</f>
        <v>720</v>
      </c>
      <c r="F85" s="190" t="str">
        <f>IFERROR(VLOOKUP($C85,'PORTIFÓLIO'!C:V,4,0),"")</f>
        <v>L</v>
      </c>
      <c r="G85" s="223" t="str">
        <f>IFERROR(VLOOKUP($C85,'PORTIFÓLIO'!C:V,5,0),"")</f>
        <v>📄 Ver bula</v>
      </c>
      <c r="H85" s="247">
        <f t="array" ref="H85">IFERROR(INDEX('PORTIFÓLIO'!$H$4:$H$433,MATCH($C85,'PORTIFÓLIO'!$C$4:$C$433,0)),"")</f>
        <v>0.08</v>
      </c>
      <c r="I85" s="253">
        <v>0.2</v>
      </c>
      <c r="J85" s="209">
        <f t="shared" si="10"/>
        <v>22</v>
      </c>
      <c r="K85" s="210">
        <f t="array" ref="K85">IFERROR(I85*INDEX('PORTIFÓLIO'!$S$4:$S$433,MATCH($C85,'PORTIFÓLIO'!$C$4:$C$433,0)),"")</f>
        <v>2.968756</v>
      </c>
      <c r="L85" s="210">
        <f t="array" ref="L85">IFERROR(J85*INDEX('PORTIFÓLIO'!$S$4:$S$433,MATCH($C85,'PORTIFÓLIO'!$C$4:$C$433,0)),"")</f>
        <v>326.56316</v>
      </c>
      <c r="M85" s="177"/>
      <c r="N85" s="177"/>
      <c r="O85" s="177"/>
      <c r="P85" s="177"/>
      <c r="Q85" s="177"/>
      <c r="R85" s="177"/>
      <c r="S85" s="177"/>
      <c r="T85" s="177"/>
      <c r="U85" s="177"/>
      <c r="V85" s="177"/>
      <c r="W85" s="177"/>
    </row>
    <row r="86" ht="15.75" customHeight="1" outlineLevel="1">
      <c r="A86" s="190"/>
      <c r="B86" s="204" t="s">
        <v>9</v>
      </c>
      <c r="C86" s="191" t="s">
        <v>951</v>
      </c>
      <c r="D86" s="205" t="str">
        <f>IFERROR(VLOOKUP($C86,'PORTIFÓLIO'!C:V,2,0),"")</f>
        <v>N4%; P2O5 4%; S3,6%; Mn6%; Ni0,2%; Zn0,4%</v>
      </c>
      <c r="E86" s="190" t="str">
        <f>IFERROR(VLOOKUP($C86,'PORTIFÓLIO'!C:V,3,0),"")</f>
        <v>54,8g/l + 54,8g/l + 49,32g/l + 82,2g/l + 2,7g/l + 5,4g/l</v>
      </c>
      <c r="F86" s="190" t="str">
        <f>IFERROR(VLOOKUP($C86,'PORTIFÓLIO'!C:V,4,0),"")</f>
        <v>L</v>
      </c>
      <c r="G86" s="206" t="str">
        <f>IFERROR(VLOOKUP($C86,'PORTIFÓLIO'!C:V,5,0),"")</f>
        <v/>
      </c>
      <c r="H86" s="247">
        <f t="array" ref="H86">IFERROR(INDEX('PORTIFÓLIO'!$H$4:$H$433,MATCH($C86,'PORTIFÓLIO'!$C$4:$C$433,0)),"")</f>
        <v>0.5</v>
      </c>
      <c r="I86" s="253">
        <v>0.5</v>
      </c>
      <c r="J86" s="209">
        <f t="shared" si="10"/>
        <v>55</v>
      </c>
      <c r="K86" s="210">
        <f t="array" ref="K86">IFERROR(I86*INDEX('PORTIFÓLIO'!$S$4:$S$433,MATCH($C86,'PORTIFÓLIO'!$C$4:$C$433,0)),"")</f>
        <v>24.605</v>
      </c>
      <c r="L86" s="210">
        <f t="array" ref="L86">IFERROR(J86*INDEX('PORTIFÓLIO'!$S$4:$S$433,MATCH($C86,'PORTIFÓLIO'!$C$4:$C$433,0)),"")</f>
        <v>2706.55</v>
      </c>
      <c r="M86" s="177"/>
      <c r="N86" s="177"/>
      <c r="O86" s="177"/>
      <c r="P86" s="177"/>
      <c r="Q86" s="177"/>
      <c r="R86" s="177"/>
      <c r="S86" s="177"/>
      <c r="T86" s="177"/>
      <c r="U86" s="177"/>
      <c r="V86" s="177"/>
      <c r="W86" s="177"/>
    </row>
    <row r="87" ht="15.75" customHeight="1" outlineLevel="1">
      <c r="A87" s="190"/>
      <c r="B87" s="204"/>
      <c r="C87" s="191"/>
      <c r="D87" s="205" t="str">
        <f>IFERROR(VLOOKUP($C87,'PORTIFÓLIO'!C:V,2,0),"")</f>
        <v/>
      </c>
      <c r="E87" s="190" t="str">
        <f>IFERROR(VLOOKUP($C87,'PORTIFÓLIO'!C:V,3,0),"")</f>
        <v/>
      </c>
      <c r="F87" s="190" t="str">
        <f>IFERROR(VLOOKUP($C87,'PORTIFÓLIO'!C:V,4,0),"")</f>
        <v/>
      </c>
      <c r="G87" s="206" t="str">
        <f>IFERROR(VLOOKUP($C87,'PORTIFÓLIO'!C:V,5,0),"")</f>
        <v/>
      </c>
      <c r="H87" s="247" t="str">
        <f t="array" ref="H87">IFERROR(INDEX('PORTIFÓLIO'!$H$4:$H$433,MATCH($C87,'PORTIFÓLIO'!$C$4:$C$433,0)),"")</f>
        <v/>
      </c>
      <c r="I87" s="257"/>
      <c r="J87" s="209">
        <f t="shared" si="10"/>
        <v>0</v>
      </c>
      <c r="K87" s="210" t="str">
        <f t="array" ref="K87">IFERROR(I87*INDEX('PORTIFÓLIO'!$S$4:$S$433,MATCH($C87,'PORTIFÓLIO'!$C$4:$C$433,0)),"")</f>
        <v/>
      </c>
      <c r="L87" s="210" t="str">
        <f t="array" ref="L87">IFERROR(J87*INDEX('PORTIFÓLIO'!$S$4:$S$433,MATCH($C87,'PORTIFÓLIO'!$C$4:$C$433,0)),"")</f>
        <v/>
      </c>
      <c r="M87" s="177"/>
      <c r="N87" s="177"/>
      <c r="O87" s="177"/>
      <c r="P87" s="177"/>
      <c r="Q87" s="177"/>
      <c r="R87" s="177"/>
      <c r="S87" s="177"/>
      <c r="T87" s="177"/>
      <c r="U87" s="177"/>
      <c r="V87" s="177"/>
      <c r="W87" s="177"/>
    </row>
    <row r="88" ht="15.75" customHeight="1" outlineLevel="1">
      <c r="A88" s="190"/>
      <c r="B88" s="204"/>
      <c r="C88" s="191"/>
      <c r="D88" s="205" t="str">
        <f>IFERROR(VLOOKUP($C88,'PORTIFÓLIO'!C:V,2,0),"")</f>
        <v/>
      </c>
      <c r="E88" s="190" t="str">
        <f>IFERROR(VLOOKUP($C88,'PORTIFÓLIO'!C:V,3,0),"")</f>
        <v/>
      </c>
      <c r="F88" s="190" t="str">
        <f>IFERROR(VLOOKUP($C88,'PORTIFÓLIO'!C:V,4,0),"")</f>
        <v/>
      </c>
      <c r="G88" s="206" t="str">
        <f>IFERROR(VLOOKUP($C88,'PORTIFÓLIO'!C:V,5,0),"")</f>
        <v/>
      </c>
      <c r="H88" s="247" t="str">
        <f t="array" ref="H88">IFERROR(INDEX('PORTIFÓLIO'!$H$4:$H$433,MATCH($C88,'PORTIFÓLIO'!$C$4:$C$433,0)),"")</f>
        <v/>
      </c>
      <c r="I88" s="257"/>
      <c r="J88" s="209">
        <f t="shared" si="10"/>
        <v>0</v>
      </c>
      <c r="K88" s="210" t="str">
        <f t="array" ref="K88">IFERROR(I88*INDEX('PORTIFÓLIO'!$S$4:$S$433,MATCH($C88,'PORTIFÓLIO'!$C$4:$C$433,0)),"")</f>
        <v/>
      </c>
      <c r="L88" s="210" t="str">
        <f t="array" ref="L88">IFERROR(J88*INDEX('PORTIFÓLIO'!$S$4:$S$433,MATCH($C88,'PORTIFÓLIO'!$C$4:$C$433,0)),"")</f>
        <v/>
      </c>
      <c r="M88" s="177"/>
      <c r="N88" s="177"/>
      <c r="O88" s="177"/>
      <c r="P88" s="177"/>
      <c r="Q88" s="177"/>
      <c r="R88" s="177"/>
      <c r="S88" s="177"/>
      <c r="T88" s="177"/>
      <c r="U88" s="177"/>
      <c r="V88" s="177"/>
      <c r="W88" s="177"/>
    </row>
    <row r="89" ht="15.75" customHeight="1" outlineLevel="1">
      <c r="A89" s="190"/>
      <c r="B89" s="204"/>
      <c r="C89" s="191"/>
      <c r="D89" s="205" t="str">
        <f>IFERROR(VLOOKUP($C89,'PORTIFÓLIO'!C:V,2,0),"")</f>
        <v/>
      </c>
      <c r="E89" s="190" t="str">
        <f>IFERROR(VLOOKUP($C89,'PORTIFÓLIO'!C:V,3,0),"")</f>
        <v/>
      </c>
      <c r="F89" s="190" t="str">
        <f>IFERROR(VLOOKUP($C89,'PORTIFÓLIO'!C:V,4,0),"")</f>
        <v/>
      </c>
      <c r="G89" s="206" t="str">
        <f>IFERROR(VLOOKUP($C89,'PORTIFÓLIO'!C:V,5,0),"")</f>
        <v/>
      </c>
      <c r="H89" s="247" t="str">
        <f t="array" ref="H89">IFERROR(INDEX('PORTIFÓLIO'!$H$4:$H$433,MATCH($C89,'PORTIFÓLIO'!$C$4:$C$433,0)),"")</f>
        <v/>
      </c>
      <c r="I89" s="257"/>
      <c r="J89" s="209">
        <f t="shared" si="10"/>
        <v>0</v>
      </c>
      <c r="K89" s="210" t="str">
        <f t="array" ref="K89">IFERROR(I89*INDEX('PORTIFÓLIO'!$S$4:$S$433,MATCH($C89,'PORTIFÓLIO'!$C$4:$C$433,0)),"")</f>
        <v/>
      </c>
      <c r="L89" s="210" t="str">
        <f t="array" ref="L89">IFERROR(J89*INDEX('PORTIFÓLIO'!$S$4:$S$433,MATCH($C89,'PORTIFÓLIO'!$C$4:$C$433,0)),"")</f>
        <v/>
      </c>
      <c r="M89" s="177"/>
      <c r="N89" s="177"/>
      <c r="O89" s="177"/>
      <c r="P89" s="177"/>
      <c r="Q89" s="177"/>
      <c r="R89" s="177"/>
      <c r="S89" s="177"/>
      <c r="T89" s="177"/>
      <c r="U89" s="177"/>
      <c r="V89" s="177"/>
      <c r="W89" s="177"/>
    </row>
    <row r="90" ht="15.75" customHeight="1" outlineLevel="1">
      <c r="A90" s="190"/>
      <c r="B90" s="204"/>
      <c r="C90" s="191"/>
      <c r="D90" s="205" t="str">
        <f>IFERROR(VLOOKUP($C90,'PORTIFÓLIO'!C:V,2,0),"")</f>
        <v/>
      </c>
      <c r="E90" s="190" t="str">
        <f>IFERROR(VLOOKUP($C90,'PORTIFÓLIO'!C:V,3,0),"")</f>
        <v/>
      </c>
      <c r="F90" s="190" t="str">
        <f>IFERROR(VLOOKUP($C90,'PORTIFÓLIO'!C:V,4,0),"")</f>
        <v/>
      </c>
      <c r="G90" s="206" t="str">
        <f>IFERROR(VLOOKUP($C90,'PORTIFÓLIO'!C:V,5,0),"")</f>
        <v/>
      </c>
      <c r="H90" s="247" t="str">
        <f t="array" ref="H90">IFERROR(INDEX('PORTIFÓLIO'!$H$4:$H$433,MATCH($C90,'PORTIFÓLIO'!$C$4:$C$433,0)),"")</f>
        <v/>
      </c>
      <c r="I90" s="253"/>
      <c r="J90" s="209">
        <f t="shared" si="10"/>
        <v>0</v>
      </c>
      <c r="K90" s="210" t="str">
        <f t="array" ref="K90">IFERROR(I90*INDEX('PORTIFÓLIO'!$S$4:$S$433,MATCH($C90,'PORTIFÓLIO'!$C$4:$C$433,0)),"")</f>
        <v/>
      </c>
      <c r="L90" s="210" t="str">
        <f t="array" ref="L90">IFERROR(J90*INDEX('PORTIFÓLIO'!$S$4:$S$433,MATCH($C90,'PORTIFÓLIO'!$C$4:$C$433,0)),"")</f>
        <v/>
      </c>
      <c r="M90" s="177"/>
      <c r="N90" s="177"/>
      <c r="O90" s="177"/>
      <c r="P90" s="177"/>
      <c r="Q90" s="177"/>
      <c r="R90" s="177"/>
      <c r="S90" s="177"/>
      <c r="T90" s="177"/>
      <c r="U90" s="177"/>
      <c r="V90" s="177"/>
      <c r="W90" s="177"/>
    </row>
    <row r="91" ht="15.75" customHeight="1" outlineLevel="1">
      <c r="A91" s="190"/>
      <c r="B91" s="204"/>
      <c r="C91" s="191"/>
      <c r="D91" s="205" t="str">
        <f>IFERROR(VLOOKUP($C91,'PORTIFÓLIO'!C:V,2,0),"")</f>
        <v/>
      </c>
      <c r="E91" s="190" t="str">
        <f>IFERROR(VLOOKUP($C91,'PORTIFÓLIO'!C:V,3,0),"")</f>
        <v/>
      </c>
      <c r="F91" s="190" t="str">
        <f>IFERROR(VLOOKUP($C91,'PORTIFÓLIO'!C:V,4,0),"")</f>
        <v/>
      </c>
      <c r="G91" s="206" t="str">
        <f>IFERROR(VLOOKUP($C91,'PORTIFÓLIO'!C:V,5,0),"")</f>
        <v/>
      </c>
      <c r="H91" s="247" t="str">
        <f t="array" ref="H91">IFERROR(INDEX('PORTIFÓLIO'!$H$4:$H$433,MATCH($C91,'PORTIFÓLIO'!$C$4:$C$433,0)),"")</f>
        <v/>
      </c>
      <c r="I91" s="257"/>
      <c r="J91" s="209">
        <f t="shared" si="10"/>
        <v>0</v>
      </c>
      <c r="K91" s="210" t="str">
        <f t="array" ref="K91">IFERROR(I91*INDEX('PORTIFÓLIO'!$S$4:$S$433,MATCH($C91,'PORTIFÓLIO'!$C$4:$C$433,0)),"")</f>
        <v/>
      </c>
      <c r="L91" s="210" t="str">
        <f t="array" ref="L91">IFERROR(J91*INDEX('PORTIFÓLIO'!$S$4:$S$433,MATCH($C91,'PORTIFÓLIO'!$C$4:$C$433,0)),"")</f>
        <v/>
      </c>
      <c r="M91" s="177"/>
      <c r="N91" s="177"/>
      <c r="O91" s="177"/>
      <c r="P91" s="177"/>
      <c r="Q91" s="177"/>
      <c r="R91" s="177"/>
      <c r="S91" s="177"/>
      <c r="T91" s="177"/>
      <c r="U91" s="177"/>
      <c r="V91" s="177"/>
      <c r="W91" s="177"/>
    </row>
    <row r="92" ht="15.75" customHeight="1" outlineLevel="1">
      <c r="A92" s="190"/>
      <c r="B92" s="204"/>
      <c r="C92" s="191"/>
      <c r="D92" s="205" t="str">
        <f>IFERROR(VLOOKUP($C92,'PORTIFÓLIO'!C:V,2,0),"")</f>
        <v/>
      </c>
      <c r="E92" s="190" t="str">
        <f>IFERROR(VLOOKUP($C92,'PORTIFÓLIO'!C:V,3,0),"")</f>
        <v/>
      </c>
      <c r="F92" s="190" t="str">
        <f>IFERROR(VLOOKUP($C92,'PORTIFÓLIO'!C:V,4,0),"")</f>
        <v/>
      </c>
      <c r="G92" s="206" t="str">
        <f>IFERROR(VLOOKUP($C92,'PORTIFÓLIO'!C:V,5,0),"")</f>
        <v/>
      </c>
      <c r="H92" s="247" t="str">
        <f t="array" ref="H92">IFERROR(INDEX('PORTIFÓLIO'!$H$4:$H$433,MATCH($C92,'PORTIFÓLIO'!$C$4:$C$433,0)),"")</f>
        <v/>
      </c>
      <c r="I92" s="257"/>
      <c r="J92" s="209">
        <f t="shared" si="10"/>
        <v>0</v>
      </c>
      <c r="K92" s="210" t="str">
        <f t="array" ref="K92">IFERROR(I92*INDEX('PORTIFÓLIO'!$S$4:$S$433,MATCH($C92,'PORTIFÓLIO'!$C$4:$C$433,0)),"")</f>
        <v/>
      </c>
      <c r="L92" s="210" t="str">
        <f t="array" ref="L92">IFERROR(J92*INDEX('PORTIFÓLIO'!$S$4:$S$433,MATCH($C92,'PORTIFÓLIO'!$C$4:$C$433,0)),"")</f>
        <v/>
      </c>
      <c r="M92" s="177"/>
      <c r="N92" s="177"/>
      <c r="O92" s="177"/>
      <c r="P92" s="177"/>
      <c r="Q92" s="177"/>
      <c r="R92" s="177"/>
      <c r="S92" s="177"/>
      <c r="T92" s="177"/>
      <c r="U92" s="177"/>
      <c r="V92" s="177"/>
      <c r="W92" s="177"/>
    </row>
    <row r="93" ht="15.75" customHeight="1" outlineLevel="1">
      <c r="A93" s="190"/>
      <c r="B93" s="204"/>
      <c r="C93" s="191"/>
      <c r="D93" s="205" t="str">
        <f>IFERROR(VLOOKUP($C93,'PORTIFÓLIO'!C:V,2,0),"")</f>
        <v/>
      </c>
      <c r="E93" s="190" t="str">
        <f>IFERROR(VLOOKUP($C93,'PORTIFÓLIO'!C:V,3,0),"")</f>
        <v/>
      </c>
      <c r="F93" s="190" t="str">
        <f>IFERROR(VLOOKUP($C93,'PORTIFÓLIO'!C:V,4,0),"")</f>
        <v/>
      </c>
      <c r="G93" s="206" t="str">
        <f>IFERROR(VLOOKUP($C93,'PORTIFÓLIO'!C:V,5,0),"")</f>
        <v/>
      </c>
      <c r="H93" s="247" t="str">
        <f t="array" ref="H93">IFERROR(INDEX('PORTIFÓLIO'!$H$4:$H$433,MATCH($C93,'PORTIFÓLIO'!$C$4:$C$433,0)),"")</f>
        <v/>
      </c>
      <c r="I93" s="257"/>
      <c r="J93" s="209">
        <f t="shared" si="10"/>
        <v>0</v>
      </c>
      <c r="K93" s="210" t="str">
        <f t="array" ref="K93">IFERROR(I93*INDEX('PORTIFÓLIO'!$S$4:$S$433,MATCH($C93,'PORTIFÓLIO'!$C$4:$C$433,0)),"")</f>
        <v/>
      </c>
      <c r="L93" s="210" t="str">
        <f t="array" ref="L93">IFERROR(J93*INDEX('PORTIFÓLIO'!$S$4:$S$433,MATCH($C93,'PORTIFÓLIO'!$C$4:$C$433,0)),"")</f>
        <v/>
      </c>
      <c r="M93" s="177"/>
      <c r="N93" s="177"/>
      <c r="O93" s="177"/>
      <c r="P93" s="177"/>
      <c r="Q93" s="177"/>
      <c r="R93" s="177"/>
      <c r="S93" s="177"/>
      <c r="T93" s="177"/>
      <c r="U93" s="177"/>
      <c r="V93" s="177"/>
      <c r="W93" s="177"/>
    </row>
    <row r="94" ht="15.75" customHeight="1" outlineLevel="1">
      <c r="A94" s="190"/>
      <c r="B94" s="204"/>
      <c r="C94" s="191"/>
      <c r="D94" s="205" t="str">
        <f>IFERROR(VLOOKUP($C94,'PORTIFÓLIO'!C:V,2,0),"")</f>
        <v/>
      </c>
      <c r="E94" s="190" t="str">
        <f>IFERROR(VLOOKUP($C94,'PORTIFÓLIO'!C:V,3,0),"")</f>
        <v/>
      </c>
      <c r="F94" s="190" t="str">
        <f>IFERROR(VLOOKUP($C94,'PORTIFÓLIO'!C:V,4,0),"")</f>
        <v/>
      </c>
      <c r="G94" s="206" t="str">
        <f>IFERROR(VLOOKUP($C94,'PORTIFÓLIO'!C:V,5,0),"")</f>
        <v/>
      </c>
      <c r="H94" s="247" t="str">
        <f t="array" ref="H94">IFERROR(INDEX('PORTIFÓLIO'!$H$4:$H$433,MATCH($C94,'PORTIFÓLIO'!$C$4:$C$433,0)),"")</f>
        <v/>
      </c>
      <c r="I94" s="257"/>
      <c r="J94" s="209">
        <f t="shared" si="10"/>
        <v>0</v>
      </c>
      <c r="K94" s="210" t="str">
        <f t="array" ref="K94">IFERROR(I94*INDEX('PORTIFÓLIO'!$S$4:$S$433,MATCH($C94,'PORTIFÓLIO'!$C$4:$C$433,0)),"")</f>
        <v/>
      </c>
      <c r="L94" s="210" t="str">
        <f t="array" ref="L94">IFERROR(J94*INDEX('PORTIFÓLIO'!$S$4:$S$433,MATCH($C94,'PORTIFÓLIO'!$C$4:$C$433,0)),"")</f>
        <v/>
      </c>
      <c r="M94" s="177"/>
      <c r="N94" s="177"/>
      <c r="O94" s="177"/>
      <c r="P94" s="177"/>
      <c r="Q94" s="177"/>
      <c r="R94" s="177"/>
      <c r="S94" s="177"/>
      <c r="T94" s="177"/>
      <c r="U94" s="177"/>
      <c r="V94" s="177"/>
      <c r="W94" s="177"/>
    </row>
    <row r="95" ht="15.75" customHeight="1" outlineLevel="1">
      <c r="A95" s="190"/>
      <c r="B95" s="204"/>
      <c r="C95" s="191"/>
      <c r="D95" s="205" t="str">
        <f>IFERROR(VLOOKUP($C95,'PORTIFÓLIO'!C:V,2,0),"")</f>
        <v/>
      </c>
      <c r="E95" s="190" t="str">
        <f>IFERROR(VLOOKUP($C95,'PORTIFÓLIO'!C:V,3,0),"")</f>
        <v/>
      </c>
      <c r="F95" s="190" t="str">
        <f>IFERROR(VLOOKUP($C95,'PORTIFÓLIO'!C:V,4,0),"")</f>
        <v/>
      </c>
      <c r="G95" s="206" t="str">
        <f>IFERROR(VLOOKUP($C95,'PORTIFÓLIO'!C:V,5,0),"")</f>
        <v/>
      </c>
      <c r="H95" s="247" t="str">
        <f t="array" ref="H95">IFERROR(INDEX('PORTIFÓLIO'!$H$4:$H$433,MATCH($C95,'PORTIFÓLIO'!$C$4:$C$433,0)),"")</f>
        <v/>
      </c>
      <c r="I95" s="257"/>
      <c r="J95" s="209">
        <f t="shared" si="10"/>
        <v>0</v>
      </c>
      <c r="K95" s="210" t="str">
        <f t="array" ref="K95">IFERROR(I95*INDEX('PORTIFÓLIO'!$S$4:$S$433,MATCH($C95,'PORTIFÓLIO'!$C$4:$C$433,0)),"")</f>
        <v/>
      </c>
      <c r="L95" s="210" t="str">
        <f t="array" ref="L95">IFERROR(J95*INDEX('PORTIFÓLIO'!$S$4:$S$433,MATCH($C95,'PORTIFÓLIO'!$C$4:$C$433,0)),"")</f>
        <v/>
      </c>
      <c r="M95" s="177"/>
      <c r="N95" s="177"/>
      <c r="O95" s="177"/>
      <c r="P95" s="177"/>
      <c r="Q95" s="177"/>
      <c r="R95" s="177"/>
      <c r="S95" s="177"/>
      <c r="T95" s="177"/>
      <c r="U95" s="177"/>
      <c r="V95" s="177"/>
      <c r="W95" s="177"/>
    </row>
    <row r="96" ht="15.75" customHeight="1" outlineLevel="1">
      <c r="A96" s="190"/>
      <c r="B96" s="204"/>
      <c r="C96" s="191"/>
      <c r="D96" s="205" t="str">
        <f>IFERROR(VLOOKUP($C96,'PORTIFÓLIO'!C:V,2,0),"")</f>
        <v/>
      </c>
      <c r="E96" s="190" t="str">
        <f>IFERROR(VLOOKUP($C96,'PORTIFÓLIO'!C:V,3,0),"")</f>
        <v/>
      </c>
      <c r="F96" s="190" t="str">
        <f>IFERROR(VLOOKUP($C96,'PORTIFÓLIO'!C:V,4,0),"")</f>
        <v/>
      </c>
      <c r="G96" s="206" t="str">
        <f>IFERROR(VLOOKUP($C96,'PORTIFÓLIO'!C:V,5,0),"")</f>
        <v/>
      </c>
      <c r="H96" s="247" t="str">
        <f t="array" ref="H96">IFERROR(INDEX('PORTIFÓLIO'!$H$4:$H$433,MATCH($C96,'PORTIFÓLIO'!$C$4:$C$433,0)),"")</f>
        <v/>
      </c>
      <c r="I96" s="257"/>
      <c r="J96" s="209">
        <f t="shared" si="10"/>
        <v>0</v>
      </c>
      <c r="K96" s="210" t="str">
        <f t="array" ref="K96">IFERROR(I96*INDEX('PORTIFÓLIO'!$S$4:$S$433,MATCH($C96,'PORTIFÓLIO'!$C$4:$C$433,0)),"")</f>
        <v/>
      </c>
      <c r="L96" s="210" t="str">
        <f t="array" ref="L96">IFERROR(J96*INDEX('PORTIFÓLIO'!$S$4:$S$433,MATCH($C96,'PORTIFÓLIO'!$C$4:$C$433,0)),"")</f>
        <v/>
      </c>
      <c r="M96" s="177"/>
      <c r="N96" s="177"/>
      <c r="O96" s="177"/>
      <c r="P96" s="177"/>
      <c r="Q96" s="177"/>
      <c r="R96" s="177"/>
      <c r="S96" s="177"/>
      <c r="T96" s="177"/>
      <c r="U96" s="177"/>
      <c r="V96" s="177"/>
      <c r="W96" s="177"/>
    </row>
    <row r="97" ht="15.75" customHeight="1">
      <c r="A97" s="221" t="s">
        <v>1189</v>
      </c>
      <c r="B97" s="197"/>
      <c r="C97" s="196"/>
      <c r="D97" s="198"/>
      <c r="E97" s="196"/>
      <c r="F97" s="196"/>
      <c r="G97" s="199"/>
      <c r="H97" s="199"/>
      <c r="I97" s="252"/>
      <c r="J97" s="202"/>
      <c r="K97" s="203">
        <f t="shared" ref="K97:L97" si="11">SUBTOTAL(9,K98:K111)</f>
        <v>251.9479845</v>
      </c>
      <c r="L97" s="203">
        <f t="shared" si="11"/>
        <v>27714.2783</v>
      </c>
      <c r="M97" s="177"/>
      <c r="N97" s="177"/>
      <c r="O97" s="177"/>
      <c r="P97" s="177"/>
      <c r="Q97" s="177"/>
      <c r="R97" s="177"/>
      <c r="S97" s="177"/>
      <c r="T97" s="177"/>
      <c r="U97" s="177"/>
      <c r="V97" s="177"/>
      <c r="W97" s="177"/>
    </row>
    <row r="98" ht="15.75" customHeight="1" outlineLevel="1">
      <c r="A98" s="191"/>
      <c r="B98" s="204" t="s">
        <v>0</v>
      </c>
      <c r="C98" s="191" t="s">
        <v>443</v>
      </c>
      <c r="D98" s="205" t="str">
        <f>IFERROR(VLOOKUP($C98,'PORTIFÓLIO'!C:V,2,0),"")</f>
        <v>MEFENTRIFLUCONAZOL + PIRACLOSTROBINA +
 FLUXAPIROXADE</v>
      </c>
      <c r="E98" s="190" t="str">
        <f>IFERROR(VLOOKUP($C98,'PORTIFÓLIO'!C:V,3,0),"")</f>
        <v>133,3 + 177,8 + 88,9</v>
      </c>
      <c r="F98" s="190" t="str">
        <f>IFERROR(VLOOKUP($C98,'PORTIFÓLIO'!C:V,4,0),"")</f>
        <v>L</v>
      </c>
      <c r="G98" s="223" t="str">
        <f>IFERROR(VLOOKUP($C98,'PORTIFÓLIO'!C:V,5,0),"")</f>
        <v>📄 Ver bula</v>
      </c>
      <c r="H98" s="247">
        <f t="array" ref="H98">IFERROR(INDEX('PORTIFÓLIO'!$H$4:$H$433,MATCH($C98,'PORTIFÓLIO'!$C$4:$C$433,0)),"")</f>
        <v>0.7</v>
      </c>
      <c r="I98" s="253">
        <v>0.7</v>
      </c>
      <c r="J98" s="209">
        <f t="shared" ref="J98:J112" si="12">I98*$B$2</f>
        <v>77</v>
      </c>
      <c r="K98" s="210">
        <f t="array" ref="K98">IFERROR(I98*INDEX('PORTIFÓLIO'!$S$4:$S$433,MATCH($C98,'PORTIFÓLIO'!$C$4:$C$433,0)),"")</f>
        <v>119.38752</v>
      </c>
      <c r="L98" s="210">
        <f t="array" ref="L98">IFERROR(J98*INDEX('PORTIFÓLIO'!$S$4:$S$433,MATCH($C98,'PORTIFÓLIO'!$C$4:$C$433,0)),"")</f>
        <v>13132.6272</v>
      </c>
      <c r="M98" s="177"/>
      <c r="N98" s="177"/>
      <c r="O98" s="177"/>
      <c r="P98" s="177"/>
      <c r="Q98" s="177"/>
      <c r="R98" s="177"/>
      <c r="S98" s="177"/>
      <c r="T98" s="177"/>
      <c r="U98" s="177"/>
      <c r="V98" s="177"/>
      <c r="W98" s="177"/>
    </row>
    <row r="99" ht="15.75" customHeight="1" outlineLevel="1">
      <c r="A99" s="190"/>
      <c r="B99" s="204" t="s">
        <v>0</v>
      </c>
      <c r="C99" s="191" t="s">
        <v>520</v>
      </c>
      <c r="D99" s="205" t="str">
        <f>IFERROR(VLOOKUP($C99,'PORTIFÓLIO'!C:V,2,0),"")</f>
        <v>FLUAZINAM</v>
      </c>
      <c r="E99" s="190">
        <f>IFERROR(VLOOKUP($C99,'PORTIFÓLIO'!C:V,3,0),"")</f>
        <v>500</v>
      </c>
      <c r="F99" s="190" t="str">
        <f>IFERROR(VLOOKUP($C99,'PORTIFÓLIO'!C:V,4,0),"")</f>
        <v>L</v>
      </c>
      <c r="G99" s="223" t="str">
        <f>IFERROR(VLOOKUP($C99,'PORTIFÓLIO'!C:V,5,0),"")</f>
        <v>📄 Ver bula</v>
      </c>
      <c r="H99" s="247">
        <f t="array" ref="H99">IFERROR(INDEX('PORTIFÓLIO'!$H$4:$H$433,MATCH($C99,'PORTIFÓLIO'!$C$4:$C$433,0)),"")</f>
        <v>1</v>
      </c>
      <c r="I99" s="253">
        <v>1.0</v>
      </c>
      <c r="J99" s="209">
        <f t="shared" si="12"/>
        <v>110</v>
      </c>
      <c r="K99" s="210">
        <f t="array" ref="K99">IFERROR(I99*INDEX('PORTIFÓLIO'!$S$4:$S$433,MATCH($C99,'PORTIFÓLIO'!$C$4:$C$433,0)),"")</f>
        <v>67.68</v>
      </c>
      <c r="L99" s="210">
        <f t="array" ref="L99">IFERROR(J99*INDEX('PORTIFÓLIO'!$S$4:$S$433,MATCH($C99,'PORTIFÓLIO'!$C$4:$C$433,0)),"")</f>
        <v>7444.8</v>
      </c>
      <c r="M99" s="177"/>
      <c r="N99" s="177"/>
      <c r="O99" s="177"/>
      <c r="P99" s="177"/>
      <c r="Q99" s="177"/>
      <c r="R99" s="177"/>
      <c r="S99" s="177"/>
      <c r="T99" s="177"/>
      <c r="U99" s="177"/>
      <c r="V99" s="177"/>
      <c r="W99" s="177"/>
    </row>
    <row r="100" ht="15.75" customHeight="1" outlineLevel="1">
      <c r="A100" s="190"/>
      <c r="B100" s="204" t="s">
        <v>2</v>
      </c>
      <c r="C100" s="191" t="s">
        <v>829</v>
      </c>
      <c r="D100" s="205" t="str">
        <f>IFERROR(VLOOKUP($C100,'PORTIFÓLIO'!C:V,2,0),"")</f>
        <v>BIFENTRINA</v>
      </c>
      <c r="E100" s="190">
        <f>IFERROR(VLOOKUP($C100,'PORTIFÓLIO'!C:V,3,0),"")</f>
        <v>400</v>
      </c>
      <c r="F100" s="190" t="str">
        <f>IFERROR(VLOOKUP($C100,'PORTIFÓLIO'!C:V,4,0),"")</f>
        <v>L</v>
      </c>
      <c r="G100" s="223" t="str">
        <f>IFERROR(VLOOKUP($C100,'PORTIFÓLIO'!C:V,5,0),"")</f>
        <v>📄 Ver bula</v>
      </c>
      <c r="H100" s="247">
        <f t="array" ref="H100">IFERROR(INDEX('PORTIFÓLIO'!$H$4:$H$433,MATCH($C100,'PORTIFÓLIO'!$C$4:$C$433,0)),"")</f>
        <v>0.05</v>
      </c>
      <c r="I100" s="253">
        <v>0.05</v>
      </c>
      <c r="J100" s="209">
        <f t="shared" si="12"/>
        <v>5.5</v>
      </c>
      <c r="K100" s="210">
        <f t="array" ref="K100">IFERROR(I100*INDEX('PORTIFÓLIO'!$S$4:$S$433,MATCH($C100,'PORTIFÓLIO'!$C$4:$C$433,0)),"")</f>
        <v>3.076419</v>
      </c>
      <c r="L100" s="210">
        <f t="array" ref="L100">IFERROR(J100*INDEX('PORTIFÓLIO'!$S$4:$S$433,MATCH($C100,'PORTIFÓLIO'!$C$4:$C$433,0)),"")</f>
        <v>338.40609</v>
      </c>
      <c r="M100" s="177"/>
      <c r="N100" s="177"/>
      <c r="O100" s="177"/>
      <c r="P100" s="177"/>
      <c r="Q100" s="177"/>
      <c r="R100" s="177"/>
      <c r="S100" s="177"/>
      <c r="T100" s="177"/>
      <c r="U100" s="177"/>
      <c r="V100" s="177"/>
      <c r="W100" s="177"/>
    </row>
    <row r="101" ht="15.75" customHeight="1" outlineLevel="1">
      <c r="A101" s="190"/>
      <c r="B101" s="204" t="s">
        <v>2</v>
      </c>
      <c r="C101" s="191" t="s">
        <v>842</v>
      </c>
      <c r="D101" s="205" t="str">
        <f>IFERROR(VLOOKUP($C101,'PORTIFÓLIO'!C:V,2,0),"")</f>
        <v>IMIDACLOPRIDO</v>
      </c>
      <c r="E101" s="190">
        <f>IFERROR(VLOOKUP($C101,'PORTIFÓLIO'!C:V,3,0),"")</f>
        <v>480</v>
      </c>
      <c r="F101" s="190" t="str">
        <f>IFERROR(VLOOKUP($C101,'PORTIFÓLIO'!C:V,4,0),"")</f>
        <v>L</v>
      </c>
      <c r="G101" s="223" t="str">
        <f>IFERROR(VLOOKUP($C101,'PORTIFÓLIO'!C:V,5,0),"")</f>
        <v>📄 Ver bula</v>
      </c>
      <c r="H101" s="247">
        <f t="array" ref="H101">IFERROR(INDEX('PORTIFÓLIO'!$H$4:$H$433,MATCH($C101,'PORTIFÓLIO'!$C$4:$C$433,0)),"")</f>
        <v>0.25</v>
      </c>
      <c r="I101" s="253">
        <v>0.25</v>
      </c>
      <c r="J101" s="209">
        <f t="shared" si="12"/>
        <v>27.5</v>
      </c>
      <c r="K101" s="210">
        <f t="array" ref="K101">IFERROR(I101*INDEX('PORTIFÓLIO'!$S$4:$S$433,MATCH($C101,'PORTIFÓLIO'!$C$4:$C$433,0)),"")</f>
        <v>14.0554125</v>
      </c>
      <c r="L101" s="210">
        <f t="array" ref="L101">IFERROR(J101*INDEX('PORTIFÓLIO'!$S$4:$S$433,MATCH($C101,'PORTIFÓLIO'!$C$4:$C$433,0)),"")</f>
        <v>1546.095375</v>
      </c>
      <c r="M101" s="177"/>
      <c r="N101" s="177"/>
      <c r="O101" s="177"/>
      <c r="P101" s="177"/>
      <c r="Q101" s="177"/>
      <c r="R101" s="177"/>
      <c r="S101" s="177"/>
      <c r="T101" s="177"/>
      <c r="U101" s="177"/>
      <c r="V101" s="177"/>
      <c r="W101" s="177"/>
    </row>
    <row r="102" ht="15.75" customHeight="1" outlineLevel="1">
      <c r="A102" s="190"/>
      <c r="B102" s="204" t="s">
        <v>2</v>
      </c>
      <c r="C102" s="191" t="s">
        <v>786</v>
      </c>
      <c r="D102" s="205" t="str">
        <f>IFERROR(VLOOKUP($C102,'PORTIFÓLIO'!C:V,2,0),"")</f>
        <v>DIFLUBENZUROM</v>
      </c>
      <c r="E102" s="190">
        <f>IFERROR(VLOOKUP($C102,'PORTIFÓLIO'!C:V,3,0),"")</f>
        <v>480</v>
      </c>
      <c r="F102" s="190" t="str">
        <f>IFERROR(VLOOKUP($C102,'PORTIFÓLIO'!C:V,4,0),"")</f>
        <v>KG</v>
      </c>
      <c r="G102" s="223" t="str">
        <f>IFERROR(VLOOKUP($C102,'PORTIFÓLIO'!C:V,5,0),"")</f>
        <v>📄 Ver bula</v>
      </c>
      <c r="H102" s="247">
        <f t="array" ref="H102">IFERROR(INDEX('PORTIFÓLIO'!$H$4:$H$433,MATCH($C102,'PORTIFÓLIO'!$C$4:$C$433,0)),"")</f>
        <v>0.04</v>
      </c>
      <c r="I102" s="253">
        <v>0.05</v>
      </c>
      <c r="J102" s="209">
        <f t="shared" si="12"/>
        <v>5.5</v>
      </c>
      <c r="K102" s="210">
        <f t="array" ref="K102">IFERROR(I102*INDEX('PORTIFÓLIO'!$S$4:$S$433,MATCH($C102,'PORTIFÓLIO'!$C$4:$C$433,0)),"")</f>
        <v>2.927979</v>
      </c>
      <c r="L102" s="210">
        <f t="array" ref="L102">IFERROR(J102*INDEX('PORTIFÓLIO'!$S$4:$S$433,MATCH($C102,'PORTIFÓLIO'!$C$4:$C$433,0)),"")</f>
        <v>322.07769</v>
      </c>
      <c r="M102" s="177"/>
      <c r="N102" s="177"/>
      <c r="O102" s="177"/>
      <c r="P102" s="177"/>
      <c r="Q102" s="177"/>
      <c r="R102" s="177"/>
      <c r="S102" s="177"/>
      <c r="T102" s="177"/>
      <c r="U102" s="177"/>
      <c r="V102" s="177"/>
      <c r="W102" s="177"/>
    </row>
    <row r="103" ht="15.75" customHeight="1" outlineLevel="1">
      <c r="A103" s="190"/>
      <c r="B103" s="204" t="s">
        <v>6</v>
      </c>
      <c r="C103" s="191" t="s">
        <v>341</v>
      </c>
      <c r="D103" s="205" t="str">
        <f>IFERROR(VLOOKUP($C103,'PORTIFÓLIO'!C:V,2,0),"")</f>
        <v>ESTER METILICO DE SOJA</v>
      </c>
      <c r="E103" s="190">
        <f>IFERROR(VLOOKUP($C103,'PORTIFÓLIO'!C:V,3,0),"")</f>
        <v>765</v>
      </c>
      <c r="F103" s="190" t="str">
        <f>IFERROR(VLOOKUP($C103,'PORTIFÓLIO'!C:V,4,0),"")</f>
        <v>L</v>
      </c>
      <c r="G103" s="223" t="str">
        <f>IFERROR(VLOOKUP($C103,'PORTIFÓLIO'!C:V,5,0),"")</f>
        <v>📄 Ver bula</v>
      </c>
      <c r="H103" s="247">
        <f t="array" ref="H103">IFERROR(INDEX('PORTIFÓLIO'!$H$4:$H$433,MATCH($C103,'PORTIFÓLIO'!$C$4:$C$433,0)),"")</f>
        <v>0.2</v>
      </c>
      <c r="I103" s="253">
        <v>0.2</v>
      </c>
      <c r="J103" s="209">
        <f t="shared" si="12"/>
        <v>22</v>
      </c>
      <c r="K103" s="210">
        <f t="array" ref="K103">IFERROR(I103*INDEX('PORTIFÓLIO'!$S$4:$S$433,MATCH($C103,'PORTIFÓLIO'!$C$4:$C$433,0)),"")</f>
        <v>3.298974</v>
      </c>
      <c r="L103" s="210">
        <f t="array" ref="L103">IFERROR(J103*INDEX('PORTIFÓLIO'!$S$4:$S$433,MATCH($C103,'PORTIFÓLIO'!$C$4:$C$433,0)),"")</f>
        <v>362.88714</v>
      </c>
      <c r="M103" s="177"/>
      <c r="N103" s="177"/>
      <c r="O103" s="177"/>
      <c r="P103" s="177"/>
      <c r="Q103" s="177"/>
      <c r="R103" s="177"/>
      <c r="S103" s="177"/>
      <c r="T103" s="177"/>
      <c r="U103" s="177"/>
      <c r="V103" s="177"/>
      <c r="W103" s="177"/>
    </row>
    <row r="104" ht="15.75" customHeight="1" outlineLevel="1">
      <c r="A104" s="190"/>
      <c r="B104" s="204" t="s">
        <v>0</v>
      </c>
      <c r="C104" s="191" t="s">
        <v>484</v>
      </c>
      <c r="D104" s="205" t="str">
        <f>IFERROR(VLOOKUP($C104,'PORTIFÓLIO'!C:V,2,0),"")</f>
        <v>MANCOZEBE</v>
      </c>
      <c r="E104" s="190">
        <f>IFERROR(VLOOKUP($C104,'PORTIFÓLIO'!C:V,3,0),"")</f>
        <v>750</v>
      </c>
      <c r="F104" s="190" t="str">
        <f>IFERROR(VLOOKUP($C104,'PORTIFÓLIO'!C:V,4,0),"")</f>
        <v>L</v>
      </c>
      <c r="G104" s="223" t="str">
        <f>IFERROR(VLOOKUP($C104,'PORTIFÓLIO'!C:V,5,0),"")</f>
        <v>📄 Ver bula</v>
      </c>
      <c r="H104" s="247">
        <f t="array" ref="H104">IFERROR(INDEX('PORTIFÓLIO'!$H$4:$H$433,MATCH($C104,'PORTIFÓLIO'!$C$4:$C$433,0)),"")</f>
        <v>1.5</v>
      </c>
      <c r="I104" s="253">
        <v>1.5</v>
      </c>
      <c r="J104" s="209">
        <f t="shared" si="12"/>
        <v>165</v>
      </c>
      <c r="K104" s="210">
        <f t="array" ref="K104">IFERROR(I104*INDEX('PORTIFÓLIO'!$S$4:$S$433,MATCH($C104,'PORTIFÓLIO'!$C$4:$C$433,0)),"")</f>
        <v>41.52168</v>
      </c>
      <c r="L104" s="210">
        <f t="array" ref="L104">IFERROR(J104*INDEX('PORTIFÓLIO'!$S$4:$S$433,MATCH($C104,'PORTIFÓLIO'!$C$4:$C$433,0)),"")</f>
        <v>4567.3848</v>
      </c>
      <c r="M104" s="177"/>
      <c r="N104" s="177"/>
      <c r="O104" s="177"/>
      <c r="P104" s="177"/>
      <c r="Q104" s="177"/>
      <c r="R104" s="177"/>
      <c r="S104" s="177"/>
      <c r="T104" s="177"/>
      <c r="U104" s="177"/>
      <c r="V104" s="177"/>
      <c r="W104" s="177"/>
    </row>
    <row r="105" ht="15.75" customHeight="1" outlineLevel="1">
      <c r="A105" s="190"/>
      <c r="B105" s="204"/>
      <c r="C105" s="191"/>
      <c r="D105" s="205" t="str">
        <f>IFERROR(VLOOKUP($C105,'PORTIFÓLIO'!C:V,2,0),"")</f>
        <v/>
      </c>
      <c r="E105" s="190" t="str">
        <f>IFERROR(VLOOKUP($C105,'PORTIFÓLIO'!C:V,3,0),"")</f>
        <v/>
      </c>
      <c r="F105" s="190" t="str">
        <f>IFERROR(VLOOKUP($C105,'PORTIFÓLIO'!C:V,4,0),"")</f>
        <v/>
      </c>
      <c r="G105" s="206" t="str">
        <f>IFERROR(VLOOKUP($C105,'PORTIFÓLIO'!C:V,5,0),"")</f>
        <v/>
      </c>
      <c r="H105" s="247" t="str">
        <f t="array" ref="H105">IFERROR(INDEX('PORTIFÓLIO'!$H$4:$H$433,MATCH($C105,'PORTIFÓLIO'!$C$4:$C$433,0)),"")</f>
        <v/>
      </c>
      <c r="I105" s="257"/>
      <c r="J105" s="209">
        <f t="shared" si="12"/>
        <v>0</v>
      </c>
      <c r="K105" s="210" t="str">
        <f t="array" ref="K105">IFERROR(I105*INDEX('PORTIFÓLIO'!$S$4:$S$433,MATCH($C105,'PORTIFÓLIO'!$C$4:$C$433,0)),"")</f>
        <v/>
      </c>
      <c r="L105" s="210" t="str">
        <f t="array" ref="L105">IFERROR(J105*INDEX('PORTIFÓLIO'!$S$4:$S$433,MATCH($C105,'PORTIFÓLIO'!$C$4:$C$433,0)),"")</f>
        <v/>
      </c>
      <c r="M105" s="177"/>
      <c r="N105" s="177"/>
      <c r="O105" s="177"/>
      <c r="P105" s="177"/>
      <c r="Q105" s="177"/>
      <c r="R105" s="177"/>
      <c r="S105" s="177"/>
      <c r="T105" s="177"/>
      <c r="U105" s="177"/>
      <c r="V105" s="177"/>
      <c r="W105" s="177"/>
    </row>
    <row r="106" ht="15.75" customHeight="1" outlineLevel="1">
      <c r="A106" s="190"/>
      <c r="B106" s="204"/>
      <c r="C106" s="191"/>
      <c r="D106" s="205" t="str">
        <f>IFERROR(VLOOKUP($C106,'PORTIFÓLIO'!C:V,2,0),"")</f>
        <v/>
      </c>
      <c r="E106" s="190" t="str">
        <f>IFERROR(VLOOKUP($C106,'PORTIFÓLIO'!C:V,3,0),"")</f>
        <v/>
      </c>
      <c r="F106" s="190" t="str">
        <f>IFERROR(VLOOKUP($C106,'PORTIFÓLIO'!C:V,4,0),"")</f>
        <v/>
      </c>
      <c r="G106" s="206" t="str">
        <f>IFERROR(VLOOKUP($C106,'PORTIFÓLIO'!C:V,5,0),"")</f>
        <v/>
      </c>
      <c r="H106" s="247" t="str">
        <f t="array" ref="H106">IFERROR(INDEX('PORTIFÓLIO'!$H$4:$H$433,MATCH($C106,'PORTIFÓLIO'!$C$4:$C$433,0)),"")</f>
        <v/>
      </c>
      <c r="I106" s="253"/>
      <c r="J106" s="209">
        <f t="shared" si="12"/>
        <v>0</v>
      </c>
      <c r="K106" s="210" t="str">
        <f t="array" ref="K106">IFERROR(I106*INDEX('PORTIFÓLIO'!$S$4:$S$433,MATCH($C106,'PORTIFÓLIO'!$C$4:$C$433,0)),"")</f>
        <v/>
      </c>
      <c r="L106" s="210" t="str">
        <f t="array" ref="L106">IFERROR(J106*INDEX('PORTIFÓLIO'!$S$4:$S$433,MATCH($C106,'PORTIFÓLIO'!$C$4:$C$433,0)),"")</f>
        <v/>
      </c>
      <c r="M106" s="177"/>
      <c r="N106" s="177"/>
      <c r="O106" s="177"/>
      <c r="P106" s="177"/>
      <c r="Q106" s="177"/>
      <c r="R106" s="177"/>
      <c r="S106" s="177"/>
      <c r="T106" s="177"/>
      <c r="U106" s="177"/>
      <c r="V106" s="177"/>
      <c r="W106" s="177"/>
    </row>
    <row r="107" ht="15.75" customHeight="1" outlineLevel="1">
      <c r="A107" s="190"/>
      <c r="B107" s="204"/>
      <c r="C107" s="191"/>
      <c r="D107" s="205" t="str">
        <f>IFERROR(VLOOKUP($C107,'PORTIFÓLIO'!C:V,2,0),"")</f>
        <v/>
      </c>
      <c r="E107" s="190" t="str">
        <f>IFERROR(VLOOKUP($C107,'PORTIFÓLIO'!C:V,3,0),"")</f>
        <v/>
      </c>
      <c r="F107" s="190" t="str">
        <f>IFERROR(VLOOKUP($C107,'PORTIFÓLIO'!C:V,4,0),"")</f>
        <v/>
      </c>
      <c r="G107" s="206" t="str">
        <f>IFERROR(VLOOKUP($C107,'PORTIFÓLIO'!C:V,5,0),"")</f>
        <v/>
      </c>
      <c r="H107" s="247" t="str">
        <f t="array" ref="H107">IFERROR(INDEX('PORTIFÓLIO'!$H$4:$H$433,MATCH($C107,'PORTIFÓLIO'!$C$4:$C$433,0)),"")</f>
        <v/>
      </c>
      <c r="I107" s="257"/>
      <c r="J107" s="209">
        <f t="shared" si="12"/>
        <v>0</v>
      </c>
      <c r="K107" s="210" t="str">
        <f t="array" ref="K107">IFERROR(I107*INDEX('PORTIFÓLIO'!$S$4:$S$433,MATCH($C107,'PORTIFÓLIO'!$C$4:$C$433,0)),"")</f>
        <v/>
      </c>
      <c r="L107" s="210" t="str">
        <f t="array" ref="L107">IFERROR(J107*INDEX('PORTIFÓLIO'!$S$4:$S$433,MATCH($C107,'PORTIFÓLIO'!$C$4:$C$433,0)),"")</f>
        <v/>
      </c>
      <c r="M107" s="177"/>
      <c r="N107" s="177"/>
      <c r="O107" s="177"/>
      <c r="P107" s="177"/>
      <c r="Q107" s="177"/>
      <c r="R107" s="177"/>
      <c r="S107" s="177"/>
      <c r="T107" s="177"/>
      <c r="U107" s="177"/>
      <c r="V107" s="177"/>
      <c r="W107" s="177"/>
    </row>
    <row r="108" ht="15.75" customHeight="1" outlineLevel="1">
      <c r="A108" s="190"/>
      <c r="B108" s="204"/>
      <c r="C108" s="191"/>
      <c r="D108" s="205" t="str">
        <f>IFERROR(VLOOKUP($C108,'PORTIFÓLIO'!C:V,2,0),"")</f>
        <v/>
      </c>
      <c r="E108" s="190" t="str">
        <f>IFERROR(VLOOKUP($C108,'PORTIFÓLIO'!C:V,3,0),"")</f>
        <v/>
      </c>
      <c r="F108" s="190" t="str">
        <f>IFERROR(VLOOKUP($C108,'PORTIFÓLIO'!C:V,4,0),"")</f>
        <v/>
      </c>
      <c r="G108" s="206" t="str">
        <f>IFERROR(VLOOKUP($C108,'PORTIFÓLIO'!C:V,5,0),"")</f>
        <v/>
      </c>
      <c r="H108" s="247" t="str">
        <f t="array" ref="H108">IFERROR(INDEX('PORTIFÓLIO'!$H$4:$H$433,MATCH($C108,'PORTIFÓLIO'!$C$4:$C$433,0)),"")</f>
        <v/>
      </c>
      <c r="I108" s="257"/>
      <c r="J108" s="209">
        <f t="shared" si="12"/>
        <v>0</v>
      </c>
      <c r="K108" s="210" t="str">
        <f t="array" ref="K108">IFERROR(I108*INDEX('PORTIFÓLIO'!$S$4:$S$433,MATCH($C108,'PORTIFÓLIO'!$C$4:$C$433,0)),"")</f>
        <v/>
      </c>
      <c r="L108" s="210" t="str">
        <f t="array" ref="L108">IFERROR(J108*INDEX('PORTIFÓLIO'!$S$4:$S$433,MATCH($C108,'PORTIFÓLIO'!$C$4:$C$433,0)),"")</f>
        <v/>
      </c>
      <c r="M108" s="177"/>
      <c r="N108" s="177"/>
      <c r="O108" s="177"/>
      <c r="P108" s="177"/>
      <c r="Q108" s="177"/>
      <c r="R108" s="177"/>
      <c r="S108" s="177"/>
      <c r="T108" s="177"/>
      <c r="U108" s="177"/>
      <c r="V108" s="177"/>
      <c r="W108" s="177"/>
    </row>
    <row r="109" ht="15.75" customHeight="1" outlineLevel="1">
      <c r="A109" s="190"/>
      <c r="B109" s="204"/>
      <c r="C109" s="191"/>
      <c r="D109" s="205" t="str">
        <f>IFERROR(VLOOKUP($C109,'PORTIFÓLIO'!C:V,2,0),"")</f>
        <v/>
      </c>
      <c r="E109" s="190" t="str">
        <f>IFERROR(VLOOKUP($C109,'PORTIFÓLIO'!C:V,3,0),"")</f>
        <v/>
      </c>
      <c r="F109" s="190" t="str">
        <f>IFERROR(VLOOKUP($C109,'PORTIFÓLIO'!C:V,4,0),"")</f>
        <v/>
      </c>
      <c r="G109" s="206" t="str">
        <f>IFERROR(VLOOKUP($C109,'PORTIFÓLIO'!C:V,5,0),"")</f>
        <v/>
      </c>
      <c r="H109" s="247" t="str">
        <f t="array" ref="H109">IFERROR(INDEX('PORTIFÓLIO'!$H$4:$H$433,MATCH($C109,'PORTIFÓLIO'!$C$4:$C$433,0)),"")</f>
        <v/>
      </c>
      <c r="I109" s="257"/>
      <c r="J109" s="209">
        <f t="shared" si="12"/>
        <v>0</v>
      </c>
      <c r="K109" s="210" t="str">
        <f t="array" ref="K109">IFERROR(I109*INDEX('PORTIFÓLIO'!$S$4:$S$433,MATCH($C109,'PORTIFÓLIO'!$C$4:$C$433,0)),"")</f>
        <v/>
      </c>
      <c r="L109" s="210" t="str">
        <f t="array" ref="L109">IFERROR(J109*INDEX('PORTIFÓLIO'!$S$4:$S$433,MATCH($C109,'PORTIFÓLIO'!$C$4:$C$433,0)),"")</f>
        <v/>
      </c>
      <c r="M109" s="177"/>
      <c r="N109" s="177"/>
      <c r="O109" s="177"/>
      <c r="P109" s="177"/>
      <c r="Q109" s="177"/>
      <c r="R109" s="177"/>
      <c r="S109" s="177"/>
      <c r="T109" s="177"/>
      <c r="U109" s="177"/>
      <c r="V109" s="177"/>
      <c r="W109" s="177"/>
    </row>
    <row r="110" ht="15.75" customHeight="1" outlineLevel="1">
      <c r="A110" s="190"/>
      <c r="B110" s="204"/>
      <c r="C110" s="191"/>
      <c r="D110" s="205" t="str">
        <f>IFERROR(VLOOKUP($C110,'PORTIFÓLIO'!C:V,2,0),"")</f>
        <v/>
      </c>
      <c r="E110" s="190" t="str">
        <f>IFERROR(VLOOKUP($C110,'PORTIFÓLIO'!C:V,3,0),"")</f>
        <v/>
      </c>
      <c r="F110" s="190" t="str">
        <f>IFERROR(VLOOKUP($C110,'PORTIFÓLIO'!C:V,4,0),"")</f>
        <v/>
      </c>
      <c r="G110" s="206" t="str">
        <f>IFERROR(VLOOKUP($C110,'PORTIFÓLIO'!C:V,5,0),"")</f>
        <v/>
      </c>
      <c r="H110" s="247" t="str">
        <f t="array" ref="H110">IFERROR(INDEX('PORTIFÓLIO'!$H$4:$H$433,MATCH($C110,'PORTIFÓLIO'!$C$4:$C$433,0)),"")</f>
        <v/>
      </c>
      <c r="I110" s="257"/>
      <c r="J110" s="209">
        <f t="shared" si="12"/>
        <v>0</v>
      </c>
      <c r="K110" s="210" t="str">
        <f t="array" ref="K110">IFERROR(I110*INDEX('PORTIFÓLIO'!$S$4:$S$433,MATCH($C110,'PORTIFÓLIO'!$C$4:$C$433,0)),"")</f>
        <v/>
      </c>
      <c r="L110" s="210" t="str">
        <f t="array" ref="L110">IFERROR(J110*INDEX('PORTIFÓLIO'!$S$4:$S$433,MATCH($C110,'PORTIFÓLIO'!$C$4:$C$433,0)),"")</f>
        <v/>
      </c>
      <c r="M110" s="177"/>
      <c r="N110" s="177"/>
      <c r="O110" s="177"/>
      <c r="P110" s="177"/>
      <c r="Q110" s="177"/>
      <c r="R110" s="177"/>
      <c r="S110" s="177"/>
      <c r="T110" s="177"/>
      <c r="U110" s="177"/>
      <c r="V110" s="177"/>
      <c r="W110" s="177"/>
    </row>
    <row r="111" ht="15.75" customHeight="1" outlineLevel="1">
      <c r="A111" s="190"/>
      <c r="B111" s="204"/>
      <c r="C111" s="191"/>
      <c r="D111" s="205" t="str">
        <f>IFERROR(VLOOKUP($C111,'PORTIFÓLIO'!C:V,2,0),"")</f>
        <v/>
      </c>
      <c r="E111" s="190" t="str">
        <f>IFERROR(VLOOKUP($C111,'PORTIFÓLIO'!C:V,3,0),"")</f>
        <v/>
      </c>
      <c r="F111" s="190" t="str">
        <f>IFERROR(VLOOKUP($C111,'PORTIFÓLIO'!C:V,4,0),"")</f>
        <v/>
      </c>
      <c r="G111" s="206" t="str">
        <f>IFERROR(VLOOKUP($C111,'PORTIFÓLIO'!C:V,5,0),"")</f>
        <v/>
      </c>
      <c r="H111" s="247" t="str">
        <f t="array" ref="H111">IFERROR(INDEX('PORTIFÓLIO'!$H$4:$H$433,MATCH($C111,'PORTIFÓLIO'!$C$4:$C$433,0)),"")</f>
        <v/>
      </c>
      <c r="I111" s="257"/>
      <c r="J111" s="209">
        <f t="shared" si="12"/>
        <v>0</v>
      </c>
      <c r="K111" s="210" t="str">
        <f t="array" ref="K111">IFERROR(I111*INDEX('PORTIFÓLIO'!$S$4:$S$433,MATCH($C111,'PORTIFÓLIO'!$C$4:$C$433,0)),"")</f>
        <v/>
      </c>
      <c r="L111" s="210" t="str">
        <f t="array" ref="L111">IFERROR(J111*INDEX('PORTIFÓLIO'!$S$4:$S$433,MATCH($C111,'PORTIFÓLIO'!$C$4:$C$433,0)),"")</f>
        <v/>
      </c>
      <c r="M111" s="177"/>
      <c r="N111" s="177"/>
      <c r="O111" s="177"/>
      <c r="P111" s="177"/>
      <c r="Q111" s="177"/>
      <c r="R111" s="177"/>
      <c r="S111" s="177"/>
      <c r="T111" s="177"/>
      <c r="U111" s="177"/>
      <c r="V111" s="177"/>
      <c r="W111" s="177"/>
    </row>
    <row r="112" ht="15.75" customHeight="1" outlineLevel="1">
      <c r="A112" s="190"/>
      <c r="B112" s="204"/>
      <c r="C112" s="191"/>
      <c r="D112" s="205" t="str">
        <f>IFERROR(VLOOKUP($C112,'PORTIFÓLIO'!C:V,2,0),"")</f>
        <v/>
      </c>
      <c r="E112" s="190" t="str">
        <f>IFERROR(VLOOKUP($C112,'PORTIFÓLIO'!C:V,3,0),"")</f>
        <v/>
      </c>
      <c r="F112" s="190" t="str">
        <f>IFERROR(VLOOKUP($C112,'PORTIFÓLIO'!C:V,4,0),"")</f>
        <v/>
      </c>
      <c r="G112" s="206" t="str">
        <f>IFERROR(VLOOKUP($C112,'PORTIFÓLIO'!C:V,5,0),"")</f>
        <v/>
      </c>
      <c r="H112" s="247" t="str">
        <f t="array" ref="H112">IFERROR(INDEX('PORTIFÓLIO'!$H$4:$H$433,MATCH($C112,'PORTIFÓLIO'!$C$4:$C$433,0)),"")</f>
        <v/>
      </c>
      <c r="I112" s="257"/>
      <c r="J112" s="209">
        <f t="shared" si="12"/>
        <v>0</v>
      </c>
      <c r="K112" s="210" t="str">
        <f t="array" ref="K112">IFERROR(I112*INDEX('PORTIFÓLIO'!$S$4:$S$433,MATCH($C112,'PORTIFÓLIO'!$C$4:$C$433,0)),"")</f>
        <v/>
      </c>
      <c r="L112" s="210" t="str">
        <f t="array" ref="L112">IFERROR(J112*INDEX('PORTIFÓLIO'!$S$4:$S$433,MATCH($C112,'PORTIFÓLIO'!$C$4:$C$433,0)),"")</f>
        <v/>
      </c>
      <c r="M112" s="177"/>
      <c r="N112" s="177"/>
      <c r="O112" s="177"/>
      <c r="P112" s="177"/>
      <c r="Q112" s="177"/>
      <c r="R112" s="177"/>
      <c r="S112" s="177"/>
      <c r="T112" s="177"/>
      <c r="U112" s="177"/>
      <c r="V112" s="177"/>
      <c r="W112" s="177"/>
    </row>
    <row r="113" ht="15.75" customHeight="1" outlineLevel="1">
      <c r="A113" s="190"/>
      <c r="B113" s="204"/>
      <c r="C113" s="190"/>
      <c r="D113" s="205" t="str">
        <f>IFERROR(VLOOKUP($C113,'PORTIFÓLIO'!C:V,2,0),"")</f>
        <v/>
      </c>
      <c r="E113" s="190" t="str">
        <f>IFERROR(VLOOKUP($C113,'PORTIFÓLIO'!C:V,3,0),"")</f>
        <v/>
      </c>
      <c r="F113" s="190" t="str">
        <f>IFERROR(VLOOKUP($C113,'PORTIFÓLIO'!C:V,4,0),"")</f>
        <v/>
      </c>
      <c r="G113" s="206" t="str">
        <f>IFERROR(VLOOKUP($C113,'PORTIFÓLIO'!C:V,5,0),"")</f>
        <v/>
      </c>
      <c r="H113" s="247" t="str">
        <f t="array" ref="H113">IFERROR(INDEX('PORTIFÓLIO'!$H$4:$H$433,MATCH($C113,'PORTIFÓLIO'!$C$4:$C$433,0)),"")</f>
        <v/>
      </c>
      <c r="I113" s="257"/>
      <c r="J113" s="209"/>
      <c r="K113" s="210" t="str">
        <f t="array" ref="K113">IFERROR(I113*INDEX('PORTIFÓLIO'!$S$4:$S$433,MATCH($C113,'PORTIFÓLIO'!$C$4:$C$433,0)),"")</f>
        <v/>
      </c>
      <c r="L113" s="210" t="str">
        <f t="array" ref="L113">IFERROR(J113*INDEX('PORTIFÓLIO'!$S$4:$S$433,MATCH($C113,'PORTIFÓLIO'!$C$4:$C$433,0)),"")</f>
        <v/>
      </c>
      <c r="M113" s="177"/>
      <c r="N113" s="177"/>
      <c r="O113" s="177"/>
      <c r="P113" s="177"/>
      <c r="Q113" s="177"/>
      <c r="R113" s="177"/>
      <c r="S113" s="177"/>
      <c r="T113" s="177"/>
      <c r="U113" s="177"/>
      <c r="V113" s="177"/>
      <c r="W113" s="177"/>
    </row>
    <row r="114" ht="15.75" customHeight="1">
      <c r="A114" s="221" t="s">
        <v>1190</v>
      </c>
      <c r="B114" s="197"/>
      <c r="C114" s="196"/>
      <c r="D114" s="198"/>
      <c r="E114" s="196"/>
      <c r="F114" s="196"/>
      <c r="G114" s="199"/>
      <c r="H114" s="199"/>
      <c r="I114" s="252"/>
      <c r="J114" s="202"/>
      <c r="K114" s="203">
        <f t="shared" ref="K114:L114" si="13">SUBTOTAL(9,K115:K128)</f>
        <v>236.447935</v>
      </c>
      <c r="L114" s="203">
        <f t="shared" si="13"/>
        <v>26009.27285</v>
      </c>
      <c r="M114" s="177"/>
      <c r="N114" s="177"/>
      <c r="O114" s="177"/>
      <c r="P114" s="177"/>
      <c r="Q114" s="177"/>
      <c r="R114" s="177"/>
      <c r="S114" s="177"/>
      <c r="T114" s="177"/>
      <c r="U114" s="177"/>
      <c r="V114" s="177"/>
      <c r="W114" s="177"/>
    </row>
    <row r="115" ht="15.75" customHeight="1" outlineLevel="1">
      <c r="A115" s="191"/>
      <c r="B115" s="204" t="s">
        <v>0</v>
      </c>
      <c r="C115" s="226" t="s">
        <v>467</v>
      </c>
      <c r="D115" s="205" t="str">
        <f>IFERROR(VLOOKUP($C115,'PORTIFÓLIO'!C:V,2,0),"")</f>
        <v>BIXAFEM + PROTIOCONAZOL + TRIFLOXISTROBINA</v>
      </c>
      <c r="E115" s="190" t="str">
        <f>IFERROR(VLOOKUP($C115,'PORTIFÓLIO'!C:V,3,0),"")</f>
        <v>125 + 175 + 150</v>
      </c>
      <c r="F115" s="190" t="str">
        <f>IFERROR(VLOOKUP($C115,'PORTIFÓLIO'!C:V,4,0),"")</f>
        <v>L</v>
      </c>
      <c r="G115" s="223" t="str">
        <f>IFERROR(VLOOKUP($C115,'PORTIFÓLIO'!C:V,5,0),"")</f>
        <v>📄 Ver bula</v>
      </c>
      <c r="H115" s="247">
        <f t="array" ref="H115">IFERROR(INDEX('PORTIFÓLIO'!$H$4:$H$433,MATCH($C115,'PORTIFÓLIO'!$C$4:$C$433,0)),"")</f>
        <v>0.5</v>
      </c>
      <c r="I115" s="253">
        <v>0.5</v>
      </c>
      <c r="J115" s="209">
        <f t="shared" ref="J115:J129" si="14">I115*$B$2</f>
        <v>55</v>
      </c>
      <c r="K115" s="210">
        <f t="array" ref="K115">IFERROR(I115*INDEX('PORTIFÓLIO'!$S$4:$S$433,MATCH($C115,'PORTIFÓLIO'!$C$4:$C$433,0)),"")</f>
        <v>99.08352</v>
      </c>
      <c r="L115" s="210">
        <f t="array" ref="L115">IFERROR(J115*INDEX('PORTIFÓLIO'!$S$4:$S$433,MATCH($C115,'PORTIFÓLIO'!$C$4:$C$433,0)),"")</f>
        <v>10899.1872</v>
      </c>
      <c r="M115" s="177"/>
      <c r="N115" s="177"/>
      <c r="O115" s="177"/>
      <c r="P115" s="177"/>
      <c r="Q115" s="177"/>
      <c r="R115" s="177"/>
      <c r="S115" s="177"/>
      <c r="T115" s="177"/>
      <c r="U115" s="177"/>
      <c r="V115" s="177"/>
      <c r="W115" s="177"/>
    </row>
    <row r="116" ht="15.75" customHeight="1" outlineLevel="1">
      <c r="A116" s="190"/>
      <c r="B116" s="204" t="s">
        <v>0</v>
      </c>
      <c r="C116" s="226" t="s">
        <v>520</v>
      </c>
      <c r="D116" s="205" t="str">
        <f>IFERROR(VLOOKUP($C116,'PORTIFÓLIO'!C:V,2,0),"")</f>
        <v>FLUAZINAM</v>
      </c>
      <c r="E116" s="190">
        <f>IFERROR(VLOOKUP($C116,'PORTIFÓLIO'!C:V,3,0),"")</f>
        <v>500</v>
      </c>
      <c r="F116" s="190" t="str">
        <f>IFERROR(VLOOKUP($C116,'PORTIFÓLIO'!C:V,4,0),"")</f>
        <v>L</v>
      </c>
      <c r="G116" s="223" t="str">
        <f>IFERROR(VLOOKUP($C116,'PORTIFÓLIO'!C:V,5,0),"")</f>
        <v>📄 Ver bula</v>
      </c>
      <c r="H116" s="247">
        <f t="array" ref="H116">IFERROR(INDEX('PORTIFÓLIO'!$H$4:$H$433,MATCH($C116,'PORTIFÓLIO'!$C$4:$C$433,0)),"")</f>
        <v>1</v>
      </c>
      <c r="I116" s="253">
        <v>1.0</v>
      </c>
      <c r="J116" s="209">
        <f t="shared" si="14"/>
        <v>110</v>
      </c>
      <c r="K116" s="210">
        <f t="array" ref="K116">IFERROR(I116*INDEX('PORTIFÓLIO'!$S$4:$S$433,MATCH($C116,'PORTIFÓLIO'!$C$4:$C$433,0)),"")</f>
        <v>67.68</v>
      </c>
      <c r="L116" s="210">
        <f t="array" ref="L116">IFERROR(J116*INDEX('PORTIFÓLIO'!$S$4:$S$433,MATCH($C116,'PORTIFÓLIO'!$C$4:$C$433,0)),"")</f>
        <v>7444.8</v>
      </c>
      <c r="M116" s="177"/>
      <c r="N116" s="177"/>
      <c r="O116" s="177"/>
      <c r="P116" s="177"/>
      <c r="Q116" s="177"/>
      <c r="R116" s="177"/>
      <c r="S116" s="177"/>
      <c r="T116" s="177"/>
      <c r="U116" s="177"/>
      <c r="V116" s="177"/>
      <c r="W116" s="177"/>
    </row>
    <row r="117" ht="15.75" customHeight="1" outlineLevel="1">
      <c r="A117" s="190"/>
      <c r="B117" s="204" t="s">
        <v>0</v>
      </c>
      <c r="C117" s="226" t="s">
        <v>484</v>
      </c>
      <c r="D117" s="205" t="str">
        <f>IFERROR(VLOOKUP($C117,'PORTIFÓLIO'!C:V,2,0),"")</f>
        <v>MANCOZEBE</v>
      </c>
      <c r="E117" s="190">
        <f>IFERROR(VLOOKUP($C117,'PORTIFÓLIO'!C:V,3,0),"")</f>
        <v>750</v>
      </c>
      <c r="F117" s="190" t="str">
        <f>IFERROR(VLOOKUP($C117,'PORTIFÓLIO'!C:V,4,0),"")</f>
        <v>L</v>
      </c>
      <c r="G117" s="223" t="str">
        <f>IFERROR(VLOOKUP($C117,'PORTIFÓLIO'!C:V,5,0),"")</f>
        <v>📄 Ver bula</v>
      </c>
      <c r="H117" s="247">
        <f t="array" ref="H117">IFERROR(INDEX('PORTIFÓLIO'!$H$4:$H$433,MATCH($C117,'PORTIFÓLIO'!$C$4:$C$433,0)),"")</f>
        <v>1.5</v>
      </c>
      <c r="I117" s="253">
        <v>1.5</v>
      </c>
      <c r="J117" s="209">
        <f t="shared" si="14"/>
        <v>165</v>
      </c>
      <c r="K117" s="210">
        <f t="array" ref="K117">IFERROR(I117*INDEX('PORTIFÓLIO'!$S$4:$S$433,MATCH($C117,'PORTIFÓLIO'!$C$4:$C$433,0)),"")</f>
        <v>41.52168</v>
      </c>
      <c r="L117" s="210">
        <f t="array" ref="L117">IFERROR(J117*INDEX('PORTIFÓLIO'!$S$4:$S$433,MATCH($C117,'PORTIFÓLIO'!$C$4:$C$433,0)),"")</f>
        <v>4567.3848</v>
      </c>
      <c r="M117" s="177"/>
      <c r="N117" s="177"/>
      <c r="O117" s="177"/>
      <c r="P117" s="177"/>
      <c r="Q117" s="177"/>
      <c r="R117" s="177"/>
      <c r="S117" s="177"/>
      <c r="T117" s="177"/>
      <c r="U117" s="177"/>
      <c r="V117" s="177"/>
      <c r="W117" s="177"/>
    </row>
    <row r="118" ht="15.75" customHeight="1" outlineLevel="1">
      <c r="A118" s="190"/>
      <c r="B118" s="204" t="s">
        <v>2</v>
      </c>
      <c r="C118" s="226" t="s">
        <v>752</v>
      </c>
      <c r="D118" s="205" t="str">
        <f>IFERROR(VLOOKUP($C118,'PORTIFÓLIO'!C:V,2,0),"")</f>
        <v>ACEFATO</v>
      </c>
      <c r="E118" s="190">
        <f>IFERROR(VLOOKUP($C118,'PORTIFÓLIO'!C:V,3,0),"")</f>
        <v>970</v>
      </c>
      <c r="F118" s="190" t="str">
        <f>IFERROR(VLOOKUP($C118,'PORTIFÓLIO'!C:V,4,0),"")</f>
        <v>L</v>
      </c>
      <c r="G118" s="223" t="str">
        <f>IFERROR(VLOOKUP($C118,'PORTIFÓLIO'!C:V,5,0),"")</f>
        <v>📄 Ver bula</v>
      </c>
      <c r="H118" s="247">
        <f t="array" ref="H118">IFERROR(INDEX('PORTIFÓLIO'!$H$4:$H$433,MATCH($C118,'PORTIFÓLIO'!$C$4:$C$433,0)),"")</f>
        <v>0.6</v>
      </c>
      <c r="I118" s="253">
        <v>0.6</v>
      </c>
      <c r="J118" s="209">
        <f t="shared" si="14"/>
        <v>66</v>
      </c>
      <c r="K118" s="210">
        <f t="array" ref="K118">IFERROR(I118*INDEX('PORTIFÓLIO'!$S$4:$S$433,MATCH($C118,'PORTIFÓLIO'!$C$4:$C$433,0)),"")</f>
        <v>22.266</v>
      </c>
      <c r="L118" s="210">
        <f t="array" ref="L118">IFERROR(J118*INDEX('PORTIFÓLIO'!$S$4:$S$433,MATCH($C118,'PORTIFÓLIO'!$C$4:$C$433,0)),"")</f>
        <v>2449.26</v>
      </c>
      <c r="M118" s="177"/>
      <c r="N118" s="177"/>
      <c r="O118" s="177"/>
      <c r="P118" s="177"/>
      <c r="Q118" s="177"/>
      <c r="R118" s="177"/>
      <c r="S118" s="177"/>
      <c r="T118" s="177"/>
      <c r="U118" s="177"/>
      <c r="V118" s="177"/>
      <c r="W118" s="177"/>
    </row>
    <row r="119" ht="15.75" customHeight="1" outlineLevel="1">
      <c r="A119" s="190"/>
      <c r="B119" s="204" t="s">
        <v>2</v>
      </c>
      <c r="C119" s="226" t="s">
        <v>786</v>
      </c>
      <c r="D119" s="205" t="str">
        <f>IFERROR(VLOOKUP($C119,'PORTIFÓLIO'!C:V,2,0),"")</f>
        <v>DIFLUBENZUROM</v>
      </c>
      <c r="E119" s="190">
        <f>IFERROR(VLOOKUP($C119,'PORTIFÓLIO'!C:V,3,0),"")</f>
        <v>480</v>
      </c>
      <c r="F119" s="190" t="str">
        <f>IFERROR(VLOOKUP($C119,'PORTIFÓLIO'!C:V,4,0),"")</f>
        <v>KG</v>
      </c>
      <c r="G119" s="223" t="str">
        <f>IFERROR(VLOOKUP($C119,'PORTIFÓLIO'!C:V,5,0),"")</f>
        <v>📄 Ver bula</v>
      </c>
      <c r="H119" s="247">
        <f t="array" ref="H119">IFERROR(INDEX('PORTIFÓLIO'!$H$4:$H$433,MATCH($C119,'PORTIFÓLIO'!$C$4:$C$433,0)),"")</f>
        <v>0.04</v>
      </c>
      <c r="I119" s="253">
        <v>0.05</v>
      </c>
      <c r="J119" s="209">
        <f t="shared" si="14"/>
        <v>5.5</v>
      </c>
      <c r="K119" s="210">
        <f t="array" ref="K119">IFERROR(I119*INDEX('PORTIFÓLIO'!$S$4:$S$433,MATCH($C119,'PORTIFÓLIO'!$C$4:$C$433,0)),"")</f>
        <v>2.927979</v>
      </c>
      <c r="L119" s="210">
        <f t="array" ref="L119">IFERROR(J119*INDEX('PORTIFÓLIO'!$S$4:$S$433,MATCH($C119,'PORTIFÓLIO'!$C$4:$C$433,0)),"")</f>
        <v>322.07769</v>
      </c>
      <c r="M119" s="177"/>
      <c r="N119" s="177"/>
      <c r="O119" s="177"/>
      <c r="P119" s="177"/>
      <c r="Q119" s="177"/>
      <c r="R119" s="177"/>
      <c r="S119" s="177"/>
      <c r="T119" s="177"/>
      <c r="U119" s="177"/>
      <c r="V119" s="177"/>
      <c r="W119" s="177"/>
    </row>
    <row r="120" ht="15.75" customHeight="1" outlineLevel="1">
      <c r="A120" s="190"/>
      <c r="B120" s="204" t="s">
        <v>6</v>
      </c>
      <c r="C120" s="191" t="s">
        <v>351</v>
      </c>
      <c r="D120" s="205" t="str">
        <f>IFERROR(VLOOKUP($C120,'PORTIFÓLIO'!C:V,2,0),"")</f>
        <v>ÉSTER METILICO DE OLEO DE SOJA</v>
      </c>
      <c r="E120" s="190">
        <f>IFERROR(VLOOKUP($C120,'PORTIFÓLIO'!C:V,3,0),"")</f>
        <v>720</v>
      </c>
      <c r="F120" s="190" t="str">
        <f>IFERROR(VLOOKUP($C120,'PORTIFÓLIO'!C:V,4,0),"")</f>
        <v>L</v>
      </c>
      <c r="G120" s="223" t="str">
        <f>IFERROR(VLOOKUP($C120,'PORTIFÓLIO'!C:V,5,0),"")</f>
        <v>📄 Ver bula</v>
      </c>
      <c r="H120" s="247">
        <f t="array" ref="H120">IFERROR(INDEX('PORTIFÓLIO'!$H$4:$H$433,MATCH($C120,'PORTIFÓLIO'!$C$4:$C$433,0)),"")</f>
        <v>0.08</v>
      </c>
      <c r="I120" s="253">
        <v>0.2</v>
      </c>
      <c r="J120" s="209">
        <f t="shared" si="14"/>
        <v>22</v>
      </c>
      <c r="K120" s="210">
        <f t="array" ref="K120">IFERROR(I120*INDEX('PORTIFÓLIO'!$S$4:$S$433,MATCH($C120,'PORTIFÓLIO'!$C$4:$C$433,0)),"")</f>
        <v>2.968756</v>
      </c>
      <c r="L120" s="210">
        <f t="array" ref="L120">IFERROR(J120*INDEX('PORTIFÓLIO'!$S$4:$S$433,MATCH($C120,'PORTIFÓLIO'!$C$4:$C$433,0)),"")</f>
        <v>326.56316</v>
      </c>
      <c r="M120" s="177"/>
      <c r="N120" s="177"/>
      <c r="O120" s="177"/>
      <c r="P120" s="177"/>
      <c r="Q120" s="177"/>
      <c r="R120" s="177"/>
      <c r="S120" s="177"/>
      <c r="T120" s="177"/>
      <c r="U120" s="177"/>
      <c r="V120" s="177"/>
      <c r="W120" s="177"/>
    </row>
    <row r="121" ht="15.75" customHeight="1" outlineLevel="1">
      <c r="A121" s="190"/>
      <c r="B121" s="204"/>
      <c r="C121" s="191"/>
      <c r="D121" s="205" t="str">
        <f>IFERROR(VLOOKUP($C121,'PORTIFÓLIO'!C:V,2,0),"")</f>
        <v/>
      </c>
      <c r="E121" s="190" t="str">
        <f>IFERROR(VLOOKUP($C121,'PORTIFÓLIO'!C:V,3,0),"")</f>
        <v/>
      </c>
      <c r="F121" s="190" t="str">
        <f>IFERROR(VLOOKUP($C121,'PORTIFÓLIO'!C:V,4,0),"")</f>
        <v/>
      </c>
      <c r="G121" s="206" t="str">
        <f>IFERROR(VLOOKUP($C121,'PORTIFÓLIO'!C:V,5,0),"")</f>
        <v/>
      </c>
      <c r="H121" s="247" t="str">
        <f t="array" ref="H121">IFERROR(INDEX('PORTIFÓLIO'!$H$4:$H$433,MATCH($C121,'PORTIFÓLIO'!$C$4:$C$433,0)),"")</f>
        <v/>
      </c>
      <c r="I121" s="253"/>
      <c r="J121" s="209">
        <f t="shared" si="14"/>
        <v>0</v>
      </c>
      <c r="K121" s="210" t="str">
        <f t="array" ref="K121">IFERROR(I121*INDEX('PORTIFÓLIO'!$S$4:$S$433,MATCH($C121,'PORTIFÓLIO'!$C$4:$C$433,0)),"")</f>
        <v/>
      </c>
      <c r="L121" s="210" t="str">
        <f t="array" ref="L121">IFERROR(J121*INDEX('PORTIFÓLIO'!$S$4:$S$433,MATCH($C121,'PORTIFÓLIO'!$C$4:$C$433,0)),"")</f>
        <v/>
      </c>
      <c r="M121" s="177"/>
      <c r="N121" s="177"/>
      <c r="O121" s="177"/>
      <c r="P121" s="177"/>
      <c r="Q121" s="177"/>
      <c r="R121" s="177"/>
      <c r="S121" s="177"/>
      <c r="T121" s="177"/>
      <c r="U121" s="177"/>
      <c r="V121" s="177"/>
      <c r="W121" s="177"/>
    </row>
    <row r="122" ht="15.75" customHeight="1" outlineLevel="1">
      <c r="A122" s="190"/>
      <c r="B122" s="204"/>
      <c r="C122" s="191"/>
      <c r="D122" s="205" t="str">
        <f>IFERROR(VLOOKUP($C122,'PORTIFÓLIO'!C:V,2,0),"")</f>
        <v/>
      </c>
      <c r="E122" s="190" t="str">
        <f>IFERROR(VLOOKUP($C122,'PORTIFÓLIO'!C:V,3,0),"")</f>
        <v/>
      </c>
      <c r="F122" s="190" t="str">
        <f>IFERROR(VLOOKUP($C122,'PORTIFÓLIO'!C:V,4,0),"")</f>
        <v/>
      </c>
      <c r="G122" s="206" t="str">
        <f>IFERROR(VLOOKUP($C122,'PORTIFÓLIO'!C:V,5,0),"")</f>
        <v/>
      </c>
      <c r="H122" s="247" t="str">
        <f t="array" ref="H122">IFERROR(INDEX('PORTIFÓLIO'!$H$4:$H$433,MATCH($C122,'PORTIFÓLIO'!$C$4:$C$433,0)),"")</f>
        <v/>
      </c>
      <c r="I122" s="253"/>
      <c r="J122" s="209">
        <f t="shared" si="14"/>
        <v>0</v>
      </c>
      <c r="K122" s="210" t="str">
        <f t="array" ref="K122">IFERROR(I122*INDEX('PORTIFÓLIO'!$S$4:$S$433,MATCH($C122,'PORTIFÓLIO'!$C$4:$C$433,0)),"")</f>
        <v/>
      </c>
      <c r="L122" s="210" t="str">
        <f t="array" ref="L122">IFERROR(J122*INDEX('PORTIFÓLIO'!$S$4:$S$433,MATCH($C122,'PORTIFÓLIO'!$C$4:$C$433,0)),"")</f>
        <v/>
      </c>
      <c r="M122" s="177"/>
      <c r="N122" s="177"/>
      <c r="O122" s="177"/>
      <c r="P122" s="177"/>
      <c r="Q122" s="177"/>
      <c r="R122" s="177"/>
      <c r="S122" s="177"/>
      <c r="T122" s="177"/>
      <c r="U122" s="177"/>
      <c r="V122" s="177"/>
      <c r="W122" s="177"/>
    </row>
    <row r="123" ht="15.75" customHeight="1" outlineLevel="1">
      <c r="A123" s="190"/>
      <c r="B123" s="204"/>
      <c r="C123" s="191"/>
      <c r="D123" s="205" t="str">
        <f>IFERROR(VLOOKUP($C123,'PORTIFÓLIO'!C:V,2,0),"")</f>
        <v/>
      </c>
      <c r="E123" s="190" t="str">
        <f>IFERROR(VLOOKUP($C123,'PORTIFÓLIO'!C:V,3,0),"")</f>
        <v/>
      </c>
      <c r="F123" s="190" t="str">
        <f>IFERROR(VLOOKUP($C123,'PORTIFÓLIO'!C:V,4,0),"")</f>
        <v/>
      </c>
      <c r="G123" s="206" t="str">
        <f>IFERROR(VLOOKUP($C123,'PORTIFÓLIO'!C:V,5,0),"")</f>
        <v/>
      </c>
      <c r="H123" s="247" t="str">
        <f t="array" ref="H123">IFERROR(INDEX('PORTIFÓLIO'!$H$4:$H$433,MATCH($C123,'PORTIFÓLIO'!$C$4:$C$433,0)),"")</f>
        <v/>
      </c>
      <c r="I123" s="253"/>
      <c r="J123" s="209">
        <f t="shared" si="14"/>
        <v>0</v>
      </c>
      <c r="K123" s="210" t="str">
        <f t="array" ref="K123">IFERROR(I123*INDEX('PORTIFÓLIO'!$S$4:$S$433,MATCH($C123,'PORTIFÓLIO'!$C$4:$C$433,0)),"")</f>
        <v/>
      </c>
      <c r="L123" s="210" t="str">
        <f t="array" ref="L123">IFERROR(J123*INDEX('PORTIFÓLIO'!$S$4:$S$433,MATCH($C123,'PORTIFÓLIO'!$C$4:$C$433,0)),"")</f>
        <v/>
      </c>
      <c r="M123" s="177"/>
      <c r="N123" s="177"/>
      <c r="O123" s="177"/>
      <c r="P123" s="177"/>
      <c r="Q123" s="177"/>
      <c r="R123" s="177"/>
      <c r="S123" s="177"/>
      <c r="T123" s="177"/>
      <c r="U123" s="177"/>
      <c r="V123" s="177"/>
      <c r="W123" s="177"/>
    </row>
    <row r="124" ht="15.75" customHeight="1" outlineLevel="1">
      <c r="A124" s="190"/>
      <c r="B124" s="204"/>
      <c r="C124" s="191"/>
      <c r="D124" s="205" t="str">
        <f>IFERROR(VLOOKUP($C124,'PORTIFÓLIO'!C:V,2,0),"")</f>
        <v/>
      </c>
      <c r="E124" s="190" t="str">
        <f>IFERROR(VLOOKUP($C124,'PORTIFÓLIO'!C:V,3,0),"")</f>
        <v/>
      </c>
      <c r="F124" s="190" t="str">
        <f>IFERROR(VLOOKUP($C124,'PORTIFÓLIO'!C:V,4,0),"")</f>
        <v/>
      </c>
      <c r="G124" s="206" t="str">
        <f>IFERROR(VLOOKUP($C124,'PORTIFÓLIO'!C:V,5,0),"")</f>
        <v/>
      </c>
      <c r="H124" s="247" t="str">
        <f t="array" ref="H124">IFERROR(INDEX('PORTIFÓLIO'!$H$4:$H$433,MATCH($C124,'PORTIFÓLIO'!$C$4:$C$433,0)),"")</f>
        <v/>
      </c>
      <c r="I124" s="257"/>
      <c r="J124" s="209">
        <f t="shared" si="14"/>
        <v>0</v>
      </c>
      <c r="K124" s="210" t="str">
        <f t="array" ref="K124">IFERROR(I124*INDEX('PORTIFÓLIO'!$S$4:$S$433,MATCH($C124,'PORTIFÓLIO'!$C$4:$C$433,0)),"")</f>
        <v/>
      </c>
      <c r="L124" s="210" t="str">
        <f t="array" ref="L124">IFERROR(J124*INDEX('PORTIFÓLIO'!$S$4:$S$433,MATCH($C124,'PORTIFÓLIO'!$C$4:$C$433,0)),"")</f>
        <v/>
      </c>
      <c r="M124" s="177"/>
      <c r="N124" s="177"/>
      <c r="O124" s="177"/>
      <c r="P124" s="177"/>
      <c r="Q124" s="177"/>
      <c r="R124" s="177"/>
      <c r="S124" s="177"/>
      <c r="T124" s="177"/>
      <c r="U124" s="177"/>
      <c r="V124" s="177"/>
      <c r="W124" s="177"/>
    </row>
    <row r="125" ht="15.75" customHeight="1" outlineLevel="1">
      <c r="A125" s="190"/>
      <c r="B125" s="204"/>
      <c r="C125" s="191"/>
      <c r="D125" s="205" t="str">
        <f>IFERROR(VLOOKUP($C125,'PORTIFÓLIO'!C:V,2,0),"")</f>
        <v/>
      </c>
      <c r="E125" s="190" t="str">
        <f>IFERROR(VLOOKUP($C125,'PORTIFÓLIO'!C:V,3,0),"")</f>
        <v/>
      </c>
      <c r="F125" s="190" t="str">
        <f>IFERROR(VLOOKUP($C125,'PORTIFÓLIO'!C:V,4,0),"")</f>
        <v/>
      </c>
      <c r="G125" s="206" t="str">
        <f>IFERROR(VLOOKUP($C125,'PORTIFÓLIO'!C:V,5,0),"")</f>
        <v/>
      </c>
      <c r="H125" s="247" t="str">
        <f t="array" ref="H125">IFERROR(INDEX('PORTIFÓLIO'!$H$4:$H$433,MATCH($C125,'PORTIFÓLIO'!$C$4:$C$433,0)),"")</f>
        <v/>
      </c>
      <c r="I125" s="257"/>
      <c r="J125" s="209">
        <f t="shared" si="14"/>
        <v>0</v>
      </c>
      <c r="K125" s="210" t="str">
        <f t="array" ref="K125">IFERROR(I125*INDEX('PORTIFÓLIO'!$S$4:$S$433,MATCH($C125,'PORTIFÓLIO'!$C$4:$C$433,0)),"")</f>
        <v/>
      </c>
      <c r="L125" s="210" t="str">
        <f t="array" ref="L125">IFERROR(J125*INDEX('PORTIFÓLIO'!$S$4:$S$433,MATCH($C125,'PORTIFÓLIO'!$C$4:$C$433,0)),"")</f>
        <v/>
      </c>
      <c r="M125" s="177"/>
      <c r="N125" s="177"/>
      <c r="O125" s="177"/>
      <c r="P125" s="177"/>
      <c r="Q125" s="177"/>
      <c r="R125" s="177"/>
      <c r="S125" s="177"/>
      <c r="T125" s="177"/>
      <c r="U125" s="177"/>
      <c r="V125" s="177"/>
      <c r="W125" s="177"/>
    </row>
    <row r="126" ht="15.75" customHeight="1" outlineLevel="1">
      <c r="A126" s="190"/>
      <c r="B126" s="204"/>
      <c r="C126" s="191"/>
      <c r="D126" s="205" t="str">
        <f>IFERROR(VLOOKUP($C126,'PORTIFÓLIO'!C:V,2,0),"")</f>
        <v/>
      </c>
      <c r="E126" s="190" t="str">
        <f>IFERROR(VLOOKUP($C126,'PORTIFÓLIO'!C:V,3,0),"")</f>
        <v/>
      </c>
      <c r="F126" s="190" t="str">
        <f>IFERROR(VLOOKUP($C126,'PORTIFÓLIO'!C:V,4,0),"")</f>
        <v/>
      </c>
      <c r="G126" s="206" t="str">
        <f>IFERROR(VLOOKUP($C126,'PORTIFÓLIO'!C:V,5,0),"")</f>
        <v/>
      </c>
      <c r="H126" s="247" t="str">
        <f t="array" ref="H126">IFERROR(INDEX('PORTIFÓLIO'!$H$4:$H$433,MATCH($C126,'PORTIFÓLIO'!$C$4:$C$433,0)),"")</f>
        <v/>
      </c>
      <c r="I126" s="257"/>
      <c r="J126" s="209">
        <f t="shared" si="14"/>
        <v>0</v>
      </c>
      <c r="K126" s="210" t="str">
        <f t="array" ref="K126">IFERROR(I126*INDEX('PORTIFÓLIO'!$S$4:$S$433,MATCH($C126,'PORTIFÓLIO'!$C$4:$C$433,0)),"")</f>
        <v/>
      </c>
      <c r="L126" s="210" t="str">
        <f t="array" ref="L126">IFERROR(J126*INDEX('PORTIFÓLIO'!$S$4:$S$433,MATCH($C126,'PORTIFÓLIO'!$C$4:$C$433,0)),"")</f>
        <v/>
      </c>
      <c r="M126" s="177"/>
      <c r="N126" s="177"/>
      <c r="O126" s="177"/>
      <c r="P126" s="177"/>
      <c r="Q126" s="177"/>
      <c r="R126" s="177"/>
      <c r="S126" s="177"/>
      <c r="T126" s="177"/>
      <c r="U126" s="177"/>
      <c r="V126" s="177"/>
      <c r="W126" s="177"/>
    </row>
    <row r="127" ht="15.75" customHeight="1" outlineLevel="1">
      <c r="A127" s="190"/>
      <c r="B127" s="204"/>
      <c r="C127" s="191"/>
      <c r="D127" s="205" t="str">
        <f>IFERROR(VLOOKUP($C127,'PORTIFÓLIO'!C:V,2,0),"")</f>
        <v/>
      </c>
      <c r="E127" s="190" t="str">
        <f>IFERROR(VLOOKUP($C127,'PORTIFÓLIO'!C:V,3,0),"")</f>
        <v/>
      </c>
      <c r="F127" s="190" t="str">
        <f>IFERROR(VLOOKUP($C127,'PORTIFÓLIO'!C:V,4,0),"")</f>
        <v/>
      </c>
      <c r="G127" s="206" t="str">
        <f>IFERROR(VLOOKUP($C127,'PORTIFÓLIO'!C:V,5,0),"")</f>
        <v/>
      </c>
      <c r="H127" s="247" t="str">
        <f t="array" ref="H127">IFERROR(INDEX('PORTIFÓLIO'!$H$4:$H$433,MATCH($C127,'PORTIFÓLIO'!$C$4:$C$433,0)),"")</f>
        <v/>
      </c>
      <c r="I127" s="257"/>
      <c r="J127" s="209">
        <f t="shared" si="14"/>
        <v>0</v>
      </c>
      <c r="K127" s="210" t="str">
        <f t="array" ref="K127">IFERROR(I127*INDEX('PORTIFÓLIO'!$S$4:$S$433,MATCH($C127,'PORTIFÓLIO'!$C$4:$C$433,0)),"")</f>
        <v/>
      </c>
      <c r="L127" s="210" t="str">
        <f t="array" ref="L127">IFERROR(J127*INDEX('PORTIFÓLIO'!$S$4:$S$433,MATCH($C127,'PORTIFÓLIO'!$C$4:$C$433,0)),"")</f>
        <v/>
      </c>
      <c r="M127" s="177"/>
      <c r="N127" s="177"/>
      <c r="O127" s="177"/>
      <c r="P127" s="177"/>
      <c r="Q127" s="177"/>
      <c r="R127" s="177"/>
      <c r="S127" s="177"/>
      <c r="T127" s="177"/>
      <c r="U127" s="177"/>
      <c r="V127" s="177"/>
      <c r="W127" s="177"/>
    </row>
    <row r="128" ht="15.75" customHeight="1" outlineLevel="1">
      <c r="A128" s="190"/>
      <c r="B128" s="204"/>
      <c r="C128" s="191"/>
      <c r="D128" s="205" t="str">
        <f>IFERROR(VLOOKUP($C128,'PORTIFÓLIO'!C:V,2,0),"")</f>
        <v/>
      </c>
      <c r="E128" s="190" t="str">
        <f>IFERROR(VLOOKUP($C128,'PORTIFÓLIO'!C:V,3,0),"")</f>
        <v/>
      </c>
      <c r="F128" s="190" t="str">
        <f>IFERROR(VLOOKUP($C128,'PORTIFÓLIO'!C:V,4,0),"")</f>
        <v/>
      </c>
      <c r="G128" s="206" t="str">
        <f>IFERROR(VLOOKUP($C128,'PORTIFÓLIO'!C:V,5,0),"")</f>
        <v/>
      </c>
      <c r="H128" s="247" t="str">
        <f t="array" ref="H128">IFERROR(INDEX('PORTIFÓLIO'!$H$4:$H$433,MATCH($C128,'PORTIFÓLIO'!$C$4:$C$433,0)),"")</f>
        <v/>
      </c>
      <c r="I128" s="257"/>
      <c r="J128" s="209">
        <f t="shared" si="14"/>
        <v>0</v>
      </c>
      <c r="K128" s="210" t="str">
        <f t="array" ref="K128">IFERROR(I128*INDEX('PORTIFÓLIO'!$S$4:$S$433,MATCH($C128,'PORTIFÓLIO'!$C$4:$C$433,0)),"")</f>
        <v/>
      </c>
      <c r="L128" s="210" t="str">
        <f t="array" ref="L128">IFERROR(J128*INDEX('PORTIFÓLIO'!$S$4:$S$433,MATCH($C128,'PORTIFÓLIO'!$C$4:$C$433,0)),"")</f>
        <v/>
      </c>
      <c r="M128" s="177"/>
      <c r="N128" s="177"/>
      <c r="O128" s="177"/>
      <c r="P128" s="177"/>
      <c r="Q128" s="177"/>
      <c r="R128" s="177"/>
      <c r="S128" s="177"/>
      <c r="T128" s="177"/>
      <c r="U128" s="177"/>
      <c r="V128" s="177"/>
      <c r="W128" s="177"/>
    </row>
    <row r="129" ht="15.75" customHeight="1" outlineLevel="1">
      <c r="A129" s="190"/>
      <c r="B129" s="204"/>
      <c r="C129" s="191"/>
      <c r="D129" s="205" t="str">
        <f>IFERROR(VLOOKUP($C129,'PORTIFÓLIO'!C:V,2,0),"")</f>
        <v/>
      </c>
      <c r="E129" s="190" t="str">
        <f>IFERROR(VLOOKUP($C129,'PORTIFÓLIO'!C:V,3,0),"")</f>
        <v/>
      </c>
      <c r="F129" s="190" t="str">
        <f>IFERROR(VLOOKUP($C129,'PORTIFÓLIO'!C:V,4,0),"")</f>
        <v/>
      </c>
      <c r="G129" s="206" t="str">
        <f>IFERROR(VLOOKUP($C129,'PORTIFÓLIO'!C:V,5,0),"")</f>
        <v/>
      </c>
      <c r="H129" s="247" t="str">
        <f t="array" ref="H129">IFERROR(INDEX('PORTIFÓLIO'!$H$4:$H$433,MATCH($C129,'PORTIFÓLIO'!$C$4:$C$433,0)),"")</f>
        <v/>
      </c>
      <c r="I129" s="257"/>
      <c r="J129" s="209">
        <f t="shared" si="14"/>
        <v>0</v>
      </c>
      <c r="K129" s="210" t="str">
        <f t="array" ref="K129">IFERROR(I129*INDEX('PORTIFÓLIO'!$S$4:$S$433,MATCH($C129,'PORTIFÓLIO'!$C$4:$C$433,0)),"")</f>
        <v/>
      </c>
      <c r="L129" s="210" t="str">
        <f t="array" ref="L129">IFERROR(J129*INDEX('PORTIFÓLIO'!$S$4:$S$433,MATCH($C129,'PORTIFÓLIO'!$C$4:$C$433,0)),"")</f>
        <v/>
      </c>
      <c r="M129" s="177"/>
      <c r="N129" s="177"/>
      <c r="O129" s="177"/>
      <c r="P129" s="177"/>
      <c r="Q129" s="177"/>
      <c r="R129" s="177"/>
      <c r="S129" s="177"/>
      <c r="T129" s="177"/>
      <c r="U129" s="177"/>
      <c r="V129" s="177"/>
      <c r="W129" s="177"/>
    </row>
    <row r="130" ht="15.75" customHeight="1" outlineLevel="1">
      <c r="A130" s="190"/>
      <c r="B130" s="238"/>
      <c r="C130" s="190"/>
      <c r="D130" s="205" t="str">
        <f>IFERROR(VLOOKUP($C130,'PORTIFÓLIO'!C:V,2,0),"")</f>
        <v/>
      </c>
      <c r="E130" s="190" t="str">
        <f>IFERROR(VLOOKUP($C130,'PORTIFÓLIO'!C:V,3,0),"")</f>
        <v/>
      </c>
      <c r="F130" s="190" t="str">
        <f>IFERROR(VLOOKUP($C130,'PORTIFÓLIO'!C:V,4,0),"")</f>
        <v/>
      </c>
      <c r="G130" s="206" t="str">
        <f>IFERROR(VLOOKUP($C130,'PORTIFÓLIO'!C:V,5,0),"")</f>
        <v/>
      </c>
      <c r="H130" s="247" t="str">
        <f t="array" ref="H130">IFERROR(INDEX('PORTIFÓLIO'!$H$4:$H$433,MATCH($C130,'PORTIFÓLIO'!$C$4:$C$433,0)),"")</f>
        <v/>
      </c>
      <c r="I130" s="257"/>
      <c r="J130" s="209"/>
      <c r="K130" s="210" t="str">
        <f t="array" ref="K130">IFERROR(I130*INDEX('PORTIFÓLIO'!$S$4:$S$433,MATCH($C130,'PORTIFÓLIO'!$C$4:$C$433,0)),"")</f>
        <v/>
      </c>
      <c r="L130" s="210" t="str">
        <f t="array" ref="L130">IFERROR(J130*INDEX('PORTIFÓLIO'!$S$4:$S$433,MATCH($C130,'PORTIFÓLIO'!$C$4:$C$433,0)),"")</f>
        <v/>
      </c>
      <c r="M130" s="177"/>
      <c r="N130" s="177"/>
      <c r="O130" s="177"/>
      <c r="P130" s="177"/>
      <c r="Q130" s="177"/>
      <c r="R130" s="177"/>
      <c r="S130" s="177"/>
      <c r="T130" s="177"/>
      <c r="U130" s="177"/>
      <c r="V130" s="177"/>
      <c r="W130" s="177"/>
    </row>
    <row r="131" ht="15.75" customHeight="1">
      <c r="A131" s="221" t="s">
        <v>1191</v>
      </c>
      <c r="B131" s="197"/>
      <c r="C131" s="196"/>
      <c r="D131" s="198"/>
      <c r="E131" s="196"/>
      <c r="F131" s="196"/>
      <c r="G131" s="199"/>
      <c r="H131" s="199"/>
      <c r="I131" s="252"/>
      <c r="J131" s="202"/>
      <c r="K131" s="203">
        <f t="shared" ref="K131:L131" si="15">SUBTOTAL(9,K132:K145)</f>
        <v>182.923288</v>
      </c>
      <c r="L131" s="203">
        <f t="shared" si="15"/>
        <v>20121.56168</v>
      </c>
      <c r="M131" s="177"/>
      <c r="N131" s="177"/>
      <c r="O131" s="177"/>
      <c r="P131" s="177"/>
      <c r="Q131" s="177"/>
      <c r="R131" s="177"/>
      <c r="S131" s="177"/>
      <c r="T131" s="177"/>
      <c r="U131" s="177"/>
      <c r="V131" s="177"/>
      <c r="W131" s="177"/>
    </row>
    <row r="132" ht="15.75" customHeight="1" outlineLevel="1">
      <c r="A132" s="191"/>
      <c r="B132" s="204" t="s">
        <v>0</v>
      </c>
      <c r="C132" s="191" t="s">
        <v>487</v>
      </c>
      <c r="D132" s="205" t="str">
        <f>IFERROR(VLOOKUP($C132,'PORTIFÓLIO'!C:V,2,0),"")</f>
        <v>PICOXISTROBINA + CIPROCONAZOL</v>
      </c>
      <c r="E132" s="190" t="str">
        <f>IFERROR(VLOOKUP($C132,'PORTIFÓLIO'!C:V,3,0),"")</f>
        <v>90 + 40</v>
      </c>
      <c r="F132" s="190" t="str">
        <f>IFERROR(VLOOKUP($C132,'PORTIFÓLIO'!C:V,4,0),"")</f>
        <v>L</v>
      </c>
      <c r="G132" s="223" t="str">
        <f>IFERROR(VLOOKUP($C132,'PORTIFÓLIO'!C:V,5,0),"")</f>
        <v>📄 Ver bula</v>
      </c>
      <c r="H132" s="247">
        <f t="array" ref="H132">IFERROR(INDEX('PORTIFÓLIO'!$H$4:$H$433,MATCH($C132,'PORTIFÓLIO'!$C$4:$C$433,0)),"")</f>
        <v>0.6</v>
      </c>
      <c r="I132" s="253">
        <v>0.6</v>
      </c>
      <c r="J132" s="209">
        <f t="shared" ref="J132:J146" si="16">I132*$B$2</f>
        <v>66</v>
      </c>
      <c r="K132" s="210">
        <f t="array" ref="K132">IFERROR(I132*INDEX('PORTIFÓLIO'!$S$4:$S$433,MATCH($C132,'PORTIFÓLIO'!$C$4:$C$433,0)),"")</f>
        <v>39.349152</v>
      </c>
      <c r="L132" s="210">
        <f t="array" ref="L132">IFERROR(J132*INDEX('PORTIFÓLIO'!$S$4:$S$433,MATCH($C132,'PORTIFÓLIO'!$C$4:$C$433,0)),"")</f>
        <v>4328.40672</v>
      </c>
      <c r="M132" s="177"/>
      <c r="N132" s="177"/>
      <c r="O132" s="177"/>
      <c r="P132" s="177"/>
      <c r="Q132" s="177"/>
      <c r="R132" s="177"/>
      <c r="S132" s="177"/>
      <c r="T132" s="177"/>
      <c r="U132" s="177"/>
      <c r="V132" s="177"/>
      <c r="W132" s="177"/>
    </row>
    <row r="133" ht="15.75" customHeight="1" outlineLevel="1">
      <c r="A133" s="190"/>
      <c r="B133" s="204" t="s">
        <v>0</v>
      </c>
      <c r="C133" s="191" t="s">
        <v>484</v>
      </c>
      <c r="D133" s="205" t="str">
        <f>IFERROR(VLOOKUP($C133,'PORTIFÓLIO'!C:V,2,0),"")</f>
        <v>MANCOZEBE</v>
      </c>
      <c r="E133" s="190">
        <f>IFERROR(VLOOKUP($C133,'PORTIFÓLIO'!C:V,3,0),"")</f>
        <v>750</v>
      </c>
      <c r="F133" s="190" t="str">
        <f>IFERROR(VLOOKUP($C133,'PORTIFÓLIO'!C:V,4,0),"")</f>
        <v>L</v>
      </c>
      <c r="G133" s="223" t="str">
        <f>IFERROR(VLOOKUP($C133,'PORTIFÓLIO'!C:V,5,0),"")</f>
        <v>📄 Ver bula</v>
      </c>
      <c r="H133" s="247">
        <f t="array" ref="H133">IFERROR(INDEX('PORTIFÓLIO'!$H$4:$H$433,MATCH($C133,'PORTIFÓLIO'!$C$4:$C$433,0)),"")</f>
        <v>1.5</v>
      </c>
      <c r="I133" s="253">
        <v>1.5</v>
      </c>
      <c r="J133" s="209">
        <f t="shared" si="16"/>
        <v>165</v>
      </c>
      <c r="K133" s="210">
        <f t="array" ref="K133">IFERROR(I133*INDEX('PORTIFÓLIO'!$S$4:$S$433,MATCH($C133,'PORTIFÓLIO'!$C$4:$C$433,0)),"")</f>
        <v>41.52168</v>
      </c>
      <c r="L133" s="210">
        <f t="array" ref="L133">IFERROR(J133*INDEX('PORTIFÓLIO'!$S$4:$S$433,MATCH($C133,'PORTIFÓLIO'!$C$4:$C$433,0)),"")</f>
        <v>4567.3848</v>
      </c>
      <c r="M133" s="177"/>
      <c r="N133" s="177"/>
      <c r="O133" s="177"/>
      <c r="P133" s="177"/>
      <c r="Q133" s="177"/>
      <c r="R133" s="177"/>
      <c r="S133" s="177"/>
      <c r="T133" s="177"/>
      <c r="U133" s="177"/>
      <c r="V133" s="177"/>
      <c r="W133" s="177"/>
    </row>
    <row r="134" ht="15.75" customHeight="1" outlineLevel="1">
      <c r="A134" s="190"/>
      <c r="B134" s="204" t="s">
        <v>2</v>
      </c>
      <c r="C134" s="191" t="s">
        <v>897</v>
      </c>
      <c r="D134" s="205" t="str">
        <f>IFERROR(VLOOKUP($C134,'PORTIFÓLIO'!C:V,2,0),"")</f>
        <v>ISOCICLOSERAM + LAMBDA-CIALOTRINA</v>
      </c>
      <c r="E134" s="190" t="str">
        <f>IFERROR(VLOOKUP($C134,'PORTIFÓLIO'!C:V,3,0),"")</f>
        <v>100 + 150</v>
      </c>
      <c r="F134" s="190" t="str">
        <f>IFERROR(VLOOKUP($C134,'PORTIFÓLIO'!C:V,4,0),"")</f>
        <v>L</v>
      </c>
      <c r="G134" s="223" t="str">
        <f>IFERROR(VLOOKUP($C134,'PORTIFÓLIO'!C:V,5,0),"")</f>
        <v>📄 Ver bula</v>
      </c>
      <c r="H134" s="247">
        <f t="array" ref="H134">IFERROR(INDEX('PORTIFÓLIO'!$H$4:$H$433,MATCH($C134,'PORTIFÓLIO'!$C$4:$C$433,0)),"")</f>
        <v>0.25</v>
      </c>
      <c r="I134" s="253">
        <v>0.25</v>
      </c>
      <c r="J134" s="209">
        <f t="shared" si="16"/>
        <v>27.5</v>
      </c>
      <c r="K134" s="210">
        <f t="array" ref="K134">IFERROR(I134*INDEX('PORTIFÓLIO'!$S$4:$S$433,MATCH($C134,'PORTIFÓLIO'!$C$4:$C$433,0)),"")</f>
        <v>99.0837</v>
      </c>
      <c r="L134" s="210">
        <f t="array" ref="L134">IFERROR(J134*INDEX('PORTIFÓLIO'!$S$4:$S$433,MATCH($C134,'PORTIFÓLIO'!$C$4:$C$433,0)),"")</f>
        <v>10899.207</v>
      </c>
      <c r="M134" s="177"/>
      <c r="N134" s="177"/>
      <c r="O134" s="177"/>
      <c r="P134" s="177"/>
      <c r="Q134" s="177"/>
      <c r="R134" s="177"/>
      <c r="S134" s="177"/>
      <c r="T134" s="177"/>
      <c r="U134" s="177"/>
      <c r="V134" s="177"/>
      <c r="W134" s="177"/>
    </row>
    <row r="135" ht="15.75" customHeight="1" outlineLevel="1">
      <c r="A135" s="190"/>
      <c r="B135" s="204" t="s">
        <v>6</v>
      </c>
      <c r="C135" s="191" t="s">
        <v>351</v>
      </c>
      <c r="D135" s="205" t="str">
        <f>IFERROR(VLOOKUP($C135,'PORTIFÓLIO'!C:V,2,0),"")</f>
        <v>ÉSTER METILICO DE OLEO DE SOJA</v>
      </c>
      <c r="E135" s="190">
        <f>IFERROR(VLOOKUP($C135,'PORTIFÓLIO'!C:V,3,0),"")</f>
        <v>720</v>
      </c>
      <c r="F135" s="190" t="str">
        <f>IFERROR(VLOOKUP($C135,'PORTIFÓLIO'!C:V,4,0),"")</f>
        <v>L</v>
      </c>
      <c r="G135" s="223" t="str">
        <f>IFERROR(VLOOKUP($C135,'PORTIFÓLIO'!C:V,5,0),"")</f>
        <v>📄 Ver bula</v>
      </c>
      <c r="H135" s="247">
        <f t="array" ref="H135">IFERROR(INDEX('PORTIFÓLIO'!$H$4:$H$433,MATCH($C135,'PORTIFÓLIO'!$C$4:$C$433,0)),"")</f>
        <v>0.08</v>
      </c>
      <c r="I135" s="253">
        <v>0.2</v>
      </c>
      <c r="J135" s="209">
        <f t="shared" si="16"/>
        <v>22</v>
      </c>
      <c r="K135" s="210">
        <f t="array" ref="K135">IFERROR(I135*INDEX('PORTIFÓLIO'!$S$4:$S$433,MATCH($C135,'PORTIFÓLIO'!$C$4:$C$433,0)),"")</f>
        <v>2.968756</v>
      </c>
      <c r="L135" s="210">
        <f t="array" ref="L135">IFERROR(J135*INDEX('PORTIFÓLIO'!$S$4:$S$433,MATCH($C135,'PORTIFÓLIO'!$C$4:$C$433,0)),"")</f>
        <v>326.56316</v>
      </c>
      <c r="M135" s="177"/>
      <c r="N135" s="177"/>
      <c r="O135" s="177"/>
      <c r="P135" s="177"/>
      <c r="Q135" s="177"/>
      <c r="R135" s="177"/>
      <c r="S135" s="177"/>
      <c r="T135" s="177"/>
      <c r="U135" s="177"/>
      <c r="V135" s="177"/>
      <c r="W135" s="177"/>
    </row>
    <row r="136" ht="15.75" customHeight="1" outlineLevel="1">
      <c r="A136" s="190"/>
      <c r="B136" s="204"/>
      <c r="C136" s="191"/>
      <c r="D136" s="205" t="str">
        <f>IFERROR(VLOOKUP($C136,'PORTIFÓLIO'!C:V,2,0),"")</f>
        <v/>
      </c>
      <c r="E136" s="190" t="str">
        <f>IFERROR(VLOOKUP($C136,'PORTIFÓLIO'!C:V,3,0),"")</f>
        <v/>
      </c>
      <c r="F136" s="190" t="str">
        <f>IFERROR(VLOOKUP($C136,'PORTIFÓLIO'!C:V,4,0),"")</f>
        <v/>
      </c>
      <c r="G136" s="206" t="str">
        <f>IFERROR(VLOOKUP($C136,'PORTIFÓLIO'!C:V,5,0),"")</f>
        <v/>
      </c>
      <c r="H136" s="247" t="str">
        <f t="array" ref="H136">IFERROR(INDEX('PORTIFÓLIO'!$H$4:$H$433,MATCH($C136,'PORTIFÓLIO'!$C$4:$C$433,0)),"")</f>
        <v/>
      </c>
      <c r="I136" s="257"/>
      <c r="J136" s="209">
        <f t="shared" si="16"/>
        <v>0</v>
      </c>
      <c r="K136" s="210" t="str">
        <f t="array" ref="K136">IFERROR(I136*INDEX('PORTIFÓLIO'!$S$4:$S$433,MATCH($C136,'PORTIFÓLIO'!$C$4:$C$433,0)),"")</f>
        <v/>
      </c>
      <c r="L136" s="210" t="str">
        <f t="array" ref="L136">IFERROR(J136*INDEX('PORTIFÓLIO'!$S$4:$S$433,MATCH($C136,'PORTIFÓLIO'!$C$4:$C$433,0)),"")</f>
        <v/>
      </c>
      <c r="M136" s="177"/>
      <c r="N136" s="177"/>
      <c r="O136" s="177"/>
      <c r="P136" s="177"/>
      <c r="Q136" s="177"/>
      <c r="R136" s="177"/>
      <c r="S136" s="177"/>
      <c r="T136" s="177"/>
      <c r="U136" s="177"/>
      <c r="V136" s="177"/>
      <c r="W136" s="177"/>
    </row>
    <row r="137" ht="15.75" customHeight="1" outlineLevel="1">
      <c r="A137" s="190"/>
      <c r="B137" s="204"/>
      <c r="C137" s="191"/>
      <c r="D137" s="205" t="str">
        <f>IFERROR(VLOOKUP($C137,'PORTIFÓLIO'!C:V,2,0),"")</f>
        <v/>
      </c>
      <c r="E137" s="190" t="str">
        <f>IFERROR(VLOOKUP($C137,'PORTIFÓLIO'!C:V,3,0),"")</f>
        <v/>
      </c>
      <c r="F137" s="190" t="str">
        <f>IFERROR(VLOOKUP($C137,'PORTIFÓLIO'!C:V,4,0),"")</f>
        <v/>
      </c>
      <c r="G137" s="206" t="str">
        <f>IFERROR(VLOOKUP($C137,'PORTIFÓLIO'!C:V,5,0),"")</f>
        <v/>
      </c>
      <c r="H137" s="247" t="str">
        <f t="array" ref="H137">IFERROR(INDEX('PORTIFÓLIO'!$H$4:$H$433,MATCH($C137,'PORTIFÓLIO'!$C$4:$C$433,0)),"")</f>
        <v/>
      </c>
      <c r="I137" s="257"/>
      <c r="J137" s="209">
        <f t="shared" si="16"/>
        <v>0</v>
      </c>
      <c r="K137" s="210" t="str">
        <f t="array" ref="K137">IFERROR(I137*INDEX('PORTIFÓLIO'!$S$4:$S$433,MATCH($C137,'PORTIFÓLIO'!$C$4:$C$433,0)),"")</f>
        <v/>
      </c>
      <c r="L137" s="210" t="str">
        <f t="array" ref="L137">IFERROR(J137*INDEX('PORTIFÓLIO'!$S$4:$S$433,MATCH($C137,'PORTIFÓLIO'!$C$4:$C$433,0)),"")</f>
        <v/>
      </c>
      <c r="M137" s="177"/>
      <c r="N137" s="177"/>
      <c r="O137" s="177"/>
      <c r="P137" s="177"/>
      <c r="Q137" s="177"/>
      <c r="R137" s="177"/>
      <c r="S137" s="177"/>
      <c r="T137" s="177"/>
      <c r="U137" s="177"/>
      <c r="V137" s="177"/>
      <c r="W137" s="177"/>
    </row>
    <row r="138" ht="15.75" customHeight="1" outlineLevel="1">
      <c r="A138" s="190"/>
      <c r="B138" s="204"/>
      <c r="C138" s="191"/>
      <c r="D138" s="205" t="str">
        <f>IFERROR(VLOOKUP($C138,'PORTIFÓLIO'!C:V,2,0),"")</f>
        <v/>
      </c>
      <c r="E138" s="190" t="str">
        <f>IFERROR(VLOOKUP($C138,'PORTIFÓLIO'!C:V,3,0),"")</f>
        <v/>
      </c>
      <c r="F138" s="190" t="str">
        <f>IFERROR(VLOOKUP($C138,'PORTIFÓLIO'!C:V,4,0),"")</f>
        <v/>
      </c>
      <c r="G138" s="206" t="str">
        <f>IFERROR(VLOOKUP($C138,'PORTIFÓLIO'!C:V,5,0),"")</f>
        <v/>
      </c>
      <c r="H138" s="247" t="str">
        <f t="array" ref="H138">IFERROR(INDEX('PORTIFÓLIO'!$H$4:$H$433,MATCH($C138,'PORTIFÓLIO'!$C$4:$C$433,0)),"")</f>
        <v/>
      </c>
      <c r="I138" s="257"/>
      <c r="J138" s="209">
        <f t="shared" si="16"/>
        <v>0</v>
      </c>
      <c r="K138" s="210" t="str">
        <f t="array" ref="K138">IFERROR(I138*INDEX('PORTIFÓLIO'!$S$4:$S$433,MATCH($C138,'PORTIFÓLIO'!$C$4:$C$433,0)),"")</f>
        <v/>
      </c>
      <c r="L138" s="210" t="str">
        <f t="array" ref="L138">IFERROR(J138*INDEX('PORTIFÓLIO'!$S$4:$S$433,MATCH($C138,'PORTIFÓLIO'!$C$4:$C$433,0)),"")</f>
        <v/>
      </c>
      <c r="M138" s="177"/>
      <c r="N138" s="177"/>
      <c r="O138" s="177"/>
      <c r="P138" s="177"/>
      <c r="Q138" s="177"/>
      <c r="R138" s="177"/>
      <c r="S138" s="177"/>
      <c r="T138" s="177"/>
      <c r="U138" s="177"/>
      <c r="V138" s="177"/>
      <c r="W138" s="177"/>
    </row>
    <row r="139" ht="15.75" customHeight="1" outlineLevel="1">
      <c r="A139" s="190"/>
      <c r="B139" s="204"/>
      <c r="C139" s="191"/>
      <c r="D139" s="205" t="str">
        <f>IFERROR(VLOOKUP($C139,'PORTIFÓLIO'!C:V,2,0),"")</f>
        <v/>
      </c>
      <c r="E139" s="190" t="str">
        <f>IFERROR(VLOOKUP($C139,'PORTIFÓLIO'!C:V,3,0),"")</f>
        <v/>
      </c>
      <c r="F139" s="190" t="str">
        <f>IFERROR(VLOOKUP($C139,'PORTIFÓLIO'!C:V,4,0),"")</f>
        <v/>
      </c>
      <c r="G139" s="206" t="str">
        <f>IFERROR(VLOOKUP($C139,'PORTIFÓLIO'!C:V,5,0),"")</f>
        <v/>
      </c>
      <c r="H139" s="247" t="str">
        <f t="array" ref="H139">IFERROR(INDEX('PORTIFÓLIO'!$H$4:$H$433,MATCH($C139,'PORTIFÓLIO'!$C$4:$C$433,0)),"")</f>
        <v/>
      </c>
      <c r="I139" s="257"/>
      <c r="J139" s="209">
        <f t="shared" si="16"/>
        <v>0</v>
      </c>
      <c r="K139" s="210" t="str">
        <f t="array" ref="K139">IFERROR(I139*INDEX('PORTIFÓLIO'!$S$4:$S$433,MATCH($C139,'PORTIFÓLIO'!$C$4:$C$433,0)),"")</f>
        <v/>
      </c>
      <c r="L139" s="210" t="str">
        <f t="array" ref="L139">IFERROR(J139*INDEX('PORTIFÓLIO'!$S$4:$S$433,MATCH($C139,'PORTIFÓLIO'!$C$4:$C$433,0)),"")</f>
        <v/>
      </c>
      <c r="M139" s="177"/>
      <c r="N139" s="177"/>
      <c r="O139" s="177"/>
      <c r="P139" s="177"/>
      <c r="Q139" s="177"/>
      <c r="R139" s="177"/>
      <c r="S139" s="177"/>
      <c r="T139" s="177"/>
      <c r="U139" s="177"/>
      <c r="V139" s="177"/>
      <c r="W139" s="177"/>
    </row>
    <row r="140" ht="15.75" customHeight="1" outlineLevel="1">
      <c r="A140" s="190"/>
      <c r="B140" s="204"/>
      <c r="C140" s="191"/>
      <c r="D140" s="205" t="str">
        <f>IFERROR(VLOOKUP($C140,'PORTIFÓLIO'!C:V,2,0),"")</f>
        <v/>
      </c>
      <c r="E140" s="190" t="str">
        <f>IFERROR(VLOOKUP($C140,'PORTIFÓLIO'!C:V,3,0),"")</f>
        <v/>
      </c>
      <c r="F140" s="190" t="str">
        <f>IFERROR(VLOOKUP($C140,'PORTIFÓLIO'!C:V,4,0),"")</f>
        <v/>
      </c>
      <c r="G140" s="206" t="str">
        <f>IFERROR(VLOOKUP($C140,'PORTIFÓLIO'!C:V,5,0),"")</f>
        <v/>
      </c>
      <c r="H140" s="247" t="str">
        <f t="array" ref="H140">IFERROR(INDEX('PORTIFÓLIO'!$H$4:$H$433,MATCH($C140,'PORTIFÓLIO'!$C$4:$C$433,0)),"")</f>
        <v/>
      </c>
      <c r="I140" s="253"/>
      <c r="J140" s="209">
        <f t="shared" si="16"/>
        <v>0</v>
      </c>
      <c r="K140" s="210" t="str">
        <f t="array" ref="K140">IFERROR(I140*INDEX('PORTIFÓLIO'!$S$4:$S$433,MATCH($C140,'PORTIFÓLIO'!$C$4:$C$433,0)),"")</f>
        <v/>
      </c>
      <c r="L140" s="210" t="str">
        <f t="array" ref="L140">IFERROR(J140*INDEX('PORTIFÓLIO'!$S$4:$S$433,MATCH($C140,'PORTIFÓLIO'!$C$4:$C$433,0)),"")</f>
        <v/>
      </c>
      <c r="M140" s="177"/>
      <c r="N140" s="177"/>
      <c r="O140" s="177"/>
      <c r="P140" s="177"/>
      <c r="Q140" s="177"/>
      <c r="R140" s="177"/>
      <c r="S140" s="177"/>
      <c r="T140" s="177"/>
      <c r="U140" s="177"/>
      <c r="V140" s="177"/>
      <c r="W140" s="177"/>
    </row>
    <row r="141" ht="15.75" customHeight="1" outlineLevel="1">
      <c r="A141" s="190"/>
      <c r="B141" s="204"/>
      <c r="C141" s="191"/>
      <c r="D141" s="205" t="str">
        <f>IFERROR(VLOOKUP($C141,'PORTIFÓLIO'!C:V,2,0),"")</f>
        <v/>
      </c>
      <c r="E141" s="190" t="str">
        <f>IFERROR(VLOOKUP($C141,'PORTIFÓLIO'!C:V,3,0),"")</f>
        <v/>
      </c>
      <c r="F141" s="190" t="str">
        <f>IFERROR(VLOOKUP($C141,'PORTIFÓLIO'!C:V,4,0),"")</f>
        <v/>
      </c>
      <c r="G141" s="206" t="str">
        <f>IFERROR(VLOOKUP($C141,'PORTIFÓLIO'!C:V,5,0),"")</f>
        <v/>
      </c>
      <c r="H141" s="247" t="str">
        <f t="array" ref="H141">IFERROR(INDEX('PORTIFÓLIO'!$H$4:$H$433,MATCH($C141,'PORTIFÓLIO'!$C$4:$C$433,0)),"")</f>
        <v/>
      </c>
      <c r="I141" s="257"/>
      <c r="J141" s="209">
        <f t="shared" si="16"/>
        <v>0</v>
      </c>
      <c r="K141" s="210" t="str">
        <f t="array" ref="K141">IFERROR(I141*INDEX('PORTIFÓLIO'!$S$4:$S$433,MATCH($C141,'PORTIFÓLIO'!$C$4:$C$433,0)),"")</f>
        <v/>
      </c>
      <c r="L141" s="210" t="str">
        <f t="array" ref="L141">IFERROR(J141*INDEX('PORTIFÓLIO'!$S$4:$S$433,MATCH($C141,'PORTIFÓLIO'!$C$4:$C$433,0)),"")</f>
        <v/>
      </c>
      <c r="M141" s="177"/>
      <c r="N141" s="177"/>
      <c r="O141" s="177"/>
      <c r="P141" s="177"/>
      <c r="Q141" s="177"/>
      <c r="R141" s="177"/>
      <c r="S141" s="177"/>
      <c r="T141" s="177"/>
      <c r="U141" s="177"/>
      <c r="V141" s="177"/>
      <c r="W141" s="177"/>
    </row>
    <row r="142" ht="15.75" customHeight="1" outlineLevel="1">
      <c r="A142" s="190"/>
      <c r="B142" s="204"/>
      <c r="C142" s="191"/>
      <c r="D142" s="205" t="str">
        <f>IFERROR(VLOOKUP($C142,'PORTIFÓLIO'!C:V,2,0),"")</f>
        <v/>
      </c>
      <c r="E142" s="190" t="str">
        <f>IFERROR(VLOOKUP($C142,'PORTIFÓLIO'!C:V,3,0),"")</f>
        <v/>
      </c>
      <c r="F142" s="190" t="str">
        <f>IFERROR(VLOOKUP($C142,'PORTIFÓLIO'!C:V,4,0),"")</f>
        <v/>
      </c>
      <c r="G142" s="206" t="str">
        <f>IFERROR(VLOOKUP($C142,'PORTIFÓLIO'!C:V,5,0),"")</f>
        <v/>
      </c>
      <c r="H142" s="247" t="str">
        <f t="array" ref="H142">IFERROR(INDEX('PORTIFÓLIO'!$H$4:$H$433,MATCH($C142,'PORTIFÓLIO'!$C$4:$C$433,0)),"")</f>
        <v/>
      </c>
      <c r="I142" s="257"/>
      <c r="J142" s="209">
        <f t="shared" si="16"/>
        <v>0</v>
      </c>
      <c r="K142" s="210" t="str">
        <f t="array" ref="K142">IFERROR(I142*INDEX('PORTIFÓLIO'!$S$4:$S$433,MATCH($C142,'PORTIFÓLIO'!$C$4:$C$433,0)),"")</f>
        <v/>
      </c>
      <c r="L142" s="210" t="str">
        <f t="array" ref="L142">IFERROR(J142*INDEX('PORTIFÓLIO'!$S$4:$S$433,MATCH($C142,'PORTIFÓLIO'!$C$4:$C$433,0)),"")</f>
        <v/>
      </c>
      <c r="M142" s="177"/>
      <c r="N142" s="177"/>
      <c r="O142" s="177"/>
      <c r="P142" s="177"/>
      <c r="Q142" s="177"/>
      <c r="R142" s="177"/>
      <c r="S142" s="177"/>
      <c r="T142" s="177"/>
      <c r="U142" s="177"/>
      <c r="V142" s="177"/>
      <c r="W142" s="177"/>
    </row>
    <row r="143" ht="15.75" customHeight="1" outlineLevel="1">
      <c r="A143" s="190"/>
      <c r="B143" s="204"/>
      <c r="C143" s="191"/>
      <c r="D143" s="205" t="str">
        <f>IFERROR(VLOOKUP($C143,'PORTIFÓLIO'!C:V,2,0),"")</f>
        <v/>
      </c>
      <c r="E143" s="190" t="str">
        <f>IFERROR(VLOOKUP($C143,'PORTIFÓLIO'!C:V,3,0),"")</f>
        <v/>
      </c>
      <c r="F143" s="190" t="str">
        <f>IFERROR(VLOOKUP($C143,'PORTIFÓLIO'!C:V,4,0),"")</f>
        <v/>
      </c>
      <c r="G143" s="206" t="str">
        <f>IFERROR(VLOOKUP($C143,'PORTIFÓLIO'!C:V,5,0),"")</f>
        <v/>
      </c>
      <c r="H143" s="247" t="str">
        <f t="array" ref="H143">IFERROR(INDEX('PORTIFÓLIO'!$H$4:$H$433,MATCH($C143,'PORTIFÓLIO'!$C$4:$C$433,0)),"")</f>
        <v/>
      </c>
      <c r="I143" s="257"/>
      <c r="J143" s="209">
        <f t="shared" si="16"/>
        <v>0</v>
      </c>
      <c r="K143" s="210" t="str">
        <f t="array" ref="K143">IFERROR(I143*INDEX('PORTIFÓLIO'!$S$4:$S$433,MATCH($C143,'PORTIFÓLIO'!$C$4:$C$433,0)),"")</f>
        <v/>
      </c>
      <c r="L143" s="210" t="str">
        <f t="array" ref="L143">IFERROR(J143*INDEX('PORTIFÓLIO'!$S$4:$S$433,MATCH($C143,'PORTIFÓLIO'!$C$4:$C$433,0)),"")</f>
        <v/>
      </c>
      <c r="M143" s="177"/>
      <c r="N143" s="177"/>
      <c r="O143" s="177"/>
      <c r="P143" s="177"/>
      <c r="Q143" s="177"/>
      <c r="R143" s="177"/>
      <c r="S143" s="177"/>
      <c r="T143" s="177"/>
      <c r="U143" s="177"/>
      <c r="V143" s="177"/>
      <c r="W143" s="177"/>
    </row>
    <row r="144" ht="15.75" customHeight="1" outlineLevel="1">
      <c r="A144" s="190"/>
      <c r="B144" s="204"/>
      <c r="C144" s="191"/>
      <c r="D144" s="205" t="str">
        <f>IFERROR(VLOOKUP($C144,'PORTIFÓLIO'!C:V,2,0),"")</f>
        <v/>
      </c>
      <c r="E144" s="190" t="str">
        <f>IFERROR(VLOOKUP($C144,'PORTIFÓLIO'!C:V,3,0),"")</f>
        <v/>
      </c>
      <c r="F144" s="190" t="str">
        <f>IFERROR(VLOOKUP($C144,'PORTIFÓLIO'!C:V,4,0),"")</f>
        <v/>
      </c>
      <c r="G144" s="206" t="str">
        <f>IFERROR(VLOOKUP($C144,'PORTIFÓLIO'!C:V,5,0),"")</f>
        <v/>
      </c>
      <c r="H144" s="247" t="str">
        <f t="array" ref="H144">IFERROR(INDEX('PORTIFÓLIO'!$H$4:$H$433,MATCH($C144,'PORTIFÓLIO'!$C$4:$C$433,0)),"")</f>
        <v/>
      </c>
      <c r="I144" s="257"/>
      <c r="J144" s="209">
        <f t="shared" si="16"/>
        <v>0</v>
      </c>
      <c r="K144" s="210" t="str">
        <f t="array" ref="K144">IFERROR(I144*INDEX('PORTIFÓLIO'!$S$4:$S$433,MATCH($C144,'PORTIFÓLIO'!$C$4:$C$433,0)),"")</f>
        <v/>
      </c>
      <c r="L144" s="210" t="str">
        <f t="array" ref="L144">IFERROR(J144*INDEX('PORTIFÓLIO'!$S$4:$S$433,MATCH($C144,'PORTIFÓLIO'!$C$4:$C$433,0)),"")</f>
        <v/>
      </c>
      <c r="M144" s="177"/>
      <c r="N144" s="177"/>
      <c r="O144" s="177"/>
      <c r="P144" s="177"/>
      <c r="Q144" s="177"/>
      <c r="R144" s="177"/>
      <c r="S144" s="177"/>
      <c r="T144" s="177"/>
      <c r="U144" s="177"/>
      <c r="V144" s="177"/>
      <c r="W144" s="177"/>
    </row>
    <row r="145" ht="15.75" customHeight="1" outlineLevel="1">
      <c r="A145" s="190"/>
      <c r="B145" s="204"/>
      <c r="C145" s="191"/>
      <c r="D145" s="205" t="str">
        <f>IFERROR(VLOOKUP($C145,'PORTIFÓLIO'!C:V,2,0),"")</f>
        <v/>
      </c>
      <c r="E145" s="190" t="str">
        <f>IFERROR(VLOOKUP($C145,'PORTIFÓLIO'!C:V,3,0),"")</f>
        <v/>
      </c>
      <c r="F145" s="190" t="str">
        <f>IFERROR(VLOOKUP($C145,'PORTIFÓLIO'!C:V,4,0),"")</f>
        <v/>
      </c>
      <c r="G145" s="206" t="str">
        <f>IFERROR(VLOOKUP($C145,'PORTIFÓLIO'!C:V,5,0),"")</f>
        <v/>
      </c>
      <c r="H145" s="247" t="str">
        <f t="array" ref="H145">IFERROR(INDEX('PORTIFÓLIO'!$H$4:$H$433,MATCH($C145,'PORTIFÓLIO'!$C$4:$C$433,0)),"")</f>
        <v/>
      </c>
      <c r="I145" s="257"/>
      <c r="J145" s="209">
        <f t="shared" si="16"/>
        <v>0</v>
      </c>
      <c r="K145" s="210" t="str">
        <f t="array" ref="K145">IFERROR(I145*INDEX('PORTIFÓLIO'!$S$4:$S$433,MATCH($C145,'PORTIFÓLIO'!$C$4:$C$433,0)),"")</f>
        <v/>
      </c>
      <c r="L145" s="210" t="str">
        <f t="array" ref="L145">IFERROR(J145*INDEX('PORTIFÓLIO'!$S$4:$S$433,MATCH($C145,'PORTIFÓLIO'!$C$4:$C$433,0)),"")</f>
        <v/>
      </c>
      <c r="M145" s="177"/>
      <c r="N145" s="177"/>
      <c r="O145" s="177"/>
      <c r="P145" s="177"/>
      <c r="Q145" s="177"/>
      <c r="R145" s="177"/>
      <c r="S145" s="177"/>
      <c r="T145" s="177"/>
      <c r="U145" s="177"/>
      <c r="V145" s="177"/>
      <c r="W145" s="177"/>
    </row>
    <row r="146" ht="15.75" customHeight="1" outlineLevel="1">
      <c r="A146" s="190"/>
      <c r="B146" s="204"/>
      <c r="C146" s="191"/>
      <c r="D146" s="205" t="str">
        <f>IFERROR(VLOOKUP($C146,'PORTIFÓLIO'!C:V,2,0),"")</f>
        <v/>
      </c>
      <c r="E146" s="190" t="str">
        <f>IFERROR(VLOOKUP($C146,'PORTIFÓLIO'!C:V,3,0),"")</f>
        <v/>
      </c>
      <c r="F146" s="190" t="str">
        <f>IFERROR(VLOOKUP($C146,'PORTIFÓLIO'!C:V,4,0),"")</f>
        <v/>
      </c>
      <c r="G146" s="206" t="str">
        <f>IFERROR(VLOOKUP($C146,'PORTIFÓLIO'!C:V,5,0),"")</f>
        <v/>
      </c>
      <c r="H146" s="247" t="str">
        <f t="array" ref="H146">IFERROR(INDEX('PORTIFÓLIO'!$H$4:$H$433,MATCH($C146,'PORTIFÓLIO'!$C$4:$C$433,0)),"")</f>
        <v/>
      </c>
      <c r="I146" s="257"/>
      <c r="J146" s="209">
        <f t="shared" si="16"/>
        <v>0</v>
      </c>
      <c r="K146" s="210" t="str">
        <f t="array" ref="K146">IFERROR(I146*INDEX('PORTIFÓLIO'!$S$4:$S$433,MATCH($C146,'PORTIFÓLIO'!$C$4:$C$433,0)),"")</f>
        <v/>
      </c>
      <c r="L146" s="210" t="str">
        <f t="array" ref="L146">IFERROR(J146*INDEX('PORTIFÓLIO'!$S$4:$S$433,MATCH($C146,'PORTIFÓLIO'!$C$4:$C$433,0)),"")</f>
        <v/>
      </c>
      <c r="M146" s="177"/>
      <c r="N146" s="177"/>
      <c r="O146" s="177"/>
      <c r="P146" s="177"/>
      <c r="Q146" s="177"/>
      <c r="R146" s="177"/>
      <c r="S146" s="177"/>
      <c r="T146" s="177"/>
      <c r="U146" s="177"/>
      <c r="V146" s="177"/>
      <c r="W146" s="177"/>
    </row>
    <row r="147" ht="15.75" customHeight="1" outlineLevel="1">
      <c r="A147" s="190"/>
      <c r="B147" s="238"/>
      <c r="C147" s="190"/>
      <c r="D147" s="205" t="str">
        <f>IFERROR(VLOOKUP($C147,'PORTIFÓLIO'!C:V,2,0),"")</f>
        <v/>
      </c>
      <c r="E147" s="190" t="str">
        <f>IFERROR(VLOOKUP($C147,'PORTIFÓLIO'!C:V,3,0),"")</f>
        <v/>
      </c>
      <c r="F147" s="190" t="str">
        <f>IFERROR(VLOOKUP($C147,'PORTIFÓLIO'!C:V,4,0),"")</f>
        <v/>
      </c>
      <c r="G147" s="206" t="str">
        <f>IFERROR(VLOOKUP($C147,'PORTIFÓLIO'!C:V,5,0),"")</f>
        <v/>
      </c>
      <c r="H147" s="247" t="str">
        <f t="array" ref="H147">IFERROR(INDEX('PORTIFÓLIO'!$H$4:$H$433,MATCH($C147,'PORTIFÓLIO'!$C$4:$C$433,0)),"")</f>
        <v/>
      </c>
      <c r="I147" s="257"/>
      <c r="J147" s="209"/>
      <c r="K147" s="210" t="str">
        <f t="array" ref="K147">IFERROR(I147*INDEX('PORTIFÓLIO'!$S$4:$S$433,MATCH($C147,'PORTIFÓLIO'!$C$4:$C$433,0)),"")</f>
        <v/>
      </c>
      <c r="L147" s="210" t="str">
        <f t="array" ref="L147">IFERROR(J147*INDEX('PORTIFÓLIO'!$S$4:$S$433,MATCH($C147,'PORTIFÓLIO'!$C$4:$C$433,0)),"")</f>
        <v/>
      </c>
      <c r="M147" s="177"/>
      <c r="N147" s="177"/>
      <c r="O147" s="177"/>
      <c r="P147" s="177"/>
      <c r="Q147" s="177"/>
      <c r="R147" s="177"/>
      <c r="S147" s="177"/>
      <c r="T147" s="177"/>
      <c r="U147" s="177"/>
      <c r="V147" s="177"/>
      <c r="W147" s="177"/>
    </row>
    <row r="148" ht="15.75" customHeight="1">
      <c r="A148" s="221" t="s">
        <v>1192</v>
      </c>
      <c r="B148" s="197"/>
      <c r="C148" s="196"/>
      <c r="D148" s="198"/>
      <c r="E148" s="196"/>
      <c r="F148" s="196"/>
      <c r="G148" s="199"/>
      <c r="H148" s="199"/>
      <c r="I148" s="252"/>
      <c r="J148" s="202"/>
      <c r="K148" s="203">
        <f t="shared" ref="K148:L148" si="17">SUBTOTAL(9,K149:K162)</f>
        <v>57.654196</v>
      </c>
      <c r="L148" s="203">
        <f t="shared" si="17"/>
        <v>6341.96156</v>
      </c>
      <c r="M148" s="177"/>
      <c r="N148" s="177"/>
      <c r="O148" s="177"/>
      <c r="P148" s="177"/>
      <c r="Q148" s="177"/>
      <c r="R148" s="177"/>
      <c r="S148" s="177"/>
      <c r="T148" s="177"/>
      <c r="U148" s="177"/>
      <c r="V148" s="177"/>
      <c r="W148" s="177"/>
    </row>
    <row r="149" ht="15.75" customHeight="1" outlineLevel="1">
      <c r="A149" s="191"/>
      <c r="B149" s="204" t="s">
        <v>0</v>
      </c>
      <c r="C149" s="191" t="s">
        <v>530</v>
      </c>
      <c r="D149" s="205" t="str">
        <f>IFERROR(VLOOKUP($C149,'PORTIFÓLIO'!C:V,2,0),"")</f>
        <v>AZOXISTROBINA + TEBUCONAZOL</v>
      </c>
      <c r="E149" s="190" t="str">
        <f>IFERROR(VLOOKUP($C149,'PORTIFÓLIO'!C:V,3,0),"")</f>
        <v>125 + 240</v>
      </c>
      <c r="F149" s="190" t="str">
        <f>IFERROR(VLOOKUP($C149,'PORTIFÓLIO'!C:V,4,0),"")</f>
        <v>L</v>
      </c>
      <c r="G149" s="223" t="str">
        <f>IFERROR(VLOOKUP($C149,'PORTIFÓLIO'!C:V,5,0),"")</f>
        <v>📄 Ver bula</v>
      </c>
      <c r="H149" s="247">
        <f t="array" ref="H149">IFERROR(INDEX('PORTIFÓLIO'!$H$4:$H$433,MATCH($C149,'PORTIFÓLIO'!$C$4:$C$433,0)),"")</f>
        <v>0.5</v>
      </c>
      <c r="I149" s="253">
        <v>0.5</v>
      </c>
      <c r="J149" s="209">
        <f t="shared" ref="J149:J163" si="18">I149*$B$2</f>
        <v>55</v>
      </c>
      <c r="K149" s="210">
        <f t="array" ref="K149">IFERROR(I149*INDEX('PORTIFÓLIO'!$S$4:$S$433,MATCH($C149,'PORTIFÓLIO'!$C$4:$C$433,0)),"")</f>
        <v>18.34128</v>
      </c>
      <c r="L149" s="210">
        <f t="array" ref="L149">IFERROR(J149*INDEX('PORTIFÓLIO'!$S$4:$S$433,MATCH($C149,'PORTIFÓLIO'!$C$4:$C$433,0)),"")</f>
        <v>2017.5408</v>
      </c>
      <c r="M149" s="177"/>
      <c r="N149" s="177"/>
      <c r="O149" s="177"/>
      <c r="P149" s="177"/>
      <c r="Q149" s="177"/>
      <c r="R149" s="177"/>
      <c r="S149" s="177"/>
      <c r="T149" s="177"/>
      <c r="U149" s="177"/>
      <c r="V149" s="177"/>
      <c r="W149" s="177"/>
    </row>
    <row r="150" ht="15.75" customHeight="1" outlineLevel="1">
      <c r="A150" s="190"/>
      <c r="B150" s="204" t="s">
        <v>0</v>
      </c>
      <c r="C150" s="191" t="s">
        <v>572</v>
      </c>
      <c r="D150" s="205" t="str">
        <f>IFERROR(VLOOKUP($C150,'PORTIFÓLIO'!C:V,2,0),"")</f>
        <v>CLOROTALONIL</v>
      </c>
      <c r="E150" s="190">
        <f>IFERROR(VLOOKUP($C150,'PORTIFÓLIO'!C:V,3,0),"")</f>
        <v>720</v>
      </c>
      <c r="F150" s="190" t="str">
        <f>IFERROR(VLOOKUP($C150,'PORTIFÓLIO'!C:V,4,0),"")</f>
        <v>KG</v>
      </c>
      <c r="G150" s="223" t="str">
        <f>IFERROR(VLOOKUP($C150,'PORTIFÓLIO'!C:V,5,0),"")</f>
        <v>📄 Ver bula</v>
      </c>
      <c r="H150" s="247">
        <f t="array" ref="H150">IFERROR(INDEX('PORTIFÓLIO'!$H$4:$H$433,MATCH($C150,'PORTIFÓLIO'!$C$4:$C$433,0)),"")</f>
        <v>1.5</v>
      </c>
      <c r="I150" s="253">
        <v>1.5</v>
      </c>
      <c r="J150" s="209">
        <f t="shared" si="18"/>
        <v>165</v>
      </c>
      <c r="K150" s="210">
        <f t="array" ref="K150">IFERROR(I150*INDEX('PORTIFÓLIO'!$S$4:$S$433,MATCH($C150,'PORTIFÓLIO'!$C$4:$C$433,0)),"")</f>
        <v>36.34416</v>
      </c>
      <c r="L150" s="210">
        <f t="array" ref="L150">IFERROR(J150*INDEX('PORTIFÓLIO'!$S$4:$S$433,MATCH($C150,'PORTIFÓLIO'!$C$4:$C$433,0)),"")</f>
        <v>3997.8576</v>
      </c>
      <c r="M150" s="177"/>
      <c r="N150" s="177"/>
      <c r="O150" s="177"/>
      <c r="P150" s="177"/>
      <c r="Q150" s="177"/>
      <c r="R150" s="177"/>
      <c r="S150" s="177"/>
      <c r="T150" s="177"/>
      <c r="U150" s="177"/>
      <c r="V150" s="177"/>
      <c r="W150" s="177"/>
    </row>
    <row r="151" ht="15.75" customHeight="1" outlineLevel="1">
      <c r="A151" s="190"/>
      <c r="B151" s="204" t="s">
        <v>6</v>
      </c>
      <c r="C151" s="191" t="s">
        <v>351</v>
      </c>
      <c r="D151" s="205" t="str">
        <f>IFERROR(VLOOKUP($C151,'PORTIFÓLIO'!C:V,2,0),"")</f>
        <v>ÉSTER METILICO DE OLEO DE SOJA</v>
      </c>
      <c r="E151" s="190">
        <f>IFERROR(VLOOKUP($C151,'PORTIFÓLIO'!C:V,3,0),"")</f>
        <v>720</v>
      </c>
      <c r="F151" s="190" t="str">
        <f>IFERROR(VLOOKUP($C151,'PORTIFÓLIO'!C:V,4,0),"")</f>
        <v>L</v>
      </c>
      <c r="G151" s="223" t="str">
        <f>IFERROR(VLOOKUP($C151,'PORTIFÓLIO'!C:V,5,0),"")</f>
        <v>📄 Ver bula</v>
      </c>
      <c r="H151" s="247">
        <f t="array" ref="H151">IFERROR(INDEX('PORTIFÓLIO'!$H$4:$H$433,MATCH($C151,'PORTIFÓLIO'!$C$4:$C$433,0)),"")</f>
        <v>0.08</v>
      </c>
      <c r="I151" s="253">
        <v>0.2</v>
      </c>
      <c r="J151" s="209">
        <f t="shared" si="18"/>
        <v>22</v>
      </c>
      <c r="K151" s="210">
        <f t="array" ref="K151">IFERROR(I151*INDEX('PORTIFÓLIO'!$S$4:$S$433,MATCH($C151,'PORTIFÓLIO'!$C$4:$C$433,0)),"")</f>
        <v>2.968756</v>
      </c>
      <c r="L151" s="210">
        <f t="array" ref="L151">IFERROR(J151*INDEX('PORTIFÓLIO'!$S$4:$S$433,MATCH($C151,'PORTIFÓLIO'!$C$4:$C$433,0)),"")</f>
        <v>326.56316</v>
      </c>
      <c r="M151" s="177"/>
      <c r="N151" s="177"/>
      <c r="O151" s="177"/>
      <c r="P151" s="177"/>
      <c r="Q151" s="177"/>
      <c r="R151" s="177"/>
      <c r="S151" s="177"/>
      <c r="T151" s="177"/>
      <c r="U151" s="177"/>
      <c r="V151" s="177"/>
      <c r="W151" s="177"/>
    </row>
    <row r="152" ht="15.75" customHeight="1" outlineLevel="1">
      <c r="A152" s="190"/>
      <c r="B152" s="204"/>
      <c r="C152" s="191"/>
      <c r="D152" s="205" t="str">
        <f>IFERROR(VLOOKUP($C152,'PORTIFÓLIO'!C:V,2,0),"")</f>
        <v/>
      </c>
      <c r="E152" s="190" t="str">
        <f>IFERROR(VLOOKUP($C152,'PORTIFÓLIO'!C:V,3,0),"")</f>
        <v/>
      </c>
      <c r="F152" s="190" t="str">
        <f>IFERROR(VLOOKUP($C152,'PORTIFÓLIO'!C:V,4,0),"")</f>
        <v/>
      </c>
      <c r="G152" s="206" t="str">
        <f>IFERROR(VLOOKUP($C152,'PORTIFÓLIO'!C:V,5,0),"")</f>
        <v/>
      </c>
      <c r="H152" s="247" t="str">
        <f t="array" ref="H152">IFERROR(INDEX('PORTIFÓLIO'!$H$4:$H$433,MATCH($C152,'PORTIFÓLIO'!$C$4:$C$433,0)),"")</f>
        <v/>
      </c>
      <c r="I152" s="257"/>
      <c r="J152" s="209">
        <f t="shared" si="18"/>
        <v>0</v>
      </c>
      <c r="K152" s="210" t="str">
        <f t="array" ref="K152">IFERROR(I152*INDEX('PORTIFÓLIO'!$S$4:$S$433,MATCH($C152,'PORTIFÓLIO'!$C$4:$C$433,0)),"")</f>
        <v/>
      </c>
      <c r="L152" s="210" t="str">
        <f t="array" ref="L152">IFERROR(J152*INDEX('PORTIFÓLIO'!$S$4:$S$433,MATCH($C152,'PORTIFÓLIO'!$C$4:$C$433,0)),"")</f>
        <v/>
      </c>
      <c r="M152" s="177"/>
      <c r="N152" s="177"/>
      <c r="O152" s="177"/>
      <c r="P152" s="177"/>
      <c r="Q152" s="177"/>
      <c r="R152" s="177"/>
      <c r="S152" s="177"/>
      <c r="T152" s="177"/>
      <c r="U152" s="177"/>
      <c r="V152" s="177"/>
      <c r="W152" s="177"/>
    </row>
    <row r="153" ht="15.75" customHeight="1" outlineLevel="1">
      <c r="A153" s="190"/>
      <c r="B153" s="204"/>
      <c r="C153" s="191"/>
      <c r="D153" s="205" t="str">
        <f>IFERROR(VLOOKUP($C153,'PORTIFÓLIO'!C:V,2,0),"")</f>
        <v/>
      </c>
      <c r="E153" s="190" t="str">
        <f>IFERROR(VLOOKUP($C153,'PORTIFÓLIO'!C:V,3,0),"")</f>
        <v/>
      </c>
      <c r="F153" s="190" t="str">
        <f>IFERROR(VLOOKUP($C153,'PORTIFÓLIO'!C:V,4,0),"")</f>
        <v/>
      </c>
      <c r="G153" s="206" t="str">
        <f>IFERROR(VLOOKUP($C153,'PORTIFÓLIO'!C:V,5,0),"")</f>
        <v/>
      </c>
      <c r="H153" s="247" t="str">
        <f t="array" ref="H153">IFERROR(INDEX('PORTIFÓLIO'!$H$4:$H$433,MATCH($C153,'PORTIFÓLIO'!$C$4:$C$433,0)),"")</f>
        <v/>
      </c>
      <c r="I153" s="257"/>
      <c r="J153" s="209">
        <f t="shared" si="18"/>
        <v>0</v>
      </c>
      <c r="K153" s="210" t="str">
        <f t="array" ref="K153">IFERROR(I153*INDEX('PORTIFÓLIO'!$S$4:$S$433,MATCH($C153,'PORTIFÓLIO'!$C$4:$C$433,0)),"")</f>
        <v/>
      </c>
      <c r="L153" s="210" t="str">
        <f t="array" ref="L153">IFERROR(J153*INDEX('PORTIFÓLIO'!$S$4:$S$433,MATCH($C153,'PORTIFÓLIO'!$C$4:$C$433,0)),"")</f>
        <v/>
      </c>
      <c r="M153" s="177"/>
      <c r="N153" s="177"/>
      <c r="O153" s="177"/>
      <c r="P153" s="177"/>
      <c r="Q153" s="177"/>
      <c r="R153" s="177"/>
      <c r="S153" s="177"/>
      <c r="T153" s="177"/>
      <c r="U153" s="177"/>
      <c r="V153" s="177"/>
      <c r="W153" s="177"/>
    </row>
    <row r="154" ht="15.75" customHeight="1" outlineLevel="1">
      <c r="A154" s="190"/>
      <c r="B154" s="204"/>
      <c r="C154" s="191"/>
      <c r="D154" s="205" t="str">
        <f>IFERROR(VLOOKUP($C154,'PORTIFÓLIO'!C:V,2,0),"")</f>
        <v/>
      </c>
      <c r="E154" s="190" t="str">
        <f>IFERROR(VLOOKUP($C154,'PORTIFÓLIO'!C:V,3,0),"")</f>
        <v/>
      </c>
      <c r="F154" s="190" t="str">
        <f>IFERROR(VLOOKUP($C154,'PORTIFÓLIO'!C:V,4,0),"")</f>
        <v/>
      </c>
      <c r="G154" s="206" t="str">
        <f>IFERROR(VLOOKUP($C154,'PORTIFÓLIO'!C:V,5,0),"")</f>
        <v/>
      </c>
      <c r="H154" s="247" t="str">
        <f t="array" ref="H154">IFERROR(INDEX('PORTIFÓLIO'!$H$4:$H$433,MATCH($C154,'PORTIFÓLIO'!$C$4:$C$433,0)),"")</f>
        <v/>
      </c>
      <c r="I154" s="257"/>
      <c r="J154" s="209">
        <f t="shared" si="18"/>
        <v>0</v>
      </c>
      <c r="K154" s="210" t="str">
        <f t="array" ref="K154">IFERROR(I154*INDEX('PORTIFÓLIO'!$S$4:$S$433,MATCH($C154,'PORTIFÓLIO'!$C$4:$C$433,0)),"")</f>
        <v/>
      </c>
      <c r="L154" s="210" t="str">
        <f t="array" ref="L154">IFERROR(J154*INDEX('PORTIFÓLIO'!$S$4:$S$433,MATCH($C154,'PORTIFÓLIO'!$C$4:$C$433,0)),"")</f>
        <v/>
      </c>
      <c r="M154" s="177"/>
      <c r="N154" s="177"/>
      <c r="O154" s="177"/>
      <c r="P154" s="177"/>
      <c r="Q154" s="177"/>
      <c r="R154" s="177"/>
      <c r="S154" s="177"/>
      <c r="T154" s="177"/>
      <c r="U154" s="177"/>
      <c r="V154" s="177"/>
      <c r="W154" s="177"/>
    </row>
    <row r="155" ht="15.75" customHeight="1" outlineLevel="1">
      <c r="A155" s="190"/>
      <c r="B155" s="204"/>
      <c r="C155" s="191"/>
      <c r="D155" s="205" t="str">
        <f>IFERROR(VLOOKUP($C155,'PORTIFÓLIO'!C:V,2,0),"")</f>
        <v/>
      </c>
      <c r="E155" s="190" t="str">
        <f>IFERROR(VLOOKUP($C155,'PORTIFÓLIO'!C:V,3,0),"")</f>
        <v/>
      </c>
      <c r="F155" s="190" t="str">
        <f>IFERROR(VLOOKUP($C155,'PORTIFÓLIO'!C:V,4,0),"")</f>
        <v/>
      </c>
      <c r="G155" s="206" t="str">
        <f>IFERROR(VLOOKUP($C155,'PORTIFÓLIO'!C:V,5,0),"")</f>
        <v/>
      </c>
      <c r="H155" s="247" t="str">
        <f t="array" ref="H155">IFERROR(INDEX('PORTIFÓLIO'!$H$4:$H$433,MATCH($C155,'PORTIFÓLIO'!$C$4:$C$433,0)),"")</f>
        <v/>
      </c>
      <c r="I155" s="257"/>
      <c r="J155" s="209">
        <f t="shared" si="18"/>
        <v>0</v>
      </c>
      <c r="K155" s="210" t="str">
        <f t="array" ref="K155">IFERROR(I155*INDEX('PORTIFÓLIO'!$S$4:$S$433,MATCH($C155,'PORTIFÓLIO'!$C$4:$C$433,0)),"")</f>
        <v/>
      </c>
      <c r="L155" s="210" t="str">
        <f t="array" ref="L155">IFERROR(J155*INDEX('PORTIFÓLIO'!$S$4:$S$433,MATCH($C155,'PORTIFÓLIO'!$C$4:$C$433,0)),"")</f>
        <v/>
      </c>
      <c r="M155" s="177"/>
      <c r="N155" s="177"/>
      <c r="O155" s="177"/>
      <c r="P155" s="177"/>
      <c r="Q155" s="177"/>
      <c r="R155" s="177"/>
      <c r="S155" s="177"/>
      <c r="T155" s="177"/>
      <c r="U155" s="177"/>
      <c r="V155" s="177"/>
      <c r="W155" s="177"/>
    </row>
    <row r="156" ht="15.75" customHeight="1" outlineLevel="1">
      <c r="A156" s="190"/>
      <c r="B156" s="204"/>
      <c r="C156" s="191"/>
      <c r="D156" s="205" t="str">
        <f>IFERROR(VLOOKUP($C156,'PORTIFÓLIO'!C:V,2,0),"")</f>
        <v/>
      </c>
      <c r="E156" s="190" t="str">
        <f>IFERROR(VLOOKUP($C156,'PORTIFÓLIO'!C:V,3,0),"")</f>
        <v/>
      </c>
      <c r="F156" s="190" t="str">
        <f>IFERROR(VLOOKUP($C156,'PORTIFÓLIO'!C:V,4,0),"")</f>
        <v/>
      </c>
      <c r="G156" s="206" t="str">
        <f>IFERROR(VLOOKUP($C156,'PORTIFÓLIO'!C:V,5,0),"")</f>
        <v/>
      </c>
      <c r="H156" s="247" t="str">
        <f t="array" ref="H156">IFERROR(INDEX('PORTIFÓLIO'!$H$4:$H$433,MATCH($C156,'PORTIFÓLIO'!$C$4:$C$433,0)),"")</f>
        <v/>
      </c>
      <c r="I156" s="257"/>
      <c r="J156" s="209">
        <f t="shared" si="18"/>
        <v>0</v>
      </c>
      <c r="K156" s="210" t="str">
        <f t="array" ref="K156">IFERROR(I156*INDEX('PORTIFÓLIO'!$S$4:$S$433,MATCH($C156,'PORTIFÓLIO'!$C$4:$C$433,0)),"")</f>
        <v/>
      </c>
      <c r="L156" s="210" t="str">
        <f t="array" ref="L156">IFERROR(J156*INDEX('PORTIFÓLIO'!$S$4:$S$433,MATCH($C156,'PORTIFÓLIO'!$C$4:$C$433,0)),"")</f>
        <v/>
      </c>
      <c r="M156" s="177"/>
      <c r="N156" s="177"/>
      <c r="O156" s="177"/>
      <c r="P156" s="177"/>
      <c r="Q156" s="177"/>
      <c r="R156" s="177"/>
      <c r="S156" s="177"/>
      <c r="T156" s="177"/>
      <c r="U156" s="177"/>
      <c r="V156" s="177"/>
      <c r="W156" s="177"/>
    </row>
    <row r="157" ht="15.75" customHeight="1" outlineLevel="1">
      <c r="A157" s="190"/>
      <c r="B157" s="204"/>
      <c r="C157" s="191"/>
      <c r="D157" s="205" t="str">
        <f>IFERROR(VLOOKUP($C157,'PORTIFÓLIO'!C:V,2,0),"")</f>
        <v/>
      </c>
      <c r="E157" s="190" t="str">
        <f>IFERROR(VLOOKUP($C157,'PORTIFÓLIO'!C:V,3,0),"")</f>
        <v/>
      </c>
      <c r="F157" s="190" t="str">
        <f>IFERROR(VLOOKUP($C157,'PORTIFÓLIO'!C:V,4,0),"")</f>
        <v/>
      </c>
      <c r="G157" s="206" t="str">
        <f>IFERROR(VLOOKUP($C157,'PORTIFÓLIO'!C:V,5,0),"")</f>
        <v/>
      </c>
      <c r="H157" s="247" t="str">
        <f t="array" ref="H157">IFERROR(INDEX('PORTIFÓLIO'!$H$4:$H$433,MATCH($C157,'PORTIFÓLIO'!$C$4:$C$433,0)),"")</f>
        <v/>
      </c>
      <c r="I157" s="253"/>
      <c r="J157" s="209">
        <f t="shared" si="18"/>
        <v>0</v>
      </c>
      <c r="K157" s="210" t="str">
        <f t="array" ref="K157">IFERROR(I157*INDEX('PORTIFÓLIO'!$S$4:$S$433,MATCH($C157,'PORTIFÓLIO'!$C$4:$C$433,0)),"")</f>
        <v/>
      </c>
      <c r="L157" s="210" t="str">
        <f t="array" ref="L157">IFERROR(J157*INDEX('PORTIFÓLIO'!$S$4:$S$433,MATCH($C157,'PORTIFÓLIO'!$C$4:$C$433,0)),"")</f>
        <v/>
      </c>
      <c r="M157" s="177"/>
      <c r="N157" s="177"/>
      <c r="O157" s="177"/>
      <c r="P157" s="177"/>
      <c r="Q157" s="177"/>
      <c r="R157" s="177"/>
      <c r="S157" s="177"/>
      <c r="T157" s="177"/>
      <c r="U157" s="177"/>
      <c r="V157" s="177"/>
      <c r="W157" s="177"/>
    </row>
    <row r="158" ht="15.75" customHeight="1" outlineLevel="1">
      <c r="A158" s="190"/>
      <c r="B158" s="204"/>
      <c r="C158" s="191"/>
      <c r="D158" s="205" t="str">
        <f>IFERROR(VLOOKUP($C158,'PORTIFÓLIO'!C:V,2,0),"")</f>
        <v/>
      </c>
      <c r="E158" s="190" t="str">
        <f>IFERROR(VLOOKUP($C158,'PORTIFÓLIO'!C:V,3,0),"")</f>
        <v/>
      </c>
      <c r="F158" s="190" t="str">
        <f>IFERROR(VLOOKUP($C158,'PORTIFÓLIO'!C:V,4,0),"")</f>
        <v/>
      </c>
      <c r="G158" s="206" t="str">
        <f>IFERROR(VLOOKUP($C158,'PORTIFÓLIO'!C:V,5,0),"")</f>
        <v/>
      </c>
      <c r="H158" s="247" t="str">
        <f t="array" ref="H158">IFERROR(INDEX('PORTIFÓLIO'!$H$4:$H$433,MATCH($C158,'PORTIFÓLIO'!$C$4:$C$433,0)),"")</f>
        <v/>
      </c>
      <c r="I158" s="257"/>
      <c r="J158" s="209">
        <f t="shared" si="18"/>
        <v>0</v>
      </c>
      <c r="K158" s="210" t="str">
        <f t="array" ref="K158">IFERROR(I158*INDEX('PORTIFÓLIO'!$S$4:$S$433,MATCH($C158,'PORTIFÓLIO'!$C$4:$C$433,0)),"")</f>
        <v/>
      </c>
      <c r="L158" s="210" t="str">
        <f t="array" ref="L158">IFERROR(J158*INDEX('PORTIFÓLIO'!$S$4:$S$433,MATCH($C158,'PORTIFÓLIO'!$C$4:$C$433,0)),"")</f>
        <v/>
      </c>
      <c r="M158" s="177"/>
      <c r="N158" s="177"/>
      <c r="O158" s="177"/>
      <c r="P158" s="177"/>
      <c r="Q158" s="177"/>
      <c r="R158" s="177"/>
      <c r="S158" s="177"/>
      <c r="T158" s="177"/>
      <c r="U158" s="177"/>
      <c r="V158" s="177"/>
      <c r="W158" s="177"/>
    </row>
    <row r="159" ht="15.75" customHeight="1" outlineLevel="1">
      <c r="A159" s="190"/>
      <c r="B159" s="204"/>
      <c r="C159" s="191"/>
      <c r="D159" s="205" t="str">
        <f>IFERROR(VLOOKUP($C159,'PORTIFÓLIO'!C:V,2,0),"")</f>
        <v/>
      </c>
      <c r="E159" s="190" t="str">
        <f>IFERROR(VLOOKUP($C159,'PORTIFÓLIO'!C:V,3,0),"")</f>
        <v/>
      </c>
      <c r="F159" s="190" t="str">
        <f>IFERROR(VLOOKUP($C159,'PORTIFÓLIO'!C:V,4,0),"")</f>
        <v/>
      </c>
      <c r="G159" s="206" t="str">
        <f>IFERROR(VLOOKUP($C159,'PORTIFÓLIO'!C:V,5,0),"")</f>
        <v/>
      </c>
      <c r="H159" s="247" t="str">
        <f t="array" ref="H159">IFERROR(INDEX('PORTIFÓLIO'!$H$4:$H$433,MATCH($C159,'PORTIFÓLIO'!$C$4:$C$433,0)),"")</f>
        <v/>
      </c>
      <c r="I159" s="257"/>
      <c r="J159" s="209">
        <f t="shared" si="18"/>
        <v>0</v>
      </c>
      <c r="K159" s="210" t="str">
        <f t="array" ref="K159">IFERROR(I159*INDEX('PORTIFÓLIO'!$S$4:$S$433,MATCH($C159,'PORTIFÓLIO'!$C$4:$C$433,0)),"")</f>
        <v/>
      </c>
      <c r="L159" s="210" t="str">
        <f t="array" ref="L159">IFERROR(J159*INDEX('PORTIFÓLIO'!$S$4:$S$433,MATCH($C159,'PORTIFÓLIO'!$C$4:$C$433,0)),"")</f>
        <v/>
      </c>
      <c r="M159" s="177"/>
      <c r="N159" s="177"/>
      <c r="O159" s="177"/>
      <c r="P159" s="177"/>
      <c r="Q159" s="177"/>
      <c r="R159" s="177"/>
      <c r="S159" s="177"/>
      <c r="T159" s="177"/>
      <c r="U159" s="177"/>
      <c r="V159" s="177"/>
      <c r="W159" s="177"/>
    </row>
    <row r="160" ht="15.75" customHeight="1" outlineLevel="1">
      <c r="A160" s="190"/>
      <c r="B160" s="204"/>
      <c r="C160" s="191"/>
      <c r="D160" s="205" t="str">
        <f>IFERROR(VLOOKUP($C160,'PORTIFÓLIO'!C:V,2,0),"")</f>
        <v/>
      </c>
      <c r="E160" s="190" t="str">
        <f>IFERROR(VLOOKUP($C160,'PORTIFÓLIO'!C:V,3,0),"")</f>
        <v/>
      </c>
      <c r="F160" s="190" t="str">
        <f>IFERROR(VLOOKUP($C160,'PORTIFÓLIO'!C:V,4,0),"")</f>
        <v/>
      </c>
      <c r="G160" s="206" t="str">
        <f>IFERROR(VLOOKUP($C160,'PORTIFÓLIO'!C:V,5,0),"")</f>
        <v/>
      </c>
      <c r="H160" s="247" t="str">
        <f t="array" ref="H160">IFERROR(INDEX('PORTIFÓLIO'!$H$4:$H$433,MATCH($C160,'PORTIFÓLIO'!$C$4:$C$433,0)),"")</f>
        <v/>
      </c>
      <c r="I160" s="257"/>
      <c r="J160" s="209">
        <f t="shared" si="18"/>
        <v>0</v>
      </c>
      <c r="K160" s="210" t="str">
        <f t="array" ref="K160">IFERROR(I160*INDEX('PORTIFÓLIO'!$S$4:$S$433,MATCH($C160,'PORTIFÓLIO'!$C$4:$C$433,0)),"")</f>
        <v/>
      </c>
      <c r="L160" s="210" t="str">
        <f t="array" ref="L160">IFERROR(J160*INDEX('PORTIFÓLIO'!$S$4:$S$433,MATCH($C160,'PORTIFÓLIO'!$C$4:$C$433,0)),"")</f>
        <v/>
      </c>
      <c r="M160" s="177"/>
      <c r="N160" s="177"/>
      <c r="O160" s="177"/>
      <c r="P160" s="177"/>
      <c r="Q160" s="177"/>
      <c r="R160" s="177"/>
      <c r="S160" s="177"/>
      <c r="T160" s="177"/>
      <c r="U160" s="177"/>
      <c r="V160" s="177"/>
      <c r="W160" s="177"/>
    </row>
    <row r="161" ht="15.75" customHeight="1" outlineLevel="1">
      <c r="A161" s="190"/>
      <c r="B161" s="204"/>
      <c r="C161" s="191"/>
      <c r="D161" s="205" t="str">
        <f>IFERROR(VLOOKUP($C161,'PORTIFÓLIO'!C:V,2,0),"")</f>
        <v/>
      </c>
      <c r="E161" s="190" t="str">
        <f>IFERROR(VLOOKUP($C161,'PORTIFÓLIO'!C:V,3,0),"")</f>
        <v/>
      </c>
      <c r="F161" s="190" t="str">
        <f>IFERROR(VLOOKUP($C161,'PORTIFÓLIO'!C:V,4,0),"")</f>
        <v/>
      </c>
      <c r="G161" s="206" t="str">
        <f>IFERROR(VLOOKUP($C161,'PORTIFÓLIO'!C:V,5,0),"")</f>
        <v/>
      </c>
      <c r="H161" s="247" t="str">
        <f t="array" ref="H161">IFERROR(INDEX('PORTIFÓLIO'!$H$4:$H$433,MATCH($C161,'PORTIFÓLIO'!$C$4:$C$433,0)),"")</f>
        <v/>
      </c>
      <c r="I161" s="257"/>
      <c r="J161" s="209">
        <f t="shared" si="18"/>
        <v>0</v>
      </c>
      <c r="K161" s="210" t="str">
        <f t="array" ref="K161">IFERROR(I161*INDEX('PORTIFÓLIO'!$S$4:$S$433,MATCH($C161,'PORTIFÓLIO'!$C$4:$C$433,0)),"")</f>
        <v/>
      </c>
      <c r="L161" s="210" t="str">
        <f t="array" ref="L161">IFERROR(J161*INDEX('PORTIFÓLIO'!$S$4:$S$433,MATCH($C161,'PORTIFÓLIO'!$C$4:$C$433,0)),"")</f>
        <v/>
      </c>
      <c r="M161" s="177"/>
      <c r="N161" s="177"/>
      <c r="O161" s="177"/>
      <c r="P161" s="177"/>
      <c r="Q161" s="177"/>
      <c r="R161" s="177"/>
      <c r="S161" s="177"/>
      <c r="T161" s="177"/>
      <c r="U161" s="177"/>
      <c r="V161" s="177"/>
      <c r="W161" s="177"/>
    </row>
    <row r="162" ht="15.75" customHeight="1" outlineLevel="1">
      <c r="A162" s="190"/>
      <c r="B162" s="204"/>
      <c r="C162" s="191"/>
      <c r="D162" s="205" t="str">
        <f>IFERROR(VLOOKUP($C162,'PORTIFÓLIO'!C:V,2,0),"")</f>
        <v/>
      </c>
      <c r="E162" s="190" t="str">
        <f>IFERROR(VLOOKUP($C162,'PORTIFÓLIO'!C:V,3,0),"")</f>
        <v/>
      </c>
      <c r="F162" s="190" t="str">
        <f>IFERROR(VLOOKUP($C162,'PORTIFÓLIO'!C:V,4,0),"")</f>
        <v/>
      </c>
      <c r="G162" s="206" t="str">
        <f>IFERROR(VLOOKUP($C162,'PORTIFÓLIO'!C:V,5,0),"")</f>
        <v/>
      </c>
      <c r="H162" s="247" t="str">
        <f t="array" ref="H162">IFERROR(INDEX('PORTIFÓLIO'!$H$4:$H$433,MATCH($C162,'PORTIFÓLIO'!$C$4:$C$433,0)),"")</f>
        <v/>
      </c>
      <c r="I162" s="257"/>
      <c r="J162" s="209">
        <f t="shared" si="18"/>
        <v>0</v>
      </c>
      <c r="K162" s="210" t="str">
        <f t="array" ref="K162">IFERROR(I162*INDEX('PORTIFÓLIO'!$S$4:$S$433,MATCH($C162,'PORTIFÓLIO'!$C$4:$C$433,0)),"")</f>
        <v/>
      </c>
      <c r="L162" s="210" t="str">
        <f t="array" ref="L162">IFERROR(J162*INDEX('PORTIFÓLIO'!$S$4:$S$433,MATCH($C162,'PORTIFÓLIO'!$C$4:$C$433,0)),"")</f>
        <v/>
      </c>
      <c r="M162" s="177"/>
      <c r="N162" s="177"/>
      <c r="O162" s="177"/>
      <c r="P162" s="177"/>
      <c r="Q162" s="177"/>
      <c r="R162" s="177"/>
      <c r="S162" s="177"/>
      <c r="T162" s="177"/>
      <c r="U162" s="177"/>
      <c r="V162" s="177"/>
      <c r="W162" s="177"/>
    </row>
    <row r="163" ht="15.75" customHeight="1" outlineLevel="1">
      <c r="A163" s="190"/>
      <c r="B163" s="204"/>
      <c r="C163" s="191"/>
      <c r="D163" s="205" t="str">
        <f>IFERROR(VLOOKUP($C163,'PORTIFÓLIO'!C:V,2,0),"")</f>
        <v/>
      </c>
      <c r="E163" s="190" t="str">
        <f>IFERROR(VLOOKUP($C163,'PORTIFÓLIO'!C:V,3,0),"")</f>
        <v/>
      </c>
      <c r="F163" s="190" t="str">
        <f>IFERROR(VLOOKUP($C163,'PORTIFÓLIO'!C:V,4,0),"")</f>
        <v/>
      </c>
      <c r="G163" s="206" t="str">
        <f>IFERROR(VLOOKUP($C163,'PORTIFÓLIO'!C:V,5,0),"")</f>
        <v/>
      </c>
      <c r="H163" s="247" t="str">
        <f t="array" ref="H163">IFERROR(INDEX('PORTIFÓLIO'!$H$4:$H$433,MATCH($C163,'PORTIFÓLIO'!$C$4:$C$433,0)),"")</f>
        <v/>
      </c>
      <c r="I163" s="257"/>
      <c r="J163" s="209">
        <f t="shared" si="18"/>
        <v>0</v>
      </c>
      <c r="K163" s="210" t="str">
        <f t="array" ref="K163">IFERROR(I163*INDEX('PORTIFÓLIO'!$S$4:$S$433,MATCH($C163,'PORTIFÓLIO'!$C$4:$C$433,0)),"")</f>
        <v/>
      </c>
      <c r="L163" s="210" t="str">
        <f t="array" ref="L163">IFERROR(J163*INDEX('PORTIFÓLIO'!$S$4:$S$433,MATCH($C163,'PORTIFÓLIO'!$C$4:$C$433,0)),"")</f>
        <v/>
      </c>
      <c r="M163" s="177"/>
      <c r="N163" s="177"/>
      <c r="O163" s="177"/>
      <c r="P163" s="177"/>
      <c r="Q163" s="177"/>
      <c r="R163" s="177"/>
      <c r="S163" s="177"/>
      <c r="T163" s="177"/>
      <c r="U163" s="177"/>
      <c r="V163" s="177"/>
      <c r="W163" s="177"/>
    </row>
    <row r="164" ht="15.75" customHeight="1" outlineLevel="1">
      <c r="A164" s="190"/>
      <c r="B164" s="238"/>
      <c r="C164" s="190"/>
      <c r="D164" s="205" t="str">
        <f>IFERROR(VLOOKUP($C164,'PORTIFÓLIO'!C:V,2,0),"")</f>
        <v/>
      </c>
      <c r="E164" s="190" t="str">
        <f>IFERROR(VLOOKUP($C164,'PORTIFÓLIO'!C:V,3,0),"")</f>
        <v/>
      </c>
      <c r="F164" s="190" t="str">
        <f>IFERROR(VLOOKUP($C164,'PORTIFÓLIO'!C:V,4,0),"")</f>
        <v/>
      </c>
      <c r="G164" s="206" t="str">
        <f>IFERROR(VLOOKUP($C164,'PORTIFÓLIO'!C:V,5,0),"")</f>
        <v/>
      </c>
      <c r="H164" s="247" t="str">
        <f t="array" ref="H164">IFERROR(INDEX('PORTIFÓLIO'!$H$4:$H$433,MATCH($C164,'PORTIFÓLIO'!$C$4:$C$433,0)),"")</f>
        <v/>
      </c>
      <c r="I164" s="257"/>
      <c r="J164" s="209"/>
      <c r="K164" s="210" t="str">
        <f t="array" ref="K164">IFERROR(I164*INDEX('PORTIFÓLIO'!$S$4:$S$433,MATCH($C164,'PORTIFÓLIO'!$C$4:$C$433,0)),"")</f>
        <v/>
      </c>
      <c r="L164" s="210" t="str">
        <f t="array" ref="L164">IFERROR(J164*INDEX('PORTIFÓLIO'!$S$4:$S$433,MATCH($C164,'PORTIFÓLIO'!$C$4:$C$433,0)),"")</f>
        <v/>
      </c>
      <c r="M164" s="177"/>
      <c r="N164" s="177"/>
      <c r="O164" s="177"/>
      <c r="P164" s="177"/>
      <c r="Q164" s="177"/>
      <c r="R164" s="177"/>
      <c r="S164" s="177"/>
      <c r="T164" s="177"/>
      <c r="U164" s="177"/>
      <c r="V164" s="177"/>
      <c r="W164" s="177"/>
    </row>
    <row r="165" ht="15.75" customHeight="1">
      <c r="A165" s="221" t="s">
        <v>1193</v>
      </c>
      <c r="B165" s="197"/>
      <c r="C165" s="196"/>
      <c r="D165" s="198"/>
      <c r="E165" s="196"/>
      <c r="F165" s="196"/>
      <c r="G165" s="199"/>
      <c r="H165" s="199"/>
      <c r="I165" s="252"/>
      <c r="J165" s="202"/>
      <c r="K165" s="203">
        <f t="shared" ref="K165:L165" si="19">SUBTOTAL(9,K166:K179)</f>
        <v>50.457316</v>
      </c>
      <c r="L165" s="203">
        <f t="shared" si="19"/>
        <v>5550.30476</v>
      </c>
      <c r="M165" s="177"/>
      <c r="N165" s="177"/>
      <c r="O165" s="177"/>
      <c r="P165" s="177"/>
      <c r="Q165" s="177"/>
      <c r="R165" s="177"/>
      <c r="S165" s="177"/>
      <c r="T165" s="177"/>
      <c r="U165" s="177"/>
      <c r="V165" s="177"/>
      <c r="W165" s="177"/>
    </row>
    <row r="166" ht="15.75" customHeight="1" outlineLevel="1">
      <c r="A166" s="191"/>
      <c r="B166" s="204" t="s">
        <v>1</v>
      </c>
      <c r="C166" s="191" t="s">
        <v>742</v>
      </c>
      <c r="D166" s="205" t="str">
        <f>IFERROR(VLOOKUP($C166,'PORTIFÓLIO'!C:V,2,0),"")</f>
        <v>DIQUATE</v>
      </c>
      <c r="E166" s="190">
        <f>IFERROR(VLOOKUP($C166,'PORTIFÓLIO'!C:V,3,0),"")</f>
        <v>200</v>
      </c>
      <c r="F166" s="190" t="str">
        <f>IFERROR(VLOOKUP($C166,'PORTIFÓLIO'!C:V,4,0),"")</f>
        <v>L</v>
      </c>
      <c r="G166" s="223" t="str">
        <f>IFERROR(VLOOKUP($C166,'PORTIFÓLIO'!C:V,5,0),"")</f>
        <v>📄 Ver bula</v>
      </c>
      <c r="H166" s="247">
        <f t="array" ref="H166">IFERROR(INDEX('PORTIFÓLIO'!$H$4:$H$433,MATCH($C166,'PORTIFÓLIO'!$C$4:$C$433,0)),"")</f>
        <v>2</v>
      </c>
      <c r="I166" s="253">
        <v>2.0</v>
      </c>
      <c r="J166" s="209">
        <f t="shared" ref="J166:J181" si="20">I166*$B$2</f>
        <v>220</v>
      </c>
      <c r="K166" s="210">
        <f t="array" ref="K166">IFERROR(I166*INDEX('PORTIFÓLIO'!$S$4:$S$433,MATCH($C166,'PORTIFÓLIO'!$C$4:$C$433,0)),"")</f>
        <v>47.48856</v>
      </c>
      <c r="L166" s="210">
        <f t="array" ref="L166">IFERROR(J166*INDEX('PORTIFÓLIO'!$S$4:$S$433,MATCH($C166,'PORTIFÓLIO'!$C$4:$C$433,0)),"")</f>
        <v>5223.7416</v>
      </c>
      <c r="M166" s="177"/>
      <c r="N166" s="177"/>
      <c r="O166" s="177"/>
      <c r="P166" s="177"/>
      <c r="Q166" s="177"/>
      <c r="R166" s="177"/>
      <c r="S166" s="177"/>
      <c r="T166" s="177"/>
      <c r="U166" s="177"/>
      <c r="V166" s="177"/>
      <c r="W166" s="177"/>
    </row>
    <row r="167" ht="15.75" customHeight="1" outlineLevel="1">
      <c r="A167" s="190"/>
      <c r="B167" s="204" t="s">
        <v>6</v>
      </c>
      <c r="C167" s="191" t="s">
        <v>351</v>
      </c>
      <c r="D167" s="205" t="str">
        <f>IFERROR(VLOOKUP($C167,'PORTIFÓLIO'!C:V,2,0),"")</f>
        <v>ÉSTER METILICO DE OLEO DE SOJA</v>
      </c>
      <c r="E167" s="190">
        <f>IFERROR(VLOOKUP($C167,'PORTIFÓLIO'!C:V,3,0),"")</f>
        <v>720</v>
      </c>
      <c r="F167" s="190" t="str">
        <f>IFERROR(VLOOKUP($C167,'PORTIFÓLIO'!C:V,4,0),"")</f>
        <v>L</v>
      </c>
      <c r="G167" s="223" t="str">
        <f>IFERROR(VLOOKUP($C167,'PORTIFÓLIO'!C:V,5,0),"")</f>
        <v>📄 Ver bula</v>
      </c>
      <c r="H167" s="247">
        <f t="array" ref="H167">IFERROR(INDEX('PORTIFÓLIO'!$H$4:$H$433,MATCH($C167,'PORTIFÓLIO'!$C$4:$C$433,0)),"")</f>
        <v>0.08</v>
      </c>
      <c r="I167" s="253">
        <v>0.2</v>
      </c>
      <c r="J167" s="209">
        <f t="shared" si="20"/>
        <v>22</v>
      </c>
      <c r="K167" s="210">
        <f t="array" ref="K167">IFERROR(I167*INDEX('PORTIFÓLIO'!$S$4:$S$433,MATCH($C167,'PORTIFÓLIO'!$C$4:$C$433,0)),"")</f>
        <v>2.968756</v>
      </c>
      <c r="L167" s="210">
        <f t="array" ref="L167">IFERROR(J167*INDEX('PORTIFÓLIO'!$S$4:$S$433,MATCH($C167,'PORTIFÓLIO'!$C$4:$C$433,0)),"")</f>
        <v>326.56316</v>
      </c>
      <c r="M167" s="177"/>
      <c r="N167" s="177"/>
      <c r="O167" s="177"/>
      <c r="P167" s="177"/>
      <c r="Q167" s="177"/>
      <c r="R167" s="177"/>
      <c r="S167" s="177"/>
      <c r="T167" s="177"/>
      <c r="U167" s="177"/>
      <c r="V167" s="177"/>
      <c r="W167" s="177"/>
    </row>
    <row r="168" ht="15.75" customHeight="1" outlineLevel="1">
      <c r="A168" s="190"/>
      <c r="B168" s="204"/>
      <c r="C168" s="191"/>
      <c r="D168" s="205" t="str">
        <f>IFERROR(VLOOKUP($C168,'PORTIFÓLIO'!C:V,2,0),"")</f>
        <v/>
      </c>
      <c r="E168" s="190" t="str">
        <f>IFERROR(VLOOKUP($C168,'PORTIFÓLIO'!C:V,3,0),"")</f>
        <v/>
      </c>
      <c r="F168" s="190" t="str">
        <f>IFERROR(VLOOKUP($C168,'PORTIFÓLIO'!C:V,4,0),"")</f>
        <v/>
      </c>
      <c r="G168" s="206" t="str">
        <f>IFERROR(VLOOKUP($C168,'PORTIFÓLIO'!C:V,5,0),"")</f>
        <v/>
      </c>
      <c r="H168" s="247" t="str">
        <f t="array" ref="H168">IFERROR(INDEX('PORTIFÓLIO'!$H$4:$H$433,MATCH($C168,'PORTIFÓLIO'!$C$4:$C$433,0)),"")</f>
        <v/>
      </c>
      <c r="I168" s="257"/>
      <c r="J168" s="209">
        <f t="shared" si="20"/>
        <v>0</v>
      </c>
      <c r="K168" s="210" t="str">
        <f t="array" ref="K168">IFERROR(I168*INDEX('PORTIFÓLIO'!$S$4:$S$433,MATCH($C168,'PORTIFÓLIO'!$C$4:$C$433,0)),"")</f>
        <v/>
      </c>
      <c r="L168" s="210" t="str">
        <f t="array" ref="L168">IFERROR(J168*INDEX('PORTIFÓLIO'!$S$4:$S$433,MATCH($C168,'PORTIFÓLIO'!$C$4:$C$433,0)),"")</f>
        <v/>
      </c>
      <c r="M168" s="177"/>
      <c r="N168" s="177"/>
      <c r="O168" s="177"/>
      <c r="P168" s="177"/>
      <c r="Q168" s="177"/>
      <c r="R168" s="177"/>
      <c r="S168" s="177"/>
      <c r="T168" s="177"/>
      <c r="U168" s="177"/>
      <c r="V168" s="177"/>
      <c r="W168" s="177"/>
    </row>
    <row r="169" ht="15.75" customHeight="1" outlineLevel="1">
      <c r="A169" s="190"/>
      <c r="B169" s="204"/>
      <c r="C169" s="191"/>
      <c r="D169" s="205" t="str">
        <f>IFERROR(VLOOKUP($C169,'PORTIFÓLIO'!C:V,2,0),"")</f>
        <v/>
      </c>
      <c r="E169" s="190" t="str">
        <f>IFERROR(VLOOKUP($C169,'PORTIFÓLIO'!C:V,3,0),"")</f>
        <v/>
      </c>
      <c r="F169" s="190" t="str">
        <f>IFERROR(VLOOKUP($C169,'PORTIFÓLIO'!C:V,4,0),"")</f>
        <v/>
      </c>
      <c r="G169" s="206" t="str">
        <f>IFERROR(VLOOKUP($C169,'PORTIFÓLIO'!C:V,5,0),"")</f>
        <v/>
      </c>
      <c r="H169" s="247" t="str">
        <f t="array" ref="H169">IFERROR(INDEX('PORTIFÓLIO'!$H$4:$H$433,MATCH($C169,'PORTIFÓLIO'!$C$4:$C$433,0)),"")</f>
        <v/>
      </c>
      <c r="I169" s="257"/>
      <c r="J169" s="209">
        <f t="shared" si="20"/>
        <v>0</v>
      </c>
      <c r="K169" s="210" t="str">
        <f t="array" ref="K169">IFERROR(I169*INDEX('PORTIFÓLIO'!$S$4:$S$433,MATCH($C169,'PORTIFÓLIO'!$C$4:$C$433,0)),"")</f>
        <v/>
      </c>
      <c r="L169" s="210" t="str">
        <f t="array" ref="L169">IFERROR(J169*INDEX('PORTIFÓLIO'!$S$4:$S$433,MATCH($C169,'PORTIFÓLIO'!$C$4:$C$433,0)),"")</f>
        <v/>
      </c>
      <c r="M169" s="177"/>
      <c r="N169" s="177"/>
      <c r="O169" s="177"/>
      <c r="P169" s="177"/>
      <c r="Q169" s="177"/>
      <c r="R169" s="177"/>
      <c r="S169" s="177"/>
      <c r="T169" s="177"/>
      <c r="U169" s="177"/>
      <c r="V169" s="177"/>
      <c r="W169" s="177"/>
    </row>
    <row r="170" ht="15.75" customHeight="1" outlineLevel="1">
      <c r="A170" s="190"/>
      <c r="B170" s="204"/>
      <c r="C170" s="191"/>
      <c r="D170" s="205" t="str">
        <f>IFERROR(VLOOKUP($C170,'PORTIFÓLIO'!C:V,2,0),"")</f>
        <v/>
      </c>
      <c r="E170" s="190" t="str">
        <f>IFERROR(VLOOKUP($C170,'PORTIFÓLIO'!C:V,3,0),"")</f>
        <v/>
      </c>
      <c r="F170" s="190" t="str">
        <f>IFERROR(VLOOKUP($C170,'PORTIFÓLIO'!C:V,4,0),"")</f>
        <v/>
      </c>
      <c r="G170" s="206" t="str">
        <f>IFERROR(VLOOKUP($C170,'PORTIFÓLIO'!C:V,5,0),"")</f>
        <v/>
      </c>
      <c r="H170" s="247" t="str">
        <f t="array" ref="H170">IFERROR(INDEX('PORTIFÓLIO'!$H$4:$H$433,MATCH($C170,'PORTIFÓLIO'!$C$4:$C$433,0)),"")</f>
        <v/>
      </c>
      <c r="I170" s="257"/>
      <c r="J170" s="209">
        <f t="shared" si="20"/>
        <v>0</v>
      </c>
      <c r="K170" s="210" t="str">
        <f t="array" ref="K170">IFERROR(I170*INDEX('PORTIFÓLIO'!$S$4:$S$433,MATCH($C170,'PORTIFÓLIO'!$C$4:$C$433,0)),"")</f>
        <v/>
      </c>
      <c r="L170" s="210" t="str">
        <f t="array" ref="L170">IFERROR(J170*INDEX('PORTIFÓLIO'!$S$4:$S$433,MATCH($C170,'PORTIFÓLIO'!$C$4:$C$433,0)),"")</f>
        <v/>
      </c>
      <c r="M170" s="177"/>
      <c r="N170" s="177"/>
      <c r="O170" s="177"/>
      <c r="P170" s="177"/>
      <c r="Q170" s="177"/>
      <c r="R170" s="177"/>
      <c r="S170" s="177"/>
      <c r="T170" s="177"/>
      <c r="U170" s="177"/>
      <c r="V170" s="177"/>
      <c r="W170" s="177"/>
    </row>
    <row r="171" ht="15.75" customHeight="1" outlineLevel="1">
      <c r="A171" s="190"/>
      <c r="B171" s="204"/>
      <c r="C171" s="191"/>
      <c r="D171" s="205" t="str">
        <f>IFERROR(VLOOKUP($C171,'PORTIFÓLIO'!C:V,2,0),"")</f>
        <v/>
      </c>
      <c r="E171" s="190" t="str">
        <f>IFERROR(VLOOKUP($C171,'PORTIFÓLIO'!C:V,3,0),"")</f>
        <v/>
      </c>
      <c r="F171" s="190" t="str">
        <f>IFERROR(VLOOKUP($C171,'PORTIFÓLIO'!C:V,4,0),"")</f>
        <v/>
      </c>
      <c r="G171" s="206" t="str">
        <f>IFERROR(VLOOKUP($C171,'PORTIFÓLIO'!C:V,5,0),"")</f>
        <v/>
      </c>
      <c r="H171" s="247" t="str">
        <f t="array" ref="H171">IFERROR(INDEX('PORTIFÓLIO'!$H$4:$H$433,MATCH($C171,'PORTIFÓLIO'!$C$4:$C$433,0)),"")</f>
        <v/>
      </c>
      <c r="I171" s="257"/>
      <c r="J171" s="209">
        <f t="shared" si="20"/>
        <v>0</v>
      </c>
      <c r="K171" s="210" t="str">
        <f t="array" ref="K171">IFERROR(I171*INDEX('PORTIFÓLIO'!$S$4:$S$433,MATCH($C171,'PORTIFÓLIO'!$C$4:$C$433,0)),"")</f>
        <v/>
      </c>
      <c r="L171" s="210" t="str">
        <f t="array" ref="L171">IFERROR(J171*INDEX('PORTIFÓLIO'!$S$4:$S$433,MATCH($C171,'PORTIFÓLIO'!$C$4:$C$433,0)),"")</f>
        <v/>
      </c>
      <c r="M171" s="177"/>
      <c r="N171" s="177"/>
      <c r="O171" s="177"/>
      <c r="P171" s="177"/>
      <c r="Q171" s="177"/>
      <c r="R171" s="177"/>
      <c r="S171" s="177"/>
      <c r="T171" s="177"/>
      <c r="U171" s="177"/>
      <c r="V171" s="177"/>
      <c r="W171" s="177"/>
    </row>
    <row r="172" ht="15.75" customHeight="1" outlineLevel="1">
      <c r="A172" s="190"/>
      <c r="B172" s="204"/>
      <c r="C172" s="191"/>
      <c r="D172" s="205" t="str">
        <f>IFERROR(VLOOKUP($C172,'PORTIFÓLIO'!C:V,2,0),"")</f>
        <v/>
      </c>
      <c r="E172" s="190" t="str">
        <f>IFERROR(VLOOKUP($C172,'PORTIFÓLIO'!C:V,3,0),"")</f>
        <v/>
      </c>
      <c r="F172" s="190" t="str">
        <f>IFERROR(VLOOKUP($C172,'PORTIFÓLIO'!C:V,4,0),"")</f>
        <v/>
      </c>
      <c r="G172" s="206" t="str">
        <f>IFERROR(VLOOKUP($C172,'PORTIFÓLIO'!C:V,5,0),"")</f>
        <v/>
      </c>
      <c r="H172" s="247" t="str">
        <f t="array" ref="H172">IFERROR(INDEX('PORTIFÓLIO'!$H$4:$H$433,MATCH($C172,'PORTIFÓLIO'!$C$4:$C$433,0)),"")</f>
        <v/>
      </c>
      <c r="I172" s="257"/>
      <c r="J172" s="209">
        <f t="shared" si="20"/>
        <v>0</v>
      </c>
      <c r="K172" s="210" t="str">
        <f t="array" ref="K172">IFERROR(I172*INDEX('PORTIFÓLIO'!$S$4:$S$433,MATCH($C172,'PORTIFÓLIO'!$C$4:$C$433,0)),"")</f>
        <v/>
      </c>
      <c r="L172" s="210" t="str">
        <f t="array" ref="L172">IFERROR(J172*INDEX('PORTIFÓLIO'!$S$4:$S$433,MATCH($C172,'PORTIFÓLIO'!$C$4:$C$433,0)),"")</f>
        <v/>
      </c>
      <c r="M172" s="177"/>
      <c r="N172" s="177"/>
      <c r="O172" s="177"/>
      <c r="P172" s="177"/>
      <c r="Q172" s="177"/>
      <c r="R172" s="177"/>
      <c r="S172" s="177"/>
      <c r="T172" s="177"/>
      <c r="U172" s="177"/>
      <c r="V172" s="177"/>
      <c r="W172" s="177"/>
    </row>
    <row r="173" ht="15.75" customHeight="1" outlineLevel="1">
      <c r="A173" s="190"/>
      <c r="B173" s="204"/>
      <c r="C173" s="191"/>
      <c r="D173" s="205" t="str">
        <f>IFERROR(VLOOKUP($C173,'PORTIFÓLIO'!C:V,2,0),"")</f>
        <v/>
      </c>
      <c r="E173" s="190" t="str">
        <f>IFERROR(VLOOKUP($C173,'PORTIFÓLIO'!C:V,3,0),"")</f>
        <v/>
      </c>
      <c r="F173" s="190" t="str">
        <f>IFERROR(VLOOKUP($C173,'PORTIFÓLIO'!C:V,4,0),"")</f>
        <v/>
      </c>
      <c r="G173" s="206" t="str">
        <f>IFERROR(VLOOKUP($C173,'PORTIFÓLIO'!C:V,5,0),"")</f>
        <v/>
      </c>
      <c r="H173" s="247" t="str">
        <f t="array" ref="H173">IFERROR(INDEX('PORTIFÓLIO'!$H$4:$H$433,MATCH($C173,'PORTIFÓLIO'!$C$4:$C$433,0)),"")</f>
        <v/>
      </c>
      <c r="I173" s="257"/>
      <c r="J173" s="209">
        <f t="shared" si="20"/>
        <v>0</v>
      </c>
      <c r="K173" s="210" t="str">
        <f t="array" ref="K173">IFERROR(I173*INDEX('PORTIFÓLIO'!$S$4:$S$433,MATCH($C173,'PORTIFÓLIO'!$C$4:$C$433,0)),"")</f>
        <v/>
      </c>
      <c r="L173" s="210" t="str">
        <f t="array" ref="L173">IFERROR(J173*INDEX('PORTIFÓLIO'!$S$4:$S$433,MATCH($C173,'PORTIFÓLIO'!$C$4:$C$433,0)),"")</f>
        <v/>
      </c>
      <c r="M173" s="177"/>
      <c r="N173" s="177"/>
      <c r="O173" s="177"/>
      <c r="P173" s="177"/>
      <c r="Q173" s="177"/>
      <c r="R173" s="177"/>
      <c r="S173" s="177"/>
      <c r="T173" s="177"/>
      <c r="U173" s="177"/>
      <c r="V173" s="177"/>
      <c r="W173" s="177"/>
    </row>
    <row r="174" ht="15.75" customHeight="1" outlineLevel="1">
      <c r="A174" s="190"/>
      <c r="B174" s="204"/>
      <c r="C174" s="191"/>
      <c r="D174" s="205" t="str">
        <f>IFERROR(VLOOKUP($C174,'PORTIFÓLIO'!C:V,2,0),"")</f>
        <v/>
      </c>
      <c r="E174" s="190" t="str">
        <f>IFERROR(VLOOKUP($C174,'PORTIFÓLIO'!C:V,3,0),"")</f>
        <v/>
      </c>
      <c r="F174" s="190" t="str">
        <f>IFERROR(VLOOKUP($C174,'PORTIFÓLIO'!C:V,4,0),"")</f>
        <v/>
      </c>
      <c r="G174" s="206" t="str">
        <f>IFERROR(VLOOKUP($C174,'PORTIFÓLIO'!C:V,5,0),"")</f>
        <v/>
      </c>
      <c r="H174" s="247" t="str">
        <f t="array" ref="H174">IFERROR(INDEX('PORTIFÓLIO'!$H$4:$H$433,MATCH($C174,'PORTIFÓLIO'!$C$4:$C$433,0)),"")</f>
        <v/>
      </c>
      <c r="I174" s="253"/>
      <c r="J174" s="209">
        <f t="shared" si="20"/>
        <v>0</v>
      </c>
      <c r="K174" s="210" t="str">
        <f t="array" ref="K174">IFERROR(I174*INDEX('PORTIFÓLIO'!$S$4:$S$433,MATCH($C174,'PORTIFÓLIO'!$C$4:$C$433,0)),"")</f>
        <v/>
      </c>
      <c r="L174" s="210" t="str">
        <f t="array" ref="L174">IFERROR(J174*INDEX('PORTIFÓLIO'!$S$4:$S$433,MATCH($C174,'PORTIFÓLIO'!$C$4:$C$433,0)),"")</f>
        <v/>
      </c>
      <c r="M174" s="177"/>
      <c r="N174" s="177"/>
      <c r="O174" s="177"/>
      <c r="P174" s="177"/>
      <c r="Q174" s="177"/>
      <c r="R174" s="177"/>
      <c r="S174" s="177"/>
      <c r="T174" s="177"/>
      <c r="U174" s="177"/>
      <c r="V174" s="177"/>
      <c r="W174" s="177"/>
    </row>
    <row r="175" ht="15.75" customHeight="1" outlineLevel="1">
      <c r="A175" s="190"/>
      <c r="B175" s="204"/>
      <c r="C175" s="191"/>
      <c r="D175" s="205" t="str">
        <f>IFERROR(VLOOKUP($C175,'PORTIFÓLIO'!C:V,2,0),"")</f>
        <v/>
      </c>
      <c r="E175" s="190" t="str">
        <f>IFERROR(VLOOKUP($C175,'PORTIFÓLIO'!C:V,3,0),"")</f>
        <v/>
      </c>
      <c r="F175" s="190" t="str">
        <f>IFERROR(VLOOKUP($C175,'PORTIFÓLIO'!C:V,4,0),"")</f>
        <v/>
      </c>
      <c r="G175" s="206" t="str">
        <f>IFERROR(VLOOKUP($C175,'PORTIFÓLIO'!C:V,5,0),"")</f>
        <v/>
      </c>
      <c r="H175" s="247" t="str">
        <f t="array" ref="H175">IFERROR(INDEX('PORTIFÓLIO'!$H$4:$H$433,MATCH($C175,'PORTIFÓLIO'!$C$4:$C$433,0)),"")</f>
        <v/>
      </c>
      <c r="I175" s="257"/>
      <c r="J175" s="209">
        <f t="shared" si="20"/>
        <v>0</v>
      </c>
      <c r="K175" s="210" t="str">
        <f t="array" ref="K175">IFERROR(I175*INDEX('PORTIFÓLIO'!$S$4:$S$433,MATCH($C175,'PORTIFÓLIO'!$C$4:$C$433,0)),"")</f>
        <v/>
      </c>
      <c r="L175" s="210" t="str">
        <f t="array" ref="L175">IFERROR(J175*INDEX('PORTIFÓLIO'!$S$4:$S$433,MATCH($C175,'PORTIFÓLIO'!$C$4:$C$433,0)),"")</f>
        <v/>
      </c>
      <c r="M175" s="177"/>
      <c r="N175" s="177"/>
      <c r="O175" s="177"/>
      <c r="P175" s="177"/>
      <c r="Q175" s="177"/>
      <c r="R175" s="177"/>
      <c r="S175" s="177"/>
      <c r="T175" s="177"/>
      <c r="U175" s="177"/>
      <c r="V175" s="177"/>
      <c r="W175" s="177"/>
    </row>
    <row r="176" ht="15.75" customHeight="1" outlineLevel="1">
      <c r="A176" s="190"/>
      <c r="B176" s="204"/>
      <c r="C176" s="191"/>
      <c r="D176" s="205" t="str">
        <f>IFERROR(VLOOKUP($C176,'PORTIFÓLIO'!C:V,2,0),"")</f>
        <v/>
      </c>
      <c r="E176" s="190" t="str">
        <f>IFERROR(VLOOKUP($C176,'PORTIFÓLIO'!C:V,3,0),"")</f>
        <v/>
      </c>
      <c r="F176" s="190" t="str">
        <f>IFERROR(VLOOKUP($C176,'PORTIFÓLIO'!C:V,4,0),"")</f>
        <v/>
      </c>
      <c r="G176" s="206" t="str">
        <f>IFERROR(VLOOKUP($C176,'PORTIFÓLIO'!C:V,5,0),"")</f>
        <v/>
      </c>
      <c r="H176" s="247" t="str">
        <f t="array" ref="H176">IFERROR(INDEX('PORTIFÓLIO'!$H$4:$H$433,MATCH($C176,'PORTIFÓLIO'!$C$4:$C$433,0)),"")</f>
        <v/>
      </c>
      <c r="I176" s="257"/>
      <c r="J176" s="209">
        <f t="shared" si="20"/>
        <v>0</v>
      </c>
      <c r="K176" s="210" t="str">
        <f t="array" ref="K176">IFERROR(I176*INDEX('PORTIFÓLIO'!$S$4:$S$433,MATCH($C176,'PORTIFÓLIO'!$C$4:$C$433,0)),"")</f>
        <v/>
      </c>
      <c r="L176" s="210" t="str">
        <f t="array" ref="L176">IFERROR(J176*INDEX('PORTIFÓLIO'!$S$4:$S$433,MATCH($C176,'PORTIFÓLIO'!$C$4:$C$433,0)),"")</f>
        <v/>
      </c>
      <c r="M176" s="177"/>
      <c r="N176" s="177"/>
      <c r="O176" s="177"/>
      <c r="P176" s="177"/>
      <c r="Q176" s="177"/>
      <c r="R176" s="177"/>
      <c r="S176" s="177"/>
      <c r="T176" s="177"/>
      <c r="U176" s="177"/>
      <c r="V176" s="177"/>
      <c r="W176" s="177"/>
    </row>
    <row r="177" ht="15.75" customHeight="1" outlineLevel="1">
      <c r="A177" s="190"/>
      <c r="B177" s="204"/>
      <c r="C177" s="191"/>
      <c r="D177" s="205" t="str">
        <f>IFERROR(VLOOKUP($C177,'PORTIFÓLIO'!C:V,2,0),"")</f>
        <v/>
      </c>
      <c r="E177" s="190" t="str">
        <f>IFERROR(VLOOKUP($C177,'PORTIFÓLIO'!C:V,3,0),"")</f>
        <v/>
      </c>
      <c r="F177" s="190" t="str">
        <f>IFERROR(VLOOKUP($C177,'PORTIFÓLIO'!C:V,4,0),"")</f>
        <v/>
      </c>
      <c r="G177" s="206" t="str">
        <f>IFERROR(VLOOKUP($C177,'PORTIFÓLIO'!C:V,5,0),"")</f>
        <v/>
      </c>
      <c r="H177" s="247" t="str">
        <f t="array" ref="H177">IFERROR(INDEX('PORTIFÓLIO'!$H$4:$H$433,MATCH($C177,'PORTIFÓLIO'!$C$4:$C$433,0)),"")</f>
        <v/>
      </c>
      <c r="I177" s="257"/>
      <c r="J177" s="209">
        <f t="shared" si="20"/>
        <v>0</v>
      </c>
      <c r="K177" s="210" t="str">
        <f t="array" ref="K177">IFERROR(I177*INDEX('PORTIFÓLIO'!$S$4:$S$433,MATCH($C177,'PORTIFÓLIO'!$C$4:$C$433,0)),"")</f>
        <v/>
      </c>
      <c r="L177" s="210" t="str">
        <f t="array" ref="L177">IFERROR(J177*INDEX('PORTIFÓLIO'!$S$4:$S$433,MATCH($C177,'PORTIFÓLIO'!$C$4:$C$433,0)),"")</f>
        <v/>
      </c>
      <c r="M177" s="177"/>
      <c r="N177" s="177"/>
      <c r="O177" s="177"/>
      <c r="P177" s="177"/>
      <c r="Q177" s="177"/>
      <c r="R177" s="177"/>
      <c r="S177" s="177"/>
      <c r="T177" s="177"/>
      <c r="U177" s="177"/>
      <c r="V177" s="177"/>
      <c r="W177" s="177"/>
    </row>
    <row r="178" ht="15.75" customHeight="1" outlineLevel="1">
      <c r="A178" s="190"/>
      <c r="B178" s="204"/>
      <c r="C178" s="191"/>
      <c r="D178" s="205" t="str">
        <f>IFERROR(VLOOKUP($C178,'PORTIFÓLIO'!C:V,2,0),"")</f>
        <v/>
      </c>
      <c r="E178" s="190" t="str">
        <f>IFERROR(VLOOKUP($C178,'PORTIFÓLIO'!C:V,3,0),"")</f>
        <v/>
      </c>
      <c r="F178" s="190" t="str">
        <f>IFERROR(VLOOKUP($C178,'PORTIFÓLIO'!C:V,4,0),"")</f>
        <v/>
      </c>
      <c r="G178" s="206" t="str">
        <f>IFERROR(VLOOKUP($C178,'PORTIFÓLIO'!C:V,5,0),"")</f>
        <v/>
      </c>
      <c r="H178" s="247" t="str">
        <f t="array" ref="H178">IFERROR(INDEX('PORTIFÓLIO'!$H$4:$H$433,MATCH($C178,'PORTIFÓLIO'!$C$4:$C$433,0)),"")</f>
        <v/>
      </c>
      <c r="I178" s="257"/>
      <c r="J178" s="209">
        <f t="shared" si="20"/>
        <v>0</v>
      </c>
      <c r="K178" s="210" t="str">
        <f t="array" ref="K178">IFERROR(I178*INDEX('PORTIFÓLIO'!$S$4:$S$433,MATCH($C178,'PORTIFÓLIO'!$C$4:$C$433,0)),"")</f>
        <v/>
      </c>
      <c r="L178" s="210" t="str">
        <f t="array" ref="L178">IFERROR(J178*INDEX('PORTIFÓLIO'!$S$4:$S$433,MATCH($C178,'PORTIFÓLIO'!$C$4:$C$433,0)),"")</f>
        <v/>
      </c>
      <c r="M178" s="177"/>
      <c r="N178" s="177"/>
      <c r="O178" s="177"/>
      <c r="P178" s="177"/>
      <c r="Q178" s="177"/>
      <c r="R178" s="177"/>
      <c r="S178" s="177"/>
      <c r="T178" s="177"/>
      <c r="U178" s="177"/>
      <c r="V178" s="177"/>
      <c r="W178" s="177"/>
    </row>
    <row r="179" ht="15.75" customHeight="1" outlineLevel="1">
      <c r="A179" s="190"/>
      <c r="B179" s="204"/>
      <c r="C179" s="191"/>
      <c r="D179" s="205" t="str">
        <f>IFERROR(VLOOKUP($C179,'PORTIFÓLIO'!C:V,2,0),"")</f>
        <v/>
      </c>
      <c r="E179" s="190" t="str">
        <f>IFERROR(VLOOKUP($C179,'PORTIFÓLIO'!C:V,3,0),"")</f>
        <v/>
      </c>
      <c r="F179" s="190" t="str">
        <f>IFERROR(VLOOKUP($C179,'PORTIFÓLIO'!C:V,4,0),"")</f>
        <v/>
      </c>
      <c r="G179" s="206" t="str">
        <f>IFERROR(VLOOKUP($C179,'PORTIFÓLIO'!C:V,5,0),"")</f>
        <v/>
      </c>
      <c r="H179" s="247" t="str">
        <f t="array" ref="H179">IFERROR(INDEX('PORTIFÓLIO'!$H$4:$H$433,MATCH($C179,'PORTIFÓLIO'!$C$4:$C$433,0)),"")</f>
        <v/>
      </c>
      <c r="I179" s="257"/>
      <c r="J179" s="209">
        <f t="shared" si="20"/>
        <v>0</v>
      </c>
      <c r="K179" s="210" t="str">
        <f t="array" ref="K179">IFERROR(I179*INDEX('PORTIFÓLIO'!$S$4:$S$433,MATCH($C179,'PORTIFÓLIO'!$C$4:$C$433,0)),"")</f>
        <v/>
      </c>
      <c r="L179" s="210" t="str">
        <f t="array" ref="L179">IFERROR(J179*INDEX('PORTIFÓLIO'!$S$4:$S$433,MATCH($C179,'PORTIFÓLIO'!$C$4:$C$433,0)),"")</f>
        <v/>
      </c>
      <c r="M179" s="177"/>
      <c r="N179" s="177"/>
      <c r="O179" s="177"/>
      <c r="P179" s="177"/>
      <c r="Q179" s="177"/>
      <c r="R179" s="177"/>
      <c r="S179" s="177"/>
      <c r="T179" s="177"/>
      <c r="U179" s="177"/>
      <c r="V179" s="177"/>
      <c r="W179" s="177"/>
    </row>
    <row r="180" ht="15.75" customHeight="1" outlineLevel="1">
      <c r="A180" s="190"/>
      <c r="B180" s="204"/>
      <c r="C180" s="191"/>
      <c r="D180" s="205" t="str">
        <f>IFERROR(VLOOKUP($C180,'PORTIFÓLIO'!C:V,2,0),"")</f>
        <v/>
      </c>
      <c r="E180" s="190" t="str">
        <f>IFERROR(VLOOKUP($C180,'PORTIFÓLIO'!C:V,3,0),"")</f>
        <v/>
      </c>
      <c r="F180" s="190" t="str">
        <f>IFERROR(VLOOKUP($C180,'PORTIFÓLIO'!C:V,4,0),"")</f>
        <v/>
      </c>
      <c r="G180" s="206" t="str">
        <f>IFERROR(VLOOKUP($C180,'PORTIFÓLIO'!C:V,5,0),"")</f>
        <v/>
      </c>
      <c r="H180" s="247" t="str">
        <f t="array" ref="H180">IFERROR(INDEX('PORTIFÓLIO'!$H$4:$H$433,MATCH($C180,'PORTIFÓLIO'!$C$4:$C$433,0)),"")</f>
        <v/>
      </c>
      <c r="I180" s="257"/>
      <c r="J180" s="209">
        <f t="shared" si="20"/>
        <v>0</v>
      </c>
      <c r="K180" s="210" t="str">
        <f t="array" ref="K180">IFERROR(I180*INDEX('PORTIFÓLIO'!$S$4:$S$433,MATCH($C180,'PORTIFÓLIO'!$C$4:$C$433,0)),"")</f>
        <v/>
      </c>
      <c r="L180" s="210" t="str">
        <f t="array" ref="L180">IFERROR(J180*INDEX('PORTIFÓLIO'!$S$4:$S$433,MATCH($C180,'PORTIFÓLIO'!$C$4:$C$433,0)),"")</f>
        <v/>
      </c>
      <c r="M180" s="177"/>
      <c r="N180" s="177"/>
      <c r="O180" s="177"/>
      <c r="P180" s="177"/>
      <c r="Q180" s="177"/>
      <c r="R180" s="177"/>
      <c r="S180" s="177"/>
      <c r="T180" s="177"/>
      <c r="U180" s="177"/>
      <c r="V180" s="177"/>
      <c r="W180" s="177"/>
    </row>
    <row r="181" ht="15.75" customHeight="1" outlineLevel="1">
      <c r="A181" s="190"/>
      <c r="B181" s="238"/>
      <c r="C181" s="190"/>
      <c r="D181" s="205" t="str">
        <f>IFERROR(VLOOKUP($C181,'PORTIFÓLIO'!C:V,2,0),"")</f>
        <v/>
      </c>
      <c r="E181" s="190" t="str">
        <f>IFERROR(VLOOKUP($C181,'PORTIFÓLIO'!C:V,3,0),"")</f>
        <v/>
      </c>
      <c r="F181" s="190" t="str">
        <f>IFERROR(VLOOKUP($C181,'PORTIFÓLIO'!C:V,4,0),"")</f>
        <v/>
      </c>
      <c r="G181" s="206" t="str">
        <f>IFERROR(VLOOKUP($C181,'PORTIFÓLIO'!C:V,5,0),"")</f>
        <v/>
      </c>
      <c r="H181" s="247" t="str">
        <f t="array" ref="H181">IFERROR(INDEX('PORTIFÓLIO'!$H$4:$H$433,MATCH($C181,'PORTIFÓLIO'!$C$4:$C$433,0)),"")</f>
        <v/>
      </c>
      <c r="I181" s="257"/>
      <c r="J181" s="209">
        <f t="shared" si="20"/>
        <v>0</v>
      </c>
      <c r="K181" s="210" t="str">
        <f t="array" ref="K181">IFERROR(I181*INDEX('PORTIFÓLIO'!$S$4:$S$433,MATCH($C181,'PORTIFÓLIO'!$C$4:$C$433,0)),"")</f>
        <v/>
      </c>
      <c r="L181" s="210" t="str">
        <f t="array" ref="L181">IFERROR(J181*INDEX('PORTIFÓLIO'!$S$4:$S$433,MATCH($C181,'PORTIFÓLIO'!$C$4:$C$433,0)),"")</f>
        <v/>
      </c>
      <c r="M181" s="177"/>
      <c r="N181" s="177"/>
      <c r="O181" s="177"/>
      <c r="P181" s="177"/>
      <c r="Q181" s="177"/>
      <c r="R181" s="177"/>
      <c r="S181" s="177"/>
      <c r="T181" s="177"/>
      <c r="U181" s="177"/>
      <c r="V181" s="177"/>
      <c r="W181" s="177"/>
    </row>
    <row r="182" ht="15.75" customHeight="1">
      <c r="A182" s="221" t="s">
        <v>1194</v>
      </c>
      <c r="B182" s="197"/>
      <c r="C182" s="196"/>
      <c r="D182" s="198"/>
      <c r="E182" s="196"/>
      <c r="F182" s="196"/>
      <c r="G182" s="199"/>
      <c r="H182" s="199"/>
      <c r="I182" s="252"/>
      <c r="J182" s="202"/>
      <c r="K182" s="203">
        <f t="shared" ref="K182:L182" si="21">SUBTOTAL(9,K183:K196)</f>
        <v>339.9254902</v>
      </c>
      <c r="L182" s="203">
        <f t="shared" si="21"/>
        <v>37391.80392</v>
      </c>
      <c r="M182" s="177"/>
      <c r="N182" s="177"/>
      <c r="O182" s="177"/>
      <c r="P182" s="177"/>
      <c r="Q182" s="177"/>
      <c r="R182" s="177"/>
      <c r="S182" s="177"/>
      <c r="T182" s="177"/>
      <c r="U182" s="177"/>
      <c r="V182" s="177"/>
      <c r="W182" s="177"/>
    </row>
    <row r="183" ht="15.75" customHeight="1" outlineLevel="1">
      <c r="A183" s="191"/>
      <c r="B183" s="204" t="s">
        <v>10</v>
      </c>
      <c r="C183" s="191" t="s">
        <v>1195</v>
      </c>
      <c r="D183" s="205" t="str">
        <f>IFERROR(VLOOKUP($C183,'PORTIFÓLIO'!C:V,2,0),"")</f>
        <v/>
      </c>
      <c r="E183" s="190" t="str">
        <f>IFERROR(VLOOKUP($C183,'PORTIFÓLIO'!C:V,3,0),"")</f>
        <v/>
      </c>
      <c r="F183" s="190" t="str">
        <f>IFERROR(VLOOKUP($C183,'PORTIFÓLIO'!C:V,4,0),"")</f>
        <v>R$/Ha</v>
      </c>
      <c r="G183" s="206">
        <f t="array" ref="G183">IFERROR(INDEX('PORTIFÓLIO'!$H$4:$H$433,MATCH($C183,'PORTIFÓLIO'!$C$4:$C$433,0)),"")</f>
        <v>0.3267973856</v>
      </c>
      <c r="H183" s="247">
        <f t="array" ref="H183">IFERROR(INDEX('PORTIFÓLIO'!$H$4:$H$433,MATCH($C183,'PORTIFÓLIO'!$C$4:$C$433,0)),"")</f>
        <v>0.3267973856</v>
      </c>
      <c r="I183" s="253">
        <v>0.32</v>
      </c>
      <c r="J183" s="209">
        <f t="shared" ref="J183:J199" si="22">I183*$B$2</f>
        <v>35.2</v>
      </c>
      <c r="K183" s="210">
        <f t="array" ref="K183">IFERROR(I183*INDEX('PORTIFÓLIO'!$S$4:$S$433,MATCH($C183,'PORTIFÓLIO'!$C$4:$C$433,0)),"")</f>
        <v>36</v>
      </c>
      <c r="L183" s="210">
        <f t="array" ref="L183">IFERROR(J183*INDEX('PORTIFÓLIO'!$S$4:$S$433,MATCH($C183,'PORTIFÓLIO'!$C$4:$C$433,0)),"")</f>
        <v>3960</v>
      </c>
      <c r="M183" s="177"/>
      <c r="N183" s="177"/>
      <c r="O183" s="177"/>
      <c r="P183" s="177"/>
      <c r="Q183" s="177"/>
      <c r="R183" s="177"/>
      <c r="S183" s="177"/>
      <c r="T183" s="177"/>
      <c r="U183" s="177"/>
      <c r="V183" s="177"/>
      <c r="W183" s="177"/>
    </row>
    <row r="184" ht="15.75" customHeight="1" outlineLevel="1">
      <c r="A184" s="190"/>
      <c r="B184" s="204" t="s">
        <v>10</v>
      </c>
      <c r="C184" s="191" t="s">
        <v>1196</v>
      </c>
      <c r="D184" s="205" t="str">
        <f>IFERROR(VLOOKUP($C184,'PORTIFÓLIO'!C:V,2,0),"")</f>
        <v/>
      </c>
      <c r="E184" s="190" t="str">
        <f>IFERROR(VLOOKUP($C184,'PORTIFÓLIO'!C:V,3,0),"")</f>
        <v/>
      </c>
      <c r="F184" s="190" t="str">
        <f>IFERROR(VLOOKUP($C184,'PORTIFÓLIO'!C:V,4,0),"")</f>
        <v>R$/Ha</v>
      </c>
      <c r="G184" s="206">
        <f t="array" ref="G184">IFERROR(INDEX('PORTIFÓLIO'!$H$4:$H$433,MATCH($C184,'PORTIFÓLIO'!$C$4:$C$433,0)),"")</f>
        <v>0.04901960784</v>
      </c>
      <c r="H184" s="247">
        <f t="array" ref="H184">IFERROR(INDEX('PORTIFÓLIO'!$H$4:$H$433,MATCH($C184,'PORTIFÓLIO'!$C$4:$C$433,0)),"")</f>
        <v>0.04901960784</v>
      </c>
      <c r="I184" s="257">
        <f>G184*4</f>
        <v>0.1960784314</v>
      </c>
      <c r="J184" s="209">
        <f t="shared" si="22"/>
        <v>21.56862745</v>
      </c>
      <c r="K184" s="210">
        <f t="array" ref="K184">IFERROR(I184*INDEX('PORTIFÓLIO'!$S$4:$S$433,MATCH($C184,'PORTIFÓLIO'!$C$4:$C$433,0)),"")</f>
        <v>22.05882353</v>
      </c>
      <c r="L184" s="210">
        <f t="array" ref="L184">IFERROR(J184*INDEX('PORTIFÓLIO'!$S$4:$S$433,MATCH($C184,'PORTIFÓLIO'!$C$4:$C$433,0)),"")</f>
        <v>2426.470588</v>
      </c>
      <c r="M184" s="177"/>
      <c r="N184" s="177"/>
      <c r="O184" s="177"/>
      <c r="P184" s="177"/>
      <c r="Q184" s="177"/>
      <c r="R184" s="177"/>
      <c r="S184" s="177"/>
      <c r="T184" s="177"/>
      <c r="U184" s="177"/>
      <c r="V184" s="177"/>
      <c r="W184" s="177"/>
    </row>
    <row r="185" ht="15.75" customHeight="1" outlineLevel="1">
      <c r="A185" s="190"/>
      <c r="B185" s="204" t="s">
        <v>10</v>
      </c>
      <c r="C185" s="191" t="s">
        <v>1197</v>
      </c>
      <c r="D185" s="205" t="str">
        <f>IFERROR(VLOOKUP($C185,'PORTIFÓLIO'!C:V,2,0),"")</f>
        <v/>
      </c>
      <c r="E185" s="190" t="str">
        <f>IFERROR(VLOOKUP($C185,'PORTIFÓLIO'!C:V,3,0),"")</f>
        <v/>
      </c>
      <c r="F185" s="190" t="str">
        <f>IFERROR(VLOOKUP($C185,'PORTIFÓLIO'!C:V,4,0),"")</f>
        <v>R$/Ha</v>
      </c>
      <c r="G185" s="206">
        <f t="array" ref="G185">IFERROR(INDEX('PORTIFÓLIO'!$H$4:$H$433,MATCH($C185,'PORTIFÓLIO'!$C$4:$C$433,0)),"")</f>
        <v>0.01960784314</v>
      </c>
      <c r="H185" s="247">
        <f t="array" ref="H185">IFERROR(INDEX('PORTIFÓLIO'!$H$4:$H$433,MATCH($C185,'PORTIFÓLIO'!$C$4:$C$433,0)),"")</f>
        <v>0.01960784314</v>
      </c>
      <c r="I185" s="257">
        <f>G185*3</f>
        <v>0.05882352941</v>
      </c>
      <c r="J185" s="209">
        <f t="shared" si="22"/>
        <v>6.470588235</v>
      </c>
      <c r="K185" s="210">
        <f t="array" ref="K185">IFERROR(I185*INDEX('PORTIFÓLIO'!$S$4:$S$433,MATCH($C185,'PORTIFÓLIO'!$C$4:$C$433,0)),"")</f>
        <v>7.5</v>
      </c>
      <c r="L185" s="210">
        <f t="array" ref="L185">IFERROR(J185*INDEX('PORTIFÓLIO'!$S$4:$S$433,MATCH($C185,'PORTIFÓLIO'!$C$4:$C$433,0)),"")</f>
        <v>825</v>
      </c>
      <c r="M185" s="177"/>
      <c r="N185" s="177"/>
      <c r="O185" s="177"/>
      <c r="P185" s="177"/>
      <c r="Q185" s="177"/>
      <c r="R185" s="177"/>
      <c r="S185" s="177"/>
      <c r="T185" s="177"/>
      <c r="U185" s="177"/>
      <c r="V185" s="177"/>
      <c r="W185" s="177"/>
    </row>
    <row r="186" ht="15.75" customHeight="1" outlineLevel="1">
      <c r="A186" s="190"/>
      <c r="B186" s="204" t="s">
        <v>10</v>
      </c>
      <c r="C186" s="191" t="s">
        <v>1198</v>
      </c>
      <c r="D186" s="205" t="str">
        <f>IFERROR(VLOOKUP($C186,'PORTIFÓLIO'!C:V,2,0),"")</f>
        <v/>
      </c>
      <c r="E186" s="190" t="str">
        <f>IFERROR(VLOOKUP($C186,'PORTIFÓLIO'!C:V,3,0),"")</f>
        <v/>
      </c>
      <c r="F186" s="190" t="str">
        <f>IFERROR(VLOOKUP($C186,'PORTIFÓLIO'!C:V,4,0),"")</f>
        <v>R$/Ha</v>
      </c>
      <c r="G186" s="206">
        <f t="array" ref="G186">IFERROR(INDEX('PORTIFÓLIO'!$H$4:$H$433,MATCH($C186,'PORTIFÓLIO'!$C$4:$C$433,0)),"")</f>
        <v>0.006666666667</v>
      </c>
      <c r="H186" s="247">
        <f t="array" ref="H186">IFERROR(INDEX('PORTIFÓLIO'!$H$4:$H$433,MATCH($C186,'PORTIFÓLIO'!$C$4:$C$433,0)),"")</f>
        <v>0.006666666667</v>
      </c>
      <c r="I186" s="257">
        <f>G186*5</f>
        <v>0.03333333333</v>
      </c>
      <c r="J186" s="209">
        <f t="shared" si="22"/>
        <v>3.666666667</v>
      </c>
      <c r="K186" s="210">
        <f t="array" ref="K186">IFERROR(I186*INDEX('PORTIFÓLIO'!$S$4:$S$433,MATCH($C186,'PORTIFÓLIO'!$C$4:$C$433,0)),"")</f>
        <v>166.6666667</v>
      </c>
      <c r="L186" s="210">
        <f t="array" ref="L186">IFERROR(J186*INDEX('PORTIFÓLIO'!$S$4:$S$433,MATCH($C186,'PORTIFÓLIO'!$C$4:$C$433,0)),"")</f>
        <v>18333.33333</v>
      </c>
      <c r="M186" s="177"/>
      <c r="N186" s="177"/>
      <c r="O186" s="177"/>
      <c r="P186" s="177"/>
      <c r="Q186" s="177"/>
      <c r="R186" s="177"/>
      <c r="S186" s="177"/>
      <c r="T186" s="177"/>
      <c r="U186" s="177"/>
      <c r="V186" s="177"/>
      <c r="W186" s="177"/>
    </row>
    <row r="187" ht="15.75" customHeight="1" outlineLevel="1">
      <c r="A187" s="190"/>
      <c r="B187" s="204" t="s">
        <v>10</v>
      </c>
      <c r="C187" s="191" t="s">
        <v>1199</v>
      </c>
      <c r="D187" s="205" t="str">
        <f>IFERROR(VLOOKUP($C187,'PORTIFÓLIO'!C:V,2,0),"")</f>
        <v/>
      </c>
      <c r="E187" s="190" t="str">
        <f>IFERROR(VLOOKUP($C187,'PORTIFÓLIO'!C:V,3,0),"")</f>
        <v/>
      </c>
      <c r="F187" s="190" t="str">
        <f>IFERROR(VLOOKUP($C187,'PORTIFÓLIO'!C:V,4,0),"")</f>
        <v>R$/Ha</v>
      </c>
      <c r="G187" s="206">
        <f t="array" ref="G187">IFERROR(INDEX('PORTIFÓLIO'!$H$4:$H$433,MATCH($C187,'PORTIFÓLIO'!$C$4:$C$433,0)),"")</f>
        <v>0.08169934641</v>
      </c>
      <c r="H187" s="247">
        <f t="array" ref="H187">IFERROR(INDEX('PORTIFÓLIO'!$H$4:$H$433,MATCH($C187,'PORTIFÓLIO'!$C$4:$C$433,0)),"")</f>
        <v>0.08169934641</v>
      </c>
      <c r="I187" s="253">
        <v>0.081</v>
      </c>
      <c r="J187" s="209">
        <f t="shared" si="22"/>
        <v>8.91</v>
      </c>
      <c r="K187" s="210">
        <f t="array" ref="K187">IFERROR(I187*INDEX('PORTIFÓLIO'!$S$4:$S$433,MATCH($C187,'PORTIFÓLIO'!$C$4:$C$433,0)),"")</f>
        <v>36.45</v>
      </c>
      <c r="L187" s="210">
        <f t="array" ref="L187">IFERROR(J187*INDEX('PORTIFÓLIO'!$S$4:$S$433,MATCH($C187,'PORTIFÓLIO'!$C$4:$C$433,0)),"")</f>
        <v>4009.5</v>
      </c>
      <c r="M187" s="177"/>
      <c r="N187" s="177"/>
      <c r="O187" s="177"/>
      <c r="P187" s="177"/>
      <c r="Q187" s="177"/>
      <c r="R187" s="177"/>
      <c r="S187" s="177"/>
      <c r="T187" s="177"/>
      <c r="U187" s="177"/>
      <c r="V187" s="177"/>
      <c r="W187" s="177"/>
    </row>
    <row r="188" ht="15.75" customHeight="1" outlineLevel="1">
      <c r="A188" s="190"/>
      <c r="B188" s="204" t="s">
        <v>10</v>
      </c>
      <c r="C188" s="191" t="s">
        <v>1200</v>
      </c>
      <c r="D188" s="205" t="str">
        <f>IFERROR(VLOOKUP($C188,'PORTIFÓLIO'!C:V,2,0),"")</f>
        <v/>
      </c>
      <c r="E188" s="190" t="str">
        <f>IFERROR(VLOOKUP($C188,'PORTIFÓLIO'!C:V,3,0),"")</f>
        <v/>
      </c>
      <c r="F188" s="190" t="str">
        <f>IFERROR(VLOOKUP($C188,'PORTIFÓLIO'!C:V,4,0),"")</f>
        <v>R$/Ha</v>
      </c>
      <c r="G188" s="206">
        <f t="array" ref="G188">IFERROR(INDEX('PORTIFÓLIO'!$H$4:$H$433,MATCH($C188,'PORTIFÓLIO'!$C$4:$C$433,0)),"")</f>
        <v>0.1508295626</v>
      </c>
      <c r="H188" s="247">
        <f t="array" ref="H188">IFERROR(INDEX('PORTIFÓLIO'!$H$4:$H$433,MATCH($C188,'PORTIFÓLIO'!$C$4:$C$433,0)),"")</f>
        <v>0.1508295626</v>
      </c>
      <c r="I188" s="253">
        <v>0.15</v>
      </c>
      <c r="J188" s="209">
        <f t="shared" si="22"/>
        <v>16.5</v>
      </c>
      <c r="K188" s="210">
        <f t="array" ref="K188">IFERROR(I188*INDEX('PORTIFÓLIO'!$S$4:$S$433,MATCH($C188,'PORTIFÓLIO'!$C$4:$C$433,0)),"")</f>
        <v>56.25</v>
      </c>
      <c r="L188" s="210">
        <f t="array" ref="L188">IFERROR(J188*INDEX('PORTIFÓLIO'!$S$4:$S$433,MATCH($C188,'PORTIFÓLIO'!$C$4:$C$433,0)),"")</f>
        <v>6187.5</v>
      </c>
      <c r="M188" s="177"/>
      <c r="N188" s="177"/>
      <c r="O188" s="177"/>
      <c r="P188" s="177"/>
      <c r="Q188" s="177"/>
      <c r="R188" s="177"/>
      <c r="S188" s="177"/>
      <c r="T188" s="177"/>
      <c r="U188" s="177"/>
      <c r="V188" s="177"/>
      <c r="W188" s="177"/>
    </row>
    <row r="189" ht="15.75" customHeight="1" outlineLevel="1">
      <c r="A189" s="190"/>
      <c r="B189" s="204" t="s">
        <v>10</v>
      </c>
      <c r="C189" s="191" t="s">
        <v>1201</v>
      </c>
      <c r="D189" s="205" t="str">
        <f>IFERROR(VLOOKUP($C189,'PORTIFÓLIO'!C:V,2,0),"")</f>
        <v/>
      </c>
      <c r="E189" s="190" t="str">
        <f>IFERROR(VLOOKUP($C189,'PORTIFÓLIO'!C:V,3,0),"")</f>
        <v/>
      </c>
      <c r="F189" s="190" t="str">
        <f>IFERROR(VLOOKUP($C189,'PORTIFÓLIO'!C:V,4,0),"")</f>
        <v>R$/Ha</v>
      </c>
      <c r="G189" s="206">
        <f t="array" ref="G189">IFERROR(INDEX('PORTIFÓLIO'!$H$4:$H$433,MATCH($C189,'PORTIFÓLIO'!$C$4:$C$433,0)),"")</f>
        <v>0.001367989056</v>
      </c>
      <c r="H189" s="247">
        <f t="array" ref="H189">IFERROR(INDEX('PORTIFÓLIO'!$H$4:$H$433,MATCH($C189,'PORTIFÓLIO'!$C$4:$C$433,0)),"")</f>
        <v>0.001367989056</v>
      </c>
      <c r="I189" s="253">
        <v>0.1</v>
      </c>
      <c r="J189" s="209">
        <f t="shared" si="22"/>
        <v>11</v>
      </c>
      <c r="K189" s="210">
        <f t="array" ref="K189">IFERROR(I189*INDEX('PORTIFÓLIO'!$S$4:$S$433,MATCH($C189,'PORTIFÓLIO'!$C$4:$C$433,0)),"")</f>
        <v>15</v>
      </c>
      <c r="L189" s="210">
        <f t="array" ref="L189">IFERROR(J189*INDEX('PORTIFÓLIO'!$S$4:$S$433,MATCH($C189,'PORTIFÓLIO'!$C$4:$C$433,0)),"")</f>
        <v>1650</v>
      </c>
      <c r="M189" s="177"/>
      <c r="N189" s="177"/>
      <c r="O189" s="177"/>
      <c r="P189" s="177"/>
      <c r="Q189" s="177"/>
      <c r="R189" s="177"/>
      <c r="S189" s="177"/>
      <c r="T189" s="177"/>
      <c r="U189" s="177"/>
      <c r="V189" s="177"/>
      <c r="W189" s="177"/>
    </row>
    <row r="190" ht="15.75" customHeight="1" outlineLevel="1">
      <c r="A190" s="190"/>
      <c r="B190" s="204"/>
      <c r="C190" s="191"/>
      <c r="D190" s="205" t="str">
        <f>IFERROR(VLOOKUP($C190,'PORTIFÓLIO'!C:V,2,0),"")</f>
        <v/>
      </c>
      <c r="E190" s="190" t="str">
        <f>IFERROR(VLOOKUP($C190,'PORTIFÓLIO'!C:V,3,0),"")</f>
        <v/>
      </c>
      <c r="F190" s="190" t="str">
        <f>IFERROR(VLOOKUP($C190,'PORTIFÓLIO'!C:V,4,0),"")</f>
        <v/>
      </c>
      <c r="G190" s="206" t="str">
        <f>IFERROR(VLOOKUP($C190,'PORTIFÓLIO'!C:V,5,0),"")</f>
        <v/>
      </c>
      <c r="H190" s="247" t="str">
        <f t="array" ref="H190">IFERROR(INDEX('PORTIFÓLIO'!$H$4:$H$433,MATCH($C190,'PORTIFÓLIO'!$C$4:$C$433,0)),"")</f>
        <v/>
      </c>
      <c r="I190" s="257"/>
      <c r="J190" s="209">
        <f t="shared" si="22"/>
        <v>0</v>
      </c>
      <c r="K190" s="210" t="str">
        <f t="array" ref="K190">IFERROR(I190*INDEX('PORTIFÓLIO'!$S$4:$S$433,MATCH($C190,'PORTIFÓLIO'!$C$4:$C$433,0)),"")</f>
        <v/>
      </c>
      <c r="L190" s="210" t="str">
        <f t="array" ref="L190">IFERROR(J190*INDEX('PORTIFÓLIO'!$S$4:$S$433,MATCH($C190,'PORTIFÓLIO'!$C$4:$C$433,0)),"")</f>
        <v/>
      </c>
      <c r="M190" s="177"/>
      <c r="N190" s="177"/>
      <c r="O190" s="177"/>
      <c r="P190" s="177"/>
      <c r="Q190" s="177"/>
      <c r="R190" s="177"/>
      <c r="S190" s="177"/>
      <c r="T190" s="177"/>
      <c r="U190" s="177"/>
      <c r="V190" s="177"/>
      <c r="W190" s="177"/>
    </row>
    <row r="191" ht="15.75" customHeight="1" outlineLevel="1">
      <c r="A191" s="190"/>
      <c r="B191" s="204"/>
      <c r="C191" s="191"/>
      <c r="D191" s="205" t="str">
        <f>IFERROR(VLOOKUP($C191,'PORTIFÓLIO'!C:V,2,0),"")</f>
        <v/>
      </c>
      <c r="E191" s="190" t="str">
        <f>IFERROR(VLOOKUP($C191,'PORTIFÓLIO'!C:V,3,0),"")</f>
        <v/>
      </c>
      <c r="F191" s="190" t="str">
        <f>IFERROR(VLOOKUP($C191,'PORTIFÓLIO'!C:V,4,0),"")</f>
        <v/>
      </c>
      <c r="G191" s="206" t="str">
        <f>IFERROR(VLOOKUP($C191,'PORTIFÓLIO'!C:V,5,0),"")</f>
        <v/>
      </c>
      <c r="H191" s="247" t="str">
        <f t="array" ref="H191">IFERROR(INDEX('PORTIFÓLIO'!$H$4:$H$433,MATCH($C191,'PORTIFÓLIO'!$C$4:$C$433,0)),"")</f>
        <v/>
      </c>
      <c r="I191" s="253"/>
      <c r="J191" s="209">
        <f t="shared" si="22"/>
        <v>0</v>
      </c>
      <c r="K191" s="210" t="str">
        <f t="array" ref="K191">IFERROR(I191*INDEX('PORTIFÓLIO'!$S$4:$S$433,MATCH($C191,'PORTIFÓLIO'!$C$4:$C$433,0)),"")</f>
        <v/>
      </c>
      <c r="L191" s="210" t="str">
        <f t="array" ref="L191">IFERROR(J191*INDEX('PORTIFÓLIO'!$S$4:$S$433,MATCH($C191,'PORTIFÓLIO'!$C$4:$C$433,0)),"")</f>
        <v/>
      </c>
      <c r="M191" s="177"/>
      <c r="N191" s="177"/>
      <c r="O191" s="177"/>
      <c r="P191" s="177"/>
      <c r="Q191" s="177"/>
      <c r="R191" s="177"/>
      <c r="S191" s="177"/>
      <c r="T191" s="177"/>
      <c r="U191" s="177"/>
      <c r="V191" s="177"/>
      <c r="W191" s="177"/>
    </row>
    <row r="192" ht="15.75" customHeight="1" outlineLevel="1">
      <c r="A192" s="190"/>
      <c r="B192" s="204"/>
      <c r="C192" s="191"/>
      <c r="D192" s="205" t="str">
        <f>IFERROR(VLOOKUP($C192,'PORTIFÓLIO'!C:V,2,0),"")</f>
        <v/>
      </c>
      <c r="E192" s="190" t="str">
        <f>IFERROR(VLOOKUP($C192,'PORTIFÓLIO'!C:V,3,0),"")</f>
        <v/>
      </c>
      <c r="F192" s="190" t="str">
        <f>IFERROR(VLOOKUP($C192,'PORTIFÓLIO'!C:V,4,0),"")</f>
        <v/>
      </c>
      <c r="G192" s="206" t="str">
        <f>IFERROR(VLOOKUP($C192,'PORTIFÓLIO'!C:V,5,0),"")</f>
        <v/>
      </c>
      <c r="H192" s="247" t="str">
        <f t="array" ref="H192">IFERROR(INDEX('PORTIFÓLIO'!$H$4:$H$433,MATCH($C192,'PORTIFÓLIO'!$C$4:$C$433,0)),"")</f>
        <v/>
      </c>
      <c r="I192" s="257"/>
      <c r="J192" s="209">
        <f t="shared" si="22"/>
        <v>0</v>
      </c>
      <c r="K192" s="210" t="str">
        <f t="array" ref="K192">IFERROR(I192*INDEX('PORTIFÓLIO'!$S$4:$S$433,MATCH($C192,'PORTIFÓLIO'!$C$4:$C$433,0)),"")</f>
        <v/>
      </c>
      <c r="L192" s="210" t="str">
        <f t="array" ref="L192">IFERROR(J192*INDEX('PORTIFÓLIO'!$S$4:$S$433,MATCH($C192,'PORTIFÓLIO'!$C$4:$C$433,0)),"")</f>
        <v/>
      </c>
      <c r="M192" s="177"/>
      <c r="N192" s="177"/>
      <c r="O192" s="177"/>
      <c r="P192" s="177"/>
      <c r="Q192" s="177"/>
      <c r="R192" s="177"/>
      <c r="S192" s="177"/>
      <c r="T192" s="177"/>
      <c r="U192" s="177"/>
      <c r="V192" s="177"/>
      <c r="W192" s="177"/>
    </row>
    <row r="193" ht="15.75" customHeight="1" outlineLevel="1">
      <c r="A193" s="190"/>
      <c r="B193" s="204"/>
      <c r="C193" s="191"/>
      <c r="D193" s="205" t="str">
        <f>IFERROR(VLOOKUP($C193,'PORTIFÓLIO'!C:V,2,0),"")</f>
        <v/>
      </c>
      <c r="E193" s="190" t="str">
        <f>IFERROR(VLOOKUP($C193,'PORTIFÓLIO'!C:V,3,0),"")</f>
        <v/>
      </c>
      <c r="F193" s="190" t="str">
        <f>IFERROR(VLOOKUP($C193,'PORTIFÓLIO'!C:V,4,0),"")</f>
        <v/>
      </c>
      <c r="G193" s="206" t="str">
        <f>IFERROR(VLOOKUP($C193,'PORTIFÓLIO'!C:V,5,0),"")</f>
        <v/>
      </c>
      <c r="H193" s="247" t="str">
        <f t="array" ref="H193">IFERROR(INDEX('PORTIFÓLIO'!$H$4:$H$433,MATCH($C193,'PORTIFÓLIO'!$C$4:$C$433,0)),"")</f>
        <v/>
      </c>
      <c r="I193" s="257"/>
      <c r="J193" s="209">
        <f t="shared" si="22"/>
        <v>0</v>
      </c>
      <c r="K193" s="210" t="str">
        <f t="array" ref="K193">IFERROR(I193*INDEX('PORTIFÓLIO'!$S$4:$S$433,MATCH($C193,'PORTIFÓLIO'!$C$4:$C$433,0)),"")</f>
        <v/>
      </c>
      <c r="L193" s="210" t="str">
        <f t="array" ref="L193">IFERROR(J193*INDEX('PORTIFÓLIO'!$S$4:$S$433,MATCH($C193,'PORTIFÓLIO'!$C$4:$C$433,0)),"")</f>
        <v/>
      </c>
      <c r="M193" s="177"/>
      <c r="N193" s="177"/>
      <c r="O193" s="177"/>
      <c r="P193" s="177"/>
      <c r="Q193" s="177"/>
      <c r="R193" s="177"/>
      <c r="S193" s="177"/>
      <c r="T193" s="177"/>
      <c r="U193" s="177"/>
      <c r="V193" s="177"/>
      <c r="W193" s="177"/>
    </row>
    <row r="194" ht="15.75" customHeight="1" outlineLevel="1">
      <c r="A194" s="190"/>
      <c r="B194" s="204"/>
      <c r="C194" s="191"/>
      <c r="D194" s="205" t="str">
        <f>IFERROR(VLOOKUP($C194,'PORTIFÓLIO'!C:V,2,0),"")</f>
        <v/>
      </c>
      <c r="E194" s="190" t="str">
        <f>IFERROR(VLOOKUP($C194,'PORTIFÓLIO'!C:V,3,0),"")</f>
        <v/>
      </c>
      <c r="F194" s="190" t="str">
        <f>IFERROR(VLOOKUP($C194,'PORTIFÓLIO'!C:V,4,0),"")</f>
        <v/>
      </c>
      <c r="G194" s="206" t="str">
        <f>IFERROR(VLOOKUP($C194,'PORTIFÓLIO'!C:V,5,0),"")</f>
        <v/>
      </c>
      <c r="H194" s="247" t="str">
        <f t="array" ref="H194">IFERROR(INDEX('PORTIFÓLIO'!$H$4:$H$433,MATCH($C194,'PORTIFÓLIO'!$C$4:$C$433,0)),"")</f>
        <v/>
      </c>
      <c r="I194" s="257"/>
      <c r="J194" s="209">
        <f t="shared" si="22"/>
        <v>0</v>
      </c>
      <c r="K194" s="210" t="str">
        <f t="array" ref="K194">IFERROR(I194*INDEX('PORTIFÓLIO'!$S$4:$S$433,MATCH($C194,'PORTIFÓLIO'!$C$4:$C$433,0)),"")</f>
        <v/>
      </c>
      <c r="L194" s="210" t="str">
        <f t="array" ref="L194">IFERROR(J194*INDEX('PORTIFÓLIO'!$S$4:$S$433,MATCH($C194,'PORTIFÓLIO'!$C$4:$C$433,0)),"")</f>
        <v/>
      </c>
      <c r="M194" s="177"/>
      <c r="N194" s="177"/>
      <c r="O194" s="177"/>
      <c r="P194" s="177"/>
      <c r="Q194" s="177"/>
      <c r="R194" s="177"/>
      <c r="S194" s="177"/>
      <c r="T194" s="177"/>
      <c r="U194" s="177"/>
      <c r="V194" s="177"/>
      <c r="W194" s="177"/>
    </row>
    <row r="195" ht="15.75" customHeight="1" outlineLevel="1">
      <c r="A195" s="190"/>
      <c r="B195" s="204"/>
      <c r="C195" s="191"/>
      <c r="D195" s="205" t="str">
        <f>IFERROR(VLOOKUP($C195,'PORTIFÓLIO'!C:V,2,0),"")</f>
        <v/>
      </c>
      <c r="E195" s="190" t="str">
        <f>IFERROR(VLOOKUP($C195,'PORTIFÓLIO'!C:V,3,0),"")</f>
        <v/>
      </c>
      <c r="F195" s="190" t="str">
        <f>IFERROR(VLOOKUP($C195,'PORTIFÓLIO'!C:V,4,0),"")</f>
        <v/>
      </c>
      <c r="G195" s="206" t="str">
        <f>IFERROR(VLOOKUP($C195,'PORTIFÓLIO'!C:V,5,0),"")</f>
        <v/>
      </c>
      <c r="H195" s="247" t="str">
        <f t="array" ref="H195">IFERROR(INDEX('PORTIFÓLIO'!$H$4:$H$433,MATCH($C195,'PORTIFÓLIO'!$C$4:$C$433,0)),"")</f>
        <v/>
      </c>
      <c r="I195" s="257"/>
      <c r="J195" s="209">
        <f t="shared" si="22"/>
        <v>0</v>
      </c>
      <c r="K195" s="210" t="str">
        <f t="array" ref="K195">IFERROR(I195*INDEX('PORTIFÓLIO'!$S$4:$S$433,MATCH($C195,'PORTIFÓLIO'!$C$4:$C$433,0)),"")</f>
        <v/>
      </c>
      <c r="L195" s="210" t="str">
        <f t="array" ref="L195">IFERROR(J195*INDEX('PORTIFÓLIO'!$S$4:$S$433,MATCH($C195,'PORTIFÓLIO'!$C$4:$C$433,0)),"")</f>
        <v/>
      </c>
      <c r="M195" s="177"/>
      <c r="N195" s="177"/>
      <c r="O195" s="177"/>
      <c r="P195" s="177"/>
      <c r="Q195" s="177"/>
      <c r="R195" s="177"/>
      <c r="S195" s="177"/>
      <c r="T195" s="177"/>
      <c r="U195" s="177"/>
      <c r="V195" s="177"/>
      <c r="W195" s="177"/>
    </row>
    <row r="196" ht="15.75" customHeight="1" outlineLevel="1">
      <c r="A196" s="190"/>
      <c r="B196" s="204"/>
      <c r="C196" s="191"/>
      <c r="D196" s="205" t="str">
        <f>IFERROR(VLOOKUP($C196,'PORTIFÓLIO'!C:V,2,0),"")</f>
        <v/>
      </c>
      <c r="E196" s="190" t="str">
        <f>IFERROR(VLOOKUP($C196,'PORTIFÓLIO'!C:V,3,0),"")</f>
        <v/>
      </c>
      <c r="F196" s="190" t="str">
        <f>IFERROR(VLOOKUP($C196,'PORTIFÓLIO'!C:V,4,0),"")</f>
        <v/>
      </c>
      <c r="G196" s="206" t="str">
        <f>IFERROR(VLOOKUP($C196,'PORTIFÓLIO'!C:V,5,0),"")</f>
        <v/>
      </c>
      <c r="H196" s="247" t="str">
        <f t="array" ref="H196">IFERROR(INDEX('PORTIFÓLIO'!$H$4:$H$433,MATCH($C196,'PORTIFÓLIO'!$C$4:$C$433,0)),"")</f>
        <v/>
      </c>
      <c r="I196" s="257"/>
      <c r="J196" s="209">
        <f t="shared" si="22"/>
        <v>0</v>
      </c>
      <c r="K196" s="210" t="str">
        <f t="array" ref="K196">IFERROR(I196*INDEX('PORTIFÓLIO'!$S$4:$S$433,MATCH($C196,'PORTIFÓLIO'!$C$4:$C$433,0)),"")</f>
        <v/>
      </c>
      <c r="L196" s="210" t="str">
        <f t="array" ref="L196">IFERROR(J196*INDEX('PORTIFÓLIO'!$S$4:$S$433,MATCH($C196,'PORTIFÓLIO'!$C$4:$C$433,0)),"")</f>
        <v/>
      </c>
      <c r="M196" s="177"/>
      <c r="N196" s="177"/>
      <c r="O196" s="177"/>
      <c r="P196" s="177"/>
      <c r="Q196" s="177"/>
      <c r="R196" s="177"/>
      <c r="S196" s="177"/>
      <c r="T196" s="177"/>
      <c r="U196" s="177"/>
      <c r="V196" s="177"/>
      <c r="W196" s="177"/>
    </row>
    <row r="197" ht="15.75" customHeight="1" outlineLevel="1">
      <c r="A197" s="190"/>
      <c r="B197" s="204"/>
      <c r="C197" s="191"/>
      <c r="D197" s="205" t="str">
        <f>IFERROR(VLOOKUP($C197,'PORTIFÓLIO'!C:V,2,0),"")</f>
        <v/>
      </c>
      <c r="E197" s="190" t="str">
        <f>IFERROR(VLOOKUP($C197,'PORTIFÓLIO'!C:V,3,0),"")</f>
        <v/>
      </c>
      <c r="F197" s="190" t="str">
        <f>IFERROR(VLOOKUP($C197,'PORTIFÓLIO'!C:V,4,0),"")</f>
        <v/>
      </c>
      <c r="G197" s="206" t="str">
        <f>IFERROR(VLOOKUP($C197,'PORTIFÓLIO'!C:V,5,0),"")</f>
        <v/>
      </c>
      <c r="H197" s="247" t="str">
        <f t="array" ref="H197">IFERROR(INDEX('PORTIFÓLIO'!$H$4:$H$433,MATCH($C197,'PORTIFÓLIO'!$C$4:$C$433,0)),"")</f>
        <v/>
      </c>
      <c r="I197" s="257"/>
      <c r="J197" s="209">
        <f t="shared" si="22"/>
        <v>0</v>
      </c>
      <c r="K197" s="210" t="str">
        <f t="array" ref="K197">IFERROR(I197*INDEX('PORTIFÓLIO'!$S$4:$S$433,MATCH($C197,'PORTIFÓLIO'!$C$4:$C$433,0)),"")</f>
        <v/>
      </c>
      <c r="L197" s="210" t="str">
        <f t="array" ref="L197">IFERROR(J197*INDEX('PORTIFÓLIO'!$S$4:$S$433,MATCH($C197,'PORTIFÓLIO'!$C$4:$C$433,0)),"")</f>
        <v/>
      </c>
      <c r="M197" s="177"/>
      <c r="N197" s="177"/>
      <c r="O197" s="177"/>
      <c r="P197" s="177"/>
      <c r="Q197" s="177"/>
      <c r="R197" s="177"/>
      <c r="S197" s="177"/>
      <c r="T197" s="177"/>
      <c r="U197" s="177"/>
      <c r="V197" s="177"/>
      <c r="W197" s="177"/>
    </row>
    <row r="198" ht="15.75" customHeight="1" outlineLevel="1">
      <c r="A198" s="190"/>
      <c r="B198" s="238"/>
      <c r="C198" s="190"/>
      <c r="D198" s="205" t="str">
        <f>IFERROR(VLOOKUP($C198,'PORTIFÓLIO'!C:V,2,0),"")</f>
        <v/>
      </c>
      <c r="E198" s="190" t="str">
        <f>IFERROR(VLOOKUP($C198,'PORTIFÓLIO'!C:V,3,0),"")</f>
        <v/>
      </c>
      <c r="F198" s="190" t="str">
        <f>IFERROR(VLOOKUP($C198,'PORTIFÓLIO'!C:V,4,0),"")</f>
        <v/>
      </c>
      <c r="G198" s="206" t="str">
        <f>IFERROR(VLOOKUP($C198,'PORTIFÓLIO'!C:V,5,0),"")</f>
        <v/>
      </c>
      <c r="H198" s="247" t="str">
        <f t="array" ref="H198">IFERROR(INDEX('PORTIFÓLIO'!$H$4:$H$433,MATCH($C198,'PORTIFÓLIO'!$C$4:$C$433,0)),"")</f>
        <v/>
      </c>
      <c r="I198" s="257"/>
      <c r="J198" s="209">
        <f t="shared" si="22"/>
        <v>0</v>
      </c>
      <c r="K198" s="210" t="str">
        <f t="array" ref="K198">IFERROR(I198*INDEX('PORTIFÓLIO'!$S$4:$S$433,MATCH($C198,'PORTIFÓLIO'!$C$4:$C$433,0)),"")</f>
        <v/>
      </c>
      <c r="L198" s="210" t="str">
        <f t="array" ref="L198">IFERROR(J198*INDEX('PORTIFÓLIO'!$S$4:$S$433,MATCH($C198,'PORTIFÓLIO'!$C$4:$C$433,0)),"")</f>
        <v/>
      </c>
      <c r="M198" s="177"/>
      <c r="N198" s="177"/>
      <c r="O198" s="177"/>
      <c r="P198" s="177"/>
      <c r="Q198" s="177"/>
      <c r="R198" s="177"/>
      <c r="S198" s="177"/>
      <c r="T198" s="177"/>
      <c r="U198" s="177"/>
      <c r="V198" s="177"/>
      <c r="W198" s="177"/>
    </row>
    <row r="199" ht="15.75" customHeight="1" outlineLevel="1">
      <c r="A199" s="190"/>
      <c r="B199" s="238"/>
      <c r="C199" s="190"/>
      <c r="D199" s="205" t="str">
        <f>IFERROR(VLOOKUP($C199,'PORTIFÓLIO'!C:V,2,0),"")</f>
        <v/>
      </c>
      <c r="E199" s="190" t="str">
        <f>IFERROR(VLOOKUP($C199,'PORTIFÓLIO'!C:V,3,0),"")</f>
        <v/>
      </c>
      <c r="F199" s="190" t="str">
        <f>IFERROR(VLOOKUP($C199,'PORTIFÓLIO'!C:V,4,0),"")</f>
        <v/>
      </c>
      <c r="G199" s="206" t="str">
        <f>IFERROR(VLOOKUP($C199,'PORTIFÓLIO'!C:V,5,0),"")</f>
        <v/>
      </c>
      <c r="H199" s="247" t="str">
        <f t="array" ref="H199">IFERROR(INDEX('PORTIFÓLIO'!$H$4:$H$433,MATCH($C199,'PORTIFÓLIO'!$C$4:$C$433,0)),"")</f>
        <v/>
      </c>
      <c r="I199" s="257"/>
      <c r="J199" s="209">
        <f t="shared" si="22"/>
        <v>0</v>
      </c>
      <c r="K199" s="210" t="str">
        <f t="array" ref="K199">IFERROR(I199*INDEX('PORTIFÓLIO'!$S$4:$S$433,MATCH($C199,'PORTIFÓLIO'!$C$4:$C$433,0)),"")</f>
        <v/>
      </c>
      <c r="L199" s="210" t="str">
        <f t="array" ref="L199">IFERROR(J199*INDEX('PORTIFÓLIO'!$S$4:$S$433,MATCH($C199,'PORTIFÓLIO'!$C$4:$C$433,0)),"")</f>
        <v/>
      </c>
      <c r="M199" s="177"/>
      <c r="N199" s="177"/>
      <c r="O199" s="177"/>
      <c r="P199" s="177"/>
      <c r="Q199" s="177"/>
      <c r="R199" s="177"/>
      <c r="S199" s="177"/>
      <c r="T199" s="177"/>
      <c r="U199" s="177"/>
      <c r="V199" s="177"/>
      <c r="W199" s="177"/>
    </row>
    <row r="200" ht="15.75" customHeight="1">
      <c r="A200" s="221" t="s">
        <v>1202</v>
      </c>
      <c r="B200" s="197"/>
      <c r="C200" s="196"/>
      <c r="D200" s="198"/>
      <c r="E200" s="196"/>
      <c r="F200" s="196"/>
      <c r="G200" s="199"/>
      <c r="H200" s="199"/>
      <c r="I200" s="252"/>
      <c r="J200" s="202"/>
      <c r="K200" s="203">
        <f t="shared" ref="K200:L200" si="23">SUBTOTAL(9,K201:K214)</f>
        <v>0</v>
      </c>
      <c r="L200" s="203">
        <f t="shared" si="23"/>
        <v>0</v>
      </c>
      <c r="M200" s="177"/>
      <c r="N200" s="177"/>
      <c r="O200" s="177"/>
      <c r="P200" s="177"/>
      <c r="Q200" s="177"/>
      <c r="R200" s="177"/>
      <c r="S200" s="177"/>
      <c r="T200" s="177"/>
      <c r="U200" s="177"/>
      <c r="V200" s="177"/>
      <c r="W200" s="177"/>
    </row>
    <row r="201" ht="15.75" customHeight="1" outlineLevel="1">
      <c r="A201" s="191"/>
      <c r="B201" s="204"/>
      <c r="C201" s="191"/>
      <c r="D201" s="205" t="str">
        <f>IFERROR(VLOOKUP($C201,'PORTIFÓLIO'!C:V,2,0),"")</f>
        <v/>
      </c>
      <c r="E201" s="190" t="str">
        <f>IFERROR(VLOOKUP($C201,'PORTIFÓLIO'!C:V,3,0),"")</f>
        <v/>
      </c>
      <c r="F201" s="190" t="str">
        <f>IFERROR(VLOOKUP($C201,'PORTIFÓLIO'!C:V,4,0),"")</f>
        <v/>
      </c>
      <c r="G201" s="206" t="str">
        <f>IFERROR(VLOOKUP($C201,'PORTIFÓLIO'!C:V,5,0),"")</f>
        <v/>
      </c>
      <c r="H201" s="247" t="str">
        <f t="array" ref="H201">IFERROR(INDEX('PORTIFÓLIO'!$H$4:$H$433,MATCH($C201,'PORTIFÓLIO'!$C$4:$C$433,0)),"")</f>
        <v/>
      </c>
      <c r="I201" s="257"/>
      <c r="J201" s="209">
        <f t="shared" ref="J201:J224" si="24">I201*$B$2</f>
        <v>0</v>
      </c>
      <c r="K201" s="210" t="str">
        <f>IFERROR(I201* VLOOKUP($C201,'PORTIFÓLIO'!C:V,10,0),"")</f>
        <v/>
      </c>
      <c r="L201" s="210" t="str">
        <f>IFERROR(J201* VLOOKUP($C201,'PORTIFÓLIO'!C:V,10,0),"")</f>
        <v/>
      </c>
      <c r="M201" s="177"/>
      <c r="N201" s="177"/>
      <c r="O201" s="177"/>
      <c r="P201" s="177"/>
      <c r="Q201" s="177"/>
      <c r="R201" s="177"/>
      <c r="S201" s="177"/>
      <c r="T201" s="177"/>
      <c r="U201" s="177"/>
      <c r="V201" s="177"/>
      <c r="W201" s="177"/>
    </row>
    <row r="202" ht="15.75" customHeight="1" outlineLevel="1">
      <c r="A202" s="190"/>
      <c r="B202" s="204"/>
      <c r="C202" s="191"/>
      <c r="D202" s="205" t="str">
        <f>IFERROR(VLOOKUP($C202,'PORTIFÓLIO'!C:V,2,0),"")</f>
        <v/>
      </c>
      <c r="E202" s="190" t="str">
        <f>IFERROR(VLOOKUP($C202,'PORTIFÓLIO'!C:V,3,0),"")</f>
        <v/>
      </c>
      <c r="F202" s="190" t="str">
        <f>IFERROR(VLOOKUP($C202,'PORTIFÓLIO'!C:V,4,0),"")</f>
        <v/>
      </c>
      <c r="G202" s="206" t="str">
        <f>IFERROR(VLOOKUP($C202,'PORTIFÓLIO'!C:V,5,0),"")</f>
        <v/>
      </c>
      <c r="H202" s="247" t="str">
        <f t="array" ref="H202">IFERROR(INDEX('PORTIFÓLIO'!$H$4:$H$433,MATCH($C202,'PORTIFÓLIO'!$C$4:$C$433,0)),"")</f>
        <v/>
      </c>
      <c r="I202" s="257"/>
      <c r="J202" s="209">
        <f t="shared" si="24"/>
        <v>0</v>
      </c>
      <c r="K202" s="210" t="str">
        <f>IFERROR(I202* VLOOKUP($C202,'PORTIFÓLIO'!C:V,10,0),"")</f>
        <v/>
      </c>
      <c r="L202" s="210" t="str">
        <f>IFERROR(J202* VLOOKUP($C202,'PORTIFÓLIO'!C:V,10,0),"")</f>
        <v/>
      </c>
      <c r="M202" s="177"/>
      <c r="N202" s="177"/>
      <c r="O202" s="177"/>
      <c r="P202" s="177"/>
      <c r="Q202" s="177"/>
      <c r="R202" s="177"/>
      <c r="S202" s="177"/>
      <c r="T202" s="177"/>
      <c r="U202" s="177"/>
      <c r="V202" s="177"/>
      <c r="W202" s="177"/>
    </row>
    <row r="203" ht="15.75" customHeight="1" outlineLevel="1">
      <c r="A203" s="190"/>
      <c r="B203" s="204"/>
      <c r="C203" s="191"/>
      <c r="D203" s="205" t="str">
        <f>IFERROR(VLOOKUP($C203,'PORTIFÓLIO'!C:V,2,0),"")</f>
        <v/>
      </c>
      <c r="E203" s="190" t="str">
        <f>IFERROR(VLOOKUP($C203,'PORTIFÓLIO'!C:V,3,0),"")</f>
        <v/>
      </c>
      <c r="F203" s="190" t="str">
        <f>IFERROR(VLOOKUP($C203,'PORTIFÓLIO'!C:V,4,0),"")</f>
        <v/>
      </c>
      <c r="G203" s="206" t="str">
        <f>IFERROR(VLOOKUP($C203,'PORTIFÓLIO'!C:V,5,0),"")</f>
        <v/>
      </c>
      <c r="H203" s="247" t="str">
        <f t="array" ref="H203">IFERROR(INDEX('PORTIFÓLIO'!$H$4:$H$433,MATCH($C203,'PORTIFÓLIO'!$C$4:$C$433,0)),"")</f>
        <v/>
      </c>
      <c r="I203" s="257"/>
      <c r="J203" s="209">
        <f t="shared" si="24"/>
        <v>0</v>
      </c>
      <c r="K203" s="210" t="str">
        <f>IFERROR(I203* VLOOKUP($C203,'PORTIFÓLIO'!C:V,10,0),"")</f>
        <v/>
      </c>
      <c r="L203" s="210" t="str">
        <f>IFERROR(J203* VLOOKUP($C203,'PORTIFÓLIO'!C:V,10,0),"")</f>
        <v/>
      </c>
      <c r="M203" s="177"/>
      <c r="N203" s="177"/>
      <c r="O203" s="177"/>
      <c r="P203" s="177"/>
      <c r="Q203" s="177"/>
      <c r="R203" s="177"/>
      <c r="S203" s="177"/>
      <c r="T203" s="177"/>
      <c r="U203" s="177"/>
      <c r="V203" s="177"/>
      <c r="W203" s="177"/>
    </row>
    <row r="204" ht="15.75" customHeight="1" outlineLevel="1">
      <c r="A204" s="190"/>
      <c r="B204" s="204"/>
      <c r="C204" s="191"/>
      <c r="D204" s="205" t="str">
        <f>IFERROR(VLOOKUP($C204,'PORTIFÓLIO'!C:V,2,0),"")</f>
        <v/>
      </c>
      <c r="E204" s="190" t="str">
        <f>IFERROR(VLOOKUP($C204,'PORTIFÓLIO'!C:V,3,0),"")</f>
        <v/>
      </c>
      <c r="F204" s="190" t="str">
        <f>IFERROR(VLOOKUP($C204,'PORTIFÓLIO'!C:V,4,0),"")</f>
        <v/>
      </c>
      <c r="G204" s="206" t="str">
        <f>IFERROR(VLOOKUP($C204,'PORTIFÓLIO'!C:V,5,0),"")</f>
        <v/>
      </c>
      <c r="H204" s="247" t="str">
        <f t="array" ref="H204">IFERROR(INDEX('PORTIFÓLIO'!$H$4:$H$433,MATCH($C204,'PORTIFÓLIO'!$C$4:$C$433,0)),"")</f>
        <v/>
      </c>
      <c r="I204" s="257"/>
      <c r="J204" s="209">
        <f t="shared" si="24"/>
        <v>0</v>
      </c>
      <c r="K204" s="210" t="str">
        <f>IFERROR(I204* VLOOKUP($C204,'PORTIFÓLIO'!C:V,10,0),"")</f>
        <v/>
      </c>
      <c r="L204" s="210" t="str">
        <f>IFERROR(J204* VLOOKUP($C204,'PORTIFÓLIO'!C:V,10,0),"")</f>
        <v/>
      </c>
      <c r="M204" s="177"/>
      <c r="N204" s="177"/>
      <c r="O204" s="177"/>
      <c r="P204" s="177"/>
      <c r="Q204" s="177"/>
      <c r="R204" s="177"/>
      <c r="S204" s="177"/>
      <c r="T204" s="177"/>
      <c r="U204" s="177"/>
      <c r="V204" s="177"/>
      <c r="W204" s="177"/>
    </row>
    <row r="205" ht="15.75" customHeight="1" outlineLevel="1">
      <c r="A205" s="190"/>
      <c r="B205" s="204"/>
      <c r="C205" s="191"/>
      <c r="D205" s="205" t="str">
        <f>IFERROR(VLOOKUP($C205,'PORTIFÓLIO'!C:V,2,0),"")</f>
        <v/>
      </c>
      <c r="E205" s="190" t="str">
        <f>IFERROR(VLOOKUP($C205,'PORTIFÓLIO'!C:V,3,0),"")</f>
        <v/>
      </c>
      <c r="F205" s="190" t="str">
        <f>IFERROR(VLOOKUP($C205,'PORTIFÓLIO'!C:V,4,0),"")</f>
        <v/>
      </c>
      <c r="G205" s="206" t="str">
        <f>IFERROR(VLOOKUP($C205,'PORTIFÓLIO'!C:V,5,0),"")</f>
        <v/>
      </c>
      <c r="H205" s="247" t="str">
        <f t="array" ref="H205">IFERROR(INDEX('PORTIFÓLIO'!$H$4:$H$433,MATCH($C205,'PORTIFÓLIO'!$C$4:$C$433,0)),"")</f>
        <v/>
      </c>
      <c r="I205" s="257"/>
      <c r="J205" s="209">
        <f t="shared" si="24"/>
        <v>0</v>
      </c>
      <c r="K205" s="210" t="str">
        <f>IFERROR(I205* VLOOKUP($C205,'PORTIFÓLIO'!C:V,10,0),"")</f>
        <v/>
      </c>
      <c r="L205" s="210" t="str">
        <f>IFERROR(J205* VLOOKUP($C205,'PORTIFÓLIO'!C:V,10,0),"")</f>
        <v/>
      </c>
      <c r="M205" s="177"/>
      <c r="N205" s="177"/>
      <c r="O205" s="177"/>
      <c r="P205" s="177"/>
      <c r="Q205" s="177"/>
      <c r="R205" s="177"/>
      <c r="S205" s="177"/>
      <c r="T205" s="177"/>
      <c r="U205" s="177"/>
      <c r="V205" s="177"/>
      <c r="W205" s="177"/>
    </row>
    <row r="206" ht="15.75" customHeight="1" outlineLevel="1">
      <c r="A206" s="190"/>
      <c r="B206" s="204"/>
      <c r="C206" s="191"/>
      <c r="D206" s="205" t="str">
        <f>IFERROR(VLOOKUP($C206,'PORTIFÓLIO'!C:V,2,0),"")</f>
        <v/>
      </c>
      <c r="E206" s="190" t="str">
        <f>IFERROR(VLOOKUP($C206,'PORTIFÓLIO'!C:V,3,0),"")</f>
        <v/>
      </c>
      <c r="F206" s="190" t="str">
        <f>IFERROR(VLOOKUP($C206,'PORTIFÓLIO'!C:V,4,0),"")</f>
        <v/>
      </c>
      <c r="G206" s="206" t="str">
        <f>IFERROR(VLOOKUP($C206,'PORTIFÓLIO'!C:V,5,0),"")</f>
        <v/>
      </c>
      <c r="H206" s="247" t="str">
        <f t="array" ref="H206">IFERROR(INDEX('PORTIFÓLIO'!$H$4:$H$433,MATCH($C206,'PORTIFÓLIO'!$C$4:$C$433,0)),"")</f>
        <v/>
      </c>
      <c r="I206" s="257"/>
      <c r="J206" s="209">
        <f t="shared" si="24"/>
        <v>0</v>
      </c>
      <c r="K206" s="210" t="str">
        <f>IFERROR(I206* VLOOKUP($C206,'PORTIFÓLIO'!C:V,10,0),"")</f>
        <v/>
      </c>
      <c r="L206" s="210" t="str">
        <f>IFERROR(J206* VLOOKUP($C206,'PORTIFÓLIO'!C:V,10,0),"")</f>
        <v/>
      </c>
      <c r="M206" s="177"/>
      <c r="N206" s="177"/>
      <c r="O206" s="177"/>
      <c r="P206" s="177"/>
      <c r="Q206" s="177"/>
      <c r="R206" s="177"/>
      <c r="S206" s="177"/>
      <c r="T206" s="177"/>
      <c r="U206" s="177"/>
      <c r="V206" s="177"/>
      <c r="W206" s="177"/>
    </row>
    <row r="207" ht="15.75" customHeight="1" outlineLevel="1">
      <c r="A207" s="190"/>
      <c r="B207" s="204"/>
      <c r="C207" s="191"/>
      <c r="D207" s="205" t="str">
        <f>IFERROR(VLOOKUP($C207,'PORTIFÓLIO'!C:V,2,0),"")</f>
        <v/>
      </c>
      <c r="E207" s="190" t="str">
        <f>IFERROR(VLOOKUP($C207,'PORTIFÓLIO'!C:V,3,0),"")</f>
        <v/>
      </c>
      <c r="F207" s="190" t="str">
        <f>IFERROR(VLOOKUP($C207,'PORTIFÓLIO'!C:V,4,0),"")</f>
        <v/>
      </c>
      <c r="G207" s="206" t="str">
        <f>IFERROR(VLOOKUP($C207,'PORTIFÓLIO'!C:V,5,0),"")</f>
        <v/>
      </c>
      <c r="H207" s="247" t="str">
        <f t="array" ref="H207">IFERROR(INDEX('PORTIFÓLIO'!$H$4:$H$433,MATCH($C207,'PORTIFÓLIO'!$C$4:$C$433,0)),"")</f>
        <v/>
      </c>
      <c r="I207" s="257"/>
      <c r="J207" s="209">
        <f t="shared" si="24"/>
        <v>0</v>
      </c>
      <c r="K207" s="210" t="str">
        <f>IFERROR(I207* VLOOKUP($C207,'PORTIFÓLIO'!C:V,10,0),"")</f>
        <v/>
      </c>
      <c r="L207" s="210" t="str">
        <f>IFERROR(J207* VLOOKUP($C207,'PORTIFÓLIO'!C:V,10,0),"")</f>
        <v/>
      </c>
      <c r="M207" s="177"/>
      <c r="N207" s="177"/>
      <c r="O207" s="177"/>
      <c r="P207" s="177"/>
      <c r="Q207" s="177"/>
      <c r="R207" s="177"/>
      <c r="S207" s="177"/>
      <c r="T207" s="177"/>
      <c r="U207" s="177"/>
      <c r="V207" s="177"/>
      <c r="W207" s="177"/>
    </row>
    <row r="208" ht="15.75" customHeight="1" outlineLevel="1">
      <c r="A208" s="190"/>
      <c r="B208" s="204"/>
      <c r="C208" s="191"/>
      <c r="D208" s="205" t="str">
        <f>IFERROR(VLOOKUP($C208,'PORTIFÓLIO'!C:V,2,0),"")</f>
        <v/>
      </c>
      <c r="E208" s="190" t="str">
        <f>IFERROR(VLOOKUP($C208,'PORTIFÓLIO'!C:V,3,0),"")</f>
        <v/>
      </c>
      <c r="F208" s="190" t="str">
        <f>IFERROR(VLOOKUP($C208,'PORTIFÓLIO'!C:V,4,0),"")</f>
        <v/>
      </c>
      <c r="G208" s="206" t="str">
        <f>IFERROR(VLOOKUP($C208,'PORTIFÓLIO'!C:V,5,0),"")</f>
        <v/>
      </c>
      <c r="H208" s="247" t="str">
        <f t="array" ref="H208">IFERROR(INDEX('PORTIFÓLIO'!$H$4:$H$433,MATCH($C208,'PORTIFÓLIO'!$C$4:$C$433,0)),"")</f>
        <v/>
      </c>
      <c r="I208" s="257"/>
      <c r="J208" s="209">
        <f t="shared" si="24"/>
        <v>0</v>
      </c>
      <c r="K208" s="210" t="str">
        <f>IFERROR(I208* VLOOKUP($C208,'PORTIFÓLIO'!C:V,10,0),"")</f>
        <v/>
      </c>
      <c r="L208" s="210" t="str">
        <f>IFERROR(J208* VLOOKUP($C208,'PORTIFÓLIO'!C:V,10,0),"")</f>
        <v/>
      </c>
      <c r="M208" s="177"/>
      <c r="N208" s="177"/>
      <c r="O208" s="177"/>
      <c r="P208" s="177"/>
      <c r="Q208" s="177"/>
      <c r="R208" s="177"/>
      <c r="S208" s="177"/>
      <c r="T208" s="177"/>
      <c r="U208" s="177"/>
      <c r="V208" s="177"/>
      <c r="W208" s="177"/>
    </row>
    <row r="209" ht="15.75" customHeight="1" outlineLevel="1">
      <c r="A209" s="190"/>
      <c r="B209" s="204"/>
      <c r="C209" s="191"/>
      <c r="D209" s="205" t="str">
        <f>IFERROR(VLOOKUP($C209,'PORTIFÓLIO'!C:V,2,0),"")</f>
        <v/>
      </c>
      <c r="E209" s="190" t="str">
        <f>IFERROR(VLOOKUP($C209,'PORTIFÓLIO'!C:V,3,0),"")</f>
        <v/>
      </c>
      <c r="F209" s="190" t="str">
        <f>IFERROR(VLOOKUP($C209,'PORTIFÓLIO'!C:V,4,0),"")</f>
        <v/>
      </c>
      <c r="G209" s="206" t="str">
        <f>IFERROR(VLOOKUP($C209,'PORTIFÓLIO'!C:V,5,0),"")</f>
        <v/>
      </c>
      <c r="H209" s="247" t="str">
        <f t="array" ref="H209">IFERROR(INDEX('PORTIFÓLIO'!$H$4:$H$433,MATCH($C209,'PORTIFÓLIO'!$C$4:$C$433,0)),"")</f>
        <v/>
      </c>
      <c r="I209" s="257"/>
      <c r="J209" s="209">
        <f t="shared" si="24"/>
        <v>0</v>
      </c>
      <c r="K209" s="210" t="str">
        <f>IFERROR(I209* VLOOKUP($C209,'PORTIFÓLIO'!C:V,10,0),"")</f>
        <v/>
      </c>
      <c r="L209" s="210" t="str">
        <f>IFERROR(J209* VLOOKUP($C209,'PORTIFÓLIO'!C:V,10,0),"")</f>
        <v/>
      </c>
      <c r="M209" s="177"/>
      <c r="N209" s="177"/>
      <c r="O209" s="177"/>
      <c r="P209" s="177"/>
      <c r="Q209" s="177"/>
      <c r="R209" s="177"/>
      <c r="S209" s="177"/>
      <c r="T209" s="177"/>
      <c r="U209" s="177"/>
      <c r="V209" s="177"/>
      <c r="W209" s="177"/>
    </row>
    <row r="210" ht="15.75" customHeight="1" outlineLevel="1">
      <c r="A210" s="190"/>
      <c r="B210" s="204"/>
      <c r="C210" s="191"/>
      <c r="D210" s="205" t="str">
        <f>IFERROR(VLOOKUP($C210,'PORTIFÓLIO'!C:V,2,0),"")</f>
        <v/>
      </c>
      <c r="E210" s="190" t="str">
        <f>IFERROR(VLOOKUP($C210,'PORTIFÓLIO'!C:V,3,0),"")</f>
        <v/>
      </c>
      <c r="F210" s="190" t="str">
        <f>IFERROR(VLOOKUP($C210,'PORTIFÓLIO'!C:V,4,0),"")</f>
        <v/>
      </c>
      <c r="G210" s="206" t="str">
        <f>IFERROR(VLOOKUP($C210,'PORTIFÓLIO'!C:V,5,0),"")</f>
        <v/>
      </c>
      <c r="H210" s="247" t="str">
        <f t="array" ref="H210">IFERROR(INDEX('PORTIFÓLIO'!$H$4:$H$433,MATCH($C210,'PORTIFÓLIO'!$C$4:$C$433,0)),"")</f>
        <v/>
      </c>
      <c r="I210" s="257"/>
      <c r="J210" s="209">
        <f t="shared" si="24"/>
        <v>0</v>
      </c>
      <c r="K210" s="210" t="str">
        <f>IFERROR(I210* VLOOKUP($C210,'PORTIFÓLIO'!C:V,10,0),"")</f>
        <v/>
      </c>
      <c r="L210" s="210" t="str">
        <f>IFERROR(J210* VLOOKUP($C210,'PORTIFÓLIO'!C:V,10,0),"")</f>
        <v/>
      </c>
      <c r="M210" s="177"/>
      <c r="N210" s="177"/>
      <c r="O210" s="177"/>
      <c r="P210" s="177"/>
      <c r="Q210" s="177"/>
      <c r="R210" s="177"/>
      <c r="S210" s="177"/>
      <c r="T210" s="177"/>
      <c r="U210" s="177"/>
      <c r="V210" s="177"/>
      <c r="W210" s="177"/>
    </row>
    <row r="211" ht="15.75" customHeight="1" outlineLevel="1">
      <c r="A211" s="190"/>
      <c r="B211" s="204"/>
      <c r="C211" s="191"/>
      <c r="D211" s="205" t="str">
        <f>IFERROR(VLOOKUP($C211,'PORTIFÓLIO'!C:V,2,0),"")</f>
        <v/>
      </c>
      <c r="E211" s="190" t="str">
        <f>IFERROR(VLOOKUP($C211,'PORTIFÓLIO'!C:V,3,0),"")</f>
        <v/>
      </c>
      <c r="F211" s="190" t="str">
        <f>IFERROR(VLOOKUP($C211,'PORTIFÓLIO'!C:V,4,0),"")</f>
        <v/>
      </c>
      <c r="G211" s="206" t="str">
        <f>IFERROR(VLOOKUP($C211,'PORTIFÓLIO'!C:V,5,0),"")</f>
        <v/>
      </c>
      <c r="H211" s="247" t="str">
        <f t="array" ref="H211">IFERROR(INDEX('PORTIFÓLIO'!$H$4:$H$433,MATCH($C211,'PORTIFÓLIO'!$C$4:$C$433,0)),"")</f>
        <v/>
      </c>
      <c r="I211" s="257"/>
      <c r="J211" s="209">
        <f t="shared" si="24"/>
        <v>0</v>
      </c>
      <c r="K211" s="210" t="str">
        <f>IFERROR(I211* VLOOKUP($C211,'PORTIFÓLIO'!C:V,10,0),"")</f>
        <v/>
      </c>
      <c r="L211" s="210" t="str">
        <f>IFERROR(J211* VLOOKUP($C211,'PORTIFÓLIO'!C:V,10,0),"")</f>
        <v/>
      </c>
      <c r="M211" s="177"/>
      <c r="N211" s="177"/>
      <c r="O211" s="177"/>
      <c r="P211" s="177"/>
      <c r="Q211" s="177"/>
      <c r="R211" s="177"/>
      <c r="S211" s="177"/>
      <c r="T211" s="177"/>
      <c r="U211" s="177"/>
      <c r="V211" s="177"/>
      <c r="W211" s="177"/>
    </row>
    <row r="212" ht="15.75" customHeight="1" outlineLevel="1">
      <c r="A212" s="190"/>
      <c r="B212" s="204"/>
      <c r="C212" s="191"/>
      <c r="D212" s="205" t="str">
        <f>IFERROR(VLOOKUP($C212,'PORTIFÓLIO'!C:V,2,0),"")</f>
        <v/>
      </c>
      <c r="E212" s="190" t="str">
        <f>IFERROR(VLOOKUP($C212,'PORTIFÓLIO'!C:V,3,0),"")</f>
        <v/>
      </c>
      <c r="F212" s="190" t="str">
        <f>IFERROR(VLOOKUP($C212,'PORTIFÓLIO'!C:V,4,0),"")</f>
        <v/>
      </c>
      <c r="G212" s="206" t="str">
        <f>IFERROR(VLOOKUP($C212,'PORTIFÓLIO'!C:V,5,0),"")</f>
        <v/>
      </c>
      <c r="H212" s="247" t="str">
        <f t="array" ref="H212">IFERROR(INDEX('PORTIFÓLIO'!$H$4:$H$433,MATCH($C212,'PORTIFÓLIO'!$C$4:$C$433,0)),"")</f>
        <v/>
      </c>
      <c r="I212" s="257"/>
      <c r="J212" s="209">
        <f t="shared" si="24"/>
        <v>0</v>
      </c>
      <c r="K212" s="210" t="str">
        <f>IFERROR(I212* VLOOKUP($C212,'PORTIFÓLIO'!C:V,10,0),"")</f>
        <v/>
      </c>
      <c r="L212" s="210" t="str">
        <f>IFERROR(J212* VLOOKUP($C212,'PORTIFÓLIO'!C:V,10,0),"")</f>
        <v/>
      </c>
      <c r="M212" s="177"/>
      <c r="N212" s="177"/>
      <c r="O212" s="177"/>
      <c r="P212" s="177"/>
      <c r="Q212" s="177"/>
      <c r="R212" s="177"/>
      <c r="S212" s="177"/>
      <c r="T212" s="177"/>
      <c r="U212" s="177"/>
      <c r="V212" s="177"/>
      <c r="W212" s="177"/>
    </row>
    <row r="213" ht="15.75" customHeight="1" outlineLevel="1">
      <c r="A213" s="190"/>
      <c r="B213" s="204"/>
      <c r="C213" s="191"/>
      <c r="D213" s="205" t="str">
        <f>IFERROR(VLOOKUP($C213,'PORTIFÓLIO'!C:V,2,0),"")</f>
        <v/>
      </c>
      <c r="E213" s="190" t="str">
        <f>IFERROR(VLOOKUP($C213,'PORTIFÓLIO'!C:V,3,0),"")</f>
        <v/>
      </c>
      <c r="F213" s="190" t="str">
        <f>IFERROR(VLOOKUP($C213,'PORTIFÓLIO'!C:V,4,0),"")</f>
        <v/>
      </c>
      <c r="G213" s="206" t="str">
        <f>IFERROR(VLOOKUP($C213,'PORTIFÓLIO'!C:V,5,0),"")</f>
        <v/>
      </c>
      <c r="H213" s="247" t="str">
        <f t="array" ref="H213">IFERROR(INDEX('PORTIFÓLIO'!$H$4:$H$433,MATCH($C213,'PORTIFÓLIO'!$C$4:$C$433,0)),"")</f>
        <v/>
      </c>
      <c r="I213" s="257"/>
      <c r="J213" s="209">
        <f t="shared" si="24"/>
        <v>0</v>
      </c>
      <c r="K213" s="210" t="str">
        <f>IFERROR(I213* VLOOKUP($C213,'PORTIFÓLIO'!C:V,10,0),"")</f>
        <v/>
      </c>
      <c r="L213" s="210" t="str">
        <f>IFERROR(J213* VLOOKUP($C213,'PORTIFÓLIO'!C:V,10,0),"")</f>
        <v/>
      </c>
      <c r="M213" s="177"/>
      <c r="N213" s="177"/>
      <c r="O213" s="177"/>
      <c r="P213" s="177"/>
      <c r="Q213" s="177"/>
      <c r="R213" s="177"/>
      <c r="S213" s="177"/>
      <c r="T213" s="177"/>
      <c r="U213" s="177"/>
      <c r="V213" s="177"/>
      <c r="W213" s="177"/>
    </row>
    <row r="214" ht="15.75" customHeight="1" outlineLevel="1">
      <c r="A214" s="190"/>
      <c r="B214" s="204"/>
      <c r="C214" s="191"/>
      <c r="D214" s="205" t="str">
        <f>IFERROR(VLOOKUP($C214,'PORTIFÓLIO'!C:V,2,0),"")</f>
        <v/>
      </c>
      <c r="E214" s="190" t="str">
        <f>IFERROR(VLOOKUP($C214,'PORTIFÓLIO'!C:V,3,0),"")</f>
        <v/>
      </c>
      <c r="F214" s="190" t="str">
        <f>IFERROR(VLOOKUP($C214,'PORTIFÓLIO'!C:V,4,0),"")</f>
        <v/>
      </c>
      <c r="G214" s="206" t="str">
        <f>IFERROR(VLOOKUP($C214,'PORTIFÓLIO'!C:V,5,0),"")</f>
        <v/>
      </c>
      <c r="H214" s="247" t="str">
        <f t="array" ref="H214">IFERROR(INDEX('PORTIFÓLIO'!$H$4:$H$433,MATCH($C214,'PORTIFÓLIO'!$C$4:$C$433,0)),"")</f>
        <v/>
      </c>
      <c r="I214" s="257"/>
      <c r="J214" s="209">
        <f t="shared" si="24"/>
        <v>0</v>
      </c>
      <c r="K214" s="210" t="str">
        <f>IFERROR(I214* VLOOKUP($C214,'PORTIFÓLIO'!C:V,10,0),"")</f>
        <v/>
      </c>
      <c r="L214" s="210" t="str">
        <f>IFERROR(J214* VLOOKUP($C214,'PORTIFÓLIO'!C:V,10,0),"")</f>
        <v/>
      </c>
      <c r="M214" s="177"/>
      <c r="N214" s="177"/>
      <c r="O214" s="177"/>
      <c r="P214" s="177"/>
      <c r="Q214" s="177"/>
      <c r="R214" s="177"/>
      <c r="S214" s="177"/>
      <c r="T214" s="177"/>
      <c r="U214" s="177"/>
      <c r="V214" s="177"/>
      <c r="W214" s="177"/>
    </row>
    <row r="215" ht="15.75" customHeight="1" outlineLevel="1">
      <c r="A215" s="190"/>
      <c r="B215" s="204"/>
      <c r="C215" s="191"/>
      <c r="D215" s="205" t="str">
        <f>IFERROR(VLOOKUP($C215,'PORTIFÓLIO'!C:V,2,0),"")</f>
        <v/>
      </c>
      <c r="E215" s="190" t="str">
        <f>IFERROR(VLOOKUP($C215,'PORTIFÓLIO'!C:V,3,0),"")</f>
        <v/>
      </c>
      <c r="F215" s="190" t="str">
        <f>IFERROR(VLOOKUP($C215,'PORTIFÓLIO'!C:V,4,0),"")</f>
        <v/>
      </c>
      <c r="G215" s="206" t="str">
        <f>IFERROR(VLOOKUP($C215,'PORTIFÓLIO'!C:V,5,0),"")</f>
        <v/>
      </c>
      <c r="H215" s="247" t="str">
        <f t="array" ref="H215">IFERROR(INDEX('PORTIFÓLIO'!$H$4:$H$433,MATCH($C215,'PORTIFÓLIO'!$C$4:$C$433,0)),"")</f>
        <v/>
      </c>
      <c r="I215" s="257"/>
      <c r="J215" s="209">
        <f t="shared" si="24"/>
        <v>0</v>
      </c>
      <c r="K215" s="210" t="str">
        <f>IFERROR(I215* VLOOKUP($C215,'PORTIFÓLIO'!C:V,10,0),"")</f>
        <v/>
      </c>
      <c r="L215" s="210" t="str">
        <f>IFERROR(J215* VLOOKUP($C215,'PORTIFÓLIO'!C:V,10,0),"")</f>
        <v/>
      </c>
      <c r="M215" s="177"/>
      <c r="N215" s="177"/>
      <c r="O215" s="177"/>
      <c r="P215" s="177"/>
      <c r="Q215" s="177"/>
      <c r="R215" s="177"/>
      <c r="S215" s="177"/>
      <c r="T215" s="177"/>
      <c r="U215" s="177"/>
      <c r="V215" s="177"/>
      <c r="W215" s="177"/>
    </row>
    <row r="216" ht="15.75" customHeight="1" outlineLevel="1">
      <c r="A216" s="190"/>
      <c r="B216" s="238"/>
      <c r="C216" s="190"/>
      <c r="D216" s="205" t="str">
        <f>IFERROR(VLOOKUP($C216,'PORTIFÓLIO'!C:V,2,0),"")</f>
        <v/>
      </c>
      <c r="E216" s="190" t="str">
        <f>IFERROR(VLOOKUP($C216,'PORTIFÓLIO'!C:V,3,0),"")</f>
        <v/>
      </c>
      <c r="F216" s="190" t="str">
        <f>IFERROR(VLOOKUP($C216,'PORTIFÓLIO'!C:V,4,0),"")</f>
        <v/>
      </c>
      <c r="G216" s="206" t="str">
        <f>IFERROR(VLOOKUP($C216,'PORTIFÓLIO'!C:V,5,0),"")</f>
        <v/>
      </c>
      <c r="H216" s="247" t="str">
        <f t="array" ref="H216">IFERROR(INDEX('PORTIFÓLIO'!$H$4:$H$433,MATCH($C216,'PORTIFÓLIO'!$C$4:$C$433,0)),"")</f>
        <v/>
      </c>
      <c r="I216" s="257"/>
      <c r="J216" s="209">
        <f t="shared" si="24"/>
        <v>0</v>
      </c>
      <c r="K216" s="210" t="str">
        <f>IFERROR(I216* VLOOKUP($C216,'PORTIFÓLIO'!C:V,10,0),"")</f>
        <v/>
      </c>
      <c r="L216" s="210" t="str">
        <f>IFERROR(J216* VLOOKUP($C216,'PORTIFÓLIO'!C:V,10,0),"")</f>
        <v/>
      </c>
      <c r="M216" s="177"/>
      <c r="N216" s="177"/>
      <c r="O216" s="177"/>
      <c r="P216" s="177"/>
      <c r="Q216" s="177"/>
      <c r="R216" s="177"/>
      <c r="S216" s="177"/>
      <c r="T216" s="177"/>
      <c r="U216" s="177"/>
      <c r="V216" s="177"/>
      <c r="W216" s="177"/>
    </row>
    <row r="217" ht="15.75" customHeight="1" outlineLevel="1">
      <c r="A217" s="190"/>
      <c r="B217" s="238"/>
      <c r="C217" s="190"/>
      <c r="D217" s="205" t="str">
        <f>IFERROR(VLOOKUP($C217,'PORTIFÓLIO'!C:V,2,0),"")</f>
        <v/>
      </c>
      <c r="E217" s="190" t="str">
        <f>IFERROR(VLOOKUP($C217,'PORTIFÓLIO'!C:V,3,0),"")</f>
        <v/>
      </c>
      <c r="F217" s="190" t="str">
        <f>IFERROR(VLOOKUP($C217,'PORTIFÓLIO'!C:V,4,0),"")</f>
        <v/>
      </c>
      <c r="G217" s="206" t="str">
        <f>IFERROR(VLOOKUP($C217,'PORTIFÓLIO'!C:V,5,0),"")</f>
        <v/>
      </c>
      <c r="H217" s="247" t="str">
        <f t="array" ref="H217">IFERROR(INDEX('PORTIFÓLIO'!$H$4:$H$433,MATCH($C217,'PORTIFÓLIO'!$C$4:$C$433,0)),"")</f>
        <v/>
      </c>
      <c r="I217" s="257"/>
      <c r="J217" s="209">
        <f t="shared" si="24"/>
        <v>0</v>
      </c>
      <c r="K217" s="210" t="str">
        <f>IFERROR(I217* VLOOKUP($C217,'PORTIFÓLIO'!C:V,10,0),"")</f>
        <v/>
      </c>
      <c r="L217" s="210" t="str">
        <f>IFERROR(J217* VLOOKUP($C217,'PORTIFÓLIO'!C:V,10,0),"")</f>
        <v/>
      </c>
      <c r="M217" s="177"/>
      <c r="N217" s="177"/>
      <c r="O217" s="177"/>
      <c r="P217" s="177"/>
      <c r="Q217" s="177"/>
      <c r="R217" s="177"/>
      <c r="S217" s="177"/>
      <c r="T217" s="177"/>
      <c r="U217" s="177"/>
      <c r="V217" s="177"/>
      <c r="W217" s="177"/>
    </row>
    <row r="218" ht="15.75" customHeight="1" outlineLevel="1">
      <c r="A218" s="190"/>
      <c r="B218" s="238"/>
      <c r="C218" s="190"/>
      <c r="D218" s="205" t="str">
        <f>IFERROR(VLOOKUP($C218,'PORTIFÓLIO'!C:V,2,0),"")</f>
        <v/>
      </c>
      <c r="E218" s="190" t="str">
        <f>IFERROR(VLOOKUP($C218,'PORTIFÓLIO'!C:V,3,0),"")</f>
        <v/>
      </c>
      <c r="F218" s="190" t="str">
        <f>IFERROR(VLOOKUP($C218,'PORTIFÓLIO'!C:V,4,0),"")</f>
        <v/>
      </c>
      <c r="G218" s="206" t="str">
        <f>IFERROR(VLOOKUP($C218,'PORTIFÓLIO'!C:V,5,0),"")</f>
        <v/>
      </c>
      <c r="H218" s="247" t="str">
        <f t="array" ref="H218">IFERROR(INDEX('PORTIFÓLIO'!$H$4:$H$433,MATCH($C218,'PORTIFÓLIO'!$C$4:$C$433,0)),"")</f>
        <v/>
      </c>
      <c r="I218" s="257"/>
      <c r="J218" s="209">
        <f t="shared" si="24"/>
        <v>0</v>
      </c>
      <c r="K218" s="210" t="str">
        <f>IFERROR(I218* VLOOKUP($C218,'PORTIFÓLIO'!C:V,10,0),"")</f>
        <v/>
      </c>
      <c r="L218" s="210" t="str">
        <f>IFERROR(J218* VLOOKUP($C218,'PORTIFÓLIO'!C:V,10,0),"")</f>
        <v/>
      </c>
      <c r="M218" s="177"/>
      <c r="N218" s="177"/>
      <c r="O218" s="177"/>
      <c r="P218" s="177"/>
      <c r="Q218" s="177"/>
      <c r="R218" s="177"/>
      <c r="S218" s="177"/>
      <c r="T218" s="177"/>
      <c r="U218" s="177"/>
      <c r="V218" s="177"/>
      <c r="W218" s="177"/>
    </row>
    <row r="219" ht="15.75" customHeight="1" outlineLevel="1">
      <c r="A219" s="190"/>
      <c r="B219" s="238"/>
      <c r="C219" s="190"/>
      <c r="D219" s="205" t="str">
        <f>IFERROR(VLOOKUP($C219,'PORTIFÓLIO'!C:V,2,0),"")</f>
        <v/>
      </c>
      <c r="E219" s="190" t="str">
        <f>IFERROR(VLOOKUP($C219,'PORTIFÓLIO'!C:V,3,0),"")</f>
        <v/>
      </c>
      <c r="F219" s="190" t="str">
        <f>IFERROR(VLOOKUP($C219,'PORTIFÓLIO'!C:V,4,0),"")</f>
        <v/>
      </c>
      <c r="G219" s="206" t="str">
        <f>IFERROR(VLOOKUP($C219,'PORTIFÓLIO'!C:V,5,0),"")</f>
        <v/>
      </c>
      <c r="H219" s="247" t="str">
        <f t="array" ref="H219">IFERROR(INDEX('PORTIFÓLIO'!$H$4:$H$433,MATCH($C219,'PORTIFÓLIO'!$C$4:$C$433,0)),"")</f>
        <v/>
      </c>
      <c r="I219" s="257"/>
      <c r="J219" s="209">
        <f t="shared" si="24"/>
        <v>0</v>
      </c>
      <c r="K219" s="210" t="str">
        <f>IFERROR(I219* VLOOKUP($C219,'PORTIFÓLIO'!C:V,10,0),"")</f>
        <v/>
      </c>
      <c r="L219" s="210" t="str">
        <f>IFERROR(J219* VLOOKUP($C219,'PORTIFÓLIO'!C:V,10,0),"")</f>
        <v/>
      </c>
      <c r="M219" s="177"/>
      <c r="N219" s="177"/>
      <c r="O219" s="177"/>
      <c r="P219" s="177"/>
      <c r="Q219" s="177"/>
      <c r="R219" s="177"/>
      <c r="S219" s="177"/>
      <c r="T219" s="177"/>
      <c r="U219" s="177"/>
      <c r="V219" s="177"/>
      <c r="W219" s="177"/>
    </row>
    <row r="220" ht="15.75" customHeight="1" outlineLevel="1">
      <c r="A220" s="190"/>
      <c r="B220" s="238"/>
      <c r="C220" s="190"/>
      <c r="D220" s="205" t="str">
        <f>IFERROR(VLOOKUP($C220,'PORTIFÓLIO'!C:V,2,0),"")</f>
        <v/>
      </c>
      <c r="E220" s="190" t="str">
        <f>IFERROR(VLOOKUP($C220,'PORTIFÓLIO'!C:V,3,0),"")</f>
        <v/>
      </c>
      <c r="F220" s="190" t="str">
        <f>IFERROR(VLOOKUP($C220,'PORTIFÓLIO'!C:V,4,0),"")</f>
        <v/>
      </c>
      <c r="G220" s="206" t="str">
        <f>IFERROR(VLOOKUP($C220,'PORTIFÓLIO'!C:V,5,0),"")</f>
        <v/>
      </c>
      <c r="H220" s="247" t="str">
        <f t="array" ref="H220">IFERROR(INDEX('PORTIFÓLIO'!$H$4:$H$433,MATCH($C220,'PORTIFÓLIO'!$C$4:$C$433,0)),"")</f>
        <v/>
      </c>
      <c r="I220" s="257"/>
      <c r="J220" s="209">
        <f t="shared" si="24"/>
        <v>0</v>
      </c>
      <c r="K220" s="210" t="str">
        <f>IFERROR(I220* VLOOKUP($C220,'PORTIFÓLIO'!C:V,10,0),"")</f>
        <v/>
      </c>
      <c r="L220" s="210" t="str">
        <f>IFERROR(J220* VLOOKUP($C220,'PORTIFÓLIO'!C:V,10,0),"")</f>
        <v/>
      </c>
      <c r="M220" s="177"/>
      <c r="N220" s="177"/>
      <c r="O220" s="177"/>
      <c r="P220" s="177"/>
      <c r="Q220" s="177"/>
      <c r="R220" s="177"/>
      <c r="S220" s="177"/>
      <c r="T220" s="177"/>
      <c r="U220" s="177"/>
      <c r="V220" s="177"/>
      <c r="W220" s="177"/>
    </row>
    <row r="221" ht="15.75" customHeight="1" outlineLevel="1">
      <c r="A221" s="190"/>
      <c r="B221" s="238"/>
      <c r="C221" s="190"/>
      <c r="D221" s="205" t="str">
        <f>IFERROR(VLOOKUP($C221,'PORTIFÓLIO'!C:V,2,0),"")</f>
        <v/>
      </c>
      <c r="E221" s="190" t="str">
        <f>IFERROR(VLOOKUP($C221,'PORTIFÓLIO'!C:V,3,0),"")</f>
        <v/>
      </c>
      <c r="F221" s="190" t="str">
        <f>IFERROR(VLOOKUP($C221,'PORTIFÓLIO'!C:V,4,0),"")</f>
        <v/>
      </c>
      <c r="G221" s="206" t="str">
        <f>IFERROR(VLOOKUP($C221,'PORTIFÓLIO'!C:V,5,0),"")</f>
        <v/>
      </c>
      <c r="H221" s="247" t="str">
        <f t="array" ref="H221">IFERROR(INDEX('PORTIFÓLIO'!$H$4:$H$433,MATCH($C221,'PORTIFÓLIO'!$C$4:$C$433,0)),"")</f>
        <v/>
      </c>
      <c r="I221" s="257"/>
      <c r="J221" s="209">
        <f t="shared" si="24"/>
        <v>0</v>
      </c>
      <c r="K221" s="210" t="str">
        <f>IFERROR(I221* VLOOKUP($C221,'PORTIFÓLIO'!C:V,10,0),"")</f>
        <v/>
      </c>
      <c r="L221" s="210" t="str">
        <f>IFERROR(J221* VLOOKUP($C221,'PORTIFÓLIO'!C:V,10,0),"")</f>
        <v/>
      </c>
      <c r="M221" s="177"/>
      <c r="N221" s="177"/>
      <c r="O221" s="177"/>
      <c r="P221" s="177"/>
      <c r="Q221" s="177"/>
      <c r="R221" s="177"/>
      <c r="S221" s="177"/>
      <c r="T221" s="177"/>
      <c r="U221" s="177"/>
      <c r="V221" s="177"/>
      <c r="W221" s="177"/>
    </row>
    <row r="222" ht="15.75" customHeight="1" outlineLevel="1">
      <c r="A222" s="190"/>
      <c r="B222" s="238"/>
      <c r="C222" s="190"/>
      <c r="D222" s="205" t="str">
        <f>IFERROR(VLOOKUP($C222,'PORTIFÓLIO'!C:V,2,0),"")</f>
        <v/>
      </c>
      <c r="E222" s="190" t="str">
        <f>IFERROR(VLOOKUP($C222,'PORTIFÓLIO'!C:V,3,0),"")</f>
        <v/>
      </c>
      <c r="F222" s="190" t="str">
        <f>IFERROR(VLOOKUP($C222,'PORTIFÓLIO'!C:V,4,0),"")</f>
        <v/>
      </c>
      <c r="G222" s="206" t="str">
        <f>IFERROR(VLOOKUP($C222,'PORTIFÓLIO'!C:V,5,0),"")</f>
        <v/>
      </c>
      <c r="H222" s="247" t="str">
        <f t="array" ref="H222">IFERROR(INDEX('PORTIFÓLIO'!$H$4:$H$433,MATCH($C222,'PORTIFÓLIO'!$C$4:$C$433,0)),"")</f>
        <v/>
      </c>
      <c r="I222" s="257"/>
      <c r="J222" s="209">
        <f t="shared" si="24"/>
        <v>0</v>
      </c>
      <c r="K222" s="210" t="str">
        <f>IFERROR(I222* VLOOKUP($C222,'PORTIFÓLIO'!C:V,10,0),"")</f>
        <v/>
      </c>
      <c r="L222" s="210" t="str">
        <f>IFERROR(J222* VLOOKUP($C222,'PORTIFÓLIO'!C:V,10,0),"")</f>
        <v/>
      </c>
      <c r="M222" s="177"/>
      <c r="N222" s="177"/>
      <c r="O222" s="177"/>
      <c r="P222" s="177"/>
      <c r="Q222" s="177"/>
      <c r="R222" s="177"/>
      <c r="S222" s="177"/>
      <c r="T222" s="177"/>
      <c r="U222" s="177"/>
      <c r="V222" s="177"/>
      <c r="W222" s="177"/>
    </row>
    <row r="223" ht="15.75" customHeight="1" outlineLevel="1">
      <c r="A223" s="190"/>
      <c r="B223" s="238"/>
      <c r="C223" s="190"/>
      <c r="D223" s="205" t="str">
        <f>IFERROR(VLOOKUP($C223,'PORTIFÓLIO'!C:V,2,0),"")</f>
        <v/>
      </c>
      <c r="E223" s="190" t="str">
        <f>IFERROR(VLOOKUP($C223,'PORTIFÓLIO'!C:V,3,0),"")</f>
        <v/>
      </c>
      <c r="F223" s="190" t="str">
        <f>IFERROR(VLOOKUP($C223,'PORTIFÓLIO'!C:V,4,0),"")</f>
        <v/>
      </c>
      <c r="G223" s="206" t="str">
        <f>IFERROR(VLOOKUP($C223,'PORTIFÓLIO'!C:V,5,0),"")</f>
        <v/>
      </c>
      <c r="H223" s="247" t="str">
        <f t="array" ref="H223">IFERROR(INDEX('PORTIFÓLIO'!$H$4:$H$433,MATCH($C223,'PORTIFÓLIO'!$C$4:$C$433,0)),"")</f>
        <v/>
      </c>
      <c r="I223" s="257"/>
      <c r="J223" s="209">
        <f t="shared" si="24"/>
        <v>0</v>
      </c>
      <c r="K223" s="210" t="str">
        <f>IFERROR(I223* VLOOKUP($C223,'PORTIFÓLIO'!C:V,10,0),"")</f>
        <v/>
      </c>
      <c r="L223" s="210" t="str">
        <f>IFERROR(J223* VLOOKUP($C223,'PORTIFÓLIO'!C:V,10,0),"")</f>
        <v/>
      </c>
      <c r="M223" s="177"/>
      <c r="N223" s="177"/>
      <c r="O223" s="177"/>
      <c r="P223" s="177"/>
      <c r="Q223" s="177"/>
      <c r="R223" s="177"/>
      <c r="S223" s="177"/>
      <c r="T223" s="177"/>
      <c r="U223" s="177"/>
      <c r="V223" s="177"/>
      <c r="W223" s="177"/>
    </row>
    <row r="224" ht="15.75" customHeight="1" outlineLevel="1">
      <c r="A224" s="190"/>
      <c r="B224" s="238"/>
      <c r="C224" s="190"/>
      <c r="D224" s="205" t="str">
        <f>IFERROR(VLOOKUP($C224,'PORTIFÓLIO'!C:V,2,0),"")</f>
        <v/>
      </c>
      <c r="E224" s="190" t="str">
        <f>IFERROR(VLOOKUP($C224,'PORTIFÓLIO'!C:V,3,0),"")</f>
        <v/>
      </c>
      <c r="F224" s="190" t="str">
        <f>IFERROR(VLOOKUP($C224,'PORTIFÓLIO'!C:V,4,0),"")</f>
        <v/>
      </c>
      <c r="G224" s="206" t="str">
        <f>IFERROR(VLOOKUP($C224,'PORTIFÓLIO'!C:V,5,0),"")</f>
        <v/>
      </c>
      <c r="H224" s="247" t="str">
        <f t="array" ref="H224">IFERROR(INDEX('PORTIFÓLIO'!$H$4:$H$433,MATCH($C224,'PORTIFÓLIO'!$C$4:$C$433,0)),"")</f>
        <v/>
      </c>
      <c r="I224" s="257"/>
      <c r="J224" s="209">
        <f t="shared" si="24"/>
        <v>0</v>
      </c>
      <c r="K224" s="210" t="str">
        <f>IFERROR(I224* VLOOKUP($C224,'PORTIFÓLIO'!C:V,10,0),"")</f>
        <v/>
      </c>
      <c r="L224" s="210" t="str">
        <f>IFERROR(J224* VLOOKUP($C224,'PORTIFÓLIO'!C:V,10,0),"")</f>
        <v/>
      </c>
      <c r="M224" s="177"/>
      <c r="N224" s="177"/>
      <c r="O224" s="177"/>
      <c r="P224" s="177"/>
      <c r="Q224" s="177"/>
      <c r="R224" s="177"/>
      <c r="S224" s="177"/>
      <c r="T224" s="177"/>
      <c r="U224" s="177"/>
      <c r="V224" s="177"/>
      <c r="W224" s="177"/>
    </row>
    <row r="225" ht="15.75" customHeight="1">
      <c r="A225" s="238"/>
      <c r="B225" s="238"/>
      <c r="C225" s="238"/>
      <c r="D225" s="238"/>
      <c r="E225" s="238"/>
      <c r="F225" s="238"/>
      <c r="G225" s="206"/>
      <c r="H225" s="192" t="str">
        <f t="array" ref="H225">IFERROR(INDEX('PORTIFÓLIO'!$H$4:$H$433,MATCH($C225,'PORTIFÓLIO'!$C$4:$C$433,0)),"")</f>
        <v/>
      </c>
      <c r="I225" s="238"/>
      <c r="J225" s="238"/>
      <c r="K225" s="239">
        <f t="shared" ref="K225:L225" si="25">SUBTOTAL(9,K10:K200)</f>
        <v>1728.995675</v>
      </c>
      <c r="L225" s="239">
        <f t="shared" si="25"/>
        <v>190189.5242</v>
      </c>
      <c r="M225" s="177"/>
      <c r="N225" s="177"/>
      <c r="O225" s="177"/>
      <c r="P225" s="177"/>
      <c r="Q225" s="177"/>
      <c r="R225" s="177"/>
      <c r="S225" s="177"/>
      <c r="T225" s="177"/>
      <c r="U225" s="177"/>
      <c r="V225" s="177"/>
      <c r="W225" s="177"/>
    </row>
    <row r="226" ht="15.75" customHeight="1">
      <c r="A226" s="240"/>
      <c r="B226" s="240"/>
      <c r="C226" s="240"/>
      <c r="D226" s="240"/>
      <c r="E226" s="240"/>
      <c r="F226" s="240"/>
      <c r="G226" s="241"/>
      <c r="H226" s="241"/>
      <c r="I226" s="240"/>
      <c r="J226" s="240"/>
      <c r="K226" s="240"/>
      <c r="L226" s="240"/>
      <c r="M226" s="240"/>
      <c r="N226" s="240"/>
      <c r="O226" s="240"/>
      <c r="P226" s="240"/>
      <c r="Q226" s="240"/>
      <c r="R226" s="240"/>
      <c r="S226" s="240"/>
      <c r="T226" s="240"/>
      <c r="U226" s="240"/>
      <c r="V226" s="240"/>
      <c r="W226" s="240"/>
    </row>
    <row r="227" ht="15.75" customHeight="1">
      <c r="A227" s="178" t="s">
        <v>1203</v>
      </c>
      <c r="B227" s="170" t="str">
        <f>'ÁREA PLANTIO'!B4</f>
        <v>ÁREA 2</v>
      </c>
      <c r="C227" s="171" t="s">
        <v>1166</v>
      </c>
      <c r="D227" s="172">
        <f>$K$452</f>
        <v>0</v>
      </c>
      <c r="E227" s="173"/>
      <c r="F227" s="174" t="s">
        <v>1167</v>
      </c>
      <c r="G227" s="175"/>
      <c r="H227" s="243" t="str">
        <f t="array" ref="H227">IFERROR(INDEX('PORTIFÓLIO'!$H$4:$H$433,MATCH($C227,'PORTIFÓLIO'!$C$4:$C$433,0)),"")</f>
        <v/>
      </c>
      <c r="I227" s="176"/>
      <c r="J227" s="176"/>
      <c r="K227" s="175"/>
      <c r="L227" s="177"/>
      <c r="M227" s="177"/>
      <c r="N227" s="177"/>
      <c r="O227" s="177"/>
      <c r="P227" s="177"/>
      <c r="Q227" s="177"/>
      <c r="R227" s="177"/>
      <c r="S227" s="177"/>
      <c r="T227" s="177"/>
      <c r="U227" s="177"/>
      <c r="V227" s="177"/>
      <c r="W227" s="177"/>
    </row>
    <row r="228" ht="15.75" customHeight="1">
      <c r="A228" s="178" t="s">
        <v>1168</v>
      </c>
      <c r="B228" s="179">
        <f>'ÁREA PLANTIO'!E4</f>
        <v>110</v>
      </c>
      <c r="C228" s="180" t="s">
        <v>1169</v>
      </c>
      <c r="D228" s="181" t="str">
        <f>'ÁREA PLANTIO'!I4</f>
        <v/>
      </c>
      <c r="E228" s="173"/>
      <c r="F228" s="173"/>
      <c r="G228" s="175"/>
      <c r="H228" s="243" t="str">
        <f t="array" ref="H228">IFERROR(INDEX('PORTIFÓLIO'!$H$4:$H$433,MATCH($C228,'PORTIFÓLIO'!$C$4:$C$433,0)),"")</f>
        <v/>
      </c>
      <c r="I228" s="176"/>
      <c r="J228" s="176"/>
      <c r="K228" s="175"/>
      <c r="L228" s="177"/>
      <c r="M228" s="177"/>
      <c r="N228" s="177"/>
      <c r="O228" s="177"/>
      <c r="P228" s="177"/>
      <c r="Q228" s="177"/>
      <c r="R228" s="177"/>
      <c r="S228" s="177"/>
      <c r="T228" s="177"/>
      <c r="U228" s="177"/>
      <c r="V228" s="177"/>
      <c r="W228" s="177"/>
    </row>
    <row r="229" ht="15.75" customHeight="1">
      <c r="A229" s="178" t="s">
        <v>1170</v>
      </c>
      <c r="B229" s="176" t="str">
        <f>'ÁREA PLANTIO'!H4</f>
        <v/>
      </c>
      <c r="C229" s="180" t="s">
        <v>1171</v>
      </c>
      <c r="D229" s="182" t="str">
        <f>D227/D228</f>
        <v>#DIV/0!</v>
      </c>
      <c r="E229" s="173"/>
      <c r="F229" s="173"/>
      <c r="G229" s="175"/>
      <c r="H229" s="243" t="str">
        <f t="array" ref="H229">IFERROR(INDEX('PORTIFÓLIO'!$H$4:$H$433,MATCH($C229,'PORTIFÓLIO'!$C$4:$C$433,0)),"")</f>
        <v/>
      </c>
      <c r="I229" s="176"/>
      <c r="J229" s="176"/>
      <c r="K229" s="175"/>
      <c r="L229" s="177"/>
      <c r="M229" s="177"/>
      <c r="N229" s="177"/>
      <c r="O229" s="177"/>
      <c r="P229" s="177"/>
      <c r="Q229" s="177"/>
      <c r="R229" s="177"/>
      <c r="S229" s="177"/>
      <c r="T229" s="177"/>
      <c r="U229" s="177"/>
      <c r="V229" s="177"/>
      <c r="W229" s="177"/>
    </row>
    <row r="230" ht="15.75" customHeight="1">
      <c r="A230" s="183" t="s">
        <v>1172</v>
      </c>
      <c r="B230" s="184">
        <v>45606.0</v>
      </c>
      <c r="C230" s="185"/>
      <c r="D230" s="186"/>
      <c r="E230" s="187"/>
      <c r="F230" s="173"/>
      <c r="G230" s="175"/>
      <c r="H230" s="243" t="str">
        <f t="array" ref="H230">IFERROR(INDEX('PORTIFÓLIO'!$H$4:$H$433,MATCH($C230,'PORTIFÓLIO'!$C$4:$C$433,0)),"")</f>
        <v/>
      </c>
      <c r="I230" s="176"/>
      <c r="J230" s="176"/>
      <c r="K230" s="175"/>
      <c r="L230" s="177"/>
      <c r="M230" s="177"/>
      <c r="N230" s="177"/>
      <c r="O230" s="177"/>
      <c r="P230" s="177"/>
      <c r="Q230" s="177"/>
      <c r="R230" s="177"/>
      <c r="S230" s="177"/>
      <c r="T230" s="177"/>
      <c r="U230" s="177"/>
      <c r="V230" s="177"/>
      <c r="W230" s="177"/>
    </row>
    <row r="231" ht="15.75" customHeight="1">
      <c r="A231" s="177"/>
      <c r="B231" s="177"/>
      <c r="C231" s="177"/>
      <c r="D231" s="177"/>
      <c r="E231" s="188"/>
      <c r="F231" s="173"/>
      <c r="G231" s="175"/>
      <c r="H231" s="243" t="str">
        <f t="array" ref="H231">IFERROR(INDEX('PORTIFÓLIO'!$H$4:$H$433,MATCH($C231,'PORTIFÓLIO'!$C$4:$C$433,0)),"")</f>
        <v/>
      </c>
      <c r="I231" s="176"/>
      <c r="J231" s="176"/>
      <c r="K231" s="175"/>
      <c r="L231" s="177"/>
      <c r="M231" s="177"/>
      <c r="N231" s="177"/>
      <c r="O231" s="177"/>
      <c r="P231" s="177"/>
      <c r="Q231" s="177"/>
      <c r="R231" s="177"/>
      <c r="S231" s="177"/>
      <c r="T231" s="177"/>
      <c r="U231" s="177"/>
      <c r="V231" s="177"/>
      <c r="W231" s="177"/>
    </row>
    <row r="232" ht="15.75" customHeight="1">
      <c r="A232" s="178"/>
      <c r="B232" s="176"/>
      <c r="C232" s="173"/>
      <c r="D232" s="173"/>
      <c r="E232" s="173"/>
      <c r="F232" s="173"/>
      <c r="G232" s="175"/>
      <c r="H232" s="243" t="str">
        <f t="array" ref="H232">IFERROR(INDEX('PORTIFÓLIO'!$H$4:$H$433,MATCH($C232,'PORTIFÓLIO'!$C$4:$C$433,0)),"")</f>
        <v/>
      </c>
      <c r="I232" s="176"/>
      <c r="J232" s="176"/>
      <c r="K232" s="175"/>
      <c r="L232" s="177"/>
      <c r="M232" s="177"/>
      <c r="N232" s="177"/>
      <c r="O232" s="177"/>
      <c r="P232" s="177"/>
      <c r="Q232" s="177"/>
      <c r="R232" s="177"/>
      <c r="S232" s="177"/>
      <c r="T232" s="177"/>
      <c r="U232" s="177"/>
      <c r="V232" s="177"/>
      <c r="W232" s="177"/>
    </row>
    <row r="233" ht="15.75" customHeight="1">
      <c r="A233" s="176"/>
      <c r="B233" s="176"/>
      <c r="C233" s="173"/>
      <c r="D233" s="173"/>
      <c r="E233" s="173"/>
      <c r="F233" s="173"/>
      <c r="G233" s="175"/>
      <c r="H233" s="243" t="str">
        <f t="array" ref="H233">IFERROR(INDEX('PORTIFÓLIO'!$H$4:$H$433,MATCH($C233,'PORTIFÓLIO'!$C$4:$C$433,0)),"")</f>
        <v/>
      </c>
      <c r="I233" s="176"/>
      <c r="J233" s="176"/>
      <c r="K233" s="175"/>
      <c r="L233" s="177"/>
      <c r="M233" s="177"/>
      <c r="N233" s="177"/>
      <c r="O233" s="177"/>
      <c r="P233" s="177"/>
      <c r="Q233" s="177"/>
      <c r="R233" s="177"/>
      <c r="S233" s="177"/>
      <c r="T233" s="177"/>
      <c r="U233" s="177"/>
      <c r="V233" s="177"/>
      <c r="W233" s="177"/>
    </row>
    <row r="234" ht="15.75" customHeight="1">
      <c r="A234" s="176"/>
      <c r="B234" s="176"/>
      <c r="C234" s="176"/>
      <c r="D234" s="176"/>
      <c r="E234" s="173"/>
      <c r="F234" s="173"/>
      <c r="G234" s="175"/>
      <c r="H234" s="243" t="str">
        <f t="array" ref="H234">IFERROR(INDEX('PORTIFÓLIO'!$H$4:$H$433,MATCH($C234,'PORTIFÓLIO'!$C$4:$C$433,0)),"")</f>
        <v/>
      </c>
      <c r="I234" s="176"/>
      <c r="J234" s="176"/>
      <c r="K234" s="175"/>
      <c r="L234" s="177"/>
      <c r="M234" s="177"/>
      <c r="N234" s="177"/>
      <c r="O234" s="177"/>
      <c r="P234" s="177"/>
      <c r="Q234" s="177"/>
      <c r="R234" s="177"/>
      <c r="S234" s="177"/>
      <c r="T234" s="177"/>
      <c r="U234" s="177"/>
      <c r="V234" s="177"/>
      <c r="W234" s="177"/>
    </row>
    <row r="235" ht="15.75" customHeight="1">
      <c r="A235" s="176"/>
      <c r="B235" s="176"/>
      <c r="C235" s="176"/>
      <c r="D235" s="176"/>
      <c r="E235" s="176"/>
      <c r="F235" s="176"/>
      <c r="G235" s="175"/>
      <c r="H235" s="243"/>
      <c r="I235" s="243"/>
      <c r="J235" s="245"/>
      <c r="K235" s="246"/>
      <c r="L235" s="189"/>
      <c r="M235" s="177"/>
      <c r="N235" s="177"/>
      <c r="O235" s="177"/>
      <c r="P235" s="177"/>
      <c r="Q235" s="177"/>
      <c r="R235" s="177"/>
      <c r="S235" s="177"/>
      <c r="T235" s="177"/>
      <c r="U235" s="177"/>
      <c r="V235" s="177"/>
      <c r="W235" s="177"/>
    </row>
    <row r="236" ht="15.75" customHeight="1">
      <c r="A236" s="190" t="s">
        <v>1173</v>
      </c>
      <c r="B236" s="191" t="s">
        <v>1174</v>
      </c>
      <c r="C236" s="191" t="s">
        <v>1175</v>
      </c>
      <c r="D236" s="190" t="s">
        <v>1176</v>
      </c>
      <c r="E236" s="190" t="s">
        <v>1177</v>
      </c>
      <c r="F236" s="190" t="s">
        <v>1178</v>
      </c>
      <c r="G236" s="259" t="s">
        <v>1180</v>
      </c>
      <c r="H236" s="192" t="s">
        <v>1179</v>
      </c>
      <c r="I236" s="192" t="s">
        <v>1181</v>
      </c>
      <c r="J236" s="193" t="s">
        <v>1134</v>
      </c>
      <c r="K236" s="194" t="s">
        <v>1182</v>
      </c>
      <c r="L236" s="195" t="s">
        <v>339</v>
      </c>
      <c r="M236" s="177"/>
      <c r="N236" s="177"/>
      <c r="O236" s="177"/>
      <c r="P236" s="177"/>
      <c r="Q236" s="177"/>
      <c r="R236" s="177"/>
      <c r="S236" s="177"/>
      <c r="T236" s="177"/>
      <c r="U236" s="177"/>
      <c r="V236" s="177"/>
      <c r="W236" s="177"/>
    </row>
    <row r="237" ht="15.75" customHeight="1">
      <c r="A237" s="196" t="s">
        <v>1183</v>
      </c>
      <c r="B237" s="197"/>
      <c r="C237" s="196"/>
      <c r="D237" s="198"/>
      <c r="E237" s="196"/>
      <c r="F237" s="196"/>
      <c r="G237" s="199"/>
      <c r="H237" s="199"/>
      <c r="I237" s="252"/>
      <c r="J237" s="202"/>
      <c r="K237" s="203">
        <f t="shared" ref="K237:L237" si="26">SUBTOTAL(9,K238:K251)</f>
        <v>0</v>
      </c>
      <c r="L237" s="203">
        <f t="shared" si="26"/>
        <v>0</v>
      </c>
      <c r="M237" s="177"/>
      <c r="N237" s="177"/>
      <c r="O237" s="177"/>
      <c r="P237" s="177"/>
      <c r="Q237" s="177"/>
      <c r="R237" s="177"/>
      <c r="S237" s="177"/>
      <c r="T237" s="177"/>
      <c r="U237" s="177"/>
      <c r="V237" s="177"/>
      <c r="W237" s="177"/>
    </row>
    <row r="238" ht="15.75" customHeight="1" outlineLevel="1">
      <c r="A238" s="190"/>
      <c r="B238" s="204"/>
      <c r="C238" s="191"/>
      <c r="D238" s="205" t="str">
        <f>IFERROR(VLOOKUP($C238,'PORTIFÓLIO'!C:V,2,0),"")</f>
        <v/>
      </c>
      <c r="E238" s="190" t="str">
        <f>IFERROR(VLOOKUP($C238,'PORTIFÓLIO'!C:V,3,0),"")</f>
        <v/>
      </c>
      <c r="F238" s="190" t="str">
        <f>IFERROR(VLOOKUP($C238,'PORTIFÓLIO'!C:V,4,0),"")</f>
        <v/>
      </c>
      <c r="G238" s="206" t="str">
        <f>IFERROR(VLOOKUP($C238,'PORTIFÓLIO'!C:V,5,0),"")</f>
        <v/>
      </c>
      <c r="H238" s="247" t="str">
        <f t="array" ref="H238">IFERROR(INDEX('PORTIFÓLIO'!$H$4:$H$433,MATCH($C238,'PORTIFÓLIO'!$C$4:$C$433,0)),"")</f>
        <v/>
      </c>
      <c r="I238" s="253"/>
      <c r="J238" s="209">
        <f t="shared" ref="J238:J251" si="27">I238*$B$2</f>
        <v>0</v>
      </c>
      <c r="K238" s="210" t="str">
        <f t="array" ref="K238">IFERROR(I238*INDEX('PORTIFÓLIO'!$S$4:$S$433,MATCH($C238,'PORTIFÓLIO'!$C$4:$C$433,0)),"")</f>
        <v/>
      </c>
      <c r="L238" s="210" t="str">
        <f t="array" ref="L238">IFERROR(J238*INDEX('PORTIFÓLIO'!$S$4:$S$433,MATCH($C238,'PORTIFÓLIO'!$C$4:$C$433,0)),"")</f>
        <v/>
      </c>
      <c r="M238" s="177"/>
      <c r="N238" s="177"/>
      <c r="O238" s="177"/>
      <c r="P238" s="177"/>
      <c r="Q238" s="177"/>
      <c r="R238" s="177"/>
      <c r="S238" s="177"/>
      <c r="T238" s="177"/>
      <c r="U238" s="177"/>
      <c r="V238" s="177"/>
      <c r="W238" s="177"/>
    </row>
    <row r="239" ht="15.75" customHeight="1" outlineLevel="1">
      <c r="A239" s="190"/>
      <c r="B239" s="204"/>
      <c r="C239" s="191"/>
      <c r="D239" s="205" t="str">
        <f>IFERROR(VLOOKUP($C239,'PORTIFÓLIO'!C:V,2,0),"")</f>
        <v/>
      </c>
      <c r="E239" s="190" t="str">
        <f>IFERROR(VLOOKUP($C239,'PORTIFÓLIO'!C:V,3,0),"")</f>
        <v/>
      </c>
      <c r="F239" s="190" t="str">
        <f>IFERROR(VLOOKUP($C239,'PORTIFÓLIO'!C:V,4,0),"")</f>
        <v/>
      </c>
      <c r="G239" s="206" t="str">
        <f>IFERROR(VLOOKUP($C239,'PORTIFÓLIO'!C:V,5,0),"")</f>
        <v/>
      </c>
      <c r="H239" s="247" t="str">
        <f t="array" ref="H239">IFERROR(INDEX('PORTIFÓLIO'!$H$4:$H$433,MATCH($C239,'PORTIFÓLIO'!$C$4:$C$433,0)),"")</f>
        <v/>
      </c>
      <c r="I239" s="253"/>
      <c r="J239" s="209">
        <f t="shared" si="27"/>
        <v>0</v>
      </c>
      <c r="K239" s="210" t="str">
        <f t="array" ref="K239">IFERROR(I239*INDEX('PORTIFÓLIO'!$S$4:$S$433,MATCH($C239,'PORTIFÓLIO'!$C$4:$C$433,0)),"")</f>
        <v/>
      </c>
      <c r="L239" s="210" t="str">
        <f t="array" ref="L239">IFERROR(J239*INDEX('PORTIFÓLIO'!$S$4:$S$433,MATCH($C239,'PORTIFÓLIO'!$C$4:$C$433,0)),"")</f>
        <v/>
      </c>
      <c r="M239" s="177"/>
      <c r="N239" s="177"/>
      <c r="O239" s="177"/>
      <c r="P239" s="177"/>
      <c r="Q239" s="177"/>
      <c r="R239" s="177"/>
      <c r="S239" s="177"/>
      <c r="T239" s="177"/>
      <c r="U239" s="177"/>
      <c r="V239" s="177"/>
      <c r="W239" s="177"/>
    </row>
    <row r="240" ht="15.75" customHeight="1" outlineLevel="1">
      <c r="A240" s="190"/>
      <c r="B240" s="204"/>
      <c r="C240" s="191"/>
      <c r="D240" s="205" t="str">
        <f>IFERROR(VLOOKUP($C240,'PORTIFÓLIO'!C:V,2,0),"")</f>
        <v/>
      </c>
      <c r="E240" s="190" t="str">
        <f>IFERROR(VLOOKUP($C240,'PORTIFÓLIO'!C:V,3,0),"")</f>
        <v/>
      </c>
      <c r="F240" s="190" t="str">
        <f>IFERROR(VLOOKUP($C240,'PORTIFÓLIO'!C:V,4,0),"")</f>
        <v/>
      </c>
      <c r="G240" s="206" t="str">
        <f>IFERROR(VLOOKUP($C240,'PORTIFÓLIO'!C:V,5,0),"")</f>
        <v/>
      </c>
      <c r="H240" s="247" t="str">
        <f t="array" ref="H240">IFERROR(INDEX('PORTIFÓLIO'!$H$4:$H$433,MATCH($C240,'PORTIFÓLIO'!$C$4:$C$433,0)),"")</f>
        <v/>
      </c>
      <c r="I240" s="257"/>
      <c r="J240" s="209">
        <f t="shared" si="27"/>
        <v>0</v>
      </c>
      <c r="K240" s="210" t="str">
        <f t="array" ref="K240">IFERROR(I240*INDEX('PORTIFÓLIO'!$S$4:$S$433,MATCH($C240,'PORTIFÓLIO'!$C$4:$C$433,0)),"")</f>
        <v/>
      </c>
      <c r="L240" s="210" t="str">
        <f t="array" ref="L240">IFERROR(J240*INDEX('PORTIFÓLIO'!$S$4:$S$433,MATCH($C240,'PORTIFÓLIO'!$C$4:$C$433,0)),"")</f>
        <v/>
      </c>
      <c r="M240" s="177"/>
      <c r="N240" s="177"/>
      <c r="O240" s="177"/>
      <c r="P240" s="177"/>
      <c r="Q240" s="177"/>
      <c r="R240" s="177"/>
      <c r="S240" s="177"/>
      <c r="T240" s="177"/>
      <c r="U240" s="177"/>
      <c r="V240" s="177"/>
      <c r="W240" s="177"/>
    </row>
    <row r="241" ht="15.75" customHeight="1" outlineLevel="1">
      <c r="A241" s="190"/>
      <c r="B241" s="204"/>
      <c r="C241" s="191"/>
      <c r="D241" s="205" t="str">
        <f>IFERROR(VLOOKUP($C241,'PORTIFÓLIO'!C:V,2,0),"")</f>
        <v/>
      </c>
      <c r="E241" s="190" t="str">
        <f>IFERROR(VLOOKUP($C241,'PORTIFÓLIO'!C:V,3,0),"")</f>
        <v/>
      </c>
      <c r="F241" s="190" t="str">
        <f>IFERROR(VLOOKUP($C241,'PORTIFÓLIO'!C:V,4,0),"")</f>
        <v/>
      </c>
      <c r="G241" s="206" t="str">
        <f>IFERROR(VLOOKUP($C241,'PORTIFÓLIO'!C:V,5,0),"")</f>
        <v/>
      </c>
      <c r="H241" s="247" t="str">
        <f t="array" ref="H241">IFERROR(INDEX('PORTIFÓLIO'!$H$4:$H$433,MATCH($C241,'PORTIFÓLIO'!$C$4:$C$433,0)),"")</f>
        <v/>
      </c>
      <c r="I241" s="257"/>
      <c r="J241" s="209">
        <f t="shared" si="27"/>
        <v>0</v>
      </c>
      <c r="K241" s="210" t="str">
        <f t="array" ref="K241">IFERROR(I241*INDEX('PORTIFÓLIO'!$S$4:$S$433,MATCH($C241,'PORTIFÓLIO'!$C$4:$C$433,0)),"")</f>
        <v/>
      </c>
      <c r="L241" s="210" t="str">
        <f t="array" ref="L241">IFERROR(J241*INDEX('PORTIFÓLIO'!$S$4:$S$433,MATCH($C241,'PORTIFÓLIO'!$C$4:$C$433,0)),"")</f>
        <v/>
      </c>
      <c r="M241" s="177"/>
      <c r="N241" s="177"/>
      <c r="O241" s="177"/>
      <c r="P241" s="177"/>
      <c r="Q241" s="177"/>
      <c r="R241" s="177"/>
      <c r="S241" s="177"/>
      <c r="T241" s="177"/>
      <c r="U241" s="177"/>
      <c r="V241" s="177"/>
      <c r="W241" s="177"/>
    </row>
    <row r="242" ht="15.75" customHeight="1" outlineLevel="1">
      <c r="A242" s="190"/>
      <c r="B242" s="204"/>
      <c r="C242" s="191"/>
      <c r="D242" s="205" t="str">
        <f>IFERROR(VLOOKUP($C242,'PORTIFÓLIO'!C:V,2,0),"")</f>
        <v/>
      </c>
      <c r="E242" s="190" t="str">
        <f>IFERROR(VLOOKUP($C242,'PORTIFÓLIO'!C:V,3,0),"")</f>
        <v/>
      </c>
      <c r="F242" s="190" t="str">
        <f>IFERROR(VLOOKUP($C242,'PORTIFÓLIO'!C:V,4,0),"")</f>
        <v/>
      </c>
      <c r="G242" s="206" t="str">
        <f>IFERROR(VLOOKUP($C242,'PORTIFÓLIO'!C:V,5,0),"")</f>
        <v/>
      </c>
      <c r="H242" s="247" t="str">
        <f t="array" ref="H242">IFERROR(INDEX('PORTIFÓLIO'!$H$4:$H$433,MATCH($C242,'PORTIFÓLIO'!$C$4:$C$433,0)),"")</f>
        <v/>
      </c>
      <c r="I242" s="253"/>
      <c r="J242" s="209">
        <f t="shared" si="27"/>
        <v>0</v>
      </c>
      <c r="K242" s="210" t="str">
        <f t="array" ref="K242">IFERROR(I242*INDEX('PORTIFÓLIO'!$S$4:$S$433,MATCH($C242,'PORTIFÓLIO'!$C$4:$C$433,0)),"")</f>
        <v/>
      </c>
      <c r="L242" s="210" t="str">
        <f t="array" ref="L242">IFERROR(J242*INDEX('PORTIFÓLIO'!$S$4:$S$433,MATCH($C242,'PORTIFÓLIO'!$C$4:$C$433,0)),"")</f>
        <v/>
      </c>
      <c r="M242" s="177"/>
      <c r="N242" s="177"/>
      <c r="O242" s="177"/>
      <c r="P242" s="177"/>
      <c r="Q242" s="177"/>
      <c r="R242" s="177"/>
      <c r="S242" s="177"/>
      <c r="T242" s="177"/>
      <c r="U242" s="177"/>
      <c r="V242" s="177"/>
      <c r="W242" s="177"/>
    </row>
    <row r="243" ht="15.75" customHeight="1" outlineLevel="1">
      <c r="A243" s="190"/>
      <c r="B243" s="204"/>
      <c r="C243" s="191"/>
      <c r="D243" s="205" t="str">
        <f>IFERROR(VLOOKUP($C243,'PORTIFÓLIO'!C:V,2,0),"")</f>
        <v/>
      </c>
      <c r="E243" s="190" t="str">
        <f>IFERROR(VLOOKUP($C243,'PORTIFÓLIO'!C:V,3,0),"")</f>
        <v/>
      </c>
      <c r="F243" s="190" t="str">
        <f>IFERROR(VLOOKUP($C243,'PORTIFÓLIO'!C:V,4,0),"")</f>
        <v/>
      </c>
      <c r="G243" s="206" t="str">
        <f>IFERROR(VLOOKUP($C243,'PORTIFÓLIO'!C:V,5,0),"")</f>
        <v/>
      </c>
      <c r="H243" s="247" t="str">
        <f t="array" ref="H243">IFERROR(INDEX('PORTIFÓLIO'!$H$4:$H$433,MATCH($C243,'PORTIFÓLIO'!$C$4:$C$433,0)),"")</f>
        <v/>
      </c>
      <c r="I243" s="257"/>
      <c r="J243" s="209">
        <f t="shared" si="27"/>
        <v>0</v>
      </c>
      <c r="K243" s="210" t="str">
        <f t="array" ref="K243">IFERROR(I243*INDEX('PORTIFÓLIO'!$S$4:$S$433,MATCH($C243,'PORTIFÓLIO'!$C$4:$C$433,0)),"")</f>
        <v/>
      </c>
      <c r="L243" s="210" t="str">
        <f t="array" ref="L243">IFERROR(J243*INDEX('PORTIFÓLIO'!$S$4:$S$433,MATCH($C243,'PORTIFÓLIO'!$C$4:$C$433,0)),"")</f>
        <v/>
      </c>
      <c r="M243" s="177"/>
      <c r="N243" s="177"/>
      <c r="O243" s="177"/>
      <c r="P243" s="177"/>
      <c r="Q243" s="177"/>
      <c r="R243" s="177"/>
      <c r="S243" s="177"/>
      <c r="T243" s="177"/>
      <c r="U243" s="177"/>
      <c r="V243" s="177"/>
      <c r="W243" s="177"/>
    </row>
    <row r="244" ht="15.75" customHeight="1" outlineLevel="1">
      <c r="A244" s="190"/>
      <c r="B244" s="204"/>
      <c r="C244" s="191"/>
      <c r="D244" s="205" t="str">
        <f>IFERROR(VLOOKUP($C244,'PORTIFÓLIO'!C:V,2,0),"")</f>
        <v/>
      </c>
      <c r="E244" s="190" t="str">
        <f>IFERROR(VLOOKUP($C244,'PORTIFÓLIO'!C:V,3,0),"")</f>
        <v/>
      </c>
      <c r="F244" s="190" t="str">
        <f>IFERROR(VLOOKUP($C244,'PORTIFÓLIO'!C:V,4,0),"")</f>
        <v/>
      </c>
      <c r="G244" s="206" t="str">
        <f>IFERROR(VLOOKUP($C244,'PORTIFÓLIO'!C:V,5,0),"")</f>
        <v/>
      </c>
      <c r="H244" s="247" t="str">
        <f t="array" ref="H244">IFERROR(INDEX('PORTIFÓLIO'!$H$4:$H$433,MATCH($C244,'PORTIFÓLIO'!$C$4:$C$433,0)),"")</f>
        <v/>
      </c>
      <c r="I244" s="257"/>
      <c r="J244" s="209">
        <f t="shared" si="27"/>
        <v>0</v>
      </c>
      <c r="K244" s="210" t="str">
        <f t="array" ref="K244">IFERROR(I244*INDEX('PORTIFÓLIO'!$S$4:$S$433,MATCH($C244,'PORTIFÓLIO'!$C$4:$C$433,0)),"")</f>
        <v/>
      </c>
      <c r="L244" s="210" t="str">
        <f t="array" ref="L244">IFERROR(J244*INDEX('PORTIFÓLIO'!$S$4:$S$433,MATCH($C244,'PORTIFÓLIO'!$C$4:$C$433,0)),"")</f>
        <v/>
      </c>
      <c r="M244" s="177"/>
      <c r="N244" s="177"/>
      <c r="O244" s="177"/>
      <c r="P244" s="177"/>
      <c r="Q244" s="177"/>
      <c r="R244" s="177"/>
      <c r="S244" s="177"/>
      <c r="T244" s="177"/>
      <c r="U244" s="177"/>
      <c r="V244" s="177"/>
      <c r="W244" s="177"/>
    </row>
    <row r="245" ht="15.75" customHeight="1" outlineLevel="1">
      <c r="A245" s="190"/>
      <c r="B245" s="204"/>
      <c r="C245" s="191"/>
      <c r="D245" s="205" t="str">
        <f>IFERROR(VLOOKUP($C245,'PORTIFÓLIO'!C:V,2,0),"")</f>
        <v/>
      </c>
      <c r="E245" s="190" t="str">
        <f>IFERROR(VLOOKUP($C245,'PORTIFÓLIO'!C:V,3,0),"")</f>
        <v/>
      </c>
      <c r="F245" s="190" t="str">
        <f>IFERROR(VLOOKUP($C245,'PORTIFÓLIO'!C:V,4,0),"")</f>
        <v/>
      </c>
      <c r="G245" s="206" t="str">
        <f>IFERROR(VLOOKUP($C245,'PORTIFÓLIO'!C:V,5,0),"")</f>
        <v/>
      </c>
      <c r="H245" s="247" t="str">
        <f t="array" ref="H245">IFERROR(INDEX('PORTIFÓLIO'!$H$4:$H$433,MATCH($C245,'PORTIFÓLIO'!$C$4:$C$433,0)),"")</f>
        <v/>
      </c>
      <c r="I245" s="257"/>
      <c r="J245" s="209">
        <f t="shared" si="27"/>
        <v>0</v>
      </c>
      <c r="K245" s="210" t="str">
        <f t="array" ref="K245">IFERROR(I245*INDEX('PORTIFÓLIO'!$S$4:$S$433,MATCH($C245,'PORTIFÓLIO'!$C$4:$C$433,0)),"")</f>
        <v/>
      </c>
      <c r="L245" s="210" t="str">
        <f t="array" ref="L245">IFERROR(J245*INDEX('PORTIFÓLIO'!$S$4:$S$433,MATCH($C245,'PORTIFÓLIO'!$C$4:$C$433,0)),"")</f>
        <v/>
      </c>
      <c r="M245" s="177"/>
      <c r="N245" s="177"/>
      <c r="O245" s="177"/>
      <c r="P245" s="177"/>
      <c r="Q245" s="177"/>
      <c r="R245" s="177"/>
      <c r="S245" s="177"/>
      <c r="T245" s="177"/>
      <c r="U245" s="177"/>
      <c r="V245" s="177"/>
      <c r="W245" s="177"/>
    </row>
    <row r="246" ht="15.75" customHeight="1" outlineLevel="1">
      <c r="A246" s="190"/>
      <c r="B246" s="204"/>
      <c r="C246" s="191"/>
      <c r="D246" s="205" t="str">
        <f>IFERROR(VLOOKUP($C246,'PORTIFÓLIO'!C:V,2,0),"")</f>
        <v/>
      </c>
      <c r="E246" s="190" t="str">
        <f>IFERROR(VLOOKUP($C246,'PORTIFÓLIO'!C:V,3,0),"")</f>
        <v/>
      </c>
      <c r="F246" s="190" t="str">
        <f>IFERROR(VLOOKUP($C246,'PORTIFÓLIO'!C:V,4,0),"")</f>
        <v/>
      </c>
      <c r="G246" s="206" t="str">
        <f>IFERROR(VLOOKUP($C246,'PORTIFÓLIO'!C:V,5,0),"")</f>
        <v/>
      </c>
      <c r="H246" s="247" t="str">
        <f t="array" ref="H246">IFERROR(INDEX('PORTIFÓLIO'!$H$4:$H$433,MATCH($C246,'PORTIFÓLIO'!$C$4:$C$433,0)),"")</f>
        <v/>
      </c>
      <c r="I246" s="253"/>
      <c r="J246" s="209">
        <f t="shared" si="27"/>
        <v>0</v>
      </c>
      <c r="K246" s="210" t="str">
        <f t="array" ref="K246">IFERROR(I246*INDEX('PORTIFÓLIO'!$S$4:$S$433,MATCH($C246,'PORTIFÓLIO'!$C$4:$C$433,0)),"")</f>
        <v/>
      </c>
      <c r="L246" s="210" t="str">
        <f t="array" ref="L246">IFERROR(J246*INDEX('PORTIFÓLIO'!$S$4:$S$433,MATCH($C246,'PORTIFÓLIO'!$C$4:$C$433,0)),"")</f>
        <v/>
      </c>
      <c r="M246" s="177"/>
      <c r="N246" s="177"/>
      <c r="O246" s="177"/>
      <c r="P246" s="177"/>
      <c r="Q246" s="177"/>
      <c r="R246" s="177"/>
      <c r="S246" s="177"/>
      <c r="T246" s="177"/>
      <c r="U246" s="177"/>
      <c r="V246" s="177"/>
      <c r="W246" s="177"/>
    </row>
    <row r="247" ht="15.75" customHeight="1" outlineLevel="1">
      <c r="A247" s="190"/>
      <c r="B247" s="204"/>
      <c r="C247" s="191"/>
      <c r="D247" s="205" t="str">
        <f>IFERROR(VLOOKUP($C247,'PORTIFÓLIO'!C:V,2,0),"")</f>
        <v/>
      </c>
      <c r="E247" s="190" t="str">
        <f>IFERROR(VLOOKUP($C247,'PORTIFÓLIO'!C:V,3,0),"")</f>
        <v/>
      </c>
      <c r="F247" s="190" t="str">
        <f>IFERROR(VLOOKUP($C247,'PORTIFÓLIO'!C:V,4,0),"")</f>
        <v/>
      </c>
      <c r="G247" s="206" t="str">
        <f>IFERROR(VLOOKUP($C247,'PORTIFÓLIO'!C:V,5,0),"")</f>
        <v/>
      </c>
      <c r="H247" s="247" t="str">
        <f t="array" ref="H247">IFERROR(INDEX('PORTIFÓLIO'!$H$4:$H$433,MATCH($C247,'PORTIFÓLIO'!$C$4:$C$433,0)),"")</f>
        <v/>
      </c>
      <c r="I247" s="253"/>
      <c r="J247" s="209">
        <f t="shared" si="27"/>
        <v>0</v>
      </c>
      <c r="K247" s="210" t="str">
        <f t="array" ref="K247">IFERROR(I247*INDEX('PORTIFÓLIO'!$S$4:$S$433,MATCH($C247,'PORTIFÓLIO'!$C$4:$C$433,0)),"")</f>
        <v/>
      </c>
      <c r="L247" s="210" t="str">
        <f t="array" ref="L247">IFERROR(J247*INDEX('PORTIFÓLIO'!$S$4:$S$433,MATCH($C247,'PORTIFÓLIO'!$C$4:$C$433,0)),"")</f>
        <v/>
      </c>
      <c r="M247" s="177"/>
      <c r="N247" s="177"/>
      <c r="O247" s="177"/>
      <c r="P247" s="177"/>
      <c r="Q247" s="177"/>
      <c r="R247" s="177"/>
      <c r="S247" s="177"/>
      <c r="T247" s="177"/>
      <c r="U247" s="177"/>
      <c r="V247" s="177"/>
      <c r="W247" s="177"/>
    </row>
    <row r="248" ht="15.75" customHeight="1" outlineLevel="1">
      <c r="A248" s="190"/>
      <c r="B248" s="204"/>
      <c r="C248" s="191"/>
      <c r="D248" s="205" t="str">
        <f>IFERROR(VLOOKUP($C248,'PORTIFÓLIO'!C:V,2,0),"")</f>
        <v/>
      </c>
      <c r="E248" s="190" t="str">
        <f>IFERROR(VLOOKUP($C248,'PORTIFÓLIO'!C:V,3,0),"")</f>
        <v/>
      </c>
      <c r="F248" s="190" t="str">
        <f>IFERROR(VLOOKUP($C248,'PORTIFÓLIO'!C:V,4,0),"")</f>
        <v/>
      </c>
      <c r="G248" s="206" t="str">
        <f>IFERROR(VLOOKUP($C248,'PORTIFÓLIO'!C:V,5,0),"")</f>
        <v/>
      </c>
      <c r="H248" s="247" t="str">
        <f t="array" ref="H248">IFERROR(INDEX('PORTIFÓLIO'!$H$4:$H$433,MATCH($C248,'PORTIFÓLIO'!$C$4:$C$433,0)),"")</f>
        <v/>
      </c>
      <c r="I248" s="253"/>
      <c r="J248" s="209">
        <f t="shared" si="27"/>
        <v>0</v>
      </c>
      <c r="K248" s="210" t="str">
        <f t="array" ref="K248">IFERROR(I248*INDEX('PORTIFÓLIO'!$S$4:$S$433,MATCH($C248,'PORTIFÓLIO'!$C$4:$C$433,0)),"")</f>
        <v/>
      </c>
      <c r="L248" s="210" t="str">
        <f t="array" ref="L248">IFERROR(J248*INDEX('PORTIFÓLIO'!$S$4:$S$433,MATCH($C248,'PORTIFÓLIO'!$C$4:$C$433,0)),"")</f>
        <v/>
      </c>
      <c r="M248" s="177"/>
      <c r="N248" s="177"/>
      <c r="O248" s="177"/>
      <c r="P248" s="177"/>
      <c r="Q248" s="177"/>
      <c r="R248" s="177"/>
      <c r="S248" s="177"/>
      <c r="T248" s="177"/>
      <c r="U248" s="177"/>
      <c r="V248" s="177"/>
      <c r="W248" s="177"/>
    </row>
    <row r="249" ht="15.75" customHeight="1" outlineLevel="1">
      <c r="A249" s="190"/>
      <c r="B249" s="204"/>
      <c r="C249" s="191"/>
      <c r="D249" s="205" t="str">
        <f>IFERROR(VLOOKUP($C249,'PORTIFÓLIO'!C:V,2,0),"")</f>
        <v/>
      </c>
      <c r="E249" s="190" t="str">
        <f>IFERROR(VLOOKUP($C249,'PORTIFÓLIO'!C:V,3,0),"")</f>
        <v/>
      </c>
      <c r="F249" s="190" t="str">
        <f>IFERROR(VLOOKUP($C249,'PORTIFÓLIO'!C:V,4,0),"")</f>
        <v/>
      </c>
      <c r="G249" s="206" t="str">
        <f>IFERROR(VLOOKUP($C249,'PORTIFÓLIO'!C:V,5,0),"")</f>
        <v/>
      </c>
      <c r="H249" s="247" t="str">
        <f t="array" ref="H249">IFERROR(INDEX('PORTIFÓLIO'!$H$4:$H$433,MATCH($C249,'PORTIFÓLIO'!$C$4:$C$433,0)),"")</f>
        <v/>
      </c>
      <c r="I249" s="253"/>
      <c r="J249" s="209">
        <f t="shared" si="27"/>
        <v>0</v>
      </c>
      <c r="K249" s="210" t="str">
        <f t="array" ref="K249">IFERROR(I249*INDEX('PORTIFÓLIO'!$S$4:$S$433,MATCH($C249,'PORTIFÓLIO'!$C$4:$C$433,0)),"")</f>
        <v/>
      </c>
      <c r="L249" s="210" t="str">
        <f t="array" ref="L249">IFERROR(J249*INDEX('PORTIFÓLIO'!$S$4:$S$433,MATCH($C249,'PORTIFÓLIO'!$C$4:$C$433,0)),"")</f>
        <v/>
      </c>
      <c r="M249" s="177"/>
      <c r="N249" s="177"/>
      <c r="O249" s="177"/>
      <c r="P249" s="177"/>
      <c r="Q249" s="177"/>
      <c r="R249" s="177"/>
      <c r="S249" s="177"/>
      <c r="T249" s="177"/>
      <c r="U249" s="177"/>
      <c r="V249" s="177"/>
      <c r="W249" s="177"/>
    </row>
    <row r="250" ht="15.75" customHeight="1" outlineLevel="1">
      <c r="A250" s="190"/>
      <c r="B250" s="204"/>
      <c r="C250" s="191"/>
      <c r="D250" s="205" t="str">
        <f>IFERROR(VLOOKUP($C250,'PORTIFÓLIO'!C:V,2,0),"")</f>
        <v/>
      </c>
      <c r="E250" s="190" t="str">
        <f>IFERROR(VLOOKUP($C250,'PORTIFÓLIO'!C:V,3,0),"")</f>
        <v/>
      </c>
      <c r="F250" s="190" t="str">
        <f>IFERROR(VLOOKUP($C250,'PORTIFÓLIO'!C:V,4,0),"")</f>
        <v/>
      </c>
      <c r="G250" s="206" t="str">
        <f>IFERROR(VLOOKUP($C250,'PORTIFÓLIO'!C:V,5,0),"")</f>
        <v/>
      </c>
      <c r="H250" s="247" t="str">
        <f t="array" ref="H250">IFERROR(INDEX('PORTIFÓLIO'!$H$4:$H$433,MATCH($C250,'PORTIFÓLIO'!$C$4:$C$433,0)),"")</f>
        <v/>
      </c>
      <c r="I250" s="253"/>
      <c r="J250" s="209">
        <f t="shared" si="27"/>
        <v>0</v>
      </c>
      <c r="K250" s="210" t="str">
        <f t="array" ref="K250">IFERROR(I250*INDEX('PORTIFÓLIO'!$S$4:$S$433,MATCH($C250,'PORTIFÓLIO'!$C$4:$C$433,0)),"")</f>
        <v/>
      </c>
      <c r="L250" s="210" t="str">
        <f t="array" ref="L250">IFERROR(J250*INDEX('PORTIFÓLIO'!$S$4:$S$433,MATCH($C250,'PORTIFÓLIO'!$C$4:$C$433,0)),"")</f>
        <v/>
      </c>
      <c r="M250" s="177"/>
      <c r="N250" s="177"/>
      <c r="O250" s="177"/>
      <c r="P250" s="177"/>
      <c r="Q250" s="177"/>
      <c r="R250" s="177"/>
      <c r="S250" s="177"/>
      <c r="T250" s="177"/>
      <c r="U250" s="177"/>
      <c r="V250" s="177"/>
      <c r="W250" s="177"/>
    </row>
    <row r="251" ht="15.75" customHeight="1" outlineLevel="1">
      <c r="A251" s="190"/>
      <c r="B251" s="204"/>
      <c r="C251" s="191"/>
      <c r="D251" s="205" t="str">
        <f>IFERROR(VLOOKUP($C251,'PORTIFÓLIO'!C:V,2,0),"")</f>
        <v/>
      </c>
      <c r="E251" s="190" t="str">
        <f>IFERROR(VLOOKUP($C251,'PORTIFÓLIO'!C:V,3,0),"")</f>
        <v/>
      </c>
      <c r="F251" s="190" t="str">
        <f>IFERROR(VLOOKUP($C251,'PORTIFÓLIO'!C:V,4,0),"")</f>
        <v/>
      </c>
      <c r="G251" s="206" t="str">
        <f>IFERROR(VLOOKUP($C251,'PORTIFÓLIO'!C:V,5,0),"")</f>
        <v/>
      </c>
      <c r="H251" s="247" t="str">
        <f t="array" ref="H251">IFERROR(INDEX('PORTIFÓLIO'!$H$4:$H$433,MATCH($C251,'PORTIFÓLIO'!$C$4:$C$433,0)),"")</f>
        <v/>
      </c>
      <c r="I251" s="253"/>
      <c r="J251" s="209">
        <f t="shared" si="27"/>
        <v>0</v>
      </c>
      <c r="K251" s="210" t="str">
        <f t="array" ref="K251">IFERROR(I251*INDEX('PORTIFÓLIO'!$S$4:$S$433,MATCH($C251,'PORTIFÓLIO'!$C$4:$C$433,0)),"")</f>
        <v/>
      </c>
      <c r="L251" s="210" t="str">
        <f t="array" ref="L251">IFERROR(J251*INDEX('PORTIFÓLIO'!$S$4:$S$433,MATCH($C251,'PORTIFÓLIO'!$C$4:$C$433,0)),"")</f>
        <v/>
      </c>
      <c r="M251" s="177"/>
      <c r="N251" s="177"/>
      <c r="O251" s="177"/>
      <c r="P251" s="177"/>
      <c r="Q251" s="177"/>
      <c r="R251" s="177"/>
      <c r="S251" s="177"/>
      <c r="T251" s="177"/>
      <c r="U251" s="177"/>
      <c r="V251" s="177"/>
      <c r="W251" s="177"/>
    </row>
    <row r="252" ht="15.75" customHeight="1">
      <c r="A252" s="221" t="s">
        <v>1184</v>
      </c>
      <c r="B252" s="197"/>
      <c r="C252" s="196"/>
      <c r="D252" s="198"/>
      <c r="E252" s="196"/>
      <c r="F252" s="196"/>
      <c r="G252" s="199"/>
      <c r="H252" s="199"/>
      <c r="I252" s="252"/>
      <c r="J252" s="202"/>
      <c r="K252" s="203">
        <f t="shared" ref="K252:L252" si="28">SUBTOTAL(9,K253:K266)</f>
        <v>0</v>
      </c>
      <c r="L252" s="203">
        <f t="shared" si="28"/>
        <v>0</v>
      </c>
      <c r="M252" s="177"/>
      <c r="N252" s="177"/>
      <c r="O252" s="177"/>
      <c r="P252" s="177"/>
      <c r="Q252" s="177"/>
      <c r="R252" s="177"/>
      <c r="S252" s="177"/>
      <c r="T252" s="177"/>
      <c r="U252" s="177"/>
      <c r="V252" s="177"/>
      <c r="W252" s="177"/>
    </row>
    <row r="253" ht="15.75" customHeight="1" outlineLevel="1">
      <c r="A253" s="191"/>
      <c r="B253" s="204"/>
      <c r="C253" s="191"/>
      <c r="D253" s="205" t="str">
        <f>IFERROR(VLOOKUP($C253,'PORTIFÓLIO'!C:V,2,0),"")</f>
        <v/>
      </c>
      <c r="E253" s="190" t="str">
        <f>IFERROR(VLOOKUP($C253,'PORTIFÓLIO'!C:V,3,0),"")</f>
        <v/>
      </c>
      <c r="F253" s="190" t="str">
        <f>IFERROR(VLOOKUP($C253,'PORTIFÓLIO'!C:V,4,0),"")</f>
        <v/>
      </c>
      <c r="G253" s="206" t="str">
        <f>IFERROR(VLOOKUP($C253,'PORTIFÓLIO'!C:V,5,0),"")</f>
        <v/>
      </c>
      <c r="H253" s="247" t="str">
        <f t="array" ref="H253">IFERROR(INDEX('PORTIFÓLIO'!$H$4:$H$433,MATCH($C253,'PORTIFÓLIO'!$C$4:$C$433,0)),"")</f>
        <v/>
      </c>
      <c r="I253" s="253"/>
      <c r="J253" s="209">
        <f t="shared" ref="J253:J270" si="29">I253*$B$2</f>
        <v>0</v>
      </c>
      <c r="K253" s="248" t="str">
        <f t="array" ref="K253">IFERROR(I253*INDEX('PORTIFÓLIO'!$S$4:$S$433,MATCH($C253,'PORTIFÓLIO'!$C$4:$C$433,0)),"")</f>
        <v/>
      </c>
      <c r="L253" s="248" t="str">
        <f t="array" ref="L253">IFERROR(J253*INDEX('PORTIFÓLIO'!$S$4:$S$433,MATCH($C253,'PORTIFÓLIO'!$C$4:$C$433,0)),"")</f>
        <v/>
      </c>
      <c r="M253" s="177"/>
      <c r="N253" s="177"/>
      <c r="O253" s="177"/>
      <c r="P253" s="177"/>
      <c r="Q253" s="177"/>
      <c r="R253" s="177"/>
      <c r="S253" s="177"/>
      <c r="T253" s="177"/>
      <c r="U253" s="177"/>
      <c r="V253" s="177"/>
      <c r="W253" s="177"/>
    </row>
    <row r="254" ht="15.75" customHeight="1" outlineLevel="1">
      <c r="A254" s="190"/>
      <c r="B254" s="204"/>
      <c r="C254" s="191"/>
      <c r="D254" s="205" t="str">
        <f>IFERROR(VLOOKUP($C254,'PORTIFÓLIO'!C:V,2,0),"")</f>
        <v/>
      </c>
      <c r="E254" s="190" t="str">
        <f>IFERROR(VLOOKUP($C254,'PORTIFÓLIO'!C:V,3,0),"")</f>
        <v/>
      </c>
      <c r="F254" s="190" t="str">
        <f>IFERROR(VLOOKUP($C254,'PORTIFÓLIO'!C:V,4,0),"")</f>
        <v/>
      </c>
      <c r="G254" s="206" t="str">
        <f>IFERROR(VLOOKUP($C254,'PORTIFÓLIO'!C:V,5,0),"")</f>
        <v/>
      </c>
      <c r="H254" s="247" t="str">
        <f t="array" ref="H254">IFERROR(INDEX('PORTIFÓLIO'!$H$4:$H$433,MATCH($C254,'PORTIFÓLIO'!$C$4:$C$433,0)),"")</f>
        <v/>
      </c>
      <c r="I254" s="253"/>
      <c r="J254" s="209">
        <f t="shared" si="29"/>
        <v>0</v>
      </c>
      <c r="K254" s="248" t="str">
        <f t="array" ref="K254">IFERROR(I254*INDEX('PORTIFÓLIO'!$S$4:$S$433,MATCH($C254,'PORTIFÓLIO'!$C$4:$C$433,0)),"")</f>
        <v/>
      </c>
      <c r="L254" s="248" t="str">
        <f t="array" ref="L254">IFERROR(J254*INDEX('PORTIFÓLIO'!$S$4:$S$433,MATCH($C254,'PORTIFÓLIO'!$C$4:$C$433,0)),"")</f>
        <v/>
      </c>
      <c r="M254" s="177"/>
      <c r="N254" s="177"/>
      <c r="O254" s="177"/>
      <c r="P254" s="177"/>
      <c r="Q254" s="177"/>
      <c r="R254" s="177"/>
      <c r="S254" s="177"/>
      <c r="T254" s="177"/>
      <c r="U254" s="177"/>
      <c r="V254" s="177"/>
      <c r="W254" s="177"/>
    </row>
    <row r="255" ht="15.75" customHeight="1" outlineLevel="1">
      <c r="A255" s="190"/>
      <c r="B255" s="204"/>
      <c r="C255" s="191"/>
      <c r="D255" s="205" t="str">
        <f>IFERROR(VLOOKUP($C255,'PORTIFÓLIO'!C:V,2,0),"")</f>
        <v/>
      </c>
      <c r="E255" s="190" t="str">
        <f>IFERROR(VLOOKUP($C255,'PORTIFÓLIO'!C:V,3,0),"")</f>
        <v/>
      </c>
      <c r="F255" s="190" t="str">
        <f>IFERROR(VLOOKUP($C255,'PORTIFÓLIO'!C:V,4,0),"")</f>
        <v/>
      </c>
      <c r="G255" s="206" t="str">
        <f>IFERROR(VLOOKUP($C255,'PORTIFÓLIO'!C:V,5,0),"")</f>
        <v/>
      </c>
      <c r="H255" s="247" t="str">
        <f t="array" ref="H255">IFERROR(INDEX('PORTIFÓLIO'!$H$4:$H$433,MATCH($C255,'PORTIFÓLIO'!$C$4:$C$433,0)),"")</f>
        <v/>
      </c>
      <c r="I255" s="257"/>
      <c r="J255" s="209">
        <f t="shared" si="29"/>
        <v>0</v>
      </c>
      <c r="K255" s="248" t="str">
        <f t="array" ref="K255">IFERROR(I255*INDEX('PORTIFÓLIO'!$S$4:$S$433,MATCH($C255,'PORTIFÓLIO'!$C$4:$C$433,0)),"")</f>
        <v/>
      </c>
      <c r="L255" s="248" t="str">
        <f t="array" ref="L255">IFERROR(J255*INDEX('PORTIFÓLIO'!$S$4:$S$433,MATCH($C255,'PORTIFÓLIO'!$C$4:$C$433,0)),"")</f>
        <v/>
      </c>
      <c r="M255" s="177"/>
      <c r="N255" s="177"/>
      <c r="O255" s="177"/>
      <c r="P255" s="177"/>
      <c r="Q255" s="177"/>
      <c r="R255" s="177"/>
      <c r="S255" s="177"/>
      <c r="T255" s="177"/>
      <c r="U255" s="177"/>
      <c r="V255" s="177"/>
      <c r="W255" s="177"/>
    </row>
    <row r="256" ht="15.75" customHeight="1" outlineLevel="1">
      <c r="A256" s="190"/>
      <c r="B256" s="204"/>
      <c r="C256" s="191"/>
      <c r="D256" s="205" t="str">
        <f>IFERROR(VLOOKUP($C256,'PORTIFÓLIO'!C:V,2,0),"")</f>
        <v/>
      </c>
      <c r="E256" s="190" t="str">
        <f>IFERROR(VLOOKUP($C256,'PORTIFÓLIO'!C:V,3,0),"")</f>
        <v/>
      </c>
      <c r="F256" s="190" t="str">
        <f>IFERROR(VLOOKUP($C256,'PORTIFÓLIO'!C:V,4,0),"")</f>
        <v/>
      </c>
      <c r="G256" s="206" t="str">
        <f>IFERROR(VLOOKUP($C256,'PORTIFÓLIO'!C:V,5,0),"")</f>
        <v/>
      </c>
      <c r="H256" s="247" t="str">
        <f t="array" ref="H256">IFERROR(INDEX('PORTIFÓLIO'!$H$4:$H$433,MATCH($C256,'PORTIFÓLIO'!$C$4:$C$433,0)),"")</f>
        <v/>
      </c>
      <c r="I256" s="253"/>
      <c r="J256" s="209">
        <f t="shared" si="29"/>
        <v>0</v>
      </c>
      <c r="K256" s="248" t="str">
        <f t="array" ref="K256">IFERROR(I256*INDEX('PORTIFÓLIO'!$S$4:$S$433,MATCH($C256,'PORTIFÓLIO'!$C$4:$C$433,0)),"")</f>
        <v/>
      </c>
      <c r="L256" s="248" t="str">
        <f t="array" ref="L256">IFERROR(J256*INDEX('PORTIFÓLIO'!$S$4:$S$433,MATCH($C256,'PORTIFÓLIO'!$C$4:$C$433,0)),"")</f>
        <v/>
      </c>
      <c r="M256" s="177"/>
      <c r="N256" s="177"/>
      <c r="O256" s="177"/>
      <c r="P256" s="177"/>
      <c r="Q256" s="177"/>
      <c r="R256" s="177"/>
      <c r="S256" s="177"/>
      <c r="T256" s="177"/>
      <c r="U256" s="177"/>
      <c r="V256" s="177"/>
      <c r="W256" s="177"/>
    </row>
    <row r="257" ht="15.75" customHeight="1" outlineLevel="1">
      <c r="A257" s="190"/>
      <c r="B257" s="204"/>
      <c r="C257" s="191"/>
      <c r="D257" s="205" t="str">
        <f>IFERROR(VLOOKUP($C257,'PORTIFÓLIO'!C:V,2,0),"")</f>
        <v/>
      </c>
      <c r="E257" s="190" t="str">
        <f>IFERROR(VLOOKUP($C257,'PORTIFÓLIO'!C:V,3,0),"")</f>
        <v/>
      </c>
      <c r="F257" s="190" t="str">
        <f>IFERROR(VLOOKUP($C257,'PORTIFÓLIO'!C:V,4,0),"")</f>
        <v/>
      </c>
      <c r="G257" s="206" t="str">
        <f>IFERROR(VLOOKUP($C257,'PORTIFÓLIO'!C:V,5,0),"")</f>
        <v/>
      </c>
      <c r="H257" s="247" t="str">
        <f t="array" ref="H257">IFERROR(INDEX('PORTIFÓLIO'!$H$4:$H$433,MATCH($C257,'PORTIFÓLIO'!$C$4:$C$433,0)),"")</f>
        <v/>
      </c>
      <c r="I257" s="257"/>
      <c r="J257" s="209">
        <f t="shared" si="29"/>
        <v>0</v>
      </c>
      <c r="K257" s="248" t="str">
        <f t="array" ref="K257">IFERROR(I257*INDEX('PORTIFÓLIO'!$S$4:$S$433,MATCH($C257,'PORTIFÓLIO'!$C$4:$C$433,0)),"")</f>
        <v/>
      </c>
      <c r="L257" s="248" t="str">
        <f t="array" ref="L257">IFERROR(J257*INDEX('PORTIFÓLIO'!$S$4:$S$433,MATCH($C257,'PORTIFÓLIO'!$C$4:$C$433,0)),"")</f>
        <v/>
      </c>
      <c r="M257" s="177"/>
      <c r="N257" s="177"/>
      <c r="O257" s="177"/>
      <c r="P257" s="177"/>
      <c r="Q257" s="177"/>
      <c r="R257" s="177"/>
      <c r="S257" s="177"/>
      <c r="T257" s="177"/>
      <c r="U257" s="177"/>
      <c r="V257" s="177"/>
      <c r="W257" s="177"/>
    </row>
    <row r="258" ht="15.75" customHeight="1" outlineLevel="1">
      <c r="A258" s="190"/>
      <c r="B258" s="204"/>
      <c r="C258" s="191"/>
      <c r="D258" s="205" t="str">
        <f>IFERROR(VLOOKUP($C258,'PORTIFÓLIO'!C:V,2,0),"")</f>
        <v/>
      </c>
      <c r="E258" s="190" t="str">
        <f>IFERROR(VLOOKUP($C258,'PORTIFÓLIO'!C:V,3,0),"")</f>
        <v/>
      </c>
      <c r="F258" s="190" t="str">
        <f>IFERROR(VLOOKUP($C258,'PORTIFÓLIO'!C:V,4,0),"")</f>
        <v/>
      </c>
      <c r="G258" s="206" t="str">
        <f>IFERROR(VLOOKUP($C258,'PORTIFÓLIO'!C:V,5,0),"")</f>
        <v/>
      </c>
      <c r="H258" s="247" t="str">
        <f t="array" ref="H258">IFERROR(INDEX('PORTIFÓLIO'!$H$4:$H$433,MATCH($C258,'PORTIFÓLIO'!$C$4:$C$433,0)),"")</f>
        <v/>
      </c>
      <c r="I258" s="257"/>
      <c r="J258" s="209">
        <f t="shared" si="29"/>
        <v>0</v>
      </c>
      <c r="K258" s="248" t="str">
        <f t="array" ref="K258">IFERROR(I258*INDEX('PORTIFÓLIO'!$S$4:$S$433,MATCH($C258,'PORTIFÓLIO'!$C$4:$C$433,0)),"")</f>
        <v/>
      </c>
      <c r="L258" s="248" t="str">
        <f t="array" ref="L258">IFERROR(J258*INDEX('PORTIFÓLIO'!$S$4:$S$433,MATCH($C258,'PORTIFÓLIO'!$C$4:$C$433,0)),"")</f>
        <v/>
      </c>
      <c r="M258" s="177"/>
      <c r="N258" s="177"/>
      <c r="O258" s="177"/>
      <c r="P258" s="177"/>
      <c r="Q258" s="177"/>
      <c r="R258" s="177"/>
      <c r="S258" s="177"/>
      <c r="T258" s="177"/>
      <c r="U258" s="177"/>
      <c r="V258" s="177"/>
      <c r="W258" s="177"/>
    </row>
    <row r="259" ht="15.75" customHeight="1" outlineLevel="1">
      <c r="A259" s="190"/>
      <c r="B259" s="204"/>
      <c r="C259" s="191"/>
      <c r="D259" s="205" t="str">
        <f>IFERROR(VLOOKUP($C259,'PORTIFÓLIO'!C:V,2,0),"")</f>
        <v/>
      </c>
      <c r="E259" s="190" t="str">
        <f>IFERROR(VLOOKUP($C259,'PORTIFÓLIO'!C:V,3,0),"")</f>
        <v/>
      </c>
      <c r="F259" s="190" t="str">
        <f>IFERROR(VLOOKUP($C259,'PORTIFÓLIO'!C:V,4,0),"")</f>
        <v/>
      </c>
      <c r="G259" s="206" t="str">
        <f>IFERROR(VLOOKUP($C259,'PORTIFÓLIO'!C:V,5,0),"")</f>
        <v/>
      </c>
      <c r="H259" s="247" t="str">
        <f t="array" ref="H259">IFERROR(INDEX('PORTIFÓLIO'!$H$4:$H$433,MATCH($C259,'PORTIFÓLIO'!$C$4:$C$433,0)),"")</f>
        <v/>
      </c>
      <c r="I259" s="257"/>
      <c r="J259" s="209">
        <f t="shared" si="29"/>
        <v>0</v>
      </c>
      <c r="K259" s="248" t="str">
        <f t="array" ref="K259">IFERROR(I259*INDEX('PORTIFÓLIO'!$S$4:$S$433,MATCH($C259,'PORTIFÓLIO'!$C$4:$C$433,0)),"")</f>
        <v/>
      </c>
      <c r="L259" s="248" t="str">
        <f t="array" ref="L259">IFERROR(J259*INDEX('PORTIFÓLIO'!$S$4:$S$433,MATCH($C259,'PORTIFÓLIO'!$C$4:$C$433,0)),"")</f>
        <v/>
      </c>
      <c r="M259" s="177"/>
      <c r="N259" s="177"/>
      <c r="O259" s="177"/>
      <c r="P259" s="177"/>
      <c r="Q259" s="177"/>
      <c r="R259" s="177"/>
      <c r="S259" s="177"/>
      <c r="T259" s="177"/>
      <c r="U259" s="177"/>
      <c r="V259" s="177"/>
      <c r="W259" s="177"/>
    </row>
    <row r="260" ht="15.75" customHeight="1" outlineLevel="1">
      <c r="A260" s="190"/>
      <c r="B260" s="204"/>
      <c r="C260" s="191"/>
      <c r="D260" s="205" t="str">
        <f>IFERROR(VLOOKUP($C260,'PORTIFÓLIO'!C:V,2,0),"")</f>
        <v/>
      </c>
      <c r="E260" s="190" t="str">
        <f>IFERROR(VLOOKUP($C260,'PORTIFÓLIO'!C:V,3,0),"")</f>
        <v/>
      </c>
      <c r="F260" s="190" t="str">
        <f>IFERROR(VLOOKUP($C260,'PORTIFÓLIO'!C:V,4,0),"")</f>
        <v/>
      </c>
      <c r="G260" s="206" t="str">
        <f>IFERROR(VLOOKUP($C260,'PORTIFÓLIO'!C:V,5,0),"")</f>
        <v/>
      </c>
      <c r="H260" s="247" t="str">
        <f t="array" ref="H260">IFERROR(INDEX('PORTIFÓLIO'!$H$4:$H$433,MATCH($C260,'PORTIFÓLIO'!$C$4:$C$433,0)),"")</f>
        <v/>
      </c>
      <c r="I260" s="257"/>
      <c r="J260" s="209">
        <f t="shared" si="29"/>
        <v>0</v>
      </c>
      <c r="K260" s="248" t="str">
        <f t="array" ref="K260">IFERROR(I260*INDEX('PORTIFÓLIO'!$S$4:$S$433,MATCH($C260,'PORTIFÓLIO'!$C$4:$C$433,0)),"")</f>
        <v/>
      </c>
      <c r="L260" s="248" t="str">
        <f t="array" ref="L260">IFERROR(J260*INDEX('PORTIFÓLIO'!$S$4:$S$433,MATCH($C260,'PORTIFÓLIO'!$C$4:$C$433,0)),"")</f>
        <v/>
      </c>
      <c r="M260" s="177"/>
      <c r="N260" s="177"/>
      <c r="O260" s="177"/>
      <c r="P260" s="177"/>
      <c r="Q260" s="177"/>
      <c r="R260" s="177"/>
      <c r="S260" s="177"/>
      <c r="T260" s="177"/>
      <c r="U260" s="177"/>
      <c r="V260" s="177"/>
      <c r="W260" s="177"/>
    </row>
    <row r="261" ht="15.75" customHeight="1" outlineLevel="1">
      <c r="A261" s="190"/>
      <c r="B261" s="204"/>
      <c r="C261" s="191"/>
      <c r="D261" s="205" t="str">
        <f>IFERROR(VLOOKUP($C261,'PORTIFÓLIO'!C:V,2,0),"")</f>
        <v/>
      </c>
      <c r="E261" s="190" t="str">
        <f>IFERROR(VLOOKUP($C261,'PORTIFÓLIO'!C:V,3,0),"")</f>
        <v/>
      </c>
      <c r="F261" s="190" t="str">
        <f>IFERROR(VLOOKUP($C261,'PORTIFÓLIO'!C:V,4,0),"")</f>
        <v/>
      </c>
      <c r="G261" s="206" t="str">
        <f>IFERROR(VLOOKUP($C261,'PORTIFÓLIO'!C:V,5,0),"")</f>
        <v/>
      </c>
      <c r="H261" s="247" t="str">
        <f t="array" ref="H261">IFERROR(INDEX('PORTIFÓLIO'!$H$4:$H$433,MATCH($C261,'PORTIFÓLIO'!$C$4:$C$433,0)),"")</f>
        <v/>
      </c>
      <c r="I261" s="253"/>
      <c r="J261" s="209">
        <f t="shared" si="29"/>
        <v>0</v>
      </c>
      <c r="K261" s="248" t="str">
        <f t="array" ref="K261">IFERROR(I261*INDEX('PORTIFÓLIO'!$S$4:$S$433,MATCH($C261,'PORTIFÓLIO'!$C$4:$C$433,0)),"")</f>
        <v/>
      </c>
      <c r="L261" s="248" t="str">
        <f t="array" ref="L261">IFERROR(J261*INDEX('PORTIFÓLIO'!$S$4:$S$433,MATCH($C261,'PORTIFÓLIO'!$C$4:$C$433,0)),"")</f>
        <v/>
      </c>
      <c r="M261" s="177"/>
      <c r="N261" s="177"/>
      <c r="O261" s="177"/>
      <c r="P261" s="177"/>
      <c r="Q261" s="177"/>
      <c r="R261" s="177"/>
      <c r="S261" s="177"/>
      <c r="T261" s="177"/>
      <c r="U261" s="177"/>
      <c r="V261" s="177"/>
      <c r="W261" s="177"/>
    </row>
    <row r="262" ht="15.75" customHeight="1" outlineLevel="1">
      <c r="A262" s="190"/>
      <c r="B262" s="204"/>
      <c r="C262" s="191"/>
      <c r="D262" s="205" t="str">
        <f>IFERROR(VLOOKUP($C262,'PORTIFÓLIO'!C:V,2,0),"")</f>
        <v/>
      </c>
      <c r="E262" s="190" t="str">
        <f>IFERROR(VLOOKUP($C262,'PORTIFÓLIO'!C:V,3,0),"")</f>
        <v/>
      </c>
      <c r="F262" s="190" t="str">
        <f>IFERROR(VLOOKUP($C262,'PORTIFÓLIO'!C:V,4,0),"")</f>
        <v/>
      </c>
      <c r="G262" s="206" t="str">
        <f>IFERROR(VLOOKUP($C262,'PORTIFÓLIO'!C:V,5,0),"")</f>
        <v/>
      </c>
      <c r="H262" s="247" t="str">
        <f t="array" ref="H262">IFERROR(INDEX('PORTIFÓLIO'!$H$4:$H$433,MATCH($C262,'PORTIFÓLIO'!$C$4:$C$433,0)),"")</f>
        <v/>
      </c>
      <c r="I262" s="257"/>
      <c r="J262" s="209">
        <f t="shared" si="29"/>
        <v>0</v>
      </c>
      <c r="K262" s="248" t="str">
        <f t="array" ref="K262">IFERROR(I262*INDEX('PORTIFÓLIO'!$S$4:$S$433,MATCH($C262,'PORTIFÓLIO'!$C$4:$C$433,0)),"")</f>
        <v/>
      </c>
      <c r="L262" s="248" t="str">
        <f t="array" ref="L262">IFERROR(J262*INDEX('PORTIFÓLIO'!$S$4:$S$433,MATCH($C262,'PORTIFÓLIO'!$C$4:$C$433,0)),"")</f>
        <v/>
      </c>
      <c r="M262" s="177"/>
      <c r="N262" s="177"/>
      <c r="O262" s="177"/>
      <c r="P262" s="177"/>
      <c r="Q262" s="177"/>
      <c r="R262" s="177"/>
      <c r="S262" s="177"/>
      <c r="T262" s="177"/>
      <c r="U262" s="177"/>
      <c r="V262" s="177"/>
      <c r="W262" s="177"/>
    </row>
    <row r="263" ht="15.75" customHeight="1" outlineLevel="1">
      <c r="A263" s="190"/>
      <c r="B263" s="204"/>
      <c r="C263" s="191"/>
      <c r="D263" s="205" t="str">
        <f>IFERROR(VLOOKUP($C263,'PORTIFÓLIO'!C:V,2,0),"")</f>
        <v/>
      </c>
      <c r="E263" s="190" t="str">
        <f>IFERROR(VLOOKUP($C263,'PORTIFÓLIO'!C:V,3,0),"")</f>
        <v/>
      </c>
      <c r="F263" s="190" t="str">
        <f>IFERROR(VLOOKUP($C263,'PORTIFÓLIO'!C:V,4,0),"")</f>
        <v/>
      </c>
      <c r="G263" s="206" t="str">
        <f>IFERROR(VLOOKUP($C263,'PORTIFÓLIO'!C:V,5,0),"")</f>
        <v/>
      </c>
      <c r="H263" s="247" t="str">
        <f t="array" ref="H263">IFERROR(INDEX('PORTIFÓLIO'!$H$4:$H$433,MATCH($C263,'PORTIFÓLIO'!$C$4:$C$433,0)),"")</f>
        <v/>
      </c>
      <c r="I263" s="257"/>
      <c r="J263" s="209">
        <f t="shared" si="29"/>
        <v>0</v>
      </c>
      <c r="K263" s="248" t="str">
        <f t="array" ref="K263">IFERROR(I263*INDEX('PORTIFÓLIO'!$S$4:$S$433,MATCH($C263,'PORTIFÓLIO'!$C$4:$C$433,0)),"")</f>
        <v/>
      </c>
      <c r="L263" s="248" t="str">
        <f t="array" ref="L263">IFERROR(J263*INDEX('PORTIFÓLIO'!$S$4:$S$433,MATCH($C263,'PORTIFÓLIO'!$C$4:$C$433,0)),"")</f>
        <v/>
      </c>
      <c r="M263" s="177"/>
      <c r="N263" s="177"/>
      <c r="O263" s="177"/>
      <c r="P263" s="177"/>
      <c r="Q263" s="177"/>
      <c r="R263" s="177"/>
      <c r="S263" s="177"/>
      <c r="T263" s="177"/>
      <c r="U263" s="177"/>
      <c r="V263" s="177"/>
      <c r="W263" s="177"/>
    </row>
    <row r="264" ht="15.75" customHeight="1" outlineLevel="1">
      <c r="A264" s="190"/>
      <c r="B264" s="204"/>
      <c r="C264" s="191"/>
      <c r="D264" s="205" t="str">
        <f>IFERROR(VLOOKUP($C264,'PORTIFÓLIO'!C:V,2,0),"")</f>
        <v/>
      </c>
      <c r="E264" s="190" t="str">
        <f>IFERROR(VLOOKUP($C264,'PORTIFÓLIO'!C:V,3,0),"")</f>
        <v/>
      </c>
      <c r="F264" s="190" t="str">
        <f>IFERROR(VLOOKUP($C264,'PORTIFÓLIO'!C:V,4,0),"")</f>
        <v/>
      </c>
      <c r="G264" s="206" t="str">
        <f>IFERROR(VLOOKUP($C264,'PORTIFÓLIO'!C:V,5,0),"")</f>
        <v/>
      </c>
      <c r="H264" s="247" t="str">
        <f t="array" ref="H264">IFERROR(INDEX('PORTIFÓLIO'!$H$4:$H$433,MATCH($C264,'PORTIFÓLIO'!$C$4:$C$433,0)),"")</f>
        <v/>
      </c>
      <c r="I264" s="257"/>
      <c r="J264" s="209">
        <f t="shared" si="29"/>
        <v>0</v>
      </c>
      <c r="K264" s="248" t="str">
        <f t="array" ref="K264">IFERROR(I264*INDEX('PORTIFÓLIO'!$S$4:$S$433,MATCH($C264,'PORTIFÓLIO'!$C$4:$C$433,0)),"")</f>
        <v/>
      </c>
      <c r="L264" s="248" t="str">
        <f t="array" ref="L264">IFERROR(J264*INDEX('PORTIFÓLIO'!$S$4:$S$433,MATCH($C264,'PORTIFÓLIO'!$C$4:$C$433,0)),"")</f>
        <v/>
      </c>
      <c r="M264" s="177"/>
      <c r="N264" s="177"/>
      <c r="O264" s="177"/>
      <c r="P264" s="177"/>
      <c r="Q264" s="177"/>
      <c r="R264" s="177"/>
      <c r="S264" s="177"/>
      <c r="T264" s="177"/>
      <c r="U264" s="177"/>
      <c r="V264" s="177"/>
      <c r="W264" s="177"/>
    </row>
    <row r="265" ht="15.75" customHeight="1" outlineLevel="1">
      <c r="A265" s="190"/>
      <c r="B265" s="204"/>
      <c r="C265" s="191"/>
      <c r="D265" s="205" t="str">
        <f>IFERROR(VLOOKUP($C265,'PORTIFÓLIO'!C:V,2,0),"")</f>
        <v/>
      </c>
      <c r="E265" s="190" t="str">
        <f>IFERROR(VLOOKUP($C265,'PORTIFÓLIO'!C:V,3,0),"")</f>
        <v/>
      </c>
      <c r="F265" s="190" t="str">
        <f>IFERROR(VLOOKUP($C265,'PORTIFÓLIO'!C:V,4,0),"")</f>
        <v/>
      </c>
      <c r="G265" s="206" t="str">
        <f>IFERROR(VLOOKUP($C265,'PORTIFÓLIO'!C:V,5,0),"")</f>
        <v/>
      </c>
      <c r="H265" s="247" t="str">
        <f t="array" ref="H265">IFERROR(INDEX('PORTIFÓLIO'!$H$4:$H$433,MATCH($C265,'PORTIFÓLIO'!$C$4:$C$433,0)),"")</f>
        <v/>
      </c>
      <c r="I265" s="257"/>
      <c r="J265" s="209">
        <f t="shared" si="29"/>
        <v>0</v>
      </c>
      <c r="K265" s="248" t="str">
        <f t="array" ref="K265">IFERROR(I265*INDEX('PORTIFÓLIO'!$S$4:$S$433,MATCH($C265,'PORTIFÓLIO'!$C$4:$C$433,0)),"")</f>
        <v/>
      </c>
      <c r="L265" s="248" t="str">
        <f t="array" ref="L265">IFERROR(J265*INDEX('PORTIFÓLIO'!$S$4:$S$433,MATCH($C265,'PORTIFÓLIO'!$C$4:$C$433,0)),"")</f>
        <v/>
      </c>
      <c r="M265" s="177"/>
      <c r="N265" s="177"/>
      <c r="O265" s="177"/>
      <c r="P265" s="177"/>
      <c r="Q265" s="177"/>
      <c r="R265" s="177"/>
      <c r="S265" s="177"/>
      <c r="T265" s="177"/>
      <c r="U265" s="177"/>
      <c r="V265" s="177"/>
      <c r="W265" s="177"/>
    </row>
    <row r="266" ht="15.75" customHeight="1" outlineLevel="1">
      <c r="A266" s="190"/>
      <c r="B266" s="204"/>
      <c r="C266" s="191"/>
      <c r="D266" s="205" t="str">
        <f>IFERROR(VLOOKUP($C266,'PORTIFÓLIO'!C:V,2,0),"")</f>
        <v/>
      </c>
      <c r="E266" s="190" t="str">
        <f>IFERROR(VLOOKUP($C266,'PORTIFÓLIO'!C:V,3,0),"")</f>
        <v/>
      </c>
      <c r="F266" s="190" t="str">
        <f>IFERROR(VLOOKUP($C266,'PORTIFÓLIO'!C:V,4,0),"")</f>
        <v/>
      </c>
      <c r="G266" s="206" t="str">
        <f>IFERROR(VLOOKUP($C266,'PORTIFÓLIO'!C:V,5,0),"")</f>
        <v/>
      </c>
      <c r="H266" s="247" t="str">
        <f t="array" ref="H266">IFERROR(INDEX('PORTIFÓLIO'!$H$4:$H$433,MATCH($C266,'PORTIFÓLIO'!$C$4:$C$433,0)),"")</f>
        <v/>
      </c>
      <c r="I266" s="257"/>
      <c r="J266" s="209">
        <f t="shared" si="29"/>
        <v>0</v>
      </c>
      <c r="K266" s="248" t="str">
        <f t="array" ref="K266">IFERROR(I266*INDEX('PORTIFÓLIO'!$S$4:$S$433,MATCH($C266,'PORTIFÓLIO'!$C$4:$C$433,0)),"")</f>
        <v/>
      </c>
      <c r="L266" s="248" t="str">
        <f t="array" ref="L266">IFERROR(J266*INDEX('PORTIFÓLIO'!$S$4:$S$433,MATCH($C266,'PORTIFÓLIO'!$C$4:$C$433,0)),"")</f>
        <v/>
      </c>
      <c r="M266" s="177"/>
      <c r="N266" s="177"/>
      <c r="O266" s="177"/>
      <c r="P266" s="177"/>
      <c r="Q266" s="177"/>
      <c r="R266" s="177"/>
      <c r="S266" s="177"/>
      <c r="T266" s="177"/>
      <c r="U266" s="177"/>
      <c r="V266" s="177"/>
      <c r="W266" s="177"/>
    </row>
    <row r="267" ht="15.75" customHeight="1" outlineLevel="1">
      <c r="A267" s="190"/>
      <c r="B267" s="204"/>
      <c r="C267" s="191"/>
      <c r="D267" s="205" t="str">
        <f>IFERROR(VLOOKUP($C267,'PORTIFÓLIO'!C:V,2,0),"")</f>
        <v/>
      </c>
      <c r="E267" s="190" t="str">
        <f>IFERROR(VLOOKUP($C267,'PORTIFÓLIO'!C:V,3,0),"")</f>
        <v/>
      </c>
      <c r="F267" s="190" t="str">
        <f>IFERROR(VLOOKUP($C267,'PORTIFÓLIO'!C:V,4,0),"")</f>
        <v/>
      </c>
      <c r="G267" s="206" t="str">
        <f>IFERROR(VLOOKUP($C267,'PORTIFÓLIO'!C:V,5,0),"")</f>
        <v/>
      </c>
      <c r="H267" s="247" t="str">
        <f t="array" ref="H267">IFERROR(INDEX('PORTIFÓLIO'!$H$4:$H$433,MATCH($C267,'PORTIFÓLIO'!$C$4:$C$433,0)),"")</f>
        <v/>
      </c>
      <c r="I267" s="257"/>
      <c r="J267" s="209">
        <f t="shared" si="29"/>
        <v>0</v>
      </c>
      <c r="K267" s="248" t="str">
        <f t="array" ref="K267">IFERROR(I267*INDEX('PORTIFÓLIO'!$S$4:$S$433,MATCH($C267,'PORTIFÓLIO'!$C$4:$C$433,0)),"")</f>
        <v/>
      </c>
      <c r="L267" s="248" t="str">
        <f t="array" ref="L267">IFERROR(J267*INDEX('PORTIFÓLIO'!$S$4:$S$433,MATCH($C267,'PORTIFÓLIO'!$C$4:$C$433,0)),"")</f>
        <v/>
      </c>
      <c r="M267" s="177"/>
      <c r="N267" s="177"/>
      <c r="O267" s="177"/>
      <c r="P267" s="177"/>
      <c r="Q267" s="177"/>
      <c r="R267" s="177"/>
      <c r="S267" s="177"/>
      <c r="T267" s="177"/>
      <c r="U267" s="177"/>
      <c r="V267" s="177"/>
      <c r="W267" s="177"/>
    </row>
    <row r="268" ht="15.75" customHeight="1" outlineLevel="1">
      <c r="A268" s="190"/>
      <c r="B268" s="204"/>
      <c r="C268" s="191"/>
      <c r="D268" s="205" t="str">
        <f>IFERROR(VLOOKUP($C268,'PORTIFÓLIO'!C:V,2,0),"")</f>
        <v/>
      </c>
      <c r="E268" s="190" t="str">
        <f>IFERROR(VLOOKUP($C268,'PORTIFÓLIO'!C:V,3,0),"")</f>
        <v/>
      </c>
      <c r="F268" s="190" t="str">
        <f>IFERROR(VLOOKUP($C268,'PORTIFÓLIO'!C:V,4,0),"")</f>
        <v/>
      </c>
      <c r="G268" s="206" t="str">
        <f>IFERROR(VLOOKUP($C268,'PORTIFÓLIO'!C:V,5,0),"")</f>
        <v/>
      </c>
      <c r="H268" s="247" t="str">
        <f t="array" ref="H268">IFERROR(INDEX('PORTIFÓLIO'!$H$4:$H$433,MATCH($C268,'PORTIFÓLIO'!$C$4:$C$433,0)),"")</f>
        <v/>
      </c>
      <c r="I268" s="257"/>
      <c r="J268" s="209">
        <f t="shared" si="29"/>
        <v>0</v>
      </c>
      <c r="K268" s="248" t="str">
        <f t="array" ref="K268">IFERROR(I268*INDEX('PORTIFÓLIO'!$S$4:$S$433,MATCH($C268,'PORTIFÓLIO'!$C$4:$C$433,0)),"")</f>
        <v/>
      </c>
      <c r="L268" s="248" t="str">
        <f t="array" ref="L268">IFERROR(J268*INDEX('PORTIFÓLIO'!$S$4:$S$433,MATCH($C268,'PORTIFÓLIO'!$C$4:$C$433,0)),"")</f>
        <v/>
      </c>
      <c r="M268" s="177"/>
      <c r="N268" s="177"/>
      <c r="O268" s="177"/>
      <c r="P268" s="177"/>
      <c r="Q268" s="177"/>
      <c r="R268" s="177"/>
      <c r="S268" s="177"/>
      <c r="T268" s="177"/>
      <c r="U268" s="177"/>
      <c r="V268" s="177"/>
      <c r="W268" s="177"/>
    </row>
    <row r="269" ht="15.75" customHeight="1" outlineLevel="1">
      <c r="A269" s="190"/>
      <c r="B269" s="204"/>
      <c r="C269" s="191"/>
      <c r="D269" s="205" t="str">
        <f>IFERROR(VLOOKUP($C269,'PORTIFÓLIO'!C:V,2,0),"")</f>
        <v/>
      </c>
      <c r="E269" s="190" t="str">
        <f>IFERROR(VLOOKUP($C269,'PORTIFÓLIO'!C:V,3,0),"")</f>
        <v/>
      </c>
      <c r="F269" s="190" t="str">
        <f>IFERROR(VLOOKUP($C269,'PORTIFÓLIO'!C:V,4,0),"")</f>
        <v/>
      </c>
      <c r="G269" s="206" t="str">
        <f>IFERROR(VLOOKUP($C269,'PORTIFÓLIO'!C:V,5,0),"")</f>
        <v/>
      </c>
      <c r="H269" s="247" t="str">
        <f t="array" ref="H269">IFERROR(INDEX('PORTIFÓLIO'!$H$4:$H$433,MATCH($C269,'PORTIFÓLIO'!$C$4:$C$433,0)),"")</f>
        <v/>
      </c>
      <c r="I269" s="257"/>
      <c r="J269" s="209">
        <f t="shared" si="29"/>
        <v>0</v>
      </c>
      <c r="K269" s="248" t="str">
        <f t="array" ref="K269">IFERROR(I269*INDEX('PORTIFÓLIO'!$S$4:$S$433,MATCH($C269,'PORTIFÓLIO'!$C$4:$C$433,0)),"")</f>
        <v/>
      </c>
      <c r="L269" s="248" t="str">
        <f t="array" ref="L269">IFERROR(J269*INDEX('PORTIFÓLIO'!$S$4:$S$433,MATCH($C269,'PORTIFÓLIO'!$C$4:$C$433,0)),"")</f>
        <v/>
      </c>
      <c r="M269" s="177"/>
      <c r="N269" s="177"/>
      <c r="O269" s="177"/>
      <c r="P269" s="177"/>
      <c r="Q269" s="177"/>
      <c r="R269" s="177"/>
      <c r="S269" s="177"/>
      <c r="T269" s="177"/>
      <c r="U269" s="177"/>
      <c r="V269" s="177"/>
      <c r="W269" s="177"/>
    </row>
    <row r="270" ht="15.75" customHeight="1" outlineLevel="1">
      <c r="A270" s="190"/>
      <c r="B270" s="204"/>
      <c r="C270" s="191"/>
      <c r="D270" s="205" t="str">
        <f>IFERROR(VLOOKUP($C270,'PORTIFÓLIO'!C:V,2,0),"")</f>
        <v/>
      </c>
      <c r="E270" s="190" t="str">
        <f>IFERROR(VLOOKUP($C270,'PORTIFÓLIO'!C:V,3,0),"")</f>
        <v/>
      </c>
      <c r="F270" s="190" t="str">
        <f>IFERROR(VLOOKUP($C270,'PORTIFÓLIO'!C:V,4,0),"")</f>
        <v/>
      </c>
      <c r="G270" s="206" t="str">
        <f>IFERROR(VLOOKUP($C270,'PORTIFÓLIO'!C:V,5,0),"")</f>
        <v/>
      </c>
      <c r="H270" s="247" t="str">
        <f t="array" ref="H270">IFERROR(INDEX('PORTIFÓLIO'!$H$4:$H$433,MATCH($C270,'PORTIFÓLIO'!$C$4:$C$433,0)),"")</f>
        <v/>
      </c>
      <c r="I270" s="257"/>
      <c r="J270" s="209">
        <f t="shared" si="29"/>
        <v>0</v>
      </c>
      <c r="K270" s="248" t="str">
        <f t="array" ref="K270">IFERROR(I270*INDEX('PORTIFÓLIO'!$S$4:$S$433,MATCH($C270,'PORTIFÓLIO'!$C$4:$C$433,0)),"")</f>
        <v/>
      </c>
      <c r="L270" s="248" t="str">
        <f t="array" ref="L270">IFERROR(J270*INDEX('PORTIFÓLIO'!$S$4:$S$433,MATCH($C270,'PORTIFÓLIO'!$C$4:$C$433,0)),"")</f>
        <v/>
      </c>
      <c r="M270" s="177"/>
      <c r="N270" s="177"/>
      <c r="O270" s="177"/>
      <c r="P270" s="177"/>
      <c r="Q270" s="177"/>
      <c r="R270" s="177"/>
      <c r="S270" s="177"/>
      <c r="T270" s="177"/>
      <c r="U270" s="177"/>
      <c r="V270" s="177"/>
      <c r="W270" s="177"/>
    </row>
    <row r="271" ht="15.75" customHeight="1">
      <c r="A271" s="221" t="s">
        <v>1185</v>
      </c>
      <c r="B271" s="197"/>
      <c r="C271" s="196"/>
      <c r="D271" s="198"/>
      <c r="E271" s="196"/>
      <c r="F271" s="196"/>
      <c r="G271" s="199"/>
      <c r="H271" s="199"/>
      <c r="I271" s="252"/>
      <c r="J271" s="202"/>
      <c r="K271" s="203">
        <f t="shared" ref="K271:L271" si="30">SUBTOTAL(9,K272:K285)</f>
        <v>0</v>
      </c>
      <c r="L271" s="203">
        <f t="shared" si="30"/>
        <v>0</v>
      </c>
      <c r="M271" s="177"/>
      <c r="N271" s="177"/>
      <c r="O271" s="177"/>
      <c r="P271" s="177"/>
      <c r="Q271" s="177"/>
      <c r="R271" s="177"/>
      <c r="S271" s="177"/>
      <c r="T271" s="177"/>
      <c r="U271" s="177"/>
      <c r="V271" s="177"/>
      <c r="W271" s="177"/>
    </row>
    <row r="272" ht="15.75" customHeight="1" outlineLevel="1">
      <c r="A272" s="191"/>
      <c r="B272" s="204"/>
      <c r="C272" s="191"/>
      <c r="D272" s="205" t="str">
        <f>IFERROR(VLOOKUP($C272,'PORTIFÓLIO'!C:V,2,0),"")</f>
        <v/>
      </c>
      <c r="E272" s="190" t="str">
        <f>IFERROR(VLOOKUP($C272,'PORTIFÓLIO'!C:V,3,0),"")</f>
        <v/>
      </c>
      <c r="F272" s="190" t="str">
        <f>IFERROR(VLOOKUP($C272,'PORTIFÓLIO'!C:V,4,0),"")</f>
        <v/>
      </c>
      <c r="G272" s="206" t="str">
        <f>IFERROR(VLOOKUP($C272,'PORTIFÓLIO'!C:V,5,0),"")</f>
        <v/>
      </c>
      <c r="H272" s="247" t="str">
        <f t="array" ref="H272">IFERROR(INDEX('PORTIFÓLIO'!$H$4:$H$433,MATCH($C272,'PORTIFÓLIO'!$C$4:$C$433,0)),"")</f>
        <v/>
      </c>
      <c r="I272" s="253"/>
      <c r="J272" s="209">
        <f t="shared" ref="J272:J289" si="31">I272*$B$2</f>
        <v>0</v>
      </c>
      <c r="K272" s="248" t="str">
        <f t="array" ref="K272">IFERROR(I272*INDEX('PORTIFÓLIO'!$S$4:$S$433,MATCH($C272,'PORTIFÓLIO'!$C$4:$C$433,0)),"")</f>
        <v/>
      </c>
      <c r="L272" s="248" t="str">
        <f t="array" ref="L272">IFERROR(J272*INDEX('PORTIFÓLIO'!$S$4:$S$433,MATCH($C272,'PORTIFÓLIO'!$C$4:$C$433,0)),"")</f>
        <v/>
      </c>
      <c r="M272" s="177"/>
      <c r="N272" s="177"/>
      <c r="O272" s="177"/>
      <c r="P272" s="177"/>
      <c r="Q272" s="177"/>
      <c r="R272" s="177"/>
      <c r="S272" s="177"/>
      <c r="T272" s="177"/>
      <c r="U272" s="177"/>
      <c r="V272" s="177"/>
      <c r="W272" s="177"/>
    </row>
    <row r="273" ht="15.75" customHeight="1" outlineLevel="1">
      <c r="A273" s="190"/>
      <c r="B273" s="204"/>
      <c r="C273" s="191"/>
      <c r="D273" s="205" t="str">
        <f>IFERROR(VLOOKUP($C273,'PORTIFÓLIO'!C:V,2,0),"")</f>
        <v/>
      </c>
      <c r="E273" s="190" t="str">
        <f>IFERROR(VLOOKUP($C273,'PORTIFÓLIO'!C:V,3,0),"")</f>
        <v/>
      </c>
      <c r="F273" s="190" t="str">
        <f>IFERROR(VLOOKUP($C273,'PORTIFÓLIO'!C:V,4,0),"")</f>
        <v/>
      </c>
      <c r="G273" s="206" t="str">
        <f>IFERROR(VLOOKUP($C273,'PORTIFÓLIO'!C:V,5,0),"")</f>
        <v/>
      </c>
      <c r="H273" s="247" t="str">
        <f t="array" ref="H273">IFERROR(INDEX('PORTIFÓLIO'!$H$4:$H$433,MATCH($C273,'PORTIFÓLIO'!$C$4:$C$433,0)),"")</f>
        <v/>
      </c>
      <c r="I273" s="257"/>
      <c r="J273" s="209">
        <f t="shared" si="31"/>
        <v>0</v>
      </c>
      <c r="K273" s="248" t="str">
        <f t="array" ref="K273">IFERROR(I273*INDEX('PORTIFÓLIO'!$S$4:$S$433,MATCH($C273,'PORTIFÓLIO'!$C$4:$C$433,0)),"")</f>
        <v/>
      </c>
      <c r="L273" s="248" t="str">
        <f t="array" ref="L273">IFERROR(J273*INDEX('PORTIFÓLIO'!$S$4:$S$433,MATCH($C273,'PORTIFÓLIO'!$C$4:$C$433,0)),"")</f>
        <v/>
      </c>
      <c r="M273" s="177"/>
      <c r="N273" s="177"/>
      <c r="O273" s="177"/>
      <c r="P273" s="177"/>
      <c r="Q273" s="177"/>
      <c r="R273" s="177"/>
      <c r="S273" s="177"/>
      <c r="T273" s="177"/>
      <c r="U273" s="177"/>
      <c r="V273" s="177"/>
      <c r="W273" s="177"/>
    </row>
    <row r="274" ht="15.75" customHeight="1" outlineLevel="1">
      <c r="A274" s="190"/>
      <c r="B274" s="204"/>
      <c r="C274" s="191"/>
      <c r="D274" s="205" t="str">
        <f>IFERROR(VLOOKUP($C274,'PORTIFÓLIO'!C:V,2,0),"")</f>
        <v/>
      </c>
      <c r="E274" s="190" t="str">
        <f>IFERROR(VLOOKUP($C274,'PORTIFÓLIO'!C:V,3,0),"")</f>
        <v/>
      </c>
      <c r="F274" s="190" t="str">
        <f>IFERROR(VLOOKUP($C274,'PORTIFÓLIO'!C:V,4,0),"")</f>
        <v/>
      </c>
      <c r="G274" s="206" t="str">
        <f>IFERROR(VLOOKUP($C274,'PORTIFÓLIO'!C:V,5,0),"")</f>
        <v/>
      </c>
      <c r="H274" s="247" t="str">
        <f t="array" ref="H274">IFERROR(INDEX('PORTIFÓLIO'!$H$4:$H$433,MATCH($C274,'PORTIFÓLIO'!$C$4:$C$433,0)),"")</f>
        <v/>
      </c>
      <c r="I274" s="257"/>
      <c r="J274" s="209">
        <f t="shared" si="31"/>
        <v>0</v>
      </c>
      <c r="K274" s="248" t="str">
        <f t="array" ref="K274">IFERROR(I274*INDEX('PORTIFÓLIO'!$S$4:$S$433,MATCH($C274,'PORTIFÓLIO'!$C$4:$C$433,0)),"")</f>
        <v/>
      </c>
      <c r="L274" s="248" t="str">
        <f t="array" ref="L274">IFERROR(J274*INDEX('PORTIFÓLIO'!$S$4:$S$433,MATCH($C274,'PORTIFÓLIO'!$C$4:$C$433,0)),"")</f>
        <v/>
      </c>
      <c r="M274" s="177"/>
      <c r="N274" s="177"/>
      <c r="O274" s="177"/>
      <c r="P274" s="177"/>
      <c r="Q274" s="177"/>
      <c r="R274" s="177"/>
      <c r="S274" s="177"/>
      <c r="T274" s="177"/>
      <c r="U274" s="177"/>
      <c r="V274" s="177"/>
      <c r="W274" s="177"/>
    </row>
    <row r="275" ht="15.75" customHeight="1" outlineLevel="1">
      <c r="A275" s="190"/>
      <c r="B275" s="204"/>
      <c r="C275" s="191"/>
      <c r="D275" s="205" t="str">
        <f>IFERROR(VLOOKUP($C275,'PORTIFÓLIO'!C:V,2,0),"")</f>
        <v/>
      </c>
      <c r="E275" s="190" t="str">
        <f>IFERROR(VLOOKUP($C275,'PORTIFÓLIO'!C:V,3,0),"")</f>
        <v/>
      </c>
      <c r="F275" s="190" t="str">
        <f>IFERROR(VLOOKUP($C275,'PORTIFÓLIO'!C:V,4,0),"")</f>
        <v/>
      </c>
      <c r="G275" s="206" t="str">
        <f>IFERROR(VLOOKUP($C275,'PORTIFÓLIO'!C:V,5,0),"")</f>
        <v/>
      </c>
      <c r="H275" s="247" t="str">
        <f t="array" ref="H275">IFERROR(INDEX('PORTIFÓLIO'!$H$4:$H$433,MATCH($C275,'PORTIFÓLIO'!$C$4:$C$433,0)),"")</f>
        <v/>
      </c>
      <c r="I275" s="257"/>
      <c r="J275" s="209">
        <f t="shared" si="31"/>
        <v>0</v>
      </c>
      <c r="K275" s="248" t="str">
        <f t="array" ref="K275">IFERROR(I275*INDEX('PORTIFÓLIO'!$S$4:$S$433,MATCH($C275,'PORTIFÓLIO'!$C$4:$C$433,0)),"")</f>
        <v/>
      </c>
      <c r="L275" s="248" t="str">
        <f t="array" ref="L275">IFERROR(J275*INDEX('PORTIFÓLIO'!$S$4:$S$433,MATCH($C275,'PORTIFÓLIO'!$C$4:$C$433,0)),"")</f>
        <v/>
      </c>
      <c r="M275" s="177"/>
      <c r="N275" s="177"/>
      <c r="O275" s="177"/>
      <c r="P275" s="177"/>
      <c r="Q275" s="177"/>
      <c r="R275" s="177"/>
      <c r="S275" s="177"/>
      <c r="T275" s="177"/>
      <c r="U275" s="177"/>
      <c r="V275" s="177"/>
      <c r="W275" s="177"/>
    </row>
    <row r="276" ht="15.75" customHeight="1" outlineLevel="1">
      <c r="A276" s="190"/>
      <c r="B276" s="204"/>
      <c r="C276" s="191"/>
      <c r="D276" s="205" t="str">
        <f>IFERROR(VLOOKUP($C276,'PORTIFÓLIO'!C:V,2,0),"")</f>
        <v/>
      </c>
      <c r="E276" s="190" t="str">
        <f>IFERROR(VLOOKUP($C276,'PORTIFÓLIO'!C:V,3,0),"")</f>
        <v/>
      </c>
      <c r="F276" s="190" t="str">
        <f>IFERROR(VLOOKUP($C276,'PORTIFÓLIO'!C:V,4,0),"")</f>
        <v/>
      </c>
      <c r="G276" s="206" t="str">
        <f>IFERROR(VLOOKUP($C276,'PORTIFÓLIO'!C:V,5,0),"")</f>
        <v/>
      </c>
      <c r="H276" s="247" t="str">
        <f t="array" ref="H276">IFERROR(INDEX('PORTIFÓLIO'!$H$4:$H$433,MATCH($C276,'PORTIFÓLIO'!$C$4:$C$433,0)),"")</f>
        <v/>
      </c>
      <c r="I276" s="257"/>
      <c r="J276" s="209">
        <f t="shared" si="31"/>
        <v>0</v>
      </c>
      <c r="K276" s="248" t="str">
        <f t="array" ref="K276">IFERROR(I276*INDEX('PORTIFÓLIO'!$S$4:$S$433,MATCH($C276,'PORTIFÓLIO'!$C$4:$C$433,0)),"")</f>
        <v/>
      </c>
      <c r="L276" s="248" t="str">
        <f t="array" ref="L276">IFERROR(J276*INDEX('PORTIFÓLIO'!$S$4:$S$433,MATCH($C276,'PORTIFÓLIO'!$C$4:$C$433,0)),"")</f>
        <v/>
      </c>
      <c r="M276" s="177"/>
      <c r="N276" s="177"/>
      <c r="O276" s="177"/>
      <c r="P276" s="177"/>
      <c r="Q276" s="177"/>
      <c r="R276" s="177"/>
      <c r="S276" s="177"/>
      <c r="T276" s="177"/>
      <c r="U276" s="177"/>
      <c r="V276" s="177"/>
      <c r="W276" s="177"/>
    </row>
    <row r="277" ht="15.75" customHeight="1" outlineLevel="1">
      <c r="A277" s="190"/>
      <c r="B277" s="204"/>
      <c r="C277" s="191"/>
      <c r="D277" s="205" t="str">
        <f>IFERROR(VLOOKUP($C277,'PORTIFÓLIO'!C:V,2,0),"")</f>
        <v/>
      </c>
      <c r="E277" s="190" t="str">
        <f>IFERROR(VLOOKUP($C277,'PORTIFÓLIO'!C:V,3,0),"")</f>
        <v/>
      </c>
      <c r="F277" s="190" t="str">
        <f>IFERROR(VLOOKUP($C277,'PORTIFÓLIO'!C:V,4,0),"")</f>
        <v/>
      </c>
      <c r="G277" s="206" t="str">
        <f>IFERROR(VLOOKUP($C277,'PORTIFÓLIO'!C:V,5,0),"")</f>
        <v/>
      </c>
      <c r="H277" s="247" t="str">
        <f t="array" ref="H277">IFERROR(INDEX('PORTIFÓLIO'!$H$4:$H$433,MATCH($C277,'PORTIFÓLIO'!$C$4:$C$433,0)),"")</f>
        <v/>
      </c>
      <c r="I277" s="257"/>
      <c r="J277" s="209">
        <f t="shared" si="31"/>
        <v>0</v>
      </c>
      <c r="K277" s="248" t="str">
        <f t="array" ref="K277">IFERROR(I277*INDEX('PORTIFÓLIO'!$S$4:$S$433,MATCH($C277,'PORTIFÓLIO'!$C$4:$C$433,0)),"")</f>
        <v/>
      </c>
      <c r="L277" s="248" t="str">
        <f t="array" ref="L277">IFERROR(J277*INDEX('PORTIFÓLIO'!$S$4:$S$433,MATCH($C277,'PORTIFÓLIO'!$C$4:$C$433,0)),"")</f>
        <v/>
      </c>
      <c r="M277" s="177"/>
      <c r="N277" s="177"/>
      <c r="O277" s="177"/>
      <c r="P277" s="177"/>
      <c r="Q277" s="177"/>
      <c r="R277" s="177"/>
      <c r="S277" s="177"/>
      <c r="T277" s="177"/>
      <c r="U277" s="177"/>
      <c r="V277" s="177"/>
      <c r="W277" s="177"/>
    </row>
    <row r="278" ht="15.75" customHeight="1" outlineLevel="1">
      <c r="A278" s="190"/>
      <c r="B278" s="204"/>
      <c r="C278" s="191"/>
      <c r="D278" s="205" t="str">
        <f>IFERROR(VLOOKUP($C278,'PORTIFÓLIO'!C:V,2,0),"")</f>
        <v/>
      </c>
      <c r="E278" s="190" t="str">
        <f>IFERROR(VLOOKUP($C278,'PORTIFÓLIO'!C:V,3,0),"")</f>
        <v/>
      </c>
      <c r="F278" s="190" t="str">
        <f>IFERROR(VLOOKUP($C278,'PORTIFÓLIO'!C:V,4,0),"")</f>
        <v/>
      </c>
      <c r="G278" s="206" t="str">
        <f>IFERROR(VLOOKUP($C278,'PORTIFÓLIO'!C:V,5,0),"")</f>
        <v/>
      </c>
      <c r="H278" s="247" t="str">
        <f t="array" ref="H278">IFERROR(INDEX('PORTIFÓLIO'!$H$4:$H$433,MATCH($C278,'PORTIFÓLIO'!$C$4:$C$433,0)),"")</f>
        <v/>
      </c>
      <c r="I278" s="257"/>
      <c r="J278" s="209">
        <f t="shared" si="31"/>
        <v>0</v>
      </c>
      <c r="K278" s="248" t="str">
        <f t="array" ref="K278">IFERROR(I278*INDEX('PORTIFÓLIO'!$S$4:$S$433,MATCH($C278,'PORTIFÓLIO'!$C$4:$C$433,0)),"")</f>
        <v/>
      </c>
      <c r="L278" s="248" t="str">
        <f t="array" ref="L278">IFERROR(J278*INDEX('PORTIFÓLIO'!$S$4:$S$433,MATCH($C278,'PORTIFÓLIO'!$C$4:$C$433,0)),"")</f>
        <v/>
      </c>
      <c r="M278" s="177"/>
      <c r="N278" s="177"/>
      <c r="O278" s="177"/>
      <c r="P278" s="177"/>
      <c r="Q278" s="177"/>
      <c r="R278" s="177"/>
      <c r="S278" s="177"/>
      <c r="T278" s="177"/>
      <c r="U278" s="177"/>
      <c r="V278" s="177"/>
      <c r="W278" s="177"/>
    </row>
    <row r="279" ht="15.75" customHeight="1" outlineLevel="1">
      <c r="A279" s="190"/>
      <c r="B279" s="204"/>
      <c r="C279" s="191"/>
      <c r="D279" s="205" t="str">
        <f>IFERROR(VLOOKUP($C279,'PORTIFÓLIO'!C:V,2,0),"")</f>
        <v/>
      </c>
      <c r="E279" s="190" t="str">
        <f>IFERROR(VLOOKUP($C279,'PORTIFÓLIO'!C:V,3,0),"")</f>
        <v/>
      </c>
      <c r="F279" s="190" t="str">
        <f>IFERROR(VLOOKUP($C279,'PORTIFÓLIO'!C:V,4,0),"")</f>
        <v/>
      </c>
      <c r="G279" s="206" t="str">
        <f>IFERROR(VLOOKUP($C279,'PORTIFÓLIO'!C:V,5,0),"")</f>
        <v/>
      </c>
      <c r="H279" s="247" t="str">
        <f t="array" ref="H279">IFERROR(INDEX('PORTIFÓLIO'!$H$4:$H$433,MATCH($C279,'PORTIFÓLIO'!$C$4:$C$433,0)),"")</f>
        <v/>
      </c>
      <c r="I279" s="257"/>
      <c r="J279" s="209">
        <f t="shared" si="31"/>
        <v>0</v>
      </c>
      <c r="K279" s="248" t="str">
        <f t="array" ref="K279">IFERROR(I279*INDEX('PORTIFÓLIO'!$S$4:$S$433,MATCH($C279,'PORTIFÓLIO'!$C$4:$C$433,0)),"")</f>
        <v/>
      </c>
      <c r="L279" s="248" t="str">
        <f t="array" ref="L279">IFERROR(J279*INDEX('PORTIFÓLIO'!$S$4:$S$433,MATCH($C279,'PORTIFÓLIO'!$C$4:$C$433,0)),"")</f>
        <v/>
      </c>
      <c r="M279" s="177"/>
      <c r="N279" s="177"/>
      <c r="O279" s="177"/>
      <c r="P279" s="177"/>
      <c r="Q279" s="177"/>
      <c r="R279" s="177"/>
      <c r="S279" s="177"/>
      <c r="T279" s="177"/>
      <c r="U279" s="177"/>
      <c r="V279" s="177"/>
      <c r="W279" s="177"/>
    </row>
    <row r="280" ht="15.75" customHeight="1" outlineLevel="1">
      <c r="A280" s="190"/>
      <c r="B280" s="204"/>
      <c r="C280" s="191"/>
      <c r="D280" s="205" t="str">
        <f>IFERROR(VLOOKUP($C280,'PORTIFÓLIO'!C:V,2,0),"")</f>
        <v/>
      </c>
      <c r="E280" s="190" t="str">
        <f>IFERROR(VLOOKUP($C280,'PORTIFÓLIO'!C:V,3,0),"")</f>
        <v/>
      </c>
      <c r="F280" s="190" t="str">
        <f>IFERROR(VLOOKUP($C280,'PORTIFÓLIO'!C:V,4,0),"")</f>
        <v/>
      </c>
      <c r="G280" s="206" t="str">
        <f>IFERROR(VLOOKUP($C280,'PORTIFÓLIO'!C:V,5,0),"")</f>
        <v/>
      </c>
      <c r="H280" s="247" t="str">
        <f t="array" ref="H280">IFERROR(INDEX('PORTIFÓLIO'!$H$4:$H$433,MATCH($C280,'PORTIFÓLIO'!$C$4:$C$433,0)),"")</f>
        <v/>
      </c>
      <c r="I280" s="253"/>
      <c r="J280" s="209">
        <f t="shared" si="31"/>
        <v>0</v>
      </c>
      <c r="K280" s="248" t="str">
        <f t="array" ref="K280">IFERROR(I280*INDEX('PORTIFÓLIO'!$S$4:$S$433,MATCH($C280,'PORTIFÓLIO'!$C$4:$C$433,0)),"")</f>
        <v/>
      </c>
      <c r="L280" s="248" t="str">
        <f t="array" ref="L280">IFERROR(J280*INDEX('PORTIFÓLIO'!$S$4:$S$433,MATCH($C280,'PORTIFÓLIO'!$C$4:$C$433,0)),"")</f>
        <v/>
      </c>
      <c r="M280" s="177"/>
      <c r="N280" s="177"/>
      <c r="O280" s="177"/>
      <c r="P280" s="177"/>
      <c r="Q280" s="177"/>
      <c r="R280" s="177"/>
      <c r="S280" s="177"/>
      <c r="T280" s="177"/>
      <c r="U280" s="177"/>
      <c r="V280" s="177"/>
      <c r="W280" s="177"/>
    </row>
    <row r="281" ht="15.75" customHeight="1" outlineLevel="1">
      <c r="A281" s="190"/>
      <c r="B281" s="204"/>
      <c r="C281" s="191"/>
      <c r="D281" s="205" t="str">
        <f>IFERROR(VLOOKUP($C281,'PORTIFÓLIO'!C:V,2,0),"")</f>
        <v/>
      </c>
      <c r="E281" s="190" t="str">
        <f>IFERROR(VLOOKUP($C281,'PORTIFÓLIO'!C:V,3,0),"")</f>
        <v/>
      </c>
      <c r="F281" s="190" t="str">
        <f>IFERROR(VLOOKUP($C281,'PORTIFÓLIO'!C:V,4,0),"")</f>
        <v/>
      </c>
      <c r="G281" s="206" t="str">
        <f>IFERROR(VLOOKUP($C281,'PORTIFÓLIO'!C:V,5,0),"")</f>
        <v/>
      </c>
      <c r="H281" s="247" t="str">
        <f t="array" ref="H281">IFERROR(INDEX('PORTIFÓLIO'!$H$4:$H$433,MATCH($C281,'PORTIFÓLIO'!$C$4:$C$433,0)),"")</f>
        <v/>
      </c>
      <c r="I281" s="257"/>
      <c r="J281" s="209">
        <f t="shared" si="31"/>
        <v>0</v>
      </c>
      <c r="K281" s="248" t="str">
        <f t="array" ref="K281">IFERROR(I281*INDEX('PORTIFÓLIO'!$S$4:$S$433,MATCH($C281,'PORTIFÓLIO'!$C$4:$C$433,0)),"")</f>
        <v/>
      </c>
      <c r="L281" s="248" t="str">
        <f t="array" ref="L281">IFERROR(J281*INDEX('PORTIFÓLIO'!$S$4:$S$433,MATCH($C281,'PORTIFÓLIO'!$C$4:$C$433,0)),"")</f>
        <v/>
      </c>
      <c r="M281" s="177"/>
      <c r="N281" s="177"/>
      <c r="O281" s="177"/>
      <c r="P281" s="177"/>
      <c r="Q281" s="177"/>
      <c r="R281" s="177"/>
      <c r="S281" s="177"/>
      <c r="T281" s="177"/>
      <c r="U281" s="177"/>
      <c r="V281" s="177"/>
      <c r="W281" s="177"/>
    </row>
    <row r="282" ht="15.75" customHeight="1" outlineLevel="1">
      <c r="A282" s="190"/>
      <c r="B282" s="204"/>
      <c r="C282" s="191"/>
      <c r="D282" s="205" t="str">
        <f>IFERROR(VLOOKUP($C282,'PORTIFÓLIO'!C:V,2,0),"")</f>
        <v/>
      </c>
      <c r="E282" s="190" t="str">
        <f>IFERROR(VLOOKUP($C282,'PORTIFÓLIO'!C:V,3,0),"")</f>
        <v/>
      </c>
      <c r="F282" s="190" t="str">
        <f>IFERROR(VLOOKUP($C282,'PORTIFÓLIO'!C:V,4,0),"")</f>
        <v/>
      </c>
      <c r="G282" s="206" t="str">
        <f>IFERROR(VLOOKUP($C282,'PORTIFÓLIO'!C:V,5,0),"")</f>
        <v/>
      </c>
      <c r="H282" s="247" t="str">
        <f t="array" ref="H282">IFERROR(INDEX('PORTIFÓLIO'!$H$4:$H$433,MATCH($C282,'PORTIFÓLIO'!$C$4:$C$433,0)),"")</f>
        <v/>
      </c>
      <c r="I282" s="257"/>
      <c r="J282" s="209">
        <f t="shared" si="31"/>
        <v>0</v>
      </c>
      <c r="K282" s="248" t="str">
        <f t="array" ref="K282">IFERROR(I282*INDEX('PORTIFÓLIO'!$S$4:$S$433,MATCH($C282,'PORTIFÓLIO'!$C$4:$C$433,0)),"")</f>
        <v/>
      </c>
      <c r="L282" s="248" t="str">
        <f t="array" ref="L282">IFERROR(J282*INDEX('PORTIFÓLIO'!$S$4:$S$433,MATCH($C282,'PORTIFÓLIO'!$C$4:$C$433,0)),"")</f>
        <v/>
      </c>
      <c r="M282" s="177"/>
      <c r="N282" s="177"/>
      <c r="O282" s="177"/>
      <c r="P282" s="177"/>
      <c r="Q282" s="177"/>
      <c r="R282" s="177"/>
      <c r="S282" s="177"/>
      <c r="T282" s="177"/>
      <c r="U282" s="177"/>
      <c r="V282" s="177"/>
      <c r="W282" s="177"/>
    </row>
    <row r="283" ht="15.75" customHeight="1" outlineLevel="1">
      <c r="A283" s="190"/>
      <c r="B283" s="204"/>
      <c r="C283" s="191"/>
      <c r="D283" s="205" t="str">
        <f>IFERROR(VLOOKUP($C283,'PORTIFÓLIO'!C:V,2,0),"")</f>
        <v/>
      </c>
      <c r="E283" s="190" t="str">
        <f>IFERROR(VLOOKUP($C283,'PORTIFÓLIO'!C:V,3,0),"")</f>
        <v/>
      </c>
      <c r="F283" s="190" t="str">
        <f>IFERROR(VLOOKUP($C283,'PORTIFÓLIO'!C:V,4,0),"")</f>
        <v/>
      </c>
      <c r="G283" s="206" t="str">
        <f>IFERROR(VLOOKUP($C283,'PORTIFÓLIO'!C:V,5,0),"")</f>
        <v/>
      </c>
      <c r="H283" s="247" t="str">
        <f t="array" ref="H283">IFERROR(INDEX('PORTIFÓLIO'!$H$4:$H$433,MATCH($C283,'PORTIFÓLIO'!$C$4:$C$433,0)),"")</f>
        <v/>
      </c>
      <c r="I283" s="257"/>
      <c r="J283" s="209">
        <f t="shared" si="31"/>
        <v>0</v>
      </c>
      <c r="K283" s="248" t="str">
        <f t="array" ref="K283">IFERROR(I283*INDEX('PORTIFÓLIO'!$S$4:$S$433,MATCH($C283,'PORTIFÓLIO'!$C$4:$C$433,0)),"")</f>
        <v/>
      </c>
      <c r="L283" s="248" t="str">
        <f t="array" ref="L283">IFERROR(J283*INDEX('PORTIFÓLIO'!$S$4:$S$433,MATCH($C283,'PORTIFÓLIO'!$C$4:$C$433,0)),"")</f>
        <v/>
      </c>
      <c r="M283" s="177"/>
      <c r="N283" s="177"/>
      <c r="O283" s="177"/>
      <c r="P283" s="177"/>
      <c r="Q283" s="177"/>
      <c r="R283" s="177"/>
      <c r="S283" s="177"/>
      <c r="T283" s="177"/>
      <c r="U283" s="177"/>
      <c r="V283" s="177"/>
      <c r="W283" s="177"/>
    </row>
    <row r="284" ht="15.75" customHeight="1" outlineLevel="1">
      <c r="A284" s="190"/>
      <c r="B284" s="204"/>
      <c r="C284" s="191"/>
      <c r="D284" s="205" t="str">
        <f>IFERROR(VLOOKUP($C284,'PORTIFÓLIO'!C:V,2,0),"")</f>
        <v/>
      </c>
      <c r="E284" s="190" t="str">
        <f>IFERROR(VLOOKUP($C284,'PORTIFÓLIO'!C:V,3,0),"")</f>
        <v/>
      </c>
      <c r="F284" s="190" t="str">
        <f>IFERROR(VLOOKUP($C284,'PORTIFÓLIO'!C:V,4,0),"")</f>
        <v/>
      </c>
      <c r="G284" s="206" t="str">
        <f>IFERROR(VLOOKUP($C284,'PORTIFÓLIO'!C:V,5,0),"")</f>
        <v/>
      </c>
      <c r="H284" s="247" t="str">
        <f t="array" ref="H284">IFERROR(INDEX('PORTIFÓLIO'!$H$4:$H$433,MATCH($C284,'PORTIFÓLIO'!$C$4:$C$433,0)),"")</f>
        <v/>
      </c>
      <c r="I284" s="257"/>
      <c r="J284" s="209">
        <f t="shared" si="31"/>
        <v>0</v>
      </c>
      <c r="K284" s="248" t="str">
        <f t="array" ref="K284">IFERROR(I284*INDEX('PORTIFÓLIO'!$S$4:$S$433,MATCH($C284,'PORTIFÓLIO'!$C$4:$C$433,0)),"")</f>
        <v/>
      </c>
      <c r="L284" s="248" t="str">
        <f t="array" ref="L284">IFERROR(J284*INDEX('PORTIFÓLIO'!$S$4:$S$433,MATCH($C284,'PORTIFÓLIO'!$C$4:$C$433,0)),"")</f>
        <v/>
      </c>
      <c r="M284" s="177"/>
      <c r="N284" s="177"/>
      <c r="O284" s="177"/>
      <c r="P284" s="177"/>
      <c r="Q284" s="177"/>
      <c r="R284" s="177"/>
      <c r="S284" s="177"/>
      <c r="T284" s="177"/>
      <c r="U284" s="177"/>
      <c r="V284" s="177"/>
      <c r="W284" s="177"/>
    </row>
    <row r="285" ht="15.75" customHeight="1" outlineLevel="1">
      <c r="A285" s="190"/>
      <c r="B285" s="204"/>
      <c r="C285" s="191"/>
      <c r="D285" s="205" t="str">
        <f>IFERROR(VLOOKUP($C285,'PORTIFÓLIO'!C:V,2,0),"")</f>
        <v/>
      </c>
      <c r="E285" s="190" t="str">
        <f>IFERROR(VLOOKUP($C285,'PORTIFÓLIO'!C:V,3,0),"")</f>
        <v/>
      </c>
      <c r="F285" s="190" t="str">
        <f>IFERROR(VLOOKUP($C285,'PORTIFÓLIO'!C:V,4,0),"")</f>
        <v/>
      </c>
      <c r="G285" s="206" t="str">
        <f>IFERROR(VLOOKUP($C285,'PORTIFÓLIO'!C:V,5,0),"")</f>
        <v/>
      </c>
      <c r="H285" s="247" t="str">
        <f t="array" ref="H285">IFERROR(INDEX('PORTIFÓLIO'!$H$4:$H$433,MATCH($C285,'PORTIFÓLIO'!$C$4:$C$433,0)),"")</f>
        <v/>
      </c>
      <c r="I285" s="257"/>
      <c r="J285" s="209">
        <f t="shared" si="31"/>
        <v>0</v>
      </c>
      <c r="K285" s="248" t="str">
        <f t="array" ref="K285">IFERROR(I285*INDEX('PORTIFÓLIO'!$S$4:$S$433,MATCH($C285,'PORTIFÓLIO'!$C$4:$C$433,0)),"")</f>
        <v/>
      </c>
      <c r="L285" s="248" t="str">
        <f t="array" ref="L285">IFERROR(J285*INDEX('PORTIFÓLIO'!$S$4:$S$433,MATCH($C285,'PORTIFÓLIO'!$C$4:$C$433,0)),"")</f>
        <v/>
      </c>
      <c r="M285" s="177"/>
      <c r="N285" s="177"/>
      <c r="O285" s="177"/>
      <c r="P285" s="177"/>
      <c r="Q285" s="177"/>
      <c r="R285" s="177"/>
      <c r="S285" s="177"/>
      <c r="T285" s="177"/>
      <c r="U285" s="177"/>
      <c r="V285" s="177"/>
      <c r="W285" s="177"/>
    </row>
    <row r="286" ht="15.75" customHeight="1" outlineLevel="1">
      <c r="A286" s="190"/>
      <c r="B286" s="204"/>
      <c r="C286" s="191"/>
      <c r="D286" s="205" t="str">
        <f>IFERROR(VLOOKUP($C286,'PORTIFÓLIO'!C:V,2,0),"")</f>
        <v/>
      </c>
      <c r="E286" s="190" t="str">
        <f>IFERROR(VLOOKUP($C286,'PORTIFÓLIO'!C:V,3,0),"")</f>
        <v/>
      </c>
      <c r="F286" s="190" t="str">
        <f>IFERROR(VLOOKUP($C286,'PORTIFÓLIO'!C:V,4,0),"")</f>
        <v/>
      </c>
      <c r="G286" s="206" t="str">
        <f>IFERROR(VLOOKUP($C286,'PORTIFÓLIO'!C:V,5,0),"")</f>
        <v/>
      </c>
      <c r="H286" s="247" t="str">
        <f t="array" ref="H286">IFERROR(INDEX('PORTIFÓLIO'!$H$4:$H$433,MATCH($C286,'PORTIFÓLIO'!$C$4:$C$433,0)),"")</f>
        <v/>
      </c>
      <c r="I286" s="257"/>
      <c r="J286" s="209">
        <f t="shared" si="31"/>
        <v>0</v>
      </c>
      <c r="K286" s="248" t="str">
        <f t="array" ref="K286">IFERROR(I286*INDEX('PORTIFÓLIO'!$S$4:$S$433,MATCH($C286,'PORTIFÓLIO'!$C$4:$C$433,0)),"")</f>
        <v/>
      </c>
      <c r="L286" s="248" t="str">
        <f t="array" ref="L286">IFERROR(J286*INDEX('PORTIFÓLIO'!$S$4:$S$433,MATCH($C286,'PORTIFÓLIO'!$C$4:$C$433,0)),"")</f>
        <v/>
      </c>
      <c r="M286" s="177"/>
      <c r="N286" s="177"/>
      <c r="O286" s="177"/>
      <c r="P286" s="177"/>
      <c r="Q286" s="177"/>
      <c r="R286" s="177"/>
      <c r="S286" s="177"/>
      <c r="T286" s="177"/>
      <c r="U286" s="177"/>
      <c r="V286" s="177"/>
      <c r="W286" s="177"/>
    </row>
    <row r="287" ht="15.75" customHeight="1" outlineLevel="1">
      <c r="A287" s="190"/>
      <c r="B287" s="204"/>
      <c r="C287" s="191"/>
      <c r="D287" s="205" t="str">
        <f>IFERROR(VLOOKUP($C287,'PORTIFÓLIO'!C:V,2,0),"")</f>
        <v/>
      </c>
      <c r="E287" s="190" t="str">
        <f>IFERROR(VLOOKUP($C287,'PORTIFÓLIO'!C:V,3,0),"")</f>
        <v/>
      </c>
      <c r="F287" s="190" t="str">
        <f>IFERROR(VLOOKUP($C287,'PORTIFÓLIO'!C:V,4,0),"")</f>
        <v/>
      </c>
      <c r="G287" s="206" t="str">
        <f>IFERROR(VLOOKUP($C287,'PORTIFÓLIO'!C:V,5,0),"")</f>
        <v/>
      </c>
      <c r="H287" s="247" t="str">
        <f t="array" ref="H287">IFERROR(INDEX('PORTIFÓLIO'!$H$4:$H$433,MATCH($C287,'PORTIFÓLIO'!$C$4:$C$433,0)),"")</f>
        <v/>
      </c>
      <c r="I287" s="257"/>
      <c r="J287" s="209">
        <f t="shared" si="31"/>
        <v>0</v>
      </c>
      <c r="K287" s="248" t="str">
        <f t="array" ref="K287">IFERROR(I287*INDEX('PORTIFÓLIO'!$S$4:$S$433,MATCH($C287,'PORTIFÓLIO'!$C$4:$C$433,0)),"")</f>
        <v/>
      </c>
      <c r="L287" s="248" t="str">
        <f t="array" ref="L287">IFERROR(J287*INDEX('PORTIFÓLIO'!$S$4:$S$433,MATCH($C287,'PORTIFÓLIO'!$C$4:$C$433,0)),"")</f>
        <v/>
      </c>
      <c r="M287" s="177"/>
      <c r="N287" s="177"/>
      <c r="O287" s="177"/>
      <c r="P287" s="177"/>
      <c r="Q287" s="177"/>
      <c r="R287" s="177"/>
      <c r="S287" s="177"/>
      <c r="T287" s="177"/>
      <c r="U287" s="177"/>
      <c r="V287" s="177"/>
      <c r="W287" s="177"/>
    </row>
    <row r="288" ht="15.75" customHeight="1" outlineLevel="1">
      <c r="A288" s="190"/>
      <c r="B288" s="204"/>
      <c r="C288" s="191"/>
      <c r="D288" s="205" t="str">
        <f>IFERROR(VLOOKUP($C288,'PORTIFÓLIO'!C:V,2,0),"")</f>
        <v/>
      </c>
      <c r="E288" s="190" t="str">
        <f>IFERROR(VLOOKUP($C288,'PORTIFÓLIO'!C:V,3,0),"")</f>
        <v/>
      </c>
      <c r="F288" s="190" t="str">
        <f>IFERROR(VLOOKUP($C288,'PORTIFÓLIO'!C:V,4,0),"")</f>
        <v/>
      </c>
      <c r="G288" s="206" t="str">
        <f>IFERROR(VLOOKUP($C288,'PORTIFÓLIO'!C:V,5,0),"")</f>
        <v/>
      </c>
      <c r="H288" s="247" t="str">
        <f t="array" ref="H288">IFERROR(INDEX('PORTIFÓLIO'!$H$4:$H$433,MATCH($C288,'PORTIFÓLIO'!$C$4:$C$433,0)),"")</f>
        <v/>
      </c>
      <c r="I288" s="257"/>
      <c r="J288" s="209">
        <f t="shared" si="31"/>
        <v>0</v>
      </c>
      <c r="K288" s="248" t="str">
        <f t="array" ref="K288">IFERROR(I288*INDEX('PORTIFÓLIO'!$S$4:$S$433,MATCH($C288,'PORTIFÓLIO'!$C$4:$C$433,0)),"")</f>
        <v/>
      </c>
      <c r="L288" s="248" t="str">
        <f t="array" ref="L288">IFERROR(J288*INDEX('PORTIFÓLIO'!$S$4:$S$433,MATCH($C288,'PORTIFÓLIO'!$C$4:$C$433,0)),"")</f>
        <v/>
      </c>
      <c r="M288" s="177"/>
      <c r="N288" s="177"/>
      <c r="O288" s="177"/>
      <c r="P288" s="177"/>
      <c r="Q288" s="177"/>
      <c r="R288" s="177"/>
      <c r="S288" s="177"/>
      <c r="T288" s="177"/>
      <c r="U288" s="177"/>
      <c r="V288" s="177"/>
      <c r="W288" s="177"/>
    </row>
    <row r="289" ht="15.75" customHeight="1" outlineLevel="1">
      <c r="A289" s="190"/>
      <c r="B289" s="204"/>
      <c r="C289" s="191"/>
      <c r="D289" s="205" t="str">
        <f>IFERROR(VLOOKUP($C289,'PORTIFÓLIO'!C:V,2,0),"")</f>
        <v/>
      </c>
      <c r="E289" s="190" t="str">
        <f>IFERROR(VLOOKUP($C289,'PORTIFÓLIO'!C:V,3,0),"")</f>
        <v/>
      </c>
      <c r="F289" s="190" t="str">
        <f>IFERROR(VLOOKUP($C289,'PORTIFÓLIO'!C:V,4,0),"")</f>
        <v/>
      </c>
      <c r="G289" s="206" t="str">
        <f>IFERROR(VLOOKUP($C289,'PORTIFÓLIO'!C:V,5,0),"")</f>
        <v/>
      </c>
      <c r="H289" s="247" t="str">
        <f t="array" ref="H289">IFERROR(INDEX('PORTIFÓLIO'!$H$4:$H$433,MATCH($C289,'PORTIFÓLIO'!$C$4:$C$433,0)),"")</f>
        <v/>
      </c>
      <c r="I289" s="257"/>
      <c r="J289" s="209">
        <f t="shared" si="31"/>
        <v>0</v>
      </c>
      <c r="K289" s="248" t="str">
        <f t="array" ref="K289">IFERROR(I289*INDEX('PORTIFÓLIO'!$S$4:$S$433,MATCH($C289,'PORTIFÓLIO'!$C$4:$C$433,0)),"")</f>
        <v/>
      </c>
      <c r="L289" s="248" t="str">
        <f t="array" ref="L289">IFERROR(J289*INDEX('PORTIFÓLIO'!$S$4:$S$433,MATCH($C289,'PORTIFÓLIO'!$C$4:$C$433,0)),"")</f>
        <v/>
      </c>
      <c r="M289" s="177"/>
      <c r="N289" s="177"/>
      <c r="O289" s="177"/>
      <c r="P289" s="177"/>
      <c r="Q289" s="177"/>
      <c r="R289" s="177"/>
      <c r="S289" s="177"/>
      <c r="T289" s="177"/>
      <c r="U289" s="177"/>
      <c r="V289" s="177"/>
      <c r="W289" s="177"/>
    </row>
    <row r="290" ht="15.75" customHeight="1">
      <c r="A290" s="221" t="s">
        <v>1186</v>
      </c>
      <c r="B290" s="197"/>
      <c r="C290" s="196"/>
      <c r="D290" s="198"/>
      <c r="E290" s="196"/>
      <c r="F290" s="196"/>
      <c r="G290" s="199"/>
      <c r="H290" s="199"/>
      <c r="I290" s="252"/>
      <c r="J290" s="202"/>
      <c r="K290" s="203">
        <f t="shared" ref="K290:L290" si="32">SUBTOTAL(9,K291:K304)</f>
        <v>0</v>
      </c>
      <c r="L290" s="203">
        <f t="shared" si="32"/>
        <v>0</v>
      </c>
      <c r="M290" s="177"/>
      <c r="N290" s="177"/>
      <c r="O290" s="177"/>
      <c r="P290" s="177"/>
      <c r="Q290" s="177"/>
      <c r="R290" s="177"/>
      <c r="S290" s="177"/>
      <c r="T290" s="177"/>
      <c r="U290" s="177"/>
      <c r="V290" s="177"/>
      <c r="W290" s="177"/>
    </row>
    <row r="291" ht="15.75" customHeight="1" outlineLevel="1">
      <c r="A291" s="191"/>
      <c r="B291" s="204"/>
      <c r="C291" s="191"/>
      <c r="D291" s="205" t="str">
        <f>IFERROR(VLOOKUP($C291,'PORTIFÓLIO'!C:V,2,0),"")</f>
        <v/>
      </c>
      <c r="E291" s="190" t="str">
        <f>IFERROR(VLOOKUP($C291,'PORTIFÓLIO'!C:V,3,0),"")</f>
        <v/>
      </c>
      <c r="F291" s="190" t="str">
        <f>IFERROR(VLOOKUP($C291,'PORTIFÓLIO'!C:V,4,0),"")</f>
        <v/>
      </c>
      <c r="G291" s="206" t="str">
        <f>IFERROR(VLOOKUP($C291,'PORTIFÓLIO'!C:V,5,0),"")</f>
        <v/>
      </c>
      <c r="H291" s="247" t="str">
        <f t="array" ref="H291">IFERROR(INDEX('PORTIFÓLIO'!$H$4:$H$433,MATCH($C291,'PORTIFÓLIO'!$C$4:$C$433,0)),"")</f>
        <v/>
      </c>
      <c r="I291" s="253"/>
      <c r="J291" s="209">
        <f t="shared" ref="J291:J307" si="33">I291*$B$2</f>
        <v>0</v>
      </c>
      <c r="K291" s="248" t="str">
        <f t="array" ref="K291">IFERROR(I291*INDEX('PORTIFÓLIO'!$S$4:$S$433,MATCH($C291,'PORTIFÓLIO'!$C$4:$C$433,0)),"")</f>
        <v/>
      </c>
      <c r="L291" s="248" t="str">
        <f t="array" ref="L291">IFERROR(J291*INDEX('PORTIFÓLIO'!$S$4:$S$433,MATCH($C291,'PORTIFÓLIO'!$C$4:$C$433,0)),"")</f>
        <v/>
      </c>
      <c r="M291" s="177"/>
      <c r="N291" s="177"/>
      <c r="O291" s="177"/>
      <c r="P291" s="177"/>
      <c r="Q291" s="177"/>
      <c r="R291" s="177"/>
      <c r="S291" s="177"/>
      <c r="T291" s="177"/>
      <c r="U291" s="177"/>
      <c r="V291" s="177"/>
      <c r="W291" s="177"/>
    </row>
    <row r="292" ht="15.75" customHeight="1" outlineLevel="1">
      <c r="A292" s="190"/>
      <c r="B292" s="204"/>
      <c r="C292" s="191"/>
      <c r="D292" s="205" t="str">
        <f>IFERROR(VLOOKUP($C292,'PORTIFÓLIO'!C:V,2,0),"")</f>
        <v/>
      </c>
      <c r="E292" s="190" t="str">
        <f>IFERROR(VLOOKUP($C292,'PORTIFÓLIO'!C:V,3,0),"")</f>
        <v/>
      </c>
      <c r="F292" s="190" t="str">
        <f>IFERROR(VLOOKUP($C292,'PORTIFÓLIO'!C:V,4,0),"")</f>
        <v/>
      </c>
      <c r="G292" s="206" t="str">
        <f>IFERROR(VLOOKUP($C292,'PORTIFÓLIO'!C:V,5,0),"")</f>
        <v/>
      </c>
      <c r="H292" s="247" t="str">
        <f t="array" ref="H292">IFERROR(INDEX('PORTIFÓLIO'!$H$4:$H$433,MATCH($C292,'PORTIFÓLIO'!$C$4:$C$433,0)),"")</f>
        <v/>
      </c>
      <c r="I292" s="257"/>
      <c r="J292" s="209">
        <f t="shared" si="33"/>
        <v>0</v>
      </c>
      <c r="K292" s="248" t="str">
        <f t="array" ref="K292">IFERROR(I292*INDEX('PORTIFÓLIO'!$S$4:$S$433,MATCH($C292,'PORTIFÓLIO'!$C$4:$C$433,0)),"")</f>
        <v/>
      </c>
      <c r="L292" s="248" t="str">
        <f t="array" ref="L292">IFERROR(J292*INDEX('PORTIFÓLIO'!$S$4:$S$433,MATCH($C292,'PORTIFÓLIO'!$C$4:$C$433,0)),"")</f>
        <v/>
      </c>
      <c r="M292" s="177"/>
      <c r="N292" s="177"/>
      <c r="O292" s="177"/>
      <c r="P292" s="177"/>
      <c r="Q292" s="177"/>
      <c r="R292" s="177"/>
      <c r="S292" s="177"/>
      <c r="T292" s="177"/>
      <c r="U292" s="177"/>
      <c r="V292" s="177"/>
      <c r="W292" s="177"/>
    </row>
    <row r="293" ht="15.75" customHeight="1" outlineLevel="1">
      <c r="A293" s="190"/>
      <c r="B293" s="204"/>
      <c r="C293" s="191"/>
      <c r="D293" s="205" t="str">
        <f>IFERROR(VLOOKUP($C293,'PORTIFÓLIO'!C:V,2,0),"")</f>
        <v/>
      </c>
      <c r="E293" s="190" t="str">
        <f>IFERROR(VLOOKUP($C293,'PORTIFÓLIO'!C:V,3,0),"")</f>
        <v/>
      </c>
      <c r="F293" s="190" t="str">
        <f>IFERROR(VLOOKUP($C293,'PORTIFÓLIO'!C:V,4,0),"")</f>
        <v/>
      </c>
      <c r="G293" s="206" t="str">
        <f>IFERROR(VLOOKUP($C293,'PORTIFÓLIO'!C:V,5,0),"")</f>
        <v/>
      </c>
      <c r="H293" s="247" t="str">
        <f t="array" ref="H293">IFERROR(INDEX('PORTIFÓLIO'!$H$4:$H$433,MATCH($C293,'PORTIFÓLIO'!$C$4:$C$433,0)),"")</f>
        <v/>
      </c>
      <c r="I293" s="257"/>
      <c r="J293" s="209">
        <f t="shared" si="33"/>
        <v>0</v>
      </c>
      <c r="K293" s="248" t="str">
        <f t="array" ref="K293">IFERROR(I293*INDEX('PORTIFÓLIO'!$S$4:$S$433,MATCH($C293,'PORTIFÓLIO'!$C$4:$C$433,0)),"")</f>
        <v/>
      </c>
      <c r="L293" s="248" t="str">
        <f t="array" ref="L293">IFERROR(J293*INDEX('PORTIFÓLIO'!$S$4:$S$433,MATCH($C293,'PORTIFÓLIO'!$C$4:$C$433,0)),"")</f>
        <v/>
      </c>
      <c r="M293" s="177"/>
      <c r="N293" s="177"/>
      <c r="O293" s="177"/>
      <c r="P293" s="177"/>
      <c r="Q293" s="177"/>
      <c r="R293" s="177"/>
      <c r="S293" s="177"/>
      <c r="T293" s="177"/>
      <c r="U293" s="177"/>
      <c r="V293" s="177"/>
      <c r="W293" s="177"/>
    </row>
    <row r="294" ht="15.75" customHeight="1" outlineLevel="1">
      <c r="A294" s="190"/>
      <c r="B294" s="204"/>
      <c r="C294" s="191"/>
      <c r="D294" s="205" t="str">
        <f>IFERROR(VLOOKUP($C294,'PORTIFÓLIO'!C:V,2,0),"")</f>
        <v/>
      </c>
      <c r="E294" s="190" t="str">
        <f>IFERROR(VLOOKUP($C294,'PORTIFÓLIO'!C:V,3,0),"")</f>
        <v/>
      </c>
      <c r="F294" s="190" t="str">
        <f>IFERROR(VLOOKUP($C294,'PORTIFÓLIO'!C:V,4,0),"")</f>
        <v/>
      </c>
      <c r="G294" s="206" t="str">
        <f>IFERROR(VLOOKUP($C294,'PORTIFÓLIO'!C:V,5,0),"")</f>
        <v/>
      </c>
      <c r="H294" s="247" t="str">
        <f t="array" ref="H294">IFERROR(INDEX('PORTIFÓLIO'!$H$4:$H$433,MATCH($C294,'PORTIFÓLIO'!$C$4:$C$433,0)),"")</f>
        <v/>
      </c>
      <c r="I294" s="257"/>
      <c r="J294" s="209">
        <f t="shared" si="33"/>
        <v>0</v>
      </c>
      <c r="K294" s="248" t="str">
        <f t="array" ref="K294">IFERROR(I294*INDEX('PORTIFÓLIO'!$S$4:$S$433,MATCH($C294,'PORTIFÓLIO'!$C$4:$C$433,0)),"")</f>
        <v/>
      </c>
      <c r="L294" s="248" t="str">
        <f t="array" ref="L294">IFERROR(J294*INDEX('PORTIFÓLIO'!$S$4:$S$433,MATCH($C294,'PORTIFÓLIO'!$C$4:$C$433,0)),"")</f>
        <v/>
      </c>
      <c r="M294" s="177"/>
      <c r="N294" s="177"/>
      <c r="O294" s="177"/>
      <c r="P294" s="177"/>
      <c r="Q294" s="177"/>
      <c r="R294" s="177"/>
      <c r="S294" s="177"/>
      <c r="T294" s="177"/>
      <c r="U294" s="177"/>
      <c r="V294" s="177"/>
      <c r="W294" s="177"/>
    </row>
    <row r="295" ht="15.75" customHeight="1" outlineLevel="1">
      <c r="A295" s="190"/>
      <c r="B295" s="204"/>
      <c r="C295" s="191"/>
      <c r="D295" s="205" t="str">
        <f>IFERROR(VLOOKUP($C295,'PORTIFÓLIO'!C:V,2,0),"")</f>
        <v/>
      </c>
      <c r="E295" s="190" t="str">
        <f>IFERROR(VLOOKUP($C295,'PORTIFÓLIO'!C:V,3,0),"")</f>
        <v/>
      </c>
      <c r="F295" s="190" t="str">
        <f>IFERROR(VLOOKUP($C295,'PORTIFÓLIO'!C:V,4,0),"")</f>
        <v/>
      </c>
      <c r="G295" s="206" t="str">
        <f>IFERROR(VLOOKUP($C295,'PORTIFÓLIO'!C:V,5,0),"")</f>
        <v/>
      </c>
      <c r="H295" s="247" t="str">
        <f t="array" ref="H295">IFERROR(INDEX('PORTIFÓLIO'!$H$4:$H$433,MATCH($C295,'PORTIFÓLIO'!$C$4:$C$433,0)),"")</f>
        <v/>
      </c>
      <c r="I295" s="257"/>
      <c r="J295" s="209">
        <f t="shared" si="33"/>
        <v>0</v>
      </c>
      <c r="K295" s="248" t="str">
        <f t="array" ref="K295">IFERROR(I295*INDEX('PORTIFÓLIO'!$S$4:$S$433,MATCH($C295,'PORTIFÓLIO'!$C$4:$C$433,0)),"")</f>
        <v/>
      </c>
      <c r="L295" s="248" t="str">
        <f t="array" ref="L295">IFERROR(J295*INDEX('PORTIFÓLIO'!$S$4:$S$433,MATCH($C295,'PORTIFÓLIO'!$C$4:$C$433,0)),"")</f>
        <v/>
      </c>
      <c r="M295" s="177"/>
      <c r="N295" s="177"/>
      <c r="O295" s="177"/>
      <c r="P295" s="177"/>
      <c r="Q295" s="177"/>
      <c r="R295" s="177"/>
      <c r="S295" s="177"/>
      <c r="T295" s="177"/>
      <c r="U295" s="177"/>
      <c r="V295" s="177"/>
      <c r="W295" s="177"/>
    </row>
    <row r="296" ht="15.75" customHeight="1" outlineLevel="1">
      <c r="A296" s="190"/>
      <c r="B296" s="204"/>
      <c r="C296" s="191"/>
      <c r="D296" s="205" t="str">
        <f>IFERROR(VLOOKUP($C296,'PORTIFÓLIO'!C:V,2,0),"")</f>
        <v/>
      </c>
      <c r="E296" s="190" t="str">
        <f>IFERROR(VLOOKUP($C296,'PORTIFÓLIO'!C:V,3,0),"")</f>
        <v/>
      </c>
      <c r="F296" s="190" t="str">
        <f>IFERROR(VLOOKUP($C296,'PORTIFÓLIO'!C:V,4,0),"")</f>
        <v/>
      </c>
      <c r="G296" s="206" t="str">
        <f>IFERROR(VLOOKUP($C296,'PORTIFÓLIO'!C:V,5,0),"")</f>
        <v/>
      </c>
      <c r="H296" s="247" t="str">
        <f t="array" ref="H296">IFERROR(INDEX('PORTIFÓLIO'!$H$4:$H$433,MATCH($C296,'PORTIFÓLIO'!$C$4:$C$433,0)),"")</f>
        <v/>
      </c>
      <c r="I296" s="257"/>
      <c r="J296" s="209">
        <f t="shared" si="33"/>
        <v>0</v>
      </c>
      <c r="K296" s="248" t="str">
        <f t="array" ref="K296">IFERROR(I296*INDEX('PORTIFÓLIO'!$S$4:$S$433,MATCH($C296,'PORTIFÓLIO'!$C$4:$C$433,0)),"")</f>
        <v/>
      </c>
      <c r="L296" s="248" t="str">
        <f t="array" ref="L296">IFERROR(J296*INDEX('PORTIFÓLIO'!$S$4:$S$433,MATCH($C296,'PORTIFÓLIO'!$C$4:$C$433,0)),"")</f>
        <v/>
      </c>
      <c r="M296" s="177"/>
      <c r="N296" s="177"/>
      <c r="O296" s="177"/>
      <c r="P296" s="177"/>
      <c r="Q296" s="177"/>
      <c r="R296" s="177"/>
      <c r="S296" s="177"/>
      <c r="T296" s="177"/>
      <c r="U296" s="177"/>
      <c r="V296" s="177"/>
      <c r="W296" s="177"/>
    </row>
    <row r="297" ht="15.75" customHeight="1" outlineLevel="1">
      <c r="A297" s="190"/>
      <c r="B297" s="204"/>
      <c r="C297" s="191"/>
      <c r="D297" s="205" t="str">
        <f>IFERROR(VLOOKUP($C297,'PORTIFÓLIO'!C:V,2,0),"")</f>
        <v/>
      </c>
      <c r="E297" s="190" t="str">
        <f>IFERROR(VLOOKUP($C297,'PORTIFÓLIO'!C:V,3,0),"")</f>
        <v/>
      </c>
      <c r="F297" s="190" t="str">
        <f>IFERROR(VLOOKUP($C297,'PORTIFÓLIO'!C:V,4,0),"")</f>
        <v/>
      </c>
      <c r="G297" s="206" t="str">
        <f>IFERROR(VLOOKUP($C297,'PORTIFÓLIO'!C:V,5,0),"")</f>
        <v/>
      </c>
      <c r="H297" s="247" t="str">
        <f t="array" ref="H297">IFERROR(INDEX('PORTIFÓLIO'!$H$4:$H$433,MATCH($C297,'PORTIFÓLIO'!$C$4:$C$433,0)),"")</f>
        <v/>
      </c>
      <c r="I297" s="257"/>
      <c r="J297" s="209">
        <f t="shared" si="33"/>
        <v>0</v>
      </c>
      <c r="K297" s="248" t="str">
        <f t="array" ref="K297">IFERROR(I297*INDEX('PORTIFÓLIO'!$S$4:$S$433,MATCH($C297,'PORTIFÓLIO'!$C$4:$C$433,0)),"")</f>
        <v/>
      </c>
      <c r="L297" s="248" t="str">
        <f t="array" ref="L297">IFERROR(J297*INDEX('PORTIFÓLIO'!$S$4:$S$433,MATCH($C297,'PORTIFÓLIO'!$C$4:$C$433,0)),"")</f>
        <v/>
      </c>
      <c r="M297" s="177"/>
      <c r="N297" s="177"/>
      <c r="O297" s="177"/>
      <c r="P297" s="177"/>
      <c r="Q297" s="177"/>
      <c r="R297" s="177"/>
      <c r="S297" s="177"/>
      <c r="T297" s="177"/>
      <c r="U297" s="177"/>
      <c r="V297" s="177"/>
      <c r="W297" s="177"/>
    </row>
    <row r="298" ht="15.75" customHeight="1" outlineLevel="1">
      <c r="A298" s="190"/>
      <c r="B298" s="204"/>
      <c r="C298" s="191"/>
      <c r="D298" s="205" t="str">
        <f>IFERROR(VLOOKUP($C298,'PORTIFÓLIO'!C:V,2,0),"")</f>
        <v/>
      </c>
      <c r="E298" s="190" t="str">
        <f>IFERROR(VLOOKUP($C298,'PORTIFÓLIO'!C:V,3,0),"")</f>
        <v/>
      </c>
      <c r="F298" s="190" t="str">
        <f>IFERROR(VLOOKUP($C298,'PORTIFÓLIO'!C:V,4,0),"")</f>
        <v/>
      </c>
      <c r="G298" s="206" t="str">
        <f>IFERROR(VLOOKUP($C298,'PORTIFÓLIO'!C:V,5,0),"")</f>
        <v/>
      </c>
      <c r="H298" s="247" t="str">
        <f t="array" ref="H298">IFERROR(INDEX('PORTIFÓLIO'!$H$4:$H$433,MATCH($C298,'PORTIFÓLIO'!$C$4:$C$433,0)),"")</f>
        <v/>
      </c>
      <c r="I298" s="257"/>
      <c r="J298" s="209">
        <f t="shared" si="33"/>
        <v>0</v>
      </c>
      <c r="K298" s="248" t="str">
        <f t="array" ref="K298">IFERROR(I298*INDEX('PORTIFÓLIO'!$S$4:$S$433,MATCH($C298,'PORTIFÓLIO'!$C$4:$C$433,0)),"")</f>
        <v/>
      </c>
      <c r="L298" s="248" t="str">
        <f t="array" ref="L298">IFERROR(J298*INDEX('PORTIFÓLIO'!$S$4:$S$433,MATCH($C298,'PORTIFÓLIO'!$C$4:$C$433,0)),"")</f>
        <v/>
      </c>
      <c r="M298" s="177"/>
      <c r="N298" s="177"/>
      <c r="O298" s="177"/>
      <c r="P298" s="177"/>
      <c r="Q298" s="177"/>
      <c r="R298" s="177"/>
      <c r="S298" s="177"/>
      <c r="T298" s="177"/>
      <c r="U298" s="177"/>
      <c r="V298" s="177"/>
      <c r="W298" s="177"/>
    </row>
    <row r="299" ht="15.75" customHeight="1" outlineLevel="1">
      <c r="A299" s="190"/>
      <c r="B299" s="204"/>
      <c r="C299" s="191"/>
      <c r="D299" s="205" t="str">
        <f>IFERROR(VLOOKUP($C299,'PORTIFÓLIO'!C:V,2,0),"")</f>
        <v/>
      </c>
      <c r="E299" s="190" t="str">
        <f>IFERROR(VLOOKUP($C299,'PORTIFÓLIO'!C:V,3,0),"")</f>
        <v/>
      </c>
      <c r="F299" s="190" t="str">
        <f>IFERROR(VLOOKUP($C299,'PORTIFÓLIO'!C:V,4,0),"")</f>
        <v/>
      </c>
      <c r="G299" s="206" t="str">
        <f>IFERROR(VLOOKUP($C299,'PORTIFÓLIO'!C:V,5,0),"")</f>
        <v/>
      </c>
      <c r="H299" s="247" t="str">
        <f t="array" ref="H299">IFERROR(INDEX('PORTIFÓLIO'!$H$4:$H$433,MATCH($C299,'PORTIFÓLIO'!$C$4:$C$433,0)),"")</f>
        <v/>
      </c>
      <c r="I299" s="253"/>
      <c r="J299" s="209">
        <f t="shared" si="33"/>
        <v>0</v>
      </c>
      <c r="K299" s="248" t="str">
        <f t="array" ref="K299">IFERROR(I299*INDEX('PORTIFÓLIO'!$S$4:$S$433,MATCH($C299,'PORTIFÓLIO'!$C$4:$C$433,0)),"")</f>
        <v/>
      </c>
      <c r="L299" s="248" t="str">
        <f t="array" ref="L299">IFERROR(J299*INDEX('PORTIFÓLIO'!$S$4:$S$433,MATCH($C299,'PORTIFÓLIO'!$C$4:$C$433,0)),"")</f>
        <v/>
      </c>
      <c r="M299" s="177"/>
      <c r="N299" s="177"/>
      <c r="O299" s="177"/>
      <c r="P299" s="177"/>
      <c r="Q299" s="177"/>
      <c r="R299" s="177"/>
      <c r="S299" s="177"/>
      <c r="T299" s="177"/>
      <c r="U299" s="177"/>
      <c r="V299" s="177"/>
      <c r="W299" s="177"/>
    </row>
    <row r="300" ht="15.75" customHeight="1" outlineLevel="1">
      <c r="A300" s="190"/>
      <c r="B300" s="204"/>
      <c r="C300" s="191"/>
      <c r="D300" s="205" t="str">
        <f>IFERROR(VLOOKUP($C300,'PORTIFÓLIO'!C:V,2,0),"")</f>
        <v/>
      </c>
      <c r="E300" s="190" t="str">
        <f>IFERROR(VLOOKUP($C300,'PORTIFÓLIO'!C:V,3,0),"")</f>
        <v/>
      </c>
      <c r="F300" s="190" t="str">
        <f>IFERROR(VLOOKUP($C300,'PORTIFÓLIO'!C:V,4,0),"")</f>
        <v/>
      </c>
      <c r="G300" s="206" t="str">
        <f>IFERROR(VLOOKUP($C300,'PORTIFÓLIO'!C:V,5,0),"")</f>
        <v/>
      </c>
      <c r="H300" s="247" t="str">
        <f t="array" ref="H300">IFERROR(INDEX('PORTIFÓLIO'!$H$4:$H$433,MATCH($C300,'PORTIFÓLIO'!$C$4:$C$433,0)),"")</f>
        <v/>
      </c>
      <c r="I300" s="257"/>
      <c r="J300" s="209">
        <f t="shared" si="33"/>
        <v>0</v>
      </c>
      <c r="K300" s="248" t="str">
        <f t="array" ref="K300">IFERROR(I300*INDEX('PORTIFÓLIO'!$S$4:$S$433,MATCH($C300,'PORTIFÓLIO'!$C$4:$C$433,0)),"")</f>
        <v/>
      </c>
      <c r="L300" s="248" t="str">
        <f t="array" ref="L300">IFERROR(J300*INDEX('PORTIFÓLIO'!$S$4:$S$433,MATCH($C300,'PORTIFÓLIO'!$C$4:$C$433,0)),"")</f>
        <v/>
      </c>
      <c r="M300" s="177"/>
      <c r="N300" s="177"/>
      <c r="O300" s="177"/>
      <c r="P300" s="177"/>
      <c r="Q300" s="177"/>
      <c r="R300" s="177"/>
      <c r="S300" s="177"/>
      <c r="T300" s="177"/>
      <c r="U300" s="177"/>
      <c r="V300" s="177"/>
      <c r="W300" s="177"/>
    </row>
    <row r="301" ht="15.75" customHeight="1" outlineLevel="1">
      <c r="A301" s="190"/>
      <c r="B301" s="204"/>
      <c r="C301" s="191"/>
      <c r="D301" s="205" t="str">
        <f>IFERROR(VLOOKUP($C301,'PORTIFÓLIO'!C:V,2,0),"")</f>
        <v/>
      </c>
      <c r="E301" s="190" t="str">
        <f>IFERROR(VLOOKUP($C301,'PORTIFÓLIO'!C:V,3,0),"")</f>
        <v/>
      </c>
      <c r="F301" s="190" t="str">
        <f>IFERROR(VLOOKUP($C301,'PORTIFÓLIO'!C:V,4,0),"")</f>
        <v/>
      </c>
      <c r="G301" s="206" t="str">
        <f>IFERROR(VLOOKUP($C301,'PORTIFÓLIO'!C:V,5,0),"")</f>
        <v/>
      </c>
      <c r="H301" s="247" t="str">
        <f t="array" ref="H301">IFERROR(INDEX('PORTIFÓLIO'!$H$4:$H$433,MATCH($C301,'PORTIFÓLIO'!$C$4:$C$433,0)),"")</f>
        <v/>
      </c>
      <c r="I301" s="257"/>
      <c r="J301" s="209">
        <f t="shared" si="33"/>
        <v>0</v>
      </c>
      <c r="K301" s="248" t="str">
        <f t="array" ref="K301">IFERROR(I301*INDEX('PORTIFÓLIO'!$S$4:$S$433,MATCH($C301,'PORTIFÓLIO'!$C$4:$C$433,0)),"")</f>
        <v/>
      </c>
      <c r="L301" s="248" t="str">
        <f t="array" ref="L301">IFERROR(J301*INDEX('PORTIFÓLIO'!$S$4:$S$433,MATCH($C301,'PORTIFÓLIO'!$C$4:$C$433,0)),"")</f>
        <v/>
      </c>
      <c r="M301" s="177"/>
      <c r="N301" s="177"/>
      <c r="O301" s="177"/>
      <c r="P301" s="177"/>
      <c r="Q301" s="177"/>
      <c r="R301" s="177"/>
      <c r="S301" s="177"/>
      <c r="T301" s="177"/>
      <c r="U301" s="177"/>
      <c r="V301" s="177"/>
      <c r="W301" s="177"/>
    </row>
    <row r="302" ht="15.75" customHeight="1" outlineLevel="1">
      <c r="A302" s="190"/>
      <c r="B302" s="204"/>
      <c r="C302" s="191"/>
      <c r="D302" s="205" t="str">
        <f>IFERROR(VLOOKUP($C302,'PORTIFÓLIO'!C:V,2,0),"")</f>
        <v/>
      </c>
      <c r="E302" s="190" t="str">
        <f>IFERROR(VLOOKUP($C302,'PORTIFÓLIO'!C:V,3,0),"")</f>
        <v/>
      </c>
      <c r="F302" s="190" t="str">
        <f>IFERROR(VLOOKUP($C302,'PORTIFÓLIO'!C:V,4,0),"")</f>
        <v/>
      </c>
      <c r="G302" s="206" t="str">
        <f>IFERROR(VLOOKUP($C302,'PORTIFÓLIO'!C:V,5,0),"")</f>
        <v/>
      </c>
      <c r="H302" s="247" t="str">
        <f t="array" ref="H302">IFERROR(INDEX('PORTIFÓLIO'!$H$4:$H$433,MATCH($C302,'PORTIFÓLIO'!$C$4:$C$433,0)),"")</f>
        <v/>
      </c>
      <c r="I302" s="257"/>
      <c r="J302" s="209">
        <f t="shared" si="33"/>
        <v>0</v>
      </c>
      <c r="K302" s="248" t="str">
        <f t="array" ref="K302">IFERROR(I302*INDEX('PORTIFÓLIO'!$S$4:$S$433,MATCH($C302,'PORTIFÓLIO'!$C$4:$C$433,0)),"")</f>
        <v/>
      </c>
      <c r="L302" s="248" t="str">
        <f t="array" ref="L302">IFERROR(J302*INDEX('PORTIFÓLIO'!$S$4:$S$433,MATCH($C302,'PORTIFÓLIO'!$C$4:$C$433,0)),"")</f>
        <v/>
      </c>
      <c r="M302" s="177"/>
      <c r="N302" s="177"/>
      <c r="O302" s="177"/>
      <c r="P302" s="177"/>
      <c r="Q302" s="177"/>
      <c r="R302" s="177"/>
      <c r="S302" s="177"/>
      <c r="T302" s="177"/>
      <c r="U302" s="177"/>
      <c r="V302" s="177"/>
      <c r="W302" s="177"/>
    </row>
    <row r="303" ht="15.75" customHeight="1" outlineLevel="1">
      <c r="A303" s="190"/>
      <c r="B303" s="204"/>
      <c r="C303" s="191"/>
      <c r="D303" s="205" t="str">
        <f>IFERROR(VLOOKUP($C303,'PORTIFÓLIO'!C:V,2,0),"")</f>
        <v/>
      </c>
      <c r="E303" s="190" t="str">
        <f>IFERROR(VLOOKUP($C303,'PORTIFÓLIO'!C:V,3,0),"")</f>
        <v/>
      </c>
      <c r="F303" s="190" t="str">
        <f>IFERROR(VLOOKUP($C303,'PORTIFÓLIO'!C:V,4,0),"")</f>
        <v/>
      </c>
      <c r="G303" s="206" t="str">
        <f>IFERROR(VLOOKUP($C303,'PORTIFÓLIO'!C:V,5,0),"")</f>
        <v/>
      </c>
      <c r="H303" s="247" t="str">
        <f t="array" ref="H303">IFERROR(INDEX('PORTIFÓLIO'!$H$4:$H$433,MATCH($C303,'PORTIFÓLIO'!$C$4:$C$433,0)),"")</f>
        <v/>
      </c>
      <c r="I303" s="257"/>
      <c r="J303" s="209">
        <f t="shared" si="33"/>
        <v>0</v>
      </c>
      <c r="K303" s="248" t="str">
        <f t="array" ref="K303">IFERROR(I303*INDEX('PORTIFÓLIO'!$S$4:$S$433,MATCH($C303,'PORTIFÓLIO'!$C$4:$C$433,0)),"")</f>
        <v/>
      </c>
      <c r="L303" s="248" t="str">
        <f t="array" ref="L303">IFERROR(J303*INDEX('PORTIFÓLIO'!$S$4:$S$433,MATCH($C303,'PORTIFÓLIO'!$C$4:$C$433,0)),"")</f>
        <v/>
      </c>
      <c r="M303" s="177"/>
      <c r="N303" s="177"/>
      <c r="O303" s="177"/>
      <c r="P303" s="177"/>
      <c r="Q303" s="177"/>
      <c r="R303" s="177"/>
      <c r="S303" s="177"/>
      <c r="T303" s="177"/>
      <c r="U303" s="177"/>
      <c r="V303" s="177"/>
      <c r="W303" s="177"/>
    </row>
    <row r="304" ht="15.75" customHeight="1" outlineLevel="1">
      <c r="A304" s="190"/>
      <c r="B304" s="204"/>
      <c r="C304" s="191"/>
      <c r="D304" s="205" t="str">
        <f>IFERROR(VLOOKUP($C304,'PORTIFÓLIO'!C:V,2,0),"")</f>
        <v/>
      </c>
      <c r="E304" s="190" t="str">
        <f>IFERROR(VLOOKUP($C304,'PORTIFÓLIO'!C:V,3,0),"")</f>
        <v/>
      </c>
      <c r="F304" s="190" t="str">
        <f>IFERROR(VLOOKUP($C304,'PORTIFÓLIO'!C:V,4,0),"")</f>
        <v/>
      </c>
      <c r="G304" s="206" t="str">
        <f>IFERROR(VLOOKUP($C304,'PORTIFÓLIO'!C:V,5,0),"")</f>
        <v/>
      </c>
      <c r="H304" s="247" t="str">
        <f t="array" ref="H304">IFERROR(INDEX('PORTIFÓLIO'!$H$4:$H$433,MATCH($C304,'PORTIFÓLIO'!$C$4:$C$433,0)),"")</f>
        <v/>
      </c>
      <c r="I304" s="257"/>
      <c r="J304" s="209">
        <f t="shared" si="33"/>
        <v>0</v>
      </c>
      <c r="K304" s="248" t="str">
        <f t="array" ref="K304">IFERROR(I304*INDEX('PORTIFÓLIO'!$S$4:$S$433,MATCH($C304,'PORTIFÓLIO'!$C$4:$C$433,0)),"")</f>
        <v/>
      </c>
      <c r="L304" s="248" t="str">
        <f t="array" ref="L304">IFERROR(J304*INDEX('PORTIFÓLIO'!$S$4:$S$433,MATCH($C304,'PORTIFÓLIO'!$C$4:$C$433,0)),"")</f>
        <v/>
      </c>
      <c r="M304" s="177"/>
      <c r="N304" s="177"/>
      <c r="O304" s="177"/>
      <c r="P304" s="177"/>
      <c r="Q304" s="177"/>
      <c r="R304" s="177"/>
      <c r="S304" s="177"/>
      <c r="T304" s="177"/>
      <c r="U304" s="177"/>
      <c r="V304" s="177"/>
      <c r="W304" s="177"/>
    </row>
    <row r="305" ht="15.75" customHeight="1" outlineLevel="1">
      <c r="A305" s="190"/>
      <c r="B305" s="204"/>
      <c r="C305" s="191"/>
      <c r="D305" s="205" t="str">
        <f>IFERROR(VLOOKUP($C305,'PORTIFÓLIO'!C:V,2,0),"")</f>
        <v/>
      </c>
      <c r="E305" s="190" t="str">
        <f>IFERROR(VLOOKUP($C305,'PORTIFÓLIO'!C:V,3,0),"")</f>
        <v/>
      </c>
      <c r="F305" s="190" t="str">
        <f>IFERROR(VLOOKUP($C305,'PORTIFÓLIO'!C:V,4,0),"")</f>
        <v/>
      </c>
      <c r="G305" s="206" t="str">
        <f>IFERROR(VLOOKUP($C305,'PORTIFÓLIO'!C:V,5,0),"")</f>
        <v/>
      </c>
      <c r="H305" s="247" t="str">
        <f t="array" ref="H305">IFERROR(INDEX('PORTIFÓLIO'!$H$4:$H$433,MATCH($C305,'PORTIFÓLIO'!$C$4:$C$433,0)),"")</f>
        <v/>
      </c>
      <c r="I305" s="257"/>
      <c r="J305" s="209">
        <f t="shared" si="33"/>
        <v>0</v>
      </c>
      <c r="K305" s="248" t="str">
        <f t="array" ref="K305">IFERROR(I305*INDEX('PORTIFÓLIO'!$S$4:$S$433,MATCH($C305,'PORTIFÓLIO'!$C$4:$C$433,0)),"")</f>
        <v/>
      </c>
      <c r="L305" s="248" t="str">
        <f t="array" ref="L305">IFERROR(J305*INDEX('PORTIFÓLIO'!$S$4:$S$433,MATCH($C305,'PORTIFÓLIO'!$C$4:$C$433,0)),"")</f>
        <v/>
      </c>
      <c r="M305" s="177"/>
      <c r="N305" s="177"/>
      <c r="O305" s="177"/>
      <c r="P305" s="177"/>
      <c r="Q305" s="177"/>
      <c r="R305" s="177"/>
      <c r="S305" s="177"/>
      <c r="T305" s="177"/>
      <c r="U305" s="177"/>
      <c r="V305" s="177"/>
      <c r="W305" s="177"/>
    </row>
    <row r="306" ht="15.75" customHeight="1" outlineLevel="1">
      <c r="A306" s="190"/>
      <c r="B306" s="204"/>
      <c r="C306" s="191"/>
      <c r="D306" s="205" t="str">
        <f>IFERROR(VLOOKUP($C306,'PORTIFÓLIO'!C:V,2,0),"")</f>
        <v/>
      </c>
      <c r="E306" s="190" t="str">
        <f>IFERROR(VLOOKUP($C306,'PORTIFÓLIO'!C:V,3,0),"")</f>
        <v/>
      </c>
      <c r="F306" s="190" t="str">
        <f>IFERROR(VLOOKUP($C306,'PORTIFÓLIO'!C:V,4,0),"")</f>
        <v/>
      </c>
      <c r="G306" s="206" t="str">
        <f>IFERROR(VLOOKUP($C306,'PORTIFÓLIO'!C:V,5,0),"")</f>
        <v/>
      </c>
      <c r="H306" s="247" t="str">
        <f t="array" ref="H306">IFERROR(INDEX('PORTIFÓLIO'!$H$4:$H$433,MATCH($C306,'PORTIFÓLIO'!$C$4:$C$433,0)),"")</f>
        <v/>
      </c>
      <c r="I306" s="257"/>
      <c r="J306" s="209">
        <f t="shared" si="33"/>
        <v>0</v>
      </c>
      <c r="K306" s="248" t="str">
        <f t="array" ref="K306">IFERROR(I306*INDEX('PORTIFÓLIO'!$S$4:$S$433,MATCH($C306,'PORTIFÓLIO'!$C$4:$C$433,0)),"")</f>
        <v/>
      </c>
      <c r="L306" s="248" t="str">
        <f t="array" ref="L306">IFERROR(J306*INDEX('PORTIFÓLIO'!$S$4:$S$433,MATCH($C306,'PORTIFÓLIO'!$C$4:$C$433,0)),"")</f>
        <v/>
      </c>
      <c r="M306" s="177"/>
      <c r="N306" s="177"/>
      <c r="O306" s="177"/>
      <c r="P306" s="177"/>
      <c r="Q306" s="177"/>
      <c r="R306" s="177"/>
      <c r="S306" s="177"/>
      <c r="T306" s="177"/>
      <c r="U306" s="177"/>
      <c r="V306" s="177"/>
      <c r="W306" s="177"/>
    </row>
    <row r="307" ht="15.75" customHeight="1" outlineLevel="1">
      <c r="A307" s="190"/>
      <c r="B307" s="204"/>
      <c r="C307" s="191"/>
      <c r="D307" s="205" t="str">
        <f>IFERROR(VLOOKUP($C307,'PORTIFÓLIO'!C:V,2,0),"")</f>
        <v/>
      </c>
      <c r="E307" s="190" t="str">
        <f>IFERROR(VLOOKUP($C307,'PORTIFÓLIO'!C:V,3,0),"")</f>
        <v/>
      </c>
      <c r="F307" s="190" t="str">
        <f>IFERROR(VLOOKUP($C307,'PORTIFÓLIO'!C:V,4,0),"")</f>
        <v/>
      </c>
      <c r="G307" s="206" t="str">
        <f>IFERROR(VLOOKUP($C307,'PORTIFÓLIO'!C:V,5,0),"")</f>
        <v/>
      </c>
      <c r="H307" s="247" t="str">
        <f t="array" ref="H307">IFERROR(INDEX('PORTIFÓLIO'!$H$4:$H$433,MATCH($C307,'PORTIFÓLIO'!$C$4:$C$433,0)),"")</f>
        <v/>
      </c>
      <c r="I307" s="257"/>
      <c r="J307" s="209">
        <f t="shared" si="33"/>
        <v>0</v>
      </c>
      <c r="K307" s="248" t="str">
        <f t="array" ref="K307">IFERROR(I307*INDEX('PORTIFÓLIO'!$S$4:$S$433,MATCH($C307,'PORTIFÓLIO'!$C$4:$C$433,0)),"")</f>
        <v/>
      </c>
      <c r="L307" s="248" t="str">
        <f t="array" ref="L307">IFERROR(J307*INDEX('PORTIFÓLIO'!$S$4:$S$433,MATCH($C307,'PORTIFÓLIO'!$C$4:$C$433,0)),"")</f>
        <v/>
      </c>
      <c r="M307" s="177"/>
      <c r="N307" s="177"/>
      <c r="O307" s="177"/>
      <c r="P307" s="177"/>
      <c r="Q307" s="177"/>
      <c r="R307" s="177"/>
      <c r="S307" s="177"/>
      <c r="T307" s="177"/>
      <c r="U307" s="177"/>
      <c r="V307" s="177"/>
      <c r="W307" s="177"/>
    </row>
    <row r="308" ht="15.75" customHeight="1">
      <c r="A308" s="221" t="s">
        <v>1188</v>
      </c>
      <c r="B308" s="197"/>
      <c r="C308" s="196"/>
      <c r="D308" s="198"/>
      <c r="E308" s="196"/>
      <c r="F308" s="196"/>
      <c r="G308" s="199"/>
      <c r="H308" s="199"/>
      <c r="I308" s="252"/>
      <c r="J308" s="202"/>
      <c r="K308" s="203">
        <f t="shared" ref="K308:L308" si="34">SUBTOTAL(9,K309:K322)</f>
        <v>0</v>
      </c>
      <c r="L308" s="203">
        <f t="shared" si="34"/>
        <v>0</v>
      </c>
      <c r="M308" s="177"/>
      <c r="N308" s="177"/>
      <c r="O308" s="177"/>
      <c r="P308" s="177"/>
      <c r="Q308" s="177"/>
      <c r="R308" s="177"/>
      <c r="S308" s="177"/>
      <c r="T308" s="177"/>
      <c r="U308" s="177"/>
      <c r="V308" s="177"/>
      <c r="W308" s="177"/>
    </row>
    <row r="309" ht="15.75" customHeight="1" outlineLevel="1">
      <c r="A309" s="191"/>
      <c r="B309" s="204"/>
      <c r="C309" s="191"/>
      <c r="D309" s="205" t="str">
        <f>IFERROR(VLOOKUP($C309,'PORTIFÓLIO'!C:V,2,0),"")</f>
        <v/>
      </c>
      <c r="E309" s="190" t="str">
        <f>IFERROR(VLOOKUP($C309,'PORTIFÓLIO'!C:V,3,0),"")</f>
        <v/>
      </c>
      <c r="F309" s="190" t="str">
        <f>IFERROR(VLOOKUP($C309,'PORTIFÓLIO'!C:V,4,0),"")</f>
        <v/>
      </c>
      <c r="G309" s="206" t="str">
        <f>IFERROR(VLOOKUP($C309,'PORTIFÓLIO'!C:V,5,0),"")</f>
        <v/>
      </c>
      <c r="H309" s="247" t="str">
        <f t="array" ref="H309">IFERROR(INDEX('PORTIFÓLIO'!$H$4:$H$433,MATCH($C309,'PORTIFÓLIO'!$C$4:$C$433,0)),"")</f>
        <v/>
      </c>
      <c r="I309" s="253"/>
      <c r="J309" s="209">
        <f t="shared" ref="J309:J323" si="35">I309*$B$2</f>
        <v>0</v>
      </c>
      <c r="K309" s="248" t="str">
        <f t="array" ref="K309">IFERROR(I309*INDEX('PORTIFÓLIO'!$S$4:$S$433,MATCH($C309,'PORTIFÓLIO'!$C$4:$C$433,0)),"")</f>
        <v/>
      </c>
      <c r="L309" s="248" t="str">
        <f t="array" ref="L309">IFERROR(J309*INDEX('PORTIFÓLIO'!$S$4:$S$433,MATCH($C309,'PORTIFÓLIO'!$C$4:$C$433,0)),"")</f>
        <v/>
      </c>
      <c r="M309" s="177"/>
      <c r="N309" s="177"/>
      <c r="O309" s="177"/>
      <c r="P309" s="177"/>
      <c r="Q309" s="177"/>
      <c r="R309" s="177"/>
      <c r="S309" s="177"/>
      <c r="T309" s="177"/>
      <c r="U309" s="177"/>
      <c r="V309" s="177"/>
      <c r="W309" s="177"/>
    </row>
    <row r="310" ht="15.75" customHeight="1" outlineLevel="1">
      <c r="A310" s="190"/>
      <c r="B310" s="204"/>
      <c r="C310" s="191"/>
      <c r="D310" s="205" t="str">
        <f>IFERROR(VLOOKUP($C310,'PORTIFÓLIO'!C:V,2,0),"")</f>
        <v/>
      </c>
      <c r="E310" s="190" t="str">
        <f>IFERROR(VLOOKUP($C310,'PORTIFÓLIO'!C:V,3,0),"")</f>
        <v/>
      </c>
      <c r="F310" s="190" t="str">
        <f>IFERROR(VLOOKUP($C310,'PORTIFÓLIO'!C:V,4,0),"")</f>
        <v/>
      </c>
      <c r="G310" s="206" t="str">
        <f>IFERROR(VLOOKUP($C310,'PORTIFÓLIO'!C:V,5,0),"")</f>
        <v/>
      </c>
      <c r="H310" s="247" t="str">
        <f t="array" ref="H310">IFERROR(INDEX('PORTIFÓLIO'!$H$4:$H$433,MATCH($C310,'PORTIFÓLIO'!$C$4:$C$433,0)),"")</f>
        <v/>
      </c>
      <c r="I310" s="257"/>
      <c r="J310" s="209">
        <f t="shared" si="35"/>
        <v>0</v>
      </c>
      <c r="K310" s="248" t="str">
        <f t="array" ref="K310">IFERROR(I310*INDEX('PORTIFÓLIO'!$S$4:$S$433,MATCH($C310,'PORTIFÓLIO'!$C$4:$C$433,0)),"")</f>
        <v/>
      </c>
      <c r="L310" s="248" t="str">
        <f t="array" ref="L310">IFERROR(J310*INDEX('PORTIFÓLIO'!$S$4:$S$433,MATCH($C310,'PORTIFÓLIO'!$C$4:$C$433,0)),"")</f>
        <v/>
      </c>
      <c r="M310" s="177"/>
      <c r="N310" s="177"/>
      <c r="O310" s="177"/>
      <c r="P310" s="177"/>
      <c r="Q310" s="177"/>
      <c r="R310" s="177"/>
      <c r="S310" s="177"/>
      <c r="T310" s="177"/>
      <c r="U310" s="177"/>
      <c r="V310" s="177"/>
      <c r="W310" s="177"/>
    </row>
    <row r="311" ht="15.75" customHeight="1" outlineLevel="1">
      <c r="A311" s="190"/>
      <c r="B311" s="204"/>
      <c r="C311" s="191"/>
      <c r="D311" s="205" t="str">
        <f>IFERROR(VLOOKUP($C311,'PORTIFÓLIO'!C:V,2,0),"")</f>
        <v/>
      </c>
      <c r="E311" s="190" t="str">
        <f>IFERROR(VLOOKUP($C311,'PORTIFÓLIO'!C:V,3,0),"")</f>
        <v/>
      </c>
      <c r="F311" s="190" t="str">
        <f>IFERROR(VLOOKUP($C311,'PORTIFÓLIO'!C:V,4,0),"")</f>
        <v/>
      </c>
      <c r="G311" s="206" t="str">
        <f>IFERROR(VLOOKUP($C311,'PORTIFÓLIO'!C:V,5,0),"")</f>
        <v/>
      </c>
      <c r="H311" s="247" t="str">
        <f t="array" ref="H311">IFERROR(INDEX('PORTIFÓLIO'!$H$4:$H$433,MATCH($C311,'PORTIFÓLIO'!$C$4:$C$433,0)),"")</f>
        <v/>
      </c>
      <c r="I311" s="257"/>
      <c r="J311" s="209">
        <f t="shared" si="35"/>
        <v>0</v>
      </c>
      <c r="K311" s="248" t="str">
        <f t="array" ref="K311">IFERROR(I311*INDEX('PORTIFÓLIO'!$S$4:$S$433,MATCH($C311,'PORTIFÓLIO'!$C$4:$C$433,0)),"")</f>
        <v/>
      </c>
      <c r="L311" s="248" t="str">
        <f t="array" ref="L311">IFERROR(J311*INDEX('PORTIFÓLIO'!$S$4:$S$433,MATCH($C311,'PORTIFÓLIO'!$C$4:$C$433,0)),"")</f>
        <v/>
      </c>
      <c r="M311" s="177"/>
      <c r="N311" s="177"/>
      <c r="O311" s="177"/>
      <c r="P311" s="177"/>
      <c r="Q311" s="177"/>
      <c r="R311" s="177"/>
      <c r="S311" s="177"/>
      <c r="T311" s="177"/>
      <c r="U311" s="177"/>
      <c r="V311" s="177"/>
      <c r="W311" s="177"/>
    </row>
    <row r="312" ht="15.75" customHeight="1" outlineLevel="1">
      <c r="A312" s="190"/>
      <c r="B312" s="204"/>
      <c r="C312" s="191"/>
      <c r="D312" s="205" t="str">
        <f>IFERROR(VLOOKUP($C312,'PORTIFÓLIO'!C:V,2,0),"")</f>
        <v/>
      </c>
      <c r="E312" s="190" t="str">
        <f>IFERROR(VLOOKUP($C312,'PORTIFÓLIO'!C:V,3,0),"")</f>
        <v/>
      </c>
      <c r="F312" s="190" t="str">
        <f>IFERROR(VLOOKUP($C312,'PORTIFÓLIO'!C:V,4,0),"")</f>
        <v/>
      </c>
      <c r="G312" s="206" t="str">
        <f>IFERROR(VLOOKUP($C312,'PORTIFÓLIO'!C:V,5,0),"")</f>
        <v/>
      </c>
      <c r="H312" s="247" t="str">
        <f t="array" ref="H312">IFERROR(INDEX('PORTIFÓLIO'!$H$4:$H$433,MATCH($C312,'PORTIFÓLIO'!$C$4:$C$433,0)),"")</f>
        <v/>
      </c>
      <c r="I312" s="257"/>
      <c r="J312" s="209">
        <f t="shared" si="35"/>
        <v>0</v>
      </c>
      <c r="K312" s="248" t="str">
        <f t="array" ref="K312">IFERROR(I312*INDEX('PORTIFÓLIO'!$S$4:$S$433,MATCH($C312,'PORTIFÓLIO'!$C$4:$C$433,0)),"")</f>
        <v/>
      </c>
      <c r="L312" s="248" t="str">
        <f t="array" ref="L312">IFERROR(J312*INDEX('PORTIFÓLIO'!$S$4:$S$433,MATCH($C312,'PORTIFÓLIO'!$C$4:$C$433,0)),"")</f>
        <v/>
      </c>
      <c r="M312" s="177"/>
      <c r="N312" s="177"/>
      <c r="O312" s="177"/>
      <c r="P312" s="177"/>
      <c r="Q312" s="177"/>
      <c r="R312" s="177"/>
      <c r="S312" s="177"/>
      <c r="T312" s="177"/>
      <c r="U312" s="177"/>
      <c r="V312" s="177"/>
      <c r="W312" s="177"/>
    </row>
    <row r="313" ht="15.75" customHeight="1" outlineLevel="1">
      <c r="A313" s="190"/>
      <c r="B313" s="204"/>
      <c r="C313" s="191"/>
      <c r="D313" s="205" t="str">
        <f>IFERROR(VLOOKUP($C313,'PORTIFÓLIO'!C:V,2,0),"")</f>
        <v/>
      </c>
      <c r="E313" s="190" t="str">
        <f>IFERROR(VLOOKUP($C313,'PORTIFÓLIO'!C:V,3,0),"")</f>
        <v/>
      </c>
      <c r="F313" s="190" t="str">
        <f>IFERROR(VLOOKUP($C313,'PORTIFÓLIO'!C:V,4,0),"")</f>
        <v/>
      </c>
      <c r="G313" s="206" t="str">
        <f>IFERROR(VLOOKUP($C313,'PORTIFÓLIO'!C:V,5,0),"")</f>
        <v/>
      </c>
      <c r="H313" s="247" t="str">
        <f t="array" ref="H313">IFERROR(INDEX('PORTIFÓLIO'!$H$4:$H$433,MATCH($C313,'PORTIFÓLIO'!$C$4:$C$433,0)),"")</f>
        <v/>
      </c>
      <c r="I313" s="257"/>
      <c r="J313" s="209">
        <f t="shared" si="35"/>
        <v>0</v>
      </c>
      <c r="K313" s="248" t="str">
        <f t="array" ref="K313">IFERROR(I313*INDEX('PORTIFÓLIO'!$S$4:$S$433,MATCH($C313,'PORTIFÓLIO'!$C$4:$C$433,0)),"")</f>
        <v/>
      </c>
      <c r="L313" s="248" t="str">
        <f t="array" ref="L313">IFERROR(J313*INDEX('PORTIFÓLIO'!$S$4:$S$433,MATCH($C313,'PORTIFÓLIO'!$C$4:$C$433,0)),"")</f>
        <v/>
      </c>
      <c r="M313" s="177"/>
      <c r="N313" s="177"/>
      <c r="O313" s="177"/>
      <c r="P313" s="177"/>
      <c r="Q313" s="177"/>
      <c r="R313" s="177"/>
      <c r="S313" s="177"/>
      <c r="T313" s="177"/>
      <c r="U313" s="177"/>
      <c r="V313" s="177"/>
      <c r="W313" s="177"/>
    </row>
    <row r="314" ht="15.75" customHeight="1" outlineLevel="1">
      <c r="A314" s="190"/>
      <c r="B314" s="204"/>
      <c r="C314" s="191"/>
      <c r="D314" s="205" t="str">
        <f>IFERROR(VLOOKUP($C314,'PORTIFÓLIO'!C:V,2,0),"")</f>
        <v/>
      </c>
      <c r="E314" s="190" t="str">
        <f>IFERROR(VLOOKUP($C314,'PORTIFÓLIO'!C:V,3,0),"")</f>
        <v/>
      </c>
      <c r="F314" s="190" t="str">
        <f>IFERROR(VLOOKUP($C314,'PORTIFÓLIO'!C:V,4,0),"")</f>
        <v/>
      </c>
      <c r="G314" s="206" t="str">
        <f>IFERROR(VLOOKUP($C314,'PORTIFÓLIO'!C:V,5,0),"")</f>
        <v/>
      </c>
      <c r="H314" s="247" t="str">
        <f t="array" ref="H314">IFERROR(INDEX('PORTIFÓLIO'!$H$4:$H$433,MATCH($C314,'PORTIFÓLIO'!$C$4:$C$433,0)),"")</f>
        <v/>
      </c>
      <c r="I314" s="257"/>
      <c r="J314" s="209">
        <f t="shared" si="35"/>
        <v>0</v>
      </c>
      <c r="K314" s="248" t="str">
        <f t="array" ref="K314">IFERROR(I314*INDEX('PORTIFÓLIO'!$S$4:$S$433,MATCH($C314,'PORTIFÓLIO'!$C$4:$C$433,0)),"")</f>
        <v/>
      </c>
      <c r="L314" s="248" t="str">
        <f t="array" ref="L314">IFERROR(J314*INDEX('PORTIFÓLIO'!$S$4:$S$433,MATCH($C314,'PORTIFÓLIO'!$C$4:$C$433,0)),"")</f>
        <v/>
      </c>
      <c r="M314" s="177"/>
      <c r="N314" s="177"/>
      <c r="O314" s="177"/>
      <c r="P314" s="177"/>
      <c r="Q314" s="177"/>
      <c r="R314" s="177"/>
      <c r="S314" s="177"/>
      <c r="T314" s="177"/>
      <c r="U314" s="177"/>
      <c r="V314" s="177"/>
      <c r="W314" s="177"/>
    </row>
    <row r="315" ht="15.75" customHeight="1" outlineLevel="1">
      <c r="A315" s="190"/>
      <c r="B315" s="204"/>
      <c r="C315" s="191"/>
      <c r="D315" s="205" t="str">
        <f>IFERROR(VLOOKUP($C315,'PORTIFÓLIO'!C:V,2,0),"")</f>
        <v/>
      </c>
      <c r="E315" s="190" t="str">
        <f>IFERROR(VLOOKUP($C315,'PORTIFÓLIO'!C:V,3,0),"")</f>
        <v/>
      </c>
      <c r="F315" s="190" t="str">
        <f>IFERROR(VLOOKUP($C315,'PORTIFÓLIO'!C:V,4,0),"")</f>
        <v/>
      </c>
      <c r="G315" s="206" t="str">
        <f>IFERROR(VLOOKUP($C315,'PORTIFÓLIO'!C:V,5,0),"")</f>
        <v/>
      </c>
      <c r="H315" s="247" t="str">
        <f t="array" ref="H315">IFERROR(INDEX('PORTIFÓLIO'!$H$4:$H$433,MATCH($C315,'PORTIFÓLIO'!$C$4:$C$433,0)),"")</f>
        <v/>
      </c>
      <c r="I315" s="257"/>
      <c r="J315" s="209">
        <f t="shared" si="35"/>
        <v>0</v>
      </c>
      <c r="K315" s="248" t="str">
        <f t="array" ref="K315">IFERROR(I315*INDEX('PORTIFÓLIO'!$S$4:$S$433,MATCH($C315,'PORTIFÓLIO'!$C$4:$C$433,0)),"")</f>
        <v/>
      </c>
      <c r="L315" s="248" t="str">
        <f t="array" ref="L315">IFERROR(J315*INDEX('PORTIFÓLIO'!$S$4:$S$433,MATCH($C315,'PORTIFÓLIO'!$C$4:$C$433,0)),"")</f>
        <v/>
      </c>
      <c r="M315" s="177"/>
      <c r="N315" s="177"/>
      <c r="O315" s="177"/>
      <c r="P315" s="177"/>
      <c r="Q315" s="177"/>
      <c r="R315" s="177"/>
      <c r="S315" s="177"/>
      <c r="T315" s="177"/>
      <c r="U315" s="177"/>
      <c r="V315" s="177"/>
      <c r="W315" s="177"/>
    </row>
    <row r="316" ht="15.75" customHeight="1" outlineLevel="1">
      <c r="A316" s="190"/>
      <c r="B316" s="204"/>
      <c r="C316" s="191"/>
      <c r="D316" s="205" t="str">
        <f>IFERROR(VLOOKUP($C316,'PORTIFÓLIO'!C:V,2,0),"")</f>
        <v/>
      </c>
      <c r="E316" s="190" t="str">
        <f>IFERROR(VLOOKUP($C316,'PORTIFÓLIO'!C:V,3,0),"")</f>
        <v/>
      </c>
      <c r="F316" s="190" t="str">
        <f>IFERROR(VLOOKUP($C316,'PORTIFÓLIO'!C:V,4,0),"")</f>
        <v/>
      </c>
      <c r="G316" s="206" t="str">
        <f>IFERROR(VLOOKUP($C316,'PORTIFÓLIO'!C:V,5,0),"")</f>
        <v/>
      </c>
      <c r="H316" s="247" t="str">
        <f t="array" ref="H316">IFERROR(INDEX('PORTIFÓLIO'!$H$4:$H$433,MATCH($C316,'PORTIFÓLIO'!$C$4:$C$433,0)),"")</f>
        <v/>
      </c>
      <c r="I316" s="257"/>
      <c r="J316" s="209">
        <f t="shared" si="35"/>
        <v>0</v>
      </c>
      <c r="K316" s="248" t="str">
        <f t="array" ref="K316">IFERROR(I316*INDEX('PORTIFÓLIO'!$S$4:$S$433,MATCH($C316,'PORTIFÓLIO'!$C$4:$C$433,0)),"")</f>
        <v/>
      </c>
      <c r="L316" s="248" t="str">
        <f t="array" ref="L316">IFERROR(J316*INDEX('PORTIFÓLIO'!$S$4:$S$433,MATCH($C316,'PORTIFÓLIO'!$C$4:$C$433,0)),"")</f>
        <v/>
      </c>
      <c r="M316" s="177"/>
      <c r="N316" s="177"/>
      <c r="O316" s="177"/>
      <c r="P316" s="177"/>
      <c r="Q316" s="177"/>
      <c r="R316" s="177"/>
      <c r="S316" s="177"/>
      <c r="T316" s="177"/>
      <c r="U316" s="177"/>
      <c r="V316" s="177"/>
      <c r="W316" s="177"/>
    </row>
    <row r="317" ht="15.75" customHeight="1" outlineLevel="1">
      <c r="A317" s="190"/>
      <c r="B317" s="204"/>
      <c r="C317" s="191"/>
      <c r="D317" s="205" t="str">
        <f>IFERROR(VLOOKUP($C317,'PORTIFÓLIO'!C:V,2,0),"")</f>
        <v/>
      </c>
      <c r="E317" s="190" t="str">
        <f>IFERROR(VLOOKUP($C317,'PORTIFÓLIO'!C:V,3,0),"")</f>
        <v/>
      </c>
      <c r="F317" s="190" t="str">
        <f>IFERROR(VLOOKUP($C317,'PORTIFÓLIO'!C:V,4,0),"")</f>
        <v/>
      </c>
      <c r="G317" s="206" t="str">
        <f>IFERROR(VLOOKUP($C317,'PORTIFÓLIO'!C:V,5,0),"")</f>
        <v/>
      </c>
      <c r="H317" s="247" t="str">
        <f t="array" ref="H317">IFERROR(INDEX('PORTIFÓLIO'!$H$4:$H$433,MATCH($C317,'PORTIFÓLIO'!$C$4:$C$433,0)),"")</f>
        <v/>
      </c>
      <c r="I317" s="253"/>
      <c r="J317" s="209">
        <f t="shared" si="35"/>
        <v>0</v>
      </c>
      <c r="K317" s="248" t="str">
        <f t="array" ref="K317">IFERROR(I317*INDEX('PORTIFÓLIO'!$S$4:$S$433,MATCH($C317,'PORTIFÓLIO'!$C$4:$C$433,0)),"")</f>
        <v/>
      </c>
      <c r="L317" s="248" t="str">
        <f t="array" ref="L317">IFERROR(J317*INDEX('PORTIFÓLIO'!$S$4:$S$433,MATCH($C317,'PORTIFÓLIO'!$C$4:$C$433,0)),"")</f>
        <v/>
      </c>
      <c r="M317" s="177"/>
      <c r="N317" s="177"/>
      <c r="O317" s="177"/>
      <c r="P317" s="177"/>
      <c r="Q317" s="177"/>
      <c r="R317" s="177"/>
      <c r="S317" s="177"/>
      <c r="T317" s="177"/>
      <c r="U317" s="177"/>
      <c r="V317" s="177"/>
      <c r="W317" s="177"/>
    </row>
    <row r="318" ht="15.75" customHeight="1" outlineLevel="1">
      <c r="A318" s="190"/>
      <c r="B318" s="204"/>
      <c r="C318" s="191"/>
      <c r="D318" s="205" t="str">
        <f>IFERROR(VLOOKUP($C318,'PORTIFÓLIO'!C:V,2,0),"")</f>
        <v/>
      </c>
      <c r="E318" s="190" t="str">
        <f>IFERROR(VLOOKUP($C318,'PORTIFÓLIO'!C:V,3,0),"")</f>
        <v/>
      </c>
      <c r="F318" s="190" t="str">
        <f>IFERROR(VLOOKUP($C318,'PORTIFÓLIO'!C:V,4,0),"")</f>
        <v/>
      </c>
      <c r="G318" s="206" t="str">
        <f>IFERROR(VLOOKUP($C318,'PORTIFÓLIO'!C:V,5,0),"")</f>
        <v/>
      </c>
      <c r="H318" s="247" t="str">
        <f t="array" ref="H318">IFERROR(INDEX('PORTIFÓLIO'!$H$4:$H$433,MATCH($C318,'PORTIFÓLIO'!$C$4:$C$433,0)),"")</f>
        <v/>
      </c>
      <c r="I318" s="257"/>
      <c r="J318" s="209">
        <f t="shared" si="35"/>
        <v>0</v>
      </c>
      <c r="K318" s="248" t="str">
        <f t="array" ref="K318">IFERROR(I318*INDEX('PORTIFÓLIO'!$S$4:$S$433,MATCH($C318,'PORTIFÓLIO'!$C$4:$C$433,0)),"")</f>
        <v/>
      </c>
      <c r="L318" s="248" t="str">
        <f t="array" ref="L318">IFERROR(J318*INDEX('PORTIFÓLIO'!$S$4:$S$433,MATCH($C318,'PORTIFÓLIO'!$C$4:$C$433,0)),"")</f>
        <v/>
      </c>
      <c r="M318" s="177"/>
      <c r="N318" s="177"/>
      <c r="O318" s="177"/>
      <c r="P318" s="177"/>
      <c r="Q318" s="177"/>
      <c r="R318" s="177"/>
      <c r="S318" s="177"/>
      <c r="T318" s="177"/>
      <c r="U318" s="177"/>
      <c r="V318" s="177"/>
      <c r="W318" s="177"/>
    </row>
    <row r="319" ht="15.75" customHeight="1" outlineLevel="1">
      <c r="A319" s="190"/>
      <c r="B319" s="204"/>
      <c r="C319" s="191"/>
      <c r="D319" s="205" t="str">
        <f>IFERROR(VLOOKUP($C319,'PORTIFÓLIO'!C:V,2,0),"")</f>
        <v/>
      </c>
      <c r="E319" s="190" t="str">
        <f>IFERROR(VLOOKUP($C319,'PORTIFÓLIO'!C:V,3,0),"")</f>
        <v/>
      </c>
      <c r="F319" s="190" t="str">
        <f>IFERROR(VLOOKUP($C319,'PORTIFÓLIO'!C:V,4,0),"")</f>
        <v/>
      </c>
      <c r="G319" s="206" t="str">
        <f>IFERROR(VLOOKUP($C319,'PORTIFÓLIO'!C:V,5,0),"")</f>
        <v/>
      </c>
      <c r="H319" s="247" t="str">
        <f t="array" ref="H319">IFERROR(INDEX('PORTIFÓLIO'!$H$4:$H$433,MATCH($C319,'PORTIFÓLIO'!$C$4:$C$433,0)),"")</f>
        <v/>
      </c>
      <c r="I319" s="257"/>
      <c r="J319" s="209">
        <f t="shared" si="35"/>
        <v>0</v>
      </c>
      <c r="K319" s="248" t="str">
        <f t="array" ref="K319">IFERROR(I319*INDEX('PORTIFÓLIO'!$S$4:$S$433,MATCH($C319,'PORTIFÓLIO'!$C$4:$C$433,0)),"")</f>
        <v/>
      </c>
      <c r="L319" s="248" t="str">
        <f t="array" ref="L319">IFERROR(J319*INDEX('PORTIFÓLIO'!$S$4:$S$433,MATCH($C319,'PORTIFÓLIO'!$C$4:$C$433,0)),"")</f>
        <v/>
      </c>
      <c r="M319" s="177"/>
      <c r="N319" s="177"/>
      <c r="O319" s="177"/>
      <c r="P319" s="177"/>
      <c r="Q319" s="177"/>
      <c r="R319" s="177"/>
      <c r="S319" s="177"/>
      <c r="T319" s="177"/>
      <c r="U319" s="177"/>
      <c r="V319" s="177"/>
      <c r="W319" s="177"/>
    </row>
    <row r="320" ht="15.75" customHeight="1" outlineLevel="1">
      <c r="A320" s="190"/>
      <c r="B320" s="204"/>
      <c r="C320" s="191"/>
      <c r="D320" s="205" t="str">
        <f>IFERROR(VLOOKUP($C320,'PORTIFÓLIO'!C:V,2,0),"")</f>
        <v/>
      </c>
      <c r="E320" s="190" t="str">
        <f>IFERROR(VLOOKUP($C320,'PORTIFÓLIO'!C:V,3,0),"")</f>
        <v/>
      </c>
      <c r="F320" s="190" t="str">
        <f>IFERROR(VLOOKUP($C320,'PORTIFÓLIO'!C:V,4,0),"")</f>
        <v/>
      </c>
      <c r="G320" s="206" t="str">
        <f>IFERROR(VLOOKUP($C320,'PORTIFÓLIO'!C:V,5,0),"")</f>
        <v/>
      </c>
      <c r="H320" s="247" t="str">
        <f t="array" ref="H320">IFERROR(INDEX('PORTIFÓLIO'!$H$4:$H$433,MATCH($C320,'PORTIFÓLIO'!$C$4:$C$433,0)),"")</f>
        <v/>
      </c>
      <c r="I320" s="257"/>
      <c r="J320" s="209">
        <f t="shared" si="35"/>
        <v>0</v>
      </c>
      <c r="K320" s="248" t="str">
        <f t="array" ref="K320">IFERROR(I320*INDEX('PORTIFÓLIO'!$S$4:$S$433,MATCH($C320,'PORTIFÓLIO'!$C$4:$C$433,0)),"")</f>
        <v/>
      </c>
      <c r="L320" s="248" t="str">
        <f t="array" ref="L320">IFERROR(J320*INDEX('PORTIFÓLIO'!$S$4:$S$433,MATCH($C320,'PORTIFÓLIO'!$C$4:$C$433,0)),"")</f>
        <v/>
      </c>
      <c r="M320" s="177"/>
      <c r="N320" s="177"/>
      <c r="O320" s="177"/>
      <c r="P320" s="177"/>
      <c r="Q320" s="177"/>
      <c r="R320" s="177"/>
      <c r="S320" s="177"/>
      <c r="T320" s="177"/>
      <c r="U320" s="177"/>
      <c r="V320" s="177"/>
      <c r="W320" s="177"/>
    </row>
    <row r="321" ht="15.75" customHeight="1" outlineLevel="1">
      <c r="A321" s="190"/>
      <c r="B321" s="204"/>
      <c r="C321" s="191"/>
      <c r="D321" s="205" t="str">
        <f>IFERROR(VLOOKUP($C321,'PORTIFÓLIO'!C:V,2,0),"")</f>
        <v/>
      </c>
      <c r="E321" s="190" t="str">
        <f>IFERROR(VLOOKUP($C321,'PORTIFÓLIO'!C:V,3,0),"")</f>
        <v/>
      </c>
      <c r="F321" s="190" t="str">
        <f>IFERROR(VLOOKUP($C321,'PORTIFÓLIO'!C:V,4,0),"")</f>
        <v/>
      </c>
      <c r="G321" s="206" t="str">
        <f>IFERROR(VLOOKUP($C321,'PORTIFÓLIO'!C:V,5,0),"")</f>
        <v/>
      </c>
      <c r="H321" s="247" t="str">
        <f t="array" ref="H321">IFERROR(INDEX('PORTIFÓLIO'!$H$4:$H$433,MATCH($C321,'PORTIFÓLIO'!$C$4:$C$433,0)),"")</f>
        <v/>
      </c>
      <c r="I321" s="257"/>
      <c r="J321" s="209">
        <f t="shared" si="35"/>
        <v>0</v>
      </c>
      <c r="K321" s="248" t="str">
        <f t="array" ref="K321">IFERROR(I321*INDEX('PORTIFÓLIO'!$S$4:$S$433,MATCH($C321,'PORTIFÓLIO'!$C$4:$C$433,0)),"")</f>
        <v/>
      </c>
      <c r="L321" s="248" t="str">
        <f t="array" ref="L321">IFERROR(J321*INDEX('PORTIFÓLIO'!$S$4:$S$433,MATCH($C321,'PORTIFÓLIO'!$C$4:$C$433,0)),"")</f>
        <v/>
      </c>
      <c r="M321" s="177"/>
      <c r="N321" s="177"/>
      <c r="O321" s="177"/>
      <c r="P321" s="177"/>
      <c r="Q321" s="177"/>
      <c r="R321" s="177"/>
      <c r="S321" s="177"/>
      <c r="T321" s="177"/>
      <c r="U321" s="177"/>
      <c r="V321" s="177"/>
      <c r="W321" s="177"/>
    </row>
    <row r="322" ht="15.75" customHeight="1" outlineLevel="1">
      <c r="A322" s="190"/>
      <c r="B322" s="204"/>
      <c r="C322" s="191"/>
      <c r="D322" s="205" t="str">
        <f>IFERROR(VLOOKUP($C322,'PORTIFÓLIO'!C:V,2,0),"")</f>
        <v/>
      </c>
      <c r="E322" s="190" t="str">
        <f>IFERROR(VLOOKUP($C322,'PORTIFÓLIO'!C:V,3,0),"")</f>
        <v/>
      </c>
      <c r="F322" s="190" t="str">
        <f>IFERROR(VLOOKUP($C322,'PORTIFÓLIO'!C:V,4,0),"")</f>
        <v/>
      </c>
      <c r="G322" s="206" t="str">
        <f>IFERROR(VLOOKUP($C322,'PORTIFÓLIO'!C:V,5,0),"")</f>
        <v/>
      </c>
      <c r="H322" s="247" t="str">
        <f t="array" ref="H322">IFERROR(INDEX('PORTIFÓLIO'!$H$4:$H$433,MATCH($C322,'PORTIFÓLIO'!$C$4:$C$433,0)),"")</f>
        <v/>
      </c>
      <c r="I322" s="257"/>
      <c r="J322" s="209">
        <f t="shared" si="35"/>
        <v>0</v>
      </c>
      <c r="K322" s="248" t="str">
        <f t="array" ref="K322">IFERROR(I322*INDEX('PORTIFÓLIO'!$S$4:$S$433,MATCH($C322,'PORTIFÓLIO'!$C$4:$C$433,0)),"")</f>
        <v/>
      </c>
      <c r="L322" s="248" t="str">
        <f t="array" ref="L322">IFERROR(J322*INDEX('PORTIFÓLIO'!$S$4:$S$433,MATCH($C322,'PORTIFÓLIO'!$C$4:$C$433,0)),"")</f>
        <v/>
      </c>
      <c r="M322" s="177"/>
      <c r="N322" s="177"/>
      <c r="O322" s="177"/>
      <c r="P322" s="177"/>
      <c r="Q322" s="177"/>
      <c r="R322" s="177"/>
      <c r="S322" s="177"/>
      <c r="T322" s="177"/>
      <c r="U322" s="177"/>
      <c r="V322" s="177"/>
      <c r="W322" s="177"/>
    </row>
    <row r="323" ht="15.75" customHeight="1" outlineLevel="1">
      <c r="A323" s="190"/>
      <c r="B323" s="204"/>
      <c r="C323" s="191"/>
      <c r="D323" s="205" t="str">
        <f>IFERROR(VLOOKUP($C323,'PORTIFÓLIO'!C:V,2,0),"")</f>
        <v/>
      </c>
      <c r="E323" s="190" t="str">
        <f>IFERROR(VLOOKUP($C323,'PORTIFÓLIO'!C:V,3,0),"")</f>
        <v/>
      </c>
      <c r="F323" s="190" t="str">
        <f>IFERROR(VLOOKUP($C323,'PORTIFÓLIO'!C:V,4,0),"")</f>
        <v/>
      </c>
      <c r="G323" s="206" t="str">
        <f>IFERROR(VLOOKUP($C323,'PORTIFÓLIO'!C:V,5,0),"")</f>
        <v/>
      </c>
      <c r="H323" s="247" t="str">
        <f t="array" ref="H323">IFERROR(INDEX('PORTIFÓLIO'!$H$4:$H$433,MATCH($C323,'PORTIFÓLIO'!$C$4:$C$433,0)),"")</f>
        <v/>
      </c>
      <c r="I323" s="257"/>
      <c r="J323" s="209">
        <f t="shared" si="35"/>
        <v>0</v>
      </c>
      <c r="K323" s="248" t="str">
        <f t="array" ref="K323">IFERROR(I323*INDEX('PORTIFÓLIO'!$S$4:$S$433,MATCH($C323,'PORTIFÓLIO'!$C$4:$C$433,0)),"")</f>
        <v/>
      </c>
      <c r="L323" s="248" t="str">
        <f t="array" ref="L323">IFERROR(J323*INDEX('PORTIFÓLIO'!$S$4:$S$433,MATCH($C323,'PORTIFÓLIO'!$C$4:$C$433,0)),"")</f>
        <v/>
      </c>
      <c r="M323" s="177"/>
      <c r="N323" s="177"/>
      <c r="O323" s="177"/>
      <c r="P323" s="177"/>
      <c r="Q323" s="177"/>
      <c r="R323" s="177"/>
      <c r="S323" s="177"/>
      <c r="T323" s="177"/>
      <c r="U323" s="177"/>
      <c r="V323" s="177"/>
      <c r="W323" s="177"/>
    </row>
    <row r="324" ht="15.75" customHeight="1">
      <c r="A324" s="221" t="s">
        <v>1189</v>
      </c>
      <c r="B324" s="197"/>
      <c r="C324" s="196"/>
      <c r="D324" s="198"/>
      <c r="E324" s="196"/>
      <c r="F324" s="196"/>
      <c r="G324" s="199"/>
      <c r="H324" s="199"/>
      <c r="I324" s="252"/>
      <c r="J324" s="202"/>
      <c r="K324" s="203">
        <f t="shared" ref="K324:L324" si="36">SUBTOTAL(9,K325:K338)</f>
        <v>0</v>
      </c>
      <c r="L324" s="203">
        <f t="shared" si="36"/>
        <v>0</v>
      </c>
      <c r="M324" s="177"/>
      <c r="N324" s="177"/>
      <c r="O324" s="177"/>
      <c r="P324" s="177"/>
      <c r="Q324" s="177"/>
      <c r="R324" s="177"/>
      <c r="S324" s="177"/>
      <c r="T324" s="177"/>
      <c r="U324" s="177"/>
      <c r="V324" s="177"/>
      <c r="W324" s="177"/>
    </row>
    <row r="325" ht="15.75" customHeight="1" outlineLevel="1">
      <c r="A325" s="191"/>
      <c r="B325" s="204"/>
      <c r="C325" s="191"/>
      <c r="D325" s="205" t="str">
        <f>IFERROR(VLOOKUP($C325,'PORTIFÓLIO'!C:V,2,0),"")</f>
        <v/>
      </c>
      <c r="E325" s="190" t="str">
        <f>IFERROR(VLOOKUP($C325,'PORTIFÓLIO'!C:V,3,0),"")</f>
        <v/>
      </c>
      <c r="F325" s="190" t="str">
        <f>IFERROR(VLOOKUP($C325,'PORTIFÓLIO'!C:V,4,0),"")</f>
        <v/>
      </c>
      <c r="G325" s="206" t="str">
        <f>IFERROR(VLOOKUP($C325,'PORTIFÓLIO'!C:V,5,0),"")</f>
        <v/>
      </c>
      <c r="H325" s="247" t="str">
        <f t="array" ref="H325">IFERROR(INDEX('PORTIFÓLIO'!$H$4:$H$433,MATCH($C325,'PORTIFÓLIO'!$C$4:$C$433,0)),"")</f>
        <v/>
      </c>
      <c r="I325" s="253"/>
      <c r="J325" s="209">
        <f t="shared" ref="J325:J339" si="37">I325*$B$2</f>
        <v>0</v>
      </c>
      <c r="K325" s="248" t="str">
        <f t="array" ref="K325">IFERROR(I325*INDEX('PORTIFÓLIO'!$S$4:$S$433,MATCH($C325,'PORTIFÓLIO'!$C$4:$C$433,0)),"")</f>
        <v/>
      </c>
      <c r="L325" s="248" t="str">
        <f t="array" ref="L325">IFERROR(J325*INDEX('PORTIFÓLIO'!$S$4:$S$433,MATCH($C325,'PORTIFÓLIO'!$C$4:$C$433,0)),"")</f>
        <v/>
      </c>
      <c r="M325" s="177"/>
      <c r="N325" s="177"/>
      <c r="O325" s="177"/>
      <c r="P325" s="177"/>
      <c r="Q325" s="177"/>
      <c r="R325" s="177"/>
      <c r="S325" s="177"/>
      <c r="T325" s="177"/>
      <c r="U325" s="177"/>
      <c r="V325" s="177"/>
      <c r="W325" s="177"/>
    </row>
    <row r="326" ht="15.75" customHeight="1" outlineLevel="1">
      <c r="A326" s="190"/>
      <c r="B326" s="204"/>
      <c r="C326" s="191"/>
      <c r="D326" s="205" t="str">
        <f>IFERROR(VLOOKUP($C326,'PORTIFÓLIO'!C:V,2,0),"")</f>
        <v/>
      </c>
      <c r="E326" s="190" t="str">
        <f>IFERROR(VLOOKUP($C326,'PORTIFÓLIO'!C:V,3,0),"")</f>
        <v/>
      </c>
      <c r="F326" s="190" t="str">
        <f>IFERROR(VLOOKUP($C326,'PORTIFÓLIO'!C:V,4,0),"")</f>
        <v/>
      </c>
      <c r="G326" s="206" t="str">
        <f>IFERROR(VLOOKUP($C326,'PORTIFÓLIO'!C:V,5,0),"")</f>
        <v/>
      </c>
      <c r="H326" s="247" t="str">
        <f t="array" ref="H326">IFERROR(INDEX('PORTIFÓLIO'!$H$4:$H$433,MATCH($C326,'PORTIFÓLIO'!$C$4:$C$433,0)),"")</f>
        <v/>
      </c>
      <c r="I326" s="257"/>
      <c r="J326" s="209">
        <f t="shared" si="37"/>
        <v>0</v>
      </c>
      <c r="K326" s="248" t="str">
        <f t="array" ref="K326">IFERROR(I326*INDEX('PORTIFÓLIO'!$S$4:$S$433,MATCH($C326,'PORTIFÓLIO'!$C$4:$C$433,0)),"")</f>
        <v/>
      </c>
      <c r="L326" s="248" t="str">
        <f t="array" ref="L326">IFERROR(J326*INDEX('PORTIFÓLIO'!$S$4:$S$433,MATCH($C326,'PORTIFÓLIO'!$C$4:$C$433,0)),"")</f>
        <v/>
      </c>
      <c r="M326" s="177"/>
      <c r="N326" s="177"/>
      <c r="O326" s="177"/>
      <c r="P326" s="177"/>
      <c r="Q326" s="177"/>
      <c r="R326" s="177"/>
      <c r="S326" s="177"/>
      <c r="T326" s="177"/>
      <c r="U326" s="177"/>
      <c r="V326" s="177"/>
      <c r="W326" s="177"/>
    </row>
    <row r="327" ht="15.75" customHeight="1" outlineLevel="1">
      <c r="A327" s="190"/>
      <c r="B327" s="204"/>
      <c r="C327" s="191"/>
      <c r="D327" s="205" t="str">
        <f>IFERROR(VLOOKUP($C327,'PORTIFÓLIO'!C:V,2,0),"")</f>
        <v/>
      </c>
      <c r="E327" s="190" t="str">
        <f>IFERROR(VLOOKUP($C327,'PORTIFÓLIO'!C:V,3,0),"")</f>
        <v/>
      </c>
      <c r="F327" s="190" t="str">
        <f>IFERROR(VLOOKUP($C327,'PORTIFÓLIO'!C:V,4,0),"")</f>
        <v/>
      </c>
      <c r="G327" s="206" t="str">
        <f>IFERROR(VLOOKUP($C327,'PORTIFÓLIO'!C:V,5,0),"")</f>
        <v/>
      </c>
      <c r="H327" s="247" t="str">
        <f t="array" ref="H327">IFERROR(INDEX('PORTIFÓLIO'!$H$4:$H$433,MATCH($C327,'PORTIFÓLIO'!$C$4:$C$433,0)),"")</f>
        <v/>
      </c>
      <c r="I327" s="257"/>
      <c r="J327" s="209">
        <f t="shared" si="37"/>
        <v>0</v>
      </c>
      <c r="K327" s="248" t="str">
        <f t="array" ref="K327">IFERROR(I327*INDEX('PORTIFÓLIO'!$S$4:$S$433,MATCH($C327,'PORTIFÓLIO'!$C$4:$C$433,0)),"")</f>
        <v/>
      </c>
      <c r="L327" s="248" t="str">
        <f t="array" ref="L327">IFERROR(J327*INDEX('PORTIFÓLIO'!$S$4:$S$433,MATCH($C327,'PORTIFÓLIO'!$C$4:$C$433,0)),"")</f>
        <v/>
      </c>
      <c r="M327" s="177"/>
      <c r="N327" s="177"/>
      <c r="O327" s="177"/>
      <c r="P327" s="177"/>
      <c r="Q327" s="177"/>
      <c r="R327" s="177"/>
      <c r="S327" s="177"/>
      <c r="T327" s="177"/>
      <c r="U327" s="177"/>
      <c r="V327" s="177"/>
      <c r="W327" s="177"/>
    </row>
    <row r="328" ht="15.75" customHeight="1" outlineLevel="1">
      <c r="A328" s="190"/>
      <c r="B328" s="204"/>
      <c r="C328" s="191"/>
      <c r="D328" s="205" t="str">
        <f>IFERROR(VLOOKUP($C328,'PORTIFÓLIO'!C:V,2,0),"")</f>
        <v/>
      </c>
      <c r="E328" s="190" t="str">
        <f>IFERROR(VLOOKUP($C328,'PORTIFÓLIO'!C:V,3,0),"")</f>
        <v/>
      </c>
      <c r="F328" s="190" t="str">
        <f>IFERROR(VLOOKUP($C328,'PORTIFÓLIO'!C:V,4,0),"")</f>
        <v/>
      </c>
      <c r="G328" s="206" t="str">
        <f>IFERROR(VLOOKUP($C328,'PORTIFÓLIO'!C:V,5,0),"")</f>
        <v/>
      </c>
      <c r="H328" s="247" t="str">
        <f t="array" ref="H328">IFERROR(INDEX('PORTIFÓLIO'!$H$4:$H$433,MATCH($C328,'PORTIFÓLIO'!$C$4:$C$433,0)),"")</f>
        <v/>
      </c>
      <c r="I328" s="257"/>
      <c r="J328" s="209">
        <f t="shared" si="37"/>
        <v>0</v>
      </c>
      <c r="K328" s="248" t="str">
        <f t="array" ref="K328">IFERROR(I328*INDEX('PORTIFÓLIO'!$S$4:$S$433,MATCH($C328,'PORTIFÓLIO'!$C$4:$C$433,0)),"")</f>
        <v/>
      </c>
      <c r="L328" s="248" t="str">
        <f t="array" ref="L328">IFERROR(J328*INDEX('PORTIFÓLIO'!$S$4:$S$433,MATCH($C328,'PORTIFÓLIO'!$C$4:$C$433,0)),"")</f>
        <v/>
      </c>
      <c r="M328" s="177"/>
      <c r="N328" s="177"/>
      <c r="O328" s="177"/>
      <c r="P328" s="177"/>
      <c r="Q328" s="177"/>
      <c r="R328" s="177"/>
      <c r="S328" s="177"/>
      <c r="T328" s="177"/>
      <c r="U328" s="177"/>
      <c r="V328" s="177"/>
      <c r="W328" s="177"/>
    </row>
    <row r="329" ht="15.75" customHeight="1" outlineLevel="1">
      <c r="A329" s="190"/>
      <c r="B329" s="204"/>
      <c r="C329" s="191"/>
      <c r="D329" s="205" t="str">
        <f>IFERROR(VLOOKUP($C329,'PORTIFÓLIO'!C:V,2,0),"")</f>
        <v/>
      </c>
      <c r="E329" s="190" t="str">
        <f>IFERROR(VLOOKUP($C329,'PORTIFÓLIO'!C:V,3,0),"")</f>
        <v/>
      </c>
      <c r="F329" s="190" t="str">
        <f>IFERROR(VLOOKUP($C329,'PORTIFÓLIO'!C:V,4,0),"")</f>
        <v/>
      </c>
      <c r="G329" s="206" t="str">
        <f>IFERROR(VLOOKUP($C329,'PORTIFÓLIO'!C:V,5,0),"")</f>
        <v/>
      </c>
      <c r="H329" s="247" t="str">
        <f t="array" ref="H329">IFERROR(INDEX('PORTIFÓLIO'!$H$4:$H$433,MATCH($C329,'PORTIFÓLIO'!$C$4:$C$433,0)),"")</f>
        <v/>
      </c>
      <c r="I329" s="257"/>
      <c r="J329" s="209">
        <f t="shared" si="37"/>
        <v>0</v>
      </c>
      <c r="K329" s="248" t="str">
        <f t="array" ref="K329">IFERROR(I329*INDEX('PORTIFÓLIO'!$S$4:$S$433,MATCH($C329,'PORTIFÓLIO'!$C$4:$C$433,0)),"")</f>
        <v/>
      </c>
      <c r="L329" s="248" t="str">
        <f t="array" ref="L329">IFERROR(J329*INDEX('PORTIFÓLIO'!$S$4:$S$433,MATCH($C329,'PORTIFÓLIO'!$C$4:$C$433,0)),"")</f>
        <v/>
      </c>
      <c r="M329" s="177"/>
      <c r="N329" s="177"/>
      <c r="O329" s="177"/>
      <c r="P329" s="177"/>
      <c r="Q329" s="177"/>
      <c r="R329" s="177"/>
      <c r="S329" s="177"/>
      <c r="T329" s="177"/>
      <c r="U329" s="177"/>
      <c r="V329" s="177"/>
      <c r="W329" s="177"/>
    </row>
    <row r="330" ht="15.75" customHeight="1" outlineLevel="1">
      <c r="A330" s="190"/>
      <c r="B330" s="204"/>
      <c r="C330" s="191"/>
      <c r="D330" s="205" t="str">
        <f>IFERROR(VLOOKUP($C330,'PORTIFÓLIO'!C:V,2,0),"")</f>
        <v/>
      </c>
      <c r="E330" s="190" t="str">
        <f>IFERROR(VLOOKUP($C330,'PORTIFÓLIO'!C:V,3,0),"")</f>
        <v/>
      </c>
      <c r="F330" s="190" t="str">
        <f>IFERROR(VLOOKUP($C330,'PORTIFÓLIO'!C:V,4,0),"")</f>
        <v/>
      </c>
      <c r="G330" s="206" t="str">
        <f>IFERROR(VLOOKUP($C330,'PORTIFÓLIO'!C:V,5,0),"")</f>
        <v/>
      </c>
      <c r="H330" s="247" t="str">
        <f t="array" ref="H330">IFERROR(INDEX('PORTIFÓLIO'!$H$4:$H$433,MATCH($C330,'PORTIFÓLIO'!$C$4:$C$433,0)),"")</f>
        <v/>
      </c>
      <c r="I330" s="257"/>
      <c r="J330" s="209">
        <f t="shared" si="37"/>
        <v>0</v>
      </c>
      <c r="K330" s="248" t="str">
        <f t="array" ref="K330">IFERROR(I330*INDEX('PORTIFÓLIO'!$S$4:$S$433,MATCH($C330,'PORTIFÓLIO'!$C$4:$C$433,0)),"")</f>
        <v/>
      </c>
      <c r="L330" s="248" t="str">
        <f t="array" ref="L330">IFERROR(J330*INDEX('PORTIFÓLIO'!$S$4:$S$433,MATCH($C330,'PORTIFÓLIO'!$C$4:$C$433,0)),"")</f>
        <v/>
      </c>
      <c r="M330" s="177"/>
      <c r="N330" s="177"/>
      <c r="O330" s="177"/>
      <c r="P330" s="177"/>
      <c r="Q330" s="177"/>
      <c r="R330" s="177"/>
      <c r="S330" s="177"/>
      <c r="T330" s="177"/>
      <c r="U330" s="177"/>
      <c r="V330" s="177"/>
      <c r="W330" s="177"/>
    </row>
    <row r="331" ht="15.75" customHeight="1" outlineLevel="1">
      <c r="A331" s="190"/>
      <c r="B331" s="204"/>
      <c r="C331" s="191"/>
      <c r="D331" s="205" t="str">
        <f>IFERROR(VLOOKUP($C331,'PORTIFÓLIO'!C:V,2,0),"")</f>
        <v/>
      </c>
      <c r="E331" s="190" t="str">
        <f>IFERROR(VLOOKUP($C331,'PORTIFÓLIO'!C:V,3,0),"")</f>
        <v/>
      </c>
      <c r="F331" s="190" t="str">
        <f>IFERROR(VLOOKUP($C331,'PORTIFÓLIO'!C:V,4,0),"")</f>
        <v/>
      </c>
      <c r="G331" s="206" t="str">
        <f>IFERROR(VLOOKUP($C331,'PORTIFÓLIO'!C:V,5,0),"")</f>
        <v/>
      </c>
      <c r="H331" s="247" t="str">
        <f t="array" ref="H331">IFERROR(INDEX('PORTIFÓLIO'!$H$4:$H$433,MATCH($C331,'PORTIFÓLIO'!$C$4:$C$433,0)),"")</f>
        <v/>
      </c>
      <c r="I331" s="257"/>
      <c r="J331" s="209">
        <f t="shared" si="37"/>
        <v>0</v>
      </c>
      <c r="K331" s="248" t="str">
        <f t="array" ref="K331">IFERROR(I331*INDEX('PORTIFÓLIO'!$S$4:$S$433,MATCH($C331,'PORTIFÓLIO'!$C$4:$C$433,0)),"")</f>
        <v/>
      </c>
      <c r="L331" s="248" t="str">
        <f t="array" ref="L331">IFERROR(J331*INDEX('PORTIFÓLIO'!$S$4:$S$433,MATCH($C331,'PORTIFÓLIO'!$C$4:$C$433,0)),"")</f>
        <v/>
      </c>
      <c r="M331" s="177"/>
      <c r="N331" s="177"/>
      <c r="O331" s="177"/>
      <c r="P331" s="177"/>
      <c r="Q331" s="177"/>
      <c r="R331" s="177"/>
      <c r="S331" s="177"/>
      <c r="T331" s="177"/>
      <c r="U331" s="177"/>
      <c r="V331" s="177"/>
      <c r="W331" s="177"/>
    </row>
    <row r="332" ht="15.75" customHeight="1" outlineLevel="1">
      <c r="A332" s="190"/>
      <c r="B332" s="204"/>
      <c r="C332" s="191"/>
      <c r="D332" s="205" t="str">
        <f>IFERROR(VLOOKUP($C332,'PORTIFÓLIO'!C:V,2,0),"")</f>
        <v/>
      </c>
      <c r="E332" s="190" t="str">
        <f>IFERROR(VLOOKUP($C332,'PORTIFÓLIO'!C:V,3,0),"")</f>
        <v/>
      </c>
      <c r="F332" s="190" t="str">
        <f>IFERROR(VLOOKUP($C332,'PORTIFÓLIO'!C:V,4,0),"")</f>
        <v/>
      </c>
      <c r="G332" s="206" t="str">
        <f>IFERROR(VLOOKUP($C332,'PORTIFÓLIO'!C:V,5,0),"")</f>
        <v/>
      </c>
      <c r="H332" s="247" t="str">
        <f t="array" ref="H332">IFERROR(INDEX('PORTIFÓLIO'!$H$4:$H$433,MATCH($C332,'PORTIFÓLIO'!$C$4:$C$433,0)),"")</f>
        <v/>
      </c>
      <c r="I332" s="257"/>
      <c r="J332" s="209">
        <f t="shared" si="37"/>
        <v>0</v>
      </c>
      <c r="K332" s="248" t="str">
        <f t="array" ref="K332">IFERROR(I332*INDEX('PORTIFÓLIO'!$S$4:$S$433,MATCH($C332,'PORTIFÓLIO'!$C$4:$C$433,0)),"")</f>
        <v/>
      </c>
      <c r="L332" s="248" t="str">
        <f t="array" ref="L332">IFERROR(J332*INDEX('PORTIFÓLIO'!$S$4:$S$433,MATCH($C332,'PORTIFÓLIO'!$C$4:$C$433,0)),"")</f>
        <v/>
      </c>
      <c r="M332" s="177"/>
      <c r="N332" s="177"/>
      <c r="O332" s="177"/>
      <c r="P332" s="177"/>
      <c r="Q332" s="177"/>
      <c r="R332" s="177"/>
      <c r="S332" s="177"/>
      <c r="T332" s="177"/>
      <c r="U332" s="177"/>
      <c r="V332" s="177"/>
      <c r="W332" s="177"/>
    </row>
    <row r="333" ht="15.75" customHeight="1" outlineLevel="1">
      <c r="A333" s="190"/>
      <c r="B333" s="204"/>
      <c r="C333" s="191"/>
      <c r="D333" s="205" t="str">
        <f>IFERROR(VLOOKUP($C333,'PORTIFÓLIO'!C:V,2,0),"")</f>
        <v/>
      </c>
      <c r="E333" s="190" t="str">
        <f>IFERROR(VLOOKUP($C333,'PORTIFÓLIO'!C:V,3,0),"")</f>
        <v/>
      </c>
      <c r="F333" s="190" t="str">
        <f>IFERROR(VLOOKUP($C333,'PORTIFÓLIO'!C:V,4,0),"")</f>
        <v/>
      </c>
      <c r="G333" s="206" t="str">
        <f>IFERROR(VLOOKUP($C333,'PORTIFÓLIO'!C:V,5,0),"")</f>
        <v/>
      </c>
      <c r="H333" s="247" t="str">
        <f t="array" ref="H333">IFERROR(INDEX('PORTIFÓLIO'!$H$4:$H$433,MATCH($C333,'PORTIFÓLIO'!$C$4:$C$433,0)),"")</f>
        <v/>
      </c>
      <c r="I333" s="253"/>
      <c r="J333" s="209">
        <f t="shared" si="37"/>
        <v>0</v>
      </c>
      <c r="K333" s="248" t="str">
        <f t="array" ref="K333">IFERROR(I333*INDEX('PORTIFÓLIO'!$S$4:$S$433,MATCH($C333,'PORTIFÓLIO'!$C$4:$C$433,0)),"")</f>
        <v/>
      </c>
      <c r="L333" s="248" t="str">
        <f t="array" ref="L333">IFERROR(J333*INDEX('PORTIFÓLIO'!$S$4:$S$433,MATCH($C333,'PORTIFÓLIO'!$C$4:$C$433,0)),"")</f>
        <v/>
      </c>
      <c r="M333" s="177"/>
      <c r="N333" s="177"/>
      <c r="O333" s="177"/>
      <c r="P333" s="177"/>
      <c r="Q333" s="177"/>
      <c r="R333" s="177"/>
      <c r="S333" s="177"/>
      <c r="T333" s="177"/>
      <c r="U333" s="177"/>
      <c r="V333" s="177"/>
      <c r="W333" s="177"/>
    </row>
    <row r="334" ht="15.75" customHeight="1" outlineLevel="1">
      <c r="A334" s="190"/>
      <c r="B334" s="204"/>
      <c r="C334" s="191"/>
      <c r="D334" s="205" t="str">
        <f>IFERROR(VLOOKUP($C334,'PORTIFÓLIO'!C:V,2,0),"")</f>
        <v/>
      </c>
      <c r="E334" s="190" t="str">
        <f>IFERROR(VLOOKUP($C334,'PORTIFÓLIO'!C:V,3,0),"")</f>
        <v/>
      </c>
      <c r="F334" s="190" t="str">
        <f>IFERROR(VLOOKUP($C334,'PORTIFÓLIO'!C:V,4,0),"")</f>
        <v/>
      </c>
      <c r="G334" s="206" t="str">
        <f>IFERROR(VLOOKUP($C334,'PORTIFÓLIO'!C:V,5,0),"")</f>
        <v/>
      </c>
      <c r="H334" s="247" t="str">
        <f t="array" ref="H334">IFERROR(INDEX('PORTIFÓLIO'!$H$4:$H$433,MATCH($C334,'PORTIFÓLIO'!$C$4:$C$433,0)),"")</f>
        <v/>
      </c>
      <c r="I334" s="257"/>
      <c r="J334" s="209">
        <f t="shared" si="37"/>
        <v>0</v>
      </c>
      <c r="K334" s="248" t="str">
        <f t="array" ref="K334">IFERROR(I334*INDEX('PORTIFÓLIO'!$S$4:$S$433,MATCH($C334,'PORTIFÓLIO'!$C$4:$C$433,0)),"")</f>
        <v/>
      </c>
      <c r="L334" s="248" t="str">
        <f t="array" ref="L334">IFERROR(J334*INDEX('PORTIFÓLIO'!$S$4:$S$433,MATCH($C334,'PORTIFÓLIO'!$C$4:$C$433,0)),"")</f>
        <v/>
      </c>
      <c r="M334" s="177"/>
      <c r="N334" s="177"/>
      <c r="O334" s="177"/>
      <c r="P334" s="177"/>
      <c r="Q334" s="177"/>
      <c r="R334" s="177"/>
      <c r="S334" s="177"/>
      <c r="T334" s="177"/>
      <c r="U334" s="177"/>
      <c r="V334" s="177"/>
      <c r="W334" s="177"/>
    </row>
    <row r="335" ht="15.75" customHeight="1" outlineLevel="1">
      <c r="A335" s="190"/>
      <c r="B335" s="204"/>
      <c r="C335" s="191"/>
      <c r="D335" s="205" t="str">
        <f>IFERROR(VLOOKUP($C335,'PORTIFÓLIO'!C:V,2,0),"")</f>
        <v/>
      </c>
      <c r="E335" s="190" t="str">
        <f>IFERROR(VLOOKUP($C335,'PORTIFÓLIO'!C:V,3,0),"")</f>
        <v/>
      </c>
      <c r="F335" s="190" t="str">
        <f>IFERROR(VLOOKUP($C335,'PORTIFÓLIO'!C:V,4,0),"")</f>
        <v/>
      </c>
      <c r="G335" s="206" t="str">
        <f>IFERROR(VLOOKUP($C335,'PORTIFÓLIO'!C:V,5,0),"")</f>
        <v/>
      </c>
      <c r="H335" s="247" t="str">
        <f t="array" ref="H335">IFERROR(INDEX('PORTIFÓLIO'!$H$4:$H$433,MATCH($C335,'PORTIFÓLIO'!$C$4:$C$433,0)),"")</f>
        <v/>
      </c>
      <c r="I335" s="257"/>
      <c r="J335" s="209">
        <f t="shared" si="37"/>
        <v>0</v>
      </c>
      <c r="K335" s="248" t="str">
        <f t="array" ref="K335">IFERROR(I335*INDEX('PORTIFÓLIO'!$S$4:$S$433,MATCH($C335,'PORTIFÓLIO'!$C$4:$C$433,0)),"")</f>
        <v/>
      </c>
      <c r="L335" s="248" t="str">
        <f t="array" ref="L335">IFERROR(J335*INDEX('PORTIFÓLIO'!$S$4:$S$433,MATCH($C335,'PORTIFÓLIO'!$C$4:$C$433,0)),"")</f>
        <v/>
      </c>
      <c r="M335" s="177"/>
      <c r="N335" s="177"/>
      <c r="O335" s="177"/>
      <c r="P335" s="177"/>
      <c r="Q335" s="177"/>
      <c r="R335" s="177"/>
      <c r="S335" s="177"/>
      <c r="T335" s="177"/>
      <c r="U335" s="177"/>
      <c r="V335" s="177"/>
      <c r="W335" s="177"/>
    </row>
    <row r="336" ht="15.75" customHeight="1" outlineLevel="1">
      <c r="A336" s="190"/>
      <c r="B336" s="204"/>
      <c r="C336" s="191"/>
      <c r="D336" s="205" t="str">
        <f>IFERROR(VLOOKUP($C336,'PORTIFÓLIO'!C:V,2,0),"")</f>
        <v/>
      </c>
      <c r="E336" s="190" t="str">
        <f>IFERROR(VLOOKUP($C336,'PORTIFÓLIO'!C:V,3,0),"")</f>
        <v/>
      </c>
      <c r="F336" s="190" t="str">
        <f>IFERROR(VLOOKUP($C336,'PORTIFÓLIO'!C:V,4,0),"")</f>
        <v/>
      </c>
      <c r="G336" s="206" t="str">
        <f>IFERROR(VLOOKUP($C336,'PORTIFÓLIO'!C:V,5,0),"")</f>
        <v/>
      </c>
      <c r="H336" s="247" t="str">
        <f t="array" ref="H336">IFERROR(INDEX('PORTIFÓLIO'!$H$4:$H$433,MATCH($C336,'PORTIFÓLIO'!$C$4:$C$433,0)),"")</f>
        <v/>
      </c>
      <c r="I336" s="257"/>
      <c r="J336" s="209">
        <f t="shared" si="37"/>
        <v>0</v>
      </c>
      <c r="K336" s="248" t="str">
        <f t="array" ref="K336">IFERROR(I336*INDEX('PORTIFÓLIO'!$S$4:$S$433,MATCH($C336,'PORTIFÓLIO'!$C$4:$C$433,0)),"")</f>
        <v/>
      </c>
      <c r="L336" s="248" t="str">
        <f t="array" ref="L336">IFERROR(J336*INDEX('PORTIFÓLIO'!$S$4:$S$433,MATCH($C336,'PORTIFÓLIO'!$C$4:$C$433,0)),"")</f>
        <v/>
      </c>
      <c r="M336" s="177"/>
      <c r="N336" s="177"/>
      <c r="O336" s="177"/>
      <c r="P336" s="177"/>
      <c r="Q336" s="177"/>
      <c r="R336" s="177"/>
      <c r="S336" s="177"/>
      <c r="T336" s="177"/>
      <c r="U336" s="177"/>
      <c r="V336" s="177"/>
      <c r="W336" s="177"/>
    </row>
    <row r="337" ht="15.75" customHeight="1" outlineLevel="1">
      <c r="A337" s="190"/>
      <c r="B337" s="204"/>
      <c r="C337" s="191"/>
      <c r="D337" s="205" t="str">
        <f>IFERROR(VLOOKUP($C337,'PORTIFÓLIO'!C:V,2,0),"")</f>
        <v/>
      </c>
      <c r="E337" s="190" t="str">
        <f>IFERROR(VLOOKUP($C337,'PORTIFÓLIO'!C:V,3,0),"")</f>
        <v/>
      </c>
      <c r="F337" s="190" t="str">
        <f>IFERROR(VLOOKUP($C337,'PORTIFÓLIO'!C:V,4,0),"")</f>
        <v/>
      </c>
      <c r="G337" s="206" t="str">
        <f>IFERROR(VLOOKUP($C337,'PORTIFÓLIO'!C:V,5,0),"")</f>
        <v/>
      </c>
      <c r="H337" s="247" t="str">
        <f t="array" ref="H337">IFERROR(INDEX('PORTIFÓLIO'!$H$4:$H$433,MATCH($C337,'PORTIFÓLIO'!$C$4:$C$433,0)),"")</f>
        <v/>
      </c>
      <c r="I337" s="257"/>
      <c r="J337" s="209">
        <f t="shared" si="37"/>
        <v>0</v>
      </c>
      <c r="K337" s="248" t="str">
        <f t="array" ref="K337">IFERROR(I337*INDEX('PORTIFÓLIO'!$S$4:$S$433,MATCH($C337,'PORTIFÓLIO'!$C$4:$C$433,0)),"")</f>
        <v/>
      </c>
      <c r="L337" s="248" t="str">
        <f t="array" ref="L337">IFERROR(J337*INDEX('PORTIFÓLIO'!$S$4:$S$433,MATCH($C337,'PORTIFÓLIO'!$C$4:$C$433,0)),"")</f>
        <v/>
      </c>
      <c r="M337" s="177"/>
      <c r="N337" s="177"/>
      <c r="O337" s="177"/>
      <c r="P337" s="177"/>
      <c r="Q337" s="177"/>
      <c r="R337" s="177"/>
      <c r="S337" s="177"/>
      <c r="T337" s="177"/>
      <c r="U337" s="177"/>
      <c r="V337" s="177"/>
      <c r="W337" s="177"/>
    </row>
    <row r="338" ht="15.75" customHeight="1" outlineLevel="1">
      <c r="A338" s="190"/>
      <c r="B338" s="204"/>
      <c r="C338" s="191"/>
      <c r="D338" s="205" t="str">
        <f>IFERROR(VLOOKUP($C338,'PORTIFÓLIO'!C:V,2,0),"")</f>
        <v/>
      </c>
      <c r="E338" s="190" t="str">
        <f>IFERROR(VLOOKUP($C338,'PORTIFÓLIO'!C:V,3,0),"")</f>
        <v/>
      </c>
      <c r="F338" s="190" t="str">
        <f>IFERROR(VLOOKUP($C338,'PORTIFÓLIO'!C:V,4,0),"")</f>
        <v/>
      </c>
      <c r="G338" s="206" t="str">
        <f>IFERROR(VLOOKUP($C338,'PORTIFÓLIO'!C:V,5,0),"")</f>
        <v/>
      </c>
      <c r="H338" s="247" t="str">
        <f t="array" ref="H338">IFERROR(INDEX('PORTIFÓLIO'!$H$4:$H$433,MATCH($C338,'PORTIFÓLIO'!$C$4:$C$433,0)),"")</f>
        <v/>
      </c>
      <c r="I338" s="257"/>
      <c r="J338" s="209">
        <f t="shared" si="37"/>
        <v>0</v>
      </c>
      <c r="K338" s="248" t="str">
        <f t="array" ref="K338">IFERROR(I338*INDEX('PORTIFÓLIO'!$S$4:$S$433,MATCH($C338,'PORTIFÓLIO'!$C$4:$C$433,0)),"")</f>
        <v/>
      </c>
      <c r="L338" s="248" t="str">
        <f t="array" ref="L338">IFERROR(J338*INDEX('PORTIFÓLIO'!$S$4:$S$433,MATCH($C338,'PORTIFÓLIO'!$C$4:$C$433,0)),"")</f>
        <v/>
      </c>
      <c r="M338" s="177"/>
      <c r="N338" s="177"/>
      <c r="O338" s="177"/>
      <c r="P338" s="177"/>
      <c r="Q338" s="177"/>
      <c r="R338" s="177"/>
      <c r="S338" s="177"/>
      <c r="T338" s="177"/>
      <c r="U338" s="177"/>
      <c r="V338" s="177"/>
      <c r="W338" s="177"/>
    </row>
    <row r="339" ht="15.75" customHeight="1" outlineLevel="1">
      <c r="A339" s="190"/>
      <c r="B339" s="204"/>
      <c r="C339" s="191"/>
      <c r="D339" s="205" t="str">
        <f>IFERROR(VLOOKUP($C339,'PORTIFÓLIO'!C:V,2,0),"")</f>
        <v/>
      </c>
      <c r="E339" s="190" t="str">
        <f>IFERROR(VLOOKUP($C339,'PORTIFÓLIO'!C:V,3,0),"")</f>
        <v/>
      </c>
      <c r="F339" s="190" t="str">
        <f>IFERROR(VLOOKUP($C339,'PORTIFÓLIO'!C:V,4,0),"")</f>
        <v/>
      </c>
      <c r="G339" s="206" t="str">
        <f>IFERROR(VLOOKUP($C339,'PORTIFÓLIO'!C:V,5,0),"")</f>
        <v/>
      </c>
      <c r="H339" s="247" t="str">
        <f t="array" ref="H339">IFERROR(INDEX('PORTIFÓLIO'!$H$4:$H$433,MATCH($C339,'PORTIFÓLIO'!$C$4:$C$433,0)),"")</f>
        <v/>
      </c>
      <c r="I339" s="257"/>
      <c r="J339" s="209">
        <f t="shared" si="37"/>
        <v>0</v>
      </c>
      <c r="K339" s="248" t="str">
        <f t="array" ref="K339">IFERROR(I339*INDEX('PORTIFÓLIO'!$S$4:$S$433,MATCH($C339,'PORTIFÓLIO'!$C$4:$C$433,0)),"")</f>
        <v/>
      </c>
      <c r="L339" s="248" t="str">
        <f t="array" ref="L339">IFERROR(J339*INDEX('PORTIFÓLIO'!$S$4:$S$433,MATCH($C339,'PORTIFÓLIO'!$C$4:$C$433,0)),"")</f>
        <v/>
      </c>
      <c r="M339" s="177"/>
      <c r="N339" s="177"/>
      <c r="O339" s="177"/>
      <c r="P339" s="177"/>
      <c r="Q339" s="177"/>
      <c r="R339" s="177"/>
      <c r="S339" s="177"/>
      <c r="T339" s="177"/>
      <c r="U339" s="177"/>
      <c r="V339" s="177"/>
      <c r="W339" s="177"/>
    </row>
    <row r="340" ht="15.75" customHeight="1" outlineLevel="1">
      <c r="A340" s="190"/>
      <c r="B340" s="238"/>
      <c r="C340" s="190"/>
      <c r="D340" s="205" t="str">
        <f>IFERROR(VLOOKUP($C340,'PORTIFÓLIO'!C:V,2,0),"")</f>
        <v/>
      </c>
      <c r="E340" s="190" t="str">
        <f>IFERROR(VLOOKUP($C340,'PORTIFÓLIO'!C:V,3,0),"")</f>
        <v/>
      </c>
      <c r="F340" s="190" t="str">
        <f>IFERROR(VLOOKUP($C340,'PORTIFÓLIO'!C:V,4,0),"")</f>
        <v/>
      </c>
      <c r="G340" s="206" t="str">
        <f>IFERROR(VLOOKUP($C340,'PORTIFÓLIO'!C:V,5,0),"")</f>
        <v/>
      </c>
      <c r="H340" s="247" t="str">
        <f t="array" ref="H340">IFERROR(INDEX('PORTIFÓLIO'!$H$4:$H$433,MATCH($C340,'PORTIFÓLIO'!$C$4:$C$433,0)),"")</f>
        <v/>
      </c>
      <c r="I340" s="257"/>
      <c r="J340" s="209"/>
      <c r="K340" s="248" t="str">
        <f t="array" ref="K340">IFERROR(I340*INDEX('PORTIFÓLIO'!$S$4:$S$433,MATCH($C340,'PORTIFÓLIO'!$C$4:$C$433,0)),"")</f>
        <v/>
      </c>
      <c r="L340" s="248" t="str">
        <f t="array" ref="L340">IFERROR(J340*INDEX('PORTIFÓLIO'!$S$4:$S$433,MATCH($C340,'PORTIFÓLIO'!$C$4:$C$433,0)),"")</f>
        <v/>
      </c>
      <c r="M340" s="177"/>
      <c r="N340" s="177"/>
      <c r="O340" s="177"/>
      <c r="P340" s="177"/>
      <c r="Q340" s="177"/>
      <c r="R340" s="177"/>
      <c r="S340" s="177"/>
      <c r="T340" s="177"/>
      <c r="U340" s="177"/>
      <c r="V340" s="177"/>
      <c r="W340" s="177"/>
    </row>
    <row r="341" ht="15.75" customHeight="1">
      <c r="A341" s="221" t="s">
        <v>1190</v>
      </c>
      <c r="B341" s="197"/>
      <c r="C341" s="196"/>
      <c r="D341" s="198"/>
      <c r="E341" s="196"/>
      <c r="F341" s="196"/>
      <c r="G341" s="199"/>
      <c r="H341" s="199"/>
      <c r="I341" s="252"/>
      <c r="J341" s="202"/>
      <c r="K341" s="203">
        <f t="shared" ref="K341:L341" si="38">SUBTOTAL(9,K342:K355)</f>
        <v>0</v>
      </c>
      <c r="L341" s="203">
        <f t="shared" si="38"/>
        <v>0</v>
      </c>
      <c r="M341" s="177"/>
      <c r="N341" s="177"/>
      <c r="O341" s="177"/>
      <c r="P341" s="177"/>
      <c r="Q341" s="177"/>
      <c r="R341" s="177"/>
      <c r="S341" s="177"/>
      <c r="T341" s="177"/>
      <c r="U341" s="177"/>
      <c r="V341" s="177"/>
      <c r="W341" s="177"/>
    </row>
    <row r="342" ht="15.75" customHeight="1" outlineLevel="1">
      <c r="A342" s="191"/>
      <c r="B342" s="204"/>
      <c r="C342" s="191"/>
      <c r="D342" s="205" t="str">
        <f>IFERROR(VLOOKUP($C342,'PORTIFÓLIO'!C:V,2,0),"")</f>
        <v/>
      </c>
      <c r="E342" s="190" t="str">
        <f>IFERROR(VLOOKUP($C342,'PORTIFÓLIO'!C:V,3,0),"")</f>
        <v/>
      </c>
      <c r="F342" s="190" t="str">
        <f>IFERROR(VLOOKUP($C342,'PORTIFÓLIO'!C:V,4,0),"")</f>
        <v/>
      </c>
      <c r="G342" s="206" t="str">
        <f>IFERROR(VLOOKUP($C342,'PORTIFÓLIO'!C:V,5,0),"")</f>
        <v/>
      </c>
      <c r="H342" s="247" t="str">
        <f t="array" ref="H342">IFERROR(INDEX('PORTIFÓLIO'!$H$4:$H$433,MATCH($C342,'PORTIFÓLIO'!$C$4:$C$433,0)),"")</f>
        <v/>
      </c>
      <c r="I342" s="253"/>
      <c r="J342" s="209">
        <f t="shared" ref="J342:J356" si="39">I342*$B$2</f>
        <v>0</v>
      </c>
      <c r="K342" s="248" t="str">
        <f t="array" ref="K342">IFERROR(I342*INDEX('PORTIFÓLIO'!$S$4:$S$433,MATCH($C342,'PORTIFÓLIO'!$C$4:$C$433,0)),"")</f>
        <v/>
      </c>
      <c r="L342" s="248" t="str">
        <f t="array" ref="L342">IFERROR(J342*INDEX('PORTIFÓLIO'!$S$4:$S$433,MATCH($C342,'PORTIFÓLIO'!$C$4:$C$433,0)),"")</f>
        <v/>
      </c>
      <c r="M342" s="177"/>
      <c r="N342" s="177"/>
      <c r="O342" s="177"/>
      <c r="P342" s="177"/>
      <c r="Q342" s="177"/>
      <c r="R342" s="177"/>
      <c r="S342" s="177"/>
      <c r="T342" s="177"/>
      <c r="U342" s="177"/>
      <c r="V342" s="177"/>
      <c r="W342" s="177"/>
    </row>
    <row r="343" ht="15.75" customHeight="1" outlineLevel="1">
      <c r="A343" s="190"/>
      <c r="B343" s="204"/>
      <c r="C343" s="191"/>
      <c r="D343" s="205" t="str">
        <f>IFERROR(VLOOKUP($C343,'PORTIFÓLIO'!C:V,2,0),"")</f>
        <v/>
      </c>
      <c r="E343" s="190" t="str">
        <f>IFERROR(VLOOKUP($C343,'PORTIFÓLIO'!C:V,3,0),"")</f>
        <v/>
      </c>
      <c r="F343" s="190" t="str">
        <f>IFERROR(VLOOKUP($C343,'PORTIFÓLIO'!C:V,4,0),"")</f>
        <v/>
      </c>
      <c r="G343" s="206" t="str">
        <f>IFERROR(VLOOKUP($C343,'PORTIFÓLIO'!C:V,5,0),"")</f>
        <v/>
      </c>
      <c r="H343" s="247" t="str">
        <f t="array" ref="H343">IFERROR(INDEX('PORTIFÓLIO'!$H$4:$H$433,MATCH($C343,'PORTIFÓLIO'!$C$4:$C$433,0)),"")</f>
        <v/>
      </c>
      <c r="I343" s="257"/>
      <c r="J343" s="209">
        <f t="shared" si="39"/>
        <v>0</v>
      </c>
      <c r="K343" s="248" t="str">
        <f t="array" ref="K343">IFERROR(I343*INDEX('PORTIFÓLIO'!$S$4:$S$433,MATCH($C343,'PORTIFÓLIO'!$C$4:$C$433,0)),"")</f>
        <v/>
      </c>
      <c r="L343" s="248" t="str">
        <f t="array" ref="L343">IFERROR(J343*INDEX('PORTIFÓLIO'!$S$4:$S$433,MATCH($C343,'PORTIFÓLIO'!$C$4:$C$433,0)),"")</f>
        <v/>
      </c>
      <c r="M343" s="177"/>
      <c r="N343" s="177"/>
      <c r="O343" s="177"/>
      <c r="P343" s="177"/>
      <c r="Q343" s="177"/>
      <c r="R343" s="177"/>
      <c r="S343" s="177"/>
      <c r="T343" s="177"/>
      <c r="U343" s="177"/>
      <c r="V343" s="177"/>
      <c r="W343" s="177"/>
    </row>
    <row r="344" ht="15.75" customHeight="1" outlineLevel="1">
      <c r="A344" s="190"/>
      <c r="B344" s="204"/>
      <c r="C344" s="191"/>
      <c r="D344" s="205" t="str">
        <f>IFERROR(VLOOKUP($C344,'PORTIFÓLIO'!C:V,2,0),"")</f>
        <v/>
      </c>
      <c r="E344" s="190" t="str">
        <f>IFERROR(VLOOKUP($C344,'PORTIFÓLIO'!C:V,3,0),"")</f>
        <v/>
      </c>
      <c r="F344" s="190" t="str">
        <f>IFERROR(VLOOKUP($C344,'PORTIFÓLIO'!C:V,4,0),"")</f>
        <v/>
      </c>
      <c r="G344" s="206" t="str">
        <f>IFERROR(VLOOKUP($C344,'PORTIFÓLIO'!C:V,5,0),"")</f>
        <v/>
      </c>
      <c r="H344" s="247" t="str">
        <f t="array" ref="H344">IFERROR(INDEX('PORTIFÓLIO'!$H$4:$H$433,MATCH($C344,'PORTIFÓLIO'!$C$4:$C$433,0)),"")</f>
        <v/>
      </c>
      <c r="I344" s="257"/>
      <c r="J344" s="209">
        <f t="shared" si="39"/>
        <v>0</v>
      </c>
      <c r="K344" s="248" t="str">
        <f t="array" ref="K344">IFERROR(I344*INDEX('PORTIFÓLIO'!$S$4:$S$433,MATCH($C344,'PORTIFÓLIO'!$C$4:$C$433,0)),"")</f>
        <v/>
      </c>
      <c r="L344" s="248" t="str">
        <f t="array" ref="L344">IFERROR(J344*INDEX('PORTIFÓLIO'!$S$4:$S$433,MATCH($C344,'PORTIFÓLIO'!$C$4:$C$433,0)),"")</f>
        <v/>
      </c>
      <c r="M344" s="177"/>
      <c r="N344" s="177"/>
      <c r="O344" s="177"/>
      <c r="P344" s="177"/>
      <c r="Q344" s="177"/>
      <c r="R344" s="177"/>
      <c r="S344" s="177"/>
      <c r="T344" s="177"/>
      <c r="U344" s="177"/>
      <c r="V344" s="177"/>
      <c r="W344" s="177"/>
    </row>
    <row r="345" ht="15.75" customHeight="1" outlineLevel="1">
      <c r="A345" s="190"/>
      <c r="B345" s="204"/>
      <c r="C345" s="191"/>
      <c r="D345" s="205" t="str">
        <f>IFERROR(VLOOKUP($C345,'PORTIFÓLIO'!C:V,2,0),"")</f>
        <v/>
      </c>
      <c r="E345" s="190" t="str">
        <f>IFERROR(VLOOKUP($C345,'PORTIFÓLIO'!C:V,3,0),"")</f>
        <v/>
      </c>
      <c r="F345" s="190" t="str">
        <f>IFERROR(VLOOKUP($C345,'PORTIFÓLIO'!C:V,4,0),"")</f>
        <v/>
      </c>
      <c r="G345" s="206" t="str">
        <f>IFERROR(VLOOKUP($C345,'PORTIFÓLIO'!C:V,5,0),"")</f>
        <v/>
      </c>
      <c r="H345" s="247" t="str">
        <f t="array" ref="H345">IFERROR(INDEX('PORTIFÓLIO'!$H$4:$H$433,MATCH($C345,'PORTIFÓLIO'!$C$4:$C$433,0)),"")</f>
        <v/>
      </c>
      <c r="I345" s="257"/>
      <c r="J345" s="209">
        <f t="shared" si="39"/>
        <v>0</v>
      </c>
      <c r="K345" s="248" t="str">
        <f t="array" ref="K345">IFERROR(I345*INDEX('PORTIFÓLIO'!$S$4:$S$433,MATCH($C345,'PORTIFÓLIO'!$C$4:$C$433,0)),"")</f>
        <v/>
      </c>
      <c r="L345" s="248" t="str">
        <f t="array" ref="L345">IFERROR(J345*INDEX('PORTIFÓLIO'!$S$4:$S$433,MATCH($C345,'PORTIFÓLIO'!$C$4:$C$433,0)),"")</f>
        <v/>
      </c>
      <c r="M345" s="177"/>
      <c r="N345" s="177"/>
      <c r="O345" s="177"/>
      <c r="P345" s="177"/>
      <c r="Q345" s="177"/>
      <c r="R345" s="177"/>
      <c r="S345" s="177"/>
      <c r="T345" s="177"/>
      <c r="U345" s="177"/>
      <c r="V345" s="177"/>
      <c r="W345" s="177"/>
    </row>
    <row r="346" ht="15.75" customHeight="1" outlineLevel="1">
      <c r="A346" s="190"/>
      <c r="B346" s="204"/>
      <c r="C346" s="191"/>
      <c r="D346" s="205" t="str">
        <f>IFERROR(VLOOKUP($C346,'PORTIFÓLIO'!C:V,2,0),"")</f>
        <v/>
      </c>
      <c r="E346" s="190" t="str">
        <f>IFERROR(VLOOKUP($C346,'PORTIFÓLIO'!C:V,3,0),"")</f>
        <v/>
      </c>
      <c r="F346" s="190" t="str">
        <f>IFERROR(VLOOKUP($C346,'PORTIFÓLIO'!C:V,4,0),"")</f>
        <v/>
      </c>
      <c r="G346" s="206" t="str">
        <f>IFERROR(VLOOKUP($C346,'PORTIFÓLIO'!C:V,5,0),"")</f>
        <v/>
      </c>
      <c r="H346" s="247" t="str">
        <f t="array" ref="H346">IFERROR(INDEX('PORTIFÓLIO'!$H$4:$H$433,MATCH($C346,'PORTIFÓLIO'!$C$4:$C$433,0)),"")</f>
        <v/>
      </c>
      <c r="I346" s="257"/>
      <c r="J346" s="209">
        <f t="shared" si="39"/>
        <v>0</v>
      </c>
      <c r="K346" s="248" t="str">
        <f t="array" ref="K346">IFERROR(I346*INDEX('PORTIFÓLIO'!$S$4:$S$433,MATCH($C346,'PORTIFÓLIO'!$C$4:$C$433,0)),"")</f>
        <v/>
      </c>
      <c r="L346" s="248" t="str">
        <f t="array" ref="L346">IFERROR(J346*INDEX('PORTIFÓLIO'!$S$4:$S$433,MATCH($C346,'PORTIFÓLIO'!$C$4:$C$433,0)),"")</f>
        <v/>
      </c>
      <c r="M346" s="177"/>
      <c r="N346" s="177"/>
      <c r="O346" s="177"/>
      <c r="P346" s="177"/>
      <c r="Q346" s="177"/>
      <c r="R346" s="177"/>
      <c r="S346" s="177"/>
      <c r="T346" s="177"/>
      <c r="U346" s="177"/>
      <c r="V346" s="177"/>
      <c r="W346" s="177"/>
    </row>
    <row r="347" ht="15.75" customHeight="1" outlineLevel="1">
      <c r="A347" s="190"/>
      <c r="B347" s="204"/>
      <c r="C347" s="191"/>
      <c r="D347" s="205" t="str">
        <f>IFERROR(VLOOKUP($C347,'PORTIFÓLIO'!C:V,2,0),"")</f>
        <v/>
      </c>
      <c r="E347" s="190" t="str">
        <f>IFERROR(VLOOKUP($C347,'PORTIFÓLIO'!C:V,3,0),"")</f>
        <v/>
      </c>
      <c r="F347" s="190" t="str">
        <f>IFERROR(VLOOKUP($C347,'PORTIFÓLIO'!C:V,4,0),"")</f>
        <v/>
      </c>
      <c r="G347" s="206" t="str">
        <f>IFERROR(VLOOKUP($C347,'PORTIFÓLIO'!C:V,5,0),"")</f>
        <v/>
      </c>
      <c r="H347" s="247" t="str">
        <f t="array" ref="H347">IFERROR(INDEX('PORTIFÓLIO'!$H$4:$H$433,MATCH($C347,'PORTIFÓLIO'!$C$4:$C$433,0)),"")</f>
        <v/>
      </c>
      <c r="I347" s="257"/>
      <c r="J347" s="209">
        <f t="shared" si="39"/>
        <v>0</v>
      </c>
      <c r="K347" s="248" t="str">
        <f t="array" ref="K347">IFERROR(I347*INDEX('PORTIFÓLIO'!$S$4:$S$433,MATCH($C347,'PORTIFÓLIO'!$C$4:$C$433,0)),"")</f>
        <v/>
      </c>
      <c r="L347" s="248" t="str">
        <f t="array" ref="L347">IFERROR(J347*INDEX('PORTIFÓLIO'!$S$4:$S$433,MATCH($C347,'PORTIFÓLIO'!$C$4:$C$433,0)),"")</f>
        <v/>
      </c>
      <c r="M347" s="177"/>
      <c r="N347" s="177"/>
      <c r="O347" s="177"/>
      <c r="P347" s="177"/>
      <c r="Q347" s="177"/>
      <c r="R347" s="177"/>
      <c r="S347" s="177"/>
      <c r="T347" s="177"/>
      <c r="U347" s="177"/>
      <c r="V347" s="177"/>
      <c r="W347" s="177"/>
    </row>
    <row r="348" ht="15.75" customHeight="1" outlineLevel="1">
      <c r="A348" s="190"/>
      <c r="B348" s="204"/>
      <c r="C348" s="191"/>
      <c r="D348" s="205" t="str">
        <f>IFERROR(VLOOKUP($C348,'PORTIFÓLIO'!C:V,2,0),"")</f>
        <v/>
      </c>
      <c r="E348" s="190" t="str">
        <f>IFERROR(VLOOKUP($C348,'PORTIFÓLIO'!C:V,3,0),"")</f>
        <v/>
      </c>
      <c r="F348" s="190" t="str">
        <f>IFERROR(VLOOKUP($C348,'PORTIFÓLIO'!C:V,4,0),"")</f>
        <v/>
      </c>
      <c r="G348" s="206" t="str">
        <f>IFERROR(VLOOKUP($C348,'PORTIFÓLIO'!C:V,5,0),"")</f>
        <v/>
      </c>
      <c r="H348" s="247" t="str">
        <f t="array" ref="H348">IFERROR(INDEX('PORTIFÓLIO'!$H$4:$H$433,MATCH($C348,'PORTIFÓLIO'!$C$4:$C$433,0)),"")</f>
        <v/>
      </c>
      <c r="I348" s="257"/>
      <c r="J348" s="209">
        <f t="shared" si="39"/>
        <v>0</v>
      </c>
      <c r="K348" s="248" t="str">
        <f t="array" ref="K348">IFERROR(I348*INDEX('PORTIFÓLIO'!$S$4:$S$433,MATCH($C348,'PORTIFÓLIO'!$C$4:$C$433,0)),"")</f>
        <v/>
      </c>
      <c r="L348" s="248" t="str">
        <f t="array" ref="L348">IFERROR(J348*INDEX('PORTIFÓLIO'!$S$4:$S$433,MATCH($C348,'PORTIFÓLIO'!$C$4:$C$433,0)),"")</f>
        <v/>
      </c>
      <c r="M348" s="177"/>
      <c r="N348" s="177"/>
      <c r="O348" s="177"/>
      <c r="P348" s="177"/>
      <c r="Q348" s="177"/>
      <c r="R348" s="177"/>
      <c r="S348" s="177"/>
      <c r="T348" s="177"/>
      <c r="U348" s="177"/>
      <c r="V348" s="177"/>
      <c r="W348" s="177"/>
    </row>
    <row r="349" ht="15.75" customHeight="1" outlineLevel="1">
      <c r="A349" s="190"/>
      <c r="B349" s="204"/>
      <c r="C349" s="191"/>
      <c r="D349" s="205" t="str">
        <f>IFERROR(VLOOKUP($C349,'PORTIFÓLIO'!C:V,2,0),"")</f>
        <v/>
      </c>
      <c r="E349" s="190" t="str">
        <f>IFERROR(VLOOKUP($C349,'PORTIFÓLIO'!C:V,3,0),"")</f>
        <v/>
      </c>
      <c r="F349" s="190" t="str">
        <f>IFERROR(VLOOKUP($C349,'PORTIFÓLIO'!C:V,4,0),"")</f>
        <v/>
      </c>
      <c r="G349" s="206" t="str">
        <f>IFERROR(VLOOKUP($C349,'PORTIFÓLIO'!C:V,5,0),"")</f>
        <v/>
      </c>
      <c r="H349" s="247" t="str">
        <f t="array" ref="H349">IFERROR(INDEX('PORTIFÓLIO'!$H$4:$H$433,MATCH($C349,'PORTIFÓLIO'!$C$4:$C$433,0)),"")</f>
        <v/>
      </c>
      <c r="I349" s="257"/>
      <c r="J349" s="209">
        <f t="shared" si="39"/>
        <v>0</v>
      </c>
      <c r="K349" s="248" t="str">
        <f t="array" ref="K349">IFERROR(I349*INDEX('PORTIFÓLIO'!$S$4:$S$433,MATCH($C349,'PORTIFÓLIO'!$C$4:$C$433,0)),"")</f>
        <v/>
      </c>
      <c r="L349" s="248" t="str">
        <f t="array" ref="L349">IFERROR(J349*INDEX('PORTIFÓLIO'!$S$4:$S$433,MATCH($C349,'PORTIFÓLIO'!$C$4:$C$433,0)),"")</f>
        <v/>
      </c>
      <c r="M349" s="177"/>
      <c r="N349" s="177"/>
      <c r="O349" s="177"/>
      <c r="P349" s="177"/>
      <c r="Q349" s="177"/>
      <c r="R349" s="177"/>
      <c r="S349" s="177"/>
      <c r="T349" s="177"/>
      <c r="U349" s="177"/>
      <c r="V349" s="177"/>
      <c r="W349" s="177"/>
    </row>
    <row r="350" ht="15.75" customHeight="1" outlineLevel="1">
      <c r="A350" s="190"/>
      <c r="B350" s="204"/>
      <c r="C350" s="191"/>
      <c r="D350" s="205" t="str">
        <f>IFERROR(VLOOKUP($C350,'PORTIFÓLIO'!C:V,2,0),"")</f>
        <v/>
      </c>
      <c r="E350" s="190" t="str">
        <f>IFERROR(VLOOKUP($C350,'PORTIFÓLIO'!C:V,3,0),"")</f>
        <v/>
      </c>
      <c r="F350" s="190" t="str">
        <f>IFERROR(VLOOKUP($C350,'PORTIFÓLIO'!C:V,4,0),"")</f>
        <v/>
      </c>
      <c r="G350" s="206" t="str">
        <f>IFERROR(VLOOKUP($C350,'PORTIFÓLIO'!C:V,5,0),"")</f>
        <v/>
      </c>
      <c r="H350" s="247" t="str">
        <f t="array" ref="H350">IFERROR(INDEX('PORTIFÓLIO'!$H$4:$H$433,MATCH($C350,'PORTIFÓLIO'!$C$4:$C$433,0)),"")</f>
        <v/>
      </c>
      <c r="I350" s="253"/>
      <c r="J350" s="209">
        <f t="shared" si="39"/>
        <v>0</v>
      </c>
      <c r="K350" s="248" t="str">
        <f t="array" ref="K350">IFERROR(I350*INDEX('PORTIFÓLIO'!$S$4:$S$433,MATCH($C350,'PORTIFÓLIO'!$C$4:$C$433,0)),"")</f>
        <v/>
      </c>
      <c r="L350" s="248" t="str">
        <f t="array" ref="L350">IFERROR(J350*INDEX('PORTIFÓLIO'!$S$4:$S$433,MATCH($C350,'PORTIFÓLIO'!$C$4:$C$433,0)),"")</f>
        <v/>
      </c>
      <c r="M350" s="177"/>
      <c r="N350" s="177"/>
      <c r="O350" s="177"/>
      <c r="P350" s="177"/>
      <c r="Q350" s="177"/>
      <c r="R350" s="177"/>
      <c r="S350" s="177"/>
      <c r="T350" s="177"/>
      <c r="U350" s="177"/>
      <c r="V350" s="177"/>
      <c r="W350" s="177"/>
    </row>
    <row r="351" ht="15.75" customHeight="1" outlineLevel="1">
      <c r="A351" s="190"/>
      <c r="B351" s="204"/>
      <c r="C351" s="191"/>
      <c r="D351" s="205" t="str">
        <f>IFERROR(VLOOKUP($C351,'PORTIFÓLIO'!C:V,2,0),"")</f>
        <v/>
      </c>
      <c r="E351" s="190" t="str">
        <f>IFERROR(VLOOKUP($C351,'PORTIFÓLIO'!C:V,3,0),"")</f>
        <v/>
      </c>
      <c r="F351" s="190" t="str">
        <f>IFERROR(VLOOKUP($C351,'PORTIFÓLIO'!C:V,4,0),"")</f>
        <v/>
      </c>
      <c r="G351" s="206" t="str">
        <f>IFERROR(VLOOKUP($C351,'PORTIFÓLIO'!C:V,5,0),"")</f>
        <v/>
      </c>
      <c r="H351" s="247" t="str">
        <f t="array" ref="H351">IFERROR(INDEX('PORTIFÓLIO'!$H$4:$H$433,MATCH($C351,'PORTIFÓLIO'!$C$4:$C$433,0)),"")</f>
        <v/>
      </c>
      <c r="I351" s="257"/>
      <c r="J351" s="209">
        <f t="shared" si="39"/>
        <v>0</v>
      </c>
      <c r="K351" s="248" t="str">
        <f t="array" ref="K351">IFERROR(I351*INDEX('PORTIFÓLIO'!$S$4:$S$433,MATCH($C351,'PORTIFÓLIO'!$C$4:$C$433,0)),"")</f>
        <v/>
      </c>
      <c r="L351" s="248" t="str">
        <f t="array" ref="L351">IFERROR(J351*INDEX('PORTIFÓLIO'!$S$4:$S$433,MATCH($C351,'PORTIFÓLIO'!$C$4:$C$433,0)),"")</f>
        <v/>
      </c>
      <c r="M351" s="177"/>
      <c r="N351" s="177"/>
      <c r="O351" s="177"/>
      <c r="P351" s="177"/>
      <c r="Q351" s="177"/>
      <c r="R351" s="177"/>
      <c r="S351" s="177"/>
      <c r="T351" s="177"/>
      <c r="U351" s="177"/>
      <c r="V351" s="177"/>
      <c r="W351" s="177"/>
    </row>
    <row r="352" ht="15.75" customHeight="1" outlineLevel="1">
      <c r="A352" s="190"/>
      <c r="B352" s="204"/>
      <c r="C352" s="191"/>
      <c r="D352" s="205" t="str">
        <f>IFERROR(VLOOKUP($C352,'PORTIFÓLIO'!C:V,2,0),"")</f>
        <v/>
      </c>
      <c r="E352" s="190" t="str">
        <f>IFERROR(VLOOKUP($C352,'PORTIFÓLIO'!C:V,3,0),"")</f>
        <v/>
      </c>
      <c r="F352" s="190" t="str">
        <f>IFERROR(VLOOKUP($C352,'PORTIFÓLIO'!C:V,4,0),"")</f>
        <v/>
      </c>
      <c r="G352" s="206" t="str">
        <f>IFERROR(VLOOKUP($C352,'PORTIFÓLIO'!C:V,5,0),"")</f>
        <v/>
      </c>
      <c r="H352" s="247" t="str">
        <f t="array" ref="H352">IFERROR(INDEX('PORTIFÓLIO'!$H$4:$H$433,MATCH($C352,'PORTIFÓLIO'!$C$4:$C$433,0)),"")</f>
        <v/>
      </c>
      <c r="I352" s="257"/>
      <c r="J352" s="209">
        <f t="shared" si="39"/>
        <v>0</v>
      </c>
      <c r="K352" s="248" t="str">
        <f t="array" ref="K352">IFERROR(I352*INDEX('PORTIFÓLIO'!$S$4:$S$433,MATCH($C352,'PORTIFÓLIO'!$C$4:$C$433,0)),"")</f>
        <v/>
      </c>
      <c r="L352" s="248" t="str">
        <f t="array" ref="L352">IFERROR(J352*INDEX('PORTIFÓLIO'!$S$4:$S$433,MATCH($C352,'PORTIFÓLIO'!$C$4:$C$433,0)),"")</f>
        <v/>
      </c>
      <c r="M352" s="177"/>
      <c r="N352" s="177"/>
      <c r="O352" s="177"/>
      <c r="P352" s="177"/>
      <c r="Q352" s="177"/>
      <c r="R352" s="177"/>
      <c r="S352" s="177"/>
      <c r="T352" s="177"/>
      <c r="U352" s="177"/>
      <c r="V352" s="177"/>
      <c r="W352" s="177"/>
    </row>
    <row r="353" ht="15.75" customHeight="1" outlineLevel="1">
      <c r="A353" s="190"/>
      <c r="B353" s="204"/>
      <c r="C353" s="191"/>
      <c r="D353" s="205" t="str">
        <f>IFERROR(VLOOKUP($C353,'PORTIFÓLIO'!C:V,2,0),"")</f>
        <v/>
      </c>
      <c r="E353" s="190" t="str">
        <f>IFERROR(VLOOKUP($C353,'PORTIFÓLIO'!C:V,3,0),"")</f>
        <v/>
      </c>
      <c r="F353" s="190" t="str">
        <f>IFERROR(VLOOKUP($C353,'PORTIFÓLIO'!C:V,4,0),"")</f>
        <v/>
      </c>
      <c r="G353" s="206" t="str">
        <f>IFERROR(VLOOKUP($C353,'PORTIFÓLIO'!C:V,5,0),"")</f>
        <v/>
      </c>
      <c r="H353" s="247" t="str">
        <f t="array" ref="H353">IFERROR(INDEX('PORTIFÓLIO'!$H$4:$H$433,MATCH($C353,'PORTIFÓLIO'!$C$4:$C$433,0)),"")</f>
        <v/>
      </c>
      <c r="I353" s="257"/>
      <c r="J353" s="209">
        <f t="shared" si="39"/>
        <v>0</v>
      </c>
      <c r="K353" s="248" t="str">
        <f t="array" ref="K353">IFERROR(I353*INDEX('PORTIFÓLIO'!$S$4:$S$433,MATCH($C353,'PORTIFÓLIO'!$C$4:$C$433,0)),"")</f>
        <v/>
      </c>
      <c r="L353" s="248" t="str">
        <f t="array" ref="L353">IFERROR(J353*INDEX('PORTIFÓLIO'!$S$4:$S$433,MATCH($C353,'PORTIFÓLIO'!$C$4:$C$433,0)),"")</f>
        <v/>
      </c>
      <c r="M353" s="177"/>
      <c r="N353" s="177"/>
      <c r="O353" s="177"/>
      <c r="P353" s="177"/>
      <c r="Q353" s="177"/>
      <c r="R353" s="177"/>
      <c r="S353" s="177"/>
      <c r="T353" s="177"/>
      <c r="U353" s="177"/>
      <c r="V353" s="177"/>
      <c r="W353" s="177"/>
    </row>
    <row r="354" ht="15.75" customHeight="1" outlineLevel="1">
      <c r="A354" s="190"/>
      <c r="B354" s="204"/>
      <c r="C354" s="191"/>
      <c r="D354" s="205" t="str">
        <f>IFERROR(VLOOKUP($C354,'PORTIFÓLIO'!C:V,2,0),"")</f>
        <v/>
      </c>
      <c r="E354" s="190" t="str">
        <f>IFERROR(VLOOKUP($C354,'PORTIFÓLIO'!C:V,3,0),"")</f>
        <v/>
      </c>
      <c r="F354" s="190" t="str">
        <f>IFERROR(VLOOKUP($C354,'PORTIFÓLIO'!C:V,4,0),"")</f>
        <v/>
      </c>
      <c r="G354" s="206" t="str">
        <f>IFERROR(VLOOKUP($C354,'PORTIFÓLIO'!C:V,5,0),"")</f>
        <v/>
      </c>
      <c r="H354" s="247" t="str">
        <f t="array" ref="H354">IFERROR(INDEX('PORTIFÓLIO'!$H$4:$H$433,MATCH($C354,'PORTIFÓLIO'!$C$4:$C$433,0)),"")</f>
        <v/>
      </c>
      <c r="I354" s="257"/>
      <c r="J354" s="209">
        <f t="shared" si="39"/>
        <v>0</v>
      </c>
      <c r="K354" s="248" t="str">
        <f t="array" ref="K354">IFERROR(I354*INDEX('PORTIFÓLIO'!$S$4:$S$433,MATCH($C354,'PORTIFÓLIO'!$C$4:$C$433,0)),"")</f>
        <v/>
      </c>
      <c r="L354" s="248" t="str">
        <f t="array" ref="L354">IFERROR(J354*INDEX('PORTIFÓLIO'!$S$4:$S$433,MATCH($C354,'PORTIFÓLIO'!$C$4:$C$433,0)),"")</f>
        <v/>
      </c>
      <c r="M354" s="177"/>
      <c r="N354" s="177"/>
      <c r="O354" s="177"/>
      <c r="P354" s="177"/>
      <c r="Q354" s="177"/>
      <c r="R354" s="177"/>
      <c r="S354" s="177"/>
      <c r="T354" s="177"/>
      <c r="U354" s="177"/>
      <c r="V354" s="177"/>
      <c r="W354" s="177"/>
    </row>
    <row r="355" ht="15.75" customHeight="1" outlineLevel="1">
      <c r="A355" s="190"/>
      <c r="B355" s="204"/>
      <c r="C355" s="191"/>
      <c r="D355" s="205" t="str">
        <f>IFERROR(VLOOKUP($C355,'PORTIFÓLIO'!C:V,2,0),"")</f>
        <v/>
      </c>
      <c r="E355" s="190" t="str">
        <f>IFERROR(VLOOKUP($C355,'PORTIFÓLIO'!C:V,3,0),"")</f>
        <v/>
      </c>
      <c r="F355" s="190" t="str">
        <f>IFERROR(VLOOKUP($C355,'PORTIFÓLIO'!C:V,4,0),"")</f>
        <v/>
      </c>
      <c r="G355" s="206" t="str">
        <f>IFERROR(VLOOKUP($C355,'PORTIFÓLIO'!C:V,5,0),"")</f>
        <v/>
      </c>
      <c r="H355" s="247" t="str">
        <f t="array" ref="H355">IFERROR(INDEX('PORTIFÓLIO'!$H$4:$H$433,MATCH($C355,'PORTIFÓLIO'!$C$4:$C$433,0)),"")</f>
        <v/>
      </c>
      <c r="I355" s="257"/>
      <c r="J355" s="209">
        <f t="shared" si="39"/>
        <v>0</v>
      </c>
      <c r="K355" s="248" t="str">
        <f t="array" ref="K355">IFERROR(I355*INDEX('PORTIFÓLIO'!$S$4:$S$433,MATCH($C355,'PORTIFÓLIO'!$C$4:$C$433,0)),"")</f>
        <v/>
      </c>
      <c r="L355" s="248" t="str">
        <f t="array" ref="L355">IFERROR(J355*INDEX('PORTIFÓLIO'!$S$4:$S$433,MATCH($C355,'PORTIFÓLIO'!$C$4:$C$433,0)),"")</f>
        <v/>
      </c>
      <c r="M355" s="177"/>
      <c r="N355" s="177"/>
      <c r="O355" s="177"/>
      <c r="P355" s="177"/>
      <c r="Q355" s="177"/>
      <c r="R355" s="177"/>
      <c r="S355" s="177"/>
      <c r="T355" s="177"/>
      <c r="U355" s="177"/>
      <c r="V355" s="177"/>
      <c r="W355" s="177"/>
    </row>
    <row r="356" ht="15.75" customHeight="1" outlineLevel="1">
      <c r="A356" s="190"/>
      <c r="B356" s="204"/>
      <c r="C356" s="191"/>
      <c r="D356" s="205" t="str">
        <f>IFERROR(VLOOKUP($C356,'PORTIFÓLIO'!C:V,2,0),"")</f>
        <v/>
      </c>
      <c r="E356" s="190" t="str">
        <f>IFERROR(VLOOKUP($C356,'PORTIFÓLIO'!C:V,3,0),"")</f>
        <v/>
      </c>
      <c r="F356" s="190" t="str">
        <f>IFERROR(VLOOKUP($C356,'PORTIFÓLIO'!C:V,4,0),"")</f>
        <v/>
      </c>
      <c r="G356" s="206" t="str">
        <f>IFERROR(VLOOKUP($C356,'PORTIFÓLIO'!C:V,5,0),"")</f>
        <v/>
      </c>
      <c r="H356" s="247" t="str">
        <f t="array" ref="H356">IFERROR(INDEX('PORTIFÓLIO'!$H$4:$H$433,MATCH($C356,'PORTIFÓLIO'!$C$4:$C$433,0)),"")</f>
        <v/>
      </c>
      <c r="I356" s="257"/>
      <c r="J356" s="209">
        <f t="shared" si="39"/>
        <v>0</v>
      </c>
      <c r="K356" s="248" t="str">
        <f t="array" ref="K356">IFERROR(I356*INDEX('PORTIFÓLIO'!$S$4:$S$433,MATCH($C356,'PORTIFÓLIO'!$C$4:$C$433,0)),"")</f>
        <v/>
      </c>
      <c r="L356" s="248" t="str">
        <f t="array" ref="L356">IFERROR(J356*INDEX('PORTIFÓLIO'!$S$4:$S$433,MATCH($C356,'PORTIFÓLIO'!$C$4:$C$433,0)),"")</f>
        <v/>
      </c>
      <c r="M356" s="177"/>
      <c r="N356" s="177"/>
      <c r="O356" s="177"/>
      <c r="P356" s="177"/>
      <c r="Q356" s="177"/>
      <c r="R356" s="177"/>
      <c r="S356" s="177"/>
      <c r="T356" s="177"/>
      <c r="U356" s="177"/>
      <c r="V356" s="177"/>
      <c r="W356" s="177"/>
    </row>
    <row r="357" ht="15.75" customHeight="1" outlineLevel="1">
      <c r="A357" s="190"/>
      <c r="B357" s="238"/>
      <c r="C357" s="190"/>
      <c r="D357" s="205" t="str">
        <f>IFERROR(VLOOKUP($C357,'PORTIFÓLIO'!C:V,2,0),"")</f>
        <v/>
      </c>
      <c r="E357" s="190" t="str">
        <f>IFERROR(VLOOKUP($C357,'PORTIFÓLIO'!C:V,3,0),"")</f>
        <v/>
      </c>
      <c r="F357" s="190" t="str">
        <f>IFERROR(VLOOKUP($C357,'PORTIFÓLIO'!C:V,4,0),"")</f>
        <v/>
      </c>
      <c r="G357" s="206" t="str">
        <f>IFERROR(VLOOKUP($C357,'PORTIFÓLIO'!C:V,5,0),"")</f>
        <v/>
      </c>
      <c r="H357" s="247" t="str">
        <f t="array" ref="H357">IFERROR(INDEX('PORTIFÓLIO'!$H$4:$H$433,MATCH($C357,'PORTIFÓLIO'!$C$4:$C$433,0)),"")</f>
        <v/>
      </c>
      <c r="I357" s="257"/>
      <c r="J357" s="209"/>
      <c r="K357" s="248" t="str">
        <f t="array" ref="K357">IFERROR(I357*INDEX('PORTIFÓLIO'!$S$4:$S$433,MATCH($C357,'PORTIFÓLIO'!$C$4:$C$433,0)),"")</f>
        <v/>
      </c>
      <c r="L357" s="248" t="str">
        <f t="array" ref="L357">IFERROR(J357*INDEX('PORTIFÓLIO'!$S$4:$S$433,MATCH($C357,'PORTIFÓLIO'!$C$4:$C$433,0)),"")</f>
        <v/>
      </c>
      <c r="M357" s="177"/>
      <c r="N357" s="177"/>
      <c r="O357" s="177"/>
      <c r="P357" s="177"/>
      <c r="Q357" s="177"/>
      <c r="R357" s="177"/>
      <c r="S357" s="177"/>
      <c r="T357" s="177"/>
      <c r="U357" s="177"/>
      <c r="V357" s="177"/>
      <c r="W357" s="177"/>
    </row>
    <row r="358" ht="15.75" customHeight="1">
      <c r="A358" s="221" t="s">
        <v>1191</v>
      </c>
      <c r="B358" s="197"/>
      <c r="C358" s="196"/>
      <c r="D358" s="198"/>
      <c r="E358" s="196"/>
      <c r="F358" s="196"/>
      <c r="G358" s="199"/>
      <c r="H358" s="199"/>
      <c r="I358" s="252"/>
      <c r="J358" s="202"/>
      <c r="K358" s="203">
        <f t="shared" ref="K358:L358" si="40">SUBTOTAL(9,K359:K372)</f>
        <v>0</v>
      </c>
      <c r="L358" s="203">
        <f t="shared" si="40"/>
        <v>0</v>
      </c>
      <c r="M358" s="177"/>
      <c r="N358" s="177"/>
      <c r="O358" s="177"/>
      <c r="P358" s="177"/>
      <c r="Q358" s="177"/>
      <c r="R358" s="177"/>
      <c r="S358" s="177"/>
      <c r="T358" s="177"/>
      <c r="U358" s="177"/>
      <c r="V358" s="177"/>
      <c r="W358" s="177"/>
    </row>
    <row r="359" ht="15.75" customHeight="1" outlineLevel="1">
      <c r="A359" s="191"/>
      <c r="B359" s="204"/>
      <c r="C359" s="191"/>
      <c r="D359" s="205" t="str">
        <f>IFERROR(VLOOKUP($C359,'PORTIFÓLIO'!C:V,2,0),"")</f>
        <v/>
      </c>
      <c r="E359" s="190" t="str">
        <f>IFERROR(VLOOKUP($C359,'PORTIFÓLIO'!C:V,3,0),"")</f>
        <v/>
      </c>
      <c r="F359" s="190" t="str">
        <f>IFERROR(VLOOKUP($C359,'PORTIFÓLIO'!C:V,4,0),"")</f>
        <v/>
      </c>
      <c r="G359" s="206" t="str">
        <f>IFERROR(VLOOKUP($C359,'PORTIFÓLIO'!C:V,5,0),"")</f>
        <v/>
      </c>
      <c r="H359" s="247" t="str">
        <f t="array" ref="H359">IFERROR(INDEX('PORTIFÓLIO'!$H$4:$H$433,MATCH($C359,'PORTIFÓLIO'!$C$4:$C$433,0)),"")</f>
        <v/>
      </c>
      <c r="I359" s="253"/>
      <c r="J359" s="209">
        <f t="shared" ref="J359:J373" si="41">I359*$B$2</f>
        <v>0</v>
      </c>
      <c r="K359" s="248" t="str">
        <f t="array" ref="K359">IFERROR(I359*INDEX('PORTIFÓLIO'!$S$4:$S$433,MATCH($C359,'PORTIFÓLIO'!$C$4:$C$433,0)),"")</f>
        <v/>
      </c>
      <c r="L359" s="248" t="str">
        <f t="array" ref="L359">IFERROR(J359*INDEX('PORTIFÓLIO'!$S$4:$S$433,MATCH($C359,'PORTIFÓLIO'!$C$4:$C$433,0)),"")</f>
        <v/>
      </c>
      <c r="M359" s="177"/>
      <c r="N359" s="177"/>
      <c r="O359" s="177"/>
      <c r="P359" s="177"/>
      <c r="Q359" s="177"/>
      <c r="R359" s="177"/>
      <c r="S359" s="177"/>
      <c r="T359" s="177"/>
      <c r="U359" s="177"/>
      <c r="V359" s="177"/>
      <c r="W359" s="177"/>
    </row>
    <row r="360" ht="15.75" customHeight="1" outlineLevel="1">
      <c r="A360" s="190"/>
      <c r="B360" s="204"/>
      <c r="C360" s="191"/>
      <c r="D360" s="205" t="str">
        <f>IFERROR(VLOOKUP($C360,'PORTIFÓLIO'!C:V,2,0),"")</f>
        <v/>
      </c>
      <c r="E360" s="190" t="str">
        <f>IFERROR(VLOOKUP($C360,'PORTIFÓLIO'!C:V,3,0),"")</f>
        <v/>
      </c>
      <c r="F360" s="190" t="str">
        <f>IFERROR(VLOOKUP($C360,'PORTIFÓLIO'!C:V,4,0),"")</f>
        <v/>
      </c>
      <c r="G360" s="206" t="str">
        <f>IFERROR(VLOOKUP($C360,'PORTIFÓLIO'!C:V,5,0),"")</f>
        <v/>
      </c>
      <c r="H360" s="247" t="str">
        <f t="array" ref="H360">IFERROR(INDEX('PORTIFÓLIO'!$H$4:$H$433,MATCH($C360,'PORTIFÓLIO'!$C$4:$C$433,0)),"")</f>
        <v/>
      </c>
      <c r="I360" s="257"/>
      <c r="J360" s="209">
        <f t="shared" si="41"/>
        <v>0</v>
      </c>
      <c r="K360" s="248" t="str">
        <f t="array" ref="K360">IFERROR(I360*INDEX('PORTIFÓLIO'!$S$4:$S$433,MATCH($C360,'PORTIFÓLIO'!$C$4:$C$433,0)),"")</f>
        <v/>
      </c>
      <c r="L360" s="248" t="str">
        <f t="array" ref="L360">IFERROR(J360*INDEX('PORTIFÓLIO'!$S$4:$S$433,MATCH($C360,'PORTIFÓLIO'!$C$4:$C$433,0)),"")</f>
        <v/>
      </c>
      <c r="M360" s="177"/>
      <c r="N360" s="177"/>
      <c r="O360" s="177"/>
      <c r="P360" s="177"/>
      <c r="Q360" s="177"/>
      <c r="R360" s="177"/>
      <c r="S360" s="177"/>
      <c r="T360" s="177"/>
      <c r="U360" s="177"/>
      <c r="V360" s="177"/>
      <c r="W360" s="177"/>
    </row>
    <row r="361" ht="15.75" customHeight="1" outlineLevel="1">
      <c r="A361" s="190"/>
      <c r="B361" s="204"/>
      <c r="C361" s="191"/>
      <c r="D361" s="205" t="str">
        <f>IFERROR(VLOOKUP($C361,'PORTIFÓLIO'!C:V,2,0),"")</f>
        <v/>
      </c>
      <c r="E361" s="190" t="str">
        <f>IFERROR(VLOOKUP($C361,'PORTIFÓLIO'!C:V,3,0),"")</f>
        <v/>
      </c>
      <c r="F361" s="190" t="str">
        <f>IFERROR(VLOOKUP($C361,'PORTIFÓLIO'!C:V,4,0),"")</f>
        <v/>
      </c>
      <c r="G361" s="206" t="str">
        <f>IFERROR(VLOOKUP($C361,'PORTIFÓLIO'!C:V,5,0),"")</f>
        <v/>
      </c>
      <c r="H361" s="247" t="str">
        <f t="array" ref="H361">IFERROR(INDEX('PORTIFÓLIO'!$H$4:$H$433,MATCH($C361,'PORTIFÓLIO'!$C$4:$C$433,0)),"")</f>
        <v/>
      </c>
      <c r="I361" s="257"/>
      <c r="J361" s="209">
        <f t="shared" si="41"/>
        <v>0</v>
      </c>
      <c r="K361" s="248" t="str">
        <f t="array" ref="K361">IFERROR(I361*INDEX('PORTIFÓLIO'!$S$4:$S$433,MATCH($C361,'PORTIFÓLIO'!$C$4:$C$433,0)),"")</f>
        <v/>
      </c>
      <c r="L361" s="248" t="str">
        <f t="array" ref="L361">IFERROR(J361*INDEX('PORTIFÓLIO'!$S$4:$S$433,MATCH($C361,'PORTIFÓLIO'!$C$4:$C$433,0)),"")</f>
        <v/>
      </c>
      <c r="M361" s="177"/>
      <c r="N361" s="177"/>
      <c r="O361" s="177"/>
      <c r="P361" s="177"/>
      <c r="Q361" s="177"/>
      <c r="R361" s="177"/>
      <c r="S361" s="177"/>
      <c r="T361" s="177"/>
      <c r="U361" s="177"/>
      <c r="V361" s="177"/>
      <c r="W361" s="177"/>
    </row>
    <row r="362" ht="15.75" customHeight="1" outlineLevel="1">
      <c r="A362" s="190"/>
      <c r="B362" s="204"/>
      <c r="C362" s="191"/>
      <c r="D362" s="205" t="str">
        <f>IFERROR(VLOOKUP($C362,'PORTIFÓLIO'!C:V,2,0),"")</f>
        <v/>
      </c>
      <c r="E362" s="190" t="str">
        <f>IFERROR(VLOOKUP($C362,'PORTIFÓLIO'!C:V,3,0),"")</f>
        <v/>
      </c>
      <c r="F362" s="190" t="str">
        <f>IFERROR(VLOOKUP($C362,'PORTIFÓLIO'!C:V,4,0),"")</f>
        <v/>
      </c>
      <c r="G362" s="206" t="str">
        <f>IFERROR(VLOOKUP($C362,'PORTIFÓLIO'!C:V,5,0),"")</f>
        <v/>
      </c>
      <c r="H362" s="247" t="str">
        <f t="array" ref="H362">IFERROR(INDEX('PORTIFÓLIO'!$H$4:$H$433,MATCH($C362,'PORTIFÓLIO'!$C$4:$C$433,0)),"")</f>
        <v/>
      </c>
      <c r="I362" s="257"/>
      <c r="J362" s="209">
        <f t="shared" si="41"/>
        <v>0</v>
      </c>
      <c r="K362" s="248" t="str">
        <f t="array" ref="K362">IFERROR(I362*INDEX('PORTIFÓLIO'!$S$4:$S$433,MATCH($C362,'PORTIFÓLIO'!$C$4:$C$433,0)),"")</f>
        <v/>
      </c>
      <c r="L362" s="248" t="str">
        <f t="array" ref="L362">IFERROR(J362*INDEX('PORTIFÓLIO'!$S$4:$S$433,MATCH($C362,'PORTIFÓLIO'!$C$4:$C$433,0)),"")</f>
        <v/>
      </c>
      <c r="M362" s="177"/>
      <c r="N362" s="177"/>
      <c r="O362" s="177"/>
      <c r="P362" s="177"/>
      <c r="Q362" s="177"/>
      <c r="R362" s="177"/>
      <c r="S362" s="177"/>
      <c r="T362" s="177"/>
      <c r="U362" s="177"/>
      <c r="V362" s="177"/>
      <c r="W362" s="177"/>
    </row>
    <row r="363" ht="15.75" customHeight="1" outlineLevel="1">
      <c r="A363" s="190"/>
      <c r="B363" s="204"/>
      <c r="C363" s="191"/>
      <c r="D363" s="205" t="str">
        <f>IFERROR(VLOOKUP($C363,'PORTIFÓLIO'!C:V,2,0),"")</f>
        <v/>
      </c>
      <c r="E363" s="190" t="str">
        <f>IFERROR(VLOOKUP($C363,'PORTIFÓLIO'!C:V,3,0),"")</f>
        <v/>
      </c>
      <c r="F363" s="190" t="str">
        <f>IFERROR(VLOOKUP($C363,'PORTIFÓLIO'!C:V,4,0),"")</f>
        <v/>
      </c>
      <c r="G363" s="206" t="str">
        <f>IFERROR(VLOOKUP($C363,'PORTIFÓLIO'!C:V,5,0),"")</f>
        <v/>
      </c>
      <c r="H363" s="247" t="str">
        <f t="array" ref="H363">IFERROR(INDEX('PORTIFÓLIO'!$H$4:$H$433,MATCH($C363,'PORTIFÓLIO'!$C$4:$C$433,0)),"")</f>
        <v/>
      </c>
      <c r="I363" s="257"/>
      <c r="J363" s="209">
        <f t="shared" si="41"/>
        <v>0</v>
      </c>
      <c r="K363" s="248" t="str">
        <f t="array" ref="K363">IFERROR(I363*INDEX('PORTIFÓLIO'!$S$4:$S$433,MATCH($C363,'PORTIFÓLIO'!$C$4:$C$433,0)),"")</f>
        <v/>
      </c>
      <c r="L363" s="248" t="str">
        <f t="array" ref="L363">IFERROR(J363*INDEX('PORTIFÓLIO'!$S$4:$S$433,MATCH($C363,'PORTIFÓLIO'!$C$4:$C$433,0)),"")</f>
        <v/>
      </c>
      <c r="M363" s="177"/>
      <c r="N363" s="177"/>
      <c r="O363" s="177"/>
      <c r="P363" s="177"/>
      <c r="Q363" s="177"/>
      <c r="R363" s="177"/>
      <c r="S363" s="177"/>
      <c r="T363" s="177"/>
      <c r="U363" s="177"/>
      <c r="V363" s="177"/>
      <c r="W363" s="177"/>
    </row>
    <row r="364" ht="15.75" customHeight="1" outlineLevel="1">
      <c r="A364" s="190"/>
      <c r="B364" s="204"/>
      <c r="C364" s="191"/>
      <c r="D364" s="205" t="str">
        <f>IFERROR(VLOOKUP($C364,'PORTIFÓLIO'!C:V,2,0),"")</f>
        <v/>
      </c>
      <c r="E364" s="190" t="str">
        <f>IFERROR(VLOOKUP($C364,'PORTIFÓLIO'!C:V,3,0),"")</f>
        <v/>
      </c>
      <c r="F364" s="190" t="str">
        <f>IFERROR(VLOOKUP($C364,'PORTIFÓLIO'!C:V,4,0),"")</f>
        <v/>
      </c>
      <c r="G364" s="206" t="str">
        <f>IFERROR(VLOOKUP($C364,'PORTIFÓLIO'!C:V,5,0),"")</f>
        <v/>
      </c>
      <c r="H364" s="247" t="str">
        <f t="array" ref="H364">IFERROR(INDEX('PORTIFÓLIO'!$H$4:$H$433,MATCH($C364,'PORTIFÓLIO'!$C$4:$C$433,0)),"")</f>
        <v/>
      </c>
      <c r="I364" s="257"/>
      <c r="J364" s="209">
        <f t="shared" si="41"/>
        <v>0</v>
      </c>
      <c r="K364" s="248" t="str">
        <f t="array" ref="K364">IFERROR(I364*INDEX('PORTIFÓLIO'!$S$4:$S$433,MATCH($C364,'PORTIFÓLIO'!$C$4:$C$433,0)),"")</f>
        <v/>
      </c>
      <c r="L364" s="248" t="str">
        <f t="array" ref="L364">IFERROR(J364*INDEX('PORTIFÓLIO'!$S$4:$S$433,MATCH($C364,'PORTIFÓLIO'!$C$4:$C$433,0)),"")</f>
        <v/>
      </c>
      <c r="M364" s="177"/>
      <c r="N364" s="177"/>
      <c r="O364" s="177"/>
      <c r="P364" s="177"/>
      <c r="Q364" s="177"/>
      <c r="R364" s="177"/>
      <c r="S364" s="177"/>
      <c r="T364" s="177"/>
      <c r="U364" s="177"/>
      <c r="V364" s="177"/>
      <c r="W364" s="177"/>
    </row>
    <row r="365" ht="15.75" customHeight="1" outlineLevel="1">
      <c r="A365" s="190"/>
      <c r="B365" s="204"/>
      <c r="C365" s="191"/>
      <c r="D365" s="205" t="str">
        <f>IFERROR(VLOOKUP($C365,'PORTIFÓLIO'!C:V,2,0),"")</f>
        <v/>
      </c>
      <c r="E365" s="190" t="str">
        <f>IFERROR(VLOOKUP($C365,'PORTIFÓLIO'!C:V,3,0),"")</f>
        <v/>
      </c>
      <c r="F365" s="190" t="str">
        <f>IFERROR(VLOOKUP($C365,'PORTIFÓLIO'!C:V,4,0),"")</f>
        <v/>
      </c>
      <c r="G365" s="206" t="str">
        <f>IFERROR(VLOOKUP($C365,'PORTIFÓLIO'!C:V,5,0),"")</f>
        <v/>
      </c>
      <c r="H365" s="247" t="str">
        <f t="array" ref="H365">IFERROR(INDEX('PORTIFÓLIO'!$H$4:$H$433,MATCH($C365,'PORTIFÓLIO'!$C$4:$C$433,0)),"")</f>
        <v/>
      </c>
      <c r="I365" s="257"/>
      <c r="J365" s="209">
        <f t="shared" si="41"/>
        <v>0</v>
      </c>
      <c r="K365" s="248" t="str">
        <f t="array" ref="K365">IFERROR(I365*INDEX('PORTIFÓLIO'!$S$4:$S$433,MATCH($C365,'PORTIFÓLIO'!$C$4:$C$433,0)),"")</f>
        <v/>
      </c>
      <c r="L365" s="248" t="str">
        <f t="array" ref="L365">IFERROR(J365*INDEX('PORTIFÓLIO'!$S$4:$S$433,MATCH($C365,'PORTIFÓLIO'!$C$4:$C$433,0)),"")</f>
        <v/>
      </c>
      <c r="M365" s="177"/>
      <c r="N365" s="177"/>
      <c r="O365" s="177"/>
      <c r="P365" s="177"/>
      <c r="Q365" s="177"/>
      <c r="R365" s="177"/>
      <c r="S365" s="177"/>
      <c r="T365" s="177"/>
      <c r="U365" s="177"/>
      <c r="V365" s="177"/>
      <c r="W365" s="177"/>
    </row>
    <row r="366" ht="15.75" customHeight="1" outlineLevel="1">
      <c r="A366" s="190"/>
      <c r="B366" s="204"/>
      <c r="C366" s="191"/>
      <c r="D366" s="205" t="str">
        <f>IFERROR(VLOOKUP($C366,'PORTIFÓLIO'!C:V,2,0),"")</f>
        <v/>
      </c>
      <c r="E366" s="190" t="str">
        <f>IFERROR(VLOOKUP($C366,'PORTIFÓLIO'!C:V,3,0),"")</f>
        <v/>
      </c>
      <c r="F366" s="190" t="str">
        <f>IFERROR(VLOOKUP($C366,'PORTIFÓLIO'!C:V,4,0),"")</f>
        <v/>
      </c>
      <c r="G366" s="206" t="str">
        <f>IFERROR(VLOOKUP($C366,'PORTIFÓLIO'!C:V,5,0),"")</f>
        <v/>
      </c>
      <c r="H366" s="247" t="str">
        <f t="array" ref="H366">IFERROR(INDEX('PORTIFÓLIO'!$H$4:$H$433,MATCH($C366,'PORTIFÓLIO'!$C$4:$C$433,0)),"")</f>
        <v/>
      </c>
      <c r="I366" s="257"/>
      <c r="J366" s="209">
        <f t="shared" si="41"/>
        <v>0</v>
      </c>
      <c r="K366" s="248" t="str">
        <f t="array" ref="K366">IFERROR(I366*INDEX('PORTIFÓLIO'!$S$4:$S$433,MATCH($C366,'PORTIFÓLIO'!$C$4:$C$433,0)),"")</f>
        <v/>
      </c>
      <c r="L366" s="248" t="str">
        <f t="array" ref="L366">IFERROR(J366*INDEX('PORTIFÓLIO'!$S$4:$S$433,MATCH($C366,'PORTIFÓLIO'!$C$4:$C$433,0)),"")</f>
        <v/>
      </c>
      <c r="M366" s="177"/>
      <c r="N366" s="177"/>
      <c r="O366" s="177"/>
      <c r="P366" s="177"/>
      <c r="Q366" s="177"/>
      <c r="R366" s="177"/>
      <c r="S366" s="177"/>
      <c r="T366" s="177"/>
      <c r="U366" s="177"/>
      <c r="V366" s="177"/>
      <c r="W366" s="177"/>
    </row>
    <row r="367" ht="15.75" customHeight="1" outlineLevel="1">
      <c r="A367" s="190"/>
      <c r="B367" s="204"/>
      <c r="C367" s="191"/>
      <c r="D367" s="205" t="str">
        <f>IFERROR(VLOOKUP($C367,'PORTIFÓLIO'!C:V,2,0),"")</f>
        <v/>
      </c>
      <c r="E367" s="190" t="str">
        <f>IFERROR(VLOOKUP($C367,'PORTIFÓLIO'!C:V,3,0),"")</f>
        <v/>
      </c>
      <c r="F367" s="190" t="str">
        <f>IFERROR(VLOOKUP($C367,'PORTIFÓLIO'!C:V,4,0),"")</f>
        <v/>
      </c>
      <c r="G367" s="206" t="str">
        <f>IFERROR(VLOOKUP($C367,'PORTIFÓLIO'!C:V,5,0),"")</f>
        <v/>
      </c>
      <c r="H367" s="247" t="str">
        <f t="array" ref="H367">IFERROR(INDEX('PORTIFÓLIO'!$H$4:$H$433,MATCH($C367,'PORTIFÓLIO'!$C$4:$C$433,0)),"")</f>
        <v/>
      </c>
      <c r="I367" s="253"/>
      <c r="J367" s="209">
        <f t="shared" si="41"/>
        <v>0</v>
      </c>
      <c r="K367" s="248" t="str">
        <f t="array" ref="K367">IFERROR(I367*INDEX('PORTIFÓLIO'!$S$4:$S$433,MATCH($C367,'PORTIFÓLIO'!$C$4:$C$433,0)),"")</f>
        <v/>
      </c>
      <c r="L367" s="248" t="str">
        <f t="array" ref="L367">IFERROR(J367*INDEX('PORTIFÓLIO'!$S$4:$S$433,MATCH($C367,'PORTIFÓLIO'!$C$4:$C$433,0)),"")</f>
        <v/>
      </c>
      <c r="M367" s="177"/>
      <c r="N367" s="177"/>
      <c r="O367" s="177"/>
      <c r="P367" s="177"/>
      <c r="Q367" s="177"/>
      <c r="R367" s="177"/>
      <c r="S367" s="177"/>
      <c r="T367" s="177"/>
      <c r="U367" s="177"/>
      <c r="V367" s="177"/>
      <c r="W367" s="177"/>
    </row>
    <row r="368" ht="15.75" customHeight="1" outlineLevel="1">
      <c r="A368" s="190"/>
      <c r="B368" s="204"/>
      <c r="C368" s="191"/>
      <c r="D368" s="205" t="str">
        <f>IFERROR(VLOOKUP($C368,'PORTIFÓLIO'!C:V,2,0),"")</f>
        <v/>
      </c>
      <c r="E368" s="190" t="str">
        <f>IFERROR(VLOOKUP($C368,'PORTIFÓLIO'!C:V,3,0),"")</f>
        <v/>
      </c>
      <c r="F368" s="190" t="str">
        <f>IFERROR(VLOOKUP($C368,'PORTIFÓLIO'!C:V,4,0),"")</f>
        <v/>
      </c>
      <c r="G368" s="206" t="str">
        <f>IFERROR(VLOOKUP($C368,'PORTIFÓLIO'!C:V,5,0),"")</f>
        <v/>
      </c>
      <c r="H368" s="247" t="str">
        <f t="array" ref="H368">IFERROR(INDEX('PORTIFÓLIO'!$H$4:$H$433,MATCH($C368,'PORTIFÓLIO'!$C$4:$C$433,0)),"")</f>
        <v/>
      </c>
      <c r="I368" s="257"/>
      <c r="J368" s="209">
        <f t="shared" si="41"/>
        <v>0</v>
      </c>
      <c r="K368" s="248" t="str">
        <f t="array" ref="K368">IFERROR(I368*INDEX('PORTIFÓLIO'!$S$4:$S$433,MATCH($C368,'PORTIFÓLIO'!$C$4:$C$433,0)),"")</f>
        <v/>
      </c>
      <c r="L368" s="248" t="str">
        <f t="array" ref="L368">IFERROR(J368*INDEX('PORTIFÓLIO'!$S$4:$S$433,MATCH($C368,'PORTIFÓLIO'!$C$4:$C$433,0)),"")</f>
        <v/>
      </c>
      <c r="M368" s="177"/>
      <c r="N368" s="177"/>
      <c r="O368" s="177"/>
      <c r="P368" s="177"/>
      <c r="Q368" s="177"/>
      <c r="R368" s="177"/>
      <c r="S368" s="177"/>
      <c r="T368" s="177"/>
      <c r="U368" s="177"/>
      <c r="V368" s="177"/>
      <c r="W368" s="177"/>
    </row>
    <row r="369" ht="15.75" customHeight="1" outlineLevel="1">
      <c r="A369" s="190"/>
      <c r="B369" s="204"/>
      <c r="C369" s="191"/>
      <c r="D369" s="205" t="str">
        <f>IFERROR(VLOOKUP($C369,'PORTIFÓLIO'!C:V,2,0),"")</f>
        <v/>
      </c>
      <c r="E369" s="190" t="str">
        <f>IFERROR(VLOOKUP($C369,'PORTIFÓLIO'!C:V,3,0),"")</f>
        <v/>
      </c>
      <c r="F369" s="190" t="str">
        <f>IFERROR(VLOOKUP($C369,'PORTIFÓLIO'!C:V,4,0),"")</f>
        <v/>
      </c>
      <c r="G369" s="206" t="str">
        <f>IFERROR(VLOOKUP($C369,'PORTIFÓLIO'!C:V,5,0),"")</f>
        <v/>
      </c>
      <c r="H369" s="247" t="str">
        <f t="array" ref="H369">IFERROR(INDEX('PORTIFÓLIO'!$H$4:$H$433,MATCH($C369,'PORTIFÓLIO'!$C$4:$C$433,0)),"")</f>
        <v/>
      </c>
      <c r="I369" s="257"/>
      <c r="J369" s="209">
        <f t="shared" si="41"/>
        <v>0</v>
      </c>
      <c r="K369" s="248" t="str">
        <f t="array" ref="K369">IFERROR(I369*INDEX('PORTIFÓLIO'!$S$4:$S$433,MATCH($C369,'PORTIFÓLIO'!$C$4:$C$433,0)),"")</f>
        <v/>
      </c>
      <c r="L369" s="248" t="str">
        <f t="array" ref="L369">IFERROR(J369*INDEX('PORTIFÓLIO'!$S$4:$S$433,MATCH($C369,'PORTIFÓLIO'!$C$4:$C$433,0)),"")</f>
        <v/>
      </c>
      <c r="M369" s="177"/>
      <c r="N369" s="177"/>
      <c r="O369" s="177"/>
      <c r="P369" s="177"/>
      <c r="Q369" s="177"/>
      <c r="R369" s="177"/>
      <c r="S369" s="177"/>
      <c r="T369" s="177"/>
      <c r="U369" s="177"/>
      <c r="V369" s="177"/>
      <c r="W369" s="177"/>
    </row>
    <row r="370" ht="15.75" customHeight="1" outlineLevel="1">
      <c r="A370" s="190"/>
      <c r="B370" s="204"/>
      <c r="C370" s="191"/>
      <c r="D370" s="205" t="str">
        <f>IFERROR(VLOOKUP($C370,'PORTIFÓLIO'!C:V,2,0),"")</f>
        <v/>
      </c>
      <c r="E370" s="190" t="str">
        <f>IFERROR(VLOOKUP($C370,'PORTIFÓLIO'!C:V,3,0),"")</f>
        <v/>
      </c>
      <c r="F370" s="190" t="str">
        <f>IFERROR(VLOOKUP($C370,'PORTIFÓLIO'!C:V,4,0),"")</f>
        <v/>
      </c>
      <c r="G370" s="206" t="str">
        <f>IFERROR(VLOOKUP($C370,'PORTIFÓLIO'!C:V,5,0),"")</f>
        <v/>
      </c>
      <c r="H370" s="247" t="str">
        <f t="array" ref="H370">IFERROR(INDEX('PORTIFÓLIO'!$H$4:$H$433,MATCH($C370,'PORTIFÓLIO'!$C$4:$C$433,0)),"")</f>
        <v/>
      </c>
      <c r="I370" s="257"/>
      <c r="J370" s="209">
        <f t="shared" si="41"/>
        <v>0</v>
      </c>
      <c r="K370" s="248" t="str">
        <f t="array" ref="K370">IFERROR(I370*INDEX('PORTIFÓLIO'!$S$4:$S$433,MATCH($C370,'PORTIFÓLIO'!$C$4:$C$433,0)),"")</f>
        <v/>
      </c>
      <c r="L370" s="248" t="str">
        <f t="array" ref="L370">IFERROR(J370*INDEX('PORTIFÓLIO'!$S$4:$S$433,MATCH($C370,'PORTIFÓLIO'!$C$4:$C$433,0)),"")</f>
        <v/>
      </c>
      <c r="M370" s="177"/>
      <c r="N370" s="177"/>
      <c r="O370" s="177"/>
      <c r="P370" s="177"/>
      <c r="Q370" s="177"/>
      <c r="R370" s="177"/>
      <c r="S370" s="177"/>
      <c r="T370" s="177"/>
      <c r="U370" s="177"/>
      <c r="V370" s="177"/>
      <c r="W370" s="177"/>
    </row>
    <row r="371" ht="15.75" customHeight="1" outlineLevel="1">
      <c r="A371" s="190"/>
      <c r="B371" s="204"/>
      <c r="C371" s="191"/>
      <c r="D371" s="205" t="str">
        <f>IFERROR(VLOOKUP($C371,'PORTIFÓLIO'!C:V,2,0),"")</f>
        <v/>
      </c>
      <c r="E371" s="190" t="str">
        <f>IFERROR(VLOOKUP($C371,'PORTIFÓLIO'!C:V,3,0),"")</f>
        <v/>
      </c>
      <c r="F371" s="190" t="str">
        <f>IFERROR(VLOOKUP($C371,'PORTIFÓLIO'!C:V,4,0),"")</f>
        <v/>
      </c>
      <c r="G371" s="206" t="str">
        <f>IFERROR(VLOOKUP($C371,'PORTIFÓLIO'!C:V,5,0),"")</f>
        <v/>
      </c>
      <c r="H371" s="247" t="str">
        <f t="array" ref="H371">IFERROR(INDEX('PORTIFÓLIO'!$H$4:$H$433,MATCH($C371,'PORTIFÓLIO'!$C$4:$C$433,0)),"")</f>
        <v/>
      </c>
      <c r="I371" s="257"/>
      <c r="J371" s="209">
        <f t="shared" si="41"/>
        <v>0</v>
      </c>
      <c r="K371" s="248" t="str">
        <f t="array" ref="K371">IFERROR(I371*INDEX('PORTIFÓLIO'!$S$4:$S$433,MATCH($C371,'PORTIFÓLIO'!$C$4:$C$433,0)),"")</f>
        <v/>
      </c>
      <c r="L371" s="248" t="str">
        <f t="array" ref="L371">IFERROR(J371*INDEX('PORTIFÓLIO'!$S$4:$S$433,MATCH($C371,'PORTIFÓLIO'!$C$4:$C$433,0)),"")</f>
        <v/>
      </c>
      <c r="M371" s="177"/>
      <c r="N371" s="177"/>
      <c r="O371" s="177"/>
      <c r="P371" s="177"/>
      <c r="Q371" s="177"/>
      <c r="R371" s="177"/>
      <c r="S371" s="177"/>
      <c r="T371" s="177"/>
      <c r="U371" s="177"/>
      <c r="V371" s="177"/>
      <c r="W371" s="177"/>
    </row>
    <row r="372" ht="15.75" customHeight="1" outlineLevel="1">
      <c r="A372" s="190"/>
      <c r="B372" s="204"/>
      <c r="C372" s="191"/>
      <c r="D372" s="205" t="str">
        <f>IFERROR(VLOOKUP($C372,'PORTIFÓLIO'!C:V,2,0),"")</f>
        <v/>
      </c>
      <c r="E372" s="190" t="str">
        <f>IFERROR(VLOOKUP($C372,'PORTIFÓLIO'!C:V,3,0),"")</f>
        <v/>
      </c>
      <c r="F372" s="190" t="str">
        <f>IFERROR(VLOOKUP($C372,'PORTIFÓLIO'!C:V,4,0),"")</f>
        <v/>
      </c>
      <c r="G372" s="206" t="str">
        <f>IFERROR(VLOOKUP($C372,'PORTIFÓLIO'!C:V,5,0),"")</f>
        <v/>
      </c>
      <c r="H372" s="247" t="str">
        <f t="array" ref="H372">IFERROR(INDEX('PORTIFÓLIO'!$H$4:$H$433,MATCH($C372,'PORTIFÓLIO'!$C$4:$C$433,0)),"")</f>
        <v/>
      </c>
      <c r="I372" s="257"/>
      <c r="J372" s="209">
        <f t="shared" si="41"/>
        <v>0</v>
      </c>
      <c r="K372" s="248" t="str">
        <f t="array" ref="K372">IFERROR(I372*INDEX('PORTIFÓLIO'!$S$4:$S$433,MATCH($C372,'PORTIFÓLIO'!$C$4:$C$433,0)),"")</f>
        <v/>
      </c>
      <c r="L372" s="248" t="str">
        <f t="array" ref="L372">IFERROR(J372*INDEX('PORTIFÓLIO'!$S$4:$S$433,MATCH($C372,'PORTIFÓLIO'!$C$4:$C$433,0)),"")</f>
        <v/>
      </c>
      <c r="M372" s="177"/>
      <c r="N372" s="177"/>
      <c r="O372" s="177"/>
      <c r="P372" s="177"/>
      <c r="Q372" s="177"/>
      <c r="R372" s="177"/>
      <c r="S372" s="177"/>
      <c r="T372" s="177"/>
      <c r="U372" s="177"/>
      <c r="V372" s="177"/>
      <c r="W372" s="177"/>
    </row>
    <row r="373" ht="15.75" customHeight="1" outlineLevel="1">
      <c r="A373" s="190"/>
      <c r="B373" s="204"/>
      <c r="C373" s="191"/>
      <c r="D373" s="205" t="str">
        <f>IFERROR(VLOOKUP($C373,'PORTIFÓLIO'!C:V,2,0),"")</f>
        <v/>
      </c>
      <c r="E373" s="190" t="str">
        <f>IFERROR(VLOOKUP($C373,'PORTIFÓLIO'!C:V,3,0),"")</f>
        <v/>
      </c>
      <c r="F373" s="190" t="str">
        <f>IFERROR(VLOOKUP($C373,'PORTIFÓLIO'!C:V,4,0),"")</f>
        <v/>
      </c>
      <c r="G373" s="206" t="str">
        <f>IFERROR(VLOOKUP($C373,'PORTIFÓLIO'!C:V,5,0),"")</f>
        <v/>
      </c>
      <c r="H373" s="247" t="str">
        <f t="array" ref="H373">IFERROR(INDEX('PORTIFÓLIO'!$H$4:$H$433,MATCH($C373,'PORTIFÓLIO'!$C$4:$C$433,0)),"")</f>
        <v/>
      </c>
      <c r="I373" s="257"/>
      <c r="J373" s="209">
        <f t="shared" si="41"/>
        <v>0</v>
      </c>
      <c r="K373" s="248" t="str">
        <f t="array" ref="K373">IFERROR(I373*INDEX('PORTIFÓLIO'!$S$4:$S$433,MATCH($C373,'PORTIFÓLIO'!$C$4:$C$433,0)),"")</f>
        <v/>
      </c>
      <c r="L373" s="248" t="str">
        <f t="array" ref="L373">IFERROR(J373*INDEX('PORTIFÓLIO'!$S$4:$S$433,MATCH($C373,'PORTIFÓLIO'!$C$4:$C$433,0)),"")</f>
        <v/>
      </c>
      <c r="M373" s="177"/>
      <c r="N373" s="177"/>
      <c r="O373" s="177"/>
      <c r="P373" s="177"/>
      <c r="Q373" s="177"/>
      <c r="R373" s="177"/>
      <c r="S373" s="177"/>
      <c r="T373" s="177"/>
      <c r="U373" s="177"/>
      <c r="V373" s="177"/>
      <c r="W373" s="177"/>
    </row>
    <row r="374" ht="15.75" customHeight="1" outlineLevel="1">
      <c r="A374" s="190"/>
      <c r="B374" s="238"/>
      <c r="C374" s="190"/>
      <c r="D374" s="205" t="str">
        <f>IFERROR(VLOOKUP($C374,'PORTIFÓLIO'!C:V,2,0),"")</f>
        <v/>
      </c>
      <c r="E374" s="190" t="str">
        <f>IFERROR(VLOOKUP($C374,'PORTIFÓLIO'!C:V,3,0),"")</f>
        <v/>
      </c>
      <c r="F374" s="190" t="str">
        <f>IFERROR(VLOOKUP($C374,'PORTIFÓLIO'!C:V,4,0),"")</f>
        <v/>
      </c>
      <c r="G374" s="206" t="str">
        <f>IFERROR(VLOOKUP($C374,'PORTIFÓLIO'!C:V,5,0),"")</f>
        <v/>
      </c>
      <c r="H374" s="247" t="str">
        <f t="array" ref="H374">IFERROR(INDEX('PORTIFÓLIO'!$H$4:$H$433,MATCH($C374,'PORTIFÓLIO'!$C$4:$C$433,0)),"")</f>
        <v/>
      </c>
      <c r="I374" s="257"/>
      <c r="J374" s="209"/>
      <c r="K374" s="248" t="str">
        <f t="array" ref="K374">IFERROR(I374*INDEX('PORTIFÓLIO'!$S$4:$S$433,MATCH($C374,'PORTIFÓLIO'!$C$4:$C$433,0)),"")</f>
        <v/>
      </c>
      <c r="L374" s="248" t="str">
        <f t="array" ref="L374">IFERROR(J374*INDEX('PORTIFÓLIO'!$S$4:$S$433,MATCH($C374,'PORTIFÓLIO'!$C$4:$C$433,0)),"")</f>
        <v/>
      </c>
      <c r="M374" s="177"/>
      <c r="N374" s="177"/>
      <c r="O374" s="177"/>
      <c r="P374" s="177"/>
      <c r="Q374" s="177"/>
      <c r="R374" s="177"/>
      <c r="S374" s="177"/>
      <c r="T374" s="177"/>
      <c r="U374" s="177"/>
      <c r="V374" s="177"/>
      <c r="W374" s="177"/>
    </row>
    <row r="375" ht="15.75" customHeight="1">
      <c r="A375" s="221" t="s">
        <v>1192</v>
      </c>
      <c r="B375" s="197"/>
      <c r="C375" s="196"/>
      <c r="D375" s="198"/>
      <c r="E375" s="196"/>
      <c r="F375" s="196"/>
      <c r="G375" s="199"/>
      <c r="H375" s="199"/>
      <c r="I375" s="252"/>
      <c r="J375" s="202"/>
      <c r="K375" s="203">
        <f t="shared" ref="K375:L375" si="42">SUBTOTAL(9,K376:K389)</f>
        <v>0</v>
      </c>
      <c r="L375" s="203">
        <f t="shared" si="42"/>
        <v>0</v>
      </c>
      <c r="M375" s="177"/>
      <c r="N375" s="177"/>
      <c r="O375" s="177"/>
      <c r="P375" s="177"/>
      <c r="Q375" s="177"/>
      <c r="R375" s="177"/>
      <c r="S375" s="177"/>
      <c r="T375" s="177"/>
      <c r="U375" s="177"/>
      <c r="V375" s="177"/>
      <c r="W375" s="177"/>
    </row>
    <row r="376" ht="15.75" customHeight="1" outlineLevel="1">
      <c r="A376" s="191"/>
      <c r="B376" s="204"/>
      <c r="C376" s="191"/>
      <c r="D376" s="205" t="str">
        <f>IFERROR(VLOOKUP($C376,'PORTIFÓLIO'!C:V,2,0),"")</f>
        <v/>
      </c>
      <c r="E376" s="190" t="str">
        <f>IFERROR(VLOOKUP($C376,'PORTIFÓLIO'!C:V,3,0),"")</f>
        <v/>
      </c>
      <c r="F376" s="190" t="str">
        <f>IFERROR(VLOOKUP($C376,'PORTIFÓLIO'!C:V,4,0),"")</f>
        <v/>
      </c>
      <c r="G376" s="206" t="str">
        <f>IFERROR(VLOOKUP($C376,'PORTIFÓLIO'!C:V,5,0),"")</f>
        <v/>
      </c>
      <c r="H376" s="247" t="str">
        <f t="array" ref="H376">IFERROR(INDEX('PORTIFÓLIO'!$H$4:$H$433,MATCH($C376,'PORTIFÓLIO'!$C$4:$C$433,0)),"")</f>
        <v/>
      </c>
      <c r="I376" s="253"/>
      <c r="J376" s="209">
        <f t="shared" ref="J376:J390" si="43">I376*$B$2</f>
        <v>0</v>
      </c>
      <c r="K376" s="248" t="str">
        <f t="array" ref="K376">IFERROR(I376*INDEX('PORTIFÓLIO'!$S$4:$S$433,MATCH($C376,'PORTIFÓLIO'!$C$4:$C$433,0)),"")</f>
        <v/>
      </c>
      <c r="L376" s="248" t="str">
        <f t="array" ref="L376">IFERROR(J376*INDEX('PORTIFÓLIO'!$S$4:$S$433,MATCH($C376,'PORTIFÓLIO'!$C$4:$C$433,0)),"")</f>
        <v/>
      </c>
      <c r="M376" s="177"/>
      <c r="N376" s="177"/>
      <c r="O376" s="177"/>
      <c r="P376" s="177"/>
      <c r="Q376" s="177"/>
      <c r="R376" s="177"/>
      <c r="S376" s="177"/>
      <c r="T376" s="177"/>
      <c r="U376" s="177"/>
      <c r="V376" s="177"/>
      <c r="W376" s="177"/>
    </row>
    <row r="377" ht="15.75" customHeight="1" outlineLevel="1">
      <c r="A377" s="190"/>
      <c r="B377" s="204"/>
      <c r="C377" s="191"/>
      <c r="D377" s="205" t="str">
        <f>IFERROR(VLOOKUP($C377,'PORTIFÓLIO'!C:V,2,0),"")</f>
        <v/>
      </c>
      <c r="E377" s="190" t="str">
        <f>IFERROR(VLOOKUP($C377,'PORTIFÓLIO'!C:V,3,0),"")</f>
        <v/>
      </c>
      <c r="F377" s="190" t="str">
        <f>IFERROR(VLOOKUP($C377,'PORTIFÓLIO'!C:V,4,0),"")</f>
        <v/>
      </c>
      <c r="G377" s="206" t="str">
        <f>IFERROR(VLOOKUP($C377,'PORTIFÓLIO'!C:V,5,0),"")</f>
        <v/>
      </c>
      <c r="H377" s="247" t="str">
        <f t="array" ref="H377">IFERROR(INDEX('PORTIFÓLIO'!$H$4:$H$433,MATCH($C377,'PORTIFÓLIO'!$C$4:$C$433,0)),"")</f>
        <v/>
      </c>
      <c r="I377" s="257"/>
      <c r="J377" s="209">
        <f t="shared" si="43"/>
        <v>0</v>
      </c>
      <c r="K377" s="248" t="str">
        <f t="array" ref="K377">IFERROR(I377*INDEX('PORTIFÓLIO'!$S$4:$S$433,MATCH($C377,'PORTIFÓLIO'!$C$4:$C$433,0)),"")</f>
        <v/>
      </c>
      <c r="L377" s="248" t="str">
        <f t="array" ref="L377">IFERROR(J377*INDEX('PORTIFÓLIO'!$S$4:$S$433,MATCH($C377,'PORTIFÓLIO'!$C$4:$C$433,0)),"")</f>
        <v/>
      </c>
      <c r="M377" s="177"/>
      <c r="N377" s="177"/>
      <c r="O377" s="177"/>
      <c r="P377" s="177"/>
      <c r="Q377" s="177"/>
      <c r="R377" s="177"/>
      <c r="S377" s="177"/>
      <c r="T377" s="177"/>
      <c r="U377" s="177"/>
      <c r="V377" s="177"/>
      <c r="W377" s="177"/>
    </row>
    <row r="378" ht="15.75" customHeight="1" outlineLevel="1">
      <c r="A378" s="190"/>
      <c r="B378" s="204"/>
      <c r="C378" s="191"/>
      <c r="D378" s="205" t="str">
        <f>IFERROR(VLOOKUP($C378,'PORTIFÓLIO'!C:V,2,0),"")</f>
        <v/>
      </c>
      <c r="E378" s="190" t="str">
        <f>IFERROR(VLOOKUP($C378,'PORTIFÓLIO'!C:V,3,0),"")</f>
        <v/>
      </c>
      <c r="F378" s="190" t="str">
        <f>IFERROR(VLOOKUP($C378,'PORTIFÓLIO'!C:V,4,0),"")</f>
        <v/>
      </c>
      <c r="G378" s="206" t="str">
        <f>IFERROR(VLOOKUP($C378,'PORTIFÓLIO'!C:V,5,0),"")</f>
        <v/>
      </c>
      <c r="H378" s="247" t="str">
        <f t="array" ref="H378">IFERROR(INDEX('PORTIFÓLIO'!$H$4:$H$433,MATCH($C378,'PORTIFÓLIO'!$C$4:$C$433,0)),"")</f>
        <v/>
      </c>
      <c r="I378" s="257"/>
      <c r="J378" s="209">
        <f t="shared" si="43"/>
        <v>0</v>
      </c>
      <c r="K378" s="248" t="str">
        <f t="array" ref="K378">IFERROR(I378*INDEX('PORTIFÓLIO'!$S$4:$S$433,MATCH($C378,'PORTIFÓLIO'!$C$4:$C$433,0)),"")</f>
        <v/>
      </c>
      <c r="L378" s="248" t="str">
        <f t="array" ref="L378">IFERROR(J378*INDEX('PORTIFÓLIO'!$S$4:$S$433,MATCH($C378,'PORTIFÓLIO'!$C$4:$C$433,0)),"")</f>
        <v/>
      </c>
      <c r="M378" s="177"/>
      <c r="N378" s="177"/>
      <c r="O378" s="177"/>
      <c r="P378" s="177"/>
      <c r="Q378" s="177"/>
      <c r="R378" s="177"/>
      <c r="S378" s="177"/>
      <c r="T378" s="177"/>
      <c r="U378" s="177"/>
      <c r="V378" s="177"/>
      <c r="W378" s="177"/>
    </row>
    <row r="379" ht="15.75" customHeight="1" outlineLevel="1">
      <c r="A379" s="190"/>
      <c r="B379" s="204"/>
      <c r="C379" s="191"/>
      <c r="D379" s="205" t="str">
        <f>IFERROR(VLOOKUP($C379,'PORTIFÓLIO'!C:V,2,0),"")</f>
        <v/>
      </c>
      <c r="E379" s="190" t="str">
        <f>IFERROR(VLOOKUP($C379,'PORTIFÓLIO'!C:V,3,0),"")</f>
        <v/>
      </c>
      <c r="F379" s="190" t="str">
        <f>IFERROR(VLOOKUP($C379,'PORTIFÓLIO'!C:V,4,0),"")</f>
        <v/>
      </c>
      <c r="G379" s="206" t="str">
        <f>IFERROR(VLOOKUP($C379,'PORTIFÓLIO'!C:V,5,0),"")</f>
        <v/>
      </c>
      <c r="H379" s="247" t="str">
        <f t="array" ref="H379">IFERROR(INDEX('PORTIFÓLIO'!$H$4:$H$433,MATCH($C379,'PORTIFÓLIO'!$C$4:$C$433,0)),"")</f>
        <v/>
      </c>
      <c r="I379" s="257"/>
      <c r="J379" s="209">
        <f t="shared" si="43"/>
        <v>0</v>
      </c>
      <c r="K379" s="248" t="str">
        <f t="array" ref="K379">IFERROR(I379*INDEX('PORTIFÓLIO'!$S$4:$S$433,MATCH($C379,'PORTIFÓLIO'!$C$4:$C$433,0)),"")</f>
        <v/>
      </c>
      <c r="L379" s="248" t="str">
        <f t="array" ref="L379">IFERROR(J379*INDEX('PORTIFÓLIO'!$S$4:$S$433,MATCH($C379,'PORTIFÓLIO'!$C$4:$C$433,0)),"")</f>
        <v/>
      </c>
      <c r="M379" s="177"/>
      <c r="N379" s="177"/>
      <c r="O379" s="177"/>
      <c r="P379" s="177"/>
      <c r="Q379" s="177"/>
      <c r="R379" s="177"/>
      <c r="S379" s="177"/>
      <c r="T379" s="177"/>
      <c r="U379" s="177"/>
      <c r="V379" s="177"/>
      <c r="W379" s="177"/>
    </row>
    <row r="380" ht="15.75" customHeight="1" outlineLevel="1">
      <c r="A380" s="190"/>
      <c r="B380" s="204"/>
      <c r="C380" s="191"/>
      <c r="D380" s="205" t="str">
        <f>IFERROR(VLOOKUP($C380,'PORTIFÓLIO'!C:V,2,0),"")</f>
        <v/>
      </c>
      <c r="E380" s="190" t="str">
        <f>IFERROR(VLOOKUP($C380,'PORTIFÓLIO'!C:V,3,0),"")</f>
        <v/>
      </c>
      <c r="F380" s="190" t="str">
        <f>IFERROR(VLOOKUP($C380,'PORTIFÓLIO'!C:V,4,0),"")</f>
        <v/>
      </c>
      <c r="G380" s="206" t="str">
        <f>IFERROR(VLOOKUP($C380,'PORTIFÓLIO'!C:V,5,0),"")</f>
        <v/>
      </c>
      <c r="H380" s="247" t="str">
        <f t="array" ref="H380">IFERROR(INDEX('PORTIFÓLIO'!$H$4:$H$433,MATCH($C380,'PORTIFÓLIO'!$C$4:$C$433,0)),"")</f>
        <v/>
      </c>
      <c r="I380" s="257"/>
      <c r="J380" s="209">
        <f t="shared" si="43"/>
        <v>0</v>
      </c>
      <c r="K380" s="248" t="str">
        <f t="array" ref="K380">IFERROR(I380*INDEX('PORTIFÓLIO'!$S$4:$S$433,MATCH($C380,'PORTIFÓLIO'!$C$4:$C$433,0)),"")</f>
        <v/>
      </c>
      <c r="L380" s="248" t="str">
        <f t="array" ref="L380">IFERROR(J380*INDEX('PORTIFÓLIO'!$S$4:$S$433,MATCH($C380,'PORTIFÓLIO'!$C$4:$C$433,0)),"")</f>
        <v/>
      </c>
      <c r="M380" s="177"/>
      <c r="N380" s="177"/>
      <c r="O380" s="177"/>
      <c r="P380" s="177"/>
      <c r="Q380" s="177"/>
      <c r="R380" s="177"/>
      <c r="S380" s="177"/>
      <c r="T380" s="177"/>
      <c r="U380" s="177"/>
      <c r="V380" s="177"/>
      <c r="W380" s="177"/>
    </row>
    <row r="381" ht="15.75" customHeight="1" outlineLevel="1">
      <c r="A381" s="190"/>
      <c r="B381" s="204"/>
      <c r="C381" s="191"/>
      <c r="D381" s="205" t="str">
        <f>IFERROR(VLOOKUP($C381,'PORTIFÓLIO'!C:V,2,0),"")</f>
        <v/>
      </c>
      <c r="E381" s="190" t="str">
        <f>IFERROR(VLOOKUP($C381,'PORTIFÓLIO'!C:V,3,0),"")</f>
        <v/>
      </c>
      <c r="F381" s="190" t="str">
        <f>IFERROR(VLOOKUP($C381,'PORTIFÓLIO'!C:V,4,0),"")</f>
        <v/>
      </c>
      <c r="G381" s="206" t="str">
        <f>IFERROR(VLOOKUP($C381,'PORTIFÓLIO'!C:V,5,0),"")</f>
        <v/>
      </c>
      <c r="H381" s="247" t="str">
        <f t="array" ref="H381">IFERROR(INDEX('PORTIFÓLIO'!$H$4:$H$433,MATCH($C381,'PORTIFÓLIO'!$C$4:$C$433,0)),"")</f>
        <v/>
      </c>
      <c r="I381" s="257"/>
      <c r="J381" s="209">
        <f t="shared" si="43"/>
        <v>0</v>
      </c>
      <c r="K381" s="248" t="str">
        <f t="array" ref="K381">IFERROR(I381*INDEX('PORTIFÓLIO'!$S$4:$S$433,MATCH($C381,'PORTIFÓLIO'!$C$4:$C$433,0)),"")</f>
        <v/>
      </c>
      <c r="L381" s="248" t="str">
        <f t="array" ref="L381">IFERROR(J381*INDEX('PORTIFÓLIO'!$S$4:$S$433,MATCH($C381,'PORTIFÓLIO'!$C$4:$C$433,0)),"")</f>
        <v/>
      </c>
      <c r="M381" s="177"/>
      <c r="N381" s="177"/>
      <c r="O381" s="177"/>
      <c r="P381" s="177"/>
      <c r="Q381" s="177"/>
      <c r="R381" s="177"/>
      <c r="S381" s="177"/>
      <c r="T381" s="177"/>
      <c r="U381" s="177"/>
      <c r="V381" s="177"/>
      <c r="W381" s="177"/>
    </row>
    <row r="382" ht="15.75" customHeight="1" outlineLevel="1">
      <c r="A382" s="190"/>
      <c r="B382" s="204"/>
      <c r="C382" s="191"/>
      <c r="D382" s="205" t="str">
        <f>IFERROR(VLOOKUP($C382,'PORTIFÓLIO'!C:V,2,0),"")</f>
        <v/>
      </c>
      <c r="E382" s="190" t="str">
        <f>IFERROR(VLOOKUP($C382,'PORTIFÓLIO'!C:V,3,0),"")</f>
        <v/>
      </c>
      <c r="F382" s="190" t="str">
        <f>IFERROR(VLOOKUP($C382,'PORTIFÓLIO'!C:V,4,0),"")</f>
        <v/>
      </c>
      <c r="G382" s="206" t="str">
        <f>IFERROR(VLOOKUP($C382,'PORTIFÓLIO'!C:V,5,0),"")</f>
        <v/>
      </c>
      <c r="H382" s="247" t="str">
        <f t="array" ref="H382">IFERROR(INDEX('PORTIFÓLIO'!$H$4:$H$433,MATCH($C382,'PORTIFÓLIO'!$C$4:$C$433,0)),"")</f>
        <v/>
      </c>
      <c r="I382" s="257"/>
      <c r="J382" s="209">
        <f t="shared" si="43"/>
        <v>0</v>
      </c>
      <c r="K382" s="248" t="str">
        <f t="array" ref="K382">IFERROR(I382*INDEX('PORTIFÓLIO'!$S$4:$S$433,MATCH($C382,'PORTIFÓLIO'!$C$4:$C$433,0)),"")</f>
        <v/>
      </c>
      <c r="L382" s="248" t="str">
        <f t="array" ref="L382">IFERROR(J382*INDEX('PORTIFÓLIO'!$S$4:$S$433,MATCH($C382,'PORTIFÓLIO'!$C$4:$C$433,0)),"")</f>
        <v/>
      </c>
      <c r="M382" s="177"/>
      <c r="N382" s="177"/>
      <c r="O382" s="177"/>
      <c r="P382" s="177"/>
      <c r="Q382" s="177"/>
      <c r="R382" s="177"/>
      <c r="S382" s="177"/>
      <c r="T382" s="177"/>
      <c r="U382" s="177"/>
      <c r="V382" s="177"/>
      <c r="W382" s="177"/>
    </row>
    <row r="383" ht="15.75" customHeight="1" outlineLevel="1">
      <c r="A383" s="190"/>
      <c r="B383" s="204"/>
      <c r="C383" s="191"/>
      <c r="D383" s="205" t="str">
        <f>IFERROR(VLOOKUP($C383,'PORTIFÓLIO'!C:V,2,0),"")</f>
        <v/>
      </c>
      <c r="E383" s="190" t="str">
        <f>IFERROR(VLOOKUP($C383,'PORTIFÓLIO'!C:V,3,0),"")</f>
        <v/>
      </c>
      <c r="F383" s="190" t="str">
        <f>IFERROR(VLOOKUP($C383,'PORTIFÓLIO'!C:V,4,0),"")</f>
        <v/>
      </c>
      <c r="G383" s="206" t="str">
        <f>IFERROR(VLOOKUP($C383,'PORTIFÓLIO'!C:V,5,0),"")</f>
        <v/>
      </c>
      <c r="H383" s="247" t="str">
        <f t="array" ref="H383">IFERROR(INDEX('PORTIFÓLIO'!$H$4:$H$433,MATCH($C383,'PORTIFÓLIO'!$C$4:$C$433,0)),"")</f>
        <v/>
      </c>
      <c r="I383" s="257"/>
      <c r="J383" s="209">
        <f t="shared" si="43"/>
        <v>0</v>
      </c>
      <c r="K383" s="248" t="str">
        <f t="array" ref="K383">IFERROR(I383*INDEX('PORTIFÓLIO'!$S$4:$S$433,MATCH($C383,'PORTIFÓLIO'!$C$4:$C$433,0)),"")</f>
        <v/>
      </c>
      <c r="L383" s="248" t="str">
        <f t="array" ref="L383">IFERROR(J383*INDEX('PORTIFÓLIO'!$S$4:$S$433,MATCH($C383,'PORTIFÓLIO'!$C$4:$C$433,0)),"")</f>
        <v/>
      </c>
      <c r="M383" s="177"/>
      <c r="N383" s="177"/>
      <c r="O383" s="177"/>
      <c r="P383" s="177"/>
      <c r="Q383" s="177"/>
      <c r="R383" s="177"/>
      <c r="S383" s="177"/>
      <c r="T383" s="177"/>
      <c r="U383" s="177"/>
      <c r="V383" s="177"/>
      <c r="W383" s="177"/>
    </row>
    <row r="384" ht="15.75" customHeight="1" outlineLevel="1">
      <c r="A384" s="190"/>
      <c r="B384" s="204"/>
      <c r="C384" s="191"/>
      <c r="D384" s="205" t="str">
        <f>IFERROR(VLOOKUP($C384,'PORTIFÓLIO'!C:V,2,0),"")</f>
        <v/>
      </c>
      <c r="E384" s="190" t="str">
        <f>IFERROR(VLOOKUP($C384,'PORTIFÓLIO'!C:V,3,0),"")</f>
        <v/>
      </c>
      <c r="F384" s="190" t="str">
        <f>IFERROR(VLOOKUP($C384,'PORTIFÓLIO'!C:V,4,0),"")</f>
        <v/>
      </c>
      <c r="G384" s="206" t="str">
        <f>IFERROR(VLOOKUP($C384,'PORTIFÓLIO'!C:V,5,0),"")</f>
        <v/>
      </c>
      <c r="H384" s="247" t="str">
        <f t="array" ref="H384">IFERROR(INDEX('PORTIFÓLIO'!$H$4:$H$433,MATCH($C384,'PORTIFÓLIO'!$C$4:$C$433,0)),"")</f>
        <v/>
      </c>
      <c r="I384" s="253"/>
      <c r="J384" s="209">
        <f t="shared" si="43"/>
        <v>0</v>
      </c>
      <c r="K384" s="248" t="str">
        <f t="array" ref="K384">IFERROR(I384*INDEX('PORTIFÓLIO'!$S$4:$S$433,MATCH($C384,'PORTIFÓLIO'!$C$4:$C$433,0)),"")</f>
        <v/>
      </c>
      <c r="L384" s="248" t="str">
        <f t="array" ref="L384">IFERROR(J384*INDEX('PORTIFÓLIO'!$S$4:$S$433,MATCH($C384,'PORTIFÓLIO'!$C$4:$C$433,0)),"")</f>
        <v/>
      </c>
      <c r="M384" s="177"/>
      <c r="N384" s="177"/>
      <c r="O384" s="177"/>
      <c r="P384" s="177"/>
      <c r="Q384" s="177"/>
      <c r="R384" s="177"/>
      <c r="S384" s="177"/>
      <c r="T384" s="177"/>
      <c r="U384" s="177"/>
      <c r="V384" s="177"/>
      <c r="W384" s="177"/>
    </row>
    <row r="385" ht="15.75" customHeight="1" outlineLevel="1">
      <c r="A385" s="190"/>
      <c r="B385" s="204"/>
      <c r="C385" s="191"/>
      <c r="D385" s="205" t="str">
        <f>IFERROR(VLOOKUP($C385,'PORTIFÓLIO'!C:V,2,0),"")</f>
        <v/>
      </c>
      <c r="E385" s="190" t="str">
        <f>IFERROR(VLOOKUP($C385,'PORTIFÓLIO'!C:V,3,0),"")</f>
        <v/>
      </c>
      <c r="F385" s="190" t="str">
        <f>IFERROR(VLOOKUP($C385,'PORTIFÓLIO'!C:V,4,0),"")</f>
        <v/>
      </c>
      <c r="G385" s="206" t="str">
        <f>IFERROR(VLOOKUP($C385,'PORTIFÓLIO'!C:V,5,0),"")</f>
        <v/>
      </c>
      <c r="H385" s="247" t="str">
        <f t="array" ref="H385">IFERROR(INDEX('PORTIFÓLIO'!$H$4:$H$433,MATCH($C385,'PORTIFÓLIO'!$C$4:$C$433,0)),"")</f>
        <v/>
      </c>
      <c r="I385" s="257"/>
      <c r="J385" s="209">
        <f t="shared" si="43"/>
        <v>0</v>
      </c>
      <c r="K385" s="248" t="str">
        <f t="array" ref="K385">IFERROR(I385*INDEX('PORTIFÓLIO'!$S$4:$S$433,MATCH($C385,'PORTIFÓLIO'!$C$4:$C$433,0)),"")</f>
        <v/>
      </c>
      <c r="L385" s="248" t="str">
        <f t="array" ref="L385">IFERROR(J385*INDEX('PORTIFÓLIO'!$S$4:$S$433,MATCH($C385,'PORTIFÓLIO'!$C$4:$C$433,0)),"")</f>
        <v/>
      </c>
      <c r="M385" s="177"/>
      <c r="N385" s="177"/>
      <c r="O385" s="177"/>
      <c r="P385" s="177"/>
      <c r="Q385" s="177"/>
      <c r="R385" s="177"/>
      <c r="S385" s="177"/>
      <c r="T385" s="177"/>
      <c r="U385" s="177"/>
      <c r="V385" s="177"/>
      <c r="W385" s="177"/>
    </row>
    <row r="386" ht="15.75" customHeight="1" outlineLevel="1">
      <c r="A386" s="190"/>
      <c r="B386" s="204"/>
      <c r="C386" s="191"/>
      <c r="D386" s="205" t="str">
        <f>IFERROR(VLOOKUP($C386,'PORTIFÓLIO'!C:V,2,0),"")</f>
        <v/>
      </c>
      <c r="E386" s="190" t="str">
        <f>IFERROR(VLOOKUP($C386,'PORTIFÓLIO'!C:V,3,0),"")</f>
        <v/>
      </c>
      <c r="F386" s="190" t="str">
        <f>IFERROR(VLOOKUP($C386,'PORTIFÓLIO'!C:V,4,0),"")</f>
        <v/>
      </c>
      <c r="G386" s="206" t="str">
        <f>IFERROR(VLOOKUP($C386,'PORTIFÓLIO'!C:V,5,0),"")</f>
        <v/>
      </c>
      <c r="H386" s="247" t="str">
        <f t="array" ref="H386">IFERROR(INDEX('PORTIFÓLIO'!$H$4:$H$433,MATCH($C386,'PORTIFÓLIO'!$C$4:$C$433,0)),"")</f>
        <v/>
      </c>
      <c r="I386" s="257"/>
      <c r="J386" s="209">
        <f t="shared" si="43"/>
        <v>0</v>
      </c>
      <c r="K386" s="248" t="str">
        <f t="array" ref="K386">IFERROR(I386*INDEX('PORTIFÓLIO'!$S$4:$S$433,MATCH($C386,'PORTIFÓLIO'!$C$4:$C$433,0)),"")</f>
        <v/>
      </c>
      <c r="L386" s="248" t="str">
        <f t="array" ref="L386">IFERROR(J386*INDEX('PORTIFÓLIO'!$S$4:$S$433,MATCH($C386,'PORTIFÓLIO'!$C$4:$C$433,0)),"")</f>
        <v/>
      </c>
      <c r="M386" s="177"/>
      <c r="N386" s="177"/>
      <c r="O386" s="177"/>
      <c r="P386" s="177"/>
      <c r="Q386" s="177"/>
      <c r="R386" s="177"/>
      <c r="S386" s="177"/>
      <c r="T386" s="177"/>
      <c r="U386" s="177"/>
      <c r="V386" s="177"/>
      <c r="W386" s="177"/>
    </row>
    <row r="387" ht="15.75" customHeight="1" outlineLevel="1">
      <c r="A387" s="190"/>
      <c r="B387" s="204"/>
      <c r="C387" s="191"/>
      <c r="D387" s="205" t="str">
        <f>IFERROR(VLOOKUP($C387,'PORTIFÓLIO'!C:V,2,0),"")</f>
        <v/>
      </c>
      <c r="E387" s="190" t="str">
        <f>IFERROR(VLOOKUP($C387,'PORTIFÓLIO'!C:V,3,0),"")</f>
        <v/>
      </c>
      <c r="F387" s="190" t="str">
        <f>IFERROR(VLOOKUP($C387,'PORTIFÓLIO'!C:V,4,0),"")</f>
        <v/>
      </c>
      <c r="G387" s="206" t="str">
        <f>IFERROR(VLOOKUP($C387,'PORTIFÓLIO'!C:V,5,0),"")</f>
        <v/>
      </c>
      <c r="H387" s="247" t="str">
        <f t="array" ref="H387">IFERROR(INDEX('PORTIFÓLIO'!$H$4:$H$433,MATCH($C387,'PORTIFÓLIO'!$C$4:$C$433,0)),"")</f>
        <v/>
      </c>
      <c r="I387" s="257"/>
      <c r="J387" s="209">
        <f t="shared" si="43"/>
        <v>0</v>
      </c>
      <c r="K387" s="248" t="str">
        <f t="array" ref="K387">IFERROR(I387*INDEX('PORTIFÓLIO'!$S$4:$S$433,MATCH($C387,'PORTIFÓLIO'!$C$4:$C$433,0)),"")</f>
        <v/>
      </c>
      <c r="L387" s="248" t="str">
        <f t="array" ref="L387">IFERROR(J387*INDEX('PORTIFÓLIO'!$S$4:$S$433,MATCH($C387,'PORTIFÓLIO'!$C$4:$C$433,0)),"")</f>
        <v/>
      </c>
      <c r="M387" s="177"/>
      <c r="N387" s="177"/>
      <c r="O387" s="177"/>
      <c r="P387" s="177"/>
      <c r="Q387" s="177"/>
      <c r="R387" s="177"/>
      <c r="S387" s="177"/>
      <c r="T387" s="177"/>
      <c r="U387" s="177"/>
      <c r="V387" s="177"/>
      <c r="W387" s="177"/>
    </row>
    <row r="388" ht="15.75" customHeight="1" outlineLevel="1">
      <c r="A388" s="190"/>
      <c r="B388" s="204"/>
      <c r="C388" s="191"/>
      <c r="D388" s="205" t="str">
        <f>IFERROR(VLOOKUP($C388,'PORTIFÓLIO'!C:V,2,0),"")</f>
        <v/>
      </c>
      <c r="E388" s="190" t="str">
        <f>IFERROR(VLOOKUP($C388,'PORTIFÓLIO'!C:V,3,0),"")</f>
        <v/>
      </c>
      <c r="F388" s="190" t="str">
        <f>IFERROR(VLOOKUP($C388,'PORTIFÓLIO'!C:V,4,0),"")</f>
        <v/>
      </c>
      <c r="G388" s="206" t="str">
        <f>IFERROR(VLOOKUP($C388,'PORTIFÓLIO'!C:V,5,0),"")</f>
        <v/>
      </c>
      <c r="H388" s="247" t="str">
        <f t="array" ref="H388">IFERROR(INDEX('PORTIFÓLIO'!$H$4:$H$433,MATCH($C388,'PORTIFÓLIO'!$C$4:$C$433,0)),"")</f>
        <v/>
      </c>
      <c r="I388" s="257"/>
      <c r="J388" s="209">
        <f t="shared" si="43"/>
        <v>0</v>
      </c>
      <c r="K388" s="248" t="str">
        <f t="array" ref="K388">IFERROR(I388*INDEX('PORTIFÓLIO'!$S$4:$S$433,MATCH($C388,'PORTIFÓLIO'!$C$4:$C$433,0)),"")</f>
        <v/>
      </c>
      <c r="L388" s="248" t="str">
        <f t="array" ref="L388">IFERROR(J388*INDEX('PORTIFÓLIO'!$S$4:$S$433,MATCH($C388,'PORTIFÓLIO'!$C$4:$C$433,0)),"")</f>
        <v/>
      </c>
      <c r="M388" s="177"/>
      <c r="N388" s="177"/>
      <c r="O388" s="177"/>
      <c r="P388" s="177"/>
      <c r="Q388" s="177"/>
      <c r="R388" s="177"/>
      <c r="S388" s="177"/>
      <c r="T388" s="177"/>
      <c r="U388" s="177"/>
      <c r="V388" s="177"/>
      <c r="W388" s="177"/>
    </row>
    <row r="389" ht="15.75" customHeight="1" outlineLevel="1">
      <c r="A389" s="190"/>
      <c r="B389" s="204"/>
      <c r="C389" s="191"/>
      <c r="D389" s="205" t="str">
        <f>IFERROR(VLOOKUP($C389,'PORTIFÓLIO'!C:V,2,0),"")</f>
        <v/>
      </c>
      <c r="E389" s="190" t="str">
        <f>IFERROR(VLOOKUP($C389,'PORTIFÓLIO'!C:V,3,0),"")</f>
        <v/>
      </c>
      <c r="F389" s="190" t="str">
        <f>IFERROR(VLOOKUP($C389,'PORTIFÓLIO'!C:V,4,0),"")</f>
        <v/>
      </c>
      <c r="G389" s="206" t="str">
        <f>IFERROR(VLOOKUP($C389,'PORTIFÓLIO'!C:V,5,0),"")</f>
        <v/>
      </c>
      <c r="H389" s="247" t="str">
        <f t="array" ref="H389">IFERROR(INDEX('PORTIFÓLIO'!$H$4:$H$433,MATCH($C389,'PORTIFÓLIO'!$C$4:$C$433,0)),"")</f>
        <v/>
      </c>
      <c r="I389" s="257"/>
      <c r="J389" s="209">
        <f t="shared" si="43"/>
        <v>0</v>
      </c>
      <c r="K389" s="248" t="str">
        <f t="array" ref="K389">IFERROR(I389*INDEX('PORTIFÓLIO'!$S$4:$S$433,MATCH($C389,'PORTIFÓLIO'!$C$4:$C$433,0)),"")</f>
        <v/>
      </c>
      <c r="L389" s="248" t="str">
        <f t="array" ref="L389">IFERROR(J389*INDEX('PORTIFÓLIO'!$S$4:$S$433,MATCH($C389,'PORTIFÓLIO'!$C$4:$C$433,0)),"")</f>
        <v/>
      </c>
      <c r="M389" s="177"/>
      <c r="N389" s="177"/>
      <c r="O389" s="177"/>
      <c r="P389" s="177"/>
      <c r="Q389" s="177"/>
      <c r="R389" s="177"/>
      <c r="S389" s="177"/>
      <c r="T389" s="177"/>
      <c r="U389" s="177"/>
      <c r="V389" s="177"/>
      <c r="W389" s="177"/>
    </row>
    <row r="390" ht="15.75" customHeight="1" outlineLevel="1">
      <c r="A390" s="190"/>
      <c r="B390" s="204"/>
      <c r="C390" s="191"/>
      <c r="D390" s="205" t="str">
        <f>IFERROR(VLOOKUP($C390,'PORTIFÓLIO'!C:V,2,0),"")</f>
        <v/>
      </c>
      <c r="E390" s="190" t="str">
        <f>IFERROR(VLOOKUP($C390,'PORTIFÓLIO'!C:V,3,0),"")</f>
        <v/>
      </c>
      <c r="F390" s="190" t="str">
        <f>IFERROR(VLOOKUP($C390,'PORTIFÓLIO'!C:V,4,0),"")</f>
        <v/>
      </c>
      <c r="G390" s="206" t="str">
        <f>IFERROR(VLOOKUP($C390,'PORTIFÓLIO'!C:V,5,0),"")</f>
        <v/>
      </c>
      <c r="H390" s="247" t="str">
        <f t="array" ref="H390">IFERROR(INDEX('PORTIFÓLIO'!$H$4:$H$433,MATCH($C390,'PORTIFÓLIO'!$C$4:$C$433,0)),"")</f>
        <v/>
      </c>
      <c r="I390" s="257"/>
      <c r="J390" s="209">
        <f t="shared" si="43"/>
        <v>0</v>
      </c>
      <c r="K390" s="248" t="str">
        <f t="array" ref="K390">IFERROR(I390*INDEX('PORTIFÓLIO'!$S$4:$S$433,MATCH($C390,'PORTIFÓLIO'!$C$4:$C$433,0)),"")</f>
        <v/>
      </c>
      <c r="L390" s="248" t="str">
        <f t="array" ref="L390">IFERROR(J390*INDEX('PORTIFÓLIO'!$S$4:$S$433,MATCH($C390,'PORTIFÓLIO'!$C$4:$C$433,0)),"")</f>
        <v/>
      </c>
      <c r="M390" s="177"/>
      <c r="N390" s="177"/>
      <c r="O390" s="177"/>
      <c r="P390" s="177"/>
      <c r="Q390" s="177"/>
      <c r="R390" s="177"/>
      <c r="S390" s="177"/>
      <c r="T390" s="177"/>
      <c r="U390" s="177"/>
      <c r="V390" s="177"/>
      <c r="W390" s="177"/>
    </row>
    <row r="391" ht="15.75" customHeight="1" outlineLevel="1">
      <c r="A391" s="190"/>
      <c r="B391" s="238"/>
      <c r="C391" s="190"/>
      <c r="D391" s="205" t="str">
        <f>IFERROR(VLOOKUP($C391,'PORTIFÓLIO'!C:V,2,0),"")</f>
        <v/>
      </c>
      <c r="E391" s="190" t="str">
        <f>IFERROR(VLOOKUP($C391,'PORTIFÓLIO'!C:V,3,0),"")</f>
        <v/>
      </c>
      <c r="F391" s="190" t="str">
        <f>IFERROR(VLOOKUP($C391,'PORTIFÓLIO'!C:V,4,0),"")</f>
        <v/>
      </c>
      <c r="G391" s="206" t="str">
        <f>IFERROR(VLOOKUP($C391,'PORTIFÓLIO'!C:V,5,0),"")</f>
        <v/>
      </c>
      <c r="H391" s="247" t="str">
        <f t="array" ref="H391">IFERROR(INDEX('PORTIFÓLIO'!$H$4:$H$433,MATCH($C391,'PORTIFÓLIO'!$C$4:$C$433,0)),"")</f>
        <v/>
      </c>
      <c r="I391" s="257"/>
      <c r="J391" s="209"/>
      <c r="K391" s="248" t="str">
        <f t="array" ref="K391">IFERROR(I391*INDEX('PORTIFÓLIO'!$S$4:$S$433,MATCH($C391,'PORTIFÓLIO'!$C$4:$C$433,0)),"")</f>
        <v/>
      </c>
      <c r="L391" s="248" t="str">
        <f t="array" ref="L391">IFERROR(J391*INDEX('PORTIFÓLIO'!$S$4:$S$433,MATCH($C391,'PORTIFÓLIO'!$C$4:$C$433,0)),"")</f>
        <v/>
      </c>
      <c r="M391" s="177"/>
      <c r="N391" s="177"/>
      <c r="O391" s="177"/>
      <c r="P391" s="177"/>
      <c r="Q391" s="177"/>
      <c r="R391" s="177"/>
      <c r="S391" s="177"/>
      <c r="T391" s="177"/>
      <c r="U391" s="177"/>
      <c r="V391" s="177"/>
      <c r="W391" s="177"/>
    </row>
    <row r="392" ht="15.75" customHeight="1">
      <c r="A392" s="221" t="s">
        <v>1193</v>
      </c>
      <c r="B392" s="197"/>
      <c r="C392" s="196"/>
      <c r="D392" s="198"/>
      <c r="E392" s="196"/>
      <c r="F392" s="196"/>
      <c r="G392" s="199"/>
      <c r="H392" s="199"/>
      <c r="I392" s="252"/>
      <c r="J392" s="202"/>
      <c r="K392" s="203">
        <f t="shared" ref="K392:L392" si="44">SUBTOTAL(9,K393:K406)</f>
        <v>0</v>
      </c>
      <c r="L392" s="203">
        <f t="shared" si="44"/>
        <v>0</v>
      </c>
      <c r="M392" s="177"/>
      <c r="N392" s="177"/>
      <c r="O392" s="177"/>
      <c r="P392" s="177"/>
      <c r="Q392" s="177"/>
      <c r="R392" s="177"/>
      <c r="S392" s="177"/>
      <c r="T392" s="177"/>
      <c r="U392" s="177"/>
      <c r="V392" s="177"/>
      <c r="W392" s="177"/>
    </row>
    <row r="393" ht="15.75" customHeight="1" outlineLevel="1">
      <c r="A393" s="191"/>
      <c r="B393" s="204"/>
      <c r="C393" s="191"/>
      <c r="D393" s="205" t="str">
        <f>IFERROR(VLOOKUP($C393,'PORTIFÓLIO'!C:V,2,0),"")</f>
        <v/>
      </c>
      <c r="E393" s="190" t="str">
        <f>IFERROR(VLOOKUP($C393,'PORTIFÓLIO'!C:V,3,0),"")</f>
        <v/>
      </c>
      <c r="F393" s="190" t="str">
        <f>IFERROR(VLOOKUP($C393,'PORTIFÓLIO'!C:V,4,0),"")</f>
        <v/>
      </c>
      <c r="G393" s="206" t="str">
        <f>IFERROR(VLOOKUP($C393,'PORTIFÓLIO'!C:V,5,0),"")</f>
        <v/>
      </c>
      <c r="H393" s="247" t="str">
        <f t="array" ref="H393">IFERROR(INDEX('PORTIFÓLIO'!$H$4:$H$433,MATCH($C393,'PORTIFÓLIO'!$C$4:$C$433,0)),"")</f>
        <v/>
      </c>
      <c r="I393" s="253"/>
      <c r="J393" s="209">
        <f t="shared" ref="J393:J408" si="45">I393*$B$2</f>
        <v>0</v>
      </c>
      <c r="K393" s="248" t="str">
        <f t="array" ref="K393">IFERROR(I393*INDEX('PORTIFÓLIO'!$S$4:$S$433,MATCH($C393,'PORTIFÓLIO'!$C$4:$C$433,0)),"")</f>
        <v/>
      </c>
      <c r="L393" s="248" t="str">
        <f t="array" ref="L393">IFERROR(J393*INDEX('PORTIFÓLIO'!$S$4:$S$433,MATCH($C393,'PORTIFÓLIO'!$C$4:$C$433,0)),"")</f>
        <v/>
      </c>
      <c r="M393" s="177"/>
      <c r="N393" s="177"/>
      <c r="O393" s="177"/>
      <c r="P393" s="177"/>
      <c r="Q393" s="177"/>
      <c r="R393" s="177"/>
      <c r="S393" s="177"/>
      <c r="T393" s="177"/>
      <c r="U393" s="177"/>
      <c r="V393" s="177"/>
      <c r="W393" s="177"/>
    </row>
    <row r="394" ht="15.75" customHeight="1" outlineLevel="1">
      <c r="A394" s="190"/>
      <c r="B394" s="204"/>
      <c r="C394" s="191"/>
      <c r="D394" s="205" t="str">
        <f>IFERROR(VLOOKUP($C394,'PORTIFÓLIO'!C:V,2,0),"")</f>
        <v/>
      </c>
      <c r="E394" s="190" t="str">
        <f>IFERROR(VLOOKUP($C394,'PORTIFÓLIO'!C:V,3,0),"")</f>
        <v/>
      </c>
      <c r="F394" s="190" t="str">
        <f>IFERROR(VLOOKUP($C394,'PORTIFÓLIO'!C:V,4,0),"")</f>
        <v/>
      </c>
      <c r="G394" s="206" t="str">
        <f>IFERROR(VLOOKUP($C394,'PORTIFÓLIO'!C:V,5,0),"")</f>
        <v/>
      </c>
      <c r="H394" s="247" t="str">
        <f t="array" ref="H394">IFERROR(INDEX('PORTIFÓLIO'!$H$4:$H$433,MATCH($C394,'PORTIFÓLIO'!$C$4:$C$433,0)),"")</f>
        <v/>
      </c>
      <c r="I394" s="257"/>
      <c r="J394" s="209">
        <f t="shared" si="45"/>
        <v>0</v>
      </c>
      <c r="K394" s="248" t="str">
        <f t="array" ref="K394">IFERROR(I394*INDEX('PORTIFÓLIO'!$S$4:$S$433,MATCH($C394,'PORTIFÓLIO'!$C$4:$C$433,0)),"")</f>
        <v/>
      </c>
      <c r="L394" s="248" t="str">
        <f t="array" ref="L394">IFERROR(J394*INDEX('PORTIFÓLIO'!$S$4:$S$433,MATCH($C394,'PORTIFÓLIO'!$C$4:$C$433,0)),"")</f>
        <v/>
      </c>
      <c r="M394" s="177"/>
      <c r="N394" s="177"/>
      <c r="O394" s="177"/>
      <c r="P394" s="177"/>
      <c r="Q394" s="177"/>
      <c r="R394" s="177"/>
      <c r="S394" s="177"/>
      <c r="T394" s="177"/>
      <c r="U394" s="177"/>
      <c r="V394" s="177"/>
      <c r="W394" s="177"/>
    </row>
    <row r="395" ht="15.75" customHeight="1" outlineLevel="1">
      <c r="A395" s="190"/>
      <c r="B395" s="204"/>
      <c r="C395" s="191"/>
      <c r="D395" s="205" t="str">
        <f>IFERROR(VLOOKUP($C395,'PORTIFÓLIO'!C:V,2,0),"")</f>
        <v/>
      </c>
      <c r="E395" s="190" t="str">
        <f>IFERROR(VLOOKUP($C395,'PORTIFÓLIO'!C:V,3,0),"")</f>
        <v/>
      </c>
      <c r="F395" s="190" t="str">
        <f>IFERROR(VLOOKUP($C395,'PORTIFÓLIO'!C:V,4,0),"")</f>
        <v/>
      </c>
      <c r="G395" s="206" t="str">
        <f>IFERROR(VLOOKUP($C395,'PORTIFÓLIO'!C:V,5,0),"")</f>
        <v/>
      </c>
      <c r="H395" s="247" t="str">
        <f t="array" ref="H395">IFERROR(INDEX('PORTIFÓLIO'!$H$4:$H$433,MATCH($C395,'PORTIFÓLIO'!$C$4:$C$433,0)),"")</f>
        <v/>
      </c>
      <c r="I395" s="257"/>
      <c r="J395" s="209">
        <f t="shared" si="45"/>
        <v>0</v>
      </c>
      <c r="K395" s="248" t="str">
        <f t="array" ref="K395">IFERROR(I395*INDEX('PORTIFÓLIO'!$S$4:$S$433,MATCH($C395,'PORTIFÓLIO'!$C$4:$C$433,0)),"")</f>
        <v/>
      </c>
      <c r="L395" s="248" t="str">
        <f t="array" ref="L395">IFERROR(J395*INDEX('PORTIFÓLIO'!$S$4:$S$433,MATCH($C395,'PORTIFÓLIO'!$C$4:$C$433,0)),"")</f>
        <v/>
      </c>
      <c r="M395" s="177"/>
      <c r="N395" s="177"/>
      <c r="O395" s="177"/>
      <c r="P395" s="177"/>
      <c r="Q395" s="177"/>
      <c r="R395" s="177"/>
      <c r="S395" s="177"/>
      <c r="T395" s="177"/>
      <c r="U395" s="177"/>
      <c r="V395" s="177"/>
      <c r="W395" s="177"/>
    </row>
    <row r="396" ht="15.75" customHeight="1" outlineLevel="1">
      <c r="A396" s="190"/>
      <c r="B396" s="204"/>
      <c r="C396" s="191"/>
      <c r="D396" s="205" t="str">
        <f>IFERROR(VLOOKUP($C396,'PORTIFÓLIO'!C:V,2,0),"")</f>
        <v/>
      </c>
      <c r="E396" s="190" t="str">
        <f>IFERROR(VLOOKUP($C396,'PORTIFÓLIO'!C:V,3,0),"")</f>
        <v/>
      </c>
      <c r="F396" s="190" t="str">
        <f>IFERROR(VLOOKUP($C396,'PORTIFÓLIO'!C:V,4,0),"")</f>
        <v/>
      </c>
      <c r="G396" s="206" t="str">
        <f>IFERROR(VLOOKUP($C396,'PORTIFÓLIO'!C:V,5,0),"")</f>
        <v/>
      </c>
      <c r="H396" s="247" t="str">
        <f t="array" ref="H396">IFERROR(INDEX('PORTIFÓLIO'!$H$4:$H$433,MATCH($C396,'PORTIFÓLIO'!$C$4:$C$433,0)),"")</f>
        <v/>
      </c>
      <c r="I396" s="257"/>
      <c r="J396" s="209">
        <f t="shared" si="45"/>
        <v>0</v>
      </c>
      <c r="K396" s="248" t="str">
        <f t="array" ref="K396">IFERROR(I396*INDEX('PORTIFÓLIO'!$S$4:$S$433,MATCH($C396,'PORTIFÓLIO'!$C$4:$C$433,0)),"")</f>
        <v/>
      </c>
      <c r="L396" s="248" t="str">
        <f t="array" ref="L396">IFERROR(J396*INDEX('PORTIFÓLIO'!$S$4:$S$433,MATCH($C396,'PORTIFÓLIO'!$C$4:$C$433,0)),"")</f>
        <v/>
      </c>
      <c r="M396" s="177"/>
      <c r="N396" s="177"/>
      <c r="O396" s="177"/>
      <c r="P396" s="177"/>
      <c r="Q396" s="177"/>
      <c r="R396" s="177"/>
      <c r="S396" s="177"/>
      <c r="T396" s="177"/>
      <c r="U396" s="177"/>
      <c r="V396" s="177"/>
      <c r="W396" s="177"/>
    </row>
    <row r="397" ht="15.75" customHeight="1" outlineLevel="1">
      <c r="A397" s="190"/>
      <c r="B397" s="204"/>
      <c r="C397" s="191"/>
      <c r="D397" s="205" t="str">
        <f>IFERROR(VLOOKUP($C397,'PORTIFÓLIO'!C:V,2,0),"")</f>
        <v/>
      </c>
      <c r="E397" s="190" t="str">
        <f>IFERROR(VLOOKUP($C397,'PORTIFÓLIO'!C:V,3,0),"")</f>
        <v/>
      </c>
      <c r="F397" s="190" t="str">
        <f>IFERROR(VLOOKUP($C397,'PORTIFÓLIO'!C:V,4,0),"")</f>
        <v/>
      </c>
      <c r="G397" s="206" t="str">
        <f>IFERROR(VLOOKUP($C397,'PORTIFÓLIO'!C:V,5,0),"")</f>
        <v/>
      </c>
      <c r="H397" s="247" t="str">
        <f t="array" ref="H397">IFERROR(INDEX('PORTIFÓLIO'!$H$4:$H$433,MATCH($C397,'PORTIFÓLIO'!$C$4:$C$433,0)),"")</f>
        <v/>
      </c>
      <c r="I397" s="257"/>
      <c r="J397" s="209">
        <f t="shared" si="45"/>
        <v>0</v>
      </c>
      <c r="K397" s="248" t="str">
        <f t="array" ref="K397">IFERROR(I397*INDEX('PORTIFÓLIO'!$S$4:$S$433,MATCH($C397,'PORTIFÓLIO'!$C$4:$C$433,0)),"")</f>
        <v/>
      </c>
      <c r="L397" s="248" t="str">
        <f t="array" ref="L397">IFERROR(J397*INDEX('PORTIFÓLIO'!$S$4:$S$433,MATCH($C397,'PORTIFÓLIO'!$C$4:$C$433,0)),"")</f>
        <v/>
      </c>
      <c r="M397" s="177"/>
      <c r="N397" s="177"/>
      <c r="O397" s="177"/>
      <c r="P397" s="177"/>
      <c r="Q397" s="177"/>
      <c r="R397" s="177"/>
      <c r="S397" s="177"/>
      <c r="T397" s="177"/>
      <c r="U397" s="177"/>
      <c r="V397" s="177"/>
      <c r="W397" s="177"/>
    </row>
    <row r="398" ht="15.75" customHeight="1" outlineLevel="1">
      <c r="A398" s="190"/>
      <c r="B398" s="204"/>
      <c r="C398" s="191"/>
      <c r="D398" s="205" t="str">
        <f>IFERROR(VLOOKUP($C398,'PORTIFÓLIO'!C:V,2,0),"")</f>
        <v/>
      </c>
      <c r="E398" s="190" t="str">
        <f>IFERROR(VLOOKUP($C398,'PORTIFÓLIO'!C:V,3,0),"")</f>
        <v/>
      </c>
      <c r="F398" s="190" t="str">
        <f>IFERROR(VLOOKUP($C398,'PORTIFÓLIO'!C:V,4,0),"")</f>
        <v/>
      </c>
      <c r="G398" s="206" t="str">
        <f>IFERROR(VLOOKUP($C398,'PORTIFÓLIO'!C:V,5,0),"")</f>
        <v/>
      </c>
      <c r="H398" s="247" t="str">
        <f t="array" ref="H398">IFERROR(INDEX('PORTIFÓLIO'!$H$4:$H$433,MATCH($C398,'PORTIFÓLIO'!$C$4:$C$433,0)),"")</f>
        <v/>
      </c>
      <c r="I398" s="257"/>
      <c r="J398" s="209">
        <f t="shared" si="45"/>
        <v>0</v>
      </c>
      <c r="K398" s="248" t="str">
        <f t="array" ref="K398">IFERROR(I398*INDEX('PORTIFÓLIO'!$S$4:$S$433,MATCH($C398,'PORTIFÓLIO'!$C$4:$C$433,0)),"")</f>
        <v/>
      </c>
      <c r="L398" s="248" t="str">
        <f t="array" ref="L398">IFERROR(J398*INDEX('PORTIFÓLIO'!$S$4:$S$433,MATCH($C398,'PORTIFÓLIO'!$C$4:$C$433,0)),"")</f>
        <v/>
      </c>
      <c r="M398" s="177"/>
      <c r="N398" s="177"/>
      <c r="O398" s="177"/>
      <c r="P398" s="177"/>
      <c r="Q398" s="177"/>
      <c r="R398" s="177"/>
      <c r="S398" s="177"/>
      <c r="T398" s="177"/>
      <c r="U398" s="177"/>
      <c r="V398" s="177"/>
      <c r="W398" s="177"/>
    </row>
    <row r="399" ht="15.75" customHeight="1" outlineLevel="1">
      <c r="A399" s="190"/>
      <c r="B399" s="204"/>
      <c r="C399" s="191"/>
      <c r="D399" s="205" t="str">
        <f>IFERROR(VLOOKUP($C399,'PORTIFÓLIO'!C:V,2,0),"")</f>
        <v/>
      </c>
      <c r="E399" s="190" t="str">
        <f>IFERROR(VLOOKUP($C399,'PORTIFÓLIO'!C:V,3,0),"")</f>
        <v/>
      </c>
      <c r="F399" s="190" t="str">
        <f>IFERROR(VLOOKUP($C399,'PORTIFÓLIO'!C:V,4,0),"")</f>
        <v/>
      </c>
      <c r="G399" s="206" t="str">
        <f>IFERROR(VLOOKUP($C399,'PORTIFÓLIO'!C:V,5,0),"")</f>
        <v/>
      </c>
      <c r="H399" s="247" t="str">
        <f t="array" ref="H399">IFERROR(INDEX('PORTIFÓLIO'!$H$4:$H$433,MATCH($C399,'PORTIFÓLIO'!$C$4:$C$433,0)),"")</f>
        <v/>
      </c>
      <c r="I399" s="257"/>
      <c r="J399" s="209">
        <f t="shared" si="45"/>
        <v>0</v>
      </c>
      <c r="K399" s="248" t="str">
        <f t="array" ref="K399">IFERROR(I399*INDEX('PORTIFÓLIO'!$S$4:$S$433,MATCH($C399,'PORTIFÓLIO'!$C$4:$C$433,0)),"")</f>
        <v/>
      </c>
      <c r="L399" s="248" t="str">
        <f t="array" ref="L399">IFERROR(J399*INDEX('PORTIFÓLIO'!$S$4:$S$433,MATCH($C399,'PORTIFÓLIO'!$C$4:$C$433,0)),"")</f>
        <v/>
      </c>
      <c r="M399" s="177"/>
      <c r="N399" s="177"/>
      <c r="O399" s="177"/>
      <c r="P399" s="177"/>
      <c r="Q399" s="177"/>
      <c r="R399" s="177"/>
      <c r="S399" s="177"/>
      <c r="T399" s="177"/>
      <c r="U399" s="177"/>
      <c r="V399" s="177"/>
      <c r="W399" s="177"/>
    </row>
    <row r="400" ht="15.75" customHeight="1" outlineLevel="1">
      <c r="A400" s="190"/>
      <c r="B400" s="204"/>
      <c r="C400" s="191"/>
      <c r="D400" s="205" t="str">
        <f>IFERROR(VLOOKUP($C400,'PORTIFÓLIO'!C:V,2,0),"")</f>
        <v/>
      </c>
      <c r="E400" s="190" t="str">
        <f>IFERROR(VLOOKUP($C400,'PORTIFÓLIO'!C:V,3,0),"")</f>
        <v/>
      </c>
      <c r="F400" s="190" t="str">
        <f>IFERROR(VLOOKUP($C400,'PORTIFÓLIO'!C:V,4,0),"")</f>
        <v/>
      </c>
      <c r="G400" s="206" t="str">
        <f>IFERROR(VLOOKUP($C400,'PORTIFÓLIO'!C:V,5,0),"")</f>
        <v/>
      </c>
      <c r="H400" s="247" t="str">
        <f t="array" ref="H400">IFERROR(INDEX('PORTIFÓLIO'!$H$4:$H$433,MATCH($C400,'PORTIFÓLIO'!$C$4:$C$433,0)),"")</f>
        <v/>
      </c>
      <c r="I400" s="257"/>
      <c r="J400" s="209">
        <f t="shared" si="45"/>
        <v>0</v>
      </c>
      <c r="K400" s="248" t="str">
        <f t="array" ref="K400">IFERROR(I400*INDEX('PORTIFÓLIO'!$S$4:$S$433,MATCH($C400,'PORTIFÓLIO'!$C$4:$C$433,0)),"")</f>
        <v/>
      </c>
      <c r="L400" s="248" t="str">
        <f t="array" ref="L400">IFERROR(J400*INDEX('PORTIFÓLIO'!$S$4:$S$433,MATCH($C400,'PORTIFÓLIO'!$C$4:$C$433,0)),"")</f>
        <v/>
      </c>
      <c r="M400" s="177"/>
      <c r="N400" s="177"/>
      <c r="O400" s="177"/>
      <c r="P400" s="177"/>
      <c r="Q400" s="177"/>
      <c r="R400" s="177"/>
      <c r="S400" s="177"/>
      <c r="T400" s="177"/>
      <c r="U400" s="177"/>
      <c r="V400" s="177"/>
      <c r="W400" s="177"/>
    </row>
    <row r="401" ht="15.75" customHeight="1" outlineLevel="1">
      <c r="A401" s="190"/>
      <c r="B401" s="204"/>
      <c r="C401" s="191"/>
      <c r="D401" s="205" t="str">
        <f>IFERROR(VLOOKUP($C401,'PORTIFÓLIO'!C:V,2,0),"")</f>
        <v/>
      </c>
      <c r="E401" s="190" t="str">
        <f>IFERROR(VLOOKUP($C401,'PORTIFÓLIO'!C:V,3,0),"")</f>
        <v/>
      </c>
      <c r="F401" s="190" t="str">
        <f>IFERROR(VLOOKUP($C401,'PORTIFÓLIO'!C:V,4,0),"")</f>
        <v/>
      </c>
      <c r="G401" s="206" t="str">
        <f>IFERROR(VLOOKUP($C401,'PORTIFÓLIO'!C:V,5,0),"")</f>
        <v/>
      </c>
      <c r="H401" s="247" t="str">
        <f t="array" ref="H401">IFERROR(INDEX('PORTIFÓLIO'!$H$4:$H$433,MATCH($C401,'PORTIFÓLIO'!$C$4:$C$433,0)),"")</f>
        <v/>
      </c>
      <c r="I401" s="253"/>
      <c r="J401" s="209">
        <f t="shared" si="45"/>
        <v>0</v>
      </c>
      <c r="K401" s="248" t="str">
        <f t="array" ref="K401">IFERROR(I401*INDEX('PORTIFÓLIO'!$S$4:$S$433,MATCH($C401,'PORTIFÓLIO'!$C$4:$C$433,0)),"")</f>
        <v/>
      </c>
      <c r="L401" s="248" t="str">
        <f t="array" ref="L401">IFERROR(J401*INDEX('PORTIFÓLIO'!$S$4:$S$433,MATCH($C401,'PORTIFÓLIO'!$C$4:$C$433,0)),"")</f>
        <v/>
      </c>
      <c r="M401" s="177"/>
      <c r="N401" s="177"/>
      <c r="O401" s="177"/>
      <c r="P401" s="177"/>
      <c r="Q401" s="177"/>
      <c r="R401" s="177"/>
      <c r="S401" s="177"/>
      <c r="T401" s="177"/>
      <c r="U401" s="177"/>
      <c r="V401" s="177"/>
      <c r="W401" s="177"/>
    </row>
    <row r="402" ht="15.75" customHeight="1" outlineLevel="1">
      <c r="A402" s="190"/>
      <c r="B402" s="204"/>
      <c r="C402" s="191"/>
      <c r="D402" s="205" t="str">
        <f>IFERROR(VLOOKUP($C402,'PORTIFÓLIO'!C:V,2,0),"")</f>
        <v/>
      </c>
      <c r="E402" s="190" t="str">
        <f>IFERROR(VLOOKUP($C402,'PORTIFÓLIO'!C:V,3,0),"")</f>
        <v/>
      </c>
      <c r="F402" s="190" t="str">
        <f>IFERROR(VLOOKUP($C402,'PORTIFÓLIO'!C:V,4,0),"")</f>
        <v/>
      </c>
      <c r="G402" s="206" t="str">
        <f>IFERROR(VLOOKUP($C402,'PORTIFÓLIO'!C:V,5,0),"")</f>
        <v/>
      </c>
      <c r="H402" s="247" t="str">
        <f t="array" ref="H402">IFERROR(INDEX('PORTIFÓLIO'!$H$4:$H$433,MATCH($C402,'PORTIFÓLIO'!$C$4:$C$433,0)),"")</f>
        <v/>
      </c>
      <c r="I402" s="257"/>
      <c r="J402" s="209">
        <f t="shared" si="45"/>
        <v>0</v>
      </c>
      <c r="K402" s="248" t="str">
        <f t="array" ref="K402">IFERROR(I402*INDEX('PORTIFÓLIO'!$S$4:$S$433,MATCH($C402,'PORTIFÓLIO'!$C$4:$C$433,0)),"")</f>
        <v/>
      </c>
      <c r="L402" s="248" t="str">
        <f t="array" ref="L402">IFERROR(J402*INDEX('PORTIFÓLIO'!$S$4:$S$433,MATCH($C402,'PORTIFÓLIO'!$C$4:$C$433,0)),"")</f>
        <v/>
      </c>
      <c r="M402" s="177"/>
      <c r="N402" s="177"/>
      <c r="O402" s="177"/>
      <c r="P402" s="177"/>
      <c r="Q402" s="177"/>
      <c r="R402" s="177"/>
      <c r="S402" s="177"/>
      <c r="T402" s="177"/>
      <c r="U402" s="177"/>
      <c r="V402" s="177"/>
      <c r="W402" s="177"/>
    </row>
    <row r="403" ht="15.75" customHeight="1" outlineLevel="1">
      <c r="A403" s="190"/>
      <c r="B403" s="204"/>
      <c r="C403" s="191"/>
      <c r="D403" s="205" t="str">
        <f>IFERROR(VLOOKUP($C403,'PORTIFÓLIO'!C:V,2,0),"")</f>
        <v/>
      </c>
      <c r="E403" s="190" t="str">
        <f>IFERROR(VLOOKUP($C403,'PORTIFÓLIO'!C:V,3,0),"")</f>
        <v/>
      </c>
      <c r="F403" s="190" t="str">
        <f>IFERROR(VLOOKUP($C403,'PORTIFÓLIO'!C:V,4,0),"")</f>
        <v/>
      </c>
      <c r="G403" s="206" t="str">
        <f>IFERROR(VLOOKUP($C403,'PORTIFÓLIO'!C:V,5,0),"")</f>
        <v/>
      </c>
      <c r="H403" s="247" t="str">
        <f t="array" ref="H403">IFERROR(INDEX('PORTIFÓLIO'!$H$4:$H$433,MATCH($C403,'PORTIFÓLIO'!$C$4:$C$433,0)),"")</f>
        <v/>
      </c>
      <c r="I403" s="257"/>
      <c r="J403" s="209">
        <f t="shared" si="45"/>
        <v>0</v>
      </c>
      <c r="K403" s="248" t="str">
        <f t="array" ref="K403">IFERROR(I403*INDEX('PORTIFÓLIO'!$S$4:$S$433,MATCH($C403,'PORTIFÓLIO'!$C$4:$C$433,0)),"")</f>
        <v/>
      </c>
      <c r="L403" s="248" t="str">
        <f t="array" ref="L403">IFERROR(J403*INDEX('PORTIFÓLIO'!$S$4:$S$433,MATCH($C403,'PORTIFÓLIO'!$C$4:$C$433,0)),"")</f>
        <v/>
      </c>
      <c r="M403" s="177"/>
      <c r="N403" s="177"/>
      <c r="O403" s="177"/>
      <c r="P403" s="177"/>
      <c r="Q403" s="177"/>
      <c r="R403" s="177"/>
      <c r="S403" s="177"/>
      <c r="T403" s="177"/>
      <c r="U403" s="177"/>
      <c r="V403" s="177"/>
      <c r="W403" s="177"/>
    </row>
    <row r="404" ht="15.75" customHeight="1" outlineLevel="1">
      <c r="A404" s="190"/>
      <c r="B404" s="204"/>
      <c r="C404" s="191"/>
      <c r="D404" s="205" t="str">
        <f>IFERROR(VLOOKUP($C404,'PORTIFÓLIO'!C:V,2,0),"")</f>
        <v/>
      </c>
      <c r="E404" s="190" t="str">
        <f>IFERROR(VLOOKUP($C404,'PORTIFÓLIO'!C:V,3,0),"")</f>
        <v/>
      </c>
      <c r="F404" s="190" t="str">
        <f>IFERROR(VLOOKUP($C404,'PORTIFÓLIO'!C:V,4,0),"")</f>
        <v/>
      </c>
      <c r="G404" s="206" t="str">
        <f>IFERROR(VLOOKUP($C404,'PORTIFÓLIO'!C:V,5,0),"")</f>
        <v/>
      </c>
      <c r="H404" s="247" t="str">
        <f t="array" ref="H404">IFERROR(INDEX('PORTIFÓLIO'!$H$4:$H$433,MATCH($C404,'PORTIFÓLIO'!$C$4:$C$433,0)),"")</f>
        <v/>
      </c>
      <c r="I404" s="257"/>
      <c r="J404" s="209">
        <f t="shared" si="45"/>
        <v>0</v>
      </c>
      <c r="K404" s="248" t="str">
        <f t="array" ref="K404">IFERROR(I404*INDEX('PORTIFÓLIO'!$S$4:$S$433,MATCH($C404,'PORTIFÓLIO'!$C$4:$C$433,0)),"")</f>
        <v/>
      </c>
      <c r="L404" s="248" t="str">
        <f t="array" ref="L404">IFERROR(J404*INDEX('PORTIFÓLIO'!$S$4:$S$433,MATCH($C404,'PORTIFÓLIO'!$C$4:$C$433,0)),"")</f>
        <v/>
      </c>
      <c r="M404" s="177"/>
      <c r="N404" s="177"/>
      <c r="O404" s="177"/>
      <c r="P404" s="177"/>
      <c r="Q404" s="177"/>
      <c r="R404" s="177"/>
      <c r="S404" s="177"/>
      <c r="T404" s="177"/>
      <c r="U404" s="177"/>
      <c r="V404" s="177"/>
      <c r="W404" s="177"/>
    </row>
    <row r="405" ht="15.75" customHeight="1" outlineLevel="1">
      <c r="A405" s="190"/>
      <c r="B405" s="204"/>
      <c r="C405" s="191"/>
      <c r="D405" s="205" t="str">
        <f>IFERROR(VLOOKUP($C405,'PORTIFÓLIO'!C:V,2,0),"")</f>
        <v/>
      </c>
      <c r="E405" s="190" t="str">
        <f>IFERROR(VLOOKUP($C405,'PORTIFÓLIO'!C:V,3,0),"")</f>
        <v/>
      </c>
      <c r="F405" s="190" t="str">
        <f>IFERROR(VLOOKUP($C405,'PORTIFÓLIO'!C:V,4,0),"")</f>
        <v/>
      </c>
      <c r="G405" s="206" t="str">
        <f>IFERROR(VLOOKUP($C405,'PORTIFÓLIO'!C:V,5,0),"")</f>
        <v/>
      </c>
      <c r="H405" s="247" t="str">
        <f t="array" ref="H405">IFERROR(INDEX('PORTIFÓLIO'!$H$4:$H$433,MATCH($C405,'PORTIFÓLIO'!$C$4:$C$433,0)),"")</f>
        <v/>
      </c>
      <c r="I405" s="257"/>
      <c r="J405" s="209">
        <f t="shared" si="45"/>
        <v>0</v>
      </c>
      <c r="K405" s="248" t="str">
        <f t="array" ref="K405">IFERROR(I405*INDEX('PORTIFÓLIO'!$S$4:$S$433,MATCH($C405,'PORTIFÓLIO'!$C$4:$C$433,0)),"")</f>
        <v/>
      </c>
      <c r="L405" s="248" t="str">
        <f t="array" ref="L405">IFERROR(J405*INDEX('PORTIFÓLIO'!$S$4:$S$433,MATCH($C405,'PORTIFÓLIO'!$C$4:$C$433,0)),"")</f>
        <v/>
      </c>
      <c r="M405" s="177"/>
      <c r="N405" s="177"/>
      <c r="O405" s="177"/>
      <c r="P405" s="177"/>
      <c r="Q405" s="177"/>
      <c r="R405" s="177"/>
      <c r="S405" s="177"/>
      <c r="T405" s="177"/>
      <c r="U405" s="177"/>
      <c r="V405" s="177"/>
      <c r="W405" s="177"/>
    </row>
    <row r="406" ht="15.75" customHeight="1" outlineLevel="1">
      <c r="A406" s="190"/>
      <c r="B406" s="204"/>
      <c r="C406" s="191"/>
      <c r="D406" s="205" t="str">
        <f>IFERROR(VLOOKUP($C406,'PORTIFÓLIO'!C:V,2,0),"")</f>
        <v/>
      </c>
      <c r="E406" s="190" t="str">
        <f>IFERROR(VLOOKUP($C406,'PORTIFÓLIO'!C:V,3,0),"")</f>
        <v/>
      </c>
      <c r="F406" s="190" t="str">
        <f>IFERROR(VLOOKUP($C406,'PORTIFÓLIO'!C:V,4,0),"")</f>
        <v/>
      </c>
      <c r="G406" s="206" t="str">
        <f>IFERROR(VLOOKUP($C406,'PORTIFÓLIO'!C:V,5,0),"")</f>
        <v/>
      </c>
      <c r="H406" s="247" t="str">
        <f t="array" ref="H406">IFERROR(INDEX('PORTIFÓLIO'!$H$4:$H$433,MATCH($C406,'PORTIFÓLIO'!$C$4:$C$433,0)),"")</f>
        <v/>
      </c>
      <c r="I406" s="257"/>
      <c r="J406" s="209">
        <f t="shared" si="45"/>
        <v>0</v>
      </c>
      <c r="K406" s="248" t="str">
        <f t="array" ref="K406">IFERROR(I406*INDEX('PORTIFÓLIO'!$S$4:$S$433,MATCH($C406,'PORTIFÓLIO'!$C$4:$C$433,0)),"")</f>
        <v/>
      </c>
      <c r="L406" s="248" t="str">
        <f t="array" ref="L406">IFERROR(J406*INDEX('PORTIFÓLIO'!$S$4:$S$433,MATCH($C406,'PORTIFÓLIO'!$C$4:$C$433,0)),"")</f>
        <v/>
      </c>
      <c r="M406" s="177"/>
      <c r="N406" s="177"/>
      <c r="O406" s="177"/>
      <c r="P406" s="177"/>
      <c r="Q406" s="177"/>
      <c r="R406" s="177"/>
      <c r="S406" s="177"/>
      <c r="T406" s="177"/>
      <c r="U406" s="177"/>
      <c r="V406" s="177"/>
      <c r="W406" s="177"/>
    </row>
    <row r="407" ht="15.75" customHeight="1" outlineLevel="1">
      <c r="A407" s="190"/>
      <c r="B407" s="204"/>
      <c r="C407" s="191"/>
      <c r="D407" s="205" t="str">
        <f>IFERROR(VLOOKUP($C407,'PORTIFÓLIO'!C:V,2,0),"")</f>
        <v/>
      </c>
      <c r="E407" s="190" t="str">
        <f>IFERROR(VLOOKUP($C407,'PORTIFÓLIO'!C:V,3,0),"")</f>
        <v/>
      </c>
      <c r="F407" s="190" t="str">
        <f>IFERROR(VLOOKUP($C407,'PORTIFÓLIO'!C:V,4,0),"")</f>
        <v/>
      </c>
      <c r="G407" s="206" t="str">
        <f>IFERROR(VLOOKUP($C407,'PORTIFÓLIO'!C:V,5,0),"")</f>
        <v/>
      </c>
      <c r="H407" s="247" t="str">
        <f t="array" ref="H407">IFERROR(INDEX('PORTIFÓLIO'!$H$4:$H$433,MATCH($C407,'PORTIFÓLIO'!$C$4:$C$433,0)),"")</f>
        <v/>
      </c>
      <c r="I407" s="257"/>
      <c r="J407" s="209">
        <f t="shared" si="45"/>
        <v>0</v>
      </c>
      <c r="K407" s="248" t="str">
        <f t="array" ref="K407">IFERROR(I407*INDEX('PORTIFÓLIO'!$S$4:$S$433,MATCH($C407,'PORTIFÓLIO'!$C$4:$C$433,0)),"")</f>
        <v/>
      </c>
      <c r="L407" s="248" t="str">
        <f t="array" ref="L407">IFERROR(J407*INDEX('PORTIFÓLIO'!$S$4:$S$433,MATCH($C407,'PORTIFÓLIO'!$C$4:$C$433,0)),"")</f>
        <v/>
      </c>
      <c r="M407" s="177"/>
      <c r="N407" s="177"/>
      <c r="O407" s="177"/>
      <c r="P407" s="177"/>
      <c r="Q407" s="177"/>
      <c r="R407" s="177"/>
      <c r="S407" s="177"/>
      <c r="T407" s="177"/>
      <c r="U407" s="177"/>
      <c r="V407" s="177"/>
      <c r="W407" s="177"/>
    </row>
    <row r="408" ht="15.75" customHeight="1" outlineLevel="1">
      <c r="A408" s="190"/>
      <c r="B408" s="238"/>
      <c r="C408" s="190"/>
      <c r="D408" s="205" t="str">
        <f>IFERROR(VLOOKUP($C408,'PORTIFÓLIO'!C:V,2,0),"")</f>
        <v/>
      </c>
      <c r="E408" s="190" t="str">
        <f>IFERROR(VLOOKUP($C408,'PORTIFÓLIO'!C:V,3,0),"")</f>
        <v/>
      </c>
      <c r="F408" s="190" t="str">
        <f>IFERROR(VLOOKUP($C408,'PORTIFÓLIO'!C:V,4,0),"")</f>
        <v/>
      </c>
      <c r="G408" s="206" t="str">
        <f>IFERROR(VLOOKUP($C408,'PORTIFÓLIO'!C:V,5,0),"")</f>
        <v/>
      </c>
      <c r="H408" s="247" t="str">
        <f t="array" ref="H408">IFERROR(INDEX('PORTIFÓLIO'!$H$4:$H$433,MATCH($C408,'PORTIFÓLIO'!$C$4:$C$433,0)),"")</f>
        <v/>
      </c>
      <c r="I408" s="257"/>
      <c r="J408" s="209">
        <f t="shared" si="45"/>
        <v>0</v>
      </c>
      <c r="K408" s="248" t="str">
        <f t="array" ref="K408">IFERROR(I408*INDEX('PORTIFÓLIO'!$S$4:$S$433,MATCH($C408,'PORTIFÓLIO'!$C$4:$C$433,0)),"")</f>
        <v/>
      </c>
      <c r="L408" s="248" t="str">
        <f t="array" ref="L408">IFERROR(J408*INDEX('PORTIFÓLIO'!$S$4:$S$433,MATCH($C408,'PORTIFÓLIO'!$C$4:$C$433,0)),"")</f>
        <v/>
      </c>
      <c r="M408" s="177"/>
      <c r="N408" s="177"/>
      <c r="O408" s="177"/>
      <c r="P408" s="177"/>
      <c r="Q408" s="177"/>
      <c r="R408" s="177"/>
      <c r="S408" s="177"/>
      <c r="T408" s="177"/>
      <c r="U408" s="177"/>
      <c r="V408" s="177"/>
      <c r="W408" s="177"/>
    </row>
    <row r="409" ht="15.75" customHeight="1">
      <c r="A409" s="221" t="s">
        <v>1194</v>
      </c>
      <c r="B409" s="197"/>
      <c r="C409" s="196"/>
      <c r="D409" s="198"/>
      <c r="E409" s="196"/>
      <c r="F409" s="196"/>
      <c r="G409" s="199"/>
      <c r="H409" s="199"/>
      <c r="I409" s="252"/>
      <c r="J409" s="202"/>
      <c r="K409" s="203">
        <f t="shared" ref="K409:L409" si="46">SUBTOTAL(9,K410:K423)</f>
        <v>0</v>
      </c>
      <c r="L409" s="203">
        <f t="shared" si="46"/>
        <v>0</v>
      </c>
      <c r="M409" s="177"/>
      <c r="N409" s="177"/>
      <c r="O409" s="177"/>
      <c r="P409" s="177"/>
      <c r="Q409" s="177"/>
      <c r="R409" s="177"/>
      <c r="S409" s="177"/>
      <c r="T409" s="177"/>
      <c r="U409" s="177"/>
      <c r="V409" s="177"/>
      <c r="W409" s="177"/>
    </row>
    <row r="410" ht="15.75" customHeight="1" outlineLevel="1">
      <c r="A410" s="191"/>
      <c r="B410" s="204"/>
      <c r="C410" s="191"/>
      <c r="D410" s="205" t="str">
        <f>IFERROR(VLOOKUP($C410,'PORTIFÓLIO'!C:V,2,0),"")</f>
        <v/>
      </c>
      <c r="E410" s="190" t="str">
        <f>IFERROR(VLOOKUP($C410,'PORTIFÓLIO'!C:V,3,0),"")</f>
        <v/>
      </c>
      <c r="F410" s="190" t="str">
        <f>IFERROR(VLOOKUP($C410,'PORTIFÓLIO'!C:V,4,0),"")</f>
        <v/>
      </c>
      <c r="G410" s="206" t="str">
        <f>IFERROR(VLOOKUP($C410,'PORTIFÓLIO'!C:V,5,0),"")</f>
        <v/>
      </c>
      <c r="H410" s="247" t="str">
        <f t="array" ref="H410">IFERROR(INDEX('PORTIFÓLIO'!$H$4:$H$433,MATCH($C410,'PORTIFÓLIO'!$C$4:$C$433,0)),"")</f>
        <v/>
      </c>
      <c r="I410" s="253"/>
      <c r="J410" s="209">
        <f t="shared" ref="J410:J426" si="47">I410*$B$2</f>
        <v>0</v>
      </c>
      <c r="K410" s="248" t="str">
        <f t="array" ref="K410">IFERROR(I410*INDEX('PORTIFÓLIO'!$S$4:$S$433,MATCH($C410,'PORTIFÓLIO'!$C$4:$C$433,0)),"")</f>
        <v/>
      </c>
      <c r="L410" s="248" t="str">
        <f t="array" ref="L410">IFERROR(J410*INDEX('PORTIFÓLIO'!$S$4:$S$433,MATCH($C410,'PORTIFÓLIO'!$C$4:$C$433,0)),"")</f>
        <v/>
      </c>
      <c r="M410" s="177"/>
      <c r="N410" s="177"/>
      <c r="O410" s="177"/>
      <c r="P410" s="177"/>
      <c r="Q410" s="177"/>
      <c r="R410" s="177"/>
      <c r="S410" s="177"/>
      <c r="T410" s="177"/>
      <c r="U410" s="177"/>
      <c r="V410" s="177"/>
      <c r="W410" s="177"/>
    </row>
    <row r="411" ht="15.75" customHeight="1" outlineLevel="1">
      <c r="A411" s="190"/>
      <c r="B411" s="204"/>
      <c r="C411" s="191"/>
      <c r="D411" s="205" t="str">
        <f>IFERROR(VLOOKUP($C411,'PORTIFÓLIO'!C:V,2,0),"")</f>
        <v/>
      </c>
      <c r="E411" s="190" t="str">
        <f>IFERROR(VLOOKUP($C411,'PORTIFÓLIO'!C:V,3,0),"")</f>
        <v/>
      </c>
      <c r="F411" s="190" t="str">
        <f>IFERROR(VLOOKUP($C411,'PORTIFÓLIO'!C:V,4,0),"")</f>
        <v/>
      </c>
      <c r="G411" s="206" t="str">
        <f>IFERROR(VLOOKUP($C411,'PORTIFÓLIO'!C:V,5,0),"")</f>
        <v/>
      </c>
      <c r="H411" s="247" t="str">
        <f t="array" ref="H411">IFERROR(INDEX('PORTIFÓLIO'!$H$4:$H$433,MATCH($C411,'PORTIFÓLIO'!$C$4:$C$433,0)),"")</f>
        <v/>
      </c>
      <c r="I411" s="257"/>
      <c r="J411" s="209">
        <f t="shared" si="47"/>
        <v>0</v>
      </c>
      <c r="K411" s="248" t="str">
        <f t="array" ref="K411">IFERROR(I411*INDEX('PORTIFÓLIO'!$S$4:$S$433,MATCH($C411,'PORTIFÓLIO'!$C$4:$C$433,0)),"")</f>
        <v/>
      </c>
      <c r="L411" s="248" t="str">
        <f t="array" ref="L411">IFERROR(J411*INDEX('PORTIFÓLIO'!$S$4:$S$433,MATCH($C411,'PORTIFÓLIO'!$C$4:$C$433,0)),"")</f>
        <v/>
      </c>
      <c r="M411" s="177"/>
      <c r="N411" s="177"/>
      <c r="O411" s="177"/>
      <c r="P411" s="177"/>
      <c r="Q411" s="177"/>
      <c r="R411" s="177"/>
      <c r="S411" s="177"/>
      <c r="T411" s="177"/>
      <c r="U411" s="177"/>
      <c r="V411" s="177"/>
      <c r="W411" s="177"/>
    </row>
    <row r="412" ht="15.75" customHeight="1" outlineLevel="1">
      <c r="A412" s="190"/>
      <c r="B412" s="204"/>
      <c r="C412" s="191"/>
      <c r="D412" s="205" t="str">
        <f>IFERROR(VLOOKUP($C412,'PORTIFÓLIO'!C:V,2,0),"")</f>
        <v/>
      </c>
      <c r="E412" s="190" t="str">
        <f>IFERROR(VLOOKUP($C412,'PORTIFÓLIO'!C:V,3,0),"")</f>
        <v/>
      </c>
      <c r="F412" s="190" t="str">
        <f>IFERROR(VLOOKUP($C412,'PORTIFÓLIO'!C:V,4,0),"")</f>
        <v/>
      </c>
      <c r="G412" s="206" t="str">
        <f>IFERROR(VLOOKUP($C412,'PORTIFÓLIO'!C:V,5,0),"")</f>
        <v/>
      </c>
      <c r="H412" s="247" t="str">
        <f t="array" ref="H412">IFERROR(INDEX('PORTIFÓLIO'!$H$4:$H$433,MATCH($C412,'PORTIFÓLIO'!$C$4:$C$433,0)),"")</f>
        <v/>
      </c>
      <c r="I412" s="257"/>
      <c r="J412" s="209">
        <f t="shared" si="47"/>
        <v>0</v>
      </c>
      <c r="K412" s="248" t="str">
        <f t="array" ref="K412">IFERROR(I412*INDEX('PORTIFÓLIO'!$S$4:$S$433,MATCH($C412,'PORTIFÓLIO'!$C$4:$C$433,0)),"")</f>
        <v/>
      </c>
      <c r="L412" s="248" t="str">
        <f t="array" ref="L412">IFERROR(J412*INDEX('PORTIFÓLIO'!$S$4:$S$433,MATCH($C412,'PORTIFÓLIO'!$C$4:$C$433,0)),"")</f>
        <v/>
      </c>
      <c r="M412" s="177"/>
      <c r="N412" s="177"/>
      <c r="O412" s="177"/>
      <c r="P412" s="177"/>
      <c r="Q412" s="177"/>
      <c r="R412" s="177"/>
      <c r="S412" s="177"/>
      <c r="T412" s="177"/>
      <c r="U412" s="177"/>
      <c r="V412" s="177"/>
      <c r="W412" s="177"/>
    </row>
    <row r="413" ht="15.75" customHeight="1" outlineLevel="1">
      <c r="A413" s="190"/>
      <c r="B413" s="204"/>
      <c r="C413" s="191"/>
      <c r="D413" s="205" t="str">
        <f>IFERROR(VLOOKUP($C413,'PORTIFÓLIO'!C:V,2,0),"")</f>
        <v/>
      </c>
      <c r="E413" s="190" t="str">
        <f>IFERROR(VLOOKUP($C413,'PORTIFÓLIO'!C:V,3,0),"")</f>
        <v/>
      </c>
      <c r="F413" s="190" t="str">
        <f>IFERROR(VLOOKUP($C413,'PORTIFÓLIO'!C:V,4,0),"")</f>
        <v/>
      </c>
      <c r="G413" s="206" t="str">
        <f>IFERROR(VLOOKUP($C413,'PORTIFÓLIO'!C:V,5,0),"")</f>
        <v/>
      </c>
      <c r="H413" s="247" t="str">
        <f t="array" ref="H413">IFERROR(INDEX('PORTIFÓLIO'!$H$4:$H$433,MATCH($C413,'PORTIFÓLIO'!$C$4:$C$433,0)),"")</f>
        <v/>
      </c>
      <c r="I413" s="257"/>
      <c r="J413" s="209">
        <f t="shared" si="47"/>
        <v>0</v>
      </c>
      <c r="K413" s="248" t="str">
        <f t="array" ref="K413">IFERROR(I413*INDEX('PORTIFÓLIO'!$S$4:$S$433,MATCH($C413,'PORTIFÓLIO'!$C$4:$C$433,0)),"")</f>
        <v/>
      </c>
      <c r="L413" s="248" t="str">
        <f t="array" ref="L413">IFERROR(J413*INDEX('PORTIFÓLIO'!$S$4:$S$433,MATCH($C413,'PORTIFÓLIO'!$C$4:$C$433,0)),"")</f>
        <v/>
      </c>
      <c r="M413" s="177"/>
      <c r="N413" s="177"/>
      <c r="O413" s="177"/>
      <c r="P413" s="177"/>
      <c r="Q413" s="177"/>
      <c r="R413" s="177"/>
      <c r="S413" s="177"/>
      <c r="T413" s="177"/>
      <c r="U413" s="177"/>
      <c r="V413" s="177"/>
      <c r="W413" s="177"/>
    </row>
    <row r="414" ht="15.75" customHeight="1" outlineLevel="1">
      <c r="A414" s="190"/>
      <c r="B414" s="204"/>
      <c r="C414" s="191"/>
      <c r="D414" s="205" t="str">
        <f>IFERROR(VLOOKUP($C414,'PORTIFÓLIO'!C:V,2,0),"")</f>
        <v/>
      </c>
      <c r="E414" s="190" t="str">
        <f>IFERROR(VLOOKUP($C414,'PORTIFÓLIO'!C:V,3,0),"")</f>
        <v/>
      </c>
      <c r="F414" s="190" t="str">
        <f>IFERROR(VLOOKUP($C414,'PORTIFÓLIO'!C:V,4,0),"")</f>
        <v/>
      </c>
      <c r="G414" s="206" t="str">
        <f>IFERROR(VLOOKUP($C414,'PORTIFÓLIO'!C:V,5,0),"")</f>
        <v/>
      </c>
      <c r="H414" s="247" t="str">
        <f t="array" ref="H414">IFERROR(INDEX('PORTIFÓLIO'!$H$4:$H$433,MATCH($C414,'PORTIFÓLIO'!$C$4:$C$433,0)),"")</f>
        <v/>
      </c>
      <c r="I414" s="257"/>
      <c r="J414" s="209">
        <f t="shared" si="47"/>
        <v>0</v>
      </c>
      <c r="K414" s="248" t="str">
        <f t="array" ref="K414">IFERROR(I414*INDEX('PORTIFÓLIO'!$S$4:$S$433,MATCH($C414,'PORTIFÓLIO'!$C$4:$C$433,0)),"")</f>
        <v/>
      </c>
      <c r="L414" s="248" t="str">
        <f t="array" ref="L414">IFERROR(J414*INDEX('PORTIFÓLIO'!$S$4:$S$433,MATCH($C414,'PORTIFÓLIO'!$C$4:$C$433,0)),"")</f>
        <v/>
      </c>
      <c r="M414" s="177"/>
      <c r="N414" s="177"/>
      <c r="O414" s="177"/>
      <c r="P414" s="177"/>
      <c r="Q414" s="177"/>
      <c r="R414" s="177"/>
      <c r="S414" s="177"/>
      <c r="T414" s="177"/>
      <c r="U414" s="177"/>
      <c r="V414" s="177"/>
      <c r="W414" s="177"/>
    </row>
    <row r="415" ht="15.75" customHeight="1" outlineLevel="1">
      <c r="A415" s="190"/>
      <c r="B415" s="204"/>
      <c r="C415" s="191"/>
      <c r="D415" s="205" t="str">
        <f>IFERROR(VLOOKUP($C415,'PORTIFÓLIO'!C:V,2,0),"")</f>
        <v/>
      </c>
      <c r="E415" s="190" t="str">
        <f>IFERROR(VLOOKUP($C415,'PORTIFÓLIO'!C:V,3,0),"")</f>
        <v/>
      </c>
      <c r="F415" s="190" t="str">
        <f>IFERROR(VLOOKUP($C415,'PORTIFÓLIO'!C:V,4,0),"")</f>
        <v/>
      </c>
      <c r="G415" s="206" t="str">
        <f>IFERROR(VLOOKUP($C415,'PORTIFÓLIO'!C:V,5,0),"")</f>
        <v/>
      </c>
      <c r="H415" s="247" t="str">
        <f t="array" ref="H415">IFERROR(INDEX('PORTIFÓLIO'!$H$4:$H$433,MATCH($C415,'PORTIFÓLIO'!$C$4:$C$433,0)),"")</f>
        <v/>
      </c>
      <c r="I415" s="257"/>
      <c r="J415" s="209">
        <f t="shared" si="47"/>
        <v>0</v>
      </c>
      <c r="K415" s="248" t="str">
        <f t="array" ref="K415">IFERROR(I415*INDEX('PORTIFÓLIO'!$S$4:$S$433,MATCH($C415,'PORTIFÓLIO'!$C$4:$C$433,0)),"")</f>
        <v/>
      </c>
      <c r="L415" s="248" t="str">
        <f t="array" ref="L415">IFERROR(J415*INDEX('PORTIFÓLIO'!$S$4:$S$433,MATCH($C415,'PORTIFÓLIO'!$C$4:$C$433,0)),"")</f>
        <v/>
      </c>
      <c r="M415" s="177"/>
      <c r="N415" s="177"/>
      <c r="O415" s="177"/>
      <c r="P415" s="177"/>
      <c r="Q415" s="177"/>
      <c r="R415" s="177"/>
      <c r="S415" s="177"/>
      <c r="T415" s="177"/>
      <c r="U415" s="177"/>
      <c r="V415" s="177"/>
      <c r="W415" s="177"/>
    </row>
    <row r="416" ht="15.75" customHeight="1" outlineLevel="1">
      <c r="A416" s="190"/>
      <c r="B416" s="204"/>
      <c r="C416" s="191"/>
      <c r="D416" s="205" t="str">
        <f>IFERROR(VLOOKUP($C416,'PORTIFÓLIO'!C:V,2,0),"")</f>
        <v/>
      </c>
      <c r="E416" s="190" t="str">
        <f>IFERROR(VLOOKUP($C416,'PORTIFÓLIO'!C:V,3,0),"")</f>
        <v/>
      </c>
      <c r="F416" s="190" t="str">
        <f>IFERROR(VLOOKUP($C416,'PORTIFÓLIO'!C:V,4,0),"")</f>
        <v/>
      </c>
      <c r="G416" s="206" t="str">
        <f>IFERROR(VLOOKUP($C416,'PORTIFÓLIO'!C:V,5,0),"")</f>
        <v/>
      </c>
      <c r="H416" s="247" t="str">
        <f t="array" ref="H416">IFERROR(INDEX('PORTIFÓLIO'!$H$4:$H$433,MATCH($C416,'PORTIFÓLIO'!$C$4:$C$433,0)),"")</f>
        <v/>
      </c>
      <c r="I416" s="257"/>
      <c r="J416" s="209">
        <f t="shared" si="47"/>
        <v>0</v>
      </c>
      <c r="K416" s="248" t="str">
        <f t="array" ref="K416">IFERROR(I416*INDEX('PORTIFÓLIO'!$S$4:$S$433,MATCH($C416,'PORTIFÓLIO'!$C$4:$C$433,0)),"")</f>
        <v/>
      </c>
      <c r="L416" s="248" t="str">
        <f t="array" ref="L416">IFERROR(J416*INDEX('PORTIFÓLIO'!$S$4:$S$433,MATCH($C416,'PORTIFÓLIO'!$C$4:$C$433,0)),"")</f>
        <v/>
      </c>
      <c r="M416" s="177"/>
      <c r="N416" s="177"/>
      <c r="O416" s="177"/>
      <c r="P416" s="177"/>
      <c r="Q416" s="177"/>
      <c r="R416" s="177"/>
      <c r="S416" s="177"/>
      <c r="T416" s="177"/>
      <c r="U416" s="177"/>
      <c r="V416" s="177"/>
      <c r="W416" s="177"/>
    </row>
    <row r="417" ht="15.75" customHeight="1" outlineLevel="1">
      <c r="A417" s="190"/>
      <c r="B417" s="204"/>
      <c r="C417" s="191"/>
      <c r="D417" s="205" t="str">
        <f>IFERROR(VLOOKUP($C417,'PORTIFÓLIO'!C:V,2,0),"")</f>
        <v/>
      </c>
      <c r="E417" s="190" t="str">
        <f>IFERROR(VLOOKUP($C417,'PORTIFÓLIO'!C:V,3,0),"")</f>
        <v/>
      </c>
      <c r="F417" s="190" t="str">
        <f>IFERROR(VLOOKUP($C417,'PORTIFÓLIO'!C:V,4,0),"")</f>
        <v/>
      </c>
      <c r="G417" s="206" t="str">
        <f>IFERROR(VLOOKUP($C417,'PORTIFÓLIO'!C:V,5,0),"")</f>
        <v/>
      </c>
      <c r="H417" s="247" t="str">
        <f t="array" ref="H417">IFERROR(INDEX('PORTIFÓLIO'!$H$4:$H$433,MATCH($C417,'PORTIFÓLIO'!$C$4:$C$433,0)),"")</f>
        <v/>
      </c>
      <c r="I417" s="257"/>
      <c r="J417" s="209">
        <f t="shared" si="47"/>
        <v>0</v>
      </c>
      <c r="K417" s="248" t="str">
        <f t="array" ref="K417">IFERROR(I417*INDEX('PORTIFÓLIO'!$S$4:$S$433,MATCH($C417,'PORTIFÓLIO'!$C$4:$C$433,0)),"")</f>
        <v/>
      </c>
      <c r="L417" s="248" t="str">
        <f t="array" ref="L417">IFERROR(J417*INDEX('PORTIFÓLIO'!$S$4:$S$433,MATCH($C417,'PORTIFÓLIO'!$C$4:$C$433,0)),"")</f>
        <v/>
      </c>
      <c r="M417" s="177"/>
      <c r="N417" s="177"/>
      <c r="O417" s="177"/>
      <c r="P417" s="177"/>
      <c r="Q417" s="177"/>
      <c r="R417" s="177"/>
      <c r="S417" s="177"/>
      <c r="T417" s="177"/>
      <c r="U417" s="177"/>
      <c r="V417" s="177"/>
      <c r="W417" s="177"/>
    </row>
    <row r="418" ht="15.75" customHeight="1" outlineLevel="1">
      <c r="A418" s="190"/>
      <c r="B418" s="204"/>
      <c r="C418" s="191"/>
      <c r="D418" s="205" t="str">
        <f>IFERROR(VLOOKUP($C418,'PORTIFÓLIO'!C:V,2,0),"")</f>
        <v/>
      </c>
      <c r="E418" s="190" t="str">
        <f>IFERROR(VLOOKUP($C418,'PORTIFÓLIO'!C:V,3,0),"")</f>
        <v/>
      </c>
      <c r="F418" s="190" t="str">
        <f>IFERROR(VLOOKUP($C418,'PORTIFÓLIO'!C:V,4,0),"")</f>
        <v/>
      </c>
      <c r="G418" s="206" t="str">
        <f>IFERROR(VLOOKUP($C418,'PORTIFÓLIO'!C:V,5,0),"")</f>
        <v/>
      </c>
      <c r="H418" s="247" t="str">
        <f t="array" ref="H418">IFERROR(INDEX('PORTIFÓLIO'!$H$4:$H$433,MATCH($C418,'PORTIFÓLIO'!$C$4:$C$433,0)),"")</f>
        <v/>
      </c>
      <c r="I418" s="253"/>
      <c r="J418" s="209">
        <f t="shared" si="47"/>
        <v>0</v>
      </c>
      <c r="K418" s="248" t="str">
        <f t="array" ref="K418">IFERROR(I418*INDEX('PORTIFÓLIO'!$S$4:$S$433,MATCH($C418,'PORTIFÓLIO'!$C$4:$C$433,0)),"")</f>
        <v/>
      </c>
      <c r="L418" s="248" t="str">
        <f t="array" ref="L418">IFERROR(J418*INDEX('PORTIFÓLIO'!$S$4:$S$433,MATCH($C418,'PORTIFÓLIO'!$C$4:$C$433,0)),"")</f>
        <v/>
      </c>
      <c r="M418" s="177"/>
      <c r="N418" s="177"/>
      <c r="O418" s="177"/>
      <c r="P418" s="177"/>
      <c r="Q418" s="177"/>
      <c r="R418" s="177"/>
      <c r="S418" s="177"/>
      <c r="T418" s="177"/>
      <c r="U418" s="177"/>
      <c r="V418" s="177"/>
      <c r="W418" s="177"/>
    </row>
    <row r="419" ht="15.75" customHeight="1" outlineLevel="1">
      <c r="A419" s="190"/>
      <c r="B419" s="204"/>
      <c r="C419" s="191"/>
      <c r="D419" s="205" t="str">
        <f>IFERROR(VLOOKUP($C419,'PORTIFÓLIO'!C:V,2,0),"")</f>
        <v/>
      </c>
      <c r="E419" s="190" t="str">
        <f>IFERROR(VLOOKUP($C419,'PORTIFÓLIO'!C:V,3,0),"")</f>
        <v/>
      </c>
      <c r="F419" s="190" t="str">
        <f>IFERROR(VLOOKUP($C419,'PORTIFÓLIO'!C:V,4,0),"")</f>
        <v/>
      </c>
      <c r="G419" s="206" t="str">
        <f>IFERROR(VLOOKUP($C419,'PORTIFÓLIO'!C:V,5,0),"")</f>
        <v/>
      </c>
      <c r="H419" s="247" t="str">
        <f t="array" ref="H419">IFERROR(INDEX('PORTIFÓLIO'!$H$4:$H$433,MATCH($C419,'PORTIFÓLIO'!$C$4:$C$433,0)),"")</f>
        <v/>
      </c>
      <c r="I419" s="257"/>
      <c r="J419" s="209">
        <f t="shared" si="47"/>
        <v>0</v>
      </c>
      <c r="K419" s="248" t="str">
        <f t="array" ref="K419">IFERROR(I419*INDEX('PORTIFÓLIO'!$S$4:$S$433,MATCH($C419,'PORTIFÓLIO'!$C$4:$C$433,0)),"")</f>
        <v/>
      </c>
      <c r="L419" s="248" t="str">
        <f t="array" ref="L419">IFERROR(J419*INDEX('PORTIFÓLIO'!$S$4:$S$433,MATCH($C419,'PORTIFÓLIO'!$C$4:$C$433,0)),"")</f>
        <v/>
      </c>
      <c r="M419" s="177"/>
      <c r="N419" s="177"/>
      <c r="O419" s="177"/>
      <c r="P419" s="177"/>
      <c r="Q419" s="177"/>
      <c r="R419" s="177"/>
      <c r="S419" s="177"/>
      <c r="T419" s="177"/>
      <c r="U419" s="177"/>
      <c r="V419" s="177"/>
      <c r="W419" s="177"/>
    </row>
    <row r="420" ht="15.75" customHeight="1" outlineLevel="1">
      <c r="A420" s="190"/>
      <c r="B420" s="204"/>
      <c r="C420" s="191"/>
      <c r="D420" s="205" t="str">
        <f>IFERROR(VLOOKUP($C420,'PORTIFÓLIO'!C:V,2,0),"")</f>
        <v/>
      </c>
      <c r="E420" s="190" t="str">
        <f>IFERROR(VLOOKUP($C420,'PORTIFÓLIO'!C:V,3,0),"")</f>
        <v/>
      </c>
      <c r="F420" s="190" t="str">
        <f>IFERROR(VLOOKUP($C420,'PORTIFÓLIO'!C:V,4,0),"")</f>
        <v/>
      </c>
      <c r="G420" s="206" t="str">
        <f>IFERROR(VLOOKUP($C420,'PORTIFÓLIO'!C:V,5,0),"")</f>
        <v/>
      </c>
      <c r="H420" s="247" t="str">
        <f t="array" ref="H420">IFERROR(INDEX('PORTIFÓLIO'!$H$4:$H$433,MATCH($C420,'PORTIFÓLIO'!$C$4:$C$433,0)),"")</f>
        <v/>
      </c>
      <c r="I420" s="257"/>
      <c r="J420" s="209">
        <f t="shared" si="47"/>
        <v>0</v>
      </c>
      <c r="K420" s="248" t="str">
        <f t="array" ref="K420">IFERROR(I420*INDEX('PORTIFÓLIO'!$S$4:$S$433,MATCH($C420,'PORTIFÓLIO'!$C$4:$C$433,0)),"")</f>
        <v/>
      </c>
      <c r="L420" s="248" t="str">
        <f t="array" ref="L420">IFERROR(J420*INDEX('PORTIFÓLIO'!$S$4:$S$433,MATCH($C420,'PORTIFÓLIO'!$C$4:$C$433,0)),"")</f>
        <v/>
      </c>
      <c r="M420" s="177"/>
      <c r="N420" s="177"/>
      <c r="O420" s="177"/>
      <c r="P420" s="177"/>
      <c r="Q420" s="177"/>
      <c r="R420" s="177"/>
      <c r="S420" s="177"/>
      <c r="T420" s="177"/>
      <c r="U420" s="177"/>
      <c r="V420" s="177"/>
      <c r="W420" s="177"/>
    </row>
    <row r="421" ht="15.75" customHeight="1" outlineLevel="1">
      <c r="A421" s="190"/>
      <c r="B421" s="204"/>
      <c r="C421" s="191"/>
      <c r="D421" s="205" t="str">
        <f>IFERROR(VLOOKUP($C421,'PORTIFÓLIO'!C:V,2,0),"")</f>
        <v/>
      </c>
      <c r="E421" s="190" t="str">
        <f>IFERROR(VLOOKUP($C421,'PORTIFÓLIO'!C:V,3,0),"")</f>
        <v/>
      </c>
      <c r="F421" s="190" t="str">
        <f>IFERROR(VLOOKUP($C421,'PORTIFÓLIO'!C:V,4,0),"")</f>
        <v/>
      </c>
      <c r="G421" s="206" t="str">
        <f>IFERROR(VLOOKUP($C421,'PORTIFÓLIO'!C:V,5,0),"")</f>
        <v/>
      </c>
      <c r="H421" s="247" t="str">
        <f t="array" ref="H421">IFERROR(INDEX('PORTIFÓLIO'!$H$4:$H$433,MATCH($C421,'PORTIFÓLIO'!$C$4:$C$433,0)),"")</f>
        <v/>
      </c>
      <c r="I421" s="257"/>
      <c r="J421" s="209">
        <f t="shared" si="47"/>
        <v>0</v>
      </c>
      <c r="K421" s="248" t="str">
        <f t="array" ref="K421">IFERROR(I421*INDEX('PORTIFÓLIO'!$S$4:$S$433,MATCH($C421,'PORTIFÓLIO'!$C$4:$C$433,0)),"")</f>
        <v/>
      </c>
      <c r="L421" s="248" t="str">
        <f t="array" ref="L421">IFERROR(J421*INDEX('PORTIFÓLIO'!$S$4:$S$433,MATCH($C421,'PORTIFÓLIO'!$C$4:$C$433,0)),"")</f>
        <v/>
      </c>
      <c r="M421" s="177"/>
      <c r="N421" s="177"/>
      <c r="O421" s="177"/>
      <c r="P421" s="177"/>
      <c r="Q421" s="177"/>
      <c r="R421" s="177"/>
      <c r="S421" s="177"/>
      <c r="T421" s="177"/>
      <c r="U421" s="177"/>
      <c r="V421" s="177"/>
      <c r="W421" s="177"/>
    </row>
    <row r="422" ht="15.75" customHeight="1" outlineLevel="1">
      <c r="A422" s="190"/>
      <c r="B422" s="204"/>
      <c r="C422" s="191"/>
      <c r="D422" s="205" t="str">
        <f>IFERROR(VLOOKUP($C422,'PORTIFÓLIO'!C:V,2,0),"")</f>
        <v/>
      </c>
      <c r="E422" s="190" t="str">
        <f>IFERROR(VLOOKUP($C422,'PORTIFÓLIO'!C:V,3,0),"")</f>
        <v/>
      </c>
      <c r="F422" s="190" t="str">
        <f>IFERROR(VLOOKUP($C422,'PORTIFÓLIO'!C:V,4,0),"")</f>
        <v/>
      </c>
      <c r="G422" s="206" t="str">
        <f>IFERROR(VLOOKUP($C422,'PORTIFÓLIO'!C:V,5,0),"")</f>
        <v/>
      </c>
      <c r="H422" s="247" t="str">
        <f t="array" ref="H422">IFERROR(INDEX('PORTIFÓLIO'!$H$4:$H$433,MATCH($C422,'PORTIFÓLIO'!$C$4:$C$433,0)),"")</f>
        <v/>
      </c>
      <c r="I422" s="257"/>
      <c r="J422" s="209">
        <f t="shared" si="47"/>
        <v>0</v>
      </c>
      <c r="K422" s="248" t="str">
        <f t="array" ref="K422">IFERROR(I422*INDEX('PORTIFÓLIO'!$S$4:$S$433,MATCH($C422,'PORTIFÓLIO'!$C$4:$C$433,0)),"")</f>
        <v/>
      </c>
      <c r="L422" s="248" t="str">
        <f t="array" ref="L422">IFERROR(J422*INDEX('PORTIFÓLIO'!$S$4:$S$433,MATCH($C422,'PORTIFÓLIO'!$C$4:$C$433,0)),"")</f>
        <v/>
      </c>
      <c r="M422" s="177"/>
      <c r="N422" s="177"/>
      <c r="O422" s="177"/>
      <c r="P422" s="177"/>
      <c r="Q422" s="177"/>
      <c r="R422" s="177"/>
      <c r="S422" s="177"/>
      <c r="T422" s="177"/>
      <c r="U422" s="177"/>
      <c r="V422" s="177"/>
      <c r="W422" s="177"/>
    </row>
    <row r="423" ht="15.75" customHeight="1" outlineLevel="1">
      <c r="A423" s="190"/>
      <c r="B423" s="204"/>
      <c r="C423" s="191"/>
      <c r="D423" s="205" t="str">
        <f>IFERROR(VLOOKUP($C423,'PORTIFÓLIO'!C:V,2,0),"")</f>
        <v/>
      </c>
      <c r="E423" s="190" t="str">
        <f>IFERROR(VLOOKUP($C423,'PORTIFÓLIO'!C:V,3,0),"")</f>
        <v/>
      </c>
      <c r="F423" s="190" t="str">
        <f>IFERROR(VLOOKUP($C423,'PORTIFÓLIO'!C:V,4,0),"")</f>
        <v/>
      </c>
      <c r="G423" s="206" t="str">
        <f>IFERROR(VLOOKUP($C423,'PORTIFÓLIO'!C:V,5,0),"")</f>
        <v/>
      </c>
      <c r="H423" s="247" t="str">
        <f t="array" ref="H423">IFERROR(INDEX('PORTIFÓLIO'!$H$4:$H$433,MATCH($C423,'PORTIFÓLIO'!$C$4:$C$433,0)),"")</f>
        <v/>
      </c>
      <c r="I423" s="257"/>
      <c r="J423" s="209">
        <f t="shared" si="47"/>
        <v>0</v>
      </c>
      <c r="K423" s="248" t="str">
        <f t="array" ref="K423">IFERROR(I423*INDEX('PORTIFÓLIO'!$S$4:$S$433,MATCH($C423,'PORTIFÓLIO'!$C$4:$C$433,0)),"")</f>
        <v/>
      </c>
      <c r="L423" s="248" t="str">
        <f t="array" ref="L423">IFERROR(J423*INDEX('PORTIFÓLIO'!$S$4:$S$433,MATCH($C423,'PORTIFÓLIO'!$C$4:$C$433,0)),"")</f>
        <v/>
      </c>
      <c r="M423" s="177"/>
      <c r="N423" s="177"/>
      <c r="O423" s="177"/>
      <c r="P423" s="177"/>
      <c r="Q423" s="177"/>
      <c r="R423" s="177"/>
      <c r="S423" s="177"/>
      <c r="T423" s="177"/>
      <c r="U423" s="177"/>
      <c r="V423" s="177"/>
      <c r="W423" s="177"/>
    </row>
    <row r="424" ht="15.75" customHeight="1" outlineLevel="1">
      <c r="A424" s="190"/>
      <c r="B424" s="204"/>
      <c r="C424" s="191"/>
      <c r="D424" s="205" t="str">
        <f>IFERROR(VLOOKUP($C424,'PORTIFÓLIO'!C:V,2,0),"")</f>
        <v/>
      </c>
      <c r="E424" s="190" t="str">
        <f>IFERROR(VLOOKUP($C424,'PORTIFÓLIO'!C:V,3,0),"")</f>
        <v/>
      </c>
      <c r="F424" s="190" t="str">
        <f>IFERROR(VLOOKUP($C424,'PORTIFÓLIO'!C:V,4,0),"")</f>
        <v/>
      </c>
      <c r="G424" s="206" t="str">
        <f>IFERROR(VLOOKUP($C424,'PORTIFÓLIO'!C:V,5,0),"")</f>
        <v/>
      </c>
      <c r="H424" s="247" t="str">
        <f t="array" ref="H424">IFERROR(INDEX('PORTIFÓLIO'!$H$4:$H$433,MATCH($C424,'PORTIFÓLIO'!$C$4:$C$433,0)),"")</f>
        <v/>
      </c>
      <c r="I424" s="257"/>
      <c r="J424" s="209">
        <f t="shared" si="47"/>
        <v>0</v>
      </c>
      <c r="K424" s="248" t="str">
        <f t="array" ref="K424">IFERROR(I424*INDEX('PORTIFÓLIO'!$S$4:$S$433,MATCH($C424,'PORTIFÓLIO'!$C$4:$C$433,0)),"")</f>
        <v/>
      </c>
      <c r="L424" s="248" t="str">
        <f t="array" ref="L424">IFERROR(J424*INDEX('PORTIFÓLIO'!$S$4:$S$433,MATCH($C424,'PORTIFÓLIO'!$C$4:$C$433,0)),"")</f>
        <v/>
      </c>
      <c r="M424" s="177"/>
      <c r="N424" s="177"/>
      <c r="O424" s="177"/>
      <c r="P424" s="177"/>
      <c r="Q424" s="177"/>
      <c r="R424" s="177"/>
      <c r="S424" s="177"/>
      <c r="T424" s="177"/>
      <c r="U424" s="177"/>
      <c r="V424" s="177"/>
      <c r="W424" s="177"/>
    </row>
    <row r="425" ht="15.75" customHeight="1" outlineLevel="1">
      <c r="A425" s="190"/>
      <c r="B425" s="238"/>
      <c r="C425" s="190"/>
      <c r="D425" s="205" t="str">
        <f>IFERROR(VLOOKUP($C425,'PORTIFÓLIO'!C:V,2,0),"")</f>
        <v/>
      </c>
      <c r="E425" s="190" t="str">
        <f>IFERROR(VLOOKUP($C425,'PORTIFÓLIO'!C:V,3,0),"")</f>
        <v/>
      </c>
      <c r="F425" s="190" t="str">
        <f>IFERROR(VLOOKUP($C425,'PORTIFÓLIO'!C:V,4,0),"")</f>
        <v/>
      </c>
      <c r="G425" s="206" t="str">
        <f>IFERROR(VLOOKUP($C425,'PORTIFÓLIO'!C:V,5,0),"")</f>
        <v/>
      </c>
      <c r="H425" s="247" t="str">
        <f t="array" ref="H425">IFERROR(INDEX('PORTIFÓLIO'!$H$4:$H$433,MATCH($C425,'PORTIFÓLIO'!$C$4:$C$433,0)),"")</f>
        <v/>
      </c>
      <c r="I425" s="257"/>
      <c r="J425" s="209">
        <f t="shared" si="47"/>
        <v>0</v>
      </c>
      <c r="K425" s="248" t="str">
        <f t="array" ref="K425">IFERROR(I425*INDEX('PORTIFÓLIO'!$S$4:$S$433,MATCH($C425,'PORTIFÓLIO'!$C$4:$C$433,0)),"")</f>
        <v/>
      </c>
      <c r="L425" s="248" t="str">
        <f t="array" ref="L425">IFERROR(J425*INDEX('PORTIFÓLIO'!$S$4:$S$433,MATCH($C425,'PORTIFÓLIO'!$C$4:$C$433,0)),"")</f>
        <v/>
      </c>
      <c r="M425" s="177"/>
      <c r="N425" s="177"/>
      <c r="O425" s="177"/>
      <c r="P425" s="177"/>
      <c r="Q425" s="177"/>
      <c r="R425" s="177"/>
      <c r="S425" s="177"/>
      <c r="T425" s="177"/>
      <c r="U425" s="177"/>
      <c r="V425" s="177"/>
      <c r="W425" s="177"/>
    </row>
    <row r="426" ht="15.75" customHeight="1" outlineLevel="1">
      <c r="A426" s="190"/>
      <c r="B426" s="238"/>
      <c r="C426" s="190"/>
      <c r="D426" s="205" t="str">
        <f>IFERROR(VLOOKUP($C426,'PORTIFÓLIO'!C:V,2,0),"")</f>
        <v/>
      </c>
      <c r="E426" s="190" t="str">
        <f>IFERROR(VLOOKUP($C426,'PORTIFÓLIO'!C:V,3,0),"")</f>
        <v/>
      </c>
      <c r="F426" s="190" t="str">
        <f>IFERROR(VLOOKUP($C426,'PORTIFÓLIO'!C:V,4,0),"")</f>
        <v/>
      </c>
      <c r="G426" s="206" t="str">
        <f>IFERROR(VLOOKUP($C426,'PORTIFÓLIO'!C:V,5,0),"")</f>
        <v/>
      </c>
      <c r="H426" s="247" t="str">
        <f t="array" ref="H426">IFERROR(INDEX('PORTIFÓLIO'!$H$4:$H$433,MATCH($C426,'PORTIFÓLIO'!$C$4:$C$433,0)),"")</f>
        <v/>
      </c>
      <c r="I426" s="257"/>
      <c r="J426" s="209">
        <f t="shared" si="47"/>
        <v>0</v>
      </c>
      <c r="K426" s="248" t="str">
        <f t="array" ref="K426">IFERROR(I426*INDEX('PORTIFÓLIO'!$S$4:$S$433,MATCH($C426,'PORTIFÓLIO'!$C$4:$C$433,0)),"")</f>
        <v/>
      </c>
      <c r="L426" s="248" t="str">
        <f t="array" ref="L426">IFERROR(J426*INDEX('PORTIFÓLIO'!$S$4:$S$433,MATCH($C426,'PORTIFÓLIO'!$C$4:$C$433,0)),"")</f>
        <v/>
      </c>
      <c r="M426" s="177"/>
      <c r="N426" s="177"/>
      <c r="O426" s="177"/>
      <c r="P426" s="177"/>
      <c r="Q426" s="177"/>
      <c r="R426" s="177"/>
      <c r="S426" s="177"/>
      <c r="T426" s="177"/>
      <c r="U426" s="177"/>
      <c r="V426" s="177"/>
      <c r="W426" s="177"/>
    </row>
    <row r="427" ht="15.75" customHeight="1">
      <c r="A427" s="221" t="s">
        <v>1202</v>
      </c>
      <c r="B427" s="197"/>
      <c r="C427" s="196"/>
      <c r="D427" s="198"/>
      <c r="E427" s="196"/>
      <c r="F427" s="196"/>
      <c r="G427" s="199"/>
      <c r="H427" s="199"/>
      <c r="I427" s="252"/>
      <c r="J427" s="202"/>
      <c r="K427" s="203">
        <f t="shared" ref="K427:L427" si="48">SUBTOTAL(9,K428:K441)</f>
        <v>0</v>
      </c>
      <c r="L427" s="203">
        <f t="shared" si="48"/>
        <v>0</v>
      </c>
      <c r="M427" s="177"/>
      <c r="N427" s="177"/>
      <c r="O427" s="177"/>
      <c r="P427" s="177"/>
      <c r="Q427" s="177"/>
      <c r="R427" s="177"/>
      <c r="S427" s="177"/>
      <c r="T427" s="177"/>
      <c r="U427" s="177"/>
      <c r="V427" s="177"/>
      <c r="W427" s="177"/>
    </row>
    <row r="428" ht="15.75" customHeight="1" outlineLevel="1">
      <c r="A428" s="191"/>
      <c r="B428" s="204"/>
      <c r="C428" s="191"/>
      <c r="D428" s="205" t="str">
        <f>IFERROR(VLOOKUP($C428,'PORTIFÓLIO'!C:V,2,0),"")</f>
        <v/>
      </c>
      <c r="E428" s="190" t="str">
        <f>IFERROR(VLOOKUP($C428,'PORTIFÓLIO'!C:V,3,0),"")</f>
        <v/>
      </c>
      <c r="F428" s="190" t="str">
        <f>IFERROR(VLOOKUP($C428,'PORTIFÓLIO'!C:V,4,0),"")</f>
        <v/>
      </c>
      <c r="G428" s="206" t="str">
        <f>IFERROR(VLOOKUP($C428,'PORTIFÓLIO'!C:V,5,0),"")</f>
        <v/>
      </c>
      <c r="H428" s="247" t="str">
        <f t="array" ref="H428">IFERROR(INDEX('PORTIFÓLIO'!$H$4:$H$433,MATCH($C428,'PORTIFÓLIO'!$C$4:$C$433,0)),"")</f>
        <v/>
      </c>
      <c r="I428" s="257"/>
      <c r="J428" s="209">
        <f t="shared" ref="J428:J451" si="49">I428*$B$2</f>
        <v>0</v>
      </c>
      <c r="K428" s="248" t="str">
        <f t="array" ref="K428">IFERROR(I428*INDEX('PORTIFÓLIO'!$S$4:$S$433,MATCH($C428,'PORTIFÓLIO'!$C$4:$C$433,0)),"")</f>
        <v/>
      </c>
      <c r="L428" s="248" t="str">
        <f t="array" ref="L428">IFERROR(J428*INDEX('PORTIFÓLIO'!$S$4:$S$433,MATCH($C428,'PORTIFÓLIO'!$C$4:$C$433,0)),"")</f>
        <v/>
      </c>
      <c r="M428" s="177"/>
      <c r="N428" s="177"/>
      <c r="O428" s="177"/>
      <c r="P428" s="177"/>
      <c r="Q428" s="177"/>
      <c r="R428" s="177"/>
      <c r="S428" s="177"/>
      <c r="T428" s="177"/>
      <c r="U428" s="177"/>
      <c r="V428" s="177"/>
      <c r="W428" s="177"/>
    </row>
    <row r="429" ht="15.75" customHeight="1" outlineLevel="1">
      <c r="A429" s="190"/>
      <c r="B429" s="204"/>
      <c r="C429" s="191"/>
      <c r="D429" s="205" t="str">
        <f>IFERROR(VLOOKUP($C429,'PORTIFÓLIO'!C:V,2,0),"")</f>
        <v/>
      </c>
      <c r="E429" s="190" t="str">
        <f>IFERROR(VLOOKUP($C429,'PORTIFÓLIO'!C:V,3,0),"")</f>
        <v/>
      </c>
      <c r="F429" s="190" t="str">
        <f>IFERROR(VLOOKUP($C429,'PORTIFÓLIO'!C:V,4,0),"")</f>
        <v/>
      </c>
      <c r="G429" s="206" t="str">
        <f>IFERROR(VLOOKUP($C429,'PORTIFÓLIO'!C:V,5,0),"")</f>
        <v/>
      </c>
      <c r="H429" s="247" t="str">
        <f t="array" ref="H429">IFERROR(INDEX('PORTIFÓLIO'!$H$4:$H$433,MATCH($C429,'PORTIFÓLIO'!$C$4:$C$433,0)),"")</f>
        <v/>
      </c>
      <c r="I429" s="257"/>
      <c r="J429" s="209">
        <f t="shared" si="49"/>
        <v>0</v>
      </c>
      <c r="K429" s="248" t="str">
        <f t="array" ref="K429">IFERROR(I429*INDEX('PORTIFÓLIO'!$S$4:$S$433,MATCH($C429,'PORTIFÓLIO'!$C$4:$C$433,0)),"")</f>
        <v/>
      </c>
      <c r="L429" s="248" t="str">
        <f t="array" ref="L429">IFERROR(J429*INDEX('PORTIFÓLIO'!$S$4:$S$433,MATCH($C429,'PORTIFÓLIO'!$C$4:$C$433,0)),"")</f>
        <v/>
      </c>
      <c r="M429" s="177"/>
      <c r="N429" s="177"/>
      <c r="O429" s="177"/>
      <c r="P429" s="177"/>
      <c r="Q429" s="177"/>
      <c r="R429" s="177"/>
      <c r="S429" s="177"/>
      <c r="T429" s="177"/>
      <c r="U429" s="177"/>
      <c r="V429" s="177"/>
      <c r="W429" s="177"/>
    </row>
    <row r="430" ht="15.75" customHeight="1" outlineLevel="1">
      <c r="A430" s="190"/>
      <c r="B430" s="204"/>
      <c r="C430" s="191"/>
      <c r="D430" s="205" t="str">
        <f>IFERROR(VLOOKUP($C430,'PORTIFÓLIO'!C:V,2,0),"")</f>
        <v/>
      </c>
      <c r="E430" s="190" t="str">
        <f>IFERROR(VLOOKUP($C430,'PORTIFÓLIO'!C:V,3,0),"")</f>
        <v/>
      </c>
      <c r="F430" s="190" t="str">
        <f>IFERROR(VLOOKUP($C430,'PORTIFÓLIO'!C:V,4,0),"")</f>
        <v/>
      </c>
      <c r="G430" s="206" t="str">
        <f>IFERROR(VLOOKUP($C430,'PORTIFÓLIO'!C:V,5,0),"")</f>
        <v/>
      </c>
      <c r="H430" s="247" t="str">
        <f t="array" ref="H430">IFERROR(INDEX('PORTIFÓLIO'!$H$4:$H$433,MATCH($C430,'PORTIFÓLIO'!$C$4:$C$433,0)),"")</f>
        <v/>
      </c>
      <c r="I430" s="257"/>
      <c r="J430" s="209">
        <f t="shared" si="49"/>
        <v>0</v>
      </c>
      <c r="K430" s="248" t="str">
        <f t="array" ref="K430">IFERROR(I430*INDEX('PORTIFÓLIO'!$S$4:$S$433,MATCH($C430,'PORTIFÓLIO'!$C$4:$C$433,0)),"")</f>
        <v/>
      </c>
      <c r="L430" s="248" t="str">
        <f t="array" ref="L430">IFERROR(J430*INDEX('PORTIFÓLIO'!$S$4:$S$433,MATCH($C430,'PORTIFÓLIO'!$C$4:$C$433,0)),"")</f>
        <v/>
      </c>
      <c r="M430" s="177"/>
      <c r="N430" s="177"/>
      <c r="O430" s="177"/>
      <c r="P430" s="177"/>
      <c r="Q430" s="177"/>
      <c r="R430" s="177"/>
      <c r="S430" s="177"/>
      <c r="T430" s="177"/>
      <c r="U430" s="177"/>
      <c r="V430" s="177"/>
      <c r="W430" s="177"/>
    </row>
    <row r="431" ht="15.75" customHeight="1" outlineLevel="1">
      <c r="A431" s="190"/>
      <c r="B431" s="204"/>
      <c r="C431" s="191"/>
      <c r="D431" s="205" t="str">
        <f>IFERROR(VLOOKUP($C431,'PORTIFÓLIO'!C:V,2,0),"")</f>
        <v/>
      </c>
      <c r="E431" s="190" t="str">
        <f>IFERROR(VLOOKUP($C431,'PORTIFÓLIO'!C:V,3,0),"")</f>
        <v/>
      </c>
      <c r="F431" s="190" t="str">
        <f>IFERROR(VLOOKUP($C431,'PORTIFÓLIO'!C:V,4,0),"")</f>
        <v/>
      </c>
      <c r="G431" s="206" t="str">
        <f>IFERROR(VLOOKUP($C431,'PORTIFÓLIO'!C:V,5,0),"")</f>
        <v/>
      </c>
      <c r="H431" s="247" t="str">
        <f t="array" ref="H431">IFERROR(INDEX('PORTIFÓLIO'!$H$4:$H$433,MATCH($C431,'PORTIFÓLIO'!$C$4:$C$433,0)),"")</f>
        <v/>
      </c>
      <c r="I431" s="257"/>
      <c r="J431" s="209">
        <f t="shared" si="49"/>
        <v>0</v>
      </c>
      <c r="K431" s="248" t="str">
        <f t="array" ref="K431">IFERROR(I431*INDEX('PORTIFÓLIO'!$S$4:$S$433,MATCH($C431,'PORTIFÓLIO'!$C$4:$C$433,0)),"")</f>
        <v/>
      </c>
      <c r="L431" s="248" t="str">
        <f t="array" ref="L431">IFERROR(J431*INDEX('PORTIFÓLIO'!$S$4:$S$433,MATCH($C431,'PORTIFÓLIO'!$C$4:$C$433,0)),"")</f>
        <v/>
      </c>
      <c r="M431" s="177"/>
      <c r="N431" s="177"/>
      <c r="O431" s="177"/>
      <c r="P431" s="177"/>
      <c r="Q431" s="177"/>
      <c r="R431" s="177"/>
      <c r="S431" s="177"/>
      <c r="T431" s="177"/>
      <c r="U431" s="177"/>
      <c r="V431" s="177"/>
      <c r="W431" s="177"/>
    </row>
    <row r="432" ht="15.75" customHeight="1" outlineLevel="1">
      <c r="A432" s="190"/>
      <c r="B432" s="204"/>
      <c r="C432" s="191"/>
      <c r="D432" s="205" t="str">
        <f>IFERROR(VLOOKUP($C432,'PORTIFÓLIO'!C:V,2,0),"")</f>
        <v/>
      </c>
      <c r="E432" s="190" t="str">
        <f>IFERROR(VLOOKUP($C432,'PORTIFÓLIO'!C:V,3,0),"")</f>
        <v/>
      </c>
      <c r="F432" s="190" t="str">
        <f>IFERROR(VLOOKUP($C432,'PORTIFÓLIO'!C:V,4,0),"")</f>
        <v/>
      </c>
      <c r="G432" s="206" t="str">
        <f>IFERROR(VLOOKUP($C432,'PORTIFÓLIO'!C:V,5,0),"")</f>
        <v/>
      </c>
      <c r="H432" s="247" t="str">
        <f t="array" ref="H432">IFERROR(INDEX('PORTIFÓLIO'!$H$4:$H$433,MATCH($C432,'PORTIFÓLIO'!$C$4:$C$433,0)),"")</f>
        <v/>
      </c>
      <c r="I432" s="257"/>
      <c r="J432" s="209">
        <f t="shared" si="49"/>
        <v>0</v>
      </c>
      <c r="K432" s="248" t="str">
        <f t="array" ref="K432">IFERROR(I432*INDEX('PORTIFÓLIO'!$S$4:$S$433,MATCH($C432,'PORTIFÓLIO'!$C$4:$C$433,0)),"")</f>
        <v/>
      </c>
      <c r="L432" s="248" t="str">
        <f t="array" ref="L432">IFERROR(J432*INDEX('PORTIFÓLIO'!$S$4:$S$433,MATCH($C432,'PORTIFÓLIO'!$C$4:$C$433,0)),"")</f>
        <v/>
      </c>
      <c r="M432" s="177"/>
      <c r="N432" s="177"/>
      <c r="O432" s="177"/>
      <c r="P432" s="177"/>
      <c r="Q432" s="177"/>
      <c r="R432" s="177"/>
      <c r="S432" s="177"/>
      <c r="T432" s="177"/>
      <c r="U432" s="177"/>
      <c r="V432" s="177"/>
      <c r="W432" s="177"/>
    </row>
    <row r="433" ht="15.75" customHeight="1" outlineLevel="1">
      <c r="A433" s="190"/>
      <c r="B433" s="204"/>
      <c r="C433" s="191"/>
      <c r="D433" s="205" t="str">
        <f>IFERROR(VLOOKUP($C433,'PORTIFÓLIO'!C:V,2,0),"")</f>
        <v/>
      </c>
      <c r="E433" s="190" t="str">
        <f>IFERROR(VLOOKUP($C433,'PORTIFÓLIO'!C:V,3,0),"")</f>
        <v/>
      </c>
      <c r="F433" s="190" t="str">
        <f>IFERROR(VLOOKUP($C433,'PORTIFÓLIO'!C:V,4,0),"")</f>
        <v/>
      </c>
      <c r="G433" s="206" t="str">
        <f>IFERROR(VLOOKUP($C433,'PORTIFÓLIO'!C:V,5,0),"")</f>
        <v/>
      </c>
      <c r="H433" s="247" t="str">
        <f t="array" ref="H433">IFERROR(INDEX('PORTIFÓLIO'!$H$4:$H$433,MATCH($C433,'PORTIFÓLIO'!$C$4:$C$433,0)),"")</f>
        <v/>
      </c>
      <c r="I433" s="257"/>
      <c r="J433" s="209">
        <f t="shared" si="49"/>
        <v>0</v>
      </c>
      <c r="K433" s="248" t="str">
        <f t="array" ref="K433">IFERROR(I433*INDEX('PORTIFÓLIO'!$S$4:$S$433,MATCH($C433,'PORTIFÓLIO'!$C$4:$C$433,0)),"")</f>
        <v/>
      </c>
      <c r="L433" s="248" t="str">
        <f t="array" ref="L433">IFERROR(J433*INDEX('PORTIFÓLIO'!$S$4:$S$433,MATCH($C433,'PORTIFÓLIO'!$C$4:$C$433,0)),"")</f>
        <v/>
      </c>
      <c r="M433" s="177"/>
      <c r="N433" s="177"/>
      <c r="O433" s="177"/>
      <c r="P433" s="177"/>
      <c r="Q433" s="177"/>
      <c r="R433" s="177"/>
      <c r="S433" s="177"/>
      <c r="T433" s="177"/>
      <c r="U433" s="177"/>
      <c r="V433" s="177"/>
      <c r="W433" s="177"/>
    </row>
    <row r="434" ht="15.75" customHeight="1" outlineLevel="1">
      <c r="A434" s="190"/>
      <c r="B434" s="204"/>
      <c r="C434" s="191"/>
      <c r="D434" s="205" t="str">
        <f>IFERROR(VLOOKUP($C434,'PORTIFÓLIO'!C:V,2,0),"")</f>
        <v/>
      </c>
      <c r="E434" s="190" t="str">
        <f>IFERROR(VLOOKUP($C434,'PORTIFÓLIO'!C:V,3,0),"")</f>
        <v/>
      </c>
      <c r="F434" s="190" t="str">
        <f>IFERROR(VLOOKUP($C434,'PORTIFÓLIO'!C:V,4,0),"")</f>
        <v/>
      </c>
      <c r="G434" s="206" t="str">
        <f>IFERROR(VLOOKUP($C434,'PORTIFÓLIO'!C:V,5,0),"")</f>
        <v/>
      </c>
      <c r="H434" s="247" t="str">
        <f t="array" ref="H434">IFERROR(INDEX('PORTIFÓLIO'!$H$4:$H$433,MATCH($C434,'PORTIFÓLIO'!$C$4:$C$433,0)),"")</f>
        <v/>
      </c>
      <c r="I434" s="257"/>
      <c r="J434" s="209">
        <f t="shared" si="49"/>
        <v>0</v>
      </c>
      <c r="K434" s="248" t="str">
        <f t="array" ref="K434">IFERROR(I434*INDEX('PORTIFÓLIO'!$S$4:$S$433,MATCH($C434,'PORTIFÓLIO'!$C$4:$C$433,0)),"")</f>
        <v/>
      </c>
      <c r="L434" s="248" t="str">
        <f t="array" ref="L434">IFERROR(J434*INDEX('PORTIFÓLIO'!$S$4:$S$433,MATCH($C434,'PORTIFÓLIO'!$C$4:$C$433,0)),"")</f>
        <v/>
      </c>
      <c r="M434" s="177"/>
      <c r="N434" s="177"/>
      <c r="O434" s="177"/>
      <c r="P434" s="177"/>
      <c r="Q434" s="177"/>
      <c r="R434" s="177"/>
      <c r="S434" s="177"/>
      <c r="T434" s="177"/>
      <c r="U434" s="177"/>
      <c r="V434" s="177"/>
      <c r="W434" s="177"/>
    </row>
    <row r="435" ht="15.75" customHeight="1" outlineLevel="1">
      <c r="A435" s="190"/>
      <c r="B435" s="204"/>
      <c r="C435" s="191"/>
      <c r="D435" s="205" t="str">
        <f>IFERROR(VLOOKUP($C435,'PORTIFÓLIO'!C:V,2,0),"")</f>
        <v/>
      </c>
      <c r="E435" s="190" t="str">
        <f>IFERROR(VLOOKUP($C435,'PORTIFÓLIO'!C:V,3,0),"")</f>
        <v/>
      </c>
      <c r="F435" s="190" t="str">
        <f>IFERROR(VLOOKUP($C435,'PORTIFÓLIO'!C:V,4,0),"")</f>
        <v/>
      </c>
      <c r="G435" s="206" t="str">
        <f>IFERROR(VLOOKUP($C435,'PORTIFÓLIO'!C:V,5,0),"")</f>
        <v/>
      </c>
      <c r="H435" s="247" t="str">
        <f t="array" ref="H435">IFERROR(INDEX('PORTIFÓLIO'!$H$4:$H$433,MATCH($C435,'PORTIFÓLIO'!$C$4:$C$433,0)),"")</f>
        <v/>
      </c>
      <c r="I435" s="257"/>
      <c r="J435" s="209">
        <f t="shared" si="49"/>
        <v>0</v>
      </c>
      <c r="K435" s="248" t="str">
        <f t="array" ref="K435">IFERROR(I435*INDEX('PORTIFÓLIO'!$S$4:$S$433,MATCH($C435,'PORTIFÓLIO'!$C$4:$C$433,0)),"")</f>
        <v/>
      </c>
      <c r="L435" s="248" t="str">
        <f t="array" ref="L435">IFERROR(J435*INDEX('PORTIFÓLIO'!$S$4:$S$433,MATCH($C435,'PORTIFÓLIO'!$C$4:$C$433,0)),"")</f>
        <v/>
      </c>
      <c r="M435" s="177"/>
      <c r="N435" s="177"/>
      <c r="O435" s="177"/>
      <c r="P435" s="177"/>
      <c r="Q435" s="177"/>
      <c r="R435" s="177"/>
      <c r="S435" s="177"/>
      <c r="T435" s="177"/>
      <c r="U435" s="177"/>
      <c r="V435" s="177"/>
      <c r="W435" s="177"/>
    </row>
    <row r="436" ht="15.75" customHeight="1" outlineLevel="1">
      <c r="A436" s="190"/>
      <c r="B436" s="204"/>
      <c r="C436" s="191"/>
      <c r="D436" s="205" t="str">
        <f>IFERROR(VLOOKUP($C436,'PORTIFÓLIO'!C:V,2,0),"")</f>
        <v/>
      </c>
      <c r="E436" s="190" t="str">
        <f>IFERROR(VLOOKUP($C436,'PORTIFÓLIO'!C:V,3,0),"")</f>
        <v/>
      </c>
      <c r="F436" s="190" t="str">
        <f>IFERROR(VLOOKUP($C436,'PORTIFÓLIO'!C:V,4,0),"")</f>
        <v/>
      </c>
      <c r="G436" s="206" t="str">
        <f>IFERROR(VLOOKUP($C436,'PORTIFÓLIO'!C:V,5,0),"")</f>
        <v/>
      </c>
      <c r="H436" s="247" t="str">
        <f t="array" ref="H436">IFERROR(INDEX('PORTIFÓLIO'!$H$4:$H$433,MATCH($C436,'PORTIFÓLIO'!$C$4:$C$433,0)),"")</f>
        <v/>
      </c>
      <c r="I436" s="257"/>
      <c r="J436" s="209">
        <f t="shared" si="49"/>
        <v>0</v>
      </c>
      <c r="K436" s="248" t="str">
        <f t="array" ref="K436">IFERROR(I436*INDEX('PORTIFÓLIO'!$S$4:$S$433,MATCH($C436,'PORTIFÓLIO'!$C$4:$C$433,0)),"")</f>
        <v/>
      </c>
      <c r="L436" s="248" t="str">
        <f t="array" ref="L436">IFERROR(J436*INDEX('PORTIFÓLIO'!$S$4:$S$433,MATCH($C436,'PORTIFÓLIO'!$C$4:$C$433,0)),"")</f>
        <v/>
      </c>
      <c r="M436" s="177"/>
      <c r="N436" s="177"/>
      <c r="O436" s="177"/>
      <c r="P436" s="177"/>
      <c r="Q436" s="177"/>
      <c r="R436" s="177"/>
      <c r="S436" s="177"/>
      <c r="T436" s="177"/>
      <c r="U436" s="177"/>
      <c r="V436" s="177"/>
      <c r="W436" s="177"/>
    </row>
    <row r="437" ht="15.75" customHeight="1" outlineLevel="1">
      <c r="A437" s="190"/>
      <c r="B437" s="204"/>
      <c r="C437" s="191"/>
      <c r="D437" s="205" t="str">
        <f>IFERROR(VLOOKUP($C437,'PORTIFÓLIO'!C:V,2,0),"")</f>
        <v/>
      </c>
      <c r="E437" s="190" t="str">
        <f>IFERROR(VLOOKUP($C437,'PORTIFÓLIO'!C:V,3,0),"")</f>
        <v/>
      </c>
      <c r="F437" s="190" t="str">
        <f>IFERROR(VLOOKUP($C437,'PORTIFÓLIO'!C:V,4,0),"")</f>
        <v/>
      </c>
      <c r="G437" s="206" t="str">
        <f>IFERROR(VLOOKUP($C437,'PORTIFÓLIO'!C:V,5,0),"")</f>
        <v/>
      </c>
      <c r="H437" s="247" t="str">
        <f t="array" ref="H437">IFERROR(INDEX('PORTIFÓLIO'!$H$4:$H$433,MATCH($C437,'PORTIFÓLIO'!$C$4:$C$433,0)),"")</f>
        <v/>
      </c>
      <c r="I437" s="257"/>
      <c r="J437" s="209">
        <f t="shared" si="49"/>
        <v>0</v>
      </c>
      <c r="K437" s="248" t="str">
        <f t="array" ref="K437">IFERROR(I437*INDEX('PORTIFÓLIO'!$S$4:$S$433,MATCH($C437,'PORTIFÓLIO'!$C$4:$C$433,0)),"")</f>
        <v/>
      </c>
      <c r="L437" s="248" t="str">
        <f t="array" ref="L437">IFERROR(J437*INDEX('PORTIFÓLIO'!$S$4:$S$433,MATCH($C437,'PORTIFÓLIO'!$C$4:$C$433,0)),"")</f>
        <v/>
      </c>
      <c r="M437" s="177"/>
      <c r="N437" s="177"/>
      <c r="O437" s="177"/>
      <c r="P437" s="177"/>
      <c r="Q437" s="177"/>
      <c r="R437" s="177"/>
      <c r="S437" s="177"/>
      <c r="T437" s="177"/>
      <c r="U437" s="177"/>
      <c r="V437" s="177"/>
      <c r="W437" s="177"/>
    </row>
    <row r="438" ht="15.75" customHeight="1" outlineLevel="1">
      <c r="A438" s="190"/>
      <c r="B438" s="204"/>
      <c r="C438" s="191"/>
      <c r="D438" s="205" t="str">
        <f>IFERROR(VLOOKUP($C438,'PORTIFÓLIO'!C:V,2,0),"")</f>
        <v/>
      </c>
      <c r="E438" s="190" t="str">
        <f>IFERROR(VLOOKUP($C438,'PORTIFÓLIO'!C:V,3,0),"")</f>
        <v/>
      </c>
      <c r="F438" s="190" t="str">
        <f>IFERROR(VLOOKUP($C438,'PORTIFÓLIO'!C:V,4,0),"")</f>
        <v/>
      </c>
      <c r="G438" s="206" t="str">
        <f>IFERROR(VLOOKUP($C438,'PORTIFÓLIO'!C:V,5,0),"")</f>
        <v/>
      </c>
      <c r="H438" s="247" t="str">
        <f t="array" ref="H438">IFERROR(INDEX('PORTIFÓLIO'!$H$4:$H$433,MATCH($C438,'PORTIFÓLIO'!$C$4:$C$433,0)),"")</f>
        <v/>
      </c>
      <c r="I438" s="257"/>
      <c r="J438" s="209">
        <f t="shared" si="49"/>
        <v>0</v>
      </c>
      <c r="K438" s="248" t="str">
        <f t="array" ref="K438">IFERROR(I438*INDEX('PORTIFÓLIO'!$S$4:$S$433,MATCH($C438,'PORTIFÓLIO'!$C$4:$C$433,0)),"")</f>
        <v/>
      </c>
      <c r="L438" s="248" t="str">
        <f t="array" ref="L438">IFERROR(J438*INDEX('PORTIFÓLIO'!$S$4:$S$433,MATCH($C438,'PORTIFÓLIO'!$C$4:$C$433,0)),"")</f>
        <v/>
      </c>
      <c r="M438" s="177"/>
      <c r="N438" s="177"/>
      <c r="O438" s="177"/>
      <c r="P438" s="177"/>
      <c r="Q438" s="177"/>
      <c r="R438" s="177"/>
      <c r="S438" s="177"/>
      <c r="T438" s="177"/>
      <c r="U438" s="177"/>
      <c r="V438" s="177"/>
      <c r="W438" s="177"/>
    </row>
    <row r="439" ht="15.75" customHeight="1" outlineLevel="1">
      <c r="A439" s="190"/>
      <c r="B439" s="204"/>
      <c r="C439" s="191"/>
      <c r="D439" s="205" t="str">
        <f>IFERROR(VLOOKUP($C439,'PORTIFÓLIO'!C:V,2,0),"")</f>
        <v/>
      </c>
      <c r="E439" s="190" t="str">
        <f>IFERROR(VLOOKUP($C439,'PORTIFÓLIO'!C:V,3,0),"")</f>
        <v/>
      </c>
      <c r="F439" s="190" t="str">
        <f>IFERROR(VLOOKUP($C439,'PORTIFÓLIO'!C:V,4,0),"")</f>
        <v/>
      </c>
      <c r="G439" s="206" t="str">
        <f>IFERROR(VLOOKUP($C439,'PORTIFÓLIO'!C:V,5,0),"")</f>
        <v/>
      </c>
      <c r="H439" s="247" t="str">
        <f t="array" ref="H439">IFERROR(INDEX('PORTIFÓLIO'!$H$4:$H$433,MATCH($C439,'PORTIFÓLIO'!$C$4:$C$433,0)),"")</f>
        <v/>
      </c>
      <c r="I439" s="257"/>
      <c r="J439" s="209">
        <f t="shared" si="49"/>
        <v>0</v>
      </c>
      <c r="K439" s="248" t="str">
        <f t="array" ref="K439">IFERROR(I439*INDEX('PORTIFÓLIO'!$S$4:$S$433,MATCH($C439,'PORTIFÓLIO'!$C$4:$C$433,0)),"")</f>
        <v/>
      </c>
      <c r="L439" s="248" t="str">
        <f t="array" ref="L439">IFERROR(J439*INDEX('PORTIFÓLIO'!$S$4:$S$433,MATCH($C439,'PORTIFÓLIO'!$C$4:$C$433,0)),"")</f>
        <v/>
      </c>
      <c r="M439" s="177"/>
      <c r="N439" s="177"/>
      <c r="O439" s="177"/>
      <c r="P439" s="177"/>
      <c r="Q439" s="177"/>
      <c r="R439" s="177"/>
      <c r="S439" s="177"/>
      <c r="T439" s="177"/>
      <c r="U439" s="177"/>
      <c r="V439" s="177"/>
      <c r="W439" s="177"/>
    </row>
    <row r="440" ht="15.75" customHeight="1" outlineLevel="1">
      <c r="A440" s="190"/>
      <c r="B440" s="204"/>
      <c r="C440" s="191"/>
      <c r="D440" s="205" t="str">
        <f>IFERROR(VLOOKUP($C440,'PORTIFÓLIO'!C:V,2,0),"")</f>
        <v/>
      </c>
      <c r="E440" s="190" t="str">
        <f>IFERROR(VLOOKUP($C440,'PORTIFÓLIO'!C:V,3,0),"")</f>
        <v/>
      </c>
      <c r="F440" s="190" t="str">
        <f>IFERROR(VLOOKUP($C440,'PORTIFÓLIO'!C:V,4,0),"")</f>
        <v/>
      </c>
      <c r="G440" s="206" t="str">
        <f>IFERROR(VLOOKUP($C440,'PORTIFÓLIO'!C:V,5,0),"")</f>
        <v/>
      </c>
      <c r="H440" s="247" t="str">
        <f t="array" ref="H440">IFERROR(INDEX('PORTIFÓLIO'!$H$4:$H$433,MATCH($C440,'PORTIFÓLIO'!$C$4:$C$433,0)),"")</f>
        <v/>
      </c>
      <c r="I440" s="257"/>
      <c r="J440" s="209">
        <f t="shared" si="49"/>
        <v>0</v>
      </c>
      <c r="K440" s="248" t="str">
        <f t="array" ref="K440">IFERROR(I440*INDEX('PORTIFÓLIO'!$S$4:$S$433,MATCH($C440,'PORTIFÓLIO'!$C$4:$C$433,0)),"")</f>
        <v/>
      </c>
      <c r="L440" s="248" t="str">
        <f t="array" ref="L440">IFERROR(J440*INDEX('PORTIFÓLIO'!$S$4:$S$433,MATCH($C440,'PORTIFÓLIO'!$C$4:$C$433,0)),"")</f>
        <v/>
      </c>
      <c r="M440" s="177"/>
      <c r="N440" s="177"/>
      <c r="O440" s="177"/>
      <c r="P440" s="177"/>
      <c r="Q440" s="177"/>
      <c r="R440" s="177"/>
      <c r="S440" s="177"/>
      <c r="T440" s="177"/>
      <c r="U440" s="177"/>
      <c r="V440" s="177"/>
      <c r="W440" s="177"/>
    </row>
    <row r="441" ht="15.75" customHeight="1" outlineLevel="1">
      <c r="A441" s="190"/>
      <c r="B441" s="204"/>
      <c r="C441" s="191"/>
      <c r="D441" s="205" t="str">
        <f>IFERROR(VLOOKUP($C441,'PORTIFÓLIO'!C:V,2,0),"")</f>
        <v/>
      </c>
      <c r="E441" s="190" t="str">
        <f>IFERROR(VLOOKUP($C441,'PORTIFÓLIO'!C:V,3,0),"")</f>
        <v/>
      </c>
      <c r="F441" s="190" t="str">
        <f>IFERROR(VLOOKUP($C441,'PORTIFÓLIO'!C:V,4,0),"")</f>
        <v/>
      </c>
      <c r="G441" s="206" t="str">
        <f>IFERROR(VLOOKUP($C441,'PORTIFÓLIO'!C:V,5,0),"")</f>
        <v/>
      </c>
      <c r="H441" s="247" t="str">
        <f t="array" ref="H441">IFERROR(INDEX('PORTIFÓLIO'!$H$4:$H$433,MATCH($C441,'PORTIFÓLIO'!$C$4:$C$433,0)),"")</f>
        <v/>
      </c>
      <c r="I441" s="257"/>
      <c r="J441" s="209">
        <f t="shared" si="49"/>
        <v>0</v>
      </c>
      <c r="K441" s="248" t="str">
        <f t="array" ref="K441">IFERROR(I441*INDEX('PORTIFÓLIO'!$S$4:$S$433,MATCH($C441,'PORTIFÓLIO'!$C$4:$C$433,0)),"")</f>
        <v/>
      </c>
      <c r="L441" s="248" t="str">
        <f t="array" ref="L441">IFERROR(J441*INDEX('PORTIFÓLIO'!$S$4:$S$433,MATCH($C441,'PORTIFÓLIO'!$C$4:$C$433,0)),"")</f>
        <v/>
      </c>
      <c r="M441" s="177"/>
      <c r="N441" s="177"/>
      <c r="O441" s="177"/>
      <c r="P441" s="177"/>
      <c r="Q441" s="177"/>
      <c r="R441" s="177"/>
      <c r="S441" s="177"/>
      <c r="T441" s="177"/>
      <c r="U441" s="177"/>
      <c r="V441" s="177"/>
      <c r="W441" s="177"/>
    </row>
    <row r="442" ht="15.75" customHeight="1" outlineLevel="1">
      <c r="A442" s="190"/>
      <c r="B442" s="204"/>
      <c r="C442" s="191"/>
      <c r="D442" s="205" t="str">
        <f>IFERROR(VLOOKUP($C442,'PORTIFÓLIO'!C:V,2,0),"")</f>
        <v/>
      </c>
      <c r="E442" s="190" t="str">
        <f>IFERROR(VLOOKUP($C442,'PORTIFÓLIO'!C:V,3,0),"")</f>
        <v/>
      </c>
      <c r="F442" s="190" t="str">
        <f>IFERROR(VLOOKUP($C442,'PORTIFÓLIO'!C:V,4,0),"")</f>
        <v/>
      </c>
      <c r="G442" s="206" t="str">
        <f>IFERROR(VLOOKUP($C442,'PORTIFÓLIO'!C:V,5,0),"")</f>
        <v/>
      </c>
      <c r="H442" s="247" t="str">
        <f t="array" ref="H442">IFERROR(INDEX('PORTIFÓLIO'!$H$4:$H$433,MATCH($C442,'PORTIFÓLIO'!$C$4:$C$433,0)),"")</f>
        <v/>
      </c>
      <c r="I442" s="257"/>
      <c r="J442" s="209">
        <f t="shared" si="49"/>
        <v>0</v>
      </c>
      <c r="K442" s="248" t="str">
        <f t="array" ref="K442">IFERROR(I442*INDEX('PORTIFÓLIO'!$S$4:$S$433,MATCH($C442,'PORTIFÓLIO'!$C$4:$C$433,0)),"")</f>
        <v/>
      </c>
      <c r="L442" s="248" t="str">
        <f t="array" ref="L442">IFERROR(J442*INDEX('PORTIFÓLIO'!$S$4:$S$433,MATCH($C442,'PORTIFÓLIO'!$C$4:$C$433,0)),"")</f>
        <v/>
      </c>
      <c r="M442" s="177"/>
      <c r="N442" s="177"/>
      <c r="O442" s="177"/>
      <c r="P442" s="177"/>
      <c r="Q442" s="177"/>
      <c r="R442" s="177"/>
      <c r="S442" s="177"/>
      <c r="T442" s="177"/>
      <c r="U442" s="177"/>
      <c r="V442" s="177"/>
      <c r="W442" s="177"/>
    </row>
    <row r="443" ht="15.75" customHeight="1" outlineLevel="1">
      <c r="A443" s="190"/>
      <c r="B443" s="238"/>
      <c r="C443" s="190"/>
      <c r="D443" s="205" t="str">
        <f>IFERROR(VLOOKUP($C443,'PORTIFÓLIO'!C:V,2,0),"")</f>
        <v/>
      </c>
      <c r="E443" s="190" t="str">
        <f>IFERROR(VLOOKUP($C443,'PORTIFÓLIO'!C:V,3,0),"")</f>
        <v/>
      </c>
      <c r="F443" s="190" t="str">
        <f>IFERROR(VLOOKUP($C443,'PORTIFÓLIO'!C:V,4,0),"")</f>
        <v/>
      </c>
      <c r="G443" s="206" t="str">
        <f>IFERROR(VLOOKUP($C443,'PORTIFÓLIO'!C:V,5,0),"")</f>
        <v/>
      </c>
      <c r="H443" s="247" t="str">
        <f t="array" ref="H443">IFERROR(INDEX('PORTIFÓLIO'!$H$4:$H$433,MATCH($C443,'PORTIFÓLIO'!$C$4:$C$433,0)),"")</f>
        <v/>
      </c>
      <c r="I443" s="257"/>
      <c r="J443" s="209">
        <f t="shared" si="49"/>
        <v>0</v>
      </c>
      <c r="K443" s="248" t="str">
        <f t="array" ref="K443">IFERROR(I443*INDEX('PORTIFÓLIO'!$S$4:$S$433,MATCH($C443,'PORTIFÓLIO'!$C$4:$C$433,0)),"")</f>
        <v/>
      </c>
      <c r="L443" s="248" t="str">
        <f t="array" ref="L443">IFERROR(J443*INDEX('PORTIFÓLIO'!$S$4:$S$433,MATCH($C443,'PORTIFÓLIO'!$C$4:$C$433,0)),"")</f>
        <v/>
      </c>
      <c r="M443" s="177"/>
      <c r="N443" s="177"/>
      <c r="O443" s="177"/>
      <c r="P443" s="177"/>
      <c r="Q443" s="177"/>
      <c r="R443" s="177"/>
      <c r="S443" s="177"/>
      <c r="T443" s="177"/>
      <c r="U443" s="177"/>
      <c r="V443" s="177"/>
      <c r="W443" s="177"/>
    </row>
    <row r="444" ht="15.75" customHeight="1" outlineLevel="1">
      <c r="A444" s="190"/>
      <c r="B444" s="238"/>
      <c r="C444" s="190"/>
      <c r="D444" s="205" t="str">
        <f>IFERROR(VLOOKUP($C444,'PORTIFÓLIO'!C:V,2,0),"")</f>
        <v/>
      </c>
      <c r="E444" s="190" t="str">
        <f>IFERROR(VLOOKUP($C444,'PORTIFÓLIO'!C:V,3,0),"")</f>
        <v/>
      </c>
      <c r="F444" s="190" t="str">
        <f>IFERROR(VLOOKUP($C444,'PORTIFÓLIO'!C:V,4,0),"")</f>
        <v/>
      </c>
      <c r="G444" s="206" t="str">
        <f>IFERROR(VLOOKUP($C444,'PORTIFÓLIO'!C:V,5,0),"")</f>
        <v/>
      </c>
      <c r="H444" s="247" t="str">
        <f t="array" ref="H444">IFERROR(INDEX('PORTIFÓLIO'!$H$4:$H$433,MATCH($C444,'PORTIFÓLIO'!$C$4:$C$433,0)),"")</f>
        <v/>
      </c>
      <c r="I444" s="257"/>
      <c r="J444" s="209">
        <f t="shared" si="49"/>
        <v>0</v>
      </c>
      <c r="K444" s="248" t="str">
        <f t="array" ref="K444">IFERROR(I444*INDEX('PORTIFÓLIO'!$S$4:$S$433,MATCH($C444,'PORTIFÓLIO'!$C$4:$C$433,0)),"")</f>
        <v/>
      </c>
      <c r="L444" s="248" t="str">
        <f t="array" ref="L444">IFERROR(J444*INDEX('PORTIFÓLIO'!$S$4:$S$433,MATCH($C444,'PORTIFÓLIO'!$C$4:$C$433,0)),"")</f>
        <v/>
      </c>
      <c r="M444" s="177"/>
      <c r="N444" s="177"/>
      <c r="O444" s="177"/>
      <c r="P444" s="177"/>
      <c r="Q444" s="177"/>
      <c r="R444" s="177"/>
      <c r="S444" s="177"/>
      <c r="T444" s="177"/>
      <c r="U444" s="177"/>
      <c r="V444" s="177"/>
      <c r="W444" s="177"/>
    </row>
    <row r="445" ht="15.75" customHeight="1" outlineLevel="1">
      <c r="A445" s="190"/>
      <c r="B445" s="238"/>
      <c r="C445" s="190"/>
      <c r="D445" s="205" t="str">
        <f>IFERROR(VLOOKUP($C445,'PORTIFÓLIO'!C:V,2,0),"")</f>
        <v/>
      </c>
      <c r="E445" s="190" t="str">
        <f>IFERROR(VLOOKUP($C445,'PORTIFÓLIO'!C:V,3,0),"")</f>
        <v/>
      </c>
      <c r="F445" s="190" t="str">
        <f>IFERROR(VLOOKUP($C445,'PORTIFÓLIO'!C:V,4,0),"")</f>
        <v/>
      </c>
      <c r="G445" s="206" t="str">
        <f>IFERROR(VLOOKUP($C445,'PORTIFÓLIO'!C:V,5,0),"")</f>
        <v/>
      </c>
      <c r="H445" s="247" t="str">
        <f t="array" ref="H445">IFERROR(INDEX('PORTIFÓLIO'!$H$4:$H$433,MATCH($C445,'PORTIFÓLIO'!$C$4:$C$433,0)),"")</f>
        <v/>
      </c>
      <c r="I445" s="257"/>
      <c r="J445" s="209">
        <f t="shared" si="49"/>
        <v>0</v>
      </c>
      <c r="K445" s="248" t="str">
        <f t="array" ref="K445">IFERROR(I445*INDEX('PORTIFÓLIO'!$S$4:$S$433,MATCH($C445,'PORTIFÓLIO'!$C$4:$C$433,0)),"")</f>
        <v/>
      </c>
      <c r="L445" s="248" t="str">
        <f t="array" ref="L445">IFERROR(J445*INDEX('PORTIFÓLIO'!$S$4:$S$433,MATCH($C445,'PORTIFÓLIO'!$C$4:$C$433,0)),"")</f>
        <v/>
      </c>
      <c r="M445" s="177"/>
      <c r="N445" s="177"/>
      <c r="O445" s="177"/>
      <c r="P445" s="177"/>
      <c r="Q445" s="177"/>
      <c r="R445" s="177"/>
      <c r="S445" s="177"/>
      <c r="T445" s="177"/>
      <c r="U445" s="177"/>
      <c r="V445" s="177"/>
      <c r="W445" s="177"/>
    </row>
    <row r="446" ht="15.75" customHeight="1" outlineLevel="1">
      <c r="A446" s="190"/>
      <c r="B446" s="238"/>
      <c r="C446" s="190"/>
      <c r="D446" s="205" t="str">
        <f>IFERROR(VLOOKUP($C446,'PORTIFÓLIO'!C:V,2,0),"")</f>
        <v/>
      </c>
      <c r="E446" s="190" t="str">
        <f>IFERROR(VLOOKUP($C446,'PORTIFÓLIO'!C:V,3,0),"")</f>
        <v/>
      </c>
      <c r="F446" s="190" t="str">
        <f>IFERROR(VLOOKUP($C446,'PORTIFÓLIO'!C:V,4,0),"")</f>
        <v/>
      </c>
      <c r="G446" s="206" t="str">
        <f>IFERROR(VLOOKUP($C446,'PORTIFÓLIO'!C:V,5,0),"")</f>
        <v/>
      </c>
      <c r="H446" s="247" t="str">
        <f t="array" ref="H446">IFERROR(INDEX('PORTIFÓLIO'!$H$4:$H$433,MATCH($C446,'PORTIFÓLIO'!$C$4:$C$433,0)),"")</f>
        <v/>
      </c>
      <c r="I446" s="257"/>
      <c r="J446" s="209">
        <f t="shared" si="49"/>
        <v>0</v>
      </c>
      <c r="K446" s="248" t="str">
        <f t="array" ref="K446">IFERROR(I446*INDEX('PORTIFÓLIO'!$S$4:$S$433,MATCH($C446,'PORTIFÓLIO'!$C$4:$C$433,0)),"")</f>
        <v/>
      </c>
      <c r="L446" s="248" t="str">
        <f t="array" ref="L446">IFERROR(J446*INDEX('PORTIFÓLIO'!$S$4:$S$433,MATCH($C446,'PORTIFÓLIO'!$C$4:$C$433,0)),"")</f>
        <v/>
      </c>
      <c r="M446" s="177"/>
      <c r="N446" s="177"/>
      <c r="O446" s="177"/>
      <c r="P446" s="177"/>
      <c r="Q446" s="177"/>
      <c r="R446" s="177"/>
      <c r="S446" s="177"/>
      <c r="T446" s="177"/>
      <c r="U446" s="177"/>
      <c r="V446" s="177"/>
      <c r="W446" s="177"/>
    </row>
    <row r="447" ht="15.75" customHeight="1" outlineLevel="1">
      <c r="A447" s="190"/>
      <c r="B447" s="238"/>
      <c r="C447" s="190"/>
      <c r="D447" s="205" t="str">
        <f>IFERROR(VLOOKUP($C447,'PORTIFÓLIO'!C:V,2,0),"")</f>
        <v/>
      </c>
      <c r="E447" s="190" t="str">
        <f>IFERROR(VLOOKUP($C447,'PORTIFÓLIO'!C:V,3,0),"")</f>
        <v/>
      </c>
      <c r="F447" s="190" t="str">
        <f>IFERROR(VLOOKUP($C447,'PORTIFÓLIO'!C:V,4,0),"")</f>
        <v/>
      </c>
      <c r="G447" s="206" t="str">
        <f>IFERROR(VLOOKUP($C447,'PORTIFÓLIO'!C:V,5,0),"")</f>
        <v/>
      </c>
      <c r="H447" s="247" t="str">
        <f t="array" ref="H447">IFERROR(INDEX('PORTIFÓLIO'!$H$4:$H$433,MATCH($C447,'PORTIFÓLIO'!$C$4:$C$433,0)),"")</f>
        <v/>
      </c>
      <c r="I447" s="257"/>
      <c r="J447" s="209">
        <f t="shared" si="49"/>
        <v>0</v>
      </c>
      <c r="K447" s="248" t="str">
        <f t="array" ref="K447">IFERROR(I447*INDEX('PORTIFÓLIO'!$S$4:$S$433,MATCH($C447,'PORTIFÓLIO'!$C$4:$C$433,0)),"")</f>
        <v/>
      </c>
      <c r="L447" s="248" t="str">
        <f t="array" ref="L447">IFERROR(J447*INDEX('PORTIFÓLIO'!$S$4:$S$433,MATCH($C447,'PORTIFÓLIO'!$C$4:$C$433,0)),"")</f>
        <v/>
      </c>
      <c r="M447" s="177"/>
      <c r="N447" s="177"/>
      <c r="O447" s="177"/>
      <c r="P447" s="177"/>
      <c r="Q447" s="177"/>
      <c r="R447" s="177"/>
      <c r="S447" s="177"/>
      <c r="T447" s="177"/>
      <c r="U447" s="177"/>
      <c r="V447" s="177"/>
      <c r="W447" s="177"/>
    </row>
    <row r="448" ht="15.75" customHeight="1" outlineLevel="1">
      <c r="A448" s="190"/>
      <c r="B448" s="238"/>
      <c r="C448" s="190"/>
      <c r="D448" s="205" t="str">
        <f>IFERROR(VLOOKUP($C448,'PORTIFÓLIO'!C:V,2,0),"")</f>
        <v/>
      </c>
      <c r="E448" s="190" t="str">
        <f>IFERROR(VLOOKUP($C448,'PORTIFÓLIO'!C:V,3,0),"")</f>
        <v/>
      </c>
      <c r="F448" s="190" t="str">
        <f>IFERROR(VLOOKUP($C448,'PORTIFÓLIO'!C:V,4,0),"")</f>
        <v/>
      </c>
      <c r="G448" s="206" t="str">
        <f>IFERROR(VLOOKUP($C448,'PORTIFÓLIO'!C:V,5,0),"")</f>
        <v/>
      </c>
      <c r="H448" s="247" t="str">
        <f t="array" ref="H448">IFERROR(INDEX('PORTIFÓLIO'!$H$4:$H$433,MATCH($C448,'PORTIFÓLIO'!$C$4:$C$433,0)),"")</f>
        <v/>
      </c>
      <c r="I448" s="257"/>
      <c r="J448" s="209">
        <f t="shared" si="49"/>
        <v>0</v>
      </c>
      <c r="K448" s="248" t="str">
        <f t="array" ref="K448">IFERROR(I448*INDEX('PORTIFÓLIO'!$S$4:$S$433,MATCH($C448,'PORTIFÓLIO'!$C$4:$C$433,0)),"")</f>
        <v/>
      </c>
      <c r="L448" s="248" t="str">
        <f t="array" ref="L448">IFERROR(J448*INDEX('PORTIFÓLIO'!$S$4:$S$433,MATCH($C448,'PORTIFÓLIO'!$C$4:$C$433,0)),"")</f>
        <v/>
      </c>
      <c r="M448" s="177"/>
      <c r="N448" s="177"/>
      <c r="O448" s="177"/>
      <c r="P448" s="177"/>
      <c r="Q448" s="177"/>
      <c r="R448" s="177"/>
      <c r="S448" s="177"/>
      <c r="T448" s="177"/>
      <c r="U448" s="177"/>
      <c r="V448" s="177"/>
      <c r="W448" s="177"/>
    </row>
    <row r="449" ht="15.75" customHeight="1" outlineLevel="1">
      <c r="A449" s="190"/>
      <c r="B449" s="238"/>
      <c r="C449" s="190"/>
      <c r="D449" s="205" t="str">
        <f>IFERROR(VLOOKUP($C449,'PORTIFÓLIO'!C:V,2,0),"")</f>
        <v/>
      </c>
      <c r="E449" s="190" t="str">
        <f>IFERROR(VLOOKUP($C449,'PORTIFÓLIO'!C:V,3,0),"")</f>
        <v/>
      </c>
      <c r="F449" s="190" t="str">
        <f>IFERROR(VLOOKUP($C449,'PORTIFÓLIO'!C:V,4,0),"")</f>
        <v/>
      </c>
      <c r="G449" s="206" t="str">
        <f>IFERROR(VLOOKUP($C449,'PORTIFÓLIO'!C:V,5,0),"")</f>
        <v/>
      </c>
      <c r="H449" s="247" t="str">
        <f t="array" ref="H449">IFERROR(INDEX('PORTIFÓLIO'!$H$4:$H$433,MATCH($C449,'PORTIFÓLIO'!$C$4:$C$433,0)),"")</f>
        <v/>
      </c>
      <c r="I449" s="257"/>
      <c r="J449" s="209">
        <f t="shared" si="49"/>
        <v>0</v>
      </c>
      <c r="K449" s="248" t="str">
        <f t="array" ref="K449">IFERROR(I449*INDEX('PORTIFÓLIO'!$S$4:$S$433,MATCH($C449,'PORTIFÓLIO'!$C$4:$C$433,0)),"")</f>
        <v/>
      </c>
      <c r="L449" s="248" t="str">
        <f t="array" ref="L449">IFERROR(J449*INDEX('PORTIFÓLIO'!$S$4:$S$433,MATCH($C449,'PORTIFÓLIO'!$C$4:$C$433,0)),"")</f>
        <v/>
      </c>
      <c r="M449" s="177"/>
      <c r="N449" s="177"/>
      <c r="O449" s="177"/>
      <c r="P449" s="177"/>
      <c r="Q449" s="177"/>
      <c r="R449" s="177"/>
      <c r="S449" s="177"/>
      <c r="T449" s="177"/>
      <c r="U449" s="177"/>
      <c r="V449" s="177"/>
      <c r="W449" s="177"/>
    </row>
    <row r="450" ht="15.75" customHeight="1" outlineLevel="1">
      <c r="A450" s="190"/>
      <c r="B450" s="238"/>
      <c r="C450" s="190"/>
      <c r="D450" s="205" t="str">
        <f>IFERROR(VLOOKUP($C450,'PORTIFÓLIO'!C:V,2,0),"")</f>
        <v/>
      </c>
      <c r="E450" s="190" t="str">
        <f>IFERROR(VLOOKUP($C450,'PORTIFÓLIO'!C:V,3,0),"")</f>
        <v/>
      </c>
      <c r="F450" s="190" t="str">
        <f>IFERROR(VLOOKUP($C450,'PORTIFÓLIO'!C:V,4,0),"")</f>
        <v/>
      </c>
      <c r="G450" s="206" t="str">
        <f>IFERROR(VLOOKUP($C450,'PORTIFÓLIO'!C:V,5,0),"")</f>
        <v/>
      </c>
      <c r="H450" s="247" t="str">
        <f t="array" ref="H450">IFERROR(INDEX('PORTIFÓLIO'!$H$4:$H$433,MATCH($C450,'PORTIFÓLIO'!$C$4:$C$433,0)),"")</f>
        <v/>
      </c>
      <c r="I450" s="257"/>
      <c r="J450" s="209">
        <f t="shared" si="49"/>
        <v>0</v>
      </c>
      <c r="K450" s="248" t="str">
        <f t="array" ref="K450">IFERROR(I450*INDEX('PORTIFÓLIO'!$S$4:$S$433,MATCH($C450,'PORTIFÓLIO'!$C$4:$C$433,0)),"")</f>
        <v/>
      </c>
      <c r="L450" s="248" t="str">
        <f t="array" ref="L450">IFERROR(J450*INDEX('PORTIFÓLIO'!$S$4:$S$433,MATCH($C450,'PORTIFÓLIO'!$C$4:$C$433,0)),"")</f>
        <v/>
      </c>
      <c r="M450" s="177"/>
      <c r="N450" s="177"/>
      <c r="O450" s="177"/>
      <c r="P450" s="177"/>
      <c r="Q450" s="177"/>
      <c r="R450" s="177"/>
      <c r="S450" s="177"/>
      <c r="T450" s="177"/>
      <c r="U450" s="177"/>
      <c r="V450" s="177"/>
      <c r="W450" s="177"/>
    </row>
    <row r="451" ht="15.75" customHeight="1" outlineLevel="1">
      <c r="A451" s="190"/>
      <c r="B451" s="238"/>
      <c r="C451" s="190"/>
      <c r="D451" s="205" t="str">
        <f>IFERROR(VLOOKUP($C451,'PORTIFÓLIO'!C:V,2,0),"")</f>
        <v/>
      </c>
      <c r="E451" s="190" t="str">
        <f>IFERROR(VLOOKUP($C451,'PORTIFÓLIO'!C:V,3,0),"")</f>
        <v/>
      </c>
      <c r="F451" s="190" t="str">
        <f>IFERROR(VLOOKUP($C451,'PORTIFÓLIO'!C:V,4,0),"")</f>
        <v/>
      </c>
      <c r="G451" s="206" t="str">
        <f>IFERROR(VLOOKUP($C451,'PORTIFÓLIO'!C:V,5,0),"")</f>
        <v/>
      </c>
      <c r="H451" s="247" t="str">
        <f t="array" ref="H451">IFERROR(INDEX('PORTIFÓLIO'!$H$4:$H$433,MATCH($C451,'PORTIFÓLIO'!$C$4:$C$433,0)),"")</f>
        <v/>
      </c>
      <c r="I451" s="257"/>
      <c r="J451" s="209">
        <f t="shared" si="49"/>
        <v>0</v>
      </c>
      <c r="K451" s="248" t="str">
        <f t="array" ref="K451">IFERROR(I451*INDEX('PORTIFÓLIO'!$S$4:$S$433,MATCH($C451,'PORTIFÓLIO'!$C$4:$C$433,0)),"")</f>
        <v/>
      </c>
      <c r="L451" s="248" t="str">
        <f t="array" ref="L451">IFERROR(J451*INDEX('PORTIFÓLIO'!$S$4:$S$433,MATCH($C451,'PORTIFÓLIO'!$C$4:$C$433,0)),"")</f>
        <v/>
      </c>
      <c r="M451" s="177"/>
      <c r="N451" s="177"/>
      <c r="O451" s="177"/>
      <c r="P451" s="177"/>
      <c r="Q451" s="177"/>
      <c r="R451" s="177"/>
      <c r="S451" s="177"/>
      <c r="T451" s="177"/>
      <c r="U451" s="177"/>
      <c r="V451" s="177"/>
      <c r="W451" s="177"/>
    </row>
    <row r="452" ht="15.75" customHeight="1">
      <c r="A452" s="238"/>
      <c r="B452" s="238"/>
      <c r="C452" s="238"/>
      <c r="D452" s="238"/>
      <c r="E452" s="238"/>
      <c r="F452" s="238"/>
      <c r="G452" s="206"/>
      <c r="H452" s="238"/>
      <c r="I452" s="238"/>
      <c r="J452" s="238"/>
      <c r="K452" s="249">
        <f t="shared" ref="K452:L452" si="50">SUBTOTAL(9,K237:K427)</f>
        <v>0</v>
      </c>
      <c r="L452" s="249">
        <f t="shared" si="50"/>
        <v>0</v>
      </c>
      <c r="M452" s="177"/>
      <c r="N452" s="177"/>
      <c r="O452" s="177"/>
      <c r="P452" s="177"/>
      <c r="Q452" s="177"/>
      <c r="R452" s="177"/>
      <c r="S452" s="177"/>
      <c r="T452" s="177"/>
      <c r="U452" s="177"/>
      <c r="V452" s="177"/>
      <c r="W452" s="177"/>
    </row>
    <row r="453" ht="15.75" customHeight="1">
      <c r="A453" s="177"/>
      <c r="B453" s="177"/>
      <c r="C453" s="177"/>
      <c r="D453" s="177"/>
      <c r="E453" s="177"/>
      <c r="F453" s="177"/>
      <c r="G453" s="177"/>
      <c r="H453" s="177"/>
      <c r="I453" s="177"/>
      <c r="J453" s="177"/>
      <c r="K453" s="177"/>
      <c r="L453" s="177"/>
      <c r="M453" s="177"/>
      <c r="N453" s="177"/>
      <c r="O453" s="177"/>
      <c r="P453" s="177"/>
      <c r="Q453" s="177"/>
      <c r="R453" s="177"/>
      <c r="S453" s="177"/>
      <c r="T453" s="177"/>
      <c r="U453" s="177"/>
      <c r="V453" s="177"/>
      <c r="W453" s="177"/>
    </row>
    <row r="454" ht="15.75" customHeight="1">
      <c r="A454" s="177"/>
      <c r="B454" s="177"/>
      <c r="C454" s="177"/>
      <c r="D454" s="177"/>
      <c r="E454" s="177"/>
      <c r="F454" s="177"/>
      <c r="G454" s="177"/>
      <c r="H454" s="177"/>
      <c r="I454" s="177"/>
      <c r="J454" s="177"/>
      <c r="K454" s="177"/>
      <c r="L454" s="177"/>
      <c r="M454" s="177"/>
      <c r="N454" s="177"/>
      <c r="O454" s="177"/>
      <c r="P454" s="177"/>
      <c r="Q454" s="177"/>
      <c r="R454" s="177"/>
      <c r="S454" s="177"/>
      <c r="T454" s="177"/>
      <c r="U454" s="177"/>
      <c r="V454" s="177"/>
      <c r="W454" s="177"/>
    </row>
    <row r="455" ht="15.75" customHeight="1">
      <c r="A455" s="177"/>
      <c r="B455" s="177"/>
      <c r="C455" s="177"/>
      <c r="D455" s="177"/>
      <c r="E455" s="177"/>
      <c r="F455" s="177"/>
      <c r="G455" s="177"/>
      <c r="H455" s="177"/>
      <c r="I455" s="177"/>
      <c r="J455" s="177"/>
      <c r="K455" s="177"/>
      <c r="L455" s="177"/>
      <c r="M455" s="177"/>
      <c r="N455" s="177"/>
      <c r="O455" s="177"/>
      <c r="P455" s="177"/>
      <c r="Q455" s="177"/>
      <c r="R455" s="177"/>
      <c r="S455" s="177"/>
      <c r="T455" s="177"/>
      <c r="U455" s="177"/>
      <c r="V455" s="177"/>
      <c r="W455" s="177"/>
    </row>
    <row r="456" ht="15.75" customHeight="1">
      <c r="A456" s="177"/>
      <c r="B456" s="177"/>
      <c r="C456" s="177"/>
      <c r="D456" s="177"/>
      <c r="E456" s="177"/>
      <c r="F456" s="177"/>
      <c r="G456" s="177"/>
      <c r="H456" s="177"/>
      <c r="I456" s="177"/>
      <c r="J456" s="177"/>
      <c r="K456" s="177"/>
      <c r="L456" s="177"/>
      <c r="M456" s="177"/>
      <c r="N456" s="177"/>
      <c r="O456" s="177"/>
      <c r="P456" s="177"/>
      <c r="Q456" s="177"/>
      <c r="R456" s="177"/>
      <c r="S456" s="177"/>
      <c r="T456" s="177"/>
      <c r="U456" s="177"/>
      <c r="V456" s="177"/>
      <c r="W456" s="177"/>
    </row>
    <row r="457" ht="15.75" customHeight="1">
      <c r="A457" s="177"/>
      <c r="B457" s="177"/>
      <c r="C457" s="177"/>
      <c r="D457" s="177"/>
      <c r="E457" s="177"/>
      <c r="F457" s="177"/>
      <c r="G457" s="177"/>
      <c r="H457" s="177"/>
      <c r="I457" s="177"/>
      <c r="J457" s="177"/>
      <c r="K457" s="177"/>
      <c r="L457" s="177"/>
      <c r="M457" s="177"/>
      <c r="N457" s="177"/>
      <c r="O457" s="177"/>
      <c r="P457" s="177"/>
      <c r="Q457" s="177"/>
      <c r="R457" s="177"/>
      <c r="S457" s="177"/>
      <c r="T457" s="177"/>
      <c r="U457" s="177"/>
      <c r="V457" s="177"/>
      <c r="W457" s="177"/>
    </row>
    <row r="458" ht="15.75" customHeight="1">
      <c r="A458" s="177"/>
      <c r="B458" s="177"/>
      <c r="C458" s="177"/>
      <c r="D458" s="177"/>
      <c r="E458" s="177"/>
      <c r="F458" s="177"/>
      <c r="G458" s="177"/>
      <c r="H458" s="177"/>
      <c r="I458" s="177"/>
      <c r="J458" s="177"/>
      <c r="K458" s="177"/>
      <c r="L458" s="177"/>
      <c r="M458" s="177"/>
      <c r="N458" s="177"/>
      <c r="O458" s="177"/>
      <c r="P458" s="177"/>
      <c r="Q458" s="177"/>
      <c r="R458" s="177"/>
      <c r="S458" s="177"/>
      <c r="T458" s="177"/>
      <c r="U458" s="177"/>
      <c r="V458" s="177"/>
      <c r="W458" s="177"/>
    </row>
    <row r="459" ht="15.75" customHeight="1">
      <c r="A459" s="177"/>
      <c r="B459" s="177"/>
      <c r="C459" s="177"/>
      <c r="D459" s="177"/>
      <c r="E459" s="177"/>
      <c r="F459" s="177"/>
      <c r="G459" s="177"/>
      <c r="H459" s="177"/>
      <c r="I459" s="177"/>
      <c r="J459" s="177"/>
      <c r="K459" s="177"/>
      <c r="L459" s="177"/>
      <c r="M459" s="177"/>
      <c r="N459" s="177"/>
      <c r="O459" s="177"/>
      <c r="P459" s="177"/>
      <c r="Q459" s="177"/>
      <c r="R459" s="177"/>
      <c r="S459" s="177"/>
      <c r="T459" s="177"/>
      <c r="U459" s="177"/>
      <c r="V459" s="177"/>
      <c r="W459" s="177"/>
    </row>
    <row r="460" ht="15.75" customHeight="1">
      <c r="A460" s="177"/>
      <c r="B460" s="177"/>
      <c r="C460" s="177"/>
      <c r="D460" s="177"/>
      <c r="E460" s="177"/>
      <c r="F460" s="177"/>
      <c r="G460" s="177"/>
      <c r="H460" s="177"/>
      <c r="I460" s="177"/>
      <c r="J460" s="177"/>
      <c r="K460" s="177"/>
      <c r="L460" s="177"/>
      <c r="M460" s="177"/>
      <c r="N460" s="177"/>
      <c r="O460" s="177"/>
      <c r="P460" s="177"/>
      <c r="Q460" s="177"/>
      <c r="R460" s="177"/>
      <c r="S460" s="177"/>
      <c r="T460" s="177"/>
      <c r="U460" s="177"/>
      <c r="V460" s="177"/>
      <c r="W460" s="177"/>
    </row>
    <row r="461" ht="15.75" customHeight="1">
      <c r="A461" s="177"/>
      <c r="B461" s="177"/>
      <c r="C461" s="177"/>
      <c r="D461" s="177"/>
      <c r="E461" s="177"/>
      <c r="F461" s="177"/>
      <c r="G461" s="177"/>
      <c r="H461" s="177"/>
      <c r="I461" s="177"/>
      <c r="J461" s="177"/>
      <c r="K461" s="177"/>
      <c r="L461" s="177"/>
      <c r="M461" s="177"/>
      <c r="N461" s="177"/>
      <c r="O461" s="177"/>
      <c r="P461" s="177"/>
      <c r="Q461" s="177"/>
      <c r="R461" s="177"/>
      <c r="S461" s="177"/>
      <c r="T461" s="177"/>
      <c r="U461" s="177"/>
      <c r="V461" s="177"/>
      <c r="W461" s="177"/>
    </row>
    <row r="462" ht="15.75" customHeight="1">
      <c r="A462" s="177"/>
      <c r="B462" s="177"/>
      <c r="C462" s="177"/>
      <c r="D462" s="177"/>
      <c r="E462" s="177"/>
      <c r="F462" s="177"/>
      <c r="G462" s="177"/>
      <c r="H462" s="177"/>
      <c r="I462" s="177"/>
      <c r="J462" s="177"/>
      <c r="K462" s="177"/>
      <c r="L462" s="177"/>
      <c r="M462" s="177"/>
      <c r="N462" s="177"/>
      <c r="O462" s="177"/>
      <c r="P462" s="177"/>
      <c r="Q462" s="177"/>
      <c r="R462" s="177"/>
      <c r="S462" s="177"/>
      <c r="T462" s="177"/>
      <c r="U462" s="177"/>
      <c r="V462" s="177"/>
      <c r="W462" s="177"/>
    </row>
    <row r="463" ht="15.75" customHeight="1">
      <c r="A463" s="177"/>
      <c r="B463" s="177"/>
      <c r="C463" s="177"/>
      <c r="D463" s="177"/>
      <c r="E463" s="177"/>
      <c r="F463" s="177"/>
      <c r="G463" s="177"/>
      <c r="H463" s="177"/>
      <c r="I463" s="177"/>
      <c r="J463" s="177"/>
      <c r="K463" s="177"/>
      <c r="L463" s="177"/>
      <c r="M463" s="177"/>
      <c r="N463" s="177"/>
      <c r="O463" s="177"/>
      <c r="P463" s="177"/>
      <c r="Q463" s="177"/>
      <c r="R463" s="177"/>
      <c r="S463" s="177"/>
      <c r="T463" s="177"/>
      <c r="U463" s="177"/>
      <c r="V463" s="177"/>
      <c r="W463" s="177"/>
    </row>
    <row r="464" ht="15.75" customHeight="1">
      <c r="A464" s="177"/>
      <c r="B464" s="177"/>
      <c r="C464" s="177"/>
      <c r="D464" s="177"/>
      <c r="E464" s="177"/>
      <c r="F464" s="177"/>
      <c r="G464" s="177"/>
      <c r="H464" s="177"/>
      <c r="I464" s="177"/>
      <c r="J464" s="177"/>
      <c r="K464" s="177"/>
      <c r="L464" s="177"/>
      <c r="M464" s="177"/>
      <c r="N464" s="177"/>
      <c r="O464" s="177"/>
      <c r="P464" s="177"/>
      <c r="Q464" s="177"/>
      <c r="R464" s="177"/>
      <c r="S464" s="177"/>
      <c r="T464" s="177"/>
      <c r="U464" s="177"/>
      <c r="V464" s="177"/>
      <c r="W464" s="177"/>
    </row>
    <row r="465" ht="15.75" customHeight="1">
      <c r="A465" s="177"/>
      <c r="B465" s="177"/>
      <c r="C465" s="177"/>
      <c r="D465" s="177"/>
      <c r="E465" s="177"/>
      <c r="F465" s="177"/>
      <c r="G465" s="177"/>
      <c r="H465" s="177"/>
      <c r="I465" s="177"/>
      <c r="J465" s="177"/>
      <c r="K465" s="177"/>
      <c r="L465" s="177"/>
      <c r="M465" s="177"/>
      <c r="N465" s="177"/>
      <c r="O465" s="177"/>
      <c r="P465" s="177"/>
      <c r="Q465" s="177"/>
      <c r="R465" s="177"/>
      <c r="S465" s="177"/>
      <c r="T465" s="177"/>
      <c r="U465" s="177"/>
      <c r="V465" s="177"/>
      <c r="W465" s="177"/>
    </row>
    <row r="466" ht="15.75" customHeight="1">
      <c r="A466" s="177"/>
      <c r="B466" s="177"/>
      <c r="C466" s="177"/>
      <c r="D466" s="177"/>
      <c r="E466" s="177"/>
      <c r="F466" s="177"/>
      <c r="G466" s="177"/>
      <c r="H466" s="177"/>
      <c r="I466" s="177"/>
      <c r="J466" s="177"/>
      <c r="K466" s="177"/>
      <c r="L466" s="177"/>
      <c r="M466" s="177"/>
      <c r="N466" s="177"/>
      <c r="O466" s="177"/>
      <c r="P466" s="177"/>
      <c r="Q466" s="177"/>
      <c r="R466" s="177"/>
      <c r="S466" s="177"/>
      <c r="T466" s="177"/>
      <c r="U466" s="177"/>
      <c r="V466" s="177"/>
      <c r="W466" s="177"/>
    </row>
    <row r="467" ht="15.75" customHeight="1">
      <c r="A467" s="177"/>
      <c r="B467" s="177"/>
      <c r="C467" s="177"/>
      <c r="D467" s="177"/>
      <c r="E467" s="177"/>
      <c r="F467" s="177"/>
      <c r="G467" s="177"/>
      <c r="H467" s="177"/>
      <c r="I467" s="177"/>
      <c r="J467" s="177"/>
      <c r="K467" s="177"/>
      <c r="L467" s="177"/>
      <c r="M467" s="177"/>
      <c r="N467" s="177"/>
      <c r="O467" s="177"/>
      <c r="P467" s="177"/>
      <c r="Q467" s="177"/>
      <c r="R467" s="177"/>
      <c r="S467" s="177"/>
      <c r="T467" s="177"/>
      <c r="U467" s="177"/>
      <c r="V467" s="177"/>
      <c r="W467" s="177"/>
    </row>
    <row r="468" ht="15.75" customHeight="1">
      <c r="A468" s="177"/>
      <c r="B468" s="177"/>
      <c r="C468" s="177"/>
      <c r="D468" s="177"/>
      <c r="E468" s="177"/>
      <c r="F468" s="177"/>
      <c r="G468" s="177"/>
      <c r="H468" s="177"/>
      <c r="I468" s="177"/>
      <c r="J468" s="177"/>
      <c r="K468" s="177"/>
      <c r="L468" s="177"/>
      <c r="M468" s="177"/>
      <c r="N468" s="177"/>
      <c r="O468" s="177"/>
      <c r="P468" s="177"/>
      <c r="Q468" s="177"/>
      <c r="R468" s="177"/>
      <c r="S468" s="177"/>
      <c r="T468" s="177"/>
      <c r="U468" s="177"/>
      <c r="V468" s="177"/>
      <c r="W468" s="177"/>
    </row>
    <row r="469" ht="15.75" customHeight="1">
      <c r="A469" s="177"/>
      <c r="B469" s="177"/>
      <c r="C469" s="177"/>
      <c r="D469" s="177"/>
      <c r="E469" s="177"/>
      <c r="F469" s="177"/>
      <c r="G469" s="177"/>
      <c r="H469" s="177"/>
      <c r="I469" s="177"/>
      <c r="J469" s="177"/>
      <c r="K469" s="177"/>
      <c r="L469" s="177"/>
      <c r="M469" s="177"/>
      <c r="N469" s="177"/>
      <c r="O469" s="177"/>
      <c r="P469" s="177"/>
      <c r="Q469" s="177"/>
      <c r="R469" s="177"/>
      <c r="S469" s="177"/>
      <c r="T469" s="177"/>
      <c r="U469" s="177"/>
      <c r="V469" s="177"/>
      <c r="W469" s="177"/>
    </row>
    <row r="470" ht="15.75" customHeight="1">
      <c r="A470" s="177"/>
      <c r="B470" s="177"/>
      <c r="C470" s="177"/>
      <c r="D470" s="177"/>
      <c r="E470" s="177"/>
      <c r="F470" s="177"/>
      <c r="G470" s="177"/>
      <c r="H470" s="177"/>
      <c r="I470" s="177"/>
      <c r="J470" s="177"/>
      <c r="K470" s="177"/>
      <c r="L470" s="177"/>
      <c r="M470" s="177"/>
      <c r="N470" s="177"/>
      <c r="O470" s="177"/>
      <c r="P470" s="177"/>
      <c r="Q470" s="177"/>
      <c r="R470" s="177"/>
      <c r="S470" s="177"/>
      <c r="T470" s="177"/>
      <c r="U470" s="177"/>
      <c r="V470" s="177"/>
      <c r="W470" s="177"/>
    </row>
    <row r="471" ht="15.75" customHeight="1">
      <c r="A471" s="177"/>
      <c r="B471" s="177"/>
      <c r="C471" s="177"/>
      <c r="D471" s="177"/>
      <c r="E471" s="177"/>
      <c r="F471" s="177"/>
      <c r="G471" s="177"/>
      <c r="H471" s="177"/>
      <c r="I471" s="177"/>
      <c r="J471" s="177"/>
      <c r="K471" s="177"/>
      <c r="L471" s="177"/>
      <c r="M471" s="177"/>
      <c r="N471" s="177"/>
      <c r="O471" s="177"/>
      <c r="P471" s="177"/>
      <c r="Q471" s="177"/>
      <c r="R471" s="177"/>
      <c r="S471" s="177"/>
      <c r="T471" s="177"/>
      <c r="U471" s="177"/>
      <c r="V471" s="177"/>
      <c r="W471" s="177"/>
    </row>
    <row r="472" ht="15.75" customHeight="1">
      <c r="A472" s="177"/>
      <c r="B472" s="177"/>
      <c r="C472" s="177"/>
      <c r="D472" s="177"/>
      <c r="E472" s="177"/>
      <c r="F472" s="177"/>
      <c r="G472" s="177"/>
      <c r="H472" s="177"/>
      <c r="I472" s="177"/>
      <c r="J472" s="177"/>
      <c r="K472" s="177"/>
      <c r="L472" s="177"/>
      <c r="M472" s="177"/>
      <c r="N472" s="177"/>
      <c r="O472" s="177"/>
      <c r="P472" s="177"/>
      <c r="Q472" s="177"/>
      <c r="R472" s="177"/>
      <c r="S472" s="177"/>
      <c r="T472" s="177"/>
      <c r="U472" s="177"/>
      <c r="V472" s="177"/>
      <c r="W472" s="177"/>
    </row>
    <row r="473" ht="15.75" customHeight="1">
      <c r="A473" s="177"/>
      <c r="B473" s="177"/>
      <c r="C473" s="177"/>
      <c r="D473" s="177"/>
      <c r="E473" s="177"/>
      <c r="F473" s="177"/>
      <c r="G473" s="177"/>
      <c r="H473" s="177"/>
      <c r="I473" s="177"/>
      <c r="J473" s="177"/>
      <c r="K473" s="177"/>
      <c r="L473" s="177"/>
      <c r="M473" s="177"/>
      <c r="N473" s="177"/>
      <c r="O473" s="177"/>
      <c r="P473" s="177"/>
      <c r="Q473" s="177"/>
      <c r="R473" s="177"/>
      <c r="S473" s="177"/>
      <c r="T473" s="177"/>
      <c r="U473" s="177"/>
      <c r="V473" s="177"/>
      <c r="W473" s="177"/>
    </row>
    <row r="474" ht="15.75" customHeight="1">
      <c r="A474" s="177"/>
      <c r="B474" s="177"/>
      <c r="C474" s="177"/>
      <c r="D474" s="177"/>
      <c r="E474" s="177"/>
      <c r="F474" s="177"/>
      <c r="G474" s="177"/>
      <c r="H474" s="177"/>
      <c r="I474" s="177"/>
      <c r="J474" s="177"/>
      <c r="K474" s="177"/>
      <c r="L474" s="177"/>
      <c r="M474" s="177"/>
      <c r="N474" s="177"/>
      <c r="O474" s="177"/>
      <c r="P474" s="177"/>
      <c r="Q474" s="177"/>
      <c r="R474" s="177"/>
      <c r="S474" s="177"/>
      <c r="T474" s="177"/>
      <c r="U474" s="177"/>
      <c r="V474" s="177"/>
      <c r="W474" s="177"/>
    </row>
    <row r="475" ht="15.75" customHeight="1">
      <c r="A475" s="177"/>
      <c r="B475" s="177"/>
      <c r="C475" s="177"/>
      <c r="D475" s="177"/>
      <c r="E475" s="177"/>
      <c r="F475" s="177"/>
      <c r="G475" s="177"/>
      <c r="H475" s="177"/>
      <c r="I475" s="177"/>
      <c r="J475" s="177"/>
      <c r="K475" s="177"/>
      <c r="L475" s="177"/>
      <c r="M475" s="177"/>
      <c r="N475" s="177"/>
      <c r="O475" s="177"/>
      <c r="P475" s="177"/>
      <c r="Q475" s="177"/>
      <c r="R475" s="177"/>
      <c r="S475" s="177"/>
      <c r="T475" s="177"/>
      <c r="U475" s="177"/>
      <c r="V475" s="177"/>
      <c r="W475" s="177"/>
    </row>
    <row r="476" ht="15.75" customHeight="1">
      <c r="A476" s="177"/>
      <c r="B476" s="177"/>
      <c r="C476" s="177"/>
      <c r="D476" s="177"/>
      <c r="E476" s="177"/>
      <c r="F476" s="177"/>
      <c r="G476" s="177"/>
      <c r="H476" s="177"/>
      <c r="I476" s="177"/>
      <c r="J476" s="177"/>
      <c r="K476" s="177"/>
      <c r="L476" s="177"/>
      <c r="M476" s="177"/>
      <c r="N476" s="177"/>
      <c r="O476" s="177"/>
      <c r="P476" s="177"/>
      <c r="Q476" s="177"/>
      <c r="R476" s="177"/>
      <c r="S476" s="177"/>
      <c r="T476" s="177"/>
      <c r="U476" s="177"/>
      <c r="V476" s="177"/>
      <c r="W476" s="177"/>
    </row>
    <row r="477" ht="15.75" customHeight="1">
      <c r="A477" s="177"/>
      <c r="B477" s="177"/>
      <c r="C477" s="177"/>
      <c r="D477" s="177"/>
      <c r="E477" s="177"/>
      <c r="F477" s="177"/>
      <c r="G477" s="177"/>
      <c r="H477" s="177"/>
      <c r="I477" s="177"/>
      <c r="J477" s="177"/>
      <c r="K477" s="177"/>
      <c r="L477" s="177"/>
      <c r="M477" s="177"/>
      <c r="N477" s="177"/>
      <c r="O477" s="177"/>
      <c r="P477" s="177"/>
      <c r="Q477" s="177"/>
      <c r="R477" s="177"/>
      <c r="S477" s="177"/>
      <c r="T477" s="177"/>
      <c r="U477" s="177"/>
      <c r="V477" s="177"/>
      <c r="W477" s="177"/>
    </row>
    <row r="478" ht="15.75" customHeight="1">
      <c r="A478" s="177"/>
      <c r="B478" s="177"/>
      <c r="C478" s="177"/>
      <c r="D478" s="177"/>
      <c r="E478" s="177"/>
      <c r="F478" s="177"/>
      <c r="G478" s="177"/>
      <c r="H478" s="177"/>
      <c r="I478" s="177"/>
      <c r="J478" s="177"/>
      <c r="K478" s="177"/>
      <c r="L478" s="177"/>
      <c r="M478" s="177"/>
      <c r="N478" s="177"/>
      <c r="O478" s="177"/>
      <c r="P478" s="177"/>
      <c r="Q478" s="177"/>
      <c r="R478" s="177"/>
      <c r="S478" s="177"/>
      <c r="T478" s="177"/>
      <c r="U478" s="177"/>
      <c r="V478" s="177"/>
      <c r="W478" s="177"/>
    </row>
    <row r="479" ht="15.75" customHeight="1">
      <c r="A479" s="177"/>
      <c r="B479" s="177"/>
      <c r="C479" s="177"/>
      <c r="D479" s="177"/>
      <c r="E479" s="177"/>
      <c r="F479" s="177"/>
      <c r="G479" s="177"/>
      <c r="H479" s="177"/>
      <c r="I479" s="177"/>
      <c r="J479" s="177"/>
      <c r="K479" s="177"/>
      <c r="L479" s="177"/>
      <c r="M479" s="177"/>
      <c r="N479" s="177"/>
      <c r="O479" s="177"/>
      <c r="P479" s="177"/>
      <c r="Q479" s="177"/>
      <c r="R479" s="177"/>
      <c r="S479" s="177"/>
      <c r="T479" s="177"/>
      <c r="U479" s="177"/>
      <c r="V479" s="177"/>
      <c r="W479" s="177"/>
    </row>
    <row r="480" ht="15.75" customHeight="1">
      <c r="A480" s="177"/>
      <c r="B480" s="177"/>
      <c r="C480" s="177"/>
      <c r="D480" s="177"/>
      <c r="E480" s="177"/>
      <c r="F480" s="177"/>
      <c r="G480" s="177"/>
      <c r="H480" s="177"/>
      <c r="I480" s="177"/>
      <c r="J480" s="177"/>
      <c r="K480" s="177"/>
      <c r="L480" s="177"/>
      <c r="M480" s="177"/>
      <c r="N480" s="177"/>
      <c r="O480" s="177"/>
      <c r="P480" s="177"/>
      <c r="Q480" s="177"/>
      <c r="R480" s="177"/>
      <c r="S480" s="177"/>
      <c r="T480" s="177"/>
      <c r="U480" s="177"/>
      <c r="V480" s="177"/>
      <c r="W480" s="177"/>
    </row>
    <row r="481" ht="15.75" customHeight="1">
      <c r="A481" s="177"/>
      <c r="B481" s="177"/>
      <c r="C481" s="177"/>
      <c r="D481" s="177"/>
      <c r="E481" s="177"/>
      <c r="F481" s="177"/>
      <c r="G481" s="177"/>
      <c r="H481" s="177"/>
      <c r="I481" s="177"/>
      <c r="J481" s="177"/>
      <c r="K481" s="177"/>
      <c r="L481" s="177"/>
      <c r="M481" s="177"/>
      <c r="N481" s="177"/>
      <c r="O481" s="177"/>
      <c r="P481" s="177"/>
      <c r="Q481" s="177"/>
      <c r="R481" s="177"/>
      <c r="S481" s="177"/>
      <c r="T481" s="177"/>
      <c r="U481" s="177"/>
      <c r="V481" s="177"/>
      <c r="W481" s="177"/>
    </row>
    <row r="482" ht="15.75" customHeight="1">
      <c r="A482" s="177"/>
      <c r="B482" s="177"/>
      <c r="C482" s="177"/>
      <c r="D482" s="177"/>
      <c r="E482" s="177"/>
      <c r="F482" s="177"/>
      <c r="G482" s="177"/>
      <c r="H482" s="177"/>
      <c r="I482" s="177"/>
      <c r="J482" s="177"/>
      <c r="K482" s="177"/>
      <c r="L482" s="177"/>
      <c r="M482" s="177"/>
      <c r="N482" s="177"/>
      <c r="O482" s="177"/>
      <c r="P482" s="177"/>
      <c r="Q482" s="177"/>
      <c r="R482" s="177"/>
      <c r="S482" s="177"/>
      <c r="T482" s="177"/>
      <c r="U482" s="177"/>
      <c r="V482" s="177"/>
      <c r="W482" s="177"/>
    </row>
    <row r="483" ht="15.75" customHeight="1">
      <c r="A483" s="177"/>
      <c r="B483" s="177"/>
      <c r="C483" s="177"/>
      <c r="D483" s="177"/>
      <c r="E483" s="177"/>
      <c r="F483" s="177"/>
      <c r="G483" s="177"/>
      <c r="H483" s="177"/>
      <c r="I483" s="177"/>
      <c r="J483" s="177"/>
      <c r="K483" s="177"/>
      <c r="L483" s="177"/>
      <c r="M483" s="177"/>
      <c r="N483" s="177"/>
      <c r="O483" s="177"/>
      <c r="P483" s="177"/>
      <c r="Q483" s="177"/>
      <c r="R483" s="177"/>
      <c r="S483" s="177"/>
      <c r="T483" s="177"/>
      <c r="U483" s="177"/>
      <c r="V483" s="177"/>
      <c r="W483" s="177"/>
    </row>
    <row r="484" ht="15.75" customHeight="1">
      <c r="A484" s="177"/>
      <c r="B484" s="177"/>
      <c r="C484" s="177"/>
      <c r="D484" s="177"/>
      <c r="E484" s="177"/>
      <c r="F484" s="177"/>
      <c r="G484" s="177"/>
      <c r="H484" s="177"/>
      <c r="I484" s="177"/>
      <c r="J484" s="177"/>
      <c r="K484" s="177"/>
      <c r="L484" s="177"/>
      <c r="M484" s="177"/>
      <c r="N484" s="177"/>
      <c r="O484" s="177"/>
      <c r="P484" s="177"/>
      <c r="Q484" s="177"/>
      <c r="R484" s="177"/>
      <c r="S484" s="177"/>
      <c r="T484" s="177"/>
      <c r="U484" s="177"/>
      <c r="V484" s="177"/>
      <c r="W484" s="177"/>
    </row>
    <row r="485" ht="15.75" customHeight="1">
      <c r="A485" s="177"/>
      <c r="B485" s="177"/>
      <c r="C485" s="177"/>
      <c r="D485" s="177"/>
      <c r="E485" s="177"/>
      <c r="F485" s="177"/>
      <c r="G485" s="177"/>
      <c r="H485" s="177"/>
      <c r="I485" s="177"/>
      <c r="J485" s="177"/>
      <c r="K485" s="177"/>
      <c r="L485" s="177"/>
      <c r="M485" s="177"/>
      <c r="N485" s="177"/>
      <c r="O485" s="177"/>
      <c r="P485" s="177"/>
      <c r="Q485" s="177"/>
      <c r="R485" s="177"/>
      <c r="S485" s="177"/>
      <c r="T485" s="177"/>
      <c r="U485" s="177"/>
      <c r="V485" s="177"/>
      <c r="W485" s="177"/>
    </row>
    <row r="486" ht="15.75" customHeight="1">
      <c r="A486" s="177"/>
      <c r="B486" s="177"/>
      <c r="C486" s="177"/>
      <c r="D486" s="177"/>
      <c r="E486" s="177"/>
      <c r="F486" s="177"/>
      <c r="G486" s="177"/>
      <c r="H486" s="177"/>
      <c r="I486" s="177"/>
      <c r="J486" s="177"/>
      <c r="K486" s="177"/>
      <c r="L486" s="177"/>
      <c r="M486" s="177"/>
      <c r="N486" s="177"/>
      <c r="O486" s="177"/>
      <c r="P486" s="177"/>
      <c r="Q486" s="177"/>
      <c r="R486" s="177"/>
      <c r="S486" s="177"/>
      <c r="T486" s="177"/>
      <c r="U486" s="177"/>
      <c r="V486" s="177"/>
      <c r="W486" s="177"/>
    </row>
    <row r="487" ht="15.75" customHeight="1">
      <c r="A487" s="177"/>
      <c r="B487" s="177"/>
      <c r="C487" s="177"/>
      <c r="D487" s="177"/>
      <c r="E487" s="177"/>
      <c r="F487" s="177"/>
      <c r="G487" s="177"/>
      <c r="H487" s="177"/>
      <c r="I487" s="177"/>
      <c r="J487" s="177"/>
      <c r="K487" s="177"/>
      <c r="L487" s="177"/>
      <c r="M487" s="177"/>
      <c r="N487" s="177"/>
      <c r="O487" s="177"/>
      <c r="P487" s="177"/>
      <c r="Q487" s="177"/>
      <c r="R487" s="177"/>
      <c r="S487" s="177"/>
      <c r="T487" s="177"/>
      <c r="U487" s="177"/>
      <c r="V487" s="177"/>
      <c r="W487" s="177"/>
    </row>
    <row r="488" ht="15.75" customHeight="1">
      <c r="A488" s="177"/>
      <c r="B488" s="177"/>
      <c r="C488" s="177"/>
      <c r="D488" s="177"/>
      <c r="E488" s="177"/>
      <c r="F488" s="177"/>
      <c r="G488" s="177"/>
      <c r="H488" s="177"/>
      <c r="I488" s="177"/>
      <c r="J488" s="177"/>
      <c r="K488" s="177"/>
      <c r="L488" s="177"/>
      <c r="M488" s="177"/>
      <c r="N488" s="177"/>
      <c r="O488" s="177"/>
      <c r="P488" s="177"/>
      <c r="Q488" s="177"/>
      <c r="R488" s="177"/>
      <c r="S488" s="177"/>
      <c r="T488" s="177"/>
      <c r="U488" s="177"/>
      <c r="V488" s="177"/>
      <c r="W488" s="177"/>
    </row>
    <row r="489" ht="15.75" customHeight="1">
      <c r="A489" s="177"/>
      <c r="B489" s="177"/>
      <c r="C489" s="177"/>
      <c r="D489" s="177"/>
      <c r="E489" s="177"/>
      <c r="F489" s="177"/>
      <c r="G489" s="177"/>
      <c r="H489" s="177"/>
      <c r="I489" s="177"/>
      <c r="J489" s="177"/>
      <c r="K489" s="177"/>
      <c r="L489" s="177"/>
      <c r="M489" s="177"/>
      <c r="N489" s="177"/>
      <c r="O489" s="177"/>
      <c r="P489" s="177"/>
      <c r="Q489" s="177"/>
      <c r="R489" s="177"/>
      <c r="S489" s="177"/>
      <c r="T489" s="177"/>
      <c r="U489" s="177"/>
      <c r="V489" s="177"/>
      <c r="W489" s="177"/>
    </row>
    <row r="490" ht="15.75" customHeight="1">
      <c r="A490" s="177"/>
      <c r="B490" s="177"/>
      <c r="C490" s="177"/>
      <c r="D490" s="177"/>
      <c r="E490" s="177"/>
      <c r="F490" s="177"/>
      <c r="G490" s="177"/>
      <c r="H490" s="177"/>
      <c r="I490" s="177"/>
      <c r="J490" s="177"/>
      <c r="K490" s="177"/>
      <c r="L490" s="177"/>
      <c r="M490" s="177"/>
      <c r="N490" s="177"/>
      <c r="O490" s="177"/>
      <c r="P490" s="177"/>
      <c r="Q490" s="177"/>
      <c r="R490" s="177"/>
      <c r="S490" s="177"/>
      <c r="T490" s="177"/>
      <c r="U490" s="177"/>
      <c r="V490" s="177"/>
      <c r="W490" s="177"/>
    </row>
    <row r="491" ht="15.75" customHeight="1">
      <c r="A491" s="177"/>
      <c r="B491" s="177"/>
      <c r="C491" s="177"/>
      <c r="D491" s="177"/>
      <c r="E491" s="177"/>
      <c r="F491" s="177"/>
      <c r="G491" s="177"/>
      <c r="H491" s="177"/>
      <c r="I491" s="177"/>
      <c r="J491" s="177"/>
      <c r="K491" s="177"/>
      <c r="L491" s="177"/>
      <c r="M491" s="177"/>
      <c r="N491" s="177"/>
      <c r="O491" s="177"/>
      <c r="P491" s="177"/>
      <c r="Q491" s="177"/>
      <c r="R491" s="177"/>
      <c r="S491" s="177"/>
      <c r="T491" s="177"/>
      <c r="U491" s="177"/>
      <c r="V491" s="177"/>
      <c r="W491" s="177"/>
    </row>
    <row r="492" ht="15.75" customHeight="1">
      <c r="A492" s="177"/>
      <c r="B492" s="177"/>
      <c r="C492" s="177"/>
      <c r="D492" s="177"/>
      <c r="E492" s="177"/>
      <c r="F492" s="177"/>
      <c r="G492" s="177"/>
      <c r="H492" s="177"/>
      <c r="I492" s="177"/>
      <c r="J492" s="177"/>
      <c r="K492" s="177"/>
      <c r="L492" s="177"/>
      <c r="M492" s="177"/>
      <c r="N492" s="177"/>
      <c r="O492" s="177"/>
      <c r="P492" s="177"/>
      <c r="Q492" s="177"/>
      <c r="R492" s="177"/>
      <c r="S492" s="177"/>
      <c r="T492" s="177"/>
      <c r="U492" s="177"/>
      <c r="V492" s="177"/>
      <c r="W492" s="177"/>
    </row>
    <row r="493" ht="15.75" customHeight="1">
      <c r="A493" s="177"/>
      <c r="B493" s="177"/>
      <c r="C493" s="177"/>
      <c r="D493" s="177"/>
      <c r="E493" s="177"/>
      <c r="F493" s="177"/>
      <c r="G493" s="177"/>
      <c r="H493" s="177"/>
      <c r="I493" s="177"/>
      <c r="J493" s="177"/>
      <c r="K493" s="177"/>
      <c r="L493" s="177"/>
      <c r="M493" s="177"/>
      <c r="N493" s="177"/>
      <c r="O493" s="177"/>
      <c r="P493" s="177"/>
      <c r="Q493" s="177"/>
      <c r="R493" s="177"/>
      <c r="S493" s="177"/>
      <c r="T493" s="177"/>
      <c r="U493" s="177"/>
      <c r="V493" s="177"/>
      <c r="W493" s="177"/>
    </row>
    <row r="494" ht="15.75" customHeight="1">
      <c r="A494" s="177"/>
      <c r="B494" s="177"/>
      <c r="C494" s="177"/>
      <c r="D494" s="177"/>
      <c r="E494" s="177"/>
      <c r="F494" s="177"/>
      <c r="G494" s="177"/>
      <c r="H494" s="177"/>
      <c r="I494" s="177"/>
      <c r="J494" s="177"/>
      <c r="K494" s="177"/>
      <c r="L494" s="177"/>
      <c r="M494" s="177"/>
      <c r="N494" s="177"/>
      <c r="O494" s="177"/>
      <c r="P494" s="177"/>
      <c r="Q494" s="177"/>
      <c r="R494" s="177"/>
      <c r="S494" s="177"/>
      <c r="T494" s="177"/>
      <c r="U494" s="177"/>
      <c r="V494" s="177"/>
      <c r="W494" s="177"/>
    </row>
    <row r="495" ht="15.75" customHeight="1">
      <c r="A495" s="177"/>
      <c r="B495" s="177"/>
      <c r="C495" s="177"/>
      <c r="D495" s="177"/>
      <c r="E495" s="177"/>
      <c r="F495" s="177"/>
      <c r="G495" s="177"/>
      <c r="H495" s="177"/>
      <c r="I495" s="177"/>
      <c r="J495" s="177"/>
      <c r="K495" s="177"/>
      <c r="L495" s="177"/>
      <c r="M495" s="177"/>
      <c r="N495" s="177"/>
      <c r="O495" s="177"/>
      <c r="P495" s="177"/>
      <c r="Q495" s="177"/>
      <c r="R495" s="177"/>
      <c r="S495" s="177"/>
      <c r="T495" s="177"/>
      <c r="U495" s="177"/>
      <c r="V495" s="177"/>
      <c r="W495" s="177"/>
    </row>
    <row r="496" ht="15.75" customHeight="1">
      <c r="A496" s="177"/>
      <c r="B496" s="177"/>
      <c r="C496" s="177"/>
      <c r="D496" s="177"/>
      <c r="E496" s="177"/>
      <c r="F496" s="177"/>
      <c r="G496" s="177"/>
      <c r="H496" s="177"/>
      <c r="I496" s="177"/>
      <c r="J496" s="177"/>
      <c r="K496" s="177"/>
      <c r="L496" s="177"/>
      <c r="M496" s="177"/>
      <c r="N496" s="177"/>
      <c r="O496" s="177"/>
      <c r="P496" s="177"/>
      <c r="Q496" s="177"/>
      <c r="R496" s="177"/>
      <c r="S496" s="177"/>
      <c r="T496" s="177"/>
      <c r="U496" s="177"/>
      <c r="V496" s="177"/>
      <c r="W496" s="177"/>
    </row>
    <row r="497" ht="15.75" customHeight="1">
      <c r="A497" s="177"/>
      <c r="B497" s="177"/>
      <c r="C497" s="177"/>
      <c r="D497" s="177"/>
      <c r="E497" s="177"/>
      <c r="F497" s="177"/>
      <c r="G497" s="177"/>
      <c r="H497" s="177"/>
      <c r="I497" s="177"/>
      <c r="J497" s="177"/>
      <c r="K497" s="177"/>
      <c r="L497" s="177"/>
      <c r="M497" s="177"/>
      <c r="N497" s="177"/>
      <c r="O497" s="177"/>
      <c r="P497" s="177"/>
      <c r="Q497" s="177"/>
      <c r="R497" s="177"/>
      <c r="S497" s="177"/>
      <c r="T497" s="177"/>
      <c r="U497" s="177"/>
      <c r="V497" s="177"/>
      <c r="W497" s="177"/>
    </row>
    <row r="498" ht="15.75" customHeight="1">
      <c r="A498" s="177"/>
      <c r="B498" s="177"/>
      <c r="C498" s="177"/>
      <c r="D498" s="177"/>
      <c r="E498" s="177"/>
      <c r="F498" s="177"/>
      <c r="G498" s="177"/>
      <c r="H498" s="177"/>
      <c r="I498" s="177"/>
      <c r="J498" s="177"/>
      <c r="K498" s="177"/>
      <c r="L498" s="177"/>
      <c r="M498" s="177"/>
      <c r="N498" s="177"/>
      <c r="O498" s="177"/>
      <c r="P498" s="177"/>
      <c r="Q498" s="177"/>
      <c r="R498" s="177"/>
      <c r="S498" s="177"/>
      <c r="T498" s="177"/>
      <c r="U498" s="177"/>
      <c r="V498" s="177"/>
      <c r="W498" s="177"/>
    </row>
    <row r="499" ht="15.75" customHeight="1">
      <c r="A499" s="177"/>
      <c r="B499" s="177"/>
      <c r="C499" s="177"/>
      <c r="D499" s="177"/>
      <c r="E499" s="177"/>
      <c r="F499" s="177"/>
      <c r="G499" s="177"/>
      <c r="H499" s="177"/>
      <c r="I499" s="177"/>
      <c r="J499" s="177"/>
      <c r="K499" s="177"/>
      <c r="L499" s="177"/>
      <c r="M499" s="177"/>
      <c r="N499" s="177"/>
      <c r="O499" s="177"/>
      <c r="P499" s="177"/>
      <c r="Q499" s="177"/>
      <c r="R499" s="177"/>
      <c r="S499" s="177"/>
      <c r="T499" s="177"/>
      <c r="U499" s="177"/>
      <c r="V499" s="177"/>
      <c r="W499" s="177"/>
    </row>
    <row r="500" ht="15.75" customHeight="1">
      <c r="A500" s="177"/>
      <c r="B500" s="177"/>
      <c r="C500" s="177"/>
      <c r="D500" s="177"/>
      <c r="E500" s="177"/>
      <c r="F500" s="177"/>
      <c r="G500" s="177"/>
      <c r="H500" s="177"/>
      <c r="I500" s="177"/>
      <c r="J500" s="177"/>
      <c r="K500" s="177"/>
      <c r="L500" s="177"/>
      <c r="M500" s="177"/>
      <c r="N500" s="177"/>
      <c r="O500" s="177"/>
      <c r="P500" s="177"/>
      <c r="Q500" s="177"/>
      <c r="R500" s="177"/>
      <c r="S500" s="177"/>
      <c r="T500" s="177"/>
      <c r="U500" s="177"/>
      <c r="V500" s="177"/>
      <c r="W500" s="177"/>
    </row>
    <row r="501" ht="15.75" customHeight="1">
      <c r="A501" s="177"/>
      <c r="B501" s="177"/>
      <c r="C501" s="177"/>
      <c r="D501" s="177"/>
      <c r="E501" s="177"/>
      <c r="F501" s="177"/>
      <c r="G501" s="177"/>
      <c r="H501" s="177"/>
      <c r="I501" s="177"/>
      <c r="J501" s="177"/>
      <c r="K501" s="177"/>
      <c r="L501" s="177"/>
      <c r="M501" s="177"/>
      <c r="N501" s="177"/>
      <c r="O501" s="177"/>
      <c r="P501" s="177"/>
      <c r="Q501" s="177"/>
      <c r="R501" s="177"/>
      <c r="S501" s="177"/>
      <c r="T501" s="177"/>
      <c r="U501" s="177"/>
      <c r="V501" s="177"/>
      <c r="W501" s="177"/>
    </row>
    <row r="502" ht="15.75" customHeight="1">
      <c r="A502" s="177"/>
      <c r="B502" s="177"/>
      <c r="C502" s="177"/>
      <c r="D502" s="177"/>
      <c r="E502" s="177"/>
      <c r="F502" s="177"/>
      <c r="G502" s="177"/>
      <c r="H502" s="177"/>
      <c r="I502" s="177"/>
      <c r="J502" s="177"/>
      <c r="K502" s="177"/>
      <c r="L502" s="177"/>
      <c r="M502" s="177"/>
      <c r="N502" s="177"/>
      <c r="O502" s="177"/>
      <c r="P502" s="177"/>
      <c r="Q502" s="177"/>
      <c r="R502" s="177"/>
      <c r="S502" s="177"/>
      <c r="T502" s="177"/>
      <c r="U502" s="177"/>
      <c r="V502" s="177"/>
      <c r="W502" s="177"/>
    </row>
    <row r="503" ht="15.75" customHeight="1">
      <c r="A503" s="177"/>
      <c r="B503" s="177"/>
      <c r="C503" s="177"/>
      <c r="D503" s="177"/>
      <c r="E503" s="177"/>
      <c r="F503" s="177"/>
      <c r="G503" s="177"/>
      <c r="H503" s="177"/>
      <c r="I503" s="177"/>
      <c r="J503" s="177"/>
      <c r="K503" s="177"/>
      <c r="L503" s="177"/>
      <c r="M503" s="177"/>
      <c r="N503" s="177"/>
      <c r="O503" s="177"/>
      <c r="P503" s="177"/>
      <c r="Q503" s="177"/>
      <c r="R503" s="177"/>
      <c r="S503" s="177"/>
      <c r="T503" s="177"/>
      <c r="U503" s="177"/>
      <c r="V503" s="177"/>
      <c r="W503" s="177"/>
    </row>
    <row r="504" ht="15.75" customHeight="1">
      <c r="A504" s="177"/>
      <c r="B504" s="177"/>
      <c r="C504" s="177"/>
      <c r="D504" s="177"/>
      <c r="E504" s="177"/>
      <c r="F504" s="177"/>
      <c r="G504" s="177"/>
      <c r="H504" s="177"/>
      <c r="I504" s="177"/>
      <c r="J504" s="177"/>
      <c r="K504" s="177"/>
      <c r="L504" s="177"/>
      <c r="M504" s="177"/>
      <c r="N504" s="177"/>
      <c r="O504" s="177"/>
      <c r="P504" s="177"/>
      <c r="Q504" s="177"/>
      <c r="R504" s="177"/>
      <c r="S504" s="177"/>
      <c r="T504" s="177"/>
      <c r="U504" s="177"/>
      <c r="V504" s="177"/>
      <c r="W504" s="177"/>
    </row>
    <row r="505" ht="15.75" customHeight="1">
      <c r="A505" s="177"/>
      <c r="B505" s="177"/>
      <c r="C505" s="177"/>
      <c r="D505" s="177"/>
      <c r="E505" s="177"/>
      <c r="F505" s="177"/>
      <c r="G505" s="177"/>
      <c r="H505" s="177"/>
      <c r="I505" s="177"/>
      <c r="J505" s="177"/>
      <c r="K505" s="177"/>
      <c r="L505" s="177"/>
      <c r="M505" s="177"/>
      <c r="N505" s="177"/>
      <c r="O505" s="177"/>
      <c r="P505" s="177"/>
      <c r="Q505" s="177"/>
      <c r="R505" s="177"/>
      <c r="S505" s="177"/>
      <c r="T505" s="177"/>
      <c r="U505" s="177"/>
      <c r="V505" s="177"/>
      <c r="W505" s="177"/>
    </row>
    <row r="506" ht="15.75" customHeight="1">
      <c r="A506" s="177"/>
      <c r="B506" s="177"/>
      <c r="C506" s="177"/>
      <c r="D506" s="177"/>
      <c r="E506" s="177"/>
      <c r="F506" s="177"/>
      <c r="G506" s="177"/>
      <c r="H506" s="177"/>
      <c r="I506" s="177"/>
      <c r="J506" s="177"/>
      <c r="K506" s="177"/>
      <c r="L506" s="177"/>
      <c r="M506" s="177"/>
      <c r="N506" s="177"/>
      <c r="O506" s="177"/>
      <c r="P506" s="177"/>
      <c r="Q506" s="177"/>
      <c r="R506" s="177"/>
      <c r="S506" s="177"/>
      <c r="T506" s="177"/>
      <c r="U506" s="177"/>
      <c r="V506" s="177"/>
      <c r="W506" s="177"/>
    </row>
    <row r="507" ht="15.75" customHeight="1">
      <c r="A507" s="177"/>
      <c r="B507" s="177"/>
      <c r="C507" s="177"/>
      <c r="D507" s="177"/>
      <c r="E507" s="177"/>
      <c r="F507" s="177"/>
      <c r="G507" s="177"/>
      <c r="H507" s="177"/>
      <c r="I507" s="177"/>
      <c r="J507" s="177"/>
      <c r="K507" s="177"/>
      <c r="L507" s="177"/>
      <c r="M507" s="177"/>
      <c r="N507" s="177"/>
      <c r="O507" s="177"/>
      <c r="P507" s="177"/>
      <c r="Q507" s="177"/>
      <c r="R507" s="177"/>
      <c r="S507" s="177"/>
      <c r="T507" s="177"/>
      <c r="U507" s="177"/>
      <c r="V507" s="177"/>
      <c r="W507" s="177"/>
    </row>
    <row r="508" ht="15.75" customHeight="1">
      <c r="A508" s="177"/>
      <c r="B508" s="177"/>
      <c r="C508" s="177"/>
      <c r="D508" s="177"/>
      <c r="E508" s="177"/>
      <c r="F508" s="177"/>
      <c r="G508" s="177"/>
      <c r="H508" s="177"/>
      <c r="I508" s="177"/>
      <c r="J508" s="177"/>
      <c r="K508" s="177"/>
      <c r="L508" s="177"/>
      <c r="M508" s="177"/>
      <c r="N508" s="177"/>
      <c r="O508" s="177"/>
      <c r="P508" s="177"/>
      <c r="Q508" s="177"/>
      <c r="R508" s="177"/>
      <c r="S508" s="177"/>
      <c r="T508" s="177"/>
      <c r="U508" s="177"/>
      <c r="V508" s="177"/>
      <c r="W508" s="177"/>
    </row>
    <row r="509" ht="15.75" customHeight="1">
      <c r="A509" s="177"/>
      <c r="B509" s="177"/>
      <c r="C509" s="177"/>
      <c r="D509" s="177"/>
      <c r="E509" s="177"/>
      <c r="F509" s="177"/>
      <c r="G509" s="177"/>
      <c r="H509" s="177"/>
      <c r="I509" s="177"/>
      <c r="J509" s="177"/>
      <c r="K509" s="177"/>
      <c r="L509" s="177"/>
      <c r="M509" s="177"/>
      <c r="N509" s="177"/>
      <c r="O509" s="177"/>
      <c r="P509" s="177"/>
      <c r="Q509" s="177"/>
      <c r="R509" s="177"/>
      <c r="S509" s="177"/>
      <c r="T509" s="177"/>
      <c r="U509" s="177"/>
      <c r="V509" s="177"/>
      <c r="W509" s="177"/>
    </row>
    <row r="510" ht="15.75" customHeight="1">
      <c r="A510" s="177"/>
      <c r="B510" s="177"/>
      <c r="C510" s="177"/>
      <c r="D510" s="177"/>
      <c r="E510" s="177"/>
      <c r="F510" s="177"/>
      <c r="G510" s="177"/>
      <c r="H510" s="177"/>
      <c r="I510" s="177"/>
      <c r="J510" s="177"/>
      <c r="K510" s="177"/>
      <c r="L510" s="177"/>
      <c r="M510" s="177"/>
      <c r="N510" s="177"/>
      <c r="O510" s="177"/>
      <c r="P510" s="177"/>
      <c r="Q510" s="177"/>
      <c r="R510" s="177"/>
      <c r="S510" s="177"/>
      <c r="T510" s="177"/>
      <c r="U510" s="177"/>
      <c r="V510" s="177"/>
      <c r="W510" s="177"/>
    </row>
    <row r="511" ht="15.75" customHeight="1">
      <c r="A511" s="177"/>
      <c r="B511" s="177"/>
      <c r="C511" s="177"/>
      <c r="D511" s="177"/>
      <c r="E511" s="177"/>
      <c r="F511" s="177"/>
      <c r="G511" s="177"/>
      <c r="H511" s="177"/>
      <c r="I511" s="177"/>
      <c r="J511" s="177"/>
      <c r="K511" s="177"/>
      <c r="L511" s="177"/>
      <c r="M511" s="177"/>
      <c r="N511" s="177"/>
      <c r="O511" s="177"/>
      <c r="P511" s="177"/>
      <c r="Q511" s="177"/>
      <c r="R511" s="177"/>
      <c r="S511" s="177"/>
      <c r="T511" s="177"/>
      <c r="U511" s="177"/>
      <c r="V511" s="177"/>
      <c r="W511" s="177"/>
    </row>
    <row r="512" ht="15.75" customHeight="1">
      <c r="A512" s="177"/>
      <c r="B512" s="177"/>
      <c r="C512" s="177"/>
      <c r="D512" s="177"/>
      <c r="E512" s="177"/>
      <c r="F512" s="177"/>
      <c r="G512" s="177"/>
      <c r="H512" s="177"/>
      <c r="I512" s="177"/>
      <c r="J512" s="177"/>
      <c r="K512" s="177"/>
      <c r="L512" s="177"/>
      <c r="M512" s="177"/>
      <c r="N512" s="177"/>
      <c r="O512" s="177"/>
      <c r="P512" s="177"/>
      <c r="Q512" s="177"/>
      <c r="R512" s="177"/>
      <c r="S512" s="177"/>
      <c r="T512" s="177"/>
      <c r="U512" s="177"/>
      <c r="V512" s="177"/>
      <c r="W512" s="177"/>
    </row>
    <row r="513" ht="15.75" customHeight="1">
      <c r="A513" s="177"/>
      <c r="B513" s="177"/>
      <c r="C513" s="177"/>
      <c r="D513" s="177"/>
      <c r="E513" s="177"/>
      <c r="F513" s="177"/>
      <c r="G513" s="177"/>
      <c r="H513" s="177"/>
      <c r="I513" s="177"/>
      <c r="J513" s="177"/>
      <c r="K513" s="177"/>
      <c r="L513" s="177"/>
      <c r="M513" s="177"/>
      <c r="N513" s="177"/>
      <c r="O513" s="177"/>
      <c r="P513" s="177"/>
      <c r="Q513" s="177"/>
      <c r="R513" s="177"/>
      <c r="S513" s="177"/>
      <c r="T513" s="177"/>
      <c r="U513" s="177"/>
      <c r="V513" s="177"/>
      <c r="W513" s="177"/>
    </row>
    <row r="514" ht="15.75" customHeight="1">
      <c r="A514" s="177"/>
      <c r="B514" s="177"/>
      <c r="C514" s="177"/>
      <c r="D514" s="177"/>
      <c r="E514" s="177"/>
      <c r="F514" s="177"/>
      <c r="G514" s="177"/>
      <c r="H514" s="177"/>
      <c r="I514" s="177"/>
      <c r="J514" s="177"/>
      <c r="K514" s="177"/>
      <c r="L514" s="177"/>
      <c r="M514" s="177"/>
      <c r="N514" s="177"/>
      <c r="O514" s="177"/>
      <c r="P514" s="177"/>
      <c r="Q514" s="177"/>
      <c r="R514" s="177"/>
      <c r="S514" s="177"/>
      <c r="T514" s="177"/>
      <c r="U514" s="177"/>
      <c r="V514" s="177"/>
      <c r="W514" s="177"/>
    </row>
    <row r="515" ht="15.75" customHeight="1">
      <c r="A515" s="177"/>
      <c r="B515" s="177"/>
      <c r="C515" s="177"/>
      <c r="D515" s="177"/>
      <c r="E515" s="177"/>
      <c r="F515" s="177"/>
      <c r="G515" s="177"/>
      <c r="H515" s="177"/>
      <c r="I515" s="177"/>
      <c r="J515" s="177"/>
      <c r="K515" s="177"/>
      <c r="L515" s="177"/>
      <c r="M515" s="177"/>
      <c r="N515" s="177"/>
      <c r="O515" s="177"/>
      <c r="P515" s="177"/>
      <c r="Q515" s="177"/>
      <c r="R515" s="177"/>
      <c r="S515" s="177"/>
      <c r="T515" s="177"/>
      <c r="U515" s="177"/>
      <c r="V515" s="177"/>
      <c r="W515" s="177"/>
    </row>
    <row r="516" ht="15.75" customHeight="1">
      <c r="A516" s="177"/>
      <c r="B516" s="177"/>
      <c r="C516" s="177"/>
      <c r="D516" s="177"/>
      <c r="E516" s="177"/>
      <c r="F516" s="177"/>
      <c r="G516" s="177"/>
      <c r="H516" s="177"/>
      <c r="I516" s="177"/>
      <c r="J516" s="177"/>
      <c r="K516" s="177"/>
      <c r="L516" s="177"/>
      <c r="M516" s="177"/>
      <c r="N516" s="177"/>
      <c r="O516" s="177"/>
      <c r="P516" s="177"/>
      <c r="Q516" s="177"/>
      <c r="R516" s="177"/>
      <c r="S516" s="177"/>
      <c r="T516" s="177"/>
      <c r="U516" s="177"/>
      <c r="V516" s="177"/>
      <c r="W516" s="177"/>
    </row>
    <row r="517" ht="15.75" customHeight="1">
      <c r="A517" s="177"/>
      <c r="B517" s="177"/>
      <c r="C517" s="177"/>
      <c r="D517" s="177"/>
      <c r="E517" s="177"/>
      <c r="F517" s="177"/>
      <c r="G517" s="177"/>
      <c r="H517" s="177"/>
      <c r="I517" s="177"/>
      <c r="J517" s="177"/>
      <c r="K517" s="177"/>
      <c r="L517" s="177"/>
      <c r="M517" s="177"/>
      <c r="N517" s="177"/>
      <c r="O517" s="177"/>
      <c r="P517" s="177"/>
      <c r="Q517" s="177"/>
      <c r="R517" s="177"/>
      <c r="S517" s="177"/>
      <c r="T517" s="177"/>
      <c r="U517" s="177"/>
      <c r="V517" s="177"/>
      <c r="W517" s="177"/>
    </row>
    <row r="518" ht="15.75" customHeight="1">
      <c r="A518" s="177"/>
      <c r="B518" s="177"/>
      <c r="C518" s="177"/>
      <c r="D518" s="177"/>
      <c r="E518" s="177"/>
      <c r="F518" s="177"/>
      <c r="G518" s="177"/>
      <c r="H518" s="177"/>
      <c r="I518" s="177"/>
      <c r="J518" s="177"/>
      <c r="K518" s="177"/>
      <c r="L518" s="177"/>
      <c r="M518" s="177"/>
      <c r="N518" s="177"/>
      <c r="O518" s="177"/>
      <c r="P518" s="177"/>
      <c r="Q518" s="177"/>
      <c r="R518" s="177"/>
      <c r="S518" s="177"/>
      <c r="T518" s="177"/>
      <c r="U518" s="177"/>
      <c r="V518" s="177"/>
      <c r="W518" s="177"/>
    </row>
    <row r="519" ht="15.75" customHeight="1">
      <c r="A519" s="177"/>
      <c r="B519" s="177"/>
      <c r="C519" s="177"/>
      <c r="D519" s="177"/>
      <c r="E519" s="177"/>
      <c r="F519" s="177"/>
      <c r="G519" s="177"/>
      <c r="H519" s="177"/>
      <c r="I519" s="177"/>
      <c r="J519" s="177"/>
      <c r="K519" s="177"/>
      <c r="L519" s="177"/>
      <c r="M519" s="177"/>
      <c r="N519" s="177"/>
      <c r="O519" s="177"/>
      <c r="P519" s="177"/>
      <c r="Q519" s="177"/>
      <c r="R519" s="177"/>
      <c r="S519" s="177"/>
      <c r="T519" s="177"/>
      <c r="U519" s="177"/>
      <c r="V519" s="177"/>
      <c r="W519" s="177"/>
    </row>
    <row r="520" ht="15.75" customHeight="1">
      <c r="A520" s="177"/>
      <c r="B520" s="177"/>
      <c r="C520" s="177"/>
      <c r="D520" s="177"/>
      <c r="E520" s="177"/>
      <c r="F520" s="177"/>
      <c r="G520" s="177"/>
      <c r="H520" s="177"/>
      <c r="I520" s="177"/>
      <c r="J520" s="177"/>
      <c r="K520" s="177"/>
      <c r="L520" s="177"/>
      <c r="M520" s="177"/>
      <c r="N520" s="177"/>
      <c r="O520" s="177"/>
      <c r="P520" s="177"/>
      <c r="Q520" s="177"/>
      <c r="R520" s="177"/>
      <c r="S520" s="177"/>
      <c r="T520" s="177"/>
      <c r="U520" s="177"/>
      <c r="V520" s="177"/>
      <c r="W520" s="177"/>
    </row>
    <row r="521" ht="15.75" customHeight="1">
      <c r="A521" s="177"/>
      <c r="B521" s="177"/>
      <c r="C521" s="177"/>
      <c r="D521" s="177"/>
      <c r="E521" s="177"/>
      <c r="F521" s="177"/>
      <c r="G521" s="177"/>
      <c r="H521" s="177"/>
      <c r="I521" s="177"/>
      <c r="J521" s="177"/>
      <c r="K521" s="177"/>
      <c r="L521" s="177"/>
      <c r="M521" s="177"/>
      <c r="N521" s="177"/>
      <c r="O521" s="177"/>
      <c r="P521" s="177"/>
      <c r="Q521" s="177"/>
      <c r="R521" s="177"/>
      <c r="S521" s="177"/>
      <c r="T521" s="177"/>
      <c r="U521" s="177"/>
      <c r="V521" s="177"/>
      <c r="W521" s="177"/>
    </row>
    <row r="522" ht="15.75" customHeight="1">
      <c r="A522" s="177"/>
      <c r="B522" s="177"/>
      <c r="C522" s="177"/>
      <c r="D522" s="177"/>
      <c r="E522" s="177"/>
      <c r="F522" s="177"/>
      <c r="G522" s="177"/>
      <c r="H522" s="177"/>
      <c r="I522" s="177"/>
      <c r="J522" s="177"/>
      <c r="K522" s="177"/>
      <c r="L522" s="177"/>
      <c r="M522" s="177"/>
      <c r="N522" s="177"/>
      <c r="O522" s="177"/>
      <c r="P522" s="177"/>
      <c r="Q522" s="177"/>
      <c r="R522" s="177"/>
      <c r="S522" s="177"/>
      <c r="T522" s="177"/>
      <c r="U522" s="177"/>
      <c r="V522" s="177"/>
      <c r="W522" s="177"/>
    </row>
    <row r="523" ht="15.75" customHeight="1">
      <c r="A523" s="177"/>
      <c r="B523" s="177"/>
      <c r="C523" s="177"/>
      <c r="D523" s="177"/>
      <c r="E523" s="177"/>
      <c r="F523" s="177"/>
      <c r="G523" s="177"/>
      <c r="H523" s="177"/>
      <c r="I523" s="177"/>
      <c r="J523" s="177"/>
      <c r="K523" s="177"/>
      <c r="L523" s="177"/>
      <c r="M523" s="177"/>
      <c r="N523" s="177"/>
      <c r="O523" s="177"/>
      <c r="P523" s="177"/>
      <c r="Q523" s="177"/>
      <c r="R523" s="177"/>
      <c r="S523" s="177"/>
      <c r="T523" s="177"/>
      <c r="U523" s="177"/>
      <c r="V523" s="177"/>
      <c r="W523" s="177"/>
    </row>
    <row r="524" ht="15.75" customHeight="1">
      <c r="A524" s="177"/>
      <c r="B524" s="177"/>
      <c r="C524" s="177"/>
      <c r="D524" s="177"/>
      <c r="E524" s="177"/>
      <c r="F524" s="177"/>
      <c r="G524" s="177"/>
      <c r="H524" s="177"/>
      <c r="I524" s="177"/>
      <c r="J524" s="177"/>
      <c r="K524" s="177"/>
      <c r="L524" s="177"/>
      <c r="M524" s="177"/>
      <c r="N524" s="177"/>
      <c r="O524" s="177"/>
      <c r="P524" s="177"/>
      <c r="Q524" s="177"/>
      <c r="R524" s="177"/>
      <c r="S524" s="177"/>
      <c r="T524" s="177"/>
      <c r="U524" s="177"/>
      <c r="V524" s="177"/>
      <c r="W524" s="177"/>
    </row>
    <row r="525" ht="15.75" customHeight="1">
      <c r="A525" s="177"/>
      <c r="B525" s="177"/>
      <c r="C525" s="177"/>
      <c r="D525" s="177"/>
      <c r="E525" s="177"/>
      <c r="F525" s="177"/>
      <c r="G525" s="177"/>
      <c r="H525" s="177"/>
      <c r="I525" s="177"/>
      <c r="J525" s="177"/>
      <c r="K525" s="177"/>
      <c r="L525" s="177"/>
      <c r="M525" s="177"/>
      <c r="N525" s="177"/>
      <c r="O525" s="177"/>
      <c r="P525" s="177"/>
      <c r="Q525" s="177"/>
      <c r="R525" s="177"/>
      <c r="S525" s="177"/>
      <c r="T525" s="177"/>
      <c r="U525" s="177"/>
      <c r="V525" s="177"/>
      <c r="W525" s="177"/>
    </row>
    <row r="526" ht="15.75" customHeight="1">
      <c r="A526" s="177"/>
      <c r="B526" s="177"/>
      <c r="C526" s="177"/>
      <c r="D526" s="177"/>
      <c r="E526" s="177"/>
      <c r="F526" s="177"/>
      <c r="G526" s="177"/>
      <c r="H526" s="177"/>
      <c r="I526" s="177"/>
      <c r="J526" s="177"/>
      <c r="K526" s="177"/>
      <c r="L526" s="177"/>
      <c r="M526" s="177"/>
      <c r="N526" s="177"/>
      <c r="O526" s="177"/>
      <c r="P526" s="177"/>
      <c r="Q526" s="177"/>
      <c r="R526" s="177"/>
      <c r="S526" s="177"/>
      <c r="T526" s="177"/>
      <c r="U526" s="177"/>
      <c r="V526" s="177"/>
      <c r="W526" s="177"/>
    </row>
    <row r="527" ht="15.75" customHeight="1">
      <c r="A527" s="177"/>
      <c r="B527" s="177"/>
      <c r="C527" s="177"/>
      <c r="D527" s="177"/>
      <c r="E527" s="177"/>
      <c r="F527" s="177"/>
      <c r="G527" s="177"/>
      <c r="H527" s="177"/>
      <c r="I527" s="177"/>
      <c r="J527" s="177"/>
      <c r="K527" s="177"/>
      <c r="L527" s="177"/>
      <c r="M527" s="177"/>
      <c r="N527" s="177"/>
      <c r="O527" s="177"/>
      <c r="P527" s="177"/>
      <c r="Q527" s="177"/>
      <c r="R527" s="177"/>
      <c r="S527" s="177"/>
      <c r="T527" s="177"/>
      <c r="U527" s="177"/>
      <c r="V527" s="177"/>
      <c r="W527" s="177"/>
    </row>
    <row r="528" ht="15.75" customHeight="1">
      <c r="A528" s="177"/>
      <c r="B528" s="177"/>
      <c r="C528" s="177"/>
      <c r="D528" s="177"/>
      <c r="E528" s="177"/>
      <c r="F528" s="177"/>
      <c r="G528" s="177"/>
      <c r="H528" s="177"/>
      <c r="I528" s="177"/>
      <c r="J528" s="177"/>
      <c r="K528" s="177"/>
      <c r="L528" s="177"/>
      <c r="M528" s="177"/>
      <c r="N528" s="177"/>
      <c r="O528" s="177"/>
      <c r="P528" s="177"/>
      <c r="Q528" s="177"/>
      <c r="R528" s="177"/>
      <c r="S528" s="177"/>
      <c r="T528" s="177"/>
      <c r="U528" s="177"/>
      <c r="V528" s="177"/>
      <c r="W528" s="177"/>
    </row>
    <row r="529" ht="15.75" customHeight="1">
      <c r="A529" s="177"/>
      <c r="B529" s="177"/>
      <c r="C529" s="177"/>
      <c r="D529" s="177"/>
      <c r="E529" s="177"/>
      <c r="F529" s="177"/>
      <c r="G529" s="177"/>
      <c r="H529" s="177"/>
      <c r="I529" s="177"/>
      <c r="J529" s="177"/>
      <c r="K529" s="177"/>
      <c r="L529" s="177"/>
      <c r="M529" s="177"/>
      <c r="N529" s="177"/>
      <c r="O529" s="177"/>
      <c r="P529" s="177"/>
      <c r="Q529" s="177"/>
      <c r="R529" s="177"/>
      <c r="S529" s="177"/>
      <c r="T529" s="177"/>
      <c r="U529" s="177"/>
      <c r="V529" s="177"/>
      <c r="W529" s="177"/>
    </row>
    <row r="530" ht="15.75" customHeight="1">
      <c r="A530" s="177"/>
      <c r="B530" s="177"/>
      <c r="C530" s="177"/>
      <c r="D530" s="177"/>
      <c r="E530" s="177"/>
      <c r="F530" s="177"/>
      <c r="G530" s="177"/>
      <c r="H530" s="177"/>
      <c r="I530" s="177"/>
      <c r="J530" s="177"/>
      <c r="K530" s="177"/>
      <c r="L530" s="177"/>
      <c r="M530" s="177"/>
      <c r="N530" s="177"/>
      <c r="O530" s="177"/>
      <c r="P530" s="177"/>
      <c r="Q530" s="177"/>
      <c r="R530" s="177"/>
      <c r="S530" s="177"/>
      <c r="T530" s="177"/>
      <c r="U530" s="177"/>
      <c r="V530" s="177"/>
      <c r="W530" s="177"/>
    </row>
    <row r="531" ht="15.75" customHeight="1">
      <c r="A531" s="177"/>
      <c r="B531" s="177"/>
      <c r="C531" s="177"/>
      <c r="D531" s="177"/>
      <c r="E531" s="177"/>
      <c r="F531" s="177"/>
      <c r="G531" s="177"/>
      <c r="H531" s="177"/>
      <c r="I531" s="177"/>
      <c r="J531" s="177"/>
      <c r="K531" s="177"/>
      <c r="L531" s="177"/>
      <c r="M531" s="177"/>
      <c r="N531" s="177"/>
      <c r="O531" s="177"/>
      <c r="P531" s="177"/>
      <c r="Q531" s="177"/>
      <c r="R531" s="177"/>
      <c r="S531" s="177"/>
      <c r="T531" s="177"/>
      <c r="U531" s="177"/>
      <c r="V531" s="177"/>
      <c r="W531" s="177"/>
    </row>
    <row r="532" ht="15.75" customHeight="1">
      <c r="A532" s="177"/>
      <c r="B532" s="177"/>
      <c r="C532" s="177"/>
      <c r="D532" s="177"/>
      <c r="E532" s="177"/>
      <c r="F532" s="177"/>
      <c r="G532" s="177"/>
      <c r="H532" s="177"/>
      <c r="I532" s="177"/>
      <c r="J532" s="177"/>
      <c r="K532" s="177"/>
      <c r="L532" s="177"/>
      <c r="M532" s="177"/>
      <c r="N532" s="177"/>
      <c r="O532" s="177"/>
      <c r="P532" s="177"/>
      <c r="Q532" s="177"/>
      <c r="R532" s="177"/>
      <c r="S532" s="177"/>
      <c r="T532" s="177"/>
      <c r="U532" s="177"/>
      <c r="V532" s="177"/>
      <c r="W532" s="177"/>
    </row>
    <row r="533" ht="15.75" customHeight="1">
      <c r="A533" s="177"/>
      <c r="B533" s="177"/>
      <c r="C533" s="177"/>
      <c r="D533" s="177"/>
      <c r="E533" s="177"/>
      <c r="F533" s="177"/>
      <c r="G533" s="177"/>
      <c r="H533" s="177"/>
      <c r="I533" s="177"/>
      <c r="J533" s="177"/>
      <c r="K533" s="177"/>
      <c r="L533" s="177"/>
      <c r="M533" s="177"/>
      <c r="N533" s="177"/>
      <c r="O533" s="177"/>
      <c r="P533" s="177"/>
      <c r="Q533" s="177"/>
      <c r="R533" s="177"/>
      <c r="S533" s="177"/>
      <c r="T533" s="177"/>
      <c r="U533" s="177"/>
      <c r="V533" s="177"/>
      <c r="W533" s="177"/>
    </row>
    <row r="534" ht="15.75" customHeight="1">
      <c r="A534" s="177"/>
      <c r="B534" s="177"/>
      <c r="C534" s="177"/>
      <c r="D534" s="177"/>
      <c r="E534" s="177"/>
      <c r="F534" s="177"/>
      <c r="G534" s="177"/>
      <c r="H534" s="177"/>
      <c r="I534" s="177"/>
      <c r="J534" s="177"/>
      <c r="K534" s="177"/>
      <c r="L534" s="177"/>
      <c r="M534" s="177"/>
      <c r="N534" s="177"/>
      <c r="O534" s="177"/>
      <c r="P534" s="177"/>
      <c r="Q534" s="177"/>
      <c r="R534" s="177"/>
      <c r="S534" s="177"/>
      <c r="T534" s="177"/>
      <c r="U534" s="177"/>
      <c r="V534" s="177"/>
      <c r="W534" s="177"/>
    </row>
    <row r="535" ht="15.75" customHeight="1">
      <c r="A535" s="177"/>
      <c r="B535" s="177"/>
      <c r="C535" s="177"/>
      <c r="D535" s="177"/>
      <c r="E535" s="177"/>
      <c r="F535" s="177"/>
      <c r="G535" s="177"/>
      <c r="H535" s="177"/>
      <c r="I535" s="177"/>
      <c r="J535" s="177"/>
      <c r="K535" s="177"/>
      <c r="L535" s="177"/>
      <c r="M535" s="177"/>
      <c r="N535" s="177"/>
      <c r="O535" s="177"/>
      <c r="P535" s="177"/>
      <c r="Q535" s="177"/>
      <c r="R535" s="177"/>
      <c r="S535" s="177"/>
      <c r="T535" s="177"/>
      <c r="U535" s="177"/>
      <c r="V535" s="177"/>
      <c r="W535" s="177"/>
    </row>
    <row r="536" ht="15.75" customHeight="1">
      <c r="A536" s="177"/>
      <c r="B536" s="177"/>
      <c r="C536" s="177"/>
      <c r="D536" s="177"/>
      <c r="E536" s="177"/>
      <c r="F536" s="177"/>
      <c r="G536" s="177"/>
      <c r="H536" s="177"/>
      <c r="I536" s="177"/>
      <c r="J536" s="177"/>
      <c r="K536" s="177"/>
      <c r="L536" s="177"/>
      <c r="M536" s="177"/>
      <c r="N536" s="177"/>
      <c r="O536" s="177"/>
      <c r="P536" s="177"/>
      <c r="Q536" s="177"/>
      <c r="R536" s="177"/>
      <c r="S536" s="177"/>
      <c r="T536" s="177"/>
      <c r="U536" s="177"/>
      <c r="V536" s="177"/>
      <c r="W536" s="177"/>
    </row>
    <row r="537" ht="15.75" customHeight="1">
      <c r="A537" s="177"/>
      <c r="B537" s="177"/>
      <c r="C537" s="177"/>
      <c r="D537" s="177"/>
      <c r="E537" s="177"/>
      <c r="F537" s="177"/>
      <c r="G537" s="177"/>
      <c r="H537" s="177"/>
      <c r="I537" s="177"/>
      <c r="J537" s="177"/>
      <c r="K537" s="177"/>
      <c r="L537" s="177"/>
      <c r="M537" s="177"/>
      <c r="N537" s="177"/>
      <c r="O537" s="177"/>
      <c r="P537" s="177"/>
      <c r="Q537" s="177"/>
      <c r="R537" s="177"/>
      <c r="S537" s="177"/>
      <c r="T537" s="177"/>
      <c r="U537" s="177"/>
      <c r="V537" s="177"/>
      <c r="W537" s="177"/>
    </row>
    <row r="538" ht="15.75" customHeight="1">
      <c r="A538" s="177"/>
      <c r="B538" s="177"/>
      <c r="C538" s="177"/>
      <c r="D538" s="177"/>
      <c r="E538" s="177"/>
      <c r="F538" s="177"/>
      <c r="G538" s="177"/>
      <c r="H538" s="177"/>
      <c r="I538" s="177"/>
      <c r="J538" s="177"/>
      <c r="K538" s="177"/>
      <c r="L538" s="177"/>
      <c r="M538" s="177"/>
      <c r="N538" s="177"/>
      <c r="O538" s="177"/>
      <c r="P538" s="177"/>
      <c r="Q538" s="177"/>
      <c r="R538" s="177"/>
      <c r="S538" s="177"/>
      <c r="T538" s="177"/>
      <c r="U538" s="177"/>
      <c r="V538" s="177"/>
      <c r="W538" s="177"/>
    </row>
    <row r="539" ht="15.75" customHeight="1">
      <c r="A539" s="177"/>
      <c r="B539" s="177"/>
      <c r="C539" s="177"/>
      <c r="D539" s="177"/>
      <c r="E539" s="177"/>
      <c r="F539" s="177"/>
      <c r="G539" s="177"/>
      <c r="H539" s="177"/>
      <c r="I539" s="177"/>
      <c r="J539" s="177"/>
      <c r="K539" s="177"/>
      <c r="L539" s="177"/>
      <c r="M539" s="177"/>
      <c r="N539" s="177"/>
      <c r="O539" s="177"/>
      <c r="P539" s="177"/>
      <c r="Q539" s="177"/>
      <c r="R539" s="177"/>
      <c r="S539" s="177"/>
      <c r="T539" s="177"/>
      <c r="U539" s="177"/>
      <c r="V539" s="177"/>
      <c r="W539" s="177"/>
    </row>
    <row r="540" ht="15.75" customHeight="1">
      <c r="A540" s="177"/>
      <c r="B540" s="177"/>
      <c r="C540" s="177"/>
      <c r="D540" s="177"/>
      <c r="E540" s="177"/>
      <c r="F540" s="177"/>
      <c r="G540" s="177"/>
      <c r="H540" s="177"/>
      <c r="I540" s="177"/>
      <c r="J540" s="177"/>
      <c r="K540" s="177"/>
      <c r="L540" s="177"/>
      <c r="M540" s="177"/>
      <c r="N540" s="177"/>
      <c r="O540" s="177"/>
      <c r="P540" s="177"/>
      <c r="Q540" s="177"/>
      <c r="R540" s="177"/>
      <c r="S540" s="177"/>
      <c r="T540" s="177"/>
      <c r="U540" s="177"/>
      <c r="V540" s="177"/>
      <c r="W540" s="177"/>
    </row>
    <row r="541" ht="15.75" customHeight="1">
      <c r="A541" s="177"/>
      <c r="B541" s="177"/>
      <c r="C541" s="177"/>
      <c r="D541" s="177"/>
      <c r="E541" s="177"/>
      <c r="F541" s="177"/>
      <c r="G541" s="177"/>
      <c r="H541" s="177"/>
      <c r="I541" s="177"/>
      <c r="J541" s="177"/>
      <c r="K541" s="177"/>
      <c r="L541" s="177"/>
      <c r="M541" s="177"/>
      <c r="N541" s="177"/>
      <c r="O541" s="177"/>
      <c r="P541" s="177"/>
      <c r="Q541" s="177"/>
      <c r="R541" s="177"/>
      <c r="S541" s="177"/>
      <c r="T541" s="177"/>
      <c r="U541" s="177"/>
      <c r="V541" s="177"/>
      <c r="W541" s="177"/>
    </row>
    <row r="542" ht="15.75" customHeight="1">
      <c r="A542" s="177"/>
      <c r="B542" s="177"/>
      <c r="C542" s="177"/>
      <c r="D542" s="177"/>
      <c r="E542" s="177"/>
      <c r="F542" s="177"/>
      <c r="G542" s="177"/>
      <c r="H542" s="177"/>
      <c r="I542" s="177"/>
      <c r="J542" s="177"/>
      <c r="K542" s="177"/>
      <c r="L542" s="177"/>
      <c r="M542" s="177"/>
      <c r="N542" s="177"/>
      <c r="O542" s="177"/>
      <c r="P542" s="177"/>
      <c r="Q542" s="177"/>
      <c r="R542" s="177"/>
      <c r="S542" s="177"/>
      <c r="T542" s="177"/>
      <c r="U542" s="177"/>
      <c r="V542" s="177"/>
      <c r="W542" s="177"/>
    </row>
    <row r="543" ht="15.75" customHeight="1">
      <c r="A543" s="177"/>
      <c r="B543" s="177"/>
      <c r="C543" s="177"/>
      <c r="D543" s="177"/>
      <c r="E543" s="177"/>
      <c r="F543" s="177"/>
      <c r="G543" s="177"/>
      <c r="H543" s="177"/>
      <c r="I543" s="177"/>
      <c r="J543" s="177"/>
      <c r="K543" s="177"/>
      <c r="L543" s="177"/>
      <c r="M543" s="177"/>
      <c r="N543" s="177"/>
      <c r="O543" s="177"/>
      <c r="P543" s="177"/>
      <c r="Q543" s="177"/>
      <c r="R543" s="177"/>
      <c r="S543" s="177"/>
      <c r="T543" s="177"/>
      <c r="U543" s="177"/>
      <c r="V543" s="177"/>
      <c r="W543" s="177"/>
    </row>
    <row r="544" ht="15.75" customHeight="1">
      <c r="A544" s="177"/>
      <c r="B544" s="177"/>
      <c r="C544" s="177"/>
      <c r="D544" s="177"/>
      <c r="E544" s="177"/>
      <c r="F544" s="177"/>
      <c r="G544" s="177"/>
      <c r="H544" s="177"/>
      <c r="I544" s="177"/>
      <c r="J544" s="177"/>
      <c r="K544" s="177"/>
      <c r="L544" s="177"/>
      <c r="M544" s="177"/>
      <c r="N544" s="177"/>
      <c r="O544" s="177"/>
      <c r="P544" s="177"/>
      <c r="Q544" s="177"/>
      <c r="R544" s="177"/>
      <c r="S544" s="177"/>
      <c r="T544" s="177"/>
      <c r="U544" s="177"/>
      <c r="V544" s="177"/>
      <c r="W544" s="177"/>
    </row>
    <row r="545" ht="15.75" customHeight="1">
      <c r="A545" s="177"/>
      <c r="B545" s="177"/>
      <c r="C545" s="177"/>
      <c r="D545" s="177"/>
      <c r="E545" s="177"/>
      <c r="F545" s="177"/>
      <c r="G545" s="177"/>
      <c r="H545" s="177"/>
      <c r="I545" s="177"/>
      <c r="J545" s="177"/>
      <c r="K545" s="177"/>
      <c r="L545" s="177"/>
      <c r="M545" s="177"/>
      <c r="N545" s="177"/>
      <c r="O545" s="177"/>
      <c r="P545" s="177"/>
      <c r="Q545" s="177"/>
      <c r="R545" s="177"/>
      <c r="S545" s="177"/>
      <c r="T545" s="177"/>
      <c r="U545" s="177"/>
      <c r="V545" s="177"/>
      <c r="W545" s="177"/>
    </row>
    <row r="546" ht="15.75" customHeight="1">
      <c r="A546" s="177"/>
      <c r="B546" s="177"/>
      <c r="C546" s="177"/>
      <c r="D546" s="177"/>
      <c r="E546" s="177"/>
      <c r="F546" s="177"/>
      <c r="G546" s="177"/>
      <c r="H546" s="177"/>
      <c r="I546" s="177"/>
      <c r="J546" s="177"/>
      <c r="K546" s="177"/>
      <c r="L546" s="177"/>
      <c r="M546" s="177"/>
      <c r="N546" s="177"/>
      <c r="O546" s="177"/>
      <c r="P546" s="177"/>
      <c r="Q546" s="177"/>
      <c r="R546" s="177"/>
      <c r="S546" s="177"/>
      <c r="T546" s="177"/>
      <c r="U546" s="177"/>
      <c r="V546" s="177"/>
      <c r="W546" s="177"/>
    </row>
    <row r="547" ht="15.75" customHeight="1">
      <c r="A547" s="177"/>
      <c r="B547" s="177"/>
      <c r="C547" s="177"/>
      <c r="D547" s="177"/>
      <c r="E547" s="177"/>
      <c r="F547" s="177"/>
      <c r="G547" s="177"/>
      <c r="H547" s="177"/>
      <c r="I547" s="177"/>
      <c r="J547" s="177"/>
      <c r="K547" s="177"/>
      <c r="L547" s="177"/>
      <c r="M547" s="177"/>
      <c r="N547" s="177"/>
      <c r="O547" s="177"/>
      <c r="P547" s="177"/>
      <c r="Q547" s="177"/>
      <c r="R547" s="177"/>
      <c r="S547" s="177"/>
      <c r="T547" s="177"/>
      <c r="U547" s="177"/>
      <c r="V547" s="177"/>
      <c r="W547" s="177"/>
    </row>
    <row r="548" ht="15.75" customHeight="1">
      <c r="A548" s="177"/>
      <c r="B548" s="177"/>
      <c r="C548" s="177"/>
      <c r="D548" s="177"/>
      <c r="E548" s="177"/>
      <c r="F548" s="177"/>
      <c r="G548" s="177"/>
      <c r="H548" s="177"/>
      <c r="I548" s="177"/>
      <c r="J548" s="177"/>
      <c r="K548" s="177"/>
      <c r="L548" s="177"/>
      <c r="M548" s="177"/>
      <c r="N548" s="177"/>
      <c r="O548" s="177"/>
      <c r="P548" s="177"/>
      <c r="Q548" s="177"/>
      <c r="R548" s="177"/>
      <c r="S548" s="177"/>
      <c r="T548" s="177"/>
      <c r="U548" s="177"/>
      <c r="V548" s="177"/>
      <c r="W548" s="177"/>
    </row>
    <row r="549" ht="15.75" customHeight="1">
      <c r="A549" s="177"/>
      <c r="B549" s="177"/>
      <c r="C549" s="177"/>
      <c r="D549" s="177"/>
      <c r="E549" s="177"/>
      <c r="F549" s="177"/>
      <c r="G549" s="177"/>
      <c r="H549" s="177"/>
      <c r="I549" s="177"/>
      <c r="J549" s="177"/>
      <c r="K549" s="177"/>
      <c r="L549" s="177"/>
      <c r="M549" s="177"/>
      <c r="N549" s="177"/>
      <c r="O549" s="177"/>
      <c r="P549" s="177"/>
      <c r="Q549" s="177"/>
      <c r="R549" s="177"/>
      <c r="S549" s="177"/>
      <c r="T549" s="177"/>
      <c r="U549" s="177"/>
      <c r="V549" s="177"/>
      <c r="W549" s="177"/>
    </row>
    <row r="550" ht="15.75" customHeight="1">
      <c r="A550" s="177"/>
      <c r="B550" s="177"/>
      <c r="C550" s="177"/>
      <c r="D550" s="177"/>
      <c r="E550" s="177"/>
      <c r="F550" s="177"/>
      <c r="G550" s="177"/>
      <c r="H550" s="177"/>
      <c r="I550" s="177"/>
      <c r="J550" s="177"/>
      <c r="K550" s="177"/>
      <c r="L550" s="177"/>
      <c r="M550" s="177"/>
      <c r="N550" s="177"/>
      <c r="O550" s="177"/>
      <c r="P550" s="177"/>
      <c r="Q550" s="177"/>
      <c r="R550" s="177"/>
      <c r="S550" s="177"/>
      <c r="T550" s="177"/>
      <c r="U550" s="177"/>
      <c r="V550" s="177"/>
      <c r="W550" s="177"/>
    </row>
    <row r="551" ht="15.75" customHeight="1">
      <c r="A551" s="177"/>
      <c r="B551" s="177"/>
      <c r="C551" s="177"/>
      <c r="D551" s="177"/>
      <c r="E551" s="177"/>
      <c r="F551" s="177"/>
      <c r="G551" s="177"/>
      <c r="H551" s="177"/>
      <c r="I551" s="177"/>
      <c r="J551" s="177"/>
      <c r="K551" s="177"/>
      <c r="L551" s="177"/>
      <c r="M551" s="177"/>
      <c r="N551" s="177"/>
      <c r="O551" s="177"/>
      <c r="P551" s="177"/>
      <c r="Q551" s="177"/>
      <c r="R551" s="177"/>
      <c r="S551" s="177"/>
      <c r="T551" s="177"/>
      <c r="U551" s="177"/>
      <c r="V551" s="177"/>
      <c r="W551" s="177"/>
    </row>
    <row r="552" ht="15.75" customHeight="1">
      <c r="A552" s="177"/>
      <c r="B552" s="177"/>
      <c r="C552" s="177"/>
      <c r="D552" s="177"/>
      <c r="E552" s="177"/>
      <c r="F552" s="177"/>
      <c r="G552" s="177"/>
      <c r="H552" s="177"/>
      <c r="I552" s="177"/>
      <c r="J552" s="177"/>
      <c r="K552" s="177"/>
      <c r="L552" s="177"/>
      <c r="M552" s="177"/>
      <c r="N552" s="177"/>
      <c r="O552" s="177"/>
      <c r="P552" s="177"/>
      <c r="Q552" s="177"/>
      <c r="R552" s="177"/>
      <c r="S552" s="177"/>
      <c r="T552" s="177"/>
      <c r="U552" s="177"/>
      <c r="V552" s="177"/>
      <c r="W552" s="177"/>
    </row>
    <row r="553" ht="15.75" customHeight="1">
      <c r="A553" s="177"/>
      <c r="B553" s="177"/>
      <c r="C553" s="177"/>
      <c r="D553" s="177"/>
      <c r="E553" s="177"/>
      <c r="F553" s="177"/>
      <c r="G553" s="177"/>
      <c r="H553" s="177"/>
      <c r="I553" s="177"/>
      <c r="J553" s="177"/>
      <c r="K553" s="177"/>
      <c r="L553" s="177"/>
      <c r="M553" s="177"/>
      <c r="N553" s="177"/>
      <c r="O553" s="177"/>
      <c r="P553" s="177"/>
      <c r="Q553" s="177"/>
      <c r="R553" s="177"/>
      <c r="S553" s="177"/>
      <c r="T553" s="177"/>
      <c r="U553" s="177"/>
      <c r="V553" s="177"/>
      <c r="W553" s="177"/>
    </row>
    <row r="554" ht="15.75" customHeight="1">
      <c r="A554" s="177"/>
      <c r="B554" s="177"/>
      <c r="C554" s="177"/>
      <c r="D554" s="177"/>
      <c r="E554" s="177"/>
      <c r="F554" s="177"/>
      <c r="G554" s="177"/>
      <c r="H554" s="177"/>
      <c r="I554" s="177"/>
      <c r="J554" s="177"/>
      <c r="K554" s="177"/>
      <c r="L554" s="177"/>
      <c r="M554" s="177"/>
      <c r="N554" s="177"/>
      <c r="O554" s="177"/>
      <c r="P554" s="177"/>
      <c r="Q554" s="177"/>
      <c r="R554" s="177"/>
      <c r="S554" s="177"/>
      <c r="T554" s="177"/>
      <c r="U554" s="177"/>
      <c r="V554" s="177"/>
      <c r="W554" s="177"/>
    </row>
    <row r="555" ht="15.75" customHeight="1">
      <c r="A555" s="177"/>
      <c r="B555" s="177"/>
      <c r="C555" s="177"/>
      <c r="D555" s="177"/>
      <c r="E555" s="177"/>
      <c r="F555" s="177"/>
      <c r="G555" s="177"/>
      <c r="H555" s="177"/>
      <c r="I555" s="177"/>
      <c r="J555" s="177"/>
      <c r="K555" s="177"/>
      <c r="L555" s="177"/>
      <c r="M555" s="177"/>
      <c r="N555" s="177"/>
      <c r="O555" s="177"/>
      <c r="P555" s="177"/>
      <c r="Q555" s="177"/>
      <c r="R555" s="177"/>
      <c r="S555" s="177"/>
      <c r="T555" s="177"/>
      <c r="U555" s="177"/>
      <c r="V555" s="177"/>
      <c r="W555" s="177"/>
    </row>
    <row r="556" ht="15.75" customHeight="1">
      <c r="A556" s="177"/>
      <c r="B556" s="177"/>
      <c r="C556" s="177"/>
      <c r="D556" s="177"/>
      <c r="E556" s="177"/>
      <c r="F556" s="177"/>
      <c r="G556" s="177"/>
      <c r="H556" s="177"/>
      <c r="I556" s="177"/>
      <c r="J556" s="177"/>
      <c r="K556" s="177"/>
      <c r="L556" s="177"/>
      <c r="M556" s="177"/>
      <c r="N556" s="177"/>
      <c r="O556" s="177"/>
      <c r="P556" s="177"/>
      <c r="Q556" s="177"/>
      <c r="R556" s="177"/>
      <c r="S556" s="177"/>
      <c r="T556" s="177"/>
      <c r="U556" s="177"/>
      <c r="V556" s="177"/>
      <c r="W556" s="177"/>
    </row>
    <row r="557" ht="15.75" customHeight="1">
      <c r="A557" s="177"/>
      <c r="B557" s="177"/>
      <c r="C557" s="177"/>
      <c r="D557" s="177"/>
      <c r="E557" s="177"/>
      <c r="F557" s="177"/>
      <c r="G557" s="177"/>
      <c r="H557" s="177"/>
      <c r="I557" s="177"/>
      <c r="J557" s="177"/>
      <c r="K557" s="177"/>
      <c r="L557" s="177"/>
      <c r="M557" s="177"/>
      <c r="N557" s="177"/>
      <c r="O557" s="177"/>
      <c r="P557" s="177"/>
      <c r="Q557" s="177"/>
      <c r="R557" s="177"/>
      <c r="S557" s="177"/>
      <c r="T557" s="177"/>
      <c r="U557" s="177"/>
      <c r="V557" s="177"/>
      <c r="W557" s="177"/>
    </row>
    <row r="558" ht="15.75" customHeight="1">
      <c r="A558" s="177"/>
      <c r="B558" s="177"/>
      <c r="C558" s="177"/>
      <c r="D558" s="177"/>
      <c r="E558" s="177"/>
      <c r="F558" s="177"/>
      <c r="G558" s="177"/>
      <c r="H558" s="177"/>
      <c r="I558" s="177"/>
      <c r="J558" s="177"/>
      <c r="K558" s="177"/>
      <c r="L558" s="177"/>
      <c r="M558" s="177"/>
      <c r="N558" s="177"/>
      <c r="O558" s="177"/>
      <c r="P558" s="177"/>
      <c r="Q558" s="177"/>
      <c r="R558" s="177"/>
      <c r="S558" s="177"/>
      <c r="T558" s="177"/>
      <c r="U558" s="177"/>
      <c r="V558" s="177"/>
      <c r="W558" s="177"/>
    </row>
    <row r="559" ht="15.75" customHeight="1">
      <c r="A559" s="177"/>
      <c r="B559" s="177"/>
      <c r="C559" s="177"/>
      <c r="D559" s="177"/>
      <c r="E559" s="177"/>
      <c r="F559" s="177"/>
      <c r="G559" s="177"/>
      <c r="H559" s="177"/>
      <c r="I559" s="177"/>
      <c r="J559" s="177"/>
      <c r="K559" s="177"/>
      <c r="L559" s="177"/>
      <c r="M559" s="177"/>
      <c r="N559" s="177"/>
      <c r="O559" s="177"/>
      <c r="P559" s="177"/>
      <c r="Q559" s="177"/>
      <c r="R559" s="177"/>
      <c r="S559" s="177"/>
      <c r="T559" s="177"/>
      <c r="U559" s="177"/>
      <c r="V559" s="177"/>
      <c r="W559" s="177"/>
    </row>
    <row r="560" ht="15.75" customHeight="1">
      <c r="A560" s="177"/>
      <c r="B560" s="177"/>
      <c r="C560" s="177"/>
      <c r="D560" s="177"/>
      <c r="E560" s="177"/>
      <c r="F560" s="177"/>
      <c r="G560" s="177"/>
      <c r="H560" s="177"/>
      <c r="I560" s="177"/>
      <c r="J560" s="177"/>
      <c r="K560" s="177"/>
      <c r="L560" s="177"/>
      <c r="M560" s="177"/>
      <c r="N560" s="177"/>
      <c r="O560" s="177"/>
      <c r="P560" s="177"/>
      <c r="Q560" s="177"/>
      <c r="R560" s="177"/>
      <c r="S560" s="177"/>
      <c r="T560" s="177"/>
      <c r="U560" s="177"/>
      <c r="V560" s="177"/>
      <c r="W560" s="177"/>
    </row>
    <row r="561" ht="15.75" customHeight="1">
      <c r="A561" s="177"/>
      <c r="B561" s="177"/>
      <c r="C561" s="177"/>
      <c r="D561" s="177"/>
      <c r="E561" s="177"/>
      <c r="F561" s="177"/>
      <c r="G561" s="177"/>
      <c r="H561" s="177"/>
      <c r="I561" s="177"/>
      <c r="J561" s="177"/>
      <c r="K561" s="177"/>
      <c r="L561" s="177"/>
      <c r="M561" s="177"/>
      <c r="N561" s="177"/>
      <c r="O561" s="177"/>
      <c r="P561" s="177"/>
      <c r="Q561" s="177"/>
      <c r="R561" s="177"/>
      <c r="S561" s="177"/>
      <c r="T561" s="177"/>
      <c r="U561" s="177"/>
      <c r="V561" s="177"/>
      <c r="W561" s="177"/>
    </row>
    <row r="562" ht="15.75" customHeight="1">
      <c r="A562" s="177"/>
      <c r="B562" s="177"/>
      <c r="C562" s="177"/>
      <c r="D562" s="177"/>
      <c r="E562" s="177"/>
      <c r="F562" s="177"/>
      <c r="G562" s="177"/>
      <c r="H562" s="177"/>
      <c r="I562" s="177"/>
      <c r="J562" s="177"/>
      <c r="K562" s="177"/>
      <c r="L562" s="177"/>
      <c r="M562" s="177"/>
      <c r="N562" s="177"/>
      <c r="O562" s="177"/>
      <c r="P562" s="177"/>
      <c r="Q562" s="177"/>
      <c r="R562" s="177"/>
      <c r="S562" s="177"/>
      <c r="T562" s="177"/>
      <c r="U562" s="177"/>
      <c r="V562" s="177"/>
      <c r="W562" s="177"/>
    </row>
    <row r="563" ht="15.75" customHeight="1">
      <c r="A563" s="177"/>
      <c r="B563" s="177"/>
      <c r="C563" s="177"/>
      <c r="D563" s="177"/>
      <c r="E563" s="177"/>
      <c r="F563" s="177"/>
      <c r="G563" s="177"/>
      <c r="H563" s="177"/>
      <c r="I563" s="177"/>
      <c r="J563" s="177"/>
      <c r="K563" s="177"/>
      <c r="L563" s="177"/>
      <c r="M563" s="177"/>
      <c r="N563" s="177"/>
      <c r="O563" s="177"/>
      <c r="P563" s="177"/>
      <c r="Q563" s="177"/>
      <c r="R563" s="177"/>
      <c r="S563" s="177"/>
      <c r="T563" s="177"/>
      <c r="U563" s="177"/>
      <c r="V563" s="177"/>
      <c r="W563" s="177"/>
    </row>
    <row r="564" ht="15.75" customHeight="1">
      <c r="A564" s="177"/>
      <c r="B564" s="177"/>
      <c r="C564" s="177"/>
      <c r="D564" s="177"/>
      <c r="E564" s="177"/>
      <c r="F564" s="177"/>
      <c r="G564" s="177"/>
      <c r="H564" s="177"/>
      <c r="I564" s="177"/>
      <c r="J564" s="177"/>
      <c r="K564" s="177"/>
      <c r="L564" s="177"/>
      <c r="M564" s="177"/>
      <c r="N564" s="177"/>
      <c r="O564" s="177"/>
      <c r="P564" s="177"/>
      <c r="Q564" s="177"/>
      <c r="R564" s="177"/>
      <c r="S564" s="177"/>
      <c r="T564" s="177"/>
      <c r="U564" s="177"/>
      <c r="V564" s="177"/>
      <c r="W564" s="177"/>
    </row>
    <row r="565" ht="15.75" customHeight="1">
      <c r="A565" s="177"/>
      <c r="B565" s="177"/>
      <c r="C565" s="177"/>
      <c r="D565" s="177"/>
      <c r="E565" s="177"/>
      <c r="F565" s="177"/>
      <c r="G565" s="177"/>
      <c r="H565" s="177"/>
      <c r="I565" s="177"/>
      <c r="J565" s="177"/>
      <c r="K565" s="177"/>
      <c r="L565" s="177"/>
      <c r="M565" s="177"/>
      <c r="N565" s="177"/>
      <c r="O565" s="177"/>
      <c r="P565" s="177"/>
      <c r="Q565" s="177"/>
      <c r="R565" s="177"/>
      <c r="S565" s="177"/>
      <c r="T565" s="177"/>
      <c r="U565" s="177"/>
      <c r="V565" s="177"/>
      <c r="W565" s="177"/>
    </row>
    <row r="566" ht="15.75" customHeight="1">
      <c r="A566" s="177"/>
      <c r="B566" s="177"/>
      <c r="C566" s="177"/>
      <c r="D566" s="177"/>
      <c r="E566" s="177"/>
      <c r="F566" s="177"/>
      <c r="G566" s="177"/>
      <c r="H566" s="177"/>
      <c r="I566" s="177"/>
      <c r="J566" s="177"/>
      <c r="K566" s="177"/>
      <c r="L566" s="177"/>
      <c r="M566" s="177"/>
      <c r="N566" s="177"/>
      <c r="O566" s="177"/>
      <c r="P566" s="177"/>
      <c r="Q566" s="177"/>
      <c r="R566" s="177"/>
      <c r="S566" s="177"/>
      <c r="T566" s="177"/>
      <c r="U566" s="177"/>
      <c r="V566" s="177"/>
      <c r="W566" s="177"/>
    </row>
    <row r="567" ht="15.75" customHeight="1">
      <c r="A567" s="177"/>
      <c r="B567" s="177"/>
      <c r="C567" s="177"/>
      <c r="D567" s="177"/>
      <c r="E567" s="177"/>
      <c r="F567" s="177"/>
      <c r="G567" s="177"/>
      <c r="H567" s="177"/>
      <c r="I567" s="177"/>
      <c r="J567" s="177"/>
      <c r="K567" s="177"/>
      <c r="L567" s="177"/>
      <c r="M567" s="177"/>
      <c r="N567" s="177"/>
      <c r="O567" s="177"/>
      <c r="P567" s="177"/>
      <c r="Q567" s="177"/>
      <c r="R567" s="177"/>
      <c r="S567" s="177"/>
      <c r="T567" s="177"/>
      <c r="U567" s="177"/>
      <c r="V567" s="177"/>
      <c r="W567" s="177"/>
    </row>
    <row r="568" ht="15.75" customHeight="1">
      <c r="A568" s="177"/>
      <c r="B568" s="177"/>
      <c r="C568" s="177"/>
      <c r="D568" s="177"/>
      <c r="E568" s="177"/>
      <c r="F568" s="177"/>
      <c r="G568" s="177"/>
      <c r="H568" s="177"/>
      <c r="I568" s="177"/>
      <c r="J568" s="177"/>
      <c r="K568" s="177"/>
      <c r="L568" s="177"/>
      <c r="M568" s="177"/>
      <c r="N568" s="177"/>
      <c r="O568" s="177"/>
      <c r="P568" s="177"/>
      <c r="Q568" s="177"/>
      <c r="R568" s="177"/>
      <c r="S568" s="177"/>
      <c r="T568" s="177"/>
      <c r="U568" s="177"/>
      <c r="V568" s="177"/>
      <c r="W568" s="177"/>
    </row>
    <row r="569" ht="15.75" customHeight="1">
      <c r="A569" s="177"/>
      <c r="B569" s="177"/>
      <c r="C569" s="177"/>
      <c r="D569" s="177"/>
      <c r="E569" s="177"/>
      <c r="F569" s="177"/>
      <c r="G569" s="177"/>
      <c r="H569" s="177"/>
      <c r="I569" s="177"/>
      <c r="J569" s="177"/>
      <c r="K569" s="177"/>
      <c r="L569" s="177"/>
      <c r="M569" s="177"/>
      <c r="N569" s="177"/>
      <c r="O569" s="177"/>
      <c r="P569" s="177"/>
      <c r="Q569" s="177"/>
      <c r="R569" s="177"/>
      <c r="S569" s="177"/>
      <c r="T569" s="177"/>
      <c r="U569" s="177"/>
      <c r="V569" s="177"/>
      <c r="W569" s="177"/>
    </row>
    <row r="570" ht="15.75" customHeight="1">
      <c r="A570" s="177"/>
      <c r="B570" s="177"/>
      <c r="C570" s="177"/>
      <c r="D570" s="177"/>
      <c r="E570" s="177"/>
      <c r="F570" s="177"/>
      <c r="G570" s="177"/>
      <c r="H570" s="177"/>
      <c r="I570" s="177"/>
      <c r="J570" s="177"/>
      <c r="K570" s="177"/>
      <c r="L570" s="177"/>
      <c r="M570" s="177"/>
      <c r="N570" s="177"/>
      <c r="O570" s="177"/>
      <c r="P570" s="177"/>
      <c r="Q570" s="177"/>
      <c r="R570" s="177"/>
      <c r="S570" s="177"/>
      <c r="T570" s="177"/>
      <c r="U570" s="177"/>
      <c r="V570" s="177"/>
      <c r="W570" s="177"/>
    </row>
    <row r="571" ht="15.75" customHeight="1">
      <c r="A571" s="177"/>
      <c r="B571" s="177"/>
      <c r="C571" s="177"/>
      <c r="D571" s="177"/>
      <c r="E571" s="177"/>
      <c r="F571" s="177"/>
      <c r="G571" s="177"/>
      <c r="H571" s="177"/>
      <c r="I571" s="177"/>
      <c r="J571" s="177"/>
      <c r="K571" s="177"/>
      <c r="L571" s="177"/>
      <c r="M571" s="177"/>
      <c r="N571" s="177"/>
      <c r="O571" s="177"/>
      <c r="P571" s="177"/>
      <c r="Q571" s="177"/>
      <c r="R571" s="177"/>
      <c r="S571" s="177"/>
      <c r="T571" s="177"/>
      <c r="U571" s="177"/>
      <c r="V571" s="177"/>
      <c r="W571" s="177"/>
    </row>
    <row r="572" ht="15.75" customHeight="1">
      <c r="A572" s="177"/>
      <c r="B572" s="177"/>
      <c r="C572" s="177"/>
      <c r="D572" s="177"/>
      <c r="E572" s="177"/>
      <c r="F572" s="177"/>
      <c r="G572" s="177"/>
      <c r="H572" s="177"/>
      <c r="I572" s="177"/>
      <c r="J572" s="177"/>
      <c r="K572" s="177"/>
      <c r="L572" s="177"/>
      <c r="M572" s="177"/>
      <c r="N572" s="177"/>
      <c r="O572" s="177"/>
      <c r="P572" s="177"/>
      <c r="Q572" s="177"/>
      <c r="R572" s="177"/>
      <c r="S572" s="177"/>
      <c r="T572" s="177"/>
      <c r="U572" s="177"/>
      <c r="V572" s="177"/>
      <c r="W572" s="177"/>
    </row>
    <row r="573" ht="15.75" customHeight="1">
      <c r="A573" s="177"/>
      <c r="B573" s="177"/>
      <c r="C573" s="177"/>
      <c r="D573" s="177"/>
      <c r="E573" s="177"/>
      <c r="F573" s="177"/>
      <c r="G573" s="177"/>
      <c r="H573" s="177"/>
      <c r="I573" s="177"/>
      <c r="J573" s="177"/>
      <c r="K573" s="177"/>
      <c r="L573" s="177"/>
      <c r="M573" s="177"/>
      <c r="N573" s="177"/>
      <c r="O573" s="177"/>
      <c r="P573" s="177"/>
      <c r="Q573" s="177"/>
      <c r="R573" s="177"/>
      <c r="S573" s="177"/>
      <c r="T573" s="177"/>
      <c r="U573" s="177"/>
      <c r="V573" s="177"/>
      <c r="W573" s="177"/>
    </row>
    <row r="574" ht="15.75" customHeight="1">
      <c r="A574" s="177"/>
      <c r="B574" s="177"/>
      <c r="C574" s="177"/>
      <c r="D574" s="177"/>
      <c r="E574" s="177"/>
      <c r="F574" s="177"/>
      <c r="G574" s="177"/>
      <c r="H574" s="177"/>
      <c r="I574" s="177"/>
      <c r="J574" s="177"/>
      <c r="K574" s="177"/>
      <c r="L574" s="177"/>
      <c r="M574" s="177"/>
      <c r="N574" s="177"/>
      <c r="O574" s="177"/>
      <c r="P574" s="177"/>
      <c r="Q574" s="177"/>
      <c r="R574" s="177"/>
      <c r="S574" s="177"/>
      <c r="T574" s="177"/>
      <c r="U574" s="177"/>
      <c r="V574" s="177"/>
      <c r="W574" s="177"/>
    </row>
    <row r="575" ht="15.75" customHeight="1">
      <c r="A575" s="177"/>
      <c r="B575" s="177"/>
      <c r="C575" s="177"/>
      <c r="D575" s="177"/>
      <c r="E575" s="177"/>
      <c r="F575" s="177"/>
      <c r="G575" s="177"/>
      <c r="H575" s="177"/>
      <c r="I575" s="177"/>
      <c r="J575" s="177"/>
      <c r="K575" s="177"/>
      <c r="L575" s="177"/>
      <c r="M575" s="177"/>
      <c r="N575" s="177"/>
      <c r="O575" s="177"/>
      <c r="P575" s="177"/>
      <c r="Q575" s="177"/>
      <c r="R575" s="177"/>
      <c r="S575" s="177"/>
      <c r="T575" s="177"/>
      <c r="U575" s="177"/>
      <c r="V575" s="177"/>
      <c r="W575" s="177"/>
    </row>
    <row r="576" ht="15.75" customHeight="1">
      <c r="A576" s="177"/>
      <c r="B576" s="177"/>
      <c r="C576" s="177"/>
      <c r="D576" s="177"/>
      <c r="E576" s="177"/>
      <c r="F576" s="177"/>
      <c r="G576" s="177"/>
      <c r="H576" s="177"/>
      <c r="I576" s="177"/>
      <c r="J576" s="177"/>
      <c r="K576" s="177"/>
      <c r="L576" s="177"/>
      <c r="M576" s="177"/>
      <c r="N576" s="177"/>
      <c r="O576" s="177"/>
      <c r="P576" s="177"/>
      <c r="Q576" s="177"/>
      <c r="R576" s="177"/>
      <c r="S576" s="177"/>
      <c r="T576" s="177"/>
      <c r="U576" s="177"/>
      <c r="V576" s="177"/>
      <c r="W576" s="177"/>
    </row>
    <row r="577" ht="15.75" customHeight="1">
      <c r="A577" s="177"/>
      <c r="B577" s="177"/>
      <c r="C577" s="177"/>
      <c r="D577" s="177"/>
      <c r="E577" s="177"/>
      <c r="F577" s="177"/>
      <c r="G577" s="177"/>
      <c r="H577" s="177"/>
      <c r="I577" s="177"/>
      <c r="J577" s="177"/>
      <c r="K577" s="177"/>
      <c r="L577" s="177"/>
      <c r="M577" s="177"/>
      <c r="N577" s="177"/>
      <c r="O577" s="177"/>
      <c r="P577" s="177"/>
      <c r="Q577" s="177"/>
      <c r="R577" s="177"/>
      <c r="S577" s="177"/>
      <c r="T577" s="177"/>
      <c r="U577" s="177"/>
      <c r="V577" s="177"/>
      <c r="W577" s="177"/>
    </row>
    <row r="578" ht="15.75" customHeight="1">
      <c r="A578" s="177"/>
      <c r="B578" s="177"/>
      <c r="C578" s="177"/>
      <c r="D578" s="177"/>
      <c r="E578" s="177"/>
      <c r="F578" s="177"/>
      <c r="G578" s="177"/>
      <c r="H578" s="177"/>
      <c r="I578" s="177"/>
      <c r="J578" s="177"/>
      <c r="K578" s="177"/>
      <c r="L578" s="177"/>
      <c r="M578" s="177"/>
      <c r="N578" s="177"/>
      <c r="O578" s="177"/>
      <c r="P578" s="177"/>
      <c r="Q578" s="177"/>
      <c r="R578" s="177"/>
      <c r="S578" s="177"/>
      <c r="T578" s="177"/>
      <c r="U578" s="177"/>
      <c r="V578" s="177"/>
      <c r="W578" s="177"/>
    </row>
    <row r="579" ht="15.75" customHeight="1">
      <c r="A579" s="177"/>
      <c r="B579" s="177"/>
      <c r="C579" s="177"/>
      <c r="D579" s="177"/>
      <c r="E579" s="177"/>
      <c r="F579" s="177"/>
      <c r="G579" s="177"/>
      <c r="H579" s="177"/>
      <c r="I579" s="177"/>
      <c r="J579" s="177"/>
      <c r="K579" s="177"/>
      <c r="L579" s="177"/>
      <c r="M579" s="177"/>
      <c r="N579" s="177"/>
      <c r="O579" s="177"/>
      <c r="P579" s="177"/>
      <c r="Q579" s="177"/>
      <c r="R579" s="177"/>
      <c r="S579" s="177"/>
      <c r="T579" s="177"/>
      <c r="U579" s="177"/>
      <c r="V579" s="177"/>
      <c r="W579" s="177"/>
    </row>
    <row r="580" ht="15.75" customHeight="1">
      <c r="A580" s="177"/>
      <c r="B580" s="177"/>
      <c r="C580" s="177"/>
      <c r="D580" s="177"/>
      <c r="E580" s="177"/>
      <c r="F580" s="177"/>
      <c r="G580" s="177"/>
      <c r="H580" s="177"/>
      <c r="I580" s="177"/>
      <c r="J580" s="177"/>
      <c r="K580" s="177"/>
      <c r="L580" s="177"/>
      <c r="M580" s="177"/>
      <c r="N580" s="177"/>
      <c r="O580" s="177"/>
      <c r="P580" s="177"/>
      <c r="Q580" s="177"/>
      <c r="R580" s="177"/>
      <c r="S580" s="177"/>
      <c r="T580" s="177"/>
      <c r="U580" s="177"/>
      <c r="V580" s="177"/>
      <c r="W580" s="177"/>
    </row>
    <row r="581" ht="15.75" customHeight="1">
      <c r="A581" s="177"/>
      <c r="B581" s="177"/>
      <c r="C581" s="177"/>
      <c r="D581" s="177"/>
      <c r="E581" s="177"/>
      <c r="F581" s="177"/>
      <c r="G581" s="177"/>
      <c r="H581" s="177"/>
      <c r="I581" s="177"/>
      <c r="J581" s="177"/>
      <c r="K581" s="177"/>
      <c r="L581" s="177"/>
      <c r="M581" s="177"/>
      <c r="N581" s="177"/>
      <c r="O581" s="177"/>
      <c r="P581" s="177"/>
      <c r="Q581" s="177"/>
      <c r="R581" s="177"/>
      <c r="S581" s="177"/>
      <c r="T581" s="177"/>
      <c r="U581" s="177"/>
      <c r="V581" s="177"/>
      <c r="W581" s="177"/>
    </row>
    <row r="582" ht="15.75" customHeight="1">
      <c r="A582" s="177"/>
      <c r="B582" s="177"/>
      <c r="C582" s="177"/>
      <c r="D582" s="177"/>
      <c r="E582" s="177"/>
      <c r="F582" s="177"/>
      <c r="G582" s="177"/>
      <c r="H582" s="177"/>
      <c r="I582" s="177"/>
      <c r="J582" s="177"/>
      <c r="K582" s="177"/>
      <c r="L582" s="177"/>
      <c r="M582" s="177"/>
      <c r="N582" s="177"/>
      <c r="O582" s="177"/>
      <c r="P582" s="177"/>
      <c r="Q582" s="177"/>
      <c r="R582" s="177"/>
      <c r="S582" s="177"/>
      <c r="T582" s="177"/>
      <c r="U582" s="177"/>
      <c r="V582" s="177"/>
      <c r="W582" s="177"/>
    </row>
    <row r="583" ht="15.75" customHeight="1">
      <c r="A583" s="177"/>
      <c r="B583" s="177"/>
      <c r="C583" s="177"/>
      <c r="D583" s="177"/>
      <c r="E583" s="177"/>
      <c r="F583" s="177"/>
      <c r="G583" s="177"/>
      <c r="H583" s="177"/>
      <c r="I583" s="177"/>
      <c r="J583" s="177"/>
      <c r="K583" s="177"/>
      <c r="L583" s="177"/>
      <c r="M583" s="177"/>
      <c r="N583" s="177"/>
      <c r="O583" s="177"/>
      <c r="P583" s="177"/>
      <c r="Q583" s="177"/>
      <c r="R583" s="177"/>
      <c r="S583" s="177"/>
      <c r="T583" s="177"/>
      <c r="U583" s="177"/>
      <c r="V583" s="177"/>
      <c r="W583" s="177"/>
    </row>
    <row r="584" ht="15.75" customHeight="1">
      <c r="A584" s="177"/>
      <c r="B584" s="177"/>
      <c r="C584" s="177"/>
      <c r="D584" s="177"/>
      <c r="E584" s="177"/>
      <c r="F584" s="177"/>
      <c r="G584" s="177"/>
      <c r="H584" s="177"/>
      <c r="I584" s="177"/>
      <c r="J584" s="177"/>
      <c r="K584" s="177"/>
      <c r="L584" s="177"/>
      <c r="M584" s="177"/>
      <c r="N584" s="177"/>
      <c r="O584" s="177"/>
      <c r="P584" s="177"/>
      <c r="Q584" s="177"/>
      <c r="R584" s="177"/>
      <c r="S584" s="177"/>
      <c r="T584" s="177"/>
      <c r="U584" s="177"/>
      <c r="V584" s="177"/>
      <c r="W584" s="177"/>
    </row>
    <row r="585" ht="15.75" customHeight="1">
      <c r="A585" s="177"/>
      <c r="B585" s="177"/>
      <c r="C585" s="177"/>
      <c r="D585" s="177"/>
      <c r="E585" s="177"/>
      <c r="F585" s="177"/>
      <c r="G585" s="177"/>
      <c r="H585" s="177"/>
      <c r="I585" s="177"/>
      <c r="J585" s="177"/>
      <c r="K585" s="177"/>
      <c r="L585" s="177"/>
      <c r="M585" s="177"/>
      <c r="N585" s="177"/>
      <c r="O585" s="177"/>
      <c r="P585" s="177"/>
      <c r="Q585" s="177"/>
      <c r="R585" s="177"/>
      <c r="S585" s="177"/>
      <c r="T585" s="177"/>
      <c r="U585" s="177"/>
      <c r="V585" s="177"/>
      <c r="W585" s="177"/>
    </row>
    <row r="586" ht="15.75" customHeight="1">
      <c r="A586" s="177"/>
      <c r="B586" s="177"/>
      <c r="C586" s="177"/>
      <c r="D586" s="177"/>
      <c r="E586" s="177"/>
      <c r="F586" s="177"/>
      <c r="G586" s="177"/>
      <c r="H586" s="177"/>
      <c r="I586" s="177"/>
      <c r="J586" s="177"/>
      <c r="K586" s="177"/>
      <c r="L586" s="177"/>
      <c r="M586" s="177"/>
      <c r="N586" s="177"/>
      <c r="O586" s="177"/>
      <c r="P586" s="177"/>
      <c r="Q586" s="177"/>
      <c r="R586" s="177"/>
      <c r="S586" s="177"/>
      <c r="T586" s="177"/>
      <c r="U586" s="177"/>
      <c r="V586" s="177"/>
      <c r="W586" s="177"/>
    </row>
    <row r="587" ht="15.75" customHeight="1">
      <c r="A587" s="177"/>
      <c r="B587" s="177"/>
      <c r="C587" s="177"/>
      <c r="D587" s="177"/>
      <c r="E587" s="177"/>
      <c r="F587" s="177"/>
      <c r="G587" s="177"/>
      <c r="H587" s="177"/>
      <c r="I587" s="177"/>
      <c r="J587" s="177"/>
      <c r="K587" s="177"/>
      <c r="L587" s="177"/>
      <c r="M587" s="177"/>
      <c r="N587" s="177"/>
      <c r="O587" s="177"/>
      <c r="P587" s="177"/>
      <c r="Q587" s="177"/>
      <c r="R587" s="177"/>
      <c r="S587" s="177"/>
      <c r="T587" s="177"/>
      <c r="U587" s="177"/>
      <c r="V587" s="177"/>
      <c r="W587" s="177"/>
    </row>
    <row r="588" ht="15.75" customHeight="1">
      <c r="A588" s="177"/>
      <c r="B588" s="177"/>
      <c r="C588" s="177"/>
      <c r="D588" s="177"/>
      <c r="E588" s="177"/>
      <c r="F588" s="177"/>
      <c r="G588" s="177"/>
      <c r="H588" s="177"/>
      <c r="I588" s="177"/>
      <c r="J588" s="177"/>
      <c r="K588" s="177"/>
      <c r="L588" s="177"/>
      <c r="M588" s="177"/>
      <c r="N588" s="177"/>
      <c r="O588" s="177"/>
      <c r="P588" s="177"/>
      <c r="Q588" s="177"/>
      <c r="R588" s="177"/>
      <c r="S588" s="177"/>
      <c r="T588" s="177"/>
      <c r="U588" s="177"/>
      <c r="V588" s="177"/>
      <c r="W588" s="177"/>
    </row>
    <row r="589" ht="15.75" customHeight="1">
      <c r="A589" s="177"/>
      <c r="B589" s="177"/>
      <c r="C589" s="177"/>
      <c r="D589" s="177"/>
      <c r="E589" s="177"/>
      <c r="F589" s="177"/>
      <c r="G589" s="177"/>
      <c r="H589" s="177"/>
      <c r="I589" s="177"/>
      <c r="J589" s="177"/>
      <c r="K589" s="177"/>
      <c r="L589" s="177"/>
      <c r="M589" s="177"/>
      <c r="N589" s="177"/>
      <c r="O589" s="177"/>
      <c r="P589" s="177"/>
      <c r="Q589" s="177"/>
      <c r="R589" s="177"/>
      <c r="S589" s="177"/>
      <c r="T589" s="177"/>
      <c r="U589" s="177"/>
      <c r="V589" s="177"/>
      <c r="W589" s="177"/>
    </row>
    <row r="590" ht="15.75" customHeight="1">
      <c r="A590" s="177"/>
      <c r="B590" s="177"/>
      <c r="C590" s="177"/>
      <c r="D590" s="177"/>
      <c r="E590" s="177"/>
      <c r="F590" s="177"/>
      <c r="G590" s="177"/>
      <c r="H590" s="177"/>
      <c r="I590" s="177"/>
      <c r="J590" s="177"/>
      <c r="K590" s="177"/>
      <c r="L590" s="177"/>
      <c r="M590" s="177"/>
      <c r="N590" s="177"/>
      <c r="O590" s="177"/>
      <c r="P590" s="177"/>
      <c r="Q590" s="177"/>
      <c r="R590" s="177"/>
      <c r="S590" s="177"/>
      <c r="T590" s="177"/>
      <c r="U590" s="177"/>
      <c r="V590" s="177"/>
      <c r="W590" s="177"/>
    </row>
    <row r="591" ht="15.75" customHeight="1">
      <c r="A591" s="177"/>
      <c r="B591" s="177"/>
      <c r="C591" s="177"/>
      <c r="D591" s="177"/>
      <c r="E591" s="177"/>
      <c r="F591" s="177"/>
      <c r="G591" s="177"/>
      <c r="H591" s="177"/>
      <c r="I591" s="177"/>
      <c r="J591" s="177"/>
      <c r="K591" s="177"/>
      <c r="L591" s="177"/>
      <c r="M591" s="177"/>
      <c r="N591" s="177"/>
      <c r="O591" s="177"/>
      <c r="P591" s="177"/>
      <c r="Q591" s="177"/>
      <c r="R591" s="177"/>
      <c r="S591" s="177"/>
      <c r="T591" s="177"/>
      <c r="U591" s="177"/>
      <c r="V591" s="177"/>
      <c r="W591" s="177"/>
    </row>
    <row r="592" ht="15.75" customHeight="1">
      <c r="A592" s="177"/>
      <c r="B592" s="177"/>
      <c r="C592" s="177"/>
      <c r="D592" s="177"/>
      <c r="E592" s="177"/>
      <c r="F592" s="177"/>
      <c r="G592" s="177"/>
      <c r="H592" s="177"/>
      <c r="I592" s="177"/>
      <c r="J592" s="177"/>
      <c r="K592" s="177"/>
      <c r="L592" s="177"/>
      <c r="M592" s="177"/>
      <c r="N592" s="177"/>
      <c r="O592" s="177"/>
      <c r="P592" s="177"/>
      <c r="Q592" s="177"/>
      <c r="R592" s="177"/>
      <c r="S592" s="177"/>
      <c r="T592" s="177"/>
      <c r="U592" s="177"/>
      <c r="V592" s="177"/>
      <c r="W592" s="177"/>
    </row>
    <row r="593" ht="15.75" customHeight="1">
      <c r="A593" s="177"/>
      <c r="B593" s="177"/>
      <c r="C593" s="177"/>
      <c r="D593" s="177"/>
      <c r="E593" s="177"/>
      <c r="F593" s="177"/>
      <c r="G593" s="177"/>
      <c r="H593" s="177"/>
      <c r="I593" s="177"/>
      <c r="J593" s="177"/>
      <c r="K593" s="177"/>
      <c r="L593" s="177"/>
      <c r="M593" s="177"/>
      <c r="N593" s="177"/>
      <c r="O593" s="177"/>
      <c r="P593" s="177"/>
      <c r="Q593" s="177"/>
      <c r="R593" s="177"/>
      <c r="S593" s="177"/>
      <c r="T593" s="177"/>
      <c r="U593" s="177"/>
      <c r="V593" s="177"/>
      <c r="W593" s="177"/>
    </row>
    <row r="594" ht="15.75" customHeight="1">
      <c r="A594" s="177"/>
      <c r="B594" s="177"/>
      <c r="C594" s="177"/>
      <c r="D594" s="177"/>
      <c r="E594" s="177"/>
      <c r="F594" s="177"/>
      <c r="G594" s="177"/>
      <c r="H594" s="177"/>
      <c r="I594" s="177"/>
      <c r="J594" s="177"/>
      <c r="K594" s="177"/>
      <c r="L594" s="177"/>
      <c r="M594" s="177"/>
      <c r="N594" s="177"/>
      <c r="O594" s="177"/>
      <c r="P594" s="177"/>
      <c r="Q594" s="177"/>
      <c r="R594" s="177"/>
      <c r="S594" s="177"/>
      <c r="T594" s="177"/>
      <c r="U594" s="177"/>
      <c r="V594" s="177"/>
      <c r="W594" s="177"/>
    </row>
    <row r="595" ht="15.75" customHeight="1">
      <c r="A595" s="177"/>
      <c r="B595" s="177"/>
      <c r="C595" s="177"/>
      <c r="D595" s="177"/>
      <c r="E595" s="177"/>
      <c r="F595" s="177"/>
      <c r="G595" s="177"/>
      <c r="H595" s="177"/>
      <c r="I595" s="177"/>
      <c r="J595" s="177"/>
      <c r="K595" s="177"/>
      <c r="L595" s="177"/>
      <c r="M595" s="177"/>
      <c r="N595" s="177"/>
      <c r="O595" s="177"/>
      <c r="P595" s="177"/>
      <c r="Q595" s="177"/>
      <c r="R595" s="177"/>
      <c r="S595" s="177"/>
      <c r="T595" s="177"/>
      <c r="U595" s="177"/>
      <c r="V595" s="177"/>
      <c r="W595" s="177"/>
    </row>
    <row r="596" ht="15.75" customHeight="1">
      <c r="A596" s="177"/>
      <c r="B596" s="177"/>
      <c r="C596" s="177"/>
      <c r="D596" s="177"/>
      <c r="E596" s="177"/>
      <c r="F596" s="177"/>
      <c r="G596" s="177"/>
      <c r="H596" s="177"/>
      <c r="I596" s="177"/>
      <c r="J596" s="177"/>
      <c r="K596" s="177"/>
      <c r="L596" s="177"/>
      <c r="M596" s="177"/>
      <c r="N596" s="177"/>
      <c r="O596" s="177"/>
      <c r="P596" s="177"/>
      <c r="Q596" s="177"/>
      <c r="R596" s="177"/>
      <c r="S596" s="177"/>
      <c r="T596" s="177"/>
      <c r="U596" s="177"/>
      <c r="V596" s="177"/>
      <c r="W596" s="177"/>
    </row>
    <row r="597" ht="15.75" customHeight="1">
      <c r="A597" s="177"/>
      <c r="B597" s="177"/>
      <c r="C597" s="177"/>
      <c r="D597" s="177"/>
      <c r="E597" s="177"/>
      <c r="F597" s="177"/>
      <c r="G597" s="177"/>
      <c r="H597" s="177"/>
      <c r="I597" s="177"/>
      <c r="J597" s="177"/>
      <c r="K597" s="177"/>
      <c r="L597" s="177"/>
      <c r="M597" s="177"/>
      <c r="N597" s="177"/>
      <c r="O597" s="177"/>
      <c r="P597" s="177"/>
      <c r="Q597" s="177"/>
      <c r="R597" s="177"/>
      <c r="S597" s="177"/>
      <c r="T597" s="177"/>
      <c r="U597" s="177"/>
      <c r="V597" s="177"/>
      <c r="W597" s="177"/>
    </row>
    <row r="598" ht="15.75" customHeight="1">
      <c r="A598" s="177"/>
      <c r="B598" s="177"/>
      <c r="C598" s="177"/>
      <c r="D598" s="177"/>
      <c r="E598" s="177"/>
      <c r="F598" s="177"/>
      <c r="G598" s="177"/>
      <c r="H598" s="177"/>
      <c r="I598" s="177"/>
      <c r="J598" s="177"/>
      <c r="K598" s="177"/>
      <c r="L598" s="177"/>
      <c r="M598" s="177"/>
      <c r="N598" s="177"/>
      <c r="O598" s="177"/>
      <c r="P598" s="177"/>
      <c r="Q598" s="177"/>
      <c r="R598" s="177"/>
      <c r="S598" s="177"/>
      <c r="T598" s="177"/>
      <c r="U598" s="177"/>
      <c r="V598" s="177"/>
      <c r="W598" s="177"/>
    </row>
    <row r="599" ht="15.75" customHeight="1">
      <c r="A599" s="177"/>
      <c r="B599" s="177"/>
      <c r="C599" s="177"/>
      <c r="D599" s="177"/>
      <c r="E599" s="177"/>
      <c r="F599" s="177"/>
      <c r="G599" s="177"/>
      <c r="H599" s="177"/>
      <c r="I599" s="177"/>
      <c r="J599" s="177"/>
      <c r="K599" s="177"/>
      <c r="L599" s="177"/>
      <c r="M599" s="177"/>
      <c r="N599" s="177"/>
      <c r="O599" s="177"/>
      <c r="P599" s="177"/>
      <c r="Q599" s="177"/>
      <c r="R599" s="177"/>
      <c r="S599" s="177"/>
      <c r="T599" s="177"/>
      <c r="U599" s="177"/>
      <c r="V599" s="177"/>
      <c r="W599" s="177"/>
    </row>
    <row r="600" ht="15.75" customHeight="1">
      <c r="A600" s="177"/>
      <c r="B600" s="177"/>
      <c r="C600" s="177"/>
      <c r="D600" s="177"/>
      <c r="E600" s="177"/>
      <c r="F600" s="177"/>
      <c r="G600" s="177"/>
      <c r="H600" s="177"/>
      <c r="I600" s="177"/>
      <c r="J600" s="177"/>
      <c r="K600" s="177"/>
      <c r="L600" s="177"/>
      <c r="M600" s="177"/>
      <c r="N600" s="177"/>
      <c r="O600" s="177"/>
      <c r="P600" s="177"/>
      <c r="Q600" s="177"/>
      <c r="R600" s="177"/>
      <c r="S600" s="177"/>
      <c r="T600" s="177"/>
      <c r="U600" s="177"/>
      <c r="V600" s="177"/>
      <c r="W600" s="177"/>
    </row>
    <row r="601" ht="15.75" customHeight="1">
      <c r="A601" s="177"/>
      <c r="B601" s="177"/>
      <c r="C601" s="177"/>
      <c r="D601" s="177"/>
      <c r="E601" s="177"/>
      <c r="F601" s="177"/>
      <c r="G601" s="177"/>
      <c r="H601" s="177"/>
      <c r="I601" s="177"/>
      <c r="J601" s="177"/>
      <c r="K601" s="177"/>
      <c r="L601" s="177"/>
      <c r="M601" s="177"/>
      <c r="N601" s="177"/>
      <c r="O601" s="177"/>
      <c r="P601" s="177"/>
      <c r="Q601" s="177"/>
      <c r="R601" s="177"/>
      <c r="S601" s="177"/>
      <c r="T601" s="177"/>
      <c r="U601" s="177"/>
      <c r="V601" s="177"/>
      <c r="W601" s="177"/>
    </row>
    <row r="602" ht="15.75" customHeight="1">
      <c r="A602" s="177"/>
      <c r="B602" s="177"/>
      <c r="C602" s="177"/>
      <c r="D602" s="177"/>
      <c r="E602" s="177"/>
      <c r="F602" s="177"/>
      <c r="G602" s="177"/>
      <c r="H602" s="177"/>
      <c r="I602" s="177"/>
      <c r="J602" s="177"/>
      <c r="K602" s="177"/>
      <c r="L602" s="177"/>
      <c r="M602" s="177"/>
      <c r="N602" s="177"/>
      <c r="O602" s="177"/>
      <c r="P602" s="177"/>
      <c r="Q602" s="177"/>
      <c r="R602" s="177"/>
      <c r="S602" s="177"/>
      <c r="T602" s="177"/>
      <c r="U602" s="177"/>
      <c r="V602" s="177"/>
      <c r="W602" s="177"/>
    </row>
    <row r="603" ht="15.75" customHeight="1">
      <c r="A603" s="177"/>
      <c r="B603" s="177"/>
      <c r="C603" s="177"/>
      <c r="D603" s="177"/>
      <c r="E603" s="177"/>
      <c r="F603" s="177"/>
      <c r="G603" s="177"/>
      <c r="H603" s="177"/>
      <c r="I603" s="177"/>
      <c r="J603" s="177"/>
      <c r="K603" s="177"/>
      <c r="L603" s="177"/>
      <c r="M603" s="177"/>
      <c r="N603" s="177"/>
      <c r="O603" s="177"/>
      <c r="P603" s="177"/>
      <c r="Q603" s="177"/>
      <c r="R603" s="177"/>
      <c r="S603" s="177"/>
      <c r="T603" s="177"/>
      <c r="U603" s="177"/>
      <c r="V603" s="177"/>
      <c r="W603" s="177"/>
    </row>
    <row r="604" ht="15.75" customHeight="1">
      <c r="A604" s="177"/>
      <c r="B604" s="177"/>
      <c r="C604" s="177"/>
      <c r="D604" s="177"/>
      <c r="E604" s="177"/>
      <c r="F604" s="177"/>
      <c r="G604" s="177"/>
      <c r="H604" s="177"/>
      <c r="I604" s="177"/>
      <c r="J604" s="177"/>
      <c r="K604" s="177"/>
      <c r="L604" s="177"/>
      <c r="M604" s="177"/>
      <c r="N604" s="177"/>
      <c r="O604" s="177"/>
      <c r="P604" s="177"/>
      <c r="Q604" s="177"/>
      <c r="R604" s="177"/>
      <c r="S604" s="177"/>
      <c r="T604" s="177"/>
      <c r="U604" s="177"/>
      <c r="V604" s="177"/>
      <c r="W604" s="177"/>
    </row>
    <row r="605" ht="15.75" customHeight="1">
      <c r="A605" s="177"/>
      <c r="B605" s="177"/>
      <c r="C605" s="177"/>
      <c r="D605" s="177"/>
      <c r="E605" s="177"/>
      <c r="F605" s="177"/>
      <c r="G605" s="177"/>
      <c r="H605" s="177"/>
      <c r="I605" s="177"/>
      <c r="J605" s="177"/>
      <c r="K605" s="177"/>
      <c r="L605" s="177"/>
      <c r="M605" s="177"/>
      <c r="N605" s="177"/>
      <c r="O605" s="177"/>
      <c r="P605" s="177"/>
      <c r="Q605" s="177"/>
      <c r="R605" s="177"/>
      <c r="S605" s="177"/>
      <c r="T605" s="177"/>
      <c r="U605" s="177"/>
      <c r="V605" s="177"/>
      <c r="W605" s="177"/>
    </row>
    <row r="606" ht="15.75" customHeight="1">
      <c r="A606" s="177"/>
      <c r="B606" s="177"/>
      <c r="C606" s="177"/>
      <c r="D606" s="177"/>
      <c r="E606" s="177"/>
      <c r="F606" s="177"/>
      <c r="G606" s="177"/>
      <c r="H606" s="177"/>
      <c r="I606" s="177"/>
      <c r="J606" s="177"/>
      <c r="K606" s="177"/>
      <c r="L606" s="177"/>
      <c r="M606" s="177"/>
      <c r="N606" s="177"/>
      <c r="O606" s="177"/>
      <c r="P606" s="177"/>
      <c r="Q606" s="177"/>
      <c r="R606" s="177"/>
      <c r="S606" s="177"/>
      <c r="T606" s="177"/>
      <c r="U606" s="177"/>
      <c r="V606" s="177"/>
      <c r="W606" s="177"/>
    </row>
    <row r="607" ht="15.75" customHeight="1">
      <c r="A607" s="177"/>
      <c r="B607" s="177"/>
      <c r="C607" s="177"/>
      <c r="D607" s="177"/>
      <c r="E607" s="177"/>
      <c r="F607" s="177"/>
      <c r="G607" s="177"/>
      <c r="H607" s="177"/>
      <c r="I607" s="177"/>
      <c r="J607" s="177"/>
      <c r="K607" s="177"/>
      <c r="L607" s="177"/>
      <c r="M607" s="177"/>
      <c r="N607" s="177"/>
      <c r="O607" s="177"/>
      <c r="P607" s="177"/>
      <c r="Q607" s="177"/>
      <c r="R607" s="177"/>
      <c r="S607" s="177"/>
      <c r="T607" s="177"/>
      <c r="U607" s="177"/>
      <c r="V607" s="177"/>
      <c r="W607" s="177"/>
    </row>
    <row r="608" ht="15.75" customHeight="1">
      <c r="A608" s="177"/>
      <c r="B608" s="177"/>
      <c r="C608" s="177"/>
      <c r="D608" s="177"/>
      <c r="E608" s="177"/>
      <c r="F608" s="177"/>
      <c r="G608" s="177"/>
      <c r="H608" s="177"/>
      <c r="I608" s="177"/>
      <c r="J608" s="177"/>
      <c r="K608" s="177"/>
      <c r="L608" s="177"/>
      <c r="M608" s="177"/>
      <c r="N608" s="177"/>
      <c r="O608" s="177"/>
      <c r="P608" s="177"/>
      <c r="Q608" s="177"/>
      <c r="R608" s="177"/>
      <c r="S608" s="177"/>
      <c r="T608" s="177"/>
      <c r="U608" s="177"/>
      <c r="V608" s="177"/>
      <c r="W608" s="177"/>
    </row>
    <row r="609" ht="15.75" customHeight="1">
      <c r="A609" s="177"/>
      <c r="B609" s="177"/>
      <c r="C609" s="177"/>
      <c r="D609" s="177"/>
      <c r="E609" s="177"/>
      <c r="F609" s="177"/>
      <c r="G609" s="177"/>
      <c r="H609" s="177"/>
      <c r="I609" s="177"/>
      <c r="J609" s="177"/>
      <c r="K609" s="177"/>
      <c r="L609" s="177"/>
      <c r="M609" s="177"/>
      <c r="N609" s="177"/>
      <c r="O609" s="177"/>
      <c r="P609" s="177"/>
      <c r="Q609" s="177"/>
      <c r="R609" s="177"/>
      <c r="S609" s="177"/>
      <c r="T609" s="177"/>
      <c r="U609" s="177"/>
      <c r="V609" s="177"/>
      <c r="W609" s="177"/>
    </row>
    <row r="610" ht="15.75" customHeight="1">
      <c r="A610" s="177"/>
      <c r="B610" s="177"/>
      <c r="C610" s="177"/>
      <c r="D610" s="177"/>
      <c r="E610" s="177"/>
      <c r="F610" s="177"/>
      <c r="G610" s="177"/>
      <c r="H610" s="177"/>
      <c r="I610" s="177"/>
      <c r="J610" s="177"/>
      <c r="K610" s="177"/>
      <c r="L610" s="177"/>
      <c r="M610" s="177"/>
      <c r="N610" s="177"/>
      <c r="O610" s="177"/>
      <c r="P610" s="177"/>
      <c r="Q610" s="177"/>
      <c r="R610" s="177"/>
      <c r="S610" s="177"/>
      <c r="T610" s="177"/>
      <c r="U610" s="177"/>
      <c r="V610" s="177"/>
      <c r="W610" s="177"/>
    </row>
    <row r="611" ht="15.75" customHeight="1">
      <c r="A611" s="177"/>
      <c r="B611" s="177"/>
      <c r="C611" s="177"/>
      <c r="D611" s="177"/>
      <c r="E611" s="177"/>
      <c r="F611" s="177"/>
      <c r="G611" s="177"/>
      <c r="H611" s="177"/>
      <c r="I611" s="177"/>
      <c r="J611" s="177"/>
      <c r="K611" s="177"/>
      <c r="L611" s="177"/>
      <c r="M611" s="177"/>
      <c r="N611" s="177"/>
      <c r="O611" s="177"/>
      <c r="P611" s="177"/>
      <c r="Q611" s="177"/>
      <c r="R611" s="177"/>
      <c r="S611" s="177"/>
      <c r="T611" s="177"/>
      <c r="U611" s="177"/>
      <c r="V611" s="177"/>
      <c r="W611" s="177"/>
    </row>
    <row r="612" ht="15.75" customHeight="1">
      <c r="A612" s="177"/>
      <c r="B612" s="177"/>
      <c r="C612" s="177"/>
      <c r="D612" s="177"/>
      <c r="E612" s="177"/>
      <c r="F612" s="177"/>
      <c r="G612" s="177"/>
      <c r="H612" s="177"/>
      <c r="I612" s="177"/>
      <c r="J612" s="177"/>
      <c r="K612" s="177"/>
      <c r="L612" s="177"/>
      <c r="M612" s="177"/>
      <c r="N612" s="177"/>
      <c r="O612" s="177"/>
      <c r="P612" s="177"/>
      <c r="Q612" s="177"/>
      <c r="R612" s="177"/>
      <c r="S612" s="177"/>
      <c r="T612" s="177"/>
      <c r="U612" s="177"/>
      <c r="V612" s="177"/>
      <c r="W612" s="177"/>
    </row>
    <row r="613" ht="15.75" customHeight="1">
      <c r="A613" s="177"/>
      <c r="B613" s="177"/>
      <c r="C613" s="177"/>
      <c r="D613" s="177"/>
      <c r="E613" s="177"/>
      <c r="F613" s="177"/>
      <c r="G613" s="177"/>
      <c r="H613" s="177"/>
      <c r="I613" s="177"/>
      <c r="J613" s="177"/>
      <c r="K613" s="177"/>
      <c r="L613" s="177"/>
      <c r="M613" s="177"/>
      <c r="N613" s="177"/>
      <c r="O613" s="177"/>
      <c r="P613" s="177"/>
      <c r="Q613" s="177"/>
      <c r="R613" s="177"/>
      <c r="S613" s="177"/>
      <c r="T613" s="177"/>
      <c r="U613" s="177"/>
      <c r="V613" s="177"/>
      <c r="W613" s="177"/>
    </row>
    <row r="614" ht="15.75" customHeight="1">
      <c r="A614" s="177"/>
      <c r="B614" s="177"/>
      <c r="C614" s="177"/>
      <c r="D614" s="177"/>
      <c r="E614" s="177"/>
      <c r="F614" s="177"/>
      <c r="G614" s="177"/>
      <c r="H614" s="177"/>
      <c r="I614" s="177"/>
      <c r="J614" s="177"/>
      <c r="K614" s="177"/>
      <c r="L614" s="177"/>
      <c r="M614" s="177"/>
      <c r="N614" s="177"/>
      <c r="O614" s="177"/>
      <c r="P614" s="177"/>
      <c r="Q614" s="177"/>
      <c r="R614" s="177"/>
      <c r="S614" s="177"/>
      <c r="T614" s="177"/>
      <c r="U614" s="177"/>
      <c r="V614" s="177"/>
      <c r="W614" s="177"/>
    </row>
    <row r="615" ht="15.75" customHeight="1">
      <c r="A615" s="177"/>
      <c r="B615" s="177"/>
      <c r="C615" s="177"/>
      <c r="D615" s="177"/>
      <c r="E615" s="177"/>
      <c r="F615" s="177"/>
      <c r="G615" s="177"/>
      <c r="H615" s="177"/>
      <c r="I615" s="177"/>
      <c r="J615" s="177"/>
      <c r="K615" s="177"/>
      <c r="L615" s="177"/>
      <c r="M615" s="177"/>
      <c r="N615" s="177"/>
      <c r="O615" s="177"/>
      <c r="P615" s="177"/>
      <c r="Q615" s="177"/>
      <c r="R615" s="177"/>
      <c r="S615" s="177"/>
      <c r="T615" s="177"/>
      <c r="U615" s="177"/>
      <c r="V615" s="177"/>
      <c r="W615" s="177"/>
    </row>
    <row r="616" ht="15.75" customHeight="1">
      <c r="A616" s="177"/>
      <c r="B616" s="177"/>
      <c r="C616" s="177"/>
      <c r="D616" s="177"/>
      <c r="E616" s="177"/>
      <c r="F616" s="177"/>
      <c r="G616" s="177"/>
      <c r="H616" s="177"/>
      <c r="I616" s="177"/>
      <c r="J616" s="177"/>
      <c r="K616" s="177"/>
      <c r="L616" s="177"/>
      <c r="M616" s="177"/>
      <c r="N616" s="177"/>
      <c r="O616" s="177"/>
      <c r="P616" s="177"/>
      <c r="Q616" s="177"/>
      <c r="R616" s="177"/>
      <c r="S616" s="177"/>
      <c r="T616" s="177"/>
      <c r="U616" s="177"/>
      <c r="V616" s="177"/>
      <c r="W616" s="177"/>
    </row>
    <row r="617" ht="15.75" customHeight="1">
      <c r="A617" s="177"/>
      <c r="B617" s="177"/>
      <c r="C617" s="177"/>
      <c r="D617" s="177"/>
      <c r="E617" s="177"/>
      <c r="F617" s="177"/>
      <c r="G617" s="177"/>
      <c r="H617" s="177"/>
      <c r="I617" s="177"/>
      <c r="J617" s="177"/>
      <c r="K617" s="177"/>
      <c r="L617" s="177"/>
      <c r="M617" s="177"/>
      <c r="N617" s="177"/>
      <c r="O617" s="177"/>
      <c r="P617" s="177"/>
      <c r="Q617" s="177"/>
      <c r="R617" s="177"/>
      <c r="S617" s="177"/>
      <c r="T617" s="177"/>
      <c r="U617" s="177"/>
      <c r="V617" s="177"/>
      <c r="W617" s="177"/>
    </row>
    <row r="618" ht="15.75" customHeight="1">
      <c r="A618" s="177"/>
      <c r="B618" s="177"/>
      <c r="C618" s="177"/>
      <c r="D618" s="177"/>
      <c r="E618" s="177"/>
      <c r="F618" s="177"/>
      <c r="G618" s="177"/>
      <c r="H618" s="177"/>
      <c r="I618" s="177"/>
      <c r="J618" s="177"/>
      <c r="K618" s="177"/>
      <c r="L618" s="177"/>
      <c r="M618" s="177"/>
      <c r="N618" s="177"/>
      <c r="O618" s="177"/>
      <c r="P618" s="177"/>
      <c r="Q618" s="177"/>
      <c r="R618" s="177"/>
      <c r="S618" s="177"/>
      <c r="T618" s="177"/>
      <c r="U618" s="177"/>
      <c r="V618" s="177"/>
      <c r="W618" s="177"/>
    </row>
    <row r="619" ht="15.75" customHeight="1">
      <c r="A619" s="177"/>
      <c r="B619" s="177"/>
      <c r="C619" s="177"/>
      <c r="D619" s="177"/>
      <c r="E619" s="177"/>
      <c r="F619" s="177"/>
      <c r="G619" s="177"/>
      <c r="H619" s="177"/>
      <c r="I619" s="177"/>
      <c r="J619" s="177"/>
      <c r="K619" s="177"/>
      <c r="L619" s="177"/>
      <c r="M619" s="177"/>
      <c r="N619" s="177"/>
      <c r="O619" s="177"/>
      <c r="P619" s="177"/>
      <c r="Q619" s="177"/>
      <c r="R619" s="177"/>
      <c r="S619" s="177"/>
      <c r="T619" s="177"/>
      <c r="U619" s="177"/>
      <c r="V619" s="177"/>
      <c r="W619" s="177"/>
    </row>
    <row r="620" ht="15.75" customHeight="1">
      <c r="A620" s="177"/>
      <c r="B620" s="177"/>
      <c r="C620" s="177"/>
      <c r="D620" s="177"/>
      <c r="E620" s="177"/>
      <c r="F620" s="177"/>
      <c r="G620" s="177"/>
      <c r="H620" s="177"/>
      <c r="I620" s="177"/>
      <c r="J620" s="177"/>
      <c r="K620" s="177"/>
      <c r="L620" s="177"/>
      <c r="M620" s="177"/>
      <c r="N620" s="177"/>
      <c r="O620" s="177"/>
      <c r="P620" s="177"/>
      <c r="Q620" s="177"/>
      <c r="R620" s="177"/>
      <c r="S620" s="177"/>
      <c r="T620" s="177"/>
      <c r="U620" s="177"/>
      <c r="V620" s="177"/>
      <c r="W620" s="177"/>
    </row>
    <row r="621" ht="15.75" customHeight="1">
      <c r="A621" s="177"/>
      <c r="B621" s="177"/>
      <c r="C621" s="177"/>
      <c r="D621" s="177"/>
      <c r="E621" s="177"/>
      <c r="F621" s="177"/>
      <c r="G621" s="177"/>
      <c r="H621" s="177"/>
      <c r="I621" s="177"/>
      <c r="J621" s="177"/>
      <c r="K621" s="177"/>
      <c r="L621" s="177"/>
      <c r="M621" s="177"/>
      <c r="N621" s="177"/>
      <c r="O621" s="177"/>
      <c r="P621" s="177"/>
      <c r="Q621" s="177"/>
      <c r="R621" s="177"/>
      <c r="S621" s="177"/>
      <c r="T621" s="177"/>
      <c r="U621" s="177"/>
      <c r="V621" s="177"/>
      <c r="W621" s="177"/>
    </row>
    <row r="622" ht="15.75" customHeight="1">
      <c r="A622" s="177"/>
      <c r="B622" s="177"/>
      <c r="C622" s="177"/>
      <c r="D622" s="177"/>
      <c r="E622" s="177"/>
      <c r="F622" s="177"/>
      <c r="G622" s="177"/>
      <c r="H622" s="177"/>
      <c r="I622" s="177"/>
      <c r="J622" s="177"/>
      <c r="K622" s="177"/>
      <c r="L622" s="177"/>
      <c r="M622" s="177"/>
      <c r="N622" s="177"/>
      <c r="O622" s="177"/>
      <c r="P622" s="177"/>
      <c r="Q622" s="177"/>
      <c r="R622" s="177"/>
      <c r="S622" s="177"/>
      <c r="T622" s="177"/>
      <c r="U622" s="177"/>
      <c r="V622" s="177"/>
      <c r="W622" s="177"/>
    </row>
    <row r="623" ht="15.75" customHeight="1">
      <c r="A623" s="177"/>
      <c r="B623" s="177"/>
      <c r="C623" s="177"/>
      <c r="D623" s="177"/>
      <c r="E623" s="177"/>
      <c r="F623" s="177"/>
      <c r="G623" s="177"/>
      <c r="H623" s="177"/>
      <c r="I623" s="177"/>
      <c r="J623" s="177"/>
      <c r="K623" s="177"/>
      <c r="L623" s="177"/>
      <c r="M623" s="177"/>
      <c r="N623" s="177"/>
      <c r="O623" s="177"/>
      <c r="P623" s="177"/>
      <c r="Q623" s="177"/>
      <c r="R623" s="177"/>
      <c r="S623" s="177"/>
      <c r="T623" s="177"/>
      <c r="U623" s="177"/>
      <c r="V623" s="177"/>
      <c r="W623" s="177"/>
    </row>
    <row r="624" ht="15.75" customHeight="1">
      <c r="A624" s="177"/>
      <c r="B624" s="177"/>
      <c r="C624" s="177"/>
      <c r="D624" s="177"/>
      <c r="E624" s="177"/>
      <c r="F624" s="177"/>
      <c r="G624" s="177"/>
      <c r="H624" s="177"/>
      <c r="I624" s="177"/>
      <c r="J624" s="177"/>
      <c r="K624" s="177"/>
      <c r="L624" s="177"/>
      <c r="M624" s="177"/>
      <c r="N624" s="177"/>
      <c r="O624" s="177"/>
      <c r="P624" s="177"/>
      <c r="Q624" s="177"/>
      <c r="R624" s="177"/>
      <c r="S624" s="177"/>
      <c r="T624" s="177"/>
      <c r="U624" s="177"/>
      <c r="V624" s="177"/>
      <c r="W624" s="177"/>
    </row>
    <row r="625" ht="15.75" customHeight="1">
      <c r="A625" s="177"/>
      <c r="B625" s="177"/>
      <c r="C625" s="177"/>
      <c r="D625" s="177"/>
      <c r="E625" s="177"/>
      <c r="F625" s="177"/>
      <c r="G625" s="177"/>
      <c r="H625" s="177"/>
      <c r="I625" s="177"/>
      <c r="J625" s="177"/>
      <c r="K625" s="177"/>
      <c r="L625" s="177"/>
      <c r="M625" s="177"/>
      <c r="N625" s="177"/>
      <c r="O625" s="177"/>
      <c r="P625" s="177"/>
      <c r="Q625" s="177"/>
      <c r="R625" s="177"/>
      <c r="S625" s="177"/>
      <c r="T625" s="177"/>
      <c r="U625" s="177"/>
      <c r="V625" s="177"/>
      <c r="W625" s="177"/>
    </row>
    <row r="626" ht="15.75" customHeight="1">
      <c r="A626" s="177"/>
      <c r="B626" s="177"/>
      <c r="C626" s="177"/>
      <c r="D626" s="177"/>
      <c r="E626" s="177"/>
      <c r="F626" s="177"/>
      <c r="G626" s="177"/>
      <c r="H626" s="177"/>
      <c r="I626" s="177"/>
      <c r="J626" s="177"/>
      <c r="K626" s="177"/>
      <c r="L626" s="177"/>
      <c r="M626" s="177"/>
      <c r="N626" s="177"/>
      <c r="O626" s="177"/>
      <c r="P626" s="177"/>
      <c r="Q626" s="177"/>
      <c r="R626" s="177"/>
      <c r="S626" s="177"/>
      <c r="T626" s="177"/>
      <c r="U626" s="177"/>
      <c r="V626" s="177"/>
      <c r="W626" s="177"/>
    </row>
    <row r="627" ht="15.75" customHeight="1">
      <c r="A627" s="177"/>
      <c r="B627" s="177"/>
      <c r="C627" s="177"/>
      <c r="D627" s="177"/>
      <c r="E627" s="177"/>
      <c r="F627" s="177"/>
      <c r="G627" s="177"/>
      <c r="H627" s="177"/>
      <c r="I627" s="177"/>
      <c r="J627" s="177"/>
      <c r="K627" s="177"/>
      <c r="L627" s="177"/>
      <c r="M627" s="177"/>
      <c r="N627" s="177"/>
      <c r="O627" s="177"/>
      <c r="P627" s="177"/>
      <c r="Q627" s="177"/>
      <c r="R627" s="177"/>
      <c r="S627" s="177"/>
      <c r="T627" s="177"/>
      <c r="U627" s="177"/>
      <c r="V627" s="177"/>
      <c r="W627" s="177"/>
    </row>
    <row r="628" ht="15.75" customHeight="1">
      <c r="A628" s="177"/>
      <c r="B628" s="177"/>
      <c r="C628" s="177"/>
      <c r="D628" s="177"/>
      <c r="E628" s="177"/>
      <c r="F628" s="177"/>
      <c r="G628" s="177"/>
      <c r="H628" s="177"/>
      <c r="I628" s="177"/>
      <c r="J628" s="177"/>
      <c r="K628" s="177"/>
      <c r="L628" s="177"/>
      <c r="M628" s="177"/>
      <c r="N628" s="177"/>
      <c r="O628" s="177"/>
      <c r="P628" s="177"/>
      <c r="Q628" s="177"/>
      <c r="R628" s="177"/>
      <c r="S628" s="177"/>
      <c r="T628" s="177"/>
      <c r="U628" s="177"/>
      <c r="V628" s="177"/>
      <c r="W628" s="177"/>
    </row>
    <row r="629" ht="15.75" customHeight="1">
      <c r="A629" s="177"/>
      <c r="B629" s="177"/>
      <c r="C629" s="177"/>
      <c r="D629" s="177"/>
      <c r="E629" s="177"/>
      <c r="F629" s="177"/>
      <c r="G629" s="177"/>
      <c r="H629" s="177"/>
      <c r="I629" s="177"/>
      <c r="J629" s="177"/>
      <c r="K629" s="177"/>
      <c r="L629" s="177"/>
      <c r="M629" s="177"/>
      <c r="N629" s="177"/>
      <c r="O629" s="177"/>
      <c r="P629" s="177"/>
      <c r="Q629" s="177"/>
      <c r="R629" s="177"/>
      <c r="S629" s="177"/>
      <c r="T629" s="177"/>
      <c r="U629" s="177"/>
      <c r="V629" s="177"/>
      <c r="W629" s="177"/>
    </row>
    <row r="630" ht="15.75" customHeight="1">
      <c r="A630" s="177"/>
      <c r="B630" s="177"/>
      <c r="C630" s="177"/>
      <c r="D630" s="177"/>
      <c r="E630" s="177"/>
      <c r="F630" s="177"/>
      <c r="G630" s="177"/>
      <c r="H630" s="177"/>
      <c r="I630" s="177"/>
      <c r="J630" s="177"/>
      <c r="K630" s="177"/>
      <c r="L630" s="177"/>
      <c r="M630" s="177"/>
      <c r="N630" s="177"/>
      <c r="O630" s="177"/>
      <c r="P630" s="177"/>
      <c r="Q630" s="177"/>
      <c r="R630" s="177"/>
      <c r="S630" s="177"/>
      <c r="T630" s="177"/>
      <c r="U630" s="177"/>
      <c r="V630" s="177"/>
      <c r="W630" s="177"/>
    </row>
    <row r="631" ht="15.75" customHeight="1">
      <c r="A631" s="177"/>
      <c r="B631" s="177"/>
      <c r="C631" s="177"/>
      <c r="D631" s="177"/>
      <c r="E631" s="177"/>
      <c r="F631" s="177"/>
      <c r="G631" s="177"/>
      <c r="H631" s="177"/>
      <c r="I631" s="177"/>
      <c r="J631" s="177"/>
      <c r="K631" s="177"/>
      <c r="L631" s="177"/>
      <c r="M631" s="177"/>
      <c r="N631" s="177"/>
      <c r="O631" s="177"/>
      <c r="P631" s="177"/>
      <c r="Q631" s="177"/>
      <c r="R631" s="177"/>
      <c r="S631" s="177"/>
      <c r="T631" s="177"/>
      <c r="U631" s="177"/>
      <c r="V631" s="177"/>
      <c r="W631" s="177"/>
    </row>
    <row r="632" ht="15.75" customHeight="1">
      <c r="A632" s="177"/>
      <c r="B632" s="177"/>
      <c r="C632" s="177"/>
      <c r="D632" s="177"/>
      <c r="E632" s="177"/>
      <c r="F632" s="177"/>
      <c r="G632" s="177"/>
      <c r="H632" s="177"/>
      <c r="I632" s="177"/>
      <c r="J632" s="177"/>
      <c r="K632" s="177"/>
      <c r="L632" s="177"/>
      <c r="M632" s="177"/>
      <c r="N632" s="177"/>
      <c r="O632" s="177"/>
      <c r="P632" s="177"/>
      <c r="Q632" s="177"/>
      <c r="R632" s="177"/>
      <c r="S632" s="177"/>
      <c r="T632" s="177"/>
      <c r="U632" s="177"/>
      <c r="V632" s="177"/>
      <c r="W632" s="177"/>
    </row>
    <row r="633" ht="15.75" customHeight="1">
      <c r="A633" s="177"/>
      <c r="B633" s="177"/>
      <c r="C633" s="177"/>
      <c r="D633" s="177"/>
      <c r="E633" s="177"/>
      <c r="F633" s="177"/>
      <c r="G633" s="177"/>
      <c r="H633" s="177"/>
      <c r="I633" s="177"/>
      <c r="J633" s="177"/>
      <c r="K633" s="177"/>
      <c r="L633" s="177"/>
      <c r="M633" s="177"/>
      <c r="N633" s="177"/>
      <c r="O633" s="177"/>
      <c r="P633" s="177"/>
      <c r="Q633" s="177"/>
      <c r="R633" s="177"/>
      <c r="S633" s="177"/>
      <c r="T633" s="177"/>
      <c r="U633" s="177"/>
      <c r="V633" s="177"/>
      <c r="W633" s="177"/>
    </row>
    <row r="634" ht="15.75" customHeight="1">
      <c r="A634" s="177"/>
      <c r="B634" s="177"/>
      <c r="C634" s="177"/>
      <c r="D634" s="177"/>
      <c r="E634" s="177"/>
      <c r="F634" s="177"/>
      <c r="G634" s="177"/>
      <c r="H634" s="177"/>
      <c r="I634" s="177"/>
      <c r="J634" s="177"/>
      <c r="K634" s="177"/>
      <c r="L634" s="177"/>
      <c r="M634" s="177"/>
      <c r="N634" s="177"/>
      <c r="O634" s="177"/>
      <c r="P634" s="177"/>
      <c r="Q634" s="177"/>
      <c r="R634" s="177"/>
      <c r="S634" s="177"/>
      <c r="T634" s="177"/>
      <c r="U634" s="177"/>
      <c r="V634" s="177"/>
      <c r="W634" s="177"/>
    </row>
    <row r="635" ht="15.75" customHeight="1">
      <c r="A635" s="177"/>
      <c r="B635" s="177"/>
      <c r="C635" s="177"/>
      <c r="D635" s="177"/>
      <c r="E635" s="177"/>
      <c r="F635" s="177"/>
      <c r="G635" s="177"/>
      <c r="H635" s="177"/>
      <c r="I635" s="177"/>
      <c r="J635" s="177"/>
      <c r="K635" s="177"/>
      <c r="L635" s="177"/>
      <c r="M635" s="177"/>
      <c r="N635" s="177"/>
      <c r="O635" s="177"/>
      <c r="P635" s="177"/>
      <c r="Q635" s="177"/>
      <c r="R635" s="177"/>
      <c r="S635" s="177"/>
      <c r="T635" s="177"/>
      <c r="U635" s="177"/>
      <c r="V635" s="177"/>
      <c r="W635" s="177"/>
    </row>
    <row r="636" ht="15.75" customHeight="1">
      <c r="A636" s="177"/>
      <c r="B636" s="177"/>
      <c r="C636" s="177"/>
      <c r="D636" s="177"/>
      <c r="E636" s="177"/>
      <c r="F636" s="177"/>
      <c r="G636" s="177"/>
      <c r="H636" s="177"/>
      <c r="I636" s="177"/>
      <c r="J636" s="177"/>
      <c r="K636" s="177"/>
      <c r="L636" s="177"/>
      <c r="M636" s="177"/>
      <c r="N636" s="177"/>
      <c r="O636" s="177"/>
      <c r="P636" s="177"/>
      <c r="Q636" s="177"/>
      <c r="R636" s="177"/>
      <c r="S636" s="177"/>
      <c r="T636" s="177"/>
      <c r="U636" s="177"/>
      <c r="V636" s="177"/>
      <c r="W636" s="177"/>
    </row>
    <row r="637" ht="15.75" customHeight="1">
      <c r="A637" s="177"/>
      <c r="B637" s="177"/>
      <c r="C637" s="177"/>
      <c r="D637" s="177"/>
      <c r="E637" s="177"/>
      <c r="F637" s="177"/>
      <c r="G637" s="177"/>
      <c r="H637" s="177"/>
      <c r="I637" s="177"/>
      <c r="J637" s="177"/>
      <c r="K637" s="177"/>
      <c r="L637" s="177"/>
      <c r="M637" s="177"/>
      <c r="N637" s="177"/>
      <c r="O637" s="177"/>
      <c r="P637" s="177"/>
      <c r="Q637" s="177"/>
      <c r="R637" s="177"/>
      <c r="S637" s="177"/>
      <c r="T637" s="177"/>
      <c r="U637" s="177"/>
      <c r="V637" s="177"/>
      <c r="W637" s="177"/>
    </row>
    <row r="638" ht="15.75" customHeight="1">
      <c r="A638" s="177"/>
      <c r="B638" s="177"/>
      <c r="C638" s="177"/>
      <c r="D638" s="177"/>
      <c r="E638" s="177"/>
      <c r="F638" s="177"/>
      <c r="G638" s="177"/>
      <c r="H638" s="177"/>
      <c r="I638" s="177"/>
      <c r="J638" s="177"/>
      <c r="K638" s="177"/>
      <c r="L638" s="177"/>
      <c r="M638" s="177"/>
      <c r="N638" s="177"/>
      <c r="O638" s="177"/>
      <c r="P638" s="177"/>
      <c r="Q638" s="177"/>
      <c r="R638" s="177"/>
      <c r="S638" s="177"/>
      <c r="T638" s="177"/>
      <c r="U638" s="177"/>
      <c r="V638" s="177"/>
      <c r="W638" s="177"/>
    </row>
    <row r="639" ht="15.75" customHeight="1">
      <c r="A639" s="177"/>
      <c r="B639" s="177"/>
      <c r="C639" s="177"/>
      <c r="D639" s="177"/>
      <c r="E639" s="177"/>
      <c r="F639" s="177"/>
      <c r="G639" s="177"/>
      <c r="H639" s="177"/>
      <c r="I639" s="177"/>
      <c r="J639" s="177"/>
      <c r="K639" s="177"/>
      <c r="L639" s="177"/>
      <c r="M639" s="177"/>
      <c r="N639" s="177"/>
      <c r="O639" s="177"/>
      <c r="P639" s="177"/>
      <c r="Q639" s="177"/>
      <c r="R639" s="177"/>
      <c r="S639" s="177"/>
      <c r="T639" s="177"/>
      <c r="U639" s="177"/>
      <c r="V639" s="177"/>
      <c r="W639" s="177"/>
    </row>
    <row r="640" ht="15.75" customHeight="1">
      <c r="A640" s="177"/>
      <c r="B640" s="177"/>
      <c r="C640" s="177"/>
      <c r="D640" s="177"/>
      <c r="E640" s="177"/>
      <c r="F640" s="177"/>
      <c r="G640" s="177"/>
      <c r="H640" s="177"/>
      <c r="I640" s="177"/>
      <c r="J640" s="177"/>
      <c r="K640" s="177"/>
      <c r="L640" s="177"/>
      <c r="M640" s="177"/>
      <c r="N640" s="177"/>
      <c r="O640" s="177"/>
      <c r="P640" s="177"/>
      <c r="Q640" s="177"/>
      <c r="R640" s="177"/>
      <c r="S640" s="177"/>
      <c r="T640" s="177"/>
      <c r="U640" s="177"/>
      <c r="V640" s="177"/>
      <c r="W640" s="177"/>
    </row>
    <row r="641" ht="15.75" customHeight="1">
      <c r="A641" s="177"/>
      <c r="B641" s="177"/>
      <c r="C641" s="177"/>
      <c r="D641" s="177"/>
      <c r="E641" s="177"/>
      <c r="F641" s="177"/>
      <c r="G641" s="177"/>
      <c r="H641" s="177"/>
      <c r="I641" s="177"/>
      <c r="J641" s="177"/>
      <c r="K641" s="177"/>
      <c r="L641" s="177"/>
      <c r="M641" s="177"/>
      <c r="N641" s="177"/>
      <c r="O641" s="177"/>
      <c r="P641" s="177"/>
      <c r="Q641" s="177"/>
      <c r="R641" s="177"/>
      <c r="S641" s="177"/>
      <c r="T641" s="177"/>
      <c r="U641" s="177"/>
      <c r="V641" s="177"/>
      <c r="W641" s="177"/>
    </row>
    <row r="642" ht="15.75" customHeight="1">
      <c r="A642" s="177"/>
      <c r="B642" s="177"/>
      <c r="C642" s="177"/>
      <c r="D642" s="177"/>
      <c r="E642" s="177"/>
      <c r="F642" s="177"/>
      <c r="G642" s="177"/>
      <c r="H642" s="177"/>
      <c r="I642" s="177"/>
      <c r="J642" s="177"/>
      <c r="K642" s="177"/>
      <c r="L642" s="177"/>
      <c r="M642" s="177"/>
      <c r="N642" s="177"/>
      <c r="O642" s="177"/>
      <c r="P642" s="177"/>
      <c r="Q642" s="177"/>
      <c r="R642" s="177"/>
      <c r="S642" s="177"/>
      <c r="T642" s="177"/>
      <c r="U642" s="177"/>
      <c r="V642" s="177"/>
      <c r="W642" s="177"/>
    </row>
    <row r="643" ht="15.75" customHeight="1">
      <c r="A643" s="177"/>
      <c r="B643" s="177"/>
      <c r="C643" s="177"/>
      <c r="D643" s="177"/>
      <c r="E643" s="177"/>
      <c r="F643" s="177"/>
      <c r="G643" s="177"/>
      <c r="H643" s="177"/>
      <c r="I643" s="177"/>
      <c r="J643" s="177"/>
      <c r="K643" s="177"/>
      <c r="L643" s="177"/>
      <c r="M643" s="177"/>
      <c r="N643" s="177"/>
      <c r="O643" s="177"/>
      <c r="P643" s="177"/>
      <c r="Q643" s="177"/>
      <c r="R643" s="177"/>
      <c r="S643" s="177"/>
      <c r="T643" s="177"/>
      <c r="U643" s="177"/>
      <c r="V643" s="177"/>
      <c r="W643" s="177"/>
    </row>
    <row r="644" ht="15.75" customHeight="1">
      <c r="A644" s="177"/>
      <c r="B644" s="177"/>
      <c r="C644" s="177"/>
      <c r="D644" s="177"/>
      <c r="E644" s="177"/>
      <c r="F644" s="177"/>
      <c r="G644" s="177"/>
      <c r="H644" s="177"/>
      <c r="I644" s="177"/>
      <c r="J644" s="177"/>
      <c r="K644" s="177"/>
      <c r="L644" s="177"/>
      <c r="M644" s="177"/>
      <c r="N644" s="177"/>
      <c r="O644" s="177"/>
      <c r="P644" s="177"/>
      <c r="Q644" s="177"/>
      <c r="R644" s="177"/>
      <c r="S644" s="177"/>
      <c r="T644" s="177"/>
      <c r="U644" s="177"/>
      <c r="V644" s="177"/>
      <c r="W644" s="177"/>
    </row>
    <row r="645" ht="15.75" customHeight="1">
      <c r="A645" s="177"/>
      <c r="B645" s="177"/>
      <c r="C645" s="177"/>
      <c r="D645" s="177"/>
      <c r="E645" s="177"/>
      <c r="F645" s="177"/>
      <c r="G645" s="177"/>
      <c r="H645" s="177"/>
      <c r="I645" s="177"/>
      <c r="J645" s="177"/>
      <c r="K645" s="177"/>
      <c r="L645" s="177"/>
      <c r="M645" s="177"/>
      <c r="N645" s="177"/>
      <c r="O645" s="177"/>
      <c r="P645" s="177"/>
      <c r="Q645" s="177"/>
      <c r="R645" s="177"/>
      <c r="S645" s="177"/>
      <c r="T645" s="177"/>
      <c r="U645" s="177"/>
      <c r="V645" s="177"/>
      <c r="W645" s="177"/>
    </row>
    <row r="646" ht="15.75" customHeight="1">
      <c r="A646" s="177"/>
      <c r="B646" s="177"/>
      <c r="C646" s="177"/>
      <c r="D646" s="177"/>
      <c r="E646" s="177"/>
      <c r="F646" s="177"/>
      <c r="G646" s="177"/>
      <c r="H646" s="177"/>
      <c r="I646" s="177"/>
      <c r="J646" s="177"/>
      <c r="K646" s="177"/>
      <c r="L646" s="177"/>
      <c r="M646" s="177"/>
      <c r="N646" s="177"/>
      <c r="O646" s="177"/>
      <c r="P646" s="177"/>
      <c r="Q646" s="177"/>
      <c r="R646" s="177"/>
      <c r="S646" s="177"/>
      <c r="T646" s="177"/>
      <c r="U646" s="177"/>
      <c r="V646" s="177"/>
      <c r="W646" s="177"/>
    </row>
    <row r="647" ht="15.75" customHeight="1">
      <c r="A647" s="177"/>
      <c r="B647" s="177"/>
      <c r="C647" s="177"/>
      <c r="D647" s="177"/>
      <c r="E647" s="177"/>
      <c r="F647" s="177"/>
      <c r="G647" s="177"/>
      <c r="H647" s="177"/>
      <c r="I647" s="177"/>
      <c r="J647" s="177"/>
      <c r="K647" s="177"/>
      <c r="L647" s="177"/>
      <c r="M647" s="177"/>
      <c r="N647" s="177"/>
      <c r="O647" s="177"/>
      <c r="P647" s="177"/>
      <c r="Q647" s="177"/>
      <c r="R647" s="177"/>
      <c r="S647" s="177"/>
      <c r="T647" s="177"/>
      <c r="U647" s="177"/>
      <c r="V647" s="177"/>
      <c r="W647" s="177"/>
    </row>
    <row r="648" ht="15.75" customHeight="1">
      <c r="A648" s="177"/>
      <c r="B648" s="177"/>
      <c r="C648" s="177"/>
      <c r="D648" s="177"/>
      <c r="E648" s="177"/>
      <c r="F648" s="177"/>
      <c r="G648" s="177"/>
      <c r="H648" s="177"/>
      <c r="I648" s="177"/>
      <c r="J648" s="177"/>
      <c r="K648" s="177"/>
      <c r="L648" s="177"/>
      <c r="M648" s="177"/>
      <c r="N648" s="177"/>
      <c r="O648" s="177"/>
      <c r="P648" s="177"/>
      <c r="Q648" s="177"/>
      <c r="R648" s="177"/>
      <c r="S648" s="177"/>
      <c r="T648" s="177"/>
      <c r="U648" s="177"/>
      <c r="V648" s="177"/>
      <c r="W648" s="177"/>
    </row>
    <row r="649" ht="15.75" customHeight="1">
      <c r="A649" s="177"/>
      <c r="B649" s="177"/>
      <c r="C649" s="177"/>
      <c r="D649" s="177"/>
      <c r="E649" s="177"/>
      <c r="F649" s="177"/>
      <c r="G649" s="177"/>
      <c r="H649" s="177"/>
      <c r="I649" s="177"/>
      <c r="J649" s="177"/>
      <c r="K649" s="177"/>
      <c r="L649" s="177"/>
      <c r="M649" s="177"/>
      <c r="N649" s="177"/>
      <c r="O649" s="177"/>
      <c r="P649" s="177"/>
      <c r="Q649" s="177"/>
      <c r="R649" s="177"/>
      <c r="S649" s="177"/>
      <c r="T649" s="177"/>
      <c r="U649" s="177"/>
      <c r="V649" s="177"/>
      <c r="W649" s="177"/>
    </row>
    <row r="650" ht="15.75" customHeight="1">
      <c r="A650" s="177"/>
      <c r="B650" s="177"/>
      <c r="C650" s="177"/>
      <c r="D650" s="177"/>
      <c r="E650" s="177"/>
      <c r="F650" s="177"/>
      <c r="G650" s="177"/>
      <c r="H650" s="177"/>
      <c r="I650" s="177"/>
      <c r="J650" s="177"/>
      <c r="K650" s="177"/>
      <c r="L650" s="177"/>
      <c r="M650" s="177"/>
      <c r="N650" s="177"/>
      <c r="O650" s="177"/>
      <c r="P650" s="177"/>
      <c r="Q650" s="177"/>
      <c r="R650" s="177"/>
      <c r="S650" s="177"/>
      <c r="T650" s="177"/>
      <c r="U650" s="177"/>
      <c r="V650" s="177"/>
      <c r="W650" s="177"/>
    </row>
    <row r="651" ht="15.75" customHeight="1">
      <c r="A651" s="177"/>
      <c r="B651" s="177"/>
      <c r="C651" s="177"/>
      <c r="D651" s="177"/>
      <c r="E651" s="177"/>
      <c r="F651" s="177"/>
      <c r="G651" s="177"/>
      <c r="H651" s="177"/>
      <c r="I651" s="177"/>
      <c r="J651" s="177"/>
      <c r="K651" s="177"/>
      <c r="L651" s="177"/>
      <c r="M651" s="177"/>
      <c r="N651" s="177"/>
      <c r="O651" s="177"/>
      <c r="P651" s="177"/>
      <c r="Q651" s="177"/>
      <c r="R651" s="177"/>
      <c r="S651" s="177"/>
      <c r="T651" s="177"/>
      <c r="U651" s="177"/>
      <c r="V651" s="177"/>
      <c r="W651" s="177"/>
    </row>
    <row r="652" ht="15.75" customHeight="1">
      <c r="A652" s="177"/>
      <c r="B652" s="177"/>
      <c r="C652" s="177"/>
      <c r="D652" s="177"/>
      <c r="E652" s="177"/>
      <c r="F652" s="177"/>
      <c r="G652" s="177"/>
      <c r="H652" s="177"/>
      <c r="I652" s="177"/>
      <c r="J652" s="177"/>
      <c r="K652" s="177"/>
      <c r="L652" s="177"/>
      <c r="M652" s="177"/>
      <c r="N652" s="177"/>
      <c r="O652" s="177"/>
      <c r="P652" s="177"/>
      <c r="Q652" s="177"/>
      <c r="R652" s="177"/>
      <c r="S652" s="177"/>
      <c r="T652" s="177"/>
      <c r="U652" s="177"/>
      <c r="V652" s="177"/>
      <c r="W652" s="177"/>
    </row>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K10:L224 K237:L451">
    <cfRule type="cellIs" dxfId="9" priority="1" operator="equal">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2">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3">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4">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5">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6">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7">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8">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9">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0">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1">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2">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3">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4">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5">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6">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7">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8">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9">
      <colorScale>
        <cfvo type="min"/>
        <cfvo type="percentile" val="50"/>
        <cfvo type="max"/>
        <color rgb="FF63BE7B"/>
        <color rgb="FFFCFCFF"/>
        <color rgb="FFF8696B"/>
      </colorScale>
    </cfRule>
  </conditionalFormatting>
  <conditionalFormatting sqref="A64:A67 A82:A85 A98:A101 A115:A118 A132:A135 A149:A152 A166:A169 A183:A186 A201:A204 A290:A294 A309:A312 A325:A328 A342:A345 A359:A362 A376:A379 A393:A396 A410:A413 A428:A431">
    <cfRule type="colorScale" priority="20">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1">
      <colorScale>
        <cfvo type="min"/>
        <cfvo type="percentile" val="50"/>
        <cfvo type="max"/>
        <color rgb="FF63BE7B"/>
        <color rgb="FFFCFCFF"/>
        <color rgb="FFF8696B"/>
      </colorScale>
    </cfRule>
  </conditionalFormatting>
  <conditionalFormatting sqref="A67:A68 A86 A102 A119 A136 A153 A170 A187 A205 A294:A295 A313 A329 A346 A363 A380 A397 A414 A432">
    <cfRule type="colorScale" priority="22">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3">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4">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5">
      <colorScale>
        <cfvo type="min"/>
        <cfvo type="percentile" val="50"/>
        <cfvo type="max"/>
        <color rgb="FF63BE7B"/>
        <color rgb="FFFCFCFF"/>
        <color rgb="FFF8696B"/>
      </colorScale>
    </cfRule>
  </conditionalFormatting>
  <conditionalFormatting sqref="A82:A86 A98:A102 A115:A119 A132:A136 A149:A153 A166:A170 A183:A187 A201:A205 A290 A309:A313 A325:A329 A342:A346 A359:A363 A376:A380 A393:A397 A410:A414 A428:A432">
    <cfRule type="colorScale" priority="26">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7">
      <colorScale>
        <cfvo type="min"/>
        <cfvo type="percentile" val="50"/>
        <cfvo type="max"/>
        <color rgb="FF63BE7B"/>
        <color rgb="FFFCFCFF"/>
        <color rgb="FFF8696B"/>
      </colorScale>
    </cfRule>
  </conditionalFormatting>
  <conditionalFormatting sqref="A87 A103 A120 A137 A154 A171 A188 A206 A314 A330 A347 A364 A381 A398 A415 A433">
    <cfRule type="colorScale" priority="28">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9">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0">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1">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2">
      <colorScale>
        <cfvo type="min"/>
        <cfvo type="percentile" val="50"/>
        <cfvo type="max"/>
        <color rgb="FF63BE7B"/>
        <color rgb="FFFCFCFF"/>
        <color rgb="FFF8696B"/>
      </colorScale>
    </cfRule>
  </conditionalFormatting>
  <conditionalFormatting sqref="A81:A84 A97:A100 A114:A117 A131:A134 A148:A151 A165:A168 A182:A185 A200:A203 A308:A311 A324:A327 A341:A344 A358:A361 A375:A378 A392:A395 A409:A412 A427:A430">
    <cfRule type="colorScale" priority="33">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4">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5">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6">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7">
      <colorScale>
        <cfvo type="min"/>
        <cfvo type="percentile" val="50"/>
        <cfvo type="max"/>
        <color rgb="FF63BE7B"/>
        <color rgb="FFFCFCFF"/>
        <color rgb="FFF8696B"/>
      </colorScale>
    </cfRule>
  </conditionalFormatting>
  <conditionalFormatting sqref="A82:A84 A98:A100 A115:A117 A132:A134 A149:A151 A166:A168 A183:A185 A201:A203 A309:A311 A325:A327 A342:A344 A359:A361 A376:A378 A393:A395 A410:A412 A428:A430">
    <cfRule type="colorScale" priority="38">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9">
      <colorScale>
        <cfvo type="min"/>
        <cfvo type="percentile" val="50"/>
        <cfvo type="max"/>
        <color rgb="FF63BE7B"/>
        <color rgb="FFFCFCFF"/>
        <color rgb="FFF8696B"/>
      </colorScale>
    </cfRule>
  </conditionalFormatting>
  <conditionalFormatting sqref="A85 A101 A118 A135 A152 A169 A186 A204 A312 A328 A345 A362 A379 A396 A413 A431">
    <cfRule type="colorScale" priority="40">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1">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42">
      <colorScale>
        <cfvo type="min"/>
        <cfvo type="percentile" val="50"/>
        <cfvo type="max"/>
        <color rgb="FF63BE7B"/>
        <color rgb="FFFFEB84"/>
        <color rgb="FFF8696B"/>
      </colorScale>
    </cfRule>
  </conditionalFormatting>
  <conditionalFormatting sqref="A98 A325">
    <cfRule type="colorScale" priority="43">
      <colorScale>
        <cfvo type="min"/>
        <cfvo type="percentile" val="50"/>
        <cfvo type="max"/>
        <color rgb="FF63BE7B"/>
        <color rgb="FFFCFCFF"/>
        <color rgb="FFF8696B"/>
      </colorScale>
    </cfRule>
  </conditionalFormatting>
  <conditionalFormatting sqref="A98 A325">
    <cfRule type="colorScale" priority="44">
      <colorScale>
        <cfvo type="min"/>
        <cfvo type="percentile" val="50"/>
        <cfvo type="max"/>
        <color rgb="FF63BE7B"/>
        <color rgb="FFFFEB84"/>
        <color rgb="FFF8696B"/>
      </colorScale>
    </cfRule>
  </conditionalFormatting>
  <conditionalFormatting sqref="A99 A326">
    <cfRule type="colorScale" priority="45">
      <colorScale>
        <cfvo type="min"/>
        <cfvo type="percentile" val="50"/>
        <cfvo type="max"/>
        <color rgb="FF63BE7B"/>
        <color rgb="FFFFEB84"/>
        <color rgb="FFF8696B"/>
      </colorScale>
    </cfRule>
  </conditionalFormatting>
  <conditionalFormatting sqref="A100:A104 A327:A331">
    <cfRule type="colorScale" priority="46">
      <colorScale>
        <cfvo type="min"/>
        <cfvo type="percentile" val="50"/>
        <cfvo type="max"/>
        <color rgb="FF63BE7B"/>
        <color rgb="FFFFEB84"/>
        <color rgb="FFF8696B"/>
      </colorScale>
    </cfRule>
  </conditionalFormatting>
  <conditionalFormatting sqref="A115 A342">
    <cfRule type="colorScale" priority="47">
      <colorScale>
        <cfvo type="min"/>
        <cfvo type="percentile" val="50"/>
        <cfvo type="max"/>
        <color rgb="FF63BE7B"/>
        <color rgb="FFFCFCFF"/>
        <color rgb="FFF8696B"/>
      </colorScale>
    </cfRule>
  </conditionalFormatting>
  <conditionalFormatting sqref="A115 A342">
    <cfRule type="colorScale" priority="48">
      <colorScale>
        <cfvo type="min"/>
        <cfvo type="percentile" val="50"/>
        <cfvo type="max"/>
        <color rgb="FF63BE7B"/>
        <color rgb="FFFFEB84"/>
        <color rgb="FFF8696B"/>
      </colorScale>
    </cfRule>
  </conditionalFormatting>
  <conditionalFormatting sqref="A116:A129 A343:A356">
    <cfRule type="colorScale" priority="49">
      <colorScale>
        <cfvo type="min"/>
        <cfvo type="percentile" val="50"/>
        <cfvo type="max"/>
        <color rgb="FF63BE7B"/>
        <color rgb="FFFFEB84"/>
        <color rgb="FFF8696B"/>
      </colorScale>
    </cfRule>
  </conditionalFormatting>
  <conditionalFormatting sqref="A132:A133 A359:A360">
    <cfRule type="colorScale" priority="50">
      <colorScale>
        <cfvo type="min"/>
        <cfvo type="percentile" val="50"/>
        <cfvo type="max"/>
        <color rgb="FF63BE7B"/>
        <color rgb="FFFFEB84"/>
        <color rgb="FFF8696B"/>
      </colorScale>
    </cfRule>
  </conditionalFormatting>
  <conditionalFormatting sqref="A149:A163 A376:A390">
    <cfRule type="colorScale" priority="51">
      <colorScale>
        <cfvo type="min"/>
        <cfvo type="percentile" val="50"/>
        <cfvo type="max"/>
        <color rgb="FF63BE7B"/>
        <color rgb="FFFFEB84"/>
        <color rgb="FFF8696B"/>
      </colorScale>
    </cfRule>
  </conditionalFormatting>
  <conditionalFormatting sqref="A166:A180 A393:A407">
    <cfRule type="colorScale" priority="52">
      <colorScale>
        <cfvo type="min"/>
        <cfvo type="percentile" val="50"/>
        <cfvo type="max"/>
        <color rgb="FF63BE7B"/>
        <color rgb="FFFFEB84"/>
        <color rgb="FFF8696B"/>
      </colorScale>
    </cfRule>
  </conditionalFormatting>
  <conditionalFormatting sqref="A183:A185 A410:A412">
    <cfRule type="colorScale" priority="53">
      <colorScale>
        <cfvo type="min"/>
        <cfvo type="percentile" val="50"/>
        <cfvo type="max"/>
        <color rgb="FF63BE7B"/>
        <color rgb="FFFFEB84"/>
        <color rgb="FFF8696B"/>
      </colorScale>
    </cfRule>
  </conditionalFormatting>
  <conditionalFormatting sqref="A201:A203 A428:A430">
    <cfRule type="colorScale" priority="54">
      <colorScale>
        <cfvo type="min"/>
        <cfvo type="percentile" val="50"/>
        <cfvo type="max"/>
        <color rgb="FF63BE7B"/>
        <color rgb="FFFFEB84"/>
        <color rgb="FFF8696B"/>
      </colorScale>
    </cfRule>
  </conditionalFormatting>
  <conditionalFormatting sqref="A208:A210 A435:A437">
    <cfRule type="colorScale" priority="55">
      <colorScale>
        <cfvo type="min"/>
        <cfvo type="percentile" val="50"/>
        <cfvo type="max"/>
        <color rgb="FF63BE7B"/>
        <color rgb="FFFFEB84"/>
        <color rgb="FFF8696B"/>
      </colorScale>
    </cfRule>
  </conditionalFormatting>
  <conditionalFormatting sqref="A211:A224 A438:A451">
    <cfRule type="colorScale" priority="56">
      <colorScale>
        <cfvo type="min"/>
        <cfvo type="percentile" val="50"/>
        <cfvo type="max"/>
        <color rgb="FF63BE7B"/>
        <color rgb="FFFFEB84"/>
        <color rgb="FFF8696B"/>
      </colorScale>
    </cfRule>
  </conditionalFormatting>
  <conditionalFormatting sqref="J10:L224 J237:L451">
    <cfRule type="cellIs" dxfId="8" priority="57" operator="equal">
      <formula>0</formula>
    </cfRule>
  </conditionalFormatting>
  <dataValidations>
    <dataValidation type="list" allowBlank="1" sqref="C12:C14 C87 C137 C152 C154 C169 C171 C204 C206 C241 C243 C256 C258 C275 C277 C294 C296 C312 C314 C328 C330 C345 C347 C362 C364 C379 C381 C396 C398 C413 C415 C431 C433">
      <formula1>"I-ACTIVE,MAP,KCL 60%,05-37-00,10-46-00 + S,08-42-00,SSP 21,03-15-07 +14%CO,URÉIA,SULFATO DE AMÔNIO,BOROGRAN,SUPER DUO,08-40-00 - 100M,AURUS 500,00-01-00+Cu2 Mn8 Zn7"</formula1>
    </dataValidation>
    <dataValidation type="list" allowBlank="1" sqref="C183">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formula1>
    </dataValidation>
    <dataValidation type="list" allowBlank="1" sqref="C67">
      <formula1>"UTRISHA N,PRESENCE FULL,Now Lock,Now Guard,Now Force,Now Raze,Now Bolt,Now Active,Now React,Now Cover,Now Pulse,Now Sprint,Bio Az,Bio ND,Tec Catp Pro,Bio Elipso,Tec Bug,Solu Shield,Solu Strong,Solu Leaf,Bio Hidric,Bio Bokashi,Bio Oil,Carbon Pro,Essencial "&amp;"Mg,Expelir,Primafert,Reserva,Tec Catp Pro Kit On-farm,Tec Bug Kit On-farm,Solu Shield Kit On-farm,Solu Strong Kit On-farm,Solu Leaf Kit On-farm,Bio Hidric Kit On-farm,Bio Bokashi Kit On-farm,Tec White Kit On-farm,Bio Solubilize Kit On-farm,Bio Release Kit"&amp;" On-farm,Bio Raiz Plus Kit On-farm,Bio Balance Kit On-farm,SoluBio Raiz Performance Kit On-farm,Tec Isaria Kit On-farm"</formula1>
    </dataValidation>
    <dataValidation type="list" allowBlank="1" sqref="C26:C27 C45:C47 C82:C83">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type="custom" allowBlank="1" showDropDown="1" sqref="G10:L224 G237:L451">
      <formula1>AND(ISNUMBER(G10),(NOT(OR(NOT(ISERROR(DATEVALUE(G10))), AND(ISNUMBER(G10), LEFT(CELL("format", G10))="D")))))</formula1>
    </dataValidation>
    <dataValidation type="list" allowBlank="1" sqref="C28 C48 C85 C103 C120 C135 C151 C167">
      <formula1>"RUMBA,ASSIST,MEES,AUREO,JOINT ULTRA,ADGREEN,ENERGIC,EXTRAVON,OCHIMA"</formula1>
    </dataValidation>
    <dataValidation type="list" allowBlank="1" sqref="C33 C52 C89 C105 C139 C156 C166 C173 C190 C202 C208 C245 C254 C260 C273 C279 C292 C298 C310 C316 C326 C332 C343 C349 C360 C366 C377 C383 C394 C400 C411 C417 C429 C435">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type="list" allowBlank="1" sqref="C17:C18">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formula1>
    </dataValidation>
    <dataValidation type="list" allowBlank="1" sqref="C29 C49:C50 C100:C102 C118:C119 C134">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type="list" allowBlank="1" sqref="C20:C24 C43 C62 C80 C247:C251 C270 C289 C307">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type="list" allowBlank="1" sqref="C11 C88 C138 C155 C172 C207 C244 C259 C278 C297 C315 C331 C348 C365 C382 C399 C416 C434">
      <formula1>"CALCÁRIO DOLOMITICO,GESSO AGRICOLA"</formula1>
    </dataValidation>
    <dataValidation type="list" allowBlank="1" sqref="C19">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formula1>
    </dataValidation>
    <dataValidation type="list" allowBlank="1" sqref="C136 C153 C170 C205 C242 C257 C272 C276 C291 C295 C309 C313 C325 C329 C342 C346 C359 C363 C376 C380 C393 C397 C410 C414 C432">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type="list" allowBlank="1" sqref="C64">
      <formula1>"FEIJÃO,SEMENTE TRIGO,SEMENTE MILHO,MG540PWU,MG711PWU,MG616PWU,P3707PWU,P39209PWU,P40537PWU,FS650PWU,SEMENTE SOJA CV,OLIMPO,M8349,CORDIUS C2795 CE,HERA I2X,SPARTA 8.0,CORDIUS C2795 CE 7.9,IMPETO,NEO 790,APORÉ 7.3,GUAPÓ 7.7,MITICA 7.7,TMG MURICI I2X 7.6,DOM"&amp;"ÍNIO 8.4,LENDA,BRASMAX HERA,BRASMAX OLIMPO,S6525 I2X,TMG ITAÚBA I2X,SEMENTE SOJA RR,BRACHIARIA RUZIZIENCES,CAPIM MIAGE,TMG INGÁ I2X 6.9,TMG 2383 IPRO 8.3,BRACHIARIA BASICA,GH 2478 IPRO 8.1,HO COCARI I2X 8.2,SEMENTE DE SORGO"</formula1>
    </dataValidation>
    <dataValidation type="list" allowBlank="1" sqref="C51 C71 C86">
      <formula1>"RADIFARM,MEGAFOL,OCTABORATO,BOP,METAL NUTRE,MONIC,AP MAGNÉSIO,GRANO KMG,AP MANGANÊS,AMINOS Mn,MICROBOX,ACRESECENT ALGA,RAIZ F,ACRESCENTE SOLUS F,SALUT,MATRIZ D,BRAVERO,Glyfort,Fergsum,Spander,Halattus,Sallvare Complex,Zinctaus Complex,Emezine Complex,Bora"&amp;"tus Complex,Magmill Complex,Brave K,Brave Max Up,MAX RAIZ,Polyamine,Sulfato de Magnésio,Map Purificado,MANGAN 10,NHT ZINCO,KELLUS CUPPER,MOLIBIDENIO 16,ZINCO 10,Potenza NiCoMo"</formula1>
    </dataValidation>
    <dataValidation type="list" allowBlank="1" sqref="C31">
      <formula1>"RUMBA,ASSIST,MEES,AUREO EC,JOINT ULTRA,ENERGIC,EXTRAVON,OCHIMA,STRIDES"</formula1>
    </dataValidation>
    <dataValidation type="list" allowBlank="1" sqref="C84 C98:C99 C104 C115:C117 C132:C133 C149:C150">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type="list" allowBlank="1" sqref="C68:C70">
      <formula1>"UTRISHA N,PRESENCE FULL,Now Lock,Now Guard,Now Force,Now Raze,Now Bolt,Now Active,Now React,Now Cover,Now Pulse,Now Sprint,Bio Az,Bio ND,Tec Catp Pro,Bio Elipso,Tec Bug,Solu Shield,Solu Strong,Solu Leaf,Bio Hidric,Bio Bokashi,Bio Oil,Carbon Pro,Essencial "&amp;"Mg,Expelir,Potenza NiCoMo,Primafert,Reserva,Tec White,Bio Solubilize,Bio Release,Bio Raiz Plus,Bio Balance,SoluBio Raiz Performance,Tec Isaria"</formula1>
    </dataValidation>
    <dataValidation type="list" allowBlank="1" showErrorMessage="1" sqref="B10:B224 B237:B451">
      <formula1>#REF!</formula1>
    </dataValidation>
    <dataValidation type="list" allowBlank="1" sqref="C65:C66 C168 C203 C240 C255 C274 C293 C311 C327 C344 C361 C378 C395 C412 C430">
      <formula1>"SOMBRERO,STANDAK TOP,CROPSTAR,DERMACOR,PERMIT STAR,PRESENCE FULL,PLUST,CRUISER 350 FS,CRUISER ADVANCED,FORTENZA 600 FS,MAXIM ADVANCED,MAXIM XL,SPECTRO,BIOZYME,NIMAXXA,VITAVAX-THIRAM 200 SC"</formula1>
    </dataValidation>
    <dataValidation type="list" allowBlank="1" sqref="C184:C189">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formula1>
    </dataValidation>
    <dataValidation type="list" allowBlank="1" sqref="C34 C53:C54 C59 C72:C73 C90:C91 C96 C106:C107 C112 C123:C124 C129 C140:C141 C146 C157:C158 C163 C174:C175 C180 C191:C192 C197 C209:C210 C215 C246 C253 C261:C262 C267 C280:C281 C286 C299:C300 C317:C318 C323 C333:C334 C339 C350:C351 C356 C367:C368 C373 C384:C385 C390 C401:C402 C407 C418:C419 C424 C436:C437 C442">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display="ÁREA PLANTIO" location="'ÁREA PLANTIO'!A1" ref="F1"/>
    <hyperlink display="ÁREA PLANTIO" location="'ÁREA PLANTIO'!A1" ref="F227"/>
  </hyperlinks>
  <printOptions/>
  <pageMargins bottom="0.787401575" footer="0.0" header="0.0" left="0.511811024" right="0.511811024" top="0.787401575"/>
  <pageSetup orientation="landscape"/>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13.88"/>
    <col customWidth="1" min="2" max="2" width="22.75"/>
    <col customWidth="1" min="3" max="3" width="33.63"/>
    <col customWidth="1" min="4" max="4" width="40.25"/>
    <col customWidth="1" min="5" max="5" width="20.13"/>
    <col customWidth="1" min="6" max="6" width="13.13"/>
    <col customWidth="1" min="7" max="7" width="13.75"/>
    <col customWidth="1" min="8" max="9" width="10.38"/>
    <col customWidth="1" min="10" max="10" width="14.0"/>
    <col customWidth="1" min="11" max="23" width="14.38"/>
  </cols>
  <sheetData>
    <row r="1" ht="15.75" customHeight="1">
      <c r="A1" s="260" t="s">
        <v>1203</v>
      </c>
      <c r="B1" s="261" t="str">
        <f>'ÁREA PLANTIO'!B5</f>
        <v>ÁREA 2 B</v>
      </c>
      <c r="C1" s="262" t="s">
        <v>1166</v>
      </c>
      <c r="D1" s="263">
        <f>$K$225</f>
        <v>1701.421919</v>
      </c>
      <c r="E1" s="264"/>
      <c r="F1" s="265" t="s">
        <v>1167</v>
      </c>
      <c r="G1" s="266"/>
      <c r="H1" s="267"/>
      <c r="I1" s="267"/>
      <c r="J1" s="267"/>
      <c r="K1" s="266"/>
      <c r="L1" s="220"/>
      <c r="M1" s="220"/>
      <c r="N1" s="220"/>
      <c r="O1" s="220"/>
      <c r="P1" s="220"/>
      <c r="Q1" s="220"/>
      <c r="R1" s="220"/>
      <c r="S1" s="220"/>
      <c r="T1" s="220"/>
      <c r="U1" s="220"/>
      <c r="V1" s="220"/>
      <c r="W1" s="220"/>
    </row>
    <row r="2" ht="15.75" customHeight="1">
      <c r="A2" s="260" t="s">
        <v>1168</v>
      </c>
      <c r="B2" s="268">
        <f>'ÁREA PLANTIO'!E5</f>
        <v>47</v>
      </c>
      <c r="C2" s="269" t="s">
        <v>1169</v>
      </c>
      <c r="D2" s="270">
        <f>'ÁREA PLANTIO'!D5</f>
        <v>70</v>
      </c>
      <c r="E2" s="264"/>
      <c r="F2" s="264"/>
      <c r="G2" s="266"/>
      <c r="H2" s="267"/>
      <c r="I2" s="267"/>
      <c r="J2" s="267"/>
      <c r="K2" s="266"/>
      <c r="L2" s="220"/>
      <c r="M2" s="220"/>
      <c r="N2" s="220"/>
      <c r="O2" s="220"/>
      <c r="P2" s="220"/>
      <c r="Q2" s="220"/>
      <c r="R2" s="220"/>
      <c r="S2" s="220"/>
      <c r="T2" s="220"/>
      <c r="U2" s="220"/>
      <c r="V2" s="220"/>
      <c r="W2" s="220"/>
    </row>
    <row r="3" ht="15.75" customHeight="1">
      <c r="A3" s="260" t="s">
        <v>1170</v>
      </c>
      <c r="B3" s="267" t="str">
        <f>'ÁREA PLANTIO'!C5</f>
        <v>FA-SOJA SEQUEIRO-26/27</v>
      </c>
      <c r="C3" s="269" t="s">
        <v>1171</v>
      </c>
      <c r="D3" s="271">
        <f>D1/D2</f>
        <v>24.30602741</v>
      </c>
      <c r="E3" s="264"/>
      <c r="F3" s="264"/>
      <c r="G3" s="266"/>
      <c r="H3" s="267"/>
      <c r="I3" s="267"/>
      <c r="J3" s="267"/>
      <c r="K3" s="266"/>
      <c r="L3" s="220"/>
      <c r="M3" s="220"/>
      <c r="N3" s="220"/>
      <c r="O3" s="220"/>
      <c r="P3" s="220"/>
      <c r="Q3" s="220"/>
      <c r="R3" s="220"/>
      <c r="S3" s="220"/>
      <c r="T3" s="220"/>
      <c r="U3" s="220"/>
      <c r="V3" s="220"/>
      <c r="W3" s="220"/>
    </row>
    <row r="4" ht="15.75" customHeight="1">
      <c r="A4" s="272" t="s">
        <v>1172</v>
      </c>
      <c r="B4" s="273">
        <v>45606.0</v>
      </c>
      <c r="C4" s="274"/>
      <c r="D4" s="275"/>
      <c r="E4" s="276"/>
      <c r="F4" s="264"/>
      <c r="G4" s="266"/>
      <c r="H4" s="267"/>
      <c r="I4" s="267"/>
      <c r="J4" s="267"/>
      <c r="K4" s="266"/>
      <c r="L4" s="220"/>
      <c r="M4" s="220"/>
      <c r="N4" s="220"/>
      <c r="O4" s="220"/>
      <c r="P4" s="220"/>
      <c r="Q4" s="220"/>
      <c r="R4" s="220"/>
      <c r="S4" s="220"/>
      <c r="T4" s="220"/>
      <c r="U4" s="220"/>
      <c r="V4" s="220"/>
      <c r="W4" s="220"/>
    </row>
    <row r="5" ht="15.75" customHeight="1">
      <c r="E5" s="277"/>
      <c r="F5" s="264"/>
      <c r="G5" s="266"/>
      <c r="H5" s="267"/>
      <c r="I5" s="267"/>
      <c r="J5" s="267"/>
      <c r="K5" s="266"/>
      <c r="L5" s="220"/>
      <c r="M5" s="220"/>
      <c r="N5" s="220"/>
      <c r="O5" s="220"/>
      <c r="P5" s="220"/>
      <c r="Q5" s="220"/>
      <c r="R5" s="220"/>
      <c r="S5" s="220"/>
      <c r="T5" s="220"/>
      <c r="U5" s="220"/>
      <c r="V5" s="220"/>
      <c r="W5" s="220"/>
    </row>
    <row r="6" ht="15.75" customHeight="1">
      <c r="A6" s="260"/>
      <c r="B6" s="267"/>
      <c r="C6" s="264"/>
      <c r="D6" s="264"/>
      <c r="E6" s="264"/>
      <c r="F6" s="264"/>
      <c r="G6" s="266"/>
      <c r="H6" s="267"/>
      <c r="I6" s="267"/>
      <c r="J6" s="267"/>
      <c r="K6" s="266"/>
      <c r="L6" s="220"/>
      <c r="M6" s="220"/>
      <c r="N6" s="220"/>
      <c r="O6" s="220"/>
      <c r="P6" s="220"/>
      <c r="Q6" s="220"/>
      <c r="R6" s="220"/>
      <c r="S6" s="220"/>
      <c r="T6" s="220"/>
      <c r="U6" s="220"/>
      <c r="V6" s="220"/>
      <c r="W6" s="220"/>
    </row>
    <row r="7" ht="15.75" customHeight="1">
      <c r="A7" s="267"/>
      <c r="B7" s="267"/>
      <c r="C7" s="264"/>
      <c r="D7" s="264"/>
      <c r="E7" s="264"/>
      <c r="F7" s="264"/>
      <c r="G7" s="266"/>
      <c r="H7" s="267"/>
      <c r="I7" s="267"/>
      <c r="J7" s="267"/>
      <c r="K7" s="266"/>
      <c r="L7" s="220"/>
      <c r="M7" s="220"/>
      <c r="N7" s="220"/>
      <c r="O7" s="220"/>
      <c r="P7" s="220"/>
      <c r="Q7" s="220"/>
      <c r="R7" s="220"/>
      <c r="S7" s="220"/>
      <c r="T7" s="220"/>
      <c r="U7" s="220"/>
      <c r="V7" s="220"/>
      <c r="W7" s="220"/>
    </row>
    <row r="8" ht="15.75" customHeight="1">
      <c r="A8" s="267"/>
      <c r="B8" s="267"/>
      <c r="C8" s="267"/>
      <c r="D8" s="267"/>
      <c r="E8" s="264"/>
      <c r="F8" s="264"/>
      <c r="G8" s="266"/>
      <c r="H8" s="267"/>
      <c r="I8" s="267"/>
      <c r="J8" s="267"/>
      <c r="K8" s="266"/>
      <c r="L8" s="220"/>
      <c r="M8" s="220"/>
      <c r="N8" s="220"/>
      <c r="O8" s="220"/>
      <c r="P8" s="220"/>
      <c r="Q8" s="220"/>
      <c r="R8" s="220"/>
      <c r="S8" s="220"/>
      <c r="T8" s="220"/>
      <c r="U8" s="220"/>
      <c r="V8" s="220"/>
      <c r="W8" s="220"/>
    </row>
    <row r="9" ht="15.75" customHeight="1">
      <c r="A9" s="211" t="s">
        <v>1173</v>
      </c>
      <c r="B9" s="213" t="s">
        <v>1206</v>
      </c>
      <c r="C9" s="213" t="s">
        <v>1175</v>
      </c>
      <c r="D9" s="211" t="s">
        <v>1176</v>
      </c>
      <c r="E9" s="211" t="s">
        <v>1177</v>
      </c>
      <c r="F9" s="211" t="s">
        <v>1178</v>
      </c>
      <c r="G9" s="278" t="s">
        <v>1179</v>
      </c>
      <c r="H9" s="278" t="s">
        <v>1180</v>
      </c>
      <c r="I9" s="278" t="s">
        <v>1181</v>
      </c>
      <c r="J9" s="279" t="s">
        <v>1134</v>
      </c>
      <c r="K9" s="280" t="s">
        <v>1182</v>
      </c>
      <c r="L9" s="281" t="s">
        <v>339</v>
      </c>
      <c r="M9" s="220"/>
      <c r="N9" s="220"/>
      <c r="O9" s="220"/>
      <c r="P9" s="220"/>
      <c r="Q9" s="220"/>
      <c r="R9" s="220"/>
      <c r="S9" s="220"/>
      <c r="T9" s="220"/>
      <c r="U9" s="220"/>
      <c r="V9" s="220"/>
      <c r="W9" s="220"/>
    </row>
    <row r="10" ht="15.75" customHeight="1">
      <c r="A10" s="231" t="s">
        <v>1183</v>
      </c>
      <c r="B10" s="230"/>
      <c r="C10" s="231"/>
      <c r="D10" s="232" t="s">
        <v>216</v>
      </c>
      <c r="E10" s="231"/>
      <c r="F10" s="231"/>
      <c r="G10" s="233"/>
      <c r="H10" s="282"/>
      <c r="I10" s="258"/>
      <c r="J10" s="236"/>
      <c r="K10" s="237">
        <f t="shared" ref="K10:L10" si="1">SUBTOTAL(9,K11:K24)</f>
        <v>0</v>
      </c>
      <c r="L10" s="237">
        <f t="shared" si="1"/>
        <v>0</v>
      </c>
      <c r="M10" s="220"/>
      <c r="N10" s="220"/>
      <c r="O10" s="220"/>
      <c r="P10" s="220"/>
      <c r="Q10" s="220"/>
      <c r="R10" s="220"/>
      <c r="S10" s="220"/>
      <c r="T10" s="220"/>
      <c r="U10" s="220"/>
      <c r="V10" s="220"/>
      <c r="W10" s="220"/>
    </row>
    <row r="11" outlineLevel="1">
      <c r="A11" s="213"/>
      <c r="B11" s="212" t="s">
        <v>8</v>
      </c>
      <c r="C11" s="213" t="s">
        <v>397</v>
      </c>
      <c r="D11" s="214" t="str">
        <f>IFERROR(VLOOKUP($C11,'PORTIFÓLIO'!C:V,2,0),"")</f>
        <v>CaO 38%  MgO 18%</v>
      </c>
      <c r="E11" s="211" t="str">
        <f>IFERROR(VLOOKUP($C11,'PORTIFÓLIO'!C:V,3,0),"")</f>
        <v/>
      </c>
      <c r="F11" s="211" t="str">
        <f>IFERROR(VLOOKUP($C11,'PORTIFÓLIO'!C:V,4,0),"")</f>
        <v>Ton</v>
      </c>
      <c r="G11" s="215" t="str">
        <f>IFERROR(VLOOKUP($C11,'PORTIFÓLIO'!C:V,5,0),"")</f>
        <v/>
      </c>
      <c r="H11" s="254" t="str">
        <f t="array" ref="H11">IFERROR(INDEX('PORTIFÓLIO'!$H$4:$H$433,MATCH($C11,'PORTIFÓLIO'!$C$4:$C$433,0)),"")</f>
        <v/>
      </c>
      <c r="I11" s="255">
        <v>3.0</v>
      </c>
      <c r="J11" s="218">
        <f t="shared" ref="J11:J24" si="2">I11*$B$2</f>
        <v>141</v>
      </c>
      <c r="K11" s="219">
        <f t="array" ref="K11">IFERROR(I11*INDEX('PORTIFÓLIO'!$S$4:$S$433,MATCH($C11,'PORTIFÓLIO'!$C$4:$C$433,0)),"")</f>
        <v>0</v>
      </c>
      <c r="L11" s="219">
        <f t="array" ref="L11">IFERROR(J11*INDEX('PORTIFÓLIO'!$S$4:$S$433,MATCH($C11,'PORTIFÓLIO'!$C$4:$C$433,0)),"")</f>
        <v>0</v>
      </c>
      <c r="M11" s="220"/>
      <c r="N11" s="220"/>
      <c r="O11" s="220"/>
      <c r="P11" s="220"/>
      <c r="Q11" s="220"/>
      <c r="R11" s="220"/>
      <c r="S11" s="220"/>
      <c r="T11" s="220"/>
      <c r="U11" s="220" t="str">
        <f>IFERROR(__xludf.DUMMYFUNCTION("FILTER('PORTIFÓLIO'!C:C, 'PORTIFÓLIO'!B:B=B11)"),"#REF!")</f>
        <v>#REF!</v>
      </c>
      <c r="V11" s="220"/>
      <c r="W11" s="220"/>
    </row>
    <row r="12" outlineLevel="1">
      <c r="A12" s="213"/>
      <c r="B12" s="212" t="s">
        <v>7</v>
      </c>
      <c r="C12" s="213" t="s">
        <v>423</v>
      </c>
      <c r="D12" s="214" t="str">
        <f>IFERROR(VLOOKUP($C12,'PORTIFÓLIO'!C:V,2,0),"")</f>
        <v>P2O5 14%</v>
      </c>
      <c r="E12" s="211" t="str">
        <f>IFERROR(VLOOKUP($C12,'PORTIFÓLIO'!C:V,3,0),"")</f>
        <v/>
      </c>
      <c r="F12" s="211" t="str">
        <f>IFERROR(VLOOKUP($C12,'PORTIFÓLIO'!C:V,4,0),"")</f>
        <v>Ton</v>
      </c>
      <c r="G12" s="215" t="str">
        <f>IFERROR(VLOOKUP($C12,'PORTIFÓLIO'!C:V,5,0),"")</f>
        <v/>
      </c>
      <c r="H12" s="254" t="str">
        <f t="array" ref="H12">IFERROR(INDEX('PORTIFÓLIO'!$H$4:$H$433,MATCH($C12,'PORTIFÓLIO'!$C$4:$C$433,0)),"")</f>
        <v/>
      </c>
      <c r="I12" s="255">
        <v>0.5</v>
      </c>
      <c r="J12" s="218">
        <f t="shared" si="2"/>
        <v>23.5</v>
      </c>
      <c r="K12" s="219">
        <f t="array" ref="K12">IFERROR(I12*INDEX('PORTIFÓLIO'!$S$4:$S$433,MATCH($C12,'PORTIFÓLIO'!$C$4:$C$433,0)),"")</f>
        <v>0</v>
      </c>
      <c r="L12" s="219">
        <f t="array" ref="L12">IFERROR(J12*INDEX('PORTIFÓLIO'!$S$4:$S$433,MATCH($C12,'PORTIFÓLIO'!$C$4:$C$433,0)),"")</f>
        <v>0</v>
      </c>
      <c r="M12" s="220"/>
      <c r="N12" s="220"/>
      <c r="O12" s="220"/>
      <c r="P12" s="220"/>
      <c r="Q12" s="220"/>
      <c r="R12" s="220"/>
      <c r="S12" s="220"/>
      <c r="T12" s="220"/>
      <c r="U12" s="220" t="str">
        <f>IFERROR(__xludf.DUMMYFUNCTION("FILTER('PORTIFÓLIO'!C:C, 'PORTIFÓLIO'!B:B=B12)"),"#REF!")</f>
        <v>#REF!</v>
      </c>
      <c r="V12" s="220"/>
      <c r="W12" s="220"/>
    </row>
    <row r="13" outlineLevel="1">
      <c r="A13" s="213"/>
      <c r="B13" s="212" t="s">
        <v>7</v>
      </c>
      <c r="C13" s="213" t="s">
        <v>405</v>
      </c>
      <c r="D13" s="214" t="str">
        <f>IFERROR(VLOOKUP($C13,'PORTIFÓLIO'!C:V,2,0),"")</f>
        <v>K2O 60%</v>
      </c>
      <c r="E13" s="211" t="str">
        <f>IFERROR(VLOOKUP($C13,'PORTIFÓLIO'!C:V,3,0),"")</f>
        <v/>
      </c>
      <c r="F13" s="211" t="str">
        <f>IFERROR(VLOOKUP($C13,'PORTIFÓLIO'!C:V,4,0),"")</f>
        <v>Ton</v>
      </c>
      <c r="G13" s="215" t="str">
        <f>IFERROR(VLOOKUP($C13,'PORTIFÓLIO'!C:V,5,0),"")</f>
        <v/>
      </c>
      <c r="H13" s="254" t="str">
        <f t="array" ref="H13">IFERROR(INDEX('PORTIFÓLIO'!$H$4:$H$433,MATCH($C13,'PORTIFÓLIO'!$C$4:$C$433,0)),"")</f>
        <v/>
      </c>
      <c r="I13" s="255">
        <v>0.2</v>
      </c>
      <c r="J13" s="218">
        <f t="shared" si="2"/>
        <v>9.4</v>
      </c>
      <c r="K13" s="219">
        <f t="array" ref="K13">IFERROR(I13*INDEX('PORTIFÓLIO'!$S$4:$S$433,MATCH($C13,'PORTIFÓLIO'!$C$4:$C$433,0)),"")</f>
        <v>0</v>
      </c>
      <c r="L13" s="219">
        <f t="array" ref="L13">IFERROR(J13*INDEX('PORTIFÓLIO'!$S$4:$S$433,MATCH($C13,'PORTIFÓLIO'!$C$4:$C$433,0)),"")</f>
        <v>0</v>
      </c>
      <c r="M13" s="220"/>
      <c r="N13" s="220"/>
      <c r="O13" s="220"/>
      <c r="P13" s="220"/>
      <c r="Q13" s="220"/>
      <c r="R13" s="220"/>
      <c r="S13" s="220"/>
      <c r="T13" s="220"/>
      <c r="U13" s="220" t="str">
        <f>IFERROR(__xludf.DUMMYFUNCTION("FILTER('PORTIFÓLIO'!C:C, 'PORTIFÓLIO'!B:B=B13)"),"#REF!")</f>
        <v>#REF!</v>
      </c>
      <c r="V13" s="220"/>
      <c r="W13" s="220"/>
    </row>
    <row r="14" outlineLevel="1">
      <c r="A14" s="211"/>
      <c r="B14" s="212" t="s">
        <v>7</v>
      </c>
      <c r="C14" s="213" t="s">
        <v>429</v>
      </c>
      <c r="D14" s="214" t="str">
        <f>IFERROR(VLOOKUP($C14,'PORTIFÓLIO'!C:V,2,0),"")</f>
        <v>Cu 2% Mn 8% Zn 7% </v>
      </c>
      <c r="E14" s="211" t="str">
        <f>IFERROR(VLOOKUP($C14,'PORTIFÓLIO'!C:V,3,0),"")</f>
        <v/>
      </c>
      <c r="F14" s="211" t="str">
        <f>IFERROR(VLOOKUP($C14,'PORTIFÓLIO'!C:V,4,0),"")</f>
        <v>Ton</v>
      </c>
      <c r="G14" s="215" t="str">
        <f>IFERROR(VLOOKUP($C14,'PORTIFÓLIO'!C:V,5,0),"")</f>
        <v/>
      </c>
      <c r="H14" s="254" t="str">
        <f t="array" ref="H14">IFERROR(INDEX('PORTIFÓLIO'!$H$4:$H$433,MATCH($C14,'PORTIFÓLIO'!$C$4:$C$433,0)),"")</f>
        <v/>
      </c>
      <c r="I14" s="255">
        <v>0.05</v>
      </c>
      <c r="J14" s="218">
        <f t="shared" si="2"/>
        <v>2.35</v>
      </c>
      <c r="K14" s="219">
        <f t="array" ref="K14">IFERROR(I14*INDEX('PORTIFÓLIO'!$S$4:$S$433,MATCH($C14,'PORTIFÓLIO'!$C$4:$C$433,0)),"")</f>
        <v>0</v>
      </c>
      <c r="L14" s="219">
        <f t="array" ref="L14">IFERROR(J14*INDEX('PORTIFÓLIO'!$S$4:$S$433,MATCH($C14,'PORTIFÓLIO'!$C$4:$C$433,0)),"")</f>
        <v>0</v>
      </c>
      <c r="M14" s="220"/>
      <c r="N14" s="220"/>
      <c r="O14" s="220"/>
      <c r="P14" s="220"/>
      <c r="Q14" s="220"/>
      <c r="R14" s="220"/>
      <c r="S14" s="220"/>
      <c r="T14" s="220"/>
      <c r="U14" s="220" t="str">
        <f>IFERROR(__xludf.DUMMYFUNCTION("FILTER('PORTIFÓLIO'!C:C, 'PORTIFÓLIO'!B:B=B14)"),"#REF!")</f>
        <v>#REF!</v>
      </c>
      <c r="V14" s="220"/>
      <c r="W14" s="220"/>
    </row>
    <row r="15" outlineLevel="1">
      <c r="A15" s="211"/>
      <c r="B15" s="212"/>
      <c r="C15" s="213"/>
      <c r="D15" s="214" t="str">
        <f>IFERROR(VLOOKUP($C15,'PORTIFÓLIO'!C:V,2,0),"")</f>
        <v/>
      </c>
      <c r="E15" s="211" t="str">
        <f>IFERROR(VLOOKUP($C15,'PORTIFÓLIO'!C:V,3,0),"")</f>
        <v/>
      </c>
      <c r="F15" s="211" t="str">
        <f>IFERROR(VLOOKUP($C15,'PORTIFÓLIO'!C:V,4,0),"")</f>
        <v/>
      </c>
      <c r="G15" s="215" t="str">
        <f>IFERROR(VLOOKUP($C15,'PORTIFÓLIO'!C:V,5,0),"")</f>
        <v/>
      </c>
      <c r="H15" s="254" t="str">
        <f t="array" ref="H15">IFERROR(INDEX('PORTIFÓLIO'!$H$4:$H$433,MATCH($C15,'PORTIFÓLIO'!$C$4:$C$433,0)),"")</f>
        <v/>
      </c>
      <c r="I15" s="255"/>
      <c r="J15" s="218">
        <f t="shared" si="2"/>
        <v>0</v>
      </c>
      <c r="K15" s="219" t="str">
        <f t="array" ref="K15">IFERROR(I15*INDEX('PORTIFÓLIO'!$S$4:$S$433,MATCH($C15,'PORTIFÓLIO'!$C$4:$C$433,0)),"")</f>
        <v/>
      </c>
      <c r="L15" s="219" t="str">
        <f t="array" ref="L15">IFERROR(J15*INDEX('PORTIFÓLIO'!$S$4:$S$433,MATCH($C15,'PORTIFÓLIO'!$C$4:$C$433,0)),"")</f>
        <v/>
      </c>
      <c r="M15" s="220"/>
      <c r="N15" s="220"/>
      <c r="O15" s="220"/>
      <c r="P15" s="220"/>
      <c r="Q15" s="220"/>
      <c r="R15" s="220"/>
      <c r="S15" s="220"/>
      <c r="T15" s="220"/>
      <c r="U15" s="220" t="str">
        <f>IFERROR(__xludf.DUMMYFUNCTION("FILTER('PORTIFÓLIO'!C:C, 'PORTIFÓLIO'!B:B=B15)"),"#REF!")</f>
        <v>#REF!</v>
      </c>
      <c r="V15" s="220"/>
      <c r="W15" s="220"/>
    </row>
    <row r="16" outlineLevel="1">
      <c r="A16" s="211"/>
      <c r="B16" s="212"/>
      <c r="C16" s="213"/>
      <c r="D16" s="214" t="str">
        <f>IFERROR(VLOOKUP($C16,'PORTIFÓLIO'!C:V,2,0),"")</f>
        <v/>
      </c>
      <c r="E16" s="211" t="str">
        <f>IFERROR(VLOOKUP($C16,'PORTIFÓLIO'!C:V,3,0),"")</f>
        <v/>
      </c>
      <c r="F16" s="211" t="str">
        <f>IFERROR(VLOOKUP($C16,'PORTIFÓLIO'!C:V,4,0),"")</f>
        <v/>
      </c>
      <c r="G16" s="215" t="str">
        <f>IFERROR(VLOOKUP($C16,'PORTIFÓLIO'!C:V,5,0),"")</f>
        <v/>
      </c>
      <c r="H16" s="254" t="str">
        <f t="array" ref="H16">IFERROR(INDEX('PORTIFÓLIO'!$H$4:$H$433,MATCH($C16,'PORTIFÓLIO'!$C$4:$C$433,0)),"")</f>
        <v/>
      </c>
      <c r="I16" s="255"/>
      <c r="J16" s="218">
        <f t="shared" si="2"/>
        <v>0</v>
      </c>
      <c r="K16" s="219" t="str">
        <f t="array" ref="K16">IFERROR(I16*INDEX('PORTIFÓLIO'!$S$4:$S$433,MATCH($C16,'PORTIFÓLIO'!$C$4:$C$433,0)),"")</f>
        <v/>
      </c>
      <c r="L16" s="219" t="str">
        <f t="array" ref="L16">IFERROR(J16*INDEX('PORTIFÓLIO'!$S$4:$S$433,MATCH($C16,'PORTIFÓLIO'!$C$4:$C$433,0)),"")</f>
        <v/>
      </c>
      <c r="M16" s="220"/>
      <c r="N16" s="220"/>
      <c r="O16" s="220"/>
      <c r="P16" s="220"/>
      <c r="Q16" s="220"/>
      <c r="R16" s="220"/>
      <c r="S16" s="220"/>
      <c r="T16" s="220"/>
      <c r="U16" s="220" t="str">
        <f>IFERROR(__xludf.DUMMYFUNCTION("FILTER('PORTIFÓLIO'!C:C, 'PORTIFÓLIO'!B:B=B16)"),"#REF!")</f>
        <v>#REF!</v>
      </c>
      <c r="V16" s="220"/>
      <c r="W16" s="220"/>
    </row>
    <row r="17" outlineLevel="1">
      <c r="A17" s="211"/>
      <c r="B17" s="212"/>
      <c r="C17" s="213"/>
      <c r="D17" s="214" t="str">
        <f>IFERROR(VLOOKUP($C17,'PORTIFÓLIO'!C:V,2,0),"")</f>
        <v/>
      </c>
      <c r="E17" s="211" t="str">
        <f>IFERROR(VLOOKUP($C17,'PORTIFÓLIO'!C:V,3,0),"")</f>
        <v/>
      </c>
      <c r="F17" s="211" t="str">
        <f>IFERROR(VLOOKUP($C17,'PORTIFÓLIO'!C:V,4,0),"")</f>
        <v/>
      </c>
      <c r="G17" s="215" t="str">
        <f>IFERROR(VLOOKUP($C17,'PORTIFÓLIO'!C:V,5,0),"")</f>
        <v/>
      </c>
      <c r="H17" s="254" t="str">
        <f t="array" ref="H17">IFERROR(INDEX('PORTIFÓLIO'!$H$4:$H$433,MATCH($C17,'PORTIFÓLIO'!$C$4:$C$433,0)),"")</f>
        <v/>
      </c>
      <c r="I17" s="255"/>
      <c r="J17" s="218">
        <f t="shared" si="2"/>
        <v>0</v>
      </c>
      <c r="K17" s="219" t="str">
        <f t="array" ref="K17">IFERROR(I17*INDEX('PORTIFÓLIO'!$S$4:$S$433,MATCH($C17,'PORTIFÓLIO'!$C$4:$C$433,0)),"")</f>
        <v/>
      </c>
      <c r="L17" s="219" t="str">
        <f t="array" ref="L17">IFERROR(J17*INDEX('PORTIFÓLIO'!$S$4:$S$433,MATCH($C17,'PORTIFÓLIO'!$C$4:$C$433,0)),"")</f>
        <v/>
      </c>
      <c r="M17" s="220"/>
      <c r="N17" s="220"/>
      <c r="O17" s="220"/>
      <c r="P17" s="220"/>
      <c r="Q17" s="220"/>
      <c r="R17" s="220"/>
      <c r="S17" s="220"/>
      <c r="T17" s="220"/>
      <c r="U17" s="220" t="str">
        <f>IFERROR(__xludf.DUMMYFUNCTION("FILTER('PORTIFÓLIO'!C:C, 'PORTIFÓLIO'!B:B=B17)"),"#REF!")</f>
        <v>#REF!</v>
      </c>
      <c r="V17" s="220"/>
      <c r="W17" s="220"/>
    </row>
    <row r="18" outlineLevel="1">
      <c r="A18" s="211"/>
      <c r="B18" s="212"/>
      <c r="C18" s="213"/>
      <c r="D18" s="214" t="str">
        <f>IFERROR(VLOOKUP($C18,'PORTIFÓLIO'!C:V,2,0),"")</f>
        <v/>
      </c>
      <c r="E18" s="211" t="str">
        <f>IFERROR(VLOOKUP($C18,'PORTIFÓLIO'!C:V,3,0),"")</f>
        <v/>
      </c>
      <c r="F18" s="211" t="str">
        <f>IFERROR(VLOOKUP($C18,'PORTIFÓLIO'!C:V,4,0),"")</f>
        <v/>
      </c>
      <c r="G18" s="215" t="str">
        <f>IFERROR(VLOOKUP($C18,'PORTIFÓLIO'!C:V,5,0),"")</f>
        <v/>
      </c>
      <c r="H18" s="254" t="str">
        <f t="array" ref="H18">IFERROR(INDEX('PORTIFÓLIO'!$H$4:$H$433,MATCH($C18,'PORTIFÓLIO'!$C$4:$C$433,0)),"")</f>
        <v/>
      </c>
      <c r="I18" s="255"/>
      <c r="J18" s="218">
        <f t="shared" si="2"/>
        <v>0</v>
      </c>
      <c r="K18" s="219" t="str">
        <f t="array" ref="K18">IFERROR(I18*INDEX('PORTIFÓLIO'!$S$4:$S$433,MATCH($C18,'PORTIFÓLIO'!$C$4:$C$433,0)),"")</f>
        <v/>
      </c>
      <c r="L18" s="219" t="str">
        <f t="array" ref="L18">IFERROR(J18*INDEX('PORTIFÓLIO'!$S$4:$S$433,MATCH($C18,'PORTIFÓLIO'!$C$4:$C$433,0)),"")</f>
        <v/>
      </c>
      <c r="M18" s="220"/>
      <c r="N18" s="220"/>
      <c r="O18" s="220"/>
      <c r="P18" s="220"/>
      <c r="Q18" s="220"/>
      <c r="R18" s="220"/>
      <c r="S18" s="220"/>
      <c r="T18" s="220"/>
      <c r="U18" s="220" t="str">
        <f>IFERROR(__xludf.DUMMYFUNCTION("FILTER('PORTIFÓLIO'!C:C, 'PORTIFÓLIO'!B:B=B18)"),"#REF!")</f>
        <v>#REF!</v>
      </c>
      <c r="V18" s="220"/>
      <c r="W18" s="220"/>
    </row>
    <row r="19" outlineLevel="1">
      <c r="A19" s="211"/>
      <c r="B19" s="212"/>
      <c r="C19" s="213"/>
      <c r="D19" s="214" t="str">
        <f>IFERROR(VLOOKUP($C19,'PORTIFÓLIO'!C:V,2,0),"")</f>
        <v/>
      </c>
      <c r="E19" s="211" t="str">
        <f>IFERROR(VLOOKUP($C19,'PORTIFÓLIO'!C:V,3,0),"")</f>
        <v/>
      </c>
      <c r="F19" s="211" t="str">
        <f>IFERROR(VLOOKUP($C19,'PORTIFÓLIO'!C:V,4,0),"")</f>
        <v/>
      </c>
      <c r="G19" s="215" t="str">
        <f>IFERROR(VLOOKUP($C19,'PORTIFÓLIO'!C:V,5,0),"")</f>
        <v/>
      </c>
      <c r="H19" s="254" t="str">
        <f t="array" ref="H19">IFERROR(INDEX('PORTIFÓLIO'!$H$4:$H$433,MATCH($C19,'PORTIFÓLIO'!$C$4:$C$433,0)),"")</f>
        <v/>
      </c>
      <c r="I19" s="255"/>
      <c r="J19" s="218">
        <f t="shared" si="2"/>
        <v>0</v>
      </c>
      <c r="K19" s="219" t="str">
        <f t="array" ref="K19">IFERROR(I19*INDEX('PORTIFÓLIO'!$S$4:$S$433,MATCH($C19,'PORTIFÓLIO'!$C$4:$C$433,0)),"")</f>
        <v/>
      </c>
      <c r="L19" s="219" t="str">
        <f t="array" ref="L19">IFERROR(J19*INDEX('PORTIFÓLIO'!$S$4:$S$433,MATCH($C19,'PORTIFÓLIO'!$C$4:$C$433,0)),"")</f>
        <v/>
      </c>
      <c r="M19" s="220"/>
      <c r="N19" s="220"/>
      <c r="O19" s="220"/>
      <c r="P19" s="220"/>
      <c r="Q19" s="220"/>
      <c r="R19" s="220"/>
      <c r="S19" s="220"/>
      <c r="T19" s="220"/>
      <c r="U19" s="220" t="str">
        <f>IFERROR(__xludf.DUMMYFUNCTION("FILTER('PORTIFÓLIO'!C:C, 'PORTIFÓLIO'!B:B=B19)"),"")</f>
        <v/>
      </c>
      <c r="V19" s="220"/>
      <c r="W19" s="220"/>
    </row>
    <row r="20" outlineLevel="1">
      <c r="A20" s="211"/>
      <c r="B20" s="212"/>
      <c r="C20" s="213"/>
      <c r="D20" s="214" t="str">
        <f>IFERROR(VLOOKUP($C20,'PORTIFÓLIO'!C:V,2,0),"")</f>
        <v/>
      </c>
      <c r="E20" s="211" t="str">
        <f>IFERROR(VLOOKUP($C20,'PORTIFÓLIO'!C:V,3,0),"")</f>
        <v/>
      </c>
      <c r="F20" s="211" t="str">
        <f>IFERROR(VLOOKUP($C20,'PORTIFÓLIO'!C:V,4,0),"")</f>
        <v/>
      </c>
      <c r="G20" s="215" t="str">
        <f>IFERROR(VLOOKUP($C20,'PORTIFÓLIO'!C:V,5,0),"")</f>
        <v/>
      </c>
      <c r="H20" s="254" t="str">
        <f t="array" ref="H20">IFERROR(INDEX('PORTIFÓLIO'!$H$4:$H$433,MATCH($C20,'PORTIFÓLIO'!$C$4:$C$433,0)),"")</f>
        <v/>
      </c>
      <c r="I20" s="255"/>
      <c r="J20" s="218">
        <f t="shared" si="2"/>
        <v>0</v>
      </c>
      <c r="K20" s="219" t="str">
        <f t="array" ref="K20">IFERROR(I20*INDEX('PORTIFÓLIO'!$S$4:$S$433,MATCH($C20,'PORTIFÓLIO'!$C$4:$C$433,0)),"")</f>
        <v/>
      </c>
      <c r="L20" s="219" t="str">
        <f t="array" ref="L20">IFERROR(J20*INDEX('PORTIFÓLIO'!$S$4:$S$433,MATCH($C20,'PORTIFÓLIO'!$C$4:$C$433,0)),"")</f>
        <v/>
      </c>
      <c r="M20" s="220"/>
      <c r="N20" s="220"/>
      <c r="O20" s="220"/>
      <c r="P20" s="220"/>
      <c r="Q20" s="220"/>
      <c r="R20" s="220"/>
      <c r="S20" s="220"/>
      <c r="T20" s="220"/>
      <c r="U20" s="220"/>
      <c r="V20" s="220"/>
      <c r="W20" s="220"/>
    </row>
    <row r="21" ht="15.75" customHeight="1" outlineLevel="1">
      <c r="A21" s="211"/>
      <c r="B21" s="212"/>
      <c r="C21" s="213"/>
      <c r="D21" s="214" t="str">
        <f>IFERROR(VLOOKUP($C21,'PORTIFÓLIO'!C:V,2,0),"")</f>
        <v/>
      </c>
      <c r="E21" s="211" t="str">
        <f>IFERROR(VLOOKUP($C21,'PORTIFÓLIO'!C:V,3,0),"")</f>
        <v/>
      </c>
      <c r="F21" s="211" t="str">
        <f>IFERROR(VLOOKUP($C21,'PORTIFÓLIO'!C:V,4,0),"")</f>
        <v/>
      </c>
      <c r="G21" s="215" t="str">
        <f>IFERROR(VLOOKUP($C21,'PORTIFÓLIO'!C:V,5,0),"")</f>
        <v/>
      </c>
      <c r="H21" s="254" t="str">
        <f t="array" ref="H21">IFERROR(INDEX('PORTIFÓLIO'!$H$4:$H$433,MATCH($C21,'PORTIFÓLIO'!$C$4:$C$433,0)),"")</f>
        <v/>
      </c>
      <c r="I21" s="255"/>
      <c r="J21" s="218">
        <f t="shared" si="2"/>
        <v>0</v>
      </c>
      <c r="K21" s="219" t="str">
        <f t="array" ref="K21">IFERROR(I21*INDEX('PORTIFÓLIO'!$S$4:$S$433,MATCH($C21,'PORTIFÓLIO'!$C$4:$C$433,0)),"")</f>
        <v/>
      </c>
      <c r="L21" s="219" t="str">
        <f t="array" ref="L21">IFERROR(J21*INDEX('PORTIFÓLIO'!$S$4:$S$433,MATCH($C21,'PORTIFÓLIO'!$C$4:$C$433,0)),"")</f>
        <v/>
      </c>
      <c r="M21" s="220"/>
      <c r="N21" s="220"/>
      <c r="O21" s="220"/>
      <c r="P21" s="220"/>
      <c r="Q21" s="220"/>
      <c r="R21" s="220"/>
      <c r="S21" s="220"/>
      <c r="T21" s="220"/>
      <c r="U21" s="220"/>
      <c r="V21" s="220"/>
      <c r="W21" s="220"/>
    </row>
    <row r="22" ht="15.75" customHeight="1" outlineLevel="1">
      <c r="A22" s="211"/>
      <c r="B22" s="212"/>
      <c r="C22" s="213"/>
      <c r="D22" s="214" t="str">
        <f>IFERROR(VLOOKUP($C22,'PORTIFÓLIO'!C:V,2,0),"")</f>
        <v/>
      </c>
      <c r="E22" s="211" t="str">
        <f>IFERROR(VLOOKUP($C22,'PORTIFÓLIO'!C:V,3,0),"")</f>
        <v/>
      </c>
      <c r="F22" s="211" t="str">
        <f>IFERROR(VLOOKUP($C22,'PORTIFÓLIO'!C:V,4,0),"")</f>
        <v/>
      </c>
      <c r="G22" s="215" t="str">
        <f>IFERROR(VLOOKUP($C22,'PORTIFÓLIO'!C:V,5,0),"")</f>
        <v/>
      </c>
      <c r="H22" s="254" t="str">
        <f t="array" ref="H22">IFERROR(INDEX('PORTIFÓLIO'!$H$4:$H$433,MATCH($C22,'PORTIFÓLIO'!$C$4:$C$433,0)),"")</f>
        <v/>
      </c>
      <c r="I22" s="255"/>
      <c r="J22" s="218">
        <f t="shared" si="2"/>
        <v>0</v>
      </c>
      <c r="K22" s="219" t="str">
        <f t="array" ref="K22">IFERROR(I22*INDEX('PORTIFÓLIO'!$S$4:$S$433,MATCH($C22,'PORTIFÓLIO'!$C$4:$C$433,0)),"")</f>
        <v/>
      </c>
      <c r="L22" s="219" t="str">
        <f t="array" ref="L22">IFERROR(J22*INDEX('PORTIFÓLIO'!$S$4:$S$433,MATCH($C22,'PORTIFÓLIO'!$C$4:$C$433,0)),"")</f>
        <v/>
      </c>
      <c r="M22" s="220"/>
      <c r="N22" s="220"/>
      <c r="O22" s="220"/>
      <c r="P22" s="220"/>
      <c r="Q22" s="220"/>
      <c r="R22" s="220"/>
      <c r="S22" s="220"/>
      <c r="T22" s="220"/>
      <c r="U22" s="220"/>
      <c r="V22" s="220"/>
      <c r="W22" s="220"/>
    </row>
    <row r="23" ht="15.75" customHeight="1" outlineLevel="1">
      <c r="A23" s="211"/>
      <c r="B23" s="212"/>
      <c r="C23" s="213"/>
      <c r="D23" s="214" t="str">
        <f>IFERROR(VLOOKUP($C23,'PORTIFÓLIO'!C:V,2,0),"")</f>
        <v/>
      </c>
      <c r="E23" s="211" t="str">
        <f>IFERROR(VLOOKUP($C23,'PORTIFÓLIO'!C:V,3,0),"")</f>
        <v/>
      </c>
      <c r="F23" s="211" t="str">
        <f>IFERROR(VLOOKUP($C23,'PORTIFÓLIO'!C:V,4,0),"")</f>
        <v/>
      </c>
      <c r="G23" s="215" t="str">
        <f>IFERROR(VLOOKUP($C23,'PORTIFÓLIO'!C:V,5,0),"")</f>
        <v/>
      </c>
      <c r="H23" s="254" t="str">
        <f t="array" ref="H23">IFERROR(INDEX('PORTIFÓLIO'!$H$4:$H$433,MATCH($C23,'PORTIFÓLIO'!$C$4:$C$433,0)),"")</f>
        <v/>
      </c>
      <c r="I23" s="255"/>
      <c r="J23" s="218">
        <f t="shared" si="2"/>
        <v>0</v>
      </c>
      <c r="K23" s="219" t="str">
        <f t="array" ref="K23">IFERROR(I23*INDEX('PORTIFÓLIO'!$S$4:$S$433,MATCH($C23,'PORTIFÓLIO'!$C$4:$C$433,0)),"")</f>
        <v/>
      </c>
      <c r="L23" s="219" t="str">
        <f t="array" ref="L23">IFERROR(J23*INDEX('PORTIFÓLIO'!$S$4:$S$433,MATCH($C23,'PORTIFÓLIO'!$C$4:$C$433,0)),"")</f>
        <v/>
      </c>
      <c r="M23" s="220"/>
      <c r="N23" s="220"/>
      <c r="O23" s="220"/>
      <c r="P23" s="220"/>
      <c r="Q23" s="220"/>
      <c r="R23" s="220"/>
      <c r="S23" s="220"/>
      <c r="T23" s="220"/>
      <c r="U23" s="220"/>
      <c r="V23" s="220"/>
      <c r="W23" s="220"/>
    </row>
    <row r="24" ht="15.75" customHeight="1" outlineLevel="1">
      <c r="A24" s="211"/>
      <c r="B24" s="212"/>
      <c r="C24" s="213"/>
      <c r="D24" s="214" t="str">
        <f>IFERROR(VLOOKUP($C24,'PORTIFÓLIO'!C:V,2,0),"")</f>
        <v/>
      </c>
      <c r="E24" s="211" t="str">
        <f>IFERROR(VLOOKUP($C24,'PORTIFÓLIO'!C:V,3,0),"")</f>
        <v/>
      </c>
      <c r="F24" s="211" t="str">
        <f>IFERROR(VLOOKUP($C24,'PORTIFÓLIO'!C:V,4,0),"")</f>
        <v/>
      </c>
      <c r="G24" s="215" t="str">
        <f>IFERROR(VLOOKUP($C24,'PORTIFÓLIO'!C:V,5,0),"")</f>
        <v/>
      </c>
      <c r="H24" s="254" t="str">
        <f t="array" ref="H24">IFERROR(INDEX('PORTIFÓLIO'!$H$4:$H$433,MATCH($C24,'PORTIFÓLIO'!$C$4:$C$433,0)),"")</f>
        <v/>
      </c>
      <c r="I24" s="255"/>
      <c r="J24" s="218">
        <f t="shared" si="2"/>
        <v>0</v>
      </c>
      <c r="K24" s="219" t="str">
        <f t="array" ref="K24">IFERROR(I24*INDEX('PORTIFÓLIO'!$S$4:$S$433,MATCH($C24,'PORTIFÓLIO'!$C$4:$C$433,0)),"")</f>
        <v/>
      </c>
      <c r="L24" s="219" t="str">
        <f t="array" ref="L24">IFERROR(J24*INDEX('PORTIFÓLIO'!$S$4:$S$433,MATCH($C24,'PORTIFÓLIO'!$C$4:$C$433,0)),"")</f>
        <v/>
      </c>
      <c r="M24" s="220"/>
      <c r="N24" s="220"/>
      <c r="O24" s="220"/>
      <c r="P24" s="220"/>
      <c r="Q24" s="220"/>
      <c r="R24" s="220"/>
      <c r="S24" s="220"/>
      <c r="T24" s="220"/>
      <c r="U24" s="220"/>
      <c r="V24" s="220"/>
      <c r="W24" s="220"/>
    </row>
    <row r="25" ht="15.75" customHeight="1">
      <c r="A25" s="229" t="s">
        <v>1184</v>
      </c>
      <c r="B25" s="230"/>
      <c r="C25" s="231"/>
      <c r="D25" s="232"/>
      <c r="E25" s="231"/>
      <c r="F25" s="231"/>
      <c r="G25" s="233"/>
      <c r="H25" s="233"/>
      <c r="I25" s="258"/>
      <c r="J25" s="236"/>
      <c r="K25" s="237">
        <f t="shared" ref="K25:L25" si="3">SUBTOTAL(9,K26:K39)</f>
        <v>96.8511872</v>
      </c>
      <c r="L25" s="237">
        <f t="shared" si="3"/>
        <v>4552.005798</v>
      </c>
      <c r="M25" s="220"/>
      <c r="N25" s="220"/>
      <c r="O25" s="220"/>
      <c r="P25" s="220"/>
      <c r="Q25" s="220"/>
      <c r="R25" s="220"/>
      <c r="S25" s="220"/>
      <c r="T25" s="220"/>
      <c r="U25" s="220"/>
      <c r="V25" s="220"/>
      <c r="W25" s="220"/>
    </row>
    <row r="26" ht="15.75" customHeight="1" outlineLevel="1">
      <c r="A26" s="213"/>
      <c r="B26" s="212" t="s">
        <v>1</v>
      </c>
      <c r="C26" s="213" t="s">
        <v>637</v>
      </c>
      <c r="D26" s="214" t="str">
        <f>IFERROR(VLOOKUP($C26,'PORTIFÓLIO'!C:V,2,0),"")</f>
        <v>GLIFOSATO-SAL DE AMÔNIO</v>
      </c>
      <c r="E26" s="211">
        <f>IFERROR(VLOOKUP($C26,'PORTIFÓLIO'!C:V,3,0),"")</f>
        <v>720</v>
      </c>
      <c r="F26" s="211" t="str">
        <f>IFERROR(VLOOKUP($C26,'PORTIFÓLIO'!C:V,4,0),"")</f>
        <v>L</v>
      </c>
      <c r="G26" s="225" t="str">
        <f>IFERROR(VLOOKUP($C26,'PORTIFÓLIO'!C:V,5,0),"")</f>
        <v>📄 Ver bula</v>
      </c>
      <c r="H26" s="254">
        <f t="array" ref="H26">IFERROR(INDEX('PORTIFÓLIO'!$H$4:$H$433,MATCH($C26,'PORTIFÓLIO'!$C$4:$C$433,0)),"")</f>
        <v>2</v>
      </c>
      <c r="I26" s="255">
        <v>2.0</v>
      </c>
      <c r="J26" s="218">
        <f t="shared" ref="J26:J43" si="4">I26*$B$2</f>
        <v>94</v>
      </c>
      <c r="K26" s="219">
        <f t="array" ref="K26">IFERROR(I26*INDEX('PORTIFÓLIO'!$S$4:$S$433,MATCH($C26,'PORTIFÓLIO'!$C$4:$C$433,0)),"")</f>
        <v>49.16</v>
      </c>
      <c r="L26" s="219">
        <f t="array" ref="L26">IFERROR(J26*INDEX('PORTIFÓLIO'!$S$4:$S$433,MATCH($C26,'PORTIFÓLIO'!$C$4:$C$433,0)),"")</f>
        <v>2310.52</v>
      </c>
      <c r="M26" s="220"/>
      <c r="N26" s="220"/>
      <c r="O26" s="220"/>
      <c r="P26" s="220"/>
      <c r="Q26" s="220"/>
      <c r="R26" s="220"/>
      <c r="S26" s="220"/>
      <c r="T26" s="220"/>
      <c r="U26" s="220"/>
      <c r="V26" s="220"/>
      <c r="W26" s="220"/>
    </row>
    <row r="27" ht="15.75" customHeight="1" outlineLevel="1">
      <c r="A27" s="211"/>
      <c r="B27" s="212" t="s">
        <v>1</v>
      </c>
      <c r="C27" s="213" t="s">
        <v>706</v>
      </c>
      <c r="D27" s="214" t="str">
        <f>IFERROR(VLOOKUP($C27,'PORTIFÓLIO'!C:V,2,0),"")</f>
        <v>GLUFOSINATO - SAL DE AMONIO</v>
      </c>
      <c r="E27" s="211">
        <f>IFERROR(VLOOKUP($C27,'PORTIFÓLIO'!C:V,3,0),"")</f>
        <v>880</v>
      </c>
      <c r="F27" s="211" t="str">
        <f>IFERROR(VLOOKUP($C27,'PORTIFÓLIO'!C:V,4,0),"")</f>
        <v>L</v>
      </c>
      <c r="G27" s="225" t="str">
        <f>IFERROR(VLOOKUP($C27,'PORTIFÓLIO'!C:V,5,0),"")</f>
        <v>📄 Ver bula</v>
      </c>
      <c r="H27" s="254">
        <f t="array" ref="H27">IFERROR(INDEX('PORTIFÓLIO'!$H$4:$H$433,MATCH($C27,'PORTIFÓLIO'!$C$4:$C$433,0)),"")</f>
        <v>0.5</v>
      </c>
      <c r="I27" s="255">
        <v>0.5</v>
      </c>
      <c r="J27" s="218">
        <f t="shared" si="4"/>
        <v>23.5</v>
      </c>
      <c r="K27" s="219">
        <f t="array" ref="K27">IFERROR(I27*INDEX('PORTIFÓLIO'!$S$4:$S$433,MATCH($C27,'PORTIFÓLIO'!$C$4:$C$433,0)),"")</f>
        <v>23.49848</v>
      </c>
      <c r="L27" s="219">
        <f t="array" ref="L27">IFERROR(J27*INDEX('PORTIFÓLIO'!$S$4:$S$433,MATCH($C27,'PORTIFÓLIO'!$C$4:$C$433,0)),"")</f>
        <v>1104.42856</v>
      </c>
      <c r="M27" s="220"/>
      <c r="N27" s="220"/>
      <c r="O27" s="220"/>
      <c r="P27" s="220"/>
      <c r="Q27" s="220"/>
      <c r="R27" s="220"/>
      <c r="S27" s="220"/>
      <c r="T27" s="220"/>
      <c r="U27" s="220"/>
      <c r="V27" s="220"/>
      <c r="W27" s="220"/>
    </row>
    <row r="28" ht="15.75" customHeight="1" outlineLevel="1">
      <c r="A28" s="211"/>
      <c r="B28" s="212" t="s">
        <v>6</v>
      </c>
      <c r="C28" s="213" t="s">
        <v>351</v>
      </c>
      <c r="D28" s="214" t="str">
        <f>IFERROR(VLOOKUP($C28,'PORTIFÓLIO'!C:V,2,0),"")</f>
        <v>ÉSTER METILICO DE OLEO DE SOJA</v>
      </c>
      <c r="E28" s="211">
        <f>IFERROR(VLOOKUP($C28,'PORTIFÓLIO'!C:V,3,0),"")</f>
        <v>720</v>
      </c>
      <c r="F28" s="211" t="str">
        <f>IFERROR(VLOOKUP($C28,'PORTIFÓLIO'!C:V,4,0),"")</f>
        <v>L</v>
      </c>
      <c r="G28" s="225" t="str">
        <f>IFERROR(VLOOKUP($C28,'PORTIFÓLIO'!C:V,5,0),"")</f>
        <v>📄 Ver bula</v>
      </c>
      <c r="H28" s="254">
        <f t="array" ref="H28">IFERROR(INDEX('PORTIFÓLIO'!$H$4:$H$433,MATCH($C28,'PORTIFÓLIO'!$C$4:$C$433,0)),"")</f>
        <v>0.08</v>
      </c>
      <c r="I28" s="255">
        <v>0.2</v>
      </c>
      <c r="J28" s="218">
        <f t="shared" si="4"/>
        <v>9.4</v>
      </c>
      <c r="K28" s="219">
        <f t="array" ref="K28">IFERROR(I28*INDEX('PORTIFÓLIO'!$S$4:$S$433,MATCH($C28,'PORTIFÓLIO'!$C$4:$C$433,0)),"")</f>
        <v>2.968756</v>
      </c>
      <c r="L28" s="219">
        <f t="array" ref="L28">IFERROR(J28*INDEX('PORTIFÓLIO'!$S$4:$S$433,MATCH($C28,'PORTIFÓLIO'!$C$4:$C$433,0)),"")</f>
        <v>139.531532</v>
      </c>
      <c r="M28" s="220"/>
      <c r="N28" s="220"/>
      <c r="O28" s="220"/>
      <c r="P28" s="220"/>
      <c r="Q28" s="220"/>
      <c r="R28" s="220"/>
      <c r="S28" s="220"/>
      <c r="T28" s="220"/>
      <c r="U28" s="220"/>
      <c r="V28" s="220"/>
      <c r="W28" s="220"/>
    </row>
    <row r="29" ht="15.75" customHeight="1" outlineLevel="1">
      <c r="A29" s="211"/>
      <c r="B29" s="212" t="s">
        <v>2</v>
      </c>
      <c r="C29" s="213" t="s">
        <v>824</v>
      </c>
      <c r="D29" s="214" t="str">
        <f>IFERROR(VLOOKUP($C29,'PORTIFÓLIO'!C:V,2,0),"")</f>
        <v>CLORANTRANILIPROLE</v>
      </c>
      <c r="E29" s="211">
        <f>IFERROR(VLOOKUP($C29,'PORTIFÓLIO'!C:V,3,0),"")</f>
        <v>200</v>
      </c>
      <c r="F29" s="211" t="str">
        <f>IFERROR(VLOOKUP($C29,'PORTIFÓLIO'!C:V,4,0),"")</f>
        <v>L</v>
      </c>
      <c r="G29" s="225" t="str">
        <f>IFERROR(VLOOKUP($C29,'PORTIFÓLIO'!C:V,5,0),"")</f>
        <v>📄 Ver bula</v>
      </c>
      <c r="H29" s="254">
        <f t="array" ref="H29">IFERROR(INDEX('PORTIFÓLIO'!$H$4:$H$433,MATCH($C29,'PORTIFÓLIO'!$C$4:$C$433,0)),"")</f>
        <v>0.1</v>
      </c>
      <c r="I29" s="255">
        <v>0.04</v>
      </c>
      <c r="J29" s="218">
        <f t="shared" si="4"/>
        <v>1.88</v>
      </c>
      <c r="K29" s="219">
        <f t="array" ref="K29">IFERROR(I29*INDEX('PORTIFÓLIO'!$S$4:$S$433,MATCH($C29,'PORTIFÓLIO'!$C$4:$C$433,0)),"")</f>
        <v>11.31855</v>
      </c>
      <c r="L29" s="219">
        <f t="array" ref="L29">IFERROR(J29*INDEX('PORTIFÓLIO'!$S$4:$S$433,MATCH($C29,'PORTIFÓLIO'!$C$4:$C$433,0)),"")</f>
        <v>531.97185</v>
      </c>
      <c r="M29" s="220"/>
      <c r="N29" s="220"/>
      <c r="O29" s="220"/>
      <c r="P29" s="220"/>
      <c r="Q29" s="220"/>
      <c r="R29" s="220"/>
      <c r="S29" s="220"/>
      <c r="T29" s="220"/>
      <c r="U29" s="220"/>
      <c r="V29" s="220"/>
      <c r="W29" s="220"/>
    </row>
    <row r="30" ht="15.75" customHeight="1" outlineLevel="1">
      <c r="A30" s="211"/>
      <c r="B30" s="212" t="s">
        <v>2</v>
      </c>
      <c r="C30" s="213" t="s">
        <v>788</v>
      </c>
      <c r="D30" s="214" t="str">
        <f>IFERROR(VLOOKUP($C30,'PORTIFÓLIO'!C:V,2,0),"")</f>
        <v>FIPRONIL</v>
      </c>
      <c r="E30" s="211">
        <f>IFERROR(VLOOKUP($C30,'PORTIFÓLIO'!C:V,3,0),"")</f>
        <v>800</v>
      </c>
      <c r="F30" s="211" t="str">
        <f>IFERROR(VLOOKUP($C30,'PORTIFÓLIO'!C:V,4,0),"")</f>
        <v>L</v>
      </c>
      <c r="G30" s="225" t="str">
        <f>IFERROR(VLOOKUP($C30,'PORTIFÓLIO'!C:V,5,0),"")</f>
        <v>📄 Ver bula</v>
      </c>
      <c r="H30" s="254">
        <f t="array" ref="H30">IFERROR(INDEX('PORTIFÓLIO'!$H$4:$H$433,MATCH($C30,'PORTIFÓLIO'!$C$4:$C$433,0)),"")</f>
        <v>0.04</v>
      </c>
      <c r="I30" s="255">
        <v>0.04</v>
      </c>
      <c r="J30" s="218">
        <f t="shared" si="4"/>
        <v>1.88</v>
      </c>
      <c r="K30" s="219">
        <f t="array" ref="K30">IFERROR(I30*INDEX('PORTIFÓLIO'!$S$4:$S$433,MATCH($C30,'PORTIFÓLIO'!$C$4:$C$433,0)),"")</f>
        <v>9.9054012</v>
      </c>
      <c r="L30" s="219">
        <f t="array" ref="L30">IFERROR(J30*INDEX('PORTIFÓLIO'!$S$4:$S$433,MATCH($C30,'PORTIFÓLIO'!$C$4:$C$433,0)),"")</f>
        <v>465.5538564</v>
      </c>
      <c r="M30" s="220"/>
      <c r="N30" s="220"/>
      <c r="O30" s="220"/>
      <c r="P30" s="220"/>
      <c r="Q30" s="220"/>
      <c r="R30" s="220"/>
      <c r="S30" s="220"/>
      <c r="T30" s="220"/>
      <c r="U30" s="220"/>
      <c r="V30" s="220"/>
      <c r="W30" s="220"/>
    </row>
    <row r="31" ht="15.75" customHeight="1" outlineLevel="1">
      <c r="A31" s="211"/>
      <c r="B31" s="212"/>
      <c r="C31" s="213"/>
      <c r="D31" s="214" t="str">
        <f>IFERROR(VLOOKUP($C31,'PORTIFÓLIO'!C:V,2,0),"")</f>
        <v/>
      </c>
      <c r="E31" s="211" t="str">
        <f>IFERROR(VLOOKUP($C31,'PORTIFÓLIO'!C:V,3,0),"")</f>
        <v/>
      </c>
      <c r="F31" s="211" t="str">
        <f>IFERROR(VLOOKUP($C31,'PORTIFÓLIO'!C:V,4,0),"")</f>
        <v/>
      </c>
      <c r="G31" s="215" t="str">
        <f>IFERROR(VLOOKUP($C31,'PORTIFÓLIO'!C:V,5,0),"")</f>
        <v/>
      </c>
      <c r="H31" s="254" t="str">
        <f t="array" ref="H31">IFERROR(INDEX('PORTIFÓLIO'!$H$4:$H$433,MATCH($C31,'PORTIFÓLIO'!$C$4:$C$433,0)),"")</f>
        <v/>
      </c>
      <c r="I31" s="255"/>
      <c r="J31" s="218">
        <f t="shared" si="4"/>
        <v>0</v>
      </c>
      <c r="K31" s="219" t="str">
        <f t="array" ref="K31">IFERROR(I31*INDEX('PORTIFÓLIO'!$S$4:$S$433,MATCH($C31,'PORTIFÓLIO'!$C$4:$C$433,0)),"")</f>
        <v/>
      </c>
      <c r="L31" s="219" t="str">
        <f t="array" ref="L31">IFERROR(J31*INDEX('PORTIFÓLIO'!$S$4:$S$433,MATCH($C31,'PORTIFÓLIO'!$C$4:$C$433,0)),"")</f>
        <v/>
      </c>
      <c r="M31" s="220"/>
      <c r="N31" s="220"/>
      <c r="O31" s="220"/>
      <c r="P31" s="220"/>
      <c r="Q31" s="220"/>
      <c r="R31" s="220"/>
      <c r="S31" s="220"/>
      <c r="T31" s="220"/>
      <c r="U31" s="220"/>
      <c r="V31" s="220"/>
      <c r="W31" s="220"/>
    </row>
    <row r="32" ht="15.75" customHeight="1" outlineLevel="1">
      <c r="A32" s="211"/>
      <c r="B32" s="212"/>
      <c r="C32" s="213"/>
      <c r="D32" s="214" t="str">
        <f>IFERROR(VLOOKUP($C32,'PORTIFÓLIO'!C:V,2,0),"")</f>
        <v/>
      </c>
      <c r="E32" s="211" t="str">
        <f>IFERROR(VLOOKUP($C32,'PORTIFÓLIO'!C:V,3,0),"")</f>
        <v/>
      </c>
      <c r="F32" s="211" t="str">
        <f>IFERROR(VLOOKUP($C32,'PORTIFÓLIO'!C:V,4,0),"")</f>
        <v/>
      </c>
      <c r="G32" s="215" t="str">
        <f>IFERROR(VLOOKUP($C32,'PORTIFÓLIO'!C:V,5,0),"")</f>
        <v/>
      </c>
      <c r="H32" s="254" t="str">
        <f t="array" ref="H32">IFERROR(INDEX('PORTIFÓLIO'!$H$4:$H$433,MATCH($C32,'PORTIFÓLIO'!$C$4:$C$433,0)),"")</f>
        <v/>
      </c>
      <c r="I32" s="256"/>
      <c r="J32" s="218">
        <f t="shared" si="4"/>
        <v>0</v>
      </c>
      <c r="K32" s="219" t="str">
        <f t="array" ref="K32">IFERROR(I32*INDEX('PORTIFÓLIO'!$S$4:$S$433,MATCH($C32,'PORTIFÓLIO'!$C$4:$C$433,0)),"")</f>
        <v/>
      </c>
      <c r="L32" s="219" t="str">
        <f t="array" ref="L32">IFERROR(J32*INDEX('PORTIFÓLIO'!$S$4:$S$433,MATCH($C32,'PORTIFÓLIO'!$C$4:$C$433,0)),"")</f>
        <v/>
      </c>
      <c r="M32" s="220"/>
      <c r="N32" s="220"/>
      <c r="O32" s="220"/>
      <c r="P32" s="220"/>
      <c r="Q32" s="220"/>
      <c r="R32" s="220"/>
      <c r="S32" s="220"/>
      <c r="T32" s="220"/>
      <c r="U32" s="220"/>
      <c r="V32" s="220"/>
      <c r="W32" s="220"/>
    </row>
    <row r="33" ht="15.75" customHeight="1" outlineLevel="1">
      <c r="A33" s="211"/>
      <c r="B33" s="212"/>
      <c r="C33" s="213"/>
      <c r="D33" s="214" t="str">
        <f>IFERROR(VLOOKUP($C33,'PORTIFÓLIO'!C:V,2,0),"")</f>
        <v/>
      </c>
      <c r="E33" s="211" t="str">
        <f>IFERROR(VLOOKUP($C33,'PORTIFÓLIO'!C:V,3,0),"")</f>
        <v/>
      </c>
      <c r="F33" s="211" t="str">
        <f>IFERROR(VLOOKUP($C33,'PORTIFÓLIO'!C:V,4,0),"")</f>
        <v/>
      </c>
      <c r="G33" s="215" t="str">
        <f>IFERROR(VLOOKUP($C33,'PORTIFÓLIO'!C:V,5,0),"")</f>
        <v/>
      </c>
      <c r="H33" s="254" t="str">
        <f t="array" ref="H33">IFERROR(INDEX('PORTIFÓLIO'!$H$4:$H$433,MATCH($C33,'PORTIFÓLIO'!$C$4:$C$433,0)),"")</f>
        <v/>
      </c>
      <c r="I33" s="256"/>
      <c r="J33" s="218">
        <f t="shared" si="4"/>
        <v>0</v>
      </c>
      <c r="K33" s="219" t="str">
        <f t="array" ref="K33">IFERROR(I33*INDEX('PORTIFÓLIO'!$S$4:$S$433,MATCH($C33,'PORTIFÓLIO'!$C$4:$C$433,0)),"")</f>
        <v/>
      </c>
      <c r="L33" s="219" t="str">
        <f t="array" ref="L33">IFERROR(J33*INDEX('PORTIFÓLIO'!$S$4:$S$433,MATCH($C33,'PORTIFÓLIO'!$C$4:$C$433,0)),"")</f>
        <v/>
      </c>
      <c r="M33" s="220"/>
      <c r="N33" s="220"/>
      <c r="O33" s="220"/>
      <c r="P33" s="220"/>
      <c r="Q33" s="220"/>
      <c r="R33" s="220"/>
      <c r="S33" s="220"/>
      <c r="T33" s="220"/>
      <c r="U33" s="220"/>
      <c r="V33" s="220"/>
      <c r="W33" s="220"/>
    </row>
    <row r="34" ht="15.75" customHeight="1" outlineLevel="1">
      <c r="A34" s="211"/>
      <c r="B34" s="212"/>
      <c r="C34" s="213"/>
      <c r="D34" s="214" t="str">
        <f>IFERROR(VLOOKUP($C34,'PORTIFÓLIO'!C:V,2,0),"")</f>
        <v/>
      </c>
      <c r="E34" s="211" t="str">
        <f>IFERROR(VLOOKUP($C34,'PORTIFÓLIO'!C:V,3,0),"")</f>
        <v/>
      </c>
      <c r="F34" s="211" t="str">
        <f>IFERROR(VLOOKUP($C34,'PORTIFÓLIO'!C:V,4,0),"")</f>
        <v/>
      </c>
      <c r="G34" s="215" t="str">
        <f>IFERROR(VLOOKUP($C34,'PORTIFÓLIO'!C:V,5,0),"")</f>
        <v/>
      </c>
      <c r="H34" s="254" t="str">
        <f t="array" ref="H34">IFERROR(INDEX('PORTIFÓLIO'!$H$4:$H$433,MATCH($C34,'PORTIFÓLIO'!$C$4:$C$433,0)),"")</f>
        <v/>
      </c>
      <c r="I34" s="255"/>
      <c r="J34" s="218">
        <f t="shared" si="4"/>
        <v>0</v>
      </c>
      <c r="K34" s="219" t="str">
        <f t="array" ref="K34">IFERROR(I34*INDEX('PORTIFÓLIO'!$S$4:$S$433,MATCH($C34,'PORTIFÓLIO'!$C$4:$C$433,0)),"")</f>
        <v/>
      </c>
      <c r="L34" s="219" t="str">
        <f t="array" ref="L34">IFERROR(J34*INDEX('PORTIFÓLIO'!$S$4:$S$433,MATCH($C34,'PORTIFÓLIO'!$C$4:$C$433,0)),"")</f>
        <v/>
      </c>
      <c r="M34" s="220"/>
      <c r="N34" s="220"/>
      <c r="O34" s="220"/>
      <c r="P34" s="220"/>
      <c r="Q34" s="220"/>
      <c r="R34" s="220"/>
      <c r="S34" s="220"/>
      <c r="T34" s="220"/>
      <c r="U34" s="220"/>
      <c r="V34" s="220"/>
      <c r="W34" s="220"/>
    </row>
    <row r="35" ht="15.75" customHeight="1" outlineLevel="1">
      <c r="A35" s="211"/>
      <c r="B35" s="212"/>
      <c r="C35" s="213"/>
      <c r="D35" s="214" t="str">
        <f>IFERROR(VLOOKUP($C35,'PORTIFÓLIO'!C:V,2,0),"")</f>
        <v/>
      </c>
      <c r="E35" s="211" t="str">
        <f>IFERROR(VLOOKUP($C35,'PORTIFÓLIO'!C:V,3,0),"")</f>
        <v/>
      </c>
      <c r="F35" s="211" t="str">
        <f>IFERROR(VLOOKUP($C35,'PORTIFÓLIO'!C:V,4,0),"")</f>
        <v/>
      </c>
      <c r="G35" s="215" t="str">
        <f>IFERROR(VLOOKUP($C35,'PORTIFÓLIO'!C:V,5,0),"")</f>
        <v/>
      </c>
      <c r="H35" s="254" t="str">
        <f t="array" ref="H35">IFERROR(INDEX('PORTIFÓLIO'!$H$4:$H$433,MATCH($C35,'PORTIFÓLIO'!$C$4:$C$433,0)),"")</f>
        <v/>
      </c>
      <c r="I35" s="256"/>
      <c r="J35" s="218">
        <f t="shared" si="4"/>
        <v>0</v>
      </c>
      <c r="K35" s="219" t="str">
        <f t="array" ref="K35">IFERROR(I35*INDEX('PORTIFÓLIO'!$S$4:$S$433,MATCH($C35,'PORTIFÓLIO'!$C$4:$C$433,0)),"")</f>
        <v/>
      </c>
      <c r="L35" s="219" t="str">
        <f t="array" ref="L35">IFERROR(J35*INDEX('PORTIFÓLIO'!$S$4:$S$433,MATCH($C35,'PORTIFÓLIO'!$C$4:$C$433,0)),"")</f>
        <v/>
      </c>
      <c r="M35" s="220"/>
      <c r="N35" s="220"/>
      <c r="O35" s="220"/>
      <c r="P35" s="220"/>
      <c r="Q35" s="220"/>
      <c r="R35" s="220"/>
      <c r="S35" s="220"/>
      <c r="T35" s="220"/>
      <c r="U35" s="220"/>
      <c r="V35" s="220"/>
      <c r="W35" s="220"/>
    </row>
    <row r="36" ht="15.75" customHeight="1" outlineLevel="1">
      <c r="A36" s="211"/>
      <c r="B36" s="212"/>
      <c r="C36" s="213"/>
      <c r="D36" s="214" t="str">
        <f>IFERROR(VLOOKUP($C36,'PORTIFÓLIO'!C:V,2,0),"")</f>
        <v/>
      </c>
      <c r="E36" s="211" t="str">
        <f>IFERROR(VLOOKUP($C36,'PORTIFÓLIO'!C:V,3,0),"")</f>
        <v/>
      </c>
      <c r="F36" s="211" t="str">
        <f>IFERROR(VLOOKUP($C36,'PORTIFÓLIO'!C:V,4,0),"")</f>
        <v/>
      </c>
      <c r="G36" s="215" t="str">
        <f>IFERROR(VLOOKUP($C36,'PORTIFÓLIO'!C:V,5,0),"")</f>
        <v/>
      </c>
      <c r="H36" s="254" t="str">
        <f t="array" ref="H36">IFERROR(INDEX('PORTIFÓLIO'!$H$4:$H$433,MATCH($C36,'PORTIFÓLIO'!$C$4:$C$433,0)),"")</f>
        <v/>
      </c>
      <c r="I36" s="256"/>
      <c r="J36" s="218">
        <f t="shared" si="4"/>
        <v>0</v>
      </c>
      <c r="K36" s="219" t="str">
        <f t="array" ref="K36">IFERROR(I36*INDEX('PORTIFÓLIO'!$S$4:$S$433,MATCH($C36,'PORTIFÓLIO'!$C$4:$C$433,0)),"")</f>
        <v/>
      </c>
      <c r="L36" s="219" t="str">
        <f t="array" ref="L36">IFERROR(J36*INDEX('PORTIFÓLIO'!$S$4:$S$433,MATCH($C36,'PORTIFÓLIO'!$C$4:$C$433,0)),"")</f>
        <v/>
      </c>
      <c r="M36" s="220"/>
      <c r="N36" s="220"/>
      <c r="O36" s="220"/>
      <c r="P36" s="220"/>
      <c r="Q36" s="220"/>
      <c r="R36" s="220"/>
      <c r="S36" s="220"/>
      <c r="T36" s="220"/>
      <c r="U36" s="220"/>
      <c r="V36" s="220"/>
      <c r="W36" s="220"/>
    </row>
    <row r="37" ht="15.75" customHeight="1" outlineLevel="1">
      <c r="A37" s="211"/>
      <c r="B37" s="212"/>
      <c r="C37" s="213"/>
      <c r="D37" s="214" t="str">
        <f>IFERROR(VLOOKUP($C37,'PORTIFÓLIO'!C:V,2,0),"")</f>
        <v/>
      </c>
      <c r="E37" s="211" t="str">
        <f>IFERROR(VLOOKUP($C37,'PORTIFÓLIO'!C:V,3,0),"")</f>
        <v/>
      </c>
      <c r="F37" s="211" t="str">
        <f>IFERROR(VLOOKUP($C37,'PORTIFÓLIO'!C:V,4,0),"")</f>
        <v/>
      </c>
      <c r="G37" s="215" t="str">
        <f>IFERROR(VLOOKUP($C37,'PORTIFÓLIO'!C:V,5,0),"")</f>
        <v/>
      </c>
      <c r="H37" s="254" t="str">
        <f t="array" ref="H37">IFERROR(INDEX('PORTIFÓLIO'!$H$4:$H$433,MATCH($C37,'PORTIFÓLIO'!$C$4:$C$433,0)),"")</f>
        <v/>
      </c>
      <c r="I37" s="256"/>
      <c r="J37" s="218">
        <f t="shared" si="4"/>
        <v>0</v>
      </c>
      <c r="K37" s="219" t="str">
        <f t="array" ref="K37">IFERROR(I37*INDEX('PORTIFÓLIO'!$S$4:$S$433,MATCH($C37,'PORTIFÓLIO'!$C$4:$C$433,0)),"")</f>
        <v/>
      </c>
      <c r="L37" s="219" t="str">
        <f t="array" ref="L37">IFERROR(J37*INDEX('PORTIFÓLIO'!$S$4:$S$433,MATCH($C37,'PORTIFÓLIO'!$C$4:$C$433,0)),"")</f>
        <v/>
      </c>
      <c r="M37" s="220"/>
      <c r="N37" s="220"/>
      <c r="O37" s="220"/>
      <c r="P37" s="220"/>
      <c r="Q37" s="220"/>
      <c r="R37" s="220"/>
      <c r="S37" s="220"/>
      <c r="T37" s="220"/>
      <c r="U37" s="220"/>
      <c r="V37" s="220"/>
      <c r="W37" s="220"/>
    </row>
    <row r="38" ht="15.75" customHeight="1" outlineLevel="1">
      <c r="A38" s="211"/>
      <c r="B38" s="212"/>
      <c r="C38" s="213"/>
      <c r="D38" s="214" t="str">
        <f>IFERROR(VLOOKUP($C38,'PORTIFÓLIO'!C:V,2,0),"")</f>
        <v/>
      </c>
      <c r="E38" s="211" t="str">
        <f>IFERROR(VLOOKUP($C38,'PORTIFÓLIO'!C:V,3,0),"")</f>
        <v/>
      </c>
      <c r="F38" s="211" t="str">
        <f>IFERROR(VLOOKUP($C38,'PORTIFÓLIO'!C:V,4,0),"")</f>
        <v/>
      </c>
      <c r="G38" s="215" t="str">
        <f>IFERROR(VLOOKUP($C38,'PORTIFÓLIO'!C:V,5,0),"")</f>
        <v/>
      </c>
      <c r="H38" s="254" t="str">
        <f t="array" ref="H38">IFERROR(INDEX('PORTIFÓLIO'!$H$4:$H$433,MATCH($C38,'PORTIFÓLIO'!$C$4:$C$433,0)),"")</f>
        <v/>
      </c>
      <c r="I38" s="256"/>
      <c r="J38" s="218">
        <f t="shared" si="4"/>
        <v>0</v>
      </c>
      <c r="K38" s="219" t="str">
        <f t="array" ref="K38">IFERROR(I38*INDEX('PORTIFÓLIO'!$S$4:$S$433,MATCH($C38,'PORTIFÓLIO'!$C$4:$C$433,0)),"")</f>
        <v/>
      </c>
      <c r="L38" s="219" t="str">
        <f t="array" ref="L38">IFERROR(J38*INDEX('PORTIFÓLIO'!$S$4:$S$433,MATCH($C38,'PORTIFÓLIO'!$C$4:$C$433,0)),"")</f>
        <v/>
      </c>
      <c r="M38" s="220"/>
      <c r="N38" s="220"/>
      <c r="O38" s="220"/>
      <c r="P38" s="220"/>
      <c r="Q38" s="220"/>
      <c r="R38" s="220"/>
      <c r="S38" s="220"/>
      <c r="T38" s="220"/>
      <c r="U38" s="220"/>
      <c r="V38" s="220"/>
      <c r="W38" s="220"/>
    </row>
    <row r="39" ht="15.75" customHeight="1" outlineLevel="1">
      <c r="A39" s="211"/>
      <c r="B39" s="212"/>
      <c r="C39" s="213"/>
      <c r="D39" s="214" t="str">
        <f>IFERROR(VLOOKUP($C39,'PORTIFÓLIO'!C:V,2,0),"")</f>
        <v/>
      </c>
      <c r="E39" s="211" t="str">
        <f>IFERROR(VLOOKUP($C39,'PORTIFÓLIO'!C:V,3,0),"")</f>
        <v/>
      </c>
      <c r="F39" s="211" t="str">
        <f>IFERROR(VLOOKUP($C39,'PORTIFÓLIO'!C:V,4,0),"")</f>
        <v/>
      </c>
      <c r="G39" s="215" t="str">
        <f>IFERROR(VLOOKUP($C39,'PORTIFÓLIO'!C:V,5,0),"")</f>
        <v/>
      </c>
      <c r="H39" s="254" t="str">
        <f t="array" ref="H39">IFERROR(INDEX('PORTIFÓLIO'!$H$4:$H$433,MATCH($C39,'PORTIFÓLIO'!$C$4:$C$433,0)),"")</f>
        <v/>
      </c>
      <c r="I39" s="256"/>
      <c r="J39" s="218">
        <f t="shared" si="4"/>
        <v>0</v>
      </c>
      <c r="K39" s="219" t="str">
        <f t="array" ref="K39">IFERROR(I39*INDEX('PORTIFÓLIO'!$S$4:$S$433,MATCH($C39,'PORTIFÓLIO'!$C$4:$C$433,0)),"")</f>
        <v/>
      </c>
      <c r="L39" s="219" t="str">
        <f t="array" ref="L39">IFERROR(J39*INDEX('PORTIFÓLIO'!$S$4:$S$433,MATCH($C39,'PORTIFÓLIO'!$C$4:$C$433,0)),"")</f>
        <v/>
      </c>
      <c r="M39" s="220"/>
      <c r="N39" s="220"/>
      <c r="O39" s="220"/>
      <c r="P39" s="220"/>
      <c r="Q39" s="220"/>
      <c r="R39" s="220"/>
      <c r="S39" s="220"/>
      <c r="T39" s="220"/>
      <c r="U39" s="220"/>
      <c r="V39" s="220"/>
      <c r="W39" s="220"/>
    </row>
    <row r="40" ht="15.75" customHeight="1" outlineLevel="1">
      <c r="A40" s="211"/>
      <c r="B40" s="212"/>
      <c r="C40" s="213"/>
      <c r="D40" s="214" t="str">
        <f>IFERROR(VLOOKUP($C40,'PORTIFÓLIO'!C:V,2,0),"")</f>
        <v/>
      </c>
      <c r="E40" s="211" t="str">
        <f>IFERROR(VLOOKUP($C40,'PORTIFÓLIO'!C:V,3,0),"")</f>
        <v/>
      </c>
      <c r="F40" s="211" t="str">
        <f>IFERROR(VLOOKUP($C40,'PORTIFÓLIO'!C:V,4,0),"")</f>
        <v/>
      </c>
      <c r="G40" s="215" t="str">
        <f>IFERROR(VLOOKUP($C40,'PORTIFÓLIO'!C:V,5,0),"")</f>
        <v/>
      </c>
      <c r="H40" s="254" t="str">
        <f t="array" ref="H40">IFERROR(INDEX('PORTIFÓLIO'!$H$4:$H$433,MATCH($C40,'PORTIFÓLIO'!$C$4:$C$433,0)),"")</f>
        <v/>
      </c>
      <c r="I40" s="256"/>
      <c r="J40" s="218">
        <f t="shared" si="4"/>
        <v>0</v>
      </c>
      <c r="K40" s="219" t="str">
        <f t="array" ref="K40">IFERROR(I40*INDEX('PORTIFÓLIO'!$S$4:$S$433,MATCH($C40,'PORTIFÓLIO'!$C$4:$C$433,0)),"")</f>
        <v/>
      </c>
      <c r="L40" s="219" t="str">
        <f t="array" ref="L40">IFERROR(J40*INDEX('PORTIFÓLIO'!$S$4:$S$433,MATCH($C40,'PORTIFÓLIO'!$C$4:$C$433,0)),"")</f>
        <v/>
      </c>
      <c r="M40" s="220"/>
      <c r="N40" s="220"/>
      <c r="O40" s="220"/>
      <c r="P40" s="220"/>
      <c r="Q40" s="220"/>
      <c r="R40" s="220"/>
      <c r="S40" s="220"/>
      <c r="T40" s="220"/>
      <c r="U40" s="220"/>
      <c r="V40" s="220"/>
      <c r="W40" s="220"/>
    </row>
    <row r="41" ht="15.75" customHeight="1" outlineLevel="1">
      <c r="A41" s="211"/>
      <c r="B41" s="212"/>
      <c r="C41" s="213"/>
      <c r="D41" s="214" t="str">
        <f>IFERROR(VLOOKUP($C41,'PORTIFÓLIO'!C:V,2,0),"")</f>
        <v/>
      </c>
      <c r="E41" s="211" t="str">
        <f>IFERROR(VLOOKUP($C41,'PORTIFÓLIO'!C:V,3,0),"")</f>
        <v/>
      </c>
      <c r="F41" s="211" t="str">
        <f>IFERROR(VLOOKUP($C41,'PORTIFÓLIO'!C:V,4,0),"")</f>
        <v/>
      </c>
      <c r="G41" s="215" t="str">
        <f>IFERROR(VLOOKUP($C41,'PORTIFÓLIO'!C:V,5,0),"")</f>
        <v/>
      </c>
      <c r="H41" s="254" t="str">
        <f t="array" ref="H41">IFERROR(INDEX('PORTIFÓLIO'!$H$4:$H$433,MATCH($C41,'PORTIFÓLIO'!$C$4:$C$433,0)),"")</f>
        <v/>
      </c>
      <c r="I41" s="256"/>
      <c r="J41" s="218">
        <f t="shared" si="4"/>
        <v>0</v>
      </c>
      <c r="K41" s="219" t="str">
        <f t="array" ref="K41">IFERROR(I41*INDEX('PORTIFÓLIO'!$S$4:$S$433,MATCH($C41,'PORTIFÓLIO'!$C$4:$C$433,0)),"")</f>
        <v/>
      </c>
      <c r="L41" s="219" t="str">
        <f t="array" ref="L41">IFERROR(J41*INDEX('PORTIFÓLIO'!$S$4:$S$433,MATCH($C41,'PORTIFÓLIO'!$C$4:$C$433,0)),"")</f>
        <v/>
      </c>
      <c r="M41" s="220"/>
      <c r="N41" s="220"/>
      <c r="O41" s="220"/>
      <c r="P41" s="220"/>
      <c r="Q41" s="220"/>
      <c r="R41" s="220"/>
      <c r="S41" s="220"/>
      <c r="T41" s="220"/>
      <c r="U41" s="220"/>
      <c r="V41" s="220"/>
      <c r="W41" s="220"/>
    </row>
    <row r="42" ht="15.75" customHeight="1" outlineLevel="1">
      <c r="A42" s="211"/>
      <c r="B42" s="212"/>
      <c r="C42" s="213"/>
      <c r="D42" s="214" t="str">
        <f>IFERROR(VLOOKUP($C42,'PORTIFÓLIO'!C:V,2,0),"")</f>
        <v/>
      </c>
      <c r="E42" s="211" t="str">
        <f>IFERROR(VLOOKUP($C42,'PORTIFÓLIO'!C:V,3,0),"")</f>
        <v/>
      </c>
      <c r="F42" s="211" t="str">
        <f>IFERROR(VLOOKUP($C42,'PORTIFÓLIO'!C:V,4,0),"")</f>
        <v/>
      </c>
      <c r="G42" s="215" t="str">
        <f>IFERROR(VLOOKUP($C42,'PORTIFÓLIO'!C:V,5,0),"")</f>
        <v/>
      </c>
      <c r="H42" s="254" t="str">
        <f t="array" ref="H42">IFERROR(INDEX('PORTIFÓLIO'!$H$4:$H$433,MATCH($C42,'PORTIFÓLIO'!$C$4:$C$433,0)),"")</f>
        <v/>
      </c>
      <c r="I42" s="256"/>
      <c r="J42" s="218">
        <f t="shared" si="4"/>
        <v>0</v>
      </c>
      <c r="K42" s="219" t="str">
        <f t="array" ref="K42">IFERROR(I42*INDEX('PORTIFÓLIO'!$S$4:$S$433,MATCH($C42,'PORTIFÓLIO'!$C$4:$C$433,0)),"")</f>
        <v/>
      </c>
      <c r="L42" s="219" t="str">
        <f t="array" ref="L42">IFERROR(J42*INDEX('PORTIFÓLIO'!$S$4:$S$433,MATCH($C42,'PORTIFÓLIO'!$C$4:$C$433,0)),"")</f>
        <v/>
      </c>
      <c r="M42" s="220"/>
      <c r="N42" s="220"/>
      <c r="O42" s="220"/>
      <c r="P42" s="220"/>
      <c r="Q42" s="220"/>
      <c r="R42" s="220"/>
      <c r="S42" s="220"/>
      <c r="T42" s="220"/>
      <c r="U42" s="220"/>
      <c r="V42" s="220"/>
      <c r="W42" s="220"/>
    </row>
    <row r="43" ht="15.75" customHeight="1" outlineLevel="1">
      <c r="A43" s="211"/>
      <c r="B43" s="212"/>
      <c r="C43" s="213"/>
      <c r="D43" s="214" t="str">
        <f>IFERROR(VLOOKUP($C43,'PORTIFÓLIO'!C:V,2,0),"")</f>
        <v/>
      </c>
      <c r="E43" s="211" t="str">
        <f>IFERROR(VLOOKUP($C43,'PORTIFÓLIO'!C:V,3,0),"")</f>
        <v/>
      </c>
      <c r="F43" s="211" t="str">
        <f>IFERROR(VLOOKUP($C43,'PORTIFÓLIO'!C:V,4,0),"")</f>
        <v/>
      </c>
      <c r="G43" s="215" t="str">
        <f>IFERROR(VLOOKUP($C43,'PORTIFÓLIO'!C:V,5,0),"")</f>
        <v/>
      </c>
      <c r="H43" s="254" t="str">
        <f t="array" ref="H43">IFERROR(INDEX('PORTIFÓLIO'!$H$4:$H$433,MATCH($C43,'PORTIFÓLIO'!$C$4:$C$433,0)),"")</f>
        <v/>
      </c>
      <c r="I43" s="256"/>
      <c r="J43" s="218">
        <f t="shared" si="4"/>
        <v>0</v>
      </c>
      <c r="K43" s="219" t="str">
        <f t="array" ref="K43">IFERROR(I43*INDEX('PORTIFÓLIO'!$S$4:$S$433,MATCH($C43,'PORTIFÓLIO'!$C$4:$C$433,0)),"")</f>
        <v/>
      </c>
      <c r="L43" s="219" t="str">
        <f t="array" ref="L43">IFERROR(J43*INDEX('PORTIFÓLIO'!$S$4:$S$433,MATCH($C43,'PORTIFÓLIO'!$C$4:$C$433,0)),"")</f>
        <v/>
      </c>
      <c r="M43" s="220"/>
      <c r="N43" s="220"/>
      <c r="O43" s="220"/>
      <c r="P43" s="220"/>
      <c r="Q43" s="220"/>
      <c r="R43" s="220"/>
      <c r="S43" s="220"/>
      <c r="T43" s="220"/>
      <c r="U43" s="220"/>
      <c r="V43" s="220"/>
      <c r="W43" s="220"/>
    </row>
    <row r="44" ht="15.75" customHeight="1">
      <c r="A44" s="229" t="s">
        <v>1185</v>
      </c>
      <c r="B44" s="230"/>
      <c r="C44" s="231"/>
      <c r="D44" s="232" t="s">
        <v>216</v>
      </c>
      <c r="E44" s="231"/>
      <c r="F44" s="231"/>
      <c r="G44" s="233"/>
      <c r="H44" s="233"/>
      <c r="I44" s="258"/>
      <c r="J44" s="236"/>
      <c r="K44" s="237">
        <f t="shared" ref="K44:L44" si="5">SUBTOTAL(9,K45:K58)</f>
        <v>144.758102</v>
      </c>
      <c r="L44" s="237">
        <f t="shared" si="5"/>
        <v>6803.630794</v>
      </c>
      <c r="M44" s="220"/>
      <c r="N44" s="220"/>
      <c r="O44" s="220"/>
      <c r="P44" s="220"/>
      <c r="Q44" s="220"/>
      <c r="R44" s="220"/>
      <c r="S44" s="220"/>
      <c r="T44" s="220"/>
      <c r="U44" s="220"/>
      <c r="V44" s="220"/>
      <c r="W44" s="220"/>
    </row>
    <row r="45" ht="15.75" customHeight="1" outlineLevel="1">
      <c r="A45" s="213"/>
      <c r="B45" s="212" t="s">
        <v>1</v>
      </c>
      <c r="C45" s="213" t="s">
        <v>706</v>
      </c>
      <c r="D45" s="214" t="str">
        <f>IFERROR(VLOOKUP($C45,'PORTIFÓLIO'!C:V,2,0),"")</f>
        <v>GLUFOSINATO - SAL DE AMONIO</v>
      </c>
      <c r="E45" s="211">
        <f>IFERROR(VLOOKUP($C45,'PORTIFÓLIO'!C:V,3,0),"")</f>
        <v>880</v>
      </c>
      <c r="F45" s="211" t="str">
        <f>IFERROR(VLOOKUP($C45,'PORTIFÓLIO'!C:V,4,0),"")</f>
        <v>L</v>
      </c>
      <c r="G45" s="225" t="str">
        <f>IFERROR(VLOOKUP($C45,'PORTIFÓLIO'!C:V,5,0),"")</f>
        <v>📄 Ver bula</v>
      </c>
      <c r="H45" s="254">
        <f t="array" ref="H45">IFERROR(INDEX('PORTIFÓLIO'!$H$4:$H$433,MATCH($C45,'PORTIFÓLIO'!$C$4:$C$433,0)),"")</f>
        <v>0.5</v>
      </c>
      <c r="I45" s="255">
        <v>0.5</v>
      </c>
      <c r="J45" s="218">
        <f t="shared" ref="J45:J62" si="6">I45*$B$2</f>
        <v>23.5</v>
      </c>
      <c r="K45" s="219">
        <f t="array" ref="K45">IFERROR(I45*INDEX('PORTIFÓLIO'!$S$4:$S$433,MATCH($C45,'PORTIFÓLIO'!$C$4:$C$433,0)),"")</f>
        <v>23.49848</v>
      </c>
      <c r="L45" s="219">
        <f t="array" ref="L45">IFERROR(J45*INDEX('PORTIFÓLIO'!$S$4:$S$433,MATCH($C45,'PORTIFÓLIO'!$C$4:$C$433,0)),"")</f>
        <v>1104.42856</v>
      </c>
      <c r="M45" s="220"/>
      <c r="N45" s="220"/>
      <c r="O45" s="220"/>
      <c r="P45" s="220"/>
      <c r="Q45" s="220"/>
      <c r="R45" s="220"/>
      <c r="S45" s="220"/>
      <c r="T45" s="220"/>
      <c r="U45" s="220"/>
      <c r="V45" s="220"/>
      <c r="W45" s="220"/>
    </row>
    <row r="46" ht="15.75" customHeight="1" outlineLevel="1">
      <c r="A46" s="211"/>
      <c r="B46" s="212" t="s">
        <v>1</v>
      </c>
      <c r="C46" s="213" t="s">
        <v>719</v>
      </c>
      <c r="D46" s="214" t="str">
        <f>IFERROR(VLOOKUP($C46,'PORTIFÓLIO'!C:V,2,0),"")</f>
        <v>IMAZETAPIR + FLUMIOXAZINA</v>
      </c>
      <c r="E46" s="211" t="str">
        <f>IFERROR(VLOOKUP($C46,'PORTIFÓLIO'!C:V,3,0),"")</f>
        <v>212 + 100</v>
      </c>
      <c r="F46" s="211" t="str">
        <f>IFERROR(VLOOKUP($C46,'PORTIFÓLIO'!C:V,4,0),"")</f>
        <v>L</v>
      </c>
      <c r="G46" s="225" t="str">
        <f>IFERROR(VLOOKUP($C46,'PORTIFÓLIO'!C:V,5,0),"")</f>
        <v>📄 Ver bula</v>
      </c>
      <c r="H46" s="254">
        <f t="array" ref="H46">IFERROR(INDEX('PORTIFÓLIO'!$H$4:$H$433,MATCH($C46,'PORTIFÓLIO'!$C$4:$C$433,0)),"")</f>
        <v>0.4</v>
      </c>
      <c r="I46" s="255">
        <v>0.4</v>
      </c>
      <c r="J46" s="218">
        <f t="shared" si="6"/>
        <v>18.8</v>
      </c>
      <c r="K46" s="219">
        <f t="array" ref="K46">IFERROR(I46*INDEX('PORTIFÓLIO'!$S$4:$S$433,MATCH($C46,'PORTIFÓLIO'!$C$4:$C$433,0)),"")</f>
        <v>33.065016</v>
      </c>
      <c r="L46" s="219">
        <f t="array" ref="L46">IFERROR(J46*INDEX('PORTIFÓLIO'!$S$4:$S$433,MATCH($C46,'PORTIFÓLIO'!$C$4:$C$433,0)),"")</f>
        <v>1554.055752</v>
      </c>
      <c r="M46" s="220"/>
      <c r="N46" s="220"/>
      <c r="O46" s="220"/>
      <c r="P46" s="220"/>
      <c r="Q46" s="220"/>
      <c r="R46" s="220"/>
      <c r="S46" s="220"/>
      <c r="T46" s="220"/>
      <c r="U46" s="220"/>
      <c r="V46" s="220"/>
      <c r="W46" s="220"/>
    </row>
    <row r="47" ht="15.75" customHeight="1" outlineLevel="1">
      <c r="A47" s="211"/>
      <c r="B47" s="212" t="s">
        <v>1</v>
      </c>
      <c r="C47" s="213" t="s">
        <v>728</v>
      </c>
      <c r="D47" s="214" t="str">
        <f>IFERROR(VLOOKUP($C47,'PORTIFÓLIO'!C:V,2,0),"")</f>
        <v>S-METOLACLORO</v>
      </c>
      <c r="E47" s="211">
        <f>IFERROR(VLOOKUP($C47,'PORTIFÓLIO'!C:V,3,0),"")</f>
        <v>960</v>
      </c>
      <c r="F47" s="211" t="str">
        <f>IFERROR(VLOOKUP($C47,'PORTIFÓLIO'!C:V,4,0),"")</f>
        <v>KG</v>
      </c>
      <c r="G47" s="225" t="str">
        <f>IFERROR(VLOOKUP($C47,'PORTIFÓLIO'!C:V,5,0),"")</f>
        <v>📄 Ver bula</v>
      </c>
      <c r="H47" s="254">
        <f t="array" ref="H47">IFERROR(INDEX('PORTIFÓLIO'!$H$4:$H$433,MATCH($C47,'PORTIFÓLIO'!$C$4:$C$433,0)),"")</f>
        <v>2</v>
      </c>
      <c r="I47" s="255">
        <v>1.0</v>
      </c>
      <c r="J47" s="218">
        <f t="shared" si="6"/>
        <v>47</v>
      </c>
      <c r="K47" s="219">
        <f t="array" ref="K47">IFERROR(I47*INDEX('PORTIFÓLIO'!$S$4:$S$433,MATCH($C47,'PORTIFÓLIO'!$C$4:$C$433,0)),"")</f>
        <v>29.1273</v>
      </c>
      <c r="L47" s="219">
        <f t="array" ref="L47">IFERROR(J47*INDEX('PORTIFÓLIO'!$S$4:$S$433,MATCH($C47,'PORTIFÓLIO'!$C$4:$C$433,0)),"")</f>
        <v>1368.9831</v>
      </c>
      <c r="M47" s="220"/>
      <c r="N47" s="220"/>
      <c r="O47" s="220"/>
      <c r="P47" s="220"/>
      <c r="Q47" s="220"/>
      <c r="R47" s="220"/>
      <c r="S47" s="220"/>
      <c r="T47" s="220"/>
      <c r="U47" s="220"/>
      <c r="V47" s="220"/>
      <c r="W47" s="220"/>
    </row>
    <row r="48" ht="15.75" customHeight="1" outlineLevel="1">
      <c r="A48" s="211"/>
      <c r="B48" s="212" t="s">
        <v>6</v>
      </c>
      <c r="C48" s="213" t="s">
        <v>351</v>
      </c>
      <c r="D48" s="214" t="str">
        <f>IFERROR(VLOOKUP($C48,'PORTIFÓLIO'!C:V,2,0),"")</f>
        <v>ÉSTER METILICO DE OLEO DE SOJA</v>
      </c>
      <c r="E48" s="211">
        <f>IFERROR(VLOOKUP($C48,'PORTIFÓLIO'!C:V,3,0),"")</f>
        <v>720</v>
      </c>
      <c r="F48" s="211" t="str">
        <f>IFERROR(VLOOKUP($C48,'PORTIFÓLIO'!C:V,4,0),"")</f>
        <v>L</v>
      </c>
      <c r="G48" s="225" t="str">
        <f>IFERROR(VLOOKUP($C48,'PORTIFÓLIO'!C:V,5,0),"")</f>
        <v>📄 Ver bula</v>
      </c>
      <c r="H48" s="254">
        <f t="array" ref="H48">IFERROR(INDEX('PORTIFÓLIO'!$H$4:$H$433,MATCH($C48,'PORTIFÓLIO'!$C$4:$C$433,0)),"")</f>
        <v>0.08</v>
      </c>
      <c r="I48" s="255">
        <v>0.2</v>
      </c>
      <c r="J48" s="218">
        <f t="shared" si="6"/>
        <v>9.4</v>
      </c>
      <c r="K48" s="219">
        <f t="array" ref="K48">IFERROR(I48*INDEX('PORTIFÓLIO'!$S$4:$S$433,MATCH($C48,'PORTIFÓLIO'!$C$4:$C$433,0)),"")</f>
        <v>2.968756</v>
      </c>
      <c r="L48" s="219">
        <f t="array" ref="L48">IFERROR(J48*INDEX('PORTIFÓLIO'!$S$4:$S$433,MATCH($C48,'PORTIFÓLIO'!$C$4:$C$433,0)),"")</f>
        <v>139.531532</v>
      </c>
      <c r="M48" s="220"/>
      <c r="N48" s="220"/>
      <c r="O48" s="220"/>
      <c r="P48" s="220"/>
      <c r="Q48" s="220"/>
      <c r="R48" s="220"/>
      <c r="S48" s="220"/>
      <c r="T48" s="220"/>
      <c r="U48" s="220"/>
      <c r="V48" s="220"/>
      <c r="W48" s="220"/>
    </row>
    <row r="49" ht="15.75" customHeight="1" outlineLevel="1">
      <c r="A49" s="211"/>
      <c r="B49" s="212" t="s">
        <v>2</v>
      </c>
      <c r="C49" s="213" t="s">
        <v>824</v>
      </c>
      <c r="D49" s="214" t="str">
        <f>IFERROR(VLOOKUP($C49,'PORTIFÓLIO'!C:V,2,0),"")</f>
        <v>CLORANTRANILIPROLE</v>
      </c>
      <c r="E49" s="211">
        <f>IFERROR(VLOOKUP($C49,'PORTIFÓLIO'!C:V,3,0),"")</f>
        <v>200</v>
      </c>
      <c r="F49" s="211" t="str">
        <f>IFERROR(VLOOKUP($C49,'PORTIFÓLIO'!C:V,4,0),"")</f>
        <v>L</v>
      </c>
      <c r="G49" s="225" t="str">
        <f>IFERROR(VLOOKUP($C49,'PORTIFÓLIO'!C:V,5,0),"")</f>
        <v>📄 Ver bula</v>
      </c>
      <c r="H49" s="254">
        <f t="array" ref="H49">IFERROR(INDEX('PORTIFÓLIO'!$H$4:$H$433,MATCH($C49,'PORTIFÓLIO'!$C$4:$C$433,0)),"")</f>
        <v>0.1</v>
      </c>
      <c r="I49" s="255">
        <v>0.04</v>
      </c>
      <c r="J49" s="218">
        <f t="shared" si="6"/>
        <v>1.88</v>
      </c>
      <c r="K49" s="219">
        <f t="array" ref="K49">IFERROR(I49*INDEX('PORTIFÓLIO'!$S$4:$S$433,MATCH($C49,'PORTIFÓLIO'!$C$4:$C$433,0)),"")</f>
        <v>11.31855</v>
      </c>
      <c r="L49" s="219">
        <f t="array" ref="L49">IFERROR(J49*INDEX('PORTIFÓLIO'!$S$4:$S$433,MATCH($C49,'PORTIFÓLIO'!$C$4:$C$433,0)),"")</f>
        <v>531.97185</v>
      </c>
      <c r="M49" s="220"/>
      <c r="N49" s="220"/>
      <c r="O49" s="220"/>
      <c r="P49" s="220"/>
      <c r="Q49" s="220"/>
      <c r="R49" s="220"/>
      <c r="S49" s="220"/>
      <c r="T49" s="220"/>
      <c r="U49" s="220"/>
      <c r="V49" s="220"/>
      <c r="W49" s="220"/>
    </row>
    <row r="50" ht="15.75" customHeight="1" outlineLevel="1">
      <c r="A50" s="211"/>
      <c r="B50" s="212" t="s">
        <v>9</v>
      </c>
      <c r="C50" s="213" t="s">
        <v>933</v>
      </c>
      <c r="D50" s="214" t="str">
        <f>IFERROR(VLOOKUP($C50,'PORTIFÓLIO'!C:V,2,0),"")</f>
        <v>N1%;B9,5%</v>
      </c>
      <c r="E50" s="211" t="str">
        <f>IFERROR(VLOOKUP($C50,'PORTIFÓLIO'!C:V,3,0),"")</f>
        <v>13,8g/l + 131,1g/l</v>
      </c>
      <c r="F50" s="211" t="str">
        <f>IFERROR(VLOOKUP($C50,'PORTIFÓLIO'!C:V,4,0),"")</f>
        <v>L</v>
      </c>
      <c r="G50" s="215" t="str">
        <f>IFERROR(VLOOKUP($C50,'PORTIFÓLIO'!C:V,5,0),"")</f>
        <v/>
      </c>
      <c r="H50" s="254">
        <f t="array" ref="H50">IFERROR(INDEX('PORTIFÓLIO'!$H$4:$H$433,MATCH($C50,'PORTIFÓLIO'!$C$4:$C$433,0)),"")</f>
        <v>2</v>
      </c>
      <c r="I50" s="255">
        <v>1.0</v>
      </c>
      <c r="J50" s="218">
        <f t="shared" si="6"/>
        <v>47</v>
      </c>
      <c r="K50" s="219">
        <f t="array" ref="K50">IFERROR(I50*INDEX('PORTIFÓLIO'!$S$4:$S$433,MATCH($C50,'PORTIFÓLIO'!$C$4:$C$433,0)),"")</f>
        <v>44.78</v>
      </c>
      <c r="L50" s="219">
        <f t="array" ref="L50">IFERROR(J50*INDEX('PORTIFÓLIO'!$S$4:$S$433,MATCH($C50,'PORTIFÓLIO'!$C$4:$C$433,0)),"")</f>
        <v>2104.66</v>
      </c>
      <c r="M50" s="220"/>
      <c r="N50" s="220"/>
      <c r="O50" s="220"/>
      <c r="P50" s="220"/>
      <c r="Q50" s="220"/>
      <c r="R50" s="220"/>
      <c r="S50" s="220"/>
      <c r="T50" s="220"/>
      <c r="U50" s="220"/>
      <c r="V50" s="220"/>
      <c r="W50" s="220"/>
    </row>
    <row r="51" ht="15.75" customHeight="1" outlineLevel="1">
      <c r="A51" s="211"/>
      <c r="B51" s="212"/>
      <c r="C51" s="213"/>
      <c r="D51" s="214" t="str">
        <f>IFERROR(VLOOKUP($C51,'PORTIFÓLIO'!C:V,2,0),"")</f>
        <v/>
      </c>
      <c r="E51" s="211" t="str">
        <f>IFERROR(VLOOKUP($C51,'PORTIFÓLIO'!C:V,3,0),"")</f>
        <v/>
      </c>
      <c r="F51" s="211" t="str">
        <f>IFERROR(VLOOKUP($C51,'PORTIFÓLIO'!C:V,4,0),"")</f>
        <v/>
      </c>
      <c r="G51" s="215" t="str">
        <f>IFERROR(VLOOKUP($C51,'PORTIFÓLIO'!C:V,5,0),"")</f>
        <v/>
      </c>
      <c r="H51" s="254" t="str">
        <f t="array" ref="H51">IFERROR(INDEX('PORTIFÓLIO'!$H$4:$H$433,MATCH($C51,'PORTIFÓLIO'!$C$4:$C$433,0)),"")</f>
        <v/>
      </c>
      <c r="I51" s="255"/>
      <c r="J51" s="218">
        <f t="shared" si="6"/>
        <v>0</v>
      </c>
      <c r="K51" s="219" t="str">
        <f t="array" ref="K51">IFERROR(I51*INDEX('PORTIFÓLIO'!$S$4:$S$433,MATCH($C51,'PORTIFÓLIO'!$C$4:$C$433,0)),"")</f>
        <v/>
      </c>
      <c r="L51" s="219" t="str">
        <f t="array" ref="L51">IFERROR(J51*INDEX('PORTIFÓLIO'!$S$4:$S$433,MATCH($C51,'PORTIFÓLIO'!$C$4:$C$433,0)),"")</f>
        <v/>
      </c>
      <c r="M51" s="220"/>
      <c r="N51" s="220"/>
      <c r="O51" s="220"/>
      <c r="P51" s="220"/>
      <c r="Q51" s="220"/>
      <c r="R51" s="220"/>
      <c r="S51" s="220"/>
      <c r="T51" s="220"/>
      <c r="U51" s="220"/>
      <c r="V51" s="220"/>
      <c r="W51" s="220"/>
    </row>
    <row r="52" ht="15.75" customHeight="1" outlineLevel="1">
      <c r="A52" s="211"/>
      <c r="B52" s="212"/>
      <c r="C52" s="213"/>
      <c r="D52" s="214" t="str">
        <f>IFERROR(VLOOKUP($C52,'PORTIFÓLIO'!C:V,2,0),"")</f>
        <v/>
      </c>
      <c r="E52" s="211" t="str">
        <f>IFERROR(VLOOKUP($C52,'PORTIFÓLIO'!C:V,3,0),"")</f>
        <v/>
      </c>
      <c r="F52" s="211" t="str">
        <f>IFERROR(VLOOKUP($C52,'PORTIFÓLIO'!C:V,4,0),"")</f>
        <v/>
      </c>
      <c r="G52" s="215" t="str">
        <f>IFERROR(VLOOKUP($C52,'PORTIFÓLIO'!C:V,5,0),"")</f>
        <v/>
      </c>
      <c r="H52" s="254" t="str">
        <f t="array" ref="H52">IFERROR(INDEX('PORTIFÓLIO'!$H$4:$H$433,MATCH($C52,'PORTIFÓLIO'!$C$4:$C$433,0)),"")</f>
        <v/>
      </c>
      <c r="I52" s="256"/>
      <c r="J52" s="218">
        <f t="shared" si="6"/>
        <v>0</v>
      </c>
      <c r="K52" s="219" t="str">
        <f t="array" ref="K52">IFERROR(I52*INDEX('PORTIFÓLIO'!$S$4:$S$433,MATCH($C52,'PORTIFÓLIO'!$C$4:$C$433,0)),"")</f>
        <v/>
      </c>
      <c r="L52" s="219" t="str">
        <f t="array" ref="L52">IFERROR(J52*INDEX('PORTIFÓLIO'!$S$4:$S$433,MATCH($C52,'PORTIFÓLIO'!$C$4:$C$433,0)),"")</f>
        <v/>
      </c>
      <c r="M52" s="220"/>
      <c r="N52" s="220"/>
      <c r="O52" s="220"/>
      <c r="P52" s="220"/>
      <c r="Q52" s="220"/>
      <c r="R52" s="220"/>
      <c r="S52" s="220"/>
      <c r="T52" s="220"/>
      <c r="U52" s="220"/>
      <c r="V52" s="220"/>
      <c r="W52" s="220"/>
    </row>
    <row r="53" ht="15.75" customHeight="1" outlineLevel="1">
      <c r="A53" s="211"/>
      <c r="B53" s="212"/>
      <c r="C53" s="213"/>
      <c r="D53" s="214" t="str">
        <f>IFERROR(VLOOKUP($C53,'PORTIFÓLIO'!C:V,2,0),"")</f>
        <v/>
      </c>
      <c r="E53" s="211" t="str">
        <f>IFERROR(VLOOKUP($C53,'PORTIFÓLIO'!C:V,3,0),"")</f>
        <v/>
      </c>
      <c r="F53" s="211" t="str">
        <f>IFERROR(VLOOKUP($C53,'PORTIFÓLIO'!C:V,4,0),"")</f>
        <v/>
      </c>
      <c r="G53" s="215" t="str">
        <f>IFERROR(VLOOKUP($C53,'PORTIFÓLIO'!C:V,5,0),"")</f>
        <v/>
      </c>
      <c r="H53" s="254" t="str">
        <f t="array" ref="H53">IFERROR(INDEX('PORTIFÓLIO'!$H$4:$H$433,MATCH($C53,'PORTIFÓLIO'!$C$4:$C$433,0)),"")</f>
        <v/>
      </c>
      <c r="I53" s="255"/>
      <c r="J53" s="218">
        <f t="shared" si="6"/>
        <v>0</v>
      </c>
      <c r="K53" s="219" t="str">
        <f t="array" ref="K53">IFERROR(I53*INDEX('PORTIFÓLIO'!$S$4:$S$433,MATCH($C53,'PORTIFÓLIO'!$C$4:$C$433,0)),"")</f>
        <v/>
      </c>
      <c r="L53" s="219" t="str">
        <f t="array" ref="L53">IFERROR(J53*INDEX('PORTIFÓLIO'!$S$4:$S$433,MATCH($C53,'PORTIFÓLIO'!$C$4:$C$433,0)),"")</f>
        <v/>
      </c>
      <c r="M53" s="220"/>
      <c r="N53" s="220"/>
      <c r="O53" s="220"/>
      <c r="P53" s="220"/>
      <c r="Q53" s="220"/>
      <c r="R53" s="220"/>
      <c r="S53" s="220"/>
      <c r="T53" s="220"/>
      <c r="U53" s="220"/>
      <c r="V53" s="220"/>
      <c r="W53" s="220"/>
    </row>
    <row r="54" ht="15.75" customHeight="1" outlineLevel="1">
      <c r="A54" s="211"/>
      <c r="B54" s="212"/>
      <c r="C54" s="213"/>
      <c r="D54" s="214" t="str">
        <f>IFERROR(VLOOKUP($C54,'PORTIFÓLIO'!C:V,2,0),"")</f>
        <v/>
      </c>
      <c r="E54" s="211" t="str">
        <f>IFERROR(VLOOKUP($C54,'PORTIFÓLIO'!C:V,3,0),"")</f>
        <v/>
      </c>
      <c r="F54" s="211" t="str">
        <f>IFERROR(VLOOKUP($C54,'PORTIFÓLIO'!C:V,4,0),"")</f>
        <v/>
      </c>
      <c r="G54" s="215" t="str">
        <f>IFERROR(VLOOKUP($C54,'PORTIFÓLIO'!C:V,5,0),"")</f>
        <v/>
      </c>
      <c r="H54" s="254" t="str">
        <f t="array" ref="H54">IFERROR(INDEX('PORTIFÓLIO'!$H$4:$H$433,MATCH($C54,'PORTIFÓLIO'!$C$4:$C$433,0)),"")</f>
        <v/>
      </c>
      <c r="I54" s="256"/>
      <c r="J54" s="218">
        <f t="shared" si="6"/>
        <v>0</v>
      </c>
      <c r="K54" s="219" t="str">
        <f t="array" ref="K54">IFERROR(I54*INDEX('PORTIFÓLIO'!$S$4:$S$433,MATCH($C54,'PORTIFÓLIO'!$C$4:$C$433,0)),"")</f>
        <v/>
      </c>
      <c r="L54" s="219" t="str">
        <f t="array" ref="L54">IFERROR(J54*INDEX('PORTIFÓLIO'!$S$4:$S$433,MATCH($C54,'PORTIFÓLIO'!$C$4:$C$433,0)),"")</f>
        <v/>
      </c>
      <c r="M54" s="220"/>
      <c r="N54" s="220"/>
      <c r="O54" s="220"/>
      <c r="P54" s="220"/>
      <c r="Q54" s="220"/>
      <c r="R54" s="220"/>
      <c r="S54" s="220"/>
      <c r="T54" s="220"/>
      <c r="U54" s="220"/>
      <c r="V54" s="220"/>
      <c r="W54" s="220"/>
    </row>
    <row r="55" ht="15.75" customHeight="1" outlineLevel="1">
      <c r="A55" s="211"/>
      <c r="B55" s="212"/>
      <c r="C55" s="213"/>
      <c r="D55" s="214" t="str">
        <f>IFERROR(VLOOKUP($C55,'PORTIFÓLIO'!C:V,2,0),"")</f>
        <v/>
      </c>
      <c r="E55" s="211" t="str">
        <f>IFERROR(VLOOKUP($C55,'PORTIFÓLIO'!C:V,3,0),"")</f>
        <v/>
      </c>
      <c r="F55" s="211" t="str">
        <f>IFERROR(VLOOKUP($C55,'PORTIFÓLIO'!C:V,4,0),"")</f>
        <v/>
      </c>
      <c r="G55" s="215" t="str">
        <f>IFERROR(VLOOKUP($C55,'PORTIFÓLIO'!C:V,5,0),"")</f>
        <v/>
      </c>
      <c r="H55" s="254" t="str">
        <f t="array" ref="H55">IFERROR(INDEX('PORTIFÓLIO'!$H$4:$H$433,MATCH($C55,'PORTIFÓLIO'!$C$4:$C$433,0)),"")</f>
        <v/>
      </c>
      <c r="I55" s="256"/>
      <c r="J55" s="218">
        <f t="shared" si="6"/>
        <v>0</v>
      </c>
      <c r="K55" s="219" t="str">
        <f t="array" ref="K55">IFERROR(I55*INDEX('PORTIFÓLIO'!$S$4:$S$433,MATCH($C55,'PORTIFÓLIO'!$C$4:$C$433,0)),"")</f>
        <v/>
      </c>
      <c r="L55" s="219" t="str">
        <f t="array" ref="L55">IFERROR(J55*INDEX('PORTIFÓLIO'!$S$4:$S$433,MATCH($C55,'PORTIFÓLIO'!$C$4:$C$433,0)),"")</f>
        <v/>
      </c>
      <c r="M55" s="220"/>
      <c r="N55" s="220"/>
      <c r="O55" s="220"/>
      <c r="P55" s="220"/>
      <c r="Q55" s="220"/>
      <c r="R55" s="220"/>
      <c r="S55" s="220"/>
      <c r="T55" s="220"/>
      <c r="U55" s="220"/>
      <c r="V55" s="220"/>
      <c r="W55" s="220"/>
    </row>
    <row r="56" ht="15.75" customHeight="1" outlineLevel="1">
      <c r="A56" s="211"/>
      <c r="B56" s="212"/>
      <c r="C56" s="213"/>
      <c r="D56" s="214" t="str">
        <f>IFERROR(VLOOKUP($C56,'PORTIFÓLIO'!C:V,2,0),"")</f>
        <v/>
      </c>
      <c r="E56" s="211" t="str">
        <f>IFERROR(VLOOKUP($C56,'PORTIFÓLIO'!C:V,3,0),"")</f>
        <v/>
      </c>
      <c r="F56" s="211" t="str">
        <f>IFERROR(VLOOKUP($C56,'PORTIFÓLIO'!C:V,4,0),"")</f>
        <v/>
      </c>
      <c r="G56" s="215" t="str">
        <f>IFERROR(VLOOKUP($C56,'PORTIFÓLIO'!C:V,5,0),"")</f>
        <v/>
      </c>
      <c r="H56" s="254" t="str">
        <f t="array" ref="H56">IFERROR(INDEX('PORTIFÓLIO'!$H$4:$H$433,MATCH($C56,'PORTIFÓLIO'!$C$4:$C$433,0)),"")</f>
        <v/>
      </c>
      <c r="I56" s="256"/>
      <c r="J56" s="218">
        <f t="shared" si="6"/>
        <v>0</v>
      </c>
      <c r="K56" s="219" t="str">
        <f t="array" ref="K56">IFERROR(I56*INDEX('PORTIFÓLIO'!$S$4:$S$433,MATCH($C56,'PORTIFÓLIO'!$C$4:$C$433,0)),"")</f>
        <v/>
      </c>
      <c r="L56" s="219" t="str">
        <f t="array" ref="L56">IFERROR(J56*INDEX('PORTIFÓLIO'!$S$4:$S$433,MATCH($C56,'PORTIFÓLIO'!$C$4:$C$433,0)),"")</f>
        <v/>
      </c>
      <c r="M56" s="220"/>
      <c r="N56" s="220"/>
      <c r="O56" s="220"/>
      <c r="P56" s="220"/>
      <c r="Q56" s="220"/>
      <c r="R56" s="220"/>
      <c r="S56" s="220"/>
      <c r="T56" s="220"/>
      <c r="U56" s="220"/>
      <c r="V56" s="220"/>
      <c r="W56" s="220"/>
    </row>
    <row r="57" ht="15.75" customHeight="1" outlineLevel="1">
      <c r="A57" s="211"/>
      <c r="B57" s="212"/>
      <c r="C57" s="213"/>
      <c r="D57" s="214" t="str">
        <f>IFERROR(VLOOKUP($C57,'PORTIFÓLIO'!C:V,2,0),"")</f>
        <v/>
      </c>
      <c r="E57" s="211" t="str">
        <f>IFERROR(VLOOKUP($C57,'PORTIFÓLIO'!C:V,3,0),"")</f>
        <v/>
      </c>
      <c r="F57" s="211" t="str">
        <f>IFERROR(VLOOKUP($C57,'PORTIFÓLIO'!C:V,4,0),"")</f>
        <v/>
      </c>
      <c r="G57" s="215" t="str">
        <f>IFERROR(VLOOKUP($C57,'PORTIFÓLIO'!C:V,5,0),"")</f>
        <v/>
      </c>
      <c r="H57" s="254" t="str">
        <f t="array" ref="H57">IFERROR(INDEX('PORTIFÓLIO'!$H$4:$H$433,MATCH($C57,'PORTIFÓLIO'!$C$4:$C$433,0)),"")</f>
        <v/>
      </c>
      <c r="I57" s="256"/>
      <c r="J57" s="218">
        <f t="shared" si="6"/>
        <v>0</v>
      </c>
      <c r="K57" s="219" t="str">
        <f t="array" ref="K57">IFERROR(I57*INDEX('PORTIFÓLIO'!$S$4:$S$433,MATCH($C57,'PORTIFÓLIO'!$C$4:$C$433,0)),"")</f>
        <v/>
      </c>
      <c r="L57" s="219" t="str">
        <f t="array" ref="L57">IFERROR(J57*INDEX('PORTIFÓLIO'!$S$4:$S$433,MATCH($C57,'PORTIFÓLIO'!$C$4:$C$433,0)),"")</f>
        <v/>
      </c>
      <c r="M57" s="220"/>
      <c r="N57" s="220"/>
      <c r="O57" s="220"/>
      <c r="P57" s="220"/>
      <c r="Q57" s="220"/>
      <c r="R57" s="220"/>
      <c r="S57" s="220"/>
      <c r="T57" s="220"/>
      <c r="U57" s="220"/>
      <c r="V57" s="220"/>
      <c r="W57" s="220"/>
    </row>
    <row r="58" ht="15.75" customHeight="1" outlineLevel="1">
      <c r="A58" s="211"/>
      <c r="B58" s="212"/>
      <c r="C58" s="213"/>
      <c r="D58" s="214" t="str">
        <f>IFERROR(VLOOKUP($C58,'PORTIFÓLIO'!C:V,2,0),"")</f>
        <v/>
      </c>
      <c r="E58" s="211" t="str">
        <f>IFERROR(VLOOKUP($C58,'PORTIFÓLIO'!C:V,3,0),"")</f>
        <v/>
      </c>
      <c r="F58" s="211" t="str">
        <f>IFERROR(VLOOKUP($C58,'PORTIFÓLIO'!C:V,4,0),"")</f>
        <v/>
      </c>
      <c r="G58" s="215" t="str">
        <f>IFERROR(VLOOKUP($C58,'PORTIFÓLIO'!C:V,5,0),"")</f>
        <v/>
      </c>
      <c r="H58" s="254" t="str">
        <f t="array" ref="H58">IFERROR(INDEX('PORTIFÓLIO'!$H$4:$H$433,MATCH($C58,'PORTIFÓLIO'!$C$4:$C$433,0)),"")</f>
        <v/>
      </c>
      <c r="I58" s="256"/>
      <c r="J58" s="218">
        <f t="shared" si="6"/>
        <v>0</v>
      </c>
      <c r="K58" s="219" t="str">
        <f t="array" ref="K58">IFERROR(I58*INDEX('PORTIFÓLIO'!$S$4:$S$433,MATCH($C58,'PORTIFÓLIO'!$C$4:$C$433,0)),"")</f>
        <v/>
      </c>
      <c r="L58" s="219" t="str">
        <f t="array" ref="L58">IFERROR(J58*INDEX('PORTIFÓLIO'!$S$4:$S$433,MATCH($C58,'PORTIFÓLIO'!$C$4:$C$433,0)),"")</f>
        <v/>
      </c>
      <c r="M58" s="220"/>
      <c r="N58" s="220"/>
      <c r="O58" s="220"/>
      <c r="P58" s="220"/>
      <c r="Q58" s="220"/>
      <c r="R58" s="220"/>
      <c r="S58" s="220"/>
      <c r="T58" s="220"/>
      <c r="U58" s="220"/>
      <c r="V58" s="220"/>
      <c r="W58" s="220"/>
    </row>
    <row r="59" ht="15.75" customHeight="1" outlineLevel="1">
      <c r="A59" s="211"/>
      <c r="B59" s="212"/>
      <c r="C59" s="213"/>
      <c r="D59" s="214" t="str">
        <f>IFERROR(VLOOKUP($C59,'PORTIFÓLIO'!C:V,2,0),"")</f>
        <v/>
      </c>
      <c r="E59" s="211" t="str">
        <f>IFERROR(VLOOKUP($C59,'PORTIFÓLIO'!C:V,3,0),"")</f>
        <v/>
      </c>
      <c r="F59" s="211" t="str">
        <f>IFERROR(VLOOKUP($C59,'PORTIFÓLIO'!C:V,4,0),"")</f>
        <v/>
      </c>
      <c r="G59" s="215" t="str">
        <f>IFERROR(VLOOKUP($C59,'PORTIFÓLIO'!C:V,5,0),"")</f>
        <v/>
      </c>
      <c r="H59" s="254" t="str">
        <f t="array" ref="H59">IFERROR(INDEX('PORTIFÓLIO'!$H$4:$H$433,MATCH($C59,'PORTIFÓLIO'!$C$4:$C$433,0)),"")</f>
        <v/>
      </c>
      <c r="I59" s="256"/>
      <c r="J59" s="218">
        <f t="shared" si="6"/>
        <v>0</v>
      </c>
      <c r="K59" s="219" t="str">
        <f t="array" ref="K59">IFERROR(I59*INDEX('PORTIFÓLIO'!$S$4:$S$433,MATCH($C59,'PORTIFÓLIO'!$C$4:$C$433,0)),"")</f>
        <v/>
      </c>
      <c r="L59" s="219" t="str">
        <f t="array" ref="L59">IFERROR(J59*INDEX('PORTIFÓLIO'!$S$4:$S$433,MATCH($C59,'PORTIFÓLIO'!$C$4:$C$433,0)),"")</f>
        <v/>
      </c>
      <c r="M59" s="220"/>
      <c r="N59" s="220"/>
      <c r="O59" s="220"/>
      <c r="P59" s="220"/>
      <c r="Q59" s="220"/>
      <c r="R59" s="220"/>
      <c r="S59" s="220"/>
      <c r="T59" s="220"/>
      <c r="U59" s="220"/>
      <c r="V59" s="220"/>
      <c r="W59" s="220"/>
    </row>
    <row r="60" ht="15.75" customHeight="1" outlineLevel="1">
      <c r="A60" s="211"/>
      <c r="B60" s="212"/>
      <c r="C60" s="213"/>
      <c r="D60" s="214" t="str">
        <f>IFERROR(VLOOKUP($C60,'PORTIFÓLIO'!C:V,2,0),"")</f>
        <v/>
      </c>
      <c r="E60" s="211" t="str">
        <f>IFERROR(VLOOKUP($C60,'PORTIFÓLIO'!C:V,3,0),"")</f>
        <v/>
      </c>
      <c r="F60" s="211" t="str">
        <f>IFERROR(VLOOKUP($C60,'PORTIFÓLIO'!C:V,4,0),"")</f>
        <v/>
      </c>
      <c r="G60" s="215" t="str">
        <f>IFERROR(VLOOKUP($C60,'PORTIFÓLIO'!C:V,5,0),"")</f>
        <v/>
      </c>
      <c r="H60" s="254" t="str">
        <f t="array" ref="H60">IFERROR(INDEX('PORTIFÓLIO'!$H$4:$H$433,MATCH($C60,'PORTIFÓLIO'!$C$4:$C$433,0)),"")</f>
        <v/>
      </c>
      <c r="I60" s="256"/>
      <c r="J60" s="218">
        <f t="shared" si="6"/>
        <v>0</v>
      </c>
      <c r="K60" s="219" t="str">
        <f t="array" ref="K60">IFERROR(I60*INDEX('PORTIFÓLIO'!$S$4:$S$433,MATCH($C60,'PORTIFÓLIO'!$C$4:$C$433,0)),"")</f>
        <v/>
      </c>
      <c r="L60" s="219" t="str">
        <f t="array" ref="L60">IFERROR(J60*INDEX('PORTIFÓLIO'!$S$4:$S$433,MATCH($C60,'PORTIFÓLIO'!$C$4:$C$433,0)),"")</f>
        <v/>
      </c>
      <c r="M60" s="220"/>
      <c r="N60" s="220"/>
      <c r="O60" s="220"/>
      <c r="P60" s="220"/>
      <c r="Q60" s="220"/>
      <c r="R60" s="220"/>
      <c r="S60" s="220"/>
      <c r="T60" s="220"/>
      <c r="U60" s="220"/>
      <c r="V60" s="220"/>
      <c r="W60" s="220"/>
    </row>
    <row r="61" ht="15.75" customHeight="1" outlineLevel="1">
      <c r="A61" s="211"/>
      <c r="B61" s="212"/>
      <c r="C61" s="213"/>
      <c r="D61" s="214" t="str">
        <f>IFERROR(VLOOKUP($C61,'PORTIFÓLIO'!C:V,2,0),"")</f>
        <v/>
      </c>
      <c r="E61" s="211" t="str">
        <f>IFERROR(VLOOKUP($C61,'PORTIFÓLIO'!C:V,3,0),"")</f>
        <v/>
      </c>
      <c r="F61" s="211" t="str">
        <f>IFERROR(VLOOKUP($C61,'PORTIFÓLIO'!C:V,4,0),"")</f>
        <v/>
      </c>
      <c r="G61" s="215" t="str">
        <f>IFERROR(VLOOKUP($C61,'PORTIFÓLIO'!C:V,5,0),"")</f>
        <v/>
      </c>
      <c r="H61" s="254" t="str">
        <f t="array" ref="H61">IFERROR(INDEX('PORTIFÓLIO'!$H$4:$H$433,MATCH($C61,'PORTIFÓLIO'!$C$4:$C$433,0)),"")</f>
        <v/>
      </c>
      <c r="I61" s="256"/>
      <c r="J61" s="218">
        <f t="shared" si="6"/>
        <v>0</v>
      </c>
      <c r="K61" s="219" t="str">
        <f t="array" ref="K61">IFERROR(I61*INDEX('PORTIFÓLIO'!$S$4:$S$433,MATCH($C61,'PORTIFÓLIO'!$C$4:$C$433,0)),"")</f>
        <v/>
      </c>
      <c r="L61" s="219" t="str">
        <f t="array" ref="L61">IFERROR(J61*INDEX('PORTIFÓLIO'!$S$4:$S$433,MATCH($C61,'PORTIFÓLIO'!$C$4:$C$433,0)),"")</f>
        <v/>
      </c>
      <c r="M61" s="220"/>
      <c r="N61" s="220"/>
      <c r="O61" s="220"/>
      <c r="P61" s="220"/>
      <c r="Q61" s="220"/>
      <c r="R61" s="220"/>
      <c r="S61" s="220"/>
      <c r="T61" s="220"/>
      <c r="U61" s="220"/>
      <c r="V61" s="220"/>
      <c r="W61" s="220"/>
    </row>
    <row r="62" ht="15.75" customHeight="1" outlineLevel="1">
      <c r="A62" s="211"/>
      <c r="B62" s="212"/>
      <c r="C62" s="213"/>
      <c r="D62" s="214" t="str">
        <f>IFERROR(VLOOKUP($C62,'PORTIFÓLIO'!C:V,2,0),"")</f>
        <v/>
      </c>
      <c r="E62" s="211" t="str">
        <f>IFERROR(VLOOKUP($C62,'PORTIFÓLIO'!C:V,3,0),"")</f>
        <v/>
      </c>
      <c r="F62" s="211" t="str">
        <f>IFERROR(VLOOKUP($C62,'PORTIFÓLIO'!C:V,4,0),"")</f>
        <v/>
      </c>
      <c r="G62" s="215" t="str">
        <f>IFERROR(VLOOKUP($C62,'PORTIFÓLIO'!C:V,5,0),"")</f>
        <v/>
      </c>
      <c r="H62" s="254" t="str">
        <f t="array" ref="H62">IFERROR(INDEX('PORTIFÓLIO'!$H$4:$H$433,MATCH($C62,'PORTIFÓLIO'!$C$4:$C$433,0)),"")</f>
        <v/>
      </c>
      <c r="I62" s="256"/>
      <c r="J62" s="218">
        <f t="shared" si="6"/>
        <v>0</v>
      </c>
      <c r="K62" s="219" t="str">
        <f t="array" ref="K62">IFERROR(I62*INDEX('PORTIFÓLIO'!$S$4:$S$433,MATCH($C62,'PORTIFÓLIO'!$C$4:$C$433,0)),"")</f>
        <v/>
      </c>
      <c r="L62" s="219" t="str">
        <f t="array" ref="L62">IFERROR(J62*INDEX('PORTIFÓLIO'!$S$4:$S$433,MATCH($C62,'PORTIFÓLIO'!$C$4:$C$433,0)),"")</f>
        <v/>
      </c>
      <c r="M62" s="220"/>
      <c r="N62" s="220"/>
      <c r="O62" s="220"/>
      <c r="P62" s="220"/>
      <c r="Q62" s="220"/>
      <c r="R62" s="220"/>
      <c r="S62" s="220"/>
      <c r="T62" s="220"/>
      <c r="U62" s="220"/>
      <c r="V62" s="220"/>
      <c r="W62" s="220"/>
    </row>
    <row r="63" ht="15.75" customHeight="1">
      <c r="A63" s="229" t="s">
        <v>1186</v>
      </c>
      <c r="B63" s="230"/>
      <c r="C63" s="231"/>
      <c r="D63" s="232"/>
      <c r="E63" s="231"/>
      <c r="F63" s="231"/>
      <c r="G63" s="233"/>
      <c r="H63" s="233"/>
      <c r="I63" s="258"/>
      <c r="J63" s="236"/>
      <c r="K63" s="237">
        <f t="shared" ref="K63:L63" si="7">SUBTOTAL(9,K64:K76)</f>
        <v>266.77486</v>
      </c>
      <c r="L63" s="237">
        <f t="shared" si="7"/>
        <v>12538.41842</v>
      </c>
      <c r="M63" s="220"/>
      <c r="N63" s="220"/>
      <c r="O63" s="220"/>
      <c r="P63" s="220"/>
      <c r="Q63" s="220"/>
      <c r="R63" s="220"/>
      <c r="S63" s="220"/>
      <c r="T63" s="220"/>
      <c r="U63" s="220"/>
      <c r="V63" s="220"/>
      <c r="W63" s="220"/>
    </row>
    <row r="64" ht="15.75" customHeight="1" outlineLevel="1">
      <c r="A64" s="213"/>
      <c r="B64" s="212" t="s">
        <v>5</v>
      </c>
      <c r="C64" s="213" t="s">
        <v>1061</v>
      </c>
      <c r="D64" s="214" t="str">
        <f>IFERROR(VLOOKUP($C64,'PORTIFÓLIO'!C:V,2,0),"")</f>
        <v/>
      </c>
      <c r="E64" s="211" t="str">
        <f>IFERROR(VLOOKUP($C64,'PORTIFÓLIO'!C:V,3,0),"")</f>
        <v/>
      </c>
      <c r="F64" s="211" t="str">
        <f>IFERROR(VLOOKUP($C64,'PORTIFÓLIO'!C:V,4,0),"")</f>
        <v/>
      </c>
      <c r="G64" s="225" t="str">
        <f>IFERROR(VLOOKUP($C64,'PORTIFÓLIO'!C:V,5,0),"")</f>
        <v>📄 Ver bula</v>
      </c>
      <c r="H64" s="254" t="str">
        <f t="array" ref="H64">IFERROR(INDEX('PORTIFÓLIO'!$H$4:$H$433,MATCH($C64,'PORTIFÓLIO'!$C$4:$C$433,0)),"")</f>
        <v/>
      </c>
      <c r="I64" s="255">
        <v>0.04</v>
      </c>
      <c r="J64" s="218">
        <f t="shared" ref="J64:J80" si="8">I64*$B$2</f>
        <v>1.88</v>
      </c>
      <c r="K64" s="219">
        <f t="array" ref="K64">IFERROR(I64*INDEX('PORTIFÓLIO'!$S$4:$S$433,MATCH($C64,'PORTIFÓLIO'!$C$4:$C$433,0)),"")</f>
        <v>0</v>
      </c>
      <c r="L64" s="219">
        <f t="array" ref="L64">IFERROR(J64*INDEX('PORTIFÓLIO'!$S$4:$S$433,MATCH($C64,'PORTIFÓLIO'!$C$4:$C$433,0)),"")</f>
        <v>0</v>
      </c>
      <c r="M64" s="220"/>
      <c r="N64" s="220"/>
      <c r="O64" s="220"/>
      <c r="P64" s="220"/>
      <c r="Q64" s="220"/>
      <c r="R64" s="220"/>
      <c r="S64" s="220"/>
      <c r="T64" s="220"/>
      <c r="U64" s="220"/>
      <c r="V64" s="220"/>
      <c r="W64" s="220"/>
    </row>
    <row r="65" ht="15.75" customHeight="1" outlineLevel="1">
      <c r="A65" s="211"/>
      <c r="B65" s="212" t="s">
        <v>3</v>
      </c>
      <c r="C65" s="213" t="s">
        <v>1011</v>
      </c>
      <c r="D65" s="214" t="str">
        <f>IFERROR(VLOOKUP($C65,'PORTIFÓLIO'!C:V,2,0),"")</f>
        <v>METALAXIL-M + TIABENDAZOL + FLUDIOXONIL +
 TIAMETOXAM</v>
      </c>
      <c r="E65" s="211" t="str">
        <f>IFERROR(VLOOKUP($C65,'PORTIFÓLIO'!C:V,3,0),"")</f>
        <v>20 + 150 + 25 + 350</v>
      </c>
      <c r="F65" s="211" t="str">
        <f>IFERROR(VLOOKUP($C65,'PORTIFÓLIO'!C:V,4,0),"")</f>
        <v/>
      </c>
      <c r="G65" s="225" t="str">
        <f>IFERROR(VLOOKUP($C65,'PORTIFÓLIO'!C:V,5,0),"")</f>
        <v>📄 Ver bula</v>
      </c>
      <c r="H65" s="254">
        <f t="array" ref="H65">IFERROR(INDEX('PORTIFÓLIO'!$H$4:$H$433,MATCH($C65,'PORTIFÓLIO'!$C$4:$C$433,0)),"")</f>
        <v>0.05</v>
      </c>
      <c r="I65" s="255">
        <v>0.05</v>
      </c>
      <c r="J65" s="218">
        <f t="shared" si="8"/>
        <v>2.35</v>
      </c>
      <c r="K65" s="219">
        <f t="array" ref="K65">IFERROR(I65*INDEX('PORTIFÓLIO'!$S$4:$S$433,MATCH($C65,'PORTIFÓLIO'!$C$4:$C$433,0)),"")</f>
        <v>25.27</v>
      </c>
      <c r="L65" s="219">
        <f t="array" ref="L65">IFERROR(J65*INDEX('PORTIFÓLIO'!$S$4:$S$433,MATCH($C65,'PORTIFÓLIO'!$C$4:$C$433,0)),"")</f>
        <v>1187.69</v>
      </c>
      <c r="M65" s="220"/>
      <c r="N65" s="220"/>
      <c r="O65" s="220"/>
      <c r="P65" s="220"/>
      <c r="Q65" s="220"/>
      <c r="R65" s="220"/>
      <c r="S65" s="220"/>
      <c r="T65" s="220"/>
      <c r="U65" s="220"/>
      <c r="V65" s="220"/>
      <c r="W65" s="220"/>
    </row>
    <row r="66" ht="15.75" customHeight="1" outlineLevel="1">
      <c r="A66" s="211"/>
      <c r="B66" s="212" t="s">
        <v>3</v>
      </c>
      <c r="C66" s="213" t="s">
        <v>1007</v>
      </c>
      <c r="D66" s="214" t="str">
        <f>IFERROR(VLOOKUP($C66,'PORTIFÓLIO'!C:V,2,0),"")</f>
        <v>DIFENOCONAZOL</v>
      </c>
      <c r="E66" s="211">
        <f>IFERROR(VLOOKUP($C66,'PORTIFÓLIO'!C:V,3,0),"")</f>
        <v>150</v>
      </c>
      <c r="F66" s="211" t="str">
        <f>IFERROR(VLOOKUP($C66,'PORTIFÓLIO'!C:V,4,0),"")</f>
        <v/>
      </c>
      <c r="G66" s="225" t="str">
        <f>IFERROR(VLOOKUP($C66,'PORTIFÓLIO'!C:V,5,0),"")</f>
        <v>📄 Ver bula</v>
      </c>
      <c r="H66" s="254">
        <f t="array" ref="H66">IFERROR(INDEX('PORTIFÓLIO'!$H$4:$H$433,MATCH($C66,'PORTIFÓLIO'!$C$4:$C$433,0)),"")</f>
        <v>0.015</v>
      </c>
      <c r="I66" s="255">
        <v>0.02</v>
      </c>
      <c r="J66" s="218">
        <f t="shared" si="8"/>
        <v>0.94</v>
      </c>
      <c r="K66" s="219">
        <f t="array" ref="K66">IFERROR(I66*INDEX('PORTIFÓLIO'!$S$4:$S$433,MATCH($C66,'PORTIFÓLIO'!$C$4:$C$433,0)),"")</f>
        <v>1.78486</v>
      </c>
      <c r="L66" s="219">
        <f t="array" ref="L66">IFERROR(J66*INDEX('PORTIFÓLIO'!$S$4:$S$433,MATCH($C66,'PORTIFÓLIO'!$C$4:$C$433,0)),"")</f>
        <v>83.88842</v>
      </c>
      <c r="M66" s="220"/>
      <c r="N66" s="220"/>
      <c r="O66" s="220"/>
      <c r="P66" s="220"/>
      <c r="Q66" s="220"/>
      <c r="R66" s="220"/>
      <c r="S66" s="220"/>
      <c r="T66" s="220"/>
      <c r="U66" s="220"/>
      <c r="V66" s="220"/>
      <c r="W66" s="220"/>
    </row>
    <row r="67" ht="15.75" customHeight="1" outlineLevel="1">
      <c r="A67" s="211"/>
      <c r="B67" s="212" t="s">
        <v>4</v>
      </c>
      <c r="C67" s="213" t="s">
        <v>1094</v>
      </c>
      <c r="D67" s="214" t="str">
        <f>IFERROR(VLOOKUP($C67,'PORTIFÓLIO'!C:V,2,0),"")</f>
        <v>Bradyrhizobium sp.</v>
      </c>
      <c r="E67" s="211" t="str">
        <f>IFERROR(VLOOKUP($C67,'PORTIFÓLIO'!C:V,3,0),"")</f>
        <v/>
      </c>
      <c r="F67" s="211" t="str">
        <f>IFERROR(VLOOKUP($C67,'PORTIFÓLIO'!C:V,4,0),"")</f>
        <v>L</v>
      </c>
      <c r="G67" s="225" t="str">
        <f>IFERROR(VLOOKUP($C67,'PORTIFÓLIO'!C:V,5,0),"")</f>
        <v>📄 Ver bula</v>
      </c>
      <c r="H67" s="254">
        <f t="array" ref="H67">IFERROR(INDEX('PORTIFÓLIO'!$H$4:$H$433,MATCH($C67,'PORTIFÓLIO'!$C$4:$C$433,0)),"")</f>
        <v>2</v>
      </c>
      <c r="I67" s="255">
        <v>4.0</v>
      </c>
      <c r="J67" s="218">
        <f t="shared" si="8"/>
        <v>188</v>
      </c>
      <c r="K67" s="219">
        <f t="array" ref="K67">IFERROR(I67*INDEX('PORTIFÓLIO'!$S$4:$S$433,MATCH($C67,'PORTIFÓLIO'!$C$4:$C$433,0)),"")</f>
        <v>104</v>
      </c>
      <c r="L67" s="219">
        <f t="array" ref="L67">IFERROR(J67*INDEX('PORTIFÓLIO'!$S$4:$S$433,MATCH($C67,'PORTIFÓLIO'!$C$4:$C$433,0)),"")</f>
        <v>4888</v>
      </c>
      <c r="M67" s="220"/>
      <c r="N67" s="220"/>
      <c r="O67" s="220"/>
      <c r="P67" s="220"/>
      <c r="Q67" s="220"/>
      <c r="R67" s="220"/>
      <c r="S67" s="220"/>
      <c r="T67" s="220"/>
      <c r="U67" s="220"/>
      <c r="V67" s="220"/>
      <c r="W67" s="220"/>
    </row>
    <row r="68" ht="15.75" customHeight="1" outlineLevel="1">
      <c r="A68" s="211"/>
      <c r="B68" s="212" t="s">
        <v>4</v>
      </c>
      <c r="C68" s="213" t="s">
        <v>1092</v>
      </c>
      <c r="D68" s="214" t="str">
        <f>IFERROR(VLOOKUP($C68,'PORTIFÓLIO'!C:V,2,0),"")</f>
        <v>Azospirillum brasiliense</v>
      </c>
      <c r="E68" s="211" t="str">
        <f>IFERROR(VLOOKUP($C68,'PORTIFÓLIO'!C:V,3,0),"")</f>
        <v/>
      </c>
      <c r="F68" s="211" t="str">
        <f>IFERROR(VLOOKUP($C68,'PORTIFÓLIO'!C:V,4,0),"")</f>
        <v>L</v>
      </c>
      <c r="G68" s="225" t="str">
        <f>IFERROR(VLOOKUP($C68,'PORTIFÓLIO'!C:V,5,0),"")</f>
        <v>📄 Ver bula</v>
      </c>
      <c r="H68" s="254">
        <f t="array" ref="H68">IFERROR(INDEX('PORTIFÓLIO'!$H$4:$H$433,MATCH($C68,'PORTIFÓLIO'!$C$4:$C$433,0)),"")</f>
        <v>2</v>
      </c>
      <c r="I68" s="255">
        <v>1.0</v>
      </c>
      <c r="J68" s="218">
        <f t="shared" si="8"/>
        <v>47</v>
      </c>
      <c r="K68" s="219">
        <f t="array" ref="K68">IFERROR(I68*INDEX('PORTIFÓLIO'!$S$4:$S$433,MATCH($C68,'PORTIFÓLIO'!$C$4:$C$433,0)),"")</f>
        <v>36.4</v>
      </c>
      <c r="L68" s="219">
        <f t="array" ref="L68">IFERROR(J68*INDEX('PORTIFÓLIO'!$S$4:$S$433,MATCH($C68,'PORTIFÓLIO'!$C$4:$C$433,0)),"")</f>
        <v>1710.8</v>
      </c>
      <c r="M68" s="220"/>
      <c r="N68" s="220"/>
      <c r="O68" s="220"/>
      <c r="P68" s="220"/>
      <c r="Q68" s="220"/>
      <c r="R68" s="220"/>
      <c r="S68" s="220"/>
      <c r="T68" s="220"/>
      <c r="U68" s="220"/>
      <c r="V68" s="220"/>
      <c r="W68" s="220"/>
    </row>
    <row r="69" ht="15.75" customHeight="1" outlineLevel="1">
      <c r="A69" s="211"/>
      <c r="B69" s="212" t="s">
        <v>4</v>
      </c>
      <c r="C69" s="213" t="s">
        <v>1107</v>
      </c>
      <c r="D69" s="214" t="str">
        <f>IFERROR(VLOOKUP($C69,'PORTIFÓLIO'!C:V,2,0),"")</f>
        <v>Priestia aryabhattai</v>
      </c>
      <c r="E69" s="211" t="str">
        <f>IFERROR(VLOOKUP($C69,'PORTIFÓLIO'!C:V,3,0),"")</f>
        <v/>
      </c>
      <c r="F69" s="211" t="str">
        <f>IFERROR(VLOOKUP($C69,'PORTIFÓLIO'!C:V,4,0),"")</f>
        <v/>
      </c>
      <c r="G69" s="225" t="str">
        <f>IFERROR(VLOOKUP($C69,'PORTIFÓLIO'!C:V,5,0),"")</f>
        <v>📄 Ver bula</v>
      </c>
      <c r="H69" s="254">
        <f t="array" ref="H69">IFERROR(INDEX('PORTIFÓLIO'!$H$4:$H$433,MATCH($C69,'PORTIFÓLIO'!$C$4:$C$433,0)),"")</f>
        <v>2</v>
      </c>
      <c r="I69" s="255">
        <v>1.0</v>
      </c>
      <c r="J69" s="218">
        <f t="shared" si="8"/>
        <v>47</v>
      </c>
      <c r="K69" s="219">
        <f t="array" ref="K69">IFERROR(I69*INDEX('PORTIFÓLIO'!$S$4:$S$433,MATCH($C69,'PORTIFÓLIO'!$C$4:$C$433,0)),"")</f>
        <v>81.12</v>
      </c>
      <c r="L69" s="219">
        <f t="array" ref="L69">IFERROR(J69*INDEX('PORTIFÓLIO'!$S$4:$S$433,MATCH($C69,'PORTIFÓLIO'!$C$4:$C$433,0)),"")</f>
        <v>3812.64</v>
      </c>
      <c r="M69" s="220"/>
      <c r="N69" s="220"/>
      <c r="O69" s="220"/>
      <c r="P69" s="220"/>
      <c r="Q69" s="220"/>
      <c r="R69" s="220"/>
      <c r="S69" s="220"/>
      <c r="T69" s="220"/>
      <c r="U69" s="220"/>
      <c r="V69" s="220"/>
      <c r="W69" s="220"/>
    </row>
    <row r="70" ht="15.75" customHeight="1" outlineLevel="1">
      <c r="A70" s="211"/>
      <c r="B70" s="212" t="s">
        <v>4</v>
      </c>
      <c r="C70" s="213" t="s">
        <v>1187</v>
      </c>
      <c r="D70" s="214" t="str">
        <f>IFERROR(VLOOKUP($C70,'PORTIFÓLIO'!C:V,2,0),"")</f>
        <v/>
      </c>
      <c r="E70" s="211" t="str">
        <f>IFERROR(VLOOKUP($C70,'PORTIFÓLIO'!C:V,3,0),"")</f>
        <v/>
      </c>
      <c r="F70" s="211" t="str">
        <f>IFERROR(VLOOKUP($C70,'PORTIFÓLIO'!C:V,4,0),"")</f>
        <v/>
      </c>
      <c r="G70" s="215" t="str">
        <f>IFERROR(VLOOKUP($C70,'PORTIFÓLIO'!C:V,5,0),"")</f>
        <v/>
      </c>
      <c r="H70" s="254" t="str">
        <f t="array" ref="H70">IFERROR(INDEX('PORTIFÓLIO'!$H$4:$H$433,MATCH($C70,'PORTIFÓLIO'!$C$4:$C$433,0)),"")</f>
        <v/>
      </c>
      <c r="I70" s="255">
        <v>1.0</v>
      </c>
      <c r="J70" s="218">
        <f t="shared" si="8"/>
        <v>47</v>
      </c>
      <c r="K70" s="219" t="str">
        <f t="array" ref="K70">IFERROR(I70*INDEX('PORTIFÓLIO'!$S$4:$S$433,MATCH($C70,'PORTIFÓLIO'!$C$4:$C$433,0)),"")</f>
        <v/>
      </c>
      <c r="L70" s="219" t="str">
        <f t="array" ref="L70">IFERROR(J70*INDEX('PORTIFÓLIO'!$S$4:$S$433,MATCH($C70,'PORTIFÓLIO'!$C$4:$C$433,0)),"")</f>
        <v/>
      </c>
      <c r="M70" s="220"/>
      <c r="N70" s="220"/>
      <c r="O70" s="220"/>
      <c r="P70" s="220"/>
      <c r="Q70" s="220"/>
      <c r="R70" s="220"/>
      <c r="S70" s="220"/>
      <c r="T70" s="220"/>
      <c r="U70" s="220"/>
      <c r="V70" s="220"/>
      <c r="W70" s="220"/>
    </row>
    <row r="71" ht="15.75" customHeight="1" outlineLevel="1">
      <c r="A71" s="211"/>
      <c r="B71" s="212" t="s">
        <v>9</v>
      </c>
      <c r="C71" s="213" t="s">
        <v>1115</v>
      </c>
      <c r="D71" s="214" t="str">
        <f>IFERROR(VLOOKUP($C71,'PORTIFÓLIO'!C:V,2,0),"")</f>
        <v>Nutrifarm</v>
      </c>
      <c r="E71" s="211" t="str">
        <f>IFERROR(VLOOKUP($C71,'PORTIFÓLIO'!C:V,3,0),"")</f>
        <v/>
      </c>
      <c r="F71" s="211" t="str">
        <f>IFERROR(VLOOKUP($C71,'PORTIFÓLIO'!C:V,4,0),"")</f>
        <v>L</v>
      </c>
      <c r="G71" s="225" t="str">
        <f>IFERROR(VLOOKUP($C71,'PORTIFÓLIO'!C:V,5,0),"")</f>
        <v>📄 Ver bula</v>
      </c>
      <c r="H71" s="254">
        <f t="array" ref="H71">IFERROR(INDEX('PORTIFÓLIO'!$H$4:$H$433,MATCH($C71,'PORTIFÓLIO'!$C$4:$C$433,0)),"")</f>
        <v>0.2</v>
      </c>
      <c r="I71" s="255">
        <v>0.1</v>
      </c>
      <c r="J71" s="218">
        <f t="shared" si="8"/>
        <v>4.7</v>
      </c>
      <c r="K71" s="219">
        <f t="array" ref="K71">IFERROR(I71*INDEX('PORTIFÓLIO'!$S$4:$S$433,MATCH($C71,'PORTIFÓLIO'!$C$4:$C$433,0)),"")</f>
        <v>18.2</v>
      </c>
      <c r="L71" s="219">
        <f t="array" ref="L71">IFERROR(J71*INDEX('PORTIFÓLIO'!$S$4:$S$433,MATCH($C71,'PORTIFÓLIO'!$C$4:$C$433,0)),"")</f>
        <v>855.4</v>
      </c>
      <c r="M71" s="220"/>
      <c r="N71" s="220"/>
      <c r="O71" s="220"/>
      <c r="P71" s="220"/>
      <c r="Q71" s="220"/>
      <c r="R71" s="220"/>
      <c r="S71" s="220"/>
      <c r="T71" s="220"/>
      <c r="U71" s="220"/>
      <c r="V71" s="220"/>
      <c r="W71" s="220"/>
    </row>
    <row r="72" ht="15.75" customHeight="1" outlineLevel="1">
      <c r="A72" s="211"/>
      <c r="B72" s="212"/>
      <c r="C72" s="213"/>
      <c r="D72" s="214" t="str">
        <f>IFERROR(VLOOKUP($C72,'PORTIFÓLIO'!C:V,2,0),"")</f>
        <v/>
      </c>
      <c r="E72" s="211" t="str">
        <f>IFERROR(VLOOKUP($C72,'PORTIFÓLIO'!C:V,3,0),"")</f>
        <v/>
      </c>
      <c r="F72" s="211" t="str">
        <f>IFERROR(VLOOKUP($C72,'PORTIFÓLIO'!C:V,4,0),"")</f>
        <v/>
      </c>
      <c r="G72" s="215" t="str">
        <f>IFERROR(VLOOKUP($C72,'PORTIFÓLIO'!C:V,5,0),"")</f>
        <v/>
      </c>
      <c r="H72" s="254" t="str">
        <f t="array" ref="H72">IFERROR(INDEX('PORTIFÓLIO'!$H$4:$H$433,MATCH($C72,'PORTIFÓLIO'!$C$4:$C$433,0)),"")</f>
        <v/>
      </c>
      <c r="I72" s="255"/>
      <c r="J72" s="218">
        <f t="shared" si="8"/>
        <v>0</v>
      </c>
      <c r="K72" s="219" t="str">
        <f t="array" ref="K72">IFERROR(I72*INDEX('PORTIFÓLIO'!$S$4:$S$433,MATCH($C72,'PORTIFÓLIO'!$C$4:$C$433,0)),"")</f>
        <v/>
      </c>
      <c r="L72" s="219" t="str">
        <f t="array" ref="L72">IFERROR(J72*INDEX('PORTIFÓLIO'!$S$4:$S$433,MATCH($C72,'PORTIFÓLIO'!$C$4:$C$433,0)),"")</f>
        <v/>
      </c>
      <c r="M72" s="220"/>
      <c r="N72" s="220"/>
      <c r="O72" s="220"/>
      <c r="P72" s="220"/>
      <c r="Q72" s="220"/>
      <c r="R72" s="220"/>
      <c r="S72" s="220"/>
      <c r="T72" s="220"/>
      <c r="U72" s="220"/>
      <c r="V72" s="220"/>
      <c r="W72" s="220"/>
    </row>
    <row r="73" ht="15.75" customHeight="1" outlineLevel="1">
      <c r="A73" s="211"/>
      <c r="B73" s="212"/>
      <c r="C73" s="213"/>
      <c r="D73" s="214" t="str">
        <f>IFERROR(VLOOKUP($C73,'PORTIFÓLIO'!C:V,2,0),"")</f>
        <v/>
      </c>
      <c r="E73" s="211" t="str">
        <f>IFERROR(VLOOKUP($C73,'PORTIFÓLIO'!C:V,3,0),"")</f>
        <v/>
      </c>
      <c r="F73" s="211" t="str">
        <f>IFERROR(VLOOKUP($C73,'PORTIFÓLIO'!C:V,4,0),"")</f>
        <v/>
      </c>
      <c r="G73" s="215" t="str">
        <f>IFERROR(VLOOKUP($C73,'PORTIFÓLIO'!C:V,5,0),"")</f>
        <v/>
      </c>
      <c r="H73" s="254" t="str">
        <f t="array" ref="H73">IFERROR(INDEX('PORTIFÓLIO'!$H$4:$H$433,MATCH($C73,'PORTIFÓLIO'!$C$4:$C$433,0)),"")</f>
        <v/>
      </c>
      <c r="I73" s="256"/>
      <c r="J73" s="218">
        <f t="shared" si="8"/>
        <v>0</v>
      </c>
      <c r="K73" s="219" t="str">
        <f t="array" ref="K73">IFERROR(I73*INDEX('PORTIFÓLIO'!$S$4:$S$433,MATCH($C73,'PORTIFÓLIO'!$C$4:$C$433,0)),"")</f>
        <v/>
      </c>
      <c r="L73" s="219" t="str">
        <f t="array" ref="L73">IFERROR(J73*INDEX('PORTIFÓLIO'!$S$4:$S$433,MATCH($C73,'PORTIFÓLIO'!$C$4:$C$433,0)),"")</f>
        <v/>
      </c>
      <c r="M73" s="220"/>
      <c r="N73" s="220"/>
      <c r="O73" s="220"/>
      <c r="P73" s="220"/>
      <c r="Q73" s="220"/>
      <c r="R73" s="220"/>
      <c r="S73" s="220"/>
      <c r="T73" s="220"/>
      <c r="U73" s="220"/>
      <c r="V73" s="220"/>
      <c r="W73" s="220"/>
    </row>
    <row r="74" ht="15.75" customHeight="1" outlineLevel="1">
      <c r="A74" s="211"/>
      <c r="B74" s="212"/>
      <c r="C74" s="213"/>
      <c r="D74" s="214" t="str">
        <f>IFERROR(VLOOKUP($C74,'PORTIFÓLIO'!C:V,2,0),"")</f>
        <v/>
      </c>
      <c r="E74" s="211" t="str">
        <f>IFERROR(VLOOKUP($C74,'PORTIFÓLIO'!C:V,3,0),"")</f>
        <v/>
      </c>
      <c r="F74" s="211" t="str">
        <f>IFERROR(VLOOKUP($C74,'PORTIFÓLIO'!C:V,4,0),"")</f>
        <v/>
      </c>
      <c r="G74" s="215" t="str">
        <f>IFERROR(VLOOKUP($C74,'PORTIFÓLIO'!C:V,5,0),"")</f>
        <v/>
      </c>
      <c r="H74" s="254" t="str">
        <f t="array" ref="H74">IFERROR(INDEX('PORTIFÓLIO'!$H$4:$H$433,MATCH($C74,'PORTIFÓLIO'!$C$4:$C$433,0)),"")</f>
        <v/>
      </c>
      <c r="I74" s="256"/>
      <c r="J74" s="218">
        <f t="shared" si="8"/>
        <v>0</v>
      </c>
      <c r="K74" s="219" t="str">
        <f t="array" ref="K74">IFERROR(I74*INDEX('PORTIFÓLIO'!$S$4:$S$433,MATCH($C74,'PORTIFÓLIO'!$C$4:$C$433,0)),"")</f>
        <v/>
      </c>
      <c r="L74" s="219" t="str">
        <f t="array" ref="L74">IFERROR(J74*INDEX('PORTIFÓLIO'!$S$4:$S$433,MATCH($C74,'PORTIFÓLIO'!$C$4:$C$433,0)),"")</f>
        <v/>
      </c>
      <c r="M74" s="220"/>
      <c r="N74" s="220"/>
      <c r="O74" s="220"/>
      <c r="P74" s="220"/>
      <c r="Q74" s="220"/>
      <c r="R74" s="220"/>
      <c r="S74" s="220"/>
      <c r="T74" s="220"/>
      <c r="U74" s="220"/>
      <c r="V74" s="220"/>
      <c r="W74" s="220"/>
    </row>
    <row r="75" ht="15.75" customHeight="1" outlineLevel="1">
      <c r="A75" s="211"/>
      <c r="B75" s="212"/>
      <c r="C75" s="213"/>
      <c r="D75" s="214" t="str">
        <f>IFERROR(VLOOKUP($C75,'PORTIFÓLIO'!C:V,2,0),"")</f>
        <v/>
      </c>
      <c r="E75" s="211" t="str">
        <f>IFERROR(VLOOKUP($C75,'PORTIFÓLIO'!C:V,3,0),"")</f>
        <v/>
      </c>
      <c r="F75" s="211" t="str">
        <f>IFERROR(VLOOKUP($C75,'PORTIFÓLIO'!C:V,4,0),"")</f>
        <v/>
      </c>
      <c r="G75" s="215" t="str">
        <f>IFERROR(VLOOKUP($C75,'PORTIFÓLIO'!C:V,5,0),"")</f>
        <v/>
      </c>
      <c r="H75" s="254" t="str">
        <f t="array" ref="H75">IFERROR(INDEX('PORTIFÓLIO'!$H$4:$H$433,MATCH($C75,'PORTIFÓLIO'!$C$4:$C$433,0)),"")</f>
        <v/>
      </c>
      <c r="I75" s="256"/>
      <c r="J75" s="218">
        <f t="shared" si="8"/>
        <v>0</v>
      </c>
      <c r="K75" s="219" t="str">
        <f t="array" ref="K75">IFERROR(I75*INDEX('PORTIFÓLIO'!$S$4:$S$433,MATCH($C75,'PORTIFÓLIO'!$C$4:$C$433,0)),"")</f>
        <v/>
      </c>
      <c r="L75" s="219" t="str">
        <f t="array" ref="L75">IFERROR(J75*INDEX('PORTIFÓLIO'!$S$4:$S$433,MATCH($C75,'PORTIFÓLIO'!$C$4:$C$433,0)),"")</f>
        <v/>
      </c>
      <c r="M75" s="220"/>
      <c r="N75" s="220"/>
      <c r="O75" s="220"/>
      <c r="P75" s="220"/>
      <c r="Q75" s="220"/>
      <c r="R75" s="220"/>
      <c r="S75" s="220"/>
      <c r="T75" s="220"/>
      <c r="U75" s="220"/>
      <c r="V75" s="220"/>
      <c r="W75" s="220"/>
    </row>
    <row r="76" ht="15.75" customHeight="1" outlineLevel="1">
      <c r="A76" s="211"/>
      <c r="B76" s="212"/>
      <c r="C76" s="213"/>
      <c r="D76" s="214" t="str">
        <f>IFERROR(VLOOKUP($C76,'PORTIFÓLIO'!C:V,2,0),"")</f>
        <v/>
      </c>
      <c r="E76" s="211" t="str">
        <f>IFERROR(VLOOKUP($C76,'PORTIFÓLIO'!C:V,3,0),"")</f>
        <v/>
      </c>
      <c r="F76" s="211" t="str">
        <f>IFERROR(VLOOKUP($C76,'PORTIFÓLIO'!C:V,4,0),"")</f>
        <v/>
      </c>
      <c r="G76" s="215" t="str">
        <f>IFERROR(VLOOKUP($C76,'PORTIFÓLIO'!C:V,5,0),"")</f>
        <v/>
      </c>
      <c r="H76" s="254" t="str">
        <f t="array" ref="H76">IFERROR(INDEX('PORTIFÓLIO'!$H$4:$H$433,MATCH($C76,'PORTIFÓLIO'!$C$4:$C$433,0)),"")</f>
        <v/>
      </c>
      <c r="I76" s="256"/>
      <c r="J76" s="218">
        <f t="shared" si="8"/>
        <v>0</v>
      </c>
      <c r="K76" s="219" t="str">
        <f t="array" ref="K76">IFERROR(I76*INDEX('PORTIFÓLIO'!$S$4:$S$433,MATCH($C76,'PORTIFÓLIO'!$C$4:$C$433,0)),"")</f>
        <v/>
      </c>
      <c r="L76" s="219" t="str">
        <f t="array" ref="L76">IFERROR(J76*INDEX('PORTIFÓLIO'!$S$4:$S$433,MATCH($C76,'PORTIFÓLIO'!$C$4:$C$433,0)),"")</f>
        <v/>
      </c>
      <c r="M76" s="220"/>
      <c r="N76" s="220"/>
      <c r="O76" s="220"/>
      <c r="P76" s="220"/>
      <c r="Q76" s="220"/>
      <c r="R76" s="220"/>
      <c r="S76" s="220"/>
      <c r="T76" s="220"/>
      <c r="U76" s="220"/>
      <c r="V76" s="220"/>
      <c r="W76" s="220"/>
    </row>
    <row r="77" ht="15.75" customHeight="1" outlineLevel="1">
      <c r="A77" s="211"/>
      <c r="B77" s="212"/>
      <c r="C77" s="213"/>
      <c r="D77" s="214" t="str">
        <f>IFERROR(VLOOKUP($C77,'PORTIFÓLIO'!C:V,2,0),"")</f>
        <v/>
      </c>
      <c r="E77" s="211" t="str">
        <f>IFERROR(VLOOKUP($C77,'PORTIFÓLIO'!C:V,3,0),"")</f>
        <v/>
      </c>
      <c r="F77" s="211" t="str">
        <f>IFERROR(VLOOKUP($C77,'PORTIFÓLIO'!C:V,4,0),"")</f>
        <v/>
      </c>
      <c r="G77" s="215" t="str">
        <f>IFERROR(VLOOKUP($C77,'PORTIFÓLIO'!C:V,5,0),"")</f>
        <v/>
      </c>
      <c r="H77" s="254" t="str">
        <f t="array" ref="H77">IFERROR(INDEX('PORTIFÓLIO'!$H$4:$H$433,MATCH($C77,'PORTIFÓLIO'!$C$4:$C$433,0)),"")</f>
        <v/>
      </c>
      <c r="I77" s="256"/>
      <c r="J77" s="218">
        <f t="shared" si="8"/>
        <v>0</v>
      </c>
      <c r="K77" s="219" t="str">
        <f t="array" ref="K77">IFERROR(I77*INDEX('PORTIFÓLIO'!$S$4:$S$433,MATCH($C77,'PORTIFÓLIO'!$C$4:$C$433,0)),"")</f>
        <v/>
      </c>
      <c r="L77" s="219" t="str">
        <f t="array" ref="L77">IFERROR(J77*INDEX('PORTIFÓLIO'!$S$4:$S$433,MATCH($C77,'PORTIFÓLIO'!$C$4:$C$433,0)),"")</f>
        <v/>
      </c>
      <c r="M77" s="220"/>
      <c r="N77" s="220"/>
      <c r="O77" s="220"/>
      <c r="P77" s="220"/>
      <c r="Q77" s="220"/>
      <c r="R77" s="220"/>
      <c r="S77" s="220"/>
      <c r="T77" s="220"/>
      <c r="U77" s="220"/>
      <c r="V77" s="220"/>
      <c r="W77" s="220"/>
    </row>
    <row r="78" ht="15.75" customHeight="1" outlineLevel="1">
      <c r="A78" s="211"/>
      <c r="B78" s="212"/>
      <c r="C78" s="213"/>
      <c r="D78" s="214" t="str">
        <f>IFERROR(VLOOKUP($C78,'PORTIFÓLIO'!C:V,2,0),"")</f>
        <v/>
      </c>
      <c r="E78" s="211" t="str">
        <f>IFERROR(VLOOKUP($C78,'PORTIFÓLIO'!C:V,3,0),"")</f>
        <v/>
      </c>
      <c r="F78" s="211" t="str">
        <f>IFERROR(VLOOKUP($C78,'PORTIFÓLIO'!C:V,4,0),"")</f>
        <v/>
      </c>
      <c r="G78" s="215" t="str">
        <f>IFERROR(VLOOKUP($C78,'PORTIFÓLIO'!C:V,5,0),"")</f>
        <v/>
      </c>
      <c r="H78" s="254" t="str">
        <f t="array" ref="H78">IFERROR(INDEX('PORTIFÓLIO'!$H$4:$H$433,MATCH($C78,'PORTIFÓLIO'!$C$4:$C$433,0)),"")</f>
        <v/>
      </c>
      <c r="I78" s="256"/>
      <c r="J78" s="218">
        <f t="shared" si="8"/>
        <v>0</v>
      </c>
      <c r="K78" s="219" t="str">
        <f t="array" ref="K78">IFERROR(I78*INDEX('PORTIFÓLIO'!$S$4:$S$433,MATCH($C78,'PORTIFÓLIO'!$C$4:$C$433,0)),"")</f>
        <v/>
      </c>
      <c r="L78" s="219" t="str">
        <f t="array" ref="L78">IFERROR(J78*INDEX('PORTIFÓLIO'!$S$4:$S$433,MATCH($C78,'PORTIFÓLIO'!$C$4:$C$433,0)),"")</f>
        <v/>
      </c>
      <c r="M78" s="220"/>
      <c r="N78" s="220"/>
      <c r="O78" s="220"/>
      <c r="P78" s="220"/>
      <c r="Q78" s="220"/>
      <c r="R78" s="220"/>
      <c r="S78" s="220"/>
      <c r="T78" s="220"/>
      <c r="U78" s="220"/>
      <c r="V78" s="220"/>
      <c r="W78" s="220"/>
    </row>
    <row r="79" ht="15.75" customHeight="1" outlineLevel="1">
      <c r="A79" s="211"/>
      <c r="B79" s="212"/>
      <c r="C79" s="213"/>
      <c r="D79" s="214" t="str">
        <f>IFERROR(VLOOKUP($C79,'PORTIFÓLIO'!C:V,2,0),"")</f>
        <v/>
      </c>
      <c r="E79" s="211" t="str">
        <f>IFERROR(VLOOKUP($C79,'PORTIFÓLIO'!C:V,3,0),"")</f>
        <v/>
      </c>
      <c r="F79" s="211" t="str">
        <f>IFERROR(VLOOKUP($C79,'PORTIFÓLIO'!C:V,4,0),"")</f>
        <v/>
      </c>
      <c r="G79" s="215" t="str">
        <f>IFERROR(VLOOKUP($C79,'PORTIFÓLIO'!C:V,5,0),"")</f>
        <v/>
      </c>
      <c r="H79" s="254" t="str">
        <f t="array" ref="H79">IFERROR(INDEX('PORTIFÓLIO'!$H$4:$H$433,MATCH($C79,'PORTIFÓLIO'!$C$4:$C$433,0)),"")</f>
        <v/>
      </c>
      <c r="I79" s="256"/>
      <c r="J79" s="218">
        <f t="shared" si="8"/>
        <v>0</v>
      </c>
      <c r="K79" s="219" t="str">
        <f t="array" ref="K79">IFERROR(I79*INDEX('PORTIFÓLIO'!$S$4:$S$433,MATCH($C79,'PORTIFÓLIO'!$C$4:$C$433,0)),"")</f>
        <v/>
      </c>
      <c r="L79" s="219" t="str">
        <f t="array" ref="L79">IFERROR(J79*INDEX('PORTIFÓLIO'!$S$4:$S$433,MATCH($C79,'PORTIFÓLIO'!$C$4:$C$433,0)),"")</f>
        <v/>
      </c>
      <c r="M79" s="220"/>
      <c r="N79" s="220"/>
      <c r="O79" s="220"/>
      <c r="P79" s="220"/>
      <c r="Q79" s="220"/>
      <c r="R79" s="220"/>
      <c r="S79" s="220"/>
      <c r="T79" s="220"/>
      <c r="U79" s="220"/>
      <c r="V79" s="220"/>
      <c r="W79" s="220"/>
    </row>
    <row r="80" ht="15.75" customHeight="1" outlineLevel="1">
      <c r="A80" s="211"/>
      <c r="B80" s="212"/>
      <c r="C80" s="213"/>
      <c r="D80" s="214" t="str">
        <f>IFERROR(VLOOKUP($C80,'PORTIFÓLIO'!C:V,2,0),"")</f>
        <v/>
      </c>
      <c r="E80" s="211" t="str">
        <f>IFERROR(VLOOKUP($C80,'PORTIFÓLIO'!C:V,3,0),"")</f>
        <v/>
      </c>
      <c r="F80" s="211" t="str">
        <f>IFERROR(VLOOKUP($C80,'PORTIFÓLIO'!C:V,4,0),"")</f>
        <v/>
      </c>
      <c r="G80" s="215" t="str">
        <f>IFERROR(VLOOKUP($C80,'PORTIFÓLIO'!C:V,5,0),"")</f>
        <v/>
      </c>
      <c r="H80" s="254" t="str">
        <f t="array" ref="H80">IFERROR(INDEX('PORTIFÓLIO'!$H$4:$H$433,MATCH($C80,'PORTIFÓLIO'!$C$4:$C$433,0)),"")</f>
        <v/>
      </c>
      <c r="I80" s="256"/>
      <c r="J80" s="218">
        <f t="shared" si="8"/>
        <v>0</v>
      </c>
      <c r="K80" s="219" t="str">
        <f t="array" ref="K80">IFERROR(I80*INDEX('PORTIFÓLIO'!$S$4:$S$433,MATCH($C80,'PORTIFÓLIO'!$C$4:$C$433,0)),"")</f>
        <v/>
      </c>
      <c r="L80" s="219" t="str">
        <f t="array" ref="L80">IFERROR(J80*INDEX('PORTIFÓLIO'!$S$4:$S$433,MATCH($C80,'PORTIFÓLIO'!$C$4:$C$433,0)),"")</f>
        <v/>
      </c>
      <c r="M80" s="220"/>
      <c r="N80" s="220"/>
      <c r="O80" s="220"/>
      <c r="P80" s="220"/>
      <c r="Q80" s="220"/>
      <c r="R80" s="220"/>
      <c r="S80" s="220"/>
      <c r="T80" s="220"/>
      <c r="U80" s="220"/>
      <c r="V80" s="220"/>
      <c r="W80" s="220"/>
    </row>
    <row r="81" ht="15.75" customHeight="1">
      <c r="A81" s="229" t="s">
        <v>1188</v>
      </c>
      <c r="B81" s="230"/>
      <c r="C81" s="231"/>
      <c r="D81" s="232" t="s">
        <v>216</v>
      </c>
      <c r="E81" s="231"/>
      <c r="F81" s="231"/>
      <c r="G81" s="233"/>
      <c r="H81" s="233"/>
      <c r="I81" s="258"/>
      <c r="J81" s="236"/>
      <c r="K81" s="237">
        <f t="shared" ref="K81:L81" si="9">SUBTOTAL(9,K82:K95)</f>
        <v>73.68156</v>
      </c>
      <c r="L81" s="237">
        <f t="shared" si="9"/>
        <v>3463.03332</v>
      </c>
      <c r="M81" s="220"/>
      <c r="N81" s="220"/>
      <c r="O81" s="220"/>
      <c r="P81" s="220"/>
      <c r="Q81" s="220"/>
      <c r="R81" s="220"/>
      <c r="S81" s="220"/>
      <c r="T81" s="220"/>
      <c r="U81" s="220"/>
      <c r="V81" s="220"/>
      <c r="W81" s="220"/>
    </row>
    <row r="82" ht="15.75" customHeight="1" outlineLevel="1">
      <c r="A82" s="213"/>
      <c r="B82" s="212" t="s">
        <v>1</v>
      </c>
      <c r="C82" s="213" t="s">
        <v>637</v>
      </c>
      <c r="D82" s="214" t="str">
        <f>IFERROR(VLOOKUP($C82,'PORTIFÓLIO'!C:V,2,0),"")</f>
        <v>GLIFOSATO-SAL DE AMÔNIO</v>
      </c>
      <c r="E82" s="211">
        <f>IFERROR(VLOOKUP($C82,'PORTIFÓLIO'!C:V,3,0),"")</f>
        <v>720</v>
      </c>
      <c r="F82" s="211" t="str">
        <f>IFERROR(VLOOKUP($C82,'PORTIFÓLIO'!C:V,4,0),"")</f>
        <v>L</v>
      </c>
      <c r="G82" s="225" t="str">
        <f>IFERROR(VLOOKUP($C82,'PORTIFÓLIO'!C:V,5,0),"")</f>
        <v>📄 Ver bula</v>
      </c>
      <c r="H82" s="254">
        <f t="array" ref="H82">IFERROR(INDEX('PORTIFÓLIO'!$H$4:$H$433,MATCH($C82,'PORTIFÓLIO'!$C$4:$C$433,0)),"")</f>
        <v>2</v>
      </c>
      <c r="I82" s="255">
        <v>2.0</v>
      </c>
      <c r="J82" s="218">
        <f t="shared" ref="J82:J96" si="10">I82*$B$2</f>
        <v>94</v>
      </c>
      <c r="K82" s="219">
        <f t="array" ref="K82">IFERROR(I82*INDEX('PORTIFÓLIO'!$S$4:$S$433,MATCH($C82,'PORTIFÓLIO'!$C$4:$C$433,0)),"")</f>
        <v>49.16</v>
      </c>
      <c r="L82" s="219">
        <f t="array" ref="L82">IFERROR(J82*INDEX('PORTIFÓLIO'!$S$4:$S$433,MATCH($C82,'PORTIFÓLIO'!$C$4:$C$433,0)),"")</f>
        <v>2310.52</v>
      </c>
      <c r="M82" s="220"/>
      <c r="N82" s="220"/>
      <c r="O82" s="220"/>
      <c r="P82" s="220"/>
      <c r="Q82" s="220"/>
      <c r="R82" s="220"/>
      <c r="S82" s="220"/>
      <c r="T82" s="220"/>
      <c r="U82" s="220"/>
      <c r="V82" s="220"/>
      <c r="W82" s="220"/>
    </row>
    <row r="83" ht="15.75" customHeight="1" outlineLevel="1">
      <c r="A83" s="211"/>
      <c r="B83" s="212" t="s">
        <v>1</v>
      </c>
      <c r="C83" s="213" t="s">
        <v>682</v>
      </c>
      <c r="D83" s="214" t="str">
        <f>IFERROR(VLOOKUP($C83,'PORTIFÓLIO'!C:V,2,0),"")</f>
        <v>CLETODIM</v>
      </c>
      <c r="E83" s="211">
        <f>IFERROR(VLOOKUP($C83,'PORTIFÓLIO'!C:V,3,0),"")</f>
        <v>240</v>
      </c>
      <c r="F83" s="211" t="str">
        <f>IFERROR(VLOOKUP($C83,'PORTIFÓLIO'!C:V,4,0),"")</f>
        <v>L</v>
      </c>
      <c r="G83" s="225" t="str">
        <f>IFERROR(VLOOKUP($C83,'PORTIFÓLIO'!C:V,5,0),"")</f>
        <v>📄 Ver bula</v>
      </c>
      <c r="H83" s="254">
        <f t="array" ref="H83">IFERROR(INDEX('PORTIFÓLIO'!$H$4:$H$433,MATCH($C83,'PORTIFÓLIO'!$C$4:$C$433,0)),"")</f>
        <v>0.4</v>
      </c>
      <c r="I83" s="255">
        <v>0.4</v>
      </c>
      <c r="J83" s="218">
        <f t="shared" si="10"/>
        <v>18.8</v>
      </c>
      <c r="K83" s="219">
        <f t="array" ref="K83">IFERROR(I83*INDEX('PORTIFÓLIO'!$S$4:$S$433,MATCH($C83,'PORTIFÓLIO'!$C$4:$C$433,0)),"")</f>
        <v>12.33916</v>
      </c>
      <c r="L83" s="219">
        <f t="array" ref="L83">IFERROR(J83*INDEX('PORTIFÓLIO'!$S$4:$S$433,MATCH($C83,'PORTIFÓLIO'!$C$4:$C$433,0)),"")</f>
        <v>579.94052</v>
      </c>
      <c r="M83" s="220"/>
      <c r="N83" s="220"/>
      <c r="O83" s="220"/>
      <c r="P83" s="220"/>
      <c r="Q83" s="220"/>
      <c r="R83" s="220"/>
      <c r="S83" s="220"/>
      <c r="T83" s="220"/>
      <c r="U83" s="220"/>
      <c r="V83" s="220"/>
      <c r="W83" s="220"/>
    </row>
    <row r="84" ht="15.75" customHeight="1" outlineLevel="1">
      <c r="A84" s="211"/>
      <c r="B84" s="212" t="s">
        <v>0</v>
      </c>
      <c r="C84" s="213" t="s">
        <v>505</v>
      </c>
      <c r="D84" s="214" t="str">
        <f>IFERROR(VLOOKUP($C84,'PORTIFÓLIO'!C:V,2,0),"")</f>
        <v>TEBUCONAZOL</v>
      </c>
      <c r="E84" s="211">
        <f>IFERROR(VLOOKUP($C84,'PORTIFÓLIO'!C:V,3,0),"")</f>
        <v>430</v>
      </c>
      <c r="F84" s="211" t="str">
        <f>IFERROR(VLOOKUP($C84,'PORTIFÓLIO'!C:V,4,0),"")</f>
        <v>L</v>
      </c>
      <c r="G84" s="225" t="str">
        <f>IFERROR(VLOOKUP($C84,'PORTIFÓLIO'!C:V,5,0),"")</f>
        <v>📄 Ver bula</v>
      </c>
      <c r="H84" s="254">
        <f t="array" ref="H84">IFERROR(INDEX('PORTIFÓLIO'!$H$4:$H$433,MATCH($C84,'PORTIFÓLIO'!$C$4:$C$433,0)),"")</f>
        <v>0.4</v>
      </c>
      <c r="I84" s="255">
        <v>0.4</v>
      </c>
      <c r="J84" s="218">
        <f t="shared" si="10"/>
        <v>18.8</v>
      </c>
      <c r="K84" s="219">
        <f t="array" ref="K84">IFERROR(I84*INDEX('PORTIFÓLIO'!$S$4:$S$433,MATCH($C84,'PORTIFÓLIO'!$C$4:$C$433,0)),"")</f>
        <v>12.1824</v>
      </c>
      <c r="L84" s="219">
        <f t="array" ref="L84">IFERROR(J84*INDEX('PORTIFÓLIO'!$S$4:$S$433,MATCH($C84,'PORTIFÓLIO'!$C$4:$C$433,0)),"")</f>
        <v>572.5728</v>
      </c>
      <c r="M84" s="220"/>
      <c r="N84" s="220"/>
      <c r="O84" s="220"/>
      <c r="P84" s="220"/>
      <c r="Q84" s="220"/>
      <c r="R84" s="220"/>
      <c r="S84" s="220"/>
      <c r="T84" s="220"/>
      <c r="U84" s="220"/>
      <c r="V84" s="220"/>
      <c r="W84" s="220"/>
    </row>
    <row r="85" ht="15.75" customHeight="1" outlineLevel="1">
      <c r="A85" s="211"/>
      <c r="B85" s="212" t="s">
        <v>6</v>
      </c>
      <c r="C85" s="213"/>
      <c r="D85" s="214" t="str">
        <f>IFERROR(VLOOKUP($C85,'PORTIFÓLIO'!C:V,2,0),"")</f>
        <v/>
      </c>
      <c r="E85" s="211" t="str">
        <f>IFERROR(VLOOKUP($C85,'PORTIFÓLIO'!C:V,3,0),"")</f>
        <v/>
      </c>
      <c r="F85" s="211" t="str">
        <f>IFERROR(VLOOKUP($C85,'PORTIFÓLIO'!C:V,4,0),"")</f>
        <v/>
      </c>
      <c r="G85" s="215" t="str">
        <f>IFERROR(VLOOKUP($C85,'PORTIFÓLIO'!C:V,5,0),"")</f>
        <v/>
      </c>
      <c r="H85" s="254" t="str">
        <f t="array" ref="H85">IFERROR(INDEX('PORTIFÓLIO'!$H$4:$H$433,MATCH($C85,'PORTIFÓLIO'!$C$4:$C$433,0)),"")</f>
        <v/>
      </c>
      <c r="I85" s="255">
        <v>0.2</v>
      </c>
      <c r="J85" s="218">
        <f t="shared" si="10"/>
        <v>9.4</v>
      </c>
      <c r="K85" s="219" t="str">
        <f t="array" ref="K85">IFERROR(I85*INDEX('PORTIFÓLIO'!$S$4:$S$433,MATCH($C85,'PORTIFÓLIO'!$C$4:$C$433,0)),"")</f>
        <v/>
      </c>
      <c r="L85" s="219" t="str">
        <f t="array" ref="L85">IFERROR(J85*INDEX('PORTIFÓLIO'!$S$4:$S$433,MATCH($C85,'PORTIFÓLIO'!$C$4:$C$433,0)),"")</f>
        <v/>
      </c>
      <c r="M85" s="220"/>
      <c r="N85" s="220"/>
      <c r="O85" s="220"/>
      <c r="P85" s="220"/>
      <c r="Q85" s="220"/>
      <c r="R85" s="220"/>
      <c r="S85" s="220"/>
      <c r="T85" s="220"/>
      <c r="U85" s="220"/>
      <c r="V85" s="220"/>
      <c r="W85" s="220"/>
    </row>
    <row r="86" ht="15.75" customHeight="1" outlineLevel="1">
      <c r="A86" s="211"/>
      <c r="B86" s="212"/>
      <c r="C86" s="213"/>
      <c r="D86" s="214" t="str">
        <f>IFERROR(VLOOKUP($C86,'PORTIFÓLIO'!C:V,2,0),"")</f>
        <v/>
      </c>
      <c r="E86" s="211" t="str">
        <f>IFERROR(VLOOKUP($C86,'PORTIFÓLIO'!C:V,3,0),"")</f>
        <v/>
      </c>
      <c r="F86" s="211" t="str">
        <f>IFERROR(VLOOKUP($C86,'PORTIFÓLIO'!C:V,4,0),"")</f>
        <v/>
      </c>
      <c r="G86" s="215" t="str">
        <f>IFERROR(VLOOKUP($C86,'PORTIFÓLIO'!C:V,5,0),"")</f>
        <v/>
      </c>
      <c r="H86" s="254" t="str">
        <f t="array" ref="H86">IFERROR(INDEX('PORTIFÓLIO'!$H$4:$H$433,MATCH($C86,'PORTIFÓLIO'!$C$4:$C$433,0)),"")</f>
        <v/>
      </c>
      <c r="I86" s="256"/>
      <c r="J86" s="218">
        <f t="shared" si="10"/>
        <v>0</v>
      </c>
      <c r="K86" s="219" t="str">
        <f t="array" ref="K86">IFERROR(I86*INDEX('PORTIFÓLIO'!$S$4:$S$433,MATCH($C86,'PORTIFÓLIO'!$C$4:$C$433,0)),"")</f>
        <v/>
      </c>
      <c r="L86" s="219" t="str">
        <f t="array" ref="L86">IFERROR(J86*INDEX('PORTIFÓLIO'!$S$4:$S$433,MATCH($C86,'PORTIFÓLIO'!$C$4:$C$433,0)),"")</f>
        <v/>
      </c>
      <c r="M86" s="220"/>
      <c r="N86" s="220"/>
      <c r="O86" s="220"/>
      <c r="P86" s="220"/>
      <c r="Q86" s="220"/>
      <c r="R86" s="220"/>
      <c r="S86" s="220"/>
      <c r="T86" s="220"/>
      <c r="U86" s="220"/>
      <c r="V86" s="220"/>
      <c r="W86" s="220"/>
    </row>
    <row r="87" ht="15.75" customHeight="1" outlineLevel="1">
      <c r="A87" s="211"/>
      <c r="B87" s="212"/>
      <c r="C87" s="213"/>
      <c r="D87" s="214" t="str">
        <f>IFERROR(VLOOKUP($C87,'PORTIFÓLIO'!C:V,2,0),"")</f>
        <v/>
      </c>
      <c r="E87" s="211" t="str">
        <f>IFERROR(VLOOKUP($C87,'PORTIFÓLIO'!C:V,3,0),"")</f>
        <v/>
      </c>
      <c r="F87" s="211" t="str">
        <f>IFERROR(VLOOKUP($C87,'PORTIFÓLIO'!C:V,4,0),"")</f>
        <v/>
      </c>
      <c r="G87" s="215" t="str">
        <f>IFERROR(VLOOKUP($C87,'PORTIFÓLIO'!C:V,5,0),"")</f>
        <v/>
      </c>
      <c r="H87" s="254" t="str">
        <f t="array" ref="H87">IFERROR(INDEX('PORTIFÓLIO'!$H$4:$H$433,MATCH($C87,'PORTIFÓLIO'!$C$4:$C$433,0)),"")</f>
        <v/>
      </c>
      <c r="I87" s="256"/>
      <c r="J87" s="218">
        <f t="shared" si="10"/>
        <v>0</v>
      </c>
      <c r="K87" s="219" t="str">
        <f t="array" ref="K87">IFERROR(I87*INDEX('PORTIFÓLIO'!$S$4:$S$433,MATCH($C87,'PORTIFÓLIO'!$C$4:$C$433,0)),"")</f>
        <v/>
      </c>
      <c r="L87" s="219" t="str">
        <f t="array" ref="L87">IFERROR(J87*INDEX('PORTIFÓLIO'!$S$4:$S$433,MATCH($C87,'PORTIFÓLIO'!$C$4:$C$433,0)),"")</f>
        <v/>
      </c>
      <c r="M87" s="220"/>
      <c r="N87" s="220"/>
      <c r="O87" s="220"/>
      <c r="P87" s="220"/>
      <c r="Q87" s="220"/>
      <c r="R87" s="220"/>
      <c r="S87" s="220"/>
      <c r="T87" s="220"/>
      <c r="U87" s="220"/>
      <c r="V87" s="220"/>
      <c r="W87" s="220"/>
    </row>
    <row r="88" ht="15.75" customHeight="1" outlineLevel="1">
      <c r="A88" s="211"/>
      <c r="B88" s="212"/>
      <c r="C88" s="213"/>
      <c r="D88" s="214" t="str">
        <f>IFERROR(VLOOKUP($C88,'PORTIFÓLIO'!C:V,2,0),"")</f>
        <v/>
      </c>
      <c r="E88" s="211" t="str">
        <f>IFERROR(VLOOKUP($C88,'PORTIFÓLIO'!C:V,3,0),"")</f>
        <v/>
      </c>
      <c r="F88" s="211" t="str">
        <f>IFERROR(VLOOKUP($C88,'PORTIFÓLIO'!C:V,4,0),"")</f>
        <v/>
      </c>
      <c r="G88" s="215" t="str">
        <f>IFERROR(VLOOKUP($C88,'PORTIFÓLIO'!C:V,5,0),"")</f>
        <v/>
      </c>
      <c r="H88" s="254" t="str">
        <f t="array" ref="H88">IFERROR(INDEX('PORTIFÓLIO'!$H$4:$H$433,MATCH($C88,'PORTIFÓLIO'!$C$4:$C$433,0)),"")</f>
        <v/>
      </c>
      <c r="I88" s="256"/>
      <c r="J88" s="218">
        <f t="shared" si="10"/>
        <v>0</v>
      </c>
      <c r="K88" s="219" t="str">
        <f t="array" ref="K88">IFERROR(I88*INDEX('PORTIFÓLIO'!$S$4:$S$433,MATCH($C88,'PORTIFÓLIO'!$C$4:$C$433,0)),"")</f>
        <v/>
      </c>
      <c r="L88" s="219" t="str">
        <f t="array" ref="L88">IFERROR(J88*INDEX('PORTIFÓLIO'!$S$4:$S$433,MATCH($C88,'PORTIFÓLIO'!$C$4:$C$433,0)),"")</f>
        <v/>
      </c>
      <c r="M88" s="220"/>
      <c r="N88" s="220"/>
      <c r="O88" s="220"/>
      <c r="P88" s="220"/>
      <c r="Q88" s="220"/>
      <c r="R88" s="220"/>
      <c r="S88" s="220"/>
      <c r="T88" s="220"/>
      <c r="U88" s="220"/>
      <c r="V88" s="220"/>
      <c r="W88" s="220"/>
    </row>
    <row r="89" ht="15.75" customHeight="1" outlineLevel="1">
      <c r="A89" s="211"/>
      <c r="B89" s="212"/>
      <c r="C89" s="213"/>
      <c r="D89" s="214" t="str">
        <f>IFERROR(VLOOKUP($C89,'PORTIFÓLIO'!C:V,2,0),"")</f>
        <v/>
      </c>
      <c r="E89" s="211" t="str">
        <f>IFERROR(VLOOKUP($C89,'PORTIFÓLIO'!C:V,3,0),"")</f>
        <v/>
      </c>
      <c r="F89" s="211" t="str">
        <f>IFERROR(VLOOKUP($C89,'PORTIFÓLIO'!C:V,4,0),"")</f>
        <v/>
      </c>
      <c r="G89" s="215" t="str">
        <f>IFERROR(VLOOKUP($C89,'PORTIFÓLIO'!C:V,5,0),"")</f>
        <v/>
      </c>
      <c r="H89" s="254" t="str">
        <f t="array" ref="H89">IFERROR(INDEX('PORTIFÓLIO'!$H$4:$H$433,MATCH($C89,'PORTIFÓLIO'!$C$4:$C$433,0)),"")</f>
        <v/>
      </c>
      <c r="I89" s="256"/>
      <c r="J89" s="218">
        <f t="shared" si="10"/>
        <v>0</v>
      </c>
      <c r="K89" s="219" t="str">
        <f t="array" ref="K89">IFERROR(I89*INDEX('PORTIFÓLIO'!$S$4:$S$433,MATCH($C89,'PORTIFÓLIO'!$C$4:$C$433,0)),"")</f>
        <v/>
      </c>
      <c r="L89" s="219" t="str">
        <f t="array" ref="L89">IFERROR(J89*INDEX('PORTIFÓLIO'!$S$4:$S$433,MATCH($C89,'PORTIFÓLIO'!$C$4:$C$433,0)),"")</f>
        <v/>
      </c>
      <c r="M89" s="220"/>
      <c r="N89" s="220"/>
      <c r="O89" s="220"/>
      <c r="P89" s="220"/>
      <c r="Q89" s="220"/>
      <c r="R89" s="220"/>
      <c r="S89" s="220"/>
      <c r="T89" s="220"/>
      <c r="U89" s="220"/>
      <c r="V89" s="220"/>
      <c r="W89" s="220"/>
    </row>
    <row r="90" ht="15.75" customHeight="1" outlineLevel="1">
      <c r="A90" s="211"/>
      <c r="B90" s="212"/>
      <c r="C90" s="213"/>
      <c r="D90" s="214" t="str">
        <f>IFERROR(VLOOKUP($C90,'PORTIFÓLIO'!C:V,2,0),"")</f>
        <v/>
      </c>
      <c r="E90" s="211" t="str">
        <f>IFERROR(VLOOKUP($C90,'PORTIFÓLIO'!C:V,3,0),"")</f>
        <v/>
      </c>
      <c r="F90" s="211" t="str">
        <f>IFERROR(VLOOKUP($C90,'PORTIFÓLIO'!C:V,4,0),"")</f>
        <v/>
      </c>
      <c r="G90" s="215" t="str">
        <f>IFERROR(VLOOKUP($C90,'PORTIFÓLIO'!C:V,5,0),"")</f>
        <v/>
      </c>
      <c r="H90" s="254" t="str">
        <f t="array" ref="H90">IFERROR(INDEX('PORTIFÓLIO'!$H$4:$H$433,MATCH($C90,'PORTIFÓLIO'!$C$4:$C$433,0)),"")</f>
        <v/>
      </c>
      <c r="I90" s="255"/>
      <c r="J90" s="218">
        <f t="shared" si="10"/>
        <v>0</v>
      </c>
      <c r="K90" s="219" t="str">
        <f t="array" ref="K90">IFERROR(I90*INDEX('PORTIFÓLIO'!$S$4:$S$433,MATCH($C90,'PORTIFÓLIO'!$C$4:$C$433,0)),"")</f>
        <v/>
      </c>
      <c r="L90" s="219" t="str">
        <f t="array" ref="L90">IFERROR(J90*INDEX('PORTIFÓLIO'!$S$4:$S$433,MATCH($C90,'PORTIFÓLIO'!$C$4:$C$433,0)),"")</f>
        <v/>
      </c>
      <c r="M90" s="220"/>
      <c r="N90" s="220"/>
      <c r="O90" s="220"/>
      <c r="P90" s="220"/>
      <c r="Q90" s="220"/>
      <c r="R90" s="220"/>
      <c r="S90" s="220"/>
      <c r="T90" s="220"/>
      <c r="U90" s="220"/>
      <c r="V90" s="220"/>
      <c r="W90" s="220"/>
    </row>
    <row r="91" ht="15.75" customHeight="1" outlineLevel="1">
      <c r="A91" s="211"/>
      <c r="B91" s="212"/>
      <c r="C91" s="213"/>
      <c r="D91" s="214" t="str">
        <f>IFERROR(VLOOKUP($C91,'PORTIFÓLIO'!C:V,2,0),"")</f>
        <v/>
      </c>
      <c r="E91" s="211" t="str">
        <f>IFERROR(VLOOKUP($C91,'PORTIFÓLIO'!C:V,3,0),"")</f>
        <v/>
      </c>
      <c r="F91" s="211" t="str">
        <f>IFERROR(VLOOKUP($C91,'PORTIFÓLIO'!C:V,4,0),"")</f>
        <v/>
      </c>
      <c r="G91" s="215" t="str">
        <f>IFERROR(VLOOKUP($C91,'PORTIFÓLIO'!C:V,5,0),"")</f>
        <v/>
      </c>
      <c r="H91" s="254" t="str">
        <f t="array" ref="H91">IFERROR(INDEX('PORTIFÓLIO'!$H$4:$H$433,MATCH($C91,'PORTIFÓLIO'!$C$4:$C$433,0)),"")</f>
        <v/>
      </c>
      <c r="I91" s="256"/>
      <c r="J91" s="218">
        <f t="shared" si="10"/>
        <v>0</v>
      </c>
      <c r="K91" s="219" t="str">
        <f t="array" ref="K91">IFERROR(I91*INDEX('PORTIFÓLIO'!$S$4:$S$433,MATCH($C91,'PORTIFÓLIO'!$C$4:$C$433,0)),"")</f>
        <v/>
      </c>
      <c r="L91" s="219" t="str">
        <f t="array" ref="L91">IFERROR(J91*INDEX('PORTIFÓLIO'!$S$4:$S$433,MATCH($C91,'PORTIFÓLIO'!$C$4:$C$433,0)),"")</f>
        <v/>
      </c>
      <c r="M91" s="220"/>
      <c r="N91" s="220"/>
      <c r="O91" s="220"/>
      <c r="P91" s="220"/>
      <c r="Q91" s="220"/>
      <c r="R91" s="220"/>
      <c r="S91" s="220"/>
      <c r="T91" s="220"/>
      <c r="U91" s="220"/>
      <c r="V91" s="220"/>
      <c r="W91" s="220"/>
    </row>
    <row r="92" ht="15.75" customHeight="1" outlineLevel="1">
      <c r="A92" s="211"/>
      <c r="B92" s="212"/>
      <c r="C92" s="213"/>
      <c r="D92" s="214" t="str">
        <f>IFERROR(VLOOKUP($C92,'PORTIFÓLIO'!C:V,2,0),"")</f>
        <v/>
      </c>
      <c r="E92" s="211" t="str">
        <f>IFERROR(VLOOKUP($C92,'PORTIFÓLIO'!C:V,3,0),"")</f>
        <v/>
      </c>
      <c r="F92" s="211" t="str">
        <f>IFERROR(VLOOKUP($C92,'PORTIFÓLIO'!C:V,4,0),"")</f>
        <v/>
      </c>
      <c r="G92" s="215" t="str">
        <f>IFERROR(VLOOKUP($C92,'PORTIFÓLIO'!C:V,5,0),"")</f>
        <v/>
      </c>
      <c r="H92" s="254" t="str">
        <f t="array" ref="H92">IFERROR(INDEX('PORTIFÓLIO'!$H$4:$H$433,MATCH($C92,'PORTIFÓLIO'!$C$4:$C$433,0)),"")</f>
        <v/>
      </c>
      <c r="I92" s="256"/>
      <c r="J92" s="218">
        <f t="shared" si="10"/>
        <v>0</v>
      </c>
      <c r="K92" s="219" t="str">
        <f t="array" ref="K92">IFERROR(I92*INDEX('PORTIFÓLIO'!$S$4:$S$433,MATCH($C92,'PORTIFÓLIO'!$C$4:$C$433,0)),"")</f>
        <v/>
      </c>
      <c r="L92" s="219" t="str">
        <f t="array" ref="L92">IFERROR(J92*INDEX('PORTIFÓLIO'!$S$4:$S$433,MATCH($C92,'PORTIFÓLIO'!$C$4:$C$433,0)),"")</f>
        <v/>
      </c>
      <c r="M92" s="220"/>
      <c r="N92" s="220"/>
      <c r="O92" s="220"/>
      <c r="P92" s="220"/>
      <c r="Q92" s="220"/>
      <c r="R92" s="220"/>
      <c r="S92" s="220"/>
      <c r="T92" s="220"/>
      <c r="U92" s="220"/>
      <c r="V92" s="220"/>
      <c r="W92" s="220"/>
    </row>
    <row r="93" ht="15.75" customHeight="1" outlineLevel="1">
      <c r="A93" s="211"/>
      <c r="B93" s="212"/>
      <c r="C93" s="213"/>
      <c r="D93" s="214" t="str">
        <f>IFERROR(VLOOKUP($C93,'PORTIFÓLIO'!C:V,2,0),"")</f>
        <v/>
      </c>
      <c r="E93" s="211" t="str">
        <f>IFERROR(VLOOKUP($C93,'PORTIFÓLIO'!C:V,3,0),"")</f>
        <v/>
      </c>
      <c r="F93" s="211" t="str">
        <f>IFERROR(VLOOKUP($C93,'PORTIFÓLIO'!C:V,4,0),"")</f>
        <v/>
      </c>
      <c r="G93" s="215" t="str">
        <f>IFERROR(VLOOKUP($C93,'PORTIFÓLIO'!C:V,5,0),"")</f>
        <v/>
      </c>
      <c r="H93" s="254" t="str">
        <f t="array" ref="H93">IFERROR(INDEX('PORTIFÓLIO'!$H$4:$H$433,MATCH($C93,'PORTIFÓLIO'!$C$4:$C$433,0)),"")</f>
        <v/>
      </c>
      <c r="I93" s="256"/>
      <c r="J93" s="218">
        <f t="shared" si="10"/>
        <v>0</v>
      </c>
      <c r="K93" s="219" t="str">
        <f t="array" ref="K93">IFERROR(I93*INDEX('PORTIFÓLIO'!$S$4:$S$433,MATCH($C93,'PORTIFÓLIO'!$C$4:$C$433,0)),"")</f>
        <v/>
      </c>
      <c r="L93" s="219" t="str">
        <f t="array" ref="L93">IFERROR(J93*INDEX('PORTIFÓLIO'!$S$4:$S$433,MATCH($C93,'PORTIFÓLIO'!$C$4:$C$433,0)),"")</f>
        <v/>
      </c>
      <c r="M93" s="220"/>
      <c r="N93" s="220"/>
      <c r="O93" s="220"/>
      <c r="P93" s="220"/>
      <c r="Q93" s="220"/>
      <c r="R93" s="220"/>
      <c r="S93" s="220"/>
      <c r="T93" s="220"/>
      <c r="U93" s="220"/>
      <c r="V93" s="220"/>
      <c r="W93" s="220"/>
    </row>
    <row r="94" ht="15.75" customHeight="1" outlineLevel="1">
      <c r="A94" s="211"/>
      <c r="B94" s="212"/>
      <c r="C94" s="213"/>
      <c r="D94" s="214" t="str">
        <f>IFERROR(VLOOKUP($C94,'PORTIFÓLIO'!C:V,2,0),"")</f>
        <v/>
      </c>
      <c r="E94" s="211" t="str">
        <f>IFERROR(VLOOKUP($C94,'PORTIFÓLIO'!C:V,3,0),"")</f>
        <v/>
      </c>
      <c r="F94" s="211" t="str">
        <f>IFERROR(VLOOKUP($C94,'PORTIFÓLIO'!C:V,4,0),"")</f>
        <v/>
      </c>
      <c r="G94" s="215" t="str">
        <f>IFERROR(VLOOKUP($C94,'PORTIFÓLIO'!C:V,5,0),"")</f>
        <v/>
      </c>
      <c r="H94" s="254" t="str">
        <f t="array" ref="H94">IFERROR(INDEX('PORTIFÓLIO'!$H$4:$H$433,MATCH($C94,'PORTIFÓLIO'!$C$4:$C$433,0)),"")</f>
        <v/>
      </c>
      <c r="I94" s="256"/>
      <c r="J94" s="218">
        <f t="shared" si="10"/>
        <v>0</v>
      </c>
      <c r="K94" s="219" t="str">
        <f t="array" ref="K94">IFERROR(I94*INDEX('PORTIFÓLIO'!$S$4:$S$433,MATCH($C94,'PORTIFÓLIO'!$C$4:$C$433,0)),"")</f>
        <v/>
      </c>
      <c r="L94" s="219" t="str">
        <f t="array" ref="L94">IFERROR(J94*INDEX('PORTIFÓLIO'!$S$4:$S$433,MATCH($C94,'PORTIFÓLIO'!$C$4:$C$433,0)),"")</f>
        <v/>
      </c>
      <c r="M94" s="220"/>
      <c r="N94" s="220"/>
      <c r="O94" s="220"/>
      <c r="P94" s="220"/>
      <c r="Q94" s="220"/>
      <c r="R94" s="220"/>
      <c r="S94" s="220"/>
      <c r="T94" s="220"/>
      <c r="U94" s="220"/>
      <c r="V94" s="220"/>
      <c r="W94" s="220"/>
    </row>
    <row r="95" ht="15.75" customHeight="1" outlineLevel="1">
      <c r="A95" s="211"/>
      <c r="B95" s="212"/>
      <c r="C95" s="213"/>
      <c r="D95" s="214" t="str">
        <f>IFERROR(VLOOKUP($C95,'PORTIFÓLIO'!C:V,2,0),"")</f>
        <v/>
      </c>
      <c r="E95" s="211" t="str">
        <f>IFERROR(VLOOKUP($C95,'PORTIFÓLIO'!C:V,3,0),"")</f>
        <v/>
      </c>
      <c r="F95" s="211" t="str">
        <f>IFERROR(VLOOKUP($C95,'PORTIFÓLIO'!C:V,4,0),"")</f>
        <v/>
      </c>
      <c r="G95" s="215" t="str">
        <f>IFERROR(VLOOKUP($C95,'PORTIFÓLIO'!C:V,5,0),"")</f>
        <v/>
      </c>
      <c r="H95" s="254" t="str">
        <f t="array" ref="H95">IFERROR(INDEX('PORTIFÓLIO'!$H$4:$H$433,MATCH($C95,'PORTIFÓLIO'!$C$4:$C$433,0)),"")</f>
        <v/>
      </c>
      <c r="I95" s="256"/>
      <c r="J95" s="218">
        <f t="shared" si="10"/>
        <v>0</v>
      </c>
      <c r="K95" s="219" t="str">
        <f t="array" ref="K95">IFERROR(I95*INDEX('PORTIFÓLIO'!$S$4:$S$433,MATCH($C95,'PORTIFÓLIO'!$C$4:$C$433,0)),"")</f>
        <v/>
      </c>
      <c r="L95" s="219" t="str">
        <f t="array" ref="L95">IFERROR(J95*INDEX('PORTIFÓLIO'!$S$4:$S$433,MATCH($C95,'PORTIFÓLIO'!$C$4:$C$433,0)),"")</f>
        <v/>
      </c>
      <c r="M95" s="220"/>
      <c r="N95" s="220"/>
      <c r="O95" s="220"/>
      <c r="P95" s="220"/>
      <c r="Q95" s="220"/>
      <c r="R95" s="220"/>
      <c r="S95" s="220"/>
      <c r="T95" s="220"/>
      <c r="U95" s="220"/>
      <c r="V95" s="220"/>
      <c r="W95" s="220"/>
    </row>
    <row r="96" ht="15.75" customHeight="1" outlineLevel="1">
      <c r="A96" s="211"/>
      <c r="B96" s="212"/>
      <c r="C96" s="213"/>
      <c r="D96" s="214" t="str">
        <f>IFERROR(VLOOKUP($C96,'PORTIFÓLIO'!C:V,2,0),"")</f>
        <v/>
      </c>
      <c r="E96" s="211" t="str">
        <f>IFERROR(VLOOKUP($C96,'PORTIFÓLIO'!C:V,3,0),"")</f>
        <v/>
      </c>
      <c r="F96" s="211" t="str">
        <f>IFERROR(VLOOKUP($C96,'PORTIFÓLIO'!C:V,4,0),"")</f>
        <v/>
      </c>
      <c r="G96" s="215" t="str">
        <f>IFERROR(VLOOKUP($C96,'PORTIFÓLIO'!C:V,5,0),"")</f>
        <v/>
      </c>
      <c r="H96" s="254" t="str">
        <f t="array" ref="H96">IFERROR(INDEX('PORTIFÓLIO'!$H$4:$H$433,MATCH($C96,'PORTIFÓLIO'!$C$4:$C$433,0)),"")</f>
        <v/>
      </c>
      <c r="I96" s="256"/>
      <c r="J96" s="218">
        <f t="shared" si="10"/>
        <v>0</v>
      </c>
      <c r="K96" s="219" t="str">
        <f t="array" ref="K96">IFERROR(I96*INDEX('PORTIFÓLIO'!$S$4:$S$433,MATCH($C96,'PORTIFÓLIO'!$C$4:$C$433,0)),"")</f>
        <v/>
      </c>
      <c r="L96" s="219" t="str">
        <f t="array" ref="L96">IFERROR(J96*INDEX('PORTIFÓLIO'!$S$4:$S$433,MATCH($C96,'PORTIFÓLIO'!$C$4:$C$433,0)),"")</f>
        <v/>
      </c>
      <c r="M96" s="220"/>
      <c r="N96" s="220"/>
      <c r="O96" s="220"/>
      <c r="P96" s="220"/>
      <c r="Q96" s="220"/>
      <c r="R96" s="220"/>
      <c r="S96" s="220"/>
      <c r="T96" s="220"/>
      <c r="U96" s="220"/>
      <c r="V96" s="220"/>
      <c r="W96" s="220"/>
    </row>
    <row r="97" ht="15.75" customHeight="1">
      <c r="A97" s="229" t="s">
        <v>1189</v>
      </c>
      <c r="B97" s="230"/>
      <c r="C97" s="231"/>
      <c r="D97" s="232"/>
      <c r="E97" s="231"/>
      <c r="F97" s="231"/>
      <c r="G97" s="233"/>
      <c r="H97" s="233"/>
      <c r="I97" s="258"/>
      <c r="J97" s="236"/>
      <c r="K97" s="237">
        <f t="shared" ref="K97:L97" si="11">SUBTOTAL(9,K98:K111)</f>
        <v>251.9479845</v>
      </c>
      <c r="L97" s="237">
        <f t="shared" si="11"/>
        <v>11841.55527</v>
      </c>
      <c r="M97" s="220"/>
      <c r="N97" s="220"/>
      <c r="O97" s="220"/>
      <c r="P97" s="220"/>
      <c r="Q97" s="220"/>
      <c r="R97" s="220"/>
      <c r="S97" s="220"/>
      <c r="T97" s="220"/>
      <c r="U97" s="220"/>
      <c r="V97" s="220"/>
      <c r="W97" s="220"/>
    </row>
    <row r="98" ht="15.75" customHeight="1" outlineLevel="1">
      <c r="A98" s="213"/>
      <c r="B98" s="212" t="s">
        <v>0</v>
      </c>
      <c r="C98" s="213" t="s">
        <v>443</v>
      </c>
      <c r="D98" s="214" t="str">
        <f>IFERROR(VLOOKUP($C98,'PORTIFÓLIO'!C:V,2,0),"")</f>
        <v>MEFENTRIFLUCONAZOL + PIRACLOSTROBINA +
 FLUXAPIROXADE</v>
      </c>
      <c r="E98" s="211" t="str">
        <f>IFERROR(VLOOKUP($C98,'PORTIFÓLIO'!C:V,3,0),"")</f>
        <v>133,3 + 177,8 + 88,9</v>
      </c>
      <c r="F98" s="211" t="str">
        <f>IFERROR(VLOOKUP($C98,'PORTIFÓLIO'!C:V,4,0),"")</f>
        <v>L</v>
      </c>
      <c r="G98" s="225" t="str">
        <f>IFERROR(VLOOKUP($C98,'PORTIFÓLIO'!C:V,5,0),"")</f>
        <v>📄 Ver bula</v>
      </c>
      <c r="H98" s="254">
        <f t="array" ref="H98">IFERROR(INDEX('PORTIFÓLIO'!$H$4:$H$433,MATCH($C98,'PORTIFÓLIO'!$C$4:$C$433,0)),"")</f>
        <v>0.7</v>
      </c>
      <c r="I98" s="255">
        <v>0.7</v>
      </c>
      <c r="J98" s="218">
        <f t="shared" ref="J98:J112" si="12">I98*$B$2</f>
        <v>32.9</v>
      </c>
      <c r="K98" s="219">
        <f t="array" ref="K98">IFERROR(I98*INDEX('PORTIFÓLIO'!$S$4:$S$433,MATCH($C98,'PORTIFÓLIO'!$C$4:$C$433,0)),"")</f>
        <v>119.38752</v>
      </c>
      <c r="L98" s="219">
        <f t="array" ref="L98">IFERROR(J98*INDEX('PORTIFÓLIO'!$S$4:$S$433,MATCH($C98,'PORTIFÓLIO'!$C$4:$C$433,0)),"")</f>
        <v>5611.21344</v>
      </c>
      <c r="M98" s="220"/>
      <c r="N98" s="220"/>
      <c r="O98" s="220"/>
      <c r="P98" s="220"/>
      <c r="Q98" s="220"/>
      <c r="R98" s="220"/>
      <c r="S98" s="220"/>
      <c r="T98" s="220"/>
      <c r="U98" s="220"/>
      <c r="V98" s="220"/>
      <c r="W98" s="220"/>
    </row>
    <row r="99" ht="15.75" customHeight="1" outlineLevel="1">
      <c r="A99" s="211"/>
      <c r="B99" s="212" t="s">
        <v>0</v>
      </c>
      <c r="C99" s="213" t="s">
        <v>520</v>
      </c>
      <c r="D99" s="214" t="str">
        <f>IFERROR(VLOOKUP($C99,'PORTIFÓLIO'!C:V,2,0),"")</f>
        <v>FLUAZINAM</v>
      </c>
      <c r="E99" s="211">
        <f>IFERROR(VLOOKUP($C99,'PORTIFÓLIO'!C:V,3,0),"")</f>
        <v>500</v>
      </c>
      <c r="F99" s="211" t="str">
        <f>IFERROR(VLOOKUP($C99,'PORTIFÓLIO'!C:V,4,0),"")</f>
        <v>L</v>
      </c>
      <c r="G99" s="225" t="str">
        <f>IFERROR(VLOOKUP($C99,'PORTIFÓLIO'!C:V,5,0),"")</f>
        <v>📄 Ver bula</v>
      </c>
      <c r="H99" s="254">
        <f t="array" ref="H99">IFERROR(INDEX('PORTIFÓLIO'!$H$4:$H$433,MATCH($C99,'PORTIFÓLIO'!$C$4:$C$433,0)),"")</f>
        <v>1</v>
      </c>
      <c r="I99" s="255">
        <v>1.0</v>
      </c>
      <c r="J99" s="218">
        <f t="shared" si="12"/>
        <v>47</v>
      </c>
      <c r="K99" s="219">
        <f t="array" ref="K99">IFERROR(I99*INDEX('PORTIFÓLIO'!$S$4:$S$433,MATCH($C99,'PORTIFÓLIO'!$C$4:$C$433,0)),"")</f>
        <v>67.68</v>
      </c>
      <c r="L99" s="219">
        <f t="array" ref="L99">IFERROR(J99*INDEX('PORTIFÓLIO'!$S$4:$S$433,MATCH($C99,'PORTIFÓLIO'!$C$4:$C$433,0)),"")</f>
        <v>3180.96</v>
      </c>
      <c r="M99" s="220"/>
      <c r="N99" s="220"/>
      <c r="O99" s="220"/>
      <c r="P99" s="220"/>
      <c r="Q99" s="220"/>
      <c r="R99" s="220"/>
      <c r="S99" s="220"/>
      <c r="T99" s="220"/>
      <c r="U99" s="220"/>
      <c r="V99" s="220"/>
      <c r="W99" s="220"/>
    </row>
    <row r="100" ht="15.75" customHeight="1" outlineLevel="1">
      <c r="A100" s="211"/>
      <c r="B100" s="212" t="s">
        <v>2</v>
      </c>
      <c r="C100" s="213" t="s">
        <v>829</v>
      </c>
      <c r="D100" s="214" t="str">
        <f>IFERROR(VLOOKUP($C100,'PORTIFÓLIO'!C:V,2,0),"")</f>
        <v>BIFENTRINA</v>
      </c>
      <c r="E100" s="211">
        <f>IFERROR(VLOOKUP($C100,'PORTIFÓLIO'!C:V,3,0),"")</f>
        <v>400</v>
      </c>
      <c r="F100" s="211" t="str">
        <f>IFERROR(VLOOKUP($C100,'PORTIFÓLIO'!C:V,4,0),"")</f>
        <v>L</v>
      </c>
      <c r="G100" s="225" t="str">
        <f>IFERROR(VLOOKUP($C100,'PORTIFÓLIO'!C:V,5,0),"")</f>
        <v>📄 Ver bula</v>
      </c>
      <c r="H100" s="254">
        <f t="array" ref="H100">IFERROR(INDEX('PORTIFÓLIO'!$H$4:$H$433,MATCH($C100,'PORTIFÓLIO'!$C$4:$C$433,0)),"")</f>
        <v>0.05</v>
      </c>
      <c r="I100" s="255">
        <v>0.05</v>
      </c>
      <c r="J100" s="218">
        <f t="shared" si="12"/>
        <v>2.35</v>
      </c>
      <c r="K100" s="219">
        <f t="array" ref="K100">IFERROR(I100*INDEX('PORTIFÓLIO'!$S$4:$S$433,MATCH($C100,'PORTIFÓLIO'!$C$4:$C$433,0)),"")</f>
        <v>3.076419</v>
      </c>
      <c r="L100" s="219">
        <f t="array" ref="L100">IFERROR(J100*INDEX('PORTIFÓLIO'!$S$4:$S$433,MATCH($C100,'PORTIFÓLIO'!$C$4:$C$433,0)),"")</f>
        <v>144.591693</v>
      </c>
      <c r="M100" s="220"/>
      <c r="N100" s="220"/>
      <c r="O100" s="220"/>
      <c r="P100" s="220"/>
      <c r="Q100" s="220"/>
      <c r="R100" s="220"/>
      <c r="S100" s="220"/>
      <c r="T100" s="220"/>
      <c r="U100" s="220"/>
      <c r="V100" s="220"/>
      <c r="W100" s="220"/>
    </row>
    <row r="101" ht="15.75" customHeight="1" outlineLevel="1">
      <c r="A101" s="211"/>
      <c r="B101" s="212" t="s">
        <v>2</v>
      </c>
      <c r="C101" s="213" t="s">
        <v>842</v>
      </c>
      <c r="D101" s="214" t="str">
        <f>IFERROR(VLOOKUP($C101,'PORTIFÓLIO'!C:V,2,0),"")</f>
        <v>IMIDACLOPRIDO</v>
      </c>
      <c r="E101" s="211">
        <f>IFERROR(VLOOKUP($C101,'PORTIFÓLIO'!C:V,3,0),"")</f>
        <v>480</v>
      </c>
      <c r="F101" s="211" t="str">
        <f>IFERROR(VLOOKUP($C101,'PORTIFÓLIO'!C:V,4,0),"")</f>
        <v>L</v>
      </c>
      <c r="G101" s="225" t="str">
        <f>IFERROR(VLOOKUP($C101,'PORTIFÓLIO'!C:V,5,0),"")</f>
        <v>📄 Ver bula</v>
      </c>
      <c r="H101" s="254">
        <f t="array" ref="H101">IFERROR(INDEX('PORTIFÓLIO'!$H$4:$H$433,MATCH($C101,'PORTIFÓLIO'!$C$4:$C$433,0)),"")</f>
        <v>0.25</v>
      </c>
      <c r="I101" s="255">
        <v>0.25</v>
      </c>
      <c r="J101" s="218">
        <f t="shared" si="12"/>
        <v>11.75</v>
      </c>
      <c r="K101" s="219">
        <f t="array" ref="K101">IFERROR(I101*INDEX('PORTIFÓLIO'!$S$4:$S$433,MATCH($C101,'PORTIFÓLIO'!$C$4:$C$433,0)),"")</f>
        <v>14.0554125</v>
      </c>
      <c r="L101" s="219">
        <f t="array" ref="L101">IFERROR(J101*INDEX('PORTIFÓLIO'!$S$4:$S$433,MATCH($C101,'PORTIFÓLIO'!$C$4:$C$433,0)),"")</f>
        <v>660.6043875</v>
      </c>
      <c r="M101" s="220"/>
      <c r="N101" s="220"/>
      <c r="O101" s="220"/>
      <c r="P101" s="220"/>
      <c r="Q101" s="220"/>
      <c r="R101" s="220"/>
      <c r="S101" s="220"/>
      <c r="T101" s="220"/>
      <c r="U101" s="220"/>
      <c r="V101" s="220"/>
      <c r="W101" s="220"/>
    </row>
    <row r="102" ht="15.75" customHeight="1" outlineLevel="1">
      <c r="A102" s="211"/>
      <c r="B102" s="212" t="s">
        <v>2</v>
      </c>
      <c r="C102" s="213" t="s">
        <v>786</v>
      </c>
      <c r="D102" s="214" t="str">
        <f>IFERROR(VLOOKUP($C102,'PORTIFÓLIO'!C:V,2,0),"")</f>
        <v>DIFLUBENZUROM</v>
      </c>
      <c r="E102" s="211">
        <f>IFERROR(VLOOKUP($C102,'PORTIFÓLIO'!C:V,3,0),"")</f>
        <v>480</v>
      </c>
      <c r="F102" s="211" t="str">
        <f>IFERROR(VLOOKUP($C102,'PORTIFÓLIO'!C:V,4,0),"")</f>
        <v>KG</v>
      </c>
      <c r="G102" s="225" t="str">
        <f>IFERROR(VLOOKUP($C102,'PORTIFÓLIO'!C:V,5,0),"")</f>
        <v>📄 Ver bula</v>
      </c>
      <c r="H102" s="254">
        <f t="array" ref="H102">IFERROR(INDEX('PORTIFÓLIO'!$H$4:$H$433,MATCH($C102,'PORTIFÓLIO'!$C$4:$C$433,0)),"")</f>
        <v>0.04</v>
      </c>
      <c r="I102" s="255">
        <v>0.05</v>
      </c>
      <c r="J102" s="218">
        <f t="shared" si="12"/>
        <v>2.35</v>
      </c>
      <c r="K102" s="219">
        <f t="array" ref="K102">IFERROR(I102*INDEX('PORTIFÓLIO'!$S$4:$S$433,MATCH($C102,'PORTIFÓLIO'!$C$4:$C$433,0)),"")</f>
        <v>2.927979</v>
      </c>
      <c r="L102" s="219">
        <f t="array" ref="L102">IFERROR(J102*INDEX('PORTIFÓLIO'!$S$4:$S$433,MATCH($C102,'PORTIFÓLIO'!$C$4:$C$433,0)),"")</f>
        <v>137.615013</v>
      </c>
      <c r="M102" s="220"/>
      <c r="N102" s="220"/>
      <c r="O102" s="220"/>
      <c r="P102" s="220"/>
      <c r="Q102" s="220"/>
      <c r="R102" s="220"/>
      <c r="S102" s="220"/>
      <c r="T102" s="220"/>
      <c r="U102" s="220"/>
      <c r="V102" s="220"/>
      <c r="W102" s="220"/>
    </row>
    <row r="103" ht="15.75" customHeight="1" outlineLevel="1">
      <c r="A103" s="211"/>
      <c r="B103" s="212" t="s">
        <v>6</v>
      </c>
      <c r="C103" s="213" t="s">
        <v>341</v>
      </c>
      <c r="D103" s="214" t="str">
        <f>IFERROR(VLOOKUP($C103,'PORTIFÓLIO'!C:V,2,0),"")</f>
        <v>ESTER METILICO DE SOJA</v>
      </c>
      <c r="E103" s="211">
        <f>IFERROR(VLOOKUP($C103,'PORTIFÓLIO'!C:V,3,0),"")</f>
        <v>765</v>
      </c>
      <c r="F103" s="211" t="str">
        <f>IFERROR(VLOOKUP($C103,'PORTIFÓLIO'!C:V,4,0),"")</f>
        <v>L</v>
      </c>
      <c r="G103" s="225" t="str">
        <f>IFERROR(VLOOKUP($C103,'PORTIFÓLIO'!C:V,5,0),"")</f>
        <v>📄 Ver bula</v>
      </c>
      <c r="H103" s="254">
        <f t="array" ref="H103">IFERROR(INDEX('PORTIFÓLIO'!$H$4:$H$433,MATCH($C103,'PORTIFÓLIO'!$C$4:$C$433,0)),"")</f>
        <v>0.2</v>
      </c>
      <c r="I103" s="255">
        <v>0.2</v>
      </c>
      <c r="J103" s="218">
        <f t="shared" si="12"/>
        <v>9.4</v>
      </c>
      <c r="K103" s="219">
        <f t="array" ref="K103">IFERROR(I103*INDEX('PORTIFÓLIO'!$S$4:$S$433,MATCH($C103,'PORTIFÓLIO'!$C$4:$C$433,0)),"")</f>
        <v>3.298974</v>
      </c>
      <c r="L103" s="219">
        <f t="array" ref="L103">IFERROR(J103*INDEX('PORTIFÓLIO'!$S$4:$S$433,MATCH($C103,'PORTIFÓLIO'!$C$4:$C$433,0)),"")</f>
        <v>155.051778</v>
      </c>
      <c r="M103" s="220"/>
      <c r="N103" s="220"/>
      <c r="O103" s="220"/>
      <c r="P103" s="220"/>
      <c r="Q103" s="220"/>
      <c r="R103" s="220"/>
      <c r="S103" s="220"/>
      <c r="T103" s="220"/>
      <c r="U103" s="220"/>
      <c r="V103" s="220"/>
      <c r="W103" s="220"/>
    </row>
    <row r="104" ht="15.75" customHeight="1" outlineLevel="1">
      <c r="A104" s="211"/>
      <c r="B104" s="212" t="s">
        <v>0</v>
      </c>
      <c r="C104" s="213" t="s">
        <v>484</v>
      </c>
      <c r="D104" s="214" t="str">
        <f>IFERROR(VLOOKUP($C104,'PORTIFÓLIO'!C:V,2,0),"")</f>
        <v>MANCOZEBE</v>
      </c>
      <c r="E104" s="211">
        <f>IFERROR(VLOOKUP($C104,'PORTIFÓLIO'!C:V,3,0),"")</f>
        <v>750</v>
      </c>
      <c r="F104" s="211" t="str">
        <f>IFERROR(VLOOKUP($C104,'PORTIFÓLIO'!C:V,4,0),"")</f>
        <v>L</v>
      </c>
      <c r="G104" s="225" t="str">
        <f>IFERROR(VLOOKUP($C104,'PORTIFÓLIO'!C:V,5,0),"")</f>
        <v>📄 Ver bula</v>
      </c>
      <c r="H104" s="254">
        <f t="array" ref="H104">IFERROR(INDEX('PORTIFÓLIO'!$H$4:$H$433,MATCH($C104,'PORTIFÓLIO'!$C$4:$C$433,0)),"")</f>
        <v>1.5</v>
      </c>
      <c r="I104" s="255">
        <v>1.5</v>
      </c>
      <c r="J104" s="218">
        <f t="shared" si="12"/>
        <v>70.5</v>
      </c>
      <c r="K104" s="219">
        <f t="array" ref="K104">IFERROR(I104*INDEX('PORTIFÓLIO'!$S$4:$S$433,MATCH($C104,'PORTIFÓLIO'!$C$4:$C$433,0)),"")</f>
        <v>41.52168</v>
      </c>
      <c r="L104" s="219">
        <f t="array" ref="L104">IFERROR(J104*INDEX('PORTIFÓLIO'!$S$4:$S$433,MATCH($C104,'PORTIFÓLIO'!$C$4:$C$433,0)),"")</f>
        <v>1951.51896</v>
      </c>
      <c r="M104" s="220"/>
      <c r="N104" s="220"/>
      <c r="O104" s="220"/>
      <c r="P104" s="220"/>
      <c r="Q104" s="220"/>
      <c r="R104" s="220"/>
      <c r="S104" s="220"/>
      <c r="T104" s="220"/>
      <c r="U104" s="220"/>
      <c r="V104" s="220"/>
      <c r="W104" s="220"/>
    </row>
    <row r="105" ht="15.75" customHeight="1" outlineLevel="1">
      <c r="A105" s="211"/>
      <c r="B105" s="212"/>
      <c r="C105" s="213"/>
      <c r="D105" s="214" t="str">
        <f>IFERROR(VLOOKUP($C105,'PORTIFÓLIO'!C:V,2,0),"")</f>
        <v/>
      </c>
      <c r="E105" s="211" t="str">
        <f>IFERROR(VLOOKUP($C105,'PORTIFÓLIO'!C:V,3,0),"")</f>
        <v/>
      </c>
      <c r="F105" s="211" t="str">
        <f>IFERROR(VLOOKUP($C105,'PORTIFÓLIO'!C:V,4,0),"")</f>
        <v/>
      </c>
      <c r="G105" s="215" t="str">
        <f>IFERROR(VLOOKUP($C105,'PORTIFÓLIO'!C:V,5,0),"")</f>
        <v/>
      </c>
      <c r="H105" s="254" t="str">
        <f t="array" ref="H105">IFERROR(INDEX('PORTIFÓLIO'!$H$4:$H$433,MATCH($C105,'PORTIFÓLIO'!$C$4:$C$433,0)),"")</f>
        <v/>
      </c>
      <c r="I105" s="256"/>
      <c r="J105" s="218">
        <f t="shared" si="12"/>
        <v>0</v>
      </c>
      <c r="K105" s="219" t="str">
        <f t="array" ref="K105">IFERROR(I105*INDEX('PORTIFÓLIO'!$S$4:$S$433,MATCH($C105,'PORTIFÓLIO'!$C$4:$C$433,0)),"")</f>
        <v/>
      </c>
      <c r="L105" s="219" t="str">
        <f t="array" ref="L105">IFERROR(J105*INDEX('PORTIFÓLIO'!$S$4:$S$433,MATCH($C105,'PORTIFÓLIO'!$C$4:$C$433,0)),"")</f>
        <v/>
      </c>
      <c r="M105" s="220"/>
      <c r="N105" s="220"/>
      <c r="O105" s="220"/>
      <c r="P105" s="220"/>
      <c r="Q105" s="220"/>
      <c r="R105" s="220"/>
      <c r="S105" s="220"/>
      <c r="T105" s="220"/>
      <c r="U105" s="220"/>
      <c r="V105" s="220"/>
      <c r="W105" s="220"/>
    </row>
    <row r="106" ht="15.75" customHeight="1" outlineLevel="1">
      <c r="A106" s="211"/>
      <c r="B106" s="212"/>
      <c r="C106" s="213"/>
      <c r="D106" s="214" t="str">
        <f>IFERROR(VLOOKUP($C106,'PORTIFÓLIO'!C:V,2,0),"")</f>
        <v/>
      </c>
      <c r="E106" s="211" t="str">
        <f>IFERROR(VLOOKUP($C106,'PORTIFÓLIO'!C:V,3,0),"")</f>
        <v/>
      </c>
      <c r="F106" s="211" t="str">
        <f>IFERROR(VLOOKUP($C106,'PORTIFÓLIO'!C:V,4,0),"")</f>
        <v/>
      </c>
      <c r="G106" s="215" t="str">
        <f>IFERROR(VLOOKUP($C106,'PORTIFÓLIO'!C:V,5,0),"")</f>
        <v/>
      </c>
      <c r="H106" s="254" t="str">
        <f t="array" ref="H106">IFERROR(INDEX('PORTIFÓLIO'!$H$4:$H$433,MATCH($C106,'PORTIFÓLIO'!$C$4:$C$433,0)),"")</f>
        <v/>
      </c>
      <c r="I106" s="255"/>
      <c r="J106" s="218">
        <f t="shared" si="12"/>
        <v>0</v>
      </c>
      <c r="K106" s="219" t="str">
        <f t="array" ref="K106">IFERROR(I106*INDEX('PORTIFÓLIO'!$S$4:$S$433,MATCH($C106,'PORTIFÓLIO'!$C$4:$C$433,0)),"")</f>
        <v/>
      </c>
      <c r="L106" s="219" t="str">
        <f t="array" ref="L106">IFERROR(J106*INDEX('PORTIFÓLIO'!$S$4:$S$433,MATCH($C106,'PORTIFÓLIO'!$C$4:$C$433,0)),"")</f>
        <v/>
      </c>
      <c r="M106" s="220"/>
      <c r="N106" s="220"/>
      <c r="O106" s="220"/>
      <c r="P106" s="220"/>
      <c r="Q106" s="220"/>
      <c r="R106" s="220"/>
      <c r="S106" s="220"/>
      <c r="T106" s="220"/>
      <c r="U106" s="220"/>
      <c r="V106" s="220"/>
      <c r="W106" s="220"/>
    </row>
    <row r="107" ht="15.75" customHeight="1" outlineLevel="1">
      <c r="A107" s="211"/>
      <c r="B107" s="212"/>
      <c r="C107" s="213"/>
      <c r="D107" s="214" t="str">
        <f>IFERROR(VLOOKUP($C107,'PORTIFÓLIO'!C:V,2,0),"")</f>
        <v/>
      </c>
      <c r="E107" s="211" t="str">
        <f>IFERROR(VLOOKUP($C107,'PORTIFÓLIO'!C:V,3,0),"")</f>
        <v/>
      </c>
      <c r="F107" s="211" t="str">
        <f>IFERROR(VLOOKUP($C107,'PORTIFÓLIO'!C:V,4,0),"")</f>
        <v/>
      </c>
      <c r="G107" s="215" t="str">
        <f>IFERROR(VLOOKUP($C107,'PORTIFÓLIO'!C:V,5,0),"")</f>
        <v/>
      </c>
      <c r="H107" s="254" t="str">
        <f t="array" ref="H107">IFERROR(INDEX('PORTIFÓLIO'!$H$4:$H$433,MATCH($C107,'PORTIFÓLIO'!$C$4:$C$433,0)),"")</f>
        <v/>
      </c>
      <c r="I107" s="256"/>
      <c r="J107" s="218">
        <f t="shared" si="12"/>
        <v>0</v>
      </c>
      <c r="K107" s="219" t="str">
        <f t="array" ref="K107">IFERROR(I107*INDEX('PORTIFÓLIO'!$S$4:$S$433,MATCH($C107,'PORTIFÓLIO'!$C$4:$C$433,0)),"")</f>
        <v/>
      </c>
      <c r="L107" s="219" t="str">
        <f t="array" ref="L107">IFERROR(J107*INDEX('PORTIFÓLIO'!$S$4:$S$433,MATCH($C107,'PORTIFÓLIO'!$C$4:$C$433,0)),"")</f>
        <v/>
      </c>
      <c r="M107" s="220"/>
      <c r="N107" s="220"/>
      <c r="O107" s="220"/>
      <c r="P107" s="220"/>
      <c r="Q107" s="220"/>
      <c r="R107" s="220"/>
      <c r="S107" s="220"/>
      <c r="T107" s="220"/>
      <c r="U107" s="220"/>
      <c r="V107" s="220"/>
      <c r="W107" s="220"/>
    </row>
    <row r="108" ht="15.75" customHeight="1" outlineLevel="1">
      <c r="A108" s="211"/>
      <c r="B108" s="212"/>
      <c r="C108" s="213"/>
      <c r="D108" s="214" t="str">
        <f>IFERROR(VLOOKUP($C108,'PORTIFÓLIO'!C:V,2,0),"")</f>
        <v/>
      </c>
      <c r="E108" s="211" t="str">
        <f>IFERROR(VLOOKUP($C108,'PORTIFÓLIO'!C:V,3,0),"")</f>
        <v/>
      </c>
      <c r="F108" s="211" t="str">
        <f>IFERROR(VLOOKUP($C108,'PORTIFÓLIO'!C:V,4,0),"")</f>
        <v/>
      </c>
      <c r="G108" s="215" t="str">
        <f>IFERROR(VLOOKUP($C108,'PORTIFÓLIO'!C:V,5,0),"")</f>
        <v/>
      </c>
      <c r="H108" s="254" t="str">
        <f t="array" ref="H108">IFERROR(INDEX('PORTIFÓLIO'!$H$4:$H$433,MATCH($C108,'PORTIFÓLIO'!$C$4:$C$433,0)),"")</f>
        <v/>
      </c>
      <c r="I108" s="256"/>
      <c r="J108" s="218">
        <f t="shared" si="12"/>
        <v>0</v>
      </c>
      <c r="K108" s="219" t="str">
        <f t="array" ref="K108">IFERROR(I108*INDEX('PORTIFÓLIO'!$S$4:$S$433,MATCH($C108,'PORTIFÓLIO'!$C$4:$C$433,0)),"")</f>
        <v/>
      </c>
      <c r="L108" s="219" t="str">
        <f t="array" ref="L108">IFERROR(J108*INDEX('PORTIFÓLIO'!$S$4:$S$433,MATCH($C108,'PORTIFÓLIO'!$C$4:$C$433,0)),"")</f>
        <v/>
      </c>
      <c r="M108" s="220"/>
      <c r="N108" s="220"/>
      <c r="O108" s="220"/>
      <c r="P108" s="220"/>
      <c r="Q108" s="220"/>
      <c r="R108" s="220"/>
      <c r="S108" s="220"/>
      <c r="T108" s="220"/>
      <c r="U108" s="220"/>
      <c r="V108" s="220"/>
      <c r="W108" s="220"/>
    </row>
    <row r="109" ht="15.75" customHeight="1" outlineLevel="1">
      <c r="A109" s="211"/>
      <c r="B109" s="212"/>
      <c r="C109" s="213"/>
      <c r="D109" s="214" t="str">
        <f>IFERROR(VLOOKUP($C109,'PORTIFÓLIO'!C:V,2,0),"")</f>
        <v/>
      </c>
      <c r="E109" s="211" t="str">
        <f>IFERROR(VLOOKUP($C109,'PORTIFÓLIO'!C:V,3,0),"")</f>
        <v/>
      </c>
      <c r="F109" s="211" t="str">
        <f>IFERROR(VLOOKUP($C109,'PORTIFÓLIO'!C:V,4,0),"")</f>
        <v/>
      </c>
      <c r="G109" s="215" t="str">
        <f>IFERROR(VLOOKUP($C109,'PORTIFÓLIO'!C:V,5,0),"")</f>
        <v/>
      </c>
      <c r="H109" s="254" t="str">
        <f t="array" ref="H109">IFERROR(INDEX('PORTIFÓLIO'!$H$4:$H$433,MATCH($C109,'PORTIFÓLIO'!$C$4:$C$433,0)),"")</f>
        <v/>
      </c>
      <c r="I109" s="256"/>
      <c r="J109" s="218">
        <f t="shared" si="12"/>
        <v>0</v>
      </c>
      <c r="K109" s="219" t="str">
        <f t="array" ref="K109">IFERROR(I109*INDEX('PORTIFÓLIO'!$S$4:$S$433,MATCH($C109,'PORTIFÓLIO'!$C$4:$C$433,0)),"")</f>
        <v/>
      </c>
      <c r="L109" s="219" t="str">
        <f t="array" ref="L109">IFERROR(J109*INDEX('PORTIFÓLIO'!$S$4:$S$433,MATCH($C109,'PORTIFÓLIO'!$C$4:$C$433,0)),"")</f>
        <v/>
      </c>
      <c r="M109" s="220"/>
      <c r="N109" s="220"/>
      <c r="O109" s="220"/>
      <c r="P109" s="220"/>
      <c r="Q109" s="220"/>
      <c r="R109" s="220"/>
      <c r="S109" s="220"/>
      <c r="T109" s="220"/>
      <c r="U109" s="220"/>
      <c r="V109" s="220"/>
      <c r="W109" s="220"/>
    </row>
    <row r="110" ht="15.75" customHeight="1" outlineLevel="1">
      <c r="A110" s="211"/>
      <c r="B110" s="212"/>
      <c r="C110" s="213"/>
      <c r="D110" s="214" t="str">
        <f>IFERROR(VLOOKUP($C110,'PORTIFÓLIO'!C:V,2,0),"")</f>
        <v/>
      </c>
      <c r="E110" s="211" t="str">
        <f>IFERROR(VLOOKUP($C110,'PORTIFÓLIO'!C:V,3,0),"")</f>
        <v/>
      </c>
      <c r="F110" s="211" t="str">
        <f>IFERROR(VLOOKUP($C110,'PORTIFÓLIO'!C:V,4,0),"")</f>
        <v/>
      </c>
      <c r="G110" s="215" t="str">
        <f>IFERROR(VLOOKUP($C110,'PORTIFÓLIO'!C:V,5,0),"")</f>
        <v/>
      </c>
      <c r="H110" s="254" t="str">
        <f t="array" ref="H110">IFERROR(INDEX('PORTIFÓLIO'!$H$4:$H$433,MATCH($C110,'PORTIFÓLIO'!$C$4:$C$433,0)),"")</f>
        <v/>
      </c>
      <c r="I110" s="256"/>
      <c r="J110" s="218">
        <f t="shared" si="12"/>
        <v>0</v>
      </c>
      <c r="K110" s="219" t="str">
        <f t="array" ref="K110">IFERROR(I110*INDEX('PORTIFÓLIO'!$S$4:$S$433,MATCH($C110,'PORTIFÓLIO'!$C$4:$C$433,0)),"")</f>
        <v/>
      </c>
      <c r="L110" s="219" t="str">
        <f t="array" ref="L110">IFERROR(J110*INDEX('PORTIFÓLIO'!$S$4:$S$433,MATCH($C110,'PORTIFÓLIO'!$C$4:$C$433,0)),"")</f>
        <v/>
      </c>
      <c r="M110" s="220"/>
      <c r="N110" s="220"/>
      <c r="O110" s="220"/>
      <c r="P110" s="220"/>
      <c r="Q110" s="220"/>
      <c r="R110" s="220"/>
      <c r="S110" s="220"/>
      <c r="T110" s="220"/>
      <c r="U110" s="220"/>
      <c r="V110" s="220"/>
      <c r="W110" s="220"/>
    </row>
    <row r="111" ht="15.75" customHeight="1" outlineLevel="1">
      <c r="A111" s="211"/>
      <c r="B111" s="212"/>
      <c r="C111" s="213"/>
      <c r="D111" s="214" t="str">
        <f>IFERROR(VLOOKUP($C111,'PORTIFÓLIO'!C:V,2,0),"")</f>
        <v/>
      </c>
      <c r="E111" s="211" t="str">
        <f>IFERROR(VLOOKUP($C111,'PORTIFÓLIO'!C:V,3,0),"")</f>
        <v/>
      </c>
      <c r="F111" s="211" t="str">
        <f>IFERROR(VLOOKUP($C111,'PORTIFÓLIO'!C:V,4,0),"")</f>
        <v/>
      </c>
      <c r="G111" s="215" t="str">
        <f>IFERROR(VLOOKUP($C111,'PORTIFÓLIO'!C:V,5,0),"")</f>
        <v/>
      </c>
      <c r="H111" s="254" t="str">
        <f t="array" ref="H111">IFERROR(INDEX('PORTIFÓLIO'!$H$4:$H$433,MATCH($C111,'PORTIFÓLIO'!$C$4:$C$433,0)),"")</f>
        <v/>
      </c>
      <c r="I111" s="256"/>
      <c r="J111" s="218">
        <f t="shared" si="12"/>
        <v>0</v>
      </c>
      <c r="K111" s="219" t="str">
        <f t="array" ref="K111">IFERROR(I111*INDEX('PORTIFÓLIO'!$S$4:$S$433,MATCH($C111,'PORTIFÓLIO'!$C$4:$C$433,0)),"")</f>
        <v/>
      </c>
      <c r="L111" s="219" t="str">
        <f t="array" ref="L111">IFERROR(J111*INDEX('PORTIFÓLIO'!$S$4:$S$433,MATCH($C111,'PORTIFÓLIO'!$C$4:$C$433,0)),"")</f>
        <v/>
      </c>
      <c r="M111" s="220"/>
      <c r="N111" s="220"/>
      <c r="O111" s="220"/>
      <c r="P111" s="220"/>
      <c r="Q111" s="220"/>
      <c r="R111" s="220"/>
      <c r="S111" s="220"/>
      <c r="T111" s="220"/>
      <c r="U111" s="220"/>
      <c r="V111" s="220"/>
      <c r="W111" s="220"/>
    </row>
    <row r="112" ht="15.75" customHeight="1" outlineLevel="1">
      <c r="A112" s="211"/>
      <c r="B112" s="212"/>
      <c r="C112" s="213"/>
      <c r="D112" s="214" t="str">
        <f>IFERROR(VLOOKUP($C112,'PORTIFÓLIO'!C:V,2,0),"")</f>
        <v/>
      </c>
      <c r="E112" s="211" t="str">
        <f>IFERROR(VLOOKUP($C112,'PORTIFÓLIO'!C:V,3,0),"")</f>
        <v/>
      </c>
      <c r="F112" s="211" t="str">
        <f>IFERROR(VLOOKUP($C112,'PORTIFÓLIO'!C:V,4,0),"")</f>
        <v/>
      </c>
      <c r="G112" s="215" t="str">
        <f>IFERROR(VLOOKUP($C112,'PORTIFÓLIO'!C:V,5,0),"")</f>
        <v/>
      </c>
      <c r="H112" s="254" t="str">
        <f t="array" ref="H112">IFERROR(INDEX('PORTIFÓLIO'!$H$4:$H$433,MATCH($C112,'PORTIFÓLIO'!$C$4:$C$433,0)),"")</f>
        <v/>
      </c>
      <c r="I112" s="256"/>
      <c r="J112" s="218">
        <f t="shared" si="12"/>
        <v>0</v>
      </c>
      <c r="K112" s="219" t="str">
        <f t="array" ref="K112">IFERROR(I112*INDEX('PORTIFÓLIO'!$S$4:$S$433,MATCH($C112,'PORTIFÓLIO'!$C$4:$C$433,0)),"")</f>
        <v/>
      </c>
      <c r="L112" s="219" t="str">
        <f t="array" ref="L112">IFERROR(J112*INDEX('PORTIFÓLIO'!$S$4:$S$433,MATCH($C112,'PORTIFÓLIO'!$C$4:$C$433,0)),"")</f>
        <v/>
      </c>
      <c r="M112" s="220"/>
      <c r="N112" s="220"/>
      <c r="O112" s="220"/>
      <c r="P112" s="220"/>
      <c r="Q112" s="220"/>
      <c r="R112" s="220"/>
      <c r="S112" s="220"/>
      <c r="T112" s="220"/>
      <c r="U112" s="220"/>
      <c r="V112" s="220"/>
      <c r="W112" s="220"/>
    </row>
    <row r="113" ht="15.75" customHeight="1" outlineLevel="1">
      <c r="A113" s="211"/>
      <c r="B113" s="212"/>
      <c r="C113" s="211"/>
      <c r="D113" s="214" t="str">
        <f>IFERROR(VLOOKUP($C113,'PORTIFÓLIO'!C:V,2,0),"")</f>
        <v/>
      </c>
      <c r="E113" s="211" t="str">
        <f>IFERROR(VLOOKUP($C113,'PORTIFÓLIO'!C:V,3,0),"")</f>
        <v/>
      </c>
      <c r="F113" s="211" t="str">
        <f>IFERROR(VLOOKUP($C113,'PORTIFÓLIO'!C:V,4,0),"")</f>
        <v/>
      </c>
      <c r="G113" s="215" t="str">
        <f>IFERROR(VLOOKUP($C113,'PORTIFÓLIO'!C:V,5,0),"")</f>
        <v/>
      </c>
      <c r="H113" s="254" t="str">
        <f t="array" ref="H113">IFERROR(INDEX('PORTIFÓLIO'!$H$4:$H$433,MATCH($C113,'PORTIFÓLIO'!$C$4:$C$433,0)),"")</f>
        <v/>
      </c>
      <c r="I113" s="256"/>
      <c r="J113" s="218"/>
      <c r="K113" s="219" t="str">
        <f t="array" ref="K113">IFERROR(I113*INDEX('PORTIFÓLIO'!$S$4:$S$433,MATCH($C113,'PORTIFÓLIO'!$C$4:$C$433,0)),"")</f>
        <v/>
      </c>
      <c r="L113" s="219" t="str">
        <f t="array" ref="L113">IFERROR(J113*INDEX('PORTIFÓLIO'!$S$4:$S$433,MATCH($C113,'PORTIFÓLIO'!$C$4:$C$433,0)),"")</f>
        <v/>
      </c>
      <c r="M113" s="220"/>
      <c r="N113" s="220"/>
      <c r="O113" s="220"/>
      <c r="P113" s="220"/>
      <c r="Q113" s="220"/>
      <c r="R113" s="220"/>
      <c r="S113" s="220"/>
      <c r="T113" s="220"/>
      <c r="U113" s="220"/>
      <c r="V113" s="220"/>
      <c r="W113" s="220"/>
    </row>
    <row r="114" ht="15.75" customHeight="1">
      <c r="A114" s="229" t="s">
        <v>1190</v>
      </c>
      <c r="B114" s="230"/>
      <c r="C114" s="231"/>
      <c r="D114" s="232"/>
      <c r="E114" s="231"/>
      <c r="F114" s="231"/>
      <c r="G114" s="233"/>
      <c r="H114" s="233"/>
      <c r="I114" s="258"/>
      <c r="J114" s="236"/>
      <c r="K114" s="237">
        <f t="shared" ref="K114:L114" si="13">SUBTOTAL(9,K115:K128)</f>
        <v>236.447935</v>
      </c>
      <c r="L114" s="237">
        <f t="shared" si="13"/>
        <v>11113.05295</v>
      </c>
      <c r="M114" s="220"/>
      <c r="N114" s="220"/>
      <c r="O114" s="220"/>
      <c r="P114" s="220"/>
      <c r="Q114" s="220"/>
      <c r="R114" s="220"/>
      <c r="S114" s="220"/>
      <c r="T114" s="220"/>
      <c r="U114" s="220"/>
      <c r="V114" s="220"/>
      <c r="W114" s="220"/>
    </row>
    <row r="115" ht="15.75" customHeight="1" outlineLevel="1">
      <c r="A115" s="213"/>
      <c r="B115" s="212" t="s">
        <v>0</v>
      </c>
      <c r="C115" s="283" t="s">
        <v>467</v>
      </c>
      <c r="D115" s="214" t="str">
        <f>IFERROR(VLOOKUP($C115,'PORTIFÓLIO'!C:V,2,0),"")</f>
        <v>BIXAFEM + PROTIOCONAZOL + TRIFLOXISTROBINA</v>
      </c>
      <c r="E115" s="211" t="str">
        <f>IFERROR(VLOOKUP($C115,'PORTIFÓLIO'!C:V,3,0),"")</f>
        <v>125 + 175 + 150</v>
      </c>
      <c r="F115" s="211" t="str">
        <f>IFERROR(VLOOKUP($C115,'PORTIFÓLIO'!C:V,4,0),"")</f>
        <v>L</v>
      </c>
      <c r="G115" s="225" t="str">
        <f>IFERROR(VLOOKUP($C115,'PORTIFÓLIO'!C:V,5,0),"")</f>
        <v>📄 Ver bula</v>
      </c>
      <c r="H115" s="254">
        <f t="array" ref="H115">IFERROR(INDEX('PORTIFÓLIO'!$H$4:$H$433,MATCH($C115,'PORTIFÓLIO'!$C$4:$C$433,0)),"")</f>
        <v>0.5</v>
      </c>
      <c r="I115" s="255">
        <v>0.5</v>
      </c>
      <c r="J115" s="218">
        <f t="shared" ref="J115:J129" si="14">I115*$B$2</f>
        <v>23.5</v>
      </c>
      <c r="K115" s="219">
        <f t="array" ref="K115">IFERROR(I115*INDEX('PORTIFÓLIO'!$S$4:$S$433,MATCH($C115,'PORTIFÓLIO'!$C$4:$C$433,0)),"")</f>
        <v>99.08352</v>
      </c>
      <c r="L115" s="219">
        <f t="array" ref="L115">IFERROR(J115*INDEX('PORTIFÓLIO'!$S$4:$S$433,MATCH($C115,'PORTIFÓLIO'!$C$4:$C$433,0)),"")</f>
        <v>4656.92544</v>
      </c>
      <c r="M115" s="220"/>
      <c r="N115" s="220"/>
      <c r="O115" s="220"/>
      <c r="P115" s="220"/>
      <c r="Q115" s="220"/>
      <c r="R115" s="220"/>
      <c r="S115" s="220"/>
      <c r="T115" s="220"/>
      <c r="U115" s="220"/>
      <c r="V115" s="220"/>
      <c r="W115" s="220"/>
    </row>
    <row r="116" ht="15.75" customHeight="1" outlineLevel="1">
      <c r="A116" s="211"/>
      <c r="B116" s="212" t="s">
        <v>0</v>
      </c>
      <c r="C116" s="283" t="s">
        <v>520</v>
      </c>
      <c r="D116" s="214" t="str">
        <f>IFERROR(VLOOKUP($C116,'PORTIFÓLIO'!C:V,2,0),"")</f>
        <v>FLUAZINAM</v>
      </c>
      <c r="E116" s="211">
        <f>IFERROR(VLOOKUP($C116,'PORTIFÓLIO'!C:V,3,0),"")</f>
        <v>500</v>
      </c>
      <c r="F116" s="211" t="str">
        <f>IFERROR(VLOOKUP($C116,'PORTIFÓLIO'!C:V,4,0),"")</f>
        <v>L</v>
      </c>
      <c r="G116" s="225" t="str">
        <f>IFERROR(VLOOKUP($C116,'PORTIFÓLIO'!C:V,5,0),"")</f>
        <v>📄 Ver bula</v>
      </c>
      <c r="H116" s="254">
        <f t="array" ref="H116">IFERROR(INDEX('PORTIFÓLIO'!$H$4:$H$433,MATCH($C116,'PORTIFÓLIO'!$C$4:$C$433,0)),"")</f>
        <v>1</v>
      </c>
      <c r="I116" s="255">
        <v>1.0</v>
      </c>
      <c r="J116" s="218">
        <f t="shared" si="14"/>
        <v>47</v>
      </c>
      <c r="K116" s="219">
        <f t="array" ref="K116">IFERROR(I116*INDEX('PORTIFÓLIO'!$S$4:$S$433,MATCH($C116,'PORTIFÓLIO'!$C$4:$C$433,0)),"")</f>
        <v>67.68</v>
      </c>
      <c r="L116" s="219">
        <f t="array" ref="L116">IFERROR(J116*INDEX('PORTIFÓLIO'!$S$4:$S$433,MATCH($C116,'PORTIFÓLIO'!$C$4:$C$433,0)),"")</f>
        <v>3180.96</v>
      </c>
      <c r="M116" s="220"/>
      <c r="N116" s="220"/>
      <c r="O116" s="220"/>
      <c r="P116" s="220"/>
      <c r="Q116" s="220"/>
      <c r="R116" s="220"/>
      <c r="S116" s="220"/>
      <c r="T116" s="220"/>
      <c r="U116" s="220"/>
      <c r="V116" s="220"/>
      <c r="W116" s="220"/>
    </row>
    <row r="117" ht="15.75" customHeight="1" outlineLevel="1">
      <c r="A117" s="211"/>
      <c r="B117" s="212" t="s">
        <v>0</v>
      </c>
      <c r="C117" s="283" t="s">
        <v>484</v>
      </c>
      <c r="D117" s="214" t="str">
        <f>IFERROR(VLOOKUP($C117,'PORTIFÓLIO'!C:V,2,0),"")</f>
        <v>MANCOZEBE</v>
      </c>
      <c r="E117" s="211">
        <f>IFERROR(VLOOKUP($C117,'PORTIFÓLIO'!C:V,3,0),"")</f>
        <v>750</v>
      </c>
      <c r="F117" s="211" t="str">
        <f>IFERROR(VLOOKUP($C117,'PORTIFÓLIO'!C:V,4,0),"")</f>
        <v>L</v>
      </c>
      <c r="G117" s="225" t="str">
        <f>IFERROR(VLOOKUP($C117,'PORTIFÓLIO'!C:V,5,0),"")</f>
        <v>📄 Ver bula</v>
      </c>
      <c r="H117" s="254">
        <f t="array" ref="H117">IFERROR(INDEX('PORTIFÓLIO'!$H$4:$H$433,MATCH($C117,'PORTIFÓLIO'!$C$4:$C$433,0)),"")</f>
        <v>1.5</v>
      </c>
      <c r="I117" s="255">
        <v>1.5</v>
      </c>
      <c r="J117" s="218">
        <f t="shared" si="14"/>
        <v>70.5</v>
      </c>
      <c r="K117" s="219">
        <f t="array" ref="K117">IFERROR(I117*INDEX('PORTIFÓLIO'!$S$4:$S$433,MATCH($C117,'PORTIFÓLIO'!$C$4:$C$433,0)),"")</f>
        <v>41.52168</v>
      </c>
      <c r="L117" s="219">
        <f t="array" ref="L117">IFERROR(J117*INDEX('PORTIFÓLIO'!$S$4:$S$433,MATCH($C117,'PORTIFÓLIO'!$C$4:$C$433,0)),"")</f>
        <v>1951.51896</v>
      </c>
      <c r="M117" s="220"/>
      <c r="N117" s="220"/>
      <c r="O117" s="220"/>
      <c r="P117" s="220"/>
      <c r="Q117" s="220"/>
      <c r="R117" s="220"/>
      <c r="S117" s="220"/>
      <c r="T117" s="220"/>
      <c r="U117" s="220"/>
      <c r="V117" s="220"/>
      <c r="W117" s="220"/>
    </row>
    <row r="118" ht="15.75" customHeight="1" outlineLevel="1">
      <c r="A118" s="211"/>
      <c r="B118" s="212" t="s">
        <v>2</v>
      </c>
      <c r="C118" s="283" t="s">
        <v>752</v>
      </c>
      <c r="D118" s="214" t="str">
        <f>IFERROR(VLOOKUP($C118,'PORTIFÓLIO'!C:V,2,0),"")</f>
        <v>ACEFATO</v>
      </c>
      <c r="E118" s="211">
        <f>IFERROR(VLOOKUP($C118,'PORTIFÓLIO'!C:V,3,0),"")</f>
        <v>970</v>
      </c>
      <c r="F118" s="211" t="str">
        <f>IFERROR(VLOOKUP($C118,'PORTIFÓLIO'!C:V,4,0),"")</f>
        <v>L</v>
      </c>
      <c r="G118" s="225" t="str">
        <f>IFERROR(VLOOKUP($C118,'PORTIFÓLIO'!C:V,5,0),"")</f>
        <v>📄 Ver bula</v>
      </c>
      <c r="H118" s="254">
        <f t="array" ref="H118">IFERROR(INDEX('PORTIFÓLIO'!$H$4:$H$433,MATCH($C118,'PORTIFÓLIO'!$C$4:$C$433,0)),"")</f>
        <v>0.6</v>
      </c>
      <c r="I118" s="255">
        <v>0.6</v>
      </c>
      <c r="J118" s="218">
        <f t="shared" si="14"/>
        <v>28.2</v>
      </c>
      <c r="K118" s="219">
        <f t="array" ref="K118">IFERROR(I118*INDEX('PORTIFÓLIO'!$S$4:$S$433,MATCH($C118,'PORTIFÓLIO'!$C$4:$C$433,0)),"")</f>
        <v>22.266</v>
      </c>
      <c r="L118" s="219">
        <f t="array" ref="L118">IFERROR(J118*INDEX('PORTIFÓLIO'!$S$4:$S$433,MATCH($C118,'PORTIFÓLIO'!$C$4:$C$433,0)),"")</f>
        <v>1046.502</v>
      </c>
      <c r="M118" s="220"/>
      <c r="N118" s="220"/>
      <c r="O118" s="220"/>
      <c r="P118" s="220"/>
      <c r="Q118" s="220"/>
      <c r="R118" s="220"/>
      <c r="S118" s="220"/>
      <c r="T118" s="220"/>
      <c r="U118" s="220"/>
      <c r="V118" s="220"/>
      <c r="W118" s="220"/>
    </row>
    <row r="119" ht="15.75" customHeight="1" outlineLevel="1">
      <c r="A119" s="211"/>
      <c r="B119" s="212" t="s">
        <v>2</v>
      </c>
      <c r="C119" s="283" t="s">
        <v>786</v>
      </c>
      <c r="D119" s="214" t="str">
        <f>IFERROR(VLOOKUP($C119,'PORTIFÓLIO'!C:V,2,0),"")</f>
        <v>DIFLUBENZUROM</v>
      </c>
      <c r="E119" s="211">
        <f>IFERROR(VLOOKUP($C119,'PORTIFÓLIO'!C:V,3,0),"")</f>
        <v>480</v>
      </c>
      <c r="F119" s="211" t="str">
        <f>IFERROR(VLOOKUP($C119,'PORTIFÓLIO'!C:V,4,0),"")</f>
        <v>KG</v>
      </c>
      <c r="G119" s="225" t="str">
        <f>IFERROR(VLOOKUP($C119,'PORTIFÓLIO'!C:V,5,0),"")</f>
        <v>📄 Ver bula</v>
      </c>
      <c r="H119" s="254">
        <f t="array" ref="H119">IFERROR(INDEX('PORTIFÓLIO'!$H$4:$H$433,MATCH($C119,'PORTIFÓLIO'!$C$4:$C$433,0)),"")</f>
        <v>0.04</v>
      </c>
      <c r="I119" s="255">
        <v>0.05</v>
      </c>
      <c r="J119" s="218">
        <f t="shared" si="14"/>
        <v>2.35</v>
      </c>
      <c r="K119" s="219">
        <f t="array" ref="K119">IFERROR(I119*INDEX('PORTIFÓLIO'!$S$4:$S$433,MATCH($C119,'PORTIFÓLIO'!$C$4:$C$433,0)),"")</f>
        <v>2.927979</v>
      </c>
      <c r="L119" s="219">
        <f t="array" ref="L119">IFERROR(J119*INDEX('PORTIFÓLIO'!$S$4:$S$433,MATCH($C119,'PORTIFÓLIO'!$C$4:$C$433,0)),"")</f>
        <v>137.615013</v>
      </c>
      <c r="M119" s="220"/>
      <c r="N119" s="220"/>
      <c r="O119" s="220"/>
      <c r="P119" s="220"/>
      <c r="Q119" s="220"/>
      <c r="R119" s="220"/>
      <c r="S119" s="220"/>
      <c r="T119" s="220"/>
      <c r="U119" s="220"/>
      <c r="V119" s="220"/>
      <c r="W119" s="220"/>
    </row>
    <row r="120" ht="15.75" customHeight="1" outlineLevel="1">
      <c r="A120" s="211"/>
      <c r="B120" s="212" t="s">
        <v>6</v>
      </c>
      <c r="C120" s="213" t="s">
        <v>351</v>
      </c>
      <c r="D120" s="214" t="str">
        <f>IFERROR(VLOOKUP($C120,'PORTIFÓLIO'!C:V,2,0),"")</f>
        <v>ÉSTER METILICO DE OLEO DE SOJA</v>
      </c>
      <c r="E120" s="211">
        <f>IFERROR(VLOOKUP($C120,'PORTIFÓLIO'!C:V,3,0),"")</f>
        <v>720</v>
      </c>
      <c r="F120" s="211" t="str">
        <f>IFERROR(VLOOKUP($C120,'PORTIFÓLIO'!C:V,4,0),"")</f>
        <v>L</v>
      </c>
      <c r="G120" s="225" t="str">
        <f>IFERROR(VLOOKUP($C120,'PORTIFÓLIO'!C:V,5,0),"")</f>
        <v>📄 Ver bula</v>
      </c>
      <c r="H120" s="254">
        <f t="array" ref="H120">IFERROR(INDEX('PORTIFÓLIO'!$H$4:$H$433,MATCH($C120,'PORTIFÓLIO'!$C$4:$C$433,0)),"")</f>
        <v>0.08</v>
      </c>
      <c r="I120" s="255">
        <v>0.2</v>
      </c>
      <c r="J120" s="218">
        <f t="shared" si="14"/>
        <v>9.4</v>
      </c>
      <c r="K120" s="219">
        <f t="array" ref="K120">IFERROR(I120*INDEX('PORTIFÓLIO'!$S$4:$S$433,MATCH($C120,'PORTIFÓLIO'!$C$4:$C$433,0)),"")</f>
        <v>2.968756</v>
      </c>
      <c r="L120" s="219">
        <f t="array" ref="L120">IFERROR(J120*INDEX('PORTIFÓLIO'!$S$4:$S$433,MATCH($C120,'PORTIFÓLIO'!$C$4:$C$433,0)),"")</f>
        <v>139.531532</v>
      </c>
      <c r="M120" s="220"/>
      <c r="N120" s="220"/>
      <c r="O120" s="220"/>
      <c r="P120" s="220"/>
      <c r="Q120" s="220"/>
      <c r="R120" s="220"/>
      <c r="S120" s="220"/>
      <c r="T120" s="220"/>
      <c r="U120" s="220"/>
      <c r="V120" s="220"/>
      <c r="W120" s="220"/>
    </row>
    <row r="121" ht="15.75" customHeight="1" outlineLevel="1">
      <c r="A121" s="211"/>
      <c r="B121" s="212"/>
      <c r="C121" s="213"/>
      <c r="D121" s="214" t="str">
        <f>IFERROR(VLOOKUP($C121,'PORTIFÓLIO'!C:V,2,0),"")</f>
        <v/>
      </c>
      <c r="E121" s="211" t="str">
        <f>IFERROR(VLOOKUP($C121,'PORTIFÓLIO'!C:V,3,0),"")</f>
        <v/>
      </c>
      <c r="F121" s="211" t="str">
        <f>IFERROR(VLOOKUP($C121,'PORTIFÓLIO'!C:V,4,0),"")</f>
        <v/>
      </c>
      <c r="G121" s="215" t="str">
        <f>IFERROR(VLOOKUP($C121,'PORTIFÓLIO'!C:V,5,0),"")</f>
        <v/>
      </c>
      <c r="H121" s="254" t="str">
        <f t="array" ref="H121">IFERROR(INDEX('PORTIFÓLIO'!$H$4:$H$433,MATCH($C121,'PORTIFÓLIO'!$C$4:$C$433,0)),"")</f>
        <v/>
      </c>
      <c r="I121" s="255"/>
      <c r="J121" s="218">
        <f t="shared" si="14"/>
        <v>0</v>
      </c>
      <c r="K121" s="219" t="str">
        <f t="array" ref="K121">IFERROR(I121*INDEX('PORTIFÓLIO'!$S$4:$S$433,MATCH($C121,'PORTIFÓLIO'!$C$4:$C$433,0)),"")</f>
        <v/>
      </c>
      <c r="L121" s="219" t="str">
        <f t="array" ref="L121">IFERROR(J121*INDEX('PORTIFÓLIO'!$S$4:$S$433,MATCH($C121,'PORTIFÓLIO'!$C$4:$C$433,0)),"")</f>
        <v/>
      </c>
      <c r="M121" s="220"/>
      <c r="N121" s="220"/>
      <c r="O121" s="220"/>
      <c r="P121" s="220"/>
      <c r="Q121" s="220"/>
      <c r="R121" s="220"/>
      <c r="S121" s="220"/>
      <c r="T121" s="220"/>
      <c r="U121" s="220"/>
      <c r="V121" s="220"/>
      <c r="W121" s="220"/>
    </row>
    <row r="122" ht="15.75" customHeight="1" outlineLevel="1">
      <c r="A122" s="211"/>
      <c r="B122" s="212"/>
      <c r="C122" s="213"/>
      <c r="D122" s="214" t="str">
        <f>IFERROR(VLOOKUP($C122,'PORTIFÓLIO'!C:V,2,0),"")</f>
        <v/>
      </c>
      <c r="E122" s="211" t="str">
        <f>IFERROR(VLOOKUP($C122,'PORTIFÓLIO'!C:V,3,0),"")</f>
        <v/>
      </c>
      <c r="F122" s="211" t="str">
        <f>IFERROR(VLOOKUP($C122,'PORTIFÓLIO'!C:V,4,0),"")</f>
        <v/>
      </c>
      <c r="G122" s="215" t="str">
        <f>IFERROR(VLOOKUP($C122,'PORTIFÓLIO'!C:V,5,0),"")</f>
        <v/>
      </c>
      <c r="H122" s="254" t="str">
        <f t="array" ref="H122">IFERROR(INDEX('PORTIFÓLIO'!$H$4:$H$433,MATCH($C122,'PORTIFÓLIO'!$C$4:$C$433,0)),"")</f>
        <v/>
      </c>
      <c r="I122" s="255"/>
      <c r="J122" s="218">
        <f t="shared" si="14"/>
        <v>0</v>
      </c>
      <c r="K122" s="219" t="str">
        <f t="array" ref="K122">IFERROR(I122*INDEX('PORTIFÓLIO'!$S$4:$S$433,MATCH($C122,'PORTIFÓLIO'!$C$4:$C$433,0)),"")</f>
        <v/>
      </c>
      <c r="L122" s="219" t="str">
        <f t="array" ref="L122">IFERROR(J122*INDEX('PORTIFÓLIO'!$S$4:$S$433,MATCH($C122,'PORTIFÓLIO'!$C$4:$C$433,0)),"")</f>
        <v/>
      </c>
      <c r="M122" s="220"/>
      <c r="N122" s="220"/>
      <c r="O122" s="220"/>
      <c r="P122" s="220"/>
      <c r="Q122" s="220"/>
      <c r="R122" s="220"/>
      <c r="S122" s="220"/>
      <c r="T122" s="220"/>
      <c r="U122" s="220"/>
      <c r="V122" s="220"/>
      <c r="W122" s="220"/>
    </row>
    <row r="123" ht="15.75" customHeight="1" outlineLevel="1">
      <c r="A123" s="211"/>
      <c r="B123" s="212"/>
      <c r="C123" s="213"/>
      <c r="D123" s="214" t="str">
        <f>IFERROR(VLOOKUP($C123,'PORTIFÓLIO'!C:V,2,0),"")</f>
        <v/>
      </c>
      <c r="E123" s="211" t="str">
        <f>IFERROR(VLOOKUP($C123,'PORTIFÓLIO'!C:V,3,0),"")</f>
        <v/>
      </c>
      <c r="F123" s="211" t="str">
        <f>IFERROR(VLOOKUP($C123,'PORTIFÓLIO'!C:V,4,0),"")</f>
        <v/>
      </c>
      <c r="G123" s="215" t="str">
        <f>IFERROR(VLOOKUP($C123,'PORTIFÓLIO'!C:V,5,0),"")</f>
        <v/>
      </c>
      <c r="H123" s="254" t="str">
        <f t="array" ref="H123">IFERROR(INDEX('PORTIFÓLIO'!$H$4:$H$433,MATCH($C123,'PORTIFÓLIO'!$C$4:$C$433,0)),"")</f>
        <v/>
      </c>
      <c r="I123" s="255"/>
      <c r="J123" s="218">
        <f t="shared" si="14"/>
        <v>0</v>
      </c>
      <c r="K123" s="219" t="str">
        <f t="array" ref="K123">IFERROR(I123*INDEX('PORTIFÓLIO'!$S$4:$S$433,MATCH($C123,'PORTIFÓLIO'!$C$4:$C$433,0)),"")</f>
        <v/>
      </c>
      <c r="L123" s="219" t="str">
        <f t="array" ref="L123">IFERROR(J123*INDEX('PORTIFÓLIO'!$S$4:$S$433,MATCH($C123,'PORTIFÓLIO'!$C$4:$C$433,0)),"")</f>
        <v/>
      </c>
      <c r="M123" s="220"/>
      <c r="N123" s="220"/>
      <c r="O123" s="220"/>
      <c r="P123" s="220"/>
      <c r="Q123" s="220"/>
      <c r="R123" s="220"/>
      <c r="S123" s="220"/>
      <c r="T123" s="220"/>
      <c r="U123" s="220"/>
      <c r="V123" s="220"/>
      <c r="W123" s="220"/>
    </row>
    <row r="124" ht="15.75" customHeight="1" outlineLevel="1">
      <c r="A124" s="211"/>
      <c r="B124" s="212"/>
      <c r="C124" s="213"/>
      <c r="D124" s="214" t="str">
        <f>IFERROR(VLOOKUP($C124,'PORTIFÓLIO'!C:V,2,0),"")</f>
        <v/>
      </c>
      <c r="E124" s="211" t="str">
        <f>IFERROR(VLOOKUP($C124,'PORTIFÓLIO'!C:V,3,0),"")</f>
        <v/>
      </c>
      <c r="F124" s="211" t="str">
        <f>IFERROR(VLOOKUP($C124,'PORTIFÓLIO'!C:V,4,0),"")</f>
        <v/>
      </c>
      <c r="G124" s="215" t="str">
        <f>IFERROR(VLOOKUP($C124,'PORTIFÓLIO'!C:V,5,0),"")</f>
        <v/>
      </c>
      <c r="H124" s="254" t="str">
        <f t="array" ref="H124">IFERROR(INDEX('PORTIFÓLIO'!$H$4:$H$433,MATCH($C124,'PORTIFÓLIO'!$C$4:$C$433,0)),"")</f>
        <v/>
      </c>
      <c r="I124" s="256"/>
      <c r="J124" s="218">
        <f t="shared" si="14"/>
        <v>0</v>
      </c>
      <c r="K124" s="219" t="str">
        <f t="array" ref="K124">IFERROR(I124*INDEX('PORTIFÓLIO'!$S$4:$S$433,MATCH($C124,'PORTIFÓLIO'!$C$4:$C$433,0)),"")</f>
        <v/>
      </c>
      <c r="L124" s="219" t="str">
        <f t="array" ref="L124">IFERROR(J124*INDEX('PORTIFÓLIO'!$S$4:$S$433,MATCH($C124,'PORTIFÓLIO'!$C$4:$C$433,0)),"")</f>
        <v/>
      </c>
      <c r="M124" s="220"/>
      <c r="N124" s="220"/>
      <c r="O124" s="220"/>
      <c r="P124" s="220"/>
      <c r="Q124" s="220"/>
      <c r="R124" s="220"/>
      <c r="S124" s="220"/>
      <c r="T124" s="220"/>
      <c r="U124" s="220"/>
      <c r="V124" s="220"/>
      <c r="W124" s="220"/>
    </row>
    <row r="125" ht="15.75" customHeight="1" outlineLevel="1">
      <c r="A125" s="211"/>
      <c r="B125" s="212"/>
      <c r="C125" s="213"/>
      <c r="D125" s="214" t="str">
        <f>IFERROR(VLOOKUP($C125,'PORTIFÓLIO'!C:V,2,0),"")</f>
        <v/>
      </c>
      <c r="E125" s="211" t="str">
        <f>IFERROR(VLOOKUP($C125,'PORTIFÓLIO'!C:V,3,0),"")</f>
        <v/>
      </c>
      <c r="F125" s="211" t="str">
        <f>IFERROR(VLOOKUP($C125,'PORTIFÓLIO'!C:V,4,0),"")</f>
        <v/>
      </c>
      <c r="G125" s="215" t="str">
        <f>IFERROR(VLOOKUP($C125,'PORTIFÓLIO'!C:V,5,0),"")</f>
        <v/>
      </c>
      <c r="H125" s="254" t="str">
        <f t="array" ref="H125">IFERROR(INDEX('PORTIFÓLIO'!$H$4:$H$433,MATCH($C125,'PORTIFÓLIO'!$C$4:$C$433,0)),"")</f>
        <v/>
      </c>
      <c r="I125" s="256"/>
      <c r="J125" s="218">
        <f t="shared" si="14"/>
        <v>0</v>
      </c>
      <c r="K125" s="219" t="str">
        <f t="array" ref="K125">IFERROR(I125*INDEX('PORTIFÓLIO'!$S$4:$S$433,MATCH($C125,'PORTIFÓLIO'!$C$4:$C$433,0)),"")</f>
        <v/>
      </c>
      <c r="L125" s="219" t="str">
        <f t="array" ref="L125">IFERROR(J125*INDEX('PORTIFÓLIO'!$S$4:$S$433,MATCH($C125,'PORTIFÓLIO'!$C$4:$C$433,0)),"")</f>
        <v/>
      </c>
      <c r="M125" s="220"/>
      <c r="N125" s="220"/>
      <c r="O125" s="220"/>
      <c r="P125" s="220"/>
      <c r="Q125" s="220"/>
      <c r="R125" s="220"/>
      <c r="S125" s="220"/>
      <c r="T125" s="220"/>
      <c r="U125" s="220"/>
      <c r="V125" s="220"/>
      <c r="W125" s="220"/>
    </row>
    <row r="126" ht="15.75" customHeight="1" outlineLevel="1">
      <c r="A126" s="211"/>
      <c r="B126" s="212"/>
      <c r="C126" s="213"/>
      <c r="D126" s="214" t="str">
        <f>IFERROR(VLOOKUP($C126,'PORTIFÓLIO'!C:V,2,0),"")</f>
        <v/>
      </c>
      <c r="E126" s="211" t="str">
        <f>IFERROR(VLOOKUP($C126,'PORTIFÓLIO'!C:V,3,0),"")</f>
        <v/>
      </c>
      <c r="F126" s="211" t="str">
        <f>IFERROR(VLOOKUP($C126,'PORTIFÓLIO'!C:V,4,0),"")</f>
        <v/>
      </c>
      <c r="G126" s="215" t="str">
        <f>IFERROR(VLOOKUP($C126,'PORTIFÓLIO'!C:V,5,0),"")</f>
        <v/>
      </c>
      <c r="H126" s="254" t="str">
        <f t="array" ref="H126">IFERROR(INDEX('PORTIFÓLIO'!$H$4:$H$433,MATCH($C126,'PORTIFÓLIO'!$C$4:$C$433,0)),"")</f>
        <v/>
      </c>
      <c r="I126" s="256"/>
      <c r="J126" s="218">
        <f t="shared" si="14"/>
        <v>0</v>
      </c>
      <c r="K126" s="219" t="str">
        <f t="array" ref="K126">IFERROR(I126*INDEX('PORTIFÓLIO'!$S$4:$S$433,MATCH($C126,'PORTIFÓLIO'!$C$4:$C$433,0)),"")</f>
        <v/>
      </c>
      <c r="L126" s="219" t="str">
        <f t="array" ref="L126">IFERROR(J126*INDEX('PORTIFÓLIO'!$S$4:$S$433,MATCH($C126,'PORTIFÓLIO'!$C$4:$C$433,0)),"")</f>
        <v/>
      </c>
      <c r="M126" s="220"/>
      <c r="N126" s="220"/>
      <c r="O126" s="220"/>
      <c r="P126" s="220"/>
      <c r="Q126" s="220"/>
      <c r="R126" s="220"/>
      <c r="S126" s="220"/>
      <c r="T126" s="220"/>
      <c r="U126" s="220"/>
      <c r="V126" s="220"/>
      <c r="W126" s="220"/>
    </row>
    <row r="127" ht="15.75" customHeight="1" outlineLevel="1">
      <c r="A127" s="211"/>
      <c r="B127" s="212"/>
      <c r="C127" s="213"/>
      <c r="D127" s="214" t="str">
        <f>IFERROR(VLOOKUP($C127,'PORTIFÓLIO'!C:V,2,0),"")</f>
        <v/>
      </c>
      <c r="E127" s="211" t="str">
        <f>IFERROR(VLOOKUP($C127,'PORTIFÓLIO'!C:V,3,0),"")</f>
        <v/>
      </c>
      <c r="F127" s="211" t="str">
        <f>IFERROR(VLOOKUP($C127,'PORTIFÓLIO'!C:V,4,0),"")</f>
        <v/>
      </c>
      <c r="G127" s="215" t="str">
        <f>IFERROR(VLOOKUP($C127,'PORTIFÓLIO'!C:V,5,0),"")</f>
        <v/>
      </c>
      <c r="H127" s="254" t="str">
        <f t="array" ref="H127">IFERROR(INDEX('PORTIFÓLIO'!$H$4:$H$433,MATCH($C127,'PORTIFÓLIO'!$C$4:$C$433,0)),"")</f>
        <v/>
      </c>
      <c r="I127" s="256"/>
      <c r="J127" s="218">
        <f t="shared" si="14"/>
        <v>0</v>
      </c>
      <c r="K127" s="219" t="str">
        <f t="array" ref="K127">IFERROR(I127*INDEX('PORTIFÓLIO'!$S$4:$S$433,MATCH($C127,'PORTIFÓLIO'!$C$4:$C$433,0)),"")</f>
        <v/>
      </c>
      <c r="L127" s="219" t="str">
        <f t="array" ref="L127">IFERROR(J127*INDEX('PORTIFÓLIO'!$S$4:$S$433,MATCH($C127,'PORTIFÓLIO'!$C$4:$C$433,0)),"")</f>
        <v/>
      </c>
      <c r="M127" s="220"/>
      <c r="N127" s="220"/>
      <c r="O127" s="220"/>
      <c r="P127" s="220"/>
      <c r="Q127" s="220"/>
      <c r="R127" s="220"/>
      <c r="S127" s="220"/>
      <c r="T127" s="220"/>
      <c r="U127" s="220"/>
      <c r="V127" s="220"/>
      <c r="W127" s="220"/>
    </row>
    <row r="128" ht="15.75" customHeight="1" outlineLevel="1">
      <c r="A128" s="211"/>
      <c r="B128" s="212"/>
      <c r="C128" s="213"/>
      <c r="D128" s="214" t="str">
        <f>IFERROR(VLOOKUP($C128,'PORTIFÓLIO'!C:V,2,0),"")</f>
        <v/>
      </c>
      <c r="E128" s="211" t="str">
        <f>IFERROR(VLOOKUP($C128,'PORTIFÓLIO'!C:V,3,0),"")</f>
        <v/>
      </c>
      <c r="F128" s="211" t="str">
        <f>IFERROR(VLOOKUP($C128,'PORTIFÓLIO'!C:V,4,0),"")</f>
        <v/>
      </c>
      <c r="G128" s="215" t="str">
        <f>IFERROR(VLOOKUP($C128,'PORTIFÓLIO'!C:V,5,0),"")</f>
        <v/>
      </c>
      <c r="H128" s="254" t="str">
        <f t="array" ref="H128">IFERROR(INDEX('PORTIFÓLIO'!$H$4:$H$433,MATCH($C128,'PORTIFÓLIO'!$C$4:$C$433,0)),"")</f>
        <v/>
      </c>
      <c r="I128" s="256"/>
      <c r="J128" s="218">
        <f t="shared" si="14"/>
        <v>0</v>
      </c>
      <c r="K128" s="219" t="str">
        <f t="array" ref="K128">IFERROR(I128*INDEX('PORTIFÓLIO'!$S$4:$S$433,MATCH($C128,'PORTIFÓLIO'!$C$4:$C$433,0)),"")</f>
        <v/>
      </c>
      <c r="L128" s="219" t="str">
        <f t="array" ref="L128">IFERROR(J128*INDEX('PORTIFÓLIO'!$S$4:$S$433,MATCH($C128,'PORTIFÓLIO'!$C$4:$C$433,0)),"")</f>
        <v/>
      </c>
      <c r="M128" s="220"/>
      <c r="N128" s="220"/>
      <c r="O128" s="220"/>
      <c r="P128" s="220"/>
      <c r="Q128" s="220"/>
      <c r="R128" s="220"/>
      <c r="S128" s="220"/>
      <c r="T128" s="220"/>
      <c r="U128" s="220"/>
      <c r="V128" s="220"/>
      <c r="W128" s="220"/>
    </row>
    <row r="129" ht="15.75" customHeight="1" outlineLevel="1">
      <c r="A129" s="211"/>
      <c r="B129" s="212"/>
      <c r="C129" s="213"/>
      <c r="D129" s="214" t="str">
        <f>IFERROR(VLOOKUP($C129,'PORTIFÓLIO'!C:V,2,0),"")</f>
        <v/>
      </c>
      <c r="E129" s="211" t="str">
        <f>IFERROR(VLOOKUP($C129,'PORTIFÓLIO'!C:V,3,0),"")</f>
        <v/>
      </c>
      <c r="F129" s="211" t="str">
        <f>IFERROR(VLOOKUP($C129,'PORTIFÓLIO'!C:V,4,0),"")</f>
        <v/>
      </c>
      <c r="G129" s="215" t="str">
        <f>IFERROR(VLOOKUP($C129,'PORTIFÓLIO'!C:V,5,0),"")</f>
        <v/>
      </c>
      <c r="H129" s="254" t="str">
        <f t="array" ref="H129">IFERROR(INDEX('PORTIFÓLIO'!$H$4:$H$433,MATCH($C129,'PORTIFÓLIO'!$C$4:$C$433,0)),"")</f>
        <v/>
      </c>
      <c r="I129" s="256"/>
      <c r="J129" s="218">
        <f t="shared" si="14"/>
        <v>0</v>
      </c>
      <c r="K129" s="219" t="str">
        <f t="array" ref="K129">IFERROR(I129*INDEX('PORTIFÓLIO'!$S$4:$S$433,MATCH($C129,'PORTIFÓLIO'!$C$4:$C$433,0)),"")</f>
        <v/>
      </c>
      <c r="L129" s="219" t="str">
        <f t="array" ref="L129">IFERROR(J129*INDEX('PORTIFÓLIO'!$S$4:$S$433,MATCH($C129,'PORTIFÓLIO'!$C$4:$C$433,0)),"")</f>
        <v/>
      </c>
      <c r="M129" s="220"/>
      <c r="N129" s="220"/>
      <c r="O129" s="220"/>
      <c r="P129" s="220"/>
      <c r="Q129" s="220"/>
      <c r="R129" s="220"/>
      <c r="S129" s="220"/>
      <c r="T129" s="220"/>
      <c r="U129" s="220"/>
      <c r="V129" s="220"/>
      <c r="W129" s="220"/>
    </row>
    <row r="130" ht="15.75" customHeight="1" outlineLevel="1">
      <c r="A130" s="211"/>
      <c r="B130" s="227"/>
      <c r="C130" s="211"/>
      <c r="D130" s="214" t="str">
        <f>IFERROR(VLOOKUP($C130,'PORTIFÓLIO'!C:V,2,0),"")</f>
        <v/>
      </c>
      <c r="E130" s="211" t="str">
        <f>IFERROR(VLOOKUP($C130,'PORTIFÓLIO'!C:V,3,0),"")</f>
        <v/>
      </c>
      <c r="F130" s="211" t="str">
        <f>IFERROR(VLOOKUP($C130,'PORTIFÓLIO'!C:V,4,0),"")</f>
        <v/>
      </c>
      <c r="G130" s="215" t="str">
        <f>IFERROR(VLOOKUP($C130,'PORTIFÓLIO'!C:V,5,0),"")</f>
        <v/>
      </c>
      <c r="H130" s="254" t="str">
        <f t="array" ref="H130">IFERROR(INDEX('PORTIFÓLIO'!$H$4:$H$433,MATCH($C130,'PORTIFÓLIO'!$C$4:$C$433,0)),"")</f>
        <v/>
      </c>
      <c r="I130" s="256"/>
      <c r="J130" s="218"/>
      <c r="K130" s="219" t="str">
        <f t="array" ref="K130">IFERROR(I130*INDEX('PORTIFÓLIO'!$S$4:$S$433,MATCH($C130,'PORTIFÓLIO'!$C$4:$C$433,0)),"")</f>
        <v/>
      </c>
      <c r="L130" s="219" t="str">
        <f t="array" ref="L130">IFERROR(J130*INDEX('PORTIFÓLIO'!$S$4:$S$433,MATCH($C130,'PORTIFÓLIO'!$C$4:$C$433,0)),"")</f>
        <v/>
      </c>
      <c r="M130" s="220"/>
      <c r="N130" s="220"/>
      <c r="O130" s="220"/>
      <c r="P130" s="220"/>
      <c r="Q130" s="220"/>
      <c r="R130" s="220"/>
      <c r="S130" s="220"/>
      <c r="T130" s="220"/>
      <c r="U130" s="220"/>
      <c r="V130" s="220"/>
      <c r="W130" s="220"/>
    </row>
    <row r="131" ht="15.75" customHeight="1">
      <c r="A131" s="229" t="s">
        <v>1191</v>
      </c>
      <c r="B131" s="230"/>
      <c r="C131" s="231"/>
      <c r="D131" s="232"/>
      <c r="E131" s="231"/>
      <c r="F131" s="231"/>
      <c r="G131" s="233"/>
      <c r="H131" s="233"/>
      <c r="I131" s="258"/>
      <c r="J131" s="236"/>
      <c r="K131" s="237">
        <f t="shared" ref="K131:L131" si="15">SUBTOTAL(9,K132:K145)</f>
        <v>182.923288</v>
      </c>
      <c r="L131" s="237">
        <f t="shared" si="15"/>
        <v>8597.394536</v>
      </c>
      <c r="M131" s="220"/>
      <c r="N131" s="220"/>
      <c r="O131" s="220"/>
      <c r="P131" s="220"/>
      <c r="Q131" s="220"/>
      <c r="R131" s="220"/>
      <c r="S131" s="220"/>
      <c r="T131" s="220"/>
      <c r="U131" s="220"/>
      <c r="V131" s="220"/>
      <c r="W131" s="220"/>
    </row>
    <row r="132" ht="15.75" customHeight="1" outlineLevel="1">
      <c r="A132" s="213"/>
      <c r="B132" s="212" t="s">
        <v>0</v>
      </c>
      <c r="C132" s="213" t="s">
        <v>487</v>
      </c>
      <c r="D132" s="214" t="str">
        <f>IFERROR(VLOOKUP($C132,'PORTIFÓLIO'!C:V,2,0),"")</f>
        <v>PICOXISTROBINA + CIPROCONAZOL</v>
      </c>
      <c r="E132" s="211" t="str">
        <f>IFERROR(VLOOKUP($C132,'PORTIFÓLIO'!C:V,3,0),"")</f>
        <v>90 + 40</v>
      </c>
      <c r="F132" s="211" t="str">
        <f>IFERROR(VLOOKUP($C132,'PORTIFÓLIO'!C:V,4,0),"")</f>
        <v>L</v>
      </c>
      <c r="G132" s="225" t="str">
        <f>IFERROR(VLOOKUP($C132,'PORTIFÓLIO'!C:V,5,0),"")</f>
        <v>📄 Ver bula</v>
      </c>
      <c r="H132" s="254">
        <f t="array" ref="H132">IFERROR(INDEX('PORTIFÓLIO'!$H$4:$H$433,MATCH($C132,'PORTIFÓLIO'!$C$4:$C$433,0)),"")</f>
        <v>0.6</v>
      </c>
      <c r="I132" s="255">
        <v>0.6</v>
      </c>
      <c r="J132" s="218">
        <f t="shared" ref="J132:J146" si="16">I132*$B$2</f>
        <v>28.2</v>
      </c>
      <c r="K132" s="219">
        <f t="array" ref="K132">IFERROR(I132*INDEX('PORTIFÓLIO'!$S$4:$S$433,MATCH($C132,'PORTIFÓLIO'!$C$4:$C$433,0)),"")</f>
        <v>39.349152</v>
      </c>
      <c r="L132" s="219">
        <f t="array" ref="L132">IFERROR(J132*INDEX('PORTIFÓLIO'!$S$4:$S$433,MATCH($C132,'PORTIFÓLIO'!$C$4:$C$433,0)),"")</f>
        <v>1849.410144</v>
      </c>
      <c r="M132" s="220"/>
      <c r="N132" s="220"/>
      <c r="O132" s="220"/>
      <c r="P132" s="220"/>
      <c r="Q132" s="220"/>
      <c r="R132" s="220"/>
      <c r="S132" s="220"/>
      <c r="T132" s="220"/>
      <c r="U132" s="220"/>
      <c r="V132" s="220"/>
      <c r="W132" s="220"/>
    </row>
    <row r="133" ht="15.75" customHeight="1" outlineLevel="1">
      <c r="A133" s="211"/>
      <c r="B133" s="212" t="s">
        <v>0</v>
      </c>
      <c r="C133" s="213" t="s">
        <v>484</v>
      </c>
      <c r="D133" s="214" t="str">
        <f>IFERROR(VLOOKUP($C133,'PORTIFÓLIO'!C:V,2,0),"")</f>
        <v>MANCOZEBE</v>
      </c>
      <c r="E133" s="211">
        <f>IFERROR(VLOOKUP($C133,'PORTIFÓLIO'!C:V,3,0),"")</f>
        <v>750</v>
      </c>
      <c r="F133" s="211" t="str">
        <f>IFERROR(VLOOKUP($C133,'PORTIFÓLIO'!C:V,4,0),"")</f>
        <v>L</v>
      </c>
      <c r="G133" s="225" t="str">
        <f>IFERROR(VLOOKUP($C133,'PORTIFÓLIO'!C:V,5,0),"")</f>
        <v>📄 Ver bula</v>
      </c>
      <c r="H133" s="254">
        <f t="array" ref="H133">IFERROR(INDEX('PORTIFÓLIO'!$H$4:$H$433,MATCH($C133,'PORTIFÓLIO'!$C$4:$C$433,0)),"")</f>
        <v>1.5</v>
      </c>
      <c r="I133" s="255">
        <v>1.5</v>
      </c>
      <c r="J133" s="218">
        <f t="shared" si="16"/>
        <v>70.5</v>
      </c>
      <c r="K133" s="219">
        <f t="array" ref="K133">IFERROR(I133*INDEX('PORTIFÓLIO'!$S$4:$S$433,MATCH($C133,'PORTIFÓLIO'!$C$4:$C$433,0)),"")</f>
        <v>41.52168</v>
      </c>
      <c r="L133" s="219">
        <f t="array" ref="L133">IFERROR(J133*INDEX('PORTIFÓLIO'!$S$4:$S$433,MATCH($C133,'PORTIFÓLIO'!$C$4:$C$433,0)),"")</f>
        <v>1951.51896</v>
      </c>
      <c r="M133" s="220"/>
      <c r="N133" s="220"/>
      <c r="O133" s="220"/>
      <c r="P133" s="220"/>
      <c r="Q133" s="220"/>
      <c r="R133" s="220"/>
      <c r="S133" s="220"/>
      <c r="T133" s="220"/>
      <c r="U133" s="220"/>
      <c r="V133" s="220"/>
      <c r="W133" s="220"/>
    </row>
    <row r="134" ht="15.75" customHeight="1" outlineLevel="1">
      <c r="A134" s="211"/>
      <c r="B134" s="212" t="s">
        <v>2</v>
      </c>
      <c r="C134" s="213" t="s">
        <v>897</v>
      </c>
      <c r="D134" s="214" t="str">
        <f>IFERROR(VLOOKUP($C134,'PORTIFÓLIO'!C:V,2,0),"")</f>
        <v>ISOCICLOSERAM + LAMBDA-CIALOTRINA</v>
      </c>
      <c r="E134" s="211" t="str">
        <f>IFERROR(VLOOKUP($C134,'PORTIFÓLIO'!C:V,3,0),"")</f>
        <v>100 + 150</v>
      </c>
      <c r="F134" s="211" t="str">
        <f>IFERROR(VLOOKUP($C134,'PORTIFÓLIO'!C:V,4,0),"")</f>
        <v>L</v>
      </c>
      <c r="G134" s="225" t="str">
        <f>IFERROR(VLOOKUP($C134,'PORTIFÓLIO'!C:V,5,0),"")</f>
        <v>📄 Ver bula</v>
      </c>
      <c r="H134" s="254">
        <f t="array" ref="H134">IFERROR(INDEX('PORTIFÓLIO'!$H$4:$H$433,MATCH($C134,'PORTIFÓLIO'!$C$4:$C$433,0)),"")</f>
        <v>0.25</v>
      </c>
      <c r="I134" s="255">
        <v>0.25</v>
      </c>
      <c r="J134" s="218">
        <f t="shared" si="16"/>
        <v>11.75</v>
      </c>
      <c r="K134" s="219">
        <f t="array" ref="K134">IFERROR(I134*INDEX('PORTIFÓLIO'!$S$4:$S$433,MATCH($C134,'PORTIFÓLIO'!$C$4:$C$433,0)),"")</f>
        <v>99.0837</v>
      </c>
      <c r="L134" s="219">
        <f t="array" ref="L134">IFERROR(J134*INDEX('PORTIFÓLIO'!$S$4:$S$433,MATCH($C134,'PORTIFÓLIO'!$C$4:$C$433,0)),"")</f>
        <v>4656.9339</v>
      </c>
      <c r="M134" s="220"/>
      <c r="N134" s="220"/>
      <c r="O134" s="220"/>
      <c r="P134" s="220"/>
      <c r="Q134" s="220"/>
      <c r="R134" s="220"/>
      <c r="S134" s="220"/>
      <c r="T134" s="220"/>
      <c r="U134" s="220"/>
      <c r="V134" s="220"/>
      <c r="W134" s="220"/>
    </row>
    <row r="135" ht="15.75" customHeight="1" outlineLevel="1">
      <c r="A135" s="211"/>
      <c r="B135" s="212" t="s">
        <v>6</v>
      </c>
      <c r="C135" s="213" t="s">
        <v>351</v>
      </c>
      <c r="D135" s="214" t="str">
        <f>IFERROR(VLOOKUP($C135,'PORTIFÓLIO'!C:V,2,0),"")</f>
        <v>ÉSTER METILICO DE OLEO DE SOJA</v>
      </c>
      <c r="E135" s="211">
        <f>IFERROR(VLOOKUP($C135,'PORTIFÓLIO'!C:V,3,0),"")</f>
        <v>720</v>
      </c>
      <c r="F135" s="211" t="str">
        <f>IFERROR(VLOOKUP($C135,'PORTIFÓLIO'!C:V,4,0),"")</f>
        <v>L</v>
      </c>
      <c r="G135" s="225" t="str">
        <f>IFERROR(VLOOKUP($C135,'PORTIFÓLIO'!C:V,5,0),"")</f>
        <v>📄 Ver bula</v>
      </c>
      <c r="H135" s="254">
        <f t="array" ref="H135">IFERROR(INDEX('PORTIFÓLIO'!$H$4:$H$433,MATCH($C135,'PORTIFÓLIO'!$C$4:$C$433,0)),"")</f>
        <v>0.08</v>
      </c>
      <c r="I135" s="255">
        <v>0.2</v>
      </c>
      <c r="J135" s="218">
        <f t="shared" si="16"/>
        <v>9.4</v>
      </c>
      <c r="K135" s="219">
        <f t="array" ref="K135">IFERROR(I135*INDEX('PORTIFÓLIO'!$S$4:$S$433,MATCH($C135,'PORTIFÓLIO'!$C$4:$C$433,0)),"")</f>
        <v>2.968756</v>
      </c>
      <c r="L135" s="219">
        <f t="array" ref="L135">IFERROR(J135*INDEX('PORTIFÓLIO'!$S$4:$S$433,MATCH($C135,'PORTIFÓLIO'!$C$4:$C$433,0)),"")</f>
        <v>139.531532</v>
      </c>
      <c r="M135" s="220"/>
      <c r="N135" s="220"/>
      <c r="O135" s="220"/>
      <c r="P135" s="220"/>
      <c r="Q135" s="220"/>
      <c r="R135" s="220"/>
      <c r="S135" s="220"/>
      <c r="T135" s="220"/>
      <c r="U135" s="220"/>
      <c r="V135" s="220"/>
      <c r="W135" s="220"/>
    </row>
    <row r="136" ht="15.75" customHeight="1" outlineLevel="1">
      <c r="A136" s="211"/>
      <c r="B136" s="212"/>
      <c r="C136" s="213"/>
      <c r="D136" s="214" t="str">
        <f>IFERROR(VLOOKUP($C136,'PORTIFÓLIO'!C:V,2,0),"")</f>
        <v/>
      </c>
      <c r="E136" s="211" t="str">
        <f>IFERROR(VLOOKUP($C136,'PORTIFÓLIO'!C:V,3,0),"")</f>
        <v/>
      </c>
      <c r="F136" s="211" t="str">
        <f>IFERROR(VLOOKUP($C136,'PORTIFÓLIO'!C:V,4,0),"")</f>
        <v/>
      </c>
      <c r="G136" s="215" t="str">
        <f>IFERROR(VLOOKUP($C136,'PORTIFÓLIO'!C:V,5,0),"")</f>
        <v/>
      </c>
      <c r="H136" s="254" t="str">
        <f t="array" ref="H136">IFERROR(INDEX('PORTIFÓLIO'!$H$4:$H$433,MATCH($C136,'PORTIFÓLIO'!$C$4:$C$433,0)),"")</f>
        <v/>
      </c>
      <c r="I136" s="256"/>
      <c r="J136" s="218">
        <f t="shared" si="16"/>
        <v>0</v>
      </c>
      <c r="K136" s="219" t="str">
        <f t="array" ref="K136">IFERROR(I136*INDEX('PORTIFÓLIO'!$S$4:$S$433,MATCH($C136,'PORTIFÓLIO'!$C$4:$C$433,0)),"")</f>
        <v/>
      </c>
      <c r="L136" s="219" t="str">
        <f t="array" ref="L136">IFERROR(J136*INDEX('PORTIFÓLIO'!$S$4:$S$433,MATCH($C136,'PORTIFÓLIO'!$C$4:$C$433,0)),"")</f>
        <v/>
      </c>
      <c r="M136" s="220"/>
      <c r="N136" s="220"/>
      <c r="O136" s="220"/>
      <c r="P136" s="220"/>
      <c r="Q136" s="220"/>
      <c r="R136" s="220"/>
      <c r="S136" s="220"/>
      <c r="T136" s="220"/>
      <c r="U136" s="220"/>
      <c r="V136" s="220"/>
      <c r="W136" s="220"/>
    </row>
    <row r="137" ht="15.75" customHeight="1" outlineLevel="1">
      <c r="A137" s="211"/>
      <c r="B137" s="212"/>
      <c r="C137" s="213"/>
      <c r="D137" s="214" t="str">
        <f>IFERROR(VLOOKUP($C137,'PORTIFÓLIO'!C:V,2,0),"")</f>
        <v/>
      </c>
      <c r="E137" s="211" t="str">
        <f>IFERROR(VLOOKUP($C137,'PORTIFÓLIO'!C:V,3,0),"")</f>
        <v/>
      </c>
      <c r="F137" s="211" t="str">
        <f>IFERROR(VLOOKUP($C137,'PORTIFÓLIO'!C:V,4,0),"")</f>
        <v/>
      </c>
      <c r="G137" s="215" t="str">
        <f>IFERROR(VLOOKUP($C137,'PORTIFÓLIO'!C:V,5,0),"")</f>
        <v/>
      </c>
      <c r="H137" s="254" t="str">
        <f t="array" ref="H137">IFERROR(INDEX('PORTIFÓLIO'!$H$4:$H$433,MATCH($C137,'PORTIFÓLIO'!$C$4:$C$433,0)),"")</f>
        <v/>
      </c>
      <c r="I137" s="256"/>
      <c r="J137" s="218">
        <f t="shared" si="16"/>
        <v>0</v>
      </c>
      <c r="K137" s="219" t="str">
        <f t="array" ref="K137">IFERROR(I137*INDEX('PORTIFÓLIO'!$S$4:$S$433,MATCH($C137,'PORTIFÓLIO'!$C$4:$C$433,0)),"")</f>
        <v/>
      </c>
      <c r="L137" s="219" t="str">
        <f t="array" ref="L137">IFERROR(J137*INDEX('PORTIFÓLIO'!$S$4:$S$433,MATCH($C137,'PORTIFÓLIO'!$C$4:$C$433,0)),"")</f>
        <v/>
      </c>
      <c r="M137" s="220"/>
      <c r="N137" s="220"/>
      <c r="O137" s="220"/>
      <c r="P137" s="220"/>
      <c r="Q137" s="220"/>
      <c r="R137" s="220"/>
      <c r="S137" s="220"/>
      <c r="T137" s="220"/>
      <c r="U137" s="220"/>
      <c r="V137" s="220"/>
      <c r="W137" s="220"/>
    </row>
    <row r="138" ht="15.75" customHeight="1" outlineLevel="1">
      <c r="A138" s="211"/>
      <c r="B138" s="212"/>
      <c r="C138" s="213"/>
      <c r="D138" s="214" t="str">
        <f>IFERROR(VLOOKUP($C138,'PORTIFÓLIO'!C:V,2,0),"")</f>
        <v/>
      </c>
      <c r="E138" s="211" t="str">
        <f>IFERROR(VLOOKUP($C138,'PORTIFÓLIO'!C:V,3,0),"")</f>
        <v/>
      </c>
      <c r="F138" s="211" t="str">
        <f>IFERROR(VLOOKUP($C138,'PORTIFÓLIO'!C:V,4,0),"")</f>
        <v/>
      </c>
      <c r="G138" s="215" t="str">
        <f>IFERROR(VLOOKUP($C138,'PORTIFÓLIO'!C:V,5,0),"")</f>
        <v/>
      </c>
      <c r="H138" s="254" t="str">
        <f t="array" ref="H138">IFERROR(INDEX('PORTIFÓLIO'!$H$4:$H$433,MATCH($C138,'PORTIFÓLIO'!$C$4:$C$433,0)),"")</f>
        <v/>
      </c>
      <c r="I138" s="256"/>
      <c r="J138" s="218">
        <f t="shared" si="16"/>
        <v>0</v>
      </c>
      <c r="K138" s="219" t="str">
        <f t="array" ref="K138">IFERROR(I138*INDEX('PORTIFÓLIO'!$S$4:$S$433,MATCH($C138,'PORTIFÓLIO'!$C$4:$C$433,0)),"")</f>
        <v/>
      </c>
      <c r="L138" s="219" t="str">
        <f t="array" ref="L138">IFERROR(J138*INDEX('PORTIFÓLIO'!$S$4:$S$433,MATCH($C138,'PORTIFÓLIO'!$C$4:$C$433,0)),"")</f>
        <v/>
      </c>
      <c r="M138" s="220"/>
      <c r="N138" s="220"/>
      <c r="O138" s="220"/>
      <c r="P138" s="220"/>
      <c r="Q138" s="220"/>
      <c r="R138" s="220"/>
      <c r="S138" s="220"/>
      <c r="T138" s="220"/>
      <c r="U138" s="220"/>
      <c r="V138" s="220"/>
      <c r="W138" s="220"/>
    </row>
    <row r="139" ht="15.75" customHeight="1" outlineLevel="1">
      <c r="A139" s="211"/>
      <c r="B139" s="212"/>
      <c r="C139" s="213"/>
      <c r="D139" s="214" t="str">
        <f>IFERROR(VLOOKUP($C139,'PORTIFÓLIO'!C:V,2,0),"")</f>
        <v/>
      </c>
      <c r="E139" s="211" t="str">
        <f>IFERROR(VLOOKUP($C139,'PORTIFÓLIO'!C:V,3,0),"")</f>
        <v/>
      </c>
      <c r="F139" s="211" t="str">
        <f>IFERROR(VLOOKUP($C139,'PORTIFÓLIO'!C:V,4,0),"")</f>
        <v/>
      </c>
      <c r="G139" s="215" t="str">
        <f>IFERROR(VLOOKUP($C139,'PORTIFÓLIO'!C:V,5,0),"")</f>
        <v/>
      </c>
      <c r="H139" s="254" t="str">
        <f t="array" ref="H139">IFERROR(INDEX('PORTIFÓLIO'!$H$4:$H$433,MATCH($C139,'PORTIFÓLIO'!$C$4:$C$433,0)),"")</f>
        <v/>
      </c>
      <c r="I139" s="256"/>
      <c r="J139" s="218">
        <f t="shared" si="16"/>
        <v>0</v>
      </c>
      <c r="K139" s="219" t="str">
        <f t="array" ref="K139">IFERROR(I139*INDEX('PORTIFÓLIO'!$S$4:$S$433,MATCH($C139,'PORTIFÓLIO'!$C$4:$C$433,0)),"")</f>
        <v/>
      </c>
      <c r="L139" s="219" t="str">
        <f t="array" ref="L139">IFERROR(J139*INDEX('PORTIFÓLIO'!$S$4:$S$433,MATCH($C139,'PORTIFÓLIO'!$C$4:$C$433,0)),"")</f>
        <v/>
      </c>
      <c r="M139" s="220"/>
      <c r="N139" s="220"/>
      <c r="O139" s="220"/>
      <c r="P139" s="220"/>
      <c r="Q139" s="220"/>
      <c r="R139" s="220"/>
      <c r="S139" s="220"/>
      <c r="T139" s="220"/>
      <c r="U139" s="220"/>
      <c r="V139" s="220"/>
      <c r="W139" s="220"/>
    </row>
    <row r="140" ht="15.75" customHeight="1" outlineLevel="1">
      <c r="A140" s="211"/>
      <c r="B140" s="212"/>
      <c r="C140" s="213"/>
      <c r="D140" s="214" t="str">
        <f>IFERROR(VLOOKUP($C140,'PORTIFÓLIO'!C:V,2,0),"")</f>
        <v/>
      </c>
      <c r="E140" s="211" t="str">
        <f>IFERROR(VLOOKUP($C140,'PORTIFÓLIO'!C:V,3,0),"")</f>
        <v/>
      </c>
      <c r="F140" s="211" t="str">
        <f>IFERROR(VLOOKUP($C140,'PORTIFÓLIO'!C:V,4,0),"")</f>
        <v/>
      </c>
      <c r="G140" s="215" t="str">
        <f>IFERROR(VLOOKUP($C140,'PORTIFÓLIO'!C:V,5,0),"")</f>
        <v/>
      </c>
      <c r="H140" s="254" t="str">
        <f t="array" ref="H140">IFERROR(INDEX('PORTIFÓLIO'!$H$4:$H$433,MATCH($C140,'PORTIFÓLIO'!$C$4:$C$433,0)),"")</f>
        <v/>
      </c>
      <c r="I140" s="255"/>
      <c r="J140" s="218">
        <f t="shared" si="16"/>
        <v>0</v>
      </c>
      <c r="K140" s="219" t="str">
        <f t="array" ref="K140">IFERROR(I140*INDEX('PORTIFÓLIO'!$S$4:$S$433,MATCH($C140,'PORTIFÓLIO'!$C$4:$C$433,0)),"")</f>
        <v/>
      </c>
      <c r="L140" s="219" t="str">
        <f t="array" ref="L140">IFERROR(J140*INDEX('PORTIFÓLIO'!$S$4:$S$433,MATCH($C140,'PORTIFÓLIO'!$C$4:$C$433,0)),"")</f>
        <v/>
      </c>
      <c r="M140" s="220"/>
      <c r="N140" s="220"/>
      <c r="O140" s="220"/>
      <c r="P140" s="220"/>
      <c r="Q140" s="220"/>
      <c r="R140" s="220"/>
      <c r="S140" s="220"/>
      <c r="T140" s="220"/>
      <c r="U140" s="220"/>
      <c r="V140" s="220"/>
      <c r="W140" s="220"/>
    </row>
    <row r="141" ht="15.75" customHeight="1" outlineLevel="1">
      <c r="A141" s="211"/>
      <c r="B141" s="212"/>
      <c r="C141" s="213"/>
      <c r="D141" s="214" t="str">
        <f>IFERROR(VLOOKUP($C141,'PORTIFÓLIO'!C:V,2,0),"")</f>
        <v/>
      </c>
      <c r="E141" s="211" t="str">
        <f>IFERROR(VLOOKUP($C141,'PORTIFÓLIO'!C:V,3,0),"")</f>
        <v/>
      </c>
      <c r="F141" s="211" t="str">
        <f>IFERROR(VLOOKUP($C141,'PORTIFÓLIO'!C:V,4,0),"")</f>
        <v/>
      </c>
      <c r="G141" s="215" t="str">
        <f>IFERROR(VLOOKUP($C141,'PORTIFÓLIO'!C:V,5,0),"")</f>
        <v/>
      </c>
      <c r="H141" s="254" t="str">
        <f t="array" ref="H141">IFERROR(INDEX('PORTIFÓLIO'!$H$4:$H$433,MATCH($C141,'PORTIFÓLIO'!$C$4:$C$433,0)),"")</f>
        <v/>
      </c>
      <c r="I141" s="256"/>
      <c r="J141" s="218">
        <f t="shared" si="16"/>
        <v>0</v>
      </c>
      <c r="K141" s="219" t="str">
        <f t="array" ref="K141">IFERROR(I141*INDEX('PORTIFÓLIO'!$S$4:$S$433,MATCH($C141,'PORTIFÓLIO'!$C$4:$C$433,0)),"")</f>
        <v/>
      </c>
      <c r="L141" s="219" t="str">
        <f t="array" ref="L141">IFERROR(J141*INDEX('PORTIFÓLIO'!$S$4:$S$433,MATCH($C141,'PORTIFÓLIO'!$C$4:$C$433,0)),"")</f>
        <v/>
      </c>
      <c r="M141" s="220"/>
      <c r="N141" s="220"/>
      <c r="O141" s="220"/>
      <c r="P141" s="220"/>
      <c r="Q141" s="220"/>
      <c r="R141" s="220"/>
      <c r="S141" s="220"/>
      <c r="T141" s="220"/>
      <c r="U141" s="220"/>
      <c r="V141" s="220"/>
      <c r="W141" s="220"/>
    </row>
    <row r="142" ht="15.75" customHeight="1" outlineLevel="1">
      <c r="A142" s="211"/>
      <c r="B142" s="212"/>
      <c r="C142" s="213"/>
      <c r="D142" s="214" t="str">
        <f>IFERROR(VLOOKUP($C142,'PORTIFÓLIO'!C:V,2,0),"")</f>
        <v/>
      </c>
      <c r="E142" s="211" t="str">
        <f>IFERROR(VLOOKUP($C142,'PORTIFÓLIO'!C:V,3,0),"")</f>
        <v/>
      </c>
      <c r="F142" s="211" t="str">
        <f>IFERROR(VLOOKUP($C142,'PORTIFÓLIO'!C:V,4,0),"")</f>
        <v/>
      </c>
      <c r="G142" s="215" t="str">
        <f>IFERROR(VLOOKUP($C142,'PORTIFÓLIO'!C:V,5,0),"")</f>
        <v/>
      </c>
      <c r="H142" s="254" t="str">
        <f t="array" ref="H142">IFERROR(INDEX('PORTIFÓLIO'!$H$4:$H$433,MATCH($C142,'PORTIFÓLIO'!$C$4:$C$433,0)),"")</f>
        <v/>
      </c>
      <c r="I142" s="256"/>
      <c r="J142" s="218">
        <f t="shared" si="16"/>
        <v>0</v>
      </c>
      <c r="K142" s="219" t="str">
        <f t="array" ref="K142">IFERROR(I142*INDEX('PORTIFÓLIO'!$S$4:$S$433,MATCH($C142,'PORTIFÓLIO'!$C$4:$C$433,0)),"")</f>
        <v/>
      </c>
      <c r="L142" s="219" t="str">
        <f t="array" ref="L142">IFERROR(J142*INDEX('PORTIFÓLIO'!$S$4:$S$433,MATCH($C142,'PORTIFÓLIO'!$C$4:$C$433,0)),"")</f>
        <v/>
      </c>
      <c r="M142" s="220"/>
      <c r="N142" s="220"/>
      <c r="O142" s="220"/>
      <c r="P142" s="220"/>
      <c r="Q142" s="220"/>
      <c r="R142" s="220"/>
      <c r="S142" s="220"/>
      <c r="T142" s="220"/>
      <c r="U142" s="220"/>
      <c r="V142" s="220"/>
      <c r="W142" s="220"/>
    </row>
    <row r="143" ht="15.75" customHeight="1" outlineLevel="1">
      <c r="A143" s="211"/>
      <c r="B143" s="212"/>
      <c r="C143" s="213"/>
      <c r="D143" s="214" t="str">
        <f>IFERROR(VLOOKUP($C143,'PORTIFÓLIO'!C:V,2,0),"")</f>
        <v/>
      </c>
      <c r="E143" s="211" t="str">
        <f>IFERROR(VLOOKUP($C143,'PORTIFÓLIO'!C:V,3,0),"")</f>
        <v/>
      </c>
      <c r="F143" s="211" t="str">
        <f>IFERROR(VLOOKUP($C143,'PORTIFÓLIO'!C:V,4,0),"")</f>
        <v/>
      </c>
      <c r="G143" s="215" t="str">
        <f>IFERROR(VLOOKUP($C143,'PORTIFÓLIO'!C:V,5,0),"")</f>
        <v/>
      </c>
      <c r="H143" s="254" t="str">
        <f t="array" ref="H143">IFERROR(INDEX('PORTIFÓLIO'!$H$4:$H$433,MATCH($C143,'PORTIFÓLIO'!$C$4:$C$433,0)),"")</f>
        <v/>
      </c>
      <c r="I143" s="256"/>
      <c r="J143" s="218">
        <f t="shared" si="16"/>
        <v>0</v>
      </c>
      <c r="K143" s="219" t="str">
        <f t="array" ref="K143">IFERROR(I143*INDEX('PORTIFÓLIO'!$S$4:$S$433,MATCH($C143,'PORTIFÓLIO'!$C$4:$C$433,0)),"")</f>
        <v/>
      </c>
      <c r="L143" s="219" t="str">
        <f t="array" ref="L143">IFERROR(J143*INDEX('PORTIFÓLIO'!$S$4:$S$433,MATCH($C143,'PORTIFÓLIO'!$C$4:$C$433,0)),"")</f>
        <v/>
      </c>
      <c r="M143" s="220"/>
      <c r="N143" s="220"/>
      <c r="O143" s="220"/>
      <c r="P143" s="220"/>
      <c r="Q143" s="220"/>
      <c r="R143" s="220"/>
      <c r="S143" s="220"/>
      <c r="T143" s="220"/>
      <c r="U143" s="220"/>
      <c r="V143" s="220"/>
      <c r="W143" s="220"/>
    </row>
    <row r="144" ht="15.75" customHeight="1" outlineLevel="1">
      <c r="A144" s="211"/>
      <c r="B144" s="212"/>
      <c r="C144" s="213"/>
      <c r="D144" s="214" t="str">
        <f>IFERROR(VLOOKUP($C144,'PORTIFÓLIO'!C:V,2,0),"")</f>
        <v/>
      </c>
      <c r="E144" s="211" t="str">
        <f>IFERROR(VLOOKUP($C144,'PORTIFÓLIO'!C:V,3,0),"")</f>
        <v/>
      </c>
      <c r="F144" s="211" t="str">
        <f>IFERROR(VLOOKUP($C144,'PORTIFÓLIO'!C:V,4,0),"")</f>
        <v/>
      </c>
      <c r="G144" s="215" t="str">
        <f>IFERROR(VLOOKUP($C144,'PORTIFÓLIO'!C:V,5,0),"")</f>
        <v/>
      </c>
      <c r="H144" s="254" t="str">
        <f t="array" ref="H144">IFERROR(INDEX('PORTIFÓLIO'!$H$4:$H$433,MATCH($C144,'PORTIFÓLIO'!$C$4:$C$433,0)),"")</f>
        <v/>
      </c>
      <c r="I144" s="256"/>
      <c r="J144" s="218">
        <f t="shared" si="16"/>
        <v>0</v>
      </c>
      <c r="K144" s="219" t="str">
        <f t="array" ref="K144">IFERROR(I144*INDEX('PORTIFÓLIO'!$S$4:$S$433,MATCH($C144,'PORTIFÓLIO'!$C$4:$C$433,0)),"")</f>
        <v/>
      </c>
      <c r="L144" s="219" t="str">
        <f t="array" ref="L144">IFERROR(J144*INDEX('PORTIFÓLIO'!$S$4:$S$433,MATCH($C144,'PORTIFÓLIO'!$C$4:$C$433,0)),"")</f>
        <v/>
      </c>
      <c r="M144" s="220"/>
      <c r="N144" s="220"/>
      <c r="O144" s="220"/>
      <c r="P144" s="220"/>
      <c r="Q144" s="220"/>
      <c r="R144" s="220"/>
      <c r="S144" s="220"/>
      <c r="T144" s="220"/>
      <c r="U144" s="220"/>
      <c r="V144" s="220"/>
      <c r="W144" s="220"/>
    </row>
    <row r="145" ht="15.75" customHeight="1" outlineLevel="1">
      <c r="A145" s="211"/>
      <c r="B145" s="212"/>
      <c r="C145" s="213"/>
      <c r="D145" s="214" t="str">
        <f>IFERROR(VLOOKUP($C145,'PORTIFÓLIO'!C:V,2,0),"")</f>
        <v/>
      </c>
      <c r="E145" s="211" t="str">
        <f>IFERROR(VLOOKUP($C145,'PORTIFÓLIO'!C:V,3,0),"")</f>
        <v/>
      </c>
      <c r="F145" s="211" t="str">
        <f>IFERROR(VLOOKUP($C145,'PORTIFÓLIO'!C:V,4,0),"")</f>
        <v/>
      </c>
      <c r="G145" s="215" t="str">
        <f>IFERROR(VLOOKUP($C145,'PORTIFÓLIO'!C:V,5,0),"")</f>
        <v/>
      </c>
      <c r="H145" s="254" t="str">
        <f t="array" ref="H145">IFERROR(INDEX('PORTIFÓLIO'!$H$4:$H$433,MATCH($C145,'PORTIFÓLIO'!$C$4:$C$433,0)),"")</f>
        <v/>
      </c>
      <c r="I145" s="256"/>
      <c r="J145" s="218">
        <f t="shared" si="16"/>
        <v>0</v>
      </c>
      <c r="K145" s="219" t="str">
        <f t="array" ref="K145">IFERROR(I145*INDEX('PORTIFÓLIO'!$S$4:$S$433,MATCH($C145,'PORTIFÓLIO'!$C$4:$C$433,0)),"")</f>
        <v/>
      </c>
      <c r="L145" s="219" t="str">
        <f t="array" ref="L145">IFERROR(J145*INDEX('PORTIFÓLIO'!$S$4:$S$433,MATCH($C145,'PORTIFÓLIO'!$C$4:$C$433,0)),"")</f>
        <v/>
      </c>
      <c r="M145" s="220"/>
      <c r="N145" s="220"/>
      <c r="O145" s="220"/>
      <c r="P145" s="220"/>
      <c r="Q145" s="220"/>
      <c r="R145" s="220"/>
      <c r="S145" s="220"/>
      <c r="T145" s="220"/>
      <c r="U145" s="220"/>
      <c r="V145" s="220"/>
      <c r="W145" s="220"/>
    </row>
    <row r="146" ht="15.75" customHeight="1" outlineLevel="1">
      <c r="A146" s="211"/>
      <c r="B146" s="212"/>
      <c r="C146" s="213"/>
      <c r="D146" s="214" t="str">
        <f>IFERROR(VLOOKUP($C146,'PORTIFÓLIO'!C:V,2,0),"")</f>
        <v/>
      </c>
      <c r="E146" s="211" t="str">
        <f>IFERROR(VLOOKUP($C146,'PORTIFÓLIO'!C:V,3,0),"")</f>
        <v/>
      </c>
      <c r="F146" s="211" t="str">
        <f>IFERROR(VLOOKUP($C146,'PORTIFÓLIO'!C:V,4,0),"")</f>
        <v/>
      </c>
      <c r="G146" s="215" t="str">
        <f>IFERROR(VLOOKUP($C146,'PORTIFÓLIO'!C:V,5,0),"")</f>
        <v/>
      </c>
      <c r="H146" s="254" t="str">
        <f t="array" ref="H146">IFERROR(INDEX('PORTIFÓLIO'!$H$4:$H$433,MATCH($C146,'PORTIFÓLIO'!$C$4:$C$433,0)),"")</f>
        <v/>
      </c>
      <c r="I146" s="256"/>
      <c r="J146" s="218">
        <f t="shared" si="16"/>
        <v>0</v>
      </c>
      <c r="K146" s="219" t="str">
        <f t="array" ref="K146">IFERROR(I146*INDEX('PORTIFÓLIO'!$S$4:$S$433,MATCH($C146,'PORTIFÓLIO'!$C$4:$C$433,0)),"")</f>
        <v/>
      </c>
      <c r="L146" s="219" t="str">
        <f t="array" ref="L146">IFERROR(J146*INDEX('PORTIFÓLIO'!$S$4:$S$433,MATCH($C146,'PORTIFÓLIO'!$C$4:$C$433,0)),"")</f>
        <v/>
      </c>
      <c r="M146" s="220"/>
      <c r="N146" s="220"/>
      <c r="O146" s="220"/>
      <c r="P146" s="220"/>
      <c r="Q146" s="220"/>
      <c r="R146" s="220"/>
      <c r="S146" s="220"/>
      <c r="T146" s="220"/>
      <c r="U146" s="220"/>
      <c r="V146" s="220"/>
      <c r="W146" s="220"/>
    </row>
    <row r="147" ht="15.75" customHeight="1" outlineLevel="1">
      <c r="A147" s="211"/>
      <c r="B147" s="227"/>
      <c r="C147" s="211"/>
      <c r="D147" s="214" t="str">
        <f>IFERROR(VLOOKUP($C147,'PORTIFÓLIO'!C:V,2,0),"")</f>
        <v/>
      </c>
      <c r="E147" s="211" t="str">
        <f>IFERROR(VLOOKUP($C147,'PORTIFÓLIO'!C:V,3,0),"")</f>
        <v/>
      </c>
      <c r="F147" s="211" t="str">
        <f>IFERROR(VLOOKUP($C147,'PORTIFÓLIO'!C:V,4,0),"")</f>
        <v/>
      </c>
      <c r="G147" s="215" t="str">
        <f>IFERROR(VLOOKUP($C147,'PORTIFÓLIO'!C:V,5,0),"")</f>
        <v/>
      </c>
      <c r="H147" s="254" t="str">
        <f t="array" ref="H147">IFERROR(INDEX('PORTIFÓLIO'!$H$4:$H$433,MATCH($C147,'PORTIFÓLIO'!$C$4:$C$433,0)),"")</f>
        <v/>
      </c>
      <c r="I147" s="256"/>
      <c r="J147" s="218"/>
      <c r="K147" s="219" t="str">
        <f t="array" ref="K147">IFERROR(I147*INDEX('PORTIFÓLIO'!$S$4:$S$433,MATCH($C147,'PORTIFÓLIO'!$C$4:$C$433,0)),"")</f>
        <v/>
      </c>
      <c r="L147" s="219" t="str">
        <f t="array" ref="L147">IFERROR(J147*INDEX('PORTIFÓLIO'!$S$4:$S$433,MATCH($C147,'PORTIFÓLIO'!$C$4:$C$433,0)),"")</f>
        <v/>
      </c>
      <c r="M147" s="220"/>
      <c r="N147" s="220"/>
      <c r="O147" s="220"/>
      <c r="P147" s="220"/>
      <c r="Q147" s="220"/>
      <c r="R147" s="220"/>
      <c r="S147" s="220"/>
      <c r="T147" s="220"/>
      <c r="U147" s="220"/>
      <c r="V147" s="220"/>
      <c r="W147" s="220"/>
    </row>
    <row r="148" ht="15.75" customHeight="1">
      <c r="A148" s="229" t="s">
        <v>1192</v>
      </c>
      <c r="B148" s="230"/>
      <c r="C148" s="231"/>
      <c r="D148" s="232"/>
      <c r="E148" s="231"/>
      <c r="F148" s="231"/>
      <c r="G148" s="233"/>
      <c r="H148" s="233"/>
      <c r="I148" s="258"/>
      <c r="J148" s="236"/>
      <c r="K148" s="237">
        <f t="shared" ref="K148:L148" si="17">SUBTOTAL(9,K149:K162)</f>
        <v>57.654196</v>
      </c>
      <c r="L148" s="237">
        <f t="shared" si="17"/>
        <v>2709.747212</v>
      </c>
      <c r="M148" s="220"/>
      <c r="N148" s="220"/>
      <c r="O148" s="220"/>
      <c r="P148" s="220"/>
      <c r="Q148" s="220"/>
      <c r="R148" s="220"/>
      <c r="S148" s="220"/>
      <c r="T148" s="220"/>
      <c r="U148" s="220"/>
      <c r="V148" s="220"/>
      <c r="W148" s="220"/>
    </row>
    <row r="149" ht="15.75" customHeight="1" outlineLevel="1">
      <c r="A149" s="213"/>
      <c r="B149" s="212" t="s">
        <v>0</v>
      </c>
      <c r="C149" s="213" t="s">
        <v>530</v>
      </c>
      <c r="D149" s="214" t="str">
        <f>IFERROR(VLOOKUP($C149,'PORTIFÓLIO'!C:V,2,0),"")</f>
        <v>AZOXISTROBINA + TEBUCONAZOL</v>
      </c>
      <c r="E149" s="211" t="str">
        <f>IFERROR(VLOOKUP($C149,'PORTIFÓLIO'!C:V,3,0),"")</f>
        <v>125 + 240</v>
      </c>
      <c r="F149" s="211" t="str">
        <f>IFERROR(VLOOKUP($C149,'PORTIFÓLIO'!C:V,4,0),"")</f>
        <v>L</v>
      </c>
      <c r="G149" s="225" t="str">
        <f>IFERROR(VLOOKUP($C149,'PORTIFÓLIO'!C:V,5,0),"")</f>
        <v>📄 Ver bula</v>
      </c>
      <c r="H149" s="254">
        <f t="array" ref="H149">IFERROR(INDEX('PORTIFÓLIO'!$H$4:$H$433,MATCH($C149,'PORTIFÓLIO'!$C$4:$C$433,0)),"")</f>
        <v>0.5</v>
      </c>
      <c r="I149" s="255">
        <v>0.5</v>
      </c>
      <c r="J149" s="218">
        <f t="shared" ref="J149:J163" si="18">I149*$B$2</f>
        <v>23.5</v>
      </c>
      <c r="K149" s="219">
        <f t="array" ref="K149">IFERROR(I149*INDEX('PORTIFÓLIO'!$S$4:$S$433,MATCH($C149,'PORTIFÓLIO'!$C$4:$C$433,0)),"")</f>
        <v>18.34128</v>
      </c>
      <c r="L149" s="219">
        <f t="array" ref="L149">IFERROR(J149*INDEX('PORTIFÓLIO'!$S$4:$S$433,MATCH($C149,'PORTIFÓLIO'!$C$4:$C$433,0)),"")</f>
        <v>862.04016</v>
      </c>
      <c r="M149" s="220"/>
      <c r="N149" s="220"/>
      <c r="O149" s="220"/>
      <c r="P149" s="220"/>
      <c r="Q149" s="220"/>
      <c r="R149" s="220"/>
      <c r="S149" s="220"/>
      <c r="T149" s="220"/>
      <c r="U149" s="220"/>
      <c r="V149" s="220"/>
      <c r="W149" s="220"/>
    </row>
    <row r="150" ht="15.75" customHeight="1" outlineLevel="1">
      <c r="A150" s="211"/>
      <c r="B150" s="212" t="s">
        <v>0</v>
      </c>
      <c r="C150" s="213" t="s">
        <v>572</v>
      </c>
      <c r="D150" s="214" t="str">
        <f>IFERROR(VLOOKUP($C150,'PORTIFÓLIO'!C:V,2,0),"")</f>
        <v>CLOROTALONIL</v>
      </c>
      <c r="E150" s="211">
        <f>IFERROR(VLOOKUP($C150,'PORTIFÓLIO'!C:V,3,0),"")</f>
        <v>720</v>
      </c>
      <c r="F150" s="211" t="str">
        <f>IFERROR(VLOOKUP($C150,'PORTIFÓLIO'!C:V,4,0),"")</f>
        <v>KG</v>
      </c>
      <c r="G150" s="225" t="str">
        <f>IFERROR(VLOOKUP($C150,'PORTIFÓLIO'!C:V,5,0),"")</f>
        <v>📄 Ver bula</v>
      </c>
      <c r="H150" s="254">
        <f t="array" ref="H150">IFERROR(INDEX('PORTIFÓLIO'!$H$4:$H$433,MATCH($C150,'PORTIFÓLIO'!$C$4:$C$433,0)),"")</f>
        <v>1.5</v>
      </c>
      <c r="I150" s="255">
        <v>1.5</v>
      </c>
      <c r="J150" s="218">
        <f t="shared" si="18"/>
        <v>70.5</v>
      </c>
      <c r="K150" s="219">
        <f t="array" ref="K150">IFERROR(I150*INDEX('PORTIFÓLIO'!$S$4:$S$433,MATCH($C150,'PORTIFÓLIO'!$C$4:$C$433,0)),"")</f>
        <v>36.34416</v>
      </c>
      <c r="L150" s="219">
        <f t="array" ref="L150">IFERROR(J150*INDEX('PORTIFÓLIO'!$S$4:$S$433,MATCH($C150,'PORTIFÓLIO'!$C$4:$C$433,0)),"")</f>
        <v>1708.17552</v>
      </c>
      <c r="M150" s="220"/>
      <c r="N150" s="220"/>
      <c r="O150" s="220"/>
      <c r="P150" s="220"/>
      <c r="Q150" s="220"/>
      <c r="R150" s="220"/>
      <c r="S150" s="220"/>
      <c r="T150" s="220"/>
      <c r="U150" s="220"/>
      <c r="V150" s="220"/>
      <c r="W150" s="220"/>
    </row>
    <row r="151" ht="15.75" customHeight="1" outlineLevel="1">
      <c r="A151" s="211"/>
      <c r="B151" s="212" t="s">
        <v>6</v>
      </c>
      <c r="C151" s="213" t="s">
        <v>351</v>
      </c>
      <c r="D151" s="214" t="str">
        <f>IFERROR(VLOOKUP($C151,'PORTIFÓLIO'!C:V,2,0),"")</f>
        <v>ÉSTER METILICO DE OLEO DE SOJA</v>
      </c>
      <c r="E151" s="211">
        <f>IFERROR(VLOOKUP($C151,'PORTIFÓLIO'!C:V,3,0),"")</f>
        <v>720</v>
      </c>
      <c r="F151" s="211" t="str">
        <f>IFERROR(VLOOKUP($C151,'PORTIFÓLIO'!C:V,4,0),"")</f>
        <v>L</v>
      </c>
      <c r="G151" s="225" t="str">
        <f>IFERROR(VLOOKUP($C151,'PORTIFÓLIO'!C:V,5,0),"")</f>
        <v>📄 Ver bula</v>
      </c>
      <c r="H151" s="254">
        <f t="array" ref="H151">IFERROR(INDEX('PORTIFÓLIO'!$H$4:$H$433,MATCH($C151,'PORTIFÓLIO'!$C$4:$C$433,0)),"")</f>
        <v>0.08</v>
      </c>
      <c r="I151" s="255">
        <v>0.2</v>
      </c>
      <c r="J151" s="218">
        <f t="shared" si="18"/>
        <v>9.4</v>
      </c>
      <c r="K151" s="219">
        <f t="array" ref="K151">IFERROR(I151*INDEX('PORTIFÓLIO'!$S$4:$S$433,MATCH($C151,'PORTIFÓLIO'!$C$4:$C$433,0)),"")</f>
        <v>2.968756</v>
      </c>
      <c r="L151" s="219">
        <f t="array" ref="L151">IFERROR(J151*INDEX('PORTIFÓLIO'!$S$4:$S$433,MATCH($C151,'PORTIFÓLIO'!$C$4:$C$433,0)),"")</f>
        <v>139.531532</v>
      </c>
      <c r="M151" s="220"/>
      <c r="N151" s="220"/>
      <c r="O151" s="220"/>
      <c r="P151" s="220"/>
      <c r="Q151" s="220"/>
      <c r="R151" s="220"/>
      <c r="S151" s="220"/>
      <c r="T151" s="220"/>
      <c r="U151" s="220"/>
      <c r="V151" s="220"/>
      <c r="W151" s="220"/>
    </row>
    <row r="152" ht="15.75" customHeight="1" outlineLevel="1">
      <c r="A152" s="211"/>
      <c r="B152" s="212"/>
      <c r="C152" s="213"/>
      <c r="D152" s="214" t="str">
        <f>IFERROR(VLOOKUP($C152,'PORTIFÓLIO'!C:V,2,0),"")</f>
        <v/>
      </c>
      <c r="E152" s="211" t="str">
        <f>IFERROR(VLOOKUP($C152,'PORTIFÓLIO'!C:V,3,0),"")</f>
        <v/>
      </c>
      <c r="F152" s="211" t="str">
        <f>IFERROR(VLOOKUP($C152,'PORTIFÓLIO'!C:V,4,0),"")</f>
        <v/>
      </c>
      <c r="G152" s="215" t="str">
        <f>IFERROR(VLOOKUP($C152,'PORTIFÓLIO'!C:V,5,0),"")</f>
        <v/>
      </c>
      <c r="H152" s="254" t="str">
        <f t="array" ref="H152">IFERROR(INDEX('PORTIFÓLIO'!$H$4:$H$433,MATCH($C152,'PORTIFÓLIO'!$C$4:$C$433,0)),"")</f>
        <v/>
      </c>
      <c r="I152" s="256"/>
      <c r="J152" s="218">
        <f t="shared" si="18"/>
        <v>0</v>
      </c>
      <c r="K152" s="219" t="str">
        <f t="array" ref="K152">IFERROR(I152*INDEX('PORTIFÓLIO'!$S$4:$S$433,MATCH($C152,'PORTIFÓLIO'!$C$4:$C$433,0)),"")</f>
        <v/>
      </c>
      <c r="L152" s="219" t="str">
        <f t="array" ref="L152">IFERROR(J152*INDEX('PORTIFÓLIO'!$S$4:$S$433,MATCH($C152,'PORTIFÓLIO'!$C$4:$C$433,0)),"")</f>
        <v/>
      </c>
      <c r="M152" s="220"/>
      <c r="N152" s="220"/>
      <c r="O152" s="220"/>
      <c r="P152" s="220"/>
      <c r="Q152" s="220"/>
      <c r="R152" s="220"/>
      <c r="S152" s="220"/>
      <c r="T152" s="220"/>
      <c r="U152" s="220"/>
      <c r="V152" s="220"/>
      <c r="W152" s="220"/>
    </row>
    <row r="153" ht="15.75" customHeight="1" outlineLevel="1">
      <c r="A153" s="211"/>
      <c r="B153" s="212"/>
      <c r="C153" s="213"/>
      <c r="D153" s="214" t="str">
        <f>IFERROR(VLOOKUP($C153,'PORTIFÓLIO'!C:V,2,0),"")</f>
        <v/>
      </c>
      <c r="E153" s="211" t="str">
        <f>IFERROR(VLOOKUP($C153,'PORTIFÓLIO'!C:V,3,0),"")</f>
        <v/>
      </c>
      <c r="F153" s="211" t="str">
        <f>IFERROR(VLOOKUP($C153,'PORTIFÓLIO'!C:V,4,0),"")</f>
        <v/>
      </c>
      <c r="G153" s="215" t="str">
        <f>IFERROR(VLOOKUP($C153,'PORTIFÓLIO'!C:V,5,0),"")</f>
        <v/>
      </c>
      <c r="H153" s="254" t="str">
        <f t="array" ref="H153">IFERROR(INDEX('PORTIFÓLIO'!$H$4:$H$433,MATCH($C153,'PORTIFÓLIO'!$C$4:$C$433,0)),"")</f>
        <v/>
      </c>
      <c r="I153" s="256"/>
      <c r="J153" s="218">
        <f t="shared" si="18"/>
        <v>0</v>
      </c>
      <c r="K153" s="219" t="str">
        <f t="array" ref="K153">IFERROR(I153*INDEX('PORTIFÓLIO'!$S$4:$S$433,MATCH($C153,'PORTIFÓLIO'!$C$4:$C$433,0)),"")</f>
        <v/>
      </c>
      <c r="L153" s="219" t="str">
        <f t="array" ref="L153">IFERROR(J153*INDEX('PORTIFÓLIO'!$S$4:$S$433,MATCH($C153,'PORTIFÓLIO'!$C$4:$C$433,0)),"")</f>
        <v/>
      </c>
      <c r="M153" s="220"/>
      <c r="N153" s="220"/>
      <c r="O153" s="220"/>
      <c r="P153" s="220"/>
      <c r="Q153" s="220"/>
      <c r="R153" s="220"/>
      <c r="S153" s="220"/>
      <c r="T153" s="220"/>
      <c r="U153" s="220"/>
      <c r="V153" s="220"/>
      <c r="W153" s="220"/>
    </row>
    <row r="154" ht="15.75" customHeight="1" outlineLevel="1">
      <c r="A154" s="211"/>
      <c r="B154" s="212"/>
      <c r="C154" s="213"/>
      <c r="D154" s="214" t="str">
        <f>IFERROR(VLOOKUP($C154,'PORTIFÓLIO'!C:V,2,0),"")</f>
        <v/>
      </c>
      <c r="E154" s="211" t="str">
        <f>IFERROR(VLOOKUP($C154,'PORTIFÓLIO'!C:V,3,0),"")</f>
        <v/>
      </c>
      <c r="F154" s="211" t="str">
        <f>IFERROR(VLOOKUP($C154,'PORTIFÓLIO'!C:V,4,0),"")</f>
        <v/>
      </c>
      <c r="G154" s="215" t="str">
        <f>IFERROR(VLOOKUP($C154,'PORTIFÓLIO'!C:V,5,0),"")</f>
        <v/>
      </c>
      <c r="H154" s="254" t="str">
        <f t="array" ref="H154">IFERROR(INDEX('PORTIFÓLIO'!$H$4:$H$433,MATCH($C154,'PORTIFÓLIO'!$C$4:$C$433,0)),"")</f>
        <v/>
      </c>
      <c r="I154" s="256"/>
      <c r="J154" s="218">
        <f t="shared" si="18"/>
        <v>0</v>
      </c>
      <c r="K154" s="219" t="str">
        <f t="array" ref="K154">IFERROR(I154*INDEX('PORTIFÓLIO'!$S$4:$S$433,MATCH($C154,'PORTIFÓLIO'!$C$4:$C$433,0)),"")</f>
        <v/>
      </c>
      <c r="L154" s="219" t="str">
        <f t="array" ref="L154">IFERROR(J154*INDEX('PORTIFÓLIO'!$S$4:$S$433,MATCH($C154,'PORTIFÓLIO'!$C$4:$C$433,0)),"")</f>
        <v/>
      </c>
      <c r="M154" s="220"/>
      <c r="N154" s="220"/>
      <c r="O154" s="220"/>
      <c r="P154" s="220"/>
      <c r="Q154" s="220"/>
      <c r="R154" s="220"/>
      <c r="S154" s="220"/>
      <c r="T154" s="220"/>
      <c r="U154" s="220"/>
      <c r="V154" s="220"/>
      <c r="W154" s="220"/>
    </row>
    <row r="155" ht="15.75" customHeight="1" outlineLevel="1">
      <c r="A155" s="211"/>
      <c r="B155" s="212"/>
      <c r="C155" s="213"/>
      <c r="D155" s="214" t="str">
        <f>IFERROR(VLOOKUP($C155,'PORTIFÓLIO'!C:V,2,0),"")</f>
        <v/>
      </c>
      <c r="E155" s="211" t="str">
        <f>IFERROR(VLOOKUP($C155,'PORTIFÓLIO'!C:V,3,0),"")</f>
        <v/>
      </c>
      <c r="F155" s="211" t="str">
        <f>IFERROR(VLOOKUP($C155,'PORTIFÓLIO'!C:V,4,0),"")</f>
        <v/>
      </c>
      <c r="G155" s="215" t="str">
        <f>IFERROR(VLOOKUP($C155,'PORTIFÓLIO'!C:V,5,0),"")</f>
        <v/>
      </c>
      <c r="H155" s="254" t="str">
        <f t="array" ref="H155">IFERROR(INDEX('PORTIFÓLIO'!$H$4:$H$433,MATCH($C155,'PORTIFÓLIO'!$C$4:$C$433,0)),"")</f>
        <v/>
      </c>
      <c r="I155" s="256"/>
      <c r="J155" s="218">
        <f t="shared" si="18"/>
        <v>0</v>
      </c>
      <c r="K155" s="219" t="str">
        <f t="array" ref="K155">IFERROR(I155*INDEX('PORTIFÓLIO'!$S$4:$S$433,MATCH($C155,'PORTIFÓLIO'!$C$4:$C$433,0)),"")</f>
        <v/>
      </c>
      <c r="L155" s="219" t="str">
        <f t="array" ref="L155">IFERROR(J155*INDEX('PORTIFÓLIO'!$S$4:$S$433,MATCH($C155,'PORTIFÓLIO'!$C$4:$C$433,0)),"")</f>
        <v/>
      </c>
      <c r="M155" s="220"/>
      <c r="N155" s="220"/>
      <c r="O155" s="220"/>
      <c r="P155" s="220"/>
      <c r="Q155" s="220"/>
      <c r="R155" s="220"/>
      <c r="S155" s="220"/>
      <c r="T155" s="220"/>
      <c r="U155" s="220"/>
      <c r="V155" s="220"/>
      <c r="W155" s="220"/>
    </row>
    <row r="156" ht="15.75" customHeight="1" outlineLevel="1">
      <c r="A156" s="211"/>
      <c r="B156" s="212"/>
      <c r="C156" s="213"/>
      <c r="D156" s="214" t="str">
        <f>IFERROR(VLOOKUP($C156,'PORTIFÓLIO'!C:V,2,0),"")</f>
        <v/>
      </c>
      <c r="E156" s="211" t="str">
        <f>IFERROR(VLOOKUP($C156,'PORTIFÓLIO'!C:V,3,0),"")</f>
        <v/>
      </c>
      <c r="F156" s="211" t="str">
        <f>IFERROR(VLOOKUP($C156,'PORTIFÓLIO'!C:V,4,0),"")</f>
        <v/>
      </c>
      <c r="G156" s="215" t="str">
        <f>IFERROR(VLOOKUP($C156,'PORTIFÓLIO'!C:V,5,0),"")</f>
        <v/>
      </c>
      <c r="H156" s="254" t="str">
        <f t="array" ref="H156">IFERROR(INDEX('PORTIFÓLIO'!$H$4:$H$433,MATCH($C156,'PORTIFÓLIO'!$C$4:$C$433,0)),"")</f>
        <v/>
      </c>
      <c r="I156" s="256"/>
      <c r="J156" s="218">
        <f t="shared" si="18"/>
        <v>0</v>
      </c>
      <c r="K156" s="219" t="str">
        <f t="array" ref="K156">IFERROR(I156*INDEX('PORTIFÓLIO'!$S$4:$S$433,MATCH($C156,'PORTIFÓLIO'!$C$4:$C$433,0)),"")</f>
        <v/>
      </c>
      <c r="L156" s="219" t="str">
        <f t="array" ref="L156">IFERROR(J156*INDEX('PORTIFÓLIO'!$S$4:$S$433,MATCH($C156,'PORTIFÓLIO'!$C$4:$C$433,0)),"")</f>
        <v/>
      </c>
      <c r="M156" s="220"/>
      <c r="N156" s="220"/>
      <c r="O156" s="220"/>
      <c r="P156" s="220"/>
      <c r="Q156" s="220"/>
      <c r="R156" s="220"/>
      <c r="S156" s="220"/>
      <c r="T156" s="220"/>
      <c r="U156" s="220"/>
      <c r="V156" s="220"/>
      <c r="W156" s="220"/>
    </row>
    <row r="157" ht="15.75" customHeight="1" outlineLevel="1">
      <c r="A157" s="211"/>
      <c r="B157" s="212"/>
      <c r="C157" s="213"/>
      <c r="D157" s="214" t="str">
        <f>IFERROR(VLOOKUP($C157,'PORTIFÓLIO'!C:V,2,0),"")</f>
        <v/>
      </c>
      <c r="E157" s="211" t="str">
        <f>IFERROR(VLOOKUP($C157,'PORTIFÓLIO'!C:V,3,0),"")</f>
        <v/>
      </c>
      <c r="F157" s="211" t="str">
        <f>IFERROR(VLOOKUP($C157,'PORTIFÓLIO'!C:V,4,0),"")</f>
        <v/>
      </c>
      <c r="G157" s="215" t="str">
        <f>IFERROR(VLOOKUP($C157,'PORTIFÓLIO'!C:V,5,0),"")</f>
        <v/>
      </c>
      <c r="H157" s="254" t="str">
        <f t="array" ref="H157">IFERROR(INDEX('PORTIFÓLIO'!$H$4:$H$433,MATCH($C157,'PORTIFÓLIO'!$C$4:$C$433,0)),"")</f>
        <v/>
      </c>
      <c r="I157" s="255"/>
      <c r="J157" s="218">
        <f t="shared" si="18"/>
        <v>0</v>
      </c>
      <c r="K157" s="219" t="str">
        <f t="array" ref="K157">IFERROR(I157*INDEX('PORTIFÓLIO'!$S$4:$S$433,MATCH($C157,'PORTIFÓLIO'!$C$4:$C$433,0)),"")</f>
        <v/>
      </c>
      <c r="L157" s="219" t="str">
        <f t="array" ref="L157">IFERROR(J157*INDEX('PORTIFÓLIO'!$S$4:$S$433,MATCH($C157,'PORTIFÓLIO'!$C$4:$C$433,0)),"")</f>
        <v/>
      </c>
      <c r="M157" s="220"/>
      <c r="N157" s="220"/>
      <c r="O157" s="220"/>
      <c r="P157" s="220"/>
      <c r="Q157" s="220"/>
      <c r="R157" s="220"/>
      <c r="S157" s="220"/>
      <c r="T157" s="220"/>
      <c r="U157" s="220"/>
      <c r="V157" s="220"/>
      <c r="W157" s="220"/>
    </row>
    <row r="158" ht="15.75" customHeight="1" outlineLevel="1">
      <c r="A158" s="211"/>
      <c r="B158" s="212"/>
      <c r="C158" s="213"/>
      <c r="D158" s="214" t="str">
        <f>IFERROR(VLOOKUP($C158,'PORTIFÓLIO'!C:V,2,0),"")</f>
        <v/>
      </c>
      <c r="E158" s="211" t="str">
        <f>IFERROR(VLOOKUP($C158,'PORTIFÓLIO'!C:V,3,0),"")</f>
        <v/>
      </c>
      <c r="F158" s="211" t="str">
        <f>IFERROR(VLOOKUP($C158,'PORTIFÓLIO'!C:V,4,0),"")</f>
        <v/>
      </c>
      <c r="G158" s="215" t="str">
        <f>IFERROR(VLOOKUP($C158,'PORTIFÓLIO'!C:V,5,0),"")</f>
        <v/>
      </c>
      <c r="H158" s="254" t="str">
        <f t="array" ref="H158">IFERROR(INDEX('PORTIFÓLIO'!$H$4:$H$433,MATCH($C158,'PORTIFÓLIO'!$C$4:$C$433,0)),"")</f>
        <v/>
      </c>
      <c r="I158" s="256"/>
      <c r="J158" s="218">
        <f t="shared" si="18"/>
        <v>0</v>
      </c>
      <c r="K158" s="219" t="str">
        <f t="array" ref="K158">IFERROR(I158*INDEX('PORTIFÓLIO'!$S$4:$S$433,MATCH($C158,'PORTIFÓLIO'!$C$4:$C$433,0)),"")</f>
        <v/>
      </c>
      <c r="L158" s="219" t="str">
        <f t="array" ref="L158">IFERROR(J158*INDEX('PORTIFÓLIO'!$S$4:$S$433,MATCH($C158,'PORTIFÓLIO'!$C$4:$C$433,0)),"")</f>
        <v/>
      </c>
      <c r="M158" s="220"/>
      <c r="N158" s="220"/>
      <c r="O158" s="220"/>
      <c r="P158" s="220"/>
      <c r="Q158" s="220"/>
      <c r="R158" s="220"/>
      <c r="S158" s="220"/>
      <c r="T158" s="220"/>
      <c r="U158" s="220"/>
      <c r="V158" s="220"/>
      <c r="W158" s="220"/>
    </row>
    <row r="159" ht="15.75" customHeight="1" outlineLevel="1">
      <c r="A159" s="211"/>
      <c r="B159" s="212"/>
      <c r="C159" s="213"/>
      <c r="D159" s="214" t="str">
        <f>IFERROR(VLOOKUP($C159,'PORTIFÓLIO'!C:V,2,0),"")</f>
        <v/>
      </c>
      <c r="E159" s="211" t="str">
        <f>IFERROR(VLOOKUP($C159,'PORTIFÓLIO'!C:V,3,0),"")</f>
        <v/>
      </c>
      <c r="F159" s="211" t="str">
        <f>IFERROR(VLOOKUP($C159,'PORTIFÓLIO'!C:V,4,0),"")</f>
        <v/>
      </c>
      <c r="G159" s="215" t="str">
        <f>IFERROR(VLOOKUP($C159,'PORTIFÓLIO'!C:V,5,0),"")</f>
        <v/>
      </c>
      <c r="H159" s="254" t="str">
        <f t="array" ref="H159">IFERROR(INDEX('PORTIFÓLIO'!$H$4:$H$433,MATCH($C159,'PORTIFÓLIO'!$C$4:$C$433,0)),"")</f>
        <v/>
      </c>
      <c r="I159" s="256"/>
      <c r="J159" s="218">
        <f t="shared" si="18"/>
        <v>0</v>
      </c>
      <c r="K159" s="219" t="str">
        <f t="array" ref="K159">IFERROR(I159*INDEX('PORTIFÓLIO'!$S$4:$S$433,MATCH($C159,'PORTIFÓLIO'!$C$4:$C$433,0)),"")</f>
        <v/>
      </c>
      <c r="L159" s="219" t="str">
        <f t="array" ref="L159">IFERROR(J159*INDEX('PORTIFÓLIO'!$S$4:$S$433,MATCH($C159,'PORTIFÓLIO'!$C$4:$C$433,0)),"")</f>
        <v/>
      </c>
      <c r="M159" s="220"/>
      <c r="N159" s="220"/>
      <c r="O159" s="220"/>
      <c r="P159" s="220"/>
      <c r="Q159" s="220"/>
      <c r="R159" s="220"/>
      <c r="S159" s="220"/>
      <c r="T159" s="220"/>
      <c r="U159" s="220"/>
      <c r="V159" s="220"/>
      <c r="W159" s="220"/>
    </row>
    <row r="160" ht="15.75" customHeight="1" outlineLevel="1">
      <c r="A160" s="211"/>
      <c r="B160" s="212"/>
      <c r="C160" s="213"/>
      <c r="D160" s="214" t="str">
        <f>IFERROR(VLOOKUP($C160,'PORTIFÓLIO'!C:V,2,0),"")</f>
        <v/>
      </c>
      <c r="E160" s="211" t="str">
        <f>IFERROR(VLOOKUP($C160,'PORTIFÓLIO'!C:V,3,0),"")</f>
        <v/>
      </c>
      <c r="F160" s="211" t="str">
        <f>IFERROR(VLOOKUP($C160,'PORTIFÓLIO'!C:V,4,0),"")</f>
        <v/>
      </c>
      <c r="G160" s="215" t="str">
        <f>IFERROR(VLOOKUP($C160,'PORTIFÓLIO'!C:V,5,0),"")</f>
        <v/>
      </c>
      <c r="H160" s="254" t="str">
        <f t="array" ref="H160">IFERROR(INDEX('PORTIFÓLIO'!$H$4:$H$433,MATCH($C160,'PORTIFÓLIO'!$C$4:$C$433,0)),"")</f>
        <v/>
      </c>
      <c r="I160" s="256"/>
      <c r="J160" s="218">
        <f t="shared" si="18"/>
        <v>0</v>
      </c>
      <c r="K160" s="219" t="str">
        <f t="array" ref="K160">IFERROR(I160*INDEX('PORTIFÓLIO'!$S$4:$S$433,MATCH($C160,'PORTIFÓLIO'!$C$4:$C$433,0)),"")</f>
        <v/>
      </c>
      <c r="L160" s="219" t="str">
        <f t="array" ref="L160">IFERROR(J160*INDEX('PORTIFÓLIO'!$S$4:$S$433,MATCH($C160,'PORTIFÓLIO'!$C$4:$C$433,0)),"")</f>
        <v/>
      </c>
      <c r="M160" s="220"/>
      <c r="N160" s="220"/>
      <c r="O160" s="220"/>
      <c r="P160" s="220"/>
      <c r="Q160" s="220"/>
      <c r="R160" s="220"/>
      <c r="S160" s="220"/>
      <c r="T160" s="220"/>
      <c r="U160" s="220"/>
      <c r="V160" s="220"/>
      <c r="W160" s="220"/>
    </row>
    <row r="161" ht="15.75" customHeight="1" outlineLevel="1">
      <c r="A161" s="211"/>
      <c r="B161" s="212"/>
      <c r="C161" s="213"/>
      <c r="D161" s="214" t="str">
        <f>IFERROR(VLOOKUP($C161,'PORTIFÓLIO'!C:V,2,0),"")</f>
        <v/>
      </c>
      <c r="E161" s="211" t="str">
        <f>IFERROR(VLOOKUP($C161,'PORTIFÓLIO'!C:V,3,0),"")</f>
        <v/>
      </c>
      <c r="F161" s="211" t="str">
        <f>IFERROR(VLOOKUP($C161,'PORTIFÓLIO'!C:V,4,0),"")</f>
        <v/>
      </c>
      <c r="G161" s="215" t="str">
        <f>IFERROR(VLOOKUP($C161,'PORTIFÓLIO'!C:V,5,0),"")</f>
        <v/>
      </c>
      <c r="H161" s="254" t="str">
        <f t="array" ref="H161">IFERROR(INDEX('PORTIFÓLIO'!$H$4:$H$433,MATCH($C161,'PORTIFÓLIO'!$C$4:$C$433,0)),"")</f>
        <v/>
      </c>
      <c r="I161" s="256"/>
      <c r="J161" s="218">
        <f t="shared" si="18"/>
        <v>0</v>
      </c>
      <c r="K161" s="219" t="str">
        <f t="array" ref="K161">IFERROR(I161*INDEX('PORTIFÓLIO'!$S$4:$S$433,MATCH($C161,'PORTIFÓLIO'!$C$4:$C$433,0)),"")</f>
        <v/>
      </c>
      <c r="L161" s="219" t="str">
        <f t="array" ref="L161">IFERROR(J161*INDEX('PORTIFÓLIO'!$S$4:$S$433,MATCH($C161,'PORTIFÓLIO'!$C$4:$C$433,0)),"")</f>
        <v/>
      </c>
      <c r="M161" s="220"/>
      <c r="N161" s="220"/>
      <c r="O161" s="220"/>
      <c r="P161" s="220"/>
      <c r="Q161" s="220"/>
      <c r="R161" s="220"/>
      <c r="S161" s="220"/>
      <c r="T161" s="220"/>
      <c r="U161" s="220"/>
      <c r="V161" s="220"/>
      <c r="W161" s="220"/>
    </row>
    <row r="162" ht="15.75" customHeight="1" outlineLevel="1">
      <c r="A162" s="211"/>
      <c r="B162" s="212"/>
      <c r="C162" s="213"/>
      <c r="D162" s="214" t="str">
        <f>IFERROR(VLOOKUP($C162,'PORTIFÓLIO'!C:V,2,0),"")</f>
        <v/>
      </c>
      <c r="E162" s="211" t="str">
        <f>IFERROR(VLOOKUP($C162,'PORTIFÓLIO'!C:V,3,0),"")</f>
        <v/>
      </c>
      <c r="F162" s="211" t="str">
        <f>IFERROR(VLOOKUP($C162,'PORTIFÓLIO'!C:V,4,0),"")</f>
        <v/>
      </c>
      <c r="G162" s="215" t="str">
        <f>IFERROR(VLOOKUP($C162,'PORTIFÓLIO'!C:V,5,0),"")</f>
        <v/>
      </c>
      <c r="H162" s="254" t="str">
        <f t="array" ref="H162">IFERROR(INDEX('PORTIFÓLIO'!$H$4:$H$433,MATCH($C162,'PORTIFÓLIO'!$C$4:$C$433,0)),"")</f>
        <v/>
      </c>
      <c r="I162" s="256"/>
      <c r="J162" s="218">
        <f t="shared" si="18"/>
        <v>0</v>
      </c>
      <c r="K162" s="219" t="str">
        <f t="array" ref="K162">IFERROR(I162*INDEX('PORTIFÓLIO'!$S$4:$S$433,MATCH($C162,'PORTIFÓLIO'!$C$4:$C$433,0)),"")</f>
        <v/>
      </c>
      <c r="L162" s="219" t="str">
        <f t="array" ref="L162">IFERROR(J162*INDEX('PORTIFÓLIO'!$S$4:$S$433,MATCH($C162,'PORTIFÓLIO'!$C$4:$C$433,0)),"")</f>
        <v/>
      </c>
      <c r="M162" s="220"/>
      <c r="N162" s="220"/>
      <c r="O162" s="220"/>
      <c r="P162" s="220"/>
      <c r="Q162" s="220"/>
      <c r="R162" s="220"/>
      <c r="S162" s="220"/>
      <c r="T162" s="220"/>
      <c r="U162" s="220"/>
      <c r="V162" s="220"/>
      <c r="W162" s="220"/>
    </row>
    <row r="163" ht="15.75" customHeight="1" outlineLevel="1">
      <c r="A163" s="211"/>
      <c r="B163" s="212"/>
      <c r="C163" s="213"/>
      <c r="D163" s="214" t="str">
        <f>IFERROR(VLOOKUP($C163,'PORTIFÓLIO'!C:V,2,0),"")</f>
        <v/>
      </c>
      <c r="E163" s="211" t="str">
        <f>IFERROR(VLOOKUP($C163,'PORTIFÓLIO'!C:V,3,0),"")</f>
        <v/>
      </c>
      <c r="F163" s="211" t="str">
        <f>IFERROR(VLOOKUP($C163,'PORTIFÓLIO'!C:V,4,0),"")</f>
        <v/>
      </c>
      <c r="G163" s="215" t="str">
        <f>IFERROR(VLOOKUP($C163,'PORTIFÓLIO'!C:V,5,0),"")</f>
        <v/>
      </c>
      <c r="H163" s="254" t="str">
        <f t="array" ref="H163">IFERROR(INDEX('PORTIFÓLIO'!$H$4:$H$433,MATCH($C163,'PORTIFÓLIO'!$C$4:$C$433,0)),"")</f>
        <v/>
      </c>
      <c r="I163" s="256"/>
      <c r="J163" s="218">
        <f t="shared" si="18"/>
        <v>0</v>
      </c>
      <c r="K163" s="219" t="str">
        <f t="array" ref="K163">IFERROR(I163*INDEX('PORTIFÓLIO'!$S$4:$S$433,MATCH($C163,'PORTIFÓLIO'!$C$4:$C$433,0)),"")</f>
        <v/>
      </c>
      <c r="L163" s="219" t="str">
        <f t="array" ref="L163">IFERROR(J163*INDEX('PORTIFÓLIO'!$S$4:$S$433,MATCH($C163,'PORTIFÓLIO'!$C$4:$C$433,0)),"")</f>
        <v/>
      </c>
      <c r="M163" s="220"/>
      <c r="N163" s="220"/>
      <c r="O163" s="220"/>
      <c r="P163" s="220"/>
      <c r="Q163" s="220"/>
      <c r="R163" s="220"/>
      <c r="S163" s="220"/>
      <c r="T163" s="220"/>
      <c r="U163" s="220"/>
      <c r="V163" s="220"/>
      <c r="W163" s="220"/>
    </row>
    <row r="164" ht="15.75" customHeight="1" outlineLevel="1">
      <c r="A164" s="211"/>
      <c r="B164" s="227"/>
      <c r="C164" s="211"/>
      <c r="D164" s="214" t="str">
        <f>IFERROR(VLOOKUP($C164,'PORTIFÓLIO'!C:V,2,0),"")</f>
        <v/>
      </c>
      <c r="E164" s="211" t="str">
        <f>IFERROR(VLOOKUP($C164,'PORTIFÓLIO'!C:V,3,0),"")</f>
        <v/>
      </c>
      <c r="F164" s="211" t="str">
        <f>IFERROR(VLOOKUP($C164,'PORTIFÓLIO'!C:V,4,0),"")</f>
        <v/>
      </c>
      <c r="G164" s="215" t="str">
        <f>IFERROR(VLOOKUP($C164,'PORTIFÓLIO'!C:V,5,0),"")</f>
        <v/>
      </c>
      <c r="H164" s="254" t="str">
        <f t="array" ref="H164">IFERROR(INDEX('PORTIFÓLIO'!$H$4:$H$433,MATCH($C164,'PORTIFÓLIO'!$C$4:$C$433,0)),"")</f>
        <v/>
      </c>
      <c r="I164" s="256"/>
      <c r="J164" s="218"/>
      <c r="K164" s="219" t="str">
        <f t="array" ref="K164">IFERROR(I164*INDEX('PORTIFÓLIO'!$S$4:$S$433,MATCH($C164,'PORTIFÓLIO'!$C$4:$C$433,0)),"")</f>
        <v/>
      </c>
      <c r="L164" s="219" t="str">
        <f t="array" ref="L164">IFERROR(J164*INDEX('PORTIFÓLIO'!$S$4:$S$433,MATCH($C164,'PORTIFÓLIO'!$C$4:$C$433,0)),"")</f>
        <v/>
      </c>
      <c r="M164" s="220"/>
      <c r="N164" s="220"/>
      <c r="O164" s="220"/>
      <c r="P164" s="220"/>
      <c r="Q164" s="220"/>
      <c r="R164" s="220"/>
      <c r="S164" s="220"/>
      <c r="T164" s="220"/>
      <c r="U164" s="220"/>
      <c r="V164" s="220"/>
      <c r="W164" s="220"/>
    </row>
    <row r="165" ht="15.75" customHeight="1">
      <c r="A165" s="229" t="s">
        <v>1193</v>
      </c>
      <c r="B165" s="230"/>
      <c r="C165" s="231"/>
      <c r="D165" s="232"/>
      <c r="E165" s="231"/>
      <c r="F165" s="231"/>
      <c r="G165" s="233"/>
      <c r="H165" s="233"/>
      <c r="I165" s="258"/>
      <c r="J165" s="236"/>
      <c r="K165" s="237">
        <f t="shared" ref="K165:L165" si="19">SUBTOTAL(9,K166:K179)</f>
        <v>50.457316</v>
      </c>
      <c r="L165" s="237">
        <f t="shared" si="19"/>
        <v>2371.493852</v>
      </c>
      <c r="M165" s="220"/>
      <c r="N165" s="220"/>
      <c r="O165" s="220"/>
      <c r="P165" s="220"/>
      <c r="Q165" s="220"/>
      <c r="R165" s="220"/>
      <c r="S165" s="220"/>
      <c r="T165" s="220"/>
      <c r="U165" s="220"/>
      <c r="V165" s="220"/>
      <c r="W165" s="220"/>
    </row>
    <row r="166" ht="15.75" customHeight="1" outlineLevel="1">
      <c r="A166" s="213"/>
      <c r="B166" s="212" t="s">
        <v>1</v>
      </c>
      <c r="C166" s="213" t="s">
        <v>742</v>
      </c>
      <c r="D166" s="214" t="str">
        <f>IFERROR(VLOOKUP($C166,'PORTIFÓLIO'!C:V,2,0),"")</f>
        <v>DIQUATE</v>
      </c>
      <c r="E166" s="211">
        <f>IFERROR(VLOOKUP($C166,'PORTIFÓLIO'!C:V,3,0),"")</f>
        <v>200</v>
      </c>
      <c r="F166" s="211" t="str">
        <f>IFERROR(VLOOKUP($C166,'PORTIFÓLIO'!C:V,4,0),"")</f>
        <v>L</v>
      </c>
      <c r="G166" s="225" t="str">
        <f>IFERROR(VLOOKUP($C166,'PORTIFÓLIO'!C:V,5,0),"")</f>
        <v>📄 Ver bula</v>
      </c>
      <c r="H166" s="254">
        <f t="array" ref="H166">IFERROR(INDEX('PORTIFÓLIO'!$H$4:$H$433,MATCH($C166,'PORTIFÓLIO'!$C$4:$C$433,0)),"")</f>
        <v>2</v>
      </c>
      <c r="I166" s="255">
        <v>2.0</v>
      </c>
      <c r="J166" s="218">
        <f t="shared" ref="J166:J181" si="20">I166*$B$2</f>
        <v>94</v>
      </c>
      <c r="K166" s="219">
        <f t="array" ref="K166">IFERROR(I166*INDEX('PORTIFÓLIO'!$S$4:$S$433,MATCH($C166,'PORTIFÓLIO'!$C$4:$C$433,0)),"")</f>
        <v>47.48856</v>
      </c>
      <c r="L166" s="219">
        <f t="array" ref="L166">IFERROR(J166*INDEX('PORTIFÓLIO'!$S$4:$S$433,MATCH($C166,'PORTIFÓLIO'!$C$4:$C$433,0)),"")</f>
        <v>2231.96232</v>
      </c>
      <c r="M166" s="220"/>
      <c r="N166" s="220"/>
      <c r="O166" s="220"/>
      <c r="P166" s="220"/>
      <c r="Q166" s="220"/>
      <c r="R166" s="220"/>
      <c r="S166" s="220"/>
      <c r="T166" s="220"/>
      <c r="U166" s="220"/>
      <c r="V166" s="220"/>
      <c r="W166" s="220"/>
    </row>
    <row r="167" ht="15.75" customHeight="1" outlineLevel="1">
      <c r="A167" s="211"/>
      <c r="B167" s="212" t="s">
        <v>6</v>
      </c>
      <c r="C167" s="213" t="s">
        <v>351</v>
      </c>
      <c r="D167" s="214" t="str">
        <f>IFERROR(VLOOKUP($C167,'PORTIFÓLIO'!C:V,2,0),"")</f>
        <v>ÉSTER METILICO DE OLEO DE SOJA</v>
      </c>
      <c r="E167" s="211">
        <f>IFERROR(VLOOKUP($C167,'PORTIFÓLIO'!C:V,3,0),"")</f>
        <v>720</v>
      </c>
      <c r="F167" s="211" t="str">
        <f>IFERROR(VLOOKUP($C167,'PORTIFÓLIO'!C:V,4,0),"")</f>
        <v>L</v>
      </c>
      <c r="G167" s="225" t="str">
        <f>IFERROR(VLOOKUP($C167,'PORTIFÓLIO'!C:V,5,0),"")</f>
        <v>📄 Ver bula</v>
      </c>
      <c r="H167" s="254">
        <f t="array" ref="H167">IFERROR(INDEX('PORTIFÓLIO'!$H$4:$H$433,MATCH($C167,'PORTIFÓLIO'!$C$4:$C$433,0)),"")</f>
        <v>0.08</v>
      </c>
      <c r="I167" s="255">
        <v>0.2</v>
      </c>
      <c r="J167" s="218">
        <f t="shared" si="20"/>
        <v>9.4</v>
      </c>
      <c r="K167" s="219">
        <f t="array" ref="K167">IFERROR(I167*INDEX('PORTIFÓLIO'!$S$4:$S$433,MATCH($C167,'PORTIFÓLIO'!$C$4:$C$433,0)),"")</f>
        <v>2.968756</v>
      </c>
      <c r="L167" s="219">
        <f t="array" ref="L167">IFERROR(J167*INDEX('PORTIFÓLIO'!$S$4:$S$433,MATCH($C167,'PORTIFÓLIO'!$C$4:$C$433,0)),"")</f>
        <v>139.531532</v>
      </c>
      <c r="M167" s="220"/>
      <c r="N167" s="220"/>
      <c r="O167" s="220"/>
      <c r="P167" s="220"/>
      <c r="Q167" s="220"/>
      <c r="R167" s="220"/>
      <c r="S167" s="220"/>
      <c r="T167" s="220"/>
      <c r="U167" s="220"/>
      <c r="V167" s="220"/>
      <c r="W167" s="220"/>
    </row>
    <row r="168" ht="15.75" customHeight="1" outlineLevel="1">
      <c r="A168" s="211"/>
      <c r="B168" s="212"/>
      <c r="C168" s="213"/>
      <c r="D168" s="214" t="str">
        <f>IFERROR(VLOOKUP($C168,'PORTIFÓLIO'!C:V,2,0),"")</f>
        <v/>
      </c>
      <c r="E168" s="211" t="str">
        <f>IFERROR(VLOOKUP($C168,'PORTIFÓLIO'!C:V,3,0),"")</f>
        <v/>
      </c>
      <c r="F168" s="211" t="str">
        <f>IFERROR(VLOOKUP($C168,'PORTIFÓLIO'!C:V,4,0),"")</f>
        <v/>
      </c>
      <c r="G168" s="215" t="str">
        <f>IFERROR(VLOOKUP($C168,'PORTIFÓLIO'!C:V,5,0),"")</f>
        <v/>
      </c>
      <c r="H168" s="254" t="str">
        <f t="array" ref="H168">IFERROR(INDEX('PORTIFÓLIO'!$H$4:$H$433,MATCH($C168,'PORTIFÓLIO'!$C$4:$C$433,0)),"")</f>
        <v/>
      </c>
      <c r="I168" s="256"/>
      <c r="J168" s="218">
        <f t="shared" si="20"/>
        <v>0</v>
      </c>
      <c r="K168" s="219" t="str">
        <f t="array" ref="K168">IFERROR(I168*INDEX('PORTIFÓLIO'!$S$4:$S$433,MATCH($C168,'PORTIFÓLIO'!$C$4:$C$433,0)),"")</f>
        <v/>
      </c>
      <c r="L168" s="219" t="str">
        <f t="array" ref="L168">IFERROR(J168*INDEX('PORTIFÓLIO'!$S$4:$S$433,MATCH($C168,'PORTIFÓLIO'!$C$4:$C$433,0)),"")</f>
        <v/>
      </c>
      <c r="M168" s="220"/>
      <c r="N168" s="220"/>
      <c r="O168" s="220"/>
      <c r="P168" s="220"/>
      <c r="Q168" s="220"/>
      <c r="R168" s="220"/>
      <c r="S168" s="220"/>
      <c r="T168" s="220"/>
      <c r="U168" s="220"/>
      <c r="V168" s="220"/>
      <c r="W168" s="220"/>
    </row>
    <row r="169" ht="15.75" customHeight="1" outlineLevel="1">
      <c r="A169" s="211"/>
      <c r="B169" s="212"/>
      <c r="C169" s="213"/>
      <c r="D169" s="214" t="str">
        <f>IFERROR(VLOOKUP($C169,'PORTIFÓLIO'!C:V,2,0),"")</f>
        <v/>
      </c>
      <c r="E169" s="211" t="str">
        <f>IFERROR(VLOOKUP($C169,'PORTIFÓLIO'!C:V,3,0),"")</f>
        <v/>
      </c>
      <c r="F169" s="211" t="str">
        <f>IFERROR(VLOOKUP($C169,'PORTIFÓLIO'!C:V,4,0),"")</f>
        <v/>
      </c>
      <c r="G169" s="215" t="str">
        <f>IFERROR(VLOOKUP($C169,'PORTIFÓLIO'!C:V,5,0),"")</f>
        <v/>
      </c>
      <c r="H169" s="254" t="str">
        <f t="array" ref="H169">IFERROR(INDEX('PORTIFÓLIO'!$H$4:$H$433,MATCH($C169,'PORTIFÓLIO'!$C$4:$C$433,0)),"")</f>
        <v/>
      </c>
      <c r="I169" s="256"/>
      <c r="J169" s="218">
        <f t="shared" si="20"/>
        <v>0</v>
      </c>
      <c r="K169" s="219" t="str">
        <f t="array" ref="K169">IFERROR(I169*INDEX('PORTIFÓLIO'!$S$4:$S$433,MATCH($C169,'PORTIFÓLIO'!$C$4:$C$433,0)),"")</f>
        <v/>
      </c>
      <c r="L169" s="219" t="str">
        <f t="array" ref="L169">IFERROR(J169*INDEX('PORTIFÓLIO'!$S$4:$S$433,MATCH($C169,'PORTIFÓLIO'!$C$4:$C$433,0)),"")</f>
        <v/>
      </c>
      <c r="M169" s="220"/>
      <c r="N169" s="220"/>
      <c r="O169" s="220"/>
      <c r="P169" s="220"/>
      <c r="Q169" s="220"/>
      <c r="R169" s="220"/>
      <c r="S169" s="220"/>
      <c r="T169" s="220"/>
      <c r="U169" s="220"/>
      <c r="V169" s="220"/>
      <c r="W169" s="220"/>
    </row>
    <row r="170" ht="15.75" customHeight="1" outlineLevel="1">
      <c r="A170" s="211"/>
      <c r="B170" s="212"/>
      <c r="C170" s="213"/>
      <c r="D170" s="214" t="str">
        <f>IFERROR(VLOOKUP($C170,'PORTIFÓLIO'!C:V,2,0),"")</f>
        <v/>
      </c>
      <c r="E170" s="211" t="str">
        <f>IFERROR(VLOOKUP($C170,'PORTIFÓLIO'!C:V,3,0),"")</f>
        <v/>
      </c>
      <c r="F170" s="211" t="str">
        <f>IFERROR(VLOOKUP($C170,'PORTIFÓLIO'!C:V,4,0),"")</f>
        <v/>
      </c>
      <c r="G170" s="215" t="str">
        <f>IFERROR(VLOOKUP($C170,'PORTIFÓLIO'!C:V,5,0),"")</f>
        <v/>
      </c>
      <c r="H170" s="254" t="str">
        <f t="array" ref="H170">IFERROR(INDEX('PORTIFÓLIO'!$H$4:$H$433,MATCH($C170,'PORTIFÓLIO'!$C$4:$C$433,0)),"")</f>
        <v/>
      </c>
      <c r="I170" s="256"/>
      <c r="J170" s="218">
        <f t="shared" si="20"/>
        <v>0</v>
      </c>
      <c r="K170" s="219" t="str">
        <f t="array" ref="K170">IFERROR(I170*INDEX('PORTIFÓLIO'!$S$4:$S$433,MATCH($C170,'PORTIFÓLIO'!$C$4:$C$433,0)),"")</f>
        <v/>
      </c>
      <c r="L170" s="219" t="str">
        <f t="array" ref="L170">IFERROR(J170*INDEX('PORTIFÓLIO'!$S$4:$S$433,MATCH($C170,'PORTIFÓLIO'!$C$4:$C$433,0)),"")</f>
        <v/>
      </c>
      <c r="M170" s="220"/>
      <c r="N170" s="220"/>
      <c r="O170" s="220"/>
      <c r="P170" s="220"/>
      <c r="Q170" s="220"/>
      <c r="R170" s="220"/>
      <c r="S170" s="220"/>
      <c r="T170" s="220"/>
      <c r="U170" s="220"/>
      <c r="V170" s="220"/>
      <c r="W170" s="220"/>
    </row>
    <row r="171" ht="15.75" customHeight="1" outlineLevel="1">
      <c r="A171" s="211"/>
      <c r="B171" s="212"/>
      <c r="C171" s="213"/>
      <c r="D171" s="214" t="str">
        <f>IFERROR(VLOOKUP($C171,'PORTIFÓLIO'!C:V,2,0),"")</f>
        <v/>
      </c>
      <c r="E171" s="211" t="str">
        <f>IFERROR(VLOOKUP($C171,'PORTIFÓLIO'!C:V,3,0),"")</f>
        <v/>
      </c>
      <c r="F171" s="211" t="str">
        <f>IFERROR(VLOOKUP($C171,'PORTIFÓLIO'!C:V,4,0),"")</f>
        <v/>
      </c>
      <c r="G171" s="215" t="str">
        <f>IFERROR(VLOOKUP($C171,'PORTIFÓLIO'!C:V,5,0),"")</f>
        <v/>
      </c>
      <c r="H171" s="254" t="str">
        <f t="array" ref="H171">IFERROR(INDEX('PORTIFÓLIO'!$H$4:$H$433,MATCH($C171,'PORTIFÓLIO'!$C$4:$C$433,0)),"")</f>
        <v/>
      </c>
      <c r="I171" s="256"/>
      <c r="J171" s="218">
        <f t="shared" si="20"/>
        <v>0</v>
      </c>
      <c r="K171" s="219" t="str">
        <f t="array" ref="K171">IFERROR(I171*INDEX('PORTIFÓLIO'!$S$4:$S$433,MATCH($C171,'PORTIFÓLIO'!$C$4:$C$433,0)),"")</f>
        <v/>
      </c>
      <c r="L171" s="219" t="str">
        <f t="array" ref="L171">IFERROR(J171*INDEX('PORTIFÓLIO'!$S$4:$S$433,MATCH($C171,'PORTIFÓLIO'!$C$4:$C$433,0)),"")</f>
        <v/>
      </c>
      <c r="M171" s="220"/>
      <c r="N171" s="220"/>
      <c r="O171" s="220"/>
      <c r="P171" s="220"/>
      <c r="Q171" s="220"/>
      <c r="R171" s="220"/>
      <c r="S171" s="220"/>
      <c r="T171" s="220"/>
      <c r="U171" s="220"/>
      <c r="V171" s="220"/>
      <c r="W171" s="220"/>
    </row>
    <row r="172" ht="15.75" customHeight="1" outlineLevel="1">
      <c r="A172" s="211"/>
      <c r="B172" s="212"/>
      <c r="C172" s="213"/>
      <c r="D172" s="214" t="str">
        <f>IFERROR(VLOOKUP($C172,'PORTIFÓLIO'!C:V,2,0),"")</f>
        <v/>
      </c>
      <c r="E172" s="211" t="str">
        <f>IFERROR(VLOOKUP($C172,'PORTIFÓLIO'!C:V,3,0),"")</f>
        <v/>
      </c>
      <c r="F172" s="211" t="str">
        <f>IFERROR(VLOOKUP($C172,'PORTIFÓLIO'!C:V,4,0),"")</f>
        <v/>
      </c>
      <c r="G172" s="215" t="str">
        <f>IFERROR(VLOOKUP($C172,'PORTIFÓLIO'!C:V,5,0),"")</f>
        <v/>
      </c>
      <c r="H172" s="254" t="str">
        <f t="array" ref="H172">IFERROR(INDEX('PORTIFÓLIO'!$H$4:$H$433,MATCH($C172,'PORTIFÓLIO'!$C$4:$C$433,0)),"")</f>
        <v/>
      </c>
      <c r="I172" s="256"/>
      <c r="J172" s="218">
        <f t="shared" si="20"/>
        <v>0</v>
      </c>
      <c r="K172" s="219" t="str">
        <f t="array" ref="K172">IFERROR(I172*INDEX('PORTIFÓLIO'!$S$4:$S$433,MATCH($C172,'PORTIFÓLIO'!$C$4:$C$433,0)),"")</f>
        <v/>
      </c>
      <c r="L172" s="219" t="str">
        <f t="array" ref="L172">IFERROR(J172*INDEX('PORTIFÓLIO'!$S$4:$S$433,MATCH($C172,'PORTIFÓLIO'!$C$4:$C$433,0)),"")</f>
        <v/>
      </c>
      <c r="M172" s="220"/>
      <c r="N172" s="220"/>
      <c r="O172" s="220"/>
      <c r="P172" s="220"/>
      <c r="Q172" s="220"/>
      <c r="R172" s="220"/>
      <c r="S172" s="220"/>
      <c r="T172" s="220"/>
      <c r="U172" s="220"/>
      <c r="V172" s="220"/>
      <c r="W172" s="220"/>
    </row>
    <row r="173" ht="15.75" customHeight="1" outlineLevel="1">
      <c r="A173" s="211"/>
      <c r="B173" s="212"/>
      <c r="C173" s="213"/>
      <c r="D173" s="214" t="str">
        <f>IFERROR(VLOOKUP($C173,'PORTIFÓLIO'!C:V,2,0),"")</f>
        <v/>
      </c>
      <c r="E173" s="211" t="str">
        <f>IFERROR(VLOOKUP($C173,'PORTIFÓLIO'!C:V,3,0),"")</f>
        <v/>
      </c>
      <c r="F173" s="211" t="str">
        <f>IFERROR(VLOOKUP($C173,'PORTIFÓLIO'!C:V,4,0),"")</f>
        <v/>
      </c>
      <c r="G173" s="215" t="str">
        <f>IFERROR(VLOOKUP($C173,'PORTIFÓLIO'!C:V,5,0),"")</f>
        <v/>
      </c>
      <c r="H173" s="254" t="str">
        <f t="array" ref="H173">IFERROR(INDEX('PORTIFÓLIO'!$H$4:$H$433,MATCH($C173,'PORTIFÓLIO'!$C$4:$C$433,0)),"")</f>
        <v/>
      </c>
      <c r="I173" s="256"/>
      <c r="J173" s="218">
        <f t="shared" si="20"/>
        <v>0</v>
      </c>
      <c r="K173" s="219" t="str">
        <f t="array" ref="K173">IFERROR(I173*INDEX('PORTIFÓLIO'!$S$4:$S$433,MATCH($C173,'PORTIFÓLIO'!$C$4:$C$433,0)),"")</f>
        <v/>
      </c>
      <c r="L173" s="219" t="str">
        <f t="array" ref="L173">IFERROR(J173*INDEX('PORTIFÓLIO'!$S$4:$S$433,MATCH($C173,'PORTIFÓLIO'!$C$4:$C$433,0)),"")</f>
        <v/>
      </c>
      <c r="M173" s="220"/>
      <c r="N173" s="220"/>
      <c r="O173" s="220"/>
      <c r="P173" s="220"/>
      <c r="Q173" s="220"/>
      <c r="R173" s="220"/>
      <c r="S173" s="220"/>
      <c r="T173" s="220"/>
      <c r="U173" s="220"/>
      <c r="V173" s="220"/>
      <c r="W173" s="220"/>
    </row>
    <row r="174" ht="15.75" customHeight="1" outlineLevel="1">
      <c r="A174" s="211"/>
      <c r="B174" s="212"/>
      <c r="C174" s="213"/>
      <c r="D174" s="214" t="str">
        <f>IFERROR(VLOOKUP($C174,'PORTIFÓLIO'!C:V,2,0),"")</f>
        <v/>
      </c>
      <c r="E174" s="211" t="str">
        <f>IFERROR(VLOOKUP($C174,'PORTIFÓLIO'!C:V,3,0),"")</f>
        <v/>
      </c>
      <c r="F174" s="211" t="str">
        <f>IFERROR(VLOOKUP($C174,'PORTIFÓLIO'!C:V,4,0),"")</f>
        <v/>
      </c>
      <c r="G174" s="215" t="str">
        <f>IFERROR(VLOOKUP($C174,'PORTIFÓLIO'!C:V,5,0),"")</f>
        <v/>
      </c>
      <c r="H174" s="254" t="str">
        <f t="array" ref="H174">IFERROR(INDEX('PORTIFÓLIO'!$H$4:$H$433,MATCH($C174,'PORTIFÓLIO'!$C$4:$C$433,0)),"")</f>
        <v/>
      </c>
      <c r="I174" s="255"/>
      <c r="J174" s="218">
        <f t="shared" si="20"/>
        <v>0</v>
      </c>
      <c r="K174" s="219" t="str">
        <f t="array" ref="K174">IFERROR(I174*INDEX('PORTIFÓLIO'!$S$4:$S$433,MATCH($C174,'PORTIFÓLIO'!$C$4:$C$433,0)),"")</f>
        <v/>
      </c>
      <c r="L174" s="219" t="str">
        <f t="array" ref="L174">IFERROR(J174*INDEX('PORTIFÓLIO'!$S$4:$S$433,MATCH($C174,'PORTIFÓLIO'!$C$4:$C$433,0)),"")</f>
        <v/>
      </c>
      <c r="M174" s="220"/>
      <c r="N174" s="220"/>
      <c r="O174" s="220"/>
      <c r="P174" s="220"/>
      <c r="Q174" s="220"/>
      <c r="R174" s="220"/>
      <c r="S174" s="220"/>
      <c r="T174" s="220"/>
      <c r="U174" s="220"/>
      <c r="V174" s="220"/>
      <c r="W174" s="220"/>
    </row>
    <row r="175" ht="15.75" customHeight="1" outlineLevel="1">
      <c r="A175" s="211"/>
      <c r="B175" s="212"/>
      <c r="C175" s="213"/>
      <c r="D175" s="214" t="str">
        <f>IFERROR(VLOOKUP($C175,'PORTIFÓLIO'!C:V,2,0),"")</f>
        <v/>
      </c>
      <c r="E175" s="211" t="str">
        <f>IFERROR(VLOOKUP($C175,'PORTIFÓLIO'!C:V,3,0),"")</f>
        <v/>
      </c>
      <c r="F175" s="211" t="str">
        <f>IFERROR(VLOOKUP($C175,'PORTIFÓLIO'!C:V,4,0),"")</f>
        <v/>
      </c>
      <c r="G175" s="215" t="str">
        <f>IFERROR(VLOOKUP($C175,'PORTIFÓLIO'!C:V,5,0),"")</f>
        <v/>
      </c>
      <c r="H175" s="254" t="str">
        <f t="array" ref="H175">IFERROR(INDEX('PORTIFÓLIO'!$H$4:$H$433,MATCH($C175,'PORTIFÓLIO'!$C$4:$C$433,0)),"")</f>
        <v/>
      </c>
      <c r="I175" s="256"/>
      <c r="J175" s="218">
        <f t="shared" si="20"/>
        <v>0</v>
      </c>
      <c r="K175" s="219" t="str">
        <f t="array" ref="K175">IFERROR(I175*INDEX('PORTIFÓLIO'!$S$4:$S$433,MATCH($C175,'PORTIFÓLIO'!$C$4:$C$433,0)),"")</f>
        <v/>
      </c>
      <c r="L175" s="219" t="str">
        <f t="array" ref="L175">IFERROR(J175*INDEX('PORTIFÓLIO'!$S$4:$S$433,MATCH($C175,'PORTIFÓLIO'!$C$4:$C$433,0)),"")</f>
        <v/>
      </c>
      <c r="M175" s="220"/>
      <c r="N175" s="220"/>
      <c r="O175" s="220"/>
      <c r="P175" s="220"/>
      <c r="Q175" s="220"/>
      <c r="R175" s="220"/>
      <c r="S175" s="220"/>
      <c r="T175" s="220"/>
      <c r="U175" s="220"/>
      <c r="V175" s="220"/>
      <c r="W175" s="220"/>
    </row>
    <row r="176" ht="15.75" customHeight="1" outlineLevel="1">
      <c r="A176" s="211"/>
      <c r="B176" s="212"/>
      <c r="C176" s="213"/>
      <c r="D176" s="214" t="str">
        <f>IFERROR(VLOOKUP($C176,'PORTIFÓLIO'!C:V,2,0),"")</f>
        <v/>
      </c>
      <c r="E176" s="211" t="str">
        <f>IFERROR(VLOOKUP($C176,'PORTIFÓLIO'!C:V,3,0),"")</f>
        <v/>
      </c>
      <c r="F176" s="211" t="str">
        <f>IFERROR(VLOOKUP($C176,'PORTIFÓLIO'!C:V,4,0),"")</f>
        <v/>
      </c>
      <c r="G176" s="215" t="str">
        <f>IFERROR(VLOOKUP($C176,'PORTIFÓLIO'!C:V,5,0),"")</f>
        <v/>
      </c>
      <c r="H176" s="254" t="str">
        <f t="array" ref="H176">IFERROR(INDEX('PORTIFÓLIO'!$H$4:$H$433,MATCH($C176,'PORTIFÓLIO'!$C$4:$C$433,0)),"")</f>
        <v/>
      </c>
      <c r="I176" s="256"/>
      <c r="J176" s="218">
        <f t="shared" si="20"/>
        <v>0</v>
      </c>
      <c r="K176" s="219" t="str">
        <f t="array" ref="K176">IFERROR(I176*INDEX('PORTIFÓLIO'!$S$4:$S$433,MATCH($C176,'PORTIFÓLIO'!$C$4:$C$433,0)),"")</f>
        <v/>
      </c>
      <c r="L176" s="219" t="str">
        <f t="array" ref="L176">IFERROR(J176*INDEX('PORTIFÓLIO'!$S$4:$S$433,MATCH($C176,'PORTIFÓLIO'!$C$4:$C$433,0)),"")</f>
        <v/>
      </c>
      <c r="M176" s="220"/>
      <c r="N176" s="220"/>
      <c r="O176" s="220"/>
      <c r="P176" s="220"/>
      <c r="Q176" s="220"/>
      <c r="R176" s="220"/>
      <c r="S176" s="220"/>
      <c r="T176" s="220"/>
      <c r="U176" s="220"/>
      <c r="V176" s="220"/>
      <c r="W176" s="220"/>
    </row>
    <row r="177" ht="15.75" customHeight="1" outlineLevel="1">
      <c r="A177" s="211"/>
      <c r="B177" s="212"/>
      <c r="C177" s="213"/>
      <c r="D177" s="214" t="str">
        <f>IFERROR(VLOOKUP($C177,'PORTIFÓLIO'!C:V,2,0),"")</f>
        <v/>
      </c>
      <c r="E177" s="211" t="str">
        <f>IFERROR(VLOOKUP($C177,'PORTIFÓLIO'!C:V,3,0),"")</f>
        <v/>
      </c>
      <c r="F177" s="211" t="str">
        <f>IFERROR(VLOOKUP($C177,'PORTIFÓLIO'!C:V,4,0),"")</f>
        <v/>
      </c>
      <c r="G177" s="215" t="str">
        <f>IFERROR(VLOOKUP($C177,'PORTIFÓLIO'!C:V,5,0),"")</f>
        <v/>
      </c>
      <c r="H177" s="254" t="str">
        <f t="array" ref="H177">IFERROR(INDEX('PORTIFÓLIO'!$H$4:$H$433,MATCH($C177,'PORTIFÓLIO'!$C$4:$C$433,0)),"")</f>
        <v/>
      </c>
      <c r="I177" s="256"/>
      <c r="J177" s="218">
        <f t="shared" si="20"/>
        <v>0</v>
      </c>
      <c r="K177" s="219" t="str">
        <f t="array" ref="K177">IFERROR(I177*INDEX('PORTIFÓLIO'!$S$4:$S$433,MATCH($C177,'PORTIFÓLIO'!$C$4:$C$433,0)),"")</f>
        <v/>
      </c>
      <c r="L177" s="219" t="str">
        <f t="array" ref="L177">IFERROR(J177*INDEX('PORTIFÓLIO'!$S$4:$S$433,MATCH($C177,'PORTIFÓLIO'!$C$4:$C$433,0)),"")</f>
        <v/>
      </c>
      <c r="M177" s="220"/>
      <c r="N177" s="220"/>
      <c r="O177" s="220"/>
      <c r="P177" s="220"/>
      <c r="Q177" s="220"/>
      <c r="R177" s="220"/>
      <c r="S177" s="220"/>
      <c r="T177" s="220"/>
      <c r="U177" s="220"/>
      <c r="V177" s="220"/>
      <c r="W177" s="220"/>
    </row>
    <row r="178" ht="15.75" customHeight="1" outlineLevel="1">
      <c r="A178" s="211"/>
      <c r="B178" s="212"/>
      <c r="C178" s="213"/>
      <c r="D178" s="214" t="str">
        <f>IFERROR(VLOOKUP($C178,'PORTIFÓLIO'!C:V,2,0),"")</f>
        <v/>
      </c>
      <c r="E178" s="211" t="str">
        <f>IFERROR(VLOOKUP($C178,'PORTIFÓLIO'!C:V,3,0),"")</f>
        <v/>
      </c>
      <c r="F178" s="211" t="str">
        <f>IFERROR(VLOOKUP($C178,'PORTIFÓLIO'!C:V,4,0),"")</f>
        <v/>
      </c>
      <c r="G178" s="215" t="str">
        <f>IFERROR(VLOOKUP($C178,'PORTIFÓLIO'!C:V,5,0),"")</f>
        <v/>
      </c>
      <c r="H178" s="254" t="str">
        <f t="array" ref="H178">IFERROR(INDEX('PORTIFÓLIO'!$H$4:$H$433,MATCH($C178,'PORTIFÓLIO'!$C$4:$C$433,0)),"")</f>
        <v/>
      </c>
      <c r="I178" s="256"/>
      <c r="J178" s="218">
        <f t="shared" si="20"/>
        <v>0</v>
      </c>
      <c r="K178" s="219" t="str">
        <f t="array" ref="K178">IFERROR(I178*INDEX('PORTIFÓLIO'!$S$4:$S$433,MATCH($C178,'PORTIFÓLIO'!$C$4:$C$433,0)),"")</f>
        <v/>
      </c>
      <c r="L178" s="219" t="str">
        <f t="array" ref="L178">IFERROR(J178*INDEX('PORTIFÓLIO'!$S$4:$S$433,MATCH($C178,'PORTIFÓLIO'!$C$4:$C$433,0)),"")</f>
        <v/>
      </c>
      <c r="M178" s="220"/>
      <c r="N178" s="220"/>
      <c r="O178" s="220"/>
      <c r="P178" s="220"/>
      <c r="Q178" s="220"/>
      <c r="R178" s="220"/>
      <c r="S178" s="220"/>
      <c r="T178" s="220"/>
      <c r="U178" s="220"/>
      <c r="V178" s="220"/>
      <c r="W178" s="220"/>
    </row>
    <row r="179" ht="15.75" customHeight="1" outlineLevel="1">
      <c r="A179" s="211"/>
      <c r="B179" s="212"/>
      <c r="C179" s="213"/>
      <c r="D179" s="214" t="str">
        <f>IFERROR(VLOOKUP($C179,'PORTIFÓLIO'!C:V,2,0),"")</f>
        <v/>
      </c>
      <c r="E179" s="211" t="str">
        <f>IFERROR(VLOOKUP($C179,'PORTIFÓLIO'!C:V,3,0),"")</f>
        <v/>
      </c>
      <c r="F179" s="211" t="str">
        <f>IFERROR(VLOOKUP($C179,'PORTIFÓLIO'!C:V,4,0),"")</f>
        <v/>
      </c>
      <c r="G179" s="215" t="str">
        <f>IFERROR(VLOOKUP($C179,'PORTIFÓLIO'!C:V,5,0),"")</f>
        <v/>
      </c>
      <c r="H179" s="254" t="str">
        <f t="array" ref="H179">IFERROR(INDEX('PORTIFÓLIO'!$H$4:$H$433,MATCH($C179,'PORTIFÓLIO'!$C$4:$C$433,0)),"")</f>
        <v/>
      </c>
      <c r="I179" s="256"/>
      <c r="J179" s="218">
        <f t="shared" si="20"/>
        <v>0</v>
      </c>
      <c r="K179" s="219" t="str">
        <f t="array" ref="K179">IFERROR(I179*INDEX('PORTIFÓLIO'!$S$4:$S$433,MATCH($C179,'PORTIFÓLIO'!$C$4:$C$433,0)),"")</f>
        <v/>
      </c>
      <c r="L179" s="219" t="str">
        <f t="array" ref="L179">IFERROR(J179*INDEX('PORTIFÓLIO'!$S$4:$S$433,MATCH($C179,'PORTIFÓLIO'!$C$4:$C$433,0)),"")</f>
        <v/>
      </c>
      <c r="M179" s="220"/>
      <c r="N179" s="220"/>
      <c r="O179" s="220"/>
      <c r="P179" s="220"/>
      <c r="Q179" s="220"/>
      <c r="R179" s="220"/>
      <c r="S179" s="220"/>
      <c r="T179" s="220"/>
      <c r="U179" s="220"/>
      <c r="V179" s="220"/>
      <c r="W179" s="220"/>
    </row>
    <row r="180" ht="15.75" customHeight="1" outlineLevel="1">
      <c r="A180" s="211"/>
      <c r="B180" s="212"/>
      <c r="C180" s="213"/>
      <c r="D180" s="214" t="str">
        <f>IFERROR(VLOOKUP($C180,'PORTIFÓLIO'!C:V,2,0),"")</f>
        <v/>
      </c>
      <c r="E180" s="211" t="str">
        <f>IFERROR(VLOOKUP($C180,'PORTIFÓLIO'!C:V,3,0),"")</f>
        <v/>
      </c>
      <c r="F180" s="211" t="str">
        <f>IFERROR(VLOOKUP($C180,'PORTIFÓLIO'!C:V,4,0),"")</f>
        <v/>
      </c>
      <c r="G180" s="215" t="str">
        <f>IFERROR(VLOOKUP($C180,'PORTIFÓLIO'!C:V,5,0),"")</f>
        <v/>
      </c>
      <c r="H180" s="254" t="str">
        <f t="array" ref="H180">IFERROR(INDEX('PORTIFÓLIO'!$H$4:$H$433,MATCH($C180,'PORTIFÓLIO'!$C$4:$C$433,0)),"")</f>
        <v/>
      </c>
      <c r="I180" s="256"/>
      <c r="J180" s="218">
        <f t="shared" si="20"/>
        <v>0</v>
      </c>
      <c r="K180" s="219" t="str">
        <f t="array" ref="K180">IFERROR(I180*INDEX('PORTIFÓLIO'!$S$4:$S$433,MATCH($C180,'PORTIFÓLIO'!$C$4:$C$433,0)),"")</f>
        <v/>
      </c>
      <c r="L180" s="219" t="str">
        <f t="array" ref="L180">IFERROR(J180*INDEX('PORTIFÓLIO'!$S$4:$S$433,MATCH($C180,'PORTIFÓLIO'!$C$4:$C$433,0)),"")</f>
        <v/>
      </c>
      <c r="M180" s="220"/>
      <c r="N180" s="220"/>
      <c r="O180" s="220"/>
      <c r="P180" s="220"/>
      <c r="Q180" s="220"/>
      <c r="R180" s="220"/>
      <c r="S180" s="220"/>
      <c r="T180" s="220"/>
      <c r="U180" s="220"/>
      <c r="V180" s="220"/>
      <c r="W180" s="220"/>
    </row>
    <row r="181" ht="15.75" customHeight="1" outlineLevel="1">
      <c r="A181" s="211"/>
      <c r="B181" s="227"/>
      <c r="C181" s="211"/>
      <c r="D181" s="214" t="str">
        <f>IFERROR(VLOOKUP($C181,'PORTIFÓLIO'!C:V,2,0),"")</f>
        <v/>
      </c>
      <c r="E181" s="211" t="str">
        <f>IFERROR(VLOOKUP($C181,'PORTIFÓLIO'!C:V,3,0),"")</f>
        <v/>
      </c>
      <c r="F181" s="211" t="str">
        <f>IFERROR(VLOOKUP($C181,'PORTIFÓLIO'!C:V,4,0),"")</f>
        <v/>
      </c>
      <c r="G181" s="215" t="str">
        <f>IFERROR(VLOOKUP($C181,'PORTIFÓLIO'!C:V,5,0),"")</f>
        <v/>
      </c>
      <c r="H181" s="254" t="str">
        <f t="array" ref="H181">IFERROR(INDEX('PORTIFÓLIO'!$H$4:$H$433,MATCH($C181,'PORTIFÓLIO'!$C$4:$C$433,0)),"")</f>
        <v/>
      </c>
      <c r="I181" s="256"/>
      <c r="J181" s="218">
        <f t="shared" si="20"/>
        <v>0</v>
      </c>
      <c r="K181" s="219" t="str">
        <f t="array" ref="K181">IFERROR(I181*INDEX('PORTIFÓLIO'!$S$4:$S$433,MATCH($C181,'PORTIFÓLIO'!$C$4:$C$433,0)),"")</f>
        <v/>
      </c>
      <c r="L181" s="219" t="str">
        <f t="array" ref="L181">IFERROR(J181*INDEX('PORTIFÓLIO'!$S$4:$S$433,MATCH($C181,'PORTIFÓLIO'!$C$4:$C$433,0)),"")</f>
        <v/>
      </c>
      <c r="M181" s="220"/>
      <c r="N181" s="220"/>
      <c r="O181" s="220"/>
      <c r="P181" s="220"/>
      <c r="Q181" s="220"/>
      <c r="R181" s="220"/>
      <c r="S181" s="220"/>
      <c r="T181" s="220"/>
      <c r="U181" s="220"/>
      <c r="V181" s="220"/>
      <c r="W181" s="220"/>
    </row>
    <row r="182" ht="15.75" customHeight="1">
      <c r="A182" s="229" t="s">
        <v>1194</v>
      </c>
      <c r="B182" s="230"/>
      <c r="C182" s="231"/>
      <c r="D182" s="232"/>
      <c r="E182" s="231"/>
      <c r="F182" s="231"/>
      <c r="G182" s="233"/>
      <c r="H182" s="233"/>
      <c r="I182" s="258"/>
      <c r="J182" s="236"/>
      <c r="K182" s="237">
        <f t="shared" ref="K182:L182" si="21">SUBTOTAL(9,K183:K196)</f>
        <v>339.9254902</v>
      </c>
      <c r="L182" s="237">
        <f t="shared" si="21"/>
        <v>15976.49804</v>
      </c>
      <c r="M182" s="220"/>
      <c r="N182" s="220"/>
      <c r="O182" s="220"/>
      <c r="P182" s="220"/>
      <c r="Q182" s="220"/>
      <c r="R182" s="220"/>
      <c r="S182" s="220"/>
      <c r="T182" s="220"/>
      <c r="U182" s="220"/>
      <c r="V182" s="220"/>
      <c r="W182" s="220"/>
    </row>
    <row r="183" ht="15.75" customHeight="1" outlineLevel="1">
      <c r="A183" s="213"/>
      <c r="B183" s="212" t="s">
        <v>10</v>
      </c>
      <c r="C183" s="213" t="s">
        <v>1195</v>
      </c>
      <c r="D183" s="214" t="str">
        <f>IFERROR(VLOOKUP($C183,'PORTIFÓLIO'!C:V,2,0),"")</f>
        <v/>
      </c>
      <c r="E183" s="211" t="str">
        <f>IFERROR(VLOOKUP($C183,'PORTIFÓLIO'!C:V,3,0),"")</f>
        <v/>
      </c>
      <c r="F183" s="211" t="str">
        <f>IFERROR(VLOOKUP($C183,'PORTIFÓLIO'!C:V,4,0),"")</f>
        <v>R$/Ha</v>
      </c>
      <c r="G183" s="215">
        <f t="array" ref="G183">IFERROR(INDEX('PORTIFÓLIO'!$H$4:$H$433,MATCH($C183,'PORTIFÓLIO'!$C$4:$C$433,0)),"")</f>
        <v>0.3267973856</v>
      </c>
      <c r="H183" s="254">
        <f t="array" ref="H183">IFERROR(INDEX('PORTIFÓLIO'!$H$4:$H$433,MATCH($C183,'PORTIFÓLIO'!$C$4:$C$433,0)),"")</f>
        <v>0.3267973856</v>
      </c>
      <c r="I183" s="255">
        <v>0.32</v>
      </c>
      <c r="J183" s="218">
        <f t="shared" ref="J183:J199" si="22">I183*$B$2</f>
        <v>15.04</v>
      </c>
      <c r="K183" s="219">
        <f t="array" ref="K183">IFERROR(I183*INDEX('PORTIFÓLIO'!$S$4:$S$433,MATCH($C183,'PORTIFÓLIO'!$C$4:$C$433,0)),"")</f>
        <v>36</v>
      </c>
      <c r="L183" s="219">
        <f t="array" ref="L183">IFERROR(J183*INDEX('PORTIFÓLIO'!$S$4:$S$433,MATCH($C183,'PORTIFÓLIO'!$C$4:$C$433,0)),"")</f>
        <v>1692</v>
      </c>
      <c r="M183" s="220"/>
      <c r="N183" s="220"/>
      <c r="O183" s="220"/>
      <c r="P183" s="220"/>
      <c r="Q183" s="220"/>
      <c r="R183" s="220"/>
      <c r="S183" s="220"/>
      <c r="T183" s="220"/>
      <c r="U183" s="220"/>
      <c r="V183" s="220"/>
      <c r="W183" s="220"/>
    </row>
    <row r="184" ht="15.75" customHeight="1" outlineLevel="1">
      <c r="A184" s="211"/>
      <c r="B184" s="212" t="s">
        <v>10</v>
      </c>
      <c r="C184" s="213" t="s">
        <v>1196</v>
      </c>
      <c r="D184" s="214" t="str">
        <f>IFERROR(VLOOKUP($C184,'PORTIFÓLIO'!C:V,2,0),"")</f>
        <v/>
      </c>
      <c r="E184" s="211" t="str">
        <f>IFERROR(VLOOKUP($C184,'PORTIFÓLIO'!C:V,3,0),"")</f>
        <v/>
      </c>
      <c r="F184" s="211" t="str">
        <f>IFERROR(VLOOKUP($C184,'PORTIFÓLIO'!C:V,4,0),"")</f>
        <v>R$/Ha</v>
      </c>
      <c r="G184" s="215">
        <f t="array" ref="G184">IFERROR(INDEX('PORTIFÓLIO'!$H$4:$H$433,MATCH($C184,'PORTIFÓLIO'!$C$4:$C$433,0)),"")</f>
        <v>0.04901960784</v>
      </c>
      <c r="H184" s="254">
        <f t="array" ref="H184">IFERROR(INDEX('PORTIFÓLIO'!$H$4:$H$433,MATCH($C184,'PORTIFÓLIO'!$C$4:$C$433,0)),"")</f>
        <v>0.04901960784</v>
      </c>
      <c r="I184" s="256">
        <f>G184*4</f>
        <v>0.1960784314</v>
      </c>
      <c r="J184" s="218">
        <f t="shared" si="22"/>
        <v>9.215686275</v>
      </c>
      <c r="K184" s="219">
        <f t="array" ref="K184">IFERROR(I184*INDEX('PORTIFÓLIO'!$S$4:$S$433,MATCH($C184,'PORTIFÓLIO'!$C$4:$C$433,0)),"")</f>
        <v>22.05882353</v>
      </c>
      <c r="L184" s="219">
        <f t="array" ref="L184">IFERROR(J184*INDEX('PORTIFÓLIO'!$S$4:$S$433,MATCH($C184,'PORTIFÓLIO'!$C$4:$C$433,0)),"")</f>
        <v>1036.764706</v>
      </c>
      <c r="M184" s="220"/>
      <c r="N184" s="220"/>
      <c r="O184" s="220"/>
      <c r="P184" s="220"/>
      <c r="Q184" s="220"/>
      <c r="R184" s="220"/>
      <c r="S184" s="220"/>
      <c r="T184" s="220"/>
      <c r="U184" s="220"/>
      <c r="V184" s="220"/>
      <c r="W184" s="220"/>
    </row>
    <row r="185" ht="15.75" customHeight="1" outlineLevel="1">
      <c r="A185" s="211"/>
      <c r="B185" s="212" t="s">
        <v>10</v>
      </c>
      <c r="C185" s="213" t="s">
        <v>1197</v>
      </c>
      <c r="D185" s="214" t="str">
        <f>IFERROR(VLOOKUP($C185,'PORTIFÓLIO'!C:V,2,0),"")</f>
        <v/>
      </c>
      <c r="E185" s="211" t="str">
        <f>IFERROR(VLOOKUP($C185,'PORTIFÓLIO'!C:V,3,0),"")</f>
        <v/>
      </c>
      <c r="F185" s="211" t="str">
        <f>IFERROR(VLOOKUP($C185,'PORTIFÓLIO'!C:V,4,0),"")</f>
        <v>R$/Ha</v>
      </c>
      <c r="G185" s="215">
        <f t="array" ref="G185">IFERROR(INDEX('PORTIFÓLIO'!$H$4:$H$433,MATCH($C185,'PORTIFÓLIO'!$C$4:$C$433,0)),"")</f>
        <v>0.01960784314</v>
      </c>
      <c r="H185" s="254">
        <f t="array" ref="H185">IFERROR(INDEX('PORTIFÓLIO'!$H$4:$H$433,MATCH($C185,'PORTIFÓLIO'!$C$4:$C$433,0)),"")</f>
        <v>0.01960784314</v>
      </c>
      <c r="I185" s="256">
        <f>G185*3</f>
        <v>0.05882352941</v>
      </c>
      <c r="J185" s="218">
        <f t="shared" si="22"/>
        <v>2.764705882</v>
      </c>
      <c r="K185" s="219">
        <f t="array" ref="K185">IFERROR(I185*INDEX('PORTIFÓLIO'!$S$4:$S$433,MATCH($C185,'PORTIFÓLIO'!$C$4:$C$433,0)),"")</f>
        <v>7.5</v>
      </c>
      <c r="L185" s="219">
        <f t="array" ref="L185">IFERROR(J185*INDEX('PORTIFÓLIO'!$S$4:$S$433,MATCH($C185,'PORTIFÓLIO'!$C$4:$C$433,0)),"")</f>
        <v>352.5</v>
      </c>
      <c r="M185" s="220"/>
      <c r="N185" s="220"/>
      <c r="O185" s="220"/>
      <c r="P185" s="220"/>
      <c r="Q185" s="220"/>
      <c r="R185" s="220"/>
      <c r="S185" s="220"/>
      <c r="T185" s="220"/>
      <c r="U185" s="220"/>
      <c r="V185" s="220"/>
      <c r="W185" s="220"/>
    </row>
    <row r="186" ht="15.75" customHeight="1" outlineLevel="1">
      <c r="A186" s="211"/>
      <c r="B186" s="212" t="s">
        <v>10</v>
      </c>
      <c r="C186" s="213" t="s">
        <v>1198</v>
      </c>
      <c r="D186" s="214" t="str">
        <f>IFERROR(VLOOKUP($C186,'PORTIFÓLIO'!C:V,2,0),"")</f>
        <v/>
      </c>
      <c r="E186" s="211" t="str">
        <f>IFERROR(VLOOKUP($C186,'PORTIFÓLIO'!C:V,3,0),"")</f>
        <v/>
      </c>
      <c r="F186" s="211" t="str">
        <f>IFERROR(VLOOKUP($C186,'PORTIFÓLIO'!C:V,4,0),"")</f>
        <v>R$/Ha</v>
      </c>
      <c r="G186" s="215">
        <f t="array" ref="G186">IFERROR(INDEX('PORTIFÓLIO'!$H$4:$H$433,MATCH($C186,'PORTIFÓLIO'!$C$4:$C$433,0)),"")</f>
        <v>0.006666666667</v>
      </c>
      <c r="H186" s="254">
        <f t="array" ref="H186">IFERROR(INDEX('PORTIFÓLIO'!$H$4:$H$433,MATCH($C186,'PORTIFÓLIO'!$C$4:$C$433,0)),"")</f>
        <v>0.006666666667</v>
      </c>
      <c r="I186" s="256">
        <f>G186*5</f>
        <v>0.03333333333</v>
      </c>
      <c r="J186" s="218">
        <f t="shared" si="22"/>
        <v>1.566666667</v>
      </c>
      <c r="K186" s="219">
        <f t="array" ref="K186">IFERROR(I186*INDEX('PORTIFÓLIO'!$S$4:$S$433,MATCH($C186,'PORTIFÓLIO'!$C$4:$C$433,0)),"")</f>
        <v>166.6666667</v>
      </c>
      <c r="L186" s="219">
        <f t="array" ref="L186">IFERROR(J186*INDEX('PORTIFÓLIO'!$S$4:$S$433,MATCH($C186,'PORTIFÓLIO'!$C$4:$C$433,0)),"")</f>
        <v>7833.333333</v>
      </c>
      <c r="M186" s="220"/>
      <c r="N186" s="220"/>
      <c r="O186" s="220"/>
      <c r="P186" s="220"/>
      <c r="Q186" s="220"/>
      <c r="R186" s="220"/>
      <c r="S186" s="220"/>
      <c r="T186" s="220"/>
      <c r="U186" s="220"/>
      <c r="V186" s="220"/>
      <c r="W186" s="220"/>
    </row>
    <row r="187" ht="15.75" customHeight="1" outlineLevel="1">
      <c r="A187" s="211"/>
      <c r="B187" s="212" t="s">
        <v>10</v>
      </c>
      <c r="C187" s="213" t="s">
        <v>1199</v>
      </c>
      <c r="D187" s="214" t="str">
        <f>IFERROR(VLOOKUP($C187,'PORTIFÓLIO'!C:V,2,0),"")</f>
        <v/>
      </c>
      <c r="E187" s="211" t="str">
        <f>IFERROR(VLOOKUP($C187,'PORTIFÓLIO'!C:V,3,0),"")</f>
        <v/>
      </c>
      <c r="F187" s="211" t="str">
        <f>IFERROR(VLOOKUP($C187,'PORTIFÓLIO'!C:V,4,0),"")</f>
        <v>R$/Ha</v>
      </c>
      <c r="G187" s="215">
        <f t="array" ref="G187">IFERROR(INDEX('PORTIFÓLIO'!$H$4:$H$433,MATCH($C187,'PORTIFÓLIO'!$C$4:$C$433,0)),"")</f>
        <v>0.08169934641</v>
      </c>
      <c r="H187" s="254">
        <f t="array" ref="H187">IFERROR(INDEX('PORTIFÓLIO'!$H$4:$H$433,MATCH($C187,'PORTIFÓLIO'!$C$4:$C$433,0)),"")</f>
        <v>0.08169934641</v>
      </c>
      <c r="I187" s="255">
        <v>0.081</v>
      </c>
      <c r="J187" s="218">
        <f t="shared" si="22"/>
        <v>3.807</v>
      </c>
      <c r="K187" s="219">
        <f t="array" ref="K187">IFERROR(I187*INDEX('PORTIFÓLIO'!$S$4:$S$433,MATCH($C187,'PORTIFÓLIO'!$C$4:$C$433,0)),"")</f>
        <v>36.45</v>
      </c>
      <c r="L187" s="219">
        <f t="array" ref="L187">IFERROR(J187*INDEX('PORTIFÓLIO'!$S$4:$S$433,MATCH($C187,'PORTIFÓLIO'!$C$4:$C$433,0)),"")</f>
        <v>1713.15</v>
      </c>
      <c r="M187" s="220"/>
      <c r="N187" s="220"/>
      <c r="O187" s="220"/>
      <c r="P187" s="220"/>
      <c r="Q187" s="220"/>
      <c r="R187" s="220"/>
      <c r="S187" s="220"/>
      <c r="T187" s="220"/>
      <c r="U187" s="220"/>
      <c r="V187" s="220"/>
      <c r="W187" s="220"/>
    </row>
    <row r="188" ht="15.75" customHeight="1" outlineLevel="1">
      <c r="A188" s="211"/>
      <c r="B188" s="212" t="s">
        <v>10</v>
      </c>
      <c r="C188" s="213" t="s">
        <v>1200</v>
      </c>
      <c r="D188" s="214" t="str">
        <f>IFERROR(VLOOKUP($C188,'PORTIFÓLIO'!C:V,2,0),"")</f>
        <v/>
      </c>
      <c r="E188" s="211" t="str">
        <f>IFERROR(VLOOKUP($C188,'PORTIFÓLIO'!C:V,3,0),"")</f>
        <v/>
      </c>
      <c r="F188" s="211" t="str">
        <f>IFERROR(VLOOKUP($C188,'PORTIFÓLIO'!C:V,4,0),"")</f>
        <v>R$/Ha</v>
      </c>
      <c r="G188" s="215">
        <f t="array" ref="G188">IFERROR(INDEX('PORTIFÓLIO'!$H$4:$H$433,MATCH($C188,'PORTIFÓLIO'!$C$4:$C$433,0)),"")</f>
        <v>0.1508295626</v>
      </c>
      <c r="H188" s="254">
        <f t="array" ref="H188">IFERROR(INDEX('PORTIFÓLIO'!$H$4:$H$433,MATCH($C188,'PORTIFÓLIO'!$C$4:$C$433,0)),"")</f>
        <v>0.1508295626</v>
      </c>
      <c r="I188" s="255">
        <v>0.15</v>
      </c>
      <c r="J188" s="218">
        <f t="shared" si="22"/>
        <v>7.05</v>
      </c>
      <c r="K188" s="219">
        <f t="array" ref="K188">IFERROR(I188*INDEX('PORTIFÓLIO'!$S$4:$S$433,MATCH($C188,'PORTIFÓLIO'!$C$4:$C$433,0)),"")</f>
        <v>56.25</v>
      </c>
      <c r="L188" s="219">
        <f t="array" ref="L188">IFERROR(J188*INDEX('PORTIFÓLIO'!$S$4:$S$433,MATCH($C188,'PORTIFÓLIO'!$C$4:$C$433,0)),"")</f>
        <v>2643.75</v>
      </c>
      <c r="M188" s="220"/>
      <c r="N188" s="220"/>
      <c r="O188" s="220"/>
      <c r="P188" s="220"/>
      <c r="Q188" s="220"/>
      <c r="R188" s="220"/>
      <c r="S188" s="220"/>
      <c r="T188" s="220"/>
      <c r="U188" s="220"/>
      <c r="V188" s="220"/>
      <c r="W188" s="220"/>
    </row>
    <row r="189" ht="15.75" customHeight="1" outlineLevel="1">
      <c r="A189" s="211"/>
      <c r="B189" s="212" t="s">
        <v>10</v>
      </c>
      <c r="C189" s="213" t="s">
        <v>1201</v>
      </c>
      <c r="D189" s="214" t="str">
        <f>IFERROR(VLOOKUP($C189,'PORTIFÓLIO'!C:V,2,0),"")</f>
        <v/>
      </c>
      <c r="E189" s="211" t="str">
        <f>IFERROR(VLOOKUP($C189,'PORTIFÓLIO'!C:V,3,0),"")</f>
        <v/>
      </c>
      <c r="F189" s="211" t="str">
        <f>IFERROR(VLOOKUP($C189,'PORTIFÓLIO'!C:V,4,0),"")</f>
        <v>R$/Ha</v>
      </c>
      <c r="G189" s="215">
        <f t="array" ref="G189">IFERROR(INDEX('PORTIFÓLIO'!$H$4:$H$433,MATCH($C189,'PORTIFÓLIO'!$C$4:$C$433,0)),"")</f>
        <v>0.001367989056</v>
      </c>
      <c r="H189" s="254">
        <f t="array" ref="H189">IFERROR(INDEX('PORTIFÓLIO'!$H$4:$H$433,MATCH($C189,'PORTIFÓLIO'!$C$4:$C$433,0)),"")</f>
        <v>0.001367989056</v>
      </c>
      <c r="I189" s="255">
        <v>0.1</v>
      </c>
      <c r="J189" s="218">
        <f t="shared" si="22"/>
        <v>4.7</v>
      </c>
      <c r="K189" s="219">
        <f t="array" ref="K189">IFERROR(I189*INDEX('PORTIFÓLIO'!$S$4:$S$433,MATCH($C189,'PORTIFÓLIO'!$C$4:$C$433,0)),"")</f>
        <v>15</v>
      </c>
      <c r="L189" s="219">
        <f t="array" ref="L189">IFERROR(J189*INDEX('PORTIFÓLIO'!$S$4:$S$433,MATCH($C189,'PORTIFÓLIO'!$C$4:$C$433,0)),"")</f>
        <v>705</v>
      </c>
      <c r="M189" s="220"/>
      <c r="N189" s="220"/>
      <c r="O189" s="220"/>
      <c r="P189" s="220"/>
      <c r="Q189" s="220"/>
      <c r="R189" s="220"/>
      <c r="S189" s="220"/>
      <c r="T189" s="220"/>
      <c r="U189" s="220"/>
      <c r="V189" s="220"/>
      <c r="W189" s="220"/>
    </row>
    <row r="190" ht="15.75" customHeight="1" outlineLevel="1">
      <c r="A190" s="211"/>
      <c r="B190" s="212"/>
      <c r="C190" s="213"/>
      <c r="D190" s="214" t="str">
        <f>IFERROR(VLOOKUP($C190,'PORTIFÓLIO'!C:V,2,0),"")</f>
        <v/>
      </c>
      <c r="E190" s="211" t="str">
        <f>IFERROR(VLOOKUP($C190,'PORTIFÓLIO'!C:V,3,0),"")</f>
        <v/>
      </c>
      <c r="F190" s="211" t="str">
        <f>IFERROR(VLOOKUP($C190,'PORTIFÓLIO'!C:V,4,0),"")</f>
        <v/>
      </c>
      <c r="G190" s="215" t="str">
        <f>IFERROR(VLOOKUP($C190,'PORTIFÓLIO'!C:V,5,0),"")</f>
        <v/>
      </c>
      <c r="H190" s="254" t="str">
        <f t="array" ref="H190">IFERROR(INDEX('PORTIFÓLIO'!$H$4:$H$433,MATCH($C190,'PORTIFÓLIO'!$C$4:$C$433,0)),"")</f>
        <v/>
      </c>
      <c r="I190" s="256"/>
      <c r="J190" s="218">
        <f t="shared" si="22"/>
        <v>0</v>
      </c>
      <c r="K190" s="219" t="str">
        <f t="array" ref="K190">IFERROR(I190*INDEX('PORTIFÓLIO'!$S$4:$S$433,MATCH($C190,'PORTIFÓLIO'!$C$4:$C$433,0)),"")</f>
        <v/>
      </c>
      <c r="L190" s="219" t="str">
        <f t="array" ref="L190">IFERROR(J190*INDEX('PORTIFÓLIO'!$S$4:$S$433,MATCH($C190,'PORTIFÓLIO'!$C$4:$C$433,0)),"")</f>
        <v/>
      </c>
      <c r="M190" s="220"/>
      <c r="N190" s="220"/>
      <c r="O190" s="220"/>
      <c r="P190" s="220"/>
      <c r="Q190" s="220"/>
      <c r="R190" s="220"/>
      <c r="S190" s="220"/>
      <c r="T190" s="220"/>
      <c r="U190" s="220"/>
      <c r="V190" s="220"/>
      <c r="W190" s="220"/>
    </row>
    <row r="191" ht="15.75" customHeight="1" outlineLevel="1">
      <c r="A191" s="211"/>
      <c r="B191" s="212"/>
      <c r="C191" s="213"/>
      <c r="D191" s="214" t="str">
        <f>IFERROR(VLOOKUP($C191,'PORTIFÓLIO'!C:V,2,0),"")</f>
        <v/>
      </c>
      <c r="E191" s="211" t="str">
        <f>IFERROR(VLOOKUP($C191,'PORTIFÓLIO'!C:V,3,0),"")</f>
        <v/>
      </c>
      <c r="F191" s="211" t="str">
        <f>IFERROR(VLOOKUP($C191,'PORTIFÓLIO'!C:V,4,0),"")</f>
        <v/>
      </c>
      <c r="G191" s="215" t="str">
        <f>IFERROR(VLOOKUP($C191,'PORTIFÓLIO'!C:V,5,0),"")</f>
        <v/>
      </c>
      <c r="H191" s="254" t="str">
        <f t="array" ref="H191">IFERROR(INDEX('PORTIFÓLIO'!$H$4:$H$433,MATCH($C191,'PORTIFÓLIO'!$C$4:$C$433,0)),"")</f>
        <v/>
      </c>
      <c r="I191" s="255"/>
      <c r="J191" s="218">
        <f t="shared" si="22"/>
        <v>0</v>
      </c>
      <c r="K191" s="219" t="str">
        <f t="array" ref="K191">IFERROR(I191*INDEX('PORTIFÓLIO'!$S$4:$S$433,MATCH($C191,'PORTIFÓLIO'!$C$4:$C$433,0)),"")</f>
        <v/>
      </c>
      <c r="L191" s="219" t="str">
        <f t="array" ref="L191">IFERROR(J191*INDEX('PORTIFÓLIO'!$S$4:$S$433,MATCH($C191,'PORTIFÓLIO'!$C$4:$C$433,0)),"")</f>
        <v/>
      </c>
      <c r="M191" s="220"/>
      <c r="N191" s="220"/>
      <c r="O191" s="220"/>
      <c r="P191" s="220"/>
      <c r="Q191" s="220"/>
      <c r="R191" s="220"/>
      <c r="S191" s="220"/>
      <c r="T191" s="220"/>
      <c r="U191" s="220"/>
      <c r="V191" s="220"/>
      <c r="W191" s="220"/>
    </row>
    <row r="192" ht="15.75" customHeight="1" outlineLevel="1">
      <c r="A192" s="211"/>
      <c r="B192" s="212"/>
      <c r="C192" s="213"/>
      <c r="D192" s="214" t="str">
        <f>IFERROR(VLOOKUP($C192,'PORTIFÓLIO'!C:V,2,0),"")</f>
        <v/>
      </c>
      <c r="E192" s="211" t="str">
        <f>IFERROR(VLOOKUP($C192,'PORTIFÓLIO'!C:V,3,0),"")</f>
        <v/>
      </c>
      <c r="F192" s="211" t="str">
        <f>IFERROR(VLOOKUP($C192,'PORTIFÓLIO'!C:V,4,0),"")</f>
        <v/>
      </c>
      <c r="G192" s="215" t="str">
        <f>IFERROR(VLOOKUP($C192,'PORTIFÓLIO'!C:V,5,0),"")</f>
        <v/>
      </c>
      <c r="H192" s="254" t="str">
        <f t="array" ref="H192">IFERROR(INDEX('PORTIFÓLIO'!$H$4:$H$433,MATCH($C192,'PORTIFÓLIO'!$C$4:$C$433,0)),"")</f>
        <v/>
      </c>
      <c r="I192" s="256"/>
      <c r="J192" s="218">
        <f t="shared" si="22"/>
        <v>0</v>
      </c>
      <c r="K192" s="219" t="str">
        <f t="array" ref="K192">IFERROR(I192*INDEX('PORTIFÓLIO'!$S$4:$S$433,MATCH($C192,'PORTIFÓLIO'!$C$4:$C$433,0)),"")</f>
        <v/>
      </c>
      <c r="L192" s="219" t="str">
        <f t="array" ref="L192">IFERROR(J192*INDEX('PORTIFÓLIO'!$S$4:$S$433,MATCH($C192,'PORTIFÓLIO'!$C$4:$C$433,0)),"")</f>
        <v/>
      </c>
      <c r="M192" s="220"/>
      <c r="N192" s="220"/>
      <c r="O192" s="220"/>
      <c r="P192" s="220"/>
      <c r="Q192" s="220"/>
      <c r="R192" s="220"/>
      <c r="S192" s="220"/>
      <c r="T192" s="220"/>
      <c r="U192" s="220"/>
      <c r="V192" s="220"/>
      <c r="W192" s="220"/>
    </row>
    <row r="193" ht="15.75" customHeight="1" outlineLevel="1">
      <c r="A193" s="211"/>
      <c r="B193" s="212"/>
      <c r="C193" s="213"/>
      <c r="D193" s="214" t="str">
        <f>IFERROR(VLOOKUP($C193,'PORTIFÓLIO'!C:V,2,0),"")</f>
        <v/>
      </c>
      <c r="E193" s="211" t="str">
        <f>IFERROR(VLOOKUP($C193,'PORTIFÓLIO'!C:V,3,0),"")</f>
        <v/>
      </c>
      <c r="F193" s="211" t="str">
        <f>IFERROR(VLOOKUP($C193,'PORTIFÓLIO'!C:V,4,0),"")</f>
        <v/>
      </c>
      <c r="G193" s="215" t="str">
        <f>IFERROR(VLOOKUP($C193,'PORTIFÓLIO'!C:V,5,0),"")</f>
        <v/>
      </c>
      <c r="H193" s="254" t="str">
        <f t="array" ref="H193">IFERROR(INDEX('PORTIFÓLIO'!$H$4:$H$433,MATCH($C193,'PORTIFÓLIO'!$C$4:$C$433,0)),"")</f>
        <v/>
      </c>
      <c r="I193" s="256"/>
      <c r="J193" s="218">
        <f t="shared" si="22"/>
        <v>0</v>
      </c>
      <c r="K193" s="219" t="str">
        <f t="array" ref="K193">IFERROR(I193*INDEX('PORTIFÓLIO'!$S$4:$S$433,MATCH($C193,'PORTIFÓLIO'!$C$4:$C$433,0)),"")</f>
        <v/>
      </c>
      <c r="L193" s="219" t="str">
        <f t="array" ref="L193">IFERROR(J193*INDEX('PORTIFÓLIO'!$S$4:$S$433,MATCH($C193,'PORTIFÓLIO'!$C$4:$C$433,0)),"")</f>
        <v/>
      </c>
      <c r="M193" s="220"/>
      <c r="N193" s="220"/>
      <c r="O193" s="220"/>
      <c r="P193" s="220"/>
      <c r="Q193" s="220"/>
      <c r="R193" s="220"/>
      <c r="S193" s="220"/>
      <c r="T193" s="220"/>
      <c r="U193" s="220"/>
      <c r="V193" s="220"/>
      <c r="W193" s="220"/>
    </row>
    <row r="194" ht="15.75" customHeight="1" outlineLevel="1">
      <c r="A194" s="211"/>
      <c r="B194" s="212"/>
      <c r="C194" s="213"/>
      <c r="D194" s="214" t="str">
        <f>IFERROR(VLOOKUP($C194,'PORTIFÓLIO'!C:V,2,0),"")</f>
        <v/>
      </c>
      <c r="E194" s="211" t="str">
        <f>IFERROR(VLOOKUP($C194,'PORTIFÓLIO'!C:V,3,0),"")</f>
        <v/>
      </c>
      <c r="F194" s="211" t="str">
        <f>IFERROR(VLOOKUP($C194,'PORTIFÓLIO'!C:V,4,0),"")</f>
        <v/>
      </c>
      <c r="G194" s="215" t="str">
        <f>IFERROR(VLOOKUP($C194,'PORTIFÓLIO'!C:V,5,0),"")</f>
        <v/>
      </c>
      <c r="H194" s="254" t="str">
        <f t="array" ref="H194">IFERROR(INDEX('PORTIFÓLIO'!$H$4:$H$433,MATCH($C194,'PORTIFÓLIO'!$C$4:$C$433,0)),"")</f>
        <v/>
      </c>
      <c r="I194" s="256"/>
      <c r="J194" s="218">
        <f t="shared" si="22"/>
        <v>0</v>
      </c>
      <c r="K194" s="219" t="str">
        <f t="array" ref="K194">IFERROR(I194*INDEX('PORTIFÓLIO'!$S$4:$S$433,MATCH($C194,'PORTIFÓLIO'!$C$4:$C$433,0)),"")</f>
        <v/>
      </c>
      <c r="L194" s="219" t="str">
        <f t="array" ref="L194">IFERROR(J194*INDEX('PORTIFÓLIO'!$S$4:$S$433,MATCH($C194,'PORTIFÓLIO'!$C$4:$C$433,0)),"")</f>
        <v/>
      </c>
      <c r="M194" s="220"/>
      <c r="N194" s="220"/>
      <c r="O194" s="220"/>
      <c r="P194" s="220"/>
      <c r="Q194" s="220"/>
      <c r="R194" s="220"/>
      <c r="S194" s="220"/>
      <c r="T194" s="220"/>
      <c r="U194" s="220"/>
      <c r="V194" s="220"/>
      <c r="W194" s="220"/>
    </row>
    <row r="195" ht="15.75" customHeight="1" outlineLevel="1">
      <c r="A195" s="211"/>
      <c r="B195" s="212"/>
      <c r="C195" s="213"/>
      <c r="D195" s="214" t="str">
        <f>IFERROR(VLOOKUP($C195,'PORTIFÓLIO'!C:V,2,0),"")</f>
        <v/>
      </c>
      <c r="E195" s="211" t="str">
        <f>IFERROR(VLOOKUP($C195,'PORTIFÓLIO'!C:V,3,0),"")</f>
        <v/>
      </c>
      <c r="F195" s="211" t="str">
        <f>IFERROR(VLOOKUP($C195,'PORTIFÓLIO'!C:V,4,0),"")</f>
        <v/>
      </c>
      <c r="G195" s="215" t="str">
        <f>IFERROR(VLOOKUP($C195,'PORTIFÓLIO'!C:V,5,0),"")</f>
        <v/>
      </c>
      <c r="H195" s="254" t="str">
        <f t="array" ref="H195">IFERROR(INDEX('PORTIFÓLIO'!$H$4:$H$433,MATCH($C195,'PORTIFÓLIO'!$C$4:$C$433,0)),"")</f>
        <v/>
      </c>
      <c r="I195" s="256"/>
      <c r="J195" s="218">
        <f t="shared" si="22"/>
        <v>0</v>
      </c>
      <c r="K195" s="219" t="str">
        <f t="array" ref="K195">IFERROR(I195*INDEX('PORTIFÓLIO'!$S$4:$S$433,MATCH($C195,'PORTIFÓLIO'!$C$4:$C$433,0)),"")</f>
        <v/>
      </c>
      <c r="L195" s="219" t="str">
        <f t="array" ref="L195">IFERROR(J195*INDEX('PORTIFÓLIO'!$S$4:$S$433,MATCH($C195,'PORTIFÓLIO'!$C$4:$C$433,0)),"")</f>
        <v/>
      </c>
      <c r="M195" s="220"/>
      <c r="N195" s="220"/>
      <c r="O195" s="220"/>
      <c r="P195" s="220"/>
      <c r="Q195" s="220"/>
      <c r="R195" s="220"/>
      <c r="S195" s="220"/>
      <c r="T195" s="220"/>
      <c r="U195" s="220"/>
      <c r="V195" s="220"/>
      <c r="W195" s="220"/>
    </row>
    <row r="196" ht="15.75" customHeight="1" outlineLevel="1">
      <c r="A196" s="211"/>
      <c r="B196" s="212"/>
      <c r="C196" s="213"/>
      <c r="D196" s="214" t="str">
        <f>IFERROR(VLOOKUP($C196,'PORTIFÓLIO'!C:V,2,0),"")</f>
        <v/>
      </c>
      <c r="E196" s="211" t="str">
        <f>IFERROR(VLOOKUP($C196,'PORTIFÓLIO'!C:V,3,0),"")</f>
        <v/>
      </c>
      <c r="F196" s="211" t="str">
        <f>IFERROR(VLOOKUP($C196,'PORTIFÓLIO'!C:V,4,0),"")</f>
        <v/>
      </c>
      <c r="G196" s="215" t="str">
        <f>IFERROR(VLOOKUP($C196,'PORTIFÓLIO'!C:V,5,0),"")</f>
        <v/>
      </c>
      <c r="H196" s="254" t="str">
        <f t="array" ref="H196">IFERROR(INDEX('PORTIFÓLIO'!$H$4:$H$433,MATCH($C196,'PORTIFÓLIO'!$C$4:$C$433,0)),"")</f>
        <v/>
      </c>
      <c r="I196" s="256"/>
      <c r="J196" s="218">
        <f t="shared" si="22"/>
        <v>0</v>
      </c>
      <c r="K196" s="219" t="str">
        <f t="array" ref="K196">IFERROR(I196*INDEX('PORTIFÓLIO'!$S$4:$S$433,MATCH($C196,'PORTIFÓLIO'!$C$4:$C$433,0)),"")</f>
        <v/>
      </c>
      <c r="L196" s="219" t="str">
        <f t="array" ref="L196">IFERROR(J196*INDEX('PORTIFÓLIO'!$S$4:$S$433,MATCH($C196,'PORTIFÓLIO'!$C$4:$C$433,0)),"")</f>
        <v/>
      </c>
      <c r="M196" s="220"/>
      <c r="N196" s="220"/>
      <c r="O196" s="220"/>
      <c r="P196" s="220"/>
      <c r="Q196" s="220"/>
      <c r="R196" s="220"/>
      <c r="S196" s="220"/>
      <c r="T196" s="220"/>
      <c r="U196" s="220"/>
      <c r="V196" s="220"/>
      <c r="W196" s="220"/>
    </row>
    <row r="197" ht="15.75" customHeight="1" outlineLevel="1">
      <c r="A197" s="211"/>
      <c r="B197" s="212"/>
      <c r="C197" s="213"/>
      <c r="D197" s="214" t="str">
        <f>IFERROR(VLOOKUP($C197,'PORTIFÓLIO'!C:V,2,0),"")</f>
        <v/>
      </c>
      <c r="E197" s="211" t="str">
        <f>IFERROR(VLOOKUP($C197,'PORTIFÓLIO'!C:V,3,0),"")</f>
        <v/>
      </c>
      <c r="F197" s="211" t="str">
        <f>IFERROR(VLOOKUP($C197,'PORTIFÓLIO'!C:V,4,0),"")</f>
        <v/>
      </c>
      <c r="G197" s="215" t="str">
        <f>IFERROR(VLOOKUP($C197,'PORTIFÓLIO'!C:V,5,0),"")</f>
        <v/>
      </c>
      <c r="H197" s="254" t="str">
        <f t="array" ref="H197">IFERROR(INDEX('PORTIFÓLIO'!$H$4:$H$433,MATCH($C197,'PORTIFÓLIO'!$C$4:$C$433,0)),"")</f>
        <v/>
      </c>
      <c r="I197" s="256"/>
      <c r="J197" s="218">
        <f t="shared" si="22"/>
        <v>0</v>
      </c>
      <c r="K197" s="219" t="str">
        <f t="array" ref="K197">IFERROR(I197*INDEX('PORTIFÓLIO'!$S$4:$S$433,MATCH($C197,'PORTIFÓLIO'!$C$4:$C$433,0)),"")</f>
        <v/>
      </c>
      <c r="L197" s="219" t="str">
        <f t="array" ref="L197">IFERROR(J197*INDEX('PORTIFÓLIO'!$S$4:$S$433,MATCH($C197,'PORTIFÓLIO'!$C$4:$C$433,0)),"")</f>
        <v/>
      </c>
      <c r="M197" s="220"/>
      <c r="N197" s="220"/>
      <c r="O197" s="220"/>
      <c r="P197" s="220"/>
      <c r="Q197" s="220"/>
      <c r="R197" s="220"/>
      <c r="S197" s="220"/>
      <c r="T197" s="220"/>
      <c r="U197" s="220"/>
      <c r="V197" s="220"/>
      <c r="W197" s="220"/>
    </row>
    <row r="198" ht="15.75" customHeight="1" outlineLevel="1">
      <c r="A198" s="211"/>
      <c r="B198" s="227"/>
      <c r="C198" s="211"/>
      <c r="D198" s="214" t="str">
        <f>IFERROR(VLOOKUP($C198,'PORTIFÓLIO'!C:V,2,0),"")</f>
        <v/>
      </c>
      <c r="E198" s="211" t="str">
        <f>IFERROR(VLOOKUP($C198,'PORTIFÓLIO'!C:V,3,0),"")</f>
        <v/>
      </c>
      <c r="F198" s="211" t="str">
        <f>IFERROR(VLOOKUP($C198,'PORTIFÓLIO'!C:V,4,0),"")</f>
        <v/>
      </c>
      <c r="G198" s="215" t="str">
        <f>IFERROR(VLOOKUP($C198,'PORTIFÓLIO'!C:V,5,0),"")</f>
        <v/>
      </c>
      <c r="H198" s="254" t="str">
        <f t="array" ref="H198">IFERROR(INDEX('PORTIFÓLIO'!$H$4:$H$433,MATCH($C198,'PORTIFÓLIO'!$C$4:$C$433,0)),"")</f>
        <v/>
      </c>
      <c r="I198" s="256"/>
      <c r="J198" s="218">
        <f t="shared" si="22"/>
        <v>0</v>
      </c>
      <c r="K198" s="219" t="str">
        <f t="array" ref="K198">IFERROR(I198*INDEX('PORTIFÓLIO'!$S$4:$S$433,MATCH($C198,'PORTIFÓLIO'!$C$4:$C$433,0)),"")</f>
        <v/>
      </c>
      <c r="L198" s="219" t="str">
        <f t="array" ref="L198">IFERROR(J198*INDEX('PORTIFÓLIO'!$S$4:$S$433,MATCH($C198,'PORTIFÓLIO'!$C$4:$C$433,0)),"")</f>
        <v/>
      </c>
      <c r="M198" s="220"/>
      <c r="N198" s="220"/>
      <c r="O198" s="220"/>
      <c r="P198" s="220"/>
      <c r="Q198" s="220"/>
      <c r="R198" s="220"/>
      <c r="S198" s="220"/>
      <c r="T198" s="220"/>
      <c r="U198" s="220"/>
      <c r="V198" s="220"/>
      <c r="W198" s="220"/>
    </row>
    <row r="199" ht="15.75" customHeight="1" outlineLevel="1">
      <c r="A199" s="211"/>
      <c r="B199" s="227"/>
      <c r="C199" s="211"/>
      <c r="D199" s="214" t="str">
        <f>IFERROR(VLOOKUP($C199,'PORTIFÓLIO'!C:V,2,0),"")</f>
        <v/>
      </c>
      <c r="E199" s="211" t="str">
        <f>IFERROR(VLOOKUP($C199,'PORTIFÓLIO'!C:V,3,0),"")</f>
        <v/>
      </c>
      <c r="F199" s="211" t="str">
        <f>IFERROR(VLOOKUP($C199,'PORTIFÓLIO'!C:V,4,0),"")</f>
        <v/>
      </c>
      <c r="G199" s="215" t="str">
        <f>IFERROR(VLOOKUP($C199,'PORTIFÓLIO'!C:V,5,0),"")</f>
        <v/>
      </c>
      <c r="H199" s="254" t="str">
        <f t="array" ref="H199">IFERROR(INDEX('PORTIFÓLIO'!$H$4:$H$433,MATCH($C199,'PORTIFÓLIO'!$C$4:$C$433,0)),"")</f>
        <v/>
      </c>
      <c r="I199" s="256"/>
      <c r="J199" s="218">
        <f t="shared" si="22"/>
        <v>0</v>
      </c>
      <c r="K199" s="219" t="str">
        <f t="array" ref="K199">IFERROR(I199*INDEX('PORTIFÓLIO'!$S$4:$S$433,MATCH($C199,'PORTIFÓLIO'!$C$4:$C$433,0)),"")</f>
        <v/>
      </c>
      <c r="L199" s="219" t="str">
        <f t="array" ref="L199">IFERROR(J199*INDEX('PORTIFÓLIO'!$S$4:$S$433,MATCH($C199,'PORTIFÓLIO'!$C$4:$C$433,0)),"")</f>
        <v/>
      </c>
      <c r="M199" s="220"/>
      <c r="N199" s="220"/>
      <c r="O199" s="220"/>
      <c r="P199" s="220"/>
      <c r="Q199" s="220"/>
      <c r="R199" s="220"/>
      <c r="S199" s="220"/>
      <c r="T199" s="220"/>
      <c r="U199" s="220"/>
      <c r="V199" s="220"/>
      <c r="W199" s="220"/>
    </row>
    <row r="200" ht="15.75" customHeight="1">
      <c r="A200" s="229" t="s">
        <v>1202</v>
      </c>
      <c r="B200" s="230"/>
      <c r="C200" s="231"/>
      <c r="D200" s="232"/>
      <c r="E200" s="231"/>
      <c r="F200" s="231"/>
      <c r="G200" s="233"/>
      <c r="H200" s="233"/>
      <c r="I200" s="258"/>
      <c r="J200" s="236"/>
      <c r="K200" s="237">
        <f t="shared" ref="K200:L200" si="23">SUBTOTAL(9,K201:K214)</f>
        <v>0</v>
      </c>
      <c r="L200" s="237">
        <f t="shared" si="23"/>
        <v>0</v>
      </c>
      <c r="M200" s="220"/>
      <c r="N200" s="220"/>
      <c r="O200" s="220"/>
      <c r="P200" s="220"/>
      <c r="Q200" s="220"/>
      <c r="R200" s="220"/>
      <c r="S200" s="220"/>
      <c r="T200" s="220"/>
      <c r="U200" s="220"/>
      <c r="V200" s="220"/>
      <c r="W200" s="220"/>
    </row>
    <row r="201" ht="15.75" customHeight="1" outlineLevel="1">
      <c r="A201" s="213"/>
      <c r="B201" s="212"/>
      <c r="C201" s="213"/>
      <c r="D201" s="214" t="str">
        <f>IFERROR(VLOOKUP($C201,'PORTIFÓLIO'!C:V,2,0),"")</f>
        <v/>
      </c>
      <c r="E201" s="211" t="str">
        <f>IFERROR(VLOOKUP($C201,'PORTIFÓLIO'!C:V,3,0),"")</f>
        <v/>
      </c>
      <c r="F201" s="211" t="str">
        <f>IFERROR(VLOOKUP($C201,'PORTIFÓLIO'!C:V,4,0),"")</f>
        <v/>
      </c>
      <c r="G201" s="215" t="str">
        <f>IFERROR(VLOOKUP($C201,'PORTIFÓLIO'!C:V,5,0),"")</f>
        <v/>
      </c>
      <c r="H201" s="254" t="str">
        <f t="array" ref="H201">IFERROR(INDEX('PORTIFÓLIO'!$H$4:$H$433,MATCH($C201,'PORTIFÓLIO'!$C$4:$C$433,0)),"")</f>
        <v/>
      </c>
      <c r="I201" s="256"/>
      <c r="J201" s="218">
        <f t="shared" ref="J201:J224" si="24">I201*$B$2</f>
        <v>0</v>
      </c>
      <c r="K201" s="219" t="str">
        <f>IFERROR(I201* VLOOKUP($C201,'PORTIFÓLIO'!C:V,10,0),"")</f>
        <v/>
      </c>
      <c r="L201" s="219" t="str">
        <f>IFERROR(J201* VLOOKUP($C201,'PORTIFÓLIO'!C:V,10,0),"")</f>
        <v/>
      </c>
      <c r="M201" s="220"/>
      <c r="N201" s="220"/>
      <c r="O201" s="220"/>
      <c r="P201" s="220"/>
      <c r="Q201" s="220"/>
      <c r="R201" s="220"/>
      <c r="S201" s="220"/>
      <c r="T201" s="220"/>
      <c r="U201" s="220"/>
      <c r="V201" s="220"/>
      <c r="W201" s="220"/>
    </row>
    <row r="202" ht="15.75" customHeight="1" outlineLevel="1">
      <c r="A202" s="211"/>
      <c r="B202" s="212"/>
      <c r="C202" s="213"/>
      <c r="D202" s="214" t="str">
        <f>IFERROR(VLOOKUP($C202,'PORTIFÓLIO'!C:V,2,0),"")</f>
        <v/>
      </c>
      <c r="E202" s="211" t="str">
        <f>IFERROR(VLOOKUP($C202,'PORTIFÓLIO'!C:V,3,0),"")</f>
        <v/>
      </c>
      <c r="F202" s="211" t="str">
        <f>IFERROR(VLOOKUP($C202,'PORTIFÓLIO'!C:V,4,0),"")</f>
        <v/>
      </c>
      <c r="G202" s="215" t="str">
        <f>IFERROR(VLOOKUP($C202,'PORTIFÓLIO'!C:V,5,0),"")</f>
        <v/>
      </c>
      <c r="H202" s="254" t="str">
        <f t="array" ref="H202">IFERROR(INDEX('PORTIFÓLIO'!$H$4:$H$433,MATCH($C202,'PORTIFÓLIO'!$C$4:$C$433,0)),"")</f>
        <v/>
      </c>
      <c r="I202" s="256"/>
      <c r="J202" s="218">
        <f t="shared" si="24"/>
        <v>0</v>
      </c>
      <c r="K202" s="219" t="str">
        <f>IFERROR(I202* VLOOKUP($C202,'PORTIFÓLIO'!C:V,10,0),"")</f>
        <v/>
      </c>
      <c r="L202" s="219" t="str">
        <f>IFERROR(J202* VLOOKUP($C202,'PORTIFÓLIO'!C:V,10,0),"")</f>
        <v/>
      </c>
      <c r="M202" s="220"/>
      <c r="N202" s="220"/>
      <c r="O202" s="220"/>
      <c r="P202" s="220"/>
      <c r="Q202" s="220"/>
      <c r="R202" s="220"/>
      <c r="S202" s="220"/>
      <c r="T202" s="220"/>
      <c r="U202" s="220"/>
      <c r="V202" s="220"/>
      <c r="W202" s="220"/>
    </row>
    <row r="203" ht="15.75" customHeight="1" outlineLevel="1">
      <c r="A203" s="211"/>
      <c r="B203" s="212"/>
      <c r="C203" s="213"/>
      <c r="D203" s="214" t="str">
        <f>IFERROR(VLOOKUP($C203,'PORTIFÓLIO'!C:V,2,0),"")</f>
        <v/>
      </c>
      <c r="E203" s="211" t="str">
        <f>IFERROR(VLOOKUP($C203,'PORTIFÓLIO'!C:V,3,0),"")</f>
        <v/>
      </c>
      <c r="F203" s="211" t="str">
        <f>IFERROR(VLOOKUP($C203,'PORTIFÓLIO'!C:V,4,0),"")</f>
        <v/>
      </c>
      <c r="G203" s="215" t="str">
        <f>IFERROR(VLOOKUP($C203,'PORTIFÓLIO'!C:V,5,0),"")</f>
        <v/>
      </c>
      <c r="H203" s="254" t="str">
        <f t="array" ref="H203">IFERROR(INDEX('PORTIFÓLIO'!$H$4:$H$433,MATCH($C203,'PORTIFÓLIO'!$C$4:$C$433,0)),"")</f>
        <v/>
      </c>
      <c r="I203" s="256"/>
      <c r="J203" s="218">
        <f t="shared" si="24"/>
        <v>0</v>
      </c>
      <c r="K203" s="219" t="str">
        <f>IFERROR(I203* VLOOKUP($C203,'PORTIFÓLIO'!C:V,10,0),"")</f>
        <v/>
      </c>
      <c r="L203" s="219" t="str">
        <f>IFERROR(J203* VLOOKUP($C203,'PORTIFÓLIO'!C:V,10,0),"")</f>
        <v/>
      </c>
      <c r="M203" s="220"/>
      <c r="N203" s="220"/>
      <c r="O203" s="220"/>
      <c r="P203" s="220"/>
      <c r="Q203" s="220"/>
      <c r="R203" s="220"/>
      <c r="S203" s="220"/>
      <c r="T203" s="220"/>
      <c r="U203" s="220"/>
      <c r="V203" s="220"/>
      <c r="W203" s="220"/>
    </row>
    <row r="204" ht="15.75" customHeight="1" outlineLevel="1">
      <c r="A204" s="211"/>
      <c r="B204" s="212"/>
      <c r="C204" s="213"/>
      <c r="D204" s="214" t="str">
        <f>IFERROR(VLOOKUP($C204,'PORTIFÓLIO'!C:V,2,0),"")</f>
        <v/>
      </c>
      <c r="E204" s="211" t="str">
        <f>IFERROR(VLOOKUP($C204,'PORTIFÓLIO'!C:V,3,0),"")</f>
        <v/>
      </c>
      <c r="F204" s="211" t="str">
        <f>IFERROR(VLOOKUP($C204,'PORTIFÓLIO'!C:V,4,0),"")</f>
        <v/>
      </c>
      <c r="G204" s="215" t="str">
        <f>IFERROR(VLOOKUP($C204,'PORTIFÓLIO'!C:V,5,0),"")</f>
        <v/>
      </c>
      <c r="H204" s="254" t="str">
        <f t="array" ref="H204">IFERROR(INDEX('PORTIFÓLIO'!$H$4:$H$433,MATCH($C204,'PORTIFÓLIO'!$C$4:$C$433,0)),"")</f>
        <v/>
      </c>
      <c r="I204" s="256"/>
      <c r="J204" s="218">
        <f t="shared" si="24"/>
        <v>0</v>
      </c>
      <c r="K204" s="219" t="str">
        <f>IFERROR(I204* VLOOKUP($C204,'PORTIFÓLIO'!C:V,10,0),"")</f>
        <v/>
      </c>
      <c r="L204" s="219" t="str">
        <f>IFERROR(J204* VLOOKUP($C204,'PORTIFÓLIO'!C:V,10,0),"")</f>
        <v/>
      </c>
      <c r="M204" s="220"/>
      <c r="N204" s="220"/>
      <c r="O204" s="220"/>
      <c r="P204" s="220"/>
      <c r="Q204" s="220"/>
      <c r="R204" s="220"/>
      <c r="S204" s="220"/>
      <c r="T204" s="220"/>
      <c r="U204" s="220"/>
      <c r="V204" s="220"/>
      <c r="W204" s="220"/>
    </row>
    <row r="205" ht="15.75" customHeight="1" outlineLevel="1">
      <c r="A205" s="211"/>
      <c r="B205" s="212"/>
      <c r="C205" s="213"/>
      <c r="D205" s="214" t="str">
        <f>IFERROR(VLOOKUP($C205,'PORTIFÓLIO'!C:V,2,0),"")</f>
        <v/>
      </c>
      <c r="E205" s="211" t="str">
        <f>IFERROR(VLOOKUP($C205,'PORTIFÓLIO'!C:V,3,0),"")</f>
        <v/>
      </c>
      <c r="F205" s="211" t="str">
        <f>IFERROR(VLOOKUP($C205,'PORTIFÓLIO'!C:V,4,0),"")</f>
        <v/>
      </c>
      <c r="G205" s="215" t="str">
        <f>IFERROR(VLOOKUP($C205,'PORTIFÓLIO'!C:V,5,0),"")</f>
        <v/>
      </c>
      <c r="H205" s="254" t="str">
        <f t="array" ref="H205">IFERROR(INDEX('PORTIFÓLIO'!$H$4:$H$433,MATCH($C205,'PORTIFÓLIO'!$C$4:$C$433,0)),"")</f>
        <v/>
      </c>
      <c r="I205" s="256"/>
      <c r="J205" s="218">
        <f t="shared" si="24"/>
        <v>0</v>
      </c>
      <c r="K205" s="219" t="str">
        <f>IFERROR(I205* VLOOKUP($C205,'PORTIFÓLIO'!C:V,10,0),"")</f>
        <v/>
      </c>
      <c r="L205" s="219" t="str">
        <f>IFERROR(J205* VLOOKUP($C205,'PORTIFÓLIO'!C:V,10,0),"")</f>
        <v/>
      </c>
      <c r="M205" s="220"/>
      <c r="N205" s="220"/>
      <c r="O205" s="220"/>
      <c r="P205" s="220"/>
      <c r="Q205" s="220"/>
      <c r="R205" s="220"/>
      <c r="S205" s="220"/>
      <c r="T205" s="220"/>
      <c r="U205" s="220"/>
      <c r="V205" s="220"/>
      <c r="W205" s="220"/>
    </row>
    <row r="206" ht="15.75" customHeight="1" outlineLevel="1">
      <c r="A206" s="211"/>
      <c r="B206" s="212"/>
      <c r="C206" s="213"/>
      <c r="D206" s="214" t="str">
        <f>IFERROR(VLOOKUP($C206,'PORTIFÓLIO'!C:V,2,0),"")</f>
        <v/>
      </c>
      <c r="E206" s="211" t="str">
        <f>IFERROR(VLOOKUP($C206,'PORTIFÓLIO'!C:V,3,0),"")</f>
        <v/>
      </c>
      <c r="F206" s="211" t="str">
        <f>IFERROR(VLOOKUP($C206,'PORTIFÓLIO'!C:V,4,0),"")</f>
        <v/>
      </c>
      <c r="G206" s="215" t="str">
        <f>IFERROR(VLOOKUP($C206,'PORTIFÓLIO'!C:V,5,0),"")</f>
        <v/>
      </c>
      <c r="H206" s="254" t="str">
        <f t="array" ref="H206">IFERROR(INDEX('PORTIFÓLIO'!$H$4:$H$433,MATCH($C206,'PORTIFÓLIO'!$C$4:$C$433,0)),"")</f>
        <v/>
      </c>
      <c r="I206" s="256"/>
      <c r="J206" s="218">
        <f t="shared" si="24"/>
        <v>0</v>
      </c>
      <c r="K206" s="219" t="str">
        <f>IFERROR(I206* VLOOKUP($C206,'PORTIFÓLIO'!C:V,10,0),"")</f>
        <v/>
      </c>
      <c r="L206" s="219" t="str">
        <f>IFERROR(J206* VLOOKUP($C206,'PORTIFÓLIO'!C:V,10,0),"")</f>
        <v/>
      </c>
      <c r="M206" s="220"/>
      <c r="N206" s="220"/>
      <c r="O206" s="220"/>
      <c r="P206" s="220"/>
      <c r="Q206" s="220"/>
      <c r="R206" s="220"/>
      <c r="S206" s="220"/>
      <c r="T206" s="220"/>
      <c r="U206" s="220"/>
      <c r="V206" s="220"/>
      <c r="W206" s="220"/>
    </row>
    <row r="207" ht="15.75" customHeight="1" outlineLevel="1">
      <c r="A207" s="211"/>
      <c r="B207" s="212"/>
      <c r="C207" s="213"/>
      <c r="D207" s="214" t="str">
        <f>IFERROR(VLOOKUP($C207,'PORTIFÓLIO'!C:V,2,0),"")</f>
        <v/>
      </c>
      <c r="E207" s="211" t="str">
        <f>IFERROR(VLOOKUP($C207,'PORTIFÓLIO'!C:V,3,0),"")</f>
        <v/>
      </c>
      <c r="F207" s="211" t="str">
        <f>IFERROR(VLOOKUP($C207,'PORTIFÓLIO'!C:V,4,0),"")</f>
        <v/>
      </c>
      <c r="G207" s="215" t="str">
        <f>IFERROR(VLOOKUP($C207,'PORTIFÓLIO'!C:V,5,0),"")</f>
        <v/>
      </c>
      <c r="H207" s="254" t="str">
        <f t="array" ref="H207">IFERROR(INDEX('PORTIFÓLIO'!$H$4:$H$433,MATCH($C207,'PORTIFÓLIO'!$C$4:$C$433,0)),"")</f>
        <v/>
      </c>
      <c r="I207" s="256"/>
      <c r="J207" s="218">
        <f t="shared" si="24"/>
        <v>0</v>
      </c>
      <c r="K207" s="219" t="str">
        <f>IFERROR(I207* VLOOKUP($C207,'PORTIFÓLIO'!C:V,10,0),"")</f>
        <v/>
      </c>
      <c r="L207" s="219" t="str">
        <f>IFERROR(J207* VLOOKUP($C207,'PORTIFÓLIO'!C:V,10,0),"")</f>
        <v/>
      </c>
      <c r="M207" s="220"/>
      <c r="N207" s="220"/>
      <c r="O207" s="220"/>
      <c r="P207" s="220"/>
      <c r="Q207" s="220"/>
      <c r="R207" s="220"/>
      <c r="S207" s="220"/>
      <c r="T207" s="220"/>
      <c r="U207" s="220"/>
      <c r="V207" s="220"/>
      <c r="W207" s="220"/>
    </row>
    <row r="208" ht="15.75" customHeight="1" outlineLevel="1">
      <c r="A208" s="211"/>
      <c r="B208" s="212"/>
      <c r="C208" s="213"/>
      <c r="D208" s="214" t="str">
        <f>IFERROR(VLOOKUP($C208,'PORTIFÓLIO'!C:V,2,0),"")</f>
        <v/>
      </c>
      <c r="E208" s="211" t="str">
        <f>IFERROR(VLOOKUP($C208,'PORTIFÓLIO'!C:V,3,0),"")</f>
        <v/>
      </c>
      <c r="F208" s="211" t="str">
        <f>IFERROR(VLOOKUP($C208,'PORTIFÓLIO'!C:V,4,0),"")</f>
        <v/>
      </c>
      <c r="G208" s="215" t="str">
        <f>IFERROR(VLOOKUP($C208,'PORTIFÓLIO'!C:V,5,0),"")</f>
        <v/>
      </c>
      <c r="H208" s="254" t="str">
        <f t="array" ref="H208">IFERROR(INDEX('PORTIFÓLIO'!$H$4:$H$433,MATCH($C208,'PORTIFÓLIO'!$C$4:$C$433,0)),"")</f>
        <v/>
      </c>
      <c r="I208" s="256"/>
      <c r="J208" s="218">
        <f t="shared" si="24"/>
        <v>0</v>
      </c>
      <c r="K208" s="219" t="str">
        <f>IFERROR(I208* VLOOKUP($C208,'PORTIFÓLIO'!C:V,10,0),"")</f>
        <v/>
      </c>
      <c r="L208" s="219" t="str">
        <f>IFERROR(J208* VLOOKUP($C208,'PORTIFÓLIO'!C:V,10,0),"")</f>
        <v/>
      </c>
      <c r="M208" s="220"/>
      <c r="N208" s="220"/>
      <c r="O208" s="220"/>
      <c r="P208" s="220"/>
      <c r="Q208" s="220"/>
      <c r="R208" s="220"/>
      <c r="S208" s="220"/>
      <c r="T208" s="220"/>
      <c r="U208" s="220"/>
      <c r="V208" s="220"/>
      <c r="W208" s="220"/>
    </row>
    <row r="209" ht="15.75" customHeight="1" outlineLevel="1">
      <c r="A209" s="211"/>
      <c r="B209" s="212"/>
      <c r="C209" s="213"/>
      <c r="D209" s="214" t="str">
        <f>IFERROR(VLOOKUP($C209,'PORTIFÓLIO'!C:V,2,0),"")</f>
        <v/>
      </c>
      <c r="E209" s="211" t="str">
        <f>IFERROR(VLOOKUP($C209,'PORTIFÓLIO'!C:V,3,0),"")</f>
        <v/>
      </c>
      <c r="F209" s="211" t="str">
        <f>IFERROR(VLOOKUP($C209,'PORTIFÓLIO'!C:V,4,0),"")</f>
        <v/>
      </c>
      <c r="G209" s="215" t="str">
        <f>IFERROR(VLOOKUP($C209,'PORTIFÓLIO'!C:V,5,0),"")</f>
        <v/>
      </c>
      <c r="H209" s="254" t="str">
        <f t="array" ref="H209">IFERROR(INDEX('PORTIFÓLIO'!$H$4:$H$433,MATCH($C209,'PORTIFÓLIO'!$C$4:$C$433,0)),"")</f>
        <v/>
      </c>
      <c r="I209" s="256"/>
      <c r="J209" s="218">
        <f t="shared" si="24"/>
        <v>0</v>
      </c>
      <c r="K209" s="219" t="str">
        <f>IFERROR(I209* VLOOKUP($C209,'PORTIFÓLIO'!C:V,10,0),"")</f>
        <v/>
      </c>
      <c r="L209" s="219" t="str">
        <f>IFERROR(J209* VLOOKUP($C209,'PORTIFÓLIO'!C:V,10,0),"")</f>
        <v/>
      </c>
      <c r="M209" s="220"/>
      <c r="N209" s="220"/>
      <c r="O209" s="220"/>
      <c r="P209" s="220"/>
      <c r="Q209" s="220"/>
      <c r="R209" s="220"/>
      <c r="S209" s="220"/>
      <c r="T209" s="220"/>
      <c r="U209" s="220"/>
      <c r="V209" s="220"/>
      <c r="W209" s="220"/>
    </row>
    <row r="210" ht="15.75" customHeight="1" outlineLevel="1">
      <c r="A210" s="211"/>
      <c r="B210" s="212"/>
      <c r="C210" s="213"/>
      <c r="D210" s="214" t="str">
        <f>IFERROR(VLOOKUP($C210,'PORTIFÓLIO'!C:V,2,0),"")</f>
        <v/>
      </c>
      <c r="E210" s="211" t="str">
        <f>IFERROR(VLOOKUP($C210,'PORTIFÓLIO'!C:V,3,0),"")</f>
        <v/>
      </c>
      <c r="F210" s="211" t="str">
        <f>IFERROR(VLOOKUP($C210,'PORTIFÓLIO'!C:V,4,0),"")</f>
        <v/>
      </c>
      <c r="G210" s="215" t="str">
        <f>IFERROR(VLOOKUP($C210,'PORTIFÓLIO'!C:V,5,0),"")</f>
        <v/>
      </c>
      <c r="H210" s="254" t="str">
        <f t="array" ref="H210">IFERROR(INDEX('PORTIFÓLIO'!$H$4:$H$433,MATCH($C210,'PORTIFÓLIO'!$C$4:$C$433,0)),"")</f>
        <v/>
      </c>
      <c r="I210" s="256"/>
      <c r="J210" s="218">
        <f t="shared" si="24"/>
        <v>0</v>
      </c>
      <c r="K210" s="219" t="str">
        <f>IFERROR(I210* VLOOKUP($C210,'PORTIFÓLIO'!C:V,10,0),"")</f>
        <v/>
      </c>
      <c r="L210" s="219" t="str">
        <f>IFERROR(J210* VLOOKUP($C210,'PORTIFÓLIO'!C:V,10,0),"")</f>
        <v/>
      </c>
      <c r="M210" s="220"/>
      <c r="N210" s="220"/>
      <c r="O210" s="220"/>
      <c r="P210" s="220"/>
      <c r="Q210" s="220"/>
      <c r="R210" s="220"/>
      <c r="S210" s="220"/>
      <c r="T210" s="220"/>
      <c r="U210" s="220"/>
      <c r="V210" s="220"/>
      <c r="W210" s="220"/>
    </row>
    <row r="211" ht="15.75" customHeight="1" outlineLevel="1">
      <c r="A211" s="211"/>
      <c r="B211" s="212"/>
      <c r="C211" s="213"/>
      <c r="D211" s="214" t="str">
        <f>IFERROR(VLOOKUP($C211,'PORTIFÓLIO'!C:V,2,0),"")</f>
        <v/>
      </c>
      <c r="E211" s="211" t="str">
        <f>IFERROR(VLOOKUP($C211,'PORTIFÓLIO'!C:V,3,0),"")</f>
        <v/>
      </c>
      <c r="F211" s="211" t="str">
        <f>IFERROR(VLOOKUP($C211,'PORTIFÓLIO'!C:V,4,0),"")</f>
        <v/>
      </c>
      <c r="G211" s="215" t="str">
        <f>IFERROR(VLOOKUP($C211,'PORTIFÓLIO'!C:V,5,0),"")</f>
        <v/>
      </c>
      <c r="H211" s="254" t="str">
        <f t="array" ref="H211">IFERROR(INDEX('PORTIFÓLIO'!$H$4:$H$433,MATCH($C211,'PORTIFÓLIO'!$C$4:$C$433,0)),"")</f>
        <v/>
      </c>
      <c r="I211" s="256"/>
      <c r="J211" s="218">
        <f t="shared" si="24"/>
        <v>0</v>
      </c>
      <c r="K211" s="219" t="str">
        <f>IFERROR(I211* VLOOKUP($C211,'PORTIFÓLIO'!C:V,10,0),"")</f>
        <v/>
      </c>
      <c r="L211" s="219" t="str">
        <f>IFERROR(J211* VLOOKUP($C211,'PORTIFÓLIO'!C:V,10,0),"")</f>
        <v/>
      </c>
      <c r="M211" s="220"/>
      <c r="N211" s="220"/>
      <c r="O211" s="220"/>
      <c r="P211" s="220"/>
      <c r="Q211" s="220"/>
      <c r="R211" s="220"/>
      <c r="S211" s="220"/>
      <c r="T211" s="220"/>
      <c r="U211" s="220"/>
      <c r="V211" s="220"/>
      <c r="W211" s="220"/>
    </row>
    <row r="212" ht="15.75" customHeight="1" outlineLevel="1">
      <c r="A212" s="211"/>
      <c r="B212" s="212"/>
      <c r="C212" s="213"/>
      <c r="D212" s="214" t="str">
        <f>IFERROR(VLOOKUP($C212,'PORTIFÓLIO'!C:V,2,0),"")</f>
        <v/>
      </c>
      <c r="E212" s="211" t="str">
        <f>IFERROR(VLOOKUP($C212,'PORTIFÓLIO'!C:V,3,0),"")</f>
        <v/>
      </c>
      <c r="F212" s="211" t="str">
        <f>IFERROR(VLOOKUP($C212,'PORTIFÓLIO'!C:V,4,0),"")</f>
        <v/>
      </c>
      <c r="G212" s="215" t="str">
        <f>IFERROR(VLOOKUP($C212,'PORTIFÓLIO'!C:V,5,0),"")</f>
        <v/>
      </c>
      <c r="H212" s="254" t="str">
        <f t="array" ref="H212">IFERROR(INDEX('PORTIFÓLIO'!$H$4:$H$433,MATCH($C212,'PORTIFÓLIO'!$C$4:$C$433,0)),"")</f>
        <v/>
      </c>
      <c r="I212" s="256"/>
      <c r="J212" s="218">
        <f t="shared" si="24"/>
        <v>0</v>
      </c>
      <c r="K212" s="219" t="str">
        <f>IFERROR(I212* VLOOKUP($C212,'PORTIFÓLIO'!C:V,10,0),"")</f>
        <v/>
      </c>
      <c r="L212" s="219" t="str">
        <f>IFERROR(J212* VLOOKUP($C212,'PORTIFÓLIO'!C:V,10,0),"")</f>
        <v/>
      </c>
      <c r="M212" s="220"/>
      <c r="N212" s="220"/>
      <c r="O212" s="220"/>
      <c r="P212" s="220"/>
      <c r="Q212" s="220"/>
      <c r="R212" s="220"/>
      <c r="S212" s="220"/>
      <c r="T212" s="220"/>
      <c r="U212" s="220"/>
      <c r="V212" s="220"/>
      <c r="W212" s="220"/>
    </row>
    <row r="213" ht="15.75" customHeight="1" outlineLevel="1">
      <c r="A213" s="211"/>
      <c r="B213" s="212"/>
      <c r="C213" s="213"/>
      <c r="D213" s="214" t="str">
        <f>IFERROR(VLOOKUP($C213,'PORTIFÓLIO'!C:V,2,0),"")</f>
        <v/>
      </c>
      <c r="E213" s="211" t="str">
        <f>IFERROR(VLOOKUP($C213,'PORTIFÓLIO'!C:V,3,0),"")</f>
        <v/>
      </c>
      <c r="F213" s="211" t="str">
        <f>IFERROR(VLOOKUP($C213,'PORTIFÓLIO'!C:V,4,0),"")</f>
        <v/>
      </c>
      <c r="G213" s="215" t="str">
        <f>IFERROR(VLOOKUP($C213,'PORTIFÓLIO'!C:V,5,0),"")</f>
        <v/>
      </c>
      <c r="H213" s="254" t="str">
        <f t="array" ref="H213">IFERROR(INDEX('PORTIFÓLIO'!$H$4:$H$433,MATCH($C213,'PORTIFÓLIO'!$C$4:$C$433,0)),"")</f>
        <v/>
      </c>
      <c r="I213" s="256"/>
      <c r="J213" s="218">
        <f t="shared" si="24"/>
        <v>0</v>
      </c>
      <c r="K213" s="219" t="str">
        <f>IFERROR(I213* VLOOKUP($C213,'PORTIFÓLIO'!C:V,10,0),"")</f>
        <v/>
      </c>
      <c r="L213" s="219" t="str">
        <f>IFERROR(J213* VLOOKUP($C213,'PORTIFÓLIO'!C:V,10,0),"")</f>
        <v/>
      </c>
      <c r="M213" s="220"/>
      <c r="N213" s="220"/>
      <c r="O213" s="220"/>
      <c r="P213" s="220"/>
      <c r="Q213" s="220"/>
      <c r="R213" s="220"/>
      <c r="S213" s="220"/>
      <c r="T213" s="220"/>
      <c r="U213" s="220"/>
      <c r="V213" s="220"/>
      <c r="W213" s="220"/>
    </row>
    <row r="214" ht="15.75" customHeight="1" outlineLevel="1">
      <c r="A214" s="211"/>
      <c r="B214" s="212"/>
      <c r="C214" s="213"/>
      <c r="D214" s="214" t="str">
        <f>IFERROR(VLOOKUP($C214,'PORTIFÓLIO'!C:V,2,0),"")</f>
        <v/>
      </c>
      <c r="E214" s="211" t="str">
        <f>IFERROR(VLOOKUP($C214,'PORTIFÓLIO'!C:V,3,0),"")</f>
        <v/>
      </c>
      <c r="F214" s="211" t="str">
        <f>IFERROR(VLOOKUP($C214,'PORTIFÓLIO'!C:V,4,0),"")</f>
        <v/>
      </c>
      <c r="G214" s="215" t="str">
        <f>IFERROR(VLOOKUP($C214,'PORTIFÓLIO'!C:V,5,0),"")</f>
        <v/>
      </c>
      <c r="H214" s="254" t="str">
        <f t="array" ref="H214">IFERROR(INDEX('PORTIFÓLIO'!$H$4:$H$433,MATCH($C214,'PORTIFÓLIO'!$C$4:$C$433,0)),"")</f>
        <v/>
      </c>
      <c r="I214" s="256"/>
      <c r="J214" s="218">
        <f t="shared" si="24"/>
        <v>0</v>
      </c>
      <c r="K214" s="219" t="str">
        <f>IFERROR(I214* VLOOKUP($C214,'PORTIFÓLIO'!C:V,10,0),"")</f>
        <v/>
      </c>
      <c r="L214" s="219" t="str">
        <f>IFERROR(J214* VLOOKUP($C214,'PORTIFÓLIO'!C:V,10,0),"")</f>
        <v/>
      </c>
      <c r="M214" s="220"/>
      <c r="N214" s="220"/>
      <c r="O214" s="220"/>
      <c r="P214" s="220"/>
      <c r="Q214" s="220"/>
      <c r="R214" s="220"/>
      <c r="S214" s="220"/>
      <c r="T214" s="220"/>
      <c r="U214" s="220"/>
      <c r="V214" s="220"/>
      <c r="W214" s="220"/>
    </row>
    <row r="215" ht="15.75" customHeight="1" outlineLevel="1">
      <c r="A215" s="211"/>
      <c r="B215" s="212"/>
      <c r="C215" s="213"/>
      <c r="D215" s="214" t="str">
        <f>IFERROR(VLOOKUP($C215,'PORTIFÓLIO'!C:V,2,0),"")</f>
        <v/>
      </c>
      <c r="E215" s="211" t="str">
        <f>IFERROR(VLOOKUP($C215,'PORTIFÓLIO'!C:V,3,0),"")</f>
        <v/>
      </c>
      <c r="F215" s="211" t="str">
        <f>IFERROR(VLOOKUP($C215,'PORTIFÓLIO'!C:V,4,0),"")</f>
        <v/>
      </c>
      <c r="G215" s="215" t="str">
        <f>IFERROR(VLOOKUP($C215,'PORTIFÓLIO'!C:V,5,0),"")</f>
        <v/>
      </c>
      <c r="H215" s="254" t="str">
        <f t="array" ref="H215">IFERROR(INDEX('PORTIFÓLIO'!$H$4:$H$433,MATCH($C215,'PORTIFÓLIO'!$C$4:$C$433,0)),"")</f>
        <v/>
      </c>
      <c r="I215" s="256"/>
      <c r="J215" s="218">
        <f t="shared" si="24"/>
        <v>0</v>
      </c>
      <c r="K215" s="219" t="str">
        <f>IFERROR(I215* VLOOKUP($C215,'PORTIFÓLIO'!C:V,10,0),"")</f>
        <v/>
      </c>
      <c r="L215" s="219" t="str">
        <f>IFERROR(J215* VLOOKUP($C215,'PORTIFÓLIO'!C:V,10,0),"")</f>
        <v/>
      </c>
      <c r="M215" s="220"/>
      <c r="N215" s="220"/>
      <c r="O215" s="220"/>
      <c r="P215" s="220"/>
      <c r="Q215" s="220"/>
      <c r="R215" s="220"/>
      <c r="S215" s="220"/>
      <c r="T215" s="220"/>
      <c r="U215" s="220"/>
      <c r="V215" s="220"/>
      <c r="W215" s="220"/>
    </row>
    <row r="216" ht="15.75" customHeight="1" outlineLevel="1">
      <c r="A216" s="211"/>
      <c r="B216" s="227"/>
      <c r="C216" s="211"/>
      <c r="D216" s="214" t="str">
        <f>IFERROR(VLOOKUP($C216,'PORTIFÓLIO'!C:V,2,0),"")</f>
        <v/>
      </c>
      <c r="E216" s="211" t="str">
        <f>IFERROR(VLOOKUP($C216,'PORTIFÓLIO'!C:V,3,0),"")</f>
        <v/>
      </c>
      <c r="F216" s="211" t="str">
        <f>IFERROR(VLOOKUP($C216,'PORTIFÓLIO'!C:V,4,0),"")</f>
        <v/>
      </c>
      <c r="G216" s="215" t="str">
        <f>IFERROR(VLOOKUP($C216,'PORTIFÓLIO'!C:V,5,0),"")</f>
        <v/>
      </c>
      <c r="H216" s="254" t="str">
        <f t="array" ref="H216">IFERROR(INDEX('PORTIFÓLIO'!$H$4:$H$433,MATCH($C216,'PORTIFÓLIO'!$C$4:$C$433,0)),"")</f>
        <v/>
      </c>
      <c r="I216" s="256"/>
      <c r="J216" s="218">
        <f t="shared" si="24"/>
        <v>0</v>
      </c>
      <c r="K216" s="219" t="str">
        <f>IFERROR(I216* VLOOKUP($C216,'PORTIFÓLIO'!C:V,10,0),"")</f>
        <v/>
      </c>
      <c r="L216" s="219" t="str">
        <f>IFERROR(J216* VLOOKUP($C216,'PORTIFÓLIO'!C:V,10,0),"")</f>
        <v/>
      </c>
      <c r="M216" s="220"/>
      <c r="N216" s="220"/>
      <c r="O216" s="220"/>
      <c r="P216" s="220"/>
      <c r="Q216" s="220"/>
      <c r="R216" s="220"/>
      <c r="S216" s="220"/>
      <c r="T216" s="220"/>
      <c r="U216" s="220"/>
      <c r="V216" s="220"/>
      <c r="W216" s="220"/>
    </row>
    <row r="217" ht="15.75" customHeight="1" outlineLevel="1">
      <c r="A217" s="211"/>
      <c r="B217" s="227"/>
      <c r="C217" s="211"/>
      <c r="D217" s="214" t="str">
        <f>IFERROR(VLOOKUP($C217,'PORTIFÓLIO'!C:V,2,0),"")</f>
        <v/>
      </c>
      <c r="E217" s="211" t="str">
        <f>IFERROR(VLOOKUP($C217,'PORTIFÓLIO'!C:V,3,0),"")</f>
        <v/>
      </c>
      <c r="F217" s="211" t="str">
        <f>IFERROR(VLOOKUP($C217,'PORTIFÓLIO'!C:V,4,0),"")</f>
        <v/>
      </c>
      <c r="G217" s="215" t="str">
        <f>IFERROR(VLOOKUP($C217,'PORTIFÓLIO'!C:V,5,0),"")</f>
        <v/>
      </c>
      <c r="H217" s="254" t="str">
        <f t="array" ref="H217">IFERROR(INDEX('PORTIFÓLIO'!$H$4:$H$433,MATCH($C217,'PORTIFÓLIO'!$C$4:$C$433,0)),"")</f>
        <v/>
      </c>
      <c r="I217" s="256"/>
      <c r="J217" s="218">
        <f t="shared" si="24"/>
        <v>0</v>
      </c>
      <c r="K217" s="219" t="str">
        <f>IFERROR(I217* VLOOKUP($C217,'PORTIFÓLIO'!C:V,10,0),"")</f>
        <v/>
      </c>
      <c r="L217" s="219" t="str">
        <f>IFERROR(J217* VLOOKUP($C217,'PORTIFÓLIO'!C:V,10,0),"")</f>
        <v/>
      </c>
      <c r="M217" s="220"/>
      <c r="N217" s="220"/>
      <c r="O217" s="220"/>
      <c r="P217" s="220"/>
      <c r="Q217" s="220"/>
      <c r="R217" s="220"/>
      <c r="S217" s="220"/>
      <c r="T217" s="220"/>
      <c r="U217" s="220"/>
      <c r="V217" s="220"/>
      <c r="W217" s="220"/>
    </row>
    <row r="218" ht="15.75" customHeight="1" outlineLevel="1">
      <c r="A218" s="211"/>
      <c r="B218" s="227"/>
      <c r="C218" s="211"/>
      <c r="D218" s="214" t="str">
        <f>IFERROR(VLOOKUP($C218,'PORTIFÓLIO'!C:V,2,0),"")</f>
        <v/>
      </c>
      <c r="E218" s="211" t="str">
        <f>IFERROR(VLOOKUP($C218,'PORTIFÓLIO'!C:V,3,0),"")</f>
        <v/>
      </c>
      <c r="F218" s="211" t="str">
        <f>IFERROR(VLOOKUP($C218,'PORTIFÓLIO'!C:V,4,0),"")</f>
        <v/>
      </c>
      <c r="G218" s="215" t="str">
        <f>IFERROR(VLOOKUP($C218,'PORTIFÓLIO'!C:V,5,0),"")</f>
        <v/>
      </c>
      <c r="H218" s="254" t="str">
        <f t="array" ref="H218">IFERROR(INDEX('PORTIFÓLIO'!$H$4:$H$433,MATCH($C218,'PORTIFÓLIO'!$C$4:$C$433,0)),"")</f>
        <v/>
      </c>
      <c r="I218" s="256"/>
      <c r="J218" s="218">
        <f t="shared" si="24"/>
        <v>0</v>
      </c>
      <c r="K218" s="219" t="str">
        <f>IFERROR(I218* VLOOKUP($C218,'PORTIFÓLIO'!C:V,10,0),"")</f>
        <v/>
      </c>
      <c r="L218" s="219" t="str">
        <f>IFERROR(J218* VLOOKUP($C218,'PORTIFÓLIO'!C:V,10,0),"")</f>
        <v/>
      </c>
      <c r="M218" s="220"/>
      <c r="N218" s="220"/>
      <c r="O218" s="220"/>
      <c r="P218" s="220"/>
      <c r="Q218" s="220"/>
      <c r="R218" s="220"/>
      <c r="S218" s="220"/>
      <c r="T218" s="220"/>
      <c r="U218" s="220"/>
      <c r="V218" s="220"/>
      <c r="W218" s="220"/>
    </row>
    <row r="219" ht="15.75" customHeight="1" outlineLevel="1">
      <c r="A219" s="211"/>
      <c r="B219" s="227"/>
      <c r="C219" s="211"/>
      <c r="D219" s="214" t="str">
        <f>IFERROR(VLOOKUP($C219,'PORTIFÓLIO'!C:V,2,0),"")</f>
        <v/>
      </c>
      <c r="E219" s="211" t="str">
        <f>IFERROR(VLOOKUP($C219,'PORTIFÓLIO'!C:V,3,0),"")</f>
        <v/>
      </c>
      <c r="F219" s="211" t="str">
        <f>IFERROR(VLOOKUP($C219,'PORTIFÓLIO'!C:V,4,0),"")</f>
        <v/>
      </c>
      <c r="G219" s="215" t="str">
        <f>IFERROR(VLOOKUP($C219,'PORTIFÓLIO'!C:V,5,0),"")</f>
        <v/>
      </c>
      <c r="H219" s="254" t="str">
        <f t="array" ref="H219">IFERROR(INDEX('PORTIFÓLIO'!$H$4:$H$433,MATCH($C219,'PORTIFÓLIO'!$C$4:$C$433,0)),"")</f>
        <v/>
      </c>
      <c r="I219" s="256"/>
      <c r="J219" s="218">
        <f t="shared" si="24"/>
        <v>0</v>
      </c>
      <c r="K219" s="219" t="str">
        <f>IFERROR(I219* VLOOKUP($C219,'PORTIFÓLIO'!C:V,10,0),"")</f>
        <v/>
      </c>
      <c r="L219" s="219" t="str">
        <f>IFERROR(J219* VLOOKUP($C219,'PORTIFÓLIO'!C:V,10,0),"")</f>
        <v/>
      </c>
      <c r="M219" s="220"/>
      <c r="N219" s="220"/>
      <c r="O219" s="220"/>
      <c r="P219" s="220"/>
      <c r="Q219" s="220"/>
      <c r="R219" s="220"/>
      <c r="S219" s="220"/>
      <c r="T219" s="220"/>
      <c r="U219" s="220"/>
      <c r="V219" s="220"/>
      <c r="W219" s="220"/>
    </row>
    <row r="220" ht="15.75" customHeight="1" outlineLevel="1">
      <c r="A220" s="211"/>
      <c r="B220" s="227"/>
      <c r="C220" s="211"/>
      <c r="D220" s="214" t="str">
        <f>IFERROR(VLOOKUP($C220,'PORTIFÓLIO'!C:V,2,0),"")</f>
        <v/>
      </c>
      <c r="E220" s="211" t="str">
        <f>IFERROR(VLOOKUP($C220,'PORTIFÓLIO'!C:V,3,0),"")</f>
        <v/>
      </c>
      <c r="F220" s="211" t="str">
        <f>IFERROR(VLOOKUP($C220,'PORTIFÓLIO'!C:V,4,0),"")</f>
        <v/>
      </c>
      <c r="G220" s="215" t="str">
        <f>IFERROR(VLOOKUP($C220,'PORTIFÓLIO'!C:V,5,0),"")</f>
        <v/>
      </c>
      <c r="H220" s="254" t="str">
        <f t="array" ref="H220">IFERROR(INDEX('PORTIFÓLIO'!$H$4:$H$433,MATCH($C220,'PORTIFÓLIO'!$C$4:$C$433,0)),"")</f>
        <v/>
      </c>
      <c r="I220" s="256"/>
      <c r="J220" s="218">
        <f t="shared" si="24"/>
        <v>0</v>
      </c>
      <c r="K220" s="219" t="str">
        <f>IFERROR(I220* VLOOKUP($C220,'PORTIFÓLIO'!C:V,10,0),"")</f>
        <v/>
      </c>
      <c r="L220" s="219" t="str">
        <f>IFERROR(J220* VLOOKUP($C220,'PORTIFÓLIO'!C:V,10,0),"")</f>
        <v/>
      </c>
      <c r="M220" s="220"/>
      <c r="N220" s="220"/>
      <c r="O220" s="220"/>
      <c r="P220" s="220"/>
      <c r="Q220" s="220"/>
      <c r="R220" s="220"/>
      <c r="S220" s="220"/>
      <c r="T220" s="220"/>
      <c r="U220" s="220"/>
      <c r="V220" s="220"/>
      <c r="W220" s="220"/>
    </row>
    <row r="221" ht="15.75" customHeight="1" outlineLevel="1">
      <c r="A221" s="211"/>
      <c r="B221" s="227"/>
      <c r="C221" s="211"/>
      <c r="D221" s="214" t="str">
        <f>IFERROR(VLOOKUP($C221,'PORTIFÓLIO'!C:V,2,0),"")</f>
        <v/>
      </c>
      <c r="E221" s="211" t="str">
        <f>IFERROR(VLOOKUP($C221,'PORTIFÓLIO'!C:V,3,0),"")</f>
        <v/>
      </c>
      <c r="F221" s="211" t="str">
        <f>IFERROR(VLOOKUP($C221,'PORTIFÓLIO'!C:V,4,0),"")</f>
        <v/>
      </c>
      <c r="G221" s="215" t="str">
        <f>IFERROR(VLOOKUP($C221,'PORTIFÓLIO'!C:V,5,0),"")</f>
        <v/>
      </c>
      <c r="H221" s="254" t="str">
        <f t="array" ref="H221">IFERROR(INDEX('PORTIFÓLIO'!$H$4:$H$433,MATCH($C221,'PORTIFÓLIO'!$C$4:$C$433,0)),"")</f>
        <v/>
      </c>
      <c r="I221" s="256"/>
      <c r="J221" s="218">
        <f t="shared" si="24"/>
        <v>0</v>
      </c>
      <c r="K221" s="219" t="str">
        <f>IFERROR(I221* VLOOKUP($C221,'PORTIFÓLIO'!C:V,10,0),"")</f>
        <v/>
      </c>
      <c r="L221" s="219" t="str">
        <f>IFERROR(J221* VLOOKUP($C221,'PORTIFÓLIO'!C:V,10,0),"")</f>
        <v/>
      </c>
      <c r="M221" s="220"/>
      <c r="N221" s="220"/>
      <c r="O221" s="220"/>
      <c r="P221" s="220"/>
      <c r="Q221" s="220"/>
      <c r="R221" s="220"/>
      <c r="S221" s="220"/>
      <c r="T221" s="220"/>
      <c r="U221" s="220"/>
      <c r="V221" s="220"/>
      <c r="W221" s="220"/>
    </row>
    <row r="222" ht="15.75" customHeight="1" outlineLevel="1">
      <c r="A222" s="211"/>
      <c r="B222" s="227"/>
      <c r="C222" s="211"/>
      <c r="D222" s="214" t="str">
        <f>IFERROR(VLOOKUP($C222,'PORTIFÓLIO'!C:V,2,0),"")</f>
        <v/>
      </c>
      <c r="E222" s="211" t="str">
        <f>IFERROR(VLOOKUP($C222,'PORTIFÓLIO'!C:V,3,0),"")</f>
        <v/>
      </c>
      <c r="F222" s="211" t="str">
        <f>IFERROR(VLOOKUP($C222,'PORTIFÓLIO'!C:V,4,0),"")</f>
        <v/>
      </c>
      <c r="G222" s="215" t="str">
        <f>IFERROR(VLOOKUP($C222,'PORTIFÓLIO'!C:V,5,0),"")</f>
        <v/>
      </c>
      <c r="H222" s="254" t="str">
        <f t="array" ref="H222">IFERROR(INDEX('PORTIFÓLIO'!$H$4:$H$433,MATCH($C222,'PORTIFÓLIO'!$C$4:$C$433,0)),"")</f>
        <v/>
      </c>
      <c r="I222" s="256"/>
      <c r="J222" s="218">
        <f t="shared" si="24"/>
        <v>0</v>
      </c>
      <c r="K222" s="219" t="str">
        <f>IFERROR(I222* VLOOKUP($C222,'PORTIFÓLIO'!C:V,10,0),"")</f>
        <v/>
      </c>
      <c r="L222" s="219" t="str">
        <f>IFERROR(J222* VLOOKUP($C222,'PORTIFÓLIO'!C:V,10,0),"")</f>
        <v/>
      </c>
      <c r="M222" s="220"/>
      <c r="N222" s="220"/>
      <c r="O222" s="220"/>
      <c r="P222" s="220"/>
      <c r="Q222" s="220"/>
      <c r="R222" s="220"/>
      <c r="S222" s="220"/>
      <c r="T222" s="220"/>
      <c r="U222" s="220"/>
      <c r="V222" s="220"/>
      <c r="W222" s="220"/>
    </row>
    <row r="223" ht="15.75" customHeight="1" outlineLevel="1">
      <c r="A223" s="211"/>
      <c r="B223" s="227"/>
      <c r="C223" s="211"/>
      <c r="D223" s="214" t="str">
        <f>IFERROR(VLOOKUP($C223,'PORTIFÓLIO'!C:V,2,0),"")</f>
        <v/>
      </c>
      <c r="E223" s="211" t="str">
        <f>IFERROR(VLOOKUP($C223,'PORTIFÓLIO'!C:V,3,0),"")</f>
        <v/>
      </c>
      <c r="F223" s="211" t="str">
        <f>IFERROR(VLOOKUP($C223,'PORTIFÓLIO'!C:V,4,0),"")</f>
        <v/>
      </c>
      <c r="G223" s="215" t="str">
        <f>IFERROR(VLOOKUP($C223,'PORTIFÓLIO'!C:V,5,0),"")</f>
        <v/>
      </c>
      <c r="H223" s="254" t="str">
        <f t="array" ref="H223">IFERROR(INDEX('PORTIFÓLIO'!$H$4:$H$433,MATCH($C223,'PORTIFÓLIO'!$C$4:$C$433,0)),"")</f>
        <v/>
      </c>
      <c r="I223" s="256"/>
      <c r="J223" s="218">
        <f t="shared" si="24"/>
        <v>0</v>
      </c>
      <c r="K223" s="219" t="str">
        <f>IFERROR(I223* VLOOKUP($C223,'PORTIFÓLIO'!C:V,10,0),"")</f>
        <v/>
      </c>
      <c r="L223" s="219" t="str">
        <f>IFERROR(J223* VLOOKUP($C223,'PORTIFÓLIO'!C:V,10,0),"")</f>
        <v/>
      </c>
      <c r="M223" s="220"/>
      <c r="N223" s="220"/>
      <c r="O223" s="220"/>
      <c r="P223" s="220"/>
      <c r="Q223" s="220"/>
      <c r="R223" s="220"/>
      <c r="S223" s="220"/>
      <c r="T223" s="220"/>
      <c r="U223" s="220"/>
      <c r="V223" s="220"/>
      <c r="W223" s="220"/>
    </row>
    <row r="224" ht="15.75" customHeight="1" outlineLevel="1">
      <c r="A224" s="211"/>
      <c r="B224" s="227"/>
      <c r="C224" s="211"/>
      <c r="D224" s="214" t="str">
        <f>IFERROR(VLOOKUP($C224,'PORTIFÓLIO'!C:V,2,0),"")</f>
        <v/>
      </c>
      <c r="E224" s="211" t="str">
        <f>IFERROR(VLOOKUP($C224,'PORTIFÓLIO'!C:V,3,0),"")</f>
        <v/>
      </c>
      <c r="F224" s="211" t="str">
        <f>IFERROR(VLOOKUP($C224,'PORTIFÓLIO'!C:V,4,0),"")</f>
        <v/>
      </c>
      <c r="G224" s="215" t="str">
        <f>IFERROR(VLOOKUP($C224,'PORTIFÓLIO'!C:V,5,0),"")</f>
        <v/>
      </c>
      <c r="H224" s="254" t="str">
        <f t="array" ref="H224">IFERROR(INDEX('PORTIFÓLIO'!$H$4:$H$433,MATCH($C224,'PORTIFÓLIO'!$C$4:$C$433,0)),"")</f>
        <v/>
      </c>
      <c r="I224" s="256"/>
      <c r="J224" s="218">
        <f t="shared" si="24"/>
        <v>0</v>
      </c>
      <c r="K224" s="219" t="str">
        <f>IFERROR(I224* VLOOKUP($C224,'PORTIFÓLIO'!C:V,10,0),"")</f>
        <v/>
      </c>
      <c r="L224" s="219" t="str">
        <f>IFERROR(J224* VLOOKUP($C224,'PORTIFÓLIO'!C:V,10,0),"")</f>
        <v/>
      </c>
      <c r="M224" s="220"/>
      <c r="N224" s="220"/>
      <c r="O224" s="220"/>
      <c r="P224" s="220"/>
      <c r="Q224" s="220"/>
      <c r="R224" s="220"/>
      <c r="S224" s="220"/>
      <c r="T224" s="220"/>
      <c r="U224" s="220"/>
      <c r="V224" s="220"/>
      <c r="W224" s="220"/>
    </row>
    <row r="225" ht="15.75" customHeight="1">
      <c r="A225" s="227"/>
      <c r="B225" s="227"/>
      <c r="C225" s="227"/>
      <c r="D225" s="227"/>
      <c r="E225" s="227"/>
      <c r="F225" s="227"/>
      <c r="G225" s="215"/>
      <c r="H225" s="278" t="str">
        <f t="array" ref="H225">IFERROR(INDEX('PORTIFÓLIO'!$H$4:$H$433,MATCH($C225,'PORTIFÓLIO'!$C$4:$C$433,0)),"")</f>
        <v/>
      </c>
      <c r="I225" s="227"/>
      <c r="J225" s="227"/>
      <c r="K225" s="284">
        <f t="shared" ref="K225:L225" si="25">SUBTOTAL(9,K10:K200)</f>
        <v>1701.421919</v>
      </c>
      <c r="L225" s="284">
        <f t="shared" si="25"/>
        <v>79966.83019</v>
      </c>
      <c r="M225" s="220"/>
      <c r="N225" s="220"/>
      <c r="O225" s="220"/>
      <c r="P225" s="220"/>
      <c r="Q225" s="220"/>
      <c r="R225" s="220"/>
      <c r="S225" s="220"/>
      <c r="T225" s="220"/>
      <c r="U225" s="220"/>
      <c r="V225" s="220"/>
      <c r="W225" s="220"/>
    </row>
    <row r="226" ht="15.75" customHeight="1">
      <c r="A226" s="285"/>
      <c r="B226" s="285"/>
      <c r="C226" s="285"/>
      <c r="D226" s="285"/>
      <c r="E226" s="285"/>
      <c r="F226" s="285"/>
      <c r="G226" s="286"/>
      <c r="H226" s="286"/>
      <c r="I226" s="285"/>
      <c r="J226" s="285"/>
      <c r="K226" s="285"/>
      <c r="L226" s="285"/>
      <c r="M226" s="285"/>
      <c r="N226" s="285"/>
      <c r="O226" s="285"/>
      <c r="P226" s="285"/>
      <c r="Q226" s="285"/>
      <c r="R226" s="285"/>
      <c r="S226" s="285"/>
      <c r="T226" s="285"/>
      <c r="U226" s="285"/>
      <c r="V226" s="285"/>
      <c r="W226" s="285"/>
    </row>
    <row r="227" ht="15.75" customHeight="1">
      <c r="A227" s="260" t="s">
        <v>1203</v>
      </c>
      <c r="B227" s="261" t="str">
        <f>'ÁREA PLANTIO'!B5</f>
        <v>ÁREA 2 B</v>
      </c>
      <c r="C227" s="262" t="s">
        <v>1166</v>
      </c>
      <c r="D227" s="263">
        <f>$K$452</f>
        <v>0</v>
      </c>
      <c r="E227" s="264"/>
      <c r="F227" s="265" t="s">
        <v>1167</v>
      </c>
      <c r="G227" s="266"/>
      <c r="H227" s="287" t="str">
        <f t="array" ref="H227">IFERROR(INDEX('PORTIFÓLIO'!$H$4:$H$433,MATCH($C227,'PORTIFÓLIO'!$C$4:$C$433,0)),"")</f>
        <v/>
      </c>
      <c r="I227" s="267"/>
      <c r="J227" s="267"/>
      <c r="K227" s="266"/>
      <c r="L227" s="220"/>
      <c r="M227" s="220"/>
      <c r="N227" s="220"/>
      <c r="O227" s="220"/>
      <c r="P227" s="220"/>
      <c r="Q227" s="220"/>
      <c r="R227" s="220"/>
      <c r="S227" s="220"/>
      <c r="T227" s="220"/>
      <c r="U227" s="220"/>
      <c r="V227" s="220"/>
      <c r="W227" s="220"/>
    </row>
    <row r="228" ht="15.75" customHeight="1">
      <c r="A228" s="260" t="s">
        <v>1168</v>
      </c>
      <c r="B228" s="268">
        <f>'ÁREA PLANTIO'!E5</f>
        <v>47</v>
      </c>
      <c r="C228" s="269" t="s">
        <v>1169</v>
      </c>
      <c r="D228" s="270" t="str">
        <f>'ÁREA PLANTIO'!I5</f>
        <v/>
      </c>
      <c r="E228" s="264"/>
      <c r="F228" s="264"/>
      <c r="G228" s="266"/>
      <c r="H228" s="287" t="str">
        <f t="array" ref="H228">IFERROR(INDEX('PORTIFÓLIO'!$H$4:$H$433,MATCH($C228,'PORTIFÓLIO'!$C$4:$C$433,0)),"")</f>
        <v/>
      </c>
      <c r="I228" s="267"/>
      <c r="J228" s="267"/>
      <c r="K228" s="266"/>
      <c r="L228" s="220"/>
      <c r="M228" s="220"/>
      <c r="N228" s="220"/>
      <c r="O228" s="220"/>
      <c r="P228" s="220"/>
      <c r="Q228" s="220"/>
      <c r="R228" s="220"/>
      <c r="S228" s="220"/>
      <c r="T228" s="220"/>
      <c r="U228" s="220"/>
      <c r="V228" s="220"/>
      <c r="W228" s="220"/>
    </row>
    <row r="229" ht="15.75" customHeight="1">
      <c r="A229" s="260" t="s">
        <v>1170</v>
      </c>
      <c r="B229" s="267" t="str">
        <f>'ÁREA PLANTIO'!H5</f>
        <v/>
      </c>
      <c r="C229" s="269" t="s">
        <v>1171</v>
      </c>
      <c r="D229" s="271" t="str">
        <f>D227/D228</f>
        <v>#DIV/0!</v>
      </c>
      <c r="E229" s="264"/>
      <c r="F229" s="264"/>
      <c r="G229" s="266"/>
      <c r="H229" s="287" t="str">
        <f t="array" ref="H229">IFERROR(INDEX('PORTIFÓLIO'!$H$4:$H$433,MATCH($C229,'PORTIFÓLIO'!$C$4:$C$433,0)),"")</f>
        <v/>
      </c>
      <c r="I229" s="267"/>
      <c r="J229" s="267"/>
      <c r="K229" s="266"/>
      <c r="L229" s="220"/>
      <c r="M229" s="220"/>
      <c r="N229" s="220"/>
      <c r="O229" s="220"/>
      <c r="P229" s="220"/>
      <c r="Q229" s="220"/>
      <c r="R229" s="220"/>
      <c r="S229" s="220"/>
      <c r="T229" s="220"/>
      <c r="U229" s="220"/>
      <c r="V229" s="220"/>
      <c r="W229" s="220"/>
    </row>
    <row r="230" ht="15.75" customHeight="1">
      <c r="A230" s="272" t="s">
        <v>1172</v>
      </c>
      <c r="B230" s="273">
        <v>45606.0</v>
      </c>
      <c r="C230" s="274"/>
      <c r="D230" s="275"/>
      <c r="E230" s="276"/>
      <c r="F230" s="264"/>
      <c r="G230" s="266"/>
      <c r="H230" s="287" t="str">
        <f t="array" ref="H230">IFERROR(INDEX('PORTIFÓLIO'!$H$4:$H$433,MATCH($C230,'PORTIFÓLIO'!$C$4:$C$433,0)),"")</f>
        <v/>
      </c>
      <c r="I230" s="267"/>
      <c r="J230" s="267"/>
      <c r="K230" s="266"/>
      <c r="L230" s="220"/>
      <c r="M230" s="220"/>
      <c r="N230" s="220"/>
      <c r="O230" s="220"/>
      <c r="P230" s="220"/>
      <c r="Q230" s="220"/>
      <c r="R230" s="220"/>
      <c r="S230" s="220"/>
      <c r="T230" s="220"/>
      <c r="U230" s="220"/>
      <c r="V230" s="220"/>
      <c r="W230" s="220"/>
    </row>
    <row r="231" ht="15.75" customHeight="1">
      <c r="E231" s="277"/>
      <c r="F231" s="264"/>
      <c r="G231" s="266"/>
      <c r="H231" s="287" t="str">
        <f t="array" ref="H231">IFERROR(INDEX('PORTIFÓLIO'!$H$4:$H$433,MATCH($C231,'PORTIFÓLIO'!$C$4:$C$433,0)),"")</f>
        <v/>
      </c>
      <c r="I231" s="267"/>
      <c r="J231" s="267"/>
      <c r="K231" s="266"/>
      <c r="L231" s="220"/>
      <c r="M231" s="220"/>
      <c r="N231" s="220"/>
      <c r="O231" s="220"/>
      <c r="P231" s="220"/>
      <c r="Q231" s="220"/>
      <c r="R231" s="220"/>
      <c r="S231" s="220"/>
      <c r="T231" s="220"/>
      <c r="U231" s="220"/>
      <c r="V231" s="220"/>
      <c r="W231" s="220"/>
    </row>
    <row r="232" ht="15.75" customHeight="1">
      <c r="A232" s="260"/>
      <c r="B232" s="267"/>
      <c r="C232" s="264"/>
      <c r="D232" s="264"/>
      <c r="E232" s="264"/>
      <c r="F232" s="264"/>
      <c r="G232" s="266"/>
      <c r="H232" s="287" t="str">
        <f t="array" ref="H232">IFERROR(INDEX('PORTIFÓLIO'!$H$4:$H$433,MATCH($C232,'PORTIFÓLIO'!$C$4:$C$433,0)),"")</f>
        <v/>
      </c>
      <c r="I232" s="267"/>
      <c r="J232" s="267"/>
      <c r="K232" s="266"/>
      <c r="L232" s="220"/>
      <c r="M232" s="220"/>
      <c r="N232" s="220"/>
      <c r="O232" s="220"/>
      <c r="P232" s="220"/>
      <c r="Q232" s="220"/>
      <c r="R232" s="220"/>
      <c r="S232" s="220"/>
      <c r="T232" s="220"/>
      <c r="U232" s="220"/>
      <c r="V232" s="220"/>
      <c r="W232" s="220"/>
    </row>
    <row r="233" ht="15.75" customHeight="1">
      <c r="A233" s="267"/>
      <c r="B233" s="267"/>
      <c r="C233" s="264"/>
      <c r="D233" s="264"/>
      <c r="E233" s="264"/>
      <c r="F233" s="264"/>
      <c r="G233" s="266"/>
      <c r="H233" s="287" t="str">
        <f t="array" ref="H233">IFERROR(INDEX('PORTIFÓLIO'!$H$4:$H$433,MATCH($C233,'PORTIFÓLIO'!$C$4:$C$433,0)),"")</f>
        <v/>
      </c>
      <c r="I233" s="267"/>
      <c r="J233" s="267"/>
      <c r="K233" s="266"/>
      <c r="L233" s="220"/>
      <c r="M233" s="220"/>
      <c r="N233" s="220"/>
      <c r="O233" s="220"/>
      <c r="P233" s="220"/>
      <c r="Q233" s="220"/>
      <c r="R233" s="220"/>
      <c r="S233" s="220"/>
      <c r="T233" s="220"/>
      <c r="U233" s="220"/>
      <c r="V233" s="220"/>
      <c r="W233" s="220"/>
    </row>
    <row r="234" ht="15.75" customHeight="1">
      <c r="A234" s="267"/>
      <c r="B234" s="267"/>
      <c r="C234" s="267"/>
      <c r="D234" s="267"/>
      <c r="E234" s="264"/>
      <c r="F234" s="264"/>
      <c r="G234" s="266"/>
      <c r="H234" s="287" t="str">
        <f t="array" ref="H234">IFERROR(INDEX('PORTIFÓLIO'!$H$4:$H$433,MATCH($C234,'PORTIFÓLIO'!$C$4:$C$433,0)),"")</f>
        <v/>
      </c>
      <c r="I234" s="267"/>
      <c r="J234" s="267"/>
      <c r="K234" s="266"/>
      <c r="L234" s="220"/>
      <c r="M234" s="220"/>
      <c r="N234" s="220"/>
      <c r="O234" s="220"/>
      <c r="P234" s="220"/>
      <c r="Q234" s="220"/>
      <c r="R234" s="220"/>
      <c r="S234" s="220"/>
      <c r="T234" s="220"/>
      <c r="U234" s="220"/>
      <c r="V234" s="220"/>
      <c r="W234" s="220"/>
    </row>
    <row r="235" ht="15.75" customHeight="1">
      <c r="A235" s="267"/>
      <c r="B235" s="267"/>
      <c r="C235" s="267"/>
      <c r="D235" s="267"/>
      <c r="E235" s="267"/>
      <c r="F235" s="267"/>
      <c r="G235" s="266"/>
      <c r="H235" s="287"/>
      <c r="I235" s="287"/>
      <c r="J235" s="288"/>
      <c r="K235" s="289"/>
      <c r="L235" s="290"/>
      <c r="M235" s="220"/>
      <c r="N235" s="220"/>
      <c r="O235" s="220"/>
      <c r="P235" s="220"/>
      <c r="Q235" s="220"/>
      <c r="R235" s="220"/>
      <c r="S235" s="220"/>
      <c r="T235" s="220"/>
      <c r="U235" s="220"/>
      <c r="V235" s="220"/>
      <c r="W235" s="220"/>
    </row>
    <row r="236" ht="15.75" customHeight="1">
      <c r="A236" s="211" t="s">
        <v>1173</v>
      </c>
      <c r="B236" s="213" t="s">
        <v>1174</v>
      </c>
      <c r="C236" s="213" t="s">
        <v>1175</v>
      </c>
      <c r="D236" s="211" t="s">
        <v>1176</v>
      </c>
      <c r="E236" s="211" t="s">
        <v>1177</v>
      </c>
      <c r="F236" s="211" t="s">
        <v>1178</v>
      </c>
      <c r="G236" s="291" t="s">
        <v>1180</v>
      </c>
      <c r="H236" s="278" t="s">
        <v>1179</v>
      </c>
      <c r="I236" s="278" t="s">
        <v>1181</v>
      </c>
      <c r="J236" s="279" t="s">
        <v>1134</v>
      </c>
      <c r="K236" s="280" t="s">
        <v>1182</v>
      </c>
      <c r="L236" s="281" t="s">
        <v>339</v>
      </c>
      <c r="M236" s="220"/>
      <c r="N236" s="220"/>
      <c r="O236" s="220"/>
      <c r="P236" s="220"/>
      <c r="Q236" s="220"/>
      <c r="R236" s="220"/>
      <c r="S236" s="220"/>
      <c r="T236" s="220"/>
      <c r="U236" s="220"/>
      <c r="V236" s="220"/>
      <c r="W236" s="220"/>
    </row>
    <row r="237" ht="15.75" customHeight="1">
      <c r="A237" s="231" t="s">
        <v>1183</v>
      </c>
      <c r="B237" s="230"/>
      <c r="C237" s="231"/>
      <c r="D237" s="232"/>
      <c r="E237" s="231"/>
      <c r="F237" s="231"/>
      <c r="G237" s="233"/>
      <c r="H237" s="233"/>
      <c r="I237" s="258"/>
      <c r="J237" s="236"/>
      <c r="K237" s="237">
        <f t="shared" ref="K237:L237" si="26">SUBTOTAL(9,K238:K251)</f>
        <v>0</v>
      </c>
      <c r="L237" s="237">
        <f t="shared" si="26"/>
        <v>0</v>
      </c>
      <c r="M237" s="220"/>
      <c r="N237" s="220"/>
      <c r="O237" s="220"/>
      <c r="P237" s="220"/>
      <c r="Q237" s="220"/>
      <c r="R237" s="220"/>
      <c r="S237" s="220"/>
      <c r="T237" s="220"/>
      <c r="U237" s="220"/>
      <c r="V237" s="220"/>
      <c r="W237" s="220"/>
    </row>
    <row r="238" ht="15.75" customHeight="1" outlineLevel="1">
      <c r="A238" s="211"/>
      <c r="B238" s="212"/>
      <c r="C238" s="213"/>
      <c r="D238" s="214" t="str">
        <f>IFERROR(VLOOKUP($C238,'PORTIFÓLIO'!C:V,2,0),"")</f>
        <v/>
      </c>
      <c r="E238" s="211" t="str">
        <f>IFERROR(VLOOKUP($C238,'PORTIFÓLIO'!C:V,3,0),"")</f>
        <v/>
      </c>
      <c r="F238" s="211" t="str">
        <f>IFERROR(VLOOKUP($C238,'PORTIFÓLIO'!C:V,4,0),"")</f>
        <v/>
      </c>
      <c r="G238" s="215" t="str">
        <f>IFERROR(VLOOKUP($C238,'PORTIFÓLIO'!C:V,5,0),"")</f>
        <v/>
      </c>
      <c r="H238" s="254" t="str">
        <f t="array" ref="H238">IFERROR(INDEX('PORTIFÓLIO'!$H$4:$H$433,MATCH($C238,'PORTIFÓLIO'!$C$4:$C$433,0)),"")</f>
        <v/>
      </c>
      <c r="I238" s="255"/>
      <c r="J238" s="218">
        <f t="shared" ref="J238:J251" si="27">I238*$B$2</f>
        <v>0</v>
      </c>
      <c r="K238" s="219" t="str">
        <f t="array" ref="K238">IFERROR(I238*INDEX('PORTIFÓLIO'!$S$4:$S$433,MATCH($C238,'PORTIFÓLIO'!$C$4:$C$433,0)),"")</f>
        <v/>
      </c>
      <c r="L238" s="219" t="str">
        <f t="array" ref="L238">IFERROR(J238*INDEX('PORTIFÓLIO'!$S$4:$S$433,MATCH($C238,'PORTIFÓLIO'!$C$4:$C$433,0)),"")</f>
        <v/>
      </c>
      <c r="M238" s="220"/>
      <c r="N238" s="220"/>
      <c r="O238" s="220"/>
      <c r="P238" s="220"/>
      <c r="Q238" s="220"/>
      <c r="R238" s="220"/>
      <c r="S238" s="220"/>
      <c r="T238" s="220"/>
      <c r="U238" s="220"/>
      <c r="V238" s="220"/>
      <c r="W238" s="220"/>
    </row>
    <row r="239" ht="15.75" customHeight="1" outlineLevel="1">
      <c r="A239" s="211"/>
      <c r="B239" s="212"/>
      <c r="C239" s="213"/>
      <c r="D239" s="214" t="str">
        <f>IFERROR(VLOOKUP($C239,'PORTIFÓLIO'!C:V,2,0),"")</f>
        <v/>
      </c>
      <c r="E239" s="211" t="str">
        <f>IFERROR(VLOOKUP($C239,'PORTIFÓLIO'!C:V,3,0),"")</f>
        <v/>
      </c>
      <c r="F239" s="211" t="str">
        <f>IFERROR(VLOOKUP($C239,'PORTIFÓLIO'!C:V,4,0),"")</f>
        <v/>
      </c>
      <c r="G239" s="215" t="str">
        <f>IFERROR(VLOOKUP($C239,'PORTIFÓLIO'!C:V,5,0),"")</f>
        <v/>
      </c>
      <c r="H239" s="254" t="str">
        <f t="array" ref="H239">IFERROR(INDEX('PORTIFÓLIO'!$H$4:$H$433,MATCH($C239,'PORTIFÓLIO'!$C$4:$C$433,0)),"")</f>
        <v/>
      </c>
      <c r="I239" s="255"/>
      <c r="J239" s="218">
        <f t="shared" si="27"/>
        <v>0</v>
      </c>
      <c r="K239" s="219" t="str">
        <f t="array" ref="K239">IFERROR(I239*INDEX('PORTIFÓLIO'!$S$4:$S$433,MATCH($C239,'PORTIFÓLIO'!$C$4:$C$433,0)),"")</f>
        <v/>
      </c>
      <c r="L239" s="219" t="str">
        <f t="array" ref="L239">IFERROR(J239*INDEX('PORTIFÓLIO'!$S$4:$S$433,MATCH($C239,'PORTIFÓLIO'!$C$4:$C$433,0)),"")</f>
        <v/>
      </c>
      <c r="M239" s="220"/>
      <c r="N239" s="220"/>
      <c r="O239" s="220"/>
      <c r="P239" s="220"/>
      <c r="Q239" s="220"/>
      <c r="R239" s="220"/>
      <c r="S239" s="220"/>
      <c r="T239" s="220"/>
      <c r="U239" s="220"/>
      <c r="V239" s="220"/>
      <c r="W239" s="220"/>
    </row>
    <row r="240" ht="15.75" customHeight="1" outlineLevel="1">
      <c r="A240" s="211"/>
      <c r="B240" s="212"/>
      <c r="C240" s="213"/>
      <c r="D240" s="214" t="str">
        <f>IFERROR(VLOOKUP($C240,'PORTIFÓLIO'!C:V,2,0),"")</f>
        <v/>
      </c>
      <c r="E240" s="211" t="str">
        <f>IFERROR(VLOOKUP($C240,'PORTIFÓLIO'!C:V,3,0),"")</f>
        <v/>
      </c>
      <c r="F240" s="211" t="str">
        <f>IFERROR(VLOOKUP($C240,'PORTIFÓLIO'!C:V,4,0),"")</f>
        <v/>
      </c>
      <c r="G240" s="215" t="str">
        <f>IFERROR(VLOOKUP($C240,'PORTIFÓLIO'!C:V,5,0),"")</f>
        <v/>
      </c>
      <c r="H240" s="254" t="str">
        <f t="array" ref="H240">IFERROR(INDEX('PORTIFÓLIO'!$H$4:$H$433,MATCH($C240,'PORTIFÓLIO'!$C$4:$C$433,0)),"")</f>
        <v/>
      </c>
      <c r="I240" s="256"/>
      <c r="J240" s="218">
        <f t="shared" si="27"/>
        <v>0</v>
      </c>
      <c r="K240" s="219" t="str">
        <f t="array" ref="K240">IFERROR(I240*INDEX('PORTIFÓLIO'!$S$4:$S$433,MATCH($C240,'PORTIFÓLIO'!$C$4:$C$433,0)),"")</f>
        <v/>
      </c>
      <c r="L240" s="219" t="str">
        <f t="array" ref="L240">IFERROR(J240*INDEX('PORTIFÓLIO'!$S$4:$S$433,MATCH($C240,'PORTIFÓLIO'!$C$4:$C$433,0)),"")</f>
        <v/>
      </c>
      <c r="M240" s="220"/>
      <c r="N240" s="220"/>
      <c r="O240" s="220"/>
      <c r="P240" s="220"/>
      <c r="Q240" s="220"/>
      <c r="R240" s="220"/>
      <c r="S240" s="220"/>
      <c r="T240" s="220"/>
      <c r="U240" s="220"/>
      <c r="V240" s="220"/>
      <c r="W240" s="220"/>
    </row>
    <row r="241" ht="15.75" customHeight="1" outlineLevel="1">
      <c r="A241" s="211"/>
      <c r="B241" s="212"/>
      <c r="C241" s="213"/>
      <c r="D241" s="214" t="str">
        <f>IFERROR(VLOOKUP($C241,'PORTIFÓLIO'!C:V,2,0),"")</f>
        <v/>
      </c>
      <c r="E241" s="211" t="str">
        <f>IFERROR(VLOOKUP($C241,'PORTIFÓLIO'!C:V,3,0),"")</f>
        <v/>
      </c>
      <c r="F241" s="211" t="str">
        <f>IFERROR(VLOOKUP($C241,'PORTIFÓLIO'!C:V,4,0),"")</f>
        <v/>
      </c>
      <c r="G241" s="215" t="str">
        <f>IFERROR(VLOOKUP($C241,'PORTIFÓLIO'!C:V,5,0),"")</f>
        <v/>
      </c>
      <c r="H241" s="254" t="str">
        <f t="array" ref="H241">IFERROR(INDEX('PORTIFÓLIO'!$H$4:$H$433,MATCH($C241,'PORTIFÓLIO'!$C$4:$C$433,0)),"")</f>
        <v/>
      </c>
      <c r="I241" s="256"/>
      <c r="J241" s="218">
        <f t="shared" si="27"/>
        <v>0</v>
      </c>
      <c r="K241" s="219" t="str">
        <f t="array" ref="K241">IFERROR(I241*INDEX('PORTIFÓLIO'!$S$4:$S$433,MATCH($C241,'PORTIFÓLIO'!$C$4:$C$433,0)),"")</f>
        <v/>
      </c>
      <c r="L241" s="219" t="str">
        <f t="array" ref="L241">IFERROR(J241*INDEX('PORTIFÓLIO'!$S$4:$S$433,MATCH($C241,'PORTIFÓLIO'!$C$4:$C$433,0)),"")</f>
        <v/>
      </c>
      <c r="M241" s="220"/>
      <c r="N241" s="220"/>
      <c r="O241" s="220"/>
      <c r="P241" s="220"/>
      <c r="Q241" s="220"/>
      <c r="R241" s="220"/>
      <c r="S241" s="220"/>
      <c r="T241" s="220"/>
      <c r="U241" s="220"/>
      <c r="V241" s="220"/>
      <c r="W241" s="220"/>
    </row>
    <row r="242" ht="15.75" customHeight="1" outlineLevel="1">
      <c r="A242" s="211"/>
      <c r="B242" s="212"/>
      <c r="C242" s="213"/>
      <c r="D242" s="214" t="str">
        <f>IFERROR(VLOOKUP($C242,'PORTIFÓLIO'!C:V,2,0),"")</f>
        <v/>
      </c>
      <c r="E242" s="211" t="str">
        <f>IFERROR(VLOOKUP($C242,'PORTIFÓLIO'!C:V,3,0),"")</f>
        <v/>
      </c>
      <c r="F242" s="211" t="str">
        <f>IFERROR(VLOOKUP($C242,'PORTIFÓLIO'!C:V,4,0),"")</f>
        <v/>
      </c>
      <c r="G242" s="215" t="str">
        <f>IFERROR(VLOOKUP($C242,'PORTIFÓLIO'!C:V,5,0),"")</f>
        <v/>
      </c>
      <c r="H242" s="254" t="str">
        <f t="array" ref="H242">IFERROR(INDEX('PORTIFÓLIO'!$H$4:$H$433,MATCH($C242,'PORTIFÓLIO'!$C$4:$C$433,0)),"")</f>
        <v/>
      </c>
      <c r="I242" s="255"/>
      <c r="J242" s="218">
        <f t="shared" si="27"/>
        <v>0</v>
      </c>
      <c r="K242" s="219" t="str">
        <f t="array" ref="K242">IFERROR(I242*INDEX('PORTIFÓLIO'!$S$4:$S$433,MATCH($C242,'PORTIFÓLIO'!$C$4:$C$433,0)),"")</f>
        <v/>
      </c>
      <c r="L242" s="219" t="str">
        <f t="array" ref="L242">IFERROR(J242*INDEX('PORTIFÓLIO'!$S$4:$S$433,MATCH($C242,'PORTIFÓLIO'!$C$4:$C$433,0)),"")</f>
        <v/>
      </c>
      <c r="M242" s="220"/>
      <c r="N242" s="220"/>
      <c r="O242" s="220"/>
      <c r="P242" s="220"/>
      <c r="Q242" s="220"/>
      <c r="R242" s="220"/>
      <c r="S242" s="220"/>
      <c r="T242" s="220"/>
      <c r="U242" s="220"/>
      <c r="V242" s="220"/>
      <c r="W242" s="220"/>
    </row>
    <row r="243" ht="15.75" customHeight="1" outlineLevel="1">
      <c r="A243" s="211"/>
      <c r="B243" s="212"/>
      <c r="C243" s="213"/>
      <c r="D243" s="214" t="str">
        <f>IFERROR(VLOOKUP($C243,'PORTIFÓLIO'!C:V,2,0),"")</f>
        <v/>
      </c>
      <c r="E243" s="211" t="str">
        <f>IFERROR(VLOOKUP($C243,'PORTIFÓLIO'!C:V,3,0),"")</f>
        <v/>
      </c>
      <c r="F243" s="211" t="str">
        <f>IFERROR(VLOOKUP($C243,'PORTIFÓLIO'!C:V,4,0),"")</f>
        <v/>
      </c>
      <c r="G243" s="215" t="str">
        <f>IFERROR(VLOOKUP($C243,'PORTIFÓLIO'!C:V,5,0),"")</f>
        <v/>
      </c>
      <c r="H243" s="254" t="str">
        <f t="array" ref="H243">IFERROR(INDEX('PORTIFÓLIO'!$H$4:$H$433,MATCH($C243,'PORTIFÓLIO'!$C$4:$C$433,0)),"")</f>
        <v/>
      </c>
      <c r="I243" s="256"/>
      <c r="J243" s="218">
        <f t="shared" si="27"/>
        <v>0</v>
      </c>
      <c r="K243" s="219" t="str">
        <f t="array" ref="K243">IFERROR(I243*INDEX('PORTIFÓLIO'!$S$4:$S$433,MATCH($C243,'PORTIFÓLIO'!$C$4:$C$433,0)),"")</f>
        <v/>
      </c>
      <c r="L243" s="219" t="str">
        <f t="array" ref="L243">IFERROR(J243*INDEX('PORTIFÓLIO'!$S$4:$S$433,MATCH($C243,'PORTIFÓLIO'!$C$4:$C$433,0)),"")</f>
        <v/>
      </c>
      <c r="M243" s="220"/>
      <c r="N243" s="220"/>
      <c r="O243" s="220"/>
      <c r="P243" s="220"/>
      <c r="Q243" s="220"/>
      <c r="R243" s="220"/>
      <c r="S243" s="220"/>
      <c r="T243" s="220"/>
      <c r="U243" s="220"/>
      <c r="V243" s="220"/>
      <c r="W243" s="220"/>
    </row>
    <row r="244" ht="15.75" customHeight="1" outlineLevel="1">
      <c r="A244" s="211"/>
      <c r="B244" s="212"/>
      <c r="C244" s="213"/>
      <c r="D244" s="214" t="str">
        <f>IFERROR(VLOOKUP($C244,'PORTIFÓLIO'!C:V,2,0),"")</f>
        <v/>
      </c>
      <c r="E244" s="211" t="str">
        <f>IFERROR(VLOOKUP($C244,'PORTIFÓLIO'!C:V,3,0),"")</f>
        <v/>
      </c>
      <c r="F244" s="211" t="str">
        <f>IFERROR(VLOOKUP($C244,'PORTIFÓLIO'!C:V,4,0),"")</f>
        <v/>
      </c>
      <c r="G244" s="215" t="str">
        <f>IFERROR(VLOOKUP($C244,'PORTIFÓLIO'!C:V,5,0),"")</f>
        <v/>
      </c>
      <c r="H244" s="254" t="str">
        <f t="array" ref="H244">IFERROR(INDEX('PORTIFÓLIO'!$H$4:$H$433,MATCH($C244,'PORTIFÓLIO'!$C$4:$C$433,0)),"")</f>
        <v/>
      </c>
      <c r="I244" s="256"/>
      <c r="J244" s="218">
        <f t="shared" si="27"/>
        <v>0</v>
      </c>
      <c r="K244" s="219" t="str">
        <f t="array" ref="K244">IFERROR(I244*INDEX('PORTIFÓLIO'!$S$4:$S$433,MATCH($C244,'PORTIFÓLIO'!$C$4:$C$433,0)),"")</f>
        <v/>
      </c>
      <c r="L244" s="219" t="str">
        <f t="array" ref="L244">IFERROR(J244*INDEX('PORTIFÓLIO'!$S$4:$S$433,MATCH($C244,'PORTIFÓLIO'!$C$4:$C$433,0)),"")</f>
        <v/>
      </c>
      <c r="M244" s="220"/>
      <c r="N244" s="220"/>
      <c r="O244" s="220"/>
      <c r="P244" s="220"/>
      <c r="Q244" s="220"/>
      <c r="R244" s="220"/>
      <c r="S244" s="220"/>
      <c r="T244" s="220"/>
      <c r="U244" s="220"/>
      <c r="V244" s="220"/>
      <c r="W244" s="220"/>
    </row>
    <row r="245" ht="15.75" customHeight="1" outlineLevel="1">
      <c r="A245" s="211"/>
      <c r="B245" s="212"/>
      <c r="C245" s="213"/>
      <c r="D245" s="214" t="str">
        <f>IFERROR(VLOOKUP($C245,'PORTIFÓLIO'!C:V,2,0),"")</f>
        <v/>
      </c>
      <c r="E245" s="211" t="str">
        <f>IFERROR(VLOOKUP($C245,'PORTIFÓLIO'!C:V,3,0),"")</f>
        <v/>
      </c>
      <c r="F245" s="211" t="str">
        <f>IFERROR(VLOOKUP($C245,'PORTIFÓLIO'!C:V,4,0),"")</f>
        <v/>
      </c>
      <c r="G245" s="215" t="str">
        <f>IFERROR(VLOOKUP($C245,'PORTIFÓLIO'!C:V,5,0),"")</f>
        <v/>
      </c>
      <c r="H245" s="254" t="str">
        <f t="array" ref="H245">IFERROR(INDEX('PORTIFÓLIO'!$H$4:$H$433,MATCH($C245,'PORTIFÓLIO'!$C$4:$C$433,0)),"")</f>
        <v/>
      </c>
      <c r="I245" s="256"/>
      <c r="J245" s="218">
        <f t="shared" si="27"/>
        <v>0</v>
      </c>
      <c r="K245" s="219" t="str">
        <f t="array" ref="K245">IFERROR(I245*INDEX('PORTIFÓLIO'!$S$4:$S$433,MATCH($C245,'PORTIFÓLIO'!$C$4:$C$433,0)),"")</f>
        <v/>
      </c>
      <c r="L245" s="219" t="str">
        <f t="array" ref="L245">IFERROR(J245*INDEX('PORTIFÓLIO'!$S$4:$S$433,MATCH($C245,'PORTIFÓLIO'!$C$4:$C$433,0)),"")</f>
        <v/>
      </c>
      <c r="M245" s="220"/>
      <c r="N245" s="220"/>
      <c r="O245" s="220"/>
      <c r="P245" s="220"/>
      <c r="Q245" s="220"/>
      <c r="R245" s="220"/>
      <c r="S245" s="220"/>
      <c r="T245" s="220"/>
      <c r="U245" s="220"/>
      <c r="V245" s="220"/>
      <c r="W245" s="220"/>
    </row>
    <row r="246" ht="15.75" customHeight="1" outlineLevel="1">
      <c r="A246" s="211"/>
      <c r="B246" s="212"/>
      <c r="C246" s="213"/>
      <c r="D246" s="214" t="str">
        <f>IFERROR(VLOOKUP($C246,'PORTIFÓLIO'!C:V,2,0),"")</f>
        <v/>
      </c>
      <c r="E246" s="211" t="str">
        <f>IFERROR(VLOOKUP($C246,'PORTIFÓLIO'!C:V,3,0),"")</f>
        <v/>
      </c>
      <c r="F246" s="211" t="str">
        <f>IFERROR(VLOOKUP($C246,'PORTIFÓLIO'!C:V,4,0),"")</f>
        <v/>
      </c>
      <c r="G246" s="215" t="str">
        <f>IFERROR(VLOOKUP($C246,'PORTIFÓLIO'!C:V,5,0),"")</f>
        <v/>
      </c>
      <c r="H246" s="254" t="str">
        <f t="array" ref="H246">IFERROR(INDEX('PORTIFÓLIO'!$H$4:$H$433,MATCH($C246,'PORTIFÓLIO'!$C$4:$C$433,0)),"")</f>
        <v/>
      </c>
      <c r="I246" s="255"/>
      <c r="J246" s="218">
        <f t="shared" si="27"/>
        <v>0</v>
      </c>
      <c r="K246" s="219" t="str">
        <f t="array" ref="K246">IFERROR(I246*INDEX('PORTIFÓLIO'!$S$4:$S$433,MATCH($C246,'PORTIFÓLIO'!$C$4:$C$433,0)),"")</f>
        <v/>
      </c>
      <c r="L246" s="219" t="str">
        <f t="array" ref="L246">IFERROR(J246*INDEX('PORTIFÓLIO'!$S$4:$S$433,MATCH($C246,'PORTIFÓLIO'!$C$4:$C$433,0)),"")</f>
        <v/>
      </c>
      <c r="M246" s="220"/>
      <c r="N246" s="220"/>
      <c r="O246" s="220"/>
      <c r="P246" s="220"/>
      <c r="Q246" s="220"/>
      <c r="R246" s="220"/>
      <c r="S246" s="220"/>
      <c r="T246" s="220"/>
      <c r="U246" s="220"/>
      <c r="V246" s="220"/>
      <c r="W246" s="220"/>
    </row>
    <row r="247" ht="15.75" customHeight="1" outlineLevel="1">
      <c r="A247" s="211"/>
      <c r="B247" s="212"/>
      <c r="C247" s="213"/>
      <c r="D247" s="214" t="str">
        <f>IFERROR(VLOOKUP($C247,'PORTIFÓLIO'!C:V,2,0),"")</f>
        <v/>
      </c>
      <c r="E247" s="211" t="str">
        <f>IFERROR(VLOOKUP($C247,'PORTIFÓLIO'!C:V,3,0),"")</f>
        <v/>
      </c>
      <c r="F247" s="211" t="str">
        <f>IFERROR(VLOOKUP($C247,'PORTIFÓLIO'!C:V,4,0),"")</f>
        <v/>
      </c>
      <c r="G247" s="215" t="str">
        <f>IFERROR(VLOOKUP($C247,'PORTIFÓLIO'!C:V,5,0),"")</f>
        <v/>
      </c>
      <c r="H247" s="254" t="str">
        <f t="array" ref="H247">IFERROR(INDEX('PORTIFÓLIO'!$H$4:$H$433,MATCH($C247,'PORTIFÓLIO'!$C$4:$C$433,0)),"")</f>
        <v/>
      </c>
      <c r="I247" s="255"/>
      <c r="J247" s="218">
        <f t="shared" si="27"/>
        <v>0</v>
      </c>
      <c r="K247" s="219" t="str">
        <f t="array" ref="K247">IFERROR(I247*INDEX('PORTIFÓLIO'!$S$4:$S$433,MATCH($C247,'PORTIFÓLIO'!$C$4:$C$433,0)),"")</f>
        <v/>
      </c>
      <c r="L247" s="219" t="str">
        <f t="array" ref="L247">IFERROR(J247*INDEX('PORTIFÓLIO'!$S$4:$S$433,MATCH($C247,'PORTIFÓLIO'!$C$4:$C$433,0)),"")</f>
        <v/>
      </c>
      <c r="M247" s="220"/>
      <c r="N247" s="220"/>
      <c r="O247" s="220"/>
      <c r="P247" s="220"/>
      <c r="Q247" s="220"/>
      <c r="R247" s="220"/>
      <c r="S247" s="220"/>
      <c r="T247" s="220"/>
      <c r="U247" s="220"/>
      <c r="V247" s="220"/>
      <c r="W247" s="220"/>
    </row>
    <row r="248" ht="15.75" customHeight="1" outlineLevel="1">
      <c r="A248" s="211"/>
      <c r="B248" s="212"/>
      <c r="C248" s="213"/>
      <c r="D248" s="214" t="str">
        <f>IFERROR(VLOOKUP($C248,'PORTIFÓLIO'!C:V,2,0),"")</f>
        <v/>
      </c>
      <c r="E248" s="211" t="str">
        <f>IFERROR(VLOOKUP($C248,'PORTIFÓLIO'!C:V,3,0),"")</f>
        <v/>
      </c>
      <c r="F248" s="211" t="str">
        <f>IFERROR(VLOOKUP($C248,'PORTIFÓLIO'!C:V,4,0),"")</f>
        <v/>
      </c>
      <c r="G248" s="215" t="str">
        <f>IFERROR(VLOOKUP($C248,'PORTIFÓLIO'!C:V,5,0),"")</f>
        <v/>
      </c>
      <c r="H248" s="254" t="str">
        <f t="array" ref="H248">IFERROR(INDEX('PORTIFÓLIO'!$H$4:$H$433,MATCH($C248,'PORTIFÓLIO'!$C$4:$C$433,0)),"")</f>
        <v/>
      </c>
      <c r="I248" s="255"/>
      <c r="J248" s="218">
        <f t="shared" si="27"/>
        <v>0</v>
      </c>
      <c r="K248" s="219" t="str">
        <f t="array" ref="K248">IFERROR(I248*INDEX('PORTIFÓLIO'!$S$4:$S$433,MATCH($C248,'PORTIFÓLIO'!$C$4:$C$433,0)),"")</f>
        <v/>
      </c>
      <c r="L248" s="219" t="str">
        <f t="array" ref="L248">IFERROR(J248*INDEX('PORTIFÓLIO'!$S$4:$S$433,MATCH($C248,'PORTIFÓLIO'!$C$4:$C$433,0)),"")</f>
        <v/>
      </c>
      <c r="M248" s="220"/>
      <c r="N248" s="220"/>
      <c r="O248" s="220"/>
      <c r="P248" s="220"/>
      <c r="Q248" s="220"/>
      <c r="R248" s="220"/>
      <c r="S248" s="220"/>
      <c r="T248" s="220"/>
      <c r="U248" s="220"/>
      <c r="V248" s="220"/>
      <c r="W248" s="220"/>
    </row>
    <row r="249" ht="15.75" customHeight="1" outlineLevel="1">
      <c r="A249" s="211"/>
      <c r="B249" s="212"/>
      <c r="C249" s="213"/>
      <c r="D249" s="214" t="str">
        <f>IFERROR(VLOOKUP($C249,'PORTIFÓLIO'!C:V,2,0),"")</f>
        <v/>
      </c>
      <c r="E249" s="211" t="str">
        <f>IFERROR(VLOOKUP($C249,'PORTIFÓLIO'!C:V,3,0),"")</f>
        <v/>
      </c>
      <c r="F249" s="211" t="str">
        <f>IFERROR(VLOOKUP($C249,'PORTIFÓLIO'!C:V,4,0),"")</f>
        <v/>
      </c>
      <c r="G249" s="215" t="str">
        <f>IFERROR(VLOOKUP($C249,'PORTIFÓLIO'!C:V,5,0),"")</f>
        <v/>
      </c>
      <c r="H249" s="254" t="str">
        <f t="array" ref="H249">IFERROR(INDEX('PORTIFÓLIO'!$H$4:$H$433,MATCH($C249,'PORTIFÓLIO'!$C$4:$C$433,0)),"")</f>
        <v/>
      </c>
      <c r="I249" s="255"/>
      <c r="J249" s="218">
        <f t="shared" si="27"/>
        <v>0</v>
      </c>
      <c r="K249" s="219" t="str">
        <f t="array" ref="K249">IFERROR(I249*INDEX('PORTIFÓLIO'!$S$4:$S$433,MATCH($C249,'PORTIFÓLIO'!$C$4:$C$433,0)),"")</f>
        <v/>
      </c>
      <c r="L249" s="219" t="str">
        <f t="array" ref="L249">IFERROR(J249*INDEX('PORTIFÓLIO'!$S$4:$S$433,MATCH($C249,'PORTIFÓLIO'!$C$4:$C$433,0)),"")</f>
        <v/>
      </c>
      <c r="M249" s="220"/>
      <c r="N249" s="220"/>
      <c r="O249" s="220"/>
      <c r="P249" s="220"/>
      <c r="Q249" s="220"/>
      <c r="R249" s="220"/>
      <c r="S249" s="220"/>
      <c r="T249" s="220"/>
      <c r="U249" s="220"/>
      <c r="V249" s="220"/>
      <c r="W249" s="220"/>
    </row>
    <row r="250" ht="15.75" customHeight="1" outlineLevel="1">
      <c r="A250" s="211"/>
      <c r="B250" s="212"/>
      <c r="C250" s="213"/>
      <c r="D250" s="214" t="str">
        <f>IFERROR(VLOOKUP($C250,'PORTIFÓLIO'!C:V,2,0),"")</f>
        <v/>
      </c>
      <c r="E250" s="211" t="str">
        <f>IFERROR(VLOOKUP($C250,'PORTIFÓLIO'!C:V,3,0),"")</f>
        <v/>
      </c>
      <c r="F250" s="211" t="str">
        <f>IFERROR(VLOOKUP($C250,'PORTIFÓLIO'!C:V,4,0),"")</f>
        <v/>
      </c>
      <c r="G250" s="215" t="str">
        <f>IFERROR(VLOOKUP($C250,'PORTIFÓLIO'!C:V,5,0),"")</f>
        <v/>
      </c>
      <c r="H250" s="254" t="str">
        <f t="array" ref="H250">IFERROR(INDEX('PORTIFÓLIO'!$H$4:$H$433,MATCH($C250,'PORTIFÓLIO'!$C$4:$C$433,0)),"")</f>
        <v/>
      </c>
      <c r="I250" s="255"/>
      <c r="J250" s="218">
        <f t="shared" si="27"/>
        <v>0</v>
      </c>
      <c r="K250" s="219" t="str">
        <f t="array" ref="K250">IFERROR(I250*INDEX('PORTIFÓLIO'!$S$4:$S$433,MATCH($C250,'PORTIFÓLIO'!$C$4:$C$433,0)),"")</f>
        <v/>
      </c>
      <c r="L250" s="219" t="str">
        <f t="array" ref="L250">IFERROR(J250*INDEX('PORTIFÓLIO'!$S$4:$S$433,MATCH($C250,'PORTIFÓLIO'!$C$4:$C$433,0)),"")</f>
        <v/>
      </c>
      <c r="M250" s="220"/>
      <c r="N250" s="220"/>
      <c r="O250" s="220"/>
      <c r="P250" s="220"/>
      <c r="Q250" s="220"/>
      <c r="R250" s="220"/>
      <c r="S250" s="220"/>
      <c r="T250" s="220"/>
      <c r="U250" s="220"/>
      <c r="V250" s="220"/>
      <c r="W250" s="220"/>
    </row>
    <row r="251" ht="15.75" customHeight="1" outlineLevel="1">
      <c r="A251" s="211"/>
      <c r="B251" s="212"/>
      <c r="C251" s="213"/>
      <c r="D251" s="214" t="str">
        <f>IFERROR(VLOOKUP($C251,'PORTIFÓLIO'!C:V,2,0),"")</f>
        <v/>
      </c>
      <c r="E251" s="211" t="str">
        <f>IFERROR(VLOOKUP($C251,'PORTIFÓLIO'!C:V,3,0),"")</f>
        <v/>
      </c>
      <c r="F251" s="211" t="str">
        <f>IFERROR(VLOOKUP($C251,'PORTIFÓLIO'!C:V,4,0),"")</f>
        <v/>
      </c>
      <c r="G251" s="215" t="str">
        <f>IFERROR(VLOOKUP($C251,'PORTIFÓLIO'!C:V,5,0),"")</f>
        <v/>
      </c>
      <c r="H251" s="254" t="str">
        <f t="array" ref="H251">IFERROR(INDEX('PORTIFÓLIO'!$H$4:$H$433,MATCH($C251,'PORTIFÓLIO'!$C$4:$C$433,0)),"")</f>
        <v/>
      </c>
      <c r="I251" s="255"/>
      <c r="J251" s="218">
        <f t="shared" si="27"/>
        <v>0</v>
      </c>
      <c r="K251" s="219" t="str">
        <f t="array" ref="K251">IFERROR(I251*INDEX('PORTIFÓLIO'!$S$4:$S$433,MATCH($C251,'PORTIFÓLIO'!$C$4:$C$433,0)),"")</f>
        <v/>
      </c>
      <c r="L251" s="219" t="str">
        <f t="array" ref="L251">IFERROR(J251*INDEX('PORTIFÓLIO'!$S$4:$S$433,MATCH($C251,'PORTIFÓLIO'!$C$4:$C$433,0)),"")</f>
        <v/>
      </c>
      <c r="M251" s="220"/>
      <c r="N251" s="220"/>
      <c r="O251" s="220"/>
      <c r="P251" s="220"/>
      <c r="Q251" s="220"/>
      <c r="R251" s="220"/>
      <c r="S251" s="220"/>
      <c r="T251" s="220"/>
      <c r="U251" s="220"/>
      <c r="V251" s="220"/>
      <c r="W251" s="220"/>
    </row>
    <row r="252" ht="15.75" customHeight="1">
      <c r="A252" s="229" t="s">
        <v>1184</v>
      </c>
      <c r="B252" s="230"/>
      <c r="C252" s="231"/>
      <c r="D252" s="232"/>
      <c r="E252" s="231"/>
      <c r="F252" s="231"/>
      <c r="G252" s="233"/>
      <c r="H252" s="233"/>
      <c r="I252" s="258"/>
      <c r="J252" s="236"/>
      <c r="K252" s="237">
        <f t="shared" ref="K252:L252" si="28">SUBTOTAL(9,K253:K266)</f>
        <v>0</v>
      </c>
      <c r="L252" s="237">
        <f t="shared" si="28"/>
        <v>0</v>
      </c>
      <c r="M252" s="220"/>
      <c r="N252" s="220"/>
      <c r="O252" s="220"/>
      <c r="P252" s="220"/>
      <c r="Q252" s="220"/>
      <c r="R252" s="220"/>
      <c r="S252" s="220"/>
      <c r="T252" s="220"/>
      <c r="U252" s="220"/>
      <c r="V252" s="220"/>
      <c r="W252" s="220"/>
    </row>
    <row r="253" ht="15.75" customHeight="1" outlineLevel="1">
      <c r="A253" s="213"/>
      <c r="B253" s="212"/>
      <c r="C253" s="213"/>
      <c r="D253" s="214" t="str">
        <f>IFERROR(VLOOKUP($C253,'PORTIFÓLIO'!C:V,2,0),"")</f>
        <v/>
      </c>
      <c r="E253" s="211" t="str">
        <f>IFERROR(VLOOKUP($C253,'PORTIFÓLIO'!C:V,3,0),"")</f>
        <v/>
      </c>
      <c r="F253" s="211" t="str">
        <f>IFERROR(VLOOKUP($C253,'PORTIFÓLIO'!C:V,4,0),"")</f>
        <v/>
      </c>
      <c r="G253" s="215" t="str">
        <f>IFERROR(VLOOKUP($C253,'PORTIFÓLIO'!C:V,5,0),"")</f>
        <v/>
      </c>
      <c r="H253" s="254" t="str">
        <f t="array" ref="H253">IFERROR(INDEX('PORTIFÓLIO'!$H$4:$H$433,MATCH($C253,'PORTIFÓLIO'!$C$4:$C$433,0)),"")</f>
        <v/>
      </c>
      <c r="I253" s="255"/>
      <c r="J253" s="218">
        <f t="shared" ref="J253:J270" si="29">I253*$B$2</f>
        <v>0</v>
      </c>
      <c r="K253" s="292" t="str">
        <f t="array" ref="K253">IFERROR(I253*INDEX('PORTIFÓLIO'!$S$4:$S$433,MATCH($C253,'PORTIFÓLIO'!$C$4:$C$433,0)),"")</f>
        <v/>
      </c>
      <c r="L253" s="292" t="str">
        <f t="array" ref="L253">IFERROR(J253*INDEX('PORTIFÓLIO'!$S$4:$S$433,MATCH($C253,'PORTIFÓLIO'!$C$4:$C$433,0)),"")</f>
        <v/>
      </c>
      <c r="M253" s="220"/>
      <c r="N253" s="220"/>
      <c r="O253" s="220"/>
      <c r="P253" s="220"/>
      <c r="Q253" s="220"/>
      <c r="R253" s="220"/>
      <c r="S253" s="220"/>
      <c r="T253" s="220"/>
      <c r="U253" s="220"/>
      <c r="V253" s="220"/>
      <c r="W253" s="220"/>
    </row>
    <row r="254" ht="15.75" customHeight="1" outlineLevel="1">
      <c r="A254" s="211"/>
      <c r="B254" s="212"/>
      <c r="C254" s="213"/>
      <c r="D254" s="214" t="str">
        <f>IFERROR(VLOOKUP($C254,'PORTIFÓLIO'!C:V,2,0),"")</f>
        <v/>
      </c>
      <c r="E254" s="211" t="str">
        <f>IFERROR(VLOOKUP($C254,'PORTIFÓLIO'!C:V,3,0),"")</f>
        <v/>
      </c>
      <c r="F254" s="211" t="str">
        <f>IFERROR(VLOOKUP($C254,'PORTIFÓLIO'!C:V,4,0),"")</f>
        <v/>
      </c>
      <c r="G254" s="215" t="str">
        <f>IFERROR(VLOOKUP($C254,'PORTIFÓLIO'!C:V,5,0),"")</f>
        <v/>
      </c>
      <c r="H254" s="254" t="str">
        <f t="array" ref="H254">IFERROR(INDEX('PORTIFÓLIO'!$H$4:$H$433,MATCH($C254,'PORTIFÓLIO'!$C$4:$C$433,0)),"")</f>
        <v/>
      </c>
      <c r="I254" s="255"/>
      <c r="J254" s="218">
        <f t="shared" si="29"/>
        <v>0</v>
      </c>
      <c r="K254" s="292" t="str">
        <f t="array" ref="K254">IFERROR(I254*INDEX('PORTIFÓLIO'!$S$4:$S$433,MATCH($C254,'PORTIFÓLIO'!$C$4:$C$433,0)),"")</f>
        <v/>
      </c>
      <c r="L254" s="292" t="str">
        <f t="array" ref="L254">IFERROR(J254*INDEX('PORTIFÓLIO'!$S$4:$S$433,MATCH($C254,'PORTIFÓLIO'!$C$4:$C$433,0)),"")</f>
        <v/>
      </c>
      <c r="M254" s="220"/>
      <c r="N254" s="220"/>
      <c r="O254" s="220"/>
      <c r="P254" s="220"/>
      <c r="Q254" s="220"/>
      <c r="R254" s="220"/>
      <c r="S254" s="220"/>
      <c r="T254" s="220"/>
      <c r="U254" s="220"/>
      <c r="V254" s="220"/>
      <c r="W254" s="220"/>
    </row>
    <row r="255" ht="15.75" customHeight="1" outlineLevel="1">
      <c r="A255" s="211"/>
      <c r="B255" s="212"/>
      <c r="C255" s="213"/>
      <c r="D255" s="214" t="str">
        <f>IFERROR(VLOOKUP($C255,'PORTIFÓLIO'!C:V,2,0),"")</f>
        <v/>
      </c>
      <c r="E255" s="211" t="str">
        <f>IFERROR(VLOOKUP($C255,'PORTIFÓLIO'!C:V,3,0),"")</f>
        <v/>
      </c>
      <c r="F255" s="211" t="str">
        <f>IFERROR(VLOOKUP($C255,'PORTIFÓLIO'!C:V,4,0),"")</f>
        <v/>
      </c>
      <c r="G255" s="215" t="str">
        <f>IFERROR(VLOOKUP($C255,'PORTIFÓLIO'!C:V,5,0),"")</f>
        <v/>
      </c>
      <c r="H255" s="254" t="str">
        <f t="array" ref="H255">IFERROR(INDEX('PORTIFÓLIO'!$H$4:$H$433,MATCH($C255,'PORTIFÓLIO'!$C$4:$C$433,0)),"")</f>
        <v/>
      </c>
      <c r="I255" s="256"/>
      <c r="J255" s="218">
        <f t="shared" si="29"/>
        <v>0</v>
      </c>
      <c r="K255" s="292" t="str">
        <f t="array" ref="K255">IFERROR(I255*INDEX('PORTIFÓLIO'!$S$4:$S$433,MATCH($C255,'PORTIFÓLIO'!$C$4:$C$433,0)),"")</f>
        <v/>
      </c>
      <c r="L255" s="292" t="str">
        <f t="array" ref="L255">IFERROR(J255*INDEX('PORTIFÓLIO'!$S$4:$S$433,MATCH($C255,'PORTIFÓLIO'!$C$4:$C$433,0)),"")</f>
        <v/>
      </c>
      <c r="M255" s="220"/>
      <c r="N255" s="220"/>
      <c r="O255" s="220"/>
      <c r="P255" s="220"/>
      <c r="Q255" s="220"/>
      <c r="R255" s="220"/>
      <c r="S255" s="220"/>
      <c r="T255" s="220"/>
      <c r="U255" s="220"/>
      <c r="V255" s="220"/>
      <c r="W255" s="220"/>
    </row>
    <row r="256" ht="15.75" customHeight="1" outlineLevel="1">
      <c r="A256" s="211"/>
      <c r="B256" s="212"/>
      <c r="C256" s="213"/>
      <c r="D256" s="214" t="str">
        <f>IFERROR(VLOOKUP($C256,'PORTIFÓLIO'!C:V,2,0),"")</f>
        <v/>
      </c>
      <c r="E256" s="211" t="str">
        <f>IFERROR(VLOOKUP($C256,'PORTIFÓLIO'!C:V,3,0),"")</f>
        <v/>
      </c>
      <c r="F256" s="211" t="str">
        <f>IFERROR(VLOOKUP($C256,'PORTIFÓLIO'!C:V,4,0),"")</f>
        <v/>
      </c>
      <c r="G256" s="215" t="str">
        <f>IFERROR(VLOOKUP($C256,'PORTIFÓLIO'!C:V,5,0),"")</f>
        <v/>
      </c>
      <c r="H256" s="254" t="str">
        <f t="array" ref="H256">IFERROR(INDEX('PORTIFÓLIO'!$H$4:$H$433,MATCH($C256,'PORTIFÓLIO'!$C$4:$C$433,0)),"")</f>
        <v/>
      </c>
      <c r="I256" s="255"/>
      <c r="J256" s="218">
        <f t="shared" si="29"/>
        <v>0</v>
      </c>
      <c r="K256" s="292" t="str">
        <f t="array" ref="K256">IFERROR(I256*INDEX('PORTIFÓLIO'!$S$4:$S$433,MATCH($C256,'PORTIFÓLIO'!$C$4:$C$433,0)),"")</f>
        <v/>
      </c>
      <c r="L256" s="292" t="str">
        <f t="array" ref="L256">IFERROR(J256*INDEX('PORTIFÓLIO'!$S$4:$S$433,MATCH($C256,'PORTIFÓLIO'!$C$4:$C$433,0)),"")</f>
        <v/>
      </c>
      <c r="M256" s="220"/>
      <c r="N256" s="220"/>
      <c r="O256" s="220"/>
      <c r="P256" s="220"/>
      <c r="Q256" s="220"/>
      <c r="R256" s="220"/>
      <c r="S256" s="220"/>
      <c r="T256" s="220"/>
      <c r="U256" s="220"/>
      <c r="V256" s="220"/>
      <c r="W256" s="220"/>
    </row>
    <row r="257" ht="15.75" customHeight="1" outlineLevel="1">
      <c r="A257" s="211"/>
      <c r="B257" s="212"/>
      <c r="C257" s="213"/>
      <c r="D257" s="214" t="str">
        <f>IFERROR(VLOOKUP($C257,'PORTIFÓLIO'!C:V,2,0),"")</f>
        <v/>
      </c>
      <c r="E257" s="211" t="str">
        <f>IFERROR(VLOOKUP($C257,'PORTIFÓLIO'!C:V,3,0),"")</f>
        <v/>
      </c>
      <c r="F257" s="211" t="str">
        <f>IFERROR(VLOOKUP($C257,'PORTIFÓLIO'!C:V,4,0),"")</f>
        <v/>
      </c>
      <c r="G257" s="215" t="str">
        <f>IFERROR(VLOOKUP($C257,'PORTIFÓLIO'!C:V,5,0),"")</f>
        <v/>
      </c>
      <c r="H257" s="254" t="str">
        <f t="array" ref="H257">IFERROR(INDEX('PORTIFÓLIO'!$H$4:$H$433,MATCH($C257,'PORTIFÓLIO'!$C$4:$C$433,0)),"")</f>
        <v/>
      </c>
      <c r="I257" s="256"/>
      <c r="J257" s="218">
        <f t="shared" si="29"/>
        <v>0</v>
      </c>
      <c r="K257" s="292" t="str">
        <f t="array" ref="K257">IFERROR(I257*INDEX('PORTIFÓLIO'!$S$4:$S$433,MATCH($C257,'PORTIFÓLIO'!$C$4:$C$433,0)),"")</f>
        <v/>
      </c>
      <c r="L257" s="292" t="str">
        <f t="array" ref="L257">IFERROR(J257*INDEX('PORTIFÓLIO'!$S$4:$S$433,MATCH($C257,'PORTIFÓLIO'!$C$4:$C$433,0)),"")</f>
        <v/>
      </c>
      <c r="M257" s="220"/>
      <c r="N257" s="220"/>
      <c r="O257" s="220"/>
      <c r="P257" s="220"/>
      <c r="Q257" s="220"/>
      <c r="R257" s="220"/>
      <c r="S257" s="220"/>
      <c r="T257" s="220"/>
      <c r="U257" s="220"/>
      <c r="V257" s="220"/>
      <c r="W257" s="220"/>
    </row>
    <row r="258" ht="15.75" customHeight="1" outlineLevel="1">
      <c r="A258" s="211"/>
      <c r="B258" s="212"/>
      <c r="C258" s="213"/>
      <c r="D258" s="214" t="str">
        <f>IFERROR(VLOOKUP($C258,'PORTIFÓLIO'!C:V,2,0),"")</f>
        <v/>
      </c>
      <c r="E258" s="211" t="str">
        <f>IFERROR(VLOOKUP($C258,'PORTIFÓLIO'!C:V,3,0),"")</f>
        <v/>
      </c>
      <c r="F258" s="211" t="str">
        <f>IFERROR(VLOOKUP($C258,'PORTIFÓLIO'!C:V,4,0),"")</f>
        <v/>
      </c>
      <c r="G258" s="215" t="str">
        <f>IFERROR(VLOOKUP($C258,'PORTIFÓLIO'!C:V,5,0),"")</f>
        <v/>
      </c>
      <c r="H258" s="254" t="str">
        <f t="array" ref="H258">IFERROR(INDEX('PORTIFÓLIO'!$H$4:$H$433,MATCH($C258,'PORTIFÓLIO'!$C$4:$C$433,0)),"")</f>
        <v/>
      </c>
      <c r="I258" s="256"/>
      <c r="J258" s="218">
        <f t="shared" si="29"/>
        <v>0</v>
      </c>
      <c r="K258" s="292" t="str">
        <f t="array" ref="K258">IFERROR(I258*INDEX('PORTIFÓLIO'!$S$4:$S$433,MATCH($C258,'PORTIFÓLIO'!$C$4:$C$433,0)),"")</f>
        <v/>
      </c>
      <c r="L258" s="292" t="str">
        <f t="array" ref="L258">IFERROR(J258*INDEX('PORTIFÓLIO'!$S$4:$S$433,MATCH($C258,'PORTIFÓLIO'!$C$4:$C$433,0)),"")</f>
        <v/>
      </c>
      <c r="M258" s="220"/>
      <c r="N258" s="220"/>
      <c r="O258" s="220"/>
      <c r="P258" s="220"/>
      <c r="Q258" s="220"/>
      <c r="R258" s="220"/>
      <c r="S258" s="220"/>
      <c r="T258" s="220"/>
      <c r="U258" s="220"/>
      <c r="V258" s="220"/>
      <c r="W258" s="220"/>
    </row>
    <row r="259" ht="15.75" customHeight="1" outlineLevel="1">
      <c r="A259" s="211"/>
      <c r="B259" s="212"/>
      <c r="C259" s="213"/>
      <c r="D259" s="214" t="str">
        <f>IFERROR(VLOOKUP($C259,'PORTIFÓLIO'!C:V,2,0),"")</f>
        <v/>
      </c>
      <c r="E259" s="211" t="str">
        <f>IFERROR(VLOOKUP($C259,'PORTIFÓLIO'!C:V,3,0),"")</f>
        <v/>
      </c>
      <c r="F259" s="211" t="str">
        <f>IFERROR(VLOOKUP($C259,'PORTIFÓLIO'!C:V,4,0),"")</f>
        <v/>
      </c>
      <c r="G259" s="215" t="str">
        <f>IFERROR(VLOOKUP($C259,'PORTIFÓLIO'!C:V,5,0),"")</f>
        <v/>
      </c>
      <c r="H259" s="254" t="str">
        <f t="array" ref="H259">IFERROR(INDEX('PORTIFÓLIO'!$H$4:$H$433,MATCH($C259,'PORTIFÓLIO'!$C$4:$C$433,0)),"")</f>
        <v/>
      </c>
      <c r="I259" s="256"/>
      <c r="J259" s="218">
        <f t="shared" si="29"/>
        <v>0</v>
      </c>
      <c r="K259" s="292" t="str">
        <f t="array" ref="K259">IFERROR(I259*INDEX('PORTIFÓLIO'!$S$4:$S$433,MATCH($C259,'PORTIFÓLIO'!$C$4:$C$433,0)),"")</f>
        <v/>
      </c>
      <c r="L259" s="292" t="str">
        <f t="array" ref="L259">IFERROR(J259*INDEX('PORTIFÓLIO'!$S$4:$S$433,MATCH($C259,'PORTIFÓLIO'!$C$4:$C$433,0)),"")</f>
        <v/>
      </c>
      <c r="M259" s="220"/>
      <c r="N259" s="220"/>
      <c r="O259" s="220"/>
      <c r="P259" s="220"/>
      <c r="Q259" s="220"/>
      <c r="R259" s="220"/>
      <c r="S259" s="220"/>
      <c r="T259" s="220"/>
      <c r="U259" s="220"/>
      <c r="V259" s="220"/>
      <c r="W259" s="220"/>
    </row>
    <row r="260" ht="15.75" customHeight="1" outlineLevel="1">
      <c r="A260" s="211"/>
      <c r="B260" s="212"/>
      <c r="C260" s="213"/>
      <c r="D260" s="214" t="str">
        <f>IFERROR(VLOOKUP($C260,'PORTIFÓLIO'!C:V,2,0),"")</f>
        <v/>
      </c>
      <c r="E260" s="211" t="str">
        <f>IFERROR(VLOOKUP($C260,'PORTIFÓLIO'!C:V,3,0),"")</f>
        <v/>
      </c>
      <c r="F260" s="211" t="str">
        <f>IFERROR(VLOOKUP($C260,'PORTIFÓLIO'!C:V,4,0),"")</f>
        <v/>
      </c>
      <c r="G260" s="215" t="str">
        <f>IFERROR(VLOOKUP($C260,'PORTIFÓLIO'!C:V,5,0),"")</f>
        <v/>
      </c>
      <c r="H260" s="254" t="str">
        <f t="array" ref="H260">IFERROR(INDEX('PORTIFÓLIO'!$H$4:$H$433,MATCH($C260,'PORTIFÓLIO'!$C$4:$C$433,0)),"")</f>
        <v/>
      </c>
      <c r="I260" s="256"/>
      <c r="J260" s="218">
        <f t="shared" si="29"/>
        <v>0</v>
      </c>
      <c r="K260" s="292" t="str">
        <f t="array" ref="K260">IFERROR(I260*INDEX('PORTIFÓLIO'!$S$4:$S$433,MATCH($C260,'PORTIFÓLIO'!$C$4:$C$433,0)),"")</f>
        <v/>
      </c>
      <c r="L260" s="292" t="str">
        <f t="array" ref="L260">IFERROR(J260*INDEX('PORTIFÓLIO'!$S$4:$S$433,MATCH($C260,'PORTIFÓLIO'!$C$4:$C$433,0)),"")</f>
        <v/>
      </c>
      <c r="M260" s="220"/>
      <c r="N260" s="220"/>
      <c r="O260" s="220"/>
      <c r="P260" s="220"/>
      <c r="Q260" s="220"/>
      <c r="R260" s="220"/>
      <c r="S260" s="220"/>
      <c r="T260" s="220"/>
      <c r="U260" s="220"/>
      <c r="V260" s="220"/>
      <c r="W260" s="220"/>
    </row>
    <row r="261" ht="15.75" customHeight="1" outlineLevel="1">
      <c r="A261" s="211"/>
      <c r="B261" s="212"/>
      <c r="C261" s="213"/>
      <c r="D261" s="214" t="str">
        <f>IFERROR(VLOOKUP($C261,'PORTIFÓLIO'!C:V,2,0),"")</f>
        <v/>
      </c>
      <c r="E261" s="211" t="str">
        <f>IFERROR(VLOOKUP($C261,'PORTIFÓLIO'!C:V,3,0),"")</f>
        <v/>
      </c>
      <c r="F261" s="211" t="str">
        <f>IFERROR(VLOOKUP($C261,'PORTIFÓLIO'!C:V,4,0),"")</f>
        <v/>
      </c>
      <c r="G261" s="215" t="str">
        <f>IFERROR(VLOOKUP($C261,'PORTIFÓLIO'!C:V,5,0),"")</f>
        <v/>
      </c>
      <c r="H261" s="254" t="str">
        <f t="array" ref="H261">IFERROR(INDEX('PORTIFÓLIO'!$H$4:$H$433,MATCH($C261,'PORTIFÓLIO'!$C$4:$C$433,0)),"")</f>
        <v/>
      </c>
      <c r="I261" s="255"/>
      <c r="J261" s="218">
        <f t="shared" si="29"/>
        <v>0</v>
      </c>
      <c r="K261" s="292" t="str">
        <f t="array" ref="K261">IFERROR(I261*INDEX('PORTIFÓLIO'!$S$4:$S$433,MATCH($C261,'PORTIFÓLIO'!$C$4:$C$433,0)),"")</f>
        <v/>
      </c>
      <c r="L261" s="292" t="str">
        <f t="array" ref="L261">IFERROR(J261*INDEX('PORTIFÓLIO'!$S$4:$S$433,MATCH($C261,'PORTIFÓLIO'!$C$4:$C$433,0)),"")</f>
        <v/>
      </c>
      <c r="M261" s="220"/>
      <c r="N261" s="220"/>
      <c r="O261" s="220"/>
      <c r="P261" s="220"/>
      <c r="Q261" s="220"/>
      <c r="R261" s="220"/>
      <c r="S261" s="220"/>
      <c r="T261" s="220"/>
      <c r="U261" s="220"/>
      <c r="V261" s="220"/>
      <c r="W261" s="220"/>
    </row>
    <row r="262" ht="15.75" customHeight="1" outlineLevel="1">
      <c r="A262" s="211"/>
      <c r="B262" s="212"/>
      <c r="C262" s="213"/>
      <c r="D262" s="214" t="str">
        <f>IFERROR(VLOOKUP($C262,'PORTIFÓLIO'!C:V,2,0),"")</f>
        <v/>
      </c>
      <c r="E262" s="211" t="str">
        <f>IFERROR(VLOOKUP($C262,'PORTIFÓLIO'!C:V,3,0),"")</f>
        <v/>
      </c>
      <c r="F262" s="211" t="str">
        <f>IFERROR(VLOOKUP($C262,'PORTIFÓLIO'!C:V,4,0),"")</f>
        <v/>
      </c>
      <c r="G262" s="215" t="str">
        <f>IFERROR(VLOOKUP($C262,'PORTIFÓLIO'!C:V,5,0),"")</f>
        <v/>
      </c>
      <c r="H262" s="254" t="str">
        <f t="array" ref="H262">IFERROR(INDEX('PORTIFÓLIO'!$H$4:$H$433,MATCH($C262,'PORTIFÓLIO'!$C$4:$C$433,0)),"")</f>
        <v/>
      </c>
      <c r="I262" s="256"/>
      <c r="J262" s="218">
        <f t="shared" si="29"/>
        <v>0</v>
      </c>
      <c r="K262" s="292" t="str">
        <f t="array" ref="K262">IFERROR(I262*INDEX('PORTIFÓLIO'!$S$4:$S$433,MATCH($C262,'PORTIFÓLIO'!$C$4:$C$433,0)),"")</f>
        <v/>
      </c>
      <c r="L262" s="292" t="str">
        <f t="array" ref="L262">IFERROR(J262*INDEX('PORTIFÓLIO'!$S$4:$S$433,MATCH($C262,'PORTIFÓLIO'!$C$4:$C$433,0)),"")</f>
        <v/>
      </c>
      <c r="M262" s="220"/>
      <c r="N262" s="220"/>
      <c r="O262" s="220"/>
      <c r="P262" s="220"/>
      <c r="Q262" s="220"/>
      <c r="R262" s="220"/>
      <c r="S262" s="220"/>
      <c r="T262" s="220"/>
      <c r="U262" s="220"/>
      <c r="V262" s="220"/>
      <c r="W262" s="220"/>
    </row>
    <row r="263" ht="15.75" customHeight="1" outlineLevel="1">
      <c r="A263" s="211"/>
      <c r="B263" s="212"/>
      <c r="C263" s="213"/>
      <c r="D263" s="214" t="str">
        <f>IFERROR(VLOOKUP($C263,'PORTIFÓLIO'!C:V,2,0),"")</f>
        <v/>
      </c>
      <c r="E263" s="211" t="str">
        <f>IFERROR(VLOOKUP($C263,'PORTIFÓLIO'!C:V,3,0),"")</f>
        <v/>
      </c>
      <c r="F263" s="211" t="str">
        <f>IFERROR(VLOOKUP($C263,'PORTIFÓLIO'!C:V,4,0),"")</f>
        <v/>
      </c>
      <c r="G263" s="215" t="str">
        <f>IFERROR(VLOOKUP($C263,'PORTIFÓLIO'!C:V,5,0),"")</f>
        <v/>
      </c>
      <c r="H263" s="254" t="str">
        <f t="array" ref="H263">IFERROR(INDEX('PORTIFÓLIO'!$H$4:$H$433,MATCH($C263,'PORTIFÓLIO'!$C$4:$C$433,0)),"")</f>
        <v/>
      </c>
      <c r="I263" s="256"/>
      <c r="J263" s="218">
        <f t="shared" si="29"/>
        <v>0</v>
      </c>
      <c r="K263" s="292" t="str">
        <f t="array" ref="K263">IFERROR(I263*INDEX('PORTIFÓLIO'!$S$4:$S$433,MATCH($C263,'PORTIFÓLIO'!$C$4:$C$433,0)),"")</f>
        <v/>
      </c>
      <c r="L263" s="292" t="str">
        <f t="array" ref="L263">IFERROR(J263*INDEX('PORTIFÓLIO'!$S$4:$S$433,MATCH($C263,'PORTIFÓLIO'!$C$4:$C$433,0)),"")</f>
        <v/>
      </c>
      <c r="M263" s="220"/>
      <c r="N263" s="220"/>
      <c r="O263" s="220"/>
      <c r="P263" s="220"/>
      <c r="Q263" s="220"/>
      <c r="R263" s="220"/>
      <c r="S263" s="220"/>
      <c r="T263" s="220"/>
      <c r="U263" s="220"/>
      <c r="V263" s="220"/>
      <c r="W263" s="220"/>
    </row>
    <row r="264" ht="15.75" customHeight="1" outlineLevel="1">
      <c r="A264" s="211"/>
      <c r="B264" s="212"/>
      <c r="C264" s="213"/>
      <c r="D264" s="214" t="str">
        <f>IFERROR(VLOOKUP($C264,'PORTIFÓLIO'!C:V,2,0),"")</f>
        <v/>
      </c>
      <c r="E264" s="211" t="str">
        <f>IFERROR(VLOOKUP($C264,'PORTIFÓLIO'!C:V,3,0),"")</f>
        <v/>
      </c>
      <c r="F264" s="211" t="str">
        <f>IFERROR(VLOOKUP($C264,'PORTIFÓLIO'!C:V,4,0),"")</f>
        <v/>
      </c>
      <c r="G264" s="215" t="str">
        <f>IFERROR(VLOOKUP($C264,'PORTIFÓLIO'!C:V,5,0),"")</f>
        <v/>
      </c>
      <c r="H264" s="254" t="str">
        <f t="array" ref="H264">IFERROR(INDEX('PORTIFÓLIO'!$H$4:$H$433,MATCH($C264,'PORTIFÓLIO'!$C$4:$C$433,0)),"")</f>
        <v/>
      </c>
      <c r="I264" s="256"/>
      <c r="J264" s="218">
        <f t="shared" si="29"/>
        <v>0</v>
      </c>
      <c r="K264" s="292" t="str">
        <f t="array" ref="K264">IFERROR(I264*INDEX('PORTIFÓLIO'!$S$4:$S$433,MATCH($C264,'PORTIFÓLIO'!$C$4:$C$433,0)),"")</f>
        <v/>
      </c>
      <c r="L264" s="292" t="str">
        <f t="array" ref="L264">IFERROR(J264*INDEX('PORTIFÓLIO'!$S$4:$S$433,MATCH($C264,'PORTIFÓLIO'!$C$4:$C$433,0)),"")</f>
        <v/>
      </c>
      <c r="M264" s="220"/>
      <c r="N264" s="220"/>
      <c r="O264" s="220"/>
      <c r="P264" s="220"/>
      <c r="Q264" s="220"/>
      <c r="R264" s="220"/>
      <c r="S264" s="220"/>
      <c r="T264" s="220"/>
      <c r="U264" s="220"/>
      <c r="V264" s="220"/>
      <c r="W264" s="220"/>
    </row>
    <row r="265" ht="15.75" customHeight="1" outlineLevel="1">
      <c r="A265" s="211"/>
      <c r="B265" s="212"/>
      <c r="C265" s="213"/>
      <c r="D265" s="214" t="str">
        <f>IFERROR(VLOOKUP($C265,'PORTIFÓLIO'!C:V,2,0),"")</f>
        <v/>
      </c>
      <c r="E265" s="211" t="str">
        <f>IFERROR(VLOOKUP($C265,'PORTIFÓLIO'!C:V,3,0),"")</f>
        <v/>
      </c>
      <c r="F265" s="211" t="str">
        <f>IFERROR(VLOOKUP($C265,'PORTIFÓLIO'!C:V,4,0),"")</f>
        <v/>
      </c>
      <c r="G265" s="215" t="str">
        <f>IFERROR(VLOOKUP($C265,'PORTIFÓLIO'!C:V,5,0),"")</f>
        <v/>
      </c>
      <c r="H265" s="254" t="str">
        <f t="array" ref="H265">IFERROR(INDEX('PORTIFÓLIO'!$H$4:$H$433,MATCH($C265,'PORTIFÓLIO'!$C$4:$C$433,0)),"")</f>
        <v/>
      </c>
      <c r="I265" s="256"/>
      <c r="J265" s="218">
        <f t="shared" si="29"/>
        <v>0</v>
      </c>
      <c r="K265" s="292" t="str">
        <f t="array" ref="K265">IFERROR(I265*INDEX('PORTIFÓLIO'!$S$4:$S$433,MATCH($C265,'PORTIFÓLIO'!$C$4:$C$433,0)),"")</f>
        <v/>
      </c>
      <c r="L265" s="292" t="str">
        <f t="array" ref="L265">IFERROR(J265*INDEX('PORTIFÓLIO'!$S$4:$S$433,MATCH($C265,'PORTIFÓLIO'!$C$4:$C$433,0)),"")</f>
        <v/>
      </c>
      <c r="M265" s="220"/>
      <c r="N265" s="220"/>
      <c r="O265" s="220"/>
      <c r="P265" s="220"/>
      <c r="Q265" s="220"/>
      <c r="R265" s="220"/>
      <c r="S265" s="220"/>
      <c r="T265" s="220"/>
      <c r="U265" s="220"/>
      <c r="V265" s="220"/>
      <c r="W265" s="220"/>
    </row>
    <row r="266" ht="15.75" customHeight="1" outlineLevel="1">
      <c r="A266" s="211"/>
      <c r="B266" s="212"/>
      <c r="C266" s="213"/>
      <c r="D266" s="214" t="str">
        <f>IFERROR(VLOOKUP($C266,'PORTIFÓLIO'!C:V,2,0),"")</f>
        <v/>
      </c>
      <c r="E266" s="211" t="str">
        <f>IFERROR(VLOOKUP($C266,'PORTIFÓLIO'!C:V,3,0),"")</f>
        <v/>
      </c>
      <c r="F266" s="211" t="str">
        <f>IFERROR(VLOOKUP($C266,'PORTIFÓLIO'!C:V,4,0),"")</f>
        <v/>
      </c>
      <c r="G266" s="215" t="str">
        <f>IFERROR(VLOOKUP($C266,'PORTIFÓLIO'!C:V,5,0),"")</f>
        <v/>
      </c>
      <c r="H266" s="254" t="str">
        <f t="array" ref="H266">IFERROR(INDEX('PORTIFÓLIO'!$H$4:$H$433,MATCH($C266,'PORTIFÓLIO'!$C$4:$C$433,0)),"")</f>
        <v/>
      </c>
      <c r="I266" s="256"/>
      <c r="J266" s="218">
        <f t="shared" si="29"/>
        <v>0</v>
      </c>
      <c r="K266" s="292" t="str">
        <f t="array" ref="K266">IFERROR(I266*INDEX('PORTIFÓLIO'!$S$4:$S$433,MATCH($C266,'PORTIFÓLIO'!$C$4:$C$433,0)),"")</f>
        <v/>
      </c>
      <c r="L266" s="292" t="str">
        <f t="array" ref="L266">IFERROR(J266*INDEX('PORTIFÓLIO'!$S$4:$S$433,MATCH($C266,'PORTIFÓLIO'!$C$4:$C$433,0)),"")</f>
        <v/>
      </c>
      <c r="M266" s="220"/>
      <c r="N266" s="220"/>
      <c r="O266" s="220"/>
      <c r="P266" s="220"/>
      <c r="Q266" s="220"/>
      <c r="R266" s="220"/>
      <c r="S266" s="220"/>
      <c r="T266" s="220"/>
      <c r="U266" s="220"/>
      <c r="V266" s="220"/>
      <c r="W266" s="220"/>
    </row>
    <row r="267" ht="15.75" customHeight="1" outlineLevel="1">
      <c r="A267" s="211"/>
      <c r="B267" s="212"/>
      <c r="C267" s="213"/>
      <c r="D267" s="214" t="str">
        <f>IFERROR(VLOOKUP($C267,'PORTIFÓLIO'!C:V,2,0),"")</f>
        <v/>
      </c>
      <c r="E267" s="211" t="str">
        <f>IFERROR(VLOOKUP($C267,'PORTIFÓLIO'!C:V,3,0),"")</f>
        <v/>
      </c>
      <c r="F267" s="211" t="str">
        <f>IFERROR(VLOOKUP($C267,'PORTIFÓLIO'!C:V,4,0),"")</f>
        <v/>
      </c>
      <c r="G267" s="215" t="str">
        <f>IFERROR(VLOOKUP($C267,'PORTIFÓLIO'!C:V,5,0),"")</f>
        <v/>
      </c>
      <c r="H267" s="254" t="str">
        <f t="array" ref="H267">IFERROR(INDEX('PORTIFÓLIO'!$H$4:$H$433,MATCH($C267,'PORTIFÓLIO'!$C$4:$C$433,0)),"")</f>
        <v/>
      </c>
      <c r="I267" s="256"/>
      <c r="J267" s="218">
        <f t="shared" si="29"/>
        <v>0</v>
      </c>
      <c r="K267" s="292" t="str">
        <f t="array" ref="K267">IFERROR(I267*INDEX('PORTIFÓLIO'!$S$4:$S$433,MATCH($C267,'PORTIFÓLIO'!$C$4:$C$433,0)),"")</f>
        <v/>
      </c>
      <c r="L267" s="292" t="str">
        <f t="array" ref="L267">IFERROR(J267*INDEX('PORTIFÓLIO'!$S$4:$S$433,MATCH($C267,'PORTIFÓLIO'!$C$4:$C$433,0)),"")</f>
        <v/>
      </c>
      <c r="M267" s="220"/>
      <c r="N267" s="220"/>
      <c r="O267" s="220"/>
      <c r="P267" s="220"/>
      <c r="Q267" s="220"/>
      <c r="R267" s="220"/>
      <c r="S267" s="220"/>
      <c r="T267" s="220"/>
      <c r="U267" s="220"/>
      <c r="V267" s="220"/>
      <c r="W267" s="220"/>
    </row>
    <row r="268" ht="15.75" customHeight="1" outlineLevel="1">
      <c r="A268" s="211"/>
      <c r="B268" s="212"/>
      <c r="C268" s="213"/>
      <c r="D268" s="214" t="str">
        <f>IFERROR(VLOOKUP($C268,'PORTIFÓLIO'!C:V,2,0),"")</f>
        <v/>
      </c>
      <c r="E268" s="211" t="str">
        <f>IFERROR(VLOOKUP($C268,'PORTIFÓLIO'!C:V,3,0),"")</f>
        <v/>
      </c>
      <c r="F268" s="211" t="str">
        <f>IFERROR(VLOOKUP($C268,'PORTIFÓLIO'!C:V,4,0),"")</f>
        <v/>
      </c>
      <c r="G268" s="215" t="str">
        <f>IFERROR(VLOOKUP($C268,'PORTIFÓLIO'!C:V,5,0),"")</f>
        <v/>
      </c>
      <c r="H268" s="254" t="str">
        <f t="array" ref="H268">IFERROR(INDEX('PORTIFÓLIO'!$H$4:$H$433,MATCH($C268,'PORTIFÓLIO'!$C$4:$C$433,0)),"")</f>
        <v/>
      </c>
      <c r="I268" s="256"/>
      <c r="J268" s="218">
        <f t="shared" si="29"/>
        <v>0</v>
      </c>
      <c r="K268" s="292" t="str">
        <f t="array" ref="K268">IFERROR(I268*INDEX('PORTIFÓLIO'!$S$4:$S$433,MATCH($C268,'PORTIFÓLIO'!$C$4:$C$433,0)),"")</f>
        <v/>
      </c>
      <c r="L268" s="292" t="str">
        <f t="array" ref="L268">IFERROR(J268*INDEX('PORTIFÓLIO'!$S$4:$S$433,MATCH($C268,'PORTIFÓLIO'!$C$4:$C$433,0)),"")</f>
        <v/>
      </c>
      <c r="M268" s="220"/>
      <c r="N268" s="220"/>
      <c r="O268" s="220"/>
      <c r="P268" s="220"/>
      <c r="Q268" s="220"/>
      <c r="R268" s="220"/>
      <c r="S268" s="220"/>
      <c r="T268" s="220"/>
      <c r="U268" s="220"/>
      <c r="V268" s="220"/>
      <c r="W268" s="220"/>
    </row>
    <row r="269" ht="15.75" customHeight="1" outlineLevel="1">
      <c r="A269" s="211"/>
      <c r="B269" s="212"/>
      <c r="C269" s="213"/>
      <c r="D269" s="214" t="str">
        <f>IFERROR(VLOOKUP($C269,'PORTIFÓLIO'!C:V,2,0),"")</f>
        <v/>
      </c>
      <c r="E269" s="211" t="str">
        <f>IFERROR(VLOOKUP($C269,'PORTIFÓLIO'!C:V,3,0),"")</f>
        <v/>
      </c>
      <c r="F269" s="211" t="str">
        <f>IFERROR(VLOOKUP($C269,'PORTIFÓLIO'!C:V,4,0),"")</f>
        <v/>
      </c>
      <c r="G269" s="215" t="str">
        <f>IFERROR(VLOOKUP($C269,'PORTIFÓLIO'!C:V,5,0),"")</f>
        <v/>
      </c>
      <c r="H269" s="254" t="str">
        <f t="array" ref="H269">IFERROR(INDEX('PORTIFÓLIO'!$H$4:$H$433,MATCH($C269,'PORTIFÓLIO'!$C$4:$C$433,0)),"")</f>
        <v/>
      </c>
      <c r="I269" s="256"/>
      <c r="J269" s="218">
        <f t="shared" si="29"/>
        <v>0</v>
      </c>
      <c r="K269" s="292" t="str">
        <f t="array" ref="K269">IFERROR(I269*INDEX('PORTIFÓLIO'!$S$4:$S$433,MATCH($C269,'PORTIFÓLIO'!$C$4:$C$433,0)),"")</f>
        <v/>
      </c>
      <c r="L269" s="292" t="str">
        <f t="array" ref="L269">IFERROR(J269*INDEX('PORTIFÓLIO'!$S$4:$S$433,MATCH($C269,'PORTIFÓLIO'!$C$4:$C$433,0)),"")</f>
        <v/>
      </c>
      <c r="M269" s="220"/>
      <c r="N269" s="220"/>
      <c r="O269" s="220"/>
      <c r="P269" s="220"/>
      <c r="Q269" s="220"/>
      <c r="R269" s="220"/>
      <c r="S269" s="220"/>
      <c r="T269" s="220"/>
      <c r="U269" s="220"/>
      <c r="V269" s="220"/>
      <c r="W269" s="220"/>
    </row>
    <row r="270" ht="15.75" customHeight="1" outlineLevel="1">
      <c r="A270" s="211"/>
      <c r="B270" s="212"/>
      <c r="C270" s="213"/>
      <c r="D270" s="214" t="str">
        <f>IFERROR(VLOOKUP($C270,'PORTIFÓLIO'!C:V,2,0),"")</f>
        <v/>
      </c>
      <c r="E270" s="211" t="str">
        <f>IFERROR(VLOOKUP($C270,'PORTIFÓLIO'!C:V,3,0),"")</f>
        <v/>
      </c>
      <c r="F270" s="211" t="str">
        <f>IFERROR(VLOOKUP($C270,'PORTIFÓLIO'!C:V,4,0),"")</f>
        <v/>
      </c>
      <c r="G270" s="215" t="str">
        <f>IFERROR(VLOOKUP($C270,'PORTIFÓLIO'!C:V,5,0),"")</f>
        <v/>
      </c>
      <c r="H270" s="254" t="str">
        <f t="array" ref="H270">IFERROR(INDEX('PORTIFÓLIO'!$H$4:$H$433,MATCH($C270,'PORTIFÓLIO'!$C$4:$C$433,0)),"")</f>
        <v/>
      </c>
      <c r="I270" s="256"/>
      <c r="J270" s="218">
        <f t="shared" si="29"/>
        <v>0</v>
      </c>
      <c r="K270" s="292" t="str">
        <f t="array" ref="K270">IFERROR(I270*INDEX('PORTIFÓLIO'!$S$4:$S$433,MATCH($C270,'PORTIFÓLIO'!$C$4:$C$433,0)),"")</f>
        <v/>
      </c>
      <c r="L270" s="292" t="str">
        <f t="array" ref="L270">IFERROR(J270*INDEX('PORTIFÓLIO'!$S$4:$S$433,MATCH($C270,'PORTIFÓLIO'!$C$4:$C$433,0)),"")</f>
        <v/>
      </c>
      <c r="M270" s="220"/>
      <c r="N270" s="220"/>
      <c r="O270" s="220"/>
      <c r="P270" s="220"/>
      <c r="Q270" s="220"/>
      <c r="R270" s="220"/>
      <c r="S270" s="220"/>
      <c r="T270" s="220"/>
      <c r="U270" s="220"/>
      <c r="V270" s="220"/>
      <c r="W270" s="220"/>
    </row>
    <row r="271" ht="15.75" customHeight="1">
      <c r="A271" s="229" t="s">
        <v>1185</v>
      </c>
      <c r="B271" s="230"/>
      <c r="C271" s="231"/>
      <c r="D271" s="232"/>
      <c r="E271" s="231"/>
      <c r="F271" s="231"/>
      <c r="G271" s="233"/>
      <c r="H271" s="233"/>
      <c r="I271" s="258"/>
      <c r="J271" s="236"/>
      <c r="K271" s="237">
        <f t="shared" ref="K271:L271" si="30">SUBTOTAL(9,K272:K285)</f>
        <v>0</v>
      </c>
      <c r="L271" s="237">
        <f t="shared" si="30"/>
        <v>0</v>
      </c>
      <c r="M271" s="220"/>
      <c r="N271" s="220"/>
      <c r="O271" s="220"/>
      <c r="P271" s="220"/>
      <c r="Q271" s="220"/>
      <c r="R271" s="220"/>
      <c r="S271" s="220"/>
      <c r="T271" s="220"/>
      <c r="U271" s="220"/>
      <c r="V271" s="220"/>
      <c r="W271" s="220"/>
    </row>
    <row r="272" ht="15.75" customHeight="1" outlineLevel="1">
      <c r="A272" s="213"/>
      <c r="B272" s="212"/>
      <c r="C272" s="213"/>
      <c r="D272" s="214" t="str">
        <f>IFERROR(VLOOKUP($C272,'PORTIFÓLIO'!C:V,2,0),"")</f>
        <v/>
      </c>
      <c r="E272" s="211" t="str">
        <f>IFERROR(VLOOKUP($C272,'PORTIFÓLIO'!C:V,3,0),"")</f>
        <v/>
      </c>
      <c r="F272" s="211" t="str">
        <f>IFERROR(VLOOKUP($C272,'PORTIFÓLIO'!C:V,4,0),"")</f>
        <v/>
      </c>
      <c r="G272" s="215" t="str">
        <f>IFERROR(VLOOKUP($C272,'PORTIFÓLIO'!C:V,5,0),"")</f>
        <v/>
      </c>
      <c r="H272" s="254" t="str">
        <f t="array" ref="H272">IFERROR(INDEX('PORTIFÓLIO'!$H$4:$H$433,MATCH($C272,'PORTIFÓLIO'!$C$4:$C$433,0)),"")</f>
        <v/>
      </c>
      <c r="I272" s="255"/>
      <c r="J272" s="218">
        <f t="shared" ref="J272:J289" si="31">I272*$B$2</f>
        <v>0</v>
      </c>
      <c r="K272" s="292" t="str">
        <f t="array" ref="K272">IFERROR(I272*INDEX('PORTIFÓLIO'!$S$4:$S$433,MATCH($C272,'PORTIFÓLIO'!$C$4:$C$433,0)),"")</f>
        <v/>
      </c>
      <c r="L272" s="292" t="str">
        <f t="array" ref="L272">IFERROR(J272*INDEX('PORTIFÓLIO'!$S$4:$S$433,MATCH($C272,'PORTIFÓLIO'!$C$4:$C$433,0)),"")</f>
        <v/>
      </c>
      <c r="M272" s="220"/>
      <c r="N272" s="220"/>
      <c r="O272" s="220"/>
      <c r="P272" s="220"/>
      <c r="Q272" s="220"/>
      <c r="R272" s="220"/>
      <c r="S272" s="220"/>
      <c r="T272" s="220"/>
      <c r="U272" s="220"/>
      <c r="V272" s="220"/>
      <c r="W272" s="220"/>
    </row>
    <row r="273" ht="15.75" customHeight="1" outlineLevel="1">
      <c r="A273" s="211"/>
      <c r="B273" s="212"/>
      <c r="C273" s="213"/>
      <c r="D273" s="214" t="str">
        <f>IFERROR(VLOOKUP($C273,'PORTIFÓLIO'!C:V,2,0),"")</f>
        <v/>
      </c>
      <c r="E273" s="211" t="str">
        <f>IFERROR(VLOOKUP($C273,'PORTIFÓLIO'!C:V,3,0),"")</f>
        <v/>
      </c>
      <c r="F273" s="211" t="str">
        <f>IFERROR(VLOOKUP($C273,'PORTIFÓLIO'!C:V,4,0),"")</f>
        <v/>
      </c>
      <c r="G273" s="215" t="str">
        <f>IFERROR(VLOOKUP($C273,'PORTIFÓLIO'!C:V,5,0),"")</f>
        <v/>
      </c>
      <c r="H273" s="254" t="str">
        <f t="array" ref="H273">IFERROR(INDEX('PORTIFÓLIO'!$H$4:$H$433,MATCH($C273,'PORTIFÓLIO'!$C$4:$C$433,0)),"")</f>
        <v/>
      </c>
      <c r="I273" s="256"/>
      <c r="J273" s="218">
        <f t="shared" si="31"/>
        <v>0</v>
      </c>
      <c r="K273" s="292" t="str">
        <f t="array" ref="K273">IFERROR(I273*INDEX('PORTIFÓLIO'!$S$4:$S$433,MATCH($C273,'PORTIFÓLIO'!$C$4:$C$433,0)),"")</f>
        <v/>
      </c>
      <c r="L273" s="292" t="str">
        <f t="array" ref="L273">IFERROR(J273*INDEX('PORTIFÓLIO'!$S$4:$S$433,MATCH($C273,'PORTIFÓLIO'!$C$4:$C$433,0)),"")</f>
        <v/>
      </c>
      <c r="M273" s="220"/>
      <c r="N273" s="220"/>
      <c r="O273" s="220"/>
      <c r="P273" s="220"/>
      <c r="Q273" s="220"/>
      <c r="R273" s="220"/>
      <c r="S273" s="220"/>
      <c r="T273" s="220"/>
      <c r="U273" s="220"/>
      <c r="V273" s="220"/>
      <c r="W273" s="220"/>
    </row>
    <row r="274" ht="15.75" customHeight="1" outlineLevel="1">
      <c r="A274" s="211"/>
      <c r="B274" s="212"/>
      <c r="C274" s="213"/>
      <c r="D274" s="214" t="str">
        <f>IFERROR(VLOOKUP($C274,'PORTIFÓLIO'!C:V,2,0),"")</f>
        <v/>
      </c>
      <c r="E274" s="211" t="str">
        <f>IFERROR(VLOOKUP($C274,'PORTIFÓLIO'!C:V,3,0),"")</f>
        <v/>
      </c>
      <c r="F274" s="211" t="str">
        <f>IFERROR(VLOOKUP($C274,'PORTIFÓLIO'!C:V,4,0),"")</f>
        <v/>
      </c>
      <c r="G274" s="215" t="str">
        <f>IFERROR(VLOOKUP($C274,'PORTIFÓLIO'!C:V,5,0),"")</f>
        <v/>
      </c>
      <c r="H274" s="254" t="str">
        <f t="array" ref="H274">IFERROR(INDEX('PORTIFÓLIO'!$H$4:$H$433,MATCH($C274,'PORTIFÓLIO'!$C$4:$C$433,0)),"")</f>
        <v/>
      </c>
      <c r="I274" s="256"/>
      <c r="J274" s="218">
        <f t="shared" si="31"/>
        <v>0</v>
      </c>
      <c r="K274" s="292" t="str">
        <f t="array" ref="K274">IFERROR(I274*INDEX('PORTIFÓLIO'!$S$4:$S$433,MATCH($C274,'PORTIFÓLIO'!$C$4:$C$433,0)),"")</f>
        <v/>
      </c>
      <c r="L274" s="292" t="str">
        <f t="array" ref="L274">IFERROR(J274*INDEX('PORTIFÓLIO'!$S$4:$S$433,MATCH($C274,'PORTIFÓLIO'!$C$4:$C$433,0)),"")</f>
        <v/>
      </c>
      <c r="M274" s="220"/>
      <c r="N274" s="220"/>
      <c r="O274" s="220"/>
      <c r="P274" s="220"/>
      <c r="Q274" s="220"/>
      <c r="R274" s="220"/>
      <c r="S274" s="220"/>
      <c r="T274" s="220"/>
      <c r="U274" s="220"/>
      <c r="V274" s="220"/>
      <c r="W274" s="220"/>
    </row>
    <row r="275" ht="15.75" customHeight="1" outlineLevel="1">
      <c r="A275" s="211"/>
      <c r="B275" s="212"/>
      <c r="C275" s="213"/>
      <c r="D275" s="214" t="str">
        <f>IFERROR(VLOOKUP($C275,'PORTIFÓLIO'!C:V,2,0),"")</f>
        <v/>
      </c>
      <c r="E275" s="211" t="str">
        <f>IFERROR(VLOOKUP($C275,'PORTIFÓLIO'!C:V,3,0),"")</f>
        <v/>
      </c>
      <c r="F275" s="211" t="str">
        <f>IFERROR(VLOOKUP($C275,'PORTIFÓLIO'!C:V,4,0),"")</f>
        <v/>
      </c>
      <c r="G275" s="215" t="str">
        <f>IFERROR(VLOOKUP($C275,'PORTIFÓLIO'!C:V,5,0),"")</f>
        <v/>
      </c>
      <c r="H275" s="254" t="str">
        <f t="array" ref="H275">IFERROR(INDEX('PORTIFÓLIO'!$H$4:$H$433,MATCH($C275,'PORTIFÓLIO'!$C$4:$C$433,0)),"")</f>
        <v/>
      </c>
      <c r="I275" s="256"/>
      <c r="J275" s="218">
        <f t="shared" si="31"/>
        <v>0</v>
      </c>
      <c r="K275" s="292" t="str">
        <f t="array" ref="K275">IFERROR(I275*INDEX('PORTIFÓLIO'!$S$4:$S$433,MATCH($C275,'PORTIFÓLIO'!$C$4:$C$433,0)),"")</f>
        <v/>
      </c>
      <c r="L275" s="292" t="str">
        <f t="array" ref="L275">IFERROR(J275*INDEX('PORTIFÓLIO'!$S$4:$S$433,MATCH($C275,'PORTIFÓLIO'!$C$4:$C$433,0)),"")</f>
        <v/>
      </c>
      <c r="M275" s="220"/>
      <c r="N275" s="220"/>
      <c r="O275" s="220"/>
      <c r="P275" s="220"/>
      <c r="Q275" s="220"/>
      <c r="R275" s="220"/>
      <c r="S275" s="220"/>
      <c r="T275" s="220"/>
      <c r="U275" s="220"/>
      <c r="V275" s="220"/>
      <c r="W275" s="220"/>
    </row>
    <row r="276" ht="15.75" customHeight="1" outlineLevel="1">
      <c r="A276" s="211"/>
      <c r="B276" s="212"/>
      <c r="C276" s="213"/>
      <c r="D276" s="214" t="str">
        <f>IFERROR(VLOOKUP($C276,'PORTIFÓLIO'!C:V,2,0),"")</f>
        <v/>
      </c>
      <c r="E276" s="211" t="str">
        <f>IFERROR(VLOOKUP($C276,'PORTIFÓLIO'!C:V,3,0),"")</f>
        <v/>
      </c>
      <c r="F276" s="211" t="str">
        <f>IFERROR(VLOOKUP($C276,'PORTIFÓLIO'!C:V,4,0),"")</f>
        <v/>
      </c>
      <c r="G276" s="215" t="str">
        <f>IFERROR(VLOOKUP($C276,'PORTIFÓLIO'!C:V,5,0),"")</f>
        <v/>
      </c>
      <c r="H276" s="254" t="str">
        <f t="array" ref="H276">IFERROR(INDEX('PORTIFÓLIO'!$H$4:$H$433,MATCH($C276,'PORTIFÓLIO'!$C$4:$C$433,0)),"")</f>
        <v/>
      </c>
      <c r="I276" s="256"/>
      <c r="J276" s="218">
        <f t="shared" si="31"/>
        <v>0</v>
      </c>
      <c r="K276" s="292" t="str">
        <f t="array" ref="K276">IFERROR(I276*INDEX('PORTIFÓLIO'!$S$4:$S$433,MATCH($C276,'PORTIFÓLIO'!$C$4:$C$433,0)),"")</f>
        <v/>
      </c>
      <c r="L276" s="292" t="str">
        <f t="array" ref="L276">IFERROR(J276*INDEX('PORTIFÓLIO'!$S$4:$S$433,MATCH($C276,'PORTIFÓLIO'!$C$4:$C$433,0)),"")</f>
        <v/>
      </c>
      <c r="M276" s="220"/>
      <c r="N276" s="220"/>
      <c r="O276" s="220"/>
      <c r="P276" s="220"/>
      <c r="Q276" s="220"/>
      <c r="R276" s="220"/>
      <c r="S276" s="220"/>
      <c r="T276" s="220"/>
      <c r="U276" s="220"/>
      <c r="V276" s="220"/>
      <c r="W276" s="220"/>
    </row>
    <row r="277" ht="15.75" customHeight="1" outlineLevel="1">
      <c r="A277" s="211"/>
      <c r="B277" s="212"/>
      <c r="C277" s="213"/>
      <c r="D277" s="214" t="str">
        <f>IFERROR(VLOOKUP($C277,'PORTIFÓLIO'!C:V,2,0),"")</f>
        <v/>
      </c>
      <c r="E277" s="211" t="str">
        <f>IFERROR(VLOOKUP($C277,'PORTIFÓLIO'!C:V,3,0),"")</f>
        <v/>
      </c>
      <c r="F277" s="211" t="str">
        <f>IFERROR(VLOOKUP($C277,'PORTIFÓLIO'!C:V,4,0),"")</f>
        <v/>
      </c>
      <c r="G277" s="215" t="str">
        <f>IFERROR(VLOOKUP($C277,'PORTIFÓLIO'!C:V,5,0),"")</f>
        <v/>
      </c>
      <c r="H277" s="254" t="str">
        <f t="array" ref="H277">IFERROR(INDEX('PORTIFÓLIO'!$H$4:$H$433,MATCH($C277,'PORTIFÓLIO'!$C$4:$C$433,0)),"")</f>
        <v/>
      </c>
      <c r="I277" s="256"/>
      <c r="J277" s="218">
        <f t="shared" si="31"/>
        <v>0</v>
      </c>
      <c r="K277" s="292" t="str">
        <f t="array" ref="K277">IFERROR(I277*INDEX('PORTIFÓLIO'!$S$4:$S$433,MATCH($C277,'PORTIFÓLIO'!$C$4:$C$433,0)),"")</f>
        <v/>
      </c>
      <c r="L277" s="292" t="str">
        <f t="array" ref="L277">IFERROR(J277*INDEX('PORTIFÓLIO'!$S$4:$S$433,MATCH($C277,'PORTIFÓLIO'!$C$4:$C$433,0)),"")</f>
        <v/>
      </c>
      <c r="M277" s="220"/>
      <c r="N277" s="220"/>
      <c r="O277" s="220"/>
      <c r="P277" s="220"/>
      <c r="Q277" s="220"/>
      <c r="R277" s="220"/>
      <c r="S277" s="220"/>
      <c r="T277" s="220"/>
      <c r="U277" s="220"/>
      <c r="V277" s="220"/>
      <c r="W277" s="220"/>
    </row>
    <row r="278" ht="15.75" customHeight="1" outlineLevel="1">
      <c r="A278" s="211"/>
      <c r="B278" s="212"/>
      <c r="C278" s="213"/>
      <c r="D278" s="214" t="str">
        <f>IFERROR(VLOOKUP($C278,'PORTIFÓLIO'!C:V,2,0),"")</f>
        <v/>
      </c>
      <c r="E278" s="211" t="str">
        <f>IFERROR(VLOOKUP($C278,'PORTIFÓLIO'!C:V,3,0),"")</f>
        <v/>
      </c>
      <c r="F278" s="211" t="str">
        <f>IFERROR(VLOOKUP($C278,'PORTIFÓLIO'!C:V,4,0),"")</f>
        <v/>
      </c>
      <c r="G278" s="215" t="str">
        <f>IFERROR(VLOOKUP($C278,'PORTIFÓLIO'!C:V,5,0),"")</f>
        <v/>
      </c>
      <c r="H278" s="254" t="str">
        <f t="array" ref="H278">IFERROR(INDEX('PORTIFÓLIO'!$H$4:$H$433,MATCH($C278,'PORTIFÓLIO'!$C$4:$C$433,0)),"")</f>
        <v/>
      </c>
      <c r="I278" s="256"/>
      <c r="J278" s="218">
        <f t="shared" si="31"/>
        <v>0</v>
      </c>
      <c r="K278" s="292" t="str">
        <f t="array" ref="K278">IFERROR(I278*INDEX('PORTIFÓLIO'!$S$4:$S$433,MATCH($C278,'PORTIFÓLIO'!$C$4:$C$433,0)),"")</f>
        <v/>
      </c>
      <c r="L278" s="292" t="str">
        <f t="array" ref="L278">IFERROR(J278*INDEX('PORTIFÓLIO'!$S$4:$S$433,MATCH($C278,'PORTIFÓLIO'!$C$4:$C$433,0)),"")</f>
        <v/>
      </c>
      <c r="M278" s="220"/>
      <c r="N278" s="220"/>
      <c r="O278" s="220"/>
      <c r="P278" s="220"/>
      <c r="Q278" s="220"/>
      <c r="R278" s="220"/>
      <c r="S278" s="220"/>
      <c r="T278" s="220"/>
      <c r="U278" s="220"/>
      <c r="V278" s="220"/>
      <c r="W278" s="220"/>
    </row>
    <row r="279" ht="15.75" customHeight="1" outlineLevel="1">
      <c r="A279" s="211"/>
      <c r="B279" s="212"/>
      <c r="C279" s="213"/>
      <c r="D279" s="214" t="str">
        <f>IFERROR(VLOOKUP($C279,'PORTIFÓLIO'!C:V,2,0),"")</f>
        <v/>
      </c>
      <c r="E279" s="211" t="str">
        <f>IFERROR(VLOOKUP($C279,'PORTIFÓLIO'!C:V,3,0),"")</f>
        <v/>
      </c>
      <c r="F279" s="211" t="str">
        <f>IFERROR(VLOOKUP($C279,'PORTIFÓLIO'!C:V,4,0),"")</f>
        <v/>
      </c>
      <c r="G279" s="215" t="str">
        <f>IFERROR(VLOOKUP($C279,'PORTIFÓLIO'!C:V,5,0),"")</f>
        <v/>
      </c>
      <c r="H279" s="254" t="str">
        <f t="array" ref="H279">IFERROR(INDEX('PORTIFÓLIO'!$H$4:$H$433,MATCH($C279,'PORTIFÓLIO'!$C$4:$C$433,0)),"")</f>
        <v/>
      </c>
      <c r="I279" s="256"/>
      <c r="J279" s="218">
        <f t="shared" si="31"/>
        <v>0</v>
      </c>
      <c r="K279" s="292" t="str">
        <f t="array" ref="K279">IFERROR(I279*INDEX('PORTIFÓLIO'!$S$4:$S$433,MATCH($C279,'PORTIFÓLIO'!$C$4:$C$433,0)),"")</f>
        <v/>
      </c>
      <c r="L279" s="292" t="str">
        <f t="array" ref="L279">IFERROR(J279*INDEX('PORTIFÓLIO'!$S$4:$S$433,MATCH($C279,'PORTIFÓLIO'!$C$4:$C$433,0)),"")</f>
        <v/>
      </c>
      <c r="M279" s="220"/>
      <c r="N279" s="220"/>
      <c r="O279" s="220"/>
      <c r="P279" s="220"/>
      <c r="Q279" s="220"/>
      <c r="R279" s="220"/>
      <c r="S279" s="220"/>
      <c r="T279" s="220"/>
      <c r="U279" s="220"/>
      <c r="V279" s="220"/>
      <c r="W279" s="220"/>
    </row>
    <row r="280" ht="15.75" customHeight="1" outlineLevel="1">
      <c r="A280" s="211"/>
      <c r="B280" s="212"/>
      <c r="C280" s="213"/>
      <c r="D280" s="214" t="str">
        <f>IFERROR(VLOOKUP($C280,'PORTIFÓLIO'!C:V,2,0),"")</f>
        <v/>
      </c>
      <c r="E280" s="211" t="str">
        <f>IFERROR(VLOOKUP($C280,'PORTIFÓLIO'!C:V,3,0),"")</f>
        <v/>
      </c>
      <c r="F280" s="211" t="str">
        <f>IFERROR(VLOOKUP($C280,'PORTIFÓLIO'!C:V,4,0),"")</f>
        <v/>
      </c>
      <c r="G280" s="215" t="str">
        <f>IFERROR(VLOOKUP($C280,'PORTIFÓLIO'!C:V,5,0),"")</f>
        <v/>
      </c>
      <c r="H280" s="254" t="str">
        <f t="array" ref="H280">IFERROR(INDEX('PORTIFÓLIO'!$H$4:$H$433,MATCH($C280,'PORTIFÓLIO'!$C$4:$C$433,0)),"")</f>
        <v/>
      </c>
      <c r="I280" s="255"/>
      <c r="J280" s="218">
        <f t="shared" si="31"/>
        <v>0</v>
      </c>
      <c r="K280" s="292" t="str">
        <f t="array" ref="K280">IFERROR(I280*INDEX('PORTIFÓLIO'!$S$4:$S$433,MATCH($C280,'PORTIFÓLIO'!$C$4:$C$433,0)),"")</f>
        <v/>
      </c>
      <c r="L280" s="292" t="str">
        <f t="array" ref="L280">IFERROR(J280*INDEX('PORTIFÓLIO'!$S$4:$S$433,MATCH($C280,'PORTIFÓLIO'!$C$4:$C$433,0)),"")</f>
        <v/>
      </c>
      <c r="M280" s="220"/>
      <c r="N280" s="220"/>
      <c r="O280" s="220"/>
      <c r="P280" s="220"/>
      <c r="Q280" s="220"/>
      <c r="R280" s="220"/>
      <c r="S280" s="220"/>
      <c r="T280" s="220"/>
      <c r="U280" s="220"/>
      <c r="V280" s="220"/>
      <c r="W280" s="220"/>
    </row>
    <row r="281" ht="15.75" customHeight="1" outlineLevel="1">
      <c r="A281" s="211"/>
      <c r="B281" s="212"/>
      <c r="C281" s="213"/>
      <c r="D281" s="214" t="str">
        <f>IFERROR(VLOOKUP($C281,'PORTIFÓLIO'!C:V,2,0),"")</f>
        <v/>
      </c>
      <c r="E281" s="211" t="str">
        <f>IFERROR(VLOOKUP($C281,'PORTIFÓLIO'!C:V,3,0),"")</f>
        <v/>
      </c>
      <c r="F281" s="211" t="str">
        <f>IFERROR(VLOOKUP($C281,'PORTIFÓLIO'!C:V,4,0),"")</f>
        <v/>
      </c>
      <c r="G281" s="215" t="str">
        <f>IFERROR(VLOOKUP($C281,'PORTIFÓLIO'!C:V,5,0),"")</f>
        <v/>
      </c>
      <c r="H281" s="254" t="str">
        <f t="array" ref="H281">IFERROR(INDEX('PORTIFÓLIO'!$H$4:$H$433,MATCH($C281,'PORTIFÓLIO'!$C$4:$C$433,0)),"")</f>
        <v/>
      </c>
      <c r="I281" s="256"/>
      <c r="J281" s="218">
        <f t="shared" si="31"/>
        <v>0</v>
      </c>
      <c r="K281" s="292" t="str">
        <f t="array" ref="K281">IFERROR(I281*INDEX('PORTIFÓLIO'!$S$4:$S$433,MATCH($C281,'PORTIFÓLIO'!$C$4:$C$433,0)),"")</f>
        <v/>
      </c>
      <c r="L281" s="292" t="str">
        <f t="array" ref="L281">IFERROR(J281*INDEX('PORTIFÓLIO'!$S$4:$S$433,MATCH($C281,'PORTIFÓLIO'!$C$4:$C$433,0)),"")</f>
        <v/>
      </c>
      <c r="M281" s="220"/>
      <c r="N281" s="220"/>
      <c r="O281" s="220"/>
      <c r="P281" s="220"/>
      <c r="Q281" s="220"/>
      <c r="R281" s="220"/>
      <c r="S281" s="220"/>
      <c r="T281" s="220"/>
      <c r="U281" s="220"/>
      <c r="V281" s="220"/>
      <c r="W281" s="220"/>
    </row>
    <row r="282" ht="15.75" customHeight="1" outlineLevel="1">
      <c r="A282" s="211"/>
      <c r="B282" s="212"/>
      <c r="C282" s="213"/>
      <c r="D282" s="214" t="str">
        <f>IFERROR(VLOOKUP($C282,'PORTIFÓLIO'!C:V,2,0),"")</f>
        <v/>
      </c>
      <c r="E282" s="211" t="str">
        <f>IFERROR(VLOOKUP($C282,'PORTIFÓLIO'!C:V,3,0),"")</f>
        <v/>
      </c>
      <c r="F282" s="211" t="str">
        <f>IFERROR(VLOOKUP($C282,'PORTIFÓLIO'!C:V,4,0),"")</f>
        <v/>
      </c>
      <c r="G282" s="215" t="str">
        <f>IFERROR(VLOOKUP($C282,'PORTIFÓLIO'!C:V,5,0),"")</f>
        <v/>
      </c>
      <c r="H282" s="254" t="str">
        <f t="array" ref="H282">IFERROR(INDEX('PORTIFÓLIO'!$H$4:$H$433,MATCH($C282,'PORTIFÓLIO'!$C$4:$C$433,0)),"")</f>
        <v/>
      </c>
      <c r="I282" s="256"/>
      <c r="J282" s="218">
        <f t="shared" si="31"/>
        <v>0</v>
      </c>
      <c r="K282" s="292" t="str">
        <f t="array" ref="K282">IFERROR(I282*INDEX('PORTIFÓLIO'!$S$4:$S$433,MATCH($C282,'PORTIFÓLIO'!$C$4:$C$433,0)),"")</f>
        <v/>
      </c>
      <c r="L282" s="292" t="str">
        <f t="array" ref="L282">IFERROR(J282*INDEX('PORTIFÓLIO'!$S$4:$S$433,MATCH($C282,'PORTIFÓLIO'!$C$4:$C$433,0)),"")</f>
        <v/>
      </c>
      <c r="M282" s="220"/>
      <c r="N282" s="220"/>
      <c r="O282" s="220"/>
      <c r="P282" s="220"/>
      <c r="Q282" s="220"/>
      <c r="R282" s="220"/>
      <c r="S282" s="220"/>
      <c r="T282" s="220"/>
      <c r="U282" s="220"/>
      <c r="V282" s="220"/>
      <c r="W282" s="220"/>
    </row>
    <row r="283" ht="15.75" customHeight="1" outlineLevel="1">
      <c r="A283" s="211"/>
      <c r="B283" s="212"/>
      <c r="C283" s="213"/>
      <c r="D283" s="214" t="str">
        <f>IFERROR(VLOOKUP($C283,'PORTIFÓLIO'!C:V,2,0),"")</f>
        <v/>
      </c>
      <c r="E283" s="211" t="str">
        <f>IFERROR(VLOOKUP($C283,'PORTIFÓLIO'!C:V,3,0),"")</f>
        <v/>
      </c>
      <c r="F283" s="211" t="str">
        <f>IFERROR(VLOOKUP($C283,'PORTIFÓLIO'!C:V,4,0),"")</f>
        <v/>
      </c>
      <c r="G283" s="215" t="str">
        <f>IFERROR(VLOOKUP($C283,'PORTIFÓLIO'!C:V,5,0),"")</f>
        <v/>
      </c>
      <c r="H283" s="254" t="str">
        <f t="array" ref="H283">IFERROR(INDEX('PORTIFÓLIO'!$H$4:$H$433,MATCH($C283,'PORTIFÓLIO'!$C$4:$C$433,0)),"")</f>
        <v/>
      </c>
      <c r="I283" s="256"/>
      <c r="J283" s="218">
        <f t="shared" si="31"/>
        <v>0</v>
      </c>
      <c r="K283" s="292" t="str">
        <f t="array" ref="K283">IFERROR(I283*INDEX('PORTIFÓLIO'!$S$4:$S$433,MATCH($C283,'PORTIFÓLIO'!$C$4:$C$433,0)),"")</f>
        <v/>
      </c>
      <c r="L283" s="292" t="str">
        <f t="array" ref="L283">IFERROR(J283*INDEX('PORTIFÓLIO'!$S$4:$S$433,MATCH($C283,'PORTIFÓLIO'!$C$4:$C$433,0)),"")</f>
        <v/>
      </c>
      <c r="M283" s="220"/>
      <c r="N283" s="220"/>
      <c r="O283" s="220"/>
      <c r="P283" s="220"/>
      <c r="Q283" s="220"/>
      <c r="R283" s="220"/>
      <c r="S283" s="220"/>
      <c r="T283" s="220"/>
      <c r="U283" s="220"/>
      <c r="V283" s="220"/>
      <c r="W283" s="220"/>
    </row>
    <row r="284" ht="15.75" customHeight="1" outlineLevel="1">
      <c r="A284" s="211"/>
      <c r="B284" s="212"/>
      <c r="C284" s="213"/>
      <c r="D284" s="214" t="str">
        <f>IFERROR(VLOOKUP($C284,'PORTIFÓLIO'!C:V,2,0),"")</f>
        <v/>
      </c>
      <c r="E284" s="211" t="str">
        <f>IFERROR(VLOOKUP($C284,'PORTIFÓLIO'!C:V,3,0),"")</f>
        <v/>
      </c>
      <c r="F284" s="211" t="str">
        <f>IFERROR(VLOOKUP($C284,'PORTIFÓLIO'!C:V,4,0),"")</f>
        <v/>
      </c>
      <c r="G284" s="215" t="str">
        <f>IFERROR(VLOOKUP($C284,'PORTIFÓLIO'!C:V,5,0),"")</f>
        <v/>
      </c>
      <c r="H284" s="254" t="str">
        <f t="array" ref="H284">IFERROR(INDEX('PORTIFÓLIO'!$H$4:$H$433,MATCH($C284,'PORTIFÓLIO'!$C$4:$C$433,0)),"")</f>
        <v/>
      </c>
      <c r="I284" s="256"/>
      <c r="J284" s="218">
        <f t="shared" si="31"/>
        <v>0</v>
      </c>
      <c r="K284" s="292" t="str">
        <f t="array" ref="K284">IFERROR(I284*INDEX('PORTIFÓLIO'!$S$4:$S$433,MATCH($C284,'PORTIFÓLIO'!$C$4:$C$433,0)),"")</f>
        <v/>
      </c>
      <c r="L284" s="292" t="str">
        <f t="array" ref="L284">IFERROR(J284*INDEX('PORTIFÓLIO'!$S$4:$S$433,MATCH($C284,'PORTIFÓLIO'!$C$4:$C$433,0)),"")</f>
        <v/>
      </c>
      <c r="M284" s="220"/>
      <c r="N284" s="220"/>
      <c r="O284" s="220"/>
      <c r="P284" s="220"/>
      <c r="Q284" s="220"/>
      <c r="R284" s="220"/>
      <c r="S284" s="220"/>
      <c r="T284" s="220"/>
      <c r="U284" s="220"/>
      <c r="V284" s="220"/>
      <c r="W284" s="220"/>
    </row>
    <row r="285" ht="15.75" customHeight="1" outlineLevel="1">
      <c r="A285" s="211"/>
      <c r="B285" s="212"/>
      <c r="C285" s="213"/>
      <c r="D285" s="214" t="str">
        <f>IFERROR(VLOOKUP($C285,'PORTIFÓLIO'!C:V,2,0),"")</f>
        <v/>
      </c>
      <c r="E285" s="211" t="str">
        <f>IFERROR(VLOOKUP($C285,'PORTIFÓLIO'!C:V,3,0),"")</f>
        <v/>
      </c>
      <c r="F285" s="211" t="str">
        <f>IFERROR(VLOOKUP($C285,'PORTIFÓLIO'!C:V,4,0),"")</f>
        <v/>
      </c>
      <c r="G285" s="215" t="str">
        <f>IFERROR(VLOOKUP($C285,'PORTIFÓLIO'!C:V,5,0),"")</f>
        <v/>
      </c>
      <c r="H285" s="254" t="str">
        <f t="array" ref="H285">IFERROR(INDEX('PORTIFÓLIO'!$H$4:$H$433,MATCH($C285,'PORTIFÓLIO'!$C$4:$C$433,0)),"")</f>
        <v/>
      </c>
      <c r="I285" s="256"/>
      <c r="J285" s="218">
        <f t="shared" si="31"/>
        <v>0</v>
      </c>
      <c r="K285" s="292" t="str">
        <f t="array" ref="K285">IFERROR(I285*INDEX('PORTIFÓLIO'!$S$4:$S$433,MATCH($C285,'PORTIFÓLIO'!$C$4:$C$433,0)),"")</f>
        <v/>
      </c>
      <c r="L285" s="292" t="str">
        <f t="array" ref="L285">IFERROR(J285*INDEX('PORTIFÓLIO'!$S$4:$S$433,MATCH($C285,'PORTIFÓLIO'!$C$4:$C$433,0)),"")</f>
        <v/>
      </c>
      <c r="M285" s="220"/>
      <c r="N285" s="220"/>
      <c r="O285" s="220"/>
      <c r="P285" s="220"/>
      <c r="Q285" s="220"/>
      <c r="R285" s="220"/>
      <c r="S285" s="220"/>
      <c r="T285" s="220"/>
      <c r="U285" s="220"/>
      <c r="V285" s="220"/>
      <c r="W285" s="220"/>
    </row>
    <row r="286" ht="15.75" customHeight="1" outlineLevel="1">
      <c r="A286" s="211"/>
      <c r="B286" s="212"/>
      <c r="C286" s="213"/>
      <c r="D286" s="214" t="str">
        <f>IFERROR(VLOOKUP($C286,'PORTIFÓLIO'!C:V,2,0),"")</f>
        <v/>
      </c>
      <c r="E286" s="211" t="str">
        <f>IFERROR(VLOOKUP($C286,'PORTIFÓLIO'!C:V,3,0),"")</f>
        <v/>
      </c>
      <c r="F286" s="211" t="str">
        <f>IFERROR(VLOOKUP($C286,'PORTIFÓLIO'!C:V,4,0),"")</f>
        <v/>
      </c>
      <c r="G286" s="215" t="str">
        <f>IFERROR(VLOOKUP($C286,'PORTIFÓLIO'!C:V,5,0),"")</f>
        <v/>
      </c>
      <c r="H286" s="254" t="str">
        <f t="array" ref="H286">IFERROR(INDEX('PORTIFÓLIO'!$H$4:$H$433,MATCH($C286,'PORTIFÓLIO'!$C$4:$C$433,0)),"")</f>
        <v/>
      </c>
      <c r="I286" s="256"/>
      <c r="J286" s="218">
        <f t="shared" si="31"/>
        <v>0</v>
      </c>
      <c r="K286" s="292" t="str">
        <f t="array" ref="K286">IFERROR(I286*INDEX('PORTIFÓLIO'!$S$4:$S$433,MATCH($C286,'PORTIFÓLIO'!$C$4:$C$433,0)),"")</f>
        <v/>
      </c>
      <c r="L286" s="292" t="str">
        <f t="array" ref="L286">IFERROR(J286*INDEX('PORTIFÓLIO'!$S$4:$S$433,MATCH($C286,'PORTIFÓLIO'!$C$4:$C$433,0)),"")</f>
        <v/>
      </c>
      <c r="M286" s="220"/>
      <c r="N286" s="220"/>
      <c r="O286" s="220"/>
      <c r="P286" s="220"/>
      <c r="Q286" s="220"/>
      <c r="R286" s="220"/>
      <c r="S286" s="220"/>
      <c r="T286" s="220"/>
      <c r="U286" s="220"/>
      <c r="V286" s="220"/>
      <c r="W286" s="220"/>
    </row>
    <row r="287" ht="15.75" customHeight="1" outlineLevel="1">
      <c r="A287" s="211"/>
      <c r="B287" s="212"/>
      <c r="C287" s="213"/>
      <c r="D287" s="214" t="str">
        <f>IFERROR(VLOOKUP($C287,'PORTIFÓLIO'!C:V,2,0),"")</f>
        <v/>
      </c>
      <c r="E287" s="211" t="str">
        <f>IFERROR(VLOOKUP($C287,'PORTIFÓLIO'!C:V,3,0),"")</f>
        <v/>
      </c>
      <c r="F287" s="211" t="str">
        <f>IFERROR(VLOOKUP($C287,'PORTIFÓLIO'!C:V,4,0),"")</f>
        <v/>
      </c>
      <c r="G287" s="215" t="str">
        <f>IFERROR(VLOOKUP($C287,'PORTIFÓLIO'!C:V,5,0),"")</f>
        <v/>
      </c>
      <c r="H287" s="254" t="str">
        <f t="array" ref="H287">IFERROR(INDEX('PORTIFÓLIO'!$H$4:$H$433,MATCH($C287,'PORTIFÓLIO'!$C$4:$C$433,0)),"")</f>
        <v/>
      </c>
      <c r="I287" s="256"/>
      <c r="J287" s="218">
        <f t="shared" si="31"/>
        <v>0</v>
      </c>
      <c r="K287" s="292" t="str">
        <f t="array" ref="K287">IFERROR(I287*INDEX('PORTIFÓLIO'!$S$4:$S$433,MATCH($C287,'PORTIFÓLIO'!$C$4:$C$433,0)),"")</f>
        <v/>
      </c>
      <c r="L287" s="292" t="str">
        <f t="array" ref="L287">IFERROR(J287*INDEX('PORTIFÓLIO'!$S$4:$S$433,MATCH($C287,'PORTIFÓLIO'!$C$4:$C$433,0)),"")</f>
        <v/>
      </c>
      <c r="M287" s="220"/>
      <c r="N287" s="220"/>
      <c r="O287" s="220"/>
      <c r="P287" s="220"/>
      <c r="Q287" s="220"/>
      <c r="R287" s="220"/>
      <c r="S287" s="220"/>
      <c r="T287" s="220"/>
      <c r="U287" s="220"/>
      <c r="V287" s="220"/>
      <c r="W287" s="220"/>
    </row>
    <row r="288" ht="15.75" customHeight="1" outlineLevel="1">
      <c r="A288" s="211"/>
      <c r="B288" s="212"/>
      <c r="C288" s="213"/>
      <c r="D288" s="214" t="str">
        <f>IFERROR(VLOOKUP($C288,'PORTIFÓLIO'!C:V,2,0),"")</f>
        <v/>
      </c>
      <c r="E288" s="211" t="str">
        <f>IFERROR(VLOOKUP($C288,'PORTIFÓLIO'!C:V,3,0),"")</f>
        <v/>
      </c>
      <c r="F288" s="211" t="str">
        <f>IFERROR(VLOOKUP($C288,'PORTIFÓLIO'!C:V,4,0),"")</f>
        <v/>
      </c>
      <c r="G288" s="215" t="str">
        <f>IFERROR(VLOOKUP($C288,'PORTIFÓLIO'!C:V,5,0),"")</f>
        <v/>
      </c>
      <c r="H288" s="254" t="str">
        <f t="array" ref="H288">IFERROR(INDEX('PORTIFÓLIO'!$H$4:$H$433,MATCH($C288,'PORTIFÓLIO'!$C$4:$C$433,0)),"")</f>
        <v/>
      </c>
      <c r="I288" s="256"/>
      <c r="J288" s="218">
        <f t="shared" si="31"/>
        <v>0</v>
      </c>
      <c r="K288" s="292" t="str">
        <f t="array" ref="K288">IFERROR(I288*INDEX('PORTIFÓLIO'!$S$4:$S$433,MATCH($C288,'PORTIFÓLIO'!$C$4:$C$433,0)),"")</f>
        <v/>
      </c>
      <c r="L288" s="292" t="str">
        <f t="array" ref="L288">IFERROR(J288*INDEX('PORTIFÓLIO'!$S$4:$S$433,MATCH($C288,'PORTIFÓLIO'!$C$4:$C$433,0)),"")</f>
        <v/>
      </c>
      <c r="M288" s="220"/>
      <c r="N288" s="220"/>
      <c r="O288" s="220"/>
      <c r="P288" s="220"/>
      <c r="Q288" s="220"/>
      <c r="R288" s="220"/>
      <c r="S288" s="220"/>
      <c r="T288" s="220"/>
      <c r="U288" s="220"/>
      <c r="V288" s="220"/>
      <c r="W288" s="220"/>
    </row>
    <row r="289" ht="15.75" customHeight="1" outlineLevel="1">
      <c r="A289" s="211"/>
      <c r="B289" s="212"/>
      <c r="C289" s="213"/>
      <c r="D289" s="214" t="str">
        <f>IFERROR(VLOOKUP($C289,'PORTIFÓLIO'!C:V,2,0),"")</f>
        <v/>
      </c>
      <c r="E289" s="211" t="str">
        <f>IFERROR(VLOOKUP($C289,'PORTIFÓLIO'!C:V,3,0),"")</f>
        <v/>
      </c>
      <c r="F289" s="211" t="str">
        <f>IFERROR(VLOOKUP($C289,'PORTIFÓLIO'!C:V,4,0),"")</f>
        <v/>
      </c>
      <c r="G289" s="215" t="str">
        <f>IFERROR(VLOOKUP($C289,'PORTIFÓLIO'!C:V,5,0),"")</f>
        <v/>
      </c>
      <c r="H289" s="254" t="str">
        <f t="array" ref="H289">IFERROR(INDEX('PORTIFÓLIO'!$H$4:$H$433,MATCH($C289,'PORTIFÓLIO'!$C$4:$C$433,0)),"")</f>
        <v/>
      </c>
      <c r="I289" s="256"/>
      <c r="J289" s="218">
        <f t="shared" si="31"/>
        <v>0</v>
      </c>
      <c r="K289" s="292" t="str">
        <f t="array" ref="K289">IFERROR(I289*INDEX('PORTIFÓLIO'!$S$4:$S$433,MATCH($C289,'PORTIFÓLIO'!$C$4:$C$433,0)),"")</f>
        <v/>
      </c>
      <c r="L289" s="292" t="str">
        <f t="array" ref="L289">IFERROR(J289*INDEX('PORTIFÓLIO'!$S$4:$S$433,MATCH($C289,'PORTIFÓLIO'!$C$4:$C$433,0)),"")</f>
        <v/>
      </c>
      <c r="M289" s="220"/>
      <c r="N289" s="220"/>
      <c r="O289" s="220"/>
      <c r="P289" s="220"/>
      <c r="Q289" s="220"/>
      <c r="R289" s="220"/>
      <c r="S289" s="220"/>
      <c r="T289" s="220"/>
      <c r="U289" s="220"/>
      <c r="V289" s="220"/>
      <c r="W289" s="220"/>
    </row>
    <row r="290" ht="15.75" customHeight="1">
      <c r="A290" s="229" t="s">
        <v>1186</v>
      </c>
      <c r="B290" s="230"/>
      <c r="C290" s="231"/>
      <c r="D290" s="232"/>
      <c r="E290" s="231"/>
      <c r="F290" s="231"/>
      <c r="G290" s="233"/>
      <c r="H290" s="233"/>
      <c r="I290" s="258"/>
      <c r="J290" s="236"/>
      <c r="K290" s="237">
        <f t="shared" ref="K290:L290" si="32">SUBTOTAL(9,K291:K304)</f>
        <v>0</v>
      </c>
      <c r="L290" s="237">
        <f t="shared" si="32"/>
        <v>0</v>
      </c>
      <c r="M290" s="220"/>
      <c r="N290" s="220"/>
      <c r="O290" s="220"/>
      <c r="P290" s="220"/>
      <c r="Q290" s="220"/>
      <c r="R290" s="220"/>
      <c r="S290" s="220"/>
      <c r="T290" s="220"/>
      <c r="U290" s="220"/>
      <c r="V290" s="220"/>
      <c r="W290" s="220"/>
    </row>
    <row r="291" ht="15.75" customHeight="1" outlineLevel="1">
      <c r="A291" s="213"/>
      <c r="B291" s="212"/>
      <c r="C291" s="213"/>
      <c r="D291" s="214" t="str">
        <f>IFERROR(VLOOKUP($C291,'PORTIFÓLIO'!C:V,2,0),"")</f>
        <v/>
      </c>
      <c r="E291" s="211" t="str">
        <f>IFERROR(VLOOKUP($C291,'PORTIFÓLIO'!C:V,3,0),"")</f>
        <v/>
      </c>
      <c r="F291" s="211" t="str">
        <f>IFERROR(VLOOKUP($C291,'PORTIFÓLIO'!C:V,4,0),"")</f>
        <v/>
      </c>
      <c r="G291" s="215" t="str">
        <f>IFERROR(VLOOKUP($C291,'PORTIFÓLIO'!C:V,5,0),"")</f>
        <v/>
      </c>
      <c r="H291" s="254" t="str">
        <f t="array" ref="H291">IFERROR(INDEX('PORTIFÓLIO'!$H$4:$H$433,MATCH($C291,'PORTIFÓLIO'!$C$4:$C$433,0)),"")</f>
        <v/>
      </c>
      <c r="I291" s="255"/>
      <c r="J291" s="218">
        <f t="shared" ref="J291:J307" si="33">I291*$B$2</f>
        <v>0</v>
      </c>
      <c r="K291" s="292" t="str">
        <f t="array" ref="K291">IFERROR(I291*INDEX('PORTIFÓLIO'!$S$4:$S$433,MATCH($C291,'PORTIFÓLIO'!$C$4:$C$433,0)),"")</f>
        <v/>
      </c>
      <c r="L291" s="292" t="str">
        <f t="array" ref="L291">IFERROR(J291*INDEX('PORTIFÓLIO'!$S$4:$S$433,MATCH($C291,'PORTIFÓLIO'!$C$4:$C$433,0)),"")</f>
        <v/>
      </c>
      <c r="M291" s="220"/>
      <c r="N291" s="220"/>
      <c r="O291" s="220"/>
      <c r="P291" s="220"/>
      <c r="Q291" s="220"/>
      <c r="R291" s="220"/>
      <c r="S291" s="220"/>
      <c r="T291" s="220"/>
      <c r="U291" s="220"/>
      <c r="V291" s="220"/>
      <c r="W291" s="220"/>
    </row>
    <row r="292" ht="15.75" customHeight="1" outlineLevel="1">
      <c r="A292" s="211"/>
      <c r="B292" s="212"/>
      <c r="C292" s="213"/>
      <c r="D292" s="214" t="str">
        <f>IFERROR(VLOOKUP($C292,'PORTIFÓLIO'!C:V,2,0),"")</f>
        <v/>
      </c>
      <c r="E292" s="211" t="str">
        <f>IFERROR(VLOOKUP($C292,'PORTIFÓLIO'!C:V,3,0),"")</f>
        <v/>
      </c>
      <c r="F292" s="211" t="str">
        <f>IFERROR(VLOOKUP($C292,'PORTIFÓLIO'!C:V,4,0),"")</f>
        <v/>
      </c>
      <c r="G292" s="215" t="str">
        <f>IFERROR(VLOOKUP($C292,'PORTIFÓLIO'!C:V,5,0),"")</f>
        <v/>
      </c>
      <c r="H292" s="254" t="str">
        <f t="array" ref="H292">IFERROR(INDEX('PORTIFÓLIO'!$H$4:$H$433,MATCH($C292,'PORTIFÓLIO'!$C$4:$C$433,0)),"")</f>
        <v/>
      </c>
      <c r="I292" s="256"/>
      <c r="J292" s="218">
        <f t="shared" si="33"/>
        <v>0</v>
      </c>
      <c r="K292" s="292" t="str">
        <f t="array" ref="K292">IFERROR(I292*INDEX('PORTIFÓLIO'!$S$4:$S$433,MATCH($C292,'PORTIFÓLIO'!$C$4:$C$433,0)),"")</f>
        <v/>
      </c>
      <c r="L292" s="292" t="str">
        <f t="array" ref="L292">IFERROR(J292*INDEX('PORTIFÓLIO'!$S$4:$S$433,MATCH($C292,'PORTIFÓLIO'!$C$4:$C$433,0)),"")</f>
        <v/>
      </c>
      <c r="M292" s="220"/>
      <c r="N292" s="220"/>
      <c r="O292" s="220"/>
      <c r="P292" s="220"/>
      <c r="Q292" s="220"/>
      <c r="R292" s="220"/>
      <c r="S292" s="220"/>
      <c r="T292" s="220"/>
      <c r="U292" s="220"/>
      <c r="V292" s="220"/>
      <c r="W292" s="220"/>
    </row>
    <row r="293" ht="15.75" customHeight="1" outlineLevel="1">
      <c r="A293" s="211"/>
      <c r="B293" s="212"/>
      <c r="C293" s="213"/>
      <c r="D293" s="214" t="str">
        <f>IFERROR(VLOOKUP($C293,'PORTIFÓLIO'!C:V,2,0),"")</f>
        <v/>
      </c>
      <c r="E293" s="211" t="str">
        <f>IFERROR(VLOOKUP($C293,'PORTIFÓLIO'!C:V,3,0),"")</f>
        <v/>
      </c>
      <c r="F293" s="211" t="str">
        <f>IFERROR(VLOOKUP($C293,'PORTIFÓLIO'!C:V,4,0),"")</f>
        <v/>
      </c>
      <c r="G293" s="215" t="str">
        <f>IFERROR(VLOOKUP($C293,'PORTIFÓLIO'!C:V,5,0),"")</f>
        <v/>
      </c>
      <c r="H293" s="254" t="str">
        <f t="array" ref="H293">IFERROR(INDEX('PORTIFÓLIO'!$H$4:$H$433,MATCH($C293,'PORTIFÓLIO'!$C$4:$C$433,0)),"")</f>
        <v/>
      </c>
      <c r="I293" s="256"/>
      <c r="J293" s="218">
        <f t="shared" si="33"/>
        <v>0</v>
      </c>
      <c r="K293" s="292" t="str">
        <f t="array" ref="K293">IFERROR(I293*INDEX('PORTIFÓLIO'!$S$4:$S$433,MATCH($C293,'PORTIFÓLIO'!$C$4:$C$433,0)),"")</f>
        <v/>
      </c>
      <c r="L293" s="292" t="str">
        <f t="array" ref="L293">IFERROR(J293*INDEX('PORTIFÓLIO'!$S$4:$S$433,MATCH($C293,'PORTIFÓLIO'!$C$4:$C$433,0)),"")</f>
        <v/>
      </c>
      <c r="M293" s="220"/>
      <c r="N293" s="220"/>
      <c r="O293" s="220"/>
      <c r="P293" s="220"/>
      <c r="Q293" s="220"/>
      <c r="R293" s="220"/>
      <c r="S293" s="220"/>
      <c r="T293" s="220"/>
      <c r="U293" s="220"/>
      <c r="V293" s="220"/>
      <c r="W293" s="220"/>
    </row>
    <row r="294" ht="15.75" customHeight="1" outlineLevel="1">
      <c r="A294" s="211"/>
      <c r="B294" s="212"/>
      <c r="C294" s="213"/>
      <c r="D294" s="214" t="str">
        <f>IFERROR(VLOOKUP($C294,'PORTIFÓLIO'!C:V,2,0),"")</f>
        <v/>
      </c>
      <c r="E294" s="211" t="str">
        <f>IFERROR(VLOOKUP($C294,'PORTIFÓLIO'!C:V,3,0),"")</f>
        <v/>
      </c>
      <c r="F294" s="211" t="str">
        <f>IFERROR(VLOOKUP($C294,'PORTIFÓLIO'!C:V,4,0),"")</f>
        <v/>
      </c>
      <c r="G294" s="215" t="str">
        <f>IFERROR(VLOOKUP($C294,'PORTIFÓLIO'!C:V,5,0),"")</f>
        <v/>
      </c>
      <c r="H294" s="254" t="str">
        <f t="array" ref="H294">IFERROR(INDEX('PORTIFÓLIO'!$H$4:$H$433,MATCH($C294,'PORTIFÓLIO'!$C$4:$C$433,0)),"")</f>
        <v/>
      </c>
      <c r="I294" s="256"/>
      <c r="J294" s="218">
        <f t="shared" si="33"/>
        <v>0</v>
      </c>
      <c r="K294" s="292" t="str">
        <f t="array" ref="K294">IFERROR(I294*INDEX('PORTIFÓLIO'!$S$4:$S$433,MATCH($C294,'PORTIFÓLIO'!$C$4:$C$433,0)),"")</f>
        <v/>
      </c>
      <c r="L294" s="292" t="str">
        <f t="array" ref="L294">IFERROR(J294*INDEX('PORTIFÓLIO'!$S$4:$S$433,MATCH($C294,'PORTIFÓLIO'!$C$4:$C$433,0)),"")</f>
        <v/>
      </c>
      <c r="M294" s="220"/>
      <c r="N294" s="220"/>
      <c r="O294" s="220"/>
      <c r="P294" s="220"/>
      <c r="Q294" s="220"/>
      <c r="R294" s="220"/>
      <c r="S294" s="220"/>
      <c r="T294" s="220"/>
      <c r="U294" s="220"/>
      <c r="V294" s="220"/>
      <c r="W294" s="220"/>
    </row>
    <row r="295" ht="15.75" customHeight="1" outlineLevel="1">
      <c r="A295" s="211"/>
      <c r="B295" s="212"/>
      <c r="C295" s="213"/>
      <c r="D295" s="214" t="str">
        <f>IFERROR(VLOOKUP($C295,'PORTIFÓLIO'!C:V,2,0),"")</f>
        <v/>
      </c>
      <c r="E295" s="211" t="str">
        <f>IFERROR(VLOOKUP($C295,'PORTIFÓLIO'!C:V,3,0),"")</f>
        <v/>
      </c>
      <c r="F295" s="211" t="str">
        <f>IFERROR(VLOOKUP($C295,'PORTIFÓLIO'!C:V,4,0),"")</f>
        <v/>
      </c>
      <c r="G295" s="215" t="str">
        <f>IFERROR(VLOOKUP($C295,'PORTIFÓLIO'!C:V,5,0),"")</f>
        <v/>
      </c>
      <c r="H295" s="254" t="str">
        <f t="array" ref="H295">IFERROR(INDEX('PORTIFÓLIO'!$H$4:$H$433,MATCH($C295,'PORTIFÓLIO'!$C$4:$C$433,0)),"")</f>
        <v/>
      </c>
      <c r="I295" s="256"/>
      <c r="J295" s="218">
        <f t="shared" si="33"/>
        <v>0</v>
      </c>
      <c r="K295" s="292" t="str">
        <f t="array" ref="K295">IFERROR(I295*INDEX('PORTIFÓLIO'!$S$4:$S$433,MATCH($C295,'PORTIFÓLIO'!$C$4:$C$433,0)),"")</f>
        <v/>
      </c>
      <c r="L295" s="292" t="str">
        <f t="array" ref="L295">IFERROR(J295*INDEX('PORTIFÓLIO'!$S$4:$S$433,MATCH($C295,'PORTIFÓLIO'!$C$4:$C$433,0)),"")</f>
        <v/>
      </c>
      <c r="M295" s="220"/>
      <c r="N295" s="220"/>
      <c r="O295" s="220"/>
      <c r="P295" s="220"/>
      <c r="Q295" s="220"/>
      <c r="R295" s="220"/>
      <c r="S295" s="220"/>
      <c r="T295" s="220"/>
      <c r="U295" s="220"/>
      <c r="V295" s="220"/>
      <c r="W295" s="220"/>
    </row>
    <row r="296" ht="15.75" customHeight="1" outlineLevel="1">
      <c r="A296" s="211"/>
      <c r="B296" s="212"/>
      <c r="C296" s="213"/>
      <c r="D296" s="214" t="str">
        <f>IFERROR(VLOOKUP($C296,'PORTIFÓLIO'!C:V,2,0),"")</f>
        <v/>
      </c>
      <c r="E296" s="211" t="str">
        <f>IFERROR(VLOOKUP($C296,'PORTIFÓLIO'!C:V,3,0),"")</f>
        <v/>
      </c>
      <c r="F296" s="211" t="str">
        <f>IFERROR(VLOOKUP($C296,'PORTIFÓLIO'!C:V,4,0),"")</f>
        <v/>
      </c>
      <c r="G296" s="215" t="str">
        <f>IFERROR(VLOOKUP($C296,'PORTIFÓLIO'!C:V,5,0),"")</f>
        <v/>
      </c>
      <c r="H296" s="254" t="str">
        <f t="array" ref="H296">IFERROR(INDEX('PORTIFÓLIO'!$H$4:$H$433,MATCH($C296,'PORTIFÓLIO'!$C$4:$C$433,0)),"")</f>
        <v/>
      </c>
      <c r="I296" s="256"/>
      <c r="J296" s="218">
        <f t="shared" si="33"/>
        <v>0</v>
      </c>
      <c r="K296" s="292" t="str">
        <f t="array" ref="K296">IFERROR(I296*INDEX('PORTIFÓLIO'!$S$4:$S$433,MATCH($C296,'PORTIFÓLIO'!$C$4:$C$433,0)),"")</f>
        <v/>
      </c>
      <c r="L296" s="292" t="str">
        <f t="array" ref="L296">IFERROR(J296*INDEX('PORTIFÓLIO'!$S$4:$S$433,MATCH($C296,'PORTIFÓLIO'!$C$4:$C$433,0)),"")</f>
        <v/>
      </c>
      <c r="M296" s="220"/>
      <c r="N296" s="220"/>
      <c r="O296" s="220"/>
      <c r="P296" s="220"/>
      <c r="Q296" s="220"/>
      <c r="R296" s="220"/>
      <c r="S296" s="220"/>
      <c r="T296" s="220"/>
      <c r="U296" s="220"/>
      <c r="V296" s="220"/>
      <c r="W296" s="220"/>
    </row>
    <row r="297" ht="15.75" customHeight="1" outlineLevel="1">
      <c r="A297" s="211"/>
      <c r="B297" s="212"/>
      <c r="C297" s="213"/>
      <c r="D297" s="214" t="str">
        <f>IFERROR(VLOOKUP($C297,'PORTIFÓLIO'!C:V,2,0),"")</f>
        <v/>
      </c>
      <c r="E297" s="211" t="str">
        <f>IFERROR(VLOOKUP($C297,'PORTIFÓLIO'!C:V,3,0),"")</f>
        <v/>
      </c>
      <c r="F297" s="211" t="str">
        <f>IFERROR(VLOOKUP($C297,'PORTIFÓLIO'!C:V,4,0),"")</f>
        <v/>
      </c>
      <c r="G297" s="215" t="str">
        <f>IFERROR(VLOOKUP($C297,'PORTIFÓLIO'!C:V,5,0),"")</f>
        <v/>
      </c>
      <c r="H297" s="254" t="str">
        <f t="array" ref="H297">IFERROR(INDEX('PORTIFÓLIO'!$H$4:$H$433,MATCH($C297,'PORTIFÓLIO'!$C$4:$C$433,0)),"")</f>
        <v/>
      </c>
      <c r="I297" s="256"/>
      <c r="J297" s="218">
        <f t="shared" si="33"/>
        <v>0</v>
      </c>
      <c r="K297" s="292" t="str">
        <f t="array" ref="K297">IFERROR(I297*INDEX('PORTIFÓLIO'!$S$4:$S$433,MATCH($C297,'PORTIFÓLIO'!$C$4:$C$433,0)),"")</f>
        <v/>
      </c>
      <c r="L297" s="292" t="str">
        <f t="array" ref="L297">IFERROR(J297*INDEX('PORTIFÓLIO'!$S$4:$S$433,MATCH($C297,'PORTIFÓLIO'!$C$4:$C$433,0)),"")</f>
        <v/>
      </c>
      <c r="M297" s="220"/>
      <c r="N297" s="220"/>
      <c r="O297" s="220"/>
      <c r="P297" s="220"/>
      <c r="Q297" s="220"/>
      <c r="R297" s="220"/>
      <c r="S297" s="220"/>
      <c r="T297" s="220"/>
      <c r="U297" s="220"/>
      <c r="V297" s="220"/>
      <c r="W297" s="220"/>
    </row>
    <row r="298" ht="15.75" customHeight="1" outlineLevel="1">
      <c r="A298" s="211"/>
      <c r="B298" s="212"/>
      <c r="C298" s="213"/>
      <c r="D298" s="214" t="str">
        <f>IFERROR(VLOOKUP($C298,'PORTIFÓLIO'!C:V,2,0),"")</f>
        <v/>
      </c>
      <c r="E298" s="211" t="str">
        <f>IFERROR(VLOOKUP($C298,'PORTIFÓLIO'!C:V,3,0),"")</f>
        <v/>
      </c>
      <c r="F298" s="211" t="str">
        <f>IFERROR(VLOOKUP($C298,'PORTIFÓLIO'!C:V,4,0),"")</f>
        <v/>
      </c>
      <c r="G298" s="215" t="str">
        <f>IFERROR(VLOOKUP($C298,'PORTIFÓLIO'!C:V,5,0),"")</f>
        <v/>
      </c>
      <c r="H298" s="254" t="str">
        <f t="array" ref="H298">IFERROR(INDEX('PORTIFÓLIO'!$H$4:$H$433,MATCH($C298,'PORTIFÓLIO'!$C$4:$C$433,0)),"")</f>
        <v/>
      </c>
      <c r="I298" s="256"/>
      <c r="J298" s="218">
        <f t="shared" si="33"/>
        <v>0</v>
      </c>
      <c r="K298" s="292" t="str">
        <f t="array" ref="K298">IFERROR(I298*INDEX('PORTIFÓLIO'!$S$4:$S$433,MATCH($C298,'PORTIFÓLIO'!$C$4:$C$433,0)),"")</f>
        <v/>
      </c>
      <c r="L298" s="292" t="str">
        <f t="array" ref="L298">IFERROR(J298*INDEX('PORTIFÓLIO'!$S$4:$S$433,MATCH($C298,'PORTIFÓLIO'!$C$4:$C$433,0)),"")</f>
        <v/>
      </c>
      <c r="M298" s="220"/>
      <c r="N298" s="220"/>
      <c r="O298" s="220"/>
      <c r="P298" s="220"/>
      <c r="Q298" s="220"/>
      <c r="R298" s="220"/>
      <c r="S298" s="220"/>
      <c r="T298" s="220"/>
      <c r="U298" s="220"/>
      <c r="V298" s="220"/>
      <c r="W298" s="220"/>
    </row>
    <row r="299" ht="15.75" customHeight="1" outlineLevel="1">
      <c r="A299" s="211"/>
      <c r="B299" s="212"/>
      <c r="C299" s="213"/>
      <c r="D299" s="214" t="str">
        <f>IFERROR(VLOOKUP($C299,'PORTIFÓLIO'!C:V,2,0),"")</f>
        <v/>
      </c>
      <c r="E299" s="211" t="str">
        <f>IFERROR(VLOOKUP($C299,'PORTIFÓLIO'!C:V,3,0),"")</f>
        <v/>
      </c>
      <c r="F299" s="211" t="str">
        <f>IFERROR(VLOOKUP($C299,'PORTIFÓLIO'!C:V,4,0),"")</f>
        <v/>
      </c>
      <c r="G299" s="215" t="str">
        <f>IFERROR(VLOOKUP($C299,'PORTIFÓLIO'!C:V,5,0),"")</f>
        <v/>
      </c>
      <c r="H299" s="254" t="str">
        <f t="array" ref="H299">IFERROR(INDEX('PORTIFÓLIO'!$H$4:$H$433,MATCH($C299,'PORTIFÓLIO'!$C$4:$C$433,0)),"")</f>
        <v/>
      </c>
      <c r="I299" s="255"/>
      <c r="J299" s="218">
        <f t="shared" si="33"/>
        <v>0</v>
      </c>
      <c r="K299" s="292" t="str">
        <f t="array" ref="K299">IFERROR(I299*INDEX('PORTIFÓLIO'!$S$4:$S$433,MATCH($C299,'PORTIFÓLIO'!$C$4:$C$433,0)),"")</f>
        <v/>
      </c>
      <c r="L299" s="292" t="str">
        <f t="array" ref="L299">IFERROR(J299*INDEX('PORTIFÓLIO'!$S$4:$S$433,MATCH($C299,'PORTIFÓLIO'!$C$4:$C$433,0)),"")</f>
        <v/>
      </c>
      <c r="M299" s="220"/>
      <c r="N299" s="220"/>
      <c r="O299" s="220"/>
      <c r="P299" s="220"/>
      <c r="Q299" s="220"/>
      <c r="R299" s="220"/>
      <c r="S299" s="220"/>
      <c r="T299" s="220"/>
      <c r="U299" s="220"/>
      <c r="V299" s="220"/>
      <c r="W299" s="220"/>
    </row>
    <row r="300" ht="15.75" customHeight="1" outlineLevel="1">
      <c r="A300" s="211"/>
      <c r="B300" s="212"/>
      <c r="C300" s="213"/>
      <c r="D300" s="214" t="str">
        <f>IFERROR(VLOOKUP($C300,'PORTIFÓLIO'!C:V,2,0),"")</f>
        <v/>
      </c>
      <c r="E300" s="211" t="str">
        <f>IFERROR(VLOOKUP($C300,'PORTIFÓLIO'!C:V,3,0),"")</f>
        <v/>
      </c>
      <c r="F300" s="211" t="str">
        <f>IFERROR(VLOOKUP($C300,'PORTIFÓLIO'!C:V,4,0),"")</f>
        <v/>
      </c>
      <c r="G300" s="215" t="str">
        <f>IFERROR(VLOOKUP($C300,'PORTIFÓLIO'!C:V,5,0),"")</f>
        <v/>
      </c>
      <c r="H300" s="254" t="str">
        <f t="array" ref="H300">IFERROR(INDEX('PORTIFÓLIO'!$H$4:$H$433,MATCH($C300,'PORTIFÓLIO'!$C$4:$C$433,0)),"")</f>
        <v/>
      </c>
      <c r="I300" s="256"/>
      <c r="J300" s="218">
        <f t="shared" si="33"/>
        <v>0</v>
      </c>
      <c r="K300" s="292" t="str">
        <f t="array" ref="K300">IFERROR(I300*INDEX('PORTIFÓLIO'!$S$4:$S$433,MATCH($C300,'PORTIFÓLIO'!$C$4:$C$433,0)),"")</f>
        <v/>
      </c>
      <c r="L300" s="292" t="str">
        <f t="array" ref="L300">IFERROR(J300*INDEX('PORTIFÓLIO'!$S$4:$S$433,MATCH($C300,'PORTIFÓLIO'!$C$4:$C$433,0)),"")</f>
        <v/>
      </c>
      <c r="M300" s="220"/>
      <c r="N300" s="220"/>
      <c r="O300" s="220"/>
      <c r="P300" s="220"/>
      <c r="Q300" s="220"/>
      <c r="R300" s="220"/>
      <c r="S300" s="220"/>
      <c r="T300" s="220"/>
      <c r="U300" s="220"/>
      <c r="V300" s="220"/>
      <c r="W300" s="220"/>
    </row>
    <row r="301" ht="15.75" customHeight="1" outlineLevel="1">
      <c r="A301" s="211"/>
      <c r="B301" s="212"/>
      <c r="C301" s="213"/>
      <c r="D301" s="214" t="str">
        <f>IFERROR(VLOOKUP($C301,'PORTIFÓLIO'!C:V,2,0),"")</f>
        <v/>
      </c>
      <c r="E301" s="211" t="str">
        <f>IFERROR(VLOOKUP($C301,'PORTIFÓLIO'!C:V,3,0),"")</f>
        <v/>
      </c>
      <c r="F301" s="211" t="str">
        <f>IFERROR(VLOOKUP($C301,'PORTIFÓLIO'!C:V,4,0),"")</f>
        <v/>
      </c>
      <c r="G301" s="215" t="str">
        <f>IFERROR(VLOOKUP($C301,'PORTIFÓLIO'!C:V,5,0),"")</f>
        <v/>
      </c>
      <c r="H301" s="254" t="str">
        <f t="array" ref="H301">IFERROR(INDEX('PORTIFÓLIO'!$H$4:$H$433,MATCH($C301,'PORTIFÓLIO'!$C$4:$C$433,0)),"")</f>
        <v/>
      </c>
      <c r="I301" s="256"/>
      <c r="J301" s="218">
        <f t="shared" si="33"/>
        <v>0</v>
      </c>
      <c r="K301" s="292" t="str">
        <f t="array" ref="K301">IFERROR(I301*INDEX('PORTIFÓLIO'!$S$4:$S$433,MATCH($C301,'PORTIFÓLIO'!$C$4:$C$433,0)),"")</f>
        <v/>
      </c>
      <c r="L301" s="292" t="str">
        <f t="array" ref="L301">IFERROR(J301*INDEX('PORTIFÓLIO'!$S$4:$S$433,MATCH($C301,'PORTIFÓLIO'!$C$4:$C$433,0)),"")</f>
        <v/>
      </c>
      <c r="M301" s="220"/>
      <c r="N301" s="220"/>
      <c r="O301" s="220"/>
      <c r="P301" s="220"/>
      <c r="Q301" s="220"/>
      <c r="R301" s="220"/>
      <c r="S301" s="220"/>
      <c r="T301" s="220"/>
      <c r="U301" s="220"/>
      <c r="V301" s="220"/>
      <c r="W301" s="220"/>
    </row>
    <row r="302" ht="15.75" customHeight="1" outlineLevel="1">
      <c r="A302" s="211"/>
      <c r="B302" s="212"/>
      <c r="C302" s="213"/>
      <c r="D302" s="214" t="str">
        <f>IFERROR(VLOOKUP($C302,'PORTIFÓLIO'!C:V,2,0),"")</f>
        <v/>
      </c>
      <c r="E302" s="211" t="str">
        <f>IFERROR(VLOOKUP($C302,'PORTIFÓLIO'!C:V,3,0),"")</f>
        <v/>
      </c>
      <c r="F302" s="211" t="str">
        <f>IFERROR(VLOOKUP($C302,'PORTIFÓLIO'!C:V,4,0),"")</f>
        <v/>
      </c>
      <c r="G302" s="215" t="str">
        <f>IFERROR(VLOOKUP($C302,'PORTIFÓLIO'!C:V,5,0),"")</f>
        <v/>
      </c>
      <c r="H302" s="254" t="str">
        <f t="array" ref="H302">IFERROR(INDEX('PORTIFÓLIO'!$H$4:$H$433,MATCH($C302,'PORTIFÓLIO'!$C$4:$C$433,0)),"")</f>
        <v/>
      </c>
      <c r="I302" s="256"/>
      <c r="J302" s="218">
        <f t="shared" si="33"/>
        <v>0</v>
      </c>
      <c r="K302" s="292" t="str">
        <f t="array" ref="K302">IFERROR(I302*INDEX('PORTIFÓLIO'!$S$4:$S$433,MATCH($C302,'PORTIFÓLIO'!$C$4:$C$433,0)),"")</f>
        <v/>
      </c>
      <c r="L302" s="292" t="str">
        <f t="array" ref="L302">IFERROR(J302*INDEX('PORTIFÓLIO'!$S$4:$S$433,MATCH($C302,'PORTIFÓLIO'!$C$4:$C$433,0)),"")</f>
        <v/>
      </c>
      <c r="M302" s="220"/>
      <c r="N302" s="220"/>
      <c r="O302" s="220"/>
      <c r="P302" s="220"/>
      <c r="Q302" s="220"/>
      <c r="R302" s="220"/>
      <c r="S302" s="220"/>
      <c r="T302" s="220"/>
      <c r="U302" s="220"/>
      <c r="V302" s="220"/>
      <c r="W302" s="220"/>
    </row>
    <row r="303" ht="15.75" customHeight="1" outlineLevel="1">
      <c r="A303" s="211"/>
      <c r="B303" s="212"/>
      <c r="C303" s="213"/>
      <c r="D303" s="214" t="str">
        <f>IFERROR(VLOOKUP($C303,'PORTIFÓLIO'!C:V,2,0),"")</f>
        <v/>
      </c>
      <c r="E303" s="211" t="str">
        <f>IFERROR(VLOOKUP($C303,'PORTIFÓLIO'!C:V,3,0),"")</f>
        <v/>
      </c>
      <c r="F303" s="211" t="str">
        <f>IFERROR(VLOOKUP($C303,'PORTIFÓLIO'!C:V,4,0),"")</f>
        <v/>
      </c>
      <c r="G303" s="215" t="str">
        <f>IFERROR(VLOOKUP($C303,'PORTIFÓLIO'!C:V,5,0),"")</f>
        <v/>
      </c>
      <c r="H303" s="254" t="str">
        <f t="array" ref="H303">IFERROR(INDEX('PORTIFÓLIO'!$H$4:$H$433,MATCH($C303,'PORTIFÓLIO'!$C$4:$C$433,0)),"")</f>
        <v/>
      </c>
      <c r="I303" s="256"/>
      <c r="J303" s="218">
        <f t="shared" si="33"/>
        <v>0</v>
      </c>
      <c r="K303" s="292" t="str">
        <f t="array" ref="K303">IFERROR(I303*INDEX('PORTIFÓLIO'!$S$4:$S$433,MATCH($C303,'PORTIFÓLIO'!$C$4:$C$433,0)),"")</f>
        <v/>
      </c>
      <c r="L303" s="292" t="str">
        <f t="array" ref="L303">IFERROR(J303*INDEX('PORTIFÓLIO'!$S$4:$S$433,MATCH($C303,'PORTIFÓLIO'!$C$4:$C$433,0)),"")</f>
        <v/>
      </c>
      <c r="M303" s="220"/>
      <c r="N303" s="220"/>
      <c r="O303" s="220"/>
      <c r="P303" s="220"/>
      <c r="Q303" s="220"/>
      <c r="R303" s="220"/>
      <c r="S303" s="220"/>
      <c r="T303" s="220"/>
      <c r="U303" s="220"/>
      <c r="V303" s="220"/>
      <c r="W303" s="220"/>
    </row>
    <row r="304" ht="15.75" customHeight="1" outlineLevel="1">
      <c r="A304" s="211"/>
      <c r="B304" s="212"/>
      <c r="C304" s="213"/>
      <c r="D304" s="214" t="str">
        <f>IFERROR(VLOOKUP($C304,'PORTIFÓLIO'!C:V,2,0),"")</f>
        <v/>
      </c>
      <c r="E304" s="211" t="str">
        <f>IFERROR(VLOOKUP($C304,'PORTIFÓLIO'!C:V,3,0),"")</f>
        <v/>
      </c>
      <c r="F304" s="211" t="str">
        <f>IFERROR(VLOOKUP($C304,'PORTIFÓLIO'!C:V,4,0),"")</f>
        <v/>
      </c>
      <c r="G304" s="215" t="str">
        <f>IFERROR(VLOOKUP($C304,'PORTIFÓLIO'!C:V,5,0),"")</f>
        <v/>
      </c>
      <c r="H304" s="254" t="str">
        <f t="array" ref="H304">IFERROR(INDEX('PORTIFÓLIO'!$H$4:$H$433,MATCH($C304,'PORTIFÓLIO'!$C$4:$C$433,0)),"")</f>
        <v/>
      </c>
      <c r="I304" s="256"/>
      <c r="J304" s="218">
        <f t="shared" si="33"/>
        <v>0</v>
      </c>
      <c r="K304" s="292" t="str">
        <f t="array" ref="K304">IFERROR(I304*INDEX('PORTIFÓLIO'!$S$4:$S$433,MATCH($C304,'PORTIFÓLIO'!$C$4:$C$433,0)),"")</f>
        <v/>
      </c>
      <c r="L304" s="292" t="str">
        <f t="array" ref="L304">IFERROR(J304*INDEX('PORTIFÓLIO'!$S$4:$S$433,MATCH($C304,'PORTIFÓLIO'!$C$4:$C$433,0)),"")</f>
        <v/>
      </c>
      <c r="M304" s="220"/>
      <c r="N304" s="220"/>
      <c r="O304" s="220"/>
      <c r="P304" s="220"/>
      <c r="Q304" s="220"/>
      <c r="R304" s="220"/>
      <c r="S304" s="220"/>
      <c r="T304" s="220"/>
      <c r="U304" s="220"/>
      <c r="V304" s="220"/>
      <c r="W304" s="220"/>
    </row>
    <row r="305" ht="15.75" customHeight="1" outlineLevel="1">
      <c r="A305" s="211"/>
      <c r="B305" s="212"/>
      <c r="C305" s="213"/>
      <c r="D305" s="214" t="str">
        <f>IFERROR(VLOOKUP($C305,'PORTIFÓLIO'!C:V,2,0),"")</f>
        <v/>
      </c>
      <c r="E305" s="211" t="str">
        <f>IFERROR(VLOOKUP($C305,'PORTIFÓLIO'!C:V,3,0),"")</f>
        <v/>
      </c>
      <c r="F305" s="211" t="str">
        <f>IFERROR(VLOOKUP($C305,'PORTIFÓLIO'!C:V,4,0),"")</f>
        <v/>
      </c>
      <c r="G305" s="215" t="str">
        <f>IFERROR(VLOOKUP($C305,'PORTIFÓLIO'!C:V,5,0),"")</f>
        <v/>
      </c>
      <c r="H305" s="254" t="str">
        <f t="array" ref="H305">IFERROR(INDEX('PORTIFÓLIO'!$H$4:$H$433,MATCH($C305,'PORTIFÓLIO'!$C$4:$C$433,0)),"")</f>
        <v/>
      </c>
      <c r="I305" s="256"/>
      <c r="J305" s="218">
        <f t="shared" si="33"/>
        <v>0</v>
      </c>
      <c r="K305" s="292" t="str">
        <f t="array" ref="K305">IFERROR(I305*INDEX('PORTIFÓLIO'!$S$4:$S$433,MATCH($C305,'PORTIFÓLIO'!$C$4:$C$433,0)),"")</f>
        <v/>
      </c>
      <c r="L305" s="292" t="str">
        <f t="array" ref="L305">IFERROR(J305*INDEX('PORTIFÓLIO'!$S$4:$S$433,MATCH($C305,'PORTIFÓLIO'!$C$4:$C$433,0)),"")</f>
        <v/>
      </c>
      <c r="M305" s="220"/>
      <c r="N305" s="220"/>
      <c r="O305" s="220"/>
      <c r="P305" s="220"/>
      <c r="Q305" s="220"/>
      <c r="R305" s="220"/>
      <c r="S305" s="220"/>
      <c r="T305" s="220"/>
      <c r="U305" s="220"/>
      <c r="V305" s="220"/>
      <c r="W305" s="220"/>
    </row>
    <row r="306" ht="15.75" customHeight="1" outlineLevel="1">
      <c r="A306" s="211"/>
      <c r="B306" s="212"/>
      <c r="C306" s="213"/>
      <c r="D306" s="214" t="str">
        <f>IFERROR(VLOOKUP($C306,'PORTIFÓLIO'!C:V,2,0),"")</f>
        <v/>
      </c>
      <c r="E306" s="211" t="str">
        <f>IFERROR(VLOOKUP($C306,'PORTIFÓLIO'!C:V,3,0),"")</f>
        <v/>
      </c>
      <c r="F306" s="211" t="str">
        <f>IFERROR(VLOOKUP($C306,'PORTIFÓLIO'!C:V,4,0),"")</f>
        <v/>
      </c>
      <c r="G306" s="215" t="str">
        <f>IFERROR(VLOOKUP($C306,'PORTIFÓLIO'!C:V,5,0),"")</f>
        <v/>
      </c>
      <c r="H306" s="254" t="str">
        <f t="array" ref="H306">IFERROR(INDEX('PORTIFÓLIO'!$H$4:$H$433,MATCH($C306,'PORTIFÓLIO'!$C$4:$C$433,0)),"")</f>
        <v/>
      </c>
      <c r="I306" s="256"/>
      <c r="J306" s="218">
        <f t="shared" si="33"/>
        <v>0</v>
      </c>
      <c r="K306" s="292" t="str">
        <f t="array" ref="K306">IFERROR(I306*INDEX('PORTIFÓLIO'!$S$4:$S$433,MATCH($C306,'PORTIFÓLIO'!$C$4:$C$433,0)),"")</f>
        <v/>
      </c>
      <c r="L306" s="292" t="str">
        <f t="array" ref="L306">IFERROR(J306*INDEX('PORTIFÓLIO'!$S$4:$S$433,MATCH($C306,'PORTIFÓLIO'!$C$4:$C$433,0)),"")</f>
        <v/>
      </c>
      <c r="M306" s="220"/>
      <c r="N306" s="220"/>
      <c r="O306" s="220"/>
      <c r="P306" s="220"/>
      <c r="Q306" s="220"/>
      <c r="R306" s="220"/>
      <c r="S306" s="220"/>
      <c r="T306" s="220"/>
      <c r="U306" s="220"/>
      <c r="V306" s="220"/>
      <c r="W306" s="220"/>
    </row>
    <row r="307" ht="15.75" customHeight="1" outlineLevel="1">
      <c r="A307" s="211"/>
      <c r="B307" s="212"/>
      <c r="C307" s="213"/>
      <c r="D307" s="214" t="str">
        <f>IFERROR(VLOOKUP($C307,'PORTIFÓLIO'!C:V,2,0),"")</f>
        <v/>
      </c>
      <c r="E307" s="211" t="str">
        <f>IFERROR(VLOOKUP($C307,'PORTIFÓLIO'!C:V,3,0),"")</f>
        <v/>
      </c>
      <c r="F307" s="211" t="str">
        <f>IFERROR(VLOOKUP($C307,'PORTIFÓLIO'!C:V,4,0),"")</f>
        <v/>
      </c>
      <c r="G307" s="215" t="str">
        <f>IFERROR(VLOOKUP($C307,'PORTIFÓLIO'!C:V,5,0),"")</f>
        <v/>
      </c>
      <c r="H307" s="254" t="str">
        <f t="array" ref="H307">IFERROR(INDEX('PORTIFÓLIO'!$H$4:$H$433,MATCH($C307,'PORTIFÓLIO'!$C$4:$C$433,0)),"")</f>
        <v/>
      </c>
      <c r="I307" s="256"/>
      <c r="J307" s="218">
        <f t="shared" si="33"/>
        <v>0</v>
      </c>
      <c r="K307" s="292" t="str">
        <f t="array" ref="K307">IFERROR(I307*INDEX('PORTIFÓLIO'!$S$4:$S$433,MATCH($C307,'PORTIFÓLIO'!$C$4:$C$433,0)),"")</f>
        <v/>
      </c>
      <c r="L307" s="292" t="str">
        <f t="array" ref="L307">IFERROR(J307*INDEX('PORTIFÓLIO'!$S$4:$S$433,MATCH($C307,'PORTIFÓLIO'!$C$4:$C$433,0)),"")</f>
        <v/>
      </c>
      <c r="M307" s="220"/>
      <c r="N307" s="220"/>
      <c r="O307" s="220"/>
      <c r="P307" s="220"/>
      <c r="Q307" s="220"/>
      <c r="R307" s="220"/>
      <c r="S307" s="220"/>
      <c r="T307" s="220"/>
      <c r="U307" s="220"/>
      <c r="V307" s="220"/>
      <c r="W307" s="220"/>
    </row>
    <row r="308" ht="15.75" customHeight="1">
      <c r="A308" s="229" t="s">
        <v>1188</v>
      </c>
      <c r="B308" s="230"/>
      <c r="C308" s="231"/>
      <c r="D308" s="232"/>
      <c r="E308" s="231"/>
      <c r="F308" s="231"/>
      <c r="G308" s="233"/>
      <c r="H308" s="233"/>
      <c r="I308" s="258"/>
      <c r="J308" s="236"/>
      <c r="K308" s="237">
        <f t="shared" ref="K308:L308" si="34">SUBTOTAL(9,K309:K322)</f>
        <v>0</v>
      </c>
      <c r="L308" s="237">
        <f t="shared" si="34"/>
        <v>0</v>
      </c>
      <c r="M308" s="220"/>
      <c r="N308" s="220"/>
      <c r="O308" s="220"/>
      <c r="P308" s="220"/>
      <c r="Q308" s="220"/>
      <c r="R308" s="220"/>
      <c r="S308" s="220"/>
      <c r="T308" s="220"/>
      <c r="U308" s="220"/>
      <c r="V308" s="220"/>
      <c r="W308" s="220"/>
    </row>
    <row r="309" ht="15.75" customHeight="1" outlineLevel="1">
      <c r="A309" s="213"/>
      <c r="B309" s="212"/>
      <c r="C309" s="213"/>
      <c r="D309" s="214" t="str">
        <f>IFERROR(VLOOKUP($C309,'PORTIFÓLIO'!C:V,2,0),"")</f>
        <v/>
      </c>
      <c r="E309" s="211" t="str">
        <f>IFERROR(VLOOKUP($C309,'PORTIFÓLIO'!C:V,3,0),"")</f>
        <v/>
      </c>
      <c r="F309" s="211" t="str">
        <f>IFERROR(VLOOKUP($C309,'PORTIFÓLIO'!C:V,4,0),"")</f>
        <v/>
      </c>
      <c r="G309" s="215" t="str">
        <f>IFERROR(VLOOKUP($C309,'PORTIFÓLIO'!C:V,5,0),"")</f>
        <v/>
      </c>
      <c r="H309" s="254" t="str">
        <f t="array" ref="H309">IFERROR(INDEX('PORTIFÓLIO'!$H$4:$H$433,MATCH($C309,'PORTIFÓLIO'!$C$4:$C$433,0)),"")</f>
        <v/>
      </c>
      <c r="I309" s="255"/>
      <c r="J309" s="218">
        <f t="shared" ref="J309:J323" si="35">I309*$B$2</f>
        <v>0</v>
      </c>
      <c r="K309" s="292" t="str">
        <f t="array" ref="K309">IFERROR(I309*INDEX('PORTIFÓLIO'!$S$4:$S$433,MATCH($C309,'PORTIFÓLIO'!$C$4:$C$433,0)),"")</f>
        <v/>
      </c>
      <c r="L309" s="292" t="str">
        <f t="array" ref="L309">IFERROR(J309*INDEX('PORTIFÓLIO'!$S$4:$S$433,MATCH($C309,'PORTIFÓLIO'!$C$4:$C$433,0)),"")</f>
        <v/>
      </c>
      <c r="M309" s="220"/>
      <c r="N309" s="220"/>
      <c r="O309" s="220"/>
      <c r="P309" s="220"/>
      <c r="Q309" s="220"/>
      <c r="R309" s="220"/>
      <c r="S309" s="220"/>
      <c r="T309" s="220"/>
      <c r="U309" s="220"/>
      <c r="V309" s="220"/>
      <c r="W309" s="220"/>
    </row>
    <row r="310" ht="15.75" customHeight="1" outlineLevel="1">
      <c r="A310" s="211"/>
      <c r="B310" s="212"/>
      <c r="C310" s="213"/>
      <c r="D310" s="214" t="str">
        <f>IFERROR(VLOOKUP($C310,'PORTIFÓLIO'!C:V,2,0),"")</f>
        <v/>
      </c>
      <c r="E310" s="211" t="str">
        <f>IFERROR(VLOOKUP($C310,'PORTIFÓLIO'!C:V,3,0),"")</f>
        <v/>
      </c>
      <c r="F310" s="211" t="str">
        <f>IFERROR(VLOOKUP($C310,'PORTIFÓLIO'!C:V,4,0),"")</f>
        <v/>
      </c>
      <c r="G310" s="215" t="str">
        <f>IFERROR(VLOOKUP($C310,'PORTIFÓLIO'!C:V,5,0),"")</f>
        <v/>
      </c>
      <c r="H310" s="254" t="str">
        <f t="array" ref="H310">IFERROR(INDEX('PORTIFÓLIO'!$H$4:$H$433,MATCH($C310,'PORTIFÓLIO'!$C$4:$C$433,0)),"")</f>
        <v/>
      </c>
      <c r="I310" s="256"/>
      <c r="J310" s="218">
        <f t="shared" si="35"/>
        <v>0</v>
      </c>
      <c r="K310" s="292" t="str">
        <f t="array" ref="K310">IFERROR(I310*INDEX('PORTIFÓLIO'!$S$4:$S$433,MATCH($C310,'PORTIFÓLIO'!$C$4:$C$433,0)),"")</f>
        <v/>
      </c>
      <c r="L310" s="292" t="str">
        <f t="array" ref="L310">IFERROR(J310*INDEX('PORTIFÓLIO'!$S$4:$S$433,MATCH($C310,'PORTIFÓLIO'!$C$4:$C$433,0)),"")</f>
        <v/>
      </c>
      <c r="M310" s="220"/>
      <c r="N310" s="220"/>
      <c r="O310" s="220"/>
      <c r="P310" s="220"/>
      <c r="Q310" s="220"/>
      <c r="R310" s="220"/>
      <c r="S310" s="220"/>
      <c r="T310" s="220"/>
      <c r="U310" s="220"/>
      <c r="V310" s="220"/>
      <c r="W310" s="220"/>
    </row>
    <row r="311" ht="15.75" customHeight="1" outlineLevel="1">
      <c r="A311" s="211"/>
      <c r="B311" s="212"/>
      <c r="C311" s="213"/>
      <c r="D311" s="214" t="str">
        <f>IFERROR(VLOOKUP($C311,'PORTIFÓLIO'!C:V,2,0),"")</f>
        <v/>
      </c>
      <c r="E311" s="211" t="str">
        <f>IFERROR(VLOOKUP($C311,'PORTIFÓLIO'!C:V,3,0),"")</f>
        <v/>
      </c>
      <c r="F311" s="211" t="str">
        <f>IFERROR(VLOOKUP($C311,'PORTIFÓLIO'!C:V,4,0),"")</f>
        <v/>
      </c>
      <c r="G311" s="215" t="str">
        <f>IFERROR(VLOOKUP($C311,'PORTIFÓLIO'!C:V,5,0),"")</f>
        <v/>
      </c>
      <c r="H311" s="254" t="str">
        <f t="array" ref="H311">IFERROR(INDEX('PORTIFÓLIO'!$H$4:$H$433,MATCH($C311,'PORTIFÓLIO'!$C$4:$C$433,0)),"")</f>
        <v/>
      </c>
      <c r="I311" s="256"/>
      <c r="J311" s="218">
        <f t="shared" si="35"/>
        <v>0</v>
      </c>
      <c r="K311" s="292" t="str">
        <f t="array" ref="K311">IFERROR(I311*INDEX('PORTIFÓLIO'!$S$4:$S$433,MATCH($C311,'PORTIFÓLIO'!$C$4:$C$433,0)),"")</f>
        <v/>
      </c>
      <c r="L311" s="292" t="str">
        <f t="array" ref="L311">IFERROR(J311*INDEX('PORTIFÓLIO'!$S$4:$S$433,MATCH($C311,'PORTIFÓLIO'!$C$4:$C$433,0)),"")</f>
        <v/>
      </c>
      <c r="M311" s="220"/>
      <c r="N311" s="220"/>
      <c r="O311" s="220"/>
      <c r="P311" s="220"/>
      <c r="Q311" s="220"/>
      <c r="R311" s="220"/>
      <c r="S311" s="220"/>
      <c r="T311" s="220"/>
      <c r="U311" s="220"/>
      <c r="V311" s="220"/>
      <c r="W311" s="220"/>
    </row>
    <row r="312" ht="15.75" customHeight="1" outlineLevel="1">
      <c r="A312" s="211"/>
      <c r="B312" s="212"/>
      <c r="C312" s="213"/>
      <c r="D312" s="214" t="str">
        <f>IFERROR(VLOOKUP($C312,'PORTIFÓLIO'!C:V,2,0),"")</f>
        <v/>
      </c>
      <c r="E312" s="211" t="str">
        <f>IFERROR(VLOOKUP($C312,'PORTIFÓLIO'!C:V,3,0),"")</f>
        <v/>
      </c>
      <c r="F312" s="211" t="str">
        <f>IFERROR(VLOOKUP($C312,'PORTIFÓLIO'!C:V,4,0),"")</f>
        <v/>
      </c>
      <c r="G312" s="215" t="str">
        <f>IFERROR(VLOOKUP($C312,'PORTIFÓLIO'!C:V,5,0),"")</f>
        <v/>
      </c>
      <c r="H312" s="254" t="str">
        <f t="array" ref="H312">IFERROR(INDEX('PORTIFÓLIO'!$H$4:$H$433,MATCH($C312,'PORTIFÓLIO'!$C$4:$C$433,0)),"")</f>
        <v/>
      </c>
      <c r="I312" s="256"/>
      <c r="J312" s="218">
        <f t="shared" si="35"/>
        <v>0</v>
      </c>
      <c r="K312" s="292" t="str">
        <f t="array" ref="K312">IFERROR(I312*INDEX('PORTIFÓLIO'!$S$4:$S$433,MATCH($C312,'PORTIFÓLIO'!$C$4:$C$433,0)),"")</f>
        <v/>
      </c>
      <c r="L312" s="292" t="str">
        <f t="array" ref="L312">IFERROR(J312*INDEX('PORTIFÓLIO'!$S$4:$S$433,MATCH($C312,'PORTIFÓLIO'!$C$4:$C$433,0)),"")</f>
        <v/>
      </c>
      <c r="M312" s="220"/>
      <c r="N312" s="220"/>
      <c r="O312" s="220"/>
      <c r="P312" s="220"/>
      <c r="Q312" s="220"/>
      <c r="R312" s="220"/>
      <c r="S312" s="220"/>
      <c r="T312" s="220"/>
      <c r="U312" s="220"/>
      <c r="V312" s="220"/>
      <c r="W312" s="220"/>
    </row>
    <row r="313" ht="15.75" customHeight="1" outlineLevel="1">
      <c r="A313" s="211"/>
      <c r="B313" s="212"/>
      <c r="C313" s="213"/>
      <c r="D313" s="214" t="str">
        <f>IFERROR(VLOOKUP($C313,'PORTIFÓLIO'!C:V,2,0),"")</f>
        <v/>
      </c>
      <c r="E313" s="211" t="str">
        <f>IFERROR(VLOOKUP($C313,'PORTIFÓLIO'!C:V,3,0),"")</f>
        <v/>
      </c>
      <c r="F313" s="211" t="str">
        <f>IFERROR(VLOOKUP($C313,'PORTIFÓLIO'!C:V,4,0),"")</f>
        <v/>
      </c>
      <c r="G313" s="215" t="str">
        <f>IFERROR(VLOOKUP($C313,'PORTIFÓLIO'!C:V,5,0),"")</f>
        <v/>
      </c>
      <c r="H313" s="254" t="str">
        <f t="array" ref="H313">IFERROR(INDEX('PORTIFÓLIO'!$H$4:$H$433,MATCH($C313,'PORTIFÓLIO'!$C$4:$C$433,0)),"")</f>
        <v/>
      </c>
      <c r="I313" s="256"/>
      <c r="J313" s="218">
        <f t="shared" si="35"/>
        <v>0</v>
      </c>
      <c r="K313" s="292" t="str">
        <f t="array" ref="K313">IFERROR(I313*INDEX('PORTIFÓLIO'!$S$4:$S$433,MATCH($C313,'PORTIFÓLIO'!$C$4:$C$433,0)),"")</f>
        <v/>
      </c>
      <c r="L313" s="292" t="str">
        <f t="array" ref="L313">IFERROR(J313*INDEX('PORTIFÓLIO'!$S$4:$S$433,MATCH($C313,'PORTIFÓLIO'!$C$4:$C$433,0)),"")</f>
        <v/>
      </c>
      <c r="M313" s="220"/>
      <c r="N313" s="220"/>
      <c r="O313" s="220"/>
      <c r="P313" s="220"/>
      <c r="Q313" s="220"/>
      <c r="R313" s="220"/>
      <c r="S313" s="220"/>
      <c r="T313" s="220"/>
      <c r="U313" s="220"/>
      <c r="V313" s="220"/>
      <c r="W313" s="220"/>
    </row>
    <row r="314" ht="15.75" customHeight="1" outlineLevel="1">
      <c r="A314" s="211"/>
      <c r="B314" s="212"/>
      <c r="C314" s="213"/>
      <c r="D314" s="214" t="str">
        <f>IFERROR(VLOOKUP($C314,'PORTIFÓLIO'!C:V,2,0),"")</f>
        <v/>
      </c>
      <c r="E314" s="211" t="str">
        <f>IFERROR(VLOOKUP($C314,'PORTIFÓLIO'!C:V,3,0),"")</f>
        <v/>
      </c>
      <c r="F314" s="211" t="str">
        <f>IFERROR(VLOOKUP($C314,'PORTIFÓLIO'!C:V,4,0),"")</f>
        <v/>
      </c>
      <c r="G314" s="215" t="str">
        <f>IFERROR(VLOOKUP($C314,'PORTIFÓLIO'!C:V,5,0),"")</f>
        <v/>
      </c>
      <c r="H314" s="254" t="str">
        <f t="array" ref="H314">IFERROR(INDEX('PORTIFÓLIO'!$H$4:$H$433,MATCH($C314,'PORTIFÓLIO'!$C$4:$C$433,0)),"")</f>
        <v/>
      </c>
      <c r="I314" s="256"/>
      <c r="J314" s="218">
        <f t="shared" si="35"/>
        <v>0</v>
      </c>
      <c r="K314" s="292" t="str">
        <f t="array" ref="K314">IFERROR(I314*INDEX('PORTIFÓLIO'!$S$4:$S$433,MATCH($C314,'PORTIFÓLIO'!$C$4:$C$433,0)),"")</f>
        <v/>
      </c>
      <c r="L314" s="292" t="str">
        <f t="array" ref="L314">IFERROR(J314*INDEX('PORTIFÓLIO'!$S$4:$S$433,MATCH($C314,'PORTIFÓLIO'!$C$4:$C$433,0)),"")</f>
        <v/>
      </c>
      <c r="M314" s="220"/>
      <c r="N314" s="220"/>
      <c r="O314" s="220"/>
      <c r="P314" s="220"/>
      <c r="Q314" s="220"/>
      <c r="R314" s="220"/>
      <c r="S314" s="220"/>
      <c r="T314" s="220"/>
      <c r="U314" s="220"/>
      <c r="V314" s="220"/>
      <c r="W314" s="220"/>
    </row>
    <row r="315" ht="15.75" customHeight="1" outlineLevel="1">
      <c r="A315" s="211"/>
      <c r="B315" s="212"/>
      <c r="C315" s="213"/>
      <c r="D315" s="214" t="str">
        <f>IFERROR(VLOOKUP($C315,'PORTIFÓLIO'!C:V,2,0),"")</f>
        <v/>
      </c>
      <c r="E315" s="211" t="str">
        <f>IFERROR(VLOOKUP($C315,'PORTIFÓLIO'!C:V,3,0),"")</f>
        <v/>
      </c>
      <c r="F315" s="211" t="str">
        <f>IFERROR(VLOOKUP($C315,'PORTIFÓLIO'!C:V,4,0),"")</f>
        <v/>
      </c>
      <c r="G315" s="215" t="str">
        <f>IFERROR(VLOOKUP($C315,'PORTIFÓLIO'!C:V,5,0),"")</f>
        <v/>
      </c>
      <c r="H315" s="254" t="str">
        <f t="array" ref="H315">IFERROR(INDEX('PORTIFÓLIO'!$H$4:$H$433,MATCH($C315,'PORTIFÓLIO'!$C$4:$C$433,0)),"")</f>
        <v/>
      </c>
      <c r="I315" s="256"/>
      <c r="J315" s="218">
        <f t="shared" si="35"/>
        <v>0</v>
      </c>
      <c r="K315" s="292" t="str">
        <f t="array" ref="K315">IFERROR(I315*INDEX('PORTIFÓLIO'!$S$4:$S$433,MATCH($C315,'PORTIFÓLIO'!$C$4:$C$433,0)),"")</f>
        <v/>
      </c>
      <c r="L315" s="292" t="str">
        <f t="array" ref="L315">IFERROR(J315*INDEX('PORTIFÓLIO'!$S$4:$S$433,MATCH($C315,'PORTIFÓLIO'!$C$4:$C$433,0)),"")</f>
        <v/>
      </c>
      <c r="M315" s="220"/>
      <c r="N315" s="220"/>
      <c r="O315" s="220"/>
      <c r="P315" s="220"/>
      <c r="Q315" s="220"/>
      <c r="R315" s="220"/>
      <c r="S315" s="220"/>
      <c r="T315" s="220"/>
      <c r="U315" s="220"/>
      <c r="V315" s="220"/>
      <c r="W315" s="220"/>
    </row>
    <row r="316" ht="15.75" customHeight="1" outlineLevel="1">
      <c r="A316" s="211"/>
      <c r="B316" s="212"/>
      <c r="C316" s="213"/>
      <c r="D316" s="214" t="str">
        <f>IFERROR(VLOOKUP($C316,'PORTIFÓLIO'!C:V,2,0),"")</f>
        <v/>
      </c>
      <c r="E316" s="211" t="str">
        <f>IFERROR(VLOOKUP($C316,'PORTIFÓLIO'!C:V,3,0),"")</f>
        <v/>
      </c>
      <c r="F316" s="211" t="str">
        <f>IFERROR(VLOOKUP($C316,'PORTIFÓLIO'!C:V,4,0),"")</f>
        <v/>
      </c>
      <c r="G316" s="215" t="str">
        <f>IFERROR(VLOOKUP($C316,'PORTIFÓLIO'!C:V,5,0),"")</f>
        <v/>
      </c>
      <c r="H316" s="254" t="str">
        <f t="array" ref="H316">IFERROR(INDEX('PORTIFÓLIO'!$H$4:$H$433,MATCH($C316,'PORTIFÓLIO'!$C$4:$C$433,0)),"")</f>
        <v/>
      </c>
      <c r="I316" s="256"/>
      <c r="J316" s="218">
        <f t="shared" si="35"/>
        <v>0</v>
      </c>
      <c r="K316" s="292" t="str">
        <f t="array" ref="K316">IFERROR(I316*INDEX('PORTIFÓLIO'!$S$4:$S$433,MATCH($C316,'PORTIFÓLIO'!$C$4:$C$433,0)),"")</f>
        <v/>
      </c>
      <c r="L316" s="292" t="str">
        <f t="array" ref="L316">IFERROR(J316*INDEX('PORTIFÓLIO'!$S$4:$S$433,MATCH($C316,'PORTIFÓLIO'!$C$4:$C$433,0)),"")</f>
        <v/>
      </c>
      <c r="M316" s="220"/>
      <c r="N316" s="220"/>
      <c r="O316" s="220"/>
      <c r="P316" s="220"/>
      <c r="Q316" s="220"/>
      <c r="R316" s="220"/>
      <c r="S316" s="220"/>
      <c r="T316" s="220"/>
      <c r="U316" s="220"/>
      <c r="V316" s="220"/>
      <c r="W316" s="220"/>
    </row>
    <row r="317" ht="15.75" customHeight="1" outlineLevel="1">
      <c r="A317" s="211"/>
      <c r="B317" s="212"/>
      <c r="C317" s="213"/>
      <c r="D317" s="214" t="str">
        <f>IFERROR(VLOOKUP($C317,'PORTIFÓLIO'!C:V,2,0),"")</f>
        <v/>
      </c>
      <c r="E317" s="211" t="str">
        <f>IFERROR(VLOOKUP($C317,'PORTIFÓLIO'!C:V,3,0),"")</f>
        <v/>
      </c>
      <c r="F317" s="211" t="str">
        <f>IFERROR(VLOOKUP($C317,'PORTIFÓLIO'!C:V,4,0),"")</f>
        <v/>
      </c>
      <c r="G317" s="215" t="str">
        <f>IFERROR(VLOOKUP($C317,'PORTIFÓLIO'!C:V,5,0),"")</f>
        <v/>
      </c>
      <c r="H317" s="254" t="str">
        <f t="array" ref="H317">IFERROR(INDEX('PORTIFÓLIO'!$H$4:$H$433,MATCH($C317,'PORTIFÓLIO'!$C$4:$C$433,0)),"")</f>
        <v/>
      </c>
      <c r="I317" s="255"/>
      <c r="J317" s="218">
        <f t="shared" si="35"/>
        <v>0</v>
      </c>
      <c r="K317" s="292" t="str">
        <f t="array" ref="K317">IFERROR(I317*INDEX('PORTIFÓLIO'!$S$4:$S$433,MATCH($C317,'PORTIFÓLIO'!$C$4:$C$433,0)),"")</f>
        <v/>
      </c>
      <c r="L317" s="292" t="str">
        <f t="array" ref="L317">IFERROR(J317*INDEX('PORTIFÓLIO'!$S$4:$S$433,MATCH($C317,'PORTIFÓLIO'!$C$4:$C$433,0)),"")</f>
        <v/>
      </c>
      <c r="M317" s="220"/>
      <c r="N317" s="220"/>
      <c r="O317" s="220"/>
      <c r="P317" s="220"/>
      <c r="Q317" s="220"/>
      <c r="R317" s="220"/>
      <c r="S317" s="220"/>
      <c r="T317" s="220"/>
      <c r="U317" s="220"/>
      <c r="V317" s="220"/>
      <c r="W317" s="220"/>
    </row>
    <row r="318" ht="15.75" customHeight="1" outlineLevel="1">
      <c r="A318" s="211"/>
      <c r="B318" s="212"/>
      <c r="C318" s="213"/>
      <c r="D318" s="214" t="str">
        <f>IFERROR(VLOOKUP($C318,'PORTIFÓLIO'!C:V,2,0),"")</f>
        <v/>
      </c>
      <c r="E318" s="211" t="str">
        <f>IFERROR(VLOOKUP($C318,'PORTIFÓLIO'!C:V,3,0),"")</f>
        <v/>
      </c>
      <c r="F318" s="211" t="str">
        <f>IFERROR(VLOOKUP($C318,'PORTIFÓLIO'!C:V,4,0),"")</f>
        <v/>
      </c>
      <c r="G318" s="215" t="str">
        <f>IFERROR(VLOOKUP($C318,'PORTIFÓLIO'!C:V,5,0),"")</f>
        <v/>
      </c>
      <c r="H318" s="254" t="str">
        <f t="array" ref="H318">IFERROR(INDEX('PORTIFÓLIO'!$H$4:$H$433,MATCH($C318,'PORTIFÓLIO'!$C$4:$C$433,0)),"")</f>
        <v/>
      </c>
      <c r="I318" s="256"/>
      <c r="J318" s="218">
        <f t="shared" si="35"/>
        <v>0</v>
      </c>
      <c r="K318" s="292" t="str">
        <f t="array" ref="K318">IFERROR(I318*INDEX('PORTIFÓLIO'!$S$4:$S$433,MATCH($C318,'PORTIFÓLIO'!$C$4:$C$433,0)),"")</f>
        <v/>
      </c>
      <c r="L318" s="292" t="str">
        <f t="array" ref="L318">IFERROR(J318*INDEX('PORTIFÓLIO'!$S$4:$S$433,MATCH($C318,'PORTIFÓLIO'!$C$4:$C$433,0)),"")</f>
        <v/>
      </c>
      <c r="M318" s="220"/>
      <c r="N318" s="220"/>
      <c r="O318" s="220"/>
      <c r="P318" s="220"/>
      <c r="Q318" s="220"/>
      <c r="R318" s="220"/>
      <c r="S318" s="220"/>
      <c r="T318" s="220"/>
      <c r="U318" s="220"/>
      <c r="V318" s="220"/>
      <c r="W318" s="220"/>
    </row>
    <row r="319" ht="15.75" customHeight="1" outlineLevel="1">
      <c r="A319" s="211"/>
      <c r="B319" s="212"/>
      <c r="C319" s="213"/>
      <c r="D319" s="214" t="str">
        <f>IFERROR(VLOOKUP($C319,'PORTIFÓLIO'!C:V,2,0),"")</f>
        <v/>
      </c>
      <c r="E319" s="211" t="str">
        <f>IFERROR(VLOOKUP($C319,'PORTIFÓLIO'!C:V,3,0),"")</f>
        <v/>
      </c>
      <c r="F319" s="211" t="str">
        <f>IFERROR(VLOOKUP($C319,'PORTIFÓLIO'!C:V,4,0),"")</f>
        <v/>
      </c>
      <c r="G319" s="215" t="str">
        <f>IFERROR(VLOOKUP($C319,'PORTIFÓLIO'!C:V,5,0),"")</f>
        <v/>
      </c>
      <c r="H319" s="254" t="str">
        <f t="array" ref="H319">IFERROR(INDEX('PORTIFÓLIO'!$H$4:$H$433,MATCH($C319,'PORTIFÓLIO'!$C$4:$C$433,0)),"")</f>
        <v/>
      </c>
      <c r="I319" s="256"/>
      <c r="J319" s="218">
        <f t="shared" si="35"/>
        <v>0</v>
      </c>
      <c r="K319" s="292" t="str">
        <f t="array" ref="K319">IFERROR(I319*INDEX('PORTIFÓLIO'!$S$4:$S$433,MATCH($C319,'PORTIFÓLIO'!$C$4:$C$433,0)),"")</f>
        <v/>
      </c>
      <c r="L319" s="292" t="str">
        <f t="array" ref="L319">IFERROR(J319*INDEX('PORTIFÓLIO'!$S$4:$S$433,MATCH($C319,'PORTIFÓLIO'!$C$4:$C$433,0)),"")</f>
        <v/>
      </c>
      <c r="M319" s="220"/>
      <c r="N319" s="220"/>
      <c r="O319" s="220"/>
      <c r="P319" s="220"/>
      <c r="Q319" s="220"/>
      <c r="R319" s="220"/>
      <c r="S319" s="220"/>
      <c r="T319" s="220"/>
      <c r="U319" s="220"/>
      <c r="V319" s="220"/>
      <c r="W319" s="220"/>
    </row>
    <row r="320" ht="15.75" customHeight="1" outlineLevel="1">
      <c r="A320" s="211"/>
      <c r="B320" s="212"/>
      <c r="C320" s="213"/>
      <c r="D320" s="214" t="str">
        <f>IFERROR(VLOOKUP($C320,'PORTIFÓLIO'!C:V,2,0),"")</f>
        <v/>
      </c>
      <c r="E320" s="211" t="str">
        <f>IFERROR(VLOOKUP($C320,'PORTIFÓLIO'!C:V,3,0),"")</f>
        <v/>
      </c>
      <c r="F320" s="211" t="str">
        <f>IFERROR(VLOOKUP($C320,'PORTIFÓLIO'!C:V,4,0),"")</f>
        <v/>
      </c>
      <c r="G320" s="215" t="str">
        <f>IFERROR(VLOOKUP($C320,'PORTIFÓLIO'!C:V,5,0),"")</f>
        <v/>
      </c>
      <c r="H320" s="254" t="str">
        <f t="array" ref="H320">IFERROR(INDEX('PORTIFÓLIO'!$H$4:$H$433,MATCH($C320,'PORTIFÓLIO'!$C$4:$C$433,0)),"")</f>
        <v/>
      </c>
      <c r="I320" s="256"/>
      <c r="J320" s="218">
        <f t="shared" si="35"/>
        <v>0</v>
      </c>
      <c r="K320" s="292" t="str">
        <f t="array" ref="K320">IFERROR(I320*INDEX('PORTIFÓLIO'!$S$4:$S$433,MATCH($C320,'PORTIFÓLIO'!$C$4:$C$433,0)),"")</f>
        <v/>
      </c>
      <c r="L320" s="292" t="str">
        <f t="array" ref="L320">IFERROR(J320*INDEX('PORTIFÓLIO'!$S$4:$S$433,MATCH($C320,'PORTIFÓLIO'!$C$4:$C$433,0)),"")</f>
        <v/>
      </c>
      <c r="M320" s="220"/>
      <c r="N320" s="220"/>
      <c r="O320" s="220"/>
      <c r="P320" s="220"/>
      <c r="Q320" s="220"/>
      <c r="R320" s="220"/>
      <c r="S320" s="220"/>
      <c r="T320" s="220"/>
      <c r="U320" s="220"/>
      <c r="V320" s="220"/>
      <c r="W320" s="220"/>
    </row>
    <row r="321" ht="15.75" customHeight="1" outlineLevel="1">
      <c r="A321" s="211"/>
      <c r="B321" s="212"/>
      <c r="C321" s="213"/>
      <c r="D321" s="214" t="str">
        <f>IFERROR(VLOOKUP($C321,'PORTIFÓLIO'!C:V,2,0),"")</f>
        <v/>
      </c>
      <c r="E321" s="211" t="str">
        <f>IFERROR(VLOOKUP($C321,'PORTIFÓLIO'!C:V,3,0),"")</f>
        <v/>
      </c>
      <c r="F321" s="211" t="str">
        <f>IFERROR(VLOOKUP($C321,'PORTIFÓLIO'!C:V,4,0),"")</f>
        <v/>
      </c>
      <c r="G321" s="215" t="str">
        <f>IFERROR(VLOOKUP($C321,'PORTIFÓLIO'!C:V,5,0),"")</f>
        <v/>
      </c>
      <c r="H321" s="254" t="str">
        <f t="array" ref="H321">IFERROR(INDEX('PORTIFÓLIO'!$H$4:$H$433,MATCH($C321,'PORTIFÓLIO'!$C$4:$C$433,0)),"")</f>
        <v/>
      </c>
      <c r="I321" s="256"/>
      <c r="J321" s="218">
        <f t="shared" si="35"/>
        <v>0</v>
      </c>
      <c r="K321" s="292" t="str">
        <f t="array" ref="K321">IFERROR(I321*INDEX('PORTIFÓLIO'!$S$4:$S$433,MATCH($C321,'PORTIFÓLIO'!$C$4:$C$433,0)),"")</f>
        <v/>
      </c>
      <c r="L321" s="292" t="str">
        <f t="array" ref="L321">IFERROR(J321*INDEX('PORTIFÓLIO'!$S$4:$S$433,MATCH($C321,'PORTIFÓLIO'!$C$4:$C$433,0)),"")</f>
        <v/>
      </c>
      <c r="M321" s="220"/>
      <c r="N321" s="220"/>
      <c r="O321" s="220"/>
      <c r="P321" s="220"/>
      <c r="Q321" s="220"/>
      <c r="R321" s="220"/>
      <c r="S321" s="220"/>
      <c r="T321" s="220"/>
      <c r="U321" s="220"/>
      <c r="V321" s="220"/>
      <c r="W321" s="220"/>
    </row>
    <row r="322" ht="15.75" customHeight="1" outlineLevel="1">
      <c r="A322" s="211"/>
      <c r="B322" s="212"/>
      <c r="C322" s="213"/>
      <c r="D322" s="214" t="str">
        <f>IFERROR(VLOOKUP($C322,'PORTIFÓLIO'!C:V,2,0),"")</f>
        <v/>
      </c>
      <c r="E322" s="211" t="str">
        <f>IFERROR(VLOOKUP($C322,'PORTIFÓLIO'!C:V,3,0),"")</f>
        <v/>
      </c>
      <c r="F322" s="211" t="str">
        <f>IFERROR(VLOOKUP($C322,'PORTIFÓLIO'!C:V,4,0),"")</f>
        <v/>
      </c>
      <c r="G322" s="215" t="str">
        <f>IFERROR(VLOOKUP($C322,'PORTIFÓLIO'!C:V,5,0),"")</f>
        <v/>
      </c>
      <c r="H322" s="254" t="str">
        <f t="array" ref="H322">IFERROR(INDEX('PORTIFÓLIO'!$H$4:$H$433,MATCH($C322,'PORTIFÓLIO'!$C$4:$C$433,0)),"")</f>
        <v/>
      </c>
      <c r="I322" s="256"/>
      <c r="J322" s="218">
        <f t="shared" si="35"/>
        <v>0</v>
      </c>
      <c r="K322" s="292" t="str">
        <f t="array" ref="K322">IFERROR(I322*INDEX('PORTIFÓLIO'!$S$4:$S$433,MATCH($C322,'PORTIFÓLIO'!$C$4:$C$433,0)),"")</f>
        <v/>
      </c>
      <c r="L322" s="292" t="str">
        <f t="array" ref="L322">IFERROR(J322*INDEX('PORTIFÓLIO'!$S$4:$S$433,MATCH($C322,'PORTIFÓLIO'!$C$4:$C$433,0)),"")</f>
        <v/>
      </c>
      <c r="M322" s="220"/>
      <c r="N322" s="220"/>
      <c r="O322" s="220"/>
      <c r="P322" s="220"/>
      <c r="Q322" s="220"/>
      <c r="R322" s="220"/>
      <c r="S322" s="220"/>
      <c r="T322" s="220"/>
      <c r="U322" s="220"/>
      <c r="V322" s="220"/>
      <c r="W322" s="220"/>
    </row>
    <row r="323" ht="15.75" customHeight="1" outlineLevel="1">
      <c r="A323" s="211"/>
      <c r="B323" s="212"/>
      <c r="C323" s="213"/>
      <c r="D323" s="214" t="str">
        <f>IFERROR(VLOOKUP($C323,'PORTIFÓLIO'!C:V,2,0),"")</f>
        <v/>
      </c>
      <c r="E323" s="211" t="str">
        <f>IFERROR(VLOOKUP($C323,'PORTIFÓLIO'!C:V,3,0),"")</f>
        <v/>
      </c>
      <c r="F323" s="211" t="str">
        <f>IFERROR(VLOOKUP($C323,'PORTIFÓLIO'!C:V,4,0),"")</f>
        <v/>
      </c>
      <c r="G323" s="215" t="str">
        <f>IFERROR(VLOOKUP($C323,'PORTIFÓLIO'!C:V,5,0),"")</f>
        <v/>
      </c>
      <c r="H323" s="254" t="str">
        <f t="array" ref="H323">IFERROR(INDEX('PORTIFÓLIO'!$H$4:$H$433,MATCH($C323,'PORTIFÓLIO'!$C$4:$C$433,0)),"")</f>
        <v/>
      </c>
      <c r="I323" s="256"/>
      <c r="J323" s="218">
        <f t="shared" si="35"/>
        <v>0</v>
      </c>
      <c r="K323" s="292" t="str">
        <f t="array" ref="K323">IFERROR(I323*INDEX('PORTIFÓLIO'!$S$4:$S$433,MATCH($C323,'PORTIFÓLIO'!$C$4:$C$433,0)),"")</f>
        <v/>
      </c>
      <c r="L323" s="292" t="str">
        <f t="array" ref="L323">IFERROR(J323*INDEX('PORTIFÓLIO'!$S$4:$S$433,MATCH($C323,'PORTIFÓLIO'!$C$4:$C$433,0)),"")</f>
        <v/>
      </c>
      <c r="M323" s="220"/>
      <c r="N323" s="220"/>
      <c r="O323" s="220"/>
      <c r="P323" s="220"/>
      <c r="Q323" s="220"/>
      <c r="R323" s="220"/>
      <c r="S323" s="220"/>
      <c r="T323" s="220"/>
      <c r="U323" s="220"/>
      <c r="V323" s="220"/>
      <c r="W323" s="220"/>
    </row>
    <row r="324" ht="15.75" customHeight="1">
      <c r="A324" s="229" t="s">
        <v>1189</v>
      </c>
      <c r="B324" s="230"/>
      <c r="C324" s="231"/>
      <c r="D324" s="232"/>
      <c r="E324" s="231"/>
      <c r="F324" s="231"/>
      <c r="G324" s="233"/>
      <c r="H324" s="233"/>
      <c r="I324" s="258"/>
      <c r="J324" s="236"/>
      <c r="K324" s="237">
        <f t="shared" ref="K324:L324" si="36">SUBTOTAL(9,K325:K338)</f>
        <v>0</v>
      </c>
      <c r="L324" s="237">
        <f t="shared" si="36"/>
        <v>0</v>
      </c>
      <c r="M324" s="220"/>
      <c r="N324" s="220"/>
      <c r="O324" s="220"/>
      <c r="P324" s="220"/>
      <c r="Q324" s="220"/>
      <c r="R324" s="220"/>
      <c r="S324" s="220"/>
      <c r="T324" s="220"/>
      <c r="U324" s="220"/>
      <c r="V324" s="220"/>
      <c r="W324" s="220"/>
    </row>
    <row r="325" ht="15.75" customHeight="1" outlineLevel="1">
      <c r="A325" s="213"/>
      <c r="B325" s="212"/>
      <c r="C325" s="213"/>
      <c r="D325" s="214" t="str">
        <f>IFERROR(VLOOKUP($C325,'PORTIFÓLIO'!C:V,2,0),"")</f>
        <v/>
      </c>
      <c r="E325" s="211" t="str">
        <f>IFERROR(VLOOKUP($C325,'PORTIFÓLIO'!C:V,3,0),"")</f>
        <v/>
      </c>
      <c r="F325" s="211" t="str">
        <f>IFERROR(VLOOKUP($C325,'PORTIFÓLIO'!C:V,4,0),"")</f>
        <v/>
      </c>
      <c r="G325" s="215" t="str">
        <f>IFERROR(VLOOKUP($C325,'PORTIFÓLIO'!C:V,5,0),"")</f>
        <v/>
      </c>
      <c r="H325" s="254" t="str">
        <f t="array" ref="H325">IFERROR(INDEX('PORTIFÓLIO'!$H$4:$H$433,MATCH($C325,'PORTIFÓLIO'!$C$4:$C$433,0)),"")</f>
        <v/>
      </c>
      <c r="I325" s="255"/>
      <c r="J325" s="218">
        <f t="shared" ref="J325:J339" si="37">I325*$B$2</f>
        <v>0</v>
      </c>
      <c r="K325" s="292" t="str">
        <f t="array" ref="K325">IFERROR(I325*INDEX('PORTIFÓLIO'!$S$4:$S$433,MATCH($C325,'PORTIFÓLIO'!$C$4:$C$433,0)),"")</f>
        <v/>
      </c>
      <c r="L325" s="292" t="str">
        <f t="array" ref="L325">IFERROR(J325*INDEX('PORTIFÓLIO'!$S$4:$S$433,MATCH($C325,'PORTIFÓLIO'!$C$4:$C$433,0)),"")</f>
        <v/>
      </c>
      <c r="M325" s="220"/>
      <c r="N325" s="220"/>
      <c r="O325" s="220"/>
      <c r="P325" s="220"/>
      <c r="Q325" s="220"/>
      <c r="R325" s="220"/>
      <c r="S325" s="220"/>
      <c r="T325" s="220"/>
      <c r="U325" s="220"/>
      <c r="V325" s="220"/>
      <c r="W325" s="220"/>
    </row>
    <row r="326" ht="15.75" customHeight="1" outlineLevel="1">
      <c r="A326" s="211"/>
      <c r="B326" s="212"/>
      <c r="C326" s="213"/>
      <c r="D326" s="214" t="str">
        <f>IFERROR(VLOOKUP($C326,'PORTIFÓLIO'!C:V,2,0),"")</f>
        <v/>
      </c>
      <c r="E326" s="211" t="str">
        <f>IFERROR(VLOOKUP($C326,'PORTIFÓLIO'!C:V,3,0),"")</f>
        <v/>
      </c>
      <c r="F326" s="211" t="str">
        <f>IFERROR(VLOOKUP($C326,'PORTIFÓLIO'!C:V,4,0),"")</f>
        <v/>
      </c>
      <c r="G326" s="215" t="str">
        <f>IFERROR(VLOOKUP($C326,'PORTIFÓLIO'!C:V,5,0),"")</f>
        <v/>
      </c>
      <c r="H326" s="254" t="str">
        <f t="array" ref="H326">IFERROR(INDEX('PORTIFÓLIO'!$H$4:$H$433,MATCH($C326,'PORTIFÓLIO'!$C$4:$C$433,0)),"")</f>
        <v/>
      </c>
      <c r="I326" s="256"/>
      <c r="J326" s="218">
        <f t="shared" si="37"/>
        <v>0</v>
      </c>
      <c r="K326" s="292" t="str">
        <f t="array" ref="K326">IFERROR(I326*INDEX('PORTIFÓLIO'!$S$4:$S$433,MATCH($C326,'PORTIFÓLIO'!$C$4:$C$433,0)),"")</f>
        <v/>
      </c>
      <c r="L326" s="292" t="str">
        <f t="array" ref="L326">IFERROR(J326*INDEX('PORTIFÓLIO'!$S$4:$S$433,MATCH($C326,'PORTIFÓLIO'!$C$4:$C$433,0)),"")</f>
        <v/>
      </c>
      <c r="M326" s="220"/>
      <c r="N326" s="220"/>
      <c r="O326" s="220"/>
      <c r="P326" s="220"/>
      <c r="Q326" s="220"/>
      <c r="R326" s="220"/>
      <c r="S326" s="220"/>
      <c r="T326" s="220"/>
      <c r="U326" s="220"/>
      <c r="V326" s="220"/>
      <c r="W326" s="220"/>
    </row>
    <row r="327" ht="15.75" customHeight="1" outlineLevel="1">
      <c r="A327" s="211"/>
      <c r="B327" s="212"/>
      <c r="C327" s="213"/>
      <c r="D327" s="214" t="str">
        <f>IFERROR(VLOOKUP($C327,'PORTIFÓLIO'!C:V,2,0),"")</f>
        <v/>
      </c>
      <c r="E327" s="211" t="str">
        <f>IFERROR(VLOOKUP($C327,'PORTIFÓLIO'!C:V,3,0),"")</f>
        <v/>
      </c>
      <c r="F327" s="211" t="str">
        <f>IFERROR(VLOOKUP($C327,'PORTIFÓLIO'!C:V,4,0),"")</f>
        <v/>
      </c>
      <c r="G327" s="215" t="str">
        <f>IFERROR(VLOOKUP($C327,'PORTIFÓLIO'!C:V,5,0),"")</f>
        <v/>
      </c>
      <c r="H327" s="254" t="str">
        <f t="array" ref="H327">IFERROR(INDEX('PORTIFÓLIO'!$H$4:$H$433,MATCH($C327,'PORTIFÓLIO'!$C$4:$C$433,0)),"")</f>
        <v/>
      </c>
      <c r="I327" s="256"/>
      <c r="J327" s="218">
        <f t="shared" si="37"/>
        <v>0</v>
      </c>
      <c r="K327" s="292" t="str">
        <f t="array" ref="K327">IFERROR(I327*INDEX('PORTIFÓLIO'!$S$4:$S$433,MATCH($C327,'PORTIFÓLIO'!$C$4:$C$433,0)),"")</f>
        <v/>
      </c>
      <c r="L327" s="292" t="str">
        <f t="array" ref="L327">IFERROR(J327*INDEX('PORTIFÓLIO'!$S$4:$S$433,MATCH($C327,'PORTIFÓLIO'!$C$4:$C$433,0)),"")</f>
        <v/>
      </c>
      <c r="M327" s="220"/>
      <c r="N327" s="220"/>
      <c r="O327" s="220"/>
      <c r="P327" s="220"/>
      <c r="Q327" s="220"/>
      <c r="R327" s="220"/>
      <c r="S327" s="220"/>
      <c r="T327" s="220"/>
      <c r="U327" s="220"/>
      <c r="V327" s="220"/>
      <c r="W327" s="220"/>
    </row>
    <row r="328" ht="15.75" customHeight="1" outlineLevel="1">
      <c r="A328" s="211"/>
      <c r="B328" s="212"/>
      <c r="C328" s="213"/>
      <c r="D328" s="214" t="str">
        <f>IFERROR(VLOOKUP($C328,'PORTIFÓLIO'!C:V,2,0),"")</f>
        <v/>
      </c>
      <c r="E328" s="211" t="str">
        <f>IFERROR(VLOOKUP($C328,'PORTIFÓLIO'!C:V,3,0),"")</f>
        <v/>
      </c>
      <c r="F328" s="211" t="str">
        <f>IFERROR(VLOOKUP($C328,'PORTIFÓLIO'!C:V,4,0),"")</f>
        <v/>
      </c>
      <c r="G328" s="215" t="str">
        <f>IFERROR(VLOOKUP($C328,'PORTIFÓLIO'!C:V,5,0),"")</f>
        <v/>
      </c>
      <c r="H328" s="254" t="str">
        <f t="array" ref="H328">IFERROR(INDEX('PORTIFÓLIO'!$H$4:$H$433,MATCH($C328,'PORTIFÓLIO'!$C$4:$C$433,0)),"")</f>
        <v/>
      </c>
      <c r="I328" s="256"/>
      <c r="J328" s="218">
        <f t="shared" si="37"/>
        <v>0</v>
      </c>
      <c r="K328" s="292" t="str">
        <f t="array" ref="K328">IFERROR(I328*INDEX('PORTIFÓLIO'!$S$4:$S$433,MATCH($C328,'PORTIFÓLIO'!$C$4:$C$433,0)),"")</f>
        <v/>
      </c>
      <c r="L328" s="292" t="str">
        <f t="array" ref="L328">IFERROR(J328*INDEX('PORTIFÓLIO'!$S$4:$S$433,MATCH($C328,'PORTIFÓLIO'!$C$4:$C$433,0)),"")</f>
        <v/>
      </c>
      <c r="M328" s="220"/>
      <c r="N328" s="220"/>
      <c r="O328" s="220"/>
      <c r="P328" s="220"/>
      <c r="Q328" s="220"/>
      <c r="R328" s="220"/>
      <c r="S328" s="220"/>
      <c r="T328" s="220"/>
      <c r="U328" s="220"/>
      <c r="V328" s="220"/>
      <c r="W328" s="220"/>
    </row>
    <row r="329" ht="15.75" customHeight="1" outlineLevel="1">
      <c r="A329" s="211"/>
      <c r="B329" s="212"/>
      <c r="C329" s="213"/>
      <c r="D329" s="214" t="str">
        <f>IFERROR(VLOOKUP($C329,'PORTIFÓLIO'!C:V,2,0),"")</f>
        <v/>
      </c>
      <c r="E329" s="211" t="str">
        <f>IFERROR(VLOOKUP($C329,'PORTIFÓLIO'!C:V,3,0),"")</f>
        <v/>
      </c>
      <c r="F329" s="211" t="str">
        <f>IFERROR(VLOOKUP($C329,'PORTIFÓLIO'!C:V,4,0),"")</f>
        <v/>
      </c>
      <c r="G329" s="215" t="str">
        <f>IFERROR(VLOOKUP($C329,'PORTIFÓLIO'!C:V,5,0),"")</f>
        <v/>
      </c>
      <c r="H329" s="254" t="str">
        <f t="array" ref="H329">IFERROR(INDEX('PORTIFÓLIO'!$H$4:$H$433,MATCH($C329,'PORTIFÓLIO'!$C$4:$C$433,0)),"")</f>
        <v/>
      </c>
      <c r="I329" s="256"/>
      <c r="J329" s="218">
        <f t="shared" si="37"/>
        <v>0</v>
      </c>
      <c r="K329" s="292" t="str">
        <f t="array" ref="K329">IFERROR(I329*INDEX('PORTIFÓLIO'!$S$4:$S$433,MATCH($C329,'PORTIFÓLIO'!$C$4:$C$433,0)),"")</f>
        <v/>
      </c>
      <c r="L329" s="292" t="str">
        <f t="array" ref="L329">IFERROR(J329*INDEX('PORTIFÓLIO'!$S$4:$S$433,MATCH($C329,'PORTIFÓLIO'!$C$4:$C$433,0)),"")</f>
        <v/>
      </c>
      <c r="M329" s="220"/>
      <c r="N329" s="220"/>
      <c r="O329" s="220"/>
      <c r="P329" s="220"/>
      <c r="Q329" s="220"/>
      <c r="R329" s="220"/>
      <c r="S329" s="220"/>
      <c r="T329" s="220"/>
      <c r="U329" s="220"/>
      <c r="V329" s="220"/>
      <c r="W329" s="220"/>
    </row>
    <row r="330" ht="15.75" customHeight="1" outlineLevel="1">
      <c r="A330" s="211"/>
      <c r="B330" s="212"/>
      <c r="C330" s="213"/>
      <c r="D330" s="214" t="str">
        <f>IFERROR(VLOOKUP($C330,'PORTIFÓLIO'!C:V,2,0),"")</f>
        <v/>
      </c>
      <c r="E330" s="211" t="str">
        <f>IFERROR(VLOOKUP($C330,'PORTIFÓLIO'!C:V,3,0),"")</f>
        <v/>
      </c>
      <c r="F330" s="211" t="str">
        <f>IFERROR(VLOOKUP($C330,'PORTIFÓLIO'!C:V,4,0),"")</f>
        <v/>
      </c>
      <c r="G330" s="215" t="str">
        <f>IFERROR(VLOOKUP($C330,'PORTIFÓLIO'!C:V,5,0),"")</f>
        <v/>
      </c>
      <c r="H330" s="254" t="str">
        <f t="array" ref="H330">IFERROR(INDEX('PORTIFÓLIO'!$H$4:$H$433,MATCH($C330,'PORTIFÓLIO'!$C$4:$C$433,0)),"")</f>
        <v/>
      </c>
      <c r="I330" s="256"/>
      <c r="J330" s="218">
        <f t="shared" si="37"/>
        <v>0</v>
      </c>
      <c r="K330" s="292" t="str">
        <f t="array" ref="K330">IFERROR(I330*INDEX('PORTIFÓLIO'!$S$4:$S$433,MATCH($C330,'PORTIFÓLIO'!$C$4:$C$433,0)),"")</f>
        <v/>
      </c>
      <c r="L330" s="292" t="str">
        <f t="array" ref="L330">IFERROR(J330*INDEX('PORTIFÓLIO'!$S$4:$S$433,MATCH($C330,'PORTIFÓLIO'!$C$4:$C$433,0)),"")</f>
        <v/>
      </c>
      <c r="M330" s="220"/>
      <c r="N330" s="220"/>
      <c r="O330" s="220"/>
      <c r="P330" s="220"/>
      <c r="Q330" s="220"/>
      <c r="R330" s="220"/>
      <c r="S330" s="220"/>
      <c r="T330" s="220"/>
      <c r="U330" s="220"/>
      <c r="V330" s="220"/>
      <c r="W330" s="220"/>
    </row>
    <row r="331" ht="15.75" customHeight="1" outlineLevel="1">
      <c r="A331" s="211"/>
      <c r="B331" s="212"/>
      <c r="C331" s="213"/>
      <c r="D331" s="214" t="str">
        <f>IFERROR(VLOOKUP($C331,'PORTIFÓLIO'!C:V,2,0),"")</f>
        <v/>
      </c>
      <c r="E331" s="211" t="str">
        <f>IFERROR(VLOOKUP($C331,'PORTIFÓLIO'!C:V,3,0),"")</f>
        <v/>
      </c>
      <c r="F331" s="211" t="str">
        <f>IFERROR(VLOOKUP($C331,'PORTIFÓLIO'!C:V,4,0),"")</f>
        <v/>
      </c>
      <c r="G331" s="215" t="str">
        <f>IFERROR(VLOOKUP($C331,'PORTIFÓLIO'!C:V,5,0),"")</f>
        <v/>
      </c>
      <c r="H331" s="254" t="str">
        <f t="array" ref="H331">IFERROR(INDEX('PORTIFÓLIO'!$H$4:$H$433,MATCH($C331,'PORTIFÓLIO'!$C$4:$C$433,0)),"")</f>
        <v/>
      </c>
      <c r="I331" s="256"/>
      <c r="J331" s="218">
        <f t="shared" si="37"/>
        <v>0</v>
      </c>
      <c r="K331" s="292" t="str">
        <f t="array" ref="K331">IFERROR(I331*INDEX('PORTIFÓLIO'!$S$4:$S$433,MATCH($C331,'PORTIFÓLIO'!$C$4:$C$433,0)),"")</f>
        <v/>
      </c>
      <c r="L331" s="292" t="str">
        <f t="array" ref="L331">IFERROR(J331*INDEX('PORTIFÓLIO'!$S$4:$S$433,MATCH($C331,'PORTIFÓLIO'!$C$4:$C$433,0)),"")</f>
        <v/>
      </c>
      <c r="M331" s="220"/>
      <c r="N331" s="220"/>
      <c r="O331" s="220"/>
      <c r="P331" s="220"/>
      <c r="Q331" s="220"/>
      <c r="R331" s="220"/>
      <c r="S331" s="220"/>
      <c r="T331" s="220"/>
      <c r="U331" s="220"/>
      <c r="V331" s="220"/>
      <c r="W331" s="220"/>
    </row>
    <row r="332" ht="15.75" customHeight="1" outlineLevel="1">
      <c r="A332" s="211"/>
      <c r="B332" s="212"/>
      <c r="C332" s="213"/>
      <c r="D332" s="214" t="str">
        <f>IFERROR(VLOOKUP($C332,'PORTIFÓLIO'!C:V,2,0),"")</f>
        <v/>
      </c>
      <c r="E332" s="211" t="str">
        <f>IFERROR(VLOOKUP($C332,'PORTIFÓLIO'!C:V,3,0),"")</f>
        <v/>
      </c>
      <c r="F332" s="211" t="str">
        <f>IFERROR(VLOOKUP($C332,'PORTIFÓLIO'!C:V,4,0),"")</f>
        <v/>
      </c>
      <c r="G332" s="215" t="str">
        <f>IFERROR(VLOOKUP($C332,'PORTIFÓLIO'!C:V,5,0),"")</f>
        <v/>
      </c>
      <c r="H332" s="254" t="str">
        <f t="array" ref="H332">IFERROR(INDEX('PORTIFÓLIO'!$H$4:$H$433,MATCH($C332,'PORTIFÓLIO'!$C$4:$C$433,0)),"")</f>
        <v/>
      </c>
      <c r="I332" s="256"/>
      <c r="J332" s="218">
        <f t="shared" si="37"/>
        <v>0</v>
      </c>
      <c r="K332" s="292" t="str">
        <f t="array" ref="K332">IFERROR(I332*INDEX('PORTIFÓLIO'!$S$4:$S$433,MATCH($C332,'PORTIFÓLIO'!$C$4:$C$433,0)),"")</f>
        <v/>
      </c>
      <c r="L332" s="292" t="str">
        <f t="array" ref="L332">IFERROR(J332*INDEX('PORTIFÓLIO'!$S$4:$S$433,MATCH($C332,'PORTIFÓLIO'!$C$4:$C$433,0)),"")</f>
        <v/>
      </c>
      <c r="M332" s="220"/>
      <c r="N332" s="220"/>
      <c r="O332" s="220"/>
      <c r="P332" s="220"/>
      <c r="Q332" s="220"/>
      <c r="R332" s="220"/>
      <c r="S332" s="220"/>
      <c r="T332" s="220"/>
      <c r="U332" s="220"/>
      <c r="V332" s="220"/>
      <c r="W332" s="220"/>
    </row>
    <row r="333" ht="15.75" customHeight="1" outlineLevel="1">
      <c r="A333" s="211"/>
      <c r="B333" s="212"/>
      <c r="C333" s="213"/>
      <c r="D333" s="214" t="str">
        <f>IFERROR(VLOOKUP($C333,'PORTIFÓLIO'!C:V,2,0),"")</f>
        <v/>
      </c>
      <c r="E333" s="211" t="str">
        <f>IFERROR(VLOOKUP($C333,'PORTIFÓLIO'!C:V,3,0),"")</f>
        <v/>
      </c>
      <c r="F333" s="211" t="str">
        <f>IFERROR(VLOOKUP($C333,'PORTIFÓLIO'!C:V,4,0),"")</f>
        <v/>
      </c>
      <c r="G333" s="215" t="str">
        <f>IFERROR(VLOOKUP($C333,'PORTIFÓLIO'!C:V,5,0),"")</f>
        <v/>
      </c>
      <c r="H333" s="254" t="str">
        <f t="array" ref="H333">IFERROR(INDEX('PORTIFÓLIO'!$H$4:$H$433,MATCH($C333,'PORTIFÓLIO'!$C$4:$C$433,0)),"")</f>
        <v/>
      </c>
      <c r="I333" s="255"/>
      <c r="J333" s="218">
        <f t="shared" si="37"/>
        <v>0</v>
      </c>
      <c r="K333" s="292" t="str">
        <f t="array" ref="K333">IFERROR(I333*INDEX('PORTIFÓLIO'!$S$4:$S$433,MATCH($C333,'PORTIFÓLIO'!$C$4:$C$433,0)),"")</f>
        <v/>
      </c>
      <c r="L333" s="292" t="str">
        <f t="array" ref="L333">IFERROR(J333*INDEX('PORTIFÓLIO'!$S$4:$S$433,MATCH($C333,'PORTIFÓLIO'!$C$4:$C$433,0)),"")</f>
        <v/>
      </c>
      <c r="M333" s="220"/>
      <c r="N333" s="220"/>
      <c r="O333" s="220"/>
      <c r="P333" s="220"/>
      <c r="Q333" s="220"/>
      <c r="R333" s="220"/>
      <c r="S333" s="220"/>
      <c r="T333" s="220"/>
      <c r="U333" s="220"/>
      <c r="V333" s="220"/>
      <c r="W333" s="220"/>
    </row>
    <row r="334" ht="15.75" customHeight="1" outlineLevel="1">
      <c r="A334" s="211"/>
      <c r="B334" s="212"/>
      <c r="C334" s="213"/>
      <c r="D334" s="214" t="str">
        <f>IFERROR(VLOOKUP($C334,'PORTIFÓLIO'!C:V,2,0),"")</f>
        <v/>
      </c>
      <c r="E334" s="211" t="str">
        <f>IFERROR(VLOOKUP($C334,'PORTIFÓLIO'!C:V,3,0),"")</f>
        <v/>
      </c>
      <c r="F334" s="211" t="str">
        <f>IFERROR(VLOOKUP($C334,'PORTIFÓLIO'!C:V,4,0),"")</f>
        <v/>
      </c>
      <c r="G334" s="215" t="str">
        <f>IFERROR(VLOOKUP($C334,'PORTIFÓLIO'!C:V,5,0),"")</f>
        <v/>
      </c>
      <c r="H334" s="254" t="str">
        <f t="array" ref="H334">IFERROR(INDEX('PORTIFÓLIO'!$H$4:$H$433,MATCH($C334,'PORTIFÓLIO'!$C$4:$C$433,0)),"")</f>
        <v/>
      </c>
      <c r="I334" s="256"/>
      <c r="J334" s="218">
        <f t="shared" si="37"/>
        <v>0</v>
      </c>
      <c r="K334" s="292" t="str">
        <f t="array" ref="K334">IFERROR(I334*INDEX('PORTIFÓLIO'!$S$4:$S$433,MATCH($C334,'PORTIFÓLIO'!$C$4:$C$433,0)),"")</f>
        <v/>
      </c>
      <c r="L334" s="292" t="str">
        <f t="array" ref="L334">IFERROR(J334*INDEX('PORTIFÓLIO'!$S$4:$S$433,MATCH($C334,'PORTIFÓLIO'!$C$4:$C$433,0)),"")</f>
        <v/>
      </c>
      <c r="M334" s="220"/>
      <c r="N334" s="220"/>
      <c r="O334" s="220"/>
      <c r="P334" s="220"/>
      <c r="Q334" s="220"/>
      <c r="R334" s="220"/>
      <c r="S334" s="220"/>
      <c r="T334" s="220"/>
      <c r="U334" s="220"/>
      <c r="V334" s="220"/>
      <c r="W334" s="220"/>
    </row>
    <row r="335" ht="15.75" customHeight="1" outlineLevel="1">
      <c r="A335" s="211"/>
      <c r="B335" s="212"/>
      <c r="C335" s="213"/>
      <c r="D335" s="214" t="str">
        <f>IFERROR(VLOOKUP($C335,'PORTIFÓLIO'!C:V,2,0),"")</f>
        <v/>
      </c>
      <c r="E335" s="211" t="str">
        <f>IFERROR(VLOOKUP($C335,'PORTIFÓLIO'!C:V,3,0),"")</f>
        <v/>
      </c>
      <c r="F335" s="211" t="str">
        <f>IFERROR(VLOOKUP($C335,'PORTIFÓLIO'!C:V,4,0),"")</f>
        <v/>
      </c>
      <c r="G335" s="215" t="str">
        <f>IFERROR(VLOOKUP($C335,'PORTIFÓLIO'!C:V,5,0),"")</f>
        <v/>
      </c>
      <c r="H335" s="254" t="str">
        <f t="array" ref="H335">IFERROR(INDEX('PORTIFÓLIO'!$H$4:$H$433,MATCH($C335,'PORTIFÓLIO'!$C$4:$C$433,0)),"")</f>
        <v/>
      </c>
      <c r="I335" s="256"/>
      <c r="J335" s="218">
        <f t="shared" si="37"/>
        <v>0</v>
      </c>
      <c r="K335" s="292" t="str">
        <f t="array" ref="K335">IFERROR(I335*INDEX('PORTIFÓLIO'!$S$4:$S$433,MATCH($C335,'PORTIFÓLIO'!$C$4:$C$433,0)),"")</f>
        <v/>
      </c>
      <c r="L335" s="292" t="str">
        <f t="array" ref="L335">IFERROR(J335*INDEX('PORTIFÓLIO'!$S$4:$S$433,MATCH($C335,'PORTIFÓLIO'!$C$4:$C$433,0)),"")</f>
        <v/>
      </c>
      <c r="M335" s="220"/>
      <c r="N335" s="220"/>
      <c r="O335" s="220"/>
      <c r="P335" s="220"/>
      <c r="Q335" s="220"/>
      <c r="R335" s="220"/>
      <c r="S335" s="220"/>
      <c r="T335" s="220"/>
      <c r="U335" s="220"/>
      <c r="V335" s="220"/>
      <c r="W335" s="220"/>
    </row>
    <row r="336" ht="15.75" customHeight="1" outlineLevel="1">
      <c r="A336" s="211"/>
      <c r="B336" s="212"/>
      <c r="C336" s="213"/>
      <c r="D336" s="214" t="str">
        <f>IFERROR(VLOOKUP($C336,'PORTIFÓLIO'!C:V,2,0),"")</f>
        <v/>
      </c>
      <c r="E336" s="211" t="str">
        <f>IFERROR(VLOOKUP($C336,'PORTIFÓLIO'!C:V,3,0),"")</f>
        <v/>
      </c>
      <c r="F336" s="211" t="str">
        <f>IFERROR(VLOOKUP($C336,'PORTIFÓLIO'!C:V,4,0),"")</f>
        <v/>
      </c>
      <c r="G336" s="215" t="str">
        <f>IFERROR(VLOOKUP($C336,'PORTIFÓLIO'!C:V,5,0),"")</f>
        <v/>
      </c>
      <c r="H336" s="254" t="str">
        <f t="array" ref="H336">IFERROR(INDEX('PORTIFÓLIO'!$H$4:$H$433,MATCH($C336,'PORTIFÓLIO'!$C$4:$C$433,0)),"")</f>
        <v/>
      </c>
      <c r="I336" s="256"/>
      <c r="J336" s="218">
        <f t="shared" si="37"/>
        <v>0</v>
      </c>
      <c r="K336" s="292" t="str">
        <f t="array" ref="K336">IFERROR(I336*INDEX('PORTIFÓLIO'!$S$4:$S$433,MATCH($C336,'PORTIFÓLIO'!$C$4:$C$433,0)),"")</f>
        <v/>
      </c>
      <c r="L336" s="292" t="str">
        <f t="array" ref="L336">IFERROR(J336*INDEX('PORTIFÓLIO'!$S$4:$S$433,MATCH($C336,'PORTIFÓLIO'!$C$4:$C$433,0)),"")</f>
        <v/>
      </c>
      <c r="M336" s="220"/>
      <c r="N336" s="220"/>
      <c r="O336" s="220"/>
      <c r="P336" s="220"/>
      <c r="Q336" s="220"/>
      <c r="R336" s="220"/>
      <c r="S336" s="220"/>
      <c r="T336" s="220"/>
      <c r="U336" s="220"/>
      <c r="V336" s="220"/>
      <c r="W336" s="220"/>
    </row>
    <row r="337" ht="15.75" customHeight="1" outlineLevel="1">
      <c r="A337" s="211"/>
      <c r="B337" s="212"/>
      <c r="C337" s="213"/>
      <c r="D337" s="214" t="str">
        <f>IFERROR(VLOOKUP($C337,'PORTIFÓLIO'!C:V,2,0),"")</f>
        <v/>
      </c>
      <c r="E337" s="211" t="str">
        <f>IFERROR(VLOOKUP($C337,'PORTIFÓLIO'!C:V,3,0),"")</f>
        <v/>
      </c>
      <c r="F337" s="211" t="str">
        <f>IFERROR(VLOOKUP($C337,'PORTIFÓLIO'!C:V,4,0),"")</f>
        <v/>
      </c>
      <c r="G337" s="215" t="str">
        <f>IFERROR(VLOOKUP($C337,'PORTIFÓLIO'!C:V,5,0),"")</f>
        <v/>
      </c>
      <c r="H337" s="254" t="str">
        <f t="array" ref="H337">IFERROR(INDEX('PORTIFÓLIO'!$H$4:$H$433,MATCH($C337,'PORTIFÓLIO'!$C$4:$C$433,0)),"")</f>
        <v/>
      </c>
      <c r="I337" s="256"/>
      <c r="J337" s="218">
        <f t="shared" si="37"/>
        <v>0</v>
      </c>
      <c r="K337" s="292" t="str">
        <f t="array" ref="K337">IFERROR(I337*INDEX('PORTIFÓLIO'!$S$4:$S$433,MATCH($C337,'PORTIFÓLIO'!$C$4:$C$433,0)),"")</f>
        <v/>
      </c>
      <c r="L337" s="292" t="str">
        <f t="array" ref="L337">IFERROR(J337*INDEX('PORTIFÓLIO'!$S$4:$S$433,MATCH($C337,'PORTIFÓLIO'!$C$4:$C$433,0)),"")</f>
        <v/>
      </c>
      <c r="M337" s="220"/>
      <c r="N337" s="220"/>
      <c r="O337" s="220"/>
      <c r="P337" s="220"/>
      <c r="Q337" s="220"/>
      <c r="R337" s="220"/>
      <c r="S337" s="220"/>
      <c r="T337" s="220"/>
      <c r="U337" s="220"/>
      <c r="V337" s="220"/>
      <c r="W337" s="220"/>
    </row>
    <row r="338" ht="15.75" customHeight="1" outlineLevel="1">
      <c r="A338" s="211"/>
      <c r="B338" s="212"/>
      <c r="C338" s="213"/>
      <c r="D338" s="214" t="str">
        <f>IFERROR(VLOOKUP($C338,'PORTIFÓLIO'!C:V,2,0),"")</f>
        <v/>
      </c>
      <c r="E338" s="211" t="str">
        <f>IFERROR(VLOOKUP($C338,'PORTIFÓLIO'!C:V,3,0),"")</f>
        <v/>
      </c>
      <c r="F338" s="211" t="str">
        <f>IFERROR(VLOOKUP($C338,'PORTIFÓLIO'!C:V,4,0),"")</f>
        <v/>
      </c>
      <c r="G338" s="215" t="str">
        <f>IFERROR(VLOOKUP($C338,'PORTIFÓLIO'!C:V,5,0),"")</f>
        <v/>
      </c>
      <c r="H338" s="254" t="str">
        <f t="array" ref="H338">IFERROR(INDEX('PORTIFÓLIO'!$H$4:$H$433,MATCH($C338,'PORTIFÓLIO'!$C$4:$C$433,0)),"")</f>
        <v/>
      </c>
      <c r="I338" s="256"/>
      <c r="J338" s="218">
        <f t="shared" si="37"/>
        <v>0</v>
      </c>
      <c r="K338" s="292" t="str">
        <f t="array" ref="K338">IFERROR(I338*INDEX('PORTIFÓLIO'!$S$4:$S$433,MATCH($C338,'PORTIFÓLIO'!$C$4:$C$433,0)),"")</f>
        <v/>
      </c>
      <c r="L338" s="292" t="str">
        <f t="array" ref="L338">IFERROR(J338*INDEX('PORTIFÓLIO'!$S$4:$S$433,MATCH($C338,'PORTIFÓLIO'!$C$4:$C$433,0)),"")</f>
        <v/>
      </c>
      <c r="M338" s="220"/>
      <c r="N338" s="220"/>
      <c r="O338" s="220"/>
      <c r="P338" s="220"/>
      <c r="Q338" s="220"/>
      <c r="R338" s="220"/>
      <c r="S338" s="220"/>
      <c r="T338" s="220"/>
      <c r="U338" s="220"/>
      <c r="V338" s="220"/>
      <c r="W338" s="220"/>
    </row>
    <row r="339" ht="15.75" customHeight="1" outlineLevel="1">
      <c r="A339" s="211"/>
      <c r="B339" s="212"/>
      <c r="C339" s="213"/>
      <c r="D339" s="214" t="str">
        <f>IFERROR(VLOOKUP($C339,'PORTIFÓLIO'!C:V,2,0),"")</f>
        <v/>
      </c>
      <c r="E339" s="211" t="str">
        <f>IFERROR(VLOOKUP($C339,'PORTIFÓLIO'!C:V,3,0),"")</f>
        <v/>
      </c>
      <c r="F339" s="211" t="str">
        <f>IFERROR(VLOOKUP($C339,'PORTIFÓLIO'!C:V,4,0),"")</f>
        <v/>
      </c>
      <c r="G339" s="215" t="str">
        <f>IFERROR(VLOOKUP($C339,'PORTIFÓLIO'!C:V,5,0),"")</f>
        <v/>
      </c>
      <c r="H339" s="254" t="str">
        <f t="array" ref="H339">IFERROR(INDEX('PORTIFÓLIO'!$H$4:$H$433,MATCH($C339,'PORTIFÓLIO'!$C$4:$C$433,0)),"")</f>
        <v/>
      </c>
      <c r="I339" s="256"/>
      <c r="J339" s="218">
        <f t="shared" si="37"/>
        <v>0</v>
      </c>
      <c r="K339" s="292" t="str">
        <f t="array" ref="K339">IFERROR(I339*INDEX('PORTIFÓLIO'!$S$4:$S$433,MATCH($C339,'PORTIFÓLIO'!$C$4:$C$433,0)),"")</f>
        <v/>
      </c>
      <c r="L339" s="292" t="str">
        <f t="array" ref="L339">IFERROR(J339*INDEX('PORTIFÓLIO'!$S$4:$S$433,MATCH($C339,'PORTIFÓLIO'!$C$4:$C$433,0)),"")</f>
        <v/>
      </c>
      <c r="M339" s="220"/>
      <c r="N339" s="220"/>
      <c r="O339" s="220"/>
      <c r="P339" s="220"/>
      <c r="Q339" s="220"/>
      <c r="R339" s="220"/>
      <c r="S339" s="220"/>
      <c r="T339" s="220"/>
      <c r="U339" s="220"/>
      <c r="V339" s="220"/>
      <c r="W339" s="220"/>
    </row>
    <row r="340" ht="15.75" customHeight="1" outlineLevel="1">
      <c r="A340" s="211"/>
      <c r="B340" s="227"/>
      <c r="C340" s="211"/>
      <c r="D340" s="214" t="str">
        <f>IFERROR(VLOOKUP($C340,'PORTIFÓLIO'!C:V,2,0),"")</f>
        <v/>
      </c>
      <c r="E340" s="211" t="str">
        <f>IFERROR(VLOOKUP($C340,'PORTIFÓLIO'!C:V,3,0),"")</f>
        <v/>
      </c>
      <c r="F340" s="211" t="str">
        <f>IFERROR(VLOOKUP($C340,'PORTIFÓLIO'!C:V,4,0),"")</f>
        <v/>
      </c>
      <c r="G340" s="215" t="str">
        <f>IFERROR(VLOOKUP($C340,'PORTIFÓLIO'!C:V,5,0),"")</f>
        <v/>
      </c>
      <c r="H340" s="254" t="str">
        <f t="array" ref="H340">IFERROR(INDEX('PORTIFÓLIO'!$H$4:$H$433,MATCH($C340,'PORTIFÓLIO'!$C$4:$C$433,0)),"")</f>
        <v/>
      </c>
      <c r="I340" s="256"/>
      <c r="J340" s="218"/>
      <c r="K340" s="292" t="str">
        <f t="array" ref="K340">IFERROR(I340*INDEX('PORTIFÓLIO'!$S$4:$S$433,MATCH($C340,'PORTIFÓLIO'!$C$4:$C$433,0)),"")</f>
        <v/>
      </c>
      <c r="L340" s="292" t="str">
        <f t="array" ref="L340">IFERROR(J340*INDEX('PORTIFÓLIO'!$S$4:$S$433,MATCH($C340,'PORTIFÓLIO'!$C$4:$C$433,0)),"")</f>
        <v/>
      </c>
      <c r="M340" s="220"/>
      <c r="N340" s="220"/>
      <c r="O340" s="220"/>
      <c r="P340" s="220"/>
      <c r="Q340" s="220"/>
      <c r="R340" s="220"/>
      <c r="S340" s="220"/>
      <c r="T340" s="220"/>
      <c r="U340" s="220"/>
      <c r="V340" s="220"/>
      <c r="W340" s="220"/>
    </row>
    <row r="341" ht="15.75" customHeight="1">
      <c r="A341" s="229" t="s">
        <v>1190</v>
      </c>
      <c r="B341" s="230"/>
      <c r="C341" s="231"/>
      <c r="D341" s="232"/>
      <c r="E341" s="231"/>
      <c r="F341" s="231"/>
      <c r="G341" s="233"/>
      <c r="H341" s="233"/>
      <c r="I341" s="258"/>
      <c r="J341" s="236"/>
      <c r="K341" s="237">
        <f t="shared" ref="K341:L341" si="38">SUBTOTAL(9,K342:K355)</f>
        <v>0</v>
      </c>
      <c r="L341" s="237">
        <f t="shared" si="38"/>
        <v>0</v>
      </c>
      <c r="M341" s="220"/>
      <c r="N341" s="220"/>
      <c r="O341" s="220"/>
      <c r="P341" s="220"/>
      <c r="Q341" s="220"/>
      <c r="R341" s="220"/>
      <c r="S341" s="220"/>
      <c r="T341" s="220"/>
      <c r="U341" s="220"/>
      <c r="V341" s="220"/>
      <c r="W341" s="220"/>
    </row>
    <row r="342" ht="15.75" customHeight="1" outlineLevel="1">
      <c r="A342" s="213"/>
      <c r="B342" s="212"/>
      <c r="C342" s="213"/>
      <c r="D342" s="214" t="str">
        <f>IFERROR(VLOOKUP($C342,'PORTIFÓLIO'!C:V,2,0),"")</f>
        <v/>
      </c>
      <c r="E342" s="211" t="str">
        <f>IFERROR(VLOOKUP($C342,'PORTIFÓLIO'!C:V,3,0),"")</f>
        <v/>
      </c>
      <c r="F342" s="211" t="str">
        <f>IFERROR(VLOOKUP($C342,'PORTIFÓLIO'!C:V,4,0),"")</f>
        <v/>
      </c>
      <c r="G342" s="215" t="str">
        <f>IFERROR(VLOOKUP($C342,'PORTIFÓLIO'!C:V,5,0),"")</f>
        <v/>
      </c>
      <c r="H342" s="254" t="str">
        <f t="array" ref="H342">IFERROR(INDEX('PORTIFÓLIO'!$H$4:$H$433,MATCH($C342,'PORTIFÓLIO'!$C$4:$C$433,0)),"")</f>
        <v/>
      </c>
      <c r="I342" s="255"/>
      <c r="J342" s="218">
        <f t="shared" ref="J342:J356" si="39">I342*$B$2</f>
        <v>0</v>
      </c>
      <c r="K342" s="292" t="str">
        <f t="array" ref="K342">IFERROR(I342*INDEX('PORTIFÓLIO'!$S$4:$S$433,MATCH($C342,'PORTIFÓLIO'!$C$4:$C$433,0)),"")</f>
        <v/>
      </c>
      <c r="L342" s="292" t="str">
        <f t="array" ref="L342">IFERROR(J342*INDEX('PORTIFÓLIO'!$S$4:$S$433,MATCH($C342,'PORTIFÓLIO'!$C$4:$C$433,0)),"")</f>
        <v/>
      </c>
      <c r="M342" s="220"/>
      <c r="N342" s="220"/>
      <c r="O342" s="220"/>
      <c r="P342" s="220"/>
      <c r="Q342" s="220"/>
      <c r="R342" s="220"/>
      <c r="S342" s="220"/>
      <c r="T342" s="220"/>
      <c r="U342" s="220"/>
      <c r="V342" s="220"/>
      <c r="W342" s="220"/>
    </row>
    <row r="343" ht="15.75" customHeight="1" outlineLevel="1">
      <c r="A343" s="211"/>
      <c r="B343" s="212"/>
      <c r="C343" s="213"/>
      <c r="D343" s="214" t="str">
        <f>IFERROR(VLOOKUP($C343,'PORTIFÓLIO'!C:V,2,0),"")</f>
        <v/>
      </c>
      <c r="E343" s="211" t="str">
        <f>IFERROR(VLOOKUP($C343,'PORTIFÓLIO'!C:V,3,0),"")</f>
        <v/>
      </c>
      <c r="F343" s="211" t="str">
        <f>IFERROR(VLOOKUP($C343,'PORTIFÓLIO'!C:V,4,0),"")</f>
        <v/>
      </c>
      <c r="G343" s="215" t="str">
        <f>IFERROR(VLOOKUP($C343,'PORTIFÓLIO'!C:V,5,0),"")</f>
        <v/>
      </c>
      <c r="H343" s="254" t="str">
        <f t="array" ref="H343">IFERROR(INDEX('PORTIFÓLIO'!$H$4:$H$433,MATCH($C343,'PORTIFÓLIO'!$C$4:$C$433,0)),"")</f>
        <v/>
      </c>
      <c r="I343" s="256"/>
      <c r="J343" s="218">
        <f t="shared" si="39"/>
        <v>0</v>
      </c>
      <c r="K343" s="292" t="str">
        <f t="array" ref="K343">IFERROR(I343*INDEX('PORTIFÓLIO'!$S$4:$S$433,MATCH($C343,'PORTIFÓLIO'!$C$4:$C$433,0)),"")</f>
        <v/>
      </c>
      <c r="L343" s="292" t="str">
        <f t="array" ref="L343">IFERROR(J343*INDEX('PORTIFÓLIO'!$S$4:$S$433,MATCH($C343,'PORTIFÓLIO'!$C$4:$C$433,0)),"")</f>
        <v/>
      </c>
      <c r="M343" s="220"/>
      <c r="N343" s="220"/>
      <c r="O343" s="220"/>
      <c r="P343" s="220"/>
      <c r="Q343" s="220"/>
      <c r="R343" s="220"/>
      <c r="S343" s="220"/>
      <c r="T343" s="220"/>
      <c r="U343" s="220"/>
      <c r="V343" s="220"/>
      <c r="W343" s="220"/>
    </row>
    <row r="344" ht="15.75" customHeight="1" outlineLevel="1">
      <c r="A344" s="211"/>
      <c r="B344" s="212"/>
      <c r="C344" s="213"/>
      <c r="D344" s="214" t="str">
        <f>IFERROR(VLOOKUP($C344,'PORTIFÓLIO'!C:V,2,0),"")</f>
        <v/>
      </c>
      <c r="E344" s="211" t="str">
        <f>IFERROR(VLOOKUP($C344,'PORTIFÓLIO'!C:V,3,0),"")</f>
        <v/>
      </c>
      <c r="F344" s="211" t="str">
        <f>IFERROR(VLOOKUP($C344,'PORTIFÓLIO'!C:V,4,0),"")</f>
        <v/>
      </c>
      <c r="G344" s="215" t="str">
        <f>IFERROR(VLOOKUP($C344,'PORTIFÓLIO'!C:V,5,0),"")</f>
        <v/>
      </c>
      <c r="H344" s="254" t="str">
        <f t="array" ref="H344">IFERROR(INDEX('PORTIFÓLIO'!$H$4:$H$433,MATCH($C344,'PORTIFÓLIO'!$C$4:$C$433,0)),"")</f>
        <v/>
      </c>
      <c r="I344" s="256"/>
      <c r="J344" s="218">
        <f t="shared" si="39"/>
        <v>0</v>
      </c>
      <c r="K344" s="292" t="str">
        <f t="array" ref="K344">IFERROR(I344*INDEX('PORTIFÓLIO'!$S$4:$S$433,MATCH($C344,'PORTIFÓLIO'!$C$4:$C$433,0)),"")</f>
        <v/>
      </c>
      <c r="L344" s="292" t="str">
        <f t="array" ref="L344">IFERROR(J344*INDEX('PORTIFÓLIO'!$S$4:$S$433,MATCH($C344,'PORTIFÓLIO'!$C$4:$C$433,0)),"")</f>
        <v/>
      </c>
      <c r="M344" s="220"/>
      <c r="N344" s="220"/>
      <c r="O344" s="220"/>
      <c r="P344" s="220"/>
      <c r="Q344" s="220"/>
      <c r="R344" s="220"/>
      <c r="S344" s="220"/>
      <c r="T344" s="220"/>
      <c r="U344" s="220"/>
      <c r="V344" s="220"/>
      <c r="W344" s="220"/>
    </row>
    <row r="345" ht="15.75" customHeight="1" outlineLevel="1">
      <c r="A345" s="211"/>
      <c r="B345" s="212"/>
      <c r="C345" s="213"/>
      <c r="D345" s="214" t="str">
        <f>IFERROR(VLOOKUP($C345,'PORTIFÓLIO'!C:V,2,0),"")</f>
        <v/>
      </c>
      <c r="E345" s="211" t="str">
        <f>IFERROR(VLOOKUP($C345,'PORTIFÓLIO'!C:V,3,0),"")</f>
        <v/>
      </c>
      <c r="F345" s="211" t="str">
        <f>IFERROR(VLOOKUP($C345,'PORTIFÓLIO'!C:V,4,0),"")</f>
        <v/>
      </c>
      <c r="G345" s="215" t="str">
        <f>IFERROR(VLOOKUP($C345,'PORTIFÓLIO'!C:V,5,0),"")</f>
        <v/>
      </c>
      <c r="H345" s="254" t="str">
        <f t="array" ref="H345">IFERROR(INDEX('PORTIFÓLIO'!$H$4:$H$433,MATCH($C345,'PORTIFÓLIO'!$C$4:$C$433,0)),"")</f>
        <v/>
      </c>
      <c r="I345" s="256"/>
      <c r="J345" s="218">
        <f t="shared" si="39"/>
        <v>0</v>
      </c>
      <c r="K345" s="292" t="str">
        <f t="array" ref="K345">IFERROR(I345*INDEX('PORTIFÓLIO'!$S$4:$S$433,MATCH($C345,'PORTIFÓLIO'!$C$4:$C$433,0)),"")</f>
        <v/>
      </c>
      <c r="L345" s="292" t="str">
        <f t="array" ref="L345">IFERROR(J345*INDEX('PORTIFÓLIO'!$S$4:$S$433,MATCH($C345,'PORTIFÓLIO'!$C$4:$C$433,0)),"")</f>
        <v/>
      </c>
      <c r="M345" s="220"/>
      <c r="N345" s="220"/>
      <c r="O345" s="220"/>
      <c r="P345" s="220"/>
      <c r="Q345" s="220"/>
      <c r="R345" s="220"/>
      <c r="S345" s="220"/>
      <c r="T345" s="220"/>
      <c r="U345" s="220"/>
      <c r="V345" s="220"/>
      <c r="W345" s="220"/>
    </row>
    <row r="346" ht="15.75" customHeight="1" outlineLevel="1">
      <c r="A346" s="211"/>
      <c r="B346" s="212"/>
      <c r="C346" s="213"/>
      <c r="D346" s="214" t="str">
        <f>IFERROR(VLOOKUP($C346,'PORTIFÓLIO'!C:V,2,0),"")</f>
        <v/>
      </c>
      <c r="E346" s="211" t="str">
        <f>IFERROR(VLOOKUP($C346,'PORTIFÓLIO'!C:V,3,0),"")</f>
        <v/>
      </c>
      <c r="F346" s="211" t="str">
        <f>IFERROR(VLOOKUP($C346,'PORTIFÓLIO'!C:V,4,0),"")</f>
        <v/>
      </c>
      <c r="G346" s="215" t="str">
        <f>IFERROR(VLOOKUP($C346,'PORTIFÓLIO'!C:V,5,0),"")</f>
        <v/>
      </c>
      <c r="H346" s="254" t="str">
        <f t="array" ref="H346">IFERROR(INDEX('PORTIFÓLIO'!$H$4:$H$433,MATCH($C346,'PORTIFÓLIO'!$C$4:$C$433,0)),"")</f>
        <v/>
      </c>
      <c r="I346" s="256"/>
      <c r="J346" s="218">
        <f t="shared" si="39"/>
        <v>0</v>
      </c>
      <c r="K346" s="292" t="str">
        <f t="array" ref="K346">IFERROR(I346*INDEX('PORTIFÓLIO'!$S$4:$S$433,MATCH($C346,'PORTIFÓLIO'!$C$4:$C$433,0)),"")</f>
        <v/>
      </c>
      <c r="L346" s="292" t="str">
        <f t="array" ref="L346">IFERROR(J346*INDEX('PORTIFÓLIO'!$S$4:$S$433,MATCH($C346,'PORTIFÓLIO'!$C$4:$C$433,0)),"")</f>
        <v/>
      </c>
      <c r="M346" s="220"/>
      <c r="N346" s="220"/>
      <c r="O346" s="220"/>
      <c r="P346" s="220"/>
      <c r="Q346" s="220"/>
      <c r="R346" s="220"/>
      <c r="S346" s="220"/>
      <c r="T346" s="220"/>
      <c r="U346" s="220"/>
      <c r="V346" s="220"/>
      <c r="W346" s="220"/>
    </row>
    <row r="347" ht="15.75" customHeight="1" outlineLevel="1">
      <c r="A347" s="211"/>
      <c r="B347" s="212"/>
      <c r="C347" s="213"/>
      <c r="D347" s="214" t="str">
        <f>IFERROR(VLOOKUP($C347,'PORTIFÓLIO'!C:V,2,0),"")</f>
        <v/>
      </c>
      <c r="E347" s="211" t="str">
        <f>IFERROR(VLOOKUP($C347,'PORTIFÓLIO'!C:V,3,0),"")</f>
        <v/>
      </c>
      <c r="F347" s="211" t="str">
        <f>IFERROR(VLOOKUP($C347,'PORTIFÓLIO'!C:V,4,0),"")</f>
        <v/>
      </c>
      <c r="G347" s="215" t="str">
        <f>IFERROR(VLOOKUP($C347,'PORTIFÓLIO'!C:V,5,0),"")</f>
        <v/>
      </c>
      <c r="H347" s="254" t="str">
        <f t="array" ref="H347">IFERROR(INDEX('PORTIFÓLIO'!$H$4:$H$433,MATCH($C347,'PORTIFÓLIO'!$C$4:$C$433,0)),"")</f>
        <v/>
      </c>
      <c r="I347" s="256"/>
      <c r="J347" s="218">
        <f t="shared" si="39"/>
        <v>0</v>
      </c>
      <c r="K347" s="292" t="str">
        <f t="array" ref="K347">IFERROR(I347*INDEX('PORTIFÓLIO'!$S$4:$S$433,MATCH($C347,'PORTIFÓLIO'!$C$4:$C$433,0)),"")</f>
        <v/>
      </c>
      <c r="L347" s="292" t="str">
        <f t="array" ref="L347">IFERROR(J347*INDEX('PORTIFÓLIO'!$S$4:$S$433,MATCH($C347,'PORTIFÓLIO'!$C$4:$C$433,0)),"")</f>
        <v/>
      </c>
      <c r="M347" s="220"/>
      <c r="N347" s="220"/>
      <c r="O347" s="220"/>
      <c r="P347" s="220"/>
      <c r="Q347" s="220"/>
      <c r="R347" s="220"/>
      <c r="S347" s="220"/>
      <c r="T347" s="220"/>
      <c r="U347" s="220"/>
      <c r="V347" s="220"/>
      <c r="W347" s="220"/>
    </row>
    <row r="348" ht="15.75" customHeight="1" outlineLevel="1">
      <c r="A348" s="211"/>
      <c r="B348" s="212"/>
      <c r="C348" s="213"/>
      <c r="D348" s="214" t="str">
        <f>IFERROR(VLOOKUP($C348,'PORTIFÓLIO'!C:V,2,0),"")</f>
        <v/>
      </c>
      <c r="E348" s="211" t="str">
        <f>IFERROR(VLOOKUP($C348,'PORTIFÓLIO'!C:V,3,0),"")</f>
        <v/>
      </c>
      <c r="F348" s="211" t="str">
        <f>IFERROR(VLOOKUP($C348,'PORTIFÓLIO'!C:V,4,0),"")</f>
        <v/>
      </c>
      <c r="G348" s="215" t="str">
        <f>IFERROR(VLOOKUP($C348,'PORTIFÓLIO'!C:V,5,0),"")</f>
        <v/>
      </c>
      <c r="H348" s="254" t="str">
        <f t="array" ref="H348">IFERROR(INDEX('PORTIFÓLIO'!$H$4:$H$433,MATCH($C348,'PORTIFÓLIO'!$C$4:$C$433,0)),"")</f>
        <v/>
      </c>
      <c r="I348" s="256"/>
      <c r="J348" s="218">
        <f t="shared" si="39"/>
        <v>0</v>
      </c>
      <c r="K348" s="292" t="str">
        <f t="array" ref="K348">IFERROR(I348*INDEX('PORTIFÓLIO'!$S$4:$S$433,MATCH($C348,'PORTIFÓLIO'!$C$4:$C$433,0)),"")</f>
        <v/>
      </c>
      <c r="L348" s="292" t="str">
        <f t="array" ref="L348">IFERROR(J348*INDEX('PORTIFÓLIO'!$S$4:$S$433,MATCH($C348,'PORTIFÓLIO'!$C$4:$C$433,0)),"")</f>
        <v/>
      </c>
      <c r="M348" s="220"/>
      <c r="N348" s="220"/>
      <c r="O348" s="220"/>
      <c r="P348" s="220"/>
      <c r="Q348" s="220"/>
      <c r="R348" s="220"/>
      <c r="S348" s="220"/>
      <c r="T348" s="220"/>
      <c r="U348" s="220"/>
      <c r="V348" s="220"/>
      <c r="W348" s="220"/>
    </row>
    <row r="349" ht="15.75" customHeight="1" outlineLevel="1">
      <c r="A349" s="211"/>
      <c r="B349" s="212"/>
      <c r="C349" s="213"/>
      <c r="D349" s="214" t="str">
        <f>IFERROR(VLOOKUP($C349,'PORTIFÓLIO'!C:V,2,0),"")</f>
        <v/>
      </c>
      <c r="E349" s="211" t="str">
        <f>IFERROR(VLOOKUP($C349,'PORTIFÓLIO'!C:V,3,0),"")</f>
        <v/>
      </c>
      <c r="F349" s="211" t="str">
        <f>IFERROR(VLOOKUP($C349,'PORTIFÓLIO'!C:V,4,0),"")</f>
        <v/>
      </c>
      <c r="G349" s="215" t="str">
        <f>IFERROR(VLOOKUP($C349,'PORTIFÓLIO'!C:V,5,0),"")</f>
        <v/>
      </c>
      <c r="H349" s="254" t="str">
        <f t="array" ref="H349">IFERROR(INDEX('PORTIFÓLIO'!$H$4:$H$433,MATCH($C349,'PORTIFÓLIO'!$C$4:$C$433,0)),"")</f>
        <v/>
      </c>
      <c r="I349" s="256"/>
      <c r="J349" s="218">
        <f t="shared" si="39"/>
        <v>0</v>
      </c>
      <c r="K349" s="292" t="str">
        <f t="array" ref="K349">IFERROR(I349*INDEX('PORTIFÓLIO'!$S$4:$S$433,MATCH($C349,'PORTIFÓLIO'!$C$4:$C$433,0)),"")</f>
        <v/>
      </c>
      <c r="L349" s="292" t="str">
        <f t="array" ref="L349">IFERROR(J349*INDEX('PORTIFÓLIO'!$S$4:$S$433,MATCH($C349,'PORTIFÓLIO'!$C$4:$C$433,0)),"")</f>
        <v/>
      </c>
      <c r="M349" s="220"/>
      <c r="N349" s="220"/>
      <c r="O349" s="220"/>
      <c r="P349" s="220"/>
      <c r="Q349" s="220"/>
      <c r="R349" s="220"/>
      <c r="S349" s="220"/>
      <c r="T349" s="220"/>
      <c r="U349" s="220"/>
      <c r="V349" s="220"/>
      <c r="W349" s="220"/>
    </row>
    <row r="350" ht="15.75" customHeight="1" outlineLevel="1">
      <c r="A350" s="211"/>
      <c r="B350" s="212"/>
      <c r="C350" s="213"/>
      <c r="D350" s="214" t="str">
        <f>IFERROR(VLOOKUP($C350,'PORTIFÓLIO'!C:V,2,0),"")</f>
        <v/>
      </c>
      <c r="E350" s="211" t="str">
        <f>IFERROR(VLOOKUP($C350,'PORTIFÓLIO'!C:V,3,0),"")</f>
        <v/>
      </c>
      <c r="F350" s="211" t="str">
        <f>IFERROR(VLOOKUP($C350,'PORTIFÓLIO'!C:V,4,0),"")</f>
        <v/>
      </c>
      <c r="G350" s="215" t="str">
        <f>IFERROR(VLOOKUP($C350,'PORTIFÓLIO'!C:V,5,0),"")</f>
        <v/>
      </c>
      <c r="H350" s="254" t="str">
        <f t="array" ref="H350">IFERROR(INDEX('PORTIFÓLIO'!$H$4:$H$433,MATCH($C350,'PORTIFÓLIO'!$C$4:$C$433,0)),"")</f>
        <v/>
      </c>
      <c r="I350" s="255"/>
      <c r="J350" s="218">
        <f t="shared" si="39"/>
        <v>0</v>
      </c>
      <c r="K350" s="292" t="str">
        <f t="array" ref="K350">IFERROR(I350*INDEX('PORTIFÓLIO'!$S$4:$S$433,MATCH($C350,'PORTIFÓLIO'!$C$4:$C$433,0)),"")</f>
        <v/>
      </c>
      <c r="L350" s="292" t="str">
        <f t="array" ref="L350">IFERROR(J350*INDEX('PORTIFÓLIO'!$S$4:$S$433,MATCH($C350,'PORTIFÓLIO'!$C$4:$C$433,0)),"")</f>
        <v/>
      </c>
      <c r="M350" s="220"/>
      <c r="N350" s="220"/>
      <c r="O350" s="220"/>
      <c r="P350" s="220"/>
      <c r="Q350" s="220"/>
      <c r="R350" s="220"/>
      <c r="S350" s="220"/>
      <c r="T350" s="220"/>
      <c r="U350" s="220"/>
      <c r="V350" s="220"/>
      <c r="W350" s="220"/>
    </row>
    <row r="351" ht="15.75" customHeight="1" outlineLevel="1">
      <c r="A351" s="211"/>
      <c r="B351" s="212"/>
      <c r="C351" s="213"/>
      <c r="D351" s="214" t="str">
        <f>IFERROR(VLOOKUP($C351,'PORTIFÓLIO'!C:V,2,0),"")</f>
        <v/>
      </c>
      <c r="E351" s="211" t="str">
        <f>IFERROR(VLOOKUP($C351,'PORTIFÓLIO'!C:V,3,0),"")</f>
        <v/>
      </c>
      <c r="F351" s="211" t="str">
        <f>IFERROR(VLOOKUP($C351,'PORTIFÓLIO'!C:V,4,0),"")</f>
        <v/>
      </c>
      <c r="G351" s="215" t="str">
        <f>IFERROR(VLOOKUP($C351,'PORTIFÓLIO'!C:V,5,0),"")</f>
        <v/>
      </c>
      <c r="H351" s="254" t="str">
        <f t="array" ref="H351">IFERROR(INDEX('PORTIFÓLIO'!$H$4:$H$433,MATCH($C351,'PORTIFÓLIO'!$C$4:$C$433,0)),"")</f>
        <v/>
      </c>
      <c r="I351" s="256"/>
      <c r="J351" s="218">
        <f t="shared" si="39"/>
        <v>0</v>
      </c>
      <c r="K351" s="292" t="str">
        <f t="array" ref="K351">IFERROR(I351*INDEX('PORTIFÓLIO'!$S$4:$S$433,MATCH($C351,'PORTIFÓLIO'!$C$4:$C$433,0)),"")</f>
        <v/>
      </c>
      <c r="L351" s="292" t="str">
        <f t="array" ref="L351">IFERROR(J351*INDEX('PORTIFÓLIO'!$S$4:$S$433,MATCH($C351,'PORTIFÓLIO'!$C$4:$C$433,0)),"")</f>
        <v/>
      </c>
      <c r="M351" s="220"/>
      <c r="N351" s="220"/>
      <c r="O351" s="220"/>
      <c r="P351" s="220"/>
      <c r="Q351" s="220"/>
      <c r="R351" s="220"/>
      <c r="S351" s="220"/>
      <c r="T351" s="220"/>
      <c r="U351" s="220"/>
      <c r="V351" s="220"/>
      <c r="W351" s="220"/>
    </row>
    <row r="352" ht="15.75" customHeight="1" outlineLevel="1">
      <c r="A352" s="211"/>
      <c r="B352" s="212"/>
      <c r="C352" s="213"/>
      <c r="D352" s="214" t="str">
        <f>IFERROR(VLOOKUP($C352,'PORTIFÓLIO'!C:V,2,0),"")</f>
        <v/>
      </c>
      <c r="E352" s="211" t="str">
        <f>IFERROR(VLOOKUP($C352,'PORTIFÓLIO'!C:V,3,0),"")</f>
        <v/>
      </c>
      <c r="F352" s="211" t="str">
        <f>IFERROR(VLOOKUP($C352,'PORTIFÓLIO'!C:V,4,0),"")</f>
        <v/>
      </c>
      <c r="G352" s="215" t="str">
        <f>IFERROR(VLOOKUP($C352,'PORTIFÓLIO'!C:V,5,0),"")</f>
        <v/>
      </c>
      <c r="H352" s="254" t="str">
        <f t="array" ref="H352">IFERROR(INDEX('PORTIFÓLIO'!$H$4:$H$433,MATCH($C352,'PORTIFÓLIO'!$C$4:$C$433,0)),"")</f>
        <v/>
      </c>
      <c r="I352" s="256"/>
      <c r="J352" s="218">
        <f t="shared" si="39"/>
        <v>0</v>
      </c>
      <c r="K352" s="292" t="str">
        <f t="array" ref="K352">IFERROR(I352*INDEX('PORTIFÓLIO'!$S$4:$S$433,MATCH($C352,'PORTIFÓLIO'!$C$4:$C$433,0)),"")</f>
        <v/>
      </c>
      <c r="L352" s="292" t="str">
        <f t="array" ref="L352">IFERROR(J352*INDEX('PORTIFÓLIO'!$S$4:$S$433,MATCH($C352,'PORTIFÓLIO'!$C$4:$C$433,0)),"")</f>
        <v/>
      </c>
      <c r="M352" s="220"/>
      <c r="N352" s="220"/>
      <c r="O352" s="220"/>
      <c r="P352" s="220"/>
      <c r="Q352" s="220"/>
      <c r="R352" s="220"/>
      <c r="S352" s="220"/>
      <c r="T352" s="220"/>
      <c r="U352" s="220"/>
      <c r="V352" s="220"/>
      <c r="W352" s="220"/>
    </row>
    <row r="353" ht="15.75" customHeight="1" outlineLevel="1">
      <c r="A353" s="211"/>
      <c r="B353" s="212"/>
      <c r="C353" s="213"/>
      <c r="D353" s="214" t="str">
        <f>IFERROR(VLOOKUP($C353,'PORTIFÓLIO'!C:V,2,0),"")</f>
        <v/>
      </c>
      <c r="E353" s="211" t="str">
        <f>IFERROR(VLOOKUP($C353,'PORTIFÓLIO'!C:V,3,0),"")</f>
        <v/>
      </c>
      <c r="F353" s="211" t="str">
        <f>IFERROR(VLOOKUP($C353,'PORTIFÓLIO'!C:V,4,0),"")</f>
        <v/>
      </c>
      <c r="G353" s="215" t="str">
        <f>IFERROR(VLOOKUP($C353,'PORTIFÓLIO'!C:V,5,0),"")</f>
        <v/>
      </c>
      <c r="H353" s="254" t="str">
        <f t="array" ref="H353">IFERROR(INDEX('PORTIFÓLIO'!$H$4:$H$433,MATCH($C353,'PORTIFÓLIO'!$C$4:$C$433,0)),"")</f>
        <v/>
      </c>
      <c r="I353" s="256"/>
      <c r="J353" s="218">
        <f t="shared" si="39"/>
        <v>0</v>
      </c>
      <c r="K353" s="292" t="str">
        <f t="array" ref="K353">IFERROR(I353*INDEX('PORTIFÓLIO'!$S$4:$S$433,MATCH($C353,'PORTIFÓLIO'!$C$4:$C$433,0)),"")</f>
        <v/>
      </c>
      <c r="L353" s="292" t="str">
        <f t="array" ref="L353">IFERROR(J353*INDEX('PORTIFÓLIO'!$S$4:$S$433,MATCH($C353,'PORTIFÓLIO'!$C$4:$C$433,0)),"")</f>
        <v/>
      </c>
      <c r="M353" s="220"/>
      <c r="N353" s="220"/>
      <c r="O353" s="220"/>
      <c r="P353" s="220"/>
      <c r="Q353" s="220"/>
      <c r="R353" s="220"/>
      <c r="S353" s="220"/>
      <c r="T353" s="220"/>
      <c r="U353" s="220"/>
      <c r="V353" s="220"/>
      <c r="W353" s="220"/>
    </row>
    <row r="354" ht="15.75" customHeight="1" outlineLevel="1">
      <c r="A354" s="211"/>
      <c r="B354" s="212"/>
      <c r="C354" s="213"/>
      <c r="D354" s="214" t="str">
        <f>IFERROR(VLOOKUP($C354,'PORTIFÓLIO'!C:V,2,0),"")</f>
        <v/>
      </c>
      <c r="E354" s="211" t="str">
        <f>IFERROR(VLOOKUP($C354,'PORTIFÓLIO'!C:V,3,0),"")</f>
        <v/>
      </c>
      <c r="F354" s="211" t="str">
        <f>IFERROR(VLOOKUP($C354,'PORTIFÓLIO'!C:V,4,0),"")</f>
        <v/>
      </c>
      <c r="G354" s="215" t="str">
        <f>IFERROR(VLOOKUP($C354,'PORTIFÓLIO'!C:V,5,0),"")</f>
        <v/>
      </c>
      <c r="H354" s="254" t="str">
        <f t="array" ref="H354">IFERROR(INDEX('PORTIFÓLIO'!$H$4:$H$433,MATCH($C354,'PORTIFÓLIO'!$C$4:$C$433,0)),"")</f>
        <v/>
      </c>
      <c r="I354" s="256"/>
      <c r="J354" s="218">
        <f t="shared" si="39"/>
        <v>0</v>
      </c>
      <c r="K354" s="292" t="str">
        <f t="array" ref="K354">IFERROR(I354*INDEX('PORTIFÓLIO'!$S$4:$S$433,MATCH($C354,'PORTIFÓLIO'!$C$4:$C$433,0)),"")</f>
        <v/>
      </c>
      <c r="L354" s="292" t="str">
        <f t="array" ref="L354">IFERROR(J354*INDEX('PORTIFÓLIO'!$S$4:$S$433,MATCH($C354,'PORTIFÓLIO'!$C$4:$C$433,0)),"")</f>
        <v/>
      </c>
      <c r="M354" s="220"/>
      <c r="N354" s="220"/>
      <c r="O354" s="220"/>
      <c r="P354" s="220"/>
      <c r="Q354" s="220"/>
      <c r="R354" s="220"/>
      <c r="S354" s="220"/>
      <c r="T354" s="220"/>
      <c r="U354" s="220"/>
      <c r="V354" s="220"/>
      <c r="W354" s="220"/>
    </row>
    <row r="355" ht="15.75" customHeight="1" outlineLevel="1">
      <c r="A355" s="211"/>
      <c r="B355" s="212"/>
      <c r="C355" s="213"/>
      <c r="D355" s="214" t="str">
        <f>IFERROR(VLOOKUP($C355,'PORTIFÓLIO'!C:V,2,0),"")</f>
        <v/>
      </c>
      <c r="E355" s="211" t="str">
        <f>IFERROR(VLOOKUP($C355,'PORTIFÓLIO'!C:V,3,0),"")</f>
        <v/>
      </c>
      <c r="F355" s="211" t="str">
        <f>IFERROR(VLOOKUP($C355,'PORTIFÓLIO'!C:V,4,0),"")</f>
        <v/>
      </c>
      <c r="G355" s="215" t="str">
        <f>IFERROR(VLOOKUP($C355,'PORTIFÓLIO'!C:V,5,0),"")</f>
        <v/>
      </c>
      <c r="H355" s="254" t="str">
        <f t="array" ref="H355">IFERROR(INDEX('PORTIFÓLIO'!$H$4:$H$433,MATCH($C355,'PORTIFÓLIO'!$C$4:$C$433,0)),"")</f>
        <v/>
      </c>
      <c r="I355" s="256"/>
      <c r="J355" s="218">
        <f t="shared" si="39"/>
        <v>0</v>
      </c>
      <c r="K355" s="292" t="str">
        <f t="array" ref="K355">IFERROR(I355*INDEX('PORTIFÓLIO'!$S$4:$S$433,MATCH($C355,'PORTIFÓLIO'!$C$4:$C$433,0)),"")</f>
        <v/>
      </c>
      <c r="L355" s="292" t="str">
        <f t="array" ref="L355">IFERROR(J355*INDEX('PORTIFÓLIO'!$S$4:$S$433,MATCH($C355,'PORTIFÓLIO'!$C$4:$C$433,0)),"")</f>
        <v/>
      </c>
      <c r="M355" s="220"/>
      <c r="N355" s="220"/>
      <c r="O355" s="220"/>
      <c r="P355" s="220"/>
      <c r="Q355" s="220"/>
      <c r="R355" s="220"/>
      <c r="S355" s="220"/>
      <c r="T355" s="220"/>
      <c r="U355" s="220"/>
      <c r="V355" s="220"/>
      <c r="W355" s="220"/>
    </row>
    <row r="356" ht="15.75" customHeight="1" outlineLevel="1">
      <c r="A356" s="211"/>
      <c r="B356" s="212"/>
      <c r="C356" s="213"/>
      <c r="D356" s="214" t="str">
        <f>IFERROR(VLOOKUP($C356,'PORTIFÓLIO'!C:V,2,0),"")</f>
        <v/>
      </c>
      <c r="E356" s="211" t="str">
        <f>IFERROR(VLOOKUP($C356,'PORTIFÓLIO'!C:V,3,0),"")</f>
        <v/>
      </c>
      <c r="F356" s="211" t="str">
        <f>IFERROR(VLOOKUP($C356,'PORTIFÓLIO'!C:V,4,0),"")</f>
        <v/>
      </c>
      <c r="G356" s="215" t="str">
        <f>IFERROR(VLOOKUP($C356,'PORTIFÓLIO'!C:V,5,0),"")</f>
        <v/>
      </c>
      <c r="H356" s="254" t="str">
        <f t="array" ref="H356">IFERROR(INDEX('PORTIFÓLIO'!$H$4:$H$433,MATCH($C356,'PORTIFÓLIO'!$C$4:$C$433,0)),"")</f>
        <v/>
      </c>
      <c r="I356" s="256"/>
      <c r="J356" s="218">
        <f t="shared" si="39"/>
        <v>0</v>
      </c>
      <c r="K356" s="292" t="str">
        <f t="array" ref="K356">IFERROR(I356*INDEX('PORTIFÓLIO'!$S$4:$S$433,MATCH($C356,'PORTIFÓLIO'!$C$4:$C$433,0)),"")</f>
        <v/>
      </c>
      <c r="L356" s="292" t="str">
        <f t="array" ref="L356">IFERROR(J356*INDEX('PORTIFÓLIO'!$S$4:$S$433,MATCH($C356,'PORTIFÓLIO'!$C$4:$C$433,0)),"")</f>
        <v/>
      </c>
      <c r="M356" s="220"/>
      <c r="N356" s="220"/>
      <c r="O356" s="220"/>
      <c r="P356" s="220"/>
      <c r="Q356" s="220"/>
      <c r="R356" s="220"/>
      <c r="S356" s="220"/>
      <c r="T356" s="220"/>
      <c r="U356" s="220"/>
      <c r="V356" s="220"/>
      <c r="W356" s="220"/>
    </row>
    <row r="357" ht="15.75" customHeight="1" outlineLevel="1">
      <c r="A357" s="211"/>
      <c r="B357" s="227"/>
      <c r="C357" s="211"/>
      <c r="D357" s="214" t="str">
        <f>IFERROR(VLOOKUP($C357,'PORTIFÓLIO'!C:V,2,0),"")</f>
        <v/>
      </c>
      <c r="E357" s="211" t="str">
        <f>IFERROR(VLOOKUP($C357,'PORTIFÓLIO'!C:V,3,0),"")</f>
        <v/>
      </c>
      <c r="F357" s="211" t="str">
        <f>IFERROR(VLOOKUP($C357,'PORTIFÓLIO'!C:V,4,0),"")</f>
        <v/>
      </c>
      <c r="G357" s="215" t="str">
        <f>IFERROR(VLOOKUP($C357,'PORTIFÓLIO'!C:V,5,0),"")</f>
        <v/>
      </c>
      <c r="H357" s="254" t="str">
        <f t="array" ref="H357">IFERROR(INDEX('PORTIFÓLIO'!$H$4:$H$433,MATCH($C357,'PORTIFÓLIO'!$C$4:$C$433,0)),"")</f>
        <v/>
      </c>
      <c r="I357" s="256"/>
      <c r="J357" s="218"/>
      <c r="K357" s="292" t="str">
        <f t="array" ref="K357">IFERROR(I357*INDEX('PORTIFÓLIO'!$S$4:$S$433,MATCH($C357,'PORTIFÓLIO'!$C$4:$C$433,0)),"")</f>
        <v/>
      </c>
      <c r="L357" s="292" t="str">
        <f t="array" ref="L357">IFERROR(J357*INDEX('PORTIFÓLIO'!$S$4:$S$433,MATCH($C357,'PORTIFÓLIO'!$C$4:$C$433,0)),"")</f>
        <v/>
      </c>
      <c r="M357" s="220"/>
      <c r="N357" s="220"/>
      <c r="O357" s="220"/>
      <c r="P357" s="220"/>
      <c r="Q357" s="220"/>
      <c r="R357" s="220"/>
      <c r="S357" s="220"/>
      <c r="T357" s="220"/>
      <c r="U357" s="220"/>
      <c r="V357" s="220"/>
      <c r="W357" s="220"/>
    </row>
    <row r="358" ht="15.75" customHeight="1">
      <c r="A358" s="229" t="s">
        <v>1191</v>
      </c>
      <c r="B358" s="230"/>
      <c r="C358" s="231"/>
      <c r="D358" s="232"/>
      <c r="E358" s="231"/>
      <c r="F358" s="231"/>
      <c r="G358" s="233"/>
      <c r="H358" s="233"/>
      <c r="I358" s="258"/>
      <c r="J358" s="236"/>
      <c r="K358" s="237">
        <f t="shared" ref="K358:L358" si="40">SUBTOTAL(9,K359:K372)</f>
        <v>0</v>
      </c>
      <c r="L358" s="237">
        <f t="shared" si="40"/>
        <v>0</v>
      </c>
      <c r="M358" s="220"/>
      <c r="N358" s="220"/>
      <c r="O358" s="220"/>
      <c r="P358" s="220"/>
      <c r="Q358" s="220"/>
      <c r="R358" s="220"/>
      <c r="S358" s="220"/>
      <c r="T358" s="220"/>
      <c r="U358" s="220"/>
      <c r="V358" s="220"/>
      <c r="W358" s="220"/>
    </row>
    <row r="359" ht="15.75" customHeight="1" outlineLevel="1">
      <c r="A359" s="213"/>
      <c r="B359" s="212"/>
      <c r="C359" s="213"/>
      <c r="D359" s="214" t="str">
        <f>IFERROR(VLOOKUP($C359,'PORTIFÓLIO'!C:V,2,0),"")</f>
        <v/>
      </c>
      <c r="E359" s="211" t="str">
        <f>IFERROR(VLOOKUP($C359,'PORTIFÓLIO'!C:V,3,0),"")</f>
        <v/>
      </c>
      <c r="F359" s="211" t="str">
        <f>IFERROR(VLOOKUP($C359,'PORTIFÓLIO'!C:V,4,0),"")</f>
        <v/>
      </c>
      <c r="G359" s="215" t="str">
        <f>IFERROR(VLOOKUP($C359,'PORTIFÓLIO'!C:V,5,0),"")</f>
        <v/>
      </c>
      <c r="H359" s="254" t="str">
        <f t="array" ref="H359">IFERROR(INDEX('PORTIFÓLIO'!$H$4:$H$433,MATCH($C359,'PORTIFÓLIO'!$C$4:$C$433,0)),"")</f>
        <v/>
      </c>
      <c r="I359" s="255"/>
      <c r="J359" s="218">
        <f t="shared" ref="J359:J373" si="41">I359*$B$2</f>
        <v>0</v>
      </c>
      <c r="K359" s="292" t="str">
        <f t="array" ref="K359">IFERROR(I359*INDEX('PORTIFÓLIO'!$S$4:$S$433,MATCH($C359,'PORTIFÓLIO'!$C$4:$C$433,0)),"")</f>
        <v/>
      </c>
      <c r="L359" s="292" t="str">
        <f t="array" ref="L359">IFERROR(J359*INDEX('PORTIFÓLIO'!$S$4:$S$433,MATCH($C359,'PORTIFÓLIO'!$C$4:$C$433,0)),"")</f>
        <v/>
      </c>
      <c r="M359" s="220"/>
      <c r="N359" s="220"/>
      <c r="O359" s="220"/>
      <c r="P359" s="220"/>
      <c r="Q359" s="220"/>
      <c r="R359" s="220"/>
      <c r="S359" s="220"/>
      <c r="T359" s="220"/>
      <c r="U359" s="220"/>
      <c r="V359" s="220"/>
      <c r="W359" s="220"/>
    </row>
    <row r="360" ht="15.75" customHeight="1" outlineLevel="1">
      <c r="A360" s="211"/>
      <c r="B360" s="212"/>
      <c r="C360" s="213"/>
      <c r="D360" s="214" t="str">
        <f>IFERROR(VLOOKUP($C360,'PORTIFÓLIO'!C:V,2,0),"")</f>
        <v/>
      </c>
      <c r="E360" s="211" t="str">
        <f>IFERROR(VLOOKUP($C360,'PORTIFÓLIO'!C:V,3,0),"")</f>
        <v/>
      </c>
      <c r="F360" s="211" t="str">
        <f>IFERROR(VLOOKUP($C360,'PORTIFÓLIO'!C:V,4,0),"")</f>
        <v/>
      </c>
      <c r="G360" s="215" t="str">
        <f>IFERROR(VLOOKUP($C360,'PORTIFÓLIO'!C:V,5,0),"")</f>
        <v/>
      </c>
      <c r="H360" s="254" t="str">
        <f t="array" ref="H360">IFERROR(INDEX('PORTIFÓLIO'!$H$4:$H$433,MATCH($C360,'PORTIFÓLIO'!$C$4:$C$433,0)),"")</f>
        <v/>
      </c>
      <c r="I360" s="256"/>
      <c r="J360" s="218">
        <f t="shared" si="41"/>
        <v>0</v>
      </c>
      <c r="K360" s="292" t="str">
        <f t="array" ref="K360">IFERROR(I360*INDEX('PORTIFÓLIO'!$S$4:$S$433,MATCH($C360,'PORTIFÓLIO'!$C$4:$C$433,0)),"")</f>
        <v/>
      </c>
      <c r="L360" s="292" t="str">
        <f t="array" ref="L360">IFERROR(J360*INDEX('PORTIFÓLIO'!$S$4:$S$433,MATCH($C360,'PORTIFÓLIO'!$C$4:$C$433,0)),"")</f>
        <v/>
      </c>
      <c r="M360" s="220"/>
      <c r="N360" s="220"/>
      <c r="O360" s="220"/>
      <c r="P360" s="220"/>
      <c r="Q360" s="220"/>
      <c r="R360" s="220"/>
      <c r="S360" s="220"/>
      <c r="T360" s="220"/>
      <c r="U360" s="220"/>
      <c r="V360" s="220"/>
      <c r="W360" s="220"/>
    </row>
    <row r="361" ht="15.75" customHeight="1" outlineLevel="1">
      <c r="A361" s="211"/>
      <c r="B361" s="212"/>
      <c r="C361" s="213"/>
      <c r="D361" s="214" t="str">
        <f>IFERROR(VLOOKUP($C361,'PORTIFÓLIO'!C:V,2,0),"")</f>
        <v/>
      </c>
      <c r="E361" s="211" t="str">
        <f>IFERROR(VLOOKUP($C361,'PORTIFÓLIO'!C:V,3,0),"")</f>
        <v/>
      </c>
      <c r="F361" s="211" t="str">
        <f>IFERROR(VLOOKUP($C361,'PORTIFÓLIO'!C:V,4,0),"")</f>
        <v/>
      </c>
      <c r="G361" s="215" t="str">
        <f>IFERROR(VLOOKUP($C361,'PORTIFÓLIO'!C:V,5,0),"")</f>
        <v/>
      </c>
      <c r="H361" s="254" t="str">
        <f t="array" ref="H361">IFERROR(INDEX('PORTIFÓLIO'!$H$4:$H$433,MATCH($C361,'PORTIFÓLIO'!$C$4:$C$433,0)),"")</f>
        <v/>
      </c>
      <c r="I361" s="256"/>
      <c r="J361" s="218">
        <f t="shared" si="41"/>
        <v>0</v>
      </c>
      <c r="K361" s="292" t="str">
        <f t="array" ref="K361">IFERROR(I361*INDEX('PORTIFÓLIO'!$S$4:$S$433,MATCH($C361,'PORTIFÓLIO'!$C$4:$C$433,0)),"")</f>
        <v/>
      </c>
      <c r="L361" s="292" t="str">
        <f t="array" ref="L361">IFERROR(J361*INDEX('PORTIFÓLIO'!$S$4:$S$433,MATCH($C361,'PORTIFÓLIO'!$C$4:$C$433,0)),"")</f>
        <v/>
      </c>
      <c r="M361" s="220"/>
      <c r="N361" s="220"/>
      <c r="O361" s="220"/>
      <c r="P361" s="220"/>
      <c r="Q361" s="220"/>
      <c r="R361" s="220"/>
      <c r="S361" s="220"/>
      <c r="T361" s="220"/>
      <c r="U361" s="220"/>
      <c r="V361" s="220"/>
      <c r="W361" s="220"/>
    </row>
    <row r="362" ht="15.75" customHeight="1" outlineLevel="1">
      <c r="A362" s="211"/>
      <c r="B362" s="212"/>
      <c r="C362" s="213"/>
      <c r="D362" s="214" t="str">
        <f>IFERROR(VLOOKUP($C362,'PORTIFÓLIO'!C:V,2,0),"")</f>
        <v/>
      </c>
      <c r="E362" s="211" t="str">
        <f>IFERROR(VLOOKUP($C362,'PORTIFÓLIO'!C:V,3,0),"")</f>
        <v/>
      </c>
      <c r="F362" s="211" t="str">
        <f>IFERROR(VLOOKUP($C362,'PORTIFÓLIO'!C:V,4,0),"")</f>
        <v/>
      </c>
      <c r="G362" s="215" t="str">
        <f>IFERROR(VLOOKUP($C362,'PORTIFÓLIO'!C:V,5,0),"")</f>
        <v/>
      </c>
      <c r="H362" s="254" t="str">
        <f t="array" ref="H362">IFERROR(INDEX('PORTIFÓLIO'!$H$4:$H$433,MATCH($C362,'PORTIFÓLIO'!$C$4:$C$433,0)),"")</f>
        <v/>
      </c>
      <c r="I362" s="256"/>
      <c r="J362" s="218">
        <f t="shared" si="41"/>
        <v>0</v>
      </c>
      <c r="K362" s="292" t="str">
        <f t="array" ref="K362">IFERROR(I362*INDEX('PORTIFÓLIO'!$S$4:$S$433,MATCH($C362,'PORTIFÓLIO'!$C$4:$C$433,0)),"")</f>
        <v/>
      </c>
      <c r="L362" s="292" t="str">
        <f t="array" ref="L362">IFERROR(J362*INDEX('PORTIFÓLIO'!$S$4:$S$433,MATCH($C362,'PORTIFÓLIO'!$C$4:$C$433,0)),"")</f>
        <v/>
      </c>
      <c r="M362" s="220"/>
      <c r="N362" s="220"/>
      <c r="O362" s="220"/>
      <c r="P362" s="220"/>
      <c r="Q362" s="220"/>
      <c r="R362" s="220"/>
      <c r="S362" s="220"/>
      <c r="T362" s="220"/>
      <c r="U362" s="220"/>
      <c r="V362" s="220"/>
      <c r="W362" s="220"/>
    </row>
    <row r="363" ht="15.75" customHeight="1" outlineLevel="1">
      <c r="A363" s="211"/>
      <c r="B363" s="212"/>
      <c r="C363" s="213"/>
      <c r="D363" s="214" t="str">
        <f>IFERROR(VLOOKUP($C363,'PORTIFÓLIO'!C:V,2,0),"")</f>
        <v/>
      </c>
      <c r="E363" s="211" t="str">
        <f>IFERROR(VLOOKUP($C363,'PORTIFÓLIO'!C:V,3,0),"")</f>
        <v/>
      </c>
      <c r="F363" s="211" t="str">
        <f>IFERROR(VLOOKUP($C363,'PORTIFÓLIO'!C:V,4,0),"")</f>
        <v/>
      </c>
      <c r="G363" s="215" t="str">
        <f>IFERROR(VLOOKUP($C363,'PORTIFÓLIO'!C:V,5,0),"")</f>
        <v/>
      </c>
      <c r="H363" s="254" t="str">
        <f t="array" ref="H363">IFERROR(INDEX('PORTIFÓLIO'!$H$4:$H$433,MATCH($C363,'PORTIFÓLIO'!$C$4:$C$433,0)),"")</f>
        <v/>
      </c>
      <c r="I363" s="256"/>
      <c r="J363" s="218">
        <f t="shared" si="41"/>
        <v>0</v>
      </c>
      <c r="K363" s="292" t="str">
        <f t="array" ref="K363">IFERROR(I363*INDEX('PORTIFÓLIO'!$S$4:$S$433,MATCH($C363,'PORTIFÓLIO'!$C$4:$C$433,0)),"")</f>
        <v/>
      </c>
      <c r="L363" s="292" t="str">
        <f t="array" ref="L363">IFERROR(J363*INDEX('PORTIFÓLIO'!$S$4:$S$433,MATCH($C363,'PORTIFÓLIO'!$C$4:$C$433,0)),"")</f>
        <v/>
      </c>
      <c r="M363" s="220"/>
      <c r="N363" s="220"/>
      <c r="O363" s="220"/>
      <c r="P363" s="220"/>
      <c r="Q363" s="220"/>
      <c r="R363" s="220"/>
      <c r="S363" s="220"/>
      <c r="T363" s="220"/>
      <c r="U363" s="220"/>
      <c r="V363" s="220"/>
      <c r="W363" s="220"/>
    </row>
    <row r="364" ht="15.75" customHeight="1" outlineLevel="1">
      <c r="A364" s="211"/>
      <c r="B364" s="212"/>
      <c r="C364" s="213"/>
      <c r="D364" s="214" t="str">
        <f>IFERROR(VLOOKUP($C364,'PORTIFÓLIO'!C:V,2,0),"")</f>
        <v/>
      </c>
      <c r="E364" s="211" t="str">
        <f>IFERROR(VLOOKUP($C364,'PORTIFÓLIO'!C:V,3,0),"")</f>
        <v/>
      </c>
      <c r="F364" s="211" t="str">
        <f>IFERROR(VLOOKUP($C364,'PORTIFÓLIO'!C:V,4,0),"")</f>
        <v/>
      </c>
      <c r="G364" s="215" t="str">
        <f>IFERROR(VLOOKUP($C364,'PORTIFÓLIO'!C:V,5,0),"")</f>
        <v/>
      </c>
      <c r="H364" s="254" t="str">
        <f t="array" ref="H364">IFERROR(INDEX('PORTIFÓLIO'!$H$4:$H$433,MATCH($C364,'PORTIFÓLIO'!$C$4:$C$433,0)),"")</f>
        <v/>
      </c>
      <c r="I364" s="256"/>
      <c r="J364" s="218">
        <f t="shared" si="41"/>
        <v>0</v>
      </c>
      <c r="K364" s="292" t="str">
        <f t="array" ref="K364">IFERROR(I364*INDEX('PORTIFÓLIO'!$S$4:$S$433,MATCH($C364,'PORTIFÓLIO'!$C$4:$C$433,0)),"")</f>
        <v/>
      </c>
      <c r="L364" s="292" t="str">
        <f t="array" ref="L364">IFERROR(J364*INDEX('PORTIFÓLIO'!$S$4:$S$433,MATCH($C364,'PORTIFÓLIO'!$C$4:$C$433,0)),"")</f>
        <v/>
      </c>
      <c r="M364" s="220"/>
      <c r="N364" s="220"/>
      <c r="O364" s="220"/>
      <c r="P364" s="220"/>
      <c r="Q364" s="220"/>
      <c r="R364" s="220"/>
      <c r="S364" s="220"/>
      <c r="T364" s="220"/>
      <c r="U364" s="220"/>
      <c r="V364" s="220"/>
      <c r="W364" s="220"/>
    </row>
    <row r="365" ht="15.75" customHeight="1" outlineLevel="1">
      <c r="A365" s="211"/>
      <c r="B365" s="212"/>
      <c r="C365" s="213"/>
      <c r="D365" s="214" t="str">
        <f>IFERROR(VLOOKUP($C365,'PORTIFÓLIO'!C:V,2,0),"")</f>
        <v/>
      </c>
      <c r="E365" s="211" t="str">
        <f>IFERROR(VLOOKUP($C365,'PORTIFÓLIO'!C:V,3,0),"")</f>
        <v/>
      </c>
      <c r="F365" s="211" t="str">
        <f>IFERROR(VLOOKUP($C365,'PORTIFÓLIO'!C:V,4,0),"")</f>
        <v/>
      </c>
      <c r="G365" s="215" t="str">
        <f>IFERROR(VLOOKUP($C365,'PORTIFÓLIO'!C:V,5,0),"")</f>
        <v/>
      </c>
      <c r="H365" s="254" t="str">
        <f t="array" ref="H365">IFERROR(INDEX('PORTIFÓLIO'!$H$4:$H$433,MATCH($C365,'PORTIFÓLIO'!$C$4:$C$433,0)),"")</f>
        <v/>
      </c>
      <c r="I365" s="256"/>
      <c r="J365" s="218">
        <f t="shared" si="41"/>
        <v>0</v>
      </c>
      <c r="K365" s="292" t="str">
        <f t="array" ref="K365">IFERROR(I365*INDEX('PORTIFÓLIO'!$S$4:$S$433,MATCH($C365,'PORTIFÓLIO'!$C$4:$C$433,0)),"")</f>
        <v/>
      </c>
      <c r="L365" s="292" t="str">
        <f t="array" ref="L365">IFERROR(J365*INDEX('PORTIFÓLIO'!$S$4:$S$433,MATCH($C365,'PORTIFÓLIO'!$C$4:$C$433,0)),"")</f>
        <v/>
      </c>
      <c r="M365" s="220"/>
      <c r="N365" s="220"/>
      <c r="O365" s="220"/>
      <c r="P365" s="220"/>
      <c r="Q365" s="220"/>
      <c r="R365" s="220"/>
      <c r="S365" s="220"/>
      <c r="T365" s="220"/>
      <c r="U365" s="220"/>
      <c r="V365" s="220"/>
      <c r="W365" s="220"/>
    </row>
    <row r="366" ht="15.75" customHeight="1" outlineLevel="1">
      <c r="A366" s="211"/>
      <c r="B366" s="212"/>
      <c r="C366" s="213"/>
      <c r="D366" s="214" t="str">
        <f>IFERROR(VLOOKUP($C366,'PORTIFÓLIO'!C:V,2,0),"")</f>
        <v/>
      </c>
      <c r="E366" s="211" t="str">
        <f>IFERROR(VLOOKUP($C366,'PORTIFÓLIO'!C:V,3,0),"")</f>
        <v/>
      </c>
      <c r="F366" s="211" t="str">
        <f>IFERROR(VLOOKUP($C366,'PORTIFÓLIO'!C:V,4,0),"")</f>
        <v/>
      </c>
      <c r="G366" s="215" t="str">
        <f>IFERROR(VLOOKUP($C366,'PORTIFÓLIO'!C:V,5,0),"")</f>
        <v/>
      </c>
      <c r="H366" s="254" t="str">
        <f t="array" ref="H366">IFERROR(INDEX('PORTIFÓLIO'!$H$4:$H$433,MATCH($C366,'PORTIFÓLIO'!$C$4:$C$433,0)),"")</f>
        <v/>
      </c>
      <c r="I366" s="256"/>
      <c r="J366" s="218">
        <f t="shared" si="41"/>
        <v>0</v>
      </c>
      <c r="K366" s="292" t="str">
        <f t="array" ref="K366">IFERROR(I366*INDEX('PORTIFÓLIO'!$S$4:$S$433,MATCH($C366,'PORTIFÓLIO'!$C$4:$C$433,0)),"")</f>
        <v/>
      </c>
      <c r="L366" s="292" t="str">
        <f t="array" ref="L366">IFERROR(J366*INDEX('PORTIFÓLIO'!$S$4:$S$433,MATCH($C366,'PORTIFÓLIO'!$C$4:$C$433,0)),"")</f>
        <v/>
      </c>
      <c r="M366" s="220"/>
      <c r="N366" s="220"/>
      <c r="O366" s="220"/>
      <c r="P366" s="220"/>
      <c r="Q366" s="220"/>
      <c r="R366" s="220"/>
      <c r="S366" s="220"/>
      <c r="T366" s="220"/>
      <c r="U366" s="220"/>
      <c r="V366" s="220"/>
      <c r="W366" s="220"/>
    </row>
    <row r="367" ht="15.75" customHeight="1" outlineLevel="1">
      <c r="A367" s="211"/>
      <c r="B367" s="212"/>
      <c r="C367" s="213"/>
      <c r="D367" s="214" t="str">
        <f>IFERROR(VLOOKUP($C367,'PORTIFÓLIO'!C:V,2,0),"")</f>
        <v/>
      </c>
      <c r="E367" s="211" t="str">
        <f>IFERROR(VLOOKUP($C367,'PORTIFÓLIO'!C:V,3,0),"")</f>
        <v/>
      </c>
      <c r="F367" s="211" t="str">
        <f>IFERROR(VLOOKUP($C367,'PORTIFÓLIO'!C:V,4,0),"")</f>
        <v/>
      </c>
      <c r="G367" s="215" t="str">
        <f>IFERROR(VLOOKUP($C367,'PORTIFÓLIO'!C:V,5,0),"")</f>
        <v/>
      </c>
      <c r="H367" s="254" t="str">
        <f t="array" ref="H367">IFERROR(INDEX('PORTIFÓLIO'!$H$4:$H$433,MATCH($C367,'PORTIFÓLIO'!$C$4:$C$433,0)),"")</f>
        <v/>
      </c>
      <c r="I367" s="255"/>
      <c r="J367" s="218">
        <f t="shared" si="41"/>
        <v>0</v>
      </c>
      <c r="K367" s="292" t="str">
        <f t="array" ref="K367">IFERROR(I367*INDEX('PORTIFÓLIO'!$S$4:$S$433,MATCH($C367,'PORTIFÓLIO'!$C$4:$C$433,0)),"")</f>
        <v/>
      </c>
      <c r="L367" s="292" t="str">
        <f t="array" ref="L367">IFERROR(J367*INDEX('PORTIFÓLIO'!$S$4:$S$433,MATCH($C367,'PORTIFÓLIO'!$C$4:$C$433,0)),"")</f>
        <v/>
      </c>
      <c r="M367" s="220"/>
      <c r="N367" s="220"/>
      <c r="O367" s="220"/>
      <c r="P367" s="220"/>
      <c r="Q367" s="220"/>
      <c r="R367" s="220"/>
      <c r="S367" s="220"/>
      <c r="T367" s="220"/>
      <c r="U367" s="220"/>
      <c r="V367" s="220"/>
      <c r="W367" s="220"/>
    </row>
    <row r="368" ht="15.75" customHeight="1" outlineLevel="1">
      <c r="A368" s="211"/>
      <c r="B368" s="212"/>
      <c r="C368" s="213"/>
      <c r="D368" s="214" t="str">
        <f>IFERROR(VLOOKUP($C368,'PORTIFÓLIO'!C:V,2,0),"")</f>
        <v/>
      </c>
      <c r="E368" s="211" t="str">
        <f>IFERROR(VLOOKUP($C368,'PORTIFÓLIO'!C:V,3,0),"")</f>
        <v/>
      </c>
      <c r="F368" s="211" t="str">
        <f>IFERROR(VLOOKUP($C368,'PORTIFÓLIO'!C:V,4,0),"")</f>
        <v/>
      </c>
      <c r="G368" s="215" t="str">
        <f>IFERROR(VLOOKUP($C368,'PORTIFÓLIO'!C:V,5,0),"")</f>
        <v/>
      </c>
      <c r="H368" s="254" t="str">
        <f t="array" ref="H368">IFERROR(INDEX('PORTIFÓLIO'!$H$4:$H$433,MATCH($C368,'PORTIFÓLIO'!$C$4:$C$433,0)),"")</f>
        <v/>
      </c>
      <c r="I368" s="256"/>
      <c r="J368" s="218">
        <f t="shared" si="41"/>
        <v>0</v>
      </c>
      <c r="K368" s="292" t="str">
        <f t="array" ref="K368">IFERROR(I368*INDEX('PORTIFÓLIO'!$S$4:$S$433,MATCH($C368,'PORTIFÓLIO'!$C$4:$C$433,0)),"")</f>
        <v/>
      </c>
      <c r="L368" s="292" t="str">
        <f t="array" ref="L368">IFERROR(J368*INDEX('PORTIFÓLIO'!$S$4:$S$433,MATCH($C368,'PORTIFÓLIO'!$C$4:$C$433,0)),"")</f>
        <v/>
      </c>
      <c r="M368" s="220"/>
      <c r="N368" s="220"/>
      <c r="O368" s="220"/>
      <c r="P368" s="220"/>
      <c r="Q368" s="220"/>
      <c r="R368" s="220"/>
      <c r="S368" s="220"/>
      <c r="T368" s="220"/>
      <c r="U368" s="220"/>
      <c r="V368" s="220"/>
      <c r="W368" s="220"/>
    </row>
    <row r="369" ht="15.75" customHeight="1" outlineLevel="1">
      <c r="A369" s="211"/>
      <c r="B369" s="212"/>
      <c r="C369" s="213"/>
      <c r="D369" s="214" t="str">
        <f>IFERROR(VLOOKUP($C369,'PORTIFÓLIO'!C:V,2,0),"")</f>
        <v/>
      </c>
      <c r="E369" s="211" t="str">
        <f>IFERROR(VLOOKUP($C369,'PORTIFÓLIO'!C:V,3,0),"")</f>
        <v/>
      </c>
      <c r="F369" s="211" t="str">
        <f>IFERROR(VLOOKUP($C369,'PORTIFÓLIO'!C:V,4,0),"")</f>
        <v/>
      </c>
      <c r="G369" s="215" t="str">
        <f>IFERROR(VLOOKUP($C369,'PORTIFÓLIO'!C:V,5,0),"")</f>
        <v/>
      </c>
      <c r="H369" s="254" t="str">
        <f t="array" ref="H369">IFERROR(INDEX('PORTIFÓLIO'!$H$4:$H$433,MATCH($C369,'PORTIFÓLIO'!$C$4:$C$433,0)),"")</f>
        <v/>
      </c>
      <c r="I369" s="256"/>
      <c r="J369" s="218">
        <f t="shared" si="41"/>
        <v>0</v>
      </c>
      <c r="K369" s="292" t="str">
        <f t="array" ref="K369">IFERROR(I369*INDEX('PORTIFÓLIO'!$S$4:$S$433,MATCH($C369,'PORTIFÓLIO'!$C$4:$C$433,0)),"")</f>
        <v/>
      </c>
      <c r="L369" s="292" t="str">
        <f t="array" ref="L369">IFERROR(J369*INDEX('PORTIFÓLIO'!$S$4:$S$433,MATCH($C369,'PORTIFÓLIO'!$C$4:$C$433,0)),"")</f>
        <v/>
      </c>
      <c r="M369" s="220"/>
      <c r="N369" s="220"/>
      <c r="O369" s="220"/>
      <c r="P369" s="220"/>
      <c r="Q369" s="220"/>
      <c r="R369" s="220"/>
      <c r="S369" s="220"/>
      <c r="T369" s="220"/>
      <c r="U369" s="220"/>
      <c r="V369" s="220"/>
      <c r="W369" s="220"/>
    </row>
    <row r="370" ht="15.75" customHeight="1" outlineLevel="1">
      <c r="A370" s="211"/>
      <c r="B370" s="212"/>
      <c r="C370" s="213"/>
      <c r="D370" s="214" t="str">
        <f>IFERROR(VLOOKUP($C370,'PORTIFÓLIO'!C:V,2,0),"")</f>
        <v/>
      </c>
      <c r="E370" s="211" t="str">
        <f>IFERROR(VLOOKUP($C370,'PORTIFÓLIO'!C:V,3,0),"")</f>
        <v/>
      </c>
      <c r="F370" s="211" t="str">
        <f>IFERROR(VLOOKUP($C370,'PORTIFÓLIO'!C:V,4,0),"")</f>
        <v/>
      </c>
      <c r="G370" s="215" t="str">
        <f>IFERROR(VLOOKUP($C370,'PORTIFÓLIO'!C:V,5,0),"")</f>
        <v/>
      </c>
      <c r="H370" s="254" t="str">
        <f t="array" ref="H370">IFERROR(INDEX('PORTIFÓLIO'!$H$4:$H$433,MATCH($C370,'PORTIFÓLIO'!$C$4:$C$433,0)),"")</f>
        <v/>
      </c>
      <c r="I370" s="256"/>
      <c r="J370" s="218">
        <f t="shared" si="41"/>
        <v>0</v>
      </c>
      <c r="K370" s="292" t="str">
        <f t="array" ref="K370">IFERROR(I370*INDEX('PORTIFÓLIO'!$S$4:$S$433,MATCH($C370,'PORTIFÓLIO'!$C$4:$C$433,0)),"")</f>
        <v/>
      </c>
      <c r="L370" s="292" t="str">
        <f t="array" ref="L370">IFERROR(J370*INDEX('PORTIFÓLIO'!$S$4:$S$433,MATCH($C370,'PORTIFÓLIO'!$C$4:$C$433,0)),"")</f>
        <v/>
      </c>
      <c r="M370" s="220"/>
      <c r="N370" s="220"/>
      <c r="O370" s="220"/>
      <c r="P370" s="220"/>
      <c r="Q370" s="220"/>
      <c r="R370" s="220"/>
      <c r="S370" s="220"/>
      <c r="T370" s="220"/>
      <c r="U370" s="220"/>
      <c r="V370" s="220"/>
      <c r="W370" s="220"/>
    </row>
    <row r="371" ht="15.75" customHeight="1" outlineLevel="1">
      <c r="A371" s="211"/>
      <c r="B371" s="212"/>
      <c r="C371" s="213"/>
      <c r="D371" s="214" t="str">
        <f>IFERROR(VLOOKUP($C371,'PORTIFÓLIO'!C:V,2,0),"")</f>
        <v/>
      </c>
      <c r="E371" s="211" t="str">
        <f>IFERROR(VLOOKUP($C371,'PORTIFÓLIO'!C:V,3,0),"")</f>
        <v/>
      </c>
      <c r="F371" s="211" t="str">
        <f>IFERROR(VLOOKUP($C371,'PORTIFÓLIO'!C:V,4,0),"")</f>
        <v/>
      </c>
      <c r="G371" s="215" t="str">
        <f>IFERROR(VLOOKUP($C371,'PORTIFÓLIO'!C:V,5,0),"")</f>
        <v/>
      </c>
      <c r="H371" s="254" t="str">
        <f t="array" ref="H371">IFERROR(INDEX('PORTIFÓLIO'!$H$4:$H$433,MATCH($C371,'PORTIFÓLIO'!$C$4:$C$433,0)),"")</f>
        <v/>
      </c>
      <c r="I371" s="256"/>
      <c r="J371" s="218">
        <f t="shared" si="41"/>
        <v>0</v>
      </c>
      <c r="K371" s="292" t="str">
        <f t="array" ref="K371">IFERROR(I371*INDEX('PORTIFÓLIO'!$S$4:$S$433,MATCH($C371,'PORTIFÓLIO'!$C$4:$C$433,0)),"")</f>
        <v/>
      </c>
      <c r="L371" s="292" t="str">
        <f t="array" ref="L371">IFERROR(J371*INDEX('PORTIFÓLIO'!$S$4:$S$433,MATCH($C371,'PORTIFÓLIO'!$C$4:$C$433,0)),"")</f>
        <v/>
      </c>
      <c r="M371" s="220"/>
      <c r="N371" s="220"/>
      <c r="O371" s="220"/>
      <c r="P371" s="220"/>
      <c r="Q371" s="220"/>
      <c r="R371" s="220"/>
      <c r="S371" s="220"/>
      <c r="T371" s="220"/>
      <c r="U371" s="220"/>
      <c r="V371" s="220"/>
      <c r="W371" s="220"/>
    </row>
    <row r="372" ht="15.75" customHeight="1" outlineLevel="1">
      <c r="A372" s="211"/>
      <c r="B372" s="212"/>
      <c r="C372" s="213"/>
      <c r="D372" s="214" t="str">
        <f>IFERROR(VLOOKUP($C372,'PORTIFÓLIO'!C:V,2,0),"")</f>
        <v/>
      </c>
      <c r="E372" s="211" t="str">
        <f>IFERROR(VLOOKUP($C372,'PORTIFÓLIO'!C:V,3,0),"")</f>
        <v/>
      </c>
      <c r="F372" s="211" t="str">
        <f>IFERROR(VLOOKUP($C372,'PORTIFÓLIO'!C:V,4,0),"")</f>
        <v/>
      </c>
      <c r="G372" s="215" t="str">
        <f>IFERROR(VLOOKUP($C372,'PORTIFÓLIO'!C:V,5,0),"")</f>
        <v/>
      </c>
      <c r="H372" s="254" t="str">
        <f t="array" ref="H372">IFERROR(INDEX('PORTIFÓLIO'!$H$4:$H$433,MATCH($C372,'PORTIFÓLIO'!$C$4:$C$433,0)),"")</f>
        <v/>
      </c>
      <c r="I372" s="256"/>
      <c r="J372" s="218">
        <f t="shared" si="41"/>
        <v>0</v>
      </c>
      <c r="K372" s="292" t="str">
        <f t="array" ref="K372">IFERROR(I372*INDEX('PORTIFÓLIO'!$S$4:$S$433,MATCH($C372,'PORTIFÓLIO'!$C$4:$C$433,0)),"")</f>
        <v/>
      </c>
      <c r="L372" s="292" t="str">
        <f t="array" ref="L372">IFERROR(J372*INDEX('PORTIFÓLIO'!$S$4:$S$433,MATCH($C372,'PORTIFÓLIO'!$C$4:$C$433,0)),"")</f>
        <v/>
      </c>
      <c r="M372" s="220"/>
      <c r="N372" s="220"/>
      <c r="O372" s="220"/>
      <c r="P372" s="220"/>
      <c r="Q372" s="220"/>
      <c r="R372" s="220"/>
      <c r="S372" s="220"/>
      <c r="T372" s="220"/>
      <c r="U372" s="220"/>
      <c r="V372" s="220"/>
      <c r="W372" s="220"/>
    </row>
    <row r="373" ht="15.75" customHeight="1" outlineLevel="1">
      <c r="A373" s="211"/>
      <c r="B373" s="212"/>
      <c r="C373" s="213"/>
      <c r="D373" s="214" t="str">
        <f>IFERROR(VLOOKUP($C373,'PORTIFÓLIO'!C:V,2,0),"")</f>
        <v/>
      </c>
      <c r="E373" s="211" t="str">
        <f>IFERROR(VLOOKUP($C373,'PORTIFÓLIO'!C:V,3,0),"")</f>
        <v/>
      </c>
      <c r="F373" s="211" t="str">
        <f>IFERROR(VLOOKUP($C373,'PORTIFÓLIO'!C:V,4,0),"")</f>
        <v/>
      </c>
      <c r="G373" s="215" t="str">
        <f>IFERROR(VLOOKUP($C373,'PORTIFÓLIO'!C:V,5,0),"")</f>
        <v/>
      </c>
      <c r="H373" s="254" t="str">
        <f t="array" ref="H373">IFERROR(INDEX('PORTIFÓLIO'!$H$4:$H$433,MATCH($C373,'PORTIFÓLIO'!$C$4:$C$433,0)),"")</f>
        <v/>
      </c>
      <c r="I373" s="256"/>
      <c r="J373" s="218">
        <f t="shared" si="41"/>
        <v>0</v>
      </c>
      <c r="K373" s="292" t="str">
        <f t="array" ref="K373">IFERROR(I373*INDEX('PORTIFÓLIO'!$S$4:$S$433,MATCH($C373,'PORTIFÓLIO'!$C$4:$C$433,0)),"")</f>
        <v/>
      </c>
      <c r="L373" s="292" t="str">
        <f t="array" ref="L373">IFERROR(J373*INDEX('PORTIFÓLIO'!$S$4:$S$433,MATCH($C373,'PORTIFÓLIO'!$C$4:$C$433,0)),"")</f>
        <v/>
      </c>
      <c r="M373" s="220"/>
      <c r="N373" s="220"/>
      <c r="O373" s="220"/>
      <c r="P373" s="220"/>
      <c r="Q373" s="220"/>
      <c r="R373" s="220"/>
      <c r="S373" s="220"/>
      <c r="T373" s="220"/>
      <c r="U373" s="220"/>
      <c r="V373" s="220"/>
      <c r="W373" s="220"/>
    </row>
    <row r="374" ht="15.75" customHeight="1" outlineLevel="1">
      <c r="A374" s="211"/>
      <c r="B374" s="227"/>
      <c r="C374" s="211"/>
      <c r="D374" s="214" t="str">
        <f>IFERROR(VLOOKUP($C374,'PORTIFÓLIO'!C:V,2,0),"")</f>
        <v/>
      </c>
      <c r="E374" s="211" t="str">
        <f>IFERROR(VLOOKUP($C374,'PORTIFÓLIO'!C:V,3,0),"")</f>
        <v/>
      </c>
      <c r="F374" s="211" t="str">
        <f>IFERROR(VLOOKUP($C374,'PORTIFÓLIO'!C:V,4,0),"")</f>
        <v/>
      </c>
      <c r="G374" s="215" t="str">
        <f>IFERROR(VLOOKUP($C374,'PORTIFÓLIO'!C:V,5,0),"")</f>
        <v/>
      </c>
      <c r="H374" s="254" t="str">
        <f t="array" ref="H374">IFERROR(INDEX('PORTIFÓLIO'!$H$4:$H$433,MATCH($C374,'PORTIFÓLIO'!$C$4:$C$433,0)),"")</f>
        <v/>
      </c>
      <c r="I374" s="256"/>
      <c r="J374" s="218"/>
      <c r="K374" s="292" t="str">
        <f t="array" ref="K374">IFERROR(I374*INDEX('PORTIFÓLIO'!$S$4:$S$433,MATCH($C374,'PORTIFÓLIO'!$C$4:$C$433,0)),"")</f>
        <v/>
      </c>
      <c r="L374" s="292" t="str">
        <f t="array" ref="L374">IFERROR(J374*INDEX('PORTIFÓLIO'!$S$4:$S$433,MATCH($C374,'PORTIFÓLIO'!$C$4:$C$433,0)),"")</f>
        <v/>
      </c>
      <c r="M374" s="220"/>
      <c r="N374" s="220"/>
      <c r="O374" s="220"/>
      <c r="P374" s="220"/>
      <c r="Q374" s="220"/>
      <c r="R374" s="220"/>
      <c r="S374" s="220"/>
      <c r="T374" s="220"/>
      <c r="U374" s="220"/>
      <c r="V374" s="220"/>
      <c r="W374" s="220"/>
    </row>
    <row r="375" ht="15.75" customHeight="1">
      <c r="A375" s="229" t="s">
        <v>1192</v>
      </c>
      <c r="B375" s="230"/>
      <c r="C375" s="231"/>
      <c r="D375" s="232"/>
      <c r="E375" s="231"/>
      <c r="F375" s="231"/>
      <c r="G375" s="233"/>
      <c r="H375" s="233"/>
      <c r="I375" s="258"/>
      <c r="J375" s="236"/>
      <c r="K375" s="237">
        <f t="shared" ref="K375:L375" si="42">SUBTOTAL(9,K376:K389)</f>
        <v>0</v>
      </c>
      <c r="L375" s="237">
        <f t="shared" si="42"/>
        <v>0</v>
      </c>
      <c r="M375" s="220"/>
      <c r="N375" s="220"/>
      <c r="O375" s="220"/>
      <c r="P375" s="220"/>
      <c r="Q375" s="220"/>
      <c r="R375" s="220"/>
      <c r="S375" s="220"/>
      <c r="T375" s="220"/>
      <c r="U375" s="220"/>
      <c r="V375" s="220"/>
      <c r="W375" s="220"/>
    </row>
    <row r="376" ht="15.75" customHeight="1" outlineLevel="1">
      <c r="A376" s="213"/>
      <c r="B376" s="212"/>
      <c r="C376" s="213"/>
      <c r="D376" s="214" t="str">
        <f>IFERROR(VLOOKUP($C376,'PORTIFÓLIO'!C:V,2,0),"")</f>
        <v/>
      </c>
      <c r="E376" s="211" t="str">
        <f>IFERROR(VLOOKUP($C376,'PORTIFÓLIO'!C:V,3,0),"")</f>
        <v/>
      </c>
      <c r="F376" s="211" t="str">
        <f>IFERROR(VLOOKUP($C376,'PORTIFÓLIO'!C:V,4,0),"")</f>
        <v/>
      </c>
      <c r="G376" s="215" t="str">
        <f>IFERROR(VLOOKUP($C376,'PORTIFÓLIO'!C:V,5,0),"")</f>
        <v/>
      </c>
      <c r="H376" s="254" t="str">
        <f t="array" ref="H376">IFERROR(INDEX('PORTIFÓLIO'!$H$4:$H$433,MATCH($C376,'PORTIFÓLIO'!$C$4:$C$433,0)),"")</f>
        <v/>
      </c>
      <c r="I376" s="255"/>
      <c r="J376" s="218">
        <f t="shared" ref="J376:J390" si="43">I376*$B$2</f>
        <v>0</v>
      </c>
      <c r="K376" s="292" t="str">
        <f t="array" ref="K376">IFERROR(I376*INDEX('PORTIFÓLIO'!$S$4:$S$433,MATCH($C376,'PORTIFÓLIO'!$C$4:$C$433,0)),"")</f>
        <v/>
      </c>
      <c r="L376" s="292" t="str">
        <f t="array" ref="L376">IFERROR(J376*INDEX('PORTIFÓLIO'!$S$4:$S$433,MATCH($C376,'PORTIFÓLIO'!$C$4:$C$433,0)),"")</f>
        <v/>
      </c>
      <c r="M376" s="220"/>
      <c r="N376" s="220"/>
      <c r="O376" s="220"/>
      <c r="P376" s="220"/>
      <c r="Q376" s="220"/>
      <c r="R376" s="220"/>
      <c r="S376" s="220"/>
      <c r="T376" s="220"/>
      <c r="U376" s="220"/>
      <c r="V376" s="220"/>
      <c r="W376" s="220"/>
    </row>
    <row r="377" ht="15.75" customHeight="1" outlineLevel="1">
      <c r="A377" s="211"/>
      <c r="B377" s="212"/>
      <c r="C377" s="213"/>
      <c r="D377" s="214" t="str">
        <f>IFERROR(VLOOKUP($C377,'PORTIFÓLIO'!C:V,2,0),"")</f>
        <v/>
      </c>
      <c r="E377" s="211" t="str">
        <f>IFERROR(VLOOKUP($C377,'PORTIFÓLIO'!C:V,3,0),"")</f>
        <v/>
      </c>
      <c r="F377" s="211" t="str">
        <f>IFERROR(VLOOKUP($C377,'PORTIFÓLIO'!C:V,4,0),"")</f>
        <v/>
      </c>
      <c r="G377" s="215" t="str">
        <f>IFERROR(VLOOKUP($C377,'PORTIFÓLIO'!C:V,5,0),"")</f>
        <v/>
      </c>
      <c r="H377" s="254" t="str">
        <f t="array" ref="H377">IFERROR(INDEX('PORTIFÓLIO'!$H$4:$H$433,MATCH($C377,'PORTIFÓLIO'!$C$4:$C$433,0)),"")</f>
        <v/>
      </c>
      <c r="I377" s="256"/>
      <c r="J377" s="218">
        <f t="shared" si="43"/>
        <v>0</v>
      </c>
      <c r="K377" s="292" t="str">
        <f t="array" ref="K377">IFERROR(I377*INDEX('PORTIFÓLIO'!$S$4:$S$433,MATCH($C377,'PORTIFÓLIO'!$C$4:$C$433,0)),"")</f>
        <v/>
      </c>
      <c r="L377" s="292" t="str">
        <f t="array" ref="L377">IFERROR(J377*INDEX('PORTIFÓLIO'!$S$4:$S$433,MATCH($C377,'PORTIFÓLIO'!$C$4:$C$433,0)),"")</f>
        <v/>
      </c>
      <c r="M377" s="220"/>
      <c r="N377" s="220"/>
      <c r="O377" s="220"/>
      <c r="P377" s="220"/>
      <c r="Q377" s="220"/>
      <c r="R377" s="220"/>
      <c r="S377" s="220"/>
      <c r="T377" s="220"/>
      <c r="U377" s="220"/>
      <c r="V377" s="220"/>
      <c r="W377" s="220"/>
    </row>
    <row r="378" ht="15.75" customHeight="1" outlineLevel="1">
      <c r="A378" s="211"/>
      <c r="B378" s="212"/>
      <c r="C378" s="213"/>
      <c r="D378" s="214" t="str">
        <f>IFERROR(VLOOKUP($C378,'PORTIFÓLIO'!C:V,2,0),"")</f>
        <v/>
      </c>
      <c r="E378" s="211" t="str">
        <f>IFERROR(VLOOKUP($C378,'PORTIFÓLIO'!C:V,3,0),"")</f>
        <v/>
      </c>
      <c r="F378" s="211" t="str">
        <f>IFERROR(VLOOKUP($C378,'PORTIFÓLIO'!C:V,4,0),"")</f>
        <v/>
      </c>
      <c r="G378" s="215" t="str">
        <f>IFERROR(VLOOKUP($C378,'PORTIFÓLIO'!C:V,5,0),"")</f>
        <v/>
      </c>
      <c r="H378" s="254" t="str">
        <f t="array" ref="H378">IFERROR(INDEX('PORTIFÓLIO'!$H$4:$H$433,MATCH($C378,'PORTIFÓLIO'!$C$4:$C$433,0)),"")</f>
        <v/>
      </c>
      <c r="I378" s="256"/>
      <c r="J378" s="218">
        <f t="shared" si="43"/>
        <v>0</v>
      </c>
      <c r="K378" s="292" t="str">
        <f t="array" ref="K378">IFERROR(I378*INDEX('PORTIFÓLIO'!$S$4:$S$433,MATCH($C378,'PORTIFÓLIO'!$C$4:$C$433,0)),"")</f>
        <v/>
      </c>
      <c r="L378" s="292" t="str">
        <f t="array" ref="L378">IFERROR(J378*INDEX('PORTIFÓLIO'!$S$4:$S$433,MATCH($C378,'PORTIFÓLIO'!$C$4:$C$433,0)),"")</f>
        <v/>
      </c>
      <c r="M378" s="220"/>
      <c r="N378" s="220"/>
      <c r="O378" s="220"/>
      <c r="P378" s="220"/>
      <c r="Q378" s="220"/>
      <c r="R378" s="220"/>
      <c r="S378" s="220"/>
      <c r="T378" s="220"/>
      <c r="U378" s="220"/>
      <c r="V378" s="220"/>
      <c r="W378" s="220"/>
    </row>
    <row r="379" ht="15.75" customHeight="1" outlineLevel="1">
      <c r="A379" s="211"/>
      <c r="B379" s="212"/>
      <c r="C379" s="213"/>
      <c r="D379" s="214" t="str">
        <f>IFERROR(VLOOKUP($C379,'PORTIFÓLIO'!C:V,2,0),"")</f>
        <v/>
      </c>
      <c r="E379" s="211" t="str">
        <f>IFERROR(VLOOKUP($C379,'PORTIFÓLIO'!C:V,3,0),"")</f>
        <v/>
      </c>
      <c r="F379" s="211" t="str">
        <f>IFERROR(VLOOKUP($C379,'PORTIFÓLIO'!C:V,4,0),"")</f>
        <v/>
      </c>
      <c r="G379" s="215" t="str">
        <f>IFERROR(VLOOKUP($C379,'PORTIFÓLIO'!C:V,5,0),"")</f>
        <v/>
      </c>
      <c r="H379" s="254" t="str">
        <f t="array" ref="H379">IFERROR(INDEX('PORTIFÓLIO'!$H$4:$H$433,MATCH($C379,'PORTIFÓLIO'!$C$4:$C$433,0)),"")</f>
        <v/>
      </c>
      <c r="I379" s="256"/>
      <c r="J379" s="218">
        <f t="shared" si="43"/>
        <v>0</v>
      </c>
      <c r="K379" s="292" t="str">
        <f t="array" ref="K379">IFERROR(I379*INDEX('PORTIFÓLIO'!$S$4:$S$433,MATCH($C379,'PORTIFÓLIO'!$C$4:$C$433,0)),"")</f>
        <v/>
      </c>
      <c r="L379" s="292" t="str">
        <f t="array" ref="L379">IFERROR(J379*INDEX('PORTIFÓLIO'!$S$4:$S$433,MATCH($C379,'PORTIFÓLIO'!$C$4:$C$433,0)),"")</f>
        <v/>
      </c>
      <c r="M379" s="220"/>
      <c r="N379" s="220"/>
      <c r="O379" s="220"/>
      <c r="P379" s="220"/>
      <c r="Q379" s="220"/>
      <c r="R379" s="220"/>
      <c r="S379" s="220"/>
      <c r="T379" s="220"/>
      <c r="U379" s="220"/>
      <c r="V379" s="220"/>
      <c r="W379" s="220"/>
    </row>
    <row r="380" ht="15.75" customHeight="1" outlineLevel="1">
      <c r="A380" s="211"/>
      <c r="B380" s="212"/>
      <c r="C380" s="213"/>
      <c r="D380" s="214" t="str">
        <f>IFERROR(VLOOKUP($C380,'PORTIFÓLIO'!C:V,2,0),"")</f>
        <v/>
      </c>
      <c r="E380" s="211" t="str">
        <f>IFERROR(VLOOKUP($C380,'PORTIFÓLIO'!C:V,3,0),"")</f>
        <v/>
      </c>
      <c r="F380" s="211" t="str">
        <f>IFERROR(VLOOKUP($C380,'PORTIFÓLIO'!C:V,4,0),"")</f>
        <v/>
      </c>
      <c r="G380" s="215" t="str">
        <f>IFERROR(VLOOKUP($C380,'PORTIFÓLIO'!C:V,5,0),"")</f>
        <v/>
      </c>
      <c r="H380" s="254" t="str">
        <f t="array" ref="H380">IFERROR(INDEX('PORTIFÓLIO'!$H$4:$H$433,MATCH($C380,'PORTIFÓLIO'!$C$4:$C$433,0)),"")</f>
        <v/>
      </c>
      <c r="I380" s="256"/>
      <c r="J380" s="218">
        <f t="shared" si="43"/>
        <v>0</v>
      </c>
      <c r="K380" s="292" t="str">
        <f t="array" ref="K380">IFERROR(I380*INDEX('PORTIFÓLIO'!$S$4:$S$433,MATCH($C380,'PORTIFÓLIO'!$C$4:$C$433,0)),"")</f>
        <v/>
      </c>
      <c r="L380" s="292" t="str">
        <f t="array" ref="L380">IFERROR(J380*INDEX('PORTIFÓLIO'!$S$4:$S$433,MATCH($C380,'PORTIFÓLIO'!$C$4:$C$433,0)),"")</f>
        <v/>
      </c>
      <c r="M380" s="220"/>
      <c r="N380" s="220"/>
      <c r="O380" s="220"/>
      <c r="P380" s="220"/>
      <c r="Q380" s="220"/>
      <c r="R380" s="220"/>
      <c r="S380" s="220"/>
      <c r="T380" s="220"/>
      <c r="U380" s="220"/>
      <c r="V380" s="220"/>
      <c r="W380" s="220"/>
    </row>
    <row r="381" ht="15.75" customHeight="1" outlineLevel="1">
      <c r="A381" s="211"/>
      <c r="B381" s="212"/>
      <c r="C381" s="213"/>
      <c r="D381" s="214" t="str">
        <f>IFERROR(VLOOKUP($C381,'PORTIFÓLIO'!C:V,2,0),"")</f>
        <v/>
      </c>
      <c r="E381" s="211" t="str">
        <f>IFERROR(VLOOKUP($C381,'PORTIFÓLIO'!C:V,3,0),"")</f>
        <v/>
      </c>
      <c r="F381" s="211" t="str">
        <f>IFERROR(VLOOKUP($C381,'PORTIFÓLIO'!C:V,4,0),"")</f>
        <v/>
      </c>
      <c r="G381" s="215" t="str">
        <f>IFERROR(VLOOKUP($C381,'PORTIFÓLIO'!C:V,5,0),"")</f>
        <v/>
      </c>
      <c r="H381" s="254" t="str">
        <f t="array" ref="H381">IFERROR(INDEX('PORTIFÓLIO'!$H$4:$H$433,MATCH($C381,'PORTIFÓLIO'!$C$4:$C$433,0)),"")</f>
        <v/>
      </c>
      <c r="I381" s="256"/>
      <c r="J381" s="218">
        <f t="shared" si="43"/>
        <v>0</v>
      </c>
      <c r="K381" s="292" t="str">
        <f t="array" ref="K381">IFERROR(I381*INDEX('PORTIFÓLIO'!$S$4:$S$433,MATCH($C381,'PORTIFÓLIO'!$C$4:$C$433,0)),"")</f>
        <v/>
      </c>
      <c r="L381" s="292" t="str">
        <f t="array" ref="L381">IFERROR(J381*INDEX('PORTIFÓLIO'!$S$4:$S$433,MATCH($C381,'PORTIFÓLIO'!$C$4:$C$433,0)),"")</f>
        <v/>
      </c>
      <c r="M381" s="220"/>
      <c r="N381" s="220"/>
      <c r="O381" s="220"/>
      <c r="P381" s="220"/>
      <c r="Q381" s="220"/>
      <c r="R381" s="220"/>
      <c r="S381" s="220"/>
      <c r="T381" s="220"/>
      <c r="U381" s="220"/>
      <c r="V381" s="220"/>
      <c r="W381" s="220"/>
    </row>
    <row r="382" ht="15.75" customHeight="1" outlineLevel="1">
      <c r="A382" s="211"/>
      <c r="B382" s="212"/>
      <c r="C382" s="213"/>
      <c r="D382" s="214" t="str">
        <f>IFERROR(VLOOKUP($C382,'PORTIFÓLIO'!C:V,2,0),"")</f>
        <v/>
      </c>
      <c r="E382" s="211" t="str">
        <f>IFERROR(VLOOKUP($C382,'PORTIFÓLIO'!C:V,3,0),"")</f>
        <v/>
      </c>
      <c r="F382" s="211" t="str">
        <f>IFERROR(VLOOKUP($C382,'PORTIFÓLIO'!C:V,4,0),"")</f>
        <v/>
      </c>
      <c r="G382" s="215" t="str">
        <f>IFERROR(VLOOKUP($C382,'PORTIFÓLIO'!C:V,5,0),"")</f>
        <v/>
      </c>
      <c r="H382" s="254" t="str">
        <f t="array" ref="H382">IFERROR(INDEX('PORTIFÓLIO'!$H$4:$H$433,MATCH($C382,'PORTIFÓLIO'!$C$4:$C$433,0)),"")</f>
        <v/>
      </c>
      <c r="I382" s="256"/>
      <c r="J382" s="218">
        <f t="shared" si="43"/>
        <v>0</v>
      </c>
      <c r="K382" s="292" t="str">
        <f t="array" ref="K382">IFERROR(I382*INDEX('PORTIFÓLIO'!$S$4:$S$433,MATCH($C382,'PORTIFÓLIO'!$C$4:$C$433,0)),"")</f>
        <v/>
      </c>
      <c r="L382" s="292" t="str">
        <f t="array" ref="L382">IFERROR(J382*INDEX('PORTIFÓLIO'!$S$4:$S$433,MATCH($C382,'PORTIFÓLIO'!$C$4:$C$433,0)),"")</f>
        <v/>
      </c>
      <c r="M382" s="220"/>
      <c r="N382" s="220"/>
      <c r="O382" s="220"/>
      <c r="P382" s="220"/>
      <c r="Q382" s="220"/>
      <c r="R382" s="220"/>
      <c r="S382" s="220"/>
      <c r="T382" s="220"/>
      <c r="U382" s="220"/>
      <c r="V382" s="220"/>
      <c r="W382" s="220"/>
    </row>
    <row r="383" ht="15.75" customHeight="1" outlineLevel="1">
      <c r="A383" s="211"/>
      <c r="B383" s="212"/>
      <c r="C383" s="213"/>
      <c r="D383" s="214" t="str">
        <f>IFERROR(VLOOKUP($C383,'PORTIFÓLIO'!C:V,2,0),"")</f>
        <v/>
      </c>
      <c r="E383" s="211" t="str">
        <f>IFERROR(VLOOKUP($C383,'PORTIFÓLIO'!C:V,3,0),"")</f>
        <v/>
      </c>
      <c r="F383" s="211" t="str">
        <f>IFERROR(VLOOKUP($C383,'PORTIFÓLIO'!C:V,4,0),"")</f>
        <v/>
      </c>
      <c r="G383" s="215" t="str">
        <f>IFERROR(VLOOKUP($C383,'PORTIFÓLIO'!C:V,5,0),"")</f>
        <v/>
      </c>
      <c r="H383" s="254" t="str">
        <f t="array" ref="H383">IFERROR(INDEX('PORTIFÓLIO'!$H$4:$H$433,MATCH($C383,'PORTIFÓLIO'!$C$4:$C$433,0)),"")</f>
        <v/>
      </c>
      <c r="I383" s="256"/>
      <c r="J383" s="218">
        <f t="shared" si="43"/>
        <v>0</v>
      </c>
      <c r="K383" s="292" t="str">
        <f t="array" ref="K383">IFERROR(I383*INDEX('PORTIFÓLIO'!$S$4:$S$433,MATCH($C383,'PORTIFÓLIO'!$C$4:$C$433,0)),"")</f>
        <v/>
      </c>
      <c r="L383" s="292" t="str">
        <f t="array" ref="L383">IFERROR(J383*INDEX('PORTIFÓLIO'!$S$4:$S$433,MATCH($C383,'PORTIFÓLIO'!$C$4:$C$433,0)),"")</f>
        <v/>
      </c>
      <c r="M383" s="220"/>
      <c r="N383" s="220"/>
      <c r="O383" s="220"/>
      <c r="P383" s="220"/>
      <c r="Q383" s="220"/>
      <c r="R383" s="220"/>
      <c r="S383" s="220"/>
      <c r="T383" s="220"/>
      <c r="U383" s="220"/>
      <c r="V383" s="220"/>
      <c r="W383" s="220"/>
    </row>
    <row r="384" ht="15.75" customHeight="1" outlineLevel="1">
      <c r="A384" s="211"/>
      <c r="B384" s="212"/>
      <c r="C384" s="213"/>
      <c r="D384" s="214" t="str">
        <f>IFERROR(VLOOKUP($C384,'PORTIFÓLIO'!C:V,2,0),"")</f>
        <v/>
      </c>
      <c r="E384" s="211" t="str">
        <f>IFERROR(VLOOKUP($C384,'PORTIFÓLIO'!C:V,3,0),"")</f>
        <v/>
      </c>
      <c r="F384" s="211" t="str">
        <f>IFERROR(VLOOKUP($C384,'PORTIFÓLIO'!C:V,4,0),"")</f>
        <v/>
      </c>
      <c r="G384" s="215" t="str">
        <f>IFERROR(VLOOKUP($C384,'PORTIFÓLIO'!C:V,5,0),"")</f>
        <v/>
      </c>
      <c r="H384" s="254" t="str">
        <f t="array" ref="H384">IFERROR(INDEX('PORTIFÓLIO'!$H$4:$H$433,MATCH($C384,'PORTIFÓLIO'!$C$4:$C$433,0)),"")</f>
        <v/>
      </c>
      <c r="I384" s="255"/>
      <c r="J384" s="218">
        <f t="shared" si="43"/>
        <v>0</v>
      </c>
      <c r="K384" s="292" t="str">
        <f t="array" ref="K384">IFERROR(I384*INDEX('PORTIFÓLIO'!$S$4:$S$433,MATCH($C384,'PORTIFÓLIO'!$C$4:$C$433,0)),"")</f>
        <v/>
      </c>
      <c r="L384" s="292" t="str">
        <f t="array" ref="L384">IFERROR(J384*INDEX('PORTIFÓLIO'!$S$4:$S$433,MATCH($C384,'PORTIFÓLIO'!$C$4:$C$433,0)),"")</f>
        <v/>
      </c>
      <c r="M384" s="220"/>
      <c r="N384" s="220"/>
      <c r="O384" s="220"/>
      <c r="P384" s="220"/>
      <c r="Q384" s="220"/>
      <c r="R384" s="220"/>
      <c r="S384" s="220"/>
      <c r="T384" s="220"/>
      <c r="U384" s="220"/>
      <c r="V384" s="220"/>
      <c r="W384" s="220"/>
    </row>
    <row r="385" ht="15.75" customHeight="1" outlineLevel="1">
      <c r="A385" s="211"/>
      <c r="B385" s="212"/>
      <c r="C385" s="213"/>
      <c r="D385" s="214" t="str">
        <f>IFERROR(VLOOKUP($C385,'PORTIFÓLIO'!C:V,2,0),"")</f>
        <v/>
      </c>
      <c r="E385" s="211" t="str">
        <f>IFERROR(VLOOKUP($C385,'PORTIFÓLIO'!C:V,3,0),"")</f>
        <v/>
      </c>
      <c r="F385" s="211" t="str">
        <f>IFERROR(VLOOKUP($C385,'PORTIFÓLIO'!C:V,4,0),"")</f>
        <v/>
      </c>
      <c r="G385" s="215" t="str">
        <f>IFERROR(VLOOKUP($C385,'PORTIFÓLIO'!C:V,5,0),"")</f>
        <v/>
      </c>
      <c r="H385" s="254" t="str">
        <f t="array" ref="H385">IFERROR(INDEX('PORTIFÓLIO'!$H$4:$H$433,MATCH($C385,'PORTIFÓLIO'!$C$4:$C$433,0)),"")</f>
        <v/>
      </c>
      <c r="I385" s="256"/>
      <c r="J385" s="218">
        <f t="shared" si="43"/>
        <v>0</v>
      </c>
      <c r="K385" s="292" t="str">
        <f t="array" ref="K385">IFERROR(I385*INDEX('PORTIFÓLIO'!$S$4:$S$433,MATCH($C385,'PORTIFÓLIO'!$C$4:$C$433,0)),"")</f>
        <v/>
      </c>
      <c r="L385" s="292" t="str">
        <f t="array" ref="L385">IFERROR(J385*INDEX('PORTIFÓLIO'!$S$4:$S$433,MATCH($C385,'PORTIFÓLIO'!$C$4:$C$433,0)),"")</f>
        <v/>
      </c>
      <c r="M385" s="220"/>
      <c r="N385" s="220"/>
      <c r="O385" s="220"/>
      <c r="P385" s="220"/>
      <c r="Q385" s="220"/>
      <c r="R385" s="220"/>
      <c r="S385" s="220"/>
      <c r="T385" s="220"/>
      <c r="U385" s="220"/>
      <c r="V385" s="220"/>
      <c r="W385" s="220"/>
    </row>
    <row r="386" ht="15.75" customHeight="1" outlineLevel="1">
      <c r="A386" s="211"/>
      <c r="B386" s="212"/>
      <c r="C386" s="213"/>
      <c r="D386" s="214" t="str">
        <f>IFERROR(VLOOKUP($C386,'PORTIFÓLIO'!C:V,2,0),"")</f>
        <v/>
      </c>
      <c r="E386" s="211" t="str">
        <f>IFERROR(VLOOKUP($C386,'PORTIFÓLIO'!C:V,3,0),"")</f>
        <v/>
      </c>
      <c r="F386" s="211" t="str">
        <f>IFERROR(VLOOKUP($C386,'PORTIFÓLIO'!C:V,4,0),"")</f>
        <v/>
      </c>
      <c r="G386" s="215" t="str">
        <f>IFERROR(VLOOKUP($C386,'PORTIFÓLIO'!C:V,5,0),"")</f>
        <v/>
      </c>
      <c r="H386" s="254" t="str">
        <f t="array" ref="H386">IFERROR(INDEX('PORTIFÓLIO'!$H$4:$H$433,MATCH($C386,'PORTIFÓLIO'!$C$4:$C$433,0)),"")</f>
        <v/>
      </c>
      <c r="I386" s="256"/>
      <c r="J386" s="218">
        <f t="shared" si="43"/>
        <v>0</v>
      </c>
      <c r="K386" s="292" t="str">
        <f t="array" ref="K386">IFERROR(I386*INDEX('PORTIFÓLIO'!$S$4:$S$433,MATCH($C386,'PORTIFÓLIO'!$C$4:$C$433,0)),"")</f>
        <v/>
      </c>
      <c r="L386" s="292" t="str">
        <f t="array" ref="L386">IFERROR(J386*INDEX('PORTIFÓLIO'!$S$4:$S$433,MATCH($C386,'PORTIFÓLIO'!$C$4:$C$433,0)),"")</f>
        <v/>
      </c>
      <c r="M386" s="220"/>
      <c r="N386" s="220"/>
      <c r="O386" s="220"/>
      <c r="P386" s="220"/>
      <c r="Q386" s="220"/>
      <c r="R386" s="220"/>
      <c r="S386" s="220"/>
      <c r="T386" s="220"/>
      <c r="U386" s="220"/>
      <c r="V386" s="220"/>
      <c r="W386" s="220"/>
    </row>
    <row r="387" ht="15.75" customHeight="1" outlineLevel="1">
      <c r="A387" s="211"/>
      <c r="B387" s="212"/>
      <c r="C387" s="213"/>
      <c r="D387" s="214" t="str">
        <f>IFERROR(VLOOKUP($C387,'PORTIFÓLIO'!C:V,2,0),"")</f>
        <v/>
      </c>
      <c r="E387" s="211" t="str">
        <f>IFERROR(VLOOKUP($C387,'PORTIFÓLIO'!C:V,3,0),"")</f>
        <v/>
      </c>
      <c r="F387" s="211" t="str">
        <f>IFERROR(VLOOKUP($C387,'PORTIFÓLIO'!C:V,4,0),"")</f>
        <v/>
      </c>
      <c r="G387" s="215" t="str">
        <f>IFERROR(VLOOKUP($C387,'PORTIFÓLIO'!C:V,5,0),"")</f>
        <v/>
      </c>
      <c r="H387" s="254" t="str">
        <f t="array" ref="H387">IFERROR(INDEX('PORTIFÓLIO'!$H$4:$H$433,MATCH($C387,'PORTIFÓLIO'!$C$4:$C$433,0)),"")</f>
        <v/>
      </c>
      <c r="I387" s="256"/>
      <c r="J387" s="218">
        <f t="shared" si="43"/>
        <v>0</v>
      </c>
      <c r="K387" s="292" t="str">
        <f t="array" ref="K387">IFERROR(I387*INDEX('PORTIFÓLIO'!$S$4:$S$433,MATCH($C387,'PORTIFÓLIO'!$C$4:$C$433,0)),"")</f>
        <v/>
      </c>
      <c r="L387" s="292" t="str">
        <f t="array" ref="L387">IFERROR(J387*INDEX('PORTIFÓLIO'!$S$4:$S$433,MATCH($C387,'PORTIFÓLIO'!$C$4:$C$433,0)),"")</f>
        <v/>
      </c>
      <c r="M387" s="220"/>
      <c r="N387" s="220"/>
      <c r="O387" s="220"/>
      <c r="P387" s="220"/>
      <c r="Q387" s="220"/>
      <c r="R387" s="220"/>
      <c r="S387" s="220"/>
      <c r="T387" s="220"/>
      <c r="U387" s="220"/>
      <c r="V387" s="220"/>
      <c r="W387" s="220"/>
    </row>
    <row r="388" ht="15.75" customHeight="1" outlineLevel="1">
      <c r="A388" s="211"/>
      <c r="B388" s="212"/>
      <c r="C388" s="213"/>
      <c r="D388" s="214" t="str">
        <f>IFERROR(VLOOKUP($C388,'PORTIFÓLIO'!C:V,2,0),"")</f>
        <v/>
      </c>
      <c r="E388" s="211" t="str">
        <f>IFERROR(VLOOKUP($C388,'PORTIFÓLIO'!C:V,3,0),"")</f>
        <v/>
      </c>
      <c r="F388" s="211" t="str">
        <f>IFERROR(VLOOKUP($C388,'PORTIFÓLIO'!C:V,4,0),"")</f>
        <v/>
      </c>
      <c r="G388" s="215" t="str">
        <f>IFERROR(VLOOKUP($C388,'PORTIFÓLIO'!C:V,5,0),"")</f>
        <v/>
      </c>
      <c r="H388" s="254" t="str">
        <f t="array" ref="H388">IFERROR(INDEX('PORTIFÓLIO'!$H$4:$H$433,MATCH($C388,'PORTIFÓLIO'!$C$4:$C$433,0)),"")</f>
        <v/>
      </c>
      <c r="I388" s="256"/>
      <c r="J388" s="218">
        <f t="shared" si="43"/>
        <v>0</v>
      </c>
      <c r="K388" s="292" t="str">
        <f t="array" ref="K388">IFERROR(I388*INDEX('PORTIFÓLIO'!$S$4:$S$433,MATCH($C388,'PORTIFÓLIO'!$C$4:$C$433,0)),"")</f>
        <v/>
      </c>
      <c r="L388" s="292" t="str">
        <f t="array" ref="L388">IFERROR(J388*INDEX('PORTIFÓLIO'!$S$4:$S$433,MATCH($C388,'PORTIFÓLIO'!$C$4:$C$433,0)),"")</f>
        <v/>
      </c>
      <c r="M388" s="220"/>
      <c r="N388" s="220"/>
      <c r="O388" s="220"/>
      <c r="P388" s="220"/>
      <c r="Q388" s="220"/>
      <c r="R388" s="220"/>
      <c r="S388" s="220"/>
      <c r="T388" s="220"/>
      <c r="U388" s="220"/>
      <c r="V388" s="220"/>
      <c r="W388" s="220"/>
    </row>
    <row r="389" ht="15.75" customHeight="1" outlineLevel="1">
      <c r="A389" s="211"/>
      <c r="B389" s="212"/>
      <c r="C389" s="213"/>
      <c r="D389" s="214" t="str">
        <f>IFERROR(VLOOKUP($C389,'PORTIFÓLIO'!C:V,2,0),"")</f>
        <v/>
      </c>
      <c r="E389" s="211" t="str">
        <f>IFERROR(VLOOKUP($C389,'PORTIFÓLIO'!C:V,3,0),"")</f>
        <v/>
      </c>
      <c r="F389" s="211" t="str">
        <f>IFERROR(VLOOKUP($C389,'PORTIFÓLIO'!C:V,4,0),"")</f>
        <v/>
      </c>
      <c r="G389" s="215" t="str">
        <f>IFERROR(VLOOKUP($C389,'PORTIFÓLIO'!C:V,5,0),"")</f>
        <v/>
      </c>
      <c r="H389" s="254" t="str">
        <f t="array" ref="H389">IFERROR(INDEX('PORTIFÓLIO'!$H$4:$H$433,MATCH($C389,'PORTIFÓLIO'!$C$4:$C$433,0)),"")</f>
        <v/>
      </c>
      <c r="I389" s="256"/>
      <c r="J389" s="218">
        <f t="shared" si="43"/>
        <v>0</v>
      </c>
      <c r="K389" s="292" t="str">
        <f t="array" ref="K389">IFERROR(I389*INDEX('PORTIFÓLIO'!$S$4:$S$433,MATCH($C389,'PORTIFÓLIO'!$C$4:$C$433,0)),"")</f>
        <v/>
      </c>
      <c r="L389" s="292" t="str">
        <f t="array" ref="L389">IFERROR(J389*INDEX('PORTIFÓLIO'!$S$4:$S$433,MATCH($C389,'PORTIFÓLIO'!$C$4:$C$433,0)),"")</f>
        <v/>
      </c>
      <c r="M389" s="220"/>
      <c r="N389" s="220"/>
      <c r="O389" s="220"/>
      <c r="P389" s="220"/>
      <c r="Q389" s="220"/>
      <c r="R389" s="220"/>
      <c r="S389" s="220"/>
      <c r="T389" s="220"/>
      <c r="U389" s="220"/>
      <c r="V389" s="220"/>
      <c r="W389" s="220"/>
    </row>
    <row r="390" ht="15.75" customHeight="1" outlineLevel="1">
      <c r="A390" s="211"/>
      <c r="B390" s="212"/>
      <c r="C390" s="213"/>
      <c r="D390" s="214" t="str">
        <f>IFERROR(VLOOKUP($C390,'PORTIFÓLIO'!C:V,2,0),"")</f>
        <v/>
      </c>
      <c r="E390" s="211" t="str">
        <f>IFERROR(VLOOKUP($C390,'PORTIFÓLIO'!C:V,3,0),"")</f>
        <v/>
      </c>
      <c r="F390" s="211" t="str">
        <f>IFERROR(VLOOKUP($C390,'PORTIFÓLIO'!C:V,4,0),"")</f>
        <v/>
      </c>
      <c r="G390" s="215" t="str">
        <f>IFERROR(VLOOKUP($C390,'PORTIFÓLIO'!C:V,5,0),"")</f>
        <v/>
      </c>
      <c r="H390" s="254" t="str">
        <f t="array" ref="H390">IFERROR(INDEX('PORTIFÓLIO'!$H$4:$H$433,MATCH($C390,'PORTIFÓLIO'!$C$4:$C$433,0)),"")</f>
        <v/>
      </c>
      <c r="I390" s="256"/>
      <c r="J390" s="218">
        <f t="shared" si="43"/>
        <v>0</v>
      </c>
      <c r="K390" s="292" t="str">
        <f t="array" ref="K390">IFERROR(I390*INDEX('PORTIFÓLIO'!$S$4:$S$433,MATCH($C390,'PORTIFÓLIO'!$C$4:$C$433,0)),"")</f>
        <v/>
      </c>
      <c r="L390" s="292" t="str">
        <f t="array" ref="L390">IFERROR(J390*INDEX('PORTIFÓLIO'!$S$4:$S$433,MATCH($C390,'PORTIFÓLIO'!$C$4:$C$433,0)),"")</f>
        <v/>
      </c>
      <c r="M390" s="220"/>
      <c r="N390" s="220"/>
      <c r="O390" s="220"/>
      <c r="P390" s="220"/>
      <c r="Q390" s="220"/>
      <c r="R390" s="220"/>
      <c r="S390" s="220"/>
      <c r="T390" s="220"/>
      <c r="U390" s="220"/>
      <c r="V390" s="220"/>
      <c r="W390" s="220"/>
    </row>
    <row r="391" ht="15.75" customHeight="1" outlineLevel="1">
      <c r="A391" s="211"/>
      <c r="B391" s="227"/>
      <c r="C391" s="211"/>
      <c r="D391" s="214" t="str">
        <f>IFERROR(VLOOKUP($C391,'PORTIFÓLIO'!C:V,2,0),"")</f>
        <v/>
      </c>
      <c r="E391" s="211" t="str">
        <f>IFERROR(VLOOKUP($C391,'PORTIFÓLIO'!C:V,3,0),"")</f>
        <v/>
      </c>
      <c r="F391" s="211" t="str">
        <f>IFERROR(VLOOKUP($C391,'PORTIFÓLIO'!C:V,4,0),"")</f>
        <v/>
      </c>
      <c r="G391" s="215" t="str">
        <f>IFERROR(VLOOKUP($C391,'PORTIFÓLIO'!C:V,5,0),"")</f>
        <v/>
      </c>
      <c r="H391" s="254" t="str">
        <f t="array" ref="H391">IFERROR(INDEX('PORTIFÓLIO'!$H$4:$H$433,MATCH($C391,'PORTIFÓLIO'!$C$4:$C$433,0)),"")</f>
        <v/>
      </c>
      <c r="I391" s="256"/>
      <c r="J391" s="218"/>
      <c r="K391" s="292" t="str">
        <f t="array" ref="K391">IFERROR(I391*INDEX('PORTIFÓLIO'!$S$4:$S$433,MATCH($C391,'PORTIFÓLIO'!$C$4:$C$433,0)),"")</f>
        <v/>
      </c>
      <c r="L391" s="292" t="str">
        <f t="array" ref="L391">IFERROR(J391*INDEX('PORTIFÓLIO'!$S$4:$S$433,MATCH($C391,'PORTIFÓLIO'!$C$4:$C$433,0)),"")</f>
        <v/>
      </c>
      <c r="M391" s="220"/>
      <c r="N391" s="220"/>
      <c r="O391" s="220"/>
      <c r="P391" s="220"/>
      <c r="Q391" s="220"/>
      <c r="R391" s="220"/>
      <c r="S391" s="220"/>
      <c r="T391" s="220"/>
      <c r="U391" s="220"/>
      <c r="V391" s="220"/>
      <c r="W391" s="220"/>
    </row>
    <row r="392" ht="15.75" customHeight="1">
      <c r="A392" s="229" t="s">
        <v>1193</v>
      </c>
      <c r="B392" s="230"/>
      <c r="C392" s="231"/>
      <c r="D392" s="232"/>
      <c r="E392" s="231"/>
      <c r="F392" s="231"/>
      <c r="G392" s="233"/>
      <c r="H392" s="233"/>
      <c r="I392" s="258"/>
      <c r="J392" s="236"/>
      <c r="K392" s="237">
        <f t="shared" ref="K392:L392" si="44">SUBTOTAL(9,K393:K406)</f>
        <v>0</v>
      </c>
      <c r="L392" s="237">
        <f t="shared" si="44"/>
        <v>0</v>
      </c>
      <c r="M392" s="220"/>
      <c r="N392" s="220"/>
      <c r="O392" s="220"/>
      <c r="P392" s="220"/>
      <c r="Q392" s="220"/>
      <c r="R392" s="220"/>
      <c r="S392" s="220"/>
      <c r="T392" s="220"/>
      <c r="U392" s="220"/>
      <c r="V392" s="220"/>
      <c r="W392" s="220"/>
    </row>
    <row r="393" ht="15.75" customHeight="1" outlineLevel="1">
      <c r="A393" s="213"/>
      <c r="B393" s="212"/>
      <c r="C393" s="213"/>
      <c r="D393" s="214" t="str">
        <f>IFERROR(VLOOKUP($C393,'PORTIFÓLIO'!C:V,2,0),"")</f>
        <v/>
      </c>
      <c r="E393" s="211" t="str">
        <f>IFERROR(VLOOKUP($C393,'PORTIFÓLIO'!C:V,3,0),"")</f>
        <v/>
      </c>
      <c r="F393" s="211" t="str">
        <f>IFERROR(VLOOKUP($C393,'PORTIFÓLIO'!C:V,4,0),"")</f>
        <v/>
      </c>
      <c r="G393" s="215" t="str">
        <f>IFERROR(VLOOKUP($C393,'PORTIFÓLIO'!C:V,5,0),"")</f>
        <v/>
      </c>
      <c r="H393" s="254" t="str">
        <f t="array" ref="H393">IFERROR(INDEX('PORTIFÓLIO'!$H$4:$H$433,MATCH($C393,'PORTIFÓLIO'!$C$4:$C$433,0)),"")</f>
        <v/>
      </c>
      <c r="I393" s="255"/>
      <c r="J393" s="218">
        <f t="shared" ref="J393:J408" si="45">I393*$B$2</f>
        <v>0</v>
      </c>
      <c r="K393" s="292" t="str">
        <f t="array" ref="K393">IFERROR(I393*INDEX('PORTIFÓLIO'!$S$4:$S$433,MATCH($C393,'PORTIFÓLIO'!$C$4:$C$433,0)),"")</f>
        <v/>
      </c>
      <c r="L393" s="292" t="str">
        <f t="array" ref="L393">IFERROR(J393*INDEX('PORTIFÓLIO'!$S$4:$S$433,MATCH($C393,'PORTIFÓLIO'!$C$4:$C$433,0)),"")</f>
        <v/>
      </c>
      <c r="M393" s="220"/>
      <c r="N393" s="220"/>
      <c r="O393" s="220"/>
      <c r="P393" s="220"/>
      <c r="Q393" s="220"/>
      <c r="R393" s="220"/>
      <c r="S393" s="220"/>
      <c r="T393" s="220"/>
      <c r="U393" s="220"/>
      <c r="V393" s="220"/>
      <c r="W393" s="220"/>
    </row>
    <row r="394" ht="15.75" customHeight="1" outlineLevel="1">
      <c r="A394" s="211"/>
      <c r="B394" s="212"/>
      <c r="C394" s="213"/>
      <c r="D394" s="214" t="str">
        <f>IFERROR(VLOOKUP($C394,'PORTIFÓLIO'!C:V,2,0),"")</f>
        <v/>
      </c>
      <c r="E394" s="211" t="str">
        <f>IFERROR(VLOOKUP($C394,'PORTIFÓLIO'!C:V,3,0),"")</f>
        <v/>
      </c>
      <c r="F394" s="211" t="str">
        <f>IFERROR(VLOOKUP($C394,'PORTIFÓLIO'!C:V,4,0),"")</f>
        <v/>
      </c>
      <c r="G394" s="215" t="str">
        <f>IFERROR(VLOOKUP($C394,'PORTIFÓLIO'!C:V,5,0),"")</f>
        <v/>
      </c>
      <c r="H394" s="254" t="str">
        <f t="array" ref="H394">IFERROR(INDEX('PORTIFÓLIO'!$H$4:$H$433,MATCH($C394,'PORTIFÓLIO'!$C$4:$C$433,0)),"")</f>
        <v/>
      </c>
      <c r="I394" s="256"/>
      <c r="J394" s="218">
        <f t="shared" si="45"/>
        <v>0</v>
      </c>
      <c r="K394" s="292" t="str">
        <f t="array" ref="K394">IFERROR(I394*INDEX('PORTIFÓLIO'!$S$4:$S$433,MATCH($C394,'PORTIFÓLIO'!$C$4:$C$433,0)),"")</f>
        <v/>
      </c>
      <c r="L394" s="292" t="str">
        <f t="array" ref="L394">IFERROR(J394*INDEX('PORTIFÓLIO'!$S$4:$S$433,MATCH($C394,'PORTIFÓLIO'!$C$4:$C$433,0)),"")</f>
        <v/>
      </c>
      <c r="M394" s="220"/>
      <c r="N394" s="220"/>
      <c r="O394" s="220"/>
      <c r="P394" s="220"/>
      <c r="Q394" s="220"/>
      <c r="R394" s="220"/>
      <c r="S394" s="220"/>
      <c r="T394" s="220"/>
      <c r="U394" s="220"/>
      <c r="V394" s="220"/>
      <c r="W394" s="220"/>
    </row>
    <row r="395" ht="15.75" customHeight="1" outlineLevel="1">
      <c r="A395" s="211"/>
      <c r="B395" s="212"/>
      <c r="C395" s="213"/>
      <c r="D395" s="214" t="str">
        <f>IFERROR(VLOOKUP($C395,'PORTIFÓLIO'!C:V,2,0),"")</f>
        <v/>
      </c>
      <c r="E395" s="211" t="str">
        <f>IFERROR(VLOOKUP($C395,'PORTIFÓLIO'!C:V,3,0),"")</f>
        <v/>
      </c>
      <c r="F395" s="211" t="str">
        <f>IFERROR(VLOOKUP($C395,'PORTIFÓLIO'!C:V,4,0),"")</f>
        <v/>
      </c>
      <c r="G395" s="215" t="str">
        <f>IFERROR(VLOOKUP($C395,'PORTIFÓLIO'!C:V,5,0),"")</f>
        <v/>
      </c>
      <c r="H395" s="254" t="str">
        <f t="array" ref="H395">IFERROR(INDEX('PORTIFÓLIO'!$H$4:$H$433,MATCH($C395,'PORTIFÓLIO'!$C$4:$C$433,0)),"")</f>
        <v/>
      </c>
      <c r="I395" s="256"/>
      <c r="J395" s="218">
        <f t="shared" si="45"/>
        <v>0</v>
      </c>
      <c r="K395" s="292" t="str">
        <f t="array" ref="K395">IFERROR(I395*INDEX('PORTIFÓLIO'!$S$4:$S$433,MATCH($C395,'PORTIFÓLIO'!$C$4:$C$433,0)),"")</f>
        <v/>
      </c>
      <c r="L395" s="292" t="str">
        <f t="array" ref="L395">IFERROR(J395*INDEX('PORTIFÓLIO'!$S$4:$S$433,MATCH($C395,'PORTIFÓLIO'!$C$4:$C$433,0)),"")</f>
        <v/>
      </c>
      <c r="M395" s="220"/>
      <c r="N395" s="220"/>
      <c r="O395" s="220"/>
      <c r="P395" s="220"/>
      <c r="Q395" s="220"/>
      <c r="R395" s="220"/>
      <c r="S395" s="220"/>
      <c r="T395" s="220"/>
      <c r="U395" s="220"/>
      <c r="V395" s="220"/>
      <c r="W395" s="220"/>
    </row>
    <row r="396" ht="15.75" customHeight="1" outlineLevel="1">
      <c r="A396" s="211"/>
      <c r="B396" s="212"/>
      <c r="C396" s="213"/>
      <c r="D396" s="214" t="str">
        <f>IFERROR(VLOOKUP($C396,'PORTIFÓLIO'!C:V,2,0),"")</f>
        <v/>
      </c>
      <c r="E396" s="211" t="str">
        <f>IFERROR(VLOOKUP($C396,'PORTIFÓLIO'!C:V,3,0),"")</f>
        <v/>
      </c>
      <c r="F396" s="211" t="str">
        <f>IFERROR(VLOOKUP($C396,'PORTIFÓLIO'!C:V,4,0),"")</f>
        <v/>
      </c>
      <c r="G396" s="215" t="str">
        <f>IFERROR(VLOOKUP($C396,'PORTIFÓLIO'!C:V,5,0),"")</f>
        <v/>
      </c>
      <c r="H396" s="254" t="str">
        <f t="array" ref="H396">IFERROR(INDEX('PORTIFÓLIO'!$H$4:$H$433,MATCH($C396,'PORTIFÓLIO'!$C$4:$C$433,0)),"")</f>
        <v/>
      </c>
      <c r="I396" s="256"/>
      <c r="J396" s="218">
        <f t="shared" si="45"/>
        <v>0</v>
      </c>
      <c r="K396" s="292" t="str">
        <f t="array" ref="K396">IFERROR(I396*INDEX('PORTIFÓLIO'!$S$4:$S$433,MATCH($C396,'PORTIFÓLIO'!$C$4:$C$433,0)),"")</f>
        <v/>
      </c>
      <c r="L396" s="292" t="str">
        <f t="array" ref="L396">IFERROR(J396*INDEX('PORTIFÓLIO'!$S$4:$S$433,MATCH($C396,'PORTIFÓLIO'!$C$4:$C$433,0)),"")</f>
        <v/>
      </c>
      <c r="M396" s="220"/>
      <c r="N396" s="220"/>
      <c r="O396" s="220"/>
      <c r="P396" s="220"/>
      <c r="Q396" s="220"/>
      <c r="R396" s="220"/>
      <c r="S396" s="220"/>
      <c r="T396" s="220"/>
      <c r="U396" s="220"/>
      <c r="V396" s="220"/>
      <c r="W396" s="220"/>
    </row>
    <row r="397" ht="15.75" customHeight="1" outlineLevel="1">
      <c r="A397" s="211"/>
      <c r="B397" s="212"/>
      <c r="C397" s="213"/>
      <c r="D397" s="214" t="str">
        <f>IFERROR(VLOOKUP($C397,'PORTIFÓLIO'!C:V,2,0),"")</f>
        <v/>
      </c>
      <c r="E397" s="211" t="str">
        <f>IFERROR(VLOOKUP($C397,'PORTIFÓLIO'!C:V,3,0),"")</f>
        <v/>
      </c>
      <c r="F397" s="211" t="str">
        <f>IFERROR(VLOOKUP($C397,'PORTIFÓLIO'!C:V,4,0),"")</f>
        <v/>
      </c>
      <c r="G397" s="215" t="str">
        <f>IFERROR(VLOOKUP($C397,'PORTIFÓLIO'!C:V,5,0),"")</f>
        <v/>
      </c>
      <c r="H397" s="254" t="str">
        <f t="array" ref="H397">IFERROR(INDEX('PORTIFÓLIO'!$H$4:$H$433,MATCH($C397,'PORTIFÓLIO'!$C$4:$C$433,0)),"")</f>
        <v/>
      </c>
      <c r="I397" s="256"/>
      <c r="J397" s="218">
        <f t="shared" si="45"/>
        <v>0</v>
      </c>
      <c r="K397" s="292" t="str">
        <f t="array" ref="K397">IFERROR(I397*INDEX('PORTIFÓLIO'!$S$4:$S$433,MATCH($C397,'PORTIFÓLIO'!$C$4:$C$433,0)),"")</f>
        <v/>
      </c>
      <c r="L397" s="292" t="str">
        <f t="array" ref="L397">IFERROR(J397*INDEX('PORTIFÓLIO'!$S$4:$S$433,MATCH($C397,'PORTIFÓLIO'!$C$4:$C$433,0)),"")</f>
        <v/>
      </c>
      <c r="M397" s="220"/>
      <c r="N397" s="220"/>
      <c r="O397" s="220"/>
      <c r="P397" s="220"/>
      <c r="Q397" s="220"/>
      <c r="R397" s="220"/>
      <c r="S397" s="220"/>
      <c r="T397" s="220"/>
      <c r="U397" s="220"/>
      <c r="V397" s="220"/>
      <c r="W397" s="220"/>
    </row>
    <row r="398" ht="15.75" customHeight="1" outlineLevel="1">
      <c r="A398" s="211"/>
      <c r="B398" s="212"/>
      <c r="C398" s="213"/>
      <c r="D398" s="214" t="str">
        <f>IFERROR(VLOOKUP($C398,'PORTIFÓLIO'!C:V,2,0),"")</f>
        <v/>
      </c>
      <c r="E398" s="211" t="str">
        <f>IFERROR(VLOOKUP($C398,'PORTIFÓLIO'!C:V,3,0),"")</f>
        <v/>
      </c>
      <c r="F398" s="211" t="str">
        <f>IFERROR(VLOOKUP($C398,'PORTIFÓLIO'!C:V,4,0),"")</f>
        <v/>
      </c>
      <c r="G398" s="215" t="str">
        <f>IFERROR(VLOOKUP($C398,'PORTIFÓLIO'!C:V,5,0),"")</f>
        <v/>
      </c>
      <c r="H398" s="254" t="str">
        <f t="array" ref="H398">IFERROR(INDEX('PORTIFÓLIO'!$H$4:$H$433,MATCH($C398,'PORTIFÓLIO'!$C$4:$C$433,0)),"")</f>
        <v/>
      </c>
      <c r="I398" s="256"/>
      <c r="J398" s="218">
        <f t="shared" si="45"/>
        <v>0</v>
      </c>
      <c r="K398" s="292" t="str">
        <f t="array" ref="K398">IFERROR(I398*INDEX('PORTIFÓLIO'!$S$4:$S$433,MATCH($C398,'PORTIFÓLIO'!$C$4:$C$433,0)),"")</f>
        <v/>
      </c>
      <c r="L398" s="292" t="str">
        <f t="array" ref="L398">IFERROR(J398*INDEX('PORTIFÓLIO'!$S$4:$S$433,MATCH($C398,'PORTIFÓLIO'!$C$4:$C$433,0)),"")</f>
        <v/>
      </c>
      <c r="M398" s="220"/>
      <c r="N398" s="220"/>
      <c r="O398" s="220"/>
      <c r="P398" s="220"/>
      <c r="Q398" s="220"/>
      <c r="R398" s="220"/>
      <c r="S398" s="220"/>
      <c r="T398" s="220"/>
      <c r="U398" s="220"/>
      <c r="V398" s="220"/>
      <c r="W398" s="220"/>
    </row>
    <row r="399" ht="15.75" customHeight="1" outlineLevel="1">
      <c r="A399" s="211"/>
      <c r="B399" s="212"/>
      <c r="C399" s="213"/>
      <c r="D399" s="214" t="str">
        <f>IFERROR(VLOOKUP($C399,'PORTIFÓLIO'!C:V,2,0),"")</f>
        <v/>
      </c>
      <c r="E399" s="211" t="str">
        <f>IFERROR(VLOOKUP($C399,'PORTIFÓLIO'!C:V,3,0),"")</f>
        <v/>
      </c>
      <c r="F399" s="211" t="str">
        <f>IFERROR(VLOOKUP($C399,'PORTIFÓLIO'!C:V,4,0),"")</f>
        <v/>
      </c>
      <c r="G399" s="215" t="str">
        <f>IFERROR(VLOOKUP($C399,'PORTIFÓLIO'!C:V,5,0),"")</f>
        <v/>
      </c>
      <c r="H399" s="254" t="str">
        <f t="array" ref="H399">IFERROR(INDEX('PORTIFÓLIO'!$H$4:$H$433,MATCH($C399,'PORTIFÓLIO'!$C$4:$C$433,0)),"")</f>
        <v/>
      </c>
      <c r="I399" s="256"/>
      <c r="J399" s="218">
        <f t="shared" si="45"/>
        <v>0</v>
      </c>
      <c r="K399" s="292" t="str">
        <f t="array" ref="K399">IFERROR(I399*INDEX('PORTIFÓLIO'!$S$4:$S$433,MATCH($C399,'PORTIFÓLIO'!$C$4:$C$433,0)),"")</f>
        <v/>
      </c>
      <c r="L399" s="292" t="str">
        <f t="array" ref="L399">IFERROR(J399*INDEX('PORTIFÓLIO'!$S$4:$S$433,MATCH($C399,'PORTIFÓLIO'!$C$4:$C$433,0)),"")</f>
        <v/>
      </c>
      <c r="M399" s="220"/>
      <c r="N399" s="220"/>
      <c r="O399" s="220"/>
      <c r="P399" s="220"/>
      <c r="Q399" s="220"/>
      <c r="R399" s="220"/>
      <c r="S399" s="220"/>
      <c r="T399" s="220"/>
      <c r="U399" s="220"/>
      <c r="V399" s="220"/>
      <c r="W399" s="220"/>
    </row>
    <row r="400" ht="15.75" customHeight="1" outlineLevel="1">
      <c r="A400" s="211"/>
      <c r="B400" s="212"/>
      <c r="C400" s="213"/>
      <c r="D400" s="214" t="str">
        <f>IFERROR(VLOOKUP($C400,'PORTIFÓLIO'!C:V,2,0),"")</f>
        <v/>
      </c>
      <c r="E400" s="211" t="str">
        <f>IFERROR(VLOOKUP($C400,'PORTIFÓLIO'!C:V,3,0),"")</f>
        <v/>
      </c>
      <c r="F400" s="211" t="str">
        <f>IFERROR(VLOOKUP($C400,'PORTIFÓLIO'!C:V,4,0),"")</f>
        <v/>
      </c>
      <c r="G400" s="215" t="str">
        <f>IFERROR(VLOOKUP($C400,'PORTIFÓLIO'!C:V,5,0),"")</f>
        <v/>
      </c>
      <c r="H400" s="254" t="str">
        <f t="array" ref="H400">IFERROR(INDEX('PORTIFÓLIO'!$H$4:$H$433,MATCH($C400,'PORTIFÓLIO'!$C$4:$C$433,0)),"")</f>
        <v/>
      </c>
      <c r="I400" s="256"/>
      <c r="J400" s="218">
        <f t="shared" si="45"/>
        <v>0</v>
      </c>
      <c r="K400" s="292" t="str">
        <f t="array" ref="K400">IFERROR(I400*INDEX('PORTIFÓLIO'!$S$4:$S$433,MATCH($C400,'PORTIFÓLIO'!$C$4:$C$433,0)),"")</f>
        <v/>
      </c>
      <c r="L400" s="292" t="str">
        <f t="array" ref="L400">IFERROR(J400*INDEX('PORTIFÓLIO'!$S$4:$S$433,MATCH($C400,'PORTIFÓLIO'!$C$4:$C$433,0)),"")</f>
        <v/>
      </c>
      <c r="M400" s="220"/>
      <c r="N400" s="220"/>
      <c r="O400" s="220"/>
      <c r="P400" s="220"/>
      <c r="Q400" s="220"/>
      <c r="R400" s="220"/>
      <c r="S400" s="220"/>
      <c r="T400" s="220"/>
      <c r="U400" s="220"/>
      <c r="V400" s="220"/>
      <c r="W400" s="220"/>
    </row>
    <row r="401" ht="15.75" customHeight="1" outlineLevel="1">
      <c r="A401" s="211"/>
      <c r="B401" s="212"/>
      <c r="C401" s="213"/>
      <c r="D401" s="214" t="str">
        <f>IFERROR(VLOOKUP($C401,'PORTIFÓLIO'!C:V,2,0),"")</f>
        <v/>
      </c>
      <c r="E401" s="211" t="str">
        <f>IFERROR(VLOOKUP($C401,'PORTIFÓLIO'!C:V,3,0),"")</f>
        <v/>
      </c>
      <c r="F401" s="211" t="str">
        <f>IFERROR(VLOOKUP($C401,'PORTIFÓLIO'!C:V,4,0),"")</f>
        <v/>
      </c>
      <c r="G401" s="215" t="str">
        <f>IFERROR(VLOOKUP($C401,'PORTIFÓLIO'!C:V,5,0),"")</f>
        <v/>
      </c>
      <c r="H401" s="254" t="str">
        <f t="array" ref="H401">IFERROR(INDEX('PORTIFÓLIO'!$H$4:$H$433,MATCH($C401,'PORTIFÓLIO'!$C$4:$C$433,0)),"")</f>
        <v/>
      </c>
      <c r="I401" s="255"/>
      <c r="J401" s="218">
        <f t="shared" si="45"/>
        <v>0</v>
      </c>
      <c r="K401" s="292" t="str">
        <f t="array" ref="K401">IFERROR(I401*INDEX('PORTIFÓLIO'!$S$4:$S$433,MATCH($C401,'PORTIFÓLIO'!$C$4:$C$433,0)),"")</f>
        <v/>
      </c>
      <c r="L401" s="292" t="str">
        <f t="array" ref="L401">IFERROR(J401*INDEX('PORTIFÓLIO'!$S$4:$S$433,MATCH($C401,'PORTIFÓLIO'!$C$4:$C$433,0)),"")</f>
        <v/>
      </c>
      <c r="M401" s="220"/>
      <c r="N401" s="220"/>
      <c r="O401" s="220"/>
      <c r="P401" s="220"/>
      <c r="Q401" s="220"/>
      <c r="R401" s="220"/>
      <c r="S401" s="220"/>
      <c r="T401" s="220"/>
      <c r="U401" s="220"/>
      <c r="V401" s="220"/>
      <c r="W401" s="220"/>
    </row>
    <row r="402" ht="15.75" customHeight="1" outlineLevel="1">
      <c r="A402" s="211"/>
      <c r="B402" s="212"/>
      <c r="C402" s="213"/>
      <c r="D402" s="214" t="str">
        <f>IFERROR(VLOOKUP($C402,'PORTIFÓLIO'!C:V,2,0),"")</f>
        <v/>
      </c>
      <c r="E402" s="211" t="str">
        <f>IFERROR(VLOOKUP($C402,'PORTIFÓLIO'!C:V,3,0),"")</f>
        <v/>
      </c>
      <c r="F402" s="211" t="str">
        <f>IFERROR(VLOOKUP($C402,'PORTIFÓLIO'!C:V,4,0),"")</f>
        <v/>
      </c>
      <c r="G402" s="215" t="str">
        <f>IFERROR(VLOOKUP($C402,'PORTIFÓLIO'!C:V,5,0),"")</f>
        <v/>
      </c>
      <c r="H402" s="254" t="str">
        <f t="array" ref="H402">IFERROR(INDEX('PORTIFÓLIO'!$H$4:$H$433,MATCH($C402,'PORTIFÓLIO'!$C$4:$C$433,0)),"")</f>
        <v/>
      </c>
      <c r="I402" s="256"/>
      <c r="J402" s="218">
        <f t="shared" si="45"/>
        <v>0</v>
      </c>
      <c r="K402" s="292" t="str">
        <f t="array" ref="K402">IFERROR(I402*INDEX('PORTIFÓLIO'!$S$4:$S$433,MATCH($C402,'PORTIFÓLIO'!$C$4:$C$433,0)),"")</f>
        <v/>
      </c>
      <c r="L402" s="292" t="str">
        <f t="array" ref="L402">IFERROR(J402*INDEX('PORTIFÓLIO'!$S$4:$S$433,MATCH($C402,'PORTIFÓLIO'!$C$4:$C$433,0)),"")</f>
        <v/>
      </c>
      <c r="M402" s="220"/>
      <c r="N402" s="220"/>
      <c r="O402" s="220"/>
      <c r="P402" s="220"/>
      <c r="Q402" s="220"/>
      <c r="R402" s="220"/>
      <c r="S402" s="220"/>
      <c r="T402" s="220"/>
      <c r="U402" s="220"/>
      <c r="V402" s="220"/>
      <c r="W402" s="220"/>
    </row>
    <row r="403" ht="15.75" customHeight="1" outlineLevel="1">
      <c r="A403" s="211"/>
      <c r="B403" s="212"/>
      <c r="C403" s="213"/>
      <c r="D403" s="214" t="str">
        <f>IFERROR(VLOOKUP($C403,'PORTIFÓLIO'!C:V,2,0),"")</f>
        <v/>
      </c>
      <c r="E403" s="211" t="str">
        <f>IFERROR(VLOOKUP($C403,'PORTIFÓLIO'!C:V,3,0),"")</f>
        <v/>
      </c>
      <c r="F403" s="211" t="str">
        <f>IFERROR(VLOOKUP($C403,'PORTIFÓLIO'!C:V,4,0),"")</f>
        <v/>
      </c>
      <c r="G403" s="215" t="str">
        <f>IFERROR(VLOOKUP($C403,'PORTIFÓLIO'!C:V,5,0),"")</f>
        <v/>
      </c>
      <c r="H403" s="254" t="str">
        <f t="array" ref="H403">IFERROR(INDEX('PORTIFÓLIO'!$H$4:$H$433,MATCH($C403,'PORTIFÓLIO'!$C$4:$C$433,0)),"")</f>
        <v/>
      </c>
      <c r="I403" s="256"/>
      <c r="J403" s="218">
        <f t="shared" si="45"/>
        <v>0</v>
      </c>
      <c r="K403" s="292" t="str">
        <f t="array" ref="K403">IFERROR(I403*INDEX('PORTIFÓLIO'!$S$4:$S$433,MATCH($C403,'PORTIFÓLIO'!$C$4:$C$433,0)),"")</f>
        <v/>
      </c>
      <c r="L403" s="292" t="str">
        <f t="array" ref="L403">IFERROR(J403*INDEX('PORTIFÓLIO'!$S$4:$S$433,MATCH($C403,'PORTIFÓLIO'!$C$4:$C$433,0)),"")</f>
        <v/>
      </c>
      <c r="M403" s="220"/>
      <c r="N403" s="220"/>
      <c r="O403" s="220"/>
      <c r="P403" s="220"/>
      <c r="Q403" s="220"/>
      <c r="R403" s="220"/>
      <c r="S403" s="220"/>
      <c r="T403" s="220"/>
      <c r="U403" s="220"/>
      <c r="V403" s="220"/>
      <c r="W403" s="220"/>
    </row>
    <row r="404" ht="15.75" customHeight="1" outlineLevel="1">
      <c r="A404" s="211"/>
      <c r="B404" s="212"/>
      <c r="C404" s="213"/>
      <c r="D404" s="214" t="str">
        <f>IFERROR(VLOOKUP($C404,'PORTIFÓLIO'!C:V,2,0),"")</f>
        <v/>
      </c>
      <c r="E404" s="211" t="str">
        <f>IFERROR(VLOOKUP($C404,'PORTIFÓLIO'!C:V,3,0),"")</f>
        <v/>
      </c>
      <c r="F404" s="211" t="str">
        <f>IFERROR(VLOOKUP($C404,'PORTIFÓLIO'!C:V,4,0),"")</f>
        <v/>
      </c>
      <c r="G404" s="215" t="str">
        <f>IFERROR(VLOOKUP($C404,'PORTIFÓLIO'!C:V,5,0),"")</f>
        <v/>
      </c>
      <c r="H404" s="254" t="str">
        <f t="array" ref="H404">IFERROR(INDEX('PORTIFÓLIO'!$H$4:$H$433,MATCH($C404,'PORTIFÓLIO'!$C$4:$C$433,0)),"")</f>
        <v/>
      </c>
      <c r="I404" s="256"/>
      <c r="J404" s="218">
        <f t="shared" si="45"/>
        <v>0</v>
      </c>
      <c r="K404" s="292" t="str">
        <f t="array" ref="K404">IFERROR(I404*INDEX('PORTIFÓLIO'!$S$4:$S$433,MATCH($C404,'PORTIFÓLIO'!$C$4:$C$433,0)),"")</f>
        <v/>
      </c>
      <c r="L404" s="292" t="str">
        <f t="array" ref="L404">IFERROR(J404*INDEX('PORTIFÓLIO'!$S$4:$S$433,MATCH($C404,'PORTIFÓLIO'!$C$4:$C$433,0)),"")</f>
        <v/>
      </c>
      <c r="M404" s="220"/>
      <c r="N404" s="220"/>
      <c r="O404" s="220"/>
      <c r="P404" s="220"/>
      <c r="Q404" s="220"/>
      <c r="R404" s="220"/>
      <c r="S404" s="220"/>
      <c r="T404" s="220"/>
      <c r="U404" s="220"/>
      <c r="V404" s="220"/>
      <c r="W404" s="220"/>
    </row>
    <row r="405" ht="15.75" customHeight="1" outlineLevel="1">
      <c r="A405" s="211"/>
      <c r="B405" s="212"/>
      <c r="C405" s="213"/>
      <c r="D405" s="214" t="str">
        <f>IFERROR(VLOOKUP($C405,'PORTIFÓLIO'!C:V,2,0),"")</f>
        <v/>
      </c>
      <c r="E405" s="211" t="str">
        <f>IFERROR(VLOOKUP($C405,'PORTIFÓLIO'!C:V,3,0),"")</f>
        <v/>
      </c>
      <c r="F405" s="211" t="str">
        <f>IFERROR(VLOOKUP($C405,'PORTIFÓLIO'!C:V,4,0),"")</f>
        <v/>
      </c>
      <c r="G405" s="215" t="str">
        <f>IFERROR(VLOOKUP($C405,'PORTIFÓLIO'!C:V,5,0),"")</f>
        <v/>
      </c>
      <c r="H405" s="254" t="str">
        <f t="array" ref="H405">IFERROR(INDEX('PORTIFÓLIO'!$H$4:$H$433,MATCH($C405,'PORTIFÓLIO'!$C$4:$C$433,0)),"")</f>
        <v/>
      </c>
      <c r="I405" s="256"/>
      <c r="J405" s="218">
        <f t="shared" si="45"/>
        <v>0</v>
      </c>
      <c r="K405" s="292" t="str">
        <f t="array" ref="K405">IFERROR(I405*INDEX('PORTIFÓLIO'!$S$4:$S$433,MATCH($C405,'PORTIFÓLIO'!$C$4:$C$433,0)),"")</f>
        <v/>
      </c>
      <c r="L405" s="292" t="str">
        <f t="array" ref="L405">IFERROR(J405*INDEX('PORTIFÓLIO'!$S$4:$S$433,MATCH($C405,'PORTIFÓLIO'!$C$4:$C$433,0)),"")</f>
        <v/>
      </c>
      <c r="M405" s="220"/>
      <c r="N405" s="220"/>
      <c r="O405" s="220"/>
      <c r="P405" s="220"/>
      <c r="Q405" s="220"/>
      <c r="R405" s="220"/>
      <c r="S405" s="220"/>
      <c r="T405" s="220"/>
      <c r="U405" s="220"/>
      <c r="V405" s="220"/>
      <c r="W405" s="220"/>
    </row>
    <row r="406" ht="15.75" customHeight="1" outlineLevel="1">
      <c r="A406" s="211"/>
      <c r="B406" s="212"/>
      <c r="C406" s="213"/>
      <c r="D406" s="214" t="str">
        <f>IFERROR(VLOOKUP($C406,'PORTIFÓLIO'!C:V,2,0),"")</f>
        <v/>
      </c>
      <c r="E406" s="211" t="str">
        <f>IFERROR(VLOOKUP($C406,'PORTIFÓLIO'!C:V,3,0),"")</f>
        <v/>
      </c>
      <c r="F406" s="211" t="str">
        <f>IFERROR(VLOOKUP($C406,'PORTIFÓLIO'!C:V,4,0),"")</f>
        <v/>
      </c>
      <c r="G406" s="215" t="str">
        <f>IFERROR(VLOOKUP($C406,'PORTIFÓLIO'!C:V,5,0),"")</f>
        <v/>
      </c>
      <c r="H406" s="254" t="str">
        <f t="array" ref="H406">IFERROR(INDEX('PORTIFÓLIO'!$H$4:$H$433,MATCH($C406,'PORTIFÓLIO'!$C$4:$C$433,0)),"")</f>
        <v/>
      </c>
      <c r="I406" s="256"/>
      <c r="J406" s="218">
        <f t="shared" si="45"/>
        <v>0</v>
      </c>
      <c r="K406" s="292" t="str">
        <f t="array" ref="K406">IFERROR(I406*INDEX('PORTIFÓLIO'!$S$4:$S$433,MATCH($C406,'PORTIFÓLIO'!$C$4:$C$433,0)),"")</f>
        <v/>
      </c>
      <c r="L406" s="292" t="str">
        <f t="array" ref="L406">IFERROR(J406*INDEX('PORTIFÓLIO'!$S$4:$S$433,MATCH($C406,'PORTIFÓLIO'!$C$4:$C$433,0)),"")</f>
        <v/>
      </c>
      <c r="M406" s="220"/>
      <c r="N406" s="220"/>
      <c r="O406" s="220"/>
      <c r="P406" s="220"/>
      <c r="Q406" s="220"/>
      <c r="R406" s="220"/>
      <c r="S406" s="220"/>
      <c r="T406" s="220"/>
      <c r="U406" s="220"/>
      <c r="V406" s="220"/>
      <c r="W406" s="220"/>
    </row>
    <row r="407" ht="15.75" customHeight="1" outlineLevel="1">
      <c r="A407" s="211"/>
      <c r="B407" s="212"/>
      <c r="C407" s="213"/>
      <c r="D407" s="214" t="str">
        <f>IFERROR(VLOOKUP($C407,'PORTIFÓLIO'!C:V,2,0),"")</f>
        <v/>
      </c>
      <c r="E407" s="211" t="str">
        <f>IFERROR(VLOOKUP($C407,'PORTIFÓLIO'!C:V,3,0),"")</f>
        <v/>
      </c>
      <c r="F407" s="211" t="str">
        <f>IFERROR(VLOOKUP($C407,'PORTIFÓLIO'!C:V,4,0),"")</f>
        <v/>
      </c>
      <c r="G407" s="215" t="str">
        <f>IFERROR(VLOOKUP($C407,'PORTIFÓLIO'!C:V,5,0),"")</f>
        <v/>
      </c>
      <c r="H407" s="254" t="str">
        <f t="array" ref="H407">IFERROR(INDEX('PORTIFÓLIO'!$H$4:$H$433,MATCH($C407,'PORTIFÓLIO'!$C$4:$C$433,0)),"")</f>
        <v/>
      </c>
      <c r="I407" s="256"/>
      <c r="J407" s="218">
        <f t="shared" si="45"/>
        <v>0</v>
      </c>
      <c r="K407" s="292" t="str">
        <f t="array" ref="K407">IFERROR(I407*INDEX('PORTIFÓLIO'!$S$4:$S$433,MATCH($C407,'PORTIFÓLIO'!$C$4:$C$433,0)),"")</f>
        <v/>
      </c>
      <c r="L407" s="292" t="str">
        <f t="array" ref="L407">IFERROR(J407*INDEX('PORTIFÓLIO'!$S$4:$S$433,MATCH($C407,'PORTIFÓLIO'!$C$4:$C$433,0)),"")</f>
        <v/>
      </c>
      <c r="M407" s="220"/>
      <c r="N407" s="220"/>
      <c r="O407" s="220"/>
      <c r="P407" s="220"/>
      <c r="Q407" s="220"/>
      <c r="R407" s="220"/>
      <c r="S407" s="220"/>
      <c r="T407" s="220"/>
      <c r="U407" s="220"/>
      <c r="V407" s="220"/>
      <c r="W407" s="220"/>
    </row>
    <row r="408" ht="15.75" customHeight="1" outlineLevel="1">
      <c r="A408" s="211"/>
      <c r="B408" s="227"/>
      <c r="C408" s="211"/>
      <c r="D408" s="214" t="str">
        <f>IFERROR(VLOOKUP($C408,'PORTIFÓLIO'!C:V,2,0),"")</f>
        <v/>
      </c>
      <c r="E408" s="211" t="str">
        <f>IFERROR(VLOOKUP($C408,'PORTIFÓLIO'!C:V,3,0),"")</f>
        <v/>
      </c>
      <c r="F408" s="211" t="str">
        <f>IFERROR(VLOOKUP($C408,'PORTIFÓLIO'!C:V,4,0),"")</f>
        <v/>
      </c>
      <c r="G408" s="215" t="str">
        <f>IFERROR(VLOOKUP($C408,'PORTIFÓLIO'!C:V,5,0),"")</f>
        <v/>
      </c>
      <c r="H408" s="254" t="str">
        <f t="array" ref="H408">IFERROR(INDEX('PORTIFÓLIO'!$H$4:$H$433,MATCH($C408,'PORTIFÓLIO'!$C$4:$C$433,0)),"")</f>
        <v/>
      </c>
      <c r="I408" s="256"/>
      <c r="J408" s="218">
        <f t="shared" si="45"/>
        <v>0</v>
      </c>
      <c r="K408" s="292" t="str">
        <f t="array" ref="K408">IFERROR(I408*INDEX('PORTIFÓLIO'!$S$4:$S$433,MATCH($C408,'PORTIFÓLIO'!$C$4:$C$433,0)),"")</f>
        <v/>
      </c>
      <c r="L408" s="292" t="str">
        <f t="array" ref="L408">IFERROR(J408*INDEX('PORTIFÓLIO'!$S$4:$S$433,MATCH($C408,'PORTIFÓLIO'!$C$4:$C$433,0)),"")</f>
        <v/>
      </c>
      <c r="M408" s="220"/>
      <c r="N408" s="220"/>
      <c r="O408" s="220"/>
      <c r="P408" s="220"/>
      <c r="Q408" s="220"/>
      <c r="R408" s="220"/>
      <c r="S408" s="220"/>
      <c r="T408" s="220"/>
      <c r="U408" s="220"/>
      <c r="V408" s="220"/>
      <c r="W408" s="220"/>
    </row>
    <row r="409" ht="15.75" customHeight="1">
      <c r="A409" s="229" t="s">
        <v>1194</v>
      </c>
      <c r="B409" s="230"/>
      <c r="C409" s="231"/>
      <c r="D409" s="232"/>
      <c r="E409" s="231"/>
      <c r="F409" s="231"/>
      <c r="G409" s="233"/>
      <c r="H409" s="233"/>
      <c r="I409" s="258"/>
      <c r="J409" s="236"/>
      <c r="K409" s="237">
        <f t="shared" ref="K409:L409" si="46">SUBTOTAL(9,K410:K423)</f>
        <v>0</v>
      </c>
      <c r="L409" s="237">
        <f t="shared" si="46"/>
        <v>0</v>
      </c>
      <c r="M409" s="220"/>
      <c r="N409" s="220"/>
      <c r="O409" s="220"/>
      <c r="P409" s="220"/>
      <c r="Q409" s="220"/>
      <c r="R409" s="220"/>
      <c r="S409" s="220"/>
      <c r="T409" s="220"/>
      <c r="U409" s="220"/>
      <c r="V409" s="220"/>
      <c r="W409" s="220"/>
    </row>
    <row r="410" ht="15.75" customHeight="1" outlineLevel="1">
      <c r="A410" s="213"/>
      <c r="B410" s="212"/>
      <c r="C410" s="213"/>
      <c r="D410" s="214" t="str">
        <f>IFERROR(VLOOKUP($C410,'PORTIFÓLIO'!C:V,2,0),"")</f>
        <v/>
      </c>
      <c r="E410" s="211" t="str">
        <f>IFERROR(VLOOKUP($C410,'PORTIFÓLIO'!C:V,3,0),"")</f>
        <v/>
      </c>
      <c r="F410" s="211" t="str">
        <f>IFERROR(VLOOKUP($C410,'PORTIFÓLIO'!C:V,4,0),"")</f>
        <v/>
      </c>
      <c r="G410" s="215" t="str">
        <f>IFERROR(VLOOKUP($C410,'PORTIFÓLIO'!C:V,5,0),"")</f>
        <v/>
      </c>
      <c r="H410" s="254" t="str">
        <f t="array" ref="H410">IFERROR(INDEX('PORTIFÓLIO'!$H$4:$H$433,MATCH($C410,'PORTIFÓLIO'!$C$4:$C$433,0)),"")</f>
        <v/>
      </c>
      <c r="I410" s="255"/>
      <c r="J410" s="218">
        <f t="shared" ref="J410:J426" si="47">I410*$B$2</f>
        <v>0</v>
      </c>
      <c r="K410" s="292" t="str">
        <f t="array" ref="K410">IFERROR(I410*INDEX('PORTIFÓLIO'!$S$4:$S$433,MATCH($C410,'PORTIFÓLIO'!$C$4:$C$433,0)),"")</f>
        <v/>
      </c>
      <c r="L410" s="292" t="str">
        <f t="array" ref="L410">IFERROR(J410*INDEX('PORTIFÓLIO'!$S$4:$S$433,MATCH($C410,'PORTIFÓLIO'!$C$4:$C$433,0)),"")</f>
        <v/>
      </c>
      <c r="M410" s="220"/>
      <c r="N410" s="220"/>
      <c r="O410" s="220"/>
      <c r="P410" s="220"/>
      <c r="Q410" s="220"/>
      <c r="R410" s="220"/>
      <c r="S410" s="220"/>
      <c r="T410" s="220"/>
      <c r="U410" s="220"/>
      <c r="V410" s="220"/>
      <c r="W410" s="220"/>
    </row>
    <row r="411" ht="15.75" customHeight="1" outlineLevel="1">
      <c r="A411" s="211"/>
      <c r="B411" s="212"/>
      <c r="C411" s="213"/>
      <c r="D411" s="214" t="str">
        <f>IFERROR(VLOOKUP($C411,'PORTIFÓLIO'!C:V,2,0),"")</f>
        <v/>
      </c>
      <c r="E411" s="211" t="str">
        <f>IFERROR(VLOOKUP($C411,'PORTIFÓLIO'!C:V,3,0),"")</f>
        <v/>
      </c>
      <c r="F411" s="211" t="str">
        <f>IFERROR(VLOOKUP($C411,'PORTIFÓLIO'!C:V,4,0),"")</f>
        <v/>
      </c>
      <c r="G411" s="215" t="str">
        <f>IFERROR(VLOOKUP($C411,'PORTIFÓLIO'!C:V,5,0),"")</f>
        <v/>
      </c>
      <c r="H411" s="254" t="str">
        <f t="array" ref="H411">IFERROR(INDEX('PORTIFÓLIO'!$H$4:$H$433,MATCH($C411,'PORTIFÓLIO'!$C$4:$C$433,0)),"")</f>
        <v/>
      </c>
      <c r="I411" s="256"/>
      <c r="J411" s="218">
        <f t="shared" si="47"/>
        <v>0</v>
      </c>
      <c r="K411" s="292" t="str">
        <f t="array" ref="K411">IFERROR(I411*INDEX('PORTIFÓLIO'!$S$4:$S$433,MATCH($C411,'PORTIFÓLIO'!$C$4:$C$433,0)),"")</f>
        <v/>
      </c>
      <c r="L411" s="292" t="str">
        <f t="array" ref="L411">IFERROR(J411*INDEX('PORTIFÓLIO'!$S$4:$S$433,MATCH($C411,'PORTIFÓLIO'!$C$4:$C$433,0)),"")</f>
        <v/>
      </c>
      <c r="M411" s="220"/>
      <c r="N411" s="220"/>
      <c r="O411" s="220"/>
      <c r="P411" s="220"/>
      <c r="Q411" s="220"/>
      <c r="R411" s="220"/>
      <c r="S411" s="220"/>
      <c r="T411" s="220"/>
      <c r="U411" s="220"/>
      <c r="V411" s="220"/>
      <c r="W411" s="220"/>
    </row>
    <row r="412" ht="15.75" customHeight="1" outlineLevel="1">
      <c r="A412" s="211"/>
      <c r="B412" s="212"/>
      <c r="C412" s="213"/>
      <c r="D412" s="214" t="str">
        <f>IFERROR(VLOOKUP($C412,'PORTIFÓLIO'!C:V,2,0),"")</f>
        <v/>
      </c>
      <c r="E412" s="211" t="str">
        <f>IFERROR(VLOOKUP($C412,'PORTIFÓLIO'!C:V,3,0),"")</f>
        <v/>
      </c>
      <c r="F412" s="211" t="str">
        <f>IFERROR(VLOOKUP($C412,'PORTIFÓLIO'!C:V,4,0),"")</f>
        <v/>
      </c>
      <c r="G412" s="215" t="str">
        <f>IFERROR(VLOOKUP($C412,'PORTIFÓLIO'!C:V,5,0),"")</f>
        <v/>
      </c>
      <c r="H412" s="254" t="str">
        <f t="array" ref="H412">IFERROR(INDEX('PORTIFÓLIO'!$H$4:$H$433,MATCH($C412,'PORTIFÓLIO'!$C$4:$C$433,0)),"")</f>
        <v/>
      </c>
      <c r="I412" s="256"/>
      <c r="J412" s="218">
        <f t="shared" si="47"/>
        <v>0</v>
      </c>
      <c r="K412" s="292" t="str">
        <f t="array" ref="K412">IFERROR(I412*INDEX('PORTIFÓLIO'!$S$4:$S$433,MATCH($C412,'PORTIFÓLIO'!$C$4:$C$433,0)),"")</f>
        <v/>
      </c>
      <c r="L412" s="292" t="str">
        <f t="array" ref="L412">IFERROR(J412*INDEX('PORTIFÓLIO'!$S$4:$S$433,MATCH($C412,'PORTIFÓLIO'!$C$4:$C$433,0)),"")</f>
        <v/>
      </c>
      <c r="M412" s="220"/>
      <c r="N412" s="220"/>
      <c r="O412" s="220"/>
      <c r="P412" s="220"/>
      <c r="Q412" s="220"/>
      <c r="R412" s="220"/>
      <c r="S412" s="220"/>
      <c r="T412" s="220"/>
      <c r="U412" s="220"/>
      <c r="V412" s="220"/>
      <c r="W412" s="220"/>
    </row>
    <row r="413" ht="15.75" customHeight="1" outlineLevel="1">
      <c r="A413" s="211"/>
      <c r="B413" s="212"/>
      <c r="C413" s="213"/>
      <c r="D413" s="214" t="str">
        <f>IFERROR(VLOOKUP($C413,'PORTIFÓLIO'!C:V,2,0),"")</f>
        <v/>
      </c>
      <c r="E413" s="211" t="str">
        <f>IFERROR(VLOOKUP($C413,'PORTIFÓLIO'!C:V,3,0),"")</f>
        <v/>
      </c>
      <c r="F413" s="211" t="str">
        <f>IFERROR(VLOOKUP($C413,'PORTIFÓLIO'!C:V,4,0),"")</f>
        <v/>
      </c>
      <c r="G413" s="215" t="str">
        <f>IFERROR(VLOOKUP($C413,'PORTIFÓLIO'!C:V,5,0),"")</f>
        <v/>
      </c>
      <c r="H413" s="254" t="str">
        <f t="array" ref="H413">IFERROR(INDEX('PORTIFÓLIO'!$H$4:$H$433,MATCH($C413,'PORTIFÓLIO'!$C$4:$C$433,0)),"")</f>
        <v/>
      </c>
      <c r="I413" s="256"/>
      <c r="J413" s="218">
        <f t="shared" si="47"/>
        <v>0</v>
      </c>
      <c r="K413" s="292" t="str">
        <f t="array" ref="K413">IFERROR(I413*INDEX('PORTIFÓLIO'!$S$4:$S$433,MATCH($C413,'PORTIFÓLIO'!$C$4:$C$433,0)),"")</f>
        <v/>
      </c>
      <c r="L413" s="292" t="str">
        <f t="array" ref="L413">IFERROR(J413*INDEX('PORTIFÓLIO'!$S$4:$S$433,MATCH($C413,'PORTIFÓLIO'!$C$4:$C$433,0)),"")</f>
        <v/>
      </c>
      <c r="M413" s="220"/>
      <c r="N413" s="220"/>
      <c r="O413" s="220"/>
      <c r="P413" s="220"/>
      <c r="Q413" s="220"/>
      <c r="R413" s="220"/>
      <c r="S413" s="220"/>
      <c r="T413" s="220"/>
      <c r="U413" s="220"/>
      <c r="V413" s="220"/>
      <c r="W413" s="220"/>
    </row>
    <row r="414" ht="15.75" customHeight="1" outlineLevel="1">
      <c r="A414" s="211"/>
      <c r="B414" s="212"/>
      <c r="C414" s="213"/>
      <c r="D414" s="214" t="str">
        <f>IFERROR(VLOOKUP($C414,'PORTIFÓLIO'!C:V,2,0),"")</f>
        <v/>
      </c>
      <c r="E414" s="211" t="str">
        <f>IFERROR(VLOOKUP($C414,'PORTIFÓLIO'!C:V,3,0),"")</f>
        <v/>
      </c>
      <c r="F414" s="211" t="str">
        <f>IFERROR(VLOOKUP($C414,'PORTIFÓLIO'!C:V,4,0),"")</f>
        <v/>
      </c>
      <c r="G414" s="215" t="str">
        <f>IFERROR(VLOOKUP($C414,'PORTIFÓLIO'!C:V,5,0),"")</f>
        <v/>
      </c>
      <c r="H414" s="254" t="str">
        <f t="array" ref="H414">IFERROR(INDEX('PORTIFÓLIO'!$H$4:$H$433,MATCH($C414,'PORTIFÓLIO'!$C$4:$C$433,0)),"")</f>
        <v/>
      </c>
      <c r="I414" s="256"/>
      <c r="J414" s="218">
        <f t="shared" si="47"/>
        <v>0</v>
      </c>
      <c r="K414" s="292" t="str">
        <f t="array" ref="K414">IFERROR(I414*INDEX('PORTIFÓLIO'!$S$4:$S$433,MATCH($C414,'PORTIFÓLIO'!$C$4:$C$433,0)),"")</f>
        <v/>
      </c>
      <c r="L414" s="292" t="str">
        <f t="array" ref="L414">IFERROR(J414*INDEX('PORTIFÓLIO'!$S$4:$S$433,MATCH($C414,'PORTIFÓLIO'!$C$4:$C$433,0)),"")</f>
        <v/>
      </c>
      <c r="M414" s="220"/>
      <c r="N414" s="220"/>
      <c r="O414" s="220"/>
      <c r="P414" s="220"/>
      <c r="Q414" s="220"/>
      <c r="R414" s="220"/>
      <c r="S414" s="220"/>
      <c r="T414" s="220"/>
      <c r="U414" s="220"/>
      <c r="V414" s="220"/>
      <c r="W414" s="220"/>
    </row>
    <row r="415" ht="15.75" customHeight="1" outlineLevel="1">
      <c r="A415" s="211"/>
      <c r="B415" s="212"/>
      <c r="C415" s="213"/>
      <c r="D415" s="214" t="str">
        <f>IFERROR(VLOOKUP($C415,'PORTIFÓLIO'!C:V,2,0),"")</f>
        <v/>
      </c>
      <c r="E415" s="211" t="str">
        <f>IFERROR(VLOOKUP($C415,'PORTIFÓLIO'!C:V,3,0),"")</f>
        <v/>
      </c>
      <c r="F415" s="211" t="str">
        <f>IFERROR(VLOOKUP($C415,'PORTIFÓLIO'!C:V,4,0),"")</f>
        <v/>
      </c>
      <c r="G415" s="215" t="str">
        <f>IFERROR(VLOOKUP($C415,'PORTIFÓLIO'!C:V,5,0),"")</f>
        <v/>
      </c>
      <c r="H415" s="254" t="str">
        <f t="array" ref="H415">IFERROR(INDEX('PORTIFÓLIO'!$H$4:$H$433,MATCH($C415,'PORTIFÓLIO'!$C$4:$C$433,0)),"")</f>
        <v/>
      </c>
      <c r="I415" s="256"/>
      <c r="J415" s="218">
        <f t="shared" si="47"/>
        <v>0</v>
      </c>
      <c r="K415" s="292" t="str">
        <f t="array" ref="K415">IFERROR(I415*INDEX('PORTIFÓLIO'!$S$4:$S$433,MATCH($C415,'PORTIFÓLIO'!$C$4:$C$433,0)),"")</f>
        <v/>
      </c>
      <c r="L415" s="292" t="str">
        <f t="array" ref="L415">IFERROR(J415*INDEX('PORTIFÓLIO'!$S$4:$S$433,MATCH($C415,'PORTIFÓLIO'!$C$4:$C$433,0)),"")</f>
        <v/>
      </c>
      <c r="M415" s="220"/>
      <c r="N415" s="220"/>
      <c r="O415" s="220"/>
      <c r="P415" s="220"/>
      <c r="Q415" s="220"/>
      <c r="R415" s="220"/>
      <c r="S415" s="220"/>
      <c r="T415" s="220"/>
      <c r="U415" s="220"/>
      <c r="V415" s="220"/>
      <c r="W415" s="220"/>
    </row>
    <row r="416" ht="15.75" customHeight="1" outlineLevel="1">
      <c r="A416" s="211"/>
      <c r="B416" s="212"/>
      <c r="C416" s="213"/>
      <c r="D416" s="214" t="str">
        <f>IFERROR(VLOOKUP($C416,'PORTIFÓLIO'!C:V,2,0),"")</f>
        <v/>
      </c>
      <c r="E416" s="211" t="str">
        <f>IFERROR(VLOOKUP($C416,'PORTIFÓLIO'!C:V,3,0),"")</f>
        <v/>
      </c>
      <c r="F416" s="211" t="str">
        <f>IFERROR(VLOOKUP($C416,'PORTIFÓLIO'!C:V,4,0),"")</f>
        <v/>
      </c>
      <c r="G416" s="215" t="str">
        <f>IFERROR(VLOOKUP($C416,'PORTIFÓLIO'!C:V,5,0),"")</f>
        <v/>
      </c>
      <c r="H416" s="254" t="str">
        <f t="array" ref="H416">IFERROR(INDEX('PORTIFÓLIO'!$H$4:$H$433,MATCH($C416,'PORTIFÓLIO'!$C$4:$C$433,0)),"")</f>
        <v/>
      </c>
      <c r="I416" s="256"/>
      <c r="J416" s="218">
        <f t="shared" si="47"/>
        <v>0</v>
      </c>
      <c r="K416" s="292" t="str">
        <f t="array" ref="K416">IFERROR(I416*INDEX('PORTIFÓLIO'!$S$4:$S$433,MATCH($C416,'PORTIFÓLIO'!$C$4:$C$433,0)),"")</f>
        <v/>
      </c>
      <c r="L416" s="292" t="str">
        <f t="array" ref="L416">IFERROR(J416*INDEX('PORTIFÓLIO'!$S$4:$S$433,MATCH($C416,'PORTIFÓLIO'!$C$4:$C$433,0)),"")</f>
        <v/>
      </c>
      <c r="M416" s="220"/>
      <c r="N416" s="220"/>
      <c r="O416" s="220"/>
      <c r="P416" s="220"/>
      <c r="Q416" s="220"/>
      <c r="R416" s="220"/>
      <c r="S416" s="220"/>
      <c r="T416" s="220"/>
      <c r="U416" s="220"/>
      <c r="V416" s="220"/>
      <c r="W416" s="220"/>
    </row>
    <row r="417" ht="15.75" customHeight="1" outlineLevel="1">
      <c r="A417" s="211"/>
      <c r="B417" s="212"/>
      <c r="C417" s="213"/>
      <c r="D417" s="214" t="str">
        <f>IFERROR(VLOOKUP($C417,'PORTIFÓLIO'!C:V,2,0),"")</f>
        <v/>
      </c>
      <c r="E417" s="211" t="str">
        <f>IFERROR(VLOOKUP($C417,'PORTIFÓLIO'!C:V,3,0),"")</f>
        <v/>
      </c>
      <c r="F417" s="211" t="str">
        <f>IFERROR(VLOOKUP($C417,'PORTIFÓLIO'!C:V,4,0),"")</f>
        <v/>
      </c>
      <c r="G417" s="215" t="str">
        <f>IFERROR(VLOOKUP($C417,'PORTIFÓLIO'!C:V,5,0),"")</f>
        <v/>
      </c>
      <c r="H417" s="254" t="str">
        <f t="array" ref="H417">IFERROR(INDEX('PORTIFÓLIO'!$H$4:$H$433,MATCH($C417,'PORTIFÓLIO'!$C$4:$C$433,0)),"")</f>
        <v/>
      </c>
      <c r="I417" s="256"/>
      <c r="J417" s="218">
        <f t="shared" si="47"/>
        <v>0</v>
      </c>
      <c r="K417" s="292" t="str">
        <f t="array" ref="K417">IFERROR(I417*INDEX('PORTIFÓLIO'!$S$4:$S$433,MATCH($C417,'PORTIFÓLIO'!$C$4:$C$433,0)),"")</f>
        <v/>
      </c>
      <c r="L417" s="292" t="str">
        <f t="array" ref="L417">IFERROR(J417*INDEX('PORTIFÓLIO'!$S$4:$S$433,MATCH($C417,'PORTIFÓLIO'!$C$4:$C$433,0)),"")</f>
        <v/>
      </c>
      <c r="M417" s="220"/>
      <c r="N417" s="220"/>
      <c r="O417" s="220"/>
      <c r="P417" s="220"/>
      <c r="Q417" s="220"/>
      <c r="R417" s="220"/>
      <c r="S417" s="220"/>
      <c r="T417" s="220"/>
      <c r="U417" s="220"/>
      <c r="V417" s="220"/>
      <c r="W417" s="220"/>
    </row>
    <row r="418" ht="15.75" customHeight="1" outlineLevel="1">
      <c r="A418" s="211"/>
      <c r="B418" s="212"/>
      <c r="C418" s="213"/>
      <c r="D418" s="214" t="str">
        <f>IFERROR(VLOOKUP($C418,'PORTIFÓLIO'!C:V,2,0),"")</f>
        <v/>
      </c>
      <c r="E418" s="211" t="str">
        <f>IFERROR(VLOOKUP($C418,'PORTIFÓLIO'!C:V,3,0),"")</f>
        <v/>
      </c>
      <c r="F418" s="211" t="str">
        <f>IFERROR(VLOOKUP($C418,'PORTIFÓLIO'!C:V,4,0),"")</f>
        <v/>
      </c>
      <c r="G418" s="215" t="str">
        <f>IFERROR(VLOOKUP($C418,'PORTIFÓLIO'!C:V,5,0),"")</f>
        <v/>
      </c>
      <c r="H418" s="254" t="str">
        <f t="array" ref="H418">IFERROR(INDEX('PORTIFÓLIO'!$H$4:$H$433,MATCH($C418,'PORTIFÓLIO'!$C$4:$C$433,0)),"")</f>
        <v/>
      </c>
      <c r="I418" s="255"/>
      <c r="J418" s="218">
        <f t="shared" si="47"/>
        <v>0</v>
      </c>
      <c r="K418" s="292" t="str">
        <f t="array" ref="K418">IFERROR(I418*INDEX('PORTIFÓLIO'!$S$4:$S$433,MATCH($C418,'PORTIFÓLIO'!$C$4:$C$433,0)),"")</f>
        <v/>
      </c>
      <c r="L418" s="292" t="str">
        <f t="array" ref="L418">IFERROR(J418*INDEX('PORTIFÓLIO'!$S$4:$S$433,MATCH($C418,'PORTIFÓLIO'!$C$4:$C$433,0)),"")</f>
        <v/>
      </c>
      <c r="M418" s="220"/>
      <c r="N418" s="220"/>
      <c r="O418" s="220"/>
      <c r="P418" s="220"/>
      <c r="Q418" s="220"/>
      <c r="R418" s="220"/>
      <c r="S418" s="220"/>
      <c r="T418" s="220"/>
      <c r="U418" s="220"/>
      <c r="V418" s="220"/>
      <c r="W418" s="220"/>
    </row>
    <row r="419" ht="15.75" customHeight="1" outlineLevel="1">
      <c r="A419" s="211"/>
      <c r="B419" s="212"/>
      <c r="C419" s="213"/>
      <c r="D419" s="214" t="str">
        <f>IFERROR(VLOOKUP($C419,'PORTIFÓLIO'!C:V,2,0),"")</f>
        <v/>
      </c>
      <c r="E419" s="211" t="str">
        <f>IFERROR(VLOOKUP($C419,'PORTIFÓLIO'!C:V,3,0),"")</f>
        <v/>
      </c>
      <c r="F419" s="211" t="str">
        <f>IFERROR(VLOOKUP($C419,'PORTIFÓLIO'!C:V,4,0),"")</f>
        <v/>
      </c>
      <c r="G419" s="215" t="str">
        <f>IFERROR(VLOOKUP($C419,'PORTIFÓLIO'!C:V,5,0),"")</f>
        <v/>
      </c>
      <c r="H419" s="254" t="str">
        <f t="array" ref="H419">IFERROR(INDEX('PORTIFÓLIO'!$H$4:$H$433,MATCH($C419,'PORTIFÓLIO'!$C$4:$C$433,0)),"")</f>
        <v/>
      </c>
      <c r="I419" s="256"/>
      <c r="J419" s="218">
        <f t="shared" si="47"/>
        <v>0</v>
      </c>
      <c r="K419" s="292" t="str">
        <f t="array" ref="K419">IFERROR(I419*INDEX('PORTIFÓLIO'!$S$4:$S$433,MATCH($C419,'PORTIFÓLIO'!$C$4:$C$433,0)),"")</f>
        <v/>
      </c>
      <c r="L419" s="292" t="str">
        <f t="array" ref="L419">IFERROR(J419*INDEX('PORTIFÓLIO'!$S$4:$S$433,MATCH($C419,'PORTIFÓLIO'!$C$4:$C$433,0)),"")</f>
        <v/>
      </c>
      <c r="M419" s="220"/>
      <c r="N419" s="220"/>
      <c r="O419" s="220"/>
      <c r="P419" s="220"/>
      <c r="Q419" s="220"/>
      <c r="R419" s="220"/>
      <c r="S419" s="220"/>
      <c r="T419" s="220"/>
      <c r="U419" s="220"/>
      <c r="V419" s="220"/>
      <c r="W419" s="220"/>
    </row>
    <row r="420" ht="15.75" customHeight="1" outlineLevel="1">
      <c r="A420" s="211"/>
      <c r="B420" s="212"/>
      <c r="C420" s="213"/>
      <c r="D420" s="214" t="str">
        <f>IFERROR(VLOOKUP($C420,'PORTIFÓLIO'!C:V,2,0),"")</f>
        <v/>
      </c>
      <c r="E420" s="211" t="str">
        <f>IFERROR(VLOOKUP($C420,'PORTIFÓLIO'!C:V,3,0),"")</f>
        <v/>
      </c>
      <c r="F420" s="211" t="str">
        <f>IFERROR(VLOOKUP($C420,'PORTIFÓLIO'!C:V,4,0),"")</f>
        <v/>
      </c>
      <c r="G420" s="215" t="str">
        <f>IFERROR(VLOOKUP($C420,'PORTIFÓLIO'!C:V,5,0),"")</f>
        <v/>
      </c>
      <c r="H420" s="254" t="str">
        <f t="array" ref="H420">IFERROR(INDEX('PORTIFÓLIO'!$H$4:$H$433,MATCH($C420,'PORTIFÓLIO'!$C$4:$C$433,0)),"")</f>
        <v/>
      </c>
      <c r="I420" s="256"/>
      <c r="J420" s="218">
        <f t="shared" si="47"/>
        <v>0</v>
      </c>
      <c r="K420" s="292" t="str">
        <f t="array" ref="K420">IFERROR(I420*INDEX('PORTIFÓLIO'!$S$4:$S$433,MATCH($C420,'PORTIFÓLIO'!$C$4:$C$433,0)),"")</f>
        <v/>
      </c>
      <c r="L420" s="292" t="str">
        <f t="array" ref="L420">IFERROR(J420*INDEX('PORTIFÓLIO'!$S$4:$S$433,MATCH($C420,'PORTIFÓLIO'!$C$4:$C$433,0)),"")</f>
        <v/>
      </c>
      <c r="M420" s="220"/>
      <c r="N420" s="220"/>
      <c r="O420" s="220"/>
      <c r="P420" s="220"/>
      <c r="Q420" s="220"/>
      <c r="R420" s="220"/>
      <c r="S420" s="220"/>
      <c r="T420" s="220"/>
      <c r="U420" s="220"/>
      <c r="V420" s="220"/>
      <c r="W420" s="220"/>
    </row>
    <row r="421" ht="15.75" customHeight="1" outlineLevel="1">
      <c r="A421" s="211"/>
      <c r="B421" s="212"/>
      <c r="C421" s="213"/>
      <c r="D421" s="214" t="str">
        <f>IFERROR(VLOOKUP($C421,'PORTIFÓLIO'!C:V,2,0),"")</f>
        <v/>
      </c>
      <c r="E421" s="211" t="str">
        <f>IFERROR(VLOOKUP($C421,'PORTIFÓLIO'!C:V,3,0),"")</f>
        <v/>
      </c>
      <c r="F421" s="211" t="str">
        <f>IFERROR(VLOOKUP($C421,'PORTIFÓLIO'!C:V,4,0),"")</f>
        <v/>
      </c>
      <c r="G421" s="215" t="str">
        <f>IFERROR(VLOOKUP($C421,'PORTIFÓLIO'!C:V,5,0),"")</f>
        <v/>
      </c>
      <c r="H421" s="254" t="str">
        <f t="array" ref="H421">IFERROR(INDEX('PORTIFÓLIO'!$H$4:$H$433,MATCH($C421,'PORTIFÓLIO'!$C$4:$C$433,0)),"")</f>
        <v/>
      </c>
      <c r="I421" s="256"/>
      <c r="J421" s="218">
        <f t="shared" si="47"/>
        <v>0</v>
      </c>
      <c r="K421" s="292" t="str">
        <f t="array" ref="K421">IFERROR(I421*INDEX('PORTIFÓLIO'!$S$4:$S$433,MATCH($C421,'PORTIFÓLIO'!$C$4:$C$433,0)),"")</f>
        <v/>
      </c>
      <c r="L421" s="292" t="str">
        <f t="array" ref="L421">IFERROR(J421*INDEX('PORTIFÓLIO'!$S$4:$S$433,MATCH($C421,'PORTIFÓLIO'!$C$4:$C$433,0)),"")</f>
        <v/>
      </c>
      <c r="M421" s="220"/>
      <c r="N421" s="220"/>
      <c r="O421" s="220"/>
      <c r="P421" s="220"/>
      <c r="Q421" s="220"/>
      <c r="R421" s="220"/>
      <c r="S421" s="220"/>
      <c r="T421" s="220"/>
      <c r="U421" s="220"/>
      <c r="V421" s="220"/>
      <c r="W421" s="220"/>
    </row>
    <row r="422" ht="15.75" customHeight="1" outlineLevel="1">
      <c r="A422" s="211"/>
      <c r="B422" s="212"/>
      <c r="C422" s="213"/>
      <c r="D422" s="214" t="str">
        <f>IFERROR(VLOOKUP($C422,'PORTIFÓLIO'!C:V,2,0),"")</f>
        <v/>
      </c>
      <c r="E422" s="211" t="str">
        <f>IFERROR(VLOOKUP($C422,'PORTIFÓLIO'!C:V,3,0),"")</f>
        <v/>
      </c>
      <c r="F422" s="211" t="str">
        <f>IFERROR(VLOOKUP($C422,'PORTIFÓLIO'!C:V,4,0),"")</f>
        <v/>
      </c>
      <c r="G422" s="215" t="str">
        <f>IFERROR(VLOOKUP($C422,'PORTIFÓLIO'!C:V,5,0),"")</f>
        <v/>
      </c>
      <c r="H422" s="254" t="str">
        <f t="array" ref="H422">IFERROR(INDEX('PORTIFÓLIO'!$H$4:$H$433,MATCH($C422,'PORTIFÓLIO'!$C$4:$C$433,0)),"")</f>
        <v/>
      </c>
      <c r="I422" s="256"/>
      <c r="J422" s="218">
        <f t="shared" si="47"/>
        <v>0</v>
      </c>
      <c r="K422" s="292" t="str">
        <f t="array" ref="K422">IFERROR(I422*INDEX('PORTIFÓLIO'!$S$4:$S$433,MATCH($C422,'PORTIFÓLIO'!$C$4:$C$433,0)),"")</f>
        <v/>
      </c>
      <c r="L422" s="292" t="str">
        <f t="array" ref="L422">IFERROR(J422*INDEX('PORTIFÓLIO'!$S$4:$S$433,MATCH($C422,'PORTIFÓLIO'!$C$4:$C$433,0)),"")</f>
        <v/>
      </c>
      <c r="M422" s="220"/>
      <c r="N422" s="220"/>
      <c r="O422" s="220"/>
      <c r="P422" s="220"/>
      <c r="Q422" s="220"/>
      <c r="R422" s="220"/>
      <c r="S422" s="220"/>
      <c r="T422" s="220"/>
      <c r="U422" s="220"/>
      <c r="V422" s="220"/>
      <c r="W422" s="220"/>
    </row>
    <row r="423" ht="15.75" customHeight="1" outlineLevel="1">
      <c r="A423" s="211"/>
      <c r="B423" s="212"/>
      <c r="C423" s="213"/>
      <c r="D423" s="214" t="str">
        <f>IFERROR(VLOOKUP($C423,'PORTIFÓLIO'!C:V,2,0),"")</f>
        <v/>
      </c>
      <c r="E423" s="211" t="str">
        <f>IFERROR(VLOOKUP($C423,'PORTIFÓLIO'!C:V,3,0),"")</f>
        <v/>
      </c>
      <c r="F423" s="211" t="str">
        <f>IFERROR(VLOOKUP($C423,'PORTIFÓLIO'!C:V,4,0),"")</f>
        <v/>
      </c>
      <c r="G423" s="215" t="str">
        <f>IFERROR(VLOOKUP($C423,'PORTIFÓLIO'!C:V,5,0),"")</f>
        <v/>
      </c>
      <c r="H423" s="254" t="str">
        <f t="array" ref="H423">IFERROR(INDEX('PORTIFÓLIO'!$H$4:$H$433,MATCH($C423,'PORTIFÓLIO'!$C$4:$C$433,0)),"")</f>
        <v/>
      </c>
      <c r="I423" s="256"/>
      <c r="J423" s="218">
        <f t="shared" si="47"/>
        <v>0</v>
      </c>
      <c r="K423" s="292" t="str">
        <f t="array" ref="K423">IFERROR(I423*INDEX('PORTIFÓLIO'!$S$4:$S$433,MATCH($C423,'PORTIFÓLIO'!$C$4:$C$433,0)),"")</f>
        <v/>
      </c>
      <c r="L423" s="292" t="str">
        <f t="array" ref="L423">IFERROR(J423*INDEX('PORTIFÓLIO'!$S$4:$S$433,MATCH($C423,'PORTIFÓLIO'!$C$4:$C$433,0)),"")</f>
        <v/>
      </c>
      <c r="M423" s="220"/>
      <c r="N423" s="220"/>
      <c r="O423" s="220"/>
      <c r="P423" s="220"/>
      <c r="Q423" s="220"/>
      <c r="R423" s="220"/>
      <c r="S423" s="220"/>
      <c r="T423" s="220"/>
      <c r="U423" s="220"/>
      <c r="V423" s="220"/>
      <c r="W423" s="220"/>
    </row>
    <row r="424" ht="15.75" customHeight="1" outlineLevel="1">
      <c r="A424" s="211"/>
      <c r="B424" s="212"/>
      <c r="C424" s="213"/>
      <c r="D424" s="214" t="str">
        <f>IFERROR(VLOOKUP($C424,'PORTIFÓLIO'!C:V,2,0),"")</f>
        <v/>
      </c>
      <c r="E424" s="211" t="str">
        <f>IFERROR(VLOOKUP($C424,'PORTIFÓLIO'!C:V,3,0),"")</f>
        <v/>
      </c>
      <c r="F424" s="211" t="str">
        <f>IFERROR(VLOOKUP($C424,'PORTIFÓLIO'!C:V,4,0),"")</f>
        <v/>
      </c>
      <c r="G424" s="215" t="str">
        <f>IFERROR(VLOOKUP($C424,'PORTIFÓLIO'!C:V,5,0),"")</f>
        <v/>
      </c>
      <c r="H424" s="254" t="str">
        <f t="array" ref="H424">IFERROR(INDEX('PORTIFÓLIO'!$H$4:$H$433,MATCH($C424,'PORTIFÓLIO'!$C$4:$C$433,0)),"")</f>
        <v/>
      </c>
      <c r="I424" s="256"/>
      <c r="J424" s="218">
        <f t="shared" si="47"/>
        <v>0</v>
      </c>
      <c r="K424" s="292" t="str">
        <f t="array" ref="K424">IFERROR(I424*INDEX('PORTIFÓLIO'!$S$4:$S$433,MATCH($C424,'PORTIFÓLIO'!$C$4:$C$433,0)),"")</f>
        <v/>
      </c>
      <c r="L424" s="292" t="str">
        <f t="array" ref="L424">IFERROR(J424*INDEX('PORTIFÓLIO'!$S$4:$S$433,MATCH($C424,'PORTIFÓLIO'!$C$4:$C$433,0)),"")</f>
        <v/>
      </c>
      <c r="M424" s="220"/>
      <c r="N424" s="220"/>
      <c r="O424" s="220"/>
      <c r="P424" s="220"/>
      <c r="Q424" s="220"/>
      <c r="R424" s="220"/>
      <c r="S424" s="220"/>
      <c r="T424" s="220"/>
      <c r="U424" s="220"/>
      <c r="V424" s="220"/>
      <c r="W424" s="220"/>
    </row>
    <row r="425" ht="15.75" customHeight="1" outlineLevel="1">
      <c r="A425" s="211"/>
      <c r="B425" s="227"/>
      <c r="C425" s="211"/>
      <c r="D425" s="214" t="str">
        <f>IFERROR(VLOOKUP($C425,'PORTIFÓLIO'!C:V,2,0),"")</f>
        <v/>
      </c>
      <c r="E425" s="211" t="str">
        <f>IFERROR(VLOOKUP($C425,'PORTIFÓLIO'!C:V,3,0),"")</f>
        <v/>
      </c>
      <c r="F425" s="211" t="str">
        <f>IFERROR(VLOOKUP($C425,'PORTIFÓLIO'!C:V,4,0),"")</f>
        <v/>
      </c>
      <c r="G425" s="215" t="str">
        <f>IFERROR(VLOOKUP($C425,'PORTIFÓLIO'!C:V,5,0),"")</f>
        <v/>
      </c>
      <c r="H425" s="254" t="str">
        <f t="array" ref="H425">IFERROR(INDEX('PORTIFÓLIO'!$H$4:$H$433,MATCH($C425,'PORTIFÓLIO'!$C$4:$C$433,0)),"")</f>
        <v/>
      </c>
      <c r="I425" s="256"/>
      <c r="J425" s="218">
        <f t="shared" si="47"/>
        <v>0</v>
      </c>
      <c r="K425" s="292" t="str">
        <f t="array" ref="K425">IFERROR(I425*INDEX('PORTIFÓLIO'!$S$4:$S$433,MATCH($C425,'PORTIFÓLIO'!$C$4:$C$433,0)),"")</f>
        <v/>
      </c>
      <c r="L425" s="292" t="str">
        <f t="array" ref="L425">IFERROR(J425*INDEX('PORTIFÓLIO'!$S$4:$S$433,MATCH($C425,'PORTIFÓLIO'!$C$4:$C$433,0)),"")</f>
        <v/>
      </c>
      <c r="M425" s="220"/>
      <c r="N425" s="220"/>
      <c r="O425" s="220"/>
      <c r="P425" s="220"/>
      <c r="Q425" s="220"/>
      <c r="R425" s="220"/>
      <c r="S425" s="220"/>
      <c r="T425" s="220"/>
      <c r="U425" s="220"/>
      <c r="V425" s="220"/>
      <c r="W425" s="220"/>
    </row>
    <row r="426" ht="15.75" customHeight="1" outlineLevel="1">
      <c r="A426" s="211"/>
      <c r="B426" s="227"/>
      <c r="C426" s="211"/>
      <c r="D426" s="214" t="str">
        <f>IFERROR(VLOOKUP($C426,'PORTIFÓLIO'!C:V,2,0),"")</f>
        <v/>
      </c>
      <c r="E426" s="211" t="str">
        <f>IFERROR(VLOOKUP($C426,'PORTIFÓLIO'!C:V,3,0),"")</f>
        <v/>
      </c>
      <c r="F426" s="211" t="str">
        <f>IFERROR(VLOOKUP($C426,'PORTIFÓLIO'!C:V,4,0),"")</f>
        <v/>
      </c>
      <c r="G426" s="215" t="str">
        <f>IFERROR(VLOOKUP($C426,'PORTIFÓLIO'!C:V,5,0),"")</f>
        <v/>
      </c>
      <c r="H426" s="254" t="str">
        <f t="array" ref="H426">IFERROR(INDEX('PORTIFÓLIO'!$H$4:$H$433,MATCH($C426,'PORTIFÓLIO'!$C$4:$C$433,0)),"")</f>
        <v/>
      </c>
      <c r="I426" s="256"/>
      <c r="J426" s="218">
        <f t="shared" si="47"/>
        <v>0</v>
      </c>
      <c r="K426" s="292" t="str">
        <f t="array" ref="K426">IFERROR(I426*INDEX('PORTIFÓLIO'!$S$4:$S$433,MATCH($C426,'PORTIFÓLIO'!$C$4:$C$433,0)),"")</f>
        <v/>
      </c>
      <c r="L426" s="292" t="str">
        <f t="array" ref="L426">IFERROR(J426*INDEX('PORTIFÓLIO'!$S$4:$S$433,MATCH($C426,'PORTIFÓLIO'!$C$4:$C$433,0)),"")</f>
        <v/>
      </c>
      <c r="U426" s="79"/>
    </row>
    <row r="427" ht="15.75" customHeight="1">
      <c r="A427" s="229" t="s">
        <v>1202</v>
      </c>
      <c r="B427" s="230"/>
      <c r="C427" s="231"/>
      <c r="D427" s="232"/>
      <c r="E427" s="231"/>
      <c r="F427" s="231"/>
      <c r="G427" s="233"/>
      <c r="H427" s="233"/>
      <c r="I427" s="258"/>
      <c r="J427" s="236"/>
      <c r="K427" s="237">
        <f t="shared" ref="K427:L427" si="48">SUBTOTAL(9,K428:K441)</f>
        <v>0</v>
      </c>
      <c r="L427" s="237">
        <f t="shared" si="48"/>
        <v>0</v>
      </c>
      <c r="U427" s="79"/>
    </row>
    <row r="428" ht="15.75" customHeight="1" outlineLevel="1">
      <c r="A428" s="213"/>
      <c r="B428" s="212"/>
      <c r="C428" s="213"/>
      <c r="D428" s="214" t="str">
        <f>IFERROR(VLOOKUP($C428,'PORTIFÓLIO'!C:V,2,0),"")</f>
        <v/>
      </c>
      <c r="E428" s="211" t="str">
        <f>IFERROR(VLOOKUP($C428,'PORTIFÓLIO'!C:V,3,0),"")</f>
        <v/>
      </c>
      <c r="F428" s="211" t="str">
        <f>IFERROR(VLOOKUP($C428,'PORTIFÓLIO'!C:V,4,0),"")</f>
        <v/>
      </c>
      <c r="G428" s="215" t="str">
        <f>IFERROR(VLOOKUP($C428,'PORTIFÓLIO'!C:V,5,0),"")</f>
        <v/>
      </c>
      <c r="H428" s="254" t="str">
        <f t="array" ref="H428">IFERROR(INDEX('PORTIFÓLIO'!$H$4:$H$433,MATCH($C428,'PORTIFÓLIO'!$C$4:$C$433,0)),"")</f>
        <v/>
      </c>
      <c r="I428" s="256"/>
      <c r="J428" s="218">
        <f t="shared" ref="J428:J451" si="49">I428*$B$2</f>
        <v>0</v>
      </c>
      <c r="K428" s="292" t="str">
        <f t="array" ref="K428">IFERROR(I428*INDEX('PORTIFÓLIO'!$S$4:$S$433,MATCH($C428,'PORTIFÓLIO'!$C$4:$C$433,0)),"")</f>
        <v/>
      </c>
      <c r="L428" s="292" t="str">
        <f t="array" ref="L428">IFERROR(J428*INDEX('PORTIFÓLIO'!$S$4:$S$433,MATCH($C428,'PORTIFÓLIO'!$C$4:$C$433,0)),"")</f>
        <v/>
      </c>
      <c r="U428" s="79"/>
    </row>
    <row r="429" ht="15.75" customHeight="1" outlineLevel="1">
      <c r="A429" s="211"/>
      <c r="B429" s="212"/>
      <c r="C429" s="213"/>
      <c r="D429" s="214" t="str">
        <f>IFERROR(VLOOKUP($C429,'PORTIFÓLIO'!C:V,2,0),"")</f>
        <v/>
      </c>
      <c r="E429" s="211" t="str">
        <f>IFERROR(VLOOKUP($C429,'PORTIFÓLIO'!C:V,3,0),"")</f>
        <v/>
      </c>
      <c r="F429" s="211" t="str">
        <f>IFERROR(VLOOKUP($C429,'PORTIFÓLIO'!C:V,4,0),"")</f>
        <v/>
      </c>
      <c r="G429" s="215" t="str">
        <f>IFERROR(VLOOKUP($C429,'PORTIFÓLIO'!C:V,5,0),"")</f>
        <v/>
      </c>
      <c r="H429" s="254" t="str">
        <f t="array" ref="H429">IFERROR(INDEX('PORTIFÓLIO'!$H$4:$H$433,MATCH($C429,'PORTIFÓLIO'!$C$4:$C$433,0)),"")</f>
        <v/>
      </c>
      <c r="I429" s="256"/>
      <c r="J429" s="218">
        <f t="shared" si="49"/>
        <v>0</v>
      </c>
      <c r="K429" s="292" t="str">
        <f t="array" ref="K429">IFERROR(I429*INDEX('PORTIFÓLIO'!$S$4:$S$433,MATCH($C429,'PORTIFÓLIO'!$C$4:$C$433,0)),"")</f>
        <v/>
      </c>
      <c r="L429" s="292" t="str">
        <f t="array" ref="L429">IFERROR(J429*INDEX('PORTIFÓLIO'!$S$4:$S$433,MATCH($C429,'PORTIFÓLIO'!$C$4:$C$433,0)),"")</f>
        <v/>
      </c>
      <c r="U429" s="79"/>
    </row>
    <row r="430" ht="15.75" customHeight="1" outlineLevel="1">
      <c r="A430" s="211"/>
      <c r="B430" s="212"/>
      <c r="C430" s="213"/>
      <c r="D430" s="214" t="str">
        <f>IFERROR(VLOOKUP($C430,'PORTIFÓLIO'!C:V,2,0),"")</f>
        <v/>
      </c>
      <c r="E430" s="211" t="str">
        <f>IFERROR(VLOOKUP($C430,'PORTIFÓLIO'!C:V,3,0),"")</f>
        <v/>
      </c>
      <c r="F430" s="211" t="str">
        <f>IFERROR(VLOOKUP($C430,'PORTIFÓLIO'!C:V,4,0),"")</f>
        <v/>
      </c>
      <c r="G430" s="215" t="str">
        <f>IFERROR(VLOOKUP($C430,'PORTIFÓLIO'!C:V,5,0),"")</f>
        <v/>
      </c>
      <c r="H430" s="254" t="str">
        <f t="array" ref="H430">IFERROR(INDEX('PORTIFÓLIO'!$H$4:$H$433,MATCH($C430,'PORTIFÓLIO'!$C$4:$C$433,0)),"")</f>
        <v/>
      </c>
      <c r="I430" s="256"/>
      <c r="J430" s="218">
        <f t="shared" si="49"/>
        <v>0</v>
      </c>
      <c r="K430" s="292" t="str">
        <f t="array" ref="K430">IFERROR(I430*INDEX('PORTIFÓLIO'!$S$4:$S$433,MATCH($C430,'PORTIFÓLIO'!$C$4:$C$433,0)),"")</f>
        <v/>
      </c>
      <c r="L430" s="292" t="str">
        <f t="array" ref="L430">IFERROR(J430*INDEX('PORTIFÓLIO'!$S$4:$S$433,MATCH($C430,'PORTIFÓLIO'!$C$4:$C$433,0)),"")</f>
        <v/>
      </c>
      <c r="U430" s="79"/>
    </row>
    <row r="431" ht="15.75" customHeight="1" outlineLevel="1">
      <c r="A431" s="211"/>
      <c r="B431" s="212"/>
      <c r="C431" s="213"/>
      <c r="D431" s="214" t="str">
        <f>IFERROR(VLOOKUP($C431,'PORTIFÓLIO'!C:V,2,0),"")</f>
        <v/>
      </c>
      <c r="E431" s="211" t="str">
        <f>IFERROR(VLOOKUP($C431,'PORTIFÓLIO'!C:V,3,0),"")</f>
        <v/>
      </c>
      <c r="F431" s="211" t="str">
        <f>IFERROR(VLOOKUP($C431,'PORTIFÓLIO'!C:V,4,0),"")</f>
        <v/>
      </c>
      <c r="G431" s="215" t="str">
        <f>IFERROR(VLOOKUP($C431,'PORTIFÓLIO'!C:V,5,0),"")</f>
        <v/>
      </c>
      <c r="H431" s="254" t="str">
        <f t="array" ref="H431">IFERROR(INDEX('PORTIFÓLIO'!$H$4:$H$433,MATCH($C431,'PORTIFÓLIO'!$C$4:$C$433,0)),"")</f>
        <v/>
      </c>
      <c r="I431" s="256"/>
      <c r="J431" s="218">
        <f t="shared" si="49"/>
        <v>0</v>
      </c>
      <c r="K431" s="292" t="str">
        <f t="array" ref="K431">IFERROR(I431*INDEX('PORTIFÓLIO'!$S$4:$S$433,MATCH($C431,'PORTIFÓLIO'!$C$4:$C$433,0)),"")</f>
        <v/>
      </c>
      <c r="L431" s="292" t="str">
        <f t="array" ref="L431">IFERROR(J431*INDEX('PORTIFÓLIO'!$S$4:$S$433,MATCH($C431,'PORTIFÓLIO'!$C$4:$C$433,0)),"")</f>
        <v/>
      </c>
      <c r="U431" s="79"/>
    </row>
    <row r="432" ht="15.75" customHeight="1" outlineLevel="1">
      <c r="A432" s="211"/>
      <c r="B432" s="212"/>
      <c r="C432" s="213"/>
      <c r="D432" s="214" t="str">
        <f>IFERROR(VLOOKUP($C432,'PORTIFÓLIO'!C:V,2,0),"")</f>
        <v/>
      </c>
      <c r="E432" s="211" t="str">
        <f>IFERROR(VLOOKUP($C432,'PORTIFÓLIO'!C:V,3,0),"")</f>
        <v/>
      </c>
      <c r="F432" s="211" t="str">
        <f>IFERROR(VLOOKUP($C432,'PORTIFÓLIO'!C:V,4,0),"")</f>
        <v/>
      </c>
      <c r="G432" s="215" t="str">
        <f>IFERROR(VLOOKUP($C432,'PORTIFÓLIO'!C:V,5,0),"")</f>
        <v/>
      </c>
      <c r="H432" s="254" t="str">
        <f t="array" ref="H432">IFERROR(INDEX('PORTIFÓLIO'!$H$4:$H$433,MATCH($C432,'PORTIFÓLIO'!$C$4:$C$433,0)),"")</f>
        <v/>
      </c>
      <c r="I432" s="256"/>
      <c r="J432" s="218">
        <f t="shared" si="49"/>
        <v>0</v>
      </c>
      <c r="K432" s="292" t="str">
        <f t="array" ref="K432">IFERROR(I432*INDEX('PORTIFÓLIO'!$S$4:$S$433,MATCH($C432,'PORTIFÓLIO'!$C$4:$C$433,0)),"")</f>
        <v/>
      </c>
      <c r="L432" s="292" t="str">
        <f t="array" ref="L432">IFERROR(J432*INDEX('PORTIFÓLIO'!$S$4:$S$433,MATCH($C432,'PORTIFÓLIO'!$C$4:$C$433,0)),"")</f>
        <v/>
      </c>
      <c r="U432" s="79"/>
    </row>
    <row r="433" ht="15.75" customHeight="1" outlineLevel="1">
      <c r="A433" s="211"/>
      <c r="B433" s="212"/>
      <c r="C433" s="213"/>
      <c r="D433" s="214" t="str">
        <f>IFERROR(VLOOKUP($C433,'PORTIFÓLIO'!C:V,2,0),"")</f>
        <v/>
      </c>
      <c r="E433" s="211" t="str">
        <f>IFERROR(VLOOKUP($C433,'PORTIFÓLIO'!C:V,3,0),"")</f>
        <v/>
      </c>
      <c r="F433" s="211" t="str">
        <f>IFERROR(VLOOKUP($C433,'PORTIFÓLIO'!C:V,4,0),"")</f>
        <v/>
      </c>
      <c r="G433" s="215" t="str">
        <f>IFERROR(VLOOKUP($C433,'PORTIFÓLIO'!C:V,5,0),"")</f>
        <v/>
      </c>
      <c r="H433" s="254" t="str">
        <f t="array" ref="H433">IFERROR(INDEX('PORTIFÓLIO'!$H$4:$H$433,MATCH($C433,'PORTIFÓLIO'!$C$4:$C$433,0)),"")</f>
        <v/>
      </c>
      <c r="I433" s="256"/>
      <c r="J433" s="218">
        <f t="shared" si="49"/>
        <v>0</v>
      </c>
      <c r="K433" s="292" t="str">
        <f t="array" ref="K433">IFERROR(I433*INDEX('PORTIFÓLIO'!$S$4:$S$433,MATCH($C433,'PORTIFÓLIO'!$C$4:$C$433,0)),"")</f>
        <v/>
      </c>
      <c r="L433" s="292" t="str">
        <f t="array" ref="L433">IFERROR(J433*INDEX('PORTIFÓLIO'!$S$4:$S$433,MATCH($C433,'PORTIFÓLIO'!$C$4:$C$433,0)),"")</f>
        <v/>
      </c>
      <c r="U433" s="79"/>
    </row>
    <row r="434" ht="15.75" customHeight="1" outlineLevel="1">
      <c r="A434" s="211"/>
      <c r="B434" s="212"/>
      <c r="C434" s="213"/>
      <c r="D434" s="214" t="str">
        <f>IFERROR(VLOOKUP($C434,'PORTIFÓLIO'!C:V,2,0),"")</f>
        <v/>
      </c>
      <c r="E434" s="211" t="str">
        <f>IFERROR(VLOOKUP($C434,'PORTIFÓLIO'!C:V,3,0),"")</f>
        <v/>
      </c>
      <c r="F434" s="211" t="str">
        <f>IFERROR(VLOOKUP($C434,'PORTIFÓLIO'!C:V,4,0),"")</f>
        <v/>
      </c>
      <c r="G434" s="215" t="str">
        <f>IFERROR(VLOOKUP($C434,'PORTIFÓLIO'!C:V,5,0),"")</f>
        <v/>
      </c>
      <c r="H434" s="254" t="str">
        <f t="array" ref="H434">IFERROR(INDEX('PORTIFÓLIO'!$H$4:$H$433,MATCH($C434,'PORTIFÓLIO'!$C$4:$C$433,0)),"")</f>
        <v/>
      </c>
      <c r="I434" s="256"/>
      <c r="J434" s="218">
        <f t="shared" si="49"/>
        <v>0</v>
      </c>
      <c r="K434" s="292" t="str">
        <f t="array" ref="K434">IFERROR(I434*INDEX('PORTIFÓLIO'!$S$4:$S$433,MATCH($C434,'PORTIFÓLIO'!$C$4:$C$433,0)),"")</f>
        <v/>
      </c>
      <c r="L434" s="292" t="str">
        <f t="array" ref="L434">IFERROR(J434*INDEX('PORTIFÓLIO'!$S$4:$S$433,MATCH($C434,'PORTIFÓLIO'!$C$4:$C$433,0)),"")</f>
        <v/>
      </c>
      <c r="U434" s="79"/>
    </row>
    <row r="435" ht="15.75" customHeight="1" outlineLevel="1">
      <c r="A435" s="211"/>
      <c r="B435" s="212"/>
      <c r="C435" s="213"/>
      <c r="D435" s="214" t="str">
        <f>IFERROR(VLOOKUP($C435,'PORTIFÓLIO'!C:V,2,0),"")</f>
        <v/>
      </c>
      <c r="E435" s="211" t="str">
        <f>IFERROR(VLOOKUP($C435,'PORTIFÓLIO'!C:V,3,0),"")</f>
        <v/>
      </c>
      <c r="F435" s="211" t="str">
        <f>IFERROR(VLOOKUP($C435,'PORTIFÓLIO'!C:V,4,0),"")</f>
        <v/>
      </c>
      <c r="G435" s="215" t="str">
        <f>IFERROR(VLOOKUP($C435,'PORTIFÓLIO'!C:V,5,0),"")</f>
        <v/>
      </c>
      <c r="H435" s="254" t="str">
        <f t="array" ref="H435">IFERROR(INDEX('PORTIFÓLIO'!$H$4:$H$433,MATCH($C435,'PORTIFÓLIO'!$C$4:$C$433,0)),"")</f>
        <v/>
      </c>
      <c r="I435" s="256"/>
      <c r="J435" s="218">
        <f t="shared" si="49"/>
        <v>0</v>
      </c>
      <c r="K435" s="292" t="str">
        <f t="array" ref="K435">IFERROR(I435*INDEX('PORTIFÓLIO'!$S$4:$S$433,MATCH($C435,'PORTIFÓLIO'!$C$4:$C$433,0)),"")</f>
        <v/>
      </c>
      <c r="L435" s="292" t="str">
        <f t="array" ref="L435">IFERROR(J435*INDEX('PORTIFÓLIO'!$S$4:$S$433,MATCH($C435,'PORTIFÓLIO'!$C$4:$C$433,0)),"")</f>
        <v/>
      </c>
      <c r="U435" s="79"/>
    </row>
    <row r="436" ht="15.75" customHeight="1" outlineLevel="1">
      <c r="A436" s="211"/>
      <c r="B436" s="212"/>
      <c r="C436" s="213"/>
      <c r="D436" s="214" t="str">
        <f>IFERROR(VLOOKUP($C436,'PORTIFÓLIO'!C:V,2,0),"")</f>
        <v/>
      </c>
      <c r="E436" s="211" t="str">
        <f>IFERROR(VLOOKUP($C436,'PORTIFÓLIO'!C:V,3,0),"")</f>
        <v/>
      </c>
      <c r="F436" s="211" t="str">
        <f>IFERROR(VLOOKUP($C436,'PORTIFÓLIO'!C:V,4,0),"")</f>
        <v/>
      </c>
      <c r="G436" s="215" t="str">
        <f>IFERROR(VLOOKUP($C436,'PORTIFÓLIO'!C:V,5,0),"")</f>
        <v/>
      </c>
      <c r="H436" s="254" t="str">
        <f t="array" ref="H436">IFERROR(INDEX('PORTIFÓLIO'!$H$4:$H$433,MATCH($C436,'PORTIFÓLIO'!$C$4:$C$433,0)),"")</f>
        <v/>
      </c>
      <c r="I436" s="256"/>
      <c r="J436" s="218">
        <f t="shared" si="49"/>
        <v>0</v>
      </c>
      <c r="K436" s="292" t="str">
        <f t="array" ref="K436">IFERROR(I436*INDEX('PORTIFÓLIO'!$S$4:$S$433,MATCH($C436,'PORTIFÓLIO'!$C$4:$C$433,0)),"")</f>
        <v/>
      </c>
      <c r="L436" s="292" t="str">
        <f t="array" ref="L436">IFERROR(J436*INDEX('PORTIFÓLIO'!$S$4:$S$433,MATCH($C436,'PORTIFÓLIO'!$C$4:$C$433,0)),"")</f>
        <v/>
      </c>
      <c r="U436" s="79"/>
    </row>
    <row r="437" ht="15.75" customHeight="1" outlineLevel="1">
      <c r="A437" s="211"/>
      <c r="B437" s="212"/>
      <c r="C437" s="213"/>
      <c r="D437" s="214" t="str">
        <f>IFERROR(VLOOKUP($C437,'PORTIFÓLIO'!C:V,2,0),"")</f>
        <v/>
      </c>
      <c r="E437" s="211" t="str">
        <f>IFERROR(VLOOKUP($C437,'PORTIFÓLIO'!C:V,3,0),"")</f>
        <v/>
      </c>
      <c r="F437" s="211" t="str">
        <f>IFERROR(VLOOKUP($C437,'PORTIFÓLIO'!C:V,4,0),"")</f>
        <v/>
      </c>
      <c r="G437" s="215" t="str">
        <f>IFERROR(VLOOKUP($C437,'PORTIFÓLIO'!C:V,5,0),"")</f>
        <v/>
      </c>
      <c r="H437" s="254" t="str">
        <f t="array" ref="H437">IFERROR(INDEX('PORTIFÓLIO'!$H$4:$H$433,MATCH($C437,'PORTIFÓLIO'!$C$4:$C$433,0)),"")</f>
        <v/>
      </c>
      <c r="I437" s="256"/>
      <c r="J437" s="218">
        <f t="shared" si="49"/>
        <v>0</v>
      </c>
      <c r="K437" s="292" t="str">
        <f t="array" ref="K437">IFERROR(I437*INDEX('PORTIFÓLIO'!$S$4:$S$433,MATCH($C437,'PORTIFÓLIO'!$C$4:$C$433,0)),"")</f>
        <v/>
      </c>
      <c r="L437" s="292" t="str">
        <f t="array" ref="L437">IFERROR(J437*INDEX('PORTIFÓLIO'!$S$4:$S$433,MATCH($C437,'PORTIFÓLIO'!$C$4:$C$433,0)),"")</f>
        <v/>
      </c>
      <c r="U437" s="79"/>
    </row>
    <row r="438" ht="15.75" customHeight="1" outlineLevel="1">
      <c r="A438" s="211"/>
      <c r="B438" s="212"/>
      <c r="C438" s="213"/>
      <c r="D438" s="214" t="str">
        <f>IFERROR(VLOOKUP($C438,'PORTIFÓLIO'!C:V,2,0),"")</f>
        <v/>
      </c>
      <c r="E438" s="211" t="str">
        <f>IFERROR(VLOOKUP($C438,'PORTIFÓLIO'!C:V,3,0),"")</f>
        <v/>
      </c>
      <c r="F438" s="211" t="str">
        <f>IFERROR(VLOOKUP($C438,'PORTIFÓLIO'!C:V,4,0),"")</f>
        <v/>
      </c>
      <c r="G438" s="215" t="str">
        <f>IFERROR(VLOOKUP($C438,'PORTIFÓLIO'!C:V,5,0),"")</f>
        <v/>
      </c>
      <c r="H438" s="254" t="str">
        <f t="array" ref="H438">IFERROR(INDEX('PORTIFÓLIO'!$H$4:$H$433,MATCH($C438,'PORTIFÓLIO'!$C$4:$C$433,0)),"")</f>
        <v/>
      </c>
      <c r="I438" s="256"/>
      <c r="J438" s="218">
        <f t="shared" si="49"/>
        <v>0</v>
      </c>
      <c r="K438" s="292" t="str">
        <f t="array" ref="K438">IFERROR(I438*INDEX('PORTIFÓLIO'!$S$4:$S$433,MATCH($C438,'PORTIFÓLIO'!$C$4:$C$433,0)),"")</f>
        <v/>
      </c>
      <c r="L438" s="292" t="str">
        <f t="array" ref="L438">IFERROR(J438*INDEX('PORTIFÓLIO'!$S$4:$S$433,MATCH($C438,'PORTIFÓLIO'!$C$4:$C$433,0)),"")</f>
        <v/>
      </c>
      <c r="U438" s="79"/>
    </row>
    <row r="439" ht="15.75" customHeight="1" outlineLevel="1">
      <c r="A439" s="211"/>
      <c r="B439" s="212"/>
      <c r="C439" s="213"/>
      <c r="D439" s="214" t="str">
        <f>IFERROR(VLOOKUP($C439,'PORTIFÓLIO'!C:V,2,0),"")</f>
        <v/>
      </c>
      <c r="E439" s="211" t="str">
        <f>IFERROR(VLOOKUP($C439,'PORTIFÓLIO'!C:V,3,0),"")</f>
        <v/>
      </c>
      <c r="F439" s="211" t="str">
        <f>IFERROR(VLOOKUP($C439,'PORTIFÓLIO'!C:V,4,0),"")</f>
        <v/>
      </c>
      <c r="G439" s="215" t="str">
        <f>IFERROR(VLOOKUP($C439,'PORTIFÓLIO'!C:V,5,0),"")</f>
        <v/>
      </c>
      <c r="H439" s="254" t="str">
        <f t="array" ref="H439">IFERROR(INDEX('PORTIFÓLIO'!$H$4:$H$433,MATCH($C439,'PORTIFÓLIO'!$C$4:$C$433,0)),"")</f>
        <v/>
      </c>
      <c r="I439" s="256"/>
      <c r="J439" s="218">
        <f t="shared" si="49"/>
        <v>0</v>
      </c>
      <c r="K439" s="292" t="str">
        <f t="array" ref="K439">IFERROR(I439*INDEX('PORTIFÓLIO'!$S$4:$S$433,MATCH($C439,'PORTIFÓLIO'!$C$4:$C$433,0)),"")</f>
        <v/>
      </c>
      <c r="L439" s="292" t="str">
        <f t="array" ref="L439">IFERROR(J439*INDEX('PORTIFÓLIO'!$S$4:$S$433,MATCH($C439,'PORTIFÓLIO'!$C$4:$C$433,0)),"")</f>
        <v/>
      </c>
      <c r="U439" s="79"/>
    </row>
    <row r="440" ht="15.75" customHeight="1" outlineLevel="1">
      <c r="A440" s="211"/>
      <c r="B440" s="212"/>
      <c r="C440" s="213"/>
      <c r="D440" s="214" t="str">
        <f>IFERROR(VLOOKUP($C440,'PORTIFÓLIO'!C:V,2,0),"")</f>
        <v/>
      </c>
      <c r="E440" s="211" t="str">
        <f>IFERROR(VLOOKUP($C440,'PORTIFÓLIO'!C:V,3,0),"")</f>
        <v/>
      </c>
      <c r="F440" s="211" t="str">
        <f>IFERROR(VLOOKUP($C440,'PORTIFÓLIO'!C:V,4,0),"")</f>
        <v/>
      </c>
      <c r="G440" s="215" t="str">
        <f>IFERROR(VLOOKUP($C440,'PORTIFÓLIO'!C:V,5,0),"")</f>
        <v/>
      </c>
      <c r="H440" s="254" t="str">
        <f t="array" ref="H440">IFERROR(INDEX('PORTIFÓLIO'!$H$4:$H$433,MATCH($C440,'PORTIFÓLIO'!$C$4:$C$433,0)),"")</f>
        <v/>
      </c>
      <c r="I440" s="256"/>
      <c r="J440" s="218">
        <f t="shared" si="49"/>
        <v>0</v>
      </c>
      <c r="K440" s="292" t="str">
        <f t="array" ref="K440">IFERROR(I440*INDEX('PORTIFÓLIO'!$S$4:$S$433,MATCH($C440,'PORTIFÓLIO'!$C$4:$C$433,0)),"")</f>
        <v/>
      </c>
      <c r="L440" s="292" t="str">
        <f t="array" ref="L440">IFERROR(J440*INDEX('PORTIFÓLIO'!$S$4:$S$433,MATCH($C440,'PORTIFÓLIO'!$C$4:$C$433,0)),"")</f>
        <v/>
      </c>
      <c r="U440" s="79"/>
    </row>
    <row r="441" ht="15.75" customHeight="1" outlineLevel="1">
      <c r="A441" s="211"/>
      <c r="B441" s="212"/>
      <c r="C441" s="213"/>
      <c r="D441" s="214" t="str">
        <f>IFERROR(VLOOKUP($C441,'PORTIFÓLIO'!C:V,2,0),"")</f>
        <v/>
      </c>
      <c r="E441" s="211" t="str">
        <f>IFERROR(VLOOKUP($C441,'PORTIFÓLIO'!C:V,3,0),"")</f>
        <v/>
      </c>
      <c r="F441" s="211" t="str">
        <f>IFERROR(VLOOKUP($C441,'PORTIFÓLIO'!C:V,4,0),"")</f>
        <v/>
      </c>
      <c r="G441" s="215" t="str">
        <f>IFERROR(VLOOKUP($C441,'PORTIFÓLIO'!C:V,5,0),"")</f>
        <v/>
      </c>
      <c r="H441" s="254" t="str">
        <f t="array" ref="H441">IFERROR(INDEX('PORTIFÓLIO'!$H$4:$H$433,MATCH($C441,'PORTIFÓLIO'!$C$4:$C$433,0)),"")</f>
        <v/>
      </c>
      <c r="I441" s="256"/>
      <c r="J441" s="218">
        <f t="shared" si="49"/>
        <v>0</v>
      </c>
      <c r="K441" s="292" t="str">
        <f t="array" ref="K441">IFERROR(I441*INDEX('PORTIFÓLIO'!$S$4:$S$433,MATCH($C441,'PORTIFÓLIO'!$C$4:$C$433,0)),"")</f>
        <v/>
      </c>
      <c r="L441" s="292" t="str">
        <f t="array" ref="L441">IFERROR(J441*INDEX('PORTIFÓLIO'!$S$4:$S$433,MATCH($C441,'PORTIFÓLIO'!$C$4:$C$433,0)),"")</f>
        <v/>
      </c>
      <c r="U441" s="79"/>
    </row>
    <row r="442" ht="15.75" customHeight="1" outlineLevel="1">
      <c r="A442" s="211"/>
      <c r="B442" s="212"/>
      <c r="C442" s="213"/>
      <c r="D442" s="214" t="str">
        <f>IFERROR(VLOOKUP($C442,'PORTIFÓLIO'!C:V,2,0),"")</f>
        <v/>
      </c>
      <c r="E442" s="211" t="str">
        <f>IFERROR(VLOOKUP($C442,'PORTIFÓLIO'!C:V,3,0),"")</f>
        <v/>
      </c>
      <c r="F442" s="211" t="str">
        <f>IFERROR(VLOOKUP($C442,'PORTIFÓLIO'!C:V,4,0),"")</f>
        <v/>
      </c>
      <c r="G442" s="215" t="str">
        <f>IFERROR(VLOOKUP($C442,'PORTIFÓLIO'!C:V,5,0),"")</f>
        <v/>
      </c>
      <c r="H442" s="254" t="str">
        <f t="array" ref="H442">IFERROR(INDEX('PORTIFÓLIO'!$H$4:$H$433,MATCH($C442,'PORTIFÓLIO'!$C$4:$C$433,0)),"")</f>
        <v/>
      </c>
      <c r="I442" s="256"/>
      <c r="J442" s="218">
        <f t="shared" si="49"/>
        <v>0</v>
      </c>
      <c r="K442" s="292" t="str">
        <f t="array" ref="K442">IFERROR(I442*INDEX('PORTIFÓLIO'!$S$4:$S$433,MATCH($C442,'PORTIFÓLIO'!$C$4:$C$433,0)),"")</f>
        <v/>
      </c>
      <c r="L442" s="292" t="str">
        <f t="array" ref="L442">IFERROR(J442*INDEX('PORTIFÓLIO'!$S$4:$S$433,MATCH($C442,'PORTIFÓLIO'!$C$4:$C$433,0)),"")</f>
        <v/>
      </c>
      <c r="U442" s="79"/>
    </row>
    <row r="443" ht="15.75" customHeight="1" outlineLevel="1">
      <c r="A443" s="211"/>
      <c r="B443" s="227"/>
      <c r="C443" s="211"/>
      <c r="D443" s="214" t="str">
        <f>IFERROR(VLOOKUP($C443,'PORTIFÓLIO'!C:V,2,0),"")</f>
        <v/>
      </c>
      <c r="E443" s="211" t="str">
        <f>IFERROR(VLOOKUP($C443,'PORTIFÓLIO'!C:V,3,0),"")</f>
        <v/>
      </c>
      <c r="F443" s="211" t="str">
        <f>IFERROR(VLOOKUP($C443,'PORTIFÓLIO'!C:V,4,0),"")</f>
        <v/>
      </c>
      <c r="G443" s="215" t="str">
        <f>IFERROR(VLOOKUP($C443,'PORTIFÓLIO'!C:V,5,0),"")</f>
        <v/>
      </c>
      <c r="H443" s="254" t="str">
        <f t="array" ref="H443">IFERROR(INDEX('PORTIFÓLIO'!$H$4:$H$433,MATCH($C443,'PORTIFÓLIO'!$C$4:$C$433,0)),"")</f>
        <v/>
      </c>
      <c r="I443" s="256"/>
      <c r="J443" s="218">
        <f t="shared" si="49"/>
        <v>0</v>
      </c>
      <c r="K443" s="292" t="str">
        <f t="array" ref="K443">IFERROR(I443*INDEX('PORTIFÓLIO'!$S$4:$S$433,MATCH($C443,'PORTIFÓLIO'!$C$4:$C$433,0)),"")</f>
        <v/>
      </c>
      <c r="L443" s="292" t="str">
        <f t="array" ref="L443">IFERROR(J443*INDEX('PORTIFÓLIO'!$S$4:$S$433,MATCH($C443,'PORTIFÓLIO'!$C$4:$C$433,0)),"")</f>
        <v/>
      </c>
      <c r="U443" s="79"/>
    </row>
    <row r="444" ht="15.75" customHeight="1" outlineLevel="1">
      <c r="A444" s="211"/>
      <c r="B444" s="227"/>
      <c r="C444" s="211"/>
      <c r="D444" s="214" t="str">
        <f>IFERROR(VLOOKUP($C444,'PORTIFÓLIO'!C:V,2,0),"")</f>
        <v/>
      </c>
      <c r="E444" s="211" t="str">
        <f>IFERROR(VLOOKUP($C444,'PORTIFÓLIO'!C:V,3,0),"")</f>
        <v/>
      </c>
      <c r="F444" s="211" t="str">
        <f>IFERROR(VLOOKUP($C444,'PORTIFÓLIO'!C:V,4,0),"")</f>
        <v/>
      </c>
      <c r="G444" s="215" t="str">
        <f>IFERROR(VLOOKUP($C444,'PORTIFÓLIO'!C:V,5,0),"")</f>
        <v/>
      </c>
      <c r="H444" s="254" t="str">
        <f t="array" ref="H444">IFERROR(INDEX('PORTIFÓLIO'!$H$4:$H$433,MATCH($C444,'PORTIFÓLIO'!$C$4:$C$433,0)),"")</f>
        <v/>
      </c>
      <c r="I444" s="256"/>
      <c r="J444" s="218">
        <f t="shared" si="49"/>
        <v>0</v>
      </c>
      <c r="K444" s="292" t="str">
        <f t="array" ref="K444">IFERROR(I444*INDEX('PORTIFÓLIO'!$S$4:$S$433,MATCH($C444,'PORTIFÓLIO'!$C$4:$C$433,0)),"")</f>
        <v/>
      </c>
      <c r="L444" s="292" t="str">
        <f t="array" ref="L444">IFERROR(J444*INDEX('PORTIFÓLIO'!$S$4:$S$433,MATCH($C444,'PORTIFÓLIO'!$C$4:$C$433,0)),"")</f>
        <v/>
      </c>
      <c r="U444" s="79"/>
    </row>
    <row r="445" ht="15.75" customHeight="1" outlineLevel="1">
      <c r="A445" s="211"/>
      <c r="B445" s="227"/>
      <c r="C445" s="211"/>
      <c r="D445" s="214" t="str">
        <f>IFERROR(VLOOKUP($C445,'PORTIFÓLIO'!C:V,2,0),"")</f>
        <v/>
      </c>
      <c r="E445" s="211" t="str">
        <f>IFERROR(VLOOKUP($C445,'PORTIFÓLIO'!C:V,3,0),"")</f>
        <v/>
      </c>
      <c r="F445" s="211" t="str">
        <f>IFERROR(VLOOKUP($C445,'PORTIFÓLIO'!C:V,4,0),"")</f>
        <v/>
      </c>
      <c r="G445" s="215" t="str">
        <f>IFERROR(VLOOKUP($C445,'PORTIFÓLIO'!C:V,5,0),"")</f>
        <v/>
      </c>
      <c r="H445" s="254" t="str">
        <f t="array" ref="H445">IFERROR(INDEX('PORTIFÓLIO'!$H$4:$H$433,MATCH($C445,'PORTIFÓLIO'!$C$4:$C$433,0)),"")</f>
        <v/>
      </c>
      <c r="I445" s="256"/>
      <c r="J445" s="218">
        <f t="shared" si="49"/>
        <v>0</v>
      </c>
      <c r="K445" s="292" t="str">
        <f t="array" ref="K445">IFERROR(I445*INDEX('PORTIFÓLIO'!$S$4:$S$433,MATCH($C445,'PORTIFÓLIO'!$C$4:$C$433,0)),"")</f>
        <v/>
      </c>
      <c r="L445" s="292" t="str">
        <f t="array" ref="L445">IFERROR(J445*INDEX('PORTIFÓLIO'!$S$4:$S$433,MATCH($C445,'PORTIFÓLIO'!$C$4:$C$433,0)),"")</f>
        <v/>
      </c>
      <c r="U445" s="79"/>
    </row>
    <row r="446" ht="15.75" customHeight="1" outlineLevel="1">
      <c r="A446" s="211"/>
      <c r="B446" s="227"/>
      <c r="C446" s="211"/>
      <c r="D446" s="214" t="str">
        <f>IFERROR(VLOOKUP($C446,'PORTIFÓLIO'!C:V,2,0),"")</f>
        <v/>
      </c>
      <c r="E446" s="211" t="str">
        <f>IFERROR(VLOOKUP($C446,'PORTIFÓLIO'!C:V,3,0),"")</f>
        <v/>
      </c>
      <c r="F446" s="211" t="str">
        <f>IFERROR(VLOOKUP($C446,'PORTIFÓLIO'!C:V,4,0),"")</f>
        <v/>
      </c>
      <c r="G446" s="215" t="str">
        <f>IFERROR(VLOOKUP($C446,'PORTIFÓLIO'!C:V,5,0),"")</f>
        <v/>
      </c>
      <c r="H446" s="254" t="str">
        <f t="array" ref="H446">IFERROR(INDEX('PORTIFÓLIO'!$H$4:$H$433,MATCH($C446,'PORTIFÓLIO'!$C$4:$C$433,0)),"")</f>
        <v/>
      </c>
      <c r="I446" s="256"/>
      <c r="J446" s="218">
        <f t="shared" si="49"/>
        <v>0</v>
      </c>
      <c r="K446" s="292" t="str">
        <f t="array" ref="K446">IFERROR(I446*INDEX('PORTIFÓLIO'!$S$4:$S$433,MATCH($C446,'PORTIFÓLIO'!$C$4:$C$433,0)),"")</f>
        <v/>
      </c>
      <c r="L446" s="292" t="str">
        <f t="array" ref="L446">IFERROR(J446*INDEX('PORTIFÓLIO'!$S$4:$S$433,MATCH($C446,'PORTIFÓLIO'!$C$4:$C$433,0)),"")</f>
        <v/>
      </c>
      <c r="U446" s="79"/>
    </row>
    <row r="447" ht="15.75" customHeight="1" outlineLevel="1">
      <c r="A447" s="211"/>
      <c r="B447" s="227"/>
      <c r="C447" s="211"/>
      <c r="D447" s="214" t="str">
        <f>IFERROR(VLOOKUP($C447,'PORTIFÓLIO'!C:V,2,0),"")</f>
        <v/>
      </c>
      <c r="E447" s="211" t="str">
        <f>IFERROR(VLOOKUP($C447,'PORTIFÓLIO'!C:V,3,0),"")</f>
        <v/>
      </c>
      <c r="F447" s="211" t="str">
        <f>IFERROR(VLOOKUP($C447,'PORTIFÓLIO'!C:V,4,0),"")</f>
        <v/>
      </c>
      <c r="G447" s="215" t="str">
        <f>IFERROR(VLOOKUP($C447,'PORTIFÓLIO'!C:V,5,0),"")</f>
        <v/>
      </c>
      <c r="H447" s="254" t="str">
        <f t="array" ref="H447">IFERROR(INDEX('PORTIFÓLIO'!$H$4:$H$433,MATCH($C447,'PORTIFÓLIO'!$C$4:$C$433,0)),"")</f>
        <v/>
      </c>
      <c r="I447" s="256"/>
      <c r="J447" s="218">
        <f t="shared" si="49"/>
        <v>0</v>
      </c>
      <c r="K447" s="292" t="str">
        <f t="array" ref="K447">IFERROR(I447*INDEX('PORTIFÓLIO'!$S$4:$S$433,MATCH($C447,'PORTIFÓLIO'!$C$4:$C$433,0)),"")</f>
        <v/>
      </c>
      <c r="L447" s="292" t="str">
        <f t="array" ref="L447">IFERROR(J447*INDEX('PORTIFÓLIO'!$S$4:$S$433,MATCH($C447,'PORTIFÓLIO'!$C$4:$C$433,0)),"")</f>
        <v/>
      </c>
      <c r="U447" s="79"/>
    </row>
    <row r="448" ht="15.75" customHeight="1" outlineLevel="1">
      <c r="A448" s="211"/>
      <c r="B448" s="227"/>
      <c r="C448" s="211"/>
      <c r="D448" s="214" t="str">
        <f>IFERROR(VLOOKUP($C448,'PORTIFÓLIO'!C:V,2,0),"")</f>
        <v/>
      </c>
      <c r="E448" s="211" t="str">
        <f>IFERROR(VLOOKUP($C448,'PORTIFÓLIO'!C:V,3,0),"")</f>
        <v/>
      </c>
      <c r="F448" s="211" t="str">
        <f>IFERROR(VLOOKUP($C448,'PORTIFÓLIO'!C:V,4,0),"")</f>
        <v/>
      </c>
      <c r="G448" s="215" t="str">
        <f>IFERROR(VLOOKUP($C448,'PORTIFÓLIO'!C:V,5,0),"")</f>
        <v/>
      </c>
      <c r="H448" s="254" t="str">
        <f t="array" ref="H448">IFERROR(INDEX('PORTIFÓLIO'!$H$4:$H$433,MATCH($C448,'PORTIFÓLIO'!$C$4:$C$433,0)),"")</f>
        <v/>
      </c>
      <c r="I448" s="256"/>
      <c r="J448" s="218">
        <f t="shared" si="49"/>
        <v>0</v>
      </c>
      <c r="K448" s="292" t="str">
        <f t="array" ref="K448">IFERROR(I448*INDEX('PORTIFÓLIO'!$S$4:$S$433,MATCH($C448,'PORTIFÓLIO'!$C$4:$C$433,0)),"")</f>
        <v/>
      </c>
      <c r="L448" s="292" t="str">
        <f t="array" ref="L448">IFERROR(J448*INDEX('PORTIFÓLIO'!$S$4:$S$433,MATCH($C448,'PORTIFÓLIO'!$C$4:$C$433,0)),"")</f>
        <v/>
      </c>
      <c r="U448" s="79"/>
    </row>
    <row r="449" ht="15.75" customHeight="1" outlineLevel="1">
      <c r="A449" s="211"/>
      <c r="B449" s="227"/>
      <c r="C449" s="211"/>
      <c r="D449" s="214" t="str">
        <f>IFERROR(VLOOKUP($C449,'PORTIFÓLIO'!C:V,2,0),"")</f>
        <v/>
      </c>
      <c r="E449" s="211" t="str">
        <f>IFERROR(VLOOKUP($C449,'PORTIFÓLIO'!C:V,3,0),"")</f>
        <v/>
      </c>
      <c r="F449" s="211" t="str">
        <f>IFERROR(VLOOKUP($C449,'PORTIFÓLIO'!C:V,4,0),"")</f>
        <v/>
      </c>
      <c r="G449" s="215" t="str">
        <f>IFERROR(VLOOKUP($C449,'PORTIFÓLIO'!C:V,5,0),"")</f>
        <v/>
      </c>
      <c r="H449" s="254" t="str">
        <f t="array" ref="H449">IFERROR(INDEX('PORTIFÓLIO'!$H$4:$H$433,MATCH($C449,'PORTIFÓLIO'!$C$4:$C$433,0)),"")</f>
        <v/>
      </c>
      <c r="I449" s="256"/>
      <c r="J449" s="218">
        <f t="shared" si="49"/>
        <v>0</v>
      </c>
      <c r="K449" s="292" t="str">
        <f t="array" ref="K449">IFERROR(I449*INDEX('PORTIFÓLIO'!$S$4:$S$433,MATCH($C449,'PORTIFÓLIO'!$C$4:$C$433,0)),"")</f>
        <v/>
      </c>
      <c r="L449" s="292" t="str">
        <f t="array" ref="L449">IFERROR(J449*INDEX('PORTIFÓLIO'!$S$4:$S$433,MATCH($C449,'PORTIFÓLIO'!$C$4:$C$433,0)),"")</f>
        <v/>
      </c>
      <c r="U449" s="79"/>
    </row>
    <row r="450" ht="15.75" customHeight="1" outlineLevel="1">
      <c r="A450" s="211"/>
      <c r="B450" s="227"/>
      <c r="C450" s="211"/>
      <c r="D450" s="214" t="str">
        <f>IFERROR(VLOOKUP($C450,'PORTIFÓLIO'!C:V,2,0),"")</f>
        <v/>
      </c>
      <c r="E450" s="211" t="str">
        <f>IFERROR(VLOOKUP($C450,'PORTIFÓLIO'!C:V,3,0),"")</f>
        <v/>
      </c>
      <c r="F450" s="211" t="str">
        <f>IFERROR(VLOOKUP($C450,'PORTIFÓLIO'!C:V,4,0),"")</f>
        <v/>
      </c>
      <c r="G450" s="215" t="str">
        <f>IFERROR(VLOOKUP($C450,'PORTIFÓLIO'!C:V,5,0),"")</f>
        <v/>
      </c>
      <c r="H450" s="254" t="str">
        <f t="array" ref="H450">IFERROR(INDEX('PORTIFÓLIO'!$H$4:$H$433,MATCH($C450,'PORTIFÓLIO'!$C$4:$C$433,0)),"")</f>
        <v/>
      </c>
      <c r="I450" s="256"/>
      <c r="J450" s="218">
        <f t="shared" si="49"/>
        <v>0</v>
      </c>
      <c r="K450" s="292" t="str">
        <f t="array" ref="K450">IFERROR(I450*INDEX('PORTIFÓLIO'!$S$4:$S$433,MATCH($C450,'PORTIFÓLIO'!$C$4:$C$433,0)),"")</f>
        <v/>
      </c>
      <c r="L450" s="292" t="str">
        <f t="array" ref="L450">IFERROR(J450*INDEX('PORTIFÓLIO'!$S$4:$S$433,MATCH($C450,'PORTIFÓLIO'!$C$4:$C$433,0)),"")</f>
        <v/>
      </c>
      <c r="U450" s="79"/>
    </row>
    <row r="451" ht="15.75" customHeight="1" outlineLevel="1">
      <c r="A451" s="211"/>
      <c r="B451" s="227"/>
      <c r="C451" s="211"/>
      <c r="D451" s="214" t="str">
        <f>IFERROR(VLOOKUP($C451,'PORTIFÓLIO'!C:V,2,0),"")</f>
        <v/>
      </c>
      <c r="E451" s="211" t="str">
        <f>IFERROR(VLOOKUP($C451,'PORTIFÓLIO'!C:V,3,0),"")</f>
        <v/>
      </c>
      <c r="F451" s="211" t="str">
        <f>IFERROR(VLOOKUP($C451,'PORTIFÓLIO'!C:V,4,0),"")</f>
        <v/>
      </c>
      <c r="G451" s="215" t="str">
        <f>IFERROR(VLOOKUP($C451,'PORTIFÓLIO'!C:V,5,0),"")</f>
        <v/>
      </c>
      <c r="H451" s="254" t="str">
        <f t="array" ref="H451">IFERROR(INDEX('PORTIFÓLIO'!$H$4:$H$433,MATCH($C451,'PORTIFÓLIO'!$C$4:$C$433,0)),"")</f>
        <v/>
      </c>
      <c r="I451" s="256"/>
      <c r="J451" s="218">
        <f t="shared" si="49"/>
        <v>0</v>
      </c>
      <c r="K451" s="292" t="str">
        <f t="array" ref="K451">IFERROR(I451*INDEX('PORTIFÓLIO'!$S$4:$S$433,MATCH($C451,'PORTIFÓLIO'!$C$4:$C$433,0)),"")</f>
        <v/>
      </c>
      <c r="L451" s="292" t="str">
        <f t="array" ref="L451">IFERROR(J451*INDEX('PORTIFÓLIO'!$S$4:$S$433,MATCH($C451,'PORTIFÓLIO'!$C$4:$C$433,0)),"")</f>
        <v/>
      </c>
      <c r="U451" s="79"/>
    </row>
    <row r="452" ht="15.75" customHeight="1">
      <c r="A452" s="227"/>
      <c r="B452" s="227"/>
      <c r="C452" s="227"/>
      <c r="D452" s="227"/>
      <c r="E452" s="227"/>
      <c r="F452" s="227"/>
      <c r="G452" s="215"/>
      <c r="H452" s="227"/>
      <c r="I452" s="227"/>
      <c r="J452" s="227"/>
      <c r="K452" s="293">
        <f t="shared" ref="K452:L452" si="50">SUBTOTAL(9,K237:K427)</f>
        <v>0</v>
      </c>
      <c r="L452" s="293">
        <f t="shared" si="50"/>
        <v>0</v>
      </c>
      <c r="U452" s="79"/>
    </row>
    <row r="453" ht="15.75" customHeight="1">
      <c r="U453" s="79"/>
    </row>
    <row r="454" ht="15.75" customHeight="1">
      <c r="U454" s="79"/>
    </row>
    <row r="455" ht="15.75" customHeight="1">
      <c r="U455" s="79"/>
    </row>
    <row r="456" ht="15.75" customHeight="1">
      <c r="U456" s="79"/>
    </row>
    <row r="457" ht="15.75" customHeight="1">
      <c r="U457" s="79"/>
    </row>
    <row r="458" ht="15.75" customHeight="1">
      <c r="U458" s="79"/>
    </row>
    <row r="459" ht="15.75" customHeight="1">
      <c r="U459" s="79"/>
    </row>
    <row r="460" ht="15.75" customHeight="1">
      <c r="U460" s="79"/>
    </row>
    <row r="461" ht="15.75" customHeight="1">
      <c r="U461" s="79"/>
    </row>
    <row r="462" ht="15.75" customHeight="1">
      <c r="U462" s="79"/>
    </row>
    <row r="463" ht="15.75" customHeight="1">
      <c r="U463" s="79"/>
    </row>
    <row r="464" ht="15.75" customHeight="1">
      <c r="U464" s="79"/>
    </row>
    <row r="465" ht="15.75" customHeight="1">
      <c r="U465" s="79"/>
    </row>
    <row r="466" ht="15.75" customHeight="1">
      <c r="U466" s="79"/>
    </row>
    <row r="467" ht="15.75" customHeight="1">
      <c r="U467" s="79"/>
    </row>
    <row r="468" ht="15.75" customHeight="1">
      <c r="U468" s="79"/>
    </row>
    <row r="469" ht="15.75" customHeight="1">
      <c r="U469" s="79"/>
    </row>
    <row r="470" ht="15.75" customHeight="1">
      <c r="U470" s="79"/>
    </row>
    <row r="471" ht="15.75" customHeight="1">
      <c r="U471" s="79"/>
    </row>
    <row r="472" ht="15.75" customHeight="1">
      <c r="U472" s="79"/>
    </row>
    <row r="473" ht="15.75" customHeight="1">
      <c r="U473" s="79"/>
    </row>
    <row r="474" ht="15.75" customHeight="1">
      <c r="U474" s="79"/>
    </row>
    <row r="475" ht="15.75" customHeight="1">
      <c r="U475" s="79"/>
    </row>
    <row r="476" ht="15.75" customHeight="1">
      <c r="U476" s="79"/>
    </row>
    <row r="477" ht="15.75" customHeight="1">
      <c r="U477" s="79"/>
    </row>
    <row r="478" ht="15.75" customHeight="1">
      <c r="U478" s="79"/>
    </row>
    <row r="479" ht="15.75" customHeight="1">
      <c r="U479" s="79"/>
    </row>
    <row r="480" ht="15.75" customHeight="1">
      <c r="U480" s="79"/>
    </row>
    <row r="481" ht="15.75" customHeight="1">
      <c r="U481" s="79"/>
    </row>
    <row r="482" ht="15.75" customHeight="1">
      <c r="U482" s="79"/>
    </row>
    <row r="483" ht="15.75" customHeight="1">
      <c r="U483" s="79"/>
    </row>
    <row r="484" ht="15.75" customHeight="1">
      <c r="U484" s="79"/>
    </row>
    <row r="485" ht="15.75" customHeight="1">
      <c r="U485" s="79"/>
    </row>
    <row r="486" ht="15.75" customHeight="1">
      <c r="U486" s="79"/>
    </row>
    <row r="487" ht="15.75" customHeight="1">
      <c r="U487" s="79"/>
    </row>
    <row r="488" ht="15.75" customHeight="1">
      <c r="U488" s="79"/>
    </row>
    <row r="489" ht="15.75" customHeight="1">
      <c r="U489" s="79"/>
    </row>
    <row r="490" ht="15.75" customHeight="1">
      <c r="U490" s="79"/>
    </row>
    <row r="491" ht="15.75" customHeight="1">
      <c r="U491" s="79"/>
    </row>
    <row r="492" ht="15.75" customHeight="1">
      <c r="U492" s="79"/>
    </row>
    <row r="493" ht="15.75" customHeight="1">
      <c r="U493" s="79"/>
    </row>
    <row r="494" ht="15.75" customHeight="1">
      <c r="U494" s="79"/>
    </row>
    <row r="495" ht="15.75" customHeight="1">
      <c r="U495" s="79"/>
    </row>
    <row r="496" ht="15.75" customHeight="1">
      <c r="U496" s="79"/>
    </row>
    <row r="497" ht="15.75" customHeight="1">
      <c r="U497" s="79"/>
    </row>
    <row r="498" ht="15.75" customHeight="1">
      <c r="U498" s="79"/>
    </row>
    <row r="499" ht="15.75" customHeight="1">
      <c r="U499" s="79"/>
    </row>
    <row r="500" ht="15.75" customHeight="1">
      <c r="U500" s="79"/>
    </row>
    <row r="501" ht="15.75" customHeight="1">
      <c r="U501" s="79"/>
    </row>
    <row r="502" ht="15.75" customHeight="1">
      <c r="U502" s="79"/>
    </row>
    <row r="503" ht="15.75" customHeight="1">
      <c r="U503" s="79"/>
    </row>
    <row r="504" ht="15.75" customHeight="1">
      <c r="U504" s="79"/>
    </row>
    <row r="505" ht="15.75" customHeight="1">
      <c r="U505" s="79"/>
    </row>
    <row r="506" ht="15.75" customHeight="1">
      <c r="U506" s="79"/>
    </row>
    <row r="507" ht="15.75" customHeight="1">
      <c r="U507" s="79"/>
    </row>
    <row r="508" ht="15.75" customHeight="1">
      <c r="U508" s="79"/>
    </row>
    <row r="509" ht="15.75" customHeight="1">
      <c r="U509" s="79"/>
    </row>
    <row r="510" ht="15.75" customHeight="1">
      <c r="U510" s="79"/>
    </row>
    <row r="511" ht="15.75" customHeight="1">
      <c r="U511" s="79"/>
    </row>
    <row r="512" ht="15.75" customHeight="1">
      <c r="U512" s="79"/>
    </row>
    <row r="513" ht="15.75" customHeight="1">
      <c r="U513" s="79"/>
    </row>
    <row r="514" ht="15.75" customHeight="1">
      <c r="U514" s="79"/>
    </row>
    <row r="515" ht="15.75" customHeight="1">
      <c r="U515" s="79"/>
    </row>
    <row r="516" ht="15.75" customHeight="1">
      <c r="U516" s="79"/>
    </row>
    <row r="517" ht="15.75" customHeight="1">
      <c r="U517" s="79"/>
    </row>
    <row r="518" ht="15.75" customHeight="1">
      <c r="U518" s="79"/>
    </row>
    <row r="519" ht="15.75" customHeight="1">
      <c r="U519" s="79"/>
    </row>
    <row r="520" ht="15.75" customHeight="1">
      <c r="U520" s="79"/>
    </row>
    <row r="521" ht="15.75" customHeight="1">
      <c r="U521" s="79"/>
    </row>
    <row r="522" ht="15.75" customHeight="1">
      <c r="U522" s="79"/>
    </row>
    <row r="523" ht="15.75" customHeight="1">
      <c r="U523" s="79"/>
    </row>
    <row r="524" ht="15.75" customHeight="1">
      <c r="U524" s="79"/>
    </row>
    <row r="525" ht="15.75" customHeight="1">
      <c r="U525" s="79"/>
    </row>
    <row r="526" ht="15.75" customHeight="1">
      <c r="U526" s="79"/>
    </row>
    <row r="527" ht="15.75" customHeight="1">
      <c r="U527" s="79"/>
    </row>
    <row r="528" ht="15.75" customHeight="1">
      <c r="U528" s="79"/>
    </row>
    <row r="529" ht="15.75" customHeight="1">
      <c r="U529" s="79"/>
    </row>
    <row r="530" ht="15.75" customHeight="1">
      <c r="U530" s="79"/>
    </row>
    <row r="531" ht="15.75" customHeight="1">
      <c r="U531" s="79"/>
    </row>
    <row r="532" ht="15.75" customHeight="1">
      <c r="U532" s="79"/>
    </row>
    <row r="533" ht="15.75" customHeight="1">
      <c r="U533" s="79"/>
    </row>
    <row r="534" ht="15.75" customHeight="1">
      <c r="U534" s="79"/>
    </row>
    <row r="535" ht="15.75" customHeight="1">
      <c r="U535" s="79"/>
    </row>
    <row r="536" ht="15.75" customHeight="1">
      <c r="U536" s="79"/>
    </row>
    <row r="537" ht="15.75" customHeight="1">
      <c r="U537" s="79"/>
    </row>
    <row r="538" ht="15.75" customHeight="1">
      <c r="U538" s="79"/>
    </row>
    <row r="539" ht="15.75" customHeight="1">
      <c r="U539" s="79"/>
    </row>
    <row r="540" ht="15.75" customHeight="1">
      <c r="U540" s="79"/>
    </row>
    <row r="541" ht="15.75" customHeight="1">
      <c r="U541" s="79"/>
    </row>
    <row r="542" ht="15.75" customHeight="1">
      <c r="U542" s="79"/>
    </row>
    <row r="543" ht="15.75" customHeight="1">
      <c r="U543" s="79"/>
    </row>
    <row r="544" ht="15.75" customHeight="1">
      <c r="U544" s="79"/>
    </row>
    <row r="545" ht="15.75" customHeight="1">
      <c r="U545" s="79"/>
    </row>
    <row r="546" ht="15.75" customHeight="1">
      <c r="U546" s="79"/>
    </row>
    <row r="547" ht="15.75" customHeight="1">
      <c r="U547" s="79"/>
    </row>
    <row r="548" ht="15.75" customHeight="1">
      <c r="U548" s="79"/>
    </row>
    <row r="549" ht="15.75" customHeight="1">
      <c r="U549" s="79"/>
    </row>
    <row r="550" ht="15.75" customHeight="1">
      <c r="U550" s="79"/>
    </row>
    <row r="551" ht="15.75" customHeight="1">
      <c r="U551" s="79"/>
    </row>
    <row r="552" ht="15.75" customHeight="1">
      <c r="U552" s="79"/>
    </row>
    <row r="553" ht="15.75" customHeight="1">
      <c r="U553" s="79"/>
    </row>
    <row r="554" ht="15.75" customHeight="1">
      <c r="U554" s="79"/>
    </row>
    <row r="555" ht="15.75" customHeight="1">
      <c r="U555" s="79"/>
    </row>
    <row r="556" ht="15.75" customHeight="1">
      <c r="U556" s="79"/>
    </row>
    <row r="557" ht="15.75" customHeight="1">
      <c r="U557" s="79"/>
    </row>
    <row r="558" ht="15.75" customHeight="1">
      <c r="U558" s="79"/>
    </row>
    <row r="559" ht="15.75" customHeight="1">
      <c r="U559" s="79"/>
    </row>
    <row r="560" ht="15.75" customHeight="1">
      <c r="U560" s="79"/>
    </row>
    <row r="561" ht="15.75" customHeight="1">
      <c r="U561" s="79"/>
    </row>
    <row r="562" ht="15.75" customHeight="1">
      <c r="U562" s="79"/>
    </row>
    <row r="563" ht="15.75" customHeight="1">
      <c r="U563" s="79"/>
    </row>
    <row r="564" ht="15.75" customHeight="1">
      <c r="U564" s="79"/>
    </row>
    <row r="565" ht="15.75" customHeight="1">
      <c r="U565" s="79"/>
    </row>
    <row r="566" ht="15.75" customHeight="1">
      <c r="U566" s="79"/>
    </row>
    <row r="567" ht="15.75" customHeight="1">
      <c r="U567" s="79"/>
    </row>
    <row r="568" ht="15.75" customHeight="1">
      <c r="U568" s="79"/>
    </row>
    <row r="569" ht="15.75" customHeight="1">
      <c r="U569" s="79"/>
    </row>
    <row r="570" ht="15.75" customHeight="1">
      <c r="U570" s="79"/>
    </row>
    <row r="571" ht="15.75" customHeight="1">
      <c r="U571" s="79"/>
    </row>
    <row r="572" ht="15.75" customHeight="1">
      <c r="U572" s="79"/>
    </row>
    <row r="573" ht="15.75" customHeight="1">
      <c r="U573" s="79"/>
    </row>
    <row r="574" ht="15.75" customHeight="1">
      <c r="U574" s="79"/>
    </row>
    <row r="575" ht="15.75" customHeight="1">
      <c r="U575" s="79"/>
    </row>
    <row r="576" ht="15.75" customHeight="1">
      <c r="U576" s="79"/>
    </row>
    <row r="577" ht="15.75" customHeight="1">
      <c r="U577" s="79"/>
    </row>
    <row r="578" ht="15.75" customHeight="1">
      <c r="U578" s="79"/>
    </row>
    <row r="579" ht="15.75" customHeight="1">
      <c r="U579" s="79"/>
    </row>
    <row r="580" ht="15.75" customHeight="1">
      <c r="U580" s="79"/>
    </row>
    <row r="581" ht="15.75" customHeight="1">
      <c r="U581" s="79"/>
    </row>
    <row r="582" ht="15.75" customHeight="1">
      <c r="U582" s="79"/>
    </row>
    <row r="583" ht="15.75" customHeight="1">
      <c r="U583" s="79"/>
    </row>
    <row r="584" ht="15.75" customHeight="1">
      <c r="U584" s="79"/>
    </row>
    <row r="585" ht="15.75" customHeight="1">
      <c r="U585" s="79"/>
    </row>
    <row r="586" ht="15.75" customHeight="1">
      <c r="U586" s="79"/>
    </row>
    <row r="587" ht="15.75" customHeight="1">
      <c r="U587" s="79"/>
    </row>
    <row r="588" ht="15.75" customHeight="1">
      <c r="U588" s="79"/>
    </row>
    <row r="589" ht="15.75" customHeight="1">
      <c r="U589" s="79"/>
    </row>
    <row r="590" ht="15.75" customHeight="1">
      <c r="U590" s="79"/>
    </row>
    <row r="591" ht="15.75" customHeight="1">
      <c r="U591" s="79"/>
    </row>
    <row r="592" ht="15.75" customHeight="1">
      <c r="U592" s="79"/>
    </row>
    <row r="593" ht="15.75" customHeight="1">
      <c r="U593" s="79"/>
    </row>
    <row r="594" ht="15.75" customHeight="1">
      <c r="U594" s="79"/>
    </row>
    <row r="595" ht="15.75" customHeight="1">
      <c r="U595" s="79"/>
    </row>
    <row r="596" ht="15.75" customHeight="1">
      <c r="U596" s="79"/>
    </row>
    <row r="597" ht="15.75" customHeight="1">
      <c r="U597" s="79"/>
    </row>
    <row r="598" ht="15.75" customHeight="1">
      <c r="U598" s="79"/>
    </row>
    <row r="599" ht="15.75" customHeight="1">
      <c r="U599" s="79"/>
    </row>
    <row r="600" ht="15.75" customHeight="1">
      <c r="U600" s="79"/>
    </row>
    <row r="601" ht="15.75" customHeight="1">
      <c r="U601" s="79"/>
    </row>
    <row r="602" ht="15.75" customHeight="1">
      <c r="U602" s="79"/>
    </row>
    <row r="603" ht="15.75" customHeight="1">
      <c r="U603" s="79"/>
    </row>
    <row r="604" ht="15.75" customHeight="1">
      <c r="U604" s="79"/>
    </row>
    <row r="605" ht="15.75" customHeight="1">
      <c r="U605" s="79"/>
    </row>
    <row r="606" ht="15.75" customHeight="1">
      <c r="U606" s="79"/>
    </row>
    <row r="607" ht="15.75" customHeight="1">
      <c r="U607" s="79"/>
    </row>
    <row r="608" ht="15.75" customHeight="1">
      <c r="U608" s="79"/>
    </row>
    <row r="609" ht="15.75" customHeight="1">
      <c r="U609" s="79"/>
    </row>
    <row r="610" ht="15.75" customHeight="1">
      <c r="U610" s="79"/>
    </row>
    <row r="611" ht="15.75" customHeight="1">
      <c r="U611" s="79"/>
    </row>
    <row r="612" ht="15.75" customHeight="1">
      <c r="U612" s="79"/>
    </row>
    <row r="613" ht="15.75" customHeight="1">
      <c r="U613" s="79"/>
    </row>
    <row r="614" ht="15.75" customHeight="1">
      <c r="U614" s="79"/>
    </row>
    <row r="615" ht="15.75" customHeight="1">
      <c r="U615" s="79"/>
    </row>
    <row r="616" ht="15.75" customHeight="1">
      <c r="U616" s="79"/>
    </row>
    <row r="617" ht="15.75" customHeight="1">
      <c r="U617" s="79"/>
    </row>
    <row r="618" ht="15.75" customHeight="1">
      <c r="U618" s="79"/>
    </row>
    <row r="619" ht="15.75" customHeight="1">
      <c r="U619" s="79"/>
    </row>
    <row r="620" ht="15.75" customHeight="1">
      <c r="U620" s="79"/>
    </row>
    <row r="621" ht="15.75" customHeight="1">
      <c r="U621" s="79"/>
    </row>
    <row r="622" ht="15.75" customHeight="1">
      <c r="U622" s="79"/>
    </row>
    <row r="623" ht="15.75" customHeight="1">
      <c r="U623" s="79"/>
    </row>
    <row r="624" ht="15.75" customHeight="1">
      <c r="U624" s="79"/>
    </row>
    <row r="625" ht="15.75" customHeight="1">
      <c r="U625" s="79"/>
    </row>
    <row r="626" ht="15.75" customHeight="1">
      <c r="U626" s="79"/>
    </row>
    <row r="627" ht="15.75" customHeight="1">
      <c r="U627" s="79"/>
    </row>
    <row r="628" ht="15.75" customHeight="1">
      <c r="U628" s="79"/>
    </row>
    <row r="629" ht="15.75" customHeight="1">
      <c r="U629" s="79"/>
    </row>
    <row r="630" ht="15.75" customHeight="1">
      <c r="U630" s="79"/>
    </row>
    <row r="631" ht="15.75" customHeight="1">
      <c r="U631" s="79"/>
    </row>
    <row r="632" ht="15.75" customHeight="1">
      <c r="U632" s="79"/>
    </row>
    <row r="633" ht="15.75" customHeight="1">
      <c r="U633" s="79"/>
    </row>
    <row r="634" ht="15.75" customHeight="1">
      <c r="U634" s="79"/>
    </row>
    <row r="635" ht="15.75" customHeight="1">
      <c r="U635" s="79"/>
    </row>
    <row r="636" ht="15.75" customHeight="1">
      <c r="U636" s="79"/>
    </row>
    <row r="637" ht="15.75" customHeight="1">
      <c r="U637" s="79"/>
    </row>
    <row r="638" ht="15.75" customHeight="1">
      <c r="U638" s="79"/>
    </row>
    <row r="639" ht="15.75" customHeight="1">
      <c r="U639" s="79"/>
    </row>
    <row r="640" ht="15.75" customHeight="1">
      <c r="U640" s="79"/>
    </row>
    <row r="641" ht="15.75" customHeight="1">
      <c r="U641" s="79"/>
    </row>
    <row r="642" ht="15.75" customHeight="1">
      <c r="U642" s="79"/>
    </row>
    <row r="643" ht="15.75" customHeight="1">
      <c r="U643" s="79"/>
    </row>
    <row r="644" ht="15.75" customHeight="1">
      <c r="U644" s="79"/>
    </row>
    <row r="645" ht="15.75" customHeight="1">
      <c r="U645" s="79"/>
    </row>
    <row r="646" ht="15.75" customHeight="1">
      <c r="U646" s="79"/>
    </row>
    <row r="647" ht="15.75" customHeight="1">
      <c r="U647" s="79"/>
    </row>
    <row r="648" ht="15.75" customHeight="1">
      <c r="U648" s="79"/>
    </row>
    <row r="649" ht="15.75" customHeight="1">
      <c r="U649" s="79"/>
    </row>
    <row r="650" ht="15.75" customHeight="1">
      <c r="U650" s="79"/>
    </row>
    <row r="651" ht="15.75" customHeight="1">
      <c r="U651" s="79"/>
    </row>
    <row r="652" ht="15.75" customHeight="1">
      <c r="U652" s="79"/>
    </row>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K10:L224 K237:L451">
    <cfRule type="cellIs" dxfId="9" priority="1" operator="equal">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2">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3">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4">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5">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6">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7">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8">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9">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0">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1">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2">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3">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4">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5">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6">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7">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8">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9">
      <colorScale>
        <cfvo type="min"/>
        <cfvo type="percentile" val="50"/>
        <cfvo type="max"/>
        <color rgb="FF63BE7B"/>
        <color rgb="FFFCFCFF"/>
        <color rgb="FFF8696B"/>
      </colorScale>
    </cfRule>
  </conditionalFormatting>
  <conditionalFormatting sqref="A64:A67 A82:A85 A98:A101 A115:A118 A132:A135 A149:A152 A166:A169 A183:A186 A201:A204 A290:A294 A309:A312 A325:A328 A342:A345 A359:A362 A376:A379 A393:A396 A410:A413 A428:A431">
    <cfRule type="colorScale" priority="20">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1">
      <colorScale>
        <cfvo type="min"/>
        <cfvo type="percentile" val="50"/>
        <cfvo type="max"/>
        <color rgb="FF63BE7B"/>
        <color rgb="FFFCFCFF"/>
        <color rgb="FFF8696B"/>
      </colorScale>
    </cfRule>
  </conditionalFormatting>
  <conditionalFormatting sqref="A67:A68 A86 A102 A119 A136 A153 A170 A187 A205 A294:A295 A313 A329 A346 A363 A380 A397 A414 A432">
    <cfRule type="colorScale" priority="22">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3">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4">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5">
      <colorScale>
        <cfvo type="min"/>
        <cfvo type="percentile" val="50"/>
        <cfvo type="max"/>
        <color rgb="FF63BE7B"/>
        <color rgb="FFFCFCFF"/>
        <color rgb="FFF8696B"/>
      </colorScale>
    </cfRule>
  </conditionalFormatting>
  <conditionalFormatting sqref="A82:A86 A98:A102 A115:A119 A132:A136 A149:A153 A166:A170 A183:A187 A201:A205 A290 A309:A313 A325:A329 A342:A346 A359:A363 A376:A380 A393:A397 A410:A414 A428:A432">
    <cfRule type="colorScale" priority="26">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7">
      <colorScale>
        <cfvo type="min"/>
        <cfvo type="percentile" val="50"/>
        <cfvo type="max"/>
        <color rgb="FF63BE7B"/>
        <color rgb="FFFCFCFF"/>
        <color rgb="FFF8696B"/>
      </colorScale>
    </cfRule>
  </conditionalFormatting>
  <conditionalFormatting sqref="A87 A103 A120 A137 A154 A171 A188 A206 A314 A330 A347 A364 A381 A398 A415 A433">
    <cfRule type="colorScale" priority="28">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9">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0">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1">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2">
      <colorScale>
        <cfvo type="min"/>
        <cfvo type="percentile" val="50"/>
        <cfvo type="max"/>
        <color rgb="FF63BE7B"/>
        <color rgb="FFFCFCFF"/>
        <color rgb="FFF8696B"/>
      </colorScale>
    </cfRule>
  </conditionalFormatting>
  <conditionalFormatting sqref="A81:A84 A97:A100 A114:A117 A131:A134 A148:A151 A165:A168 A182:A185 A200:A203 A308:A311 A324:A327 A341:A344 A358:A361 A375:A378 A392:A395 A409:A412 A427:A430">
    <cfRule type="colorScale" priority="33">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4">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5">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6">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7">
      <colorScale>
        <cfvo type="min"/>
        <cfvo type="percentile" val="50"/>
        <cfvo type="max"/>
        <color rgb="FF63BE7B"/>
        <color rgb="FFFCFCFF"/>
        <color rgb="FFF8696B"/>
      </colorScale>
    </cfRule>
  </conditionalFormatting>
  <conditionalFormatting sqref="A82:A84 A98:A100 A115:A117 A132:A134 A149:A151 A166:A168 A183:A185 A201:A203 A309:A311 A325:A327 A342:A344 A359:A361 A376:A378 A393:A395 A410:A412 A428:A430">
    <cfRule type="colorScale" priority="38">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9">
      <colorScale>
        <cfvo type="min"/>
        <cfvo type="percentile" val="50"/>
        <cfvo type="max"/>
        <color rgb="FF63BE7B"/>
        <color rgb="FFFCFCFF"/>
        <color rgb="FFF8696B"/>
      </colorScale>
    </cfRule>
  </conditionalFormatting>
  <conditionalFormatting sqref="A85 A101 A118 A135 A152 A169 A186 A204 A312 A328 A345 A362 A379 A396 A413 A431">
    <cfRule type="colorScale" priority="40">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1">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42">
      <colorScale>
        <cfvo type="min"/>
        <cfvo type="percentile" val="50"/>
        <cfvo type="max"/>
        <color rgb="FF63BE7B"/>
        <color rgb="FFFFEB84"/>
        <color rgb="FFF8696B"/>
      </colorScale>
    </cfRule>
  </conditionalFormatting>
  <conditionalFormatting sqref="A98 A325">
    <cfRule type="colorScale" priority="43">
      <colorScale>
        <cfvo type="min"/>
        <cfvo type="percentile" val="50"/>
        <cfvo type="max"/>
        <color rgb="FF63BE7B"/>
        <color rgb="FFFCFCFF"/>
        <color rgb="FFF8696B"/>
      </colorScale>
    </cfRule>
  </conditionalFormatting>
  <conditionalFormatting sqref="A98 A325">
    <cfRule type="colorScale" priority="44">
      <colorScale>
        <cfvo type="min"/>
        <cfvo type="percentile" val="50"/>
        <cfvo type="max"/>
        <color rgb="FF63BE7B"/>
        <color rgb="FFFFEB84"/>
        <color rgb="FFF8696B"/>
      </colorScale>
    </cfRule>
  </conditionalFormatting>
  <conditionalFormatting sqref="A99 A326">
    <cfRule type="colorScale" priority="45">
      <colorScale>
        <cfvo type="min"/>
        <cfvo type="percentile" val="50"/>
        <cfvo type="max"/>
        <color rgb="FF63BE7B"/>
        <color rgb="FFFFEB84"/>
        <color rgb="FFF8696B"/>
      </colorScale>
    </cfRule>
  </conditionalFormatting>
  <conditionalFormatting sqref="A100:A104 A327:A331">
    <cfRule type="colorScale" priority="46">
      <colorScale>
        <cfvo type="min"/>
        <cfvo type="percentile" val="50"/>
        <cfvo type="max"/>
        <color rgb="FF63BE7B"/>
        <color rgb="FFFFEB84"/>
        <color rgb="FFF8696B"/>
      </colorScale>
    </cfRule>
  </conditionalFormatting>
  <conditionalFormatting sqref="A115 A342">
    <cfRule type="colorScale" priority="47">
      <colorScale>
        <cfvo type="min"/>
        <cfvo type="percentile" val="50"/>
        <cfvo type="max"/>
        <color rgb="FF63BE7B"/>
        <color rgb="FFFCFCFF"/>
        <color rgb="FFF8696B"/>
      </colorScale>
    </cfRule>
  </conditionalFormatting>
  <conditionalFormatting sqref="A115 A342">
    <cfRule type="colorScale" priority="48">
      <colorScale>
        <cfvo type="min"/>
        <cfvo type="percentile" val="50"/>
        <cfvo type="max"/>
        <color rgb="FF63BE7B"/>
        <color rgb="FFFFEB84"/>
        <color rgb="FFF8696B"/>
      </colorScale>
    </cfRule>
  </conditionalFormatting>
  <conditionalFormatting sqref="A116:A129 A343:A356">
    <cfRule type="colorScale" priority="49">
      <colorScale>
        <cfvo type="min"/>
        <cfvo type="percentile" val="50"/>
        <cfvo type="max"/>
        <color rgb="FF63BE7B"/>
        <color rgb="FFFFEB84"/>
        <color rgb="FFF8696B"/>
      </colorScale>
    </cfRule>
  </conditionalFormatting>
  <conditionalFormatting sqref="A132:A133 A359:A360">
    <cfRule type="colorScale" priority="50">
      <colorScale>
        <cfvo type="min"/>
        <cfvo type="percentile" val="50"/>
        <cfvo type="max"/>
        <color rgb="FF63BE7B"/>
        <color rgb="FFFFEB84"/>
        <color rgb="FFF8696B"/>
      </colorScale>
    </cfRule>
  </conditionalFormatting>
  <conditionalFormatting sqref="A149:A163 A376:A390">
    <cfRule type="colorScale" priority="51">
      <colorScale>
        <cfvo type="min"/>
        <cfvo type="percentile" val="50"/>
        <cfvo type="max"/>
        <color rgb="FF63BE7B"/>
        <color rgb="FFFFEB84"/>
        <color rgb="FFF8696B"/>
      </colorScale>
    </cfRule>
  </conditionalFormatting>
  <conditionalFormatting sqref="A166:A180 A393:A407">
    <cfRule type="colorScale" priority="52">
      <colorScale>
        <cfvo type="min"/>
        <cfvo type="percentile" val="50"/>
        <cfvo type="max"/>
        <color rgb="FF63BE7B"/>
        <color rgb="FFFFEB84"/>
        <color rgb="FFF8696B"/>
      </colorScale>
    </cfRule>
  </conditionalFormatting>
  <conditionalFormatting sqref="A183:A185 A410:A412">
    <cfRule type="colorScale" priority="53">
      <colorScale>
        <cfvo type="min"/>
        <cfvo type="percentile" val="50"/>
        <cfvo type="max"/>
        <color rgb="FF63BE7B"/>
        <color rgb="FFFFEB84"/>
        <color rgb="FFF8696B"/>
      </colorScale>
    </cfRule>
  </conditionalFormatting>
  <conditionalFormatting sqref="A201:A203 A428:A430">
    <cfRule type="colorScale" priority="54">
      <colorScale>
        <cfvo type="min"/>
        <cfvo type="percentile" val="50"/>
        <cfvo type="max"/>
        <color rgb="FF63BE7B"/>
        <color rgb="FFFFEB84"/>
        <color rgb="FFF8696B"/>
      </colorScale>
    </cfRule>
  </conditionalFormatting>
  <conditionalFormatting sqref="A208:A210 A435:A437">
    <cfRule type="colorScale" priority="55">
      <colorScale>
        <cfvo type="min"/>
        <cfvo type="percentile" val="50"/>
        <cfvo type="max"/>
        <color rgb="FF63BE7B"/>
        <color rgb="FFFFEB84"/>
        <color rgb="FFF8696B"/>
      </colorScale>
    </cfRule>
  </conditionalFormatting>
  <conditionalFormatting sqref="A211:A224 A438:A451">
    <cfRule type="colorScale" priority="56">
      <colorScale>
        <cfvo type="min"/>
        <cfvo type="percentile" val="50"/>
        <cfvo type="max"/>
        <color rgb="FF63BE7B"/>
        <color rgb="FFFFEB84"/>
        <color rgb="FFF8696B"/>
      </colorScale>
    </cfRule>
  </conditionalFormatting>
  <conditionalFormatting sqref="J10:L224 J237:L451">
    <cfRule type="cellIs" dxfId="8" priority="57" operator="equal">
      <formula>0</formula>
    </cfRule>
  </conditionalFormatting>
  <dataValidations>
    <dataValidation type="list" allowBlank="1" sqref="C12:C14 C87 C137 C152 C154 C169 C171 C204 C206 C241 C243 C256 C258 C275 C277 C294 C296 C312 C314 C328 C330 C345 C347 C362 C364 C379 C381 C396 C398 C413 C415 C431 C433">
      <formula1>"I-ACTIVE,MAP,KCL 60%,05-37-00,10-46-00 + S,08-42-00,SSP 21,03-15-07 +14%CO,URÉIA,SULFATO DE AMÔNIO,BOROGRAN,SUPER DUO,08-40-00 - 100M,AURUS 500,00-01-00+Cu2 Mn8 Zn7"</formula1>
    </dataValidation>
    <dataValidation type="list" allowBlank="1" sqref="C183">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formula1>
    </dataValidation>
    <dataValidation type="list" allowBlank="1" sqref="C67">
      <formula1>"UTRISHA N,PRESENCE FULL,Now Lock,Now Guard,Now Force,Now Raze,Now Bolt,Now Active,Now React,Now Cover,Now Pulse,Now Sprint,Bio Az,Bio ND,Tec Catp Pro,Bio Elipso,Tec Bug,Solu Shield,Solu Strong,Solu Leaf,Bio Hidric,Bio Bokashi,Bio Oil,Carbon Pro,Essencial "&amp;"Mg,Expelir,Primafert,Reserva,Tec Catp Pro Kit On-farm,Tec Bug Kit On-farm,Solu Shield Kit On-farm,Solu Strong Kit On-farm,Solu Leaf Kit On-farm,Bio Hidric Kit On-farm,Bio Bokashi Kit On-farm,Tec White Kit On-farm,Bio Solubilize Kit On-farm,Bio Release Kit"&amp;" On-farm,Bio Raiz Plus Kit On-farm,Bio Balance Kit On-farm,SoluBio Raiz Performance Kit On-farm,Tec Isaria Kit On-farm"</formula1>
    </dataValidation>
    <dataValidation type="list" allowBlank="1" sqref="C26:C27 C45:C47 C82:C83">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type="custom" allowBlank="1" showDropDown="1" sqref="G10:L224 G237:L451">
      <formula1>AND(ISNUMBER(G10),(NOT(OR(NOT(ISERROR(DATEVALUE(G10))), AND(ISNUMBER(G10), LEFT(CELL("format", G10))="D")))))</formula1>
    </dataValidation>
    <dataValidation type="list" allowBlank="1" sqref="C28 C48 C85 C103 C120 C135 C151 C167">
      <formula1>"RUMBA,ASSIST,MEES,AUREO,JOINT ULTRA,ADGREEN,ENERGIC,EXTRAVON,OCHIMA"</formula1>
    </dataValidation>
    <dataValidation type="list" allowBlank="1" sqref="C33 C52 C89 C105 C139 C156 C166 C173 C190 C202 C208 C245 C254 C260 C273 C279 C292 C298 C310 C316 C326 C332 C343 C349 C360 C366 C377 C383 C394 C400 C411 C417 C429 C435">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type="list" allowBlank="1" sqref="C17:C18">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formula1>
    </dataValidation>
    <dataValidation type="list" allowBlank="1" sqref="C29:C30 C49 C100:C102 C118:C119 C134">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type="list" allowBlank="1" sqref="C20:C24 C43 C62 C80 C247:C251 C270 C289 C307">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type="list" allowBlank="1" sqref="C11 C88 C138 C155 C172 C207 C244 C259 C278 C297 C315 C331 C348 C365 C382 C399 C416 C434">
      <formula1>"CALCÁRIO DOLOMITICO,GESSO AGRICOLA"</formula1>
    </dataValidation>
    <dataValidation type="list" allowBlank="1" sqref="C19">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formula1>
    </dataValidation>
    <dataValidation type="list" allowBlank="1" sqref="C86 C136 C153 C170 C205 C242 C257 C272 C276 C291 C295 C309 C313 C325 C329 C342 C346 C359 C363 C376 C380 C393 C397 C410 C414 C432">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type="list" allowBlank="1" sqref="C64">
      <formula1>"FEIJÃO,SEMENTE TRIGO,SEMENTE MILHO,MG540PWU,MG711PWU,MG616PWU,P3707PWU,P39209PWU,P40537PWU,FS650PWU,SEMENTE SOJA CV,OLIMPO,M8349,CORDIUS C2795 CE,HERA I2X,SPARTA 8.0,CORDIUS C2795 CE 7.9,IMPETO,NEO 790,APORÉ 7.3,GUAPÓ 7.7,MITICA 7.7,TMG MURICI I2X 7.6,DOM"&amp;"ÍNIO 8.4,LENDA,BRASMAX HERA,BRASMAX OLIMPO,S6525 I2X,TMG ITAÚBA I2X,SEMENTE SOJA RR,BRACHIARIA RUZIZIENCES,CAPIM MIAGE,TMG INGÁ I2X 6.9,TMG 2383 IPRO 8.3,BRACHIARIA BASICA,GH 2478 IPRO 8.1,HO COCARI I2X 8.2,SEMENTE DE SORGO"</formula1>
    </dataValidation>
    <dataValidation type="list" allowBlank="1" sqref="C50 C71">
      <formula1>"RADIFARM,MEGAFOL,OCTABORATO,BOP,METAL NUTRE,MONIC,AP MAGNÉSIO,GRANO KMG,AP MANGANÊS,AMINOS Mn,MICROBOX,ACRESECENT ALGA,RAIZ F,ACRESCENTE SOLUS F,SALUT,MATRIZ D,BRAVERO,Glyfort,Fergsum,Spander,Halattus,Sallvare Complex,Zinctaus Complex,Emezine Complex,Bora"&amp;"tus Complex,Magmill Complex,Brave K,Brave Max Up,MAX RAIZ,Polyamine,Sulfato de Magnésio,Map Purificado,MANGAN 10,NHT ZINCO,KELLUS CUPPER,MOLIBIDENIO 16,ZINCO 10,Potenza NiCoMo"</formula1>
    </dataValidation>
    <dataValidation type="list" allowBlank="1" sqref="C31">
      <formula1>"RUMBA,ASSIST,MEES,AUREO EC,JOINT ULTRA,ENERGIC,EXTRAVON,OCHIMA,STRIDES"</formula1>
    </dataValidation>
    <dataValidation type="list" allowBlank="1" sqref="C84 C98:C99 C104 C115:C117 C132:C133 C149:C150">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type="list" allowBlank="1" sqref="C68:C70">
      <formula1>"UTRISHA N,PRESENCE FULL,Now Lock,Now Guard,Now Force,Now Raze,Now Bolt,Now Active,Now React,Now Cover,Now Pulse,Now Sprint,Bio Az,Bio ND,Tec Catp Pro,Bio Elipso,Tec Bug,Solu Shield,Solu Strong,Solu Leaf,Bio Hidric,Bio Bokashi,Bio Oil,Carbon Pro,Essencial "&amp;"Mg,Expelir,Potenza NiCoMo,Primafert,Reserva,Tec White,Bio Solubilize,Bio Release,Bio Raiz Plus,Bio Balance,SoluBio Raiz Performance,Tec Isaria"</formula1>
    </dataValidation>
    <dataValidation type="list" allowBlank="1" showErrorMessage="1" sqref="B10:B224 B237:B451">
      <formula1>#REF!</formula1>
    </dataValidation>
    <dataValidation type="list" allowBlank="1" sqref="C65:C66 C168 C203 C240 C255 C274 C293 C311 C327 C344 C361 C378 C395 C412 C430">
      <formula1>"SOMBRERO,STANDAK TOP,CROPSTAR,DERMACOR,PERMIT STAR,PRESENCE FULL,PLUST,CRUISER 350 FS,CRUISER ADVANCED,FORTENZA 600 FS,MAXIM ADVANCED,MAXIM XL,SPECTRO,BIOZYME,NIMAXXA,VITAVAX-THIRAM 200 SC"</formula1>
    </dataValidation>
    <dataValidation type="list" allowBlank="1" sqref="C184:C189">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formula1>
    </dataValidation>
    <dataValidation type="list" allowBlank="1" sqref="C34 C53:C54 C59 C72:C73 C90:C91 C96 C106:C107 C112 C123:C124 C129 C140:C141 C146 C157:C158 C163 C174:C175 C180 C191:C192 C197 C209:C210 C215 C246 C253 C261:C262 C267 C280:C281 C286 C299:C300 C317:C318 C323 C333:C334 C339 C350:C351 C356 C367:C368 C373 C384:C385 C390 C401:C402 C407 C418:C419 C424 C436:C437 C442">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display="ÁREA PLANTIO" location="'ÁREA PLANTIO'!A1" ref="F1"/>
    <hyperlink display="ÁREA PLANTIO" location="'ÁREA PLANTIO'!A1" ref="F227"/>
  </hyperlinks>
  <printOptions/>
  <pageMargins bottom="0.787401575" footer="0.0" header="0.0" left="0.511811024" right="0.511811024" top="0.787401575"/>
  <pageSetup orientation="landscape"/>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13.88"/>
    <col customWidth="1" min="2" max="2" width="22.75"/>
    <col customWidth="1" min="3" max="3" width="33.63"/>
    <col customWidth="1" min="4" max="4" width="40.25"/>
    <col customWidth="1" min="5" max="5" width="20.13"/>
    <col customWidth="1" min="6" max="6" width="13.13"/>
    <col customWidth="1" min="7" max="7" width="13.75"/>
    <col customWidth="1" min="8" max="9" width="10.38"/>
    <col customWidth="1" min="10" max="10" width="14.0"/>
    <col customWidth="1" min="11" max="23" width="14.38"/>
  </cols>
  <sheetData>
    <row r="1" ht="15.75" customHeight="1">
      <c r="A1" s="260" t="s">
        <v>1203</v>
      </c>
      <c r="B1" s="261" t="str">
        <f>'ÁREA PLANTIO'!B6</f>
        <v>ÁREA 3</v>
      </c>
      <c r="C1" s="262" t="s">
        <v>1166</v>
      </c>
      <c r="D1" s="263">
        <f>$K$225</f>
        <v>1741.328599</v>
      </c>
      <c r="E1" s="264"/>
      <c r="F1" s="265" t="s">
        <v>1167</v>
      </c>
      <c r="G1" s="266"/>
      <c r="H1" s="267"/>
      <c r="I1" s="267"/>
      <c r="J1" s="267"/>
      <c r="K1" s="266"/>
      <c r="L1" s="220"/>
      <c r="M1" s="220"/>
      <c r="N1" s="220"/>
      <c r="O1" s="220"/>
      <c r="P1" s="220"/>
      <c r="Q1" s="220"/>
      <c r="R1" s="220"/>
      <c r="S1" s="220"/>
      <c r="T1" s="220"/>
      <c r="U1" s="220"/>
      <c r="V1" s="220"/>
      <c r="W1" s="220"/>
    </row>
    <row r="2" ht="15.75" customHeight="1">
      <c r="A2" s="260" t="s">
        <v>1168</v>
      </c>
      <c r="B2" s="268">
        <f>'ÁREA PLANTIO'!E6</f>
        <v>60</v>
      </c>
      <c r="C2" s="269" t="s">
        <v>1169</v>
      </c>
      <c r="D2" s="270">
        <f>'ÁREA PLANTIO'!D6</f>
        <v>70</v>
      </c>
      <c r="E2" s="264"/>
      <c r="F2" s="264"/>
      <c r="G2" s="266"/>
      <c r="H2" s="267"/>
      <c r="I2" s="267"/>
      <c r="J2" s="267"/>
      <c r="K2" s="266"/>
      <c r="L2" s="220"/>
      <c r="M2" s="220"/>
      <c r="N2" s="220"/>
      <c r="O2" s="220"/>
      <c r="P2" s="220"/>
      <c r="Q2" s="220"/>
      <c r="R2" s="220"/>
      <c r="S2" s="220"/>
      <c r="T2" s="220"/>
      <c r="U2" s="220"/>
      <c r="V2" s="220"/>
      <c r="W2" s="220"/>
    </row>
    <row r="3" ht="15.75" customHeight="1">
      <c r="A3" s="260" t="s">
        <v>1170</v>
      </c>
      <c r="B3" s="267" t="str">
        <f>'ÁREA PLANTIO'!C6</f>
        <v>FA-SOJA SEQUEIRO-26/27</v>
      </c>
      <c r="C3" s="269" t="s">
        <v>1171</v>
      </c>
      <c r="D3" s="271">
        <f>D1/D2</f>
        <v>24.87612284</v>
      </c>
      <c r="E3" s="264"/>
      <c r="F3" s="264"/>
      <c r="G3" s="266"/>
      <c r="H3" s="267"/>
      <c r="I3" s="267"/>
      <c r="J3" s="267"/>
      <c r="K3" s="266"/>
      <c r="L3" s="220"/>
      <c r="M3" s="220"/>
      <c r="N3" s="220"/>
      <c r="O3" s="220"/>
      <c r="P3" s="220"/>
      <c r="Q3" s="220"/>
      <c r="R3" s="220"/>
      <c r="S3" s="220"/>
      <c r="T3" s="220"/>
      <c r="U3" s="220"/>
      <c r="V3" s="220"/>
      <c r="W3" s="220"/>
    </row>
    <row r="4" ht="15.75" customHeight="1">
      <c r="A4" s="272" t="s">
        <v>1172</v>
      </c>
      <c r="B4" s="273">
        <v>45606.0</v>
      </c>
      <c r="C4" s="274"/>
      <c r="D4" s="275"/>
      <c r="E4" s="276"/>
      <c r="F4" s="264"/>
      <c r="G4" s="266"/>
      <c r="H4" s="267"/>
      <c r="I4" s="267"/>
      <c r="J4" s="267"/>
      <c r="K4" s="266"/>
      <c r="L4" s="220"/>
      <c r="M4" s="220"/>
      <c r="N4" s="220"/>
      <c r="O4" s="220"/>
      <c r="P4" s="220"/>
      <c r="Q4" s="220"/>
      <c r="R4" s="220"/>
      <c r="S4" s="220"/>
      <c r="T4" s="220"/>
      <c r="U4" s="220"/>
      <c r="V4" s="220"/>
      <c r="W4" s="220"/>
    </row>
    <row r="5" ht="15.75" customHeight="1">
      <c r="E5" s="277"/>
      <c r="F5" s="264"/>
      <c r="G5" s="266"/>
      <c r="H5" s="267"/>
      <c r="I5" s="267"/>
      <c r="J5" s="267"/>
      <c r="K5" s="266"/>
      <c r="L5" s="220"/>
      <c r="M5" s="220"/>
      <c r="N5" s="220"/>
      <c r="O5" s="220"/>
      <c r="P5" s="220"/>
      <c r="Q5" s="220"/>
      <c r="R5" s="220"/>
      <c r="S5" s="220"/>
      <c r="T5" s="220"/>
      <c r="U5" s="220"/>
      <c r="V5" s="220"/>
      <c r="W5" s="220"/>
    </row>
    <row r="6" ht="15.75" customHeight="1">
      <c r="A6" s="260"/>
      <c r="B6" s="267"/>
      <c r="C6" s="264"/>
      <c r="D6" s="264"/>
      <c r="E6" s="264"/>
      <c r="F6" s="264"/>
      <c r="G6" s="266"/>
      <c r="H6" s="267"/>
      <c r="I6" s="267"/>
      <c r="J6" s="267"/>
      <c r="K6" s="266"/>
      <c r="L6" s="220"/>
      <c r="M6" s="220"/>
      <c r="N6" s="220"/>
      <c r="O6" s="220"/>
      <c r="P6" s="220"/>
      <c r="Q6" s="220"/>
      <c r="R6" s="220"/>
      <c r="S6" s="220"/>
      <c r="T6" s="220"/>
      <c r="U6" s="220"/>
      <c r="V6" s="220"/>
      <c r="W6" s="220"/>
    </row>
    <row r="7" ht="15.75" customHeight="1">
      <c r="A7" s="267"/>
      <c r="B7" s="267"/>
      <c r="C7" s="264"/>
      <c r="D7" s="264"/>
      <c r="E7" s="264"/>
      <c r="F7" s="264"/>
      <c r="G7" s="266"/>
      <c r="H7" s="267"/>
      <c r="I7" s="267"/>
      <c r="J7" s="267"/>
      <c r="K7" s="266"/>
      <c r="L7" s="220"/>
      <c r="M7" s="220"/>
      <c r="N7" s="220"/>
      <c r="O7" s="220"/>
      <c r="P7" s="220"/>
      <c r="Q7" s="220"/>
      <c r="R7" s="220"/>
      <c r="S7" s="220"/>
      <c r="T7" s="220"/>
      <c r="U7" s="220"/>
      <c r="V7" s="220"/>
      <c r="W7" s="220"/>
    </row>
    <row r="8" ht="15.75" customHeight="1">
      <c r="A8" s="267"/>
      <c r="B8" s="267"/>
      <c r="C8" s="267"/>
      <c r="D8" s="267"/>
      <c r="E8" s="264"/>
      <c r="F8" s="264"/>
      <c r="G8" s="266"/>
      <c r="H8" s="267"/>
      <c r="I8" s="267"/>
      <c r="J8" s="267"/>
      <c r="K8" s="266"/>
      <c r="L8" s="220"/>
      <c r="M8" s="220"/>
      <c r="N8" s="220"/>
      <c r="O8" s="220"/>
      <c r="P8" s="220"/>
      <c r="Q8" s="220"/>
      <c r="R8" s="220"/>
      <c r="S8" s="220"/>
      <c r="T8" s="220"/>
      <c r="U8" s="220"/>
      <c r="V8" s="220"/>
      <c r="W8" s="220"/>
    </row>
    <row r="9" ht="15.75" customHeight="1">
      <c r="A9" s="211" t="s">
        <v>1173</v>
      </c>
      <c r="B9" s="213" t="s">
        <v>1174</v>
      </c>
      <c r="C9" s="213" t="s">
        <v>1175</v>
      </c>
      <c r="D9" s="211" t="s">
        <v>1176</v>
      </c>
      <c r="E9" s="211" t="s">
        <v>1177</v>
      </c>
      <c r="F9" s="211" t="s">
        <v>1178</v>
      </c>
      <c r="G9" s="278" t="s">
        <v>1179</v>
      </c>
      <c r="H9" s="278" t="s">
        <v>1180</v>
      </c>
      <c r="I9" s="278" t="s">
        <v>1181</v>
      </c>
      <c r="J9" s="279" t="s">
        <v>1134</v>
      </c>
      <c r="K9" s="280" t="s">
        <v>1182</v>
      </c>
      <c r="L9" s="281" t="s">
        <v>339</v>
      </c>
      <c r="M9" s="220"/>
      <c r="N9" s="220"/>
      <c r="O9" s="220"/>
      <c r="P9" s="220"/>
      <c r="Q9" s="220"/>
      <c r="R9" s="220"/>
      <c r="S9" s="220"/>
      <c r="T9" s="220"/>
      <c r="U9" s="220"/>
      <c r="V9" s="220"/>
      <c r="W9" s="220"/>
    </row>
    <row r="10" ht="15.75" customHeight="1">
      <c r="A10" s="231" t="s">
        <v>1183</v>
      </c>
      <c r="B10" s="230"/>
      <c r="C10" s="231"/>
      <c r="D10" s="232" t="s">
        <v>216</v>
      </c>
      <c r="E10" s="231"/>
      <c r="F10" s="231"/>
      <c r="G10" s="233"/>
      <c r="H10" s="282"/>
      <c r="I10" s="258"/>
      <c r="J10" s="236"/>
      <c r="K10" s="237">
        <f t="shared" ref="K10:L10" si="1">SUBTOTAL(9,K11:K24)</f>
        <v>0</v>
      </c>
      <c r="L10" s="237">
        <f t="shared" si="1"/>
        <v>0</v>
      </c>
      <c r="M10" s="220"/>
      <c r="N10" s="220"/>
      <c r="O10" s="220"/>
      <c r="P10" s="220"/>
      <c r="Q10" s="220"/>
      <c r="R10" s="220"/>
      <c r="S10" s="220"/>
      <c r="T10" s="220"/>
      <c r="U10" s="220"/>
      <c r="V10" s="220"/>
      <c r="W10" s="220"/>
    </row>
    <row r="11" outlineLevel="1">
      <c r="A11" s="213"/>
      <c r="B11" s="212" t="s">
        <v>8</v>
      </c>
      <c r="C11" s="213" t="s">
        <v>397</v>
      </c>
      <c r="D11" s="214" t="str">
        <f>IFERROR(VLOOKUP($C11,'PORTIFÓLIO'!C:V,2,0),"")</f>
        <v>CaO 38%  MgO 18%</v>
      </c>
      <c r="E11" s="211" t="str">
        <f>IFERROR(VLOOKUP($C11,'PORTIFÓLIO'!C:V,3,0),"")</f>
        <v/>
      </c>
      <c r="F11" s="211" t="str">
        <f>IFERROR(VLOOKUP($C11,'PORTIFÓLIO'!C:V,4,0),"")</f>
        <v>Ton</v>
      </c>
      <c r="G11" s="215" t="str">
        <f>IFERROR(VLOOKUP($C11,'PORTIFÓLIO'!C:V,5,0),"")</f>
        <v/>
      </c>
      <c r="H11" s="254" t="str">
        <f t="array" ref="H11">IFERROR(INDEX('PORTIFÓLIO'!$H$4:$H$433,MATCH($C11,'PORTIFÓLIO'!$C$4:$C$433,0)),"")</f>
        <v/>
      </c>
      <c r="I11" s="255">
        <v>3.0</v>
      </c>
      <c r="J11" s="218">
        <f t="shared" ref="J11:J24" si="2">I11*$B$2</f>
        <v>180</v>
      </c>
      <c r="K11" s="219">
        <f t="array" ref="K11">IFERROR(I11*INDEX('PORTIFÓLIO'!$S$4:$S$433,MATCH($C11,'PORTIFÓLIO'!$C$4:$C$433,0)),"")</f>
        <v>0</v>
      </c>
      <c r="L11" s="219">
        <f t="array" ref="L11">IFERROR(J11*INDEX('PORTIFÓLIO'!$S$4:$S$433,MATCH($C11,'PORTIFÓLIO'!$C$4:$C$433,0)),"")</f>
        <v>0</v>
      </c>
      <c r="M11" s="220"/>
      <c r="N11" s="220"/>
      <c r="O11" s="220"/>
      <c r="P11" s="220"/>
      <c r="Q11" s="220"/>
      <c r="R11" s="220"/>
      <c r="S11" s="220"/>
      <c r="T11" s="220"/>
      <c r="U11" s="220" t="str">
        <f>IFERROR(__xludf.DUMMYFUNCTION("FILTER('PORTIFÓLIO'!C:C, 'PORTIFÓLIO'!B:B=B11)"),"#REF!")</f>
        <v>#REF!</v>
      </c>
      <c r="V11" s="220"/>
      <c r="W11" s="220"/>
    </row>
    <row r="12" outlineLevel="1">
      <c r="A12" s="213"/>
      <c r="B12" s="212" t="s">
        <v>7</v>
      </c>
      <c r="C12" s="213" t="s">
        <v>423</v>
      </c>
      <c r="D12" s="214" t="str">
        <f>IFERROR(VLOOKUP($C12,'PORTIFÓLIO'!C:V,2,0),"")</f>
        <v>P2O5 14%</v>
      </c>
      <c r="E12" s="211" t="str">
        <f>IFERROR(VLOOKUP($C12,'PORTIFÓLIO'!C:V,3,0),"")</f>
        <v/>
      </c>
      <c r="F12" s="211" t="str">
        <f>IFERROR(VLOOKUP($C12,'PORTIFÓLIO'!C:V,4,0),"")</f>
        <v>Ton</v>
      </c>
      <c r="G12" s="215" t="str">
        <f>IFERROR(VLOOKUP($C12,'PORTIFÓLIO'!C:V,5,0),"")</f>
        <v/>
      </c>
      <c r="H12" s="254" t="str">
        <f t="array" ref="H12">IFERROR(INDEX('PORTIFÓLIO'!$H$4:$H$433,MATCH($C12,'PORTIFÓLIO'!$C$4:$C$433,0)),"")</f>
        <v/>
      </c>
      <c r="I12" s="255">
        <v>0.5</v>
      </c>
      <c r="J12" s="218">
        <f t="shared" si="2"/>
        <v>30</v>
      </c>
      <c r="K12" s="219">
        <f t="array" ref="K12">IFERROR(I12*INDEX('PORTIFÓLIO'!$S$4:$S$433,MATCH($C12,'PORTIFÓLIO'!$C$4:$C$433,0)),"")</f>
        <v>0</v>
      </c>
      <c r="L12" s="219">
        <f t="array" ref="L12">IFERROR(J12*INDEX('PORTIFÓLIO'!$S$4:$S$433,MATCH($C12,'PORTIFÓLIO'!$C$4:$C$433,0)),"")</f>
        <v>0</v>
      </c>
      <c r="M12" s="220"/>
      <c r="N12" s="220"/>
      <c r="O12" s="220"/>
      <c r="P12" s="220"/>
      <c r="Q12" s="220"/>
      <c r="R12" s="220"/>
      <c r="S12" s="220"/>
      <c r="T12" s="220"/>
      <c r="U12" s="220" t="str">
        <f>IFERROR(__xludf.DUMMYFUNCTION("FILTER('PORTIFÓLIO'!C:C, 'PORTIFÓLIO'!B:B=B12)"),"#REF!")</f>
        <v>#REF!</v>
      </c>
      <c r="V12" s="220"/>
      <c r="W12" s="220"/>
    </row>
    <row r="13" outlineLevel="1">
      <c r="A13" s="213"/>
      <c r="B13" s="212" t="s">
        <v>7</v>
      </c>
      <c r="C13" s="213" t="s">
        <v>405</v>
      </c>
      <c r="D13" s="214" t="str">
        <f>IFERROR(VLOOKUP($C13,'PORTIFÓLIO'!C:V,2,0),"")</f>
        <v>K2O 60%</v>
      </c>
      <c r="E13" s="211" t="str">
        <f>IFERROR(VLOOKUP($C13,'PORTIFÓLIO'!C:V,3,0),"")</f>
        <v/>
      </c>
      <c r="F13" s="211" t="str">
        <f>IFERROR(VLOOKUP($C13,'PORTIFÓLIO'!C:V,4,0),"")</f>
        <v>Ton</v>
      </c>
      <c r="G13" s="215" t="str">
        <f>IFERROR(VLOOKUP($C13,'PORTIFÓLIO'!C:V,5,0),"")</f>
        <v/>
      </c>
      <c r="H13" s="254" t="str">
        <f t="array" ref="H13">IFERROR(INDEX('PORTIFÓLIO'!$H$4:$H$433,MATCH($C13,'PORTIFÓLIO'!$C$4:$C$433,0)),"")</f>
        <v/>
      </c>
      <c r="I13" s="255">
        <v>0.2</v>
      </c>
      <c r="J13" s="218">
        <f t="shared" si="2"/>
        <v>12</v>
      </c>
      <c r="K13" s="219">
        <f t="array" ref="K13">IFERROR(I13*INDEX('PORTIFÓLIO'!$S$4:$S$433,MATCH($C13,'PORTIFÓLIO'!$C$4:$C$433,0)),"")</f>
        <v>0</v>
      </c>
      <c r="L13" s="219">
        <f t="array" ref="L13">IFERROR(J13*INDEX('PORTIFÓLIO'!$S$4:$S$433,MATCH($C13,'PORTIFÓLIO'!$C$4:$C$433,0)),"")</f>
        <v>0</v>
      </c>
      <c r="M13" s="220"/>
      <c r="N13" s="220"/>
      <c r="O13" s="220"/>
      <c r="P13" s="220"/>
      <c r="Q13" s="220"/>
      <c r="R13" s="220"/>
      <c r="S13" s="220"/>
      <c r="T13" s="220"/>
      <c r="U13" s="220" t="str">
        <f>IFERROR(__xludf.DUMMYFUNCTION("FILTER('PORTIFÓLIO'!C:C, 'PORTIFÓLIO'!B:B=B13)"),"#REF!")</f>
        <v>#REF!</v>
      </c>
      <c r="V13" s="220"/>
      <c r="W13" s="220"/>
    </row>
    <row r="14" outlineLevel="1">
      <c r="A14" s="211"/>
      <c r="B14" s="212" t="s">
        <v>7</v>
      </c>
      <c r="C14" s="213" t="s">
        <v>429</v>
      </c>
      <c r="D14" s="214" t="str">
        <f>IFERROR(VLOOKUP($C14,'PORTIFÓLIO'!C:V,2,0),"")</f>
        <v>Cu 2% Mn 8% Zn 7% </v>
      </c>
      <c r="E14" s="211" t="str">
        <f>IFERROR(VLOOKUP($C14,'PORTIFÓLIO'!C:V,3,0),"")</f>
        <v/>
      </c>
      <c r="F14" s="211" t="str">
        <f>IFERROR(VLOOKUP($C14,'PORTIFÓLIO'!C:V,4,0),"")</f>
        <v>Ton</v>
      </c>
      <c r="G14" s="215" t="str">
        <f>IFERROR(VLOOKUP($C14,'PORTIFÓLIO'!C:V,5,0),"")</f>
        <v/>
      </c>
      <c r="H14" s="254" t="str">
        <f t="array" ref="H14">IFERROR(INDEX('PORTIFÓLIO'!$H$4:$H$433,MATCH($C14,'PORTIFÓLIO'!$C$4:$C$433,0)),"")</f>
        <v/>
      </c>
      <c r="I14" s="255">
        <v>0.05</v>
      </c>
      <c r="J14" s="218">
        <f t="shared" si="2"/>
        <v>3</v>
      </c>
      <c r="K14" s="219">
        <f t="array" ref="K14">IFERROR(I14*INDEX('PORTIFÓLIO'!$S$4:$S$433,MATCH($C14,'PORTIFÓLIO'!$C$4:$C$433,0)),"")</f>
        <v>0</v>
      </c>
      <c r="L14" s="219">
        <f t="array" ref="L14">IFERROR(J14*INDEX('PORTIFÓLIO'!$S$4:$S$433,MATCH($C14,'PORTIFÓLIO'!$C$4:$C$433,0)),"")</f>
        <v>0</v>
      </c>
      <c r="M14" s="220"/>
      <c r="N14" s="220"/>
      <c r="O14" s="220"/>
      <c r="P14" s="220"/>
      <c r="Q14" s="220"/>
      <c r="R14" s="220"/>
      <c r="S14" s="220"/>
      <c r="T14" s="220"/>
      <c r="U14" s="220" t="str">
        <f>IFERROR(__xludf.DUMMYFUNCTION("FILTER('PORTIFÓLIO'!C:C, 'PORTIFÓLIO'!B:B=B14)"),"#REF!")</f>
        <v>#REF!</v>
      </c>
      <c r="V14" s="220"/>
      <c r="W14" s="220"/>
    </row>
    <row r="15" outlineLevel="1">
      <c r="A15" s="211"/>
      <c r="B15" s="212"/>
      <c r="C15" s="213"/>
      <c r="D15" s="214" t="str">
        <f>IFERROR(VLOOKUP($C15,'PORTIFÓLIO'!C:V,2,0),"")</f>
        <v/>
      </c>
      <c r="E15" s="211" t="str">
        <f>IFERROR(VLOOKUP($C15,'PORTIFÓLIO'!C:V,3,0),"")</f>
        <v/>
      </c>
      <c r="F15" s="211" t="str">
        <f>IFERROR(VLOOKUP($C15,'PORTIFÓLIO'!C:V,4,0),"")</f>
        <v/>
      </c>
      <c r="G15" s="215" t="str">
        <f>IFERROR(VLOOKUP($C15,'PORTIFÓLIO'!C:V,5,0),"")</f>
        <v/>
      </c>
      <c r="H15" s="254" t="str">
        <f t="array" ref="H15">IFERROR(INDEX('PORTIFÓLIO'!$H$4:$H$433,MATCH($C15,'PORTIFÓLIO'!$C$4:$C$433,0)),"")</f>
        <v/>
      </c>
      <c r="I15" s="255"/>
      <c r="J15" s="218">
        <f t="shared" si="2"/>
        <v>0</v>
      </c>
      <c r="K15" s="219" t="str">
        <f t="array" ref="K15">IFERROR(I15*INDEX('PORTIFÓLIO'!$S$4:$S$433,MATCH($C15,'PORTIFÓLIO'!$C$4:$C$433,0)),"")</f>
        <v/>
      </c>
      <c r="L15" s="219" t="str">
        <f t="array" ref="L15">IFERROR(J15*INDEX('PORTIFÓLIO'!$S$4:$S$433,MATCH($C15,'PORTIFÓLIO'!$C$4:$C$433,0)),"")</f>
        <v/>
      </c>
      <c r="M15" s="220"/>
      <c r="N15" s="220"/>
      <c r="O15" s="220"/>
      <c r="P15" s="220"/>
      <c r="Q15" s="220"/>
      <c r="R15" s="220"/>
      <c r="S15" s="220"/>
      <c r="T15" s="220"/>
      <c r="U15" s="220" t="str">
        <f>IFERROR(__xludf.DUMMYFUNCTION("FILTER('PORTIFÓLIO'!C:C, 'PORTIFÓLIO'!B:B=B15)"),"#REF!")</f>
        <v>#REF!</v>
      </c>
      <c r="V15" s="220"/>
      <c r="W15" s="220"/>
    </row>
    <row r="16" outlineLevel="1">
      <c r="A16" s="211"/>
      <c r="B16" s="212"/>
      <c r="C16" s="213"/>
      <c r="D16" s="214" t="str">
        <f>IFERROR(VLOOKUP($C16,'PORTIFÓLIO'!C:V,2,0),"")</f>
        <v/>
      </c>
      <c r="E16" s="211" t="str">
        <f>IFERROR(VLOOKUP($C16,'PORTIFÓLIO'!C:V,3,0),"")</f>
        <v/>
      </c>
      <c r="F16" s="211" t="str">
        <f>IFERROR(VLOOKUP($C16,'PORTIFÓLIO'!C:V,4,0),"")</f>
        <v/>
      </c>
      <c r="G16" s="215" t="str">
        <f>IFERROR(VLOOKUP($C16,'PORTIFÓLIO'!C:V,5,0),"")</f>
        <v/>
      </c>
      <c r="H16" s="254" t="str">
        <f t="array" ref="H16">IFERROR(INDEX('PORTIFÓLIO'!$H$4:$H$433,MATCH($C16,'PORTIFÓLIO'!$C$4:$C$433,0)),"")</f>
        <v/>
      </c>
      <c r="I16" s="255"/>
      <c r="J16" s="218">
        <f t="shared" si="2"/>
        <v>0</v>
      </c>
      <c r="K16" s="219" t="str">
        <f t="array" ref="K16">IFERROR(I16*INDEX('PORTIFÓLIO'!$S$4:$S$433,MATCH($C16,'PORTIFÓLIO'!$C$4:$C$433,0)),"")</f>
        <v/>
      </c>
      <c r="L16" s="219" t="str">
        <f t="array" ref="L16">IFERROR(J16*INDEX('PORTIFÓLIO'!$S$4:$S$433,MATCH($C16,'PORTIFÓLIO'!$C$4:$C$433,0)),"")</f>
        <v/>
      </c>
      <c r="M16" s="220"/>
      <c r="N16" s="220"/>
      <c r="O16" s="220"/>
      <c r="P16" s="220"/>
      <c r="Q16" s="220"/>
      <c r="R16" s="220"/>
      <c r="S16" s="220"/>
      <c r="T16" s="220"/>
      <c r="U16" s="220" t="str">
        <f>IFERROR(__xludf.DUMMYFUNCTION("FILTER('PORTIFÓLIO'!C:C, 'PORTIFÓLIO'!B:B=B16)"),"#REF!")</f>
        <v>#REF!</v>
      </c>
      <c r="V16" s="220"/>
      <c r="W16" s="220"/>
    </row>
    <row r="17" outlineLevel="1">
      <c r="A17" s="211"/>
      <c r="B17" s="212"/>
      <c r="C17" s="213"/>
      <c r="D17" s="214" t="str">
        <f>IFERROR(VLOOKUP($C17,'PORTIFÓLIO'!C:V,2,0),"")</f>
        <v/>
      </c>
      <c r="E17" s="211" t="str">
        <f>IFERROR(VLOOKUP($C17,'PORTIFÓLIO'!C:V,3,0),"")</f>
        <v/>
      </c>
      <c r="F17" s="211" t="str">
        <f>IFERROR(VLOOKUP($C17,'PORTIFÓLIO'!C:V,4,0),"")</f>
        <v/>
      </c>
      <c r="G17" s="215" t="str">
        <f>IFERROR(VLOOKUP($C17,'PORTIFÓLIO'!C:V,5,0),"")</f>
        <v/>
      </c>
      <c r="H17" s="254" t="str">
        <f t="array" ref="H17">IFERROR(INDEX('PORTIFÓLIO'!$H$4:$H$433,MATCH($C17,'PORTIFÓLIO'!$C$4:$C$433,0)),"")</f>
        <v/>
      </c>
      <c r="I17" s="255"/>
      <c r="J17" s="218">
        <f t="shared" si="2"/>
        <v>0</v>
      </c>
      <c r="K17" s="219" t="str">
        <f t="array" ref="K17">IFERROR(I17*INDEX('PORTIFÓLIO'!$S$4:$S$433,MATCH($C17,'PORTIFÓLIO'!$C$4:$C$433,0)),"")</f>
        <v/>
      </c>
      <c r="L17" s="219" t="str">
        <f t="array" ref="L17">IFERROR(J17*INDEX('PORTIFÓLIO'!$S$4:$S$433,MATCH($C17,'PORTIFÓLIO'!$C$4:$C$433,0)),"")</f>
        <v/>
      </c>
      <c r="M17" s="220"/>
      <c r="N17" s="220"/>
      <c r="O17" s="220"/>
      <c r="P17" s="220"/>
      <c r="Q17" s="220"/>
      <c r="R17" s="220"/>
      <c r="S17" s="220"/>
      <c r="T17" s="220"/>
      <c r="U17" s="220" t="str">
        <f>IFERROR(__xludf.DUMMYFUNCTION("FILTER('PORTIFÓLIO'!C:C, 'PORTIFÓLIO'!B:B=B17)"),"#REF!")</f>
        <v>#REF!</v>
      </c>
      <c r="V17" s="220"/>
      <c r="W17" s="220"/>
    </row>
    <row r="18" outlineLevel="1">
      <c r="A18" s="211"/>
      <c r="B18" s="212"/>
      <c r="C18" s="213"/>
      <c r="D18" s="214" t="str">
        <f>IFERROR(VLOOKUP($C18,'PORTIFÓLIO'!C:V,2,0),"")</f>
        <v/>
      </c>
      <c r="E18" s="211" t="str">
        <f>IFERROR(VLOOKUP($C18,'PORTIFÓLIO'!C:V,3,0),"")</f>
        <v/>
      </c>
      <c r="F18" s="211" t="str">
        <f>IFERROR(VLOOKUP($C18,'PORTIFÓLIO'!C:V,4,0),"")</f>
        <v/>
      </c>
      <c r="G18" s="215" t="str">
        <f>IFERROR(VLOOKUP($C18,'PORTIFÓLIO'!C:V,5,0),"")</f>
        <v/>
      </c>
      <c r="H18" s="254" t="str">
        <f t="array" ref="H18">IFERROR(INDEX('PORTIFÓLIO'!$H$4:$H$433,MATCH($C18,'PORTIFÓLIO'!$C$4:$C$433,0)),"")</f>
        <v/>
      </c>
      <c r="I18" s="255"/>
      <c r="J18" s="218">
        <f t="shared" si="2"/>
        <v>0</v>
      </c>
      <c r="K18" s="219" t="str">
        <f t="array" ref="K18">IFERROR(I18*INDEX('PORTIFÓLIO'!$S$4:$S$433,MATCH($C18,'PORTIFÓLIO'!$C$4:$C$433,0)),"")</f>
        <v/>
      </c>
      <c r="L18" s="219" t="str">
        <f t="array" ref="L18">IFERROR(J18*INDEX('PORTIFÓLIO'!$S$4:$S$433,MATCH($C18,'PORTIFÓLIO'!$C$4:$C$433,0)),"")</f>
        <v/>
      </c>
      <c r="M18" s="220"/>
      <c r="N18" s="220"/>
      <c r="O18" s="220"/>
      <c r="P18" s="220"/>
      <c r="Q18" s="220"/>
      <c r="R18" s="220"/>
      <c r="S18" s="220"/>
      <c r="T18" s="220"/>
      <c r="U18" s="220" t="str">
        <f>IFERROR(__xludf.DUMMYFUNCTION("FILTER('PORTIFÓLIO'!C:C, 'PORTIFÓLIO'!B:B=B18)"),"#REF!")</f>
        <v>#REF!</v>
      </c>
      <c r="V18" s="220"/>
      <c r="W18" s="220"/>
    </row>
    <row r="19" outlineLevel="1">
      <c r="A19" s="211"/>
      <c r="B19" s="212"/>
      <c r="C19" s="213"/>
      <c r="D19" s="214" t="str">
        <f>IFERROR(VLOOKUP($C19,'PORTIFÓLIO'!C:V,2,0),"")</f>
        <v/>
      </c>
      <c r="E19" s="211" t="str">
        <f>IFERROR(VLOOKUP($C19,'PORTIFÓLIO'!C:V,3,0),"")</f>
        <v/>
      </c>
      <c r="F19" s="211" t="str">
        <f>IFERROR(VLOOKUP($C19,'PORTIFÓLIO'!C:V,4,0),"")</f>
        <v/>
      </c>
      <c r="G19" s="215" t="str">
        <f>IFERROR(VLOOKUP($C19,'PORTIFÓLIO'!C:V,5,0),"")</f>
        <v/>
      </c>
      <c r="H19" s="254" t="str">
        <f t="array" ref="H19">IFERROR(INDEX('PORTIFÓLIO'!$H$4:$H$433,MATCH($C19,'PORTIFÓLIO'!$C$4:$C$433,0)),"")</f>
        <v/>
      </c>
      <c r="I19" s="255"/>
      <c r="J19" s="218">
        <f t="shared" si="2"/>
        <v>0</v>
      </c>
      <c r="K19" s="219" t="str">
        <f t="array" ref="K19">IFERROR(I19*INDEX('PORTIFÓLIO'!$S$4:$S$433,MATCH($C19,'PORTIFÓLIO'!$C$4:$C$433,0)),"")</f>
        <v/>
      </c>
      <c r="L19" s="219" t="str">
        <f t="array" ref="L19">IFERROR(J19*INDEX('PORTIFÓLIO'!$S$4:$S$433,MATCH($C19,'PORTIFÓLIO'!$C$4:$C$433,0)),"")</f>
        <v/>
      </c>
      <c r="M19" s="220"/>
      <c r="N19" s="220"/>
      <c r="O19" s="220"/>
      <c r="P19" s="220"/>
      <c r="Q19" s="220"/>
      <c r="R19" s="220"/>
      <c r="S19" s="220"/>
      <c r="T19" s="220"/>
      <c r="U19" s="220" t="str">
        <f>IFERROR(__xludf.DUMMYFUNCTION("FILTER('PORTIFÓLIO'!C:C, 'PORTIFÓLIO'!B:B=B19)"),"")</f>
        <v/>
      </c>
      <c r="V19" s="220"/>
      <c r="W19" s="220"/>
    </row>
    <row r="20" outlineLevel="1">
      <c r="A20" s="211"/>
      <c r="B20" s="212"/>
      <c r="C20" s="213"/>
      <c r="D20" s="214" t="str">
        <f>IFERROR(VLOOKUP($C20,'PORTIFÓLIO'!C:V,2,0),"")</f>
        <v/>
      </c>
      <c r="E20" s="211" t="str">
        <f>IFERROR(VLOOKUP($C20,'PORTIFÓLIO'!C:V,3,0),"")</f>
        <v/>
      </c>
      <c r="F20" s="211" t="str">
        <f>IFERROR(VLOOKUP($C20,'PORTIFÓLIO'!C:V,4,0),"")</f>
        <v/>
      </c>
      <c r="G20" s="215" t="str">
        <f>IFERROR(VLOOKUP($C20,'PORTIFÓLIO'!C:V,5,0),"")</f>
        <v/>
      </c>
      <c r="H20" s="254" t="str">
        <f t="array" ref="H20">IFERROR(INDEX('PORTIFÓLIO'!$H$4:$H$433,MATCH($C20,'PORTIFÓLIO'!$C$4:$C$433,0)),"")</f>
        <v/>
      </c>
      <c r="I20" s="255"/>
      <c r="J20" s="218">
        <f t="shared" si="2"/>
        <v>0</v>
      </c>
      <c r="K20" s="219" t="str">
        <f t="array" ref="K20">IFERROR(I20*INDEX('PORTIFÓLIO'!$S$4:$S$433,MATCH($C20,'PORTIFÓLIO'!$C$4:$C$433,0)),"")</f>
        <v/>
      </c>
      <c r="L20" s="219" t="str">
        <f t="array" ref="L20">IFERROR(J20*INDEX('PORTIFÓLIO'!$S$4:$S$433,MATCH($C20,'PORTIFÓLIO'!$C$4:$C$433,0)),"")</f>
        <v/>
      </c>
      <c r="M20" s="220"/>
      <c r="N20" s="220"/>
      <c r="O20" s="220"/>
      <c r="P20" s="220"/>
      <c r="Q20" s="220"/>
      <c r="R20" s="220"/>
      <c r="S20" s="220"/>
      <c r="T20" s="220"/>
      <c r="U20" s="220"/>
      <c r="V20" s="220"/>
      <c r="W20" s="220"/>
    </row>
    <row r="21" ht="15.75" customHeight="1" outlineLevel="1">
      <c r="A21" s="211"/>
      <c r="B21" s="212"/>
      <c r="C21" s="213"/>
      <c r="D21" s="214" t="str">
        <f>IFERROR(VLOOKUP($C21,'PORTIFÓLIO'!C:V,2,0),"")</f>
        <v/>
      </c>
      <c r="E21" s="211" t="str">
        <f>IFERROR(VLOOKUP($C21,'PORTIFÓLIO'!C:V,3,0),"")</f>
        <v/>
      </c>
      <c r="F21" s="211" t="str">
        <f>IFERROR(VLOOKUP($C21,'PORTIFÓLIO'!C:V,4,0),"")</f>
        <v/>
      </c>
      <c r="G21" s="215" t="str">
        <f>IFERROR(VLOOKUP($C21,'PORTIFÓLIO'!C:V,5,0),"")</f>
        <v/>
      </c>
      <c r="H21" s="254" t="str">
        <f t="array" ref="H21">IFERROR(INDEX('PORTIFÓLIO'!$H$4:$H$433,MATCH($C21,'PORTIFÓLIO'!$C$4:$C$433,0)),"")</f>
        <v/>
      </c>
      <c r="I21" s="255"/>
      <c r="J21" s="218">
        <f t="shared" si="2"/>
        <v>0</v>
      </c>
      <c r="K21" s="219" t="str">
        <f t="array" ref="K21">IFERROR(I21*INDEX('PORTIFÓLIO'!$S$4:$S$433,MATCH($C21,'PORTIFÓLIO'!$C$4:$C$433,0)),"")</f>
        <v/>
      </c>
      <c r="L21" s="219" t="str">
        <f t="array" ref="L21">IFERROR(J21*INDEX('PORTIFÓLIO'!$S$4:$S$433,MATCH($C21,'PORTIFÓLIO'!$C$4:$C$433,0)),"")</f>
        <v/>
      </c>
      <c r="M21" s="220"/>
      <c r="N21" s="220"/>
      <c r="O21" s="220"/>
      <c r="P21" s="220"/>
      <c r="Q21" s="220"/>
      <c r="R21" s="220"/>
      <c r="S21" s="220"/>
      <c r="T21" s="220"/>
      <c r="U21" s="220"/>
      <c r="V21" s="220"/>
      <c r="W21" s="220"/>
    </row>
    <row r="22" ht="15.75" customHeight="1" outlineLevel="1">
      <c r="A22" s="211"/>
      <c r="B22" s="212"/>
      <c r="C22" s="213"/>
      <c r="D22" s="214" t="str">
        <f>IFERROR(VLOOKUP($C22,'PORTIFÓLIO'!C:V,2,0),"")</f>
        <v/>
      </c>
      <c r="E22" s="211" t="str">
        <f>IFERROR(VLOOKUP($C22,'PORTIFÓLIO'!C:V,3,0),"")</f>
        <v/>
      </c>
      <c r="F22" s="211" t="str">
        <f>IFERROR(VLOOKUP($C22,'PORTIFÓLIO'!C:V,4,0),"")</f>
        <v/>
      </c>
      <c r="G22" s="215" t="str">
        <f>IFERROR(VLOOKUP($C22,'PORTIFÓLIO'!C:V,5,0),"")</f>
        <v/>
      </c>
      <c r="H22" s="254" t="str">
        <f t="array" ref="H22">IFERROR(INDEX('PORTIFÓLIO'!$H$4:$H$433,MATCH($C22,'PORTIFÓLIO'!$C$4:$C$433,0)),"")</f>
        <v/>
      </c>
      <c r="I22" s="255"/>
      <c r="J22" s="218">
        <f t="shared" si="2"/>
        <v>0</v>
      </c>
      <c r="K22" s="219" t="str">
        <f t="array" ref="K22">IFERROR(I22*INDEX('PORTIFÓLIO'!$S$4:$S$433,MATCH($C22,'PORTIFÓLIO'!$C$4:$C$433,0)),"")</f>
        <v/>
      </c>
      <c r="L22" s="219" t="str">
        <f t="array" ref="L22">IFERROR(J22*INDEX('PORTIFÓLIO'!$S$4:$S$433,MATCH($C22,'PORTIFÓLIO'!$C$4:$C$433,0)),"")</f>
        <v/>
      </c>
      <c r="M22" s="220"/>
      <c r="N22" s="220"/>
      <c r="O22" s="220"/>
      <c r="P22" s="220"/>
      <c r="Q22" s="220"/>
      <c r="R22" s="220"/>
      <c r="S22" s="220"/>
      <c r="T22" s="220"/>
      <c r="U22" s="220"/>
      <c r="V22" s="220"/>
      <c r="W22" s="220"/>
    </row>
    <row r="23" ht="15.75" customHeight="1" outlineLevel="1">
      <c r="A23" s="211"/>
      <c r="B23" s="212"/>
      <c r="C23" s="213"/>
      <c r="D23" s="214" t="str">
        <f>IFERROR(VLOOKUP($C23,'PORTIFÓLIO'!C:V,2,0),"")</f>
        <v/>
      </c>
      <c r="E23" s="211" t="str">
        <f>IFERROR(VLOOKUP($C23,'PORTIFÓLIO'!C:V,3,0),"")</f>
        <v/>
      </c>
      <c r="F23" s="211" t="str">
        <f>IFERROR(VLOOKUP($C23,'PORTIFÓLIO'!C:V,4,0),"")</f>
        <v/>
      </c>
      <c r="G23" s="215" t="str">
        <f>IFERROR(VLOOKUP($C23,'PORTIFÓLIO'!C:V,5,0),"")</f>
        <v/>
      </c>
      <c r="H23" s="254" t="str">
        <f t="array" ref="H23">IFERROR(INDEX('PORTIFÓLIO'!$H$4:$H$433,MATCH($C23,'PORTIFÓLIO'!$C$4:$C$433,0)),"")</f>
        <v/>
      </c>
      <c r="I23" s="255"/>
      <c r="J23" s="218">
        <f t="shared" si="2"/>
        <v>0</v>
      </c>
      <c r="K23" s="219" t="str">
        <f t="array" ref="K23">IFERROR(I23*INDEX('PORTIFÓLIO'!$S$4:$S$433,MATCH($C23,'PORTIFÓLIO'!$C$4:$C$433,0)),"")</f>
        <v/>
      </c>
      <c r="L23" s="219" t="str">
        <f t="array" ref="L23">IFERROR(J23*INDEX('PORTIFÓLIO'!$S$4:$S$433,MATCH($C23,'PORTIFÓLIO'!$C$4:$C$433,0)),"")</f>
        <v/>
      </c>
      <c r="M23" s="220"/>
      <c r="N23" s="220"/>
      <c r="O23" s="220"/>
      <c r="P23" s="220"/>
      <c r="Q23" s="220"/>
      <c r="R23" s="220"/>
      <c r="S23" s="220"/>
      <c r="T23" s="220"/>
      <c r="U23" s="220"/>
      <c r="V23" s="220"/>
      <c r="W23" s="220"/>
    </row>
    <row r="24" ht="15.75" customHeight="1" outlineLevel="1">
      <c r="A24" s="211"/>
      <c r="B24" s="212"/>
      <c r="C24" s="213"/>
      <c r="D24" s="214" t="str">
        <f>IFERROR(VLOOKUP($C24,'PORTIFÓLIO'!C:V,2,0),"")</f>
        <v/>
      </c>
      <c r="E24" s="211" t="str">
        <f>IFERROR(VLOOKUP($C24,'PORTIFÓLIO'!C:V,3,0),"")</f>
        <v/>
      </c>
      <c r="F24" s="211" t="str">
        <f>IFERROR(VLOOKUP($C24,'PORTIFÓLIO'!C:V,4,0),"")</f>
        <v/>
      </c>
      <c r="G24" s="215" t="str">
        <f>IFERROR(VLOOKUP($C24,'PORTIFÓLIO'!C:V,5,0),"")</f>
        <v/>
      </c>
      <c r="H24" s="254" t="str">
        <f t="array" ref="H24">IFERROR(INDEX('PORTIFÓLIO'!$H$4:$H$433,MATCH($C24,'PORTIFÓLIO'!$C$4:$C$433,0)),"")</f>
        <v/>
      </c>
      <c r="I24" s="255"/>
      <c r="J24" s="218">
        <f t="shared" si="2"/>
        <v>0</v>
      </c>
      <c r="K24" s="219" t="str">
        <f t="array" ref="K24">IFERROR(I24*INDEX('PORTIFÓLIO'!$S$4:$S$433,MATCH($C24,'PORTIFÓLIO'!$C$4:$C$433,0)),"")</f>
        <v/>
      </c>
      <c r="L24" s="219" t="str">
        <f t="array" ref="L24">IFERROR(J24*INDEX('PORTIFÓLIO'!$S$4:$S$433,MATCH($C24,'PORTIFÓLIO'!$C$4:$C$433,0)),"")</f>
        <v/>
      </c>
      <c r="M24" s="220"/>
      <c r="N24" s="220"/>
      <c r="O24" s="220"/>
      <c r="P24" s="220"/>
      <c r="Q24" s="220"/>
      <c r="R24" s="220"/>
      <c r="S24" s="220"/>
      <c r="T24" s="220"/>
      <c r="U24" s="220"/>
      <c r="V24" s="220"/>
      <c r="W24" s="220"/>
    </row>
    <row r="25" ht="15.75" customHeight="1">
      <c r="A25" s="229" t="s">
        <v>1184</v>
      </c>
      <c r="B25" s="230"/>
      <c r="C25" s="231"/>
      <c r="D25" s="232"/>
      <c r="E25" s="231"/>
      <c r="F25" s="231"/>
      <c r="G25" s="233"/>
      <c r="H25" s="233"/>
      <c r="I25" s="258"/>
      <c r="J25" s="236"/>
      <c r="K25" s="237">
        <f t="shared" ref="K25:L25" si="3">SUBTOTAL(9,K26:K39)</f>
        <v>121.6291032</v>
      </c>
      <c r="L25" s="237">
        <f t="shared" si="3"/>
        <v>7297.746192</v>
      </c>
      <c r="M25" s="220"/>
      <c r="N25" s="220"/>
      <c r="O25" s="220"/>
      <c r="P25" s="220"/>
      <c r="Q25" s="220"/>
      <c r="R25" s="220"/>
      <c r="S25" s="220"/>
      <c r="T25" s="220"/>
      <c r="U25" s="220"/>
      <c r="V25" s="220"/>
      <c r="W25" s="220"/>
    </row>
    <row r="26" ht="15.75" customHeight="1" outlineLevel="1">
      <c r="A26" s="213"/>
      <c r="B26" s="212" t="s">
        <v>1</v>
      </c>
      <c r="C26" s="213" t="s">
        <v>637</v>
      </c>
      <c r="D26" s="214" t="str">
        <f>IFERROR(VLOOKUP($C26,'PORTIFÓLIO'!C:V,2,0),"")</f>
        <v>GLIFOSATO-SAL DE AMÔNIO</v>
      </c>
      <c r="E26" s="211">
        <f>IFERROR(VLOOKUP($C26,'PORTIFÓLIO'!C:V,3,0),"")</f>
        <v>720</v>
      </c>
      <c r="F26" s="211" t="str">
        <f>IFERROR(VLOOKUP($C26,'PORTIFÓLIO'!C:V,4,0),"")</f>
        <v>L</v>
      </c>
      <c r="G26" s="225" t="str">
        <f>IFERROR(VLOOKUP($C26,'PORTIFÓLIO'!C:V,5,0),"")</f>
        <v>📄 Ver bula</v>
      </c>
      <c r="H26" s="254">
        <f t="array" ref="H26">IFERROR(INDEX('PORTIFÓLIO'!$H$4:$H$433,MATCH($C26,'PORTIFÓLIO'!$C$4:$C$433,0)),"")</f>
        <v>2</v>
      </c>
      <c r="I26" s="255">
        <v>2.0</v>
      </c>
      <c r="J26" s="218">
        <f t="shared" ref="J26:J43" si="4">I26*$B$2</f>
        <v>120</v>
      </c>
      <c r="K26" s="219">
        <f t="array" ref="K26">IFERROR(I26*INDEX('PORTIFÓLIO'!$S$4:$S$433,MATCH($C26,'PORTIFÓLIO'!$C$4:$C$433,0)),"")</f>
        <v>49.16</v>
      </c>
      <c r="L26" s="219">
        <f t="array" ref="L26">IFERROR(J26*INDEX('PORTIFÓLIO'!$S$4:$S$433,MATCH($C26,'PORTIFÓLIO'!$C$4:$C$433,0)),"")</f>
        <v>2949.6</v>
      </c>
      <c r="M26" s="220"/>
      <c r="N26" s="220"/>
      <c r="O26" s="220"/>
      <c r="P26" s="220"/>
      <c r="Q26" s="220"/>
      <c r="R26" s="220"/>
      <c r="S26" s="220"/>
      <c r="T26" s="220"/>
      <c r="U26" s="220"/>
      <c r="V26" s="220"/>
      <c r="W26" s="220"/>
    </row>
    <row r="27" ht="15.75" customHeight="1" outlineLevel="1">
      <c r="A27" s="211"/>
      <c r="B27" s="212" t="s">
        <v>1</v>
      </c>
      <c r="C27" s="213" t="s">
        <v>610</v>
      </c>
      <c r="D27" s="214" t="str">
        <f>IFERROR(VLOOKUP($C27,'PORTIFÓLIO'!C:V,2,0),"")</f>
        <v>CLETODIM + FLUROXIPIR-MEPTÍLICO</v>
      </c>
      <c r="E27" s="211" t="str">
        <f>IFERROR(VLOOKUP($C27,'PORTIFÓLIO'!C:V,3,0),"")</f>
        <v>140 + 288</v>
      </c>
      <c r="F27" s="211" t="str">
        <f>IFERROR(VLOOKUP($C27,'PORTIFÓLIO'!C:V,4,0),"")</f>
        <v>L</v>
      </c>
      <c r="G27" s="225" t="str">
        <f>IFERROR(VLOOKUP($C27,'PORTIFÓLIO'!C:V,5,0),"")</f>
        <v>📄 Ver bula</v>
      </c>
      <c r="H27" s="254">
        <f t="array" ref="H27">IFERROR(INDEX('PORTIFÓLIO'!$H$4:$H$433,MATCH($C27,'PORTIFÓLIO'!$C$4:$C$433,0)),"")</f>
        <v>1</v>
      </c>
      <c r="I27" s="255">
        <v>0.8</v>
      </c>
      <c r="J27" s="218">
        <f t="shared" si="4"/>
        <v>48</v>
      </c>
      <c r="K27" s="219">
        <f t="array" ref="K27">IFERROR(I27*INDEX('PORTIFÓLIO'!$S$4:$S$433,MATCH($C27,'PORTIFÓLIO'!$C$4:$C$433,0)),"")</f>
        <v>48.039152</v>
      </c>
      <c r="L27" s="219">
        <f t="array" ref="L27">IFERROR(J27*INDEX('PORTIFÓLIO'!$S$4:$S$433,MATCH($C27,'PORTIFÓLIO'!$C$4:$C$433,0)),"")</f>
        <v>2882.34912</v>
      </c>
      <c r="M27" s="220"/>
      <c r="N27" s="220"/>
      <c r="O27" s="220"/>
      <c r="P27" s="220"/>
      <c r="Q27" s="220"/>
      <c r="R27" s="220"/>
      <c r="S27" s="220"/>
      <c r="T27" s="220"/>
      <c r="U27" s="220"/>
      <c r="V27" s="220"/>
      <c r="W27" s="220"/>
    </row>
    <row r="28" ht="15.75" customHeight="1" outlineLevel="1">
      <c r="A28" s="211"/>
      <c r="B28" s="212" t="s">
        <v>6</v>
      </c>
      <c r="C28" s="213" t="s">
        <v>354</v>
      </c>
      <c r="D28" s="214" t="str">
        <f>IFERROR(VLOOKUP($C28,'PORTIFÓLIO'!C:V,2,0),"")</f>
        <v>OLEO MINERAL</v>
      </c>
      <c r="E28" s="211">
        <f>IFERROR(VLOOKUP($C28,'PORTIFÓLIO'!C:V,3,0),"")</f>
        <v>761</v>
      </c>
      <c r="F28" s="211" t="str">
        <f>IFERROR(VLOOKUP($C28,'PORTIFÓLIO'!C:V,4,0),"")</f>
        <v>L</v>
      </c>
      <c r="G28" s="225" t="str">
        <f>IFERROR(VLOOKUP($C28,'PORTIFÓLIO'!C:V,5,0),"")</f>
        <v>📄 Ver bula</v>
      </c>
      <c r="H28" s="254">
        <f t="array" ref="H28">IFERROR(INDEX('PORTIFÓLIO'!$H$4:$H$433,MATCH($C28,'PORTIFÓLIO'!$C$4:$C$433,0)),"")</f>
        <v>0.2</v>
      </c>
      <c r="I28" s="255">
        <v>0.2</v>
      </c>
      <c r="J28" s="218">
        <f t="shared" si="4"/>
        <v>12</v>
      </c>
      <c r="K28" s="219">
        <f t="array" ref="K28">IFERROR(I28*INDEX('PORTIFÓLIO'!$S$4:$S$433,MATCH($C28,'PORTIFÓLIO'!$C$4:$C$433,0)),"")</f>
        <v>3.206</v>
      </c>
      <c r="L28" s="219">
        <f t="array" ref="L28">IFERROR(J28*INDEX('PORTIFÓLIO'!$S$4:$S$433,MATCH($C28,'PORTIFÓLIO'!$C$4:$C$433,0)),"")</f>
        <v>192.36</v>
      </c>
      <c r="M28" s="220"/>
      <c r="N28" s="220"/>
      <c r="O28" s="220"/>
      <c r="P28" s="220"/>
      <c r="Q28" s="220"/>
      <c r="R28" s="220"/>
      <c r="S28" s="220"/>
      <c r="T28" s="220"/>
      <c r="U28" s="220"/>
      <c r="V28" s="220"/>
      <c r="W28" s="220"/>
    </row>
    <row r="29" ht="15.75" customHeight="1" outlineLevel="1">
      <c r="A29" s="211"/>
      <c r="B29" s="212" t="s">
        <v>2</v>
      </c>
      <c r="C29" s="213" t="s">
        <v>824</v>
      </c>
      <c r="D29" s="214" t="str">
        <f>IFERROR(VLOOKUP($C29,'PORTIFÓLIO'!C:V,2,0),"")</f>
        <v>CLORANTRANILIPROLE</v>
      </c>
      <c r="E29" s="211">
        <f>IFERROR(VLOOKUP($C29,'PORTIFÓLIO'!C:V,3,0),"")</f>
        <v>200</v>
      </c>
      <c r="F29" s="211" t="str">
        <f>IFERROR(VLOOKUP($C29,'PORTIFÓLIO'!C:V,4,0),"")</f>
        <v>L</v>
      </c>
      <c r="G29" s="225" t="str">
        <f>IFERROR(VLOOKUP($C29,'PORTIFÓLIO'!C:V,5,0),"")</f>
        <v>📄 Ver bula</v>
      </c>
      <c r="H29" s="254">
        <f t="array" ref="H29">IFERROR(INDEX('PORTIFÓLIO'!$H$4:$H$433,MATCH($C29,'PORTIFÓLIO'!$C$4:$C$433,0)),"")</f>
        <v>0.1</v>
      </c>
      <c r="I29" s="255">
        <v>0.04</v>
      </c>
      <c r="J29" s="218">
        <f t="shared" si="4"/>
        <v>2.4</v>
      </c>
      <c r="K29" s="219">
        <f t="array" ref="K29">IFERROR(I29*INDEX('PORTIFÓLIO'!$S$4:$S$433,MATCH($C29,'PORTIFÓLIO'!$C$4:$C$433,0)),"")</f>
        <v>11.31855</v>
      </c>
      <c r="L29" s="219">
        <f t="array" ref="L29">IFERROR(J29*INDEX('PORTIFÓLIO'!$S$4:$S$433,MATCH($C29,'PORTIFÓLIO'!$C$4:$C$433,0)),"")</f>
        <v>679.113</v>
      </c>
      <c r="M29" s="220"/>
      <c r="N29" s="220"/>
      <c r="O29" s="220"/>
      <c r="P29" s="220"/>
      <c r="Q29" s="220"/>
      <c r="R29" s="220"/>
      <c r="S29" s="220"/>
      <c r="T29" s="220"/>
      <c r="U29" s="220"/>
      <c r="V29" s="220"/>
      <c r="W29" s="220"/>
    </row>
    <row r="30" ht="15.75" customHeight="1" outlineLevel="1">
      <c r="A30" s="211"/>
      <c r="B30" s="212" t="s">
        <v>2</v>
      </c>
      <c r="C30" s="213" t="s">
        <v>788</v>
      </c>
      <c r="D30" s="214" t="str">
        <f>IFERROR(VLOOKUP($C30,'PORTIFÓLIO'!C:V,2,0),"")</f>
        <v>FIPRONIL</v>
      </c>
      <c r="E30" s="211">
        <f>IFERROR(VLOOKUP($C30,'PORTIFÓLIO'!C:V,3,0),"")</f>
        <v>800</v>
      </c>
      <c r="F30" s="211" t="str">
        <f>IFERROR(VLOOKUP($C30,'PORTIFÓLIO'!C:V,4,0),"")</f>
        <v>L</v>
      </c>
      <c r="G30" s="225" t="str">
        <f>IFERROR(VLOOKUP($C30,'PORTIFÓLIO'!C:V,5,0),"")</f>
        <v>📄 Ver bula</v>
      </c>
      <c r="H30" s="254">
        <f t="array" ref="H30">IFERROR(INDEX('PORTIFÓLIO'!$H$4:$H$433,MATCH($C30,'PORTIFÓLIO'!$C$4:$C$433,0)),"")</f>
        <v>0.04</v>
      </c>
      <c r="I30" s="255">
        <v>0.04</v>
      </c>
      <c r="J30" s="218">
        <f t="shared" si="4"/>
        <v>2.4</v>
      </c>
      <c r="K30" s="219">
        <f t="array" ref="K30">IFERROR(I30*INDEX('PORTIFÓLIO'!$S$4:$S$433,MATCH($C30,'PORTIFÓLIO'!$C$4:$C$433,0)),"")</f>
        <v>9.9054012</v>
      </c>
      <c r="L30" s="219">
        <f t="array" ref="L30">IFERROR(J30*INDEX('PORTIFÓLIO'!$S$4:$S$433,MATCH($C30,'PORTIFÓLIO'!$C$4:$C$433,0)),"")</f>
        <v>594.324072</v>
      </c>
      <c r="M30" s="220"/>
      <c r="N30" s="220"/>
      <c r="O30" s="220"/>
      <c r="P30" s="220"/>
      <c r="Q30" s="220"/>
      <c r="R30" s="220"/>
      <c r="S30" s="220"/>
      <c r="T30" s="220"/>
      <c r="U30" s="220"/>
      <c r="V30" s="220"/>
      <c r="W30" s="220"/>
    </row>
    <row r="31" ht="15.75" customHeight="1" outlineLevel="1">
      <c r="A31" s="211"/>
      <c r="B31" s="212"/>
      <c r="C31" s="213"/>
      <c r="D31" s="214" t="str">
        <f>IFERROR(VLOOKUP($C31,'PORTIFÓLIO'!C:V,2,0),"")</f>
        <v/>
      </c>
      <c r="E31" s="211" t="str">
        <f>IFERROR(VLOOKUP($C31,'PORTIFÓLIO'!C:V,3,0),"")</f>
        <v/>
      </c>
      <c r="F31" s="211" t="str">
        <f>IFERROR(VLOOKUP($C31,'PORTIFÓLIO'!C:V,4,0),"")</f>
        <v/>
      </c>
      <c r="G31" s="215" t="str">
        <f>IFERROR(VLOOKUP($C31,'PORTIFÓLIO'!C:V,5,0),"")</f>
        <v/>
      </c>
      <c r="H31" s="254" t="str">
        <f t="array" ref="H31">IFERROR(INDEX('PORTIFÓLIO'!$H$4:$H$433,MATCH($C31,'PORTIFÓLIO'!$C$4:$C$433,0)),"")</f>
        <v/>
      </c>
      <c r="I31" s="255"/>
      <c r="J31" s="218">
        <f t="shared" si="4"/>
        <v>0</v>
      </c>
      <c r="K31" s="219" t="str">
        <f t="array" ref="K31">IFERROR(I31*INDEX('PORTIFÓLIO'!$S$4:$S$433,MATCH($C31,'PORTIFÓLIO'!$C$4:$C$433,0)),"")</f>
        <v/>
      </c>
      <c r="L31" s="219" t="str">
        <f t="array" ref="L31">IFERROR(J31*INDEX('PORTIFÓLIO'!$S$4:$S$433,MATCH($C31,'PORTIFÓLIO'!$C$4:$C$433,0)),"")</f>
        <v/>
      </c>
      <c r="M31" s="220"/>
      <c r="N31" s="220"/>
      <c r="O31" s="220"/>
      <c r="P31" s="220"/>
      <c r="Q31" s="220"/>
      <c r="R31" s="220"/>
      <c r="S31" s="220"/>
      <c r="T31" s="220"/>
      <c r="U31" s="220"/>
      <c r="V31" s="220"/>
      <c r="W31" s="220"/>
    </row>
    <row r="32" ht="15.75" customHeight="1" outlineLevel="1">
      <c r="A32" s="211"/>
      <c r="B32" s="212"/>
      <c r="C32" s="213"/>
      <c r="D32" s="214" t="str">
        <f>IFERROR(VLOOKUP($C32,'PORTIFÓLIO'!C:V,2,0),"")</f>
        <v/>
      </c>
      <c r="E32" s="211" t="str">
        <f>IFERROR(VLOOKUP($C32,'PORTIFÓLIO'!C:V,3,0),"")</f>
        <v/>
      </c>
      <c r="F32" s="211" t="str">
        <f>IFERROR(VLOOKUP($C32,'PORTIFÓLIO'!C:V,4,0),"")</f>
        <v/>
      </c>
      <c r="G32" s="215" t="str">
        <f>IFERROR(VLOOKUP($C32,'PORTIFÓLIO'!C:V,5,0),"")</f>
        <v/>
      </c>
      <c r="H32" s="254" t="str">
        <f t="array" ref="H32">IFERROR(INDEX('PORTIFÓLIO'!$H$4:$H$433,MATCH($C32,'PORTIFÓLIO'!$C$4:$C$433,0)),"")</f>
        <v/>
      </c>
      <c r="I32" s="256"/>
      <c r="J32" s="218">
        <f t="shared" si="4"/>
        <v>0</v>
      </c>
      <c r="K32" s="219" t="str">
        <f t="array" ref="K32">IFERROR(I32*INDEX('PORTIFÓLIO'!$S$4:$S$433,MATCH($C32,'PORTIFÓLIO'!$C$4:$C$433,0)),"")</f>
        <v/>
      </c>
      <c r="L32" s="219" t="str">
        <f t="array" ref="L32">IFERROR(J32*INDEX('PORTIFÓLIO'!$S$4:$S$433,MATCH($C32,'PORTIFÓLIO'!$C$4:$C$433,0)),"")</f>
        <v/>
      </c>
      <c r="M32" s="220"/>
      <c r="N32" s="220"/>
      <c r="O32" s="220"/>
      <c r="P32" s="220"/>
      <c r="Q32" s="220"/>
      <c r="R32" s="220"/>
      <c r="S32" s="220"/>
      <c r="T32" s="220"/>
      <c r="U32" s="220"/>
      <c r="V32" s="220"/>
      <c r="W32" s="220"/>
    </row>
    <row r="33" ht="15.75" customHeight="1" outlineLevel="1">
      <c r="A33" s="211"/>
      <c r="B33" s="212"/>
      <c r="C33" s="213"/>
      <c r="D33" s="214" t="str">
        <f>IFERROR(VLOOKUP($C33,'PORTIFÓLIO'!C:V,2,0),"")</f>
        <v/>
      </c>
      <c r="E33" s="211" t="str">
        <f>IFERROR(VLOOKUP($C33,'PORTIFÓLIO'!C:V,3,0),"")</f>
        <v/>
      </c>
      <c r="F33" s="211" t="str">
        <f>IFERROR(VLOOKUP($C33,'PORTIFÓLIO'!C:V,4,0),"")</f>
        <v/>
      </c>
      <c r="G33" s="215" t="str">
        <f>IFERROR(VLOOKUP($C33,'PORTIFÓLIO'!C:V,5,0),"")</f>
        <v/>
      </c>
      <c r="H33" s="254" t="str">
        <f t="array" ref="H33">IFERROR(INDEX('PORTIFÓLIO'!$H$4:$H$433,MATCH($C33,'PORTIFÓLIO'!$C$4:$C$433,0)),"")</f>
        <v/>
      </c>
      <c r="I33" s="256"/>
      <c r="J33" s="218">
        <f t="shared" si="4"/>
        <v>0</v>
      </c>
      <c r="K33" s="219" t="str">
        <f t="array" ref="K33">IFERROR(I33*INDEX('PORTIFÓLIO'!$S$4:$S$433,MATCH($C33,'PORTIFÓLIO'!$C$4:$C$433,0)),"")</f>
        <v/>
      </c>
      <c r="L33" s="219" t="str">
        <f t="array" ref="L33">IFERROR(J33*INDEX('PORTIFÓLIO'!$S$4:$S$433,MATCH($C33,'PORTIFÓLIO'!$C$4:$C$433,0)),"")</f>
        <v/>
      </c>
      <c r="M33" s="220"/>
      <c r="N33" s="220"/>
      <c r="O33" s="220"/>
      <c r="P33" s="220"/>
      <c r="Q33" s="220"/>
      <c r="R33" s="220"/>
      <c r="S33" s="220"/>
      <c r="T33" s="220"/>
      <c r="U33" s="220"/>
      <c r="V33" s="220"/>
      <c r="W33" s="220"/>
    </row>
    <row r="34" ht="15.75" customHeight="1" outlineLevel="1">
      <c r="A34" s="211"/>
      <c r="B34" s="212"/>
      <c r="C34" s="213"/>
      <c r="D34" s="214" t="str">
        <f>IFERROR(VLOOKUP($C34,'PORTIFÓLIO'!C:V,2,0),"")</f>
        <v/>
      </c>
      <c r="E34" s="211" t="str">
        <f>IFERROR(VLOOKUP($C34,'PORTIFÓLIO'!C:V,3,0),"")</f>
        <v/>
      </c>
      <c r="F34" s="211" t="str">
        <f>IFERROR(VLOOKUP($C34,'PORTIFÓLIO'!C:V,4,0),"")</f>
        <v/>
      </c>
      <c r="G34" s="215" t="str">
        <f>IFERROR(VLOOKUP($C34,'PORTIFÓLIO'!C:V,5,0),"")</f>
        <v/>
      </c>
      <c r="H34" s="254" t="str">
        <f t="array" ref="H34">IFERROR(INDEX('PORTIFÓLIO'!$H$4:$H$433,MATCH($C34,'PORTIFÓLIO'!$C$4:$C$433,0)),"")</f>
        <v/>
      </c>
      <c r="I34" s="255"/>
      <c r="J34" s="218">
        <f t="shared" si="4"/>
        <v>0</v>
      </c>
      <c r="K34" s="219" t="str">
        <f t="array" ref="K34">IFERROR(I34*INDEX('PORTIFÓLIO'!$S$4:$S$433,MATCH($C34,'PORTIFÓLIO'!$C$4:$C$433,0)),"")</f>
        <v/>
      </c>
      <c r="L34" s="219" t="str">
        <f t="array" ref="L34">IFERROR(J34*INDEX('PORTIFÓLIO'!$S$4:$S$433,MATCH($C34,'PORTIFÓLIO'!$C$4:$C$433,0)),"")</f>
        <v/>
      </c>
      <c r="M34" s="220"/>
      <c r="N34" s="220"/>
      <c r="O34" s="220"/>
      <c r="P34" s="220"/>
      <c r="Q34" s="220"/>
      <c r="R34" s="220"/>
      <c r="S34" s="220"/>
      <c r="T34" s="220"/>
      <c r="U34" s="220"/>
      <c r="V34" s="220"/>
      <c r="W34" s="220"/>
    </row>
    <row r="35" ht="15.75" customHeight="1" outlineLevel="1">
      <c r="A35" s="211"/>
      <c r="B35" s="212"/>
      <c r="C35" s="213"/>
      <c r="D35" s="214" t="str">
        <f>IFERROR(VLOOKUP($C35,'PORTIFÓLIO'!C:V,2,0),"")</f>
        <v/>
      </c>
      <c r="E35" s="211" t="str">
        <f>IFERROR(VLOOKUP($C35,'PORTIFÓLIO'!C:V,3,0),"")</f>
        <v/>
      </c>
      <c r="F35" s="211" t="str">
        <f>IFERROR(VLOOKUP($C35,'PORTIFÓLIO'!C:V,4,0),"")</f>
        <v/>
      </c>
      <c r="G35" s="215" t="str">
        <f>IFERROR(VLOOKUP($C35,'PORTIFÓLIO'!C:V,5,0),"")</f>
        <v/>
      </c>
      <c r="H35" s="254" t="str">
        <f t="array" ref="H35">IFERROR(INDEX('PORTIFÓLIO'!$H$4:$H$433,MATCH($C35,'PORTIFÓLIO'!$C$4:$C$433,0)),"")</f>
        <v/>
      </c>
      <c r="I35" s="256"/>
      <c r="J35" s="218">
        <f t="shared" si="4"/>
        <v>0</v>
      </c>
      <c r="K35" s="219" t="str">
        <f t="array" ref="K35">IFERROR(I35*INDEX('PORTIFÓLIO'!$S$4:$S$433,MATCH($C35,'PORTIFÓLIO'!$C$4:$C$433,0)),"")</f>
        <v/>
      </c>
      <c r="L35" s="219" t="str">
        <f t="array" ref="L35">IFERROR(J35*INDEX('PORTIFÓLIO'!$S$4:$S$433,MATCH($C35,'PORTIFÓLIO'!$C$4:$C$433,0)),"")</f>
        <v/>
      </c>
      <c r="M35" s="220"/>
      <c r="N35" s="220"/>
      <c r="O35" s="220"/>
      <c r="P35" s="220"/>
      <c r="Q35" s="220"/>
      <c r="R35" s="220"/>
      <c r="S35" s="220"/>
      <c r="T35" s="220"/>
      <c r="U35" s="220"/>
      <c r="V35" s="220"/>
      <c r="W35" s="220"/>
    </row>
    <row r="36" ht="15.75" customHeight="1" outlineLevel="1">
      <c r="A36" s="211"/>
      <c r="B36" s="212"/>
      <c r="C36" s="213"/>
      <c r="D36" s="214" t="str">
        <f>IFERROR(VLOOKUP($C36,'PORTIFÓLIO'!C:V,2,0),"")</f>
        <v/>
      </c>
      <c r="E36" s="211" t="str">
        <f>IFERROR(VLOOKUP($C36,'PORTIFÓLIO'!C:V,3,0),"")</f>
        <v/>
      </c>
      <c r="F36" s="211" t="str">
        <f>IFERROR(VLOOKUP($C36,'PORTIFÓLIO'!C:V,4,0),"")</f>
        <v/>
      </c>
      <c r="G36" s="215" t="str">
        <f>IFERROR(VLOOKUP($C36,'PORTIFÓLIO'!C:V,5,0),"")</f>
        <v/>
      </c>
      <c r="H36" s="254" t="str">
        <f t="array" ref="H36">IFERROR(INDEX('PORTIFÓLIO'!$H$4:$H$433,MATCH($C36,'PORTIFÓLIO'!$C$4:$C$433,0)),"")</f>
        <v/>
      </c>
      <c r="I36" s="256"/>
      <c r="J36" s="218">
        <f t="shared" si="4"/>
        <v>0</v>
      </c>
      <c r="K36" s="219" t="str">
        <f t="array" ref="K36">IFERROR(I36*INDEX('PORTIFÓLIO'!$S$4:$S$433,MATCH($C36,'PORTIFÓLIO'!$C$4:$C$433,0)),"")</f>
        <v/>
      </c>
      <c r="L36" s="219" t="str">
        <f t="array" ref="L36">IFERROR(J36*INDEX('PORTIFÓLIO'!$S$4:$S$433,MATCH($C36,'PORTIFÓLIO'!$C$4:$C$433,0)),"")</f>
        <v/>
      </c>
      <c r="M36" s="220"/>
      <c r="N36" s="220"/>
      <c r="O36" s="220"/>
      <c r="P36" s="220"/>
      <c r="Q36" s="220"/>
      <c r="R36" s="220"/>
      <c r="S36" s="220"/>
      <c r="T36" s="220"/>
      <c r="U36" s="220"/>
      <c r="V36" s="220"/>
      <c r="W36" s="220"/>
    </row>
    <row r="37" ht="15.75" customHeight="1" outlineLevel="1">
      <c r="A37" s="211"/>
      <c r="B37" s="212"/>
      <c r="C37" s="213"/>
      <c r="D37" s="214" t="str">
        <f>IFERROR(VLOOKUP($C37,'PORTIFÓLIO'!C:V,2,0),"")</f>
        <v/>
      </c>
      <c r="E37" s="211" t="str">
        <f>IFERROR(VLOOKUP($C37,'PORTIFÓLIO'!C:V,3,0),"")</f>
        <v/>
      </c>
      <c r="F37" s="211" t="str">
        <f>IFERROR(VLOOKUP($C37,'PORTIFÓLIO'!C:V,4,0),"")</f>
        <v/>
      </c>
      <c r="G37" s="215" t="str">
        <f>IFERROR(VLOOKUP($C37,'PORTIFÓLIO'!C:V,5,0),"")</f>
        <v/>
      </c>
      <c r="H37" s="254" t="str">
        <f t="array" ref="H37">IFERROR(INDEX('PORTIFÓLIO'!$H$4:$H$433,MATCH($C37,'PORTIFÓLIO'!$C$4:$C$433,0)),"")</f>
        <v/>
      </c>
      <c r="I37" s="256"/>
      <c r="J37" s="218">
        <f t="shared" si="4"/>
        <v>0</v>
      </c>
      <c r="K37" s="219" t="str">
        <f t="array" ref="K37">IFERROR(I37*INDEX('PORTIFÓLIO'!$S$4:$S$433,MATCH($C37,'PORTIFÓLIO'!$C$4:$C$433,0)),"")</f>
        <v/>
      </c>
      <c r="L37" s="219" t="str">
        <f t="array" ref="L37">IFERROR(J37*INDEX('PORTIFÓLIO'!$S$4:$S$433,MATCH($C37,'PORTIFÓLIO'!$C$4:$C$433,0)),"")</f>
        <v/>
      </c>
      <c r="M37" s="220"/>
      <c r="N37" s="220"/>
      <c r="O37" s="220"/>
      <c r="P37" s="220"/>
      <c r="Q37" s="220"/>
      <c r="R37" s="220"/>
      <c r="S37" s="220"/>
      <c r="T37" s="220"/>
      <c r="U37" s="220"/>
      <c r="V37" s="220"/>
      <c r="W37" s="220"/>
    </row>
    <row r="38" ht="15.75" customHeight="1" outlineLevel="1">
      <c r="A38" s="211"/>
      <c r="B38" s="212"/>
      <c r="C38" s="213"/>
      <c r="D38" s="214" t="str">
        <f>IFERROR(VLOOKUP($C38,'PORTIFÓLIO'!C:V,2,0),"")</f>
        <v/>
      </c>
      <c r="E38" s="211" t="str">
        <f>IFERROR(VLOOKUP($C38,'PORTIFÓLIO'!C:V,3,0),"")</f>
        <v/>
      </c>
      <c r="F38" s="211" t="str">
        <f>IFERROR(VLOOKUP($C38,'PORTIFÓLIO'!C:V,4,0),"")</f>
        <v/>
      </c>
      <c r="G38" s="215" t="str">
        <f>IFERROR(VLOOKUP($C38,'PORTIFÓLIO'!C:V,5,0),"")</f>
        <v/>
      </c>
      <c r="H38" s="254" t="str">
        <f t="array" ref="H38">IFERROR(INDEX('PORTIFÓLIO'!$H$4:$H$433,MATCH($C38,'PORTIFÓLIO'!$C$4:$C$433,0)),"")</f>
        <v/>
      </c>
      <c r="I38" s="256"/>
      <c r="J38" s="218">
        <f t="shared" si="4"/>
        <v>0</v>
      </c>
      <c r="K38" s="219" t="str">
        <f t="array" ref="K38">IFERROR(I38*INDEX('PORTIFÓLIO'!$S$4:$S$433,MATCH($C38,'PORTIFÓLIO'!$C$4:$C$433,0)),"")</f>
        <v/>
      </c>
      <c r="L38" s="219" t="str">
        <f t="array" ref="L38">IFERROR(J38*INDEX('PORTIFÓLIO'!$S$4:$S$433,MATCH($C38,'PORTIFÓLIO'!$C$4:$C$433,0)),"")</f>
        <v/>
      </c>
      <c r="M38" s="220"/>
      <c r="N38" s="220"/>
      <c r="O38" s="220"/>
      <c r="P38" s="220"/>
      <c r="Q38" s="220"/>
      <c r="R38" s="220"/>
      <c r="S38" s="220"/>
      <c r="T38" s="220"/>
      <c r="U38" s="220"/>
      <c r="V38" s="220"/>
      <c r="W38" s="220"/>
    </row>
    <row r="39" ht="15.75" customHeight="1" outlineLevel="1">
      <c r="A39" s="211"/>
      <c r="B39" s="212"/>
      <c r="C39" s="213"/>
      <c r="D39" s="214" t="str">
        <f>IFERROR(VLOOKUP($C39,'PORTIFÓLIO'!C:V,2,0),"")</f>
        <v/>
      </c>
      <c r="E39" s="211" t="str">
        <f>IFERROR(VLOOKUP($C39,'PORTIFÓLIO'!C:V,3,0),"")</f>
        <v/>
      </c>
      <c r="F39" s="211" t="str">
        <f>IFERROR(VLOOKUP($C39,'PORTIFÓLIO'!C:V,4,0),"")</f>
        <v/>
      </c>
      <c r="G39" s="215" t="str">
        <f>IFERROR(VLOOKUP($C39,'PORTIFÓLIO'!C:V,5,0),"")</f>
        <v/>
      </c>
      <c r="H39" s="254" t="str">
        <f t="array" ref="H39">IFERROR(INDEX('PORTIFÓLIO'!$H$4:$H$433,MATCH($C39,'PORTIFÓLIO'!$C$4:$C$433,0)),"")</f>
        <v/>
      </c>
      <c r="I39" s="256"/>
      <c r="J39" s="218">
        <f t="shared" si="4"/>
        <v>0</v>
      </c>
      <c r="K39" s="219" t="str">
        <f t="array" ref="K39">IFERROR(I39*INDEX('PORTIFÓLIO'!$S$4:$S$433,MATCH($C39,'PORTIFÓLIO'!$C$4:$C$433,0)),"")</f>
        <v/>
      </c>
      <c r="L39" s="219" t="str">
        <f t="array" ref="L39">IFERROR(J39*INDEX('PORTIFÓLIO'!$S$4:$S$433,MATCH($C39,'PORTIFÓLIO'!$C$4:$C$433,0)),"")</f>
        <v/>
      </c>
      <c r="M39" s="220"/>
      <c r="N39" s="220"/>
      <c r="O39" s="220"/>
      <c r="P39" s="220"/>
      <c r="Q39" s="220"/>
      <c r="R39" s="220"/>
      <c r="S39" s="220"/>
      <c r="T39" s="220"/>
      <c r="U39" s="220"/>
      <c r="V39" s="220"/>
      <c r="W39" s="220"/>
    </row>
    <row r="40" ht="15.75" customHeight="1" outlineLevel="1">
      <c r="A40" s="211"/>
      <c r="B40" s="212"/>
      <c r="C40" s="213"/>
      <c r="D40" s="214" t="str">
        <f>IFERROR(VLOOKUP($C40,'PORTIFÓLIO'!C:V,2,0),"")</f>
        <v/>
      </c>
      <c r="E40" s="211" t="str">
        <f>IFERROR(VLOOKUP($C40,'PORTIFÓLIO'!C:V,3,0),"")</f>
        <v/>
      </c>
      <c r="F40" s="211" t="str">
        <f>IFERROR(VLOOKUP($C40,'PORTIFÓLIO'!C:V,4,0),"")</f>
        <v/>
      </c>
      <c r="G40" s="215" t="str">
        <f>IFERROR(VLOOKUP($C40,'PORTIFÓLIO'!C:V,5,0),"")</f>
        <v/>
      </c>
      <c r="H40" s="254" t="str">
        <f t="array" ref="H40">IFERROR(INDEX('PORTIFÓLIO'!$H$4:$H$433,MATCH($C40,'PORTIFÓLIO'!$C$4:$C$433,0)),"")</f>
        <v/>
      </c>
      <c r="I40" s="256"/>
      <c r="J40" s="218">
        <f t="shared" si="4"/>
        <v>0</v>
      </c>
      <c r="K40" s="219" t="str">
        <f t="array" ref="K40">IFERROR(I40*INDEX('PORTIFÓLIO'!$S$4:$S$433,MATCH($C40,'PORTIFÓLIO'!$C$4:$C$433,0)),"")</f>
        <v/>
      </c>
      <c r="L40" s="219" t="str">
        <f t="array" ref="L40">IFERROR(J40*INDEX('PORTIFÓLIO'!$S$4:$S$433,MATCH($C40,'PORTIFÓLIO'!$C$4:$C$433,0)),"")</f>
        <v/>
      </c>
      <c r="M40" s="220"/>
      <c r="N40" s="220"/>
      <c r="O40" s="220"/>
      <c r="P40" s="220"/>
      <c r="Q40" s="220"/>
      <c r="R40" s="220"/>
      <c r="S40" s="220"/>
      <c r="T40" s="220"/>
      <c r="U40" s="220"/>
      <c r="V40" s="220"/>
      <c r="W40" s="220"/>
    </row>
    <row r="41" ht="15.75" customHeight="1" outlineLevel="1">
      <c r="A41" s="211"/>
      <c r="B41" s="212"/>
      <c r="C41" s="213"/>
      <c r="D41" s="214" t="str">
        <f>IFERROR(VLOOKUP($C41,'PORTIFÓLIO'!C:V,2,0),"")</f>
        <v/>
      </c>
      <c r="E41" s="211" t="str">
        <f>IFERROR(VLOOKUP($C41,'PORTIFÓLIO'!C:V,3,0),"")</f>
        <v/>
      </c>
      <c r="F41" s="211" t="str">
        <f>IFERROR(VLOOKUP($C41,'PORTIFÓLIO'!C:V,4,0),"")</f>
        <v/>
      </c>
      <c r="G41" s="215" t="str">
        <f>IFERROR(VLOOKUP($C41,'PORTIFÓLIO'!C:V,5,0),"")</f>
        <v/>
      </c>
      <c r="H41" s="254" t="str">
        <f t="array" ref="H41">IFERROR(INDEX('PORTIFÓLIO'!$H$4:$H$433,MATCH($C41,'PORTIFÓLIO'!$C$4:$C$433,0)),"")</f>
        <v/>
      </c>
      <c r="I41" s="256"/>
      <c r="J41" s="218">
        <f t="shared" si="4"/>
        <v>0</v>
      </c>
      <c r="K41" s="219" t="str">
        <f t="array" ref="K41">IFERROR(I41*INDEX('PORTIFÓLIO'!$S$4:$S$433,MATCH($C41,'PORTIFÓLIO'!$C$4:$C$433,0)),"")</f>
        <v/>
      </c>
      <c r="L41" s="219" t="str">
        <f t="array" ref="L41">IFERROR(J41*INDEX('PORTIFÓLIO'!$S$4:$S$433,MATCH($C41,'PORTIFÓLIO'!$C$4:$C$433,0)),"")</f>
        <v/>
      </c>
      <c r="M41" s="220"/>
      <c r="N41" s="220"/>
      <c r="O41" s="220"/>
      <c r="P41" s="220"/>
      <c r="Q41" s="220"/>
      <c r="R41" s="220"/>
      <c r="S41" s="220"/>
      <c r="T41" s="220"/>
      <c r="U41" s="220"/>
      <c r="V41" s="220"/>
      <c r="W41" s="220"/>
    </row>
    <row r="42" ht="15.75" customHeight="1" outlineLevel="1">
      <c r="A42" s="211"/>
      <c r="B42" s="212"/>
      <c r="C42" s="213"/>
      <c r="D42" s="214" t="str">
        <f>IFERROR(VLOOKUP($C42,'PORTIFÓLIO'!C:V,2,0),"")</f>
        <v/>
      </c>
      <c r="E42" s="211" t="str">
        <f>IFERROR(VLOOKUP($C42,'PORTIFÓLIO'!C:V,3,0),"")</f>
        <v/>
      </c>
      <c r="F42" s="211" t="str">
        <f>IFERROR(VLOOKUP($C42,'PORTIFÓLIO'!C:V,4,0),"")</f>
        <v/>
      </c>
      <c r="G42" s="215" t="str">
        <f>IFERROR(VLOOKUP($C42,'PORTIFÓLIO'!C:V,5,0),"")</f>
        <v/>
      </c>
      <c r="H42" s="254" t="str">
        <f t="array" ref="H42">IFERROR(INDEX('PORTIFÓLIO'!$H$4:$H$433,MATCH($C42,'PORTIFÓLIO'!$C$4:$C$433,0)),"")</f>
        <v/>
      </c>
      <c r="I42" s="256"/>
      <c r="J42" s="218">
        <f t="shared" si="4"/>
        <v>0</v>
      </c>
      <c r="K42" s="219" t="str">
        <f t="array" ref="K42">IFERROR(I42*INDEX('PORTIFÓLIO'!$S$4:$S$433,MATCH($C42,'PORTIFÓLIO'!$C$4:$C$433,0)),"")</f>
        <v/>
      </c>
      <c r="L42" s="219" t="str">
        <f t="array" ref="L42">IFERROR(J42*INDEX('PORTIFÓLIO'!$S$4:$S$433,MATCH($C42,'PORTIFÓLIO'!$C$4:$C$433,0)),"")</f>
        <v/>
      </c>
      <c r="M42" s="220"/>
      <c r="N42" s="220"/>
      <c r="O42" s="220"/>
      <c r="P42" s="220"/>
      <c r="Q42" s="220"/>
      <c r="R42" s="220"/>
      <c r="S42" s="220"/>
      <c r="T42" s="220"/>
      <c r="U42" s="220"/>
      <c r="V42" s="220"/>
      <c r="W42" s="220"/>
    </row>
    <row r="43" ht="15.75" customHeight="1" outlineLevel="1">
      <c r="A43" s="211"/>
      <c r="B43" s="212"/>
      <c r="C43" s="213"/>
      <c r="D43" s="214" t="str">
        <f>IFERROR(VLOOKUP($C43,'PORTIFÓLIO'!C:V,2,0),"")</f>
        <v/>
      </c>
      <c r="E43" s="211" t="str">
        <f>IFERROR(VLOOKUP($C43,'PORTIFÓLIO'!C:V,3,0),"")</f>
        <v/>
      </c>
      <c r="F43" s="211" t="str">
        <f>IFERROR(VLOOKUP($C43,'PORTIFÓLIO'!C:V,4,0),"")</f>
        <v/>
      </c>
      <c r="G43" s="215" t="str">
        <f>IFERROR(VLOOKUP($C43,'PORTIFÓLIO'!C:V,5,0),"")</f>
        <v/>
      </c>
      <c r="H43" s="254" t="str">
        <f t="array" ref="H43">IFERROR(INDEX('PORTIFÓLIO'!$H$4:$H$433,MATCH($C43,'PORTIFÓLIO'!$C$4:$C$433,0)),"")</f>
        <v/>
      </c>
      <c r="I43" s="256"/>
      <c r="J43" s="218">
        <f t="shared" si="4"/>
        <v>0</v>
      </c>
      <c r="K43" s="219" t="str">
        <f t="array" ref="K43">IFERROR(I43*INDEX('PORTIFÓLIO'!$S$4:$S$433,MATCH($C43,'PORTIFÓLIO'!$C$4:$C$433,0)),"")</f>
        <v/>
      </c>
      <c r="L43" s="219" t="str">
        <f t="array" ref="L43">IFERROR(J43*INDEX('PORTIFÓLIO'!$S$4:$S$433,MATCH($C43,'PORTIFÓLIO'!$C$4:$C$433,0)),"")</f>
        <v/>
      </c>
      <c r="M43" s="220"/>
      <c r="N43" s="220"/>
      <c r="O43" s="220"/>
      <c r="P43" s="220"/>
      <c r="Q43" s="220"/>
      <c r="R43" s="220"/>
      <c r="S43" s="220"/>
      <c r="T43" s="220"/>
      <c r="U43" s="220"/>
      <c r="V43" s="220"/>
      <c r="W43" s="220"/>
    </row>
    <row r="44" ht="15.75" customHeight="1">
      <c r="A44" s="229" t="s">
        <v>1185</v>
      </c>
      <c r="B44" s="230"/>
      <c r="C44" s="231"/>
      <c r="D44" s="232" t="s">
        <v>216</v>
      </c>
      <c r="E44" s="231"/>
      <c r="F44" s="231"/>
      <c r="G44" s="233"/>
      <c r="H44" s="233"/>
      <c r="I44" s="258"/>
      <c r="J44" s="236"/>
      <c r="K44" s="237">
        <f t="shared" ref="K44:L44" si="5">SUBTOTAL(9,K45:K58)</f>
        <v>155.73189</v>
      </c>
      <c r="L44" s="237">
        <f t="shared" si="5"/>
        <v>9343.9134</v>
      </c>
      <c r="M44" s="220"/>
      <c r="N44" s="220"/>
      <c r="O44" s="220"/>
      <c r="P44" s="220"/>
      <c r="Q44" s="220"/>
      <c r="R44" s="220"/>
      <c r="S44" s="220"/>
      <c r="T44" s="220"/>
      <c r="U44" s="220"/>
      <c r="V44" s="220"/>
      <c r="W44" s="220"/>
    </row>
    <row r="45" ht="15.75" customHeight="1" outlineLevel="1">
      <c r="A45" s="213"/>
      <c r="B45" s="212" t="s">
        <v>1</v>
      </c>
      <c r="C45" s="213" t="s">
        <v>706</v>
      </c>
      <c r="D45" s="214" t="str">
        <f>IFERROR(VLOOKUP($C45,'PORTIFÓLIO'!C:V,2,0),"")</f>
        <v>GLUFOSINATO - SAL DE AMONIO</v>
      </c>
      <c r="E45" s="211">
        <f>IFERROR(VLOOKUP($C45,'PORTIFÓLIO'!C:V,3,0),"")</f>
        <v>880</v>
      </c>
      <c r="F45" s="211" t="str">
        <f>IFERROR(VLOOKUP($C45,'PORTIFÓLIO'!C:V,4,0),"")</f>
        <v>L</v>
      </c>
      <c r="G45" s="225" t="str">
        <f>IFERROR(VLOOKUP($C45,'PORTIFÓLIO'!C:V,5,0),"")</f>
        <v>📄 Ver bula</v>
      </c>
      <c r="H45" s="254">
        <f t="array" ref="H45">IFERROR(INDEX('PORTIFÓLIO'!$H$4:$H$433,MATCH($C45,'PORTIFÓLIO'!$C$4:$C$433,0)),"")</f>
        <v>0.5</v>
      </c>
      <c r="I45" s="255">
        <v>0.5</v>
      </c>
      <c r="J45" s="218">
        <f t="shared" ref="J45:J62" si="6">I45*$B$2</f>
        <v>30</v>
      </c>
      <c r="K45" s="219">
        <f t="array" ref="K45">IFERROR(I45*INDEX('PORTIFÓLIO'!$S$4:$S$433,MATCH($C45,'PORTIFÓLIO'!$C$4:$C$433,0)),"")</f>
        <v>23.49848</v>
      </c>
      <c r="L45" s="219">
        <f t="array" ref="L45">IFERROR(J45*INDEX('PORTIFÓLIO'!$S$4:$S$433,MATCH($C45,'PORTIFÓLIO'!$C$4:$C$433,0)),"")</f>
        <v>1409.9088</v>
      </c>
      <c r="M45" s="220"/>
      <c r="N45" s="220"/>
      <c r="O45" s="220"/>
      <c r="P45" s="220"/>
      <c r="Q45" s="220"/>
      <c r="R45" s="220"/>
      <c r="S45" s="220"/>
      <c r="T45" s="220"/>
      <c r="U45" s="220"/>
      <c r="V45" s="220"/>
      <c r="W45" s="220"/>
    </row>
    <row r="46" ht="15.75" customHeight="1" outlineLevel="1">
      <c r="A46" s="211"/>
      <c r="B46" s="212" t="s">
        <v>1</v>
      </c>
      <c r="C46" s="213" t="s">
        <v>693</v>
      </c>
      <c r="D46" s="214" t="str">
        <f>IFERROR(VLOOKUP($C46,'PORTIFÓLIO'!C:V,2,0),"")</f>
        <v>CLOMAZONA</v>
      </c>
      <c r="E46" s="211">
        <f>IFERROR(VLOOKUP($C46,'PORTIFÓLIO'!C:V,3,0),"")</f>
        <v>360</v>
      </c>
      <c r="F46" s="211" t="str">
        <f>IFERROR(VLOOKUP($C46,'PORTIFÓLIO'!C:V,4,0),"")</f>
        <v>L</v>
      </c>
      <c r="G46" s="225" t="str">
        <f>IFERROR(VLOOKUP($C46,'PORTIFÓLIO'!C:V,5,0),"")</f>
        <v>📄 Ver bula</v>
      </c>
      <c r="H46" s="254">
        <f t="array" ref="H46">IFERROR(INDEX('PORTIFÓLIO'!$H$4:$H$433,MATCH($C46,'PORTIFÓLIO'!$C$4:$C$433,0)),"")</f>
        <v>1</v>
      </c>
      <c r="I46" s="255">
        <v>1.0</v>
      </c>
      <c r="J46" s="218">
        <f t="shared" si="6"/>
        <v>60</v>
      </c>
      <c r="K46" s="219">
        <f t="array" ref="K46">IFERROR(I46*INDEX('PORTIFÓLIO'!$S$4:$S$433,MATCH($C46,'PORTIFÓLIO'!$C$4:$C$433,0)),"")</f>
        <v>43.80156</v>
      </c>
      <c r="L46" s="219">
        <f t="array" ref="L46">IFERROR(J46*INDEX('PORTIFÓLIO'!$S$4:$S$433,MATCH($C46,'PORTIFÓLIO'!$C$4:$C$433,0)),"")</f>
        <v>2628.0936</v>
      </c>
      <c r="M46" s="220"/>
      <c r="N46" s="220"/>
      <c r="O46" s="220"/>
      <c r="P46" s="220"/>
      <c r="Q46" s="220"/>
      <c r="R46" s="220"/>
      <c r="S46" s="220"/>
      <c r="T46" s="220"/>
      <c r="U46" s="220"/>
      <c r="V46" s="220"/>
      <c r="W46" s="220"/>
    </row>
    <row r="47" ht="15.75" customHeight="1" outlineLevel="1">
      <c r="A47" s="211"/>
      <c r="B47" s="212" t="s">
        <v>1</v>
      </c>
      <c r="C47" s="213" t="s">
        <v>728</v>
      </c>
      <c r="D47" s="214" t="str">
        <f>IFERROR(VLOOKUP($C47,'PORTIFÓLIO'!C:V,2,0),"")</f>
        <v>S-METOLACLORO</v>
      </c>
      <c r="E47" s="211">
        <f>IFERROR(VLOOKUP($C47,'PORTIFÓLIO'!C:V,3,0),"")</f>
        <v>960</v>
      </c>
      <c r="F47" s="211" t="str">
        <f>IFERROR(VLOOKUP($C47,'PORTIFÓLIO'!C:V,4,0),"")</f>
        <v>KG</v>
      </c>
      <c r="G47" s="225" t="str">
        <f>IFERROR(VLOOKUP($C47,'PORTIFÓLIO'!C:V,5,0),"")</f>
        <v>📄 Ver bula</v>
      </c>
      <c r="H47" s="254">
        <f t="array" ref="H47">IFERROR(INDEX('PORTIFÓLIO'!$H$4:$H$433,MATCH($C47,'PORTIFÓLIO'!$C$4:$C$433,0)),"")</f>
        <v>2</v>
      </c>
      <c r="I47" s="255">
        <v>1.0</v>
      </c>
      <c r="J47" s="218">
        <f t="shared" si="6"/>
        <v>60</v>
      </c>
      <c r="K47" s="219">
        <f t="array" ref="K47">IFERROR(I47*INDEX('PORTIFÓLIO'!$S$4:$S$433,MATCH($C47,'PORTIFÓLIO'!$C$4:$C$433,0)),"")</f>
        <v>29.1273</v>
      </c>
      <c r="L47" s="219">
        <f t="array" ref="L47">IFERROR(J47*INDEX('PORTIFÓLIO'!$S$4:$S$433,MATCH($C47,'PORTIFÓLIO'!$C$4:$C$433,0)),"")</f>
        <v>1747.638</v>
      </c>
      <c r="M47" s="220"/>
      <c r="N47" s="220"/>
      <c r="O47" s="220"/>
      <c r="P47" s="220"/>
      <c r="Q47" s="220"/>
      <c r="R47" s="220"/>
      <c r="S47" s="220"/>
      <c r="T47" s="220"/>
      <c r="U47" s="220"/>
      <c r="V47" s="220"/>
      <c r="W47" s="220"/>
    </row>
    <row r="48" ht="15.75" customHeight="1" outlineLevel="1">
      <c r="A48" s="211"/>
      <c r="B48" s="212" t="s">
        <v>6</v>
      </c>
      <c r="C48" s="213" t="s">
        <v>354</v>
      </c>
      <c r="D48" s="214" t="str">
        <f>IFERROR(VLOOKUP($C48,'PORTIFÓLIO'!C:V,2,0),"")</f>
        <v>OLEO MINERAL</v>
      </c>
      <c r="E48" s="211">
        <f>IFERROR(VLOOKUP($C48,'PORTIFÓLIO'!C:V,3,0),"")</f>
        <v>761</v>
      </c>
      <c r="F48" s="211" t="str">
        <f>IFERROR(VLOOKUP($C48,'PORTIFÓLIO'!C:V,4,0),"")</f>
        <v>L</v>
      </c>
      <c r="G48" s="225" t="str">
        <f>IFERROR(VLOOKUP($C48,'PORTIFÓLIO'!C:V,5,0),"")</f>
        <v>📄 Ver bula</v>
      </c>
      <c r="H48" s="254">
        <f t="array" ref="H48">IFERROR(INDEX('PORTIFÓLIO'!$H$4:$H$433,MATCH($C48,'PORTIFÓLIO'!$C$4:$C$433,0)),"")</f>
        <v>0.2</v>
      </c>
      <c r="I48" s="255">
        <v>0.2</v>
      </c>
      <c r="J48" s="218">
        <f t="shared" si="6"/>
        <v>12</v>
      </c>
      <c r="K48" s="219">
        <f t="array" ref="K48">IFERROR(I48*INDEX('PORTIFÓLIO'!$S$4:$S$433,MATCH($C48,'PORTIFÓLIO'!$C$4:$C$433,0)),"")</f>
        <v>3.206</v>
      </c>
      <c r="L48" s="219">
        <f t="array" ref="L48">IFERROR(J48*INDEX('PORTIFÓLIO'!$S$4:$S$433,MATCH($C48,'PORTIFÓLIO'!$C$4:$C$433,0)),"")</f>
        <v>192.36</v>
      </c>
      <c r="M48" s="220"/>
      <c r="N48" s="220"/>
      <c r="O48" s="220"/>
      <c r="P48" s="220"/>
      <c r="Q48" s="220"/>
      <c r="R48" s="220"/>
      <c r="S48" s="220"/>
      <c r="T48" s="220"/>
      <c r="U48" s="220"/>
      <c r="V48" s="220"/>
      <c r="W48" s="220"/>
    </row>
    <row r="49" ht="15.75" customHeight="1" outlineLevel="1">
      <c r="A49" s="211"/>
      <c r="B49" s="212" t="s">
        <v>2</v>
      </c>
      <c r="C49" s="213" t="s">
        <v>824</v>
      </c>
      <c r="D49" s="214" t="str">
        <f>IFERROR(VLOOKUP($C49,'PORTIFÓLIO'!C:V,2,0),"")</f>
        <v>CLORANTRANILIPROLE</v>
      </c>
      <c r="E49" s="211">
        <f>IFERROR(VLOOKUP($C49,'PORTIFÓLIO'!C:V,3,0),"")</f>
        <v>200</v>
      </c>
      <c r="F49" s="211" t="str">
        <f>IFERROR(VLOOKUP($C49,'PORTIFÓLIO'!C:V,4,0),"")</f>
        <v>L</v>
      </c>
      <c r="G49" s="225" t="str">
        <f>IFERROR(VLOOKUP($C49,'PORTIFÓLIO'!C:V,5,0),"")</f>
        <v>📄 Ver bula</v>
      </c>
      <c r="H49" s="254">
        <f t="array" ref="H49">IFERROR(INDEX('PORTIFÓLIO'!$H$4:$H$433,MATCH($C49,'PORTIFÓLIO'!$C$4:$C$433,0)),"")</f>
        <v>0.1</v>
      </c>
      <c r="I49" s="255">
        <v>0.04</v>
      </c>
      <c r="J49" s="218">
        <f t="shared" si="6"/>
        <v>2.4</v>
      </c>
      <c r="K49" s="219">
        <f t="array" ref="K49">IFERROR(I49*INDEX('PORTIFÓLIO'!$S$4:$S$433,MATCH($C49,'PORTIFÓLIO'!$C$4:$C$433,0)),"")</f>
        <v>11.31855</v>
      </c>
      <c r="L49" s="219">
        <f t="array" ref="L49">IFERROR(J49*INDEX('PORTIFÓLIO'!$S$4:$S$433,MATCH($C49,'PORTIFÓLIO'!$C$4:$C$433,0)),"")</f>
        <v>679.113</v>
      </c>
      <c r="M49" s="220"/>
      <c r="N49" s="220"/>
      <c r="O49" s="220"/>
      <c r="P49" s="220"/>
      <c r="Q49" s="220"/>
      <c r="R49" s="220"/>
      <c r="S49" s="220"/>
      <c r="T49" s="220"/>
      <c r="U49" s="220"/>
      <c r="V49" s="220"/>
      <c r="W49" s="220"/>
    </row>
    <row r="50" ht="15.75" customHeight="1" outlineLevel="1">
      <c r="A50" s="211"/>
      <c r="B50" s="212" t="s">
        <v>9</v>
      </c>
      <c r="C50" s="213" t="s">
        <v>933</v>
      </c>
      <c r="D50" s="214" t="str">
        <f>IFERROR(VLOOKUP($C50,'PORTIFÓLIO'!C:V,2,0),"")</f>
        <v>N1%;B9,5%</v>
      </c>
      <c r="E50" s="211" t="str">
        <f>IFERROR(VLOOKUP($C50,'PORTIFÓLIO'!C:V,3,0),"")</f>
        <v>13,8g/l + 131,1g/l</v>
      </c>
      <c r="F50" s="211" t="str">
        <f>IFERROR(VLOOKUP($C50,'PORTIFÓLIO'!C:V,4,0),"")</f>
        <v>L</v>
      </c>
      <c r="G50" s="215" t="str">
        <f>IFERROR(VLOOKUP($C50,'PORTIFÓLIO'!C:V,5,0),"")</f>
        <v/>
      </c>
      <c r="H50" s="254">
        <f t="array" ref="H50">IFERROR(INDEX('PORTIFÓLIO'!$H$4:$H$433,MATCH($C50,'PORTIFÓLIO'!$C$4:$C$433,0)),"")</f>
        <v>2</v>
      </c>
      <c r="I50" s="255">
        <v>1.0</v>
      </c>
      <c r="J50" s="218">
        <f t="shared" si="6"/>
        <v>60</v>
      </c>
      <c r="K50" s="219">
        <f t="array" ref="K50">IFERROR(I50*INDEX('PORTIFÓLIO'!$S$4:$S$433,MATCH($C50,'PORTIFÓLIO'!$C$4:$C$433,0)),"")</f>
        <v>44.78</v>
      </c>
      <c r="L50" s="219">
        <f t="array" ref="L50">IFERROR(J50*INDEX('PORTIFÓLIO'!$S$4:$S$433,MATCH($C50,'PORTIFÓLIO'!$C$4:$C$433,0)),"")</f>
        <v>2686.8</v>
      </c>
      <c r="M50" s="220"/>
      <c r="N50" s="220"/>
      <c r="O50" s="220"/>
      <c r="P50" s="220"/>
      <c r="Q50" s="220"/>
      <c r="R50" s="220"/>
      <c r="S50" s="220"/>
      <c r="T50" s="220"/>
      <c r="U50" s="220"/>
      <c r="V50" s="220"/>
      <c r="W50" s="220"/>
    </row>
    <row r="51" ht="15.75" customHeight="1" outlineLevel="1">
      <c r="A51" s="211"/>
      <c r="B51" s="212"/>
      <c r="C51" s="213"/>
      <c r="D51" s="214" t="str">
        <f>IFERROR(VLOOKUP($C51,'PORTIFÓLIO'!C:V,2,0),"")</f>
        <v/>
      </c>
      <c r="E51" s="211" t="str">
        <f>IFERROR(VLOOKUP($C51,'PORTIFÓLIO'!C:V,3,0),"")</f>
        <v/>
      </c>
      <c r="F51" s="211" t="str">
        <f>IFERROR(VLOOKUP($C51,'PORTIFÓLIO'!C:V,4,0),"")</f>
        <v/>
      </c>
      <c r="G51" s="215" t="str">
        <f>IFERROR(VLOOKUP($C51,'PORTIFÓLIO'!C:V,5,0),"")</f>
        <v/>
      </c>
      <c r="H51" s="254" t="str">
        <f t="array" ref="H51">IFERROR(INDEX('PORTIFÓLIO'!$H$4:$H$433,MATCH($C51,'PORTIFÓLIO'!$C$4:$C$433,0)),"")</f>
        <v/>
      </c>
      <c r="I51" s="255"/>
      <c r="J51" s="218">
        <f t="shared" si="6"/>
        <v>0</v>
      </c>
      <c r="K51" s="219" t="str">
        <f t="array" ref="K51">IFERROR(I51*INDEX('PORTIFÓLIO'!$S$4:$S$433,MATCH($C51,'PORTIFÓLIO'!$C$4:$C$433,0)),"")</f>
        <v/>
      </c>
      <c r="L51" s="219" t="str">
        <f t="array" ref="L51">IFERROR(J51*INDEX('PORTIFÓLIO'!$S$4:$S$433,MATCH($C51,'PORTIFÓLIO'!$C$4:$C$433,0)),"")</f>
        <v/>
      </c>
      <c r="M51" s="220"/>
      <c r="N51" s="220"/>
      <c r="O51" s="220"/>
      <c r="P51" s="220"/>
      <c r="Q51" s="220"/>
      <c r="R51" s="220"/>
      <c r="S51" s="220"/>
      <c r="T51" s="220"/>
      <c r="U51" s="220"/>
      <c r="V51" s="220"/>
      <c r="W51" s="220"/>
    </row>
    <row r="52" ht="15.75" customHeight="1" outlineLevel="1">
      <c r="A52" s="211"/>
      <c r="B52" s="212"/>
      <c r="C52" s="213"/>
      <c r="D52" s="214" t="str">
        <f>IFERROR(VLOOKUP($C52,'PORTIFÓLIO'!C:V,2,0),"")</f>
        <v/>
      </c>
      <c r="E52" s="211" t="str">
        <f>IFERROR(VLOOKUP($C52,'PORTIFÓLIO'!C:V,3,0),"")</f>
        <v/>
      </c>
      <c r="F52" s="211" t="str">
        <f>IFERROR(VLOOKUP($C52,'PORTIFÓLIO'!C:V,4,0),"")</f>
        <v/>
      </c>
      <c r="G52" s="215" t="str">
        <f>IFERROR(VLOOKUP($C52,'PORTIFÓLIO'!C:V,5,0),"")</f>
        <v/>
      </c>
      <c r="H52" s="254" t="str">
        <f t="array" ref="H52">IFERROR(INDEX('PORTIFÓLIO'!$H$4:$H$433,MATCH($C52,'PORTIFÓLIO'!$C$4:$C$433,0)),"")</f>
        <v/>
      </c>
      <c r="I52" s="256"/>
      <c r="J52" s="218">
        <f t="shared" si="6"/>
        <v>0</v>
      </c>
      <c r="K52" s="219" t="str">
        <f t="array" ref="K52">IFERROR(I52*INDEX('PORTIFÓLIO'!$S$4:$S$433,MATCH($C52,'PORTIFÓLIO'!$C$4:$C$433,0)),"")</f>
        <v/>
      </c>
      <c r="L52" s="219" t="str">
        <f t="array" ref="L52">IFERROR(J52*INDEX('PORTIFÓLIO'!$S$4:$S$433,MATCH($C52,'PORTIFÓLIO'!$C$4:$C$433,0)),"")</f>
        <v/>
      </c>
      <c r="M52" s="220"/>
      <c r="N52" s="220"/>
      <c r="O52" s="220"/>
      <c r="P52" s="220"/>
      <c r="Q52" s="220"/>
      <c r="R52" s="220"/>
      <c r="S52" s="220"/>
      <c r="T52" s="220"/>
      <c r="U52" s="220"/>
      <c r="V52" s="220"/>
      <c r="W52" s="220"/>
    </row>
    <row r="53" ht="15.75" customHeight="1" outlineLevel="1">
      <c r="A53" s="211"/>
      <c r="B53" s="212"/>
      <c r="C53" s="213"/>
      <c r="D53" s="214" t="str">
        <f>IFERROR(VLOOKUP($C53,'PORTIFÓLIO'!C:V,2,0),"")</f>
        <v/>
      </c>
      <c r="E53" s="211" t="str">
        <f>IFERROR(VLOOKUP($C53,'PORTIFÓLIO'!C:V,3,0),"")</f>
        <v/>
      </c>
      <c r="F53" s="211" t="str">
        <f>IFERROR(VLOOKUP($C53,'PORTIFÓLIO'!C:V,4,0),"")</f>
        <v/>
      </c>
      <c r="G53" s="215" t="str">
        <f>IFERROR(VLOOKUP($C53,'PORTIFÓLIO'!C:V,5,0),"")</f>
        <v/>
      </c>
      <c r="H53" s="254" t="str">
        <f t="array" ref="H53">IFERROR(INDEX('PORTIFÓLIO'!$H$4:$H$433,MATCH($C53,'PORTIFÓLIO'!$C$4:$C$433,0)),"")</f>
        <v/>
      </c>
      <c r="I53" s="255"/>
      <c r="J53" s="218">
        <f t="shared" si="6"/>
        <v>0</v>
      </c>
      <c r="K53" s="219" t="str">
        <f t="array" ref="K53">IFERROR(I53*INDEX('PORTIFÓLIO'!$S$4:$S$433,MATCH($C53,'PORTIFÓLIO'!$C$4:$C$433,0)),"")</f>
        <v/>
      </c>
      <c r="L53" s="219" t="str">
        <f t="array" ref="L53">IFERROR(J53*INDEX('PORTIFÓLIO'!$S$4:$S$433,MATCH($C53,'PORTIFÓLIO'!$C$4:$C$433,0)),"")</f>
        <v/>
      </c>
      <c r="M53" s="220"/>
      <c r="N53" s="220"/>
      <c r="O53" s="220"/>
      <c r="P53" s="220"/>
      <c r="Q53" s="220"/>
      <c r="R53" s="220"/>
      <c r="S53" s="220"/>
      <c r="T53" s="220"/>
      <c r="U53" s="220"/>
      <c r="V53" s="220"/>
      <c r="W53" s="220"/>
    </row>
    <row r="54" ht="15.75" customHeight="1" outlineLevel="1">
      <c r="A54" s="211"/>
      <c r="B54" s="212"/>
      <c r="C54" s="213"/>
      <c r="D54" s="214" t="str">
        <f>IFERROR(VLOOKUP($C54,'PORTIFÓLIO'!C:V,2,0),"")</f>
        <v/>
      </c>
      <c r="E54" s="211" t="str">
        <f>IFERROR(VLOOKUP($C54,'PORTIFÓLIO'!C:V,3,0),"")</f>
        <v/>
      </c>
      <c r="F54" s="211" t="str">
        <f>IFERROR(VLOOKUP($C54,'PORTIFÓLIO'!C:V,4,0),"")</f>
        <v/>
      </c>
      <c r="G54" s="215" t="str">
        <f>IFERROR(VLOOKUP($C54,'PORTIFÓLIO'!C:V,5,0),"")</f>
        <v/>
      </c>
      <c r="H54" s="254" t="str">
        <f t="array" ref="H54">IFERROR(INDEX('PORTIFÓLIO'!$H$4:$H$433,MATCH($C54,'PORTIFÓLIO'!$C$4:$C$433,0)),"")</f>
        <v/>
      </c>
      <c r="I54" s="256"/>
      <c r="J54" s="218">
        <f t="shared" si="6"/>
        <v>0</v>
      </c>
      <c r="K54" s="219" t="str">
        <f t="array" ref="K54">IFERROR(I54*INDEX('PORTIFÓLIO'!$S$4:$S$433,MATCH($C54,'PORTIFÓLIO'!$C$4:$C$433,0)),"")</f>
        <v/>
      </c>
      <c r="L54" s="219" t="str">
        <f t="array" ref="L54">IFERROR(J54*INDEX('PORTIFÓLIO'!$S$4:$S$433,MATCH($C54,'PORTIFÓLIO'!$C$4:$C$433,0)),"")</f>
        <v/>
      </c>
      <c r="M54" s="220"/>
      <c r="N54" s="220"/>
      <c r="O54" s="220"/>
      <c r="P54" s="220"/>
      <c r="Q54" s="220"/>
      <c r="R54" s="220"/>
      <c r="S54" s="220"/>
      <c r="T54" s="220"/>
      <c r="U54" s="220"/>
      <c r="V54" s="220"/>
      <c r="W54" s="220"/>
    </row>
    <row r="55" ht="15.75" customHeight="1" outlineLevel="1">
      <c r="A55" s="211"/>
      <c r="B55" s="212"/>
      <c r="C55" s="213"/>
      <c r="D55" s="214" t="str">
        <f>IFERROR(VLOOKUP($C55,'PORTIFÓLIO'!C:V,2,0),"")</f>
        <v/>
      </c>
      <c r="E55" s="211" t="str">
        <f>IFERROR(VLOOKUP($C55,'PORTIFÓLIO'!C:V,3,0),"")</f>
        <v/>
      </c>
      <c r="F55" s="211" t="str">
        <f>IFERROR(VLOOKUP($C55,'PORTIFÓLIO'!C:V,4,0),"")</f>
        <v/>
      </c>
      <c r="G55" s="215" t="str">
        <f>IFERROR(VLOOKUP($C55,'PORTIFÓLIO'!C:V,5,0),"")</f>
        <v/>
      </c>
      <c r="H55" s="254" t="str">
        <f t="array" ref="H55">IFERROR(INDEX('PORTIFÓLIO'!$H$4:$H$433,MATCH($C55,'PORTIFÓLIO'!$C$4:$C$433,0)),"")</f>
        <v/>
      </c>
      <c r="I55" s="256"/>
      <c r="J55" s="218">
        <f t="shared" si="6"/>
        <v>0</v>
      </c>
      <c r="K55" s="219" t="str">
        <f t="array" ref="K55">IFERROR(I55*INDEX('PORTIFÓLIO'!$S$4:$S$433,MATCH($C55,'PORTIFÓLIO'!$C$4:$C$433,0)),"")</f>
        <v/>
      </c>
      <c r="L55" s="219" t="str">
        <f t="array" ref="L55">IFERROR(J55*INDEX('PORTIFÓLIO'!$S$4:$S$433,MATCH($C55,'PORTIFÓLIO'!$C$4:$C$433,0)),"")</f>
        <v/>
      </c>
      <c r="M55" s="220"/>
      <c r="N55" s="220"/>
      <c r="O55" s="220"/>
      <c r="P55" s="220"/>
      <c r="Q55" s="220"/>
      <c r="R55" s="220"/>
      <c r="S55" s="220"/>
      <c r="T55" s="220"/>
      <c r="U55" s="220"/>
      <c r="V55" s="220"/>
      <c r="W55" s="220"/>
    </row>
    <row r="56" ht="15.75" customHeight="1" outlineLevel="1">
      <c r="A56" s="211"/>
      <c r="B56" s="212"/>
      <c r="C56" s="213"/>
      <c r="D56" s="214" t="str">
        <f>IFERROR(VLOOKUP($C56,'PORTIFÓLIO'!C:V,2,0),"")</f>
        <v/>
      </c>
      <c r="E56" s="211" t="str">
        <f>IFERROR(VLOOKUP($C56,'PORTIFÓLIO'!C:V,3,0),"")</f>
        <v/>
      </c>
      <c r="F56" s="211" t="str">
        <f>IFERROR(VLOOKUP($C56,'PORTIFÓLIO'!C:V,4,0),"")</f>
        <v/>
      </c>
      <c r="G56" s="215" t="str">
        <f>IFERROR(VLOOKUP($C56,'PORTIFÓLIO'!C:V,5,0),"")</f>
        <v/>
      </c>
      <c r="H56" s="254" t="str">
        <f t="array" ref="H56">IFERROR(INDEX('PORTIFÓLIO'!$H$4:$H$433,MATCH($C56,'PORTIFÓLIO'!$C$4:$C$433,0)),"")</f>
        <v/>
      </c>
      <c r="I56" s="256"/>
      <c r="J56" s="218">
        <f t="shared" si="6"/>
        <v>0</v>
      </c>
      <c r="K56" s="219" t="str">
        <f t="array" ref="K56">IFERROR(I56*INDEX('PORTIFÓLIO'!$S$4:$S$433,MATCH($C56,'PORTIFÓLIO'!$C$4:$C$433,0)),"")</f>
        <v/>
      </c>
      <c r="L56" s="219" t="str">
        <f t="array" ref="L56">IFERROR(J56*INDEX('PORTIFÓLIO'!$S$4:$S$433,MATCH($C56,'PORTIFÓLIO'!$C$4:$C$433,0)),"")</f>
        <v/>
      </c>
      <c r="M56" s="220"/>
      <c r="N56" s="220"/>
      <c r="O56" s="220"/>
      <c r="P56" s="220"/>
      <c r="Q56" s="220"/>
      <c r="R56" s="220"/>
      <c r="S56" s="220"/>
      <c r="T56" s="220"/>
      <c r="U56" s="220"/>
      <c r="V56" s="220"/>
      <c r="W56" s="220"/>
    </row>
    <row r="57" ht="15.75" customHeight="1" outlineLevel="1">
      <c r="A57" s="211"/>
      <c r="B57" s="212"/>
      <c r="C57" s="213"/>
      <c r="D57" s="214" t="str">
        <f>IFERROR(VLOOKUP($C57,'PORTIFÓLIO'!C:V,2,0),"")</f>
        <v/>
      </c>
      <c r="E57" s="211" t="str">
        <f>IFERROR(VLOOKUP($C57,'PORTIFÓLIO'!C:V,3,0),"")</f>
        <v/>
      </c>
      <c r="F57" s="211" t="str">
        <f>IFERROR(VLOOKUP($C57,'PORTIFÓLIO'!C:V,4,0),"")</f>
        <v/>
      </c>
      <c r="G57" s="215" t="str">
        <f>IFERROR(VLOOKUP($C57,'PORTIFÓLIO'!C:V,5,0),"")</f>
        <v/>
      </c>
      <c r="H57" s="254" t="str">
        <f t="array" ref="H57">IFERROR(INDEX('PORTIFÓLIO'!$H$4:$H$433,MATCH($C57,'PORTIFÓLIO'!$C$4:$C$433,0)),"")</f>
        <v/>
      </c>
      <c r="I57" s="256"/>
      <c r="J57" s="218">
        <f t="shared" si="6"/>
        <v>0</v>
      </c>
      <c r="K57" s="219" t="str">
        <f t="array" ref="K57">IFERROR(I57*INDEX('PORTIFÓLIO'!$S$4:$S$433,MATCH($C57,'PORTIFÓLIO'!$C$4:$C$433,0)),"")</f>
        <v/>
      </c>
      <c r="L57" s="219" t="str">
        <f t="array" ref="L57">IFERROR(J57*INDEX('PORTIFÓLIO'!$S$4:$S$433,MATCH($C57,'PORTIFÓLIO'!$C$4:$C$433,0)),"")</f>
        <v/>
      </c>
      <c r="M57" s="220"/>
      <c r="N57" s="220"/>
      <c r="O57" s="220"/>
      <c r="P57" s="220"/>
      <c r="Q57" s="220"/>
      <c r="R57" s="220"/>
      <c r="S57" s="220"/>
      <c r="T57" s="220"/>
      <c r="U57" s="220"/>
      <c r="V57" s="220"/>
      <c r="W57" s="220"/>
    </row>
    <row r="58" ht="15.75" customHeight="1" outlineLevel="1">
      <c r="A58" s="211"/>
      <c r="B58" s="212"/>
      <c r="C58" s="213"/>
      <c r="D58" s="214" t="str">
        <f>IFERROR(VLOOKUP($C58,'PORTIFÓLIO'!C:V,2,0),"")</f>
        <v/>
      </c>
      <c r="E58" s="211" t="str">
        <f>IFERROR(VLOOKUP($C58,'PORTIFÓLIO'!C:V,3,0),"")</f>
        <v/>
      </c>
      <c r="F58" s="211" t="str">
        <f>IFERROR(VLOOKUP($C58,'PORTIFÓLIO'!C:V,4,0),"")</f>
        <v/>
      </c>
      <c r="G58" s="215" t="str">
        <f>IFERROR(VLOOKUP($C58,'PORTIFÓLIO'!C:V,5,0),"")</f>
        <v/>
      </c>
      <c r="H58" s="254" t="str">
        <f t="array" ref="H58">IFERROR(INDEX('PORTIFÓLIO'!$H$4:$H$433,MATCH($C58,'PORTIFÓLIO'!$C$4:$C$433,0)),"")</f>
        <v/>
      </c>
      <c r="I58" s="256"/>
      <c r="J58" s="218">
        <f t="shared" si="6"/>
        <v>0</v>
      </c>
      <c r="K58" s="219" t="str">
        <f t="array" ref="K58">IFERROR(I58*INDEX('PORTIFÓLIO'!$S$4:$S$433,MATCH($C58,'PORTIFÓLIO'!$C$4:$C$433,0)),"")</f>
        <v/>
      </c>
      <c r="L58" s="219" t="str">
        <f t="array" ref="L58">IFERROR(J58*INDEX('PORTIFÓLIO'!$S$4:$S$433,MATCH($C58,'PORTIFÓLIO'!$C$4:$C$433,0)),"")</f>
        <v/>
      </c>
      <c r="M58" s="220"/>
      <c r="N58" s="220"/>
      <c r="O58" s="220"/>
      <c r="P58" s="220"/>
      <c r="Q58" s="220"/>
      <c r="R58" s="220"/>
      <c r="S58" s="220"/>
      <c r="T58" s="220"/>
      <c r="U58" s="220"/>
      <c r="V58" s="220"/>
      <c r="W58" s="220"/>
    </row>
    <row r="59" ht="15.75" customHeight="1" outlineLevel="1">
      <c r="A59" s="211"/>
      <c r="B59" s="212"/>
      <c r="C59" s="213"/>
      <c r="D59" s="214" t="str">
        <f>IFERROR(VLOOKUP($C59,'PORTIFÓLIO'!C:V,2,0),"")</f>
        <v/>
      </c>
      <c r="E59" s="211" t="str">
        <f>IFERROR(VLOOKUP($C59,'PORTIFÓLIO'!C:V,3,0),"")</f>
        <v/>
      </c>
      <c r="F59" s="211" t="str">
        <f>IFERROR(VLOOKUP($C59,'PORTIFÓLIO'!C:V,4,0),"")</f>
        <v/>
      </c>
      <c r="G59" s="215" t="str">
        <f>IFERROR(VLOOKUP($C59,'PORTIFÓLIO'!C:V,5,0),"")</f>
        <v/>
      </c>
      <c r="H59" s="254" t="str">
        <f t="array" ref="H59">IFERROR(INDEX('PORTIFÓLIO'!$H$4:$H$433,MATCH($C59,'PORTIFÓLIO'!$C$4:$C$433,0)),"")</f>
        <v/>
      </c>
      <c r="I59" s="256"/>
      <c r="J59" s="218">
        <f t="shared" si="6"/>
        <v>0</v>
      </c>
      <c r="K59" s="219" t="str">
        <f t="array" ref="K59">IFERROR(I59*INDEX('PORTIFÓLIO'!$S$4:$S$433,MATCH($C59,'PORTIFÓLIO'!$C$4:$C$433,0)),"")</f>
        <v/>
      </c>
      <c r="L59" s="219" t="str">
        <f t="array" ref="L59">IFERROR(J59*INDEX('PORTIFÓLIO'!$S$4:$S$433,MATCH($C59,'PORTIFÓLIO'!$C$4:$C$433,0)),"")</f>
        <v/>
      </c>
      <c r="M59" s="220"/>
      <c r="N59" s="220"/>
      <c r="O59" s="220"/>
      <c r="P59" s="220"/>
      <c r="Q59" s="220"/>
      <c r="R59" s="220"/>
      <c r="S59" s="220"/>
      <c r="T59" s="220"/>
      <c r="U59" s="220"/>
      <c r="V59" s="220"/>
      <c r="W59" s="220"/>
    </row>
    <row r="60" ht="15.75" customHeight="1" outlineLevel="1">
      <c r="A60" s="211"/>
      <c r="B60" s="212"/>
      <c r="C60" s="213"/>
      <c r="D60" s="214" t="str">
        <f>IFERROR(VLOOKUP($C60,'PORTIFÓLIO'!C:V,2,0),"")</f>
        <v/>
      </c>
      <c r="E60" s="211" t="str">
        <f>IFERROR(VLOOKUP($C60,'PORTIFÓLIO'!C:V,3,0),"")</f>
        <v/>
      </c>
      <c r="F60" s="211" t="str">
        <f>IFERROR(VLOOKUP($C60,'PORTIFÓLIO'!C:V,4,0),"")</f>
        <v/>
      </c>
      <c r="G60" s="215" t="str">
        <f>IFERROR(VLOOKUP($C60,'PORTIFÓLIO'!C:V,5,0),"")</f>
        <v/>
      </c>
      <c r="H60" s="254" t="str">
        <f t="array" ref="H60">IFERROR(INDEX('PORTIFÓLIO'!$H$4:$H$433,MATCH($C60,'PORTIFÓLIO'!$C$4:$C$433,0)),"")</f>
        <v/>
      </c>
      <c r="I60" s="256"/>
      <c r="J60" s="218">
        <f t="shared" si="6"/>
        <v>0</v>
      </c>
      <c r="K60" s="219" t="str">
        <f t="array" ref="K60">IFERROR(I60*INDEX('PORTIFÓLIO'!$S$4:$S$433,MATCH($C60,'PORTIFÓLIO'!$C$4:$C$433,0)),"")</f>
        <v/>
      </c>
      <c r="L60" s="219" t="str">
        <f t="array" ref="L60">IFERROR(J60*INDEX('PORTIFÓLIO'!$S$4:$S$433,MATCH($C60,'PORTIFÓLIO'!$C$4:$C$433,0)),"")</f>
        <v/>
      </c>
      <c r="M60" s="220"/>
      <c r="N60" s="220"/>
      <c r="O60" s="220"/>
      <c r="P60" s="220"/>
      <c r="Q60" s="220"/>
      <c r="R60" s="220"/>
      <c r="S60" s="220"/>
      <c r="T60" s="220"/>
      <c r="U60" s="220"/>
      <c r="V60" s="220"/>
      <c r="W60" s="220"/>
    </row>
    <row r="61" ht="15.75" customHeight="1" outlineLevel="1">
      <c r="A61" s="211"/>
      <c r="B61" s="212"/>
      <c r="C61" s="213"/>
      <c r="D61" s="214" t="str">
        <f>IFERROR(VLOOKUP($C61,'PORTIFÓLIO'!C:V,2,0),"")</f>
        <v/>
      </c>
      <c r="E61" s="211" t="str">
        <f>IFERROR(VLOOKUP($C61,'PORTIFÓLIO'!C:V,3,0),"")</f>
        <v/>
      </c>
      <c r="F61" s="211" t="str">
        <f>IFERROR(VLOOKUP($C61,'PORTIFÓLIO'!C:V,4,0),"")</f>
        <v/>
      </c>
      <c r="G61" s="215" t="str">
        <f>IFERROR(VLOOKUP($C61,'PORTIFÓLIO'!C:V,5,0),"")</f>
        <v/>
      </c>
      <c r="H61" s="254" t="str">
        <f t="array" ref="H61">IFERROR(INDEX('PORTIFÓLIO'!$H$4:$H$433,MATCH($C61,'PORTIFÓLIO'!$C$4:$C$433,0)),"")</f>
        <v/>
      </c>
      <c r="I61" s="256"/>
      <c r="J61" s="218">
        <f t="shared" si="6"/>
        <v>0</v>
      </c>
      <c r="K61" s="219" t="str">
        <f t="array" ref="K61">IFERROR(I61*INDEX('PORTIFÓLIO'!$S$4:$S$433,MATCH($C61,'PORTIFÓLIO'!$C$4:$C$433,0)),"")</f>
        <v/>
      </c>
      <c r="L61" s="219" t="str">
        <f t="array" ref="L61">IFERROR(J61*INDEX('PORTIFÓLIO'!$S$4:$S$433,MATCH($C61,'PORTIFÓLIO'!$C$4:$C$433,0)),"")</f>
        <v/>
      </c>
      <c r="M61" s="220"/>
      <c r="N61" s="220"/>
      <c r="O61" s="220"/>
      <c r="P61" s="220"/>
      <c r="Q61" s="220"/>
      <c r="R61" s="220"/>
      <c r="S61" s="220"/>
      <c r="T61" s="220"/>
      <c r="U61" s="220"/>
      <c r="V61" s="220"/>
      <c r="W61" s="220"/>
    </row>
    <row r="62" ht="15.75" customHeight="1" outlineLevel="1">
      <c r="A62" s="211"/>
      <c r="B62" s="212"/>
      <c r="C62" s="213"/>
      <c r="D62" s="214" t="str">
        <f>IFERROR(VLOOKUP($C62,'PORTIFÓLIO'!C:V,2,0),"")</f>
        <v/>
      </c>
      <c r="E62" s="211" t="str">
        <f>IFERROR(VLOOKUP($C62,'PORTIFÓLIO'!C:V,3,0),"")</f>
        <v/>
      </c>
      <c r="F62" s="211" t="str">
        <f>IFERROR(VLOOKUP($C62,'PORTIFÓLIO'!C:V,4,0),"")</f>
        <v/>
      </c>
      <c r="G62" s="215" t="str">
        <f>IFERROR(VLOOKUP($C62,'PORTIFÓLIO'!C:V,5,0),"")</f>
        <v/>
      </c>
      <c r="H62" s="254" t="str">
        <f t="array" ref="H62">IFERROR(INDEX('PORTIFÓLIO'!$H$4:$H$433,MATCH($C62,'PORTIFÓLIO'!$C$4:$C$433,0)),"")</f>
        <v/>
      </c>
      <c r="I62" s="256"/>
      <c r="J62" s="218">
        <f t="shared" si="6"/>
        <v>0</v>
      </c>
      <c r="K62" s="219" t="str">
        <f t="array" ref="K62">IFERROR(I62*INDEX('PORTIFÓLIO'!$S$4:$S$433,MATCH($C62,'PORTIFÓLIO'!$C$4:$C$433,0)),"")</f>
        <v/>
      </c>
      <c r="L62" s="219" t="str">
        <f t="array" ref="L62">IFERROR(J62*INDEX('PORTIFÓLIO'!$S$4:$S$433,MATCH($C62,'PORTIFÓLIO'!$C$4:$C$433,0)),"")</f>
        <v/>
      </c>
      <c r="M62" s="220"/>
      <c r="N62" s="220"/>
      <c r="O62" s="220"/>
      <c r="P62" s="220"/>
      <c r="Q62" s="220"/>
      <c r="R62" s="220"/>
      <c r="S62" s="220"/>
      <c r="T62" s="220"/>
      <c r="U62" s="220"/>
      <c r="V62" s="220"/>
      <c r="W62" s="220"/>
    </row>
    <row r="63" ht="15.75" customHeight="1">
      <c r="A63" s="229" t="s">
        <v>1186</v>
      </c>
      <c r="B63" s="230"/>
      <c r="C63" s="231"/>
      <c r="D63" s="232"/>
      <c r="E63" s="231"/>
      <c r="F63" s="231"/>
      <c r="G63" s="233"/>
      <c r="H63" s="233"/>
      <c r="I63" s="258"/>
      <c r="J63" s="236"/>
      <c r="K63" s="237">
        <f t="shared" ref="K63:L63" si="7">SUBTOTAL(9,K64:K76)</f>
        <v>266.77486</v>
      </c>
      <c r="L63" s="237">
        <f t="shared" si="7"/>
        <v>16006.4916</v>
      </c>
      <c r="M63" s="220"/>
      <c r="N63" s="220"/>
      <c r="O63" s="220"/>
      <c r="P63" s="220"/>
      <c r="Q63" s="220"/>
      <c r="R63" s="220"/>
      <c r="S63" s="220"/>
      <c r="T63" s="220"/>
      <c r="U63" s="220"/>
      <c r="V63" s="220"/>
      <c r="W63" s="220"/>
    </row>
    <row r="64" ht="15.75" customHeight="1" outlineLevel="1">
      <c r="A64" s="213"/>
      <c r="B64" s="212" t="s">
        <v>5</v>
      </c>
      <c r="C64" s="213" t="s">
        <v>1061</v>
      </c>
      <c r="D64" s="214" t="str">
        <f>IFERROR(VLOOKUP($C64,'PORTIFÓLIO'!C:V,2,0),"")</f>
        <v/>
      </c>
      <c r="E64" s="211" t="str">
        <f>IFERROR(VLOOKUP($C64,'PORTIFÓLIO'!C:V,3,0),"")</f>
        <v/>
      </c>
      <c r="F64" s="211" t="str">
        <f>IFERROR(VLOOKUP($C64,'PORTIFÓLIO'!C:V,4,0),"")</f>
        <v/>
      </c>
      <c r="G64" s="225" t="str">
        <f>IFERROR(VLOOKUP($C64,'PORTIFÓLIO'!C:V,5,0),"")</f>
        <v>📄 Ver bula</v>
      </c>
      <c r="H64" s="254" t="str">
        <f t="array" ref="H64">IFERROR(INDEX('PORTIFÓLIO'!$H$4:$H$433,MATCH($C64,'PORTIFÓLIO'!$C$4:$C$433,0)),"")</f>
        <v/>
      </c>
      <c r="I64" s="255">
        <v>0.04</v>
      </c>
      <c r="J64" s="218">
        <f t="shared" ref="J64:J80" si="8">I64*$B$2</f>
        <v>2.4</v>
      </c>
      <c r="K64" s="219">
        <f t="array" ref="K64">IFERROR(I64*INDEX('PORTIFÓLIO'!$S$4:$S$433,MATCH($C64,'PORTIFÓLIO'!$C$4:$C$433,0)),"")</f>
        <v>0</v>
      </c>
      <c r="L64" s="219">
        <f t="array" ref="L64">IFERROR(J64*INDEX('PORTIFÓLIO'!$S$4:$S$433,MATCH($C64,'PORTIFÓLIO'!$C$4:$C$433,0)),"")</f>
        <v>0</v>
      </c>
      <c r="M64" s="220"/>
      <c r="N64" s="220"/>
      <c r="O64" s="220"/>
      <c r="P64" s="220"/>
      <c r="Q64" s="220"/>
      <c r="R64" s="220"/>
      <c r="S64" s="220"/>
      <c r="T64" s="220"/>
      <c r="U64" s="220"/>
      <c r="V64" s="220"/>
      <c r="W64" s="220"/>
    </row>
    <row r="65" ht="15.75" customHeight="1" outlineLevel="1">
      <c r="A65" s="211"/>
      <c r="B65" s="212" t="s">
        <v>3</v>
      </c>
      <c r="C65" s="213" t="s">
        <v>1011</v>
      </c>
      <c r="D65" s="214" t="str">
        <f>IFERROR(VLOOKUP($C65,'PORTIFÓLIO'!C:V,2,0),"")</f>
        <v>METALAXIL-M + TIABENDAZOL + FLUDIOXONIL +
 TIAMETOXAM</v>
      </c>
      <c r="E65" s="211" t="str">
        <f>IFERROR(VLOOKUP($C65,'PORTIFÓLIO'!C:V,3,0),"")</f>
        <v>20 + 150 + 25 + 350</v>
      </c>
      <c r="F65" s="211" t="str">
        <f>IFERROR(VLOOKUP($C65,'PORTIFÓLIO'!C:V,4,0),"")</f>
        <v/>
      </c>
      <c r="G65" s="225" t="str">
        <f>IFERROR(VLOOKUP($C65,'PORTIFÓLIO'!C:V,5,0),"")</f>
        <v>📄 Ver bula</v>
      </c>
      <c r="H65" s="254">
        <f t="array" ref="H65">IFERROR(INDEX('PORTIFÓLIO'!$H$4:$H$433,MATCH($C65,'PORTIFÓLIO'!$C$4:$C$433,0)),"")</f>
        <v>0.05</v>
      </c>
      <c r="I65" s="255">
        <v>0.05</v>
      </c>
      <c r="J65" s="218">
        <f t="shared" si="8"/>
        <v>3</v>
      </c>
      <c r="K65" s="219">
        <f t="array" ref="K65">IFERROR(I65*INDEX('PORTIFÓLIO'!$S$4:$S$433,MATCH($C65,'PORTIFÓLIO'!$C$4:$C$433,0)),"")</f>
        <v>25.27</v>
      </c>
      <c r="L65" s="219">
        <f t="array" ref="L65">IFERROR(J65*INDEX('PORTIFÓLIO'!$S$4:$S$433,MATCH($C65,'PORTIFÓLIO'!$C$4:$C$433,0)),"")</f>
        <v>1516.2</v>
      </c>
      <c r="M65" s="220"/>
      <c r="N65" s="220"/>
      <c r="O65" s="220"/>
      <c r="P65" s="220"/>
      <c r="Q65" s="220"/>
      <c r="R65" s="220"/>
      <c r="S65" s="220"/>
      <c r="T65" s="220"/>
      <c r="U65" s="220"/>
      <c r="V65" s="220"/>
      <c r="W65" s="220"/>
    </row>
    <row r="66" ht="15.75" customHeight="1" outlineLevel="1">
      <c r="A66" s="211"/>
      <c r="B66" s="212" t="s">
        <v>3</v>
      </c>
      <c r="C66" s="213" t="s">
        <v>1007</v>
      </c>
      <c r="D66" s="214" t="str">
        <f>IFERROR(VLOOKUP($C66,'PORTIFÓLIO'!C:V,2,0),"")</f>
        <v>DIFENOCONAZOL</v>
      </c>
      <c r="E66" s="211">
        <f>IFERROR(VLOOKUP($C66,'PORTIFÓLIO'!C:V,3,0),"")</f>
        <v>150</v>
      </c>
      <c r="F66" s="211" t="str">
        <f>IFERROR(VLOOKUP($C66,'PORTIFÓLIO'!C:V,4,0),"")</f>
        <v/>
      </c>
      <c r="G66" s="225" t="str">
        <f>IFERROR(VLOOKUP($C66,'PORTIFÓLIO'!C:V,5,0),"")</f>
        <v>📄 Ver bula</v>
      </c>
      <c r="H66" s="254">
        <f t="array" ref="H66">IFERROR(INDEX('PORTIFÓLIO'!$H$4:$H$433,MATCH($C66,'PORTIFÓLIO'!$C$4:$C$433,0)),"")</f>
        <v>0.015</v>
      </c>
      <c r="I66" s="255">
        <v>0.02</v>
      </c>
      <c r="J66" s="218">
        <f t="shared" si="8"/>
        <v>1.2</v>
      </c>
      <c r="K66" s="219">
        <f t="array" ref="K66">IFERROR(I66*INDEX('PORTIFÓLIO'!$S$4:$S$433,MATCH($C66,'PORTIFÓLIO'!$C$4:$C$433,0)),"")</f>
        <v>1.78486</v>
      </c>
      <c r="L66" s="219">
        <f t="array" ref="L66">IFERROR(J66*INDEX('PORTIFÓLIO'!$S$4:$S$433,MATCH($C66,'PORTIFÓLIO'!$C$4:$C$433,0)),"")</f>
        <v>107.0916</v>
      </c>
      <c r="M66" s="220"/>
      <c r="N66" s="220"/>
      <c r="O66" s="220"/>
      <c r="P66" s="220"/>
      <c r="Q66" s="220"/>
      <c r="R66" s="220"/>
      <c r="S66" s="220"/>
      <c r="T66" s="220"/>
      <c r="U66" s="220"/>
      <c r="V66" s="220"/>
      <c r="W66" s="220"/>
    </row>
    <row r="67" ht="15.75" customHeight="1" outlineLevel="1">
      <c r="A67" s="211"/>
      <c r="B67" s="212" t="s">
        <v>4</v>
      </c>
      <c r="C67" s="213" t="s">
        <v>1094</v>
      </c>
      <c r="D67" s="214" t="str">
        <f>IFERROR(VLOOKUP($C67,'PORTIFÓLIO'!C:V,2,0),"")</f>
        <v>Bradyrhizobium sp.</v>
      </c>
      <c r="E67" s="211" t="str">
        <f>IFERROR(VLOOKUP($C67,'PORTIFÓLIO'!C:V,3,0),"")</f>
        <v/>
      </c>
      <c r="F67" s="211" t="str">
        <f>IFERROR(VLOOKUP($C67,'PORTIFÓLIO'!C:V,4,0),"")</f>
        <v>L</v>
      </c>
      <c r="G67" s="225" t="str">
        <f>IFERROR(VLOOKUP($C67,'PORTIFÓLIO'!C:V,5,0),"")</f>
        <v>📄 Ver bula</v>
      </c>
      <c r="H67" s="254">
        <f t="array" ref="H67">IFERROR(INDEX('PORTIFÓLIO'!$H$4:$H$433,MATCH($C67,'PORTIFÓLIO'!$C$4:$C$433,0)),"")</f>
        <v>2</v>
      </c>
      <c r="I67" s="255">
        <v>4.0</v>
      </c>
      <c r="J67" s="218">
        <f t="shared" si="8"/>
        <v>240</v>
      </c>
      <c r="K67" s="219">
        <f t="array" ref="K67">IFERROR(I67*INDEX('PORTIFÓLIO'!$S$4:$S$433,MATCH($C67,'PORTIFÓLIO'!$C$4:$C$433,0)),"")</f>
        <v>104</v>
      </c>
      <c r="L67" s="219">
        <f t="array" ref="L67">IFERROR(J67*INDEX('PORTIFÓLIO'!$S$4:$S$433,MATCH($C67,'PORTIFÓLIO'!$C$4:$C$433,0)),"")</f>
        <v>6240</v>
      </c>
      <c r="M67" s="220"/>
      <c r="N67" s="220"/>
      <c r="O67" s="220"/>
      <c r="P67" s="220"/>
      <c r="Q67" s="220"/>
      <c r="R67" s="220"/>
      <c r="S67" s="220"/>
      <c r="T67" s="220"/>
      <c r="U67" s="220"/>
      <c r="V67" s="220"/>
      <c r="W67" s="220"/>
    </row>
    <row r="68" ht="15.75" customHeight="1" outlineLevel="1">
      <c r="A68" s="211"/>
      <c r="B68" s="212" t="s">
        <v>4</v>
      </c>
      <c r="C68" s="213" t="s">
        <v>1092</v>
      </c>
      <c r="D68" s="214" t="str">
        <f>IFERROR(VLOOKUP($C68,'PORTIFÓLIO'!C:V,2,0),"")</f>
        <v>Azospirillum brasiliense</v>
      </c>
      <c r="E68" s="211" t="str">
        <f>IFERROR(VLOOKUP($C68,'PORTIFÓLIO'!C:V,3,0),"")</f>
        <v/>
      </c>
      <c r="F68" s="211" t="str">
        <f>IFERROR(VLOOKUP($C68,'PORTIFÓLIO'!C:V,4,0),"")</f>
        <v>L</v>
      </c>
      <c r="G68" s="225" t="str">
        <f>IFERROR(VLOOKUP($C68,'PORTIFÓLIO'!C:V,5,0),"")</f>
        <v>📄 Ver bula</v>
      </c>
      <c r="H68" s="254">
        <f t="array" ref="H68">IFERROR(INDEX('PORTIFÓLIO'!$H$4:$H$433,MATCH($C68,'PORTIFÓLIO'!$C$4:$C$433,0)),"")</f>
        <v>2</v>
      </c>
      <c r="I68" s="255">
        <v>1.0</v>
      </c>
      <c r="J68" s="218">
        <f t="shared" si="8"/>
        <v>60</v>
      </c>
      <c r="K68" s="219">
        <f t="array" ref="K68">IFERROR(I68*INDEX('PORTIFÓLIO'!$S$4:$S$433,MATCH($C68,'PORTIFÓLIO'!$C$4:$C$433,0)),"")</f>
        <v>36.4</v>
      </c>
      <c r="L68" s="219">
        <f t="array" ref="L68">IFERROR(J68*INDEX('PORTIFÓLIO'!$S$4:$S$433,MATCH($C68,'PORTIFÓLIO'!$C$4:$C$433,0)),"")</f>
        <v>2184</v>
      </c>
      <c r="M68" s="220"/>
      <c r="N68" s="220"/>
      <c r="O68" s="220"/>
      <c r="P68" s="220"/>
      <c r="Q68" s="220"/>
      <c r="R68" s="220"/>
      <c r="S68" s="220"/>
      <c r="T68" s="220"/>
      <c r="U68" s="220"/>
      <c r="V68" s="220"/>
      <c r="W68" s="220"/>
    </row>
    <row r="69" ht="15.75" customHeight="1" outlineLevel="1">
      <c r="A69" s="211"/>
      <c r="B69" s="212" t="s">
        <v>4</v>
      </c>
      <c r="C69" s="213" t="s">
        <v>1107</v>
      </c>
      <c r="D69" s="214" t="str">
        <f>IFERROR(VLOOKUP($C69,'PORTIFÓLIO'!C:V,2,0),"")</f>
        <v>Priestia aryabhattai</v>
      </c>
      <c r="E69" s="211" t="str">
        <f>IFERROR(VLOOKUP($C69,'PORTIFÓLIO'!C:V,3,0),"")</f>
        <v/>
      </c>
      <c r="F69" s="211" t="str">
        <f>IFERROR(VLOOKUP($C69,'PORTIFÓLIO'!C:V,4,0),"")</f>
        <v/>
      </c>
      <c r="G69" s="225" t="str">
        <f>IFERROR(VLOOKUP($C69,'PORTIFÓLIO'!C:V,5,0),"")</f>
        <v>📄 Ver bula</v>
      </c>
      <c r="H69" s="254">
        <f t="array" ref="H69">IFERROR(INDEX('PORTIFÓLIO'!$H$4:$H$433,MATCH($C69,'PORTIFÓLIO'!$C$4:$C$433,0)),"")</f>
        <v>2</v>
      </c>
      <c r="I69" s="255">
        <v>1.0</v>
      </c>
      <c r="J69" s="218">
        <f t="shared" si="8"/>
        <v>60</v>
      </c>
      <c r="K69" s="219">
        <f t="array" ref="K69">IFERROR(I69*INDEX('PORTIFÓLIO'!$S$4:$S$433,MATCH($C69,'PORTIFÓLIO'!$C$4:$C$433,0)),"")</f>
        <v>81.12</v>
      </c>
      <c r="L69" s="219">
        <f t="array" ref="L69">IFERROR(J69*INDEX('PORTIFÓLIO'!$S$4:$S$433,MATCH($C69,'PORTIFÓLIO'!$C$4:$C$433,0)),"")</f>
        <v>4867.2</v>
      </c>
      <c r="M69" s="220"/>
      <c r="N69" s="220"/>
      <c r="O69" s="220"/>
      <c r="P69" s="220"/>
      <c r="Q69" s="220"/>
      <c r="R69" s="220"/>
      <c r="S69" s="220"/>
      <c r="T69" s="220"/>
      <c r="U69" s="220"/>
      <c r="V69" s="220"/>
      <c r="W69" s="220"/>
    </row>
    <row r="70" ht="15.75" customHeight="1" outlineLevel="1">
      <c r="A70" s="211"/>
      <c r="B70" s="212" t="s">
        <v>4</v>
      </c>
      <c r="C70" s="213" t="s">
        <v>1187</v>
      </c>
      <c r="D70" s="214" t="str">
        <f>IFERROR(VLOOKUP($C70,'PORTIFÓLIO'!C:V,2,0),"")</f>
        <v/>
      </c>
      <c r="E70" s="211" t="str">
        <f>IFERROR(VLOOKUP($C70,'PORTIFÓLIO'!C:V,3,0),"")</f>
        <v/>
      </c>
      <c r="F70" s="211" t="str">
        <f>IFERROR(VLOOKUP($C70,'PORTIFÓLIO'!C:V,4,0),"")</f>
        <v/>
      </c>
      <c r="G70" s="215" t="str">
        <f>IFERROR(VLOOKUP($C70,'PORTIFÓLIO'!C:V,5,0),"")</f>
        <v/>
      </c>
      <c r="H70" s="254" t="str">
        <f t="array" ref="H70">IFERROR(INDEX('PORTIFÓLIO'!$H$4:$H$433,MATCH($C70,'PORTIFÓLIO'!$C$4:$C$433,0)),"")</f>
        <v/>
      </c>
      <c r="I70" s="255">
        <v>1.0</v>
      </c>
      <c r="J70" s="218">
        <f t="shared" si="8"/>
        <v>60</v>
      </c>
      <c r="K70" s="219" t="str">
        <f t="array" ref="K70">IFERROR(I70*INDEX('PORTIFÓLIO'!$S$4:$S$433,MATCH($C70,'PORTIFÓLIO'!$C$4:$C$433,0)),"")</f>
        <v/>
      </c>
      <c r="L70" s="219" t="str">
        <f t="array" ref="L70">IFERROR(J70*INDEX('PORTIFÓLIO'!$S$4:$S$433,MATCH($C70,'PORTIFÓLIO'!$C$4:$C$433,0)),"")</f>
        <v/>
      </c>
      <c r="M70" s="220"/>
      <c r="N70" s="220"/>
      <c r="O70" s="220"/>
      <c r="P70" s="220"/>
      <c r="Q70" s="220"/>
      <c r="R70" s="220"/>
      <c r="S70" s="220"/>
      <c r="T70" s="220"/>
      <c r="U70" s="220"/>
      <c r="V70" s="220"/>
      <c r="W70" s="220"/>
    </row>
    <row r="71" ht="15.75" customHeight="1" outlineLevel="1">
      <c r="A71" s="211"/>
      <c r="B71" s="212" t="s">
        <v>9</v>
      </c>
      <c r="C71" s="213" t="s">
        <v>1115</v>
      </c>
      <c r="D71" s="214" t="str">
        <f>IFERROR(VLOOKUP($C71,'PORTIFÓLIO'!C:V,2,0),"")</f>
        <v>Nutrifarm</v>
      </c>
      <c r="E71" s="211" t="str">
        <f>IFERROR(VLOOKUP($C71,'PORTIFÓLIO'!C:V,3,0),"")</f>
        <v/>
      </c>
      <c r="F71" s="211" t="str">
        <f>IFERROR(VLOOKUP($C71,'PORTIFÓLIO'!C:V,4,0),"")</f>
        <v>L</v>
      </c>
      <c r="G71" s="225" t="str">
        <f>IFERROR(VLOOKUP($C71,'PORTIFÓLIO'!C:V,5,0),"")</f>
        <v>📄 Ver bula</v>
      </c>
      <c r="H71" s="254">
        <f t="array" ref="H71">IFERROR(INDEX('PORTIFÓLIO'!$H$4:$H$433,MATCH($C71,'PORTIFÓLIO'!$C$4:$C$433,0)),"")</f>
        <v>0.2</v>
      </c>
      <c r="I71" s="255">
        <v>0.1</v>
      </c>
      <c r="J71" s="218">
        <f t="shared" si="8"/>
        <v>6</v>
      </c>
      <c r="K71" s="219">
        <f t="array" ref="K71">IFERROR(I71*INDEX('PORTIFÓLIO'!$S$4:$S$433,MATCH($C71,'PORTIFÓLIO'!$C$4:$C$433,0)),"")</f>
        <v>18.2</v>
      </c>
      <c r="L71" s="219">
        <f t="array" ref="L71">IFERROR(J71*INDEX('PORTIFÓLIO'!$S$4:$S$433,MATCH($C71,'PORTIFÓLIO'!$C$4:$C$433,0)),"")</f>
        <v>1092</v>
      </c>
      <c r="M71" s="220"/>
      <c r="N71" s="220"/>
      <c r="O71" s="220"/>
      <c r="P71" s="220"/>
      <c r="Q71" s="220"/>
      <c r="R71" s="220"/>
      <c r="S71" s="220"/>
      <c r="T71" s="220"/>
      <c r="U71" s="220"/>
      <c r="V71" s="220"/>
      <c r="W71" s="220"/>
    </row>
    <row r="72" ht="15.75" customHeight="1" outlineLevel="1">
      <c r="A72" s="211"/>
      <c r="B72" s="212"/>
      <c r="C72" s="213"/>
      <c r="D72" s="214" t="str">
        <f>IFERROR(VLOOKUP($C72,'PORTIFÓLIO'!C:V,2,0),"")</f>
        <v/>
      </c>
      <c r="E72" s="211" t="str">
        <f>IFERROR(VLOOKUP($C72,'PORTIFÓLIO'!C:V,3,0),"")</f>
        <v/>
      </c>
      <c r="F72" s="211" t="str">
        <f>IFERROR(VLOOKUP($C72,'PORTIFÓLIO'!C:V,4,0),"")</f>
        <v/>
      </c>
      <c r="G72" s="215" t="str">
        <f>IFERROR(VLOOKUP($C72,'PORTIFÓLIO'!C:V,5,0),"")</f>
        <v/>
      </c>
      <c r="H72" s="254" t="str">
        <f t="array" ref="H72">IFERROR(INDEX('PORTIFÓLIO'!$H$4:$H$433,MATCH($C72,'PORTIFÓLIO'!$C$4:$C$433,0)),"")</f>
        <v/>
      </c>
      <c r="I72" s="255"/>
      <c r="J72" s="218">
        <f t="shared" si="8"/>
        <v>0</v>
      </c>
      <c r="K72" s="219" t="str">
        <f t="array" ref="K72">IFERROR(I72*INDEX('PORTIFÓLIO'!$S$4:$S$433,MATCH($C72,'PORTIFÓLIO'!$C$4:$C$433,0)),"")</f>
        <v/>
      </c>
      <c r="L72" s="219" t="str">
        <f t="array" ref="L72">IFERROR(J72*INDEX('PORTIFÓLIO'!$S$4:$S$433,MATCH($C72,'PORTIFÓLIO'!$C$4:$C$433,0)),"")</f>
        <v/>
      </c>
      <c r="M72" s="220"/>
      <c r="N72" s="220"/>
      <c r="O72" s="220"/>
      <c r="P72" s="220"/>
      <c r="Q72" s="220"/>
      <c r="R72" s="220"/>
      <c r="S72" s="220"/>
      <c r="T72" s="220"/>
      <c r="U72" s="220"/>
      <c r="V72" s="220"/>
      <c r="W72" s="220"/>
    </row>
    <row r="73" ht="15.75" customHeight="1" outlineLevel="1">
      <c r="A73" s="211"/>
      <c r="B73" s="212"/>
      <c r="C73" s="213"/>
      <c r="D73" s="214" t="str">
        <f>IFERROR(VLOOKUP($C73,'PORTIFÓLIO'!C:V,2,0),"")</f>
        <v/>
      </c>
      <c r="E73" s="211" t="str">
        <f>IFERROR(VLOOKUP($C73,'PORTIFÓLIO'!C:V,3,0),"")</f>
        <v/>
      </c>
      <c r="F73" s="211" t="str">
        <f>IFERROR(VLOOKUP($C73,'PORTIFÓLIO'!C:V,4,0),"")</f>
        <v/>
      </c>
      <c r="G73" s="215" t="str">
        <f>IFERROR(VLOOKUP($C73,'PORTIFÓLIO'!C:V,5,0),"")</f>
        <v/>
      </c>
      <c r="H73" s="254" t="str">
        <f t="array" ref="H73">IFERROR(INDEX('PORTIFÓLIO'!$H$4:$H$433,MATCH($C73,'PORTIFÓLIO'!$C$4:$C$433,0)),"")</f>
        <v/>
      </c>
      <c r="I73" s="256"/>
      <c r="J73" s="218">
        <f t="shared" si="8"/>
        <v>0</v>
      </c>
      <c r="K73" s="219" t="str">
        <f t="array" ref="K73">IFERROR(I73*INDEX('PORTIFÓLIO'!$S$4:$S$433,MATCH($C73,'PORTIFÓLIO'!$C$4:$C$433,0)),"")</f>
        <v/>
      </c>
      <c r="L73" s="219" t="str">
        <f t="array" ref="L73">IFERROR(J73*INDEX('PORTIFÓLIO'!$S$4:$S$433,MATCH($C73,'PORTIFÓLIO'!$C$4:$C$433,0)),"")</f>
        <v/>
      </c>
      <c r="M73" s="220"/>
      <c r="N73" s="220"/>
      <c r="O73" s="220"/>
      <c r="P73" s="220"/>
      <c r="Q73" s="220"/>
      <c r="R73" s="220"/>
      <c r="S73" s="220"/>
      <c r="T73" s="220"/>
      <c r="U73" s="220"/>
      <c r="V73" s="220"/>
      <c r="W73" s="220"/>
    </row>
    <row r="74" ht="15.75" customHeight="1" outlineLevel="1">
      <c r="A74" s="211"/>
      <c r="B74" s="212"/>
      <c r="C74" s="213"/>
      <c r="D74" s="214" t="str">
        <f>IFERROR(VLOOKUP($C74,'PORTIFÓLIO'!C:V,2,0),"")</f>
        <v/>
      </c>
      <c r="E74" s="211" t="str">
        <f>IFERROR(VLOOKUP($C74,'PORTIFÓLIO'!C:V,3,0),"")</f>
        <v/>
      </c>
      <c r="F74" s="211" t="str">
        <f>IFERROR(VLOOKUP($C74,'PORTIFÓLIO'!C:V,4,0),"")</f>
        <v/>
      </c>
      <c r="G74" s="215" t="str">
        <f>IFERROR(VLOOKUP($C74,'PORTIFÓLIO'!C:V,5,0),"")</f>
        <v/>
      </c>
      <c r="H74" s="254" t="str">
        <f t="array" ref="H74">IFERROR(INDEX('PORTIFÓLIO'!$H$4:$H$433,MATCH($C74,'PORTIFÓLIO'!$C$4:$C$433,0)),"")</f>
        <v/>
      </c>
      <c r="I74" s="256"/>
      <c r="J74" s="218">
        <f t="shared" si="8"/>
        <v>0</v>
      </c>
      <c r="K74" s="219" t="str">
        <f t="array" ref="K74">IFERROR(I74*INDEX('PORTIFÓLIO'!$S$4:$S$433,MATCH($C74,'PORTIFÓLIO'!$C$4:$C$433,0)),"")</f>
        <v/>
      </c>
      <c r="L74" s="219" t="str">
        <f t="array" ref="L74">IFERROR(J74*INDEX('PORTIFÓLIO'!$S$4:$S$433,MATCH($C74,'PORTIFÓLIO'!$C$4:$C$433,0)),"")</f>
        <v/>
      </c>
      <c r="M74" s="220"/>
      <c r="N74" s="220"/>
      <c r="O74" s="220"/>
      <c r="P74" s="220"/>
      <c r="Q74" s="220"/>
      <c r="R74" s="220"/>
      <c r="S74" s="220"/>
      <c r="T74" s="220"/>
      <c r="U74" s="220"/>
      <c r="V74" s="220"/>
      <c r="W74" s="220"/>
    </row>
    <row r="75" ht="15.75" customHeight="1" outlineLevel="1">
      <c r="A75" s="211"/>
      <c r="B75" s="212"/>
      <c r="C75" s="213"/>
      <c r="D75" s="214" t="str">
        <f>IFERROR(VLOOKUP($C75,'PORTIFÓLIO'!C:V,2,0),"")</f>
        <v/>
      </c>
      <c r="E75" s="211" t="str">
        <f>IFERROR(VLOOKUP($C75,'PORTIFÓLIO'!C:V,3,0),"")</f>
        <v/>
      </c>
      <c r="F75" s="211" t="str">
        <f>IFERROR(VLOOKUP($C75,'PORTIFÓLIO'!C:V,4,0),"")</f>
        <v/>
      </c>
      <c r="G75" s="215" t="str">
        <f>IFERROR(VLOOKUP($C75,'PORTIFÓLIO'!C:V,5,0),"")</f>
        <v/>
      </c>
      <c r="H75" s="254" t="str">
        <f t="array" ref="H75">IFERROR(INDEX('PORTIFÓLIO'!$H$4:$H$433,MATCH($C75,'PORTIFÓLIO'!$C$4:$C$433,0)),"")</f>
        <v/>
      </c>
      <c r="I75" s="256"/>
      <c r="J75" s="218">
        <f t="shared" si="8"/>
        <v>0</v>
      </c>
      <c r="K75" s="219" t="str">
        <f t="array" ref="K75">IFERROR(I75*INDEX('PORTIFÓLIO'!$S$4:$S$433,MATCH($C75,'PORTIFÓLIO'!$C$4:$C$433,0)),"")</f>
        <v/>
      </c>
      <c r="L75" s="219" t="str">
        <f t="array" ref="L75">IFERROR(J75*INDEX('PORTIFÓLIO'!$S$4:$S$433,MATCH($C75,'PORTIFÓLIO'!$C$4:$C$433,0)),"")</f>
        <v/>
      </c>
      <c r="M75" s="220"/>
      <c r="N75" s="220"/>
      <c r="O75" s="220"/>
      <c r="P75" s="220"/>
      <c r="Q75" s="220"/>
      <c r="R75" s="220"/>
      <c r="S75" s="220"/>
      <c r="T75" s="220"/>
      <c r="U75" s="220"/>
      <c r="V75" s="220"/>
      <c r="W75" s="220"/>
    </row>
    <row r="76" ht="15.75" customHeight="1" outlineLevel="1">
      <c r="A76" s="211"/>
      <c r="B76" s="212"/>
      <c r="C76" s="213"/>
      <c r="D76" s="214" t="str">
        <f>IFERROR(VLOOKUP($C76,'PORTIFÓLIO'!C:V,2,0),"")</f>
        <v/>
      </c>
      <c r="E76" s="211" t="str">
        <f>IFERROR(VLOOKUP($C76,'PORTIFÓLIO'!C:V,3,0),"")</f>
        <v/>
      </c>
      <c r="F76" s="211" t="str">
        <f>IFERROR(VLOOKUP($C76,'PORTIFÓLIO'!C:V,4,0),"")</f>
        <v/>
      </c>
      <c r="G76" s="215" t="str">
        <f>IFERROR(VLOOKUP($C76,'PORTIFÓLIO'!C:V,5,0),"")</f>
        <v/>
      </c>
      <c r="H76" s="254" t="str">
        <f t="array" ref="H76">IFERROR(INDEX('PORTIFÓLIO'!$H$4:$H$433,MATCH($C76,'PORTIFÓLIO'!$C$4:$C$433,0)),"")</f>
        <v/>
      </c>
      <c r="I76" s="256"/>
      <c r="J76" s="218">
        <f t="shared" si="8"/>
        <v>0</v>
      </c>
      <c r="K76" s="219" t="str">
        <f t="array" ref="K76">IFERROR(I76*INDEX('PORTIFÓLIO'!$S$4:$S$433,MATCH($C76,'PORTIFÓLIO'!$C$4:$C$433,0)),"")</f>
        <v/>
      </c>
      <c r="L76" s="219" t="str">
        <f t="array" ref="L76">IFERROR(J76*INDEX('PORTIFÓLIO'!$S$4:$S$433,MATCH($C76,'PORTIFÓLIO'!$C$4:$C$433,0)),"")</f>
        <v/>
      </c>
      <c r="M76" s="220"/>
      <c r="N76" s="220"/>
      <c r="O76" s="220"/>
      <c r="P76" s="220"/>
      <c r="Q76" s="220"/>
      <c r="R76" s="220"/>
      <c r="S76" s="220"/>
      <c r="T76" s="220"/>
      <c r="U76" s="220"/>
      <c r="V76" s="220"/>
      <c r="W76" s="220"/>
    </row>
    <row r="77" ht="15.75" customHeight="1" outlineLevel="1">
      <c r="A77" s="211"/>
      <c r="B77" s="212"/>
      <c r="C77" s="213"/>
      <c r="D77" s="214" t="str">
        <f>IFERROR(VLOOKUP($C77,'PORTIFÓLIO'!C:V,2,0),"")</f>
        <v/>
      </c>
      <c r="E77" s="211" t="str">
        <f>IFERROR(VLOOKUP($C77,'PORTIFÓLIO'!C:V,3,0),"")</f>
        <v/>
      </c>
      <c r="F77" s="211" t="str">
        <f>IFERROR(VLOOKUP($C77,'PORTIFÓLIO'!C:V,4,0),"")</f>
        <v/>
      </c>
      <c r="G77" s="215" t="str">
        <f>IFERROR(VLOOKUP($C77,'PORTIFÓLIO'!C:V,5,0),"")</f>
        <v/>
      </c>
      <c r="H77" s="254" t="str">
        <f t="array" ref="H77">IFERROR(INDEX('PORTIFÓLIO'!$H$4:$H$433,MATCH($C77,'PORTIFÓLIO'!$C$4:$C$433,0)),"")</f>
        <v/>
      </c>
      <c r="I77" s="256"/>
      <c r="J77" s="218">
        <f t="shared" si="8"/>
        <v>0</v>
      </c>
      <c r="K77" s="219" t="str">
        <f t="array" ref="K77">IFERROR(I77*INDEX('PORTIFÓLIO'!$S$4:$S$433,MATCH($C77,'PORTIFÓLIO'!$C$4:$C$433,0)),"")</f>
        <v/>
      </c>
      <c r="L77" s="219" t="str">
        <f t="array" ref="L77">IFERROR(J77*INDEX('PORTIFÓLIO'!$S$4:$S$433,MATCH($C77,'PORTIFÓLIO'!$C$4:$C$433,0)),"")</f>
        <v/>
      </c>
      <c r="M77" s="220"/>
      <c r="N77" s="220"/>
      <c r="O77" s="220"/>
      <c r="P77" s="220"/>
      <c r="Q77" s="220"/>
      <c r="R77" s="220"/>
      <c r="S77" s="220"/>
      <c r="T77" s="220"/>
      <c r="U77" s="220"/>
      <c r="V77" s="220"/>
      <c r="W77" s="220"/>
    </row>
    <row r="78" ht="15.75" customHeight="1" outlineLevel="1">
      <c r="A78" s="211"/>
      <c r="B78" s="212"/>
      <c r="C78" s="213"/>
      <c r="D78" s="214" t="str">
        <f>IFERROR(VLOOKUP($C78,'PORTIFÓLIO'!C:V,2,0),"")</f>
        <v/>
      </c>
      <c r="E78" s="211" t="str">
        <f>IFERROR(VLOOKUP($C78,'PORTIFÓLIO'!C:V,3,0),"")</f>
        <v/>
      </c>
      <c r="F78" s="211" t="str">
        <f>IFERROR(VLOOKUP($C78,'PORTIFÓLIO'!C:V,4,0),"")</f>
        <v/>
      </c>
      <c r="G78" s="215" t="str">
        <f>IFERROR(VLOOKUP($C78,'PORTIFÓLIO'!C:V,5,0),"")</f>
        <v/>
      </c>
      <c r="H78" s="254" t="str">
        <f t="array" ref="H78">IFERROR(INDEX('PORTIFÓLIO'!$H$4:$H$433,MATCH($C78,'PORTIFÓLIO'!$C$4:$C$433,0)),"")</f>
        <v/>
      </c>
      <c r="I78" s="256"/>
      <c r="J78" s="218">
        <f t="shared" si="8"/>
        <v>0</v>
      </c>
      <c r="K78" s="219" t="str">
        <f t="array" ref="K78">IFERROR(I78*INDEX('PORTIFÓLIO'!$S$4:$S$433,MATCH($C78,'PORTIFÓLIO'!$C$4:$C$433,0)),"")</f>
        <v/>
      </c>
      <c r="L78" s="219" t="str">
        <f t="array" ref="L78">IFERROR(J78*INDEX('PORTIFÓLIO'!$S$4:$S$433,MATCH($C78,'PORTIFÓLIO'!$C$4:$C$433,0)),"")</f>
        <v/>
      </c>
      <c r="M78" s="220"/>
      <c r="N78" s="220"/>
      <c r="O78" s="220"/>
      <c r="P78" s="220"/>
      <c r="Q78" s="220"/>
      <c r="R78" s="220"/>
      <c r="S78" s="220"/>
      <c r="T78" s="220"/>
      <c r="U78" s="220"/>
      <c r="V78" s="220"/>
      <c r="W78" s="220"/>
    </row>
    <row r="79" ht="15.75" customHeight="1" outlineLevel="1">
      <c r="A79" s="211"/>
      <c r="B79" s="212"/>
      <c r="C79" s="213"/>
      <c r="D79" s="214" t="str">
        <f>IFERROR(VLOOKUP($C79,'PORTIFÓLIO'!C:V,2,0),"")</f>
        <v/>
      </c>
      <c r="E79" s="211" t="str">
        <f>IFERROR(VLOOKUP($C79,'PORTIFÓLIO'!C:V,3,0),"")</f>
        <v/>
      </c>
      <c r="F79" s="211" t="str">
        <f>IFERROR(VLOOKUP($C79,'PORTIFÓLIO'!C:V,4,0),"")</f>
        <v/>
      </c>
      <c r="G79" s="215" t="str">
        <f>IFERROR(VLOOKUP($C79,'PORTIFÓLIO'!C:V,5,0),"")</f>
        <v/>
      </c>
      <c r="H79" s="254" t="str">
        <f t="array" ref="H79">IFERROR(INDEX('PORTIFÓLIO'!$H$4:$H$433,MATCH($C79,'PORTIFÓLIO'!$C$4:$C$433,0)),"")</f>
        <v/>
      </c>
      <c r="I79" s="256"/>
      <c r="J79" s="218">
        <f t="shared" si="8"/>
        <v>0</v>
      </c>
      <c r="K79" s="219" t="str">
        <f t="array" ref="K79">IFERROR(I79*INDEX('PORTIFÓLIO'!$S$4:$S$433,MATCH($C79,'PORTIFÓLIO'!$C$4:$C$433,0)),"")</f>
        <v/>
      </c>
      <c r="L79" s="219" t="str">
        <f t="array" ref="L79">IFERROR(J79*INDEX('PORTIFÓLIO'!$S$4:$S$433,MATCH($C79,'PORTIFÓLIO'!$C$4:$C$433,0)),"")</f>
        <v/>
      </c>
      <c r="M79" s="220"/>
      <c r="N79" s="220"/>
      <c r="O79" s="220"/>
      <c r="P79" s="220"/>
      <c r="Q79" s="220"/>
      <c r="R79" s="220"/>
      <c r="S79" s="220"/>
      <c r="T79" s="220"/>
      <c r="U79" s="220"/>
      <c r="V79" s="220"/>
      <c r="W79" s="220"/>
    </row>
    <row r="80" ht="15.75" customHeight="1" outlineLevel="1">
      <c r="A80" s="211"/>
      <c r="B80" s="212"/>
      <c r="C80" s="213"/>
      <c r="D80" s="214" t="str">
        <f>IFERROR(VLOOKUP($C80,'PORTIFÓLIO'!C:V,2,0),"")</f>
        <v/>
      </c>
      <c r="E80" s="211" t="str">
        <f>IFERROR(VLOOKUP($C80,'PORTIFÓLIO'!C:V,3,0),"")</f>
        <v/>
      </c>
      <c r="F80" s="211" t="str">
        <f>IFERROR(VLOOKUP($C80,'PORTIFÓLIO'!C:V,4,0),"")</f>
        <v/>
      </c>
      <c r="G80" s="215" t="str">
        <f>IFERROR(VLOOKUP($C80,'PORTIFÓLIO'!C:V,5,0),"")</f>
        <v/>
      </c>
      <c r="H80" s="254" t="str">
        <f t="array" ref="H80">IFERROR(INDEX('PORTIFÓLIO'!$H$4:$H$433,MATCH($C80,'PORTIFÓLIO'!$C$4:$C$433,0)),"")</f>
        <v/>
      </c>
      <c r="I80" s="256"/>
      <c r="J80" s="218">
        <f t="shared" si="8"/>
        <v>0</v>
      </c>
      <c r="K80" s="219" t="str">
        <f t="array" ref="K80">IFERROR(I80*INDEX('PORTIFÓLIO'!$S$4:$S$433,MATCH($C80,'PORTIFÓLIO'!$C$4:$C$433,0)),"")</f>
        <v/>
      </c>
      <c r="L80" s="219" t="str">
        <f t="array" ref="L80">IFERROR(J80*INDEX('PORTIFÓLIO'!$S$4:$S$433,MATCH($C80,'PORTIFÓLIO'!$C$4:$C$433,0)),"")</f>
        <v/>
      </c>
      <c r="M80" s="220"/>
      <c r="N80" s="220"/>
      <c r="O80" s="220"/>
      <c r="P80" s="220"/>
      <c r="Q80" s="220"/>
      <c r="R80" s="220"/>
      <c r="S80" s="220"/>
      <c r="T80" s="220"/>
      <c r="U80" s="220"/>
      <c r="V80" s="220"/>
      <c r="W80" s="220"/>
    </row>
    <row r="81" ht="15.75" customHeight="1">
      <c r="A81" s="229" t="s">
        <v>1188</v>
      </c>
      <c r="B81" s="230"/>
      <c r="C81" s="231"/>
      <c r="D81" s="232" t="s">
        <v>216</v>
      </c>
      <c r="E81" s="231"/>
      <c r="F81" s="231"/>
      <c r="G81" s="233"/>
      <c r="H81" s="233"/>
      <c r="I81" s="258"/>
      <c r="J81" s="236"/>
      <c r="K81" s="237">
        <f t="shared" ref="K81:L81" si="9">SUBTOTAL(9,K82:K95)</f>
        <v>76.88756</v>
      </c>
      <c r="L81" s="237">
        <f t="shared" si="9"/>
        <v>4613.2536</v>
      </c>
      <c r="M81" s="220"/>
      <c r="N81" s="220"/>
      <c r="O81" s="220"/>
      <c r="P81" s="220"/>
      <c r="Q81" s="220"/>
      <c r="R81" s="220"/>
      <c r="S81" s="220"/>
      <c r="T81" s="220"/>
      <c r="U81" s="220"/>
      <c r="V81" s="220"/>
      <c r="W81" s="220"/>
    </row>
    <row r="82" ht="15.75" customHeight="1" outlineLevel="1">
      <c r="A82" s="213"/>
      <c r="B82" s="212" t="s">
        <v>1</v>
      </c>
      <c r="C82" s="213" t="s">
        <v>637</v>
      </c>
      <c r="D82" s="214" t="str">
        <f>IFERROR(VLOOKUP($C82,'PORTIFÓLIO'!C:V,2,0),"")</f>
        <v>GLIFOSATO-SAL DE AMÔNIO</v>
      </c>
      <c r="E82" s="211">
        <f>IFERROR(VLOOKUP($C82,'PORTIFÓLIO'!C:V,3,0),"")</f>
        <v>720</v>
      </c>
      <c r="F82" s="211" t="str">
        <f>IFERROR(VLOOKUP($C82,'PORTIFÓLIO'!C:V,4,0),"")</f>
        <v>L</v>
      </c>
      <c r="G82" s="225" t="str">
        <f>IFERROR(VLOOKUP($C82,'PORTIFÓLIO'!C:V,5,0),"")</f>
        <v>📄 Ver bula</v>
      </c>
      <c r="H82" s="254">
        <f t="array" ref="H82">IFERROR(INDEX('PORTIFÓLIO'!$H$4:$H$433,MATCH($C82,'PORTIFÓLIO'!$C$4:$C$433,0)),"")</f>
        <v>2</v>
      </c>
      <c r="I82" s="255">
        <v>2.0</v>
      </c>
      <c r="J82" s="218">
        <f t="shared" ref="J82:J96" si="10">I82*$B$2</f>
        <v>120</v>
      </c>
      <c r="K82" s="219">
        <f t="array" ref="K82">IFERROR(I82*INDEX('PORTIFÓLIO'!$S$4:$S$433,MATCH($C82,'PORTIFÓLIO'!$C$4:$C$433,0)),"")</f>
        <v>49.16</v>
      </c>
      <c r="L82" s="219">
        <f t="array" ref="L82">IFERROR(J82*INDEX('PORTIFÓLIO'!$S$4:$S$433,MATCH($C82,'PORTIFÓLIO'!$C$4:$C$433,0)),"")</f>
        <v>2949.6</v>
      </c>
      <c r="M82" s="220"/>
      <c r="N82" s="220"/>
      <c r="O82" s="220"/>
      <c r="P82" s="220"/>
      <c r="Q82" s="220"/>
      <c r="R82" s="220"/>
      <c r="S82" s="220"/>
      <c r="T82" s="220"/>
      <c r="U82" s="220"/>
      <c r="V82" s="220"/>
      <c r="W82" s="220"/>
    </row>
    <row r="83" ht="15.75" customHeight="1" outlineLevel="1">
      <c r="A83" s="211"/>
      <c r="B83" s="212" t="s">
        <v>1</v>
      </c>
      <c r="C83" s="213" t="s">
        <v>682</v>
      </c>
      <c r="D83" s="214" t="str">
        <f>IFERROR(VLOOKUP($C83,'PORTIFÓLIO'!C:V,2,0),"")</f>
        <v>CLETODIM</v>
      </c>
      <c r="E83" s="211">
        <f>IFERROR(VLOOKUP($C83,'PORTIFÓLIO'!C:V,3,0),"")</f>
        <v>240</v>
      </c>
      <c r="F83" s="211" t="str">
        <f>IFERROR(VLOOKUP($C83,'PORTIFÓLIO'!C:V,4,0),"")</f>
        <v>L</v>
      </c>
      <c r="G83" s="225" t="str">
        <f>IFERROR(VLOOKUP($C83,'PORTIFÓLIO'!C:V,5,0),"")</f>
        <v>📄 Ver bula</v>
      </c>
      <c r="H83" s="254">
        <f t="array" ref="H83">IFERROR(INDEX('PORTIFÓLIO'!$H$4:$H$433,MATCH($C83,'PORTIFÓLIO'!$C$4:$C$433,0)),"")</f>
        <v>0.4</v>
      </c>
      <c r="I83" s="255">
        <v>0.4</v>
      </c>
      <c r="J83" s="218">
        <f t="shared" si="10"/>
        <v>24</v>
      </c>
      <c r="K83" s="219">
        <f t="array" ref="K83">IFERROR(I83*INDEX('PORTIFÓLIO'!$S$4:$S$433,MATCH($C83,'PORTIFÓLIO'!$C$4:$C$433,0)),"")</f>
        <v>12.33916</v>
      </c>
      <c r="L83" s="219">
        <f t="array" ref="L83">IFERROR(J83*INDEX('PORTIFÓLIO'!$S$4:$S$433,MATCH($C83,'PORTIFÓLIO'!$C$4:$C$433,0)),"")</f>
        <v>740.3496</v>
      </c>
      <c r="M83" s="220"/>
      <c r="N83" s="220"/>
      <c r="O83" s="220"/>
      <c r="P83" s="220"/>
      <c r="Q83" s="220"/>
      <c r="R83" s="220"/>
      <c r="S83" s="220"/>
      <c r="T83" s="220"/>
      <c r="U83" s="220"/>
      <c r="V83" s="220"/>
      <c r="W83" s="220"/>
    </row>
    <row r="84" ht="15.75" customHeight="1" outlineLevel="1">
      <c r="A84" s="211"/>
      <c r="B84" s="212" t="s">
        <v>0</v>
      </c>
      <c r="C84" s="213" t="s">
        <v>505</v>
      </c>
      <c r="D84" s="214" t="str">
        <f>IFERROR(VLOOKUP($C84,'PORTIFÓLIO'!C:V,2,0),"")</f>
        <v>TEBUCONAZOL</v>
      </c>
      <c r="E84" s="211">
        <f>IFERROR(VLOOKUP($C84,'PORTIFÓLIO'!C:V,3,0),"")</f>
        <v>430</v>
      </c>
      <c r="F84" s="211" t="str">
        <f>IFERROR(VLOOKUP($C84,'PORTIFÓLIO'!C:V,4,0),"")</f>
        <v>L</v>
      </c>
      <c r="G84" s="225" t="str">
        <f>IFERROR(VLOOKUP($C84,'PORTIFÓLIO'!C:V,5,0),"")</f>
        <v>📄 Ver bula</v>
      </c>
      <c r="H84" s="254">
        <f t="array" ref="H84">IFERROR(INDEX('PORTIFÓLIO'!$H$4:$H$433,MATCH($C84,'PORTIFÓLIO'!$C$4:$C$433,0)),"")</f>
        <v>0.4</v>
      </c>
      <c r="I84" s="255">
        <v>0.4</v>
      </c>
      <c r="J84" s="218">
        <f t="shared" si="10"/>
        <v>24</v>
      </c>
      <c r="K84" s="219">
        <f t="array" ref="K84">IFERROR(I84*INDEX('PORTIFÓLIO'!$S$4:$S$433,MATCH($C84,'PORTIFÓLIO'!$C$4:$C$433,0)),"")</f>
        <v>12.1824</v>
      </c>
      <c r="L84" s="219">
        <f t="array" ref="L84">IFERROR(J84*INDEX('PORTIFÓLIO'!$S$4:$S$433,MATCH($C84,'PORTIFÓLIO'!$C$4:$C$433,0)),"")</f>
        <v>730.944</v>
      </c>
      <c r="M84" s="220"/>
      <c r="N84" s="220"/>
      <c r="O84" s="220"/>
      <c r="P84" s="220"/>
      <c r="Q84" s="220"/>
      <c r="R84" s="220"/>
      <c r="S84" s="220"/>
      <c r="T84" s="220"/>
      <c r="U84" s="220"/>
      <c r="V84" s="220"/>
      <c r="W84" s="220"/>
    </row>
    <row r="85" ht="15.75" customHeight="1" outlineLevel="1">
      <c r="A85" s="211"/>
      <c r="B85" s="212" t="s">
        <v>6</v>
      </c>
      <c r="C85" s="213" t="s">
        <v>354</v>
      </c>
      <c r="D85" s="214" t="str">
        <f>IFERROR(VLOOKUP($C85,'PORTIFÓLIO'!C:V,2,0),"")</f>
        <v>OLEO MINERAL</v>
      </c>
      <c r="E85" s="211">
        <f>IFERROR(VLOOKUP($C85,'PORTIFÓLIO'!C:V,3,0),"")</f>
        <v>761</v>
      </c>
      <c r="F85" s="211" t="str">
        <f>IFERROR(VLOOKUP($C85,'PORTIFÓLIO'!C:V,4,0),"")</f>
        <v>L</v>
      </c>
      <c r="G85" s="225" t="str">
        <f>IFERROR(VLOOKUP($C85,'PORTIFÓLIO'!C:V,5,0),"")</f>
        <v>📄 Ver bula</v>
      </c>
      <c r="H85" s="254">
        <f t="array" ref="H85">IFERROR(INDEX('PORTIFÓLIO'!$H$4:$H$433,MATCH($C85,'PORTIFÓLIO'!$C$4:$C$433,0)),"")</f>
        <v>0.2</v>
      </c>
      <c r="I85" s="255">
        <v>0.2</v>
      </c>
      <c r="J85" s="218">
        <f t="shared" si="10"/>
        <v>12</v>
      </c>
      <c r="K85" s="219">
        <f t="array" ref="K85">IFERROR(I85*INDEX('PORTIFÓLIO'!$S$4:$S$433,MATCH($C85,'PORTIFÓLIO'!$C$4:$C$433,0)),"")</f>
        <v>3.206</v>
      </c>
      <c r="L85" s="219">
        <f t="array" ref="L85">IFERROR(J85*INDEX('PORTIFÓLIO'!$S$4:$S$433,MATCH($C85,'PORTIFÓLIO'!$C$4:$C$433,0)),"")</f>
        <v>192.36</v>
      </c>
      <c r="M85" s="220"/>
      <c r="N85" s="220"/>
      <c r="O85" s="220"/>
      <c r="P85" s="220"/>
      <c r="Q85" s="220"/>
      <c r="R85" s="220"/>
      <c r="S85" s="220"/>
      <c r="T85" s="220"/>
      <c r="U85" s="220"/>
      <c r="V85" s="220"/>
      <c r="W85" s="220"/>
    </row>
    <row r="86" ht="15.75" customHeight="1" outlineLevel="1">
      <c r="A86" s="211"/>
      <c r="B86" s="212"/>
      <c r="C86" s="213"/>
      <c r="D86" s="214" t="str">
        <f>IFERROR(VLOOKUP($C86,'PORTIFÓLIO'!C:V,2,0),"")</f>
        <v/>
      </c>
      <c r="E86" s="211" t="str">
        <f>IFERROR(VLOOKUP($C86,'PORTIFÓLIO'!C:V,3,0),"")</f>
        <v/>
      </c>
      <c r="F86" s="211" t="str">
        <f>IFERROR(VLOOKUP($C86,'PORTIFÓLIO'!C:V,4,0),"")</f>
        <v/>
      </c>
      <c r="G86" s="215" t="str">
        <f>IFERROR(VLOOKUP($C86,'PORTIFÓLIO'!C:V,5,0),"")</f>
        <v/>
      </c>
      <c r="H86" s="254" t="str">
        <f t="array" ref="H86">IFERROR(INDEX('PORTIFÓLIO'!$H$4:$H$433,MATCH($C86,'PORTIFÓLIO'!$C$4:$C$433,0)),"")</f>
        <v/>
      </c>
      <c r="I86" s="256"/>
      <c r="J86" s="218">
        <f t="shared" si="10"/>
        <v>0</v>
      </c>
      <c r="K86" s="219" t="str">
        <f t="array" ref="K86">IFERROR(I86*INDEX('PORTIFÓLIO'!$S$4:$S$433,MATCH($C86,'PORTIFÓLIO'!$C$4:$C$433,0)),"")</f>
        <v/>
      </c>
      <c r="L86" s="219" t="str">
        <f t="array" ref="L86">IFERROR(J86*INDEX('PORTIFÓLIO'!$S$4:$S$433,MATCH($C86,'PORTIFÓLIO'!$C$4:$C$433,0)),"")</f>
        <v/>
      </c>
      <c r="M86" s="220"/>
      <c r="N86" s="220"/>
      <c r="O86" s="220"/>
      <c r="P86" s="220"/>
      <c r="Q86" s="220"/>
      <c r="R86" s="220"/>
      <c r="S86" s="220"/>
      <c r="T86" s="220"/>
      <c r="U86" s="220"/>
      <c r="V86" s="220"/>
      <c r="W86" s="220"/>
    </row>
    <row r="87" ht="15.75" customHeight="1" outlineLevel="1">
      <c r="A87" s="211"/>
      <c r="B87" s="212"/>
      <c r="C87" s="213"/>
      <c r="D87" s="214" t="str">
        <f>IFERROR(VLOOKUP($C87,'PORTIFÓLIO'!C:V,2,0),"")</f>
        <v/>
      </c>
      <c r="E87" s="211" t="str">
        <f>IFERROR(VLOOKUP($C87,'PORTIFÓLIO'!C:V,3,0),"")</f>
        <v/>
      </c>
      <c r="F87" s="211" t="str">
        <f>IFERROR(VLOOKUP($C87,'PORTIFÓLIO'!C:V,4,0),"")</f>
        <v/>
      </c>
      <c r="G87" s="215" t="str">
        <f>IFERROR(VLOOKUP($C87,'PORTIFÓLIO'!C:V,5,0),"")</f>
        <v/>
      </c>
      <c r="H87" s="254" t="str">
        <f t="array" ref="H87">IFERROR(INDEX('PORTIFÓLIO'!$H$4:$H$433,MATCH($C87,'PORTIFÓLIO'!$C$4:$C$433,0)),"")</f>
        <v/>
      </c>
      <c r="I87" s="256"/>
      <c r="J87" s="218">
        <f t="shared" si="10"/>
        <v>0</v>
      </c>
      <c r="K87" s="219" t="str">
        <f t="array" ref="K87">IFERROR(I87*INDEX('PORTIFÓLIO'!$S$4:$S$433,MATCH($C87,'PORTIFÓLIO'!$C$4:$C$433,0)),"")</f>
        <v/>
      </c>
      <c r="L87" s="219" t="str">
        <f t="array" ref="L87">IFERROR(J87*INDEX('PORTIFÓLIO'!$S$4:$S$433,MATCH($C87,'PORTIFÓLIO'!$C$4:$C$433,0)),"")</f>
        <v/>
      </c>
      <c r="M87" s="220"/>
      <c r="N87" s="220"/>
      <c r="O87" s="220"/>
      <c r="P87" s="220"/>
      <c r="Q87" s="220"/>
      <c r="R87" s="220"/>
      <c r="S87" s="220"/>
      <c r="T87" s="220"/>
      <c r="U87" s="220"/>
      <c r="V87" s="220"/>
      <c r="W87" s="220"/>
    </row>
    <row r="88" ht="15.75" customHeight="1" outlineLevel="1">
      <c r="A88" s="211"/>
      <c r="B88" s="212"/>
      <c r="C88" s="213"/>
      <c r="D88" s="214" t="str">
        <f>IFERROR(VLOOKUP($C88,'PORTIFÓLIO'!C:V,2,0),"")</f>
        <v/>
      </c>
      <c r="E88" s="211" t="str">
        <f>IFERROR(VLOOKUP($C88,'PORTIFÓLIO'!C:V,3,0),"")</f>
        <v/>
      </c>
      <c r="F88" s="211" t="str">
        <f>IFERROR(VLOOKUP($C88,'PORTIFÓLIO'!C:V,4,0),"")</f>
        <v/>
      </c>
      <c r="G88" s="215" t="str">
        <f>IFERROR(VLOOKUP($C88,'PORTIFÓLIO'!C:V,5,0),"")</f>
        <v/>
      </c>
      <c r="H88" s="254" t="str">
        <f t="array" ref="H88">IFERROR(INDEX('PORTIFÓLIO'!$H$4:$H$433,MATCH($C88,'PORTIFÓLIO'!$C$4:$C$433,0)),"")</f>
        <v/>
      </c>
      <c r="I88" s="256"/>
      <c r="J88" s="218">
        <f t="shared" si="10"/>
        <v>0</v>
      </c>
      <c r="K88" s="219" t="str">
        <f t="array" ref="K88">IFERROR(I88*INDEX('PORTIFÓLIO'!$S$4:$S$433,MATCH($C88,'PORTIFÓLIO'!$C$4:$C$433,0)),"")</f>
        <v/>
      </c>
      <c r="L88" s="219" t="str">
        <f t="array" ref="L88">IFERROR(J88*INDEX('PORTIFÓLIO'!$S$4:$S$433,MATCH($C88,'PORTIFÓLIO'!$C$4:$C$433,0)),"")</f>
        <v/>
      </c>
      <c r="M88" s="220"/>
      <c r="N88" s="220"/>
      <c r="O88" s="220"/>
      <c r="P88" s="220"/>
      <c r="Q88" s="220"/>
      <c r="R88" s="220"/>
      <c r="S88" s="220"/>
      <c r="T88" s="220"/>
      <c r="U88" s="220"/>
      <c r="V88" s="220"/>
      <c r="W88" s="220"/>
    </row>
    <row r="89" ht="15.75" customHeight="1" outlineLevel="1">
      <c r="A89" s="211"/>
      <c r="B89" s="212"/>
      <c r="C89" s="213"/>
      <c r="D89" s="214" t="str">
        <f>IFERROR(VLOOKUP($C89,'PORTIFÓLIO'!C:V,2,0),"")</f>
        <v/>
      </c>
      <c r="E89" s="211" t="str">
        <f>IFERROR(VLOOKUP($C89,'PORTIFÓLIO'!C:V,3,0),"")</f>
        <v/>
      </c>
      <c r="F89" s="211" t="str">
        <f>IFERROR(VLOOKUP($C89,'PORTIFÓLIO'!C:V,4,0),"")</f>
        <v/>
      </c>
      <c r="G89" s="215" t="str">
        <f>IFERROR(VLOOKUP($C89,'PORTIFÓLIO'!C:V,5,0),"")</f>
        <v/>
      </c>
      <c r="H89" s="254" t="str">
        <f t="array" ref="H89">IFERROR(INDEX('PORTIFÓLIO'!$H$4:$H$433,MATCH($C89,'PORTIFÓLIO'!$C$4:$C$433,0)),"")</f>
        <v/>
      </c>
      <c r="I89" s="256"/>
      <c r="J89" s="218">
        <f t="shared" si="10"/>
        <v>0</v>
      </c>
      <c r="K89" s="219" t="str">
        <f t="array" ref="K89">IFERROR(I89*INDEX('PORTIFÓLIO'!$S$4:$S$433,MATCH($C89,'PORTIFÓLIO'!$C$4:$C$433,0)),"")</f>
        <v/>
      </c>
      <c r="L89" s="219" t="str">
        <f t="array" ref="L89">IFERROR(J89*INDEX('PORTIFÓLIO'!$S$4:$S$433,MATCH($C89,'PORTIFÓLIO'!$C$4:$C$433,0)),"")</f>
        <v/>
      </c>
      <c r="M89" s="220"/>
      <c r="N89" s="220"/>
      <c r="O89" s="220"/>
      <c r="P89" s="220"/>
      <c r="Q89" s="220"/>
      <c r="R89" s="220"/>
      <c r="S89" s="220"/>
      <c r="T89" s="220"/>
      <c r="U89" s="220"/>
      <c r="V89" s="220"/>
      <c r="W89" s="220"/>
    </row>
    <row r="90" ht="15.75" customHeight="1" outlineLevel="1">
      <c r="A90" s="211"/>
      <c r="B90" s="212"/>
      <c r="C90" s="213"/>
      <c r="D90" s="214" t="str">
        <f>IFERROR(VLOOKUP($C90,'PORTIFÓLIO'!C:V,2,0),"")</f>
        <v/>
      </c>
      <c r="E90" s="211" t="str">
        <f>IFERROR(VLOOKUP($C90,'PORTIFÓLIO'!C:V,3,0),"")</f>
        <v/>
      </c>
      <c r="F90" s="211" t="str">
        <f>IFERROR(VLOOKUP($C90,'PORTIFÓLIO'!C:V,4,0),"")</f>
        <v/>
      </c>
      <c r="G90" s="215" t="str">
        <f>IFERROR(VLOOKUP($C90,'PORTIFÓLIO'!C:V,5,0),"")</f>
        <v/>
      </c>
      <c r="H90" s="254" t="str">
        <f t="array" ref="H90">IFERROR(INDEX('PORTIFÓLIO'!$H$4:$H$433,MATCH($C90,'PORTIFÓLIO'!$C$4:$C$433,0)),"")</f>
        <v/>
      </c>
      <c r="I90" s="255"/>
      <c r="J90" s="218">
        <f t="shared" si="10"/>
        <v>0</v>
      </c>
      <c r="K90" s="219" t="str">
        <f t="array" ref="K90">IFERROR(I90*INDEX('PORTIFÓLIO'!$S$4:$S$433,MATCH($C90,'PORTIFÓLIO'!$C$4:$C$433,0)),"")</f>
        <v/>
      </c>
      <c r="L90" s="219" t="str">
        <f t="array" ref="L90">IFERROR(J90*INDEX('PORTIFÓLIO'!$S$4:$S$433,MATCH($C90,'PORTIFÓLIO'!$C$4:$C$433,0)),"")</f>
        <v/>
      </c>
      <c r="M90" s="220"/>
      <c r="N90" s="220"/>
      <c r="O90" s="220"/>
      <c r="P90" s="220"/>
      <c r="Q90" s="220"/>
      <c r="R90" s="220"/>
      <c r="S90" s="220"/>
      <c r="T90" s="220"/>
      <c r="U90" s="220"/>
      <c r="V90" s="220"/>
      <c r="W90" s="220"/>
    </row>
    <row r="91" ht="15.75" customHeight="1" outlineLevel="1">
      <c r="A91" s="211"/>
      <c r="B91" s="212"/>
      <c r="C91" s="213"/>
      <c r="D91" s="214" t="str">
        <f>IFERROR(VLOOKUP($C91,'PORTIFÓLIO'!C:V,2,0),"")</f>
        <v/>
      </c>
      <c r="E91" s="211" t="str">
        <f>IFERROR(VLOOKUP($C91,'PORTIFÓLIO'!C:V,3,0),"")</f>
        <v/>
      </c>
      <c r="F91" s="211" t="str">
        <f>IFERROR(VLOOKUP($C91,'PORTIFÓLIO'!C:V,4,0),"")</f>
        <v/>
      </c>
      <c r="G91" s="215" t="str">
        <f>IFERROR(VLOOKUP($C91,'PORTIFÓLIO'!C:V,5,0),"")</f>
        <v/>
      </c>
      <c r="H91" s="254" t="str">
        <f t="array" ref="H91">IFERROR(INDEX('PORTIFÓLIO'!$H$4:$H$433,MATCH($C91,'PORTIFÓLIO'!$C$4:$C$433,0)),"")</f>
        <v/>
      </c>
      <c r="I91" s="256"/>
      <c r="J91" s="218">
        <f t="shared" si="10"/>
        <v>0</v>
      </c>
      <c r="K91" s="219" t="str">
        <f t="array" ref="K91">IFERROR(I91*INDEX('PORTIFÓLIO'!$S$4:$S$433,MATCH($C91,'PORTIFÓLIO'!$C$4:$C$433,0)),"")</f>
        <v/>
      </c>
      <c r="L91" s="219" t="str">
        <f t="array" ref="L91">IFERROR(J91*INDEX('PORTIFÓLIO'!$S$4:$S$433,MATCH($C91,'PORTIFÓLIO'!$C$4:$C$433,0)),"")</f>
        <v/>
      </c>
      <c r="M91" s="220"/>
      <c r="N91" s="220"/>
      <c r="O91" s="220"/>
      <c r="P91" s="220"/>
      <c r="Q91" s="220"/>
      <c r="R91" s="220"/>
      <c r="S91" s="220"/>
      <c r="T91" s="220"/>
      <c r="U91" s="220"/>
      <c r="V91" s="220"/>
      <c r="W91" s="220"/>
    </row>
    <row r="92" ht="15.75" customHeight="1" outlineLevel="1">
      <c r="A92" s="211"/>
      <c r="B92" s="212"/>
      <c r="C92" s="213"/>
      <c r="D92" s="214" t="str">
        <f>IFERROR(VLOOKUP($C92,'PORTIFÓLIO'!C:V,2,0),"")</f>
        <v/>
      </c>
      <c r="E92" s="211" t="str">
        <f>IFERROR(VLOOKUP($C92,'PORTIFÓLIO'!C:V,3,0),"")</f>
        <v/>
      </c>
      <c r="F92" s="211" t="str">
        <f>IFERROR(VLOOKUP($C92,'PORTIFÓLIO'!C:V,4,0),"")</f>
        <v/>
      </c>
      <c r="G92" s="215" t="str">
        <f>IFERROR(VLOOKUP($C92,'PORTIFÓLIO'!C:V,5,0),"")</f>
        <v/>
      </c>
      <c r="H92" s="254" t="str">
        <f t="array" ref="H92">IFERROR(INDEX('PORTIFÓLIO'!$H$4:$H$433,MATCH($C92,'PORTIFÓLIO'!$C$4:$C$433,0)),"")</f>
        <v/>
      </c>
      <c r="I92" s="256"/>
      <c r="J92" s="218">
        <f t="shared" si="10"/>
        <v>0</v>
      </c>
      <c r="K92" s="219" t="str">
        <f t="array" ref="K92">IFERROR(I92*INDEX('PORTIFÓLIO'!$S$4:$S$433,MATCH($C92,'PORTIFÓLIO'!$C$4:$C$433,0)),"")</f>
        <v/>
      </c>
      <c r="L92" s="219" t="str">
        <f t="array" ref="L92">IFERROR(J92*INDEX('PORTIFÓLIO'!$S$4:$S$433,MATCH($C92,'PORTIFÓLIO'!$C$4:$C$433,0)),"")</f>
        <v/>
      </c>
      <c r="M92" s="220"/>
      <c r="N92" s="220"/>
      <c r="O92" s="220"/>
      <c r="P92" s="220"/>
      <c r="Q92" s="220"/>
      <c r="R92" s="220"/>
      <c r="S92" s="220"/>
      <c r="T92" s="220"/>
      <c r="U92" s="220"/>
      <c r="V92" s="220"/>
      <c r="W92" s="220"/>
    </row>
    <row r="93" ht="15.75" customHeight="1" outlineLevel="1">
      <c r="A93" s="211"/>
      <c r="B93" s="212"/>
      <c r="C93" s="213"/>
      <c r="D93" s="214" t="str">
        <f>IFERROR(VLOOKUP($C93,'PORTIFÓLIO'!C:V,2,0),"")</f>
        <v/>
      </c>
      <c r="E93" s="211" t="str">
        <f>IFERROR(VLOOKUP($C93,'PORTIFÓLIO'!C:V,3,0),"")</f>
        <v/>
      </c>
      <c r="F93" s="211" t="str">
        <f>IFERROR(VLOOKUP($C93,'PORTIFÓLIO'!C:V,4,0),"")</f>
        <v/>
      </c>
      <c r="G93" s="215" t="str">
        <f>IFERROR(VLOOKUP($C93,'PORTIFÓLIO'!C:V,5,0),"")</f>
        <v/>
      </c>
      <c r="H93" s="254" t="str">
        <f t="array" ref="H93">IFERROR(INDEX('PORTIFÓLIO'!$H$4:$H$433,MATCH($C93,'PORTIFÓLIO'!$C$4:$C$433,0)),"")</f>
        <v/>
      </c>
      <c r="I93" s="256"/>
      <c r="J93" s="218">
        <f t="shared" si="10"/>
        <v>0</v>
      </c>
      <c r="K93" s="219" t="str">
        <f t="array" ref="K93">IFERROR(I93*INDEX('PORTIFÓLIO'!$S$4:$S$433,MATCH($C93,'PORTIFÓLIO'!$C$4:$C$433,0)),"")</f>
        <v/>
      </c>
      <c r="L93" s="219" t="str">
        <f t="array" ref="L93">IFERROR(J93*INDEX('PORTIFÓLIO'!$S$4:$S$433,MATCH($C93,'PORTIFÓLIO'!$C$4:$C$433,0)),"")</f>
        <v/>
      </c>
      <c r="M93" s="220"/>
      <c r="N93" s="220"/>
      <c r="O93" s="220"/>
      <c r="P93" s="220"/>
      <c r="Q93" s="220"/>
      <c r="R93" s="220"/>
      <c r="S93" s="220"/>
      <c r="T93" s="220"/>
      <c r="U93" s="220"/>
      <c r="V93" s="220"/>
      <c r="W93" s="220"/>
    </row>
    <row r="94" ht="15.75" customHeight="1" outlineLevel="1">
      <c r="A94" s="211"/>
      <c r="B94" s="212"/>
      <c r="C94" s="213"/>
      <c r="D94" s="214" t="str">
        <f>IFERROR(VLOOKUP($C94,'PORTIFÓLIO'!C:V,2,0),"")</f>
        <v/>
      </c>
      <c r="E94" s="211" t="str">
        <f>IFERROR(VLOOKUP($C94,'PORTIFÓLIO'!C:V,3,0),"")</f>
        <v/>
      </c>
      <c r="F94" s="211" t="str">
        <f>IFERROR(VLOOKUP($C94,'PORTIFÓLIO'!C:V,4,0),"")</f>
        <v/>
      </c>
      <c r="G94" s="215" t="str">
        <f>IFERROR(VLOOKUP($C94,'PORTIFÓLIO'!C:V,5,0),"")</f>
        <v/>
      </c>
      <c r="H94" s="254" t="str">
        <f t="array" ref="H94">IFERROR(INDEX('PORTIFÓLIO'!$H$4:$H$433,MATCH($C94,'PORTIFÓLIO'!$C$4:$C$433,0)),"")</f>
        <v/>
      </c>
      <c r="I94" s="256"/>
      <c r="J94" s="218">
        <f t="shared" si="10"/>
        <v>0</v>
      </c>
      <c r="K94" s="219" t="str">
        <f t="array" ref="K94">IFERROR(I94*INDEX('PORTIFÓLIO'!$S$4:$S$433,MATCH($C94,'PORTIFÓLIO'!$C$4:$C$433,0)),"")</f>
        <v/>
      </c>
      <c r="L94" s="219" t="str">
        <f t="array" ref="L94">IFERROR(J94*INDEX('PORTIFÓLIO'!$S$4:$S$433,MATCH($C94,'PORTIFÓLIO'!$C$4:$C$433,0)),"")</f>
        <v/>
      </c>
      <c r="M94" s="220"/>
      <c r="N94" s="220"/>
      <c r="O94" s="220"/>
      <c r="P94" s="220"/>
      <c r="Q94" s="220"/>
      <c r="R94" s="220"/>
      <c r="S94" s="220"/>
      <c r="T94" s="220"/>
      <c r="U94" s="220"/>
      <c r="V94" s="220"/>
      <c r="W94" s="220"/>
    </row>
    <row r="95" ht="15.75" customHeight="1" outlineLevel="1">
      <c r="A95" s="211"/>
      <c r="B95" s="212"/>
      <c r="C95" s="213"/>
      <c r="D95" s="214" t="str">
        <f>IFERROR(VLOOKUP($C95,'PORTIFÓLIO'!C:V,2,0),"")</f>
        <v/>
      </c>
      <c r="E95" s="211" t="str">
        <f>IFERROR(VLOOKUP($C95,'PORTIFÓLIO'!C:V,3,0),"")</f>
        <v/>
      </c>
      <c r="F95" s="211" t="str">
        <f>IFERROR(VLOOKUP($C95,'PORTIFÓLIO'!C:V,4,0),"")</f>
        <v/>
      </c>
      <c r="G95" s="215" t="str">
        <f>IFERROR(VLOOKUP($C95,'PORTIFÓLIO'!C:V,5,0),"")</f>
        <v/>
      </c>
      <c r="H95" s="254" t="str">
        <f t="array" ref="H95">IFERROR(INDEX('PORTIFÓLIO'!$H$4:$H$433,MATCH($C95,'PORTIFÓLIO'!$C$4:$C$433,0)),"")</f>
        <v/>
      </c>
      <c r="I95" s="256"/>
      <c r="J95" s="218">
        <f t="shared" si="10"/>
        <v>0</v>
      </c>
      <c r="K95" s="219" t="str">
        <f t="array" ref="K95">IFERROR(I95*INDEX('PORTIFÓLIO'!$S$4:$S$433,MATCH($C95,'PORTIFÓLIO'!$C$4:$C$433,0)),"")</f>
        <v/>
      </c>
      <c r="L95" s="219" t="str">
        <f t="array" ref="L95">IFERROR(J95*INDEX('PORTIFÓLIO'!$S$4:$S$433,MATCH($C95,'PORTIFÓLIO'!$C$4:$C$433,0)),"")</f>
        <v/>
      </c>
      <c r="M95" s="220"/>
      <c r="N95" s="220"/>
      <c r="O95" s="220"/>
      <c r="P95" s="220"/>
      <c r="Q95" s="220"/>
      <c r="R95" s="220"/>
      <c r="S95" s="220"/>
      <c r="T95" s="220"/>
      <c r="U95" s="220"/>
      <c r="V95" s="220"/>
      <c r="W95" s="220"/>
    </row>
    <row r="96" ht="15.75" customHeight="1" outlineLevel="1">
      <c r="A96" s="211"/>
      <c r="B96" s="212"/>
      <c r="C96" s="213"/>
      <c r="D96" s="214" t="str">
        <f>IFERROR(VLOOKUP($C96,'PORTIFÓLIO'!C:V,2,0),"")</f>
        <v/>
      </c>
      <c r="E96" s="211" t="str">
        <f>IFERROR(VLOOKUP($C96,'PORTIFÓLIO'!C:V,3,0),"")</f>
        <v/>
      </c>
      <c r="F96" s="211" t="str">
        <f>IFERROR(VLOOKUP($C96,'PORTIFÓLIO'!C:V,4,0),"")</f>
        <v/>
      </c>
      <c r="G96" s="215" t="str">
        <f>IFERROR(VLOOKUP($C96,'PORTIFÓLIO'!C:V,5,0),"")</f>
        <v/>
      </c>
      <c r="H96" s="254" t="str">
        <f t="array" ref="H96">IFERROR(INDEX('PORTIFÓLIO'!$H$4:$H$433,MATCH($C96,'PORTIFÓLIO'!$C$4:$C$433,0)),"")</f>
        <v/>
      </c>
      <c r="I96" s="256"/>
      <c r="J96" s="218">
        <f t="shared" si="10"/>
        <v>0</v>
      </c>
      <c r="K96" s="219" t="str">
        <f t="array" ref="K96">IFERROR(I96*INDEX('PORTIFÓLIO'!$S$4:$S$433,MATCH($C96,'PORTIFÓLIO'!$C$4:$C$433,0)),"")</f>
        <v/>
      </c>
      <c r="L96" s="219" t="str">
        <f t="array" ref="L96">IFERROR(J96*INDEX('PORTIFÓLIO'!$S$4:$S$433,MATCH($C96,'PORTIFÓLIO'!$C$4:$C$433,0)),"")</f>
        <v/>
      </c>
      <c r="M96" s="220"/>
      <c r="N96" s="220"/>
      <c r="O96" s="220"/>
      <c r="P96" s="220"/>
      <c r="Q96" s="220"/>
      <c r="R96" s="220"/>
      <c r="S96" s="220"/>
      <c r="T96" s="220"/>
      <c r="U96" s="220"/>
      <c r="V96" s="220"/>
      <c r="W96" s="220"/>
    </row>
    <row r="97" ht="15.75" customHeight="1">
      <c r="A97" s="229" t="s">
        <v>1189</v>
      </c>
      <c r="B97" s="230"/>
      <c r="C97" s="231"/>
      <c r="D97" s="232"/>
      <c r="E97" s="231"/>
      <c r="F97" s="231"/>
      <c r="G97" s="233"/>
      <c r="H97" s="233"/>
      <c r="I97" s="258"/>
      <c r="J97" s="236"/>
      <c r="K97" s="237">
        <f t="shared" ref="K97:L97" si="11">SUBTOTAL(9,K98:K111)</f>
        <v>251.9479845</v>
      </c>
      <c r="L97" s="237">
        <f t="shared" si="11"/>
        <v>15116.87907</v>
      </c>
      <c r="M97" s="220"/>
      <c r="N97" s="220"/>
      <c r="O97" s="220"/>
      <c r="P97" s="220"/>
      <c r="Q97" s="220"/>
      <c r="R97" s="220"/>
      <c r="S97" s="220"/>
      <c r="T97" s="220"/>
      <c r="U97" s="220"/>
      <c r="V97" s="220"/>
      <c r="W97" s="220"/>
    </row>
    <row r="98" ht="15.75" customHeight="1" outlineLevel="1">
      <c r="A98" s="213"/>
      <c r="B98" s="212" t="s">
        <v>0</v>
      </c>
      <c r="C98" s="213" t="s">
        <v>443</v>
      </c>
      <c r="D98" s="214" t="str">
        <f>IFERROR(VLOOKUP($C98,'PORTIFÓLIO'!C:V,2,0),"")</f>
        <v>MEFENTRIFLUCONAZOL + PIRACLOSTROBINA +
 FLUXAPIROXADE</v>
      </c>
      <c r="E98" s="211" t="str">
        <f>IFERROR(VLOOKUP($C98,'PORTIFÓLIO'!C:V,3,0),"")</f>
        <v>133,3 + 177,8 + 88,9</v>
      </c>
      <c r="F98" s="211" t="str">
        <f>IFERROR(VLOOKUP($C98,'PORTIFÓLIO'!C:V,4,0),"")</f>
        <v>L</v>
      </c>
      <c r="G98" s="225" t="str">
        <f>IFERROR(VLOOKUP($C98,'PORTIFÓLIO'!C:V,5,0),"")</f>
        <v>📄 Ver bula</v>
      </c>
      <c r="H98" s="254">
        <f t="array" ref="H98">IFERROR(INDEX('PORTIFÓLIO'!$H$4:$H$433,MATCH($C98,'PORTIFÓLIO'!$C$4:$C$433,0)),"")</f>
        <v>0.7</v>
      </c>
      <c r="I98" s="255">
        <v>0.7</v>
      </c>
      <c r="J98" s="218">
        <f t="shared" ref="J98:J112" si="12">I98*$B$2</f>
        <v>42</v>
      </c>
      <c r="K98" s="219">
        <f t="array" ref="K98">IFERROR(I98*INDEX('PORTIFÓLIO'!$S$4:$S$433,MATCH($C98,'PORTIFÓLIO'!$C$4:$C$433,0)),"")</f>
        <v>119.38752</v>
      </c>
      <c r="L98" s="219">
        <f t="array" ref="L98">IFERROR(J98*INDEX('PORTIFÓLIO'!$S$4:$S$433,MATCH($C98,'PORTIFÓLIO'!$C$4:$C$433,0)),"")</f>
        <v>7163.2512</v>
      </c>
      <c r="M98" s="220"/>
      <c r="N98" s="220"/>
      <c r="O98" s="220"/>
      <c r="P98" s="220"/>
      <c r="Q98" s="220"/>
      <c r="R98" s="220"/>
      <c r="S98" s="220"/>
      <c r="T98" s="220"/>
      <c r="U98" s="220"/>
      <c r="V98" s="220"/>
      <c r="W98" s="220"/>
    </row>
    <row r="99" ht="15.75" customHeight="1" outlineLevel="1">
      <c r="A99" s="211"/>
      <c r="B99" s="212" t="s">
        <v>0</v>
      </c>
      <c r="C99" s="213" t="s">
        <v>520</v>
      </c>
      <c r="D99" s="214" t="str">
        <f>IFERROR(VLOOKUP($C99,'PORTIFÓLIO'!C:V,2,0),"")</f>
        <v>FLUAZINAM</v>
      </c>
      <c r="E99" s="211">
        <f>IFERROR(VLOOKUP($C99,'PORTIFÓLIO'!C:V,3,0),"")</f>
        <v>500</v>
      </c>
      <c r="F99" s="211" t="str">
        <f>IFERROR(VLOOKUP($C99,'PORTIFÓLIO'!C:V,4,0),"")</f>
        <v>L</v>
      </c>
      <c r="G99" s="225" t="str">
        <f>IFERROR(VLOOKUP($C99,'PORTIFÓLIO'!C:V,5,0),"")</f>
        <v>📄 Ver bula</v>
      </c>
      <c r="H99" s="254">
        <f t="array" ref="H99">IFERROR(INDEX('PORTIFÓLIO'!$H$4:$H$433,MATCH($C99,'PORTIFÓLIO'!$C$4:$C$433,0)),"")</f>
        <v>1</v>
      </c>
      <c r="I99" s="255">
        <v>1.0</v>
      </c>
      <c r="J99" s="218">
        <f t="shared" si="12"/>
        <v>60</v>
      </c>
      <c r="K99" s="219">
        <f t="array" ref="K99">IFERROR(I99*INDEX('PORTIFÓLIO'!$S$4:$S$433,MATCH($C99,'PORTIFÓLIO'!$C$4:$C$433,0)),"")</f>
        <v>67.68</v>
      </c>
      <c r="L99" s="219">
        <f t="array" ref="L99">IFERROR(J99*INDEX('PORTIFÓLIO'!$S$4:$S$433,MATCH($C99,'PORTIFÓLIO'!$C$4:$C$433,0)),"")</f>
        <v>4060.8</v>
      </c>
      <c r="M99" s="220"/>
      <c r="N99" s="220"/>
      <c r="O99" s="220"/>
      <c r="P99" s="220"/>
      <c r="Q99" s="220"/>
      <c r="R99" s="220"/>
      <c r="S99" s="220"/>
      <c r="T99" s="220"/>
      <c r="U99" s="220"/>
      <c r="V99" s="220"/>
      <c r="W99" s="220"/>
    </row>
    <row r="100" ht="15.75" customHeight="1" outlineLevel="1">
      <c r="A100" s="211"/>
      <c r="B100" s="212" t="s">
        <v>2</v>
      </c>
      <c r="C100" s="213" t="s">
        <v>829</v>
      </c>
      <c r="D100" s="214" t="str">
        <f>IFERROR(VLOOKUP($C100,'PORTIFÓLIO'!C:V,2,0),"")</f>
        <v>BIFENTRINA</v>
      </c>
      <c r="E100" s="211">
        <f>IFERROR(VLOOKUP($C100,'PORTIFÓLIO'!C:V,3,0),"")</f>
        <v>400</v>
      </c>
      <c r="F100" s="211" t="str">
        <f>IFERROR(VLOOKUP($C100,'PORTIFÓLIO'!C:V,4,0),"")</f>
        <v>L</v>
      </c>
      <c r="G100" s="225" t="str">
        <f>IFERROR(VLOOKUP($C100,'PORTIFÓLIO'!C:V,5,0),"")</f>
        <v>📄 Ver bula</v>
      </c>
      <c r="H100" s="254">
        <f t="array" ref="H100">IFERROR(INDEX('PORTIFÓLIO'!$H$4:$H$433,MATCH($C100,'PORTIFÓLIO'!$C$4:$C$433,0)),"")</f>
        <v>0.05</v>
      </c>
      <c r="I100" s="255">
        <v>0.05</v>
      </c>
      <c r="J100" s="218">
        <f t="shared" si="12"/>
        <v>3</v>
      </c>
      <c r="K100" s="219">
        <f t="array" ref="K100">IFERROR(I100*INDEX('PORTIFÓLIO'!$S$4:$S$433,MATCH($C100,'PORTIFÓLIO'!$C$4:$C$433,0)),"")</f>
        <v>3.076419</v>
      </c>
      <c r="L100" s="219">
        <f t="array" ref="L100">IFERROR(J100*INDEX('PORTIFÓLIO'!$S$4:$S$433,MATCH($C100,'PORTIFÓLIO'!$C$4:$C$433,0)),"")</f>
        <v>184.58514</v>
      </c>
      <c r="M100" s="220"/>
      <c r="N100" s="220"/>
      <c r="O100" s="220"/>
      <c r="P100" s="220"/>
      <c r="Q100" s="220"/>
      <c r="R100" s="220"/>
      <c r="S100" s="220"/>
      <c r="T100" s="220"/>
      <c r="U100" s="220"/>
      <c r="V100" s="220"/>
      <c r="W100" s="220"/>
    </row>
    <row r="101" ht="15.75" customHeight="1" outlineLevel="1">
      <c r="A101" s="211"/>
      <c r="B101" s="212" t="s">
        <v>2</v>
      </c>
      <c r="C101" s="213" t="s">
        <v>842</v>
      </c>
      <c r="D101" s="214" t="str">
        <f>IFERROR(VLOOKUP($C101,'PORTIFÓLIO'!C:V,2,0),"")</f>
        <v>IMIDACLOPRIDO</v>
      </c>
      <c r="E101" s="211">
        <f>IFERROR(VLOOKUP($C101,'PORTIFÓLIO'!C:V,3,0),"")</f>
        <v>480</v>
      </c>
      <c r="F101" s="211" t="str">
        <f>IFERROR(VLOOKUP($C101,'PORTIFÓLIO'!C:V,4,0),"")</f>
        <v>L</v>
      </c>
      <c r="G101" s="225" t="str">
        <f>IFERROR(VLOOKUP($C101,'PORTIFÓLIO'!C:V,5,0),"")</f>
        <v>📄 Ver bula</v>
      </c>
      <c r="H101" s="254">
        <f t="array" ref="H101">IFERROR(INDEX('PORTIFÓLIO'!$H$4:$H$433,MATCH($C101,'PORTIFÓLIO'!$C$4:$C$433,0)),"")</f>
        <v>0.25</v>
      </c>
      <c r="I101" s="255">
        <v>0.25</v>
      </c>
      <c r="J101" s="218">
        <f t="shared" si="12"/>
        <v>15</v>
      </c>
      <c r="K101" s="219">
        <f t="array" ref="K101">IFERROR(I101*INDEX('PORTIFÓLIO'!$S$4:$S$433,MATCH($C101,'PORTIFÓLIO'!$C$4:$C$433,0)),"")</f>
        <v>14.0554125</v>
      </c>
      <c r="L101" s="219">
        <f t="array" ref="L101">IFERROR(J101*INDEX('PORTIFÓLIO'!$S$4:$S$433,MATCH($C101,'PORTIFÓLIO'!$C$4:$C$433,0)),"")</f>
        <v>843.32475</v>
      </c>
      <c r="M101" s="220"/>
      <c r="N101" s="220"/>
      <c r="O101" s="220"/>
      <c r="P101" s="220"/>
      <c r="Q101" s="220"/>
      <c r="R101" s="220"/>
      <c r="S101" s="220"/>
      <c r="T101" s="220"/>
      <c r="U101" s="220"/>
      <c r="V101" s="220"/>
      <c r="W101" s="220"/>
    </row>
    <row r="102" ht="15.75" customHeight="1" outlineLevel="1">
      <c r="A102" s="211"/>
      <c r="B102" s="212" t="s">
        <v>2</v>
      </c>
      <c r="C102" s="213" t="s">
        <v>786</v>
      </c>
      <c r="D102" s="214" t="str">
        <f>IFERROR(VLOOKUP($C102,'PORTIFÓLIO'!C:V,2,0),"")</f>
        <v>DIFLUBENZUROM</v>
      </c>
      <c r="E102" s="211">
        <f>IFERROR(VLOOKUP($C102,'PORTIFÓLIO'!C:V,3,0),"")</f>
        <v>480</v>
      </c>
      <c r="F102" s="211" t="str">
        <f>IFERROR(VLOOKUP($C102,'PORTIFÓLIO'!C:V,4,0),"")</f>
        <v>KG</v>
      </c>
      <c r="G102" s="225" t="str">
        <f>IFERROR(VLOOKUP($C102,'PORTIFÓLIO'!C:V,5,0),"")</f>
        <v>📄 Ver bula</v>
      </c>
      <c r="H102" s="254">
        <f t="array" ref="H102">IFERROR(INDEX('PORTIFÓLIO'!$H$4:$H$433,MATCH($C102,'PORTIFÓLIO'!$C$4:$C$433,0)),"")</f>
        <v>0.04</v>
      </c>
      <c r="I102" s="255">
        <v>0.05</v>
      </c>
      <c r="J102" s="218">
        <f t="shared" si="12"/>
        <v>3</v>
      </c>
      <c r="K102" s="219">
        <f t="array" ref="K102">IFERROR(I102*INDEX('PORTIFÓLIO'!$S$4:$S$433,MATCH($C102,'PORTIFÓLIO'!$C$4:$C$433,0)),"")</f>
        <v>2.927979</v>
      </c>
      <c r="L102" s="219">
        <f t="array" ref="L102">IFERROR(J102*INDEX('PORTIFÓLIO'!$S$4:$S$433,MATCH($C102,'PORTIFÓLIO'!$C$4:$C$433,0)),"")</f>
        <v>175.67874</v>
      </c>
      <c r="M102" s="220"/>
      <c r="N102" s="220"/>
      <c r="O102" s="220"/>
      <c r="P102" s="220"/>
      <c r="Q102" s="220"/>
      <c r="R102" s="220"/>
      <c r="S102" s="220"/>
      <c r="T102" s="220"/>
      <c r="U102" s="220"/>
      <c r="V102" s="220"/>
      <c r="W102" s="220"/>
    </row>
    <row r="103" ht="15.75" customHeight="1" outlineLevel="1">
      <c r="A103" s="211"/>
      <c r="B103" s="212" t="s">
        <v>6</v>
      </c>
      <c r="C103" s="213" t="s">
        <v>341</v>
      </c>
      <c r="D103" s="214" t="str">
        <f>IFERROR(VLOOKUP($C103,'PORTIFÓLIO'!C:V,2,0),"")</f>
        <v>ESTER METILICO DE SOJA</v>
      </c>
      <c r="E103" s="211">
        <f>IFERROR(VLOOKUP($C103,'PORTIFÓLIO'!C:V,3,0),"")</f>
        <v>765</v>
      </c>
      <c r="F103" s="211" t="str">
        <f>IFERROR(VLOOKUP($C103,'PORTIFÓLIO'!C:V,4,0),"")</f>
        <v>L</v>
      </c>
      <c r="G103" s="225" t="str">
        <f>IFERROR(VLOOKUP($C103,'PORTIFÓLIO'!C:V,5,0),"")</f>
        <v>📄 Ver bula</v>
      </c>
      <c r="H103" s="254">
        <f t="array" ref="H103">IFERROR(INDEX('PORTIFÓLIO'!$H$4:$H$433,MATCH($C103,'PORTIFÓLIO'!$C$4:$C$433,0)),"")</f>
        <v>0.2</v>
      </c>
      <c r="I103" s="255">
        <v>0.2</v>
      </c>
      <c r="J103" s="218">
        <f t="shared" si="12"/>
        <v>12</v>
      </c>
      <c r="K103" s="219">
        <f t="array" ref="K103">IFERROR(I103*INDEX('PORTIFÓLIO'!$S$4:$S$433,MATCH($C103,'PORTIFÓLIO'!$C$4:$C$433,0)),"")</f>
        <v>3.298974</v>
      </c>
      <c r="L103" s="219">
        <f t="array" ref="L103">IFERROR(J103*INDEX('PORTIFÓLIO'!$S$4:$S$433,MATCH($C103,'PORTIFÓLIO'!$C$4:$C$433,0)),"")</f>
        <v>197.93844</v>
      </c>
      <c r="M103" s="220"/>
      <c r="N103" s="220"/>
      <c r="O103" s="220"/>
      <c r="P103" s="220"/>
      <c r="Q103" s="220"/>
      <c r="R103" s="220"/>
      <c r="S103" s="220"/>
      <c r="T103" s="220"/>
      <c r="U103" s="220"/>
      <c r="V103" s="220"/>
      <c r="W103" s="220"/>
    </row>
    <row r="104" ht="15.75" customHeight="1" outlineLevel="1">
      <c r="A104" s="211"/>
      <c r="B104" s="212" t="s">
        <v>0</v>
      </c>
      <c r="C104" s="213" t="s">
        <v>484</v>
      </c>
      <c r="D104" s="214" t="str">
        <f>IFERROR(VLOOKUP($C104,'PORTIFÓLIO'!C:V,2,0),"")</f>
        <v>MANCOZEBE</v>
      </c>
      <c r="E104" s="211">
        <f>IFERROR(VLOOKUP($C104,'PORTIFÓLIO'!C:V,3,0),"")</f>
        <v>750</v>
      </c>
      <c r="F104" s="211" t="str">
        <f>IFERROR(VLOOKUP($C104,'PORTIFÓLIO'!C:V,4,0),"")</f>
        <v>L</v>
      </c>
      <c r="G104" s="225" t="str">
        <f>IFERROR(VLOOKUP($C104,'PORTIFÓLIO'!C:V,5,0),"")</f>
        <v>📄 Ver bula</v>
      </c>
      <c r="H104" s="254">
        <f t="array" ref="H104">IFERROR(INDEX('PORTIFÓLIO'!$H$4:$H$433,MATCH($C104,'PORTIFÓLIO'!$C$4:$C$433,0)),"")</f>
        <v>1.5</v>
      </c>
      <c r="I104" s="255">
        <v>1.5</v>
      </c>
      <c r="J104" s="218">
        <f t="shared" si="12"/>
        <v>90</v>
      </c>
      <c r="K104" s="219">
        <f t="array" ref="K104">IFERROR(I104*INDEX('PORTIFÓLIO'!$S$4:$S$433,MATCH($C104,'PORTIFÓLIO'!$C$4:$C$433,0)),"")</f>
        <v>41.52168</v>
      </c>
      <c r="L104" s="219">
        <f t="array" ref="L104">IFERROR(J104*INDEX('PORTIFÓLIO'!$S$4:$S$433,MATCH($C104,'PORTIFÓLIO'!$C$4:$C$433,0)),"")</f>
        <v>2491.3008</v>
      </c>
      <c r="M104" s="220"/>
      <c r="N104" s="220"/>
      <c r="O104" s="220"/>
      <c r="P104" s="220"/>
      <c r="Q104" s="220"/>
      <c r="R104" s="220"/>
      <c r="S104" s="220"/>
      <c r="T104" s="220"/>
      <c r="U104" s="220"/>
      <c r="V104" s="220"/>
      <c r="W104" s="220"/>
    </row>
    <row r="105" ht="15.75" customHeight="1" outlineLevel="1">
      <c r="A105" s="211"/>
      <c r="B105" s="212"/>
      <c r="C105" s="213"/>
      <c r="D105" s="214" t="str">
        <f>IFERROR(VLOOKUP($C105,'PORTIFÓLIO'!C:V,2,0),"")</f>
        <v/>
      </c>
      <c r="E105" s="211" t="str">
        <f>IFERROR(VLOOKUP($C105,'PORTIFÓLIO'!C:V,3,0),"")</f>
        <v/>
      </c>
      <c r="F105" s="211" t="str">
        <f>IFERROR(VLOOKUP($C105,'PORTIFÓLIO'!C:V,4,0),"")</f>
        <v/>
      </c>
      <c r="G105" s="215" t="str">
        <f>IFERROR(VLOOKUP($C105,'PORTIFÓLIO'!C:V,5,0),"")</f>
        <v/>
      </c>
      <c r="H105" s="254" t="str">
        <f t="array" ref="H105">IFERROR(INDEX('PORTIFÓLIO'!$H$4:$H$433,MATCH($C105,'PORTIFÓLIO'!$C$4:$C$433,0)),"")</f>
        <v/>
      </c>
      <c r="I105" s="256"/>
      <c r="J105" s="218">
        <f t="shared" si="12"/>
        <v>0</v>
      </c>
      <c r="K105" s="219" t="str">
        <f t="array" ref="K105">IFERROR(I105*INDEX('PORTIFÓLIO'!$S$4:$S$433,MATCH($C105,'PORTIFÓLIO'!$C$4:$C$433,0)),"")</f>
        <v/>
      </c>
      <c r="L105" s="219" t="str">
        <f t="array" ref="L105">IFERROR(J105*INDEX('PORTIFÓLIO'!$S$4:$S$433,MATCH($C105,'PORTIFÓLIO'!$C$4:$C$433,0)),"")</f>
        <v/>
      </c>
      <c r="M105" s="220"/>
      <c r="N105" s="220"/>
      <c r="O105" s="220"/>
      <c r="P105" s="220"/>
      <c r="Q105" s="220"/>
      <c r="R105" s="220"/>
      <c r="S105" s="220"/>
      <c r="T105" s="220"/>
      <c r="U105" s="220"/>
      <c r="V105" s="220"/>
      <c r="W105" s="220"/>
    </row>
    <row r="106" ht="15.75" customHeight="1" outlineLevel="1">
      <c r="A106" s="211"/>
      <c r="B106" s="212"/>
      <c r="C106" s="213"/>
      <c r="D106" s="214" t="str">
        <f>IFERROR(VLOOKUP($C106,'PORTIFÓLIO'!C:V,2,0),"")</f>
        <v/>
      </c>
      <c r="E106" s="211" t="str">
        <f>IFERROR(VLOOKUP($C106,'PORTIFÓLIO'!C:V,3,0),"")</f>
        <v/>
      </c>
      <c r="F106" s="211" t="str">
        <f>IFERROR(VLOOKUP($C106,'PORTIFÓLIO'!C:V,4,0),"")</f>
        <v/>
      </c>
      <c r="G106" s="215" t="str">
        <f>IFERROR(VLOOKUP($C106,'PORTIFÓLIO'!C:V,5,0),"")</f>
        <v/>
      </c>
      <c r="H106" s="254" t="str">
        <f t="array" ref="H106">IFERROR(INDEX('PORTIFÓLIO'!$H$4:$H$433,MATCH($C106,'PORTIFÓLIO'!$C$4:$C$433,0)),"")</f>
        <v/>
      </c>
      <c r="I106" s="255"/>
      <c r="J106" s="218">
        <f t="shared" si="12"/>
        <v>0</v>
      </c>
      <c r="K106" s="219" t="str">
        <f t="array" ref="K106">IFERROR(I106*INDEX('PORTIFÓLIO'!$S$4:$S$433,MATCH($C106,'PORTIFÓLIO'!$C$4:$C$433,0)),"")</f>
        <v/>
      </c>
      <c r="L106" s="219" t="str">
        <f t="array" ref="L106">IFERROR(J106*INDEX('PORTIFÓLIO'!$S$4:$S$433,MATCH($C106,'PORTIFÓLIO'!$C$4:$C$433,0)),"")</f>
        <v/>
      </c>
      <c r="M106" s="220"/>
      <c r="N106" s="220"/>
      <c r="O106" s="220"/>
      <c r="P106" s="220"/>
      <c r="Q106" s="220"/>
      <c r="R106" s="220"/>
      <c r="S106" s="220"/>
      <c r="T106" s="220"/>
      <c r="U106" s="220"/>
      <c r="V106" s="220"/>
      <c r="W106" s="220"/>
    </row>
    <row r="107" ht="15.75" customHeight="1" outlineLevel="1">
      <c r="A107" s="211"/>
      <c r="B107" s="212"/>
      <c r="C107" s="213"/>
      <c r="D107" s="214" t="str">
        <f>IFERROR(VLOOKUP($C107,'PORTIFÓLIO'!C:V,2,0),"")</f>
        <v/>
      </c>
      <c r="E107" s="211" t="str">
        <f>IFERROR(VLOOKUP($C107,'PORTIFÓLIO'!C:V,3,0),"")</f>
        <v/>
      </c>
      <c r="F107" s="211" t="str">
        <f>IFERROR(VLOOKUP($C107,'PORTIFÓLIO'!C:V,4,0),"")</f>
        <v/>
      </c>
      <c r="G107" s="215" t="str">
        <f>IFERROR(VLOOKUP($C107,'PORTIFÓLIO'!C:V,5,0),"")</f>
        <v/>
      </c>
      <c r="H107" s="254" t="str">
        <f t="array" ref="H107">IFERROR(INDEX('PORTIFÓLIO'!$H$4:$H$433,MATCH($C107,'PORTIFÓLIO'!$C$4:$C$433,0)),"")</f>
        <v/>
      </c>
      <c r="I107" s="256"/>
      <c r="J107" s="218">
        <f t="shared" si="12"/>
        <v>0</v>
      </c>
      <c r="K107" s="219" t="str">
        <f t="array" ref="K107">IFERROR(I107*INDEX('PORTIFÓLIO'!$S$4:$S$433,MATCH($C107,'PORTIFÓLIO'!$C$4:$C$433,0)),"")</f>
        <v/>
      </c>
      <c r="L107" s="219" t="str">
        <f t="array" ref="L107">IFERROR(J107*INDEX('PORTIFÓLIO'!$S$4:$S$433,MATCH($C107,'PORTIFÓLIO'!$C$4:$C$433,0)),"")</f>
        <v/>
      </c>
      <c r="M107" s="220"/>
      <c r="N107" s="220"/>
      <c r="O107" s="220"/>
      <c r="P107" s="220"/>
      <c r="Q107" s="220"/>
      <c r="R107" s="220"/>
      <c r="S107" s="220"/>
      <c r="T107" s="220"/>
      <c r="U107" s="220"/>
      <c r="V107" s="220"/>
      <c r="W107" s="220"/>
    </row>
    <row r="108" ht="15.75" customHeight="1" outlineLevel="1">
      <c r="A108" s="211"/>
      <c r="B108" s="212"/>
      <c r="C108" s="213"/>
      <c r="D108" s="214" t="str">
        <f>IFERROR(VLOOKUP($C108,'PORTIFÓLIO'!C:V,2,0),"")</f>
        <v/>
      </c>
      <c r="E108" s="211" t="str">
        <f>IFERROR(VLOOKUP($C108,'PORTIFÓLIO'!C:V,3,0),"")</f>
        <v/>
      </c>
      <c r="F108" s="211" t="str">
        <f>IFERROR(VLOOKUP($C108,'PORTIFÓLIO'!C:V,4,0),"")</f>
        <v/>
      </c>
      <c r="G108" s="215" t="str">
        <f>IFERROR(VLOOKUP($C108,'PORTIFÓLIO'!C:V,5,0),"")</f>
        <v/>
      </c>
      <c r="H108" s="254" t="str">
        <f t="array" ref="H108">IFERROR(INDEX('PORTIFÓLIO'!$H$4:$H$433,MATCH($C108,'PORTIFÓLIO'!$C$4:$C$433,0)),"")</f>
        <v/>
      </c>
      <c r="I108" s="256"/>
      <c r="J108" s="218">
        <f t="shared" si="12"/>
        <v>0</v>
      </c>
      <c r="K108" s="219" t="str">
        <f t="array" ref="K108">IFERROR(I108*INDEX('PORTIFÓLIO'!$S$4:$S$433,MATCH($C108,'PORTIFÓLIO'!$C$4:$C$433,0)),"")</f>
        <v/>
      </c>
      <c r="L108" s="219" t="str">
        <f t="array" ref="L108">IFERROR(J108*INDEX('PORTIFÓLIO'!$S$4:$S$433,MATCH($C108,'PORTIFÓLIO'!$C$4:$C$433,0)),"")</f>
        <v/>
      </c>
      <c r="M108" s="220"/>
      <c r="N108" s="220"/>
      <c r="O108" s="220"/>
      <c r="P108" s="220"/>
      <c r="Q108" s="220"/>
      <c r="R108" s="220"/>
      <c r="S108" s="220"/>
      <c r="T108" s="220"/>
      <c r="U108" s="220"/>
      <c r="V108" s="220"/>
      <c r="W108" s="220"/>
    </row>
    <row r="109" ht="15.75" customHeight="1" outlineLevel="1">
      <c r="A109" s="211"/>
      <c r="B109" s="212"/>
      <c r="C109" s="213"/>
      <c r="D109" s="214" t="str">
        <f>IFERROR(VLOOKUP($C109,'PORTIFÓLIO'!C:V,2,0),"")</f>
        <v/>
      </c>
      <c r="E109" s="211" t="str">
        <f>IFERROR(VLOOKUP($C109,'PORTIFÓLIO'!C:V,3,0),"")</f>
        <v/>
      </c>
      <c r="F109" s="211" t="str">
        <f>IFERROR(VLOOKUP($C109,'PORTIFÓLIO'!C:V,4,0),"")</f>
        <v/>
      </c>
      <c r="G109" s="215" t="str">
        <f>IFERROR(VLOOKUP($C109,'PORTIFÓLIO'!C:V,5,0),"")</f>
        <v/>
      </c>
      <c r="H109" s="254" t="str">
        <f t="array" ref="H109">IFERROR(INDEX('PORTIFÓLIO'!$H$4:$H$433,MATCH($C109,'PORTIFÓLIO'!$C$4:$C$433,0)),"")</f>
        <v/>
      </c>
      <c r="I109" s="256"/>
      <c r="J109" s="218">
        <f t="shared" si="12"/>
        <v>0</v>
      </c>
      <c r="K109" s="219" t="str">
        <f t="array" ref="K109">IFERROR(I109*INDEX('PORTIFÓLIO'!$S$4:$S$433,MATCH($C109,'PORTIFÓLIO'!$C$4:$C$433,0)),"")</f>
        <v/>
      </c>
      <c r="L109" s="219" t="str">
        <f t="array" ref="L109">IFERROR(J109*INDEX('PORTIFÓLIO'!$S$4:$S$433,MATCH($C109,'PORTIFÓLIO'!$C$4:$C$433,0)),"")</f>
        <v/>
      </c>
      <c r="M109" s="220"/>
      <c r="N109" s="220"/>
      <c r="O109" s="220"/>
      <c r="P109" s="220"/>
      <c r="Q109" s="220"/>
      <c r="R109" s="220"/>
      <c r="S109" s="220"/>
      <c r="T109" s="220"/>
      <c r="U109" s="220"/>
      <c r="V109" s="220"/>
      <c r="W109" s="220"/>
    </row>
    <row r="110" ht="15.75" customHeight="1" outlineLevel="1">
      <c r="A110" s="211"/>
      <c r="B110" s="212"/>
      <c r="C110" s="213"/>
      <c r="D110" s="214" t="str">
        <f>IFERROR(VLOOKUP($C110,'PORTIFÓLIO'!C:V,2,0),"")</f>
        <v/>
      </c>
      <c r="E110" s="211" t="str">
        <f>IFERROR(VLOOKUP($C110,'PORTIFÓLIO'!C:V,3,0),"")</f>
        <v/>
      </c>
      <c r="F110" s="211" t="str">
        <f>IFERROR(VLOOKUP($C110,'PORTIFÓLIO'!C:V,4,0),"")</f>
        <v/>
      </c>
      <c r="G110" s="215" t="str">
        <f>IFERROR(VLOOKUP($C110,'PORTIFÓLIO'!C:V,5,0),"")</f>
        <v/>
      </c>
      <c r="H110" s="254" t="str">
        <f t="array" ref="H110">IFERROR(INDEX('PORTIFÓLIO'!$H$4:$H$433,MATCH($C110,'PORTIFÓLIO'!$C$4:$C$433,0)),"")</f>
        <v/>
      </c>
      <c r="I110" s="256"/>
      <c r="J110" s="218">
        <f t="shared" si="12"/>
        <v>0</v>
      </c>
      <c r="K110" s="219" t="str">
        <f t="array" ref="K110">IFERROR(I110*INDEX('PORTIFÓLIO'!$S$4:$S$433,MATCH($C110,'PORTIFÓLIO'!$C$4:$C$433,0)),"")</f>
        <v/>
      </c>
      <c r="L110" s="219" t="str">
        <f t="array" ref="L110">IFERROR(J110*INDEX('PORTIFÓLIO'!$S$4:$S$433,MATCH($C110,'PORTIFÓLIO'!$C$4:$C$433,0)),"")</f>
        <v/>
      </c>
      <c r="M110" s="220"/>
      <c r="N110" s="220"/>
      <c r="O110" s="220"/>
      <c r="P110" s="220"/>
      <c r="Q110" s="220"/>
      <c r="R110" s="220"/>
      <c r="S110" s="220"/>
      <c r="T110" s="220"/>
      <c r="U110" s="220"/>
      <c r="V110" s="220"/>
      <c r="W110" s="220"/>
    </row>
    <row r="111" ht="15.75" customHeight="1" outlineLevel="1">
      <c r="A111" s="211"/>
      <c r="B111" s="212"/>
      <c r="C111" s="213"/>
      <c r="D111" s="214" t="str">
        <f>IFERROR(VLOOKUP($C111,'PORTIFÓLIO'!C:V,2,0),"")</f>
        <v/>
      </c>
      <c r="E111" s="211" t="str">
        <f>IFERROR(VLOOKUP($C111,'PORTIFÓLIO'!C:V,3,0),"")</f>
        <v/>
      </c>
      <c r="F111" s="211" t="str">
        <f>IFERROR(VLOOKUP($C111,'PORTIFÓLIO'!C:V,4,0),"")</f>
        <v/>
      </c>
      <c r="G111" s="215" t="str">
        <f>IFERROR(VLOOKUP($C111,'PORTIFÓLIO'!C:V,5,0),"")</f>
        <v/>
      </c>
      <c r="H111" s="254" t="str">
        <f t="array" ref="H111">IFERROR(INDEX('PORTIFÓLIO'!$H$4:$H$433,MATCH($C111,'PORTIFÓLIO'!$C$4:$C$433,0)),"")</f>
        <v/>
      </c>
      <c r="I111" s="256"/>
      <c r="J111" s="218">
        <f t="shared" si="12"/>
        <v>0</v>
      </c>
      <c r="K111" s="219" t="str">
        <f t="array" ref="K111">IFERROR(I111*INDEX('PORTIFÓLIO'!$S$4:$S$433,MATCH($C111,'PORTIFÓLIO'!$C$4:$C$433,0)),"")</f>
        <v/>
      </c>
      <c r="L111" s="219" t="str">
        <f t="array" ref="L111">IFERROR(J111*INDEX('PORTIFÓLIO'!$S$4:$S$433,MATCH($C111,'PORTIFÓLIO'!$C$4:$C$433,0)),"")</f>
        <v/>
      </c>
      <c r="M111" s="220"/>
      <c r="N111" s="220"/>
      <c r="O111" s="220"/>
      <c r="P111" s="220"/>
      <c r="Q111" s="220"/>
      <c r="R111" s="220"/>
      <c r="S111" s="220"/>
      <c r="T111" s="220"/>
      <c r="U111" s="220"/>
      <c r="V111" s="220"/>
      <c r="W111" s="220"/>
    </row>
    <row r="112" ht="15.75" customHeight="1" outlineLevel="1">
      <c r="A112" s="211"/>
      <c r="B112" s="212"/>
      <c r="C112" s="213"/>
      <c r="D112" s="214" t="str">
        <f>IFERROR(VLOOKUP($C112,'PORTIFÓLIO'!C:V,2,0),"")</f>
        <v/>
      </c>
      <c r="E112" s="211" t="str">
        <f>IFERROR(VLOOKUP($C112,'PORTIFÓLIO'!C:V,3,0),"")</f>
        <v/>
      </c>
      <c r="F112" s="211" t="str">
        <f>IFERROR(VLOOKUP($C112,'PORTIFÓLIO'!C:V,4,0),"")</f>
        <v/>
      </c>
      <c r="G112" s="215" t="str">
        <f>IFERROR(VLOOKUP($C112,'PORTIFÓLIO'!C:V,5,0),"")</f>
        <v/>
      </c>
      <c r="H112" s="254" t="str">
        <f t="array" ref="H112">IFERROR(INDEX('PORTIFÓLIO'!$H$4:$H$433,MATCH($C112,'PORTIFÓLIO'!$C$4:$C$433,0)),"")</f>
        <v/>
      </c>
      <c r="I112" s="256"/>
      <c r="J112" s="218">
        <f t="shared" si="12"/>
        <v>0</v>
      </c>
      <c r="K112" s="219" t="str">
        <f t="array" ref="K112">IFERROR(I112*INDEX('PORTIFÓLIO'!$S$4:$S$433,MATCH($C112,'PORTIFÓLIO'!$C$4:$C$433,0)),"")</f>
        <v/>
      </c>
      <c r="L112" s="219" t="str">
        <f t="array" ref="L112">IFERROR(J112*INDEX('PORTIFÓLIO'!$S$4:$S$433,MATCH($C112,'PORTIFÓLIO'!$C$4:$C$433,0)),"")</f>
        <v/>
      </c>
      <c r="M112" s="220"/>
      <c r="N112" s="220"/>
      <c r="O112" s="220"/>
      <c r="P112" s="220"/>
      <c r="Q112" s="220"/>
      <c r="R112" s="220"/>
      <c r="S112" s="220"/>
      <c r="T112" s="220"/>
      <c r="U112" s="220"/>
      <c r="V112" s="220"/>
      <c r="W112" s="220"/>
    </row>
    <row r="113" ht="15.75" customHeight="1" outlineLevel="1">
      <c r="A113" s="211"/>
      <c r="B113" s="212"/>
      <c r="C113" s="211"/>
      <c r="D113" s="214" t="str">
        <f>IFERROR(VLOOKUP($C113,'PORTIFÓLIO'!C:V,2,0),"")</f>
        <v/>
      </c>
      <c r="E113" s="211" t="str">
        <f>IFERROR(VLOOKUP($C113,'PORTIFÓLIO'!C:V,3,0),"")</f>
        <v/>
      </c>
      <c r="F113" s="211" t="str">
        <f>IFERROR(VLOOKUP($C113,'PORTIFÓLIO'!C:V,4,0),"")</f>
        <v/>
      </c>
      <c r="G113" s="215" t="str">
        <f>IFERROR(VLOOKUP($C113,'PORTIFÓLIO'!C:V,5,0),"")</f>
        <v/>
      </c>
      <c r="H113" s="254" t="str">
        <f t="array" ref="H113">IFERROR(INDEX('PORTIFÓLIO'!$H$4:$H$433,MATCH($C113,'PORTIFÓLIO'!$C$4:$C$433,0)),"")</f>
        <v/>
      </c>
      <c r="I113" s="256"/>
      <c r="J113" s="218"/>
      <c r="K113" s="219" t="str">
        <f t="array" ref="K113">IFERROR(I113*INDEX('PORTIFÓLIO'!$S$4:$S$433,MATCH($C113,'PORTIFÓLIO'!$C$4:$C$433,0)),"")</f>
        <v/>
      </c>
      <c r="L113" s="219" t="str">
        <f t="array" ref="L113">IFERROR(J113*INDEX('PORTIFÓLIO'!$S$4:$S$433,MATCH($C113,'PORTIFÓLIO'!$C$4:$C$433,0)),"")</f>
        <v/>
      </c>
      <c r="M113" s="220"/>
      <c r="N113" s="220"/>
      <c r="O113" s="220"/>
      <c r="P113" s="220"/>
      <c r="Q113" s="220"/>
      <c r="R113" s="220"/>
      <c r="S113" s="220"/>
      <c r="T113" s="220"/>
      <c r="U113" s="220"/>
      <c r="V113" s="220"/>
      <c r="W113" s="220"/>
    </row>
    <row r="114" ht="15.75" customHeight="1">
      <c r="A114" s="229" t="s">
        <v>1190</v>
      </c>
      <c r="B114" s="230"/>
      <c r="C114" s="231"/>
      <c r="D114" s="232"/>
      <c r="E114" s="231"/>
      <c r="F114" s="231"/>
      <c r="G114" s="233"/>
      <c r="H114" s="233"/>
      <c r="I114" s="258"/>
      <c r="J114" s="236"/>
      <c r="K114" s="237">
        <f t="shared" ref="K114:L114" si="13">SUBTOTAL(9,K115:K128)</f>
        <v>236.685179</v>
      </c>
      <c r="L114" s="237">
        <f t="shared" si="13"/>
        <v>14201.11074</v>
      </c>
      <c r="M114" s="220"/>
      <c r="N114" s="220"/>
      <c r="O114" s="220"/>
      <c r="P114" s="220"/>
      <c r="Q114" s="220"/>
      <c r="R114" s="220"/>
      <c r="S114" s="220"/>
      <c r="T114" s="220"/>
      <c r="U114" s="220"/>
      <c r="V114" s="220"/>
      <c r="W114" s="220"/>
    </row>
    <row r="115" ht="15.75" customHeight="1" outlineLevel="1">
      <c r="A115" s="213"/>
      <c r="B115" s="212" t="s">
        <v>0</v>
      </c>
      <c r="C115" s="283" t="s">
        <v>467</v>
      </c>
      <c r="D115" s="214" t="str">
        <f>IFERROR(VLOOKUP($C115,'PORTIFÓLIO'!C:V,2,0),"")</f>
        <v>BIXAFEM + PROTIOCONAZOL + TRIFLOXISTROBINA</v>
      </c>
      <c r="E115" s="211" t="str">
        <f>IFERROR(VLOOKUP($C115,'PORTIFÓLIO'!C:V,3,0),"")</f>
        <v>125 + 175 + 150</v>
      </c>
      <c r="F115" s="211" t="str">
        <f>IFERROR(VLOOKUP($C115,'PORTIFÓLIO'!C:V,4,0),"")</f>
        <v>L</v>
      </c>
      <c r="G115" s="225" t="str">
        <f>IFERROR(VLOOKUP($C115,'PORTIFÓLIO'!C:V,5,0),"")</f>
        <v>📄 Ver bula</v>
      </c>
      <c r="H115" s="254">
        <f t="array" ref="H115">IFERROR(INDEX('PORTIFÓLIO'!$H$4:$H$433,MATCH($C115,'PORTIFÓLIO'!$C$4:$C$433,0)),"")</f>
        <v>0.5</v>
      </c>
      <c r="I115" s="255">
        <v>0.5</v>
      </c>
      <c r="J115" s="218">
        <f t="shared" ref="J115:J129" si="14">I115*$B$2</f>
        <v>30</v>
      </c>
      <c r="K115" s="219">
        <f t="array" ref="K115">IFERROR(I115*INDEX('PORTIFÓLIO'!$S$4:$S$433,MATCH($C115,'PORTIFÓLIO'!$C$4:$C$433,0)),"")</f>
        <v>99.08352</v>
      </c>
      <c r="L115" s="219">
        <f t="array" ref="L115">IFERROR(J115*INDEX('PORTIFÓLIO'!$S$4:$S$433,MATCH($C115,'PORTIFÓLIO'!$C$4:$C$433,0)),"")</f>
        <v>5945.0112</v>
      </c>
      <c r="M115" s="220"/>
      <c r="N115" s="220"/>
      <c r="O115" s="220"/>
      <c r="P115" s="220"/>
      <c r="Q115" s="220"/>
      <c r="R115" s="220"/>
      <c r="S115" s="220"/>
      <c r="T115" s="220"/>
      <c r="U115" s="220"/>
      <c r="V115" s="220"/>
      <c r="W115" s="220"/>
    </row>
    <row r="116" ht="15.75" customHeight="1" outlineLevel="1">
      <c r="A116" s="211"/>
      <c r="B116" s="212" t="s">
        <v>0</v>
      </c>
      <c r="C116" s="283" t="s">
        <v>520</v>
      </c>
      <c r="D116" s="214" t="str">
        <f>IFERROR(VLOOKUP($C116,'PORTIFÓLIO'!C:V,2,0),"")</f>
        <v>FLUAZINAM</v>
      </c>
      <c r="E116" s="211">
        <f>IFERROR(VLOOKUP($C116,'PORTIFÓLIO'!C:V,3,0),"")</f>
        <v>500</v>
      </c>
      <c r="F116" s="211" t="str">
        <f>IFERROR(VLOOKUP($C116,'PORTIFÓLIO'!C:V,4,0),"")</f>
        <v>L</v>
      </c>
      <c r="G116" s="225" t="str">
        <f>IFERROR(VLOOKUP($C116,'PORTIFÓLIO'!C:V,5,0),"")</f>
        <v>📄 Ver bula</v>
      </c>
      <c r="H116" s="254">
        <f t="array" ref="H116">IFERROR(INDEX('PORTIFÓLIO'!$H$4:$H$433,MATCH($C116,'PORTIFÓLIO'!$C$4:$C$433,0)),"")</f>
        <v>1</v>
      </c>
      <c r="I116" s="255">
        <v>1.0</v>
      </c>
      <c r="J116" s="218">
        <f t="shared" si="14"/>
        <v>60</v>
      </c>
      <c r="K116" s="219">
        <f t="array" ref="K116">IFERROR(I116*INDEX('PORTIFÓLIO'!$S$4:$S$433,MATCH($C116,'PORTIFÓLIO'!$C$4:$C$433,0)),"")</f>
        <v>67.68</v>
      </c>
      <c r="L116" s="219">
        <f t="array" ref="L116">IFERROR(J116*INDEX('PORTIFÓLIO'!$S$4:$S$433,MATCH($C116,'PORTIFÓLIO'!$C$4:$C$433,0)),"")</f>
        <v>4060.8</v>
      </c>
      <c r="M116" s="220"/>
      <c r="N116" s="220"/>
      <c r="O116" s="220"/>
      <c r="P116" s="220"/>
      <c r="Q116" s="220"/>
      <c r="R116" s="220"/>
      <c r="S116" s="220"/>
      <c r="T116" s="220"/>
      <c r="U116" s="220"/>
      <c r="V116" s="220"/>
      <c r="W116" s="220"/>
    </row>
    <row r="117" ht="15.75" customHeight="1" outlineLevel="1">
      <c r="A117" s="211"/>
      <c r="B117" s="212" t="s">
        <v>0</v>
      </c>
      <c r="C117" s="283" t="s">
        <v>484</v>
      </c>
      <c r="D117" s="214" t="str">
        <f>IFERROR(VLOOKUP($C117,'PORTIFÓLIO'!C:V,2,0),"")</f>
        <v>MANCOZEBE</v>
      </c>
      <c r="E117" s="211">
        <f>IFERROR(VLOOKUP($C117,'PORTIFÓLIO'!C:V,3,0),"")</f>
        <v>750</v>
      </c>
      <c r="F117" s="211" t="str">
        <f>IFERROR(VLOOKUP($C117,'PORTIFÓLIO'!C:V,4,0),"")</f>
        <v>L</v>
      </c>
      <c r="G117" s="225" t="str">
        <f>IFERROR(VLOOKUP($C117,'PORTIFÓLIO'!C:V,5,0),"")</f>
        <v>📄 Ver bula</v>
      </c>
      <c r="H117" s="254">
        <f t="array" ref="H117">IFERROR(INDEX('PORTIFÓLIO'!$H$4:$H$433,MATCH($C117,'PORTIFÓLIO'!$C$4:$C$433,0)),"")</f>
        <v>1.5</v>
      </c>
      <c r="I117" s="255">
        <v>1.5</v>
      </c>
      <c r="J117" s="218">
        <f t="shared" si="14"/>
        <v>90</v>
      </c>
      <c r="K117" s="219">
        <f t="array" ref="K117">IFERROR(I117*INDEX('PORTIFÓLIO'!$S$4:$S$433,MATCH($C117,'PORTIFÓLIO'!$C$4:$C$433,0)),"")</f>
        <v>41.52168</v>
      </c>
      <c r="L117" s="219">
        <f t="array" ref="L117">IFERROR(J117*INDEX('PORTIFÓLIO'!$S$4:$S$433,MATCH($C117,'PORTIFÓLIO'!$C$4:$C$433,0)),"")</f>
        <v>2491.3008</v>
      </c>
      <c r="M117" s="220"/>
      <c r="N117" s="220"/>
      <c r="O117" s="220"/>
      <c r="P117" s="220"/>
      <c r="Q117" s="220"/>
      <c r="R117" s="220"/>
      <c r="S117" s="220"/>
      <c r="T117" s="220"/>
      <c r="U117" s="220"/>
      <c r="V117" s="220"/>
      <c r="W117" s="220"/>
    </row>
    <row r="118" ht="15.75" customHeight="1" outlineLevel="1">
      <c r="A118" s="211"/>
      <c r="B118" s="212" t="s">
        <v>2</v>
      </c>
      <c r="C118" s="283" t="s">
        <v>752</v>
      </c>
      <c r="D118" s="214" t="str">
        <f>IFERROR(VLOOKUP($C118,'PORTIFÓLIO'!C:V,2,0),"")</f>
        <v>ACEFATO</v>
      </c>
      <c r="E118" s="211">
        <f>IFERROR(VLOOKUP($C118,'PORTIFÓLIO'!C:V,3,0),"")</f>
        <v>970</v>
      </c>
      <c r="F118" s="211" t="str">
        <f>IFERROR(VLOOKUP($C118,'PORTIFÓLIO'!C:V,4,0),"")</f>
        <v>L</v>
      </c>
      <c r="G118" s="225" t="str">
        <f>IFERROR(VLOOKUP($C118,'PORTIFÓLIO'!C:V,5,0),"")</f>
        <v>📄 Ver bula</v>
      </c>
      <c r="H118" s="254">
        <f t="array" ref="H118">IFERROR(INDEX('PORTIFÓLIO'!$H$4:$H$433,MATCH($C118,'PORTIFÓLIO'!$C$4:$C$433,0)),"")</f>
        <v>0.6</v>
      </c>
      <c r="I118" s="255">
        <v>0.6</v>
      </c>
      <c r="J118" s="218">
        <f t="shared" si="14"/>
        <v>36</v>
      </c>
      <c r="K118" s="219">
        <f t="array" ref="K118">IFERROR(I118*INDEX('PORTIFÓLIO'!$S$4:$S$433,MATCH($C118,'PORTIFÓLIO'!$C$4:$C$433,0)),"")</f>
        <v>22.266</v>
      </c>
      <c r="L118" s="219">
        <f t="array" ref="L118">IFERROR(J118*INDEX('PORTIFÓLIO'!$S$4:$S$433,MATCH($C118,'PORTIFÓLIO'!$C$4:$C$433,0)),"")</f>
        <v>1335.96</v>
      </c>
      <c r="M118" s="220"/>
      <c r="N118" s="220"/>
      <c r="O118" s="220"/>
      <c r="P118" s="220"/>
      <c r="Q118" s="220"/>
      <c r="R118" s="220"/>
      <c r="S118" s="220"/>
      <c r="T118" s="220"/>
      <c r="U118" s="220"/>
      <c r="V118" s="220"/>
      <c r="W118" s="220"/>
    </row>
    <row r="119" ht="15.75" customHeight="1" outlineLevel="1">
      <c r="A119" s="211"/>
      <c r="B119" s="212" t="s">
        <v>2</v>
      </c>
      <c r="C119" s="283" t="s">
        <v>786</v>
      </c>
      <c r="D119" s="214" t="str">
        <f>IFERROR(VLOOKUP($C119,'PORTIFÓLIO'!C:V,2,0),"")</f>
        <v>DIFLUBENZUROM</v>
      </c>
      <c r="E119" s="211">
        <f>IFERROR(VLOOKUP($C119,'PORTIFÓLIO'!C:V,3,0),"")</f>
        <v>480</v>
      </c>
      <c r="F119" s="211" t="str">
        <f>IFERROR(VLOOKUP($C119,'PORTIFÓLIO'!C:V,4,0),"")</f>
        <v>KG</v>
      </c>
      <c r="G119" s="225" t="str">
        <f>IFERROR(VLOOKUP($C119,'PORTIFÓLIO'!C:V,5,0),"")</f>
        <v>📄 Ver bula</v>
      </c>
      <c r="H119" s="254">
        <f t="array" ref="H119">IFERROR(INDEX('PORTIFÓLIO'!$H$4:$H$433,MATCH($C119,'PORTIFÓLIO'!$C$4:$C$433,0)),"")</f>
        <v>0.04</v>
      </c>
      <c r="I119" s="255">
        <v>0.05</v>
      </c>
      <c r="J119" s="218">
        <f t="shared" si="14"/>
        <v>3</v>
      </c>
      <c r="K119" s="219">
        <f t="array" ref="K119">IFERROR(I119*INDEX('PORTIFÓLIO'!$S$4:$S$433,MATCH($C119,'PORTIFÓLIO'!$C$4:$C$433,0)),"")</f>
        <v>2.927979</v>
      </c>
      <c r="L119" s="219">
        <f t="array" ref="L119">IFERROR(J119*INDEX('PORTIFÓLIO'!$S$4:$S$433,MATCH($C119,'PORTIFÓLIO'!$C$4:$C$433,0)),"")</f>
        <v>175.67874</v>
      </c>
      <c r="M119" s="220"/>
      <c r="N119" s="220"/>
      <c r="O119" s="220"/>
      <c r="P119" s="220"/>
      <c r="Q119" s="220"/>
      <c r="R119" s="220"/>
      <c r="S119" s="220"/>
      <c r="T119" s="220"/>
      <c r="U119" s="220"/>
      <c r="V119" s="220"/>
      <c r="W119" s="220"/>
    </row>
    <row r="120" ht="15.75" customHeight="1" outlineLevel="1">
      <c r="A120" s="211"/>
      <c r="B120" s="212" t="s">
        <v>6</v>
      </c>
      <c r="C120" s="213" t="s">
        <v>354</v>
      </c>
      <c r="D120" s="214" t="str">
        <f>IFERROR(VLOOKUP($C120,'PORTIFÓLIO'!C:V,2,0),"")</f>
        <v>OLEO MINERAL</v>
      </c>
      <c r="E120" s="211">
        <f>IFERROR(VLOOKUP($C120,'PORTIFÓLIO'!C:V,3,0),"")</f>
        <v>761</v>
      </c>
      <c r="F120" s="211" t="str">
        <f>IFERROR(VLOOKUP($C120,'PORTIFÓLIO'!C:V,4,0),"")</f>
        <v>L</v>
      </c>
      <c r="G120" s="225" t="str">
        <f>IFERROR(VLOOKUP($C120,'PORTIFÓLIO'!C:V,5,0),"")</f>
        <v>📄 Ver bula</v>
      </c>
      <c r="H120" s="254">
        <f t="array" ref="H120">IFERROR(INDEX('PORTIFÓLIO'!$H$4:$H$433,MATCH($C120,'PORTIFÓLIO'!$C$4:$C$433,0)),"")</f>
        <v>0.2</v>
      </c>
      <c r="I120" s="255">
        <v>0.2</v>
      </c>
      <c r="J120" s="218">
        <f t="shared" si="14"/>
        <v>12</v>
      </c>
      <c r="K120" s="219">
        <f t="array" ref="K120">IFERROR(I120*INDEX('PORTIFÓLIO'!$S$4:$S$433,MATCH($C120,'PORTIFÓLIO'!$C$4:$C$433,0)),"")</f>
        <v>3.206</v>
      </c>
      <c r="L120" s="219">
        <f t="array" ref="L120">IFERROR(J120*INDEX('PORTIFÓLIO'!$S$4:$S$433,MATCH($C120,'PORTIFÓLIO'!$C$4:$C$433,0)),"")</f>
        <v>192.36</v>
      </c>
      <c r="M120" s="220"/>
      <c r="N120" s="220"/>
      <c r="O120" s="220"/>
      <c r="P120" s="220"/>
      <c r="Q120" s="220"/>
      <c r="R120" s="220"/>
      <c r="S120" s="220"/>
      <c r="T120" s="220"/>
      <c r="U120" s="220"/>
      <c r="V120" s="220"/>
      <c r="W120" s="220"/>
    </row>
    <row r="121" ht="15.75" customHeight="1" outlineLevel="1">
      <c r="A121" s="211"/>
      <c r="B121" s="212"/>
      <c r="C121" s="213"/>
      <c r="D121" s="214" t="str">
        <f>IFERROR(VLOOKUP($C121,'PORTIFÓLIO'!C:V,2,0),"")</f>
        <v/>
      </c>
      <c r="E121" s="211" t="str">
        <f>IFERROR(VLOOKUP($C121,'PORTIFÓLIO'!C:V,3,0),"")</f>
        <v/>
      </c>
      <c r="F121" s="211" t="str">
        <f>IFERROR(VLOOKUP($C121,'PORTIFÓLIO'!C:V,4,0),"")</f>
        <v/>
      </c>
      <c r="G121" s="215" t="str">
        <f>IFERROR(VLOOKUP($C121,'PORTIFÓLIO'!C:V,5,0),"")</f>
        <v/>
      </c>
      <c r="H121" s="254" t="str">
        <f t="array" ref="H121">IFERROR(INDEX('PORTIFÓLIO'!$H$4:$H$433,MATCH($C121,'PORTIFÓLIO'!$C$4:$C$433,0)),"")</f>
        <v/>
      </c>
      <c r="I121" s="255"/>
      <c r="J121" s="218">
        <f t="shared" si="14"/>
        <v>0</v>
      </c>
      <c r="K121" s="219" t="str">
        <f t="array" ref="K121">IFERROR(I121*INDEX('PORTIFÓLIO'!$S$4:$S$433,MATCH($C121,'PORTIFÓLIO'!$C$4:$C$433,0)),"")</f>
        <v/>
      </c>
      <c r="L121" s="219" t="str">
        <f t="array" ref="L121">IFERROR(J121*INDEX('PORTIFÓLIO'!$S$4:$S$433,MATCH($C121,'PORTIFÓLIO'!$C$4:$C$433,0)),"")</f>
        <v/>
      </c>
      <c r="M121" s="220"/>
      <c r="N121" s="220"/>
      <c r="O121" s="220"/>
      <c r="P121" s="220"/>
      <c r="Q121" s="220"/>
      <c r="R121" s="220"/>
      <c r="S121" s="220"/>
      <c r="T121" s="220"/>
      <c r="U121" s="220"/>
      <c r="V121" s="220"/>
      <c r="W121" s="220"/>
    </row>
    <row r="122" ht="15.75" customHeight="1" outlineLevel="1">
      <c r="A122" s="211"/>
      <c r="B122" s="212"/>
      <c r="C122" s="213"/>
      <c r="D122" s="214" t="str">
        <f>IFERROR(VLOOKUP($C122,'PORTIFÓLIO'!C:V,2,0),"")</f>
        <v/>
      </c>
      <c r="E122" s="211" t="str">
        <f>IFERROR(VLOOKUP($C122,'PORTIFÓLIO'!C:V,3,0),"")</f>
        <v/>
      </c>
      <c r="F122" s="211" t="str">
        <f>IFERROR(VLOOKUP($C122,'PORTIFÓLIO'!C:V,4,0),"")</f>
        <v/>
      </c>
      <c r="G122" s="215" t="str">
        <f>IFERROR(VLOOKUP($C122,'PORTIFÓLIO'!C:V,5,0),"")</f>
        <v/>
      </c>
      <c r="H122" s="254" t="str">
        <f t="array" ref="H122">IFERROR(INDEX('PORTIFÓLIO'!$H$4:$H$433,MATCH($C122,'PORTIFÓLIO'!$C$4:$C$433,0)),"")</f>
        <v/>
      </c>
      <c r="I122" s="255"/>
      <c r="J122" s="218">
        <f t="shared" si="14"/>
        <v>0</v>
      </c>
      <c r="K122" s="219" t="str">
        <f t="array" ref="K122">IFERROR(I122*INDEX('PORTIFÓLIO'!$S$4:$S$433,MATCH($C122,'PORTIFÓLIO'!$C$4:$C$433,0)),"")</f>
        <v/>
      </c>
      <c r="L122" s="219" t="str">
        <f t="array" ref="L122">IFERROR(J122*INDEX('PORTIFÓLIO'!$S$4:$S$433,MATCH($C122,'PORTIFÓLIO'!$C$4:$C$433,0)),"")</f>
        <v/>
      </c>
      <c r="M122" s="220"/>
      <c r="N122" s="220"/>
      <c r="O122" s="220"/>
      <c r="P122" s="220"/>
      <c r="Q122" s="220"/>
      <c r="R122" s="220"/>
      <c r="S122" s="220"/>
      <c r="T122" s="220"/>
      <c r="U122" s="220"/>
      <c r="V122" s="220"/>
      <c r="W122" s="220"/>
    </row>
    <row r="123" ht="15.75" customHeight="1" outlineLevel="1">
      <c r="A123" s="211"/>
      <c r="B123" s="212"/>
      <c r="C123" s="213"/>
      <c r="D123" s="214" t="str">
        <f>IFERROR(VLOOKUP($C123,'PORTIFÓLIO'!C:V,2,0),"")</f>
        <v/>
      </c>
      <c r="E123" s="211" t="str">
        <f>IFERROR(VLOOKUP($C123,'PORTIFÓLIO'!C:V,3,0),"")</f>
        <v/>
      </c>
      <c r="F123" s="211" t="str">
        <f>IFERROR(VLOOKUP($C123,'PORTIFÓLIO'!C:V,4,0),"")</f>
        <v/>
      </c>
      <c r="G123" s="215" t="str">
        <f>IFERROR(VLOOKUP($C123,'PORTIFÓLIO'!C:V,5,0),"")</f>
        <v/>
      </c>
      <c r="H123" s="254" t="str">
        <f t="array" ref="H123">IFERROR(INDEX('PORTIFÓLIO'!$H$4:$H$433,MATCH($C123,'PORTIFÓLIO'!$C$4:$C$433,0)),"")</f>
        <v/>
      </c>
      <c r="I123" s="255"/>
      <c r="J123" s="218">
        <f t="shared" si="14"/>
        <v>0</v>
      </c>
      <c r="K123" s="219" t="str">
        <f t="array" ref="K123">IFERROR(I123*INDEX('PORTIFÓLIO'!$S$4:$S$433,MATCH($C123,'PORTIFÓLIO'!$C$4:$C$433,0)),"")</f>
        <v/>
      </c>
      <c r="L123" s="219" t="str">
        <f t="array" ref="L123">IFERROR(J123*INDEX('PORTIFÓLIO'!$S$4:$S$433,MATCH($C123,'PORTIFÓLIO'!$C$4:$C$433,0)),"")</f>
        <v/>
      </c>
      <c r="M123" s="220"/>
      <c r="N123" s="220"/>
      <c r="O123" s="220"/>
      <c r="P123" s="220"/>
      <c r="Q123" s="220"/>
      <c r="R123" s="220"/>
      <c r="S123" s="220"/>
      <c r="T123" s="220"/>
      <c r="U123" s="220"/>
      <c r="V123" s="220"/>
      <c r="W123" s="220"/>
    </row>
    <row r="124" ht="15.75" customHeight="1" outlineLevel="1">
      <c r="A124" s="211"/>
      <c r="B124" s="212"/>
      <c r="C124" s="213"/>
      <c r="D124" s="214" t="str">
        <f>IFERROR(VLOOKUP($C124,'PORTIFÓLIO'!C:V,2,0),"")</f>
        <v/>
      </c>
      <c r="E124" s="211" t="str">
        <f>IFERROR(VLOOKUP($C124,'PORTIFÓLIO'!C:V,3,0),"")</f>
        <v/>
      </c>
      <c r="F124" s="211" t="str">
        <f>IFERROR(VLOOKUP($C124,'PORTIFÓLIO'!C:V,4,0),"")</f>
        <v/>
      </c>
      <c r="G124" s="215" t="str">
        <f>IFERROR(VLOOKUP($C124,'PORTIFÓLIO'!C:V,5,0),"")</f>
        <v/>
      </c>
      <c r="H124" s="254" t="str">
        <f t="array" ref="H124">IFERROR(INDEX('PORTIFÓLIO'!$H$4:$H$433,MATCH($C124,'PORTIFÓLIO'!$C$4:$C$433,0)),"")</f>
        <v/>
      </c>
      <c r="I124" s="256"/>
      <c r="J124" s="218">
        <f t="shared" si="14"/>
        <v>0</v>
      </c>
      <c r="K124" s="219" t="str">
        <f t="array" ref="K124">IFERROR(I124*INDEX('PORTIFÓLIO'!$S$4:$S$433,MATCH($C124,'PORTIFÓLIO'!$C$4:$C$433,0)),"")</f>
        <v/>
      </c>
      <c r="L124" s="219" t="str">
        <f t="array" ref="L124">IFERROR(J124*INDEX('PORTIFÓLIO'!$S$4:$S$433,MATCH($C124,'PORTIFÓLIO'!$C$4:$C$433,0)),"")</f>
        <v/>
      </c>
      <c r="M124" s="220"/>
      <c r="N124" s="220"/>
      <c r="O124" s="220"/>
      <c r="P124" s="220"/>
      <c r="Q124" s="220"/>
      <c r="R124" s="220"/>
      <c r="S124" s="220"/>
      <c r="T124" s="220"/>
      <c r="U124" s="220"/>
      <c r="V124" s="220"/>
      <c r="W124" s="220"/>
    </row>
    <row r="125" ht="15.75" customHeight="1" outlineLevel="1">
      <c r="A125" s="211"/>
      <c r="B125" s="212"/>
      <c r="C125" s="213"/>
      <c r="D125" s="214" t="str">
        <f>IFERROR(VLOOKUP($C125,'PORTIFÓLIO'!C:V,2,0),"")</f>
        <v/>
      </c>
      <c r="E125" s="211" t="str">
        <f>IFERROR(VLOOKUP($C125,'PORTIFÓLIO'!C:V,3,0),"")</f>
        <v/>
      </c>
      <c r="F125" s="211" t="str">
        <f>IFERROR(VLOOKUP($C125,'PORTIFÓLIO'!C:V,4,0),"")</f>
        <v/>
      </c>
      <c r="G125" s="215" t="str">
        <f>IFERROR(VLOOKUP($C125,'PORTIFÓLIO'!C:V,5,0),"")</f>
        <v/>
      </c>
      <c r="H125" s="254" t="str">
        <f t="array" ref="H125">IFERROR(INDEX('PORTIFÓLIO'!$H$4:$H$433,MATCH($C125,'PORTIFÓLIO'!$C$4:$C$433,0)),"")</f>
        <v/>
      </c>
      <c r="I125" s="256"/>
      <c r="J125" s="218">
        <f t="shared" si="14"/>
        <v>0</v>
      </c>
      <c r="K125" s="219" t="str">
        <f t="array" ref="K125">IFERROR(I125*INDEX('PORTIFÓLIO'!$S$4:$S$433,MATCH($C125,'PORTIFÓLIO'!$C$4:$C$433,0)),"")</f>
        <v/>
      </c>
      <c r="L125" s="219" t="str">
        <f t="array" ref="L125">IFERROR(J125*INDEX('PORTIFÓLIO'!$S$4:$S$433,MATCH($C125,'PORTIFÓLIO'!$C$4:$C$433,0)),"")</f>
        <v/>
      </c>
      <c r="M125" s="220"/>
      <c r="N125" s="220"/>
      <c r="O125" s="220"/>
      <c r="P125" s="220"/>
      <c r="Q125" s="220"/>
      <c r="R125" s="220"/>
      <c r="S125" s="220"/>
      <c r="T125" s="220"/>
      <c r="U125" s="220"/>
      <c r="V125" s="220"/>
      <c r="W125" s="220"/>
    </row>
    <row r="126" ht="15.75" customHeight="1" outlineLevel="1">
      <c r="A126" s="211"/>
      <c r="B126" s="212"/>
      <c r="C126" s="213"/>
      <c r="D126" s="214" t="str">
        <f>IFERROR(VLOOKUP($C126,'PORTIFÓLIO'!C:V,2,0),"")</f>
        <v/>
      </c>
      <c r="E126" s="211" t="str">
        <f>IFERROR(VLOOKUP($C126,'PORTIFÓLIO'!C:V,3,0),"")</f>
        <v/>
      </c>
      <c r="F126" s="211" t="str">
        <f>IFERROR(VLOOKUP($C126,'PORTIFÓLIO'!C:V,4,0),"")</f>
        <v/>
      </c>
      <c r="G126" s="215" t="str">
        <f>IFERROR(VLOOKUP($C126,'PORTIFÓLIO'!C:V,5,0),"")</f>
        <v/>
      </c>
      <c r="H126" s="254" t="str">
        <f t="array" ref="H126">IFERROR(INDEX('PORTIFÓLIO'!$H$4:$H$433,MATCH($C126,'PORTIFÓLIO'!$C$4:$C$433,0)),"")</f>
        <v/>
      </c>
      <c r="I126" s="256"/>
      <c r="J126" s="218">
        <f t="shared" si="14"/>
        <v>0</v>
      </c>
      <c r="K126" s="219" t="str">
        <f t="array" ref="K126">IFERROR(I126*INDEX('PORTIFÓLIO'!$S$4:$S$433,MATCH($C126,'PORTIFÓLIO'!$C$4:$C$433,0)),"")</f>
        <v/>
      </c>
      <c r="L126" s="219" t="str">
        <f t="array" ref="L126">IFERROR(J126*INDEX('PORTIFÓLIO'!$S$4:$S$433,MATCH($C126,'PORTIFÓLIO'!$C$4:$C$433,0)),"")</f>
        <v/>
      </c>
      <c r="M126" s="220"/>
      <c r="N126" s="220"/>
      <c r="O126" s="220"/>
      <c r="P126" s="220"/>
      <c r="Q126" s="220"/>
      <c r="R126" s="220"/>
      <c r="S126" s="220"/>
      <c r="T126" s="220"/>
      <c r="U126" s="220"/>
      <c r="V126" s="220"/>
      <c r="W126" s="220"/>
    </row>
    <row r="127" ht="15.75" customHeight="1" outlineLevel="1">
      <c r="A127" s="211"/>
      <c r="B127" s="212"/>
      <c r="C127" s="213"/>
      <c r="D127" s="214" t="str">
        <f>IFERROR(VLOOKUP($C127,'PORTIFÓLIO'!C:V,2,0),"")</f>
        <v/>
      </c>
      <c r="E127" s="211" t="str">
        <f>IFERROR(VLOOKUP($C127,'PORTIFÓLIO'!C:V,3,0),"")</f>
        <v/>
      </c>
      <c r="F127" s="211" t="str">
        <f>IFERROR(VLOOKUP($C127,'PORTIFÓLIO'!C:V,4,0),"")</f>
        <v/>
      </c>
      <c r="G127" s="215" t="str">
        <f>IFERROR(VLOOKUP($C127,'PORTIFÓLIO'!C:V,5,0),"")</f>
        <v/>
      </c>
      <c r="H127" s="254" t="str">
        <f t="array" ref="H127">IFERROR(INDEX('PORTIFÓLIO'!$H$4:$H$433,MATCH($C127,'PORTIFÓLIO'!$C$4:$C$433,0)),"")</f>
        <v/>
      </c>
      <c r="I127" s="256"/>
      <c r="J127" s="218">
        <f t="shared" si="14"/>
        <v>0</v>
      </c>
      <c r="K127" s="219" t="str">
        <f t="array" ref="K127">IFERROR(I127*INDEX('PORTIFÓLIO'!$S$4:$S$433,MATCH($C127,'PORTIFÓLIO'!$C$4:$C$433,0)),"")</f>
        <v/>
      </c>
      <c r="L127" s="219" t="str">
        <f t="array" ref="L127">IFERROR(J127*INDEX('PORTIFÓLIO'!$S$4:$S$433,MATCH($C127,'PORTIFÓLIO'!$C$4:$C$433,0)),"")</f>
        <v/>
      </c>
      <c r="M127" s="220"/>
      <c r="N127" s="220"/>
      <c r="O127" s="220"/>
      <c r="P127" s="220"/>
      <c r="Q127" s="220"/>
      <c r="R127" s="220"/>
      <c r="S127" s="220"/>
      <c r="T127" s="220"/>
      <c r="U127" s="220"/>
      <c r="V127" s="220"/>
      <c r="W127" s="220"/>
    </row>
    <row r="128" ht="15.75" customHeight="1" outlineLevel="1">
      <c r="A128" s="211"/>
      <c r="B128" s="212"/>
      <c r="C128" s="213"/>
      <c r="D128" s="214" t="str">
        <f>IFERROR(VLOOKUP($C128,'PORTIFÓLIO'!C:V,2,0),"")</f>
        <v/>
      </c>
      <c r="E128" s="211" t="str">
        <f>IFERROR(VLOOKUP($C128,'PORTIFÓLIO'!C:V,3,0),"")</f>
        <v/>
      </c>
      <c r="F128" s="211" t="str">
        <f>IFERROR(VLOOKUP($C128,'PORTIFÓLIO'!C:V,4,0),"")</f>
        <v/>
      </c>
      <c r="G128" s="215" t="str">
        <f>IFERROR(VLOOKUP($C128,'PORTIFÓLIO'!C:V,5,0),"")</f>
        <v/>
      </c>
      <c r="H128" s="254" t="str">
        <f t="array" ref="H128">IFERROR(INDEX('PORTIFÓLIO'!$H$4:$H$433,MATCH($C128,'PORTIFÓLIO'!$C$4:$C$433,0)),"")</f>
        <v/>
      </c>
      <c r="I128" s="256"/>
      <c r="J128" s="218">
        <f t="shared" si="14"/>
        <v>0</v>
      </c>
      <c r="K128" s="219" t="str">
        <f t="array" ref="K128">IFERROR(I128*INDEX('PORTIFÓLIO'!$S$4:$S$433,MATCH($C128,'PORTIFÓLIO'!$C$4:$C$433,0)),"")</f>
        <v/>
      </c>
      <c r="L128" s="219" t="str">
        <f t="array" ref="L128">IFERROR(J128*INDEX('PORTIFÓLIO'!$S$4:$S$433,MATCH($C128,'PORTIFÓLIO'!$C$4:$C$433,0)),"")</f>
        <v/>
      </c>
      <c r="M128" s="220"/>
      <c r="N128" s="220"/>
      <c r="O128" s="220"/>
      <c r="P128" s="220"/>
      <c r="Q128" s="220"/>
      <c r="R128" s="220"/>
      <c r="S128" s="220"/>
      <c r="T128" s="220"/>
      <c r="U128" s="220"/>
      <c r="V128" s="220"/>
      <c r="W128" s="220"/>
    </row>
    <row r="129" ht="15.75" customHeight="1" outlineLevel="1">
      <c r="A129" s="211"/>
      <c r="B129" s="212"/>
      <c r="C129" s="213"/>
      <c r="D129" s="214" t="str">
        <f>IFERROR(VLOOKUP($C129,'PORTIFÓLIO'!C:V,2,0),"")</f>
        <v/>
      </c>
      <c r="E129" s="211" t="str">
        <f>IFERROR(VLOOKUP($C129,'PORTIFÓLIO'!C:V,3,0),"")</f>
        <v/>
      </c>
      <c r="F129" s="211" t="str">
        <f>IFERROR(VLOOKUP($C129,'PORTIFÓLIO'!C:V,4,0),"")</f>
        <v/>
      </c>
      <c r="G129" s="215" t="str">
        <f>IFERROR(VLOOKUP($C129,'PORTIFÓLIO'!C:V,5,0),"")</f>
        <v/>
      </c>
      <c r="H129" s="254" t="str">
        <f t="array" ref="H129">IFERROR(INDEX('PORTIFÓLIO'!$H$4:$H$433,MATCH($C129,'PORTIFÓLIO'!$C$4:$C$433,0)),"")</f>
        <v/>
      </c>
      <c r="I129" s="256"/>
      <c r="J129" s="218">
        <f t="shared" si="14"/>
        <v>0</v>
      </c>
      <c r="K129" s="219" t="str">
        <f t="array" ref="K129">IFERROR(I129*INDEX('PORTIFÓLIO'!$S$4:$S$433,MATCH($C129,'PORTIFÓLIO'!$C$4:$C$433,0)),"")</f>
        <v/>
      </c>
      <c r="L129" s="219" t="str">
        <f t="array" ref="L129">IFERROR(J129*INDEX('PORTIFÓLIO'!$S$4:$S$433,MATCH($C129,'PORTIFÓLIO'!$C$4:$C$433,0)),"")</f>
        <v/>
      </c>
      <c r="M129" s="220"/>
      <c r="N129" s="220"/>
      <c r="O129" s="220"/>
      <c r="P129" s="220"/>
      <c r="Q129" s="220"/>
      <c r="R129" s="220"/>
      <c r="S129" s="220"/>
      <c r="T129" s="220"/>
      <c r="U129" s="220"/>
      <c r="V129" s="220"/>
      <c r="W129" s="220"/>
    </row>
    <row r="130" ht="15.75" customHeight="1" outlineLevel="1">
      <c r="A130" s="211"/>
      <c r="B130" s="227"/>
      <c r="C130" s="211"/>
      <c r="D130" s="214" t="str">
        <f>IFERROR(VLOOKUP($C130,'PORTIFÓLIO'!C:V,2,0),"")</f>
        <v/>
      </c>
      <c r="E130" s="211" t="str">
        <f>IFERROR(VLOOKUP($C130,'PORTIFÓLIO'!C:V,3,0),"")</f>
        <v/>
      </c>
      <c r="F130" s="211" t="str">
        <f>IFERROR(VLOOKUP($C130,'PORTIFÓLIO'!C:V,4,0),"")</f>
        <v/>
      </c>
      <c r="G130" s="215" t="str">
        <f>IFERROR(VLOOKUP($C130,'PORTIFÓLIO'!C:V,5,0),"")</f>
        <v/>
      </c>
      <c r="H130" s="254" t="str">
        <f t="array" ref="H130">IFERROR(INDEX('PORTIFÓLIO'!$H$4:$H$433,MATCH($C130,'PORTIFÓLIO'!$C$4:$C$433,0)),"")</f>
        <v/>
      </c>
      <c r="I130" s="256"/>
      <c r="J130" s="218"/>
      <c r="K130" s="219" t="str">
        <f t="array" ref="K130">IFERROR(I130*INDEX('PORTIFÓLIO'!$S$4:$S$433,MATCH($C130,'PORTIFÓLIO'!$C$4:$C$433,0)),"")</f>
        <v/>
      </c>
      <c r="L130" s="219" t="str">
        <f t="array" ref="L130">IFERROR(J130*INDEX('PORTIFÓLIO'!$S$4:$S$433,MATCH($C130,'PORTIFÓLIO'!$C$4:$C$433,0)),"")</f>
        <v/>
      </c>
      <c r="M130" s="220"/>
      <c r="N130" s="220"/>
      <c r="O130" s="220"/>
      <c r="P130" s="220"/>
      <c r="Q130" s="220"/>
      <c r="R130" s="220"/>
      <c r="S130" s="220"/>
      <c r="T130" s="220"/>
      <c r="U130" s="220"/>
      <c r="V130" s="220"/>
      <c r="W130" s="220"/>
    </row>
    <row r="131" ht="15.75" customHeight="1">
      <c r="A131" s="229" t="s">
        <v>1191</v>
      </c>
      <c r="B131" s="230"/>
      <c r="C131" s="231"/>
      <c r="D131" s="232"/>
      <c r="E131" s="231"/>
      <c r="F131" s="231"/>
      <c r="G131" s="233"/>
      <c r="H131" s="233"/>
      <c r="I131" s="258"/>
      <c r="J131" s="236"/>
      <c r="K131" s="237">
        <f t="shared" ref="K131:L131" si="15">SUBTOTAL(9,K132:K145)</f>
        <v>183.160532</v>
      </c>
      <c r="L131" s="237">
        <f t="shared" si="15"/>
        <v>10989.63192</v>
      </c>
      <c r="M131" s="220"/>
      <c r="N131" s="220"/>
      <c r="O131" s="220"/>
      <c r="P131" s="220"/>
      <c r="Q131" s="220"/>
      <c r="R131" s="220"/>
      <c r="S131" s="220"/>
      <c r="T131" s="220"/>
      <c r="U131" s="220"/>
      <c r="V131" s="220"/>
      <c r="W131" s="220"/>
    </row>
    <row r="132" ht="15.75" customHeight="1" outlineLevel="1">
      <c r="A132" s="213"/>
      <c r="B132" s="212" t="s">
        <v>0</v>
      </c>
      <c r="C132" s="213" t="s">
        <v>487</v>
      </c>
      <c r="D132" s="214" t="str">
        <f>IFERROR(VLOOKUP($C132,'PORTIFÓLIO'!C:V,2,0),"")</f>
        <v>PICOXISTROBINA + CIPROCONAZOL</v>
      </c>
      <c r="E132" s="211" t="str">
        <f>IFERROR(VLOOKUP($C132,'PORTIFÓLIO'!C:V,3,0),"")</f>
        <v>90 + 40</v>
      </c>
      <c r="F132" s="211" t="str">
        <f>IFERROR(VLOOKUP($C132,'PORTIFÓLIO'!C:V,4,0),"")</f>
        <v>L</v>
      </c>
      <c r="G132" s="225" t="str">
        <f>IFERROR(VLOOKUP($C132,'PORTIFÓLIO'!C:V,5,0),"")</f>
        <v>📄 Ver bula</v>
      </c>
      <c r="H132" s="254">
        <f t="array" ref="H132">IFERROR(INDEX('PORTIFÓLIO'!$H$4:$H$433,MATCH($C132,'PORTIFÓLIO'!$C$4:$C$433,0)),"")</f>
        <v>0.6</v>
      </c>
      <c r="I132" s="255">
        <v>0.6</v>
      </c>
      <c r="J132" s="218">
        <f t="shared" ref="J132:J146" si="16">I132*$B$2</f>
        <v>36</v>
      </c>
      <c r="K132" s="219">
        <f t="array" ref="K132">IFERROR(I132*INDEX('PORTIFÓLIO'!$S$4:$S$433,MATCH($C132,'PORTIFÓLIO'!$C$4:$C$433,0)),"")</f>
        <v>39.349152</v>
      </c>
      <c r="L132" s="219">
        <f t="array" ref="L132">IFERROR(J132*INDEX('PORTIFÓLIO'!$S$4:$S$433,MATCH($C132,'PORTIFÓLIO'!$C$4:$C$433,0)),"")</f>
        <v>2360.94912</v>
      </c>
      <c r="M132" s="220"/>
      <c r="N132" s="220"/>
      <c r="O132" s="220"/>
      <c r="P132" s="220"/>
      <c r="Q132" s="220"/>
      <c r="R132" s="220"/>
      <c r="S132" s="220"/>
      <c r="T132" s="220"/>
      <c r="U132" s="220"/>
      <c r="V132" s="220"/>
      <c r="W132" s="220"/>
    </row>
    <row r="133" ht="15.75" customHeight="1" outlineLevel="1">
      <c r="A133" s="211"/>
      <c r="B133" s="212" t="s">
        <v>0</v>
      </c>
      <c r="C133" s="213" t="s">
        <v>484</v>
      </c>
      <c r="D133" s="214" t="str">
        <f>IFERROR(VLOOKUP($C133,'PORTIFÓLIO'!C:V,2,0),"")</f>
        <v>MANCOZEBE</v>
      </c>
      <c r="E133" s="211">
        <f>IFERROR(VLOOKUP($C133,'PORTIFÓLIO'!C:V,3,0),"")</f>
        <v>750</v>
      </c>
      <c r="F133" s="211" t="str">
        <f>IFERROR(VLOOKUP($C133,'PORTIFÓLIO'!C:V,4,0),"")</f>
        <v>L</v>
      </c>
      <c r="G133" s="225" t="str">
        <f>IFERROR(VLOOKUP($C133,'PORTIFÓLIO'!C:V,5,0),"")</f>
        <v>📄 Ver bula</v>
      </c>
      <c r="H133" s="254">
        <f t="array" ref="H133">IFERROR(INDEX('PORTIFÓLIO'!$H$4:$H$433,MATCH($C133,'PORTIFÓLIO'!$C$4:$C$433,0)),"")</f>
        <v>1.5</v>
      </c>
      <c r="I133" s="255">
        <v>1.5</v>
      </c>
      <c r="J133" s="218">
        <f t="shared" si="16"/>
        <v>90</v>
      </c>
      <c r="K133" s="219">
        <f t="array" ref="K133">IFERROR(I133*INDEX('PORTIFÓLIO'!$S$4:$S$433,MATCH($C133,'PORTIFÓLIO'!$C$4:$C$433,0)),"")</f>
        <v>41.52168</v>
      </c>
      <c r="L133" s="219">
        <f t="array" ref="L133">IFERROR(J133*INDEX('PORTIFÓLIO'!$S$4:$S$433,MATCH($C133,'PORTIFÓLIO'!$C$4:$C$433,0)),"")</f>
        <v>2491.3008</v>
      </c>
      <c r="M133" s="220"/>
      <c r="N133" s="220"/>
      <c r="O133" s="220"/>
      <c r="P133" s="220"/>
      <c r="Q133" s="220"/>
      <c r="R133" s="220"/>
      <c r="S133" s="220"/>
      <c r="T133" s="220"/>
      <c r="U133" s="220"/>
      <c r="V133" s="220"/>
      <c r="W133" s="220"/>
    </row>
    <row r="134" ht="15.75" customHeight="1" outlineLevel="1">
      <c r="A134" s="211"/>
      <c r="B134" s="212" t="s">
        <v>2</v>
      </c>
      <c r="C134" s="213" t="s">
        <v>897</v>
      </c>
      <c r="D134" s="214" t="str">
        <f>IFERROR(VLOOKUP($C134,'PORTIFÓLIO'!C:V,2,0),"")</f>
        <v>ISOCICLOSERAM + LAMBDA-CIALOTRINA</v>
      </c>
      <c r="E134" s="211" t="str">
        <f>IFERROR(VLOOKUP($C134,'PORTIFÓLIO'!C:V,3,0),"")</f>
        <v>100 + 150</v>
      </c>
      <c r="F134" s="211" t="str">
        <f>IFERROR(VLOOKUP($C134,'PORTIFÓLIO'!C:V,4,0),"")</f>
        <v>L</v>
      </c>
      <c r="G134" s="225" t="str">
        <f>IFERROR(VLOOKUP($C134,'PORTIFÓLIO'!C:V,5,0),"")</f>
        <v>📄 Ver bula</v>
      </c>
      <c r="H134" s="254">
        <f t="array" ref="H134">IFERROR(INDEX('PORTIFÓLIO'!$H$4:$H$433,MATCH($C134,'PORTIFÓLIO'!$C$4:$C$433,0)),"")</f>
        <v>0.25</v>
      </c>
      <c r="I134" s="255">
        <v>0.25</v>
      </c>
      <c r="J134" s="218">
        <f t="shared" si="16"/>
        <v>15</v>
      </c>
      <c r="K134" s="219">
        <f t="array" ref="K134">IFERROR(I134*INDEX('PORTIFÓLIO'!$S$4:$S$433,MATCH($C134,'PORTIFÓLIO'!$C$4:$C$433,0)),"")</f>
        <v>99.0837</v>
      </c>
      <c r="L134" s="219">
        <f t="array" ref="L134">IFERROR(J134*INDEX('PORTIFÓLIO'!$S$4:$S$433,MATCH($C134,'PORTIFÓLIO'!$C$4:$C$433,0)),"")</f>
        <v>5945.022</v>
      </c>
      <c r="M134" s="220"/>
      <c r="N134" s="220"/>
      <c r="O134" s="220"/>
      <c r="P134" s="220"/>
      <c r="Q134" s="220"/>
      <c r="R134" s="220"/>
      <c r="S134" s="220"/>
      <c r="T134" s="220"/>
      <c r="U134" s="220"/>
      <c r="V134" s="220"/>
      <c r="W134" s="220"/>
    </row>
    <row r="135" ht="15.75" customHeight="1" outlineLevel="1">
      <c r="A135" s="211"/>
      <c r="B135" s="212" t="s">
        <v>6</v>
      </c>
      <c r="C135" s="213" t="s">
        <v>354</v>
      </c>
      <c r="D135" s="214" t="str">
        <f>IFERROR(VLOOKUP($C135,'PORTIFÓLIO'!C:V,2,0),"")</f>
        <v>OLEO MINERAL</v>
      </c>
      <c r="E135" s="211">
        <f>IFERROR(VLOOKUP($C135,'PORTIFÓLIO'!C:V,3,0),"")</f>
        <v>761</v>
      </c>
      <c r="F135" s="211" t="str">
        <f>IFERROR(VLOOKUP($C135,'PORTIFÓLIO'!C:V,4,0),"")</f>
        <v>L</v>
      </c>
      <c r="G135" s="225" t="str">
        <f>IFERROR(VLOOKUP($C135,'PORTIFÓLIO'!C:V,5,0),"")</f>
        <v>📄 Ver bula</v>
      </c>
      <c r="H135" s="254">
        <f t="array" ref="H135">IFERROR(INDEX('PORTIFÓLIO'!$H$4:$H$433,MATCH($C135,'PORTIFÓLIO'!$C$4:$C$433,0)),"")</f>
        <v>0.2</v>
      </c>
      <c r="I135" s="255">
        <v>0.2</v>
      </c>
      <c r="J135" s="218">
        <f t="shared" si="16"/>
        <v>12</v>
      </c>
      <c r="K135" s="219">
        <f t="array" ref="K135">IFERROR(I135*INDEX('PORTIFÓLIO'!$S$4:$S$433,MATCH($C135,'PORTIFÓLIO'!$C$4:$C$433,0)),"")</f>
        <v>3.206</v>
      </c>
      <c r="L135" s="219">
        <f t="array" ref="L135">IFERROR(J135*INDEX('PORTIFÓLIO'!$S$4:$S$433,MATCH($C135,'PORTIFÓLIO'!$C$4:$C$433,0)),"")</f>
        <v>192.36</v>
      </c>
      <c r="M135" s="220"/>
      <c r="N135" s="220"/>
      <c r="O135" s="220"/>
      <c r="P135" s="220"/>
      <c r="Q135" s="220"/>
      <c r="R135" s="220"/>
      <c r="S135" s="220"/>
      <c r="T135" s="220"/>
      <c r="U135" s="220"/>
      <c r="V135" s="220"/>
      <c r="W135" s="220"/>
    </row>
    <row r="136" ht="15.75" customHeight="1" outlineLevel="1">
      <c r="A136" s="211"/>
      <c r="B136" s="212"/>
      <c r="C136" s="213"/>
      <c r="D136" s="214" t="str">
        <f>IFERROR(VLOOKUP($C136,'PORTIFÓLIO'!C:V,2,0),"")</f>
        <v/>
      </c>
      <c r="E136" s="211" t="str">
        <f>IFERROR(VLOOKUP($C136,'PORTIFÓLIO'!C:V,3,0),"")</f>
        <v/>
      </c>
      <c r="F136" s="211" t="str">
        <f>IFERROR(VLOOKUP($C136,'PORTIFÓLIO'!C:V,4,0),"")</f>
        <v/>
      </c>
      <c r="G136" s="215" t="str">
        <f>IFERROR(VLOOKUP($C136,'PORTIFÓLIO'!C:V,5,0),"")</f>
        <v/>
      </c>
      <c r="H136" s="254" t="str">
        <f t="array" ref="H136">IFERROR(INDEX('PORTIFÓLIO'!$H$4:$H$433,MATCH($C136,'PORTIFÓLIO'!$C$4:$C$433,0)),"")</f>
        <v/>
      </c>
      <c r="I136" s="256"/>
      <c r="J136" s="218">
        <f t="shared" si="16"/>
        <v>0</v>
      </c>
      <c r="K136" s="219" t="str">
        <f t="array" ref="K136">IFERROR(I136*INDEX('PORTIFÓLIO'!$S$4:$S$433,MATCH($C136,'PORTIFÓLIO'!$C$4:$C$433,0)),"")</f>
        <v/>
      </c>
      <c r="L136" s="219" t="str">
        <f t="array" ref="L136">IFERROR(J136*INDEX('PORTIFÓLIO'!$S$4:$S$433,MATCH($C136,'PORTIFÓLIO'!$C$4:$C$433,0)),"")</f>
        <v/>
      </c>
      <c r="M136" s="220"/>
      <c r="N136" s="220"/>
      <c r="O136" s="220"/>
      <c r="P136" s="220"/>
      <c r="Q136" s="220"/>
      <c r="R136" s="220"/>
      <c r="S136" s="220"/>
      <c r="T136" s="220"/>
      <c r="U136" s="220"/>
      <c r="V136" s="220"/>
      <c r="W136" s="220"/>
    </row>
    <row r="137" ht="15.75" customHeight="1" outlineLevel="1">
      <c r="A137" s="211"/>
      <c r="B137" s="212"/>
      <c r="C137" s="213"/>
      <c r="D137" s="214" t="str">
        <f>IFERROR(VLOOKUP($C137,'PORTIFÓLIO'!C:V,2,0),"")</f>
        <v/>
      </c>
      <c r="E137" s="211" t="str">
        <f>IFERROR(VLOOKUP($C137,'PORTIFÓLIO'!C:V,3,0),"")</f>
        <v/>
      </c>
      <c r="F137" s="211" t="str">
        <f>IFERROR(VLOOKUP($C137,'PORTIFÓLIO'!C:V,4,0),"")</f>
        <v/>
      </c>
      <c r="G137" s="215" t="str">
        <f>IFERROR(VLOOKUP($C137,'PORTIFÓLIO'!C:V,5,0),"")</f>
        <v/>
      </c>
      <c r="H137" s="254" t="str">
        <f t="array" ref="H137">IFERROR(INDEX('PORTIFÓLIO'!$H$4:$H$433,MATCH($C137,'PORTIFÓLIO'!$C$4:$C$433,0)),"")</f>
        <v/>
      </c>
      <c r="I137" s="256"/>
      <c r="J137" s="218">
        <f t="shared" si="16"/>
        <v>0</v>
      </c>
      <c r="K137" s="219" t="str">
        <f t="array" ref="K137">IFERROR(I137*INDEX('PORTIFÓLIO'!$S$4:$S$433,MATCH($C137,'PORTIFÓLIO'!$C$4:$C$433,0)),"")</f>
        <v/>
      </c>
      <c r="L137" s="219" t="str">
        <f t="array" ref="L137">IFERROR(J137*INDEX('PORTIFÓLIO'!$S$4:$S$433,MATCH($C137,'PORTIFÓLIO'!$C$4:$C$433,0)),"")</f>
        <v/>
      </c>
      <c r="M137" s="220"/>
      <c r="N137" s="220"/>
      <c r="O137" s="220"/>
      <c r="P137" s="220"/>
      <c r="Q137" s="220"/>
      <c r="R137" s="220"/>
      <c r="S137" s="220"/>
      <c r="T137" s="220"/>
      <c r="U137" s="220"/>
      <c r="V137" s="220"/>
      <c r="W137" s="220"/>
    </row>
    <row r="138" ht="15.75" customHeight="1" outlineLevel="1">
      <c r="A138" s="211"/>
      <c r="B138" s="212"/>
      <c r="C138" s="213"/>
      <c r="D138" s="214" t="str">
        <f>IFERROR(VLOOKUP($C138,'PORTIFÓLIO'!C:V,2,0),"")</f>
        <v/>
      </c>
      <c r="E138" s="211" t="str">
        <f>IFERROR(VLOOKUP($C138,'PORTIFÓLIO'!C:V,3,0),"")</f>
        <v/>
      </c>
      <c r="F138" s="211" t="str">
        <f>IFERROR(VLOOKUP($C138,'PORTIFÓLIO'!C:V,4,0),"")</f>
        <v/>
      </c>
      <c r="G138" s="215" t="str">
        <f>IFERROR(VLOOKUP($C138,'PORTIFÓLIO'!C:V,5,0),"")</f>
        <v/>
      </c>
      <c r="H138" s="254" t="str">
        <f t="array" ref="H138">IFERROR(INDEX('PORTIFÓLIO'!$H$4:$H$433,MATCH($C138,'PORTIFÓLIO'!$C$4:$C$433,0)),"")</f>
        <v/>
      </c>
      <c r="I138" s="256"/>
      <c r="J138" s="218">
        <f t="shared" si="16"/>
        <v>0</v>
      </c>
      <c r="K138" s="219" t="str">
        <f t="array" ref="K138">IFERROR(I138*INDEX('PORTIFÓLIO'!$S$4:$S$433,MATCH($C138,'PORTIFÓLIO'!$C$4:$C$433,0)),"")</f>
        <v/>
      </c>
      <c r="L138" s="219" t="str">
        <f t="array" ref="L138">IFERROR(J138*INDEX('PORTIFÓLIO'!$S$4:$S$433,MATCH($C138,'PORTIFÓLIO'!$C$4:$C$433,0)),"")</f>
        <v/>
      </c>
      <c r="M138" s="220"/>
      <c r="N138" s="220"/>
      <c r="O138" s="220"/>
      <c r="P138" s="220"/>
      <c r="Q138" s="220"/>
      <c r="R138" s="220"/>
      <c r="S138" s="220"/>
      <c r="T138" s="220"/>
      <c r="U138" s="220"/>
      <c r="V138" s="220"/>
      <c r="W138" s="220"/>
    </row>
    <row r="139" ht="15.75" customHeight="1" outlineLevel="1">
      <c r="A139" s="211"/>
      <c r="B139" s="212"/>
      <c r="C139" s="213"/>
      <c r="D139" s="214" t="str">
        <f>IFERROR(VLOOKUP($C139,'PORTIFÓLIO'!C:V,2,0),"")</f>
        <v/>
      </c>
      <c r="E139" s="211" t="str">
        <f>IFERROR(VLOOKUP($C139,'PORTIFÓLIO'!C:V,3,0),"")</f>
        <v/>
      </c>
      <c r="F139" s="211" t="str">
        <f>IFERROR(VLOOKUP($C139,'PORTIFÓLIO'!C:V,4,0),"")</f>
        <v/>
      </c>
      <c r="G139" s="215" t="str">
        <f>IFERROR(VLOOKUP($C139,'PORTIFÓLIO'!C:V,5,0),"")</f>
        <v/>
      </c>
      <c r="H139" s="254" t="str">
        <f t="array" ref="H139">IFERROR(INDEX('PORTIFÓLIO'!$H$4:$H$433,MATCH($C139,'PORTIFÓLIO'!$C$4:$C$433,0)),"")</f>
        <v/>
      </c>
      <c r="I139" s="256"/>
      <c r="J139" s="218">
        <f t="shared" si="16"/>
        <v>0</v>
      </c>
      <c r="K139" s="219" t="str">
        <f t="array" ref="K139">IFERROR(I139*INDEX('PORTIFÓLIO'!$S$4:$S$433,MATCH($C139,'PORTIFÓLIO'!$C$4:$C$433,0)),"")</f>
        <v/>
      </c>
      <c r="L139" s="219" t="str">
        <f t="array" ref="L139">IFERROR(J139*INDEX('PORTIFÓLIO'!$S$4:$S$433,MATCH($C139,'PORTIFÓLIO'!$C$4:$C$433,0)),"")</f>
        <v/>
      </c>
      <c r="M139" s="220"/>
      <c r="N139" s="220"/>
      <c r="O139" s="220"/>
      <c r="P139" s="220"/>
      <c r="Q139" s="220"/>
      <c r="R139" s="220"/>
      <c r="S139" s="220"/>
      <c r="T139" s="220"/>
      <c r="U139" s="220"/>
      <c r="V139" s="220"/>
      <c r="W139" s="220"/>
    </row>
    <row r="140" ht="15.75" customHeight="1" outlineLevel="1">
      <c r="A140" s="211"/>
      <c r="B140" s="212"/>
      <c r="C140" s="213"/>
      <c r="D140" s="214" t="str">
        <f>IFERROR(VLOOKUP($C140,'PORTIFÓLIO'!C:V,2,0),"")</f>
        <v/>
      </c>
      <c r="E140" s="211" t="str">
        <f>IFERROR(VLOOKUP($C140,'PORTIFÓLIO'!C:V,3,0),"")</f>
        <v/>
      </c>
      <c r="F140" s="211" t="str">
        <f>IFERROR(VLOOKUP($C140,'PORTIFÓLIO'!C:V,4,0),"")</f>
        <v/>
      </c>
      <c r="G140" s="215" t="str">
        <f>IFERROR(VLOOKUP($C140,'PORTIFÓLIO'!C:V,5,0),"")</f>
        <v/>
      </c>
      <c r="H140" s="254" t="str">
        <f t="array" ref="H140">IFERROR(INDEX('PORTIFÓLIO'!$H$4:$H$433,MATCH($C140,'PORTIFÓLIO'!$C$4:$C$433,0)),"")</f>
        <v/>
      </c>
      <c r="I140" s="255"/>
      <c r="J140" s="218">
        <f t="shared" si="16"/>
        <v>0</v>
      </c>
      <c r="K140" s="219" t="str">
        <f t="array" ref="K140">IFERROR(I140*INDEX('PORTIFÓLIO'!$S$4:$S$433,MATCH($C140,'PORTIFÓLIO'!$C$4:$C$433,0)),"")</f>
        <v/>
      </c>
      <c r="L140" s="219" t="str">
        <f t="array" ref="L140">IFERROR(J140*INDEX('PORTIFÓLIO'!$S$4:$S$433,MATCH($C140,'PORTIFÓLIO'!$C$4:$C$433,0)),"")</f>
        <v/>
      </c>
      <c r="M140" s="220"/>
      <c r="N140" s="220"/>
      <c r="O140" s="220"/>
      <c r="P140" s="220"/>
      <c r="Q140" s="220"/>
      <c r="R140" s="220"/>
      <c r="S140" s="220"/>
      <c r="T140" s="220"/>
      <c r="U140" s="220"/>
      <c r="V140" s="220"/>
      <c r="W140" s="220"/>
    </row>
    <row r="141" ht="15.75" customHeight="1" outlineLevel="1">
      <c r="A141" s="211"/>
      <c r="B141" s="212"/>
      <c r="C141" s="213"/>
      <c r="D141" s="214" t="str">
        <f>IFERROR(VLOOKUP($C141,'PORTIFÓLIO'!C:V,2,0),"")</f>
        <v/>
      </c>
      <c r="E141" s="211" t="str">
        <f>IFERROR(VLOOKUP($C141,'PORTIFÓLIO'!C:V,3,0),"")</f>
        <v/>
      </c>
      <c r="F141" s="211" t="str">
        <f>IFERROR(VLOOKUP($C141,'PORTIFÓLIO'!C:V,4,0),"")</f>
        <v/>
      </c>
      <c r="G141" s="215" t="str">
        <f>IFERROR(VLOOKUP($C141,'PORTIFÓLIO'!C:V,5,0),"")</f>
        <v/>
      </c>
      <c r="H141" s="254" t="str">
        <f t="array" ref="H141">IFERROR(INDEX('PORTIFÓLIO'!$H$4:$H$433,MATCH($C141,'PORTIFÓLIO'!$C$4:$C$433,0)),"")</f>
        <v/>
      </c>
      <c r="I141" s="256"/>
      <c r="J141" s="218">
        <f t="shared" si="16"/>
        <v>0</v>
      </c>
      <c r="K141" s="219" t="str">
        <f t="array" ref="K141">IFERROR(I141*INDEX('PORTIFÓLIO'!$S$4:$S$433,MATCH($C141,'PORTIFÓLIO'!$C$4:$C$433,0)),"")</f>
        <v/>
      </c>
      <c r="L141" s="219" t="str">
        <f t="array" ref="L141">IFERROR(J141*INDEX('PORTIFÓLIO'!$S$4:$S$433,MATCH($C141,'PORTIFÓLIO'!$C$4:$C$433,0)),"")</f>
        <v/>
      </c>
      <c r="M141" s="220"/>
      <c r="N141" s="220"/>
      <c r="O141" s="220"/>
      <c r="P141" s="220"/>
      <c r="Q141" s="220"/>
      <c r="R141" s="220"/>
      <c r="S141" s="220"/>
      <c r="T141" s="220"/>
      <c r="U141" s="220"/>
      <c r="V141" s="220"/>
      <c r="W141" s="220"/>
    </row>
    <row r="142" ht="15.75" customHeight="1" outlineLevel="1">
      <c r="A142" s="211"/>
      <c r="B142" s="212"/>
      <c r="C142" s="213"/>
      <c r="D142" s="214" t="str">
        <f>IFERROR(VLOOKUP($C142,'PORTIFÓLIO'!C:V,2,0),"")</f>
        <v/>
      </c>
      <c r="E142" s="211" t="str">
        <f>IFERROR(VLOOKUP($C142,'PORTIFÓLIO'!C:V,3,0),"")</f>
        <v/>
      </c>
      <c r="F142" s="211" t="str">
        <f>IFERROR(VLOOKUP($C142,'PORTIFÓLIO'!C:V,4,0),"")</f>
        <v/>
      </c>
      <c r="G142" s="215" t="str">
        <f>IFERROR(VLOOKUP($C142,'PORTIFÓLIO'!C:V,5,0),"")</f>
        <v/>
      </c>
      <c r="H142" s="254" t="str">
        <f t="array" ref="H142">IFERROR(INDEX('PORTIFÓLIO'!$H$4:$H$433,MATCH($C142,'PORTIFÓLIO'!$C$4:$C$433,0)),"")</f>
        <v/>
      </c>
      <c r="I142" s="256"/>
      <c r="J142" s="218">
        <f t="shared" si="16"/>
        <v>0</v>
      </c>
      <c r="K142" s="219" t="str">
        <f t="array" ref="K142">IFERROR(I142*INDEX('PORTIFÓLIO'!$S$4:$S$433,MATCH($C142,'PORTIFÓLIO'!$C$4:$C$433,0)),"")</f>
        <v/>
      </c>
      <c r="L142" s="219" t="str">
        <f t="array" ref="L142">IFERROR(J142*INDEX('PORTIFÓLIO'!$S$4:$S$433,MATCH($C142,'PORTIFÓLIO'!$C$4:$C$433,0)),"")</f>
        <v/>
      </c>
      <c r="M142" s="220"/>
      <c r="N142" s="220"/>
      <c r="O142" s="220"/>
      <c r="P142" s="220"/>
      <c r="Q142" s="220"/>
      <c r="R142" s="220"/>
      <c r="S142" s="220"/>
      <c r="T142" s="220"/>
      <c r="U142" s="220"/>
      <c r="V142" s="220"/>
      <c r="W142" s="220"/>
    </row>
    <row r="143" ht="15.75" customHeight="1" outlineLevel="1">
      <c r="A143" s="211"/>
      <c r="B143" s="212"/>
      <c r="C143" s="213"/>
      <c r="D143" s="214" t="str">
        <f>IFERROR(VLOOKUP($C143,'PORTIFÓLIO'!C:V,2,0),"")</f>
        <v/>
      </c>
      <c r="E143" s="211" t="str">
        <f>IFERROR(VLOOKUP($C143,'PORTIFÓLIO'!C:V,3,0),"")</f>
        <v/>
      </c>
      <c r="F143" s="211" t="str">
        <f>IFERROR(VLOOKUP($C143,'PORTIFÓLIO'!C:V,4,0),"")</f>
        <v/>
      </c>
      <c r="G143" s="215" t="str">
        <f>IFERROR(VLOOKUP($C143,'PORTIFÓLIO'!C:V,5,0),"")</f>
        <v/>
      </c>
      <c r="H143" s="254" t="str">
        <f t="array" ref="H143">IFERROR(INDEX('PORTIFÓLIO'!$H$4:$H$433,MATCH($C143,'PORTIFÓLIO'!$C$4:$C$433,0)),"")</f>
        <v/>
      </c>
      <c r="I143" s="256"/>
      <c r="J143" s="218">
        <f t="shared" si="16"/>
        <v>0</v>
      </c>
      <c r="K143" s="219" t="str">
        <f t="array" ref="K143">IFERROR(I143*INDEX('PORTIFÓLIO'!$S$4:$S$433,MATCH($C143,'PORTIFÓLIO'!$C$4:$C$433,0)),"")</f>
        <v/>
      </c>
      <c r="L143" s="219" t="str">
        <f t="array" ref="L143">IFERROR(J143*INDEX('PORTIFÓLIO'!$S$4:$S$433,MATCH($C143,'PORTIFÓLIO'!$C$4:$C$433,0)),"")</f>
        <v/>
      </c>
      <c r="M143" s="220"/>
      <c r="N143" s="220"/>
      <c r="O143" s="220"/>
      <c r="P143" s="220"/>
      <c r="Q143" s="220"/>
      <c r="R143" s="220"/>
      <c r="S143" s="220"/>
      <c r="T143" s="220"/>
      <c r="U143" s="220"/>
      <c r="V143" s="220"/>
      <c r="W143" s="220"/>
    </row>
    <row r="144" ht="15.75" customHeight="1" outlineLevel="1">
      <c r="A144" s="211"/>
      <c r="B144" s="212"/>
      <c r="C144" s="213"/>
      <c r="D144" s="214" t="str">
        <f>IFERROR(VLOOKUP($C144,'PORTIFÓLIO'!C:V,2,0),"")</f>
        <v/>
      </c>
      <c r="E144" s="211" t="str">
        <f>IFERROR(VLOOKUP($C144,'PORTIFÓLIO'!C:V,3,0),"")</f>
        <v/>
      </c>
      <c r="F144" s="211" t="str">
        <f>IFERROR(VLOOKUP($C144,'PORTIFÓLIO'!C:V,4,0),"")</f>
        <v/>
      </c>
      <c r="G144" s="215" t="str">
        <f>IFERROR(VLOOKUP($C144,'PORTIFÓLIO'!C:V,5,0),"")</f>
        <v/>
      </c>
      <c r="H144" s="254" t="str">
        <f t="array" ref="H144">IFERROR(INDEX('PORTIFÓLIO'!$H$4:$H$433,MATCH($C144,'PORTIFÓLIO'!$C$4:$C$433,0)),"")</f>
        <v/>
      </c>
      <c r="I144" s="256"/>
      <c r="J144" s="218">
        <f t="shared" si="16"/>
        <v>0</v>
      </c>
      <c r="K144" s="219" t="str">
        <f t="array" ref="K144">IFERROR(I144*INDEX('PORTIFÓLIO'!$S$4:$S$433,MATCH($C144,'PORTIFÓLIO'!$C$4:$C$433,0)),"")</f>
        <v/>
      </c>
      <c r="L144" s="219" t="str">
        <f t="array" ref="L144">IFERROR(J144*INDEX('PORTIFÓLIO'!$S$4:$S$433,MATCH($C144,'PORTIFÓLIO'!$C$4:$C$433,0)),"")</f>
        <v/>
      </c>
      <c r="M144" s="220"/>
      <c r="N144" s="220"/>
      <c r="O144" s="220"/>
      <c r="P144" s="220"/>
      <c r="Q144" s="220"/>
      <c r="R144" s="220"/>
      <c r="S144" s="220"/>
      <c r="T144" s="220"/>
      <c r="U144" s="220"/>
      <c r="V144" s="220"/>
      <c r="W144" s="220"/>
    </row>
    <row r="145" ht="15.75" customHeight="1" outlineLevel="1">
      <c r="A145" s="211"/>
      <c r="B145" s="212"/>
      <c r="C145" s="213"/>
      <c r="D145" s="214" t="str">
        <f>IFERROR(VLOOKUP($C145,'PORTIFÓLIO'!C:V,2,0),"")</f>
        <v/>
      </c>
      <c r="E145" s="211" t="str">
        <f>IFERROR(VLOOKUP($C145,'PORTIFÓLIO'!C:V,3,0),"")</f>
        <v/>
      </c>
      <c r="F145" s="211" t="str">
        <f>IFERROR(VLOOKUP($C145,'PORTIFÓLIO'!C:V,4,0),"")</f>
        <v/>
      </c>
      <c r="G145" s="215" t="str">
        <f>IFERROR(VLOOKUP($C145,'PORTIFÓLIO'!C:V,5,0),"")</f>
        <v/>
      </c>
      <c r="H145" s="254" t="str">
        <f t="array" ref="H145">IFERROR(INDEX('PORTIFÓLIO'!$H$4:$H$433,MATCH($C145,'PORTIFÓLIO'!$C$4:$C$433,0)),"")</f>
        <v/>
      </c>
      <c r="I145" s="256"/>
      <c r="J145" s="218">
        <f t="shared" si="16"/>
        <v>0</v>
      </c>
      <c r="K145" s="219" t="str">
        <f t="array" ref="K145">IFERROR(I145*INDEX('PORTIFÓLIO'!$S$4:$S$433,MATCH($C145,'PORTIFÓLIO'!$C$4:$C$433,0)),"")</f>
        <v/>
      </c>
      <c r="L145" s="219" t="str">
        <f t="array" ref="L145">IFERROR(J145*INDEX('PORTIFÓLIO'!$S$4:$S$433,MATCH($C145,'PORTIFÓLIO'!$C$4:$C$433,0)),"")</f>
        <v/>
      </c>
      <c r="M145" s="220"/>
      <c r="N145" s="220"/>
      <c r="O145" s="220"/>
      <c r="P145" s="220"/>
      <c r="Q145" s="220"/>
      <c r="R145" s="220"/>
      <c r="S145" s="220"/>
      <c r="T145" s="220"/>
      <c r="U145" s="220"/>
      <c r="V145" s="220"/>
      <c r="W145" s="220"/>
    </row>
    <row r="146" ht="15.75" customHeight="1" outlineLevel="1">
      <c r="A146" s="211"/>
      <c r="B146" s="212"/>
      <c r="C146" s="213"/>
      <c r="D146" s="214" t="str">
        <f>IFERROR(VLOOKUP($C146,'PORTIFÓLIO'!C:V,2,0),"")</f>
        <v/>
      </c>
      <c r="E146" s="211" t="str">
        <f>IFERROR(VLOOKUP($C146,'PORTIFÓLIO'!C:V,3,0),"")</f>
        <v/>
      </c>
      <c r="F146" s="211" t="str">
        <f>IFERROR(VLOOKUP($C146,'PORTIFÓLIO'!C:V,4,0),"")</f>
        <v/>
      </c>
      <c r="G146" s="215" t="str">
        <f>IFERROR(VLOOKUP($C146,'PORTIFÓLIO'!C:V,5,0),"")</f>
        <v/>
      </c>
      <c r="H146" s="254" t="str">
        <f t="array" ref="H146">IFERROR(INDEX('PORTIFÓLIO'!$H$4:$H$433,MATCH($C146,'PORTIFÓLIO'!$C$4:$C$433,0)),"")</f>
        <v/>
      </c>
      <c r="I146" s="256"/>
      <c r="J146" s="218">
        <f t="shared" si="16"/>
        <v>0</v>
      </c>
      <c r="K146" s="219" t="str">
        <f t="array" ref="K146">IFERROR(I146*INDEX('PORTIFÓLIO'!$S$4:$S$433,MATCH($C146,'PORTIFÓLIO'!$C$4:$C$433,0)),"")</f>
        <v/>
      </c>
      <c r="L146" s="219" t="str">
        <f t="array" ref="L146">IFERROR(J146*INDEX('PORTIFÓLIO'!$S$4:$S$433,MATCH($C146,'PORTIFÓLIO'!$C$4:$C$433,0)),"")</f>
        <v/>
      </c>
      <c r="M146" s="220"/>
      <c r="N146" s="220"/>
      <c r="O146" s="220"/>
      <c r="P146" s="220"/>
      <c r="Q146" s="220"/>
      <c r="R146" s="220"/>
      <c r="S146" s="220"/>
      <c r="T146" s="220"/>
      <c r="U146" s="220"/>
      <c r="V146" s="220"/>
      <c r="W146" s="220"/>
    </row>
    <row r="147" ht="15.75" customHeight="1" outlineLevel="1">
      <c r="A147" s="211"/>
      <c r="B147" s="227"/>
      <c r="C147" s="211"/>
      <c r="D147" s="214" t="str">
        <f>IFERROR(VLOOKUP($C147,'PORTIFÓLIO'!C:V,2,0),"")</f>
        <v/>
      </c>
      <c r="E147" s="211" t="str">
        <f>IFERROR(VLOOKUP($C147,'PORTIFÓLIO'!C:V,3,0),"")</f>
        <v/>
      </c>
      <c r="F147" s="211" t="str">
        <f>IFERROR(VLOOKUP($C147,'PORTIFÓLIO'!C:V,4,0),"")</f>
        <v/>
      </c>
      <c r="G147" s="215" t="str">
        <f>IFERROR(VLOOKUP($C147,'PORTIFÓLIO'!C:V,5,0),"")</f>
        <v/>
      </c>
      <c r="H147" s="254" t="str">
        <f t="array" ref="H147">IFERROR(INDEX('PORTIFÓLIO'!$H$4:$H$433,MATCH($C147,'PORTIFÓLIO'!$C$4:$C$433,0)),"")</f>
        <v/>
      </c>
      <c r="I147" s="256"/>
      <c r="J147" s="218"/>
      <c r="K147" s="219" t="str">
        <f t="array" ref="K147">IFERROR(I147*INDEX('PORTIFÓLIO'!$S$4:$S$433,MATCH($C147,'PORTIFÓLIO'!$C$4:$C$433,0)),"")</f>
        <v/>
      </c>
      <c r="L147" s="219" t="str">
        <f t="array" ref="L147">IFERROR(J147*INDEX('PORTIFÓLIO'!$S$4:$S$433,MATCH($C147,'PORTIFÓLIO'!$C$4:$C$433,0)),"")</f>
        <v/>
      </c>
      <c r="M147" s="220"/>
      <c r="N147" s="220"/>
      <c r="O147" s="220"/>
      <c r="P147" s="220"/>
      <c r="Q147" s="220"/>
      <c r="R147" s="220"/>
      <c r="S147" s="220"/>
      <c r="T147" s="220"/>
      <c r="U147" s="220"/>
      <c r="V147" s="220"/>
      <c r="W147" s="220"/>
    </row>
    <row r="148" ht="15.75" customHeight="1">
      <c r="A148" s="229" t="s">
        <v>1192</v>
      </c>
      <c r="B148" s="230"/>
      <c r="C148" s="231"/>
      <c r="D148" s="232"/>
      <c r="E148" s="231"/>
      <c r="F148" s="231"/>
      <c r="G148" s="233"/>
      <c r="H148" s="233"/>
      <c r="I148" s="258"/>
      <c r="J148" s="236"/>
      <c r="K148" s="237">
        <f t="shared" ref="K148:L148" si="17">SUBTOTAL(9,K149:K162)</f>
        <v>57.89144</v>
      </c>
      <c r="L148" s="237">
        <f t="shared" si="17"/>
        <v>3473.4864</v>
      </c>
      <c r="M148" s="220"/>
      <c r="N148" s="220"/>
      <c r="O148" s="220"/>
      <c r="P148" s="220"/>
      <c r="Q148" s="220"/>
      <c r="R148" s="220"/>
      <c r="S148" s="220"/>
      <c r="T148" s="220"/>
      <c r="U148" s="220"/>
      <c r="V148" s="220"/>
      <c r="W148" s="220"/>
    </row>
    <row r="149" ht="15.75" customHeight="1" outlineLevel="1">
      <c r="A149" s="213"/>
      <c r="B149" s="212" t="s">
        <v>0</v>
      </c>
      <c r="C149" s="213" t="s">
        <v>530</v>
      </c>
      <c r="D149" s="214" t="str">
        <f>IFERROR(VLOOKUP($C149,'PORTIFÓLIO'!C:V,2,0),"")</f>
        <v>AZOXISTROBINA + TEBUCONAZOL</v>
      </c>
      <c r="E149" s="211" t="str">
        <f>IFERROR(VLOOKUP($C149,'PORTIFÓLIO'!C:V,3,0),"")</f>
        <v>125 + 240</v>
      </c>
      <c r="F149" s="211" t="str">
        <f>IFERROR(VLOOKUP($C149,'PORTIFÓLIO'!C:V,4,0),"")</f>
        <v>L</v>
      </c>
      <c r="G149" s="225" t="str">
        <f>IFERROR(VLOOKUP($C149,'PORTIFÓLIO'!C:V,5,0),"")</f>
        <v>📄 Ver bula</v>
      </c>
      <c r="H149" s="254">
        <f t="array" ref="H149">IFERROR(INDEX('PORTIFÓLIO'!$H$4:$H$433,MATCH($C149,'PORTIFÓLIO'!$C$4:$C$433,0)),"")</f>
        <v>0.5</v>
      </c>
      <c r="I149" s="255">
        <v>0.5</v>
      </c>
      <c r="J149" s="218">
        <f t="shared" ref="J149:J163" si="18">I149*$B$2</f>
        <v>30</v>
      </c>
      <c r="K149" s="219">
        <f t="array" ref="K149">IFERROR(I149*INDEX('PORTIFÓLIO'!$S$4:$S$433,MATCH($C149,'PORTIFÓLIO'!$C$4:$C$433,0)),"")</f>
        <v>18.34128</v>
      </c>
      <c r="L149" s="219">
        <f t="array" ref="L149">IFERROR(J149*INDEX('PORTIFÓLIO'!$S$4:$S$433,MATCH($C149,'PORTIFÓLIO'!$C$4:$C$433,0)),"")</f>
        <v>1100.4768</v>
      </c>
      <c r="M149" s="220"/>
      <c r="N149" s="220"/>
      <c r="O149" s="220"/>
      <c r="P149" s="220"/>
      <c r="Q149" s="220"/>
      <c r="R149" s="220"/>
      <c r="S149" s="220"/>
      <c r="T149" s="220"/>
      <c r="U149" s="220"/>
      <c r="V149" s="220"/>
      <c r="W149" s="220"/>
    </row>
    <row r="150" ht="15.75" customHeight="1" outlineLevel="1">
      <c r="A150" s="211"/>
      <c r="B150" s="212" t="s">
        <v>0</v>
      </c>
      <c r="C150" s="213" t="s">
        <v>572</v>
      </c>
      <c r="D150" s="214" t="str">
        <f>IFERROR(VLOOKUP($C150,'PORTIFÓLIO'!C:V,2,0),"")</f>
        <v>CLOROTALONIL</v>
      </c>
      <c r="E150" s="211">
        <f>IFERROR(VLOOKUP($C150,'PORTIFÓLIO'!C:V,3,0),"")</f>
        <v>720</v>
      </c>
      <c r="F150" s="211" t="str">
        <f>IFERROR(VLOOKUP($C150,'PORTIFÓLIO'!C:V,4,0),"")</f>
        <v>KG</v>
      </c>
      <c r="G150" s="225" t="str">
        <f>IFERROR(VLOOKUP($C150,'PORTIFÓLIO'!C:V,5,0),"")</f>
        <v>📄 Ver bula</v>
      </c>
      <c r="H150" s="254">
        <f t="array" ref="H150">IFERROR(INDEX('PORTIFÓLIO'!$H$4:$H$433,MATCH($C150,'PORTIFÓLIO'!$C$4:$C$433,0)),"")</f>
        <v>1.5</v>
      </c>
      <c r="I150" s="255">
        <v>1.5</v>
      </c>
      <c r="J150" s="218">
        <f t="shared" si="18"/>
        <v>90</v>
      </c>
      <c r="K150" s="219">
        <f t="array" ref="K150">IFERROR(I150*INDEX('PORTIFÓLIO'!$S$4:$S$433,MATCH($C150,'PORTIFÓLIO'!$C$4:$C$433,0)),"")</f>
        <v>36.34416</v>
      </c>
      <c r="L150" s="219">
        <f t="array" ref="L150">IFERROR(J150*INDEX('PORTIFÓLIO'!$S$4:$S$433,MATCH($C150,'PORTIFÓLIO'!$C$4:$C$433,0)),"")</f>
        <v>2180.6496</v>
      </c>
      <c r="M150" s="220"/>
      <c r="N150" s="220"/>
      <c r="O150" s="220"/>
      <c r="P150" s="220"/>
      <c r="Q150" s="220"/>
      <c r="R150" s="220"/>
      <c r="S150" s="220"/>
      <c r="T150" s="220"/>
      <c r="U150" s="220"/>
      <c r="V150" s="220"/>
      <c r="W150" s="220"/>
    </row>
    <row r="151" ht="15.75" customHeight="1" outlineLevel="1">
      <c r="A151" s="211"/>
      <c r="B151" s="212" t="s">
        <v>6</v>
      </c>
      <c r="C151" s="213" t="s">
        <v>354</v>
      </c>
      <c r="D151" s="214" t="str">
        <f>IFERROR(VLOOKUP($C151,'PORTIFÓLIO'!C:V,2,0),"")</f>
        <v>OLEO MINERAL</v>
      </c>
      <c r="E151" s="211">
        <f>IFERROR(VLOOKUP($C151,'PORTIFÓLIO'!C:V,3,0),"")</f>
        <v>761</v>
      </c>
      <c r="F151" s="211" t="str">
        <f>IFERROR(VLOOKUP($C151,'PORTIFÓLIO'!C:V,4,0),"")</f>
        <v>L</v>
      </c>
      <c r="G151" s="225" t="str">
        <f>IFERROR(VLOOKUP($C151,'PORTIFÓLIO'!C:V,5,0),"")</f>
        <v>📄 Ver bula</v>
      </c>
      <c r="H151" s="254">
        <f t="array" ref="H151">IFERROR(INDEX('PORTIFÓLIO'!$H$4:$H$433,MATCH($C151,'PORTIFÓLIO'!$C$4:$C$433,0)),"")</f>
        <v>0.2</v>
      </c>
      <c r="I151" s="255">
        <v>0.2</v>
      </c>
      <c r="J151" s="218">
        <f t="shared" si="18"/>
        <v>12</v>
      </c>
      <c r="K151" s="219">
        <f t="array" ref="K151">IFERROR(I151*INDEX('PORTIFÓLIO'!$S$4:$S$433,MATCH($C151,'PORTIFÓLIO'!$C$4:$C$433,0)),"")</f>
        <v>3.206</v>
      </c>
      <c r="L151" s="219">
        <f t="array" ref="L151">IFERROR(J151*INDEX('PORTIFÓLIO'!$S$4:$S$433,MATCH($C151,'PORTIFÓLIO'!$C$4:$C$433,0)),"")</f>
        <v>192.36</v>
      </c>
      <c r="M151" s="220"/>
      <c r="N151" s="220"/>
      <c r="O151" s="220"/>
      <c r="P151" s="220"/>
      <c r="Q151" s="220"/>
      <c r="R151" s="220"/>
      <c r="S151" s="220"/>
      <c r="T151" s="220"/>
      <c r="U151" s="220"/>
      <c r="V151" s="220"/>
      <c r="W151" s="220"/>
    </row>
    <row r="152" ht="15.75" customHeight="1" outlineLevel="1">
      <c r="A152" s="211"/>
      <c r="B152" s="212"/>
      <c r="C152" s="213"/>
      <c r="D152" s="214" t="str">
        <f>IFERROR(VLOOKUP($C152,'PORTIFÓLIO'!C:V,2,0),"")</f>
        <v/>
      </c>
      <c r="E152" s="211" t="str">
        <f>IFERROR(VLOOKUP($C152,'PORTIFÓLIO'!C:V,3,0),"")</f>
        <v/>
      </c>
      <c r="F152" s="211" t="str">
        <f>IFERROR(VLOOKUP($C152,'PORTIFÓLIO'!C:V,4,0),"")</f>
        <v/>
      </c>
      <c r="G152" s="215" t="str">
        <f>IFERROR(VLOOKUP($C152,'PORTIFÓLIO'!C:V,5,0),"")</f>
        <v/>
      </c>
      <c r="H152" s="254" t="str">
        <f t="array" ref="H152">IFERROR(INDEX('PORTIFÓLIO'!$H$4:$H$433,MATCH($C152,'PORTIFÓLIO'!$C$4:$C$433,0)),"")</f>
        <v/>
      </c>
      <c r="I152" s="256"/>
      <c r="J152" s="218">
        <f t="shared" si="18"/>
        <v>0</v>
      </c>
      <c r="K152" s="219" t="str">
        <f t="array" ref="K152">IFERROR(I152*INDEX('PORTIFÓLIO'!$S$4:$S$433,MATCH($C152,'PORTIFÓLIO'!$C$4:$C$433,0)),"")</f>
        <v/>
      </c>
      <c r="L152" s="219" t="str">
        <f t="array" ref="L152">IFERROR(J152*INDEX('PORTIFÓLIO'!$S$4:$S$433,MATCH($C152,'PORTIFÓLIO'!$C$4:$C$433,0)),"")</f>
        <v/>
      </c>
      <c r="M152" s="220"/>
      <c r="N152" s="220"/>
      <c r="O152" s="220"/>
      <c r="P152" s="220"/>
      <c r="Q152" s="220"/>
      <c r="R152" s="220"/>
      <c r="S152" s="220"/>
      <c r="T152" s="220"/>
      <c r="U152" s="220"/>
      <c r="V152" s="220"/>
      <c r="W152" s="220"/>
    </row>
    <row r="153" ht="15.75" customHeight="1" outlineLevel="1">
      <c r="A153" s="211"/>
      <c r="B153" s="212"/>
      <c r="C153" s="213"/>
      <c r="D153" s="214" t="str">
        <f>IFERROR(VLOOKUP($C153,'PORTIFÓLIO'!C:V,2,0),"")</f>
        <v/>
      </c>
      <c r="E153" s="211" t="str">
        <f>IFERROR(VLOOKUP($C153,'PORTIFÓLIO'!C:V,3,0),"")</f>
        <v/>
      </c>
      <c r="F153" s="211" t="str">
        <f>IFERROR(VLOOKUP($C153,'PORTIFÓLIO'!C:V,4,0),"")</f>
        <v/>
      </c>
      <c r="G153" s="215" t="str">
        <f>IFERROR(VLOOKUP($C153,'PORTIFÓLIO'!C:V,5,0),"")</f>
        <v/>
      </c>
      <c r="H153" s="254" t="str">
        <f t="array" ref="H153">IFERROR(INDEX('PORTIFÓLIO'!$H$4:$H$433,MATCH($C153,'PORTIFÓLIO'!$C$4:$C$433,0)),"")</f>
        <v/>
      </c>
      <c r="I153" s="256"/>
      <c r="J153" s="218">
        <f t="shared" si="18"/>
        <v>0</v>
      </c>
      <c r="K153" s="219" t="str">
        <f t="array" ref="K153">IFERROR(I153*INDEX('PORTIFÓLIO'!$S$4:$S$433,MATCH($C153,'PORTIFÓLIO'!$C$4:$C$433,0)),"")</f>
        <v/>
      </c>
      <c r="L153" s="219" t="str">
        <f t="array" ref="L153">IFERROR(J153*INDEX('PORTIFÓLIO'!$S$4:$S$433,MATCH($C153,'PORTIFÓLIO'!$C$4:$C$433,0)),"")</f>
        <v/>
      </c>
      <c r="M153" s="220"/>
      <c r="N153" s="220"/>
      <c r="O153" s="220"/>
      <c r="P153" s="220"/>
      <c r="Q153" s="220"/>
      <c r="R153" s="220"/>
      <c r="S153" s="220"/>
      <c r="T153" s="220"/>
      <c r="U153" s="220"/>
      <c r="V153" s="220"/>
      <c r="W153" s="220"/>
    </row>
    <row r="154" ht="15.75" customHeight="1" outlineLevel="1">
      <c r="A154" s="211"/>
      <c r="B154" s="212"/>
      <c r="C154" s="213"/>
      <c r="D154" s="214" t="str">
        <f>IFERROR(VLOOKUP($C154,'PORTIFÓLIO'!C:V,2,0),"")</f>
        <v/>
      </c>
      <c r="E154" s="211" t="str">
        <f>IFERROR(VLOOKUP($C154,'PORTIFÓLIO'!C:V,3,0),"")</f>
        <v/>
      </c>
      <c r="F154" s="211" t="str">
        <f>IFERROR(VLOOKUP($C154,'PORTIFÓLIO'!C:V,4,0),"")</f>
        <v/>
      </c>
      <c r="G154" s="215" t="str">
        <f>IFERROR(VLOOKUP($C154,'PORTIFÓLIO'!C:V,5,0),"")</f>
        <v/>
      </c>
      <c r="H154" s="254" t="str">
        <f t="array" ref="H154">IFERROR(INDEX('PORTIFÓLIO'!$H$4:$H$433,MATCH($C154,'PORTIFÓLIO'!$C$4:$C$433,0)),"")</f>
        <v/>
      </c>
      <c r="I154" s="256"/>
      <c r="J154" s="218">
        <f t="shared" si="18"/>
        <v>0</v>
      </c>
      <c r="K154" s="219" t="str">
        <f t="array" ref="K154">IFERROR(I154*INDEX('PORTIFÓLIO'!$S$4:$S$433,MATCH($C154,'PORTIFÓLIO'!$C$4:$C$433,0)),"")</f>
        <v/>
      </c>
      <c r="L154" s="219" t="str">
        <f t="array" ref="L154">IFERROR(J154*INDEX('PORTIFÓLIO'!$S$4:$S$433,MATCH($C154,'PORTIFÓLIO'!$C$4:$C$433,0)),"")</f>
        <v/>
      </c>
      <c r="M154" s="220"/>
      <c r="N154" s="220"/>
      <c r="O154" s="220"/>
      <c r="P154" s="220"/>
      <c r="Q154" s="220"/>
      <c r="R154" s="220"/>
      <c r="S154" s="220"/>
      <c r="T154" s="220"/>
      <c r="U154" s="220"/>
      <c r="V154" s="220"/>
      <c r="W154" s="220"/>
    </row>
    <row r="155" ht="15.75" customHeight="1" outlineLevel="1">
      <c r="A155" s="211"/>
      <c r="B155" s="212"/>
      <c r="C155" s="213"/>
      <c r="D155" s="214" t="str">
        <f>IFERROR(VLOOKUP($C155,'PORTIFÓLIO'!C:V,2,0),"")</f>
        <v/>
      </c>
      <c r="E155" s="211" t="str">
        <f>IFERROR(VLOOKUP($C155,'PORTIFÓLIO'!C:V,3,0),"")</f>
        <v/>
      </c>
      <c r="F155" s="211" t="str">
        <f>IFERROR(VLOOKUP($C155,'PORTIFÓLIO'!C:V,4,0),"")</f>
        <v/>
      </c>
      <c r="G155" s="215" t="str">
        <f>IFERROR(VLOOKUP($C155,'PORTIFÓLIO'!C:V,5,0),"")</f>
        <v/>
      </c>
      <c r="H155" s="254" t="str">
        <f t="array" ref="H155">IFERROR(INDEX('PORTIFÓLIO'!$H$4:$H$433,MATCH($C155,'PORTIFÓLIO'!$C$4:$C$433,0)),"")</f>
        <v/>
      </c>
      <c r="I155" s="256"/>
      <c r="J155" s="218">
        <f t="shared" si="18"/>
        <v>0</v>
      </c>
      <c r="K155" s="219" t="str">
        <f t="array" ref="K155">IFERROR(I155*INDEX('PORTIFÓLIO'!$S$4:$S$433,MATCH($C155,'PORTIFÓLIO'!$C$4:$C$433,0)),"")</f>
        <v/>
      </c>
      <c r="L155" s="219" t="str">
        <f t="array" ref="L155">IFERROR(J155*INDEX('PORTIFÓLIO'!$S$4:$S$433,MATCH($C155,'PORTIFÓLIO'!$C$4:$C$433,0)),"")</f>
        <v/>
      </c>
      <c r="M155" s="220"/>
      <c r="N155" s="220"/>
      <c r="O155" s="220"/>
      <c r="P155" s="220"/>
      <c r="Q155" s="220"/>
      <c r="R155" s="220"/>
      <c r="S155" s="220"/>
      <c r="T155" s="220"/>
      <c r="U155" s="220"/>
      <c r="V155" s="220"/>
      <c r="W155" s="220"/>
    </row>
    <row r="156" ht="15.75" customHeight="1" outlineLevel="1">
      <c r="A156" s="211"/>
      <c r="B156" s="212"/>
      <c r="C156" s="213"/>
      <c r="D156" s="214" t="str">
        <f>IFERROR(VLOOKUP($C156,'PORTIFÓLIO'!C:V,2,0),"")</f>
        <v/>
      </c>
      <c r="E156" s="211" t="str">
        <f>IFERROR(VLOOKUP($C156,'PORTIFÓLIO'!C:V,3,0),"")</f>
        <v/>
      </c>
      <c r="F156" s="211" t="str">
        <f>IFERROR(VLOOKUP($C156,'PORTIFÓLIO'!C:V,4,0),"")</f>
        <v/>
      </c>
      <c r="G156" s="215" t="str">
        <f>IFERROR(VLOOKUP($C156,'PORTIFÓLIO'!C:V,5,0),"")</f>
        <v/>
      </c>
      <c r="H156" s="254" t="str">
        <f t="array" ref="H156">IFERROR(INDEX('PORTIFÓLIO'!$H$4:$H$433,MATCH($C156,'PORTIFÓLIO'!$C$4:$C$433,0)),"")</f>
        <v/>
      </c>
      <c r="I156" s="256"/>
      <c r="J156" s="218">
        <f t="shared" si="18"/>
        <v>0</v>
      </c>
      <c r="K156" s="219" t="str">
        <f t="array" ref="K156">IFERROR(I156*INDEX('PORTIFÓLIO'!$S$4:$S$433,MATCH($C156,'PORTIFÓLIO'!$C$4:$C$433,0)),"")</f>
        <v/>
      </c>
      <c r="L156" s="219" t="str">
        <f t="array" ref="L156">IFERROR(J156*INDEX('PORTIFÓLIO'!$S$4:$S$433,MATCH($C156,'PORTIFÓLIO'!$C$4:$C$433,0)),"")</f>
        <v/>
      </c>
      <c r="M156" s="220"/>
      <c r="N156" s="220"/>
      <c r="O156" s="220"/>
      <c r="P156" s="220"/>
      <c r="Q156" s="220"/>
      <c r="R156" s="220"/>
      <c r="S156" s="220"/>
      <c r="T156" s="220"/>
      <c r="U156" s="220"/>
      <c r="V156" s="220"/>
      <c r="W156" s="220"/>
    </row>
    <row r="157" ht="15.75" customHeight="1" outlineLevel="1">
      <c r="A157" s="211"/>
      <c r="B157" s="212"/>
      <c r="C157" s="213"/>
      <c r="D157" s="214" t="str">
        <f>IFERROR(VLOOKUP($C157,'PORTIFÓLIO'!C:V,2,0),"")</f>
        <v/>
      </c>
      <c r="E157" s="211" t="str">
        <f>IFERROR(VLOOKUP($C157,'PORTIFÓLIO'!C:V,3,0),"")</f>
        <v/>
      </c>
      <c r="F157" s="211" t="str">
        <f>IFERROR(VLOOKUP($C157,'PORTIFÓLIO'!C:V,4,0),"")</f>
        <v/>
      </c>
      <c r="G157" s="215" t="str">
        <f>IFERROR(VLOOKUP($C157,'PORTIFÓLIO'!C:V,5,0),"")</f>
        <v/>
      </c>
      <c r="H157" s="254" t="str">
        <f t="array" ref="H157">IFERROR(INDEX('PORTIFÓLIO'!$H$4:$H$433,MATCH($C157,'PORTIFÓLIO'!$C$4:$C$433,0)),"")</f>
        <v/>
      </c>
      <c r="I157" s="255"/>
      <c r="J157" s="218">
        <f t="shared" si="18"/>
        <v>0</v>
      </c>
      <c r="K157" s="219" t="str">
        <f t="array" ref="K157">IFERROR(I157*INDEX('PORTIFÓLIO'!$S$4:$S$433,MATCH($C157,'PORTIFÓLIO'!$C$4:$C$433,0)),"")</f>
        <v/>
      </c>
      <c r="L157" s="219" t="str">
        <f t="array" ref="L157">IFERROR(J157*INDEX('PORTIFÓLIO'!$S$4:$S$433,MATCH($C157,'PORTIFÓLIO'!$C$4:$C$433,0)),"")</f>
        <v/>
      </c>
      <c r="M157" s="220"/>
      <c r="N157" s="220"/>
      <c r="O157" s="220"/>
      <c r="P157" s="220"/>
      <c r="Q157" s="220"/>
      <c r="R157" s="220"/>
      <c r="S157" s="220"/>
      <c r="T157" s="220"/>
      <c r="U157" s="220"/>
      <c r="V157" s="220"/>
      <c r="W157" s="220"/>
    </row>
    <row r="158" ht="15.75" customHeight="1" outlineLevel="1">
      <c r="A158" s="211"/>
      <c r="B158" s="212"/>
      <c r="C158" s="213"/>
      <c r="D158" s="214" t="str">
        <f>IFERROR(VLOOKUP($C158,'PORTIFÓLIO'!C:V,2,0),"")</f>
        <v/>
      </c>
      <c r="E158" s="211" t="str">
        <f>IFERROR(VLOOKUP($C158,'PORTIFÓLIO'!C:V,3,0),"")</f>
        <v/>
      </c>
      <c r="F158" s="211" t="str">
        <f>IFERROR(VLOOKUP($C158,'PORTIFÓLIO'!C:V,4,0),"")</f>
        <v/>
      </c>
      <c r="G158" s="215" t="str">
        <f>IFERROR(VLOOKUP($C158,'PORTIFÓLIO'!C:V,5,0),"")</f>
        <v/>
      </c>
      <c r="H158" s="254" t="str">
        <f t="array" ref="H158">IFERROR(INDEX('PORTIFÓLIO'!$H$4:$H$433,MATCH($C158,'PORTIFÓLIO'!$C$4:$C$433,0)),"")</f>
        <v/>
      </c>
      <c r="I158" s="256"/>
      <c r="J158" s="218">
        <f t="shared" si="18"/>
        <v>0</v>
      </c>
      <c r="K158" s="219" t="str">
        <f t="array" ref="K158">IFERROR(I158*INDEX('PORTIFÓLIO'!$S$4:$S$433,MATCH($C158,'PORTIFÓLIO'!$C$4:$C$433,0)),"")</f>
        <v/>
      </c>
      <c r="L158" s="219" t="str">
        <f t="array" ref="L158">IFERROR(J158*INDEX('PORTIFÓLIO'!$S$4:$S$433,MATCH($C158,'PORTIFÓLIO'!$C$4:$C$433,0)),"")</f>
        <v/>
      </c>
      <c r="M158" s="220"/>
      <c r="N158" s="220"/>
      <c r="O158" s="220"/>
      <c r="P158" s="220"/>
      <c r="Q158" s="220"/>
      <c r="R158" s="220"/>
      <c r="S158" s="220"/>
      <c r="T158" s="220"/>
      <c r="U158" s="220"/>
      <c r="V158" s="220"/>
      <c r="W158" s="220"/>
    </row>
    <row r="159" ht="15.75" customHeight="1" outlineLevel="1">
      <c r="A159" s="211"/>
      <c r="B159" s="212"/>
      <c r="C159" s="213"/>
      <c r="D159" s="214" t="str">
        <f>IFERROR(VLOOKUP($C159,'PORTIFÓLIO'!C:V,2,0),"")</f>
        <v/>
      </c>
      <c r="E159" s="211" t="str">
        <f>IFERROR(VLOOKUP($C159,'PORTIFÓLIO'!C:V,3,0),"")</f>
        <v/>
      </c>
      <c r="F159" s="211" t="str">
        <f>IFERROR(VLOOKUP($C159,'PORTIFÓLIO'!C:V,4,0),"")</f>
        <v/>
      </c>
      <c r="G159" s="215" t="str">
        <f>IFERROR(VLOOKUP($C159,'PORTIFÓLIO'!C:V,5,0),"")</f>
        <v/>
      </c>
      <c r="H159" s="254" t="str">
        <f t="array" ref="H159">IFERROR(INDEX('PORTIFÓLIO'!$H$4:$H$433,MATCH($C159,'PORTIFÓLIO'!$C$4:$C$433,0)),"")</f>
        <v/>
      </c>
      <c r="I159" s="256"/>
      <c r="J159" s="218">
        <f t="shared" si="18"/>
        <v>0</v>
      </c>
      <c r="K159" s="219" t="str">
        <f t="array" ref="K159">IFERROR(I159*INDEX('PORTIFÓLIO'!$S$4:$S$433,MATCH($C159,'PORTIFÓLIO'!$C$4:$C$433,0)),"")</f>
        <v/>
      </c>
      <c r="L159" s="219" t="str">
        <f t="array" ref="L159">IFERROR(J159*INDEX('PORTIFÓLIO'!$S$4:$S$433,MATCH($C159,'PORTIFÓLIO'!$C$4:$C$433,0)),"")</f>
        <v/>
      </c>
      <c r="M159" s="220"/>
      <c r="N159" s="220"/>
      <c r="O159" s="220"/>
      <c r="P159" s="220"/>
      <c r="Q159" s="220"/>
      <c r="R159" s="220"/>
      <c r="S159" s="220"/>
      <c r="T159" s="220"/>
      <c r="U159" s="220"/>
      <c r="V159" s="220"/>
      <c r="W159" s="220"/>
    </row>
    <row r="160" ht="15.75" customHeight="1" outlineLevel="1">
      <c r="A160" s="211"/>
      <c r="B160" s="212"/>
      <c r="C160" s="213"/>
      <c r="D160" s="214" t="str">
        <f>IFERROR(VLOOKUP($C160,'PORTIFÓLIO'!C:V,2,0),"")</f>
        <v/>
      </c>
      <c r="E160" s="211" t="str">
        <f>IFERROR(VLOOKUP($C160,'PORTIFÓLIO'!C:V,3,0),"")</f>
        <v/>
      </c>
      <c r="F160" s="211" t="str">
        <f>IFERROR(VLOOKUP($C160,'PORTIFÓLIO'!C:V,4,0),"")</f>
        <v/>
      </c>
      <c r="G160" s="215" t="str">
        <f>IFERROR(VLOOKUP($C160,'PORTIFÓLIO'!C:V,5,0),"")</f>
        <v/>
      </c>
      <c r="H160" s="254" t="str">
        <f t="array" ref="H160">IFERROR(INDEX('PORTIFÓLIO'!$H$4:$H$433,MATCH($C160,'PORTIFÓLIO'!$C$4:$C$433,0)),"")</f>
        <v/>
      </c>
      <c r="I160" s="256"/>
      <c r="J160" s="218">
        <f t="shared" si="18"/>
        <v>0</v>
      </c>
      <c r="K160" s="219" t="str">
        <f t="array" ref="K160">IFERROR(I160*INDEX('PORTIFÓLIO'!$S$4:$S$433,MATCH($C160,'PORTIFÓLIO'!$C$4:$C$433,0)),"")</f>
        <v/>
      </c>
      <c r="L160" s="219" t="str">
        <f t="array" ref="L160">IFERROR(J160*INDEX('PORTIFÓLIO'!$S$4:$S$433,MATCH($C160,'PORTIFÓLIO'!$C$4:$C$433,0)),"")</f>
        <v/>
      </c>
      <c r="M160" s="220"/>
      <c r="N160" s="220"/>
      <c r="O160" s="220"/>
      <c r="P160" s="220"/>
      <c r="Q160" s="220"/>
      <c r="R160" s="220"/>
      <c r="S160" s="220"/>
      <c r="T160" s="220"/>
      <c r="U160" s="220"/>
      <c r="V160" s="220"/>
      <c r="W160" s="220"/>
    </row>
    <row r="161" ht="15.75" customHeight="1" outlineLevel="1">
      <c r="A161" s="211"/>
      <c r="B161" s="212"/>
      <c r="C161" s="213"/>
      <c r="D161" s="214" t="str">
        <f>IFERROR(VLOOKUP($C161,'PORTIFÓLIO'!C:V,2,0),"")</f>
        <v/>
      </c>
      <c r="E161" s="211" t="str">
        <f>IFERROR(VLOOKUP($C161,'PORTIFÓLIO'!C:V,3,0),"")</f>
        <v/>
      </c>
      <c r="F161" s="211" t="str">
        <f>IFERROR(VLOOKUP($C161,'PORTIFÓLIO'!C:V,4,0),"")</f>
        <v/>
      </c>
      <c r="G161" s="215" t="str">
        <f>IFERROR(VLOOKUP($C161,'PORTIFÓLIO'!C:V,5,0),"")</f>
        <v/>
      </c>
      <c r="H161" s="254" t="str">
        <f t="array" ref="H161">IFERROR(INDEX('PORTIFÓLIO'!$H$4:$H$433,MATCH($C161,'PORTIFÓLIO'!$C$4:$C$433,0)),"")</f>
        <v/>
      </c>
      <c r="I161" s="256"/>
      <c r="J161" s="218">
        <f t="shared" si="18"/>
        <v>0</v>
      </c>
      <c r="K161" s="219" t="str">
        <f t="array" ref="K161">IFERROR(I161*INDEX('PORTIFÓLIO'!$S$4:$S$433,MATCH($C161,'PORTIFÓLIO'!$C$4:$C$433,0)),"")</f>
        <v/>
      </c>
      <c r="L161" s="219" t="str">
        <f t="array" ref="L161">IFERROR(J161*INDEX('PORTIFÓLIO'!$S$4:$S$433,MATCH($C161,'PORTIFÓLIO'!$C$4:$C$433,0)),"")</f>
        <v/>
      </c>
      <c r="M161" s="220"/>
      <c r="N161" s="220"/>
      <c r="O161" s="220"/>
      <c r="P161" s="220"/>
      <c r="Q161" s="220"/>
      <c r="R161" s="220"/>
      <c r="S161" s="220"/>
      <c r="T161" s="220"/>
      <c r="U161" s="220"/>
      <c r="V161" s="220"/>
      <c r="W161" s="220"/>
    </row>
    <row r="162" ht="15.75" customHeight="1" outlineLevel="1">
      <c r="A162" s="211"/>
      <c r="B162" s="212"/>
      <c r="C162" s="213"/>
      <c r="D162" s="214" t="str">
        <f>IFERROR(VLOOKUP($C162,'PORTIFÓLIO'!C:V,2,0),"")</f>
        <v/>
      </c>
      <c r="E162" s="211" t="str">
        <f>IFERROR(VLOOKUP($C162,'PORTIFÓLIO'!C:V,3,0),"")</f>
        <v/>
      </c>
      <c r="F162" s="211" t="str">
        <f>IFERROR(VLOOKUP($C162,'PORTIFÓLIO'!C:V,4,0),"")</f>
        <v/>
      </c>
      <c r="G162" s="215" t="str">
        <f>IFERROR(VLOOKUP($C162,'PORTIFÓLIO'!C:V,5,0),"")</f>
        <v/>
      </c>
      <c r="H162" s="254" t="str">
        <f t="array" ref="H162">IFERROR(INDEX('PORTIFÓLIO'!$H$4:$H$433,MATCH($C162,'PORTIFÓLIO'!$C$4:$C$433,0)),"")</f>
        <v/>
      </c>
      <c r="I162" s="256"/>
      <c r="J162" s="218">
        <f t="shared" si="18"/>
        <v>0</v>
      </c>
      <c r="K162" s="219" t="str">
        <f t="array" ref="K162">IFERROR(I162*INDEX('PORTIFÓLIO'!$S$4:$S$433,MATCH($C162,'PORTIFÓLIO'!$C$4:$C$433,0)),"")</f>
        <v/>
      </c>
      <c r="L162" s="219" t="str">
        <f t="array" ref="L162">IFERROR(J162*INDEX('PORTIFÓLIO'!$S$4:$S$433,MATCH($C162,'PORTIFÓLIO'!$C$4:$C$433,0)),"")</f>
        <v/>
      </c>
      <c r="M162" s="220"/>
      <c r="N162" s="220"/>
      <c r="O162" s="220"/>
      <c r="P162" s="220"/>
      <c r="Q162" s="220"/>
      <c r="R162" s="220"/>
      <c r="S162" s="220"/>
      <c r="T162" s="220"/>
      <c r="U162" s="220"/>
      <c r="V162" s="220"/>
      <c r="W162" s="220"/>
    </row>
    <row r="163" ht="15.75" customHeight="1" outlineLevel="1">
      <c r="A163" s="211"/>
      <c r="B163" s="212"/>
      <c r="C163" s="213"/>
      <c r="D163" s="214" t="str">
        <f>IFERROR(VLOOKUP($C163,'PORTIFÓLIO'!C:V,2,0),"")</f>
        <v/>
      </c>
      <c r="E163" s="211" t="str">
        <f>IFERROR(VLOOKUP($C163,'PORTIFÓLIO'!C:V,3,0),"")</f>
        <v/>
      </c>
      <c r="F163" s="211" t="str">
        <f>IFERROR(VLOOKUP($C163,'PORTIFÓLIO'!C:V,4,0),"")</f>
        <v/>
      </c>
      <c r="G163" s="215" t="str">
        <f>IFERROR(VLOOKUP($C163,'PORTIFÓLIO'!C:V,5,0),"")</f>
        <v/>
      </c>
      <c r="H163" s="254" t="str">
        <f t="array" ref="H163">IFERROR(INDEX('PORTIFÓLIO'!$H$4:$H$433,MATCH($C163,'PORTIFÓLIO'!$C$4:$C$433,0)),"")</f>
        <v/>
      </c>
      <c r="I163" s="256"/>
      <c r="J163" s="218">
        <f t="shared" si="18"/>
        <v>0</v>
      </c>
      <c r="K163" s="219" t="str">
        <f t="array" ref="K163">IFERROR(I163*INDEX('PORTIFÓLIO'!$S$4:$S$433,MATCH($C163,'PORTIFÓLIO'!$C$4:$C$433,0)),"")</f>
        <v/>
      </c>
      <c r="L163" s="219" t="str">
        <f t="array" ref="L163">IFERROR(J163*INDEX('PORTIFÓLIO'!$S$4:$S$433,MATCH($C163,'PORTIFÓLIO'!$C$4:$C$433,0)),"")</f>
        <v/>
      </c>
      <c r="M163" s="220"/>
      <c r="N163" s="220"/>
      <c r="O163" s="220"/>
      <c r="P163" s="220"/>
      <c r="Q163" s="220"/>
      <c r="R163" s="220"/>
      <c r="S163" s="220"/>
      <c r="T163" s="220"/>
      <c r="U163" s="220"/>
      <c r="V163" s="220"/>
      <c r="W163" s="220"/>
    </row>
    <row r="164" ht="15.75" customHeight="1" outlineLevel="1">
      <c r="A164" s="211"/>
      <c r="B164" s="227"/>
      <c r="C164" s="211"/>
      <c r="D164" s="214" t="str">
        <f>IFERROR(VLOOKUP($C164,'PORTIFÓLIO'!C:V,2,0),"")</f>
        <v/>
      </c>
      <c r="E164" s="211" t="str">
        <f>IFERROR(VLOOKUP($C164,'PORTIFÓLIO'!C:V,3,0),"")</f>
        <v/>
      </c>
      <c r="F164" s="211" t="str">
        <f>IFERROR(VLOOKUP($C164,'PORTIFÓLIO'!C:V,4,0),"")</f>
        <v/>
      </c>
      <c r="G164" s="215" t="str">
        <f>IFERROR(VLOOKUP($C164,'PORTIFÓLIO'!C:V,5,0),"")</f>
        <v/>
      </c>
      <c r="H164" s="254" t="str">
        <f t="array" ref="H164">IFERROR(INDEX('PORTIFÓLIO'!$H$4:$H$433,MATCH($C164,'PORTIFÓLIO'!$C$4:$C$433,0)),"")</f>
        <v/>
      </c>
      <c r="I164" s="256"/>
      <c r="J164" s="218"/>
      <c r="K164" s="219" t="str">
        <f t="array" ref="K164">IFERROR(I164*INDEX('PORTIFÓLIO'!$S$4:$S$433,MATCH($C164,'PORTIFÓLIO'!$C$4:$C$433,0)),"")</f>
        <v/>
      </c>
      <c r="L164" s="219" t="str">
        <f t="array" ref="L164">IFERROR(J164*INDEX('PORTIFÓLIO'!$S$4:$S$433,MATCH($C164,'PORTIFÓLIO'!$C$4:$C$433,0)),"")</f>
        <v/>
      </c>
      <c r="M164" s="220"/>
      <c r="N164" s="220"/>
      <c r="O164" s="220"/>
      <c r="P164" s="220"/>
      <c r="Q164" s="220"/>
      <c r="R164" s="220"/>
      <c r="S164" s="220"/>
      <c r="T164" s="220"/>
      <c r="U164" s="220"/>
      <c r="V164" s="220"/>
      <c r="W164" s="220"/>
    </row>
    <row r="165" ht="15.75" customHeight="1">
      <c r="A165" s="229" t="s">
        <v>1193</v>
      </c>
      <c r="B165" s="230"/>
      <c r="C165" s="231"/>
      <c r="D165" s="232"/>
      <c r="E165" s="231"/>
      <c r="F165" s="231"/>
      <c r="G165" s="233"/>
      <c r="H165" s="233"/>
      <c r="I165" s="258"/>
      <c r="J165" s="236"/>
      <c r="K165" s="237">
        <f t="shared" ref="K165:L165" si="19">SUBTOTAL(9,K166:K179)</f>
        <v>50.69456</v>
      </c>
      <c r="L165" s="237">
        <f t="shared" si="19"/>
        <v>3041.6736</v>
      </c>
      <c r="M165" s="220"/>
      <c r="N165" s="220"/>
      <c r="O165" s="220"/>
      <c r="P165" s="220"/>
      <c r="Q165" s="220"/>
      <c r="R165" s="220"/>
      <c r="S165" s="220"/>
      <c r="T165" s="220"/>
      <c r="U165" s="220"/>
      <c r="V165" s="220"/>
      <c r="W165" s="220"/>
    </row>
    <row r="166" ht="15.75" customHeight="1" outlineLevel="1">
      <c r="A166" s="213"/>
      <c r="B166" s="212" t="s">
        <v>1</v>
      </c>
      <c r="C166" s="213" t="s">
        <v>742</v>
      </c>
      <c r="D166" s="214" t="str">
        <f>IFERROR(VLOOKUP($C166,'PORTIFÓLIO'!C:V,2,0),"")</f>
        <v>DIQUATE</v>
      </c>
      <c r="E166" s="211">
        <f>IFERROR(VLOOKUP($C166,'PORTIFÓLIO'!C:V,3,0),"")</f>
        <v>200</v>
      </c>
      <c r="F166" s="211" t="str">
        <f>IFERROR(VLOOKUP($C166,'PORTIFÓLIO'!C:V,4,0),"")</f>
        <v>L</v>
      </c>
      <c r="G166" s="225" t="str">
        <f>IFERROR(VLOOKUP($C166,'PORTIFÓLIO'!C:V,5,0),"")</f>
        <v>📄 Ver bula</v>
      </c>
      <c r="H166" s="254">
        <f t="array" ref="H166">IFERROR(INDEX('PORTIFÓLIO'!$H$4:$H$433,MATCH($C166,'PORTIFÓLIO'!$C$4:$C$433,0)),"")</f>
        <v>2</v>
      </c>
      <c r="I166" s="255">
        <v>2.0</v>
      </c>
      <c r="J166" s="218">
        <f t="shared" ref="J166:J181" si="20">I166*$B$2</f>
        <v>120</v>
      </c>
      <c r="K166" s="219">
        <f t="array" ref="K166">IFERROR(I166*INDEX('PORTIFÓLIO'!$S$4:$S$433,MATCH($C166,'PORTIFÓLIO'!$C$4:$C$433,0)),"")</f>
        <v>47.48856</v>
      </c>
      <c r="L166" s="219">
        <f t="array" ref="L166">IFERROR(J166*INDEX('PORTIFÓLIO'!$S$4:$S$433,MATCH($C166,'PORTIFÓLIO'!$C$4:$C$433,0)),"")</f>
        <v>2849.3136</v>
      </c>
      <c r="M166" s="220"/>
      <c r="N166" s="220"/>
      <c r="O166" s="220"/>
      <c r="P166" s="220"/>
      <c r="Q166" s="220"/>
      <c r="R166" s="220"/>
      <c r="S166" s="220"/>
      <c r="T166" s="220"/>
      <c r="U166" s="220"/>
      <c r="V166" s="220"/>
      <c r="W166" s="220"/>
    </row>
    <row r="167" ht="15.75" customHeight="1" outlineLevel="1">
      <c r="A167" s="211"/>
      <c r="B167" s="212" t="s">
        <v>6</v>
      </c>
      <c r="C167" s="213" t="s">
        <v>354</v>
      </c>
      <c r="D167" s="214" t="str">
        <f>IFERROR(VLOOKUP($C167,'PORTIFÓLIO'!C:V,2,0),"")</f>
        <v>OLEO MINERAL</v>
      </c>
      <c r="E167" s="211">
        <f>IFERROR(VLOOKUP($C167,'PORTIFÓLIO'!C:V,3,0),"")</f>
        <v>761</v>
      </c>
      <c r="F167" s="211" t="str">
        <f>IFERROR(VLOOKUP($C167,'PORTIFÓLIO'!C:V,4,0),"")</f>
        <v>L</v>
      </c>
      <c r="G167" s="225" t="str">
        <f>IFERROR(VLOOKUP($C167,'PORTIFÓLIO'!C:V,5,0),"")</f>
        <v>📄 Ver bula</v>
      </c>
      <c r="H167" s="254">
        <f t="array" ref="H167">IFERROR(INDEX('PORTIFÓLIO'!$H$4:$H$433,MATCH($C167,'PORTIFÓLIO'!$C$4:$C$433,0)),"")</f>
        <v>0.2</v>
      </c>
      <c r="I167" s="255">
        <v>0.2</v>
      </c>
      <c r="J167" s="218">
        <f t="shared" si="20"/>
        <v>12</v>
      </c>
      <c r="K167" s="219">
        <f t="array" ref="K167">IFERROR(I167*INDEX('PORTIFÓLIO'!$S$4:$S$433,MATCH($C167,'PORTIFÓLIO'!$C$4:$C$433,0)),"")</f>
        <v>3.206</v>
      </c>
      <c r="L167" s="219">
        <f t="array" ref="L167">IFERROR(J167*INDEX('PORTIFÓLIO'!$S$4:$S$433,MATCH($C167,'PORTIFÓLIO'!$C$4:$C$433,0)),"")</f>
        <v>192.36</v>
      </c>
      <c r="M167" s="220"/>
      <c r="N167" s="220"/>
      <c r="O167" s="220"/>
      <c r="P167" s="220"/>
      <c r="Q167" s="220"/>
      <c r="R167" s="220"/>
      <c r="S167" s="220"/>
      <c r="T167" s="220"/>
      <c r="U167" s="220"/>
      <c r="V167" s="220"/>
      <c r="W167" s="220"/>
    </row>
    <row r="168" ht="15.75" customHeight="1" outlineLevel="1">
      <c r="A168" s="211"/>
      <c r="B168" s="212"/>
      <c r="C168" s="213"/>
      <c r="D168" s="214" t="str">
        <f>IFERROR(VLOOKUP($C168,'PORTIFÓLIO'!C:V,2,0),"")</f>
        <v/>
      </c>
      <c r="E168" s="211" t="str">
        <f>IFERROR(VLOOKUP($C168,'PORTIFÓLIO'!C:V,3,0),"")</f>
        <v/>
      </c>
      <c r="F168" s="211" t="str">
        <f>IFERROR(VLOOKUP($C168,'PORTIFÓLIO'!C:V,4,0),"")</f>
        <v/>
      </c>
      <c r="G168" s="215" t="str">
        <f>IFERROR(VLOOKUP($C168,'PORTIFÓLIO'!C:V,5,0),"")</f>
        <v/>
      </c>
      <c r="H168" s="254" t="str">
        <f t="array" ref="H168">IFERROR(INDEX('PORTIFÓLIO'!$H$4:$H$433,MATCH($C168,'PORTIFÓLIO'!$C$4:$C$433,0)),"")</f>
        <v/>
      </c>
      <c r="I168" s="256"/>
      <c r="J168" s="218">
        <f t="shared" si="20"/>
        <v>0</v>
      </c>
      <c r="K168" s="219" t="str">
        <f t="array" ref="K168">IFERROR(I168*INDEX('PORTIFÓLIO'!$S$4:$S$433,MATCH($C168,'PORTIFÓLIO'!$C$4:$C$433,0)),"")</f>
        <v/>
      </c>
      <c r="L168" s="219" t="str">
        <f t="array" ref="L168">IFERROR(J168*INDEX('PORTIFÓLIO'!$S$4:$S$433,MATCH($C168,'PORTIFÓLIO'!$C$4:$C$433,0)),"")</f>
        <v/>
      </c>
      <c r="M168" s="220"/>
      <c r="N168" s="220"/>
      <c r="O168" s="220"/>
      <c r="P168" s="220"/>
      <c r="Q168" s="220"/>
      <c r="R168" s="220"/>
      <c r="S168" s="220"/>
      <c r="T168" s="220"/>
      <c r="U168" s="220"/>
      <c r="V168" s="220"/>
      <c r="W168" s="220"/>
    </row>
    <row r="169" ht="15.75" customHeight="1" outlineLevel="1">
      <c r="A169" s="211"/>
      <c r="B169" s="212"/>
      <c r="C169" s="213"/>
      <c r="D169" s="214" t="str">
        <f>IFERROR(VLOOKUP($C169,'PORTIFÓLIO'!C:V,2,0),"")</f>
        <v/>
      </c>
      <c r="E169" s="211" t="str">
        <f>IFERROR(VLOOKUP($C169,'PORTIFÓLIO'!C:V,3,0),"")</f>
        <v/>
      </c>
      <c r="F169" s="211" t="str">
        <f>IFERROR(VLOOKUP($C169,'PORTIFÓLIO'!C:V,4,0),"")</f>
        <v/>
      </c>
      <c r="G169" s="215" t="str">
        <f>IFERROR(VLOOKUP($C169,'PORTIFÓLIO'!C:V,5,0),"")</f>
        <v/>
      </c>
      <c r="H169" s="254" t="str">
        <f t="array" ref="H169">IFERROR(INDEX('PORTIFÓLIO'!$H$4:$H$433,MATCH($C169,'PORTIFÓLIO'!$C$4:$C$433,0)),"")</f>
        <v/>
      </c>
      <c r="I169" s="256"/>
      <c r="J169" s="218">
        <f t="shared" si="20"/>
        <v>0</v>
      </c>
      <c r="K169" s="219" t="str">
        <f t="array" ref="K169">IFERROR(I169*INDEX('PORTIFÓLIO'!$S$4:$S$433,MATCH($C169,'PORTIFÓLIO'!$C$4:$C$433,0)),"")</f>
        <v/>
      </c>
      <c r="L169" s="219" t="str">
        <f t="array" ref="L169">IFERROR(J169*INDEX('PORTIFÓLIO'!$S$4:$S$433,MATCH($C169,'PORTIFÓLIO'!$C$4:$C$433,0)),"")</f>
        <v/>
      </c>
      <c r="M169" s="220"/>
      <c r="N169" s="220"/>
      <c r="O169" s="220"/>
      <c r="P169" s="220"/>
      <c r="Q169" s="220"/>
      <c r="R169" s="220"/>
      <c r="S169" s="220"/>
      <c r="T169" s="220"/>
      <c r="U169" s="220"/>
      <c r="V169" s="220"/>
      <c r="W169" s="220"/>
    </row>
    <row r="170" ht="15.75" customHeight="1" outlineLevel="1">
      <c r="A170" s="211"/>
      <c r="B170" s="212"/>
      <c r="C170" s="213"/>
      <c r="D170" s="214" t="str">
        <f>IFERROR(VLOOKUP($C170,'PORTIFÓLIO'!C:V,2,0),"")</f>
        <v/>
      </c>
      <c r="E170" s="211" t="str">
        <f>IFERROR(VLOOKUP($C170,'PORTIFÓLIO'!C:V,3,0),"")</f>
        <v/>
      </c>
      <c r="F170" s="211" t="str">
        <f>IFERROR(VLOOKUP($C170,'PORTIFÓLIO'!C:V,4,0),"")</f>
        <v/>
      </c>
      <c r="G170" s="215" t="str">
        <f>IFERROR(VLOOKUP($C170,'PORTIFÓLIO'!C:V,5,0),"")</f>
        <v/>
      </c>
      <c r="H170" s="254" t="str">
        <f t="array" ref="H170">IFERROR(INDEX('PORTIFÓLIO'!$H$4:$H$433,MATCH($C170,'PORTIFÓLIO'!$C$4:$C$433,0)),"")</f>
        <v/>
      </c>
      <c r="I170" s="256"/>
      <c r="J170" s="218">
        <f t="shared" si="20"/>
        <v>0</v>
      </c>
      <c r="K170" s="219" t="str">
        <f t="array" ref="K170">IFERROR(I170*INDEX('PORTIFÓLIO'!$S$4:$S$433,MATCH($C170,'PORTIFÓLIO'!$C$4:$C$433,0)),"")</f>
        <v/>
      </c>
      <c r="L170" s="219" t="str">
        <f t="array" ref="L170">IFERROR(J170*INDEX('PORTIFÓLIO'!$S$4:$S$433,MATCH($C170,'PORTIFÓLIO'!$C$4:$C$433,0)),"")</f>
        <v/>
      </c>
      <c r="M170" s="220"/>
      <c r="N170" s="220"/>
      <c r="O170" s="220"/>
      <c r="P170" s="220"/>
      <c r="Q170" s="220"/>
      <c r="R170" s="220"/>
      <c r="S170" s="220"/>
      <c r="T170" s="220"/>
      <c r="U170" s="220"/>
      <c r="V170" s="220"/>
      <c r="W170" s="220"/>
    </row>
    <row r="171" ht="15.75" customHeight="1" outlineLevel="1">
      <c r="A171" s="211"/>
      <c r="B171" s="212"/>
      <c r="C171" s="213"/>
      <c r="D171" s="214" t="str">
        <f>IFERROR(VLOOKUP($C171,'PORTIFÓLIO'!C:V,2,0),"")</f>
        <v/>
      </c>
      <c r="E171" s="211" t="str">
        <f>IFERROR(VLOOKUP($C171,'PORTIFÓLIO'!C:V,3,0),"")</f>
        <v/>
      </c>
      <c r="F171" s="211" t="str">
        <f>IFERROR(VLOOKUP($C171,'PORTIFÓLIO'!C:V,4,0),"")</f>
        <v/>
      </c>
      <c r="G171" s="215" t="str">
        <f>IFERROR(VLOOKUP($C171,'PORTIFÓLIO'!C:V,5,0),"")</f>
        <v/>
      </c>
      <c r="H171" s="254" t="str">
        <f t="array" ref="H171">IFERROR(INDEX('PORTIFÓLIO'!$H$4:$H$433,MATCH($C171,'PORTIFÓLIO'!$C$4:$C$433,0)),"")</f>
        <v/>
      </c>
      <c r="I171" s="256"/>
      <c r="J171" s="218">
        <f t="shared" si="20"/>
        <v>0</v>
      </c>
      <c r="K171" s="219" t="str">
        <f t="array" ref="K171">IFERROR(I171*INDEX('PORTIFÓLIO'!$S$4:$S$433,MATCH($C171,'PORTIFÓLIO'!$C$4:$C$433,0)),"")</f>
        <v/>
      </c>
      <c r="L171" s="219" t="str">
        <f t="array" ref="L171">IFERROR(J171*INDEX('PORTIFÓLIO'!$S$4:$S$433,MATCH($C171,'PORTIFÓLIO'!$C$4:$C$433,0)),"")</f>
        <v/>
      </c>
      <c r="M171" s="220"/>
      <c r="N171" s="220"/>
      <c r="O171" s="220"/>
      <c r="P171" s="220"/>
      <c r="Q171" s="220"/>
      <c r="R171" s="220"/>
      <c r="S171" s="220"/>
      <c r="T171" s="220"/>
      <c r="U171" s="220"/>
      <c r="V171" s="220"/>
      <c r="W171" s="220"/>
    </row>
    <row r="172" ht="15.75" customHeight="1" outlineLevel="1">
      <c r="A172" s="211"/>
      <c r="B172" s="212"/>
      <c r="C172" s="213"/>
      <c r="D172" s="214" t="str">
        <f>IFERROR(VLOOKUP($C172,'PORTIFÓLIO'!C:V,2,0),"")</f>
        <v/>
      </c>
      <c r="E172" s="211" t="str">
        <f>IFERROR(VLOOKUP($C172,'PORTIFÓLIO'!C:V,3,0),"")</f>
        <v/>
      </c>
      <c r="F172" s="211" t="str">
        <f>IFERROR(VLOOKUP($C172,'PORTIFÓLIO'!C:V,4,0),"")</f>
        <v/>
      </c>
      <c r="G172" s="215" t="str">
        <f>IFERROR(VLOOKUP($C172,'PORTIFÓLIO'!C:V,5,0),"")</f>
        <v/>
      </c>
      <c r="H172" s="254" t="str">
        <f t="array" ref="H172">IFERROR(INDEX('PORTIFÓLIO'!$H$4:$H$433,MATCH($C172,'PORTIFÓLIO'!$C$4:$C$433,0)),"")</f>
        <v/>
      </c>
      <c r="I172" s="256"/>
      <c r="J172" s="218">
        <f t="shared" si="20"/>
        <v>0</v>
      </c>
      <c r="K172" s="219" t="str">
        <f t="array" ref="K172">IFERROR(I172*INDEX('PORTIFÓLIO'!$S$4:$S$433,MATCH($C172,'PORTIFÓLIO'!$C$4:$C$433,0)),"")</f>
        <v/>
      </c>
      <c r="L172" s="219" t="str">
        <f t="array" ref="L172">IFERROR(J172*INDEX('PORTIFÓLIO'!$S$4:$S$433,MATCH($C172,'PORTIFÓLIO'!$C$4:$C$433,0)),"")</f>
        <v/>
      </c>
      <c r="M172" s="220"/>
      <c r="N172" s="220"/>
      <c r="O172" s="220"/>
      <c r="P172" s="220"/>
      <c r="Q172" s="220"/>
      <c r="R172" s="220"/>
      <c r="S172" s="220"/>
      <c r="T172" s="220"/>
      <c r="U172" s="220"/>
      <c r="V172" s="220"/>
      <c r="W172" s="220"/>
    </row>
    <row r="173" ht="15.75" customHeight="1" outlineLevel="1">
      <c r="A173" s="211"/>
      <c r="B173" s="212"/>
      <c r="C173" s="213"/>
      <c r="D173" s="214" t="str">
        <f>IFERROR(VLOOKUP($C173,'PORTIFÓLIO'!C:V,2,0),"")</f>
        <v/>
      </c>
      <c r="E173" s="211" t="str">
        <f>IFERROR(VLOOKUP($C173,'PORTIFÓLIO'!C:V,3,0),"")</f>
        <v/>
      </c>
      <c r="F173" s="211" t="str">
        <f>IFERROR(VLOOKUP($C173,'PORTIFÓLIO'!C:V,4,0),"")</f>
        <v/>
      </c>
      <c r="G173" s="215" t="str">
        <f>IFERROR(VLOOKUP($C173,'PORTIFÓLIO'!C:V,5,0),"")</f>
        <v/>
      </c>
      <c r="H173" s="254" t="str">
        <f t="array" ref="H173">IFERROR(INDEX('PORTIFÓLIO'!$H$4:$H$433,MATCH($C173,'PORTIFÓLIO'!$C$4:$C$433,0)),"")</f>
        <v/>
      </c>
      <c r="I173" s="256"/>
      <c r="J173" s="218">
        <f t="shared" si="20"/>
        <v>0</v>
      </c>
      <c r="K173" s="219" t="str">
        <f t="array" ref="K173">IFERROR(I173*INDEX('PORTIFÓLIO'!$S$4:$S$433,MATCH($C173,'PORTIFÓLIO'!$C$4:$C$433,0)),"")</f>
        <v/>
      </c>
      <c r="L173" s="219" t="str">
        <f t="array" ref="L173">IFERROR(J173*INDEX('PORTIFÓLIO'!$S$4:$S$433,MATCH($C173,'PORTIFÓLIO'!$C$4:$C$433,0)),"")</f>
        <v/>
      </c>
      <c r="M173" s="220"/>
      <c r="N173" s="220"/>
      <c r="O173" s="220"/>
      <c r="P173" s="220"/>
      <c r="Q173" s="220"/>
      <c r="R173" s="220"/>
      <c r="S173" s="220"/>
      <c r="T173" s="220"/>
      <c r="U173" s="220"/>
      <c r="V173" s="220"/>
      <c r="W173" s="220"/>
    </row>
    <row r="174" ht="15.75" customHeight="1" outlineLevel="1">
      <c r="A174" s="211"/>
      <c r="B174" s="212"/>
      <c r="C174" s="213"/>
      <c r="D174" s="214" t="str">
        <f>IFERROR(VLOOKUP($C174,'PORTIFÓLIO'!C:V,2,0),"")</f>
        <v/>
      </c>
      <c r="E174" s="211" t="str">
        <f>IFERROR(VLOOKUP($C174,'PORTIFÓLIO'!C:V,3,0),"")</f>
        <v/>
      </c>
      <c r="F174" s="211" t="str">
        <f>IFERROR(VLOOKUP($C174,'PORTIFÓLIO'!C:V,4,0),"")</f>
        <v/>
      </c>
      <c r="G174" s="215" t="str">
        <f>IFERROR(VLOOKUP($C174,'PORTIFÓLIO'!C:V,5,0),"")</f>
        <v/>
      </c>
      <c r="H174" s="254" t="str">
        <f t="array" ref="H174">IFERROR(INDEX('PORTIFÓLIO'!$H$4:$H$433,MATCH($C174,'PORTIFÓLIO'!$C$4:$C$433,0)),"")</f>
        <v/>
      </c>
      <c r="I174" s="255"/>
      <c r="J174" s="218">
        <f t="shared" si="20"/>
        <v>0</v>
      </c>
      <c r="K174" s="219" t="str">
        <f t="array" ref="K174">IFERROR(I174*INDEX('PORTIFÓLIO'!$S$4:$S$433,MATCH($C174,'PORTIFÓLIO'!$C$4:$C$433,0)),"")</f>
        <v/>
      </c>
      <c r="L174" s="219" t="str">
        <f t="array" ref="L174">IFERROR(J174*INDEX('PORTIFÓLIO'!$S$4:$S$433,MATCH($C174,'PORTIFÓLIO'!$C$4:$C$433,0)),"")</f>
        <v/>
      </c>
      <c r="M174" s="220"/>
      <c r="N174" s="220"/>
      <c r="O174" s="220"/>
      <c r="P174" s="220"/>
      <c r="Q174" s="220"/>
      <c r="R174" s="220"/>
      <c r="S174" s="220"/>
      <c r="T174" s="220"/>
      <c r="U174" s="220"/>
      <c r="V174" s="220"/>
      <c r="W174" s="220"/>
    </row>
    <row r="175" ht="15.75" customHeight="1" outlineLevel="1">
      <c r="A175" s="211"/>
      <c r="B175" s="212"/>
      <c r="C175" s="213"/>
      <c r="D175" s="214" t="str">
        <f>IFERROR(VLOOKUP($C175,'PORTIFÓLIO'!C:V,2,0),"")</f>
        <v/>
      </c>
      <c r="E175" s="211" t="str">
        <f>IFERROR(VLOOKUP($C175,'PORTIFÓLIO'!C:V,3,0),"")</f>
        <v/>
      </c>
      <c r="F175" s="211" t="str">
        <f>IFERROR(VLOOKUP($C175,'PORTIFÓLIO'!C:V,4,0),"")</f>
        <v/>
      </c>
      <c r="G175" s="215" t="str">
        <f>IFERROR(VLOOKUP($C175,'PORTIFÓLIO'!C:V,5,0),"")</f>
        <v/>
      </c>
      <c r="H175" s="254" t="str">
        <f t="array" ref="H175">IFERROR(INDEX('PORTIFÓLIO'!$H$4:$H$433,MATCH($C175,'PORTIFÓLIO'!$C$4:$C$433,0)),"")</f>
        <v/>
      </c>
      <c r="I175" s="256"/>
      <c r="J175" s="218">
        <f t="shared" si="20"/>
        <v>0</v>
      </c>
      <c r="K175" s="219" t="str">
        <f t="array" ref="K175">IFERROR(I175*INDEX('PORTIFÓLIO'!$S$4:$S$433,MATCH($C175,'PORTIFÓLIO'!$C$4:$C$433,0)),"")</f>
        <v/>
      </c>
      <c r="L175" s="219" t="str">
        <f t="array" ref="L175">IFERROR(J175*INDEX('PORTIFÓLIO'!$S$4:$S$433,MATCH($C175,'PORTIFÓLIO'!$C$4:$C$433,0)),"")</f>
        <v/>
      </c>
      <c r="M175" s="220"/>
      <c r="N175" s="220"/>
      <c r="O175" s="220"/>
      <c r="P175" s="220"/>
      <c r="Q175" s="220"/>
      <c r="R175" s="220"/>
      <c r="S175" s="220"/>
      <c r="T175" s="220"/>
      <c r="U175" s="220"/>
      <c r="V175" s="220"/>
      <c r="W175" s="220"/>
    </row>
    <row r="176" ht="15.75" customHeight="1" outlineLevel="1">
      <c r="A176" s="211"/>
      <c r="B176" s="212"/>
      <c r="C176" s="213"/>
      <c r="D176" s="214" t="str">
        <f>IFERROR(VLOOKUP($C176,'PORTIFÓLIO'!C:V,2,0),"")</f>
        <v/>
      </c>
      <c r="E176" s="211" t="str">
        <f>IFERROR(VLOOKUP($C176,'PORTIFÓLIO'!C:V,3,0),"")</f>
        <v/>
      </c>
      <c r="F176" s="211" t="str">
        <f>IFERROR(VLOOKUP($C176,'PORTIFÓLIO'!C:V,4,0),"")</f>
        <v/>
      </c>
      <c r="G176" s="215" t="str">
        <f>IFERROR(VLOOKUP($C176,'PORTIFÓLIO'!C:V,5,0),"")</f>
        <v/>
      </c>
      <c r="H176" s="254" t="str">
        <f t="array" ref="H176">IFERROR(INDEX('PORTIFÓLIO'!$H$4:$H$433,MATCH($C176,'PORTIFÓLIO'!$C$4:$C$433,0)),"")</f>
        <v/>
      </c>
      <c r="I176" s="256"/>
      <c r="J176" s="218">
        <f t="shared" si="20"/>
        <v>0</v>
      </c>
      <c r="K176" s="219" t="str">
        <f t="array" ref="K176">IFERROR(I176*INDEX('PORTIFÓLIO'!$S$4:$S$433,MATCH($C176,'PORTIFÓLIO'!$C$4:$C$433,0)),"")</f>
        <v/>
      </c>
      <c r="L176" s="219" t="str">
        <f t="array" ref="L176">IFERROR(J176*INDEX('PORTIFÓLIO'!$S$4:$S$433,MATCH($C176,'PORTIFÓLIO'!$C$4:$C$433,0)),"")</f>
        <v/>
      </c>
      <c r="M176" s="220"/>
      <c r="N176" s="220"/>
      <c r="O176" s="220"/>
      <c r="P176" s="220"/>
      <c r="Q176" s="220"/>
      <c r="R176" s="220"/>
      <c r="S176" s="220"/>
      <c r="T176" s="220"/>
      <c r="U176" s="220"/>
      <c r="V176" s="220"/>
      <c r="W176" s="220"/>
    </row>
    <row r="177" ht="15.75" customHeight="1" outlineLevel="1">
      <c r="A177" s="211"/>
      <c r="B177" s="212"/>
      <c r="C177" s="213"/>
      <c r="D177" s="214" t="str">
        <f>IFERROR(VLOOKUP($C177,'PORTIFÓLIO'!C:V,2,0),"")</f>
        <v/>
      </c>
      <c r="E177" s="211" t="str">
        <f>IFERROR(VLOOKUP($C177,'PORTIFÓLIO'!C:V,3,0),"")</f>
        <v/>
      </c>
      <c r="F177" s="211" t="str">
        <f>IFERROR(VLOOKUP($C177,'PORTIFÓLIO'!C:V,4,0),"")</f>
        <v/>
      </c>
      <c r="G177" s="215" t="str">
        <f>IFERROR(VLOOKUP($C177,'PORTIFÓLIO'!C:V,5,0),"")</f>
        <v/>
      </c>
      <c r="H177" s="254" t="str">
        <f t="array" ref="H177">IFERROR(INDEX('PORTIFÓLIO'!$H$4:$H$433,MATCH($C177,'PORTIFÓLIO'!$C$4:$C$433,0)),"")</f>
        <v/>
      </c>
      <c r="I177" s="256"/>
      <c r="J177" s="218">
        <f t="shared" si="20"/>
        <v>0</v>
      </c>
      <c r="K177" s="219" t="str">
        <f t="array" ref="K177">IFERROR(I177*INDEX('PORTIFÓLIO'!$S$4:$S$433,MATCH($C177,'PORTIFÓLIO'!$C$4:$C$433,0)),"")</f>
        <v/>
      </c>
      <c r="L177" s="219" t="str">
        <f t="array" ref="L177">IFERROR(J177*INDEX('PORTIFÓLIO'!$S$4:$S$433,MATCH($C177,'PORTIFÓLIO'!$C$4:$C$433,0)),"")</f>
        <v/>
      </c>
      <c r="M177" s="220"/>
      <c r="N177" s="220"/>
      <c r="O177" s="220"/>
      <c r="P177" s="220"/>
      <c r="Q177" s="220"/>
      <c r="R177" s="220"/>
      <c r="S177" s="220"/>
      <c r="T177" s="220"/>
      <c r="U177" s="220"/>
      <c r="V177" s="220"/>
      <c r="W177" s="220"/>
    </row>
    <row r="178" ht="15.75" customHeight="1" outlineLevel="1">
      <c r="A178" s="211"/>
      <c r="B178" s="212"/>
      <c r="C178" s="213"/>
      <c r="D178" s="214" t="str">
        <f>IFERROR(VLOOKUP($C178,'PORTIFÓLIO'!C:V,2,0),"")</f>
        <v/>
      </c>
      <c r="E178" s="211" t="str">
        <f>IFERROR(VLOOKUP($C178,'PORTIFÓLIO'!C:V,3,0),"")</f>
        <v/>
      </c>
      <c r="F178" s="211" t="str">
        <f>IFERROR(VLOOKUP($C178,'PORTIFÓLIO'!C:V,4,0),"")</f>
        <v/>
      </c>
      <c r="G178" s="215" t="str">
        <f>IFERROR(VLOOKUP($C178,'PORTIFÓLIO'!C:V,5,0),"")</f>
        <v/>
      </c>
      <c r="H178" s="254" t="str">
        <f t="array" ref="H178">IFERROR(INDEX('PORTIFÓLIO'!$H$4:$H$433,MATCH($C178,'PORTIFÓLIO'!$C$4:$C$433,0)),"")</f>
        <v/>
      </c>
      <c r="I178" s="256"/>
      <c r="J178" s="218">
        <f t="shared" si="20"/>
        <v>0</v>
      </c>
      <c r="K178" s="219" t="str">
        <f t="array" ref="K178">IFERROR(I178*INDEX('PORTIFÓLIO'!$S$4:$S$433,MATCH($C178,'PORTIFÓLIO'!$C$4:$C$433,0)),"")</f>
        <v/>
      </c>
      <c r="L178" s="219" t="str">
        <f t="array" ref="L178">IFERROR(J178*INDEX('PORTIFÓLIO'!$S$4:$S$433,MATCH($C178,'PORTIFÓLIO'!$C$4:$C$433,0)),"")</f>
        <v/>
      </c>
      <c r="M178" s="220"/>
      <c r="N178" s="220"/>
      <c r="O178" s="220"/>
      <c r="P178" s="220"/>
      <c r="Q178" s="220"/>
      <c r="R178" s="220"/>
      <c r="S178" s="220"/>
      <c r="T178" s="220"/>
      <c r="U178" s="220"/>
      <c r="V178" s="220"/>
      <c r="W178" s="220"/>
    </row>
    <row r="179" ht="15.75" customHeight="1" outlineLevel="1">
      <c r="A179" s="211"/>
      <c r="B179" s="212"/>
      <c r="C179" s="213"/>
      <c r="D179" s="214" t="str">
        <f>IFERROR(VLOOKUP($C179,'PORTIFÓLIO'!C:V,2,0),"")</f>
        <v/>
      </c>
      <c r="E179" s="211" t="str">
        <f>IFERROR(VLOOKUP($C179,'PORTIFÓLIO'!C:V,3,0),"")</f>
        <v/>
      </c>
      <c r="F179" s="211" t="str">
        <f>IFERROR(VLOOKUP($C179,'PORTIFÓLIO'!C:V,4,0),"")</f>
        <v/>
      </c>
      <c r="G179" s="215" t="str">
        <f>IFERROR(VLOOKUP($C179,'PORTIFÓLIO'!C:V,5,0),"")</f>
        <v/>
      </c>
      <c r="H179" s="254" t="str">
        <f t="array" ref="H179">IFERROR(INDEX('PORTIFÓLIO'!$H$4:$H$433,MATCH($C179,'PORTIFÓLIO'!$C$4:$C$433,0)),"")</f>
        <v/>
      </c>
      <c r="I179" s="256"/>
      <c r="J179" s="218">
        <f t="shared" si="20"/>
        <v>0</v>
      </c>
      <c r="K179" s="219" t="str">
        <f t="array" ref="K179">IFERROR(I179*INDEX('PORTIFÓLIO'!$S$4:$S$433,MATCH($C179,'PORTIFÓLIO'!$C$4:$C$433,0)),"")</f>
        <v/>
      </c>
      <c r="L179" s="219" t="str">
        <f t="array" ref="L179">IFERROR(J179*INDEX('PORTIFÓLIO'!$S$4:$S$433,MATCH($C179,'PORTIFÓLIO'!$C$4:$C$433,0)),"")</f>
        <v/>
      </c>
      <c r="M179" s="220"/>
      <c r="N179" s="220"/>
      <c r="O179" s="220"/>
      <c r="P179" s="220"/>
      <c r="Q179" s="220"/>
      <c r="R179" s="220"/>
      <c r="S179" s="220"/>
      <c r="T179" s="220"/>
      <c r="U179" s="220"/>
      <c r="V179" s="220"/>
      <c r="W179" s="220"/>
    </row>
    <row r="180" ht="15.75" customHeight="1" outlineLevel="1">
      <c r="A180" s="211"/>
      <c r="B180" s="212"/>
      <c r="C180" s="213"/>
      <c r="D180" s="214" t="str">
        <f>IFERROR(VLOOKUP($C180,'PORTIFÓLIO'!C:V,2,0),"")</f>
        <v/>
      </c>
      <c r="E180" s="211" t="str">
        <f>IFERROR(VLOOKUP($C180,'PORTIFÓLIO'!C:V,3,0),"")</f>
        <v/>
      </c>
      <c r="F180" s="211" t="str">
        <f>IFERROR(VLOOKUP($C180,'PORTIFÓLIO'!C:V,4,0),"")</f>
        <v/>
      </c>
      <c r="G180" s="215" t="str">
        <f>IFERROR(VLOOKUP($C180,'PORTIFÓLIO'!C:V,5,0),"")</f>
        <v/>
      </c>
      <c r="H180" s="254" t="str">
        <f t="array" ref="H180">IFERROR(INDEX('PORTIFÓLIO'!$H$4:$H$433,MATCH($C180,'PORTIFÓLIO'!$C$4:$C$433,0)),"")</f>
        <v/>
      </c>
      <c r="I180" s="256"/>
      <c r="J180" s="218">
        <f t="shared" si="20"/>
        <v>0</v>
      </c>
      <c r="K180" s="219" t="str">
        <f t="array" ref="K180">IFERROR(I180*INDEX('PORTIFÓLIO'!$S$4:$S$433,MATCH($C180,'PORTIFÓLIO'!$C$4:$C$433,0)),"")</f>
        <v/>
      </c>
      <c r="L180" s="219" t="str">
        <f t="array" ref="L180">IFERROR(J180*INDEX('PORTIFÓLIO'!$S$4:$S$433,MATCH($C180,'PORTIFÓLIO'!$C$4:$C$433,0)),"")</f>
        <v/>
      </c>
      <c r="M180" s="220"/>
      <c r="N180" s="220"/>
      <c r="O180" s="220"/>
      <c r="P180" s="220"/>
      <c r="Q180" s="220"/>
      <c r="R180" s="220"/>
      <c r="S180" s="220"/>
      <c r="T180" s="220"/>
      <c r="U180" s="220"/>
      <c r="V180" s="220"/>
      <c r="W180" s="220"/>
    </row>
    <row r="181" ht="15.75" customHeight="1" outlineLevel="1">
      <c r="A181" s="211"/>
      <c r="B181" s="227"/>
      <c r="C181" s="211"/>
      <c r="D181" s="214" t="str">
        <f>IFERROR(VLOOKUP($C181,'PORTIFÓLIO'!C:V,2,0),"")</f>
        <v/>
      </c>
      <c r="E181" s="211" t="str">
        <f>IFERROR(VLOOKUP($C181,'PORTIFÓLIO'!C:V,3,0),"")</f>
        <v/>
      </c>
      <c r="F181" s="211" t="str">
        <f>IFERROR(VLOOKUP($C181,'PORTIFÓLIO'!C:V,4,0),"")</f>
        <v/>
      </c>
      <c r="G181" s="215" t="str">
        <f>IFERROR(VLOOKUP($C181,'PORTIFÓLIO'!C:V,5,0),"")</f>
        <v/>
      </c>
      <c r="H181" s="254" t="str">
        <f t="array" ref="H181">IFERROR(INDEX('PORTIFÓLIO'!$H$4:$H$433,MATCH($C181,'PORTIFÓLIO'!$C$4:$C$433,0)),"")</f>
        <v/>
      </c>
      <c r="I181" s="256"/>
      <c r="J181" s="218">
        <f t="shared" si="20"/>
        <v>0</v>
      </c>
      <c r="K181" s="219" t="str">
        <f t="array" ref="K181">IFERROR(I181*INDEX('PORTIFÓLIO'!$S$4:$S$433,MATCH($C181,'PORTIFÓLIO'!$C$4:$C$433,0)),"")</f>
        <v/>
      </c>
      <c r="L181" s="219" t="str">
        <f t="array" ref="L181">IFERROR(J181*INDEX('PORTIFÓLIO'!$S$4:$S$433,MATCH($C181,'PORTIFÓLIO'!$C$4:$C$433,0)),"")</f>
        <v/>
      </c>
      <c r="M181" s="220"/>
      <c r="N181" s="220"/>
      <c r="O181" s="220"/>
      <c r="P181" s="220"/>
      <c r="Q181" s="220"/>
      <c r="R181" s="220"/>
      <c r="S181" s="220"/>
      <c r="T181" s="220"/>
      <c r="U181" s="220"/>
      <c r="V181" s="220"/>
      <c r="W181" s="220"/>
    </row>
    <row r="182" ht="15.75" customHeight="1">
      <c r="A182" s="229" t="s">
        <v>1194</v>
      </c>
      <c r="B182" s="230"/>
      <c r="C182" s="231"/>
      <c r="D182" s="232"/>
      <c r="E182" s="231"/>
      <c r="F182" s="231"/>
      <c r="G182" s="233"/>
      <c r="H182" s="233"/>
      <c r="I182" s="258"/>
      <c r="J182" s="236"/>
      <c r="K182" s="237">
        <f t="shared" ref="K182:L182" si="21">SUBTOTAL(9,K183:K196)</f>
        <v>339.9254902</v>
      </c>
      <c r="L182" s="237">
        <f t="shared" si="21"/>
        <v>20395.52941</v>
      </c>
      <c r="M182" s="220"/>
      <c r="N182" s="220"/>
      <c r="O182" s="220"/>
      <c r="P182" s="220"/>
      <c r="Q182" s="220"/>
      <c r="R182" s="220"/>
      <c r="S182" s="220"/>
      <c r="T182" s="220"/>
      <c r="U182" s="220"/>
      <c r="V182" s="220"/>
      <c r="W182" s="220"/>
    </row>
    <row r="183" ht="15.75" customHeight="1" outlineLevel="1">
      <c r="A183" s="213"/>
      <c r="B183" s="212" t="s">
        <v>10</v>
      </c>
      <c r="C183" s="213" t="s">
        <v>1195</v>
      </c>
      <c r="D183" s="214" t="str">
        <f>IFERROR(VLOOKUP($C183,'PORTIFÓLIO'!C:V,2,0),"")</f>
        <v/>
      </c>
      <c r="E183" s="211" t="str">
        <f>IFERROR(VLOOKUP($C183,'PORTIFÓLIO'!C:V,3,0),"")</f>
        <v/>
      </c>
      <c r="F183" s="211" t="str">
        <f>IFERROR(VLOOKUP($C183,'PORTIFÓLIO'!C:V,4,0),"")</f>
        <v>R$/Ha</v>
      </c>
      <c r="G183" s="215">
        <f t="array" ref="G183">IFERROR(INDEX('PORTIFÓLIO'!$H$4:$H$433,MATCH($C183,'PORTIFÓLIO'!$C$4:$C$433,0)),"")</f>
        <v>0.3267973856</v>
      </c>
      <c r="H183" s="254">
        <f t="array" ref="H183">IFERROR(INDEX('PORTIFÓLIO'!$H$4:$H$433,MATCH($C183,'PORTIFÓLIO'!$C$4:$C$433,0)),"")</f>
        <v>0.3267973856</v>
      </c>
      <c r="I183" s="255">
        <v>0.32</v>
      </c>
      <c r="J183" s="218">
        <f t="shared" ref="J183:J199" si="22">I183*$B$2</f>
        <v>19.2</v>
      </c>
      <c r="K183" s="219">
        <f t="array" ref="K183">IFERROR(I183*INDEX('PORTIFÓLIO'!$S$4:$S$433,MATCH($C183,'PORTIFÓLIO'!$C$4:$C$433,0)),"")</f>
        <v>36</v>
      </c>
      <c r="L183" s="219">
        <f t="array" ref="L183">IFERROR(J183*INDEX('PORTIFÓLIO'!$S$4:$S$433,MATCH($C183,'PORTIFÓLIO'!$C$4:$C$433,0)),"")</f>
        <v>2160</v>
      </c>
      <c r="M183" s="220"/>
      <c r="N183" s="220"/>
      <c r="O183" s="220"/>
      <c r="P183" s="220"/>
      <c r="Q183" s="220"/>
      <c r="R183" s="220"/>
      <c r="S183" s="220"/>
      <c r="T183" s="220"/>
      <c r="U183" s="220"/>
      <c r="V183" s="220"/>
      <c r="W183" s="220"/>
    </row>
    <row r="184" ht="15.75" customHeight="1" outlineLevel="1">
      <c r="A184" s="211"/>
      <c r="B184" s="212" t="s">
        <v>10</v>
      </c>
      <c r="C184" s="213" t="s">
        <v>1196</v>
      </c>
      <c r="D184" s="214" t="str">
        <f>IFERROR(VLOOKUP($C184,'PORTIFÓLIO'!C:V,2,0),"")</f>
        <v/>
      </c>
      <c r="E184" s="211" t="str">
        <f>IFERROR(VLOOKUP($C184,'PORTIFÓLIO'!C:V,3,0),"")</f>
        <v/>
      </c>
      <c r="F184" s="211" t="str">
        <f>IFERROR(VLOOKUP($C184,'PORTIFÓLIO'!C:V,4,0),"")</f>
        <v>R$/Ha</v>
      </c>
      <c r="G184" s="215">
        <f t="array" ref="G184">IFERROR(INDEX('PORTIFÓLIO'!$H$4:$H$433,MATCH($C184,'PORTIFÓLIO'!$C$4:$C$433,0)),"")</f>
        <v>0.04901960784</v>
      </c>
      <c r="H184" s="254">
        <f t="array" ref="H184">IFERROR(INDEX('PORTIFÓLIO'!$H$4:$H$433,MATCH($C184,'PORTIFÓLIO'!$C$4:$C$433,0)),"")</f>
        <v>0.04901960784</v>
      </c>
      <c r="I184" s="256">
        <f>G184*4</f>
        <v>0.1960784314</v>
      </c>
      <c r="J184" s="218">
        <f t="shared" si="22"/>
        <v>11.76470588</v>
      </c>
      <c r="K184" s="219">
        <f t="array" ref="K184">IFERROR(I184*INDEX('PORTIFÓLIO'!$S$4:$S$433,MATCH($C184,'PORTIFÓLIO'!$C$4:$C$433,0)),"")</f>
        <v>22.05882353</v>
      </c>
      <c r="L184" s="219">
        <f t="array" ref="L184">IFERROR(J184*INDEX('PORTIFÓLIO'!$S$4:$S$433,MATCH($C184,'PORTIFÓLIO'!$C$4:$C$433,0)),"")</f>
        <v>1323.529412</v>
      </c>
      <c r="M184" s="220"/>
      <c r="N184" s="220"/>
      <c r="O184" s="220"/>
      <c r="P184" s="220"/>
      <c r="Q184" s="220"/>
      <c r="R184" s="220"/>
      <c r="S184" s="220"/>
      <c r="T184" s="220"/>
      <c r="U184" s="220"/>
      <c r="V184" s="220"/>
      <c r="W184" s="220"/>
    </row>
    <row r="185" ht="15.75" customHeight="1" outlineLevel="1">
      <c r="A185" s="211"/>
      <c r="B185" s="212" t="s">
        <v>10</v>
      </c>
      <c r="C185" s="213" t="s">
        <v>1197</v>
      </c>
      <c r="D185" s="214" t="str">
        <f>IFERROR(VLOOKUP($C185,'PORTIFÓLIO'!C:V,2,0),"")</f>
        <v/>
      </c>
      <c r="E185" s="211" t="str">
        <f>IFERROR(VLOOKUP($C185,'PORTIFÓLIO'!C:V,3,0),"")</f>
        <v/>
      </c>
      <c r="F185" s="211" t="str">
        <f>IFERROR(VLOOKUP($C185,'PORTIFÓLIO'!C:V,4,0),"")</f>
        <v>R$/Ha</v>
      </c>
      <c r="G185" s="215">
        <f t="array" ref="G185">IFERROR(INDEX('PORTIFÓLIO'!$H$4:$H$433,MATCH($C185,'PORTIFÓLIO'!$C$4:$C$433,0)),"")</f>
        <v>0.01960784314</v>
      </c>
      <c r="H185" s="254">
        <f t="array" ref="H185">IFERROR(INDEX('PORTIFÓLIO'!$H$4:$H$433,MATCH($C185,'PORTIFÓLIO'!$C$4:$C$433,0)),"")</f>
        <v>0.01960784314</v>
      </c>
      <c r="I185" s="256">
        <f>G185*3</f>
        <v>0.05882352941</v>
      </c>
      <c r="J185" s="218">
        <f t="shared" si="22"/>
        <v>3.529411765</v>
      </c>
      <c r="K185" s="219">
        <f t="array" ref="K185">IFERROR(I185*INDEX('PORTIFÓLIO'!$S$4:$S$433,MATCH($C185,'PORTIFÓLIO'!$C$4:$C$433,0)),"")</f>
        <v>7.5</v>
      </c>
      <c r="L185" s="219">
        <f t="array" ref="L185">IFERROR(J185*INDEX('PORTIFÓLIO'!$S$4:$S$433,MATCH($C185,'PORTIFÓLIO'!$C$4:$C$433,0)),"")</f>
        <v>450</v>
      </c>
      <c r="M185" s="220"/>
      <c r="N185" s="220"/>
      <c r="O185" s="220"/>
      <c r="P185" s="220"/>
      <c r="Q185" s="220"/>
      <c r="R185" s="220"/>
      <c r="S185" s="220"/>
      <c r="T185" s="220"/>
      <c r="U185" s="220"/>
      <c r="V185" s="220"/>
      <c r="W185" s="220"/>
    </row>
    <row r="186" ht="15.75" customHeight="1" outlineLevel="1">
      <c r="A186" s="211"/>
      <c r="B186" s="212" t="s">
        <v>10</v>
      </c>
      <c r="C186" s="213" t="s">
        <v>1198</v>
      </c>
      <c r="D186" s="214" t="str">
        <f>IFERROR(VLOOKUP($C186,'PORTIFÓLIO'!C:V,2,0),"")</f>
        <v/>
      </c>
      <c r="E186" s="211" t="str">
        <f>IFERROR(VLOOKUP($C186,'PORTIFÓLIO'!C:V,3,0),"")</f>
        <v/>
      </c>
      <c r="F186" s="211" t="str">
        <f>IFERROR(VLOOKUP($C186,'PORTIFÓLIO'!C:V,4,0),"")</f>
        <v>R$/Ha</v>
      </c>
      <c r="G186" s="215">
        <f t="array" ref="G186">IFERROR(INDEX('PORTIFÓLIO'!$H$4:$H$433,MATCH($C186,'PORTIFÓLIO'!$C$4:$C$433,0)),"")</f>
        <v>0.006666666667</v>
      </c>
      <c r="H186" s="254">
        <f t="array" ref="H186">IFERROR(INDEX('PORTIFÓLIO'!$H$4:$H$433,MATCH($C186,'PORTIFÓLIO'!$C$4:$C$433,0)),"")</f>
        <v>0.006666666667</v>
      </c>
      <c r="I186" s="256">
        <f>G186*5</f>
        <v>0.03333333333</v>
      </c>
      <c r="J186" s="218">
        <f t="shared" si="22"/>
        <v>2</v>
      </c>
      <c r="K186" s="219">
        <f t="array" ref="K186">IFERROR(I186*INDEX('PORTIFÓLIO'!$S$4:$S$433,MATCH($C186,'PORTIFÓLIO'!$C$4:$C$433,0)),"")</f>
        <v>166.6666667</v>
      </c>
      <c r="L186" s="219">
        <f t="array" ref="L186">IFERROR(J186*INDEX('PORTIFÓLIO'!$S$4:$S$433,MATCH($C186,'PORTIFÓLIO'!$C$4:$C$433,0)),"")</f>
        <v>10000</v>
      </c>
      <c r="M186" s="220"/>
      <c r="N186" s="220"/>
      <c r="O186" s="220"/>
      <c r="P186" s="220"/>
      <c r="Q186" s="220"/>
      <c r="R186" s="220"/>
      <c r="S186" s="220"/>
      <c r="T186" s="220"/>
      <c r="U186" s="220"/>
      <c r="V186" s="220"/>
      <c r="W186" s="220"/>
    </row>
    <row r="187" ht="15.75" customHeight="1" outlineLevel="1">
      <c r="A187" s="211"/>
      <c r="B187" s="212" t="s">
        <v>10</v>
      </c>
      <c r="C187" s="213" t="s">
        <v>1199</v>
      </c>
      <c r="D187" s="214" t="str">
        <f>IFERROR(VLOOKUP($C187,'PORTIFÓLIO'!C:V,2,0),"")</f>
        <v/>
      </c>
      <c r="E187" s="211" t="str">
        <f>IFERROR(VLOOKUP($C187,'PORTIFÓLIO'!C:V,3,0),"")</f>
        <v/>
      </c>
      <c r="F187" s="211" t="str">
        <f>IFERROR(VLOOKUP($C187,'PORTIFÓLIO'!C:V,4,0),"")</f>
        <v>R$/Ha</v>
      </c>
      <c r="G187" s="215">
        <f t="array" ref="G187">IFERROR(INDEX('PORTIFÓLIO'!$H$4:$H$433,MATCH($C187,'PORTIFÓLIO'!$C$4:$C$433,0)),"")</f>
        <v>0.08169934641</v>
      </c>
      <c r="H187" s="254">
        <f t="array" ref="H187">IFERROR(INDEX('PORTIFÓLIO'!$H$4:$H$433,MATCH($C187,'PORTIFÓLIO'!$C$4:$C$433,0)),"")</f>
        <v>0.08169934641</v>
      </c>
      <c r="I187" s="255">
        <v>0.081</v>
      </c>
      <c r="J187" s="218">
        <f t="shared" si="22"/>
        <v>4.86</v>
      </c>
      <c r="K187" s="219">
        <f t="array" ref="K187">IFERROR(I187*INDEX('PORTIFÓLIO'!$S$4:$S$433,MATCH($C187,'PORTIFÓLIO'!$C$4:$C$433,0)),"")</f>
        <v>36.45</v>
      </c>
      <c r="L187" s="219">
        <f t="array" ref="L187">IFERROR(J187*INDEX('PORTIFÓLIO'!$S$4:$S$433,MATCH($C187,'PORTIFÓLIO'!$C$4:$C$433,0)),"")</f>
        <v>2187</v>
      </c>
      <c r="M187" s="220"/>
      <c r="N187" s="220"/>
      <c r="O187" s="220"/>
      <c r="P187" s="220"/>
      <c r="Q187" s="220"/>
      <c r="R187" s="220"/>
      <c r="S187" s="220"/>
      <c r="T187" s="220"/>
      <c r="U187" s="220"/>
      <c r="V187" s="220"/>
      <c r="W187" s="220"/>
    </row>
    <row r="188" ht="15.75" customHeight="1" outlineLevel="1">
      <c r="A188" s="211"/>
      <c r="B188" s="212" t="s">
        <v>10</v>
      </c>
      <c r="C188" s="213" t="s">
        <v>1200</v>
      </c>
      <c r="D188" s="214" t="str">
        <f>IFERROR(VLOOKUP($C188,'PORTIFÓLIO'!C:V,2,0),"")</f>
        <v/>
      </c>
      <c r="E188" s="211" t="str">
        <f>IFERROR(VLOOKUP($C188,'PORTIFÓLIO'!C:V,3,0),"")</f>
        <v/>
      </c>
      <c r="F188" s="211" t="str">
        <f>IFERROR(VLOOKUP($C188,'PORTIFÓLIO'!C:V,4,0),"")</f>
        <v>R$/Ha</v>
      </c>
      <c r="G188" s="215">
        <f t="array" ref="G188">IFERROR(INDEX('PORTIFÓLIO'!$H$4:$H$433,MATCH($C188,'PORTIFÓLIO'!$C$4:$C$433,0)),"")</f>
        <v>0.1508295626</v>
      </c>
      <c r="H188" s="254">
        <f t="array" ref="H188">IFERROR(INDEX('PORTIFÓLIO'!$H$4:$H$433,MATCH($C188,'PORTIFÓLIO'!$C$4:$C$433,0)),"")</f>
        <v>0.1508295626</v>
      </c>
      <c r="I188" s="255">
        <v>0.15</v>
      </c>
      <c r="J188" s="218">
        <f t="shared" si="22"/>
        <v>9</v>
      </c>
      <c r="K188" s="219">
        <f t="array" ref="K188">IFERROR(I188*INDEX('PORTIFÓLIO'!$S$4:$S$433,MATCH($C188,'PORTIFÓLIO'!$C$4:$C$433,0)),"")</f>
        <v>56.25</v>
      </c>
      <c r="L188" s="219">
        <f t="array" ref="L188">IFERROR(J188*INDEX('PORTIFÓLIO'!$S$4:$S$433,MATCH($C188,'PORTIFÓLIO'!$C$4:$C$433,0)),"")</f>
        <v>3375</v>
      </c>
      <c r="M188" s="220"/>
      <c r="N188" s="220"/>
      <c r="O188" s="220"/>
      <c r="P188" s="220"/>
      <c r="Q188" s="220"/>
      <c r="R188" s="220"/>
      <c r="S188" s="220"/>
      <c r="T188" s="220"/>
      <c r="U188" s="220"/>
      <c r="V188" s="220"/>
      <c r="W188" s="220"/>
    </row>
    <row r="189" ht="15.75" customHeight="1" outlineLevel="1">
      <c r="A189" s="211"/>
      <c r="B189" s="212" t="s">
        <v>10</v>
      </c>
      <c r="C189" s="213" t="s">
        <v>1201</v>
      </c>
      <c r="D189" s="214" t="str">
        <f>IFERROR(VLOOKUP($C189,'PORTIFÓLIO'!C:V,2,0),"")</f>
        <v/>
      </c>
      <c r="E189" s="211" t="str">
        <f>IFERROR(VLOOKUP($C189,'PORTIFÓLIO'!C:V,3,0),"")</f>
        <v/>
      </c>
      <c r="F189" s="211" t="str">
        <f>IFERROR(VLOOKUP($C189,'PORTIFÓLIO'!C:V,4,0),"")</f>
        <v>R$/Ha</v>
      </c>
      <c r="G189" s="215">
        <f t="array" ref="G189">IFERROR(INDEX('PORTIFÓLIO'!$H$4:$H$433,MATCH($C189,'PORTIFÓLIO'!$C$4:$C$433,0)),"")</f>
        <v>0.001367989056</v>
      </c>
      <c r="H189" s="254">
        <f t="array" ref="H189">IFERROR(INDEX('PORTIFÓLIO'!$H$4:$H$433,MATCH($C189,'PORTIFÓLIO'!$C$4:$C$433,0)),"")</f>
        <v>0.001367989056</v>
      </c>
      <c r="I189" s="255">
        <v>0.1</v>
      </c>
      <c r="J189" s="218">
        <f t="shared" si="22"/>
        <v>6</v>
      </c>
      <c r="K189" s="219">
        <f t="array" ref="K189">IFERROR(I189*INDEX('PORTIFÓLIO'!$S$4:$S$433,MATCH($C189,'PORTIFÓLIO'!$C$4:$C$433,0)),"")</f>
        <v>15</v>
      </c>
      <c r="L189" s="219">
        <f t="array" ref="L189">IFERROR(J189*INDEX('PORTIFÓLIO'!$S$4:$S$433,MATCH($C189,'PORTIFÓLIO'!$C$4:$C$433,0)),"")</f>
        <v>900</v>
      </c>
      <c r="M189" s="220"/>
      <c r="N189" s="220"/>
      <c r="O189" s="220"/>
      <c r="P189" s="220"/>
      <c r="Q189" s="220"/>
      <c r="R189" s="220"/>
      <c r="S189" s="220"/>
      <c r="T189" s="220"/>
      <c r="U189" s="220"/>
      <c r="V189" s="220"/>
      <c r="W189" s="220"/>
    </row>
    <row r="190" ht="15.75" customHeight="1" outlineLevel="1">
      <c r="A190" s="211"/>
      <c r="B190" s="212"/>
      <c r="C190" s="213"/>
      <c r="D190" s="214" t="str">
        <f>IFERROR(VLOOKUP($C190,'PORTIFÓLIO'!C:V,2,0),"")</f>
        <v/>
      </c>
      <c r="E190" s="211" t="str">
        <f>IFERROR(VLOOKUP($C190,'PORTIFÓLIO'!C:V,3,0),"")</f>
        <v/>
      </c>
      <c r="F190" s="211" t="str">
        <f>IFERROR(VLOOKUP($C190,'PORTIFÓLIO'!C:V,4,0),"")</f>
        <v/>
      </c>
      <c r="G190" s="215" t="str">
        <f>IFERROR(VLOOKUP($C190,'PORTIFÓLIO'!C:V,5,0),"")</f>
        <v/>
      </c>
      <c r="H190" s="254" t="str">
        <f t="array" ref="H190">IFERROR(INDEX('PORTIFÓLIO'!$H$4:$H$433,MATCH($C190,'PORTIFÓLIO'!$C$4:$C$433,0)),"")</f>
        <v/>
      </c>
      <c r="I190" s="256"/>
      <c r="J190" s="218">
        <f t="shared" si="22"/>
        <v>0</v>
      </c>
      <c r="K190" s="219" t="str">
        <f t="array" ref="K190">IFERROR(I190*INDEX('PORTIFÓLIO'!$S$4:$S$433,MATCH($C190,'PORTIFÓLIO'!$C$4:$C$433,0)),"")</f>
        <v/>
      </c>
      <c r="L190" s="219" t="str">
        <f t="array" ref="L190">IFERROR(J190*INDEX('PORTIFÓLIO'!$S$4:$S$433,MATCH($C190,'PORTIFÓLIO'!$C$4:$C$433,0)),"")</f>
        <v/>
      </c>
      <c r="M190" s="220"/>
      <c r="N190" s="220"/>
      <c r="O190" s="220"/>
      <c r="P190" s="220"/>
      <c r="Q190" s="220"/>
      <c r="R190" s="220"/>
      <c r="S190" s="220"/>
      <c r="T190" s="220"/>
      <c r="U190" s="220"/>
      <c r="V190" s="220"/>
      <c r="W190" s="220"/>
    </row>
    <row r="191" ht="15.75" customHeight="1" outlineLevel="1">
      <c r="A191" s="211"/>
      <c r="B191" s="212"/>
      <c r="C191" s="213"/>
      <c r="D191" s="214" t="str">
        <f>IFERROR(VLOOKUP($C191,'PORTIFÓLIO'!C:V,2,0),"")</f>
        <v/>
      </c>
      <c r="E191" s="211" t="str">
        <f>IFERROR(VLOOKUP($C191,'PORTIFÓLIO'!C:V,3,0),"")</f>
        <v/>
      </c>
      <c r="F191" s="211" t="str">
        <f>IFERROR(VLOOKUP($C191,'PORTIFÓLIO'!C:V,4,0),"")</f>
        <v/>
      </c>
      <c r="G191" s="215" t="str">
        <f>IFERROR(VLOOKUP($C191,'PORTIFÓLIO'!C:V,5,0),"")</f>
        <v/>
      </c>
      <c r="H191" s="254" t="str">
        <f t="array" ref="H191">IFERROR(INDEX('PORTIFÓLIO'!$H$4:$H$433,MATCH($C191,'PORTIFÓLIO'!$C$4:$C$433,0)),"")</f>
        <v/>
      </c>
      <c r="I191" s="255"/>
      <c r="J191" s="218">
        <f t="shared" si="22"/>
        <v>0</v>
      </c>
      <c r="K191" s="219" t="str">
        <f t="array" ref="K191">IFERROR(I191*INDEX('PORTIFÓLIO'!$S$4:$S$433,MATCH($C191,'PORTIFÓLIO'!$C$4:$C$433,0)),"")</f>
        <v/>
      </c>
      <c r="L191" s="219" t="str">
        <f t="array" ref="L191">IFERROR(J191*INDEX('PORTIFÓLIO'!$S$4:$S$433,MATCH($C191,'PORTIFÓLIO'!$C$4:$C$433,0)),"")</f>
        <v/>
      </c>
      <c r="M191" s="220"/>
      <c r="N191" s="220"/>
      <c r="O191" s="220"/>
      <c r="P191" s="220"/>
      <c r="Q191" s="220"/>
      <c r="R191" s="220"/>
      <c r="S191" s="220"/>
      <c r="T191" s="220"/>
      <c r="U191" s="220"/>
      <c r="V191" s="220"/>
      <c r="W191" s="220"/>
    </row>
    <row r="192" ht="15.75" customHeight="1" outlineLevel="1">
      <c r="A192" s="211"/>
      <c r="B192" s="212"/>
      <c r="C192" s="213"/>
      <c r="D192" s="214" t="str">
        <f>IFERROR(VLOOKUP($C192,'PORTIFÓLIO'!C:V,2,0),"")</f>
        <v/>
      </c>
      <c r="E192" s="211" t="str">
        <f>IFERROR(VLOOKUP($C192,'PORTIFÓLIO'!C:V,3,0),"")</f>
        <v/>
      </c>
      <c r="F192" s="211" t="str">
        <f>IFERROR(VLOOKUP($C192,'PORTIFÓLIO'!C:V,4,0),"")</f>
        <v/>
      </c>
      <c r="G192" s="215" t="str">
        <f>IFERROR(VLOOKUP($C192,'PORTIFÓLIO'!C:V,5,0),"")</f>
        <v/>
      </c>
      <c r="H192" s="254" t="str">
        <f t="array" ref="H192">IFERROR(INDEX('PORTIFÓLIO'!$H$4:$H$433,MATCH($C192,'PORTIFÓLIO'!$C$4:$C$433,0)),"")</f>
        <v/>
      </c>
      <c r="I192" s="256"/>
      <c r="J192" s="218">
        <f t="shared" si="22"/>
        <v>0</v>
      </c>
      <c r="K192" s="219" t="str">
        <f t="array" ref="K192">IFERROR(I192*INDEX('PORTIFÓLIO'!$S$4:$S$433,MATCH($C192,'PORTIFÓLIO'!$C$4:$C$433,0)),"")</f>
        <v/>
      </c>
      <c r="L192" s="219" t="str">
        <f t="array" ref="L192">IFERROR(J192*INDEX('PORTIFÓLIO'!$S$4:$S$433,MATCH($C192,'PORTIFÓLIO'!$C$4:$C$433,0)),"")</f>
        <v/>
      </c>
      <c r="M192" s="220"/>
      <c r="N192" s="220"/>
      <c r="O192" s="220"/>
      <c r="P192" s="220"/>
      <c r="Q192" s="220"/>
      <c r="R192" s="220"/>
      <c r="S192" s="220"/>
      <c r="T192" s="220"/>
      <c r="U192" s="220"/>
      <c r="V192" s="220"/>
      <c r="W192" s="220"/>
    </row>
    <row r="193" ht="15.75" customHeight="1" outlineLevel="1">
      <c r="A193" s="211"/>
      <c r="B193" s="212"/>
      <c r="C193" s="213"/>
      <c r="D193" s="214" t="str">
        <f>IFERROR(VLOOKUP($C193,'PORTIFÓLIO'!C:V,2,0),"")</f>
        <v/>
      </c>
      <c r="E193" s="211" t="str">
        <f>IFERROR(VLOOKUP($C193,'PORTIFÓLIO'!C:V,3,0),"")</f>
        <v/>
      </c>
      <c r="F193" s="211" t="str">
        <f>IFERROR(VLOOKUP($C193,'PORTIFÓLIO'!C:V,4,0),"")</f>
        <v/>
      </c>
      <c r="G193" s="215" t="str">
        <f>IFERROR(VLOOKUP($C193,'PORTIFÓLIO'!C:V,5,0),"")</f>
        <v/>
      </c>
      <c r="H193" s="254" t="str">
        <f t="array" ref="H193">IFERROR(INDEX('PORTIFÓLIO'!$H$4:$H$433,MATCH($C193,'PORTIFÓLIO'!$C$4:$C$433,0)),"")</f>
        <v/>
      </c>
      <c r="I193" s="256"/>
      <c r="J193" s="218">
        <f t="shared" si="22"/>
        <v>0</v>
      </c>
      <c r="K193" s="219" t="str">
        <f t="array" ref="K193">IFERROR(I193*INDEX('PORTIFÓLIO'!$S$4:$S$433,MATCH($C193,'PORTIFÓLIO'!$C$4:$C$433,0)),"")</f>
        <v/>
      </c>
      <c r="L193" s="219" t="str">
        <f t="array" ref="L193">IFERROR(J193*INDEX('PORTIFÓLIO'!$S$4:$S$433,MATCH($C193,'PORTIFÓLIO'!$C$4:$C$433,0)),"")</f>
        <v/>
      </c>
      <c r="M193" s="220"/>
      <c r="N193" s="220"/>
      <c r="O193" s="220"/>
      <c r="P193" s="220"/>
      <c r="Q193" s="220"/>
      <c r="R193" s="220"/>
      <c r="S193" s="220"/>
      <c r="T193" s="220"/>
      <c r="U193" s="220"/>
      <c r="V193" s="220"/>
      <c r="W193" s="220"/>
    </row>
    <row r="194" ht="15.75" customHeight="1" outlineLevel="1">
      <c r="A194" s="211"/>
      <c r="B194" s="212"/>
      <c r="C194" s="213"/>
      <c r="D194" s="214" t="str">
        <f>IFERROR(VLOOKUP($C194,'PORTIFÓLIO'!C:V,2,0),"")</f>
        <v/>
      </c>
      <c r="E194" s="211" t="str">
        <f>IFERROR(VLOOKUP($C194,'PORTIFÓLIO'!C:V,3,0),"")</f>
        <v/>
      </c>
      <c r="F194" s="211" t="str">
        <f>IFERROR(VLOOKUP($C194,'PORTIFÓLIO'!C:V,4,0),"")</f>
        <v/>
      </c>
      <c r="G194" s="215" t="str">
        <f>IFERROR(VLOOKUP($C194,'PORTIFÓLIO'!C:V,5,0),"")</f>
        <v/>
      </c>
      <c r="H194" s="254" t="str">
        <f t="array" ref="H194">IFERROR(INDEX('PORTIFÓLIO'!$H$4:$H$433,MATCH($C194,'PORTIFÓLIO'!$C$4:$C$433,0)),"")</f>
        <v/>
      </c>
      <c r="I194" s="256"/>
      <c r="J194" s="218">
        <f t="shared" si="22"/>
        <v>0</v>
      </c>
      <c r="K194" s="219" t="str">
        <f t="array" ref="K194">IFERROR(I194*INDEX('PORTIFÓLIO'!$S$4:$S$433,MATCH($C194,'PORTIFÓLIO'!$C$4:$C$433,0)),"")</f>
        <v/>
      </c>
      <c r="L194" s="219" t="str">
        <f t="array" ref="L194">IFERROR(J194*INDEX('PORTIFÓLIO'!$S$4:$S$433,MATCH($C194,'PORTIFÓLIO'!$C$4:$C$433,0)),"")</f>
        <v/>
      </c>
      <c r="M194" s="220"/>
      <c r="N194" s="220"/>
      <c r="O194" s="220"/>
      <c r="P194" s="220"/>
      <c r="Q194" s="220"/>
      <c r="R194" s="220"/>
      <c r="S194" s="220"/>
      <c r="T194" s="220"/>
      <c r="U194" s="220"/>
      <c r="V194" s="220"/>
      <c r="W194" s="220"/>
    </row>
    <row r="195" ht="15.75" customHeight="1" outlineLevel="1">
      <c r="A195" s="211"/>
      <c r="B195" s="212"/>
      <c r="C195" s="213"/>
      <c r="D195" s="214" t="str">
        <f>IFERROR(VLOOKUP($C195,'PORTIFÓLIO'!C:V,2,0),"")</f>
        <v/>
      </c>
      <c r="E195" s="211" t="str">
        <f>IFERROR(VLOOKUP($C195,'PORTIFÓLIO'!C:V,3,0),"")</f>
        <v/>
      </c>
      <c r="F195" s="211" t="str">
        <f>IFERROR(VLOOKUP($C195,'PORTIFÓLIO'!C:V,4,0),"")</f>
        <v/>
      </c>
      <c r="G195" s="215" t="str">
        <f>IFERROR(VLOOKUP($C195,'PORTIFÓLIO'!C:V,5,0),"")</f>
        <v/>
      </c>
      <c r="H195" s="254" t="str">
        <f t="array" ref="H195">IFERROR(INDEX('PORTIFÓLIO'!$H$4:$H$433,MATCH($C195,'PORTIFÓLIO'!$C$4:$C$433,0)),"")</f>
        <v/>
      </c>
      <c r="I195" s="256"/>
      <c r="J195" s="218">
        <f t="shared" si="22"/>
        <v>0</v>
      </c>
      <c r="K195" s="219" t="str">
        <f t="array" ref="K195">IFERROR(I195*INDEX('PORTIFÓLIO'!$S$4:$S$433,MATCH($C195,'PORTIFÓLIO'!$C$4:$C$433,0)),"")</f>
        <v/>
      </c>
      <c r="L195" s="219" t="str">
        <f t="array" ref="L195">IFERROR(J195*INDEX('PORTIFÓLIO'!$S$4:$S$433,MATCH($C195,'PORTIFÓLIO'!$C$4:$C$433,0)),"")</f>
        <v/>
      </c>
      <c r="M195" s="220"/>
      <c r="N195" s="220"/>
      <c r="O195" s="220"/>
      <c r="P195" s="220"/>
      <c r="Q195" s="220"/>
      <c r="R195" s="220"/>
      <c r="S195" s="220"/>
      <c r="T195" s="220"/>
      <c r="U195" s="220"/>
      <c r="V195" s="220"/>
      <c r="W195" s="220"/>
    </row>
    <row r="196" ht="15.75" customHeight="1" outlineLevel="1">
      <c r="A196" s="211"/>
      <c r="B196" s="212"/>
      <c r="C196" s="213"/>
      <c r="D196" s="214" t="str">
        <f>IFERROR(VLOOKUP($C196,'PORTIFÓLIO'!C:V,2,0),"")</f>
        <v/>
      </c>
      <c r="E196" s="211" t="str">
        <f>IFERROR(VLOOKUP($C196,'PORTIFÓLIO'!C:V,3,0),"")</f>
        <v/>
      </c>
      <c r="F196" s="211" t="str">
        <f>IFERROR(VLOOKUP($C196,'PORTIFÓLIO'!C:V,4,0),"")</f>
        <v/>
      </c>
      <c r="G196" s="215" t="str">
        <f>IFERROR(VLOOKUP($C196,'PORTIFÓLIO'!C:V,5,0),"")</f>
        <v/>
      </c>
      <c r="H196" s="254" t="str">
        <f t="array" ref="H196">IFERROR(INDEX('PORTIFÓLIO'!$H$4:$H$433,MATCH($C196,'PORTIFÓLIO'!$C$4:$C$433,0)),"")</f>
        <v/>
      </c>
      <c r="I196" s="256"/>
      <c r="J196" s="218">
        <f t="shared" si="22"/>
        <v>0</v>
      </c>
      <c r="K196" s="219" t="str">
        <f t="array" ref="K196">IFERROR(I196*INDEX('PORTIFÓLIO'!$S$4:$S$433,MATCH($C196,'PORTIFÓLIO'!$C$4:$C$433,0)),"")</f>
        <v/>
      </c>
      <c r="L196" s="219" t="str">
        <f t="array" ref="L196">IFERROR(J196*INDEX('PORTIFÓLIO'!$S$4:$S$433,MATCH($C196,'PORTIFÓLIO'!$C$4:$C$433,0)),"")</f>
        <v/>
      </c>
      <c r="M196" s="220"/>
      <c r="N196" s="220"/>
      <c r="O196" s="220"/>
      <c r="P196" s="220"/>
      <c r="Q196" s="220"/>
      <c r="R196" s="220"/>
      <c r="S196" s="220"/>
      <c r="T196" s="220"/>
      <c r="U196" s="220"/>
      <c r="V196" s="220"/>
      <c r="W196" s="220"/>
    </row>
    <row r="197" ht="15.75" customHeight="1" outlineLevel="1">
      <c r="A197" s="211"/>
      <c r="B197" s="212"/>
      <c r="C197" s="213"/>
      <c r="D197" s="214" t="str">
        <f>IFERROR(VLOOKUP($C197,'PORTIFÓLIO'!C:V,2,0),"")</f>
        <v/>
      </c>
      <c r="E197" s="211" t="str">
        <f>IFERROR(VLOOKUP($C197,'PORTIFÓLIO'!C:V,3,0),"")</f>
        <v/>
      </c>
      <c r="F197" s="211" t="str">
        <f>IFERROR(VLOOKUP($C197,'PORTIFÓLIO'!C:V,4,0),"")</f>
        <v/>
      </c>
      <c r="G197" s="215" t="str">
        <f>IFERROR(VLOOKUP($C197,'PORTIFÓLIO'!C:V,5,0),"")</f>
        <v/>
      </c>
      <c r="H197" s="254" t="str">
        <f t="array" ref="H197">IFERROR(INDEX('PORTIFÓLIO'!$H$4:$H$433,MATCH($C197,'PORTIFÓLIO'!$C$4:$C$433,0)),"")</f>
        <v/>
      </c>
      <c r="I197" s="256"/>
      <c r="J197" s="218">
        <f t="shared" si="22"/>
        <v>0</v>
      </c>
      <c r="K197" s="219" t="str">
        <f t="array" ref="K197">IFERROR(I197*INDEX('PORTIFÓLIO'!$S$4:$S$433,MATCH($C197,'PORTIFÓLIO'!$C$4:$C$433,0)),"")</f>
        <v/>
      </c>
      <c r="L197" s="219" t="str">
        <f t="array" ref="L197">IFERROR(J197*INDEX('PORTIFÓLIO'!$S$4:$S$433,MATCH($C197,'PORTIFÓLIO'!$C$4:$C$433,0)),"")</f>
        <v/>
      </c>
      <c r="M197" s="220"/>
      <c r="N197" s="220"/>
      <c r="O197" s="220"/>
      <c r="P197" s="220"/>
      <c r="Q197" s="220"/>
      <c r="R197" s="220"/>
      <c r="S197" s="220"/>
      <c r="T197" s="220"/>
      <c r="U197" s="220"/>
      <c r="V197" s="220"/>
      <c r="W197" s="220"/>
    </row>
    <row r="198" ht="15.75" customHeight="1" outlineLevel="1">
      <c r="A198" s="211"/>
      <c r="B198" s="227"/>
      <c r="C198" s="211"/>
      <c r="D198" s="214" t="str">
        <f>IFERROR(VLOOKUP($C198,'PORTIFÓLIO'!C:V,2,0),"")</f>
        <v/>
      </c>
      <c r="E198" s="211" t="str">
        <f>IFERROR(VLOOKUP($C198,'PORTIFÓLIO'!C:V,3,0),"")</f>
        <v/>
      </c>
      <c r="F198" s="211" t="str">
        <f>IFERROR(VLOOKUP($C198,'PORTIFÓLIO'!C:V,4,0),"")</f>
        <v/>
      </c>
      <c r="G198" s="215" t="str">
        <f>IFERROR(VLOOKUP($C198,'PORTIFÓLIO'!C:V,5,0),"")</f>
        <v/>
      </c>
      <c r="H198" s="254" t="str">
        <f t="array" ref="H198">IFERROR(INDEX('PORTIFÓLIO'!$H$4:$H$433,MATCH($C198,'PORTIFÓLIO'!$C$4:$C$433,0)),"")</f>
        <v/>
      </c>
      <c r="I198" s="256"/>
      <c r="J198" s="218">
        <f t="shared" si="22"/>
        <v>0</v>
      </c>
      <c r="K198" s="219" t="str">
        <f t="array" ref="K198">IFERROR(I198*INDEX('PORTIFÓLIO'!$S$4:$S$433,MATCH($C198,'PORTIFÓLIO'!$C$4:$C$433,0)),"")</f>
        <v/>
      </c>
      <c r="L198" s="219" t="str">
        <f t="array" ref="L198">IFERROR(J198*INDEX('PORTIFÓLIO'!$S$4:$S$433,MATCH($C198,'PORTIFÓLIO'!$C$4:$C$433,0)),"")</f>
        <v/>
      </c>
      <c r="M198" s="220"/>
      <c r="N198" s="220"/>
      <c r="O198" s="220"/>
      <c r="P198" s="220"/>
      <c r="Q198" s="220"/>
      <c r="R198" s="220"/>
      <c r="S198" s="220"/>
      <c r="T198" s="220"/>
      <c r="U198" s="220"/>
      <c r="V198" s="220"/>
      <c r="W198" s="220"/>
    </row>
    <row r="199" ht="15.75" customHeight="1" outlineLevel="1">
      <c r="A199" s="211"/>
      <c r="B199" s="227"/>
      <c r="C199" s="211"/>
      <c r="D199" s="214" t="str">
        <f>IFERROR(VLOOKUP($C199,'PORTIFÓLIO'!C:V,2,0),"")</f>
        <v/>
      </c>
      <c r="E199" s="211" t="str">
        <f>IFERROR(VLOOKUP($C199,'PORTIFÓLIO'!C:V,3,0),"")</f>
        <v/>
      </c>
      <c r="F199" s="211" t="str">
        <f>IFERROR(VLOOKUP($C199,'PORTIFÓLIO'!C:V,4,0),"")</f>
        <v/>
      </c>
      <c r="G199" s="215" t="str">
        <f>IFERROR(VLOOKUP($C199,'PORTIFÓLIO'!C:V,5,0),"")</f>
        <v/>
      </c>
      <c r="H199" s="254" t="str">
        <f t="array" ref="H199">IFERROR(INDEX('PORTIFÓLIO'!$H$4:$H$433,MATCH($C199,'PORTIFÓLIO'!$C$4:$C$433,0)),"")</f>
        <v/>
      </c>
      <c r="I199" s="256"/>
      <c r="J199" s="218">
        <f t="shared" si="22"/>
        <v>0</v>
      </c>
      <c r="K199" s="219" t="str">
        <f t="array" ref="K199">IFERROR(I199*INDEX('PORTIFÓLIO'!$S$4:$S$433,MATCH($C199,'PORTIFÓLIO'!$C$4:$C$433,0)),"")</f>
        <v/>
      </c>
      <c r="L199" s="219" t="str">
        <f t="array" ref="L199">IFERROR(J199*INDEX('PORTIFÓLIO'!$S$4:$S$433,MATCH($C199,'PORTIFÓLIO'!$C$4:$C$433,0)),"")</f>
        <v/>
      </c>
      <c r="M199" s="220"/>
      <c r="N199" s="220"/>
      <c r="O199" s="220"/>
      <c r="P199" s="220"/>
      <c r="Q199" s="220"/>
      <c r="R199" s="220"/>
      <c r="S199" s="220"/>
      <c r="T199" s="220"/>
      <c r="U199" s="220"/>
      <c r="V199" s="220"/>
      <c r="W199" s="220"/>
    </row>
    <row r="200" ht="15.75" customHeight="1">
      <c r="A200" s="229" t="s">
        <v>1202</v>
      </c>
      <c r="B200" s="230"/>
      <c r="C200" s="231"/>
      <c r="D200" s="232"/>
      <c r="E200" s="231"/>
      <c r="F200" s="231"/>
      <c r="G200" s="233"/>
      <c r="H200" s="233"/>
      <c r="I200" s="258"/>
      <c r="J200" s="236"/>
      <c r="K200" s="237">
        <f t="shared" ref="K200:L200" si="23">SUBTOTAL(9,K201:K214)</f>
        <v>0</v>
      </c>
      <c r="L200" s="237">
        <f t="shared" si="23"/>
        <v>0</v>
      </c>
      <c r="M200" s="220"/>
      <c r="N200" s="220"/>
      <c r="O200" s="220"/>
      <c r="P200" s="220"/>
      <c r="Q200" s="220"/>
      <c r="R200" s="220"/>
      <c r="S200" s="220"/>
      <c r="T200" s="220"/>
      <c r="U200" s="220"/>
      <c r="V200" s="220"/>
      <c r="W200" s="220"/>
    </row>
    <row r="201" ht="15.75" customHeight="1" outlineLevel="1">
      <c r="A201" s="213"/>
      <c r="B201" s="212"/>
      <c r="C201" s="213"/>
      <c r="D201" s="214" t="str">
        <f>IFERROR(VLOOKUP($C201,'PORTIFÓLIO'!C:V,2,0),"")</f>
        <v/>
      </c>
      <c r="E201" s="211" t="str">
        <f>IFERROR(VLOOKUP($C201,'PORTIFÓLIO'!C:V,3,0),"")</f>
        <v/>
      </c>
      <c r="F201" s="211" t="str">
        <f>IFERROR(VLOOKUP($C201,'PORTIFÓLIO'!C:V,4,0),"")</f>
        <v/>
      </c>
      <c r="G201" s="215" t="str">
        <f>IFERROR(VLOOKUP($C201,'PORTIFÓLIO'!C:V,5,0),"")</f>
        <v/>
      </c>
      <c r="H201" s="254" t="str">
        <f t="array" ref="H201">IFERROR(INDEX('PORTIFÓLIO'!$H$4:$H$433,MATCH($C201,'PORTIFÓLIO'!$C$4:$C$433,0)),"")</f>
        <v/>
      </c>
      <c r="I201" s="256"/>
      <c r="J201" s="218">
        <f t="shared" ref="J201:J224" si="24">I201*$B$2</f>
        <v>0</v>
      </c>
      <c r="K201" s="219" t="str">
        <f>IFERROR(I201* VLOOKUP($C201,'PORTIFÓLIO'!C:V,10,0),"")</f>
        <v/>
      </c>
      <c r="L201" s="219" t="str">
        <f>IFERROR(J201* VLOOKUP($C201,'PORTIFÓLIO'!C:V,10,0),"")</f>
        <v/>
      </c>
      <c r="M201" s="220"/>
      <c r="N201" s="220"/>
      <c r="O201" s="220"/>
      <c r="P201" s="220"/>
      <c r="Q201" s="220"/>
      <c r="R201" s="220"/>
      <c r="S201" s="220"/>
      <c r="T201" s="220"/>
      <c r="U201" s="220"/>
      <c r="V201" s="220"/>
      <c r="W201" s="220"/>
    </row>
    <row r="202" ht="15.75" customHeight="1" outlineLevel="1">
      <c r="A202" s="211"/>
      <c r="B202" s="212"/>
      <c r="C202" s="213"/>
      <c r="D202" s="214" t="str">
        <f>IFERROR(VLOOKUP($C202,'PORTIFÓLIO'!C:V,2,0),"")</f>
        <v/>
      </c>
      <c r="E202" s="211" t="str">
        <f>IFERROR(VLOOKUP($C202,'PORTIFÓLIO'!C:V,3,0),"")</f>
        <v/>
      </c>
      <c r="F202" s="211" t="str">
        <f>IFERROR(VLOOKUP($C202,'PORTIFÓLIO'!C:V,4,0),"")</f>
        <v/>
      </c>
      <c r="G202" s="215" t="str">
        <f>IFERROR(VLOOKUP($C202,'PORTIFÓLIO'!C:V,5,0),"")</f>
        <v/>
      </c>
      <c r="H202" s="254" t="str">
        <f t="array" ref="H202">IFERROR(INDEX('PORTIFÓLIO'!$H$4:$H$433,MATCH($C202,'PORTIFÓLIO'!$C$4:$C$433,0)),"")</f>
        <v/>
      </c>
      <c r="I202" s="256"/>
      <c r="J202" s="218">
        <f t="shared" si="24"/>
        <v>0</v>
      </c>
      <c r="K202" s="219" t="str">
        <f>IFERROR(I202* VLOOKUP($C202,'PORTIFÓLIO'!C:V,10,0),"")</f>
        <v/>
      </c>
      <c r="L202" s="219" t="str">
        <f>IFERROR(J202* VLOOKUP($C202,'PORTIFÓLIO'!C:V,10,0),"")</f>
        <v/>
      </c>
      <c r="M202" s="220"/>
      <c r="N202" s="220"/>
      <c r="O202" s="220"/>
      <c r="P202" s="220"/>
      <c r="Q202" s="220"/>
      <c r="R202" s="220"/>
      <c r="S202" s="220"/>
      <c r="T202" s="220"/>
      <c r="U202" s="220"/>
      <c r="V202" s="220"/>
      <c r="W202" s="220"/>
    </row>
    <row r="203" ht="15.75" customHeight="1" outlineLevel="1">
      <c r="A203" s="211"/>
      <c r="B203" s="212"/>
      <c r="C203" s="213"/>
      <c r="D203" s="214" t="str">
        <f>IFERROR(VLOOKUP($C203,'PORTIFÓLIO'!C:V,2,0),"")</f>
        <v/>
      </c>
      <c r="E203" s="211" t="str">
        <f>IFERROR(VLOOKUP($C203,'PORTIFÓLIO'!C:V,3,0),"")</f>
        <v/>
      </c>
      <c r="F203" s="211" t="str">
        <f>IFERROR(VLOOKUP($C203,'PORTIFÓLIO'!C:V,4,0),"")</f>
        <v/>
      </c>
      <c r="G203" s="215" t="str">
        <f>IFERROR(VLOOKUP($C203,'PORTIFÓLIO'!C:V,5,0),"")</f>
        <v/>
      </c>
      <c r="H203" s="254" t="str">
        <f t="array" ref="H203">IFERROR(INDEX('PORTIFÓLIO'!$H$4:$H$433,MATCH($C203,'PORTIFÓLIO'!$C$4:$C$433,0)),"")</f>
        <v/>
      </c>
      <c r="I203" s="256"/>
      <c r="J203" s="218">
        <f t="shared" si="24"/>
        <v>0</v>
      </c>
      <c r="K203" s="219" t="str">
        <f>IFERROR(I203* VLOOKUP($C203,'PORTIFÓLIO'!C:V,10,0),"")</f>
        <v/>
      </c>
      <c r="L203" s="219" t="str">
        <f>IFERROR(J203* VLOOKUP($C203,'PORTIFÓLIO'!C:V,10,0),"")</f>
        <v/>
      </c>
      <c r="M203" s="220"/>
      <c r="N203" s="220"/>
      <c r="O203" s="220"/>
      <c r="P203" s="220"/>
      <c r="Q203" s="220"/>
      <c r="R203" s="220"/>
      <c r="S203" s="220"/>
      <c r="T203" s="220"/>
      <c r="U203" s="220"/>
      <c r="V203" s="220"/>
      <c r="W203" s="220"/>
    </row>
    <row r="204" ht="15.75" customHeight="1" outlineLevel="1">
      <c r="A204" s="211"/>
      <c r="B204" s="212"/>
      <c r="C204" s="213"/>
      <c r="D204" s="214" t="str">
        <f>IFERROR(VLOOKUP($C204,'PORTIFÓLIO'!C:V,2,0),"")</f>
        <v/>
      </c>
      <c r="E204" s="211" t="str">
        <f>IFERROR(VLOOKUP($C204,'PORTIFÓLIO'!C:V,3,0),"")</f>
        <v/>
      </c>
      <c r="F204" s="211" t="str">
        <f>IFERROR(VLOOKUP($C204,'PORTIFÓLIO'!C:V,4,0),"")</f>
        <v/>
      </c>
      <c r="G204" s="215" t="str">
        <f>IFERROR(VLOOKUP($C204,'PORTIFÓLIO'!C:V,5,0),"")</f>
        <v/>
      </c>
      <c r="H204" s="254" t="str">
        <f t="array" ref="H204">IFERROR(INDEX('PORTIFÓLIO'!$H$4:$H$433,MATCH($C204,'PORTIFÓLIO'!$C$4:$C$433,0)),"")</f>
        <v/>
      </c>
      <c r="I204" s="256"/>
      <c r="J204" s="218">
        <f t="shared" si="24"/>
        <v>0</v>
      </c>
      <c r="K204" s="219" t="str">
        <f>IFERROR(I204* VLOOKUP($C204,'PORTIFÓLIO'!C:V,10,0),"")</f>
        <v/>
      </c>
      <c r="L204" s="219" t="str">
        <f>IFERROR(J204* VLOOKUP($C204,'PORTIFÓLIO'!C:V,10,0),"")</f>
        <v/>
      </c>
      <c r="M204" s="220"/>
      <c r="N204" s="220"/>
      <c r="O204" s="220"/>
      <c r="P204" s="220"/>
      <c r="Q204" s="220"/>
      <c r="R204" s="220"/>
      <c r="S204" s="220"/>
      <c r="T204" s="220"/>
      <c r="U204" s="220"/>
      <c r="V204" s="220"/>
      <c r="W204" s="220"/>
    </row>
    <row r="205" ht="15.75" customHeight="1" outlineLevel="1">
      <c r="A205" s="211"/>
      <c r="B205" s="212"/>
      <c r="C205" s="213"/>
      <c r="D205" s="214" t="str">
        <f>IFERROR(VLOOKUP($C205,'PORTIFÓLIO'!C:V,2,0),"")</f>
        <v/>
      </c>
      <c r="E205" s="211" t="str">
        <f>IFERROR(VLOOKUP($C205,'PORTIFÓLIO'!C:V,3,0),"")</f>
        <v/>
      </c>
      <c r="F205" s="211" t="str">
        <f>IFERROR(VLOOKUP($C205,'PORTIFÓLIO'!C:V,4,0),"")</f>
        <v/>
      </c>
      <c r="G205" s="215" t="str">
        <f>IFERROR(VLOOKUP($C205,'PORTIFÓLIO'!C:V,5,0),"")</f>
        <v/>
      </c>
      <c r="H205" s="254" t="str">
        <f t="array" ref="H205">IFERROR(INDEX('PORTIFÓLIO'!$H$4:$H$433,MATCH($C205,'PORTIFÓLIO'!$C$4:$C$433,0)),"")</f>
        <v/>
      </c>
      <c r="I205" s="256"/>
      <c r="J205" s="218">
        <f t="shared" si="24"/>
        <v>0</v>
      </c>
      <c r="K205" s="219" t="str">
        <f>IFERROR(I205* VLOOKUP($C205,'PORTIFÓLIO'!C:V,10,0),"")</f>
        <v/>
      </c>
      <c r="L205" s="219" t="str">
        <f>IFERROR(J205* VLOOKUP($C205,'PORTIFÓLIO'!C:V,10,0),"")</f>
        <v/>
      </c>
      <c r="M205" s="220"/>
      <c r="N205" s="220"/>
      <c r="O205" s="220"/>
      <c r="P205" s="220"/>
      <c r="Q205" s="220"/>
      <c r="R205" s="220"/>
      <c r="S205" s="220"/>
      <c r="T205" s="220"/>
      <c r="U205" s="220"/>
      <c r="V205" s="220"/>
      <c r="W205" s="220"/>
    </row>
    <row r="206" ht="15.75" customHeight="1" outlineLevel="1">
      <c r="A206" s="211"/>
      <c r="B206" s="212"/>
      <c r="C206" s="213"/>
      <c r="D206" s="214" t="str">
        <f>IFERROR(VLOOKUP($C206,'PORTIFÓLIO'!C:V,2,0),"")</f>
        <v/>
      </c>
      <c r="E206" s="211" t="str">
        <f>IFERROR(VLOOKUP($C206,'PORTIFÓLIO'!C:V,3,0),"")</f>
        <v/>
      </c>
      <c r="F206" s="211" t="str">
        <f>IFERROR(VLOOKUP($C206,'PORTIFÓLIO'!C:V,4,0),"")</f>
        <v/>
      </c>
      <c r="G206" s="215" t="str">
        <f>IFERROR(VLOOKUP($C206,'PORTIFÓLIO'!C:V,5,0),"")</f>
        <v/>
      </c>
      <c r="H206" s="254" t="str">
        <f t="array" ref="H206">IFERROR(INDEX('PORTIFÓLIO'!$H$4:$H$433,MATCH($C206,'PORTIFÓLIO'!$C$4:$C$433,0)),"")</f>
        <v/>
      </c>
      <c r="I206" s="256"/>
      <c r="J206" s="218">
        <f t="shared" si="24"/>
        <v>0</v>
      </c>
      <c r="K206" s="219" t="str">
        <f>IFERROR(I206* VLOOKUP($C206,'PORTIFÓLIO'!C:V,10,0),"")</f>
        <v/>
      </c>
      <c r="L206" s="219" t="str">
        <f>IFERROR(J206* VLOOKUP($C206,'PORTIFÓLIO'!C:V,10,0),"")</f>
        <v/>
      </c>
      <c r="M206" s="220"/>
      <c r="N206" s="220"/>
      <c r="O206" s="220"/>
      <c r="P206" s="220"/>
      <c r="Q206" s="220"/>
      <c r="R206" s="220"/>
      <c r="S206" s="220"/>
      <c r="T206" s="220"/>
      <c r="U206" s="220"/>
      <c r="V206" s="220"/>
      <c r="W206" s="220"/>
    </row>
    <row r="207" ht="15.75" customHeight="1" outlineLevel="1">
      <c r="A207" s="211"/>
      <c r="B207" s="212"/>
      <c r="C207" s="213"/>
      <c r="D207" s="214" t="str">
        <f>IFERROR(VLOOKUP($C207,'PORTIFÓLIO'!C:V,2,0),"")</f>
        <v/>
      </c>
      <c r="E207" s="211" t="str">
        <f>IFERROR(VLOOKUP($C207,'PORTIFÓLIO'!C:V,3,0),"")</f>
        <v/>
      </c>
      <c r="F207" s="211" t="str">
        <f>IFERROR(VLOOKUP($C207,'PORTIFÓLIO'!C:V,4,0),"")</f>
        <v/>
      </c>
      <c r="G207" s="215" t="str">
        <f>IFERROR(VLOOKUP($C207,'PORTIFÓLIO'!C:V,5,0),"")</f>
        <v/>
      </c>
      <c r="H207" s="254" t="str">
        <f t="array" ref="H207">IFERROR(INDEX('PORTIFÓLIO'!$H$4:$H$433,MATCH($C207,'PORTIFÓLIO'!$C$4:$C$433,0)),"")</f>
        <v/>
      </c>
      <c r="I207" s="256"/>
      <c r="J207" s="218">
        <f t="shared" si="24"/>
        <v>0</v>
      </c>
      <c r="K207" s="219" t="str">
        <f>IFERROR(I207* VLOOKUP($C207,'PORTIFÓLIO'!C:V,10,0),"")</f>
        <v/>
      </c>
      <c r="L207" s="219" t="str">
        <f>IFERROR(J207* VLOOKUP($C207,'PORTIFÓLIO'!C:V,10,0),"")</f>
        <v/>
      </c>
      <c r="M207" s="220"/>
      <c r="N207" s="220"/>
      <c r="O207" s="220"/>
      <c r="P207" s="220"/>
      <c r="Q207" s="220"/>
      <c r="R207" s="220"/>
      <c r="S207" s="220"/>
      <c r="T207" s="220"/>
      <c r="U207" s="220"/>
      <c r="V207" s="220"/>
      <c r="W207" s="220"/>
    </row>
    <row r="208" ht="15.75" customHeight="1" outlineLevel="1">
      <c r="A208" s="211"/>
      <c r="B208" s="212"/>
      <c r="C208" s="213"/>
      <c r="D208" s="214" t="str">
        <f>IFERROR(VLOOKUP($C208,'PORTIFÓLIO'!C:V,2,0),"")</f>
        <v/>
      </c>
      <c r="E208" s="211" t="str">
        <f>IFERROR(VLOOKUP($C208,'PORTIFÓLIO'!C:V,3,0),"")</f>
        <v/>
      </c>
      <c r="F208" s="211" t="str">
        <f>IFERROR(VLOOKUP($C208,'PORTIFÓLIO'!C:V,4,0),"")</f>
        <v/>
      </c>
      <c r="G208" s="215" t="str">
        <f>IFERROR(VLOOKUP($C208,'PORTIFÓLIO'!C:V,5,0),"")</f>
        <v/>
      </c>
      <c r="H208" s="254" t="str">
        <f t="array" ref="H208">IFERROR(INDEX('PORTIFÓLIO'!$H$4:$H$433,MATCH($C208,'PORTIFÓLIO'!$C$4:$C$433,0)),"")</f>
        <v/>
      </c>
      <c r="I208" s="256"/>
      <c r="J208" s="218">
        <f t="shared" si="24"/>
        <v>0</v>
      </c>
      <c r="K208" s="219" t="str">
        <f>IFERROR(I208* VLOOKUP($C208,'PORTIFÓLIO'!C:V,10,0),"")</f>
        <v/>
      </c>
      <c r="L208" s="219" t="str">
        <f>IFERROR(J208* VLOOKUP($C208,'PORTIFÓLIO'!C:V,10,0),"")</f>
        <v/>
      </c>
      <c r="M208" s="220"/>
      <c r="N208" s="220"/>
      <c r="O208" s="220"/>
      <c r="P208" s="220"/>
      <c r="Q208" s="220"/>
      <c r="R208" s="220"/>
      <c r="S208" s="220"/>
      <c r="T208" s="220"/>
      <c r="U208" s="220"/>
      <c r="V208" s="220"/>
      <c r="W208" s="220"/>
    </row>
    <row r="209" ht="15.75" customHeight="1" outlineLevel="1">
      <c r="A209" s="211"/>
      <c r="B209" s="212"/>
      <c r="C209" s="213"/>
      <c r="D209" s="214" t="str">
        <f>IFERROR(VLOOKUP($C209,'PORTIFÓLIO'!C:V,2,0),"")</f>
        <v/>
      </c>
      <c r="E209" s="211" t="str">
        <f>IFERROR(VLOOKUP($C209,'PORTIFÓLIO'!C:V,3,0),"")</f>
        <v/>
      </c>
      <c r="F209" s="211" t="str">
        <f>IFERROR(VLOOKUP($C209,'PORTIFÓLIO'!C:V,4,0),"")</f>
        <v/>
      </c>
      <c r="G209" s="215" t="str">
        <f>IFERROR(VLOOKUP($C209,'PORTIFÓLIO'!C:V,5,0),"")</f>
        <v/>
      </c>
      <c r="H209" s="254" t="str">
        <f t="array" ref="H209">IFERROR(INDEX('PORTIFÓLIO'!$H$4:$H$433,MATCH($C209,'PORTIFÓLIO'!$C$4:$C$433,0)),"")</f>
        <v/>
      </c>
      <c r="I209" s="256"/>
      <c r="J209" s="218">
        <f t="shared" si="24"/>
        <v>0</v>
      </c>
      <c r="K209" s="219" t="str">
        <f>IFERROR(I209* VLOOKUP($C209,'PORTIFÓLIO'!C:V,10,0),"")</f>
        <v/>
      </c>
      <c r="L209" s="219" t="str">
        <f>IFERROR(J209* VLOOKUP($C209,'PORTIFÓLIO'!C:V,10,0),"")</f>
        <v/>
      </c>
      <c r="M209" s="220"/>
      <c r="N209" s="220"/>
      <c r="O209" s="220"/>
      <c r="P209" s="220"/>
      <c r="Q209" s="220"/>
      <c r="R209" s="220"/>
      <c r="S209" s="220"/>
      <c r="T209" s="220"/>
      <c r="U209" s="220"/>
      <c r="V209" s="220"/>
      <c r="W209" s="220"/>
    </row>
    <row r="210" ht="15.75" customHeight="1" outlineLevel="1">
      <c r="A210" s="211"/>
      <c r="B210" s="212"/>
      <c r="C210" s="213"/>
      <c r="D210" s="214" t="str">
        <f>IFERROR(VLOOKUP($C210,'PORTIFÓLIO'!C:V,2,0),"")</f>
        <v/>
      </c>
      <c r="E210" s="211" t="str">
        <f>IFERROR(VLOOKUP($C210,'PORTIFÓLIO'!C:V,3,0),"")</f>
        <v/>
      </c>
      <c r="F210" s="211" t="str">
        <f>IFERROR(VLOOKUP($C210,'PORTIFÓLIO'!C:V,4,0),"")</f>
        <v/>
      </c>
      <c r="G210" s="215" t="str">
        <f>IFERROR(VLOOKUP($C210,'PORTIFÓLIO'!C:V,5,0),"")</f>
        <v/>
      </c>
      <c r="H210" s="254" t="str">
        <f t="array" ref="H210">IFERROR(INDEX('PORTIFÓLIO'!$H$4:$H$433,MATCH($C210,'PORTIFÓLIO'!$C$4:$C$433,0)),"")</f>
        <v/>
      </c>
      <c r="I210" s="256"/>
      <c r="J210" s="218">
        <f t="shared" si="24"/>
        <v>0</v>
      </c>
      <c r="K210" s="219" t="str">
        <f>IFERROR(I210* VLOOKUP($C210,'PORTIFÓLIO'!C:V,10,0),"")</f>
        <v/>
      </c>
      <c r="L210" s="219" t="str">
        <f>IFERROR(J210* VLOOKUP($C210,'PORTIFÓLIO'!C:V,10,0),"")</f>
        <v/>
      </c>
      <c r="M210" s="220"/>
      <c r="N210" s="220"/>
      <c r="O210" s="220"/>
      <c r="P210" s="220"/>
      <c r="Q210" s="220"/>
      <c r="R210" s="220"/>
      <c r="S210" s="220"/>
      <c r="T210" s="220"/>
      <c r="U210" s="220"/>
      <c r="V210" s="220"/>
      <c r="W210" s="220"/>
    </row>
    <row r="211" ht="15.75" customHeight="1" outlineLevel="1">
      <c r="A211" s="211"/>
      <c r="B211" s="212"/>
      <c r="C211" s="213"/>
      <c r="D211" s="214" t="str">
        <f>IFERROR(VLOOKUP($C211,'PORTIFÓLIO'!C:V,2,0),"")</f>
        <v/>
      </c>
      <c r="E211" s="211" t="str">
        <f>IFERROR(VLOOKUP($C211,'PORTIFÓLIO'!C:V,3,0),"")</f>
        <v/>
      </c>
      <c r="F211" s="211" t="str">
        <f>IFERROR(VLOOKUP($C211,'PORTIFÓLIO'!C:V,4,0),"")</f>
        <v/>
      </c>
      <c r="G211" s="215" t="str">
        <f>IFERROR(VLOOKUP($C211,'PORTIFÓLIO'!C:V,5,0),"")</f>
        <v/>
      </c>
      <c r="H211" s="254" t="str">
        <f t="array" ref="H211">IFERROR(INDEX('PORTIFÓLIO'!$H$4:$H$433,MATCH($C211,'PORTIFÓLIO'!$C$4:$C$433,0)),"")</f>
        <v/>
      </c>
      <c r="I211" s="256"/>
      <c r="J211" s="218">
        <f t="shared" si="24"/>
        <v>0</v>
      </c>
      <c r="K211" s="219" t="str">
        <f>IFERROR(I211* VLOOKUP($C211,'PORTIFÓLIO'!C:V,10,0),"")</f>
        <v/>
      </c>
      <c r="L211" s="219" t="str">
        <f>IFERROR(J211* VLOOKUP($C211,'PORTIFÓLIO'!C:V,10,0),"")</f>
        <v/>
      </c>
      <c r="M211" s="220"/>
      <c r="N211" s="220"/>
      <c r="O211" s="220"/>
      <c r="P211" s="220"/>
      <c r="Q211" s="220"/>
      <c r="R211" s="220"/>
      <c r="S211" s="220"/>
      <c r="T211" s="220"/>
      <c r="U211" s="220"/>
      <c r="V211" s="220"/>
      <c r="W211" s="220"/>
    </row>
    <row r="212" ht="15.75" customHeight="1" outlineLevel="1">
      <c r="A212" s="211"/>
      <c r="B212" s="212"/>
      <c r="C212" s="213"/>
      <c r="D212" s="214" t="str">
        <f>IFERROR(VLOOKUP($C212,'PORTIFÓLIO'!C:V,2,0),"")</f>
        <v/>
      </c>
      <c r="E212" s="211" t="str">
        <f>IFERROR(VLOOKUP($C212,'PORTIFÓLIO'!C:V,3,0),"")</f>
        <v/>
      </c>
      <c r="F212" s="211" t="str">
        <f>IFERROR(VLOOKUP($C212,'PORTIFÓLIO'!C:V,4,0),"")</f>
        <v/>
      </c>
      <c r="G212" s="215" t="str">
        <f>IFERROR(VLOOKUP($C212,'PORTIFÓLIO'!C:V,5,0),"")</f>
        <v/>
      </c>
      <c r="H212" s="254" t="str">
        <f t="array" ref="H212">IFERROR(INDEX('PORTIFÓLIO'!$H$4:$H$433,MATCH($C212,'PORTIFÓLIO'!$C$4:$C$433,0)),"")</f>
        <v/>
      </c>
      <c r="I212" s="256"/>
      <c r="J212" s="218">
        <f t="shared" si="24"/>
        <v>0</v>
      </c>
      <c r="K212" s="219" t="str">
        <f>IFERROR(I212* VLOOKUP($C212,'PORTIFÓLIO'!C:V,10,0),"")</f>
        <v/>
      </c>
      <c r="L212" s="219" t="str">
        <f>IFERROR(J212* VLOOKUP($C212,'PORTIFÓLIO'!C:V,10,0),"")</f>
        <v/>
      </c>
      <c r="M212" s="220"/>
      <c r="N212" s="220"/>
      <c r="O212" s="220"/>
      <c r="P212" s="220"/>
      <c r="Q212" s="220"/>
      <c r="R212" s="220"/>
      <c r="S212" s="220"/>
      <c r="T212" s="220"/>
      <c r="U212" s="220"/>
      <c r="V212" s="220"/>
      <c r="W212" s="220"/>
    </row>
    <row r="213" ht="15.75" customHeight="1" outlineLevel="1">
      <c r="A213" s="211"/>
      <c r="B213" s="212"/>
      <c r="C213" s="213"/>
      <c r="D213" s="214" t="str">
        <f>IFERROR(VLOOKUP($C213,'PORTIFÓLIO'!C:V,2,0),"")</f>
        <v/>
      </c>
      <c r="E213" s="211" t="str">
        <f>IFERROR(VLOOKUP($C213,'PORTIFÓLIO'!C:V,3,0),"")</f>
        <v/>
      </c>
      <c r="F213" s="211" t="str">
        <f>IFERROR(VLOOKUP($C213,'PORTIFÓLIO'!C:V,4,0),"")</f>
        <v/>
      </c>
      <c r="G213" s="215" t="str">
        <f>IFERROR(VLOOKUP($C213,'PORTIFÓLIO'!C:V,5,0),"")</f>
        <v/>
      </c>
      <c r="H213" s="254" t="str">
        <f t="array" ref="H213">IFERROR(INDEX('PORTIFÓLIO'!$H$4:$H$433,MATCH($C213,'PORTIFÓLIO'!$C$4:$C$433,0)),"")</f>
        <v/>
      </c>
      <c r="I213" s="256"/>
      <c r="J213" s="218">
        <f t="shared" si="24"/>
        <v>0</v>
      </c>
      <c r="K213" s="219" t="str">
        <f>IFERROR(I213* VLOOKUP($C213,'PORTIFÓLIO'!C:V,10,0),"")</f>
        <v/>
      </c>
      <c r="L213" s="219" t="str">
        <f>IFERROR(J213* VLOOKUP($C213,'PORTIFÓLIO'!C:V,10,0),"")</f>
        <v/>
      </c>
      <c r="M213" s="220"/>
      <c r="N213" s="220"/>
      <c r="O213" s="220"/>
      <c r="P213" s="220"/>
      <c r="Q213" s="220"/>
      <c r="R213" s="220"/>
      <c r="S213" s="220"/>
      <c r="T213" s="220"/>
      <c r="U213" s="220"/>
      <c r="V213" s="220"/>
      <c r="W213" s="220"/>
    </row>
    <row r="214" ht="15.75" customHeight="1" outlineLevel="1">
      <c r="A214" s="211"/>
      <c r="B214" s="212"/>
      <c r="C214" s="213"/>
      <c r="D214" s="214" t="str">
        <f>IFERROR(VLOOKUP($C214,'PORTIFÓLIO'!C:V,2,0),"")</f>
        <v/>
      </c>
      <c r="E214" s="211" t="str">
        <f>IFERROR(VLOOKUP($C214,'PORTIFÓLIO'!C:V,3,0),"")</f>
        <v/>
      </c>
      <c r="F214" s="211" t="str">
        <f>IFERROR(VLOOKUP($C214,'PORTIFÓLIO'!C:V,4,0),"")</f>
        <v/>
      </c>
      <c r="G214" s="215" t="str">
        <f>IFERROR(VLOOKUP($C214,'PORTIFÓLIO'!C:V,5,0),"")</f>
        <v/>
      </c>
      <c r="H214" s="254" t="str">
        <f t="array" ref="H214">IFERROR(INDEX('PORTIFÓLIO'!$H$4:$H$433,MATCH($C214,'PORTIFÓLIO'!$C$4:$C$433,0)),"")</f>
        <v/>
      </c>
      <c r="I214" s="256"/>
      <c r="J214" s="218">
        <f t="shared" si="24"/>
        <v>0</v>
      </c>
      <c r="K214" s="219" t="str">
        <f>IFERROR(I214* VLOOKUP($C214,'PORTIFÓLIO'!C:V,10,0),"")</f>
        <v/>
      </c>
      <c r="L214" s="219" t="str">
        <f>IFERROR(J214* VLOOKUP($C214,'PORTIFÓLIO'!C:V,10,0),"")</f>
        <v/>
      </c>
      <c r="M214" s="220"/>
      <c r="N214" s="220"/>
      <c r="O214" s="220"/>
      <c r="P214" s="220"/>
      <c r="Q214" s="220"/>
      <c r="R214" s="220"/>
      <c r="S214" s="220"/>
      <c r="T214" s="220"/>
      <c r="U214" s="220"/>
      <c r="V214" s="220"/>
      <c r="W214" s="220"/>
    </row>
    <row r="215" ht="15.75" customHeight="1" outlineLevel="1">
      <c r="A215" s="211"/>
      <c r="B215" s="212"/>
      <c r="C215" s="213"/>
      <c r="D215" s="214" t="str">
        <f>IFERROR(VLOOKUP($C215,'PORTIFÓLIO'!C:V,2,0),"")</f>
        <v/>
      </c>
      <c r="E215" s="211" t="str">
        <f>IFERROR(VLOOKUP($C215,'PORTIFÓLIO'!C:V,3,0),"")</f>
        <v/>
      </c>
      <c r="F215" s="211" t="str">
        <f>IFERROR(VLOOKUP($C215,'PORTIFÓLIO'!C:V,4,0),"")</f>
        <v/>
      </c>
      <c r="G215" s="215" t="str">
        <f>IFERROR(VLOOKUP($C215,'PORTIFÓLIO'!C:V,5,0),"")</f>
        <v/>
      </c>
      <c r="H215" s="254" t="str">
        <f t="array" ref="H215">IFERROR(INDEX('PORTIFÓLIO'!$H$4:$H$433,MATCH($C215,'PORTIFÓLIO'!$C$4:$C$433,0)),"")</f>
        <v/>
      </c>
      <c r="I215" s="256"/>
      <c r="J215" s="218">
        <f t="shared" si="24"/>
        <v>0</v>
      </c>
      <c r="K215" s="219" t="str">
        <f>IFERROR(I215* VLOOKUP($C215,'PORTIFÓLIO'!C:V,10,0),"")</f>
        <v/>
      </c>
      <c r="L215" s="219" t="str">
        <f>IFERROR(J215* VLOOKUP($C215,'PORTIFÓLIO'!C:V,10,0),"")</f>
        <v/>
      </c>
      <c r="M215" s="220"/>
      <c r="N215" s="220"/>
      <c r="O215" s="220"/>
      <c r="P215" s="220"/>
      <c r="Q215" s="220"/>
      <c r="R215" s="220"/>
      <c r="S215" s="220"/>
      <c r="T215" s="220"/>
      <c r="U215" s="220"/>
      <c r="V215" s="220"/>
      <c r="W215" s="220"/>
    </row>
    <row r="216" ht="15.75" customHeight="1" outlineLevel="1">
      <c r="A216" s="211"/>
      <c r="B216" s="227"/>
      <c r="C216" s="211"/>
      <c r="D216" s="214" t="str">
        <f>IFERROR(VLOOKUP($C216,'PORTIFÓLIO'!C:V,2,0),"")</f>
        <v/>
      </c>
      <c r="E216" s="211" t="str">
        <f>IFERROR(VLOOKUP($C216,'PORTIFÓLIO'!C:V,3,0),"")</f>
        <v/>
      </c>
      <c r="F216" s="211" t="str">
        <f>IFERROR(VLOOKUP($C216,'PORTIFÓLIO'!C:V,4,0),"")</f>
        <v/>
      </c>
      <c r="G216" s="215" t="str">
        <f>IFERROR(VLOOKUP($C216,'PORTIFÓLIO'!C:V,5,0),"")</f>
        <v/>
      </c>
      <c r="H216" s="254" t="str">
        <f t="array" ref="H216">IFERROR(INDEX('PORTIFÓLIO'!$H$4:$H$433,MATCH($C216,'PORTIFÓLIO'!$C$4:$C$433,0)),"")</f>
        <v/>
      </c>
      <c r="I216" s="256"/>
      <c r="J216" s="218">
        <f t="shared" si="24"/>
        <v>0</v>
      </c>
      <c r="K216" s="219" t="str">
        <f>IFERROR(I216* VLOOKUP($C216,'PORTIFÓLIO'!C:V,10,0),"")</f>
        <v/>
      </c>
      <c r="L216" s="219" t="str">
        <f>IFERROR(J216* VLOOKUP($C216,'PORTIFÓLIO'!C:V,10,0),"")</f>
        <v/>
      </c>
      <c r="M216" s="220"/>
      <c r="N216" s="220"/>
      <c r="O216" s="220"/>
      <c r="P216" s="220"/>
      <c r="Q216" s="220"/>
      <c r="R216" s="220"/>
      <c r="S216" s="220"/>
      <c r="T216" s="220"/>
      <c r="U216" s="220"/>
      <c r="V216" s="220"/>
      <c r="W216" s="220"/>
    </row>
    <row r="217" ht="15.75" customHeight="1" outlineLevel="1">
      <c r="A217" s="211"/>
      <c r="B217" s="227"/>
      <c r="C217" s="211"/>
      <c r="D217" s="214" t="str">
        <f>IFERROR(VLOOKUP($C217,'PORTIFÓLIO'!C:V,2,0),"")</f>
        <v/>
      </c>
      <c r="E217" s="211" t="str">
        <f>IFERROR(VLOOKUP($C217,'PORTIFÓLIO'!C:V,3,0),"")</f>
        <v/>
      </c>
      <c r="F217" s="211" t="str">
        <f>IFERROR(VLOOKUP($C217,'PORTIFÓLIO'!C:V,4,0),"")</f>
        <v/>
      </c>
      <c r="G217" s="215" t="str">
        <f>IFERROR(VLOOKUP($C217,'PORTIFÓLIO'!C:V,5,0),"")</f>
        <v/>
      </c>
      <c r="H217" s="254" t="str">
        <f t="array" ref="H217">IFERROR(INDEX('PORTIFÓLIO'!$H$4:$H$433,MATCH($C217,'PORTIFÓLIO'!$C$4:$C$433,0)),"")</f>
        <v/>
      </c>
      <c r="I217" s="256"/>
      <c r="J217" s="218">
        <f t="shared" si="24"/>
        <v>0</v>
      </c>
      <c r="K217" s="219" t="str">
        <f>IFERROR(I217* VLOOKUP($C217,'PORTIFÓLIO'!C:V,10,0),"")</f>
        <v/>
      </c>
      <c r="L217" s="219" t="str">
        <f>IFERROR(J217* VLOOKUP($C217,'PORTIFÓLIO'!C:V,10,0),"")</f>
        <v/>
      </c>
      <c r="M217" s="220"/>
      <c r="N217" s="220"/>
      <c r="O217" s="220"/>
      <c r="P217" s="220"/>
      <c r="Q217" s="220"/>
      <c r="R217" s="220"/>
      <c r="S217" s="220"/>
      <c r="T217" s="220"/>
      <c r="U217" s="220"/>
      <c r="V217" s="220"/>
      <c r="W217" s="220"/>
    </row>
    <row r="218" ht="15.75" customHeight="1" outlineLevel="1">
      <c r="A218" s="211"/>
      <c r="B218" s="227"/>
      <c r="C218" s="211"/>
      <c r="D218" s="214" t="str">
        <f>IFERROR(VLOOKUP($C218,'PORTIFÓLIO'!C:V,2,0),"")</f>
        <v/>
      </c>
      <c r="E218" s="211" t="str">
        <f>IFERROR(VLOOKUP($C218,'PORTIFÓLIO'!C:V,3,0),"")</f>
        <v/>
      </c>
      <c r="F218" s="211" t="str">
        <f>IFERROR(VLOOKUP($C218,'PORTIFÓLIO'!C:V,4,0),"")</f>
        <v/>
      </c>
      <c r="G218" s="215" t="str">
        <f>IFERROR(VLOOKUP($C218,'PORTIFÓLIO'!C:V,5,0),"")</f>
        <v/>
      </c>
      <c r="H218" s="254" t="str">
        <f t="array" ref="H218">IFERROR(INDEX('PORTIFÓLIO'!$H$4:$H$433,MATCH($C218,'PORTIFÓLIO'!$C$4:$C$433,0)),"")</f>
        <v/>
      </c>
      <c r="I218" s="256"/>
      <c r="J218" s="218">
        <f t="shared" si="24"/>
        <v>0</v>
      </c>
      <c r="K218" s="219" t="str">
        <f>IFERROR(I218* VLOOKUP($C218,'PORTIFÓLIO'!C:V,10,0),"")</f>
        <v/>
      </c>
      <c r="L218" s="219" t="str">
        <f>IFERROR(J218* VLOOKUP($C218,'PORTIFÓLIO'!C:V,10,0),"")</f>
        <v/>
      </c>
      <c r="M218" s="220"/>
      <c r="N218" s="220"/>
      <c r="O218" s="220"/>
      <c r="P218" s="220"/>
      <c r="Q218" s="220"/>
      <c r="R218" s="220"/>
      <c r="S218" s="220"/>
      <c r="T218" s="220"/>
      <c r="U218" s="220"/>
      <c r="V218" s="220"/>
      <c r="W218" s="220"/>
    </row>
    <row r="219" ht="15.75" customHeight="1" outlineLevel="1">
      <c r="A219" s="211"/>
      <c r="B219" s="227"/>
      <c r="C219" s="211"/>
      <c r="D219" s="214" t="str">
        <f>IFERROR(VLOOKUP($C219,'PORTIFÓLIO'!C:V,2,0),"")</f>
        <v/>
      </c>
      <c r="E219" s="211" t="str">
        <f>IFERROR(VLOOKUP($C219,'PORTIFÓLIO'!C:V,3,0),"")</f>
        <v/>
      </c>
      <c r="F219" s="211" t="str">
        <f>IFERROR(VLOOKUP($C219,'PORTIFÓLIO'!C:V,4,0),"")</f>
        <v/>
      </c>
      <c r="G219" s="215" t="str">
        <f>IFERROR(VLOOKUP($C219,'PORTIFÓLIO'!C:V,5,0),"")</f>
        <v/>
      </c>
      <c r="H219" s="254" t="str">
        <f t="array" ref="H219">IFERROR(INDEX('PORTIFÓLIO'!$H$4:$H$433,MATCH($C219,'PORTIFÓLIO'!$C$4:$C$433,0)),"")</f>
        <v/>
      </c>
      <c r="I219" s="256"/>
      <c r="J219" s="218">
        <f t="shared" si="24"/>
        <v>0</v>
      </c>
      <c r="K219" s="219" t="str">
        <f>IFERROR(I219* VLOOKUP($C219,'PORTIFÓLIO'!C:V,10,0),"")</f>
        <v/>
      </c>
      <c r="L219" s="219" t="str">
        <f>IFERROR(J219* VLOOKUP($C219,'PORTIFÓLIO'!C:V,10,0),"")</f>
        <v/>
      </c>
      <c r="M219" s="220"/>
      <c r="N219" s="220"/>
      <c r="O219" s="220"/>
      <c r="P219" s="220"/>
      <c r="Q219" s="220"/>
      <c r="R219" s="220"/>
      <c r="S219" s="220"/>
      <c r="T219" s="220"/>
      <c r="U219" s="220"/>
      <c r="V219" s="220"/>
      <c r="W219" s="220"/>
    </row>
    <row r="220" ht="15.75" customHeight="1" outlineLevel="1">
      <c r="A220" s="211"/>
      <c r="B220" s="227"/>
      <c r="C220" s="211"/>
      <c r="D220" s="214" t="str">
        <f>IFERROR(VLOOKUP($C220,'PORTIFÓLIO'!C:V,2,0),"")</f>
        <v/>
      </c>
      <c r="E220" s="211" t="str">
        <f>IFERROR(VLOOKUP($C220,'PORTIFÓLIO'!C:V,3,0),"")</f>
        <v/>
      </c>
      <c r="F220" s="211" t="str">
        <f>IFERROR(VLOOKUP($C220,'PORTIFÓLIO'!C:V,4,0),"")</f>
        <v/>
      </c>
      <c r="G220" s="215" t="str">
        <f>IFERROR(VLOOKUP($C220,'PORTIFÓLIO'!C:V,5,0),"")</f>
        <v/>
      </c>
      <c r="H220" s="254" t="str">
        <f t="array" ref="H220">IFERROR(INDEX('PORTIFÓLIO'!$H$4:$H$433,MATCH($C220,'PORTIFÓLIO'!$C$4:$C$433,0)),"")</f>
        <v/>
      </c>
      <c r="I220" s="256"/>
      <c r="J220" s="218">
        <f t="shared" si="24"/>
        <v>0</v>
      </c>
      <c r="K220" s="219" t="str">
        <f>IFERROR(I220* VLOOKUP($C220,'PORTIFÓLIO'!C:V,10,0),"")</f>
        <v/>
      </c>
      <c r="L220" s="219" t="str">
        <f>IFERROR(J220* VLOOKUP($C220,'PORTIFÓLIO'!C:V,10,0),"")</f>
        <v/>
      </c>
      <c r="M220" s="220"/>
      <c r="N220" s="220"/>
      <c r="O220" s="220"/>
      <c r="P220" s="220"/>
      <c r="Q220" s="220"/>
      <c r="R220" s="220"/>
      <c r="S220" s="220"/>
      <c r="T220" s="220"/>
      <c r="U220" s="220"/>
      <c r="V220" s="220"/>
      <c r="W220" s="220"/>
    </row>
    <row r="221" ht="15.75" customHeight="1" outlineLevel="1">
      <c r="A221" s="211"/>
      <c r="B221" s="227"/>
      <c r="C221" s="211"/>
      <c r="D221" s="214" t="str">
        <f>IFERROR(VLOOKUP($C221,'PORTIFÓLIO'!C:V,2,0),"")</f>
        <v/>
      </c>
      <c r="E221" s="211" t="str">
        <f>IFERROR(VLOOKUP($C221,'PORTIFÓLIO'!C:V,3,0),"")</f>
        <v/>
      </c>
      <c r="F221" s="211" t="str">
        <f>IFERROR(VLOOKUP($C221,'PORTIFÓLIO'!C:V,4,0),"")</f>
        <v/>
      </c>
      <c r="G221" s="215" t="str">
        <f>IFERROR(VLOOKUP($C221,'PORTIFÓLIO'!C:V,5,0),"")</f>
        <v/>
      </c>
      <c r="H221" s="254" t="str">
        <f t="array" ref="H221">IFERROR(INDEX('PORTIFÓLIO'!$H$4:$H$433,MATCH($C221,'PORTIFÓLIO'!$C$4:$C$433,0)),"")</f>
        <v/>
      </c>
      <c r="I221" s="256"/>
      <c r="J221" s="218">
        <f t="shared" si="24"/>
        <v>0</v>
      </c>
      <c r="K221" s="219" t="str">
        <f>IFERROR(I221* VLOOKUP($C221,'PORTIFÓLIO'!C:V,10,0),"")</f>
        <v/>
      </c>
      <c r="L221" s="219" t="str">
        <f>IFERROR(J221* VLOOKUP($C221,'PORTIFÓLIO'!C:V,10,0),"")</f>
        <v/>
      </c>
      <c r="M221" s="220"/>
      <c r="N221" s="220"/>
      <c r="O221" s="220"/>
      <c r="P221" s="220"/>
      <c r="Q221" s="220"/>
      <c r="R221" s="220"/>
      <c r="S221" s="220"/>
      <c r="T221" s="220"/>
      <c r="U221" s="220"/>
      <c r="V221" s="220"/>
      <c r="W221" s="220"/>
    </row>
    <row r="222" ht="15.75" customHeight="1" outlineLevel="1">
      <c r="A222" s="211"/>
      <c r="B222" s="227"/>
      <c r="C222" s="211"/>
      <c r="D222" s="214" t="str">
        <f>IFERROR(VLOOKUP($C222,'PORTIFÓLIO'!C:V,2,0),"")</f>
        <v/>
      </c>
      <c r="E222" s="211" t="str">
        <f>IFERROR(VLOOKUP($C222,'PORTIFÓLIO'!C:V,3,0),"")</f>
        <v/>
      </c>
      <c r="F222" s="211" t="str">
        <f>IFERROR(VLOOKUP($C222,'PORTIFÓLIO'!C:V,4,0),"")</f>
        <v/>
      </c>
      <c r="G222" s="215" t="str">
        <f>IFERROR(VLOOKUP($C222,'PORTIFÓLIO'!C:V,5,0),"")</f>
        <v/>
      </c>
      <c r="H222" s="254" t="str">
        <f t="array" ref="H222">IFERROR(INDEX('PORTIFÓLIO'!$H$4:$H$433,MATCH($C222,'PORTIFÓLIO'!$C$4:$C$433,0)),"")</f>
        <v/>
      </c>
      <c r="I222" s="256"/>
      <c r="J222" s="218">
        <f t="shared" si="24"/>
        <v>0</v>
      </c>
      <c r="K222" s="219" t="str">
        <f>IFERROR(I222* VLOOKUP($C222,'PORTIFÓLIO'!C:V,10,0),"")</f>
        <v/>
      </c>
      <c r="L222" s="219" t="str">
        <f>IFERROR(J222* VLOOKUP($C222,'PORTIFÓLIO'!C:V,10,0),"")</f>
        <v/>
      </c>
      <c r="M222" s="220"/>
      <c r="N222" s="220"/>
      <c r="O222" s="220"/>
      <c r="P222" s="220"/>
      <c r="Q222" s="220"/>
      <c r="R222" s="220"/>
      <c r="S222" s="220"/>
      <c r="T222" s="220"/>
      <c r="U222" s="220"/>
      <c r="V222" s="220"/>
      <c r="W222" s="220"/>
    </row>
    <row r="223" ht="15.75" customHeight="1" outlineLevel="1">
      <c r="A223" s="211"/>
      <c r="B223" s="227"/>
      <c r="C223" s="211"/>
      <c r="D223" s="214" t="str">
        <f>IFERROR(VLOOKUP($C223,'PORTIFÓLIO'!C:V,2,0),"")</f>
        <v/>
      </c>
      <c r="E223" s="211" t="str">
        <f>IFERROR(VLOOKUP($C223,'PORTIFÓLIO'!C:V,3,0),"")</f>
        <v/>
      </c>
      <c r="F223" s="211" t="str">
        <f>IFERROR(VLOOKUP($C223,'PORTIFÓLIO'!C:V,4,0),"")</f>
        <v/>
      </c>
      <c r="G223" s="215" t="str">
        <f>IFERROR(VLOOKUP($C223,'PORTIFÓLIO'!C:V,5,0),"")</f>
        <v/>
      </c>
      <c r="H223" s="254" t="str">
        <f t="array" ref="H223">IFERROR(INDEX('PORTIFÓLIO'!$H$4:$H$433,MATCH($C223,'PORTIFÓLIO'!$C$4:$C$433,0)),"")</f>
        <v/>
      </c>
      <c r="I223" s="256"/>
      <c r="J223" s="218">
        <f t="shared" si="24"/>
        <v>0</v>
      </c>
      <c r="K223" s="219" t="str">
        <f>IFERROR(I223* VLOOKUP($C223,'PORTIFÓLIO'!C:V,10,0),"")</f>
        <v/>
      </c>
      <c r="L223" s="219" t="str">
        <f>IFERROR(J223* VLOOKUP($C223,'PORTIFÓLIO'!C:V,10,0),"")</f>
        <v/>
      </c>
      <c r="M223" s="220"/>
      <c r="N223" s="220"/>
      <c r="O223" s="220"/>
      <c r="P223" s="220"/>
      <c r="Q223" s="220"/>
      <c r="R223" s="220"/>
      <c r="S223" s="220"/>
      <c r="T223" s="220"/>
      <c r="U223" s="220"/>
      <c r="V223" s="220"/>
      <c r="W223" s="220"/>
    </row>
    <row r="224" ht="15.75" customHeight="1" outlineLevel="1">
      <c r="A224" s="211"/>
      <c r="B224" s="227"/>
      <c r="C224" s="211"/>
      <c r="D224" s="214" t="str">
        <f>IFERROR(VLOOKUP($C224,'PORTIFÓLIO'!C:V,2,0),"")</f>
        <v/>
      </c>
      <c r="E224" s="211" t="str">
        <f>IFERROR(VLOOKUP($C224,'PORTIFÓLIO'!C:V,3,0),"")</f>
        <v/>
      </c>
      <c r="F224" s="211" t="str">
        <f>IFERROR(VLOOKUP($C224,'PORTIFÓLIO'!C:V,4,0),"")</f>
        <v/>
      </c>
      <c r="G224" s="215" t="str">
        <f>IFERROR(VLOOKUP($C224,'PORTIFÓLIO'!C:V,5,0),"")</f>
        <v/>
      </c>
      <c r="H224" s="254" t="str">
        <f t="array" ref="H224">IFERROR(INDEX('PORTIFÓLIO'!$H$4:$H$433,MATCH($C224,'PORTIFÓLIO'!$C$4:$C$433,0)),"")</f>
        <v/>
      </c>
      <c r="I224" s="256"/>
      <c r="J224" s="218">
        <f t="shared" si="24"/>
        <v>0</v>
      </c>
      <c r="K224" s="219" t="str">
        <f>IFERROR(I224* VLOOKUP($C224,'PORTIFÓLIO'!C:V,10,0),"")</f>
        <v/>
      </c>
      <c r="L224" s="219" t="str">
        <f>IFERROR(J224* VLOOKUP($C224,'PORTIFÓLIO'!C:V,10,0),"")</f>
        <v/>
      </c>
      <c r="M224" s="220"/>
      <c r="N224" s="220"/>
      <c r="O224" s="220"/>
      <c r="P224" s="220"/>
      <c r="Q224" s="220"/>
      <c r="R224" s="220"/>
      <c r="S224" s="220"/>
      <c r="T224" s="220"/>
      <c r="U224" s="220"/>
      <c r="V224" s="220"/>
      <c r="W224" s="220"/>
    </row>
    <row r="225" ht="15.75" customHeight="1">
      <c r="A225" s="227"/>
      <c r="B225" s="227"/>
      <c r="C225" s="227"/>
      <c r="D225" s="227"/>
      <c r="E225" s="227"/>
      <c r="F225" s="227"/>
      <c r="G225" s="215"/>
      <c r="H225" s="278" t="str">
        <f t="array" ref="H225">IFERROR(INDEX('PORTIFÓLIO'!$H$4:$H$433,MATCH($C225,'PORTIFÓLIO'!$C$4:$C$433,0)),"")</f>
        <v/>
      </c>
      <c r="I225" s="227"/>
      <c r="J225" s="227"/>
      <c r="K225" s="284">
        <f t="shared" ref="K225:L225" si="25">SUBTOTAL(9,K10:K200)</f>
        <v>1741.328599</v>
      </c>
      <c r="L225" s="284">
        <f t="shared" si="25"/>
        <v>104479.7159</v>
      </c>
      <c r="M225" s="220"/>
      <c r="N225" s="220"/>
      <c r="O225" s="220"/>
      <c r="P225" s="220"/>
      <c r="Q225" s="220"/>
      <c r="R225" s="220"/>
      <c r="S225" s="220"/>
      <c r="T225" s="220"/>
      <c r="U225" s="220"/>
      <c r="V225" s="220"/>
      <c r="W225" s="220"/>
    </row>
    <row r="226" ht="15.75" customHeight="1">
      <c r="A226" s="285"/>
      <c r="B226" s="285"/>
      <c r="C226" s="285"/>
      <c r="D226" s="285"/>
      <c r="E226" s="285"/>
      <c r="F226" s="285"/>
      <c r="G226" s="286"/>
      <c r="H226" s="286"/>
      <c r="I226" s="285"/>
      <c r="J226" s="285"/>
      <c r="K226" s="285"/>
      <c r="L226" s="285"/>
      <c r="M226" s="285"/>
      <c r="N226" s="285"/>
      <c r="O226" s="285"/>
      <c r="P226" s="285"/>
      <c r="Q226" s="285"/>
      <c r="R226" s="285"/>
      <c r="S226" s="285"/>
      <c r="T226" s="285"/>
      <c r="U226" s="285"/>
      <c r="V226" s="285"/>
      <c r="W226" s="285"/>
    </row>
    <row r="227" ht="15.75" customHeight="1">
      <c r="A227" s="260" t="s">
        <v>1203</v>
      </c>
      <c r="B227" s="261" t="str">
        <f>'ÁREA PLANTIO'!B6</f>
        <v>ÁREA 3</v>
      </c>
      <c r="C227" s="262" t="s">
        <v>1166</v>
      </c>
      <c r="D227" s="263">
        <f>$K$452</f>
        <v>0</v>
      </c>
      <c r="E227" s="264"/>
      <c r="F227" s="265" t="s">
        <v>1167</v>
      </c>
      <c r="G227" s="266"/>
      <c r="H227" s="287" t="str">
        <f t="array" ref="H227">IFERROR(INDEX('PORTIFÓLIO'!$H$4:$H$433,MATCH($C227,'PORTIFÓLIO'!$C$4:$C$433,0)),"")</f>
        <v/>
      </c>
      <c r="I227" s="267"/>
      <c r="J227" s="267"/>
      <c r="K227" s="266"/>
      <c r="L227" s="220"/>
      <c r="M227" s="220"/>
      <c r="N227" s="220"/>
      <c r="O227" s="220"/>
      <c r="P227" s="220"/>
      <c r="Q227" s="220"/>
      <c r="R227" s="220"/>
      <c r="S227" s="220"/>
      <c r="T227" s="220"/>
      <c r="U227" s="220"/>
      <c r="V227" s="220"/>
      <c r="W227" s="220"/>
    </row>
    <row r="228" ht="15.75" customHeight="1">
      <c r="A228" s="260" t="s">
        <v>1168</v>
      </c>
      <c r="B228" s="268">
        <f>'ÁREA PLANTIO'!E6</f>
        <v>60</v>
      </c>
      <c r="C228" s="269" t="s">
        <v>1169</v>
      </c>
      <c r="D228" s="270" t="str">
        <f>'ÁREA PLANTIO'!I6</f>
        <v/>
      </c>
      <c r="E228" s="264"/>
      <c r="F228" s="264"/>
      <c r="G228" s="266"/>
      <c r="H228" s="287" t="str">
        <f t="array" ref="H228">IFERROR(INDEX('PORTIFÓLIO'!$H$4:$H$433,MATCH($C228,'PORTIFÓLIO'!$C$4:$C$433,0)),"")</f>
        <v/>
      </c>
      <c r="I228" s="267"/>
      <c r="J228" s="267"/>
      <c r="K228" s="266"/>
      <c r="L228" s="220"/>
      <c r="M228" s="220"/>
      <c r="N228" s="220"/>
      <c r="O228" s="220"/>
      <c r="P228" s="220"/>
      <c r="Q228" s="220"/>
      <c r="R228" s="220"/>
      <c r="S228" s="220"/>
      <c r="T228" s="220"/>
      <c r="U228" s="220"/>
      <c r="V228" s="220"/>
      <c r="W228" s="220"/>
    </row>
    <row r="229" ht="15.75" customHeight="1">
      <c r="A229" s="260" t="s">
        <v>1170</v>
      </c>
      <c r="B229" s="267" t="str">
        <f>'ÁREA PLANTIO'!H6</f>
        <v/>
      </c>
      <c r="C229" s="269" t="s">
        <v>1171</v>
      </c>
      <c r="D229" s="271" t="str">
        <f>D227/D228</f>
        <v>#DIV/0!</v>
      </c>
      <c r="E229" s="264"/>
      <c r="F229" s="264"/>
      <c r="G229" s="266"/>
      <c r="H229" s="287" t="str">
        <f t="array" ref="H229">IFERROR(INDEX('PORTIFÓLIO'!$H$4:$H$433,MATCH($C229,'PORTIFÓLIO'!$C$4:$C$433,0)),"")</f>
        <v/>
      </c>
      <c r="I229" s="267"/>
      <c r="J229" s="267"/>
      <c r="K229" s="266"/>
      <c r="L229" s="220"/>
      <c r="M229" s="220"/>
      <c r="N229" s="220"/>
      <c r="O229" s="220"/>
      <c r="P229" s="220"/>
      <c r="Q229" s="220"/>
      <c r="R229" s="220"/>
      <c r="S229" s="220"/>
      <c r="T229" s="220"/>
      <c r="U229" s="220"/>
      <c r="V229" s="220"/>
      <c r="W229" s="220"/>
    </row>
    <row r="230" ht="15.75" customHeight="1">
      <c r="A230" s="272" t="s">
        <v>1172</v>
      </c>
      <c r="B230" s="273">
        <v>45606.0</v>
      </c>
      <c r="C230" s="274"/>
      <c r="D230" s="275"/>
      <c r="E230" s="276"/>
      <c r="F230" s="264"/>
      <c r="G230" s="266"/>
      <c r="H230" s="287" t="str">
        <f t="array" ref="H230">IFERROR(INDEX('PORTIFÓLIO'!$H$4:$H$433,MATCH($C230,'PORTIFÓLIO'!$C$4:$C$433,0)),"")</f>
        <v/>
      </c>
      <c r="I230" s="267"/>
      <c r="J230" s="267"/>
      <c r="K230" s="266"/>
      <c r="L230" s="220"/>
      <c r="M230" s="220"/>
      <c r="N230" s="220"/>
      <c r="O230" s="220"/>
      <c r="P230" s="220"/>
      <c r="Q230" s="220"/>
      <c r="R230" s="220"/>
      <c r="S230" s="220"/>
      <c r="T230" s="220"/>
      <c r="U230" s="220"/>
      <c r="V230" s="220"/>
      <c r="W230" s="220"/>
    </row>
    <row r="231" ht="15.75" customHeight="1">
      <c r="E231" s="277"/>
      <c r="F231" s="264"/>
      <c r="G231" s="266"/>
      <c r="H231" s="287" t="str">
        <f t="array" ref="H231">IFERROR(INDEX('PORTIFÓLIO'!$H$4:$H$433,MATCH($C231,'PORTIFÓLIO'!$C$4:$C$433,0)),"")</f>
        <v/>
      </c>
      <c r="I231" s="267"/>
      <c r="J231" s="267"/>
      <c r="K231" s="266"/>
      <c r="L231" s="220"/>
      <c r="M231" s="220"/>
      <c r="N231" s="220"/>
      <c r="O231" s="220"/>
      <c r="P231" s="220"/>
      <c r="Q231" s="220"/>
      <c r="R231" s="220"/>
      <c r="S231" s="220"/>
      <c r="T231" s="220"/>
      <c r="U231" s="220"/>
      <c r="V231" s="220"/>
      <c r="W231" s="220"/>
    </row>
    <row r="232" ht="15.75" customHeight="1">
      <c r="A232" s="260"/>
      <c r="B232" s="267"/>
      <c r="C232" s="264"/>
      <c r="D232" s="264"/>
      <c r="E232" s="264"/>
      <c r="F232" s="264"/>
      <c r="G232" s="266"/>
      <c r="H232" s="287" t="str">
        <f t="array" ref="H232">IFERROR(INDEX('PORTIFÓLIO'!$H$4:$H$433,MATCH($C232,'PORTIFÓLIO'!$C$4:$C$433,0)),"")</f>
        <v/>
      </c>
      <c r="I232" s="267"/>
      <c r="J232" s="267"/>
      <c r="K232" s="266"/>
      <c r="L232" s="220"/>
      <c r="M232" s="220"/>
      <c r="N232" s="220"/>
      <c r="O232" s="220"/>
      <c r="P232" s="220"/>
      <c r="Q232" s="220"/>
      <c r="R232" s="220"/>
      <c r="S232" s="220"/>
      <c r="T232" s="220"/>
      <c r="U232" s="220"/>
      <c r="V232" s="220"/>
      <c r="W232" s="220"/>
    </row>
    <row r="233" ht="15.75" customHeight="1">
      <c r="A233" s="267"/>
      <c r="B233" s="267"/>
      <c r="C233" s="264"/>
      <c r="D233" s="264"/>
      <c r="E233" s="264"/>
      <c r="F233" s="264"/>
      <c r="G233" s="266"/>
      <c r="H233" s="287" t="str">
        <f t="array" ref="H233">IFERROR(INDEX('PORTIFÓLIO'!$H$4:$H$433,MATCH($C233,'PORTIFÓLIO'!$C$4:$C$433,0)),"")</f>
        <v/>
      </c>
      <c r="I233" s="267"/>
      <c r="J233" s="267"/>
      <c r="K233" s="266"/>
      <c r="L233" s="220"/>
      <c r="M233" s="220"/>
      <c r="N233" s="220"/>
      <c r="O233" s="220"/>
      <c r="P233" s="220"/>
      <c r="Q233" s="220"/>
      <c r="R233" s="220"/>
      <c r="S233" s="220"/>
      <c r="T233" s="220"/>
      <c r="U233" s="220"/>
      <c r="V233" s="220"/>
      <c r="W233" s="220"/>
    </row>
    <row r="234" ht="15.75" customHeight="1">
      <c r="A234" s="267"/>
      <c r="B234" s="267"/>
      <c r="C234" s="267"/>
      <c r="D234" s="267"/>
      <c r="E234" s="264"/>
      <c r="F234" s="264"/>
      <c r="G234" s="266"/>
      <c r="H234" s="287" t="str">
        <f t="array" ref="H234">IFERROR(INDEX('PORTIFÓLIO'!$H$4:$H$433,MATCH($C234,'PORTIFÓLIO'!$C$4:$C$433,0)),"")</f>
        <v/>
      </c>
      <c r="I234" s="267"/>
      <c r="J234" s="267"/>
      <c r="K234" s="266"/>
      <c r="L234" s="220"/>
      <c r="M234" s="220"/>
      <c r="N234" s="220"/>
      <c r="O234" s="220"/>
      <c r="P234" s="220"/>
      <c r="Q234" s="220"/>
      <c r="R234" s="220"/>
      <c r="S234" s="220"/>
      <c r="T234" s="220"/>
      <c r="U234" s="220"/>
      <c r="V234" s="220"/>
      <c r="W234" s="220"/>
    </row>
    <row r="235" ht="15.75" customHeight="1">
      <c r="A235" s="267"/>
      <c r="B235" s="267"/>
      <c r="C235" s="267"/>
      <c r="D235" s="267"/>
      <c r="E235" s="267"/>
      <c r="F235" s="267"/>
      <c r="G235" s="266"/>
      <c r="H235" s="287"/>
      <c r="I235" s="287"/>
      <c r="J235" s="288"/>
      <c r="K235" s="289"/>
      <c r="L235" s="290"/>
      <c r="M235" s="220"/>
      <c r="N235" s="220"/>
      <c r="O235" s="220"/>
      <c r="P235" s="220"/>
      <c r="Q235" s="220"/>
      <c r="R235" s="220"/>
      <c r="S235" s="220"/>
      <c r="T235" s="220"/>
      <c r="U235" s="220"/>
      <c r="V235" s="220"/>
      <c r="W235" s="220"/>
    </row>
    <row r="236" ht="15.75" customHeight="1">
      <c r="A236" s="211" t="s">
        <v>1173</v>
      </c>
      <c r="B236" s="213" t="s">
        <v>1174</v>
      </c>
      <c r="C236" s="213" t="s">
        <v>1175</v>
      </c>
      <c r="D236" s="211" t="s">
        <v>1176</v>
      </c>
      <c r="E236" s="211" t="s">
        <v>1177</v>
      </c>
      <c r="F236" s="211" t="s">
        <v>1178</v>
      </c>
      <c r="G236" s="291" t="s">
        <v>1180</v>
      </c>
      <c r="H236" s="278" t="s">
        <v>1179</v>
      </c>
      <c r="I236" s="278" t="s">
        <v>1181</v>
      </c>
      <c r="J236" s="279" t="s">
        <v>1134</v>
      </c>
      <c r="K236" s="280" t="s">
        <v>1182</v>
      </c>
      <c r="L236" s="281" t="s">
        <v>339</v>
      </c>
      <c r="M236" s="220"/>
      <c r="N236" s="220"/>
      <c r="O236" s="220"/>
      <c r="P236" s="220"/>
      <c r="Q236" s="220"/>
      <c r="R236" s="220"/>
      <c r="S236" s="220"/>
      <c r="T236" s="220"/>
      <c r="U236" s="220"/>
      <c r="V236" s="220"/>
      <c r="W236" s="220"/>
    </row>
    <row r="237" ht="15.75" customHeight="1">
      <c r="A237" s="231" t="s">
        <v>1183</v>
      </c>
      <c r="B237" s="230"/>
      <c r="C237" s="231"/>
      <c r="D237" s="232"/>
      <c r="E237" s="231"/>
      <c r="F237" s="231"/>
      <c r="G237" s="233"/>
      <c r="H237" s="233"/>
      <c r="I237" s="258"/>
      <c r="J237" s="236"/>
      <c r="K237" s="237">
        <f t="shared" ref="K237:L237" si="26">SUBTOTAL(9,K238:K251)</f>
        <v>0</v>
      </c>
      <c r="L237" s="237">
        <f t="shared" si="26"/>
        <v>0</v>
      </c>
      <c r="M237" s="220"/>
      <c r="N237" s="220"/>
      <c r="O237" s="220"/>
      <c r="P237" s="220"/>
      <c r="Q237" s="220"/>
      <c r="R237" s="220"/>
      <c r="S237" s="220"/>
      <c r="T237" s="220"/>
      <c r="U237" s="220"/>
      <c r="V237" s="220"/>
      <c r="W237" s="220"/>
    </row>
    <row r="238" ht="15.75" customHeight="1" outlineLevel="1">
      <c r="A238" s="211"/>
      <c r="B238" s="212"/>
      <c r="C238" s="213"/>
      <c r="D238" s="214" t="str">
        <f>IFERROR(VLOOKUP($C238,'PORTIFÓLIO'!C:V,2,0),"")</f>
        <v/>
      </c>
      <c r="E238" s="211" t="str">
        <f>IFERROR(VLOOKUP($C238,'PORTIFÓLIO'!C:V,3,0),"")</f>
        <v/>
      </c>
      <c r="F238" s="211" t="str">
        <f>IFERROR(VLOOKUP($C238,'PORTIFÓLIO'!C:V,4,0),"")</f>
        <v/>
      </c>
      <c r="G238" s="215" t="str">
        <f>IFERROR(VLOOKUP($C238,'PORTIFÓLIO'!C:V,5,0),"")</f>
        <v/>
      </c>
      <c r="H238" s="254" t="str">
        <f t="array" ref="H238">IFERROR(INDEX('PORTIFÓLIO'!$H$4:$H$433,MATCH($C238,'PORTIFÓLIO'!$C$4:$C$433,0)),"")</f>
        <v/>
      </c>
      <c r="I238" s="255"/>
      <c r="J238" s="218">
        <f t="shared" ref="J238:J251" si="27">I238*$B$2</f>
        <v>0</v>
      </c>
      <c r="K238" s="219" t="str">
        <f t="array" ref="K238">IFERROR(I238*INDEX('PORTIFÓLIO'!$S$4:$S$433,MATCH($C238,'PORTIFÓLIO'!$C$4:$C$433,0)),"")</f>
        <v/>
      </c>
      <c r="L238" s="219" t="str">
        <f t="array" ref="L238">IFERROR(J238*INDEX('PORTIFÓLIO'!$S$4:$S$433,MATCH($C238,'PORTIFÓLIO'!$C$4:$C$433,0)),"")</f>
        <v/>
      </c>
      <c r="M238" s="220"/>
      <c r="N238" s="220"/>
      <c r="O238" s="220"/>
      <c r="P238" s="220"/>
      <c r="Q238" s="220"/>
      <c r="R238" s="220"/>
      <c r="S238" s="220"/>
      <c r="T238" s="220"/>
      <c r="U238" s="220"/>
      <c r="V238" s="220"/>
      <c r="W238" s="220"/>
    </row>
    <row r="239" ht="15.75" customHeight="1" outlineLevel="1">
      <c r="A239" s="211"/>
      <c r="B239" s="212"/>
      <c r="C239" s="213"/>
      <c r="D239" s="214" t="str">
        <f>IFERROR(VLOOKUP($C239,'PORTIFÓLIO'!C:V,2,0),"")</f>
        <v/>
      </c>
      <c r="E239" s="211" t="str">
        <f>IFERROR(VLOOKUP($C239,'PORTIFÓLIO'!C:V,3,0),"")</f>
        <v/>
      </c>
      <c r="F239" s="211" t="str">
        <f>IFERROR(VLOOKUP($C239,'PORTIFÓLIO'!C:V,4,0),"")</f>
        <v/>
      </c>
      <c r="G239" s="215" t="str">
        <f>IFERROR(VLOOKUP($C239,'PORTIFÓLIO'!C:V,5,0),"")</f>
        <v/>
      </c>
      <c r="H239" s="254" t="str">
        <f t="array" ref="H239">IFERROR(INDEX('PORTIFÓLIO'!$H$4:$H$433,MATCH($C239,'PORTIFÓLIO'!$C$4:$C$433,0)),"")</f>
        <v/>
      </c>
      <c r="I239" s="255"/>
      <c r="J239" s="218">
        <f t="shared" si="27"/>
        <v>0</v>
      </c>
      <c r="K239" s="219" t="str">
        <f t="array" ref="K239">IFERROR(I239*INDEX('PORTIFÓLIO'!$S$4:$S$433,MATCH($C239,'PORTIFÓLIO'!$C$4:$C$433,0)),"")</f>
        <v/>
      </c>
      <c r="L239" s="219" t="str">
        <f t="array" ref="L239">IFERROR(J239*INDEX('PORTIFÓLIO'!$S$4:$S$433,MATCH($C239,'PORTIFÓLIO'!$C$4:$C$433,0)),"")</f>
        <v/>
      </c>
      <c r="M239" s="220"/>
      <c r="N239" s="220"/>
      <c r="O239" s="220"/>
      <c r="P239" s="220"/>
      <c r="Q239" s="220"/>
      <c r="R239" s="220"/>
      <c r="S239" s="220"/>
      <c r="T239" s="220"/>
      <c r="U239" s="220"/>
      <c r="V239" s="220"/>
      <c r="W239" s="220"/>
    </row>
    <row r="240" ht="15.75" customHeight="1" outlineLevel="1">
      <c r="A240" s="211"/>
      <c r="B240" s="212"/>
      <c r="C240" s="213"/>
      <c r="D240" s="214" t="str">
        <f>IFERROR(VLOOKUP($C240,'PORTIFÓLIO'!C:V,2,0),"")</f>
        <v/>
      </c>
      <c r="E240" s="211" t="str">
        <f>IFERROR(VLOOKUP($C240,'PORTIFÓLIO'!C:V,3,0),"")</f>
        <v/>
      </c>
      <c r="F240" s="211" t="str">
        <f>IFERROR(VLOOKUP($C240,'PORTIFÓLIO'!C:V,4,0),"")</f>
        <v/>
      </c>
      <c r="G240" s="215" t="str">
        <f>IFERROR(VLOOKUP($C240,'PORTIFÓLIO'!C:V,5,0),"")</f>
        <v/>
      </c>
      <c r="H240" s="254" t="str">
        <f t="array" ref="H240">IFERROR(INDEX('PORTIFÓLIO'!$H$4:$H$433,MATCH($C240,'PORTIFÓLIO'!$C$4:$C$433,0)),"")</f>
        <v/>
      </c>
      <c r="I240" s="256"/>
      <c r="J240" s="218">
        <f t="shared" si="27"/>
        <v>0</v>
      </c>
      <c r="K240" s="219" t="str">
        <f t="array" ref="K240">IFERROR(I240*INDEX('PORTIFÓLIO'!$S$4:$S$433,MATCH($C240,'PORTIFÓLIO'!$C$4:$C$433,0)),"")</f>
        <v/>
      </c>
      <c r="L240" s="219" t="str">
        <f t="array" ref="L240">IFERROR(J240*INDEX('PORTIFÓLIO'!$S$4:$S$433,MATCH($C240,'PORTIFÓLIO'!$C$4:$C$433,0)),"")</f>
        <v/>
      </c>
      <c r="M240" s="220"/>
      <c r="N240" s="220"/>
      <c r="O240" s="220"/>
      <c r="P240" s="220"/>
      <c r="Q240" s="220"/>
      <c r="R240" s="220"/>
      <c r="S240" s="220"/>
      <c r="T240" s="220"/>
      <c r="U240" s="220"/>
      <c r="V240" s="220"/>
      <c r="W240" s="220"/>
    </row>
    <row r="241" ht="15.75" customHeight="1" outlineLevel="1">
      <c r="A241" s="211"/>
      <c r="B241" s="212"/>
      <c r="C241" s="213"/>
      <c r="D241" s="214" t="str">
        <f>IFERROR(VLOOKUP($C241,'PORTIFÓLIO'!C:V,2,0),"")</f>
        <v/>
      </c>
      <c r="E241" s="211" t="str">
        <f>IFERROR(VLOOKUP($C241,'PORTIFÓLIO'!C:V,3,0),"")</f>
        <v/>
      </c>
      <c r="F241" s="211" t="str">
        <f>IFERROR(VLOOKUP($C241,'PORTIFÓLIO'!C:V,4,0),"")</f>
        <v/>
      </c>
      <c r="G241" s="215" t="str">
        <f>IFERROR(VLOOKUP($C241,'PORTIFÓLIO'!C:V,5,0),"")</f>
        <v/>
      </c>
      <c r="H241" s="254" t="str">
        <f t="array" ref="H241">IFERROR(INDEX('PORTIFÓLIO'!$H$4:$H$433,MATCH($C241,'PORTIFÓLIO'!$C$4:$C$433,0)),"")</f>
        <v/>
      </c>
      <c r="I241" s="256"/>
      <c r="J241" s="218">
        <f t="shared" si="27"/>
        <v>0</v>
      </c>
      <c r="K241" s="219" t="str">
        <f t="array" ref="K241">IFERROR(I241*INDEX('PORTIFÓLIO'!$S$4:$S$433,MATCH($C241,'PORTIFÓLIO'!$C$4:$C$433,0)),"")</f>
        <v/>
      </c>
      <c r="L241" s="219" t="str">
        <f t="array" ref="L241">IFERROR(J241*INDEX('PORTIFÓLIO'!$S$4:$S$433,MATCH($C241,'PORTIFÓLIO'!$C$4:$C$433,0)),"")</f>
        <v/>
      </c>
      <c r="M241" s="220"/>
      <c r="N241" s="220"/>
      <c r="O241" s="220"/>
      <c r="P241" s="220"/>
      <c r="Q241" s="220"/>
      <c r="R241" s="220"/>
      <c r="S241" s="220"/>
      <c r="T241" s="220"/>
      <c r="U241" s="220"/>
      <c r="V241" s="220"/>
      <c r="W241" s="220"/>
    </row>
    <row r="242" ht="15.75" customHeight="1" outlineLevel="1">
      <c r="A242" s="211"/>
      <c r="B242" s="212"/>
      <c r="C242" s="213"/>
      <c r="D242" s="214" t="str">
        <f>IFERROR(VLOOKUP($C242,'PORTIFÓLIO'!C:V,2,0),"")</f>
        <v/>
      </c>
      <c r="E242" s="211" t="str">
        <f>IFERROR(VLOOKUP($C242,'PORTIFÓLIO'!C:V,3,0),"")</f>
        <v/>
      </c>
      <c r="F242" s="211" t="str">
        <f>IFERROR(VLOOKUP($C242,'PORTIFÓLIO'!C:V,4,0),"")</f>
        <v/>
      </c>
      <c r="G242" s="215" t="str">
        <f>IFERROR(VLOOKUP($C242,'PORTIFÓLIO'!C:V,5,0),"")</f>
        <v/>
      </c>
      <c r="H242" s="254" t="str">
        <f t="array" ref="H242">IFERROR(INDEX('PORTIFÓLIO'!$H$4:$H$433,MATCH($C242,'PORTIFÓLIO'!$C$4:$C$433,0)),"")</f>
        <v/>
      </c>
      <c r="I242" s="255"/>
      <c r="J242" s="218">
        <f t="shared" si="27"/>
        <v>0</v>
      </c>
      <c r="K242" s="219" t="str">
        <f t="array" ref="K242">IFERROR(I242*INDEX('PORTIFÓLIO'!$S$4:$S$433,MATCH($C242,'PORTIFÓLIO'!$C$4:$C$433,0)),"")</f>
        <v/>
      </c>
      <c r="L242" s="219" t="str">
        <f t="array" ref="L242">IFERROR(J242*INDEX('PORTIFÓLIO'!$S$4:$S$433,MATCH($C242,'PORTIFÓLIO'!$C$4:$C$433,0)),"")</f>
        <v/>
      </c>
      <c r="M242" s="220"/>
      <c r="N242" s="220"/>
      <c r="O242" s="220"/>
      <c r="P242" s="220"/>
      <c r="Q242" s="220"/>
      <c r="R242" s="220"/>
      <c r="S242" s="220"/>
      <c r="T242" s="220"/>
      <c r="U242" s="220"/>
      <c r="V242" s="220"/>
      <c r="W242" s="220"/>
    </row>
    <row r="243" ht="15.75" customHeight="1" outlineLevel="1">
      <c r="A243" s="211"/>
      <c r="B243" s="212"/>
      <c r="C243" s="213"/>
      <c r="D243" s="214" t="str">
        <f>IFERROR(VLOOKUP($C243,'PORTIFÓLIO'!C:V,2,0),"")</f>
        <v/>
      </c>
      <c r="E243" s="211" t="str">
        <f>IFERROR(VLOOKUP($C243,'PORTIFÓLIO'!C:V,3,0),"")</f>
        <v/>
      </c>
      <c r="F243" s="211" t="str">
        <f>IFERROR(VLOOKUP($C243,'PORTIFÓLIO'!C:V,4,0),"")</f>
        <v/>
      </c>
      <c r="G243" s="215" t="str">
        <f>IFERROR(VLOOKUP($C243,'PORTIFÓLIO'!C:V,5,0),"")</f>
        <v/>
      </c>
      <c r="H243" s="254" t="str">
        <f t="array" ref="H243">IFERROR(INDEX('PORTIFÓLIO'!$H$4:$H$433,MATCH($C243,'PORTIFÓLIO'!$C$4:$C$433,0)),"")</f>
        <v/>
      </c>
      <c r="I243" s="256"/>
      <c r="J243" s="218">
        <f t="shared" si="27"/>
        <v>0</v>
      </c>
      <c r="K243" s="219" t="str">
        <f t="array" ref="K243">IFERROR(I243*INDEX('PORTIFÓLIO'!$S$4:$S$433,MATCH($C243,'PORTIFÓLIO'!$C$4:$C$433,0)),"")</f>
        <v/>
      </c>
      <c r="L243" s="219" t="str">
        <f t="array" ref="L243">IFERROR(J243*INDEX('PORTIFÓLIO'!$S$4:$S$433,MATCH($C243,'PORTIFÓLIO'!$C$4:$C$433,0)),"")</f>
        <v/>
      </c>
      <c r="M243" s="220"/>
      <c r="N243" s="220"/>
      <c r="O243" s="220"/>
      <c r="P243" s="220"/>
      <c r="Q243" s="220"/>
      <c r="R243" s="220"/>
      <c r="S243" s="220"/>
      <c r="T243" s="220"/>
      <c r="U243" s="220"/>
      <c r="V243" s="220"/>
      <c r="W243" s="220"/>
    </row>
    <row r="244" ht="15.75" customHeight="1" outlineLevel="1">
      <c r="A244" s="211"/>
      <c r="B244" s="212"/>
      <c r="C244" s="213"/>
      <c r="D244" s="214" t="str">
        <f>IFERROR(VLOOKUP($C244,'PORTIFÓLIO'!C:V,2,0),"")</f>
        <v/>
      </c>
      <c r="E244" s="211" t="str">
        <f>IFERROR(VLOOKUP($C244,'PORTIFÓLIO'!C:V,3,0),"")</f>
        <v/>
      </c>
      <c r="F244" s="211" t="str">
        <f>IFERROR(VLOOKUP($C244,'PORTIFÓLIO'!C:V,4,0),"")</f>
        <v/>
      </c>
      <c r="G244" s="215" t="str">
        <f>IFERROR(VLOOKUP($C244,'PORTIFÓLIO'!C:V,5,0),"")</f>
        <v/>
      </c>
      <c r="H244" s="254" t="str">
        <f t="array" ref="H244">IFERROR(INDEX('PORTIFÓLIO'!$H$4:$H$433,MATCH($C244,'PORTIFÓLIO'!$C$4:$C$433,0)),"")</f>
        <v/>
      </c>
      <c r="I244" s="256"/>
      <c r="J244" s="218">
        <f t="shared" si="27"/>
        <v>0</v>
      </c>
      <c r="K244" s="219" t="str">
        <f t="array" ref="K244">IFERROR(I244*INDEX('PORTIFÓLIO'!$S$4:$S$433,MATCH($C244,'PORTIFÓLIO'!$C$4:$C$433,0)),"")</f>
        <v/>
      </c>
      <c r="L244" s="219" t="str">
        <f t="array" ref="L244">IFERROR(J244*INDEX('PORTIFÓLIO'!$S$4:$S$433,MATCH($C244,'PORTIFÓLIO'!$C$4:$C$433,0)),"")</f>
        <v/>
      </c>
      <c r="M244" s="220"/>
      <c r="N244" s="220"/>
      <c r="O244" s="220"/>
      <c r="P244" s="220"/>
      <c r="Q244" s="220"/>
      <c r="R244" s="220"/>
      <c r="S244" s="220"/>
      <c r="T244" s="220"/>
      <c r="U244" s="220"/>
      <c r="V244" s="220"/>
      <c r="W244" s="220"/>
    </row>
    <row r="245" ht="15.75" customHeight="1" outlineLevel="1">
      <c r="A245" s="211"/>
      <c r="B245" s="212"/>
      <c r="C245" s="213"/>
      <c r="D245" s="214" t="str">
        <f>IFERROR(VLOOKUP($C245,'PORTIFÓLIO'!C:V,2,0),"")</f>
        <v/>
      </c>
      <c r="E245" s="211" t="str">
        <f>IFERROR(VLOOKUP($C245,'PORTIFÓLIO'!C:V,3,0),"")</f>
        <v/>
      </c>
      <c r="F245" s="211" t="str">
        <f>IFERROR(VLOOKUP($C245,'PORTIFÓLIO'!C:V,4,0),"")</f>
        <v/>
      </c>
      <c r="G245" s="215" t="str">
        <f>IFERROR(VLOOKUP($C245,'PORTIFÓLIO'!C:V,5,0),"")</f>
        <v/>
      </c>
      <c r="H245" s="254" t="str">
        <f t="array" ref="H245">IFERROR(INDEX('PORTIFÓLIO'!$H$4:$H$433,MATCH($C245,'PORTIFÓLIO'!$C$4:$C$433,0)),"")</f>
        <v/>
      </c>
      <c r="I245" s="256"/>
      <c r="J245" s="218">
        <f t="shared" si="27"/>
        <v>0</v>
      </c>
      <c r="K245" s="219" t="str">
        <f t="array" ref="K245">IFERROR(I245*INDEX('PORTIFÓLIO'!$S$4:$S$433,MATCH($C245,'PORTIFÓLIO'!$C$4:$C$433,0)),"")</f>
        <v/>
      </c>
      <c r="L245" s="219" t="str">
        <f t="array" ref="L245">IFERROR(J245*INDEX('PORTIFÓLIO'!$S$4:$S$433,MATCH($C245,'PORTIFÓLIO'!$C$4:$C$433,0)),"")</f>
        <v/>
      </c>
      <c r="M245" s="220"/>
      <c r="N245" s="220"/>
      <c r="O245" s="220"/>
      <c r="P245" s="220"/>
      <c r="Q245" s="220"/>
      <c r="R245" s="220"/>
      <c r="S245" s="220"/>
      <c r="T245" s="220"/>
      <c r="U245" s="220"/>
      <c r="V245" s="220"/>
      <c r="W245" s="220"/>
    </row>
    <row r="246" ht="15.75" customHeight="1" outlineLevel="1">
      <c r="A246" s="211"/>
      <c r="B246" s="212"/>
      <c r="C246" s="213"/>
      <c r="D246" s="214" t="str">
        <f>IFERROR(VLOOKUP($C246,'PORTIFÓLIO'!C:V,2,0),"")</f>
        <v/>
      </c>
      <c r="E246" s="211" t="str">
        <f>IFERROR(VLOOKUP($C246,'PORTIFÓLIO'!C:V,3,0),"")</f>
        <v/>
      </c>
      <c r="F246" s="211" t="str">
        <f>IFERROR(VLOOKUP($C246,'PORTIFÓLIO'!C:V,4,0),"")</f>
        <v/>
      </c>
      <c r="G246" s="215" t="str">
        <f>IFERROR(VLOOKUP($C246,'PORTIFÓLIO'!C:V,5,0),"")</f>
        <v/>
      </c>
      <c r="H246" s="254" t="str">
        <f t="array" ref="H246">IFERROR(INDEX('PORTIFÓLIO'!$H$4:$H$433,MATCH($C246,'PORTIFÓLIO'!$C$4:$C$433,0)),"")</f>
        <v/>
      </c>
      <c r="I246" s="255"/>
      <c r="J246" s="218">
        <f t="shared" si="27"/>
        <v>0</v>
      </c>
      <c r="K246" s="219" t="str">
        <f t="array" ref="K246">IFERROR(I246*INDEX('PORTIFÓLIO'!$S$4:$S$433,MATCH($C246,'PORTIFÓLIO'!$C$4:$C$433,0)),"")</f>
        <v/>
      </c>
      <c r="L246" s="219" t="str">
        <f t="array" ref="L246">IFERROR(J246*INDEX('PORTIFÓLIO'!$S$4:$S$433,MATCH($C246,'PORTIFÓLIO'!$C$4:$C$433,0)),"")</f>
        <v/>
      </c>
      <c r="M246" s="220"/>
      <c r="N246" s="220"/>
      <c r="O246" s="220"/>
      <c r="P246" s="220"/>
      <c r="Q246" s="220"/>
      <c r="R246" s="220"/>
      <c r="S246" s="220"/>
      <c r="T246" s="220"/>
      <c r="U246" s="220"/>
      <c r="V246" s="220"/>
      <c r="W246" s="220"/>
    </row>
    <row r="247" ht="15.75" customHeight="1" outlineLevel="1">
      <c r="A247" s="211"/>
      <c r="B247" s="212"/>
      <c r="C247" s="213"/>
      <c r="D247" s="214" t="str">
        <f>IFERROR(VLOOKUP($C247,'PORTIFÓLIO'!C:V,2,0),"")</f>
        <v/>
      </c>
      <c r="E247" s="211" t="str">
        <f>IFERROR(VLOOKUP($C247,'PORTIFÓLIO'!C:V,3,0),"")</f>
        <v/>
      </c>
      <c r="F247" s="211" t="str">
        <f>IFERROR(VLOOKUP($C247,'PORTIFÓLIO'!C:V,4,0),"")</f>
        <v/>
      </c>
      <c r="G247" s="215" t="str">
        <f>IFERROR(VLOOKUP($C247,'PORTIFÓLIO'!C:V,5,0),"")</f>
        <v/>
      </c>
      <c r="H247" s="254" t="str">
        <f t="array" ref="H247">IFERROR(INDEX('PORTIFÓLIO'!$H$4:$H$433,MATCH($C247,'PORTIFÓLIO'!$C$4:$C$433,0)),"")</f>
        <v/>
      </c>
      <c r="I247" s="255"/>
      <c r="J247" s="218">
        <f t="shared" si="27"/>
        <v>0</v>
      </c>
      <c r="K247" s="219" t="str">
        <f t="array" ref="K247">IFERROR(I247*INDEX('PORTIFÓLIO'!$S$4:$S$433,MATCH($C247,'PORTIFÓLIO'!$C$4:$C$433,0)),"")</f>
        <v/>
      </c>
      <c r="L247" s="219" t="str">
        <f t="array" ref="L247">IFERROR(J247*INDEX('PORTIFÓLIO'!$S$4:$S$433,MATCH($C247,'PORTIFÓLIO'!$C$4:$C$433,0)),"")</f>
        <v/>
      </c>
      <c r="M247" s="220"/>
      <c r="N247" s="220"/>
      <c r="O247" s="220"/>
      <c r="P247" s="220"/>
      <c r="Q247" s="220"/>
      <c r="R247" s="220"/>
      <c r="S247" s="220"/>
      <c r="T247" s="220"/>
      <c r="U247" s="220"/>
      <c r="V247" s="220"/>
      <c r="W247" s="220"/>
    </row>
    <row r="248" ht="15.75" customHeight="1" outlineLevel="1">
      <c r="A248" s="211"/>
      <c r="B248" s="212"/>
      <c r="C248" s="213"/>
      <c r="D248" s="214" t="str">
        <f>IFERROR(VLOOKUP($C248,'PORTIFÓLIO'!C:V,2,0),"")</f>
        <v/>
      </c>
      <c r="E248" s="211" t="str">
        <f>IFERROR(VLOOKUP($C248,'PORTIFÓLIO'!C:V,3,0),"")</f>
        <v/>
      </c>
      <c r="F248" s="211" t="str">
        <f>IFERROR(VLOOKUP($C248,'PORTIFÓLIO'!C:V,4,0),"")</f>
        <v/>
      </c>
      <c r="G248" s="215" t="str">
        <f>IFERROR(VLOOKUP($C248,'PORTIFÓLIO'!C:V,5,0),"")</f>
        <v/>
      </c>
      <c r="H248" s="254" t="str">
        <f t="array" ref="H248">IFERROR(INDEX('PORTIFÓLIO'!$H$4:$H$433,MATCH($C248,'PORTIFÓLIO'!$C$4:$C$433,0)),"")</f>
        <v/>
      </c>
      <c r="I248" s="255"/>
      <c r="J248" s="218">
        <f t="shared" si="27"/>
        <v>0</v>
      </c>
      <c r="K248" s="219" t="str">
        <f t="array" ref="K248">IFERROR(I248*INDEX('PORTIFÓLIO'!$S$4:$S$433,MATCH($C248,'PORTIFÓLIO'!$C$4:$C$433,0)),"")</f>
        <v/>
      </c>
      <c r="L248" s="219" t="str">
        <f t="array" ref="L248">IFERROR(J248*INDEX('PORTIFÓLIO'!$S$4:$S$433,MATCH($C248,'PORTIFÓLIO'!$C$4:$C$433,0)),"")</f>
        <v/>
      </c>
      <c r="M248" s="220"/>
      <c r="N248" s="220"/>
      <c r="O248" s="220"/>
      <c r="P248" s="220"/>
      <c r="Q248" s="220"/>
      <c r="R248" s="220"/>
      <c r="S248" s="220"/>
      <c r="T248" s="220"/>
      <c r="U248" s="220"/>
      <c r="V248" s="220"/>
      <c r="W248" s="220"/>
    </row>
    <row r="249" ht="15.75" customHeight="1" outlineLevel="1">
      <c r="A249" s="211"/>
      <c r="B249" s="212"/>
      <c r="C249" s="213"/>
      <c r="D249" s="214" t="str">
        <f>IFERROR(VLOOKUP($C249,'PORTIFÓLIO'!C:V,2,0),"")</f>
        <v/>
      </c>
      <c r="E249" s="211" t="str">
        <f>IFERROR(VLOOKUP($C249,'PORTIFÓLIO'!C:V,3,0),"")</f>
        <v/>
      </c>
      <c r="F249" s="211" t="str">
        <f>IFERROR(VLOOKUP($C249,'PORTIFÓLIO'!C:V,4,0),"")</f>
        <v/>
      </c>
      <c r="G249" s="215" t="str">
        <f>IFERROR(VLOOKUP($C249,'PORTIFÓLIO'!C:V,5,0),"")</f>
        <v/>
      </c>
      <c r="H249" s="254" t="str">
        <f t="array" ref="H249">IFERROR(INDEX('PORTIFÓLIO'!$H$4:$H$433,MATCH($C249,'PORTIFÓLIO'!$C$4:$C$433,0)),"")</f>
        <v/>
      </c>
      <c r="I249" s="255"/>
      <c r="J249" s="218">
        <f t="shared" si="27"/>
        <v>0</v>
      </c>
      <c r="K249" s="219" t="str">
        <f t="array" ref="K249">IFERROR(I249*INDEX('PORTIFÓLIO'!$S$4:$S$433,MATCH($C249,'PORTIFÓLIO'!$C$4:$C$433,0)),"")</f>
        <v/>
      </c>
      <c r="L249" s="219" t="str">
        <f t="array" ref="L249">IFERROR(J249*INDEX('PORTIFÓLIO'!$S$4:$S$433,MATCH($C249,'PORTIFÓLIO'!$C$4:$C$433,0)),"")</f>
        <v/>
      </c>
      <c r="M249" s="220"/>
      <c r="N249" s="220"/>
      <c r="O249" s="220"/>
      <c r="P249" s="220"/>
      <c r="Q249" s="220"/>
      <c r="R249" s="220"/>
      <c r="S249" s="220"/>
      <c r="T249" s="220"/>
      <c r="U249" s="220"/>
      <c r="V249" s="220"/>
      <c r="W249" s="220"/>
    </row>
    <row r="250" ht="15.75" customHeight="1" outlineLevel="1">
      <c r="A250" s="211"/>
      <c r="B250" s="212"/>
      <c r="C250" s="213"/>
      <c r="D250" s="214" t="str">
        <f>IFERROR(VLOOKUP($C250,'PORTIFÓLIO'!C:V,2,0),"")</f>
        <v/>
      </c>
      <c r="E250" s="211" t="str">
        <f>IFERROR(VLOOKUP($C250,'PORTIFÓLIO'!C:V,3,0),"")</f>
        <v/>
      </c>
      <c r="F250" s="211" t="str">
        <f>IFERROR(VLOOKUP($C250,'PORTIFÓLIO'!C:V,4,0),"")</f>
        <v/>
      </c>
      <c r="G250" s="215" t="str">
        <f>IFERROR(VLOOKUP($C250,'PORTIFÓLIO'!C:V,5,0),"")</f>
        <v/>
      </c>
      <c r="H250" s="254" t="str">
        <f t="array" ref="H250">IFERROR(INDEX('PORTIFÓLIO'!$H$4:$H$433,MATCH($C250,'PORTIFÓLIO'!$C$4:$C$433,0)),"")</f>
        <v/>
      </c>
      <c r="I250" s="255"/>
      <c r="J250" s="218">
        <f t="shared" si="27"/>
        <v>0</v>
      </c>
      <c r="K250" s="219" t="str">
        <f t="array" ref="K250">IFERROR(I250*INDEX('PORTIFÓLIO'!$S$4:$S$433,MATCH($C250,'PORTIFÓLIO'!$C$4:$C$433,0)),"")</f>
        <v/>
      </c>
      <c r="L250" s="219" t="str">
        <f t="array" ref="L250">IFERROR(J250*INDEX('PORTIFÓLIO'!$S$4:$S$433,MATCH($C250,'PORTIFÓLIO'!$C$4:$C$433,0)),"")</f>
        <v/>
      </c>
      <c r="M250" s="220"/>
      <c r="N250" s="220"/>
      <c r="O250" s="220"/>
      <c r="P250" s="220"/>
      <c r="Q250" s="220"/>
      <c r="R250" s="220"/>
      <c r="S250" s="220"/>
      <c r="T250" s="220"/>
      <c r="U250" s="220"/>
      <c r="V250" s="220"/>
      <c r="W250" s="220"/>
    </row>
    <row r="251" ht="15.75" customHeight="1" outlineLevel="1">
      <c r="A251" s="211"/>
      <c r="B251" s="212"/>
      <c r="C251" s="213"/>
      <c r="D251" s="214" t="str">
        <f>IFERROR(VLOOKUP($C251,'PORTIFÓLIO'!C:V,2,0),"")</f>
        <v/>
      </c>
      <c r="E251" s="211" t="str">
        <f>IFERROR(VLOOKUP($C251,'PORTIFÓLIO'!C:V,3,0),"")</f>
        <v/>
      </c>
      <c r="F251" s="211" t="str">
        <f>IFERROR(VLOOKUP($C251,'PORTIFÓLIO'!C:V,4,0),"")</f>
        <v/>
      </c>
      <c r="G251" s="215" t="str">
        <f>IFERROR(VLOOKUP($C251,'PORTIFÓLIO'!C:V,5,0),"")</f>
        <v/>
      </c>
      <c r="H251" s="254" t="str">
        <f t="array" ref="H251">IFERROR(INDEX('PORTIFÓLIO'!$H$4:$H$433,MATCH($C251,'PORTIFÓLIO'!$C$4:$C$433,0)),"")</f>
        <v/>
      </c>
      <c r="I251" s="255"/>
      <c r="J251" s="218">
        <f t="shared" si="27"/>
        <v>0</v>
      </c>
      <c r="K251" s="219" t="str">
        <f t="array" ref="K251">IFERROR(I251*INDEX('PORTIFÓLIO'!$S$4:$S$433,MATCH($C251,'PORTIFÓLIO'!$C$4:$C$433,0)),"")</f>
        <v/>
      </c>
      <c r="L251" s="219" t="str">
        <f t="array" ref="L251">IFERROR(J251*INDEX('PORTIFÓLIO'!$S$4:$S$433,MATCH($C251,'PORTIFÓLIO'!$C$4:$C$433,0)),"")</f>
        <v/>
      </c>
      <c r="M251" s="220"/>
      <c r="N251" s="220"/>
      <c r="O251" s="220"/>
      <c r="P251" s="220"/>
      <c r="Q251" s="220"/>
      <c r="R251" s="220"/>
      <c r="S251" s="220"/>
      <c r="T251" s="220"/>
      <c r="U251" s="220"/>
      <c r="V251" s="220"/>
      <c r="W251" s="220"/>
    </row>
    <row r="252" ht="15.75" customHeight="1">
      <c r="A252" s="229" t="s">
        <v>1184</v>
      </c>
      <c r="B252" s="230"/>
      <c r="C252" s="231"/>
      <c r="D252" s="232"/>
      <c r="E252" s="231"/>
      <c r="F252" s="231"/>
      <c r="G252" s="233"/>
      <c r="H252" s="233"/>
      <c r="I252" s="258"/>
      <c r="J252" s="236"/>
      <c r="K252" s="237">
        <f t="shared" ref="K252:L252" si="28">SUBTOTAL(9,K253:K266)</f>
        <v>0</v>
      </c>
      <c r="L252" s="237">
        <f t="shared" si="28"/>
        <v>0</v>
      </c>
      <c r="M252" s="220"/>
      <c r="N252" s="220"/>
      <c r="O252" s="220"/>
      <c r="P252" s="220"/>
      <c r="Q252" s="220"/>
      <c r="R252" s="220"/>
      <c r="S252" s="220"/>
      <c r="T252" s="220"/>
      <c r="U252" s="220"/>
      <c r="V252" s="220"/>
      <c r="W252" s="220"/>
    </row>
    <row r="253" ht="15.75" customHeight="1" outlineLevel="1">
      <c r="A253" s="213"/>
      <c r="B253" s="212"/>
      <c r="C253" s="213"/>
      <c r="D253" s="214" t="str">
        <f>IFERROR(VLOOKUP($C253,'PORTIFÓLIO'!C:V,2,0),"")</f>
        <v/>
      </c>
      <c r="E253" s="211" t="str">
        <f>IFERROR(VLOOKUP($C253,'PORTIFÓLIO'!C:V,3,0),"")</f>
        <v/>
      </c>
      <c r="F253" s="211" t="str">
        <f>IFERROR(VLOOKUP($C253,'PORTIFÓLIO'!C:V,4,0),"")</f>
        <v/>
      </c>
      <c r="G253" s="215" t="str">
        <f>IFERROR(VLOOKUP($C253,'PORTIFÓLIO'!C:V,5,0),"")</f>
        <v/>
      </c>
      <c r="H253" s="254" t="str">
        <f t="array" ref="H253">IFERROR(INDEX('PORTIFÓLIO'!$H$4:$H$433,MATCH($C253,'PORTIFÓLIO'!$C$4:$C$433,0)),"")</f>
        <v/>
      </c>
      <c r="I253" s="255"/>
      <c r="J253" s="218">
        <f t="shared" ref="J253:J270" si="29">I253*$B$2</f>
        <v>0</v>
      </c>
      <c r="K253" s="292" t="str">
        <f t="array" ref="K253">IFERROR(I253*INDEX('PORTIFÓLIO'!$S$4:$S$433,MATCH($C253,'PORTIFÓLIO'!$C$4:$C$433,0)),"")</f>
        <v/>
      </c>
      <c r="L253" s="292" t="str">
        <f t="array" ref="L253">IFERROR(J253*INDEX('PORTIFÓLIO'!$S$4:$S$433,MATCH($C253,'PORTIFÓLIO'!$C$4:$C$433,0)),"")</f>
        <v/>
      </c>
      <c r="M253" s="220"/>
      <c r="N253" s="220"/>
      <c r="O253" s="220"/>
      <c r="P253" s="220"/>
      <c r="Q253" s="220"/>
      <c r="R253" s="220"/>
      <c r="S253" s="220"/>
      <c r="T253" s="220"/>
      <c r="U253" s="220"/>
      <c r="V253" s="220"/>
      <c r="W253" s="220"/>
    </row>
    <row r="254" ht="15.75" customHeight="1" outlineLevel="1">
      <c r="A254" s="211"/>
      <c r="B254" s="212"/>
      <c r="C254" s="213"/>
      <c r="D254" s="214" t="str">
        <f>IFERROR(VLOOKUP($C254,'PORTIFÓLIO'!C:V,2,0),"")</f>
        <v/>
      </c>
      <c r="E254" s="211" t="str">
        <f>IFERROR(VLOOKUP($C254,'PORTIFÓLIO'!C:V,3,0),"")</f>
        <v/>
      </c>
      <c r="F254" s="211" t="str">
        <f>IFERROR(VLOOKUP($C254,'PORTIFÓLIO'!C:V,4,0),"")</f>
        <v/>
      </c>
      <c r="G254" s="215" t="str">
        <f>IFERROR(VLOOKUP($C254,'PORTIFÓLIO'!C:V,5,0),"")</f>
        <v/>
      </c>
      <c r="H254" s="254" t="str">
        <f t="array" ref="H254">IFERROR(INDEX('PORTIFÓLIO'!$H$4:$H$433,MATCH($C254,'PORTIFÓLIO'!$C$4:$C$433,0)),"")</f>
        <v/>
      </c>
      <c r="I254" s="255"/>
      <c r="J254" s="218">
        <f t="shared" si="29"/>
        <v>0</v>
      </c>
      <c r="K254" s="292" t="str">
        <f t="array" ref="K254">IFERROR(I254*INDEX('PORTIFÓLIO'!$S$4:$S$433,MATCH($C254,'PORTIFÓLIO'!$C$4:$C$433,0)),"")</f>
        <v/>
      </c>
      <c r="L254" s="292" t="str">
        <f t="array" ref="L254">IFERROR(J254*INDEX('PORTIFÓLIO'!$S$4:$S$433,MATCH($C254,'PORTIFÓLIO'!$C$4:$C$433,0)),"")</f>
        <v/>
      </c>
      <c r="M254" s="220"/>
      <c r="N254" s="220"/>
      <c r="O254" s="220"/>
      <c r="P254" s="220"/>
      <c r="Q254" s="220"/>
      <c r="R254" s="220"/>
      <c r="S254" s="220"/>
      <c r="T254" s="220"/>
      <c r="U254" s="220"/>
      <c r="V254" s="220"/>
      <c r="W254" s="220"/>
    </row>
    <row r="255" ht="15.75" customHeight="1" outlineLevel="1">
      <c r="A255" s="211"/>
      <c r="B255" s="212"/>
      <c r="C255" s="213"/>
      <c r="D255" s="214" t="str">
        <f>IFERROR(VLOOKUP($C255,'PORTIFÓLIO'!C:V,2,0),"")</f>
        <v/>
      </c>
      <c r="E255" s="211" t="str">
        <f>IFERROR(VLOOKUP($C255,'PORTIFÓLIO'!C:V,3,0),"")</f>
        <v/>
      </c>
      <c r="F255" s="211" t="str">
        <f>IFERROR(VLOOKUP($C255,'PORTIFÓLIO'!C:V,4,0),"")</f>
        <v/>
      </c>
      <c r="G255" s="215" t="str">
        <f>IFERROR(VLOOKUP($C255,'PORTIFÓLIO'!C:V,5,0),"")</f>
        <v/>
      </c>
      <c r="H255" s="254" t="str">
        <f t="array" ref="H255">IFERROR(INDEX('PORTIFÓLIO'!$H$4:$H$433,MATCH($C255,'PORTIFÓLIO'!$C$4:$C$433,0)),"")</f>
        <v/>
      </c>
      <c r="I255" s="256"/>
      <c r="J255" s="218">
        <f t="shared" si="29"/>
        <v>0</v>
      </c>
      <c r="K255" s="292" t="str">
        <f t="array" ref="K255">IFERROR(I255*INDEX('PORTIFÓLIO'!$S$4:$S$433,MATCH($C255,'PORTIFÓLIO'!$C$4:$C$433,0)),"")</f>
        <v/>
      </c>
      <c r="L255" s="292" t="str">
        <f t="array" ref="L255">IFERROR(J255*INDEX('PORTIFÓLIO'!$S$4:$S$433,MATCH($C255,'PORTIFÓLIO'!$C$4:$C$433,0)),"")</f>
        <v/>
      </c>
      <c r="M255" s="220"/>
      <c r="N255" s="220"/>
      <c r="O255" s="220"/>
      <c r="P255" s="220"/>
      <c r="Q255" s="220"/>
      <c r="R255" s="220"/>
      <c r="S255" s="220"/>
      <c r="T255" s="220"/>
      <c r="U255" s="220"/>
      <c r="V255" s="220"/>
      <c r="W255" s="220"/>
    </row>
    <row r="256" ht="15.75" customHeight="1" outlineLevel="1">
      <c r="A256" s="211"/>
      <c r="B256" s="212"/>
      <c r="C256" s="213"/>
      <c r="D256" s="214" t="str">
        <f>IFERROR(VLOOKUP($C256,'PORTIFÓLIO'!C:V,2,0),"")</f>
        <v/>
      </c>
      <c r="E256" s="211" t="str">
        <f>IFERROR(VLOOKUP($C256,'PORTIFÓLIO'!C:V,3,0),"")</f>
        <v/>
      </c>
      <c r="F256" s="211" t="str">
        <f>IFERROR(VLOOKUP($C256,'PORTIFÓLIO'!C:V,4,0),"")</f>
        <v/>
      </c>
      <c r="G256" s="215" t="str">
        <f>IFERROR(VLOOKUP($C256,'PORTIFÓLIO'!C:V,5,0),"")</f>
        <v/>
      </c>
      <c r="H256" s="254" t="str">
        <f t="array" ref="H256">IFERROR(INDEX('PORTIFÓLIO'!$H$4:$H$433,MATCH($C256,'PORTIFÓLIO'!$C$4:$C$433,0)),"")</f>
        <v/>
      </c>
      <c r="I256" s="255"/>
      <c r="J256" s="218">
        <f t="shared" si="29"/>
        <v>0</v>
      </c>
      <c r="K256" s="292" t="str">
        <f t="array" ref="K256">IFERROR(I256*INDEX('PORTIFÓLIO'!$S$4:$S$433,MATCH($C256,'PORTIFÓLIO'!$C$4:$C$433,0)),"")</f>
        <v/>
      </c>
      <c r="L256" s="292" t="str">
        <f t="array" ref="L256">IFERROR(J256*INDEX('PORTIFÓLIO'!$S$4:$S$433,MATCH($C256,'PORTIFÓLIO'!$C$4:$C$433,0)),"")</f>
        <v/>
      </c>
      <c r="M256" s="220"/>
      <c r="N256" s="220"/>
      <c r="O256" s="220"/>
      <c r="P256" s="220"/>
      <c r="Q256" s="220"/>
      <c r="R256" s="220"/>
      <c r="S256" s="220"/>
      <c r="T256" s="220"/>
      <c r="U256" s="220"/>
      <c r="V256" s="220"/>
      <c r="W256" s="220"/>
    </row>
    <row r="257" ht="15.75" customHeight="1" outlineLevel="1">
      <c r="A257" s="211"/>
      <c r="B257" s="212"/>
      <c r="C257" s="213"/>
      <c r="D257" s="214" t="str">
        <f>IFERROR(VLOOKUP($C257,'PORTIFÓLIO'!C:V,2,0),"")</f>
        <v/>
      </c>
      <c r="E257" s="211" t="str">
        <f>IFERROR(VLOOKUP($C257,'PORTIFÓLIO'!C:V,3,0),"")</f>
        <v/>
      </c>
      <c r="F257" s="211" t="str">
        <f>IFERROR(VLOOKUP($C257,'PORTIFÓLIO'!C:V,4,0),"")</f>
        <v/>
      </c>
      <c r="G257" s="215" t="str">
        <f>IFERROR(VLOOKUP($C257,'PORTIFÓLIO'!C:V,5,0),"")</f>
        <v/>
      </c>
      <c r="H257" s="254" t="str">
        <f t="array" ref="H257">IFERROR(INDEX('PORTIFÓLIO'!$H$4:$H$433,MATCH($C257,'PORTIFÓLIO'!$C$4:$C$433,0)),"")</f>
        <v/>
      </c>
      <c r="I257" s="256"/>
      <c r="J257" s="218">
        <f t="shared" si="29"/>
        <v>0</v>
      </c>
      <c r="K257" s="292" t="str">
        <f t="array" ref="K257">IFERROR(I257*INDEX('PORTIFÓLIO'!$S$4:$S$433,MATCH($C257,'PORTIFÓLIO'!$C$4:$C$433,0)),"")</f>
        <v/>
      </c>
      <c r="L257" s="292" t="str">
        <f t="array" ref="L257">IFERROR(J257*INDEX('PORTIFÓLIO'!$S$4:$S$433,MATCH($C257,'PORTIFÓLIO'!$C$4:$C$433,0)),"")</f>
        <v/>
      </c>
      <c r="M257" s="220"/>
      <c r="N257" s="220"/>
      <c r="O257" s="220"/>
      <c r="P257" s="220"/>
      <c r="Q257" s="220"/>
      <c r="R257" s="220"/>
      <c r="S257" s="220"/>
      <c r="T257" s="220"/>
      <c r="U257" s="220"/>
      <c r="V257" s="220"/>
      <c r="W257" s="220"/>
    </row>
    <row r="258" ht="15.75" customHeight="1" outlineLevel="1">
      <c r="A258" s="211"/>
      <c r="B258" s="212"/>
      <c r="C258" s="213"/>
      <c r="D258" s="214" t="str">
        <f>IFERROR(VLOOKUP($C258,'PORTIFÓLIO'!C:V,2,0),"")</f>
        <v/>
      </c>
      <c r="E258" s="211" t="str">
        <f>IFERROR(VLOOKUP($C258,'PORTIFÓLIO'!C:V,3,0),"")</f>
        <v/>
      </c>
      <c r="F258" s="211" t="str">
        <f>IFERROR(VLOOKUP($C258,'PORTIFÓLIO'!C:V,4,0),"")</f>
        <v/>
      </c>
      <c r="G258" s="215" t="str">
        <f>IFERROR(VLOOKUP($C258,'PORTIFÓLIO'!C:V,5,0),"")</f>
        <v/>
      </c>
      <c r="H258" s="254" t="str">
        <f t="array" ref="H258">IFERROR(INDEX('PORTIFÓLIO'!$H$4:$H$433,MATCH($C258,'PORTIFÓLIO'!$C$4:$C$433,0)),"")</f>
        <v/>
      </c>
      <c r="I258" s="256"/>
      <c r="J258" s="218">
        <f t="shared" si="29"/>
        <v>0</v>
      </c>
      <c r="K258" s="292" t="str">
        <f t="array" ref="K258">IFERROR(I258*INDEX('PORTIFÓLIO'!$S$4:$S$433,MATCH($C258,'PORTIFÓLIO'!$C$4:$C$433,0)),"")</f>
        <v/>
      </c>
      <c r="L258" s="292" t="str">
        <f t="array" ref="L258">IFERROR(J258*INDEX('PORTIFÓLIO'!$S$4:$S$433,MATCH($C258,'PORTIFÓLIO'!$C$4:$C$433,0)),"")</f>
        <v/>
      </c>
      <c r="M258" s="220"/>
      <c r="N258" s="220"/>
      <c r="O258" s="220"/>
      <c r="P258" s="220"/>
      <c r="Q258" s="220"/>
      <c r="R258" s="220"/>
      <c r="S258" s="220"/>
      <c r="T258" s="220"/>
      <c r="U258" s="220"/>
      <c r="V258" s="220"/>
      <c r="W258" s="220"/>
    </row>
    <row r="259" ht="15.75" customHeight="1" outlineLevel="1">
      <c r="A259" s="211"/>
      <c r="B259" s="212"/>
      <c r="C259" s="213"/>
      <c r="D259" s="214" t="str">
        <f>IFERROR(VLOOKUP($C259,'PORTIFÓLIO'!C:V,2,0),"")</f>
        <v/>
      </c>
      <c r="E259" s="211" t="str">
        <f>IFERROR(VLOOKUP($C259,'PORTIFÓLIO'!C:V,3,0),"")</f>
        <v/>
      </c>
      <c r="F259" s="211" t="str">
        <f>IFERROR(VLOOKUP($C259,'PORTIFÓLIO'!C:V,4,0),"")</f>
        <v/>
      </c>
      <c r="G259" s="215" t="str">
        <f>IFERROR(VLOOKUP($C259,'PORTIFÓLIO'!C:V,5,0),"")</f>
        <v/>
      </c>
      <c r="H259" s="254" t="str">
        <f t="array" ref="H259">IFERROR(INDEX('PORTIFÓLIO'!$H$4:$H$433,MATCH($C259,'PORTIFÓLIO'!$C$4:$C$433,0)),"")</f>
        <v/>
      </c>
      <c r="I259" s="256"/>
      <c r="J259" s="218">
        <f t="shared" si="29"/>
        <v>0</v>
      </c>
      <c r="K259" s="292" t="str">
        <f t="array" ref="K259">IFERROR(I259*INDEX('PORTIFÓLIO'!$S$4:$S$433,MATCH($C259,'PORTIFÓLIO'!$C$4:$C$433,0)),"")</f>
        <v/>
      </c>
      <c r="L259" s="292" t="str">
        <f t="array" ref="L259">IFERROR(J259*INDEX('PORTIFÓLIO'!$S$4:$S$433,MATCH($C259,'PORTIFÓLIO'!$C$4:$C$433,0)),"")</f>
        <v/>
      </c>
      <c r="M259" s="220"/>
      <c r="N259" s="220"/>
      <c r="O259" s="220"/>
      <c r="P259" s="220"/>
      <c r="Q259" s="220"/>
      <c r="R259" s="220"/>
      <c r="S259" s="220"/>
      <c r="T259" s="220"/>
      <c r="U259" s="220"/>
      <c r="V259" s="220"/>
      <c r="W259" s="220"/>
    </row>
    <row r="260" ht="15.75" customHeight="1" outlineLevel="1">
      <c r="A260" s="211"/>
      <c r="B260" s="212"/>
      <c r="C260" s="213"/>
      <c r="D260" s="214" t="str">
        <f>IFERROR(VLOOKUP($C260,'PORTIFÓLIO'!C:V,2,0),"")</f>
        <v/>
      </c>
      <c r="E260" s="211" t="str">
        <f>IFERROR(VLOOKUP($C260,'PORTIFÓLIO'!C:V,3,0),"")</f>
        <v/>
      </c>
      <c r="F260" s="211" t="str">
        <f>IFERROR(VLOOKUP($C260,'PORTIFÓLIO'!C:V,4,0),"")</f>
        <v/>
      </c>
      <c r="G260" s="215" t="str">
        <f>IFERROR(VLOOKUP($C260,'PORTIFÓLIO'!C:V,5,0),"")</f>
        <v/>
      </c>
      <c r="H260" s="254" t="str">
        <f t="array" ref="H260">IFERROR(INDEX('PORTIFÓLIO'!$H$4:$H$433,MATCH($C260,'PORTIFÓLIO'!$C$4:$C$433,0)),"")</f>
        <v/>
      </c>
      <c r="I260" s="256"/>
      <c r="J260" s="218">
        <f t="shared" si="29"/>
        <v>0</v>
      </c>
      <c r="K260" s="292" t="str">
        <f t="array" ref="K260">IFERROR(I260*INDEX('PORTIFÓLIO'!$S$4:$S$433,MATCH($C260,'PORTIFÓLIO'!$C$4:$C$433,0)),"")</f>
        <v/>
      </c>
      <c r="L260" s="292" t="str">
        <f t="array" ref="L260">IFERROR(J260*INDEX('PORTIFÓLIO'!$S$4:$S$433,MATCH($C260,'PORTIFÓLIO'!$C$4:$C$433,0)),"")</f>
        <v/>
      </c>
      <c r="M260" s="220"/>
      <c r="N260" s="220"/>
      <c r="O260" s="220"/>
      <c r="P260" s="220"/>
      <c r="Q260" s="220"/>
      <c r="R260" s="220"/>
      <c r="S260" s="220"/>
      <c r="T260" s="220"/>
      <c r="U260" s="220"/>
      <c r="V260" s="220"/>
      <c r="W260" s="220"/>
    </row>
    <row r="261" ht="15.75" customHeight="1" outlineLevel="1">
      <c r="A261" s="211"/>
      <c r="B261" s="212"/>
      <c r="C261" s="213"/>
      <c r="D261" s="214" t="str">
        <f>IFERROR(VLOOKUP($C261,'PORTIFÓLIO'!C:V,2,0),"")</f>
        <v/>
      </c>
      <c r="E261" s="211" t="str">
        <f>IFERROR(VLOOKUP($C261,'PORTIFÓLIO'!C:V,3,0),"")</f>
        <v/>
      </c>
      <c r="F261" s="211" t="str">
        <f>IFERROR(VLOOKUP($C261,'PORTIFÓLIO'!C:V,4,0),"")</f>
        <v/>
      </c>
      <c r="G261" s="215" t="str">
        <f>IFERROR(VLOOKUP($C261,'PORTIFÓLIO'!C:V,5,0),"")</f>
        <v/>
      </c>
      <c r="H261" s="254" t="str">
        <f t="array" ref="H261">IFERROR(INDEX('PORTIFÓLIO'!$H$4:$H$433,MATCH($C261,'PORTIFÓLIO'!$C$4:$C$433,0)),"")</f>
        <v/>
      </c>
      <c r="I261" s="255"/>
      <c r="J261" s="218">
        <f t="shared" si="29"/>
        <v>0</v>
      </c>
      <c r="K261" s="292" t="str">
        <f t="array" ref="K261">IFERROR(I261*INDEX('PORTIFÓLIO'!$S$4:$S$433,MATCH($C261,'PORTIFÓLIO'!$C$4:$C$433,0)),"")</f>
        <v/>
      </c>
      <c r="L261" s="292" t="str">
        <f t="array" ref="L261">IFERROR(J261*INDEX('PORTIFÓLIO'!$S$4:$S$433,MATCH($C261,'PORTIFÓLIO'!$C$4:$C$433,0)),"")</f>
        <v/>
      </c>
      <c r="M261" s="220"/>
      <c r="N261" s="220"/>
      <c r="O261" s="220"/>
      <c r="P261" s="220"/>
      <c r="Q261" s="220"/>
      <c r="R261" s="220"/>
      <c r="S261" s="220"/>
      <c r="T261" s="220"/>
      <c r="U261" s="220"/>
      <c r="V261" s="220"/>
      <c r="W261" s="220"/>
    </row>
    <row r="262" ht="15.75" customHeight="1" outlineLevel="1">
      <c r="A262" s="211"/>
      <c r="B262" s="212"/>
      <c r="C262" s="213"/>
      <c r="D262" s="214" t="str">
        <f>IFERROR(VLOOKUP($C262,'PORTIFÓLIO'!C:V,2,0),"")</f>
        <v/>
      </c>
      <c r="E262" s="211" t="str">
        <f>IFERROR(VLOOKUP($C262,'PORTIFÓLIO'!C:V,3,0),"")</f>
        <v/>
      </c>
      <c r="F262" s="211" t="str">
        <f>IFERROR(VLOOKUP($C262,'PORTIFÓLIO'!C:V,4,0),"")</f>
        <v/>
      </c>
      <c r="G262" s="215" t="str">
        <f>IFERROR(VLOOKUP($C262,'PORTIFÓLIO'!C:V,5,0),"")</f>
        <v/>
      </c>
      <c r="H262" s="254" t="str">
        <f t="array" ref="H262">IFERROR(INDEX('PORTIFÓLIO'!$H$4:$H$433,MATCH($C262,'PORTIFÓLIO'!$C$4:$C$433,0)),"")</f>
        <v/>
      </c>
      <c r="I262" s="256"/>
      <c r="J262" s="218">
        <f t="shared" si="29"/>
        <v>0</v>
      </c>
      <c r="K262" s="292" t="str">
        <f t="array" ref="K262">IFERROR(I262*INDEX('PORTIFÓLIO'!$S$4:$S$433,MATCH($C262,'PORTIFÓLIO'!$C$4:$C$433,0)),"")</f>
        <v/>
      </c>
      <c r="L262" s="292" t="str">
        <f t="array" ref="L262">IFERROR(J262*INDEX('PORTIFÓLIO'!$S$4:$S$433,MATCH($C262,'PORTIFÓLIO'!$C$4:$C$433,0)),"")</f>
        <v/>
      </c>
      <c r="M262" s="220"/>
      <c r="N262" s="220"/>
      <c r="O262" s="220"/>
      <c r="P262" s="220"/>
      <c r="Q262" s="220"/>
      <c r="R262" s="220"/>
      <c r="S262" s="220"/>
      <c r="T262" s="220"/>
      <c r="U262" s="220"/>
      <c r="V262" s="220"/>
      <c r="W262" s="220"/>
    </row>
    <row r="263" ht="15.75" customHeight="1" outlineLevel="1">
      <c r="A263" s="211"/>
      <c r="B263" s="212"/>
      <c r="C263" s="213"/>
      <c r="D263" s="214" t="str">
        <f>IFERROR(VLOOKUP($C263,'PORTIFÓLIO'!C:V,2,0),"")</f>
        <v/>
      </c>
      <c r="E263" s="211" t="str">
        <f>IFERROR(VLOOKUP($C263,'PORTIFÓLIO'!C:V,3,0),"")</f>
        <v/>
      </c>
      <c r="F263" s="211" t="str">
        <f>IFERROR(VLOOKUP($C263,'PORTIFÓLIO'!C:V,4,0),"")</f>
        <v/>
      </c>
      <c r="G263" s="215" t="str">
        <f>IFERROR(VLOOKUP($C263,'PORTIFÓLIO'!C:V,5,0),"")</f>
        <v/>
      </c>
      <c r="H263" s="254" t="str">
        <f t="array" ref="H263">IFERROR(INDEX('PORTIFÓLIO'!$H$4:$H$433,MATCH($C263,'PORTIFÓLIO'!$C$4:$C$433,0)),"")</f>
        <v/>
      </c>
      <c r="I263" s="256"/>
      <c r="J263" s="218">
        <f t="shared" si="29"/>
        <v>0</v>
      </c>
      <c r="K263" s="292" t="str">
        <f t="array" ref="K263">IFERROR(I263*INDEX('PORTIFÓLIO'!$S$4:$S$433,MATCH($C263,'PORTIFÓLIO'!$C$4:$C$433,0)),"")</f>
        <v/>
      </c>
      <c r="L263" s="292" t="str">
        <f t="array" ref="L263">IFERROR(J263*INDEX('PORTIFÓLIO'!$S$4:$S$433,MATCH($C263,'PORTIFÓLIO'!$C$4:$C$433,0)),"")</f>
        <v/>
      </c>
      <c r="M263" s="220"/>
      <c r="N263" s="220"/>
      <c r="O263" s="220"/>
      <c r="P263" s="220"/>
      <c r="Q263" s="220"/>
      <c r="R263" s="220"/>
      <c r="S263" s="220"/>
      <c r="T263" s="220"/>
      <c r="U263" s="220"/>
      <c r="V263" s="220"/>
      <c r="W263" s="220"/>
    </row>
    <row r="264" ht="15.75" customHeight="1" outlineLevel="1">
      <c r="A264" s="211"/>
      <c r="B264" s="212"/>
      <c r="C264" s="213"/>
      <c r="D264" s="214" t="str">
        <f>IFERROR(VLOOKUP($C264,'PORTIFÓLIO'!C:V,2,0),"")</f>
        <v/>
      </c>
      <c r="E264" s="211" t="str">
        <f>IFERROR(VLOOKUP($C264,'PORTIFÓLIO'!C:V,3,0),"")</f>
        <v/>
      </c>
      <c r="F264" s="211" t="str">
        <f>IFERROR(VLOOKUP($C264,'PORTIFÓLIO'!C:V,4,0),"")</f>
        <v/>
      </c>
      <c r="G264" s="215" t="str">
        <f>IFERROR(VLOOKUP($C264,'PORTIFÓLIO'!C:V,5,0),"")</f>
        <v/>
      </c>
      <c r="H264" s="254" t="str">
        <f t="array" ref="H264">IFERROR(INDEX('PORTIFÓLIO'!$H$4:$H$433,MATCH($C264,'PORTIFÓLIO'!$C$4:$C$433,0)),"")</f>
        <v/>
      </c>
      <c r="I264" s="256"/>
      <c r="J264" s="218">
        <f t="shared" si="29"/>
        <v>0</v>
      </c>
      <c r="K264" s="292" t="str">
        <f t="array" ref="K264">IFERROR(I264*INDEX('PORTIFÓLIO'!$S$4:$S$433,MATCH($C264,'PORTIFÓLIO'!$C$4:$C$433,0)),"")</f>
        <v/>
      </c>
      <c r="L264" s="292" t="str">
        <f t="array" ref="L264">IFERROR(J264*INDEX('PORTIFÓLIO'!$S$4:$S$433,MATCH($C264,'PORTIFÓLIO'!$C$4:$C$433,0)),"")</f>
        <v/>
      </c>
      <c r="M264" s="220"/>
      <c r="N264" s="220"/>
      <c r="O264" s="220"/>
      <c r="P264" s="220"/>
      <c r="Q264" s="220"/>
      <c r="R264" s="220"/>
      <c r="S264" s="220"/>
      <c r="T264" s="220"/>
      <c r="U264" s="220"/>
      <c r="V264" s="220"/>
      <c r="W264" s="220"/>
    </row>
    <row r="265" ht="15.75" customHeight="1" outlineLevel="1">
      <c r="A265" s="211"/>
      <c r="B265" s="212"/>
      <c r="C265" s="213"/>
      <c r="D265" s="214" t="str">
        <f>IFERROR(VLOOKUP($C265,'PORTIFÓLIO'!C:V,2,0),"")</f>
        <v/>
      </c>
      <c r="E265" s="211" t="str">
        <f>IFERROR(VLOOKUP($C265,'PORTIFÓLIO'!C:V,3,0),"")</f>
        <v/>
      </c>
      <c r="F265" s="211" t="str">
        <f>IFERROR(VLOOKUP($C265,'PORTIFÓLIO'!C:V,4,0),"")</f>
        <v/>
      </c>
      <c r="G265" s="215" t="str">
        <f>IFERROR(VLOOKUP($C265,'PORTIFÓLIO'!C:V,5,0),"")</f>
        <v/>
      </c>
      <c r="H265" s="254" t="str">
        <f t="array" ref="H265">IFERROR(INDEX('PORTIFÓLIO'!$H$4:$H$433,MATCH($C265,'PORTIFÓLIO'!$C$4:$C$433,0)),"")</f>
        <v/>
      </c>
      <c r="I265" s="256"/>
      <c r="J265" s="218">
        <f t="shared" si="29"/>
        <v>0</v>
      </c>
      <c r="K265" s="292" t="str">
        <f t="array" ref="K265">IFERROR(I265*INDEX('PORTIFÓLIO'!$S$4:$S$433,MATCH($C265,'PORTIFÓLIO'!$C$4:$C$433,0)),"")</f>
        <v/>
      </c>
      <c r="L265" s="292" t="str">
        <f t="array" ref="L265">IFERROR(J265*INDEX('PORTIFÓLIO'!$S$4:$S$433,MATCH($C265,'PORTIFÓLIO'!$C$4:$C$433,0)),"")</f>
        <v/>
      </c>
      <c r="M265" s="220"/>
      <c r="N265" s="220"/>
      <c r="O265" s="220"/>
      <c r="P265" s="220"/>
      <c r="Q265" s="220"/>
      <c r="R265" s="220"/>
      <c r="S265" s="220"/>
      <c r="T265" s="220"/>
      <c r="U265" s="220"/>
      <c r="V265" s="220"/>
      <c r="W265" s="220"/>
    </row>
    <row r="266" ht="15.75" customHeight="1" outlineLevel="1">
      <c r="A266" s="211"/>
      <c r="B266" s="212"/>
      <c r="C266" s="213"/>
      <c r="D266" s="214" t="str">
        <f>IFERROR(VLOOKUP($C266,'PORTIFÓLIO'!C:V,2,0),"")</f>
        <v/>
      </c>
      <c r="E266" s="211" t="str">
        <f>IFERROR(VLOOKUP($C266,'PORTIFÓLIO'!C:V,3,0),"")</f>
        <v/>
      </c>
      <c r="F266" s="211" t="str">
        <f>IFERROR(VLOOKUP($C266,'PORTIFÓLIO'!C:V,4,0),"")</f>
        <v/>
      </c>
      <c r="G266" s="215" t="str">
        <f>IFERROR(VLOOKUP($C266,'PORTIFÓLIO'!C:V,5,0),"")</f>
        <v/>
      </c>
      <c r="H266" s="254" t="str">
        <f t="array" ref="H266">IFERROR(INDEX('PORTIFÓLIO'!$H$4:$H$433,MATCH($C266,'PORTIFÓLIO'!$C$4:$C$433,0)),"")</f>
        <v/>
      </c>
      <c r="I266" s="256"/>
      <c r="J266" s="218">
        <f t="shared" si="29"/>
        <v>0</v>
      </c>
      <c r="K266" s="292" t="str">
        <f t="array" ref="K266">IFERROR(I266*INDEX('PORTIFÓLIO'!$S$4:$S$433,MATCH($C266,'PORTIFÓLIO'!$C$4:$C$433,0)),"")</f>
        <v/>
      </c>
      <c r="L266" s="292" t="str">
        <f t="array" ref="L266">IFERROR(J266*INDEX('PORTIFÓLIO'!$S$4:$S$433,MATCH($C266,'PORTIFÓLIO'!$C$4:$C$433,0)),"")</f>
        <v/>
      </c>
      <c r="M266" s="220"/>
      <c r="N266" s="220"/>
      <c r="O266" s="220"/>
      <c r="P266" s="220"/>
      <c r="Q266" s="220"/>
      <c r="R266" s="220"/>
      <c r="S266" s="220"/>
      <c r="T266" s="220"/>
      <c r="U266" s="220"/>
      <c r="V266" s="220"/>
      <c r="W266" s="220"/>
    </row>
    <row r="267" ht="15.75" customHeight="1" outlineLevel="1">
      <c r="A267" s="211"/>
      <c r="B267" s="212"/>
      <c r="C267" s="213"/>
      <c r="D267" s="214" t="str">
        <f>IFERROR(VLOOKUP($C267,'PORTIFÓLIO'!C:V,2,0),"")</f>
        <v/>
      </c>
      <c r="E267" s="211" t="str">
        <f>IFERROR(VLOOKUP($C267,'PORTIFÓLIO'!C:V,3,0),"")</f>
        <v/>
      </c>
      <c r="F267" s="211" t="str">
        <f>IFERROR(VLOOKUP($C267,'PORTIFÓLIO'!C:V,4,0),"")</f>
        <v/>
      </c>
      <c r="G267" s="215" t="str">
        <f>IFERROR(VLOOKUP($C267,'PORTIFÓLIO'!C:V,5,0),"")</f>
        <v/>
      </c>
      <c r="H267" s="254" t="str">
        <f t="array" ref="H267">IFERROR(INDEX('PORTIFÓLIO'!$H$4:$H$433,MATCH($C267,'PORTIFÓLIO'!$C$4:$C$433,0)),"")</f>
        <v/>
      </c>
      <c r="I267" s="256"/>
      <c r="J267" s="218">
        <f t="shared" si="29"/>
        <v>0</v>
      </c>
      <c r="K267" s="292" t="str">
        <f t="array" ref="K267">IFERROR(I267*INDEX('PORTIFÓLIO'!$S$4:$S$433,MATCH($C267,'PORTIFÓLIO'!$C$4:$C$433,0)),"")</f>
        <v/>
      </c>
      <c r="L267" s="292" t="str">
        <f t="array" ref="L267">IFERROR(J267*INDEX('PORTIFÓLIO'!$S$4:$S$433,MATCH($C267,'PORTIFÓLIO'!$C$4:$C$433,0)),"")</f>
        <v/>
      </c>
      <c r="M267" s="220"/>
      <c r="N267" s="220"/>
      <c r="O267" s="220"/>
      <c r="P267" s="220"/>
      <c r="Q267" s="220"/>
      <c r="R267" s="220"/>
      <c r="S267" s="220"/>
      <c r="T267" s="220"/>
      <c r="U267" s="220"/>
      <c r="V267" s="220"/>
      <c r="W267" s="220"/>
    </row>
    <row r="268" ht="15.75" customHeight="1" outlineLevel="1">
      <c r="A268" s="211"/>
      <c r="B268" s="212"/>
      <c r="C268" s="213"/>
      <c r="D268" s="214" t="str">
        <f>IFERROR(VLOOKUP($C268,'PORTIFÓLIO'!C:V,2,0),"")</f>
        <v/>
      </c>
      <c r="E268" s="211" t="str">
        <f>IFERROR(VLOOKUP($C268,'PORTIFÓLIO'!C:V,3,0),"")</f>
        <v/>
      </c>
      <c r="F268" s="211" t="str">
        <f>IFERROR(VLOOKUP($C268,'PORTIFÓLIO'!C:V,4,0),"")</f>
        <v/>
      </c>
      <c r="G268" s="215" t="str">
        <f>IFERROR(VLOOKUP($C268,'PORTIFÓLIO'!C:V,5,0),"")</f>
        <v/>
      </c>
      <c r="H268" s="254" t="str">
        <f t="array" ref="H268">IFERROR(INDEX('PORTIFÓLIO'!$H$4:$H$433,MATCH($C268,'PORTIFÓLIO'!$C$4:$C$433,0)),"")</f>
        <v/>
      </c>
      <c r="I268" s="256"/>
      <c r="J268" s="218">
        <f t="shared" si="29"/>
        <v>0</v>
      </c>
      <c r="K268" s="292" t="str">
        <f t="array" ref="K268">IFERROR(I268*INDEX('PORTIFÓLIO'!$S$4:$S$433,MATCH($C268,'PORTIFÓLIO'!$C$4:$C$433,0)),"")</f>
        <v/>
      </c>
      <c r="L268" s="292" t="str">
        <f t="array" ref="L268">IFERROR(J268*INDEX('PORTIFÓLIO'!$S$4:$S$433,MATCH($C268,'PORTIFÓLIO'!$C$4:$C$433,0)),"")</f>
        <v/>
      </c>
      <c r="M268" s="220"/>
      <c r="N268" s="220"/>
      <c r="O268" s="220"/>
      <c r="P268" s="220"/>
      <c r="Q268" s="220"/>
      <c r="R268" s="220"/>
      <c r="S268" s="220"/>
      <c r="T268" s="220"/>
      <c r="U268" s="220"/>
      <c r="V268" s="220"/>
      <c r="W268" s="220"/>
    </row>
    <row r="269" ht="15.75" customHeight="1" outlineLevel="1">
      <c r="A269" s="211"/>
      <c r="B269" s="212"/>
      <c r="C269" s="213"/>
      <c r="D269" s="214" t="str">
        <f>IFERROR(VLOOKUP($C269,'PORTIFÓLIO'!C:V,2,0),"")</f>
        <v/>
      </c>
      <c r="E269" s="211" t="str">
        <f>IFERROR(VLOOKUP($C269,'PORTIFÓLIO'!C:V,3,0),"")</f>
        <v/>
      </c>
      <c r="F269" s="211" t="str">
        <f>IFERROR(VLOOKUP($C269,'PORTIFÓLIO'!C:V,4,0),"")</f>
        <v/>
      </c>
      <c r="G269" s="215" t="str">
        <f>IFERROR(VLOOKUP($C269,'PORTIFÓLIO'!C:V,5,0),"")</f>
        <v/>
      </c>
      <c r="H269" s="254" t="str">
        <f t="array" ref="H269">IFERROR(INDEX('PORTIFÓLIO'!$H$4:$H$433,MATCH($C269,'PORTIFÓLIO'!$C$4:$C$433,0)),"")</f>
        <v/>
      </c>
      <c r="I269" s="256"/>
      <c r="J269" s="218">
        <f t="shared" si="29"/>
        <v>0</v>
      </c>
      <c r="K269" s="292" t="str">
        <f t="array" ref="K269">IFERROR(I269*INDEX('PORTIFÓLIO'!$S$4:$S$433,MATCH($C269,'PORTIFÓLIO'!$C$4:$C$433,0)),"")</f>
        <v/>
      </c>
      <c r="L269" s="292" t="str">
        <f t="array" ref="L269">IFERROR(J269*INDEX('PORTIFÓLIO'!$S$4:$S$433,MATCH($C269,'PORTIFÓLIO'!$C$4:$C$433,0)),"")</f>
        <v/>
      </c>
      <c r="M269" s="220"/>
      <c r="N269" s="220"/>
      <c r="O269" s="220"/>
      <c r="P269" s="220"/>
      <c r="Q269" s="220"/>
      <c r="R269" s="220"/>
      <c r="S269" s="220"/>
      <c r="T269" s="220"/>
      <c r="U269" s="220"/>
      <c r="V269" s="220"/>
      <c r="W269" s="220"/>
    </row>
    <row r="270" ht="15.75" customHeight="1" outlineLevel="1">
      <c r="A270" s="211"/>
      <c r="B270" s="212"/>
      <c r="C270" s="213"/>
      <c r="D270" s="214" t="str">
        <f>IFERROR(VLOOKUP($C270,'PORTIFÓLIO'!C:V,2,0),"")</f>
        <v/>
      </c>
      <c r="E270" s="211" t="str">
        <f>IFERROR(VLOOKUP($C270,'PORTIFÓLIO'!C:V,3,0),"")</f>
        <v/>
      </c>
      <c r="F270" s="211" t="str">
        <f>IFERROR(VLOOKUP($C270,'PORTIFÓLIO'!C:V,4,0),"")</f>
        <v/>
      </c>
      <c r="G270" s="215" t="str">
        <f>IFERROR(VLOOKUP($C270,'PORTIFÓLIO'!C:V,5,0),"")</f>
        <v/>
      </c>
      <c r="H270" s="254" t="str">
        <f t="array" ref="H270">IFERROR(INDEX('PORTIFÓLIO'!$H$4:$H$433,MATCH($C270,'PORTIFÓLIO'!$C$4:$C$433,0)),"")</f>
        <v/>
      </c>
      <c r="I270" s="256"/>
      <c r="J270" s="218">
        <f t="shared" si="29"/>
        <v>0</v>
      </c>
      <c r="K270" s="292" t="str">
        <f t="array" ref="K270">IFERROR(I270*INDEX('PORTIFÓLIO'!$S$4:$S$433,MATCH($C270,'PORTIFÓLIO'!$C$4:$C$433,0)),"")</f>
        <v/>
      </c>
      <c r="L270" s="292" t="str">
        <f t="array" ref="L270">IFERROR(J270*INDEX('PORTIFÓLIO'!$S$4:$S$433,MATCH($C270,'PORTIFÓLIO'!$C$4:$C$433,0)),"")</f>
        <v/>
      </c>
      <c r="M270" s="220"/>
      <c r="N270" s="220"/>
      <c r="O270" s="220"/>
      <c r="P270" s="220"/>
      <c r="Q270" s="220"/>
      <c r="R270" s="220"/>
      <c r="S270" s="220"/>
      <c r="T270" s="220"/>
      <c r="U270" s="220"/>
      <c r="V270" s="220"/>
      <c r="W270" s="220"/>
    </row>
    <row r="271" ht="15.75" customHeight="1">
      <c r="A271" s="229" t="s">
        <v>1185</v>
      </c>
      <c r="B271" s="230"/>
      <c r="C271" s="231"/>
      <c r="D271" s="232"/>
      <c r="E271" s="231"/>
      <c r="F271" s="231"/>
      <c r="G271" s="233"/>
      <c r="H271" s="233"/>
      <c r="I271" s="258"/>
      <c r="J271" s="236"/>
      <c r="K271" s="237">
        <f t="shared" ref="K271:L271" si="30">SUBTOTAL(9,K272:K285)</f>
        <v>0</v>
      </c>
      <c r="L271" s="237">
        <f t="shared" si="30"/>
        <v>0</v>
      </c>
      <c r="M271" s="220"/>
      <c r="N271" s="220"/>
      <c r="O271" s="220"/>
      <c r="P271" s="220"/>
      <c r="Q271" s="220"/>
      <c r="R271" s="220"/>
      <c r="S271" s="220"/>
      <c r="T271" s="220"/>
      <c r="U271" s="220"/>
      <c r="V271" s="220"/>
      <c r="W271" s="220"/>
    </row>
    <row r="272" ht="15.75" customHeight="1" outlineLevel="1">
      <c r="A272" s="213"/>
      <c r="B272" s="212"/>
      <c r="C272" s="213"/>
      <c r="D272" s="214" t="str">
        <f>IFERROR(VLOOKUP($C272,'PORTIFÓLIO'!C:V,2,0),"")</f>
        <v/>
      </c>
      <c r="E272" s="211" t="str">
        <f>IFERROR(VLOOKUP($C272,'PORTIFÓLIO'!C:V,3,0),"")</f>
        <v/>
      </c>
      <c r="F272" s="211" t="str">
        <f>IFERROR(VLOOKUP($C272,'PORTIFÓLIO'!C:V,4,0),"")</f>
        <v/>
      </c>
      <c r="G272" s="215" t="str">
        <f>IFERROR(VLOOKUP($C272,'PORTIFÓLIO'!C:V,5,0),"")</f>
        <v/>
      </c>
      <c r="H272" s="254" t="str">
        <f t="array" ref="H272">IFERROR(INDEX('PORTIFÓLIO'!$H$4:$H$433,MATCH($C272,'PORTIFÓLIO'!$C$4:$C$433,0)),"")</f>
        <v/>
      </c>
      <c r="I272" s="255"/>
      <c r="J272" s="218">
        <f t="shared" ref="J272:J289" si="31">I272*$B$2</f>
        <v>0</v>
      </c>
      <c r="K272" s="292" t="str">
        <f t="array" ref="K272">IFERROR(I272*INDEX('PORTIFÓLIO'!$S$4:$S$433,MATCH($C272,'PORTIFÓLIO'!$C$4:$C$433,0)),"")</f>
        <v/>
      </c>
      <c r="L272" s="292" t="str">
        <f t="array" ref="L272">IFERROR(J272*INDEX('PORTIFÓLIO'!$S$4:$S$433,MATCH($C272,'PORTIFÓLIO'!$C$4:$C$433,0)),"")</f>
        <v/>
      </c>
      <c r="M272" s="220"/>
      <c r="N272" s="220"/>
      <c r="O272" s="220"/>
      <c r="P272" s="220"/>
      <c r="Q272" s="220"/>
      <c r="R272" s="220"/>
      <c r="S272" s="220"/>
      <c r="T272" s="220"/>
      <c r="U272" s="220"/>
      <c r="V272" s="220"/>
      <c r="W272" s="220"/>
    </row>
    <row r="273" ht="15.75" customHeight="1" outlineLevel="1">
      <c r="A273" s="211"/>
      <c r="B273" s="212"/>
      <c r="C273" s="213"/>
      <c r="D273" s="214" t="str">
        <f>IFERROR(VLOOKUP($C273,'PORTIFÓLIO'!C:V,2,0),"")</f>
        <v/>
      </c>
      <c r="E273" s="211" t="str">
        <f>IFERROR(VLOOKUP($C273,'PORTIFÓLIO'!C:V,3,0),"")</f>
        <v/>
      </c>
      <c r="F273" s="211" t="str">
        <f>IFERROR(VLOOKUP($C273,'PORTIFÓLIO'!C:V,4,0),"")</f>
        <v/>
      </c>
      <c r="G273" s="215" t="str">
        <f>IFERROR(VLOOKUP($C273,'PORTIFÓLIO'!C:V,5,0),"")</f>
        <v/>
      </c>
      <c r="H273" s="254" t="str">
        <f t="array" ref="H273">IFERROR(INDEX('PORTIFÓLIO'!$H$4:$H$433,MATCH($C273,'PORTIFÓLIO'!$C$4:$C$433,0)),"")</f>
        <v/>
      </c>
      <c r="I273" s="256"/>
      <c r="J273" s="218">
        <f t="shared" si="31"/>
        <v>0</v>
      </c>
      <c r="K273" s="292" t="str">
        <f t="array" ref="K273">IFERROR(I273*INDEX('PORTIFÓLIO'!$S$4:$S$433,MATCH($C273,'PORTIFÓLIO'!$C$4:$C$433,0)),"")</f>
        <v/>
      </c>
      <c r="L273" s="292" t="str">
        <f t="array" ref="L273">IFERROR(J273*INDEX('PORTIFÓLIO'!$S$4:$S$433,MATCH($C273,'PORTIFÓLIO'!$C$4:$C$433,0)),"")</f>
        <v/>
      </c>
      <c r="M273" s="220"/>
      <c r="N273" s="220"/>
      <c r="O273" s="220"/>
      <c r="P273" s="220"/>
      <c r="Q273" s="220"/>
      <c r="R273" s="220"/>
      <c r="S273" s="220"/>
      <c r="T273" s="220"/>
      <c r="U273" s="220"/>
      <c r="V273" s="220"/>
      <c r="W273" s="220"/>
    </row>
    <row r="274" ht="15.75" customHeight="1" outlineLevel="1">
      <c r="A274" s="211"/>
      <c r="B274" s="212"/>
      <c r="C274" s="213"/>
      <c r="D274" s="214" t="str">
        <f>IFERROR(VLOOKUP($C274,'PORTIFÓLIO'!C:V,2,0),"")</f>
        <v/>
      </c>
      <c r="E274" s="211" t="str">
        <f>IFERROR(VLOOKUP($C274,'PORTIFÓLIO'!C:V,3,0),"")</f>
        <v/>
      </c>
      <c r="F274" s="211" t="str">
        <f>IFERROR(VLOOKUP($C274,'PORTIFÓLIO'!C:V,4,0),"")</f>
        <v/>
      </c>
      <c r="G274" s="215" t="str">
        <f>IFERROR(VLOOKUP($C274,'PORTIFÓLIO'!C:V,5,0),"")</f>
        <v/>
      </c>
      <c r="H274" s="254" t="str">
        <f t="array" ref="H274">IFERROR(INDEX('PORTIFÓLIO'!$H$4:$H$433,MATCH($C274,'PORTIFÓLIO'!$C$4:$C$433,0)),"")</f>
        <v/>
      </c>
      <c r="I274" s="256"/>
      <c r="J274" s="218">
        <f t="shared" si="31"/>
        <v>0</v>
      </c>
      <c r="K274" s="292" t="str">
        <f t="array" ref="K274">IFERROR(I274*INDEX('PORTIFÓLIO'!$S$4:$S$433,MATCH($C274,'PORTIFÓLIO'!$C$4:$C$433,0)),"")</f>
        <v/>
      </c>
      <c r="L274" s="292" t="str">
        <f t="array" ref="L274">IFERROR(J274*INDEX('PORTIFÓLIO'!$S$4:$S$433,MATCH($C274,'PORTIFÓLIO'!$C$4:$C$433,0)),"")</f>
        <v/>
      </c>
      <c r="M274" s="220"/>
      <c r="N274" s="220"/>
      <c r="O274" s="220"/>
      <c r="P274" s="220"/>
      <c r="Q274" s="220"/>
      <c r="R274" s="220"/>
      <c r="S274" s="220"/>
      <c r="T274" s="220"/>
      <c r="U274" s="220"/>
      <c r="V274" s="220"/>
      <c r="W274" s="220"/>
    </row>
    <row r="275" ht="15.75" customHeight="1" outlineLevel="1">
      <c r="A275" s="211"/>
      <c r="B275" s="212"/>
      <c r="C275" s="213"/>
      <c r="D275" s="214" t="str">
        <f>IFERROR(VLOOKUP($C275,'PORTIFÓLIO'!C:V,2,0),"")</f>
        <v/>
      </c>
      <c r="E275" s="211" t="str">
        <f>IFERROR(VLOOKUP($C275,'PORTIFÓLIO'!C:V,3,0),"")</f>
        <v/>
      </c>
      <c r="F275" s="211" t="str">
        <f>IFERROR(VLOOKUP($C275,'PORTIFÓLIO'!C:V,4,0),"")</f>
        <v/>
      </c>
      <c r="G275" s="215" t="str">
        <f>IFERROR(VLOOKUP($C275,'PORTIFÓLIO'!C:V,5,0),"")</f>
        <v/>
      </c>
      <c r="H275" s="254" t="str">
        <f t="array" ref="H275">IFERROR(INDEX('PORTIFÓLIO'!$H$4:$H$433,MATCH($C275,'PORTIFÓLIO'!$C$4:$C$433,0)),"")</f>
        <v/>
      </c>
      <c r="I275" s="256"/>
      <c r="J275" s="218">
        <f t="shared" si="31"/>
        <v>0</v>
      </c>
      <c r="K275" s="292" t="str">
        <f t="array" ref="K275">IFERROR(I275*INDEX('PORTIFÓLIO'!$S$4:$S$433,MATCH($C275,'PORTIFÓLIO'!$C$4:$C$433,0)),"")</f>
        <v/>
      </c>
      <c r="L275" s="292" t="str">
        <f t="array" ref="L275">IFERROR(J275*INDEX('PORTIFÓLIO'!$S$4:$S$433,MATCH($C275,'PORTIFÓLIO'!$C$4:$C$433,0)),"")</f>
        <v/>
      </c>
      <c r="M275" s="220"/>
      <c r="N275" s="220"/>
      <c r="O275" s="220"/>
      <c r="P275" s="220"/>
      <c r="Q275" s="220"/>
      <c r="R275" s="220"/>
      <c r="S275" s="220"/>
      <c r="T275" s="220"/>
      <c r="U275" s="220"/>
      <c r="V275" s="220"/>
      <c r="W275" s="220"/>
    </row>
    <row r="276" ht="15.75" customHeight="1" outlineLevel="1">
      <c r="A276" s="211"/>
      <c r="B276" s="212"/>
      <c r="C276" s="213"/>
      <c r="D276" s="214" t="str">
        <f>IFERROR(VLOOKUP($C276,'PORTIFÓLIO'!C:V,2,0),"")</f>
        <v/>
      </c>
      <c r="E276" s="211" t="str">
        <f>IFERROR(VLOOKUP($C276,'PORTIFÓLIO'!C:V,3,0),"")</f>
        <v/>
      </c>
      <c r="F276" s="211" t="str">
        <f>IFERROR(VLOOKUP($C276,'PORTIFÓLIO'!C:V,4,0),"")</f>
        <v/>
      </c>
      <c r="G276" s="215" t="str">
        <f>IFERROR(VLOOKUP($C276,'PORTIFÓLIO'!C:V,5,0),"")</f>
        <v/>
      </c>
      <c r="H276" s="254" t="str">
        <f t="array" ref="H276">IFERROR(INDEX('PORTIFÓLIO'!$H$4:$H$433,MATCH($C276,'PORTIFÓLIO'!$C$4:$C$433,0)),"")</f>
        <v/>
      </c>
      <c r="I276" s="256"/>
      <c r="J276" s="218">
        <f t="shared" si="31"/>
        <v>0</v>
      </c>
      <c r="K276" s="292" t="str">
        <f t="array" ref="K276">IFERROR(I276*INDEX('PORTIFÓLIO'!$S$4:$S$433,MATCH($C276,'PORTIFÓLIO'!$C$4:$C$433,0)),"")</f>
        <v/>
      </c>
      <c r="L276" s="292" t="str">
        <f t="array" ref="L276">IFERROR(J276*INDEX('PORTIFÓLIO'!$S$4:$S$433,MATCH($C276,'PORTIFÓLIO'!$C$4:$C$433,0)),"")</f>
        <v/>
      </c>
      <c r="M276" s="220"/>
      <c r="N276" s="220"/>
      <c r="O276" s="220"/>
      <c r="P276" s="220"/>
      <c r="Q276" s="220"/>
      <c r="R276" s="220"/>
      <c r="S276" s="220"/>
      <c r="T276" s="220"/>
      <c r="U276" s="220"/>
      <c r="V276" s="220"/>
      <c r="W276" s="220"/>
    </row>
    <row r="277" ht="15.75" customHeight="1" outlineLevel="1">
      <c r="A277" s="211"/>
      <c r="B277" s="212"/>
      <c r="C277" s="213"/>
      <c r="D277" s="214" t="str">
        <f>IFERROR(VLOOKUP($C277,'PORTIFÓLIO'!C:V,2,0),"")</f>
        <v/>
      </c>
      <c r="E277" s="211" t="str">
        <f>IFERROR(VLOOKUP($C277,'PORTIFÓLIO'!C:V,3,0),"")</f>
        <v/>
      </c>
      <c r="F277" s="211" t="str">
        <f>IFERROR(VLOOKUP($C277,'PORTIFÓLIO'!C:V,4,0),"")</f>
        <v/>
      </c>
      <c r="G277" s="215" t="str">
        <f>IFERROR(VLOOKUP($C277,'PORTIFÓLIO'!C:V,5,0),"")</f>
        <v/>
      </c>
      <c r="H277" s="254" t="str">
        <f t="array" ref="H277">IFERROR(INDEX('PORTIFÓLIO'!$H$4:$H$433,MATCH($C277,'PORTIFÓLIO'!$C$4:$C$433,0)),"")</f>
        <v/>
      </c>
      <c r="I277" s="256"/>
      <c r="J277" s="218">
        <f t="shared" si="31"/>
        <v>0</v>
      </c>
      <c r="K277" s="292" t="str">
        <f t="array" ref="K277">IFERROR(I277*INDEX('PORTIFÓLIO'!$S$4:$S$433,MATCH($C277,'PORTIFÓLIO'!$C$4:$C$433,0)),"")</f>
        <v/>
      </c>
      <c r="L277" s="292" t="str">
        <f t="array" ref="L277">IFERROR(J277*INDEX('PORTIFÓLIO'!$S$4:$S$433,MATCH($C277,'PORTIFÓLIO'!$C$4:$C$433,0)),"")</f>
        <v/>
      </c>
      <c r="M277" s="220"/>
      <c r="N277" s="220"/>
      <c r="O277" s="220"/>
      <c r="P277" s="220"/>
      <c r="Q277" s="220"/>
      <c r="R277" s="220"/>
      <c r="S277" s="220"/>
      <c r="T277" s="220"/>
      <c r="U277" s="220"/>
      <c r="V277" s="220"/>
      <c r="W277" s="220"/>
    </row>
    <row r="278" ht="15.75" customHeight="1" outlineLevel="1">
      <c r="A278" s="211"/>
      <c r="B278" s="212"/>
      <c r="C278" s="213"/>
      <c r="D278" s="214" t="str">
        <f>IFERROR(VLOOKUP($C278,'PORTIFÓLIO'!C:V,2,0),"")</f>
        <v/>
      </c>
      <c r="E278" s="211" t="str">
        <f>IFERROR(VLOOKUP($C278,'PORTIFÓLIO'!C:V,3,0),"")</f>
        <v/>
      </c>
      <c r="F278" s="211" t="str">
        <f>IFERROR(VLOOKUP($C278,'PORTIFÓLIO'!C:V,4,0),"")</f>
        <v/>
      </c>
      <c r="G278" s="215" t="str">
        <f>IFERROR(VLOOKUP($C278,'PORTIFÓLIO'!C:V,5,0),"")</f>
        <v/>
      </c>
      <c r="H278" s="254" t="str">
        <f t="array" ref="H278">IFERROR(INDEX('PORTIFÓLIO'!$H$4:$H$433,MATCH($C278,'PORTIFÓLIO'!$C$4:$C$433,0)),"")</f>
        <v/>
      </c>
      <c r="I278" s="256"/>
      <c r="J278" s="218">
        <f t="shared" si="31"/>
        <v>0</v>
      </c>
      <c r="K278" s="292" t="str">
        <f t="array" ref="K278">IFERROR(I278*INDEX('PORTIFÓLIO'!$S$4:$S$433,MATCH($C278,'PORTIFÓLIO'!$C$4:$C$433,0)),"")</f>
        <v/>
      </c>
      <c r="L278" s="292" t="str">
        <f t="array" ref="L278">IFERROR(J278*INDEX('PORTIFÓLIO'!$S$4:$S$433,MATCH($C278,'PORTIFÓLIO'!$C$4:$C$433,0)),"")</f>
        <v/>
      </c>
      <c r="M278" s="220"/>
      <c r="N278" s="220"/>
      <c r="O278" s="220"/>
      <c r="P278" s="220"/>
      <c r="Q278" s="220"/>
      <c r="R278" s="220"/>
      <c r="S278" s="220"/>
      <c r="T278" s="220"/>
      <c r="U278" s="220"/>
      <c r="V278" s="220"/>
      <c r="W278" s="220"/>
    </row>
    <row r="279" ht="15.75" customHeight="1" outlineLevel="1">
      <c r="A279" s="211"/>
      <c r="B279" s="212"/>
      <c r="C279" s="213"/>
      <c r="D279" s="214" t="str">
        <f>IFERROR(VLOOKUP($C279,'PORTIFÓLIO'!C:V,2,0),"")</f>
        <v/>
      </c>
      <c r="E279" s="211" t="str">
        <f>IFERROR(VLOOKUP($C279,'PORTIFÓLIO'!C:V,3,0),"")</f>
        <v/>
      </c>
      <c r="F279" s="211" t="str">
        <f>IFERROR(VLOOKUP($C279,'PORTIFÓLIO'!C:V,4,0),"")</f>
        <v/>
      </c>
      <c r="G279" s="215" t="str">
        <f>IFERROR(VLOOKUP($C279,'PORTIFÓLIO'!C:V,5,0),"")</f>
        <v/>
      </c>
      <c r="H279" s="254" t="str">
        <f t="array" ref="H279">IFERROR(INDEX('PORTIFÓLIO'!$H$4:$H$433,MATCH($C279,'PORTIFÓLIO'!$C$4:$C$433,0)),"")</f>
        <v/>
      </c>
      <c r="I279" s="256"/>
      <c r="J279" s="218">
        <f t="shared" si="31"/>
        <v>0</v>
      </c>
      <c r="K279" s="292" t="str">
        <f t="array" ref="K279">IFERROR(I279*INDEX('PORTIFÓLIO'!$S$4:$S$433,MATCH($C279,'PORTIFÓLIO'!$C$4:$C$433,0)),"")</f>
        <v/>
      </c>
      <c r="L279" s="292" t="str">
        <f t="array" ref="L279">IFERROR(J279*INDEX('PORTIFÓLIO'!$S$4:$S$433,MATCH($C279,'PORTIFÓLIO'!$C$4:$C$433,0)),"")</f>
        <v/>
      </c>
      <c r="M279" s="220"/>
      <c r="N279" s="220"/>
      <c r="O279" s="220"/>
      <c r="P279" s="220"/>
      <c r="Q279" s="220"/>
      <c r="R279" s="220"/>
      <c r="S279" s="220"/>
      <c r="T279" s="220"/>
      <c r="U279" s="220"/>
      <c r="V279" s="220"/>
      <c r="W279" s="220"/>
    </row>
    <row r="280" ht="15.75" customHeight="1" outlineLevel="1">
      <c r="A280" s="211"/>
      <c r="B280" s="212"/>
      <c r="C280" s="213"/>
      <c r="D280" s="214" t="str">
        <f>IFERROR(VLOOKUP($C280,'PORTIFÓLIO'!C:V,2,0),"")</f>
        <v/>
      </c>
      <c r="E280" s="211" t="str">
        <f>IFERROR(VLOOKUP($C280,'PORTIFÓLIO'!C:V,3,0),"")</f>
        <v/>
      </c>
      <c r="F280" s="211" t="str">
        <f>IFERROR(VLOOKUP($C280,'PORTIFÓLIO'!C:V,4,0),"")</f>
        <v/>
      </c>
      <c r="G280" s="215" t="str">
        <f>IFERROR(VLOOKUP($C280,'PORTIFÓLIO'!C:V,5,0),"")</f>
        <v/>
      </c>
      <c r="H280" s="254" t="str">
        <f t="array" ref="H280">IFERROR(INDEX('PORTIFÓLIO'!$H$4:$H$433,MATCH($C280,'PORTIFÓLIO'!$C$4:$C$433,0)),"")</f>
        <v/>
      </c>
      <c r="I280" s="255"/>
      <c r="J280" s="218">
        <f t="shared" si="31"/>
        <v>0</v>
      </c>
      <c r="K280" s="292" t="str">
        <f t="array" ref="K280">IFERROR(I280*INDEX('PORTIFÓLIO'!$S$4:$S$433,MATCH($C280,'PORTIFÓLIO'!$C$4:$C$433,0)),"")</f>
        <v/>
      </c>
      <c r="L280" s="292" t="str">
        <f t="array" ref="L280">IFERROR(J280*INDEX('PORTIFÓLIO'!$S$4:$S$433,MATCH($C280,'PORTIFÓLIO'!$C$4:$C$433,0)),"")</f>
        <v/>
      </c>
      <c r="M280" s="220"/>
      <c r="N280" s="220"/>
      <c r="O280" s="220"/>
      <c r="P280" s="220"/>
      <c r="Q280" s="220"/>
      <c r="R280" s="220"/>
      <c r="S280" s="220"/>
      <c r="T280" s="220"/>
      <c r="U280" s="220"/>
      <c r="V280" s="220"/>
      <c r="W280" s="220"/>
    </row>
    <row r="281" ht="15.75" customHeight="1" outlineLevel="1">
      <c r="A281" s="211"/>
      <c r="B281" s="212"/>
      <c r="C281" s="213"/>
      <c r="D281" s="214" t="str">
        <f>IFERROR(VLOOKUP($C281,'PORTIFÓLIO'!C:V,2,0),"")</f>
        <v/>
      </c>
      <c r="E281" s="211" t="str">
        <f>IFERROR(VLOOKUP($C281,'PORTIFÓLIO'!C:V,3,0),"")</f>
        <v/>
      </c>
      <c r="F281" s="211" t="str">
        <f>IFERROR(VLOOKUP($C281,'PORTIFÓLIO'!C:V,4,0),"")</f>
        <v/>
      </c>
      <c r="G281" s="215" t="str">
        <f>IFERROR(VLOOKUP($C281,'PORTIFÓLIO'!C:V,5,0),"")</f>
        <v/>
      </c>
      <c r="H281" s="254" t="str">
        <f t="array" ref="H281">IFERROR(INDEX('PORTIFÓLIO'!$H$4:$H$433,MATCH($C281,'PORTIFÓLIO'!$C$4:$C$433,0)),"")</f>
        <v/>
      </c>
      <c r="I281" s="256"/>
      <c r="J281" s="218">
        <f t="shared" si="31"/>
        <v>0</v>
      </c>
      <c r="K281" s="292" t="str">
        <f t="array" ref="K281">IFERROR(I281*INDEX('PORTIFÓLIO'!$S$4:$S$433,MATCH($C281,'PORTIFÓLIO'!$C$4:$C$433,0)),"")</f>
        <v/>
      </c>
      <c r="L281" s="292" t="str">
        <f t="array" ref="L281">IFERROR(J281*INDEX('PORTIFÓLIO'!$S$4:$S$433,MATCH($C281,'PORTIFÓLIO'!$C$4:$C$433,0)),"")</f>
        <v/>
      </c>
      <c r="M281" s="220"/>
      <c r="N281" s="220"/>
      <c r="O281" s="220"/>
      <c r="P281" s="220"/>
      <c r="Q281" s="220"/>
      <c r="R281" s="220"/>
      <c r="S281" s="220"/>
      <c r="T281" s="220"/>
      <c r="U281" s="220"/>
      <c r="V281" s="220"/>
      <c r="W281" s="220"/>
    </row>
    <row r="282" ht="15.75" customHeight="1" outlineLevel="1">
      <c r="A282" s="211"/>
      <c r="B282" s="212"/>
      <c r="C282" s="213"/>
      <c r="D282" s="214" t="str">
        <f>IFERROR(VLOOKUP($C282,'PORTIFÓLIO'!C:V,2,0),"")</f>
        <v/>
      </c>
      <c r="E282" s="211" t="str">
        <f>IFERROR(VLOOKUP($C282,'PORTIFÓLIO'!C:V,3,0),"")</f>
        <v/>
      </c>
      <c r="F282" s="211" t="str">
        <f>IFERROR(VLOOKUP($C282,'PORTIFÓLIO'!C:V,4,0),"")</f>
        <v/>
      </c>
      <c r="G282" s="215" t="str">
        <f>IFERROR(VLOOKUP($C282,'PORTIFÓLIO'!C:V,5,0),"")</f>
        <v/>
      </c>
      <c r="H282" s="254" t="str">
        <f t="array" ref="H282">IFERROR(INDEX('PORTIFÓLIO'!$H$4:$H$433,MATCH($C282,'PORTIFÓLIO'!$C$4:$C$433,0)),"")</f>
        <v/>
      </c>
      <c r="I282" s="256"/>
      <c r="J282" s="218">
        <f t="shared" si="31"/>
        <v>0</v>
      </c>
      <c r="K282" s="292" t="str">
        <f t="array" ref="K282">IFERROR(I282*INDEX('PORTIFÓLIO'!$S$4:$S$433,MATCH($C282,'PORTIFÓLIO'!$C$4:$C$433,0)),"")</f>
        <v/>
      </c>
      <c r="L282" s="292" t="str">
        <f t="array" ref="L282">IFERROR(J282*INDEX('PORTIFÓLIO'!$S$4:$S$433,MATCH($C282,'PORTIFÓLIO'!$C$4:$C$433,0)),"")</f>
        <v/>
      </c>
      <c r="M282" s="220"/>
      <c r="N282" s="220"/>
      <c r="O282" s="220"/>
      <c r="P282" s="220"/>
      <c r="Q282" s="220"/>
      <c r="R282" s="220"/>
      <c r="S282" s="220"/>
      <c r="T282" s="220"/>
      <c r="U282" s="220"/>
      <c r="V282" s="220"/>
      <c r="W282" s="220"/>
    </row>
    <row r="283" ht="15.75" customHeight="1" outlineLevel="1">
      <c r="A283" s="211"/>
      <c r="B283" s="212"/>
      <c r="C283" s="213"/>
      <c r="D283" s="214" t="str">
        <f>IFERROR(VLOOKUP($C283,'PORTIFÓLIO'!C:V,2,0),"")</f>
        <v/>
      </c>
      <c r="E283" s="211" t="str">
        <f>IFERROR(VLOOKUP($C283,'PORTIFÓLIO'!C:V,3,0),"")</f>
        <v/>
      </c>
      <c r="F283" s="211" t="str">
        <f>IFERROR(VLOOKUP($C283,'PORTIFÓLIO'!C:V,4,0),"")</f>
        <v/>
      </c>
      <c r="G283" s="215" t="str">
        <f>IFERROR(VLOOKUP($C283,'PORTIFÓLIO'!C:V,5,0),"")</f>
        <v/>
      </c>
      <c r="H283" s="254" t="str">
        <f t="array" ref="H283">IFERROR(INDEX('PORTIFÓLIO'!$H$4:$H$433,MATCH($C283,'PORTIFÓLIO'!$C$4:$C$433,0)),"")</f>
        <v/>
      </c>
      <c r="I283" s="256"/>
      <c r="J283" s="218">
        <f t="shared" si="31"/>
        <v>0</v>
      </c>
      <c r="K283" s="292" t="str">
        <f t="array" ref="K283">IFERROR(I283*INDEX('PORTIFÓLIO'!$S$4:$S$433,MATCH($C283,'PORTIFÓLIO'!$C$4:$C$433,0)),"")</f>
        <v/>
      </c>
      <c r="L283" s="292" t="str">
        <f t="array" ref="L283">IFERROR(J283*INDEX('PORTIFÓLIO'!$S$4:$S$433,MATCH($C283,'PORTIFÓLIO'!$C$4:$C$433,0)),"")</f>
        <v/>
      </c>
      <c r="M283" s="220"/>
      <c r="N283" s="220"/>
      <c r="O283" s="220"/>
      <c r="P283" s="220"/>
      <c r="Q283" s="220"/>
      <c r="R283" s="220"/>
      <c r="S283" s="220"/>
      <c r="T283" s="220"/>
      <c r="U283" s="220"/>
      <c r="V283" s="220"/>
      <c r="W283" s="220"/>
    </row>
    <row r="284" ht="15.75" customHeight="1" outlineLevel="1">
      <c r="A284" s="211"/>
      <c r="B284" s="212"/>
      <c r="C284" s="213"/>
      <c r="D284" s="214" t="str">
        <f>IFERROR(VLOOKUP($C284,'PORTIFÓLIO'!C:V,2,0),"")</f>
        <v/>
      </c>
      <c r="E284" s="211" t="str">
        <f>IFERROR(VLOOKUP($C284,'PORTIFÓLIO'!C:V,3,0),"")</f>
        <v/>
      </c>
      <c r="F284" s="211" t="str">
        <f>IFERROR(VLOOKUP($C284,'PORTIFÓLIO'!C:V,4,0),"")</f>
        <v/>
      </c>
      <c r="G284" s="215" t="str">
        <f>IFERROR(VLOOKUP($C284,'PORTIFÓLIO'!C:V,5,0),"")</f>
        <v/>
      </c>
      <c r="H284" s="254" t="str">
        <f t="array" ref="H284">IFERROR(INDEX('PORTIFÓLIO'!$H$4:$H$433,MATCH($C284,'PORTIFÓLIO'!$C$4:$C$433,0)),"")</f>
        <v/>
      </c>
      <c r="I284" s="256"/>
      <c r="J284" s="218">
        <f t="shared" si="31"/>
        <v>0</v>
      </c>
      <c r="K284" s="292" t="str">
        <f t="array" ref="K284">IFERROR(I284*INDEX('PORTIFÓLIO'!$S$4:$S$433,MATCH($C284,'PORTIFÓLIO'!$C$4:$C$433,0)),"")</f>
        <v/>
      </c>
      <c r="L284" s="292" t="str">
        <f t="array" ref="L284">IFERROR(J284*INDEX('PORTIFÓLIO'!$S$4:$S$433,MATCH($C284,'PORTIFÓLIO'!$C$4:$C$433,0)),"")</f>
        <v/>
      </c>
      <c r="M284" s="220"/>
      <c r="N284" s="220"/>
      <c r="O284" s="220"/>
      <c r="P284" s="220"/>
      <c r="Q284" s="220"/>
      <c r="R284" s="220"/>
      <c r="S284" s="220"/>
      <c r="T284" s="220"/>
      <c r="U284" s="220"/>
      <c r="V284" s="220"/>
      <c r="W284" s="220"/>
    </row>
    <row r="285" ht="15.75" customHeight="1" outlineLevel="1">
      <c r="A285" s="211"/>
      <c r="B285" s="212"/>
      <c r="C285" s="213"/>
      <c r="D285" s="214" t="str">
        <f>IFERROR(VLOOKUP($C285,'PORTIFÓLIO'!C:V,2,0),"")</f>
        <v/>
      </c>
      <c r="E285" s="211" t="str">
        <f>IFERROR(VLOOKUP($C285,'PORTIFÓLIO'!C:V,3,0),"")</f>
        <v/>
      </c>
      <c r="F285" s="211" t="str">
        <f>IFERROR(VLOOKUP($C285,'PORTIFÓLIO'!C:V,4,0),"")</f>
        <v/>
      </c>
      <c r="G285" s="215" t="str">
        <f>IFERROR(VLOOKUP($C285,'PORTIFÓLIO'!C:V,5,0),"")</f>
        <v/>
      </c>
      <c r="H285" s="254" t="str">
        <f t="array" ref="H285">IFERROR(INDEX('PORTIFÓLIO'!$H$4:$H$433,MATCH($C285,'PORTIFÓLIO'!$C$4:$C$433,0)),"")</f>
        <v/>
      </c>
      <c r="I285" s="256"/>
      <c r="J285" s="218">
        <f t="shared" si="31"/>
        <v>0</v>
      </c>
      <c r="K285" s="292" t="str">
        <f t="array" ref="K285">IFERROR(I285*INDEX('PORTIFÓLIO'!$S$4:$S$433,MATCH($C285,'PORTIFÓLIO'!$C$4:$C$433,0)),"")</f>
        <v/>
      </c>
      <c r="L285" s="292" t="str">
        <f t="array" ref="L285">IFERROR(J285*INDEX('PORTIFÓLIO'!$S$4:$S$433,MATCH($C285,'PORTIFÓLIO'!$C$4:$C$433,0)),"")</f>
        <v/>
      </c>
      <c r="M285" s="220"/>
      <c r="N285" s="220"/>
      <c r="O285" s="220"/>
      <c r="P285" s="220"/>
      <c r="Q285" s="220"/>
      <c r="R285" s="220"/>
      <c r="S285" s="220"/>
      <c r="T285" s="220"/>
      <c r="U285" s="220"/>
      <c r="V285" s="220"/>
      <c r="W285" s="220"/>
    </row>
    <row r="286" ht="15.75" customHeight="1" outlineLevel="1">
      <c r="A286" s="211"/>
      <c r="B286" s="212"/>
      <c r="C286" s="213"/>
      <c r="D286" s="214" t="str">
        <f>IFERROR(VLOOKUP($C286,'PORTIFÓLIO'!C:V,2,0),"")</f>
        <v/>
      </c>
      <c r="E286" s="211" t="str">
        <f>IFERROR(VLOOKUP($C286,'PORTIFÓLIO'!C:V,3,0),"")</f>
        <v/>
      </c>
      <c r="F286" s="211" t="str">
        <f>IFERROR(VLOOKUP($C286,'PORTIFÓLIO'!C:V,4,0),"")</f>
        <v/>
      </c>
      <c r="G286" s="215" t="str">
        <f>IFERROR(VLOOKUP($C286,'PORTIFÓLIO'!C:V,5,0),"")</f>
        <v/>
      </c>
      <c r="H286" s="254" t="str">
        <f t="array" ref="H286">IFERROR(INDEX('PORTIFÓLIO'!$H$4:$H$433,MATCH($C286,'PORTIFÓLIO'!$C$4:$C$433,0)),"")</f>
        <v/>
      </c>
      <c r="I286" s="256"/>
      <c r="J286" s="218">
        <f t="shared" si="31"/>
        <v>0</v>
      </c>
      <c r="K286" s="292" t="str">
        <f t="array" ref="K286">IFERROR(I286*INDEX('PORTIFÓLIO'!$S$4:$S$433,MATCH($C286,'PORTIFÓLIO'!$C$4:$C$433,0)),"")</f>
        <v/>
      </c>
      <c r="L286" s="292" t="str">
        <f t="array" ref="L286">IFERROR(J286*INDEX('PORTIFÓLIO'!$S$4:$S$433,MATCH($C286,'PORTIFÓLIO'!$C$4:$C$433,0)),"")</f>
        <v/>
      </c>
      <c r="M286" s="220"/>
      <c r="N286" s="220"/>
      <c r="O286" s="220"/>
      <c r="P286" s="220"/>
      <c r="Q286" s="220"/>
      <c r="R286" s="220"/>
      <c r="S286" s="220"/>
      <c r="T286" s="220"/>
      <c r="U286" s="220"/>
      <c r="V286" s="220"/>
      <c r="W286" s="220"/>
    </row>
    <row r="287" ht="15.75" customHeight="1" outlineLevel="1">
      <c r="A287" s="211"/>
      <c r="B287" s="212"/>
      <c r="C287" s="213"/>
      <c r="D287" s="214" t="str">
        <f>IFERROR(VLOOKUP($C287,'PORTIFÓLIO'!C:V,2,0),"")</f>
        <v/>
      </c>
      <c r="E287" s="211" t="str">
        <f>IFERROR(VLOOKUP($C287,'PORTIFÓLIO'!C:V,3,0),"")</f>
        <v/>
      </c>
      <c r="F287" s="211" t="str">
        <f>IFERROR(VLOOKUP($C287,'PORTIFÓLIO'!C:V,4,0),"")</f>
        <v/>
      </c>
      <c r="G287" s="215" t="str">
        <f>IFERROR(VLOOKUP($C287,'PORTIFÓLIO'!C:V,5,0),"")</f>
        <v/>
      </c>
      <c r="H287" s="254" t="str">
        <f t="array" ref="H287">IFERROR(INDEX('PORTIFÓLIO'!$H$4:$H$433,MATCH($C287,'PORTIFÓLIO'!$C$4:$C$433,0)),"")</f>
        <v/>
      </c>
      <c r="I287" s="256"/>
      <c r="J287" s="218">
        <f t="shared" si="31"/>
        <v>0</v>
      </c>
      <c r="K287" s="292" t="str">
        <f t="array" ref="K287">IFERROR(I287*INDEX('PORTIFÓLIO'!$S$4:$S$433,MATCH($C287,'PORTIFÓLIO'!$C$4:$C$433,0)),"")</f>
        <v/>
      </c>
      <c r="L287" s="292" t="str">
        <f t="array" ref="L287">IFERROR(J287*INDEX('PORTIFÓLIO'!$S$4:$S$433,MATCH($C287,'PORTIFÓLIO'!$C$4:$C$433,0)),"")</f>
        <v/>
      </c>
      <c r="M287" s="220"/>
      <c r="N287" s="220"/>
      <c r="O287" s="220"/>
      <c r="P287" s="220"/>
      <c r="Q287" s="220"/>
      <c r="R287" s="220"/>
      <c r="S287" s="220"/>
      <c r="T287" s="220"/>
      <c r="U287" s="220"/>
      <c r="V287" s="220"/>
      <c r="W287" s="220"/>
    </row>
    <row r="288" ht="15.75" customHeight="1" outlineLevel="1">
      <c r="A288" s="211"/>
      <c r="B288" s="212"/>
      <c r="C288" s="213"/>
      <c r="D288" s="214" t="str">
        <f>IFERROR(VLOOKUP($C288,'PORTIFÓLIO'!C:V,2,0),"")</f>
        <v/>
      </c>
      <c r="E288" s="211" t="str">
        <f>IFERROR(VLOOKUP($C288,'PORTIFÓLIO'!C:V,3,0),"")</f>
        <v/>
      </c>
      <c r="F288" s="211" t="str">
        <f>IFERROR(VLOOKUP($C288,'PORTIFÓLIO'!C:V,4,0),"")</f>
        <v/>
      </c>
      <c r="G288" s="215" t="str">
        <f>IFERROR(VLOOKUP($C288,'PORTIFÓLIO'!C:V,5,0),"")</f>
        <v/>
      </c>
      <c r="H288" s="254" t="str">
        <f t="array" ref="H288">IFERROR(INDEX('PORTIFÓLIO'!$H$4:$H$433,MATCH($C288,'PORTIFÓLIO'!$C$4:$C$433,0)),"")</f>
        <v/>
      </c>
      <c r="I288" s="256"/>
      <c r="J288" s="218">
        <f t="shared" si="31"/>
        <v>0</v>
      </c>
      <c r="K288" s="292" t="str">
        <f t="array" ref="K288">IFERROR(I288*INDEX('PORTIFÓLIO'!$S$4:$S$433,MATCH($C288,'PORTIFÓLIO'!$C$4:$C$433,0)),"")</f>
        <v/>
      </c>
      <c r="L288" s="292" t="str">
        <f t="array" ref="L288">IFERROR(J288*INDEX('PORTIFÓLIO'!$S$4:$S$433,MATCH($C288,'PORTIFÓLIO'!$C$4:$C$433,0)),"")</f>
        <v/>
      </c>
      <c r="M288" s="220"/>
      <c r="N288" s="220"/>
      <c r="O288" s="220"/>
      <c r="P288" s="220"/>
      <c r="Q288" s="220"/>
      <c r="R288" s="220"/>
      <c r="S288" s="220"/>
      <c r="T288" s="220"/>
      <c r="U288" s="220"/>
      <c r="V288" s="220"/>
      <c r="W288" s="220"/>
    </row>
    <row r="289" ht="15.75" customHeight="1" outlineLevel="1">
      <c r="A289" s="211"/>
      <c r="B289" s="212"/>
      <c r="C289" s="213"/>
      <c r="D289" s="214" t="str">
        <f>IFERROR(VLOOKUP($C289,'PORTIFÓLIO'!C:V,2,0),"")</f>
        <v/>
      </c>
      <c r="E289" s="211" t="str">
        <f>IFERROR(VLOOKUP($C289,'PORTIFÓLIO'!C:V,3,0),"")</f>
        <v/>
      </c>
      <c r="F289" s="211" t="str">
        <f>IFERROR(VLOOKUP($C289,'PORTIFÓLIO'!C:V,4,0),"")</f>
        <v/>
      </c>
      <c r="G289" s="215" t="str">
        <f>IFERROR(VLOOKUP($C289,'PORTIFÓLIO'!C:V,5,0),"")</f>
        <v/>
      </c>
      <c r="H289" s="254" t="str">
        <f t="array" ref="H289">IFERROR(INDEX('PORTIFÓLIO'!$H$4:$H$433,MATCH($C289,'PORTIFÓLIO'!$C$4:$C$433,0)),"")</f>
        <v/>
      </c>
      <c r="I289" s="256"/>
      <c r="J289" s="218">
        <f t="shared" si="31"/>
        <v>0</v>
      </c>
      <c r="K289" s="292" t="str">
        <f t="array" ref="K289">IFERROR(I289*INDEX('PORTIFÓLIO'!$S$4:$S$433,MATCH($C289,'PORTIFÓLIO'!$C$4:$C$433,0)),"")</f>
        <v/>
      </c>
      <c r="L289" s="292" t="str">
        <f t="array" ref="L289">IFERROR(J289*INDEX('PORTIFÓLIO'!$S$4:$S$433,MATCH($C289,'PORTIFÓLIO'!$C$4:$C$433,0)),"")</f>
        <v/>
      </c>
      <c r="M289" s="220"/>
      <c r="N289" s="220"/>
      <c r="O289" s="220"/>
      <c r="P289" s="220"/>
      <c r="Q289" s="220"/>
      <c r="R289" s="220"/>
      <c r="S289" s="220"/>
      <c r="T289" s="220"/>
      <c r="U289" s="220"/>
      <c r="V289" s="220"/>
      <c r="W289" s="220"/>
    </row>
    <row r="290" ht="15.75" customHeight="1">
      <c r="A290" s="229" t="s">
        <v>1186</v>
      </c>
      <c r="B290" s="230"/>
      <c r="C290" s="231"/>
      <c r="D290" s="232"/>
      <c r="E290" s="231"/>
      <c r="F290" s="231"/>
      <c r="G290" s="233"/>
      <c r="H290" s="233"/>
      <c r="I290" s="258"/>
      <c r="J290" s="236"/>
      <c r="K290" s="237">
        <f t="shared" ref="K290:L290" si="32">SUBTOTAL(9,K291:K304)</f>
        <v>0</v>
      </c>
      <c r="L290" s="237">
        <f t="shared" si="32"/>
        <v>0</v>
      </c>
      <c r="M290" s="220"/>
      <c r="N290" s="220"/>
      <c r="O290" s="220"/>
      <c r="P290" s="220"/>
      <c r="Q290" s="220"/>
      <c r="R290" s="220"/>
      <c r="S290" s="220"/>
      <c r="T290" s="220"/>
      <c r="U290" s="220"/>
      <c r="V290" s="220"/>
      <c r="W290" s="220"/>
    </row>
    <row r="291" ht="15.75" customHeight="1" outlineLevel="1">
      <c r="A291" s="213"/>
      <c r="B291" s="212"/>
      <c r="C291" s="213"/>
      <c r="D291" s="214" t="str">
        <f>IFERROR(VLOOKUP($C291,'PORTIFÓLIO'!C:V,2,0),"")</f>
        <v/>
      </c>
      <c r="E291" s="211" t="str">
        <f>IFERROR(VLOOKUP($C291,'PORTIFÓLIO'!C:V,3,0),"")</f>
        <v/>
      </c>
      <c r="F291" s="211" t="str">
        <f>IFERROR(VLOOKUP($C291,'PORTIFÓLIO'!C:V,4,0),"")</f>
        <v/>
      </c>
      <c r="G291" s="215" t="str">
        <f>IFERROR(VLOOKUP($C291,'PORTIFÓLIO'!C:V,5,0),"")</f>
        <v/>
      </c>
      <c r="H291" s="254" t="str">
        <f t="array" ref="H291">IFERROR(INDEX('PORTIFÓLIO'!$H$4:$H$433,MATCH($C291,'PORTIFÓLIO'!$C$4:$C$433,0)),"")</f>
        <v/>
      </c>
      <c r="I291" s="255"/>
      <c r="J291" s="218">
        <f t="shared" ref="J291:J307" si="33">I291*$B$2</f>
        <v>0</v>
      </c>
      <c r="K291" s="292" t="str">
        <f t="array" ref="K291">IFERROR(I291*INDEX('PORTIFÓLIO'!$S$4:$S$433,MATCH($C291,'PORTIFÓLIO'!$C$4:$C$433,0)),"")</f>
        <v/>
      </c>
      <c r="L291" s="292" t="str">
        <f t="array" ref="L291">IFERROR(J291*INDEX('PORTIFÓLIO'!$S$4:$S$433,MATCH($C291,'PORTIFÓLIO'!$C$4:$C$433,0)),"")</f>
        <v/>
      </c>
      <c r="M291" s="220"/>
      <c r="N291" s="220"/>
      <c r="O291" s="220"/>
      <c r="P291" s="220"/>
      <c r="Q291" s="220"/>
      <c r="R291" s="220"/>
      <c r="S291" s="220"/>
      <c r="T291" s="220"/>
      <c r="U291" s="220"/>
      <c r="V291" s="220"/>
      <c r="W291" s="220"/>
    </row>
    <row r="292" ht="15.75" customHeight="1" outlineLevel="1">
      <c r="A292" s="211"/>
      <c r="B292" s="212"/>
      <c r="C292" s="213"/>
      <c r="D292" s="214" t="str">
        <f>IFERROR(VLOOKUP($C292,'PORTIFÓLIO'!C:V,2,0),"")</f>
        <v/>
      </c>
      <c r="E292" s="211" t="str">
        <f>IFERROR(VLOOKUP($C292,'PORTIFÓLIO'!C:V,3,0),"")</f>
        <v/>
      </c>
      <c r="F292" s="211" t="str">
        <f>IFERROR(VLOOKUP($C292,'PORTIFÓLIO'!C:V,4,0),"")</f>
        <v/>
      </c>
      <c r="G292" s="215" t="str">
        <f>IFERROR(VLOOKUP($C292,'PORTIFÓLIO'!C:V,5,0),"")</f>
        <v/>
      </c>
      <c r="H292" s="254" t="str">
        <f t="array" ref="H292">IFERROR(INDEX('PORTIFÓLIO'!$H$4:$H$433,MATCH($C292,'PORTIFÓLIO'!$C$4:$C$433,0)),"")</f>
        <v/>
      </c>
      <c r="I292" s="256"/>
      <c r="J292" s="218">
        <f t="shared" si="33"/>
        <v>0</v>
      </c>
      <c r="K292" s="292" t="str">
        <f t="array" ref="K292">IFERROR(I292*INDEX('PORTIFÓLIO'!$S$4:$S$433,MATCH($C292,'PORTIFÓLIO'!$C$4:$C$433,0)),"")</f>
        <v/>
      </c>
      <c r="L292" s="292" t="str">
        <f t="array" ref="L292">IFERROR(J292*INDEX('PORTIFÓLIO'!$S$4:$S$433,MATCH($C292,'PORTIFÓLIO'!$C$4:$C$433,0)),"")</f>
        <v/>
      </c>
      <c r="M292" s="220"/>
      <c r="N292" s="220"/>
      <c r="O292" s="220"/>
      <c r="P292" s="220"/>
      <c r="Q292" s="220"/>
      <c r="R292" s="220"/>
      <c r="S292" s="220"/>
      <c r="T292" s="220"/>
      <c r="U292" s="220"/>
      <c r="V292" s="220"/>
      <c r="W292" s="220"/>
    </row>
    <row r="293" ht="15.75" customHeight="1" outlineLevel="1">
      <c r="A293" s="211"/>
      <c r="B293" s="212"/>
      <c r="C293" s="213"/>
      <c r="D293" s="214" t="str">
        <f>IFERROR(VLOOKUP($C293,'PORTIFÓLIO'!C:V,2,0),"")</f>
        <v/>
      </c>
      <c r="E293" s="211" t="str">
        <f>IFERROR(VLOOKUP($C293,'PORTIFÓLIO'!C:V,3,0),"")</f>
        <v/>
      </c>
      <c r="F293" s="211" t="str">
        <f>IFERROR(VLOOKUP($C293,'PORTIFÓLIO'!C:V,4,0),"")</f>
        <v/>
      </c>
      <c r="G293" s="215" t="str">
        <f>IFERROR(VLOOKUP($C293,'PORTIFÓLIO'!C:V,5,0),"")</f>
        <v/>
      </c>
      <c r="H293" s="254" t="str">
        <f t="array" ref="H293">IFERROR(INDEX('PORTIFÓLIO'!$H$4:$H$433,MATCH($C293,'PORTIFÓLIO'!$C$4:$C$433,0)),"")</f>
        <v/>
      </c>
      <c r="I293" s="256"/>
      <c r="J293" s="218">
        <f t="shared" si="33"/>
        <v>0</v>
      </c>
      <c r="K293" s="292" t="str">
        <f t="array" ref="K293">IFERROR(I293*INDEX('PORTIFÓLIO'!$S$4:$S$433,MATCH($C293,'PORTIFÓLIO'!$C$4:$C$433,0)),"")</f>
        <v/>
      </c>
      <c r="L293" s="292" t="str">
        <f t="array" ref="L293">IFERROR(J293*INDEX('PORTIFÓLIO'!$S$4:$S$433,MATCH($C293,'PORTIFÓLIO'!$C$4:$C$433,0)),"")</f>
        <v/>
      </c>
      <c r="M293" s="220"/>
      <c r="N293" s="220"/>
      <c r="O293" s="220"/>
      <c r="P293" s="220"/>
      <c r="Q293" s="220"/>
      <c r="R293" s="220"/>
      <c r="S293" s="220"/>
      <c r="T293" s="220"/>
      <c r="U293" s="220"/>
      <c r="V293" s="220"/>
      <c r="W293" s="220"/>
    </row>
    <row r="294" ht="15.75" customHeight="1" outlineLevel="1">
      <c r="A294" s="211"/>
      <c r="B294" s="212"/>
      <c r="C294" s="213"/>
      <c r="D294" s="214" t="str">
        <f>IFERROR(VLOOKUP($C294,'PORTIFÓLIO'!C:V,2,0),"")</f>
        <v/>
      </c>
      <c r="E294" s="211" t="str">
        <f>IFERROR(VLOOKUP($C294,'PORTIFÓLIO'!C:V,3,0),"")</f>
        <v/>
      </c>
      <c r="F294" s="211" t="str">
        <f>IFERROR(VLOOKUP($C294,'PORTIFÓLIO'!C:V,4,0),"")</f>
        <v/>
      </c>
      <c r="G294" s="215" t="str">
        <f>IFERROR(VLOOKUP($C294,'PORTIFÓLIO'!C:V,5,0),"")</f>
        <v/>
      </c>
      <c r="H294" s="254" t="str">
        <f t="array" ref="H294">IFERROR(INDEX('PORTIFÓLIO'!$H$4:$H$433,MATCH($C294,'PORTIFÓLIO'!$C$4:$C$433,0)),"")</f>
        <v/>
      </c>
      <c r="I294" s="256"/>
      <c r="J294" s="218">
        <f t="shared" si="33"/>
        <v>0</v>
      </c>
      <c r="K294" s="292" t="str">
        <f t="array" ref="K294">IFERROR(I294*INDEX('PORTIFÓLIO'!$S$4:$S$433,MATCH($C294,'PORTIFÓLIO'!$C$4:$C$433,0)),"")</f>
        <v/>
      </c>
      <c r="L294" s="292" t="str">
        <f t="array" ref="L294">IFERROR(J294*INDEX('PORTIFÓLIO'!$S$4:$S$433,MATCH($C294,'PORTIFÓLIO'!$C$4:$C$433,0)),"")</f>
        <v/>
      </c>
      <c r="M294" s="220"/>
      <c r="N294" s="220"/>
      <c r="O294" s="220"/>
      <c r="P294" s="220"/>
      <c r="Q294" s="220"/>
      <c r="R294" s="220"/>
      <c r="S294" s="220"/>
      <c r="T294" s="220"/>
      <c r="U294" s="220"/>
      <c r="V294" s="220"/>
      <c r="W294" s="220"/>
    </row>
    <row r="295" ht="15.75" customHeight="1" outlineLevel="1">
      <c r="A295" s="211"/>
      <c r="B295" s="212"/>
      <c r="C295" s="213"/>
      <c r="D295" s="214" t="str">
        <f>IFERROR(VLOOKUP($C295,'PORTIFÓLIO'!C:V,2,0),"")</f>
        <v/>
      </c>
      <c r="E295" s="211" t="str">
        <f>IFERROR(VLOOKUP($C295,'PORTIFÓLIO'!C:V,3,0),"")</f>
        <v/>
      </c>
      <c r="F295" s="211" t="str">
        <f>IFERROR(VLOOKUP($C295,'PORTIFÓLIO'!C:V,4,0),"")</f>
        <v/>
      </c>
      <c r="G295" s="215" t="str">
        <f>IFERROR(VLOOKUP($C295,'PORTIFÓLIO'!C:V,5,0),"")</f>
        <v/>
      </c>
      <c r="H295" s="254" t="str">
        <f t="array" ref="H295">IFERROR(INDEX('PORTIFÓLIO'!$H$4:$H$433,MATCH($C295,'PORTIFÓLIO'!$C$4:$C$433,0)),"")</f>
        <v/>
      </c>
      <c r="I295" s="256"/>
      <c r="J295" s="218">
        <f t="shared" si="33"/>
        <v>0</v>
      </c>
      <c r="K295" s="292" t="str">
        <f t="array" ref="K295">IFERROR(I295*INDEX('PORTIFÓLIO'!$S$4:$S$433,MATCH($C295,'PORTIFÓLIO'!$C$4:$C$433,0)),"")</f>
        <v/>
      </c>
      <c r="L295" s="292" t="str">
        <f t="array" ref="L295">IFERROR(J295*INDEX('PORTIFÓLIO'!$S$4:$S$433,MATCH($C295,'PORTIFÓLIO'!$C$4:$C$433,0)),"")</f>
        <v/>
      </c>
      <c r="M295" s="220"/>
      <c r="N295" s="220"/>
      <c r="O295" s="220"/>
      <c r="P295" s="220"/>
      <c r="Q295" s="220"/>
      <c r="R295" s="220"/>
      <c r="S295" s="220"/>
      <c r="T295" s="220"/>
      <c r="U295" s="220"/>
      <c r="V295" s="220"/>
      <c r="W295" s="220"/>
    </row>
    <row r="296" ht="15.75" customHeight="1" outlineLevel="1">
      <c r="A296" s="211"/>
      <c r="B296" s="212"/>
      <c r="C296" s="213"/>
      <c r="D296" s="214" t="str">
        <f>IFERROR(VLOOKUP($C296,'PORTIFÓLIO'!C:V,2,0),"")</f>
        <v/>
      </c>
      <c r="E296" s="211" t="str">
        <f>IFERROR(VLOOKUP($C296,'PORTIFÓLIO'!C:V,3,0),"")</f>
        <v/>
      </c>
      <c r="F296" s="211" t="str">
        <f>IFERROR(VLOOKUP($C296,'PORTIFÓLIO'!C:V,4,0),"")</f>
        <v/>
      </c>
      <c r="G296" s="215" t="str">
        <f>IFERROR(VLOOKUP($C296,'PORTIFÓLIO'!C:V,5,0),"")</f>
        <v/>
      </c>
      <c r="H296" s="254" t="str">
        <f t="array" ref="H296">IFERROR(INDEX('PORTIFÓLIO'!$H$4:$H$433,MATCH($C296,'PORTIFÓLIO'!$C$4:$C$433,0)),"")</f>
        <v/>
      </c>
      <c r="I296" s="256"/>
      <c r="J296" s="218">
        <f t="shared" si="33"/>
        <v>0</v>
      </c>
      <c r="K296" s="292" t="str">
        <f t="array" ref="K296">IFERROR(I296*INDEX('PORTIFÓLIO'!$S$4:$S$433,MATCH($C296,'PORTIFÓLIO'!$C$4:$C$433,0)),"")</f>
        <v/>
      </c>
      <c r="L296" s="292" t="str">
        <f t="array" ref="L296">IFERROR(J296*INDEX('PORTIFÓLIO'!$S$4:$S$433,MATCH($C296,'PORTIFÓLIO'!$C$4:$C$433,0)),"")</f>
        <v/>
      </c>
      <c r="M296" s="220"/>
      <c r="N296" s="220"/>
      <c r="O296" s="220"/>
      <c r="P296" s="220"/>
      <c r="Q296" s="220"/>
      <c r="R296" s="220"/>
      <c r="S296" s="220"/>
      <c r="T296" s="220"/>
      <c r="U296" s="220"/>
      <c r="V296" s="220"/>
      <c r="W296" s="220"/>
    </row>
    <row r="297" ht="15.75" customHeight="1" outlineLevel="1">
      <c r="A297" s="211"/>
      <c r="B297" s="212"/>
      <c r="C297" s="213"/>
      <c r="D297" s="214" t="str">
        <f>IFERROR(VLOOKUP($C297,'PORTIFÓLIO'!C:V,2,0),"")</f>
        <v/>
      </c>
      <c r="E297" s="211" t="str">
        <f>IFERROR(VLOOKUP($C297,'PORTIFÓLIO'!C:V,3,0),"")</f>
        <v/>
      </c>
      <c r="F297" s="211" t="str">
        <f>IFERROR(VLOOKUP($C297,'PORTIFÓLIO'!C:V,4,0),"")</f>
        <v/>
      </c>
      <c r="G297" s="215" t="str">
        <f>IFERROR(VLOOKUP($C297,'PORTIFÓLIO'!C:V,5,0),"")</f>
        <v/>
      </c>
      <c r="H297" s="254" t="str">
        <f t="array" ref="H297">IFERROR(INDEX('PORTIFÓLIO'!$H$4:$H$433,MATCH($C297,'PORTIFÓLIO'!$C$4:$C$433,0)),"")</f>
        <v/>
      </c>
      <c r="I297" s="256"/>
      <c r="J297" s="218">
        <f t="shared" si="33"/>
        <v>0</v>
      </c>
      <c r="K297" s="292" t="str">
        <f t="array" ref="K297">IFERROR(I297*INDEX('PORTIFÓLIO'!$S$4:$S$433,MATCH($C297,'PORTIFÓLIO'!$C$4:$C$433,0)),"")</f>
        <v/>
      </c>
      <c r="L297" s="292" t="str">
        <f t="array" ref="L297">IFERROR(J297*INDEX('PORTIFÓLIO'!$S$4:$S$433,MATCH($C297,'PORTIFÓLIO'!$C$4:$C$433,0)),"")</f>
        <v/>
      </c>
      <c r="M297" s="220"/>
      <c r="N297" s="220"/>
      <c r="O297" s="220"/>
      <c r="P297" s="220"/>
      <c r="Q297" s="220"/>
      <c r="R297" s="220"/>
      <c r="S297" s="220"/>
      <c r="T297" s="220"/>
      <c r="U297" s="220"/>
      <c r="V297" s="220"/>
      <c r="W297" s="220"/>
    </row>
    <row r="298" ht="15.75" customHeight="1" outlineLevel="1">
      <c r="A298" s="211"/>
      <c r="B298" s="212"/>
      <c r="C298" s="213"/>
      <c r="D298" s="214" t="str">
        <f>IFERROR(VLOOKUP($C298,'PORTIFÓLIO'!C:V,2,0),"")</f>
        <v/>
      </c>
      <c r="E298" s="211" t="str">
        <f>IFERROR(VLOOKUP($C298,'PORTIFÓLIO'!C:V,3,0),"")</f>
        <v/>
      </c>
      <c r="F298" s="211" t="str">
        <f>IFERROR(VLOOKUP($C298,'PORTIFÓLIO'!C:V,4,0),"")</f>
        <v/>
      </c>
      <c r="G298" s="215" t="str">
        <f>IFERROR(VLOOKUP($C298,'PORTIFÓLIO'!C:V,5,0),"")</f>
        <v/>
      </c>
      <c r="H298" s="254" t="str">
        <f t="array" ref="H298">IFERROR(INDEX('PORTIFÓLIO'!$H$4:$H$433,MATCH($C298,'PORTIFÓLIO'!$C$4:$C$433,0)),"")</f>
        <v/>
      </c>
      <c r="I298" s="256"/>
      <c r="J298" s="218">
        <f t="shared" si="33"/>
        <v>0</v>
      </c>
      <c r="K298" s="292" t="str">
        <f t="array" ref="K298">IFERROR(I298*INDEX('PORTIFÓLIO'!$S$4:$S$433,MATCH($C298,'PORTIFÓLIO'!$C$4:$C$433,0)),"")</f>
        <v/>
      </c>
      <c r="L298" s="292" t="str">
        <f t="array" ref="L298">IFERROR(J298*INDEX('PORTIFÓLIO'!$S$4:$S$433,MATCH($C298,'PORTIFÓLIO'!$C$4:$C$433,0)),"")</f>
        <v/>
      </c>
      <c r="M298" s="220"/>
      <c r="N298" s="220"/>
      <c r="O298" s="220"/>
      <c r="P298" s="220"/>
      <c r="Q298" s="220"/>
      <c r="R298" s="220"/>
      <c r="S298" s="220"/>
      <c r="T298" s="220"/>
      <c r="U298" s="220"/>
      <c r="V298" s="220"/>
      <c r="W298" s="220"/>
    </row>
    <row r="299" ht="15.75" customHeight="1" outlineLevel="1">
      <c r="A299" s="211"/>
      <c r="B299" s="212"/>
      <c r="C299" s="213"/>
      <c r="D299" s="214" t="str">
        <f>IFERROR(VLOOKUP($C299,'PORTIFÓLIO'!C:V,2,0),"")</f>
        <v/>
      </c>
      <c r="E299" s="211" t="str">
        <f>IFERROR(VLOOKUP($C299,'PORTIFÓLIO'!C:V,3,0),"")</f>
        <v/>
      </c>
      <c r="F299" s="211" t="str">
        <f>IFERROR(VLOOKUP($C299,'PORTIFÓLIO'!C:V,4,0),"")</f>
        <v/>
      </c>
      <c r="G299" s="215" t="str">
        <f>IFERROR(VLOOKUP($C299,'PORTIFÓLIO'!C:V,5,0),"")</f>
        <v/>
      </c>
      <c r="H299" s="254" t="str">
        <f t="array" ref="H299">IFERROR(INDEX('PORTIFÓLIO'!$H$4:$H$433,MATCH($C299,'PORTIFÓLIO'!$C$4:$C$433,0)),"")</f>
        <v/>
      </c>
      <c r="I299" s="255"/>
      <c r="J299" s="218">
        <f t="shared" si="33"/>
        <v>0</v>
      </c>
      <c r="K299" s="292" t="str">
        <f t="array" ref="K299">IFERROR(I299*INDEX('PORTIFÓLIO'!$S$4:$S$433,MATCH($C299,'PORTIFÓLIO'!$C$4:$C$433,0)),"")</f>
        <v/>
      </c>
      <c r="L299" s="292" t="str">
        <f t="array" ref="L299">IFERROR(J299*INDEX('PORTIFÓLIO'!$S$4:$S$433,MATCH($C299,'PORTIFÓLIO'!$C$4:$C$433,0)),"")</f>
        <v/>
      </c>
      <c r="M299" s="220"/>
      <c r="N299" s="220"/>
      <c r="O299" s="220"/>
      <c r="P299" s="220"/>
      <c r="Q299" s="220"/>
      <c r="R299" s="220"/>
      <c r="S299" s="220"/>
      <c r="T299" s="220"/>
      <c r="U299" s="220"/>
      <c r="V299" s="220"/>
      <c r="W299" s="220"/>
    </row>
    <row r="300" ht="15.75" customHeight="1" outlineLevel="1">
      <c r="A300" s="211"/>
      <c r="B300" s="212"/>
      <c r="C300" s="213"/>
      <c r="D300" s="214" t="str">
        <f>IFERROR(VLOOKUP($C300,'PORTIFÓLIO'!C:V,2,0),"")</f>
        <v/>
      </c>
      <c r="E300" s="211" t="str">
        <f>IFERROR(VLOOKUP($C300,'PORTIFÓLIO'!C:V,3,0),"")</f>
        <v/>
      </c>
      <c r="F300" s="211" t="str">
        <f>IFERROR(VLOOKUP($C300,'PORTIFÓLIO'!C:V,4,0),"")</f>
        <v/>
      </c>
      <c r="G300" s="215" t="str">
        <f>IFERROR(VLOOKUP($C300,'PORTIFÓLIO'!C:V,5,0),"")</f>
        <v/>
      </c>
      <c r="H300" s="254" t="str">
        <f t="array" ref="H300">IFERROR(INDEX('PORTIFÓLIO'!$H$4:$H$433,MATCH($C300,'PORTIFÓLIO'!$C$4:$C$433,0)),"")</f>
        <v/>
      </c>
      <c r="I300" s="256"/>
      <c r="J300" s="218">
        <f t="shared" si="33"/>
        <v>0</v>
      </c>
      <c r="K300" s="292" t="str">
        <f t="array" ref="K300">IFERROR(I300*INDEX('PORTIFÓLIO'!$S$4:$S$433,MATCH($C300,'PORTIFÓLIO'!$C$4:$C$433,0)),"")</f>
        <v/>
      </c>
      <c r="L300" s="292" t="str">
        <f t="array" ref="L300">IFERROR(J300*INDEX('PORTIFÓLIO'!$S$4:$S$433,MATCH($C300,'PORTIFÓLIO'!$C$4:$C$433,0)),"")</f>
        <v/>
      </c>
      <c r="M300" s="220"/>
      <c r="N300" s="220"/>
      <c r="O300" s="220"/>
      <c r="P300" s="220"/>
      <c r="Q300" s="220"/>
      <c r="R300" s="220"/>
      <c r="S300" s="220"/>
      <c r="T300" s="220"/>
      <c r="U300" s="220"/>
      <c r="V300" s="220"/>
      <c r="W300" s="220"/>
    </row>
    <row r="301" ht="15.75" customHeight="1" outlineLevel="1">
      <c r="A301" s="211"/>
      <c r="B301" s="212"/>
      <c r="C301" s="213"/>
      <c r="D301" s="214" t="str">
        <f>IFERROR(VLOOKUP($C301,'PORTIFÓLIO'!C:V,2,0),"")</f>
        <v/>
      </c>
      <c r="E301" s="211" t="str">
        <f>IFERROR(VLOOKUP($C301,'PORTIFÓLIO'!C:V,3,0),"")</f>
        <v/>
      </c>
      <c r="F301" s="211" t="str">
        <f>IFERROR(VLOOKUP($C301,'PORTIFÓLIO'!C:V,4,0),"")</f>
        <v/>
      </c>
      <c r="G301" s="215" t="str">
        <f>IFERROR(VLOOKUP($C301,'PORTIFÓLIO'!C:V,5,0),"")</f>
        <v/>
      </c>
      <c r="H301" s="254" t="str">
        <f t="array" ref="H301">IFERROR(INDEX('PORTIFÓLIO'!$H$4:$H$433,MATCH($C301,'PORTIFÓLIO'!$C$4:$C$433,0)),"")</f>
        <v/>
      </c>
      <c r="I301" s="256"/>
      <c r="J301" s="218">
        <f t="shared" si="33"/>
        <v>0</v>
      </c>
      <c r="K301" s="292" t="str">
        <f t="array" ref="K301">IFERROR(I301*INDEX('PORTIFÓLIO'!$S$4:$S$433,MATCH($C301,'PORTIFÓLIO'!$C$4:$C$433,0)),"")</f>
        <v/>
      </c>
      <c r="L301" s="292" t="str">
        <f t="array" ref="L301">IFERROR(J301*INDEX('PORTIFÓLIO'!$S$4:$S$433,MATCH($C301,'PORTIFÓLIO'!$C$4:$C$433,0)),"")</f>
        <v/>
      </c>
      <c r="M301" s="220"/>
      <c r="N301" s="220"/>
      <c r="O301" s="220"/>
      <c r="P301" s="220"/>
      <c r="Q301" s="220"/>
      <c r="R301" s="220"/>
      <c r="S301" s="220"/>
      <c r="T301" s="220"/>
      <c r="U301" s="220"/>
      <c r="V301" s="220"/>
      <c r="W301" s="220"/>
    </row>
    <row r="302" ht="15.75" customHeight="1" outlineLevel="1">
      <c r="A302" s="211"/>
      <c r="B302" s="212"/>
      <c r="C302" s="213"/>
      <c r="D302" s="214" t="str">
        <f>IFERROR(VLOOKUP($C302,'PORTIFÓLIO'!C:V,2,0),"")</f>
        <v/>
      </c>
      <c r="E302" s="211" t="str">
        <f>IFERROR(VLOOKUP($C302,'PORTIFÓLIO'!C:V,3,0),"")</f>
        <v/>
      </c>
      <c r="F302" s="211" t="str">
        <f>IFERROR(VLOOKUP($C302,'PORTIFÓLIO'!C:V,4,0),"")</f>
        <v/>
      </c>
      <c r="G302" s="215" t="str">
        <f>IFERROR(VLOOKUP($C302,'PORTIFÓLIO'!C:V,5,0),"")</f>
        <v/>
      </c>
      <c r="H302" s="254" t="str">
        <f t="array" ref="H302">IFERROR(INDEX('PORTIFÓLIO'!$H$4:$H$433,MATCH($C302,'PORTIFÓLIO'!$C$4:$C$433,0)),"")</f>
        <v/>
      </c>
      <c r="I302" s="256"/>
      <c r="J302" s="218">
        <f t="shared" si="33"/>
        <v>0</v>
      </c>
      <c r="K302" s="292" t="str">
        <f t="array" ref="K302">IFERROR(I302*INDEX('PORTIFÓLIO'!$S$4:$S$433,MATCH($C302,'PORTIFÓLIO'!$C$4:$C$433,0)),"")</f>
        <v/>
      </c>
      <c r="L302" s="292" t="str">
        <f t="array" ref="L302">IFERROR(J302*INDEX('PORTIFÓLIO'!$S$4:$S$433,MATCH($C302,'PORTIFÓLIO'!$C$4:$C$433,0)),"")</f>
        <v/>
      </c>
      <c r="M302" s="220"/>
      <c r="N302" s="220"/>
      <c r="O302" s="220"/>
      <c r="P302" s="220"/>
      <c r="Q302" s="220"/>
      <c r="R302" s="220"/>
      <c r="S302" s="220"/>
      <c r="T302" s="220"/>
      <c r="U302" s="220"/>
      <c r="V302" s="220"/>
      <c r="W302" s="220"/>
    </row>
    <row r="303" ht="15.75" customHeight="1" outlineLevel="1">
      <c r="A303" s="211"/>
      <c r="B303" s="212"/>
      <c r="C303" s="213"/>
      <c r="D303" s="214" t="str">
        <f>IFERROR(VLOOKUP($C303,'PORTIFÓLIO'!C:V,2,0),"")</f>
        <v/>
      </c>
      <c r="E303" s="211" t="str">
        <f>IFERROR(VLOOKUP($C303,'PORTIFÓLIO'!C:V,3,0),"")</f>
        <v/>
      </c>
      <c r="F303" s="211" t="str">
        <f>IFERROR(VLOOKUP($C303,'PORTIFÓLIO'!C:V,4,0),"")</f>
        <v/>
      </c>
      <c r="G303" s="215" t="str">
        <f>IFERROR(VLOOKUP($C303,'PORTIFÓLIO'!C:V,5,0),"")</f>
        <v/>
      </c>
      <c r="H303" s="254" t="str">
        <f t="array" ref="H303">IFERROR(INDEX('PORTIFÓLIO'!$H$4:$H$433,MATCH($C303,'PORTIFÓLIO'!$C$4:$C$433,0)),"")</f>
        <v/>
      </c>
      <c r="I303" s="256"/>
      <c r="J303" s="218">
        <f t="shared" si="33"/>
        <v>0</v>
      </c>
      <c r="K303" s="292" t="str">
        <f t="array" ref="K303">IFERROR(I303*INDEX('PORTIFÓLIO'!$S$4:$S$433,MATCH($C303,'PORTIFÓLIO'!$C$4:$C$433,0)),"")</f>
        <v/>
      </c>
      <c r="L303" s="292" t="str">
        <f t="array" ref="L303">IFERROR(J303*INDEX('PORTIFÓLIO'!$S$4:$S$433,MATCH($C303,'PORTIFÓLIO'!$C$4:$C$433,0)),"")</f>
        <v/>
      </c>
      <c r="M303" s="220"/>
      <c r="N303" s="220"/>
      <c r="O303" s="220"/>
      <c r="P303" s="220"/>
      <c r="Q303" s="220"/>
      <c r="R303" s="220"/>
      <c r="S303" s="220"/>
      <c r="T303" s="220"/>
      <c r="U303" s="220"/>
      <c r="V303" s="220"/>
      <c r="W303" s="220"/>
    </row>
    <row r="304" ht="15.75" customHeight="1" outlineLevel="1">
      <c r="A304" s="211"/>
      <c r="B304" s="212"/>
      <c r="C304" s="213"/>
      <c r="D304" s="214" t="str">
        <f>IFERROR(VLOOKUP($C304,'PORTIFÓLIO'!C:V,2,0),"")</f>
        <v/>
      </c>
      <c r="E304" s="211" t="str">
        <f>IFERROR(VLOOKUP($C304,'PORTIFÓLIO'!C:V,3,0),"")</f>
        <v/>
      </c>
      <c r="F304" s="211" t="str">
        <f>IFERROR(VLOOKUP($C304,'PORTIFÓLIO'!C:V,4,0),"")</f>
        <v/>
      </c>
      <c r="G304" s="215" t="str">
        <f>IFERROR(VLOOKUP($C304,'PORTIFÓLIO'!C:V,5,0),"")</f>
        <v/>
      </c>
      <c r="H304" s="254" t="str">
        <f t="array" ref="H304">IFERROR(INDEX('PORTIFÓLIO'!$H$4:$H$433,MATCH($C304,'PORTIFÓLIO'!$C$4:$C$433,0)),"")</f>
        <v/>
      </c>
      <c r="I304" s="256"/>
      <c r="J304" s="218">
        <f t="shared" si="33"/>
        <v>0</v>
      </c>
      <c r="K304" s="292" t="str">
        <f t="array" ref="K304">IFERROR(I304*INDEX('PORTIFÓLIO'!$S$4:$S$433,MATCH($C304,'PORTIFÓLIO'!$C$4:$C$433,0)),"")</f>
        <v/>
      </c>
      <c r="L304" s="292" t="str">
        <f t="array" ref="L304">IFERROR(J304*INDEX('PORTIFÓLIO'!$S$4:$S$433,MATCH($C304,'PORTIFÓLIO'!$C$4:$C$433,0)),"")</f>
        <v/>
      </c>
      <c r="M304" s="220"/>
      <c r="N304" s="220"/>
      <c r="O304" s="220"/>
      <c r="P304" s="220"/>
      <c r="Q304" s="220"/>
      <c r="R304" s="220"/>
      <c r="S304" s="220"/>
      <c r="T304" s="220"/>
      <c r="U304" s="220"/>
      <c r="V304" s="220"/>
      <c r="W304" s="220"/>
    </row>
    <row r="305" ht="15.75" customHeight="1" outlineLevel="1">
      <c r="A305" s="211"/>
      <c r="B305" s="212"/>
      <c r="C305" s="213"/>
      <c r="D305" s="214" t="str">
        <f>IFERROR(VLOOKUP($C305,'PORTIFÓLIO'!C:V,2,0),"")</f>
        <v/>
      </c>
      <c r="E305" s="211" t="str">
        <f>IFERROR(VLOOKUP($C305,'PORTIFÓLIO'!C:V,3,0),"")</f>
        <v/>
      </c>
      <c r="F305" s="211" t="str">
        <f>IFERROR(VLOOKUP($C305,'PORTIFÓLIO'!C:V,4,0),"")</f>
        <v/>
      </c>
      <c r="G305" s="215" t="str">
        <f>IFERROR(VLOOKUP($C305,'PORTIFÓLIO'!C:V,5,0),"")</f>
        <v/>
      </c>
      <c r="H305" s="254" t="str">
        <f t="array" ref="H305">IFERROR(INDEX('PORTIFÓLIO'!$H$4:$H$433,MATCH($C305,'PORTIFÓLIO'!$C$4:$C$433,0)),"")</f>
        <v/>
      </c>
      <c r="I305" s="256"/>
      <c r="J305" s="218">
        <f t="shared" si="33"/>
        <v>0</v>
      </c>
      <c r="K305" s="292" t="str">
        <f t="array" ref="K305">IFERROR(I305*INDEX('PORTIFÓLIO'!$S$4:$S$433,MATCH($C305,'PORTIFÓLIO'!$C$4:$C$433,0)),"")</f>
        <v/>
      </c>
      <c r="L305" s="292" t="str">
        <f t="array" ref="L305">IFERROR(J305*INDEX('PORTIFÓLIO'!$S$4:$S$433,MATCH($C305,'PORTIFÓLIO'!$C$4:$C$433,0)),"")</f>
        <v/>
      </c>
      <c r="M305" s="220"/>
      <c r="N305" s="220"/>
      <c r="O305" s="220"/>
      <c r="P305" s="220"/>
      <c r="Q305" s="220"/>
      <c r="R305" s="220"/>
      <c r="S305" s="220"/>
      <c r="T305" s="220"/>
      <c r="U305" s="220"/>
      <c r="V305" s="220"/>
      <c r="W305" s="220"/>
    </row>
    <row r="306" ht="15.75" customHeight="1" outlineLevel="1">
      <c r="A306" s="211"/>
      <c r="B306" s="212"/>
      <c r="C306" s="213"/>
      <c r="D306" s="214" t="str">
        <f>IFERROR(VLOOKUP($C306,'PORTIFÓLIO'!C:V,2,0),"")</f>
        <v/>
      </c>
      <c r="E306" s="211" t="str">
        <f>IFERROR(VLOOKUP($C306,'PORTIFÓLIO'!C:V,3,0),"")</f>
        <v/>
      </c>
      <c r="F306" s="211" t="str">
        <f>IFERROR(VLOOKUP($C306,'PORTIFÓLIO'!C:V,4,0),"")</f>
        <v/>
      </c>
      <c r="G306" s="215" t="str">
        <f>IFERROR(VLOOKUP($C306,'PORTIFÓLIO'!C:V,5,0),"")</f>
        <v/>
      </c>
      <c r="H306" s="254" t="str">
        <f t="array" ref="H306">IFERROR(INDEX('PORTIFÓLIO'!$H$4:$H$433,MATCH($C306,'PORTIFÓLIO'!$C$4:$C$433,0)),"")</f>
        <v/>
      </c>
      <c r="I306" s="256"/>
      <c r="J306" s="218">
        <f t="shared" si="33"/>
        <v>0</v>
      </c>
      <c r="K306" s="292" t="str">
        <f t="array" ref="K306">IFERROR(I306*INDEX('PORTIFÓLIO'!$S$4:$S$433,MATCH($C306,'PORTIFÓLIO'!$C$4:$C$433,0)),"")</f>
        <v/>
      </c>
      <c r="L306" s="292" t="str">
        <f t="array" ref="L306">IFERROR(J306*INDEX('PORTIFÓLIO'!$S$4:$S$433,MATCH($C306,'PORTIFÓLIO'!$C$4:$C$433,0)),"")</f>
        <v/>
      </c>
      <c r="M306" s="220"/>
      <c r="N306" s="220"/>
      <c r="O306" s="220"/>
      <c r="P306" s="220"/>
      <c r="Q306" s="220"/>
      <c r="R306" s="220"/>
      <c r="S306" s="220"/>
      <c r="T306" s="220"/>
      <c r="U306" s="220"/>
      <c r="V306" s="220"/>
      <c r="W306" s="220"/>
    </row>
    <row r="307" ht="15.75" customHeight="1" outlineLevel="1">
      <c r="A307" s="211"/>
      <c r="B307" s="212"/>
      <c r="C307" s="213"/>
      <c r="D307" s="214" t="str">
        <f>IFERROR(VLOOKUP($C307,'PORTIFÓLIO'!C:V,2,0),"")</f>
        <v/>
      </c>
      <c r="E307" s="211" t="str">
        <f>IFERROR(VLOOKUP($C307,'PORTIFÓLIO'!C:V,3,0),"")</f>
        <v/>
      </c>
      <c r="F307" s="211" t="str">
        <f>IFERROR(VLOOKUP($C307,'PORTIFÓLIO'!C:V,4,0),"")</f>
        <v/>
      </c>
      <c r="G307" s="215" t="str">
        <f>IFERROR(VLOOKUP($C307,'PORTIFÓLIO'!C:V,5,0),"")</f>
        <v/>
      </c>
      <c r="H307" s="254" t="str">
        <f t="array" ref="H307">IFERROR(INDEX('PORTIFÓLIO'!$H$4:$H$433,MATCH($C307,'PORTIFÓLIO'!$C$4:$C$433,0)),"")</f>
        <v/>
      </c>
      <c r="I307" s="256"/>
      <c r="J307" s="218">
        <f t="shared" si="33"/>
        <v>0</v>
      </c>
      <c r="K307" s="292" t="str">
        <f t="array" ref="K307">IFERROR(I307*INDEX('PORTIFÓLIO'!$S$4:$S$433,MATCH($C307,'PORTIFÓLIO'!$C$4:$C$433,0)),"")</f>
        <v/>
      </c>
      <c r="L307" s="292" t="str">
        <f t="array" ref="L307">IFERROR(J307*INDEX('PORTIFÓLIO'!$S$4:$S$433,MATCH($C307,'PORTIFÓLIO'!$C$4:$C$433,0)),"")</f>
        <v/>
      </c>
      <c r="M307" s="220"/>
      <c r="N307" s="220"/>
      <c r="O307" s="220"/>
      <c r="P307" s="220"/>
      <c r="Q307" s="220"/>
      <c r="R307" s="220"/>
      <c r="S307" s="220"/>
      <c r="T307" s="220"/>
      <c r="U307" s="220"/>
      <c r="V307" s="220"/>
      <c r="W307" s="220"/>
    </row>
    <row r="308" ht="15.75" customHeight="1">
      <c r="A308" s="229" t="s">
        <v>1188</v>
      </c>
      <c r="B308" s="230"/>
      <c r="C308" s="231"/>
      <c r="D308" s="232"/>
      <c r="E308" s="231"/>
      <c r="F308" s="231"/>
      <c r="G308" s="233"/>
      <c r="H308" s="233"/>
      <c r="I308" s="258"/>
      <c r="J308" s="236"/>
      <c r="K308" s="237">
        <f t="shared" ref="K308:L308" si="34">SUBTOTAL(9,K309:K322)</f>
        <v>0</v>
      </c>
      <c r="L308" s="237">
        <f t="shared" si="34"/>
        <v>0</v>
      </c>
      <c r="M308" s="220"/>
      <c r="N308" s="220"/>
      <c r="O308" s="220"/>
      <c r="P308" s="220"/>
      <c r="Q308" s="220"/>
      <c r="R308" s="220"/>
      <c r="S308" s="220"/>
      <c r="T308" s="220"/>
      <c r="U308" s="220"/>
      <c r="V308" s="220"/>
      <c r="W308" s="220"/>
    </row>
    <row r="309" ht="15.75" customHeight="1" outlineLevel="1">
      <c r="A309" s="213"/>
      <c r="B309" s="212"/>
      <c r="C309" s="213"/>
      <c r="D309" s="214" t="str">
        <f>IFERROR(VLOOKUP($C309,'PORTIFÓLIO'!C:V,2,0),"")</f>
        <v/>
      </c>
      <c r="E309" s="211" t="str">
        <f>IFERROR(VLOOKUP($C309,'PORTIFÓLIO'!C:V,3,0),"")</f>
        <v/>
      </c>
      <c r="F309" s="211" t="str">
        <f>IFERROR(VLOOKUP($C309,'PORTIFÓLIO'!C:V,4,0),"")</f>
        <v/>
      </c>
      <c r="G309" s="215" t="str">
        <f>IFERROR(VLOOKUP($C309,'PORTIFÓLIO'!C:V,5,0),"")</f>
        <v/>
      </c>
      <c r="H309" s="254" t="str">
        <f t="array" ref="H309">IFERROR(INDEX('PORTIFÓLIO'!$H$4:$H$433,MATCH($C309,'PORTIFÓLIO'!$C$4:$C$433,0)),"")</f>
        <v/>
      </c>
      <c r="I309" s="255"/>
      <c r="J309" s="218">
        <f t="shared" ref="J309:J323" si="35">I309*$B$2</f>
        <v>0</v>
      </c>
      <c r="K309" s="292" t="str">
        <f t="array" ref="K309">IFERROR(I309*INDEX('PORTIFÓLIO'!$S$4:$S$433,MATCH($C309,'PORTIFÓLIO'!$C$4:$C$433,0)),"")</f>
        <v/>
      </c>
      <c r="L309" s="292" t="str">
        <f t="array" ref="L309">IFERROR(J309*INDEX('PORTIFÓLIO'!$S$4:$S$433,MATCH($C309,'PORTIFÓLIO'!$C$4:$C$433,0)),"")</f>
        <v/>
      </c>
      <c r="M309" s="220"/>
      <c r="N309" s="220"/>
      <c r="O309" s="220"/>
      <c r="P309" s="220"/>
      <c r="Q309" s="220"/>
      <c r="R309" s="220"/>
      <c r="S309" s="220"/>
      <c r="T309" s="220"/>
      <c r="U309" s="220"/>
      <c r="V309" s="220"/>
      <c r="W309" s="220"/>
    </row>
    <row r="310" ht="15.75" customHeight="1" outlineLevel="1">
      <c r="A310" s="211"/>
      <c r="B310" s="212"/>
      <c r="C310" s="213"/>
      <c r="D310" s="214" t="str">
        <f>IFERROR(VLOOKUP($C310,'PORTIFÓLIO'!C:V,2,0),"")</f>
        <v/>
      </c>
      <c r="E310" s="211" t="str">
        <f>IFERROR(VLOOKUP($C310,'PORTIFÓLIO'!C:V,3,0),"")</f>
        <v/>
      </c>
      <c r="F310" s="211" t="str">
        <f>IFERROR(VLOOKUP($C310,'PORTIFÓLIO'!C:V,4,0),"")</f>
        <v/>
      </c>
      <c r="G310" s="215" t="str">
        <f>IFERROR(VLOOKUP($C310,'PORTIFÓLIO'!C:V,5,0),"")</f>
        <v/>
      </c>
      <c r="H310" s="254" t="str">
        <f t="array" ref="H310">IFERROR(INDEX('PORTIFÓLIO'!$H$4:$H$433,MATCH($C310,'PORTIFÓLIO'!$C$4:$C$433,0)),"")</f>
        <v/>
      </c>
      <c r="I310" s="256"/>
      <c r="J310" s="218">
        <f t="shared" si="35"/>
        <v>0</v>
      </c>
      <c r="K310" s="292" t="str">
        <f t="array" ref="K310">IFERROR(I310*INDEX('PORTIFÓLIO'!$S$4:$S$433,MATCH($C310,'PORTIFÓLIO'!$C$4:$C$433,0)),"")</f>
        <v/>
      </c>
      <c r="L310" s="292" t="str">
        <f t="array" ref="L310">IFERROR(J310*INDEX('PORTIFÓLIO'!$S$4:$S$433,MATCH($C310,'PORTIFÓLIO'!$C$4:$C$433,0)),"")</f>
        <v/>
      </c>
      <c r="M310" s="220"/>
      <c r="N310" s="220"/>
      <c r="O310" s="220"/>
      <c r="P310" s="220"/>
      <c r="Q310" s="220"/>
      <c r="R310" s="220"/>
      <c r="S310" s="220"/>
      <c r="T310" s="220"/>
      <c r="U310" s="220"/>
      <c r="V310" s="220"/>
      <c r="W310" s="220"/>
    </row>
    <row r="311" ht="15.75" customHeight="1" outlineLevel="1">
      <c r="A311" s="211"/>
      <c r="B311" s="212"/>
      <c r="C311" s="213"/>
      <c r="D311" s="214" t="str">
        <f>IFERROR(VLOOKUP($C311,'PORTIFÓLIO'!C:V,2,0),"")</f>
        <v/>
      </c>
      <c r="E311" s="211" t="str">
        <f>IFERROR(VLOOKUP($C311,'PORTIFÓLIO'!C:V,3,0),"")</f>
        <v/>
      </c>
      <c r="F311" s="211" t="str">
        <f>IFERROR(VLOOKUP($C311,'PORTIFÓLIO'!C:V,4,0),"")</f>
        <v/>
      </c>
      <c r="G311" s="215" t="str">
        <f>IFERROR(VLOOKUP($C311,'PORTIFÓLIO'!C:V,5,0),"")</f>
        <v/>
      </c>
      <c r="H311" s="254" t="str">
        <f t="array" ref="H311">IFERROR(INDEX('PORTIFÓLIO'!$H$4:$H$433,MATCH($C311,'PORTIFÓLIO'!$C$4:$C$433,0)),"")</f>
        <v/>
      </c>
      <c r="I311" s="256"/>
      <c r="J311" s="218">
        <f t="shared" si="35"/>
        <v>0</v>
      </c>
      <c r="K311" s="292" t="str">
        <f t="array" ref="K311">IFERROR(I311*INDEX('PORTIFÓLIO'!$S$4:$S$433,MATCH($C311,'PORTIFÓLIO'!$C$4:$C$433,0)),"")</f>
        <v/>
      </c>
      <c r="L311" s="292" t="str">
        <f t="array" ref="L311">IFERROR(J311*INDEX('PORTIFÓLIO'!$S$4:$S$433,MATCH($C311,'PORTIFÓLIO'!$C$4:$C$433,0)),"")</f>
        <v/>
      </c>
      <c r="M311" s="220"/>
      <c r="N311" s="220"/>
      <c r="O311" s="220"/>
      <c r="P311" s="220"/>
      <c r="Q311" s="220"/>
      <c r="R311" s="220"/>
      <c r="S311" s="220"/>
      <c r="T311" s="220"/>
      <c r="U311" s="220"/>
      <c r="V311" s="220"/>
      <c r="W311" s="220"/>
    </row>
    <row r="312" ht="15.75" customHeight="1" outlineLevel="1">
      <c r="A312" s="211"/>
      <c r="B312" s="212"/>
      <c r="C312" s="213"/>
      <c r="D312" s="214" t="str">
        <f>IFERROR(VLOOKUP($C312,'PORTIFÓLIO'!C:V,2,0),"")</f>
        <v/>
      </c>
      <c r="E312" s="211" t="str">
        <f>IFERROR(VLOOKUP($C312,'PORTIFÓLIO'!C:V,3,0),"")</f>
        <v/>
      </c>
      <c r="F312" s="211" t="str">
        <f>IFERROR(VLOOKUP($C312,'PORTIFÓLIO'!C:V,4,0),"")</f>
        <v/>
      </c>
      <c r="G312" s="215" t="str">
        <f>IFERROR(VLOOKUP($C312,'PORTIFÓLIO'!C:V,5,0),"")</f>
        <v/>
      </c>
      <c r="H312" s="254" t="str">
        <f t="array" ref="H312">IFERROR(INDEX('PORTIFÓLIO'!$H$4:$H$433,MATCH($C312,'PORTIFÓLIO'!$C$4:$C$433,0)),"")</f>
        <v/>
      </c>
      <c r="I312" s="256"/>
      <c r="J312" s="218">
        <f t="shared" si="35"/>
        <v>0</v>
      </c>
      <c r="K312" s="292" t="str">
        <f t="array" ref="K312">IFERROR(I312*INDEX('PORTIFÓLIO'!$S$4:$S$433,MATCH($C312,'PORTIFÓLIO'!$C$4:$C$433,0)),"")</f>
        <v/>
      </c>
      <c r="L312" s="292" t="str">
        <f t="array" ref="L312">IFERROR(J312*INDEX('PORTIFÓLIO'!$S$4:$S$433,MATCH($C312,'PORTIFÓLIO'!$C$4:$C$433,0)),"")</f>
        <v/>
      </c>
      <c r="M312" s="220"/>
      <c r="N312" s="220"/>
      <c r="O312" s="220"/>
      <c r="P312" s="220"/>
      <c r="Q312" s="220"/>
      <c r="R312" s="220"/>
      <c r="S312" s="220"/>
      <c r="T312" s="220"/>
      <c r="U312" s="220"/>
      <c r="V312" s="220"/>
      <c r="W312" s="220"/>
    </row>
    <row r="313" ht="15.75" customHeight="1" outlineLevel="1">
      <c r="A313" s="211"/>
      <c r="B313" s="212"/>
      <c r="C313" s="213"/>
      <c r="D313" s="214" t="str">
        <f>IFERROR(VLOOKUP($C313,'PORTIFÓLIO'!C:V,2,0),"")</f>
        <v/>
      </c>
      <c r="E313" s="211" t="str">
        <f>IFERROR(VLOOKUP($C313,'PORTIFÓLIO'!C:V,3,0),"")</f>
        <v/>
      </c>
      <c r="F313" s="211" t="str">
        <f>IFERROR(VLOOKUP($C313,'PORTIFÓLIO'!C:V,4,0),"")</f>
        <v/>
      </c>
      <c r="G313" s="215" t="str">
        <f>IFERROR(VLOOKUP($C313,'PORTIFÓLIO'!C:V,5,0),"")</f>
        <v/>
      </c>
      <c r="H313" s="254" t="str">
        <f t="array" ref="H313">IFERROR(INDEX('PORTIFÓLIO'!$H$4:$H$433,MATCH($C313,'PORTIFÓLIO'!$C$4:$C$433,0)),"")</f>
        <v/>
      </c>
      <c r="I313" s="256"/>
      <c r="J313" s="218">
        <f t="shared" si="35"/>
        <v>0</v>
      </c>
      <c r="K313" s="292" t="str">
        <f t="array" ref="K313">IFERROR(I313*INDEX('PORTIFÓLIO'!$S$4:$S$433,MATCH($C313,'PORTIFÓLIO'!$C$4:$C$433,0)),"")</f>
        <v/>
      </c>
      <c r="L313" s="292" t="str">
        <f t="array" ref="L313">IFERROR(J313*INDEX('PORTIFÓLIO'!$S$4:$S$433,MATCH($C313,'PORTIFÓLIO'!$C$4:$C$433,0)),"")</f>
        <v/>
      </c>
      <c r="M313" s="220"/>
      <c r="N313" s="220"/>
      <c r="O313" s="220"/>
      <c r="P313" s="220"/>
      <c r="Q313" s="220"/>
      <c r="R313" s="220"/>
      <c r="S313" s="220"/>
      <c r="T313" s="220"/>
      <c r="U313" s="220"/>
      <c r="V313" s="220"/>
      <c r="W313" s="220"/>
    </row>
    <row r="314" ht="15.75" customHeight="1" outlineLevel="1">
      <c r="A314" s="211"/>
      <c r="B314" s="212"/>
      <c r="C314" s="213"/>
      <c r="D314" s="214" t="str">
        <f>IFERROR(VLOOKUP($C314,'PORTIFÓLIO'!C:V,2,0),"")</f>
        <v/>
      </c>
      <c r="E314" s="211" t="str">
        <f>IFERROR(VLOOKUP($C314,'PORTIFÓLIO'!C:V,3,0),"")</f>
        <v/>
      </c>
      <c r="F314" s="211" t="str">
        <f>IFERROR(VLOOKUP($C314,'PORTIFÓLIO'!C:V,4,0),"")</f>
        <v/>
      </c>
      <c r="G314" s="215" t="str">
        <f>IFERROR(VLOOKUP($C314,'PORTIFÓLIO'!C:V,5,0),"")</f>
        <v/>
      </c>
      <c r="H314" s="254" t="str">
        <f t="array" ref="H314">IFERROR(INDEX('PORTIFÓLIO'!$H$4:$H$433,MATCH($C314,'PORTIFÓLIO'!$C$4:$C$433,0)),"")</f>
        <v/>
      </c>
      <c r="I314" s="256"/>
      <c r="J314" s="218">
        <f t="shared" si="35"/>
        <v>0</v>
      </c>
      <c r="K314" s="292" t="str">
        <f t="array" ref="K314">IFERROR(I314*INDEX('PORTIFÓLIO'!$S$4:$S$433,MATCH($C314,'PORTIFÓLIO'!$C$4:$C$433,0)),"")</f>
        <v/>
      </c>
      <c r="L314" s="292" t="str">
        <f t="array" ref="L314">IFERROR(J314*INDEX('PORTIFÓLIO'!$S$4:$S$433,MATCH($C314,'PORTIFÓLIO'!$C$4:$C$433,0)),"")</f>
        <v/>
      </c>
      <c r="M314" s="220"/>
      <c r="N314" s="220"/>
      <c r="O314" s="220"/>
      <c r="P314" s="220"/>
      <c r="Q314" s="220"/>
      <c r="R314" s="220"/>
      <c r="S314" s="220"/>
      <c r="T314" s="220"/>
      <c r="U314" s="220"/>
      <c r="V314" s="220"/>
      <c r="W314" s="220"/>
    </row>
    <row r="315" ht="15.75" customHeight="1" outlineLevel="1">
      <c r="A315" s="211"/>
      <c r="B315" s="212"/>
      <c r="C315" s="213"/>
      <c r="D315" s="214" t="str">
        <f>IFERROR(VLOOKUP($C315,'PORTIFÓLIO'!C:V,2,0),"")</f>
        <v/>
      </c>
      <c r="E315" s="211" t="str">
        <f>IFERROR(VLOOKUP($C315,'PORTIFÓLIO'!C:V,3,0),"")</f>
        <v/>
      </c>
      <c r="F315" s="211" t="str">
        <f>IFERROR(VLOOKUP($C315,'PORTIFÓLIO'!C:V,4,0),"")</f>
        <v/>
      </c>
      <c r="G315" s="215" t="str">
        <f>IFERROR(VLOOKUP($C315,'PORTIFÓLIO'!C:V,5,0),"")</f>
        <v/>
      </c>
      <c r="H315" s="254" t="str">
        <f t="array" ref="H315">IFERROR(INDEX('PORTIFÓLIO'!$H$4:$H$433,MATCH($C315,'PORTIFÓLIO'!$C$4:$C$433,0)),"")</f>
        <v/>
      </c>
      <c r="I315" s="256"/>
      <c r="J315" s="218">
        <f t="shared" si="35"/>
        <v>0</v>
      </c>
      <c r="K315" s="292" t="str">
        <f t="array" ref="K315">IFERROR(I315*INDEX('PORTIFÓLIO'!$S$4:$S$433,MATCH($C315,'PORTIFÓLIO'!$C$4:$C$433,0)),"")</f>
        <v/>
      </c>
      <c r="L315" s="292" t="str">
        <f t="array" ref="L315">IFERROR(J315*INDEX('PORTIFÓLIO'!$S$4:$S$433,MATCH($C315,'PORTIFÓLIO'!$C$4:$C$433,0)),"")</f>
        <v/>
      </c>
      <c r="M315" s="220"/>
      <c r="N315" s="220"/>
      <c r="O315" s="220"/>
      <c r="P315" s="220"/>
      <c r="Q315" s="220"/>
      <c r="R315" s="220"/>
      <c r="S315" s="220"/>
      <c r="T315" s="220"/>
      <c r="U315" s="220"/>
      <c r="V315" s="220"/>
      <c r="W315" s="220"/>
    </row>
    <row r="316" ht="15.75" customHeight="1" outlineLevel="1">
      <c r="A316" s="211"/>
      <c r="B316" s="212"/>
      <c r="C316" s="213"/>
      <c r="D316" s="214" t="str">
        <f>IFERROR(VLOOKUP($C316,'PORTIFÓLIO'!C:V,2,0),"")</f>
        <v/>
      </c>
      <c r="E316" s="211" t="str">
        <f>IFERROR(VLOOKUP($C316,'PORTIFÓLIO'!C:V,3,0),"")</f>
        <v/>
      </c>
      <c r="F316" s="211" t="str">
        <f>IFERROR(VLOOKUP($C316,'PORTIFÓLIO'!C:V,4,0),"")</f>
        <v/>
      </c>
      <c r="G316" s="215" t="str">
        <f>IFERROR(VLOOKUP($C316,'PORTIFÓLIO'!C:V,5,0),"")</f>
        <v/>
      </c>
      <c r="H316" s="254" t="str">
        <f t="array" ref="H316">IFERROR(INDEX('PORTIFÓLIO'!$H$4:$H$433,MATCH($C316,'PORTIFÓLIO'!$C$4:$C$433,0)),"")</f>
        <v/>
      </c>
      <c r="I316" s="256"/>
      <c r="J316" s="218">
        <f t="shared" si="35"/>
        <v>0</v>
      </c>
      <c r="K316" s="292" t="str">
        <f t="array" ref="K316">IFERROR(I316*INDEX('PORTIFÓLIO'!$S$4:$S$433,MATCH($C316,'PORTIFÓLIO'!$C$4:$C$433,0)),"")</f>
        <v/>
      </c>
      <c r="L316" s="292" t="str">
        <f t="array" ref="L316">IFERROR(J316*INDEX('PORTIFÓLIO'!$S$4:$S$433,MATCH($C316,'PORTIFÓLIO'!$C$4:$C$433,0)),"")</f>
        <v/>
      </c>
      <c r="M316" s="220"/>
      <c r="N316" s="220"/>
      <c r="O316" s="220"/>
      <c r="P316" s="220"/>
      <c r="Q316" s="220"/>
      <c r="R316" s="220"/>
      <c r="S316" s="220"/>
      <c r="T316" s="220"/>
      <c r="U316" s="220"/>
      <c r="V316" s="220"/>
      <c r="W316" s="220"/>
    </row>
    <row r="317" ht="15.75" customHeight="1" outlineLevel="1">
      <c r="A317" s="211"/>
      <c r="B317" s="212"/>
      <c r="C317" s="213"/>
      <c r="D317" s="214" t="str">
        <f>IFERROR(VLOOKUP($C317,'PORTIFÓLIO'!C:V,2,0),"")</f>
        <v/>
      </c>
      <c r="E317" s="211" t="str">
        <f>IFERROR(VLOOKUP($C317,'PORTIFÓLIO'!C:V,3,0),"")</f>
        <v/>
      </c>
      <c r="F317" s="211" t="str">
        <f>IFERROR(VLOOKUP($C317,'PORTIFÓLIO'!C:V,4,0),"")</f>
        <v/>
      </c>
      <c r="G317" s="215" t="str">
        <f>IFERROR(VLOOKUP($C317,'PORTIFÓLIO'!C:V,5,0),"")</f>
        <v/>
      </c>
      <c r="H317" s="254" t="str">
        <f t="array" ref="H317">IFERROR(INDEX('PORTIFÓLIO'!$H$4:$H$433,MATCH($C317,'PORTIFÓLIO'!$C$4:$C$433,0)),"")</f>
        <v/>
      </c>
      <c r="I317" s="255"/>
      <c r="J317" s="218">
        <f t="shared" si="35"/>
        <v>0</v>
      </c>
      <c r="K317" s="292" t="str">
        <f t="array" ref="K317">IFERROR(I317*INDEX('PORTIFÓLIO'!$S$4:$S$433,MATCH($C317,'PORTIFÓLIO'!$C$4:$C$433,0)),"")</f>
        <v/>
      </c>
      <c r="L317" s="292" t="str">
        <f t="array" ref="L317">IFERROR(J317*INDEX('PORTIFÓLIO'!$S$4:$S$433,MATCH($C317,'PORTIFÓLIO'!$C$4:$C$433,0)),"")</f>
        <v/>
      </c>
      <c r="M317" s="220"/>
      <c r="N317" s="220"/>
      <c r="O317" s="220"/>
      <c r="P317" s="220"/>
      <c r="Q317" s="220"/>
      <c r="R317" s="220"/>
      <c r="S317" s="220"/>
      <c r="T317" s="220"/>
      <c r="U317" s="220"/>
      <c r="V317" s="220"/>
      <c r="W317" s="220"/>
    </row>
    <row r="318" ht="15.75" customHeight="1" outlineLevel="1">
      <c r="A318" s="211"/>
      <c r="B318" s="212"/>
      <c r="C318" s="213"/>
      <c r="D318" s="214" t="str">
        <f>IFERROR(VLOOKUP($C318,'PORTIFÓLIO'!C:V,2,0),"")</f>
        <v/>
      </c>
      <c r="E318" s="211" t="str">
        <f>IFERROR(VLOOKUP($C318,'PORTIFÓLIO'!C:V,3,0),"")</f>
        <v/>
      </c>
      <c r="F318" s="211" t="str">
        <f>IFERROR(VLOOKUP($C318,'PORTIFÓLIO'!C:V,4,0),"")</f>
        <v/>
      </c>
      <c r="G318" s="215" t="str">
        <f>IFERROR(VLOOKUP($C318,'PORTIFÓLIO'!C:V,5,0),"")</f>
        <v/>
      </c>
      <c r="H318" s="254" t="str">
        <f t="array" ref="H318">IFERROR(INDEX('PORTIFÓLIO'!$H$4:$H$433,MATCH($C318,'PORTIFÓLIO'!$C$4:$C$433,0)),"")</f>
        <v/>
      </c>
      <c r="I318" s="256"/>
      <c r="J318" s="218">
        <f t="shared" si="35"/>
        <v>0</v>
      </c>
      <c r="K318" s="292" t="str">
        <f t="array" ref="K318">IFERROR(I318*INDEX('PORTIFÓLIO'!$S$4:$S$433,MATCH($C318,'PORTIFÓLIO'!$C$4:$C$433,0)),"")</f>
        <v/>
      </c>
      <c r="L318" s="292" t="str">
        <f t="array" ref="L318">IFERROR(J318*INDEX('PORTIFÓLIO'!$S$4:$S$433,MATCH($C318,'PORTIFÓLIO'!$C$4:$C$433,0)),"")</f>
        <v/>
      </c>
      <c r="M318" s="220"/>
      <c r="N318" s="220"/>
      <c r="O318" s="220"/>
      <c r="P318" s="220"/>
      <c r="Q318" s="220"/>
      <c r="R318" s="220"/>
      <c r="S318" s="220"/>
      <c r="T318" s="220"/>
      <c r="U318" s="220"/>
      <c r="V318" s="220"/>
      <c r="W318" s="220"/>
    </row>
    <row r="319" ht="15.75" customHeight="1" outlineLevel="1">
      <c r="A319" s="211"/>
      <c r="B319" s="212"/>
      <c r="C319" s="213"/>
      <c r="D319" s="214" t="str">
        <f>IFERROR(VLOOKUP($C319,'PORTIFÓLIO'!C:V,2,0),"")</f>
        <v/>
      </c>
      <c r="E319" s="211" t="str">
        <f>IFERROR(VLOOKUP($C319,'PORTIFÓLIO'!C:V,3,0),"")</f>
        <v/>
      </c>
      <c r="F319" s="211" t="str">
        <f>IFERROR(VLOOKUP($C319,'PORTIFÓLIO'!C:V,4,0),"")</f>
        <v/>
      </c>
      <c r="G319" s="215" t="str">
        <f>IFERROR(VLOOKUP($C319,'PORTIFÓLIO'!C:V,5,0),"")</f>
        <v/>
      </c>
      <c r="H319" s="254" t="str">
        <f t="array" ref="H319">IFERROR(INDEX('PORTIFÓLIO'!$H$4:$H$433,MATCH($C319,'PORTIFÓLIO'!$C$4:$C$433,0)),"")</f>
        <v/>
      </c>
      <c r="I319" s="256"/>
      <c r="J319" s="218">
        <f t="shared" si="35"/>
        <v>0</v>
      </c>
      <c r="K319" s="292" t="str">
        <f t="array" ref="K319">IFERROR(I319*INDEX('PORTIFÓLIO'!$S$4:$S$433,MATCH($C319,'PORTIFÓLIO'!$C$4:$C$433,0)),"")</f>
        <v/>
      </c>
      <c r="L319" s="292" t="str">
        <f t="array" ref="L319">IFERROR(J319*INDEX('PORTIFÓLIO'!$S$4:$S$433,MATCH($C319,'PORTIFÓLIO'!$C$4:$C$433,0)),"")</f>
        <v/>
      </c>
      <c r="M319" s="220"/>
      <c r="N319" s="220"/>
      <c r="O319" s="220"/>
      <c r="P319" s="220"/>
      <c r="Q319" s="220"/>
      <c r="R319" s="220"/>
      <c r="S319" s="220"/>
      <c r="T319" s="220"/>
      <c r="U319" s="220"/>
      <c r="V319" s="220"/>
      <c r="W319" s="220"/>
    </row>
    <row r="320" ht="15.75" customHeight="1" outlineLevel="1">
      <c r="A320" s="211"/>
      <c r="B320" s="212"/>
      <c r="C320" s="213"/>
      <c r="D320" s="214" t="str">
        <f>IFERROR(VLOOKUP($C320,'PORTIFÓLIO'!C:V,2,0),"")</f>
        <v/>
      </c>
      <c r="E320" s="211" t="str">
        <f>IFERROR(VLOOKUP($C320,'PORTIFÓLIO'!C:V,3,0),"")</f>
        <v/>
      </c>
      <c r="F320" s="211" t="str">
        <f>IFERROR(VLOOKUP($C320,'PORTIFÓLIO'!C:V,4,0),"")</f>
        <v/>
      </c>
      <c r="G320" s="215" t="str">
        <f>IFERROR(VLOOKUP($C320,'PORTIFÓLIO'!C:V,5,0),"")</f>
        <v/>
      </c>
      <c r="H320" s="254" t="str">
        <f t="array" ref="H320">IFERROR(INDEX('PORTIFÓLIO'!$H$4:$H$433,MATCH($C320,'PORTIFÓLIO'!$C$4:$C$433,0)),"")</f>
        <v/>
      </c>
      <c r="I320" s="256"/>
      <c r="J320" s="218">
        <f t="shared" si="35"/>
        <v>0</v>
      </c>
      <c r="K320" s="292" t="str">
        <f t="array" ref="K320">IFERROR(I320*INDEX('PORTIFÓLIO'!$S$4:$S$433,MATCH($C320,'PORTIFÓLIO'!$C$4:$C$433,0)),"")</f>
        <v/>
      </c>
      <c r="L320" s="292" t="str">
        <f t="array" ref="L320">IFERROR(J320*INDEX('PORTIFÓLIO'!$S$4:$S$433,MATCH($C320,'PORTIFÓLIO'!$C$4:$C$433,0)),"")</f>
        <v/>
      </c>
      <c r="M320" s="220"/>
      <c r="N320" s="220"/>
      <c r="O320" s="220"/>
      <c r="P320" s="220"/>
      <c r="Q320" s="220"/>
      <c r="R320" s="220"/>
      <c r="S320" s="220"/>
      <c r="T320" s="220"/>
      <c r="U320" s="220"/>
      <c r="V320" s="220"/>
      <c r="W320" s="220"/>
    </row>
    <row r="321" ht="15.75" customHeight="1" outlineLevel="1">
      <c r="A321" s="211"/>
      <c r="B321" s="212"/>
      <c r="C321" s="213"/>
      <c r="D321" s="214" t="str">
        <f>IFERROR(VLOOKUP($C321,'PORTIFÓLIO'!C:V,2,0),"")</f>
        <v/>
      </c>
      <c r="E321" s="211" t="str">
        <f>IFERROR(VLOOKUP($C321,'PORTIFÓLIO'!C:V,3,0),"")</f>
        <v/>
      </c>
      <c r="F321" s="211" t="str">
        <f>IFERROR(VLOOKUP($C321,'PORTIFÓLIO'!C:V,4,0),"")</f>
        <v/>
      </c>
      <c r="G321" s="215" t="str">
        <f>IFERROR(VLOOKUP($C321,'PORTIFÓLIO'!C:V,5,0),"")</f>
        <v/>
      </c>
      <c r="H321" s="254" t="str">
        <f t="array" ref="H321">IFERROR(INDEX('PORTIFÓLIO'!$H$4:$H$433,MATCH($C321,'PORTIFÓLIO'!$C$4:$C$433,0)),"")</f>
        <v/>
      </c>
      <c r="I321" s="256"/>
      <c r="J321" s="218">
        <f t="shared" si="35"/>
        <v>0</v>
      </c>
      <c r="K321" s="292" t="str">
        <f t="array" ref="K321">IFERROR(I321*INDEX('PORTIFÓLIO'!$S$4:$S$433,MATCH($C321,'PORTIFÓLIO'!$C$4:$C$433,0)),"")</f>
        <v/>
      </c>
      <c r="L321" s="292" t="str">
        <f t="array" ref="L321">IFERROR(J321*INDEX('PORTIFÓLIO'!$S$4:$S$433,MATCH($C321,'PORTIFÓLIO'!$C$4:$C$433,0)),"")</f>
        <v/>
      </c>
      <c r="M321" s="220"/>
      <c r="N321" s="220"/>
      <c r="O321" s="220"/>
      <c r="P321" s="220"/>
      <c r="Q321" s="220"/>
      <c r="R321" s="220"/>
      <c r="S321" s="220"/>
      <c r="T321" s="220"/>
      <c r="U321" s="220"/>
      <c r="V321" s="220"/>
      <c r="W321" s="220"/>
    </row>
    <row r="322" ht="15.75" customHeight="1" outlineLevel="1">
      <c r="A322" s="211"/>
      <c r="B322" s="212"/>
      <c r="C322" s="213"/>
      <c r="D322" s="214" t="str">
        <f>IFERROR(VLOOKUP($C322,'PORTIFÓLIO'!C:V,2,0),"")</f>
        <v/>
      </c>
      <c r="E322" s="211" t="str">
        <f>IFERROR(VLOOKUP($C322,'PORTIFÓLIO'!C:V,3,0),"")</f>
        <v/>
      </c>
      <c r="F322" s="211" t="str">
        <f>IFERROR(VLOOKUP($C322,'PORTIFÓLIO'!C:V,4,0),"")</f>
        <v/>
      </c>
      <c r="G322" s="215" t="str">
        <f>IFERROR(VLOOKUP($C322,'PORTIFÓLIO'!C:V,5,0),"")</f>
        <v/>
      </c>
      <c r="H322" s="254" t="str">
        <f t="array" ref="H322">IFERROR(INDEX('PORTIFÓLIO'!$H$4:$H$433,MATCH($C322,'PORTIFÓLIO'!$C$4:$C$433,0)),"")</f>
        <v/>
      </c>
      <c r="I322" s="256"/>
      <c r="J322" s="218">
        <f t="shared" si="35"/>
        <v>0</v>
      </c>
      <c r="K322" s="292" t="str">
        <f t="array" ref="K322">IFERROR(I322*INDEX('PORTIFÓLIO'!$S$4:$S$433,MATCH($C322,'PORTIFÓLIO'!$C$4:$C$433,0)),"")</f>
        <v/>
      </c>
      <c r="L322" s="292" t="str">
        <f t="array" ref="L322">IFERROR(J322*INDEX('PORTIFÓLIO'!$S$4:$S$433,MATCH($C322,'PORTIFÓLIO'!$C$4:$C$433,0)),"")</f>
        <v/>
      </c>
      <c r="M322" s="220"/>
      <c r="N322" s="220"/>
      <c r="O322" s="220"/>
      <c r="P322" s="220"/>
      <c r="Q322" s="220"/>
      <c r="R322" s="220"/>
      <c r="S322" s="220"/>
      <c r="T322" s="220"/>
      <c r="U322" s="220"/>
      <c r="V322" s="220"/>
      <c r="W322" s="220"/>
    </row>
    <row r="323" ht="15.75" customHeight="1" outlineLevel="1">
      <c r="A323" s="211"/>
      <c r="B323" s="212"/>
      <c r="C323" s="213"/>
      <c r="D323" s="214" t="str">
        <f>IFERROR(VLOOKUP($C323,'PORTIFÓLIO'!C:V,2,0),"")</f>
        <v/>
      </c>
      <c r="E323" s="211" t="str">
        <f>IFERROR(VLOOKUP($C323,'PORTIFÓLIO'!C:V,3,0),"")</f>
        <v/>
      </c>
      <c r="F323" s="211" t="str">
        <f>IFERROR(VLOOKUP($C323,'PORTIFÓLIO'!C:V,4,0),"")</f>
        <v/>
      </c>
      <c r="G323" s="215" t="str">
        <f>IFERROR(VLOOKUP($C323,'PORTIFÓLIO'!C:V,5,0),"")</f>
        <v/>
      </c>
      <c r="H323" s="254" t="str">
        <f t="array" ref="H323">IFERROR(INDEX('PORTIFÓLIO'!$H$4:$H$433,MATCH($C323,'PORTIFÓLIO'!$C$4:$C$433,0)),"")</f>
        <v/>
      </c>
      <c r="I323" s="256"/>
      <c r="J323" s="218">
        <f t="shared" si="35"/>
        <v>0</v>
      </c>
      <c r="K323" s="292" t="str">
        <f t="array" ref="K323">IFERROR(I323*INDEX('PORTIFÓLIO'!$S$4:$S$433,MATCH($C323,'PORTIFÓLIO'!$C$4:$C$433,0)),"")</f>
        <v/>
      </c>
      <c r="L323" s="292" t="str">
        <f t="array" ref="L323">IFERROR(J323*INDEX('PORTIFÓLIO'!$S$4:$S$433,MATCH($C323,'PORTIFÓLIO'!$C$4:$C$433,0)),"")</f>
        <v/>
      </c>
      <c r="M323" s="220"/>
      <c r="N323" s="220"/>
      <c r="O323" s="220"/>
      <c r="P323" s="220"/>
      <c r="Q323" s="220"/>
      <c r="R323" s="220"/>
      <c r="S323" s="220"/>
      <c r="T323" s="220"/>
      <c r="U323" s="220"/>
      <c r="V323" s="220"/>
      <c r="W323" s="220"/>
    </row>
    <row r="324" ht="15.75" customHeight="1">
      <c r="A324" s="229" t="s">
        <v>1189</v>
      </c>
      <c r="B324" s="230"/>
      <c r="C324" s="231"/>
      <c r="D324" s="232"/>
      <c r="E324" s="231"/>
      <c r="F324" s="231"/>
      <c r="G324" s="233"/>
      <c r="H324" s="233"/>
      <c r="I324" s="258"/>
      <c r="J324" s="236"/>
      <c r="K324" s="237">
        <f t="shared" ref="K324:L324" si="36">SUBTOTAL(9,K325:K338)</f>
        <v>0</v>
      </c>
      <c r="L324" s="237">
        <f t="shared" si="36"/>
        <v>0</v>
      </c>
      <c r="M324" s="220"/>
      <c r="N324" s="220"/>
      <c r="O324" s="220"/>
      <c r="P324" s="220"/>
      <c r="Q324" s="220"/>
      <c r="R324" s="220"/>
      <c r="S324" s="220"/>
      <c r="T324" s="220"/>
      <c r="U324" s="220"/>
      <c r="V324" s="220"/>
      <c r="W324" s="220"/>
    </row>
    <row r="325" ht="15.75" customHeight="1" outlineLevel="1">
      <c r="A325" s="213"/>
      <c r="B325" s="212"/>
      <c r="C325" s="213"/>
      <c r="D325" s="214" t="str">
        <f>IFERROR(VLOOKUP($C325,'PORTIFÓLIO'!C:V,2,0),"")</f>
        <v/>
      </c>
      <c r="E325" s="211" t="str">
        <f>IFERROR(VLOOKUP($C325,'PORTIFÓLIO'!C:V,3,0),"")</f>
        <v/>
      </c>
      <c r="F325" s="211" t="str">
        <f>IFERROR(VLOOKUP($C325,'PORTIFÓLIO'!C:V,4,0),"")</f>
        <v/>
      </c>
      <c r="G325" s="215" t="str">
        <f>IFERROR(VLOOKUP($C325,'PORTIFÓLIO'!C:V,5,0),"")</f>
        <v/>
      </c>
      <c r="H325" s="254" t="str">
        <f t="array" ref="H325">IFERROR(INDEX('PORTIFÓLIO'!$H$4:$H$433,MATCH($C325,'PORTIFÓLIO'!$C$4:$C$433,0)),"")</f>
        <v/>
      </c>
      <c r="I325" s="255"/>
      <c r="J325" s="218">
        <f t="shared" ref="J325:J339" si="37">I325*$B$2</f>
        <v>0</v>
      </c>
      <c r="K325" s="292" t="str">
        <f t="array" ref="K325">IFERROR(I325*INDEX('PORTIFÓLIO'!$S$4:$S$433,MATCH($C325,'PORTIFÓLIO'!$C$4:$C$433,0)),"")</f>
        <v/>
      </c>
      <c r="L325" s="292" t="str">
        <f t="array" ref="L325">IFERROR(J325*INDEX('PORTIFÓLIO'!$S$4:$S$433,MATCH($C325,'PORTIFÓLIO'!$C$4:$C$433,0)),"")</f>
        <v/>
      </c>
      <c r="M325" s="220"/>
      <c r="N325" s="220"/>
      <c r="O325" s="220"/>
      <c r="P325" s="220"/>
      <c r="Q325" s="220"/>
      <c r="R325" s="220"/>
      <c r="S325" s="220"/>
      <c r="T325" s="220"/>
      <c r="U325" s="220"/>
      <c r="V325" s="220"/>
      <c r="W325" s="220"/>
    </row>
    <row r="326" ht="15.75" customHeight="1" outlineLevel="1">
      <c r="A326" s="211"/>
      <c r="B326" s="212"/>
      <c r="C326" s="213"/>
      <c r="D326" s="214" t="str">
        <f>IFERROR(VLOOKUP($C326,'PORTIFÓLIO'!C:V,2,0),"")</f>
        <v/>
      </c>
      <c r="E326" s="211" t="str">
        <f>IFERROR(VLOOKUP($C326,'PORTIFÓLIO'!C:V,3,0),"")</f>
        <v/>
      </c>
      <c r="F326" s="211" t="str">
        <f>IFERROR(VLOOKUP($C326,'PORTIFÓLIO'!C:V,4,0),"")</f>
        <v/>
      </c>
      <c r="G326" s="215" t="str">
        <f>IFERROR(VLOOKUP($C326,'PORTIFÓLIO'!C:V,5,0),"")</f>
        <v/>
      </c>
      <c r="H326" s="254" t="str">
        <f t="array" ref="H326">IFERROR(INDEX('PORTIFÓLIO'!$H$4:$H$433,MATCH($C326,'PORTIFÓLIO'!$C$4:$C$433,0)),"")</f>
        <v/>
      </c>
      <c r="I326" s="256"/>
      <c r="J326" s="218">
        <f t="shared" si="37"/>
        <v>0</v>
      </c>
      <c r="K326" s="292" t="str">
        <f t="array" ref="K326">IFERROR(I326*INDEX('PORTIFÓLIO'!$S$4:$S$433,MATCH($C326,'PORTIFÓLIO'!$C$4:$C$433,0)),"")</f>
        <v/>
      </c>
      <c r="L326" s="292" t="str">
        <f t="array" ref="L326">IFERROR(J326*INDEX('PORTIFÓLIO'!$S$4:$S$433,MATCH($C326,'PORTIFÓLIO'!$C$4:$C$433,0)),"")</f>
        <v/>
      </c>
      <c r="M326" s="220"/>
      <c r="N326" s="220"/>
      <c r="O326" s="220"/>
      <c r="P326" s="220"/>
      <c r="Q326" s="220"/>
      <c r="R326" s="220"/>
      <c r="S326" s="220"/>
      <c r="T326" s="220"/>
      <c r="U326" s="220"/>
      <c r="V326" s="220"/>
      <c r="W326" s="220"/>
    </row>
    <row r="327" ht="15.75" customHeight="1" outlineLevel="1">
      <c r="A327" s="211"/>
      <c r="B327" s="212"/>
      <c r="C327" s="213"/>
      <c r="D327" s="214" t="str">
        <f>IFERROR(VLOOKUP($C327,'PORTIFÓLIO'!C:V,2,0),"")</f>
        <v/>
      </c>
      <c r="E327" s="211" t="str">
        <f>IFERROR(VLOOKUP($C327,'PORTIFÓLIO'!C:V,3,0),"")</f>
        <v/>
      </c>
      <c r="F327" s="211" t="str">
        <f>IFERROR(VLOOKUP($C327,'PORTIFÓLIO'!C:V,4,0),"")</f>
        <v/>
      </c>
      <c r="G327" s="215" t="str">
        <f>IFERROR(VLOOKUP($C327,'PORTIFÓLIO'!C:V,5,0),"")</f>
        <v/>
      </c>
      <c r="H327" s="254" t="str">
        <f t="array" ref="H327">IFERROR(INDEX('PORTIFÓLIO'!$H$4:$H$433,MATCH($C327,'PORTIFÓLIO'!$C$4:$C$433,0)),"")</f>
        <v/>
      </c>
      <c r="I327" s="256"/>
      <c r="J327" s="218">
        <f t="shared" si="37"/>
        <v>0</v>
      </c>
      <c r="K327" s="292" t="str">
        <f t="array" ref="K327">IFERROR(I327*INDEX('PORTIFÓLIO'!$S$4:$S$433,MATCH($C327,'PORTIFÓLIO'!$C$4:$C$433,0)),"")</f>
        <v/>
      </c>
      <c r="L327" s="292" t="str">
        <f t="array" ref="L327">IFERROR(J327*INDEX('PORTIFÓLIO'!$S$4:$S$433,MATCH($C327,'PORTIFÓLIO'!$C$4:$C$433,0)),"")</f>
        <v/>
      </c>
      <c r="M327" s="220"/>
      <c r="N327" s="220"/>
      <c r="O327" s="220"/>
      <c r="P327" s="220"/>
      <c r="Q327" s="220"/>
      <c r="R327" s="220"/>
      <c r="S327" s="220"/>
      <c r="T327" s="220"/>
      <c r="U327" s="220"/>
      <c r="V327" s="220"/>
      <c r="W327" s="220"/>
    </row>
    <row r="328" ht="15.75" customHeight="1" outlineLevel="1">
      <c r="A328" s="211"/>
      <c r="B328" s="212"/>
      <c r="C328" s="213"/>
      <c r="D328" s="214" t="str">
        <f>IFERROR(VLOOKUP($C328,'PORTIFÓLIO'!C:V,2,0),"")</f>
        <v/>
      </c>
      <c r="E328" s="211" t="str">
        <f>IFERROR(VLOOKUP($C328,'PORTIFÓLIO'!C:V,3,0),"")</f>
        <v/>
      </c>
      <c r="F328" s="211" t="str">
        <f>IFERROR(VLOOKUP($C328,'PORTIFÓLIO'!C:V,4,0),"")</f>
        <v/>
      </c>
      <c r="G328" s="215" t="str">
        <f>IFERROR(VLOOKUP($C328,'PORTIFÓLIO'!C:V,5,0),"")</f>
        <v/>
      </c>
      <c r="H328" s="254" t="str">
        <f t="array" ref="H328">IFERROR(INDEX('PORTIFÓLIO'!$H$4:$H$433,MATCH($C328,'PORTIFÓLIO'!$C$4:$C$433,0)),"")</f>
        <v/>
      </c>
      <c r="I328" s="256"/>
      <c r="J328" s="218">
        <f t="shared" si="37"/>
        <v>0</v>
      </c>
      <c r="K328" s="292" t="str">
        <f t="array" ref="K328">IFERROR(I328*INDEX('PORTIFÓLIO'!$S$4:$S$433,MATCH($C328,'PORTIFÓLIO'!$C$4:$C$433,0)),"")</f>
        <v/>
      </c>
      <c r="L328" s="292" t="str">
        <f t="array" ref="L328">IFERROR(J328*INDEX('PORTIFÓLIO'!$S$4:$S$433,MATCH($C328,'PORTIFÓLIO'!$C$4:$C$433,0)),"")</f>
        <v/>
      </c>
      <c r="M328" s="220"/>
      <c r="N328" s="220"/>
      <c r="O328" s="220"/>
      <c r="P328" s="220"/>
      <c r="Q328" s="220"/>
      <c r="R328" s="220"/>
      <c r="S328" s="220"/>
      <c r="T328" s="220"/>
      <c r="U328" s="220"/>
      <c r="V328" s="220"/>
      <c r="W328" s="220"/>
    </row>
    <row r="329" ht="15.75" customHeight="1" outlineLevel="1">
      <c r="A329" s="211"/>
      <c r="B329" s="212"/>
      <c r="C329" s="213"/>
      <c r="D329" s="214" t="str">
        <f>IFERROR(VLOOKUP($C329,'PORTIFÓLIO'!C:V,2,0),"")</f>
        <v/>
      </c>
      <c r="E329" s="211" t="str">
        <f>IFERROR(VLOOKUP($C329,'PORTIFÓLIO'!C:V,3,0),"")</f>
        <v/>
      </c>
      <c r="F329" s="211" t="str">
        <f>IFERROR(VLOOKUP($C329,'PORTIFÓLIO'!C:V,4,0),"")</f>
        <v/>
      </c>
      <c r="G329" s="215" t="str">
        <f>IFERROR(VLOOKUP($C329,'PORTIFÓLIO'!C:V,5,0),"")</f>
        <v/>
      </c>
      <c r="H329" s="254" t="str">
        <f t="array" ref="H329">IFERROR(INDEX('PORTIFÓLIO'!$H$4:$H$433,MATCH($C329,'PORTIFÓLIO'!$C$4:$C$433,0)),"")</f>
        <v/>
      </c>
      <c r="I329" s="256"/>
      <c r="J329" s="218">
        <f t="shared" si="37"/>
        <v>0</v>
      </c>
      <c r="K329" s="292" t="str">
        <f t="array" ref="K329">IFERROR(I329*INDEX('PORTIFÓLIO'!$S$4:$S$433,MATCH($C329,'PORTIFÓLIO'!$C$4:$C$433,0)),"")</f>
        <v/>
      </c>
      <c r="L329" s="292" t="str">
        <f t="array" ref="L329">IFERROR(J329*INDEX('PORTIFÓLIO'!$S$4:$S$433,MATCH($C329,'PORTIFÓLIO'!$C$4:$C$433,0)),"")</f>
        <v/>
      </c>
      <c r="M329" s="220"/>
      <c r="N329" s="220"/>
      <c r="O329" s="220"/>
      <c r="P329" s="220"/>
      <c r="Q329" s="220"/>
      <c r="R329" s="220"/>
      <c r="S329" s="220"/>
      <c r="T329" s="220"/>
      <c r="U329" s="220"/>
      <c r="V329" s="220"/>
      <c r="W329" s="220"/>
    </row>
    <row r="330" ht="15.75" customHeight="1" outlineLevel="1">
      <c r="A330" s="211"/>
      <c r="B330" s="212"/>
      <c r="C330" s="213"/>
      <c r="D330" s="214" t="str">
        <f>IFERROR(VLOOKUP($C330,'PORTIFÓLIO'!C:V,2,0),"")</f>
        <v/>
      </c>
      <c r="E330" s="211" t="str">
        <f>IFERROR(VLOOKUP($C330,'PORTIFÓLIO'!C:V,3,0),"")</f>
        <v/>
      </c>
      <c r="F330" s="211" t="str">
        <f>IFERROR(VLOOKUP($C330,'PORTIFÓLIO'!C:V,4,0),"")</f>
        <v/>
      </c>
      <c r="G330" s="215" t="str">
        <f>IFERROR(VLOOKUP($C330,'PORTIFÓLIO'!C:V,5,0),"")</f>
        <v/>
      </c>
      <c r="H330" s="254" t="str">
        <f t="array" ref="H330">IFERROR(INDEX('PORTIFÓLIO'!$H$4:$H$433,MATCH($C330,'PORTIFÓLIO'!$C$4:$C$433,0)),"")</f>
        <v/>
      </c>
      <c r="I330" s="256"/>
      <c r="J330" s="218">
        <f t="shared" si="37"/>
        <v>0</v>
      </c>
      <c r="K330" s="292" t="str">
        <f t="array" ref="K330">IFERROR(I330*INDEX('PORTIFÓLIO'!$S$4:$S$433,MATCH($C330,'PORTIFÓLIO'!$C$4:$C$433,0)),"")</f>
        <v/>
      </c>
      <c r="L330" s="292" t="str">
        <f t="array" ref="L330">IFERROR(J330*INDEX('PORTIFÓLIO'!$S$4:$S$433,MATCH($C330,'PORTIFÓLIO'!$C$4:$C$433,0)),"")</f>
        <v/>
      </c>
      <c r="M330" s="220"/>
      <c r="N330" s="220"/>
      <c r="O330" s="220"/>
      <c r="P330" s="220"/>
      <c r="Q330" s="220"/>
      <c r="R330" s="220"/>
      <c r="S330" s="220"/>
      <c r="T330" s="220"/>
      <c r="U330" s="220"/>
      <c r="V330" s="220"/>
      <c r="W330" s="220"/>
    </row>
    <row r="331" ht="15.75" customHeight="1" outlineLevel="1">
      <c r="A331" s="211"/>
      <c r="B331" s="212"/>
      <c r="C331" s="213"/>
      <c r="D331" s="214" t="str">
        <f>IFERROR(VLOOKUP($C331,'PORTIFÓLIO'!C:V,2,0),"")</f>
        <v/>
      </c>
      <c r="E331" s="211" t="str">
        <f>IFERROR(VLOOKUP($C331,'PORTIFÓLIO'!C:V,3,0),"")</f>
        <v/>
      </c>
      <c r="F331" s="211" t="str">
        <f>IFERROR(VLOOKUP($C331,'PORTIFÓLIO'!C:V,4,0),"")</f>
        <v/>
      </c>
      <c r="G331" s="215" t="str">
        <f>IFERROR(VLOOKUP($C331,'PORTIFÓLIO'!C:V,5,0),"")</f>
        <v/>
      </c>
      <c r="H331" s="254" t="str">
        <f t="array" ref="H331">IFERROR(INDEX('PORTIFÓLIO'!$H$4:$H$433,MATCH($C331,'PORTIFÓLIO'!$C$4:$C$433,0)),"")</f>
        <v/>
      </c>
      <c r="I331" s="256"/>
      <c r="J331" s="218">
        <f t="shared" si="37"/>
        <v>0</v>
      </c>
      <c r="K331" s="292" t="str">
        <f t="array" ref="K331">IFERROR(I331*INDEX('PORTIFÓLIO'!$S$4:$S$433,MATCH($C331,'PORTIFÓLIO'!$C$4:$C$433,0)),"")</f>
        <v/>
      </c>
      <c r="L331" s="292" t="str">
        <f t="array" ref="L331">IFERROR(J331*INDEX('PORTIFÓLIO'!$S$4:$S$433,MATCH($C331,'PORTIFÓLIO'!$C$4:$C$433,0)),"")</f>
        <v/>
      </c>
      <c r="M331" s="220"/>
      <c r="N331" s="220"/>
      <c r="O331" s="220"/>
      <c r="P331" s="220"/>
      <c r="Q331" s="220"/>
      <c r="R331" s="220"/>
      <c r="S331" s="220"/>
      <c r="T331" s="220"/>
      <c r="U331" s="220"/>
      <c r="V331" s="220"/>
      <c r="W331" s="220"/>
    </row>
    <row r="332" ht="15.75" customHeight="1" outlineLevel="1">
      <c r="A332" s="211"/>
      <c r="B332" s="212"/>
      <c r="C332" s="213"/>
      <c r="D332" s="214" t="str">
        <f>IFERROR(VLOOKUP($C332,'PORTIFÓLIO'!C:V,2,0),"")</f>
        <v/>
      </c>
      <c r="E332" s="211" t="str">
        <f>IFERROR(VLOOKUP($C332,'PORTIFÓLIO'!C:V,3,0),"")</f>
        <v/>
      </c>
      <c r="F332" s="211" t="str">
        <f>IFERROR(VLOOKUP($C332,'PORTIFÓLIO'!C:V,4,0),"")</f>
        <v/>
      </c>
      <c r="G332" s="215" t="str">
        <f>IFERROR(VLOOKUP($C332,'PORTIFÓLIO'!C:V,5,0),"")</f>
        <v/>
      </c>
      <c r="H332" s="254" t="str">
        <f t="array" ref="H332">IFERROR(INDEX('PORTIFÓLIO'!$H$4:$H$433,MATCH($C332,'PORTIFÓLIO'!$C$4:$C$433,0)),"")</f>
        <v/>
      </c>
      <c r="I332" s="256"/>
      <c r="J332" s="218">
        <f t="shared" si="37"/>
        <v>0</v>
      </c>
      <c r="K332" s="292" t="str">
        <f t="array" ref="K332">IFERROR(I332*INDEX('PORTIFÓLIO'!$S$4:$S$433,MATCH($C332,'PORTIFÓLIO'!$C$4:$C$433,0)),"")</f>
        <v/>
      </c>
      <c r="L332" s="292" t="str">
        <f t="array" ref="L332">IFERROR(J332*INDEX('PORTIFÓLIO'!$S$4:$S$433,MATCH($C332,'PORTIFÓLIO'!$C$4:$C$433,0)),"")</f>
        <v/>
      </c>
      <c r="M332" s="220"/>
      <c r="N332" s="220"/>
      <c r="O332" s="220"/>
      <c r="P332" s="220"/>
      <c r="Q332" s="220"/>
      <c r="R332" s="220"/>
      <c r="S332" s="220"/>
      <c r="T332" s="220"/>
      <c r="U332" s="220"/>
      <c r="V332" s="220"/>
      <c r="W332" s="220"/>
    </row>
    <row r="333" ht="15.75" customHeight="1" outlineLevel="1">
      <c r="A333" s="211"/>
      <c r="B333" s="212"/>
      <c r="C333" s="213"/>
      <c r="D333" s="214" t="str">
        <f>IFERROR(VLOOKUP($C333,'PORTIFÓLIO'!C:V,2,0),"")</f>
        <v/>
      </c>
      <c r="E333" s="211" t="str">
        <f>IFERROR(VLOOKUP($C333,'PORTIFÓLIO'!C:V,3,0),"")</f>
        <v/>
      </c>
      <c r="F333" s="211" t="str">
        <f>IFERROR(VLOOKUP($C333,'PORTIFÓLIO'!C:V,4,0),"")</f>
        <v/>
      </c>
      <c r="G333" s="215" t="str">
        <f>IFERROR(VLOOKUP($C333,'PORTIFÓLIO'!C:V,5,0),"")</f>
        <v/>
      </c>
      <c r="H333" s="254" t="str">
        <f t="array" ref="H333">IFERROR(INDEX('PORTIFÓLIO'!$H$4:$H$433,MATCH($C333,'PORTIFÓLIO'!$C$4:$C$433,0)),"")</f>
        <v/>
      </c>
      <c r="I333" s="255"/>
      <c r="J333" s="218">
        <f t="shared" si="37"/>
        <v>0</v>
      </c>
      <c r="K333" s="292" t="str">
        <f t="array" ref="K333">IFERROR(I333*INDEX('PORTIFÓLIO'!$S$4:$S$433,MATCH($C333,'PORTIFÓLIO'!$C$4:$C$433,0)),"")</f>
        <v/>
      </c>
      <c r="L333" s="292" t="str">
        <f t="array" ref="L333">IFERROR(J333*INDEX('PORTIFÓLIO'!$S$4:$S$433,MATCH($C333,'PORTIFÓLIO'!$C$4:$C$433,0)),"")</f>
        <v/>
      </c>
      <c r="M333" s="220"/>
      <c r="N333" s="220"/>
      <c r="O333" s="220"/>
      <c r="P333" s="220"/>
      <c r="Q333" s="220"/>
      <c r="R333" s="220"/>
      <c r="S333" s="220"/>
      <c r="T333" s="220"/>
      <c r="U333" s="220"/>
      <c r="V333" s="220"/>
      <c r="W333" s="220"/>
    </row>
    <row r="334" ht="15.75" customHeight="1" outlineLevel="1">
      <c r="A334" s="211"/>
      <c r="B334" s="212"/>
      <c r="C334" s="213"/>
      <c r="D334" s="214" t="str">
        <f>IFERROR(VLOOKUP($C334,'PORTIFÓLIO'!C:V,2,0),"")</f>
        <v/>
      </c>
      <c r="E334" s="211" t="str">
        <f>IFERROR(VLOOKUP($C334,'PORTIFÓLIO'!C:V,3,0),"")</f>
        <v/>
      </c>
      <c r="F334" s="211" t="str">
        <f>IFERROR(VLOOKUP($C334,'PORTIFÓLIO'!C:V,4,0),"")</f>
        <v/>
      </c>
      <c r="G334" s="215" t="str">
        <f>IFERROR(VLOOKUP($C334,'PORTIFÓLIO'!C:V,5,0),"")</f>
        <v/>
      </c>
      <c r="H334" s="254" t="str">
        <f t="array" ref="H334">IFERROR(INDEX('PORTIFÓLIO'!$H$4:$H$433,MATCH($C334,'PORTIFÓLIO'!$C$4:$C$433,0)),"")</f>
        <v/>
      </c>
      <c r="I334" s="256"/>
      <c r="J334" s="218">
        <f t="shared" si="37"/>
        <v>0</v>
      </c>
      <c r="K334" s="292" t="str">
        <f t="array" ref="K334">IFERROR(I334*INDEX('PORTIFÓLIO'!$S$4:$S$433,MATCH($C334,'PORTIFÓLIO'!$C$4:$C$433,0)),"")</f>
        <v/>
      </c>
      <c r="L334" s="292" t="str">
        <f t="array" ref="L334">IFERROR(J334*INDEX('PORTIFÓLIO'!$S$4:$S$433,MATCH($C334,'PORTIFÓLIO'!$C$4:$C$433,0)),"")</f>
        <v/>
      </c>
      <c r="M334" s="220"/>
      <c r="N334" s="220"/>
      <c r="O334" s="220"/>
      <c r="P334" s="220"/>
      <c r="Q334" s="220"/>
      <c r="R334" s="220"/>
      <c r="S334" s="220"/>
      <c r="T334" s="220"/>
      <c r="U334" s="220"/>
      <c r="V334" s="220"/>
      <c r="W334" s="220"/>
    </row>
    <row r="335" ht="15.75" customHeight="1" outlineLevel="1">
      <c r="A335" s="211"/>
      <c r="B335" s="212"/>
      <c r="C335" s="213"/>
      <c r="D335" s="214" t="str">
        <f>IFERROR(VLOOKUP($C335,'PORTIFÓLIO'!C:V,2,0),"")</f>
        <v/>
      </c>
      <c r="E335" s="211" t="str">
        <f>IFERROR(VLOOKUP($C335,'PORTIFÓLIO'!C:V,3,0),"")</f>
        <v/>
      </c>
      <c r="F335" s="211" t="str">
        <f>IFERROR(VLOOKUP($C335,'PORTIFÓLIO'!C:V,4,0),"")</f>
        <v/>
      </c>
      <c r="G335" s="215" t="str">
        <f>IFERROR(VLOOKUP($C335,'PORTIFÓLIO'!C:V,5,0),"")</f>
        <v/>
      </c>
      <c r="H335" s="254" t="str">
        <f t="array" ref="H335">IFERROR(INDEX('PORTIFÓLIO'!$H$4:$H$433,MATCH($C335,'PORTIFÓLIO'!$C$4:$C$433,0)),"")</f>
        <v/>
      </c>
      <c r="I335" s="256"/>
      <c r="J335" s="218">
        <f t="shared" si="37"/>
        <v>0</v>
      </c>
      <c r="K335" s="292" t="str">
        <f t="array" ref="K335">IFERROR(I335*INDEX('PORTIFÓLIO'!$S$4:$S$433,MATCH($C335,'PORTIFÓLIO'!$C$4:$C$433,0)),"")</f>
        <v/>
      </c>
      <c r="L335" s="292" t="str">
        <f t="array" ref="L335">IFERROR(J335*INDEX('PORTIFÓLIO'!$S$4:$S$433,MATCH($C335,'PORTIFÓLIO'!$C$4:$C$433,0)),"")</f>
        <v/>
      </c>
      <c r="M335" s="220"/>
      <c r="N335" s="220"/>
      <c r="O335" s="220"/>
      <c r="P335" s="220"/>
      <c r="Q335" s="220"/>
      <c r="R335" s="220"/>
      <c r="S335" s="220"/>
      <c r="T335" s="220"/>
      <c r="U335" s="220"/>
      <c r="V335" s="220"/>
      <c r="W335" s="220"/>
    </row>
    <row r="336" ht="15.75" customHeight="1" outlineLevel="1">
      <c r="A336" s="211"/>
      <c r="B336" s="212"/>
      <c r="C336" s="213"/>
      <c r="D336" s="214" t="str">
        <f>IFERROR(VLOOKUP($C336,'PORTIFÓLIO'!C:V,2,0),"")</f>
        <v/>
      </c>
      <c r="E336" s="211" t="str">
        <f>IFERROR(VLOOKUP($C336,'PORTIFÓLIO'!C:V,3,0),"")</f>
        <v/>
      </c>
      <c r="F336" s="211" t="str">
        <f>IFERROR(VLOOKUP($C336,'PORTIFÓLIO'!C:V,4,0),"")</f>
        <v/>
      </c>
      <c r="G336" s="215" t="str">
        <f>IFERROR(VLOOKUP($C336,'PORTIFÓLIO'!C:V,5,0),"")</f>
        <v/>
      </c>
      <c r="H336" s="254" t="str">
        <f t="array" ref="H336">IFERROR(INDEX('PORTIFÓLIO'!$H$4:$H$433,MATCH($C336,'PORTIFÓLIO'!$C$4:$C$433,0)),"")</f>
        <v/>
      </c>
      <c r="I336" s="256"/>
      <c r="J336" s="218">
        <f t="shared" si="37"/>
        <v>0</v>
      </c>
      <c r="K336" s="292" t="str">
        <f t="array" ref="K336">IFERROR(I336*INDEX('PORTIFÓLIO'!$S$4:$S$433,MATCH($C336,'PORTIFÓLIO'!$C$4:$C$433,0)),"")</f>
        <v/>
      </c>
      <c r="L336" s="292" t="str">
        <f t="array" ref="L336">IFERROR(J336*INDEX('PORTIFÓLIO'!$S$4:$S$433,MATCH($C336,'PORTIFÓLIO'!$C$4:$C$433,0)),"")</f>
        <v/>
      </c>
      <c r="M336" s="220"/>
      <c r="N336" s="220"/>
      <c r="O336" s="220"/>
      <c r="P336" s="220"/>
      <c r="Q336" s="220"/>
      <c r="R336" s="220"/>
      <c r="S336" s="220"/>
      <c r="T336" s="220"/>
      <c r="U336" s="220"/>
      <c r="V336" s="220"/>
      <c r="W336" s="220"/>
    </row>
    <row r="337" ht="15.75" customHeight="1" outlineLevel="1">
      <c r="A337" s="211"/>
      <c r="B337" s="212"/>
      <c r="C337" s="213"/>
      <c r="D337" s="214" t="str">
        <f>IFERROR(VLOOKUP($C337,'PORTIFÓLIO'!C:V,2,0),"")</f>
        <v/>
      </c>
      <c r="E337" s="211" t="str">
        <f>IFERROR(VLOOKUP($C337,'PORTIFÓLIO'!C:V,3,0),"")</f>
        <v/>
      </c>
      <c r="F337" s="211" t="str">
        <f>IFERROR(VLOOKUP($C337,'PORTIFÓLIO'!C:V,4,0),"")</f>
        <v/>
      </c>
      <c r="G337" s="215" t="str">
        <f>IFERROR(VLOOKUP($C337,'PORTIFÓLIO'!C:V,5,0),"")</f>
        <v/>
      </c>
      <c r="H337" s="254" t="str">
        <f t="array" ref="H337">IFERROR(INDEX('PORTIFÓLIO'!$H$4:$H$433,MATCH($C337,'PORTIFÓLIO'!$C$4:$C$433,0)),"")</f>
        <v/>
      </c>
      <c r="I337" s="256"/>
      <c r="J337" s="218">
        <f t="shared" si="37"/>
        <v>0</v>
      </c>
      <c r="K337" s="292" t="str">
        <f t="array" ref="K337">IFERROR(I337*INDEX('PORTIFÓLIO'!$S$4:$S$433,MATCH($C337,'PORTIFÓLIO'!$C$4:$C$433,0)),"")</f>
        <v/>
      </c>
      <c r="L337" s="292" t="str">
        <f t="array" ref="L337">IFERROR(J337*INDEX('PORTIFÓLIO'!$S$4:$S$433,MATCH($C337,'PORTIFÓLIO'!$C$4:$C$433,0)),"")</f>
        <v/>
      </c>
      <c r="M337" s="220"/>
      <c r="N337" s="220"/>
      <c r="O337" s="220"/>
      <c r="P337" s="220"/>
      <c r="Q337" s="220"/>
      <c r="R337" s="220"/>
      <c r="S337" s="220"/>
      <c r="T337" s="220"/>
      <c r="U337" s="220"/>
      <c r="V337" s="220"/>
      <c r="W337" s="220"/>
    </row>
    <row r="338" ht="15.75" customHeight="1" outlineLevel="1">
      <c r="A338" s="211"/>
      <c r="B338" s="212"/>
      <c r="C338" s="213"/>
      <c r="D338" s="214" t="str">
        <f>IFERROR(VLOOKUP($C338,'PORTIFÓLIO'!C:V,2,0),"")</f>
        <v/>
      </c>
      <c r="E338" s="211" t="str">
        <f>IFERROR(VLOOKUP($C338,'PORTIFÓLIO'!C:V,3,0),"")</f>
        <v/>
      </c>
      <c r="F338" s="211" t="str">
        <f>IFERROR(VLOOKUP($C338,'PORTIFÓLIO'!C:V,4,0),"")</f>
        <v/>
      </c>
      <c r="G338" s="215" t="str">
        <f>IFERROR(VLOOKUP($C338,'PORTIFÓLIO'!C:V,5,0),"")</f>
        <v/>
      </c>
      <c r="H338" s="254" t="str">
        <f t="array" ref="H338">IFERROR(INDEX('PORTIFÓLIO'!$H$4:$H$433,MATCH($C338,'PORTIFÓLIO'!$C$4:$C$433,0)),"")</f>
        <v/>
      </c>
      <c r="I338" s="256"/>
      <c r="J338" s="218">
        <f t="shared" si="37"/>
        <v>0</v>
      </c>
      <c r="K338" s="292" t="str">
        <f t="array" ref="K338">IFERROR(I338*INDEX('PORTIFÓLIO'!$S$4:$S$433,MATCH($C338,'PORTIFÓLIO'!$C$4:$C$433,0)),"")</f>
        <v/>
      </c>
      <c r="L338" s="292" t="str">
        <f t="array" ref="L338">IFERROR(J338*INDEX('PORTIFÓLIO'!$S$4:$S$433,MATCH($C338,'PORTIFÓLIO'!$C$4:$C$433,0)),"")</f>
        <v/>
      </c>
      <c r="M338" s="220"/>
      <c r="N338" s="220"/>
      <c r="O338" s="220"/>
      <c r="P338" s="220"/>
      <c r="Q338" s="220"/>
      <c r="R338" s="220"/>
      <c r="S338" s="220"/>
      <c r="T338" s="220"/>
      <c r="U338" s="220"/>
      <c r="V338" s="220"/>
      <c r="W338" s="220"/>
    </row>
    <row r="339" ht="15.75" customHeight="1" outlineLevel="1">
      <c r="A339" s="211"/>
      <c r="B339" s="212"/>
      <c r="C339" s="213"/>
      <c r="D339" s="214" t="str">
        <f>IFERROR(VLOOKUP($C339,'PORTIFÓLIO'!C:V,2,0),"")</f>
        <v/>
      </c>
      <c r="E339" s="211" t="str">
        <f>IFERROR(VLOOKUP($C339,'PORTIFÓLIO'!C:V,3,0),"")</f>
        <v/>
      </c>
      <c r="F339" s="211" t="str">
        <f>IFERROR(VLOOKUP($C339,'PORTIFÓLIO'!C:V,4,0),"")</f>
        <v/>
      </c>
      <c r="G339" s="215" t="str">
        <f>IFERROR(VLOOKUP($C339,'PORTIFÓLIO'!C:V,5,0),"")</f>
        <v/>
      </c>
      <c r="H339" s="254" t="str">
        <f t="array" ref="H339">IFERROR(INDEX('PORTIFÓLIO'!$H$4:$H$433,MATCH($C339,'PORTIFÓLIO'!$C$4:$C$433,0)),"")</f>
        <v/>
      </c>
      <c r="I339" s="256"/>
      <c r="J339" s="218">
        <f t="shared" si="37"/>
        <v>0</v>
      </c>
      <c r="K339" s="292" t="str">
        <f t="array" ref="K339">IFERROR(I339*INDEX('PORTIFÓLIO'!$S$4:$S$433,MATCH($C339,'PORTIFÓLIO'!$C$4:$C$433,0)),"")</f>
        <v/>
      </c>
      <c r="L339" s="292" t="str">
        <f t="array" ref="L339">IFERROR(J339*INDEX('PORTIFÓLIO'!$S$4:$S$433,MATCH($C339,'PORTIFÓLIO'!$C$4:$C$433,0)),"")</f>
        <v/>
      </c>
      <c r="M339" s="220"/>
      <c r="N339" s="220"/>
      <c r="O339" s="220"/>
      <c r="P339" s="220"/>
      <c r="Q339" s="220"/>
      <c r="R339" s="220"/>
      <c r="S339" s="220"/>
      <c r="T339" s="220"/>
      <c r="U339" s="220"/>
      <c r="V339" s="220"/>
      <c r="W339" s="220"/>
    </row>
    <row r="340" ht="15.75" customHeight="1" outlineLevel="1">
      <c r="A340" s="211"/>
      <c r="B340" s="227"/>
      <c r="C340" s="211"/>
      <c r="D340" s="214" t="str">
        <f>IFERROR(VLOOKUP($C340,'PORTIFÓLIO'!C:V,2,0),"")</f>
        <v/>
      </c>
      <c r="E340" s="211" t="str">
        <f>IFERROR(VLOOKUP($C340,'PORTIFÓLIO'!C:V,3,0),"")</f>
        <v/>
      </c>
      <c r="F340" s="211" t="str">
        <f>IFERROR(VLOOKUP($C340,'PORTIFÓLIO'!C:V,4,0),"")</f>
        <v/>
      </c>
      <c r="G340" s="215" t="str">
        <f>IFERROR(VLOOKUP($C340,'PORTIFÓLIO'!C:V,5,0),"")</f>
        <v/>
      </c>
      <c r="H340" s="254" t="str">
        <f t="array" ref="H340">IFERROR(INDEX('PORTIFÓLIO'!$H$4:$H$433,MATCH($C340,'PORTIFÓLIO'!$C$4:$C$433,0)),"")</f>
        <v/>
      </c>
      <c r="I340" s="256"/>
      <c r="J340" s="218"/>
      <c r="K340" s="292" t="str">
        <f t="array" ref="K340">IFERROR(I340*INDEX('PORTIFÓLIO'!$S$4:$S$433,MATCH($C340,'PORTIFÓLIO'!$C$4:$C$433,0)),"")</f>
        <v/>
      </c>
      <c r="L340" s="292" t="str">
        <f t="array" ref="L340">IFERROR(J340*INDEX('PORTIFÓLIO'!$S$4:$S$433,MATCH($C340,'PORTIFÓLIO'!$C$4:$C$433,0)),"")</f>
        <v/>
      </c>
      <c r="M340" s="220"/>
      <c r="N340" s="220"/>
      <c r="O340" s="220"/>
      <c r="P340" s="220"/>
      <c r="Q340" s="220"/>
      <c r="R340" s="220"/>
      <c r="S340" s="220"/>
      <c r="T340" s="220"/>
      <c r="U340" s="220"/>
      <c r="V340" s="220"/>
      <c r="W340" s="220"/>
    </row>
    <row r="341" ht="15.75" customHeight="1">
      <c r="A341" s="229" t="s">
        <v>1190</v>
      </c>
      <c r="B341" s="230"/>
      <c r="C341" s="231"/>
      <c r="D341" s="232"/>
      <c r="E341" s="231"/>
      <c r="F341" s="231"/>
      <c r="G341" s="233"/>
      <c r="H341" s="233"/>
      <c r="I341" s="258"/>
      <c r="J341" s="236"/>
      <c r="K341" s="237">
        <f t="shared" ref="K341:L341" si="38">SUBTOTAL(9,K342:K355)</f>
        <v>0</v>
      </c>
      <c r="L341" s="237">
        <f t="shared" si="38"/>
        <v>0</v>
      </c>
      <c r="M341" s="220"/>
      <c r="N341" s="220"/>
      <c r="O341" s="220"/>
      <c r="P341" s="220"/>
      <c r="Q341" s="220"/>
      <c r="R341" s="220"/>
      <c r="S341" s="220"/>
      <c r="T341" s="220"/>
      <c r="U341" s="220"/>
      <c r="V341" s="220"/>
      <c r="W341" s="220"/>
    </row>
    <row r="342" ht="15.75" customHeight="1" outlineLevel="1">
      <c r="A342" s="213"/>
      <c r="B342" s="212"/>
      <c r="C342" s="213"/>
      <c r="D342" s="214" t="str">
        <f>IFERROR(VLOOKUP($C342,'PORTIFÓLIO'!C:V,2,0),"")</f>
        <v/>
      </c>
      <c r="E342" s="211" t="str">
        <f>IFERROR(VLOOKUP($C342,'PORTIFÓLIO'!C:V,3,0),"")</f>
        <v/>
      </c>
      <c r="F342" s="211" t="str">
        <f>IFERROR(VLOOKUP($C342,'PORTIFÓLIO'!C:V,4,0),"")</f>
        <v/>
      </c>
      <c r="G342" s="215" t="str">
        <f>IFERROR(VLOOKUP($C342,'PORTIFÓLIO'!C:V,5,0),"")</f>
        <v/>
      </c>
      <c r="H342" s="254" t="str">
        <f t="array" ref="H342">IFERROR(INDEX('PORTIFÓLIO'!$H$4:$H$433,MATCH($C342,'PORTIFÓLIO'!$C$4:$C$433,0)),"")</f>
        <v/>
      </c>
      <c r="I342" s="255"/>
      <c r="J342" s="218">
        <f t="shared" ref="J342:J356" si="39">I342*$B$2</f>
        <v>0</v>
      </c>
      <c r="K342" s="292" t="str">
        <f t="array" ref="K342">IFERROR(I342*INDEX('PORTIFÓLIO'!$S$4:$S$433,MATCH($C342,'PORTIFÓLIO'!$C$4:$C$433,0)),"")</f>
        <v/>
      </c>
      <c r="L342" s="292" t="str">
        <f t="array" ref="L342">IFERROR(J342*INDEX('PORTIFÓLIO'!$S$4:$S$433,MATCH($C342,'PORTIFÓLIO'!$C$4:$C$433,0)),"")</f>
        <v/>
      </c>
      <c r="M342" s="220"/>
      <c r="N342" s="220"/>
      <c r="O342" s="220"/>
      <c r="P342" s="220"/>
      <c r="Q342" s="220"/>
      <c r="R342" s="220"/>
      <c r="S342" s="220"/>
      <c r="T342" s="220"/>
      <c r="U342" s="220"/>
      <c r="V342" s="220"/>
      <c r="W342" s="220"/>
    </row>
    <row r="343" ht="15.75" customHeight="1" outlineLevel="1">
      <c r="A343" s="211"/>
      <c r="B343" s="212"/>
      <c r="C343" s="213"/>
      <c r="D343" s="214" t="str">
        <f>IFERROR(VLOOKUP($C343,'PORTIFÓLIO'!C:V,2,0),"")</f>
        <v/>
      </c>
      <c r="E343" s="211" t="str">
        <f>IFERROR(VLOOKUP($C343,'PORTIFÓLIO'!C:V,3,0),"")</f>
        <v/>
      </c>
      <c r="F343" s="211" t="str">
        <f>IFERROR(VLOOKUP($C343,'PORTIFÓLIO'!C:V,4,0),"")</f>
        <v/>
      </c>
      <c r="G343" s="215" t="str">
        <f>IFERROR(VLOOKUP($C343,'PORTIFÓLIO'!C:V,5,0),"")</f>
        <v/>
      </c>
      <c r="H343" s="254" t="str">
        <f t="array" ref="H343">IFERROR(INDEX('PORTIFÓLIO'!$H$4:$H$433,MATCH($C343,'PORTIFÓLIO'!$C$4:$C$433,0)),"")</f>
        <v/>
      </c>
      <c r="I343" s="256"/>
      <c r="J343" s="218">
        <f t="shared" si="39"/>
        <v>0</v>
      </c>
      <c r="K343" s="292" t="str">
        <f t="array" ref="K343">IFERROR(I343*INDEX('PORTIFÓLIO'!$S$4:$S$433,MATCH($C343,'PORTIFÓLIO'!$C$4:$C$433,0)),"")</f>
        <v/>
      </c>
      <c r="L343" s="292" t="str">
        <f t="array" ref="L343">IFERROR(J343*INDEX('PORTIFÓLIO'!$S$4:$S$433,MATCH($C343,'PORTIFÓLIO'!$C$4:$C$433,0)),"")</f>
        <v/>
      </c>
      <c r="M343" s="220"/>
      <c r="N343" s="220"/>
      <c r="O343" s="220"/>
      <c r="P343" s="220"/>
      <c r="Q343" s="220"/>
      <c r="R343" s="220"/>
      <c r="S343" s="220"/>
      <c r="T343" s="220"/>
      <c r="U343" s="220"/>
      <c r="V343" s="220"/>
      <c r="W343" s="220"/>
    </row>
    <row r="344" ht="15.75" customHeight="1" outlineLevel="1">
      <c r="A344" s="211"/>
      <c r="B344" s="212"/>
      <c r="C344" s="213"/>
      <c r="D344" s="214" t="str">
        <f>IFERROR(VLOOKUP($C344,'PORTIFÓLIO'!C:V,2,0),"")</f>
        <v/>
      </c>
      <c r="E344" s="211" t="str">
        <f>IFERROR(VLOOKUP($C344,'PORTIFÓLIO'!C:V,3,0),"")</f>
        <v/>
      </c>
      <c r="F344" s="211" t="str">
        <f>IFERROR(VLOOKUP($C344,'PORTIFÓLIO'!C:V,4,0),"")</f>
        <v/>
      </c>
      <c r="G344" s="215" t="str">
        <f>IFERROR(VLOOKUP($C344,'PORTIFÓLIO'!C:V,5,0),"")</f>
        <v/>
      </c>
      <c r="H344" s="254" t="str">
        <f t="array" ref="H344">IFERROR(INDEX('PORTIFÓLIO'!$H$4:$H$433,MATCH($C344,'PORTIFÓLIO'!$C$4:$C$433,0)),"")</f>
        <v/>
      </c>
      <c r="I344" s="256"/>
      <c r="J344" s="218">
        <f t="shared" si="39"/>
        <v>0</v>
      </c>
      <c r="K344" s="292" t="str">
        <f t="array" ref="K344">IFERROR(I344*INDEX('PORTIFÓLIO'!$S$4:$S$433,MATCH($C344,'PORTIFÓLIO'!$C$4:$C$433,0)),"")</f>
        <v/>
      </c>
      <c r="L344" s="292" t="str">
        <f t="array" ref="L344">IFERROR(J344*INDEX('PORTIFÓLIO'!$S$4:$S$433,MATCH($C344,'PORTIFÓLIO'!$C$4:$C$433,0)),"")</f>
        <v/>
      </c>
      <c r="M344" s="220"/>
      <c r="N344" s="220"/>
      <c r="O344" s="220"/>
      <c r="P344" s="220"/>
      <c r="Q344" s="220"/>
      <c r="R344" s="220"/>
      <c r="S344" s="220"/>
      <c r="T344" s="220"/>
      <c r="U344" s="220"/>
      <c r="V344" s="220"/>
      <c r="W344" s="220"/>
    </row>
    <row r="345" ht="15.75" customHeight="1" outlineLevel="1">
      <c r="A345" s="211"/>
      <c r="B345" s="212"/>
      <c r="C345" s="213"/>
      <c r="D345" s="214" t="str">
        <f>IFERROR(VLOOKUP($C345,'PORTIFÓLIO'!C:V,2,0),"")</f>
        <v/>
      </c>
      <c r="E345" s="211" t="str">
        <f>IFERROR(VLOOKUP($C345,'PORTIFÓLIO'!C:V,3,0),"")</f>
        <v/>
      </c>
      <c r="F345" s="211" t="str">
        <f>IFERROR(VLOOKUP($C345,'PORTIFÓLIO'!C:V,4,0),"")</f>
        <v/>
      </c>
      <c r="G345" s="215" t="str">
        <f>IFERROR(VLOOKUP($C345,'PORTIFÓLIO'!C:V,5,0),"")</f>
        <v/>
      </c>
      <c r="H345" s="254" t="str">
        <f t="array" ref="H345">IFERROR(INDEX('PORTIFÓLIO'!$H$4:$H$433,MATCH($C345,'PORTIFÓLIO'!$C$4:$C$433,0)),"")</f>
        <v/>
      </c>
      <c r="I345" s="256"/>
      <c r="J345" s="218">
        <f t="shared" si="39"/>
        <v>0</v>
      </c>
      <c r="K345" s="292" t="str">
        <f t="array" ref="K345">IFERROR(I345*INDEX('PORTIFÓLIO'!$S$4:$S$433,MATCH($C345,'PORTIFÓLIO'!$C$4:$C$433,0)),"")</f>
        <v/>
      </c>
      <c r="L345" s="292" t="str">
        <f t="array" ref="L345">IFERROR(J345*INDEX('PORTIFÓLIO'!$S$4:$S$433,MATCH($C345,'PORTIFÓLIO'!$C$4:$C$433,0)),"")</f>
        <v/>
      </c>
      <c r="M345" s="220"/>
      <c r="N345" s="220"/>
      <c r="O345" s="220"/>
      <c r="P345" s="220"/>
      <c r="Q345" s="220"/>
      <c r="R345" s="220"/>
      <c r="S345" s="220"/>
      <c r="T345" s="220"/>
      <c r="U345" s="220"/>
      <c r="V345" s="220"/>
      <c r="W345" s="220"/>
    </row>
    <row r="346" ht="15.75" customHeight="1" outlineLevel="1">
      <c r="A346" s="211"/>
      <c r="B346" s="212"/>
      <c r="C346" s="213"/>
      <c r="D346" s="214" t="str">
        <f>IFERROR(VLOOKUP($C346,'PORTIFÓLIO'!C:V,2,0),"")</f>
        <v/>
      </c>
      <c r="E346" s="211" t="str">
        <f>IFERROR(VLOOKUP($C346,'PORTIFÓLIO'!C:V,3,0),"")</f>
        <v/>
      </c>
      <c r="F346" s="211" t="str">
        <f>IFERROR(VLOOKUP($C346,'PORTIFÓLIO'!C:V,4,0),"")</f>
        <v/>
      </c>
      <c r="G346" s="215" t="str">
        <f>IFERROR(VLOOKUP($C346,'PORTIFÓLIO'!C:V,5,0),"")</f>
        <v/>
      </c>
      <c r="H346" s="254" t="str">
        <f t="array" ref="H346">IFERROR(INDEX('PORTIFÓLIO'!$H$4:$H$433,MATCH($C346,'PORTIFÓLIO'!$C$4:$C$433,0)),"")</f>
        <v/>
      </c>
      <c r="I346" s="256"/>
      <c r="J346" s="218">
        <f t="shared" si="39"/>
        <v>0</v>
      </c>
      <c r="K346" s="292" t="str">
        <f t="array" ref="K346">IFERROR(I346*INDEX('PORTIFÓLIO'!$S$4:$S$433,MATCH($C346,'PORTIFÓLIO'!$C$4:$C$433,0)),"")</f>
        <v/>
      </c>
      <c r="L346" s="292" t="str">
        <f t="array" ref="L346">IFERROR(J346*INDEX('PORTIFÓLIO'!$S$4:$S$433,MATCH($C346,'PORTIFÓLIO'!$C$4:$C$433,0)),"")</f>
        <v/>
      </c>
      <c r="M346" s="220"/>
      <c r="N346" s="220"/>
      <c r="O346" s="220"/>
      <c r="P346" s="220"/>
      <c r="Q346" s="220"/>
      <c r="R346" s="220"/>
      <c r="S346" s="220"/>
      <c r="T346" s="220"/>
      <c r="U346" s="220"/>
      <c r="V346" s="220"/>
      <c r="W346" s="220"/>
    </row>
    <row r="347" ht="15.75" customHeight="1" outlineLevel="1">
      <c r="A347" s="211"/>
      <c r="B347" s="212"/>
      <c r="C347" s="213"/>
      <c r="D347" s="214" t="str">
        <f>IFERROR(VLOOKUP($C347,'PORTIFÓLIO'!C:V,2,0),"")</f>
        <v/>
      </c>
      <c r="E347" s="211" t="str">
        <f>IFERROR(VLOOKUP($C347,'PORTIFÓLIO'!C:V,3,0),"")</f>
        <v/>
      </c>
      <c r="F347" s="211" t="str">
        <f>IFERROR(VLOOKUP($C347,'PORTIFÓLIO'!C:V,4,0),"")</f>
        <v/>
      </c>
      <c r="G347" s="215" t="str">
        <f>IFERROR(VLOOKUP($C347,'PORTIFÓLIO'!C:V,5,0),"")</f>
        <v/>
      </c>
      <c r="H347" s="254" t="str">
        <f t="array" ref="H347">IFERROR(INDEX('PORTIFÓLIO'!$H$4:$H$433,MATCH($C347,'PORTIFÓLIO'!$C$4:$C$433,0)),"")</f>
        <v/>
      </c>
      <c r="I347" s="256"/>
      <c r="J347" s="218">
        <f t="shared" si="39"/>
        <v>0</v>
      </c>
      <c r="K347" s="292" t="str">
        <f t="array" ref="K347">IFERROR(I347*INDEX('PORTIFÓLIO'!$S$4:$S$433,MATCH($C347,'PORTIFÓLIO'!$C$4:$C$433,0)),"")</f>
        <v/>
      </c>
      <c r="L347" s="292" t="str">
        <f t="array" ref="L347">IFERROR(J347*INDEX('PORTIFÓLIO'!$S$4:$S$433,MATCH($C347,'PORTIFÓLIO'!$C$4:$C$433,0)),"")</f>
        <v/>
      </c>
      <c r="M347" s="220"/>
      <c r="N347" s="220"/>
      <c r="O347" s="220"/>
      <c r="P347" s="220"/>
      <c r="Q347" s="220"/>
      <c r="R347" s="220"/>
      <c r="S347" s="220"/>
      <c r="T347" s="220"/>
      <c r="U347" s="220"/>
      <c r="V347" s="220"/>
      <c r="W347" s="220"/>
    </row>
    <row r="348" ht="15.75" customHeight="1" outlineLevel="1">
      <c r="A348" s="211"/>
      <c r="B348" s="212"/>
      <c r="C348" s="213"/>
      <c r="D348" s="214" t="str">
        <f>IFERROR(VLOOKUP($C348,'PORTIFÓLIO'!C:V,2,0),"")</f>
        <v/>
      </c>
      <c r="E348" s="211" t="str">
        <f>IFERROR(VLOOKUP($C348,'PORTIFÓLIO'!C:V,3,0),"")</f>
        <v/>
      </c>
      <c r="F348" s="211" t="str">
        <f>IFERROR(VLOOKUP($C348,'PORTIFÓLIO'!C:V,4,0),"")</f>
        <v/>
      </c>
      <c r="G348" s="215" t="str">
        <f>IFERROR(VLOOKUP($C348,'PORTIFÓLIO'!C:V,5,0),"")</f>
        <v/>
      </c>
      <c r="H348" s="254" t="str">
        <f t="array" ref="H348">IFERROR(INDEX('PORTIFÓLIO'!$H$4:$H$433,MATCH($C348,'PORTIFÓLIO'!$C$4:$C$433,0)),"")</f>
        <v/>
      </c>
      <c r="I348" s="256"/>
      <c r="J348" s="218">
        <f t="shared" si="39"/>
        <v>0</v>
      </c>
      <c r="K348" s="292" t="str">
        <f t="array" ref="K348">IFERROR(I348*INDEX('PORTIFÓLIO'!$S$4:$S$433,MATCH($C348,'PORTIFÓLIO'!$C$4:$C$433,0)),"")</f>
        <v/>
      </c>
      <c r="L348" s="292" t="str">
        <f t="array" ref="L348">IFERROR(J348*INDEX('PORTIFÓLIO'!$S$4:$S$433,MATCH($C348,'PORTIFÓLIO'!$C$4:$C$433,0)),"")</f>
        <v/>
      </c>
      <c r="M348" s="220"/>
      <c r="N348" s="220"/>
      <c r="O348" s="220"/>
      <c r="P348" s="220"/>
      <c r="Q348" s="220"/>
      <c r="R348" s="220"/>
      <c r="S348" s="220"/>
      <c r="T348" s="220"/>
      <c r="U348" s="220"/>
      <c r="V348" s="220"/>
      <c r="W348" s="220"/>
    </row>
    <row r="349" ht="15.75" customHeight="1" outlineLevel="1">
      <c r="A349" s="211"/>
      <c r="B349" s="212"/>
      <c r="C349" s="213"/>
      <c r="D349" s="214" t="str">
        <f>IFERROR(VLOOKUP($C349,'PORTIFÓLIO'!C:V,2,0),"")</f>
        <v/>
      </c>
      <c r="E349" s="211" t="str">
        <f>IFERROR(VLOOKUP($C349,'PORTIFÓLIO'!C:V,3,0),"")</f>
        <v/>
      </c>
      <c r="F349" s="211" t="str">
        <f>IFERROR(VLOOKUP($C349,'PORTIFÓLIO'!C:V,4,0),"")</f>
        <v/>
      </c>
      <c r="G349" s="215" t="str">
        <f>IFERROR(VLOOKUP($C349,'PORTIFÓLIO'!C:V,5,0),"")</f>
        <v/>
      </c>
      <c r="H349" s="254" t="str">
        <f t="array" ref="H349">IFERROR(INDEX('PORTIFÓLIO'!$H$4:$H$433,MATCH($C349,'PORTIFÓLIO'!$C$4:$C$433,0)),"")</f>
        <v/>
      </c>
      <c r="I349" s="256"/>
      <c r="J349" s="218">
        <f t="shared" si="39"/>
        <v>0</v>
      </c>
      <c r="K349" s="292" t="str">
        <f t="array" ref="K349">IFERROR(I349*INDEX('PORTIFÓLIO'!$S$4:$S$433,MATCH($C349,'PORTIFÓLIO'!$C$4:$C$433,0)),"")</f>
        <v/>
      </c>
      <c r="L349" s="292" t="str">
        <f t="array" ref="L349">IFERROR(J349*INDEX('PORTIFÓLIO'!$S$4:$S$433,MATCH($C349,'PORTIFÓLIO'!$C$4:$C$433,0)),"")</f>
        <v/>
      </c>
      <c r="M349" s="220"/>
      <c r="N349" s="220"/>
      <c r="O349" s="220"/>
      <c r="P349" s="220"/>
      <c r="Q349" s="220"/>
      <c r="R349" s="220"/>
      <c r="S349" s="220"/>
      <c r="T349" s="220"/>
      <c r="U349" s="220"/>
      <c r="V349" s="220"/>
      <c r="W349" s="220"/>
    </row>
    <row r="350" ht="15.75" customHeight="1" outlineLevel="1">
      <c r="A350" s="211"/>
      <c r="B350" s="212"/>
      <c r="C350" s="213"/>
      <c r="D350" s="214" t="str">
        <f>IFERROR(VLOOKUP($C350,'PORTIFÓLIO'!C:V,2,0),"")</f>
        <v/>
      </c>
      <c r="E350" s="211" t="str">
        <f>IFERROR(VLOOKUP($C350,'PORTIFÓLIO'!C:V,3,0),"")</f>
        <v/>
      </c>
      <c r="F350" s="211" t="str">
        <f>IFERROR(VLOOKUP($C350,'PORTIFÓLIO'!C:V,4,0),"")</f>
        <v/>
      </c>
      <c r="G350" s="215" t="str">
        <f>IFERROR(VLOOKUP($C350,'PORTIFÓLIO'!C:V,5,0),"")</f>
        <v/>
      </c>
      <c r="H350" s="254" t="str">
        <f t="array" ref="H350">IFERROR(INDEX('PORTIFÓLIO'!$H$4:$H$433,MATCH($C350,'PORTIFÓLIO'!$C$4:$C$433,0)),"")</f>
        <v/>
      </c>
      <c r="I350" s="255"/>
      <c r="J350" s="218">
        <f t="shared" si="39"/>
        <v>0</v>
      </c>
      <c r="K350" s="292" t="str">
        <f t="array" ref="K350">IFERROR(I350*INDEX('PORTIFÓLIO'!$S$4:$S$433,MATCH($C350,'PORTIFÓLIO'!$C$4:$C$433,0)),"")</f>
        <v/>
      </c>
      <c r="L350" s="292" t="str">
        <f t="array" ref="L350">IFERROR(J350*INDEX('PORTIFÓLIO'!$S$4:$S$433,MATCH($C350,'PORTIFÓLIO'!$C$4:$C$433,0)),"")</f>
        <v/>
      </c>
      <c r="M350" s="220"/>
      <c r="N350" s="220"/>
      <c r="O350" s="220"/>
      <c r="P350" s="220"/>
      <c r="Q350" s="220"/>
      <c r="R350" s="220"/>
      <c r="S350" s="220"/>
      <c r="T350" s="220"/>
      <c r="U350" s="220"/>
      <c r="V350" s="220"/>
      <c r="W350" s="220"/>
    </row>
    <row r="351" ht="15.75" customHeight="1" outlineLevel="1">
      <c r="A351" s="211"/>
      <c r="B351" s="212"/>
      <c r="C351" s="213"/>
      <c r="D351" s="214" t="str">
        <f>IFERROR(VLOOKUP($C351,'PORTIFÓLIO'!C:V,2,0),"")</f>
        <v/>
      </c>
      <c r="E351" s="211" t="str">
        <f>IFERROR(VLOOKUP($C351,'PORTIFÓLIO'!C:V,3,0),"")</f>
        <v/>
      </c>
      <c r="F351" s="211" t="str">
        <f>IFERROR(VLOOKUP($C351,'PORTIFÓLIO'!C:V,4,0),"")</f>
        <v/>
      </c>
      <c r="G351" s="215" t="str">
        <f>IFERROR(VLOOKUP($C351,'PORTIFÓLIO'!C:V,5,0),"")</f>
        <v/>
      </c>
      <c r="H351" s="254" t="str">
        <f t="array" ref="H351">IFERROR(INDEX('PORTIFÓLIO'!$H$4:$H$433,MATCH($C351,'PORTIFÓLIO'!$C$4:$C$433,0)),"")</f>
        <v/>
      </c>
      <c r="I351" s="256"/>
      <c r="J351" s="218">
        <f t="shared" si="39"/>
        <v>0</v>
      </c>
      <c r="K351" s="292" t="str">
        <f t="array" ref="K351">IFERROR(I351*INDEX('PORTIFÓLIO'!$S$4:$S$433,MATCH($C351,'PORTIFÓLIO'!$C$4:$C$433,0)),"")</f>
        <v/>
      </c>
      <c r="L351" s="292" t="str">
        <f t="array" ref="L351">IFERROR(J351*INDEX('PORTIFÓLIO'!$S$4:$S$433,MATCH($C351,'PORTIFÓLIO'!$C$4:$C$433,0)),"")</f>
        <v/>
      </c>
      <c r="M351" s="220"/>
      <c r="N351" s="220"/>
      <c r="O351" s="220"/>
      <c r="P351" s="220"/>
      <c r="Q351" s="220"/>
      <c r="R351" s="220"/>
      <c r="S351" s="220"/>
      <c r="T351" s="220"/>
      <c r="U351" s="220"/>
      <c r="V351" s="220"/>
      <c r="W351" s="220"/>
    </row>
    <row r="352" ht="15.75" customHeight="1" outlineLevel="1">
      <c r="A352" s="211"/>
      <c r="B352" s="212"/>
      <c r="C352" s="213"/>
      <c r="D352" s="214" t="str">
        <f>IFERROR(VLOOKUP($C352,'PORTIFÓLIO'!C:V,2,0),"")</f>
        <v/>
      </c>
      <c r="E352" s="211" t="str">
        <f>IFERROR(VLOOKUP($C352,'PORTIFÓLIO'!C:V,3,0),"")</f>
        <v/>
      </c>
      <c r="F352" s="211" t="str">
        <f>IFERROR(VLOOKUP($C352,'PORTIFÓLIO'!C:V,4,0),"")</f>
        <v/>
      </c>
      <c r="G352" s="215" t="str">
        <f>IFERROR(VLOOKUP($C352,'PORTIFÓLIO'!C:V,5,0),"")</f>
        <v/>
      </c>
      <c r="H352" s="254" t="str">
        <f t="array" ref="H352">IFERROR(INDEX('PORTIFÓLIO'!$H$4:$H$433,MATCH($C352,'PORTIFÓLIO'!$C$4:$C$433,0)),"")</f>
        <v/>
      </c>
      <c r="I352" s="256"/>
      <c r="J352" s="218">
        <f t="shared" si="39"/>
        <v>0</v>
      </c>
      <c r="K352" s="292" t="str">
        <f t="array" ref="K352">IFERROR(I352*INDEX('PORTIFÓLIO'!$S$4:$S$433,MATCH($C352,'PORTIFÓLIO'!$C$4:$C$433,0)),"")</f>
        <v/>
      </c>
      <c r="L352" s="292" t="str">
        <f t="array" ref="L352">IFERROR(J352*INDEX('PORTIFÓLIO'!$S$4:$S$433,MATCH($C352,'PORTIFÓLIO'!$C$4:$C$433,0)),"")</f>
        <v/>
      </c>
      <c r="M352" s="220"/>
      <c r="N352" s="220"/>
      <c r="O352" s="220"/>
      <c r="P352" s="220"/>
      <c r="Q352" s="220"/>
      <c r="R352" s="220"/>
      <c r="S352" s="220"/>
      <c r="T352" s="220"/>
      <c r="U352" s="220"/>
      <c r="V352" s="220"/>
      <c r="W352" s="220"/>
    </row>
    <row r="353" ht="15.75" customHeight="1" outlineLevel="1">
      <c r="A353" s="211"/>
      <c r="B353" s="212"/>
      <c r="C353" s="213"/>
      <c r="D353" s="214" t="str">
        <f>IFERROR(VLOOKUP($C353,'PORTIFÓLIO'!C:V,2,0),"")</f>
        <v/>
      </c>
      <c r="E353" s="211" t="str">
        <f>IFERROR(VLOOKUP($C353,'PORTIFÓLIO'!C:V,3,0),"")</f>
        <v/>
      </c>
      <c r="F353" s="211" t="str">
        <f>IFERROR(VLOOKUP($C353,'PORTIFÓLIO'!C:V,4,0),"")</f>
        <v/>
      </c>
      <c r="G353" s="215" t="str">
        <f>IFERROR(VLOOKUP($C353,'PORTIFÓLIO'!C:V,5,0),"")</f>
        <v/>
      </c>
      <c r="H353" s="254" t="str">
        <f t="array" ref="H353">IFERROR(INDEX('PORTIFÓLIO'!$H$4:$H$433,MATCH($C353,'PORTIFÓLIO'!$C$4:$C$433,0)),"")</f>
        <v/>
      </c>
      <c r="I353" s="256"/>
      <c r="J353" s="218">
        <f t="shared" si="39"/>
        <v>0</v>
      </c>
      <c r="K353" s="292" t="str">
        <f t="array" ref="K353">IFERROR(I353*INDEX('PORTIFÓLIO'!$S$4:$S$433,MATCH($C353,'PORTIFÓLIO'!$C$4:$C$433,0)),"")</f>
        <v/>
      </c>
      <c r="L353" s="292" t="str">
        <f t="array" ref="L353">IFERROR(J353*INDEX('PORTIFÓLIO'!$S$4:$S$433,MATCH($C353,'PORTIFÓLIO'!$C$4:$C$433,0)),"")</f>
        <v/>
      </c>
      <c r="M353" s="220"/>
      <c r="N353" s="220"/>
      <c r="O353" s="220"/>
      <c r="P353" s="220"/>
      <c r="Q353" s="220"/>
      <c r="R353" s="220"/>
      <c r="S353" s="220"/>
      <c r="T353" s="220"/>
      <c r="U353" s="220"/>
      <c r="V353" s="220"/>
      <c r="W353" s="220"/>
    </row>
    <row r="354" ht="15.75" customHeight="1" outlineLevel="1">
      <c r="A354" s="211"/>
      <c r="B354" s="212"/>
      <c r="C354" s="213"/>
      <c r="D354" s="214" t="str">
        <f>IFERROR(VLOOKUP($C354,'PORTIFÓLIO'!C:V,2,0),"")</f>
        <v/>
      </c>
      <c r="E354" s="211" t="str">
        <f>IFERROR(VLOOKUP($C354,'PORTIFÓLIO'!C:V,3,0),"")</f>
        <v/>
      </c>
      <c r="F354" s="211" t="str">
        <f>IFERROR(VLOOKUP($C354,'PORTIFÓLIO'!C:V,4,0),"")</f>
        <v/>
      </c>
      <c r="G354" s="215" t="str">
        <f>IFERROR(VLOOKUP($C354,'PORTIFÓLIO'!C:V,5,0),"")</f>
        <v/>
      </c>
      <c r="H354" s="254" t="str">
        <f t="array" ref="H354">IFERROR(INDEX('PORTIFÓLIO'!$H$4:$H$433,MATCH($C354,'PORTIFÓLIO'!$C$4:$C$433,0)),"")</f>
        <v/>
      </c>
      <c r="I354" s="256"/>
      <c r="J354" s="218">
        <f t="shared" si="39"/>
        <v>0</v>
      </c>
      <c r="K354" s="292" t="str">
        <f t="array" ref="K354">IFERROR(I354*INDEX('PORTIFÓLIO'!$S$4:$S$433,MATCH($C354,'PORTIFÓLIO'!$C$4:$C$433,0)),"")</f>
        <v/>
      </c>
      <c r="L354" s="292" t="str">
        <f t="array" ref="L354">IFERROR(J354*INDEX('PORTIFÓLIO'!$S$4:$S$433,MATCH($C354,'PORTIFÓLIO'!$C$4:$C$433,0)),"")</f>
        <v/>
      </c>
      <c r="M354" s="220"/>
      <c r="N354" s="220"/>
      <c r="O354" s="220"/>
      <c r="P354" s="220"/>
      <c r="Q354" s="220"/>
      <c r="R354" s="220"/>
      <c r="S354" s="220"/>
      <c r="T354" s="220"/>
      <c r="U354" s="220"/>
      <c r="V354" s="220"/>
      <c r="W354" s="220"/>
    </row>
    <row r="355" ht="15.75" customHeight="1" outlineLevel="1">
      <c r="A355" s="211"/>
      <c r="B355" s="212"/>
      <c r="C355" s="213"/>
      <c r="D355" s="214" t="str">
        <f>IFERROR(VLOOKUP($C355,'PORTIFÓLIO'!C:V,2,0),"")</f>
        <v/>
      </c>
      <c r="E355" s="211" t="str">
        <f>IFERROR(VLOOKUP($C355,'PORTIFÓLIO'!C:V,3,0),"")</f>
        <v/>
      </c>
      <c r="F355" s="211" t="str">
        <f>IFERROR(VLOOKUP($C355,'PORTIFÓLIO'!C:V,4,0),"")</f>
        <v/>
      </c>
      <c r="G355" s="215" t="str">
        <f>IFERROR(VLOOKUP($C355,'PORTIFÓLIO'!C:V,5,0),"")</f>
        <v/>
      </c>
      <c r="H355" s="254" t="str">
        <f t="array" ref="H355">IFERROR(INDEX('PORTIFÓLIO'!$H$4:$H$433,MATCH($C355,'PORTIFÓLIO'!$C$4:$C$433,0)),"")</f>
        <v/>
      </c>
      <c r="I355" s="256"/>
      <c r="J355" s="218">
        <f t="shared" si="39"/>
        <v>0</v>
      </c>
      <c r="K355" s="292" t="str">
        <f t="array" ref="K355">IFERROR(I355*INDEX('PORTIFÓLIO'!$S$4:$S$433,MATCH($C355,'PORTIFÓLIO'!$C$4:$C$433,0)),"")</f>
        <v/>
      </c>
      <c r="L355" s="292" t="str">
        <f t="array" ref="L355">IFERROR(J355*INDEX('PORTIFÓLIO'!$S$4:$S$433,MATCH($C355,'PORTIFÓLIO'!$C$4:$C$433,0)),"")</f>
        <v/>
      </c>
      <c r="M355" s="220"/>
      <c r="N355" s="220"/>
      <c r="O355" s="220"/>
      <c r="P355" s="220"/>
      <c r="Q355" s="220"/>
      <c r="R355" s="220"/>
      <c r="S355" s="220"/>
      <c r="T355" s="220"/>
      <c r="U355" s="220"/>
      <c r="V355" s="220"/>
      <c r="W355" s="220"/>
    </row>
    <row r="356" ht="15.75" customHeight="1" outlineLevel="1">
      <c r="A356" s="211"/>
      <c r="B356" s="212"/>
      <c r="C356" s="213"/>
      <c r="D356" s="214" t="str">
        <f>IFERROR(VLOOKUP($C356,'PORTIFÓLIO'!C:V,2,0),"")</f>
        <v/>
      </c>
      <c r="E356" s="211" t="str">
        <f>IFERROR(VLOOKUP($C356,'PORTIFÓLIO'!C:V,3,0),"")</f>
        <v/>
      </c>
      <c r="F356" s="211" t="str">
        <f>IFERROR(VLOOKUP($C356,'PORTIFÓLIO'!C:V,4,0),"")</f>
        <v/>
      </c>
      <c r="G356" s="215" t="str">
        <f>IFERROR(VLOOKUP($C356,'PORTIFÓLIO'!C:V,5,0),"")</f>
        <v/>
      </c>
      <c r="H356" s="254" t="str">
        <f t="array" ref="H356">IFERROR(INDEX('PORTIFÓLIO'!$H$4:$H$433,MATCH($C356,'PORTIFÓLIO'!$C$4:$C$433,0)),"")</f>
        <v/>
      </c>
      <c r="I356" s="256"/>
      <c r="J356" s="218">
        <f t="shared" si="39"/>
        <v>0</v>
      </c>
      <c r="K356" s="292" t="str">
        <f t="array" ref="K356">IFERROR(I356*INDEX('PORTIFÓLIO'!$S$4:$S$433,MATCH($C356,'PORTIFÓLIO'!$C$4:$C$433,0)),"")</f>
        <v/>
      </c>
      <c r="L356" s="292" t="str">
        <f t="array" ref="L356">IFERROR(J356*INDEX('PORTIFÓLIO'!$S$4:$S$433,MATCH($C356,'PORTIFÓLIO'!$C$4:$C$433,0)),"")</f>
        <v/>
      </c>
      <c r="M356" s="220"/>
      <c r="N356" s="220"/>
      <c r="O356" s="220"/>
      <c r="P356" s="220"/>
      <c r="Q356" s="220"/>
      <c r="R356" s="220"/>
      <c r="S356" s="220"/>
      <c r="T356" s="220"/>
      <c r="U356" s="220"/>
      <c r="V356" s="220"/>
      <c r="W356" s="220"/>
    </row>
    <row r="357" ht="15.75" customHeight="1" outlineLevel="1">
      <c r="A357" s="211"/>
      <c r="B357" s="227"/>
      <c r="C357" s="211"/>
      <c r="D357" s="214" t="str">
        <f>IFERROR(VLOOKUP($C357,'PORTIFÓLIO'!C:V,2,0),"")</f>
        <v/>
      </c>
      <c r="E357" s="211" t="str">
        <f>IFERROR(VLOOKUP($C357,'PORTIFÓLIO'!C:V,3,0),"")</f>
        <v/>
      </c>
      <c r="F357" s="211" t="str">
        <f>IFERROR(VLOOKUP($C357,'PORTIFÓLIO'!C:V,4,0),"")</f>
        <v/>
      </c>
      <c r="G357" s="215" t="str">
        <f>IFERROR(VLOOKUP($C357,'PORTIFÓLIO'!C:V,5,0),"")</f>
        <v/>
      </c>
      <c r="H357" s="254" t="str">
        <f t="array" ref="H357">IFERROR(INDEX('PORTIFÓLIO'!$H$4:$H$433,MATCH($C357,'PORTIFÓLIO'!$C$4:$C$433,0)),"")</f>
        <v/>
      </c>
      <c r="I357" s="256"/>
      <c r="J357" s="218"/>
      <c r="K357" s="292" t="str">
        <f t="array" ref="K357">IFERROR(I357*INDEX('PORTIFÓLIO'!$S$4:$S$433,MATCH($C357,'PORTIFÓLIO'!$C$4:$C$433,0)),"")</f>
        <v/>
      </c>
      <c r="L357" s="292" t="str">
        <f t="array" ref="L357">IFERROR(J357*INDEX('PORTIFÓLIO'!$S$4:$S$433,MATCH($C357,'PORTIFÓLIO'!$C$4:$C$433,0)),"")</f>
        <v/>
      </c>
      <c r="M357" s="220"/>
      <c r="N357" s="220"/>
      <c r="O357" s="220"/>
      <c r="P357" s="220"/>
      <c r="Q357" s="220"/>
      <c r="R357" s="220"/>
      <c r="S357" s="220"/>
      <c r="T357" s="220"/>
      <c r="U357" s="220"/>
      <c r="V357" s="220"/>
      <c r="W357" s="220"/>
    </row>
    <row r="358" ht="15.75" customHeight="1">
      <c r="A358" s="229" t="s">
        <v>1191</v>
      </c>
      <c r="B358" s="230"/>
      <c r="C358" s="231"/>
      <c r="D358" s="232"/>
      <c r="E358" s="231"/>
      <c r="F358" s="231"/>
      <c r="G358" s="233"/>
      <c r="H358" s="233"/>
      <c r="I358" s="258"/>
      <c r="J358" s="236"/>
      <c r="K358" s="237">
        <f t="shared" ref="K358:L358" si="40">SUBTOTAL(9,K359:K372)</f>
        <v>0</v>
      </c>
      <c r="L358" s="237">
        <f t="shared" si="40"/>
        <v>0</v>
      </c>
      <c r="M358" s="220"/>
      <c r="N358" s="220"/>
      <c r="O358" s="220"/>
      <c r="P358" s="220"/>
      <c r="Q358" s="220"/>
      <c r="R358" s="220"/>
      <c r="S358" s="220"/>
      <c r="T358" s="220"/>
      <c r="U358" s="220"/>
      <c r="V358" s="220"/>
      <c r="W358" s="220"/>
    </row>
    <row r="359" ht="15.75" customHeight="1" outlineLevel="1">
      <c r="A359" s="213"/>
      <c r="B359" s="212"/>
      <c r="C359" s="213"/>
      <c r="D359" s="214" t="str">
        <f>IFERROR(VLOOKUP($C359,'PORTIFÓLIO'!C:V,2,0),"")</f>
        <v/>
      </c>
      <c r="E359" s="211" t="str">
        <f>IFERROR(VLOOKUP($C359,'PORTIFÓLIO'!C:V,3,0),"")</f>
        <v/>
      </c>
      <c r="F359" s="211" t="str">
        <f>IFERROR(VLOOKUP($C359,'PORTIFÓLIO'!C:V,4,0),"")</f>
        <v/>
      </c>
      <c r="G359" s="215" t="str">
        <f>IFERROR(VLOOKUP($C359,'PORTIFÓLIO'!C:V,5,0),"")</f>
        <v/>
      </c>
      <c r="H359" s="254" t="str">
        <f t="array" ref="H359">IFERROR(INDEX('PORTIFÓLIO'!$H$4:$H$433,MATCH($C359,'PORTIFÓLIO'!$C$4:$C$433,0)),"")</f>
        <v/>
      </c>
      <c r="I359" s="255"/>
      <c r="J359" s="218">
        <f t="shared" ref="J359:J373" si="41">I359*$B$2</f>
        <v>0</v>
      </c>
      <c r="K359" s="292" t="str">
        <f t="array" ref="K359">IFERROR(I359*INDEX('PORTIFÓLIO'!$S$4:$S$433,MATCH($C359,'PORTIFÓLIO'!$C$4:$C$433,0)),"")</f>
        <v/>
      </c>
      <c r="L359" s="292" t="str">
        <f t="array" ref="L359">IFERROR(J359*INDEX('PORTIFÓLIO'!$S$4:$S$433,MATCH($C359,'PORTIFÓLIO'!$C$4:$C$433,0)),"")</f>
        <v/>
      </c>
      <c r="M359" s="220"/>
      <c r="N359" s="220"/>
      <c r="O359" s="220"/>
      <c r="P359" s="220"/>
      <c r="Q359" s="220"/>
      <c r="R359" s="220"/>
      <c r="S359" s="220"/>
      <c r="T359" s="220"/>
      <c r="U359" s="220"/>
      <c r="V359" s="220"/>
      <c r="W359" s="220"/>
    </row>
    <row r="360" ht="15.75" customHeight="1" outlineLevel="1">
      <c r="A360" s="211"/>
      <c r="B360" s="212"/>
      <c r="C360" s="213"/>
      <c r="D360" s="214" t="str">
        <f>IFERROR(VLOOKUP($C360,'PORTIFÓLIO'!C:V,2,0),"")</f>
        <v/>
      </c>
      <c r="E360" s="211" t="str">
        <f>IFERROR(VLOOKUP($C360,'PORTIFÓLIO'!C:V,3,0),"")</f>
        <v/>
      </c>
      <c r="F360" s="211" t="str">
        <f>IFERROR(VLOOKUP($C360,'PORTIFÓLIO'!C:V,4,0),"")</f>
        <v/>
      </c>
      <c r="G360" s="215" t="str">
        <f>IFERROR(VLOOKUP($C360,'PORTIFÓLIO'!C:V,5,0),"")</f>
        <v/>
      </c>
      <c r="H360" s="254" t="str">
        <f t="array" ref="H360">IFERROR(INDEX('PORTIFÓLIO'!$H$4:$H$433,MATCH($C360,'PORTIFÓLIO'!$C$4:$C$433,0)),"")</f>
        <v/>
      </c>
      <c r="I360" s="256"/>
      <c r="J360" s="218">
        <f t="shared" si="41"/>
        <v>0</v>
      </c>
      <c r="K360" s="292" t="str">
        <f t="array" ref="K360">IFERROR(I360*INDEX('PORTIFÓLIO'!$S$4:$S$433,MATCH($C360,'PORTIFÓLIO'!$C$4:$C$433,0)),"")</f>
        <v/>
      </c>
      <c r="L360" s="292" t="str">
        <f t="array" ref="L360">IFERROR(J360*INDEX('PORTIFÓLIO'!$S$4:$S$433,MATCH($C360,'PORTIFÓLIO'!$C$4:$C$433,0)),"")</f>
        <v/>
      </c>
      <c r="M360" s="220"/>
      <c r="N360" s="220"/>
      <c r="O360" s="220"/>
      <c r="P360" s="220"/>
      <c r="Q360" s="220"/>
      <c r="R360" s="220"/>
      <c r="S360" s="220"/>
      <c r="T360" s="220"/>
      <c r="U360" s="220"/>
      <c r="V360" s="220"/>
      <c r="W360" s="220"/>
    </row>
    <row r="361" ht="15.75" customHeight="1" outlineLevel="1">
      <c r="A361" s="211"/>
      <c r="B361" s="212"/>
      <c r="C361" s="213"/>
      <c r="D361" s="214" t="str">
        <f>IFERROR(VLOOKUP($C361,'PORTIFÓLIO'!C:V,2,0),"")</f>
        <v/>
      </c>
      <c r="E361" s="211" t="str">
        <f>IFERROR(VLOOKUP($C361,'PORTIFÓLIO'!C:V,3,0),"")</f>
        <v/>
      </c>
      <c r="F361" s="211" t="str">
        <f>IFERROR(VLOOKUP($C361,'PORTIFÓLIO'!C:V,4,0),"")</f>
        <v/>
      </c>
      <c r="G361" s="215" t="str">
        <f>IFERROR(VLOOKUP($C361,'PORTIFÓLIO'!C:V,5,0),"")</f>
        <v/>
      </c>
      <c r="H361" s="254" t="str">
        <f t="array" ref="H361">IFERROR(INDEX('PORTIFÓLIO'!$H$4:$H$433,MATCH($C361,'PORTIFÓLIO'!$C$4:$C$433,0)),"")</f>
        <v/>
      </c>
      <c r="I361" s="256"/>
      <c r="J361" s="218">
        <f t="shared" si="41"/>
        <v>0</v>
      </c>
      <c r="K361" s="292" t="str">
        <f t="array" ref="K361">IFERROR(I361*INDEX('PORTIFÓLIO'!$S$4:$S$433,MATCH($C361,'PORTIFÓLIO'!$C$4:$C$433,0)),"")</f>
        <v/>
      </c>
      <c r="L361" s="292" t="str">
        <f t="array" ref="L361">IFERROR(J361*INDEX('PORTIFÓLIO'!$S$4:$S$433,MATCH($C361,'PORTIFÓLIO'!$C$4:$C$433,0)),"")</f>
        <v/>
      </c>
      <c r="M361" s="220"/>
      <c r="N361" s="220"/>
      <c r="O361" s="220"/>
      <c r="P361" s="220"/>
      <c r="Q361" s="220"/>
      <c r="R361" s="220"/>
      <c r="S361" s="220"/>
      <c r="T361" s="220"/>
      <c r="U361" s="220"/>
      <c r="V361" s="220"/>
      <c r="W361" s="220"/>
    </row>
    <row r="362" ht="15.75" customHeight="1" outlineLevel="1">
      <c r="A362" s="211"/>
      <c r="B362" s="212"/>
      <c r="C362" s="213"/>
      <c r="D362" s="214" t="str">
        <f>IFERROR(VLOOKUP($C362,'PORTIFÓLIO'!C:V,2,0),"")</f>
        <v/>
      </c>
      <c r="E362" s="211" t="str">
        <f>IFERROR(VLOOKUP($C362,'PORTIFÓLIO'!C:V,3,0),"")</f>
        <v/>
      </c>
      <c r="F362" s="211" t="str">
        <f>IFERROR(VLOOKUP($C362,'PORTIFÓLIO'!C:V,4,0),"")</f>
        <v/>
      </c>
      <c r="G362" s="215" t="str">
        <f>IFERROR(VLOOKUP($C362,'PORTIFÓLIO'!C:V,5,0),"")</f>
        <v/>
      </c>
      <c r="H362" s="254" t="str">
        <f t="array" ref="H362">IFERROR(INDEX('PORTIFÓLIO'!$H$4:$H$433,MATCH($C362,'PORTIFÓLIO'!$C$4:$C$433,0)),"")</f>
        <v/>
      </c>
      <c r="I362" s="256"/>
      <c r="J362" s="218">
        <f t="shared" si="41"/>
        <v>0</v>
      </c>
      <c r="K362" s="292" t="str">
        <f t="array" ref="K362">IFERROR(I362*INDEX('PORTIFÓLIO'!$S$4:$S$433,MATCH($C362,'PORTIFÓLIO'!$C$4:$C$433,0)),"")</f>
        <v/>
      </c>
      <c r="L362" s="292" t="str">
        <f t="array" ref="L362">IFERROR(J362*INDEX('PORTIFÓLIO'!$S$4:$S$433,MATCH($C362,'PORTIFÓLIO'!$C$4:$C$433,0)),"")</f>
        <v/>
      </c>
      <c r="M362" s="220"/>
      <c r="N362" s="220"/>
      <c r="O362" s="220"/>
      <c r="P362" s="220"/>
      <c r="Q362" s="220"/>
      <c r="R362" s="220"/>
      <c r="S362" s="220"/>
      <c r="T362" s="220"/>
      <c r="U362" s="220"/>
      <c r="V362" s="220"/>
      <c r="W362" s="220"/>
    </row>
    <row r="363" ht="15.75" customHeight="1" outlineLevel="1">
      <c r="A363" s="211"/>
      <c r="B363" s="212"/>
      <c r="C363" s="213"/>
      <c r="D363" s="214" t="str">
        <f>IFERROR(VLOOKUP($C363,'PORTIFÓLIO'!C:V,2,0),"")</f>
        <v/>
      </c>
      <c r="E363" s="211" t="str">
        <f>IFERROR(VLOOKUP($C363,'PORTIFÓLIO'!C:V,3,0),"")</f>
        <v/>
      </c>
      <c r="F363" s="211" t="str">
        <f>IFERROR(VLOOKUP($C363,'PORTIFÓLIO'!C:V,4,0),"")</f>
        <v/>
      </c>
      <c r="G363" s="215" t="str">
        <f>IFERROR(VLOOKUP($C363,'PORTIFÓLIO'!C:V,5,0),"")</f>
        <v/>
      </c>
      <c r="H363" s="254" t="str">
        <f t="array" ref="H363">IFERROR(INDEX('PORTIFÓLIO'!$H$4:$H$433,MATCH($C363,'PORTIFÓLIO'!$C$4:$C$433,0)),"")</f>
        <v/>
      </c>
      <c r="I363" s="256"/>
      <c r="J363" s="218">
        <f t="shared" si="41"/>
        <v>0</v>
      </c>
      <c r="K363" s="292" t="str">
        <f t="array" ref="K363">IFERROR(I363*INDEX('PORTIFÓLIO'!$S$4:$S$433,MATCH($C363,'PORTIFÓLIO'!$C$4:$C$433,0)),"")</f>
        <v/>
      </c>
      <c r="L363" s="292" t="str">
        <f t="array" ref="L363">IFERROR(J363*INDEX('PORTIFÓLIO'!$S$4:$S$433,MATCH($C363,'PORTIFÓLIO'!$C$4:$C$433,0)),"")</f>
        <v/>
      </c>
      <c r="M363" s="220"/>
      <c r="N363" s="220"/>
      <c r="O363" s="220"/>
      <c r="P363" s="220"/>
      <c r="Q363" s="220"/>
      <c r="R363" s="220"/>
      <c r="S363" s="220"/>
      <c r="T363" s="220"/>
      <c r="U363" s="220"/>
      <c r="V363" s="220"/>
      <c r="W363" s="220"/>
    </row>
    <row r="364" ht="15.75" customHeight="1" outlineLevel="1">
      <c r="A364" s="211"/>
      <c r="B364" s="212"/>
      <c r="C364" s="213"/>
      <c r="D364" s="214" t="str">
        <f>IFERROR(VLOOKUP($C364,'PORTIFÓLIO'!C:V,2,0),"")</f>
        <v/>
      </c>
      <c r="E364" s="211" t="str">
        <f>IFERROR(VLOOKUP($C364,'PORTIFÓLIO'!C:V,3,0),"")</f>
        <v/>
      </c>
      <c r="F364" s="211" t="str">
        <f>IFERROR(VLOOKUP($C364,'PORTIFÓLIO'!C:V,4,0),"")</f>
        <v/>
      </c>
      <c r="G364" s="215" t="str">
        <f>IFERROR(VLOOKUP($C364,'PORTIFÓLIO'!C:V,5,0),"")</f>
        <v/>
      </c>
      <c r="H364" s="254" t="str">
        <f t="array" ref="H364">IFERROR(INDEX('PORTIFÓLIO'!$H$4:$H$433,MATCH($C364,'PORTIFÓLIO'!$C$4:$C$433,0)),"")</f>
        <v/>
      </c>
      <c r="I364" s="256"/>
      <c r="J364" s="218">
        <f t="shared" si="41"/>
        <v>0</v>
      </c>
      <c r="K364" s="292" t="str">
        <f t="array" ref="K364">IFERROR(I364*INDEX('PORTIFÓLIO'!$S$4:$S$433,MATCH($C364,'PORTIFÓLIO'!$C$4:$C$433,0)),"")</f>
        <v/>
      </c>
      <c r="L364" s="292" t="str">
        <f t="array" ref="L364">IFERROR(J364*INDEX('PORTIFÓLIO'!$S$4:$S$433,MATCH($C364,'PORTIFÓLIO'!$C$4:$C$433,0)),"")</f>
        <v/>
      </c>
      <c r="M364" s="220"/>
      <c r="N364" s="220"/>
      <c r="O364" s="220"/>
      <c r="P364" s="220"/>
      <c r="Q364" s="220"/>
      <c r="R364" s="220"/>
      <c r="S364" s="220"/>
      <c r="T364" s="220"/>
      <c r="U364" s="220"/>
      <c r="V364" s="220"/>
      <c r="W364" s="220"/>
    </row>
    <row r="365" ht="15.75" customHeight="1" outlineLevel="1">
      <c r="A365" s="211"/>
      <c r="B365" s="212"/>
      <c r="C365" s="213"/>
      <c r="D365" s="214" t="str">
        <f>IFERROR(VLOOKUP($C365,'PORTIFÓLIO'!C:V,2,0),"")</f>
        <v/>
      </c>
      <c r="E365" s="211" t="str">
        <f>IFERROR(VLOOKUP($C365,'PORTIFÓLIO'!C:V,3,0),"")</f>
        <v/>
      </c>
      <c r="F365" s="211" t="str">
        <f>IFERROR(VLOOKUP($C365,'PORTIFÓLIO'!C:V,4,0),"")</f>
        <v/>
      </c>
      <c r="G365" s="215" t="str">
        <f>IFERROR(VLOOKUP($C365,'PORTIFÓLIO'!C:V,5,0),"")</f>
        <v/>
      </c>
      <c r="H365" s="254" t="str">
        <f t="array" ref="H365">IFERROR(INDEX('PORTIFÓLIO'!$H$4:$H$433,MATCH($C365,'PORTIFÓLIO'!$C$4:$C$433,0)),"")</f>
        <v/>
      </c>
      <c r="I365" s="256"/>
      <c r="J365" s="218">
        <f t="shared" si="41"/>
        <v>0</v>
      </c>
      <c r="K365" s="292" t="str">
        <f t="array" ref="K365">IFERROR(I365*INDEX('PORTIFÓLIO'!$S$4:$S$433,MATCH($C365,'PORTIFÓLIO'!$C$4:$C$433,0)),"")</f>
        <v/>
      </c>
      <c r="L365" s="292" t="str">
        <f t="array" ref="L365">IFERROR(J365*INDEX('PORTIFÓLIO'!$S$4:$S$433,MATCH($C365,'PORTIFÓLIO'!$C$4:$C$433,0)),"")</f>
        <v/>
      </c>
      <c r="M365" s="220"/>
      <c r="N365" s="220"/>
      <c r="O365" s="220"/>
      <c r="P365" s="220"/>
      <c r="Q365" s="220"/>
      <c r="R365" s="220"/>
      <c r="S365" s="220"/>
      <c r="T365" s="220"/>
      <c r="U365" s="220"/>
      <c r="V365" s="220"/>
      <c r="W365" s="220"/>
    </row>
    <row r="366" ht="15.75" customHeight="1" outlineLevel="1">
      <c r="A366" s="211"/>
      <c r="B366" s="212"/>
      <c r="C366" s="213"/>
      <c r="D366" s="214" t="str">
        <f>IFERROR(VLOOKUP($C366,'PORTIFÓLIO'!C:V,2,0),"")</f>
        <v/>
      </c>
      <c r="E366" s="211" t="str">
        <f>IFERROR(VLOOKUP($C366,'PORTIFÓLIO'!C:V,3,0),"")</f>
        <v/>
      </c>
      <c r="F366" s="211" t="str">
        <f>IFERROR(VLOOKUP($C366,'PORTIFÓLIO'!C:V,4,0),"")</f>
        <v/>
      </c>
      <c r="G366" s="215" t="str">
        <f>IFERROR(VLOOKUP($C366,'PORTIFÓLIO'!C:V,5,0),"")</f>
        <v/>
      </c>
      <c r="H366" s="254" t="str">
        <f t="array" ref="H366">IFERROR(INDEX('PORTIFÓLIO'!$H$4:$H$433,MATCH($C366,'PORTIFÓLIO'!$C$4:$C$433,0)),"")</f>
        <v/>
      </c>
      <c r="I366" s="256"/>
      <c r="J366" s="218">
        <f t="shared" si="41"/>
        <v>0</v>
      </c>
      <c r="K366" s="292" t="str">
        <f t="array" ref="K366">IFERROR(I366*INDEX('PORTIFÓLIO'!$S$4:$S$433,MATCH($C366,'PORTIFÓLIO'!$C$4:$C$433,0)),"")</f>
        <v/>
      </c>
      <c r="L366" s="292" t="str">
        <f t="array" ref="L366">IFERROR(J366*INDEX('PORTIFÓLIO'!$S$4:$S$433,MATCH($C366,'PORTIFÓLIO'!$C$4:$C$433,0)),"")</f>
        <v/>
      </c>
      <c r="M366" s="220"/>
      <c r="N366" s="220"/>
      <c r="O366" s="220"/>
      <c r="P366" s="220"/>
      <c r="Q366" s="220"/>
      <c r="R366" s="220"/>
      <c r="S366" s="220"/>
      <c r="T366" s="220"/>
      <c r="U366" s="220"/>
      <c r="V366" s="220"/>
      <c r="W366" s="220"/>
    </row>
    <row r="367" ht="15.75" customHeight="1" outlineLevel="1">
      <c r="A367" s="211"/>
      <c r="B367" s="212"/>
      <c r="C367" s="213"/>
      <c r="D367" s="214" t="str">
        <f>IFERROR(VLOOKUP($C367,'PORTIFÓLIO'!C:V,2,0),"")</f>
        <v/>
      </c>
      <c r="E367" s="211" t="str">
        <f>IFERROR(VLOOKUP($C367,'PORTIFÓLIO'!C:V,3,0),"")</f>
        <v/>
      </c>
      <c r="F367" s="211" t="str">
        <f>IFERROR(VLOOKUP($C367,'PORTIFÓLIO'!C:V,4,0),"")</f>
        <v/>
      </c>
      <c r="G367" s="215" t="str">
        <f>IFERROR(VLOOKUP($C367,'PORTIFÓLIO'!C:V,5,0),"")</f>
        <v/>
      </c>
      <c r="H367" s="254" t="str">
        <f t="array" ref="H367">IFERROR(INDEX('PORTIFÓLIO'!$H$4:$H$433,MATCH($C367,'PORTIFÓLIO'!$C$4:$C$433,0)),"")</f>
        <v/>
      </c>
      <c r="I367" s="255"/>
      <c r="J367" s="218">
        <f t="shared" si="41"/>
        <v>0</v>
      </c>
      <c r="K367" s="292" t="str">
        <f t="array" ref="K367">IFERROR(I367*INDEX('PORTIFÓLIO'!$S$4:$S$433,MATCH($C367,'PORTIFÓLIO'!$C$4:$C$433,0)),"")</f>
        <v/>
      </c>
      <c r="L367" s="292" t="str">
        <f t="array" ref="L367">IFERROR(J367*INDEX('PORTIFÓLIO'!$S$4:$S$433,MATCH($C367,'PORTIFÓLIO'!$C$4:$C$433,0)),"")</f>
        <v/>
      </c>
      <c r="M367" s="220"/>
      <c r="N367" s="220"/>
      <c r="O367" s="220"/>
      <c r="P367" s="220"/>
      <c r="Q367" s="220"/>
      <c r="R367" s="220"/>
      <c r="S367" s="220"/>
      <c r="T367" s="220"/>
      <c r="U367" s="220"/>
      <c r="V367" s="220"/>
      <c r="W367" s="220"/>
    </row>
    <row r="368" ht="15.75" customHeight="1" outlineLevel="1">
      <c r="A368" s="211"/>
      <c r="B368" s="212"/>
      <c r="C368" s="213"/>
      <c r="D368" s="214" t="str">
        <f>IFERROR(VLOOKUP($C368,'PORTIFÓLIO'!C:V,2,0),"")</f>
        <v/>
      </c>
      <c r="E368" s="211" t="str">
        <f>IFERROR(VLOOKUP($C368,'PORTIFÓLIO'!C:V,3,0),"")</f>
        <v/>
      </c>
      <c r="F368" s="211" t="str">
        <f>IFERROR(VLOOKUP($C368,'PORTIFÓLIO'!C:V,4,0),"")</f>
        <v/>
      </c>
      <c r="G368" s="215" t="str">
        <f>IFERROR(VLOOKUP($C368,'PORTIFÓLIO'!C:V,5,0),"")</f>
        <v/>
      </c>
      <c r="H368" s="254" t="str">
        <f t="array" ref="H368">IFERROR(INDEX('PORTIFÓLIO'!$H$4:$H$433,MATCH($C368,'PORTIFÓLIO'!$C$4:$C$433,0)),"")</f>
        <v/>
      </c>
      <c r="I368" s="256"/>
      <c r="J368" s="218">
        <f t="shared" si="41"/>
        <v>0</v>
      </c>
      <c r="K368" s="292" t="str">
        <f t="array" ref="K368">IFERROR(I368*INDEX('PORTIFÓLIO'!$S$4:$S$433,MATCH($C368,'PORTIFÓLIO'!$C$4:$C$433,0)),"")</f>
        <v/>
      </c>
      <c r="L368" s="292" t="str">
        <f t="array" ref="L368">IFERROR(J368*INDEX('PORTIFÓLIO'!$S$4:$S$433,MATCH($C368,'PORTIFÓLIO'!$C$4:$C$433,0)),"")</f>
        <v/>
      </c>
      <c r="M368" s="220"/>
      <c r="N368" s="220"/>
      <c r="O368" s="220"/>
      <c r="P368" s="220"/>
      <c r="Q368" s="220"/>
      <c r="R368" s="220"/>
      <c r="S368" s="220"/>
      <c r="T368" s="220"/>
      <c r="U368" s="220"/>
      <c r="V368" s="220"/>
      <c r="W368" s="220"/>
    </row>
    <row r="369" ht="15.75" customHeight="1" outlineLevel="1">
      <c r="A369" s="211"/>
      <c r="B369" s="212"/>
      <c r="C369" s="213"/>
      <c r="D369" s="214" t="str">
        <f>IFERROR(VLOOKUP($C369,'PORTIFÓLIO'!C:V,2,0),"")</f>
        <v/>
      </c>
      <c r="E369" s="211" t="str">
        <f>IFERROR(VLOOKUP($C369,'PORTIFÓLIO'!C:V,3,0),"")</f>
        <v/>
      </c>
      <c r="F369" s="211" t="str">
        <f>IFERROR(VLOOKUP($C369,'PORTIFÓLIO'!C:V,4,0),"")</f>
        <v/>
      </c>
      <c r="G369" s="215" t="str">
        <f>IFERROR(VLOOKUP($C369,'PORTIFÓLIO'!C:V,5,0),"")</f>
        <v/>
      </c>
      <c r="H369" s="254" t="str">
        <f t="array" ref="H369">IFERROR(INDEX('PORTIFÓLIO'!$H$4:$H$433,MATCH($C369,'PORTIFÓLIO'!$C$4:$C$433,0)),"")</f>
        <v/>
      </c>
      <c r="I369" s="256"/>
      <c r="J369" s="218">
        <f t="shared" si="41"/>
        <v>0</v>
      </c>
      <c r="K369" s="292" t="str">
        <f t="array" ref="K369">IFERROR(I369*INDEX('PORTIFÓLIO'!$S$4:$S$433,MATCH($C369,'PORTIFÓLIO'!$C$4:$C$433,0)),"")</f>
        <v/>
      </c>
      <c r="L369" s="292" t="str">
        <f t="array" ref="L369">IFERROR(J369*INDEX('PORTIFÓLIO'!$S$4:$S$433,MATCH($C369,'PORTIFÓLIO'!$C$4:$C$433,0)),"")</f>
        <v/>
      </c>
      <c r="M369" s="220"/>
      <c r="N369" s="220"/>
      <c r="O369" s="220"/>
      <c r="P369" s="220"/>
      <c r="Q369" s="220"/>
      <c r="R369" s="220"/>
      <c r="S369" s="220"/>
      <c r="T369" s="220"/>
      <c r="U369" s="220"/>
      <c r="V369" s="220"/>
      <c r="W369" s="220"/>
    </row>
    <row r="370" ht="15.75" customHeight="1" outlineLevel="1">
      <c r="A370" s="211"/>
      <c r="B370" s="212"/>
      <c r="C370" s="213"/>
      <c r="D370" s="214" t="str">
        <f>IFERROR(VLOOKUP($C370,'PORTIFÓLIO'!C:V,2,0),"")</f>
        <v/>
      </c>
      <c r="E370" s="211" t="str">
        <f>IFERROR(VLOOKUP($C370,'PORTIFÓLIO'!C:V,3,0),"")</f>
        <v/>
      </c>
      <c r="F370" s="211" t="str">
        <f>IFERROR(VLOOKUP($C370,'PORTIFÓLIO'!C:V,4,0),"")</f>
        <v/>
      </c>
      <c r="G370" s="215" t="str">
        <f>IFERROR(VLOOKUP($C370,'PORTIFÓLIO'!C:V,5,0),"")</f>
        <v/>
      </c>
      <c r="H370" s="254" t="str">
        <f t="array" ref="H370">IFERROR(INDEX('PORTIFÓLIO'!$H$4:$H$433,MATCH($C370,'PORTIFÓLIO'!$C$4:$C$433,0)),"")</f>
        <v/>
      </c>
      <c r="I370" s="256"/>
      <c r="J370" s="218">
        <f t="shared" si="41"/>
        <v>0</v>
      </c>
      <c r="K370" s="292" t="str">
        <f t="array" ref="K370">IFERROR(I370*INDEX('PORTIFÓLIO'!$S$4:$S$433,MATCH($C370,'PORTIFÓLIO'!$C$4:$C$433,0)),"")</f>
        <v/>
      </c>
      <c r="L370" s="292" t="str">
        <f t="array" ref="L370">IFERROR(J370*INDEX('PORTIFÓLIO'!$S$4:$S$433,MATCH($C370,'PORTIFÓLIO'!$C$4:$C$433,0)),"")</f>
        <v/>
      </c>
      <c r="M370" s="220"/>
      <c r="N370" s="220"/>
      <c r="O370" s="220"/>
      <c r="P370" s="220"/>
      <c r="Q370" s="220"/>
      <c r="R370" s="220"/>
      <c r="S370" s="220"/>
      <c r="T370" s="220"/>
      <c r="U370" s="220"/>
      <c r="V370" s="220"/>
      <c r="W370" s="220"/>
    </row>
    <row r="371" ht="15.75" customHeight="1" outlineLevel="1">
      <c r="A371" s="211"/>
      <c r="B371" s="212"/>
      <c r="C371" s="213"/>
      <c r="D371" s="214" t="str">
        <f>IFERROR(VLOOKUP($C371,'PORTIFÓLIO'!C:V,2,0),"")</f>
        <v/>
      </c>
      <c r="E371" s="211" t="str">
        <f>IFERROR(VLOOKUP($C371,'PORTIFÓLIO'!C:V,3,0),"")</f>
        <v/>
      </c>
      <c r="F371" s="211" t="str">
        <f>IFERROR(VLOOKUP($C371,'PORTIFÓLIO'!C:V,4,0),"")</f>
        <v/>
      </c>
      <c r="G371" s="215" t="str">
        <f>IFERROR(VLOOKUP($C371,'PORTIFÓLIO'!C:V,5,0),"")</f>
        <v/>
      </c>
      <c r="H371" s="254" t="str">
        <f t="array" ref="H371">IFERROR(INDEX('PORTIFÓLIO'!$H$4:$H$433,MATCH($C371,'PORTIFÓLIO'!$C$4:$C$433,0)),"")</f>
        <v/>
      </c>
      <c r="I371" s="256"/>
      <c r="J371" s="218">
        <f t="shared" si="41"/>
        <v>0</v>
      </c>
      <c r="K371" s="292" t="str">
        <f t="array" ref="K371">IFERROR(I371*INDEX('PORTIFÓLIO'!$S$4:$S$433,MATCH($C371,'PORTIFÓLIO'!$C$4:$C$433,0)),"")</f>
        <v/>
      </c>
      <c r="L371" s="292" t="str">
        <f t="array" ref="L371">IFERROR(J371*INDEX('PORTIFÓLIO'!$S$4:$S$433,MATCH($C371,'PORTIFÓLIO'!$C$4:$C$433,0)),"")</f>
        <v/>
      </c>
      <c r="M371" s="220"/>
      <c r="N371" s="220"/>
      <c r="O371" s="220"/>
      <c r="P371" s="220"/>
      <c r="Q371" s="220"/>
      <c r="R371" s="220"/>
      <c r="S371" s="220"/>
      <c r="T371" s="220"/>
      <c r="U371" s="220"/>
      <c r="V371" s="220"/>
      <c r="W371" s="220"/>
    </row>
    <row r="372" ht="15.75" customHeight="1" outlineLevel="1">
      <c r="A372" s="211"/>
      <c r="B372" s="212"/>
      <c r="C372" s="213"/>
      <c r="D372" s="214" t="str">
        <f>IFERROR(VLOOKUP($C372,'PORTIFÓLIO'!C:V,2,0),"")</f>
        <v/>
      </c>
      <c r="E372" s="211" t="str">
        <f>IFERROR(VLOOKUP($C372,'PORTIFÓLIO'!C:V,3,0),"")</f>
        <v/>
      </c>
      <c r="F372" s="211" t="str">
        <f>IFERROR(VLOOKUP($C372,'PORTIFÓLIO'!C:V,4,0),"")</f>
        <v/>
      </c>
      <c r="G372" s="215" t="str">
        <f>IFERROR(VLOOKUP($C372,'PORTIFÓLIO'!C:V,5,0),"")</f>
        <v/>
      </c>
      <c r="H372" s="254" t="str">
        <f t="array" ref="H372">IFERROR(INDEX('PORTIFÓLIO'!$H$4:$H$433,MATCH($C372,'PORTIFÓLIO'!$C$4:$C$433,0)),"")</f>
        <v/>
      </c>
      <c r="I372" s="256"/>
      <c r="J372" s="218">
        <f t="shared" si="41"/>
        <v>0</v>
      </c>
      <c r="K372" s="292" t="str">
        <f t="array" ref="K372">IFERROR(I372*INDEX('PORTIFÓLIO'!$S$4:$S$433,MATCH($C372,'PORTIFÓLIO'!$C$4:$C$433,0)),"")</f>
        <v/>
      </c>
      <c r="L372" s="292" t="str">
        <f t="array" ref="L372">IFERROR(J372*INDEX('PORTIFÓLIO'!$S$4:$S$433,MATCH($C372,'PORTIFÓLIO'!$C$4:$C$433,0)),"")</f>
        <v/>
      </c>
      <c r="M372" s="220"/>
      <c r="N372" s="220"/>
      <c r="O372" s="220"/>
      <c r="P372" s="220"/>
      <c r="Q372" s="220"/>
      <c r="R372" s="220"/>
      <c r="S372" s="220"/>
      <c r="T372" s="220"/>
      <c r="U372" s="220"/>
      <c r="V372" s="220"/>
      <c r="W372" s="220"/>
    </row>
    <row r="373" ht="15.75" customHeight="1" outlineLevel="1">
      <c r="A373" s="211"/>
      <c r="B373" s="212"/>
      <c r="C373" s="213"/>
      <c r="D373" s="214" t="str">
        <f>IFERROR(VLOOKUP($C373,'PORTIFÓLIO'!C:V,2,0),"")</f>
        <v/>
      </c>
      <c r="E373" s="211" t="str">
        <f>IFERROR(VLOOKUP($C373,'PORTIFÓLIO'!C:V,3,0),"")</f>
        <v/>
      </c>
      <c r="F373" s="211" t="str">
        <f>IFERROR(VLOOKUP($C373,'PORTIFÓLIO'!C:V,4,0),"")</f>
        <v/>
      </c>
      <c r="G373" s="215" t="str">
        <f>IFERROR(VLOOKUP($C373,'PORTIFÓLIO'!C:V,5,0),"")</f>
        <v/>
      </c>
      <c r="H373" s="254" t="str">
        <f t="array" ref="H373">IFERROR(INDEX('PORTIFÓLIO'!$H$4:$H$433,MATCH($C373,'PORTIFÓLIO'!$C$4:$C$433,0)),"")</f>
        <v/>
      </c>
      <c r="I373" s="256"/>
      <c r="J373" s="218">
        <f t="shared" si="41"/>
        <v>0</v>
      </c>
      <c r="K373" s="292" t="str">
        <f t="array" ref="K373">IFERROR(I373*INDEX('PORTIFÓLIO'!$S$4:$S$433,MATCH($C373,'PORTIFÓLIO'!$C$4:$C$433,0)),"")</f>
        <v/>
      </c>
      <c r="L373" s="292" t="str">
        <f t="array" ref="L373">IFERROR(J373*INDEX('PORTIFÓLIO'!$S$4:$S$433,MATCH($C373,'PORTIFÓLIO'!$C$4:$C$433,0)),"")</f>
        <v/>
      </c>
      <c r="M373" s="220"/>
      <c r="N373" s="220"/>
      <c r="O373" s="220"/>
      <c r="P373" s="220"/>
      <c r="Q373" s="220"/>
      <c r="R373" s="220"/>
      <c r="S373" s="220"/>
      <c r="T373" s="220"/>
      <c r="U373" s="220"/>
      <c r="V373" s="220"/>
      <c r="W373" s="220"/>
    </row>
    <row r="374" ht="15.75" customHeight="1" outlineLevel="1">
      <c r="A374" s="211"/>
      <c r="B374" s="227"/>
      <c r="C374" s="211"/>
      <c r="D374" s="214" t="str">
        <f>IFERROR(VLOOKUP($C374,'PORTIFÓLIO'!C:V,2,0),"")</f>
        <v/>
      </c>
      <c r="E374" s="211" t="str">
        <f>IFERROR(VLOOKUP($C374,'PORTIFÓLIO'!C:V,3,0),"")</f>
        <v/>
      </c>
      <c r="F374" s="211" t="str">
        <f>IFERROR(VLOOKUP($C374,'PORTIFÓLIO'!C:V,4,0),"")</f>
        <v/>
      </c>
      <c r="G374" s="215" t="str">
        <f>IFERROR(VLOOKUP($C374,'PORTIFÓLIO'!C:V,5,0),"")</f>
        <v/>
      </c>
      <c r="H374" s="254" t="str">
        <f t="array" ref="H374">IFERROR(INDEX('PORTIFÓLIO'!$H$4:$H$433,MATCH($C374,'PORTIFÓLIO'!$C$4:$C$433,0)),"")</f>
        <v/>
      </c>
      <c r="I374" s="256"/>
      <c r="J374" s="218"/>
      <c r="K374" s="292" t="str">
        <f t="array" ref="K374">IFERROR(I374*INDEX('PORTIFÓLIO'!$S$4:$S$433,MATCH($C374,'PORTIFÓLIO'!$C$4:$C$433,0)),"")</f>
        <v/>
      </c>
      <c r="L374" s="292" t="str">
        <f t="array" ref="L374">IFERROR(J374*INDEX('PORTIFÓLIO'!$S$4:$S$433,MATCH($C374,'PORTIFÓLIO'!$C$4:$C$433,0)),"")</f>
        <v/>
      </c>
      <c r="M374" s="220"/>
      <c r="N374" s="220"/>
      <c r="O374" s="220"/>
      <c r="P374" s="220"/>
      <c r="Q374" s="220"/>
      <c r="R374" s="220"/>
      <c r="S374" s="220"/>
      <c r="T374" s="220"/>
      <c r="U374" s="220"/>
      <c r="V374" s="220"/>
      <c r="W374" s="220"/>
    </row>
    <row r="375" ht="15.75" customHeight="1">
      <c r="A375" s="229" t="s">
        <v>1192</v>
      </c>
      <c r="B375" s="230"/>
      <c r="C375" s="231"/>
      <c r="D375" s="232"/>
      <c r="E375" s="231"/>
      <c r="F375" s="231"/>
      <c r="G375" s="233"/>
      <c r="H375" s="233"/>
      <c r="I375" s="258"/>
      <c r="J375" s="236"/>
      <c r="K375" s="237">
        <f t="shared" ref="K375:L375" si="42">SUBTOTAL(9,K376:K389)</f>
        <v>0</v>
      </c>
      <c r="L375" s="237">
        <f t="shared" si="42"/>
        <v>0</v>
      </c>
      <c r="M375" s="220"/>
      <c r="N375" s="220"/>
      <c r="O375" s="220"/>
      <c r="P375" s="220"/>
      <c r="Q375" s="220"/>
      <c r="R375" s="220"/>
      <c r="S375" s="220"/>
      <c r="T375" s="220"/>
      <c r="U375" s="220"/>
      <c r="V375" s="220"/>
      <c r="W375" s="220"/>
    </row>
    <row r="376" ht="15.75" customHeight="1" outlineLevel="1">
      <c r="A376" s="213"/>
      <c r="B376" s="212"/>
      <c r="C376" s="213"/>
      <c r="D376" s="214" t="str">
        <f>IFERROR(VLOOKUP($C376,'PORTIFÓLIO'!C:V,2,0),"")</f>
        <v/>
      </c>
      <c r="E376" s="211" t="str">
        <f>IFERROR(VLOOKUP($C376,'PORTIFÓLIO'!C:V,3,0),"")</f>
        <v/>
      </c>
      <c r="F376" s="211" t="str">
        <f>IFERROR(VLOOKUP($C376,'PORTIFÓLIO'!C:V,4,0),"")</f>
        <v/>
      </c>
      <c r="G376" s="215" t="str">
        <f>IFERROR(VLOOKUP($C376,'PORTIFÓLIO'!C:V,5,0),"")</f>
        <v/>
      </c>
      <c r="H376" s="254" t="str">
        <f t="array" ref="H376">IFERROR(INDEX('PORTIFÓLIO'!$H$4:$H$433,MATCH($C376,'PORTIFÓLIO'!$C$4:$C$433,0)),"")</f>
        <v/>
      </c>
      <c r="I376" s="255"/>
      <c r="J376" s="218">
        <f t="shared" ref="J376:J390" si="43">I376*$B$2</f>
        <v>0</v>
      </c>
      <c r="K376" s="292" t="str">
        <f t="array" ref="K376">IFERROR(I376*INDEX('PORTIFÓLIO'!$S$4:$S$433,MATCH($C376,'PORTIFÓLIO'!$C$4:$C$433,0)),"")</f>
        <v/>
      </c>
      <c r="L376" s="292" t="str">
        <f t="array" ref="L376">IFERROR(J376*INDEX('PORTIFÓLIO'!$S$4:$S$433,MATCH($C376,'PORTIFÓLIO'!$C$4:$C$433,0)),"")</f>
        <v/>
      </c>
      <c r="M376" s="220"/>
      <c r="N376" s="220"/>
      <c r="O376" s="220"/>
      <c r="P376" s="220"/>
      <c r="Q376" s="220"/>
      <c r="R376" s="220"/>
      <c r="S376" s="220"/>
      <c r="T376" s="220"/>
      <c r="U376" s="220"/>
      <c r="V376" s="220"/>
      <c r="W376" s="220"/>
    </row>
    <row r="377" ht="15.75" customHeight="1" outlineLevel="1">
      <c r="A377" s="211"/>
      <c r="B377" s="212"/>
      <c r="C377" s="213"/>
      <c r="D377" s="214" t="str">
        <f>IFERROR(VLOOKUP($C377,'PORTIFÓLIO'!C:V,2,0),"")</f>
        <v/>
      </c>
      <c r="E377" s="211" t="str">
        <f>IFERROR(VLOOKUP($C377,'PORTIFÓLIO'!C:V,3,0),"")</f>
        <v/>
      </c>
      <c r="F377" s="211" t="str">
        <f>IFERROR(VLOOKUP($C377,'PORTIFÓLIO'!C:V,4,0),"")</f>
        <v/>
      </c>
      <c r="G377" s="215" t="str">
        <f>IFERROR(VLOOKUP($C377,'PORTIFÓLIO'!C:V,5,0),"")</f>
        <v/>
      </c>
      <c r="H377" s="254" t="str">
        <f t="array" ref="H377">IFERROR(INDEX('PORTIFÓLIO'!$H$4:$H$433,MATCH($C377,'PORTIFÓLIO'!$C$4:$C$433,0)),"")</f>
        <v/>
      </c>
      <c r="I377" s="256"/>
      <c r="J377" s="218">
        <f t="shared" si="43"/>
        <v>0</v>
      </c>
      <c r="K377" s="292" t="str">
        <f t="array" ref="K377">IFERROR(I377*INDEX('PORTIFÓLIO'!$S$4:$S$433,MATCH($C377,'PORTIFÓLIO'!$C$4:$C$433,0)),"")</f>
        <v/>
      </c>
      <c r="L377" s="292" t="str">
        <f t="array" ref="L377">IFERROR(J377*INDEX('PORTIFÓLIO'!$S$4:$S$433,MATCH($C377,'PORTIFÓLIO'!$C$4:$C$433,0)),"")</f>
        <v/>
      </c>
      <c r="M377" s="220"/>
      <c r="N377" s="220"/>
      <c r="O377" s="220"/>
      <c r="P377" s="220"/>
      <c r="Q377" s="220"/>
      <c r="R377" s="220"/>
      <c r="S377" s="220"/>
      <c r="T377" s="220"/>
      <c r="U377" s="220"/>
      <c r="V377" s="220"/>
      <c r="W377" s="220"/>
    </row>
    <row r="378" ht="15.75" customHeight="1" outlineLevel="1">
      <c r="A378" s="211"/>
      <c r="B378" s="212"/>
      <c r="C378" s="213"/>
      <c r="D378" s="214" t="str">
        <f>IFERROR(VLOOKUP($C378,'PORTIFÓLIO'!C:V,2,0),"")</f>
        <v/>
      </c>
      <c r="E378" s="211" t="str">
        <f>IFERROR(VLOOKUP($C378,'PORTIFÓLIO'!C:V,3,0),"")</f>
        <v/>
      </c>
      <c r="F378" s="211" t="str">
        <f>IFERROR(VLOOKUP($C378,'PORTIFÓLIO'!C:V,4,0),"")</f>
        <v/>
      </c>
      <c r="G378" s="215" t="str">
        <f>IFERROR(VLOOKUP($C378,'PORTIFÓLIO'!C:V,5,0),"")</f>
        <v/>
      </c>
      <c r="H378" s="254" t="str">
        <f t="array" ref="H378">IFERROR(INDEX('PORTIFÓLIO'!$H$4:$H$433,MATCH($C378,'PORTIFÓLIO'!$C$4:$C$433,0)),"")</f>
        <v/>
      </c>
      <c r="I378" s="256"/>
      <c r="J378" s="218">
        <f t="shared" si="43"/>
        <v>0</v>
      </c>
      <c r="K378" s="292" t="str">
        <f t="array" ref="K378">IFERROR(I378*INDEX('PORTIFÓLIO'!$S$4:$S$433,MATCH($C378,'PORTIFÓLIO'!$C$4:$C$433,0)),"")</f>
        <v/>
      </c>
      <c r="L378" s="292" t="str">
        <f t="array" ref="L378">IFERROR(J378*INDEX('PORTIFÓLIO'!$S$4:$S$433,MATCH($C378,'PORTIFÓLIO'!$C$4:$C$433,0)),"")</f>
        <v/>
      </c>
      <c r="M378" s="220"/>
      <c r="N378" s="220"/>
      <c r="O378" s="220"/>
      <c r="P378" s="220"/>
      <c r="Q378" s="220"/>
      <c r="R378" s="220"/>
      <c r="S378" s="220"/>
      <c r="T378" s="220"/>
      <c r="U378" s="220"/>
      <c r="V378" s="220"/>
      <c r="W378" s="220"/>
    </row>
    <row r="379" ht="15.75" customHeight="1" outlineLevel="1">
      <c r="A379" s="211"/>
      <c r="B379" s="212"/>
      <c r="C379" s="213"/>
      <c r="D379" s="214" t="str">
        <f>IFERROR(VLOOKUP($C379,'PORTIFÓLIO'!C:V,2,0),"")</f>
        <v/>
      </c>
      <c r="E379" s="211" t="str">
        <f>IFERROR(VLOOKUP($C379,'PORTIFÓLIO'!C:V,3,0),"")</f>
        <v/>
      </c>
      <c r="F379" s="211" t="str">
        <f>IFERROR(VLOOKUP($C379,'PORTIFÓLIO'!C:V,4,0),"")</f>
        <v/>
      </c>
      <c r="G379" s="215" t="str">
        <f>IFERROR(VLOOKUP($C379,'PORTIFÓLIO'!C:V,5,0),"")</f>
        <v/>
      </c>
      <c r="H379" s="254" t="str">
        <f t="array" ref="H379">IFERROR(INDEX('PORTIFÓLIO'!$H$4:$H$433,MATCH($C379,'PORTIFÓLIO'!$C$4:$C$433,0)),"")</f>
        <v/>
      </c>
      <c r="I379" s="256"/>
      <c r="J379" s="218">
        <f t="shared" si="43"/>
        <v>0</v>
      </c>
      <c r="K379" s="292" t="str">
        <f t="array" ref="K379">IFERROR(I379*INDEX('PORTIFÓLIO'!$S$4:$S$433,MATCH($C379,'PORTIFÓLIO'!$C$4:$C$433,0)),"")</f>
        <v/>
      </c>
      <c r="L379" s="292" t="str">
        <f t="array" ref="L379">IFERROR(J379*INDEX('PORTIFÓLIO'!$S$4:$S$433,MATCH($C379,'PORTIFÓLIO'!$C$4:$C$433,0)),"")</f>
        <v/>
      </c>
      <c r="M379" s="220"/>
      <c r="N379" s="220"/>
      <c r="O379" s="220"/>
      <c r="P379" s="220"/>
      <c r="Q379" s="220"/>
      <c r="R379" s="220"/>
      <c r="S379" s="220"/>
      <c r="T379" s="220"/>
      <c r="U379" s="220"/>
      <c r="V379" s="220"/>
      <c r="W379" s="220"/>
    </row>
    <row r="380" ht="15.75" customHeight="1" outlineLevel="1">
      <c r="A380" s="211"/>
      <c r="B380" s="212"/>
      <c r="C380" s="213"/>
      <c r="D380" s="214" t="str">
        <f>IFERROR(VLOOKUP($C380,'PORTIFÓLIO'!C:V,2,0),"")</f>
        <v/>
      </c>
      <c r="E380" s="211" t="str">
        <f>IFERROR(VLOOKUP($C380,'PORTIFÓLIO'!C:V,3,0),"")</f>
        <v/>
      </c>
      <c r="F380" s="211" t="str">
        <f>IFERROR(VLOOKUP($C380,'PORTIFÓLIO'!C:V,4,0),"")</f>
        <v/>
      </c>
      <c r="G380" s="215" t="str">
        <f>IFERROR(VLOOKUP($C380,'PORTIFÓLIO'!C:V,5,0),"")</f>
        <v/>
      </c>
      <c r="H380" s="254" t="str">
        <f t="array" ref="H380">IFERROR(INDEX('PORTIFÓLIO'!$H$4:$H$433,MATCH($C380,'PORTIFÓLIO'!$C$4:$C$433,0)),"")</f>
        <v/>
      </c>
      <c r="I380" s="256"/>
      <c r="J380" s="218">
        <f t="shared" si="43"/>
        <v>0</v>
      </c>
      <c r="K380" s="292" t="str">
        <f t="array" ref="K380">IFERROR(I380*INDEX('PORTIFÓLIO'!$S$4:$S$433,MATCH($C380,'PORTIFÓLIO'!$C$4:$C$433,0)),"")</f>
        <v/>
      </c>
      <c r="L380" s="292" t="str">
        <f t="array" ref="L380">IFERROR(J380*INDEX('PORTIFÓLIO'!$S$4:$S$433,MATCH($C380,'PORTIFÓLIO'!$C$4:$C$433,0)),"")</f>
        <v/>
      </c>
      <c r="M380" s="220"/>
      <c r="N380" s="220"/>
      <c r="O380" s="220"/>
      <c r="P380" s="220"/>
      <c r="Q380" s="220"/>
      <c r="R380" s="220"/>
      <c r="S380" s="220"/>
      <c r="T380" s="220"/>
      <c r="U380" s="220"/>
      <c r="V380" s="220"/>
      <c r="W380" s="220"/>
    </row>
    <row r="381" ht="15.75" customHeight="1" outlineLevel="1">
      <c r="A381" s="211"/>
      <c r="B381" s="212"/>
      <c r="C381" s="213"/>
      <c r="D381" s="214" t="str">
        <f>IFERROR(VLOOKUP($C381,'PORTIFÓLIO'!C:V,2,0),"")</f>
        <v/>
      </c>
      <c r="E381" s="211" t="str">
        <f>IFERROR(VLOOKUP($C381,'PORTIFÓLIO'!C:V,3,0),"")</f>
        <v/>
      </c>
      <c r="F381" s="211" t="str">
        <f>IFERROR(VLOOKUP($C381,'PORTIFÓLIO'!C:V,4,0),"")</f>
        <v/>
      </c>
      <c r="G381" s="215" t="str">
        <f>IFERROR(VLOOKUP($C381,'PORTIFÓLIO'!C:V,5,0),"")</f>
        <v/>
      </c>
      <c r="H381" s="254" t="str">
        <f t="array" ref="H381">IFERROR(INDEX('PORTIFÓLIO'!$H$4:$H$433,MATCH($C381,'PORTIFÓLIO'!$C$4:$C$433,0)),"")</f>
        <v/>
      </c>
      <c r="I381" s="256"/>
      <c r="J381" s="218">
        <f t="shared" si="43"/>
        <v>0</v>
      </c>
      <c r="K381" s="292" t="str">
        <f t="array" ref="K381">IFERROR(I381*INDEX('PORTIFÓLIO'!$S$4:$S$433,MATCH($C381,'PORTIFÓLIO'!$C$4:$C$433,0)),"")</f>
        <v/>
      </c>
      <c r="L381" s="292" t="str">
        <f t="array" ref="L381">IFERROR(J381*INDEX('PORTIFÓLIO'!$S$4:$S$433,MATCH($C381,'PORTIFÓLIO'!$C$4:$C$433,0)),"")</f>
        <v/>
      </c>
      <c r="M381" s="220"/>
      <c r="N381" s="220"/>
      <c r="O381" s="220"/>
      <c r="P381" s="220"/>
      <c r="Q381" s="220"/>
      <c r="R381" s="220"/>
      <c r="S381" s="220"/>
      <c r="T381" s="220"/>
      <c r="U381" s="220"/>
      <c r="V381" s="220"/>
      <c r="W381" s="220"/>
    </row>
    <row r="382" ht="15.75" customHeight="1" outlineLevel="1">
      <c r="A382" s="211"/>
      <c r="B382" s="212"/>
      <c r="C382" s="213"/>
      <c r="D382" s="214" t="str">
        <f>IFERROR(VLOOKUP($C382,'PORTIFÓLIO'!C:V,2,0),"")</f>
        <v/>
      </c>
      <c r="E382" s="211" t="str">
        <f>IFERROR(VLOOKUP($C382,'PORTIFÓLIO'!C:V,3,0),"")</f>
        <v/>
      </c>
      <c r="F382" s="211" t="str">
        <f>IFERROR(VLOOKUP($C382,'PORTIFÓLIO'!C:V,4,0),"")</f>
        <v/>
      </c>
      <c r="G382" s="215" t="str">
        <f>IFERROR(VLOOKUP($C382,'PORTIFÓLIO'!C:V,5,0),"")</f>
        <v/>
      </c>
      <c r="H382" s="254" t="str">
        <f t="array" ref="H382">IFERROR(INDEX('PORTIFÓLIO'!$H$4:$H$433,MATCH($C382,'PORTIFÓLIO'!$C$4:$C$433,0)),"")</f>
        <v/>
      </c>
      <c r="I382" s="256"/>
      <c r="J382" s="218">
        <f t="shared" si="43"/>
        <v>0</v>
      </c>
      <c r="K382" s="292" t="str">
        <f t="array" ref="K382">IFERROR(I382*INDEX('PORTIFÓLIO'!$S$4:$S$433,MATCH($C382,'PORTIFÓLIO'!$C$4:$C$433,0)),"")</f>
        <v/>
      </c>
      <c r="L382" s="292" t="str">
        <f t="array" ref="L382">IFERROR(J382*INDEX('PORTIFÓLIO'!$S$4:$S$433,MATCH($C382,'PORTIFÓLIO'!$C$4:$C$433,0)),"")</f>
        <v/>
      </c>
      <c r="M382" s="220"/>
      <c r="N382" s="220"/>
      <c r="O382" s="220"/>
      <c r="P382" s="220"/>
      <c r="Q382" s="220"/>
      <c r="R382" s="220"/>
      <c r="S382" s="220"/>
      <c r="T382" s="220"/>
      <c r="U382" s="220"/>
      <c r="V382" s="220"/>
      <c r="W382" s="220"/>
    </row>
    <row r="383" ht="15.75" customHeight="1" outlineLevel="1">
      <c r="A383" s="211"/>
      <c r="B383" s="212"/>
      <c r="C383" s="213"/>
      <c r="D383" s="214" t="str">
        <f>IFERROR(VLOOKUP($C383,'PORTIFÓLIO'!C:V,2,0),"")</f>
        <v/>
      </c>
      <c r="E383" s="211" t="str">
        <f>IFERROR(VLOOKUP($C383,'PORTIFÓLIO'!C:V,3,0),"")</f>
        <v/>
      </c>
      <c r="F383" s="211" t="str">
        <f>IFERROR(VLOOKUP($C383,'PORTIFÓLIO'!C:V,4,0),"")</f>
        <v/>
      </c>
      <c r="G383" s="215" t="str">
        <f>IFERROR(VLOOKUP($C383,'PORTIFÓLIO'!C:V,5,0),"")</f>
        <v/>
      </c>
      <c r="H383" s="254" t="str">
        <f t="array" ref="H383">IFERROR(INDEX('PORTIFÓLIO'!$H$4:$H$433,MATCH($C383,'PORTIFÓLIO'!$C$4:$C$433,0)),"")</f>
        <v/>
      </c>
      <c r="I383" s="256"/>
      <c r="J383" s="218">
        <f t="shared" si="43"/>
        <v>0</v>
      </c>
      <c r="K383" s="292" t="str">
        <f t="array" ref="K383">IFERROR(I383*INDEX('PORTIFÓLIO'!$S$4:$S$433,MATCH($C383,'PORTIFÓLIO'!$C$4:$C$433,0)),"")</f>
        <v/>
      </c>
      <c r="L383" s="292" t="str">
        <f t="array" ref="L383">IFERROR(J383*INDEX('PORTIFÓLIO'!$S$4:$S$433,MATCH($C383,'PORTIFÓLIO'!$C$4:$C$433,0)),"")</f>
        <v/>
      </c>
      <c r="M383" s="220"/>
      <c r="N383" s="220"/>
      <c r="O383" s="220"/>
      <c r="P383" s="220"/>
      <c r="Q383" s="220"/>
      <c r="R383" s="220"/>
      <c r="S383" s="220"/>
      <c r="T383" s="220"/>
      <c r="U383" s="220"/>
      <c r="V383" s="220"/>
      <c r="W383" s="220"/>
    </row>
    <row r="384" ht="15.75" customHeight="1" outlineLevel="1">
      <c r="A384" s="211"/>
      <c r="B384" s="212"/>
      <c r="C384" s="213"/>
      <c r="D384" s="214" t="str">
        <f>IFERROR(VLOOKUP($C384,'PORTIFÓLIO'!C:V,2,0),"")</f>
        <v/>
      </c>
      <c r="E384" s="211" t="str">
        <f>IFERROR(VLOOKUP($C384,'PORTIFÓLIO'!C:V,3,0),"")</f>
        <v/>
      </c>
      <c r="F384" s="211" t="str">
        <f>IFERROR(VLOOKUP($C384,'PORTIFÓLIO'!C:V,4,0),"")</f>
        <v/>
      </c>
      <c r="G384" s="215" t="str">
        <f>IFERROR(VLOOKUP($C384,'PORTIFÓLIO'!C:V,5,0),"")</f>
        <v/>
      </c>
      <c r="H384" s="254" t="str">
        <f t="array" ref="H384">IFERROR(INDEX('PORTIFÓLIO'!$H$4:$H$433,MATCH($C384,'PORTIFÓLIO'!$C$4:$C$433,0)),"")</f>
        <v/>
      </c>
      <c r="I384" s="255"/>
      <c r="J384" s="218">
        <f t="shared" si="43"/>
        <v>0</v>
      </c>
      <c r="K384" s="292" t="str">
        <f t="array" ref="K384">IFERROR(I384*INDEX('PORTIFÓLIO'!$S$4:$S$433,MATCH($C384,'PORTIFÓLIO'!$C$4:$C$433,0)),"")</f>
        <v/>
      </c>
      <c r="L384" s="292" t="str">
        <f t="array" ref="L384">IFERROR(J384*INDEX('PORTIFÓLIO'!$S$4:$S$433,MATCH($C384,'PORTIFÓLIO'!$C$4:$C$433,0)),"")</f>
        <v/>
      </c>
      <c r="M384" s="220"/>
      <c r="N384" s="220"/>
      <c r="O384" s="220"/>
      <c r="P384" s="220"/>
      <c r="Q384" s="220"/>
      <c r="R384" s="220"/>
      <c r="S384" s="220"/>
      <c r="T384" s="220"/>
      <c r="U384" s="220"/>
      <c r="V384" s="220"/>
      <c r="W384" s="220"/>
    </row>
    <row r="385" ht="15.75" customHeight="1" outlineLevel="1">
      <c r="A385" s="211"/>
      <c r="B385" s="212"/>
      <c r="C385" s="213"/>
      <c r="D385" s="214" t="str">
        <f>IFERROR(VLOOKUP($C385,'PORTIFÓLIO'!C:V,2,0),"")</f>
        <v/>
      </c>
      <c r="E385" s="211" t="str">
        <f>IFERROR(VLOOKUP($C385,'PORTIFÓLIO'!C:V,3,0),"")</f>
        <v/>
      </c>
      <c r="F385" s="211" t="str">
        <f>IFERROR(VLOOKUP($C385,'PORTIFÓLIO'!C:V,4,0),"")</f>
        <v/>
      </c>
      <c r="G385" s="215" t="str">
        <f>IFERROR(VLOOKUP($C385,'PORTIFÓLIO'!C:V,5,0),"")</f>
        <v/>
      </c>
      <c r="H385" s="254" t="str">
        <f t="array" ref="H385">IFERROR(INDEX('PORTIFÓLIO'!$H$4:$H$433,MATCH($C385,'PORTIFÓLIO'!$C$4:$C$433,0)),"")</f>
        <v/>
      </c>
      <c r="I385" s="256"/>
      <c r="J385" s="218">
        <f t="shared" si="43"/>
        <v>0</v>
      </c>
      <c r="K385" s="292" t="str">
        <f t="array" ref="K385">IFERROR(I385*INDEX('PORTIFÓLIO'!$S$4:$S$433,MATCH($C385,'PORTIFÓLIO'!$C$4:$C$433,0)),"")</f>
        <v/>
      </c>
      <c r="L385" s="292" t="str">
        <f t="array" ref="L385">IFERROR(J385*INDEX('PORTIFÓLIO'!$S$4:$S$433,MATCH($C385,'PORTIFÓLIO'!$C$4:$C$433,0)),"")</f>
        <v/>
      </c>
      <c r="M385" s="220"/>
      <c r="N385" s="220"/>
      <c r="O385" s="220"/>
      <c r="P385" s="220"/>
      <c r="Q385" s="220"/>
      <c r="R385" s="220"/>
      <c r="S385" s="220"/>
      <c r="T385" s="220"/>
      <c r="U385" s="220"/>
      <c r="V385" s="220"/>
      <c r="W385" s="220"/>
    </row>
    <row r="386" ht="15.75" customHeight="1" outlineLevel="1">
      <c r="A386" s="211"/>
      <c r="B386" s="212"/>
      <c r="C386" s="213"/>
      <c r="D386" s="214" t="str">
        <f>IFERROR(VLOOKUP($C386,'PORTIFÓLIO'!C:V,2,0),"")</f>
        <v/>
      </c>
      <c r="E386" s="211" t="str">
        <f>IFERROR(VLOOKUP($C386,'PORTIFÓLIO'!C:V,3,0),"")</f>
        <v/>
      </c>
      <c r="F386" s="211" t="str">
        <f>IFERROR(VLOOKUP($C386,'PORTIFÓLIO'!C:V,4,0),"")</f>
        <v/>
      </c>
      <c r="G386" s="215" t="str">
        <f>IFERROR(VLOOKUP($C386,'PORTIFÓLIO'!C:V,5,0),"")</f>
        <v/>
      </c>
      <c r="H386" s="254" t="str">
        <f t="array" ref="H386">IFERROR(INDEX('PORTIFÓLIO'!$H$4:$H$433,MATCH($C386,'PORTIFÓLIO'!$C$4:$C$433,0)),"")</f>
        <v/>
      </c>
      <c r="I386" s="256"/>
      <c r="J386" s="218">
        <f t="shared" si="43"/>
        <v>0</v>
      </c>
      <c r="K386" s="292" t="str">
        <f t="array" ref="K386">IFERROR(I386*INDEX('PORTIFÓLIO'!$S$4:$S$433,MATCH($C386,'PORTIFÓLIO'!$C$4:$C$433,0)),"")</f>
        <v/>
      </c>
      <c r="L386" s="292" t="str">
        <f t="array" ref="L386">IFERROR(J386*INDEX('PORTIFÓLIO'!$S$4:$S$433,MATCH($C386,'PORTIFÓLIO'!$C$4:$C$433,0)),"")</f>
        <v/>
      </c>
      <c r="M386" s="220"/>
      <c r="N386" s="220"/>
      <c r="O386" s="220"/>
      <c r="P386" s="220"/>
      <c r="Q386" s="220"/>
      <c r="R386" s="220"/>
      <c r="S386" s="220"/>
      <c r="T386" s="220"/>
      <c r="U386" s="220"/>
      <c r="V386" s="220"/>
      <c r="W386" s="220"/>
    </row>
    <row r="387" ht="15.75" customHeight="1" outlineLevel="1">
      <c r="A387" s="211"/>
      <c r="B387" s="212"/>
      <c r="C387" s="213"/>
      <c r="D387" s="214" t="str">
        <f>IFERROR(VLOOKUP($C387,'PORTIFÓLIO'!C:V,2,0),"")</f>
        <v/>
      </c>
      <c r="E387" s="211" t="str">
        <f>IFERROR(VLOOKUP($C387,'PORTIFÓLIO'!C:V,3,0),"")</f>
        <v/>
      </c>
      <c r="F387" s="211" t="str">
        <f>IFERROR(VLOOKUP($C387,'PORTIFÓLIO'!C:V,4,0),"")</f>
        <v/>
      </c>
      <c r="G387" s="215" t="str">
        <f>IFERROR(VLOOKUP($C387,'PORTIFÓLIO'!C:V,5,0),"")</f>
        <v/>
      </c>
      <c r="H387" s="254" t="str">
        <f t="array" ref="H387">IFERROR(INDEX('PORTIFÓLIO'!$H$4:$H$433,MATCH($C387,'PORTIFÓLIO'!$C$4:$C$433,0)),"")</f>
        <v/>
      </c>
      <c r="I387" s="256"/>
      <c r="J387" s="218">
        <f t="shared" si="43"/>
        <v>0</v>
      </c>
      <c r="K387" s="292" t="str">
        <f t="array" ref="K387">IFERROR(I387*INDEX('PORTIFÓLIO'!$S$4:$S$433,MATCH($C387,'PORTIFÓLIO'!$C$4:$C$433,0)),"")</f>
        <v/>
      </c>
      <c r="L387" s="292" t="str">
        <f t="array" ref="L387">IFERROR(J387*INDEX('PORTIFÓLIO'!$S$4:$S$433,MATCH($C387,'PORTIFÓLIO'!$C$4:$C$433,0)),"")</f>
        <v/>
      </c>
      <c r="M387" s="220"/>
      <c r="N387" s="220"/>
      <c r="O387" s="220"/>
      <c r="P387" s="220"/>
      <c r="Q387" s="220"/>
      <c r="R387" s="220"/>
      <c r="S387" s="220"/>
      <c r="T387" s="220"/>
      <c r="U387" s="220"/>
      <c r="V387" s="220"/>
      <c r="W387" s="220"/>
    </row>
    <row r="388" ht="15.75" customHeight="1" outlineLevel="1">
      <c r="A388" s="211"/>
      <c r="B388" s="212"/>
      <c r="C388" s="213"/>
      <c r="D388" s="214" t="str">
        <f>IFERROR(VLOOKUP($C388,'PORTIFÓLIO'!C:V,2,0),"")</f>
        <v/>
      </c>
      <c r="E388" s="211" t="str">
        <f>IFERROR(VLOOKUP($C388,'PORTIFÓLIO'!C:V,3,0),"")</f>
        <v/>
      </c>
      <c r="F388" s="211" t="str">
        <f>IFERROR(VLOOKUP($C388,'PORTIFÓLIO'!C:V,4,0),"")</f>
        <v/>
      </c>
      <c r="G388" s="215" t="str">
        <f>IFERROR(VLOOKUP($C388,'PORTIFÓLIO'!C:V,5,0),"")</f>
        <v/>
      </c>
      <c r="H388" s="254" t="str">
        <f t="array" ref="H388">IFERROR(INDEX('PORTIFÓLIO'!$H$4:$H$433,MATCH($C388,'PORTIFÓLIO'!$C$4:$C$433,0)),"")</f>
        <v/>
      </c>
      <c r="I388" s="256"/>
      <c r="J388" s="218">
        <f t="shared" si="43"/>
        <v>0</v>
      </c>
      <c r="K388" s="292" t="str">
        <f t="array" ref="K388">IFERROR(I388*INDEX('PORTIFÓLIO'!$S$4:$S$433,MATCH($C388,'PORTIFÓLIO'!$C$4:$C$433,0)),"")</f>
        <v/>
      </c>
      <c r="L388" s="292" t="str">
        <f t="array" ref="L388">IFERROR(J388*INDEX('PORTIFÓLIO'!$S$4:$S$433,MATCH($C388,'PORTIFÓLIO'!$C$4:$C$433,0)),"")</f>
        <v/>
      </c>
      <c r="M388" s="220"/>
      <c r="N388" s="220"/>
      <c r="O388" s="220"/>
      <c r="P388" s="220"/>
      <c r="Q388" s="220"/>
      <c r="R388" s="220"/>
      <c r="S388" s="220"/>
      <c r="T388" s="220"/>
      <c r="U388" s="220"/>
      <c r="V388" s="220"/>
      <c r="W388" s="220"/>
    </row>
    <row r="389" ht="15.75" customHeight="1" outlineLevel="1">
      <c r="A389" s="211"/>
      <c r="B389" s="212"/>
      <c r="C389" s="213"/>
      <c r="D389" s="214" t="str">
        <f>IFERROR(VLOOKUP($C389,'PORTIFÓLIO'!C:V,2,0),"")</f>
        <v/>
      </c>
      <c r="E389" s="211" t="str">
        <f>IFERROR(VLOOKUP($C389,'PORTIFÓLIO'!C:V,3,0),"")</f>
        <v/>
      </c>
      <c r="F389" s="211" t="str">
        <f>IFERROR(VLOOKUP($C389,'PORTIFÓLIO'!C:V,4,0),"")</f>
        <v/>
      </c>
      <c r="G389" s="215" t="str">
        <f>IFERROR(VLOOKUP($C389,'PORTIFÓLIO'!C:V,5,0),"")</f>
        <v/>
      </c>
      <c r="H389" s="254" t="str">
        <f t="array" ref="H389">IFERROR(INDEX('PORTIFÓLIO'!$H$4:$H$433,MATCH($C389,'PORTIFÓLIO'!$C$4:$C$433,0)),"")</f>
        <v/>
      </c>
      <c r="I389" s="256"/>
      <c r="J389" s="218">
        <f t="shared" si="43"/>
        <v>0</v>
      </c>
      <c r="K389" s="292" t="str">
        <f t="array" ref="K389">IFERROR(I389*INDEX('PORTIFÓLIO'!$S$4:$S$433,MATCH($C389,'PORTIFÓLIO'!$C$4:$C$433,0)),"")</f>
        <v/>
      </c>
      <c r="L389" s="292" t="str">
        <f t="array" ref="L389">IFERROR(J389*INDEX('PORTIFÓLIO'!$S$4:$S$433,MATCH($C389,'PORTIFÓLIO'!$C$4:$C$433,0)),"")</f>
        <v/>
      </c>
      <c r="M389" s="220"/>
      <c r="N389" s="220"/>
      <c r="O389" s="220"/>
      <c r="P389" s="220"/>
      <c r="Q389" s="220"/>
      <c r="R389" s="220"/>
      <c r="S389" s="220"/>
      <c r="T389" s="220"/>
      <c r="U389" s="220"/>
      <c r="V389" s="220"/>
      <c r="W389" s="220"/>
    </row>
    <row r="390" ht="15.75" customHeight="1" outlineLevel="1">
      <c r="A390" s="211"/>
      <c r="B390" s="212"/>
      <c r="C390" s="213"/>
      <c r="D390" s="214" t="str">
        <f>IFERROR(VLOOKUP($C390,'PORTIFÓLIO'!C:V,2,0),"")</f>
        <v/>
      </c>
      <c r="E390" s="211" t="str">
        <f>IFERROR(VLOOKUP($C390,'PORTIFÓLIO'!C:V,3,0),"")</f>
        <v/>
      </c>
      <c r="F390" s="211" t="str">
        <f>IFERROR(VLOOKUP($C390,'PORTIFÓLIO'!C:V,4,0),"")</f>
        <v/>
      </c>
      <c r="G390" s="215" t="str">
        <f>IFERROR(VLOOKUP($C390,'PORTIFÓLIO'!C:V,5,0),"")</f>
        <v/>
      </c>
      <c r="H390" s="254" t="str">
        <f t="array" ref="H390">IFERROR(INDEX('PORTIFÓLIO'!$H$4:$H$433,MATCH($C390,'PORTIFÓLIO'!$C$4:$C$433,0)),"")</f>
        <v/>
      </c>
      <c r="I390" s="256"/>
      <c r="J390" s="218">
        <f t="shared" si="43"/>
        <v>0</v>
      </c>
      <c r="K390" s="292" t="str">
        <f t="array" ref="K390">IFERROR(I390*INDEX('PORTIFÓLIO'!$S$4:$S$433,MATCH($C390,'PORTIFÓLIO'!$C$4:$C$433,0)),"")</f>
        <v/>
      </c>
      <c r="L390" s="292" t="str">
        <f t="array" ref="L390">IFERROR(J390*INDEX('PORTIFÓLIO'!$S$4:$S$433,MATCH($C390,'PORTIFÓLIO'!$C$4:$C$433,0)),"")</f>
        <v/>
      </c>
      <c r="M390" s="220"/>
      <c r="N390" s="220"/>
      <c r="O390" s="220"/>
      <c r="P390" s="220"/>
      <c r="Q390" s="220"/>
      <c r="R390" s="220"/>
      <c r="S390" s="220"/>
      <c r="T390" s="220"/>
      <c r="U390" s="220"/>
      <c r="V390" s="220"/>
      <c r="W390" s="220"/>
    </row>
    <row r="391" ht="15.75" customHeight="1" outlineLevel="1">
      <c r="A391" s="211"/>
      <c r="B391" s="227"/>
      <c r="C391" s="211"/>
      <c r="D391" s="214" t="str">
        <f>IFERROR(VLOOKUP($C391,'PORTIFÓLIO'!C:V,2,0),"")</f>
        <v/>
      </c>
      <c r="E391" s="211" t="str">
        <f>IFERROR(VLOOKUP($C391,'PORTIFÓLIO'!C:V,3,0),"")</f>
        <v/>
      </c>
      <c r="F391" s="211" t="str">
        <f>IFERROR(VLOOKUP($C391,'PORTIFÓLIO'!C:V,4,0),"")</f>
        <v/>
      </c>
      <c r="G391" s="215" t="str">
        <f>IFERROR(VLOOKUP($C391,'PORTIFÓLIO'!C:V,5,0),"")</f>
        <v/>
      </c>
      <c r="H391" s="254" t="str">
        <f t="array" ref="H391">IFERROR(INDEX('PORTIFÓLIO'!$H$4:$H$433,MATCH($C391,'PORTIFÓLIO'!$C$4:$C$433,0)),"")</f>
        <v/>
      </c>
      <c r="I391" s="256"/>
      <c r="J391" s="218"/>
      <c r="K391" s="292" t="str">
        <f t="array" ref="K391">IFERROR(I391*INDEX('PORTIFÓLIO'!$S$4:$S$433,MATCH($C391,'PORTIFÓLIO'!$C$4:$C$433,0)),"")</f>
        <v/>
      </c>
      <c r="L391" s="292" t="str">
        <f t="array" ref="L391">IFERROR(J391*INDEX('PORTIFÓLIO'!$S$4:$S$433,MATCH($C391,'PORTIFÓLIO'!$C$4:$C$433,0)),"")</f>
        <v/>
      </c>
      <c r="M391" s="220"/>
      <c r="N391" s="220"/>
      <c r="O391" s="220"/>
      <c r="P391" s="220"/>
      <c r="Q391" s="220"/>
      <c r="R391" s="220"/>
      <c r="S391" s="220"/>
      <c r="T391" s="220"/>
      <c r="U391" s="220"/>
      <c r="V391" s="220"/>
      <c r="W391" s="220"/>
    </row>
    <row r="392" ht="15.75" customHeight="1">
      <c r="A392" s="229" t="s">
        <v>1193</v>
      </c>
      <c r="B392" s="230"/>
      <c r="C392" s="231"/>
      <c r="D392" s="232"/>
      <c r="E392" s="231"/>
      <c r="F392" s="231"/>
      <c r="G392" s="233"/>
      <c r="H392" s="233"/>
      <c r="I392" s="258"/>
      <c r="J392" s="236"/>
      <c r="K392" s="237">
        <f t="shared" ref="K392:L392" si="44">SUBTOTAL(9,K393:K406)</f>
        <v>0</v>
      </c>
      <c r="L392" s="237">
        <f t="shared" si="44"/>
        <v>0</v>
      </c>
      <c r="M392" s="220"/>
      <c r="N392" s="220"/>
      <c r="O392" s="220"/>
      <c r="P392" s="220"/>
      <c r="Q392" s="220"/>
      <c r="R392" s="220"/>
      <c r="S392" s="220"/>
      <c r="T392" s="220"/>
      <c r="U392" s="220"/>
      <c r="V392" s="220"/>
      <c r="W392" s="220"/>
    </row>
    <row r="393" ht="15.75" customHeight="1" outlineLevel="1">
      <c r="A393" s="213"/>
      <c r="B393" s="212"/>
      <c r="C393" s="213"/>
      <c r="D393" s="214" t="str">
        <f>IFERROR(VLOOKUP($C393,'PORTIFÓLIO'!C:V,2,0),"")</f>
        <v/>
      </c>
      <c r="E393" s="211" t="str">
        <f>IFERROR(VLOOKUP($C393,'PORTIFÓLIO'!C:V,3,0),"")</f>
        <v/>
      </c>
      <c r="F393" s="211" t="str">
        <f>IFERROR(VLOOKUP($C393,'PORTIFÓLIO'!C:V,4,0),"")</f>
        <v/>
      </c>
      <c r="G393" s="215" t="str">
        <f>IFERROR(VLOOKUP($C393,'PORTIFÓLIO'!C:V,5,0),"")</f>
        <v/>
      </c>
      <c r="H393" s="254" t="str">
        <f t="array" ref="H393">IFERROR(INDEX('PORTIFÓLIO'!$H$4:$H$433,MATCH($C393,'PORTIFÓLIO'!$C$4:$C$433,0)),"")</f>
        <v/>
      </c>
      <c r="I393" s="255"/>
      <c r="J393" s="218">
        <f t="shared" ref="J393:J408" si="45">I393*$B$2</f>
        <v>0</v>
      </c>
      <c r="K393" s="292" t="str">
        <f t="array" ref="K393">IFERROR(I393*INDEX('PORTIFÓLIO'!$S$4:$S$433,MATCH($C393,'PORTIFÓLIO'!$C$4:$C$433,0)),"")</f>
        <v/>
      </c>
      <c r="L393" s="292" t="str">
        <f t="array" ref="L393">IFERROR(J393*INDEX('PORTIFÓLIO'!$S$4:$S$433,MATCH($C393,'PORTIFÓLIO'!$C$4:$C$433,0)),"")</f>
        <v/>
      </c>
      <c r="M393" s="220"/>
      <c r="N393" s="220"/>
      <c r="O393" s="220"/>
      <c r="P393" s="220"/>
      <c r="Q393" s="220"/>
      <c r="R393" s="220"/>
      <c r="S393" s="220"/>
      <c r="T393" s="220"/>
      <c r="U393" s="220"/>
      <c r="V393" s="220"/>
      <c r="W393" s="220"/>
    </row>
    <row r="394" ht="15.75" customHeight="1" outlineLevel="1">
      <c r="A394" s="211"/>
      <c r="B394" s="212"/>
      <c r="C394" s="213"/>
      <c r="D394" s="214" t="str">
        <f>IFERROR(VLOOKUP($C394,'PORTIFÓLIO'!C:V,2,0),"")</f>
        <v/>
      </c>
      <c r="E394" s="211" t="str">
        <f>IFERROR(VLOOKUP($C394,'PORTIFÓLIO'!C:V,3,0),"")</f>
        <v/>
      </c>
      <c r="F394" s="211" t="str">
        <f>IFERROR(VLOOKUP($C394,'PORTIFÓLIO'!C:V,4,0),"")</f>
        <v/>
      </c>
      <c r="G394" s="215" t="str">
        <f>IFERROR(VLOOKUP($C394,'PORTIFÓLIO'!C:V,5,0),"")</f>
        <v/>
      </c>
      <c r="H394" s="254" t="str">
        <f t="array" ref="H394">IFERROR(INDEX('PORTIFÓLIO'!$H$4:$H$433,MATCH($C394,'PORTIFÓLIO'!$C$4:$C$433,0)),"")</f>
        <v/>
      </c>
      <c r="I394" s="256"/>
      <c r="J394" s="218">
        <f t="shared" si="45"/>
        <v>0</v>
      </c>
      <c r="K394" s="292" t="str">
        <f t="array" ref="K394">IFERROR(I394*INDEX('PORTIFÓLIO'!$S$4:$S$433,MATCH($C394,'PORTIFÓLIO'!$C$4:$C$433,0)),"")</f>
        <v/>
      </c>
      <c r="L394" s="292" t="str">
        <f t="array" ref="L394">IFERROR(J394*INDEX('PORTIFÓLIO'!$S$4:$S$433,MATCH($C394,'PORTIFÓLIO'!$C$4:$C$433,0)),"")</f>
        <v/>
      </c>
      <c r="M394" s="220"/>
      <c r="N394" s="220"/>
      <c r="O394" s="220"/>
      <c r="P394" s="220"/>
      <c r="Q394" s="220"/>
      <c r="R394" s="220"/>
      <c r="S394" s="220"/>
      <c r="T394" s="220"/>
      <c r="U394" s="220"/>
      <c r="V394" s="220"/>
      <c r="W394" s="220"/>
    </row>
    <row r="395" ht="15.75" customHeight="1" outlineLevel="1">
      <c r="A395" s="211"/>
      <c r="B395" s="212"/>
      <c r="C395" s="213"/>
      <c r="D395" s="214" t="str">
        <f>IFERROR(VLOOKUP($C395,'PORTIFÓLIO'!C:V,2,0),"")</f>
        <v/>
      </c>
      <c r="E395" s="211" t="str">
        <f>IFERROR(VLOOKUP($C395,'PORTIFÓLIO'!C:V,3,0),"")</f>
        <v/>
      </c>
      <c r="F395" s="211" t="str">
        <f>IFERROR(VLOOKUP($C395,'PORTIFÓLIO'!C:V,4,0),"")</f>
        <v/>
      </c>
      <c r="G395" s="215" t="str">
        <f>IFERROR(VLOOKUP($C395,'PORTIFÓLIO'!C:V,5,0),"")</f>
        <v/>
      </c>
      <c r="H395" s="254" t="str">
        <f t="array" ref="H395">IFERROR(INDEX('PORTIFÓLIO'!$H$4:$H$433,MATCH($C395,'PORTIFÓLIO'!$C$4:$C$433,0)),"")</f>
        <v/>
      </c>
      <c r="I395" s="256"/>
      <c r="J395" s="218">
        <f t="shared" si="45"/>
        <v>0</v>
      </c>
      <c r="K395" s="292" t="str">
        <f t="array" ref="K395">IFERROR(I395*INDEX('PORTIFÓLIO'!$S$4:$S$433,MATCH($C395,'PORTIFÓLIO'!$C$4:$C$433,0)),"")</f>
        <v/>
      </c>
      <c r="L395" s="292" t="str">
        <f t="array" ref="L395">IFERROR(J395*INDEX('PORTIFÓLIO'!$S$4:$S$433,MATCH($C395,'PORTIFÓLIO'!$C$4:$C$433,0)),"")</f>
        <v/>
      </c>
      <c r="M395" s="220"/>
      <c r="N395" s="220"/>
      <c r="O395" s="220"/>
      <c r="P395" s="220"/>
      <c r="Q395" s="220"/>
      <c r="R395" s="220"/>
      <c r="S395" s="220"/>
      <c r="T395" s="220"/>
      <c r="U395" s="220"/>
      <c r="V395" s="220"/>
      <c r="W395" s="220"/>
    </row>
    <row r="396" ht="15.75" customHeight="1" outlineLevel="1">
      <c r="A396" s="211"/>
      <c r="B396" s="212"/>
      <c r="C396" s="213"/>
      <c r="D396" s="214" t="str">
        <f>IFERROR(VLOOKUP($C396,'PORTIFÓLIO'!C:V,2,0),"")</f>
        <v/>
      </c>
      <c r="E396" s="211" t="str">
        <f>IFERROR(VLOOKUP($C396,'PORTIFÓLIO'!C:V,3,0),"")</f>
        <v/>
      </c>
      <c r="F396" s="211" t="str">
        <f>IFERROR(VLOOKUP($C396,'PORTIFÓLIO'!C:V,4,0),"")</f>
        <v/>
      </c>
      <c r="G396" s="215" t="str">
        <f>IFERROR(VLOOKUP($C396,'PORTIFÓLIO'!C:V,5,0),"")</f>
        <v/>
      </c>
      <c r="H396" s="254" t="str">
        <f t="array" ref="H396">IFERROR(INDEX('PORTIFÓLIO'!$H$4:$H$433,MATCH($C396,'PORTIFÓLIO'!$C$4:$C$433,0)),"")</f>
        <v/>
      </c>
      <c r="I396" s="256"/>
      <c r="J396" s="218">
        <f t="shared" si="45"/>
        <v>0</v>
      </c>
      <c r="K396" s="292" t="str">
        <f t="array" ref="K396">IFERROR(I396*INDEX('PORTIFÓLIO'!$S$4:$S$433,MATCH($C396,'PORTIFÓLIO'!$C$4:$C$433,0)),"")</f>
        <v/>
      </c>
      <c r="L396" s="292" t="str">
        <f t="array" ref="L396">IFERROR(J396*INDEX('PORTIFÓLIO'!$S$4:$S$433,MATCH($C396,'PORTIFÓLIO'!$C$4:$C$433,0)),"")</f>
        <v/>
      </c>
      <c r="M396" s="220"/>
      <c r="N396" s="220"/>
      <c r="O396" s="220"/>
      <c r="P396" s="220"/>
      <c r="Q396" s="220"/>
      <c r="R396" s="220"/>
      <c r="S396" s="220"/>
      <c r="T396" s="220"/>
      <c r="U396" s="220"/>
      <c r="V396" s="220"/>
      <c r="W396" s="220"/>
    </row>
    <row r="397" ht="15.75" customHeight="1" outlineLevel="1">
      <c r="A397" s="211"/>
      <c r="B397" s="212"/>
      <c r="C397" s="213"/>
      <c r="D397" s="214" t="str">
        <f>IFERROR(VLOOKUP($C397,'PORTIFÓLIO'!C:V,2,0),"")</f>
        <v/>
      </c>
      <c r="E397" s="211" t="str">
        <f>IFERROR(VLOOKUP($C397,'PORTIFÓLIO'!C:V,3,0),"")</f>
        <v/>
      </c>
      <c r="F397" s="211" t="str">
        <f>IFERROR(VLOOKUP($C397,'PORTIFÓLIO'!C:V,4,0),"")</f>
        <v/>
      </c>
      <c r="G397" s="215" t="str">
        <f>IFERROR(VLOOKUP($C397,'PORTIFÓLIO'!C:V,5,0),"")</f>
        <v/>
      </c>
      <c r="H397" s="254" t="str">
        <f t="array" ref="H397">IFERROR(INDEX('PORTIFÓLIO'!$H$4:$H$433,MATCH($C397,'PORTIFÓLIO'!$C$4:$C$433,0)),"")</f>
        <v/>
      </c>
      <c r="I397" s="256"/>
      <c r="J397" s="218">
        <f t="shared" si="45"/>
        <v>0</v>
      </c>
      <c r="K397" s="292" t="str">
        <f t="array" ref="K397">IFERROR(I397*INDEX('PORTIFÓLIO'!$S$4:$S$433,MATCH($C397,'PORTIFÓLIO'!$C$4:$C$433,0)),"")</f>
        <v/>
      </c>
      <c r="L397" s="292" t="str">
        <f t="array" ref="L397">IFERROR(J397*INDEX('PORTIFÓLIO'!$S$4:$S$433,MATCH($C397,'PORTIFÓLIO'!$C$4:$C$433,0)),"")</f>
        <v/>
      </c>
      <c r="M397" s="220"/>
      <c r="N397" s="220"/>
      <c r="O397" s="220"/>
      <c r="P397" s="220"/>
      <c r="Q397" s="220"/>
      <c r="R397" s="220"/>
      <c r="S397" s="220"/>
      <c r="T397" s="220"/>
      <c r="U397" s="220"/>
      <c r="V397" s="220"/>
      <c r="W397" s="220"/>
    </row>
    <row r="398" ht="15.75" customHeight="1" outlineLevel="1">
      <c r="A398" s="211"/>
      <c r="B398" s="212"/>
      <c r="C398" s="213"/>
      <c r="D398" s="214" t="str">
        <f>IFERROR(VLOOKUP($C398,'PORTIFÓLIO'!C:V,2,0),"")</f>
        <v/>
      </c>
      <c r="E398" s="211" t="str">
        <f>IFERROR(VLOOKUP($C398,'PORTIFÓLIO'!C:V,3,0),"")</f>
        <v/>
      </c>
      <c r="F398" s="211" t="str">
        <f>IFERROR(VLOOKUP($C398,'PORTIFÓLIO'!C:V,4,0),"")</f>
        <v/>
      </c>
      <c r="G398" s="215" t="str">
        <f>IFERROR(VLOOKUP($C398,'PORTIFÓLIO'!C:V,5,0),"")</f>
        <v/>
      </c>
      <c r="H398" s="254" t="str">
        <f t="array" ref="H398">IFERROR(INDEX('PORTIFÓLIO'!$H$4:$H$433,MATCH($C398,'PORTIFÓLIO'!$C$4:$C$433,0)),"")</f>
        <v/>
      </c>
      <c r="I398" s="256"/>
      <c r="J398" s="218">
        <f t="shared" si="45"/>
        <v>0</v>
      </c>
      <c r="K398" s="292" t="str">
        <f t="array" ref="K398">IFERROR(I398*INDEX('PORTIFÓLIO'!$S$4:$S$433,MATCH($C398,'PORTIFÓLIO'!$C$4:$C$433,0)),"")</f>
        <v/>
      </c>
      <c r="L398" s="292" t="str">
        <f t="array" ref="L398">IFERROR(J398*INDEX('PORTIFÓLIO'!$S$4:$S$433,MATCH($C398,'PORTIFÓLIO'!$C$4:$C$433,0)),"")</f>
        <v/>
      </c>
      <c r="M398" s="220"/>
      <c r="N398" s="220"/>
      <c r="O398" s="220"/>
      <c r="P398" s="220"/>
      <c r="Q398" s="220"/>
      <c r="R398" s="220"/>
      <c r="S398" s="220"/>
      <c r="T398" s="220"/>
      <c r="U398" s="220"/>
      <c r="V398" s="220"/>
      <c r="W398" s="220"/>
    </row>
    <row r="399" ht="15.75" customHeight="1" outlineLevel="1">
      <c r="A399" s="211"/>
      <c r="B399" s="212"/>
      <c r="C399" s="213"/>
      <c r="D399" s="214" t="str">
        <f>IFERROR(VLOOKUP($C399,'PORTIFÓLIO'!C:V,2,0),"")</f>
        <v/>
      </c>
      <c r="E399" s="211" t="str">
        <f>IFERROR(VLOOKUP($C399,'PORTIFÓLIO'!C:V,3,0),"")</f>
        <v/>
      </c>
      <c r="F399" s="211" t="str">
        <f>IFERROR(VLOOKUP($C399,'PORTIFÓLIO'!C:V,4,0),"")</f>
        <v/>
      </c>
      <c r="G399" s="215" t="str">
        <f>IFERROR(VLOOKUP($C399,'PORTIFÓLIO'!C:V,5,0),"")</f>
        <v/>
      </c>
      <c r="H399" s="254" t="str">
        <f t="array" ref="H399">IFERROR(INDEX('PORTIFÓLIO'!$H$4:$H$433,MATCH($C399,'PORTIFÓLIO'!$C$4:$C$433,0)),"")</f>
        <v/>
      </c>
      <c r="I399" s="256"/>
      <c r="J399" s="218">
        <f t="shared" si="45"/>
        <v>0</v>
      </c>
      <c r="K399" s="292" t="str">
        <f t="array" ref="K399">IFERROR(I399*INDEX('PORTIFÓLIO'!$S$4:$S$433,MATCH($C399,'PORTIFÓLIO'!$C$4:$C$433,0)),"")</f>
        <v/>
      </c>
      <c r="L399" s="292" t="str">
        <f t="array" ref="L399">IFERROR(J399*INDEX('PORTIFÓLIO'!$S$4:$S$433,MATCH($C399,'PORTIFÓLIO'!$C$4:$C$433,0)),"")</f>
        <v/>
      </c>
      <c r="M399" s="220"/>
      <c r="N399" s="220"/>
      <c r="O399" s="220"/>
      <c r="P399" s="220"/>
      <c r="Q399" s="220"/>
      <c r="R399" s="220"/>
      <c r="S399" s="220"/>
      <c r="T399" s="220"/>
      <c r="U399" s="220"/>
      <c r="V399" s="220"/>
      <c r="W399" s="220"/>
    </row>
    <row r="400" ht="15.75" customHeight="1" outlineLevel="1">
      <c r="A400" s="211"/>
      <c r="B400" s="212"/>
      <c r="C400" s="213"/>
      <c r="D400" s="214" t="str">
        <f>IFERROR(VLOOKUP($C400,'PORTIFÓLIO'!C:V,2,0),"")</f>
        <v/>
      </c>
      <c r="E400" s="211" t="str">
        <f>IFERROR(VLOOKUP($C400,'PORTIFÓLIO'!C:V,3,0),"")</f>
        <v/>
      </c>
      <c r="F400" s="211" t="str">
        <f>IFERROR(VLOOKUP($C400,'PORTIFÓLIO'!C:V,4,0),"")</f>
        <v/>
      </c>
      <c r="G400" s="215" t="str">
        <f>IFERROR(VLOOKUP($C400,'PORTIFÓLIO'!C:V,5,0),"")</f>
        <v/>
      </c>
      <c r="H400" s="254" t="str">
        <f t="array" ref="H400">IFERROR(INDEX('PORTIFÓLIO'!$H$4:$H$433,MATCH($C400,'PORTIFÓLIO'!$C$4:$C$433,0)),"")</f>
        <v/>
      </c>
      <c r="I400" s="256"/>
      <c r="J400" s="218">
        <f t="shared" si="45"/>
        <v>0</v>
      </c>
      <c r="K400" s="292" t="str">
        <f t="array" ref="K400">IFERROR(I400*INDEX('PORTIFÓLIO'!$S$4:$S$433,MATCH($C400,'PORTIFÓLIO'!$C$4:$C$433,0)),"")</f>
        <v/>
      </c>
      <c r="L400" s="292" t="str">
        <f t="array" ref="L400">IFERROR(J400*INDEX('PORTIFÓLIO'!$S$4:$S$433,MATCH($C400,'PORTIFÓLIO'!$C$4:$C$433,0)),"")</f>
        <v/>
      </c>
      <c r="M400" s="220"/>
      <c r="N400" s="220"/>
      <c r="O400" s="220"/>
      <c r="P400" s="220"/>
      <c r="Q400" s="220"/>
      <c r="R400" s="220"/>
      <c r="S400" s="220"/>
      <c r="T400" s="220"/>
      <c r="U400" s="220"/>
      <c r="V400" s="220"/>
      <c r="W400" s="220"/>
    </row>
    <row r="401" ht="15.75" customHeight="1" outlineLevel="1">
      <c r="A401" s="211"/>
      <c r="B401" s="212"/>
      <c r="C401" s="213"/>
      <c r="D401" s="214" t="str">
        <f>IFERROR(VLOOKUP($C401,'PORTIFÓLIO'!C:V,2,0),"")</f>
        <v/>
      </c>
      <c r="E401" s="211" t="str">
        <f>IFERROR(VLOOKUP($C401,'PORTIFÓLIO'!C:V,3,0),"")</f>
        <v/>
      </c>
      <c r="F401" s="211" t="str">
        <f>IFERROR(VLOOKUP($C401,'PORTIFÓLIO'!C:V,4,0),"")</f>
        <v/>
      </c>
      <c r="G401" s="215" t="str">
        <f>IFERROR(VLOOKUP($C401,'PORTIFÓLIO'!C:V,5,0),"")</f>
        <v/>
      </c>
      <c r="H401" s="254" t="str">
        <f t="array" ref="H401">IFERROR(INDEX('PORTIFÓLIO'!$H$4:$H$433,MATCH($C401,'PORTIFÓLIO'!$C$4:$C$433,0)),"")</f>
        <v/>
      </c>
      <c r="I401" s="255"/>
      <c r="J401" s="218">
        <f t="shared" si="45"/>
        <v>0</v>
      </c>
      <c r="K401" s="292" t="str">
        <f t="array" ref="K401">IFERROR(I401*INDEX('PORTIFÓLIO'!$S$4:$S$433,MATCH($C401,'PORTIFÓLIO'!$C$4:$C$433,0)),"")</f>
        <v/>
      </c>
      <c r="L401" s="292" t="str">
        <f t="array" ref="L401">IFERROR(J401*INDEX('PORTIFÓLIO'!$S$4:$S$433,MATCH($C401,'PORTIFÓLIO'!$C$4:$C$433,0)),"")</f>
        <v/>
      </c>
      <c r="M401" s="220"/>
      <c r="N401" s="220"/>
      <c r="O401" s="220"/>
      <c r="P401" s="220"/>
      <c r="Q401" s="220"/>
      <c r="R401" s="220"/>
      <c r="S401" s="220"/>
      <c r="T401" s="220"/>
      <c r="U401" s="220"/>
      <c r="V401" s="220"/>
      <c r="W401" s="220"/>
    </row>
    <row r="402" ht="15.75" customHeight="1" outlineLevel="1">
      <c r="A402" s="211"/>
      <c r="B402" s="212"/>
      <c r="C402" s="213"/>
      <c r="D402" s="214" t="str">
        <f>IFERROR(VLOOKUP($C402,'PORTIFÓLIO'!C:V,2,0),"")</f>
        <v/>
      </c>
      <c r="E402" s="211" t="str">
        <f>IFERROR(VLOOKUP($C402,'PORTIFÓLIO'!C:V,3,0),"")</f>
        <v/>
      </c>
      <c r="F402" s="211" t="str">
        <f>IFERROR(VLOOKUP($C402,'PORTIFÓLIO'!C:V,4,0),"")</f>
        <v/>
      </c>
      <c r="G402" s="215" t="str">
        <f>IFERROR(VLOOKUP($C402,'PORTIFÓLIO'!C:V,5,0),"")</f>
        <v/>
      </c>
      <c r="H402" s="254" t="str">
        <f t="array" ref="H402">IFERROR(INDEX('PORTIFÓLIO'!$H$4:$H$433,MATCH($C402,'PORTIFÓLIO'!$C$4:$C$433,0)),"")</f>
        <v/>
      </c>
      <c r="I402" s="256"/>
      <c r="J402" s="218">
        <f t="shared" si="45"/>
        <v>0</v>
      </c>
      <c r="K402" s="292" t="str">
        <f t="array" ref="K402">IFERROR(I402*INDEX('PORTIFÓLIO'!$S$4:$S$433,MATCH($C402,'PORTIFÓLIO'!$C$4:$C$433,0)),"")</f>
        <v/>
      </c>
      <c r="L402" s="292" t="str">
        <f t="array" ref="L402">IFERROR(J402*INDEX('PORTIFÓLIO'!$S$4:$S$433,MATCH($C402,'PORTIFÓLIO'!$C$4:$C$433,0)),"")</f>
        <v/>
      </c>
      <c r="M402" s="220"/>
      <c r="N402" s="220"/>
      <c r="O402" s="220"/>
      <c r="P402" s="220"/>
      <c r="Q402" s="220"/>
      <c r="R402" s="220"/>
      <c r="S402" s="220"/>
      <c r="T402" s="220"/>
      <c r="U402" s="220"/>
      <c r="V402" s="220"/>
      <c r="W402" s="220"/>
    </row>
    <row r="403" ht="15.75" customHeight="1" outlineLevel="1">
      <c r="A403" s="211"/>
      <c r="B403" s="212"/>
      <c r="C403" s="213"/>
      <c r="D403" s="214" t="str">
        <f>IFERROR(VLOOKUP($C403,'PORTIFÓLIO'!C:V,2,0),"")</f>
        <v/>
      </c>
      <c r="E403" s="211" t="str">
        <f>IFERROR(VLOOKUP($C403,'PORTIFÓLIO'!C:V,3,0),"")</f>
        <v/>
      </c>
      <c r="F403" s="211" t="str">
        <f>IFERROR(VLOOKUP($C403,'PORTIFÓLIO'!C:V,4,0),"")</f>
        <v/>
      </c>
      <c r="G403" s="215" t="str">
        <f>IFERROR(VLOOKUP($C403,'PORTIFÓLIO'!C:V,5,0),"")</f>
        <v/>
      </c>
      <c r="H403" s="254" t="str">
        <f t="array" ref="H403">IFERROR(INDEX('PORTIFÓLIO'!$H$4:$H$433,MATCH($C403,'PORTIFÓLIO'!$C$4:$C$433,0)),"")</f>
        <v/>
      </c>
      <c r="I403" s="256"/>
      <c r="J403" s="218">
        <f t="shared" si="45"/>
        <v>0</v>
      </c>
      <c r="K403" s="292" t="str">
        <f t="array" ref="K403">IFERROR(I403*INDEX('PORTIFÓLIO'!$S$4:$S$433,MATCH($C403,'PORTIFÓLIO'!$C$4:$C$433,0)),"")</f>
        <v/>
      </c>
      <c r="L403" s="292" t="str">
        <f t="array" ref="L403">IFERROR(J403*INDEX('PORTIFÓLIO'!$S$4:$S$433,MATCH($C403,'PORTIFÓLIO'!$C$4:$C$433,0)),"")</f>
        <v/>
      </c>
      <c r="M403" s="220"/>
      <c r="N403" s="220"/>
      <c r="O403" s="220"/>
      <c r="P403" s="220"/>
      <c r="Q403" s="220"/>
      <c r="R403" s="220"/>
      <c r="S403" s="220"/>
      <c r="T403" s="220"/>
      <c r="U403" s="220"/>
      <c r="V403" s="220"/>
      <c r="W403" s="220"/>
    </row>
    <row r="404" ht="15.75" customHeight="1" outlineLevel="1">
      <c r="A404" s="211"/>
      <c r="B404" s="212"/>
      <c r="C404" s="213"/>
      <c r="D404" s="214" t="str">
        <f>IFERROR(VLOOKUP($C404,'PORTIFÓLIO'!C:V,2,0),"")</f>
        <v/>
      </c>
      <c r="E404" s="211" t="str">
        <f>IFERROR(VLOOKUP($C404,'PORTIFÓLIO'!C:V,3,0),"")</f>
        <v/>
      </c>
      <c r="F404" s="211" t="str">
        <f>IFERROR(VLOOKUP($C404,'PORTIFÓLIO'!C:V,4,0),"")</f>
        <v/>
      </c>
      <c r="G404" s="215" t="str">
        <f>IFERROR(VLOOKUP($C404,'PORTIFÓLIO'!C:V,5,0),"")</f>
        <v/>
      </c>
      <c r="H404" s="254" t="str">
        <f t="array" ref="H404">IFERROR(INDEX('PORTIFÓLIO'!$H$4:$H$433,MATCH($C404,'PORTIFÓLIO'!$C$4:$C$433,0)),"")</f>
        <v/>
      </c>
      <c r="I404" s="256"/>
      <c r="J404" s="218">
        <f t="shared" si="45"/>
        <v>0</v>
      </c>
      <c r="K404" s="292" t="str">
        <f t="array" ref="K404">IFERROR(I404*INDEX('PORTIFÓLIO'!$S$4:$S$433,MATCH($C404,'PORTIFÓLIO'!$C$4:$C$433,0)),"")</f>
        <v/>
      </c>
      <c r="L404" s="292" t="str">
        <f t="array" ref="L404">IFERROR(J404*INDEX('PORTIFÓLIO'!$S$4:$S$433,MATCH($C404,'PORTIFÓLIO'!$C$4:$C$433,0)),"")</f>
        <v/>
      </c>
      <c r="M404" s="220"/>
      <c r="N404" s="220"/>
      <c r="O404" s="220"/>
      <c r="P404" s="220"/>
      <c r="Q404" s="220"/>
      <c r="R404" s="220"/>
      <c r="S404" s="220"/>
      <c r="T404" s="220"/>
      <c r="U404" s="220"/>
      <c r="V404" s="220"/>
      <c r="W404" s="220"/>
    </row>
    <row r="405" ht="15.75" customHeight="1" outlineLevel="1">
      <c r="A405" s="211"/>
      <c r="B405" s="212"/>
      <c r="C405" s="213"/>
      <c r="D405" s="214" t="str">
        <f>IFERROR(VLOOKUP($C405,'PORTIFÓLIO'!C:V,2,0),"")</f>
        <v/>
      </c>
      <c r="E405" s="211" t="str">
        <f>IFERROR(VLOOKUP($C405,'PORTIFÓLIO'!C:V,3,0),"")</f>
        <v/>
      </c>
      <c r="F405" s="211" t="str">
        <f>IFERROR(VLOOKUP($C405,'PORTIFÓLIO'!C:V,4,0),"")</f>
        <v/>
      </c>
      <c r="G405" s="215" t="str">
        <f>IFERROR(VLOOKUP($C405,'PORTIFÓLIO'!C:V,5,0),"")</f>
        <v/>
      </c>
      <c r="H405" s="254" t="str">
        <f t="array" ref="H405">IFERROR(INDEX('PORTIFÓLIO'!$H$4:$H$433,MATCH($C405,'PORTIFÓLIO'!$C$4:$C$433,0)),"")</f>
        <v/>
      </c>
      <c r="I405" s="256"/>
      <c r="J405" s="218">
        <f t="shared" si="45"/>
        <v>0</v>
      </c>
      <c r="K405" s="292" t="str">
        <f t="array" ref="K405">IFERROR(I405*INDEX('PORTIFÓLIO'!$S$4:$S$433,MATCH($C405,'PORTIFÓLIO'!$C$4:$C$433,0)),"")</f>
        <v/>
      </c>
      <c r="L405" s="292" t="str">
        <f t="array" ref="L405">IFERROR(J405*INDEX('PORTIFÓLIO'!$S$4:$S$433,MATCH($C405,'PORTIFÓLIO'!$C$4:$C$433,0)),"")</f>
        <v/>
      </c>
      <c r="M405" s="220"/>
      <c r="N405" s="220"/>
      <c r="O405" s="220"/>
      <c r="P405" s="220"/>
      <c r="Q405" s="220"/>
      <c r="R405" s="220"/>
      <c r="S405" s="220"/>
      <c r="T405" s="220"/>
      <c r="U405" s="220"/>
      <c r="V405" s="220"/>
      <c r="W405" s="220"/>
    </row>
    <row r="406" ht="15.75" customHeight="1" outlineLevel="1">
      <c r="A406" s="211"/>
      <c r="B406" s="212"/>
      <c r="C406" s="213"/>
      <c r="D406" s="214" t="str">
        <f>IFERROR(VLOOKUP($C406,'PORTIFÓLIO'!C:V,2,0),"")</f>
        <v/>
      </c>
      <c r="E406" s="211" t="str">
        <f>IFERROR(VLOOKUP($C406,'PORTIFÓLIO'!C:V,3,0),"")</f>
        <v/>
      </c>
      <c r="F406" s="211" t="str">
        <f>IFERROR(VLOOKUP($C406,'PORTIFÓLIO'!C:V,4,0),"")</f>
        <v/>
      </c>
      <c r="G406" s="215" t="str">
        <f>IFERROR(VLOOKUP($C406,'PORTIFÓLIO'!C:V,5,0),"")</f>
        <v/>
      </c>
      <c r="H406" s="254" t="str">
        <f t="array" ref="H406">IFERROR(INDEX('PORTIFÓLIO'!$H$4:$H$433,MATCH($C406,'PORTIFÓLIO'!$C$4:$C$433,0)),"")</f>
        <v/>
      </c>
      <c r="I406" s="256"/>
      <c r="J406" s="218">
        <f t="shared" si="45"/>
        <v>0</v>
      </c>
      <c r="K406" s="292" t="str">
        <f t="array" ref="K406">IFERROR(I406*INDEX('PORTIFÓLIO'!$S$4:$S$433,MATCH($C406,'PORTIFÓLIO'!$C$4:$C$433,0)),"")</f>
        <v/>
      </c>
      <c r="L406" s="292" t="str">
        <f t="array" ref="L406">IFERROR(J406*INDEX('PORTIFÓLIO'!$S$4:$S$433,MATCH($C406,'PORTIFÓLIO'!$C$4:$C$433,0)),"")</f>
        <v/>
      </c>
      <c r="M406" s="220"/>
      <c r="N406" s="220"/>
      <c r="O406" s="220"/>
      <c r="P406" s="220"/>
      <c r="Q406" s="220"/>
      <c r="R406" s="220"/>
      <c r="S406" s="220"/>
      <c r="T406" s="220"/>
      <c r="U406" s="220"/>
      <c r="V406" s="220"/>
      <c r="W406" s="220"/>
    </row>
    <row r="407" ht="15.75" customHeight="1" outlineLevel="1">
      <c r="A407" s="211"/>
      <c r="B407" s="212"/>
      <c r="C407" s="213"/>
      <c r="D407" s="214" t="str">
        <f>IFERROR(VLOOKUP($C407,'PORTIFÓLIO'!C:V,2,0),"")</f>
        <v/>
      </c>
      <c r="E407" s="211" t="str">
        <f>IFERROR(VLOOKUP($C407,'PORTIFÓLIO'!C:V,3,0),"")</f>
        <v/>
      </c>
      <c r="F407" s="211" t="str">
        <f>IFERROR(VLOOKUP($C407,'PORTIFÓLIO'!C:V,4,0),"")</f>
        <v/>
      </c>
      <c r="G407" s="215" t="str">
        <f>IFERROR(VLOOKUP($C407,'PORTIFÓLIO'!C:V,5,0),"")</f>
        <v/>
      </c>
      <c r="H407" s="254" t="str">
        <f t="array" ref="H407">IFERROR(INDEX('PORTIFÓLIO'!$H$4:$H$433,MATCH($C407,'PORTIFÓLIO'!$C$4:$C$433,0)),"")</f>
        <v/>
      </c>
      <c r="I407" s="256"/>
      <c r="J407" s="218">
        <f t="shared" si="45"/>
        <v>0</v>
      </c>
      <c r="K407" s="292" t="str">
        <f t="array" ref="K407">IFERROR(I407*INDEX('PORTIFÓLIO'!$S$4:$S$433,MATCH($C407,'PORTIFÓLIO'!$C$4:$C$433,0)),"")</f>
        <v/>
      </c>
      <c r="L407" s="292" t="str">
        <f t="array" ref="L407">IFERROR(J407*INDEX('PORTIFÓLIO'!$S$4:$S$433,MATCH($C407,'PORTIFÓLIO'!$C$4:$C$433,0)),"")</f>
        <v/>
      </c>
      <c r="M407" s="220"/>
      <c r="N407" s="220"/>
      <c r="O407" s="220"/>
      <c r="P407" s="220"/>
      <c r="Q407" s="220"/>
      <c r="R407" s="220"/>
      <c r="S407" s="220"/>
      <c r="T407" s="220"/>
      <c r="U407" s="220"/>
      <c r="V407" s="220"/>
      <c r="W407" s="220"/>
    </row>
    <row r="408" ht="15.75" customHeight="1" outlineLevel="1">
      <c r="A408" s="211"/>
      <c r="B408" s="227"/>
      <c r="C408" s="211"/>
      <c r="D408" s="214" t="str">
        <f>IFERROR(VLOOKUP($C408,'PORTIFÓLIO'!C:V,2,0),"")</f>
        <v/>
      </c>
      <c r="E408" s="211" t="str">
        <f>IFERROR(VLOOKUP($C408,'PORTIFÓLIO'!C:V,3,0),"")</f>
        <v/>
      </c>
      <c r="F408" s="211" t="str">
        <f>IFERROR(VLOOKUP($C408,'PORTIFÓLIO'!C:V,4,0),"")</f>
        <v/>
      </c>
      <c r="G408" s="215" t="str">
        <f>IFERROR(VLOOKUP($C408,'PORTIFÓLIO'!C:V,5,0),"")</f>
        <v/>
      </c>
      <c r="H408" s="254" t="str">
        <f t="array" ref="H408">IFERROR(INDEX('PORTIFÓLIO'!$H$4:$H$433,MATCH($C408,'PORTIFÓLIO'!$C$4:$C$433,0)),"")</f>
        <v/>
      </c>
      <c r="I408" s="256"/>
      <c r="J408" s="218">
        <f t="shared" si="45"/>
        <v>0</v>
      </c>
      <c r="K408" s="292" t="str">
        <f t="array" ref="K408">IFERROR(I408*INDEX('PORTIFÓLIO'!$S$4:$S$433,MATCH($C408,'PORTIFÓLIO'!$C$4:$C$433,0)),"")</f>
        <v/>
      </c>
      <c r="L408" s="292" t="str">
        <f t="array" ref="L408">IFERROR(J408*INDEX('PORTIFÓLIO'!$S$4:$S$433,MATCH($C408,'PORTIFÓLIO'!$C$4:$C$433,0)),"")</f>
        <v/>
      </c>
      <c r="M408" s="220"/>
      <c r="N408" s="220"/>
      <c r="O408" s="220"/>
      <c r="P408" s="220"/>
      <c r="Q408" s="220"/>
      <c r="R408" s="220"/>
      <c r="S408" s="220"/>
      <c r="T408" s="220"/>
      <c r="U408" s="220"/>
      <c r="V408" s="220"/>
      <c r="W408" s="220"/>
    </row>
    <row r="409" ht="15.75" customHeight="1">
      <c r="A409" s="229" t="s">
        <v>1194</v>
      </c>
      <c r="B409" s="230"/>
      <c r="C409" s="231"/>
      <c r="D409" s="232"/>
      <c r="E409" s="231"/>
      <c r="F409" s="231"/>
      <c r="G409" s="233"/>
      <c r="H409" s="233"/>
      <c r="I409" s="258"/>
      <c r="J409" s="236"/>
      <c r="K409" s="237">
        <f t="shared" ref="K409:L409" si="46">SUBTOTAL(9,K410:K423)</f>
        <v>0</v>
      </c>
      <c r="L409" s="237">
        <f t="shared" si="46"/>
        <v>0</v>
      </c>
      <c r="M409" s="220"/>
      <c r="N409" s="220"/>
      <c r="O409" s="220"/>
      <c r="P409" s="220"/>
      <c r="Q409" s="220"/>
      <c r="R409" s="220"/>
      <c r="S409" s="220"/>
      <c r="T409" s="220"/>
      <c r="U409" s="220"/>
      <c r="V409" s="220"/>
      <c r="W409" s="220"/>
    </row>
    <row r="410" ht="15.75" customHeight="1" outlineLevel="1">
      <c r="A410" s="213"/>
      <c r="B410" s="212"/>
      <c r="C410" s="213"/>
      <c r="D410" s="214" t="str">
        <f>IFERROR(VLOOKUP($C410,'PORTIFÓLIO'!C:V,2,0),"")</f>
        <v/>
      </c>
      <c r="E410" s="211" t="str">
        <f>IFERROR(VLOOKUP($C410,'PORTIFÓLIO'!C:V,3,0),"")</f>
        <v/>
      </c>
      <c r="F410" s="211" t="str">
        <f>IFERROR(VLOOKUP($C410,'PORTIFÓLIO'!C:V,4,0),"")</f>
        <v/>
      </c>
      <c r="G410" s="215" t="str">
        <f>IFERROR(VLOOKUP($C410,'PORTIFÓLIO'!C:V,5,0),"")</f>
        <v/>
      </c>
      <c r="H410" s="254" t="str">
        <f t="array" ref="H410">IFERROR(INDEX('PORTIFÓLIO'!$H$4:$H$433,MATCH($C410,'PORTIFÓLIO'!$C$4:$C$433,0)),"")</f>
        <v/>
      </c>
      <c r="I410" s="255"/>
      <c r="J410" s="218">
        <f t="shared" ref="J410:J426" si="47">I410*$B$2</f>
        <v>0</v>
      </c>
      <c r="K410" s="292" t="str">
        <f t="array" ref="K410">IFERROR(I410*INDEX('PORTIFÓLIO'!$S$4:$S$433,MATCH($C410,'PORTIFÓLIO'!$C$4:$C$433,0)),"")</f>
        <v/>
      </c>
      <c r="L410" s="292" t="str">
        <f t="array" ref="L410">IFERROR(J410*INDEX('PORTIFÓLIO'!$S$4:$S$433,MATCH($C410,'PORTIFÓLIO'!$C$4:$C$433,0)),"")</f>
        <v/>
      </c>
      <c r="M410" s="220"/>
      <c r="N410" s="220"/>
      <c r="O410" s="220"/>
      <c r="P410" s="220"/>
      <c r="Q410" s="220"/>
      <c r="R410" s="220"/>
      <c r="S410" s="220"/>
      <c r="T410" s="220"/>
      <c r="U410" s="220"/>
      <c r="V410" s="220"/>
      <c r="W410" s="220"/>
    </row>
    <row r="411" ht="15.75" customHeight="1" outlineLevel="1">
      <c r="A411" s="211"/>
      <c r="B411" s="212"/>
      <c r="C411" s="213"/>
      <c r="D411" s="214" t="str">
        <f>IFERROR(VLOOKUP($C411,'PORTIFÓLIO'!C:V,2,0),"")</f>
        <v/>
      </c>
      <c r="E411" s="211" t="str">
        <f>IFERROR(VLOOKUP($C411,'PORTIFÓLIO'!C:V,3,0),"")</f>
        <v/>
      </c>
      <c r="F411" s="211" t="str">
        <f>IFERROR(VLOOKUP($C411,'PORTIFÓLIO'!C:V,4,0),"")</f>
        <v/>
      </c>
      <c r="G411" s="215" t="str">
        <f>IFERROR(VLOOKUP($C411,'PORTIFÓLIO'!C:V,5,0),"")</f>
        <v/>
      </c>
      <c r="H411" s="254" t="str">
        <f t="array" ref="H411">IFERROR(INDEX('PORTIFÓLIO'!$H$4:$H$433,MATCH($C411,'PORTIFÓLIO'!$C$4:$C$433,0)),"")</f>
        <v/>
      </c>
      <c r="I411" s="256"/>
      <c r="J411" s="218">
        <f t="shared" si="47"/>
        <v>0</v>
      </c>
      <c r="K411" s="292" t="str">
        <f t="array" ref="K411">IFERROR(I411*INDEX('PORTIFÓLIO'!$S$4:$S$433,MATCH($C411,'PORTIFÓLIO'!$C$4:$C$433,0)),"")</f>
        <v/>
      </c>
      <c r="L411" s="292" t="str">
        <f t="array" ref="L411">IFERROR(J411*INDEX('PORTIFÓLIO'!$S$4:$S$433,MATCH($C411,'PORTIFÓLIO'!$C$4:$C$433,0)),"")</f>
        <v/>
      </c>
      <c r="M411" s="220"/>
      <c r="N411" s="220"/>
      <c r="O411" s="220"/>
      <c r="P411" s="220"/>
      <c r="Q411" s="220"/>
      <c r="R411" s="220"/>
      <c r="S411" s="220"/>
      <c r="T411" s="220"/>
      <c r="U411" s="220"/>
      <c r="V411" s="220"/>
      <c r="W411" s="220"/>
    </row>
    <row r="412" ht="15.75" customHeight="1" outlineLevel="1">
      <c r="A412" s="211"/>
      <c r="B412" s="212"/>
      <c r="C412" s="213"/>
      <c r="D412" s="214" t="str">
        <f>IFERROR(VLOOKUP($C412,'PORTIFÓLIO'!C:V,2,0),"")</f>
        <v/>
      </c>
      <c r="E412" s="211" t="str">
        <f>IFERROR(VLOOKUP($C412,'PORTIFÓLIO'!C:V,3,0),"")</f>
        <v/>
      </c>
      <c r="F412" s="211" t="str">
        <f>IFERROR(VLOOKUP($C412,'PORTIFÓLIO'!C:V,4,0),"")</f>
        <v/>
      </c>
      <c r="G412" s="215" t="str">
        <f>IFERROR(VLOOKUP($C412,'PORTIFÓLIO'!C:V,5,0),"")</f>
        <v/>
      </c>
      <c r="H412" s="254" t="str">
        <f t="array" ref="H412">IFERROR(INDEX('PORTIFÓLIO'!$H$4:$H$433,MATCH($C412,'PORTIFÓLIO'!$C$4:$C$433,0)),"")</f>
        <v/>
      </c>
      <c r="I412" s="256"/>
      <c r="J412" s="218">
        <f t="shared" si="47"/>
        <v>0</v>
      </c>
      <c r="K412" s="292" t="str">
        <f t="array" ref="K412">IFERROR(I412*INDEX('PORTIFÓLIO'!$S$4:$S$433,MATCH($C412,'PORTIFÓLIO'!$C$4:$C$433,0)),"")</f>
        <v/>
      </c>
      <c r="L412" s="292" t="str">
        <f t="array" ref="L412">IFERROR(J412*INDEX('PORTIFÓLIO'!$S$4:$S$433,MATCH($C412,'PORTIFÓLIO'!$C$4:$C$433,0)),"")</f>
        <v/>
      </c>
      <c r="M412" s="220"/>
      <c r="N412" s="220"/>
      <c r="O412" s="220"/>
      <c r="P412" s="220"/>
      <c r="Q412" s="220"/>
      <c r="R412" s="220"/>
      <c r="S412" s="220"/>
      <c r="T412" s="220"/>
      <c r="U412" s="220"/>
      <c r="V412" s="220"/>
      <c r="W412" s="220"/>
    </row>
    <row r="413" ht="15.75" customHeight="1" outlineLevel="1">
      <c r="A413" s="211"/>
      <c r="B413" s="212"/>
      <c r="C413" s="213"/>
      <c r="D413" s="214" t="str">
        <f>IFERROR(VLOOKUP($C413,'PORTIFÓLIO'!C:V,2,0),"")</f>
        <v/>
      </c>
      <c r="E413" s="211" t="str">
        <f>IFERROR(VLOOKUP($C413,'PORTIFÓLIO'!C:V,3,0),"")</f>
        <v/>
      </c>
      <c r="F413" s="211" t="str">
        <f>IFERROR(VLOOKUP($C413,'PORTIFÓLIO'!C:V,4,0),"")</f>
        <v/>
      </c>
      <c r="G413" s="215" t="str">
        <f>IFERROR(VLOOKUP($C413,'PORTIFÓLIO'!C:V,5,0),"")</f>
        <v/>
      </c>
      <c r="H413" s="254" t="str">
        <f t="array" ref="H413">IFERROR(INDEX('PORTIFÓLIO'!$H$4:$H$433,MATCH($C413,'PORTIFÓLIO'!$C$4:$C$433,0)),"")</f>
        <v/>
      </c>
      <c r="I413" s="256"/>
      <c r="J413" s="218">
        <f t="shared" si="47"/>
        <v>0</v>
      </c>
      <c r="K413" s="292" t="str">
        <f t="array" ref="K413">IFERROR(I413*INDEX('PORTIFÓLIO'!$S$4:$S$433,MATCH($C413,'PORTIFÓLIO'!$C$4:$C$433,0)),"")</f>
        <v/>
      </c>
      <c r="L413" s="292" t="str">
        <f t="array" ref="L413">IFERROR(J413*INDEX('PORTIFÓLIO'!$S$4:$S$433,MATCH($C413,'PORTIFÓLIO'!$C$4:$C$433,0)),"")</f>
        <v/>
      </c>
      <c r="M413" s="220"/>
      <c r="N413" s="220"/>
      <c r="O413" s="220"/>
      <c r="P413" s="220"/>
      <c r="Q413" s="220"/>
      <c r="R413" s="220"/>
      <c r="S413" s="220"/>
      <c r="T413" s="220"/>
      <c r="U413" s="220"/>
      <c r="V413" s="220"/>
      <c r="W413" s="220"/>
    </row>
    <row r="414" ht="15.75" customHeight="1" outlineLevel="1">
      <c r="A414" s="211"/>
      <c r="B414" s="212"/>
      <c r="C414" s="213"/>
      <c r="D414" s="214" t="str">
        <f>IFERROR(VLOOKUP($C414,'PORTIFÓLIO'!C:V,2,0),"")</f>
        <v/>
      </c>
      <c r="E414" s="211" t="str">
        <f>IFERROR(VLOOKUP($C414,'PORTIFÓLIO'!C:V,3,0),"")</f>
        <v/>
      </c>
      <c r="F414" s="211" t="str">
        <f>IFERROR(VLOOKUP($C414,'PORTIFÓLIO'!C:V,4,0),"")</f>
        <v/>
      </c>
      <c r="G414" s="215" t="str">
        <f>IFERROR(VLOOKUP($C414,'PORTIFÓLIO'!C:V,5,0),"")</f>
        <v/>
      </c>
      <c r="H414" s="254" t="str">
        <f t="array" ref="H414">IFERROR(INDEX('PORTIFÓLIO'!$H$4:$H$433,MATCH($C414,'PORTIFÓLIO'!$C$4:$C$433,0)),"")</f>
        <v/>
      </c>
      <c r="I414" s="256"/>
      <c r="J414" s="218">
        <f t="shared" si="47"/>
        <v>0</v>
      </c>
      <c r="K414" s="292" t="str">
        <f t="array" ref="K414">IFERROR(I414*INDEX('PORTIFÓLIO'!$S$4:$S$433,MATCH($C414,'PORTIFÓLIO'!$C$4:$C$433,0)),"")</f>
        <v/>
      </c>
      <c r="L414" s="292" t="str">
        <f t="array" ref="L414">IFERROR(J414*INDEX('PORTIFÓLIO'!$S$4:$S$433,MATCH($C414,'PORTIFÓLIO'!$C$4:$C$433,0)),"")</f>
        <v/>
      </c>
      <c r="M414" s="220"/>
      <c r="N414" s="220"/>
      <c r="O414" s="220"/>
      <c r="P414" s="220"/>
      <c r="Q414" s="220"/>
      <c r="R414" s="220"/>
      <c r="S414" s="220"/>
      <c r="T414" s="220"/>
      <c r="U414" s="220"/>
      <c r="V414" s="220"/>
      <c r="W414" s="220"/>
    </row>
    <row r="415" ht="15.75" customHeight="1" outlineLevel="1">
      <c r="A415" s="211"/>
      <c r="B415" s="212"/>
      <c r="C415" s="213"/>
      <c r="D415" s="214" t="str">
        <f>IFERROR(VLOOKUP($C415,'PORTIFÓLIO'!C:V,2,0),"")</f>
        <v/>
      </c>
      <c r="E415" s="211" t="str">
        <f>IFERROR(VLOOKUP($C415,'PORTIFÓLIO'!C:V,3,0),"")</f>
        <v/>
      </c>
      <c r="F415" s="211" t="str">
        <f>IFERROR(VLOOKUP($C415,'PORTIFÓLIO'!C:V,4,0),"")</f>
        <v/>
      </c>
      <c r="G415" s="215" t="str">
        <f>IFERROR(VLOOKUP($C415,'PORTIFÓLIO'!C:V,5,0),"")</f>
        <v/>
      </c>
      <c r="H415" s="254" t="str">
        <f t="array" ref="H415">IFERROR(INDEX('PORTIFÓLIO'!$H$4:$H$433,MATCH($C415,'PORTIFÓLIO'!$C$4:$C$433,0)),"")</f>
        <v/>
      </c>
      <c r="I415" s="256"/>
      <c r="J415" s="218">
        <f t="shared" si="47"/>
        <v>0</v>
      </c>
      <c r="K415" s="292" t="str">
        <f t="array" ref="K415">IFERROR(I415*INDEX('PORTIFÓLIO'!$S$4:$S$433,MATCH($C415,'PORTIFÓLIO'!$C$4:$C$433,0)),"")</f>
        <v/>
      </c>
      <c r="L415" s="292" t="str">
        <f t="array" ref="L415">IFERROR(J415*INDEX('PORTIFÓLIO'!$S$4:$S$433,MATCH($C415,'PORTIFÓLIO'!$C$4:$C$433,0)),"")</f>
        <v/>
      </c>
      <c r="M415" s="220"/>
      <c r="N415" s="220"/>
      <c r="O415" s="220"/>
      <c r="P415" s="220"/>
      <c r="Q415" s="220"/>
      <c r="R415" s="220"/>
      <c r="S415" s="220"/>
      <c r="T415" s="220"/>
      <c r="U415" s="220"/>
      <c r="V415" s="220"/>
      <c r="W415" s="220"/>
    </row>
    <row r="416" ht="15.75" customHeight="1" outlineLevel="1">
      <c r="A416" s="211"/>
      <c r="B416" s="212"/>
      <c r="C416" s="213"/>
      <c r="D416" s="214" t="str">
        <f>IFERROR(VLOOKUP($C416,'PORTIFÓLIO'!C:V,2,0),"")</f>
        <v/>
      </c>
      <c r="E416" s="211" t="str">
        <f>IFERROR(VLOOKUP($C416,'PORTIFÓLIO'!C:V,3,0),"")</f>
        <v/>
      </c>
      <c r="F416" s="211" t="str">
        <f>IFERROR(VLOOKUP($C416,'PORTIFÓLIO'!C:V,4,0),"")</f>
        <v/>
      </c>
      <c r="G416" s="215" t="str">
        <f>IFERROR(VLOOKUP($C416,'PORTIFÓLIO'!C:V,5,0),"")</f>
        <v/>
      </c>
      <c r="H416" s="254" t="str">
        <f t="array" ref="H416">IFERROR(INDEX('PORTIFÓLIO'!$H$4:$H$433,MATCH($C416,'PORTIFÓLIO'!$C$4:$C$433,0)),"")</f>
        <v/>
      </c>
      <c r="I416" s="256"/>
      <c r="J416" s="218">
        <f t="shared" si="47"/>
        <v>0</v>
      </c>
      <c r="K416" s="292" t="str">
        <f t="array" ref="K416">IFERROR(I416*INDEX('PORTIFÓLIO'!$S$4:$S$433,MATCH($C416,'PORTIFÓLIO'!$C$4:$C$433,0)),"")</f>
        <v/>
      </c>
      <c r="L416" s="292" t="str">
        <f t="array" ref="L416">IFERROR(J416*INDEX('PORTIFÓLIO'!$S$4:$S$433,MATCH($C416,'PORTIFÓLIO'!$C$4:$C$433,0)),"")</f>
        <v/>
      </c>
      <c r="M416" s="220"/>
      <c r="N416" s="220"/>
      <c r="O416" s="220"/>
      <c r="P416" s="220"/>
      <c r="Q416" s="220"/>
      <c r="R416" s="220"/>
      <c r="S416" s="220"/>
      <c r="T416" s="220"/>
      <c r="U416" s="220"/>
      <c r="V416" s="220"/>
      <c r="W416" s="220"/>
    </row>
    <row r="417" ht="15.75" customHeight="1" outlineLevel="1">
      <c r="A417" s="211"/>
      <c r="B417" s="212"/>
      <c r="C417" s="213"/>
      <c r="D417" s="214" t="str">
        <f>IFERROR(VLOOKUP($C417,'PORTIFÓLIO'!C:V,2,0),"")</f>
        <v/>
      </c>
      <c r="E417" s="211" t="str">
        <f>IFERROR(VLOOKUP($C417,'PORTIFÓLIO'!C:V,3,0),"")</f>
        <v/>
      </c>
      <c r="F417" s="211" t="str">
        <f>IFERROR(VLOOKUP($C417,'PORTIFÓLIO'!C:V,4,0),"")</f>
        <v/>
      </c>
      <c r="G417" s="215" t="str">
        <f>IFERROR(VLOOKUP($C417,'PORTIFÓLIO'!C:V,5,0),"")</f>
        <v/>
      </c>
      <c r="H417" s="254" t="str">
        <f t="array" ref="H417">IFERROR(INDEX('PORTIFÓLIO'!$H$4:$H$433,MATCH($C417,'PORTIFÓLIO'!$C$4:$C$433,0)),"")</f>
        <v/>
      </c>
      <c r="I417" s="256"/>
      <c r="J417" s="218">
        <f t="shared" si="47"/>
        <v>0</v>
      </c>
      <c r="K417" s="292" t="str">
        <f t="array" ref="K417">IFERROR(I417*INDEX('PORTIFÓLIO'!$S$4:$S$433,MATCH($C417,'PORTIFÓLIO'!$C$4:$C$433,0)),"")</f>
        <v/>
      </c>
      <c r="L417" s="292" t="str">
        <f t="array" ref="L417">IFERROR(J417*INDEX('PORTIFÓLIO'!$S$4:$S$433,MATCH($C417,'PORTIFÓLIO'!$C$4:$C$433,0)),"")</f>
        <v/>
      </c>
      <c r="M417" s="220"/>
      <c r="N417" s="220"/>
      <c r="O417" s="220"/>
      <c r="P417" s="220"/>
      <c r="Q417" s="220"/>
      <c r="R417" s="220"/>
      <c r="S417" s="220"/>
      <c r="T417" s="220"/>
      <c r="U417" s="220"/>
      <c r="V417" s="220"/>
      <c r="W417" s="220"/>
    </row>
    <row r="418" ht="15.75" customHeight="1" outlineLevel="1">
      <c r="A418" s="211"/>
      <c r="B418" s="212"/>
      <c r="C418" s="213"/>
      <c r="D418" s="214" t="str">
        <f>IFERROR(VLOOKUP($C418,'PORTIFÓLIO'!C:V,2,0),"")</f>
        <v/>
      </c>
      <c r="E418" s="211" t="str">
        <f>IFERROR(VLOOKUP($C418,'PORTIFÓLIO'!C:V,3,0),"")</f>
        <v/>
      </c>
      <c r="F418" s="211" t="str">
        <f>IFERROR(VLOOKUP($C418,'PORTIFÓLIO'!C:V,4,0),"")</f>
        <v/>
      </c>
      <c r="G418" s="215" t="str">
        <f>IFERROR(VLOOKUP($C418,'PORTIFÓLIO'!C:V,5,0),"")</f>
        <v/>
      </c>
      <c r="H418" s="254" t="str">
        <f t="array" ref="H418">IFERROR(INDEX('PORTIFÓLIO'!$H$4:$H$433,MATCH($C418,'PORTIFÓLIO'!$C$4:$C$433,0)),"")</f>
        <v/>
      </c>
      <c r="I418" s="255"/>
      <c r="J418" s="218">
        <f t="shared" si="47"/>
        <v>0</v>
      </c>
      <c r="K418" s="292" t="str">
        <f t="array" ref="K418">IFERROR(I418*INDEX('PORTIFÓLIO'!$S$4:$S$433,MATCH($C418,'PORTIFÓLIO'!$C$4:$C$433,0)),"")</f>
        <v/>
      </c>
      <c r="L418" s="292" t="str">
        <f t="array" ref="L418">IFERROR(J418*INDEX('PORTIFÓLIO'!$S$4:$S$433,MATCH($C418,'PORTIFÓLIO'!$C$4:$C$433,0)),"")</f>
        <v/>
      </c>
      <c r="M418" s="220"/>
      <c r="N418" s="220"/>
      <c r="O418" s="220"/>
      <c r="P418" s="220"/>
      <c r="Q418" s="220"/>
      <c r="R418" s="220"/>
      <c r="S418" s="220"/>
      <c r="T418" s="220"/>
      <c r="U418" s="220"/>
      <c r="V418" s="220"/>
      <c r="W418" s="220"/>
    </row>
    <row r="419" ht="15.75" customHeight="1" outlineLevel="1">
      <c r="A419" s="211"/>
      <c r="B419" s="212"/>
      <c r="C419" s="213"/>
      <c r="D419" s="214" t="str">
        <f>IFERROR(VLOOKUP($C419,'PORTIFÓLIO'!C:V,2,0),"")</f>
        <v/>
      </c>
      <c r="E419" s="211" t="str">
        <f>IFERROR(VLOOKUP($C419,'PORTIFÓLIO'!C:V,3,0),"")</f>
        <v/>
      </c>
      <c r="F419" s="211" t="str">
        <f>IFERROR(VLOOKUP($C419,'PORTIFÓLIO'!C:V,4,0),"")</f>
        <v/>
      </c>
      <c r="G419" s="215" t="str">
        <f>IFERROR(VLOOKUP($C419,'PORTIFÓLIO'!C:V,5,0),"")</f>
        <v/>
      </c>
      <c r="H419" s="254" t="str">
        <f t="array" ref="H419">IFERROR(INDEX('PORTIFÓLIO'!$H$4:$H$433,MATCH($C419,'PORTIFÓLIO'!$C$4:$C$433,0)),"")</f>
        <v/>
      </c>
      <c r="I419" s="256"/>
      <c r="J419" s="218">
        <f t="shared" si="47"/>
        <v>0</v>
      </c>
      <c r="K419" s="292" t="str">
        <f t="array" ref="K419">IFERROR(I419*INDEX('PORTIFÓLIO'!$S$4:$S$433,MATCH($C419,'PORTIFÓLIO'!$C$4:$C$433,0)),"")</f>
        <v/>
      </c>
      <c r="L419" s="292" t="str">
        <f t="array" ref="L419">IFERROR(J419*INDEX('PORTIFÓLIO'!$S$4:$S$433,MATCH($C419,'PORTIFÓLIO'!$C$4:$C$433,0)),"")</f>
        <v/>
      </c>
      <c r="M419" s="220"/>
      <c r="N419" s="220"/>
      <c r="O419" s="220"/>
      <c r="P419" s="220"/>
      <c r="Q419" s="220"/>
      <c r="R419" s="220"/>
      <c r="S419" s="220"/>
      <c r="T419" s="220"/>
      <c r="U419" s="220"/>
      <c r="V419" s="220"/>
      <c r="W419" s="220"/>
    </row>
    <row r="420" ht="15.75" customHeight="1" outlineLevel="1">
      <c r="A420" s="211"/>
      <c r="B420" s="212"/>
      <c r="C420" s="213"/>
      <c r="D420" s="214" t="str">
        <f>IFERROR(VLOOKUP($C420,'PORTIFÓLIO'!C:V,2,0),"")</f>
        <v/>
      </c>
      <c r="E420" s="211" t="str">
        <f>IFERROR(VLOOKUP($C420,'PORTIFÓLIO'!C:V,3,0),"")</f>
        <v/>
      </c>
      <c r="F420" s="211" t="str">
        <f>IFERROR(VLOOKUP($C420,'PORTIFÓLIO'!C:V,4,0),"")</f>
        <v/>
      </c>
      <c r="G420" s="215" t="str">
        <f>IFERROR(VLOOKUP($C420,'PORTIFÓLIO'!C:V,5,0),"")</f>
        <v/>
      </c>
      <c r="H420" s="254" t="str">
        <f t="array" ref="H420">IFERROR(INDEX('PORTIFÓLIO'!$H$4:$H$433,MATCH($C420,'PORTIFÓLIO'!$C$4:$C$433,0)),"")</f>
        <v/>
      </c>
      <c r="I420" s="256"/>
      <c r="J420" s="218">
        <f t="shared" si="47"/>
        <v>0</v>
      </c>
      <c r="K420" s="292" t="str">
        <f t="array" ref="K420">IFERROR(I420*INDEX('PORTIFÓLIO'!$S$4:$S$433,MATCH($C420,'PORTIFÓLIO'!$C$4:$C$433,0)),"")</f>
        <v/>
      </c>
      <c r="L420" s="292" t="str">
        <f t="array" ref="L420">IFERROR(J420*INDEX('PORTIFÓLIO'!$S$4:$S$433,MATCH($C420,'PORTIFÓLIO'!$C$4:$C$433,0)),"")</f>
        <v/>
      </c>
      <c r="M420" s="220"/>
      <c r="N420" s="220"/>
      <c r="O420" s="220"/>
      <c r="P420" s="220"/>
      <c r="Q420" s="220"/>
      <c r="R420" s="220"/>
      <c r="S420" s="220"/>
      <c r="T420" s="220"/>
      <c r="U420" s="220"/>
      <c r="V420" s="220"/>
      <c r="W420" s="220"/>
    </row>
    <row r="421" ht="15.75" customHeight="1" outlineLevel="1">
      <c r="A421" s="211"/>
      <c r="B421" s="212"/>
      <c r="C421" s="213"/>
      <c r="D421" s="214" t="str">
        <f>IFERROR(VLOOKUP($C421,'PORTIFÓLIO'!C:V,2,0),"")</f>
        <v/>
      </c>
      <c r="E421" s="211" t="str">
        <f>IFERROR(VLOOKUP($C421,'PORTIFÓLIO'!C:V,3,0),"")</f>
        <v/>
      </c>
      <c r="F421" s="211" t="str">
        <f>IFERROR(VLOOKUP($C421,'PORTIFÓLIO'!C:V,4,0),"")</f>
        <v/>
      </c>
      <c r="G421" s="215" t="str">
        <f>IFERROR(VLOOKUP($C421,'PORTIFÓLIO'!C:V,5,0),"")</f>
        <v/>
      </c>
      <c r="H421" s="254" t="str">
        <f t="array" ref="H421">IFERROR(INDEX('PORTIFÓLIO'!$H$4:$H$433,MATCH($C421,'PORTIFÓLIO'!$C$4:$C$433,0)),"")</f>
        <v/>
      </c>
      <c r="I421" s="256"/>
      <c r="J421" s="218">
        <f t="shared" si="47"/>
        <v>0</v>
      </c>
      <c r="K421" s="292" t="str">
        <f t="array" ref="K421">IFERROR(I421*INDEX('PORTIFÓLIO'!$S$4:$S$433,MATCH($C421,'PORTIFÓLIO'!$C$4:$C$433,0)),"")</f>
        <v/>
      </c>
      <c r="L421" s="292" t="str">
        <f t="array" ref="L421">IFERROR(J421*INDEX('PORTIFÓLIO'!$S$4:$S$433,MATCH($C421,'PORTIFÓLIO'!$C$4:$C$433,0)),"")</f>
        <v/>
      </c>
      <c r="M421" s="220"/>
      <c r="N421" s="220"/>
      <c r="O421" s="220"/>
      <c r="P421" s="220"/>
      <c r="Q421" s="220"/>
      <c r="R421" s="220"/>
      <c r="S421" s="220"/>
      <c r="T421" s="220"/>
      <c r="U421" s="220"/>
      <c r="V421" s="220"/>
      <c r="W421" s="220"/>
    </row>
    <row r="422" ht="15.75" customHeight="1" outlineLevel="1">
      <c r="A422" s="211"/>
      <c r="B422" s="212"/>
      <c r="C422" s="213"/>
      <c r="D422" s="214" t="str">
        <f>IFERROR(VLOOKUP($C422,'PORTIFÓLIO'!C:V,2,0),"")</f>
        <v/>
      </c>
      <c r="E422" s="211" t="str">
        <f>IFERROR(VLOOKUP($C422,'PORTIFÓLIO'!C:V,3,0),"")</f>
        <v/>
      </c>
      <c r="F422" s="211" t="str">
        <f>IFERROR(VLOOKUP($C422,'PORTIFÓLIO'!C:V,4,0),"")</f>
        <v/>
      </c>
      <c r="G422" s="215" t="str">
        <f>IFERROR(VLOOKUP($C422,'PORTIFÓLIO'!C:V,5,0),"")</f>
        <v/>
      </c>
      <c r="H422" s="254" t="str">
        <f t="array" ref="H422">IFERROR(INDEX('PORTIFÓLIO'!$H$4:$H$433,MATCH($C422,'PORTIFÓLIO'!$C$4:$C$433,0)),"")</f>
        <v/>
      </c>
      <c r="I422" s="256"/>
      <c r="J422" s="218">
        <f t="shared" si="47"/>
        <v>0</v>
      </c>
      <c r="K422" s="292" t="str">
        <f t="array" ref="K422">IFERROR(I422*INDEX('PORTIFÓLIO'!$S$4:$S$433,MATCH($C422,'PORTIFÓLIO'!$C$4:$C$433,0)),"")</f>
        <v/>
      </c>
      <c r="L422" s="292" t="str">
        <f t="array" ref="L422">IFERROR(J422*INDEX('PORTIFÓLIO'!$S$4:$S$433,MATCH($C422,'PORTIFÓLIO'!$C$4:$C$433,0)),"")</f>
        <v/>
      </c>
      <c r="M422" s="220"/>
      <c r="N422" s="220"/>
      <c r="O422" s="220"/>
      <c r="P422" s="220"/>
      <c r="Q422" s="220"/>
      <c r="R422" s="220"/>
      <c r="S422" s="220"/>
      <c r="T422" s="220"/>
      <c r="U422" s="220"/>
      <c r="V422" s="220"/>
      <c r="W422" s="220"/>
    </row>
    <row r="423" ht="15.75" customHeight="1" outlineLevel="1">
      <c r="A423" s="211"/>
      <c r="B423" s="212"/>
      <c r="C423" s="213"/>
      <c r="D423" s="214" t="str">
        <f>IFERROR(VLOOKUP($C423,'PORTIFÓLIO'!C:V,2,0),"")</f>
        <v/>
      </c>
      <c r="E423" s="211" t="str">
        <f>IFERROR(VLOOKUP($C423,'PORTIFÓLIO'!C:V,3,0),"")</f>
        <v/>
      </c>
      <c r="F423" s="211" t="str">
        <f>IFERROR(VLOOKUP($C423,'PORTIFÓLIO'!C:V,4,0),"")</f>
        <v/>
      </c>
      <c r="G423" s="215" t="str">
        <f>IFERROR(VLOOKUP($C423,'PORTIFÓLIO'!C:V,5,0),"")</f>
        <v/>
      </c>
      <c r="H423" s="254" t="str">
        <f t="array" ref="H423">IFERROR(INDEX('PORTIFÓLIO'!$H$4:$H$433,MATCH($C423,'PORTIFÓLIO'!$C$4:$C$433,0)),"")</f>
        <v/>
      </c>
      <c r="I423" s="256"/>
      <c r="J423" s="218">
        <f t="shared" si="47"/>
        <v>0</v>
      </c>
      <c r="K423" s="292" t="str">
        <f t="array" ref="K423">IFERROR(I423*INDEX('PORTIFÓLIO'!$S$4:$S$433,MATCH($C423,'PORTIFÓLIO'!$C$4:$C$433,0)),"")</f>
        <v/>
      </c>
      <c r="L423" s="292" t="str">
        <f t="array" ref="L423">IFERROR(J423*INDEX('PORTIFÓLIO'!$S$4:$S$433,MATCH($C423,'PORTIFÓLIO'!$C$4:$C$433,0)),"")</f>
        <v/>
      </c>
      <c r="M423" s="220"/>
      <c r="N423" s="220"/>
      <c r="O423" s="220"/>
      <c r="P423" s="220"/>
      <c r="Q423" s="220"/>
      <c r="R423" s="220"/>
      <c r="S423" s="220"/>
      <c r="T423" s="220"/>
      <c r="U423" s="220"/>
      <c r="V423" s="220"/>
      <c r="W423" s="220"/>
    </row>
    <row r="424" ht="15.75" customHeight="1" outlineLevel="1">
      <c r="A424" s="211"/>
      <c r="B424" s="212"/>
      <c r="C424" s="213"/>
      <c r="D424" s="214" t="str">
        <f>IFERROR(VLOOKUP($C424,'PORTIFÓLIO'!C:V,2,0),"")</f>
        <v/>
      </c>
      <c r="E424" s="211" t="str">
        <f>IFERROR(VLOOKUP($C424,'PORTIFÓLIO'!C:V,3,0),"")</f>
        <v/>
      </c>
      <c r="F424" s="211" t="str">
        <f>IFERROR(VLOOKUP($C424,'PORTIFÓLIO'!C:V,4,0),"")</f>
        <v/>
      </c>
      <c r="G424" s="215" t="str">
        <f>IFERROR(VLOOKUP($C424,'PORTIFÓLIO'!C:V,5,0),"")</f>
        <v/>
      </c>
      <c r="H424" s="254" t="str">
        <f t="array" ref="H424">IFERROR(INDEX('PORTIFÓLIO'!$H$4:$H$433,MATCH($C424,'PORTIFÓLIO'!$C$4:$C$433,0)),"")</f>
        <v/>
      </c>
      <c r="I424" s="256"/>
      <c r="J424" s="218">
        <f t="shared" si="47"/>
        <v>0</v>
      </c>
      <c r="K424" s="292" t="str">
        <f t="array" ref="K424">IFERROR(I424*INDEX('PORTIFÓLIO'!$S$4:$S$433,MATCH($C424,'PORTIFÓLIO'!$C$4:$C$433,0)),"")</f>
        <v/>
      </c>
      <c r="L424" s="292" t="str">
        <f t="array" ref="L424">IFERROR(J424*INDEX('PORTIFÓLIO'!$S$4:$S$433,MATCH($C424,'PORTIFÓLIO'!$C$4:$C$433,0)),"")</f>
        <v/>
      </c>
      <c r="M424" s="220"/>
      <c r="N424" s="220"/>
      <c r="O424" s="220"/>
      <c r="P424" s="220"/>
      <c r="Q424" s="220"/>
      <c r="R424" s="220"/>
      <c r="S424" s="220"/>
      <c r="T424" s="220"/>
      <c r="U424" s="220"/>
      <c r="V424" s="220"/>
      <c r="W424" s="220"/>
    </row>
    <row r="425" ht="15.75" customHeight="1" outlineLevel="1">
      <c r="A425" s="211"/>
      <c r="B425" s="227"/>
      <c r="C425" s="211"/>
      <c r="D425" s="214" t="str">
        <f>IFERROR(VLOOKUP($C425,'PORTIFÓLIO'!C:V,2,0),"")</f>
        <v/>
      </c>
      <c r="E425" s="211" t="str">
        <f>IFERROR(VLOOKUP($C425,'PORTIFÓLIO'!C:V,3,0),"")</f>
        <v/>
      </c>
      <c r="F425" s="211" t="str">
        <f>IFERROR(VLOOKUP($C425,'PORTIFÓLIO'!C:V,4,0),"")</f>
        <v/>
      </c>
      <c r="G425" s="215" t="str">
        <f>IFERROR(VLOOKUP($C425,'PORTIFÓLIO'!C:V,5,0),"")</f>
        <v/>
      </c>
      <c r="H425" s="254" t="str">
        <f t="array" ref="H425">IFERROR(INDEX('PORTIFÓLIO'!$H$4:$H$433,MATCH($C425,'PORTIFÓLIO'!$C$4:$C$433,0)),"")</f>
        <v/>
      </c>
      <c r="I425" s="256"/>
      <c r="J425" s="218">
        <f t="shared" si="47"/>
        <v>0</v>
      </c>
      <c r="K425" s="292" t="str">
        <f t="array" ref="K425">IFERROR(I425*INDEX('PORTIFÓLIO'!$S$4:$S$433,MATCH($C425,'PORTIFÓLIO'!$C$4:$C$433,0)),"")</f>
        <v/>
      </c>
      <c r="L425" s="292" t="str">
        <f t="array" ref="L425">IFERROR(J425*INDEX('PORTIFÓLIO'!$S$4:$S$433,MATCH($C425,'PORTIFÓLIO'!$C$4:$C$433,0)),"")</f>
        <v/>
      </c>
      <c r="M425" s="220"/>
      <c r="N425" s="220"/>
      <c r="O425" s="220"/>
      <c r="P425" s="220"/>
      <c r="Q425" s="220"/>
      <c r="R425" s="220"/>
      <c r="S425" s="220"/>
      <c r="T425" s="220"/>
      <c r="U425" s="220"/>
      <c r="V425" s="220"/>
      <c r="W425" s="220"/>
    </row>
    <row r="426" ht="15.75" customHeight="1" outlineLevel="1">
      <c r="A426" s="211"/>
      <c r="B426" s="227"/>
      <c r="C426" s="211"/>
      <c r="D426" s="214" t="str">
        <f>IFERROR(VLOOKUP($C426,'PORTIFÓLIO'!C:V,2,0),"")</f>
        <v/>
      </c>
      <c r="E426" s="211" t="str">
        <f>IFERROR(VLOOKUP($C426,'PORTIFÓLIO'!C:V,3,0),"")</f>
        <v/>
      </c>
      <c r="F426" s="211" t="str">
        <f>IFERROR(VLOOKUP($C426,'PORTIFÓLIO'!C:V,4,0),"")</f>
        <v/>
      </c>
      <c r="G426" s="215" t="str">
        <f>IFERROR(VLOOKUP($C426,'PORTIFÓLIO'!C:V,5,0),"")</f>
        <v/>
      </c>
      <c r="H426" s="254" t="str">
        <f t="array" ref="H426">IFERROR(INDEX('PORTIFÓLIO'!$H$4:$H$433,MATCH($C426,'PORTIFÓLIO'!$C$4:$C$433,0)),"")</f>
        <v/>
      </c>
      <c r="I426" s="256"/>
      <c r="J426" s="218">
        <f t="shared" si="47"/>
        <v>0</v>
      </c>
      <c r="K426" s="292" t="str">
        <f t="array" ref="K426">IFERROR(I426*INDEX('PORTIFÓLIO'!$S$4:$S$433,MATCH($C426,'PORTIFÓLIO'!$C$4:$C$433,0)),"")</f>
        <v/>
      </c>
      <c r="L426" s="292" t="str">
        <f t="array" ref="L426">IFERROR(J426*INDEX('PORTIFÓLIO'!$S$4:$S$433,MATCH($C426,'PORTIFÓLIO'!$C$4:$C$433,0)),"")</f>
        <v/>
      </c>
      <c r="U426" s="79"/>
    </row>
    <row r="427" ht="15.75" customHeight="1">
      <c r="A427" s="229" t="s">
        <v>1202</v>
      </c>
      <c r="B427" s="230"/>
      <c r="C427" s="231"/>
      <c r="D427" s="232"/>
      <c r="E427" s="231"/>
      <c r="F427" s="231"/>
      <c r="G427" s="233"/>
      <c r="H427" s="233"/>
      <c r="I427" s="258"/>
      <c r="J427" s="236"/>
      <c r="K427" s="237">
        <f t="shared" ref="K427:L427" si="48">SUBTOTAL(9,K428:K441)</f>
        <v>0</v>
      </c>
      <c r="L427" s="237">
        <f t="shared" si="48"/>
        <v>0</v>
      </c>
      <c r="U427" s="79"/>
    </row>
    <row r="428" ht="15.75" customHeight="1" outlineLevel="1">
      <c r="A428" s="213"/>
      <c r="B428" s="212"/>
      <c r="C428" s="213"/>
      <c r="D428" s="214" t="str">
        <f>IFERROR(VLOOKUP($C428,'PORTIFÓLIO'!C:V,2,0),"")</f>
        <v/>
      </c>
      <c r="E428" s="211" t="str">
        <f>IFERROR(VLOOKUP($C428,'PORTIFÓLIO'!C:V,3,0),"")</f>
        <v/>
      </c>
      <c r="F428" s="211" t="str">
        <f>IFERROR(VLOOKUP($C428,'PORTIFÓLIO'!C:V,4,0),"")</f>
        <v/>
      </c>
      <c r="G428" s="215" t="str">
        <f>IFERROR(VLOOKUP($C428,'PORTIFÓLIO'!C:V,5,0),"")</f>
        <v/>
      </c>
      <c r="H428" s="254" t="str">
        <f t="array" ref="H428">IFERROR(INDEX('PORTIFÓLIO'!$H$4:$H$433,MATCH($C428,'PORTIFÓLIO'!$C$4:$C$433,0)),"")</f>
        <v/>
      </c>
      <c r="I428" s="256"/>
      <c r="J428" s="218">
        <f t="shared" ref="J428:J451" si="49">I428*$B$2</f>
        <v>0</v>
      </c>
      <c r="K428" s="292" t="str">
        <f t="array" ref="K428">IFERROR(I428*INDEX('PORTIFÓLIO'!$S$4:$S$433,MATCH($C428,'PORTIFÓLIO'!$C$4:$C$433,0)),"")</f>
        <v/>
      </c>
      <c r="L428" s="292" t="str">
        <f t="array" ref="L428">IFERROR(J428*INDEX('PORTIFÓLIO'!$S$4:$S$433,MATCH($C428,'PORTIFÓLIO'!$C$4:$C$433,0)),"")</f>
        <v/>
      </c>
      <c r="U428" s="79"/>
    </row>
    <row r="429" ht="15.75" customHeight="1" outlineLevel="1">
      <c r="A429" s="211"/>
      <c r="B429" s="212"/>
      <c r="C429" s="213"/>
      <c r="D429" s="214" t="str">
        <f>IFERROR(VLOOKUP($C429,'PORTIFÓLIO'!C:V,2,0),"")</f>
        <v/>
      </c>
      <c r="E429" s="211" t="str">
        <f>IFERROR(VLOOKUP($C429,'PORTIFÓLIO'!C:V,3,0),"")</f>
        <v/>
      </c>
      <c r="F429" s="211" t="str">
        <f>IFERROR(VLOOKUP($C429,'PORTIFÓLIO'!C:V,4,0),"")</f>
        <v/>
      </c>
      <c r="G429" s="215" t="str">
        <f>IFERROR(VLOOKUP($C429,'PORTIFÓLIO'!C:V,5,0),"")</f>
        <v/>
      </c>
      <c r="H429" s="254" t="str">
        <f t="array" ref="H429">IFERROR(INDEX('PORTIFÓLIO'!$H$4:$H$433,MATCH($C429,'PORTIFÓLIO'!$C$4:$C$433,0)),"")</f>
        <v/>
      </c>
      <c r="I429" s="256"/>
      <c r="J429" s="218">
        <f t="shared" si="49"/>
        <v>0</v>
      </c>
      <c r="K429" s="292" t="str">
        <f t="array" ref="K429">IFERROR(I429*INDEX('PORTIFÓLIO'!$S$4:$S$433,MATCH($C429,'PORTIFÓLIO'!$C$4:$C$433,0)),"")</f>
        <v/>
      </c>
      <c r="L429" s="292" t="str">
        <f t="array" ref="L429">IFERROR(J429*INDEX('PORTIFÓLIO'!$S$4:$S$433,MATCH($C429,'PORTIFÓLIO'!$C$4:$C$433,0)),"")</f>
        <v/>
      </c>
      <c r="U429" s="79"/>
    </row>
    <row r="430" ht="15.75" customHeight="1" outlineLevel="1">
      <c r="A430" s="211"/>
      <c r="B430" s="212"/>
      <c r="C430" s="213"/>
      <c r="D430" s="214" t="str">
        <f>IFERROR(VLOOKUP($C430,'PORTIFÓLIO'!C:V,2,0),"")</f>
        <v/>
      </c>
      <c r="E430" s="211" t="str">
        <f>IFERROR(VLOOKUP($C430,'PORTIFÓLIO'!C:V,3,0),"")</f>
        <v/>
      </c>
      <c r="F430" s="211" t="str">
        <f>IFERROR(VLOOKUP($C430,'PORTIFÓLIO'!C:V,4,0),"")</f>
        <v/>
      </c>
      <c r="G430" s="215" t="str">
        <f>IFERROR(VLOOKUP($C430,'PORTIFÓLIO'!C:V,5,0),"")</f>
        <v/>
      </c>
      <c r="H430" s="254" t="str">
        <f t="array" ref="H430">IFERROR(INDEX('PORTIFÓLIO'!$H$4:$H$433,MATCH($C430,'PORTIFÓLIO'!$C$4:$C$433,0)),"")</f>
        <v/>
      </c>
      <c r="I430" s="256"/>
      <c r="J430" s="218">
        <f t="shared" si="49"/>
        <v>0</v>
      </c>
      <c r="K430" s="292" t="str">
        <f t="array" ref="K430">IFERROR(I430*INDEX('PORTIFÓLIO'!$S$4:$S$433,MATCH($C430,'PORTIFÓLIO'!$C$4:$C$433,0)),"")</f>
        <v/>
      </c>
      <c r="L430" s="292" t="str">
        <f t="array" ref="L430">IFERROR(J430*INDEX('PORTIFÓLIO'!$S$4:$S$433,MATCH($C430,'PORTIFÓLIO'!$C$4:$C$433,0)),"")</f>
        <v/>
      </c>
      <c r="U430" s="79"/>
    </row>
    <row r="431" ht="15.75" customHeight="1" outlineLevel="1">
      <c r="A431" s="211"/>
      <c r="B431" s="212"/>
      <c r="C431" s="213"/>
      <c r="D431" s="214" t="str">
        <f>IFERROR(VLOOKUP($C431,'PORTIFÓLIO'!C:V,2,0),"")</f>
        <v/>
      </c>
      <c r="E431" s="211" t="str">
        <f>IFERROR(VLOOKUP($C431,'PORTIFÓLIO'!C:V,3,0),"")</f>
        <v/>
      </c>
      <c r="F431" s="211" t="str">
        <f>IFERROR(VLOOKUP($C431,'PORTIFÓLIO'!C:V,4,0),"")</f>
        <v/>
      </c>
      <c r="G431" s="215" t="str">
        <f>IFERROR(VLOOKUP($C431,'PORTIFÓLIO'!C:V,5,0),"")</f>
        <v/>
      </c>
      <c r="H431" s="254" t="str">
        <f t="array" ref="H431">IFERROR(INDEX('PORTIFÓLIO'!$H$4:$H$433,MATCH($C431,'PORTIFÓLIO'!$C$4:$C$433,0)),"")</f>
        <v/>
      </c>
      <c r="I431" s="256"/>
      <c r="J431" s="218">
        <f t="shared" si="49"/>
        <v>0</v>
      </c>
      <c r="K431" s="292" t="str">
        <f t="array" ref="K431">IFERROR(I431*INDEX('PORTIFÓLIO'!$S$4:$S$433,MATCH($C431,'PORTIFÓLIO'!$C$4:$C$433,0)),"")</f>
        <v/>
      </c>
      <c r="L431" s="292" t="str">
        <f t="array" ref="L431">IFERROR(J431*INDEX('PORTIFÓLIO'!$S$4:$S$433,MATCH($C431,'PORTIFÓLIO'!$C$4:$C$433,0)),"")</f>
        <v/>
      </c>
      <c r="U431" s="79"/>
    </row>
    <row r="432" ht="15.75" customHeight="1" outlineLevel="1">
      <c r="A432" s="211"/>
      <c r="B432" s="212"/>
      <c r="C432" s="213"/>
      <c r="D432" s="214" t="str">
        <f>IFERROR(VLOOKUP($C432,'PORTIFÓLIO'!C:V,2,0),"")</f>
        <v/>
      </c>
      <c r="E432" s="211" t="str">
        <f>IFERROR(VLOOKUP($C432,'PORTIFÓLIO'!C:V,3,0),"")</f>
        <v/>
      </c>
      <c r="F432" s="211" t="str">
        <f>IFERROR(VLOOKUP($C432,'PORTIFÓLIO'!C:V,4,0),"")</f>
        <v/>
      </c>
      <c r="G432" s="215" t="str">
        <f>IFERROR(VLOOKUP($C432,'PORTIFÓLIO'!C:V,5,0),"")</f>
        <v/>
      </c>
      <c r="H432" s="254" t="str">
        <f t="array" ref="H432">IFERROR(INDEX('PORTIFÓLIO'!$H$4:$H$433,MATCH($C432,'PORTIFÓLIO'!$C$4:$C$433,0)),"")</f>
        <v/>
      </c>
      <c r="I432" s="256"/>
      <c r="J432" s="218">
        <f t="shared" si="49"/>
        <v>0</v>
      </c>
      <c r="K432" s="292" t="str">
        <f t="array" ref="K432">IFERROR(I432*INDEX('PORTIFÓLIO'!$S$4:$S$433,MATCH($C432,'PORTIFÓLIO'!$C$4:$C$433,0)),"")</f>
        <v/>
      </c>
      <c r="L432" s="292" t="str">
        <f t="array" ref="L432">IFERROR(J432*INDEX('PORTIFÓLIO'!$S$4:$S$433,MATCH($C432,'PORTIFÓLIO'!$C$4:$C$433,0)),"")</f>
        <v/>
      </c>
      <c r="U432" s="79"/>
    </row>
    <row r="433" ht="15.75" customHeight="1" outlineLevel="1">
      <c r="A433" s="211"/>
      <c r="B433" s="212"/>
      <c r="C433" s="213"/>
      <c r="D433" s="214" t="str">
        <f>IFERROR(VLOOKUP($C433,'PORTIFÓLIO'!C:V,2,0),"")</f>
        <v/>
      </c>
      <c r="E433" s="211" t="str">
        <f>IFERROR(VLOOKUP($C433,'PORTIFÓLIO'!C:V,3,0),"")</f>
        <v/>
      </c>
      <c r="F433" s="211" t="str">
        <f>IFERROR(VLOOKUP($C433,'PORTIFÓLIO'!C:V,4,0),"")</f>
        <v/>
      </c>
      <c r="G433" s="215" t="str">
        <f>IFERROR(VLOOKUP($C433,'PORTIFÓLIO'!C:V,5,0),"")</f>
        <v/>
      </c>
      <c r="H433" s="254" t="str">
        <f t="array" ref="H433">IFERROR(INDEX('PORTIFÓLIO'!$H$4:$H$433,MATCH($C433,'PORTIFÓLIO'!$C$4:$C$433,0)),"")</f>
        <v/>
      </c>
      <c r="I433" s="256"/>
      <c r="J433" s="218">
        <f t="shared" si="49"/>
        <v>0</v>
      </c>
      <c r="K433" s="292" t="str">
        <f t="array" ref="K433">IFERROR(I433*INDEX('PORTIFÓLIO'!$S$4:$S$433,MATCH($C433,'PORTIFÓLIO'!$C$4:$C$433,0)),"")</f>
        <v/>
      </c>
      <c r="L433" s="292" t="str">
        <f t="array" ref="L433">IFERROR(J433*INDEX('PORTIFÓLIO'!$S$4:$S$433,MATCH($C433,'PORTIFÓLIO'!$C$4:$C$433,0)),"")</f>
        <v/>
      </c>
      <c r="U433" s="79"/>
    </row>
    <row r="434" ht="15.75" customHeight="1" outlineLevel="1">
      <c r="A434" s="211"/>
      <c r="B434" s="212"/>
      <c r="C434" s="213"/>
      <c r="D434" s="214" t="str">
        <f>IFERROR(VLOOKUP($C434,'PORTIFÓLIO'!C:V,2,0),"")</f>
        <v/>
      </c>
      <c r="E434" s="211" t="str">
        <f>IFERROR(VLOOKUP($C434,'PORTIFÓLIO'!C:V,3,0),"")</f>
        <v/>
      </c>
      <c r="F434" s="211" t="str">
        <f>IFERROR(VLOOKUP($C434,'PORTIFÓLIO'!C:V,4,0),"")</f>
        <v/>
      </c>
      <c r="G434" s="215" t="str">
        <f>IFERROR(VLOOKUP($C434,'PORTIFÓLIO'!C:V,5,0),"")</f>
        <v/>
      </c>
      <c r="H434" s="254" t="str">
        <f t="array" ref="H434">IFERROR(INDEX('PORTIFÓLIO'!$H$4:$H$433,MATCH($C434,'PORTIFÓLIO'!$C$4:$C$433,0)),"")</f>
        <v/>
      </c>
      <c r="I434" s="256"/>
      <c r="J434" s="218">
        <f t="shared" si="49"/>
        <v>0</v>
      </c>
      <c r="K434" s="292" t="str">
        <f t="array" ref="K434">IFERROR(I434*INDEX('PORTIFÓLIO'!$S$4:$S$433,MATCH($C434,'PORTIFÓLIO'!$C$4:$C$433,0)),"")</f>
        <v/>
      </c>
      <c r="L434" s="292" t="str">
        <f t="array" ref="L434">IFERROR(J434*INDEX('PORTIFÓLIO'!$S$4:$S$433,MATCH($C434,'PORTIFÓLIO'!$C$4:$C$433,0)),"")</f>
        <v/>
      </c>
      <c r="U434" s="79"/>
    </row>
    <row r="435" ht="15.75" customHeight="1" outlineLevel="1">
      <c r="A435" s="211"/>
      <c r="B435" s="212"/>
      <c r="C435" s="213"/>
      <c r="D435" s="214" t="str">
        <f>IFERROR(VLOOKUP($C435,'PORTIFÓLIO'!C:V,2,0),"")</f>
        <v/>
      </c>
      <c r="E435" s="211" t="str">
        <f>IFERROR(VLOOKUP($C435,'PORTIFÓLIO'!C:V,3,0),"")</f>
        <v/>
      </c>
      <c r="F435" s="211" t="str">
        <f>IFERROR(VLOOKUP($C435,'PORTIFÓLIO'!C:V,4,0),"")</f>
        <v/>
      </c>
      <c r="G435" s="215" t="str">
        <f>IFERROR(VLOOKUP($C435,'PORTIFÓLIO'!C:V,5,0),"")</f>
        <v/>
      </c>
      <c r="H435" s="254" t="str">
        <f t="array" ref="H435">IFERROR(INDEX('PORTIFÓLIO'!$H$4:$H$433,MATCH($C435,'PORTIFÓLIO'!$C$4:$C$433,0)),"")</f>
        <v/>
      </c>
      <c r="I435" s="256"/>
      <c r="J435" s="218">
        <f t="shared" si="49"/>
        <v>0</v>
      </c>
      <c r="K435" s="292" t="str">
        <f t="array" ref="K435">IFERROR(I435*INDEX('PORTIFÓLIO'!$S$4:$S$433,MATCH($C435,'PORTIFÓLIO'!$C$4:$C$433,0)),"")</f>
        <v/>
      </c>
      <c r="L435" s="292" t="str">
        <f t="array" ref="L435">IFERROR(J435*INDEX('PORTIFÓLIO'!$S$4:$S$433,MATCH($C435,'PORTIFÓLIO'!$C$4:$C$433,0)),"")</f>
        <v/>
      </c>
      <c r="U435" s="79"/>
    </row>
    <row r="436" ht="15.75" customHeight="1" outlineLevel="1">
      <c r="A436" s="211"/>
      <c r="B436" s="212"/>
      <c r="C436" s="213"/>
      <c r="D436" s="214" t="str">
        <f>IFERROR(VLOOKUP($C436,'PORTIFÓLIO'!C:V,2,0),"")</f>
        <v/>
      </c>
      <c r="E436" s="211" t="str">
        <f>IFERROR(VLOOKUP($C436,'PORTIFÓLIO'!C:V,3,0),"")</f>
        <v/>
      </c>
      <c r="F436" s="211" t="str">
        <f>IFERROR(VLOOKUP($C436,'PORTIFÓLIO'!C:V,4,0),"")</f>
        <v/>
      </c>
      <c r="G436" s="215" t="str">
        <f>IFERROR(VLOOKUP($C436,'PORTIFÓLIO'!C:V,5,0),"")</f>
        <v/>
      </c>
      <c r="H436" s="254" t="str">
        <f t="array" ref="H436">IFERROR(INDEX('PORTIFÓLIO'!$H$4:$H$433,MATCH($C436,'PORTIFÓLIO'!$C$4:$C$433,0)),"")</f>
        <v/>
      </c>
      <c r="I436" s="256"/>
      <c r="J436" s="218">
        <f t="shared" si="49"/>
        <v>0</v>
      </c>
      <c r="K436" s="292" t="str">
        <f t="array" ref="K436">IFERROR(I436*INDEX('PORTIFÓLIO'!$S$4:$S$433,MATCH($C436,'PORTIFÓLIO'!$C$4:$C$433,0)),"")</f>
        <v/>
      </c>
      <c r="L436" s="292" t="str">
        <f t="array" ref="L436">IFERROR(J436*INDEX('PORTIFÓLIO'!$S$4:$S$433,MATCH($C436,'PORTIFÓLIO'!$C$4:$C$433,0)),"")</f>
        <v/>
      </c>
      <c r="U436" s="79"/>
    </row>
    <row r="437" ht="15.75" customHeight="1" outlineLevel="1">
      <c r="A437" s="211"/>
      <c r="B437" s="212"/>
      <c r="C437" s="213"/>
      <c r="D437" s="214" t="str">
        <f>IFERROR(VLOOKUP($C437,'PORTIFÓLIO'!C:V,2,0),"")</f>
        <v/>
      </c>
      <c r="E437" s="211" t="str">
        <f>IFERROR(VLOOKUP($C437,'PORTIFÓLIO'!C:V,3,0),"")</f>
        <v/>
      </c>
      <c r="F437" s="211" t="str">
        <f>IFERROR(VLOOKUP($C437,'PORTIFÓLIO'!C:V,4,0),"")</f>
        <v/>
      </c>
      <c r="G437" s="215" t="str">
        <f>IFERROR(VLOOKUP($C437,'PORTIFÓLIO'!C:V,5,0),"")</f>
        <v/>
      </c>
      <c r="H437" s="254" t="str">
        <f t="array" ref="H437">IFERROR(INDEX('PORTIFÓLIO'!$H$4:$H$433,MATCH($C437,'PORTIFÓLIO'!$C$4:$C$433,0)),"")</f>
        <v/>
      </c>
      <c r="I437" s="256"/>
      <c r="J437" s="218">
        <f t="shared" si="49"/>
        <v>0</v>
      </c>
      <c r="K437" s="292" t="str">
        <f t="array" ref="K437">IFERROR(I437*INDEX('PORTIFÓLIO'!$S$4:$S$433,MATCH($C437,'PORTIFÓLIO'!$C$4:$C$433,0)),"")</f>
        <v/>
      </c>
      <c r="L437" s="292" t="str">
        <f t="array" ref="L437">IFERROR(J437*INDEX('PORTIFÓLIO'!$S$4:$S$433,MATCH($C437,'PORTIFÓLIO'!$C$4:$C$433,0)),"")</f>
        <v/>
      </c>
      <c r="U437" s="79"/>
    </row>
    <row r="438" ht="15.75" customHeight="1" outlineLevel="1">
      <c r="A438" s="211"/>
      <c r="B438" s="212"/>
      <c r="C438" s="213"/>
      <c r="D438" s="214" t="str">
        <f>IFERROR(VLOOKUP($C438,'PORTIFÓLIO'!C:V,2,0),"")</f>
        <v/>
      </c>
      <c r="E438" s="211" t="str">
        <f>IFERROR(VLOOKUP($C438,'PORTIFÓLIO'!C:V,3,0),"")</f>
        <v/>
      </c>
      <c r="F438" s="211" t="str">
        <f>IFERROR(VLOOKUP($C438,'PORTIFÓLIO'!C:V,4,0),"")</f>
        <v/>
      </c>
      <c r="G438" s="215" t="str">
        <f>IFERROR(VLOOKUP($C438,'PORTIFÓLIO'!C:V,5,0),"")</f>
        <v/>
      </c>
      <c r="H438" s="254" t="str">
        <f t="array" ref="H438">IFERROR(INDEX('PORTIFÓLIO'!$H$4:$H$433,MATCH($C438,'PORTIFÓLIO'!$C$4:$C$433,0)),"")</f>
        <v/>
      </c>
      <c r="I438" s="256"/>
      <c r="J438" s="218">
        <f t="shared" si="49"/>
        <v>0</v>
      </c>
      <c r="K438" s="292" t="str">
        <f t="array" ref="K438">IFERROR(I438*INDEX('PORTIFÓLIO'!$S$4:$S$433,MATCH($C438,'PORTIFÓLIO'!$C$4:$C$433,0)),"")</f>
        <v/>
      </c>
      <c r="L438" s="292" t="str">
        <f t="array" ref="L438">IFERROR(J438*INDEX('PORTIFÓLIO'!$S$4:$S$433,MATCH($C438,'PORTIFÓLIO'!$C$4:$C$433,0)),"")</f>
        <v/>
      </c>
      <c r="U438" s="79"/>
    </row>
    <row r="439" ht="15.75" customHeight="1" outlineLevel="1">
      <c r="A439" s="211"/>
      <c r="B439" s="212"/>
      <c r="C439" s="213"/>
      <c r="D439" s="214" t="str">
        <f>IFERROR(VLOOKUP($C439,'PORTIFÓLIO'!C:V,2,0),"")</f>
        <v/>
      </c>
      <c r="E439" s="211" t="str">
        <f>IFERROR(VLOOKUP($C439,'PORTIFÓLIO'!C:V,3,0),"")</f>
        <v/>
      </c>
      <c r="F439" s="211" t="str">
        <f>IFERROR(VLOOKUP($C439,'PORTIFÓLIO'!C:V,4,0),"")</f>
        <v/>
      </c>
      <c r="G439" s="215" t="str">
        <f>IFERROR(VLOOKUP($C439,'PORTIFÓLIO'!C:V,5,0),"")</f>
        <v/>
      </c>
      <c r="H439" s="254" t="str">
        <f t="array" ref="H439">IFERROR(INDEX('PORTIFÓLIO'!$H$4:$H$433,MATCH($C439,'PORTIFÓLIO'!$C$4:$C$433,0)),"")</f>
        <v/>
      </c>
      <c r="I439" s="256"/>
      <c r="J439" s="218">
        <f t="shared" si="49"/>
        <v>0</v>
      </c>
      <c r="K439" s="292" t="str">
        <f t="array" ref="K439">IFERROR(I439*INDEX('PORTIFÓLIO'!$S$4:$S$433,MATCH($C439,'PORTIFÓLIO'!$C$4:$C$433,0)),"")</f>
        <v/>
      </c>
      <c r="L439" s="292" t="str">
        <f t="array" ref="L439">IFERROR(J439*INDEX('PORTIFÓLIO'!$S$4:$S$433,MATCH($C439,'PORTIFÓLIO'!$C$4:$C$433,0)),"")</f>
        <v/>
      </c>
      <c r="U439" s="79"/>
    </row>
    <row r="440" ht="15.75" customHeight="1" outlineLevel="1">
      <c r="A440" s="211"/>
      <c r="B440" s="212"/>
      <c r="C440" s="213"/>
      <c r="D440" s="214" t="str">
        <f>IFERROR(VLOOKUP($C440,'PORTIFÓLIO'!C:V,2,0),"")</f>
        <v/>
      </c>
      <c r="E440" s="211" t="str">
        <f>IFERROR(VLOOKUP($C440,'PORTIFÓLIO'!C:V,3,0),"")</f>
        <v/>
      </c>
      <c r="F440" s="211" t="str">
        <f>IFERROR(VLOOKUP($C440,'PORTIFÓLIO'!C:V,4,0),"")</f>
        <v/>
      </c>
      <c r="G440" s="215" t="str">
        <f>IFERROR(VLOOKUP($C440,'PORTIFÓLIO'!C:V,5,0),"")</f>
        <v/>
      </c>
      <c r="H440" s="254" t="str">
        <f t="array" ref="H440">IFERROR(INDEX('PORTIFÓLIO'!$H$4:$H$433,MATCH($C440,'PORTIFÓLIO'!$C$4:$C$433,0)),"")</f>
        <v/>
      </c>
      <c r="I440" s="256"/>
      <c r="J440" s="218">
        <f t="shared" si="49"/>
        <v>0</v>
      </c>
      <c r="K440" s="292" t="str">
        <f t="array" ref="K440">IFERROR(I440*INDEX('PORTIFÓLIO'!$S$4:$S$433,MATCH($C440,'PORTIFÓLIO'!$C$4:$C$433,0)),"")</f>
        <v/>
      </c>
      <c r="L440" s="292" t="str">
        <f t="array" ref="L440">IFERROR(J440*INDEX('PORTIFÓLIO'!$S$4:$S$433,MATCH($C440,'PORTIFÓLIO'!$C$4:$C$433,0)),"")</f>
        <v/>
      </c>
      <c r="U440" s="79"/>
    </row>
    <row r="441" ht="15.75" customHeight="1" outlineLevel="1">
      <c r="A441" s="211"/>
      <c r="B441" s="212"/>
      <c r="C441" s="213"/>
      <c r="D441" s="214" t="str">
        <f>IFERROR(VLOOKUP($C441,'PORTIFÓLIO'!C:V,2,0),"")</f>
        <v/>
      </c>
      <c r="E441" s="211" t="str">
        <f>IFERROR(VLOOKUP($C441,'PORTIFÓLIO'!C:V,3,0),"")</f>
        <v/>
      </c>
      <c r="F441" s="211" t="str">
        <f>IFERROR(VLOOKUP($C441,'PORTIFÓLIO'!C:V,4,0),"")</f>
        <v/>
      </c>
      <c r="G441" s="215" t="str">
        <f>IFERROR(VLOOKUP($C441,'PORTIFÓLIO'!C:V,5,0),"")</f>
        <v/>
      </c>
      <c r="H441" s="254" t="str">
        <f t="array" ref="H441">IFERROR(INDEX('PORTIFÓLIO'!$H$4:$H$433,MATCH($C441,'PORTIFÓLIO'!$C$4:$C$433,0)),"")</f>
        <v/>
      </c>
      <c r="I441" s="256"/>
      <c r="J441" s="218">
        <f t="shared" si="49"/>
        <v>0</v>
      </c>
      <c r="K441" s="292" t="str">
        <f t="array" ref="K441">IFERROR(I441*INDEX('PORTIFÓLIO'!$S$4:$S$433,MATCH($C441,'PORTIFÓLIO'!$C$4:$C$433,0)),"")</f>
        <v/>
      </c>
      <c r="L441" s="292" t="str">
        <f t="array" ref="L441">IFERROR(J441*INDEX('PORTIFÓLIO'!$S$4:$S$433,MATCH($C441,'PORTIFÓLIO'!$C$4:$C$433,0)),"")</f>
        <v/>
      </c>
      <c r="U441" s="79"/>
    </row>
    <row r="442" ht="15.75" customHeight="1" outlineLevel="1">
      <c r="A442" s="211"/>
      <c r="B442" s="212"/>
      <c r="C442" s="213"/>
      <c r="D442" s="214" t="str">
        <f>IFERROR(VLOOKUP($C442,'PORTIFÓLIO'!C:V,2,0),"")</f>
        <v/>
      </c>
      <c r="E442" s="211" t="str">
        <f>IFERROR(VLOOKUP($C442,'PORTIFÓLIO'!C:V,3,0),"")</f>
        <v/>
      </c>
      <c r="F442" s="211" t="str">
        <f>IFERROR(VLOOKUP($C442,'PORTIFÓLIO'!C:V,4,0),"")</f>
        <v/>
      </c>
      <c r="G442" s="215" t="str">
        <f>IFERROR(VLOOKUP($C442,'PORTIFÓLIO'!C:V,5,0),"")</f>
        <v/>
      </c>
      <c r="H442" s="254" t="str">
        <f t="array" ref="H442">IFERROR(INDEX('PORTIFÓLIO'!$H$4:$H$433,MATCH($C442,'PORTIFÓLIO'!$C$4:$C$433,0)),"")</f>
        <v/>
      </c>
      <c r="I442" s="256"/>
      <c r="J442" s="218">
        <f t="shared" si="49"/>
        <v>0</v>
      </c>
      <c r="K442" s="292" t="str">
        <f t="array" ref="K442">IFERROR(I442*INDEX('PORTIFÓLIO'!$S$4:$S$433,MATCH($C442,'PORTIFÓLIO'!$C$4:$C$433,0)),"")</f>
        <v/>
      </c>
      <c r="L442" s="292" t="str">
        <f t="array" ref="L442">IFERROR(J442*INDEX('PORTIFÓLIO'!$S$4:$S$433,MATCH($C442,'PORTIFÓLIO'!$C$4:$C$433,0)),"")</f>
        <v/>
      </c>
      <c r="U442" s="79"/>
    </row>
    <row r="443" ht="15.75" customHeight="1" outlineLevel="1">
      <c r="A443" s="211"/>
      <c r="B443" s="227"/>
      <c r="C443" s="211"/>
      <c r="D443" s="214" t="str">
        <f>IFERROR(VLOOKUP($C443,'PORTIFÓLIO'!C:V,2,0),"")</f>
        <v/>
      </c>
      <c r="E443" s="211" t="str">
        <f>IFERROR(VLOOKUP($C443,'PORTIFÓLIO'!C:V,3,0),"")</f>
        <v/>
      </c>
      <c r="F443" s="211" t="str">
        <f>IFERROR(VLOOKUP($C443,'PORTIFÓLIO'!C:V,4,0),"")</f>
        <v/>
      </c>
      <c r="G443" s="215" t="str">
        <f>IFERROR(VLOOKUP($C443,'PORTIFÓLIO'!C:V,5,0),"")</f>
        <v/>
      </c>
      <c r="H443" s="254" t="str">
        <f t="array" ref="H443">IFERROR(INDEX('PORTIFÓLIO'!$H$4:$H$433,MATCH($C443,'PORTIFÓLIO'!$C$4:$C$433,0)),"")</f>
        <v/>
      </c>
      <c r="I443" s="256"/>
      <c r="J443" s="218">
        <f t="shared" si="49"/>
        <v>0</v>
      </c>
      <c r="K443" s="292" t="str">
        <f t="array" ref="K443">IFERROR(I443*INDEX('PORTIFÓLIO'!$S$4:$S$433,MATCH($C443,'PORTIFÓLIO'!$C$4:$C$433,0)),"")</f>
        <v/>
      </c>
      <c r="L443" s="292" t="str">
        <f t="array" ref="L443">IFERROR(J443*INDEX('PORTIFÓLIO'!$S$4:$S$433,MATCH($C443,'PORTIFÓLIO'!$C$4:$C$433,0)),"")</f>
        <v/>
      </c>
      <c r="U443" s="79"/>
    </row>
    <row r="444" ht="15.75" customHeight="1" outlineLevel="1">
      <c r="A444" s="211"/>
      <c r="B444" s="227"/>
      <c r="C444" s="211"/>
      <c r="D444" s="214" t="str">
        <f>IFERROR(VLOOKUP($C444,'PORTIFÓLIO'!C:V,2,0),"")</f>
        <v/>
      </c>
      <c r="E444" s="211" t="str">
        <f>IFERROR(VLOOKUP($C444,'PORTIFÓLIO'!C:V,3,0),"")</f>
        <v/>
      </c>
      <c r="F444" s="211" t="str">
        <f>IFERROR(VLOOKUP($C444,'PORTIFÓLIO'!C:V,4,0),"")</f>
        <v/>
      </c>
      <c r="G444" s="215" t="str">
        <f>IFERROR(VLOOKUP($C444,'PORTIFÓLIO'!C:V,5,0),"")</f>
        <v/>
      </c>
      <c r="H444" s="254" t="str">
        <f t="array" ref="H444">IFERROR(INDEX('PORTIFÓLIO'!$H$4:$H$433,MATCH($C444,'PORTIFÓLIO'!$C$4:$C$433,0)),"")</f>
        <v/>
      </c>
      <c r="I444" s="256"/>
      <c r="J444" s="218">
        <f t="shared" si="49"/>
        <v>0</v>
      </c>
      <c r="K444" s="292" t="str">
        <f t="array" ref="K444">IFERROR(I444*INDEX('PORTIFÓLIO'!$S$4:$S$433,MATCH($C444,'PORTIFÓLIO'!$C$4:$C$433,0)),"")</f>
        <v/>
      </c>
      <c r="L444" s="292" t="str">
        <f t="array" ref="L444">IFERROR(J444*INDEX('PORTIFÓLIO'!$S$4:$S$433,MATCH($C444,'PORTIFÓLIO'!$C$4:$C$433,0)),"")</f>
        <v/>
      </c>
      <c r="U444" s="79"/>
    </row>
    <row r="445" ht="15.75" customHeight="1" outlineLevel="1">
      <c r="A445" s="211"/>
      <c r="B445" s="227"/>
      <c r="C445" s="211"/>
      <c r="D445" s="214" t="str">
        <f>IFERROR(VLOOKUP($C445,'PORTIFÓLIO'!C:V,2,0),"")</f>
        <v/>
      </c>
      <c r="E445" s="211" t="str">
        <f>IFERROR(VLOOKUP($C445,'PORTIFÓLIO'!C:V,3,0),"")</f>
        <v/>
      </c>
      <c r="F445" s="211" t="str">
        <f>IFERROR(VLOOKUP($C445,'PORTIFÓLIO'!C:V,4,0),"")</f>
        <v/>
      </c>
      <c r="G445" s="215" t="str">
        <f>IFERROR(VLOOKUP($C445,'PORTIFÓLIO'!C:V,5,0),"")</f>
        <v/>
      </c>
      <c r="H445" s="254" t="str">
        <f t="array" ref="H445">IFERROR(INDEX('PORTIFÓLIO'!$H$4:$H$433,MATCH($C445,'PORTIFÓLIO'!$C$4:$C$433,0)),"")</f>
        <v/>
      </c>
      <c r="I445" s="256"/>
      <c r="J445" s="218">
        <f t="shared" si="49"/>
        <v>0</v>
      </c>
      <c r="K445" s="292" t="str">
        <f t="array" ref="K445">IFERROR(I445*INDEX('PORTIFÓLIO'!$S$4:$S$433,MATCH($C445,'PORTIFÓLIO'!$C$4:$C$433,0)),"")</f>
        <v/>
      </c>
      <c r="L445" s="292" t="str">
        <f t="array" ref="L445">IFERROR(J445*INDEX('PORTIFÓLIO'!$S$4:$S$433,MATCH($C445,'PORTIFÓLIO'!$C$4:$C$433,0)),"")</f>
        <v/>
      </c>
      <c r="U445" s="79"/>
    </row>
    <row r="446" ht="15.75" customHeight="1" outlineLevel="1">
      <c r="A446" s="211"/>
      <c r="B446" s="227"/>
      <c r="C446" s="211"/>
      <c r="D446" s="214" t="str">
        <f>IFERROR(VLOOKUP($C446,'PORTIFÓLIO'!C:V,2,0),"")</f>
        <v/>
      </c>
      <c r="E446" s="211" t="str">
        <f>IFERROR(VLOOKUP($C446,'PORTIFÓLIO'!C:V,3,0),"")</f>
        <v/>
      </c>
      <c r="F446" s="211" t="str">
        <f>IFERROR(VLOOKUP($C446,'PORTIFÓLIO'!C:V,4,0),"")</f>
        <v/>
      </c>
      <c r="G446" s="215" t="str">
        <f>IFERROR(VLOOKUP($C446,'PORTIFÓLIO'!C:V,5,0),"")</f>
        <v/>
      </c>
      <c r="H446" s="254" t="str">
        <f t="array" ref="H446">IFERROR(INDEX('PORTIFÓLIO'!$H$4:$H$433,MATCH($C446,'PORTIFÓLIO'!$C$4:$C$433,0)),"")</f>
        <v/>
      </c>
      <c r="I446" s="256"/>
      <c r="J446" s="218">
        <f t="shared" si="49"/>
        <v>0</v>
      </c>
      <c r="K446" s="292" t="str">
        <f t="array" ref="K446">IFERROR(I446*INDEX('PORTIFÓLIO'!$S$4:$S$433,MATCH($C446,'PORTIFÓLIO'!$C$4:$C$433,0)),"")</f>
        <v/>
      </c>
      <c r="L446" s="292" t="str">
        <f t="array" ref="L446">IFERROR(J446*INDEX('PORTIFÓLIO'!$S$4:$S$433,MATCH($C446,'PORTIFÓLIO'!$C$4:$C$433,0)),"")</f>
        <v/>
      </c>
      <c r="U446" s="79"/>
    </row>
    <row r="447" ht="15.75" customHeight="1" outlineLevel="1">
      <c r="A447" s="211"/>
      <c r="B447" s="227"/>
      <c r="C447" s="211"/>
      <c r="D447" s="214" t="str">
        <f>IFERROR(VLOOKUP($C447,'PORTIFÓLIO'!C:V,2,0),"")</f>
        <v/>
      </c>
      <c r="E447" s="211" t="str">
        <f>IFERROR(VLOOKUP($C447,'PORTIFÓLIO'!C:V,3,0),"")</f>
        <v/>
      </c>
      <c r="F447" s="211" t="str">
        <f>IFERROR(VLOOKUP($C447,'PORTIFÓLIO'!C:V,4,0),"")</f>
        <v/>
      </c>
      <c r="G447" s="215" t="str">
        <f>IFERROR(VLOOKUP($C447,'PORTIFÓLIO'!C:V,5,0),"")</f>
        <v/>
      </c>
      <c r="H447" s="254" t="str">
        <f t="array" ref="H447">IFERROR(INDEX('PORTIFÓLIO'!$H$4:$H$433,MATCH($C447,'PORTIFÓLIO'!$C$4:$C$433,0)),"")</f>
        <v/>
      </c>
      <c r="I447" s="256"/>
      <c r="J447" s="218">
        <f t="shared" si="49"/>
        <v>0</v>
      </c>
      <c r="K447" s="292" t="str">
        <f t="array" ref="K447">IFERROR(I447*INDEX('PORTIFÓLIO'!$S$4:$S$433,MATCH($C447,'PORTIFÓLIO'!$C$4:$C$433,0)),"")</f>
        <v/>
      </c>
      <c r="L447" s="292" t="str">
        <f t="array" ref="L447">IFERROR(J447*INDEX('PORTIFÓLIO'!$S$4:$S$433,MATCH($C447,'PORTIFÓLIO'!$C$4:$C$433,0)),"")</f>
        <v/>
      </c>
      <c r="U447" s="79"/>
    </row>
    <row r="448" ht="15.75" customHeight="1" outlineLevel="1">
      <c r="A448" s="211"/>
      <c r="B448" s="227"/>
      <c r="C448" s="211"/>
      <c r="D448" s="214" t="str">
        <f>IFERROR(VLOOKUP($C448,'PORTIFÓLIO'!C:V,2,0),"")</f>
        <v/>
      </c>
      <c r="E448" s="211" t="str">
        <f>IFERROR(VLOOKUP($C448,'PORTIFÓLIO'!C:V,3,0),"")</f>
        <v/>
      </c>
      <c r="F448" s="211" t="str">
        <f>IFERROR(VLOOKUP($C448,'PORTIFÓLIO'!C:V,4,0),"")</f>
        <v/>
      </c>
      <c r="G448" s="215" t="str">
        <f>IFERROR(VLOOKUP($C448,'PORTIFÓLIO'!C:V,5,0),"")</f>
        <v/>
      </c>
      <c r="H448" s="254" t="str">
        <f t="array" ref="H448">IFERROR(INDEX('PORTIFÓLIO'!$H$4:$H$433,MATCH($C448,'PORTIFÓLIO'!$C$4:$C$433,0)),"")</f>
        <v/>
      </c>
      <c r="I448" s="256"/>
      <c r="J448" s="218">
        <f t="shared" si="49"/>
        <v>0</v>
      </c>
      <c r="K448" s="292" t="str">
        <f t="array" ref="K448">IFERROR(I448*INDEX('PORTIFÓLIO'!$S$4:$S$433,MATCH($C448,'PORTIFÓLIO'!$C$4:$C$433,0)),"")</f>
        <v/>
      </c>
      <c r="L448" s="292" t="str">
        <f t="array" ref="L448">IFERROR(J448*INDEX('PORTIFÓLIO'!$S$4:$S$433,MATCH($C448,'PORTIFÓLIO'!$C$4:$C$433,0)),"")</f>
        <v/>
      </c>
      <c r="U448" s="79"/>
    </row>
    <row r="449" ht="15.75" customHeight="1" outlineLevel="1">
      <c r="A449" s="211"/>
      <c r="B449" s="227"/>
      <c r="C449" s="211"/>
      <c r="D449" s="214" t="str">
        <f>IFERROR(VLOOKUP($C449,'PORTIFÓLIO'!C:V,2,0),"")</f>
        <v/>
      </c>
      <c r="E449" s="211" t="str">
        <f>IFERROR(VLOOKUP($C449,'PORTIFÓLIO'!C:V,3,0),"")</f>
        <v/>
      </c>
      <c r="F449" s="211" t="str">
        <f>IFERROR(VLOOKUP($C449,'PORTIFÓLIO'!C:V,4,0),"")</f>
        <v/>
      </c>
      <c r="G449" s="215" t="str">
        <f>IFERROR(VLOOKUP($C449,'PORTIFÓLIO'!C:V,5,0),"")</f>
        <v/>
      </c>
      <c r="H449" s="254" t="str">
        <f t="array" ref="H449">IFERROR(INDEX('PORTIFÓLIO'!$H$4:$H$433,MATCH($C449,'PORTIFÓLIO'!$C$4:$C$433,0)),"")</f>
        <v/>
      </c>
      <c r="I449" s="256"/>
      <c r="J449" s="218">
        <f t="shared" si="49"/>
        <v>0</v>
      </c>
      <c r="K449" s="292" t="str">
        <f t="array" ref="K449">IFERROR(I449*INDEX('PORTIFÓLIO'!$S$4:$S$433,MATCH($C449,'PORTIFÓLIO'!$C$4:$C$433,0)),"")</f>
        <v/>
      </c>
      <c r="L449" s="292" t="str">
        <f t="array" ref="L449">IFERROR(J449*INDEX('PORTIFÓLIO'!$S$4:$S$433,MATCH($C449,'PORTIFÓLIO'!$C$4:$C$433,0)),"")</f>
        <v/>
      </c>
      <c r="U449" s="79"/>
    </row>
    <row r="450" ht="15.75" customHeight="1" outlineLevel="1">
      <c r="A450" s="211"/>
      <c r="B450" s="227"/>
      <c r="C450" s="211"/>
      <c r="D450" s="214" t="str">
        <f>IFERROR(VLOOKUP($C450,'PORTIFÓLIO'!C:V,2,0),"")</f>
        <v/>
      </c>
      <c r="E450" s="211" t="str">
        <f>IFERROR(VLOOKUP($C450,'PORTIFÓLIO'!C:V,3,0),"")</f>
        <v/>
      </c>
      <c r="F450" s="211" t="str">
        <f>IFERROR(VLOOKUP($C450,'PORTIFÓLIO'!C:V,4,0),"")</f>
        <v/>
      </c>
      <c r="G450" s="215" t="str">
        <f>IFERROR(VLOOKUP($C450,'PORTIFÓLIO'!C:V,5,0),"")</f>
        <v/>
      </c>
      <c r="H450" s="254" t="str">
        <f t="array" ref="H450">IFERROR(INDEX('PORTIFÓLIO'!$H$4:$H$433,MATCH($C450,'PORTIFÓLIO'!$C$4:$C$433,0)),"")</f>
        <v/>
      </c>
      <c r="I450" s="256"/>
      <c r="J450" s="218">
        <f t="shared" si="49"/>
        <v>0</v>
      </c>
      <c r="K450" s="292" t="str">
        <f t="array" ref="K450">IFERROR(I450*INDEX('PORTIFÓLIO'!$S$4:$S$433,MATCH($C450,'PORTIFÓLIO'!$C$4:$C$433,0)),"")</f>
        <v/>
      </c>
      <c r="L450" s="292" t="str">
        <f t="array" ref="L450">IFERROR(J450*INDEX('PORTIFÓLIO'!$S$4:$S$433,MATCH($C450,'PORTIFÓLIO'!$C$4:$C$433,0)),"")</f>
        <v/>
      </c>
      <c r="U450" s="79"/>
    </row>
    <row r="451" ht="15.75" customHeight="1" outlineLevel="1">
      <c r="A451" s="211"/>
      <c r="B451" s="227"/>
      <c r="C451" s="211"/>
      <c r="D451" s="214" t="str">
        <f>IFERROR(VLOOKUP($C451,'PORTIFÓLIO'!C:V,2,0),"")</f>
        <v/>
      </c>
      <c r="E451" s="211" t="str">
        <f>IFERROR(VLOOKUP($C451,'PORTIFÓLIO'!C:V,3,0),"")</f>
        <v/>
      </c>
      <c r="F451" s="211" t="str">
        <f>IFERROR(VLOOKUP($C451,'PORTIFÓLIO'!C:V,4,0),"")</f>
        <v/>
      </c>
      <c r="G451" s="215" t="str">
        <f>IFERROR(VLOOKUP($C451,'PORTIFÓLIO'!C:V,5,0),"")</f>
        <v/>
      </c>
      <c r="H451" s="254" t="str">
        <f t="array" ref="H451">IFERROR(INDEX('PORTIFÓLIO'!$H$4:$H$433,MATCH($C451,'PORTIFÓLIO'!$C$4:$C$433,0)),"")</f>
        <v/>
      </c>
      <c r="I451" s="256"/>
      <c r="J451" s="218">
        <f t="shared" si="49"/>
        <v>0</v>
      </c>
      <c r="K451" s="292" t="str">
        <f t="array" ref="K451">IFERROR(I451*INDEX('PORTIFÓLIO'!$S$4:$S$433,MATCH($C451,'PORTIFÓLIO'!$C$4:$C$433,0)),"")</f>
        <v/>
      </c>
      <c r="L451" s="292" t="str">
        <f t="array" ref="L451">IFERROR(J451*INDEX('PORTIFÓLIO'!$S$4:$S$433,MATCH($C451,'PORTIFÓLIO'!$C$4:$C$433,0)),"")</f>
        <v/>
      </c>
      <c r="U451" s="79"/>
    </row>
    <row r="452" ht="15.75" customHeight="1">
      <c r="A452" s="227"/>
      <c r="B452" s="227"/>
      <c r="C452" s="227"/>
      <c r="D452" s="227"/>
      <c r="E452" s="227"/>
      <c r="F452" s="227"/>
      <c r="G452" s="215"/>
      <c r="H452" s="227"/>
      <c r="I452" s="227"/>
      <c r="J452" s="227"/>
      <c r="K452" s="293">
        <f t="shared" ref="K452:L452" si="50">SUBTOTAL(9,K237:K427)</f>
        <v>0</v>
      </c>
      <c r="L452" s="293">
        <f t="shared" si="50"/>
        <v>0</v>
      </c>
      <c r="U452" s="79"/>
    </row>
    <row r="453" ht="15.75" customHeight="1">
      <c r="U453" s="79"/>
    </row>
    <row r="454" ht="15.75" customHeight="1">
      <c r="U454" s="79"/>
    </row>
    <row r="455" ht="15.75" customHeight="1">
      <c r="U455" s="79"/>
    </row>
    <row r="456" ht="15.75" customHeight="1">
      <c r="U456" s="79"/>
    </row>
    <row r="457" ht="15.75" customHeight="1">
      <c r="U457" s="79"/>
    </row>
    <row r="458" ht="15.75" customHeight="1">
      <c r="U458" s="79"/>
    </row>
    <row r="459" ht="15.75" customHeight="1">
      <c r="U459" s="79"/>
    </row>
    <row r="460" ht="15.75" customHeight="1">
      <c r="U460" s="79"/>
    </row>
    <row r="461" ht="15.75" customHeight="1">
      <c r="U461" s="79"/>
    </row>
    <row r="462" ht="15.75" customHeight="1">
      <c r="U462" s="79"/>
    </row>
    <row r="463" ht="15.75" customHeight="1">
      <c r="U463" s="79"/>
    </row>
    <row r="464" ht="15.75" customHeight="1">
      <c r="U464" s="79"/>
    </row>
    <row r="465" ht="15.75" customHeight="1">
      <c r="U465" s="79"/>
    </row>
    <row r="466" ht="15.75" customHeight="1">
      <c r="U466" s="79"/>
    </row>
    <row r="467" ht="15.75" customHeight="1">
      <c r="U467" s="79"/>
    </row>
    <row r="468" ht="15.75" customHeight="1">
      <c r="U468" s="79"/>
    </row>
    <row r="469" ht="15.75" customHeight="1">
      <c r="U469" s="79"/>
    </row>
    <row r="470" ht="15.75" customHeight="1">
      <c r="U470" s="79"/>
    </row>
    <row r="471" ht="15.75" customHeight="1">
      <c r="U471" s="79"/>
    </row>
    <row r="472" ht="15.75" customHeight="1">
      <c r="U472" s="79"/>
    </row>
    <row r="473" ht="15.75" customHeight="1">
      <c r="U473" s="79"/>
    </row>
    <row r="474" ht="15.75" customHeight="1">
      <c r="U474" s="79"/>
    </row>
    <row r="475" ht="15.75" customHeight="1">
      <c r="U475" s="79"/>
    </row>
    <row r="476" ht="15.75" customHeight="1">
      <c r="U476" s="79"/>
    </row>
    <row r="477" ht="15.75" customHeight="1">
      <c r="U477" s="79"/>
    </row>
    <row r="478" ht="15.75" customHeight="1">
      <c r="U478" s="79"/>
    </row>
    <row r="479" ht="15.75" customHeight="1">
      <c r="U479" s="79"/>
    </row>
    <row r="480" ht="15.75" customHeight="1">
      <c r="U480" s="79"/>
    </row>
    <row r="481" ht="15.75" customHeight="1">
      <c r="U481" s="79"/>
    </row>
    <row r="482" ht="15.75" customHeight="1">
      <c r="U482" s="79"/>
    </row>
    <row r="483" ht="15.75" customHeight="1">
      <c r="U483" s="79"/>
    </row>
    <row r="484" ht="15.75" customHeight="1">
      <c r="U484" s="79"/>
    </row>
    <row r="485" ht="15.75" customHeight="1">
      <c r="U485" s="79"/>
    </row>
    <row r="486" ht="15.75" customHeight="1">
      <c r="U486" s="79"/>
    </row>
    <row r="487" ht="15.75" customHeight="1">
      <c r="U487" s="79"/>
    </row>
    <row r="488" ht="15.75" customHeight="1">
      <c r="U488" s="79"/>
    </row>
    <row r="489" ht="15.75" customHeight="1">
      <c r="U489" s="79"/>
    </row>
    <row r="490" ht="15.75" customHeight="1">
      <c r="U490" s="79"/>
    </row>
    <row r="491" ht="15.75" customHeight="1">
      <c r="U491" s="79"/>
    </row>
    <row r="492" ht="15.75" customHeight="1">
      <c r="U492" s="79"/>
    </row>
    <row r="493" ht="15.75" customHeight="1">
      <c r="U493" s="79"/>
    </row>
    <row r="494" ht="15.75" customHeight="1">
      <c r="U494" s="79"/>
    </row>
    <row r="495" ht="15.75" customHeight="1">
      <c r="U495" s="79"/>
    </row>
    <row r="496" ht="15.75" customHeight="1">
      <c r="U496" s="79"/>
    </row>
    <row r="497" ht="15.75" customHeight="1">
      <c r="U497" s="79"/>
    </row>
    <row r="498" ht="15.75" customHeight="1">
      <c r="U498" s="79"/>
    </row>
    <row r="499" ht="15.75" customHeight="1">
      <c r="U499" s="79"/>
    </row>
    <row r="500" ht="15.75" customHeight="1">
      <c r="U500" s="79"/>
    </row>
    <row r="501" ht="15.75" customHeight="1">
      <c r="U501" s="79"/>
    </row>
    <row r="502" ht="15.75" customHeight="1">
      <c r="U502" s="79"/>
    </row>
    <row r="503" ht="15.75" customHeight="1">
      <c r="U503" s="79"/>
    </row>
    <row r="504" ht="15.75" customHeight="1">
      <c r="U504" s="79"/>
    </row>
    <row r="505" ht="15.75" customHeight="1">
      <c r="U505" s="79"/>
    </row>
    <row r="506" ht="15.75" customHeight="1">
      <c r="U506" s="79"/>
    </row>
    <row r="507" ht="15.75" customHeight="1">
      <c r="U507" s="79"/>
    </row>
    <row r="508" ht="15.75" customHeight="1">
      <c r="U508" s="79"/>
    </row>
    <row r="509" ht="15.75" customHeight="1">
      <c r="U509" s="79"/>
    </row>
    <row r="510" ht="15.75" customHeight="1">
      <c r="U510" s="79"/>
    </row>
    <row r="511" ht="15.75" customHeight="1">
      <c r="U511" s="79"/>
    </row>
    <row r="512" ht="15.75" customHeight="1">
      <c r="U512" s="79"/>
    </row>
    <row r="513" ht="15.75" customHeight="1">
      <c r="U513" s="79"/>
    </row>
    <row r="514" ht="15.75" customHeight="1">
      <c r="U514" s="79"/>
    </row>
    <row r="515" ht="15.75" customHeight="1">
      <c r="U515" s="79"/>
    </row>
    <row r="516" ht="15.75" customHeight="1">
      <c r="U516" s="79"/>
    </row>
    <row r="517" ht="15.75" customHeight="1">
      <c r="U517" s="79"/>
    </row>
    <row r="518" ht="15.75" customHeight="1">
      <c r="U518" s="79"/>
    </row>
    <row r="519" ht="15.75" customHeight="1">
      <c r="U519" s="79"/>
    </row>
    <row r="520" ht="15.75" customHeight="1">
      <c r="U520" s="79"/>
    </row>
    <row r="521" ht="15.75" customHeight="1">
      <c r="U521" s="79"/>
    </row>
    <row r="522" ht="15.75" customHeight="1">
      <c r="U522" s="79"/>
    </row>
    <row r="523" ht="15.75" customHeight="1">
      <c r="U523" s="79"/>
    </row>
    <row r="524" ht="15.75" customHeight="1">
      <c r="U524" s="79"/>
    </row>
    <row r="525" ht="15.75" customHeight="1">
      <c r="U525" s="79"/>
    </row>
    <row r="526" ht="15.75" customHeight="1">
      <c r="U526" s="79"/>
    </row>
    <row r="527" ht="15.75" customHeight="1">
      <c r="U527" s="79"/>
    </row>
    <row r="528" ht="15.75" customHeight="1">
      <c r="U528" s="79"/>
    </row>
    <row r="529" ht="15.75" customHeight="1">
      <c r="U529" s="79"/>
    </row>
    <row r="530" ht="15.75" customHeight="1">
      <c r="U530" s="79"/>
    </row>
    <row r="531" ht="15.75" customHeight="1">
      <c r="U531" s="79"/>
    </row>
    <row r="532" ht="15.75" customHeight="1">
      <c r="U532" s="79"/>
    </row>
    <row r="533" ht="15.75" customHeight="1">
      <c r="U533" s="79"/>
    </row>
    <row r="534" ht="15.75" customHeight="1">
      <c r="U534" s="79"/>
    </row>
    <row r="535" ht="15.75" customHeight="1">
      <c r="U535" s="79"/>
    </row>
    <row r="536" ht="15.75" customHeight="1">
      <c r="U536" s="79"/>
    </row>
    <row r="537" ht="15.75" customHeight="1">
      <c r="U537" s="79"/>
    </row>
    <row r="538" ht="15.75" customHeight="1">
      <c r="U538" s="79"/>
    </row>
    <row r="539" ht="15.75" customHeight="1">
      <c r="U539" s="79"/>
    </row>
    <row r="540" ht="15.75" customHeight="1">
      <c r="U540" s="79"/>
    </row>
    <row r="541" ht="15.75" customHeight="1">
      <c r="U541" s="79"/>
    </row>
    <row r="542" ht="15.75" customHeight="1">
      <c r="U542" s="79"/>
    </row>
    <row r="543" ht="15.75" customHeight="1">
      <c r="U543" s="79"/>
    </row>
    <row r="544" ht="15.75" customHeight="1">
      <c r="U544" s="79"/>
    </row>
    <row r="545" ht="15.75" customHeight="1">
      <c r="U545" s="79"/>
    </row>
    <row r="546" ht="15.75" customHeight="1">
      <c r="U546" s="79"/>
    </row>
    <row r="547" ht="15.75" customHeight="1">
      <c r="U547" s="79"/>
    </row>
    <row r="548" ht="15.75" customHeight="1">
      <c r="U548" s="79"/>
    </row>
    <row r="549" ht="15.75" customHeight="1">
      <c r="U549" s="79"/>
    </row>
    <row r="550" ht="15.75" customHeight="1">
      <c r="U550" s="79"/>
    </row>
    <row r="551" ht="15.75" customHeight="1">
      <c r="U551" s="79"/>
    </row>
    <row r="552" ht="15.75" customHeight="1">
      <c r="U552" s="79"/>
    </row>
    <row r="553" ht="15.75" customHeight="1">
      <c r="U553" s="79"/>
    </row>
    <row r="554" ht="15.75" customHeight="1">
      <c r="U554" s="79"/>
    </row>
    <row r="555" ht="15.75" customHeight="1">
      <c r="U555" s="79"/>
    </row>
    <row r="556" ht="15.75" customHeight="1">
      <c r="U556" s="79"/>
    </row>
    <row r="557" ht="15.75" customHeight="1">
      <c r="U557" s="79"/>
    </row>
    <row r="558" ht="15.75" customHeight="1">
      <c r="U558" s="79"/>
    </row>
    <row r="559" ht="15.75" customHeight="1">
      <c r="U559" s="79"/>
    </row>
    <row r="560" ht="15.75" customHeight="1">
      <c r="U560" s="79"/>
    </row>
    <row r="561" ht="15.75" customHeight="1">
      <c r="U561" s="79"/>
    </row>
    <row r="562" ht="15.75" customHeight="1">
      <c r="U562" s="79"/>
    </row>
    <row r="563" ht="15.75" customHeight="1">
      <c r="U563" s="79"/>
    </row>
    <row r="564" ht="15.75" customHeight="1">
      <c r="U564" s="79"/>
    </row>
    <row r="565" ht="15.75" customHeight="1">
      <c r="U565" s="79"/>
    </row>
    <row r="566" ht="15.75" customHeight="1">
      <c r="U566" s="79"/>
    </row>
    <row r="567" ht="15.75" customHeight="1">
      <c r="U567" s="79"/>
    </row>
    <row r="568" ht="15.75" customHeight="1">
      <c r="U568" s="79"/>
    </row>
    <row r="569" ht="15.75" customHeight="1">
      <c r="U569" s="79"/>
    </row>
    <row r="570" ht="15.75" customHeight="1">
      <c r="U570" s="79"/>
    </row>
    <row r="571" ht="15.75" customHeight="1">
      <c r="U571" s="79"/>
    </row>
    <row r="572" ht="15.75" customHeight="1">
      <c r="U572" s="79"/>
    </row>
    <row r="573" ht="15.75" customHeight="1">
      <c r="U573" s="79"/>
    </row>
    <row r="574" ht="15.75" customHeight="1">
      <c r="U574" s="79"/>
    </row>
    <row r="575" ht="15.75" customHeight="1">
      <c r="U575" s="79"/>
    </row>
    <row r="576" ht="15.75" customHeight="1">
      <c r="U576" s="79"/>
    </row>
    <row r="577" ht="15.75" customHeight="1">
      <c r="U577" s="79"/>
    </row>
    <row r="578" ht="15.75" customHeight="1">
      <c r="U578" s="79"/>
    </row>
    <row r="579" ht="15.75" customHeight="1">
      <c r="U579" s="79"/>
    </row>
    <row r="580" ht="15.75" customHeight="1">
      <c r="U580" s="79"/>
    </row>
    <row r="581" ht="15.75" customHeight="1">
      <c r="U581" s="79"/>
    </row>
    <row r="582" ht="15.75" customHeight="1">
      <c r="U582" s="79"/>
    </row>
    <row r="583" ht="15.75" customHeight="1">
      <c r="U583" s="79"/>
    </row>
    <row r="584" ht="15.75" customHeight="1">
      <c r="U584" s="79"/>
    </row>
    <row r="585" ht="15.75" customHeight="1">
      <c r="U585" s="79"/>
    </row>
    <row r="586" ht="15.75" customHeight="1">
      <c r="U586" s="79"/>
    </row>
    <row r="587" ht="15.75" customHeight="1">
      <c r="U587" s="79"/>
    </row>
    <row r="588" ht="15.75" customHeight="1">
      <c r="U588" s="79"/>
    </row>
    <row r="589" ht="15.75" customHeight="1">
      <c r="U589" s="79"/>
    </row>
    <row r="590" ht="15.75" customHeight="1">
      <c r="U590" s="79"/>
    </row>
    <row r="591" ht="15.75" customHeight="1">
      <c r="U591" s="79"/>
    </row>
    <row r="592" ht="15.75" customHeight="1">
      <c r="U592" s="79"/>
    </row>
    <row r="593" ht="15.75" customHeight="1">
      <c r="U593" s="79"/>
    </row>
    <row r="594" ht="15.75" customHeight="1">
      <c r="U594" s="79"/>
    </row>
    <row r="595" ht="15.75" customHeight="1">
      <c r="U595" s="79"/>
    </row>
    <row r="596" ht="15.75" customHeight="1">
      <c r="U596" s="79"/>
    </row>
    <row r="597" ht="15.75" customHeight="1">
      <c r="U597" s="79"/>
    </row>
    <row r="598" ht="15.75" customHeight="1">
      <c r="U598" s="79"/>
    </row>
    <row r="599" ht="15.75" customHeight="1">
      <c r="U599" s="79"/>
    </row>
    <row r="600" ht="15.75" customHeight="1">
      <c r="U600" s="79"/>
    </row>
    <row r="601" ht="15.75" customHeight="1">
      <c r="U601" s="79"/>
    </row>
    <row r="602" ht="15.75" customHeight="1">
      <c r="U602" s="79"/>
    </row>
    <row r="603" ht="15.75" customHeight="1">
      <c r="U603" s="79"/>
    </row>
    <row r="604" ht="15.75" customHeight="1">
      <c r="U604" s="79"/>
    </row>
    <row r="605" ht="15.75" customHeight="1">
      <c r="U605" s="79"/>
    </row>
    <row r="606" ht="15.75" customHeight="1">
      <c r="U606" s="79"/>
    </row>
    <row r="607" ht="15.75" customHeight="1">
      <c r="U607" s="79"/>
    </row>
    <row r="608" ht="15.75" customHeight="1">
      <c r="U608" s="79"/>
    </row>
    <row r="609" ht="15.75" customHeight="1">
      <c r="U609" s="79"/>
    </row>
    <row r="610" ht="15.75" customHeight="1">
      <c r="U610" s="79"/>
    </row>
    <row r="611" ht="15.75" customHeight="1">
      <c r="U611" s="79"/>
    </row>
    <row r="612" ht="15.75" customHeight="1">
      <c r="U612" s="79"/>
    </row>
    <row r="613" ht="15.75" customHeight="1">
      <c r="U613" s="79"/>
    </row>
    <row r="614" ht="15.75" customHeight="1">
      <c r="U614" s="79"/>
    </row>
    <row r="615" ht="15.75" customHeight="1">
      <c r="U615" s="79"/>
    </row>
    <row r="616" ht="15.75" customHeight="1">
      <c r="U616" s="79"/>
    </row>
    <row r="617" ht="15.75" customHeight="1">
      <c r="U617" s="79"/>
    </row>
    <row r="618" ht="15.75" customHeight="1">
      <c r="U618" s="79"/>
    </row>
    <row r="619" ht="15.75" customHeight="1">
      <c r="U619" s="79"/>
    </row>
    <row r="620" ht="15.75" customHeight="1">
      <c r="U620" s="79"/>
    </row>
    <row r="621" ht="15.75" customHeight="1">
      <c r="U621" s="79"/>
    </row>
    <row r="622" ht="15.75" customHeight="1">
      <c r="U622" s="79"/>
    </row>
    <row r="623" ht="15.75" customHeight="1">
      <c r="U623" s="79"/>
    </row>
    <row r="624" ht="15.75" customHeight="1">
      <c r="U624" s="79"/>
    </row>
    <row r="625" ht="15.75" customHeight="1">
      <c r="U625" s="79"/>
    </row>
    <row r="626" ht="15.75" customHeight="1">
      <c r="U626" s="79"/>
    </row>
    <row r="627" ht="15.75" customHeight="1">
      <c r="U627" s="79"/>
    </row>
    <row r="628" ht="15.75" customHeight="1">
      <c r="U628" s="79"/>
    </row>
    <row r="629" ht="15.75" customHeight="1">
      <c r="U629" s="79"/>
    </row>
    <row r="630" ht="15.75" customHeight="1">
      <c r="U630" s="79"/>
    </row>
    <row r="631" ht="15.75" customHeight="1">
      <c r="U631" s="79"/>
    </row>
    <row r="632" ht="15.75" customHeight="1">
      <c r="U632" s="79"/>
    </row>
    <row r="633" ht="15.75" customHeight="1">
      <c r="U633" s="79"/>
    </row>
    <row r="634" ht="15.75" customHeight="1">
      <c r="U634" s="79"/>
    </row>
    <row r="635" ht="15.75" customHeight="1">
      <c r="U635" s="79"/>
    </row>
    <row r="636" ht="15.75" customHeight="1">
      <c r="U636" s="79"/>
    </row>
    <row r="637" ht="15.75" customHeight="1">
      <c r="U637" s="79"/>
    </row>
    <row r="638" ht="15.75" customHeight="1">
      <c r="U638" s="79"/>
    </row>
    <row r="639" ht="15.75" customHeight="1">
      <c r="U639" s="79"/>
    </row>
    <row r="640" ht="15.75" customHeight="1">
      <c r="U640" s="79"/>
    </row>
    <row r="641" ht="15.75" customHeight="1">
      <c r="U641" s="79"/>
    </row>
    <row r="642" ht="15.75" customHeight="1">
      <c r="U642" s="79"/>
    </row>
    <row r="643" ht="15.75" customHeight="1">
      <c r="U643" s="79"/>
    </row>
    <row r="644" ht="15.75" customHeight="1">
      <c r="U644" s="79"/>
    </row>
    <row r="645" ht="15.75" customHeight="1">
      <c r="U645" s="79"/>
    </row>
    <row r="646" ht="15.75" customHeight="1">
      <c r="U646" s="79"/>
    </row>
    <row r="647" ht="15.75" customHeight="1">
      <c r="U647" s="79"/>
    </row>
    <row r="648" ht="15.75" customHeight="1">
      <c r="U648" s="79"/>
    </row>
    <row r="649" ht="15.75" customHeight="1">
      <c r="U649" s="79"/>
    </row>
    <row r="650" ht="15.75" customHeight="1">
      <c r="U650" s="79"/>
    </row>
    <row r="651" ht="15.75" customHeight="1">
      <c r="U651" s="79"/>
    </row>
    <row r="652" ht="15.75" customHeight="1">
      <c r="U652" s="79"/>
    </row>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K10:L224 K237:L451">
    <cfRule type="cellIs" dxfId="9" priority="1" operator="equal">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2">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3">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4">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5">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6">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7">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8">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9">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0">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1">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2">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3">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4">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5">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6">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7">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8">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9">
      <colorScale>
        <cfvo type="min"/>
        <cfvo type="percentile" val="50"/>
        <cfvo type="max"/>
        <color rgb="FF63BE7B"/>
        <color rgb="FFFCFCFF"/>
        <color rgb="FFF8696B"/>
      </colorScale>
    </cfRule>
  </conditionalFormatting>
  <conditionalFormatting sqref="A64:A67 A82:A85 A98:A101 A115:A118 A132:A135 A149:A152 A166:A169 A183:A186 A201:A204 A290:A294 A309:A312 A325:A328 A342:A345 A359:A362 A376:A379 A393:A396 A410:A413 A428:A431">
    <cfRule type="colorScale" priority="20">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1">
      <colorScale>
        <cfvo type="min"/>
        <cfvo type="percentile" val="50"/>
        <cfvo type="max"/>
        <color rgb="FF63BE7B"/>
        <color rgb="FFFCFCFF"/>
        <color rgb="FFF8696B"/>
      </colorScale>
    </cfRule>
  </conditionalFormatting>
  <conditionalFormatting sqref="A67:A68 A86 A102 A119 A136 A153 A170 A187 A205 A294:A295 A313 A329 A346 A363 A380 A397 A414 A432">
    <cfRule type="colorScale" priority="22">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3">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4">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5">
      <colorScale>
        <cfvo type="min"/>
        <cfvo type="percentile" val="50"/>
        <cfvo type="max"/>
        <color rgb="FF63BE7B"/>
        <color rgb="FFFCFCFF"/>
        <color rgb="FFF8696B"/>
      </colorScale>
    </cfRule>
  </conditionalFormatting>
  <conditionalFormatting sqref="A82:A86 A98:A102 A115:A119 A132:A136 A149:A153 A166:A170 A183:A187 A201:A205 A290 A309:A313 A325:A329 A342:A346 A359:A363 A376:A380 A393:A397 A410:A414 A428:A432">
    <cfRule type="colorScale" priority="26">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7">
      <colorScale>
        <cfvo type="min"/>
        <cfvo type="percentile" val="50"/>
        <cfvo type="max"/>
        <color rgb="FF63BE7B"/>
        <color rgb="FFFCFCFF"/>
        <color rgb="FFF8696B"/>
      </colorScale>
    </cfRule>
  </conditionalFormatting>
  <conditionalFormatting sqref="A87 A103 A120 A137 A154 A171 A188 A206 A314 A330 A347 A364 A381 A398 A415 A433">
    <cfRule type="colorScale" priority="28">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9">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0">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1">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2">
      <colorScale>
        <cfvo type="min"/>
        <cfvo type="percentile" val="50"/>
        <cfvo type="max"/>
        <color rgb="FF63BE7B"/>
        <color rgb="FFFCFCFF"/>
        <color rgb="FFF8696B"/>
      </colorScale>
    </cfRule>
  </conditionalFormatting>
  <conditionalFormatting sqref="A81:A84 A97:A100 A114:A117 A131:A134 A148:A151 A165:A168 A182:A185 A200:A203 A308:A311 A324:A327 A341:A344 A358:A361 A375:A378 A392:A395 A409:A412 A427:A430">
    <cfRule type="colorScale" priority="33">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4">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5">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6">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7">
      <colorScale>
        <cfvo type="min"/>
        <cfvo type="percentile" val="50"/>
        <cfvo type="max"/>
        <color rgb="FF63BE7B"/>
        <color rgb="FFFCFCFF"/>
        <color rgb="FFF8696B"/>
      </colorScale>
    </cfRule>
  </conditionalFormatting>
  <conditionalFormatting sqref="A82:A84 A98:A100 A115:A117 A132:A134 A149:A151 A166:A168 A183:A185 A201:A203 A309:A311 A325:A327 A342:A344 A359:A361 A376:A378 A393:A395 A410:A412 A428:A430">
    <cfRule type="colorScale" priority="38">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9">
      <colorScale>
        <cfvo type="min"/>
        <cfvo type="percentile" val="50"/>
        <cfvo type="max"/>
        <color rgb="FF63BE7B"/>
        <color rgb="FFFCFCFF"/>
        <color rgb="FFF8696B"/>
      </colorScale>
    </cfRule>
  </conditionalFormatting>
  <conditionalFormatting sqref="A85 A101 A118 A135 A152 A169 A186 A204 A312 A328 A345 A362 A379 A396 A413 A431">
    <cfRule type="colorScale" priority="40">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1">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42">
      <colorScale>
        <cfvo type="min"/>
        <cfvo type="percentile" val="50"/>
        <cfvo type="max"/>
        <color rgb="FF63BE7B"/>
        <color rgb="FFFFEB84"/>
        <color rgb="FFF8696B"/>
      </colorScale>
    </cfRule>
  </conditionalFormatting>
  <conditionalFormatting sqref="A98 A325">
    <cfRule type="colorScale" priority="43">
      <colorScale>
        <cfvo type="min"/>
        <cfvo type="percentile" val="50"/>
        <cfvo type="max"/>
        <color rgb="FF63BE7B"/>
        <color rgb="FFFCFCFF"/>
        <color rgb="FFF8696B"/>
      </colorScale>
    </cfRule>
  </conditionalFormatting>
  <conditionalFormatting sqref="A98 A325">
    <cfRule type="colorScale" priority="44">
      <colorScale>
        <cfvo type="min"/>
        <cfvo type="percentile" val="50"/>
        <cfvo type="max"/>
        <color rgb="FF63BE7B"/>
        <color rgb="FFFFEB84"/>
        <color rgb="FFF8696B"/>
      </colorScale>
    </cfRule>
  </conditionalFormatting>
  <conditionalFormatting sqref="A99 A326">
    <cfRule type="colorScale" priority="45">
      <colorScale>
        <cfvo type="min"/>
        <cfvo type="percentile" val="50"/>
        <cfvo type="max"/>
        <color rgb="FF63BE7B"/>
        <color rgb="FFFFEB84"/>
        <color rgb="FFF8696B"/>
      </colorScale>
    </cfRule>
  </conditionalFormatting>
  <conditionalFormatting sqref="A100:A104 A327:A331">
    <cfRule type="colorScale" priority="46">
      <colorScale>
        <cfvo type="min"/>
        <cfvo type="percentile" val="50"/>
        <cfvo type="max"/>
        <color rgb="FF63BE7B"/>
        <color rgb="FFFFEB84"/>
        <color rgb="FFF8696B"/>
      </colorScale>
    </cfRule>
  </conditionalFormatting>
  <conditionalFormatting sqref="A115 A342">
    <cfRule type="colorScale" priority="47">
      <colorScale>
        <cfvo type="min"/>
        <cfvo type="percentile" val="50"/>
        <cfvo type="max"/>
        <color rgb="FF63BE7B"/>
        <color rgb="FFFCFCFF"/>
        <color rgb="FFF8696B"/>
      </colorScale>
    </cfRule>
  </conditionalFormatting>
  <conditionalFormatting sqref="A115 A342">
    <cfRule type="colorScale" priority="48">
      <colorScale>
        <cfvo type="min"/>
        <cfvo type="percentile" val="50"/>
        <cfvo type="max"/>
        <color rgb="FF63BE7B"/>
        <color rgb="FFFFEB84"/>
        <color rgb="FFF8696B"/>
      </colorScale>
    </cfRule>
  </conditionalFormatting>
  <conditionalFormatting sqref="A116:A129 A343:A356">
    <cfRule type="colorScale" priority="49">
      <colorScale>
        <cfvo type="min"/>
        <cfvo type="percentile" val="50"/>
        <cfvo type="max"/>
        <color rgb="FF63BE7B"/>
        <color rgb="FFFFEB84"/>
        <color rgb="FFF8696B"/>
      </colorScale>
    </cfRule>
  </conditionalFormatting>
  <conditionalFormatting sqref="A132:A133 A359:A360">
    <cfRule type="colorScale" priority="50">
      <colorScale>
        <cfvo type="min"/>
        <cfvo type="percentile" val="50"/>
        <cfvo type="max"/>
        <color rgb="FF63BE7B"/>
        <color rgb="FFFFEB84"/>
        <color rgb="FFF8696B"/>
      </colorScale>
    </cfRule>
  </conditionalFormatting>
  <conditionalFormatting sqref="A149:A163 A376:A390">
    <cfRule type="colorScale" priority="51">
      <colorScale>
        <cfvo type="min"/>
        <cfvo type="percentile" val="50"/>
        <cfvo type="max"/>
        <color rgb="FF63BE7B"/>
        <color rgb="FFFFEB84"/>
        <color rgb="FFF8696B"/>
      </colorScale>
    </cfRule>
  </conditionalFormatting>
  <conditionalFormatting sqref="A166:A180 A393:A407">
    <cfRule type="colorScale" priority="52">
      <colorScale>
        <cfvo type="min"/>
        <cfvo type="percentile" val="50"/>
        <cfvo type="max"/>
        <color rgb="FF63BE7B"/>
        <color rgb="FFFFEB84"/>
        <color rgb="FFF8696B"/>
      </colorScale>
    </cfRule>
  </conditionalFormatting>
  <conditionalFormatting sqref="A183:A185 A410:A412">
    <cfRule type="colorScale" priority="53">
      <colorScale>
        <cfvo type="min"/>
        <cfvo type="percentile" val="50"/>
        <cfvo type="max"/>
        <color rgb="FF63BE7B"/>
        <color rgb="FFFFEB84"/>
        <color rgb="FFF8696B"/>
      </colorScale>
    </cfRule>
  </conditionalFormatting>
  <conditionalFormatting sqref="A201:A203 A428:A430">
    <cfRule type="colorScale" priority="54">
      <colorScale>
        <cfvo type="min"/>
        <cfvo type="percentile" val="50"/>
        <cfvo type="max"/>
        <color rgb="FF63BE7B"/>
        <color rgb="FFFFEB84"/>
        <color rgb="FFF8696B"/>
      </colorScale>
    </cfRule>
  </conditionalFormatting>
  <conditionalFormatting sqref="A208:A210 A435:A437">
    <cfRule type="colorScale" priority="55">
      <colorScale>
        <cfvo type="min"/>
        <cfvo type="percentile" val="50"/>
        <cfvo type="max"/>
        <color rgb="FF63BE7B"/>
        <color rgb="FFFFEB84"/>
        <color rgb="FFF8696B"/>
      </colorScale>
    </cfRule>
  </conditionalFormatting>
  <conditionalFormatting sqref="A211:A224 A438:A451">
    <cfRule type="colorScale" priority="56">
      <colorScale>
        <cfvo type="min"/>
        <cfvo type="percentile" val="50"/>
        <cfvo type="max"/>
        <color rgb="FF63BE7B"/>
        <color rgb="FFFFEB84"/>
        <color rgb="FFF8696B"/>
      </colorScale>
    </cfRule>
  </conditionalFormatting>
  <conditionalFormatting sqref="J10:L224 J237:L451">
    <cfRule type="cellIs" dxfId="8" priority="57" operator="equal">
      <formula>0</formula>
    </cfRule>
  </conditionalFormatting>
  <dataValidations>
    <dataValidation type="list" allowBlank="1" sqref="C12:C14 C87 C137 C152 C154 C169 C171 C204 C206 C241 C243 C256 C258 C275 C277 C294 C296 C312 C314 C328 C330 C345 C347 C362 C364 C379 C381 C396 C398 C413 C415 C431 C433">
      <formula1>"I-ACTIVE,MAP,KCL 60%,05-37-00,10-46-00 + S,08-42-00,SSP 21,03-15-07 +14%CO,URÉIA,SULFATO DE AMÔNIO,BOROGRAN,SUPER DUO,08-40-00 - 100M,AURUS 500,00-01-00+Cu2 Mn8 Zn7"</formula1>
    </dataValidation>
    <dataValidation type="list" allowBlank="1" sqref="C183">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formula1>
    </dataValidation>
    <dataValidation type="list" allowBlank="1" sqref="C67">
      <formula1>"UTRISHA N,PRESENCE FULL,Now Lock,Now Guard,Now Force,Now Raze,Now Bolt,Now Active,Now React,Now Cover,Now Pulse,Now Sprint,Bio Az,Bio ND,Tec Catp Pro,Bio Elipso,Tec Bug,Solu Shield,Solu Strong,Solu Leaf,Bio Hidric,Bio Bokashi,Bio Oil,Carbon Pro,Essencial "&amp;"Mg,Expelir,Primafert,Reserva,Tec Catp Pro Kit On-farm,Tec Bug Kit On-farm,Solu Shield Kit On-farm,Solu Strong Kit On-farm,Solu Leaf Kit On-farm,Bio Hidric Kit On-farm,Bio Bokashi Kit On-farm,Tec White Kit On-farm,Bio Solubilize Kit On-farm,Bio Release Kit"&amp;" On-farm,Bio Raiz Plus Kit On-farm,Bio Balance Kit On-farm,SoluBio Raiz Performance Kit On-farm,Tec Isaria Kit On-farm"</formula1>
    </dataValidation>
    <dataValidation type="list" allowBlank="1" sqref="C26:C27 C45:C47 C82:C83">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type="custom" allowBlank="1" showDropDown="1" sqref="G10:L224 G237:L451">
      <formula1>AND(ISNUMBER(G10),(NOT(OR(NOT(ISERROR(DATEVALUE(G10))), AND(ISNUMBER(G10), LEFT(CELL("format", G10))="D")))))</formula1>
    </dataValidation>
    <dataValidation type="list" allowBlank="1" sqref="C28 C48 C103 C120 C135 C151">
      <formula1>"RUMBA,ASSIST,MEES,AUREO,JOINT ULTRA,ADGREEN,ENERGIC,EXTRAVON,OCHIMA"</formula1>
    </dataValidation>
    <dataValidation type="list" allowBlank="1" sqref="C33 C52 C89 C105 C139 C156 C166 C173 C190 C202 C208 C245 C254 C260 C273 C279 C292 C298 C310 C316 C326 C332 C343 C349 C360 C366 C377 C383 C394 C400 C411 C417 C429 C435">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type="list" allowBlank="1" sqref="C17:C18">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formula1>
    </dataValidation>
    <dataValidation type="list" allowBlank="1" sqref="C29:C30 C49 C100:C102 C118:C119 C134">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type="list" allowBlank="1" sqref="C20:C24 C43 C62 C80 C247:C251 C270 C289 C307">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type="list" allowBlank="1" sqref="C11 C88 C138 C155 C172 C207 C244 C259 C278 C297 C315 C331 C348 C365 C382 C399 C416 C434">
      <formula1>"CALCÁRIO DOLOMITICO,GESSO AGRICOLA"</formula1>
    </dataValidation>
    <dataValidation type="list" allowBlank="1" sqref="C19">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formula1>
    </dataValidation>
    <dataValidation type="list" allowBlank="1" sqref="C86 C136 C153 C170 C205 C242 C257 C272 C276 C291 C295 C309 C313 C325 C329 C342 C346 C359 C363 C376 C380 C393 C397 C410 C414 C432">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type="list" allowBlank="1" sqref="C64">
      <formula1>"FEIJÃO,SEMENTE TRIGO,SEMENTE MILHO,MG540PWU,MG711PWU,MG616PWU,P3707PWU,P39209PWU,P40537PWU,FS650PWU,SEMENTE SOJA CV,OLIMPO,M8349,CORDIUS C2795 CE,HERA I2X,SPARTA 8.0,CORDIUS C2795 CE 7.9,IMPETO,NEO 790,APORÉ 7.3,GUAPÓ 7.7,MITICA 7.7,TMG MURICI I2X 7.6,DOM"&amp;"ÍNIO 8.4,LENDA,BRASMAX HERA,BRASMAX OLIMPO,S6525 I2X,TMG ITAÚBA I2X,SEMENTE SOJA RR,BRACHIARIA RUZIZIENCES,CAPIM MIAGE,TMG INGÁ I2X 6.9,TMG 2383 IPRO 8.3,BRACHIARIA BASICA,GH 2478 IPRO 8.1,HO COCARI I2X 8.2,SEMENTE DE SORGO"</formula1>
    </dataValidation>
    <dataValidation type="list" allowBlank="1" sqref="C50 C71">
      <formula1>"RADIFARM,MEGAFOL,OCTABORATO,BOP,METAL NUTRE,MONIC,AP MAGNÉSIO,GRANO KMG,AP MANGANÊS,AMINOS Mn,MICROBOX,ACRESECENT ALGA,RAIZ F,ACRESCENTE SOLUS F,SALUT,MATRIZ D,BRAVERO,Glyfort,Fergsum,Spander,Halattus,Sallvare Complex,Zinctaus Complex,Emezine Complex,Bora"&amp;"tus Complex,Magmill Complex,Brave K,Brave Max Up,MAX RAIZ,Polyamine,Sulfato de Magnésio,Map Purificado,MANGAN 10,NHT ZINCO,KELLUS CUPPER,MOLIBIDENIO 16,ZINCO 10,Potenza NiCoMo"</formula1>
    </dataValidation>
    <dataValidation type="list" allowBlank="1" sqref="C31 C85 C167">
      <formula1>"RUMBA,ASSIST,MEES,AUREO EC,JOINT ULTRA,ENERGIC,EXTRAVON,OCHIMA,STRIDES"</formula1>
    </dataValidation>
    <dataValidation type="list" allowBlank="1" sqref="C84 C98:C99 C104 C115:C117 C132:C133 C149:C150">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type="list" allowBlank="1" sqref="C68:C70">
      <formula1>"UTRISHA N,PRESENCE FULL,Now Lock,Now Guard,Now Force,Now Raze,Now Bolt,Now Active,Now React,Now Cover,Now Pulse,Now Sprint,Bio Az,Bio ND,Tec Catp Pro,Bio Elipso,Tec Bug,Solu Shield,Solu Strong,Solu Leaf,Bio Hidric,Bio Bokashi,Bio Oil,Carbon Pro,Essencial "&amp;"Mg,Expelir,Potenza NiCoMo,Primafert,Reserva,Tec White,Bio Solubilize,Bio Release,Bio Raiz Plus,Bio Balance,SoluBio Raiz Performance,Tec Isaria"</formula1>
    </dataValidation>
    <dataValidation type="list" allowBlank="1" showErrorMessage="1" sqref="B10:B224 B237:B451">
      <formula1>#REF!</formula1>
    </dataValidation>
    <dataValidation type="list" allowBlank="1" sqref="C65:C66 C168 C203 C240 C255 C274 C293 C311 C327 C344 C361 C378 C395 C412 C430">
      <formula1>"SOMBRERO,STANDAK TOP,CROPSTAR,DERMACOR,PERMIT STAR,PRESENCE FULL,PLUST,CRUISER 350 FS,CRUISER ADVANCED,FORTENZA 600 FS,MAXIM ADVANCED,MAXIM XL,SPECTRO,BIOZYME,NIMAXXA,VITAVAX-THIRAM 200 SC"</formula1>
    </dataValidation>
    <dataValidation type="list" allowBlank="1" sqref="C184:C189">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formula1>
    </dataValidation>
    <dataValidation type="list" allowBlank="1" sqref="C34 C53:C54 C59 C72:C73 C90:C91 C96 C106:C107 C112 C123:C124 C129 C140:C141 C146 C157:C158 C163 C174:C175 C180 C191:C192 C197 C209:C210 C215 C246 C253 C261:C262 C267 C280:C281 C286 C299:C300 C317:C318 C323 C333:C334 C339 C350:C351 C356 C367:C368 C373 C384:C385 C390 C401:C402 C407 C418:C419 C424 C436:C437 C442">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display="ÁREA PLANTIO" location="'ÁREA PLANTIO'!A1" ref="F1"/>
    <hyperlink display="ÁREA PLANTIO" location="'ÁREA PLANTIO'!A1" ref="F227"/>
  </hyperlinks>
  <printOptions/>
  <pageMargins bottom="0.787401575" footer="0.0" header="0.0" left="0.511811024" right="0.511811024" top="0.787401575"/>
  <pageSetup orientation="landscape"/>
  <drawing r:id="rId1"/>
  <tableParts count="2">
    <tablePart r:id="rId4"/>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13.88"/>
    <col customWidth="1" min="2" max="2" width="22.75"/>
    <col customWidth="1" min="3" max="3" width="33.63"/>
    <col customWidth="1" min="4" max="4" width="40.25"/>
    <col customWidth="1" min="5" max="5" width="20.13"/>
    <col customWidth="1" min="6" max="6" width="13.13"/>
    <col customWidth="1" min="7" max="7" width="13.75"/>
    <col customWidth="1" min="8" max="9" width="10.38"/>
    <col customWidth="1" min="10" max="10" width="14.0"/>
    <col customWidth="1" min="11" max="23" width="14.38"/>
  </cols>
  <sheetData>
    <row r="1" ht="15.75" customHeight="1">
      <c r="A1" s="260" t="s">
        <v>1203</v>
      </c>
      <c r="B1" s="261" t="str">
        <f>'ÁREA PLANTIO'!B7</f>
        <v>CAPOEIRINHA</v>
      </c>
      <c r="C1" s="262" t="s">
        <v>1166</v>
      </c>
      <c r="D1" s="263">
        <f>$K$225</f>
        <v>1721.322087</v>
      </c>
      <c r="E1" s="264"/>
      <c r="F1" s="265" t="s">
        <v>1167</v>
      </c>
      <c r="G1" s="266"/>
      <c r="H1" s="267"/>
      <c r="I1" s="267"/>
      <c r="J1" s="267"/>
      <c r="K1" s="266"/>
      <c r="L1" s="220"/>
      <c r="M1" s="220"/>
      <c r="N1" s="220"/>
      <c r="O1" s="220"/>
      <c r="P1" s="220"/>
      <c r="Q1" s="220"/>
      <c r="R1" s="220"/>
      <c r="S1" s="220"/>
      <c r="T1" s="220"/>
      <c r="U1" s="220"/>
      <c r="V1" s="220"/>
      <c r="W1" s="220"/>
    </row>
    <row r="2" ht="15.75" customHeight="1">
      <c r="A2" s="260" t="s">
        <v>1168</v>
      </c>
      <c r="B2" s="268">
        <f>'ÁREA PLANTIO'!E7</f>
        <v>312</v>
      </c>
      <c r="C2" s="269" t="s">
        <v>1169</v>
      </c>
      <c r="D2" s="270">
        <f>'ÁREA PLANTIO'!D7</f>
        <v>70</v>
      </c>
      <c r="E2" s="264"/>
      <c r="F2" s="264"/>
      <c r="G2" s="266"/>
      <c r="H2" s="267"/>
      <c r="I2" s="267"/>
      <c r="J2" s="267"/>
      <c r="K2" s="266"/>
      <c r="L2" s="220"/>
      <c r="M2" s="220"/>
      <c r="N2" s="220"/>
      <c r="O2" s="220"/>
      <c r="P2" s="220"/>
      <c r="Q2" s="220"/>
      <c r="R2" s="220"/>
      <c r="S2" s="220"/>
      <c r="T2" s="220"/>
      <c r="U2" s="220"/>
      <c r="V2" s="220"/>
      <c r="W2" s="220"/>
    </row>
    <row r="3" ht="15.75" customHeight="1">
      <c r="A3" s="260" t="s">
        <v>1170</v>
      </c>
      <c r="B3" s="267" t="str">
        <f>'ÁREA PLANTIO'!C7</f>
        <v>FA-SOJA SEQUEIRO-26/27</v>
      </c>
      <c r="C3" s="269" t="s">
        <v>1171</v>
      </c>
      <c r="D3" s="271">
        <f>D1/D2</f>
        <v>24.59031553</v>
      </c>
      <c r="E3" s="264"/>
      <c r="F3" s="264"/>
      <c r="G3" s="266"/>
      <c r="H3" s="267"/>
      <c r="I3" s="267"/>
      <c r="J3" s="267"/>
      <c r="K3" s="266"/>
      <c r="L3" s="220"/>
      <c r="M3" s="220"/>
      <c r="N3" s="220"/>
      <c r="O3" s="220"/>
      <c r="P3" s="220"/>
      <c r="Q3" s="220"/>
      <c r="R3" s="220"/>
      <c r="S3" s="220"/>
      <c r="T3" s="220"/>
      <c r="U3" s="220"/>
      <c r="V3" s="220"/>
      <c r="W3" s="220"/>
    </row>
    <row r="4" ht="15.75" customHeight="1">
      <c r="A4" s="272" t="s">
        <v>1172</v>
      </c>
      <c r="B4" s="273">
        <v>45606.0</v>
      </c>
      <c r="C4" s="274"/>
      <c r="D4" s="275"/>
      <c r="E4" s="276"/>
      <c r="F4" s="264"/>
      <c r="G4" s="266"/>
      <c r="H4" s="267"/>
      <c r="I4" s="267"/>
      <c r="J4" s="267"/>
      <c r="K4" s="266"/>
      <c r="L4" s="220"/>
      <c r="M4" s="220"/>
      <c r="N4" s="220"/>
      <c r="O4" s="220"/>
      <c r="P4" s="220"/>
      <c r="Q4" s="220"/>
      <c r="R4" s="220"/>
      <c r="S4" s="220"/>
      <c r="T4" s="220"/>
      <c r="U4" s="220"/>
      <c r="V4" s="220"/>
      <c r="W4" s="220"/>
    </row>
    <row r="5" ht="15.75" customHeight="1">
      <c r="E5" s="277"/>
      <c r="F5" s="264"/>
      <c r="G5" s="266"/>
      <c r="H5" s="267"/>
      <c r="I5" s="267"/>
      <c r="J5" s="267"/>
      <c r="K5" s="266"/>
      <c r="L5" s="220"/>
      <c r="M5" s="220"/>
      <c r="N5" s="220"/>
      <c r="O5" s="220"/>
      <c r="P5" s="220"/>
      <c r="Q5" s="220"/>
      <c r="R5" s="220"/>
      <c r="S5" s="220"/>
      <c r="T5" s="220"/>
      <c r="U5" s="220"/>
      <c r="V5" s="220"/>
      <c r="W5" s="220"/>
    </row>
    <row r="6" ht="15.75" customHeight="1">
      <c r="A6" s="260"/>
      <c r="B6" s="267"/>
      <c r="C6" s="264"/>
      <c r="D6" s="264"/>
      <c r="E6" s="264"/>
      <c r="F6" s="264"/>
      <c r="G6" s="266"/>
      <c r="H6" s="267"/>
      <c r="I6" s="267"/>
      <c r="J6" s="267"/>
      <c r="K6" s="266"/>
      <c r="L6" s="220"/>
      <c r="M6" s="220"/>
      <c r="N6" s="220"/>
      <c r="O6" s="220"/>
      <c r="P6" s="220"/>
      <c r="Q6" s="220"/>
      <c r="R6" s="220"/>
      <c r="S6" s="220"/>
      <c r="T6" s="220"/>
      <c r="U6" s="220"/>
      <c r="V6" s="220"/>
      <c r="W6" s="220"/>
    </row>
    <row r="7" ht="15.75" customHeight="1">
      <c r="A7" s="267"/>
      <c r="B7" s="267"/>
      <c r="C7" s="264"/>
      <c r="D7" s="264"/>
      <c r="E7" s="264"/>
      <c r="F7" s="264"/>
      <c r="G7" s="266"/>
      <c r="H7" s="267"/>
      <c r="I7" s="267"/>
      <c r="J7" s="267"/>
      <c r="K7" s="266"/>
      <c r="L7" s="220"/>
      <c r="M7" s="220"/>
      <c r="N7" s="220"/>
      <c r="O7" s="220"/>
      <c r="P7" s="220"/>
      <c r="Q7" s="220"/>
      <c r="R7" s="220"/>
      <c r="S7" s="220"/>
      <c r="T7" s="220"/>
      <c r="U7" s="220"/>
      <c r="V7" s="220"/>
      <c r="W7" s="220"/>
    </row>
    <row r="8" ht="15.75" customHeight="1">
      <c r="A8" s="267"/>
      <c r="B8" s="267"/>
      <c r="C8" s="267"/>
      <c r="D8" s="267"/>
      <c r="E8" s="264"/>
      <c r="F8" s="264"/>
      <c r="G8" s="266"/>
      <c r="H8" s="267"/>
      <c r="I8" s="267"/>
      <c r="J8" s="267"/>
      <c r="K8" s="266"/>
      <c r="L8" s="220"/>
      <c r="M8" s="220"/>
      <c r="N8" s="220"/>
      <c r="O8" s="220"/>
      <c r="P8" s="220"/>
      <c r="Q8" s="220"/>
      <c r="R8" s="220"/>
      <c r="S8" s="220"/>
      <c r="T8" s="220"/>
      <c r="U8" s="220"/>
      <c r="V8" s="220"/>
      <c r="W8" s="220"/>
    </row>
    <row r="9" ht="15.75" customHeight="1">
      <c r="A9" s="211" t="s">
        <v>1173</v>
      </c>
      <c r="B9" s="213" t="s">
        <v>1174</v>
      </c>
      <c r="C9" s="213" t="s">
        <v>1175</v>
      </c>
      <c r="D9" s="211" t="s">
        <v>1176</v>
      </c>
      <c r="E9" s="211" t="s">
        <v>1177</v>
      </c>
      <c r="F9" s="211" t="s">
        <v>1178</v>
      </c>
      <c r="G9" s="278" t="s">
        <v>1179</v>
      </c>
      <c r="H9" s="278" t="s">
        <v>1180</v>
      </c>
      <c r="I9" s="278" t="s">
        <v>1181</v>
      </c>
      <c r="J9" s="279" t="s">
        <v>1134</v>
      </c>
      <c r="K9" s="280" t="s">
        <v>1182</v>
      </c>
      <c r="L9" s="281" t="s">
        <v>339</v>
      </c>
      <c r="M9" s="220"/>
      <c r="N9" s="220"/>
      <c r="O9" s="220"/>
      <c r="P9" s="220"/>
      <c r="Q9" s="220"/>
      <c r="R9" s="220"/>
      <c r="S9" s="220"/>
      <c r="T9" s="220"/>
      <c r="U9" s="220"/>
      <c r="V9" s="220"/>
      <c r="W9" s="220"/>
    </row>
    <row r="10" ht="15.75" customHeight="1">
      <c r="A10" s="231" t="s">
        <v>1183</v>
      </c>
      <c r="B10" s="230"/>
      <c r="C10" s="231"/>
      <c r="D10" s="232" t="s">
        <v>216</v>
      </c>
      <c r="E10" s="231"/>
      <c r="F10" s="231"/>
      <c r="G10" s="233"/>
      <c r="H10" s="282"/>
      <c r="I10" s="258"/>
      <c r="J10" s="236"/>
      <c r="K10" s="237">
        <f t="shared" ref="K10:L10" si="1">SUBTOTAL(9,K11:K24)</f>
        <v>0</v>
      </c>
      <c r="L10" s="237">
        <f t="shared" si="1"/>
        <v>0</v>
      </c>
      <c r="M10" s="220"/>
      <c r="N10" s="220"/>
      <c r="O10" s="220"/>
      <c r="P10" s="220"/>
      <c r="Q10" s="220"/>
      <c r="R10" s="220"/>
      <c r="S10" s="220"/>
      <c r="T10" s="220"/>
      <c r="U10" s="220"/>
      <c r="V10" s="220"/>
      <c r="W10" s="220"/>
    </row>
    <row r="11" outlineLevel="1">
      <c r="A11" s="213"/>
      <c r="B11" s="212" t="s">
        <v>8</v>
      </c>
      <c r="C11" s="213" t="s">
        <v>397</v>
      </c>
      <c r="D11" s="214" t="str">
        <f>IFERROR(VLOOKUP($C11,'PORTIFÓLIO'!C:V,2,0),"")</f>
        <v>CaO 38%  MgO 18%</v>
      </c>
      <c r="E11" s="211" t="str">
        <f>IFERROR(VLOOKUP($C11,'PORTIFÓLIO'!C:V,3,0),"")</f>
        <v/>
      </c>
      <c r="F11" s="211" t="str">
        <f>IFERROR(VLOOKUP($C11,'PORTIFÓLIO'!C:V,4,0),"")</f>
        <v>Ton</v>
      </c>
      <c r="G11" s="215" t="str">
        <f>IFERROR(VLOOKUP($C11,'PORTIFÓLIO'!C:V,5,0),"")</f>
        <v/>
      </c>
      <c r="H11" s="254" t="str">
        <f t="array" ref="H11">IFERROR(INDEX('PORTIFÓLIO'!$H$4:$H$433,MATCH($C11,'PORTIFÓLIO'!$C$4:$C$433,0)),"")</f>
        <v/>
      </c>
      <c r="I11" s="255">
        <v>3.0</v>
      </c>
      <c r="J11" s="218">
        <f t="shared" ref="J11:J24" si="2">I11*$B$2</f>
        <v>936</v>
      </c>
      <c r="K11" s="219">
        <f t="array" ref="K11">IFERROR(I11*INDEX('PORTIFÓLIO'!$S$4:$S$433,MATCH($C11,'PORTIFÓLIO'!$C$4:$C$433,0)),"")</f>
        <v>0</v>
      </c>
      <c r="L11" s="219">
        <f t="array" ref="L11">IFERROR(J11*INDEX('PORTIFÓLIO'!$S$4:$S$433,MATCH($C11,'PORTIFÓLIO'!$C$4:$C$433,0)),"")</f>
        <v>0</v>
      </c>
      <c r="M11" s="220"/>
      <c r="N11" s="220"/>
      <c r="O11" s="220"/>
      <c r="P11" s="220"/>
      <c r="Q11" s="220"/>
      <c r="R11" s="220"/>
      <c r="S11" s="220"/>
      <c r="T11" s="220"/>
      <c r="U11" s="220" t="str">
        <f>IFERROR(__xludf.DUMMYFUNCTION("FILTER('PORTIFÓLIO'!C:C, 'PORTIFÓLIO'!B:B=B11)"),"#REF!")</f>
        <v>#REF!</v>
      </c>
      <c r="V11" s="220"/>
      <c r="W11" s="220"/>
    </row>
    <row r="12" outlineLevel="1">
      <c r="A12" s="213"/>
      <c r="B12" s="212" t="s">
        <v>7</v>
      </c>
      <c r="C12" s="213" t="s">
        <v>423</v>
      </c>
      <c r="D12" s="214" t="str">
        <f>IFERROR(VLOOKUP($C12,'PORTIFÓLIO'!C:V,2,0),"")</f>
        <v>P2O5 14%</v>
      </c>
      <c r="E12" s="211" t="str">
        <f>IFERROR(VLOOKUP($C12,'PORTIFÓLIO'!C:V,3,0),"")</f>
        <v/>
      </c>
      <c r="F12" s="211" t="str">
        <f>IFERROR(VLOOKUP($C12,'PORTIFÓLIO'!C:V,4,0),"")</f>
        <v>Ton</v>
      </c>
      <c r="G12" s="215" t="str">
        <f>IFERROR(VLOOKUP($C12,'PORTIFÓLIO'!C:V,5,0),"")</f>
        <v/>
      </c>
      <c r="H12" s="254" t="str">
        <f t="array" ref="H12">IFERROR(INDEX('PORTIFÓLIO'!$H$4:$H$433,MATCH($C12,'PORTIFÓLIO'!$C$4:$C$433,0)),"")</f>
        <v/>
      </c>
      <c r="I12" s="255">
        <v>0.5</v>
      </c>
      <c r="J12" s="218">
        <f t="shared" si="2"/>
        <v>156</v>
      </c>
      <c r="K12" s="219">
        <f t="array" ref="K12">IFERROR(I12*INDEX('PORTIFÓLIO'!$S$4:$S$433,MATCH($C12,'PORTIFÓLIO'!$C$4:$C$433,0)),"")</f>
        <v>0</v>
      </c>
      <c r="L12" s="219">
        <f t="array" ref="L12">IFERROR(J12*INDEX('PORTIFÓLIO'!$S$4:$S$433,MATCH($C12,'PORTIFÓLIO'!$C$4:$C$433,0)),"")</f>
        <v>0</v>
      </c>
      <c r="M12" s="220"/>
      <c r="N12" s="220"/>
      <c r="O12" s="220"/>
      <c r="P12" s="220"/>
      <c r="Q12" s="220"/>
      <c r="R12" s="220"/>
      <c r="S12" s="220"/>
      <c r="T12" s="220"/>
      <c r="U12" s="220" t="str">
        <f>IFERROR(__xludf.DUMMYFUNCTION("FILTER('PORTIFÓLIO'!C:C, 'PORTIFÓLIO'!B:B=B12)"),"#REF!")</f>
        <v>#REF!</v>
      </c>
      <c r="V12" s="220"/>
      <c r="W12" s="220"/>
    </row>
    <row r="13" outlineLevel="1">
      <c r="A13" s="213"/>
      <c r="B13" s="212" t="s">
        <v>7</v>
      </c>
      <c r="C13" s="213" t="s">
        <v>405</v>
      </c>
      <c r="D13" s="214" t="str">
        <f>IFERROR(VLOOKUP($C13,'PORTIFÓLIO'!C:V,2,0),"")</f>
        <v>K2O 60%</v>
      </c>
      <c r="E13" s="211" t="str">
        <f>IFERROR(VLOOKUP($C13,'PORTIFÓLIO'!C:V,3,0),"")</f>
        <v/>
      </c>
      <c r="F13" s="211" t="str">
        <f>IFERROR(VLOOKUP($C13,'PORTIFÓLIO'!C:V,4,0),"")</f>
        <v>Ton</v>
      </c>
      <c r="G13" s="215" t="str">
        <f>IFERROR(VLOOKUP($C13,'PORTIFÓLIO'!C:V,5,0),"")</f>
        <v/>
      </c>
      <c r="H13" s="254" t="str">
        <f t="array" ref="H13">IFERROR(INDEX('PORTIFÓLIO'!$H$4:$H$433,MATCH($C13,'PORTIFÓLIO'!$C$4:$C$433,0)),"")</f>
        <v/>
      </c>
      <c r="I13" s="255">
        <v>0.2</v>
      </c>
      <c r="J13" s="218">
        <f t="shared" si="2"/>
        <v>62.4</v>
      </c>
      <c r="K13" s="219">
        <f t="array" ref="K13">IFERROR(I13*INDEX('PORTIFÓLIO'!$S$4:$S$433,MATCH($C13,'PORTIFÓLIO'!$C$4:$C$433,0)),"")</f>
        <v>0</v>
      </c>
      <c r="L13" s="219">
        <f t="array" ref="L13">IFERROR(J13*INDEX('PORTIFÓLIO'!$S$4:$S$433,MATCH($C13,'PORTIFÓLIO'!$C$4:$C$433,0)),"")</f>
        <v>0</v>
      </c>
      <c r="M13" s="220"/>
      <c r="N13" s="220"/>
      <c r="O13" s="220"/>
      <c r="P13" s="220"/>
      <c r="Q13" s="220"/>
      <c r="R13" s="220"/>
      <c r="S13" s="220"/>
      <c r="T13" s="220"/>
      <c r="U13" s="220" t="str">
        <f>IFERROR(__xludf.DUMMYFUNCTION("FILTER('PORTIFÓLIO'!C:C, 'PORTIFÓLIO'!B:B=B13)"),"#REF!")</f>
        <v>#REF!</v>
      </c>
      <c r="V13" s="220"/>
      <c r="W13" s="220"/>
    </row>
    <row r="14" outlineLevel="1">
      <c r="A14" s="211"/>
      <c r="B14" s="212" t="s">
        <v>7</v>
      </c>
      <c r="C14" s="213" t="s">
        <v>429</v>
      </c>
      <c r="D14" s="214" t="str">
        <f>IFERROR(VLOOKUP($C14,'PORTIFÓLIO'!C:V,2,0),"")</f>
        <v>Cu 2% Mn 8% Zn 7% </v>
      </c>
      <c r="E14" s="211" t="str">
        <f>IFERROR(VLOOKUP($C14,'PORTIFÓLIO'!C:V,3,0),"")</f>
        <v/>
      </c>
      <c r="F14" s="211" t="str">
        <f>IFERROR(VLOOKUP($C14,'PORTIFÓLIO'!C:V,4,0),"")</f>
        <v>Ton</v>
      </c>
      <c r="G14" s="215" t="str">
        <f>IFERROR(VLOOKUP($C14,'PORTIFÓLIO'!C:V,5,0),"")</f>
        <v/>
      </c>
      <c r="H14" s="254" t="str">
        <f t="array" ref="H14">IFERROR(INDEX('PORTIFÓLIO'!$H$4:$H$433,MATCH($C14,'PORTIFÓLIO'!$C$4:$C$433,0)),"")</f>
        <v/>
      </c>
      <c r="I14" s="255">
        <v>0.05</v>
      </c>
      <c r="J14" s="218">
        <f t="shared" si="2"/>
        <v>15.6</v>
      </c>
      <c r="K14" s="219">
        <f t="array" ref="K14">IFERROR(I14*INDEX('PORTIFÓLIO'!$S$4:$S$433,MATCH($C14,'PORTIFÓLIO'!$C$4:$C$433,0)),"")</f>
        <v>0</v>
      </c>
      <c r="L14" s="219">
        <f t="array" ref="L14">IFERROR(J14*INDEX('PORTIFÓLIO'!$S$4:$S$433,MATCH($C14,'PORTIFÓLIO'!$C$4:$C$433,0)),"")</f>
        <v>0</v>
      </c>
      <c r="M14" s="220"/>
      <c r="N14" s="220"/>
      <c r="O14" s="220"/>
      <c r="P14" s="220"/>
      <c r="Q14" s="220"/>
      <c r="R14" s="220"/>
      <c r="S14" s="220"/>
      <c r="T14" s="220"/>
      <c r="U14" s="220" t="str">
        <f>IFERROR(__xludf.DUMMYFUNCTION("FILTER('PORTIFÓLIO'!C:C, 'PORTIFÓLIO'!B:B=B14)"),"#REF!")</f>
        <v>#REF!</v>
      </c>
      <c r="V14" s="220"/>
      <c r="W14" s="220"/>
    </row>
    <row r="15" outlineLevel="1">
      <c r="A15" s="211"/>
      <c r="B15" s="212"/>
      <c r="C15" s="213"/>
      <c r="D15" s="214" t="str">
        <f>IFERROR(VLOOKUP($C15,'PORTIFÓLIO'!C:V,2,0),"")</f>
        <v/>
      </c>
      <c r="E15" s="211" t="str">
        <f>IFERROR(VLOOKUP($C15,'PORTIFÓLIO'!C:V,3,0),"")</f>
        <v/>
      </c>
      <c r="F15" s="211" t="str">
        <f>IFERROR(VLOOKUP($C15,'PORTIFÓLIO'!C:V,4,0),"")</f>
        <v/>
      </c>
      <c r="G15" s="215" t="str">
        <f>IFERROR(VLOOKUP($C15,'PORTIFÓLIO'!C:V,5,0),"")</f>
        <v/>
      </c>
      <c r="H15" s="254" t="str">
        <f t="array" ref="H15">IFERROR(INDEX('PORTIFÓLIO'!$H$4:$H$433,MATCH($C15,'PORTIFÓLIO'!$C$4:$C$433,0)),"")</f>
        <v/>
      </c>
      <c r="I15" s="255"/>
      <c r="J15" s="218">
        <f t="shared" si="2"/>
        <v>0</v>
      </c>
      <c r="K15" s="219" t="str">
        <f t="array" ref="K15">IFERROR(I15*INDEX('PORTIFÓLIO'!$S$4:$S$433,MATCH($C15,'PORTIFÓLIO'!$C$4:$C$433,0)),"")</f>
        <v/>
      </c>
      <c r="L15" s="219" t="str">
        <f t="array" ref="L15">IFERROR(J15*INDEX('PORTIFÓLIO'!$S$4:$S$433,MATCH($C15,'PORTIFÓLIO'!$C$4:$C$433,0)),"")</f>
        <v/>
      </c>
      <c r="M15" s="220"/>
      <c r="N15" s="220"/>
      <c r="O15" s="220"/>
      <c r="P15" s="220"/>
      <c r="Q15" s="220"/>
      <c r="R15" s="220"/>
      <c r="S15" s="220"/>
      <c r="T15" s="220"/>
      <c r="U15" s="220" t="str">
        <f>IFERROR(__xludf.DUMMYFUNCTION("FILTER('PORTIFÓLIO'!C:C, 'PORTIFÓLIO'!B:B=B15)"),"#REF!")</f>
        <v>#REF!</v>
      </c>
      <c r="V15" s="220"/>
      <c r="W15" s="220"/>
    </row>
    <row r="16" outlineLevel="1">
      <c r="A16" s="211"/>
      <c r="B16" s="212"/>
      <c r="C16" s="213"/>
      <c r="D16" s="214" t="str">
        <f>IFERROR(VLOOKUP($C16,'PORTIFÓLIO'!C:V,2,0),"")</f>
        <v/>
      </c>
      <c r="E16" s="211" t="str">
        <f>IFERROR(VLOOKUP($C16,'PORTIFÓLIO'!C:V,3,0),"")</f>
        <v/>
      </c>
      <c r="F16" s="211" t="str">
        <f>IFERROR(VLOOKUP($C16,'PORTIFÓLIO'!C:V,4,0),"")</f>
        <v/>
      </c>
      <c r="G16" s="215" t="str">
        <f>IFERROR(VLOOKUP($C16,'PORTIFÓLIO'!C:V,5,0),"")</f>
        <v/>
      </c>
      <c r="H16" s="254" t="str">
        <f t="array" ref="H16">IFERROR(INDEX('PORTIFÓLIO'!$H$4:$H$433,MATCH($C16,'PORTIFÓLIO'!$C$4:$C$433,0)),"")</f>
        <v/>
      </c>
      <c r="I16" s="255"/>
      <c r="J16" s="218">
        <f t="shared" si="2"/>
        <v>0</v>
      </c>
      <c r="K16" s="219" t="str">
        <f t="array" ref="K16">IFERROR(I16*INDEX('PORTIFÓLIO'!$S$4:$S$433,MATCH($C16,'PORTIFÓLIO'!$C$4:$C$433,0)),"")</f>
        <v/>
      </c>
      <c r="L16" s="219" t="str">
        <f t="array" ref="L16">IFERROR(J16*INDEX('PORTIFÓLIO'!$S$4:$S$433,MATCH($C16,'PORTIFÓLIO'!$C$4:$C$433,0)),"")</f>
        <v/>
      </c>
      <c r="M16" s="220"/>
      <c r="N16" s="220"/>
      <c r="O16" s="220"/>
      <c r="P16" s="220"/>
      <c r="Q16" s="220"/>
      <c r="R16" s="220"/>
      <c r="S16" s="220"/>
      <c r="T16" s="220"/>
      <c r="U16" s="220" t="str">
        <f>IFERROR(__xludf.DUMMYFUNCTION("FILTER('PORTIFÓLIO'!C:C, 'PORTIFÓLIO'!B:B=B16)"),"#REF!")</f>
        <v>#REF!</v>
      </c>
      <c r="V16" s="220"/>
      <c r="W16" s="220"/>
    </row>
    <row r="17" outlineLevel="1">
      <c r="A17" s="211"/>
      <c r="B17" s="212"/>
      <c r="C17" s="213"/>
      <c r="D17" s="214" t="str">
        <f>IFERROR(VLOOKUP($C17,'PORTIFÓLIO'!C:V,2,0),"")</f>
        <v/>
      </c>
      <c r="E17" s="211" t="str">
        <f>IFERROR(VLOOKUP($C17,'PORTIFÓLIO'!C:V,3,0),"")</f>
        <v/>
      </c>
      <c r="F17" s="211" t="str">
        <f>IFERROR(VLOOKUP($C17,'PORTIFÓLIO'!C:V,4,0),"")</f>
        <v/>
      </c>
      <c r="G17" s="215" t="str">
        <f>IFERROR(VLOOKUP($C17,'PORTIFÓLIO'!C:V,5,0),"")</f>
        <v/>
      </c>
      <c r="H17" s="254" t="str">
        <f t="array" ref="H17">IFERROR(INDEX('PORTIFÓLIO'!$H$4:$H$433,MATCH($C17,'PORTIFÓLIO'!$C$4:$C$433,0)),"")</f>
        <v/>
      </c>
      <c r="I17" s="255"/>
      <c r="J17" s="218">
        <f t="shared" si="2"/>
        <v>0</v>
      </c>
      <c r="K17" s="219" t="str">
        <f t="array" ref="K17">IFERROR(I17*INDEX('PORTIFÓLIO'!$S$4:$S$433,MATCH($C17,'PORTIFÓLIO'!$C$4:$C$433,0)),"")</f>
        <v/>
      </c>
      <c r="L17" s="219" t="str">
        <f t="array" ref="L17">IFERROR(J17*INDEX('PORTIFÓLIO'!$S$4:$S$433,MATCH($C17,'PORTIFÓLIO'!$C$4:$C$433,0)),"")</f>
        <v/>
      </c>
      <c r="M17" s="220"/>
      <c r="N17" s="220"/>
      <c r="O17" s="220"/>
      <c r="P17" s="220"/>
      <c r="Q17" s="220"/>
      <c r="R17" s="220"/>
      <c r="S17" s="220"/>
      <c r="T17" s="220"/>
      <c r="U17" s="220" t="str">
        <f>IFERROR(__xludf.DUMMYFUNCTION("FILTER('PORTIFÓLIO'!C:C, 'PORTIFÓLIO'!B:B=B17)"),"#REF!")</f>
        <v>#REF!</v>
      </c>
      <c r="V17" s="220"/>
      <c r="W17" s="220"/>
    </row>
    <row r="18" outlineLevel="1">
      <c r="A18" s="211"/>
      <c r="B18" s="212"/>
      <c r="C18" s="213"/>
      <c r="D18" s="214" t="str">
        <f>IFERROR(VLOOKUP($C18,'PORTIFÓLIO'!C:V,2,0),"")</f>
        <v/>
      </c>
      <c r="E18" s="211" t="str">
        <f>IFERROR(VLOOKUP($C18,'PORTIFÓLIO'!C:V,3,0),"")</f>
        <v/>
      </c>
      <c r="F18" s="211" t="str">
        <f>IFERROR(VLOOKUP($C18,'PORTIFÓLIO'!C:V,4,0),"")</f>
        <v/>
      </c>
      <c r="G18" s="215" t="str">
        <f>IFERROR(VLOOKUP($C18,'PORTIFÓLIO'!C:V,5,0),"")</f>
        <v/>
      </c>
      <c r="H18" s="254" t="str">
        <f t="array" ref="H18">IFERROR(INDEX('PORTIFÓLIO'!$H$4:$H$433,MATCH($C18,'PORTIFÓLIO'!$C$4:$C$433,0)),"")</f>
        <v/>
      </c>
      <c r="I18" s="255"/>
      <c r="J18" s="218">
        <f t="shared" si="2"/>
        <v>0</v>
      </c>
      <c r="K18" s="219" t="str">
        <f t="array" ref="K18">IFERROR(I18*INDEX('PORTIFÓLIO'!$S$4:$S$433,MATCH($C18,'PORTIFÓLIO'!$C$4:$C$433,0)),"")</f>
        <v/>
      </c>
      <c r="L18" s="219" t="str">
        <f t="array" ref="L18">IFERROR(J18*INDEX('PORTIFÓLIO'!$S$4:$S$433,MATCH($C18,'PORTIFÓLIO'!$C$4:$C$433,0)),"")</f>
        <v/>
      </c>
      <c r="M18" s="220"/>
      <c r="N18" s="220"/>
      <c r="O18" s="220"/>
      <c r="P18" s="220"/>
      <c r="Q18" s="220"/>
      <c r="R18" s="220"/>
      <c r="S18" s="220"/>
      <c r="T18" s="220"/>
      <c r="U18" s="220" t="str">
        <f>IFERROR(__xludf.DUMMYFUNCTION("FILTER('PORTIFÓLIO'!C:C, 'PORTIFÓLIO'!B:B=B18)"),"#REF!")</f>
        <v>#REF!</v>
      </c>
      <c r="V18" s="220"/>
      <c r="W18" s="220"/>
    </row>
    <row r="19" outlineLevel="1">
      <c r="A19" s="211"/>
      <c r="B19" s="212"/>
      <c r="C19" s="213"/>
      <c r="D19" s="214" t="str">
        <f>IFERROR(VLOOKUP($C19,'PORTIFÓLIO'!C:V,2,0),"")</f>
        <v/>
      </c>
      <c r="E19" s="211" t="str">
        <f>IFERROR(VLOOKUP($C19,'PORTIFÓLIO'!C:V,3,0),"")</f>
        <v/>
      </c>
      <c r="F19" s="211" t="str">
        <f>IFERROR(VLOOKUP($C19,'PORTIFÓLIO'!C:V,4,0),"")</f>
        <v/>
      </c>
      <c r="G19" s="215" t="str">
        <f>IFERROR(VLOOKUP($C19,'PORTIFÓLIO'!C:V,5,0),"")</f>
        <v/>
      </c>
      <c r="H19" s="254" t="str">
        <f t="array" ref="H19">IFERROR(INDEX('PORTIFÓLIO'!$H$4:$H$433,MATCH($C19,'PORTIFÓLIO'!$C$4:$C$433,0)),"")</f>
        <v/>
      </c>
      <c r="I19" s="255"/>
      <c r="J19" s="218">
        <f t="shared" si="2"/>
        <v>0</v>
      </c>
      <c r="K19" s="219" t="str">
        <f t="array" ref="K19">IFERROR(I19*INDEX('PORTIFÓLIO'!$S$4:$S$433,MATCH($C19,'PORTIFÓLIO'!$C$4:$C$433,0)),"")</f>
        <v/>
      </c>
      <c r="L19" s="219" t="str">
        <f t="array" ref="L19">IFERROR(J19*INDEX('PORTIFÓLIO'!$S$4:$S$433,MATCH($C19,'PORTIFÓLIO'!$C$4:$C$433,0)),"")</f>
        <v/>
      </c>
      <c r="M19" s="220"/>
      <c r="N19" s="220"/>
      <c r="O19" s="220"/>
      <c r="P19" s="220"/>
      <c r="Q19" s="220"/>
      <c r="R19" s="220"/>
      <c r="S19" s="220"/>
      <c r="T19" s="220"/>
      <c r="U19" s="220" t="str">
        <f>IFERROR(__xludf.DUMMYFUNCTION("FILTER('PORTIFÓLIO'!C:C, 'PORTIFÓLIO'!B:B=B19)"),"")</f>
        <v/>
      </c>
      <c r="V19" s="220"/>
      <c r="W19" s="220"/>
    </row>
    <row r="20" outlineLevel="1">
      <c r="A20" s="211"/>
      <c r="B20" s="212"/>
      <c r="C20" s="213"/>
      <c r="D20" s="214" t="str">
        <f>IFERROR(VLOOKUP($C20,'PORTIFÓLIO'!C:V,2,0),"")</f>
        <v/>
      </c>
      <c r="E20" s="211" t="str">
        <f>IFERROR(VLOOKUP($C20,'PORTIFÓLIO'!C:V,3,0),"")</f>
        <v/>
      </c>
      <c r="F20" s="211" t="str">
        <f>IFERROR(VLOOKUP($C20,'PORTIFÓLIO'!C:V,4,0),"")</f>
        <v/>
      </c>
      <c r="G20" s="215" t="str">
        <f>IFERROR(VLOOKUP($C20,'PORTIFÓLIO'!C:V,5,0),"")</f>
        <v/>
      </c>
      <c r="H20" s="254" t="str">
        <f t="array" ref="H20">IFERROR(INDEX('PORTIFÓLIO'!$H$4:$H$433,MATCH($C20,'PORTIFÓLIO'!$C$4:$C$433,0)),"")</f>
        <v/>
      </c>
      <c r="I20" s="255"/>
      <c r="J20" s="218">
        <f t="shared" si="2"/>
        <v>0</v>
      </c>
      <c r="K20" s="219" t="str">
        <f t="array" ref="K20">IFERROR(I20*INDEX('PORTIFÓLIO'!$S$4:$S$433,MATCH($C20,'PORTIFÓLIO'!$C$4:$C$433,0)),"")</f>
        <v/>
      </c>
      <c r="L20" s="219" t="str">
        <f t="array" ref="L20">IFERROR(J20*INDEX('PORTIFÓLIO'!$S$4:$S$433,MATCH($C20,'PORTIFÓLIO'!$C$4:$C$433,0)),"")</f>
        <v/>
      </c>
      <c r="M20" s="220"/>
      <c r="N20" s="220"/>
      <c r="O20" s="220"/>
      <c r="P20" s="220"/>
      <c r="Q20" s="220"/>
      <c r="R20" s="220"/>
      <c r="S20" s="220"/>
      <c r="T20" s="220"/>
      <c r="U20" s="220"/>
      <c r="V20" s="220"/>
      <c r="W20" s="220"/>
    </row>
    <row r="21" ht="15.75" customHeight="1" outlineLevel="1">
      <c r="A21" s="211"/>
      <c r="B21" s="212"/>
      <c r="C21" s="213"/>
      <c r="D21" s="214" t="str">
        <f>IFERROR(VLOOKUP($C21,'PORTIFÓLIO'!C:V,2,0),"")</f>
        <v/>
      </c>
      <c r="E21" s="211" t="str">
        <f>IFERROR(VLOOKUP($C21,'PORTIFÓLIO'!C:V,3,0),"")</f>
        <v/>
      </c>
      <c r="F21" s="211" t="str">
        <f>IFERROR(VLOOKUP($C21,'PORTIFÓLIO'!C:V,4,0),"")</f>
        <v/>
      </c>
      <c r="G21" s="215" t="str">
        <f>IFERROR(VLOOKUP($C21,'PORTIFÓLIO'!C:V,5,0),"")</f>
        <v/>
      </c>
      <c r="H21" s="254" t="str">
        <f t="array" ref="H21">IFERROR(INDEX('PORTIFÓLIO'!$H$4:$H$433,MATCH($C21,'PORTIFÓLIO'!$C$4:$C$433,0)),"")</f>
        <v/>
      </c>
      <c r="I21" s="255"/>
      <c r="J21" s="218">
        <f t="shared" si="2"/>
        <v>0</v>
      </c>
      <c r="K21" s="219" t="str">
        <f t="array" ref="K21">IFERROR(I21*INDEX('PORTIFÓLIO'!$S$4:$S$433,MATCH($C21,'PORTIFÓLIO'!$C$4:$C$433,0)),"")</f>
        <v/>
      </c>
      <c r="L21" s="219" t="str">
        <f t="array" ref="L21">IFERROR(J21*INDEX('PORTIFÓLIO'!$S$4:$S$433,MATCH($C21,'PORTIFÓLIO'!$C$4:$C$433,0)),"")</f>
        <v/>
      </c>
      <c r="M21" s="220"/>
      <c r="N21" s="220"/>
      <c r="O21" s="220"/>
      <c r="P21" s="220"/>
      <c r="Q21" s="220"/>
      <c r="R21" s="220"/>
      <c r="S21" s="220"/>
      <c r="T21" s="220"/>
      <c r="U21" s="220"/>
      <c r="V21" s="220"/>
      <c r="W21" s="220"/>
    </row>
    <row r="22" ht="15.75" customHeight="1" outlineLevel="1">
      <c r="A22" s="211"/>
      <c r="B22" s="212"/>
      <c r="C22" s="213"/>
      <c r="D22" s="214" t="str">
        <f>IFERROR(VLOOKUP($C22,'PORTIFÓLIO'!C:V,2,0),"")</f>
        <v/>
      </c>
      <c r="E22" s="211" t="str">
        <f>IFERROR(VLOOKUP($C22,'PORTIFÓLIO'!C:V,3,0),"")</f>
        <v/>
      </c>
      <c r="F22" s="211" t="str">
        <f>IFERROR(VLOOKUP($C22,'PORTIFÓLIO'!C:V,4,0),"")</f>
        <v/>
      </c>
      <c r="G22" s="215" t="str">
        <f>IFERROR(VLOOKUP($C22,'PORTIFÓLIO'!C:V,5,0),"")</f>
        <v/>
      </c>
      <c r="H22" s="254" t="str">
        <f t="array" ref="H22">IFERROR(INDEX('PORTIFÓLIO'!$H$4:$H$433,MATCH($C22,'PORTIFÓLIO'!$C$4:$C$433,0)),"")</f>
        <v/>
      </c>
      <c r="I22" s="255"/>
      <c r="J22" s="218">
        <f t="shared" si="2"/>
        <v>0</v>
      </c>
      <c r="K22" s="219" t="str">
        <f t="array" ref="K22">IFERROR(I22*INDEX('PORTIFÓLIO'!$S$4:$S$433,MATCH($C22,'PORTIFÓLIO'!$C$4:$C$433,0)),"")</f>
        <v/>
      </c>
      <c r="L22" s="219" t="str">
        <f t="array" ref="L22">IFERROR(J22*INDEX('PORTIFÓLIO'!$S$4:$S$433,MATCH($C22,'PORTIFÓLIO'!$C$4:$C$433,0)),"")</f>
        <v/>
      </c>
      <c r="M22" s="220"/>
      <c r="N22" s="220"/>
      <c r="O22" s="220"/>
      <c r="P22" s="220"/>
      <c r="Q22" s="220"/>
      <c r="R22" s="220"/>
      <c r="S22" s="220"/>
      <c r="T22" s="220"/>
      <c r="U22" s="220"/>
      <c r="V22" s="220"/>
      <c r="W22" s="220"/>
    </row>
    <row r="23" ht="15.75" customHeight="1" outlineLevel="1">
      <c r="A23" s="211"/>
      <c r="B23" s="212"/>
      <c r="C23" s="213"/>
      <c r="D23" s="214" t="str">
        <f>IFERROR(VLOOKUP($C23,'PORTIFÓLIO'!C:V,2,0),"")</f>
        <v/>
      </c>
      <c r="E23" s="211" t="str">
        <f>IFERROR(VLOOKUP($C23,'PORTIFÓLIO'!C:V,3,0),"")</f>
        <v/>
      </c>
      <c r="F23" s="211" t="str">
        <f>IFERROR(VLOOKUP($C23,'PORTIFÓLIO'!C:V,4,0),"")</f>
        <v/>
      </c>
      <c r="G23" s="215" t="str">
        <f>IFERROR(VLOOKUP($C23,'PORTIFÓLIO'!C:V,5,0),"")</f>
        <v/>
      </c>
      <c r="H23" s="254" t="str">
        <f t="array" ref="H23">IFERROR(INDEX('PORTIFÓLIO'!$H$4:$H$433,MATCH($C23,'PORTIFÓLIO'!$C$4:$C$433,0)),"")</f>
        <v/>
      </c>
      <c r="I23" s="255"/>
      <c r="J23" s="218">
        <f t="shared" si="2"/>
        <v>0</v>
      </c>
      <c r="K23" s="219" t="str">
        <f t="array" ref="K23">IFERROR(I23*INDEX('PORTIFÓLIO'!$S$4:$S$433,MATCH($C23,'PORTIFÓLIO'!$C$4:$C$433,0)),"")</f>
        <v/>
      </c>
      <c r="L23" s="219" t="str">
        <f t="array" ref="L23">IFERROR(J23*INDEX('PORTIFÓLIO'!$S$4:$S$433,MATCH($C23,'PORTIFÓLIO'!$C$4:$C$433,0)),"")</f>
        <v/>
      </c>
      <c r="M23" s="220"/>
      <c r="N23" s="220"/>
      <c r="O23" s="220"/>
      <c r="P23" s="220"/>
      <c r="Q23" s="220"/>
      <c r="R23" s="220"/>
      <c r="S23" s="220"/>
      <c r="T23" s="220"/>
      <c r="U23" s="220"/>
      <c r="V23" s="220"/>
      <c r="W23" s="220"/>
    </row>
    <row r="24" ht="15.75" customHeight="1" outlineLevel="1">
      <c r="A24" s="211"/>
      <c r="B24" s="212"/>
      <c r="C24" s="213"/>
      <c r="D24" s="214" t="str">
        <f>IFERROR(VLOOKUP($C24,'PORTIFÓLIO'!C:V,2,0),"")</f>
        <v/>
      </c>
      <c r="E24" s="211" t="str">
        <f>IFERROR(VLOOKUP($C24,'PORTIFÓLIO'!C:V,3,0),"")</f>
        <v/>
      </c>
      <c r="F24" s="211" t="str">
        <f>IFERROR(VLOOKUP($C24,'PORTIFÓLIO'!C:V,4,0),"")</f>
        <v/>
      </c>
      <c r="G24" s="215" t="str">
        <f>IFERROR(VLOOKUP($C24,'PORTIFÓLIO'!C:V,5,0),"")</f>
        <v/>
      </c>
      <c r="H24" s="254" t="str">
        <f t="array" ref="H24">IFERROR(INDEX('PORTIFÓLIO'!$H$4:$H$433,MATCH($C24,'PORTIFÓLIO'!$C$4:$C$433,0)),"")</f>
        <v/>
      </c>
      <c r="I24" s="255"/>
      <c r="J24" s="218">
        <f t="shared" si="2"/>
        <v>0</v>
      </c>
      <c r="K24" s="219" t="str">
        <f t="array" ref="K24">IFERROR(I24*INDEX('PORTIFÓLIO'!$S$4:$S$433,MATCH($C24,'PORTIFÓLIO'!$C$4:$C$433,0)),"")</f>
        <v/>
      </c>
      <c r="L24" s="219" t="str">
        <f t="array" ref="L24">IFERROR(J24*INDEX('PORTIFÓLIO'!$S$4:$S$433,MATCH($C24,'PORTIFÓLIO'!$C$4:$C$433,0)),"")</f>
        <v/>
      </c>
      <c r="M24" s="220"/>
      <c r="N24" s="220"/>
      <c r="O24" s="220"/>
      <c r="P24" s="220"/>
      <c r="Q24" s="220"/>
      <c r="R24" s="220"/>
      <c r="S24" s="220"/>
      <c r="T24" s="220"/>
      <c r="U24" s="220"/>
      <c r="V24" s="220"/>
      <c r="W24" s="220"/>
    </row>
    <row r="25" ht="15.75" customHeight="1">
      <c r="A25" s="229" t="s">
        <v>1184</v>
      </c>
      <c r="B25" s="230"/>
      <c r="C25" s="231"/>
      <c r="D25" s="232"/>
      <c r="E25" s="231"/>
      <c r="F25" s="231"/>
      <c r="G25" s="233"/>
      <c r="H25" s="233"/>
      <c r="I25" s="258"/>
      <c r="J25" s="236"/>
      <c r="K25" s="237">
        <f t="shared" ref="K25:L25" si="3">SUBTOTAL(9,K26:K39)</f>
        <v>141.3891212</v>
      </c>
      <c r="L25" s="237">
        <f t="shared" si="3"/>
        <v>44113.40581</v>
      </c>
      <c r="M25" s="220"/>
      <c r="N25" s="220"/>
      <c r="O25" s="220"/>
      <c r="P25" s="220"/>
      <c r="Q25" s="220"/>
      <c r="R25" s="220"/>
      <c r="S25" s="220"/>
      <c r="T25" s="220"/>
      <c r="U25" s="220"/>
      <c r="V25" s="220"/>
      <c r="W25" s="220"/>
    </row>
    <row r="26" ht="15.75" customHeight="1" outlineLevel="1">
      <c r="A26" s="213"/>
      <c r="B26" s="212" t="s">
        <v>1</v>
      </c>
      <c r="C26" s="213" t="s">
        <v>637</v>
      </c>
      <c r="D26" s="214" t="str">
        <f>IFERROR(VLOOKUP($C26,'PORTIFÓLIO'!C:V,2,0),"")</f>
        <v>GLIFOSATO-SAL DE AMÔNIO</v>
      </c>
      <c r="E26" s="211">
        <f>IFERROR(VLOOKUP($C26,'PORTIFÓLIO'!C:V,3,0),"")</f>
        <v>720</v>
      </c>
      <c r="F26" s="211" t="str">
        <f>IFERROR(VLOOKUP($C26,'PORTIFÓLIO'!C:V,4,0),"")</f>
        <v>L</v>
      </c>
      <c r="G26" s="225" t="str">
        <f>IFERROR(VLOOKUP($C26,'PORTIFÓLIO'!C:V,5,0),"")</f>
        <v>📄 Ver bula</v>
      </c>
      <c r="H26" s="254">
        <f t="array" ref="H26">IFERROR(INDEX('PORTIFÓLIO'!$H$4:$H$433,MATCH($C26,'PORTIFÓLIO'!$C$4:$C$433,0)),"")</f>
        <v>2</v>
      </c>
      <c r="I26" s="255">
        <v>2.0</v>
      </c>
      <c r="J26" s="218">
        <f t="shared" ref="J26:J43" si="4">I26*$B$2</f>
        <v>624</v>
      </c>
      <c r="K26" s="219">
        <f t="array" ref="K26">IFERROR(I26*INDEX('PORTIFÓLIO'!$S$4:$S$433,MATCH($C26,'PORTIFÓLIO'!$C$4:$C$433,0)),"")</f>
        <v>49.16</v>
      </c>
      <c r="L26" s="219">
        <f t="array" ref="L26">IFERROR(J26*INDEX('PORTIFÓLIO'!$S$4:$S$433,MATCH($C26,'PORTIFÓLIO'!$C$4:$C$433,0)),"")</f>
        <v>15337.92</v>
      </c>
      <c r="M26" s="220"/>
      <c r="N26" s="220"/>
      <c r="O26" s="220"/>
      <c r="P26" s="220"/>
      <c r="Q26" s="220"/>
      <c r="R26" s="220"/>
      <c r="S26" s="220"/>
      <c r="T26" s="220"/>
      <c r="U26" s="220"/>
      <c r="V26" s="220"/>
      <c r="W26" s="220"/>
    </row>
    <row r="27" ht="15.75" customHeight="1" outlineLevel="1">
      <c r="A27" s="211"/>
      <c r="B27" s="212" t="s">
        <v>1</v>
      </c>
      <c r="C27" s="213" t="s">
        <v>683</v>
      </c>
      <c r="D27" s="214" t="str">
        <f>IFERROR(VLOOKUP($C27,'PORTIFÓLIO'!C:V,2,0),"")</f>
        <v>GLUFOSINATO - SAL DE AMONIO</v>
      </c>
      <c r="E27" s="211">
        <f>IFERROR(VLOOKUP($C27,'PORTIFÓLIO'!C:V,3,0),"")</f>
        <v>880</v>
      </c>
      <c r="F27" s="211" t="str">
        <f>IFERROR(VLOOKUP($C27,'PORTIFÓLIO'!C:V,4,0),"")</f>
        <v>L</v>
      </c>
      <c r="G27" s="225" t="str">
        <f>IFERROR(VLOOKUP($C27,'PORTIFÓLIO'!C:V,5,0),"")</f>
        <v>📄 Ver bula</v>
      </c>
      <c r="H27" s="254">
        <f t="array" ref="H27">IFERROR(INDEX('PORTIFÓLIO'!$H$4:$H$433,MATCH($C27,'PORTIFÓLIO'!$C$4:$C$433,0)),"")</f>
        <v>0.5</v>
      </c>
      <c r="I27" s="255">
        <v>0.5</v>
      </c>
      <c r="J27" s="218">
        <f t="shared" si="4"/>
        <v>156</v>
      </c>
      <c r="K27" s="219">
        <f t="array" ref="K27">IFERROR(I27*INDEX('PORTIFÓLIO'!$S$4:$S$433,MATCH($C27,'PORTIFÓLIO'!$C$4:$C$433,0)),"")</f>
        <v>23.01917</v>
      </c>
      <c r="L27" s="219">
        <f t="array" ref="L27">IFERROR(J27*INDEX('PORTIFÓLIO'!$S$4:$S$433,MATCH($C27,'PORTIFÓLIO'!$C$4:$C$433,0)),"")</f>
        <v>7181.98104</v>
      </c>
      <c r="M27" s="220"/>
      <c r="N27" s="220"/>
      <c r="O27" s="220"/>
      <c r="P27" s="220"/>
      <c r="Q27" s="220"/>
      <c r="R27" s="220"/>
      <c r="S27" s="220"/>
      <c r="T27" s="220"/>
      <c r="U27" s="220"/>
      <c r="V27" s="220"/>
      <c r="W27" s="220"/>
    </row>
    <row r="28" ht="15.75" customHeight="1" outlineLevel="1">
      <c r="A28" s="211"/>
      <c r="B28" s="212" t="s">
        <v>6</v>
      </c>
      <c r="C28" s="213" t="s">
        <v>354</v>
      </c>
      <c r="D28" s="214" t="str">
        <f>IFERROR(VLOOKUP($C28,'PORTIFÓLIO'!C:V,2,0),"")</f>
        <v>OLEO MINERAL</v>
      </c>
      <c r="E28" s="211">
        <f>IFERROR(VLOOKUP($C28,'PORTIFÓLIO'!C:V,3,0),"")</f>
        <v>761</v>
      </c>
      <c r="F28" s="211" t="str">
        <f>IFERROR(VLOOKUP($C28,'PORTIFÓLIO'!C:V,4,0),"")</f>
        <v>L</v>
      </c>
      <c r="G28" s="225" t="str">
        <f>IFERROR(VLOOKUP($C28,'PORTIFÓLIO'!C:V,5,0),"")</f>
        <v>📄 Ver bula</v>
      </c>
      <c r="H28" s="254">
        <f t="array" ref="H28">IFERROR(INDEX('PORTIFÓLIO'!$H$4:$H$433,MATCH($C28,'PORTIFÓLIO'!$C$4:$C$433,0)),"")</f>
        <v>0.2</v>
      </c>
      <c r="I28" s="255">
        <v>0.2</v>
      </c>
      <c r="J28" s="218">
        <f t="shared" si="4"/>
        <v>62.4</v>
      </c>
      <c r="K28" s="219">
        <f t="array" ref="K28">IFERROR(I28*INDEX('PORTIFÓLIO'!$S$4:$S$433,MATCH($C28,'PORTIFÓLIO'!$C$4:$C$433,0)),"")</f>
        <v>3.206</v>
      </c>
      <c r="L28" s="219">
        <f t="array" ref="L28">IFERROR(J28*INDEX('PORTIFÓLIO'!$S$4:$S$433,MATCH($C28,'PORTIFÓLIO'!$C$4:$C$433,0)),"")</f>
        <v>1000.272</v>
      </c>
      <c r="M28" s="220"/>
      <c r="N28" s="220"/>
      <c r="O28" s="220"/>
      <c r="P28" s="220"/>
      <c r="Q28" s="220"/>
      <c r="R28" s="220"/>
      <c r="S28" s="220"/>
      <c r="T28" s="220"/>
      <c r="U28" s="220"/>
      <c r="V28" s="220"/>
      <c r="W28" s="220"/>
    </row>
    <row r="29" ht="15.75" customHeight="1" outlineLevel="1">
      <c r="A29" s="211"/>
      <c r="B29" s="212" t="s">
        <v>2</v>
      </c>
      <c r="C29" s="213" t="s">
        <v>824</v>
      </c>
      <c r="D29" s="214" t="str">
        <f>IFERROR(VLOOKUP($C29,'PORTIFÓLIO'!C:V,2,0),"")</f>
        <v>CLORANTRANILIPROLE</v>
      </c>
      <c r="E29" s="211">
        <f>IFERROR(VLOOKUP($C29,'PORTIFÓLIO'!C:V,3,0),"")</f>
        <v>200</v>
      </c>
      <c r="F29" s="211" t="str">
        <f>IFERROR(VLOOKUP($C29,'PORTIFÓLIO'!C:V,4,0),"")</f>
        <v>L</v>
      </c>
      <c r="G29" s="225" t="str">
        <f>IFERROR(VLOOKUP($C29,'PORTIFÓLIO'!C:V,5,0),"")</f>
        <v>📄 Ver bula</v>
      </c>
      <c r="H29" s="254">
        <f t="array" ref="H29">IFERROR(INDEX('PORTIFÓLIO'!$H$4:$H$433,MATCH($C29,'PORTIFÓLIO'!$C$4:$C$433,0)),"")</f>
        <v>0.1</v>
      </c>
      <c r="I29" s="255">
        <v>0.04</v>
      </c>
      <c r="J29" s="218">
        <f t="shared" si="4"/>
        <v>12.48</v>
      </c>
      <c r="K29" s="219">
        <f t="array" ref="K29">IFERROR(I29*INDEX('PORTIFÓLIO'!$S$4:$S$433,MATCH($C29,'PORTIFÓLIO'!$C$4:$C$433,0)),"")</f>
        <v>11.31855</v>
      </c>
      <c r="L29" s="219">
        <f t="array" ref="L29">IFERROR(J29*INDEX('PORTIFÓLIO'!$S$4:$S$433,MATCH($C29,'PORTIFÓLIO'!$C$4:$C$433,0)),"")</f>
        <v>3531.3876</v>
      </c>
      <c r="M29" s="220"/>
      <c r="N29" s="220"/>
      <c r="O29" s="220"/>
      <c r="P29" s="220"/>
      <c r="Q29" s="220"/>
      <c r="R29" s="220"/>
      <c r="S29" s="220"/>
      <c r="T29" s="220"/>
      <c r="U29" s="220"/>
      <c r="V29" s="220"/>
      <c r="W29" s="220"/>
    </row>
    <row r="30" ht="15.75" customHeight="1" outlineLevel="1">
      <c r="A30" s="211"/>
      <c r="B30" s="212" t="s">
        <v>2</v>
      </c>
      <c r="C30" s="213" t="s">
        <v>788</v>
      </c>
      <c r="D30" s="214" t="str">
        <f>IFERROR(VLOOKUP($C30,'PORTIFÓLIO'!C:V,2,0),"")</f>
        <v>FIPRONIL</v>
      </c>
      <c r="E30" s="211">
        <f>IFERROR(VLOOKUP($C30,'PORTIFÓLIO'!C:V,3,0),"")</f>
        <v>800</v>
      </c>
      <c r="F30" s="211" t="str">
        <f>IFERROR(VLOOKUP($C30,'PORTIFÓLIO'!C:V,4,0),"")</f>
        <v>L</v>
      </c>
      <c r="G30" s="225" t="str">
        <f>IFERROR(VLOOKUP($C30,'PORTIFÓLIO'!C:V,5,0),"")</f>
        <v>📄 Ver bula</v>
      </c>
      <c r="H30" s="254">
        <f t="array" ref="H30">IFERROR(INDEX('PORTIFÓLIO'!$H$4:$H$433,MATCH($C30,'PORTIFÓLIO'!$C$4:$C$433,0)),"")</f>
        <v>0.04</v>
      </c>
      <c r="I30" s="255">
        <v>0.04</v>
      </c>
      <c r="J30" s="218">
        <f t="shared" si="4"/>
        <v>12.48</v>
      </c>
      <c r="K30" s="219">
        <f t="array" ref="K30">IFERROR(I30*INDEX('PORTIFÓLIO'!$S$4:$S$433,MATCH($C30,'PORTIFÓLIO'!$C$4:$C$433,0)),"")</f>
        <v>9.9054012</v>
      </c>
      <c r="L30" s="219">
        <f t="array" ref="L30">IFERROR(J30*INDEX('PORTIFÓLIO'!$S$4:$S$433,MATCH($C30,'PORTIFÓLIO'!$C$4:$C$433,0)),"")</f>
        <v>3090.485174</v>
      </c>
      <c r="M30" s="220"/>
      <c r="N30" s="220"/>
      <c r="O30" s="220"/>
      <c r="P30" s="220"/>
      <c r="Q30" s="220"/>
      <c r="R30" s="220"/>
      <c r="S30" s="220"/>
      <c r="T30" s="220"/>
      <c r="U30" s="220"/>
      <c r="V30" s="220"/>
      <c r="W30" s="220"/>
    </row>
    <row r="31" ht="15.75" customHeight="1" outlineLevel="1">
      <c r="A31" s="211"/>
      <c r="B31" s="212" t="s">
        <v>9</v>
      </c>
      <c r="C31" s="213" t="s">
        <v>933</v>
      </c>
      <c r="D31" s="214" t="str">
        <f>IFERROR(VLOOKUP($C31,'PORTIFÓLIO'!C:V,2,0),"")</f>
        <v>N1%;B9,5%</v>
      </c>
      <c r="E31" s="211" t="str">
        <f>IFERROR(VLOOKUP($C31,'PORTIFÓLIO'!C:V,3,0),"")</f>
        <v>13,8g/l + 131,1g/l</v>
      </c>
      <c r="F31" s="211" t="str">
        <f>IFERROR(VLOOKUP($C31,'PORTIFÓLIO'!C:V,4,0),"")</f>
        <v>L</v>
      </c>
      <c r="G31" s="215" t="str">
        <f>IFERROR(VLOOKUP($C31,'PORTIFÓLIO'!C:V,5,0),"")</f>
        <v/>
      </c>
      <c r="H31" s="254">
        <f t="array" ref="H31">IFERROR(INDEX('PORTIFÓLIO'!$H$4:$H$433,MATCH($C31,'PORTIFÓLIO'!$C$4:$C$433,0)),"")</f>
        <v>2</v>
      </c>
      <c r="I31" s="255">
        <v>1.0</v>
      </c>
      <c r="J31" s="218">
        <f t="shared" si="4"/>
        <v>312</v>
      </c>
      <c r="K31" s="219">
        <f t="array" ref="K31">IFERROR(I31*INDEX('PORTIFÓLIO'!$S$4:$S$433,MATCH($C31,'PORTIFÓLIO'!$C$4:$C$433,0)),"")</f>
        <v>44.78</v>
      </c>
      <c r="L31" s="219">
        <f t="array" ref="L31">IFERROR(J31*INDEX('PORTIFÓLIO'!$S$4:$S$433,MATCH($C31,'PORTIFÓLIO'!$C$4:$C$433,0)),"")</f>
        <v>13971.36</v>
      </c>
      <c r="M31" s="220"/>
      <c r="N31" s="220"/>
      <c r="O31" s="220"/>
      <c r="P31" s="220"/>
      <c r="Q31" s="220"/>
      <c r="R31" s="220"/>
      <c r="S31" s="220"/>
      <c r="T31" s="220"/>
      <c r="U31" s="220"/>
      <c r="V31" s="220"/>
      <c r="W31" s="220"/>
    </row>
    <row r="32" ht="15.75" customHeight="1" outlineLevel="1">
      <c r="A32" s="211"/>
      <c r="B32" s="212"/>
      <c r="C32" s="213"/>
      <c r="D32" s="214" t="str">
        <f>IFERROR(VLOOKUP($C32,'PORTIFÓLIO'!C:V,2,0),"")</f>
        <v/>
      </c>
      <c r="E32" s="211" t="str">
        <f>IFERROR(VLOOKUP($C32,'PORTIFÓLIO'!C:V,3,0),"")</f>
        <v/>
      </c>
      <c r="F32" s="211" t="str">
        <f>IFERROR(VLOOKUP($C32,'PORTIFÓLIO'!C:V,4,0),"")</f>
        <v/>
      </c>
      <c r="G32" s="215" t="str">
        <f>IFERROR(VLOOKUP($C32,'PORTIFÓLIO'!C:V,5,0),"")</f>
        <v/>
      </c>
      <c r="H32" s="254" t="str">
        <f t="array" ref="H32">IFERROR(INDEX('PORTIFÓLIO'!$H$4:$H$433,MATCH($C32,'PORTIFÓLIO'!$C$4:$C$433,0)),"")</f>
        <v/>
      </c>
      <c r="I32" s="256"/>
      <c r="J32" s="218">
        <f t="shared" si="4"/>
        <v>0</v>
      </c>
      <c r="K32" s="219" t="str">
        <f t="array" ref="K32">IFERROR(I32*INDEX('PORTIFÓLIO'!$S$4:$S$433,MATCH($C32,'PORTIFÓLIO'!$C$4:$C$433,0)),"")</f>
        <v/>
      </c>
      <c r="L32" s="219" t="str">
        <f t="array" ref="L32">IFERROR(J32*INDEX('PORTIFÓLIO'!$S$4:$S$433,MATCH($C32,'PORTIFÓLIO'!$C$4:$C$433,0)),"")</f>
        <v/>
      </c>
      <c r="M32" s="220"/>
      <c r="N32" s="220"/>
      <c r="O32" s="220"/>
      <c r="P32" s="220"/>
      <c r="Q32" s="220"/>
      <c r="R32" s="220"/>
      <c r="S32" s="220"/>
      <c r="T32" s="220"/>
      <c r="U32" s="220"/>
      <c r="V32" s="220"/>
      <c r="W32" s="220"/>
    </row>
    <row r="33" ht="15.75" customHeight="1" outlineLevel="1">
      <c r="A33" s="211"/>
      <c r="B33" s="212"/>
      <c r="C33" s="213"/>
      <c r="D33" s="214" t="str">
        <f>IFERROR(VLOOKUP($C33,'PORTIFÓLIO'!C:V,2,0),"")</f>
        <v/>
      </c>
      <c r="E33" s="211" t="str">
        <f>IFERROR(VLOOKUP($C33,'PORTIFÓLIO'!C:V,3,0),"")</f>
        <v/>
      </c>
      <c r="F33" s="211" t="str">
        <f>IFERROR(VLOOKUP($C33,'PORTIFÓLIO'!C:V,4,0),"")</f>
        <v/>
      </c>
      <c r="G33" s="215" t="str">
        <f>IFERROR(VLOOKUP($C33,'PORTIFÓLIO'!C:V,5,0),"")</f>
        <v/>
      </c>
      <c r="H33" s="254" t="str">
        <f t="array" ref="H33">IFERROR(INDEX('PORTIFÓLIO'!$H$4:$H$433,MATCH($C33,'PORTIFÓLIO'!$C$4:$C$433,0)),"")</f>
        <v/>
      </c>
      <c r="I33" s="256"/>
      <c r="J33" s="218">
        <f t="shared" si="4"/>
        <v>0</v>
      </c>
      <c r="K33" s="219" t="str">
        <f t="array" ref="K33">IFERROR(I33*INDEX('PORTIFÓLIO'!$S$4:$S$433,MATCH($C33,'PORTIFÓLIO'!$C$4:$C$433,0)),"")</f>
        <v/>
      </c>
      <c r="L33" s="219" t="str">
        <f t="array" ref="L33">IFERROR(J33*INDEX('PORTIFÓLIO'!$S$4:$S$433,MATCH($C33,'PORTIFÓLIO'!$C$4:$C$433,0)),"")</f>
        <v/>
      </c>
      <c r="M33" s="220"/>
      <c r="N33" s="220"/>
      <c r="O33" s="220"/>
      <c r="P33" s="220"/>
      <c r="Q33" s="220"/>
      <c r="R33" s="220"/>
      <c r="S33" s="220"/>
      <c r="T33" s="220"/>
      <c r="U33" s="220"/>
      <c r="V33" s="220"/>
      <c r="W33" s="220"/>
    </row>
    <row r="34" ht="15.75" customHeight="1" outlineLevel="1">
      <c r="A34" s="211"/>
      <c r="B34" s="212"/>
      <c r="C34" s="213"/>
      <c r="D34" s="214" t="str">
        <f>IFERROR(VLOOKUP($C34,'PORTIFÓLIO'!C:V,2,0),"")</f>
        <v/>
      </c>
      <c r="E34" s="211" t="str">
        <f>IFERROR(VLOOKUP($C34,'PORTIFÓLIO'!C:V,3,0),"")</f>
        <v/>
      </c>
      <c r="F34" s="211" t="str">
        <f>IFERROR(VLOOKUP($C34,'PORTIFÓLIO'!C:V,4,0),"")</f>
        <v/>
      </c>
      <c r="G34" s="215" t="str">
        <f>IFERROR(VLOOKUP($C34,'PORTIFÓLIO'!C:V,5,0),"")</f>
        <v/>
      </c>
      <c r="H34" s="254" t="str">
        <f t="array" ref="H34">IFERROR(INDEX('PORTIFÓLIO'!$H$4:$H$433,MATCH($C34,'PORTIFÓLIO'!$C$4:$C$433,0)),"")</f>
        <v/>
      </c>
      <c r="I34" s="255"/>
      <c r="J34" s="218">
        <f t="shared" si="4"/>
        <v>0</v>
      </c>
      <c r="K34" s="219" t="str">
        <f t="array" ref="K34">IFERROR(I34*INDEX('PORTIFÓLIO'!$S$4:$S$433,MATCH($C34,'PORTIFÓLIO'!$C$4:$C$433,0)),"")</f>
        <v/>
      </c>
      <c r="L34" s="219" t="str">
        <f t="array" ref="L34">IFERROR(J34*INDEX('PORTIFÓLIO'!$S$4:$S$433,MATCH($C34,'PORTIFÓLIO'!$C$4:$C$433,0)),"")</f>
        <v/>
      </c>
      <c r="M34" s="220"/>
      <c r="N34" s="220"/>
      <c r="O34" s="220"/>
      <c r="P34" s="220"/>
      <c r="Q34" s="220"/>
      <c r="R34" s="220"/>
      <c r="S34" s="220"/>
      <c r="T34" s="220"/>
      <c r="U34" s="220"/>
      <c r="V34" s="220"/>
      <c r="W34" s="220"/>
    </row>
    <row r="35" ht="15.75" customHeight="1" outlineLevel="1">
      <c r="A35" s="211"/>
      <c r="B35" s="212"/>
      <c r="C35" s="213"/>
      <c r="D35" s="214" t="str">
        <f>IFERROR(VLOOKUP($C35,'PORTIFÓLIO'!C:V,2,0),"")</f>
        <v/>
      </c>
      <c r="E35" s="211" t="str">
        <f>IFERROR(VLOOKUP($C35,'PORTIFÓLIO'!C:V,3,0),"")</f>
        <v/>
      </c>
      <c r="F35" s="211" t="str">
        <f>IFERROR(VLOOKUP($C35,'PORTIFÓLIO'!C:V,4,0),"")</f>
        <v/>
      </c>
      <c r="G35" s="215" t="str">
        <f>IFERROR(VLOOKUP($C35,'PORTIFÓLIO'!C:V,5,0),"")</f>
        <v/>
      </c>
      <c r="H35" s="254" t="str">
        <f t="array" ref="H35">IFERROR(INDEX('PORTIFÓLIO'!$H$4:$H$433,MATCH($C35,'PORTIFÓLIO'!$C$4:$C$433,0)),"")</f>
        <v/>
      </c>
      <c r="I35" s="256"/>
      <c r="J35" s="218">
        <f t="shared" si="4"/>
        <v>0</v>
      </c>
      <c r="K35" s="219" t="str">
        <f t="array" ref="K35">IFERROR(I35*INDEX('PORTIFÓLIO'!$S$4:$S$433,MATCH($C35,'PORTIFÓLIO'!$C$4:$C$433,0)),"")</f>
        <v/>
      </c>
      <c r="L35" s="219" t="str">
        <f t="array" ref="L35">IFERROR(J35*INDEX('PORTIFÓLIO'!$S$4:$S$433,MATCH($C35,'PORTIFÓLIO'!$C$4:$C$433,0)),"")</f>
        <v/>
      </c>
      <c r="M35" s="220"/>
      <c r="N35" s="220"/>
      <c r="O35" s="220"/>
      <c r="P35" s="220"/>
      <c r="Q35" s="220"/>
      <c r="R35" s="220"/>
      <c r="S35" s="220"/>
      <c r="T35" s="220"/>
      <c r="U35" s="220"/>
      <c r="V35" s="220"/>
      <c r="W35" s="220"/>
    </row>
    <row r="36" ht="15.75" customHeight="1" outlineLevel="1">
      <c r="A36" s="211"/>
      <c r="B36" s="212"/>
      <c r="C36" s="213"/>
      <c r="D36" s="214" t="str">
        <f>IFERROR(VLOOKUP($C36,'PORTIFÓLIO'!C:V,2,0),"")</f>
        <v/>
      </c>
      <c r="E36" s="211" t="str">
        <f>IFERROR(VLOOKUP($C36,'PORTIFÓLIO'!C:V,3,0),"")</f>
        <v/>
      </c>
      <c r="F36" s="211" t="str">
        <f>IFERROR(VLOOKUP($C36,'PORTIFÓLIO'!C:V,4,0),"")</f>
        <v/>
      </c>
      <c r="G36" s="215" t="str">
        <f>IFERROR(VLOOKUP($C36,'PORTIFÓLIO'!C:V,5,0),"")</f>
        <v/>
      </c>
      <c r="H36" s="254" t="str">
        <f t="array" ref="H36">IFERROR(INDEX('PORTIFÓLIO'!$H$4:$H$433,MATCH($C36,'PORTIFÓLIO'!$C$4:$C$433,0)),"")</f>
        <v/>
      </c>
      <c r="I36" s="256"/>
      <c r="J36" s="218">
        <f t="shared" si="4"/>
        <v>0</v>
      </c>
      <c r="K36" s="219" t="str">
        <f t="array" ref="K36">IFERROR(I36*INDEX('PORTIFÓLIO'!$S$4:$S$433,MATCH($C36,'PORTIFÓLIO'!$C$4:$C$433,0)),"")</f>
        <v/>
      </c>
      <c r="L36" s="219" t="str">
        <f t="array" ref="L36">IFERROR(J36*INDEX('PORTIFÓLIO'!$S$4:$S$433,MATCH($C36,'PORTIFÓLIO'!$C$4:$C$433,0)),"")</f>
        <v/>
      </c>
      <c r="M36" s="220"/>
      <c r="N36" s="220"/>
      <c r="O36" s="220"/>
      <c r="P36" s="220"/>
      <c r="Q36" s="220"/>
      <c r="R36" s="220"/>
      <c r="S36" s="220"/>
      <c r="T36" s="220"/>
      <c r="U36" s="220"/>
      <c r="V36" s="220"/>
      <c r="W36" s="220"/>
    </row>
    <row r="37" ht="15.75" customHeight="1" outlineLevel="1">
      <c r="A37" s="211"/>
      <c r="B37" s="212"/>
      <c r="C37" s="213"/>
      <c r="D37" s="214" t="str">
        <f>IFERROR(VLOOKUP($C37,'PORTIFÓLIO'!C:V,2,0),"")</f>
        <v/>
      </c>
      <c r="E37" s="211" t="str">
        <f>IFERROR(VLOOKUP($C37,'PORTIFÓLIO'!C:V,3,0),"")</f>
        <v/>
      </c>
      <c r="F37" s="211" t="str">
        <f>IFERROR(VLOOKUP($C37,'PORTIFÓLIO'!C:V,4,0),"")</f>
        <v/>
      </c>
      <c r="G37" s="215" t="str">
        <f>IFERROR(VLOOKUP($C37,'PORTIFÓLIO'!C:V,5,0),"")</f>
        <v/>
      </c>
      <c r="H37" s="254" t="str">
        <f t="array" ref="H37">IFERROR(INDEX('PORTIFÓLIO'!$H$4:$H$433,MATCH($C37,'PORTIFÓLIO'!$C$4:$C$433,0)),"")</f>
        <v/>
      </c>
      <c r="I37" s="256"/>
      <c r="J37" s="218">
        <f t="shared" si="4"/>
        <v>0</v>
      </c>
      <c r="K37" s="219" t="str">
        <f t="array" ref="K37">IFERROR(I37*INDEX('PORTIFÓLIO'!$S$4:$S$433,MATCH($C37,'PORTIFÓLIO'!$C$4:$C$433,0)),"")</f>
        <v/>
      </c>
      <c r="L37" s="219" t="str">
        <f t="array" ref="L37">IFERROR(J37*INDEX('PORTIFÓLIO'!$S$4:$S$433,MATCH($C37,'PORTIFÓLIO'!$C$4:$C$433,0)),"")</f>
        <v/>
      </c>
      <c r="M37" s="220"/>
      <c r="N37" s="220"/>
      <c r="O37" s="220"/>
      <c r="P37" s="220"/>
      <c r="Q37" s="220"/>
      <c r="R37" s="220"/>
      <c r="S37" s="220"/>
      <c r="T37" s="220"/>
      <c r="U37" s="220"/>
      <c r="V37" s="220"/>
      <c r="W37" s="220"/>
    </row>
    <row r="38" ht="15.75" customHeight="1" outlineLevel="1">
      <c r="A38" s="211"/>
      <c r="B38" s="212"/>
      <c r="C38" s="213"/>
      <c r="D38" s="214" t="str">
        <f>IFERROR(VLOOKUP($C38,'PORTIFÓLIO'!C:V,2,0),"")</f>
        <v/>
      </c>
      <c r="E38" s="211" t="str">
        <f>IFERROR(VLOOKUP($C38,'PORTIFÓLIO'!C:V,3,0),"")</f>
        <v/>
      </c>
      <c r="F38" s="211" t="str">
        <f>IFERROR(VLOOKUP($C38,'PORTIFÓLIO'!C:V,4,0),"")</f>
        <v/>
      </c>
      <c r="G38" s="215" t="str">
        <f>IFERROR(VLOOKUP($C38,'PORTIFÓLIO'!C:V,5,0),"")</f>
        <v/>
      </c>
      <c r="H38" s="254" t="str">
        <f t="array" ref="H38">IFERROR(INDEX('PORTIFÓLIO'!$H$4:$H$433,MATCH($C38,'PORTIFÓLIO'!$C$4:$C$433,0)),"")</f>
        <v/>
      </c>
      <c r="I38" s="256"/>
      <c r="J38" s="218">
        <f t="shared" si="4"/>
        <v>0</v>
      </c>
      <c r="K38" s="219" t="str">
        <f t="array" ref="K38">IFERROR(I38*INDEX('PORTIFÓLIO'!$S$4:$S$433,MATCH($C38,'PORTIFÓLIO'!$C$4:$C$433,0)),"")</f>
        <v/>
      </c>
      <c r="L38" s="219" t="str">
        <f t="array" ref="L38">IFERROR(J38*INDEX('PORTIFÓLIO'!$S$4:$S$433,MATCH($C38,'PORTIFÓLIO'!$C$4:$C$433,0)),"")</f>
        <v/>
      </c>
      <c r="M38" s="220"/>
      <c r="N38" s="220"/>
      <c r="O38" s="220"/>
      <c r="P38" s="220"/>
      <c r="Q38" s="220"/>
      <c r="R38" s="220"/>
      <c r="S38" s="220"/>
      <c r="T38" s="220"/>
      <c r="U38" s="220"/>
      <c r="V38" s="220"/>
      <c r="W38" s="220"/>
    </row>
    <row r="39" ht="15.75" customHeight="1" outlineLevel="1">
      <c r="A39" s="211"/>
      <c r="B39" s="212"/>
      <c r="C39" s="213"/>
      <c r="D39" s="214" t="str">
        <f>IFERROR(VLOOKUP($C39,'PORTIFÓLIO'!C:V,2,0),"")</f>
        <v/>
      </c>
      <c r="E39" s="211" t="str">
        <f>IFERROR(VLOOKUP($C39,'PORTIFÓLIO'!C:V,3,0),"")</f>
        <v/>
      </c>
      <c r="F39" s="211" t="str">
        <f>IFERROR(VLOOKUP($C39,'PORTIFÓLIO'!C:V,4,0),"")</f>
        <v/>
      </c>
      <c r="G39" s="215" t="str">
        <f>IFERROR(VLOOKUP($C39,'PORTIFÓLIO'!C:V,5,0),"")</f>
        <v/>
      </c>
      <c r="H39" s="254" t="str">
        <f t="array" ref="H39">IFERROR(INDEX('PORTIFÓLIO'!$H$4:$H$433,MATCH($C39,'PORTIFÓLIO'!$C$4:$C$433,0)),"")</f>
        <v/>
      </c>
      <c r="I39" s="256"/>
      <c r="J39" s="218">
        <f t="shared" si="4"/>
        <v>0</v>
      </c>
      <c r="K39" s="219" t="str">
        <f t="array" ref="K39">IFERROR(I39*INDEX('PORTIFÓLIO'!$S$4:$S$433,MATCH($C39,'PORTIFÓLIO'!$C$4:$C$433,0)),"")</f>
        <v/>
      </c>
      <c r="L39" s="219" t="str">
        <f t="array" ref="L39">IFERROR(J39*INDEX('PORTIFÓLIO'!$S$4:$S$433,MATCH($C39,'PORTIFÓLIO'!$C$4:$C$433,0)),"")</f>
        <v/>
      </c>
      <c r="M39" s="220"/>
      <c r="N39" s="220"/>
      <c r="O39" s="220"/>
      <c r="P39" s="220"/>
      <c r="Q39" s="220"/>
      <c r="R39" s="220"/>
      <c r="S39" s="220"/>
      <c r="T39" s="220"/>
      <c r="U39" s="220"/>
      <c r="V39" s="220"/>
      <c r="W39" s="220"/>
    </row>
    <row r="40" ht="15.75" customHeight="1" outlineLevel="1">
      <c r="A40" s="211"/>
      <c r="B40" s="212"/>
      <c r="C40" s="213"/>
      <c r="D40" s="214" t="str">
        <f>IFERROR(VLOOKUP($C40,'PORTIFÓLIO'!C:V,2,0),"")</f>
        <v/>
      </c>
      <c r="E40" s="211" t="str">
        <f>IFERROR(VLOOKUP($C40,'PORTIFÓLIO'!C:V,3,0),"")</f>
        <v/>
      </c>
      <c r="F40" s="211" t="str">
        <f>IFERROR(VLOOKUP($C40,'PORTIFÓLIO'!C:V,4,0),"")</f>
        <v/>
      </c>
      <c r="G40" s="215" t="str">
        <f>IFERROR(VLOOKUP($C40,'PORTIFÓLIO'!C:V,5,0),"")</f>
        <v/>
      </c>
      <c r="H40" s="254" t="str">
        <f t="array" ref="H40">IFERROR(INDEX('PORTIFÓLIO'!$H$4:$H$433,MATCH($C40,'PORTIFÓLIO'!$C$4:$C$433,0)),"")</f>
        <v/>
      </c>
      <c r="I40" s="256"/>
      <c r="J40" s="218">
        <f t="shared" si="4"/>
        <v>0</v>
      </c>
      <c r="K40" s="219" t="str">
        <f t="array" ref="K40">IFERROR(I40*INDEX('PORTIFÓLIO'!$S$4:$S$433,MATCH($C40,'PORTIFÓLIO'!$C$4:$C$433,0)),"")</f>
        <v/>
      </c>
      <c r="L40" s="219" t="str">
        <f t="array" ref="L40">IFERROR(J40*INDEX('PORTIFÓLIO'!$S$4:$S$433,MATCH($C40,'PORTIFÓLIO'!$C$4:$C$433,0)),"")</f>
        <v/>
      </c>
      <c r="M40" s="220"/>
      <c r="N40" s="220"/>
      <c r="O40" s="220"/>
      <c r="P40" s="220"/>
      <c r="Q40" s="220"/>
      <c r="R40" s="220"/>
      <c r="S40" s="220"/>
      <c r="T40" s="220"/>
      <c r="U40" s="220"/>
      <c r="V40" s="220"/>
      <c r="W40" s="220"/>
    </row>
    <row r="41" ht="15.75" customHeight="1" outlineLevel="1">
      <c r="A41" s="211"/>
      <c r="B41" s="212"/>
      <c r="C41" s="213"/>
      <c r="D41" s="214" t="str">
        <f>IFERROR(VLOOKUP($C41,'PORTIFÓLIO'!C:V,2,0),"")</f>
        <v/>
      </c>
      <c r="E41" s="211" t="str">
        <f>IFERROR(VLOOKUP($C41,'PORTIFÓLIO'!C:V,3,0),"")</f>
        <v/>
      </c>
      <c r="F41" s="211" t="str">
        <f>IFERROR(VLOOKUP($C41,'PORTIFÓLIO'!C:V,4,0),"")</f>
        <v/>
      </c>
      <c r="G41" s="215" t="str">
        <f>IFERROR(VLOOKUP($C41,'PORTIFÓLIO'!C:V,5,0),"")</f>
        <v/>
      </c>
      <c r="H41" s="254" t="str">
        <f t="array" ref="H41">IFERROR(INDEX('PORTIFÓLIO'!$H$4:$H$433,MATCH($C41,'PORTIFÓLIO'!$C$4:$C$433,0)),"")</f>
        <v/>
      </c>
      <c r="I41" s="256"/>
      <c r="J41" s="218">
        <f t="shared" si="4"/>
        <v>0</v>
      </c>
      <c r="K41" s="219" t="str">
        <f t="array" ref="K41">IFERROR(I41*INDEX('PORTIFÓLIO'!$S$4:$S$433,MATCH($C41,'PORTIFÓLIO'!$C$4:$C$433,0)),"")</f>
        <v/>
      </c>
      <c r="L41" s="219" t="str">
        <f t="array" ref="L41">IFERROR(J41*INDEX('PORTIFÓLIO'!$S$4:$S$433,MATCH($C41,'PORTIFÓLIO'!$C$4:$C$433,0)),"")</f>
        <v/>
      </c>
      <c r="M41" s="220"/>
      <c r="N41" s="220"/>
      <c r="O41" s="220"/>
      <c r="P41" s="220"/>
      <c r="Q41" s="220"/>
      <c r="R41" s="220"/>
      <c r="S41" s="220"/>
      <c r="T41" s="220"/>
      <c r="U41" s="220"/>
      <c r="V41" s="220"/>
      <c r="W41" s="220"/>
    </row>
    <row r="42" ht="15.75" customHeight="1" outlineLevel="1">
      <c r="A42" s="211"/>
      <c r="B42" s="212"/>
      <c r="C42" s="213"/>
      <c r="D42" s="214" t="str">
        <f>IFERROR(VLOOKUP($C42,'PORTIFÓLIO'!C:V,2,0),"")</f>
        <v/>
      </c>
      <c r="E42" s="211" t="str">
        <f>IFERROR(VLOOKUP($C42,'PORTIFÓLIO'!C:V,3,0),"")</f>
        <v/>
      </c>
      <c r="F42" s="211" t="str">
        <f>IFERROR(VLOOKUP($C42,'PORTIFÓLIO'!C:V,4,0),"")</f>
        <v/>
      </c>
      <c r="G42" s="215" t="str">
        <f>IFERROR(VLOOKUP($C42,'PORTIFÓLIO'!C:V,5,0),"")</f>
        <v/>
      </c>
      <c r="H42" s="254" t="str">
        <f t="array" ref="H42">IFERROR(INDEX('PORTIFÓLIO'!$H$4:$H$433,MATCH($C42,'PORTIFÓLIO'!$C$4:$C$433,0)),"")</f>
        <v/>
      </c>
      <c r="I42" s="256"/>
      <c r="J42" s="218">
        <f t="shared" si="4"/>
        <v>0</v>
      </c>
      <c r="K42" s="219" t="str">
        <f t="array" ref="K42">IFERROR(I42*INDEX('PORTIFÓLIO'!$S$4:$S$433,MATCH($C42,'PORTIFÓLIO'!$C$4:$C$433,0)),"")</f>
        <v/>
      </c>
      <c r="L42" s="219" t="str">
        <f t="array" ref="L42">IFERROR(J42*INDEX('PORTIFÓLIO'!$S$4:$S$433,MATCH($C42,'PORTIFÓLIO'!$C$4:$C$433,0)),"")</f>
        <v/>
      </c>
      <c r="M42" s="220"/>
      <c r="N42" s="220"/>
      <c r="O42" s="220"/>
      <c r="P42" s="220"/>
      <c r="Q42" s="220"/>
      <c r="R42" s="220"/>
      <c r="S42" s="220"/>
      <c r="T42" s="220"/>
      <c r="U42" s="220"/>
      <c r="V42" s="220"/>
      <c r="W42" s="220"/>
    </row>
    <row r="43" ht="15.75" customHeight="1" outlineLevel="1">
      <c r="A43" s="211"/>
      <c r="B43" s="212"/>
      <c r="C43" s="213"/>
      <c r="D43" s="214" t="str">
        <f>IFERROR(VLOOKUP($C43,'PORTIFÓLIO'!C:V,2,0),"")</f>
        <v/>
      </c>
      <c r="E43" s="211" t="str">
        <f>IFERROR(VLOOKUP($C43,'PORTIFÓLIO'!C:V,3,0),"")</f>
        <v/>
      </c>
      <c r="F43" s="211" t="str">
        <f>IFERROR(VLOOKUP($C43,'PORTIFÓLIO'!C:V,4,0),"")</f>
        <v/>
      </c>
      <c r="G43" s="215" t="str">
        <f>IFERROR(VLOOKUP($C43,'PORTIFÓLIO'!C:V,5,0),"")</f>
        <v/>
      </c>
      <c r="H43" s="254" t="str">
        <f t="array" ref="H43">IFERROR(INDEX('PORTIFÓLIO'!$H$4:$H$433,MATCH($C43,'PORTIFÓLIO'!$C$4:$C$433,0)),"")</f>
        <v/>
      </c>
      <c r="I43" s="256"/>
      <c r="J43" s="218">
        <f t="shared" si="4"/>
        <v>0</v>
      </c>
      <c r="K43" s="219" t="str">
        <f t="array" ref="K43">IFERROR(I43*INDEX('PORTIFÓLIO'!$S$4:$S$433,MATCH($C43,'PORTIFÓLIO'!$C$4:$C$433,0)),"")</f>
        <v/>
      </c>
      <c r="L43" s="219" t="str">
        <f t="array" ref="L43">IFERROR(J43*INDEX('PORTIFÓLIO'!$S$4:$S$433,MATCH($C43,'PORTIFÓLIO'!$C$4:$C$433,0)),"")</f>
        <v/>
      </c>
      <c r="M43" s="220"/>
      <c r="N43" s="220"/>
      <c r="O43" s="220"/>
      <c r="P43" s="220"/>
      <c r="Q43" s="220"/>
      <c r="R43" s="220"/>
      <c r="S43" s="220"/>
      <c r="T43" s="220"/>
      <c r="U43" s="220"/>
      <c r="V43" s="220"/>
      <c r="W43" s="220"/>
    </row>
    <row r="44" ht="15.75" customHeight="1">
      <c r="A44" s="229" t="s">
        <v>1185</v>
      </c>
      <c r="B44" s="230"/>
      <c r="C44" s="231"/>
      <c r="D44" s="232" t="s">
        <v>216</v>
      </c>
      <c r="E44" s="231"/>
      <c r="F44" s="231"/>
      <c r="G44" s="233"/>
      <c r="H44" s="233"/>
      <c r="I44" s="258"/>
      <c r="J44" s="236"/>
      <c r="K44" s="237">
        <f t="shared" ref="K44:L44" si="5">SUBTOTAL(9,K45:K58)</f>
        <v>110.47258</v>
      </c>
      <c r="L44" s="237">
        <f t="shared" si="5"/>
        <v>34467.44496</v>
      </c>
      <c r="M44" s="220"/>
      <c r="N44" s="220"/>
      <c r="O44" s="220"/>
      <c r="P44" s="220"/>
      <c r="Q44" s="220"/>
      <c r="R44" s="220"/>
      <c r="S44" s="220"/>
      <c r="T44" s="220"/>
      <c r="U44" s="220"/>
      <c r="V44" s="220"/>
      <c r="W44" s="220"/>
    </row>
    <row r="45" ht="15.75" customHeight="1" outlineLevel="1">
      <c r="A45" s="213"/>
      <c r="B45" s="212" t="s">
        <v>1</v>
      </c>
      <c r="C45" s="213" t="s">
        <v>683</v>
      </c>
      <c r="D45" s="214" t="str">
        <f>IFERROR(VLOOKUP($C45,'PORTIFÓLIO'!C:V,2,0),"")</f>
        <v>GLUFOSINATO - SAL DE AMONIO</v>
      </c>
      <c r="E45" s="211">
        <f>IFERROR(VLOOKUP($C45,'PORTIFÓLIO'!C:V,3,0),"")</f>
        <v>880</v>
      </c>
      <c r="F45" s="211" t="str">
        <f>IFERROR(VLOOKUP($C45,'PORTIFÓLIO'!C:V,4,0),"")</f>
        <v>L</v>
      </c>
      <c r="G45" s="225" t="str">
        <f>IFERROR(VLOOKUP($C45,'PORTIFÓLIO'!C:V,5,0),"")</f>
        <v>📄 Ver bula</v>
      </c>
      <c r="H45" s="254">
        <f t="array" ref="H45">IFERROR(INDEX('PORTIFÓLIO'!$H$4:$H$433,MATCH($C45,'PORTIFÓLIO'!$C$4:$C$433,0)),"")</f>
        <v>0.5</v>
      </c>
      <c r="I45" s="255">
        <v>0.5</v>
      </c>
      <c r="J45" s="218">
        <f t="shared" ref="J45:J62" si="6">I45*$B$2</f>
        <v>156</v>
      </c>
      <c r="K45" s="219">
        <f t="array" ref="K45">IFERROR(I45*INDEX('PORTIFÓLIO'!$S$4:$S$433,MATCH($C45,'PORTIFÓLIO'!$C$4:$C$433,0)),"")</f>
        <v>23.01917</v>
      </c>
      <c r="L45" s="219">
        <f t="array" ref="L45">IFERROR(J45*INDEX('PORTIFÓLIO'!$S$4:$S$433,MATCH($C45,'PORTIFÓLIO'!$C$4:$C$433,0)),"")</f>
        <v>7181.98104</v>
      </c>
      <c r="M45" s="220"/>
      <c r="N45" s="220"/>
      <c r="O45" s="220"/>
      <c r="P45" s="220"/>
      <c r="Q45" s="220"/>
      <c r="R45" s="220"/>
      <c r="S45" s="220"/>
      <c r="T45" s="220"/>
      <c r="U45" s="220"/>
      <c r="V45" s="220"/>
      <c r="W45" s="220"/>
    </row>
    <row r="46" ht="15.75" customHeight="1" outlineLevel="1">
      <c r="A46" s="211"/>
      <c r="B46" s="212" t="s">
        <v>1</v>
      </c>
      <c r="C46" s="213" t="s">
        <v>693</v>
      </c>
      <c r="D46" s="214" t="str">
        <f>IFERROR(VLOOKUP($C46,'PORTIFÓLIO'!C:V,2,0),"")</f>
        <v>CLOMAZONA</v>
      </c>
      <c r="E46" s="211">
        <f>IFERROR(VLOOKUP($C46,'PORTIFÓLIO'!C:V,3,0),"")</f>
        <v>360</v>
      </c>
      <c r="F46" s="211" t="str">
        <f>IFERROR(VLOOKUP($C46,'PORTIFÓLIO'!C:V,4,0),"")</f>
        <v>L</v>
      </c>
      <c r="G46" s="225" t="str">
        <f>IFERROR(VLOOKUP($C46,'PORTIFÓLIO'!C:V,5,0),"")</f>
        <v>📄 Ver bula</v>
      </c>
      <c r="H46" s="254">
        <f t="array" ref="H46">IFERROR(INDEX('PORTIFÓLIO'!$H$4:$H$433,MATCH($C46,'PORTIFÓLIO'!$C$4:$C$433,0)),"")</f>
        <v>1</v>
      </c>
      <c r="I46" s="255">
        <v>1.0</v>
      </c>
      <c r="J46" s="218">
        <f t="shared" si="6"/>
        <v>312</v>
      </c>
      <c r="K46" s="219">
        <f t="array" ref="K46">IFERROR(I46*INDEX('PORTIFÓLIO'!$S$4:$S$433,MATCH($C46,'PORTIFÓLIO'!$C$4:$C$433,0)),"")</f>
        <v>43.80156</v>
      </c>
      <c r="L46" s="219">
        <f t="array" ref="L46">IFERROR(J46*INDEX('PORTIFÓLIO'!$S$4:$S$433,MATCH($C46,'PORTIFÓLIO'!$C$4:$C$433,0)),"")</f>
        <v>13666.08672</v>
      </c>
      <c r="M46" s="220"/>
      <c r="N46" s="220"/>
      <c r="O46" s="220"/>
      <c r="P46" s="220"/>
      <c r="Q46" s="220"/>
      <c r="R46" s="220"/>
      <c r="S46" s="220"/>
      <c r="T46" s="220"/>
      <c r="U46" s="220"/>
      <c r="V46" s="220"/>
      <c r="W46" s="220"/>
    </row>
    <row r="47" ht="15.75" customHeight="1" outlineLevel="1">
      <c r="A47" s="211"/>
      <c r="B47" s="212" t="s">
        <v>1</v>
      </c>
      <c r="C47" s="213" t="s">
        <v>728</v>
      </c>
      <c r="D47" s="214" t="str">
        <f>IFERROR(VLOOKUP($C47,'PORTIFÓLIO'!C:V,2,0),"")</f>
        <v>S-METOLACLORO</v>
      </c>
      <c r="E47" s="211">
        <f>IFERROR(VLOOKUP($C47,'PORTIFÓLIO'!C:V,3,0),"")</f>
        <v>960</v>
      </c>
      <c r="F47" s="211" t="str">
        <f>IFERROR(VLOOKUP($C47,'PORTIFÓLIO'!C:V,4,0),"")</f>
        <v>KG</v>
      </c>
      <c r="G47" s="225" t="str">
        <f>IFERROR(VLOOKUP($C47,'PORTIFÓLIO'!C:V,5,0),"")</f>
        <v>📄 Ver bula</v>
      </c>
      <c r="H47" s="254">
        <f t="array" ref="H47">IFERROR(INDEX('PORTIFÓLIO'!$H$4:$H$433,MATCH($C47,'PORTIFÓLIO'!$C$4:$C$433,0)),"")</f>
        <v>2</v>
      </c>
      <c r="I47" s="255">
        <v>1.0</v>
      </c>
      <c r="J47" s="218">
        <f t="shared" si="6"/>
        <v>312</v>
      </c>
      <c r="K47" s="219">
        <f t="array" ref="K47">IFERROR(I47*INDEX('PORTIFÓLIO'!$S$4:$S$433,MATCH($C47,'PORTIFÓLIO'!$C$4:$C$433,0)),"")</f>
        <v>29.1273</v>
      </c>
      <c r="L47" s="219">
        <f t="array" ref="L47">IFERROR(J47*INDEX('PORTIFÓLIO'!$S$4:$S$433,MATCH($C47,'PORTIFÓLIO'!$C$4:$C$433,0)),"")</f>
        <v>9087.7176</v>
      </c>
      <c r="M47" s="220"/>
      <c r="N47" s="220"/>
      <c r="O47" s="220"/>
      <c r="P47" s="220"/>
      <c r="Q47" s="220"/>
      <c r="R47" s="220"/>
      <c r="S47" s="220"/>
      <c r="T47" s="220"/>
      <c r="U47" s="220"/>
      <c r="V47" s="220"/>
      <c r="W47" s="220"/>
    </row>
    <row r="48" ht="15.75" customHeight="1" outlineLevel="1">
      <c r="A48" s="211"/>
      <c r="B48" s="212" t="s">
        <v>6</v>
      </c>
      <c r="C48" s="213" t="s">
        <v>354</v>
      </c>
      <c r="D48" s="214" t="str">
        <f>IFERROR(VLOOKUP($C48,'PORTIFÓLIO'!C:V,2,0),"")</f>
        <v>OLEO MINERAL</v>
      </c>
      <c r="E48" s="211">
        <f>IFERROR(VLOOKUP($C48,'PORTIFÓLIO'!C:V,3,0),"")</f>
        <v>761</v>
      </c>
      <c r="F48" s="211" t="str">
        <f>IFERROR(VLOOKUP($C48,'PORTIFÓLIO'!C:V,4,0),"")</f>
        <v>L</v>
      </c>
      <c r="G48" s="225" t="str">
        <f>IFERROR(VLOOKUP($C48,'PORTIFÓLIO'!C:V,5,0),"")</f>
        <v>📄 Ver bula</v>
      </c>
      <c r="H48" s="254">
        <f t="array" ref="H48">IFERROR(INDEX('PORTIFÓLIO'!$H$4:$H$433,MATCH($C48,'PORTIFÓLIO'!$C$4:$C$433,0)),"")</f>
        <v>0.2</v>
      </c>
      <c r="I48" s="255">
        <v>0.2</v>
      </c>
      <c r="J48" s="218">
        <f t="shared" si="6"/>
        <v>62.4</v>
      </c>
      <c r="K48" s="219">
        <f t="array" ref="K48">IFERROR(I48*INDEX('PORTIFÓLIO'!$S$4:$S$433,MATCH($C48,'PORTIFÓLIO'!$C$4:$C$433,0)),"")</f>
        <v>3.206</v>
      </c>
      <c r="L48" s="219">
        <f t="array" ref="L48">IFERROR(J48*INDEX('PORTIFÓLIO'!$S$4:$S$433,MATCH($C48,'PORTIFÓLIO'!$C$4:$C$433,0)),"")</f>
        <v>1000.272</v>
      </c>
      <c r="M48" s="220"/>
      <c r="N48" s="220"/>
      <c r="O48" s="220"/>
      <c r="P48" s="220"/>
      <c r="Q48" s="220"/>
      <c r="R48" s="220"/>
      <c r="S48" s="220"/>
      <c r="T48" s="220"/>
      <c r="U48" s="220"/>
      <c r="V48" s="220"/>
      <c r="W48" s="220"/>
    </row>
    <row r="49" ht="15.75" customHeight="1" outlineLevel="1">
      <c r="A49" s="211"/>
      <c r="B49" s="212" t="s">
        <v>2</v>
      </c>
      <c r="C49" s="213" t="s">
        <v>824</v>
      </c>
      <c r="D49" s="214" t="str">
        <f>IFERROR(VLOOKUP($C49,'PORTIFÓLIO'!C:V,2,0),"")</f>
        <v>CLORANTRANILIPROLE</v>
      </c>
      <c r="E49" s="211">
        <f>IFERROR(VLOOKUP($C49,'PORTIFÓLIO'!C:V,3,0),"")</f>
        <v>200</v>
      </c>
      <c r="F49" s="211" t="str">
        <f>IFERROR(VLOOKUP($C49,'PORTIFÓLIO'!C:V,4,0),"")</f>
        <v>L</v>
      </c>
      <c r="G49" s="225" t="str">
        <f>IFERROR(VLOOKUP($C49,'PORTIFÓLIO'!C:V,5,0),"")</f>
        <v>📄 Ver bula</v>
      </c>
      <c r="H49" s="254">
        <f t="array" ref="H49">IFERROR(INDEX('PORTIFÓLIO'!$H$4:$H$433,MATCH($C49,'PORTIFÓLIO'!$C$4:$C$433,0)),"")</f>
        <v>0.1</v>
      </c>
      <c r="I49" s="255">
        <v>0.04</v>
      </c>
      <c r="J49" s="218">
        <f t="shared" si="6"/>
        <v>12.48</v>
      </c>
      <c r="K49" s="219">
        <f t="array" ref="K49">IFERROR(I49*INDEX('PORTIFÓLIO'!$S$4:$S$433,MATCH($C49,'PORTIFÓLIO'!$C$4:$C$433,0)),"")</f>
        <v>11.31855</v>
      </c>
      <c r="L49" s="219">
        <f t="array" ref="L49">IFERROR(J49*INDEX('PORTIFÓLIO'!$S$4:$S$433,MATCH($C49,'PORTIFÓLIO'!$C$4:$C$433,0)),"")</f>
        <v>3531.3876</v>
      </c>
      <c r="M49" s="220"/>
      <c r="N49" s="220"/>
      <c r="O49" s="220"/>
      <c r="P49" s="220"/>
      <c r="Q49" s="220"/>
      <c r="R49" s="220"/>
      <c r="S49" s="220"/>
      <c r="T49" s="220"/>
      <c r="U49" s="220"/>
      <c r="V49" s="220"/>
      <c r="W49" s="220"/>
    </row>
    <row r="50" ht="15.75" customHeight="1" outlineLevel="1">
      <c r="A50" s="211"/>
      <c r="B50" s="212"/>
      <c r="C50" s="213"/>
      <c r="D50" s="214" t="str">
        <f>IFERROR(VLOOKUP($C50,'PORTIFÓLIO'!C:V,2,0),"")</f>
        <v/>
      </c>
      <c r="E50" s="211" t="str">
        <f>IFERROR(VLOOKUP($C50,'PORTIFÓLIO'!C:V,3,0),"")</f>
        <v/>
      </c>
      <c r="F50" s="211" t="str">
        <f>IFERROR(VLOOKUP($C50,'PORTIFÓLIO'!C:V,4,0),"")</f>
        <v/>
      </c>
      <c r="G50" s="215" t="str">
        <f>IFERROR(VLOOKUP($C50,'PORTIFÓLIO'!C:V,5,0),"")</f>
        <v/>
      </c>
      <c r="H50" s="254" t="str">
        <f t="array" ref="H50">IFERROR(INDEX('PORTIFÓLIO'!$H$4:$H$433,MATCH($C50,'PORTIFÓLIO'!$C$4:$C$433,0)),"")</f>
        <v/>
      </c>
      <c r="I50" s="255"/>
      <c r="J50" s="218">
        <f t="shared" si="6"/>
        <v>0</v>
      </c>
      <c r="K50" s="219" t="str">
        <f t="array" ref="K50">IFERROR(I50*INDEX('PORTIFÓLIO'!$S$4:$S$433,MATCH($C50,'PORTIFÓLIO'!$C$4:$C$433,0)),"")</f>
        <v/>
      </c>
      <c r="L50" s="219" t="str">
        <f t="array" ref="L50">IFERROR(J50*INDEX('PORTIFÓLIO'!$S$4:$S$433,MATCH($C50,'PORTIFÓLIO'!$C$4:$C$433,0)),"")</f>
        <v/>
      </c>
      <c r="M50" s="220"/>
      <c r="N50" s="220"/>
      <c r="O50" s="220"/>
      <c r="P50" s="220"/>
      <c r="Q50" s="220"/>
      <c r="R50" s="220"/>
      <c r="S50" s="220"/>
      <c r="T50" s="220"/>
      <c r="U50" s="220"/>
      <c r="V50" s="220"/>
      <c r="W50" s="220"/>
    </row>
    <row r="51" ht="15.75" customHeight="1" outlineLevel="1">
      <c r="A51" s="211"/>
      <c r="B51" s="212"/>
      <c r="C51" s="213"/>
      <c r="D51" s="214" t="str">
        <f>IFERROR(VLOOKUP($C51,'PORTIFÓLIO'!C:V,2,0),"")</f>
        <v/>
      </c>
      <c r="E51" s="211" t="str">
        <f>IFERROR(VLOOKUP($C51,'PORTIFÓLIO'!C:V,3,0),"")</f>
        <v/>
      </c>
      <c r="F51" s="211" t="str">
        <f>IFERROR(VLOOKUP($C51,'PORTIFÓLIO'!C:V,4,0),"")</f>
        <v/>
      </c>
      <c r="G51" s="215" t="str">
        <f>IFERROR(VLOOKUP($C51,'PORTIFÓLIO'!C:V,5,0),"")</f>
        <v/>
      </c>
      <c r="H51" s="254" t="str">
        <f t="array" ref="H51">IFERROR(INDEX('PORTIFÓLIO'!$H$4:$H$433,MATCH($C51,'PORTIFÓLIO'!$C$4:$C$433,0)),"")</f>
        <v/>
      </c>
      <c r="I51" s="255"/>
      <c r="J51" s="218">
        <f t="shared" si="6"/>
        <v>0</v>
      </c>
      <c r="K51" s="219" t="str">
        <f t="array" ref="K51">IFERROR(I51*INDEX('PORTIFÓLIO'!$S$4:$S$433,MATCH($C51,'PORTIFÓLIO'!$C$4:$C$433,0)),"")</f>
        <v/>
      </c>
      <c r="L51" s="219" t="str">
        <f t="array" ref="L51">IFERROR(J51*INDEX('PORTIFÓLIO'!$S$4:$S$433,MATCH($C51,'PORTIFÓLIO'!$C$4:$C$433,0)),"")</f>
        <v/>
      </c>
      <c r="M51" s="220"/>
      <c r="N51" s="220"/>
      <c r="O51" s="220"/>
      <c r="P51" s="220"/>
      <c r="Q51" s="220"/>
      <c r="R51" s="220"/>
      <c r="S51" s="220"/>
      <c r="T51" s="220"/>
      <c r="U51" s="220"/>
      <c r="V51" s="220"/>
      <c r="W51" s="220"/>
    </row>
    <row r="52" ht="15.75" customHeight="1" outlineLevel="1">
      <c r="A52" s="211"/>
      <c r="B52" s="212"/>
      <c r="C52" s="213"/>
      <c r="D52" s="214" t="str">
        <f>IFERROR(VLOOKUP($C52,'PORTIFÓLIO'!C:V,2,0),"")</f>
        <v/>
      </c>
      <c r="E52" s="211" t="str">
        <f>IFERROR(VLOOKUP($C52,'PORTIFÓLIO'!C:V,3,0),"")</f>
        <v/>
      </c>
      <c r="F52" s="211" t="str">
        <f>IFERROR(VLOOKUP($C52,'PORTIFÓLIO'!C:V,4,0),"")</f>
        <v/>
      </c>
      <c r="G52" s="215" t="str">
        <f>IFERROR(VLOOKUP($C52,'PORTIFÓLIO'!C:V,5,0),"")</f>
        <v/>
      </c>
      <c r="H52" s="254" t="str">
        <f t="array" ref="H52">IFERROR(INDEX('PORTIFÓLIO'!$H$4:$H$433,MATCH($C52,'PORTIFÓLIO'!$C$4:$C$433,0)),"")</f>
        <v/>
      </c>
      <c r="I52" s="256"/>
      <c r="J52" s="218">
        <f t="shared" si="6"/>
        <v>0</v>
      </c>
      <c r="K52" s="219" t="str">
        <f t="array" ref="K52">IFERROR(I52*INDEX('PORTIFÓLIO'!$S$4:$S$433,MATCH($C52,'PORTIFÓLIO'!$C$4:$C$433,0)),"")</f>
        <v/>
      </c>
      <c r="L52" s="219" t="str">
        <f t="array" ref="L52">IFERROR(J52*INDEX('PORTIFÓLIO'!$S$4:$S$433,MATCH($C52,'PORTIFÓLIO'!$C$4:$C$433,0)),"")</f>
        <v/>
      </c>
      <c r="M52" s="220"/>
      <c r="N52" s="220"/>
      <c r="O52" s="220"/>
      <c r="P52" s="220"/>
      <c r="Q52" s="220"/>
      <c r="R52" s="220"/>
      <c r="S52" s="220"/>
      <c r="T52" s="220"/>
      <c r="U52" s="220"/>
      <c r="V52" s="220"/>
      <c r="W52" s="220"/>
    </row>
    <row r="53" ht="15.75" customHeight="1" outlineLevel="1">
      <c r="A53" s="211"/>
      <c r="B53" s="212"/>
      <c r="C53" s="213"/>
      <c r="D53" s="214" t="str">
        <f>IFERROR(VLOOKUP($C53,'PORTIFÓLIO'!C:V,2,0),"")</f>
        <v/>
      </c>
      <c r="E53" s="211" t="str">
        <f>IFERROR(VLOOKUP($C53,'PORTIFÓLIO'!C:V,3,0),"")</f>
        <v/>
      </c>
      <c r="F53" s="211" t="str">
        <f>IFERROR(VLOOKUP($C53,'PORTIFÓLIO'!C:V,4,0),"")</f>
        <v/>
      </c>
      <c r="G53" s="215" t="str">
        <f>IFERROR(VLOOKUP($C53,'PORTIFÓLIO'!C:V,5,0),"")</f>
        <v/>
      </c>
      <c r="H53" s="254" t="str">
        <f t="array" ref="H53">IFERROR(INDEX('PORTIFÓLIO'!$H$4:$H$433,MATCH($C53,'PORTIFÓLIO'!$C$4:$C$433,0)),"")</f>
        <v/>
      </c>
      <c r="I53" s="255"/>
      <c r="J53" s="218">
        <f t="shared" si="6"/>
        <v>0</v>
      </c>
      <c r="K53" s="219" t="str">
        <f t="array" ref="K53">IFERROR(I53*INDEX('PORTIFÓLIO'!$S$4:$S$433,MATCH($C53,'PORTIFÓLIO'!$C$4:$C$433,0)),"")</f>
        <v/>
      </c>
      <c r="L53" s="219" t="str">
        <f t="array" ref="L53">IFERROR(J53*INDEX('PORTIFÓLIO'!$S$4:$S$433,MATCH($C53,'PORTIFÓLIO'!$C$4:$C$433,0)),"")</f>
        <v/>
      </c>
      <c r="M53" s="220"/>
      <c r="N53" s="220"/>
      <c r="O53" s="220"/>
      <c r="P53" s="220"/>
      <c r="Q53" s="220"/>
      <c r="R53" s="220"/>
      <c r="S53" s="220"/>
      <c r="T53" s="220"/>
      <c r="U53" s="220"/>
      <c r="V53" s="220"/>
      <c r="W53" s="220"/>
    </row>
    <row r="54" ht="15.75" customHeight="1" outlineLevel="1">
      <c r="A54" s="211"/>
      <c r="B54" s="212"/>
      <c r="C54" s="213"/>
      <c r="D54" s="214" t="str">
        <f>IFERROR(VLOOKUP($C54,'PORTIFÓLIO'!C:V,2,0),"")</f>
        <v/>
      </c>
      <c r="E54" s="211" t="str">
        <f>IFERROR(VLOOKUP($C54,'PORTIFÓLIO'!C:V,3,0),"")</f>
        <v/>
      </c>
      <c r="F54" s="211" t="str">
        <f>IFERROR(VLOOKUP($C54,'PORTIFÓLIO'!C:V,4,0),"")</f>
        <v/>
      </c>
      <c r="G54" s="215" t="str">
        <f>IFERROR(VLOOKUP($C54,'PORTIFÓLIO'!C:V,5,0),"")</f>
        <v/>
      </c>
      <c r="H54" s="254" t="str">
        <f t="array" ref="H54">IFERROR(INDEX('PORTIFÓLIO'!$H$4:$H$433,MATCH($C54,'PORTIFÓLIO'!$C$4:$C$433,0)),"")</f>
        <v/>
      </c>
      <c r="I54" s="256"/>
      <c r="J54" s="218">
        <f t="shared" si="6"/>
        <v>0</v>
      </c>
      <c r="K54" s="219" t="str">
        <f t="array" ref="K54">IFERROR(I54*INDEX('PORTIFÓLIO'!$S$4:$S$433,MATCH($C54,'PORTIFÓLIO'!$C$4:$C$433,0)),"")</f>
        <v/>
      </c>
      <c r="L54" s="219" t="str">
        <f t="array" ref="L54">IFERROR(J54*INDEX('PORTIFÓLIO'!$S$4:$S$433,MATCH($C54,'PORTIFÓLIO'!$C$4:$C$433,0)),"")</f>
        <v/>
      </c>
      <c r="M54" s="220"/>
      <c r="N54" s="220"/>
      <c r="O54" s="220"/>
      <c r="P54" s="220"/>
      <c r="Q54" s="220"/>
      <c r="R54" s="220"/>
      <c r="S54" s="220"/>
      <c r="T54" s="220"/>
      <c r="U54" s="220"/>
      <c r="V54" s="220"/>
      <c r="W54" s="220"/>
    </row>
    <row r="55" ht="15.75" customHeight="1" outlineLevel="1">
      <c r="A55" s="211"/>
      <c r="B55" s="212"/>
      <c r="C55" s="213"/>
      <c r="D55" s="214" t="str">
        <f>IFERROR(VLOOKUP($C55,'PORTIFÓLIO'!C:V,2,0),"")</f>
        <v/>
      </c>
      <c r="E55" s="211" t="str">
        <f>IFERROR(VLOOKUP($C55,'PORTIFÓLIO'!C:V,3,0),"")</f>
        <v/>
      </c>
      <c r="F55" s="211" t="str">
        <f>IFERROR(VLOOKUP($C55,'PORTIFÓLIO'!C:V,4,0),"")</f>
        <v/>
      </c>
      <c r="G55" s="215" t="str">
        <f>IFERROR(VLOOKUP($C55,'PORTIFÓLIO'!C:V,5,0),"")</f>
        <v/>
      </c>
      <c r="H55" s="254" t="str">
        <f t="array" ref="H55">IFERROR(INDEX('PORTIFÓLIO'!$H$4:$H$433,MATCH($C55,'PORTIFÓLIO'!$C$4:$C$433,0)),"")</f>
        <v/>
      </c>
      <c r="I55" s="256"/>
      <c r="J55" s="218">
        <f t="shared" si="6"/>
        <v>0</v>
      </c>
      <c r="K55" s="219" t="str">
        <f t="array" ref="K55">IFERROR(I55*INDEX('PORTIFÓLIO'!$S$4:$S$433,MATCH($C55,'PORTIFÓLIO'!$C$4:$C$433,0)),"")</f>
        <v/>
      </c>
      <c r="L55" s="219" t="str">
        <f t="array" ref="L55">IFERROR(J55*INDEX('PORTIFÓLIO'!$S$4:$S$433,MATCH($C55,'PORTIFÓLIO'!$C$4:$C$433,0)),"")</f>
        <v/>
      </c>
      <c r="M55" s="220"/>
      <c r="N55" s="220"/>
      <c r="O55" s="220"/>
      <c r="P55" s="220"/>
      <c r="Q55" s="220"/>
      <c r="R55" s="220"/>
      <c r="S55" s="220"/>
      <c r="T55" s="220"/>
      <c r="U55" s="220"/>
      <c r="V55" s="220"/>
      <c r="W55" s="220"/>
    </row>
    <row r="56" ht="15.75" customHeight="1" outlineLevel="1">
      <c r="A56" s="211"/>
      <c r="B56" s="212"/>
      <c r="C56" s="213"/>
      <c r="D56" s="214" t="str">
        <f>IFERROR(VLOOKUP($C56,'PORTIFÓLIO'!C:V,2,0),"")</f>
        <v/>
      </c>
      <c r="E56" s="211" t="str">
        <f>IFERROR(VLOOKUP($C56,'PORTIFÓLIO'!C:V,3,0),"")</f>
        <v/>
      </c>
      <c r="F56" s="211" t="str">
        <f>IFERROR(VLOOKUP($C56,'PORTIFÓLIO'!C:V,4,0),"")</f>
        <v/>
      </c>
      <c r="G56" s="215" t="str">
        <f>IFERROR(VLOOKUP($C56,'PORTIFÓLIO'!C:V,5,0),"")</f>
        <v/>
      </c>
      <c r="H56" s="254" t="str">
        <f t="array" ref="H56">IFERROR(INDEX('PORTIFÓLIO'!$H$4:$H$433,MATCH($C56,'PORTIFÓLIO'!$C$4:$C$433,0)),"")</f>
        <v/>
      </c>
      <c r="I56" s="256"/>
      <c r="J56" s="218">
        <f t="shared" si="6"/>
        <v>0</v>
      </c>
      <c r="K56" s="219" t="str">
        <f t="array" ref="K56">IFERROR(I56*INDEX('PORTIFÓLIO'!$S$4:$S$433,MATCH($C56,'PORTIFÓLIO'!$C$4:$C$433,0)),"")</f>
        <v/>
      </c>
      <c r="L56" s="219" t="str">
        <f t="array" ref="L56">IFERROR(J56*INDEX('PORTIFÓLIO'!$S$4:$S$433,MATCH($C56,'PORTIFÓLIO'!$C$4:$C$433,0)),"")</f>
        <v/>
      </c>
      <c r="M56" s="220"/>
      <c r="N56" s="220"/>
      <c r="O56" s="220"/>
      <c r="P56" s="220"/>
      <c r="Q56" s="220"/>
      <c r="R56" s="220"/>
      <c r="S56" s="220"/>
      <c r="T56" s="220"/>
      <c r="U56" s="220"/>
      <c r="V56" s="220"/>
      <c r="W56" s="220"/>
    </row>
    <row r="57" ht="15.75" customHeight="1" outlineLevel="1">
      <c r="A57" s="211"/>
      <c r="B57" s="212"/>
      <c r="C57" s="213"/>
      <c r="D57" s="214" t="str">
        <f>IFERROR(VLOOKUP($C57,'PORTIFÓLIO'!C:V,2,0),"")</f>
        <v/>
      </c>
      <c r="E57" s="211" t="str">
        <f>IFERROR(VLOOKUP($C57,'PORTIFÓLIO'!C:V,3,0),"")</f>
        <v/>
      </c>
      <c r="F57" s="211" t="str">
        <f>IFERROR(VLOOKUP($C57,'PORTIFÓLIO'!C:V,4,0),"")</f>
        <v/>
      </c>
      <c r="G57" s="215" t="str">
        <f>IFERROR(VLOOKUP($C57,'PORTIFÓLIO'!C:V,5,0),"")</f>
        <v/>
      </c>
      <c r="H57" s="254" t="str">
        <f t="array" ref="H57">IFERROR(INDEX('PORTIFÓLIO'!$H$4:$H$433,MATCH($C57,'PORTIFÓLIO'!$C$4:$C$433,0)),"")</f>
        <v/>
      </c>
      <c r="I57" s="256"/>
      <c r="J57" s="218">
        <f t="shared" si="6"/>
        <v>0</v>
      </c>
      <c r="K57" s="219" t="str">
        <f t="array" ref="K57">IFERROR(I57*INDEX('PORTIFÓLIO'!$S$4:$S$433,MATCH($C57,'PORTIFÓLIO'!$C$4:$C$433,0)),"")</f>
        <v/>
      </c>
      <c r="L57" s="219" t="str">
        <f t="array" ref="L57">IFERROR(J57*INDEX('PORTIFÓLIO'!$S$4:$S$433,MATCH($C57,'PORTIFÓLIO'!$C$4:$C$433,0)),"")</f>
        <v/>
      </c>
      <c r="M57" s="220"/>
      <c r="N57" s="220"/>
      <c r="O57" s="220"/>
      <c r="P57" s="220"/>
      <c r="Q57" s="220"/>
      <c r="R57" s="220"/>
      <c r="S57" s="220"/>
      <c r="T57" s="220"/>
      <c r="U57" s="220"/>
      <c r="V57" s="220"/>
      <c r="W57" s="220"/>
    </row>
    <row r="58" ht="15.75" customHeight="1" outlineLevel="1">
      <c r="A58" s="211"/>
      <c r="B58" s="212"/>
      <c r="C58" s="213"/>
      <c r="D58" s="214" t="str">
        <f>IFERROR(VLOOKUP($C58,'PORTIFÓLIO'!C:V,2,0),"")</f>
        <v/>
      </c>
      <c r="E58" s="211" t="str">
        <f>IFERROR(VLOOKUP($C58,'PORTIFÓLIO'!C:V,3,0),"")</f>
        <v/>
      </c>
      <c r="F58" s="211" t="str">
        <f>IFERROR(VLOOKUP($C58,'PORTIFÓLIO'!C:V,4,0),"")</f>
        <v/>
      </c>
      <c r="G58" s="215" t="str">
        <f>IFERROR(VLOOKUP($C58,'PORTIFÓLIO'!C:V,5,0),"")</f>
        <v/>
      </c>
      <c r="H58" s="254" t="str">
        <f t="array" ref="H58">IFERROR(INDEX('PORTIFÓLIO'!$H$4:$H$433,MATCH($C58,'PORTIFÓLIO'!$C$4:$C$433,0)),"")</f>
        <v/>
      </c>
      <c r="I58" s="256"/>
      <c r="J58" s="218">
        <f t="shared" si="6"/>
        <v>0</v>
      </c>
      <c r="K58" s="219" t="str">
        <f t="array" ref="K58">IFERROR(I58*INDEX('PORTIFÓLIO'!$S$4:$S$433,MATCH($C58,'PORTIFÓLIO'!$C$4:$C$433,0)),"")</f>
        <v/>
      </c>
      <c r="L58" s="219" t="str">
        <f t="array" ref="L58">IFERROR(J58*INDEX('PORTIFÓLIO'!$S$4:$S$433,MATCH($C58,'PORTIFÓLIO'!$C$4:$C$433,0)),"")</f>
        <v/>
      </c>
      <c r="M58" s="220"/>
      <c r="N58" s="220"/>
      <c r="O58" s="220"/>
      <c r="P58" s="220"/>
      <c r="Q58" s="220"/>
      <c r="R58" s="220"/>
      <c r="S58" s="220"/>
      <c r="T58" s="220"/>
      <c r="U58" s="220"/>
      <c r="V58" s="220"/>
      <c r="W58" s="220"/>
    </row>
    <row r="59" ht="15.75" customHeight="1" outlineLevel="1">
      <c r="A59" s="211"/>
      <c r="B59" s="212"/>
      <c r="C59" s="213"/>
      <c r="D59" s="214" t="str">
        <f>IFERROR(VLOOKUP($C59,'PORTIFÓLIO'!C:V,2,0),"")</f>
        <v/>
      </c>
      <c r="E59" s="211" t="str">
        <f>IFERROR(VLOOKUP($C59,'PORTIFÓLIO'!C:V,3,0),"")</f>
        <v/>
      </c>
      <c r="F59" s="211" t="str">
        <f>IFERROR(VLOOKUP($C59,'PORTIFÓLIO'!C:V,4,0),"")</f>
        <v/>
      </c>
      <c r="G59" s="215" t="str">
        <f>IFERROR(VLOOKUP($C59,'PORTIFÓLIO'!C:V,5,0),"")</f>
        <v/>
      </c>
      <c r="H59" s="254" t="str">
        <f t="array" ref="H59">IFERROR(INDEX('PORTIFÓLIO'!$H$4:$H$433,MATCH($C59,'PORTIFÓLIO'!$C$4:$C$433,0)),"")</f>
        <v/>
      </c>
      <c r="I59" s="256"/>
      <c r="J59" s="218">
        <f t="shared" si="6"/>
        <v>0</v>
      </c>
      <c r="K59" s="219" t="str">
        <f t="array" ref="K59">IFERROR(I59*INDEX('PORTIFÓLIO'!$S$4:$S$433,MATCH($C59,'PORTIFÓLIO'!$C$4:$C$433,0)),"")</f>
        <v/>
      </c>
      <c r="L59" s="219" t="str">
        <f t="array" ref="L59">IFERROR(J59*INDEX('PORTIFÓLIO'!$S$4:$S$433,MATCH($C59,'PORTIFÓLIO'!$C$4:$C$433,0)),"")</f>
        <v/>
      </c>
      <c r="M59" s="220"/>
      <c r="N59" s="220"/>
      <c r="O59" s="220"/>
      <c r="P59" s="220"/>
      <c r="Q59" s="220"/>
      <c r="R59" s="220"/>
      <c r="S59" s="220"/>
      <c r="T59" s="220"/>
      <c r="U59" s="220"/>
      <c r="V59" s="220"/>
      <c r="W59" s="220"/>
    </row>
    <row r="60" ht="15.75" customHeight="1" outlineLevel="1">
      <c r="A60" s="211"/>
      <c r="B60" s="212"/>
      <c r="C60" s="213"/>
      <c r="D60" s="214" t="str">
        <f>IFERROR(VLOOKUP($C60,'PORTIFÓLIO'!C:V,2,0),"")</f>
        <v/>
      </c>
      <c r="E60" s="211" t="str">
        <f>IFERROR(VLOOKUP($C60,'PORTIFÓLIO'!C:V,3,0),"")</f>
        <v/>
      </c>
      <c r="F60" s="211" t="str">
        <f>IFERROR(VLOOKUP($C60,'PORTIFÓLIO'!C:V,4,0),"")</f>
        <v/>
      </c>
      <c r="G60" s="215" t="str">
        <f>IFERROR(VLOOKUP($C60,'PORTIFÓLIO'!C:V,5,0),"")</f>
        <v/>
      </c>
      <c r="H60" s="254" t="str">
        <f t="array" ref="H60">IFERROR(INDEX('PORTIFÓLIO'!$H$4:$H$433,MATCH($C60,'PORTIFÓLIO'!$C$4:$C$433,0)),"")</f>
        <v/>
      </c>
      <c r="I60" s="256"/>
      <c r="J60" s="218">
        <f t="shared" si="6"/>
        <v>0</v>
      </c>
      <c r="K60" s="219" t="str">
        <f t="array" ref="K60">IFERROR(I60*INDEX('PORTIFÓLIO'!$S$4:$S$433,MATCH($C60,'PORTIFÓLIO'!$C$4:$C$433,0)),"")</f>
        <v/>
      </c>
      <c r="L60" s="219" t="str">
        <f t="array" ref="L60">IFERROR(J60*INDEX('PORTIFÓLIO'!$S$4:$S$433,MATCH($C60,'PORTIFÓLIO'!$C$4:$C$433,0)),"")</f>
        <v/>
      </c>
      <c r="M60" s="220"/>
      <c r="N60" s="220"/>
      <c r="O60" s="220"/>
      <c r="P60" s="220"/>
      <c r="Q60" s="220"/>
      <c r="R60" s="220"/>
      <c r="S60" s="220"/>
      <c r="T60" s="220"/>
      <c r="U60" s="220"/>
      <c r="V60" s="220"/>
      <c r="W60" s="220"/>
    </row>
    <row r="61" ht="15.75" customHeight="1" outlineLevel="1">
      <c r="A61" s="211"/>
      <c r="B61" s="212"/>
      <c r="C61" s="213"/>
      <c r="D61" s="214" t="str">
        <f>IFERROR(VLOOKUP($C61,'PORTIFÓLIO'!C:V,2,0),"")</f>
        <v/>
      </c>
      <c r="E61" s="211" t="str">
        <f>IFERROR(VLOOKUP($C61,'PORTIFÓLIO'!C:V,3,0),"")</f>
        <v/>
      </c>
      <c r="F61" s="211" t="str">
        <f>IFERROR(VLOOKUP($C61,'PORTIFÓLIO'!C:V,4,0),"")</f>
        <v/>
      </c>
      <c r="G61" s="215" t="str">
        <f>IFERROR(VLOOKUP($C61,'PORTIFÓLIO'!C:V,5,0),"")</f>
        <v/>
      </c>
      <c r="H61" s="254" t="str">
        <f t="array" ref="H61">IFERROR(INDEX('PORTIFÓLIO'!$H$4:$H$433,MATCH($C61,'PORTIFÓLIO'!$C$4:$C$433,0)),"")</f>
        <v/>
      </c>
      <c r="I61" s="256"/>
      <c r="J61" s="218">
        <f t="shared" si="6"/>
        <v>0</v>
      </c>
      <c r="K61" s="219" t="str">
        <f t="array" ref="K61">IFERROR(I61*INDEX('PORTIFÓLIO'!$S$4:$S$433,MATCH($C61,'PORTIFÓLIO'!$C$4:$C$433,0)),"")</f>
        <v/>
      </c>
      <c r="L61" s="219" t="str">
        <f t="array" ref="L61">IFERROR(J61*INDEX('PORTIFÓLIO'!$S$4:$S$433,MATCH($C61,'PORTIFÓLIO'!$C$4:$C$433,0)),"")</f>
        <v/>
      </c>
      <c r="M61" s="220"/>
      <c r="N61" s="220"/>
      <c r="O61" s="220"/>
      <c r="P61" s="220"/>
      <c r="Q61" s="220"/>
      <c r="R61" s="220"/>
      <c r="S61" s="220"/>
      <c r="T61" s="220"/>
      <c r="U61" s="220"/>
      <c r="V61" s="220"/>
      <c r="W61" s="220"/>
    </row>
    <row r="62" ht="15.75" customHeight="1" outlineLevel="1">
      <c r="A62" s="211"/>
      <c r="B62" s="212"/>
      <c r="C62" s="213"/>
      <c r="D62" s="214" t="str">
        <f>IFERROR(VLOOKUP($C62,'PORTIFÓLIO'!C:V,2,0),"")</f>
        <v/>
      </c>
      <c r="E62" s="211" t="str">
        <f>IFERROR(VLOOKUP($C62,'PORTIFÓLIO'!C:V,3,0),"")</f>
        <v/>
      </c>
      <c r="F62" s="211" t="str">
        <f>IFERROR(VLOOKUP($C62,'PORTIFÓLIO'!C:V,4,0),"")</f>
        <v/>
      </c>
      <c r="G62" s="215" t="str">
        <f>IFERROR(VLOOKUP($C62,'PORTIFÓLIO'!C:V,5,0),"")</f>
        <v/>
      </c>
      <c r="H62" s="254" t="str">
        <f t="array" ref="H62">IFERROR(INDEX('PORTIFÓLIO'!$H$4:$H$433,MATCH($C62,'PORTIFÓLIO'!$C$4:$C$433,0)),"")</f>
        <v/>
      </c>
      <c r="I62" s="256"/>
      <c r="J62" s="218">
        <f t="shared" si="6"/>
        <v>0</v>
      </c>
      <c r="K62" s="219" t="str">
        <f t="array" ref="K62">IFERROR(I62*INDEX('PORTIFÓLIO'!$S$4:$S$433,MATCH($C62,'PORTIFÓLIO'!$C$4:$C$433,0)),"")</f>
        <v/>
      </c>
      <c r="L62" s="219" t="str">
        <f t="array" ref="L62">IFERROR(J62*INDEX('PORTIFÓLIO'!$S$4:$S$433,MATCH($C62,'PORTIFÓLIO'!$C$4:$C$433,0)),"")</f>
        <v/>
      </c>
      <c r="M62" s="220"/>
      <c r="N62" s="220"/>
      <c r="O62" s="220"/>
      <c r="P62" s="220"/>
      <c r="Q62" s="220"/>
      <c r="R62" s="220"/>
      <c r="S62" s="220"/>
      <c r="T62" s="220"/>
      <c r="U62" s="220"/>
      <c r="V62" s="220"/>
      <c r="W62" s="220"/>
    </row>
    <row r="63" ht="15.75" customHeight="1">
      <c r="A63" s="229" t="s">
        <v>1186</v>
      </c>
      <c r="B63" s="230"/>
      <c r="C63" s="231"/>
      <c r="D63" s="232"/>
      <c r="E63" s="231"/>
      <c r="F63" s="231"/>
      <c r="G63" s="233"/>
      <c r="H63" s="233"/>
      <c r="I63" s="258"/>
      <c r="J63" s="236"/>
      <c r="K63" s="237">
        <f t="shared" ref="K63:L63" si="7">SUBTOTAL(9,K64:K76)</f>
        <v>266.77486</v>
      </c>
      <c r="L63" s="237">
        <f t="shared" si="7"/>
        <v>83233.75632</v>
      </c>
      <c r="M63" s="220"/>
      <c r="N63" s="220"/>
      <c r="O63" s="220"/>
      <c r="P63" s="220"/>
      <c r="Q63" s="220"/>
      <c r="R63" s="220"/>
      <c r="S63" s="220"/>
      <c r="T63" s="220"/>
      <c r="U63" s="220"/>
      <c r="V63" s="220"/>
      <c r="W63" s="220"/>
    </row>
    <row r="64" ht="15.75" customHeight="1" outlineLevel="1">
      <c r="A64" s="213"/>
      <c r="B64" s="212" t="s">
        <v>5</v>
      </c>
      <c r="C64" s="213" t="s">
        <v>1058</v>
      </c>
      <c r="D64" s="214" t="str">
        <f>IFERROR(VLOOKUP($C64,'PORTIFÓLIO'!C:V,2,0),"")</f>
        <v/>
      </c>
      <c r="E64" s="211" t="str">
        <f>IFERROR(VLOOKUP($C64,'PORTIFÓLIO'!C:V,3,0),"")</f>
        <v/>
      </c>
      <c r="F64" s="211" t="str">
        <f>IFERROR(VLOOKUP($C64,'PORTIFÓLIO'!C:V,4,0),"")</f>
        <v/>
      </c>
      <c r="G64" s="225" t="str">
        <f>IFERROR(VLOOKUP($C64,'PORTIFÓLIO'!C:V,5,0),"")</f>
        <v>📄 Ver bula</v>
      </c>
      <c r="H64" s="254" t="str">
        <f t="array" ref="H64">IFERROR(INDEX('PORTIFÓLIO'!$H$4:$H$433,MATCH($C64,'PORTIFÓLIO'!$C$4:$C$433,0)),"")</f>
        <v/>
      </c>
      <c r="I64" s="255">
        <v>0.04</v>
      </c>
      <c r="J64" s="218">
        <f t="shared" ref="J64:J80" si="8">I64*$B$2</f>
        <v>12.48</v>
      </c>
      <c r="K64" s="219">
        <f t="array" ref="K64">IFERROR(I64*INDEX('PORTIFÓLIO'!$S$4:$S$433,MATCH($C64,'PORTIFÓLIO'!$C$4:$C$433,0)),"")</f>
        <v>0</v>
      </c>
      <c r="L64" s="219">
        <f t="array" ref="L64">IFERROR(J64*INDEX('PORTIFÓLIO'!$S$4:$S$433,MATCH($C64,'PORTIFÓLIO'!$C$4:$C$433,0)),"")</f>
        <v>0</v>
      </c>
      <c r="M64" s="220"/>
      <c r="N64" s="220"/>
      <c r="O64" s="220"/>
      <c r="P64" s="220"/>
      <c r="Q64" s="220"/>
      <c r="R64" s="220"/>
      <c r="S64" s="220"/>
      <c r="T64" s="220"/>
      <c r="U64" s="220"/>
      <c r="V64" s="220"/>
      <c r="W64" s="220"/>
    </row>
    <row r="65" ht="15.75" customHeight="1" outlineLevel="1">
      <c r="A65" s="211"/>
      <c r="B65" s="212" t="s">
        <v>3</v>
      </c>
      <c r="C65" s="213" t="s">
        <v>1011</v>
      </c>
      <c r="D65" s="214" t="str">
        <f>IFERROR(VLOOKUP($C65,'PORTIFÓLIO'!C:V,2,0),"")</f>
        <v>METALAXIL-M + TIABENDAZOL + FLUDIOXONIL +
 TIAMETOXAM</v>
      </c>
      <c r="E65" s="211" t="str">
        <f>IFERROR(VLOOKUP($C65,'PORTIFÓLIO'!C:V,3,0),"")</f>
        <v>20 + 150 + 25 + 350</v>
      </c>
      <c r="F65" s="211" t="str">
        <f>IFERROR(VLOOKUP($C65,'PORTIFÓLIO'!C:V,4,0),"")</f>
        <v/>
      </c>
      <c r="G65" s="225" t="str">
        <f>IFERROR(VLOOKUP($C65,'PORTIFÓLIO'!C:V,5,0),"")</f>
        <v>📄 Ver bula</v>
      </c>
      <c r="H65" s="254">
        <f t="array" ref="H65">IFERROR(INDEX('PORTIFÓLIO'!$H$4:$H$433,MATCH($C65,'PORTIFÓLIO'!$C$4:$C$433,0)),"")</f>
        <v>0.05</v>
      </c>
      <c r="I65" s="255">
        <v>0.05</v>
      </c>
      <c r="J65" s="218">
        <f t="shared" si="8"/>
        <v>15.6</v>
      </c>
      <c r="K65" s="219">
        <f t="array" ref="K65">IFERROR(I65*INDEX('PORTIFÓLIO'!$S$4:$S$433,MATCH($C65,'PORTIFÓLIO'!$C$4:$C$433,0)),"")</f>
        <v>25.27</v>
      </c>
      <c r="L65" s="219">
        <f t="array" ref="L65">IFERROR(J65*INDEX('PORTIFÓLIO'!$S$4:$S$433,MATCH($C65,'PORTIFÓLIO'!$C$4:$C$433,0)),"")</f>
        <v>7884.24</v>
      </c>
      <c r="M65" s="220"/>
      <c r="N65" s="220"/>
      <c r="O65" s="220"/>
      <c r="P65" s="220"/>
      <c r="Q65" s="220"/>
      <c r="R65" s="220"/>
      <c r="S65" s="220"/>
      <c r="T65" s="220"/>
      <c r="U65" s="220"/>
      <c r="V65" s="220"/>
      <c r="W65" s="220"/>
    </row>
    <row r="66" ht="15.75" customHeight="1" outlineLevel="1">
      <c r="A66" s="211"/>
      <c r="B66" s="212" t="s">
        <v>3</v>
      </c>
      <c r="C66" s="213" t="s">
        <v>1007</v>
      </c>
      <c r="D66" s="214" t="str">
        <f>IFERROR(VLOOKUP($C66,'PORTIFÓLIO'!C:V,2,0),"")</f>
        <v>DIFENOCONAZOL</v>
      </c>
      <c r="E66" s="211">
        <f>IFERROR(VLOOKUP($C66,'PORTIFÓLIO'!C:V,3,0),"")</f>
        <v>150</v>
      </c>
      <c r="F66" s="211" t="str">
        <f>IFERROR(VLOOKUP($C66,'PORTIFÓLIO'!C:V,4,0),"")</f>
        <v/>
      </c>
      <c r="G66" s="225" t="str">
        <f>IFERROR(VLOOKUP($C66,'PORTIFÓLIO'!C:V,5,0),"")</f>
        <v>📄 Ver bula</v>
      </c>
      <c r="H66" s="254">
        <f t="array" ref="H66">IFERROR(INDEX('PORTIFÓLIO'!$H$4:$H$433,MATCH($C66,'PORTIFÓLIO'!$C$4:$C$433,0)),"")</f>
        <v>0.015</v>
      </c>
      <c r="I66" s="255">
        <v>0.02</v>
      </c>
      <c r="J66" s="218">
        <f t="shared" si="8"/>
        <v>6.24</v>
      </c>
      <c r="K66" s="219">
        <f t="array" ref="K66">IFERROR(I66*INDEX('PORTIFÓLIO'!$S$4:$S$433,MATCH($C66,'PORTIFÓLIO'!$C$4:$C$433,0)),"")</f>
        <v>1.78486</v>
      </c>
      <c r="L66" s="219">
        <f t="array" ref="L66">IFERROR(J66*INDEX('PORTIFÓLIO'!$S$4:$S$433,MATCH($C66,'PORTIFÓLIO'!$C$4:$C$433,0)),"")</f>
        <v>556.87632</v>
      </c>
      <c r="M66" s="220"/>
      <c r="N66" s="220"/>
      <c r="O66" s="220"/>
      <c r="P66" s="220"/>
      <c r="Q66" s="220"/>
      <c r="R66" s="220"/>
      <c r="S66" s="220"/>
      <c r="T66" s="220"/>
      <c r="U66" s="220"/>
      <c r="V66" s="220"/>
      <c r="W66" s="220"/>
    </row>
    <row r="67" ht="15.75" customHeight="1" outlineLevel="1">
      <c r="A67" s="211"/>
      <c r="B67" s="212" t="s">
        <v>4</v>
      </c>
      <c r="C67" s="213" t="s">
        <v>1094</v>
      </c>
      <c r="D67" s="214" t="str">
        <f>IFERROR(VLOOKUP($C67,'PORTIFÓLIO'!C:V,2,0),"")</f>
        <v>Bradyrhizobium sp.</v>
      </c>
      <c r="E67" s="211" t="str">
        <f>IFERROR(VLOOKUP($C67,'PORTIFÓLIO'!C:V,3,0),"")</f>
        <v/>
      </c>
      <c r="F67" s="211" t="str">
        <f>IFERROR(VLOOKUP($C67,'PORTIFÓLIO'!C:V,4,0),"")</f>
        <v>L</v>
      </c>
      <c r="G67" s="225" t="str">
        <f>IFERROR(VLOOKUP($C67,'PORTIFÓLIO'!C:V,5,0),"")</f>
        <v>📄 Ver bula</v>
      </c>
      <c r="H67" s="254">
        <f t="array" ref="H67">IFERROR(INDEX('PORTIFÓLIO'!$H$4:$H$433,MATCH($C67,'PORTIFÓLIO'!$C$4:$C$433,0)),"")</f>
        <v>2</v>
      </c>
      <c r="I67" s="255">
        <v>4.0</v>
      </c>
      <c r="J67" s="218">
        <f t="shared" si="8"/>
        <v>1248</v>
      </c>
      <c r="K67" s="219">
        <f t="array" ref="K67">IFERROR(I67*INDEX('PORTIFÓLIO'!$S$4:$S$433,MATCH($C67,'PORTIFÓLIO'!$C$4:$C$433,0)),"")</f>
        <v>104</v>
      </c>
      <c r="L67" s="219">
        <f t="array" ref="L67">IFERROR(J67*INDEX('PORTIFÓLIO'!$S$4:$S$433,MATCH($C67,'PORTIFÓLIO'!$C$4:$C$433,0)),"")</f>
        <v>32448</v>
      </c>
      <c r="M67" s="220"/>
      <c r="N67" s="220"/>
      <c r="O67" s="220"/>
      <c r="P67" s="220"/>
      <c r="Q67" s="220"/>
      <c r="R67" s="220"/>
      <c r="S67" s="220"/>
      <c r="T67" s="220"/>
      <c r="U67" s="220"/>
      <c r="V67" s="220"/>
      <c r="W67" s="220"/>
    </row>
    <row r="68" ht="15.75" customHeight="1" outlineLevel="1">
      <c r="A68" s="211"/>
      <c r="B68" s="212" t="s">
        <v>4</v>
      </c>
      <c r="C68" s="213" t="s">
        <v>1092</v>
      </c>
      <c r="D68" s="214" t="str">
        <f>IFERROR(VLOOKUP($C68,'PORTIFÓLIO'!C:V,2,0),"")</f>
        <v>Azospirillum brasiliense</v>
      </c>
      <c r="E68" s="211" t="str">
        <f>IFERROR(VLOOKUP($C68,'PORTIFÓLIO'!C:V,3,0),"")</f>
        <v/>
      </c>
      <c r="F68" s="211" t="str">
        <f>IFERROR(VLOOKUP($C68,'PORTIFÓLIO'!C:V,4,0),"")</f>
        <v>L</v>
      </c>
      <c r="G68" s="225" t="str">
        <f>IFERROR(VLOOKUP($C68,'PORTIFÓLIO'!C:V,5,0),"")</f>
        <v>📄 Ver bula</v>
      </c>
      <c r="H68" s="254">
        <f t="array" ref="H68">IFERROR(INDEX('PORTIFÓLIO'!$H$4:$H$433,MATCH($C68,'PORTIFÓLIO'!$C$4:$C$433,0)),"")</f>
        <v>2</v>
      </c>
      <c r="I68" s="255">
        <v>1.0</v>
      </c>
      <c r="J68" s="218">
        <f t="shared" si="8"/>
        <v>312</v>
      </c>
      <c r="K68" s="219">
        <f t="array" ref="K68">IFERROR(I68*INDEX('PORTIFÓLIO'!$S$4:$S$433,MATCH($C68,'PORTIFÓLIO'!$C$4:$C$433,0)),"")</f>
        <v>36.4</v>
      </c>
      <c r="L68" s="219">
        <f t="array" ref="L68">IFERROR(J68*INDEX('PORTIFÓLIO'!$S$4:$S$433,MATCH($C68,'PORTIFÓLIO'!$C$4:$C$433,0)),"")</f>
        <v>11356.8</v>
      </c>
      <c r="M68" s="220"/>
      <c r="N68" s="220"/>
      <c r="O68" s="220"/>
      <c r="P68" s="220"/>
      <c r="Q68" s="220"/>
      <c r="R68" s="220"/>
      <c r="S68" s="220"/>
      <c r="T68" s="220"/>
      <c r="U68" s="220"/>
      <c r="V68" s="220"/>
      <c r="W68" s="220"/>
    </row>
    <row r="69" ht="15.75" customHeight="1" outlineLevel="1">
      <c r="A69" s="211"/>
      <c r="B69" s="212" t="s">
        <v>4</v>
      </c>
      <c r="C69" s="213" t="s">
        <v>1107</v>
      </c>
      <c r="D69" s="214" t="str">
        <f>IFERROR(VLOOKUP($C69,'PORTIFÓLIO'!C:V,2,0),"")</f>
        <v>Priestia aryabhattai</v>
      </c>
      <c r="E69" s="211" t="str">
        <f>IFERROR(VLOOKUP($C69,'PORTIFÓLIO'!C:V,3,0),"")</f>
        <v/>
      </c>
      <c r="F69" s="211" t="str">
        <f>IFERROR(VLOOKUP($C69,'PORTIFÓLIO'!C:V,4,0),"")</f>
        <v/>
      </c>
      <c r="G69" s="225" t="str">
        <f>IFERROR(VLOOKUP($C69,'PORTIFÓLIO'!C:V,5,0),"")</f>
        <v>📄 Ver bula</v>
      </c>
      <c r="H69" s="254">
        <f t="array" ref="H69">IFERROR(INDEX('PORTIFÓLIO'!$H$4:$H$433,MATCH($C69,'PORTIFÓLIO'!$C$4:$C$433,0)),"")</f>
        <v>2</v>
      </c>
      <c r="I69" s="255">
        <v>1.0</v>
      </c>
      <c r="J69" s="218">
        <f t="shared" si="8"/>
        <v>312</v>
      </c>
      <c r="K69" s="219">
        <f t="array" ref="K69">IFERROR(I69*INDEX('PORTIFÓLIO'!$S$4:$S$433,MATCH($C69,'PORTIFÓLIO'!$C$4:$C$433,0)),"")</f>
        <v>81.12</v>
      </c>
      <c r="L69" s="219">
        <f t="array" ref="L69">IFERROR(J69*INDEX('PORTIFÓLIO'!$S$4:$S$433,MATCH($C69,'PORTIFÓLIO'!$C$4:$C$433,0)),"")</f>
        <v>25309.44</v>
      </c>
      <c r="M69" s="220"/>
      <c r="N69" s="220"/>
      <c r="O69" s="220"/>
      <c r="P69" s="220"/>
      <c r="Q69" s="220"/>
      <c r="R69" s="220"/>
      <c r="S69" s="220"/>
      <c r="T69" s="220"/>
      <c r="U69" s="220"/>
      <c r="V69" s="220"/>
      <c r="W69" s="220"/>
    </row>
    <row r="70" ht="15.75" customHeight="1" outlineLevel="1">
      <c r="A70" s="211"/>
      <c r="B70" s="212" t="s">
        <v>4</v>
      </c>
      <c r="C70" s="213" t="s">
        <v>1187</v>
      </c>
      <c r="D70" s="214" t="str">
        <f>IFERROR(VLOOKUP($C70,'PORTIFÓLIO'!C:V,2,0),"")</f>
        <v/>
      </c>
      <c r="E70" s="211" t="str">
        <f>IFERROR(VLOOKUP($C70,'PORTIFÓLIO'!C:V,3,0),"")</f>
        <v/>
      </c>
      <c r="F70" s="211" t="str">
        <f>IFERROR(VLOOKUP($C70,'PORTIFÓLIO'!C:V,4,0),"")</f>
        <v/>
      </c>
      <c r="G70" s="215" t="str">
        <f>IFERROR(VLOOKUP($C70,'PORTIFÓLIO'!C:V,5,0),"")</f>
        <v/>
      </c>
      <c r="H70" s="254" t="str">
        <f t="array" ref="H70">IFERROR(INDEX('PORTIFÓLIO'!$H$4:$H$433,MATCH($C70,'PORTIFÓLIO'!$C$4:$C$433,0)),"")</f>
        <v/>
      </c>
      <c r="I70" s="255">
        <v>1.0</v>
      </c>
      <c r="J70" s="218">
        <f t="shared" si="8"/>
        <v>312</v>
      </c>
      <c r="K70" s="219" t="str">
        <f t="array" ref="K70">IFERROR(I70*INDEX('PORTIFÓLIO'!$S$4:$S$433,MATCH($C70,'PORTIFÓLIO'!$C$4:$C$433,0)),"")</f>
        <v/>
      </c>
      <c r="L70" s="219" t="str">
        <f t="array" ref="L70">IFERROR(J70*INDEX('PORTIFÓLIO'!$S$4:$S$433,MATCH($C70,'PORTIFÓLIO'!$C$4:$C$433,0)),"")</f>
        <v/>
      </c>
      <c r="M70" s="220"/>
      <c r="N70" s="220"/>
      <c r="O70" s="220"/>
      <c r="P70" s="220"/>
      <c r="Q70" s="220"/>
      <c r="R70" s="220"/>
      <c r="S70" s="220"/>
      <c r="T70" s="220"/>
      <c r="U70" s="220"/>
      <c r="V70" s="220"/>
      <c r="W70" s="220"/>
    </row>
    <row r="71" ht="15.75" customHeight="1" outlineLevel="1">
      <c r="A71" s="211"/>
      <c r="B71" s="212" t="s">
        <v>9</v>
      </c>
      <c r="C71" s="213" t="s">
        <v>1115</v>
      </c>
      <c r="D71" s="214" t="str">
        <f>IFERROR(VLOOKUP($C71,'PORTIFÓLIO'!C:V,2,0),"")</f>
        <v>Nutrifarm</v>
      </c>
      <c r="E71" s="211" t="str">
        <f>IFERROR(VLOOKUP($C71,'PORTIFÓLIO'!C:V,3,0),"")</f>
        <v/>
      </c>
      <c r="F71" s="211" t="str">
        <f>IFERROR(VLOOKUP($C71,'PORTIFÓLIO'!C:V,4,0),"")</f>
        <v>L</v>
      </c>
      <c r="G71" s="225" t="str">
        <f>IFERROR(VLOOKUP($C71,'PORTIFÓLIO'!C:V,5,0),"")</f>
        <v>📄 Ver bula</v>
      </c>
      <c r="H71" s="254">
        <f t="array" ref="H71">IFERROR(INDEX('PORTIFÓLIO'!$H$4:$H$433,MATCH($C71,'PORTIFÓLIO'!$C$4:$C$433,0)),"")</f>
        <v>0.2</v>
      </c>
      <c r="I71" s="255">
        <v>0.1</v>
      </c>
      <c r="J71" s="218">
        <f t="shared" si="8"/>
        <v>31.2</v>
      </c>
      <c r="K71" s="219">
        <f t="array" ref="K71">IFERROR(I71*INDEX('PORTIFÓLIO'!$S$4:$S$433,MATCH($C71,'PORTIFÓLIO'!$C$4:$C$433,0)),"")</f>
        <v>18.2</v>
      </c>
      <c r="L71" s="219">
        <f t="array" ref="L71">IFERROR(J71*INDEX('PORTIFÓLIO'!$S$4:$S$433,MATCH($C71,'PORTIFÓLIO'!$C$4:$C$433,0)),"")</f>
        <v>5678.4</v>
      </c>
      <c r="M71" s="220"/>
      <c r="N71" s="220"/>
      <c r="O71" s="220"/>
      <c r="P71" s="220"/>
      <c r="Q71" s="220"/>
      <c r="R71" s="220"/>
      <c r="S71" s="220"/>
      <c r="T71" s="220"/>
      <c r="U71" s="220"/>
      <c r="V71" s="220"/>
      <c r="W71" s="220"/>
    </row>
    <row r="72" ht="15.75" customHeight="1" outlineLevel="1">
      <c r="A72" s="211"/>
      <c r="B72" s="212"/>
      <c r="C72" s="213"/>
      <c r="D72" s="214" t="str">
        <f>IFERROR(VLOOKUP($C72,'PORTIFÓLIO'!C:V,2,0),"")</f>
        <v/>
      </c>
      <c r="E72" s="211" t="str">
        <f>IFERROR(VLOOKUP($C72,'PORTIFÓLIO'!C:V,3,0),"")</f>
        <v/>
      </c>
      <c r="F72" s="211" t="str">
        <f>IFERROR(VLOOKUP($C72,'PORTIFÓLIO'!C:V,4,0),"")</f>
        <v/>
      </c>
      <c r="G72" s="215" t="str">
        <f>IFERROR(VLOOKUP($C72,'PORTIFÓLIO'!C:V,5,0),"")</f>
        <v/>
      </c>
      <c r="H72" s="254" t="str">
        <f t="array" ref="H72">IFERROR(INDEX('PORTIFÓLIO'!$H$4:$H$433,MATCH($C72,'PORTIFÓLIO'!$C$4:$C$433,0)),"")</f>
        <v/>
      </c>
      <c r="I72" s="255"/>
      <c r="J72" s="218">
        <f t="shared" si="8"/>
        <v>0</v>
      </c>
      <c r="K72" s="219" t="str">
        <f t="array" ref="K72">IFERROR(I72*INDEX('PORTIFÓLIO'!$S$4:$S$433,MATCH($C72,'PORTIFÓLIO'!$C$4:$C$433,0)),"")</f>
        <v/>
      </c>
      <c r="L72" s="219" t="str">
        <f t="array" ref="L72">IFERROR(J72*INDEX('PORTIFÓLIO'!$S$4:$S$433,MATCH($C72,'PORTIFÓLIO'!$C$4:$C$433,0)),"")</f>
        <v/>
      </c>
      <c r="M72" s="220"/>
      <c r="N72" s="220"/>
      <c r="O72" s="220"/>
      <c r="P72" s="220"/>
      <c r="Q72" s="220"/>
      <c r="R72" s="220"/>
      <c r="S72" s="220"/>
      <c r="T72" s="220"/>
      <c r="U72" s="220"/>
      <c r="V72" s="220"/>
      <c r="W72" s="220"/>
    </row>
    <row r="73" ht="15.75" customHeight="1" outlineLevel="1">
      <c r="A73" s="211"/>
      <c r="B73" s="212"/>
      <c r="C73" s="213"/>
      <c r="D73" s="214" t="str">
        <f>IFERROR(VLOOKUP($C73,'PORTIFÓLIO'!C:V,2,0),"")</f>
        <v/>
      </c>
      <c r="E73" s="211" t="str">
        <f>IFERROR(VLOOKUP($C73,'PORTIFÓLIO'!C:V,3,0),"")</f>
        <v/>
      </c>
      <c r="F73" s="211" t="str">
        <f>IFERROR(VLOOKUP($C73,'PORTIFÓLIO'!C:V,4,0),"")</f>
        <v/>
      </c>
      <c r="G73" s="215" t="str">
        <f>IFERROR(VLOOKUP($C73,'PORTIFÓLIO'!C:V,5,0),"")</f>
        <v/>
      </c>
      <c r="H73" s="254" t="str">
        <f t="array" ref="H73">IFERROR(INDEX('PORTIFÓLIO'!$H$4:$H$433,MATCH($C73,'PORTIFÓLIO'!$C$4:$C$433,0)),"")</f>
        <v/>
      </c>
      <c r="I73" s="256"/>
      <c r="J73" s="218">
        <f t="shared" si="8"/>
        <v>0</v>
      </c>
      <c r="K73" s="219" t="str">
        <f t="array" ref="K73">IFERROR(I73*INDEX('PORTIFÓLIO'!$S$4:$S$433,MATCH($C73,'PORTIFÓLIO'!$C$4:$C$433,0)),"")</f>
        <v/>
      </c>
      <c r="L73" s="219" t="str">
        <f t="array" ref="L73">IFERROR(J73*INDEX('PORTIFÓLIO'!$S$4:$S$433,MATCH($C73,'PORTIFÓLIO'!$C$4:$C$433,0)),"")</f>
        <v/>
      </c>
      <c r="M73" s="220"/>
      <c r="N73" s="220"/>
      <c r="O73" s="220"/>
      <c r="P73" s="220"/>
      <c r="Q73" s="220"/>
      <c r="R73" s="220"/>
      <c r="S73" s="220"/>
      <c r="T73" s="220"/>
      <c r="U73" s="220"/>
      <c r="V73" s="220"/>
      <c r="W73" s="220"/>
    </row>
    <row r="74" ht="15.75" customHeight="1" outlineLevel="1">
      <c r="A74" s="211"/>
      <c r="B74" s="212"/>
      <c r="C74" s="213"/>
      <c r="D74" s="214" t="str">
        <f>IFERROR(VLOOKUP($C74,'PORTIFÓLIO'!C:V,2,0),"")</f>
        <v/>
      </c>
      <c r="E74" s="211" t="str">
        <f>IFERROR(VLOOKUP($C74,'PORTIFÓLIO'!C:V,3,0),"")</f>
        <v/>
      </c>
      <c r="F74" s="211" t="str">
        <f>IFERROR(VLOOKUP($C74,'PORTIFÓLIO'!C:V,4,0),"")</f>
        <v/>
      </c>
      <c r="G74" s="215" t="str">
        <f>IFERROR(VLOOKUP($C74,'PORTIFÓLIO'!C:V,5,0),"")</f>
        <v/>
      </c>
      <c r="H74" s="254" t="str">
        <f t="array" ref="H74">IFERROR(INDEX('PORTIFÓLIO'!$H$4:$H$433,MATCH($C74,'PORTIFÓLIO'!$C$4:$C$433,0)),"")</f>
        <v/>
      </c>
      <c r="I74" s="256"/>
      <c r="J74" s="218">
        <f t="shared" si="8"/>
        <v>0</v>
      </c>
      <c r="K74" s="219" t="str">
        <f t="array" ref="K74">IFERROR(I74*INDEX('PORTIFÓLIO'!$S$4:$S$433,MATCH($C74,'PORTIFÓLIO'!$C$4:$C$433,0)),"")</f>
        <v/>
      </c>
      <c r="L74" s="219" t="str">
        <f t="array" ref="L74">IFERROR(J74*INDEX('PORTIFÓLIO'!$S$4:$S$433,MATCH($C74,'PORTIFÓLIO'!$C$4:$C$433,0)),"")</f>
        <v/>
      </c>
      <c r="M74" s="220"/>
      <c r="N74" s="220"/>
      <c r="O74" s="220"/>
      <c r="P74" s="220"/>
      <c r="Q74" s="220"/>
      <c r="R74" s="220"/>
      <c r="S74" s="220"/>
      <c r="T74" s="220"/>
      <c r="U74" s="220"/>
      <c r="V74" s="220"/>
      <c r="W74" s="220"/>
    </row>
    <row r="75" ht="15.75" customHeight="1" outlineLevel="1">
      <c r="A75" s="211"/>
      <c r="B75" s="212"/>
      <c r="C75" s="213"/>
      <c r="D75" s="214" t="str">
        <f>IFERROR(VLOOKUP($C75,'PORTIFÓLIO'!C:V,2,0),"")</f>
        <v/>
      </c>
      <c r="E75" s="211" t="str">
        <f>IFERROR(VLOOKUP($C75,'PORTIFÓLIO'!C:V,3,0),"")</f>
        <v/>
      </c>
      <c r="F75" s="211" t="str">
        <f>IFERROR(VLOOKUP($C75,'PORTIFÓLIO'!C:V,4,0),"")</f>
        <v/>
      </c>
      <c r="G75" s="215" t="str">
        <f>IFERROR(VLOOKUP($C75,'PORTIFÓLIO'!C:V,5,0),"")</f>
        <v/>
      </c>
      <c r="H75" s="254" t="str">
        <f t="array" ref="H75">IFERROR(INDEX('PORTIFÓLIO'!$H$4:$H$433,MATCH($C75,'PORTIFÓLIO'!$C$4:$C$433,0)),"")</f>
        <v/>
      </c>
      <c r="I75" s="256"/>
      <c r="J75" s="218">
        <f t="shared" si="8"/>
        <v>0</v>
      </c>
      <c r="K75" s="219" t="str">
        <f t="array" ref="K75">IFERROR(I75*INDEX('PORTIFÓLIO'!$S$4:$S$433,MATCH($C75,'PORTIFÓLIO'!$C$4:$C$433,0)),"")</f>
        <v/>
      </c>
      <c r="L75" s="219" t="str">
        <f t="array" ref="L75">IFERROR(J75*INDEX('PORTIFÓLIO'!$S$4:$S$433,MATCH($C75,'PORTIFÓLIO'!$C$4:$C$433,0)),"")</f>
        <v/>
      </c>
      <c r="M75" s="220"/>
      <c r="N75" s="220"/>
      <c r="O75" s="220"/>
      <c r="P75" s="220"/>
      <c r="Q75" s="220"/>
      <c r="R75" s="220"/>
      <c r="S75" s="220"/>
      <c r="T75" s="220"/>
      <c r="U75" s="220"/>
      <c r="V75" s="220"/>
      <c r="W75" s="220"/>
    </row>
    <row r="76" ht="15.75" customHeight="1" outlineLevel="1">
      <c r="A76" s="211"/>
      <c r="B76" s="212"/>
      <c r="C76" s="213"/>
      <c r="D76" s="214" t="str">
        <f>IFERROR(VLOOKUP($C76,'PORTIFÓLIO'!C:V,2,0),"")</f>
        <v/>
      </c>
      <c r="E76" s="211" t="str">
        <f>IFERROR(VLOOKUP($C76,'PORTIFÓLIO'!C:V,3,0),"")</f>
        <v/>
      </c>
      <c r="F76" s="211" t="str">
        <f>IFERROR(VLOOKUP($C76,'PORTIFÓLIO'!C:V,4,0),"")</f>
        <v/>
      </c>
      <c r="G76" s="215" t="str">
        <f>IFERROR(VLOOKUP($C76,'PORTIFÓLIO'!C:V,5,0),"")</f>
        <v/>
      </c>
      <c r="H76" s="254" t="str">
        <f t="array" ref="H76">IFERROR(INDEX('PORTIFÓLIO'!$H$4:$H$433,MATCH($C76,'PORTIFÓLIO'!$C$4:$C$433,0)),"")</f>
        <v/>
      </c>
      <c r="I76" s="256"/>
      <c r="J76" s="218">
        <f t="shared" si="8"/>
        <v>0</v>
      </c>
      <c r="K76" s="219" t="str">
        <f t="array" ref="K76">IFERROR(I76*INDEX('PORTIFÓLIO'!$S$4:$S$433,MATCH($C76,'PORTIFÓLIO'!$C$4:$C$433,0)),"")</f>
        <v/>
      </c>
      <c r="L76" s="219" t="str">
        <f t="array" ref="L76">IFERROR(J76*INDEX('PORTIFÓLIO'!$S$4:$S$433,MATCH($C76,'PORTIFÓLIO'!$C$4:$C$433,0)),"")</f>
        <v/>
      </c>
      <c r="M76" s="220"/>
      <c r="N76" s="220"/>
      <c r="O76" s="220"/>
      <c r="P76" s="220"/>
      <c r="Q76" s="220"/>
      <c r="R76" s="220"/>
      <c r="S76" s="220"/>
      <c r="T76" s="220"/>
      <c r="U76" s="220"/>
      <c r="V76" s="220"/>
      <c r="W76" s="220"/>
    </row>
    <row r="77" ht="15.75" customHeight="1" outlineLevel="1">
      <c r="A77" s="211"/>
      <c r="B77" s="212"/>
      <c r="C77" s="213"/>
      <c r="D77" s="214" t="str">
        <f>IFERROR(VLOOKUP($C77,'PORTIFÓLIO'!C:V,2,0),"")</f>
        <v/>
      </c>
      <c r="E77" s="211" t="str">
        <f>IFERROR(VLOOKUP($C77,'PORTIFÓLIO'!C:V,3,0),"")</f>
        <v/>
      </c>
      <c r="F77" s="211" t="str">
        <f>IFERROR(VLOOKUP($C77,'PORTIFÓLIO'!C:V,4,0),"")</f>
        <v/>
      </c>
      <c r="G77" s="215" t="str">
        <f>IFERROR(VLOOKUP($C77,'PORTIFÓLIO'!C:V,5,0),"")</f>
        <v/>
      </c>
      <c r="H77" s="254" t="str">
        <f t="array" ref="H77">IFERROR(INDEX('PORTIFÓLIO'!$H$4:$H$433,MATCH($C77,'PORTIFÓLIO'!$C$4:$C$433,0)),"")</f>
        <v/>
      </c>
      <c r="I77" s="256"/>
      <c r="J77" s="218">
        <f t="shared" si="8"/>
        <v>0</v>
      </c>
      <c r="K77" s="219" t="str">
        <f t="array" ref="K77">IFERROR(I77*INDEX('PORTIFÓLIO'!$S$4:$S$433,MATCH($C77,'PORTIFÓLIO'!$C$4:$C$433,0)),"")</f>
        <v/>
      </c>
      <c r="L77" s="219" t="str">
        <f t="array" ref="L77">IFERROR(J77*INDEX('PORTIFÓLIO'!$S$4:$S$433,MATCH($C77,'PORTIFÓLIO'!$C$4:$C$433,0)),"")</f>
        <v/>
      </c>
      <c r="M77" s="220"/>
      <c r="N77" s="220"/>
      <c r="O77" s="220"/>
      <c r="P77" s="220"/>
      <c r="Q77" s="220"/>
      <c r="R77" s="220"/>
      <c r="S77" s="220"/>
      <c r="T77" s="220"/>
      <c r="U77" s="220"/>
      <c r="V77" s="220"/>
      <c r="W77" s="220"/>
    </row>
    <row r="78" ht="15.75" customHeight="1" outlineLevel="1">
      <c r="A78" s="211"/>
      <c r="B78" s="212"/>
      <c r="C78" s="213"/>
      <c r="D78" s="214" t="str">
        <f>IFERROR(VLOOKUP($C78,'PORTIFÓLIO'!C:V,2,0),"")</f>
        <v/>
      </c>
      <c r="E78" s="211" t="str">
        <f>IFERROR(VLOOKUP($C78,'PORTIFÓLIO'!C:V,3,0),"")</f>
        <v/>
      </c>
      <c r="F78" s="211" t="str">
        <f>IFERROR(VLOOKUP($C78,'PORTIFÓLIO'!C:V,4,0),"")</f>
        <v/>
      </c>
      <c r="G78" s="215" t="str">
        <f>IFERROR(VLOOKUP($C78,'PORTIFÓLIO'!C:V,5,0),"")</f>
        <v/>
      </c>
      <c r="H78" s="254" t="str">
        <f t="array" ref="H78">IFERROR(INDEX('PORTIFÓLIO'!$H$4:$H$433,MATCH($C78,'PORTIFÓLIO'!$C$4:$C$433,0)),"")</f>
        <v/>
      </c>
      <c r="I78" s="256"/>
      <c r="J78" s="218">
        <f t="shared" si="8"/>
        <v>0</v>
      </c>
      <c r="K78" s="219" t="str">
        <f t="array" ref="K78">IFERROR(I78*INDEX('PORTIFÓLIO'!$S$4:$S$433,MATCH($C78,'PORTIFÓLIO'!$C$4:$C$433,0)),"")</f>
        <v/>
      </c>
      <c r="L78" s="219" t="str">
        <f t="array" ref="L78">IFERROR(J78*INDEX('PORTIFÓLIO'!$S$4:$S$433,MATCH($C78,'PORTIFÓLIO'!$C$4:$C$433,0)),"")</f>
        <v/>
      </c>
      <c r="M78" s="220"/>
      <c r="N78" s="220"/>
      <c r="O78" s="220"/>
      <c r="P78" s="220"/>
      <c r="Q78" s="220"/>
      <c r="R78" s="220"/>
      <c r="S78" s="220"/>
      <c r="T78" s="220"/>
      <c r="U78" s="220"/>
      <c r="V78" s="220"/>
      <c r="W78" s="220"/>
    </row>
    <row r="79" ht="15.75" customHeight="1" outlineLevel="1">
      <c r="A79" s="211"/>
      <c r="B79" s="212"/>
      <c r="C79" s="213"/>
      <c r="D79" s="214" t="str">
        <f>IFERROR(VLOOKUP($C79,'PORTIFÓLIO'!C:V,2,0),"")</f>
        <v/>
      </c>
      <c r="E79" s="211" t="str">
        <f>IFERROR(VLOOKUP($C79,'PORTIFÓLIO'!C:V,3,0),"")</f>
        <v/>
      </c>
      <c r="F79" s="211" t="str">
        <f>IFERROR(VLOOKUP($C79,'PORTIFÓLIO'!C:V,4,0),"")</f>
        <v/>
      </c>
      <c r="G79" s="215" t="str">
        <f>IFERROR(VLOOKUP($C79,'PORTIFÓLIO'!C:V,5,0),"")</f>
        <v/>
      </c>
      <c r="H79" s="254" t="str">
        <f t="array" ref="H79">IFERROR(INDEX('PORTIFÓLIO'!$H$4:$H$433,MATCH($C79,'PORTIFÓLIO'!$C$4:$C$433,0)),"")</f>
        <v/>
      </c>
      <c r="I79" s="256"/>
      <c r="J79" s="218">
        <f t="shared" si="8"/>
        <v>0</v>
      </c>
      <c r="K79" s="219" t="str">
        <f t="array" ref="K79">IFERROR(I79*INDEX('PORTIFÓLIO'!$S$4:$S$433,MATCH($C79,'PORTIFÓLIO'!$C$4:$C$433,0)),"")</f>
        <v/>
      </c>
      <c r="L79" s="219" t="str">
        <f t="array" ref="L79">IFERROR(J79*INDEX('PORTIFÓLIO'!$S$4:$S$433,MATCH($C79,'PORTIFÓLIO'!$C$4:$C$433,0)),"")</f>
        <v/>
      </c>
      <c r="M79" s="220"/>
      <c r="N79" s="220"/>
      <c r="O79" s="220"/>
      <c r="P79" s="220"/>
      <c r="Q79" s="220"/>
      <c r="R79" s="220"/>
      <c r="S79" s="220"/>
      <c r="T79" s="220"/>
      <c r="U79" s="220"/>
      <c r="V79" s="220"/>
      <c r="W79" s="220"/>
    </row>
    <row r="80" ht="15.75" customHeight="1" outlineLevel="1">
      <c r="A80" s="211"/>
      <c r="B80" s="212"/>
      <c r="C80" s="213"/>
      <c r="D80" s="214" t="str">
        <f>IFERROR(VLOOKUP($C80,'PORTIFÓLIO'!C:V,2,0),"")</f>
        <v/>
      </c>
      <c r="E80" s="211" t="str">
        <f>IFERROR(VLOOKUP($C80,'PORTIFÓLIO'!C:V,3,0),"")</f>
        <v/>
      </c>
      <c r="F80" s="211" t="str">
        <f>IFERROR(VLOOKUP($C80,'PORTIFÓLIO'!C:V,4,0),"")</f>
        <v/>
      </c>
      <c r="G80" s="215" t="str">
        <f>IFERROR(VLOOKUP($C80,'PORTIFÓLIO'!C:V,5,0),"")</f>
        <v/>
      </c>
      <c r="H80" s="254" t="str">
        <f t="array" ref="H80">IFERROR(INDEX('PORTIFÓLIO'!$H$4:$H$433,MATCH($C80,'PORTIFÓLIO'!$C$4:$C$433,0)),"")</f>
        <v/>
      </c>
      <c r="I80" s="256"/>
      <c r="J80" s="218">
        <f t="shared" si="8"/>
        <v>0</v>
      </c>
      <c r="K80" s="219" t="str">
        <f t="array" ref="K80">IFERROR(I80*INDEX('PORTIFÓLIO'!$S$4:$S$433,MATCH($C80,'PORTIFÓLIO'!$C$4:$C$433,0)),"")</f>
        <v/>
      </c>
      <c r="L80" s="219" t="str">
        <f t="array" ref="L80">IFERROR(J80*INDEX('PORTIFÓLIO'!$S$4:$S$433,MATCH($C80,'PORTIFÓLIO'!$C$4:$C$433,0)),"")</f>
        <v/>
      </c>
      <c r="M80" s="220"/>
      <c r="N80" s="220"/>
      <c r="O80" s="220"/>
      <c r="P80" s="220"/>
      <c r="Q80" s="220"/>
      <c r="R80" s="220"/>
      <c r="S80" s="220"/>
      <c r="T80" s="220"/>
      <c r="U80" s="220"/>
      <c r="V80" s="220"/>
      <c r="W80" s="220"/>
    </row>
    <row r="81" ht="15.75" customHeight="1">
      <c r="A81" s="229" t="s">
        <v>1188</v>
      </c>
      <c r="B81" s="230"/>
      <c r="C81" s="231"/>
      <c r="D81" s="232" t="s">
        <v>216</v>
      </c>
      <c r="E81" s="231"/>
      <c r="F81" s="231"/>
      <c r="G81" s="233"/>
      <c r="H81" s="233"/>
      <c r="I81" s="258"/>
      <c r="J81" s="236"/>
      <c r="K81" s="237">
        <f t="shared" ref="K81:L81" si="9">SUBTOTAL(9,K82:K95)</f>
        <v>83.05714</v>
      </c>
      <c r="L81" s="237">
        <f t="shared" si="9"/>
        <v>25913.82768</v>
      </c>
      <c r="M81" s="220"/>
      <c r="N81" s="220"/>
      <c r="O81" s="220"/>
      <c r="P81" s="220"/>
      <c r="Q81" s="220"/>
      <c r="R81" s="220"/>
      <c r="S81" s="220"/>
      <c r="T81" s="220"/>
      <c r="U81" s="220"/>
      <c r="V81" s="220"/>
      <c r="W81" s="220"/>
    </row>
    <row r="82" ht="15.75" customHeight="1" outlineLevel="1">
      <c r="A82" s="213"/>
      <c r="B82" s="212" t="s">
        <v>1</v>
      </c>
      <c r="C82" s="213" t="s">
        <v>637</v>
      </c>
      <c r="D82" s="214" t="str">
        <f>IFERROR(VLOOKUP($C82,'PORTIFÓLIO'!C:V,2,0),"")</f>
        <v>GLIFOSATO-SAL DE AMÔNIO</v>
      </c>
      <c r="E82" s="211">
        <f>IFERROR(VLOOKUP($C82,'PORTIFÓLIO'!C:V,3,0),"")</f>
        <v>720</v>
      </c>
      <c r="F82" s="211" t="str">
        <f>IFERROR(VLOOKUP($C82,'PORTIFÓLIO'!C:V,4,0),"")</f>
        <v>L</v>
      </c>
      <c r="G82" s="225" t="str">
        <f>IFERROR(VLOOKUP($C82,'PORTIFÓLIO'!C:V,5,0),"")</f>
        <v>📄 Ver bula</v>
      </c>
      <c r="H82" s="254">
        <f t="array" ref="H82">IFERROR(INDEX('PORTIFÓLIO'!$H$4:$H$433,MATCH($C82,'PORTIFÓLIO'!$C$4:$C$433,0)),"")</f>
        <v>2</v>
      </c>
      <c r="I82" s="255">
        <v>2.0</v>
      </c>
      <c r="J82" s="218">
        <f t="shared" ref="J82:J96" si="10">I82*$B$2</f>
        <v>624</v>
      </c>
      <c r="K82" s="219">
        <f t="array" ref="K82">IFERROR(I82*INDEX('PORTIFÓLIO'!$S$4:$S$433,MATCH($C82,'PORTIFÓLIO'!$C$4:$C$433,0)),"")</f>
        <v>49.16</v>
      </c>
      <c r="L82" s="219">
        <f t="array" ref="L82">IFERROR(J82*INDEX('PORTIFÓLIO'!$S$4:$S$433,MATCH($C82,'PORTIFÓLIO'!$C$4:$C$433,0)),"")</f>
        <v>15337.92</v>
      </c>
      <c r="M82" s="220"/>
      <c r="N82" s="220"/>
      <c r="O82" s="220"/>
      <c r="P82" s="220"/>
      <c r="Q82" s="220"/>
      <c r="R82" s="220"/>
      <c r="S82" s="220"/>
      <c r="T82" s="220"/>
      <c r="U82" s="220"/>
      <c r="V82" s="220"/>
      <c r="W82" s="220"/>
    </row>
    <row r="83" ht="15.75" customHeight="1" outlineLevel="1">
      <c r="A83" s="211"/>
      <c r="B83" s="212" t="s">
        <v>1</v>
      </c>
      <c r="C83" s="213" t="s">
        <v>682</v>
      </c>
      <c r="D83" s="214" t="str">
        <f>IFERROR(VLOOKUP($C83,'PORTIFÓLIO'!C:V,2,0),"")</f>
        <v>CLETODIM</v>
      </c>
      <c r="E83" s="211">
        <f>IFERROR(VLOOKUP($C83,'PORTIFÓLIO'!C:V,3,0),"")</f>
        <v>240</v>
      </c>
      <c r="F83" s="211" t="str">
        <f>IFERROR(VLOOKUP($C83,'PORTIFÓLIO'!C:V,4,0),"")</f>
        <v>L</v>
      </c>
      <c r="G83" s="225" t="str">
        <f>IFERROR(VLOOKUP($C83,'PORTIFÓLIO'!C:V,5,0),"")</f>
        <v>📄 Ver bula</v>
      </c>
      <c r="H83" s="254">
        <f t="array" ref="H83">IFERROR(INDEX('PORTIFÓLIO'!$H$4:$H$433,MATCH($C83,'PORTIFÓLIO'!$C$4:$C$433,0)),"")</f>
        <v>0.4</v>
      </c>
      <c r="I83" s="255">
        <v>0.6</v>
      </c>
      <c r="J83" s="218">
        <f t="shared" si="10"/>
        <v>187.2</v>
      </c>
      <c r="K83" s="219">
        <f t="array" ref="K83">IFERROR(I83*INDEX('PORTIFÓLIO'!$S$4:$S$433,MATCH($C83,'PORTIFÓLIO'!$C$4:$C$433,0)),"")</f>
        <v>18.50874</v>
      </c>
      <c r="L83" s="219">
        <f t="array" ref="L83">IFERROR(J83*INDEX('PORTIFÓLIO'!$S$4:$S$433,MATCH($C83,'PORTIFÓLIO'!$C$4:$C$433,0)),"")</f>
        <v>5774.72688</v>
      </c>
      <c r="M83" s="220"/>
      <c r="N83" s="220"/>
      <c r="O83" s="220"/>
      <c r="P83" s="220"/>
      <c r="Q83" s="220"/>
      <c r="R83" s="220"/>
      <c r="S83" s="220"/>
      <c r="T83" s="220"/>
      <c r="U83" s="220"/>
      <c r="V83" s="220"/>
      <c r="W83" s="220"/>
    </row>
    <row r="84" ht="15.75" customHeight="1" outlineLevel="1">
      <c r="A84" s="211"/>
      <c r="B84" s="212" t="s">
        <v>0</v>
      </c>
      <c r="C84" s="213" t="s">
        <v>505</v>
      </c>
      <c r="D84" s="214" t="str">
        <f>IFERROR(VLOOKUP($C84,'PORTIFÓLIO'!C:V,2,0),"")</f>
        <v>TEBUCONAZOL</v>
      </c>
      <c r="E84" s="211">
        <f>IFERROR(VLOOKUP($C84,'PORTIFÓLIO'!C:V,3,0),"")</f>
        <v>430</v>
      </c>
      <c r="F84" s="211" t="str">
        <f>IFERROR(VLOOKUP($C84,'PORTIFÓLIO'!C:V,4,0),"")</f>
        <v>L</v>
      </c>
      <c r="G84" s="225" t="str">
        <f>IFERROR(VLOOKUP($C84,'PORTIFÓLIO'!C:V,5,0),"")</f>
        <v>📄 Ver bula</v>
      </c>
      <c r="H84" s="254">
        <f t="array" ref="H84">IFERROR(INDEX('PORTIFÓLIO'!$H$4:$H$433,MATCH($C84,'PORTIFÓLIO'!$C$4:$C$433,0)),"")</f>
        <v>0.4</v>
      </c>
      <c r="I84" s="255">
        <v>0.4</v>
      </c>
      <c r="J84" s="218">
        <f t="shared" si="10"/>
        <v>124.8</v>
      </c>
      <c r="K84" s="219">
        <f t="array" ref="K84">IFERROR(I84*INDEX('PORTIFÓLIO'!$S$4:$S$433,MATCH($C84,'PORTIFÓLIO'!$C$4:$C$433,0)),"")</f>
        <v>12.1824</v>
      </c>
      <c r="L84" s="219">
        <f t="array" ref="L84">IFERROR(J84*INDEX('PORTIFÓLIO'!$S$4:$S$433,MATCH($C84,'PORTIFÓLIO'!$C$4:$C$433,0)),"")</f>
        <v>3800.9088</v>
      </c>
      <c r="M84" s="220"/>
      <c r="N84" s="220"/>
      <c r="O84" s="220"/>
      <c r="P84" s="220"/>
      <c r="Q84" s="220"/>
      <c r="R84" s="220"/>
      <c r="S84" s="220"/>
      <c r="T84" s="220"/>
      <c r="U84" s="220"/>
      <c r="V84" s="220"/>
      <c r="W84" s="220"/>
    </row>
    <row r="85" ht="15.75" customHeight="1" outlineLevel="1">
      <c r="A85" s="211"/>
      <c r="B85" s="212" t="s">
        <v>6</v>
      </c>
      <c r="C85" s="213" t="s">
        <v>354</v>
      </c>
      <c r="D85" s="214" t="str">
        <f>IFERROR(VLOOKUP($C85,'PORTIFÓLIO'!C:V,2,0),"")</f>
        <v>OLEO MINERAL</v>
      </c>
      <c r="E85" s="211">
        <f>IFERROR(VLOOKUP($C85,'PORTIFÓLIO'!C:V,3,0),"")</f>
        <v>761</v>
      </c>
      <c r="F85" s="211" t="str">
        <f>IFERROR(VLOOKUP($C85,'PORTIFÓLIO'!C:V,4,0),"")</f>
        <v>L</v>
      </c>
      <c r="G85" s="225" t="str">
        <f>IFERROR(VLOOKUP($C85,'PORTIFÓLIO'!C:V,5,0),"")</f>
        <v>📄 Ver bula</v>
      </c>
      <c r="H85" s="254">
        <f t="array" ref="H85">IFERROR(INDEX('PORTIFÓLIO'!$H$4:$H$433,MATCH($C85,'PORTIFÓLIO'!$C$4:$C$433,0)),"")</f>
        <v>0.2</v>
      </c>
      <c r="I85" s="255">
        <v>0.2</v>
      </c>
      <c r="J85" s="218">
        <f t="shared" si="10"/>
        <v>62.4</v>
      </c>
      <c r="K85" s="219">
        <f t="array" ref="K85">IFERROR(I85*INDEX('PORTIFÓLIO'!$S$4:$S$433,MATCH($C85,'PORTIFÓLIO'!$C$4:$C$433,0)),"")</f>
        <v>3.206</v>
      </c>
      <c r="L85" s="219">
        <f t="array" ref="L85">IFERROR(J85*INDEX('PORTIFÓLIO'!$S$4:$S$433,MATCH($C85,'PORTIFÓLIO'!$C$4:$C$433,0)),"")</f>
        <v>1000.272</v>
      </c>
      <c r="M85" s="220"/>
      <c r="N85" s="220"/>
      <c r="O85" s="220"/>
      <c r="P85" s="220"/>
      <c r="Q85" s="220"/>
      <c r="R85" s="220"/>
      <c r="S85" s="220"/>
      <c r="T85" s="220"/>
      <c r="U85" s="220"/>
      <c r="V85" s="220"/>
      <c r="W85" s="220"/>
    </row>
    <row r="86" ht="15.75" customHeight="1" outlineLevel="1">
      <c r="A86" s="211"/>
      <c r="B86" s="212"/>
      <c r="C86" s="213"/>
      <c r="D86" s="214" t="str">
        <f>IFERROR(VLOOKUP($C86,'PORTIFÓLIO'!C:V,2,0),"")</f>
        <v/>
      </c>
      <c r="E86" s="211" t="str">
        <f>IFERROR(VLOOKUP($C86,'PORTIFÓLIO'!C:V,3,0),"")</f>
        <v/>
      </c>
      <c r="F86" s="211" t="str">
        <f>IFERROR(VLOOKUP($C86,'PORTIFÓLIO'!C:V,4,0),"")</f>
        <v/>
      </c>
      <c r="G86" s="215" t="str">
        <f>IFERROR(VLOOKUP($C86,'PORTIFÓLIO'!C:V,5,0),"")</f>
        <v/>
      </c>
      <c r="H86" s="254" t="str">
        <f t="array" ref="H86">IFERROR(INDEX('PORTIFÓLIO'!$H$4:$H$433,MATCH($C86,'PORTIFÓLIO'!$C$4:$C$433,0)),"")</f>
        <v/>
      </c>
      <c r="I86" s="256"/>
      <c r="J86" s="218">
        <f t="shared" si="10"/>
        <v>0</v>
      </c>
      <c r="K86" s="219" t="str">
        <f t="array" ref="K86">IFERROR(I86*INDEX('PORTIFÓLIO'!$S$4:$S$433,MATCH($C86,'PORTIFÓLIO'!$C$4:$C$433,0)),"")</f>
        <v/>
      </c>
      <c r="L86" s="219" t="str">
        <f t="array" ref="L86">IFERROR(J86*INDEX('PORTIFÓLIO'!$S$4:$S$433,MATCH($C86,'PORTIFÓLIO'!$C$4:$C$433,0)),"")</f>
        <v/>
      </c>
      <c r="M86" s="220"/>
      <c r="N86" s="220"/>
      <c r="O86" s="220"/>
      <c r="P86" s="220"/>
      <c r="Q86" s="220"/>
      <c r="R86" s="220"/>
      <c r="S86" s="220"/>
      <c r="T86" s="220"/>
      <c r="U86" s="220"/>
      <c r="V86" s="220"/>
      <c r="W86" s="220"/>
    </row>
    <row r="87" ht="15.75" customHeight="1" outlineLevel="1">
      <c r="A87" s="211"/>
      <c r="B87" s="212"/>
      <c r="C87" s="213"/>
      <c r="D87" s="214" t="str">
        <f>IFERROR(VLOOKUP($C87,'PORTIFÓLIO'!C:V,2,0),"")</f>
        <v/>
      </c>
      <c r="E87" s="211" t="str">
        <f>IFERROR(VLOOKUP($C87,'PORTIFÓLIO'!C:V,3,0),"")</f>
        <v/>
      </c>
      <c r="F87" s="211" t="str">
        <f>IFERROR(VLOOKUP($C87,'PORTIFÓLIO'!C:V,4,0),"")</f>
        <v/>
      </c>
      <c r="G87" s="215" t="str">
        <f>IFERROR(VLOOKUP($C87,'PORTIFÓLIO'!C:V,5,0),"")</f>
        <v/>
      </c>
      <c r="H87" s="254" t="str">
        <f t="array" ref="H87">IFERROR(INDEX('PORTIFÓLIO'!$H$4:$H$433,MATCH($C87,'PORTIFÓLIO'!$C$4:$C$433,0)),"")</f>
        <v/>
      </c>
      <c r="I87" s="256"/>
      <c r="J87" s="218">
        <f t="shared" si="10"/>
        <v>0</v>
      </c>
      <c r="K87" s="219" t="str">
        <f t="array" ref="K87">IFERROR(I87*INDEX('PORTIFÓLIO'!$S$4:$S$433,MATCH($C87,'PORTIFÓLIO'!$C$4:$C$433,0)),"")</f>
        <v/>
      </c>
      <c r="L87" s="219" t="str">
        <f t="array" ref="L87">IFERROR(J87*INDEX('PORTIFÓLIO'!$S$4:$S$433,MATCH($C87,'PORTIFÓLIO'!$C$4:$C$433,0)),"")</f>
        <v/>
      </c>
      <c r="M87" s="220"/>
      <c r="N87" s="220"/>
      <c r="O87" s="220"/>
      <c r="P87" s="220"/>
      <c r="Q87" s="220"/>
      <c r="R87" s="220"/>
      <c r="S87" s="220"/>
      <c r="T87" s="220"/>
      <c r="U87" s="220"/>
      <c r="V87" s="220"/>
      <c r="W87" s="220"/>
    </row>
    <row r="88" ht="15.75" customHeight="1" outlineLevel="1">
      <c r="A88" s="211"/>
      <c r="B88" s="212"/>
      <c r="C88" s="213"/>
      <c r="D88" s="214" t="str">
        <f>IFERROR(VLOOKUP($C88,'PORTIFÓLIO'!C:V,2,0),"")</f>
        <v/>
      </c>
      <c r="E88" s="211" t="str">
        <f>IFERROR(VLOOKUP($C88,'PORTIFÓLIO'!C:V,3,0),"")</f>
        <v/>
      </c>
      <c r="F88" s="211" t="str">
        <f>IFERROR(VLOOKUP($C88,'PORTIFÓLIO'!C:V,4,0),"")</f>
        <v/>
      </c>
      <c r="G88" s="215" t="str">
        <f>IFERROR(VLOOKUP($C88,'PORTIFÓLIO'!C:V,5,0),"")</f>
        <v/>
      </c>
      <c r="H88" s="254" t="str">
        <f t="array" ref="H88">IFERROR(INDEX('PORTIFÓLIO'!$H$4:$H$433,MATCH($C88,'PORTIFÓLIO'!$C$4:$C$433,0)),"")</f>
        <v/>
      </c>
      <c r="I88" s="256"/>
      <c r="J88" s="218">
        <f t="shared" si="10"/>
        <v>0</v>
      </c>
      <c r="K88" s="219" t="str">
        <f t="array" ref="K88">IFERROR(I88*INDEX('PORTIFÓLIO'!$S$4:$S$433,MATCH($C88,'PORTIFÓLIO'!$C$4:$C$433,0)),"")</f>
        <v/>
      </c>
      <c r="L88" s="219" t="str">
        <f t="array" ref="L88">IFERROR(J88*INDEX('PORTIFÓLIO'!$S$4:$S$433,MATCH($C88,'PORTIFÓLIO'!$C$4:$C$433,0)),"")</f>
        <v/>
      </c>
      <c r="M88" s="220"/>
      <c r="N88" s="220"/>
      <c r="O88" s="220"/>
      <c r="P88" s="220"/>
      <c r="Q88" s="220"/>
      <c r="R88" s="220"/>
      <c r="S88" s="220"/>
      <c r="T88" s="220"/>
      <c r="U88" s="220"/>
      <c r="V88" s="220"/>
      <c r="W88" s="220"/>
    </row>
    <row r="89" ht="15.75" customHeight="1" outlineLevel="1">
      <c r="A89" s="211"/>
      <c r="B89" s="212"/>
      <c r="C89" s="213"/>
      <c r="D89" s="214" t="str">
        <f>IFERROR(VLOOKUP($C89,'PORTIFÓLIO'!C:V,2,0),"")</f>
        <v/>
      </c>
      <c r="E89" s="211" t="str">
        <f>IFERROR(VLOOKUP($C89,'PORTIFÓLIO'!C:V,3,0),"")</f>
        <v/>
      </c>
      <c r="F89" s="211" t="str">
        <f>IFERROR(VLOOKUP($C89,'PORTIFÓLIO'!C:V,4,0),"")</f>
        <v/>
      </c>
      <c r="G89" s="215" t="str">
        <f>IFERROR(VLOOKUP($C89,'PORTIFÓLIO'!C:V,5,0),"")</f>
        <v/>
      </c>
      <c r="H89" s="254" t="str">
        <f t="array" ref="H89">IFERROR(INDEX('PORTIFÓLIO'!$H$4:$H$433,MATCH($C89,'PORTIFÓLIO'!$C$4:$C$433,0)),"")</f>
        <v/>
      </c>
      <c r="I89" s="256"/>
      <c r="J89" s="218">
        <f t="shared" si="10"/>
        <v>0</v>
      </c>
      <c r="K89" s="219" t="str">
        <f t="array" ref="K89">IFERROR(I89*INDEX('PORTIFÓLIO'!$S$4:$S$433,MATCH($C89,'PORTIFÓLIO'!$C$4:$C$433,0)),"")</f>
        <v/>
      </c>
      <c r="L89" s="219" t="str">
        <f t="array" ref="L89">IFERROR(J89*INDEX('PORTIFÓLIO'!$S$4:$S$433,MATCH($C89,'PORTIFÓLIO'!$C$4:$C$433,0)),"")</f>
        <v/>
      </c>
      <c r="M89" s="220"/>
      <c r="N89" s="220"/>
      <c r="O89" s="220"/>
      <c r="P89" s="220"/>
      <c r="Q89" s="220"/>
      <c r="R89" s="220"/>
      <c r="S89" s="220"/>
      <c r="T89" s="220"/>
      <c r="U89" s="220"/>
      <c r="V89" s="220"/>
      <c r="W89" s="220"/>
    </row>
    <row r="90" ht="15.75" customHeight="1" outlineLevel="1">
      <c r="A90" s="211"/>
      <c r="B90" s="212"/>
      <c r="C90" s="213"/>
      <c r="D90" s="214" t="str">
        <f>IFERROR(VLOOKUP($C90,'PORTIFÓLIO'!C:V,2,0),"")</f>
        <v/>
      </c>
      <c r="E90" s="211" t="str">
        <f>IFERROR(VLOOKUP($C90,'PORTIFÓLIO'!C:V,3,0),"")</f>
        <v/>
      </c>
      <c r="F90" s="211" t="str">
        <f>IFERROR(VLOOKUP($C90,'PORTIFÓLIO'!C:V,4,0),"")</f>
        <v/>
      </c>
      <c r="G90" s="215" t="str">
        <f>IFERROR(VLOOKUP($C90,'PORTIFÓLIO'!C:V,5,0),"")</f>
        <v/>
      </c>
      <c r="H90" s="254" t="str">
        <f t="array" ref="H90">IFERROR(INDEX('PORTIFÓLIO'!$H$4:$H$433,MATCH($C90,'PORTIFÓLIO'!$C$4:$C$433,0)),"")</f>
        <v/>
      </c>
      <c r="I90" s="255"/>
      <c r="J90" s="218">
        <f t="shared" si="10"/>
        <v>0</v>
      </c>
      <c r="K90" s="219" t="str">
        <f t="array" ref="K90">IFERROR(I90*INDEX('PORTIFÓLIO'!$S$4:$S$433,MATCH($C90,'PORTIFÓLIO'!$C$4:$C$433,0)),"")</f>
        <v/>
      </c>
      <c r="L90" s="219" t="str">
        <f t="array" ref="L90">IFERROR(J90*INDEX('PORTIFÓLIO'!$S$4:$S$433,MATCH($C90,'PORTIFÓLIO'!$C$4:$C$433,0)),"")</f>
        <v/>
      </c>
      <c r="M90" s="220"/>
      <c r="N90" s="220"/>
      <c r="O90" s="220"/>
      <c r="P90" s="220"/>
      <c r="Q90" s="220"/>
      <c r="R90" s="220"/>
      <c r="S90" s="220"/>
      <c r="T90" s="220"/>
      <c r="U90" s="220"/>
      <c r="V90" s="220"/>
      <c r="W90" s="220"/>
    </row>
    <row r="91" ht="15.75" customHeight="1" outlineLevel="1">
      <c r="A91" s="211"/>
      <c r="B91" s="212"/>
      <c r="C91" s="213"/>
      <c r="D91" s="214" t="str">
        <f>IFERROR(VLOOKUP($C91,'PORTIFÓLIO'!C:V,2,0),"")</f>
        <v/>
      </c>
      <c r="E91" s="211" t="str">
        <f>IFERROR(VLOOKUP($C91,'PORTIFÓLIO'!C:V,3,0),"")</f>
        <v/>
      </c>
      <c r="F91" s="211" t="str">
        <f>IFERROR(VLOOKUP($C91,'PORTIFÓLIO'!C:V,4,0),"")</f>
        <v/>
      </c>
      <c r="G91" s="215" t="str">
        <f>IFERROR(VLOOKUP($C91,'PORTIFÓLIO'!C:V,5,0),"")</f>
        <v/>
      </c>
      <c r="H91" s="254" t="str">
        <f t="array" ref="H91">IFERROR(INDEX('PORTIFÓLIO'!$H$4:$H$433,MATCH($C91,'PORTIFÓLIO'!$C$4:$C$433,0)),"")</f>
        <v/>
      </c>
      <c r="I91" s="256"/>
      <c r="J91" s="218">
        <f t="shared" si="10"/>
        <v>0</v>
      </c>
      <c r="K91" s="219" t="str">
        <f t="array" ref="K91">IFERROR(I91*INDEX('PORTIFÓLIO'!$S$4:$S$433,MATCH($C91,'PORTIFÓLIO'!$C$4:$C$433,0)),"")</f>
        <v/>
      </c>
      <c r="L91" s="219" t="str">
        <f t="array" ref="L91">IFERROR(J91*INDEX('PORTIFÓLIO'!$S$4:$S$433,MATCH($C91,'PORTIFÓLIO'!$C$4:$C$433,0)),"")</f>
        <v/>
      </c>
      <c r="M91" s="220"/>
      <c r="N91" s="220"/>
      <c r="O91" s="220"/>
      <c r="P91" s="220"/>
      <c r="Q91" s="220"/>
      <c r="R91" s="220"/>
      <c r="S91" s="220"/>
      <c r="T91" s="220"/>
      <c r="U91" s="220"/>
      <c r="V91" s="220"/>
      <c r="W91" s="220"/>
    </row>
    <row r="92" ht="15.75" customHeight="1" outlineLevel="1">
      <c r="A92" s="211"/>
      <c r="B92" s="212"/>
      <c r="C92" s="213"/>
      <c r="D92" s="214" t="str">
        <f>IFERROR(VLOOKUP($C92,'PORTIFÓLIO'!C:V,2,0),"")</f>
        <v/>
      </c>
      <c r="E92" s="211" t="str">
        <f>IFERROR(VLOOKUP($C92,'PORTIFÓLIO'!C:V,3,0),"")</f>
        <v/>
      </c>
      <c r="F92" s="211" t="str">
        <f>IFERROR(VLOOKUP($C92,'PORTIFÓLIO'!C:V,4,0),"")</f>
        <v/>
      </c>
      <c r="G92" s="215" t="str">
        <f>IFERROR(VLOOKUP($C92,'PORTIFÓLIO'!C:V,5,0),"")</f>
        <v/>
      </c>
      <c r="H92" s="254" t="str">
        <f t="array" ref="H92">IFERROR(INDEX('PORTIFÓLIO'!$H$4:$H$433,MATCH($C92,'PORTIFÓLIO'!$C$4:$C$433,0)),"")</f>
        <v/>
      </c>
      <c r="I92" s="256"/>
      <c r="J92" s="218">
        <f t="shared" si="10"/>
        <v>0</v>
      </c>
      <c r="K92" s="219" t="str">
        <f t="array" ref="K92">IFERROR(I92*INDEX('PORTIFÓLIO'!$S$4:$S$433,MATCH($C92,'PORTIFÓLIO'!$C$4:$C$433,0)),"")</f>
        <v/>
      </c>
      <c r="L92" s="219" t="str">
        <f t="array" ref="L92">IFERROR(J92*INDEX('PORTIFÓLIO'!$S$4:$S$433,MATCH($C92,'PORTIFÓLIO'!$C$4:$C$433,0)),"")</f>
        <v/>
      </c>
      <c r="M92" s="220"/>
      <c r="N92" s="220"/>
      <c r="O92" s="220"/>
      <c r="P92" s="220"/>
      <c r="Q92" s="220"/>
      <c r="R92" s="220"/>
      <c r="S92" s="220"/>
      <c r="T92" s="220"/>
      <c r="U92" s="220"/>
      <c r="V92" s="220"/>
      <c r="W92" s="220"/>
    </row>
    <row r="93" ht="15.75" customHeight="1" outlineLevel="1">
      <c r="A93" s="211"/>
      <c r="B93" s="212"/>
      <c r="C93" s="213"/>
      <c r="D93" s="214" t="str">
        <f>IFERROR(VLOOKUP($C93,'PORTIFÓLIO'!C:V,2,0),"")</f>
        <v/>
      </c>
      <c r="E93" s="211" t="str">
        <f>IFERROR(VLOOKUP($C93,'PORTIFÓLIO'!C:V,3,0),"")</f>
        <v/>
      </c>
      <c r="F93" s="211" t="str">
        <f>IFERROR(VLOOKUP($C93,'PORTIFÓLIO'!C:V,4,0),"")</f>
        <v/>
      </c>
      <c r="G93" s="215" t="str">
        <f>IFERROR(VLOOKUP($C93,'PORTIFÓLIO'!C:V,5,0),"")</f>
        <v/>
      </c>
      <c r="H93" s="254" t="str">
        <f t="array" ref="H93">IFERROR(INDEX('PORTIFÓLIO'!$H$4:$H$433,MATCH($C93,'PORTIFÓLIO'!$C$4:$C$433,0)),"")</f>
        <v/>
      </c>
      <c r="I93" s="256"/>
      <c r="J93" s="218">
        <f t="shared" si="10"/>
        <v>0</v>
      </c>
      <c r="K93" s="219" t="str">
        <f t="array" ref="K93">IFERROR(I93*INDEX('PORTIFÓLIO'!$S$4:$S$433,MATCH($C93,'PORTIFÓLIO'!$C$4:$C$433,0)),"")</f>
        <v/>
      </c>
      <c r="L93" s="219" t="str">
        <f t="array" ref="L93">IFERROR(J93*INDEX('PORTIFÓLIO'!$S$4:$S$433,MATCH($C93,'PORTIFÓLIO'!$C$4:$C$433,0)),"")</f>
        <v/>
      </c>
      <c r="M93" s="220"/>
      <c r="N93" s="220"/>
      <c r="O93" s="220"/>
      <c r="P93" s="220"/>
      <c r="Q93" s="220"/>
      <c r="R93" s="220"/>
      <c r="S93" s="220"/>
      <c r="T93" s="220"/>
      <c r="U93" s="220"/>
      <c r="V93" s="220"/>
      <c r="W93" s="220"/>
    </row>
    <row r="94" ht="15.75" customHeight="1" outlineLevel="1">
      <c r="A94" s="211"/>
      <c r="B94" s="212"/>
      <c r="C94" s="213"/>
      <c r="D94" s="214" t="str">
        <f>IFERROR(VLOOKUP($C94,'PORTIFÓLIO'!C:V,2,0),"")</f>
        <v/>
      </c>
      <c r="E94" s="211" t="str">
        <f>IFERROR(VLOOKUP($C94,'PORTIFÓLIO'!C:V,3,0),"")</f>
        <v/>
      </c>
      <c r="F94" s="211" t="str">
        <f>IFERROR(VLOOKUP($C94,'PORTIFÓLIO'!C:V,4,0),"")</f>
        <v/>
      </c>
      <c r="G94" s="215" t="str">
        <f>IFERROR(VLOOKUP($C94,'PORTIFÓLIO'!C:V,5,0),"")</f>
        <v/>
      </c>
      <c r="H94" s="254" t="str">
        <f t="array" ref="H94">IFERROR(INDEX('PORTIFÓLIO'!$H$4:$H$433,MATCH($C94,'PORTIFÓLIO'!$C$4:$C$433,0)),"")</f>
        <v/>
      </c>
      <c r="I94" s="256"/>
      <c r="J94" s="218">
        <f t="shared" si="10"/>
        <v>0</v>
      </c>
      <c r="K94" s="219" t="str">
        <f t="array" ref="K94">IFERROR(I94*INDEX('PORTIFÓLIO'!$S$4:$S$433,MATCH($C94,'PORTIFÓLIO'!$C$4:$C$433,0)),"")</f>
        <v/>
      </c>
      <c r="L94" s="219" t="str">
        <f t="array" ref="L94">IFERROR(J94*INDEX('PORTIFÓLIO'!$S$4:$S$433,MATCH($C94,'PORTIFÓLIO'!$C$4:$C$433,0)),"")</f>
        <v/>
      </c>
      <c r="M94" s="220"/>
      <c r="N94" s="220"/>
      <c r="O94" s="220"/>
      <c r="P94" s="220"/>
      <c r="Q94" s="220"/>
      <c r="R94" s="220"/>
      <c r="S94" s="220"/>
      <c r="T94" s="220"/>
      <c r="U94" s="220"/>
      <c r="V94" s="220"/>
      <c r="W94" s="220"/>
    </row>
    <row r="95" ht="15.75" customHeight="1" outlineLevel="1">
      <c r="A95" s="211"/>
      <c r="B95" s="212"/>
      <c r="C95" s="213"/>
      <c r="D95" s="214" t="str">
        <f>IFERROR(VLOOKUP($C95,'PORTIFÓLIO'!C:V,2,0),"")</f>
        <v/>
      </c>
      <c r="E95" s="211" t="str">
        <f>IFERROR(VLOOKUP($C95,'PORTIFÓLIO'!C:V,3,0),"")</f>
        <v/>
      </c>
      <c r="F95" s="211" t="str">
        <f>IFERROR(VLOOKUP($C95,'PORTIFÓLIO'!C:V,4,0),"")</f>
        <v/>
      </c>
      <c r="G95" s="215" t="str">
        <f>IFERROR(VLOOKUP($C95,'PORTIFÓLIO'!C:V,5,0),"")</f>
        <v/>
      </c>
      <c r="H95" s="254" t="str">
        <f t="array" ref="H95">IFERROR(INDEX('PORTIFÓLIO'!$H$4:$H$433,MATCH($C95,'PORTIFÓLIO'!$C$4:$C$433,0)),"")</f>
        <v/>
      </c>
      <c r="I95" s="256"/>
      <c r="J95" s="218">
        <f t="shared" si="10"/>
        <v>0</v>
      </c>
      <c r="K95" s="219" t="str">
        <f t="array" ref="K95">IFERROR(I95*INDEX('PORTIFÓLIO'!$S$4:$S$433,MATCH($C95,'PORTIFÓLIO'!$C$4:$C$433,0)),"")</f>
        <v/>
      </c>
      <c r="L95" s="219" t="str">
        <f t="array" ref="L95">IFERROR(J95*INDEX('PORTIFÓLIO'!$S$4:$S$433,MATCH($C95,'PORTIFÓLIO'!$C$4:$C$433,0)),"")</f>
        <v/>
      </c>
      <c r="M95" s="220"/>
      <c r="N95" s="220"/>
      <c r="O95" s="220"/>
      <c r="P95" s="220"/>
      <c r="Q95" s="220"/>
      <c r="R95" s="220"/>
      <c r="S95" s="220"/>
      <c r="T95" s="220"/>
      <c r="U95" s="220"/>
      <c r="V95" s="220"/>
      <c r="W95" s="220"/>
    </row>
    <row r="96" ht="15.75" customHeight="1" outlineLevel="1">
      <c r="A96" s="211"/>
      <c r="B96" s="212"/>
      <c r="C96" s="213"/>
      <c r="D96" s="214" t="str">
        <f>IFERROR(VLOOKUP($C96,'PORTIFÓLIO'!C:V,2,0),"")</f>
        <v/>
      </c>
      <c r="E96" s="211" t="str">
        <f>IFERROR(VLOOKUP($C96,'PORTIFÓLIO'!C:V,3,0),"")</f>
        <v/>
      </c>
      <c r="F96" s="211" t="str">
        <f>IFERROR(VLOOKUP($C96,'PORTIFÓLIO'!C:V,4,0),"")</f>
        <v/>
      </c>
      <c r="G96" s="215" t="str">
        <f>IFERROR(VLOOKUP($C96,'PORTIFÓLIO'!C:V,5,0),"")</f>
        <v/>
      </c>
      <c r="H96" s="254" t="str">
        <f t="array" ref="H96">IFERROR(INDEX('PORTIFÓLIO'!$H$4:$H$433,MATCH($C96,'PORTIFÓLIO'!$C$4:$C$433,0)),"")</f>
        <v/>
      </c>
      <c r="I96" s="256"/>
      <c r="J96" s="218">
        <f t="shared" si="10"/>
        <v>0</v>
      </c>
      <c r="K96" s="219" t="str">
        <f t="array" ref="K96">IFERROR(I96*INDEX('PORTIFÓLIO'!$S$4:$S$433,MATCH($C96,'PORTIFÓLIO'!$C$4:$C$433,0)),"")</f>
        <v/>
      </c>
      <c r="L96" s="219" t="str">
        <f t="array" ref="L96">IFERROR(J96*INDEX('PORTIFÓLIO'!$S$4:$S$433,MATCH($C96,'PORTIFÓLIO'!$C$4:$C$433,0)),"")</f>
        <v/>
      </c>
      <c r="M96" s="220"/>
      <c r="N96" s="220"/>
      <c r="O96" s="220"/>
      <c r="P96" s="220"/>
      <c r="Q96" s="220"/>
      <c r="R96" s="220"/>
      <c r="S96" s="220"/>
      <c r="T96" s="220"/>
      <c r="U96" s="220"/>
      <c r="V96" s="220"/>
      <c r="W96" s="220"/>
    </row>
    <row r="97" ht="15.75" customHeight="1">
      <c r="A97" s="229" t="s">
        <v>1189</v>
      </c>
      <c r="B97" s="230"/>
      <c r="C97" s="231"/>
      <c r="D97" s="232"/>
      <c r="E97" s="231"/>
      <c r="F97" s="231"/>
      <c r="G97" s="233"/>
      <c r="H97" s="233"/>
      <c r="I97" s="258"/>
      <c r="J97" s="236"/>
      <c r="K97" s="237">
        <f t="shared" ref="K97:L97" si="11">SUBTOTAL(9,K98:K111)</f>
        <v>251.9479845</v>
      </c>
      <c r="L97" s="237">
        <f t="shared" si="11"/>
        <v>78607.77116</v>
      </c>
      <c r="M97" s="220"/>
      <c r="N97" s="220"/>
      <c r="O97" s="220"/>
      <c r="P97" s="220"/>
      <c r="Q97" s="220"/>
      <c r="R97" s="220"/>
      <c r="S97" s="220"/>
      <c r="T97" s="220"/>
      <c r="U97" s="220"/>
      <c r="V97" s="220"/>
      <c r="W97" s="220"/>
    </row>
    <row r="98" ht="15.75" customHeight="1" outlineLevel="1">
      <c r="A98" s="213"/>
      <c r="B98" s="212" t="s">
        <v>0</v>
      </c>
      <c r="C98" s="213" t="s">
        <v>443</v>
      </c>
      <c r="D98" s="214" t="str">
        <f>IFERROR(VLOOKUP($C98,'PORTIFÓLIO'!C:V,2,0),"")</f>
        <v>MEFENTRIFLUCONAZOL + PIRACLOSTROBINA +
 FLUXAPIROXADE</v>
      </c>
      <c r="E98" s="211" t="str">
        <f>IFERROR(VLOOKUP($C98,'PORTIFÓLIO'!C:V,3,0),"")</f>
        <v>133,3 + 177,8 + 88,9</v>
      </c>
      <c r="F98" s="211" t="str">
        <f>IFERROR(VLOOKUP($C98,'PORTIFÓLIO'!C:V,4,0),"")</f>
        <v>L</v>
      </c>
      <c r="G98" s="225" t="str">
        <f>IFERROR(VLOOKUP($C98,'PORTIFÓLIO'!C:V,5,0),"")</f>
        <v>📄 Ver bula</v>
      </c>
      <c r="H98" s="254">
        <f t="array" ref="H98">IFERROR(INDEX('PORTIFÓLIO'!$H$4:$H$433,MATCH($C98,'PORTIFÓLIO'!$C$4:$C$433,0)),"")</f>
        <v>0.7</v>
      </c>
      <c r="I98" s="255">
        <v>0.7</v>
      </c>
      <c r="J98" s="218">
        <f t="shared" ref="J98:J112" si="12">I98*$B$2</f>
        <v>218.4</v>
      </c>
      <c r="K98" s="219">
        <f t="array" ref="K98">IFERROR(I98*INDEX('PORTIFÓLIO'!$S$4:$S$433,MATCH($C98,'PORTIFÓLIO'!$C$4:$C$433,0)),"")</f>
        <v>119.38752</v>
      </c>
      <c r="L98" s="219">
        <f t="array" ref="L98">IFERROR(J98*INDEX('PORTIFÓLIO'!$S$4:$S$433,MATCH($C98,'PORTIFÓLIO'!$C$4:$C$433,0)),"")</f>
        <v>37248.90624</v>
      </c>
      <c r="M98" s="220"/>
      <c r="N98" s="220"/>
      <c r="O98" s="220"/>
      <c r="P98" s="220"/>
      <c r="Q98" s="220"/>
      <c r="R98" s="220"/>
      <c r="S98" s="220"/>
      <c r="T98" s="220"/>
      <c r="U98" s="220"/>
      <c r="V98" s="220"/>
      <c r="W98" s="220"/>
    </row>
    <row r="99" ht="15.75" customHeight="1" outlineLevel="1">
      <c r="A99" s="211"/>
      <c r="B99" s="212" t="s">
        <v>0</v>
      </c>
      <c r="C99" s="213" t="s">
        <v>520</v>
      </c>
      <c r="D99" s="214" t="str">
        <f>IFERROR(VLOOKUP($C99,'PORTIFÓLIO'!C:V,2,0),"")</f>
        <v>FLUAZINAM</v>
      </c>
      <c r="E99" s="211">
        <f>IFERROR(VLOOKUP($C99,'PORTIFÓLIO'!C:V,3,0),"")</f>
        <v>500</v>
      </c>
      <c r="F99" s="211" t="str">
        <f>IFERROR(VLOOKUP($C99,'PORTIFÓLIO'!C:V,4,0),"")</f>
        <v>L</v>
      </c>
      <c r="G99" s="225" t="str">
        <f>IFERROR(VLOOKUP($C99,'PORTIFÓLIO'!C:V,5,0),"")</f>
        <v>📄 Ver bula</v>
      </c>
      <c r="H99" s="254">
        <f t="array" ref="H99">IFERROR(INDEX('PORTIFÓLIO'!$H$4:$H$433,MATCH($C99,'PORTIFÓLIO'!$C$4:$C$433,0)),"")</f>
        <v>1</v>
      </c>
      <c r="I99" s="255">
        <v>1.0</v>
      </c>
      <c r="J99" s="218">
        <f t="shared" si="12"/>
        <v>312</v>
      </c>
      <c r="K99" s="219">
        <f t="array" ref="K99">IFERROR(I99*INDEX('PORTIFÓLIO'!$S$4:$S$433,MATCH($C99,'PORTIFÓLIO'!$C$4:$C$433,0)),"")</f>
        <v>67.68</v>
      </c>
      <c r="L99" s="219">
        <f t="array" ref="L99">IFERROR(J99*INDEX('PORTIFÓLIO'!$S$4:$S$433,MATCH($C99,'PORTIFÓLIO'!$C$4:$C$433,0)),"")</f>
        <v>21116.16</v>
      </c>
      <c r="M99" s="220"/>
      <c r="N99" s="220"/>
      <c r="O99" s="220"/>
      <c r="P99" s="220"/>
      <c r="Q99" s="220"/>
      <c r="R99" s="220"/>
      <c r="S99" s="220"/>
      <c r="T99" s="220"/>
      <c r="U99" s="220"/>
      <c r="V99" s="220"/>
      <c r="W99" s="220"/>
    </row>
    <row r="100" ht="15.75" customHeight="1" outlineLevel="1">
      <c r="A100" s="211"/>
      <c r="B100" s="212" t="s">
        <v>2</v>
      </c>
      <c r="C100" s="213" t="s">
        <v>829</v>
      </c>
      <c r="D100" s="214" t="str">
        <f>IFERROR(VLOOKUP($C100,'PORTIFÓLIO'!C:V,2,0),"")</f>
        <v>BIFENTRINA</v>
      </c>
      <c r="E100" s="211">
        <f>IFERROR(VLOOKUP($C100,'PORTIFÓLIO'!C:V,3,0),"")</f>
        <v>400</v>
      </c>
      <c r="F100" s="211" t="str">
        <f>IFERROR(VLOOKUP($C100,'PORTIFÓLIO'!C:V,4,0),"")</f>
        <v>L</v>
      </c>
      <c r="G100" s="225" t="str">
        <f>IFERROR(VLOOKUP($C100,'PORTIFÓLIO'!C:V,5,0),"")</f>
        <v>📄 Ver bula</v>
      </c>
      <c r="H100" s="254">
        <f t="array" ref="H100">IFERROR(INDEX('PORTIFÓLIO'!$H$4:$H$433,MATCH($C100,'PORTIFÓLIO'!$C$4:$C$433,0)),"")</f>
        <v>0.05</v>
      </c>
      <c r="I100" s="255">
        <v>0.05</v>
      </c>
      <c r="J100" s="218">
        <f t="shared" si="12"/>
        <v>15.6</v>
      </c>
      <c r="K100" s="219">
        <f t="array" ref="K100">IFERROR(I100*INDEX('PORTIFÓLIO'!$S$4:$S$433,MATCH($C100,'PORTIFÓLIO'!$C$4:$C$433,0)),"")</f>
        <v>3.076419</v>
      </c>
      <c r="L100" s="219">
        <f t="array" ref="L100">IFERROR(J100*INDEX('PORTIFÓLIO'!$S$4:$S$433,MATCH($C100,'PORTIFÓLIO'!$C$4:$C$433,0)),"")</f>
        <v>959.842728</v>
      </c>
      <c r="M100" s="220"/>
      <c r="N100" s="220"/>
      <c r="O100" s="220"/>
      <c r="P100" s="220"/>
      <c r="Q100" s="220"/>
      <c r="R100" s="220"/>
      <c r="S100" s="220"/>
      <c r="T100" s="220"/>
      <c r="U100" s="220"/>
      <c r="V100" s="220"/>
      <c r="W100" s="220"/>
    </row>
    <row r="101" ht="15.75" customHeight="1" outlineLevel="1">
      <c r="A101" s="211"/>
      <c r="B101" s="212" t="s">
        <v>2</v>
      </c>
      <c r="C101" s="213" t="s">
        <v>842</v>
      </c>
      <c r="D101" s="214" t="str">
        <f>IFERROR(VLOOKUP($C101,'PORTIFÓLIO'!C:V,2,0),"")</f>
        <v>IMIDACLOPRIDO</v>
      </c>
      <c r="E101" s="211">
        <f>IFERROR(VLOOKUP($C101,'PORTIFÓLIO'!C:V,3,0),"")</f>
        <v>480</v>
      </c>
      <c r="F101" s="211" t="str">
        <f>IFERROR(VLOOKUP($C101,'PORTIFÓLIO'!C:V,4,0),"")</f>
        <v>L</v>
      </c>
      <c r="G101" s="225" t="str">
        <f>IFERROR(VLOOKUP($C101,'PORTIFÓLIO'!C:V,5,0),"")</f>
        <v>📄 Ver bula</v>
      </c>
      <c r="H101" s="254">
        <f t="array" ref="H101">IFERROR(INDEX('PORTIFÓLIO'!$H$4:$H$433,MATCH($C101,'PORTIFÓLIO'!$C$4:$C$433,0)),"")</f>
        <v>0.25</v>
      </c>
      <c r="I101" s="255">
        <v>0.25</v>
      </c>
      <c r="J101" s="218">
        <f t="shared" si="12"/>
        <v>78</v>
      </c>
      <c r="K101" s="219">
        <f t="array" ref="K101">IFERROR(I101*INDEX('PORTIFÓLIO'!$S$4:$S$433,MATCH($C101,'PORTIFÓLIO'!$C$4:$C$433,0)),"")</f>
        <v>14.0554125</v>
      </c>
      <c r="L101" s="219">
        <f t="array" ref="L101">IFERROR(J101*INDEX('PORTIFÓLIO'!$S$4:$S$433,MATCH($C101,'PORTIFÓLIO'!$C$4:$C$433,0)),"")</f>
        <v>4385.2887</v>
      </c>
      <c r="M101" s="220"/>
      <c r="N101" s="220"/>
      <c r="O101" s="220"/>
      <c r="P101" s="220"/>
      <c r="Q101" s="220"/>
      <c r="R101" s="220"/>
      <c r="S101" s="220"/>
      <c r="T101" s="220"/>
      <c r="U101" s="220"/>
      <c r="V101" s="220"/>
      <c r="W101" s="220"/>
    </row>
    <row r="102" ht="15.75" customHeight="1" outlineLevel="1">
      <c r="A102" s="211"/>
      <c r="B102" s="212" t="s">
        <v>2</v>
      </c>
      <c r="C102" s="213" t="s">
        <v>786</v>
      </c>
      <c r="D102" s="214" t="str">
        <f>IFERROR(VLOOKUP($C102,'PORTIFÓLIO'!C:V,2,0),"")</f>
        <v>DIFLUBENZUROM</v>
      </c>
      <c r="E102" s="211">
        <f>IFERROR(VLOOKUP($C102,'PORTIFÓLIO'!C:V,3,0),"")</f>
        <v>480</v>
      </c>
      <c r="F102" s="211" t="str">
        <f>IFERROR(VLOOKUP($C102,'PORTIFÓLIO'!C:V,4,0),"")</f>
        <v>KG</v>
      </c>
      <c r="G102" s="225" t="str">
        <f>IFERROR(VLOOKUP($C102,'PORTIFÓLIO'!C:V,5,0),"")</f>
        <v>📄 Ver bula</v>
      </c>
      <c r="H102" s="254">
        <f t="array" ref="H102">IFERROR(INDEX('PORTIFÓLIO'!$H$4:$H$433,MATCH($C102,'PORTIFÓLIO'!$C$4:$C$433,0)),"")</f>
        <v>0.04</v>
      </c>
      <c r="I102" s="255">
        <v>0.05</v>
      </c>
      <c r="J102" s="218">
        <f t="shared" si="12"/>
        <v>15.6</v>
      </c>
      <c r="K102" s="219">
        <f t="array" ref="K102">IFERROR(I102*INDEX('PORTIFÓLIO'!$S$4:$S$433,MATCH($C102,'PORTIFÓLIO'!$C$4:$C$433,0)),"")</f>
        <v>2.927979</v>
      </c>
      <c r="L102" s="219">
        <f t="array" ref="L102">IFERROR(J102*INDEX('PORTIFÓLIO'!$S$4:$S$433,MATCH($C102,'PORTIFÓLIO'!$C$4:$C$433,0)),"")</f>
        <v>913.529448</v>
      </c>
      <c r="M102" s="220"/>
      <c r="N102" s="220"/>
      <c r="O102" s="220"/>
      <c r="P102" s="220"/>
      <c r="Q102" s="220"/>
      <c r="R102" s="220"/>
      <c r="S102" s="220"/>
      <c r="T102" s="220"/>
      <c r="U102" s="220"/>
      <c r="V102" s="220"/>
      <c r="W102" s="220"/>
    </row>
    <row r="103" ht="15.75" customHeight="1" outlineLevel="1">
      <c r="A103" s="211"/>
      <c r="B103" s="212" t="s">
        <v>6</v>
      </c>
      <c r="C103" s="213" t="s">
        <v>341</v>
      </c>
      <c r="D103" s="214" t="str">
        <f>IFERROR(VLOOKUP($C103,'PORTIFÓLIO'!C:V,2,0),"")</f>
        <v>ESTER METILICO DE SOJA</v>
      </c>
      <c r="E103" s="211">
        <f>IFERROR(VLOOKUP($C103,'PORTIFÓLIO'!C:V,3,0),"")</f>
        <v>765</v>
      </c>
      <c r="F103" s="211" t="str">
        <f>IFERROR(VLOOKUP($C103,'PORTIFÓLIO'!C:V,4,0),"")</f>
        <v>L</v>
      </c>
      <c r="G103" s="225" t="str">
        <f>IFERROR(VLOOKUP($C103,'PORTIFÓLIO'!C:V,5,0),"")</f>
        <v>📄 Ver bula</v>
      </c>
      <c r="H103" s="254">
        <f t="array" ref="H103">IFERROR(INDEX('PORTIFÓLIO'!$H$4:$H$433,MATCH($C103,'PORTIFÓLIO'!$C$4:$C$433,0)),"")</f>
        <v>0.2</v>
      </c>
      <c r="I103" s="255">
        <v>0.2</v>
      </c>
      <c r="J103" s="218">
        <f t="shared" si="12"/>
        <v>62.4</v>
      </c>
      <c r="K103" s="219">
        <f t="array" ref="K103">IFERROR(I103*INDEX('PORTIFÓLIO'!$S$4:$S$433,MATCH($C103,'PORTIFÓLIO'!$C$4:$C$433,0)),"")</f>
        <v>3.298974</v>
      </c>
      <c r="L103" s="219">
        <f t="array" ref="L103">IFERROR(J103*INDEX('PORTIFÓLIO'!$S$4:$S$433,MATCH($C103,'PORTIFÓLIO'!$C$4:$C$433,0)),"")</f>
        <v>1029.279888</v>
      </c>
      <c r="M103" s="220"/>
      <c r="N103" s="220"/>
      <c r="O103" s="220"/>
      <c r="P103" s="220"/>
      <c r="Q103" s="220"/>
      <c r="R103" s="220"/>
      <c r="S103" s="220"/>
      <c r="T103" s="220"/>
      <c r="U103" s="220"/>
      <c r="V103" s="220"/>
      <c r="W103" s="220"/>
    </row>
    <row r="104" ht="15.75" customHeight="1" outlineLevel="1">
      <c r="A104" s="211"/>
      <c r="B104" s="212" t="s">
        <v>0</v>
      </c>
      <c r="C104" s="213" t="s">
        <v>484</v>
      </c>
      <c r="D104" s="214" t="str">
        <f>IFERROR(VLOOKUP($C104,'PORTIFÓLIO'!C:V,2,0),"")</f>
        <v>MANCOZEBE</v>
      </c>
      <c r="E104" s="211">
        <f>IFERROR(VLOOKUP($C104,'PORTIFÓLIO'!C:V,3,0),"")</f>
        <v>750</v>
      </c>
      <c r="F104" s="211" t="str">
        <f>IFERROR(VLOOKUP($C104,'PORTIFÓLIO'!C:V,4,0),"")</f>
        <v>L</v>
      </c>
      <c r="G104" s="225" t="str">
        <f>IFERROR(VLOOKUP($C104,'PORTIFÓLIO'!C:V,5,0),"")</f>
        <v>📄 Ver bula</v>
      </c>
      <c r="H104" s="254">
        <f t="array" ref="H104">IFERROR(INDEX('PORTIFÓLIO'!$H$4:$H$433,MATCH($C104,'PORTIFÓLIO'!$C$4:$C$433,0)),"")</f>
        <v>1.5</v>
      </c>
      <c r="I104" s="255">
        <v>1.5</v>
      </c>
      <c r="J104" s="218">
        <f t="shared" si="12"/>
        <v>468</v>
      </c>
      <c r="K104" s="219">
        <f t="array" ref="K104">IFERROR(I104*INDEX('PORTIFÓLIO'!$S$4:$S$433,MATCH($C104,'PORTIFÓLIO'!$C$4:$C$433,0)),"")</f>
        <v>41.52168</v>
      </c>
      <c r="L104" s="219">
        <f t="array" ref="L104">IFERROR(J104*INDEX('PORTIFÓLIO'!$S$4:$S$433,MATCH($C104,'PORTIFÓLIO'!$C$4:$C$433,0)),"")</f>
        <v>12954.76416</v>
      </c>
      <c r="M104" s="220"/>
      <c r="N104" s="220"/>
      <c r="O104" s="220"/>
      <c r="P104" s="220"/>
      <c r="Q104" s="220"/>
      <c r="R104" s="220"/>
      <c r="S104" s="220"/>
      <c r="T104" s="220"/>
      <c r="U104" s="220"/>
      <c r="V104" s="220"/>
      <c r="W104" s="220"/>
    </row>
    <row r="105" ht="15.75" customHeight="1" outlineLevel="1">
      <c r="A105" s="211"/>
      <c r="B105" s="212"/>
      <c r="C105" s="213"/>
      <c r="D105" s="214" t="str">
        <f>IFERROR(VLOOKUP($C105,'PORTIFÓLIO'!C:V,2,0),"")</f>
        <v/>
      </c>
      <c r="E105" s="211" t="str">
        <f>IFERROR(VLOOKUP($C105,'PORTIFÓLIO'!C:V,3,0),"")</f>
        <v/>
      </c>
      <c r="F105" s="211" t="str">
        <f>IFERROR(VLOOKUP($C105,'PORTIFÓLIO'!C:V,4,0),"")</f>
        <v/>
      </c>
      <c r="G105" s="215" t="str">
        <f>IFERROR(VLOOKUP($C105,'PORTIFÓLIO'!C:V,5,0),"")</f>
        <v/>
      </c>
      <c r="H105" s="254" t="str">
        <f t="array" ref="H105">IFERROR(INDEX('PORTIFÓLIO'!$H$4:$H$433,MATCH($C105,'PORTIFÓLIO'!$C$4:$C$433,0)),"")</f>
        <v/>
      </c>
      <c r="I105" s="256"/>
      <c r="J105" s="218">
        <f t="shared" si="12"/>
        <v>0</v>
      </c>
      <c r="K105" s="219" t="str">
        <f t="array" ref="K105">IFERROR(I105*INDEX('PORTIFÓLIO'!$S$4:$S$433,MATCH($C105,'PORTIFÓLIO'!$C$4:$C$433,0)),"")</f>
        <v/>
      </c>
      <c r="L105" s="219" t="str">
        <f t="array" ref="L105">IFERROR(J105*INDEX('PORTIFÓLIO'!$S$4:$S$433,MATCH($C105,'PORTIFÓLIO'!$C$4:$C$433,0)),"")</f>
        <v/>
      </c>
      <c r="M105" s="220"/>
      <c r="N105" s="220"/>
      <c r="O105" s="220"/>
      <c r="P105" s="220"/>
      <c r="Q105" s="220"/>
      <c r="R105" s="220"/>
      <c r="S105" s="220"/>
      <c r="T105" s="220"/>
      <c r="U105" s="220"/>
      <c r="V105" s="220"/>
      <c r="W105" s="220"/>
    </row>
    <row r="106" ht="15.75" customHeight="1" outlineLevel="1">
      <c r="A106" s="211"/>
      <c r="B106" s="212"/>
      <c r="C106" s="213"/>
      <c r="D106" s="214" t="str">
        <f>IFERROR(VLOOKUP($C106,'PORTIFÓLIO'!C:V,2,0),"")</f>
        <v/>
      </c>
      <c r="E106" s="211" t="str">
        <f>IFERROR(VLOOKUP($C106,'PORTIFÓLIO'!C:V,3,0),"")</f>
        <v/>
      </c>
      <c r="F106" s="211" t="str">
        <f>IFERROR(VLOOKUP($C106,'PORTIFÓLIO'!C:V,4,0),"")</f>
        <v/>
      </c>
      <c r="G106" s="215" t="str">
        <f>IFERROR(VLOOKUP($C106,'PORTIFÓLIO'!C:V,5,0),"")</f>
        <v/>
      </c>
      <c r="H106" s="254" t="str">
        <f t="array" ref="H106">IFERROR(INDEX('PORTIFÓLIO'!$H$4:$H$433,MATCH($C106,'PORTIFÓLIO'!$C$4:$C$433,0)),"")</f>
        <v/>
      </c>
      <c r="I106" s="255"/>
      <c r="J106" s="218">
        <f t="shared" si="12"/>
        <v>0</v>
      </c>
      <c r="K106" s="219" t="str">
        <f t="array" ref="K106">IFERROR(I106*INDEX('PORTIFÓLIO'!$S$4:$S$433,MATCH($C106,'PORTIFÓLIO'!$C$4:$C$433,0)),"")</f>
        <v/>
      </c>
      <c r="L106" s="219" t="str">
        <f t="array" ref="L106">IFERROR(J106*INDEX('PORTIFÓLIO'!$S$4:$S$433,MATCH($C106,'PORTIFÓLIO'!$C$4:$C$433,0)),"")</f>
        <v/>
      </c>
      <c r="M106" s="220"/>
      <c r="N106" s="220"/>
      <c r="O106" s="220"/>
      <c r="P106" s="220"/>
      <c r="Q106" s="220"/>
      <c r="R106" s="220"/>
      <c r="S106" s="220"/>
      <c r="T106" s="220"/>
      <c r="U106" s="220"/>
      <c r="V106" s="220"/>
      <c r="W106" s="220"/>
    </row>
    <row r="107" ht="15.75" customHeight="1" outlineLevel="1">
      <c r="A107" s="211"/>
      <c r="B107" s="212"/>
      <c r="C107" s="213"/>
      <c r="D107" s="214" t="str">
        <f>IFERROR(VLOOKUP($C107,'PORTIFÓLIO'!C:V,2,0),"")</f>
        <v/>
      </c>
      <c r="E107" s="211" t="str">
        <f>IFERROR(VLOOKUP($C107,'PORTIFÓLIO'!C:V,3,0),"")</f>
        <v/>
      </c>
      <c r="F107" s="211" t="str">
        <f>IFERROR(VLOOKUP($C107,'PORTIFÓLIO'!C:V,4,0),"")</f>
        <v/>
      </c>
      <c r="G107" s="215" t="str">
        <f>IFERROR(VLOOKUP($C107,'PORTIFÓLIO'!C:V,5,0),"")</f>
        <v/>
      </c>
      <c r="H107" s="254" t="str">
        <f t="array" ref="H107">IFERROR(INDEX('PORTIFÓLIO'!$H$4:$H$433,MATCH($C107,'PORTIFÓLIO'!$C$4:$C$433,0)),"")</f>
        <v/>
      </c>
      <c r="I107" s="256"/>
      <c r="J107" s="218">
        <f t="shared" si="12"/>
        <v>0</v>
      </c>
      <c r="K107" s="219" t="str">
        <f t="array" ref="K107">IFERROR(I107*INDEX('PORTIFÓLIO'!$S$4:$S$433,MATCH($C107,'PORTIFÓLIO'!$C$4:$C$433,0)),"")</f>
        <v/>
      </c>
      <c r="L107" s="219" t="str">
        <f t="array" ref="L107">IFERROR(J107*INDEX('PORTIFÓLIO'!$S$4:$S$433,MATCH($C107,'PORTIFÓLIO'!$C$4:$C$433,0)),"")</f>
        <v/>
      </c>
      <c r="M107" s="220"/>
      <c r="N107" s="220"/>
      <c r="O107" s="220"/>
      <c r="P107" s="220"/>
      <c r="Q107" s="220"/>
      <c r="R107" s="220"/>
      <c r="S107" s="220"/>
      <c r="T107" s="220"/>
      <c r="U107" s="220"/>
      <c r="V107" s="220"/>
      <c r="W107" s="220"/>
    </row>
    <row r="108" ht="15.75" customHeight="1" outlineLevel="1">
      <c r="A108" s="211"/>
      <c r="B108" s="212"/>
      <c r="C108" s="213"/>
      <c r="D108" s="214" t="str">
        <f>IFERROR(VLOOKUP($C108,'PORTIFÓLIO'!C:V,2,0),"")</f>
        <v/>
      </c>
      <c r="E108" s="211" t="str">
        <f>IFERROR(VLOOKUP($C108,'PORTIFÓLIO'!C:V,3,0),"")</f>
        <v/>
      </c>
      <c r="F108" s="211" t="str">
        <f>IFERROR(VLOOKUP($C108,'PORTIFÓLIO'!C:V,4,0),"")</f>
        <v/>
      </c>
      <c r="G108" s="215" t="str">
        <f>IFERROR(VLOOKUP($C108,'PORTIFÓLIO'!C:V,5,0),"")</f>
        <v/>
      </c>
      <c r="H108" s="254" t="str">
        <f t="array" ref="H108">IFERROR(INDEX('PORTIFÓLIO'!$H$4:$H$433,MATCH($C108,'PORTIFÓLIO'!$C$4:$C$433,0)),"")</f>
        <v/>
      </c>
      <c r="I108" s="256"/>
      <c r="J108" s="218">
        <f t="shared" si="12"/>
        <v>0</v>
      </c>
      <c r="K108" s="219" t="str">
        <f t="array" ref="K108">IFERROR(I108*INDEX('PORTIFÓLIO'!$S$4:$S$433,MATCH($C108,'PORTIFÓLIO'!$C$4:$C$433,0)),"")</f>
        <v/>
      </c>
      <c r="L108" s="219" t="str">
        <f t="array" ref="L108">IFERROR(J108*INDEX('PORTIFÓLIO'!$S$4:$S$433,MATCH($C108,'PORTIFÓLIO'!$C$4:$C$433,0)),"")</f>
        <v/>
      </c>
      <c r="M108" s="220"/>
      <c r="N108" s="220"/>
      <c r="O108" s="220"/>
      <c r="P108" s="220"/>
      <c r="Q108" s="220"/>
      <c r="R108" s="220"/>
      <c r="S108" s="220"/>
      <c r="T108" s="220"/>
      <c r="U108" s="220"/>
      <c r="V108" s="220"/>
      <c r="W108" s="220"/>
    </row>
    <row r="109" ht="15.75" customHeight="1" outlineLevel="1">
      <c r="A109" s="211"/>
      <c r="B109" s="212"/>
      <c r="C109" s="213"/>
      <c r="D109" s="214" t="str">
        <f>IFERROR(VLOOKUP($C109,'PORTIFÓLIO'!C:V,2,0),"")</f>
        <v/>
      </c>
      <c r="E109" s="211" t="str">
        <f>IFERROR(VLOOKUP($C109,'PORTIFÓLIO'!C:V,3,0),"")</f>
        <v/>
      </c>
      <c r="F109" s="211" t="str">
        <f>IFERROR(VLOOKUP($C109,'PORTIFÓLIO'!C:V,4,0),"")</f>
        <v/>
      </c>
      <c r="G109" s="215" t="str">
        <f>IFERROR(VLOOKUP($C109,'PORTIFÓLIO'!C:V,5,0),"")</f>
        <v/>
      </c>
      <c r="H109" s="254" t="str">
        <f t="array" ref="H109">IFERROR(INDEX('PORTIFÓLIO'!$H$4:$H$433,MATCH($C109,'PORTIFÓLIO'!$C$4:$C$433,0)),"")</f>
        <v/>
      </c>
      <c r="I109" s="256"/>
      <c r="J109" s="218">
        <f t="shared" si="12"/>
        <v>0</v>
      </c>
      <c r="K109" s="219" t="str">
        <f t="array" ref="K109">IFERROR(I109*INDEX('PORTIFÓLIO'!$S$4:$S$433,MATCH($C109,'PORTIFÓLIO'!$C$4:$C$433,0)),"")</f>
        <v/>
      </c>
      <c r="L109" s="219" t="str">
        <f t="array" ref="L109">IFERROR(J109*INDEX('PORTIFÓLIO'!$S$4:$S$433,MATCH($C109,'PORTIFÓLIO'!$C$4:$C$433,0)),"")</f>
        <v/>
      </c>
      <c r="M109" s="220"/>
      <c r="N109" s="220"/>
      <c r="O109" s="220"/>
      <c r="P109" s="220"/>
      <c r="Q109" s="220"/>
      <c r="R109" s="220"/>
      <c r="S109" s="220"/>
      <c r="T109" s="220"/>
      <c r="U109" s="220"/>
      <c r="V109" s="220"/>
      <c r="W109" s="220"/>
    </row>
    <row r="110" ht="15.75" customHeight="1" outlineLevel="1">
      <c r="A110" s="211"/>
      <c r="B110" s="212"/>
      <c r="C110" s="213"/>
      <c r="D110" s="214" t="str">
        <f>IFERROR(VLOOKUP($C110,'PORTIFÓLIO'!C:V,2,0),"")</f>
        <v/>
      </c>
      <c r="E110" s="211" t="str">
        <f>IFERROR(VLOOKUP($C110,'PORTIFÓLIO'!C:V,3,0),"")</f>
        <v/>
      </c>
      <c r="F110" s="211" t="str">
        <f>IFERROR(VLOOKUP($C110,'PORTIFÓLIO'!C:V,4,0),"")</f>
        <v/>
      </c>
      <c r="G110" s="215" t="str">
        <f>IFERROR(VLOOKUP($C110,'PORTIFÓLIO'!C:V,5,0),"")</f>
        <v/>
      </c>
      <c r="H110" s="254" t="str">
        <f t="array" ref="H110">IFERROR(INDEX('PORTIFÓLIO'!$H$4:$H$433,MATCH($C110,'PORTIFÓLIO'!$C$4:$C$433,0)),"")</f>
        <v/>
      </c>
      <c r="I110" s="256"/>
      <c r="J110" s="218">
        <f t="shared" si="12"/>
        <v>0</v>
      </c>
      <c r="K110" s="219" t="str">
        <f t="array" ref="K110">IFERROR(I110*INDEX('PORTIFÓLIO'!$S$4:$S$433,MATCH($C110,'PORTIFÓLIO'!$C$4:$C$433,0)),"")</f>
        <v/>
      </c>
      <c r="L110" s="219" t="str">
        <f t="array" ref="L110">IFERROR(J110*INDEX('PORTIFÓLIO'!$S$4:$S$433,MATCH($C110,'PORTIFÓLIO'!$C$4:$C$433,0)),"")</f>
        <v/>
      </c>
      <c r="M110" s="220"/>
      <c r="N110" s="220"/>
      <c r="O110" s="220"/>
      <c r="P110" s="220"/>
      <c r="Q110" s="220"/>
      <c r="R110" s="220"/>
      <c r="S110" s="220"/>
      <c r="T110" s="220"/>
      <c r="U110" s="220"/>
      <c r="V110" s="220"/>
      <c r="W110" s="220"/>
    </row>
    <row r="111" ht="15.75" customHeight="1" outlineLevel="1">
      <c r="A111" s="211"/>
      <c r="B111" s="212"/>
      <c r="C111" s="213"/>
      <c r="D111" s="214" t="str">
        <f>IFERROR(VLOOKUP($C111,'PORTIFÓLIO'!C:V,2,0),"")</f>
        <v/>
      </c>
      <c r="E111" s="211" t="str">
        <f>IFERROR(VLOOKUP($C111,'PORTIFÓLIO'!C:V,3,0),"")</f>
        <v/>
      </c>
      <c r="F111" s="211" t="str">
        <f>IFERROR(VLOOKUP($C111,'PORTIFÓLIO'!C:V,4,0),"")</f>
        <v/>
      </c>
      <c r="G111" s="215" t="str">
        <f>IFERROR(VLOOKUP($C111,'PORTIFÓLIO'!C:V,5,0),"")</f>
        <v/>
      </c>
      <c r="H111" s="254" t="str">
        <f t="array" ref="H111">IFERROR(INDEX('PORTIFÓLIO'!$H$4:$H$433,MATCH($C111,'PORTIFÓLIO'!$C$4:$C$433,0)),"")</f>
        <v/>
      </c>
      <c r="I111" s="256"/>
      <c r="J111" s="218">
        <f t="shared" si="12"/>
        <v>0</v>
      </c>
      <c r="K111" s="219" t="str">
        <f t="array" ref="K111">IFERROR(I111*INDEX('PORTIFÓLIO'!$S$4:$S$433,MATCH($C111,'PORTIFÓLIO'!$C$4:$C$433,0)),"")</f>
        <v/>
      </c>
      <c r="L111" s="219" t="str">
        <f t="array" ref="L111">IFERROR(J111*INDEX('PORTIFÓLIO'!$S$4:$S$433,MATCH($C111,'PORTIFÓLIO'!$C$4:$C$433,0)),"")</f>
        <v/>
      </c>
      <c r="M111" s="220"/>
      <c r="N111" s="220"/>
      <c r="O111" s="220"/>
      <c r="P111" s="220"/>
      <c r="Q111" s="220"/>
      <c r="R111" s="220"/>
      <c r="S111" s="220"/>
      <c r="T111" s="220"/>
      <c r="U111" s="220"/>
      <c r="V111" s="220"/>
      <c r="W111" s="220"/>
    </row>
    <row r="112" ht="15.75" customHeight="1" outlineLevel="1">
      <c r="A112" s="211"/>
      <c r="B112" s="212"/>
      <c r="C112" s="213"/>
      <c r="D112" s="214" t="str">
        <f>IFERROR(VLOOKUP($C112,'PORTIFÓLIO'!C:V,2,0),"")</f>
        <v/>
      </c>
      <c r="E112" s="211" t="str">
        <f>IFERROR(VLOOKUP($C112,'PORTIFÓLIO'!C:V,3,0),"")</f>
        <v/>
      </c>
      <c r="F112" s="211" t="str">
        <f>IFERROR(VLOOKUP($C112,'PORTIFÓLIO'!C:V,4,0),"")</f>
        <v/>
      </c>
      <c r="G112" s="215" t="str">
        <f>IFERROR(VLOOKUP($C112,'PORTIFÓLIO'!C:V,5,0),"")</f>
        <v/>
      </c>
      <c r="H112" s="254" t="str">
        <f t="array" ref="H112">IFERROR(INDEX('PORTIFÓLIO'!$H$4:$H$433,MATCH($C112,'PORTIFÓLIO'!$C$4:$C$433,0)),"")</f>
        <v/>
      </c>
      <c r="I112" s="256"/>
      <c r="J112" s="218">
        <f t="shared" si="12"/>
        <v>0</v>
      </c>
      <c r="K112" s="219" t="str">
        <f t="array" ref="K112">IFERROR(I112*INDEX('PORTIFÓLIO'!$S$4:$S$433,MATCH($C112,'PORTIFÓLIO'!$C$4:$C$433,0)),"")</f>
        <v/>
      </c>
      <c r="L112" s="219" t="str">
        <f t="array" ref="L112">IFERROR(J112*INDEX('PORTIFÓLIO'!$S$4:$S$433,MATCH($C112,'PORTIFÓLIO'!$C$4:$C$433,0)),"")</f>
        <v/>
      </c>
      <c r="M112" s="220"/>
      <c r="N112" s="220"/>
      <c r="O112" s="220"/>
      <c r="P112" s="220"/>
      <c r="Q112" s="220"/>
      <c r="R112" s="220"/>
      <c r="S112" s="220"/>
      <c r="T112" s="220"/>
      <c r="U112" s="220"/>
      <c r="V112" s="220"/>
      <c r="W112" s="220"/>
    </row>
    <row r="113" ht="15.75" customHeight="1" outlineLevel="1">
      <c r="A113" s="211"/>
      <c r="B113" s="212"/>
      <c r="C113" s="211"/>
      <c r="D113" s="214" t="str">
        <f>IFERROR(VLOOKUP($C113,'PORTIFÓLIO'!C:V,2,0),"")</f>
        <v/>
      </c>
      <c r="E113" s="211" t="str">
        <f>IFERROR(VLOOKUP($C113,'PORTIFÓLIO'!C:V,3,0),"")</f>
        <v/>
      </c>
      <c r="F113" s="211" t="str">
        <f>IFERROR(VLOOKUP($C113,'PORTIFÓLIO'!C:V,4,0),"")</f>
        <v/>
      </c>
      <c r="G113" s="215" t="str">
        <f>IFERROR(VLOOKUP($C113,'PORTIFÓLIO'!C:V,5,0),"")</f>
        <v/>
      </c>
      <c r="H113" s="254" t="str">
        <f t="array" ref="H113">IFERROR(INDEX('PORTIFÓLIO'!$H$4:$H$433,MATCH($C113,'PORTIFÓLIO'!$C$4:$C$433,0)),"")</f>
        <v/>
      </c>
      <c r="I113" s="256"/>
      <c r="J113" s="218"/>
      <c r="K113" s="219" t="str">
        <f t="array" ref="K113">IFERROR(I113*INDEX('PORTIFÓLIO'!$S$4:$S$433,MATCH($C113,'PORTIFÓLIO'!$C$4:$C$433,0)),"")</f>
        <v/>
      </c>
      <c r="L113" s="219" t="str">
        <f t="array" ref="L113">IFERROR(J113*INDEX('PORTIFÓLIO'!$S$4:$S$433,MATCH($C113,'PORTIFÓLIO'!$C$4:$C$433,0)),"")</f>
        <v/>
      </c>
      <c r="M113" s="220"/>
      <c r="N113" s="220"/>
      <c r="O113" s="220"/>
      <c r="P113" s="220"/>
      <c r="Q113" s="220"/>
      <c r="R113" s="220"/>
      <c r="S113" s="220"/>
      <c r="T113" s="220"/>
      <c r="U113" s="220"/>
      <c r="V113" s="220"/>
      <c r="W113" s="220"/>
    </row>
    <row r="114" ht="15.75" customHeight="1">
      <c r="A114" s="229" t="s">
        <v>1190</v>
      </c>
      <c r="B114" s="230"/>
      <c r="C114" s="231"/>
      <c r="D114" s="232"/>
      <c r="E114" s="231"/>
      <c r="F114" s="231"/>
      <c r="G114" s="233"/>
      <c r="H114" s="233"/>
      <c r="I114" s="258"/>
      <c r="J114" s="236"/>
      <c r="K114" s="237">
        <f t="shared" ref="K114:L114" si="13">SUBTOTAL(9,K115:K128)</f>
        <v>236.685179</v>
      </c>
      <c r="L114" s="237">
        <f t="shared" si="13"/>
        <v>73845.77585</v>
      </c>
      <c r="M114" s="220"/>
      <c r="N114" s="220"/>
      <c r="O114" s="220"/>
      <c r="P114" s="220"/>
      <c r="Q114" s="220"/>
      <c r="R114" s="220"/>
      <c r="S114" s="220"/>
      <c r="T114" s="220"/>
      <c r="U114" s="220"/>
      <c r="V114" s="220"/>
      <c r="W114" s="220"/>
    </row>
    <row r="115" ht="15.75" customHeight="1" outlineLevel="1">
      <c r="A115" s="213"/>
      <c r="B115" s="212" t="s">
        <v>0</v>
      </c>
      <c r="C115" s="283" t="s">
        <v>467</v>
      </c>
      <c r="D115" s="214" t="str">
        <f>IFERROR(VLOOKUP($C115,'PORTIFÓLIO'!C:V,2,0),"")</f>
        <v>BIXAFEM + PROTIOCONAZOL + TRIFLOXISTROBINA</v>
      </c>
      <c r="E115" s="211" t="str">
        <f>IFERROR(VLOOKUP($C115,'PORTIFÓLIO'!C:V,3,0),"")</f>
        <v>125 + 175 + 150</v>
      </c>
      <c r="F115" s="211" t="str">
        <f>IFERROR(VLOOKUP($C115,'PORTIFÓLIO'!C:V,4,0),"")</f>
        <v>L</v>
      </c>
      <c r="G115" s="225" t="str">
        <f>IFERROR(VLOOKUP($C115,'PORTIFÓLIO'!C:V,5,0),"")</f>
        <v>📄 Ver bula</v>
      </c>
      <c r="H115" s="254">
        <f t="array" ref="H115">IFERROR(INDEX('PORTIFÓLIO'!$H$4:$H$433,MATCH($C115,'PORTIFÓLIO'!$C$4:$C$433,0)),"")</f>
        <v>0.5</v>
      </c>
      <c r="I115" s="255">
        <v>0.5</v>
      </c>
      <c r="J115" s="218">
        <f t="shared" ref="J115:J129" si="14">I115*$B$2</f>
        <v>156</v>
      </c>
      <c r="K115" s="219">
        <f t="array" ref="K115">IFERROR(I115*INDEX('PORTIFÓLIO'!$S$4:$S$433,MATCH($C115,'PORTIFÓLIO'!$C$4:$C$433,0)),"")</f>
        <v>99.08352</v>
      </c>
      <c r="L115" s="219">
        <f t="array" ref="L115">IFERROR(J115*INDEX('PORTIFÓLIO'!$S$4:$S$433,MATCH($C115,'PORTIFÓLIO'!$C$4:$C$433,0)),"")</f>
        <v>30914.05824</v>
      </c>
      <c r="M115" s="220"/>
      <c r="N115" s="220"/>
      <c r="O115" s="220"/>
      <c r="P115" s="220"/>
      <c r="Q115" s="220"/>
      <c r="R115" s="220"/>
      <c r="S115" s="220"/>
      <c r="T115" s="220"/>
      <c r="U115" s="220"/>
      <c r="V115" s="220"/>
      <c r="W115" s="220"/>
    </row>
    <row r="116" ht="15.75" customHeight="1" outlineLevel="1">
      <c r="A116" s="211"/>
      <c r="B116" s="212" t="s">
        <v>0</v>
      </c>
      <c r="C116" s="283" t="s">
        <v>520</v>
      </c>
      <c r="D116" s="214" t="str">
        <f>IFERROR(VLOOKUP($C116,'PORTIFÓLIO'!C:V,2,0),"")</f>
        <v>FLUAZINAM</v>
      </c>
      <c r="E116" s="211">
        <f>IFERROR(VLOOKUP($C116,'PORTIFÓLIO'!C:V,3,0),"")</f>
        <v>500</v>
      </c>
      <c r="F116" s="211" t="str">
        <f>IFERROR(VLOOKUP($C116,'PORTIFÓLIO'!C:V,4,0),"")</f>
        <v>L</v>
      </c>
      <c r="G116" s="225" t="str">
        <f>IFERROR(VLOOKUP($C116,'PORTIFÓLIO'!C:V,5,0),"")</f>
        <v>📄 Ver bula</v>
      </c>
      <c r="H116" s="254">
        <f t="array" ref="H116">IFERROR(INDEX('PORTIFÓLIO'!$H$4:$H$433,MATCH($C116,'PORTIFÓLIO'!$C$4:$C$433,0)),"")</f>
        <v>1</v>
      </c>
      <c r="I116" s="255">
        <v>1.0</v>
      </c>
      <c r="J116" s="218">
        <f t="shared" si="14"/>
        <v>312</v>
      </c>
      <c r="K116" s="219">
        <f t="array" ref="K116">IFERROR(I116*INDEX('PORTIFÓLIO'!$S$4:$S$433,MATCH($C116,'PORTIFÓLIO'!$C$4:$C$433,0)),"")</f>
        <v>67.68</v>
      </c>
      <c r="L116" s="219">
        <f t="array" ref="L116">IFERROR(J116*INDEX('PORTIFÓLIO'!$S$4:$S$433,MATCH($C116,'PORTIFÓLIO'!$C$4:$C$433,0)),"")</f>
        <v>21116.16</v>
      </c>
      <c r="M116" s="220"/>
      <c r="N116" s="220"/>
      <c r="O116" s="220"/>
      <c r="P116" s="220"/>
      <c r="Q116" s="220"/>
      <c r="R116" s="220"/>
      <c r="S116" s="220"/>
      <c r="T116" s="220"/>
      <c r="U116" s="220"/>
      <c r="V116" s="220"/>
      <c r="W116" s="220"/>
    </row>
    <row r="117" ht="15.75" customHeight="1" outlineLevel="1">
      <c r="A117" s="211"/>
      <c r="B117" s="212" t="s">
        <v>0</v>
      </c>
      <c r="C117" s="283" t="s">
        <v>484</v>
      </c>
      <c r="D117" s="214" t="str">
        <f>IFERROR(VLOOKUP($C117,'PORTIFÓLIO'!C:V,2,0),"")</f>
        <v>MANCOZEBE</v>
      </c>
      <c r="E117" s="211">
        <f>IFERROR(VLOOKUP($C117,'PORTIFÓLIO'!C:V,3,0),"")</f>
        <v>750</v>
      </c>
      <c r="F117" s="211" t="str">
        <f>IFERROR(VLOOKUP($C117,'PORTIFÓLIO'!C:V,4,0),"")</f>
        <v>L</v>
      </c>
      <c r="G117" s="225" t="str">
        <f>IFERROR(VLOOKUP($C117,'PORTIFÓLIO'!C:V,5,0),"")</f>
        <v>📄 Ver bula</v>
      </c>
      <c r="H117" s="254">
        <f t="array" ref="H117">IFERROR(INDEX('PORTIFÓLIO'!$H$4:$H$433,MATCH($C117,'PORTIFÓLIO'!$C$4:$C$433,0)),"")</f>
        <v>1.5</v>
      </c>
      <c r="I117" s="255">
        <v>1.5</v>
      </c>
      <c r="J117" s="218">
        <f t="shared" si="14"/>
        <v>468</v>
      </c>
      <c r="K117" s="219">
        <f t="array" ref="K117">IFERROR(I117*INDEX('PORTIFÓLIO'!$S$4:$S$433,MATCH($C117,'PORTIFÓLIO'!$C$4:$C$433,0)),"")</f>
        <v>41.52168</v>
      </c>
      <c r="L117" s="219">
        <f t="array" ref="L117">IFERROR(J117*INDEX('PORTIFÓLIO'!$S$4:$S$433,MATCH($C117,'PORTIFÓLIO'!$C$4:$C$433,0)),"")</f>
        <v>12954.76416</v>
      </c>
      <c r="M117" s="220"/>
      <c r="N117" s="220"/>
      <c r="O117" s="220"/>
      <c r="P117" s="220"/>
      <c r="Q117" s="220"/>
      <c r="R117" s="220"/>
      <c r="S117" s="220"/>
      <c r="T117" s="220"/>
      <c r="U117" s="220"/>
      <c r="V117" s="220"/>
      <c r="W117" s="220"/>
    </row>
    <row r="118" ht="15.75" customHeight="1" outlineLevel="1">
      <c r="A118" s="211"/>
      <c r="B118" s="212" t="s">
        <v>2</v>
      </c>
      <c r="C118" s="283" t="s">
        <v>752</v>
      </c>
      <c r="D118" s="214" t="str">
        <f>IFERROR(VLOOKUP($C118,'PORTIFÓLIO'!C:V,2,0),"")</f>
        <v>ACEFATO</v>
      </c>
      <c r="E118" s="211">
        <f>IFERROR(VLOOKUP($C118,'PORTIFÓLIO'!C:V,3,0),"")</f>
        <v>970</v>
      </c>
      <c r="F118" s="211" t="str">
        <f>IFERROR(VLOOKUP($C118,'PORTIFÓLIO'!C:V,4,0),"")</f>
        <v>L</v>
      </c>
      <c r="G118" s="225" t="str">
        <f>IFERROR(VLOOKUP($C118,'PORTIFÓLIO'!C:V,5,0),"")</f>
        <v>📄 Ver bula</v>
      </c>
      <c r="H118" s="254">
        <f t="array" ref="H118">IFERROR(INDEX('PORTIFÓLIO'!$H$4:$H$433,MATCH($C118,'PORTIFÓLIO'!$C$4:$C$433,0)),"")</f>
        <v>0.6</v>
      </c>
      <c r="I118" s="255">
        <v>0.6</v>
      </c>
      <c r="J118" s="218">
        <f t="shared" si="14"/>
        <v>187.2</v>
      </c>
      <c r="K118" s="219">
        <f t="array" ref="K118">IFERROR(I118*INDEX('PORTIFÓLIO'!$S$4:$S$433,MATCH($C118,'PORTIFÓLIO'!$C$4:$C$433,0)),"")</f>
        <v>22.266</v>
      </c>
      <c r="L118" s="219">
        <f t="array" ref="L118">IFERROR(J118*INDEX('PORTIFÓLIO'!$S$4:$S$433,MATCH($C118,'PORTIFÓLIO'!$C$4:$C$433,0)),"")</f>
        <v>6946.992</v>
      </c>
      <c r="M118" s="220"/>
      <c r="N118" s="220"/>
      <c r="O118" s="220"/>
      <c r="P118" s="220"/>
      <c r="Q118" s="220"/>
      <c r="R118" s="220"/>
      <c r="S118" s="220"/>
      <c r="T118" s="220"/>
      <c r="U118" s="220"/>
      <c r="V118" s="220"/>
      <c r="W118" s="220"/>
    </row>
    <row r="119" ht="15.75" customHeight="1" outlineLevel="1">
      <c r="A119" s="211"/>
      <c r="B119" s="212" t="s">
        <v>2</v>
      </c>
      <c r="C119" s="283" t="s">
        <v>786</v>
      </c>
      <c r="D119" s="214" t="str">
        <f>IFERROR(VLOOKUP($C119,'PORTIFÓLIO'!C:V,2,0),"")</f>
        <v>DIFLUBENZUROM</v>
      </c>
      <c r="E119" s="211">
        <f>IFERROR(VLOOKUP($C119,'PORTIFÓLIO'!C:V,3,0),"")</f>
        <v>480</v>
      </c>
      <c r="F119" s="211" t="str">
        <f>IFERROR(VLOOKUP($C119,'PORTIFÓLIO'!C:V,4,0),"")</f>
        <v>KG</v>
      </c>
      <c r="G119" s="225" t="str">
        <f>IFERROR(VLOOKUP($C119,'PORTIFÓLIO'!C:V,5,0),"")</f>
        <v>📄 Ver bula</v>
      </c>
      <c r="H119" s="254">
        <f t="array" ref="H119">IFERROR(INDEX('PORTIFÓLIO'!$H$4:$H$433,MATCH($C119,'PORTIFÓLIO'!$C$4:$C$433,0)),"")</f>
        <v>0.04</v>
      </c>
      <c r="I119" s="255">
        <v>0.05</v>
      </c>
      <c r="J119" s="218">
        <f t="shared" si="14"/>
        <v>15.6</v>
      </c>
      <c r="K119" s="219">
        <f t="array" ref="K119">IFERROR(I119*INDEX('PORTIFÓLIO'!$S$4:$S$433,MATCH($C119,'PORTIFÓLIO'!$C$4:$C$433,0)),"")</f>
        <v>2.927979</v>
      </c>
      <c r="L119" s="219">
        <f t="array" ref="L119">IFERROR(J119*INDEX('PORTIFÓLIO'!$S$4:$S$433,MATCH($C119,'PORTIFÓLIO'!$C$4:$C$433,0)),"")</f>
        <v>913.529448</v>
      </c>
      <c r="M119" s="220"/>
      <c r="N119" s="220"/>
      <c r="O119" s="220"/>
      <c r="P119" s="220"/>
      <c r="Q119" s="220"/>
      <c r="R119" s="220"/>
      <c r="S119" s="220"/>
      <c r="T119" s="220"/>
      <c r="U119" s="220"/>
      <c r="V119" s="220"/>
      <c r="W119" s="220"/>
    </row>
    <row r="120" ht="15.75" customHeight="1" outlineLevel="1">
      <c r="A120" s="211"/>
      <c r="B120" s="212" t="s">
        <v>6</v>
      </c>
      <c r="C120" s="213" t="s">
        <v>354</v>
      </c>
      <c r="D120" s="214" t="str">
        <f>IFERROR(VLOOKUP($C120,'PORTIFÓLIO'!C:V,2,0),"")</f>
        <v>OLEO MINERAL</v>
      </c>
      <c r="E120" s="211">
        <f>IFERROR(VLOOKUP($C120,'PORTIFÓLIO'!C:V,3,0),"")</f>
        <v>761</v>
      </c>
      <c r="F120" s="211" t="str">
        <f>IFERROR(VLOOKUP($C120,'PORTIFÓLIO'!C:V,4,0),"")</f>
        <v>L</v>
      </c>
      <c r="G120" s="225" t="str">
        <f>IFERROR(VLOOKUP($C120,'PORTIFÓLIO'!C:V,5,0),"")</f>
        <v>📄 Ver bula</v>
      </c>
      <c r="H120" s="254">
        <f t="array" ref="H120">IFERROR(INDEX('PORTIFÓLIO'!$H$4:$H$433,MATCH($C120,'PORTIFÓLIO'!$C$4:$C$433,0)),"")</f>
        <v>0.2</v>
      </c>
      <c r="I120" s="255">
        <v>0.2</v>
      </c>
      <c r="J120" s="218">
        <f t="shared" si="14"/>
        <v>62.4</v>
      </c>
      <c r="K120" s="219">
        <f t="array" ref="K120">IFERROR(I120*INDEX('PORTIFÓLIO'!$S$4:$S$433,MATCH($C120,'PORTIFÓLIO'!$C$4:$C$433,0)),"")</f>
        <v>3.206</v>
      </c>
      <c r="L120" s="219">
        <f t="array" ref="L120">IFERROR(J120*INDEX('PORTIFÓLIO'!$S$4:$S$433,MATCH($C120,'PORTIFÓLIO'!$C$4:$C$433,0)),"")</f>
        <v>1000.272</v>
      </c>
      <c r="M120" s="220"/>
      <c r="N120" s="220"/>
      <c r="O120" s="220"/>
      <c r="P120" s="220"/>
      <c r="Q120" s="220"/>
      <c r="R120" s="220"/>
      <c r="S120" s="220"/>
      <c r="T120" s="220"/>
      <c r="U120" s="220"/>
      <c r="V120" s="220"/>
      <c r="W120" s="220"/>
    </row>
    <row r="121" ht="15.75" customHeight="1" outlineLevel="1">
      <c r="A121" s="211"/>
      <c r="B121" s="212"/>
      <c r="C121" s="213"/>
      <c r="D121" s="214" t="str">
        <f>IFERROR(VLOOKUP($C121,'PORTIFÓLIO'!C:V,2,0),"")</f>
        <v/>
      </c>
      <c r="E121" s="211" t="str">
        <f>IFERROR(VLOOKUP($C121,'PORTIFÓLIO'!C:V,3,0),"")</f>
        <v/>
      </c>
      <c r="F121" s="211" t="str">
        <f>IFERROR(VLOOKUP($C121,'PORTIFÓLIO'!C:V,4,0),"")</f>
        <v/>
      </c>
      <c r="G121" s="215" t="str">
        <f>IFERROR(VLOOKUP($C121,'PORTIFÓLIO'!C:V,5,0),"")</f>
        <v/>
      </c>
      <c r="H121" s="254" t="str">
        <f t="array" ref="H121">IFERROR(INDEX('PORTIFÓLIO'!$H$4:$H$433,MATCH($C121,'PORTIFÓLIO'!$C$4:$C$433,0)),"")</f>
        <v/>
      </c>
      <c r="I121" s="255"/>
      <c r="J121" s="218">
        <f t="shared" si="14"/>
        <v>0</v>
      </c>
      <c r="K121" s="219" t="str">
        <f t="array" ref="K121">IFERROR(I121*INDEX('PORTIFÓLIO'!$S$4:$S$433,MATCH($C121,'PORTIFÓLIO'!$C$4:$C$433,0)),"")</f>
        <v/>
      </c>
      <c r="L121" s="219" t="str">
        <f t="array" ref="L121">IFERROR(J121*INDEX('PORTIFÓLIO'!$S$4:$S$433,MATCH($C121,'PORTIFÓLIO'!$C$4:$C$433,0)),"")</f>
        <v/>
      </c>
      <c r="M121" s="220"/>
      <c r="N121" s="220"/>
      <c r="O121" s="220"/>
      <c r="P121" s="220"/>
      <c r="Q121" s="220"/>
      <c r="R121" s="220"/>
      <c r="S121" s="220"/>
      <c r="T121" s="220"/>
      <c r="U121" s="220"/>
      <c r="V121" s="220"/>
      <c r="W121" s="220"/>
    </row>
    <row r="122" ht="15.75" customHeight="1" outlineLevel="1">
      <c r="A122" s="211"/>
      <c r="B122" s="212"/>
      <c r="C122" s="213"/>
      <c r="D122" s="214" t="str">
        <f>IFERROR(VLOOKUP($C122,'PORTIFÓLIO'!C:V,2,0),"")</f>
        <v/>
      </c>
      <c r="E122" s="211" t="str">
        <f>IFERROR(VLOOKUP($C122,'PORTIFÓLIO'!C:V,3,0),"")</f>
        <v/>
      </c>
      <c r="F122" s="211" t="str">
        <f>IFERROR(VLOOKUP($C122,'PORTIFÓLIO'!C:V,4,0),"")</f>
        <v/>
      </c>
      <c r="G122" s="215" t="str">
        <f>IFERROR(VLOOKUP($C122,'PORTIFÓLIO'!C:V,5,0),"")</f>
        <v/>
      </c>
      <c r="H122" s="254" t="str">
        <f t="array" ref="H122">IFERROR(INDEX('PORTIFÓLIO'!$H$4:$H$433,MATCH($C122,'PORTIFÓLIO'!$C$4:$C$433,0)),"")</f>
        <v/>
      </c>
      <c r="I122" s="255"/>
      <c r="J122" s="218">
        <f t="shared" si="14"/>
        <v>0</v>
      </c>
      <c r="K122" s="219" t="str">
        <f t="array" ref="K122">IFERROR(I122*INDEX('PORTIFÓLIO'!$S$4:$S$433,MATCH($C122,'PORTIFÓLIO'!$C$4:$C$433,0)),"")</f>
        <v/>
      </c>
      <c r="L122" s="219" t="str">
        <f t="array" ref="L122">IFERROR(J122*INDEX('PORTIFÓLIO'!$S$4:$S$433,MATCH($C122,'PORTIFÓLIO'!$C$4:$C$433,0)),"")</f>
        <v/>
      </c>
      <c r="M122" s="220"/>
      <c r="N122" s="220"/>
      <c r="O122" s="220"/>
      <c r="P122" s="220"/>
      <c r="Q122" s="220"/>
      <c r="R122" s="220"/>
      <c r="S122" s="220"/>
      <c r="T122" s="220"/>
      <c r="U122" s="220"/>
      <c r="V122" s="220"/>
      <c r="W122" s="220"/>
    </row>
    <row r="123" ht="15.75" customHeight="1" outlineLevel="1">
      <c r="A123" s="211"/>
      <c r="B123" s="212"/>
      <c r="C123" s="213"/>
      <c r="D123" s="214" t="str">
        <f>IFERROR(VLOOKUP($C123,'PORTIFÓLIO'!C:V,2,0),"")</f>
        <v/>
      </c>
      <c r="E123" s="211" t="str">
        <f>IFERROR(VLOOKUP($C123,'PORTIFÓLIO'!C:V,3,0),"")</f>
        <v/>
      </c>
      <c r="F123" s="211" t="str">
        <f>IFERROR(VLOOKUP($C123,'PORTIFÓLIO'!C:V,4,0),"")</f>
        <v/>
      </c>
      <c r="G123" s="215" t="str">
        <f>IFERROR(VLOOKUP($C123,'PORTIFÓLIO'!C:V,5,0),"")</f>
        <v/>
      </c>
      <c r="H123" s="254" t="str">
        <f t="array" ref="H123">IFERROR(INDEX('PORTIFÓLIO'!$H$4:$H$433,MATCH($C123,'PORTIFÓLIO'!$C$4:$C$433,0)),"")</f>
        <v/>
      </c>
      <c r="I123" s="255"/>
      <c r="J123" s="218">
        <f t="shared" si="14"/>
        <v>0</v>
      </c>
      <c r="K123" s="219" t="str">
        <f t="array" ref="K123">IFERROR(I123*INDEX('PORTIFÓLIO'!$S$4:$S$433,MATCH($C123,'PORTIFÓLIO'!$C$4:$C$433,0)),"")</f>
        <v/>
      </c>
      <c r="L123" s="219" t="str">
        <f t="array" ref="L123">IFERROR(J123*INDEX('PORTIFÓLIO'!$S$4:$S$433,MATCH($C123,'PORTIFÓLIO'!$C$4:$C$433,0)),"")</f>
        <v/>
      </c>
      <c r="M123" s="220"/>
      <c r="N123" s="220"/>
      <c r="O123" s="220"/>
      <c r="P123" s="220"/>
      <c r="Q123" s="220"/>
      <c r="R123" s="220"/>
      <c r="S123" s="220"/>
      <c r="T123" s="220"/>
      <c r="U123" s="220"/>
      <c r="V123" s="220"/>
      <c r="W123" s="220"/>
    </row>
    <row r="124" ht="15.75" customHeight="1" outlineLevel="1">
      <c r="A124" s="211"/>
      <c r="B124" s="212"/>
      <c r="C124" s="213"/>
      <c r="D124" s="214" t="str">
        <f>IFERROR(VLOOKUP($C124,'PORTIFÓLIO'!C:V,2,0),"")</f>
        <v/>
      </c>
      <c r="E124" s="211" t="str">
        <f>IFERROR(VLOOKUP($C124,'PORTIFÓLIO'!C:V,3,0),"")</f>
        <v/>
      </c>
      <c r="F124" s="211" t="str">
        <f>IFERROR(VLOOKUP($C124,'PORTIFÓLIO'!C:V,4,0),"")</f>
        <v/>
      </c>
      <c r="G124" s="215" t="str">
        <f>IFERROR(VLOOKUP($C124,'PORTIFÓLIO'!C:V,5,0),"")</f>
        <v/>
      </c>
      <c r="H124" s="254" t="str">
        <f t="array" ref="H124">IFERROR(INDEX('PORTIFÓLIO'!$H$4:$H$433,MATCH($C124,'PORTIFÓLIO'!$C$4:$C$433,0)),"")</f>
        <v/>
      </c>
      <c r="I124" s="256"/>
      <c r="J124" s="218">
        <f t="shared" si="14"/>
        <v>0</v>
      </c>
      <c r="K124" s="219" t="str">
        <f t="array" ref="K124">IFERROR(I124*INDEX('PORTIFÓLIO'!$S$4:$S$433,MATCH($C124,'PORTIFÓLIO'!$C$4:$C$433,0)),"")</f>
        <v/>
      </c>
      <c r="L124" s="219" t="str">
        <f t="array" ref="L124">IFERROR(J124*INDEX('PORTIFÓLIO'!$S$4:$S$433,MATCH($C124,'PORTIFÓLIO'!$C$4:$C$433,0)),"")</f>
        <v/>
      </c>
      <c r="M124" s="220"/>
      <c r="N124" s="220"/>
      <c r="O124" s="220"/>
      <c r="P124" s="220"/>
      <c r="Q124" s="220"/>
      <c r="R124" s="220"/>
      <c r="S124" s="220"/>
      <c r="T124" s="220"/>
      <c r="U124" s="220"/>
      <c r="V124" s="220"/>
      <c r="W124" s="220"/>
    </row>
    <row r="125" ht="15.75" customHeight="1" outlineLevel="1">
      <c r="A125" s="211"/>
      <c r="B125" s="212"/>
      <c r="C125" s="213"/>
      <c r="D125" s="214" t="str">
        <f>IFERROR(VLOOKUP($C125,'PORTIFÓLIO'!C:V,2,0),"")</f>
        <v/>
      </c>
      <c r="E125" s="211" t="str">
        <f>IFERROR(VLOOKUP($C125,'PORTIFÓLIO'!C:V,3,0),"")</f>
        <v/>
      </c>
      <c r="F125" s="211" t="str">
        <f>IFERROR(VLOOKUP($C125,'PORTIFÓLIO'!C:V,4,0),"")</f>
        <v/>
      </c>
      <c r="G125" s="215" t="str">
        <f>IFERROR(VLOOKUP($C125,'PORTIFÓLIO'!C:V,5,0),"")</f>
        <v/>
      </c>
      <c r="H125" s="254" t="str">
        <f t="array" ref="H125">IFERROR(INDEX('PORTIFÓLIO'!$H$4:$H$433,MATCH($C125,'PORTIFÓLIO'!$C$4:$C$433,0)),"")</f>
        <v/>
      </c>
      <c r="I125" s="256"/>
      <c r="J125" s="218">
        <f t="shared" si="14"/>
        <v>0</v>
      </c>
      <c r="K125" s="219" t="str">
        <f t="array" ref="K125">IFERROR(I125*INDEX('PORTIFÓLIO'!$S$4:$S$433,MATCH($C125,'PORTIFÓLIO'!$C$4:$C$433,0)),"")</f>
        <v/>
      </c>
      <c r="L125" s="219" t="str">
        <f t="array" ref="L125">IFERROR(J125*INDEX('PORTIFÓLIO'!$S$4:$S$433,MATCH($C125,'PORTIFÓLIO'!$C$4:$C$433,0)),"")</f>
        <v/>
      </c>
      <c r="M125" s="220"/>
      <c r="N125" s="220"/>
      <c r="O125" s="220"/>
      <c r="P125" s="220"/>
      <c r="Q125" s="220"/>
      <c r="R125" s="220"/>
      <c r="S125" s="220"/>
      <c r="T125" s="220"/>
      <c r="U125" s="220"/>
      <c r="V125" s="220"/>
      <c r="W125" s="220"/>
    </row>
    <row r="126" ht="15.75" customHeight="1" outlineLevel="1">
      <c r="A126" s="211"/>
      <c r="B126" s="212"/>
      <c r="C126" s="213"/>
      <c r="D126" s="214" t="str">
        <f>IFERROR(VLOOKUP($C126,'PORTIFÓLIO'!C:V,2,0),"")</f>
        <v/>
      </c>
      <c r="E126" s="211" t="str">
        <f>IFERROR(VLOOKUP($C126,'PORTIFÓLIO'!C:V,3,0),"")</f>
        <v/>
      </c>
      <c r="F126" s="211" t="str">
        <f>IFERROR(VLOOKUP($C126,'PORTIFÓLIO'!C:V,4,0),"")</f>
        <v/>
      </c>
      <c r="G126" s="215" t="str">
        <f>IFERROR(VLOOKUP($C126,'PORTIFÓLIO'!C:V,5,0),"")</f>
        <v/>
      </c>
      <c r="H126" s="254" t="str">
        <f t="array" ref="H126">IFERROR(INDEX('PORTIFÓLIO'!$H$4:$H$433,MATCH($C126,'PORTIFÓLIO'!$C$4:$C$433,0)),"")</f>
        <v/>
      </c>
      <c r="I126" s="256"/>
      <c r="J126" s="218">
        <f t="shared" si="14"/>
        <v>0</v>
      </c>
      <c r="K126" s="219" t="str">
        <f t="array" ref="K126">IFERROR(I126*INDEX('PORTIFÓLIO'!$S$4:$S$433,MATCH($C126,'PORTIFÓLIO'!$C$4:$C$433,0)),"")</f>
        <v/>
      </c>
      <c r="L126" s="219" t="str">
        <f t="array" ref="L126">IFERROR(J126*INDEX('PORTIFÓLIO'!$S$4:$S$433,MATCH($C126,'PORTIFÓLIO'!$C$4:$C$433,0)),"")</f>
        <v/>
      </c>
      <c r="M126" s="220"/>
      <c r="N126" s="220"/>
      <c r="O126" s="220"/>
      <c r="P126" s="220"/>
      <c r="Q126" s="220"/>
      <c r="R126" s="220"/>
      <c r="S126" s="220"/>
      <c r="T126" s="220"/>
      <c r="U126" s="220"/>
      <c r="V126" s="220"/>
      <c r="W126" s="220"/>
    </row>
    <row r="127" ht="15.75" customHeight="1" outlineLevel="1">
      <c r="A127" s="211"/>
      <c r="B127" s="212"/>
      <c r="C127" s="213"/>
      <c r="D127" s="214" t="str">
        <f>IFERROR(VLOOKUP($C127,'PORTIFÓLIO'!C:V,2,0),"")</f>
        <v/>
      </c>
      <c r="E127" s="211" t="str">
        <f>IFERROR(VLOOKUP($C127,'PORTIFÓLIO'!C:V,3,0),"")</f>
        <v/>
      </c>
      <c r="F127" s="211" t="str">
        <f>IFERROR(VLOOKUP($C127,'PORTIFÓLIO'!C:V,4,0),"")</f>
        <v/>
      </c>
      <c r="G127" s="215" t="str">
        <f>IFERROR(VLOOKUP($C127,'PORTIFÓLIO'!C:V,5,0),"")</f>
        <v/>
      </c>
      <c r="H127" s="254" t="str">
        <f t="array" ref="H127">IFERROR(INDEX('PORTIFÓLIO'!$H$4:$H$433,MATCH($C127,'PORTIFÓLIO'!$C$4:$C$433,0)),"")</f>
        <v/>
      </c>
      <c r="I127" s="256"/>
      <c r="J127" s="218">
        <f t="shared" si="14"/>
        <v>0</v>
      </c>
      <c r="K127" s="219" t="str">
        <f t="array" ref="K127">IFERROR(I127*INDEX('PORTIFÓLIO'!$S$4:$S$433,MATCH($C127,'PORTIFÓLIO'!$C$4:$C$433,0)),"")</f>
        <v/>
      </c>
      <c r="L127" s="219" t="str">
        <f t="array" ref="L127">IFERROR(J127*INDEX('PORTIFÓLIO'!$S$4:$S$433,MATCH($C127,'PORTIFÓLIO'!$C$4:$C$433,0)),"")</f>
        <v/>
      </c>
      <c r="M127" s="220"/>
      <c r="N127" s="220"/>
      <c r="O127" s="220"/>
      <c r="P127" s="220"/>
      <c r="Q127" s="220"/>
      <c r="R127" s="220"/>
      <c r="S127" s="220"/>
      <c r="T127" s="220"/>
      <c r="U127" s="220"/>
      <c r="V127" s="220"/>
      <c r="W127" s="220"/>
    </row>
    <row r="128" ht="15.75" customHeight="1" outlineLevel="1">
      <c r="A128" s="211"/>
      <c r="B128" s="212"/>
      <c r="C128" s="213"/>
      <c r="D128" s="214" t="str">
        <f>IFERROR(VLOOKUP($C128,'PORTIFÓLIO'!C:V,2,0),"")</f>
        <v/>
      </c>
      <c r="E128" s="211" t="str">
        <f>IFERROR(VLOOKUP($C128,'PORTIFÓLIO'!C:V,3,0),"")</f>
        <v/>
      </c>
      <c r="F128" s="211" t="str">
        <f>IFERROR(VLOOKUP($C128,'PORTIFÓLIO'!C:V,4,0),"")</f>
        <v/>
      </c>
      <c r="G128" s="215" t="str">
        <f>IFERROR(VLOOKUP($C128,'PORTIFÓLIO'!C:V,5,0),"")</f>
        <v/>
      </c>
      <c r="H128" s="254" t="str">
        <f t="array" ref="H128">IFERROR(INDEX('PORTIFÓLIO'!$H$4:$H$433,MATCH($C128,'PORTIFÓLIO'!$C$4:$C$433,0)),"")</f>
        <v/>
      </c>
      <c r="I128" s="256"/>
      <c r="J128" s="218">
        <f t="shared" si="14"/>
        <v>0</v>
      </c>
      <c r="K128" s="219" t="str">
        <f t="array" ref="K128">IFERROR(I128*INDEX('PORTIFÓLIO'!$S$4:$S$433,MATCH($C128,'PORTIFÓLIO'!$C$4:$C$433,0)),"")</f>
        <v/>
      </c>
      <c r="L128" s="219" t="str">
        <f t="array" ref="L128">IFERROR(J128*INDEX('PORTIFÓLIO'!$S$4:$S$433,MATCH($C128,'PORTIFÓLIO'!$C$4:$C$433,0)),"")</f>
        <v/>
      </c>
      <c r="M128" s="220"/>
      <c r="N128" s="220"/>
      <c r="O128" s="220"/>
      <c r="P128" s="220"/>
      <c r="Q128" s="220"/>
      <c r="R128" s="220"/>
      <c r="S128" s="220"/>
      <c r="T128" s="220"/>
      <c r="U128" s="220"/>
      <c r="V128" s="220"/>
      <c r="W128" s="220"/>
    </row>
    <row r="129" ht="15.75" customHeight="1" outlineLevel="1">
      <c r="A129" s="211"/>
      <c r="B129" s="212"/>
      <c r="C129" s="213"/>
      <c r="D129" s="214" t="str">
        <f>IFERROR(VLOOKUP($C129,'PORTIFÓLIO'!C:V,2,0),"")</f>
        <v/>
      </c>
      <c r="E129" s="211" t="str">
        <f>IFERROR(VLOOKUP($C129,'PORTIFÓLIO'!C:V,3,0),"")</f>
        <v/>
      </c>
      <c r="F129" s="211" t="str">
        <f>IFERROR(VLOOKUP($C129,'PORTIFÓLIO'!C:V,4,0),"")</f>
        <v/>
      </c>
      <c r="G129" s="215" t="str">
        <f>IFERROR(VLOOKUP($C129,'PORTIFÓLIO'!C:V,5,0),"")</f>
        <v/>
      </c>
      <c r="H129" s="254" t="str">
        <f t="array" ref="H129">IFERROR(INDEX('PORTIFÓLIO'!$H$4:$H$433,MATCH($C129,'PORTIFÓLIO'!$C$4:$C$433,0)),"")</f>
        <v/>
      </c>
      <c r="I129" s="256"/>
      <c r="J129" s="218">
        <f t="shared" si="14"/>
        <v>0</v>
      </c>
      <c r="K129" s="219" t="str">
        <f t="array" ref="K129">IFERROR(I129*INDEX('PORTIFÓLIO'!$S$4:$S$433,MATCH($C129,'PORTIFÓLIO'!$C$4:$C$433,0)),"")</f>
        <v/>
      </c>
      <c r="L129" s="219" t="str">
        <f t="array" ref="L129">IFERROR(J129*INDEX('PORTIFÓLIO'!$S$4:$S$433,MATCH($C129,'PORTIFÓLIO'!$C$4:$C$433,0)),"")</f>
        <v/>
      </c>
      <c r="M129" s="220"/>
      <c r="N129" s="220"/>
      <c r="O129" s="220"/>
      <c r="P129" s="220"/>
      <c r="Q129" s="220"/>
      <c r="R129" s="220"/>
      <c r="S129" s="220"/>
      <c r="T129" s="220"/>
      <c r="U129" s="220"/>
      <c r="V129" s="220"/>
      <c r="W129" s="220"/>
    </row>
    <row r="130" ht="15.75" customHeight="1" outlineLevel="1">
      <c r="A130" s="211"/>
      <c r="B130" s="227"/>
      <c r="C130" s="211"/>
      <c r="D130" s="214" t="str">
        <f>IFERROR(VLOOKUP($C130,'PORTIFÓLIO'!C:V,2,0),"")</f>
        <v/>
      </c>
      <c r="E130" s="211" t="str">
        <f>IFERROR(VLOOKUP($C130,'PORTIFÓLIO'!C:V,3,0),"")</f>
        <v/>
      </c>
      <c r="F130" s="211" t="str">
        <f>IFERROR(VLOOKUP($C130,'PORTIFÓLIO'!C:V,4,0),"")</f>
        <v/>
      </c>
      <c r="G130" s="215" t="str">
        <f>IFERROR(VLOOKUP($C130,'PORTIFÓLIO'!C:V,5,0),"")</f>
        <v/>
      </c>
      <c r="H130" s="254" t="str">
        <f t="array" ref="H130">IFERROR(INDEX('PORTIFÓLIO'!$H$4:$H$433,MATCH($C130,'PORTIFÓLIO'!$C$4:$C$433,0)),"")</f>
        <v/>
      </c>
      <c r="I130" s="256"/>
      <c r="J130" s="218"/>
      <c r="K130" s="219" t="str">
        <f t="array" ref="K130">IFERROR(I130*INDEX('PORTIFÓLIO'!$S$4:$S$433,MATCH($C130,'PORTIFÓLIO'!$C$4:$C$433,0)),"")</f>
        <v/>
      </c>
      <c r="L130" s="219" t="str">
        <f t="array" ref="L130">IFERROR(J130*INDEX('PORTIFÓLIO'!$S$4:$S$433,MATCH($C130,'PORTIFÓLIO'!$C$4:$C$433,0)),"")</f>
        <v/>
      </c>
      <c r="M130" s="220"/>
      <c r="N130" s="220"/>
      <c r="O130" s="220"/>
      <c r="P130" s="220"/>
      <c r="Q130" s="220"/>
      <c r="R130" s="220"/>
      <c r="S130" s="220"/>
      <c r="T130" s="220"/>
      <c r="U130" s="220"/>
      <c r="V130" s="220"/>
      <c r="W130" s="220"/>
    </row>
    <row r="131" ht="15.75" customHeight="1">
      <c r="A131" s="229" t="s">
        <v>1191</v>
      </c>
      <c r="B131" s="230"/>
      <c r="C131" s="231"/>
      <c r="D131" s="232"/>
      <c r="E131" s="231"/>
      <c r="F131" s="231"/>
      <c r="G131" s="233"/>
      <c r="H131" s="233"/>
      <c r="I131" s="258"/>
      <c r="J131" s="236"/>
      <c r="K131" s="237">
        <f t="shared" ref="K131:L131" si="15">SUBTOTAL(9,K132:K145)</f>
        <v>183.160532</v>
      </c>
      <c r="L131" s="237">
        <f t="shared" si="15"/>
        <v>57146.08598</v>
      </c>
      <c r="M131" s="220"/>
      <c r="N131" s="220"/>
      <c r="O131" s="220"/>
      <c r="P131" s="220"/>
      <c r="Q131" s="220"/>
      <c r="R131" s="220"/>
      <c r="S131" s="220"/>
      <c r="T131" s="220"/>
      <c r="U131" s="220"/>
      <c r="V131" s="220"/>
      <c r="W131" s="220"/>
    </row>
    <row r="132" ht="15.75" customHeight="1" outlineLevel="1">
      <c r="A132" s="213"/>
      <c r="B132" s="212" t="s">
        <v>0</v>
      </c>
      <c r="C132" s="213" t="s">
        <v>487</v>
      </c>
      <c r="D132" s="214" t="str">
        <f>IFERROR(VLOOKUP($C132,'PORTIFÓLIO'!C:V,2,0),"")</f>
        <v>PICOXISTROBINA + CIPROCONAZOL</v>
      </c>
      <c r="E132" s="211" t="str">
        <f>IFERROR(VLOOKUP($C132,'PORTIFÓLIO'!C:V,3,0),"")</f>
        <v>90 + 40</v>
      </c>
      <c r="F132" s="211" t="str">
        <f>IFERROR(VLOOKUP($C132,'PORTIFÓLIO'!C:V,4,0),"")</f>
        <v>L</v>
      </c>
      <c r="G132" s="225" t="str">
        <f>IFERROR(VLOOKUP($C132,'PORTIFÓLIO'!C:V,5,0),"")</f>
        <v>📄 Ver bula</v>
      </c>
      <c r="H132" s="254">
        <f t="array" ref="H132">IFERROR(INDEX('PORTIFÓLIO'!$H$4:$H$433,MATCH($C132,'PORTIFÓLIO'!$C$4:$C$433,0)),"")</f>
        <v>0.6</v>
      </c>
      <c r="I132" s="255">
        <v>0.6</v>
      </c>
      <c r="J132" s="218">
        <f t="shared" ref="J132:J146" si="16">I132*$B$2</f>
        <v>187.2</v>
      </c>
      <c r="K132" s="219">
        <f t="array" ref="K132">IFERROR(I132*INDEX('PORTIFÓLIO'!$S$4:$S$433,MATCH($C132,'PORTIFÓLIO'!$C$4:$C$433,0)),"")</f>
        <v>39.349152</v>
      </c>
      <c r="L132" s="219">
        <f t="array" ref="L132">IFERROR(J132*INDEX('PORTIFÓLIO'!$S$4:$S$433,MATCH($C132,'PORTIFÓLIO'!$C$4:$C$433,0)),"")</f>
        <v>12276.93542</v>
      </c>
      <c r="M132" s="220"/>
      <c r="N132" s="220"/>
      <c r="O132" s="220"/>
      <c r="P132" s="220"/>
      <c r="Q132" s="220"/>
      <c r="R132" s="220"/>
      <c r="S132" s="220"/>
      <c r="T132" s="220"/>
      <c r="U132" s="220"/>
      <c r="V132" s="220"/>
      <c r="W132" s="220"/>
    </row>
    <row r="133" ht="15.75" customHeight="1" outlineLevel="1">
      <c r="A133" s="211"/>
      <c r="B133" s="212" t="s">
        <v>0</v>
      </c>
      <c r="C133" s="213" t="s">
        <v>484</v>
      </c>
      <c r="D133" s="214" t="str">
        <f>IFERROR(VLOOKUP($C133,'PORTIFÓLIO'!C:V,2,0),"")</f>
        <v>MANCOZEBE</v>
      </c>
      <c r="E133" s="211">
        <f>IFERROR(VLOOKUP($C133,'PORTIFÓLIO'!C:V,3,0),"")</f>
        <v>750</v>
      </c>
      <c r="F133" s="211" t="str">
        <f>IFERROR(VLOOKUP($C133,'PORTIFÓLIO'!C:V,4,0),"")</f>
        <v>L</v>
      </c>
      <c r="G133" s="225" t="str">
        <f>IFERROR(VLOOKUP($C133,'PORTIFÓLIO'!C:V,5,0),"")</f>
        <v>📄 Ver bula</v>
      </c>
      <c r="H133" s="254">
        <f t="array" ref="H133">IFERROR(INDEX('PORTIFÓLIO'!$H$4:$H$433,MATCH($C133,'PORTIFÓLIO'!$C$4:$C$433,0)),"")</f>
        <v>1.5</v>
      </c>
      <c r="I133" s="255">
        <v>1.5</v>
      </c>
      <c r="J133" s="218">
        <f t="shared" si="16"/>
        <v>468</v>
      </c>
      <c r="K133" s="219">
        <f t="array" ref="K133">IFERROR(I133*INDEX('PORTIFÓLIO'!$S$4:$S$433,MATCH($C133,'PORTIFÓLIO'!$C$4:$C$433,0)),"")</f>
        <v>41.52168</v>
      </c>
      <c r="L133" s="219">
        <f t="array" ref="L133">IFERROR(J133*INDEX('PORTIFÓLIO'!$S$4:$S$433,MATCH($C133,'PORTIFÓLIO'!$C$4:$C$433,0)),"")</f>
        <v>12954.76416</v>
      </c>
      <c r="M133" s="220"/>
      <c r="N133" s="220"/>
      <c r="O133" s="220"/>
      <c r="P133" s="220"/>
      <c r="Q133" s="220"/>
      <c r="R133" s="220"/>
      <c r="S133" s="220"/>
      <c r="T133" s="220"/>
      <c r="U133" s="220"/>
      <c r="V133" s="220"/>
      <c r="W133" s="220"/>
    </row>
    <row r="134" ht="15.75" customHeight="1" outlineLevel="1">
      <c r="A134" s="211"/>
      <c r="B134" s="212" t="s">
        <v>2</v>
      </c>
      <c r="C134" s="213" t="s">
        <v>897</v>
      </c>
      <c r="D134" s="214" t="str">
        <f>IFERROR(VLOOKUP($C134,'PORTIFÓLIO'!C:V,2,0),"")</f>
        <v>ISOCICLOSERAM + LAMBDA-CIALOTRINA</v>
      </c>
      <c r="E134" s="211" t="str">
        <f>IFERROR(VLOOKUP($C134,'PORTIFÓLIO'!C:V,3,0),"")</f>
        <v>100 + 150</v>
      </c>
      <c r="F134" s="211" t="str">
        <f>IFERROR(VLOOKUP($C134,'PORTIFÓLIO'!C:V,4,0),"")</f>
        <v>L</v>
      </c>
      <c r="G134" s="225" t="str">
        <f>IFERROR(VLOOKUP($C134,'PORTIFÓLIO'!C:V,5,0),"")</f>
        <v>📄 Ver bula</v>
      </c>
      <c r="H134" s="254">
        <f t="array" ref="H134">IFERROR(INDEX('PORTIFÓLIO'!$H$4:$H$433,MATCH($C134,'PORTIFÓLIO'!$C$4:$C$433,0)),"")</f>
        <v>0.25</v>
      </c>
      <c r="I134" s="255">
        <v>0.25</v>
      </c>
      <c r="J134" s="218">
        <f t="shared" si="16"/>
        <v>78</v>
      </c>
      <c r="K134" s="219">
        <f t="array" ref="K134">IFERROR(I134*INDEX('PORTIFÓLIO'!$S$4:$S$433,MATCH($C134,'PORTIFÓLIO'!$C$4:$C$433,0)),"")</f>
        <v>99.0837</v>
      </c>
      <c r="L134" s="219">
        <f t="array" ref="L134">IFERROR(J134*INDEX('PORTIFÓLIO'!$S$4:$S$433,MATCH($C134,'PORTIFÓLIO'!$C$4:$C$433,0)),"")</f>
        <v>30914.1144</v>
      </c>
      <c r="M134" s="220"/>
      <c r="N134" s="220"/>
      <c r="O134" s="220"/>
      <c r="P134" s="220"/>
      <c r="Q134" s="220"/>
      <c r="R134" s="220"/>
      <c r="S134" s="220"/>
      <c r="T134" s="220"/>
      <c r="U134" s="220"/>
      <c r="V134" s="220"/>
      <c r="W134" s="220"/>
    </row>
    <row r="135" ht="15.75" customHeight="1" outlineLevel="1">
      <c r="A135" s="211"/>
      <c r="B135" s="212" t="s">
        <v>6</v>
      </c>
      <c r="C135" s="213" t="s">
        <v>354</v>
      </c>
      <c r="D135" s="214" t="str">
        <f>IFERROR(VLOOKUP($C135,'PORTIFÓLIO'!C:V,2,0),"")</f>
        <v>OLEO MINERAL</v>
      </c>
      <c r="E135" s="211">
        <f>IFERROR(VLOOKUP($C135,'PORTIFÓLIO'!C:V,3,0),"")</f>
        <v>761</v>
      </c>
      <c r="F135" s="211" t="str">
        <f>IFERROR(VLOOKUP($C135,'PORTIFÓLIO'!C:V,4,0),"")</f>
        <v>L</v>
      </c>
      <c r="G135" s="225" t="str">
        <f>IFERROR(VLOOKUP($C135,'PORTIFÓLIO'!C:V,5,0),"")</f>
        <v>📄 Ver bula</v>
      </c>
      <c r="H135" s="254">
        <f t="array" ref="H135">IFERROR(INDEX('PORTIFÓLIO'!$H$4:$H$433,MATCH($C135,'PORTIFÓLIO'!$C$4:$C$433,0)),"")</f>
        <v>0.2</v>
      </c>
      <c r="I135" s="255">
        <v>0.2</v>
      </c>
      <c r="J135" s="218">
        <f t="shared" si="16"/>
        <v>62.4</v>
      </c>
      <c r="K135" s="219">
        <f t="array" ref="K135">IFERROR(I135*INDEX('PORTIFÓLIO'!$S$4:$S$433,MATCH($C135,'PORTIFÓLIO'!$C$4:$C$433,0)),"")</f>
        <v>3.206</v>
      </c>
      <c r="L135" s="219">
        <f t="array" ref="L135">IFERROR(J135*INDEX('PORTIFÓLIO'!$S$4:$S$433,MATCH($C135,'PORTIFÓLIO'!$C$4:$C$433,0)),"")</f>
        <v>1000.272</v>
      </c>
      <c r="M135" s="220"/>
      <c r="N135" s="220"/>
      <c r="O135" s="220"/>
      <c r="P135" s="220"/>
      <c r="Q135" s="220"/>
      <c r="R135" s="220"/>
      <c r="S135" s="220"/>
      <c r="T135" s="220"/>
      <c r="U135" s="220"/>
      <c r="V135" s="220"/>
      <c r="W135" s="220"/>
    </row>
    <row r="136" ht="15.75" customHeight="1" outlineLevel="1">
      <c r="A136" s="211"/>
      <c r="B136" s="212"/>
      <c r="C136" s="213"/>
      <c r="D136" s="214" t="str">
        <f>IFERROR(VLOOKUP($C136,'PORTIFÓLIO'!C:V,2,0),"")</f>
        <v/>
      </c>
      <c r="E136" s="211" t="str">
        <f>IFERROR(VLOOKUP($C136,'PORTIFÓLIO'!C:V,3,0),"")</f>
        <v/>
      </c>
      <c r="F136" s="211" t="str">
        <f>IFERROR(VLOOKUP($C136,'PORTIFÓLIO'!C:V,4,0),"")</f>
        <v/>
      </c>
      <c r="G136" s="215" t="str">
        <f>IFERROR(VLOOKUP($C136,'PORTIFÓLIO'!C:V,5,0),"")</f>
        <v/>
      </c>
      <c r="H136" s="254" t="str">
        <f t="array" ref="H136">IFERROR(INDEX('PORTIFÓLIO'!$H$4:$H$433,MATCH($C136,'PORTIFÓLIO'!$C$4:$C$433,0)),"")</f>
        <v/>
      </c>
      <c r="I136" s="256"/>
      <c r="J136" s="218">
        <f t="shared" si="16"/>
        <v>0</v>
      </c>
      <c r="K136" s="219" t="str">
        <f t="array" ref="K136">IFERROR(I136*INDEX('PORTIFÓLIO'!$S$4:$S$433,MATCH($C136,'PORTIFÓLIO'!$C$4:$C$433,0)),"")</f>
        <v/>
      </c>
      <c r="L136" s="219" t="str">
        <f t="array" ref="L136">IFERROR(J136*INDEX('PORTIFÓLIO'!$S$4:$S$433,MATCH($C136,'PORTIFÓLIO'!$C$4:$C$433,0)),"")</f>
        <v/>
      </c>
      <c r="M136" s="220"/>
      <c r="N136" s="220"/>
      <c r="O136" s="220"/>
      <c r="P136" s="220"/>
      <c r="Q136" s="220"/>
      <c r="R136" s="220"/>
      <c r="S136" s="220"/>
      <c r="T136" s="220"/>
      <c r="U136" s="220"/>
      <c r="V136" s="220"/>
      <c r="W136" s="220"/>
    </row>
    <row r="137" ht="15.75" customHeight="1" outlineLevel="1">
      <c r="A137" s="211"/>
      <c r="B137" s="212"/>
      <c r="C137" s="213"/>
      <c r="D137" s="214" t="str">
        <f>IFERROR(VLOOKUP($C137,'PORTIFÓLIO'!C:V,2,0),"")</f>
        <v/>
      </c>
      <c r="E137" s="211" t="str">
        <f>IFERROR(VLOOKUP($C137,'PORTIFÓLIO'!C:V,3,0),"")</f>
        <v/>
      </c>
      <c r="F137" s="211" t="str">
        <f>IFERROR(VLOOKUP($C137,'PORTIFÓLIO'!C:V,4,0),"")</f>
        <v/>
      </c>
      <c r="G137" s="215" t="str">
        <f>IFERROR(VLOOKUP($C137,'PORTIFÓLIO'!C:V,5,0),"")</f>
        <v/>
      </c>
      <c r="H137" s="254" t="str">
        <f t="array" ref="H137">IFERROR(INDEX('PORTIFÓLIO'!$H$4:$H$433,MATCH($C137,'PORTIFÓLIO'!$C$4:$C$433,0)),"")</f>
        <v/>
      </c>
      <c r="I137" s="256"/>
      <c r="J137" s="218">
        <f t="shared" si="16"/>
        <v>0</v>
      </c>
      <c r="K137" s="219" t="str">
        <f t="array" ref="K137">IFERROR(I137*INDEX('PORTIFÓLIO'!$S$4:$S$433,MATCH($C137,'PORTIFÓLIO'!$C$4:$C$433,0)),"")</f>
        <v/>
      </c>
      <c r="L137" s="219" t="str">
        <f t="array" ref="L137">IFERROR(J137*INDEX('PORTIFÓLIO'!$S$4:$S$433,MATCH($C137,'PORTIFÓLIO'!$C$4:$C$433,0)),"")</f>
        <v/>
      </c>
      <c r="M137" s="220"/>
      <c r="N137" s="220"/>
      <c r="O137" s="220"/>
      <c r="P137" s="220"/>
      <c r="Q137" s="220"/>
      <c r="R137" s="220"/>
      <c r="S137" s="220"/>
      <c r="T137" s="220"/>
      <c r="U137" s="220"/>
      <c r="V137" s="220"/>
      <c r="W137" s="220"/>
    </row>
    <row r="138" ht="15.75" customHeight="1" outlineLevel="1">
      <c r="A138" s="211"/>
      <c r="B138" s="212"/>
      <c r="C138" s="213"/>
      <c r="D138" s="214" t="str">
        <f>IFERROR(VLOOKUP($C138,'PORTIFÓLIO'!C:V,2,0),"")</f>
        <v/>
      </c>
      <c r="E138" s="211" t="str">
        <f>IFERROR(VLOOKUP($C138,'PORTIFÓLIO'!C:V,3,0),"")</f>
        <v/>
      </c>
      <c r="F138" s="211" t="str">
        <f>IFERROR(VLOOKUP($C138,'PORTIFÓLIO'!C:V,4,0),"")</f>
        <v/>
      </c>
      <c r="G138" s="215" t="str">
        <f>IFERROR(VLOOKUP($C138,'PORTIFÓLIO'!C:V,5,0),"")</f>
        <v/>
      </c>
      <c r="H138" s="254" t="str">
        <f t="array" ref="H138">IFERROR(INDEX('PORTIFÓLIO'!$H$4:$H$433,MATCH($C138,'PORTIFÓLIO'!$C$4:$C$433,0)),"")</f>
        <v/>
      </c>
      <c r="I138" s="256"/>
      <c r="J138" s="218">
        <f t="shared" si="16"/>
        <v>0</v>
      </c>
      <c r="K138" s="219" t="str">
        <f t="array" ref="K138">IFERROR(I138*INDEX('PORTIFÓLIO'!$S$4:$S$433,MATCH($C138,'PORTIFÓLIO'!$C$4:$C$433,0)),"")</f>
        <v/>
      </c>
      <c r="L138" s="219" t="str">
        <f t="array" ref="L138">IFERROR(J138*INDEX('PORTIFÓLIO'!$S$4:$S$433,MATCH($C138,'PORTIFÓLIO'!$C$4:$C$433,0)),"")</f>
        <v/>
      </c>
      <c r="M138" s="220"/>
      <c r="N138" s="220"/>
      <c r="O138" s="220"/>
      <c r="P138" s="220"/>
      <c r="Q138" s="220"/>
      <c r="R138" s="220"/>
      <c r="S138" s="220"/>
      <c r="T138" s="220"/>
      <c r="U138" s="220"/>
      <c r="V138" s="220"/>
      <c r="W138" s="220"/>
    </row>
    <row r="139" ht="15.75" customHeight="1" outlineLevel="1">
      <c r="A139" s="211"/>
      <c r="B139" s="212"/>
      <c r="C139" s="213"/>
      <c r="D139" s="214" t="str">
        <f>IFERROR(VLOOKUP($C139,'PORTIFÓLIO'!C:V,2,0),"")</f>
        <v/>
      </c>
      <c r="E139" s="211" t="str">
        <f>IFERROR(VLOOKUP($C139,'PORTIFÓLIO'!C:V,3,0),"")</f>
        <v/>
      </c>
      <c r="F139" s="211" t="str">
        <f>IFERROR(VLOOKUP($C139,'PORTIFÓLIO'!C:V,4,0),"")</f>
        <v/>
      </c>
      <c r="G139" s="215" t="str">
        <f>IFERROR(VLOOKUP($C139,'PORTIFÓLIO'!C:V,5,0),"")</f>
        <v/>
      </c>
      <c r="H139" s="254" t="str">
        <f t="array" ref="H139">IFERROR(INDEX('PORTIFÓLIO'!$H$4:$H$433,MATCH($C139,'PORTIFÓLIO'!$C$4:$C$433,0)),"")</f>
        <v/>
      </c>
      <c r="I139" s="256"/>
      <c r="J139" s="218">
        <f t="shared" si="16"/>
        <v>0</v>
      </c>
      <c r="K139" s="219" t="str">
        <f t="array" ref="K139">IFERROR(I139*INDEX('PORTIFÓLIO'!$S$4:$S$433,MATCH($C139,'PORTIFÓLIO'!$C$4:$C$433,0)),"")</f>
        <v/>
      </c>
      <c r="L139" s="219" t="str">
        <f t="array" ref="L139">IFERROR(J139*INDEX('PORTIFÓLIO'!$S$4:$S$433,MATCH($C139,'PORTIFÓLIO'!$C$4:$C$433,0)),"")</f>
        <v/>
      </c>
      <c r="M139" s="220"/>
      <c r="N139" s="220"/>
      <c r="O139" s="220"/>
      <c r="P139" s="220"/>
      <c r="Q139" s="220"/>
      <c r="R139" s="220"/>
      <c r="S139" s="220"/>
      <c r="T139" s="220"/>
      <c r="U139" s="220"/>
      <c r="V139" s="220"/>
      <c r="W139" s="220"/>
    </row>
    <row r="140" ht="15.75" customHeight="1" outlineLevel="1">
      <c r="A140" s="211"/>
      <c r="B140" s="212"/>
      <c r="C140" s="213"/>
      <c r="D140" s="214" t="str">
        <f>IFERROR(VLOOKUP($C140,'PORTIFÓLIO'!C:V,2,0),"")</f>
        <v/>
      </c>
      <c r="E140" s="211" t="str">
        <f>IFERROR(VLOOKUP($C140,'PORTIFÓLIO'!C:V,3,0),"")</f>
        <v/>
      </c>
      <c r="F140" s="211" t="str">
        <f>IFERROR(VLOOKUP($C140,'PORTIFÓLIO'!C:V,4,0),"")</f>
        <v/>
      </c>
      <c r="G140" s="215" t="str">
        <f>IFERROR(VLOOKUP($C140,'PORTIFÓLIO'!C:V,5,0),"")</f>
        <v/>
      </c>
      <c r="H140" s="254" t="str">
        <f t="array" ref="H140">IFERROR(INDEX('PORTIFÓLIO'!$H$4:$H$433,MATCH($C140,'PORTIFÓLIO'!$C$4:$C$433,0)),"")</f>
        <v/>
      </c>
      <c r="I140" s="255"/>
      <c r="J140" s="218">
        <f t="shared" si="16"/>
        <v>0</v>
      </c>
      <c r="K140" s="219" t="str">
        <f t="array" ref="K140">IFERROR(I140*INDEX('PORTIFÓLIO'!$S$4:$S$433,MATCH($C140,'PORTIFÓLIO'!$C$4:$C$433,0)),"")</f>
        <v/>
      </c>
      <c r="L140" s="219" t="str">
        <f t="array" ref="L140">IFERROR(J140*INDEX('PORTIFÓLIO'!$S$4:$S$433,MATCH($C140,'PORTIFÓLIO'!$C$4:$C$433,0)),"")</f>
        <v/>
      </c>
      <c r="M140" s="220"/>
      <c r="N140" s="220"/>
      <c r="O140" s="220"/>
      <c r="P140" s="220"/>
      <c r="Q140" s="220"/>
      <c r="R140" s="220"/>
      <c r="S140" s="220"/>
      <c r="T140" s="220"/>
      <c r="U140" s="220"/>
      <c r="V140" s="220"/>
      <c r="W140" s="220"/>
    </row>
    <row r="141" ht="15.75" customHeight="1" outlineLevel="1">
      <c r="A141" s="211"/>
      <c r="B141" s="212"/>
      <c r="C141" s="213"/>
      <c r="D141" s="214" t="str">
        <f>IFERROR(VLOOKUP($C141,'PORTIFÓLIO'!C:V,2,0),"")</f>
        <v/>
      </c>
      <c r="E141" s="211" t="str">
        <f>IFERROR(VLOOKUP($C141,'PORTIFÓLIO'!C:V,3,0),"")</f>
        <v/>
      </c>
      <c r="F141" s="211" t="str">
        <f>IFERROR(VLOOKUP($C141,'PORTIFÓLIO'!C:V,4,0),"")</f>
        <v/>
      </c>
      <c r="G141" s="215" t="str">
        <f>IFERROR(VLOOKUP($C141,'PORTIFÓLIO'!C:V,5,0),"")</f>
        <v/>
      </c>
      <c r="H141" s="254" t="str">
        <f t="array" ref="H141">IFERROR(INDEX('PORTIFÓLIO'!$H$4:$H$433,MATCH($C141,'PORTIFÓLIO'!$C$4:$C$433,0)),"")</f>
        <v/>
      </c>
      <c r="I141" s="256"/>
      <c r="J141" s="218">
        <f t="shared" si="16"/>
        <v>0</v>
      </c>
      <c r="K141" s="219" t="str">
        <f t="array" ref="K141">IFERROR(I141*INDEX('PORTIFÓLIO'!$S$4:$S$433,MATCH($C141,'PORTIFÓLIO'!$C$4:$C$433,0)),"")</f>
        <v/>
      </c>
      <c r="L141" s="219" t="str">
        <f t="array" ref="L141">IFERROR(J141*INDEX('PORTIFÓLIO'!$S$4:$S$433,MATCH($C141,'PORTIFÓLIO'!$C$4:$C$433,0)),"")</f>
        <v/>
      </c>
      <c r="M141" s="220"/>
      <c r="N141" s="220"/>
      <c r="O141" s="220"/>
      <c r="P141" s="220"/>
      <c r="Q141" s="220"/>
      <c r="R141" s="220"/>
      <c r="S141" s="220"/>
      <c r="T141" s="220"/>
      <c r="U141" s="220"/>
      <c r="V141" s="220"/>
      <c r="W141" s="220"/>
    </row>
    <row r="142" ht="15.75" customHeight="1" outlineLevel="1">
      <c r="A142" s="211"/>
      <c r="B142" s="212"/>
      <c r="C142" s="213"/>
      <c r="D142" s="214" t="str">
        <f>IFERROR(VLOOKUP($C142,'PORTIFÓLIO'!C:V,2,0),"")</f>
        <v/>
      </c>
      <c r="E142" s="211" t="str">
        <f>IFERROR(VLOOKUP($C142,'PORTIFÓLIO'!C:V,3,0),"")</f>
        <v/>
      </c>
      <c r="F142" s="211" t="str">
        <f>IFERROR(VLOOKUP($C142,'PORTIFÓLIO'!C:V,4,0),"")</f>
        <v/>
      </c>
      <c r="G142" s="215" t="str">
        <f>IFERROR(VLOOKUP($C142,'PORTIFÓLIO'!C:V,5,0),"")</f>
        <v/>
      </c>
      <c r="H142" s="254" t="str">
        <f t="array" ref="H142">IFERROR(INDEX('PORTIFÓLIO'!$H$4:$H$433,MATCH($C142,'PORTIFÓLIO'!$C$4:$C$433,0)),"")</f>
        <v/>
      </c>
      <c r="I142" s="256"/>
      <c r="J142" s="218">
        <f t="shared" si="16"/>
        <v>0</v>
      </c>
      <c r="K142" s="219" t="str">
        <f t="array" ref="K142">IFERROR(I142*INDEX('PORTIFÓLIO'!$S$4:$S$433,MATCH($C142,'PORTIFÓLIO'!$C$4:$C$433,0)),"")</f>
        <v/>
      </c>
      <c r="L142" s="219" t="str">
        <f t="array" ref="L142">IFERROR(J142*INDEX('PORTIFÓLIO'!$S$4:$S$433,MATCH($C142,'PORTIFÓLIO'!$C$4:$C$433,0)),"")</f>
        <v/>
      </c>
      <c r="M142" s="220"/>
      <c r="N142" s="220"/>
      <c r="O142" s="220"/>
      <c r="P142" s="220"/>
      <c r="Q142" s="220"/>
      <c r="R142" s="220"/>
      <c r="S142" s="220"/>
      <c r="T142" s="220"/>
      <c r="U142" s="220"/>
      <c r="V142" s="220"/>
      <c r="W142" s="220"/>
    </row>
    <row r="143" ht="15.75" customHeight="1" outlineLevel="1">
      <c r="A143" s="211"/>
      <c r="B143" s="212"/>
      <c r="C143" s="213"/>
      <c r="D143" s="214" t="str">
        <f>IFERROR(VLOOKUP($C143,'PORTIFÓLIO'!C:V,2,0),"")</f>
        <v/>
      </c>
      <c r="E143" s="211" t="str">
        <f>IFERROR(VLOOKUP($C143,'PORTIFÓLIO'!C:V,3,0),"")</f>
        <v/>
      </c>
      <c r="F143" s="211" t="str">
        <f>IFERROR(VLOOKUP($C143,'PORTIFÓLIO'!C:V,4,0),"")</f>
        <v/>
      </c>
      <c r="G143" s="215" t="str">
        <f>IFERROR(VLOOKUP($C143,'PORTIFÓLIO'!C:V,5,0),"")</f>
        <v/>
      </c>
      <c r="H143" s="254" t="str">
        <f t="array" ref="H143">IFERROR(INDEX('PORTIFÓLIO'!$H$4:$H$433,MATCH($C143,'PORTIFÓLIO'!$C$4:$C$433,0)),"")</f>
        <v/>
      </c>
      <c r="I143" s="256"/>
      <c r="J143" s="218">
        <f t="shared" si="16"/>
        <v>0</v>
      </c>
      <c r="K143" s="219" t="str">
        <f t="array" ref="K143">IFERROR(I143*INDEX('PORTIFÓLIO'!$S$4:$S$433,MATCH($C143,'PORTIFÓLIO'!$C$4:$C$433,0)),"")</f>
        <v/>
      </c>
      <c r="L143" s="219" t="str">
        <f t="array" ref="L143">IFERROR(J143*INDEX('PORTIFÓLIO'!$S$4:$S$433,MATCH($C143,'PORTIFÓLIO'!$C$4:$C$433,0)),"")</f>
        <v/>
      </c>
      <c r="M143" s="220"/>
      <c r="N143" s="220"/>
      <c r="O143" s="220"/>
      <c r="P143" s="220"/>
      <c r="Q143" s="220"/>
      <c r="R143" s="220"/>
      <c r="S143" s="220"/>
      <c r="T143" s="220"/>
      <c r="U143" s="220"/>
      <c r="V143" s="220"/>
      <c r="W143" s="220"/>
    </row>
    <row r="144" ht="15.75" customHeight="1" outlineLevel="1">
      <c r="A144" s="211"/>
      <c r="B144" s="212"/>
      <c r="C144" s="213"/>
      <c r="D144" s="214" t="str">
        <f>IFERROR(VLOOKUP($C144,'PORTIFÓLIO'!C:V,2,0),"")</f>
        <v/>
      </c>
      <c r="E144" s="211" t="str">
        <f>IFERROR(VLOOKUP($C144,'PORTIFÓLIO'!C:V,3,0),"")</f>
        <v/>
      </c>
      <c r="F144" s="211" t="str">
        <f>IFERROR(VLOOKUP($C144,'PORTIFÓLIO'!C:V,4,0),"")</f>
        <v/>
      </c>
      <c r="G144" s="215" t="str">
        <f>IFERROR(VLOOKUP($C144,'PORTIFÓLIO'!C:V,5,0),"")</f>
        <v/>
      </c>
      <c r="H144" s="254" t="str">
        <f t="array" ref="H144">IFERROR(INDEX('PORTIFÓLIO'!$H$4:$H$433,MATCH($C144,'PORTIFÓLIO'!$C$4:$C$433,0)),"")</f>
        <v/>
      </c>
      <c r="I144" s="256"/>
      <c r="J144" s="218">
        <f t="shared" si="16"/>
        <v>0</v>
      </c>
      <c r="K144" s="219" t="str">
        <f t="array" ref="K144">IFERROR(I144*INDEX('PORTIFÓLIO'!$S$4:$S$433,MATCH($C144,'PORTIFÓLIO'!$C$4:$C$433,0)),"")</f>
        <v/>
      </c>
      <c r="L144" s="219" t="str">
        <f t="array" ref="L144">IFERROR(J144*INDEX('PORTIFÓLIO'!$S$4:$S$433,MATCH($C144,'PORTIFÓLIO'!$C$4:$C$433,0)),"")</f>
        <v/>
      </c>
      <c r="M144" s="220"/>
      <c r="N144" s="220"/>
      <c r="O144" s="220"/>
      <c r="P144" s="220"/>
      <c r="Q144" s="220"/>
      <c r="R144" s="220"/>
      <c r="S144" s="220"/>
      <c r="T144" s="220"/>
      <c r="U144" s="220"/>
      <c r="V144" s="220"/>
      <c r="W144" s="220"/>
    </row>
    <row r="145" ht="15.75" customHeight="1" outlineLevel="1">
      <c r="A145" s="211"/>
      <c r="B145" s="212"/>
      <c r="C145" s="213"/>
      <c r="D145" s="214" t="str">
        <f>IFERROR(VLOOKUP($C145,'PORTIFÓLIO'!C:V,2,0),"")</f>
        <v/>
      </c>
      <c r="E145" s="211" t="str">
        <f>IFERROR(VLOOKUP($C145,'PORTIFÓLIO'!C:V,3,0),"")</f>
        <v/>
      </c>
      <c r="F145" s="211" t="str">
        <f>IFERROR(VLOOKUP($C145,'PORTIFÓLIO'!C:V,4,0),"")</f>
        <v/>
      </c>
      <c r="G145" s="215" t="str">
        <f>IFERROR(VLOOKUP($C145,'PORTIFÓLIO'!C:V,5,0),"")</f>
        <v/>
      </c>
      <c r="H145" s="254" t="str">
        <f t="array" ref="H145">IFERROR(INDEX('PORTIFÓLIO'!$H$4:$H$433,MATCH($C145,'PORTIFÓLIO'!$C$4:$C$433,0)),"")</f>
        <v/>
      </c>
      <c r="I145" s="256"/>
      <c r="J145" s="218">
        <f t="shared" si="16"/>
        <v>0</v>
      </c>
      <c r="K145" s="219" t="str">
        <f t="array" ref="K145">IFERROR(I145*INDEX('PORTIFÓLIO'!$S$4:$S$433,MATCH($C145,'PORTIFÓLIO'!$C$4:$C$433,0)),"")</f>
        <v/>
      </c>
      <c r="L145" s="219" t="str">
        <f t="array" ref="L145">IFERROR(J145*INDEX('PORTIFÓLIO'!$S$4:$S$433,MATCH($C145,'PORTIFÓLIO'!$C$4:$C$433,0)),"")</f>
        <v/>
      </c>
      <c r="M145" s="220"/>
      <c r="N145" s="220"/>
      <c r="O145" s="220"/>
      <c r="P145" s="220"/>
      <c r="Q145" s="220"/>
      <c r="R145" s="220"/>
      <c r="S145" s="220"/>
      <c r="T145" s="220"/>
      <c r="U145" s="220"/>
      <c r="V145" s="220"/>
      <c r="W145" s="220"/>
    </row>
    <row r="146" ht="15.75" customHeight="1" outlineLevel="1">
      <c r="A146" s="211"/>
      <c r="B146" s="212"/>
      <c r="C146" s="213"/>
      <c r="D146" s="214" t="str">
        <f>IFERROR(VLOOKUP($C146,'PORTIFÓLIO'!C:V,2,0),"")</f>
        <v/>
      </c>
      <c r="E146" s="211" t="str">
        <f>IFERROR(VLOOKUP($C146,'PORTIFÓLIO'!C:V,3,0),"")</f>
        <v/>
      </c>
      <c r="F146" s="211" t="str">
        <f>IFERROR(VLOOKUP($C146,'PORTIFÓLIO'!C:V,4,0),"")</f>
        <v/>
      </c>
      <c r="G146" s="215" t="str">
        <f>IFERROR(VLOOKUP($C146,'PORTIFÓLIO'!C:V,5,0),"")</f>
        <v/>
      </c>
      <c r="H146" s="254" t="str">
        <f t="array" ref="H146">IFERROR(INDEX('PORTIFÓLIO'!$H$4:$H$433,MATCH($C146,'PORTIFÓLIO'!$C$4:$C$433,0)),"")</f>
        <v/>
      </c>
      <c r="I146" s="256"/>
      <c r="J146" s="218">
        <f t="shared" si="16"/>
        <v>0</v>
      </c>
      <c r="K146" s="219" t="str">
        <f t="array" ref="K146">IFERROR(I146*INDEX('PORTIFÓLIO'!$S$4:$S$433,MATCH($C146,'PORTIFÓLIO'!$C$4:$C$433,0)),"")</f>
        <v/>
      </c>
      <c r="L146" s="219" t="str">
        <f t="array" ref="L146">IFERROR(J146*INDEX('PORTIFÓLIO'!$S$4:$S$433,MATCH($C146,'PORTIFÓLIO'!$C$4:$C$433,0)),"")</f>
        <v/>
      </c>
      <c r="M146" s="220"/>
      <c r="N146" s="220"/>
      <c r="O146" s="220"/>
      <c r="P146" s="220"/>
      <c r="Q146" s="220"/>
      <c r="R146" s="220"/>
      <c r="S146" s="220"/>
      <c r="T146" s="220"/>
      <c r="U146" s="220"/>
      <c r="V146" s="220"/>
      <c r="W146" s="220"/>
    </row>
    <row r="147" ht="15.75" customHeight="1" outlineLevel="1">
      <c r="A147" s="211"/>
      <c r="B147" s="227"/>
      <c r="C147" s="211"/>
      <c r="D147" s="214" t="str">
        <f>IFERROR(VLOOKUP($C147,'PORTIFÓLIO'!C:V,2,0),"")</f>
        <v/>
      </c>
      <c r="E147" s="211" t="str">
        <f>IFERROR(VLOOKUP($C147,'PORTIFÓLIO'!C:V,3,0),"")</f>
        <v/>
      </c>
      <c r="F147" s="211" t="str">
        <f>IFERROR(VLOOKUP($C147,'PORTIFÓLIO'!C:V,4,0),"")</f>
        <v/>
      </c>
      <c r="G147" s="215" t="str">
        <f>IFERROR(VLOOKUP($C147,'PORTIFÓLIO'!C:V,5,0),"")</f>
        <v/>
      </c>
      <c r="H147" s="254" t="str">
        <f t="array" ref="H147">IFERROR(INDEX('PORTIFÓLIO'!$H$4:$H$433,MATCH($C147,'PORTIFÓLIO'!$C$4:$C$433,0)),"")</f>
        <v/>
      </c>
      <c r="I147" s="256"/>
      <c r="J147" s="218"/>
      <c r="K147" s="219" t="str">
        <f t="array" ref="K147">IFERROR(I147*INDEX('PORTIFÓLIO'!$S$4:$S$433,MATCH($C147,'PORTIFÓLIO'!$C$4:$C$433,0)),"")</f>
        <v/>
      </c>
      <c r="L147" s="219" t="str">
        <f t="array" ref="L147">IFERROR(J147*INDEX('PORTIFÓLIO'!$S$4:$S$433,MATCH($C147,'PORTIFÓLIO'!$C$4:$C$433,0)),"")</f>
        <v/>
      </c>
      <c r="M147" s="220"/>
      <c r="N147" s="220"/>
      <c r="O147" s="220"/>
      <c r="P147" s="220"/>
      <c r="Q147" s="220"/>
      <c r="R147" s="220"/>
      <c r="S147" s="220"/>
      <c r="T147" s="220"/>
      <c r="U147" s="220"/>
      <c r="V147" s="220"/>
      <c r="W147" s="220"/>
    </row>
    <row r="148" ht="15.75" customHeight="1">
      <c r="A148" s="229" t="s">
        <v>1192</v>
      </c>
      <c r="B148" s="230"/>
      <c r="C148" s="231"/>
      <c r="D148" s="232"/>
      <c r="E148" s="231"/>
      <c r="F148" s="231"/>
      <c r="G148" s="233"/>
      <c r="H148" s="233"/>
      <c r="I148" s="258"/>
      <c r="J148" s="236"/>
      <c r="K148" s="237">
        <f t="shared" ref="K148:L148" si="17">SUBTOTAL(9,K149:K162)</f>
        <v>57.21464</v>
      </c>
      <c r="L148" s="237">
        <f t="shared" si="17"/>
        <v>17850.96768</v>
      </c>
      <c r="M148" s="220"/>
      <c r="N148" s="220"/>
      <c r="O148" s="220"/>
      <c r="P148" s="220"/>
      <c r="Q148" s="220"/>
      <c r="R148" s="220"/>
      <c r="S148" s="220"/>
      <c r="T148" s="220"/>
      <c r="U148" s="220"/>
      <c r="V148" s="220"/>
      <c r="W148" s="220"/>
    </row>
    <row r="149" ht="15.75" customHeight="1" outlineLevel="1">
      <c r="A149" s="213"/>
      <c r="B149" s="212" t="s">
        <v>0</v>
      </c>
      <c r="C149" s="213" t="s">
        <v>434</v>
      </c>
      <c r="D149" s="214" t="str">
        <f>IFERROR(VLOOKUP($C149,'PORTIFÓLIO'!C:V,2,0),"")</f>
        <v>AZOXISTROBINA + TEBUCONAZOL</v>
      </c>
      <c r="E149" s="211" t="str">
        <f>IFERROR(VLOOKUP($C149,'PORTIFÓLIO'!C:V,3,0),"")</f>
        <v>120 + 200</v>
      </c>
      <c r="F149" s="211" t="str">
        <f>IFERROR(VLOOKUP($C149,'PORTIFÓLIO'!C:V,4,0),"")</f>
        <v>L</v>
      </c>
      <c r="G149" s="225" t="str">
        <f>IFERROR(VLOOKUP($C149,'PORTIFÓLIO'!C:V,5,0),"")</f>
        <v>📄 Ver bula</v>
      </c>
      <c r="H149" s="254">
        <f t="array" ref="H149">IFERROR(INDEX('PORTIFÓLIO'!$H$4:$H$433,MATCH($C149,'PORTIFÓLIO'!$C$4:$C$433,0)),"")</f>
        <v>0.5</v>
      </c>
      <c r="I149" s="255">
        <v>0.5</v>
      </c>
      <c r="J149" s="218">
        <f t="shared" ref="J149:J163" si="18">I149*$B$2</f>
        <v>156</v>
      </c>
      <c r="K149" s="219">
        <f t="array" ref="K149">IFERROR(I149*INDEX('PORTIFÓLIO'!$S$4:$S$433,MATCH($C149,'PORTIFÓLIO'!$C$4:$C$433,0)),"")</f>
        <v>17.66448</v>
      </c>
      <c r="L149" s="219">
        <f t="array" ref="L149">IFERROR(J149*INDEX('PORTIFÓLIO'!$S$4:$S$433,MATCH($C149,'PORTIFÓLIO'!$C$4:$C$433,0)),"")</f>
        <v>5511.31776</v>
      </c>
      <c r="M149" s="220"/>
      <c r="N149" s="220"/>
      <c r="O149" s="220"/>
      <c r="P149" s="220"/>
      <c r="Q149" s="220"/>
      <c r="R149" s="220"/>
      <c r="S149" s="220"/>
      <c r="T149" s="220"/>
      <c r="U149" s="220"/>
      <c r="V149" s="220"/>
      <c r="W149" s="220"/>
    </row>
    <row r="150" ht="15.75" customHeight="1" outlineLevel="1">
      <c r="A150" s="211"/>
      <c r="B150" s="212" t="s">
        <v>0</v>
      </c>
      <c r="C150" s="213" t="s">
        <v>572</v>
      </c>
      <c r="D150" s="214" t="str">
        <f>IFERROR(VLOOKUP($C150,'PORTIFÓLIO'!C:V,2,0),"")</f>
        <v>CLOROTALONIL</v>
      </c>
      <c r="E150" s="211">
        <f>IFERROR(VLOOKUP($C150,'PORTIFÓLIO'!C:V,3,0),"")</f>
        <v>720</v>
      </c>
      <c r="F150" s="211" t="str">
        <f>IFERROR(VLOOKUP($C150,'PORTIFÓLIO'!C:V,4,0),"")</f>
        <v>KG</v>
      </c>
      <c r="G150" s="225" t="str">
        <f>IFERROR(VLOOKUP($C150,'PORTIFÓLIO'!C:V,5,0),"")</f>
        <v>📄 Ver bula</v>
      </c>
      <c r="H150" s="254">
        <f t="array" ref="H150">IFERROR(INDEX('PORTIFÓLIO'!$H$4:$H$433,MATCH($C150,'PORTIFÓLIO'!$C$4:$C$433,0)),"")</f>
        <v>1.5</v>
      </c>
      <c r="I150" s="255">
        <v>1.5</v>
      </c>
      <c r="J150" s="218">
        <f t="shared" si="18"/>
        <v>468</v>
      </c>
      <c r="K150" s="219">
        <f t="array" ref="K150">IFERROR(I150*INDEX('PORTIFÓLIO'!$S$4:$S$433,MATCH($C150,'PORTIFÓLIO'!$C$4:$C$433,0)),"")</f>
        <v>36.34416</v>
      </c>
      <c r="L150" s="219">
        <f t="array" ref="L150">IFERROR(J150*INDEX('PORTIFÓLIO'!$S$4:$S$433,MATCH($C150,'PORTIFÓLIO'!$C$4:$C$433,0)),"")</f>
        <v>11339.37792</v>
      </c>
      <c r="M150" s="220"/>
      <c r="N150" s="220"/>
      <c r="O150" s="220"/>
      <c r="P150" s="220"/>
      <c r="Q150" s="220"/>
      <c r="R150" s="220"/>
      <c r="S150" s="220"/>
      <c r="T150" s="220"/>
      <c r="U150" s="220"/>
      <c r="V150" s="220"/>
      <c r="W150" s="220"/>
    </row>
    <row r="151" ht="15.75" customHeight="1" outlineLevel="1">
      <c r="A151" s="211"/>
      <c r="B151" s="212" t="s">
        <v>6</v>
      </c>
      <c r="C151" s="213" t="s">
        <v>354</v>
      </c>
      <c r="D151" s="214" t="str">
        <f>IFERROR(VLOOKUP($C151,'PORTIFÓLIO'!C:V,2,0),"")</f>
        <v>OLEO MINERAL</v>
      </c>
      <c r="E151" s="211">
        <f>IFERROR(VLOOKUP($C151,'PORTIFÓLIO'!C:V,3,0),"")</f>
        <v>761</v>
      </c>
      <c r="F151" s="211" t="str">
        <f>IFERROR(VLOOKUP($C151,'PORTIFÓLIO'!C:V,4,0),"")</f>
        <v>L</v>
      </c>
      <c r="G151" s="225" t="str">
        <f>IFERROR(VLOOKUP($C151,'PORTIFÓLIO'!C:V,5,0),"")</f>
        <v>📄 Ver bula</v>
      </c>
      <c r="H151" s="254">
        <f t="array" ref="H151">IFERROR(INDEX('PORTIFÓLIO'!$H$4:$H$433,MATCH($C151,'PORTIFÓLIO'!$C$4:$C$433,0)),"")</f>
        <v>0.2</v>
      </c>
      <c r="I151" s="255">
        <v>0.2</v>
      </c>
      <c r="J151" s="218">
        <f t="shared" si="18"/>
        <v>62.4</v>
      </c>
      <c r="K151" s="219">
        <f t="array" ref="K151">IFERROR(I151*INDEX('PORTIFÓLIO'!$S$4:$S$433,MATCH($C151,'PORTIFÓLIO'!$C$4:$C$433,0)),"")</f>
        <v>3.206</v>
      </c>
      <c r="L151" s="219">
        <f t="array" ref="L151">IFERROR(J151*INDEX('PORTIFÓLIO'!$S$4:$S$433,MATCH($C151,'PORTIFÓLIO'!$C$4:$C$433,0)),"")</f>
        <v>1000.272</v>
      </c>
      <c r="M151" s="220"/>
      <c r="N151" s="220"/>
      <c r="O151" s="220"/>
      <c r="P151" s="220"/>
      <c r="Q151" s="220"/>
      <c r="R151" s="220"/>
      <c r="S151" s="220"/>
      <c r="T151" s="220"/>
      <c r="U151" s="220"/>
      <c r="V151" s="220"/>
      <c r="W151" s="220"/>
    </row>
    <row r="152" ht="15.75" customHeight="1" outlineLevel="1">
      <c r="A152" s="211"/>
      <c r="B152" s="212"/>
      <c r="C152" s="213"/>
      <c r="D152" s="214" t="str">
        <f>IFERROR(VLOOKUP($C152,'PORTIFÓLIO'!C:V,2,0),"")</f>
        <v/>
      </c>
      <c r="E152" s="211" t="str">
        <f>IFERROR(VLOOKUP($C152,'PORTIFÓLIO'!C:V,3,0),"")</f>
        <v/>
      </c>
      <c r="F152" s="211" t="str">
        <f>IFERROR(VLOOKUP($C152,'PORTIFÓLIO'!C:V,4,0),"")</f>
        <v/>
      </c>
      <c r="G152" s="215" t="str">
        <f>IFERROR(VLOOKUP($C152,'PORTIFÓLIO'!C:V,5,0),"")</f>
        <v/>
      </c>
      <c r="H152" s="254" t="str">
        <f t="array" ref="H152">IFERROR(INDEX('PORTIFÓLIO'!$H$4:$H$433,MATCH($C152,'PORTIFÓLIO'!$C$4:$C$433,0)),"")</f>
        <v/>
      </c>
      <c r="I152" s="256"/>
      <c r="J152" s="218">
        <f t="shared" si="18"/>
        <v>0</v>
      </c>
      <c r="K152" s="219" t="str">
        <f t="array" ref="K152">IFERROR(I152*INDEX('PORTIFÓLIO'!$S$4:$S$433,MATCH($C152,'PORTIFÓLIO'!$C$4:$C$433,0)),"")</f>
        <v/>
      </c>
      <c r="L152" s="219" t="str">
        <f t="array" ref="L152">IFERROR(J152*INDEX('PORTIFÓLIO'!$S$4:$S$433,MATCH($C152,'PORTIFÓLIO'!$C$4:$C$433,0)),"")</f>
        <v/>
      </c>
      <c r="M152" s="220"/>
      <c r="N152" s="220"/>
      <c r="O152" s="220"/>
      <c r="P152" s="220"/>
      <c r="Q152" s="220"/>
      <c r="R152" s="220"/>
      <c r="S152" s="220"/>
      <c r="T152" s="220"/>
      <c r="U152" s="220"/>
      <c r="V152" s="220"/>
      <c r="W152" s="220"/>
    </row>
    <row r="153" ht="15.75" customHeight="1" outlineLevel="1">
      <c r="A153" s="211"/>
      <c r="B153" s="212"/>
      <c r="C153" s="213"/>
      <c r="D153" s="214" t="str">
        <f>IFERROR(VLOOKUP($C153,'PORTIFÓLIO'!C:V,2,0),"")</f>
        <v/>
      </c>
      <c r="E153" s="211" t="str">
        <f>IFERROR(VLOOKUP($C153,'PORTIFÓLIO'!C:V,3,0),"")</f>
        <v/>
      </c>
      <c r="F153" s="211" t="str">
        <f>IFERROR(VLOOKUP($C153,'PORTIFÓLIO'!C:V,4,0),"")</f>
        <v/>
      </c>
      <c r="G153" s="215" t="str">
        <f>IFERROR(VLOOKUP($C153,'PORTIFÓLIO'!C:V,5,0),"")</f>
        <v/>
      </c>
      <c r="H153" s="254" t="str">
        <f t="array" ref="H153">IFERROR(INDEX('PORTIFÓLIO'!$H$4:$H$433,MATCH($C153,'PORTIFÓLIO'!$C$4:$C$433,0)),"")</f>
        <v/>
      </c>
      <c r="I153" s="256"/>
      <c r="J153" s="218">
        <f t="shared" si="18"/>
        <v>0</v>
      </c>
      <c r="K153" s="219" t="str">
        <f t="array" ref="K153">IFERROR(I153*INDEX('PORTIFÓLIO'!$S$4:$S$433,MATCH($C153,'PORTIFÓLIO'!$C$4:$C$433,0)),"")</f>
        <v/>
      </c>
      <c r="L153" s="219" t="str">
        <f t="array" ref="L153">IFERROR(J153*INDEX('PORTIFÓLIO'!$S$4:$S$433,MATCH($C153,'PORTIFÓLIO'!$C$4:$C$433,0)),"")</f>
        <v/>
      </c>
      <c r="M153" s="220"/>
      <c r="N153" s="220"/>
      <c r="O153" s="220"/>
      <c r="P153" s="220"/>
      <c r="Q153" s="220"/>
      <c r="R153" s="220"/>
      <c r="S153" s="220"/>
      <c r="T153" s="220"/>
      <c r="U153" s="220"/>
      <c r="V153" s="220"/>
      <c r="W153" s="220"/>
    </row>
    <row r="154" ht="15.75" customHeight="1" outlineLevel="1">
      <c r="A154" s="211"/>
      <c r="B154" s="212"/>
      <c r="C154" s="213"/>
      <c r="D154" s="214" t="str">
        <f>IFERROR(VLOOKUP($C154,'PORTIFÓLIO'!C:V,2,0),"")</f>
        <v/>
      </c>
      <c r="E154" s="211" t="str">
        <f>IFERROR(VLOOKUP($C154,'PORTIFÓLIO'!C:V,3,0),"")</f>
        <v/>
      </c>
      <c r="F154" s="211" t="str">
        <f>IFERROR(VLOOKUP($C154,'PORTIFÓLIO'!C:V,4,0),"")</f>
        <v/>
      </c>
      <c r="G154" s="215" t="str">
        <f>IFERROR(VLOOKUP($C154,'PORTIFÓLIO'!C:V,5,0),"")</f>
        <v/>
      </c>
      <c r="H154" s="254" t="str">
        <f t="array" ref="H154">IFERROR(INDEX('PORTIFÓLIO'!$H$4:$H$433,MATCH($C154,'PORTIFÓLIO'!$C$4:$C$433,0)),"")</f>
        <v/>
      </c>
      <c r="I154" s="256"/>
      <c r="J154" s="218">
        <f t="shared" si="18"/>
        <v>0</v>
      </c>
      <c r="K154" s="219" t="str">
        <f t="array" ref="K154">IFERROR(I154*INDEX('PORTIFÓLIO'!$S$4:$S$433,MATCH($C154,'PORTIFÓLIO'!$C$4:$C$433,0)),"")</f>
        <v/>
      </c>
      <c r="L154" s="219" t="str">
        <f t="array" ref="L154">IFERROR(J154*INDEX('PORTIFÓLIO'!$S$4:$S$433,MATCH($C154,'PORTIFÓLIO'!$C$4:$C$433,0)),"")</f>
        <v/>
      </c>
      <c r="M154" s="220"/>
      <c r="N154" s="220"/>
      <c r="O154" s="220"/>
      <c r="P154" s="220"/>
      <c r="Q154" s="220"/>
      <c r="R154" s="220"/>
      <c r="S154" s="220"/>
      <c r="T154" s="220"/>
      <c r="U154" s="220"/>
      <c r="V154" s="220"/>
      <c r="W154" s="220"/>
    </row>
    <row r="155" ht="15.75" customHeight="1" outlineLevel="1">
      <c r="A155" s="211"/>
      <c r="B155" s="212"/>
      <c r="C155" s="213"/>
      <c r="D155" s="214" t="str">
        <f>IFERROR(VLOOKUP($C155,'PORTIFÓLIO'!C:V,2,0),"")</f>
        <v/>
      </c>
      <c r="E155" s="211" t="str">
        <f>IFERROR(VLOOKUP($C155,'PORTIFÓLIO'!C:V,3,0),"")</f>
        <v/>
      </c>
      <c r="F155" s="211" t="str">
        <f>IFERROR(VLOOKUP($C155,'PORTIFÓLIO'!C:V,4,0),"")</f>
        <v/>
      </c>
      <c r="G155" s="215" t="str">
        <f>IFERROR(VLOOKUP($C155,'PORTIFÓLIO'!C:V,5,0),"")</f>
        <v/>
      </c>
      <c r="H155" s="254" t="str">
        <f t="array" ref="H155">IFERROR(INDEX('PORTIFÓLIO'!$H$4:$H$433,MATCH($C155,'PORTIFÓLIO'!$C$4:$C$433,0)),"")</f>
        <v/>
      </c>
      <c r="I155" s="256"/>
      <c r="J155" s="218">
        <f t="shared" si="18"/>
        <v>0</v>
      </c>
      <c r="K155" s="219" t="str">
        <f t="array" ref="K155">IFERROR(I155*INDEX('PORTIFÓLIO'!$S$4:$S$433,MATCH($C155,'PORTIFÓLIO'!$C$4:$C$433,0)),"")</f>
        <v/>
      </c>
      <c r="L155" s="219" t="str">
        <f t="array" ref="L155">IFERROR(J155*INDEX('PORTIFÓLIO'!$S$4:$S$433,MATCH($C155,'PORTIFÓLIO'!$C$4:$C$433,0)),"")</f>
        <v/>
      </c>
      <c r="M155" s="220"/>
      <c r="N155" s="220"/>
      <c r="O155" s="220"/>
      <c r="P155" s="220"/>
      <c r="Q155" s="220"/>
      <c r="R155" s="220"/>
      <c r="S155" s="220"/>
      <c r="T155" s="220"/>
      <c r="U155" s="220"/>
      <c r="V155" s="220"/>
      <c r="W155" s="220"/>
    </row>
    <row r="156" ht="15.75" customHeight="1" outlineLevel="1">
      <c r="A156" s="211"/>
      <c r="B156" s="212"/>
      <c r="C156" s="213"/>
      <c r="D156" s="214" t="str">
        <f>IFERROR(VLOOKUP($C156,'PORTIFÓLIO'!C:V,2,0),"")</f>
        <v/>
      </c>
      <c r="E156" s="211" t="str">
        <f>IFERROR(VLOOKUP($C156,'PORTIFÓLIO'!C:V,3,0),"")</f>
        <v/>
      </c>
      <c r="F156" s="211" t="str">
        <f>IFERROR(VLOOKUP($C156,'PORTIFÓLIO'!C:V,4,0),"")</f>
        <v/>
      </c>
      <c r="G156" s="215" t="str">
        <f>IFERROR(VLOOKUP($C156,'PORTIFÓLIO'!C:V,5,0),"")</f>
        <v/>
      </c>
      <c r="H156" s="254" t="str">
        <f t="array" ref="H156">IFERROR(INDEX('PORTIFÓLIO'!$H$4:$H$433,MATCH($C156,'PORTIFÓLIO'!$C$4:$C$433,0)),"")</f>
        <v/>
      </c>
      <c r="I156" s="256"/>
      <c r="J156" s="218">
        <f t="shared" si="18"/>
        <v>0</v>
      </c>
      <c r="K156" s="219" t="str">
        <f t="array" ref="K156">IFERROR(I156*INDEX('PORTIFÓLIO'!$S$4:$S$433,MATCH($C156,'PORTIFÓLIO'!$C$4:$C$433,0)),"")</f>
        <v/>
      </c>
      <c r="L156" s="219" t="str">
        <f t="array" ref="L156">IFERROR(J156*INDEX('PORTIFÓLIO'!$S$4:$S$433,MATCH($C156,'PORTIFÓLIO'!$C$4:$C$433,0)),"")</f>
        <v/>
      </c>
      <c r="M156" s="220"/>
      <c r="N156" s="220"/>
      <c r="O156" s="220"/>
      <c r="P156" s="220"/>
      <c r="Q156" s="220"/>
      <c r="R156" s="220"/>
      <c r="S156" s="220"/>
      <c r="T156" s="220"/>
      <c r="U156" s="220"/>
      <c r="V156" s="220"/>
      <c r="W156" s="220"/>
    </row>
    <row r="157" ht="15.75" customHeight="1" outlineLevel="1">
      <c r="A157" s="211"/>
      <c r="B157" s="212"/>
      <c r="C157" s="213"/>
      <c r="D157" s="214" t="str">
        <f>IFERROR(VLOOKUP($C157,'PORTIFÓLIO'!C:V,2,0),"")</f>
        <v/>
      </c>
      <c r="E157" s="211" t="str">
        <f>IFERROR(VLOOKUP($C157,'PORTIFÓLIO'!C:V,3,0),"")</f>
        <v/>
      </c>
      <c r="F157" s="211" t="str">
        <f>IFERROR(VLOOKUP($C157,'PORTIFÓLIO'!C:V,4,0),"")</f>
        <v/>
      </c>
      <c r="G157" s="215" t="str">
        <f>IFERROR(VLOOKUP($C157,'PORTIFÓLIO'!C:V,5,0),"")</f>
        <v/>
      </c>
      <c r="H157" s="254" t="str">
        <f t="array" ref="H157">IFERROR(INDEX('PORTIFÓLIO'!$H$4:$H$433,MATCH($C157,'PORTIFÓLIO'!$C$4:$C$433,0)),"")</f>
        <v/>
      </c>
      <c r="I157" s="255"/>
      <c r="J157" s="218">
        <f t="shared" si="18"/>
        <v>0</v>
      </c>
      <c r="K157" s="219" t="str">
        <f t="array" ref="K157">IFERROR(I157*INDEX('PORTIFÓLIO'!$S$4:$S$433,MATCH($C157,'PORTIFÓLIO'!$C$4:$C$433,0)),"")</f>
        <v/>
      </c>
      <c r="L157" s="219" t="str">
        <f t="array" ref="L157">IFERROR(J157*INDEX('PORTIFÓLIO'!$S$4:$S$433,MATCH($C157,'PORTIFÓLIO'!$C$4:$C$433,0)),"")</f>
        <v/>
      </c>
      <c r="M157" s="220"/>
      <c r="N157" s="220"/>
      <c r="O157" s="220"/>
      <c r="P157" s="220"/>
      <c r="Q157" s="220"/>
      <c r="R157" s="220"/>
      <c r="S157" s="220"/>
      <c r="T157" s="220"/>
      <c r="U157" s="220"/>
      <c r="V157" s="220"/>
      <c r="W157" s="220"/>
    </row>
    <row r="158" ht="15.75" customHeight="1" outlineLevel="1">
      <c r="A158" s="211"/>
      <c r="B158" s="212"/>
      <c r="C158" s="213"/>
      <c r="D158" s="214" t="str">
        <f>IFERROR(VLOOKUP($C158,'PORTIFÓLIO'!C:V,2,0),"")</f>
        <v/>
      </c>
      <c r="E158" s="211" t="str">
        <f>IFERROR(VLOOKUP($C158,'PORTIFÓLIO'!C:V,3,0),"")</f>
        <v/>
      </c>
      <c r="F158" s="211" t="str">
        <f>IFERROR(VLOOKUP($C158,'PORTIFÓLIO'!C:V,4,0),"")</f>
        <v/>
      </c>
      <c r="G158" s="215" t="str">
        <f>IFERROR(VLOOKUP($C158,'PORTIFÓLIO'!C:V,5,0),"")</f>
        <v/>
      </c>
      <c r="H158" s="254" t="str">
        <f t="array" ref="H158">IFERROR(INDEX('PORTIFÓLIO'!$H$4:$H$433,MATCH($C158,'PORTIFÓLIO'!$C$4:$C$433,0)),"")</f>
        <v/>
      </c>
      <c r="I158" s="256"/>
      <c r="J158" s="218">
        <f t="shared" si="18"/>
        <v>0</v>
      </c>
      <c r="K158" s="219" t="str">
        <f t="array" ref="K158">IFERROR(I158*INDEX('PORTIFÓLIO'!$S$4:$S$433,MATCH($C158,'PORTIFÓLIO'!$C$4:$C$433,0)),"")</f>
        <v/>
      </c>
      <c r="L158" s="219" t="str">
        <f t="array" ref="L158">IFERROR(J158*INDEX('PORTIFÓLIO'!$S$4:$S$433,MATCH($C158,'PORTIFÓLIO'!$C$4:$C$433,0)),"")</f>
        <v/>
      </c>
      <c r="M158" s="220"/>
      <c r="N158" s="220"/>
      <c r="O158" s="220"/>
      <c r="P158" s="220"/>
      <c r="Q158" s="220"/>
      <c r="R158" s="220"/>
      <c r="S158" s="220"/>
      <c r="T158" s="220"/>
      <c r="U158" s="220"/>
      <c r="V158" s="220"/>
      <c r="W158" s="220"/>
    </row>
    <row r="159" ht="15.75" customHeight="1" outlineLevel="1">
      <c r="A159" s="211"/>
      <c r="B159" s="212"/>
      <c r="C159" s="213"/>
      <c r="D159" s="214" t="str">
        <f>IFERROR(VLOOKUP($C159,'PORTIFÓLIO'!C:V,2,0),"")</f>
        <v/>
      </c>
      <c r="E159" s="211" t="str">
        <f>IFERROR(VLOOKUP($C159,'PORTIFÓLIO'!C:V,3,0),"")</f>
        <v/>
      </c>
      <c r="F159" s="211" t="str">
        <f>IFERROR(VLOOKUP($C159,'PORTIFÓLIO'!C:V,4,0),"")</f>
        <v/>
      </c>
      <c r="G159" s="215" t="str">
        <f>IFERROR(VLOOKUP($C159,'PORTIFÓLIO'!C:V,5,0),"")</f>
        <v/>
      </c>
      <c r="H159" s="254" t="str">
        <f t="array" ref="H159">IFERROR(INDEX('PORTIFÓLIO'!$H$4:$H$433,MATCH($C159,'PORTIFÓLIO'!$C$4:$C$433,0)),"")</f>
        <v/>
      </c>
      <c r="I159" s="256"/>
      <c r="J159" s="218">
        <f t="shared" si="18"/>
        <v>0</v>
      </c>
      <c r="K159" s="219" t="str">
        <f t="array" ref="K159">IFERROR(I159*INDEX('PORTIFÓLIO'!$S$4:$S$433,MATCH($C159,'PORTIFÓLIO'!$C$4:$C$433,0)),"")</f>
        <v/>
      </c>
      <c r="L159" s="219" t="str">
        <f t="array" ref="L159">IFERROR(J159*INDEX('PORTIFÓLIO'!$S$4:$S$433,MATCH($C159,'PORTIFÓLIO'!$C$4:$C$433,0)),"")</f>
        <v/>
      </c>
      <c r="M159" s="220"/>
      <c r="N159" s="220"/>
      <c r="O159" s="220"/>
      <c r="P159" s="220"/>
      <c r="Q159" s="220"/>
      <c r="R159" s="220"/>
      <c r="S159" s="220"/>
      <c r="T159" s="220"/>
      <c r="U159" s="220"/>
      <c r="V159" s="220"/>
      <c r="W159" s="220"/>
    </row>
    <row r="160" ht="15.75" customHeight="1" outlineLevel="1">
      <c r="A160" s="211"/>
      <c r="B160" s="212"/>
      <c r="C160" s="213"/>
      <c r="D160" s="214" t="str">
        <f>IFERROR(VLOOKUP($C160,'PORTIFÓLIO'!C:V,2,0),"")</f>
        <v/>
      </c>
      <c r="E160" s="211" t="str">
        <f>IFERROR(VLOOKUP($C160,'PORTIFÓLIO'!C:V,3,0),"")</f>
        <v/>
      </c>
      <c r="F160" s="211" t="str">
        <f>IFERROR(VLOOKUP($C160,'PORTIFÓLIO'!C:V,4,0),"")</f>
        <v/>
      </c>
      <c r="G160" s="215" t="str">
        <f>IFERROR(VLOOKUP($C160,'PORTIFÓLIO'!C:V,5,0),"")</f>
        <v/>
      </c>
      <c r="H160" s="254" t="str">
        <f t="array" ref="H160">IFERROR(INDEX('PORTIFÓLIO'!$H$4:$H$433,MATCH($C160,'PORTIFÓLIO'!$C$4:$C$433,0)),"")</f>
        <v/>
      </c>
      <c r="I160" s="256"/>
      <c r="J160" s="218">
        <f t="shared" si="18"/>
        <v>0</v>
      </c>
      <c r="K160" s="219" t="str">
        <f t="array" ref="K160">IFERROR(I160*INDEX('PORTIFÓLIO'!$S$4:$S$433,MATCH($C160,'PORTIFÓLIO'!$C$4:$C$433,0)),"")</f>
        <v/>
      </c>
      <c r="L160" s="219" t="str">
        <f t="array" ref="L160">IFERROR(J160*INDEX('PORTIFÓLIO'!$S$4:$S$433,MATCH($C160,'PORTIFÓLIO'!$C$4:$C$433,0)),"")</f>
        <v/>
      </c>
      <c r="M160" s="220"/>
      <c r="N160" s="220"/>
      <c r="O160" s="220"/>
      <c r="P160" s="220"/>
      <c r="Q160" s="220"/>
      <c r="R160" s="220"/>
      <c r="S160" s="220"/>
      <c r="T160" s="220"/>
      <c r="U160" s="220"/>
      <c r="V160" s="220"/>
      <c r="W160" s="220"/>
    </row>
    <row r="161" ht="15.75" customHeight="1" outlineLevel="1">
      <c r="A161" s="211"/>
      <c r="B161" s="212"/>
      <c r="C161" s="213"/>
      <c r="D161" s="214" t="str">
        <f>IFERROR(VLOOKUP($C161,'PORTIFÓLIO'!C:V,2,0),"")</f>
        <v/>
      </c>
      <c r="E161" s="211" t="str">
        <f>IFERROR(VLOOKUP($C161,'PORTIFÓLIO'!C:V,3,0),"")</f>
        <v/>
      </c>
      <c r="F161" s="211" t="str">
        <f>IFERROR(VLOOKUP($C161,'PORTIFÓLIO'!C:V,4,0),"")</f>
        <v/>
      </c>
      <c r="G161" s="215" t="str">
        <f>IFERROR(VLOOKUP($C161,'PORTIFÓLIO'!C:V,5,0),"")</f>
        <v/>
      </c>
      <c r="H161" s="254" t="str">
        <f t="array" ref="H161">IFERROR(INDEX('PORTIFÓLIO'!$H$4:$H$433,MATCH($C161,'PORTIFÓLIO'!$C$4:$C$433,0)),"")</f>
        <v/>
      </c>
      <c r="I161" s="256"/>
      <c r="J161" s="218">
        <f t="shared" si="18"/>
        <v>0</v>
      </c>
      <c r="K161" s="219" t="str">
        <f t="array" ref="K161">IFERROR(I161*INDEX('PORTIFÓLIO'!$S$4:$S$433,MATCH($C161,'PORTIFÓLIO'!$C$4:$C$433,0)),"")</f>
        <v/>
      </c>
      <c r="L161" s="219" t="str">
        <f t="array" ref="L161">IFERROR(J161*INDEX('PORTIFÓLIO'!$S$4:$S$433,MATCH($C161,'PORTIFÓLIO'!$C$4:$C$433,0)),"")</f>
        <v/>
      </c>
      <c r="M161" s="220"/>
      <c r="N161" s="220"/>
      <c r="O161" s="220"/>
      <c r="P161" s="220"/>
      <c r="Q161" s="220"/>
      <c r="R161" s="220"/>
      <c r="S161" s="220"/>
      <c r="T161" s="220"/>
      <c r="U161" s="220"/>
      <c r="V161" s="220"/>
      <c r="W161" s="220"/>
    </row>
    <row r="162" ht="15.75" customHeight="1" outlineLevel="1">
      <c r="A162" s="211"/>
      <c r="B162" s="212"/>
      <c r="C162" s="213"/>
      <c r="D162" s="214" t="str">
        <f>IFERROR(VLOOKUP($C162,'PORTIFÓLIO'!C:V,2,0),"")</f>
        <v/>
      </c>
      <c r="E162" s="211" t="str">
        <f>IFERROR(VLOOKUP($C162,'PORTIFÓLIO'!C:V,3,0),"")</f>
        <v/>
      </c>
      <c r="F162" s="211" t="str">
        <f>IFERROR(VLOOKUP($C162,'PORTIFÓLIO'!C:V,4,0),"")</f>
        <v/>
      </c>
      <c r="G162" s="215" t="str">
        <f>IFERROR(VLOOKUP($C162,'PORTIFÓLIO'!C:V,5,0),"")</f>
        <v/>
      </c>
      <c r="H162" s="254" t="str">
        <f t="array" ref="H162">IFERROR(INDEX('PORTIFÓLIO'!$H$4:$H$433,MATCH($C162,'PORTIFÓLIO'!$C$4:$C$433,0)),"")</f>
        <v/>
      </c>
      <c r="I162" s="256"/>
      <c r="J162" s="218">
        <f t="shared" si="18"/>
        <v>0</v>
      </c>
      <c r="K162" s="219" t="str">
        <f t="array" ref="K162">IFERROR(I162*INDEX('PORTIFÓLIO'!$S$4:$S$433,MATCH($C162,'PORTIFÓLIO'!$C$4:$C$433,0)),"")</f>
        <v/>
      </c>
      <c r="L162" s="219" t="str">
        <f t="array" ref="L162">IFERROR(J162*INDEX('PORTIFÓLIO'!$S$4:$S$433,MATCH($C162,'PORTIFÓLIO'!$C$4:$C$433,0)),"")</f>
        <v/>
      </c>
      <c r="M162" s="220"/>
      <c r="N162" s="220"/>
      <c r="O162" s="220"/>
      <c r="P162" s="220"/>
      <c r="Q162" s="220"/>
      <c r="R162" s="220"/>
      <c r="S162" s="220"/>
      <c r="T162" s="220"/>
      <c r="U162" s="220"/>
      <c r="V162" s="220"/>
      <c r="W162" s="220"/>
    </row>
    <row r="163" ht="15.75" customHeight="1" outlineLevel="1">
      <c r="A163" s="211"/>
      <c r="B163" s="212"/>
      <c r="C163" s="213"/>
      <c r="D163" s="214" t="str">
        <f>IFERROR(VLOOKUP($C163,'PORTIFÓLIO'!C:V,2,0),"")</f>
        <v/>
      </c>
      <c r="E163" s="211" t="str">
        <f>IFERROR(VLOOKUP($C163,'PORTIFÓLIO'!C:V,3,0),"")</f>
        <v/>
      </c>
      <c r="F163" s="211" t="str">
        <f>IFERROR(VLOOKUP($C163,'PORTIFÓLIO'!C:V,4,0),"")</f>
        <v/>
      </c>
      <c r="G163" s="215" t="str">
        <f>IFERROR(VLOOKUP($C163,'PORTIFÓLIO'!C:V,5,0),"")</f>
        <v/>
      </c>
      <c r="H163" s="254" t="str">
        <f t="array" ref="H163">IFERROR(INDEX('PORTIFÓLIO'!$H$4:$H$433,MATCH($C163,'PORTIFÓLIO'!$C$4:$C$433,0)),"")</f>
        <v/>
      </c>
      <c r="I163" s="256"/>
      <c r="J163" s="218">
        <f t="shared" si="18"/>
        <v>0</v>
      </c>
      <c r="K163" s="219" t="str">
        <f t="array" ref="K163">IFERROR(I163*INDEX('PORTIFÓLIO'!$S$4:$S$433,MATCH($C163,'PORTIFÓLIO'!$C$4:$C$433,0)),"")</f>
        <v/>
      </c>
      <c r="L163" s="219" t="str">
        <f t="array" ref="L163">IFERROR(J163*INDEX('PORTIFÓLIO'!$S$4:$S$433,MATCH($C163,'PORTIFÓLIO'!$C$4:$C$433,0)),"")</f>
        <v/>
      </c>
      <c r="M163" s="220"/>
      <c r="N163" s="220"/>
      <c r="O163" s="220"/>
      <c r="P163" s="220"/>
      <c r="Q163" s="220"/>
      <c r="R163" s="220"/>
      <c r="S163" s="220"/>
      <c r="T163" s="220"/>
      <c r="U163" s="220"/>
      <c r="V163" s="220"/>
      <c r="W163" s="220"/>
    </row>
    <row r="164" ht="15.75" customHeight="1" outlineLevel="1">
      <c r="A164" s="211"/>
      <c r="B164" s="227"/>
      <c r="C164" s="211"/>
      <c r="D164" s="214" t="str">
        <f>IFERROR(VLOOKUP($C164,'PORTIFÓLIO'!C:V,2,0),"")</f>
        <v/>
      </c>
      <c r="E164" s="211" t="str">
        <f>IFERROR(VLOOKUP($C164,'PORTIFÓLIO'!C:V,3,0),"")</f>
        <v/>
      </c>
      <c r="F164" s="211" t="str">
        <f>IFERROR(VLOOKUP($C164,'PORTIFÓLIO'!C:V,4,0),"")</f>
        <v/>
      </c>
      <c r="G164" s="215" t="str">
        <f>IFERROR(VLOOKUP($C164,'PORTIFÓLIO'!C:V,5,0),"")</f>
        <v/>
      </c>
      <c r="H164" s="254" t="str">
        <f t="array" ref="H164">IFERROR(INDEX('PORTIFÓLIO'!$H$4:$H$433,MATCH($C164,'PORTIFÓLIO'!$C$4:$C$433,0)),"")</f>
        <v/>
      </c>
      <c r="I164" s="256"/>
      <c r="J164" s="218"/>
      <c r="K164" s="219" t="str">
        <f t="array" ref="K164">IFERROR(I164*INDEX('PORTIFÓLIO'!$S$4:$S$433,MATCH($C164,'PORTIFÓLIO'!$C$4:$C$433,0)),"")</f>
        <v/>
      </c>
      <c r="L164" s="219" t="str">
        <f t="array" ref="L164">IFERROR(J164*INDEX('PORTIFÓLIO'!$S$4:$S$433,MATCH($C164,'PORTIFÓLIO'!$C$4:$C$433,0)),"")</f>
        <v/>
      </c>
      <c r="M164" s="220"/>
      <c r="N164" s="220"/>
      <c r="O164" s="220"/>
      <c r="P164" s="220"/>
      <c r="Q164" s="220"/>
      <c r="R164" s="220"/>
      <c r="S164" s="220"/>
      <c r="T164" s="220"/>
      <c r="U164" s="220"/>
      <c r="V164" s="220"/>
      <c r="W164" s="220"/>
    </row>
    <row r="165" ht="15.75" customHeight="1">
      <c r="A165" s="229" t="s">
        <v>1193</v>
      </c>
      <c r="B165" s="230"/>
      <c r="C165" s="231"/>
      <c r="D165" s="232"/>
      <c r="E165" s="231"/>
      <c r="F165" s="231"/>
      <c r="G165" s="233"/>
      <c r="H165" s="233"/>
      <c r="I165" s="258"/>
      <c r="J165" s="236"/>
      <c r="K165" s="237">
        <f t="shared" ref="K165:L165" si="19">SUBTOTAL(9,K166:K179)</f>
        <v>50.69456</v>
      </c>
      <c r="L165" s="237">
        <f t="shared" si="19"/>
        <v>15816.70272</v>
      </c>
      <c r="M165" s="220"/>
      <c r="N165" s="220"/>
      <c r="O165" s="220"/>
      <c r="P165" s="220"/>
      <c r="Q165" s="220"/>
      <c r="R165" s="220"/>
      <c r="S165" s="220"/>
      <c r="T165" s="220"/>
      <c r="U165" s="220"/>
      <c r="V165" s="220"/>
      <c r="W165" s="220"/>
    </row>
    <row r="166" ht="15.75" customHeight="1" outlineLevel="1">
      <c r="A166" s="213"/>
      <c r="B166" s="212" t="s">
        <v>1</v>
      </c>
      <c r="C166" s="213" t="s">
        <v>742</v>
      </c>
      <c r="D166" s="214" t="str">
        <f>IFERROR(VLOOKUP($C166,'PORTIFÓLIO'!C:V,2,0),"")</f>
        <v>DIQUATE</v>
      </c>
      <c r="E166" s="211">
        <f>IFERROR(VLOOKUP($C166,'PORTIFÓLIO'!C:V,3,0),"")</f>
        <v>200</v>
      </c>
      <c r="F166" s="211" t="str">
        <f>IFERROR(VLOOKUP($C166,'PORTIFÓLIO'!C:V,4,0),"")</f>
        <v>L</v>
      </c>
      <c r="G166" s="225" t="str">
        <f>IFERROR(VLOOKUP($C166,'PORTIFÓLIO'!C:V,5,0),"")</f>
        <v>📄 Ver bula</v>
      </c>
      <c r="H166" s="254">
        <f t="array" ref="H166">IFERROR(INDEX('PORTIFÓLIO'!$H$4:$H$433,MATCH($C166,'PORTIFÓLIO'!$C$4:$C$433,0)),"")</f>
        <v>2</v>
      </c>
      <c r="I166" s="255">
        <v>2.0</v>
      </c>
      <c r="J166" s="218">
        <f t="shared" ref="J166:J181" si="20">I166*$B$2</f>
        <v>624</v>
      </c>
      <c r="K166" s="219">
        <f t="array" ref="K166">IFERROR(I166*INDEX('PORTIFÓLIO'!$S$4:$S$433,MATCH($C166,'PORTIFÓLIO'!$C$4:$C$433,0)),"")</f>
        <v>47.48856</v>
      </c>
      <c r="L166" s="219">
        <f t="array" ref="L166">IFERROR(J166*INDEX('PORTIFÓLIO'!$S$4:$S$433,MATCH($C166,'PORTIFÓLIO'!$C$4:$C$433,0)),"")</f>
        <v>14816.43072</v>
      </c>
      <c r="M166" s="220"/>
      <c r="N166" s="220"/>
      <c r="O166" s="220"/>
      <c r="P166" s="220"/>
      <c r="Q166" s="220"/>
      <c r="R166" s="220"/>
      <c r="S166" s="220"/>
      <c r="T166" s="220"/>
      <c r="U166" s="220"/>
      <c r="V166" s="220"/>
      <c r="W166" s="220"/>
    </row>
    <row r="167" ht="15.75" customHeight="1" outlineLevel="1">
      <c r="A167" s="211"/>
      <c r="B167" s="212" t="s">
        <v>6</v>
      </c>
      <c r="C167" s="213" t="s">
        <v>354</v>
      </c>
      <c r="D167" s="214" t="str">
        <f>IFERROR(VLOOKUP($C167,'PORTIFÓLIO'!C:V,2,0),"")</f>
        <v>OLEO MINERAL</v>
      </c>
      <c r="E167" s="211">
        <f>IFERROR(VLOOKUP($C167,'PORTIFÓLIO'!C:V,3,0),"")</f>
        <v>761</v>
      </c>
      <c r="F167" s="211" t="str">
        <f>IFERROR(VLOOKUP($C167,'PORTIFÓLIO'!C:V,4,0),"")</f>
        <v>L</v>
      </c>
      <c r="G167" s="225" t="str">
        <f>IFERROR(VLOOKUP($C167,'PORTIFÓLIO'!C:V,5,0),"")</f>
        <v>📄 Ver bula</v>
      </c>
      <c r="H167" s="254">
        <f t="array" ref="H167">IFERROR(INDEX('PORTIFÓLIO'!$H$4:$H$433,MATCH($C167,'PORTIFÓLIO'!$C$4:$C$433,0)),"")</f>
        <v>0.2</v>
      </c>
      <c r="I167" s="255">
        <v>0.2</v>
      </c>
      <c r="J167" s="218">
        <f t="shared" si="20"/>
        <v>62.4</v>
      </c>
      <c r="K167" s="219">
        <f t="array" ref="K167">IFERROR(I167*INDEX('PORTIFÓLIO'!$S$4:$S$433,MATCH($C167,'PORTIFÓLIO'!$C$4:$C$433,0)),"")</f>
        <v>3.206</v>
      </c>
      <c r="L167" s="219">
        <f t="array" ref="L167">IFERROR(J167*INDEX('PORTIFÓLIO'!$S$4:$S$433,MATCH($C167,'PORTIFÓLIO'!$C$4:$C$433,0)),"")</f>
        <v>1000.272</v>
      </c>
      <c r="M167" s="220"/>
      <c r="N167" s="220"/>
      <c r="O167" s="220"/>
      <c r="P167" s="220"/>
      <c r="Q167" s="220"/>
      <c r="R167" s="220"/>
      <c r="S167" s="220"/>
      <c r="T167" s="220"/>
      <c r="U167" s="220"/>
      <c r="V167" s="220"/>
      <c r="W167" s="220"/>
    </row>
    <row r="168" ht="15.75" customHeight="1" outlineLevel="1">
      <c r="A168" s="211"/>
      <c r="B168" s="212"/>
      <c r="C168" s="213"/>
      <c r="D168" s="214" t="str">
        <f>IFERROR(VLOOKUP($C168,'PORTIFÓLIO'!C:V,2,0),"")</f>
        <v/>
      </c>
      <c r="E168" s="211" t="str">
        <f>IFERROR(VLOOKUP($C168,'PORTIFÓLIO'!C:V,3,0),"")</f>
        <v/>
      </c>
      <c r="F168" s="211" t="str">
        <f>IFERROR(VLOOKUP($C168,'PORTIFÓLIO'!C:V,4,0),"")</f>
        <v/>
      </c>
      <c r="G168" s="215" t="str">
        <f>IFERROR(VLOOKUP($C168,'PORTIFÓLIO'!C:V,5,0),"")</f>
        <v/>
      </c>
      <c r="H168" s="254" t="str">
        <f t="array" ref="H168">IFERROR(INDEX('PORTIFÓLIO'!$H$4:$H$433,MATCH($C168,'PORTIFÓLIO'!$C$4:$C$433,0)),"")</f>
        <v/>
      </c>
      <c r="I168" s="256"/>
      <c r="J168" s="218">
        <f t="shared" si="20"/>
        <v>0</v>
      </c>
      <c r="K168" s="219" t="str">
        <f t="array" ref="K168">IFERROR(I168*INDEX('PORTIFÓLIO'!$S$4:$S$433,MATCH($C168,'PORTIFÓLIO'!$C$4:$C$433,0)),"")</f>
        <v/>
      </c>
      <c r="L168" s="219" t="str">
        <f t="array" ref="L168">IFERROR(J168*INDEX('PORTIFÓLIO'!$S$4:$S$433,MATCH($C168,'PORTIFÓLIO'!$C$4:$C$433,0)),"")</f>
        <v/>
      </c>
      <c r="M168" s="220"/>
      <c r="N168" s="220"/>
      <c r="O168" s="220"/>
      <c r="P168" s="220"/>
      <c r="Q168" s="220"/>
      <c r="R168" s="220"/>
      <c r="S168" s="220"/>
      <c r="T168" s="220"/>
      <c r="U168" s="220"/>
      <c r="V168" s="220"/>
      <c r="W168" s="220"/>
    </row>
    <row r="169" ht="15.75" customHeight="1" outlineLevel="1">
      <c r="A169" s="211"/>
      <c r="B169" s="212"/>
      <c r="C169" s="213"/>
      <c r="D169" s="214" t="str">
        <f>IFERROR(VLOOKUP($C169,'PORTIFÓLIO'!C:V,2,0),"")</f>
        <v/>
      </c>
      <c r="E169" s="211" t="str">
        <f>IFERROR(VLOOKUP($C169,'PORTIFÓLIO'!C:V,3,0),"")</f>
        <v/>
      </c>
      <c r="F169" s="211" t="str">
        <f>IFERROR(VLOOKUP($C169,'PORTIFÓLIO'!C:V,4,0),"")</f>
        <v/>
      </c>
      <c r="G169" s="215" t="str">
        <f>IFERROR(VLOOKUP($C169,'PORTIFÓLIO'!C:V,5,0),"")</f>
        <v/>
      </c>
      <c r="H169" s="254" t="str">
        <f t="array" ref="H169">IFERROR(INDEX('PORTIFÓLIO'!$H$4:$H$433,MATCH($C169,'PORTIFÓLIO'!$C$4:$C$433,0)),"")</f>
        <v/>
      </c>
      <c r="I169" s="256"/>
      <c r="J169" s="218">
        <f t="shared" si="20"/>
        <v>0</v>
      </c>
      <c r="K169" s="219" t="str">
        <f t="array" ref="K169">IFERROR(I169*INDEX('PORTIFÓLIO'!$S$4:$S$433,MATCH($C169,'PORTIFÓLIO'!$C$4:$C$433,0)),"")</f>
        <v/>
      </c>
      <c r="L169" s="219" t="str">
        <f t="array" ref="L169">IFERROR(J169*INDEX('PORTIFÓLIO'!$S$4:$S$433,MATCH($C169,'PORTIFÓLIO'!$C$4:$C$433,0)),"")</f>
        <v/>
      </c>
      <c r="M169" s="220"/>
      <c r="N169" s="220"/>
      <c r="O169" s="220"/>
      <c r="P169" s="220"/>
      <c r="Q169" s="220"/>
      <c r="R169" s="220"/>
      <c r="S169" s="220"/>
      <c r="T169" s="220"/>
      <c r="U169" s="220"/>
      <c r="V169" s="220"/>
      <c r="W169" s="220"/>
    </row>
    <row r="170" ht="15.75" customHeight="1" outlineLevel="1">
      <c r="A170" s="211"/>
      <c r="B170" s="212"/>
      <c r="C170" s="213"/>
      <c r="D170" s="214" t="str">
        <f>IFERROR(VLOOKUP($C170,'PORTIFÓLIO'!C:V,2,0),"")</f>
        <v/>
      </c>
      <c r="E170" s="211" t="str">
        <f>IFERROR(VLOOKUP($C170,'PORTIFÓLIO'!C:V,3,0),"")</f>
        <v/>
      </c>
      <c r="F170" s="211" t="str">
        <f>IFERROR(VLOOKUP($C170,'PORTIFÓLIO'!C:V,4,0),"")</f>
        <v/>
      </c>
      <c r="G170" s="215" t="str">
        <f>IFERROR(VLOOKUP($C170,'PORTIFÓLIO'!C:V,5,0),"")</f>
        <v/>
      </c>
      <c r="H170" s="254" t="str">
        <f t="array" ref="H170">IFERROR(INDEX('PORTIFÓLIO'!$H$4:$H$433,MATCH($C170,'PORTIFÓLIO'!$C$4:$C$433,0)),"")</f>
        <v/>
      </c>
      <c r="I170" s="256"/>
      <c r="J170" s="218">
        <f t="shared" si="20"/>
        <v>0</v>
      </c>
      <c r="K170" s="219" t="str">
        <f t="array" ref="K170">IFERROR(I170*INDEX('PORTIFÓLIO'!$S$4:$S$433,MATCH($C170,'PORTIFÓLIO'!$C$4:$C$433,0)),"")</f>
        <v/>
      </c>
      <c r="L170" s="219" t="str">
        <f t="array" ref="L170">IFERROR(J170*INDEX('PORTIFÓLIO'!$S$4:$S$433,MATCH($C170,'PORTIFÓLIO'!$C$4:$C$433,0)),"")</f>
        <v/>
      </c>
      <c r="M170" s="220"/>
      <c r="N170" s="220"/>
      <c r="O170" s="220"/>
      <c r="P170" s="220"/>
      <c r="Q170" s="220"/>
      <c r="R170" s="220"/>
      <c r="S170" s="220"/>
      <c r="T170" s="220"/>
      <c r="U170" s="220"/>
      <c r="V170" s="220"/>
      <c r="W170" s="220"/>
    </row>
    <row r="171" ht="15.75" customHeight="1" outlineLevel="1">
      <c r="A171" s="211"/>
      <c r="B171" s="212"/>
      <c r="C171" s="213"/>
      <c r="D171" s="214" t="str">
        <f>IFERROR(VLOOKUP($C171,'PORTIFÓLIO'!C:V,2,0),"")</f>
        <v/>
      </c>
      <c r="E171" s="211" t="str">
        <f>IFERROR(VLOOKUP($C171,'PORTIFÓLIO'!C:V,3,0),"")</f>
        <v/>
      </c>
      <c r="F171" s="211" t="str">
        <f>IFERROR(VLOOKUP($C171,'PORTIFÓLIO'!C:V,4,0),"")</f>
        <v/>
      </c>
      <c r="G171" s="215" t="str">
        <f>IFERROR(VLOOKUP($C171,'PORTIFÓLIO'!C:V,5,0),"")</f>
        <v/>
      </c>
      <c r="H171" s="254" t="str">
        <f t="array" ref="H171">IFERROR(INDEX('PORTIFÓLIO'!$H$4:$H$433,MATCH($C171,'PORTIFÓLIO'!$C$4:$C$433,0)),"")</f>
        <v/>
      </c>
      <c r="I171" s="256"/>
      <c r="J171" s="218">
        <f t="shared" si="20"/>
        <v>0</v>
      </c>
      <c r="K171" s="219" t="str">
        <f t="array" ref="K171">IFERROR(I171*INDEX('PORTIFÓLIO'!$S$4:$S$433,MATCH($C171,'PORTIFÓLIO'!$C$4:$C$433,0)),"")</f>
        <v/>
      </c>
      <c r="L171" s="219" t="str">
        <f t="array" ref="L171">IFERROR(J171*INDEX('PORTIFÓLIO'!$S$4:$S$433,MATCH($C171,'PORTIFÓLIO'!$C$4:$C$433,0)),"")</f>
        <v/>
      </c>
      <c r="M171" s="220"/>
      <c r="N171" s="220"/>
      <c r="O171" s="220"/>
      <c r="P171" s="220"/>
      <c r="Q171" s="220"/>
      <c r="R171" s="220"/>
      <c r="S171" s="220"/>
      <c r="T171" s="220"/>
      <c r="U171" s="220"/>
      <c r="V171" s="220"/>
      <c r="W171" s="220"/>
    </row>
    <row r="172" ht="15.75" customHeight="1" outlineLevel="1">
      <c r="A172" s="211"/>
      <c r="B172" s="212"/>
      <c r="C172" s="213"/>
      <c r="D172" s="214" t="str">
        <f>IFERROR(VLOOKUP($C172,'PORTIFÓLIO'!C:V,2,0),"")</f>
        <v/>
      </c>
      <c r="E172" s="211" t="str">
        <f>IFERROR(VLOOKUP($C172,'PORTIFÓLIO'!C:V,3,0),"")</f>
        <v/>
      </c>
      <c r="F172" s="211" t="str">
        <f>IFERROR(VLOOKUP($C172,'PORTIFÓLIO'!C:V,4,0),"")</f>
        <v/>
      </c>
      <c r="G172" s="215" t="str">
        <f>IFERROR(VLOOKUP($C172,'PORTIFÓLIO'!C:V,5,0),"")</f>
        <v/>
      </c>
      <c r="H172" s="254" t="str">
        <f t="array" ref="H172">IFERROR(INDEX('PORTIFÓLIO'!$H$4:$H$433,MATCH($C172,'PORTIFÓLIO'!$C$4:$C$433,0)),"")</f>
        <v/>
      </c>
      <c r="I172" s="256"/>
      <c r="J172" s="218">
        <f t="shared" si="20"/>
        <v>0</v>
      </c>
      <c r="K172" s="219" t="str">
        <f t="array" ref="K172">IFERROR(I172*INDEX('PORTIFÓLIO'!$S$4:$S$433,MATCH($C172,'PORTIFÓLIO'!$C$4:$C$433,0)),"")</f>
        <v/>
      </c>
      <c r="L172" s="219" t="str">
        <f t="array" ref="L172">IFERROR(J172*INDEX('PORTIFÓLIO'!$S$4:$S$433,MATCH($C172,'PORTIFÓLIO'!$C$4:$C$433,0)),"")</f>
        <v/>
      </c>
      <c r="M172" s="220"/>
      <c r="N172" s="220"/>
      <c r="O172" s="220"/>
      <c r="P172" s="220"/>
      <c r="Q172" s="220"/>
      <c r="R172" s="220"/>
      <c r="S172" s="220"/>
      <c r="T172" s="220"/>
      <c r="U172" s="220"/>
      <c r="V172" s="220"/>
      <c r="W172" s="220"/>
    </row>
    <row r="173" ht="15.75" customHeight="1" outlineLevel="1">
      <c r="A173" s="211"/>
      <c r="B173" s="212"/>
      <c r="C173" s="213"/>
      <c r="D173" s="214" t="str">
        <f>IFERROR(VLOOKUP($C173,'PORTIFÓLIO'!C:V,2,0),"")</f>
        <v/>
      </c>
      <c r="E173" s="211" t="str">
        <f>IFERROR(VLOOKUP($C173,'PORTIFÓLIO'!C:V,3,0),"")</f>
        <v/>
      </c>
      <c r="F173" s="211" t="str">
        <f>IFERROR(VLOOKUP($C173,'PORTIFÓLIO'!C:V,4,0),"")</f>
        <v/>
      </c>
      <c r="G173" s="215" t="str">
        <f>IFERROR(VLOOKUP($C173,'PORTIFÓLIO'!C:V,5,0),"")</f>
        <v/>
      </c>
      <c r="H173" s="254" t="str">
        <f t="array" ref="H173">IFERROR(INDEX('PORTIFÓLIO'!$H$4:$H$433,MATCH($C173,'PORTIFÓLIO'!$C$4:$C$433,0)),"")</f>
        <v/>
      </c>
      <c r="I173" s="256"/>
      <c r="J173" s="218">
        <f t="shared" si="20"/>
        <v>0</v>
      </c>
      <c r="K173" s="219" t="str">
        <f t="array" ref="K173">IFERROR(I173*INDEX('PORTIFÓLIO'!$S$4:$S$433,MATCH($C173,'PORTIFÓLIO'!$C$4:$C$433,0)),"")</f>
        <v/>
      </c>
      <c r="L173" s="219" t="str">
        <f t="array" ref="L173">IFERROR(J173*INDEX('PORTIFÓLIO'!$S$4:$S$433,MATCH($C173,'PORTIFÓLIO'!$C$4:$C$433,0)),"")</f>
        <v/>
      </c>
      <c r="M173" s="220"/>
      <c r="N173" s="220"/>
      <c r="O173" s="220"/>
      <c r="P173" s="220"/>
      <c r="Q173" s="220"/>
      <c r="R173" s="220"/>
      <c r="S173" s="220"/>
      <c r="T173" s="220"/>
      <c r="U173" s="220"/>
      <c r="V173" s="220"/>
      <c r="W173" s="220"/>
    </row>
    <row r="174" ht="15.75" customHeight="1" outlineLevel="1">
      <c r="A174" s="211"/>
      <c r="B174" s="212"/>
      <c r="C174" s="213"/>
      <c r="D174" s="214" t="str">
        <f>IFERROR(VLOOKUP($C174,'PORTIFÓLIO'!C:V,2,0),"")</f>
        <v/>
      </c>
      <c r="E174" s="211" t="str">
        <f>IFERROR(VLOOKUP($C174,'PORTIFÓLIO'!C:V,3,0),"")</f>
        <v/>
      </c>
      <c r="F174" s="211" t="str">
        <f>IFERROR(VLOOKUP($C174,'PORTIFÓLIO'!C:V,4,0),"")</f>
        <v/>
      </c>
      <c r="G174" s="215" t="str">
        <f>IFERROR(VLOOKUP($C174,'PORTIFÓLIO'!C:V,5,0),"")</f>
        <v/>
      </c>
      <c r="H174" s="254" t="str">
        <f t="array" ref="H174">IFERROR(INDEX('PORTIFÓLIO'!$H$4:$H$433,MATCH($C174,'PORTIFÓLIO'!$C$4:$C$433,0)),"")</f>
        <v/>
      </c>
      <c r="I174" s="255"/>
      <c r="J174" s="218">
        <f t="shared" si="20"/>
        <v>0</v>
      </c>
      <c r="K174" s="219" t="str">
        <f t="array" ref="K174">IFERROR(I174*INDEX('PORTIFÓLIO'!$S$4:$S$433,MATCH($C174,'PORTIFÓLIO'!$C$4:$C$433,0)),"")</f>
        <v/>
      </c>
      <c r="L174" s="219" t="str">
        <f t="array" ref="L174">IFERROR(J174*INDEX('PORTIFÓLIO'!$S$4:$S$433,MATCH($C174,'PORTIFÓLIO'!$C$4:$C$433,0)),"")</f>
        <v/>
      </c>
      <c r="M174" s="220"/>
      <c r="N174" s="220"/>
      <c r="O174" s="220"/>
      <c r="P174" s="220"/>
      <c r="Q174" s="220"/>
      <c r="R174" s="220"/>
      <c r="S174" s="220"/>
      <c r="T174" s="220"/>
      <c r="U174" s="220"/>
      <c r="V174" s="220"/>
      <c r="W174" s="220"/>
    </row>
    <row r="175" ht="15.75" customHeight="1" outlineLevel="1">
      <c r="A175" s="211"/>
      <c r="B175" s="212"/>
      <c r="C175" s="213"/>
      <c r="D175" s="214" t="str">
        <f>IFERROR(VLOOKUP($C175,'PORTIFÓLIO'!C:V,2,0),"")</f>
        <v/>
      </c>
      <c r="E175" s="211" t="str">
        <f>IFERROR(VLOOKUP($C175,'PORTIFÓLIO'!C:V,3,0),"")</f>
        <v/>
      </c>
      <c r="F175" s="211" t="str">
        <f>IFERROR(VLOOKUP($C175,'PORTIFÓLIO'!C:V,4,0),"")</f>
        <v/>
      </c>
      <c r="G175" s="215" t="str">
        <f>IFERROR(VLOOKUP($C175,'PORTIFÓLIO'!C:V,5,0),"")</f>
        <v/>
      </c>
      <c r="H175" s="254" t="str">
        <f t="array" ref="H175">IFERROR(INDEX('PORTIFÓLIO'!$H$4:$H$433,MATCH($C175,'PORTIFÓLIO'!$C$4:$C$433,0)),"")</f>
        <v/>
      </c>
      <c r="I175" s="256"/>
      <c r="J175" s="218">
        <f t="shared" si="20"/>
        <v>0</v>
      </c>
      <c r="K175" s="219" t="str">
        <f t="array" ref="K175">IFERROR(I175*INDEX('PORTIFÓLIO'!$S$4:$S$433,MATCH($C175,'PORTIFÓLIO'!$C$4:$C$433,0)),"")</f>
        <v/>
      </c>
      <c r="L175" s="219" t="str">
        <f t="array" ref="L175">IFERROR(J175*INDEX('PORTIFÓLIO'!$S$4:$S$433,MATCH($C175,'PORTIFÓLIO'!$C$4:$C$433,0)),"")</f>
        <v/>
      </c>
      <c r="M175" s="220"/>
      <c r="N175" s="220"/>
      <c r="O175" s="220"/>
      <c r="P175" s="220"/>
      <c r="Q175" s="220"/>
      <c r="R175" s="220"/>
      <c r="S175" s="220"/>
      <c r="T175" s="220"/>
      <c r="U175" s="220"/>
      <c r="V175" s="220"/>
      <c r="W175" s="220"/>
    </row>
    <row r="176" ht="15.75" customHeight="1" outlineLevel="1">
      <c r="A176" s="211"/>
      <c r="B176" s="212"/>
      <c r="C176" s="213"/>
      <c r="D176" s="214" t="str">
        <f>IFERROR(VLOOKUP($C176,'PORTIFÓLIO'!C:V,2,0),"")</f>
        <v/>
      </c>
      <c r="E176" s="211" t="str">
        <f>IFERROR(VLOOKUP($C176,'PORTIFÓLIO'!C:V,3,0),"")</f>
        <v/>
      </c>
      <c r="F176" s="211" t="str">
        <f>IFERROR(VLOOKUP($C176,'PORTIFÓLIO'!C:V,4,0),"")</f>
        <v/>
      </c>
      <c r="G176" s="215" t="str">
        <f>IFERROR(VLOOKUP($C176,'PORTIFÓLIO'!C:V,5,0),"")</f>
        <v/>
      </c>
      <c r="H176" s="254" t="str">
        <f t="array" ref="H176">IFERROR(INDEX('PORTIFÓLIO'!$H$4:$H$433,MATCH($C176,'PORTIFÓLIO'!$C$4:$C$433,0)),"")</f>
        <v/>
      </c>
      <c r="I176" s="256"/>
      <c r="J176" s="218">
        <f t="shared" si="20"/>
        <v>0</v>
      </c>
      <c r="K176" s="219" t="str">
        <f t="array" ref="K176">IFERROR(I176*INDEX('PORTIFÓLIO'!$S$4:$S$433,MATCH($C176,'PORTIFÓLIO'!$C$4:$C$433,0)),"")</f>
        <v/>
      </c>
      <c r="L176" s="219" t="str">
        <f t="array" ref="L176">IFERROR(J176*INDEX('PORTIFÓLIO'!$S$4:$S$433,MATCH($C176,'PORTIFÓLIO'!$C$4:$C$433,0)),"")</f>
        <v/>
      </c>
      <c r="M176" s="220"/>
      <c r="N176" s="220"/>
      <c r="O176" s="220"/>
      <c r="P176" s="220"/>
      <c r="Q176" s="220"/>
      <c r="R176" s="220"/>
      <c r="S176" s="220"/>
      <c r="T176" s="220"/>
      <c r="U176" s="220"/>
      <c r="V176" s="220"/>
      <c r="W176" s="220"/>
    </row>
    <row r="177" ht="15.75" customHeight="1" outlineLevel="1">
      <c r="A177" s="211"/>
      <c r="B177" s="212"/>
      <c r="C177" s="213"/>
      <c r="D177" s="214" t="str">
        <f>IFERROR(VLOOKUP($C177,'PORTIFÓLIO'!C:V,2,0),"")</f>
        <v/>
      </c>
      <c r="E177" s="211" t="str">
        <f>IFERROR(VLOOKUP($C177,'PORTIFÓLIO'!C:V,3,0),"")</f>
        <v/>
      </c>
      <c r="F177" s="211" t="str">
        <f>IFERROR(VLOOKUP($C177,'PORTIFÓLIO'!C:V,4,0),"")</f>
        <v/>
      </c>
      <c r="G177" s="215" t="str">
        <f>IFERROR(VLOOKUP($C177,'PORTIFÓLIO'!C:V,5,0),"")</f>
        <v/>
      </c>
      <c r="H177" s="254" t="str">
        <f t="array" ref="H177">IFERROR(INDEX('PORTIFÓLIO'!$H$4:$H$433,MATCH($C177,'PORTIFÓLIO'!$C$4:$C$433,0)),"")</f>
        <v/>
      </c>
      <c r="I177" s="256"/>
      <c r="J177" s="218">
        <f t="shared" si="20"/>
        <v>0</v>
      </c>
      <c r="K177" s="219" t="str">
        <f t="array" ref="K177">IFERROR(I177*INDEX('PORTIFÓLIO'!$S$4:$S$433,MATCH($C177,'PORTIFÓLIO'!$C$4:$C$433,0)),"")</f>
        <v/>
      </c>
      <c r="L177" s="219" t="str">
        <f t="array" ref="L177">IFERROR(J177*INDEX('PORTIFÓLIO'!$S$4:$S$433,MATCH($C177,'PORTIFÓLIO'!$C$4:$C$433,0)),"")</f>
        <v/>
      </c>
      <c r="M177" s="220"/>
      <c r="N177" s="220"/>
      <c r="O177" s="220"/>
      <c r="P177" s="220"/>
      <c r="Q177" s="220"/>
      <c r="R177" s="220"/>
      <c r="S177" s="220"/>
      <c r="T177" s="220"/>
      <c r="U177" s="220"/>
      <c r="V177" s="220"/>
      <c r="W177" s="220"/>
    </row>
    <row r="178" ht="15.75" customHeight="1" outlineLevel="1">
      <c r="A178" s="211"/>
      <c r="B178" s="212"/>
      <c r="C178" s="213"/>
      <c r="D178" s="214" t="str">
        <f>IFERROR(VLOOKUP($C178,'PORTIFÓLIO'!C:V,2,0),"")</f>
        <v/>
      </c>
      <c r="E178" s="211" t="str">
        <f>IFERROR(VLOOKUP($C178,'PORTIFÓLIO'!C:V,3,0),"")</f>
        <v/>
      </c>
      <c r="F178" s="211" t="str">
        <f>IFERROR(VLOOKUP($C178,'PORTIFÓLIO'!C:V,4,0),"")</f>
        <v/>
      </c>
      <c r="G178" s="215" t="str">
        <f>IFERROR(VLOOKUP($C178,'PORTIFÓLIO'!C:V,5,0),"")</f>
        <v/>
      </c>
      <c r="H178" s="254" t="str">
        <f t="array" ref="H178">IFERROR(INDEX('PORTIFÓLIO'!$H$4:$H$433,MATCH($C178,'PORTIFÓLIO'!$C$4:$C$433,0)),"")</f>
        <v/>
      </c>
      <c r="I178" s="256"/>
      <c r="J178" s="218">
        <f t="shared" si="20"/>
        <v>0</v>
      </c>
      <c r="K178" s="219" t="str">
        <f t="array" ref="K178">IFERROR(I178*INDEX('PORTIFÓLIO'!$S$4:$S$433,MATCH($C178,'PORTIFÓLIO'!$C$4:$C$433,0)),"")</f>
        <v/>
      </c>
      <c r="L178" s="219" t="str">
        <f t="array" ref="L178">IFERROR(J178*INDEX('PORTIFÓLIO'!$S$4:$S$433,MATCH($C178,'PORTIFÓLIO'!$C$4:$C$433,0)),"")</f>
        <v/>
      </c>
      <c r="M178" s="220"/>
      <c r="N178" s="220"/>
      <c r="O178" s="220"/>
      <c r="P178" s="220"/>
      <c r="Q178" s="220"/>
      <c r="R178" s="220"/>
      <c r="S178" s="220"/>
      <c r="T178" s="220"/>
      <c r="U178" s="220"/>
      <c r="V178" s="220"/>
      <c r="W178" s="220"/>
    </row>
    <row r="179" ht="15.75" customHeight="1" outlineLevel="1">
      <c r="A179" s="211"/>
      <c r="B179" s="212"/>
      <c r="C179" s="213"/>
      <c r="D179" s="214" t="str">
        <f>IFERROR(VLOOKUP($C179,'PORTIFÓLIO'!C:V,2,0),"")</f>
        <v/>
      </c>
      <c r="E179" s="211" t="str">
        <f>IFERROR(VLOOKUP($C179,'PORTIFÓLIO'!C:V,3,0),"")</f>
        <v/>
      </c>
      <c r="F179" s="211" t="str">
        <f>IFERROR(VLOOKUP($C179,'PORTIFÓLIO'!C:V,4,0),"")</f>
        <v/>
      </c>
      <c r="G179" s="215" t="str">
        <f>IFERROR(VLOOKUP($C179,'PORTIFÓLIO'!C:V,5,0),"")</f>
        <v/>
      </c>
      <c r="H179" s="254" t="str">
        <f t="array" ref="H179">IFERROR(INDEX('PORTIFÓLIO'!$H$4:$H$433,MATCH($C179,'PORTIFÓLIO'!$C$4:$C$433,0)),"")</f>
        <v/>
      </c>
      <c r="I179" s="256"/>
      <c r="J179" s="218">
        <f t="shared" si="20"/>
        <v>0</v>
      </c>
      <c r="K179" s="219" t="str">
        <f t="array" ref="K179">IFERROR(I179*INDEX('PORTIFÓLIO'!$S$4:$S$433,MATCH($C179,'PORTIFÓLIO'!$C$4:$C$433,0)),"")</f>
        <v/>
      </c>
      <c r="L179" s="219" t="str">
        <f t="array" ref="L179">IFERROR(J179*INDEX('PORTIFÓLIO'!$S$4:$S$433,MATCH($C179,'PORTIFÓLIO'!$C$4:$C$433,0)),"")</f>
        <v/>
      </c>
      <c r="M179" s="220"/>
      <c r="N179" s="220"/>
      <c r="O179" s="220"/>
      <c r="P179" s="220"/>
      <c r="Q179" s="220"/>
      <c r="R179" s="220"/>
      <c r="S179" s="220"/>
      <c r="T179" s="220"/>
      <c r="U179" s="220"/>
      <c r="V179" s="220"/>
      <c r="W179" s="220"/>
    </row>
    <row r="180" ht="15.75" customHeight="1" outlineLevel="1">
      <c r="A180" s="211"/>
      <c r="B180" s="212"/>
      <c r="C180" s="213"/>
      <c r="D180" s="214" t="str">
        <f>IFERROR(VLOOKUP($C180,'PORTIFÓLIO'!C:V,2,0),"")</f>
        <v/>
      </c>
      <c r="E180" s="211" t="str">
        <f>IFERROR(VLOOKUP($C180,'PORTIFÓLIO'!C:V,3,0),"")</f>
        <v/>
      </c>
      <c r="F180" s="211" t="str">
        <f>IFERROR(VLOOKUP($C180,'PORTIFÓLIO'!C:V,4,0),"")</f>
        <v/>
      </c>
      <c r="G180" s="215" t="str">
        <f>IFERROR(VLOOKUP($C180,'PORTIFÓLIO'!C:V,5,0),"")</f>
        <v/>
      </c>
      <c r="H180" s="254" t="str">
        <f t="array" ref="H180">IFERROR(INDEX('PORTIFÓLIO'!$H$4:$H$433,MATCH($C180,'PORTIFÓLIO'!$C$4:$C$433,0)),"")</f>
        <v/>
      </c>
      <c r="I180" s="256"/>
      <c r="J180" s="218">
        <f t="shared" si="20"/>
        <v>0</v>
      </c>
      <c r="K180" s="219" t="str">
        <f t="array" ref="K180">IFERROR(I180*INDEX('PORTIFÓLIO'!$S$4:$S$433,MATCH($C180,'PORTIFÓLIO'!$C$4:$C$433,0)),"")</f>
        <v/>
      </c>
      <c r="L180" s="219" t="str">
        <f t="array" ref="L180">IFERROR(J180*INDEX('PORTIFÓLIO'!$S$4:$S$433,MATCH($C180,'PORTIFÓLIO'!$C$4:$C$433,0)),"")</f>
        <v/>
      </c>
      <c r="M180" s="220"/>
      <c r="N180" s="220"/>
      <c r="O180" s="220"/>
      <c r="P180" s="220"/>
      <c r="Q180" s="220"/>
      <c r="R180" s="220"/>
      <c r="S180" s="220"/>
      <c r="T180" s="220"/>
      <c r="U180" s="220"/>
      <c r="V180" s="220"/>
      <c r="W180" s="220"/>
    </row>
    <row r="181" ht="15.75" customHeight="1" outlineLevel="1">
      <c r="A181" s="211"/>
      <c r="B181" s="227"/>
      <c r="C181" s="211"/>
      <c r="D181" s="214" t="str">
        <f>IFERROR(VLOOKUP($C181,'PORTIFÓLIO'!C:V,2,0),"")</f>
        <v/>
      </c>
      <c r="E181" s="211" t="str">
        <f>IFERROR(VLOOKUP($C181,'PORTIFÓLIO'!C:V,3,0),"")</f>
        <v/>
      </c>
      <c r="F181" s="211" t="str">
        <f>IFERROR(VLOOKUP($C181,'PORTIFÓLIO'!C:V,4,0),"")</f>
        <v/>
      </c>
      <c r="G181" s="215" t="str">
        <f>IFERROR(VLOOKUP($C181,'PORTIFÓLIO'!C:V,5,0),"")</f>
        <v/>
      </c>
      <c r="H181" s="254" t="str">
        <f t="array" ref="H181">IFERROR(INDEX('PORTIFÓLIO'!$H$4:$H$433,MATCH($C181,'PORTIFÓLIO'!$C$4:$C$433,0)),"")</f>
        <v/>
      </c>
      <c r="I181" s="256"/>
      <c r="J181" s="218">
        <f t="shared" si="20"/>
        <v>0</v>
      </c>
      <c r="K181" s="219" t="str">
        <f t="array" ref="K181">IFERROR(I181*INDEX('PORTIFÓLIO'!$S$4:$S$433,MATCH($C181,'PORTIFÓLIO'!$C$4:$C$433,0)),"")</f>
        <v/>
      </c>
      <c r="L181" s="219" t="str">
        <f t="array" ref="L181">IFERROR(J181*INDEX('PORTIFÓLIO'!$S$4:$S$433,MATCH($C181,'PORTIFÓLIO'!$C$4:$C$433,0)),"")</f>
        <v/>
      </c>
      <c r="M181" s="220"/>
      <c r="N181" s="220"/>
      <c r="O181" s="220"/>
      <c r="P181" s="220"/>
      <c r="Q181" s="220"/>
      <c r="R181" s="220"/>
      <c r="S181" s="220"/>
      <c r="T181" s="220"/>
      <c r="U181" s="220"/>
      <c r="V181" s="220"/>
      <c r="W181" s="220"/>
    </row>
    <row r="182" ht="15.75" customHeight="1">
      <c r="A182" s="229" t="s">
        <v>1194</v>
      </c>
      <c r="B182" s="230"/>
      <c r="C182" s="231"/>
      <c r="D182" s="232"/>
      <c r="E182" s="231"/>
      <c r="F182" s="231"/>
      <c r="G182" s="233"/>
      <c r="H182" s="233"/>
      <c r="I182" s="258"/>
      <c r="J182" s="236"/>
      <c r="K182" s="237">
        <f t="shared" ref="K182:L182" si="21">SUBTOTAL(9,K183:K196)</f>
        <v>339.9254902</v>
      </c>
      <c r="L182" s="237">
        <f t="shared" si="21"/>
        <v>106056.7529</v>
      </c>
      <c r="M182" s="220"/>
      <c r="N182" s="220"/>
      <c r="O182" s="220"/>
      <c r="P182" s="220"/>
      <c r="Q182" s="220"/>
      <c r="R182" s="220"/>
      <c r="S182" s="220"/>
      <c r="T182" s="220"/>
      <c r="U182" s="220"/>
      <c r="V182" s="220"/>
      <c r="W182" s="220"/>
    </row>
    <row r="183" ht="15.75" customHeight="1" outlineLevel="1">
      <c r="A183" s="213"/>
      <c r="B183" s="212" t="s">
        <v>10</v>
      </c>
      <c r="C183" s="213" t="s">
        <v>1195</v>
      </c>
      <c r="D183" s="214" t="str">
        <f>IFERROR(VLOOKUP($C183,'PORTIFÓLIO'!C:V,2,0),"")</f>
        <v/>
      </c>
      <c r="E183" s="211" t="str">
        <f>IFERROR(VLOOKUP($C183,'PORTIFÓLIO'!C:V,3,0),"")</f>
        <v/>
      </c>
      <c r="F183" s="211" t="str">
        <f>IFERROR(VLOOKUP($C183,'PORTIFÓLIO'!C:V,4,0),"")</f>
        <v>R$/Ha</v>
      </c>
      <c r="G183" s="215">
        <f t="array" ref="G183">IFERROR(INDEX('PORTIFÓLIO'!$H$4:$H$433,MATCH($C183,'PORTIFÓLIO'!$C$4:$C$433,0)),"")</f>
        <v>0.3267973856</v>
      </c>
      <c r="H183" s="254">
        <f t="array" ref="H183">IFERROR(INDEX('PORTIFÓLIO'!$H$4:$H$433,MATCH($C183,'PORTIFÓLIO'!$C$4:$C$433,0)),"")</f>
        <v>0.3267973856</v>
      </c>
      <c r="I183" s="255">
        <v>0.32</v>
      </c>
      <c r="J183" s="218">
        <f t="shared" ref="J183:J199" si="22">I183*$B$2</f>
        <v>99.84</v>
      </c>
      <c r="K183" s="219">
        <f t="array" ref="K183">IFERROR(I183*INDEX('PORTIFÓLIO'!$S$4:$S$433,MATCH($C183,'PORTIFÓLIO'!$C$4:$C$433,0)),"")</f>
        <v>36</v>
      </c>
      <c r="L183" s="219">
        <f t="array" ref="L183">IFERROR(J183*INDEX('PORTIFÓLIO'!$S$4:$S$433,MATCH($C183,'PORTIFÓLIO'!$C$4:$C$433,0)),"")</f>
        <v>11232</v>
      </c>
      <c r="M183" s="220"/>
      <c r="N183" s="220"/>
      <c r="O183" s="220"/>
      <c r="P183" s="220"/>
      <c r="Q183" s="220"/>
      <c r="R183" s="220"/>
      <c r="S183" s="220"/>
      <c r="T183" s="220"/>
      <c r="U183" s="220"/>
      <c r="V183" s="220"/>
      <c r="W183" s="220"/>
    </row>
    <row r="184" ht="15.75" customHeight="1" outlineLevel="1">
      <c r="A184" s="211"/>
      <c r="B184" s="212" t="s">
        <v>10</v>
      </c>
      <c r="C184" s="213" t="s">
        <v>1196</v>
      </c>
      <c r="D184" s="214" t="str">
        <f>IFERROR(VLOOKUP($C184,'PORTIFÓLIO'!C:V,2,0),"")</f>
        <v/>
      </c>
      <c r="E184" s="211" t="str">
        <f>IFERROR(VLOOKUP($C184,'PORTIFÓLIO'!C:V,3,0),"")</f>
        <v/>
      </c>
      <c r="F184" s="211" t="str">
        <f>IFERROR(VLOOKUP($C184,'PORTIFÓLIO'!C:V,4,0),"")</f>
        <v>R$/Ha</v>
      </c>
      <c r="G184" s="215">
        <f t="array" ref="G184">IFERROR(INDEX('PORTIFÓLIO'!$H$4:$H$433,MATCH($C184,'PORTIFÓLIO'!$C$4:$C$433,0)),"")</f>
        <v>0.04901960784</v>
      </c>
      <c r="H184" s="254">
        <f t="array" ref="H184">IFERROR(INDEX('PORTIFÓLIO'!$H$4:$H$433,MATCH($C184,'PORTIFÓLIO'!$C$4:$C$433,0)),"")</f>
        <v>0.04901960784</v>
      </c>
      <c r="I184" s="256">
        <f>G184*4</f>
        <v>0.1960784314</v>
      </c>
      <c r="J184" s="218">
        <f t="shared" si="22"/>
        <v>61.17647059</v>
      </c>
      <c r="K184" s="219">
        <f t="array" ref="K184">IFERROR(I184*INDEX('PORTIFÓLIO'!$S$4:$S$433,MATCH($C184,'PORTIFÓLIO'!$C$4:$C$433,0)),"")</f>
        <v>22.05882353</v>
      </c>
      <c r="L184" s="219">
        <f t="array" ref="L184">IFERROR(J184*INDEX('PORTIFÓLIO'!$S$4:$S$433,MATCH($C184,'PORTIFÓLIO'!$C$4:$C$433,0)),"")</f>
        <v>6882.352941</v>
      </c>
      <c r="M184" s="220"/>
      <c r="N184" s="220"/>
      <c r="O184" s="220"/>
      <c r="P184" s="220"/>
      <c r="Q184" s="220"/>
      <c r="R184" s="220"/>
      <c r="S184" s="220"/>
      <c r="T184" s="220"/>
      <c r="U184" s="220"/>
      <c r="V184" s="220"/>
      <c r="W184" s="220"/>
    </row>
    <row r="185" ht="15.75" customHeight="1" outlineLevel="1">
      <c r="A185" s="211"/>
      <c r="B185" s="212" t="s">
        <v>10</v>
      </c>
      <c r="C185" s="213" t="s">
        <v>1197</v>
      </c>
      <c r="D185" s="214" t="str">
        <f>IFERROR(VLOOKUP($C185,'PORTIFÓLIO'!C:V,2,0),"")</f>
        <v/>
      </c>
      <c r="E185" s="211" t="str">
        <f>IFERROR(VLOOKUP($C185,'PORTIFÓLIO'!C:V,3,0),"")</f>
        <v/>
      </c>
      <c r="F185" s="211" t="str">
        <f>IFERROR(VLOOKUP($C185,'PORTIFÓLIO'!C:V,4,0),"")</f>
        <v>R$/Ha</v>
      </c>
      <c r="G185" s="215">
        <f t="array" ref="G185">IFERROR(INDEX('PORTIFÓLIO'!$H$4:$H$433,MATCH($C185,'PORTIFÓLIO'!$C$4:$C$433,0)),"")</f>
        <v>0.01960784314</v>
      </c>
      <c r="H185" s="254">
        <f t="array" ref="H185">IFERROR(INDEX('PORTIFÓLIO'!$H$4:$H$433,MATCH($C185,'PORTIFÓLIO'!$C$4:$C$433,0)),"")</f>
        <v>0.01960784314</v>
      </c>
      <c r="I185" s="256">
        <f>G185*3</f>
        <v>0.05882352941</v>
      </c>
      <c r="J185" s="218">
        <f t="shared" si="22"/>
        <v>18.35294118</v>
      </c>
      <c r="K185" s="219">
        <f t="array" ref="K185">IFERROR(I185*INDEX('PORTIFÓLIO'!$S$4:$S$433,MATCH($C185,'PORTIFÓLIO'!$C$4:$C$433,0)),"")</f>
        <v>7.5</v>
      </c>
      <c r="L185" s="219">
        <f t="array" ref="L185">IFERROR(J185*INDEX('PORTIFÓLIO'!$S$4:$S$433,MATCH($C185,'PORTIFÓLIO'!$C$4:$C$433,0)),"")</f>
        <v>2340</v>
      </c>
      <c r="M185" s="220"/>
      <c r="N185" s="220"/>
      <c r="O185" s="220"/>
      <c r="P185" s="220"/>
      <c r="Q185" s="220"/>
      <c r="R185" s="220"/>
      <c r="S185" s="220"/>
      <c r="T185" s="220"/>
      <c r="U185" s="220"/>
      <c r="V185" s="220"/>
      <c r="W185" s="220"/>
    </row>
    <row r="186" ht="15.75" customHeight="1" outlineLevel="1">
      <c r="A186" s="211"/>
      <c r="B186" s="212" t="s">
        <v>10</v>
      </c>
      <c r="C186" s="213" t="s">
        <v>1198</v>
      </c>
      <c r="D186" s="214" t="str">
        <f>IFERROR(VLOOKUP($C186,'PORTIFÓLIO'!C:V,2,0),"")</f>
        <v/>
      </c>
      <c r="E186" s="211" t="str">
        <f>IFERROR(VLOOKUP($C186,'PORTIFÓLIO'!C:V,3,0),"")</f>
        <v/>
      </c>
      <c r="F186" s="211" t="str">
        <f>IFERROR(VLOOKUP($C186,'PORTIFÓLIO'!C:V,4,0),"")</f>
        <v>R$/Ha</v>
      </c>
      <c r="G186" s="215">
        <f t="array" ref="G186">IFERROR(INDEX('PORTIFÓLIO'!$H$4:$H$433,MATCH($C186,'PORTIFÓLIO'!$C$4:$C$433,0)),"")</f>
        <v>0.006666666667</v>
      </c>
      <c r="H186" s="254">
        <f t="array" ref="H186">IFERROR(INDEX('PORTIFÓLIO'!$H$4:$H$433,MATCH($C186,'PORTIFÓLIO'!$C$4:$C$433,0)),"")</f>
        <v>0.006666666667</v>
      </c>
      <c r="I186" s="256">
        <f>G186*5</f>
        <v>0.03333333333</v>
      </c>
      <c r="J186" s="218">
        <f t="shared" si="22"/>
        <v>10.4</v>
      </c>
      <c r="K186" s="219">
        <f t="array" ref="K186">IFERROR(I186*INDEX('PORTIFÓLIO'!$S$4:$S$433,MATCH($C186,'PORTIFÓLIO'!$C$4:$C$433,0)),"")</f>
        <v>166.6666667</v>
      </c>
      <c r="L186" s="219">
        <f t="array" ref="L186">IFERROR(J186*INDEX('PORTIFÓLIO'!$S$4:$S$433,MATCH($C186,'PORTIFÓLIO'!$C$4:$C$433,0)),"")</f>
        <v>52000</v>
      </c>
      <c r="M186" s="220"/>
      <c r="N186" s="220"/>
      <c r="O186" s="220"/>
      <c r="P186" s="220"/>
      <c r="Q186" s="220"/>
      <c r="R186" s="220"/>
      <c r="S186" s="220"/>
      <c r="T186" s="220"/>
      <c r="U186" s="220"/>
      <c r="V186" s="220"/>
      <c r="W186" s="220"/>
    </row>
    <row r="187" ht="15.75" customHeight="1" outlineLevel="1">
      <c r="A187" s="211"/>
      <c r="B187" s="212" t="s">
        <v>10</v>
      </c>
      <c r="C187" s="213" t="s">
        <v>1199</v>
      </c>
      <c r="D187" s="214" t="str">
        <f>IFERROR(VLOOKUP($C187,'PORTIFÓLIO'!C:V,2,0),"")</f>
        <v/>
      </c>
      <c r="E187" s="211" t="str">
        <f>IFERROR(VLOOKUP($C187,'PORTIFÓLIO'!C:V,3,0),"")</f>
        <v/>
      </c>
      <c r="F187" s="211" t="str">
        <f>IFERROR(VLOOKUP($C187,'PORTIFÓLIO'!C:V,4,0),"")</f>
        <v>R$/Ha</v>
      </c>
      <c r="G187" s="215">
        <f t="array" ref="G187">IFERROR(INDEX('PORTIFÓLIO'!$H$4:$H$433,MATCH($C187,'PORTIFÓLIO'!$C$4:$C$433,0)),"")</f>
        <v>0.08169934641</v>
      </c>
      <c r="H187" s="254">
        <f t="array" ref="H187">IFERROR(INDEX('PORTIFÓLIO'!$H$4:$H$433,MATCH($C187,'PORTIFÓLIO'!$C$4:$C$433,0)),"")</f>
        <v>0.08169934641</v>
      </c>
      <c r="I187" s="255">
        <v>0.081</v>
      </c>
      <c r="J187" s="218">
        <f t="shared" si="22"/>
        <v>25.272</v>
      </c>
      <c r="K187" s="219">
        <f t="array" ref="K187">IFERROR(I187*INDEX('PORTIFÓLIO'!$S$4:$S$433,MATCH($C187,'PORTIFÓLIO'!$C$4:$C$433,0)),"")</f>
        <v>36.45</v>
      </c>
      <c r="L187" s="219">
        <f t="array" ref="L187">IFERROR(J187*INDEX('PORTIFÓLIO'!$S$4:$S$433,MATCH($C187,'PORTIFÓLIO'!$C$4:$C$433,0)),"")</f>
        <v>11372.4</v>
      </c>
      <c r="M187" s="220"/>
      <c r="N187" s="220"/>
      <c r="O187" s="220"/>
      <c r="P187" s="220"/>
      <c r="Q187" s="220"/>
      <c r="R187" s="220"/>
      <c r="S187" s="220"/>
      <c r="T187" s="220"/>
      <c r="U187" s="220"/>
      <c r="V187" s="220"/>
      <c r="W187" s="220"/>
    </row>
    <row r="188" ht="15.75" customHeight="1" outlineLevel="1">
      <c r="A188" s="211"/>
      <c r="B188" s="212" t="s">
        <v>10</v>
      </c>
      <c r="C188" s="213" t="s">
        <v>1200</v>
      </c>
      <c r="D188" s="214" t="str">
        <f>IFERROR(VLOOKUP($C188,'PORTIFÓLIO'!C:V,2,0),"")</f>
        <v/>
      </c>
      <c r="E188" s="211" t="str">
        <f>IFERROR(VLOOKUP($C188,'PORTIFÓLIO'!C:V,3,0),"")</f>
        <v/>
      </c>
      <c r="F188" s="211" t="str">
        <f>IFERROR(VLOOKUP($C188,'PORTIFÓLIO'!C:V,4,0),"")</f>
        <v>R$/Ha</v>
      </c>
      <c r="G188" s="215">
        <f t="array" ref="G188">IFERROR(INDEX('PORTIFÓLIO'!$H$4:$H$433,MATCH($C188,'PORTIFÓLIO'!$C$4:$C$433,0)),"")</f>
        <v>0.1508295626</v>
      </c>
      <c r="H188" s="254">
        <f t="array" ref="H188">IFERROR(INDEX('PORTIFÓLIO'!$H$4:$H$433,MATCH($C188,'PORTIFÓLIO'!$C$4:$C$433,0)),"")</f>
        <v>0.1508295626</v>
      </c>
      <c r="I188" s="255">
        <v>0.15</v>
      </c>
      <c r="J188" s="218">
        <f t="shared" si="22"/>
        <v>46.8</v>
      </c>
      <c r="K188" s="219">
        <f t="array" ref="K188">IFERROR(I188*INDEX('PORTIFÓLIO'!$S$4:$S$433,MATCH($C188,'PORTIFÓLIO'!$C$4:$C$433,0)),"")</f>
        <v>56.25</v>
      </c>
      <c r="L188" s="219">
        <f t="array" ref="L188">IFERROR(J188*INDEX('PORTIFÓLIO'!$S$4:$S$433,MATCH($C188,'PORTIFÓLIO'!$C$4:$C$433,0)),"")</f>
        <v>17550</v>
      </c>
      <c r="M188" s="220"/>
      <c r="N188" s="220"/>
      <c r="O188" s="220"/>
      <c r="P188" s="220"/>
      <c r="Q188" s="220"/>
      <c r="R188" s="220"/>
      <c r="S188" s="220"/>
      <c r="T188" s="220"/>
      <c r="U188" s="220"/>
      <c r="V188" s="220"/>
      <c r="W188" s="220"/>
    </row>
    <row r="189" ht="15.75" customHeight="1" outlineLevel="1">
      <c r="A189" s="211"/>
      <c r="B189" s="212" t="s">
        <v>10</v>
      </c>
      <c r="C189" s="213" t="s">
        <v>1201</v>
      </c>
      <c r="D189" s="214" t="str">
        <f>IFERROR(VLOOKUP($C189,'PORTIFÓLIO'!C:V,2,0),"")</f>
        <v/>
      </c>
      <c r="E189" s="211" t="str">
        <f>IFERROR(VLOOKUP($C189,'PORTIFÓLIO'!C:V,3,0),"")</f>
        <v/>
      </c>
      <c r="F189" s="211" t="str">
        <f>IFERROR(VLOOKUP($C189,'PORTIFÓLIO'!C:V,4,0),"")</f>
        <v>R$/Ha</v>
      </c>
      <c r="G189" s="215">
        <f t="array" ref="G189">IFERROR(INDEX('PORTIFÓLIO'!$H$4:$H$433,MATCH($C189,'PORTIFÓLIO'!$C$4:$C$433,0)),"")</f>
        <v>0.001367989056</v>
      </c>
      <c r="H189" s="254">
        <f t="array" ref="H189">IFERROR(INDEX('PORTIFÓLIO'!$H$4:$H$433,MATCH($C189,'PORTIFÓLIO'!$C$4:$C$433,0)),"")</f>
        <v>0.001367989056</v>
      </c>
      <c r="I189" s="255">
        <v>0.1</v>
      </c>
      <c r="J189" s="218">
        <f t="shared" si="22"/>
        <v>31.2</v>
      </c>
      <c r="K189" s="219">
        <f t="array" ref="K189">IFERROR(I189*INDEX('PORTIFÓLIO'!$S$4:$S$433,MATCH($C189,'PORTIFÓLIO'!$C$4:$C$433,0)),"")</f>
        <v>15</v>
      </c>
      <c r="L189" s="219">
        <f t="array" ref="L189">IFERROR(J189*INDEX('PORTIFÓLIO'!$S$4:$S$433,MATCH($C189,'PORTIFÓLIO'!$C$4:$C$433,0)),"")</f>
        <v>4680</v>
      </c>
      <c r="M189" s="220"/>
      <c r="N189" s="220"/>
      <c r="O189" s="220"/>
      <c r="P189" s="220"/>
      <c r="Q189" s="220"/>
      <c r="R189" s="220"/>
      <c r="S189" s="220"/>
      <c r="T189" s="220"/>
      <c r="U189" s="220"/>
      <c r="V189" s="220"/>
      <c r="W189" s="220"/>
    </row>
    <row r="190" ht="15.75" customHeight="1" outlineLevel="1">
      <c r="A190" s="211"/>
      <c r="B190" s="212"/>
      <c r="C190" s="213"/>
      <c r="D190" s="214" t="str">
        <f>IFERROR(VLOOKUP($C190,'PORTIFÓLIO'!C:V,2,0),"")</f>
        <v/>
      </c>
      <c r="E190" s="211" t="str">
        <f>IFERROR(VLOOKUP($C190,'PORTIFÓLIO'!C:V,3,0),"")</f>
        <v/>
      </c>
      <c r="F190" s="211" t="str">
        <f>IFERROR(VLOOKUP($C190,'PORTIFÓLIO'!C:V,4,0),"")</f>
        <v/>
      </c>
      <c r="G190" s="215" t="str">
        <f>IFERROR(VLOOKUP($C190,'PORTIFÓLIO'!C:V,5,0),"")</f>
        <v/>
      </c>
      <c r="H190" s="254" t="str">
        <f t="array" ref="H190">IFERROR(INDEX('PORTIFÓLIO'!$H$4:$H$433,MATCH($C190,'PORTIFÓLIO'!$C$4:$C$433,0)),"")</f>
        <v/>
      </c>
      <c r="I190" s="256"/>
      <c r="J190" s="218">
        <f t="shared" si="22"/>
        <v>0</v>
      </c>
      <c r="K190" s="219" t="str">
        <f t="array" ref="K190">IFERROR(I190*INDEX('PORTIFÓLIO'!$S$4:$S$433,MATCH($C190,'PORTIFÓLIO'!$C$4:$C$433,0)),"")</f>
        <v/>
      </c>
      <c r="L190" s="219" t="str">
        <f t="array" ref="L190">IFERROR(J190*INDEX('PORTIFÓLIO'!$S$4:$S$433,MATCH($C190,'PORTIFÓLIO'!$C$4:$C$433,0)),"")</f>
        <v/>
      </c>
      <c r="M190" s="220"/>
      <c r="N190" s="220"/>
      <c r="O190" s="220"/>
      <c r="P190" s="220"/>
      <c r="Q190" s="220"/>
      <c r="R190" s="220"/>
      <c r="S190" s="220"/>
      <c r="T190" s="220"/>
      <c r="U190" s="220"/>
      <c r="V190" s="220"/>
      <c r="W190" s="220"/>
    </row>
    <row r="191" ht="15.75" customHeight="1" outlineLevel="1">
      <c r="A191" s="211"/>
      <c r="B191" s="212"/>
      <c r="C191" s="213"/>
      <c r="D191" s="214" t="str">
        <f>IFERROR(VLOOKUP($C191,'PORTIFÓLIO'!C:V,2,0),"")</f>
        <v/>
      </c>
      <c r="E191" s="211" t="str">
        <f>IFERROR(VLOOKUP($C191,'PORTIFÓLIO'!C:V,3,0),"")</f>
        <v/>
      </c>
      <c r="F191" s="211" t="str">
        <f>IFERROR(VLOOKUP($C191,'PORTIFÓLIO'!C:V,4,0),"")</f>
        <v/>
      </c>
      <c r="G191" s="215" t="str">
        <f>IFERROR(VLOOKUP($C191,'PORTIFÓLIO'!C:V,5,0),"")</f>
        <v/>
      </c>
      <c r="H191" s="254" t="str">
        <f t="array" ref="H191">IFERROR(INDEX('PORTIFÓLIO'!$H$4:$H$433,MATCH($C191,'PORTIFÓLIO'!$C$4:$C$433,0)),"")</f>
        <v/>
      </c>
      <c r="I191" s="255"/>
      <c r="J191" s="218">
        <f t="shared" si="22"/>
        <v>0</v>
      </c>
      <c r="K191" s="219" t="str">
        <f t="array" ref="K191">IFERROR(I191*INDEX('PORTIFÓLIO'!$S$4:$S$433,MATCH($C191,'PORTIFÓLIO'!$C$4:$C$433,0)),"")</f>
        <v/>
      </c>
      <c r="L191" s="219" t="str">
        <f t="array" ref="L191">IFERROR(J191*INDEX('PORTIFÓLIO'!$S$4:$S$433,MATCH($C191,'PORTIFÓLIO'!$C$4:$C$433,0)),"")</f>
        <v/>
      </c>
      <c r="M191" s="220"/>
      <c r="N191" s="220"/>
      <c r="O191" s="220"/>
      <c r="P191" s="220"/>
      <c r="Q191" s="220"/>
      <c r="R191" s="220"/>
      <c r="S191" s="220"/>
      <c r="T191" s="220"/>
      <c r="U191" s="220"/>
      <c r="V191" s="220"/>
      <c r="W191" s="220"/>
    </row>
    <row r="192" ht="15.75" customHeight="1" outlineLevel="1">
      <c r="A192" s="211"/>
      <c r="B192" s="212"/>
      <c r="C192" s="213"/>
      <c r="D192" s="214" t="str">
        <f>IFERROR(VLOOKUP($C192,'PORTIFÓLIO'!C:V,2,0),"")</f>
        <v/>
      </c>
      <c r="E192" s="211" t="str">
        <f>IFERROR(VLOOKUP($C192,'PORTIFÓLIO'!C:V,3,0),"")</f>
        <v/>
      </c>
      <c r="F192" s="211" t="str">
        <f>IFERROR(VLOOKUP($C192,'PORTIFÓLIO'!C:V,4,0),"")</f>
        <v/>
      </c>
      <c r="G192" s="215" t="str">
        <f>IFERROR(VLOOKUP($C192,'PORTIFÓLIO'!C:V,5,0),"")</f>
        <v/>
      </c>
      <c r="H192" s="254" t="str">
        <f t="array" ref="H192">IFERROR(INDEX('PORTIFÓLIO'!$H$4:$H$433,MATCH($C192,'PORTIFÓLIO'!$C$4:$C$433,0)),"")</f>
        <v/>
      </c>
      <c r="I192" s="256"/>
      <c r="J192" s="218">
        <f t="shared" si="22"/>
        <v>0</v>
      </c>
      <c r="K192" s="219" t="str">
        <f t="array" ref="K192">IFERROR(I192*INDEX('PORTIFÓLIO'!$S$4:$S$433,MATCH($C192,'PORTIFÓLIO'!$C$4:$C$433,0)),"")</f>
        <v/>
      </c>
      <c r="L192" s="219" t="str">
        <f t="array" ref="L192">IFERROR(J192*INDEX('PORTIFÓLIO'!$S$4:$S$433,MATCH($C192,'PORTIFÓLIO'!$C$4:$C$433,0)),"")</f>
        <v/>
      </c>
      <c r="M192" s="220"/>
      <c r="N192" s="220"/>
      <c r="O192" s="220"/>
      <c r="P192" s="220"/>
      <c r="Q192" s="220"/>
      <c r="R192" s="220"/>
      <c r="S192" s="220"/>
      <c r="T192" s="220"/>
      <c r="U192" s="220"/>
      <c r="V192" s="220"/>
      <c r="W192" s="220"/>
    </row>
    <row r="193" ht="15.75" customHeight="1" outlineLevel="1">
      <c r="A193" s="211"/>
      <c r="B193" s="212"/>
      <c r="C193" s="213"/>
      <c r="D193" s="214" t="str">
        <f>IFERROR(VLOOKUP($C193,'PORTIFÓLIO'!C:V,2,0),"")</f>
        <v/>
      </c>
      <c r="E193" s="211" t="str">
        <f>IFERROR(VLOOKUP($C193,'PORTIFÓLIO'!C:V,3,0),"")</f>
        <v/>
      </c>
      <c r="F193" s="211" t="str">
        <f>IFERROR(VLOOKUP($C193,'PORTIFÓLIO'!C:V,4,0),"")</f>
        <v/>
      </c>
      <c r="G193" s="215" t="str">
        <f>IFERROR(VLOOKUP($C193,'PORTIFÓLIO'!C:V,5,0),"")</f>
        <v/>
      </c>
      <c r="H193" s="254" t="str">
        <f t="array" ref="H193">IFERROR(INDEX('PORTIFÓLIO'!$H$4:$H$433,MATCH($C193,'PORTIFÓLIO'!$C$4:$C$433,0)),"")</f>
        <v/>
      </c>
      <c r="I193" s="256"/>
      <c r="J193" s="218">
        <f t="shared" si="22"/>
        <v>0</v>
      </c>
      <c r="K193" s="219" t="str">
        <f t="array" ref="K193">IFERROR(I193*INDEX('PORTIFÓLIO'!$S$4:$S$433,MATCH($C193,'PORTIFÓLIO'!$C$4:$C$433,0)),"")</f>
        <v/>
      </c>
      <c r="L193" s="219" t="str">
        <f t="array" ref="L193">IFERROR(J193*INDEX('PORTIFÓLIO'!$S$4:$S$433,MATCH($C193,'PORTIFÓLIO'!$C$4:$C$433,0)),"")</f>
        <v/>
      </c>
      <c r="M193" s="220"/>
      <c r="N193" s="220"/>
      <c r="O193" s="220"/>
      <c r="P193" s="220"/>
      <c r="Q193" s="220"/>
      <c r="R193" s="220"/>
      <c r="S193" s="220"/>
      <c r="T193" s="220"/>
      <c r="U193" s="220"/>
      <c r="V193" s="220"/>
      <c r="W193" s="220"/>
    </row>
    <row r="194" ht="15.75" customHeight="1" outlineLevel="1">
      <c r="A194" s="211"/>
      <c r="B194" s="212"/>
      <c r="C194" s="213"/>
      <c r="D194" s="214" t="str">
        <f>IFERROR(VLOOKUP($C194,'PORTIFÓLIO'!C:V,2,0),"")</f>
        <v/>
      </c>
      <c r="E194" s="211" t="str">
        <f>IFERROR(VLOOKUP($C194,'PORTIFÓLIO'!C:V,3,0),"")</f>
        <v/>
      </c>
      <c r="F194" s="211" t="str">
        <f>IFERROR(VLOOKUP($C194,'PORTIFÓLIO'!C:V,4,0),"")</f>
        <v/>
      </c>
      <c r="G194" s="215" t="str">
        <f>IFERROR(VLOOKUP($C194,'PORTIFÓLIO'!C:V,5,0),"")</f>
        <v/>
      </c>
      <c r="H194" s="254" t="str">
        <f t="array" ref="H194">IFERROR(INDEX('PORTIFÓLIO'!$H$4:$H$433,MATCH($C194,'PORTIFÓLIO'!$C$4:$C$433,0)),"")</f>
        <v/>
      </c>
      <c r="I194" s="256"/>
      <c r="J194" s="218">
        <f t="shared" si="22"/>
        <v>0</v>
      </c>
      <c r="K194" s="219" t="str">
        <f t="array" ref="K194">IFERROR(I194*INDEX('PORTIFÓLIO'!$S$4:$S$433,MATCH($C194,'PORTIFÓLIO'!$C$4:$C$433,0)),"")</f>
        <v/>
      </c>
      <c r="L194" s="219" t="str">
        <f t="array" ref="L194">IFERROR(J194*INDEX('PORTIFÓLIO'!$S$4:$S$433,MATCH($C194,'PORTIFÓLIO'!$C$4:$C$433,0)),"")</f>
        <v/>
      </c>
      <c r="M194" s="220"/>
      <c r="N194" s="220"/>
      <c r="O194" s="220"/>
      <c r="P194" s="220"/>
      <c r="Q194" s="220"/>
      <c r="R194" s="220"/>
      <c r="S194" s="220"/>
      <c r="T194" s="220"/>
      <c r="U194" s="220"/>
      <c r="V194" s="220"/>
      <c r="W194" s="220"/>
    </row>
    <row r="195" ht="15.75" customHeight="1" outlineLevel="1">
      <c r="A195" s="211"/>
      <c r="B195" s="212"/>
      <c r="C195" s="213"/>
      <c r="D195" s="214" t="str">
        <f>IFERROR(VLOOKUP($C195,'PORTIFÓLIO'!C:V,2,0),"")</f>
        <v/>
      </c>
      <c r="E195" s="211" t="str">
        <f>IFERROR(VLOOKUP($C195,'PORTIFÓLIO'!C:V,3,0),"")</f>
        <v/>
      </c>
      <c r="F195" s="211" t="str">
        <f>IFERROR(VLOOKUP($C195,'PORTIFÓLIO'!C:V,4,0),"")</f>
        <v/>
      </c>
      <c r="G195" s="215" t="str">
        <f>IFERROR(VLOOKUP($C195,'PORTIFÓLIO'!C:V,5,0),"")</f>
        <v/>
      </c>
      <c r="H195" s="254" t="str">
        <f t="array" ref="H195">IFERROR(INDEX('PORTIFÓLIO'!$H$4:$H$433,MATCH($C195,'PORTIFÓLIO'!$C$4:$C$433,0)),"")</f>
        <v/>
      </c>
      <c r="I195" s="256"/>
      <c r="J195" s="218">
        <f t="shared" si="22"/>
        <v>0</v>
      </c>
      <c r="K195" s="219" t="str">
        <f t="array" ref="K195">IFERROR(I195*INDEX('PORTIFÓLIO'!$S$4:$S$433,MATCH($C195,'PORTIFÓLIO'!$C$4:$C$433,0)),"")</f>
        <v/>
      </c>
      <c r="L195" s="219" t="str">
        <f t="array" ref="L195">IFERROR(J195*INDEX('PORTIFÓLIO'!$S$4:$S$433,MATCH($C195,'PORTIFÓLIO'!$C$4:$C$433,0)),"")</f>
        <v/>
      </c>
      <c r="M195" s="220"/>
      <c r="N195" s="220"/>
      <c r="O195" s="220"/>
      <c r="P195" s="220"/>
      <c r="Q195" s="220"/>
      <c r="R195" s="220"/>
      <c r="S195" s="220"/>
      <c r="T195" s="220"/>
      <c r="U195" s="220"/>
      <c r="V195" s="220"/>
      <c r="W195" s="220"/>
    </row>
    <row r="196" ht="15.75" customHeight="1" outlineLevel="1">
      <c r="A196" s="211"/>
      <c r="B196" s="212"/>
      <c r="C196" s="213"/>
      <c r="D196" s="214" t="str">
        <f>IFERROR(VLOOKUP($C196,'PORTIFÓLIO'!C:V,2,0),"")</f>
        <v/>
      </c>
      <c r="E196" s="211" t="str">
        <f>IFERROR(VLOOKUP($C196,'PORTIFÓLIO'!C:V,3,0),"")</f>
        <v/>
      </c>
      <c r="F196" s="211" t="str">
        <f>IFERROR(VLOOKUP($C196,'PORTIFÓLIO'!C:V,4,0),"")</f>
        <v/>
      </c>
      <c r="G196" s="215" t="str">
        <f>IFERROR(VLOOKUP($C196,'PORTIFÓLIO'!C:V,5,0),"")</f>
        <v/>
      </c>
      <c r="H196" s="254" t="str">
        <f t="array" ref="H196">IFERROR(INDEX('PORTIFÓLIO'!$H$4:$H$433,MATCH($C196,'PORTIFÓLIO'!$C$4:$C$433,0)),"")</f>
        <v/>
      </c>
      <c r="I196" s="256"/>
      <c r="J196" s="218">
        <f t="shared" si="22"/>
        <v>0</v>
      </c>
      <c r="K196" s="219" t="str">
        <f t="array" ref="K196">IFERROR(I196*INDEX('PORTIFÓLIO'!$S$4:$S$433,MATCH($C196,'PORTIFÓLIO'!$C$4:$C$433,0)),"")</f>
        <v/>
      </c>
      <c r="L196" s="219" t="str">
        <f t="array" ref="L196">IFERROR(J196*INDEX('PORTIFÓLIO'!$S$4:$S$433,MATCH($C196,'PORTIFÓLIO'!$C$4:$C$433,0)),"")</f>
        <v/>
      </c>
      <c r="M196" s="220"/>
      <c r="N196" s="220"/>
      <c r="O196" s="220"/>
      <c r="P196" s="220"/>
      <c r="Q196" s="220"/>
      <c r="R196" s="220"/>
      <c r="S196" s="220"/>
      <c r="T196" s="220"/>
      <c r="U196" s="220"/>
      <c r="V196" s="220"/>
      <c r="W196" s="220"/>
    </row>
    <row r="197" ht="15.75" customHeight="1" outlineLevel="1">
      <c r="A197" s="211"/>
      <c r="B197" s="212"/>
      <c r="C197" s="213"/>
      <c r="D197" s="214" t="str">
        <f>IFERROR(VLOOKUP($C197,'PORTIFÓLIO'!C:V,2,0),"")</f>
        <v/>
      </c>
      <c r="E197" s="211" t="str">
        <f>IFERROR(VLOOKUP($C197,'PORTIFÓLIO'!C:V,3,0),"")</f>
        <v/>
      </c>
      <c r="F197" s="211" t="str">
        <f>IFERROR(VLOOKUP($C197,'PORTIFÓLIO'!C:V,4,0),"")</f>
        <v/>
      </c>
      <c r="G197" s="215" t="str">
        <f>IFERROR(VLOOKUP($C197,'PORTIFÓLIO'!C:V,5,0),"")</f>
        <v/>
      </c>
      <c r="H197" s="254" t="str">
        <f t="array" ref="H197">IFERROR(INDEX('PORTIFÓLIO'!$H$4:$H$433,MATCH($C197,'PORTIFÓLIO'!$C$4:$C$433,0)),"")</f>
        <v/>
      </c>
      <c r="I197" s="256"/>
      <c r="J197" s="218">
        <f t="shared" si="22"/>
        <v>0</v>
      </c>
      <c r="K197" s="219" t="str">
        <f t="array" ref="K197">IFERROR(I197*INDEX('PORTIFÓLIO'!$S$4:$S$433,MATCH($C197,'PORTIFÓLIO'!$C$4:$C$433,0)),"")</f>
        <v/>
      </c>
      <c r="L197" s="219" t="str">
        <f t="array" ref="L197">IFERROR(J197*INDEX('PORTIFÓLIO'!$S$4:$S$433,MATCH($C197,'PORTIFÓLIO'!$C$4:$C$433,0)),"")</f>
        <v/>
      </c>
      <c r="M197" s="220"/>
      <c r="N197" s="220"/>
      <c r="O197" s="220"/>
      <c r="P197" s="220"/>
      <c r="Q197" s="220"/>
      <c r="R197" s="220"/>
      <c r="S197" s="220"/>
      <c r="T197" s="220"/>
      <c r="U197" s="220"/>
      <c r="V197" s="220"/>
      <c r="W197" s="220"/>
    </row>
    <row r="198" ht="15.75" customHeight="1" outlineLevel="1">
      <c r="A198" s="211"/>
      <c r="B198" s="227"/>
      <c r="C198" s="211"/>
      <c r="D198" s="214" t="str">
        <f>IFERROR(VLOOKUP($C198,'PORTIFÓLIO'!C:V,2,0),"")</f>
        <v/>
      </c>
      <c r="E198" s="211" t="str">
        <f>IFERROR(VLOOKUP($C198,'PORTIFÓLIO'!C:V,3,0),"")</f>
        <v/>
      </c>
      <c r="F198" s="211" t="str">
        <f>IFERROR(VLOOKUP($C198,'PORTIFÓLIO'!C:V,4,0),"")</f>
        <v/>
      </c>
      <c r="G198" s="215" t="str">
        <f>IFERROR(VLOOKUP($C198,'PORTIFÓLIO'!C:V,5,0),"")</f>
        <v/>
      </c>
      <c r="H198" s="254" t="str">
        <f t="array" ref="H198">IFERROR(INDEX('PORTIFÓLIO'!$H$4:$H$433,MATCH($C198,'PORTIFÓLIO'!$C$4:$C$433,0)),"")</f>
        <v/>
      </c>
      <c r="I198" s="256"/>
      <c r="J198" s="218">
        <f t="shared" si="22"/>
        <v>0</v>
      </c>
      <c r="K198" s="219" t="str">
        <f t="array" ref="K198">IFERROR(I198*INDEX('PORTIFÓLIO'!$S$4:$S$433,MATCH($C198,'PORTIFÓLIO'!$C$4:$C$433,0)),"")</f>
        <v/>
      </c>
      <c r="L198" s="219" t="str">
        <f t="array" ref="L198">IFERROR(J198*INDEX('PORTIFÓLIO'!$S$4:$S$433,MATCH($C198,'PORTIFÓLIO'!$C$4:$C$433,0)),"")</f>
        <v/>
      </c>
      <c r="M198" s="220"/>
      <c r="N198" s="220"/>
      <c r="O198" s="220"/>
      <c r="P198" s="220"/>
      <c r="Q198" s="220"/>
      <c r="R198" s="220"/>
      <c r="S198" s="220"/>
      <c r="T198" s="220"/>
      <c r="U198" s="220"/>
      <c r="V198" s="220"/>
      <c r="W198" s="220"/>
    </row>
    <row r="199" ht="15.75" customHeight="1" outlineLevel="1">
      <c r="A199" s="211"/>
      <c r="B199" s="227"/>
      <c r="C199" s="211"/>
      <c r="D199" s="214" t="str">
        <f>IFERROR(VLOOKUP($C199,'PORTIFÓLIO'!C:V,2,0),"")</f>
        <v/>
      </c>
      <c r="E199" s="211" t="str">
        <f>IFERROR(VLOOKUP($C199,'PORTIFÓLIO'!C:V,3,0),"")</f>
        <v/>
      </c>
      <c r="F199" s="211" t="str">
        <f>IFERROR(VLOOKUP($C199,'PORTIFÓLIO'!C:V,4,0),"")</f>
        <v/>
      </c>
      <c r="G199" s="215" t="str">
        <f>IFERROR(VLOOKUP($C199,'PORTIFÓLIO'!C:V,5,0),"")</f>
        <v/>
      </c>
      <c r="H199" s="254" t="str">
        <f t="array" ref="H199">IFERROR(INDEX('PORTIFÓLIO'!$H$4:$H$433,MATCH($C199,'PORTIFÓLIO'!$C$4:$C$433,0)),"")</f>
        <v/>
      </c>
      <c r="I199" s="256"/>
      <c r="J199" s="218">
        <f t="shared" si="22"/>
        <v>0</v>
      </c>
      <c r="K199" s="219" t="str">
        <f t="array" ref="K199">IFERROR(I199*INDEX('PORTIFÓLIO'!$S$4:$S$433,MATCH($C199,'PORTIFÓLIO'!$C$4:$C$433,0)),"")</f>
        <v/>
      </c>
      <c r="L199" s="219" t="str">
        <f t="array" ref="L199">IFERROR(J199*INDEX('PORTIFÓLIO'!$S$4:$S$433,MATCH($C199,'PORTIFÓLIO'!$C$4:$C$433,0)),"")</f>
        <v/>
      </c>
      <c r="M199" s="220"/>
      <c r="N199" s="220"/>
      <c r="O199" s="220"/>
      <c r="P199" s="220"/>
      <c r="Q199" s="220"/>
      <c r="R199" s="220"/>
      <c r="S199" s="220"/>
      <c r="T199" s="220"/>
      <c r="U199" s="220"/>
      <c r="V199" s="220"/>
      <c r="W199" s="220"/>
    </row>
    <row r="200" ht="15.75" customHeight="1">
      <c r="A200" s="229" t="s">
        <v>1202</v>
      </c>
      <c r="B200" s="230"/>
      <c r="C200" s="231"/>
      <c r="D200" s="232"/>
      <c r="E200" s="231"/>
      <c r="F200" s="231"/>
      <c r="G200" s="233"/>
      <c r="H200" s="233"/>
      <c r="I200" s="258"/>
      <c r="J200" s="236"/>
      <c r="K200" s="237">
        <f t="shared" ref="K200:L200" si="23">SUBTOTAL(9,K201:K214)</f>
        <v>0</v>
      </c>
      <c r="L200" s="237">
        <f t="shared" si="23"/>
        <v>0</v>
      </c>
      <c r="M200" s="220"/>
      <c r="N200" s="220"/>
      <c r="O200" s="220"/>
      <c r="P200" s="220"/>
      <c r="Q200" s="220"/>
      <c r="R200" s="220"/>
      <c r="S200" s="220"/>
      <c r="T200" s="220"/>
      <c r="U200" s="220"/>
      <c r="V200" s="220"/>
      <c r="W200" s="220"/>
    </row>
    <row r="201" ht="15.75" customHeight="1" outlineLevel="1">
      <c r="A201" s="213"/>
      <c r="B201" s="212"/>
      <c r="C201" s="213"/>
      <c r="D201" s="214" t="str">
        <f>IFERROR(VLOOKUP($C201,'PORTIFÓLIO'!C:V,2,0),"")</f>
        <v/>
      </c>
      <c r="E201" s="211" t="str">
        <f>IFERROR(VLOOKUP($C201,'PORTIFÓLIO'!C:V,3,0),"")</f>
        <v/>
      </c>
      <c r="F201" s="211" t="str">
        <f>IFERROR(VLOOKUP($C201,'PORTIFÓLIO'!C:V,4,0),"")</f>
        <v/>
      </c>
      <c r="G201" s="215" t="str">
        <f>IFERROR(VLOOKUP($C201,'PORTIFÓLIO'!C:V,5,0),"")</f>
        <v/>
      </c>
      <c r="H201" s="254" t="str">
        <f t="array" ref="H201">IFERROR(INDEX('PORTIFÓLIO'!$H$4:$H$433,MATCH($C201,'PORTIFÓLIO'!$C$4:$C$433,0)),"")</f>
        <v/>
      </c>
      <c r="I201" s="256"/>
      <c r="J201" s="218">
        <f t="shared" ref="J201:J224" si="24">I201*$B$2</f>
        <v>0</v>
      </c>
      <c r="K201" s="219" t="str">
        <f>IFERROR(I201* VLOOKUP($C201,'PORTIFÓLIO'!C:V,10,0),"")</f>
        <v/>
      </c>
      <c r="L201" s="219" t="str">
        <f>IFERROR(J201* VLOOKUP($C201,'PORTIFÓLIO'!C:V,10,0),"")</f>
        <v/>
      </c>
      <c r="M201" s="220"/>
      <c r="N201" s="220"/>
      <c r="O201" s="220"/>
      <c r="P201" s="220"/>
      <c r="Q201" s="220"/>
      <c r="R201" s="220"/>
      <c r="S201" s="220"/>
      <c r="T201" s="220"/>
      <c r="U201" s="220"/>
      <c r="V201" s="220"/>
      <c r="W201" s="220"/>
    </row>
    <row r="202" ht="15.75" customHeight="1" outlineLevel="1">
      <c r="A202" s="211"/>
      <c r="B202" s="212"/>
      <c r="C202" s="213"/>
      <c r="D202" s="214" t="str">
        <f>IFERROR(VLOOKUP($C202,'PORTIFÓLIO'!C:V,2,0),"")</f>
        <v/>
      </c>
      <c r="E202" s="211" t="str">
        <f>IFERROR(VLOOKUP($C202,'PORTIFÓLIO'!C:V,3,0),"")</f>
        <v/>
      </c>
      <c r="F202" s="211" t="str">
        <f>IFERROR(VLOOKUP($C202,'PORTIFÓLIO'!C:V,4,0),"")</f>
        <v/>
      </c>
      <c r="G202" s="215" t="str">
        <f>IFERROR(VLOOKUP($C202,'PORTIFÓLIO'!C:V,5,0),"")</f>
        <v/>
      </c>
      <c r="H202" s="254" t="str">
        <f t="array" ref="H202">IFERROR(INDEX('PORTIFÓLIO'!$H$4:$H$433,MATCH($C202,'PORTIFÓLIO'!$C$4:$C$433,0)),"")</f>
        <v/>
      </c>
      <c r="I202" s="256"/>
      <c r="J202" s="218">
        <f t="shared" si="24"/>
        <v>0</v>
      </c>
      <c r="K202" s="219" t="str">
        <f>IFERROR(I202* VLOOKUP($C202,'PORTIFÓLIO'!C:V,10,0),"")</f>
        <v/>
      </c>
      <c r="L202" s="219" t="str">
        <f>IFERROR(J202* VLOOKUP($C202,'PORTIFÓLIO'!C:V,10,0),"")</f>
        <v/>
      </c>
      <c r="M202" s="220"/>
      <c r="N202" s="220"/>
      <c r="O202" s="220"/>
      <c r="P202" s="220"/>
      <c r="Q202" s="220"/>
      <c r="R202" s="220"/>
      <c r="S202" s="220"/>
      <c r="T202" s="220"/>
      <c r="U202" s="220"/>
      <c r="V202" s="220"/>
      <c r="W202" s="220"/>
    </row>
    <row r="203" ht="15.75" customHeight="1" outlineLevel="1">
      <c r="A203" s="211"/>
      <c r="B203" s="212"/>
      <c r="C203" s="213"/>
      <c r="D203" s="214" t="str">
        <f>IFERROR(VLOOKUP($C203,'PORTIFÓLIO'!C:V,2,0),"")</f>
        <v/>
      </c>
      <c r="E203" s="211" t="str">
        <f>IFERROR(VLOOKUP($C203,'PORTIFÓLIO'!C:V,3,0),"")</f>
        <v/>
      </c>
      <c r="F203" s="211" t="str">
        <f>IFERROR(VLOOKUP($C203,'PORTIFÓLIO'!C:V,4,0),"")</f>
        <v/>
      </c>
      <c r="G203" s="215" t="str">
        <f>IFERROR(VLOOKUP($C203,'PORTIFÓLIO'!C:V,5,0),"")</f>
        <v/>
      </c>
      <c r="H203" s="254" t="str">
        <f t="array" ref="H203">IFERROR(INDEX('PORTIFÓLIO'!$H$4:$H$433,MATCH($C203,'PORTIFÓLIO'!$C$4:$C$433,0)),"")</f>
        <v/>
      </c>
      <c r="I203" s="256"/>
      <c r="J203" s="218">
        <f t="shared" si="24"/>
        <v>0</v>
      </c>
      <c r="K203" s="219" t="str">
        <f>IFERROR(I203* VLOOKUP($C203,'PORTIFÓLIO'!C:V,10,0),"")</f>
        <v/>
      </c>
      <c r="L203" s="219" t="str">
        <f>IFERROR(J203* VLOOKUP($C203,'PORTIFÓLIO'!C:V,10,0),"")</f>
        <v/>
      </c>
      <c r="M203" s="220"/>
      <c r="N203" s="220"/>
      <c r="O203" s="220"/>
      <c r="P203" s="220"/>
      <c r="Q203" s="220"/>
      <c r="R203" s="220"/>
      <c r="S203" s="220"/>
      <c r="T203" s="220"/>
      <c r="U203" s="220"/>
      <c r="V203" s="220"/>
      <c r="W203" s="220"/>
    </row>
    <row r="204" ht="15.75" customHeight="1" outlineLevel="1">
      <c r="A204" s="211"/>
      <c r="B204" s="212"/>
      <c r="C204" s="213"/>
      <c r="D204" s="214" t="str">
        <f>IFERROR(VLOOKUP($C204,'PORTIFÓLIO'!C:V,2,0),"")</f>
        <v/>
      </c>
      <c r="E204" s="211" t="str">
        <f>IFERROR(VLOOKUP($C204,'PORTIFÓLIO'!C:V,3,0),"")</f>
        <v/>
      </c>
      <c r="F204" s="211" t="str">
        <f>IFERROR(VLOOKUP($C204,'PORTIFÓLIO'!C:V,4,0),"")</f>
        <v/>
      </c>
      <c r="G204" s="215" t="str">
        <f>IFERROR(VLOOKUP($C204,'PORTIFÓLIO'!C:V,5,0),"")</f>
        <v/>
      </c>
      <c r="H204" s="254" t="str">
        <f t="array" ref="H204">IFERROR(INDEX('PORTIFÓLIO'!$H$4:$H$433,MATCH($C204,'PORTIFÓLIO'!$C$4:$C$433,0)),"")</f>
        <v/>
      </c>
      <c r="I204" s="256"/>
      <c r="J204" s="218">
        <f t="shared" si="24"/>
        <v>0</v>
      </c>
      <c r="K204" s="219" t="str">
        <f>IFERROR(I204* VLOOKUP($C204,'PORTIFÓLIO'!C:V,10,0),"")</f>
        <v/>
      </c>
      <c r="L204" s="219" t="str">
        <f>IFERROR(J204* VLOOKUP($C204,'PORTIFÓLIO'!C:V,10,0),"")</f>
        <v/>
      </c>
      <c r="M204" s="220"/>
      <c r="N204" s="220"/>
      <c r="O204" s="220"/>
      <c r="P204" s="220"/>
      <c r="Q204" s="220"/>
      <c r="R204" s="220"/>
      <c r="S204" s="220"/>
      <c r="T204" s="220"/>
      <c r="U204" s="220"/>
      <c r="V204" s="220"/>
      <c r="W204" s="220"/>
    </row>
    <row r="205" ht="15.75" customHeight="1" outlineLevel="1">
      <c r="A205" s="211"/>
      <c r="B205" s="212"/>
      <c r="C205" s="213"/>
      <c r="D205" s="214" t="str">
        <f>IFERROR(VLOOKUP($C205,'PORTIFÓLIO'!C:V,2,0),"")</f>
        <v/>
      </c>
      <c r="E205" s="211" t="str">
        <f>IFERROR(VLOOKUP($C205,'PORTIFÓLIO'!C:V,3,0),"")</f>
        <v/>
      </c>
      <c r="F205" s="211" t="str">
        <f>IFERROR(VLOOKUP($C205,'PORTIFÓLIO'!C:V,4,0),"")</f>
        <v/>
      </c>
      <c r="G205" s="215" t="str">
        <f>IFERROR(VLOOKUP($C205,'PORTIFÓLIO'!C:V,5,0),"")</f>
        <v/>
      </c>
      <c r="H205" s="254" t="str">
        <f t="array" ref="H205">IFERROR(INDEX('PORTIFÓLIO'!$H$4:$H$433,MATCH($C205,'PORTIFÓLIO'!$C$4:$C$433,0)),"")</f>
        <v/>
      </c>
      <c r="I205" s="256"/>
      <c r="J205" s="218">
        <f t="shared" si="24"/>
        <v>0</v>
      </c>
      <c r="K205" s="219" t="str">
        <f>IFERROR(I205* VLOOKUP($C205,'PORTIFÓLIO'!C:V,10,0),"")</f>
        <v/>
      </c>
      <c r="L205" s="219" t="str">
        <f>IFERROR(J205* VLOOKUP($C205,'PORTIFÓLIO'!C:V,10,0),"")</f>
        <v/>
      </c>
      <c r="M205" s="220"/>
      <c r="N205" s="220"/>
      <c r="O205" s="220"/>
      <c r="P205" s="220"/>
      <c r="Q205" s="220"/>
      <c r="R205" s="220"/>
      <c r="S205" s="220"/>
      <c r="T205" s="220"/>
      <c r="U205" s="220"/>
      <c r="V205" s="220"/>
      <c r="W205" s="220"/>
    </row>
    <row r="206" ht="15.75" customHeight="1" outlineLevel="1">
      <c r="A206" s="211"/>
      <c r="B206" s="212"/>
      <c r="C206" s="213"/>
      <c r="D206" s="214" t="str">
        <f>IFERROR(VLOOKUP($C206,'PORTIFÓLIO'!C:V,2,0),"")</f>
        <v/>
      </c>
      <c r="E206" s="211" t="str">
        <f>IFERROR(VLOOKUP($C206,'PORTIFÓLIO'!C:V,3,0),"")</f>
        <v/>
      </c>
      <c r="F206" s="211" t="str">
        <f>IFERROR(VLOOKUP($C206,'PORTIFÓLIO'!C:V,4,0),"")</f>
        <v/>
      </c>
      <c r="G206" s="215" t="str">
        <f>IFERROR(VLOOKUP($C206,'PORTIFÓLIO'!C:V,5,0),"")</f>
        <v/>
      </c>
      <c r="H206" s="254" t="str">
        <f t="array" ref="H206">IFERROR(INDEX('PORTIFÓLIO'!$H$4:$H$433,MATCH($C206,'PORTIFÓLIO'!$C$4:$C$433,0)),"")</f>
        <v/>
      </c>
      <c r="I206" s="256"/>
      <c r="J206" s="218">
        <f t="shared" si="24"/>
        <v>0</v>
      </c>
      <c r="K206" s="219" t="str">
        <f>IFERROR(I206* VLOOKUP($C206,'PORTIFÓLIO'!C:V,10,0),"")</f>
        <v/>
      </c>
      <c r="L206" s="219" t="str">
        <f>IFERROR(J206* VLOOKUP($C206,'PORTIFÓLIO'!C:V,10,0),"")</f>
        <v/>
      </c>
      <c r="M206" s="220"/>
      <c r="N206" s="220"/>
      <c r="O206" s="220"/>
      <c r="P206" s="220"/>
      <c r="Q206" s="220"/>
      <c r="R206" s="220"/>
      <c r="S206" s="220"/>
      <c r="T206" s="220"/>
      <c r="U206" s="220"/>
      <c r="V206" s="220"/>
      <c r="W206" s="220"/>
    </row>
    <row r="207" ht="15.75" customHeight="1" outlineLevel="1">
      <c r="A207" s="211"/>
      <c r="B207" s="212"/>
      <c r="C207" s="213"/>
      <c r="D207" s="214" t="str">
        <f>IFERROR(VLOOKUP($C207,'PORTIFÓLIO'!C:V,2,0),"")</f>
        <v/>
      </c>
      <c r="E207" s="211" t="str">
        <f>IFERROR(VLOOKUP($C207,'PORTIFÓLIO'!C:V,3,0),"")</f>
        <v/>
      </c>
      <c r="F207" s="211" t="str">
        <f>IFERROR(VLOOKUP($C207,'PORTIFÓLIO'!C:V,4,0),"")</f>
        <v/>
      </c>
      <c r="G207" s="215" t="str">
        <f>IFERROR(VLOOKUP($C207,'PORTIFÓLIO'!C:V,5,0),"")</f>
        <v/>
      </c>
      <c r="H207" s="254" t="str">
        <f t="array" ref="H207">IFERROR(INDEX('PORTIFÓLIO'!$H$4:$H$433,MATCH($C207,'PORTIFÓLIO'!$C$4:$C$433,0)),"")</f>
        <v/>
      </c>
      <c r="I207" s="256"/>
      <c r="J207" s="218">
        <f t="shared" si="24"/>
        <v>0</v>
      </c>
      <c r="K207" s="219" t="str">
        <f>IFERROR(I207* VLOOKUP($C207,'PORTIFÓLIO'!C:V,10,0),"")</f>
        <v/>
      </c>
      <c r="L207" s="219" t="str">
        <f>IFERROR(J207* VLOOKUP($C207,'PORTIFÓLIO'!C:V,10,0),"")</f>
        <v/>
      </c>
      <c r="M207" s="220"/>
      <c r="N207" s="220"/>
      <c r="O207" s="220"/>
      <c r="P207" s="220"/>
      <c r="Q207" s="220"/>
      <c r="R207" s="220"/>
      <c r="S207" s="220"/>
      <c r="T207" s="220"/>
      <c r="U207" s="220"/>
      <c r="V207" s="220"/>
      <c r="W207" s="220"/>
    </row>
    <row r="208" ht="15.75" customHeight="1" outlineLevel="1">
      <c r="A208" s="211"/>
      <c r="B208" s="212"/>
      <c r="C208" s="213"/>
      <c r="D208" s="214" t="str">
        <f>IFERROR(VLOOKUP($C208,'PORTIFÓLIO'!C:V,2,0),"")</f>
        <v/>
      </c>
      <c r="E208" s="211" t="str">
        <f>IFERROR(VLOOKUP($C208,'PORTIFÓLIO'!C:V,3,0),"")</f>
        <v/>
      </c>
      <c r="F208" s="211" t="str">
        <f>IFERROR(VLOOKUP($C208,'PORTIFÓLIO'!C:V,4,0),"")</f>
        <v/>
      </c>
      <c r="G208" s="215" t="str">
        <f>IFERROR(VLOOKUP($C208,'PORTIFÓLIO'!C:V,5,0),"")</f>
        <v/>
      </c>
      <c r="H208" s="254" t="str">
        <f t="array" ref="H208">IFERROR(INDEX('PORTIFÓLIO'!$H$4:$H$433,MATCH($C208,'PORTIFÓLIO'!$C$4:$C$433,0)),"")</f>
        <v/>
      </c>
      <c r="I208" s="256"/>
      <c r="J208" s="218">
        <f t="shared" si="24"/>
        <v>0</v>
      </c>
      <c r="K208" s="219" t="str">
        <f>IFERROR(I208* VLOOKUP($C208,'PORTIFÓLIO'!C:V,10,0),"")</f>
        <v/>
      </c>
      <c r="L208" s="219" t="str">
        <f>IFERROR(J208* VLOOKUP($C208,'PORTIFÓLIO'!C:V,10,0),"")</f>
        <v/>
      </c>
      <c r="M208" s="220"/>
      <c r="N208" s="220"/>
      <c r="O208" s="220"/>
      <c r="P208" s="220"/>
      <c r="Q208" s="220"/>
      <c r="R208" s="220"/>
      <c r="S208" s="220"/>
      <c r="T208" s="220"/>
      <c r="U208" s="220"/>
      <c r="V208" s="220"/>
      <c r="W208" s="220"/>
    </row>
    <row r="209" ht="15.75" customHeight="1" outlineLevel="1">
      <c r="A209" s="211"/>
      <c r="B209" s="212"/>
      <c r="C209" s="213"/>
      <c r="D209" s="214" t="str">
        <f>IFERROR(VLOOKUP($C209,'PORTIFÓLIO'!C:V,2,0),"")</f>
        <v/>
      </c>
      <c r="E209" s="211" t="str">
        <f>IFERROR(VLOOKUP($C209,'PORTIFÓLIO'!C:V,3,0),"")</f>
        <v/>
      </c>
      <c r="F209" s="211" t="str">
        <f>IFERROR(VLOOKUP($C209,'PORTIFÓLIO'!C:V,4,0),"")</f>
        <v/>
      </c>
      <c r="G209" s="215" t="str">
        <f>IFERROR(VLOOKUP($C209,'PORTIFÓLIO'!C:V,5,0),"")</f>
        <v/>
      </c>
      <c r="H209" s="254" t="str">
        <f t="array" ref="H209">IFERROR(INDEX('PORTIFÓLIO'!$H$4:$H$433,MATCH($C209,'PORTIFÓLIO'!$C$4:$C$433,0)),"")</f>
        <v/>
      </c>
      <c r="I209" s="256"/>
      <c r="J209" s="218">
        <f t="shared" si="24"/>
        <v>0</v>
      </c>
      <c r="K209" s="219" t="str">
        <f>IFERROR(I209* VLOOKUP($C209,'PORTIFÓLIO'!C:V,10,0),"")</f>
        <v/>
      </c>
      <c r="L209" s="219" t="str">
        <f>IFERROR(J209* VLOOKUP($C209,'PORTIFÓLIO'!C:V,10,0),"")</f>
        <v/>
      </c>
      <c r="M209" s="220"/>
      <c r="N209" s="220"/>
      <c r="O209" s="220"/>
      <c r="P209" s="220"/>
      <c r="Q209" s="220"/>
      <c r="R209" s="220"/>
      <c r="S209" s="220"/>
      <c r="T209" s="220"/>
      <c r="U209" s="220"/>
      <c r="V209" s="220"/>
      <c r="W209" s="220"/>
    </row>
    <row r="210" ht="15.75" customHeight="1" outlineLevel="1">
      <c r="A210" s="211"/>
      <c r="B210" s="212"/>
      <c r="C210" s="213"/>
      <c r="D210" s="214" t="str">
        <f>IFERROR(VLOOKUP($C210,'PORTIFÓLIO'!C:V,2,0),"")</f>
        <v/>
      </c>
      <c r="E210" s="211" t="str">
        <f>IFERROR(VLOOKUP($C210,'PORTIFÓLIO'!C:V,3,0),"")</f>
        <v/>
      </c>
      <c r="F210" s="211" t="str">
        <f>IFERROR(VLOOKUP($C210,'PORTIFÓLIO'!C:V,4,0),"")</f>
        <v/>
      </c>
      <c r="G210" s="215" t="str">
        <f>IFERROR(VLOOKUP($C210,'PORTIFÓLIO'!C:V,5,0),"")</f>
        <v/>
      </c>
      <c r="H210" s="254" t="str">
        <f t="array" ref="H210">IFERROR(INDEX('PORTIFÓLIO'!$H$4:$H$433,MATCH($C210,'PORTIFÓLIO'!$C$4:$C$433,0)),"")</f>
        <v/>
      </c>
      <c r="I210" s="256"/>
      <c r="J210" s="218">
        <f t="shared" si="24"/>
        <v>0</v>
      </c>
      <c r="K210" s="219" t="str">
        <f>IFERROR(I210* VLOOKUP($C210,'PORTIFÓLIO'!C:V,10,0),"")</f>
        <v/>
      </c>
      <c r="L210" s="219" t="str">
        <f>IFERROR(J210* VLOOKUP($C210,'PORTIFÓLIO'!C:V,10,0),"")</f>
        <v/>
      </c>
      <c r="M210" s="220"/>
      <c r="N210" s="220"/>
      <c r="O210" s="220"/>
      <c r="P210" s="220"/>
      <c r="Q210" s="220"/>
      <c r="R210" s="220"/>
      <c r="S210" s="220"/>
      <c r="T210" s="220"/>
      <c r="U210" s="220"/>
      <c r="V210" s="220"/>
      <c r="W210" s="220"/>
    </row>
    <row r="211" ht="15.75" customHeight="1" outlineLevel="1">
      <c r="A211" s="211"/>
      <c r="B211" s="212"/>
      <c r="C211" s="213"/>
      <c r="D211" s="214" t="str">
        <f>IFERROR(VLOOKUP($C211,'PORTIFÓLIO'!C:V,2,0),"")</f>
        <v/>
      </c>
      <c r="E211" s="211" t="str">
        <f>IFERROR(VLOOKUP($C211,'PORTIFÓLIO'!C:V,3,0),"")</f>
        <v/>
      </c>
      <c r="F211" s="211" t="str">
        <f>IFERROR(VLOOKUP($C211,'PORTIFÓLIO'!C:V,4,0),"")</f>
        <v/>
      </c>
      <c r="G211" s="215" t="str">
        <f>IFERROR(VLOOKUP($C211,'PORTIFÓLIO'!C:V,5,0),"")</f>
        <v/>
      </c>
      <c r="H211" s="254" t="str">
        <f t="array" ref="H211">IFERROR(INDEX('PORTIFÓLIO'!$H$4:$H$433,MATCH($C211,'PORTIFÓLIO'!$C$4:$C$433,0)),"")</f>
        <v/>
      </c>
      <c r="I211" s="256"/>
      <c r="J211" s="218">
        <f t="shared" si="24"/>
        <v>0</v>
      </c>
      <c r="K211" s="219" t="str">
        <f>IFERROR(I211* VLOOKUP($C211,'PORTIFÓLIO'!C:V,10,0),"")</f>
        <v/>
      </c>
      <c r="L211" s="219" t="str">
        <f>IFERROR(J211* VLOOKUP($C211,'PORTIFÓLIO'!C:V,10,0),"")</f>
        <v/>
      </c>
      <c r="M211" s="220"/>
      <c r="N211" s="220"/>
      <c r="O211" s="220"/>
      <c r="P211" s="220"/>
      <c r="Q211" s="220"/>
      <c r="R211" s="220"/>
      <c r="S211" s="220"/>
      <c r="T211" s="220"/>
      <c r="U211" s="220"/>
      <c r="V211" s="220"/>
      <c r="W211" s="220"/>
    </row>
    <row r="212" ht="15.75" customHeight="1" outlineLevel="1">
      <c r="A212" s="211"/>
      <c r="B212" s="212"/>
      <c r="C212" s="213"/>
      <c r="D212" s="214" t="str">
        <f>IFERROR(VLOOKUP($C212,'PORTIFÓLIO'!C:V,2,0),"")</f>
        <v/>
      </c>
      <c r="E212" s="211" t="str">
        <f>IFERROR(VLOOKUP($C212,'PORTIFÓLIO'!C:V,3,0),"")</f>
        <v/>
      </c>
      <c r="F212" s="211" t="str">
        <f>IFERROR(VLOOKUP($C212,'PORTIFÓLIO'!C:V,4,0),"")</f>
        <v/>
      </c>
      <c r="G212" s="215" t="str">
        <f>IFERROR(VLOOKUP($C212,'PORTIFÓLIO'!C:V,5,0),"")</f>
        <v/>
      </c>
      <c r="H212" s="254" t="str">
        <f t="array" ref="H212">IFERROR(INDEX('PORTIFÓLIO'!$H$4:$H$433,MATCH($C212,'PORTIFÓLIO'!$C$4:$C$433,0)),"")</f>
        <v/>
      </c>
      <c r="I212" s="256"/>
      <c r="J212" s="218">
        <f t="shared" si="24"/>
        <v>0</v>
      </c>
      <c r="K212" s="219" t="str">
        <f>IFERROR(I212* VLOOKUP($C212,'PORTIFÓLIO'!C:V,10,0),"")</f>
        <v/>
      </c>
      <c r="L212" s="219" t="str">
        <f>IFERROR(J212* VLOOKUP($C212,'PORTIFÓLIO'!C:V,10,0),"")</f>
        <v/>
      </c>
      <c r="M212" s="220"/>
      <c r="N212" s="220"/>
      <c r="O212" s="220"/>
      <c r="P212" s="220"/>
      <c r="Q212" s="220"/>
      <c r="R212" s="220"/>
      <c r="S212" s="220"/>
      <c r="T212" s="220"/>
      <c r="U212" s="220"/>
      <c r="V212" s="220"/>
      <c r="W212" s="220"/>
    </row>
    <row r="213" ht="15.75" customHeight="1" outlineLevel="1">
      <c r="A213" s="211"/>
      <c r="B213" s="212"/>
      <c r="C213" s="213"/>
      <c r="D213" s="214" t="str">
        <f>IFERROR(VLOOKUP($C213,'PORTIFÓLIO'!C:V,2,0),"")</f>
        <v/>
      </c>
      <c r="E213" s="211" t="str">
        <f>IFERROR(VLOOKUP($C213,'PORTIFÓLIO'!C:V,3,0),"")</f>
        <v/>
      </c>
      <c r="F213" s="211" t="str">
        <f>IFERROR(VLOOKUP($C213,'PORTIFÓLIO'!C:V,4,0),"")</f>
        <v/>
      </c>
      <c r="G213" s="215" t="str">
        <f>IFERROR(VLOOKUP($C213,'PORTIFÓLIO'!C:V,5,0),"")</f>
        <v/>
      </c>
      <c r="H213" s="254" t="str">
        <f t="array" ref="H213">IFERROR(INDEX('PORTIFÓLIO'!$H$4:$H$433,MATCH($C213,'PORTIFÓLIO'!$C$4:$C$433,0)),"")</f>
        <v/>
      </c>
      <c r="I213" s="256"/>
      <c r="J213" s="218">
        <f t="shared" si="24"/>
        <v>0</v>
      </c>
      <c r="K213" s="219" t="str">
        <f>IFERROR(I213* VLOOKUP($C213,'PORTIFÓLIO'!C:V,10,0),"")</f>
        <v/>
      </c>
      <c r="L213" s="219" t="str">
        <f>IFERROR(J213* VLOOKUP($C213,'PORTIFÓLIO'!C:V,10,0),"")</f>
        <v/>
      </c>
      <c r="M213" s="220"/>
      <c r="N213" s="220"/>
      <c r="O213" s="220"/>
      <c r="P213" s="220"/>
      <c r="Q213" s="220"/>
      <c r="R213" s="220"/>
      <c r="S213" s="220"/>
      <c r="T213" s="220"/>
      <c r="U213" s="220"/>
      <c r="V213" s="220"/>
      <c r="W213" s="220"/>
    </row>
    <row r="214" ht="15.75" customHeight="1" outlineLevel="1">
      <c r="A214" s="211"/>
      <c r="B214" s="212"/>
      <c r="C214" s="213"/>
      <c r="D214" s="214" t="str">
        <f>IFERROR(VLOOKUP($C214,'PORTIFÓLIO'!C:V,2,0),"")</f>
        <v/>
      </c>
      <c r="E214" s="211" t="str">
        <f>IFERROR(VLOOKUP($C214,'PORTIFÓLIO'!C:V,3,0),"")</f>
        <v/>
      </c>
      <c r="F214" s="211" t="str">
        <f>IFERROR(VLOOKUP($C214,'PORTIFÓLIO'!C:V,4,0),"")</f>
        <v/>
      </c>
      <c r="G214" s="215" t="str">
        <f>IFERROR(VLOOKUP($C214,'PORTIFÓLIO'!C:V,5,0),"")</f>
        <v/>
      </c>
      <c r="H214" s="254" t="str">
        <f t="array" ref="H214">IFERROR(INDEX('PORTIFÓLIO'!$H$4:$H$433,MATCH($C214,'PORTIFÓLIO'!$C$4:$C$433,0)),"")</f>
        <v/>
      </c>
      <c r="I214" s="256"/>
      <c r="J214" s="218">
        <f t="shared" si="24"/>
        <v>0</v>
      </c>
      <c r="K214" s="219" t="str">
        <f>IFERROR(I214* VLOOKUP($C214,'PORTIFÓLIO'!C:V,10,0),"")</f>
        <v/>
      </c>
      <c r="L214" s="219" t="str">
        <f>IFERROR(J214* VLOOKUP($C214,'PORTIFÓLIO'!C:V,10,0),"")</f>
        <v/>
      </c>
      <c r="M214" s="220"/>
      <c r="N214" s="220"/>
      <c r="O214" s="220"/>
      <c r="P214" s="220"/>
      <c r="Q214" s="220"/>
      <c r="R214" s="220"/>
      <c r="S214" s="220"/>
      <c r="T214" s="220"/>
      <c r="U214" s="220"/>
      <c r="V214" s="220"/>
      <c r="W214" s="220"/>
    </row>
    <row r="215" ht="15.75" customHeight="1" outlineLevel="1">
      <c r="A215" s="211"/>
      <c r="B215" s="212"/>
      <c r="C215" s="213"/>
      <c r="D215" s="214" t="str">
        <f>IFERROR(VLOOKUP($C215,'PORTIFÓLIO'!C:V,2,0),"")</f>
        <v/>
      </c>
      <c r="E215" s="211" t="str">
        <f>IFERROR(VLOOKUP($C215,'PORTIFÓLIO'!C:V,3,0),"")</f>
        <v/>
      </c>
      <c r="F215" s="211" t="str">
        <f>IFERROR(VLOOKUP($C215,'PORTIFÓLIO'!C:V,4,0),"")</f>
        <v/>
      </c>
      <c r="G215" s="215" t="str">
        <f>IFERROR(VLOOKUP($C215,'PORTIFÓLIO'!C:V,5,0),"")</f>
        <v/>
      </c>
      <c r="H215" s="254" t="str">
        <f t="array" ref="H215">IFERROR(INDEX('PORTIFÓLIO'!$H$4:$H$433,MATCH($C215,'PORTIFÓLIO'!$C$4:$C$433,0)),"")</f>
        <v/>
      </c>
      <c r="I215" s="256"/>
      <c r="J215" s="218">
        <f t="shared" si="24"/>
        <v>0</v>
      </c>
      <c r="K215" s="219" t="str">
        <f>IFERROR(I215* VLOOKUP($C215,'PORTIFÓLIO'!C:V,10,0),"")</f>
        <v/>
      </c>
      <c r="L215" s="219" t="str">
        <f>IFERROR(J215* VLOOKUP($C215,'PORTIFÓLIO'!C:V,10,0),"")</f>
        <v/>
      </c>
      <c r="M215" s="220"/>
      <c r="N215" s="220"/>
      <c r="O215" s="220"/>
      <c r="P215" s="220"/>
      <c r="Q215" s="220"/>
      <c r="R215" s="220"/>
      <c r="S215" s="220"/>
      <c r="T215" s="220"/>
      <c r="U215" s="220"/>
      <c r="V215" s="220"/>
      <c r="W215" s="220"/>
    </row>
    <row r="216" ht="15.75" customHeight="1" outlineLevel="1">
      <c r="A216" s="211"/>
      <c r="B216" s="227"/>
      <c r="C216" s="211"/>
      <c r="D216" s="214" t="str">
        <f>IFERROR(VLOOKUP($C216,'PORTIFÓLIO'!C:V,2,0),"")</f>
        <v/>
      </c>
      <c r="E216" s="211" t="str">
        <f>IFERROR(VLOOKUP($C216,'PORTIFÓLIO'!C:V,3,0),"")</f>
        <v/>
      </c>
      <c r="F216" s="211" t="str">
        <f>IFERROR(VLOOKUP($C216,'PORTIFÓLIO'!C:V,4,0),"")</f>
        <v/>
      </c>
      <c r="G216" s="215" t="str">
        <f>IFERROR(VLOOKUP($C216,'PORTIFÓLIO'!C:V,5,0),"")</f>
        <v/>
      </c>
      <c r="H216" s="254" t="str">
        <f t="array" ref="H216">IFERROR(INDEX('PORTIFÓLIO'!$H$4:$H$433,MATCH($C216,'PORTIFÓLIO'!$C$4:$C$433,0)),"")</f>
        <v/>
      </c>
      <c r="I216" s="256"/>
      <c r="J216" s="218">
        <f t="shared" si="24"/>
        <v>0</v>
      </c>
      <c r="K216" s="219" t="str">
        <f>IFERROR(I216* VLOOKUP($C216,'PORTIFÓLIO'!C:V,10,0),"")</f>
        <v/>
      </c>
      <c r="L216" s="219" t="str">
        <f>IFERROR(J216* VLOOKUP($C216,'PORTIFÓLIO'!C:V,10,0),"")</f>
        <v/>
      </c>
      <c r="M216" s="220"/>
      <c r="N216" s="220"/>
      <c r="O216" s="220"/>
      <c r="P216" s="220"/>
      <c r="Q216" s="220"/>
      <c r="R216" s="220"/>
      <c r="S216" s="220"/>
      <c r="T216" s="220"/>
      <c r="U216" s="220"/>
      <c r="V216" s="220"/>
      <c r="W216" s="220"/>
    </row>
    <row r="217" ht="15.75" customHeight="1" outlineLevel="1">
      <c r="A217" s="211"/>
      <c r="B217" s="227"/>
      <c r="C217" s="211"/>
      <c r="D217" s="214" t="str">
        <f>IFERROR(VLOOKUP($C217,'PORTIFÓLIO'!C:V,2,0),"")</f>
        <v/>
      </c>
      <c r="E217" s="211" t="str">
        <f>IFERROR(VLOOKUP($C217,'PORTIFÓLIO'!C:V,3,0),"")</f>
        <v/>
      </c>
      <c r="F217" s="211" t="str">
        <f>IFERROR(VLOOKUP($C217,'PORTIFÓLIO'!C:V,4,0),"")</f>
        <v/>
      </c>
      <c r="G217" s="215" t="str">
        <f>IFERROR(VLOOKUP($C217,'PORTIFÓLIO'!C:V,5,0),"")</f>
        <v/>
      </c>
      <c r="H217" s="254" t="str">
        <f t="array" ref="H217">IFERROR(INDEX('PORTIFÓLIO'!$H$4:$H$433,MATCH($C217,'PORTIFÓLIO'!$C$4:$C$433,0)),"")</f>
        <v/>
      </c>
      <c r="I217" s="256"/>
      <c r="J217" s="218">
        <f t="shared" si="24"/>
        <v>0</v>
      </c>
      <c r="K217" s="219" t="str">
        <f>IFERROR(I217* VLOOKUP($C217,'PORTIFÓLIO'!C:V,10,0),"")</f>
        <v/>
      </c>
      <c r="L217" s="219" t="str">
        <f>IFERROR(J217* VLOOKUP($C217,'PORTIFÓLIO'!C:V,10,0),"")</f>
        <v/>
      </c>
      <c r="M217" s="220"/>
      <c r="N217" s="220"/>
      <c r="O217" s="220"/>
      <c r="P217" s="220"/>
      <c r="Q217" s="220"/>
      <c r="R217" s="220"/>
      <c r="S217" s="220"/>
      <c r="T217" s="220"/>
      <c r="U217" s="220"/>
      <c r="V217" s="220"/>
      <c r="W217" s="220"/>
    </row>
    <row r="218" ht="15.75" customHeight="1" outlineLevel="1">
      <c r="A218" s="211"/>
      <c r="B218" s="227"/>
      <c r="C218" s="211"/>
      <c r="D218" s="214" t="str">
        <f>IFERROR(VLOOKUP($C218,'PORTIFÓLIO'!C:V,2,0),"")</f>
        <v/>
      </c>
      <c r="E218" s="211" t="str">
        <f>IFERROR(VLOOKUP($C218,'PORTIFÓLIO'!C:V,3,0),"")</f>
        <v/>
      </c>
      <c r="F218" s="211" t="str">
        <f>IFERROR(VLOOKUP($C218,'PORTIFÓLIO'!C:V,4,0),"")</f>
        <v/>
      </c>
      <c r="G218" s="215" t="str">
        <f>IFERROR(VLOOKUP($C218,'PORTIFÓLIO'!C:V,5,0),"")</f>
        <v/>
      </c>
      <c r="H218" s="254" t="str">
        <f t="array" ref="H218">IFERROR(INDEX('PORTIFÓLIO'!$H$4:$H$433,MATCH($C218,'PORTIFÓLIO'!$C$4:$C$433,0)),"")</f>
        <v/>
      </c>
      <c r="I218" s="256"/>
      <c r="J218" s="218">
        <f t="shared" si="24"/>
        <v>0</v>
      </c>
      <c r="K218" s="219" t="str">
        <f>IFERROR(I218* VLOOKUP($C218,'PORTIFÓLIO'!C:V,10,0),"")</f>
        <v/>
      </c>
      <c r="L218" s="219" t="str">
        <f>IFERROR(J218* VLOOKUP($C218,'PORTIFÓLIO'!C:V,10,0),"")</f>
        <v/>
      </c>
      <c r="M218" s="220"/>
      <c r="N218" s="220"/>
      <c r="O218" s="220"/>
      <c r="P218" s="220"/>
      <c r="Q218" s="220"/>
      <c r="R218" s="220"/>
      <c r="S218" s="220"/>
      <c r="T218" s="220"/>
      <c r="U218" s="220"/>
      <c r="V218" s="220"/>
      <c r="W218" s="220"/>
    </row>
    <row r="219" ht="15.75" customHeight="1" outlineLevel="1">
      <c r="A219" s="211"/>
      <c r="B219" s="227"/>
      <c r="C219" s="211"/>
      <c r="D219" s="214" t="str">
        <f>IFERROR(VLOOKUP($C219,'PORTIFÓLIO'!C:V,2,0),"")</f>
        <v/>
      </c>
      <c r="E219" s="211" t="str">
        <f>IFERROR(VLOOKUP($C219,'PORTIFÓLIO'!C:V,3,0),"")</f>
        <v/>
      </c>
      <c r="F219" s="211" t="str">
        <f>IFERROR(VLOOKUP($C219,'PORTIFÓLIO'!C:V,4,0),"")</f>
        <v/>
      </c>
      <c r="G219" s="215" t="str">
        <f>IFERROR(VLOOKUP($C219,'PORTIFÓLIO'!C:V,5,0),"")</f>
        <v/>
      </c>
      <c r="H219" s="254" t="str">
        <f t="array" ref="H219">IFERROR(INDEX('PORTIFÓLIO'!$H$4:$H$433,MATCH($C219,'PORTIFÓLIO'!$C$4:$C$433,0)),"")</f>
        <v/>
      </c>
      <c r="I219" s="256"/>
      <c r="J219" s="218">
        <f t="shared" si="24"/>
        <v>0</v>
      </c>
      <c r="K219" s="219" t="str">
        <f>IFERROR(I219* VLOOKUP($C219,'PORTIFÓLIO'!C:V,10,0),"")</f>
        <v/>
      </c>
      <c r="L219" s="219" t="str">
        <f>IFERROR(J219* VLOOKUP($C219,'PORTIFÓLIO'!C:V,10,0),"")</f>
        <v/>
      </c>
      <c r="M219" s="220"/>
      <c r="N219" s="220"/>
      <c r="O219" s="220"/>
      <c r="P219" s="220"/>
      <c r="Q219" s="220"/>
      <c r="R219" s="220"/>
      <c r="S219" s="220"/>
      <c r="T219" s="220"/>
      <c r="U219" s="220"/>
      <c r="V219" s="220"/>
      <c r="W219" s="220"/>
    </row>
    <row r="220" ht="15.75" customHeight="1" outlineLevel="1">
      <c r="A220" s="211"/>
      <c r="B220" s="227"/>
      <c r="C220" s="211"/>
      <c r="D220" s="214" t="str">
        <f>IFERROR(VLOOKUP($C220,'PORTIFÓLIO'!C:V,2,0),"")</f>
        <v/>
      </c>
      <c r="E220" s="211" t="str">
        <f>IFERROR(VLOOKUP($C220,'PORTIFÓLIO'!C:V,3,0),"")</f>
        <v/>
      </c>
      <c r="F220" s="211" t="str">
        <f>IFERROR(VLOOKUP($C220,'PORTIFÓLIO'!C:V,4,0),"")</f>
        <v/>
      </c>
      <c r="G220" s="215" t="str">
        <f>IFERROR(VLOOKUP($C220,'PORTIFÓLIO'!C:V,5,0),"")</f>
        <v/>
      </c>
      <c r="H220" s="254" t="str">
        <f t="array" ref="H220">IFERROR(INDEX('PORTIFÓLIO'!$H$4:$H$433,MATCH($C220,'PORTIFÓLIO'!$C$4:$C$433,0)),"")</f>
        <v/>
      </c>
      <c r="I220" s="256"/>
      <c r="J220" s="218">
        <f t="shared" si="24"/>
        <v>0</v>
      </c>
      <c r="K220" s="219" t="str">
        <f>IFERROR(I220* VLOOKUP($C220,'PORTIFÓLIO'!C:V,10,0),"")</f>
        <v/>
      </c>
      <c r="L220" s="219" t="str">
        <f>IFERROR(J220* VLOOKUP($C220,'PORTIFÓLIO'!C:V,10,0),"")</f>
        <v/>
      </c>
      <c r="M220" s="220"/>
      <c r="N220" s="220"/>
      <c r="O220" s="220"/>
      <c r="P220" s="220"/>
      <c r="Q220" s="220"/>
      <c r="R220" s="220"/>
      <c r="S220" s="220"/>
      <c r="T220" s="220"/>
      <c r="U220" s="220"/>
      <c r="V220" s="220"/>
      <c r="W220" s="220"/>
    </row>
    <row r="221" ht="15.75" customHeight="1" outlineLevel="1">
      <c r="A221" s="211"/>
      <c r="B221" s="227"/>
      <c r="C221" s="211"/>
      <c r="D221" s="214" t="str">
        <f>IFERROR(VLOOKUP($C221,'PORTIFÓLIO'!C:V,2,0),"")</f>
        <v/>
      </c>
      <c r="E221" s="211" t="str">
        <f>IFERROR(VLOOKUP($C221,'PORTIFÓLIO'!C:V,3,0),"")</f>
        <v/>
      </c>
      <c r="F221" s="211" t="str">
        <f>IFERROR(VLOOKUP($C221,'PORTIFÓLIO'!C:V,4,0),"")</f>
        <v/>
      </c>
      <c r="G221" s="215" t="str">
        <f>IFERROR(VLOOKUP($C221,'PORTIFÓLIO'!C:V,5,0),"")</f>
        <v/>
      </c>
      <c r="H221" s="254" t="str">
        <f t="array" ref="H221">IFERROR(INDEX('PORTIFÓLIO'!$H$4:$H$433,MATCH($C221,'PORTIFÓLIO'!$C$4:$C$433,0)),"")</f>
        <v/>
      </c>
      <c r="I221" s="256"/>
      <c r="J221" s="218">
        <f t="shared" si="24"/>
        <v>0</v>
      </c>
      <c r="K221" s="219" t="str">
        <f>IFERROR(I221* VLOOKUP($C221,'PORTIFÓLIO'!C:V,10,0),"")</f>
        <v/>
      </c>
      <c r="L221" s="219" t="str">
        <f>IFERROR(J221* VLOOKUP($C221,'PORTIFÓLIO'!C:V,10,0),"")</f>
        <v/>
      </c>
      <c r="M221" s="220"/>
      <c r="N221" s="220"/>
      <c r="O221" s="220"/>
      <c r="P221" s="220"/>
      <c r="Q221" s="220"/>
      <c r="R221" s="220"/>
      <c r="S221" s="220"/>
      <c r="T221" s="220"/>
      <c r="U221" s="220"/>
      <c r="V221" s="220"/>
      <c r="W221" s="220"/>
    </row>
    <row r="222" ht="15.75" customHeight="1" outlineLevel="1">
      <c r="A222" s="211"/>
      <c r="B222" s="227"/>
      <c r="C222" s="211"/>
      <c r="D222" s="214" t="str">
        <f>IFERROR(VLOOKUP($C222,'PORTIFÓLIO'!C:V,2,0),"")</f>
        <v/>
      </c>
      <c r="E222" s="211" t="str">
        <f>IFERROR(VLOOKUP($C222,'PORTIFÓLIO'!C:V,3,0),"")</f>
        <v/>
      </c>
      <c r="F222" s="211" t="str">
        <f>IFERROR(VLOOKUP($C222,'PORTIFÓLIO'!C:V,4,0),"")</f>
        <v/>
      </c>
      <c r="G222" s="215" t="str">
        <f>IFERROR(VLOOKUP($C222,'PORTIFÓLIO'!C:V,5,0),"")</f>
        <v/>
      </c>
      <c r="H222" s="254" t="str">
        <f t="array" ref="H222">IFERROR(INDEX('PORTIFÓLIO'!$H$4:$H$433,MATCH($C222,'PORTIFÓLIO'!$C$4:$C$433,0)),"")</f>
        <v/>
      </c>
      <c r="I222" s="256"/>
      <c r="J222" s="218">
        <f t="shared" si="24"/>
        <v>0</v>
      </c>
      <c r="K222" s="219" t="str">
        <f>IFERROR(I222* VLOOKUP($C222,'PORTIFÓLIO'!C:V,10,0),"")</f>
        <v/>
      </c>
      <c r="L222" s="219" t="str">
        <f>IFERROR(J222* VLOOKUP($C222,'PORTIFÓLIO'!C:V,10,0),"")</f>
        <v/>
      </c>
      <c r="M222" s="220"/>
      <c r="N222" s="220"/>
      <c r="O222" s="220"/>
      <c r="P222" s="220"/>
      <c r="Q222" s="220"/>
      <c r="R222" s="220"/>
      <c r="S222" s="220"/>
      <c r="T222" s="220"/>
      <c r="U222" s="220"/>
      <c r="V222" s="220"/>
      <c r="W222" s="220"/>
    </row>
    <row r="223" ht="15.75" customHeight="1" outlineLevel="1">
      <c r="A223" s="211"/>
      <c r="B223" s="227"/>
      <c r="C223" s="211"/>
      <c r="D223" s="214" t="str">
        <f>IFERROR(VLOOKUP($C223,'PORTIFÓLIO'!C:V,2,0),"")</f>
        <v/>
      </c>
      <c r="E223" s="211" t="str">
        <f>IFERROR(VLOOKUP($C223,'PORTIFÓLIO'!C:V,3,0),"")</f>
        <v/>
      </c>
      <c r="F223" s="211" t="str">
        <f>IFERROR(VLOOKUP($C223,'PORTIFÓLIO'!C:V,4,0),"")</f>
        <v/>
      </c>
      <c r="G223" s="215" t="str">
        <f>IFERROR(VLOOKUP($C223,'PORTIFÓLIO'!C:V,5,0),"")</f>
        <v/>
      </c>
      <c r="H223" s="254" t="str">
        <f t="array" ref="H223">IFERROR(INDEX('PORTIFÓLIO'!$H$4:$H$433,MATCH($C223,'PORTIFÓLIO'!$C$4:$C$433,0)),"")</f>
        <v/>
      </c>
      <c r="I223" s="256"/>
      <c r="J223" s="218">
        <f t="shared" si="24"/>
        <v>0</v>
      </c>
      <c r="K223" s="219" t="str">
        <f>IFERROR(I223* VLOOKUP($C223,'PORTIFÓLIO'!C:V,10,0),"")</f>
        <v/>
      </c>
      <c r="L223" s="219" t="str">
        <f>IFERROR(J223* VLOOKUP($C223,'PORTIFÓLIO'!C:V,10,0),"")</f>
        <v/>
      </c>
      <c r="M223" s="220"/>
      <c r="N223" s="220"/>
      <c r="O223" s="220"/>
      <c r="P223" s="220"/>
      <c r="Q223" s="220"/>
      <c r="R223" s="220"/>
      <c r="S223" s="220"/>
      <c r="T223" s="220"/>
      <c r="U223" s="220"/>
      <c r="V223" s="220"/>
      <c r="W223" s="220"/>
    </row>
    <row r="224" ht="15.75" customHeight="1" outlineLevel="1">
      <c r="A224" s="211"/>
      <c r="B224" s="227"/>
      <c r="C224" s="211"/>
      <c r="D224" s="214" t="str">
        <f>IFERROR(VLOOKUP($C224,'PORTIFÓLIO'!C:V,2,0),"")</f>
        <v/>
      </c>
      <c r="E224" s="211" t="str">
        <f>IFERROR(VLOOKUP($C224,'PORTIFÓLIO'!C:V,3,0),"")</f>
        <v/>
      </c>
      <c r="F224" s="211" t="str">
        <f>IFERROR(VLOOKUP($C224,'PORTIFÓLIO'!C:V,4,0),"")</f>
        <v/>
      </c>
      <c r="G224" s="215" t="str">
        <f>IFERROR(VLOOKUP($C224,'PORTIFÓLIO'!C:V,5,0),"")</f>
        <v/>
      </c>
      <c r="H224" s="254" t="str">
        <f t="array" ref="H224">IFERROR(INDEX('PORTIFÓLIO'!$H$4:$H$433,MATCH($C224,'PORTIFÓLIO'!$C$4:$C$433,0)),"")</f>
        <v/>
      </c>
      <c r="I224" s="256"/>
      <c r="J224" s="218">
        <f t="shared" si="24"/>
        <v>0</v>
      </c>
      <c r="K224" s="219" t="str">
        <f>IFERROR(I224* VLOOKUP($C224,'PORTIFÓLIO'!C:V,10,0),"")</f>
        <v/>
      </c>
      <c r="L224" s="219" t="str">
        <f>IFERROR(J224* VLOOKUP($C224,'PORTIFÓLIO'!C:V,10,0),"")</f>
        <v/>
      </c>
      <c r="M224" s="220"/>
      <c r="N224" s="220"/>
      <c r="O224" s="220"/>
      <c r="P224" s="220"/>
      <c r="Q224" s="220"/>
      <c r="R224" s="220"/>
      <c r="S224" s="220"/>
      <c r="T224" s="220"/>
      <c r="U224" s="220"/>
      <c r="V224" s="220"/>
      <c r="W224" s="220"/>
    </row>
    <row r="225" ht="15.75" customHeight="1">
      <c r="A225" s="227"/>
      <c r="B225" s="227"/>
      <c r="C225" s="227"/>
      <c r="D225" s="227"/>
      <c r="E225" s="227"/>
      <c r="F225" s="227"/>
      <c r="G225" s="215"/>
      <c r="H225" s="278" t="str">
        <f t="array" ref="H225">IFERROR(INDEX('PORTIFÓLIO'!$H$4:$H$433,MATCH($C225,'PORTIFÓLIO'!$C$4:$C$433,0)),"")</f>
        <v/>
      </c>
      <c r="I225" s="227"/>
      <c r="J225" s="227"/>
      <c r="K225" s="284">
        <f t="shared" ref="K225:L225" si="25">SUBTOTAL(9,K10:K200)</f>
        <v>1721.322087</v>
      </c>
      <c r="L225" s="284">
        <f t="shared" si="25"/>
        <v>537052.4911</v>
      </c>
      <c r="M225" s="220"/>
      <c r="N225" s="220"/>
      <c r="O225" s="220"/>
      <c r="P225" s="220"/>
      <c r="Q225" s="220"/>
      <c r="R225" s="220"/>
      <c r="S225" s="220"/>
      <c r="T225" s="220"/>
      <c r="U225" s="220"/>
      <c r="V225" s="220"/>
      <c r="W225" s="220"/>
    </row>
    <row r="226" ht="15.75" customHeight="1">
      <c r="A226" s="285"/>
      <c r="B226" s="285"/>
      <c r="C226" s="285"/>
      <c r="D226" s="285"/>
      <c r="E226" s="285"/>
      <c r="F226" s="285"/>
      <c r="G226" s="286"/>
      <c r="H226" s="286"/>
      <c r="I226" s="285"/>
      <c r="J226" s="285"/>
      <c r="K226" s="285"/>
      <c r="L226" s="285"/>
      <c r="M226" s="285"/>
      <c r="N226" s="285"/>
      <c r="O226" s="285"/>
      <c r="P226" s="285"/>
      <c r="Q226" s="285"/>
      <c r="R226" s="285"/>
      <c r="S226" s="285"/>
      <c r="T226" s="285"/>
      <c r="U226" s="285"/>
      <c r="V226" s="285"/>
      <c r="W226" s="285"/>
    </row>
    <row r="227" ht="15.75" customHeight="1">
      <c r="A227" s="260" t="s">
        <v>1203</v>
      </c>
      <c r="B227" s="261" t="str">
        <f>'ÁREA PLANTIO'!B7</f>
        <v>CAPOEIRINHA</v>
      </c>
      <c r="C227" s="262" t="s">
        <v>1166</v>
      </c>
      <c r="D227" s="263">
        <f>$K$452</f>
        <v>0</v>
      </c>
      <c r="E227" s="264"/>
      <c r="F227" s="265" t="s">
        <v>1167</v>
      </c>
      <c r="G227" s="266"/>
      <c r="H227" s="287" t="str">
        <f t="array" ref="H227">IFERROR(INDEX('PORTIFÓLIO'!$H$4:$H$433,MATCH($C227,'PORTIFÓLIO'!$C$4:$C$433,0)),"")</f>
        <v/>
      </c>
      <c r="I227" s="267"/>
      <c r="J227" s="267"/>
      <c r="K227" s="266"/>
      <c r="L227" s="220"/>
      <c r="M227" s="220"/>
      <c r="N227" s="220"/>
      <c r="O227" s="220"/>
      <c r="P227" s="220"/>
      <c r="Q227" s="220"/>
      <c r="R227" s="220"/>
      <c r="S227" s="220"/>
      <c r="T227" s="220"/>
      <c r="U227" s="220"/>
      <c r="V227" s="220"/>
      <c r="W227" s="220"/>
    </row>
    <row r="228" ht="15.75" customHeight="1">
      <c r="A228" s="260" t="s">
        <v>1168</v>
      </c>
      <c r="B228" s="268">
        <f>'ÁREA PLANTIO'!E7</f>
        <v>312</v>
      </c>
      <c r="C228" s="269" t="s">
        <v>1169</v>
      </c>
      <c r="D228" s="270" t="str">
        <f>'ÁREA PLANTIO'!I7</f>
        <v/>
      </c>
      <c r="E228" s="264"/>
      <c r="F228" s="264"/>
      <c r="G228" s="266"/>
      <c r="H228" s="287" t="str">
        <f t="array" ref="H228">IFERROR(INDEX('PORTIFÓLIO'!$H$4:$H$433,MATCH($C228,'PORTIFÓLIO'!$C$4:$C$433,0)),"")</f>
        <v/>
      </c>
      <c r="I228" s="267"/>
      <c r="J228" s="267"/>
      <c r="K228" s="266"/>
      <c r="L228" s="220"/>
      <c r="M228" s="220"/>
      <c r="N228" s="220"/>
      <c r="O228" s="220"/>
      <c r="P228" s="220"/>
      <c r="Q228" s="220"/>
      <c r="R228" s="220"/>
      <c r="S228" s="220"/>
      <c r="T228" s="220"/>
      <c r="U228" s="220"/>
      <c r="V228" s="220"/>
      <c r="W228" s="220"/>
    </row>
    <row r="229" ht="15.75" customHeight="1">
      <c r="A229" s="260" t="s">
        <v>1170</v>
      </c>
      <c r="B229" s="267" t="str">
        <f>'ÁREA PLANTIO'!H7</f>
        <v/>
      </c>
      <c r="C229" s="269" t="s">
        <v>1171</v>
      </c>
      <c r="D229" s="271" t="str">
        <f>D227/D228</f>
        <v>#DIV/0!</v>
      </c>
      <c r="E229" s="264"/>
      <c r="F229" s="264"/>
      <c r="G229" s="266"/>
      <c r="H229" s="287" t="str">
        <f t="array" ref="H229">IFERROR(INDEX('PORTIFÓLIO'!$H$4:$H$433,MATCH($C229,'PORTIFÓLIO'!$C$4:$C$433,0)),"")</f>
        <v/>
      </c>
      <c r="I229" s="267"/>
      <c r="J229" s="267"/>
      <c r="K229" s="266"/>
      <c r="L229" s="220"/>
      <c r="M229" s="220"/>
      <c r="N229" s="220"/>
      <c r="O229" s="220"/>
      <c r="P229" s="220"/>
      <c r="Q229" s="220"/>
      <c r="R229" s="220"/>
      <c r="S229" s="220"/>
      <c r="T229" s="220"/>
      <c r="U229" s="220"/>
      <c r="V229" s="220"/>
      <c r="W229" s="220"/>
    </row>
    <row r="230" ht="15.75" customHeight="1">
      <c r="A230" s="272" t="s">
        <v>1172</v>
      </c>
      <c r="B230" s="273">
        <v>45606.0</v>
      </c>
      <c r="C230" s="274"/>
      <c r="D230" s="275"/>
      <c r="E230" s="276"/>
      <c r="F230" s="264"/>
      <c r="G230" s="266"/>
      <c r="H230" s="287" t="str">
        <f t="array" ref="H230">IFERROR(INDEX('PORTIFÓLIO'!$H$4:$H$433,MATCH($C230,'PORTIFÓLIO'!$C$4:$C$433,0)),"")</f>
        <v/>
      </c>
      <c r="I230" s="267"/>
      <c r="J230" s="267"/>
      <c r="K230" s="266"/>
      <c r="L230" s="220"/>
      <c r="M230" s="220"/>
      <c r="N230" s="220"/>
      <c r="O230" s="220"/>
      <c r="P230" s="220"/>
      <c r="Q230" s="220"/>
      <c r="R230" s="220"/>
      <c r="S230" s="220"/>
      <c r="T230" s="220"/>
      <c r="U230" s="220"/>
      <c r="V230" s="220"/>
      <c r="W230" s="220"/>
    </row>
    <row r="231" ht="15.75" customHeight="1">
      <c r="E231" s="277"/>
      <c r="F231" s="264"/>
      <c r="G231" s="266"/>
      <c r="H231" s="287" t="str">
        <f t="array" ref="H231">IFERROR(INDEX('PORTIFÓLIO'!$H$4:$H$433,MATCH($C231,'PORTIFÓLIO'!$C$4:$C$433,0)),"")</f>
        <v/>
      </c>
      <c r="I231" s="267"/>
      <c r="J231" s="267"/>
      <c r="K231" s="266"/>
      <c r="L231" s="220"/>
      <c r="M231" s="220"/>
      <c r="N231" s="220"/>
      <c r="O231" s="220"/>
      <c r="P231" s="220"/>
      <c r="Q231" s="220"/>
      <c r="R231" s="220"/>
      <c r="S231" s="220"/>
      <c r="T231" s="220"/>
      <c r="U231" s="220"/>
      <c r="V231" s="220"/>
      <c r="W231" s="220"/>
    </row>
    <row r="232" ht="15.75" customHeight="1">
      <c r="A232" s="260"/>
      <c r="B232" s="267"/>
      <c r="C232" s="264"/>
      <c r="D232" s="264"/>
      <c r="E232" s="264"/>
      <c r="F232" s="264"/>
      <c r="G232" s="266"/>
      <c r="H232" s="287" t="str">
        <f t="array" ref="H232">IFERROR(INDEX('PORTIFÓLIO'!$H$4:$H$433,MATCH($C232,'PORTIFÓLIO'!$C$4:$C$433,0)),"")</f>
        <v/>
      </c>
      <c r="I232" s="267"/>
      <c r="J232" s="267"/>
      <c r="K232" s="266"/>
      <c r="L232" s="220"/>
      <c r="M232" s="220"/>
      <c r="N232" s="220"/>
      <c r="O232" s="220"/>
      <c r="P232" s="220"/>
      <c r="Q232" s="220"/>
      <c r="R232" s="220"/>
      <c r="S232" s="220"/>
      <c r="T232" s="220"/>
      <c r="U232" s="220"/>
      <c r="V232" s="220"/>
      <c r="W232" s="220"/>
    </row>
    <row r="233" ht="15.75" customHeight="1">
      <c r="A233" s="267"/>
      <c r="B233" s="267"/>
      <c r="C233" s="264"/>
      <c r="D233" s="264"/>
      <c r="E233" s="264"/>
      <c r="F233" s="264"/>
      <c r="G233" s="266"/>
      <c r="H233" s="287" t="str">
        <f t="array" ref="H233">IFERROR(INDEX('PORTIFÓLIO'!$H$4:$H$433,MATCH($C233,'PORTIFÓLIO'!$C$4:$C$433,0)),"")</f>
        <v/>
      </c>
      <c r="I233" s="267"/>
      <c r="J233" s="267"/>
      <c r="K233" s="266"/>
      <c r="L233" s="220"/>
      <c r="M233" s="220"/>
      <c r="N233" s="220"/>
      <c r="O233" s="220"/>
      <c r="P233" s="220"/>
      <c r="Q233" s="220"/>
      <c r="R233" s="220"/>
      <c r="S233" s="220"/>
      <c r="T233" s="220"/>
      <c r="U233" s="220"/>
      <c r="V233" s="220"/>
      <c r="W233" s="220"/>
    </row>
    <row r="234" ht="15.75" customHeight="1">
      <c r="A234" s="267"/>
      <c r="B234" s="267"/>
      <c r="C234" s="267"/>
      <c r="D234" s="267"/>
      <c r="E234" s="264"/>
      <c r="F234" s="264"/>
      <c r="G234" s="266"/>
      <c r="H234" s="287" t="str">
        <f t="array" ref="H234">IFERROR(INDEX('PORTIFÓLIO'!$H$4:$H$433,MATCH($C234,'PORTIFÓLIO'!$C$4:$C$433,0)),"")</f>
        <v/>
      </c>
      <c r="I234" s="267"/>
      <c r="J234" s="267"/>
      <c r="K234" s="266"/>
      <c r="L234" s="220"/>
      <c r="M234" s="220"/>
      <c r="N234" s="220"/>
      <c r="O234" s="220"/>
      <c r="P234" s="220"/>
      <c r="Q234" s="220"/>
      <c r="R234" s="220"/>
      <c r="S234" s="220"/>
      <c r="T234" s="220"/>
      <c r="U234" s="220"/>
      <c r="V234" s="220"/>
      <c r="W234" s="220"/>
    </row>
    <row r="235" ht="15.75" customHeight="1">
      <c r="A235" s="267"/>
      <c r="B235" s="267"/>
      <c r="C235" s="267"/>
      <c r="D235" s="267"/>
      <c r="E235" s="267"/>
      <c r="F235" s="267"/>
      <c r="G235" s="266"/>
      <c r="H235" s="287"/>
      <c r="I235" s="287"/>
      <c r="J235" s="288"/>
      <c r="K235" s="289"/>
      <c r="L235" s="290"/>
      <c r="M235" s="220"/>
      <c r="N235" s="220"/>
      <c r="O235" s="220"/>
      <c r="P235" s="220"/>
      <c r="Q235" s="220"/>
      <c r="R235" s="220"/>
      <c r="S235" s="220"/>
      <c r="T235" s="220"/>
      <c r="U235" s="220"/>
      <c r="V235" s="220"/>
      <c r="W235" s="220"/>
    </row>
    <row r="236" ht="15.75" customHeight="1">
      <c r="A236" s="211" t="s">
        <v>1173</v>
      </c>
      <c r="B236" s="213" t="s">
        <v>1174</v>
      </c>
      <c r="C236" s="213" t="s">
        <v>1175</v>
      </c>
      <c r="D236" s="211" t="s">
        <v>1176</v>
      </c>
      <c r="E236" s="211" t="s">
        <v>1177</v>
      </c>
      <c r="F236" s="211" t="s">
        <v>1178</v>
      </c>
      <c r="G236" s="291" t="s">
        <v>1180</v>
      </c>
      <c r="H236" s="278" t="s">
        <v>1179</v>
      </c>
      <c r="I236" s="278" t="s">
        <v>1181</v>
      </c>
      <c r="J236" s="279" t="s">
        <v>1134</v>
      </c>
      <c r="K236" s="280" t="s">
        <v>1182</v>
      </c>
      <c r="L236" s="281" t="s">
        <v>339</v>
      </c>
      <c r="M236" s="220"/>
      <c r="N236" s="220"/>
      <c r="O236" s="220"/>
      <c r="P236" s="220"/>
      <c r="Q236" s="220"/>
      <c r="R236" s="220"/>
      <c r="S236" s="220"/>
      <c r="T236" s="220"/>
      <c r="U236" s="220"/>
      <c r="V236" s="220"/>
      <c r="W236" s="220"/>
    </row>
    <row r="237" ht="15.75" customHeight="1">
      <c r="A237" s="231" t="s">
        <v>1183</v>
      </c>
      <c r="B237" s="230"/>
      <c r="C237" s="231"/>
      <c r="D237" s="232"/>
      <c r="E237" s="231"/>
      <c r="F237" s="231"/>
      <c r="G237" s="233"/>
      <c r="H237" s="233"/>
      <c r="I237" s="258"/>
      <c r="J237" s="236"/>
      <c r="K237" s="237">
        <f t="shared" ref="K237:L237" si="26">SUBTOTAL(9,K238:K251)</f>
        <v>0</v>
      </c>
      <c r="L237" s="237">
        <f t="shared" si="26"/>
        <v>0</v>
      </c>
      <c r="M237" s="220"/>
      <c r="N237" s="220"/>
      <c r="O237" s="220"/>
      <c r="P237" s="220"/>
      <c r="Q237" s="220"/>
      <c r="R237" s="220"/>
      <c r="S237" s="220"/>
      <c r="T237" s="220"/>
      <c r="U237" s="220"/>
      <c r="V237" s="220"/>
      <c r="W237" s="220"/>
    </row>
    <row r="238" ht="15.75" customHeight="1" outlineLevel="1">
      <c r="A238" s="211"/>
      <c r="B238" s="212"/>
      <c r="C238" s="213"/>
      <c r="D238" s="214" t="str">
        <f>IFERROR(VLOOKUP($C238,'PORTIFÓLIO'!C:V,2,0),"")</f>
        <v/>
      </c>
      <c r="E238" s="211" t="str">
        <f>IFERROR(VLOOKUP($C238,'PORTIFÓLIO'!C:V,3,0),"")</f>
        <v/>
      </c>
      <c r="F238" s="211" t="str">
        <f>IFERROR(VLOOKUP($C238,'PORTIFÓLIO'!C:V,4,0),"")</f>
        <v/>
      </c>
      <c r="G238" s="215" t="str">
        <f>IFERROR(VLOOKUP($C238,'PORTIFÓLIO'!C:V,5,0),"")</f>
        <v/>
      </c>
      <c r="H238" s="254" t="str">
        <f t="array" ref="H238">IFERROR(INDEX('PORTIFÓLIO'!$H$4:$H$433,MATCH($C238,'PORTIFÓLIO'!$C$4:$C$433,0)),"")</f>
        <v/>
      </c>
      <c r="I238" s="255"/>
      <c r="J238" s="218">
        <f t="shared" ref="J238:J251" si="27">I238*$B$2</f>
        <v>0</v>
      </c>
      <c r="K238" s="219" t="str">
        <f t="array" ref="K238">IFERROR(I238*INDEX('PORTIFÓLIO'!$S$4:$S$433,MATCH($C238,'PORTIFÓLIO'!$C$4:$C$433,0)),"")</f>
        <v/>
      </c>
      <c r="L238" s="219" t="str">
        <f t="array" ref="L238">IFERROR(J238*INDEX('PORTIFÓLIO'!$S$4:$S$433,MATCH($C238,'PORTIFÓLIO'!$C$4:$C$433,0)),"")</f>
        <v/>
      </c>
      <c r="M238" s="220"/>
      <c r="N238" s="220"/>
      <c r="O238" s="220"/>
      <c r="P238" s="220"/>
      <c r="Q238" s="220"/>
      <c r="R238" s="220"/>
      <c r="S238" s="220"/>
      <c r="T238" s="220"/>
      <c r="U238" s="220"/>
      <c r="V238" s="220"/>
      <c r="W238" s="220"/>
    </row>
    <row r="239" ht="15.75" customHeight="1" outlineLevel="1">
      <c r="A239" s="211"/>
      <c r="B239" s="212"/>
      <c r="C239" s="213"/>
      <c r="D239" s="214" t="str">
        <f>IFERROR(VLOOKUP($C239,'PORTIFÓLIO'!C:V,2,0),"")</f>
        <v/>
      </c>
      <c r="E239" s="211" t="str">
        <f>IFERROR(VLOOKUP($C239,'PORTIFÓLIO'!C:V,3,0),"")</f>
        <v/>
      </c>
      <c r="F239" s="211" t="str">
        <f>IFERROR(VLOOKUP($C239,'PORTIFÓLIO'!C:V,4,0),"")</f>
        <v/>
      </c>
      <c r="G239" s="215" t="str">
        <f>IFERROR(VLOOKUP($C239,'PORTIFÓLIO'!C:V,5,0),"")</f>
        <v/>
      </c>
      <c r="H239" s="254" t="str">
        <f t="array" ref="H239">IFERROR(INDEX('PORTIFÓLIO'!$H$4:$H$433,MATCH($C239,'PORTIFÓLIO'!$C$4:$C$433,0)),"")</f>
        <v/>
      </c>
      <c r="I239" s="255"/>
      <c r="J239" s="218">
        <f t="shared" si="27"/>
        <v>0</v>
      </c>
      <c r="K239" s="219" t="str">
        <f t="array" ref="K239">IFERROR(I239*INDEX('PORTIFÓLIO'!$S$4:$S$433,MATCH($C239,'PORTIFÓLIO'!$C$4:$C$433,0)),"")</f>
        <v/>
      </c>
      <c r="L239" s="219" t="str">
        <f t="array" ref="L239">IFERROR(J239*INDEX('PORTIFÓLIO'!$S$4:$S$433,MATCH($C239,'PORTIFÓLIO'!$C$4:$C$433,0)),"")</f>
        <v/>
      </c>
      <c r="M239" s="220"/>
      <c r="N239" s="220"/>
      <c r="O239" s="220"/>
      <c r="P239" s="220"/>
      <c r="Q239" s="220"/>
      <c r="R239" s="220"/>
      <c r="S239" s="220"/>
      <c r="T239" s="220"/>
      <c r="U239" s="220"/>
      <c r="V239" s="220"/>
      <c r="W239" s="220"/>
    </row>
    <row r="240" ht="15.75" customHeight="1" outlineLevel="1">
      <c r="A240" s="211"/>
      <c r="B240" s="212"/>
      <c r="C240" s="213"/>
      <c r="D240" s="214" t="str">
        <f>IFERROR(VLOOKUP($C240,'PORTIFÓLIO'!C:V,2,0),"")</f>
        <v/>
      </c>
      <c r="E240" s="211" t="str">
        <f>IFERROR(VLOOKUP($C240,'PORTIFÓLIO'!C:V,3,0),"")</f>
        <v/>
      </c>
      <c r="F240" s="211" t="str">
        <f>IFERROR(VLOOKUP($C240,'PORTIFÓLIO'!C:V,4,0),"")</f>
        <v/>
      </c>
      <c r="G240" s="215" t="str">
        <f>IFERROR(VLOOKUP($C240,'PORTIFÓLIO'!C:V,5,0),"")</f>
        <v/>
      </c>
      <c r="H240" s="254" t="str">
        <f t="array" ref="H240">IFERROR(INDEX('PORTIFÓLIO'!$H$4:$H$433,MATCH($C240,'PORTIFÓLIO'!$C$4:$C$433,0)),"")</f>
        <v/>
      </c>
      <c r="I240" s="256"/>
      <c r="J240" s="218">
        <f t="shared" si="27"/>
        <v>0</v>
      </c>
      <c r="K240" s="219" t="str">
        <f t="array" ref="K240">IFERROR(I240*INDEX('PORTIFÓLIO'!$S$4:$S$433,MATCH($C240,'PORTIFÓLIO'!$C$4:$C$433,0)),"")</f>
        <v/>
      </c>
      <c r="L240" s="219" t="str">
        <f t="array" ref="L240">IFERROR(J240*INDEX('PORTIFÓLIO'!$S$4:$S$433,MATCH($C240,'PORTIFÓLIO'!$C$4:$C$433,0)),"")</f>
        <v/>
      </c>
      <c r="M240" s="220"/>
      <c r="N240" s="220"/>
      <c r="O240" s="220"/>
      <c r="P240" s="220"/>
      <c r="Q240" s="220"/>
      <c r="R240" s="220"/>
      <c r="S240" s="220"/>
      <c r="T240" s="220"/>
      <c r="U240" s="220"/>
      <c r="V240" s="220"/>
      <c r="W240" s="220"/>
    </row>
    <row r="241" ht="15.75" customHeight="1" outlineLevel="1">
      <c r="A241" s="211"/>
      <c r="B241" s="212"/>
      <c r="C241" s="213"/>
      <c r="D241" s="214" t="str">
        <f>IFERROR(VLOOKUP($C241,'PORTIFÓLIO'!C:V,2,0),"")</f>
        <v/>
      </c>
      <c r="E241" s="211" t="str">
        <f>IFERROR(VLOOKUP($C241,'PORTIFÓLIO'!C:V,3,0),"")</f>
        <v/>
      </c>
      <c r="F241" s="211" t="str">
        <f>IFERROR(VLOOKUP($C241,'PORTIFÓLIO'!C:V,4,0),"")</f>
        <v/>
      </c>
      <c r="G241" s="215" t="str">
        <f>IFERROR(VLOOKUP($C241,'PORTIFÓLIO'!C:V,5,0),"")</f>
        <v/>
      </c>
      <c r="H241" s="254" t="str">
        <f t="array" ref="H241">IFERROR(INDEX('PORTIFÓLIO'!$H$4:$H$433,MATCH($C241,'PORTIFÓLIO'!$C$4:$C$433,0)),"")</f>
        <v/>
      </c>
      <c r="I241" s="256"/>
      <c r="J241" s="218">
        <f t="shared" si="27"/>
        <v>0</v>
      </c>
      <c r="K241" s="219" t="str">
        <f t="array" ref="K241">IFERROR(I241*INDEX('PORTIFÓLIO'!$S$4:$S$433,MATCH($C241,'PORTIFÓLIO'!$C$4:$C$433,0)),"")</f>
        <v/>
      </c>
      <c r="L241" s="219" t="str">
        <f t="array" ref="L241">IFERROR(J241*INDEX('PORTIFÓLIO'!$S$4:$S$433,MATCH($C241,'PORTIFÓLIO'!$C$4:$C$433,0)),"")</f>
        <v/>
      </c>
      <c r="M241" s="220"/>
      <c r="N241" s="220"/>
      <c r="O241" s="220"/>
      <c r="P241" s="220"/>
      <c r="Q241" s="220"/>
      <c r="R241" s="220"/>
      <c r="S241" s="220"/>
      <c r="T241" s="220"/>
      <c r="U241" s="220"/>
      <c r="V241" s="220"/>
      <c r="W241" s="220"/>
    </row>
    <row r="242" ht="15.75" customHeight="1" outlineLevel="1">
      <c r="A242" s="211"/>
      <c r="B242" s="212"/>
      <c r="C242" s="213"/>
      <c r="D242" s="214" t="str">
        <f>IFERROR(VLOOKUP($C242,'PORTIFÓLIO'!C:V,2,0),"")</f>
        <v/>
      </c>
      <c r="E242" s="211" t="str">
        <f>IFERROR(VLOOKUP($C242,'PORTIFÓLIO'!C:V,3,0),"")</f>
        <v/>
      </c>
      <c r="F242" s="211" t="str">
        <f>IFERROR(VLOOKUP($C242,'PORTIFÓLIO'!C:V,4,0),"")</f>
        <v/>
      </c>
      <c r="G242" s="215" t="str">
        <f>IFERROR(VLOOKUP($C242,'PORTIFÓLIO'!C:V,5,0),"")</f>
        <v/>
      </c>
      <c r="H242" s="254" t="str">
        <f t="array" ref="H242">IFERROR(INDEX('PORTIFÓLIO'!$H$4:$H$433,MATCH($C242,'PORTIFÓLIO'!$C$4:$C$433,0)),"")</f>
        <v/>
      </c>
      <c r="I242" s="255"/>
      <c r="J242" s="218">
        <f t="shared" si="27"/>
        <v>0</v>
      </c>
      <c r="K242" s="219" t="str">
        <f t="array" ref="K242">IFERROR(I242*INDEX('PORTIFÓLIO'!$S$4:$S$433,MATCH($C242,'PORTIFÓLIO'!$C$4:$C$433,0)),"")</f>
        <v/>
      </c>
      <c r="L242" s="219" t="str">
        <f t="array" ref="L242">IFERROR(J242*INDEX('PORTIFÓLIO'!$S$4:$S$433,MATCH($C242,'PORTIFÓLIO'!$C$4:$C$433,0)),"")</f>
        <v/>
      </c>
      <c r="M242" s="220"/>
      <c r="N242" s="220"/>
      <c r="O242" s="220"/>
      <c r="P242" s="220"/>
      <c r="Q242" s="220"/>
      <c r="R242" s="220"/>
      <c r="S242" s="220"/>
      <c r="T242" s="220"/>
      <c r="U242" s="220"/>
      <c r="V242" s="220"/>
      <c r="W242" s="220"/>
    </row>
    <row r="243" ht="15.75" customHeight="1" outlineLevel="1">
      <c r="A243" s="211"/>
      <c r="B243" s="212"/>
      <c r="C243" s="213"/>
      <c r="D243" s="214" t="str">
        <f>IFERROR(VLOOKUP($C243,'PORTIFÓLIO'!C:V,2,0),"")</f>
        <v/>
      </c>
      <c r="E243" s="211" t="str">
        <f>IFERROR(VLOOKUP($C243,'PORTIFÓLIO'!C:V,3,0),"")</f>
        <v/>
      </c>
      <c r="F243" s="211" t="str">
        <f>IFERROR(VLOOKUP($C243,'PORTIFÓLIO'!C:V,4,0),"")</f>
        <v/>
      </c>
      <c r="G243" s="215" t="str">
        <f>IFERROR(VLOOKUP($C243,'PORTIFÓLIO'!C:V,5,0),"")</f>
        <v/>
      </c>
      <c r="H243" s="254" t="str">
        <f t="array" ref="H243">IFERROR(INDEX('PORTIFÓLIO'!$H$4:$H$433,MATCH($C243,'PORTIFÓLIO'!$C$4:$C$433,0)),"")</f>
        <v/>
      </c>
      <c r="I243" s="256"/>
      <c r="J243" s="218">
        <f t="shared" si="27"/>
        <v>0</v>
      </c>
      <c r="K243" s="219" t="str">
        <f t="array" ref="K243">IFERROR(I243*INDEX('PORTIFÓLIO'!$S$4:$S$433,MATCH($C243,'PORTIFÓLIO'!$C$4:$C$433,0)),"")</f>
        <v/>
      </c>
      <c r="L243" s="219" t="str">
        <f t="array" ref="L243">IFERROR(J243*INDEX('PORTIFÓLIO'!$S$4:$S$433,MATCH($C243,'PORTIFÓLIO'!$C$4:$C$433,0)),"")</f>
        <v/>
      </c>
      <c r="M243" s="220"/>
      <c r="N243" s="220"/>
      <c r="O243" s="220"/>
      <c r="P243" s="220"/>
      <c r="Q243" s="220"/>
      <c r="R243" s="220"/>
      <c r="S243" s="220"/>
      <c r="T243" s="220"/>
      <c r="U243" s="220"/>
      <c r="V243" s="220"/>
      <c r="W243" s="220"/>
    </row>
    <row r="244" ht="15.75" customHeight="1" outlineLevel="1">
      <c r="A244" s="211"/>
      <c r="B244" s="212"/>
      <c r="C244" s="213"/>
      <c r="D244" s="214" t="str">
        <f>IFERROR(VLOOKUP($C244,'PORTIFÓLIO'!C:V,2,0),"")</f>
        <v/>
      </c>
      <c r="E244" s="211" t="str">
        <f>IFERROR(VLOOKUP($C244,'PORTIFÓLIO'!C:V,3,0),"")</f>
        <v/>
      </c>
      <c r="F244" s="211" t="str">
        <f>IFERROR(VLOOKUP($C244,'PORTIFÓLIO'!C:V,4,0),"")</f>
        <v/>
      </c>
      <c r="G244" s="215" t="str">
        <f>IFERROR(VLOOKUP($C244,'PORTIFÓLIO'!C:V,5,0),"")</f>
        <v/>
      </c>
      <c r="H244" s="254" t="str">
        <f t="array" ref="H244">IFERROR(INDEX('PORTIFÓLIO'!$H$4:$H$433,MATCH($C244,'PORTIFÓLIO'!$C$4:$C$433,0)),"")</f>
        <v/>
      </c>
      <c r="I244" s="256"/>
      <c r="J244" s="218">
        <f t="shared" si="27"/>
        <v>0</v>
      </c>
      <c r="K244" s="219" t="str">
        <f t="array" ref="K244">IFERROR(I244*INDEX('PORTIFÓLIO'!$S$4:$S$433,MATCH($C244,'PORTIFÓLIO'!$C$4:$C$433,0)),"")</f>
        <v/>
      </c>
      <c r="L244" s="219" t="str">
        <f t="array" ref="L244">IFERROR(J244*INDEX('PORTIFÓLIO'!$S$4:$S$433,MATCH($C244,'PORTIFÓLIO'!$C$4:$C$433,0)),"")</f>
        <v/>
      </c>
      <c r="M244" s="220"/>
      <c r="N244" s="220"/>
      <c r="O244" s="220"/>
      <c r="P244" s="220"/>
      <c r="Q244" s="220"/>
      <c r="R244" s="220"/>
      <c r="S244" s="220"/>
      <c r="T244" s="220"/>
      <c r="U244" s="220"/>
      <c r="V244" s="220"/>
      <c r="W244" s="220"/>
    </row>
    <row r="245" ht="15.75" customHeight="1" outlineLevel="1">
      <c r="A245" s="211"/>
      <c r="B245" s="212"/>
      <c r="C245" s="213"/>
      <c r="D245" s="214" t="str">
        <f>IFERROR(VLOOKUP($C245,'PORTIFÓLIO'!C:V,2,0),"")</f>
        <v/>
      </c>
      <c r="E245" s="211" t="str">
        <f>IFERROR(VLOOKUP($C245,'PORTIFÓLIO'!C:V,3,0),"")</f>
        <v/>
      </c>
      <c r="F245" s="211" t="str">
        <f>IFERROR(VLOOKUP($C245,'PORTIFÓLIO'!C:V,4,0),"")</f>
        <v/>
      </c>
      <c r="G245" s="215" t="str">
        <f>IFERROR(VLOOKUP($C245,'PORTIFÓLIO'!C:V,5,0),"")</f>
        <v/>
      </c>
      <c r="H245" s="254" t="str">
        <f t="array" ref="H245">IFERROR(INDEX('PORTIFÓLIO'!$H$4:$H$433,MATCH($C245,'PORTIFÓLIO'!$C$4:$C$433,0)),"")</f>
        <v/>
      </c>
      <c r="I245" s="256"/>
      <c r="J245" s="218">
        <f t="shared" si="27"/>
        <v>0</v>
      </c>
      <c r="K245" s="219" t="str">
        <f t="array" ref="K245">IFERROR(I245*INDEX('PORTIFÓLIO'!$S$4:$S$433,MATCH($C245,'PORTIFÓLIO'!$C$4:$C$433,0)),"")</f>
        <v/>
      </c>
      <c r="L245" s="219" t="str">
        <f t="array" ref="L245">IFERROR(J245*INDEX('PORTIFÓLIO'!$S$4:$S$433,MATCH($C245,'PORTIFÓLIO'!$C$4:$C$433,0)),"")</f>
        <v/>
      </c>
      <c r="M245" s="220"/>
      <c r="N245" s="220"/>
      <c r="O245" s="220"/>
      <c r="P245" s="220"/>
      <c r="Q245" s="220"/>
      <c r="R245" s="220"/>
      <c r="S245" s="220"/>
      <c r="T245" s="220"/>
      <c r="U245" s="220"/>
      <c r="V245" s="220"/>
      <c r="W245" s="220"/>
    </row>
    <row r="246" ht="15.75" customHeight="1" outlineLevel="1">
      <c r="A246" s="211"/>
      <c r="B246" s="212"/>
      <c r="C246" s="213"/>
      <c r="D246" s="214" t="str">
        <f>IFERROR(VLOOKUP($C246,'PORTIFÓLIO'!C:V,2,0),"")</f>
        <v/>
      </c>
      <c r="E246" s="211" t="str">
        <f>IFERROR(VLOOKUP($C246,'PORTIFÓLIO'!C:V,3,0),"")</f>
        <v/>
      </c>
      <c r="F246" s="211" t="str">
        <f>IFERROR(VLOOKUP($C246,'PORTIFÓLIO'!C:V,4,0),"")</f>
        <v/>
      </c>
      <c r="G246" s="215" t="str">
        <f>IFERROR(VLOOKUP($C246,'PORTIFÓLIO'!C:V,5,0),"")</f>
        <v/>
      </c>
      <c r="H246" s="254" t="str">
        <f t="array" ref="H246">IFERROR(INDEX('PORTIFÓLIO'!$H$4:$H$433,MATCH($C246,'PORTIFÓLIO'!$C$4:$C$433,0)),"")</f>
        <v/>
      </c>
      <c r="I246" s="255"/>
      <c r="J246" s="218">
        <f t="shared" si="27"/>
        <v>0</v>
      </c>
      <c r="K246" s="219" t="str">
        <f t="array" ref="K246">IFERROR(I246*INDEX('PORTIFÓLIO'!$S$4:$S$433,MATCH($C246,'PORTIFÓLIO'!$C$4:$C$433,0)),"")</f>
        <v/>
      </c>
      <c r="L246" s="219" t="str">
        <f t="array" ref="L246">IFERROR(J246*INDEX('PORTIFÓLIO'!$S$4:$S$433,MATCH($C246,'PORTIFÓLIO'!$C$4:$C$433,0)),"")</f>
        <v/>
      </c>
      <c r="M246" s="220"/>
      <c r="N246" s="220"/>
      <c r="O246" s="220"/>
      <c r="P246" s="220"/>
      <c r="Q246" s="220"/>
      <c r="R246" s="220"/>
      <c r="S246" s="220"/>
      <c r="T246" s="220"/>
      <c r="U246" s="220"/>
      <c r="V246" s="220"/>
      <c r="W246" s="220"/>
    </row>
    <row r="247" ht="15.75" customHeight="1" outlineLevel="1">
      <c r="A247" s="211"/>
      <c r="B247" s="212"/>
      <c r="C247" s="213"/>
      <c r="D247" s="214" t="str">
        <f>IFERROR(VLOOKUP($C247,'PORTIFÓLIO'!C:V,2,0),"")</f>
        <v/>
      </c>
      <c r="E247" s="211" t="str">
        <f>IFERROR(VLOOKUP($C247,'PORTIFÓLIO'!C:V,3,0),"")</f>
        <v/>
      </c>
      <c r="F247" s="211" t="str">
        <f>IFERROR(VLOOKUP($C247,'PORTIFÓLIO'!C:V,4,0),"")</f>
        <v/>
      </c>
      <c r="G247" s="215" t="str">
        <f>IFERROR(VLOOKUP($C247,'PORTIFÓLIO'!C:V,5,0),"")</f>
        <v/>
      </c>
      <c r="H247" s="254" t="str">
        <f t="array" ref="H247">IFERROR(INDEX('PORTIFÓLIO'!$H$4:$H$433,MATCH($C247,'PORTIFÓLIO'!$C$4:$C$433,0)),"")</f>
        <v/>
      </c>
      <c r="I247" s="255"/>
      <c r="J247" s="218">
        <f t="shared" si="27"/>
        <v>0</v>
      </c>
      <c r="K247" s="219" t="str">
        <f t="array" ref="K247">IFERROR(I247*INDEX('PORTIFÓLIO'!$S$4:$S$433,MATCH($C247,'PORTIFÓLIO'!$C$4:$C$433,0)),"")</f>
        <v/>
      </c>
      <c r="L247" s="219" t="str">
        <f t="array" ref="L247">IFERROR(J247*INDEX('PORTIFÓLIO'!$S$4:$S$433,MATCH($C247,'PORTIFÓLIO'!$C$4:$C$433,0)),"")</f>
        <v/>
      </c>
      <c r="M247" s="220"/>
      <c r="N247" s="220"/>
      <c r="O247" s="220"/>
      <c r="P247" s="220"/>
      <c r="Q247" s="220"/>
      <c r="R247" s="220"/>
      <c r="S247" s="220"/>
      <c r="T247" s="220"/>
      <c r="U247" s="220"/>
      <c r="V247" s="220"/>
      <c r="W247" s="220"/>
    </row>
    <row r="248" ht="15.75" customHeight="1" outlineLevel="1">
      <c r="A248" s="211"/>
      <c r="B248" s="212"/>
      <c r="C248" s="213"/>
      <c r="D248" s="214" t="str">
        <f>IFERROR(VLOOKUP($C248,'PORTIFÓLIO'!C:V,2,0),"")</f>
        <v/>
      </c>
      <c r="E248" s="211" t="str">
        <f>IFERROR(VLOOKUP($C248,'PORTIFÓLIO'!C:V,3,0),"")</f>
        <v/>
      </c>
      <c r="F248" s="211" t="str">
        <f>IFERROR(VLOOKUP($C248,'PORTIFÓLIO'!C:V,4,0),"")</f>
        <v/>
      </c>
      <c r="G248" s="215" t="str">
        <f>IFERROR(VLOOKUP($C248,'PORTIFÓLIO'!C:V,5,0),"")</f>
        <v/>
      </c>
      <c r="H248" s="254" t="str">
        <f t="array" ref="H248">IFERROR(INDEX('PORTIFÓLIO'!$H$4:$H$433,MATCH($C248,'PORTIFÓLIO'!$C$4:$C$433,0)),"")</f>
        <v/>
      </c>
      <c r="I248" s="255"/>
      <c r="J248" s="218">
        <f t="shared" si="27"/>
        <v>0</v>
      </c>
      <c r="K248" s="219" t="str">
        <f t="array" ref="K248">IFERROR(I248*INDEX('PORTIFÓLIO'!$S$4:$S$433,MATCH($C248,'PORTIFÓLIO'!$C$4:$C$433,0)),"")</f>
        <v/>
      </c>
      <c r="L248" s="219" t="str">
        <f t="array" ref="L248">IFERROR(J248*INDEX('PORTIFÓLIO'!$S$4:$S$433,MATCH($C248,'PORTIFÓLIO'!$C$4:$C$433,0)),"")</f>
        <v/>
      </c>
      <c r="M248" s="220"/>
      <c r="N248" s="220"/>
      <c r="O248" s="220"/>
      <c r="P248" s="220"/>
      <c r="Q248" s="220"/>
      <c r="R248" s="220"/>
      <c r="S248" s="220"/>
      <c r="T248" s="220"/>
      <c r="U248" s="220"/>
      <c r="V248" s="220"/>
      <c r="W248" s="220"/>
    </row>
    <row r="249" ht="15.75" customHeight="1" outlineLevel="1">
      <c r="A249" s="211"/>
      <c r="B249" s="212"/>
      <c r="C249" s="213"/>
      <c r="D249" s="214" t="str">
        <f>IFERROR(VLOOKUP($C249,'PORTIFÓLIO'!C:V,2,0),"")</f>
        <v/>
      </c>
      <c r="E249" s="211" t="str">
        <f>IFERROR(VLOOKUP($C249,'PORTIFÓLIO'!C:V,3,0),"")</f>
        <v/>
      </c>
      <c r="F249" s="211" t="str">
        <f>IFERROR(VLOOKUP($C249,'PORTIFÓLIO'!C:V,4,0),"")</f>
        <v/>
      </c>
      <c r="G249" s="215" t="str">
        <f>IFERROR(VLOOKUP($C249,'PORTIFÓLIO'!C:V,5,0),"")</f>
        <v/>
      </c>
      <c r="H249" s="254" t="str">
        <f t="array" ref="H249">IFERROR(INDEX('PORTIFÓLIO'!$H$4:$H$433,MATCH($C249,'PORTIFÓLIO'!$C$4:$C$433,0)),"")</f>
        <v/>
      </c>
      <c r="I249" s="255"/>
      <c r="J249" s="218">
        <f t="shared" si="27"/>
        <v>0</v>
      </c>
      <c r="K249" s="219" t="str">
        <f t="array" ref="K249">IFERROR(I249*INDEX('PORTIFÓLIO'!$S$4:$S$433,MATCH($C249,'PORTIFÓLIO'!$C$4:$C$433,0)),"")</f>
        <v/>
      </c>
      <c r="L249" s="219" t="str">
        <f t="array" ref="L249">IFERROR(J249*INDEX('PORTIFÓLIO'!$S$4:$S$433,MATCH($C249,'PORTIFÓLIO'!$C$4:$C$433,0)),"")</f>
        <v/>
      </c>
      <c r="M249" s="220"/>
      <c r="N249" s="220"/>
      <c r="O249" s="220"/>
      <c r="P249" s="220"/>
      <c r="Q249" s="220"/>
      <c r="R249" s="220"/>
      <c r="S249" s="220"/>
      <c r="T249" s="220"/>
      <c r="U249" s="220"/>
      <c r="V249" s="220"/>
      <c r="W249" s="220"/>
    </row>
    <row r="250" ht="15.75" customHeight="1" outlineLevel="1">
      <c r="A250" s="211"/>
      <c r="B250" s="212"/>
      <c r="C250" s="213"/>
      <c r="D250" s="214" t="str">
        <f>IFERROR(VLOOKUP($C250,'PORTIFÓLIO'!C:V,2,0),"")</f>
        <v/>
      </c>
      <c r="E250" s="211" t="str">
        <f>IFERROR(VLOOKUP($C250,'PORTIFÓLIO'!C:V,3,0),"")</f>
        <v/>
      </c>
      <c r="F250" s="211" t="str">
        <f>IFERROR(VLOOKUP($C250,'PORTIFÓLIO'!C:V,4,0),"")</f>
        <v/>
      </c>
      <c r="G250" s="215" t="str">
        <f>IFERROR(VLOOKUP($C250,'PORTIFÓLIO'!C:V,5,0),"")</f>
        <v/>
      </c>
      <c r="H250" s="254" t="str">
        <f t="array" ref="H250">IFERROR(INDEX('PORTIFÓLIO'!$H$4:$H$433,MATCH($C250,'PORTIFÓLIO'!$C$4:$C$433,0)),"")</f>
        <v/>
      </c>
      <c r="I250" s="255"/>
      <c r="J250" s="218">
        <f t="shared" si="27"/>
        <v>0</v>
      </c>
      <c r="K250" s="219" t="str">
        <f t="array" ref="K250">IFERROR(I250*INDEX('PORTIFÓLIO'!$S$4:$S$433,MATCH($C250,'PORTIFÓLIO'!$C$4:$C$433,0)),"")</f>
        <v/>
      </c>
      <c r="L250" s="219" t="str">
        <f t="array" ref="L250">IFERROR(J250*INDEX('PORTIFÓLIO'!$S$4:$S$433,MATCH($C250,'PORTIFÓLIO'!$C$4:$C$433,0)),"")</f>
        <v/>
      </c>
      <c r="M250" s="220"/>
      <c r="N250" s="220"/>
      <c r="O250" s="220"/>
      <c r="P250" s="220"/>
      <c r="Q250" s="220"/>
      <c r="R250" s="220"/>
      <c r="S250" s="220"/>
      <c r="T250" s="220"/>
      <c r="U250" s="220"/>
      <c r="V250" s="220"/>
      <c r="W250" s="220"/>
    </row>
    <row r="251" ht="15.75" customHeight="1" outlineLevel="1">
      <c r="A251" s="211"/>
      <c r="B251" s="212"/>
      <c r="C251" s="213"/>
      <c r="D251" s="214" t="str">
        <f>IFERROR(VLOOKUP($C251,'PORTIFÓLIO'!C:V,2,0),"")</f>
        <v/>
      </c>
      <c r="E251" s="211" t="str">
        <f>IFERROR(VLOOKUP($C251,'PORTIFÓLIO'!C:V,3,0),"")</f>
        <v/>
      </c>
      <c r="F251" s="211" t="str">
        <f>IFERROR(VLOOKUP($C251,'PORTIFÓLIO'!C:V,4,0),"")</f>
        <v/>
      </c>
      <c r="G251" s="215" t="str">
        <f>IFERROR(VLOOKUP($C251,'PORTIFÓLIO'!C:V,5,0),"")</f>
        <v/>
      </c>
      <c r="H251" s="254" t="str">
        <f t="array" ref="H251">IFERROR(INDEX('PORTIFÓLIO'!$H$4:$H$433,MATCH($C251,'PORTIFÓLIO'!$C$4:$C$433,0)),"")</f>
        <v/>
      </c>
      <c r="I251" s="255"/>
      <c r="J251" s="218">
        <f t="shared" si="27"/>
        <v>0</v>
      </c>
      <c r="K251" s="219" t="str">
        <f t="array" ref="K251">IFERROR(I251*INDEX('PORTIFÓLIO'!$S$4:$S$433,MATCH($C251,'PORTIFÓLIO'!$C$4:$C$433,0)),"")</f>
        <v/>
      </c>
      <c r="L251" s="219" t="str">
        <f t="array" ref="L251">IFERROR(J251*INDEX('PORTIFÓLIO'!$S$4:$S$433,MATCH($C251,'PORTIFÓLIO'!$C$4:$C$433,0)),"")</f>
        <v/>
      </c>
      <c r="M251" s="220"/>
      <c r="N251" s="220"/>
      <c r="O251" s="220"/>
      <c r="P251" s="220"/>
      <c r="Q251" s="220"/>
      <c r="R251" s="220"/>
      <c r="S251" s="220"/>
      <c r="T251" s="220"/>
      <c r="U251" s="220"/>
      <c r="V251" s="220"/>
      <c r="W251" s="220"/>
    </row>
    <row r="252" ht="15.75" customHeight="1">
      <c r="A252" s="229" t="s">
        <v>1184</v>
      </c>
      <c r="B252" s="230"/>
      <c r="C252" s="231"/>
      <c r="D252" s="232"/>
      <c r="E252" s="231"/>
      <c r="F252" s="231"/>
      <c r="G252" s="233"/>
      <c r="H252" s="233"/>
      <c r="I252" s="258"/>
      <c r="J252" s="236"/>
      <c r="K252" s="237">
        <f t="shared" ref="K252:L252" si="28">SUBTOTAL(9,K253:K266)</f>
        <v>0</v>
      </c>
      <c r="L252" s="237">
        <f t="shared" si="28"/>
        <v>0</v>
      </c>
      <c r="M252" s="220"/>
      <c r="N252" s="220"/>
      <c r="O252" s="220"/>
      <c r="P252" s="220"/>
      <c r="Q252" s="220"/>
      <c r="R252" s="220"/>
      <c r="S252" s="220"/>
      <c r="T252" s="220"/>
      <c r="U252" s="220"/>
      <c r="V252" s="220"/>
      <c r="W252" s="220"/>
    </row>
    <row r="253" ht="15.75" customHeight="1" outlineLevel="1">
      <c r="A253" s="213"/>
      <c r="B253" s="212"/>
      <c r="C253" s="213"/>
      <c r="D253" s="214" t="str">
        <f>IFERROR(VLOOKUP($C253,'PORTIFÓLIO'!C:V,2,0),"")</f>
        <v/>
      </c>
      <c r="E253" s="211" t="str">
        <f>IFERROR(VLOOKUP($C253,'PORTIFÓLIO'!C:V,3,0),"")</f>
        <v/>
      </c>
      <c r="F253" s="211" t="str">
        <f>IFERROR(VLOOKUP($C253,'PORTIFÓLIO'!C:V,4,0),"")</f>
        <v/>
      </c>
      <c r="G253" s="215" t="str">
        <f>IFERROR(VLOOKUP($C253,'PORTIFÓLIO'!C:V,5,0),"")</f>
        <v/>
      </c>
      <c r="H253" s="254" t="str">
        <f t="array" ref="H253">IFERROR(INDEX('PORTIFÓLIO'!$H$4:$H$433,MATCH($C253,'PORTIFÓLIO'!$C$4:$C$433,0)),"")</f>
        <v/>
      </c>
      <c r="I253" s="255"/>
      <c r="J253" s="218">
        <f t="shared" ref="J253:J270" si="29">I253*$B$2</f>
        <v>0</v>
      </c>
      <c r="K253" s="292" t="str">
        <f t="array" ref="K253">IFERROR(I253*INDEX('PORTIFÓLIO'!$S$4:$S$433,MATCH($C253,'PORTIFÓLIO'!$C$4:$C$433,0)),"")</f>
        <v/>
      </c>
      <c r="L253" s="292" t="str">
        <f t="array" ref="L253">IFERROR(J253*INDEX('PORTIFÓLIO'!$S$4:$S$433,MATCH($C253,'PORTIFÓLIO'!$C$4:$C$433,0)),"")</f>
        <v/>
      </c>
      <c r="M253" s="220"/>
      <c r="N253" s="220"/>
      <c r="O253" s="220"/>
      <c r="P253" s="220"/>
      <c r="Q253" s="220"/>
      <c r="R253" s="220"/>
      <c r="S253" s="220"/>
      <c r="T253" s="220"/>
      <c r="U253" s="220"/>
      <c r="V253" s="220"/>
      <c r="W253" s="220"/>
    </row>
    <row r="254" ht="15.75" customHeight="1" outlineLevel="1">
      <c r="A254" s="211"/>
      <c r="B254" s="212"/>
      <c r="C254" s="213"/>
      <c r="D254" s="214" t="str">
        <f>IFERROR(VLOOKUP($C254,'PORTIFÓLIO'!C:V,2,0),"")</f>
        <v/>
      </c>
      <c r="E254" s="211" t="str">
        <f>IFERROR(VLOOKUP($C254,'PORTIFÓLIO'!C:V,3,0),"")</f>
        <v/>
      </c>
      <c r="F254" s="211" t="str">
        <f>IFERROR(VLOOKUP($C254,'PORTIFÓLIO'!C:V,4,0),"")</f>
        <v/>
      </c>
      <c r="G254" s="215" t="str">
        <f>IFERROR(VLOOKUP($C254,'PORTIFÓLIO'!C:V,5,0),"")</f>
        <v/>
      </c>
      <c r="H254" s="254" t="str">
        <f t="array" ref="H254">IFERROR(INDEX('PORTIFÓLIO'!$H$4:$H$433,MATCH($C254,'PORTIFÓLIO'!$C$4:$C$433,0)),"")</f>
        <v/>
      </c>
      <c r="I254" s="255"/>
      <c r="J254" s="218">
        <f t="shared" si="29"/>
        <v>0</v>
      </c>
      <c r="K254" s="292" t="str">
        <f t="array" ref="K254">IFERROR(I254*INDEX('PORTIFÓLIO'!$S$4:$S$433,MATCH($C254,'PORTIFÓLIO'!$C$4:$C$433,0)),"")</f>
        <v/>
      </c>
      <c r="L254" s="292" t="str">
        <f t="array" ref="L254">IFERROR(J254*INDEX('PORTIFÓLIO'!$S$4:$S$433,MATCH($C254,'PORTIFÓLIO'!$C$4:$C$433,0)),"")</f>
        <v/>
      </c>
      <c r="M254" s="220"/>
      <c r="N254" s="220"/>
      <c r="O254" s="220"/>
      <c r="P254" s="220"/>
      <c r="Q254" s="220"/>
      <c r="R254" s="220"/>
      <c r="S254" s="220"/>
      <c r="T254" s="220"/>
      <c r="U254" s="220"/>
      <c r="V254" s="220"/>
      <c r="W254" s="220"/>
    </row>
    <row r="255" ht="15.75" customHeight="1" outlineLevel="1">
      <c r="A255" s="211"/>
      <c r="B255" s="212"/>
      <c r="C255" s="213"/>
      <c r="D255" s="214" t="str">
        <f>IFERROR(VLOOKUP($C255,'PORTIFÓLIO'!C:V,2,0),"")</f>
        <v/>
      </c>
      <c r="E255" s="211" t="str">
        <f>IFERROR(VLOOKUP($C255,'PORTIFÓLIO'!C:V,3,0),"")</f>
        <v/>
      </c>
      <c r="F255" s="211" t="str">
        <f>IFERROR(VLOOKUP($C255,'PORTIFÓLIO'!C:V,4,0),"")</f>
        <v/>
      </c>
      <c r="G255" s="215" t="str">
        <f>IFERROR(VLOOKUP($C255,'PORTIFÓLIO'!C:V,5,0),"")</f>
        <v/>
      </c>
      <c r="H255" s="254" t="str">
        <f t="array" ref="H255">IFERROR(INDEX('PORTIFÓLIO'!$H$4:$H$433,MATCH($C255,'PORTIFÓLIO'!$C$4:$C$433,0)),"")</f>
        <v/>
      </c>
      <c r="I255" s="256"/>
      <c r="J255" s="218">
        <f t="shared" si="29"/>
        <v>0</v>
      </c>
      <c r="K255" s="292" t="str">
        <f t="array" ref="K255">IFERROR(I255*INDEX('PORTIFÓLIO'!$S$4:$S$433,MATCH($C255,'PORTIFÓLIO'!$C$4:$C$433,0)),"")</f>
        <v/>
      </c>
      <c r="L255" s="292" t="str">
        <f t="array" ref="L255">IFERROR(J255*INDEX('PORTIFÓLIO'!$S$4:$S$433,MATCH($C255,'PORTIFÓLIO'!$C$4:$C$433,0)),"")</f>
        <v/>
      </c>
      <c r="M255" s="220"/>
      <c r="N255" s="220"/>
      <c r="O255" s="220"/>
      <c r="P255" s="220"/>
      <c r="Q255" s="220"/>
      <c r="R255" s="220"/>
      <c r="S255" s="220"/>
      <c r="T255" s="220"/>
      <c r="U255" s="220"/>
      <c r="V255" s="220"/>
      <c r="W255" s="220"/>
    </row>
    <row r="256" ht="15.75" customHeight="1" outlineLevel="1">
      <c r="A256" s="211"/>
      <c r="B256" s="212"/>
      <c r="C256" s="213"/>
      <c r="D256" s="214" t="str">
        <f>IFERROR(VLOOKUP($C256,'PORTIFÓLIO'!C:V,2,0),"")</f>
        <v/>
      </c>
      <c r="E256" s="211" t="str">
        <f>IFERROR(VLOOKUP($C256,'PORTIFÓLIO'!C:V,3,0),"")</f>
        <v/>
      </c>
      <c r="F256" s="211" t="str">
        <f>IFERROR(VLOOKUP($C256,'PORTIFÓLIO'!C:V,4,0),"")</f>
        <v/>
      </c>
      <c r="G256" s="215" t="str">
        <f>IFERROR(VLOOKUP($C256,'PORTIFÓLIO'!C:V,5,0),"")</f>
        <v/>
      </c>
      <c r="H256" s="254" t="str">
        <f t="array" ref="H256">IFERROR(INDEX('PORTIFÓLIO'!$H$4:$H$433,MATCH($C256,'PORTIFÓLIO'!$C$4:$C$433,0)),"")</f>
        <v/>
      </c>
      <c r="I256" s="255"/>
      <c r="J256" s="218">
        <f t="shared" si="29"/>
        <v>0</v>
      </c>
      <c r="K256" s="292" t="str">
        <f t="array" ref="K256">IFERROR(I256*INDEX('PORTIFÓLIO'!$S$4:$S$433,MATCH($C256,'PORTIFÓLIO'!$C$4:$C$433,0)),"")</f>
        <v/>
      </c>
      <c r="L256" s="292" t="str">
        <f t="array" ref="L256">IFERROR(J256*INDEX('PORTIFÓLIO'!$S$4:$S$433,MATCH($C256,'PORTIFÓLIO'!$C$4:$C$433,0)),"")</f>
        <v/>
      </c>
      <c r="M256" s="220"/>
      <c r="N256" s="220"/>
      <c r="O256" s="220"/>
      <c r="P256" s="220"/>
      <c r="Q256" s="220"/>
      <c r="R256" s="220"/>
      <c r="S256" s="220"/>
      <c r="T256" s="220"/>
      <c r="U256" s="220"/>
      <c r="V256" s="220"/>
      <c r="W256" s="220"/>
    </row>
    <row r="257" ht="15.75" customHeight="1" outlineLevel="1">
      <c r="A257" s="211"/>
      <c r="B257" s="212"/>
      <c r="C257" s="213"/>
      <c r="D257" s="214" t="str">
        <f>IFERROR(VLOOKUP($C257,'PORTIFÓLIO'!C:V,2,0),"")</f>
        <v/>
      </c>
      <c r="E257" s="211" t="str">
        <f>IFERROR(VLOOKUP($C257,'PORTIFÓLIO'!C:V,3,0),"")</f>
        <v/>
      </c>
      <c r="F257" s="211" t="str">
        <f>IFERROR(VLOOKUP($C257,'PORTIFÓLIO'!C:V,4,0),"")</f>
        <v/>
      </c>
      <c r="G257" s="215" t="str">
        <f>IFERROR(VLOOKUP($C257,'PORTIFÓLIO'!C:V,5,0),"")</f>
        <v/>
      </c>
      <c r="H257" s="254" t="str">
        <f t="array" ref="H257">IFERROR(INDEX('PORTIFÓLIO'!$H$4:$H$433,MATCH($C257,'PORTIFÓLIO'!$C$4:$C$433,0)),"")</f>
        <v/>
      </c>
      <c r="I257" s="256"/>
      <c r="J257" s="218">
        <f t="shared" si="29"/>
        <v>0</v>
      </c>
      <c r="K257" s="292" t="str">
        <f t="array" ref="K257">IFERROR(I257*INDEX('PORTIFÓLIO'!$S$4:$S$433,MATCH($C257,'PORTIFÓLIO'!$C$4:$C$433,0)),"")</f>
        <v/>
      </c>
      <c r="L257" s="292" t="str">
        <f t="array" ref="L257">IFERROR(J257*INDEX('PORTIFÓLIO'!$S$4:$S$433,MATCH($C257,'PORTIFÓLIO'!$C$4:$C$433,0)),"")</f>
        <v/>
      </c>
      <c r="M257" s="220"/>
      <c r="N257" s="220"/>
      <c r="O257" s="220"/>
      <c r="P257" s="220"/>
      <c r="Q257" s="220"/>
      <c r="R257" s="220"/>
      <c r="S257" s="220"/>
      <c r="T257" s="220"/>
      <c r="U257" s="220"/>
      <c r="V257" s="220"/>
      <c r="W257" s="220"/>
    </row>
    <row r="258" ht="15.75" customHeight="1" outlineLevel="1">
      <c r="A258" s="211"/>
      <c r="B258" s="212"/>
      <c r="C258" s="213"/>
      <c r="D258" s="214" t="str">
        <f>IFERROR(VLOOKUP($C258,'PORTIFÓLIO'!C:V,2,0),"")</f>
        <v/>
      </c>
      <c r="E258" s="211" t="str">
        <f>IFERROR(VLOOKUP($C258,'PORTIFÓLIO'!C:V,3,0),"")</f>
        <v/>
      </c>
      <c r="F258" s="211" t="str">
        <f>IFERROR(VLOOKUP($C258,'PORTIFÓLIO'!C:V,4,0),"")</f>
        <v/>
      </c>
      <c r="G258" s="215" t="str">
        <f>IFERROR(VLOOKUP($C258,'PORTIFÓLIO'!C:V,5,0),"")</f>
        <v/>
      </c>
      <c r="H258" s="254" t="str">
        <f t="array" ref="H258">IFERROR(INDEX('PORTIFÓLIO'!$H$4:$H$433,MATCH($C258,'PORTIFÓLIO'!$C$4:$C$433,0)),"")</f>
        <v/>
      </c>
      <c r="I258" s="256"/>
      <c r="J258" s="218">
        <f t="shared" si="29"/>
        <v>0</v>
      </c>
      <c r="K258" s="292" t="str">
        <f t="array" ref="K258">IFERROR(I258*INDEX('PORTIFÓLIO'!$S$4:$S$433,MATCH($C258,'PORTIFÓLIO'!$C$4:$C$433,0)),"")</f>
        <v/>
      </c>
      <c r="L258" s="292" t="str">
        <f t="array" ref="L258">IFERROR(J258*INDEX('PORTIFÓLIO'!$S$4:$S$433,MATCH($C258,'PORTIFÓLIO'!$C$4:$C$433,0)),"")</f>
        <v/>
      </c>
      <c r="M258" s="220"/>
      <c r="N258" s="220"/>
      <c r="O258" s="220"/>
      <c r="P258" s="220"/>
      <c r="Q258" s="220"/>
      <c r="R258" s="220"/>
      <c r="S258" s="220"/>
      <c r="T258" s="220"/>
      <c r="U258" s="220"/>
      <c r="V258" s="220"/>
      <c r="W258" s="220"/>
    </row>
    <row r="259" ht="15.75" customHeight="1" outlineLevel="1">
      <c r="A259" s="211"/>
      <c r="B259" s="212"/>
      <c r="C259" s="213"/>
      <c r="D259" s="214" t="str">
        <f>IFERROR(VLOOKUP($C259,'PORTIFÓLIO'!C:V,2,0),"")</f>
        <v/>
      </c>
      <c r="E259" s="211" t="str">
        <f>IFERROR(VLOOKUP($C259,'PORTIFÓLIO'!C:V,3,0),"")</f>
        <v/>
      </c>
      <c r="F259" s="211" t="str">
        <f>IFERROR(VLOOKUP($C259,'PORTIFÓLIO'!C:V,4,0),"")</f>
        <v/>
      </c>
      <c r="G259" s="215" t="str">
        <f>IFERROR(VLOOKUP($C259,'PORTIFÓLIO'!C:V,5,0),"")</f>
        <v/>
      </c>
      <c r="H259" s="254" t="str">
        <f t="array" ref="H259">IFERROR(INDEX('PORTIFÓLIO'!$H$4:$H$433,MATCH($C259,'PORTIFÓLIO'!$C$4:$C$433,0)),"")</f>
        <v/>
      </c>
      <c r="I259" s="256"/>
      <c r="J259" s="218">
        <f t="shared" si="29"/>
        <v>0</v>
      </c>
      <c r="K259" s="292" t="str">
        <f t="array" ref="K259">IFERROR(I259*INDEX('PORTIFÓLIO'!$S$4:$S$433,MATCH($C259,'PORTIFÓLIO'!$C$4:$C$433,0)),"")</f>
        <v/>
      </c>
      <c r="L259" s="292" t="str">
        <f t="array" ref="L259">IFERROR(J259*INDEX('PORTIFÓLIO'!$S$4:$S$433,MATCH($C259,'PORTIFÓLIO'!$C$4:$C$433,0)),"")</f>
        <v/>
      </c>
      <c r="M259" s="220"/>
      <c r="N259" s="220"/>
      <c r="O259" s="220"/>
      <c r="P259" s="220"/>
      <c r="Q259" s="220"/>
      <c r="R259" s="220"/>
      <c r="S259" s="220"/>
      <c r="T259" s="220"/>
      <c r="U259" s="220"/>
      <c r="V259" s="220"/>
      <c r="W259" s="220"/>
    </row>
    <row r="260" ht="15.75" customHeight="1" outlineLevel="1">
      <c r="A260" s="211"/>
      <c r="B260" s="212"/>
      <c r="C260" s="213"/>
      <c r="D260" s="214" t="str">
        <f>IFERROR(VLOOKUP($C260,'PORTIFÓLIO'!C:V,2,0),"")</f>
        <v/>
      </c>
      <c r="E260" s="211" t="str">
        <f>IFERROR(VLOOKUP($C260,'PORTIFÓLIO'!C:V,3,0),"")</f>
        <v/>
      </c>
      <c r="F260" s="211" t="str">
        <f>IFERROR(VLOOKUP($C260,'PORTIFÓLIO'!C:V,4,0),"")</f>
        <v/>
      </c>
      <c r="G260" s="215" t="str">
        <f>IFERROR(VLOOKUP($C260,'PORTIFÓLIO'!C:V,5,0),"")</f>
        <v/>
      </c>
      <c r="H260" s="254" t="str">
        <f t="array" ref="H260">IFERROR(INDEX('PORTIFÓLIO'!$H$4:$H$433,MATCH($C260,'PORTIFÓLIO'!$C$4:$C$433,0)),"")</f>
        <v/>
      </c>
      <c r="I260" s="256"/>
      <c r="J260" s="218">
        <f t="shared" si="29"/>
        <v>0</v>
      </c>
      <c r="K260" s="292" t="str">
        <f t="array" ref="K260">IFERROR(I260*INDEX('PORTIFÓLIO'!$S$4:$S$433,MATCH($C260,'PORTIFÓLIO'!$C$4:$C$433,0)),"")</f>
        <v/>
      </c>
      <c r="L260" s="292" t="str">
        <f t="array" ref="L260">IFERROR(J260*INDEX('PORTIFÓLIO'!$S$4:$S$433,MATCH($C260,'PORTIFÓLIO'!$C$4:$C$433,0)),"")</f>
        <v/>
      </c>
      <c r="M260" s="220"/>
      <c r="N260" s="220"/>
      <c r="O260" s="220"/>
      <c r="P260" s="220"/>
      <c r="Q260" s="220"/>
      <c r="R260" s="220"/>
      <c r="S260" s="220"/>
      <c r="T260" s="220"/>
      <c r="U260" s="220"/>
      <c r="V260" s="220"/>
      <c r="W260" s="220"/>
    </row>
    <row r="261" ht="15.75" customHeight="1" outlineLevel="1">
      <c r="A261" s="211"/>
      <c r="B261" s="212"/>
      <c r="C261" s="213"/>
      <c r="D261" s="214" t="str">
        <f>IFERROR(VLOOKUP($C261,'PORTIFÓLIO'!C:V,2,0),"")</f>
        <v/>
      </c>
      <c r="E261" s="211" t="str">
        <f>IFERROR(VLOOKUP($C261,'PORTIFÓLIO'!C:V,3,0),"")</f>
        <v/>
      </c>
      <c r="F261" s="211" t="str">
        <f>IFERROR(VLOOKUP($C261,'PORTIFÓLIO'!C:V,4,0),"")</f>
        <v/>
      </c>
      <c r="G261" s="215" t="str">
        <f>IFERROR(VLOOKUP($C261,'PORTIFÓLIO'!C:V,5,0),"")</f>
        <v/>
      </c>
      <c r="H261" s="254" t="str">
        <f t="array" ref="H261">IFERROR(INDEX('PORTIFÓLIO'!$H$4:$H$433,MATCH($C261,'PORTIFÓLIO'!$C$4:$C$433,0)),"")</f>
        <v/>
      </c>
      <c r="I261" s="255"/>
      <c r="J261" s="218">
        <f t="shared" si="29"/>
        <v>0</v>
      </c>
      <c r="K261" s="292" t="str">
        <f t="array" ref="K261">IFERROR(I261*INDEX('PORTIFÓLIO'!$S$4:$S$433,MATCH($C261,'PORTIFÓLIO'!$C$4:$C$433,0)),"")</f>
        <v/>
      </c>
      <c r="L261" s="292" t="str">
        <f t="array" ref="L261">IFERROR(J261*INDEX('PORTIFÓLIO'!$S$4:$S$433,MATCH($C261,'PORTIFÓLIO'!$C$4:$C$433,0)),"")</f>
        <v/>
      </c>
      <c r="M261" s="220"/>
      <c r="N261" s="220"/>
      <c r="O261" s="220"/>
      <c r="P261" s="220"/>
      <c r="Q261" s="220"/>
      <c r="R261" s="220"/>
      <c r="S261" s="220"/>
      <c r="T261" s="220"/>
      <c r="U261" s="220"/>
      <c r="V261" s="220"/>
      <c r="W261" s="220"/>
    </row>
    <row r="262" ht="15.75" customHeight="1" outlineLevel="1">
      <c r="A262" s="211"/>
      <c r="B262" s="212"/>
      <c r="C262" s="213"/>
      <c r="D262" s="214" t="str">
        <f>IFERROR(VLOOKUP($C262,'PORTIFÓLIO'!C:V,2,0),"")</f>
        <v/>
      </c>
      <c r="E262" s="211" t="str">
        <f>IFERROR(VLOOKUP($C262,'PORTIFÓLIO'!C:V,3,0),"")</f>
        <v/>
      </c>
      <c r="F262" s="211" t="str">
        <f>IFERROR(VLOOKUP($C262,'PORTIFÓLIO'!C:V,4,0),"")</f>
        <v/>
      </c>
      <c r="G262" s="215" t="str">
        <f>IFERROR(VLOOKUP($C262,'PORTIFÓLIO'!C:V,5,0),"")</f>
        <v/>
      </c>
      <c r="H262" s="254" t="str">
        <f t="array" ref="H262">IFERROR(INDEX('PORTIFÓLIO'!$H$4:$H$433,MATCH($C262,'PORTIFÓLIO'!$C$4:$C$433,0)),"")</f>
        <v/>
      </c>
      <c r="I262" s="256"/>
      <c r="J262" s="218">
        <f t="shared" si="29"/>
        <v>0</v>
      </c>
      <c r="K262" s="292" t="str">
        <f t="array" ref="K262">IFERROR(I262*INDEX('PORTIFÓLIO'!$S$4:$S$433,MATCH($C262,'PORTIFÓLIO'!$C$4:$C$433,0)),"")</f>
        <v/>
      </c>
      <c r="L262" s="292" t="str">
        <f t="array" ref="L262">IFERROR(J262*INDEX('PORTIFÓLIO'!$S$4:$S$433,MATCH($C262,'PORTIFÓLIO'!$C$4:$C$433,0)),"")</f>
        <v/>
      </c>
      <c r="M262" s="220"/>
      <c r="N262" s="220"/>
      <c r="O262" s="220"/>
      <c r="P262" s="220"/>
      <c r="Q262" s="220"/>
      <c r="R262" s="220"/>
      <c r="S262" s="220"/>
      <c r="T262" s="220"/>
      <c r="U262" s="220"/>
      <c r="V262" s="220"/>
      <c r="W262" s="220"/>
    </row>
    <row r="263" ht="15.75" customHeight="1" outlineLevel="1">
      <c r="A263" s="211"/>
      <c r="B263" s="212"/>
      <c r="C263" s="213"/>
      <c r="D263" s="214" t="str">
        <f>IFERROR(VLOOKUP($C263,'PORTIFÓLIO'!C:V,2,0),"")</f>
        <v/>
      </c>
      <c r="E263" s="211" t="str">
        <f>IFERROR(VLOOKUP($C263,'PORTIFÓLIO'!C:V,3,0),"")</f>
        <v/>
      </c>
      <c r="F263" s="211" t="str">
        <f>IFERROR(VLOOKUP($C263,'PORTIFÓLIO'!C:V,4,0),"")</f>
        <v/>
      </c>
      <c r="G263" s="215" t="str">
        <f>IFERROR(VLOOKUP($C263,'PORTIFÓLIO'!C:V,5,0),"")</f>
        <v/>
      </c>
      <c r="H263" s="254" t="str">
        <f t="array" ref="H263">IFERROR(INDEX('PORTIFÓLIO'!$H$4:$H$433,MATCH($C263,'PORTIFÓLIO'!$C$4:$C$433,0)),"")</f>
        <v/>
      </c>
      <c r="I263" s="256"/>
      <c r="J263" s="218">
        <f t="shared" si="29"/>
        <v>0</v>
      </c>
      <c r="K263" s="292" t="str">
        <f t="array" ref="K263">IFERROR(I263*INDEX('PORTIFÓLIO'!$S$4:$S$433,MATCH($C263,'PORTIFÓLIO'!$C$4:$C$433,0)),"")</f>
        <v/>
      </c>
      <c r="L263" s="292" t="str">
        <f t="array" ref="L263">IFERROR(J263*INDEX('PORTIFÓLIO'!$S$4:$S$433,MATCH($C263,'PORTIFÓLIO'!$C$4:$C$433,0)),"")</f>
        <v/>
      </c>
      <c r="M263" s="220"/>
      <c r="N263" s="220"/>
      <c r="O263" s="220"/>
      <c r="P263" s="220"/>
      <c r="Q263" s="220"/>
      <c r="R263" s="220"/>
      <c r="S263" s="220"/>
      <c r="T263" s="220"/>
      <c r="U263" s="220"/>
      <c r="V263" s="220"/>
      <c r="W263" s="220"/>
    </row>
    <row r="264" ht="15.75" customHeight="1" outlineLevel="1">
      <c r="A264" s="211"/>
      <c r="B264" s="212"/>
      <c r="C264" s="213"/>
      <c r="D264" s="214" t="str">
        <f>IFERROR(VLOOKUP($C264,'PORTIFÓLIO'!C:V,2,0),"")</f>
        <v/>
      </c>
      <c r="E264" s="211" t="str">
        <f>IFERROR(VLOOKUP($C264,'PORTIFÓLIO'!C:V,3,0),"")</f>
        <v/>
      </c>
      <c r="F264" s="211" t="str">
        <f>IFERROR(VLOOKUP($C264,'PORTIFÓLIO'!C:V,4,0),"")</f>
        <v/>
      </c>
      <c r="G264" s="215" t="str">
        <f>IFERROR(VLOOKUP($C264,'PORTIFÓLIO'!C:V,5,0),"")</f>
        <v/>
      </c>
      <c r="H264" s="254" t="str">
        <f t="array" ref="H264">IFERROR(INDEX('PORTIFÓLIO'!$H$4:$H$433,MATCH($C264,'PORTIFÓLIO'!$C$4:$C$433,0)),"")</f>
        <v/>
      </c>
      <c r="I264" s="256"/>
      <c r="J264" s="218">
        <f t="shared" si="29"/>
        <v>0</v>
      </c>
      <c r="K264" s="292" t="str">
        <f t="array" ref="K264">IFERROR(I264*INDEX('PORTIFÓLIO'!$S$4:$S$433,MATCH($C264,'PORTIFÓLIO'!$C$4:$C$433,0)),"")</f>
        <v/>
      </c>
      <c r="L264" s="292" t="str">
        <f t="array" ref="L264">IFERROR(J264*INDEX('PORTIFÓLIO'!$S$4:$S$433,MATCH($C264,'PORTIFÓLIO'!$C$4:$C$433,0)),"")</f>
        <v/>
      </c>
      <c r="M264" s="220"/>
      <c r="N264" s="220"/>
      <c r="O264" s="220"/>
      <c r="P264" s="220"/>
      <c r="Q264" s="220"/>
      <c r="R264" s="220"/>
      <c r="S264" s="220"/>
      <c r="T264" s="220"/>
      <c r="U264" s="220"/>
      <c r="V264" s="220"/>
      <c r="W264" s="220"/>
    </row>
    <row r="265" ht="15.75" customHeight="1" outlineLevel="1">
      <c r="A265" s="211"/>
      <c r="B265" s="212"/>
      <c r="C265" s="213"/>
      <c r="D265" s="214" t="str">
        <f>IFERROR(VLOOKUP($C265,'PORTIFÓLIO'!C:V,2,0),"")</f>
        <v/>
      </c>
      <c r="E265" s="211" t="str">
        <f>IFERROR(VLOOKUP($C265,'PORTIFÓLIO'!C:V,3,0),"")</f>
        <v/>
      </c>
      <c r="F265" s="211" t="str">
        <f>IFERROR(VLOOKUP($C265,'PORTIFÓLIO'!C:V,4,0),"")</f>
        <v/>
      </c>
      <c r="G265" s="215" t="str">
        <f>IFERROR(VLOOKUP($C265,'PORTIFÓLIO'!C:V,5,0),"")</f>
        <v/>
      </c>
      <c r="H265" s="254" t="str">
        <f t="array" ref="H265">IFERROR(INDEX('PORTIFÓLIO'!$H$4:$H$433,MATCH($C265,'PORTIFÓLIO'!$C$4:$C$433,0)),"")</f>
        <v/>
      </c>
      <c r="I265" s="256"/>
      <c r="J265" s="218">
        <f t="shared" si="29"/>
        <v>0</v>
      </c>
      <c r="K265" s="292" t="str">
        <f t="array" ref="K265">IFERROR(I265*INDEX('PORTIFÓLIO'!$S$4:$S$433,MATCH($C265,'PORTIFÓLIO'!$C$4:$C$433,0)),"")</f>
        <v/>
      </c>
      <c r="L265" s="292" t="str">
        <f t="array" ref="L265">IFERROR(J265*INDEX('PORTIFÓLIO'!$S$4:$S$433,MATCH($C265,'PORTIFÓLIO'!$C$4:$C$433,0)),"")</f>
        <v/>
      </c>
      <c r="M265" s="220"/>
      <c r="N265" s="220"/>
      <c r="O265" s="220"/>
      <c r="P265" s="220"/>
      <c r="Q265" s="220"/>
      <c r="R265" s="220"/>
      <c r="S265" s="220"/>
      <c r="T265" s="220"/>
      <c r="U265" s="220"/>
      <c r="V265" s="220"/>
      <c r="W265" s="220"/>
    </row>
    <row r="266" ht="15.75" customHeight="1" outlineLevel="1">
      <c r="A266" s="211"/>
      <c r="B266" s="212"/>
      <c r="C266" s="213"/>
      <c r="D266" s="214" t="str">
        <f>IFERROR(VLOOKUP($C266,'PORTIFÓLIO'!C:V,2,0),"")</f>
        <v/>
      </c>
      <c r="E266" s="211" t="str">
        <f>IFERROR(VLOOKUP($C266,'PORTIFÓLIO'!C:V,3,0),"")</f>
        <v/>
      </c>
      <c r="F266" s="211" t="str">
        <f>IFERROR(VLOOKUP($C266,'PORTIFÓLIO'!C:V,4,0),"")</f>
        <v/>
      </c>
      <c r="G266" s="215" t="str">
        <f>IFERROR(VLOOKUP($C266,'PORTIFÓLIO'!C:V,5,0),"")</f>
        <v/>
      </c>
      <c r="H266" s="254" t="str">
        <f t="array" ref="H266">IFERROR(INDEX('PORTIFÓLIO'!$H$4:$H$433,MATCH($C266,'PORTIFÓLIO'!$C$4:$C$433,0)),"")</f>
        <v/>
      </c>
      <c r="I266" s="256"/>
      <c r="J266" s="218">
        <f t="shared" si="29"/>
        <v>0</v>
      </c>
      <c r="K266" s="292" t="str">
        <f t="array" ref="K266">IFERROR(I266*INDEX('PORTIFÓLIO'!$S$4:$S$433,MATCH($C266,'PORTIFÓLIO'!$C$4:$C$433,0)),"")</f>
        <v/>
      </c>
      <c r="L266" s="292" t="str">
        <f t="array" ref="L266">IFERROR(J266*INDEX('PORTIFÓLIO'!$S$4:$S$433,MATCH($C266,'PORTIFÓLIO'!$C$4:$C$433,0)),"")</f>
        <v/>
      </c>
      <c r="M266" s="220"/>
      <c r="N266" s="220"/>
      <c r="O266" s="220"/>
      <c r="P266" s="220"/>
      <c r="Q266" s="220"/>
      <c r="R266" s="220"/>
      <c r="S266" s="220"/>
      <c r="T266" s="220"/>
      <c r="U266" s="220"/>
      <c r="V266" s="220"/>
      <c r="W266" s="220"/>
    </row>
    <row r="267" ht="15.75" customHeight="1" outlineLevel="1">
      <c r="A267" s="211"/>
      <c r="B267" s="212"/>
      <c r="C267" s="213"/>
      <c r="D267" s="214" t="str">
        <f>IFERROR(VLOOKUP($C267,'PORTIFÓLIO'!C:V,2,0),"")</f>
        <v/>
      </c>
      <c r="E267" s="211" t="str">
        <f>IFERROR(VLOOKUP($C267,'PORTIFÓLIO'!C:V,3,0),"")</f>
        <v/>
      </c>
      <c r="F267" s="211" t="str">
        <f>IFERROR(VLOOKUP($C267,'PORTIFÓLIO'!C:V,4,0),"")</f>
        <v/>
      </c>
      <c r="G267" s="215" t="str">
        <f>IFERROR(VLOOKUP($C267,'PORTIFÓLIO'!C:V,5,0),"")</f>
        <v/>
      </c>
      <c r="H267" s="254" t="str">
        <f t="array" ref="H267">IFERROR(INDEX('PORTIFÓLIO'!$H$4:$H$433,MATCH($C267,'PORTIFÓLIO'!$C$4:$C$433,0)),"")</f>
        <v/>
      </c>
      <c r="I267" s="256"/>
      <c r="J267" s="218">
        <f t="shared" si="29"/>
        <v>0</v>
      </c>
      <c r="K267" s="292" t="str">
        <f t="array" ref="K267">IFERROR(I267*INDEX('PORTIFÓLIO'!$S$4:$S$433,MATCH($C267,'PORTIFÓLIO'!$C$4:$C$433,0)),"")</f>
        <v/>
      </c>
      <c r="L267" s="292" t="str">
        <f t="array" ref="L267">IFERROR(J267*INDEX('PORTIFÓLIO'!$S$4:$S$433,MATCH($C267,'PORTIFÓLIO'!$C$4:$C$433,0)),"")</f>
        <v/>
      </c>
      <c r="M267" s="220"/>
      <c r="N267" s="220"/>
      <c r="O267" s="220"/>
      <c r="P267" s="220"/>
      <c r="Q267" s="220"/>
      <c r="R267" s="220"/>
      <c r="S267" s="220"/>
      <c r="T267" s="220"/>
      <c r="U267" s="220"/>
      <c r="V267" s="220"/>
      <c r="W267" s="220"/>
    </row>
    <row r="268" ht="15.75" customHeight="1" outlineLevel="1">
      <c r="A268" s="211"/>
      <c r="B268" s="212"/>
      <c r="C268" s="213"/>
      <c r="D268" s="214" t="str">
        <f>IFERROR(VLOOKUP($C268,'PORTIFÓLIO'!C:V,2,0),"")</f>
        <v/>
      </c>
      <c r="E268" s="211" t="str">
        <f>IFERROR(VLOOKUP($C268,'PORTIFÓLIO'!C:V,3,0),"")</f>
        <v/>
      </c>
      <c r="F268" s="211" t="str">
        <f>IFERROR(VLOOKUP($C268,'PORTIFÓLIO'!C:V,4,0),"")</f>
        <v/>
      </c>
      <c r="G268" s="215" t="str">
        <f>IFERROR(VLOOKUP($C268,'PORTIFÓLIO'!C:V,5,0),"")</f>
        <v/>
      </c>
      <c r="H268" s="254" t="str">
        <f t="array" ref="H268">IFERROR(INDEX('PORTIFÓLIO'!$H$4:$H$433,MATCH($C268,'PORTIFÓLIO'!$C$4:$C$433,0)),"")</f>
        <v/>
      </c>
      <c r="I268" s="256"/>
      <c r="J268" s="218">
        <f t="shared" si="29"/>
        <v>0</v>
      </c>
      <c r="K268" s="292" t="str">
        <f t="array" ref="K268">IFERROR(I268*INDEX('PORTIFÓLIO'!$S$4:$S$433,MATCH($C268,'PORTIFÓLIO'!$C$4:$C$433,0)),"")</f>
        <v/>
      </c>
      <c r="L268" s="292" t="str">
        <f t="array" ref="L268">IFERROR(J268*INDEX('PORTIFÓLIO'!$S$4:$S$433,MATCH($C268,'PORTIFÓLIO'!$C$4:$C$433,0)),"")</f>
        <v/>
      </c>
      <c r="M268" s="220"/>
      <c r="N268" s="220"/>
      <c r="O268" s="220"/>
      <c r="P268" s="220"/>
      <c r="Q268" s="220"/>
      <c r="R268" s="220"/>
      <c r="S268" s="220"/>
      <c r="T268" s="220"/>
      <c r="U268" s="220"/>
      <c r="V268" s="220"/>
      <c r="W268" s="220"/>
    </row>
    <row r="269" ht="15.75" customHeight="1" outlineLevel="1">
      <c r="A269" s="211"/>
      <c r="B269" s="212"/>
      <c r="C269" s="213"/>
      <c r="D269" s="214" t="str">
        <f>IFERROR(VLOOKUP($C269,'PORTIFÓLIO'!C:V,2,0),"")</f>
        <v/>
      </c>
      <c r="E269" s="211" t="str">
        <f>IFERROR(VLOOKUP($C269,'PORTIFÓLIO'!C:V,3,0),"")</f>
        <v/>
      </c>
      <c r="F269" s="211" t="str">
        <f>IFERROR(VLOOKUP($C269,'PORTIFÓLIO'!C:V,4,0),"")</f>
        <v/>
      </c>
      <c r="G269" s="215" t="str">
        <f>IFERROR(VLOOKUP($C269,'PORTIFÓLIO'!C:V,5,0),"")</f>
        <v/>
      </c>
      <c r="H269" s="254" t="str">
        <f t="array" ref="H269">IFERROR(INDEX('PORTIFÓLIO'!$H$4:$H$433,MATCH($C269,'PORTIFÓLIO'!$C$4:$C$433,0)),"")</f>
        <v/>
      </c>
      <c r="I269" s="256"/>
      <c r="J269" s="218">
        <f t="shared" si="29"/>
        <v>0</v>
      </c>
      <c r="K269" s="292" t="str">
        <f t="array" ref="K269">IFERROR(I269*INDEX('PORTIFÓLIO'!$S$4:$S$433,MATCH($C269,'PORTIFÓLIO'!$C$4:$C$433,0)),"")</f>
        <v/>
      </c>
      <c r="L269" s="292" t="str">
        <f t="array" ref="L269">IFERROR(J269*INDEX('PORTIFÓLIO'!$S$4:$S$433,MATCH($C269,'PORTIFÓLIO'!$C$4:$C$433,0)),"")</f>
        <v/>
      </c>
      <c r="M269" s="220"/>
      <c r="N269" s="220"/>
      <c r="O269" s="220"/>
      <c r="P269" s="220"/>
      <c r="Q269" s="220"/>
      <c r="R269" s="220"/>
      <c r="S269" s="220"/>
      <c r="T269" s="220"/>
      <c r="U269" s="220"/>
      <c r="V269" s="220"/>
      <c r="W269" s="220"/>
    </row>
    <row r="270" ht="15.75" customHeight="1" outlineLevel="1">
      <c r="A270" s="211"/>
      <c r="B270" s="212"/>
      <c r="C270" s="213"/>
      <c r="D270" s="214" t="str">
        <f>IFERROR(VLOOKUP($C270,'PORTIFÓLIO'!C:V,2,0),"")</f>
        <v/>
      </c>
      <c r="E270" s="211" t="str">
        <f>IFERROR(VLOOKUP($C270,'PORTIFÓLIO'!C:V,3,0),"")</f>
        <v/>
      </c>
      <c r="F270" s="211" t="str">
        <f>IFERROR(VLOOKUP($C270,'PORTIFÓLIO'!C:V,4,0),"")</f>
        <v/>
      </c>
      <c r="G270" s="215" t="str">
        <f>IFERROR(VLOOKUP($C270,'PORTIFÓLIO'!C:V,5,0),"")</f>
        <v/>
      </c>
      <c r="H270" s="254" t="str">
        <f t="array" ref="H270">IFERROR(INDEX('PORTIFÓLIO'!$H$4:$H$433,MATCH($C270,'PORTIFÓLIO'!$C$4:$C$433,0)),"")</f>
        <v/>
      </c>
      <c r="I270" s="256"/>
      <c r="J270" s="218">
        <f t="shared" si="29"/>
        <v>0</v>
      </c>
      <c r="K270" s="292" t="str">
        <f t="array" ref="K270">IFERROR(I270*INDEX('PORTIFÓLIO'!$S$4:$S$433,MATCH($C270,'PORTIFÓLIO'!$C$4:$C$433,0)),"")</f>
        <v/>
      </c>
      <c r="L270" s="292" t="str">
        <f t="array" ref="L270">IFERROR(J270*INDEX('PORTIFÓLIO'!$S$4:$S$433,MATCH($C270,'PORTIFÓLIO'!$C$4:$C$433,0)),"")</f>
        <v/>
      </c>
      <c r="M270" s="220"/>
      <c r="N270" s="220"/>
      <c r="O270" s="220"/>
      <c r="P270" s="220"/>
      <c r="Q270" s="220"/>
      <c r="R270" s="220"/>
      <c r="S270" s="220"/>
      <c r="T270" s="220"/>
      <c r="U270" s="220"/>
      <c r="V270" s="220"/>
      <c r="W270" s="220"/>
    </row>
    <row r="271" ht="15.75" customHeight="1">
      <c r="A271" s="229" t="s">
        <v>1185</v>
      </c>
      <c r="B271" s="230"/>
      <c r="C271" s="231"/>
      <c r="D271" s="232"/>
      <c r="E271" s="231"/>
      <c r="F271" s="231"/>
      <c r="G271" s="233"/>
      <c r="H271" s="233"/>
      <c r="I271" s="258"/>
      <c r="J271" s="236"/>
      <c r="K271" s="237">
        <f t="shared" ref="K271:L271" si="30">SUBTOTAL(9,K272:K285)</f>
        <v>0</v>
      </c>
      <c r="L271" s="237">
        <f t="shared" si="30"/>
        <v>0</v>
      </c>
      <c r="M271" s="220"/>
      <c r="N271" s="220"/>
      <c r="O271" s="220"/>
      <c r="P271" s="220"/>
      <c r="Q271" s="220"/>
      <c r="R271" s="220"/>
      <c r="S271" s="220"/>
      <c r="T271" s="220"/>
      <c r="U271" s="220"/>
      <c r="V271" s="220"/>
      <c r="W271" s="220"/>
    </row>
    <row r="272" ht="15.75" customHeight="1" outlineLevel="1">
      <c r="A272" s="213"/>
      <c r="B272" s="212"/>
      <c r="C272" s="213"/>
      <c r="D272" s="214" t="str">
        <f>IFERROR(VLOOKUP($C272,'PORTIFÓLIO'!C:V,2,0),"")</f>
        <v/>
      </c>
      <c r="E272" s="211" t="str">
        <f>IFERROR(VLOOKUP($C272,'PORTIFÓLIO'!C:V,3,0),"")</f>
        <v/>
      </c>
      <c r="F272" s="211" t="str">
        <f>IFERROR(VLOOKUP($C272,'PORTIFÓLIO'!C:V,4,0),"")</f>
        <v/>
      </c>
      <c r="G272" s="215" t="str">
        <f>IFERROR(VLOOKUP($C272,'PORTIFÓLIO'!C:V,5,0),"")</f>
        <v/>
      </c>
      <c r="H272" s="254" t="str">
        <f t="array" ref="H272">IFERROR(INDEX('PORTIFÓLIO'!$H$4:$H$433,MATCH($C272,'PORTIFÓLIO'!$C$4:$C$433,0)),"")</f>
        <v/>
      </c>
      <c r="I272" s="255"/>
      <c r="J272" s="218">
        <f t="shared" ref="J272:J289" si="31">I272*$B$2</f>
        <v>0</v>
      </c>
      <c r="K272" s="292" t="str">
        <f t="array" ref="K272">IFERROR(I272*INDEX('PORTIFÓLIO'!$S$4:$S$433,MATCH($C272,'PORTIFÓLIO'!$C$4:$C$433,0)),"")</f>
        <v/>
      </c>
      <c r="L272" s="292" t="str">
        <f t="array" ref="L272">IFERROR(J272*INDEX('PORTIFÓLIO'!$S$4:$S$433,MATCH($C272,'PORTIFÓLIO'!$C$4:$C$433,0)),"")</f>
        <v/>
      </c>
      <c r="M272" s="220"/>
      <c r="N272" s="220"/>
      <c r="O272" s="220"/>
      <c r="P272" s="220"/>
      <c r="Q272" s="220"/>
      <c r="R272" s="220"/>
      <c r="S272" s="220"/>
      <c r="T272" s="220"/>
      <c r="U272" s="220"/>
      <c r="V272" s="220"/>
      <c r="W272" s="220"/>
    </row>
    <row r="273" ht="15.75" customHeight="1" outlineLevel="1">
      <c r="A273" s="211"/>
      <c r="B273" s="212"/>
      <c r="C273" s="213"/>
      <c r="D273" s="214" t="str">
        <f>IFERROR(VLOOKUP($C273,'PORTIFÓLIO'!C:V,2,0),"")</f>
        <v/>
      </c>
      <c r="E273" s="211" t="str">
        <f>IFERROR(VLOOKUP($C273,'PORTIFÓLIO'!C:V,3,0),"")</f>
        <v/>
      </c>
      <c r="F273" s="211" t="str">
        <f>IFERROR(VLOOKUP($C273,'PORTIFÓLIO'!C:V,4,0),"")</f>
        <v/>
      </c>
      <c r="G273" s="215" t="str">
        <f>IFERROR(VLOOKUP($C273,'PORTIFÓLIO'!C:V,5,0),"")</f>
        <v/>
      </c>
      <c r="H273" s="254" t="str">
        <f t="array" ref="H273">IFERROR(INDEX('PORTIFÓLIO'!$H$4:$H$433,MATCH($C273,'PORTIFÓLIO'!$C$4:$C$433,0)),"")</f>
        <v/>
      </c>
      <c r="I273" s="256"/>
      <c r="J273" s="218">
        <f t="shared" si="31"/>
        <v>0</v>
      </c>
      <c r="K273" s="292" t="str">
        <f t="array" ref="K273">IFERROR(I273*INDEX('PORTIFÓLIO'!$S$4:$S$433,MATCH($C273,'PORTIFÓLIO'!$C$4:$C$433,0)),"")</f>
        <v/>
      </c>
      <c r="L273" s="292" t="str">
        <f t="array" ref="L273">IFERROR(J273*INDEX('PORTIFÓLIO'!$S$4:$S$433,MATCH($C273,'PORTIFÓLIO'!$C$4:$C$433,0)),"")</f>
        <v/>
      </c>
      <c r="M273" s="220"/>
      <c r="N273" s="220"/>
      <c r="O273" s="220"/>
      <c r="P273" s="220"/>
      <c r="Q273" s="220"/>
      <c r="R273" s="220"/>
      <c r="S273" s="220"/>
      <c r="T273" s="220"/>
      <c r="U273" s="220"/>
      <c r="V273" s="220"/>
      <c r="W273" s="220"/>
    </row>
    <row r="274" ht="15.75" customHeight="1" outlineLevel="1">
      <c r="A274" s="211"/>
      <c r="B274" s="212"/>
      <c r="C274" s="213"/>
      <c r="D274" s="214" t="str">
        <f>IFERROR(VLOOKUP($C274,'PORTIFÓLIO'!C:V,2,0),"")</f>
        <v/>
      </c>
      <c r="E274" s="211" t="str">
        <f>IFERROR(VLOOKUP($C274,'PORTIFÓLIO'!C:V,3,0),"")</f>
        <v/>
      </c>
      <c r="F274" s="211" t="str">
        <f>IFERROR(VLOOKUP($C274,'PORTIFÓLIO'!C:V,4,0),"")</f>
        <v/>
      </c>
      <c r="G274" s="215" t="str">
        <f>IFERROR(VLOOKUP($C274,'PORTIFÓLIO'!C:V,5,0),"")</f>
        <v/>
      </c>
      <c r="H274" s="254" t="str">
        <f t="array" ref="H274">IFERROR(INDEX('PORTIFÓLIO'!$H$4:$H$433,MATCH($C274,'PORTIFÓLIO'!$C$4:$C$433,0)),"")</f>
        <v/>
      </c>
      <c r="I274" s="256"/>
      <c r="J274" s="218">
        <f t="shared" si="31"/>
        <v>0</v>
      </c>
      <c r="K274" s="292" t="str">
        <f t="array" ref="K274">IFERROR(I274*INDEX('PORTIFÓLIO'!$S$4:$S$433,MATCH($C274,'PORTIFÓLIO'!$C$4:$C$433,0)),"")</f>
        <v/>
      </c>
      <c r="L274" s="292" t="str">
        <f t="array" ref="L274">IFERROR(J274*INDEX('PORTIFÓLIO'!$S$4:$S$433,MATCH($C274,'PORTIFÓLIO'!$C$4:$C$433,0)),"")</f>
        <v/>
      </c>
      <c r="M274" s="220"/>
      <c r="N274" s="220"/>
      <c r="O274" s="220"/>
      <c r="P274" s="220"/>
      <c r="Q274" s="220"/>
      <c r="R274" s="220"/>
      <c r="S274" s="220"/>
      <c r="T274" s="220"/>
      <c r="U274" s="220"/>
      <c r="V274" s="220"/>
      <c r="W274" s="220"/>
    </row>
    <row r="275" ht="15.75" customHeight="1" outlineLevel="1">
      <c r="A275" s="211"/>
      <c r="B275" s="212"/>
      <c r="C275" s="213"/>
      <c r="D275" s="214" t="str">
        <f>IFERROR(VLOOKUP($C275,'PORTIFÓLIO'!C:V,2,0),"")</f>
        <v/>
      </c>
      <c r="E275" s="211" t="str">
        <f>IFERROR(VLOOKUP($C275,'PORTIFÓLIO'!C:V,3,0),"")</f>
        <v/>
      </c>
      <c r="F275" s="211" t="str">
        <f>IFERROR(VLOOKUP($C275,'PORTIFÓLIO'!C:V,4,0),"")</f>
        <v/>
      </c>
      <c r="G275" s="215" t="str">
        <f>IFERROR(VLOOKUP($C275,'PORTIFÓLIO'!C:V,5,0),"")</f>
        <v/>
      </c>
      <c r="H275" s="254" t="str">
        <f t="array" ref="H275">IFERROR(INDEX('PORTIFÓLIO'!$H$4:$H$433,MATCH($C275,'PORTIFÓLIO'!$C$4:$C$433,0)),"")</f>
        <v/>
      </c>
      <c r="I275" s="256"/>
      <c r="J275" s="218">
        <f t="shared" si="31"/>
        <v>0</v>
      </c>
      <c r="K275" s="292" t="str">
        <f t="array" ref="K275">IFERROR(I275*INDEX('PORTIFÓLIO'!$S$4:$S$433,MATCH($C275,'PORTIFÓLIO'!$C$4:$C$433,0)),"")</f>
        <v/>
      </c>
      <c r="L275" s="292" t="str">
        <f t="array" ref="L275">IFERROR(J275*INDEX('PORTIFÓLIO'!$S$4:$S$433,MATCH($C275,'PORTIFÓLIO'!$C$4:$C$433,0)),"")</f>
        <v/>
      </c>
      <c r="M275" s="220"/>
      <c r="N275" s="220"/>
      <c r="O275" s="220"/>
      <c r="P275" s="220"/>
      <c r="Q275" s="220"/>
      <c r="R275" s="220"/>
      <c r="S275" s="220"/>
      <c r="T275" s="220"/>
      <c r="U275" s="220"/>
      <c r="V275" s="220"/>
      <c r="W275" s="220"/>
    </row>
    <row r="276" ht="15.75" customHeight="1" outlineLevel="1">
      <c r="A276" s="211"/>
      <c r="B276" s="212"/>
      <c r="C276" s="213"/>
      <c r="D276" s="214" t="str">
        <f>IFERROR(VLOOKUP($C276,'PORTIFÓLIO'!C:V,2,0),"")</f>
        <v/>
      </c>
      <c r="E276" s="211" t="str">
        <f>IFERROR(VLOOKUP($C276,'PORTIFÓLIO'!C:V,3,0),"")</f>
        <v/>
      </c>
      <c r="F276" s="211" t="str">
        <f>IFERROR(VLOOKUP($C276,'PORTIFÓLIO'!C:V,4,0),"")</f>
        <v/>
      </c>
      <c r="G276" s="215" t="str">
        <f>IFERROR(VLOOKUP($C276,'PORTIFÓLIO'!C:V,5,0),"")</f>
        <v/>
      </c>
      <c r="H276" s="254" t="str">
        <f t="array" ref="H276">IFERROR(INDEX('PORTIFÓLIO'!$H$4:$H$433,MATCH($C276,'PORTIFÓLIO'!$C$4:$C$433,0)),"")</f>
        <v/>
      </c>
      <c r="I276" s="256"/>
      <c r="J276" s="218">
        <f t="shared" si="31"/>
        <v>0</v>
      </c>
      <c r="K276" s="292" t="str">
        <f t="array" ref="K276">IFERROR(I276*INDEX('PORTIFÓLIO'!$S$4:$S$433,MATCH($C276,'PORTIFÓLIO'!$C$4:$C$433,0)),"")</f>
        <v/>
      </c>
      <c r="L276" s="292" t="str">
        <f t="array" ref="L276">IFERROR(J276*INDEX('PORTIFÓLIO'!$S$4:$S$433,MATCH($C276,'PORTIFÓLIO'!$C$4:$C$433,0)),"")</f>
        <v/>
      </c>
      <c r="M276" s="220"/>
      <c r="N276" s="220"/>
      <c r="O276" s="220"/>
      <c r="P276" s="220"/>
      <c r="Q276" s="220"/>
      <c r="R276" s="220"/>
      <c r="S276" s="220"/>
      <c r="T276" s="220"/>
      <c r="U276" s="220"/>
      <c r="V276" s="220"/>
      <c r="W276" s="220"/>
    </row>
    <row r="277" ht="15.75" customHeight="1" outlineLevel="1">
      <c r="A277" s="211"/>
      <c r="B277" s="212"/>
      <c r="C277" s="213"/>
      <c r="D277" s="214" t="str">
        <f>IFERROR(VLOOKUP($C277,'PORTIFÓLIO'!C:V,2,0),"")</f>
        <v/>
      </c>
      <c r="E277" s="211" t="str">
        <f>IFERROR(VLOOKUP($C277,'PORTIFÓLIO'!C:V,3,0),"")</f>
        <v/>
      </c>
      <c r="F277" s="211" t="str">
        <f>IFERROR(VLOOKUP($C277,'PORTIFÓLIO'!C:V,4,0),"")</f>
        <v/>
      </c>
      <c r="G277" s="215" t="str">
        <f>IFERROR(VLOOKUP($C277,'PORTIFÓLIO'!C:V,5,0),"")</f>
        <v/>
      </c>
      <c r="H277" s="254" t="str">
        <f t="array" ref="H277">IFERROR(INDEX('PORTIFÓLIO'!$H$4:$H$433,MATCH($C277,'PORTIFÓLIO'!$C$4:$C$433,0)),"")</f>
        <v/>
      </c>
      <c r="I277" s="256"/>
      <c r="J277" s="218">
        <f t="shared" si="31"/>
        <v>0</v>
      </c>
      <c r="K277" s="292" t="str">
        <f t="array" ref="K277">IFERROR(I277*INDEX('PORTIFÓLIO'!$S$4:$S$433,MATCH($C277,'PORTIFÓLIO'!$C$4:$C$433,0)),"")</f>
        <v/>
      </c>
      <c r="L277" s="292" t="str">
        <f t="array" ref="L277">IFERROR(J277*INDEX('PORTIFÓLIO'!$S$4:$S$433,MATCH($C277,'PORTIFÓLIO'!$C$4:$C$433,0)),"")</f>
        <v/>
      </c>
      <c r="M277" s="220"/>
      <c r="N277" s="220"/>
      <c r="O277" s="220"/>
      <c r="P277" s="220"/>
      <c r="Q277" s="220"/>
      <c r="R277" s="220"/>
      <c r="S277" s="220"/>
      <c r="T277" s="220"/>
      <c r="U277" s="220"/>
      <c r="V277" s="220"/>
      <c r="W277" s="220"/>
    </row>
    <row r="278" ht="15.75" customHeight="1" outlineLevel="1">
      <c r="A278" s="211"/>
      <c r="B278" s="212"/>
      <c r="C278" s="213"/>
      <c r="D278" s="214" t="str">
        <f>IFERROR(VLOOKUP($C278,'PORTIFÓLIO'!C:V,2,0),"")</f>
        <v/>
      </c>
      <c r="E278" s="211" t="str">
        <f>IFERROR(VLOOKUP($C278,'PORTIFÓLIO'!C:V,3,0),"")</f>
        <v/>
      </c>
      <c r="F278" s="211" t="str">
        <f>IFERROR(VLOOKUP($C278,'PORTIFÓLIO'!C:V,4,0),"")</f>
        <v/>
      </c>
      <c r="G278" s="215" t="str">
        <f>IFERROR(VLOOKUP($C278,'PORTIFÓLIO'!C:V,5,0),"")</f>
        <v/>
      </c>
      <c r="H278" s="254" t="str">
        <f t="array" ref="H278">IFERROR(INDEX('PORTIFÓLIO'!$H$4:$H$433,MATCH($C278,'PORTIFÓLIO'!$C$4:$C$433,0)),"")</f>
        <v/>
      </c>
      <c r="I278" s="256"/>
      <c r="J278" s="218">
        <f t="shared" si="31"/>
        <v>0</v>
      </c>
      <c r="K278" s="292" t="str">
        <f t="array" ref="K278">IFERROR(I278*INDEX('PORTIFÓLIO'!$S$4:$S$433,MATCH($C278,'PORTIFÓLIO'!$C$4:$C$433,0)),"")</f>
        <v/>
      </c>
      <c r="L278" s="292" t="str">
        <f t="array" ref="L278">IFERROR(J278*INDEX('PORTIFÓLIO'!$S$4:$S$433,MATCH($C278,'PORTIFÓLIO'!$C$4:$C$433,0)),"")</f>
        <v/>
      </c>
      <c r="M278" s="220"/>
      <c r="N278" s="220"/>
      <c r="O278" s="220"/>
      <c r="P278" s="220"/>
      <c r="Q278" s="220"/>
      <c r="R278" s="220"/>
      <c r="S278" s="220"/>
      <c r="T278" s="220"/>
      <c r="U278" s="220"/>
      <c r="V278" s="220"/>
      <c r="W278" s="220"/>
    </row>
    <row r="279" ht="15.75" customHeight="1" outlineLevel="1">
      <c r="A279" s="211"/>
      <c r="B279" s="212"/>
      <c r="C279" s="213"/>
      <c r="D279" s="214" t="str">
        <f>IFERROR(VLOOKUP($C279,'PORTIFÓLIO'!C:V,2,0),"")</f>
        <v/>
      </c>
      <c r="E279" s="211" t="str">
        <f>IFERROR(VLOOKUP($C279,'PORTIFÓLIO'!C:V,3,0),"")</f>
        <v/>
      </c>
      <c r="F279" s="211" t="str">
        <f>IFERROR(VLOOKUP($C279,'PORTIFÓLIO'!C:V,4,0),"")</f>
        <v/>
      </c>
      <c r="G279" s="215" t="str">
        <f>IFERROR(VLOOKUP($C279,'PORTIFÓLIO'!C:V,5,0),"")</f>
        <v/>
      </c>
      <c r="H279" s="254" t="str">
        <f t="array" ref="H279">IFERROR(INDEX('PORTIFÓLIO'!$H$4:$H$433,MATCH($C279,'PORTIFÓLIO'!$C$4:$C$433,0)),"")</f>
        <v/>
      </c>
      <c r="I279" s="256"/>
      <c r="J279" s="218">
        <f t="shared" si="31"/>
        <v>0</v>
      </c>
      <c r="K279" s="292" t="str">
        <f t="array" ref="K279">IFERROR(I279*INDEX('PORTIFÓLIO'!$S$4:$S$433,MATCH($C279,'PORTIFÓLIO'!$C$4:$C$433,0)),"")</f>
        <v/>
      </c>
      <c r="L279" s="292" t="str">
        <f t="array" ref="L279">IFERROR(J279*INDEX('PORTIFÓLIO'!$S$4:$S$433,MATCH($C279,'PORTIFÓLIO'!$C$4:$C$433,0)),"")</f>
        <v/>
      </c>
      <c r="M279" s="220"/>
      <c r="N279" s="220"/>
      <c r="O279" s="220"/>
      <c r="P279" s="220"/>
      <c r="Q279" s="220"/>
      <c r="R279" s="220"/>
      <c r="S279" s="220"/>
      <c r="T279" s="220"/>
      <c r="U279" s="220"/>
      <c r="V279" s="220"/>
      <c r="W279" s="220"/>
    </row>
    <row r="280" ht="15.75" customHeight="1" outlineLevel="1">
      <c r="A280" s="211"/>
      <c r="B280" s="212"/>
      <c r="C280" s="213"/>
      <c r="D280" s="214" t="str">
        <f>IFERROR(VLOOKUP($C280,'PORTIFÓLIO'!C:V,2,0),"")</f>
        <v/>
      </c>
      <c r="E280" s="211" t="str">
        <f>IFERROR(VLOOKUP($C280,'PORTIFÓLIO'!C:V,3,0),"")</f>
        <v/>
      </c>
      <c r="F280" s="211" t="str">
        <f>IFERROR(VLOOKUP($C280,'PORTIFÓLIO'!C:V,4,0),"")</f>
        <v/>
      </c>
      <c r="G280" s="215" t="str">
        <f>IFERROR(VLOOKUP($C280,'PORTIFÓLIO'!C:V,5,0),"")</f>
        <v/>
      </c>
      <c r="H280" s="254" t="str">
        <f t="array" ref="H280">IFERROR(INDEX('PORTIFÓLIO'!$H$4:$H$433,MATCH($C280,'PORTIFÓLIO'!$C$4:$C$433,0)),"")</f>
        <v/>
      </c>
      <c r="I280" s="255"/>
      <c r="J280" s="218">
        <f t="shared" si="31"/>
        <v>0</v>
      </c>
      <c r="K280" s="292" t="str">
        <f t="array" ref="K280">IFERROR(I280*INDEX('PORTIFÓLIO'!$S$4:$S$433,MATCH($C280,'PORTIFÓLIO'!$C$4:$C$433,0)),"")</f>
        <v/>
      </c>
      <c r="L280" s="292" t="str">
        <f t="array" ref="L280">IFERROR(J280*INDEX('PORTIFÓLIO'!$S$4:$S$433,MATCH($C280,'PORTIFÓLIO'!$C$4:$C$433,0)),"")</f>
        <v/>
      </c>
      <c r="M280" s="220"/>
      <c r="N280" s="220"/>
      <c r="O280" s="220"/>
      <c r="P280" s="220"/>
      <c r="Q280" s="220"/>
      <c r="R280" s="220"/>
      <c r="S280" s="220"/>
      <c r="T280" s="220"/>
      <c r="U280" s="220"/>
      <c r="V280" s="220"/>
      <c r="W280" s="220"/>
    </row>
    <row r="281" ht="15.75" customHeight="1" outlineLevel="1">
      <c r="A281" s="211"/>
      <c r="B281" s="212"/>
      <c r="C281" s="213"/>
      <c r="D281" s="214" t="str">
        <f>IFERROR(VLOOKUP($C281,'PORTIFÓLIO'!C:V,2,0),"")</f>
        <v/>
      </c>
      <c r="E281" s="211" t="str">
        <f>IFERROR(VLOOKUP($C281,'PORTIFÓLIO'!C:V,3,0),"")</f>
        <v/>
      </c>
      <c r="F281" s="211" t="str">
        <f>IFERROR(VLOOKUP($C281,'PORTIFÓLIO'!C:V,4,0),"")</f>
        <v/>
      </c>
      <c r="G281" s="215" t="str">
        <f>IFERROR(VLOOKUP($C281,'PORTIFÓLIO'!C:V,5,0),"")</f>
        <v/>
      </c>
      <c r="H281" s="254" t="str">
        <f t="array" ref="H281">IFERROR(INDEX('PORTIFÓLIO'!$H$4:$H$433,MATCH($C281,'PORTIFÓLIO'!$C$4:$C$433,0)),"")</f>
        <v/>
      </c>
      <c r="I281" s="256"/>
      <c r="J281" s="218">
        <f t="shared" si="31"/>
        <v>0</v>
      </c>
      <c r="K281" s="292" t="str">
        <f t="array" ref="K281">IFERROR(I281*INDEX('PORTIFÓLIO'!$S$4:$S$433,MATCH($C281,'PORTIFÓLIO'!$C$4:$C$433,0)),"")</f>
        <v/>
      </c>
      <c r="L281" s="292" t="str">
        <f t="array" ref="L281">IFERROR(J281*INDEX('PORTIFÓLIO'!$S$4:$S$433,MATCH($C281,'PORTIFÓLIO'!$C$4:$C$433,0)),"")</f>
        <v/>
      </c>
      <c r="M281" s="220"/>
      <c r="N281" s="220"/>
      <c r="O281" s="220"/>
      <c r="P281" s="220"/>
      <c r="Q281" s="220"/>
      <c r="R281" s="220"/>
      <c r="S281" s="220"/>
      <c r="T281" s="220"/>
      <c r="U281" s="220"/>
      <c r="V281" s="220"/>
      <c r="W281" s="220"/>
    </row>
    <row r="282" ht="15.75" customHeight="1" outlineLevel="1">
      <c r="A282" s="211"/>
      <c r="B282" s="212"/>
      <c r="C282" s="213"/>
      <c r="D282" s="214" t="str">
        <f>IFERROR(VLOOKUP($C282,'PORTIFÓLIO'!C:V,2,0),"")</f>
        <v/>
      </c>
      <c r="E282" s="211" t="str">
        <f>IFERROR(VLOOKUP($C282,'PORTIFÓLIO'!C:V,3,0),"")</f>
        <v/>
      </c>
      <c r="F282" s="211" t="str">
        <f>IFERROR(VLOOKUP($C282,'PORTIFÓLIO'!C:V,4,0),"")</f>
        <v/>
      </c>
      <c r="G282" s="215" t="str">
        <f>IFERROR(VLOOKUP($C282,'PORTIFÓLIO'!C:V,5,0),"")</f>
        <v/>
      </c>
      <c r="H282" s="254" t="str">
        <f t="array" ref="H282">IFERROR(INDEX('PORTIFÓLIO'!$H$4:$H$433,MATCH($C282,'PORTIFÓLIO'!$C$4:$C$433,0)),"")</f>
        <v/>
      </c>
      <c r="I282" s="256"/>
      <c r="J282" s="218">
        <f t="shared" si="31"/>
        <v>0</v>
      </c>
      <c r="K282" s="292" t="str">
        <f t="array" ref="K282">IFERROR(I282*INDEX('PORTIFÓLIO'!$S$4:$S$433,MATCH($C282,'PORTIFÓLIO'!$C$4:$C$433,0)),"")</f>
        <v/>
      </c>
      <c r="L282" s="292" t="str">
        <f t="array" ref="L282">IFERROR(J282*INDEX('PORTIFÓLIO'!$S$4:$S$433,MATCH($C282,'PORTIFÓLIO'!$C$4:$C$433,0)),"")</f>
        <v/>
      </c>
      <c r="M282" s="220"/>
      <c r="N282" s="220"/>
      <c r="O282" s="220"/>
      <c r="P282" s="220"/>
      <c r="Q282" s="220"/>
      <c r="R282" s="220"/>
      <c r="S282" s="220"/>
      <c r="T282" s="220"/>
      <c r="U282" s="220"/>
      <c r="V282" s="220"/>
      <c r="W282" s="220"/>
    </row>
    <row r="283" ht="15.75" customHeight="1" outlineLevel="1">
      <c r="A283" s="211"/>
      <c r="B283" s="212"/>
      <c r="C283" s="213"/>
      <c r="D283" s="214" t="str">
        <f>IFERROR(VLOOKUP($C283,'PORTIFÓLIO'!C:V,2,0),"")</f>
        <v/>
      </c>
      <c r="E283" s="211" t="str">
        <f>IFERROR(VLOOKUP($C283,'PORTIFÓLIO'!C:V,3,0),"")</f>
        <v/>
      </c>
      <c r="F283" s="211" t="str">
        <f>IFERROR(VLOOKUP($C283,'PORTIFÓLIO'!C:V,4,0),"")</f>
        <v/>
      </c>
      <c r="G283" s="215" t="str">
        <f>IFERROR(VLOOKUP($C283,'PORTIFÓLIO'!C:V,5,0),"")</f>
        <v/>
      </c>
      <c r="H283" s="254" t="str">
        <f t="array" ref="H283">IFERROR(INDEX('PORTIFÓLIO'!$H$4:$H$433,MATCH($C283,'PORTIFÓLIO'!$C$4:$C$433,0)),"")</f>
        <v/>
      </c>
      <c r="I283" s="256"/>
      <c r="J283" s="218">
        <f t="shared" si="31"/>
        <v>0</v>
      </c>
      <c r="K283" s="292" t="str">
        <f t="array" ref="K283">IFERROR(I283*INDEX('PORTIFÓLIO'!$S$4:$S$433,MATCH($C283,'PORTIFÓLIO'!$C$4:$C$433,0)),"")</f>
        <v/>
      </c>
      <c r="L283" s="292" t="str">
        <f t="array" ref="L283">IFERROR(J283*INDEX('PORTIFÓLIO'!$S$4:$S$433,MATCH($C283,'PORTIFÓLIO'!$C$4:$C$433,0)),"")</f>
        <v/>
      </c>
      <c r="M283" s="220"/>
      <c r="N283" s="220"/>
      <c r="O283" s="220"/>
      <c r="P283" s="220"/>
      <c r="Q283" s="220"/>
      <c r="R283" s="220"/>
      <c r="S283" s="220"/>
      <c r="T283" s="220"/>
      <c r="U283" s="220"/>
      <c r="V283" s="220"/>
      <c r="W283" s="220"/>
    </row>
    <row r="284" ht="15.75" customHeight="1" outlineLevel="1">
      <c r="A284" s="211"/>
      <c r="B284" s="212"/>
      <c r="C284" s="213"/>
      <c r="D284" s="214" t="str">
        <f>IFERROR(VLOOKUP($C284,'PORTIFÓLIO'!C:V,2,0),"")</f>
        <v/>
      </c>
      <c r="E284" s="211" t="str">
        <f>IFERROR(VLOOKUP($C284,'PORTIFÓLIO'!C:V,3,0),"")</f>
        <v/>
      </c>
      <c r="F284" s="211" t="str">
        <f>IFERROR(VLOOKUP($C284,'PORTIFÓLIO'!C:V,4,0),"")</f>
        <v/>
      </c>
      <c r="G284" s="215" t="str">
        <f>IFERROR(VLOOKUP($C284,'PORTIFÓLIO'!C:V,5,0),"")</f>
        <v/>
      </c>
      <c r="H284" s="254" t="str">
        <f t="array" ref="H284">IFERROR(INDEX('PORTIFÓLIO'!$H$4:$H$433,MATCH($C284,'PORTIFÓLIO'!$C$4:$C$433,0)),"")</f>
        <v/>
      </c>
      <c r="I284" s="256"/>
      <c r="J284" s="218">
        <f t="shared" si="31"/>
        <v>0</v>
      </c>
      <c r="K284" s="292" t="str">
        <f t="array" ref="K284">IFERROR(I284*INDEX('PORTIFÓLIO'!$S$4:$S$433,MATCH($C284,'PORTIFÓLIO'!$C$4:$C$433,0)),"")</f>
        <v/>
      </c>
      <c r="L284" s="292" t="str">
        <f t="array" ref="L284">IFERROR(J284*INDEX('PORTIFÓLIO'!$S$4:$S$433,MATCH($C284,'PORTIFÓLIO'!$C$4:$C$433,0)),"")</f>
        <v/>
      </c>
      <c r="M284" s="220"/>
      <c r="N284" s="220"/>
      <c r="O284" s="220"/>
      <c r="P284" s="220"/>
      <c r="Q284" s="220"/>
      <c r="R284" s="220"/>
      <c r="S284" s="220"/>
      <c r="T284" s="220"/>
      <c r="U284" s="220"/>
      <c r="V284" s="220"/>
      <c r="W284" s="220"/>
    </row>
    <row r="285" ht="15.75" customHeight="1" outlineLevel="1">
      <c r="A285" s="211"/>
      <c r="B285" s="212"/>
      <c r="C285" s="213"/>
      <c r="D285" s="214" t="str">
        <f>IFERROR(VLOOKUP($C285,'PORTIFÓLIO'!C:V,2,0),"")</f>
        <v/>
      </c>
      <c r="E285" s="211" t="str">
        <f>IFERROR(VLOOKUP($C285,'PORTIFÓLIO'!C:V,3,0),"")</f>
        <v/>
      </c>
      <c r="F285" s="211" t="str">
        <f>IFERROR(VLOOKUP($C285,'PORTIFÓLIO'!C:V,4,0),"")</f>
        <v/>
      </c>
      <c r="G285" s="215" t="str">
        <f>IFERROR(VLOOKUP($C285,'PORTIFÓLIO'!C:V,5,0),"")</f>
        <v/>
      </c>
      <c r="H285" s="254" t="str">
        <f t="array" ref="H285">IFERROR(INDEX('PORTIFÓLIO'!$H$4:$H$433,MATCH($C285,'PORTIFÓLIO'!$C$4:$C$433,0)),"")</f>
        <v/>
      </c>
      <c r="I285" s="256"/>
      <c r="J285" s="218">
        <f t="shared" si="31"/>
        <v>0</v>
      </c>
      <c r="K285" s="292" t="str">
        <f t="array" ref="K285">IFERROR(I285*INDEX('PORTIFÓLIO'!$S$4:$S$433,MATCH($C285,'PORTIFÓLIO'!$C$4:$C$433,0)),"")</f>
        <v/>
      </c>
      <c r="L285" s="292" t="str">
        <f t="array" ref="L285">IFERROR(J285*INDEX('PORTIFÓLIO'!$S$4:$S$433,MATCH($C285,'PORTIFÓLIO'!$C$4:$C$433,0)),"")</f>
        <v/>
      </c>
      <c r="M285" s="220"/>
      <c r="N285" s="220"/>
      <c r="O285" s="220"/>
      <c r="P285" s="220"/>
      <c r="Q285" s="220"/>
      <c r="R285" s="220"/>
      <c r="S285" s="220"/>
      <c r="T285" s="220"/>
      <c r="U285" s="220"/>
      <c r="V285" s="220"/>
      <c r="W285" s="220"/>
    </row>
    <row r="286" ht="15.75" customHeight="1" outlineLevel="1">
      <c r="A286" s="211"/>
      <c r="B286" s="212"/>
      <c r="C286" s="213"/>
      <c r="D286" s="214" t="str">
        <f>IFERROR(VLOOKUP($C286,'PORTIFÓLIO'!C:V,2,0),"")</f>
        <v/>
      </c>
      <c r="E286" s="211" t="str">
        <f>IFERROR(VLOOKUP($C286,'PORTIFÓLIO'!C:V,3,0),"")</f>
        <v/>
      </c>
      <c r="F286" s="211" t="str">
        <f>IFERROR(VLOOKUP($C286,'PORTIFÓLIO'!C:V,4,0),"")</f>
        <v/>
      </c>
      <c r="G286" s="215" t="str">
        <f>IFERROR(VLOOKUP($C286,'PORTIFÓLIO'!C:V,5,0),"")</f>
        <v/>
      </c>
      <c r="H286" s="254" t="str">
        <f t="array" ref="H286">IFERROR(INDEX('PORTIFÓLIO'!$H$4:$H$433,MATCH($C286,'PORTIFÓLIO'!$C$4:$C$433,0)),"")</f>
        <v/>
      </c>
      <c r="I286" s="256"/>
      <c r="J286" s="218">
        <f t="shared" si="31"/>
        <v>0</v>
      </c>
      <c r="K286" s="292" t="str">
        <f t="array" ref="K286">IFERROR(I286*INDEX('PORTIFÓLIO'!$S$4:$S$433,MATCH($C286,'PORTIFÓLIO'!$C$4:$C$433,0)),"")</f>
        <v/>
      </c>
      <c r="L286" s="292" t="str">
        <f t="array" ref="L286">IFERROR(J286*INDEX('PORTIFÓLIO'!$S$4:$S$433,MATCH($C286,'PORTIFÓLIO'!$C$4:$C$433,0)),"")</f>
        <v/>
      </c>
      <c r="M286" s="220"/>
      <c r="N286" s="220"/>
      <c r="O286" s="220"/>
      <c r="P286" s="220"/>
      <c r="Q286" s="220"/>
      <c r="R286" s="220"/>
      <c r="S286" s="220"/>
      <c r="T286" s="220"/>
      <c r="U286" s="220"/>
      <c r="V286" s="220"/>
      <c r="W286" s="220"/>
    </row>
    <row r="287" ht="15.75" customHeight="1" outlineLevel="1">
      <c r="A287" s="211"/>
      <c r="B287" s="212"/>
      <c r="C287" s="213"/>
      <c r="D287" s="214" t="str">
        <f>IFERROR(VLOOKUP($C287,'PORTIFÓLIO'!C:V,2,0),"")</f>
        <v/>
      </c>
      <c r="E287" s="211" t="str">
        <f>IFERROR(VLOOKUP($C287,'PORTIFÓLIO'!C:V,3,0),"")</f>
        <v/>
      </c>
      <c r="F287" s="211" t="str">
        <f>IFERROR(VLOOKUP($C287,'PORTIFÓLIO'!C:V,4,0),"")</f>
        <v/>
      </c>
      <c r="G287" s="215" t="str">
        <f>IFERROR(VLOOKUP($C287,'PORTIFÓLIO'!C:V,5,0),"")</f>
        <v/>
      </c>
      <c r="H287" s="254" t="str">
        <f t="array" ref="H287">IFERROR(INDEX('PORTIFÓLIO'!$H$4:$H$433,MATCH($C287,'PORTIFÓLIO'!$C$4:$C$433,0)),"")</f>
        <v/>
      </c>
      <c r="I287" s="256"/>
      <c r="J287" s="218">
        <f t="shared" si="31"/>
        <v>0</v>
      </c>
      <c r="K287" s="292" t="str">
        <f t="array" ref="K287">IFERROR(I287*INDEX('PORTIFÓLIO'!$S$4:$S$433,MATCH($C287,'PORTIFÓLIO'!$C$4:$C$433,0)),"")</f>
        <v/>
      </c>
      <c r="L287" s="292" t="str">
        <f t="array" ref="L287">IFERROR(J287*INDEX('PORTIFÓLIO'!$S$4:$S$433,MATCH($C287,'PORTIFÓLIO'!$C$4:$C$433,0)),"")</f>
        <v/>
      </c>
      <c r="M287" s="220"/>
      <c r="N287" s="220"/>
      <c r="O287" s="220"/>
      <c r="P287" s="220"/>
      <c r="Q287" s="220"/>
      <c r="R287" s="220"/>
      <c r="S287" s="220"/>
      <c r="T287" s="220"/>
      <c r="U287" s="220"/>
      <c r="V287" s="220"/>
      <c r="W287" s="220"/>
    </row>
    <row r="288" ht="15.75" customHeight="1" outlineLevel="1">
      <c r="A288" s="211"/>
      <c r="B288" s="212"/>
      <c r="C288" s="213"/>
      <c r="D288" s="214" t="str">
        <f>IFERROR(VLOOKUP($C288,'PORTIFÓLIO'!C:V,2,0),"")</f>
        <v/>
      </c>
      <c r="E288" s="211" t="str">
        <f>IFERROR(VLOOKUP($C288,'PORTIFÓLIO'!C:V,3,0),"")</f>
        <v/>
      </c>
      <c r="F288" s="211" t="str">
        <f>IFERROR(VLOOKUP($C288,'PORTIFÓLIO'!C:V,4,0),"")</f>
        <v/>
      </c>
      <c r="G288" s="215" t="str">
        <f>IFERROR(VLOOKUP($C288,'PORTIFÓLIO'!C:V,5,0),"")</f>
        <v/>
      </c>
      <c r="H288" s="254" t="str">
        <f t="array" ref="H288">IFERROR(INDEX('PORTIFÓLIO'!$H$4:$H$433,MATCH($C288,'PORTIFÓLIO'!$C$4:$C$433,0)),"")</f>
        <v/>
      </c>
      <c r="I288" s="256"/>
      <c r="J288" s="218">
        <f t="shared" si="31"/>
        <v>0</v>
      </c>
      <c r="K288" s="292" t="str">
        <f t="array" ref="K288">IFERROR(I288*INDEX('PORTIFÓLIO'!$S$4:$S$433,MATCH($C288,'PORTIFÓLIO'!$C$4:$C$433,0)),"")</f>
        <v/>
      </c>
      <c r="L288" s="292" t="str">
        <f t="array" ref="L288">IFERROR(J288*INDEX('PORTIFÓLIO'!$S$4:$S$433,MATCH($C288,'PORTIFÓLIO'!$C$4:$C$433,0)),"")</f>
        <v/>
      </c>
      <c r="M288" s="220"/>
      <c r="N288" s="220"/>
      <c r="O288" s="220"/>
      <c r="P288" s="220"/>
      <c r="Q288" s="220"/>
      <c r="R288" s="220"/>
      <c r="S288" s="220"/>
      <c r="T288" s="220"/>
      <c r="U288" s="220"/>
      <c r="V288" s="220"/>
      <c r="W288" s="220"/>
    </row>
    <row r="289" ht="15.75" customHeight="1" outlineLevel="1">
      <c r="A289" s="211"/>
      <c r="B289" s="212"/>
      <c r="C289" s="213"/>
      <c r="D289" s="214" t="str">
        <f>IFERROR(VLOOKUP($C289,'PORTIFÓLIO'!C:V,2,0),"")</f>
        <v/>
      </c>
      <c r="E289" s="211" t="str">
        <f>IFERROR(VLOOKUP($C289,'PORTIFÓLIO'!C:V,3,0),"")</f>
        <v/>
      </c>
      <c r="F289" s="211" t="str">
        <f>IFERROR(VLOOKUP($C289,'PORTIFÓLIO'!C:V,4,0),"")</f>
        <v/>
      </c>
      <c r="G289" s="215" t="str">
        <f>IFERROR(VLOOKUP($C289,'PORTIFÓLIO'!C:V,5,0),"")</f>
        <v/>
      </c>
      <c r="H289" s="254" t="str">
        <f t="array" ref="H289">IFERROR(INDEX('PORTIFÓLIO'!$H$4:$H$433,MATCH($C289,'PORTIFÓLIO'!$C$4:$C$433,0)),"")</f>
        <v/>
      </c>
      <c r="I289" s="256"/>
      <c r="J289" s="218">
        <f t="shared" si="31"/>
        <v>0</v>
      </c>
      <c r="K289" s="292" t="str">
        <f t="array" ref="K289">IFERROR(I289*INDEX('PORTIFÓLIO'!$S$4:$S$433,MATCH($C289,'PORTIFÓLIO'!$C$4:$C$433,0)),"")</f>
        <v/>
      </c>
      <c r="L289" s="292" t="str">
        <f t="array" ref="L289">IFERROR(J289*INDEX('PORTIFÓLIO'!$S$4:$S$433,MATCH($C289,'PORTIFÓLIO'!$C$4:$C$433,0)),"")</f>
        <v/>
      </c>
      <c r="M289" s="220"/>
      <c r="N289" s="220"/>
      <c r="O289" s="220"/>
      <c r="P289" s="220"/>
      <c r="Q289" s="220"/>
      <c r="R289" s="220"/>
      <c r="S289" s="220"/>
      <c r="T289" s="220"/>
      <c r="U289" s="220"/>
      <c r="V289" s="220"/>
      <c r="W289" s="220"/>
    </row>
    <row r="290" ht="15.75" customHeight="1">
      <c r="A290" s="229" t="s">
        <v>1186</v>
      </c>
      <c r="B290" s="230"/>
      <c r="C290" s="231"/>
      <c r="D290" s="232"/>
      <c r="E290" s="231"/>
      <c r="F290" s="231"/>
      <c r="G290" s="233"/>
      <c r="H290" s="233"/>
      <c r="I290" s="258"/>
      <c r="J290" s="236"/>
      <c r="K290" s="237">
        <f t="shared" ref="K290:L290" si="32">SUBTOTAL(9,K291:K304)</f>
        <v>0</v>
      </c>
      <c r="L290" s="237">
        <f t="shared" si="32"/>
        <v>0</v>
      </c>
      <c r="M290" s="220"/>
      <c r="N290" s="220"/>
      <c r="O290" s="220"/>
      <c r="P290" s="220"/>
      <c r="Q290" s="220"/>
      <c r="R290" s="220"/>
      <c r="S290" s="220"/>
      <c r="T290" s="220"/>
      <c r="U290" s="220"/>
      <c r="V290" s="220"/>
      <c r="W290" s="220"/>
    </row>
    <row r="291" ht="15.75" customHeight="1" outlineLevel="1">
      <c r="A291" s="213"/>
      <c r="B291" s="212"/>
      <c r="C291" s="213"/>
      <c r="D291" s="214" t="str">
        <f>IFERROR(VLOOKUP($C291,'PORTIFÓLIO'!C:V,2,0),"")</f>
        <v/>
      </c>
      <c r="E291" s="211" t="str">
        <f>IFERROR(VLOOKUP($C291,'PORTIFÓLIO'!C:V,3,0),"")</f>
        <v/>
      </c>
      <c r="F291" s="211" t="str">
        <f>IFERROR(VLOOKUP($C291,'PORTIFÓLIO'!C:V,4,0),"")</f>
        <v/>
      </c>
      <c r="G291" s="215" t="str">
        <f>IFERROR(VLOOKUP($C291,'PORTIFÓLIO'!C:V,5,0),"")</f>
        <v/>
      </c>
      <c r="H291" s="254" t="str">
        <f t="array" ref="H291">IFERROR(INDEX('PORTIFÓLIO'!$H$4:$H$433,MATCH($C291,'PORTIFÓLIO'!$C$4:$C$433,0)),"")</f>
        <v/>
      </c>
      <c r="I291" s="255"/>
      <c r="J291" s="218">
        <f t="shared" ref="J291:J307" si="33">I291*$B$2</f>
        <v>0</v>
      </c>
      <c r="K291" s="292" t="str">
        <f t="array" ref="K291">IFERROR(I291*INDEX('PORTIFÓLIO'!$S$4:$S$433,MATCH($C291,'PORTIFÓLIO'!$C$4:$C$433,0)),"")</f>
        <v/>
      </c>
      <c r="L291" s="292" t="str">
        <f t="array" ref="L291">IFERROR(J291*INDEX('PORTIFÓLIO'!$S$4:$S$433,MATCH($C291,'PORTIFÓLIO'!$C$4:$C$433,0)),"")</f>
        <v/>
      </c>
      <c r="M291" s="220"/>
      <c r="N291" s="220"/>
      <c r="O291" s="220"/>
      <c r="P291" s="220"/>
      <c r="Q291" s="220"/>
      <c r="R291" s="220"/>
      <c r="S291" s="220"/>
      <c r="T291" s="220"/>
      <c r="U291" s="220"/>
      <c r="V291" s="220"/>
      <c r="W291" s="220"/>
    </row>
    <row r="292" ht="15.75" customHeight="1" outlineLevel="1">
      <c r="A292" s="211"/>
      <c r="B292" s="212"/>
      <c r="C292" s="213"/>
      <c r="D292" s="214" t="str">
        <f>IFERROR(VLOOKUP($C292,'PORTIFÓLIO'!C:V,2,0),"")</f>
        <v/>
      </c>
      <c r="E292" s="211" t="str">
        <f>IFERROR(VLOOKUP($C292,'PORTIFÓLIO'!C:V,3,0),"")</f>
        <v/>
      </c>
      <c r="F292" s="211" t="str">
        <f>IFERROR(VLOOKUP($C292,'PORTIFÓLIO'!C:V,4,0),"")</f>
        <v/>
      </c>
      <c r="G292" s="215" t="str">
        <f>IFERROR(VLOOKUP($C292,'PORTIFÓLIO'!C:V,5,0),"")</f>
        <v/>
      </c>
      <c r="H292" s="254" t="str">
        <f t="array" ref="H292">IFERROR(INDEX('PORTIFÓLIO'!$H$4:$H$433,MATCH($C292,'PORTIFÓLIO'!$C$4:$C$433,0)),"")</f>
        <v/>
      </c>
      <c r="I292" s="256"/>
      <c r="J292" s="218">
        <f t="shared" si="33"/>
        <v>0</v>
      </c>
      <c r="K292" s="292" t="str">
        <f t="array" ref="K292">IFERROR(I292*INDEX('PORTIFÓLIO'!$S$4:$S$433,MATCH($C292,'PORTIFÓLIO'!$C$4:$C$433,0)),"")</f>
        <v/>
      </c>
      <c r="L292" s="292" t="str">
        <f t="array" ref="L292">IFERROR(J292*INDEX('PORTIFÓLIO'!$S$4:$S$433,MATCH($C292,'PORTIFÓLIO'!$C$4:$C$433,0)),"")</f>
        <v/>
      </c>
      <c r="M292" s="220"/>
      <c r="N292" s="220"/>
      <c r="O292" s="220"/>
      <c r="P292" s="220"/>
      <c r="Q292" s="220"/>
      <c r="R292" s="220"/>
      <c r="S292" s="220"/>
      <c r="T292" s="220"/>
      <c r="U292" s="220"/>
      <c r="V292" s="220"/>
      <c r="W292" s="220"/>
    </row>
    <row r="293" ht="15.75" customHeight="1" outlineLevel="1">
      <c r="A293" s="211"/>
      <c r="B293" s="212"/>
      <c r="C293" s="213"/>
      <c r="D293" s="214" t="str">
        <f>IFERROR(VLOOKUP($C293,'PORTIFÓLIO'!C:V,2,0),"")</f>
        <v/>
      </c>
      <c r="E293" s="211" t="str">
        <f>IFERROR(VLOOKUP($C293,'PORTIFÓLIO'!C:V,3,0),"")</f>
        <v/>
      </c>
      <c r="F293" s="211" t="str">
        <f>IFERROR(VLOOKUP($C293,'PORTIFÓLIO'!C:V,4,0),"")</f>
        <v/>
      </c>
      <c r="G293" s="215" t="str">
        <f>IFERROR(VLOOKUP($C293,'PORTIFÓLIO'!C:V,5,0),"")</f>
        <v/>
      </c>
      <c r="H293" s="254" t="str">
        <f t="array" ref="H293">IFERROR(INDEX('PORTIFÓLIO'!$H$4:$H$433,MATCH($C293,'PORTIFÓLIO'!$C$4:$C$433,0)),"")</f>
        <v/>
      </c>
      <c r="I293" s="256"/>
      <c r="J293" s="218">
        <f t="shared" si="33"/>
        <v>0</v>
      </c>
      <c r="K293" s="292" t="str">
        <f t="array" ref="K293">IFERROR(I293*INDEX('PORTIFÓLIO'!$S$4:$S$433,MATCH($C293,'PORTIFÓLIO'!$C$4:$C$433,0)),"")</f>
        <v/>
      </c>
      <c r="L293" s="292" t="str">
        <f t="array" ref="L293">IFERROR(J293*INDEX('PORTIFÓLIO'!$S$4:$S$433,MATCH($C293,'PORTIFÓLIO'!$C$4:$C$433,0)),"")</f>
        <v/>
      </c>
      <c r="M293" s="220"/>
      <c r="N293" s="220"/>
      <c r="O293" s="220"/>
      <c r="P293" s="220"/>
      <c r="Q293" s="220"/>
      <c r="R293" s="220"/>
      <c r="S293" s="220"/>
      <c r="T293" s="220"/>
      <c r="U293" s="220"/>
      <c r="V293" s="220"/>
      <c r="W293" s="220"/>
    </row>
    <row r="294" ht="15.75" customHeight="1" outlineLevel="1">
      <c r="A294" s="211"/>
      <c r="B294" s="212"/>
      <c r="C294" s="213"/>
      <c r="D294" s="214" t="str">
        <f>IFERROR(VLOOKUP($C294,'PORTIFÓLIO'!C:V,2,0),"")</f>
        <v/>
      </c>
      <c r="E294" s="211" t="str">
        <f>IFERROR(VLOOKUP($C294,'PORTIFÓLIO'!C:V,3,0),"")</f>
        <v/>
      </c>
      <c r="F294" s="211" t="str">
        <f>IFERROR(VLOOKUP($C294,'PORTIFÓLIO'!C:V,4,0),"")</f>
        <v/>
      </c>
      <c r="G294" s="215" t="str">
        <f>IFERROR(VLOOKUP($C294,'PORTIFÓLIO'!C:V,5,0),"")</f>
        <v/>
      </c>
      <c r="H294" s="254" t="str">
        <f t="array" ref="H294">IFERROR(INDEX('PORTIFÓLIO'!$H$4:$H$433,MATCH($C294,'PORTIFÓLIO'!$C$4:$C$433,0)),"")</f>
        <v/>
      </c>
      <c r="I294" s="256"/>
      <c r="J294" s="218">
        <f t="shared" si="33"/>
        <v>0</v>
      </c>
      <c r="K294" s="292" t="str">
        <f t="array" ref="K294">IFERROR(I294*INDEX('PORTIFÓLIO'!$S$4:$S$433,MATCH($C294,'PORTIFÓLIO'!$C$4:$C$433,0)),"")</f>
        <v/>
      </c>
      <c r="L294" s="292" t="str">
        <f t="array" ref="L294">IFERROR(J294*INDEX('PORTIFÓLIO'!$S$4:$S$433,MATCH($C294,'PORTIFÓLIO'!$C$4:$C$433,0)),"")</f>
        <v/>
      </c>
      <c r="M294" s="220"/>
      <c r="N294" s="220"/>
      <c r="O294" s="220"/>
      <c r="P294" s="220"/>
      <c r="Q294" s="220"/>
      <c r="R294" s="220"/>
      <c r="S294" s="220"/>
      <c r="T294" s="220"/>
      <c r="U294" s="220"/>
      <c r="V294" s="220"/>
      <c r="W294" s="220"/>
    </row>
    <row r="295" ht="15.75" customHeight="1" outlineLevel="1">
      <c r="A295" s="211"/>
      <c r="B295" s="212"/>
      <c r="C295" s="213"/>
      <c r="D295" s="214" t="str">
        <f>IFERROR(VLOOKUP($C295,'PORTIFÓLIO'!C:V,2,0),"")</f>
        <v/>
      </c>
      <c r="E295" s="211" t="str">
        <f>IFERROR(VLOOKUP($C295,'PORTIFÓLIO'!C:V,3,0),"")</f>
        <v/>
      </c>
      <c r="F295" s="211" t="str">
        <f>IFERROR(VLOOKUP($C295,'PORTIFÓLIO'!C:V,4,0),"")</f>
        <v/>
      </c>
      <c r="G295" s="215" t="str">
        <f>IFERROR(VLOOKUP($C295,'PORTIFÓLIO'!C:V,5,0),"")</f>
        <v/>
      </c>
      <c r="H295" s="254" t="str">
        <f t="array" ref="H295">IFERROR(INDEX('PORTIFÓLIO'!$H$4:$H$433,MATCH($C295,'PORTIFÓLIO'!$C$4:$C$433,0)),"")</f>
        <v/>
      </c>
      <c r="I295" s="256"/>
      <c r="J295" s="218">
        <f t="shared" si="33"/>
        <v>0</v>
      </c>
      <c r="K295" s="292" t="str">
        <f t="array" ref="K295">IFERROR(I295*INDEX('PORTIFÓLIO'!$S$4:$S$433,MATCH($C295,'PORTIFÓLIO'!$C$4:$C$433,0)),"")</f>
        <v/>
      </c>
      <c r="L295" s="292" t="str">
        <f t="array" ref="L295">IFERROR(J295*INDEX('PORTIFÓLIO'!$S$4:$S$433,MATCH($C295,'PORTIFÓLIO'!$C$4:$C$433,0)),"")</f>
        <v/>
      </c>
      <c r="M295" s="220"/>
      <c r="N295" s="220"/>
      <c r="O295" s="220"/>
      <c r="P295" s="220"/>
      <c r="Q295" s="220"/>
      <c r="R295" s="220"/>
      <c r="S295" s="220"/>
      <c r="T295" s="220"/>
      <c r="U295" s="220"/>
      <c r="V295" s="220"/>
      <c r="W295" s="220"/>
    </row>
    <row r="296" ht="15.75" customHeight="1" outlineLevel="1">
      <c r="A296" s="211"/>
      <c r="B296" s="212"/>
      <c r="C296" s="213"/>
      <c r="D296" s="214" t="str">
        <f>IFERROR(VLOOKUP($C296,'PORTIFÓLIO'!C:V,2,0),"")</f>
        <v/>
      </c>
      <c r="E296" s="211" t="str">
        <f>IFERROR(VLOOKUP($C296,'PORTIFÓLIO'!C:V,3,0),"")</f>
        <v/>
      </c>
      <c r="F296" s="211" t="str">
        <f>IFERROR(VLOOKUP($C296,'PORTIFÓLIO'!C:V,4,0),"")</f>
        <v/>
      </c>
      <c r="G296" s="215" t="str">
        <f>IFERROR(VLOOKUP($C296,'PORTIFÓLIO'!C:V,5,0),"")</f>
        <v/>
      </c>
      <c r="H296" s="254" t="str">
        <f t="array" ref="H296">IFERROR(INDEX('PORTIFÓLIO'!$H$4:$H$433,MATCH($C296,'PORTIFÓLIO'!$C$4:$C$433,0)),"")</f>
        <v/>
      </c>
      <c r="I296" s="256"/>
      <c r="J296" s="218">
        <f t="shared" si="33"/>
        <v>0</v>
      </c>
      <c r="K296" s="292" t="str">
        <f t="array" ref="K296">IFERROR(I296*INDEX('PORTIFÓLIO'!$S$4:$S$433,MATCH($C296,'PORTIFÓLIO'!$C$4:$C$433,0)),"")</f>
        <v/>
      </c>
      <c r="L296" s="292" t="str">
        <f t="array" ref="L296">IFERROR(J296*INDEX('PORTIFÓLIO'!$S$4:$S$433,MATCH($C296,'PORTIFÓLIO'!$C$4:$C$433,0)),"")</f>
        <v/>
      </c>
      <c r="M296" s="220"/>
      <c r="N296" s="220"/>
      <c r="O296" s="220"/>
      <c r="P296" s="220"/>
      <c r="Q296" s="220"/>
      <c r="R296" s="220"/>
      <c r="S296" s="220"/>
      <c r="T296" s="220"/>
      <c r="U296" s="220"/>
      <c r="V296" s="220"/>
      <c r="W296" s="220"/>
    </row>
    <row r="297" ht="15.75" customHeight="1" outlineLevel="1">
      <c r="A297" s="211"/>
      <c r="B297" s="212"/>
      <c r="C297" s="213"/>
      <c r="D297" s="214" t="str">
        <f>IFERROR(VLOOKUP($C297,'PORTIFÓLIO'!C:V,2,0),"")</f>
        <v/>
      </c>
      <c r="E297" s="211" t="str">
        <f>IFERROR(VLOOKUP($C297,'PORTIFÓLIO'!C:V,3,0),"")</f>
        <v/>
      </c>
      <c r="F297" s="211" t="str">
        <f>IFERROR(VLOOKUP($C297,'PORTIFÓLIO'!C:V,4,0),"")</f>
        <v/>
      </c>
      <c r="G297" s="215" t="str">
        <f>IFERROR(VLOOKUP($C297,'PORTIFÓLIO'!C:V,5,0),"")</f>
        <v/>
      </c>
      <c r="H297" s="254" t="str">
        <f t="array" ref="H297">IFERROR(INDEX('PORTIFÓLIO'!$H$4:$H$433,MATCH($C297,'PORTIFÓLIO'!$C$4:$C$433,0)),"")</f>
        <v/>
      </c>
      <c r="I297" s="256"/>
      <c r="J297" s="218">
        <f t="shared" si="33"/>
        <v>0</v>
      </c>
      <c r="K297" s="292" t="str">
        <f t="array" ref="K297">IFERROR(I297*INDEX('PORTIFÓLIO'!$S$4:$S$433,MATCH($C297,'PORTIFÓLIO'!$C$4:$C$433,0)),"")</f>
        <v/>
      </c>
      <c r="L297" s="292" t="str">
        <f t="array" ref="L297">IFERROR(J297*INDEX('PORTIFÓLIO'!$S$4:$S$433,MATCH($C297,'PORTIFÓLIO'!$C$4:$C$433,0)),"")</f>
        <v/>
      </c>
      <c r="M297" s="220"/>
      <c r="N297" s="220"/>
      <c r="O297" s="220"/>
      <c r="P297" s="220"/>
      <c r="Q297" s="220"/>
      <c r="R297" s="220"/>
      <c r="S297" s="220"/>
      <c r="T297" s="220"/>
      <c r="U297" s="220"/>
      <c r="V297" s="220"/>
      <c r="W297" s="220"/>
    </row>
    <row r="298" ht="15.75" customHeight="1" outlineLevel="1">
      <c r="A298" s="211"/>
      <c r="B298" s="212"/>
      <c r="C298" s="213"/>
      <c r="D298" s="214" t="str">
        <f>IFERROR(VLOOKUP($C298,'PORTIFÓLIO'!C:V,2,0),"")</f>
        <v/>
      </c>
      <c r="E298" s="211" t="str">
        <f>IFERROR(VLOOKUP($C298,'PORTIFÓLIO'!C:V,3,0),"")</f>
        <v/>
      </c>
      <c r="F298" s="211" t="str">
        <f>IFERROR(VLOOKUP($C298,'PORTIFÓLIO'!C:V,4,0),"")</f>
        <v/>
      </c>
      <c r="G298" s="215" t="str">
        <f>IFERROR(VLOOKUP($C298,'PORTIFÓLIO'!C:V,5,0),"")</f>
        <v/>
      </c>
      <c r="H298" s="254" t="str">
        <f t="array" ref="H298">IFERROR(INDEX('PORTIFÓLIO'!$H$4:$H$433,MATCH($C298,'PORTIFÓLIO'!$C$4:$C$433,0)),"")</f>
        <v/>
      </c>
      <c r="I298" s="256"/>
      <c r="J298" s="218">
        <f t="shared" si="33"/>
        <v>0</v>
      </c>
      <c r="K298" s="292" t="str">
        <f t="array" ref="K298">IFERROR(I298*INDEX('PORTIFÓLIO'!$S$4:$S$433,MATCH($C298,'PORTIFÓLIO'!$C$4:$C$433,0)),"")</f>
        <v/>
      </c>
      <c r="L298" s="292" t="str">
        <f t="array" ref="L298">IFERROR(J298*INDEX('PORTIFÓLIO'!$S$4:$S$433,MATCH($C298,'PORTIFÓLIO'!$C$4:$C$433,0)),"")</f>
        <v/>
      </c>
      <c r="M298" s="220"/>
      <c r="N298" s="220"/>
      <c r="O298" s="220"/>
      <c r="P298" s="220"/>
      <c r="Q298" s="220"/>
      <c r="R298" s="220"/>
      <c r="S298" s="220"/>
      <c r="T298" s="220"/>
      <c r="U298" s="220"/>
      <c r="V298" s="220"/>
      <c r="W298" s="220"/>
    </row>
    <row r="299" ht="15.75" customHeight="1" outlineLevel="1">
      <c r="A299" s="211"/>
      <c r="B299" s="212"/>
      <c r="C299" s="213"/>
      <c r="D299" s="214" t="str">
        <f>IFERROR(VLOOKUP($C299,'PORTIFÓLIO'!C:V,2,0),"")</f>
        <v/>
      </c>
      <c r="E299" s="211" t="str">
        <f>IFERROR(VLOOKUP($C299,'PORTIFÓLIO'!C:V,3,0),"")</f>
        <v/>
      </c>
      <c r="F299" s="211" t="str">
        <f>IFERROR(VLOOKUP($C299,'PORTIFÓLIO'!C:V,4,0),"")</f>
        <v/>
      </c>
      <c r="G299" s="215" t="str">
        <f>IFERROR(VLOOKUP($C299,'PORTIFÓLIO'!C:V,5,0),"")</f>
        <v/>
      </c>
      <c r="H299" s="254" t="str">
        <f t="array" ref="H299">IFERROR(INDEX('PORTIFÓLIO'!$H$4:$H$433,MATCH($C299,'PORTIFÓLIO'!$C$4:$C$433,0)),"")</f>
        <v/>
      </c>
      <c r="I299" s="255"/>
      <c r="J299" s="218">
        <f t="shared" si="33"/>
        <v>0</v>
      </c>
      <c r="K299" s="292" t="str">
        <f t="array" ref="K299">IFERROR(I299*INDEX('PORTIFÓLIO'!$S$4:$S$433,MATCH($C299,'PORTIFÓLIO'!$C$4:$C$433,0)),"")</f>
        <v/>
      </c>
      <c r="L299" s="292" t="str">
        <f t="array" ref="L299">IFERROR(J299*INDEX('PORTIFÓLIO'!$S$4:$S$433,MATCH($C299,'PORTIFÓLIO'!$C$4:$C$433,0)),"")</f>
        <v/>
      </c>
      <c r="M299" s="220"/>
      <c r="N299" s="220"/>
      <c r="O299" s="220"/>
      <c r="P299" s="220"/>
      <c r="Q299" s="220"/>
      <c r="R299" s="220"/>
      <c r="S299" s="220"/>
      <c r="T299" s="220"/>
      <c r="U299" s="220"/>
      <c r="V299" s="220"/>
      <c r="W299" s="220"/>
    </row>
    <row r="300" ht="15.75" customHeight="1" outlineLevel="1">
      <c r="A300" s="211"/>
      <c r="B300" s="212"/>
      <c r="C300" s="213"/>
      <c r="D300" s="214" t="str">
        <f>IFERROR(VLOOKUP($C300,'PORTIFÓLIO'!C:V,2,0),"")</f>
        <v/>
      </c>
      <c r="E300" s="211" t="str">
        <f>IFERROR(VLOOKUP($C300,'PORTIFÓLIO'!C:V,3,0),"")</f>
        <v/>
      </c>
      <c r="F300" s="211" t="str">
        <f>IFERROR(VLOOKUP($C300,'PORTIFÓLIO'!C:V,4,0),"")</f>
        <v/>
      </c>
      <c r="G300" s="215" t="str">
        <f>IFERROR(VLOOKUP($C300,'PORTIFÓLIO'!C:V,5,0),"")</f>
        <v/>
      </c>
      <c r="H300" s="254" t="str">
        <f t="array" ref="H300">IFERROR(INDEX('PORTIFÓLIO'!$H$4:$H$433,MATCH($C300,'PORTIFÓLIO'!$C$4:$C$433,0)),"")</f>
        <v/>
      </c>
      <c r="I300" s="256"/>
      <c r="J300" s="218">
        <f t="shared" si="33"/>
        <v>0</v>
      </c>
      <c r="K300" s="292" t="str">
        <f t="array" ref="K300">IFERROR(I300*INDEX('PORTIFÓLIO'!$S$4:$S$433,MATCH($C300,'PORTIFÓLIO'!$C$4:$C$433,0)),"")</f>
        <v/>
      </c>
      <c r="L300" s="292" t="str">
        <f t="array" ref="L300">IFERROR(J300*INDEX('PORTIFÓLIO'!$S$4:$S$433,MATCH($C300,'PORTIFÓLIO'!$C$4:$C$433,0)),"")</f>
        <v/>
      </c>
      <c r="M300" s="220"/>
      <c r="N300" s="220"/>
      <c r="O300" s="220"/>
      <c r="P300" s="220"/>
      <c r="Q300" s="220"/>
      <c r="R300" s="220"/>
      <c r="S300" s="220"/>
      <c r="T300" s="220"/>
      <c r="U300" s="220"/>
      <c r="V300" s="220"/>
      <c r="W300" s="220"/>
    </row>
    <row r="301" ht="15.75" customHeight="1" outlineLevel="1">
      <c r="A301" s="211"/>
      <c r="B301" s="212"/>
      <c r="C301" s="213"/>
      <c r="D301" s="214" t="str">
        <f>IFERROR(VLOOKUP($C301,'PORTIFÓLIO'!C:V,2,0),"")</f>
        <v/>
      </c>
      <c r="E301" s="211" t="str">
        <f>IFERROR(VLOOKUP($C301,'PORTIFÓLIO'!C:V,3,0),"")</f>
        <v/>
      </c>
      <c r="F301" s="211" t="str">
        <f>IFERROR(VLOOKUP($C301,'PORTIFÓLIO'!C:V,4,0),"")</f>
        <v/>
      </c>
      <c r="G301" s="215" t="str">
        <f>IFERROR(VLOOKUP($C301,'PORTIFÓLIO'!C:V,5,0),"")</f>
        <v/>
      </c>
      <c r="H301" s="254" t="str">
        <f t="array" ref="H301">IFERROR(INDEX('PORTIFÓLIO'!$H$4:$H$433,MATCH($C301,'PORTIFÓLIO'!$C$4:$C$433,0)),"")</f>
        <v/>
      </c>
      <c r="I301" s="256"/>
      <c r="J301" s="218">
        <f t="shared" si="33"/>
        <v>0</v>
      </c>
      <c r="K301" s="292" t="str">
        <f t="array" ref="K301">IFERROR(I301*INDEX('PORTIFÓLIO'!$S$4:$S$433,MATCH($C301,'PORTIFÓLIO'!$C$4:$C$433,0)),"")</f>
        <v/>
      </c>
      <c r="L301" s="292" t="str">
        <f t="array" ref="L301">IFERROR(J301*INDEX('PORTIFÓLIO'!$S$4:$S$433,MATCH($C301,'PORTIFÓLIO'!$C$4:$C$433,0)),"")</f>
        <v/>
      </c>
      <c r="M301" s="220"/>
      <c r="N301" s="220"/>
      <c r="O301" s="220"/>
      <c r="P301" s="220"/>
      <c r="Q301" s="220"/>
      <c r="R301" s="220"/>
      <c r="S301" s="220"/>
      <c r="T301" s="220"/>
      <c r="U301" s="220"/>
      <c r="V301" s="220"/>
      <c r="W301" s="220"/>
    </row>
    <row r="302" ht="15.75" customHeight="1" outlineLevel="1">
      <c r="A302" s="211"/>
      <c r="B302" s="212"/>
      <c r="C302" s="213"/>
      <c r="D302" s="214" t="str">
        <f>IFERROR(VLOOKUP($C302,'PORTIFÓLIO'!C:V,2,0),"")</f>
        <v/>
      </c>
      <c r="E302" s="211" t="str">
        <f>IFERROR(VLOOKUP($C302,'PORTIFÓLIO'!C:V,3,0),"")</f>
        <v/>
      </c>
      <c r="F302" s="211" t="str">
        <f>IFERROR(VLOOKUP($C302,'PORTIFÓLIO'!C:V,4,0),"")</f>
        <v/>
      </c>
      <c r="G302" s="215" t="str">
        <f>IFERROR(VLOOKUP($C302,'PORTIFÓLIO'!C:V,5,0),"")</f>
        <v/>
      </c>
      <c r="H302" s="254" t="str">
        <f t="array" ref="H302">IFERROR(INDEX('PORTIFÓLIO'!$H$4:$H$433,MATCH($C302,'PORTIFÓLIO'!$C$4:$C$433,0)),"")</f>
        <v/>
      </c>
      <c r="I302" s="256"/>
      <c r="J302" s="218">
        <f t="shared" si="33"/>
        <v>0</v>
      </c>
      <c r="K302" s="292" t="str">
        <f t="array" ref="K302">IFERROR(I302*INDEX('PORTIFÓLIO'!$S$4:$S$433,MATCH($C302,'PORTIFÓLIO'!$C$4:$C$433,0)),"")</f>
        <v/>
      </c>
      <c r="L302" s="292" t="str">
        <f t="array" ref="L302">IFERROR(J302*INDEX('PORTIFÓLIO'!$S$4:$S$433,MATCH($C302,'PORTIFÓLIO'!$C$4:$C$433,0)),"")</f>
        <v/>
      </c>
      <c r="M302" s="220"/>
      <c r="N302" s="220"/>
      <c r="O302" s="220"/>
      <c r="P302" s="220"/>
      <c r="Q302" s="220"/>
      <c r="R302" s="220"/>
      <c r="S302" s="220"/>
      <c r="T302" s="220"/>
      <c r="U302" s="220"/>
      <c r="V302" s="220"/>
      <c r="W302" s="220"/>
    </row>
    <row r="303" ht="15.75" customHeight="1" outlineLevel="1">
      <c r="A303" s="211"/>
      <c r="B303" s="212"/>
      <c r="C303" s="213"/>
      <c r="D303" s="214" t="str">
        <f>IFERROR(VLOOKUP($C303,'PORTIFÓLIO'!C:V,2,0),"")</f>
        <v/>
      </c>
      <c r="E303" s="211" t="str">
        <f>IFERROR(VLOOKUP($C303,'PORTIFÓLIO'!C:V,3,0),"")</f>
        <v/>
      </c>
      <c r="F303" s="211" t="str">
        <f>IFERROR(VLOOKUP($C303,'PORTIFÓLIO'!C:V,4,0),"")</f>
        <v/>
      </c>
      <c r="G303" s="215" t="str">
        <f>IFERROR(VLOOKUP($C303,'PORTIFÓLIO'!C:V,5,0),"")</f>
        <v/>
      </c>
      <c r="H303" s="254" t="str">
        <f t="array" ref="H303">IFERROR(INDEX('PORTIFÓLIO'!$H$4:$H$433,MATCH($C303,'PORTIFÓLIO'!$C$4:$C$433,0)),"")</f>
        <v/>
      </c>
      <c r="I303" s="256"/>
      <c r="J303" s="218">
        <f t="shared" si="33"/>
        <v>0</v>
      </c>
      <c r="K303" s="292" t="str">
        <f t="array" ref="K303">IFERROR(I303*INDEX('PORTIFÓLIO'!$S$4:$S$433,MATCH($C303,'PORTIFÓLIO'!$C$4:$C$433,0)),"")</f>
        <v/>
      </c>
      <c r="L303" s="292" t="str">
        <f t="array" ref="L303">IFERROR(J303*INDEX('PORTIFÓLIO'!$S$4:$S$433,MATCH($C303,'PORTIFÓLIO'!$C$4:$C$433,0)),"")</f>
        <v/>
      </c>
      <c r="M303" s="220"/>
      <c r="N303" s="220"/>
      <c r="O303" s="220"/>
      <c r="P303" s="220"/>
      <c r="Q303" s="220"/>
      <c r="R303" s="220"/>
      <c r="S303" s="220"/>
      <c r="T303" s="220"/>
      <c r="U303" s="220"/>
      <c r="V303" s="220"/>
      <c r="W303" s="220"/>
    </row>
    <row r="304" ht="15.75" customHeight="1" outlineLevel="1">
      <c r="A304" s="211"/>
      <c r="B304" s="212"/>
      <c r="C304" s="213"/>
      <c r="D304" s="214" t="str">
        <f>IFERROR(VLOOKUP($C304,'PORTIFÓLIO'!C:V,2,0),"")</f>
        <v/>
      </c>
      <c r="E304" s="211" t="str">
        <f>IFERROR(VLOOKUP($C304,'PORTIFÓLIO'!C:V,3,0),"")</f>
        <v/>
      </c>
      <c r="F304" s="211" t="str">
        <f>IFERROR(VLOOKUP($C304,'PORTIFÓLIO'!C:V,4,0),"")</f>
        <v/>
      </c>
      <c r="G304" s="215" t="str">
        <f>IFERROR(VLOOKUP($C304,'PORTIFÓLIO'!C:V,5,0),"")</f>
        <v/>
      </c>
      <c r="H304" s="254" t="str">
        <f t="array" ref="H304">IFERROR(INDEX('PORTIFÓLIO'!$H$4:$H$433,MATCH($C304,'PORTIFÓLIO'!$C$4:$C$433,0)),"")</f>
        <v/>
      </c>
      <c r="I304" s="256"/>
      <c r="J304" s="218">
        <f t="shared" si="33"/>
        <v>0</v>
      </c>
      <c r="K304" s="292" t="str">
        <f t="array" ref="K304">IFERROR(I304*INDEX('PORTIFÓLIO'!$S$4:$S$433,MATCH($C304,'PORTIFÓLIO'!$C$4:$C$433,0)),"")</f>
        <v/>
      </c>
      <c r="L304" s="292" t="str">
        <f t="array" ref="L304">IFERROR(J304*INDEX('PORTIFÓLIO'!$S$4:$S$433,MATCH($C304,'PORTIFÓLIO'!$C$4:$C$433,0)),"")</f>
        <v/>
      </c>
      <c r="M304" s="220"/>
      <c r="N304" s="220"/>
      <c r="O304" s="220"/>
      <c r="P304" s="220"/>
      <c r="Q304" s="220"/>
      <c r="R304" s="220"/>
      <c r="S304" s="220"/>
      <c r="T304" s="220"/>
      <c r="U304" s="220"/>
      <c r="V304" s="220"/>
      <c r="W304" s="220"/>
    </row>
    <row r="305" ht="15.75" customHeight="1" outlineLevel="1">
      <c r="A305" s="211"/>
      <c r="B305" s="212"/>
      <c r="C305" s="213"/>
      <c r="D305" s="214" t="str">
        <f>IFERROR(VLOOKUP($C305,'PORTIFÓLIO'!C:V,2,0),"")</f>
        <v/>
      </c>
      <c r="E305" s="211" t="str">
        <f>IFERROR(VLOOKUP($C305,'PORTIFÓLIO'!C:V,3,0),"")</f>
        <v/>
      </c>
      <c r="F305" s="211" t="str">
        <f>IFERROR(VLOOKUP($C305,'PORTIFÓLIO'!C:V,4,0),"")</f>
        <v/>
      </c>
      <c r="G305" s="215" t="str">
        <f>IFERROR(VLOOKUP($C305,'PORTIFÓLIO'!C:V,5,0),"")</f>
        <v/>
      </c>
      <c r="H305" s="254" t="str">
        <f t="array" ref="H305">IFERROR(INDEX('PORTIFÓLIO'!$H$4:$H$433,MATCH($C305,'PORTIFÓLIO'!$C$4:$C$433,0)),"")</f>
        <v/>
      </c>
      <c r="I305" s="256"/>
      <c r="J305" s="218">
        <f t="shared" si="33"/>
        <v>0</v>
      </c>
      <c r="K305" s="292" t="str">
        <f t="array" ref="K305">IFERROR(I305*INDEX('PORTIFÓLIO'!$S$4:$S$433,MATCH($C305,'PORTIFÓLIO'!$C$4:$C$433,0)),"")</f>
        <v/>
      </c>
      <c r="L305" s="292" t="str">
        <f t="array" ref="L305">IFERROR(J305*INDEX('PORTIFÓLIO'!$S$4:$S$433,MATCH($C305,'PORTIFÓLIO'!$C$4:$C$433,0)),"")</f>
        <v/>
      </c>
      <c r="M305" s="220"/>
      <c r="N305" s="220"/>
      <c r="O305" s="220"/>
      <c r="P305" s="220"/>
      <c r="Q305" s="220"/>
      <c r="R305" s="220"/>
      <c r="S305" s="220"/>
      <c r="T305" s="220"/>
      <c r="U305" s="220"/>
      <c r="V305" s="220"/>
      <c r="W305" s="220"/>
    </row>
    <row r="306" ht="15.75" customHeight="1" outlineLevel="1">
      <c r="A306" s="211"/>
      <c r="B306" s="212"/>
      <c r="C306" s="213"/>
      <c r="D306" s="214" t="str">
        <f>IFERROR(VLOOKUP($C306,'PORTIFÓLIO'!C:V,2,0),"")</f>
        <v/>
      </c>
      <c r="E306" s="211" t="str">
        <f>IFERROR(VLOOKUP($C306,'PORTIFÓLIO'!C:V,3,0),"")</f>
        <v/>
      </c>
      <c r="F306" s="211" t="str">
        <f>IFERROR(VLOOKUP($C306,'PORTIFÓLIO'!C:V,4,0),"")</f>
        <v/>
      </c>
      <c r="G306" s="215" t="str">
        <f>IFERROR(VLOOKUP($C306,'PORTIFÓLIO'!C:V,5,0),"")</f>
        <v/>
      </c>
      <c r="H306" s="254" t="str">
        <f t="array" ref="H306">IFERROR(INDEX('PORTIFÓLIO'!$H$4:$H$433,MATCH($C306,'PORTIFÓLIO'!$C$4:$C$433,0)),"")</f>
        <v/>
      </c>
      <c r="I306" s="256"/>
      <c r="J306" s="218">
        <f t="shared" si="33"/>
        <v>0</v>
      </c>
      <c r="K306" s="292" t="str">
        <f t="array" ref="K306">IFERROR(I306*INDEX('PORTIFÓLIO'!$S$4:$S$433,MATCH($C306,'PORTIFÓLIO'!$C$4:$C$433,0)),"")</f>
        <v/>
      </c>
      <c r="L306" s="292" t="str">
        <f t="array" ref="L306">IFERROR(J306*INDEX('PORTIFÓLIO'!$S$4:$S$433,MATCH($C306,'PORTIFÓLIO'!$C$4:$C$433,0)),"")</f>
        <v/>
      </c>
      <c r="M306" s="220"/>
      <c r="N306" s="220"/>
      <c r="O306" s="220"/>
      <c r="P306" s="220"/>
      <c r="Q306" s="220"/>
      <c r="R306" s="220"/>
      <c r="S306" s="220"/>
      <c r="T306" s="220"/>
      <c r="U306" s="220"/>
      <c r="V306" s="220"/>
      <c r="W306" s="220"/>
    </row>
    <row r="307" ht="15.75" customHeight="1" outlineLevel="1">
      <c r="A307" s="211"/>
      <c r="B307" s="212"/>
      <c r="C307" s="213"/>
      <c r="D307" s="214" t="str">
        <f>IFERROR(VLOOKUP($C307,'PORTIFÓLIO'!C:V,2,0),"")</f>
        <v/>
      </c>
      <c r="E307" s="211" t="str">
        <f>IFERROR(VLOOKUP($C307,'PORTIFÓLIO'!C:V,3,0),"")</f>
        <v/>
      </c>
      <c r="F307" s="211" t="str">
        <f>IFERROR(VLOOKUP($C307,'PORTIFÓLIO'!C:V,4,0),"")</f>
        <v/>
      </c>
      <c r="G307" s="215" t="str">
        <f>IFERROR(VLOOKUP($C307,'PORTIFÓLIO'!C:V,5,0),"")</f>
        <v/>
      </c>
      <c r="H307" s="254" t="str">
        <f t="array" ref="H307">IFERROR(INDEX('PORTIFÓLIO'!$H$4:$H$433,MATCH($C307,'PORTIFÓLIO'!$C$4:$C$433,0)),"")</f>
        <v/>
      </c>
      <c r="I307" s="256"/>
      <c r="J307" s="218">
        <f t="shared" si="33"/>
        <v>0</v>
      </c>
      <c r="K307" s="292" t="str">
        <f t="array" ref="K307">IFERROR(I307*INDEX('PORTIFÓLIO'!$S$4:$S$433,MATCH($C307,'PORTIFÓLIO'!$C$4:$C$433,0)),"")</f>
        <v/>
      </c>
      <c r="L307" s="292" t="str">
        <f t="array" ref="L307">IFERROR(J307*INDEX('PORTIFÓLIO'!$S$4:$S$433,MATCH($C307,'PORTIFÓLIO'!$C$4:$C$433,0)),"")</f>
        <v/>
      </c>
      <c r="M307" s="220"/>
      <c r="N307" s="220"/>
      <c r="O307" s="220"/>
      <c r="P307" s="220"/>
      <c r="Q307" s="220"/>
      <c r="R307" s="220"/>
      <c r="S307" s="220"/>
      <c r="T307" s="220"/>
      <c r="U307" s="220"/>
      <c r="V307" s="220"/>
      <c r="W307" s="220"/>
    </row>
    <row r="308" ht="15.75" customHeight="1">
      <c r="A308" s="229" t="s">
        <v>1188</v>
      </c>
      <c r="B308" s="230"/>
      <c r="C308" s="231"/>
      <c r="D308" s="232"/>
      <c r="E308" s="231"/>
      <c r="F308" s="231"/>
      <c r="G308" s="233"/>
      <c r="H308" s="233"/>
      <c r="I308" s="258"/>
      <c r="J308" s="236"/>
      <c r="K308" s="237">
        <f t="shared" ref="K308:L308" si="34">SUBTOTAL(9,K309:K322)</f>
        <v>0</v>
      </c>
      <c r="L308" s="237">
        <f t="shared" si="34"/>
        <v>0</v>
      </c>
      <c r="M308" s="220"/>
      <c r="N308" s="220"/>
      <c r="O308" s="220"/>
      <c r="P308" s="220"/>
      <c r="Q308" s="220"/>
      <c r="R308" s="220"/>
      <c r="S308" s="220"/>
      <c r="T308" s="220"/>
      <c r="U308" s="220"/>
      <c r="V308" s="220"/>
      <c r="W308" s="220"/>
    </row>
    <row r="309" ht="15.75" customHeight="1" outlineLevel="1">
      <c r="A309" s="213"/>
      <c r="B309" s="212"/>
      <c r="C309" s="213"/>
      <c r="D309" s="214" t="str">
        <f>IFERROR(VLOOKUP($C309,'PORTIFÓLIO'!C:V,2,0),"")</f>
        <v/>
      </c>
      <c r="E309" s="211" t="str">
        <f>IFERROR(VLOOKUP($C309,'PORTIFÓLIO'!C:V,3,0),"")</f>
        <v/>
      </c>
      <c r="F309" s="211" t="str">
        <f>IFERROR(VLOOKUP($C309,'PORTIFÓLIO'!C:V,4,0),"")</f>
        <v/>
      </c>
      <c r="G309" s="215" t="str">
        <f>IFERROR(VLOOKUP($C309,'PORTIFÓLIO'!C:V,5,0),"")</f>
        <v/>
      </c>
      <c r="H309" s="254" t="str">
        <f t="array" ref="H309">IFERROR(INDEX('PORTIFÓLIO'!$H$4:$H$433,MATCH($C309,'PORTIFÓLIO'!$C$4:$C$433,0)),"")</f>
        <v/>
      </c>
      <c r="I309" s="255"/>
      <c r="J309" s="218">
        <f t="shared" ref="J309:J323" si="35">I309*$B$2</f>
        <v>0</v>
      </c>
      <c r="K309" s="292" t="str">
        <f t="array" ref="K309">IFERROR(I309*INDEX('PORTIFÓLIO'!$S$4:$S$433,MATCH($C309,'PORTIFÓLIO'!$C$4:$C$433,0)),"")</f>
        <v/>
      </c>
      <c r="L309" s="292" t="str">
        <f t="array" ref="L309">IFERROR(J309*INDEX('PORTIFÓLIO'!$S$4:$S$433,MATCH($C309,'PORTIFÓLIO'!$C$4:$C$433,0)),"")</f>
        <v/>
      </c>
      <c r="M309" s="220"/>
      <c r="N309" s="220"/>
      <c r="O309" s="220"/>
      <c r="P309" s="220"/>
      <c r="Q309" s="220"/>
      <c r="R309" s="220"/>
      <c r="S309" s="220"/>
      <c r="T309" s="220"/>
      <c r="U309" s="220"/>
      <c r="V309" s="220"/>
      <c r="W309" s="220"/>
    </row>
    <row r="310" ht="15.75" customHeight="1" outlineLevel="1">
      <c r="A310" s="211"/>
      <c r="B310" s="212"/>
      <c r="C310" s="213"/>
      <c r="D310" s="214" t="str">
        <f>IFERROR(VLOOKUP($C310,'PORTIFÓLIO'!C:V,2,0),"")</f>
        <v/>
      </c>
      <c r="E310" s="211" t="str">
        <f>IFERROR(VLOOKUP($C310,'PORTIFÓLIO'!C:V,3,0),"")</f>
        <v/>
      </c>
      <c r="F310" s="211" t="str">
        <f>IFERROR(VLOOKUP($C310,'PORTIFÓLIO'!C:V,4,0),"")</f>
        <v/>
      </c>
      <c r="G310" s="215" t="str">
        <f>IFERROR(VLOOKUP($C310,'PORTIFÓLIO'!C:V,5,0),"")</f>
        <v/>
      </c>
      <c r="H310" s="254" t="str">
        <f t="array" ref="H310">IFERROR(INDEX('PORTIFÓLIO'!$H$4:$H$433,MATCH($C310,'PORTIFÓLIO'!$C$4:$C$433,0)),"")</f>
        <v/>
      </c>
      <c r="I310" s="256"/>
      <c r="J310" s="218">
        <f t="shared" si="35"/>
        <v>0</v>
      </c>
      <c r="K310" s="292" t="str">
        <f t="array" ref="K310">IFERROR(I310*INDEX('PORTIFÓLIO'!$S$4:$S$433,MATCH($C310,'PORTIFÓLIO'!$C$4:$C$433,0)),"")</f>
        <v/>
      </c>
      <c r="L310" s="292" t="str">
        <f t="array" ref="L310">IFERROR(J310*INDEX('PORTIFÓLIO'!$S$4:$S$433,MATCH($C310,'PORTIFÓLIO'!$C$4:$C$433,0)),"")</f>
        <v/>
      </c>
      <c r="M310" s="220"/>
      <c r="N310" s="220"/>
      <c r="O310" s="220"/>
      <c r="P310" s="220"/>
      <c r="Q310" s="220"/>
      <c r="R310" s="220"/>
      <c r="S310" s="220"/>
      <c r="T310" s="220"/>
      <c r="U310" s="220"/>
      <c r="V310" s="220"/>
      <c r="W310" s="220"/>
    </row>
    <row r="311" ht="15.75" customHeight="1" outlineLevel="1">
      <c r="A311" s="211"/>
      <c r="B311" s="212"/>
      <c r="C311" s="213"/>
      <c r="D311" s="214" t="str">
        <f>IFERROR(VLOOKUP($C311,'PORTIFÓLIO'!C:V,2,0),"")</f>
        <v/>
      </c>
      <c r="E311" s="211" t="str">
        <f>IFERROR(VLOOKUP($C311,'PORTIFÓLIO'!C:V,3,0),"")</f>
        <v/>
      </c>
      <c r="F311" s="211" t="str">
        <f>IFERROR(VLOOKUP($C311,'PORTIFÓLIO'!C:V,4,0),"")</f>
        <v/>
      </c>
      <c r="G311" s="215" t="str">
        <f>IFERROR(VLOOKUP($C311,'PORTIFÓLIO'!C:V,5,0),"")</f>
        <v/>
      </c>
      <c r="H311" s="254" t="str">
        <f t="array" ref="H311">IFERROR(INDEX('PORTIFÓLIO'!$H$4:$H$433,MATCH($C311,'PORTIFÓLIO'!$C$4:$C$433,0)),"")</f>
        <v/>
      </c>
      <c r="I311" s="256"/>
      <c r="J311" s="218">
        <f t="shared" si="35"/>
        <v>0</v>
      </c>
      <c r="K311" s="292" t="str">
        <f t="array" ref="K311">IFERROR(I311*INDEX('PORTIFÓLIO'!$S$4:$S$433,MATCH($C311,'PORTIFÓLIO'!$C$4:$C$433,0)),"")</f>
        <v/>
      </c>
      <c r="L311" s="292" t="str">
        <f t="array" ref="L311">IFERROR(J311*INDEX('PORTIFÓLIO'!$S$4:$S$433,MATCH($C311,'PORTIFÓLIO'!$C$4:$C$433,0)),"")</f>
        <v/>
      </c>
      <c r="M311" s="220"/>
      <c r="N311" s="220"/>
      <c r="O311" s="220"/>
      <c r="P311" s="220"/>
      <c r="Q311" s="220"/>
      <c r="R311" s="220"/>
      <c r="S311" s="220"/>
      <c r="T311" s="220"/>
      <c r="U311" s="220"/>
      <c r="V311" s="220"/>
      <c r="W311" s="220"/>
    </row>
    <row r="312" ht="15.75" customHeight="1" outlineLevel="1">
      <c r="A312" s="211"/>
      <c r="B312" s="212"/>
      <c r="C312" s="213"/>
      <c r="D312" s="214" t="str">
        <f>IFERROR(VLOOKUP($C312,'PORTIFÓLIO'!C:V,2,0),"")</f>
        <v/>
      </c>
      <c r="E312" s="211" t="str">
        <f>IFERROR(VLOOKUP($C312,'PORTIFÓLIO'!C:V,3,0),"")</f>
        <v/>
      </c>
      <c r="F312" s="211" t="str">
        <f>IFERROR(VLOOKUP($C312,'PORTIFÓLIO'!C:V,4,0),"")</f>
        <v/>
      </c>
      <c r="G312" s="215" t="str">
        <f>IFERROR(VLOOKUP($C312,'PORTIFÓLIO'!C:V,5,0),"")</f>
        <v/>
      </c>
      <c r="H312" s="254" t="str">
        <f t="array" ref="H312">IFERROR(INDEX('PORTIFÓLIO'!$H$4:$H$433,MATCH($C312,'PORTIFÓLIO'!$C$4:$C$433,0)),"")</f>
        <v/>
      </c>
      <c r="I312" s="256"/>
      <c r="J312" s="218">
        <f t="shared" si="35"/>
        <v>0</v>
      </c>
      <c r="K312" s="292" t="str">
        <f t="array" ref="K312">IFERROR(I312*INDEX('PORTIFÓLIO'!$S$4:$S$433,MATCH($C312,'PORTIFÓLIO'!$C$4:$C$433,0)),"")</f>
        <v/>
      </c>
      <c r="L312" s="292" t="str">
        <f t="array" ref="L312">IFERROR(J312*INDEX('PORTIFÓLIO'!$S$4:$S$433,MATCH($C312,'PORTIFÓLIO'!$C$4:$C$433,0)),"")</f>
        <v/>
      </c>
      <c r="M312" s="220"/>
      <c r="N312" s="220"/>
      <c r="O312" s="220"/>
      <c r="P312" s="220"/>
      <c r="Q312" s="220"/>
      <c r="R312" s="220"/>
      <c r="S312" s="220"/>
      <c r="T312" s="220"/>
      <c r="U312" s="220"/>
      <c r="V312" s="220"/>
      <c r="W312" s="220"/>
    </row>
    <row r="313" ht="15.75" customHeight="1" outlineLevel="1">
      <c r="A313" s="211"/>
      <c r="B313" s="212"/>
      <c r="C313" s="213"/>
      <c r="D313" s="214" t="str">
        <f>IFERROR(VLOOKUP($C313,'PORTIFÓLIO'!C:V,2,0),"")</f>
        <v/>
      </c>
      <c r="E313" s="211" t="str">
        <f>IFERROR(VLOOKUP($C313,'PORTIFÓLIO'!C:V,3,0),"")</f>
        <v/>
      </c>
      <c r="F313" s="211" t="str">
        <f>IFERROR(VLOOKUP($C313,'PORTIFÓLIO'!C:V,4,0),"")</f>
        <v/>
      </c>
      <c r="G313" s="215" t="str">
        <f>IFERROR(VLOOKUP($C313,'PORTIFÓLIO'!C:V,5,0),"")</f>
        <v/>
      </c>
      <c r="H313" s="254" t="str">
        <f t="array" ref="H313">IFERROR(INDEX('PORTIFÓLIO'!$H$4:$H$433,MATCH($C313,'PORTIFÓLIO'!$C$4:$C$433,0)),"")</f>
        <v/>
      </c>
      <c r="I313" s="256"/>
      <c r="J313" s="218">
        <f t="shared" si="35"/>
        <v>0</v>
      </c>
      <c r="K313" s="292" t="str">
        <f t="array" ref="K313">IFERROR(I313*INDEX('PORTIFÓLIO'!$S$4:$S$433,MATCH($C313,'PORTIFÓLIO'!$C$4:$C$433,0)),"")</f>
        <v/>
      </c>
      <c r="L313" s="292" t="str">
        <f t="array" ref="L313">IFERROR(J313*INDEX('PORTIFÓLIO'!$S$4:$S$433,MATCH($C313,'PORTIFÓLIO'!$C$4:$C$433,0)),"")</f>
        <v/>
      </c>
      <c r="M313" s="220"/>
      <c r="N313" s="220"/>
      <c r="O313" s="220"/>
      <c r="P313" s="220"/>
      <c r="Q313" s="220"/>
      <c r="R313" s="220"/>
      <c r="S313" s="220"/>
      <c r="T313" s="220"/>
      <c r="U313" s="220"/>
      <c r="V313" s="220"/>
      <c r="W313" s="220"/>
    </row>
    <row r="314" ht="15.75" customHeight="1" outlineLevel="1">
      <c r="A314" s="211"/>
      <c r="B314" s="212"/>
      <c r="C314" s="213"/>
      <c r="D314" s="214" t="str">
        <f>IFERROR(VLOOKUP($C314,'PORTIFÓLIO'!C:V,2,0),"")</f>
        <v/>
      </c>
      <c r="E314" s="211" t="str">
        <f>IFERROR(VLOOKUP($C314,'PORTIFÓLIO'!C:V,3,0),"")</f>
        <v/>
      </c>
      <c r="F314" s="211" t="str">
        <f>IFERROR(VLOOKUP($C314,'PORTIFÓLIO'!C:V,4,0),"")</f>
        <v/>
      </c>
      <c r="G314" s="215" t="str">
        <f>IFERROR(VLOOKUP($C314,'PORTIFÓLIO'!C:V,5,0),"")</f>
        <v/>
      </c>
      <c r="H314" s="254" t="str">
        <f t="array" ref="H314">IFERROR(INDEX('PORTIFÓLIO'!$H$4:$H$433,MATCH($C314,'PORTIFÓLIO'!$C$4:$C$433,0)),"")</f>
        <v/>
      </c>
      <c r="I314" s="256"/>
      <c r="J314" s="218">
        <f t="shared" si="35"/>
        <v>0</v>
      </c>
      <c r="K314" s="292" t="str">
        <f t="array" ref="K314">IFERROR(I314*INDEX('PORTIFÓLIO'!$S$4:$S$433,MATCH($C314,'PORTIFÓLIO'!$C$4:$C$433,0)),"")</f>
        <v/>
      </c>
      <c r="L314" s="292" t="str">
        <f t="array" ref="L314">IFERROR(J314*INDEX('PORTIFÓLIO'!$S$4:$S$433,MATCH($C314,'PORTIFÓLIO'!$C$4:$C$433,0)),"")</f>
        <v/>
      </c>
      <c r="M314" s="220"/>
      <c r="N314" s="220"/>
      <c r="O314" s="220"/>
      <c r="P314" s="220"/>
      <c r="Q314" s="220"/>
      <c r="R314" s="220"/>
      <c r="S314" s="220"/>
      <c r="T314" s="220"/>
      <c r="U314" s="220"/>
      <c r="V314" s="220"/>
      <c r="W314" s="220"/>
    </row>
    <row r="315" ht="15.75" customHeight="1" outlineLevel="1">
      <c r="A315" s="211"/>
      <c r="B315" s="212"/>
      <c r="C315" s="213"/>
      <c r="D315" s="214" t="str">
        <f>IFERROR(VLOOKUP($C315,'PORTIFÓLIO'!C:V,2,0),"")</f>
        <v/>
      </c>
      <c r="E315" s="211" t="str">
        <f>IFERROR(VLOOKUP($C315,'PORTIFÓLIO'!C:V,3,0),"")</f>
        <v/>
      </c>
      <c r="F315" s="211" t="str">
        <f>IFERROR(VLOOKUP($C315,'PORTIFÓLIO'!C:V,4,0),"")</f>
        <v/>
      </c>
      <c r="G315" s="215" t="str">
        <f>IFERROR(VLOOKUP($C315,'PORTIFÓLIO'!C:V,5,0),"")</f>
        <v/>
      </c>
      <c r="H315" s="254" t="str">
        <f t="array" ref="H315">IFERROR(INDEX('PORTIFÓLIO'!$H$4:$H$433,MATCH($C315,'PORTIFÓLIO'!$C$4:$C$433,0)),"")</f>
        <v/>
      </c>
      <c r="I315" s="256"/>
      <c r="J315" s="218">
        <f t="shared" si="35"/>
        <v>0</v>
      </c>
      <c r="K315" s="292" t="str">
        <f t="array" ref="K315">IFERROR(I315*INDEX('PORTIFÓLIO'!$S$4:$S$433,MATCH($C315,'PORTIFÓLIO'!$C$4:$C$433,0)),"")</f>
        <v/>
      </c>
      <c r="L315" s="292" t="str">
        <f t="array" ref="L315">IFERROR(J315*INDEX('PORTIFÓLIO'!$S$4:$S$433,MATCH($C315,'PORTIFÓLIO'!$C$4:$C$433,0)),"")</f>
        <v/>
      </c>
      <c r="M315" s="220"/>
      <c r="N315" s="220"/>
      <c r="O315" s="220"/>
      <c r="P315" s="220"/>
      <c r="Q315" s="220"/>
      <c r="R315" s="220"/>
      <c r="S315" s="220"/>
      <c r="T315" s="220"/>
      <c r="U315" s="220"/>
      <c r="V315" s="220"/>
      <c r="W315" s="220"/>
    </row>
    <row r="316" ht="15.75" customHeight="1" outlineLevel="1">
      <c r="A316" s="211"/>
      <c r="B316" s="212"/>
      <c r="C316" s="213"/>
      <c r="D316" s="214" t="str">
        <f>IFERROR(VLOOKUP($C316,'PORTIFÓLIO'!C:V,2,0),"")</f>
        <v/>
      </c>
      <c r="E316" s="211" t="str">
        <f>IFERROR(VLOOKUP($C316,'PORTIFÓLIO'!C:V,3,0),"")</f>
        <v/>
      </c>
      <c r="F316" s="211" t="str">
        <f>IFERROR(VLOOKUP($C316,'PORTIFÓLIO'!C:V,4,0),"")</f>
        <v/>
      </c>
      <c r="G316" s="215" t="str">
        <f>IFERROR(VLOOKUP($C316,'PORTIFÓLIO'!C:V,5,0),"")</f>
        <v/>
      </c>
      <c r="H316" s="254" t="str">
        <f t="array" ref="H316">IFERROR(INDEX('PORTIFÓLIO'!$H$4:$H$433,MATCH($C316,'PORTIFÓLIO'!$C$4:$C$433,0)),"")</f>
        <v/>
      </c>
      <c r="I316" s="256"/>
      <c r="J316" s="218">
        <f t="shared" si="35"/>
        <v>0</v>
      </c>
      <c r="K316" s="292" t="str">
        <f t="array" ref="K316">IFERROR(I316*INDEX('PORTIFÓLIO'!$S$4:$S$433,MATCH($C316,'PORTIFÓLIO'!$C$4:$C$433,0)),"")</f>
        <v/>
      </c>
      <c r="L316" s="292" t="str">
        <f t="array" ref="L316">IFERROR(J316*INDEX('PORTIFÓLIO'!$S$4:$S$433,MATCH($C316,'PORTIFÓLIO'!$C$4:$C$433,0)),"")</f>
        <v/>
      </c>
      <c r="M316" s="220"/>
      <c r="N316" s="220"/>
      <c r="O316" s="220"/>
      <c r="P316" s="220"/>
      <c r="Q316" s="220"/>
      <c r="R316" s="220"/>
      <c r="S316" s="220"/>
      <c r="T316" s="220"/>
      <c r="U316" s="220"/>
      <c r="V316" s="220"/>
      <c r="W316" s="220"/>
    </row>
    <row r="317" ht="15.75" customHeight="1" outlineLevel="1">
      <c r="A317" s="211"/>
      <c r="B317" s="212"/>
      <c r="C317" s="213"/>
      <c r="D317" s="214" t="str">
        <f>IFERROR(VLOOKUP($C317,'PORTIFÓLIO'!C:V,2,0),"")</f>
        <v/>
      </c>
      <c r="E317" s="211" t="str">
        <f>IFERROR(VLOOKUP($C317,'PORTIFÓLIO'!C:V,3,0),"")</f>
        <v/>
      </c>
      <c r="F317" s="211" t="str">
        <f>IFERROR(VLOOKUP($C317,'PORTIFÓLIO'!C:V,4,0),"")</f>
        <v/>
      </c>
      <c r="G317" s="215" t="str">
        <f>IFERROR(VLOOKUP($C317,'PORTIFÓLIO'!C:V,5,0),"")</f>
        <v/>
      </c>
      <c r="H317" s="254" t="str">
        <f t="array" ref="H317">IFERROR(INDEX('PORTIFÓLIO'!$H$4:$H$433,MATCH($C317,'PORTIFÓLIO'!$C$4:$C$433,0)),"")</f>
        <v/>
      </c>
      <c r="I317" s="255"/>
      <c r="J317" s="218">
        <f t="shared" si="35"/>
        <v>0</v>
      </c>
      <c r="K317" s="292" t="str">
        <f t="array" ref="K317">IFERROR(I317*INDEX('PORTIFÓLIO'!$S$4:$S$433,MATCH($C317,'PORTIFÓLIO'!$C$4:$C$433,0)),"")</f>
        <v/>
      </c>
      <c r="L317" s="292" t="str">
        <f t="array" ref="L317">IFERROR(J317*INDEX('PORTIFÓLIO'!$S$4:$S$433,MATCH($C317,'PORTIFÓLIO'!$C$4:$C$433,0)),"")</f>
        <v/>
      </c>
      <c r="M317" s="220"/>
      <c r="N317" s="220"/>
      <c r="O317" s="220"/>
      <c r="P317" s="220"/>
      <c r="Q317" s="220"/>
      <c r="R317" s="220"/>
      <c r="S317" s="220"/>
      <c r="T317" s="220"/>
      <c r="U317" s="220"/>
      <c r="V317" s="220"/>
      <c r="W317" s="220"/>
    </row>
    <row r="318" ht="15.75" customHeight="1" outlineLevel="1">
      <c r="A318" s="211"/>
      <c r="B318" s="212"/>
      <c r="C318" s="213"/>
      <c r="D318" s="214" t="str">
        <f>IFERROR(VLOOKUP($C318,'PORTIFÓLIO'!C:V,2,0),"")</f>
        <v/>
      </c>
      <c r="E318" s="211" t="str">
        <f>IFERROR(VLOOKUP($C318,'PORTIFÓLIO'!C:V,3,0),"")</f>
        <v/>
      </c>
      <c r="F318" s="211" t="str">
        <f>IFERROR(VLOOKUP($C318,'PORTIFÓLIO'!C:V,4,0),"")</f>
        <v/>
      </c>
      <c r="G318" s="215" t="str">
        <f>IFERROR(VLOOKUP($C318,'PORTIFÓLIO'!C:V,5,0),"")</f>
        <v/>
      </c>
      <c r="H318" s="254" t="str">
        <f t="array" ref="H318">IFERROR(INDEX('PORTIFÓLIO'!$H$4:$H$433,MATCH($C318,'PORTIFÓLIO'!$C$4:$C$433,0)),"")</f>
        <v/>
      </c>
      <c r="I318" s="256"/>
      <c r="J318" s="218">
        <f t="shared" si="35"/>
        <v>0</v>
      </c>
      <c r="K318" s="292" t="str">
        <f t="array" ref="K318">IFERROR(I318*INDEX('PORTIFÓLIO'!$S$4:$S$433,MATCH($C318,'PORTIFÓLIO'!$C$4:$C$433,0)),"")</f>
        <v/>
      </c>
      <c r="L318" s="292" t="str">
        <f t="array" ref="L318">IFERROR(J318*INDEX('PORTIFÓLIO'!$S$4:$S$433,MATCH($C318,'PORTIFÓLIO'!$C$4:$C$433,0)),"")</f>
        <v/>
      </c>
      <c r="M318" s="220"/>
      <c r="N318" s="220"/>
      <c r="O318" s="220"/>
      <c r="P318" s="220"/>
      <c r="Q318" s="220"/>
      <c r="R318" s="220"/>
      <c r="S318" s="220"/>
      <c r="T318" s="220"/>
      <c r="U318" s="220"/>
      <c r="V318" s="220"/>
      <c r="W318" s="220"/>
    </row>
    <row r="319" ht="15.75" customHeight="1" outlineLevel="1">
      <c r="A319" s="211"/>
      <c r="B319" s="212"/>
      <c r="C319" s="213"/>
      <c r="D319" s="214" t="str">
        <f>IFERROR(VLOOKUP($C319,'PORTIFÓLIO'!C:V,2,0),"")</f>
        <v/>
      </c>
      <c r="E319" s="211" t="str">
        <f>IFERROR(VLOOKUP($C319,'PORTIFÓLIO'!C:V,3,0),"")</f>
        <v/>
      </c>
      <c r="F319" s="211" t="str">
        <f>IFERROR(VLOOKUP($C319,'PORTIFÓLIO'!C:V,4,0),"")</f>
        <v/>
      </c>
      <c r="G319" s="215" t="str">
        <f>IFERROR(VLOOKUP($C319,'PORTIFÓLIO'!C:V,5,0),"")</f>
        <v/>
      </c>
      <c r="H319" s="254" t="str">
        <f t="array" ref="H319">IFERROR(INDEX('PORTIFÓLIO'!$H$4:$H$433,MATCH($C319,'PORTIFÓLIO'!$C$4:$C$433,0)),"")</f>
        <v/>
      </c>
      <c r="I319" s="256"/>
      <c r="J319" s="218">
        <f t="shared" si="35"/>
        <v>0</v>
      </c>
      <c r="K319" s="292" t="str">
        <f t="array" ref="K319">IFERROR(I319*INDEX('PORTIFÓLIO'!$S$4:$S$433,MATCH($C319,'PORTIFÓLIO'!$C$4:$C$433,0)),"")</f>
        <v/>
      </c>
      <c r="L319" s="292" t="str">
        <f t="array" ref="L319">IFERROR(J319*INDEX('PORTIFÓLIO'!$S$4:$S$433,MATCH($C319,'PORTIFÓLIO'!$C$4:$C$433,0)),"")</f>
        <v/>
      </c>
      <c r="M319" s="220"/>
      <c r="N319" s="220"/>
      <c r="O319" s="220"/>
      <c r="P319" s="220"/>
      <c r="Q319" s="220"/>
      <c r="R319" s="220"/>
      <c r="S319" s="220"/>
      <c r="T319" s="220"/>
      <c r="U319" s="220"/>
      <c r="V319" s="220"/>
      <c r="W319" s="220"/>
    </row>
    <row r="320" ht="15.75" customHeight="1" outlineLevel="1">
      <c r="A320" s="211"/>
      <c r="B320" s="212"/>
      <c r="C320" s="213"/>
      <c r="D320" s="214" t="str">
        <f>IFERROR(VLOOKUP($C320,'PORTIFÓLIO'!C:V,2,0),"")</f>
        <v/>
      </c>
      <c r="E320" s="211" t="str">
        <f>IFERROR(VLOOKUP($C320,'PORTIFÓLIO'!C:V,3,0),"")</f>
        <v/>
      </c>
      <c r="F320" s="211" t="str">
        <f>IFERROR(VLOOKUP($C320,'PORTIFÓLIO'!C:V,4,0),"")</f>
        <v/>
      </c>
      <c r="G320" s="215" t="str">
        <f>IFERROR(VLOOKUP($C320,'PORTIFÓLIO'!C:V,5,0),"")</f>
        <v/>
      </c>
      <c r="H320" s="254" t="str">
        <f t="array" ref="H320">IFERROR(INDEX('PORTIFÓLIO'!$H$4:$H$433,MATCH($C320,'PORTIFÓLIO'!$C$4:$C$433,0)),"")</f>
        <v/>
      </c>
      <c r="I320" s="256"/>
      <c r="J320" s="218">
        <f t="shared" si="35"/>
        <v>0</v>
      </c>
      <c r="K320" s="292" t="str">
        <f t="array" ref="K320">IFERROR(I320*INDEX('PORTIFÓLIO'!$S$4:$S$433,MATCH($C320,'PORTIFÓLIO'!$C$4:$C$433,0)),"")</f>
        <v/>
      </c>
      <c r="L320" s="292" t="str">
        <f t="array" ref="L320">IFERROR(J320*INDEX('PORTIFÓLIO'!$S$4:$S$433,MATCH($C320,'PORTIFÓLIO'!$C$4:$C$433,0)),"")</f>
        <v/>
      </c>
      <c r="M320" s="220"/>
      <c r="N320" s="220"/>
      <c r="O320" s="220"/>
      <c r="P320" s="220"/>
      <c r="Q320" s="220"/>
      <c r="R320" s="220"/>
      <c r="S320" s="220"/>
      <c r="T320" s="220"/>
      <c r="U320" s="220"/>
      <c r="V320" s="220"/>
      <c r="W320" s="220"/>
    </row>
    <row r="321" ht="15.75" customHeight="1" outlineLevel="1">
      <c r="A321" s="211"/>
      <c r="B321" s="212"/>
      <c r="C321" s="213"/>
      <c r="D321" s="214" t="str">
        <f>IFERROR(VLOOKUP($C321,'PORTIFÓLIO'!C:V,2,0),"")</f>
        <v/>
      </c>
      <c r="E321" s="211" t="str">
        <f>IFERROR(VLOOKUP($C321,'PORTIFÓLIO'!C:V,3,0),"")</f>
        <v/>
      </c>
      <c r="F321" s="211" t="str">
        <f>IFERROR(VLOOKUP($C321,'PORTIFÓLIO'!C:V,4,0),"")</f>
        <v/>
      </c>
      <c r="G321" s="215" t="str">
        <f>IFERROR(VLOOKUP($C321,'PORTIFÓLIO'!C:V,5,0),"")</f>
        <v/>
      </c>
      <c r="H321" s="254" t="str">
        <f t="array" ref="H321">IFERROR(INDEX('PORTIFÓLIO'!$H$4:$H$433,MATCH($C321,'PORTIFÓLIO'!$C$4:$C$433,0)),"")</f>
        <v/>
      </c>
      <c r="I321" s="256"/>
      <c r="J321" s="218">
        <f t="shared" si="35"/>
        <v>0</v>
      </c>
      <c r="K321" s="292" t="str">
        <f t="array" ref="K321">IFERROR(I321*INDEX('PORTIFÓLIO'!$S$4:$S$433,MATCH($C321,'PORTIFÓLIO'!$C$4:$C$433,0)),"")</f>
        <v/>
      </c>
      <c r="L321" s="292" t="str">
        <f t="array" ref="L321">IFERROR(J321*INDEX('PORTIFÓLIO'!$S$4:$S$433,MATCH($C321,'PORTIFÓLIO'!$C$4:$C$433,0)),"")</f>
        <v/>
      </c>
      <c r="M321" s="220"/>
      <c r="N321" s="220"/>
      <c r="O321" s="220"/>
      <c r="P321" s="220"/>
      <c r="Q321" s="220"/>
      <c r="R321" s="220"/>
      <c r="S321" s="220"/>
      <c r="T321" s="220"/>
      <c r="U321" s="220"/>
      <c r="V321" s="220"/>
      <c r="W321" s="220"/>
    </row>
    <row r="322" ht="15.75" customHeight="1" outlineLevel="1">
      <c r="A322" s="211"/>
      <c r="B322" s="212"/>
      <c r="C322" s="213"/>
      <c r="D322" s="214" t="str">
        <f>IFERROR(VLOOKUP($C322,'PORTIFÓLIO'!C:V,2,0),"")</f>
        <v/>
      </c>
      <c r="E322" s="211" t="str">
        <f>IFERROR(VLOOKUP($C322,'PORTIFÓLIO'!C:V,3,0),"")</f>
        <v/>
      </c>
      <c r="F322" s="211" t="str">
        <f>IFERROR(VLOOKUP($C322,'PORTIFÓLIO'!C:V,4,0),"")</f>
        <v/>
      </c>
      <c r="G322" s="215" t="str">
        <f>IFERROR(VLOOKUP($C322,'PORTIFÓLIO'!C:V,5,0),"")</f>
        <v/>
      </c>
      <c r="H322" s="254" t="str">
        <f t="array" ref="H322">IFERROR(INDEX('PORTIFÓLIO'!$H$4:$H$433,MATCH($C322,'PORTIFÓLIO'!$C$4:$C$433,0)),"")</f>
        <v/>
      </c>
      <c r="I322" s="256"/>
      <c r="J322" s="218">
        <f t="shared" si="35"/>
        <v>0</v>
      </c>
      <c r="K322" s="292" t="str">
        <f t="array" ref="K322">IFERROR(I322*INDEX('PORTIFÓLIO'!$S$4:$S$433,MATCH($C322,'PORTIFÓLIO'!$C$4:$C$433,0)),"")</f>
        <v/>
      </c>
      <c r="L322" s="292" t="str">
        <f t="array" ref="L322">IFERROR(J322*INDEX('PORTIFÓLIO'!$S$4:$S$433,MATCH($C322,'PORTIFÓLIO'!$C$4:$C$433,0)),"")</f>
        <v/>
      </c>
      <c r="M322" s="220"/>
      <c r="N322" s="220"/>
      <c r="O322" s="220"/>
      <c r="P322" s="220"/>
      <c r="Q322" s="220"/>
      <c r="R322" s="220"/>
      <c r="S322" s="220"/>
      <c r="T322" s="220"/>
      <c r="U322" s="220"/>
      <c r="V322" s="220"/>
      <c r="W322" s="220"/>
    </row>
    <row r="323" ht="15.75" customHeight="1" outlineLevel="1">
      <c r="A323" s="211"/>
      <c r="B323" s="212"/>
      <c r="C323" s="213"/>
      <c r="D323" s="214" t="str">
        <f>IFERROR(VLOOKUP($C323,'PORTIFÓLIO'!C:V,2,0),"")</f>
        <v/>
      </c>
      <c r="E323" s="211" t="str">
        <f>IFERROR(VLOOKUP($C323,'PORTIFÓLIO'!C:V,3,0),"")</f>
        <v/>
      </c>
      <c r="F323" s="211" t="str">
        <f>IFERROR(VLOOKUP($C323,'PORTIFÓLIO'!C:V,4,0),"")</f>
        <v/>
      </c>
      <c r="G323" s="215" t="str">
        <f>IFERROR(VLOOKUP($C323,'PORTIFÓLIO'!C:V,5,0),"")</f>
        <v/>
      </c>
      <c r="H323" s="254" t="str">
        <f t="array" ref="H323">IFERROR(INDEX('PORTIFÓLIO'!$H$4:$H$433,MATCH($C323,'PORTIFÓLIO'!$C$4:$C$433,0)),"")</f>
        <v/>
      </c>
      <c r="I323" s="256"/>
      <c r="J323" s="218">
        <f t="shared" si="35"/>
        <v>0</v>
      </c>
      <c r="K323" s="292" t="str">
        <f t="array" ref="K323">IFERROR(I323*INDEX('PORTIFÓLIO'!$S$4:$S$433,MATCH($C323,'PORTIFÓLIO'!$C$4:$C$433,0)),"")</f>
        <v/>
      </c>
      <c r="L323" s="292" t="str">
        <f t="array" ref="L323">IFERROR(J323*INDEX('PORTIFÓLIO'!$S$4:$S$433,MATCH($C323,'PORTIFÓLIO'!$C$4:$C$433,0)),"")</f>
        <v/>
      </c>
      <c r="M323" s="220"/>
      <c r="N323" s="220"/>
      <c r="O323" s="220"/>
      <c r="P323" s="220"/>
      <c r="Q323" s="220"/>
      <c r="R323" s="220"/>
      <c r="S323" s="220"/>
      <c r="T323" s="220"/>
      <c r="U323" s="220"/>
      <c r="V323" s="220"/>
      <c r="W323" s="220"/>
    </row>
    <row r="324" ht="15.75" customHeight="1">
      <c r="A324" s="229" t="s">
        <v>1189</v>
      </c>
      <c r="B324" s="230"/>
      <c r="C324" s="231"/>
      <c r="D324" s="232"/>
      <c r="E324" s="231"/>
      <c r="F324" s="231"/>
      <c r="G324" s="233"/>
      <c r="H324" s="233"/>
      <c r="I324" s="258"/>
      <c r="J324" s="236"/>
      <c r="K324" s="237">
        <f t="shared" ref="K324:L324" si="36">SUBTOTAL(9,K325:K338)</f>
        <v>0</v>
      </c>
      <c r="L324" s="237">
        <f t="shared" si="36"/>
        <v>0</v>
      </c>
      <c r="M324" s="220"/>
      <c r="N324" s="220"/>
      <c r="O324" s="220"/>
      <c r="P324" s="220"/>
      <c r="Q324" s="220"/>
      <c r="R324" s="220"/>
      <c r="S324" s="220"/>
      <c r="T324" s="220"/>
      <c r="U324" s="220"/>
      <c r="V324" s="220"/>
      <c r="W324" s="220"/>
    </row>
    <row r="325" ht="15.75" customHeight="1" outlineLevel="1">
      <c r="A325" s="213"/>
      <c r="B325" s="212"/>
      <c r="C325" s="213"/>
      <c r="D325" s="214" t="str">
        <f>IFERROR(VLOOKUP($C325,'PORTIFÓLIO'!C:V,2,0),"")</f>
        <v/>
      </c>
      <c r="E325" s="211" t="str">
        <f>IFERROR(VLOOKUP($C325,'PORTIFÓLIO'!C:V,3,0),"")</f>
        <v/>
      </c>
      <c r="F325" s="211" t="str">
        <f>IFERROR(VLOOKUP($C325,'PORTIFÓLIO'!C:V,4,0),"")</f>
        <v/>
      </c>
      <c r="G325" s="215" t="str">
        <f>IFERROR(VLOOKUP($C325,'PORTIFÓLIO'!C:V,5,0),"")</f>
        <v/>
      </c>
      <c r="H325" s="254" t="str">
        <f t="array" ref="H325">IFERROR(INDEX('PORTIFÓLIO'!$H$4:$H$433,MATCH($C325,'PORTIFÓLIO'!$C$4:$C$433,0)),"")</f>
        <v/>
      </c>
      <c r="I325" s="255"/>
      <c r="J325" s="218">
        <f t="shared" ref="J325:J339" si="37">I325*$B$2</f>
        <v>0</v>
      </c>
      <c r="K325" s="292" t="str">
        <f t="array" ref="K325">IFERROR(I325*INDEX('PORTIFÓLIO'!$S$4:$S$433,MATCH($C325,'PORTIFÓLIO'!$C$4:$C$433,0)),"")</f>
        <v/>
      </c>
      <c r="L325" s="292" t="str">
        <f t="array" ref="L325">IFERROR(J325*INDEX('PORTIFÓLIO'!$S$4:$S$433,MATCH($C325,'PORTIFÓLIO'!$C$4:$C$433,0)),"")</f>
        <v/>
      </c>
      <c r="M325" s="220"/>
      <c r="N325" s="220"/>
      <c r="O325" s="220"/>
      <c r="P325" s="220"/>
      <c r="Q325" s="220"/>
      <c r="R325" s="220"/>
      <c r="S325" s="220"/>
      <c r="T325" s="220"/>
      <c r="U325" s="220"/>
      <c r="V325" s="220"/>
      <c r="W325" s="220"/>
    </row>
    <row r="326" ht="15.75" customHeight="1" outlineLevel="1">
      <c r="A326" s="211"/>
      <c r="B326" s="212"/>
      <c r="C326" s="213"/>
      <c r="D326" s="214" t="str">
        <f>IFERROR(VLOOKUP($C326,'PORTIFÓLIO'!C:V,2,0),"")</f>
        <v/>
      </c>
      <c r="E326" s="211" t="str">
        <f>IFERROR(VLOOKUP($C326,'PORTIFÓLIO'!C:V,3,0),"")</f>
        <v/>
      </c>
      <c r="F326" s="211" t="str">
        <f>IFERROR(VLOOKUP($C326,'PORTIFÓLIO'!C:V,4,0),"")</f>
        <v/>
      </c>
      <c r="G326" s="215" t="str">
        <f>IFERROR(VLOOKUP($C326,'PORTIFÓLIO'!C:V,5,0),"")</f>
        <v/>
      </c>
      <c r="H326" s="254" t="str">
        <f t="array" ref="H326">IFERROR(INDEX('PORTIFÓLIO'!$H$4:$H$433,MATCH($C326,'PORTIFÓLIO'!$C$4:$C$433,0)),"")</f>
        <v/>
      </c>
      <c r="I326" s="256"/>
      <c r="J326" s="218">
        <f t="shared" si="37"/>
        <v>0</v>
      </c>
      <c r="K326" s="292" t="str">
        <f t="array" ref="K326">IFERROR(I326*INDEX('PORTIFÓLIO'!$S$4:$S$433,MATCH($C326,'PORTIFÓLIO'!$C$4:$C$433,0)),"")</f>
        <v/>
      </c>
      <c r="L326" s="292" t="str">
        <f t="array" ref="L326">IFERROR(J326*INDEX('PORTIFÓLIO'!$S$4:$S$433,MATCH($C326,'PORTIFÓLIO'!$C$4:$C$433,0)),"")</f>
        <v/>
      </c>
      <c r="M326" s="220"/>
      <c r="N326" s="220"/>
      <c r="O326" s="220"/>
      <c r="P326" s="220"/>
      <c r="Q326" s="220"/>
      <c r="R326" s="220"/>
      <c r="S326" s="220"/>
      <c r="T326" s="220"/>
      <c r="U326" s="220"/>
      <c r="V326" s="220"/>
      <c r="W326" s="220"/>
    </row>
    <row r="327" ht="15.75" customHeight="1" outlineLevel="1">
      <c r="A327" s="211"/>
      <c r="B327" s="212"/>
      <c r="C327" s="213"/>
      <c r="D327" s="214" t="str">
        <f>IFERROR(VLOOKUP($C327,'PORTIFÓLIO'!C:V,2,0),"")</f>
        <v/>
      </c>
      <c r="E327" s="211" t="str">
        <f>IFERROR(VLOOKUP($C327,'PORTIFÓLIO'!C:V,3,0),"")</f>
        <v/>
      </c>
      <c r="F327" s="211" t="str">
        <f>IFERROR(VLOOKUP($C327,'PORTIFÓLIO'!C:V,4,0),"")</f>
        <v/>
      </c>
      <c r="G327" s="215" t="str">
        <f>IFERROR(VLOOKUP($C327,'PORTIFÓLIO'!C:V,5,0),"")</f>
        <v/>
      </c>
      <c r="H327" s="254" t="str">
        <f t="array" ref="H327">IFERROR(INDEX('PORTIFÓLIO'!$H$4:$H$433,MATCH($C327,'PORTIFÓLIO'!$C$4:$C$433,0)),"")</f>
        <v/>
      </c>
      <c r="I327" s="256"/>
      <c r="J327" s="218">
        <f t="shared" si="37"/>
        <v>0</v>
      </c>
      <c r="K327" s="292" t="str">
        <f t="array" ref="K327">IFERROR(I327*INDEX('PORTIFÓLIO'!$S$4:$S$433,MATCH($C327,'PORTIFÓLIO'!$C$4:$C$433,0)),"")</f>
        <v/>
      </c>
      <c r="L327" s="292" t="str">
        <f t="array" ref="L327">IFERROR(J327*INDEX('PORTIFÓLIO'!$S$4:$S$433,MATCH($C327,'PORTIFÓLIO'!$C$4:$C$433,0)),"")</f>
        <v/>
      </c>
      <c r="M327" s="220"/>
      <c r="N327" s="220"/>
      <c r="O327" s="220"/>
      <c r="P327" s="220"/>
      <c r="Q327" s="220"/>
      <c r="R327" s="220"/>
      <c r="S327" s="220"/>
      <c r="T327" s="220"/>
      <c r="U327" s="220"/>
      <c r="V327" s="220"/>
      <c r="W327" s="220"/>
    </row>
    <row r="328" ht="15.75" customHeight="1" outlineLevel="1">
      <c r="A328" s="211"/>
      <c r="B328" s="212"/>
      <c r="C328" s="213"/>
      <c r="D328" s="214" t="str">
        <f>IFERROR(VLOOKUP($C328,'PORTIFÓLIO'!C:V,2,0),"")</f>
        <v/>
      </c>
      <c r="E328" s="211" t="str">
        <f>IFERROR(VLOOKUP($C328,'PORTIFÓLIO'!C:V,3,0),"")</f>
        <v/>
      </c>
      <c r="F328" s="211" t="str">
        <f>IFERROR(VLOOKUP($C328,'PORTIFÓLIO'!C:V,4,0),"")</f>
        <v/>
      </c>
      <c r="G328" s="215" t="str">
        <f>IFERROR(VLOOKUP($C328,'PORTIFÓLIO'!C:V,5,0),"")</f>
        <v/>
      </c>
      <c r="H328" s="254" t="str">
        <f t="array" ref="H328">IFERROR(INDEX('PORTIFÓLIO'!$H$4:$H$433,MATCH($C328,'PORTIFÓLIO'!$C$4:$C$433,0)),"")</f>
        <v/>
      </c>
      <c r="I328" s="256"/>
      <c r="J328" s="218">
        <f t="shared" si="37"/>
        <v>0</v>
      </c>
      <c r="K328" s="292" t="str">
        <f t="array" ref="K328">IFERROR(I328*INDEX('PORTIFÓLIO'!$S$4:$S$433,MATCH($C328,'PORTIFÓLIO'!$C$4:$C$433,0)),"")</f>
        <v/>
      </c>
      <c r="L328" s="292" t="str">
        <f t="array" ref="L328">IFERROR(J328*INDEX('PORTIFÓLIO'!$S$4:$S$433,MATCH($C328,'PORTIFÓLIO'!$C$4:$C$433,0)),"")</f>
        <v/>
      </c>
      <c r="M328" s="220"/>
      <c r="N328" s="220"/>
      <c r="O328" s="220"/>
      <c r="P328" s="220"/>
      <c r="Q328" s="220"/>
      <c r="R328" s="220"/>
      <c r="S328" s="220"/>
      <c r="T328" s="220"/>
      <c r="U328" s="220"/>
      <c r="V328" s="220"/>
      <c r="W328" s="220"/>
    </row>
    <row r="329" ht="15.75" customHeight="1" outlineLevel="1">
      <c r="A329" s="211"/>
      <c r="B329" s="212"/>
      <c r="C329" s="213"/>
      <c r="D329" s="214" t="str">
        <f>IFERROR(VLOOKUP($C329,'PORTIFÓLIO'!C:V,2,0),"")</f>
        <v/>
      </c>
      <c r="E329" s="211" t="str">
        <f>IFERROR(VLOOKUP($C329,'PORTIFÓLIO'!C:V,3,0),"")</f>
        <v/>
      </c>
      <c r="F329" s="211" t="str">
        <f>IFERROR(VLOOKUP($C329,'PORTIFÓLIO'!C:V,4,0),"")</f>
        <v/>
      </c>
      <c r="G329" s="215" t="str">
        <f>IFERROR(VLOOKUP($C329,'PORTIFÓLIO'!C:V,5,0),"")</f>
        <v/>
      </c>
      <c r="H329" s="254" t="str">
        <f t="array" ref="H329">IFERROR(INDEX('PORTIFÓLIO'!$H$4:$H$433,MATCH($C329,'PORTIFÓLIO'!$C$4:$C$433,0)),"")</f>
        <v/>
      </c>
      <c r="I329" s="256"/>
      <c r="J329" s="218">
        <f t="shared" si="37"/>
        <v>0</v>
      </c>
      <c r="K329" s="292" t="str">
        <f t="array" ref="K329">IFERROR(I329*INDEX('PORTIFÓLIO'!$S$4:$S$433,MATCH($C329,'PORTIFÓLIO'!$C$4:$C$433,0)),"")</f>
        <v/>
      </c>
      <c r="L329" s="292" t="str">
        <f t="array" ref="L329">IFERROR(J329*INDEX('PORTIFÓLIO'!$S$4:$S$433,MATCH($C329,'PORTIFÓLIO'!$C$4:$C$433,0)),"")</f>
        <v/>
      </c>
      <c r="M329" s="220"/>
      <c r="N329" s="220"/>
      <c r="O329" s="220"/>
      <c r="P329" s="220"/>
      <c r="Q329" s="220"/>
      <c r="R329" s="220"/>
      <c r="S329" s="220"/>
      <c r="T329" s="220"/>
      <c r="U329" s="220"/>
      <c r="V329" s="220"/>
      <c r="W329" s="220"/>
    </row>
    <row r="330" ht="15.75" customHeight="1" outlineLevel="1">
      <c r="A330" s="211"/>
      <c r="B330" s="212"/>
      <c r="C330" s="213"/>
      <c r="D330" s="214" t="str">
        <f>IFERROR(VLOOKUP($C330,'PORTIFÓLIO'!C:V,2,0),"")</f>
        <v/>
      </c>
      <c r="E330" s="211" t="str">
        <f>IFERROR(VLOOKUP($C330,'PORTIFÓLIO'!C:V,3,0),"")</f>
        <v/>
      </c>
      <c r="F330" s="211" t="str">
        <f>IFERROR(VLOOKUP($C330,'PORTIFÓLIO'!C:V,4,0),"")</f>
        <v/>
      </c>
      <c r="G330" s="215" t="str">
        <f>IFERROR(VLOOKUP($C330,'PORTIFÓLIO'!C:V,5,0),"")</f>
        <v/>
      </c>
      <c r="H330" s="254" t="str">
        <f t="array" ref="H330">IFERROR(INDEX('PORTIFÓLIO'!$H$4:$H$433,MATCH($C330,'PORTIFÓLIO'!$C$4:$C$433,0)),"")</f>
        <v/>
      </c>
      <c r="I330" s="256"/>
      <c r="J330" s="218">
        <f t="shared" si="37"/>
        <v>0</v>
      </c>
      <c r="K330" s="292" t="str">
        <f t="array" ref="K330">IFERROR(I330*INDEX('PORTIFÓLIO'!$S$4:$S$433,MATCH($C330,'PORTIFÓLIO'!$C$4:$C$433,0)),"")</f>
        <v/>
      </c>
      <c r="L330" s="292" t="str">
        <f t="array" ref="L330">IFERROR(J330*INDEX('PORTIFÓLIO'!$S$4:$S$433,MATCH($C330,'PORTIFÓLIO'!$C$4:$C$433,0)),"")</f>
        <v/>
      </c>
      <c r="M330" s="220"/>
      <c r="N330" s="220"/>
      <c r="O330" s="220"/>
      <c r="P330" s="220"/>
      <c r="Q330" s="220"/>
      <c r="R330" s="220"/>
      <c r="S330" s="220"/>
      <c r="T330" s="220"/>
      <c r="U330" s="220"/>
      <c r="V330" s="220"/>
      <c r="W330" s="220"/>
    </row>
    <row r="331" ht="15.75" customHeight="1" outlineLevel="1">
      <c r="A331" s="211"/>
      <c r="B331" s="212"/>
      <c r="C331" s="213"/>
      <c r="D331" s="214" t="str">
        <f>IFERROR(VLOOKUP($C331,'PORTIFÓLIO'!C:V,2,0),"")</f>
        <v/>
      </c>
      <c r="E331" s="211" t="str">
        <f>IFERROR(VLOOKUP($C331,'PORTIFÓLIO'!C:V,3,0),"")</f>
        <v/>
      </c>
      <c r="F331" s="211" t="str">
        <f>IFERROR(VLOOKUP($C331,'PORTIFÓLIO'!C:V,4,0),"")</f>
        <v/>
      </c>
      <c r="G331" s="215" t="str">
        <f>IFERROR(VLOOKUP($C331,'PORTIFÓLIO'!C:V,5,0),"")</f>
        <v/>
      </c>
      <c r="H331" s="254" t="str">
        <f t="array" ref="H331">IFERROR(INDEX('PORTIFÓLIO'!$H$4:$H$433,MATCH($C331,'PORTIFÓLIO'!$C$4:$C$433,0)),"")</f>
        <v/>
      </c>
      <c r="I331" s="256"/>
      <c r="J331" s="218">
        <f t="shared" si="37"/>
        <v>0</v>
      </c>
      <c r="K331" s="292" t="str">
        <f t="array" ref="K331">IFERROR(I331*INDEX('PORTIFÓLIO'!$S$4:$S$433,MATCH($C331,'PORTIFÓLIO'!$C$4:$C$433,0)),"")</f>
        <v/>
      </c>
      <c r="L331" s="292" t="str">
        <f t="array" ref="L331">IFERROR(J331*INDEX('PORTIFÓLIO'!$S$4:$S$433,MATCH($C331,'PORTIFÓLIO'!$C$4:$C$433,0)),"")</f>
        <v/>
      </c>
      <c r="M331" s="220"/>
      <c r="N331" s="220"/>
      <c r="O331" s="220"/>
      <c r="P331" s="220"/>
      <c r="Q331" s="220"/>
      <c r="R331" s="220"/>
      <c r="S331" s="220"/>
      <c r="T331" s="220"/>
      <c r="U331" s="220"/>
      <c r="V331" s="220"/>
      <c r="W331" s="220"/>
    </row>
    <row r="332" ht="15.75" customHeight="1" outlineLevel="1">
      <c r="A332" s="211"/>
      <c r="B332" s="212"/>
      <c r="C332" s="213"/>
      <c r="D332" s="214" t="str">
        <f>IFERROR(VLOOKUP($C332,'PORTIFÓLIO'!C:V,2,0),"")</f>
        <v/>
      </c>
      <c r="E332" s="211" t="str">
        <f>IFERROR(VLOOKUP($C332,'PORTIFÓLIO'!C:V,3,0),"")</f>
        <v/>
      </c>
      <c r="F332" s="211" t="str">
        <f>IFERROR(VLOOKUP($C332,'PORTIFÓLIO'!C:V,4,0),"")</f>
        <v/>
      </c>
      <c r="G332" s="215" t="str">
        <f>IFERROR(VLOOKUP($C332,'PORTIFÓLIO'!C:V,5,0),"")</f>
        <v/>
      </c>
      <c r="H332" s="254" t="str">
        <f t="array" ref="H332">IFERROR(INDEX('PORTIFÓLIO'!$H$4:$H$433,MATCH($C332,'PORTIFÓLIO'!$C$4:$C$433,0)),"")</f>
        <v/>
      </c>
      <c r="I332" s="256"/>
      <c r="J332" s="218">
        <f t="shared" si="37"/>
        <v>0</v>
      </c>
      <c r="K332" s="292" t="str">
        <f t="array" ref="K332">IFERROR(I332*INDEX('PORTIFÓLIO'!$S$4:$S$433,MATCH($C332,'PORTIFÓLIO'!$C$4:$C$433,0)),"")</f>
        <v/>
      </c>
      <c r="L332" s="292" t="str">
        <f t="array" ref="L332">IFERROR(J332*INDEX('PORTIFÓLIO'!$S$4:$S$433,MATCH($C332,'PORTIFÓLIO'!$C$4:$C$433,0)),"")</f>
        <v/>
      </c>
      <c r="M332" s="220"/>
      <c r="N332" s="220"/>
      <c r="O332" s="220"/>
      <c r="P332" s="220"/>
      <c r="Q332" s="220"/>
      <c r="R332" s="220"/>
      <c r="S332" s="220"/>
      <c r="T332" s="220"/>
      <c r="U332" s="220"/>
      <c r="V332" s="220"/>
      <c r="W332" s="220"/>
    </row>
    <row r="333" ht="15.75" customHeight="1" outlineLevel="1">
      <c r="A333" s="211"/>
      <c r="B333" s="212"/>
      <c r="C333" s="213"/>
      <c r="D333" s="214" t="str">
        <f>IFERROR(VLOOKUP($C333,'PORTIFÓLIO'!C:V,2,0),"")</f>
        <v/>
      </c>
      <c r="E333" s="211" t="str">
        <f>IFERROR(VLOOKUP($C333,'PORTIFÓLIO'!C:V,3,0),"")</f>
        <v/>
      </c>
      <c r="F333" s="211" t="str">
        <f>IFERROR(VLOOKUP($C333,'PORTIFÓLIO'!C:V,4,0),"")</f>
        <v/>
      </c>
      <c r="G333" s="215" t="str">
        <f>IFERROR(VLOOKUP($C333,'PORTIFÓLIO'!C:V,5,0),"")</f>
        <v/>
      </c>
      <c r="H333" s="254" t="str">
        <f t="array" ref="H333">IFERROR(INDEX('PORTIFÓLIO'!$H$4:$H$433,MATCH($C333,'PORTIFÓLIO'!$C$4:$C$433,0)),"")</f>
        <v/>
      </c>
      <c r="I333" s="255"/>
      <c r="J333" s="218">
        <f t="shared" si="37"/>
        <v>0</v>
      </c>
      <c r="K333" s="292" t="str">
        <f t="array" ref="K333">IFERROR(I333*INDEX('PORTIFÓLIO'!$S$4:$S$433,MATCH($C333,'PORTIFÓLIO'!$C$4:$C$433,0)),"")</f>
        <v/>
      </c>
      <c r="L333" s="292" t="str">
        <f t="array" ref="L333">IFERROR(J333*INDEX('PORTIFÓLIO'!$S$4:$S$433,MATCH($C333,'PORTIFÓLIO'!$C$4:$C$433,0)),"")</f>
        <v/>
      </c>
      <c r="M333" s="220"/>
      <c r="N333" s="220"/>
      <c r="O333" s="220"/>
      <c r="P333" s="220"/>
      <c r="Q333" s="220"/>
      <c r="R333" s="220"/>
      <c r="S333" s="220"/>
      <c r="T333" s="220"/>
      <c r="U333" s="220"/>
      <c r="V333" s="220"/>
      <c r="W333" s="220"/>
    </row>
    <row r="334" ht="15.75" customHeight="1" outlineLevel="1">
      <c r="A334" s="211"/>
      <c r="B334" s="212"/>
      <c r="C334" s="213"/>
      <c r="D334" s="214" t="str">
        <f>IFERROR(VLOOKUP($C334,'PORTIFÓLIO'!C:V,2,0),"")</f>
        <v/>
      </c>
      <c r="E334" s="211" t="str">
        <f>IFERROR(VLOOKUP($C334,'PORTIFÓLIO'!C:V,3,0),"")</f>
        <v/>
      </c>
      <c r="F334" s="211" t="str">
        <f>IFERROR(VLOOKUP($C334,'PORTIFÓLIO'!C:V,4,0),"")</f>
        <v/>
      </c>
      <c r="G334" s="215" t="str">
        <f>IFERROR(VLOOKUP($C334,'PORTIFÓLIO'!C:V,5,0),"")</f>
        <v/>
      </c>
      <c r="H334" s="254" t="str">
        <f t="array" ref="H334">IFERROR(INDEX('PORTIFÓLIO'!$H$4:$H$433,MATCH($C334,'PORTIFÓLIO'!$C$4:$C$433,0)),"")</f>
        <v/>
      </c>
      <c r="I334" s="256"/>
      <c r="J334" s="218">
        <f t="shared" si="37"/>
        <v>0</v>
      </c>
      <c r="K334" s="292" t="str">
        <f t="array" ref="K334">IFERROR(I334*INDEX('PORTIFÓLIO'!$S$4:$S$433,MATCH($C334,'PORTIFÓLIO'!$C$4:$C$433,0)),"")</f>
        <v/>
      </c>
      <c r="L334" s="292" t="str">
        <f t="array" ref="L334">IFERROR(J334*INDEX('PORTIFÓLIO'!$S$4:$S$433,MATCH($C334,'PORTIFÓLIO'!$C$4:$C$433,0)),"")</f>
        <v/>
      </c>
      <c r="M334" s="220"/>
      <c r="N334" s="220"/>
      <c r="O334" s="220"/>
      <c r="P334" s="220"/>
      <c r="Q334" s="220"/>
      <c r="R334" s="220"/>
      <c r="S334" s="220"/>
      <c r="T334" s="220"/>
      <c r="U334" s="220"/>
      <c r="V334" s="220"/>
      <c r="W334" s="220"/>
    </row>
    <row r="335" ht="15.75" customHeight="1" outlineLevel="1">
      <c r="A335" s="211"/>
      <c r="B335" s="212"/>
      <c r="C335" s="213"/>
      <c r="D335" s="214" t="str">
        <f>IFERROR(VLOOKUP($C335,'PORTIFÓLIO'!C:V,2,0),"")</f>
        <v/>
      </c>
      <c r="E335" s="211" t="str">
        <f>IFERROR(VLOOKUP($C335,'PORTIFÓLIO'!C:V,3,0),"")</f>
        <v/>
      </c>
      <c r="F335" s="211" t="str">
        <f>IFERROR(VLOOKUP($C335,'PORTIFÓLIO'!C:V,4,0),"")</f>
        <v/>
      </c>
      <c r="G335" s="215" t="str">
        <f>IFERROR(VLOOKUP($C335,'PORTIFÓLIO'!C:V,5,0),"")</f>
        <v/>
      </c>
      <c r="H335" s="254" t="str">
        <f t="array" ref="H335">IFERROR(INDEX('PORTIFÓLIO'!$H$4:$H$433,MATCH($C335,'PORTIFÓLIO'!$C$4:$C$433,0)),"")</f>
        <v/>
      </c>
      <c r="I335" s="256"/>
      <c r="J335" s="218">
        <f t="shared" si="37"/>
        <v>0</v>
      </c>
      <c r="K335" s="292" t="str">
        <f t="array" ref="K335">IFERROR(I335*INDEX('PORTIFÓLIO'!$S$4:$S$433,MATCH($C335,'PORTIFÓLIO'!$C$4:$C$433,0)),"")</f>
        <v/>
      </c>
      <c r="L335" s="292" t="str">
        <f t="array" ref="L335">IFERROR(J335*INDEX('PORTIFÓLIO'!$S$4:$S$433,MATCH($C335,'PORTIFÓLIO'!$C$4:$C$433,0)),"")</f>
        <v/>
      </c>
      <c r="M335" s="220"/>
      <c r="N335" s="220"/>
      <c r="O335" s="220"/>
      <c r="P335" s="220"/>
      <c r="Q335" s="220"/>
      <c r="R335" s="220"/>
      <c r="S335" s="220"/>
      <c r="T335" s="220"/>
      <c r="U335" s="220"/>
      <c r="V335" s="220"/>
      <c r="W335" s="220"/>
    </row>
    <row r="336" ht="15.75" customHeight="1" outlineLevel="1">
      <c r="A336" s="211"/>
      <c r="B336" s="212"/>
      <c r="C336" s="213"/>
      <c r="D336" s="214" t="str">
        <f>IFERROR(VLOOKUP($C336,'PORTIFÓLIO'!C:V,2,0),"")</f>
        <v/>
      </c>
      <c r="E336" s="211" t="str">
        <f>IFERROR(VLOOKUP($C336,'PORTIFÓLIO'!C:V,3,0),"")</f>
        <v/>
      </c>
      <c r="F336" s="211" t="str">
        <f>IFERROR(VLOOKUP($C336,'PORTIFÓLIO'!C:V,4,0),"")</f>
        <v/>
      </c>
      <c r="G336" s="215" t="str">
        <f>IFERROR(VLOOKUP($C336,'PORTIFÓLIO'!C:V,5,0),"")</f>
        <v/>
      </c>
      <c r="H336" s="254" t="str">
        <f t="array" ref="H336">IFERROR(INDEX('PORTIFÓLIO'!$H$4:$H$433,MATCH($C336,'PORTIFÓLIO'!$C$4:$C$433,0)),"")</f>
        <v/>
      </c>
      <c r="I336" s="256"/>
      <c r="J336" s="218">
        <f t="shared" si="37"/>
        <v>0</v>
      </c>
      <c r="K336" s="292" t="str">
        <f t="array" ref="K336">IFERROR(I336*INDEX('PORTIFÓLIO'!$S$4:$S$433,MATCH($C336,'PORTIFÓLIO'!$C$4:$C$433,0)),"")</f>
        <v/>
      </c>
      <c r="L336" s="292" t="str">
        <f t="array" ref="L336">IFERROR(J336*INDEX('PORTIFÓLIO'!$S$4:$S$433,MATCH($C336,'PORTIFÓLIO'!$C$4:$C$433,0)),"")</f>
        <v/>
      </c>
      <c r="M336" s="220"/>
      <c r="N336" s="220"/>
      <c r="O336" s="220"/>
      <c r="P336" s="220"/>
      <c r="Q336" s="220"/>
      <c r="R336" s="220"/>
      <c r="S336" s="220"/>
      <c r="T336" s="220"/>
      <c r="U336" s="220"/>
      <c r="V336" s="220"/>
      <c r="W336" s="220"/>
    </row>
    <row r="337" ht="15.75" customHeight="1" outlineLevel="1">
      <c r="A337" s="211"/>
      <c r="B337" s="212"/>
      <c r="C337" s="213"/>
      <c r="D337" s="214" t="str">
        <f>IFERROR(VLOOKUP($C337,'PORTIFÓLIO'!C:V,2,0),"")</f>
        <v/>
      </c>
      <c r="E337" s="211" t="str">
        <f>IFERROR(VLOOKUP($C337,'PORTIFÓLIO'!C:V,3,0),"")</f>
        <v/>
      </c>
      <c r="F337" s="211" t="str">
        <f>IFERROR(VLOOKUP($C337,'PORTIFÓLIO'!C:V,4,0),"")</f>
        <v/>
      </c>
      <c r="G337" s="215" t="str">
        <f>IFERROR(VLOOKUP($C337,'PORTIFÓLIO'!C:V,5,0),"")</f>
        <v/>
      </c>
      <c r="H337" s="254" t="str">
        <f t="array" ref="H337">IFERROR(INDEX('PORTIFÓLIO'!$H$4:$H$433,MATCH($C337,'PORTIFÓLIO'!$C$4:$C$433,0)),"")</f>
        <v/>
      </c>
      <c r="I337" s="256"/>
      <c r="J337" s="218">
        <f t="shared" si="37"/>
        <v>0</v>
      </c>
      <c r="K337" s="292" t="str">
        <f t="array" ref="K337">IFERROR(I337*INDEX('PORTIFÓLIO'!$S$4:$S$433,MATCH($C337,'PORTIFÓLIO'!$C$4:$C$433,0)),"")</f>
        <v/>
      </c>
      <c r="L337" s="292" t="str">
        <f t="array" ref="L337">IFERROR(J337*INDEX('PORTIFÓLIO'!$S$4:$S$433,MATCH($C337,'PORTIFÓLIO'!$C$4:$C$433,0)),"")</f>
        <v/>
      </c>
      <c r="M337" s="220"/>
      <c r="N337" s="220"/>
      <c r="O337" s="220"/>
      <c r="P337" s="220"/>
      <c r="Q337" s="220"/>
      <c r="R337" s="220"/>
      <c r="S337" s="220"/>
      <c r="T337" s="220"/>
      <c r="U337" s="220"/>
      <c r="V337" s="220"/>
      <c r="W337" s="220"/>
    </row>
    <row r="338" ht="15.75" customHeight="1" outlineLevel="1">
      <c r="A338" s="211"/>
      <c r="B338" s="212"/>
      <c r="C338" s="213"/>
      <c r="D338" s="214" t="str">
        <f>IFERROR(VLOOKUP($C338,'PORTIFÓLIO'!C:V,2,0),"")</f>
        <v/>
      </c>
      <c r="E338" s="211" t="str">
        <f>IFERROR(VLOOKUP($C338,'PORTIFÓLIO'!C:V,3,0),"")</f>
        <v/>
      </c>
      <c r="F338" s="211" t="str">
        <f>IFERROR(VLOOKUP($C338,'PORTIFÓLIO'!C:V,4,0),"")</f>
        <v/>
      </c>
      <c r="G338" s="215" t="str">
        <f>IFERROR(VLOOKUP($C338,'PORTIFÓLIO'!C:V,5,0),"")</f>
        <v/>
      </c>
      <c r="H338" s="254" t="str">
        <f t="array" ref="H338">IFERROR(INDEX('PORTIFÓLIO'!$H$4:$H$433,MATCH($C338,'PORTIFÓLIO'!$C$4:$C$433,0)),"")</f>
        <v/>
      </c>
      <c r="I338" s="256"/>
      <c r="J338" s="218">
        <f t="shared" si="37"/>
        <v>0</v>
      </c>
      <c r="K338" s="292" t="str">
        <f t="array" ref="K338">IFERROR(I338*INDEX('PORTIFÓLIO'!$S$4:$S$433,MATCH($C338,'PORTIFÓLIO'!$C$4:$C$433,0)),"")</f>
        <v/>
      </c>
      <c r="L338" s="292" t="str">
        <f t="array" ref="L338">IFERROR(J338*INDEX('PORTIFÓLIO'!$S$4:$S$433,MATCH($C338,'PORTIFÓLIO'!$C$4:$C$433,0)),"")</f>
        <v/>
      </c>
      <c r="M338" s="220"/>
      <c r="N338" s="220"/>
      <c r="O338" s="220"/>
      <c r="P338" s="220"/>
      <c r="Q338" s="220"/>
      <c r="R338" s="220"/>
      <c r="S338" s="220"/>
      <c r="T338" s="220"/>
      <c r="U338" s="220"/>
      <c r="V338" s="220"/>
      <c r="W338" s="220"/>
    </row>
    <row r="339" ht="15.75" customHeight="1" outlineLevel="1">
      <c r="A339" s="211"/>
      <c r="B339" s="212"/>
      <c r="C339" s="213"/>
      <c r="D339" s="214" t="str">
        <f>IFERROR(VLOOKUP($C339,'PORTIFÓLIO'!C:V,2,0),"")</f>
        <v/>
      </c>
      <c r="E339" s="211" t="str">
        <f>IFERROR(VLOOKUP($C339,'PORTIFÓLIO'!C:V,3,0),"")</f>
        <v/>
      </c>
      <c r="F339" s="211" t="str">
        <f>IFERROR(VLOOKUP($C339,'PORTIFÓLIO'!C:V,4,0),"")</f>
        <v/>
      </c>
      <c r="G339" s="215" t="str">
        <f>IFERROR(VLOOKUP($C339,'PORTIFÓLIO'!C:V,5,0),"")</f>
        <v/>
      </c>
      <c r="H339" s="254" t="str">
        <f t="array" ref="H339">IFERROR(INDEX('PORTIFÓLIO'!$H$4:$H$433,MATCH($C339,'PORTIFÓLIO'!$C$4:$C$433,0)),"")</f>
        <v/>
      </c>
      <c r="I339" s="256"/>
      <c r="J339" s="218">
        <f t="shared" si="37"/>
        <v>0</v>
      </c>
      <c r="K339" s="292" t="str">
        <f t="array" ref="K339">IFERROR(I339*INDEX('PORTIFÓLIO'!$S$4:$S$433,MATCH($C339,'PORTIFÓLIO'!$C$4:$C$433,0)),"")</f>
        <v/>
      </c>
      <c r="L339" s="292" t="str">
        <f t="array" ref="L339">IFERROR(J339*INDEX('PORTIFÓLIO'!$S$4:$S$433,MATCH($C339,'PORTIFÓLIO'!$C$4:$C$433,0)),"")</f>
        <v/>
      </c>
      <c r="M339" s="220"/>
      <c r="N339" s="220"/>
      <c r="O339" s="220"/>
      <c r="P339" s="220"/>
      <c r="Q339" s="220"/>
      <c r="R339" s="220"/>
      <c r="S339" s="220"/>
      <c r="T339" s="220"/>
      <c r="U339" s="220"/>
      <c r="V339" s="220"/>
      <c r="W339" s="220"/>
    </row>
    <row r="340" ht="15.75" customHeight="1" outlineLevel="1">
      <c r="A340" s="211"/>
      <c r="B340" s="227"/>
      <c r="C340" s="211"/>
      <c r="D340" s="214" t="str">
        <f>IFERROR(VLOOKUP($C340,'PORTIFÓLIO'!C:V,2,0),"")</f>
        <v/>
      </c>
      <c r="E340" s="211" t="str">
        <f>IFERROR(VLOOKUP($C340,'PORTIFÓLIO'!C:V,3,0),"")</f>
        <v/>
      </c>
      <c r="F340" s="211" t="str">
        <f>IFERROR(VLOOKUP($C340,'PORTIFÓLIO'!C:V,4,0),"")</f>
        <v/>
      </c>
      <c r="G340" s="215" t="str">
        <f>IFERROR(VLOOKUP($C340,'PORTIFÓLIO'!C:V,5,0),"")</f>
        <v/>
      </c>
      <c r="H340" s="254" t="str">
        <f t="array" ref="H340">IFERROR(INDEX('PORTIFÓLIO'!$H$4:$H$433,MATCH($C340,'PORTIFÓLIO'!$C$4:$C$433,0)),"")</f>
        <v/>
      </c>
      <c r="I340" s="256"/>
      <c r="J340" s="218"/>
      <c r="K340" s="292" t="str">
        <f t="array" ref="K340">IFERROR(I340*INDEX('PORTIFÓLIO'!$S$4:$S$433,MATCH($C340,'PORTIFÓLIO'!$C$4:$C$433,0)),"")</f>
        <v/>
      </c>
      <c r="L340" s="292" t="str">
        <f t="array" ref="L340">IFERROR(J340*INDEX('PORTIFÓLIO'!$S$4:$S$433,MATCH($C340,'PORTIFÓLIO'!$C$4:$C$433,0)),"")</f>
        <v/>
      </c>
      <c r="M340" s="220"/>
      <c r="N340" s="220"/>
      <c r="O340" s="220"/>
      <c r="P340" s="220"/>
      <c r="Q340" s="220"/>
      <c r="R340" s="220"/>
      <c r="S340" s="220"/>
      <c r="T340" s="220"/>
      <c r="U340" s="220"/>
      <c r="V340" s="220"/>
      <c r="W340" s="220"/>
    </row>
    <row r="341" ht="15.75" customHeight="1">
      <c r="A341" s="229" t="s">
        <v>1190</v>
      </c>
      <c r="B341" s="230"/>
      <c r="C341" s="231"/>
      <c r="D341" s="232"/>
      <c r="E341" s="231"/>
      <c r="F341" s="231"/>
      <c r="G341" s="233"/>
      <c r="H341" s="233"/>
      <c r="I341" s="258"/>
      <c r="J341" s="236"/>
      <c r="K341" s="237">
        <f t="shared" ref="K341:L341" si="38">SUBTOTAL(9,K342:K355)</f>
        <v>0</v>
      </c>
      <c r="L341" s="237">
        <f t="shared" si="38"/>
        <v>0</v>
      </c>
      <c r="M341" s="220"/>
      <c r="N341" s="220"/>
      <c r="O341" s="220"/>
      <c r="P341" s="220"/>
      <c r="Q341" s="220"/>
      <c r="R341" s="220"/>
      <c r="S341" s="220"/>
      <c r="T341" s="220"/>
      <c r="U341" s="220"/>
      <c r="V341" s="220"/>
      <c r="W341" s="220"/>
    </row>
    <row r="342" ht="15.75" customHeight="1" outlineLevel="1">
      <c r="A342" s="213"/>
      <c r="B342" s="212"/>
      <c r="C342" s="213"/>
      <c r="D342" s="214" t="str">
        <f>IFERROR(VLOOKUP($C342,'PORTIFÓLIO'!C:V,2,0),"")</f>
        <v/>
      </c>
      <c r="E342" s="211" t="str">
        <f>IFERROR(VLOOKUP($C342,'PORTIFÓLIO'!C:V,3,0),"")</f>
        <v/>
      </c>
      <c r="F342" s="211" t="str">
        <f>IFERROR(VLOOKUP($C342,'PORTIFÓLIO'!C:V,4,0),"")</f>
        <v/>
      </c>
      <c r="G342" s="215" t="str">
        <f>IFERROR(VLOOKUP($C342,'PORTIFÓLIO'!C:V,5,0),"")</f>
        <v/>
      </c>
      <c r="H342" s="254" t="str">
        <f t="array" ref="H342">IFERROR(INDEX('PORTIFÓLIO'!$H$4:$H$433,MATCH($C342,'PORTIFÓLIO'!$C$4:$C$433,0)),"")</f>
        <v/>
      </c>
      <c r="I342" s="255"/>
      <c r="J342" s="218">
        <f t="shared" ref="J342:J356" si="39">I342*$B$2</f>
        <v>0</v>
      </c>
      <c r="K342" s="292" t="str">
        <f t="array" ref="K342">IFERROR(I342*INDEX('PORTIFÓLIO'!$S$4:$S$433,MATCH($C342,'PORTIFÓLIO'!$C$4:$C$433,0)),"")</f>
        <v/>
      </c>
      <c r="L342" s="292" t="str">
        <f t="array" ref="L342">IFERROR(J342*INDEX('PORTIFÓLIO'!$S$4:$S$433,MATCH($C342,'PORTIFÓLIO'!$C$4:$C$433,0)),"")</f>
        <v/>
      </c>
      <c r="M342" s="220"/>
      <c r="N342" s="220"/>
      <c r="O342" s="220"/>
      <c r="P342" s="220"/>
      <c r="Q342" s="220"/>
      <c r="R342" s="220"/>
      <c r="S342" s="220"/>
      <c r="T342" s="220"/>
      <c r="U342" s="220"/>
      <c r="V342" s="220"/>
      <c r="W342" s="220"/>
    </row>
    <row r="343" ht="15.75" customHeight="1" outlineLevel="1">
      <c r="A343" s="211"/>
      <c r="B343" s="212"/>
      <c r="C343" s="213"/>
      <c r="D343" s="214" t="str">
        <f>IFERROR(VLOOKUP($C343,'PORTIFÓLIO'!C:V,2,0),"")</f>
        <v/>
      </c>
      <c r="E343" s="211" t="str">
        <f>IFERROR(VLOOKUP($C343,'PORTIFÓLIO'!C:V,3,0),"")</f>
        <v/>
      </c>
      <c r="F343" s="211" t="str">
        <f>IFERROR(VLOOKUP($C343,'PORTIFÓLIO'!C:V,4,0),"")</f>
        <v/>
      </c>
      <c r="G343" s="215" t="str">
        <f>IFERROR(VLOOKUP($C343,'PORTIFÓLIO'!C:V,5,0),"")</f>
        <v/>
      </c>
      <c r="H343" s="254" t="str">
        <f t="array" ref="H343">IFERROR(INDEX('PORTIFÓLIO'!$H$4:$H$433,MATCH($C343,'PORTIFÓLIO'!$C$4:$C$433,0)),"")</f>
        <v/>
      </c>
      <c r="I343" s="256"/>
      <c r="J343" s="218">
        <f t="shared" si="39"/>
        <v>0</v>
      </c>
      <c r="K343" s="292" t="str">
        <f t="array" ref="K343">IFERROR(I343*INDEX('PORTIFÓLIO'!$S$4:$S$433,MATCH($C343,'PORTIFÓLIO'!$C$4:$C$433,0)),"")</f>
        <v/>
      </c>
      <c r="L343" s="292" t="str">
        <f t="array" ref="L343">IFERROR(J343*INDEX('PORTIFÓLIO'!$S$4:$S$433,MATCH($C343,'PORTIFÓLIO'!$C$4:$C$433,0)),"")</f>
        <v/>
      </c>
      <c r="M343" s="220"/>
      <c r="N343" s="220"/>
      <c r="O343" s="220"/>
      <c r="P343" s="220"/>
      <c r="Q343" s="220"/>
      <c r="R343" s="220"/>
      <c r="S343" s="220"/>
      <c r="T343" s="220"/>
      <c r="U343" s="220"/>
      <c r="V343" s="220"/>
      <c r="W343" s="220"/>
    </row>
    <row r="344" ht="15.75" customHeight="1" outlineLevel="1">
      <c r="A344" s="211"/>
      <c r="B344" s="212"/>
      <c r="C344" s="213"/>
      <c r="D344" s="214" t="str">
        <f>IFERROR(VLOOKUP($C344,'PORTIFÓLIO'!C:V,2,0),"")</f>
        <v/>
      </c>
      <c r="E344" s="211" t="str">
        <f>IFERROR(VLOOKUP($C344,'PORTIFÓLIO'!C:V,3,0),"")</f>
        <v/>
      </c>
      <c r="F344" s="211" t="str">
        <f>IFERROR(VLOOKUP($C344,'PORTIFÓLIO'!C:V,4,0),"")</f>
        <v/>
      </c>
      <c r="G344" s="215" t="str">
        <f>IFERROR(VLOOKUP($C344,'PORTIFÓLIO'!C:V,5,0),"")</f>
        <v/>
      </c>
      <c r="H344" s="254" t="str">
        <f t="array" ref="H344">IFERROR(INDEX('PORTIFÓLIO'!$H$4:$H$433,MATCH($C344,'PORTIFÓLIO'!$C$4:$C$433,0)),"")</f>
        <v/>
      </c>
      <c r="I344" s="256"/>
      <c r="J344" s="218">
        <f t="shared" si="39"/>
        <v>0</v>
      </c>
      <c r="K344" s="292" t="str">
        <f t="array" ref="K344">IFERROR(I344*INDEX('PORTIFÓLIO'!$S$4:$S$433,MATCH($C344,'PORTIFÓLIO'!$C$4:$C$433,0)),"")</f>
        <v/>
      </c>
      <c r="L344" s="292" t="str">
        <f t="array" ref="L344">IFERROR(J344*INDEX('PORTIFÓLIO'!$S$4:$S$433,MATCH($C344,'PORTIFÓLIO'!$C$4:$C$433,0)),"")</f>
        <v/>
      </c>
      <c r="M344" s="220"/>
      <c r="N344" s="220"/>
      <c r="O344" s="220"/>
      <c r="P344" s="220"/>
      <c r="Q344" s="220"/>
      <c r="R344" s="220"/>
      <c r="S344" s="220"/>
      <c r="T344" s="220"/>
      <c r="U344" s="220"/>
      <c r="V344" s="220"/>
      <c r="W344" s="220"/>
    </row>
    <row r="345" ht="15.75" customHeight="1" outlineLevel="1">
      <c r="A345" s="211"/>
      <c r="B345" s="212"/>
      <c r="C345" s="213"/>
      <c r="D345" s="214" t="str">
        <f>IFERROR(VLOOKUP($C345,'PORTIFÓLIO'!C:V,2,0),"")</f>
        <v/>
      </c>
      <c r="E345" s="211" t="str">
        <f>IFERROR(VLOOKUP($C345,'PORTIFÓLIO'!C:V,3,0),"")</f>
        <v/>
      </c>
      <c r="F345" s="211" t="str">
        <f>IFERROR(VLOOKUP($C345,'PORTIFÓLIO'!C:V,4,0),"")</f>
        <v/>
      </c>
      <c r="G345" s="215" t="str">
        <f>IFERROR(VLOOKUP($C345,'PORTIFÓLIO'!C:V,5,0),"")</f>
        <v/>
      </c>
      <c r="H345" s="254" t="str">
        <f t="array" ref="H345">IFERROR(INDEX('PORTIFÓLIO'!$H$4:$H$433,MATCH($C345,'PORTIFÓLIO'!$C$4:$C$433,0)),"")</f>
        <v/>
      </c>
      <c r="I345" s="256"/>
      <c r="J345" s="218">
        <f t="shared" si="39"/>
        <v>0</v>
      </c>
      <c r="K345" s="292" t="str">
        <f t="array" ref="K345">IFERROR(I345*INDEX('PORTIFÓLIO'!$S$4:$S$433,MATCH($C345,'PORTIFÓLIO'!$C$4:$C$433,0)),"")</f>
        <v/>
      </c>
      <c r="L345" s="292" t="str">
        <f t="array" ref="L345">IFERROR(J345*INDEX('PORTIFÓLIO'!$S$4:$S$433,MATCH($C345,'PORTIFÓLIO'!$C$4:$C$433,0)),"")</f>
        <v/>
      </c>
      <c r="M345" s="220"/>
      <c r="N345" s="220"/>
      <c r="O345" s="220"/>
      <c r="P345" s="220"/>
      <c r="Q345" s="220"/>
      <c r="R345" s="220"/>
      <c r="S345" s="220"/>
      <c r="T345" s="220"/>
      <c r="U345" s="220"/>
      <c r="V345" s="220"/>
      <c r="W345" s="220"/>
    </row>
    <row r="346" ht="15.75" customHeight="1" outlineLevel="1">
      <c r="A346" s="211"/>
      <c r="B346" s="212"/>
      <c r="C346" s="213"/>
      <c r="D346" s="214" t="str">
        <f>IFERROR(VLOOKUP($C346,'PORTIFÓLIO'!C:V,2,0),"")</f>
        <v/>
      </c>
      <c r="E346" s="211" t="str">
        <f>IFERROR(VLOOKUP($C346,'PORTIFÓLIO'!C:V,3,0),"")</f>
        <v/>
      </c>
      <c r="F346" s="211" t="str">
        <f>IFERROR(VLOOKUP($C346,'PORTIFÓLIO'!C:V,4,0),"")</f>
        <v/>
      </c>
      <c r="G346" s="215" t="str">
        <f>IFERROR(VLOOKUP($C346,'PORTIFÓLIO'!C:V,5,0),"")</f>
        <v/>
      </c>
      <c r="H346" s="254" t="str">
        <f t="array" ref="H346">IFERROR(INDEX('PORTIFÓLIO'!$H$4:$H$433,MATCH($C346,'PORTIFÓLIO'!$C$4:$C$433,0)),"")</f>
        <v/>
      </c>
      <c r="I346" s="256"/>
      <c r="J346" s="218">
        <f t="shared" si="39"/>
        <v>0</v>
      </c>
      <c r="K346" s="292" t="str">
        <f t="array" ref="K346">IFERROR(I346*INDEX('PORTIFÓLIO'!$S$4:$S$433,MATCH($C346,'PORTIFÓLIO'!$C$4:$C$433,0)),"")</f>
        <v/>
      </c>
      <c r="L346" s="292" t="str">
        <f t="array" ref="L346">IFERROR(J346*INDEX('PORTIFÓLIO'!$S$4:$S$433,MATCH($C346,'PORTIFÓLIO'!$C$4:$C$433,0)),"")</f>
        <v/>
      </c>
      <c r="M346" s="220"/>
      <c r="N346" s="220"/>
      <c r="O346" s="220"/>
      <c r="P346" s="220"/>
      <c r="Q346" s="220"/>
      <c r="R346" s="220"/>
      <c r="S346" s="220"/>
      <c r="T346" s="220"/>
      <c r="U346" s="220"/>
      <c r="V346" s="220"/>
      <c r="W346" s="220"/>
    </row>
    <row r="347" ht="15.75" customHeight="1" outlineLevel="1">
      <c r="A347" s="211"/>
      <c r="B347" s="212"/>
      <c r="C347" s="213"/>
      <c r="D347" s="214" t="str">
        <f>IFERROR(VLOOKUP($C347,'PORTIFÓLIO'!C:V,2,0),"")</f>
        <v/>
      </c>
      <c r="E347" s="211" t="str">
        <f>IFERROR(VLOOKUP($C347,'PORTIFÓLIO'!C:V,3,0),"")</f>
        <v/>
      </c>
      <c r="F347" s="211" t="str">
        <f>IFERROR(VLOOKUP($C347,'PORTIFÓLIO'!C:V,4,0),"")</f>
        <v/>
      </c>
      <c r="G347" s="215" t="str">
        <f>IFERROR(VLOOKUP($C347,'PORTIFÓLIO'!C:V,5,0),"")</f>
        <v/>
      </c>
      <c r="H347" s="254" t="str">
        <f t="array" ref="H347">IFERROR(INDEX('PORTIFÓLIO'!$H$4:$H$433,MATCH($C347,'PORTIFÓLIO'!$C$4:$C$433,0)),"")</f>
        <v/>
      </c>
      <c r="I347" s="256"/>
      <c r="J347" s="218">
        <f t="shared" si="39"/>
        <v>0</v>
      </c>
      <c r="K347" s="292" t="str">
        <f t="array" ref="K347">IFERROR(I347*INDEX('PORTIFÓLIO'!$S$4:$S$433,MATCH($C347,'PORTIFÓLIO'!$C$4:$C$433,0)),"")</f>
        <v/>
      </c>
      <c r="L347" s="292" t="str">
        <f t="array" ref="L347">IFERROR(J347*INDEX('PORTIFÓLIO'!$S$4:$S$433,MATCH($C347,'PORTIFÓLIO'!$C$4:$C$433,0)),"")</f>
        <v/>
      </c>
      <c r="M347" s="220"/>
      <c r="N347" s="220"/>
      <c r="O347" s="220"/>
      <c r="P347" s="220"/>
      <c r="Q347" s="220"/>
      <c r="R347" s="220"/>
      <c r="S347" s="220"/>
      <c r="T347" s="220"/>
      <c r="U347" s="220"/>
      <c r="V347" s="220"/>
      <c r="W347" s="220"/>
    </row>
    <row r="348" ht="15.75" customHeight="1" outlineLevel="1">
      <c r="A348" s="211"/>
      <c r="B348" s="212"/>
      <c r="C348" s="213"/>
      <c r="D348" s="214" t="str">
        <f>IFERROR(VLOOKUP($C348,'PORTIFÓLIO'!C:V,2,0),"")</f>
        <v/>
      </c>
      <c r="E348" s="211" t="str">
        <f>IFERROR(VLOOKUP($C348,'PORTIFÓLIO'!C:V,3,0),"")</f>
        <v/>
      </c>
      <c r="F348" s="211" t="str">
        <f>IFERROR(VLOOKUP($C348,'PORTIFÓLIO'!C:V,4,0),"")</f>
        <v/>
      </c>
      <c r="G348" s="215" t="str">
        <f>IFERROR(VLOOKUP($C348,'PORTIFÓLIO'!C:V,5,0),"")</f>
        <v/>
      </c>
      <c r="H348" s="254" t="str">
        <f t="array" ref="H348">IFERROR(INDEX('PORTIFÓLIO'!$H$4:$H$433,MATCH($C348,'PORTIFÓLIO'!$C$4:$C$433,0)),"")</f>
        <v/>
      </c>
      <c r="I348" s="256"/>
      <c r="J348" s="218">
        <f t="shared" si="39"/>
        <v>0</v>
      </c>
      <c r="K348" s="292" t="str">
        <f t="array" ref="K348">IFERROR(I348*INDEX('PORTIFÓLIO'!$S$4:$S$433,MATCH($C348,'PORTIFÓLIO'!$C$4:$C$433,0)),"")</f>
        <v/>
      </c>
      <c r="L348" s="292" t="str">
        <f t="array" ref="L348">IFERROR(J348*INDEX('PORTIFÓLIO'!$S$4:$S$433,MATCH($C348,'PORTIFÓLIO'!$C$4:$C$433,0)),"")</f>
        <v/>
      </c>
      <c r="M348" s="220"/>
      <c r="N348" s="220"/>
      <c r="O348" s="220"/>
      <c r="P348" s="220"/>
      <c r="Q348" s="220"/>
      <c r="R348" s="220"/>
      <c r="S348" s="220"/>
      <c r="T348" s="220"/>
      <c r="U348" s="220"/>
      <c r="V348" s="220"/>
      <c r="W348" s="220"/>
    </row>
    <row r="349" ht="15.75" customHeight="1" outlineLevel="1">
      <c r="A349" s="211"/>
      <c r="B349" s="212"/>
      <c r="C349" s="213"/>
      <c r="D349" s="214" t="str">
        <f>IFERROR(VLOOKUP($C349,'PORTIFÓLIO'!C:V,2,0),"")</f>
        <v/>
      </c>
      <c r="E349" s="211" t="str">
        <f>IFERROR(VLOOKUP($C349,'PORTIFÓLIO'!C:V,3,0),"")</f>
        <v/>
      </c>
      <c r="F349" s="211" t="str">
        <f>IFERROR(VLOOKUP($C349,'PORTIFÓLIO'!C:V,4,0),"")</f>
        <v/>
      </c>
      <c r="G349" s="215" t="str">
        <f>IFERROR(VLOOKUP($C349,'PORTIFÓLIO'!C:V,5,0),"")</f>
        <v/>
      </c>
      <c r="H349" s="254" t="str">
        <f t="array" ref="H349">IFERROR(INDEX('PORTIFÓLIO'!$H$4:$H$433,MATCH($C349,'PORTIFÓLIO'!$C$4:$C$433,0)),"")</f>
        <v/>
      </c>
      <c r="I349" s="256"/>
      <c r="J349" s="218">
        <f t="shared" si="39"/>
        <v>0</v>
      </c>
      <c r="K349" s="292" t="str">
        <f t="array" ref="K349">IFERROR(I349*INDEX('PORTIFÓLIO'!$S$4:$S$433,MATCH($C349,'PORTIFÓLIO'!$C$4:$C$433,0)),"")</f>
        <v/>
      </c>
      <c r="L349" s="292" t="str">
        <f t="array" ref="L349">IFERROR(J349*INDEX('PORTIFÓLIO'!$S$4:$S$433,MATCH($C349,'PORTIFÓLIO'!$C$4:$C$433,0)),"")</f>
        <v/>
      </c>
      <c r="M349" s="220"/>
      <c r="N349" s="220"/>
      <c r="O349" s="220"/>
      <c r="P349" s="220"/>
      <c r="Q349" s="220"/>
      <c r="R349" s="220"/>
      <c r="S349" s="220"/>
      <c r="T349" s="220"/>
      <c r="U349" s="220"/>
      <c r="V349" s="220"/>
      <c r="W349" s="220"/>
    </row>
    <row r="350" ht="15.75" customHeight="1" outlineLevel="1">
      <c r="A350" s="211"/>
      <c r="B350" s="212"/>
      <c r="C350" s="213"/>
      <c r="D350" s="214" t="str">
        <f>IFERROR(VLOOKUP($C350,'PORTIFÓLIO'!C:V,2,0),"")</f>
        <v/>
      </c>
      <c r="E350" s="211" t="str">
        <f>IFERROR(VLOOKUP($C350,'PORTIFÓLIO'!C:V,3,0),"")</f>
        <v/>
      </c>
      <c r="F350" s="211" t="str">
        <f>IFERROR(VLOOKUP($C350,'PORTIFÓLIO'!C:V,4,0),"")</f>
        <v/>
      </c>
      <c r="G350" s="215" t="str">
        <f>IFERROR(VLOOKUP($C350,'PORTIFÓLIO'!C:V,5,0),"")</f>
        <v/>
      </c>
      <c r="H350" s="254" t="str">
        <f t="array" ref="H350">IFERROR(INDEX('PORTIFÓLIO'!$H$4:$H$433,MATCH($C350,'PORTIFÓLIO'!$C$4:$C$433,0)),"")</f>
        <v/>
      </c>
      <c r="I350" s="255"/>
      <c r="J350" s="218">
        <f t="shared" si="39"/>
        <v>0</v>
      </c>
      <c r="K350" s="292" t="str">
        <f t="array" ref="K350">IFERROR(I350*INDEX('PORTIFÓLIO'!$S$4:$S$433,MATCH($C350,'PORTIFÓLIO'!$C$4:$C$433,0)),"")</f>
        <v/>
      </c>
      <c r="L350" s="292" t="str">
        <f t="array" ref="L350">IFERROR(J350*INDEX('PORTIFÓLIO'!$S$4:$S$433,MATCH($C350,'PORTIFÓLIO'!$C$4:$C$433,0)),"")</f>
        <v/>
      </c>
      <c r="M350" s="220"/>
      <c r="N350" s="220"/>
      <c r="O350" s="220"/>
      <c r="P350" s="220"/>
      <c r="Q350" s="220"/>
      <c r="R350" s="220"/>
      <c r="S350" s="220"/>
      <c r="T350" s="220"/>
      <c r="U350" s="220"/>
      <c r="V350" s="220"/>
      <c r="W350" s="220"/>
    </row>
    <row r="351" ht="15.75" customHeight="1" outlineLevel="1">
      <c r="A351" s="211"/>
      <c r="B351" s="212"/>
      <c r="C351" s="213"/>
      <c r="D351" s="214" t="str">
        <f>IFERROR(VLOOKUP($C351,'PORTIFÓLIO'!C:V,2,0),"")</f>
        <v/>
      </c>
      <c r="E351" s="211" t="str">
        <f>IFERROR(VLOOKUP($C351,'PORTIFÓLIO'!C:V,3,0),"")</f>
        <v/>
      </c>
      <c r="F351" s="211" t="str">
        <f>IFERROR(VLOOKUP($C351,'PORTIFÓLIO'!C:V,4,0),"")</f>
        <v/>
      </c>
      <c r="G351" s="215" t="str">
        <f>IFERROR(VLOOKUP($C351,'PORTIFÓLIO'!C:V,5,0),"")</f>
        <v/>
      </c>
      <c r="H351" s="254" t="str">
        <f t="array" ref="H351">IFERROR(INDEX('PORTIFÓLIO'!$H$4:$H$433,MATCH($C351,'PORTIFÓLIO'!$C$4:$C$433,0)),"")</f>
        <v/>
      </c>
      <c r="I351" s="256"/>
      <c r="J351" s="218">
        <f t="shared" si="39"/>
        <v>0</v>
      </c>
      <c r="K351" s="292" t="str">
        <f t="array" ref="K351">IFERROR(I351*INDEX('PORTIFÓLIO'!$S$4:$S$433,MATCH($C351,'PORTIFÓLIO'!$C$4:$C$433,0)),"")</f>
        <v/>
      </c>
      <c r="L351" s="292" t="str">
        <f t="array" ref="L351">IFERROR(J351*INDEX('PORTIFÓLIO'!$S$4:$S$433,MATCH($C351,'PORTIFÓLIO'!$C$4:$C$433,0)),"")</f>
        <v/>
      </c>
      <c r="M351" s="220"/>
      <c r="N351" s="220"/>
      <c r="O351" s="220"/>
      <c r="P351" s="220"/>
      <c r="Q351" s="220"/>
      <c r="R351" s="220"/>
      <c r="S351" s="220"/>
      <c r="T351" s="220"/>
      <c r="U351" s="220"/>
      <c r="V351" s="220"/>
      <c r="W351" s="220"/>
    </row>
    <row r="352" ht="15.75" customHeight="1" outlineLevel="1">
      <c r="A352" s="211"/>
      <c r="B352" s="212"/>
      <c r="C352" s="213"/>
      <c r="D352" s="214" t="str">
        <f>IFERROR(VLOOKUP($C352,'PORTIFÓLIO'!C:V,2,0),"")</f>
        <v/>
      </c>
      <c r="E352" s="211" t="str">
        <f>IFERROR(VLOOKUP($C352,'PORTIFÓLIO'!C:V,3,0),"")</f>
        <v/>
      </c>
      <c r="F352" s="211" t="str">
        <f>IFERROR(VLOOKUP($C352,'PORTIFÓLIO'!C:V,4,0),"")</f>
        <v/>
      </c>
      <c r="G352" s="215" t="str">
        <f>IFERROR(VLOOKUP($C352,'PORTIFÓLIO'!C:V,5,0),"")</f>
        <v/>
      </c>
      <c r="H352" s="254" t="str">
        <f t="array" ref="H352">IFERROR(INDEX('PORTIFÓLIO'!$H$4:$H$433,MATCH($C352,'PORTIFÓLIO'!$C$4:$C$433,0)),"")</f>
        <v/>
      </c>
      <c r="I352" s="256"/>
      <c r="J352" s="218">
        <f t="shared" si="39"/>
        <v>0</v>
      </c>
      <c r="K352" s="292" t="str">
        <f t="array" ref="K352">IFERROR(I352*INDEX('PORTIFÓLIO'!$S$4:$S$433,MATCH($C352,'PORTIFÓLIO'!$C$4:$C$433,0)),"")</f>
        <v/>
      </c>
      <c r="L352" s="292" t="str">
        <f t="array" ref="L352">IFERROR(J352*INDEX('PORTIFÓLIO'!$S$4:$S$433,MATCH($C352,'PORTIFÓLIO'!$C$4:$C$433,0)),"")</f>
        <v/>
      </c>
      <c r="M352" s="220"/>
      <c r="N352" s="220"/>
      <c r="O352" s="220"/>
      <c r="P352" s="220"/>
      <c r="Q352" s="220"/>
      <c r="R352" s="220"/>
      <c r="S352" s="220"/>
      <c r="T352" s="220"/>
      <c r="U352" s="220"/>
      <c r="V352" s="220"/>
      <c r="W352" s="220"/>
    </row>
    <row r="353" ht="15.75" customHeight="1" outlineLevel="1">
      <c r="A353" s="211"/>
      <c r="B353" s="212"/>
      <c r="C353" s="213"/>
      <c r="D353" s="214" t="str">
        <f>IFERROR(VLOOKUP($C353,'PORTIFÓLIO'!C:V,2,0),"")</f>
        <v/>
      </c>
      <c r="E353" s="211" t="str">
        <f>IFERROR(VLOOKUP($C353,'PORTIFÓLIO'!C:V,3,0),"")</f>
        <v/>
      </c>
      <c r="F353" s="211" t="str">
        <f>IFERROR(VLOOKUP($C353,'PORTIFÓLIO'!C:V,4,0),"")</f>
        <v/>
      </c>
      <c r="G353" s="215" t="str">
        <f>IFERROR(VLOOKUP($C353,'PORTIFÓLIO'!C:V,5,0),"")</f>
        <v/>
      </c>
      <c r="H353" s="254" t="str">
        <f t="array" ref="H353">IFERROR(INDEX('PORTIFÓLIO'!$H$4:$H$433,MATCH($C353,'PORTIFÓLIO'!$C$4:$C$433,0)),"")</f>
        <v/>
      </c>
      <c r="I353" s="256"/>
      <c r="J353" s="218">
        <f t="shared" si="39"/>
        <v>0</v>
      </c>
      <c r="K353" s="292" t="str">
        <f t="array" ref="K353">IFERROR(I353*INDEX('PORTIFÓLIO'!$S$4:$S$433,MATCH($C353,'PORTIFÓLIO'!$C$4:$C$433,0)),"")</f>
        <v/>
      </c>
      <c r="L353" s="292" t="str">
        <f t="array" ref="L353">IFERROR(J353*INDEX('PORTIFÓLIO'!$S$4:$S$433,MATCH($C353,'PORTIFÓLIO'!$C$4:$C$433,0)),"")</f>
        <v/>
      </c>
      <c r="M353" s="220"/>
      <c r="N353" s="220"/>
      <c r="O353" s="220"/>
      <c r="P353" s="220"/>
      <c r="Q353" s="220"/>
      <c r="R353" s="220"/>
      <c r="S353" s="220"/>
      <c r="T353" s="220"/>
      <c r="U353" s="220"/>
      <c r="V353" s="220"/>
      <c r="W353" s="220"/>
    </row>
    <row r="354" ht="15.75" customHeight="1" outlineLevel="1">
      <c r="A354" s="211"/>
      <c r="B354" s="212"/>
      <c r="C354" s="213"/>
      <c r="D354" s="214" t="str">
        <f>IFERROR(VLOOKUP($C354,'PORTIFÓLIO'!C:V,2,0),"")</f>
        <v/>
      </c>
      <c r="E354" s="211" t="str">
        <f>IFERROR(VLOOKUP($C354,'PORTIFÓLIO'!C:V,3,0),"")</f>
        <v/>
      </c>
      <c r="F354" s="211" t="str">
        <f>IFERROR(VLOOKUP($C354,'PORTIFÓLIO'!C:V,4,0),"")</f>
        <v/>
      </c>
      <c r="G354" s="215" t="str">
        <f>IFERROR(VLOOKUP($C354,'PORTIFÓLIO'!C:V,5,0),"")</f>
        <v/>
      </c>
      <c r="H354" s="254" t="str">
        <f t="array" ref="H354">IFERROR(INDEX('PORTIFÓLIO'!$H$4:$H$433,MATCH($C354,'PORTIFÓLIO'!$C$4:$C$433,0)),"")</f>
        <v/>
      </c>
      <c r="I354" s="256"/>
      <c r="J354" s="218">
        <f t="shared" si="39"/>
        <v>0</v>
      </c>
      <c r="K354" s="292" t="str">
        <f t="array" ref="K354">IFERROR(I354*INDEX('PORTIFÓLIO'!$S$4:$S$433,MATCH($C354,'PORTIFÓLIO'!$C$4:$C$433,0)),"")</f>
        <v/>
      </c>
      <c r="L354" s="292" t="str">
        <f t="array" ref="L354">IFERROR(J354*INDEX('PORTIFÓLIO'!$S$4:$S$433,MATCH($C354,'PORTIFÓLIO'!$C$4:$C$433,0)),"")</f>
        <v/>
      </c>
      <c r="M354" s="220"/>
      <c r="N354" s="220"/>
      <c r="O354" s="220"/>
      <c r="P354" s="220"/>
      <c r="Q354" s="220"/>
      <c r="R354" s="220"/>
      <c r="S354" s="220"/>
      <c r="T354" s="220"/>
      <c r="U354" s="220"/>
      <c r="V354" s="220"/>
      <c r="W354" s="220"/>
    </row>
    <row r="355" ht="15.75" customHeight="1" outlineLevel="1">
      <c r="A355" s="211"/>
      <c r="B355" s="212"/>
      <c r="C355" s="213"/>
      <c r="D355" s="214" t="str">
        <f>IFERROR(VLOOKUP($C355,'PORTIFÓLIO'!C:V,2,0),"")</f>
        <v/>
      </c>
      <c r="E355" s="211" t="str">
        <f>IFERROR(VLOOKUP($C355,'PORTIFÓLIO'!C:V,3,0),"")</f>
        <v/>
      </c>
      <c r="F355" s="211" t="str">
        <f>IFERROR(VLOOKUP($C355,'PORTIFÓLIO'!C:V,4,0),"")</f>
        <v/>
      </c>
      <c r="G355" s="215" t="str">
        <f>IFERROR(VLOOKUP($C355,'PORTIFÓLIO'!C:V,5,0),"")</f>
        <v/>
      </c>
      <c r="H355" s="254" t="str">
        <f t="array" ref="H355">IFERROR(INDEX('PORTIFÓLIO'!$H$4:$H$433,MATCH($C355,'PORTIFÓLIO'!$C$4:$C$433,0)),"")</f>
        <v/>
      </c>
      <c r="I355" s="256"/>
      <c r="J355" s="218">
        <f t="shared" si="39"/>
        <v>0</v>
      </c>
      <c r="K355" s="292" t="str">
        <f t="array" ref="K355">IFERROR(I355*INDEX('PORTIFÓLIO'!$S$4:$S$433,MATCH($C355,'PORTIFÓLIO'!$C$4:$C$433,0)),"")</f>
        <v/>
      </c>
      <c r="L355" s="292" t="str">
        <f t="array" ref="L355">IFERROR(J355*INDEX('PORTIFÓLIO'!$S$4:$S$433,MATCH($C355,'PORTIFÓLIO'!$C$4:$C$433,0)),"")</f>
        <v/>
      </c>
      <c r="M355" s="220"/>
      <c r="N355" s="220"/>
      <c r="O355" s="220"/>
      <c r="P355" s="220"/>
      <c r="Q355" s="220"/>
      <c r="R355" s="220"/>
      <c r="S355" s="220"/>
      <c r="T355" s="220"/>
      <c r="U355" s="220"/>
      <c r="V355" s="220"/>
      <c r="W355" s="220"/>
    </row>
    <row r="356" ht="15.75" customHeight="1" outlineLevel="1">
      <c r="A356" s="211"/>
      <c r="B356" s="212"/>
      <c r="C356" s="213"/>
      <c r="D356" s="214" t="str">
        <f>IFERROR(VLOOKUP($C356,'PORTIFÓLIO'!C:V,2,0),"")</f>
        <v/>
      </c>
      <c r="E356" s="211" t="str">
        <f>IFERROR(VLOOKUP($C356,'PORTIFÓLIO'!C:V,3,0),"")</f>
        <v/>
      </c>
      <c r="F356" s="211" t="str">
        <f>IFERROR(VLOOKUP($C356,'PORTIFÓLIO'!C:V,4,0),"")</f>
        <v/>
      </c>
      <c r="G356" s="215" t="str">
        <f>IFERROR(VLOOKUP($C356,'PORTIFÓLIO'!C:V,5,0),"")</f>
        <v/>
      </c>
      <c r="H356" s="254" t="str">
        <f t="array" ref="H356">IFERROR(INDEX('PORTIFÓLIO'!$H$4:$H$433,MATCH($C356,'PORTIFÓLIO'!$C$4:$C$433,0)),"")</f>
        <v/>
      </c>
      <c r="I356" s="256"/>
      <c r="J356" s="218">
        <f t="shared" si="39"/>
        <v>0</v>
      </c>
      <c r="K356" s="292" t="str">
        <f t="array" ref="K356">IFERROR(I356*INDEX('PORTIFÓLIO'!$S$4:$S$433,MATCH($C356,'PORTIFÓLIO'!$C$4:$C$433,0)),"")</f>
        <v/>
      </c>
      <c r="L356" s="292" t="str">
        <f t="array" ref="L356">IFERROR(J356*INDEX('PORTIFÓLIO'!$S$4:$S$433,MATCH($C356,'PORTIFÓLIO'!$C$4:$C$433,0)),"")</f>
        <v/>
      </c>
      <c r="M356" s="220"/>
      <c r="N356" s="220"/>
      <c r="O356" s="220"/>
      <c r="P356" s="220"/>
      <c r="Q356" s="220"/>
      <c r="R356" s="220"/>
      <c r="S356" s="220"/>
      <c r="T356" s="220"/>
      <c r="U356" s="220"/>
      <c r="V356" s="220"/>
      <c r="W356" s="220"/>
    </row>
    <row r="357" ht="15.75" customHeight="1" outlineLevel="1">
      <c r="A357" s="211"/>
      <c r="B357" s="227"/>
      <c r="C357" s="211"/>
      <c r="D357" s="214" t="str">
        <f>IFERROR(VLOOKUP($C357,'PORTIFÓLIO'!C:V,2,0),"")</f>
        <v/>
      </c>
      <c r="E357" s="211" t="str">
        <f>IFERROR(VLOOKUP($C357,'PORTIFÓLIO'!C:V,3,0),"")</f>
        <v/>
      </c>
      <c r="F357" s="211" t="str">
        <f>IFERROR(VLOOKUP($C357,'PORTIFÓLIO'!C:V,4,0),"")</f>
        <v/>
      </c>
      <c r="G357" s="215" t="str">
        <f>IFERROR(VLOOKUP($C357,'PORTIFÓLIO'!C:V,5,0),"")</f>
        <v/>
      </c>
      <c r="H357" s="254" t="str">
        <f t="array" ref="H357">IFERROR(INDEX('PORTIFÓLIO'!$H$4:$H$433,MATCH($C357,'PORTIFÓLIO'!$C$4:$C$433,0)),"")</f>
        <v/>
      </c>
      <c r="I357" s="256"/>
      <c r="J357" s="218"/>
      <c r="K357" s="292" t="str">
        <f t="array" ref="K357">IFERROR(I357*INDEX('PORTIFÓLIO'!$S$4:$S$433,MATCH($C357,'PORTIFÓLIO'!$C$4:$C$433,0)),"")</f>
        <v/>
      </c>
      <c r="L357" s="292" t="str">
        <f t="array" ref="L357">IFERROR(J357*INDEX('PORTIFÓLIO'!$S$4:$S$433,MATCH($C357,'PORTIFÓLIO'!$C$4:$C$433,0)),"")</f>
        <v/>
      </c>
      <c r="M357" s="220"/>
      <c r="N357" s="220"/>
      <c r="O357" s="220"/>
      <c r="P357" s="220"/>
      <c r="Q357" s="220"/>
      <c r="R357" s="220"/>
      <c r="S357" s="220"/>
      <c r="T357" s="220"/>
      <c r="U357" s="220"/>
      <c r="V357" s="220"/>
      <c r="W357" s="220"/>
    </row>
    <row r="358" ht="15.75" customHeight="1">
      <c r="A358" s="229" t="s">
        <v>1191</v>
      </c>
      <c r="B358" s="230"/>
      <c r="C358" s="231"/>
      <c r="D358" s="232"/>
      <c r="E358" s="231"/>
      <c r="F358" s="231"/>
      <c r="G358" s="233"/>
      <c r="H358" s="233"/>
      <c r="I358" s="258"/>
      <c r="J358" s="236"/>
      <c r="K358" s="237">
        <f t="shared" ref="K358:L358" si="40">SUBTOTAL(9,K359:K372)</f>
        <v>0</v>
      </c>
      <c r="L358" s="237">
        <f t="shared" si="40"/>
        <v>0</v>
      </c>
      <c r="M358" s="220"/>
      <c r="N358" s="220"/>
      <c r="O358" s="220"/>
      <c r="P358" s="220"/>
      <c r="Q358" s="220"/>
      <c r="R358" s="220"/>
      <c r="S358" s="220"/>
      <c r="T358" s="220"/>
      <c r="U358" s="220"/>
      <c r="V358" s="220"/>
      <c r="W358" s="220"/>
    </row>
    <row r="359" ht="15.75" customHeight="1" outlineLevel="1">
      <c r="A359" s="213"/>
      <c r="B359" s="212"/>
      <c r="C359" s="213"/>
      <c r="D359" s="214" t="str">
        <f>IFERROR(VLOOKUP($C359,'PORTIFÓLIO'!C:V,2,0),"")</f>
        <v/>
      </c>
      <c r="E359" s="211" t="str">
        <f>IFERROR(VLOOKUP($C359,'PORTIFÓLIO'!C:V,3,0),"")</f>
        <v/>
      </c>
      <c r="F359" s="211" t="str">
        <f>IFERROR(VLOOKUP($C359,'PORTIFÓLIO'!C:V,4,0),"")</f>
        <v/>
      </c>
      <c r="G359" s="215" t="str">
        <f>IFERROR(VLOOKUP($C359,'PORTIFÓLIO'!C:V,5,0),"")</f>
        <v/>
      </c>
      <c r="H359" s="254" t="str">
        <f t="array" ref="H359">IFERROR(INDEX('PORTIFÓLIO'!$H$4:$H$433,MATCH($C359,'PORTIFÓLIO'!$C$4:$C$433,0)),"")</f>
        <v/>
      </c>
      <c r="I359" s="255"/>
      <c r="J359" s="218">
        <f t="shared" ref="J359:J373" si="41">I359*$B$2</f>
        <v>0</v>
      </c>
      <c r="K359" s="292" t="str">
        <f t="array" ref="K359">IFERROR(I359*INDEX('PORTIFÓLIO'!$S$4:$S$433,MATCH($C359,'PORTIFÓLIO'!$C$4:$C$433,0)),"")</f>
        <v/>
      </c>
      <c r="L359" s="292" t="str">
        <f t="array" ref="L359">IFERROR(J359*INDEX('PORTIFÓLIO'!$S$4:$S$433,MATCH($C359,'PORTIFÓLIO'!$C$4:$C$433,0)),"")</f>
        <v/>
      </c>
      <c r="M359" s="220"/>
      <c r="N359" s="220"/>
      <c r="O359" s="220"/>
      <c r="P359" s="220"/>
      <c r="Q359" s="220"/>
      <c r="R359" s="220"/>
      <c r="S359" s="220"/>
      <c r="T359" s="220"/>
      <c r="U359" s="220"/>
      <c r="V359" s="220"/>
      <c r="W359" s="220"/>
    </row>
    <row r="360" ht="15.75" customHeight="1" outlineLevel="1">
      <c r="A360" s="211"/>
      <c r="B360" s="212"/>
      <c r="C360" s="213"/>
      <c r="D360" s="214" t="str">
        <f>IFERROR(VLOOKUP($C360,'PORTIFÓLIO'!C:V,2,0),"")</f>
        <v/>
      </c>
      <c r="E360" s="211" t="str">
        <f>IFERROR(VLOOKUP($C360,'PORTIFÓLIO'!C:V,3,0),"")</f>
        <v/>
      </c>
      <c r="F360" s="211" t="str">
        <f>IFERROR(VLOOKUP($C360,'PORTIFÓLIO'!C:V,4,0),"")</f>
        <v/>
      </c>
      <c r="G360" s="215" t="str">
        <f>IFERROR(VLOOKUP($C360,'PORTIFÓLIO'!C:V,5,0),"")</f>
        <v/>
      </c>
      <c r="H360" s="254" t="str">
        <f t="array" ref="H360">IFERROR(INDEX('PORTIFÓLIO'!$H$4:$H$433,MATCH($C360,'PORTIFÓLIO'!$C$4:$C$433,0)),"")</f>
        <v/>
      </c>
      <c r="I360" s="256"/>
      <c r="J360" s="218">
        <f t="shared" si="41"/>
        <v>0</v>
      </c>
      <c r="K360" s="292" t="str">
        <f t="array" ref="K360">IFERROR(I360*INDEX('PORTIFÓLIO'!$S$4:$S$433,MATCH($C360,'PORTIFÓLIO'!$C$4:$C$433,0)),"")</f>
        <v/>
      </c>
      <c r="L360" s="292" t="str">
        <f t="array" ref="L360">IFERROR(J360*INDEX('PORTIFÓLIO'!$S$4:$S$433,MATCH($C360,'PORTIFÓLIO'!$C$4:$C$433,0)),"")</f>
        <v/>
      </c>
      <c r="M360" s="220"/>
      <c r="N360" s="220"/>
      <c r="O360" s="220"/>
      <c r="P360" s="220"/>
      <c r="Q360" s="220"/>
      <c r="R360" s="220"/>
      <c r="S360" s="220"/>
      <c r="T360" s="220"/>
      <c r="U360" s="220"/>
      <c r="V360" s="220"/>
      <c r="W360" s="220"/>
    </row>
    <row r="361" ht="15.75" customHeight="1" outlineLevel="1">
      <c r="A361" s="211"/>
      <c r="B361" s="212"/>
      <c r="C361" s="213"/>
      <c r="D361" s="214" t="str">
        <f>IFERROR(VLOOKUP($C361,'PORTIFÓLIO'!C:V,2,0),"")</f>
        <v/>
      </c>
      <c r="E361" s="211" t="str">
        <f>IFERROR(VLOOKUP($C361,'PORTIFÓLIO'!C:V,3,0),"")</f>
        <v/>
      </c>
      <c r="F361" s="211" t="str">
        <f>IFERROR(VLOOKUP($C361,'PORTIFÓLIO'!C:V,4,0),"")</f>
        <v/>
      </c>
      <c r="G361" s="215" t="str">
        <f>IFERROR(VLOOKUP($C361,'PORTIFÓLIO'!C:V,5,0),"")</f>
        <v/>
      </c>
      <c r="H361" s="254" t="str">
        <f t="array" ref="H361">IFERROR(INDEX('PORTIFÓLIO'!$H$4:$H$433,MATCH($C361,'PORTIFÓLIO'!$C$4:$C$433,0)),"")</f>
        <v/>
      </c>
      <c r="I361" s="256"/>
      <c r="J361" s="218">
        <f t="shared" si="41"/>
        <v>0</v>
      </c>
      <c r="K361" s="292" t="str">
        <f t="array" ref="K361">IFERROR(I361*INDEX('PORTIFÓLIO'!$S$4:$S$433,MATCH($C361,'PORTIFÓLIO'!$C$4:$C$433,0)),"")</f>
        <v/>
      </c>
      <c r="L361" s="292" t="str">
        <f t="array" ref="L361">IFERROR(J361*INDEX('PORTIFÓLIO'!$S$4:$S$433,MATCH($C361,'PORTIFÓLIO'!$C$4:$C$433,0)),"")</f>
        <v/>
      </c>
      <c r="M361" s="220"/>
      <c r="N361" s="220"/>
      <c r="O361" s="220"/>
      <c r="P361" s="220"/>
      <c r="Q361" s="220"/>
      <c r="R361" s="220"/>
      <c r="S361" s="220"/>
      <c r="T361" s="220"/>
      <c r="U361" s="220"/>
      <c r="V361" s="220"/>
      <c r="W361" s="220"/>
    </row>
    <row r="362" ht="15.75" customHeight="1" outlineLevel="1">
      <c r="A362" s="211"/>
      <c r="B362" s="212"/>
      <c r="C362" s="213"/>
      <c r="D362" s="214" t="str">
        <f>IFERROR(VLOOKUP($C362,'PORTIFÓLIO'!C:V,2,0),"")</f>
        <v/>
      </c>
      <c r="E362" s="211" t="str">
        <f>IFERROR(VLOOKUP($C362,'PORTIFÓLIO'!C:V,3,0),"")</f>
        <v/>
      </c>
      <c r="F362" s="211" t="str">
        <f>IFERROR(VLOOKUP($C362,'PORTIFÓLIO'!C:V,4,0),"")</f>
        <v/>
      </c>
      <c r="G362" s="215" t="str">
        <f>IFERROR(VLOOKUP($C362,'PORTIFÓLIO'!C:V,5,0),"")</f>
        <v/>
      </c>
      <c r="H362" s="254" t="str">
        <f t="array" ref="H362">IFERROR(INDEX('PORTIFÓLIO'!$H$4:$H$433,MATCH($C362,'PORTIFÓLIO'!$C$4:$C$433,0)),"")</f>
        <v/>
      </c>
      <c r="I362" s="256"/>
      <c r="J362" s="218">
        <f t="shared" si="41"/>
        <v>0</v>
      </c>
      <c r="K362" s="292" t="str">
        <f t="array" ref="K362">IFERROR(I362*INDEX('PORTIFÓLIO'!$S$4:$S$433,MATCH($C362,'PORTIFÓLIO'!$C$4:$C$433,0)),"")</f>
        <v/>
      </c>
      <c r="L362" s="292" t="str">
        <f t="array" ref="L362">IFERROR(J362*INDEX('PORTIFÓLIO'!$S$4:$S$433,MATCH($C362,'PORTIFÓLIO'!$C$4:$C$433,0)),"")</f>
        <v/>
      </c>
      <c r="M362" s="220"/>
      <c r="N362" s="220"/>
      <c r="O362" s="220"/>
      <c r="P362" s="220"/>
      <c r="Q362" s="220"/>
      <c r="R362" s="220"/>
      <c r="S362" s="220"/>
      <c r="T362" s="220"/>
      <c r="U362" s="220"/>
      <c r="V362" s="220"/>
      <c r="W362" s="220"/>
    </row>
    <row r="363" ht="15.75" customHeight="1" outlineLevel="1">
      <c r="A363" s="211"/>
      <c r="B363" s="212"/>
      <c r="C363" s="213"/>
      <c r="D363" s="214" t="str">
        <f>IFERROR(VLOOKUP($C363,'PORTIFÓLIO'!C:V,2,0),"")</f>
        <v/>
      </c>
      <c r="E363" s="211" t="str">
        <f>IFERROR(VLOOKUP($C363,'PORTIFÓLIO'!C:V,3,0),"")</f>
        <v/>
      </c>
      <c r="F363" s="211" t="str">
        <f>IFERROR(VLOOKUP($C363,'PORTIFÓLIO'!C:V,4,0),"")</f>
        <v/>
      </c>
      <c r="G363" s="215" t="str">
        <f>IFERROR(VLOOKUP($C363,'PORTIFÓLIO'!C:V,5,0),"")</f>
        <v/>
      </c>
      <c r="H363" s="254" t="str">
        <f t="array" ref="H363">IFERROR(INDEX('PORTIFÓLIO'!$H$4:$H$433,MATCH($C363,'PORTIFÓLIO'!$C$4:$C$433,0)),"")</f>
        <v/>
      </c>
      <c r="I363" s="256"/>
      <c r="J363" s="218">
        <f t="shared" si="41"/>
        <v>0</v>
      </c>
      <c r="K363" s="292" t="str">
        <f t="array" ref="K363">IFERROR(I363*INDEX('PORTIFÓLIO'!$S$4:$S$433,MATCH($C363,'PORTIFÓLIO'!$C$4:$C$433,0)),"")</f>
        <v/>
      </c>
      <c r="L363" s="292" t="str">
        <f t="array" ref="L363">IFERROR(J363*INDEX('PORTIFÓLIO'!$S$4:$S$433,MATCH($C363,'PORTIFÓLIO'!$C$4:$C$433,0)),"")</f>
        <v/>
      </c>
      <c r="M363" s="220"/>
      <c r="N363" s="220"/>
      <c r="O363" s="220"/>
      <c r="P363" s="220"/>
      <c r="Q363" s="220"/>
      <c r="R363" s="220"/>
      <c r="S363" s="220"/>
      <c r="T363" s="220"/>
      <c r="U363" s="220"/>
      <c r="V363" s="220"/>
      <c r="W363" s="220"/>
    </row>
    <row r="364" ht="15.75" customHeight="1" outlineLevel="1">
      <c r="A364" s="211"/>
      <c r="B364" s="212"/>
      <c r="C364" s="213"/>
      <c r="D364" s="214" t="str">
        <f>IFERROR(VLOOKUP($C364,'PORTIFÓLIO'!C:V,2,0),"")</f>
        <v/>
      </c>
      <c r="E364" s="211" t="str">
        <f>IFERROR(VLOOKUP($C364,'PORTIFÓLIO'!C:V,3,0),"")</f>
        <v/>
      </c>
      <c r="F364" s="211" t="str">
        <f>IFERROR(VLOOKUP($C364,'PORTIFÓLIO'!C:V,4,0),"")</f>
        <v/>
      </c>
      <c r="G364" s="215" t="str">
        <f>IFERROR(VLOOKUP($C364,'PORTIFÓLIO'!C:V,5,0),"")</f>
        <v/>
      </c>
      <c r="H364" s="254" t="str">
        <f t="array" ref="H364">IFERROR(INDEX('PORTIFÓLIO'!$H$4:$H$433,MATCH($C364,'PORTIFÓLIO'!$C$4:$C$433,0)),"")</f>
        <v/>
      </c>
      <c r="I364" s="256"/>
      <c r="J364" s="218">
        <f t="shared" si="41"/>
        <v>0</v>
      </c>
      <c r="K364" s="292" t="str">
        <f t="array" ref="K364">IFERROR(I364*INDEX('PORTIFÓLIO'!$S$4:$S$433,MATCH($C364,'PORTIFÓLIO'!$C$4:$C$433,0)),"")</f>
        <v/>
      </c>
      <c r="L364" s="292" t="str">
        <f t="array" ref="L364">IFERROR(J364*INDEX('PORTIFÓLIO'!$S$4:$S$433,MATCH($C364,'PORTIFÓLIO'!$C$4:$C$433,0)),"")</f>
        <v/>
      </c>
      <c r="M364" s="220"/>
      <c r="N364" s="220"/>
      <c r="O364" s="220"/>
      <c r="P364" s="220"/>
      <c r="Q364" s="220"/>
      <c r="R364" s="220"/>
      <c r="S364" s="220"/>
      <c r="T364" s="220"/>
      <c r="U364" s="220"/>
      <c r="V364" s="220"/>
      <c r="W364" s="220"/>
    </row>
    <row r="365" ht="15.75" customHeight="1" outlineLevel="1">
      <c r="A365" s="211"/>
      <c r="B365" s="212"/>
      <c r="C365" s="213"/>
      <c r="D365" s="214" t="str">
        <f>IFERROR(VLOOKUP($C365,'PORTIFÓLIO'!C:V,2,0),"")</f>
        <v/>
      </c>
      <c r="E365" s="211" t="str">
        <f>IFERROR(VLOOKUP($C365,'PORTIFÓLIO'!C:V,3,0),"")</f>
        <v/>
      </c>
      <c r="F365" s="211" t="str">
        <f>IFERROR(VLOOKUP($C365,'PORTIFÓLIO'!C:V,4,0),"")</f>
        <v/>
      </c>
      <c r="G365" s="215" t="str">
        <f>IFERROR(VLOOKUP($C365,'PORTIFÓLIO'!C:V,5,0),"")</f>
        <v/>
      </c>
      <c r="H365" s="254" t="str">
        <f t="array" ref="H365">IFERROR(INDEX('PORTIFÓLIO'!$H$4:$H$433,MATCH($C365,'PORTIFÓLIO'!$C$4:$C$433,0)),"")</f>
        <v/>
      </c>
      <c r="I365" s="256"/>
      <c r="J365" s="218">
        <f t="shared" si="41"/>
        <v>0</v>
      </c>
      <c r="K365" s="292" t="str">
        <f t="array" ref="K365">IFERROR(I365*INDEX('PORTIFÓLIO'!$S$4:$S$433,MATCH($C365,'PORTIFÓLIO'!$C$4:$C$433,0)),"")</f>
        <v/>
      </c>
      <c r="L365" s="292" t="str">
        <f t="array" ref="L365">IFERROR(J365*INDEX('PORTIFÓLIO'!$S$4:$S$433,MATCH($C365,'PORTIFÓLIO'!$C$4:$C$433,0)),"")</f>
        <v/>
      </c>
      <c r="M365" s="220"/>
      <c r="N365" s="220"/>
      <c r="O365" s="220"/>
      <c r="P365" s="220"/>
      <c r="Q365" s="220"/>
      <c r="R365" s="220"/>
      <c r="S365" s="220"/>
      <c r="T365" s="220"/>
      <c r="U365" s="220"/>
      <c r="V365" s="220"/>
      <c r="W365" s="220"/>
    </row>
    <row r="366" ht="15.75" customHeight="1" outlineLevel="1">
      <c r="A366" s="211"/>
      <c r="B366" s="212"/>
      <c r="C366" s="213"/>
      <c r="D366" s="214" t="str">
        <f>IFERROR(VLOOKUP($C366,'PORTIFÓLIO'!C:V,2,0),"")</f>
        <v/>
      </c>
      <c r="E366" s="211" t="str">
        <f>IFERROR(VLOOKUP($C366,'PORTIFÓLIO'!C:V,3,0),"")</f>
        <v/>
      </c>
      <c r="F366" s="211" t="str">
        <f>IFERROR(VLOOKUP($C366,'PORTIFÓLIO'!C:V,4,0),"")</f>
        <v/>
      </c>
      <c r="G366" s="215" t="str">
        <f>IFERROR(VLOOKUP($C366,'PORTIFÓLIO'!C:V,5,0),"")</f>
        <v/>
      </c>
      <c r="H366" s="254" t="str">
        <f t="array" ref="H366">IFERROR(INDEX('PORTIFÓLIO'!$H$4:$H$433,MATCH($C366,'PORTIFÓLIO'!$C$4:$C$433,0)),"")</f>
        <v/>
      </c>
      <c r="I366" s="256"/>
      <c r="J366" s="218">
        <f t="shared" si="41"/>
        <v>0</v>
      </c>
      <c r="K366" s="292" t="str">
        <f t="array" ref="K366">IFERROR(I366*INDEX('PORTIFÓLIO'!$S$4:$S$433,MATCH($C366,'PORTIFÓLIO'!$C$4:$C$433,0)),"")</f>
        <v/>
      </c>
      <c r="L366" s="292" t="str">
        <f t="array" ref="L366">IFERROR(J366*INDEX('PORTIFÓLIO'!$S$4:$S$433,MATCH($C366,'PORTIFÓLIO'!$C$4:$C$433,0)),"")</f>
        <v/>
      </c>
      <c r="M366" s="220"/>
      <c r="N366" s="220"/>
      <c r="O366" s="220"/>
      <c r="P366" s="220"/>
      <c r="Q366" s="220"/>
      <c r="R366" s="220"/>
      <c r="S366" s="220"/>
      <c r="T366" s="220"/>
      <c r="U366" s="220"/>
      <c r="V366" s="220"/>
      <c r="W366" s="220"/>
    </row>
    <row r="367" ht="15.75" customHeight="1" outlineLevel="1">
      <c r="A367" s="211"/>
      <c r="B367" s="212"/>
      <c r="C367" s="213"/>
      <c r="D367" s="214" t="str">
        <f>IFERROR(VLOOKUP($C367,'PORTIFÓLIO'!C:V,2,0),"")</f>
        <v/>
      </c>
      <c r="E367" s="211" t="str">
        <f>IFERROR(VLOOKUP($C367,'PORTIFÓLIO'!C:V,3,0),"")</f>
        <v/>
      </c>
      <c r="F367" s="211" t="str">
        <f>IFERROR(VLOOKUP($C367,'PORTIFÓLIO'!C:V,4,0),"")</f>
        <v/>
      </c>
      <c r="G367" s="215" t="str">
        <f>IFERROR(VLOOKUP($C367,'PORTIFÓLIO'!C:V,5,0),"")</f>
        <v/>
      </c>
      <c r="H367" s="254" t="str">
        <f t="array" ref="H367">IFERROR(INDEX('PORTIFÓLIO'!$H$4:$H$433,MATCH($C367,'PORTIFÓLIO'!$C$4:$C$433,0)),"")</f>
        <v/>
      </c>
      <c r="I367" s="255"/>
      <c r="J367" s="218">
        <f t="shared" si="41"/>
        <v>0</v>
      </c>
      <c r="K367" s="292" t="str">
        <f t="array" ref="K367">IFERROR(I367*INDEX('PORTIFÓLIO'!$S$4:$S$433,MATCH($C367,'PORTIFÓLIO'!$C$4:$C$433,0)),"")</f>
        <v/>
      </c>
      <c r="L367" s="292" t="str">
        <f t="array" ref="L367">IFERROR(J367*INDEX('PORTIFÓLIO'!$S$4:$S$433,MATCH($C367,'PORTIFÓLIO'!$C$4:$C$433,0)),"")</f>
        <v/>
      </c>
      <c r="M367" s="220"/>
      <c r="N367" s="220"/>
      <c r="O367" s="220"/>
      <c r="P367" s="220"/>
      <c r="Q367" s="220"/>
      <c r="R367" s="220"/>
      <c r="S367" s="220"/>
      <c r="T367" s="220"/>
      <c r="U367" s="220"/>
      <c r="V367" s="220"/>
      <c r="W367" s="220"/>
    </row>
    <row r="368" ht="15.75" customHeight="1" outlineLevel="1">
      <c r="A368" s="211"/>
      <c r="B368" s="212"/>
      <c r="C368" s="213"/>
      <c r="D368" s="214" t="str">
        <f>IFERROR(VLOOKUP($C368,'PORTIFÓLIO'!C:V,2,0),"")</f>
        <v/>
      </c>
      <c r="E368" s="211" t="str">
        <f>IFERROR(VLOOKUP($C368,'PORTIFÓLIO'!C:V,3,0),"")</f>
        <v/>
      </c>
      <c r="F368" s="211" t="str">
        <f>IFERROR(VLOOKUP($C368,'PORTIFÓLIO'!C:V,4,0),"")</f>
        <v/>
      </c>
      <c r="G368" s="215" t="str">
        <f>IFERROR(VLOOKUP($C368,'PORTIFÓLIO'!C:V,5,0),"")</f>
        <v/>
      </c>
      <c r="H368" s="254" t="str">
        <f t="array" ref="H368">IFERROR(INDEX('PORTIFÓLIO'!$H$4:$H$433,MATCH($C368,'PORTIFÓLIO'!$C$4:$C$433,0)),"")</f>
        <v/>
      </c>
      <c r="I368" s="256"/>
      <c r="J368" s="218">
        <f t="shared" si="41"/>
        <v>0</v>
      </c>
      <c r="K368" s="292" t="str">
        <f t="array" ref="K368">IFERROR(I368*INDEX('PORTIFÓLIO'!$S$4:$S$433,MATCH($C368,'PORTIFÓLIO'!$C$4:$C$433,0)),"")</f>
        <v/>
      </c>
      <c r="L368" s="292" t="str">
        <f t="array" ref="L368">IFERROR(J368*INDEX('PORTIFÓLIO'!$S$4:$S$433,MATCH($C368,'PORTIFÓLIO'!$C$4:$C$433,0)),"")</f>
        <v/>
      </c>
      <c r="M368" s="220"/>
      <c r="N368" s="220"/>
      <c r="O368" s="220"/>
      <c r="P368" s="220"/>
      <c r="Q368" s="220"/>
      <c r="R368" s="220"/>
      <c r="S368" s="220"/>
      <c r="T368" s="220"/>
      <c r="U368" s="220"/>
      <c r="V368" s="220"/>
      <c r="W368" s="220"/>
    </row>
    <row r="369" ht="15.75" customHeight="1" outlineLevel="1">
      <c r="A369" s="211"/>
      <c r="B369" s="212"/>
      <c r="C369" s="213"/>
      <c r="D369" s="214" t="str">
        <f>IFERROR(VLOOKUP($C369,'PORTIFÓLIO'!C:V,2,0),"")</f>
        <v/>
      </c>
      <c r="E369" s="211" t="str">
        <f>IFERROR(VLOOKUP($C369,'PORTIFÓLIO'!C:V,3,0),"")</f>
        <v/>
      </c>
      <c r="F369" s="211" t="str">
        <f>IFERROR(VLOOKUP($C369,'PORTIFÓLIO'!C:V,4,0),"")</f>
        <v/>
      </c>
      <c r="G369" s="215" t="str">
        <f>IFERROR(VLOOKUP($C369,'PORTIFÓLIO'!C:V,5,0),"")</f>
        <v/>
      </c>
      <c r="H369" s="254" t="str">
        <f t="array" ref="H369">IFERROR(INDEX('PORTIFÓLIO'!$H$4:$H$433,MATCH($C369,'PORTIFÓLIO'!$C$4:$C$433,0)),"")</f>
        <v/>
      </c>
      <c r="I369" s="256"/>
      <c r="J369" s="218">
        <f t="shared" si="41"/>
        <v>0</v>
      </c>
      <c r="K369" s="292" t="str">
        <f t="array" ref="K369">IFERROR(I369*INDEX('PORTIFÓLIO'!$S$4:$S$433,MATCH($C369,'PORTIFÓLIO'!$C$4:$C$433,0)),"")</f>
        <v/>
      </c>
      <c r="L369" s="292" t="str">
        <f t="array" ref="L369">IFERROR(J369*INDEX('PORTIFÓLIO'!$S$4:$S$433,MATCH($C369,'PORTIFÓLIO'!$C$4:$C$433,0)),"")</f>
        <v/>
      </c>
      <c r="M369" s="220"/>
      <c r="N369" s="220"/>
      <c r="O369" s="220"/>
      <c r="P369" s="220"/>
      <c r="Q369" s="220"/>
      <c r="R369" s="220"/>
      <c r="S369" s="220"/>
      <c r="T369" s="220"/>
      <c r="U369" s="220"/>
      <c r="V369" s="220"/>
      <c r="W369" s="220"/>
    </row>
    <row r="370" ht="15.75" customHeight="1" outlineLevel="1">
      <c r="A370" s="211"/>
      <c r="B370" s="212"/>
      <c r="C370" s="213"/>
      <c r="D370" s="214" t="str">
        <f>IFERROR(VLOOKUP($C370,'PORTIFÓLIO'!C:V,2,0),"")</f>
        <v/>
      </c>
      <c r="E370" s="211" t="str">
        <f>IFERROR(VLOOKUP($C370,'PORTIFÓLIO'!C:V,3,0),"")</f>
        <v/>
      </c>
      <c r="F370" s="211" t="str">
        <f>IFERROR(VLOOKUP($C370,'PORTIFÓLIO'!C:V,4,0),"")</f>
        <v/>
      </c>
      <c r="G370" s="215" t="str">
        <f>IFERROR(VLOOKUP($C370,'PORTIFÓLIO'!C:V,5,0),"")</f>
        <v/>
      </c>
      <c r="H370" s="254" t="str">
        <f t="array" ref="H370">IFERROR(INDEX('PORTIFÓLIO'!$H$4:$H$433,MATCH($C370,'PORTIFÓLIO'!$C$4:$C$433,0)),"")</f>
        <v/>
      </c>
      <c r="I370" s="256"/>
      <c r="J370" s="218">
        <f t="shared" si="41"/>
        <v>0</v>
      </c>
      <c r="K370" s="292" t="str">
        <f t="array" ref="K370">IFERROR(I370*INDEX('PORTIFÓLIO'!$S$4:$S$433,MATCH($C370,'PORTIFÓLIO'!$C$4:$C$433,0)),"")</f>
        <v/>
      </c>
      <c r="L370" s="292" t="str">
        <f t="array" ref="L370">IFERROR(J370*INDEX('PORTIFÓLIO'!$S$4:$S$433,MATCH($C370,'PORTIFÓLIO'!$C$4:$C$433,0)),"")</f>
        <v/>
      </c>
      <c r="M370" s="220"/>
      <c r="N370" s="220"/>
      <c r="O370" s="220"/>
      <c r="P370" s="220"/>
      <c r="Q370" s="220"/>
      <c r="R370" s="220"/>
      <c r="S370" s="220"/>
      <c r="T370" s="220"/>
      <c r="U370" s="220"/>
      <c r="V370" s="220"/>
      <c r="W370" s="220"/>
    </row>
    <row r="371" ht="15.75" customHeight="1" outlineLevel="1">
      <c r="A371" s="211"/>
      <c r="B371" s="212"/>
      <c r="C371" s="213"/>
      <c r="D371" s="214" t="str">
        <f>IFERROR(VLOOKUP($C371,'PORTIFÓLIO'!C:V,2,0),"")</f>
        <v/>
      </c>
      <c r="E371" s="211" t="str">
        <f>IFERROR(VLOOKUP($C371,'PORTIFÓLIO'!C:V,3,0),"")</f>
        <v/>
      </c>
      <c r="F371" s="211" t="str">
        <f>IFERROR(VLOOKUP($C371,'PORTIFÓLIO'!C:V,4,0),"")</f>
        <v/>
      </c>
      <c r="G371" s="215" t="str">
        <f>IFERROR(VLOOKUP($C371,'PORTIFÓLIO'!C:V,5,0),"")</f>
        <v/>
      </c>
      <c r="H371" s="254" t="str">
        <f t="array" ref="H371">IFERROR(INDEX('PORTIFÓLIO'!$H$4:$H$433,MATCH($C371,'PORTIFÓLIO'!$C$4:$C$433,0)),"")</f>
        <v/>
      </c>
      <c r="I371" s="256"/>
      <c r="J371" s="218">
        <f t="shared" si="41"/>
        <v>0</v>
      </c>
      <c r="K371" s="292" t="str">
        <f t="array" ref="K371">IFERROR(I371*INDEX('PORTIFÓLIO'!$S$4:$S$433,MATCH($C371,'PORTIFÓLIO'!$C$4:$C$433,0)),"")</f>
        <v/>
      </c>
      <c r="L371" s="292" t="str">
        <f t="array" ref="L371">IFERROR(J371*INDEX('PORTIFÓLIO'!$S$4:$S$433,MATCH($C371,'PORTIFÓLIO'!$C$4:$C$433,0)),"")</f>
        <v/>
      </c>
      <c r="M371" s="220"/>
      <c r="N371" s="220"/>
      <c r="O371" s="220"/>
      <c r="P371" s="220"/>
      <c r="Q371" s="220"/>
      <c r="R371" s="220"/>
      <c r="S371" s="220"/>
      <c r="T371" s="220"/>
      <c r="U371" s="220"/>
      <c r="V371" s="220"/>
      <c r="W371" s="220"/>
    </row>
    <row r="372" ht="15.75" customHeight="1" outlineLevel="1">
      <c r="A372" s="211"/>
      <c r="B372" s="212"/>
      <c r="C372" s="213"/>
      <c r="D372" s="214" t="str">
        <f>IFERROR(VLOOKUP($C372,'PORTIFÓLIO'!C:V,2,0),"")</f>
        <v/>
      </c>
      <c r="E372" s="211" t="str">
        <f>IFERROR(VLOOKUP($C372,'PORTIFÓLIO'!C:V,3,0),"")</f>
        <v/>
      </c>
      <c r="F372" s="211" t="str">
        <f>IFERROR(VLOOKUP($C372,'PORTIFÓLIO'!C:V,4,0),"")</f>
        <v/>
      </c>
      <c r="G372" s="215" t="str">
        <f>IFERROR(VLOOKUP($C372,'PORTIFÓLIO'!C:V,5,0),"")</f>
        <v/>
      </c>
      <c r="H372" s="254" t="str">
        <f t="array" ref="H372">IFERROR(INDEX('PORTIFÓLIO'!$H$4:$H$433,MATCH($C372,'PORTIFÓLIO'!$C$4:$C$433,0)),"")</f>
        <v/>
      </c>
      <c r="I372" s="256"/>
      <c r="J372" s="218">
        <f t="shared" si="41"/>
        <v>0</v>
      </c>
      <c r="K372" s="292" t="str">
        <f t="array" ref="K372">IFERROR(I372*INDEX('PORTIFÓLIO'!$S$4:$S$433,MATCH($C372,'PORTIFÓLIO'!$C$4:$C$433,0)),"")</f>
        <v/>
      </c>
      <c r="L372" s="292" t="str">
        <f t="array" ref="L372">IFERROR(J372*INDEX('PORTIFÓLIO'!$S$4:$S$433,MATCH($C372,'PORTIFÓLIO'!$C$4:$C$433,0)),"")</f>
        <v/>
      </c>
      <c r="M372" s="220"/>
      <c r="N372" s="220"/>
      <c r="O372" s="220"/>
      <c r="P372" s="220"/>
      <c r="Q372" s="220"/>
      <c r="R372" s="220"/>
      <c r="S372" s="220"/>
      <c r="T372" s="220"/>
      <c r="U372" s="220"/>
      <c r="V372" s="220"/>
      <c r="W372" s="220"/>
    </row>
    <row r="373" ht="15.75" customHeight="1" outlineLevel="1">
      <c r="A373" s="211"/>
      <c r="B373" s="212"/>
      <c r="C373" s="213"/>
      <c r="D373" s="214" t="str">
        <f>IFERROR(VLOOKUP($C373,'PORTIFÓLIO'!C:V,2,0),"")</f>
        <v/>
      </c>
      <c r="E373" s="211" t="str">
        <f>IFERROR(VLOOKUP($C373,'PORTIFÓLIO'!C:V,3,0),"")</f>
        <v/>
      </c>
      <c r="F373" s="211" t="str">
        <f>IFERROR(VLOOKUP($C373,'PORTIFÓLIO'!C:V,4,0),"")</f>
        <v/>
      </c>
      <c r="G373" s="215" t="str">
        <f>IFERROR(VLOOKUP($C373,'PORTIFÓLIO'!C:V,5,0),"")</f>
        <v/>
      </c>
      <c r="H373" s="254" t="str">
        <f t="array" ref="H373">IFERROR(INDEX('PORTIFÓLIO'!$H$4:$H$433,MATCH($C373,'PORTIFÓLIO'!$C$4:$C$433,0)),"")</f>
        <v/>
      </c>
      <c r="I373" s="256"/>
      <c r="J373" s="218">
        <f t="shared" si="41"/>
        <v>0</v>
      </c>
      <c r="K373" s="292" t="str">
        <f t="array" ref="K373">IFERROR(I373*INDEX('PORTIFÓLIO'!$S$4:$S$433,MATCH($C373,'PORTIFÓLIO'!$C$4:$C$433,0)),"")</f>
        <v/>
      </c>
      <c r="L373" s="292" t="str">
        <f t="array" ref="L373">IFERROR(J373*INDEX('PORTIFÓLIO'!$S$4:$S$433,MATCH($C373,'PORTIFÓLIO'!$C$4:$C$433,0)),"")</f>
        <v/>
      </c>
      <c r="M373" s="220"/>
      <c r="N373" s="220"/>
      <c r="O373" s="220"/>
      <c r="P373" s="220"/>
      <c r="Q373" s="220"/>
      <c r="R373" s="220"/>
      <c r="S373" s="220"/>
      <c r="T373" s="220"/>
      <c r="U373" s="220"/>
      <c r="V373" s="220"/>
      <c r="W373" s="220"/>
    </row>
    <row r="374" ht="15.75" customHeight="1" outlineLevel="1">
      <c r="A374" s="211"/>
      <c r="B374" s="227"/>
      <c r="C374" s="211"/>
      <c r="D374" s="214" t="str">
        <f>IFERROR(VLOOKUP($C374,'PORTIFÓLIO'!C:V,2,0),"")</f>
        <v/>
      </c>
      <c r="E374" s="211" t="str">
        <f>IFERROR(VLOOKUP($C374,'PORTIFÓLIO'!C:V,3,0),"")</f>
        <v/>
      </c>
      <c r="F374" s="211" t="str">
        <f>IFERROR(VLOOKUP($C374,'PORTIFÓLIO'!C:V,4,0),"")</f>
        <v/>
      </c>
      <c r="G374" s="215" t="str">
        <f>IFERROR(VLOOKUP($C374,'PORTIFÓLIO'!C:V,5,0),"")</f>
        <v/>
      </c>
      <c r="H374" s="254" t="str">
        <f t="array" ref="H374">IFERROR(INDEX('PORTIFÓLIO'!$H$4:$H$433,MATCH($C374,'PORTIFÓLIO'!$C$4:$C$433,0)),"")</f>
        <v/>
      </c>
      <c r="I374" s="256"/>
      <c r="J374" s="218"/>
      <c r="K374" s="292" t="str">
        <f t="array" ref="K374">IFERROR(I374*INDEX('PORTIFÓLIO'!$S$4:$S$433,MATCH($C374,'PORTIFÓLIO'!$C$4:$C$433,0)),"")</f>
        <v/>
      </c>
      <c r="L374" s="292" t="str">
        <f t="array" ref="L374">IFERROR(J374*INDEX('PORTIFÓLIO'!$S$4:$S$433,MATCH($C374,'PORTIFÓLIO'!$C$4:$C$433,0)),"")</f>
        <v/>
      </c>
      <c r="M374" s="220"/>
      <c r="N374" s="220"/>
      <c r="O374" s="220"/>
      <c r="P374" s="220"/>
      <c r="Q374" s="220"/>
      <c r="R374" s="220"/>
      <c r="S374" s="220"/>
      <c r="T374" s="220"/>
      <c r="U374" s="220"/>
      <c r="V374" s="220"/>
      <c r="W374" s="220"/>
    </row>
    <row r="375" ht="15.75" customHeight="1">
      <c r="A375" s="229" t="s">
        <v>1192</v>
      </c>
      <c r="B375" s="230"/>
      <c r="C375" s="231"/>
      <c r="D375" s="232"/>
      <c r="E375" s="231"/>
      <c r="F375" s="231"/>
      <c r="G375" s="233"/>
      <c r="H375" s="233"/>
      <c r="I375" s="258"/>
      <c r="J375" s="236"/>
      <c r="K375" s="237">
        <f t="shared" ref="K375:L375" si="42">SUBTOTAL(9,K376:K389)</f>
        <v>0</v>
      </c>
      <c r="L375" s="237">
        <f t="shared" si="42"/>
        <v>0</v>
      </c>
      <c r="M375" s="220"/>
      <c r="N375" s="220"/>
      <c r="O375" s="220"/>
      <c r="P375" s="220"/>
      <c r="Q375" s="220"/>
      <c r="R375" s="220"/>
      <c r="S375" s="220"/>
      <c r="T375" s="220"/>
      <c r="U375" s="220"/>
      <c r="V375" s="220"/>
      <c r="W375" s="220"/>
    </row>
    <row r="376" ht="15.75" customHeight="1" outlineLevel="1">
      <c r="A376" s="213"/>
      <c r="B376" s="212"/>
      <c r="C376" s="213"/>
      <c r="D376" s="214" t="str">
        <f>IFERROR(VLOOKUP($C376,'PORTIFÓLIO'!C:V,2,0),"")</f>
        <v/>
      </c>
      <c r="E376" s="211" t="str">
        <f>IFERROR(VLOOKUP($C376,'PORTIFÓLIO'!C:V,3,0),"")</f>
        <v/>
      </c>
      <c r="F376" s="211" t="str">
        <f>IFERROR(VLOOKUP($C376,'PORTIFÓLIO'!C:V,4,0),"")</f>
        <v/>
      </c>
      <c r="G376" s="215" t="str">
        <f>IFERROR(VLOOKUP($C376,'PORTIFÓLIO'!C:V,5,0),"")</f>
        <v/>
      </c>
      <c r="H376" s="254" t="str">
        <f t="array" ref="H376">IFERROR(INDEX('PORTIFÓLIO'!$H$4:$H$433,MATCH($C376,'PORTIFÓLIO'!$C$4:$C$433,0)),"")</f>
        <v/>
      </c>
      <c r="I376" s="255"/>
      <c r="J376" s="218">
        <f t="shared" ref="J376:J390" si="43">I376*$B$2</f>
        <v>0</v>
      </c>
      <c r="K376" s="292" t="str">
        <f t="array" ref="K376">IFERROR(I376*INDEX('PORTIFÓLIO'!$S$4:$S$433,MATCH($C376,'PORTIFÓLIO'!$C$4:$C$433,0)),"")</f>
        <v/>
      </c>
      <c r="L376" s="292" t="str">
        <f t="array" ref="L376">IFERROR(J376*INDEX('PORTIFÓLIO'!$S$4:$S$433,MATCH($C376,'PORTIFÓLIO'!$C$4:$C$433,0)),"")</f>
        <v/>
      </c>
      <c r="M376" s="220"/>
      <c r="N376" s="220"/>
      <c r="O376" s="220"/>
      <c r="P376" s="220"/>
      <c r="Q376" s="220"/>
      <c r="R376" s="220"/>
      <c r="S376" s="220"/>
      <c r="T376" s="220"/>
      <c r="U376" s="220"/>
      <c r="V376" s="220"/>
      <c r="W376" s="220"/>
    </row>
    <row r="377" ht="15.75" customHeight="1" outlineLevel="1">
      <c r="A377" s="211"/>
      <c r="B377" s="212"/>
      <c r="C377" s="213"/>
      <c r="D377" s="214" t="str">
        <f>IFERROR(VLOOKUP($C377,'PORTIFÓLIO'!C:V,2,0),"")</f>
        <v/>
      </c>
      <c r="E377" s="211" t="str">
        <f>IFERROR(VLOOKUP($C377,'PORTIFÓLIO'!C:V,3,0),"")</f>
        <v/>
      </c>
      <c r="F377" s="211" t="str">
        <f>IFERROR(VLOOKUP($C377,'PORTIFÓLIO'!C:V,4,0),"")</f>
        <v/>
      </c>
      <c r="G377" s="215" t="str">
        <f>IFERROR(VLOOKUP($C377,'PORTIFÓLIO'!C:V,5,0),"")</f>
        <v/>
      </c>
      <c r="H377" s="254" t="str">
        <f t="array" ref="H377">IFERROR(INDEX('PORTIFÓLIO'!$H$4:$H$433,MATCH($C377,'PORTIFÓLIO'!$C$4:$C$433,0)),"")</f>
        <v/>
      </c>
      <c r="I377" s="256"/>
      <c r="J377" s="218">
        <f t="shared" si="43"/>
        <v>0</v>
      </c>
      <c r="K377" s="292" t="str">
        <f t="array" ref="K377">IFERROR(I377*INDEX('PORTIFÓLIO'!$S$4:$S$433,MATCH($C377,'PORTIFÓLIO'!$C$4:$C$433,0)),"")</f>
        <v/>
      </c>
      <c r="L377" s="292" t="str">
        <f t="array" ref="L377">IFERROR(J377*INDEX('PORTIFÓLIO'!$S$4:$S$433,MATCH($C377,'PORTIFÓLIO'!$C$4:$C$433,0)),"")</f>
        <v/>
      </c>
      <c r="M377" s="220"/>
      <c r="N377" s="220"/>
      <c r="O377" s="220"/>
      <c r="P377" s="220"/>
      <c r="Q377" s="220"/>
      <c r="R377" s="220"/>
      <c r="S377" s="220"/>
      <c r="T377" s="220"/>
      <c r="U377" s="220"/>
      <c r="V377" s="220"/>
      <c r="W377" s="220"/>
    </row>
    <row r="378" ht="15.75" customHeight="1" outlineLevel="1">
      <c r="A378" s="211"/>
      <c r="B378" s="212"/>
      <c r="C378" s="213"/>
      <c r="D378" s="214" t="str">
        <f>IFERROR(VLOOKUP($C378,'PORTIFÓLIO'!C:V,2,0),"")</f>
        <v/>
      </c>
      <c r="E378" s="211" t="str">
        <f>IFERROR(VLOOKUP($C378,'PORTIFÓLIO'!C:V,3,0),"")</f>
        <v/>
      </c>
      <c r="F378" s="211" t="str">
        <f>IFERROR(VLOOKUP($C378,'PORTIFÓLIO'!C:V,4,0),"")</f>
        <v/>
      </c>
      <c r="G378" s="215" t="str">
        <f>IFERROR(VLOOKUP($C378,'PORTIFÓLIO'!C:V,5,0),"")</f>
        <v/>
      </c>
      <c r="H378" s="254" t="str">
        <f t="array" ref="H378">IFERROR(INDEX('PORTIFÓLIO'!$H$4:$H$433,MATCH($C378,'PORTIFÓLIO'!$C$4:$C$433,0)),"")</f>
        <v/>
      </c>
      <c r="I378" s="256"/>
      <c r="J378" s="218">
        <f t="shared" si="43"/>
        <v>0</v>
      </c>
      <c r="K378" s="292" t="str">
        <f t="array" ref="K378">IFERROR(I378*INDEX('PORTIFÓLIO'!$S$4:$S$433,MATCH($C378,'PORTIFÓLIO'!$C$4:$C$433,0)),"")</f>
        <v/>
      </c>
      <c r="L378" s="292" t="str">
        <f t="array" ref="L378">IFERROR(J378*INDEX('PORTIFÓLIO'!$S$4:$S$433,MATCH($C378,'PORTIFÓLIO'!$C$4:$C$433,0)),"")</f>
        <v/>
      </c>
      <c r="M378" s="220"/>
      <c r="N378" s="220"/>
      <c r="O378" s="220"/>
      <c r="P378" s="220"/>
      <c r="Q378" s="220"/>
      <c r="R378" s="220"/>
      <c r="S378" s="220"/>
      <c r="T378" s="220"/>
      <c r="U378" s="220"/>
      <c r="V378" s="220"/>
      <c r="W378" s="220"/>
    </row>
    <row r="379" ht="15.75" customHeight="1" outlineLevel="1">
      <c r="A379" s="211"/>
      <c r="B379" s="212"/>
      <c r="C379" s="213"/>
      <c r="D379" s="214" t="str">
        <f>IFERROR(VLOOKUP($C379,'PORTIFÓLIO'!C:V,2,0),"")</f>
        <v/>
      </c>
      <c r="E379" s="211" t="str">
        <f>IFERROR(VLOOKUP($C379,'PORTIFÓLIO'!C:V,3,0),"")</f>
        <v/>
      </c>
      <c r="F379" s="211" t="str">
        <f>IFERROR(VLOOKUP($C379,'PORTIFÓLIO'!C:V,4,0),"")</f>
        <v/>
      </c>
      <c r="G379" s="215" t="str">
        <f>IFERROR(VLOOKUP($C379,'PORTIFÓLIO'!C:V,5,0),"")</f>
        <v/>
      </c>
      <c r="H379" s="254" t="str">
        <f t="array" ref="H379">IFERROR(INDEX('PORTIFÓLIO'!$H$4:$H$433,MATCH($C379,'PORTIFÓLIO'!$C$4:$C$433,0)),"")</f>
        <v/>
      </c>
      <c r="I379" s="256"/>
      <c r="J379" s="218">
        <f t="shared" si="43"/>
        <v>0</v>
      </c>
      <c r="K379" s="292" t="str">
        <f t="array" ref="K379">IFERROR(I379*INDEX('PORTIFÓLIO'!$S$4:$S$433,MATCH($C379,'PORTIFÓLIO'!$C$4:$C$433,0)),"")</f>
        <v/>
      </c>
      <c r="L379" s="292" t="str">
        <f t="array" ref="L379">IFERROR(J379*INDEX('PORTIFÓLIO'!$S$4:$S$433,MATCH($C379,'PORTIFÓLIO'!$C$4:$C$433,0)),"")</f>
        <v/>
      </c>
      <c r="M379" s="220"/>
      <c r="N379" s="220"/>
      <c r="O379" s="220"/>
      <c r="P379" s="220"/>
      <c r="Q379" s="220"/>
      <c r="R379" s="220"/>
      <c r="S379" s="220"/>
      <c r="T379" s="220"/>
      <c r="U379" s="220"/>
      <c r="V379" s="220"/>
      <c r="W379" s="220"/>
    </row>
    <row r="380" ht="15.75" customHeight="1" outlineLevel="1">
      <c r="A380" s="211"/>
      <c r="B380" s="212"/>
      <c r="C380" s="213"/>
      <c r="D380" s="214" t="str">
        <f>IFERROR(VLOOKUP($C380,'PORTIFÓLIO'!C:V,2,0),"")</f>
        <v/>
      </c>
      <c r="E380" s="211" t="str">
        <f>IFERROR(VLOOKUP($C380,'PORTIFÓLIO'!C:V,3,0),"")</f>
        <v/>
      </c>
      <c r="F380" s="211" t="str">
        <f>IFERROR(VLOOKUP($C380,'PORTIFÓLIO'!C:V,4,0),"")</f>
        <v/>
      </c>
      <c r="G380" s="215" t="str">
        <f>IFERROR(VLOOKUP($C380,'PORTIFÓLIO'!C:V,5,0),"")</f>
        <v/>
      </c>
      <c r="H380" s="254" t="str">
        <f t="array" ref="H380">IFERROR(INDEX('PORTIFÓLIO'!$H$4:$H$433,MATCH($C380,'PORTIFÓLIO'!$C$4:$C$433,0)),"")</f>
        <v/>
      </c>
      <c r="I380" s="256"/>
      <c r="J380" s="218">
        <f t="shared" si="43"/>
        <v>0</v>
      </c>
      <c r="K380" s="292" t="str">
        <f t="array" ref="K380">IFERROR(I380*INDEX('PORTIFÓLIO'!$S$4:$S$433,MATCH($C380,'PORTIFÓLIO'!$C$4:$C$433,0)),"")</f>
        <v/>
      </c>
      <c r="L380" s="292" t="str">
        <f t="array" ref="L380">IFERROR(J380*INDEX('PORTIFÓLIO'!$S$4:$S$433,MATCH($C380,'PORTIFÓLIO'!$C$4:$C$433,0)),"")</f>
        <v/>
      </c>
      <c r="M380" s="220"/>
      <c r="N380" s="220"/>
      <c r="O380" s="220"/>
      <c r="P380" s="220"/>
      <c r="Q380" s="220"/>
      <c r="R380" s="220"/>
      <c r="S380" s="220"/>
      <c r="T380" s="220"/>
      <c r="U380" s="220"/>
      <c r="V380" s="220"/>
      <c r="W380" s="220"/>
    </row>
    <row r="381" ht="15.75" customHeight="1" outlineLevel="1">
      <c r="A381" s="211"/>
      <c r="B381" s="212"/>
      <c r="C381" s="213"/>
      <c r="D381" s="214" t="str">
        <f>IFERROR(VLOOKUP($C381,'PORTIFÓLIO'!C:V,2,0),"")</f>
        <v/>
      </c>
      <c r="E381" s="211" t="str">
        <f>IFERROR(VLOOKUP($C381,'PORTIFÓLIO'!C:V,3,0),"")</f>
        <v/>
      </c>
      <c r="F381" s="211" t="str">
        <f>IFERROR(VLOOKUP($C381,'PORTIFÓLIO'!C:V,4,0),"")</f>
        <v/>
      </c>
      <c r="G381" s="215" t="str">
        <f>IFERROR(VLOOKUP($C381,'PORTIFÓLIO'!C:V,5,0),"")</f>
        <v/>
      </c>
      <c r="H381" s="254" t="str">
        <f t="array" ref="H381">IFERROR(INDEX('PORTIFÓLIO'!$H$4:$H$433,MATCH($C381,'PORTIFÓLIO'!$C$4:$C$433,0)),"")</f>
        <v/>
      </c>
      <c r="I381" s="256"/>
      <c r="J381" s="218">
        <f t="shared" si="43"/>
        <v>0</v>
      </c>
      <c r="K381" s="292" t="str">
        <f t="array" ref="K381">IFERROR(I381*INDEX('PORTIFÓLIO'!$S$4:$S$433,MATCH($C381,'PORTIFÓLIO'!$C$4:$C$433,0)),"")</f>
        <v/>
      </c>
      <c r="L381" s="292" t="str">
        <f t="array" ref="L381">IFERROR(J381*INDEX('PORTIFÓLIO'!$S$4:$S$433,MATCH($C381,'PORTIFÓLIO'!$C$4:$C$433,0)),"")</f>
        <v/>
      </c>
      <c r="M381" s="220"/>
      <c r="N381" s="220"/>
      <c r="O381" s="220"/>
      <c r="P381" s="220"/>
      <c r="Q381" s="220"/>
      <c r="R381" s="220"/>
      <c r="S381" s="220"/>
      <c r="T381" s="220"/>
      <c r="U381" s="220"/>
      <c r="V381" s="220"/>
      <c r="W381" s="220"/>
    </row>
    <row r="382" ht="15.75" customHeight="1" outlineLevel="1">
      <c r="A382" s="211"/>
      <c r="B382" s="212"/>
      <c r="C382" s="213"/>
      <c r="D382" s="214" t="str">
        <f>IFERROR(VLOOKUP($C382,'PORTIFÓLIO'!C:V,2,0),"")</f>
        <v/>
      </c>
      <c r="E382" s="211" t="str">
        <f>IFERROR(VLOOKUP($C382,'PORTIFÓLIO'!C:V,3,0),"")</f>
        <v/>
      </c>
      <c r="F382" s="211" t="str">
        <f>IFERROR(VLOOKUP($C382,'PORTIFÓLIO'!C:V,4,0),"")</f>
        <v/>
      </c>
      <c r="G382" s="215" t="str">
        <f>IFERROR(VLOOKUP($C382,'PORTIFÓLIO'!C:V,5,0),"")</f>
        <v/>
      </c>
      <c r="H382" s="254" t="str">
        <f t="array" ref="H382">IFERROR(INDEX('PORTIFÓLIO'!$H$4:$H$433,MATCH($C382,'PORTIFÓLIO'!$C$4:$C$433,0)),"")</f>
        <v/>
      </c>
      <c r="I382" s="256"/>
      <c r="J382" s="218">
        <f t="shared" si="43"/>
        <v>0</v>
      </c>
      <c r="K382" s="292" t="str">
        <f t="array" ref="K382">IFERROR(I382*INDEX('PORTIFÓLIO'!$S$4:$S$433,MATCH($C382,'PORTIFÓLIO'!$C$4:$C$433,0)),"")</f>
        <v/>
      </c>
      <c r="L382" s="292" t="str">
        <f t="array" ref="L382">IFERROR(J382*INDEX('PORTIFÓLIO'!$S$4:$S$433,MATCH($C382,'PORTIFÓLIO'!$C$4:$C$433,0)),"")</f>
        <v/>
      </c>
      <c r="M382" s="220"/>
      <c r="N382" s="220"/>
      <c r="O382" s="220"/>
      <c r="P382" s="220"/>
      <c r="Q382" s="220"/>
      <c r="R382" s="220"/>
      <c r="S382" s="220"/>
      <c r="T382" s="220"/>
      <c r="U382" s="220"/>
      <c r="V382" s="220"/>
      <c r="W382" s="220"/>
    </row>
    <row r="383" ht="15.75" customHeight="1" outlineLevel="1">
      <c r="A383" s="211"/>
      <c r="B383" s="212"/>
      <c r="C383" s="213"/>
      <c r="D383" s="214" t="str">
        <f>IFERROR(VLOOKUP($C383,'PORTIFÓLIO'!C:V,2,0),"")</f>
        <v/>
      </c>
      <c r="E383" s="211" t="str">
        <f>IFERROR(VLOOKUP($C383,'PORTIFÓLIO'!C:V,3,0),"")</f>
        <v/>
      </c>
      <c r="F383" s="211" t="str">
        <f>IFERROR(VLOOKUP($C383,'PORTIFÓLIO'!C:V,4,0),"")</f>
        <v/>
      </c>
      <c r="G383" s="215" t="str">
        <f>IFERROR(VLOOKUP($C383,'PORTIFÓLIO'!C:V,5,0),"")</f>
        <v/>
      </c>
      <c r="H383" s="254" t="str">
        <f t="array" ref="H383">IFERROR(INDEX('PORTIFÓLIO'!$H$4:$H$433,MATCH($C383,'PORTIFÓLIO'!$C$4:$C$433,0)),"")</f>
        <v/>
      </c>
      <c r="I383" s="256"/>
      <c r="J383" s="218">
        <f t="shared" si="43"/>
        <v>0</v>
      </c>
      <c r="K383" s="292" t="str">
        <f t="array" ref="K383">IFERROR(I383*INDEX('PORTIFÓLIO'!$S$4:$S$433,MATCH($C383,'PORTIFÓLIO'!$C$4:$C$433,0)),"")</f>
        <v/>
      </c>
      <c r="L383" s="292" t="str">
        <f t="array" ref="L383">IFERROR(J383*INDEX('PORTIFÓLIO'!$S$4:$S$433,MATCH($C383,'PORTIFÓLIO'!$C$4:$C$433,0)),"")</f>
        <v/>
      </c>
      <c r="M383" s="220"/>
      <c r="N383" s="220"/>
      <c r="O383" s="220"/>
      <c r="P383" s="220"/>
      <c r="Q383" s="220"/>
      <c r="R383" s="220"/>
      <c r="S383" s="220"/>
      <c r="T383" s="220"/>
      <c r="U383" s="220"/>
      <c r="V383" s="220"/>
      <c r="W383" s="220"/>
    </row>
    <row r="384" ht="15.75" customHeight="1" outlineLevel="1">
      <c r="A384" s="211"/>
      <c r="B384" s="212"/>
      <c r="C384" s="213"/>
      <c r="D384" s="214" t="str">
        <f>IFERROR(VLOOKUP($C384,'PORTIFÓLIO'!C:V,2,0),"")</f>
        <v/>
      </c>
      <c r="E384" s="211" t="str">
        <f>IFERROR(VLOOKUP($C384,'PORTIFÓLIO'!C:V,3,0),"")</f>
        <v/>
      </c>
      <c r="F384" s="211" t="str">
        <f>IFERROR(VLOOKUP($C384,'PORTIFÓLIO'!C:V,4,0),"")</f>
        <v/>
      </c>
      <c r="G384" s="215" t="str">
        <f>IFERROR(VLOOKUP($C384,'PORTIFÓLIO'!C:V,5,0),"")</f>
        <v/>
      </c>
      <c r="H384" s="254" t="str">
        <f t="array" ref="H384">IFERROR(INDEX('PORTIFÓLIO'!$H$4:$H$433,MATCH($C384,'PORTIFÓLIO'!$C$4:$C$433,0)),"")</f>
        <v/>
      </c>
      <c r="I384" s="255"/>
      <c r="J384" s="218">
        <f t="shared" si="43"/>
        <v>0</v>
      </c>
      <c r="K384" s="292" t="str">
        <f t="array" ref="K384">IFERROR(I384*INDEX('PORTIFÓLIO'!$S$4:$S$433,MATCH($C384,'PORTIFÓLIO'!$C$4:$C$433,0)),"")</f>
        <v/>
      </c>
      <c r="L384" s="292" t="str">
        <f t="array" ref="L384">IFERROR(J384*INDEX('PORTIFÓLIO'!$S$4:$S$433,MATCH($C384,'PORTIFÓLIO'!$C$4:$C$433,0)),"")</f>
        <v/>
      </c>
      <c r="M384" s="220"/>
      <c r="N384" s="220"/>
      <c r="O384" s="220"/>
      <c r="P384" s="220"/>
      <c r="Q384" s="220"/>
      <c r="R384" s="220"/>
      <c r="S384" s="220"/>
      <c r="T384" s="220"/>
      <c r="U384" s="220"/>
      <c r="V384" s="220"/>
      <c r="W384" s="220"/>
    </row>
    <row r="385" ht="15.75" customHeight="1" outlineLevel="1">
      <c r="A385" s="211"/>
      <c r="B385" s="212"/>
      <c r="C385" s="213"/>
      <c r="D385" s="214" t="str">
        <f>IFERROR(VLOOKUP($C385,'PORTIFÓLIO'!C:V,2,0),"")</f>
        <v/>
      </c>
      <c r="E385" s="211" t="str">
        <f>IFERROR(VLOOKUP($C385,'PORTIFÓLIO'!C:V,3,0),"")</f>
        <v/>
      </c>
      <c r="F385" s="211" t="str">
        <f>IFERROR(VLOOKUP($C385,'PORTIFÓLIO'!C:V,4,0),"")</f>
        <v/>
      </c>
      <c r="G385" s="215" t="str">
        <f>IFERROR(VLOOKUP($C385,'PORTIFÓLIO'!C:V,5,0),"")</f>
        <v/>
      </c>
      <c r="H385" s="254" t="str">
        <f t="array" ref="H385">IFERROR(INDEX('PORTIFÓLIO'!$H$4:$H$433,MATCH($C385,'PORTIFÓLIO'!$C$4:$C$433,0)),"")</f>
        <v/>
      </c>
      <c r="I385" s="256"/>
      <c r="J385" s="218">
        <f t="shared" si="43"/>
        <v>0</v>
      </c>
      <c r="K385" s="292" t="str">
        <f t="array" ref="K385">IFERROR(I385*INDEX('PORTIFÓLIO'!$S$4:$S$433,MATCH($C385,'PORTIFÓLIO'!$C$4:$C$433,0)),"")</f>
        <v/>
      </c>
      <c r="L385" s="292" t="str">
        <f t="array" ref="L385">IFERROR(J385*INDEX('PORTIFÓLIO'!$S$4:$S$433,MATCH($C385,'PORTIFÓLIO'!$C$4:$C$433,0)),"")</f>
        <v/>
      </c>
      <c r="M385" s="220"/>
      <c r="N385" s="220"/>
      <c r="O385" s="220"/>
      <c r="P385" s="220"/>
      <c r="Q385" s="220"/>
      <c r="R385" s="220"/>
      <c r="S385" s="220"/>
      <c r="T385" s="220"/>
      <c r="U385" s="220"/>
      <c r="V385" s="220"/>
      <c r="W385" s="220"/>
    </row>
    <row r="386" ht="15.75" customHeight="1" outlineLevel="1">
      <c r="A386" s="211"/>
      <c r="B386" s="212"/>
      <c r="C386" s="213"/>
      <c r="D386" s="214" t="str">
        <f>IFERROR(VLOOKUP($C386,'PORTIFÓLIO'!C:V,2,0),"")</f>
        <v/>
      </c>
      <c r="E386" s="211" t="str">
        <f>IFERROR(VLOOKUP($C386,'PORTIFÓLIO'!C:V,3,0),"")</f>
        <v/>
      </c>
      <c r="F386" s="211" t="str">
        <f>IFERROR(VLOOKUP($C386,'PORTIFÓLIO'!C:V,4,0),"")</f>
        <v/>
      </c>
      <c r="G386" s="215" t="str">
        <f>IFERROR(VLOOKUP($C386,'PORTIFÓLIO'!C:V,5,0),"")</f>
        <v/>
      </c>
      <c r="H386" s="254" t="str">
        <f t="array" ref="H386">IFERROR(INDEX('PORTIFÓLIO'!$H$4:$H$433,MATCH($C386,'PORTIFÓLIO'!$C$4:$C$433,0)),"")</f>
        <v/>
      </c>
      <c r="I386" s="256"/>
      <c r="J386" s="218">
        <f t="shared" si="43"/>
        <v>0</v>
      </c>
      <c r="K386" s="292" t="str">
        <f t="array" ref="K386">IFERROR(I386*INDEX('PORTIFÓLIO'!$S$4:$S$433,MATCH($C386,'PORTIFÓLIO'!$C$4:$C$433,0)),"")</f>
        <v/>
      </c>
      <c r="L386" s="292" t="str">
        <f t="array" ref="L386">IFERROR(J386*INDEX('PORTIFÓLIO'!$S$4:$S$433,MATCH($C386,'PORTIFÓLIO'!$C$4:$C$433,0)),"")</f>
        <v/>
      </c>
      <c r="M386" s="220"/>
      <c r="N386" s="220"/>
      <c r="O386" s="220"/>
      <c r="P386" s="220"/>
      <c r="Q386" s="220"/>
      <c r="R386" s="220"/>
      <c r="S386" s="220"/>
      <c r="T386" s="220"/>
      <c r="U386" s="220"/>
      <c r="V386" s="220"/>
      <c r="W386" s="220"/>
    </row>
    <row r="387" ht="15.75" customHeight="1" outlineLevel="1">
      <c r="A387" s="211"/>
      <c r="B387" s="212"/>
      <c r="C387" s="213"/>
      <c r="D387" s="214" t="str">
        <f>IFERROR(VLOOKUP($C387,'PORTIFÓLIO'!C:V,2,0),"")</f>
        <v/>
      </c>
      <c r="E387" s="211" t="str">
        <f>IFERROR(VLOOKUP($C387,'PORTIFÓLIO'!C:V,3,0),"")</f>
        <v/>
      </c>
      <c r="F387" s="211" t="str">
        <f>IFERROR(VLOOKUP($C387,'PORTIFÓLIO'!C:V,4,0),"")</f>
        <v/>
      </c>
      <c r="G387" s="215" t="str">
        <f>IFERROR(VLOOKUP($C387,'PORTIFÓLIO'!C:V,5,0),"")</f>
        <v/>
      </c>
      <c r="H387" s="254" t="str">
        <f t="array" ref="H387">IFERROR(INDEX('PORTIFÓLIO'!$H$4:$H$433,MATCH($C387,'PORTIFÓLIO'!$C$4:$C$433,0)),"")</f>
        <v/>
      </c>
      <c r="I387" s="256"/>
      <c r="J387" s="218">
        <f t="shared" si="43"/>
        <v>0</v>
      </c>
      <c r="K387" s="292" t="str">
        <f t="array" ref="K387">IFERROR(I387*INDEX('PORTIFÓLIO'!$S$4:$S$433,MATCH($C387,'PORTIFÓLIO'!$C$4:$C$433,0)),"")</f>
        <v/>
      </c>
      <c r="L387" s="292" t="str">
        <f t="array" ref="L387">IFERROR(J387*INDEX('PORTIFÓLIO'!$S$4:$S$433,MATCH($C387,'PORTIFÓLIO'!$C$4:$C$433,0)),"")</f>
        <v/>
      </c>
      <c r="M387" s="220"/>
      <c r="N387" s="220"/>
      <c r="O387" s="220"/>
      <c r="P387" s="220"/>
      <c r="Q387" s="220"/>
      <c r="R387" s="220"/>
      <c r="S387" s="220"/>
      <c r="T387" s="220"/>
      <c r="U387" s="220"/>
      <c r="V387" s="220"/>
      <c r="W387" s="220"/>
    </row>
    <row r="388" ht="15.75" customHeight="1" outlineLevel="1">
      <c r="A388" s="211"/>
      <c r="B388" s="212"/>
      <c r="C388" s="213"/>
      <c r="D388" s="214" t="str">
        <f>IFERROR(VLOOKUP($C388,'PORTIFÓLIO'!C:V,2,0),"")</f>
        <v/>
      </c>
      <c r="E388" s="211" t="str">
        <f>IFERROR(VLOOKUP($C388,'PORTIFÓLIO'!C:V,3,0),"")</f>
        <v/>
      </c>
      <c r="F388" s="211" t="str">
        <f>IFERROR(VLOOKUP($C388,'PORTIFÓLIO'!C:V,4,0),"")</f>
        <v/>
      </c>
      <c r="G388" s="215" t="str">
        <f>IFERROR(VLOOKUP($C388,'PORTIFÓLIO'!C:V,5,0),"")</f>
        <v/>
      </c>
      <c r="H388" s="254" t="str">
        <f t="array" ref="H388">IFERROR(INDEX('PORTIFÓLIO'!$H$4:$H$433,MATCH($C388,'PORTIFÓLIO'!$C$4:$C$433,0)),"")</f>
        <v/>
      </c>
      <c r="I388" s="256"/>
      <c r="J388" s="218">
        <f t="shared" si="43"/>
        <v>0</v>
      </c>
      <c r="K388" s="292" t="str">
        <f t="array" ref="K388">IFERROR(I388*INDEX('PORTIFÓLIO'!$S$4:$S$433,MATCH($C388,'PORTIFÓLIO'!$C$4:$C$433,0)),"")</f>
        <v/>
      </c>
      <c r="L388" s="292" t="str">
        <f t="array" ref="L388">IFERROR(J388*INDEX('PORTIFÓLIO'!$S$4:$S$433,MATCH($C388,'PORTIFÓLIO'!$C$4:$C$433,0)),"")</f>
        <v/>
      </c>
      <c r="M388" s="220"/>
      <c r="N388" s="220"/>
      <c r="O388" s="220"/>
      <c r="P388" s="220"/>
      <c r="Q388" s="220"/>
      <c r="R388" s="220"/>
      <c r="S388" s="220"/>
      <c r="T388" s="220"/>
      <c r="U388" s="220"/>
      <c r="V388" s="220"/>
      <c r="W388" s="220"/>
    </row>
    <row r="389" ht="15.75" customHeight="1" outlineLevel="1">
      <c r="A389" s="211"/>
      <c r="B389" s="212"/>
      <c r="C389" s="213"/>
      <c r="D389" s="214" t="str">
        <f>IFERROR(VLOOKUP($C389,'PORTIFÓLIO'!C:V,2,0),"")</f>
        <v/>
      </c>
      <c r="E389" s="211" t="str">
        <f>IFERROR(VLOOKUP($C389,'PORTIFÓLIO'!C:V,3,0),"")</f>
        <v/>
      </c>
      <c r="F389" s="211" t="str">
        <f>IFERROR(VLOOKUP($C389,'PORTIFÓLIO'!C:V,4,0),"")</f>
        <v/>
      </c>
      <c r="G389" s="215" t="str">
        <f>IFERROR(VLOOKUP($C389,'PORTIFÓLIO'!C:V,5,0),"")</f>
        <v/>
      </c>
      <c r="H389" s="254" t="str">
        <f t="array" ref="H389">IFERROR(INDEX('PORTIFÓLIO'!$H$4:$H$433,MATCH($C389,'PORTIFÓLIO'!$C$4:$C$433,0)),"")</f>
        <v/>
      </c>
      <c r="I389" s="256"/>
      <c r="J389" s="218">
        <f t="shared" si="43"/>
        <v>0</v>
      </c>
      <c r="K389" s="292" t="str">
        <f t="array" ref="K389">IFERROR(I389*INDEX('PORTIFÓLIO'!$S$4:$S$433,MATCH($C389,'PORTIFÓLIO'!$C$4:$C$433,0)),"")</f>
        <v/>
      </c>
      <c r="L389" s="292" t="str">
        <f t="array" ref="L389">IFERROR(J389*INDEX('PORTIFÓLIO'!$S$4:$S$433,MATCH($C389,'PORTIFÓLIO'!$C$4:$C$433,0)),"")</f>
        <v/>
      </c>
      <c r="M389" s="220"/>
      <c r="N389" s="220"/>
      <c r="O389" s="220"/>
      <c r="P389" s="220"/>
      <c r="Q389" s="220"/>
      <c r="R389" s="220"/>
      <c r="S389" s="220"/>
      <c r="T389" s="220"/>
      <c r="U389" s="220"/>
      <c r="V389" s="220"/>
      <c r="W389" s="220"/>
    </row>
    <row r="390" ht="15.75" customHeight="1" outlineLevel="1">
      <c r="A390" s="211"/>
      <c r="B390" s="212"/>
      <c r="C390" s="213"/>
      <c r="D390" s="214" t="str">
        <f>IFERROR(VLOOKUP($C390,'PORTIFÓLIO'!C:V,2,0),"")</f>
        <v/>
      </c>
      <c r="E390" s="211" t="str">
        <f>IFERROR(VLOOKUP($C390,'PORTIFÓLIO'!C:V,3,0),"")</f>
        <v/>
      </c>
      <c r="F390" s="211" t="str">
        <f>IFERROR(VLOOKUP($C390,'PORTIFÓLIO'!C:V,4,0),"")</f>
        <v/>
      </c>
      <c r="G390" s="215" t="str">
        <f>IFERROR(VLOOKUP($C390,'PORTIFÓLIO'!C:V,5,0),"")</f>
        <v/>
      </c>
      <c r="H390" s="254" t="str">
        <f t="array" ref="H390">IFERROR(INDEX('PORTIFÓLIO'!$H$4:$H$433,MATCH($C390,'PORTIFÓLIO'!$C$4:$C$433,0)),"")</f>
        <v/>
      </c>
      <c r="I390" s="256"/>
      <c r="J390" s="218">
        <f t="shared" si="43"/>
        <v>0</v>
      </c>
      <c r="K390" s="292" t="str">
        <f t="array" ref="K390">IFERROR(I390*INDEX('PORTIFÓLIO'!$S$4:$S$433,MATCH($C390,'PORTIFÓLIO'!$C$4:$C$433,0)),"")</f>
        <v/>
      </c>
      <c r="L390" s="292" t="str">
        <f t="array" ref="L390">IFERROR(J390*INDEX('PORTIFÓLIO'!$S$4:$S$433,MATCH($C390,'PORTIFÓLIO'!$C$4:$C$433,0)),"")</f>
        <v/>
      </c>
      <c r="M390" s="220"/>
      <c r="N390" s="220"/>
      <c r="O390" s="220"/>
      <c r="P390" s="220"/>
      <c r="Q390" s="220"/>
      <c r="R390" s="220"/>
      <c r="S390" s="220"/>
      <c r="T390" s="220"/>
      <c r="U390" s="220"/>
      <c r="V390" s="220"/>
      <c r="W390" s="220"/>
    </row>
    <row r="391" ht="15.75" customHeight="1" outlineLevel="1">
      <c r="A391" s="211"/>
      <c r="B391" s="227"/>
      <c r="C391" s="211"/>
      <c r="D391" s="214" t="str">
        <f>IFERROR(VLOOKUP($C391,'PORTIFÓLIO'!C:V,2,0),"")</f>
        <v/>
      </c>
      <c r="E391" s="211" t="str">
        <f>IFERROR(VLOOKUP($C391,'PORTIFÓLIO'!C:V,3,0),"")</f>
        <v/>
      </c>
      <c r="F391" s="211" t="str">
        <f>IFERROR(VLOOKUP($C391,'PORTIFÓLIO'!C:V,4,0),"")</f>
        <v/>
      </c>
      <c r="G391" s="215" t="str">
        <f>IFERROR(VLOOKUP($C391,'PORTIFÓLIO'!C:V,5,0),"")</f>
        <v/>
      </c>
      <c r="H391" s="254" t="str">
        <f t="array" ref="H391">IFERROR(INDEX('PORTIFÓLIO'!$H$4:$H$433,MATCH($C391,'PORTIFÓLIO'!$C$4:$C$433,0)),"")</f>
        <v/>
      </c>
      <c r="I391" s="256"/>
      <c r="J391" s="218"/>
      <c r="K391" s="292" t="str">
        <f t="array" ref="K391">IFERROR(I391*INDEX('PORTIFÓLIO'!$S$4:$S$433,MATCH($C391,'PORTIFÓLIO'!$C$4:$C$433,0)),"")</f>
        <v/>
      </c>
      <c r="L391" s="292" t="str">
        <f t="array" ref="L391">IFERROR(J391*INDEX('PORTIFÓLIO'!$S$4:$S$433,MATCH($C391,'PORTIFÓLIO'!$C$4:$C$433,0)),"")</f>
        <v/>
      </c>
      <c r="M391" s="220"/>
      <c r="N391" s="220"/>
      <c r="O391" s="220"/>
      <c r="P391" s="220"/>
      <c r="Q391" s="220"/>
      <c r="R391" s="220"/>
      <c r="S391" s="220"/>
      <c r="T391" s="220"/>
      <c r="U391" s="220"/>
      <c r="V391" s="220"/>
      <c r="W391" s="220"/>
    </row>
    <row r="392" ht="15.75" customHeight="1">
      <c r="A392" s="229" t="s">
        <v>1193</v>
      </c>
      <c r="B392" s="230"/>
      <c r="C392" s="231"/>
      <c r="D392" s="232"/>
      <c r="E392" s="231"/>
      <c r="F392" s="231"/>
      <c r="G392" s="233"/>
      <c r="H392" s="233"/>
      <c r="I392" s="258"/>
      <c r="J392" s="236"/>
      <c r="K392" s="237">
        <f t="shared" ref="K392:L392" si="44">SUBTOTAL(9,K393:K406)</f>
        <v>0</v>
      </c>
      <c r="L392" s="237">
        <f t="shared" si="44"/>
        <v>0</v>
      </c>
      <c r="M392" s="220"/>
      <c r="N392" s="220"/>
      <c r="O392" s="220"/>
      <c r="P392" s="220"/>
      <c r="Q392" s="220"/>
      <c r="R392" s="220"/>
      <c r="S392" s="220"/>
      <c r="T392" s="220"/>
      <c r="U392" s="220"/>
      <c r="V392" s="220"/>
      <c r="W392" s="220"/>
    </row>
    <row r="393" ht="15.75" customHeight="1" outlineLevel="1">
      <c r="A393" s="213"/>
      <c r="B393" s="212"/>
      <c r="C393" s="213"/>
      <c r="D393" s="214" t="str">
        <f>IFERROR(VLOOKUP($C393,'PORTIFÓLIO'!C:V,2,0),"")</f>
        <v/>
      </c>
      <c r="E393" s="211" t="str">
        <f>IFERROR(VLOOKUP($C393,'PORTIFÓLIO'!C:V,3,0),"")</f>
        <v/>
      </c>
      <c r="F393" s="211" t="str">
        <f>IFERROR(VLOOKUP($C393,'PORTIFÓLIO'!C:V,4,0),"")</f>
        <v/>
      </c>
      <c r="G393" s="215" t="str">
        <f>IFERROR(VLOOKUP($C393,'PORTIFÓLIO'!C:V,5,0),"")</f>
        <v/>
      </c>
      <c r="H393" s="254" t="str">
        <f t="array" ref="H393">IFERROR(INDEX('PORTIFÓLIO'!$H$4:$H$433,MATCH($C393,'PORTIFÓLIO'!$C$4:$C$433,0)),"")</f>
        <v/>
      </c>
      <c r="I393" s="255"/>
      <c r="J393" s="218">
        <f t="shared" ref="J393:J408" si="45">I393*$B$2</f>
        <v>0</v>
      </c>
      <c r="K393" s="292" t="str">
        <f t="array" ref="K393">IFERROR(I393*INDEX('PORTIFÓLIO'!$S$4:$S$433,MATCH($C393,'PORTIFÓLIO'!$C$4:$C$433,0)),"")</f>
        <v/>
      </c>
      <c r="L393" s="292" t="str">
        <f t="array" ref="L393">IFERROR(J393*INDEX('PORTIFÓLIO'!$S$4:$S$433,MATCH($C393,'PORTIFÓLIO'!$C$4:$C$433,0)),"")</f>
        <v/>
      </c>
      <c r="M393" s="220"/>
      <c r="N393" s="220"/>
      <c r="O393" s="220"/>
      <c r="P393" s="220"/>
      <c r="Q393" s="220"/>
      <c r="R393" s="220"/>
      <c r="S393" s="220"/>
      <c r="T393" s="220"/>
      <c r="U393" s="220"/>
      <c r="V393" s="220"/>
      <c r="W393" s="220"/>
    </row>
    <row r="394" ht="15.75" customHeight="1" outlineLevel="1">
      <c r="A394" s="211"/>
      <c r="B394" s="212"/>
      <c r="C394" s="213"/>
      <c r="D394" s="214" t="str">
        <f>IFERROR(VLOOKUP($C394,'PORTIFÓLIO'!C:V,2,0),"")</f>
        <v/>
      </c>
      <c r="E394" s="211" t="str">
        <f>IFERROR(VLOOKUP($C394,'PORTIFÓLIO'!C:V,3,0),"")</f>
        <v/>
      </c>
      <c r="F394" s="211" t="str">
        <f>IFERROR(VLOOKUP($C394,'PORTIFÓLIO'!C:V,4,0),"")</f>
        <v/>
      </c>
      <c r="G394" s="215" t="str">
        <f>IFERROR(VLOOKUP($C394,'PORTIFÓLIO'!C:V,5,0),"")</f>
        <v/>
      </c>
      <c r="H394" s="254" t="str">
        <f t="array" ref="H394">IFERROR(INDEX('PORTIFÓLIO'!$H$4:$H$433,MATCH($C394,'PORTIFÓLIO'!$C$4:$C$433,0)),"")</f>
        <v/>
      </c>
      <c r="I394" s="256"/>
      <c r="J394" s="218">
        <f t="shared" si="45"/>
        <v>0</v>
      </c>
      <c r="K394" s="292" t="str">
        <f t="array" ref="K394">IFERROR(I394*INDEX('PORTIFÓLIO'!$S$4:$S$433,MATCH($C394,'PORTIFÓLIO'!$C$4:$C$433,0)),"")</f>
        <v/>
      </c>
      <c r="L394" s="292" t="str">
        <f t="array" ref="L394">IFERROR(J394*INDEX('PORTIFÓLIO'!$S$4:$S$433,MATCH($C394,'PORTIFÓLIO'!$C$4:$C$433,0)),"")</f>
        <v/>
      </c>
      <c r="M394" s="220"/>
      <c r="N394" s="220"/>
      <c r="O394" s="220"/>
      <c r="P394" s="220"/>
      <c r="Q394" s="220"/>
      <c r="R394" s="220"/>
      <c r="S394" s="220"/>
      <c r="T394" s="220"/>
      <c r="U394" s="220"/>
      <c r="V394" s="220"/>
      <c r="W394" s="220"/>
    </row>
    <row r="395" ht="15.75" customHeight="1" outlineLevel="1">
      <c r="A395" s="211"/>
      <c r="B395" s="212"/>
      <c r="C395" s="213"/>
      <c r="D395" s="214" t="str">
        <f>IFERROR(VLOOKUP($C395,'PORTIFÓLIO'!C:V,2,0),"")</f>
        <v/>
      </c>
      <c r="E395" s="211" t="str">
        <f>IFERROR(VLOOKUP($C395,'PORTIFÓLIO'!C:V,3,0),"")</f>
        <v/>
      </c>
      <c r="F395" s="211" t="str">
        <f>IFERROR(VLOOKUP($C395,'PORTIFÓLIO'!C:V,4,0),"")</f>
        <v/>
      </c>
      <c r="G395" s="215" t="str">
        <f>IFERROR(VLOOKUP($C395,'PORTIFÓLIO'!C:V,5,0),"")</f>
        <v/>
      </c>
      <c r="H395" s="254" t="str">
        <f t="array" ref="H395">IFERROR(INDEX('PORTIFÓLIO'!$H$4:$H$433,MATCH($C395,'PORTIFÓLIO'!$C$4:$C$433,0)),"")</f>
        <v/>
      </c>
      <c r="I395" s="256"/>
      <c r="J395" s="218">
        <f t="shared" si="45"/>
        <v>0</v>
      </c>
      <c r="K395" s="292" t="str">
        <f t="array" ref="K395">IFERROR(I395*INDEX('PORTIFÓLIO'!$S$4:$S$433,MATCH($C395,'PORTIFÓLIO'!$C$4:$C$433,0)),"")</f>
        <v/>
      </c>
      <c r="L395" s="292" t="str">
        <f t="array" ref="L395">IFERROR(J395*INDEX('PORTIFÓLIO'!$S$4:$S$433,MATCH($C395,'PORTIFÓLIO'!$C$4:$C$433,0)),"")</f>
        <v/>
      </c>
      <c r="M395" s="220"/>
      <c r="N395" s="220"/>
      <c r="O395" s="220"/>
      <c r="P395" s="220"/>
      <c r="Q395" s="220"/>
      <c r="R395" s="220"/>
      <c r="S395" s="220"/>
      <c r="T395" s="220"/>
      <c r="U395" s="220"/>
      <c r="V395" s="220"/>
      <c r="W395" s="220"/>
    </row>
    <row r="396" ht="15.75" customHeight="1" outlineLevel="1">
      <c r="A396" s="211"/>
      <c r="B396" s="212"/>
      <c r="C396" s="213"/>
      <c r="D396" s="214" t="str">
        <f>IFERROR(VLOOKUP($C396,'PORTIFÓLIO'!C:V,2,0),"")</f>
        <v/>
      </c>
      <c r="E396" s="211" t="str">
        <f>IFERROR(VLOOKUP($C396,'PORTIFÓLIO'!C:V,3,0),"")</f>
        <v/>
      </c>
      <c r="F396" s="211" t="str">
        <f>IFERROR(VLOOKUP($C396,'PORTIFÓLIO'!C:V,4,0),"")</f>
        <v/>
      </c>
      <c r="G396" s="215" t="str">
        <f>IFERROR(VLOOKUP($C396,'PORTIFÓLIO'!C:V,5,0),"")</f>
        <v/>
      </c>
      <c r="H396" s="254" t="str">
        <f t="array" ref="H396">IFERROR(INDEX('PORTIFÓLIO'!$H$4:$H$433,MATCH($C396,'PORTIFÓLIO'!$C$4:$C$433,0)),"")</f>
        <v/>
      </c>
      <c r="I396" s="256"/>
      <c r="J396" s="218">
        <f t="shared" si="45"/>
        <v>0</v>
      </c>
      <c r="K396" s="292" t="str">
        <f t="array" ref="K396">IFERROR(I396*INDEX('PORTIFÓLIO'!$S$4:$S$433,MATCH($C396,'PORTIFÓLIO'!$C$4:$C$433,0)),"")</f>
        <v/>
      </c>
      <c r="L396" s="292" t="str">
        <f t="array" ref="L396">IFERROR(J396*INDEX('PORTIFÓLIO'!$S$4:$S$433,MATCH($C396,'PORTIFÓLIO'!$C$4:$C$433,0)),"")</f>
        <v/>
      </c>
      <c r="M396" s="220"/>
      <c r="N396" s="220"/>
      <c r="O396" s="220"/>
      <c r="P396" s="220"/>
      <c r="Q396" s="220"/>
      <c r="R396" s="220"/>
      <c r="S396" s="220"/>
      <c r="T396" s="220"/>
      <c r="U396" s="220"/>
      <c r="V396" s="220"/>
      <c r="W396" s="220"/>
    </row>
    <row r="397" ht="15.75" customHeight="1" outlineLevel="1">
      <c r="A397" s="211"/>
      <c r="B397" s="212"/>
      <c r="C397" s="213"/>
      <c r="D397" s="214" t="str">
        <f>IFERROR(VLOOKUP($C397,'PORTIFÓLIO'!C:V,2,0),"")</f>
        <v/>
      </c>
      <c r="E397" s="211" t="str">
        <f>IFERROR(VLOOKUP($C397,'PORTIFÓLIO'!C:V,3,0),"")</f>
        <v/>
      </c>
      <c r="F397" s="211" t="str">
        <f>IFERROR(VLOOKUP($C397,'PORTIFÓLIO'!C:V,4,0),"")</f>
        <v/>
      </c>
      <c r="G397" s="215" t="str">
        <f>IFERROR(VLOOKUP($C397,'PORTIFÓLIO'!C:V,5,0),"")</f>
        <v/>
      </c>
      <c r="H397" s="254" t="str">
        <f t="array" ref="H397">IFERROR(INDEX('PORTIFÓLIO'!$H$4:$H$433,MATCH($C397,'PORTIFÓLIO'!$C$4:$C$433,0)),"")</f>
        <v/>
      </c>
      <c r="I397" s="256"/>
      <c r="J397" s="218">
        <f t="shared" si="45"/>
        <v>0</v>
      </c>
      <c r="K397" s="292" t="str">
        <f t="array" ref="K397">IFERROR(I397*INDEX('PORTIFÓLIO'!$S$4:$S$433,MATCH($C397,'PORTIFÓLIO'!$C$4:$C$433,0)),"")</f>
        <v/>
      </c>
      <c r="L397" s="292" t="str">
        <f t="array" ref="L397">IFERROR(J397*INDEX('PORTIFÓLIO'!$S$4:$S$433,MATCH($C397,'PORTIFÓLIO'!$C$4:$C$433,0)),"")</f>
        <v/>
      </c>
      <c r="M397" s="220"/>
      <c r="N397" s="220"/>
      <c r="O397" s="220"/>
      <c r="P397" s="220"/>
      <c r="Q397" s="220"/>
      <c r="R397" s="220"/>
      <c r="S397" s="220"/>
      <c r="T397" s="220"/>
      <c r="U397" s="220"/>
      <c r="V397" s="220"/>
      <c r="W397" s="220"/>
    </row>
    <row r="398" ht="15.75" customHeight="1" outlineLevel="1">
      <c r="A398" s="211"/>
      <c r="B398" s="212"/>
      <c r="C398" s="213"/>
      <c r="D398" s="214" t="str">
        <f>IFERROR(VLOOKUP($C398,'PORTIFÓLIO'!C:V,2,0),"")</f>
        <v/>
      </c>
      <c r="E398" s="211" t="str">
        <f>IFERROR(VLOOKUP($C398,'PORTIFÓLIO'!C:V,3,0),"")</f>
        <v/>
      </c>
      <c r="F398" s="211" t="str">
        <f>IFERROR(VLOOKUP($C398,'PORTIFÓLIO'!C:V,4,0),"")</f>
        <v/>
      </c>
      <c r="G398" s="215" t="str">
        <f>IFERROR(VLOOKUP($C398,'PORTIFÓLIO'!C:V,5,0),"")</f>
        <v/>
      </c>
      <c r="H398" s="254" t="str">
        <f t="array" ref="H398">IFERROR(INDEX('PORTIFÓLIO'!$H$4:$H$433,MATCH($C398,'PORTIFÓLIO'!$C$4:$C$433,0)),"")</f>
        <v/>
      </c>
      <c r="I398" s="256"/>
      <c r="J398" s="218">
        <f t="shared" si="45"/>
        <v>0</v>
      </c>
      <c r="K398" s="292" t="str">
        <f t="array" ref="K398">IFERROR(I398*INDEX('PORTIFÓLIO'!$S$4:$S$433,MATCH($C398,'PORTIFÓLIO'!$C$4:$C$433,0)),"")</f>
        <v/>
      </c>
      <c r="L398" s="292" t="str">
        <f t="array" ref="L398">IFERROR(J398*INDEX('PORTIFÓLIO'!$S$4:$S$433,MATCH($C398,'PORTIFÓLIO'!$C$4:$C$433,0)),"")</f>
        <v/>
      </c>
      <c r="M398" s="220"/>
      <c r="N398" s="220"/>
      <c r="O398" s="220"/>
      <c r="P398" s="220"/>
      <c r="Q398" s="220"/>
      <c r="R398" s="220"/>
      <c r="S398" s="220"/>
      <c r="T398" s="220"/>
      <c r="U398" s="220"/>
      <c r="V398" s="220"/>
      <c r="W398" s="220"/>
    </row>
    <row r="399" ht="15.75" customHeight="1" outlineLevel="1">
      <c r="A399" s="211"/>
      <c r="B399" s="212"/>
      <c r="C399" s="213"/>
      <c r="D399" s="214" t="str">
        <f>IFERROR(VLOOKUP($C399,'PORTIFÓLIO'!C:V,2,0),"")</f>
        <v/>
      </c>
      <c r="E399" s="211" t="str">
        <f>IFERROR(VLOOKUP($C399,'PORTIFÓLIO'!C:V,3,0),"")</f>
        <v/>
      </c>
      <c r="F399" s="211" t="str">
        <f>IFERROR(VLOOKUP($C399,'PORTIFÓLIO'!C:V,4,0),"")</f>
        <v/>
      </c>
      <c r="G399" s="215" t="str">
        <f>IFERROR(VLOOKUP($C399,'PORTIFÓLIO'!C:V,5,0),"")</f>
        <v/>
      </c>
      <c r="H399" s="254" t="str">
        <f t="array" ref="H399">IFERROR(INDEX('PORTIFÓLIO'!$H$4:$H$433,MATCH($C399,'PORTIFÓLIO'!$C$4:$C$433,0)),"")</f>
        <v/>
      </c>
      <c r="I399" s="256"/>
      <c r="J399" s="218">
        <f t="shared" si="45"/>
        <v>0</v>
      </c>
      <c r="K399" s="292" t="str">
        <f t="array" ref="K399">IFERROR(I399*INDEX('PORTIFÓLIO'!$S$4:$S$433,MATCH($C399,'PORTIFÓLIO'!$C$4:$C$433,0)),"")</f>
        <v/>
      </c>
      <c r="L399" s="292" t="str">
        <f t="array" ref="L399">IFERROR(J399*INDEX('PORTIFÓLIO'!$S$4:$S$433,MATCH($C399,'PORTIFÓLIO'!$C$4:$C$433,0)),"")</f>
        <v/>
      </c>
      <c r="M399" s="220"/>
      <c r="N399" s="220"/>
      <c r="O399" s="220"/>
      <c r="P399" s="220"/>
      <c r="Q399" s="220"/>
      <c r="R399" s="220"/>
      <c r="S399" s="220"/>
      <c r="T399" s="220"/>
      <c r="U399" s="220"/>
      <c r="V399" s="220"/>
      <c r="W399" s="220"/>
    </row>
    <row r="400" ht="15.75" customHeight="1" outlineLevel="1">
      <c r="A400" s="211"/>
      <c r="B400" s="212"/>
      <c r="C400" s="213"/>
      <c r="D400" s="214" t="str">
        <f>IFERROR(VLOOKUP($C400,'PORTIFÓLIO'!C:V,2,0),"")</f>
        <v/>
      </c>
      <c r="E400" s="211" t="str">
        <f>IFERROR(VLOOKUP($C400,'PORTIFÓLIO'!C:V,3,0),"")</f>
        <v/>
      </c>
      <c r="F400" s="211" t="str">
        <f>IFERROR(VLOOKUP($C400,'PORTIFÓLIO'!C:V,4,0),"")</f>
        <v/>
      </c>
      <c r="G400" s="215" t="str">
        <f>IFERROR(VLOOKUP($C400,'PORTIFÓLIO'!C:V,5,0),"")</f>
        <v/>
      </c>
      <c r="H400" s="254" t="str">
        <f t="array" ref="H400">IFERROR(INDEX('PORTIFÓLIO'!$H$4:$H$433,MATCH($C400,'PORTIFÓLIO'!$C$4:$C$433,0)),"")</f>
        <v/>
      </c>
      <c r="I400" s="256"/>
      <c r="J400" s="218">
        <f t="shared" si="45"/>
        <v>0</v>
      </c>
      <c r="K400" s="292" t="str">
        <f t="array" ref="K400">IFERROR(I400*INDEX('PORTIFÓLIO'!$S$4:$S$433,MATCH($C400,'PORTIFÓLIO'!$C$4:$C$433,0)),"")</f>
        <v/>
      </c>
      <c r="L400" s="292" t="str">
        <f t="array" ref="L400">IFERROR(J400*INDEX('PORTIFÓLIO'!$S$4:$S$433,MATCH($C400,'PORTIFÓLIO'!$C$4:$C$433,0)),"")</f>
        <v/>
      </c>
      <c r="M400" s="220"/>
      <c r="N400" s="220"/>
      <c r="O400" s="220"/>
      <c r="P400" s="220"/>
      <c r="Q400" s="220"/>
      <c r="R400" s="220"/>
      <c r="S400" s="220"/>
      <c r="T400" s="220"/>
      <c r="U400" s="220"/>
      <c r="V400" s="220"/>
      <c r="W400" s="220"/>
    </row>
    <row r="401" ht="15.75" customHeight="1" outlineLevel="1">
      <c r="A401" s="211"/>
      <c r="B401" s="212"/>
      <c r="C401" s="213"/>
      <c r="D401" s="214" t="str">
        <f>IFERROR(VLOOKUP($C401,'PORTIFÓLIO'!C:V,2,0),"")</f>
        <v/>
      </c>
      <c r="E401" s="211" t="str">
        <f>IFERROR(VLOOKUP($C401,'PORTIFÓLIO'!C:V,3,0),"")</f>
        <v/>
      </c>
      <c r="F401" s="211" t="str">
        <f>IFERROR(VLOOKUP($C401,'PORTIFÓLIO'!C:V,4,0),"")</f>
        <v/>
      </c>
      <c r="G401" s="215" t="str">
        <f>IFERROR(VLOOKUP($C401,'PORTIFÓLIO'!C:V,5,0),"")</f>
        <v/>
      </c>
      <c r="H401" s="254" t="str">
        <f t="array" ref="H401">IFERROR(INDEX('PORTIFÓLIO'!$H$4:$H$433,MATCH($C401,'PORTIFÓLIO'!$C$4:$C$433,0)),"")</f>
        <v/>
      </c>
      <c r="I401" s="255"/>
      <c r="J401" s="218">
        <f t="shared" si="45"/>
        <v>0</v>
      </c>
      <c r="K401" s="292" t="str">
        <f t="array" ref="K401">IFERROR(I401*INDEX('PORTIFÓLIO'!$S$4:$S$433,MATCH($C401,'PORTIFÓLIO'!$C$4:$C$433,0)),"")</f>
        <v/>
      </c>
      <c r="L401" s="292" t="str">
        <f t="array" ref="L401">IFERROR(J401*INDEX('PORTIFÓLIO'!$S$4:$S$433,MATCH($C401,'PORTIFÓLIO'!$C$4:$C$433,0)),"")</f>
        <v/>
      </c>
      <c r="M401" s="220"/>
      <c r="N401" s="220"/>
      <c r="O401" s="220"/>
      <c r="P401" s="220"/>
      <c r="Q401" s="220"/>
      <c r="R401" s="220"/>
      <c r="S401" s="220"/>
      <c r="T401" s="220"/>
      <c r="U401" s="220"/>
      <c r="V401" s="220"/>
      <c r="W401" s="220"/>
    </row>
    <row r="402" ht="15.75" customHeight="1" outlineLevel="1">
      <c r="A402" s="211"/>
      <c r="B402" s="212"/>
      <c r="C402" s="213"/>
      <c r="D402" s="214" t="str">
        <f>IFERROR(VLOOKUP($C402,'PORTIFÓLIO'!C:V,2,0),"")</f>
        <v/>
      </c>
      <c r="E402" s="211" t="str">
        <f>IFERROR(VLOOKUP($C402,'PORTIFÓLIO'!C:V,3,0),"")</f>
        <v/>
      </c>
      <c r="F402" s="211" t="str">
        <f>IFERROR(VLOOKUP($C402,'PORTIFÓLIO'!C:V,4,0),"")</f>
        <v/>
      </c>
      <c r="G402" s="215" t="str">
        <f>IFERROR(VLOOKUP($C402,'PORTIFÓLIO'!C:V,5,0),"")</f>
        <v/>
      </c>
      <c r="H402" s="254" t="str">
        <f t="array" ref="H402">IFERROR(INDEX('PORTIFÓLIO'!$H$4:$H$433,MATCH($C402,'PORTIFÓLIO'!$C$4:$C$433,0)),"")</f>
        <v/>
      </c>
      <c r="I402" s="256"/>
      <c r="J402" s="218">
        <f t="shared" si="45"/>
        <v>0</v>
      </c>
      <c r="K402" s="292" t="str">
        <f t="array" ref="K402">IFERROR(I402*INDEX('PORTIFÓLIO'!$S$4:$S$433,MATCH($C402,'PORTIFÓLIO'!$C$4:$C$433,0)),"")</f>
        <v/>
      </c>
      <c r="L402" s="292" t="str">
        <f t="array" ref="L402">IFERROR(J402*INDEX('PORTIFÓLIO'!$S$4:$S$433,MATCH($C402,'PORTIFÓLIO'!$C$4:$C$433,0)),"")</f>
        <v/>
      </c>
      <c r="M402" s="220"/>
      <c r="N402" s="220"/>
      <c r="O402" s="220"/>
      <c r="P402" s="220"/>
      <c r="Q402" s="220"/>
      <c r="R402" s="220"/>
      <c r="S402" s="220"/>
      <c r="T402" s="220"/>
      <c r="U402" s="220"/>
      <c r="V402" s="220"/>
      <c r="W402" s="220"/>
    </row>
    <row r="403" ht="15.75" customHeight="1" outlineLevel="1">
      <c r="A403" s="211"/>
      <c r="B403" s="212"/>
      <c r="C403" s="213"/>
      <c r="D403" s="214" t="str">
        <f>IFERROR(VLOOKUP($C403,'PORTIFÓLIO'!C:V,2,0),"")</f>
        <v/>
      </c>
      <c r="E403" s="211" t="str">
        <f>IFERROR(VLOOKUP($C403,'PORTIFÓLIO'!C:V,3,0),"")</f>
        <v/>
      </c>
      <c r="F403" s="211" t="str">
        <f>IFERROR(VLOOKUP($C403,'PORTIFÓLIO'!C:V,4,0),"")</f>
        <v/>
      </c>
      <c r="G403" s="215" t="str">
        <f>IFERROR(VLOOKUP($C403,'PORTIFÓLIO'!C:V,5,0),"")</f>
        <v/>
      </c>
      <c r="H403" s="254" t="str">
        <f t="array" ref="H403">IFERROR(INDEX('PORTIFÓLIO'!$H$4:$H$433,MATCH($C403,'PORTIFÓLIO'!$C$4:$C$433,0)),"")</f>
        <v/>
      </c>
      <c r="I403" s="256"/>
      <c r="J403" s="218">
        <f t="shared" si="45"/>
        <v>0</v>
      </c>
      <c r="K403" s="292" t="str">
        <f t="array" ref="K403">IFERROR(I403*INDEX('PORTIFÓLIO'!$S$4:$S$433,MATCH($C403,'PORTIFÓLIO'!$C$4:$C$433,0)),"")</f>
        <v/>
      </c>
      <c r="L403" s="292" t="str">
        <f t="array" ref="L403">IFERROR(J403*INDEX('PORTIFÓLIO'!$S$4:$S$433,MATCH($C403,'PORTIFÓLIO'!$C$4:$C$433,0)),"")</f>
        <v/>
      </c>
      <c r="M403" s="220"/>
      <c r="N403" s="220"/>
      <c r="O403" s="220"/>
      <c r="P403" s="220"/>
      <c r="Q403" s="220"/>
      <c r="R403" s="220"/>
      <c r="S403" s="220"/>
      <c r="T403" s="220"/>
      <c r="U403" s="220"/>
      <c r="V403" s="220"/>
      <c r="W403" s="220"/>
    </row>
    <row r="404" ht="15.75" customHeight="1" outlineLevel="1">
      <c r="A404" s="211"/>
      <c r="B404" s="212"/>
      <c r="C404" s="213"/>
      <c r="D404" s="214" t="str">
        <f>IFERROR(VLOOKUP($C404,'PORTIFÓLIO'!C:V,2,0),"")</f>
        <v/>
      </c>
      <c r="E404" s="211" t="str">
        <f>IFERROR(VLOOKUP($C404,'PORTIFÓLIO'!C:V,3,0),"")</f>
        <v/>
      </c>
      <c r="F404" s="211" t="str">
        <f>IFERROR(VLOOKUP($C404,'PORTIFÓLIO'!C:V,4,0),"")</f>
        <v/>
      </c>
      <c r="G404" s="215" t="str">
        <f>IFERROR(VLOOKUP($C404,'PORTIFÓLIO'!C:V,5,0),"")</f>
        <v/>
      </c>
      <c r="H404" s="254" t="str">
        <f t="array" ref="H404">IFERROR(INDEX('PORTIFÓLIO'!$H$4:$H$433,MATCH($C404,'PORTIFÓLIO'!$C$4:$C$433,0)),"")</f>
        <v/>
      </c>
      <c r="I404" s="256"/>
      <c r="J404" s="218">
        <f t="shared" si="45"/>
        <v>0</v>
      </c>
      <c r="K404" s="292" t="str">
        <f t="array" ref="K404">IFERROR(I404*INDEX('PORTIFÓLIO'!$S$4:$S$433,MATCH($C404,'PORTIFÓLIO'!$C$4:$C$433,0)),"")</f>
        <v/>
      </c>
      <c r="L404" s="292" t="str">
        <f t="array" ref="L404">IFERROR(J404*INDEX('PORTIFÓLIO'!$S$4:$S$433,MATCH($C404,'PORTIFÓLIO'!$C$4:$C$433,0)),"")</f>
        <v/>
      </c>
      <c r="M404" s="220"/>
      <c r="N404" s="220"/>
      <c r="O404" s="220"/>
      <c r="P404" s="220"/>
      <c r="Q404" s="220"/>
      <c r="R404" s="220"/>
      <c r="S404" s="220"/>
      <c r="T404" s="220"/>
      <c r="U404" s="220"/>
      <c r="V404" s="220"/>
      <c r="W404" s="220"/>
    </row>
    <row r="405" ht="15.75" customHeight="1" outlineLevel="1">
      <c r="A405" s="211"/>
      <c r="B405" s="212"/>
      <c r="C405" s="213"/>
      <c r="D405" s="214" t="str">
        <f>IFERROR(VLOOKUP($C405,'PORTIFÓLIO'!C:V,2,0),"")</f>
        <v/>
      </c>
      <c r="E405" s="211" t="str">
        <f>IFERROR(VLOOKUP($C405,'PORTIFÓLIO'!C:V,3,0),"")</f>
        <v/>
      </c>
      <c r="F405" s="211" t="str">
        <f>IFERROR(VLOOKUP($C405,'PORTIFÓLIO'!C:V,4,0),"")</f>
        <v/>
      </c>
      <c r="G405" s="215" t="str">
        <f>IFERROR(VLOOKUP($C405,'PORTIFÓLIO'!C:V,5,0),"")</f>
        <v/>
      </c>
      <c r="H405" s="254" t="str">
        <f t="array" ref="H405">IFERROR(INDEX('PORTIFÓLIO'!$H$4:$H$433,MATCH($C405,'PORTIFÓLIO'!$C$4:$C$433,0)),"")</f>
        <v/>
      </c>
      <c r="I405" s="256"/>
      <c r="J405" s="218">
        <f t="shared" si="45"/>
        <v>0</v>
      </c>
      <c r="K405" s="292" t="str">
        <f t="array" ref="K405">IFERROR(I405*INDEX('PORTIFÓLIO'!$S$4:$S$433,MATCH($C405,'PORTIFÓLIO'!$C$4:$C$433,0)),"")</f>
        <v/>
      </c>
      <c r="L405" s="292" t="str">
        <f t="array" ref="L405">IFERROR(J405*INDEX('PORTIFÓLIO'!$S$4:$S$433,MATCH($C405,'PORTIFÓLIO'!$C$4:$C$433,0)),"")</f>
        <v/>
      </c>
      <c r="M405" s="220"/>
      <c r="N405" s="220"/>
      <c r="O405" s="220"/>
      <c r="P405" s="220"/>
      <c r="Q405" s="220"/>
      <c r="R405" s="220"/>
      <c r="S405" s="220"/>
      <c r="T405" s="220"/>
      <c r="U405" s="220"/>
      <c r="V405" s="220"/>
      <c r="W405" s="220"/>
    </row>
    <row r="406" ht="15.75" customHeight="1" outlineLevel="1">
      <c r="A406" s="211"/>
      <c r="B406" s="212"/>
      <c r="C406" s="213"/>
      <c r="D406" s="214" t="str">
        <f>IFERROR(VLOOKUP($C406,'PORTIFÓLIO'!C:V,2,0),"")</f>
        <v/>
      </c>
      <c r="E406" s="211" t="str">
        <f>IFERROR(VLOOKUP($C406,'PORTIFÓLIO'!C:V,3,0),"")</f>
        <v/>
      </c>
      <c r="F406" s="211" t="str">
        <f>IFERROR(VLOOKUP($C406,'PORTIFÓLIO'!C:V,4,0),"")</f>
        <v/>
      </c>
      <c r="G406" s="215" t="str">
        <f>IFERROR(VLOOKUP($C406,'PORTIFÓLIO'!C:V,5,0),"")</f>
        <v/>
      </c>
      <c r="H406" s="254" t="str">
        <f t="array" ref="H406">IFERROR(INDEX('PORTIFÓLIO'!$H$4:$H$433,MATCH($C406,'PORTIFÓLIO'!$C$4:$C$433,0)),"")</f>
        <v/>
      </c>
      <c r="I406" s="256"/>
      <c r="J406" s="218">
        <f t="shared" si="45"/>
        <v>0</v>
      </c>
      <c r="K406" s="292" t="str">
        <f t="array" ref="K406">IFERROR(I406*INDEX('PORTIFÓLIO'!$S$4:$S$433,MATCH($C406,'PORTIFÓLIO'!$C$4:$C$433,0)),"")</f>
        <v/>
      </c>
      <c r="L406" s="292" t="str">
        <f t="array" ref="L406">IFERROR(J406*INDEX('PORTIFÓLIO'!$S$4:$S$433,MATCH($C406,'PORTIFÓLIO'!$C$4:$C$433,0)),"")</f>
        <v/>
      </c>
      <c r="M406" s="220"/>
      <c r="N406" s="220"/>
      <c r="O406" s="220"/>
      <c r="P406" s="220"/>
      <c r="Q406" s="220"/>
      <c r="R406" s="220"/>
      <c r="S406" s="220"/>
      <c r="T406" s="220"/>
      <c r="U406" s="220"/>
      <c r="V406" s="220"/>
      <c r="W406" s="220"/>
    </row>
    <row r="407" ht="15.75" customHeight="1" outlineLevel="1">
      <c r="A407" s="211"/>
      <c r="B407" s="212"/>
      <c r="C407" s="213"/>
      <c r="D407" s="214" t="str">
        <f>IFERROR(VLOOKUP($C407,'PORTIFÓLIO'!C:V,2,0),"")</f>
        <v/>
      </c>
      <c r="E407" s="211" t="str">
        <f>IFERROR(VLOOKUP($C407,'PORTIFÓLIO'!C:V,3,0),"")</f>
        <v/>
      </c>
      <c r="F407" s="211" t="str">
        <f>IFERROR(VLOOKUP($C407,'PORTIFÓLIO'!C:V,4,0),"")</f>
        <v/>
      </c>
      <c r="G407" s="215" t="str">
        <f>IFERROR(VLOOKUP($C407,'PORTIFÓLIO'!C:V,5,0),"")</f>
        <v/>
      </c>
      <c r="H407" s="254" t="str">
        <f t="array" ref="H407">IFERROR(INDEX('PORTIFÓLIO'!$H$4:$H$433,MATCH($C407,'PORTIFÓLIO'!$C$4:$C$433,0)),"")</f>
        <v/>
      </c>
      <c r="I407" s="256"/>
      <c r="J407" s="218">
        <f t="shared" si="45"/>
        <v>0</v>
      </c>
      <c r="K407" s="292" t="str">
        <f t="array" ref="K407">IFERROR(I407*INDEX('PORTIFÓLIO'!$S$4:$S$433,MATCH($C407,'PORTIFÓLIO'!$C$4:$C$433,0)),"")</f>
        <v/>
      </c>
      <c r="L407" s="292" t="str">
        <f t="array" ref="L407">IFERROR(J407*INDEX('PORTIFÓLIO'!$S$4:$S$433,MATCH($C407,'PORTIFÓLIO'!$C$4:$C$433,0)),"")</f>
        <v/>
      </c>
      <c r="M407" s="220"/>
      <c r="N407" s="220"/>
      <c r="O407" s="220"/>
      <c r="P407" s="220"/>
      <c r="Q407" s="220"/>
      <c r="R407" s="220"/>
      <c r="S407" s="220"/>
      <c r="T407" s="220"/>
      <c r="U407" s="220"/>
      <c r="V407" s="220"/>
      <c r="W407" s="220"/>
    </row>
    <row r="408" ht="15.75" customHeight="1" outlineLevel="1">
      <c r="A408" s="211"/>
      <c r="B408" s="227"/>
      <c r="C408" s="211"/>
      <c r="D408" s="214" t="str">
        <f>IFERROR(VLOOKUP($C408,'PORTIFÓLIO'!C:V,2,0),"")</f>
        <v/>
      </c>
      <c r="E408" s="211" t="str">
        <f>IFERROR(VLOOKUP($C408,'PORTIFÓLIO'!C:V,3,0),"")</f>
        <v/>
      </c>
      <c r="F408" s="211" t="str">
        <f>IFERROR(VLOOKUP($C408,'PORTIFÓLIO'!C:V,4,0),"")</f>
        <v/>
      </c>
      <c r="G408" s="215" t="str">
        <f>IFERROR(VLOOKUP($C408,'PORTIFÓLIO'!C:V,5,0),"")</f>
        <v/>
      </c>
      <c r="H408" s="254" t="str">
        <f t="array" ref="H408">IFERROR(INDEX('PORTIFÓLIO'!$H$4:$H$433,MATCH($C408,'PORTIFÓLIO'!$C$4:$C$433,0)),"")</f>
        <v/>
      </c>
      <c r="I408" s="256"/>
      <c r="J408" s="218">
        <f t="shared" si="45"/>
        <v>0</v>
      </c>
      <c r="K408" s="292" t="str">
        <f t="array" ref="K408">IFERROR(I408*INDEX('PORTIFÓLIO'!$S$4:$S$433,MATCH($C408,'PORTIFÓLIO'!$C$4:$C$433,0)),"")</f>
        <v/>
      </c>
      <c r="L408" s="292" t="str">
        <f t="array" ref="L408">IFERROR(J408*INDEX('PORTIFÓLIO'!$S$4:$S$433,MATCH($C408,'PORTIFÓLIO'!$C$4:$C$433,0)),"")</f>
        <v/>
      </c>
      <c r="M408" s="220"/>
      <c r="N408" s="220"/>
      <c r="O408" s="220"/>
      <c r="P408" s="220"/>
      <c r="Q408" s="220"/>
      <c r="R408" s="220"/>
      <c r="S408" s="220"/>
      <c r="T408" s="220"/>
      <c r="U408" s="220"/>
      <c r="V408" s="220"/>
      <c r="W408" s="220"/>
    </row>
    <row r="409" ht="15.75" customHeight="1">
      <c r="A409" s="229" t="s">
        <v>1194</v>
      </c>
      <c r="B409" s="230"/>
      <c r="C409" s="231"/>
      <c r="D409" s="232"/>
      <c r="E409" s="231"/>
      <c r="F409" s="231"/>
      <c r="G409" s="233"/>
      <c r="H409" s="233"/>
      <c r="I409" s="258"/>
      <c r="J409" s="236"/>
      <c r="K409" s="237">
        <f t="shared" ref="K409:L409" si="46">SUBTOTAL(9,K410:K423)</f>
        <v>0</v>
      </c>
      <c r="L409" s="237">
        <f t="shared" si="46"/>
        <v>0</v>
      </c>
      <c r="M409" s="220"/>
      <c r="N409" s="220"/>
      <c r="O409" s="220"/>
      <c r="P409" s="220"/>
      <c r="Q409" s="220"/>
      <c r="R409" s="220"/>
      <c r="S409" s="220"/>
      <c r="T409" s="220"/>
      <c r="U409" s="220"/>
      <c r="V409" s="220"/>
      <c r="W409" s="220"/>
    </row>
    <row r="410" ht="15.75" customHeight="1" outlineLevel="1">
      <c r="A410" s="213"/>
      <c r="B410" s="212"/>
      <c r="C410" s="213"/>
      <c r="D410" s="214" t="str">
        <f>IFERROR(VLOOKUP($C410,'PORTIFÓLIO'!C:V,2,0),"")</f>
        <v/>
      </c>
      <c r="E410" s="211" t="str">
        <f>IFERROR(VLOOKUP($C410,'PORTIFÓLIO'!C:V,3,0),"")</f>
        <v/>
      </c>
      <c r="F410" s="211" t="str">
        <f>IFERROR(VLOOKUP($C410,'PORTIFÓLIO'!C:V,4,0),"")</f>
        <v/>
      </c>
      <c r="G410" s="215" t="str">
        <f>IFERROR(VLOOKUP($C410,'PORTIFÓLIO'!C:V,5,0),"")</f>
        <v/>
      </c>
      <c r="H410" s="254" t="str">
        <f t="array" ref="H410">IFERROR(INDEX('PORTIFÓLIO'!$H$4:$H$433,MATCH($C410,'PORTIFÓLIO'!$C$4:$C$433,0)),"")</f>
        <v/>
      </c>
      <c r="I410" s="255"/>
      <c r="J410" s="218">
        <f t="shared" ref="J410:J426" si="47">I410*$B$2</f>
        <v>0</v>
      </c>
      <c r="K410" s="292" t="str">
        <f t="array" ref="K410">IFERROR(I410*INDEX('PORTIFÓLIO'!$S$4:$S$433,MATCH($C410,'PORTIFÓLIO'!$C$4:$C$433,0)),"")</f>
        <v/>
      </c>
      <c r="L410" s="292" t="str">
        <f t="array" ref="L410">IFERROR(J410*INDEX('PORTIFÓLIO'!$S$4:$S$433,MATCH($C410,'PORTIFÓLIO'!$C$4:$C$433,0)),"")</f>
        <v/>
      </c>
      <c r="M410" s="220"/>
      <c r="N410" s="220"/>
      <c r="O410" s="220"/>
      <c r="P410" s="220"/>
      <c r="Q410" s="220"/>
      <c r="R410" s="220"/>
      <c r="S410" s="220"/>
      <c r="T410" s="220"/>
      <c r="U410" s="220"/>
      <c r="V410" s="220"/>
      <c r="W410" s="220"/>
    </row>
    <row r="411" ht="15.75" customHeight="1" outlineLevel="1">
      <c r="A411" s="211"/>
      <c r="B411" s="212"/>
      <c r="C411" s="213"/>
      <c r="D411" s="214" t="str">
        <f>IFERROR(VLOOKUP($C411,'PORTIFÓLIO'!C:V,2,0),"")</f>
        <v/>
      </c>
      <c r="E411" s="211" t="str">
        <f>IFERROR(VLOOKUP($C411,'PORTIFÓLIO'!C:V,3,0),"")</f>
        <v/>
      </c>
      <c r="F411" s="211" t="str">
        <f>IFERROR(VLOOKUP($C411,'PORTIFÓLIO'!C:V,4,0),"")</f>
        <v/>
      </c>
      <c r="G411" s="215" t="str">
        <f>IFERROR(VLOOKUP($C411,'PORTIFÓLIO'!C:V,5,0),"")</f>
        <v/>
      </c>
      <c r="H411" s="254" t="str">
        <f t="array" ref="H411">IFERROR(INDEX('PORTIFÓLIO'!$H$4:$H$433,MATCH($C411,'PORTIFÓLIO'!$C$4:$C$433,0)),"")</f>
        <v/>
      </c>
      <c r="I411" s="256"/>
      <c r="J411" s="218">
        <f t="shared" si="47"/>
        <v>0</v>
      </c>
      <c r="K411" s="292" t="str">
        <f t="array" ref="K411">IFERROR(I411*INDEX('PORTIFÓLIO'!$S$4:$S$433,MATCH($C411,'PORTIFÓLIO'!$C$4:$C$433,0)),"")</f>
        <v/>
      </c>
      <c r="L411" s="292" t="str">
        <f t="array" ref="L411">IFERROR(J411*INDEX('PORTIFÓLIO'!$S$4:$S$433,MATCH($C411,'PORTIFÓLIO'!$C$4:$C$433,0)),"")</f>
        <v/>
      </c>
      <c r="M411" s="220"/>
      <c r="N411" s="220"/>
      <c r="O411" s="220"/>
      <c r="P411" s="220"/>
      <c r="Q411" s="220"/>
      <c r="R411" s="220"/>
      <c r="S411" s="220"/>
      <c r="T411" s="220"/>
      <c r="U411" s="220"/>
      <c r="V411" s="220"/>
      <c r="W411" s="220"/>
    </row>
    <row r="412" ht="15.75" customHeight="1" outlineLevel="1">
      <c r="A412" s="211"/>
      <c r="B412" s="212"/>
      <c r="C412" s="213"/>
      <c r="D412" s="214" t="str">
        <f>IFERROR(VLOOKUP($C412,'PORTIFÓLIO'!C:V,2,0),"")</f>
        <v/>
      </c>
      <c r="E412" s="211" t="str">
        <f>IFERROR(VLOOKUP($C412,'PORTIFÓLIO'!C:V,3,0),"")</f>
        <v/>
      </c>
      <c r="F412" s="211" t="str">
        <f>IFERROR(VLOOKUP($C412,'PORTIFÓLIO'!C:V,4,0),"")</f>
        <v/>
      </c>
      <c r="G412" s="215" t="str">
        <f>IFERROR(VLOOKUP($C412,'PORTIFÓLIO'!C:V,5,0),"")</f>
        <v/>
      </c>
      <c r="H412" s="254" t="str">
        <f t="array" ref="H412">IFERROR(INDEX('PORTIFÓLIO'!$H$4:$H$433,MATCH($C412,'PORTIFÓLIO'!$C$4:$C$433,0)),"")</f>
        <v/>
      </c>
      <c r="I412" s="256"/>
      <c r="J412" s="218">
        <f t="shared" si="47"/>
        <v>0</v>
      </c>
      <c r="K412" s="292" t="str">
        <f t="array" ref="K412">IFERROR(I412*INDEX('PORTIFÓLIO'!$S$4:$S$433,MATCH($C412,'PORTIFÓLIO'!$C$4:$C$433,0)),"")</f>
        <v/>
      </c>
      <c r="L412" s="292" t="str">
        <f t="array" ref="L412">IFERROR(J412*INDEX('PORTIFÓLIO'!$S$4:$S$433,MATCH($C412,'PORTIFÓLIO'!$C$4:$C$433,0)),"")</f>
        <v/>
      </c>
      <c r="M412" s="220"/>
      <c r="N412" s="220"/>
      <c r="O412" s="220"/>
      <c r="P412" s="220"/>
      <c r="Q412" s="220"/>
      <c r="R412" s="220"/>
      <c r="S412" s="220"/>
      <c r="T412" s="220"/>
      <c r="U412" s="220"/>
      <c r="V412" s="220"/>
      <c r="W412" s="220"/>
    </row>
    <row r="413" ht="15.75" customHeight="1" outlineLevel="1">
      <c r="A413" s="211"/>
      <c r="B413" s="212"/>
      <c r="C413" s="213"/>
      <c r="D413" s="214" t="str">
        <f>IFERROR(VLOOKUP($C413,'PORTIFÓLIO'!C:V,2,0),"")</f>
        <v/>
      </c>
      <c r="E413" s="211" t="str">
        <f>IFERROR(VLOOKUP($C413,'PORTIFÓLIO'!C:V,3,0),"")</f>
        <v/>
      </c>
      <c r="F413" s="211" t="str">
        <f>IFERROR(VLOOKUP($C413,'PORTIFÓLIO'!C:V,4,0),"")</f>
        <v/>
      </c>
      <c r="G413" s="215" t="str">
        <f>IFERROR(VLOOKUP($C413,'PORTIFÓLIO'!C:V,5,0),"")</f>
        <v/>
      </c>
      <c r="H413" s="254" t="str">
        <f t="array" ref="H413">IFERROR(INDEX('PORTIFÓLIO'!$H$4:$H$433,MATCH($C413,'PORTIFÓLIO'!$C$4:$C$433,0)),"")</f>
        <v/>
      </c>
      <c r="I413" s="256"/>
      <c r="J413" s="218">
        <f t="shared" si="47"/>
        <v>0</v>
      </c>
      <c r="K413" s="292" t="str">
        <f t="array" ref="K413">IFERROR(I413*INDEX('PORTIFÓLIO'!$S$4:$S$433,MATCH($C413,'PORTIFÓLIO'!$C$4:$C$433,0)),"")</f>
        <v/>
      </c>
      <c r="L413" s="292" t="str">
        <f t="array" ref="L413">IFERROR(J413*INDEX('PORTIFÓLIO'!$S$4:$S$433,MATCH($C413,'PORTIFÓLIO'!$C$4:$C$433,0)),"")</f>
        <v/>
      </c>
      <c r="M413" s="220"/>
      <c r="N413" s="220"/>
      <c r="O413" s="220"/>
      <c r="P413" s="220"/>
      <c r="Q413" s="220"/>
      <c r="R413" s="220"/>
      <c r="S413" s="220"/>
      <c r="T413" s="220"/>
      <c r="U413" s="220"/>
      <c r="V413" s="220"/>
      <c r="W413" s="220"/>
    </row>
    <row r="414" ht="15.75" customHeight="1" outlineLevel="1">
      <c r="A414" s="211"/>
      <c r="B414" s="212"/>
      <c r="C414" s="213"/>
      <c r="D414" s="214" t="str">
        <f>IFERROR(VLOOKUP($C414,'PORTIFÓLIO'!C:V,2,0),"")</f>
        <v/>
      </c>
      <c r="E414" s="211" t="str">
        <f>IFERROR(VLOOKUP($C414,'PORTIFÓLIO'!C:V,3,0),"")</f>
        <v/>
      </c>
      <c r="F414" s="211" t="str">
        <f>IFERROR(VLOOKUP($C414,'PORTIFÓLIO'!C:V,4,0),"")</f>
        <v/>
      </c>
      <c r="G414" s="215" t="str">
        <f>IFERROR(VLOOKUP($C414,'PORTIFÓLIO'!C:V,5,0),"")</f>
        <v/>
      </c>
      <c r="H414" s="254" t="str">
        <f t="array" ref="H414">IFERROR(INDEX('PORTIFÓLIO'!$H$4:$H$433,MATCH($C414,'PORTIFÓLIO'!$C$4:$C$433,0)),"")</f>
        <v/>
      </c>
      <c r="I414" s="256"/>
      <c r="J414" s="218">
        <f t="shared" si="47"/>
        <v>0</v>
      </c>
      <c r="K414" s="292" t="str">
        <f t="array" ref="K414">IFERROR(I414*INDEX('PORTIFÓLIO'!$S$4:$S$433,MATCH($C414,'PORTIFÓLIO'!$C$4:$C$433,0)),"")</f>
        <v/>
      </c>
      <c r="L414" s="292" t="str">
        <f t="array" ref="L414">IFERROR(J414*INDEX('PORTIFÓLIO'!$S$4:$S$433,MATCH($C414,'PORTIFÓLIO'!$C$4:$C$433,0)),"")</f>
        <v/>
      </c>
      <c r="M414" s="220"/>
      <c r="N414" s="220"/>
      <c r="O414" s="220"/>
      <c r="P414" s="220"/>
      <c r="Q414" s="220"/>
      <c r="R414" s="220"/>
      <c r="S414" s="220"/>
      <c r="T414" s="220"/>
      <c r="U414" s="220"/>
      <c r="V414" s="220"/>
      <c r="W414" s="220"/>
    </row>
    <row r="415" ht="15.75" customHeight="1" outlineLevel="1">
      <c r="A415" s="211"/>
      <c r="B415" s="212"/>
      <c r="C415" s="213"/>
      <c r="D415" s="214" t="str">
        <f>IFERROR(VLOOKUP($C415,'PORTIFÓLIO'!C:V,2,0),"")</f>
        <v/>
      </c>
      <c r="E415" s="211" t="str">
        <f>IFERROR(VLOOKUP($C415,'PORTIFÓLIO'!C:V,3,0),"")</f>
        <v/>
      </c>
      <c r="F415" s="211" t="str">
        <f>IFERROR(VLOOKUP($C415,'PORTIFÓLIO'!C:V,4,0),"")</f>
        <v/>
      </c>
      <c r="G415" s="215" t="str">
        <f>IFERROR(VLOOKUP($C415,'PORTIFÓLIO'!C:V,5,0),"")</f>
        <v/>
      </c>
      <c r="H415" s="254" t="str">
        <f t="array" ref="H415">IFERROR(INDEX('PORTIFÓLIO'!$H$4:$H$433,MATCH($C415,'PORTIFÓLIO'!$C$4:$C$433,0)),"")</f>
        <v/>
      </c>
      <c r="I415" s="256"/>
      <c r="J415" s="218">
        <f t="shared" si="47"/>
        <v>0</v>
      </c>
      <c r="K415" s="292" t="str">
        <f t="array" ref="K415">IFERROR(I415*INDEX('PORTIFÓLIO'!$S$4:$S$433,MATCH($C415,'PORTIFÓLIO'!$C$4:$C$433,0)),"")</f>
        <v/>
      </c>
      <c r="L415" s="292" t="str">
        <f t="array" ref="L415">IFERROR(J415*INDEX('PORTIFÓLIO'!$S$4:$S$433,MATCH($C415,'PORTIFÓLIO'!$C$4:$C$433,0)),"")</f>
        <v/>
      </c>
      <c r="M415" s="220"/>
      <c r="N415" s="220"/>
      <c r="O415" s="220"/>
      <c r="P415" s="220"/>
      <c r="Q415" s="220"/>
      <c r="R415" s="220"/>
      <c r="S415" s="220"/>
      <c r="T415" s="220"/>
      <c r="U415" s="220"/>
      <c r="V415" s="220"/>
      <c r="W415" s="220"/>
    </row>
    <row r="416" ht="15.75" customHeight="1" outlineLevel="1">
      <c r="A416" s="211"/>
      <c r="B416" s="212"/>
      <c r="C416" s="213"/>
      <c r="D416" s="214" t="str">
        <f>IFERROR(VLOOKUP($C416,'PORTIFÓLIO'!C:V,2,0),"")</f>
        <v/>
      </c>
      <c r="E416" s="211" t="str">
        <f>IFERROR(VLOOKUP($C416,'PORTIFÓLIO'!C:V,3,0),"")</f>
        <v/>
      </c>
      <c r="F416" s="211" t="str">
        <f>IFERROR(VLOOKUP($C416,'PORTIFÓLIO'!C:V,4,0),"")</f>
        <v/>
      </c>
      <c r="G416" s="215" t="str">
        <f>IFERROR(VLOOKUP($C416,'PORTIFÓLIO'!C:V,5,0),"")</f>
        <v/>
      </c>
      <c r="H416" s="254" t="str">
        <f t="array" ref="H416">IFERROR(INDEX('PORTIFÓLIO'!$H$4:$H$433,MATCH($C416,'PORTIFÓLIO'!$C$4:$C$433,0)),"")</f>
        <v/>
      </c>
      <c r="I416" s="256"/>
      <c r="J416" s="218">
        <f t="shared" si="47"/>
        <v>0</v>
      </c>
      <c r="K416" s="292" t="str">
        <f t="array" ref="K416">IFERROR(I416*INDEX('PORTIFÓLIO'!$S$4:$S$433,MATCH($C416,'PORTIFÓLIO'!$C$4:$C$433,0)),"")</f>
        <v/>
      </c>
      <c r="L416" s="292" t="str">
        <f t="array" ref="L416">IFERROR(J416*INDEX('PORTIFÓLIO'!$S$4:$S$433,MATCH($C416,'PORTIFÓLIO'!$C$4:$C$433,0)),"")</f>
        <v/>
      </c>
      <c r="M416" s="220"/>
      <c r="N416" s="220"/>
      <c r="O416" s="220"/>
      <c r="P416" s="220"/>
      <c r="Q416" s="220"/>
      <c r="R416" s="220"/>
      <c r="S416" s="220"/>
      <c r="T416" s="220"/>
      <c r="U416" s="220"/>
      <c r="V416" s="220"/>
      <c r="W416" s="220"/>
    </row>
    <row r="417" ht="15.75" customHeight="1" outlineLevel="1">
      <c r="A417" s="211"/>
      <c r="B417" s="212"/>
      <c r="C417" s="213"/>
      <c r="D417" s="214" t="str">
        <f>IFERROR(VLOOKUP($C417,'PORTIFÓLIO'!C:V,2,0),"")</f>
        <v/>
      </c>
      <c r="E417" s="211" t="str">
        <f>IFERROR(VLOOKUP($C417,'PORTIFÓLIO'!C:V,3,0),"")</f>
        <v/>
      </c>
      <c r="F417" s="211" t="str">
        <f>IFERROR(VLOOKUP($C417,'PORTIFÓLIO'!C:V,4,0),"")</f>
        <v/>
      </c>
      <c r="G417" s="215" t="str">
        <f>IFERROR(VLOOKUP($C417,'PORTIFÓLIO'!C:V,5,0),"")</f>
        <v/>
      </c>
      <c r="H417" s="254" t="str">
        <f t="array" ref="H417">IFERROR(INDEX('PORTIFÓLIO'!$H$4:$H$433,MATCH($C417,'PORTIFÓLIO'!$C$4:$C$433,0)),"")</f>
        <v/>
      </c>
      <c r="I417" s="256"/>
      <c r="J417" s="218">
        <f t="shared" si="47"/>
        <v>0</v>
      </c>
      <c r="K417" s="292" t="str">
        <f t="array" ref="K417">IFERROR(I417*INDEX('PORTIFÓLIO'!$S$4:$S$433,MATCH($C417,'PORTIFÓLIO'!$C$4:$C$433,0)),"")</f>
        <v/>
      </c>
      <c r="L417" s="292" t="str">
        <f t="array" ref="L417">IFERROR(J417*INDEX('PORTIFÓLIO'!$S$4:$S$433,MATCH($C417,'PORTIFÓLIO'!$C$4:$C$433,0)),"")</f>
        <v/>
      </c>
      <c r="M417" s="220"/>
      <c r="N417" s="220"/>
      <c r="O417" s="220"/>
      <c r="P417" s="220"/>
      <c r="Q417" s="220"/>
      <c r="R417" s="220"/>
      <c r="S417" s="220"/>
      <c r="T417" s="220"/>
      <c r="U417" s="220"/>
      <c r="V417" s="220"/>
      <c r="W417" s="220"/>
    </row>
    <row r="418" ht="15.75" customHeight="1" outlineLevel="1">
      <c r="A418" s="211"/>
      <c r="B418" s="212"/>
      <c r="C418" s="213"/>
      <c r="D418" s="214" t="str">
        <f>IFERROR(VLOOKUP($C418,'PORTIFÓLIO'!C:V,2,0),"")</f>
        <v/>
      </c>
      <c r="E418" s="211" t="str">
        <f>IFERROR(VLOOKUP($C418,'PORTIFÓLIO'!C:V,3,0),"")</f>
        <v/>
      </c>
      <c r="F418" s="211" t="str">
        <f>IFERROR(VLOOKUP($C418,'PORTIFÓLIO'!C:V,4,0),"")</f>
        <v/>
      </c>
      <c r="G418" s="215" t="str">
        <f>IFERROR(VLOOKUP($C418,'PORTIFÓLIO'!C:V,5,0),"")</f>
        <v/>
      </c>
      <c r="H418" s="254" t="str">
        <f t="array" ref="H418">IFERROR(INDEX('PORTIFÓLIO'!$H$4:$H$433,MATCH($C418,'PORTIFÓLIO'!$C$4:$C$433,0)),"")</f>
        <v/>
      </c>
      <c r="I418" s="255"/>
      <c r="J418" s="218">
        <f t="shared" si="47"/>
        <v>0</v>
      </c>
      <c r="K418" s="292" t="str">
        <f t="array" ref="K418">IFERROR(I418*INDEX('PORTIFÓLIO'!$S$4:$S$433,MATCH($C418,'PORTIFÓLIO'!$C$4:$C$433,0)),"")</f>
        <v/>
      </c>
      <c r="L418" s="292" t="str">
        <f t="array" ref="L418">IFERROR(J418*INDEX('PORTIFÓLIO'!$S$4:$S$433,MATCH($C418,'PORTIFÓLIO'!$C$4:$C$433,0)),"")</f>
        <v/>
      </c>
      <c r="M418" s="220"/>
      <c r="N418" s="220"/>
      <c r="O418" s="220"/>
      <c r="P418" s="220"/>
      <c r="Q418" s="220"/>
      <c r="R418" s="220"/>
      <c r="S418" s="220"/>
      <c r="T418" s="220"/>
      <c r="U418" s="220"/>
      <c r="V418" s="220"/>
      <c r="W418" s="220"/>
    </row>
    <row r="419" ht="15.75" customHeight="1" outlineLevel="1">
      <c r="A419" s="211"/>
      <c r="B419" s="212"/>
      <c r="C419" s="213"/>
      <c r="D419" s="214" t="str">
        <f>IFERROR(VLOOKUP($C419,'PORTIFÓLIO'!C:V,2,0),"")</f>
        <v/>
      </c>
      <c r="E419" s="211" t="str">
        <f>IFERROR(VLOOKUP($C419,'PORTIFÓLIO'!C:V,3,0),"")</f>
        <v/>
      </c>
      <c r="F419" s="211" t="str">
        <f>IFERROR(VLOOKUP($C419,'PORTIFÓLIO'!C:V,4,0),"")</f>
        <v/>
      </c>
      <c r="G419" s="215" t="str">
        <f>IFERROR(VLOOKUP($C419,'PORTIFÓLIO'!C:V,5,0),"")</f>
        <v/>
      </c>
      <c r="H419" s="254" t="str">
        <f t="array" ref="H419">IFERROR(INDEX('PORTIFÓLIO'!$H$4:$H$433,MATCH($C419,'PORTIFÓLIO'!$C$4:$C$433,0)),"")</f>
        <v/>
      </c>
      <c r="I419" s="256"/>
      <c r="J419" s="218">
        <f t="shared" si="47"/>
        <v>0</v>
      </c>
      <c r="K419" s="292" t="str">
        <f t="array" ref="K419">IFERROR(I419*INDEX('PORTIFÓLIO'!$S$4:$S$433,MATCH($C419,'PORTIFÓLIO'!$C$4:$C$433,0)),"")</f>
        <v/>
      </c>
      <c r="L419" s="292" t="str">
        <f t="array" ref="L419">IFERROR(J419*INDEX('PORTIFÓLIO'!$S$4:$S$433,MATCH($C419,'PORTIFÓLIO'!$C$4:$C$433,0)),"")</f>
        <v/>
      </c>
      <c r="M419" s="220"/>
      <c r="N419" s="220"/>
      <c r="O419" s="220"/>
      <c r="P419" s="220"/>
      <c r="Q419" s="220"/>
      <c r="R419" s="220"/>
      <c r="S419" s="220"/>
      <c r="T419" s="220"/>
      <c r="U419" s="220"/>
      <c r="V419" s="220"/>
      <c r="W419" s="220"/>
    </row>
    <row r="420" ht="15.75" customHeight="1" outlineLevel="1">
      <c r="A420" s="211"/>
      <c r="B420" s="212"/>
      <c r="C420" s="213"/>
      <c r="D420" s="214" t="str">
        <f>IFERROR(VLOOKUP($C420,'PORTIFÓLIO'!C:V,2,0),"")</f>
        <v/>
      </c>
      <c r="E420" s="211" t="str">
        <f>IFERROR(VLOOKUP($C420,'PORTIFÓLIO'!C:V,3,0),"")</f>
        <v/>
      </c>
      <c r="F420" s="211" t="str">
        <f>IFERROR(VLOOKUP($C420,'PORTIFÓLIO'!C:V,4,0),"")</f>
        <v/>
      </c>
      <c r="G420" s="215" t="str">
        <f>IFERROR(VLOOKUP($C420,'PORTIFÓLIO'!C:V,5,0),"")</f>
        <v/>
      </c>
      <c r="H420" s="254" t="str">
        <f t="array" ref="H420">IFERROR(INDEX('PORTIFÓLIO'!$H$4:$H$433,MATCH($C420,'PORTIFÓLIO'!$C$4:$C$433,0)),"")</f>
        <v/>
      </c>
      <c r="I420" s="256"/>
      <c r="J420" s="218">
        <f t="shared" si="47"/>
        <v>0</v>
      </c>
      <c r="K420" s="292" t="str">
        <f t="array" ref="K420">IFERROR(I420*INDEX('PORTIFÓLIO'!$S$4:$S$433,MATCH($C420,'PORTIFÓLIO'!$C$4:$C$433,0)),"")</f>
        <v/>
      </c>
      <c r="L420" s="292" t="str">
        <f t="array" ref="L420">IFERROR(J420*INDEX('PORTIFÓLIO'!$S$4:$S$433,MATCH($C420,'PORTIFÓLIO'!$C$4:$C$433,0)),"")</f>
        <v/>
      </c>
      <c r="M420" s="220"/>
      <c r="N420" s="220"/>
      <c r="O420" s="220"/>
      <c r="P420" s="220"/>
      <c r="Q420" s="220"/>
      <c r="R420" s="220"/>
      <c r="S420" s="220"/>
      <c r="T420" s="220"/>
      <c r="U420" s="220"/>
      <c r="V420" s="220"/>
      <c r="W420" s="220"/>
    </row>
    <row r="421" ht="15.75" customHeight="1" outlineLevel="1">
      <c r="A421" s="211"/>
      <c r="B421" s="212"/>
      <c r="C421" s="213"/>
      <c r="D421" s="214" t="str">
        <f>IFERROR(VLOOKUP($C421,'PORTIFÓLIO'!C:V,2,0),"")</f>
        <v/>
      </c>
      <c r="E421" s="211" t="str">
        <f>IFERROR(VLOOKUP($C421,'PORTIFÓLIO'!C:V,3,0),"")</f>
        <v/>
      </c>
      <c r="F421" s="211" t="str">
        <f>IFERROR(VLOOKUP($C421,'PORTIFÓLIO'!C:V,4,0),"")</f>
        <v/>
      </c>
      <c r="G421" s="215" t="str">
        <f>IFERROR(VLOOKUP($C421,'PORTIFÓLIO'!C:V,5,0),"")</f>
        <v/>
      </c>
      <c r="H421" s="254" t="str">
        <f t="array" ref="H421">IFERROR(INDEX('PORTIFÓLIO'!$H$4:$H$433,MATCH($C421,'PORTIFÓLIO'!$C$4:$C$433,0)),"")</f>
        <v/>
      </c>
      <c r="I421" s="256"/>
      <c r="J421" s="218">
        <f t="shared" si="47"/>
        <v>0</v>
      </c>
      <c r="K421" s="292" t="str">
        <f t="array" ref="K421">IFERROR(I421*INDEX('PORTIFÓLIO'!$S$4:$S$433,MATCH($C421,'PORTIFÓLIO'!$C$4:$C$433,0)),"")</f>
        <v/>
      </c>
      <c r="L421" s="292" t="str">
        <f t="array" ref="L421">IFERROR(J421*INDEX('PORTIFÓLIO'!$S$4:$S$433,MATCH($C421,'PORTIFÓLIO'!$C$4:$C$433,0)),"")</f>
        <v/>
      </c>
      <c r="M421" s="220"/>
      <c r="N421" s="220"/>
      <c r="O421" s="220"/>
      <c r="P421" s="220"/>
      <c r="Q421" s="220"/>
      <c r="R421" s="220"/>
      <c r="S421" s="220"/>
      <c r="T421" s="220"/>
      <c r="U421" s="220"/>
      <c r="V421" s="220"/>
      <c r="W421" s="220"/>
    </row>
    <row r="422" ht="15.75" customHeight="1" outlineLevel="1">
      <c r="A422" s="211"/>
      <c r="B422" s="212"/>
      <c r="C422" s="213"/>
      <c r="D422" s="214" t="str">
        <f>IFERROR(VLOOKUP($C422,'PORTIFÓLIO'!C:V,2,0),"")</f>
        <v/>
      </c>
      <c r="E422" s="211" t="str">
        <f>IFERROR(VLOOKUP($C422,'PORTIFÓLIO'!C:V,3,0),"")</f>
        <v/>
      </c>
      <c r="F422" s="211" t="str">
        <f>IFERROR(VLOOKUP($C422,'PORTIFÓLIO'!C:V,4,0),"")</f>
        <v/>
      </c>
      <c r="G422" s="215" t="str">
        <f>IFERROR(VLOOKUP($C422,'PORTIFÓLIO'!C:V,5,0),"")</f>
        <v/>
      </c>
      <c r="H422" s="254" t="str">
        <f t="array" ref="H422">IFERROR(INDEX('PORTIFÓLIO'!$H$4:$H$433,MATCH($C422,'PORTIFÓLIO'!$C$4:$C$433,0)),"")</f>
        <v/>
      </c>
      <c r="I422" s="256"/>
      <c r="J422" s="218">
        <f t="shared" si="47"/>
        <v>0</v>
      </c>
      <c r="K422" s="292" t="str">
        <f t="array" ref="K422">IFERROR(I422*INDEX('PORTIFÓLIO'!$S$4:$S$433,MATCH($C422,'PORTIFÓLIO'!$C$4:$C$433,0)),"")</f>
        <v/>
      </c>
      <c r="L422" s="292" t="str">
        <f t="array" ref="L422">IFERROR(J422*INDEX('PORTIFÓLIO'!$S$4:$S$433,MATCH($C422,'PORTIFÓLIO'!$C$4:$C$433,0)),"")</f>
        <v/>
      </c>
      <c r="M422" s="220"/>
      <c r="N422" s="220"/>
      <c r="O422" s="220"/>
      <c r="P422" s="220"/>
      <c r="Q422" s="220"/>
      <c r="R422" s="220"/>
      <c r="S422" s="220"/>
      <c r="T422" s="220"/>
      <c r="U422" s="220"/>
      <c r="V422" s="220"/>
      <c r="W422" s="220"/>
    </row>
    <row r="423" ht="15.75" customHeight="1" outlineLevel="1">
      <c r="A423" s="211"/>
      <c r="B423" s="212"/>
      <c r="C423" s="213"/>
      <c r="D423" s="214" t="str">
        <f>IFERROR(VLOOKUP($C423,'PORTIFÓLIO'!C:V,2,0),"")</f>
        <v/>
      </c>
      <c r="E423" s="211" t="str">
        <f>IFERROR(VLOOKUP($C423,'PORTIFÓLIO'!C:V,3,0),"")</f>
        <v/>
      </c>
      <c r="F423" s="211" t="str">
        <f>IFERROR(VLOOKUP($C423,'PORTIFÓLIO'!C:V,4,0),"")</f>
        <v/>
      </c>
      <c r="G423" s="215" t="str">
        <f>IFERROR(VLOOKUP($C423,'PORTIFÓLIO'!C:V,5,0),"")</f>
        <v/>
      </c>
      <c r="H423" s="254" t="str">
        <f t="array" ref="H423">IFERROR(INDEX('PORTIFÓLIO'!$H$4:$H$433,MATCH($C423,'PORTIFÓLIO'!$C$4:$C$433,0)),"")</f>
        <v/>
      </c>
      <c r="I423" s="256"/>
      <c r="J423" s="218">
        <f t="shared" si="47"/>
        <v>0</v>
      </c>
      <c r="K423" s="292" t="str">
        <f t="array" ref="K423">IFERROR(I423*INDEX('PORTIFÓLIO'!$S$4:$S$433,MATCH($C423,'PORTIFÓLIO'!$C$4:$C$433,0)),"")</f>
        <v/>
      </c>
      <c r="L423" s="292" t="str">
        <f t="array" ref="L423">IFERROR(J423*INDEX('PORTIFÓLIO'!$S$4:$S$433,MATCH($C423,'PORTIFÓLIO'!$C$4:$C$433,0)),"")</f>
        <v/>
      </c>
      <c r="M423" s="220"/>
      <c r="N423" s="220"/>
      <c r="O423" s="220"/>
      <c r="P423" s="220"/>
      <c r="Q423" s="220"/>
      <c r="R423" s="220"/>
      <c r="S423" s="220"/>
      <c r="T423" s="220"/>
      <c r="U423" s="220"/>
      <c r="V423" s="220"/>
      <c r="W423" s="220"/>
    </row>
    <row r="424" ht="15.75" customHeight="1" outlineLevel="1">
      <c r="A424" s="211"/>
      <c r="B424" s="212"/>
      <c r="C424" s="213"/>
      <c r="D424" s="214" t="str">
        <f>IFERROR(VLOOKUP($C424,'PORTIFÓLIO'!C:V,2,0),"")</f>
        <v/>
      </c>
      <c r="E424" s="211" t="str">
        <f>IFERROR(VLOOKUP($C424,'PORTIFÓLIO'!C:V,3,0),"")</f>
        <v/>
      </c>
      <c r="F424" s="211" t="str">
        <f>IFERROR(VLOOKUP($C424,'PORTIFÓLIO'!C:V,4,0),"")</f>
        <v/>
      </c>
      <c r="G424" s="215" t="str">
        <f>IFERROR(VLOOKUP($C424,'PORTIFÓLIO'!C:V,5,0),"")</f>
        <v/>
      </c>
      <c r="H424" s="254" t="str">
        <f t="array" ref="H424">IFERROR(INDEX('PORTIFÓLIO'!$H$4:$H$433,MATCH($C424,'PORTIFÓLIO'!$C$4:$C$433,0)),"")</f>
        <v/>
      </c>
      <c r="I424" s="256"/>
      <c r="J424" s="218">
        <f t="shared" si="47"/>
        <v>0</v>
      </c>
      <c r="K424" s="292" t="str">
        <f t="array" ref="K424">IFERROR(I424*INDEX('PORTIFÓLIO'!$S$4:$S$433,MATCH($C424,'PORTIFÓLIO'!$C$4:$C$433,0)),"")</f>
        <v/>
      </c>
      <c r="L424" s="292" t="str">
        <f t="array" ref="L424">IFERROR(J424*INDEX('PORTIFÓLIO'!$S$4:$S$433,MATCH($C424,'PORTIFÓLIO'!$C$4:$C$433,0)),"")</f>
        <v/>
      </c>
      <c r="M424" s="220"/>
      <c r="N424" s="220"/>
      <c r="O424" s="220"/>
      <c r="P424" s="220"/>
      <c r="Q424" s="220"/>
      <c r="R424" s="220"/>
      <c r="S424" s="220"/>
      <c r="T424" s="220"/>
      <c r="U424" s="220"/>
      <c r="V424" s="220"/>
      <c r="W424" s="220"/>
    </row>
    <row r="425" ht="15.75" customHeight="1" outlineLevel="1">
      <c r="A425" s="211"/>
      <c r="B425" s="227"/>
      <c r="C425" s="211"/>
      <c r="D425" s="214" t="str">
        <f>IFERROR(VLOOKUP($C425,'PORTIFÓLIO'!C:V,2,0),"")</f>
        <v/>
      </c>
      <c r="E425" s="211" t="str">
        <f>IFERROR(VLOOKUP($C425,'PORTIFÓLIO'!C:V,3,0),"")</f>
        <v/>
      </c>
      <c r="F425" s="211" t="str">
        <f>IFERROR(VLOOKUP($C425,'PORTIFÓLIO'!C:V,4,0),"")</f>
        <v/>
      </c>
      <c r="G425" s="215" t="str">
        <f>IFERROR(VLOOKUP($C425,'PORTIFÓLIO'!C:V,5,0),"")</f>
        <v/>
      </c>
      <c r="H425" s="254" t="str">
        <f t="array" ref="H425">IFERROR(INDEX('PORTIFÓLIO'!$H$4:$H$433,MATCH($C425,'PORTIFÓLIO'!$C$4:$C$433,0)),"")</f>
        <v/>
      </c>
      <c r="I425" s="256"/>
      <c r="J425" s="218">
        <f t="shared" si="47"/>
        <v>0</v>
      </c>
      <c r="K425" s="292" t="str">
        <f t="array" ref="K425">IFERROR(I425*INDEX('PORTIFÓLIO'!$S$4:$S$433,MATCH($C425,'PORTIFÓLIO'!$C$4:$C$433,0)),"")</f>
        <v/>
      </c>
      <c r="L425" s="292" t="str">
        <f t="array" ref="L425">IFERROR(J425*INDEX('PORTIFÓLIO'!$S$4:$S$433,MATCH($C425,'PORTIFÓLIO'!$C$4:$C$433,0)),"")</f>
        <v/>
      </c>
      <c r="M425" s="220"/>
      <c r="N425" s="220"/>
      <c r="O425" s="220"/>
      <c r="P425" s="220"/>
      <c r="Q425" s="220"/>
      <c r="R425" s="220"/>
      <c r="S425" s="220"/>
      <c r="T425" s="220"/>
      <c r="U425" s="220"/>
      <c r="V425" s="220"/>
      <c r="W425" s="220"/>
    </row>
    <row r="426" ht="15.75" customHeight="1" outlineLevel="1">
      <c r="A426" s="211"/>
      <c r="B426" s="227"/>
      <c r="C426" s="211"/>
      <c r="D426" s="214" t="str">
        <f>IFERROR(VLOOKUP($C426,'PORTIFÓLIO'!C:V,2,0),"")</f>
        <v/>
      </c>
      <c r="E426" s="211" t="str">
        <f>IFERROR(VLOOKUP($C426,'PORTIFÓLIO'!C:V,3,0),"")</f>
        <v/>
      </c>
      <c r="F426" s="211" t="str">
        <f>IFERROR(VLOOKUP($C426,'PORTIFÓLIO'!C:V,4,0),"")</f>
        <v/>
      </c>
      <c r="G426" s="215" t="str">
        <f>IFERROR(VLOOKUP($C426,'PORTIFÓLIO'!C:V,5,0),"")</f>
        <v/>
      </c>
      <c r="H426" s="254" t="str">
        <f t="array" ref="H426">IFERROR(INDEX('PORTIFÓLIO'!$H$4:$H$433,MATCH($C426,'PORTIFÓLIO'!$C$4:$C$433,0)),"")</f>
        <v/>
      </c>
      <c r="I426" s="256"/>
      <c r="J426" s="218">
        <f t="shared" si="47"/>
        <v>0</v>
      </c>
      <c r="K426" s="292" t="str">
        <f t="array" ref="K426">IFERROR(I426*INDEX('PORTIFÓLIO'!$S$4:$S$433,MATCH($C426,'PORTIFÓLIO'!$C$4:$C$433,0)),"")</f>
        <v/>
      </c>
      <c r="L426" s="292" t="str">
        <f t="array" ref="L426">IFERROR(J426*INDEX('PORTIFÓLIO'!$S$4:$S$433,MATCH($C426,'PORTIFÓLIO'!$C$4:$C$433,0)),"")</f>
        <v/>
      </c>
      <c r="U426" s="79"/>
    </row>
    <row r="427" ht="15.75" customHeight="1">
      <c r="A427" s="229" t="s">
        <v>1202</v>
      </c>
      <c r="B427" s="230"/>
      <c r="C427" s="231"/>
      <c r="D427" s="232"/>
      <c r="E427" s="231"/>
      <c r="F427" s="231"/>
      <c r="G427" s="233"/>
      <c r="H427" s="233"/>
      <c r="I427" s="258"/>
      <c r="J427" s="236"/>
      <c r="K427" s="237">
        <f t="shared" ref="K427:L427" si="48">SUBTOTAL(9,K428:K441)</f>
        <v>0</v>
      </c>
      <c r="L427" s="237">
        <f t="shared" si="48"/>
        <v>0</v>
      </c>
      <c r="U427" s="79"/>
    </row>
    <row r="428" ht="15.75" customHeight="1" outlineLevel="1">
      <c r="A428" s="213"/>
      <c r="B428" s="212"/>
      <c r="C428" s="213"/>
      <c r="D428" s="214" t="str">
        <f>IFERROR(VLOOKUP($C428,'PORTIFÓLIO'!C:V,2,0),"")</f>
        <v/>
      </c>
      <c r="E428" s="211" t="str">
        <f>IFERROR(VLOOKUP($C428,'PORTIFÓLIO'!C:V,3,0),"")</f>
        <v/>
      </c>
      <c r="F428" s="211" t="str">
        <f>IFERROR(VLOOKUP($C428,'PORTIFÓLIO'!C:V,4,0),"")</f>
        <v/>
      </c>
      <c r="G428" s="215" t="str">
        <f>IFERROR(VLOOKUP($C428,'PORTIFÓLIO'!C:V,5,0),"")</f>
        <v/>
      </c>
      <c r="H428" s="254" t="str">
        <f t="array" ref="H428">IFERROR(INDEX('PORTIFÓLIO'!$H$4:$H$433,MATCH($C428,'PORTIFÓLIO'!$C$4:$C$433,0)),"")</f>
        <v/>
      </c>
      <c r="I428" s="256"/>
      <c r="J428" s="218">
        <f t="shared" ref="J428:J451" si="49">I428*$B$2</f>
        <v>0</v>
      </c>
      <c r="K428" s="292" t="str">
        <f t="array" ref="K428">IFERROR(I428*INDEX('PORTIFÓLIO'!$S$4:$S$433,MATCH($C428,'PORTIFÓLIO'!$C$4:$C$433,0)),"")</f>
        <v/>
      </c>
      <c r="L428" s="292" t="str">
        <f t="array" ref="L428">IFERROR(J428*INDEX('PORTIFÓLIO'!$S$4:$S$433,MATCH($C428,'PORTIFÓLIO'!$C$4:$C$433,0)),"")</f>
        <v/>
      </c>
      <c r="U428" s="79"/>
    </row>
    <row r="429" ht="15.75" customHeight="1" outlineLevel="1">
      <c r="A429" s="211"/>
      <c r="B429" s="212"/>
      <c r="C429" s="213"/>
      <c r="D429" s="214" t="str">
        <f>IFERROR(VLOOKUP($C429,'PORTIFÓLIO'!C:V,2,0),"")</f>
        <v/>
      </c>
      <c r="E429" s="211" t="str">
        <f>IFERROR(VLOOKUP($C429,'PORTIFÓLIO'!C:V,3,0),"")</f>
        <v/>
      </c>
      <c r="F429" s="211" t="str">
        <f>IFERROR(VLOOKUP($C429,'PORTIFÓLIO'!C:V,4,0),"")</f>
        <v/>
      </c>
      <c r="G429" s="215" t="str">
        <f>IFERROR(VLOOKUP($C429,'PORTIFÓLIO'!C:V,5,0),"")</f>
        <v/>
      </c>
      <c r="H429" s="254" t="str">
        <f t="array" ref="H429">IFERROR(INDEX('PORTIFÓLIO'!$H$4:$H$433,MATCH($C429,'PORTIFÓLIO'!$C$4:$C$433,0)),"")</f>
        <v/>
      </c>
      <c r="I429" s="256"/>
      <c r="J429" s="218">
        <f t="shared" si="49"/>
        <v>0</v>
      </c>
      <c r="K429" s="292" t="str">
        <f t="array" ref="K429">IFERROR(I429*INDEX('PORTIFÓLIO'!$S$4:$S$433,MATCH($C429,'PORTIFÓLIO'!$C$4:$C$433,0)),"")</f>
        <v/>
      </c>
      <c r="L429" s="292" t="str">
        <f t="array" ref="L429">IFERROR(J429*INDEX('PORTIFÓLIO'!$S$4:$S$433,MATCH($C429,'PORTIFÓLIO'!$C$4:$C$433,0)),"")</f>
        <v/>
      </c>
      <c r="U429" s="79"/>
    </row>
    <row r="430" ht="15.75" customHeight="1" outlineLevel="1">
      <c r="A430" s="211"/>
      <c r="B430" s="212"/>
      <c r="C430" s="213"/>
      <c r="D430" s="214" t="str">
        <f>IFERROR(VLOOKUP($C430,'PORTIFÓLIO'!C:V,2,0),"")</f>
        <v/>
      </c>
      <c r="E430" s="211" t="str">
        <f>IFERROR(VLOOKUP($C430,'PORTIFÓLIO'!C:V,3,0),"")</f>
        <v/>
      </c>
      <c r="F430" s="211" t="str">
        <f>IFERROR(VLOOKUP($C430,'PORTIFÓLIO'!C:V,4,0),"")</f>
        <v/>
      </c>
      <c r="G430" s="215" t="str">
        <f>IFERROR(VLOOKUP($C430,'PORTIFÓLIO'!C:V,5,0),"")</f>
        <v/>
      </c>
      <c r="H430" s="254" t="str">
        <f t="array" ref="H430">IFERROR(INDEX('PORTIFÓLIO'!$H$4:$H$433,MATCH($C430,'PORTIFÓLIO'!$C$4:$C$433,0)),"")</f>
        <v/>
      </c>
      <c r="I430" s="256"/>
      <c r="J430" s="218">
        <f t="shared" si="49"/>
        <v>0</v>
      </c>
      <c r="K430" s="292" t="str">
        <f t="array" ref="K430">IFERROR(I430*INDEX('PORTIFÓLIO'!$S$4:$S$433,MATCH($C430,'PORTIFÓLIO'!$C$4:$C$433,0)),"")</f>
        <v/>
      </c>
      <c r="L430" s="292" t="str">
        <f t="array" ref="L430">IFERROR(J430*INDEX('PORTIFÓLIO'!$S$4:$S$433,MATCH($C430,'PORTIFÓLIO'!$C$4:$C$433,0)),"")</f>
        <v/>
      </c>
      <c r="U430" s="79"/>
    </row>
    <row r="431" ht="15.75" customHeight="1" outlineLevel="1">
      <c r="A431" s="211"/>
      <c r="B431" s="212"/>
      <c r="C431" s="213"/>
      <c r="D431" s="214" t="str">
        <f>IFERROR(VLOOKUP($C431,'PORTIFÓLIO'!C:V,2,0),"")</f>
        <v/>
      </c>
      <c r="E431" s="211" t="str">
        <f>IFERROR(VLOOKUP($C431,'PORTIFÓLIO'!C:V,3,0),"")</f>
        <v/>
      </c>
      <c r="F431" s="211" t="str">
        <f>IFERROR(VLOOKUP($C431,'PORTIFÓLIO'!C:V,4,0),"")</f>
        <v/>
      </c>
      <c r="G431" s="215" t="str">
        <f>IFERROR(VLOOKUP($C431,'PORTIFÓLIO'!C:V,5,0),"")</f>
        <v/>
      </c>
      <c r="H431" s="254" t="str">
        <f t="array" ref="H431">IFERROR(INDEX('PORTIFÓLIO'!$H$4:$H$433,MATCH($C431,'PORTIFÓLIO'!$C$4:$C$433,0)),"")</f>
        <v/>
      </c>
      <c r="I431" s="256"/>
      <c r="J431" s="218">
        <f t="shared" si="49"/>
        <v>0</v>
      </c>
      <c r="K431" s="292" t="str">
        <f t="array" ref="K431">IFERROR(I431*INDEX('PORTIFÓLIO'!$S$4:$S$433,MATCH($C431,'PORTIFÓLIO'!$C$4:$C$433,0)),"")</f>
        <v/>
      </c>
      <c r="L431" s="292" t="str">
        <f t="array" ref="L431">IFERROR(J431*INDEX('PORTIFÓLIO'!$S$4:$S$433,MATCH($C431,'PORTIFÓLIO'!$C$4:$C$433,0)),"")</f>
        <v/>
      </c>
      <c r="U431" s="79"/>
    </row>
    <row r="432" ht="15.75" customHeight="1" outlineLevel="1">
      <c r="A432" s="211"/>
      <c r="B432" s="212"/>
      <c r="C432" s="213"/>
      <c r="D432" s="214" t="str">
        <f>IFERROR(VLOOKUP($C432,'PORTIFÓLIO'!C:V,2,0),"")</f>
        <v/>
      </c>
      <c r="E432" s="211" t="str">
        <f>IFERROR(VLOOKUP($C432,'PORTIFÓLIO'!C:V,3,0),"")</f>
        <v/>
      </c>
      <c r="F432" s="211" t="str">
        <f>IFERROR(VLOOKUP($C432,'PORTIFÓLIO'!C:V,4,0),"")</f>
        <v/>
      </c>
      <c r="G432" s="215" t="str">
        <f>IFERROR(VLOOKUP($C432,'PORTIFÓLIO'!C:V,5,0),"")</f>
        <v/>
      </c>
      <c r="H432" s="254" t="str">
        <f t="array" ref="H432">IFERROR(INDEX('PORTIFÓLIO'!$H$4:$H$433,MATCH($C432,'PORTIFÓLIO'!$C$4:$C$433,0)),"")</f>
        <v/>
      </c>
      <c r="I432" s="256"/>
      <c r="J432" s="218">
        <f t="shared" si="49"/>
        <v>0</v>
      </c>
      <c r="K432" s="292" t="str">
        <f t="array" ref="K432">IFERROR(I432*INDEX('PORTIFÓLIO'!$S$4:$S$433,MATCH($C432,'PORTIFÓLIO'!$C$4:$C$433,0)),"")</f>
        <v/>
      </c>
      <c r="L432" s="292" t="str">
        <f t="array" ref="L432">IFERROR(J432*INDEX('PORTIFÓLIO'!$S$4:$S$433,MATCH($C432,'PORTIFÓLIO'!$C$4:$C$433,0)),"")</f>
        <v/>
      </c>
      <c r="U432" s="79"/>
    </row>
    <row r="433" ht="15.75" customHeight="1" outlineLevel="1">
      <c r="A433" s="211"/>
      <c r="B433" s="212"/>
      <c r="C433" s="213"/>
      <c r="D433" s="214" t="str">
        <f>IFERROR(VLOOKUP($C433,'PORTIFÓLIO'!C:V,2,0),"")</f>
        <v/>
      </c>
      <c r="E433" s="211" t="str">
        <f>IFERROR(VLOOKUP($C433,'PORTIFÓLIO'!C:V,3,0),"")</f>
        <v/>
      </c>
      <c r="F433" s="211" t="str">
        <f>IFERROR(VLOOKUP($C433,'PORTIFÓLIO'!C:V,4,0),"")</f>
        <v/>
      </c>
      <c r="G433" s="215" t="str">
        <f>IFERROR(VLOOKUP($C433,'PORTIFÓLIO'!C:V,5,0),"")</f>
        <v/>
      </c>
      <c r="H433" s="254" t="str">
        <f t="array" ref="H433">IFERROR(INDEX('PORTIFÓLIO'!$H$4:$H$433,MATCH($C433,'PORTIFÓLIO'!$C$4:$C$433,0)),"")</f>
        <v/>
      </c>
      <c r="I433" s="256"/>
      <c r="J433" s="218">
        <f t="shared" si="49"/>
        <v>0</v>
      </c>
      <c r="K433" s="292" t="str">
        <f t="array" ref="K433">IFERROR(I433*INDEX('PORTIFÓLIO'!$S$4:$S$433,MATCH($C433,'PORTIFÓLIO'!$C$4:$C$433,0)),"")</f>
        <v/>
      </c>
      <c r="L433" s="292" t="str">
        <f t="array" ref="L433">IFERROR(J433*INDEX('PORTIFÓLIO'!$S$4:$S$433,MATCH($C433,'PORTIFÓLIO'!$C$4:$C$433,0)),"")</f>
        <v/>
      </c>
      <c r="U433" s="79"/>
    </row>
    <row r="434" ht="15.75" customHeight="1" outlineLevel="1">
      <c r="A434" s="211"/>
      <c r="B434" s="212"/>
      <c r="C434" s="213"/>
      <c r="D434" s="214" t="str">
        <f>IFERROR(VLOOKUP($C434,'PORTIFÓLIO'!C:V,2,0),"")</f>
        <v/>
      </c>
      <c r="E434" s="211" t="str">
        <f>IFERROR(VLOOKUP($C434,'PORTIFÓLIO'!C:V,3,0),"")</f>
        <v/>
      </c>
      <c r="F434" s="211" t="str">
        <f>IFERROR(VLOOKUP($C434,'PORTIFÓLIO'!C:V,4,0),"")</f>
        <v/>
      </c>
      <c r="G434" s="215" t="str">
        <f>IFERROR(VLOOKUP($C434,'PORTIFÓLIO'!C:V,5,0),"")</f>
        <v/>
      </c>
      <c r="H434" s="254" t="str">
        <f t="array" ref="H434">IFERROR(INDEX('PORTIFÓLIO'!$H$4:$H$433,MATCH($C434,'PORTIFÓLIO'!$C$4:$C$433,0)),"")</f>
        <v/>
      </c>
      <c r="I434" s="256"/>
      <c r="J434" s="218">
        <f t="shared" si="49"/>
        <v>0</v>
      </c>
      <c r="K434" s="292" t="str">
        <f t="array" ref="K434">IFERROR(I434*INDEX('PORTIFÓLIO'!$S$4:$S$433,MATCH($C434,'PORTIFÓLIO'!$C$4:$C$433,0)),"")</f>
        <v/>
      </c>
      <c r="L434" s="292" t="str">
        <f t="array" ref="L434">IFERROR(J434*INDEX('PORTIFÓLIO'!$S$4:$S$433,MATCH($C434,'PORTIFÓLIO'!$C$4:$C$433,0)),"")</f>
        <v/>
      </c>
      <c r="U434" s="79"/>
    </row>
    <row r="435" ht="15.75" customHeight="1" outlineLevel="1">
      <c r="A435" s="211"/>
      <c r="B435" s="212"/>
      <c r="C435" s="213"/>
      <c r="D435" s="214" t="str">
        <f>IFERROR(VLOOKUP($C435,'PORTIFÓLIO'!C:V,2,0),"")</f>
        <v/>
      </c>
      <c r="E435" s="211" t="str">
        <f>IFERROR(VLOOKUP($C435,'PORTIFÓLIO'!C:V,3,0),"")</f>
        <v/>
      </c>
      <c r="F435" s="211" t="str">
        <f>IFERROR(VLOOKUP($C435,'PORTIFÓLIO'!C:V,4,0),"")</f>
        <v/>
      </c>
      <c r="G435" s="215" t="str">
        <f>IFERROR(VLOOKUP($C435,'PORTIFÓLIO'!C:V,5,0),"")</f>
        <v/>
      </c>
      <c r="H435" s="254" t="str">
        <f t="array" ref="H435">IFERROR(INDEX('PORTIFÓLIO'!$H$4:$H$433,MATCH($C435,'PORTIFÓLIO'!$C$4:$C$433,0)),"")</f>
        <v/>
      </c>
      <c r="I435" s="256"/>
      <c r="J435" s="218">
        <f t="shared" si="49"/>
        <v>0</v>
      </c>
      <c r="K435" s="292" t="str">
        <f t="array" ref="K435">IFERROR(I435*INDEX('PORTIFÓLIO'!$S$4:$S$433,MATCH($C435,'PORTIFÓLIO'!$C$4:$C$433,0)),"")</f>
        <v/>
      </c>
      <c r="L435" s="292" t="str">
        <f t="array" ref="L435">IFERROR(J435*INDEX('PORTIFÓLIO'!$S$4:$S$433,MATCH($C435,'PORTIFÓLIO'!$C$4:$C$433,0)),"")</f>
        <v/>
      </c>
      <c r="U435" s="79"/>
    </row>
    <row r="436" ht="15.75" customHeight="1" outlineLevel="1">
      <c r="A436" s="211"/>
      <c r="B436" s="212"/>
      <c r="C436" s="213"/>
      <c r="D436" s="214" t="str">
        <f>IFERROR(VLOOKUP($C436,'PORTIFÓLIO'!C:V,2,0),"")</f>
        <v/>
      </c>
      <c r="E436" s="211" t="str">
        <f>IFERROR(VLOOKUP($C436,'PORTIFÓLIO'!C:V,3,0),"")</f>
        <v/>
      </c>
      <c r="F436" s="211" t="str">
        <f>IFERROR(VLOOKUP($C436,'PORTIFÓLIO'!C:V,4,0),"")</f>
        <v/>
      </c>
      <c r="G436" s="215" t="str">
        <f>IFERROR(VLOOKUP($C436,'PORTIFÓLIO'!C:V,5,0),"")</f>
        <v/>
      </c>
      <c r="H436" s="254" t="str">
        <f t="array" ref="H436">IFERROR(INDEX('PORTIFÓLIO'!$H$4:$H$433,MATCH($C436,'PORTIFÓLIO'!$C$4:$C$433,0)),"")</f>
        <v/>
      </c>
      <c r="I436" s="256"/>
      <c r="J436" s="218">
        <f t="shared" si="49"/>
        <v>0</v>
      </c>
      <c r="K436" s="292" t="str">
        <f t="array" ref="K436">IFERROR(I436*INDEX('PORTIFÓLIO'!$S$4:$S$433,MATCH($C436,'PORTIFÓLIO'!$C$4:$C$433,0)),"")</f>
        <v/>
      </c>
      <c r="L436" s="292" t="str">
        <f t="array" ref="L436">IFERROR(J436*INDEX('PORTIFÓLIO'!$S$4:$S$433,MATCH($C436,'PORTIFÓLIO'!$C$4:$C$433,0)),"")</f>
        <v/>
      </c>
      <c r="U436" s="79"/>
    </row>
    <row r="437" ht="15.75" customHeight="1" outlineLevel="1">
      <c r="A437" s="211"/>
      <c r="B437" s="212"/>
      <c r="C437" s="213"/>
      <c r="D437" s="214" t="str">
        <f>IFERROR(VLOOKUP($C437,'PORTIFÓLIO'!C:V,2,0),"")</f>
        <v/>
      </c>
      <c r="E437" s="211" t="str">
        <f>IFERROR(VLOOKUP($C437,'PORTIFÓLIO'!C:V,3,0),"")</f>
        <v/>
      </c>
      <c r="F437" s="211" t="str">
        <f>IFERROR(VLOOKUP($C437,'PORTIFÓLIO'!C:V,4,0),"")</f>
        <v/>
      </c>
      <c r="G437" s="215" t="str">
        <f>IFERROR(VLOOKUP($C437,'PORTIFÓLIO'!C:V,5,0),"")</f>
        <v/>
      </c>
      <c r="H437" s="254" t="str">
        <f t="array" ref="H437">IFERROR(INDEX('PORTIFÓLIO'!$H$4:$H$433,MATCH($C437,'PORTIFÓLIO'!$C$4:$C$433,0)),"")</f>
        <v/>
      </c>
      <c r="I437" s="256"/>
      <c r="J437" s="218">
        <f t="shared" si="49"/>
        <v>0</v>
      </c>
      <c r="K437" s="292" t="str">
        <f t="array" ref="K437">IFERROR(I437*INDEX('PORTIFÓLIO'!$S$4:$S$433,MATCH($C437,'PORTIFÓLIO'!$C$4:$C$433,0)),"")</f>
        <v/>
      </c>
      <c r="L437" s="292" t="str">
        <f t="array" ref="L437">IFERROR(J437*INDEX('PORTIFÓLIO'!$S$4:$S$433,MATCH($C437,'PORTIFÓLIO'!$C$4:$C$433,0)),"")</f>
        <v/>
      </c>
      <c r="U437" s="79"/>
    </row>
    <row r="438" ht="15.75" customHeight="1" outlineLevel="1">
      <c r="A438" s="211"/>
      <c r="B438" s="212"/>
      <c r="C438" s="213"/>
      <c r="D438" s="214" t="str">
        <f>IFERROR(VLOOKUP($C438,'PORTIFÓLIO'!C:V,2,0),"")</f>
        <v/>
      </c>
      <c r="E438" s="211" t="str">
        <f>IFERROR(VLOOKUP($C438,'PORTIFÓLIO'!C:V,3,0),"")</f>
        <v/>
      </c>
      <c r="F438" s="211" t="str">
        <f>IFERROR(VLOOKUP($C438,'PORTIFÓLIO'!C:V,4,0),"")</f>
        <v/>
      </c>
      <c r="G438" s="215" t="str">
        <f>IFERROR(VLOOKUP($C438,'PORTIFÓLIO'!C:V,5,0),"")</f>
        <v/>
      </c>
      <c r="H438" s="254" t="str">
        <f t="array" ref="H438">IFERROR(INDEX('PORTIFÓLIO'!$H$4:$H$433,MATCH($C438,'PORTIFÓLIO'!$C$4:$C$433,0)),"")</f>
        <v/>
      </c>
      <c r="I438" s="256"/>
      <c r="J438" s="218">
        <f t="shared" si="49"/>
        <v>0</v>
      </c>
      <c r="K438" s="292" t="str">
        <f t="array" ref="K438">IFERROR(I438*INDEX('PORTIFÓLIO'!$S$4:$S$433,MATCH($C438,'PORTIFÓLIO'!$C$4:$C$433,0)),"")</f>
        <v/>
      </c>
      <c r="L438" s="292" t="str">
        <f t="array" ref="L438">IFERROR(J438*INDEX('PORTIFÓLIO'!$S$4:$S$433,MATCH($C438,'PORTIFÓLIO'!$C$4:$C$433,0)),"")</f>
        <v/>
      </c>
      <c r="U438" s="79"/>
    </row>
    <row r="439" ht="15.75" customHeight="1" outlineLevel="1">
      <c r="A439" s="211"/>
      <c r="B439" s="212"/>
      <c r="C439" s="213"/>
      <c r="D439" s="214" t="str">
        <f>IFERROR(VLOOKUP($C439,'PORTIFÓLIO'!C:V,2,0),"")</f>
        <v/>
      </c>
      <c r="E439" s="211" t="str">
        <f>IFERROR(VLOOKUP($C439,'PORTIFÓLIO'!C:V,3,0),"")</f>
        <v/>
      </c>
      <c r="F439" s="211" t="str">
        <f>IFERROR(VLOOKUP($C439,'PORTIFÓLIO'!C:V,4,0),"")</f>
        <v/>
      </c>
      <c r="G439" s="215" t="str">
        <f>IFERROR(VLOOKUP($C439,'PORTIFÓLIO'!C:V,5,0),"")</f>
        <v/>
      </c>
      <c r="H439" s="254" t="str">
        <f t="array" ref="H439">IFERROR(INDEX('PORTIFÓLIO'!$H$4:$H$433,MATCH($C439,'PORTIFÓLIO'!$C$4:$C$433,0)),"")</f>
        <v/>
      </c>
      <c r="I439" s="256"/>
      <c r="J439" s="218">
        <f t="shared" si="49"/>
        <v>0</v>
      </c>
      <c r="K439" s="292" t="str">
        <f t="array" ref="K439">IFERROR(I439*INDEX('PORTIFÓLIO'!$S$4:$S$433,MATCH($C439,'PORTIFÓLIO'!$C$4:$C$433,0)),"")</f>
        <v/>
      </c>
      <c r="L439" s="292" t="str">
        <f t="array" ref="L439">IFERROR(J439*INDEX('PORTIFÓLIO'!$S$4:$S$433,MATCH($C439,'PORTIFÓLIO'!$C$4:$C$433,0)),"")</f>
        <v/>
      </c>
      <c r="U439" s="79"/>
    </row>
    <row r="440" ht="15.75" customHeight="1" outlineLevel="1">
      <c r="A440" s="211"/>
      <c r="B440" s="212"/>
      <c r="C440" s="213"/>
      <c r="D440" s="214" t="str">
        <f>IFERROR(VLOOKUP($C440,'PORTIFÓLIO'!C:V,2,0),"")</f>
        <v/>
      </c>
      <c r="E440" s="211" t="str">
        <f>IFERROR(VLOOKUP($C440,'PORTIFÓLIO'!C:V,3,0),"")</f>
        <v/>
      </c>
      <c r="F440" s="211" t="str">
        <f>IFERROR(VLOOKUP($C440,'PORTIFÓLIO'!C:V,4,0),"")</f>
        <v/>
      </c>
      <c r="G440" s="215" t="str">
        <f>IFERROR(VLOOKUP($C440,'PORTIFÓLIO'!C:V,5,0),"")</f>
        <v/>
      </c>
      <c r="H440" s="254" t="str">
        <f t="array" ref="H440">IFERROR(INDEX('PORTIFÓLIO'!$H$4:$H$433,MATCH($C440,'PORTIFÓLIO'!$C$4:$C$433,0)),"")</f>
        <v/>
      </c>
      <c r="I440" s="256"/>
      <c r="J440" s="218">
        <f t="shared" si="49"/>
        <v>0</v>
      </c>
      <c r="K440" s="292" t="str">
        <f t="array" ref="K440">IFERROR(I440*INDEX('PORTIFÓLIO'!$S$4:$S$433,MATCH($C440,'PORTIFÓLIO'!$C$4:$C$433,0)),"")</f>
        <v/>
      </c>
      <c r="L440" s="292" t="str">
        <f t="array" ref="L440">IFERROR(J440*INDEX('PORTIFÓLIO'!$S$4:$S$433,MATCH($C440,'PORTIFÓLIO'!$C$4:$C$433,0)),"")</f>
        <v/>
      </c>
      <c r="U440" s="79"/>
    </row>
    <row r="441" ht="15.75" customHeight="1" outlineLevel="1">
      <c r="A441" s="211"/>
      <c r="B441" s="212"/>
      <c r="C441" s="213"/>
      <c r="D441" s="214" t="str">
        <f>IFERROR(VLOOKUP($C441,'PORTIFÓLIO'!C:V,2,0),"")</f>
        <v/>
      </c>
      <c r="E441" s="211" t="str">
        <f>IFERROR(VLOOKUP($C441,'PORTIFÓLIO'!C:V,3,0),"")</f>
        <v/>
      </c>
      <c r="F441" s="211" t="str">
        <f>IFERROR(VLOOKUP($C441,'PORTIFÓLIO'!C:V,4,0),"")</f>
        <v/>
      </c>
      <c r="G441" s="215" t="str">
        <f>IFERROR(VLOOKUP($C441,'PORTIFÓLIO'!C:V,5,0),"")</f>
        <v/>
      </c>
      <c r="H441" s="254" t="str">
        <f t="array" ref="H441">IFERROR(INDEX('PORTIFÓLIO'!$H$4:$H$433,MATCH($C441,'PORTIFÓLIO'!$C$4:$C$433,0)),"")</f>
        <v/>
      </c>
      <c r="I441" s="256"/>
      <c r="J441" s="218">
        <f t="shared" si="49"/>
        <v>0</v>
      </c>
      <c r="K441" s="292" t="str">
        <f t="array" ref="K441">IFERROR(I441*INDEX('PORTIFÓLIO'!$S$4:$S$433,MATCH($C441,'PORTIFÓLIO'!$C$4:$C$433,0)),"")</f>
        <v/>
      </c>
      <c r="L441" s="292" t="str">
        <f t="array" ref="L441">IFERROR(J441*INDEX('PORTIFÓLIO'!$S$4:$S$433,MATCH($C441,'PORTIFÓLIO'!$C$4:$C$433,0)),"")</f>
        <v/>
      </c>
      <c r="U441" s="79"/>
    </row>
    <row r="442" ht="15.75" customHeight="1" outlineLevel="1">
      <c r="A442" s="211"/>
      <c r="B442" s="212"/>
      <c r="C442" s="213"/>
      <c r="D442" s="214" t="str">
        <f>IFERROR(VLOOKUP($C442,'PORTIFÓLIO'!C:V,2,0),"")</f>
        <v/>
      </c>
      <c r="E442" s="211" t="str">
        <f>IFERROR(VLOOKUP($C442,'PORTIFÓLIO'!C:V,3,0),"")</f>
        <v/>
      </c>
      <c r="F442" s="211" t="str">
        <f>IFERROR(VLOOKUP($C442,'PORTIFÓLIO'!C:V,4,0),"")</f>
        <v/>
      </c>
      <c r="G442" s="215" t="str">
        <f>IFERROR(VLOOKUP($C442,'PORTIFÓLIO'!C:V,5,0),"")</f>
        <v/>
      </c>
      <c r="H442" s="254" t="str">
        <f t="array" ref="H442">IFERROR(INDEX('PORTIFÓLIO'!$H$4:$H$433,MATCH($C442,'PORTIFÓLIO'!$C$4:$C$433,0)),"")</f>
        <v/>
      </c>
      <c r="I442" s="256"/>
      <c r="J442" s="218">
        <f t="shared" si="49"/>
        <v>0</v>
      </c>
      <c r="K442" s="292" t="str">
        <f t="array" ref="K442">IFERROR(I442*INDEX('PORTIFÓLIO'!$S$4:$S$433,MATCH($C442,'PORTIFÓLIO'!$C$4:$C$433,0)),"")</f>
        <v/>
      </c>
      <c r="L442" s="292" t="str">
        <f t="array" ref="L442">IFERROR(J442*INDEX('PORTIFÓLIO'!$S$4:$S$433,MATCH($C442,'PORTIFÓLIO'!$C$4:$C$433,0)),"")</f>
        <v/>
      </c>
      <c r="U442" s="79"/>
    </row>
    <row r="443" ht="15.75" customHeight="1" outlineLevel="1">
      <c r="A443" s="211"/>
      <c r="B443" s="227"/>
      <c r="C443" s="211"/>
      <c r="D443" s="214" t="str">
        <f>IFERROR(VLOOKUP($C443,'PORTIFÓLIO'!C:V,2,0),"")</f>
        <v/>
      </c>
      <c r="E443" s="211" t="str">
        <f>IFERROR(VLOOKUP($C443,'PORTIFÓLIO'!C:V,3,0),"")</f>
        <v/>
      </c>
      <c r="F443" s="211" t="str">
        <f>IFERROR(VLOOKUP($C443,'PORTIFÓLIO'!C:V,4,0),"")</f>
        <v/>
      </c>
      <c r="G443" s="215" t="str">
        <f>IFERROR(VLOOKUP($C443,'PORTIFÓLIO'!C:V,5,0),"")</f>
        <v/>
      </c>
      <c r="H443" s="254" t="str">
        <f t="array" ref="H443">IFERROR(INDEX('PORTIFÓLIO'!$H$4:$H$433,MATCH($C443,'PORTIFÓLIO'!$C$4:$C$433,0)),"")</f>
        <v/>
      </c>
      <c r="I443" s="256"/>
      <c r="J443" s="218">
        <f t="shared" si="49"/>
        <v>0</v>
      </c>
      <c r="K443" s="292" t="str">
        <f t="array" ref="K443">IFERROR(I443*INDEX('PORTIFÓLIO'!$S$4:$S$433,MATCH($C443,'PORTIFÓLIO'!$C$4:$C$433,0)),"")</f>
        <v/>
      </c>
      <c r="L443" s="292" t="str">
        <f t="array" ref="L443">IFERROR(J443*INDEX('PORTIFÓLIO'!$S$4:$S$433,MATCH($C443,'PORTIFÓLIO'!$C$4:$C$433,0)),"")</f>
        <v/>
      </c>
      <c r="U443" s="79"/>
    </row>
    <row r="444" ht="15.75" customHeight="1" outlineLevel="1">
      <c r="A444" s="211"/>
      <c r="B444" s="227"/>
      <c r="C444" s="211"/>
      <c r="D444" s="214" t="str">
        <f>IFERROR(VLOOKUP($C444,'PORTIFÓLIO'!C:V,2,0),"")</f>
        <v/>
      </c>
      <c r="E444" s="211" t="str">
        <f>IFERROR(VLOOKUP($C444,'PORTIFÓLIO'!C:V,3,0),"")</f>
        <v/>
      </c>
      <c r="F444" s="211" t="str">
        <f>IFERROR(VLOOKUP($C444,'PORTIFÓLIO'!C:V,4,0),"")</f>
        <v/>
      </c>
      <c r="G444" s="215" t="str">
        <f>IFERROR(VLOOKUP($C444,'PORTIFÓLIO'!C:V,5,0),"")</f>
        <v/>
      </c>
      <c r="H444" s="254" t="str">
        <f t="array" ref="H444">IFERROR(INDEX('PORTIFÓLIO'!$H$4:$H$433,MATCH($C444,'PORTIFÓLIO'!$C$4:$C$433,0)),"")</f>
        <v/>
      </c>
      <c r="I444" s="256"/>
      <c r="J444" s="218">
        <f t="shared" si="49"/>
        <v>0</v>
      </c>
      <c r="K444" s="292" t="str">
        <f t="array" ref="K444">IFERROR(I444*INDEX('PORTIFÓLIO'!$S$4:$S$433,MATCH($C444,'PORTIFÓLIO'!$C$4:$C$433,0)),"")</f>
        <v/>
      </c>
      <c r="L444" s="292" t="str">
        <f t="array" ref="L444">IFERROR(J444*INDEX('PORTIFÓLIO'!$S$4:$S$433,MATCH($C444,'PORTIFÓLIO'!$C$4:$C$433,0)),"")</f>
        <v/>
      </c>
      <c r="U444" s="79"/>
    </row>
    <row r="445" ht="15.75" customHeight="1" outlineLevel="1">
      <c r="A445" s="211"/>
      <c r="B445" s="227"/>
      <c r="C445" s="211"/>
      <c r="D445" s="214" t="str">
        <f>IFERROR(VLOOKUP($C445,'PORTIFÓLIO'!C:V,2,0),"")</f>
        <v/>
      </c>
      <c r="E445" s="211" t="str">
        <f>IFERROR(VLOOKUP($C445,'PORTIFÓLIO'!C:V,3,0),"")</f>
        <v/>
      </c>
      <c r="F445" s="211" t="str">
        <f>IFERROR(VLOOKUP($C445,'PORTIFÓLIO'!C:V,4,0),"")</f>
        <v/>
      </c>
      <c r="G445" s="215" t="str">
        <f>IFERROR(VLOOKUP($C445,'PORTIFÓLIO'!C:V,5,0),"")</f>
        <v/>
      </c>
      <c r="H445" s="254" t="str">
        <f t="array" ref="H445">IFERROR(INDEX('PORTIFÓLIO'!$H$4:$H$433,MATCH($C445,'PORTIFÓLIO'!$C$4:$C$433,0)),"")</f>
        <v/>
      </c>
      <c r="I445" s="256"/>
      <c r="J445" s="218">
        <f t="shared" si="49"/>
        <v>0</v>
      </c>
      <c r="K445" s="292" t="str">
        <f t="array" ref="K445">IFERROR(I445*INDEX('PORTIFÓLIO'!$S$4:$S$433,MATCH($C445,'PORTIFÓLIO'!$C$4:$C$433,0)),"")</f>
        <v/>
      </c>
      <c r="L445" s="292" t="str">
        <f t="array" ref="L445">IFERROR(J445*INDEX('PORTIFÓLIO'!$S$4:$S$433,MATCH($C445,'PORTIFÓLIO'!$C$4:$C$433,0)),"")</f>
        <v/>
      </c>
      <c r="U445" s="79"/>
    </row>
    <row r="446" ht="15.75" customHeight="1" outlineLevel="1">
      <c r="A446" s="211"/>
      <c r="B446" s="227"/>
      <c r="C446" s="211"/>
      <c r="D446" s="214" t="str">
        <f>IFERROR(VLOOKUP($C446,'PORTIFÓLIO'!C:V,2,0),"")</f>
        <v/>
      </c>
      <c r="E446" s="211" t="str">
        <f>IFERROR(VLOOKUP($C446,'PORTIFÓLIO'!C:V,3,0),"")</f>
        <v/>
      </c>
      <c r="F446" s="211" t="str">
        <f>IFERROR(VLOOKUP($C446,'PORTIFÓLIO'!C:V,4,0),"")</f>
        <v/>
      </c>
      <c r="G446" s="215" t="str">
        <f>IFERROR(VLOOKUP($C446,'PORTIFÓLIO'!C:V,5,0),"")</f>
        <v/>
      </c>
      <c r="H446" s="254" t="str">
        <f t="array" ref="H446">IFERROR(INDEX('PORTIFÓLIO'!$H$4:$H$433,MATCH($C446,'PORTIFÓLIO'!$C$4:$C$433,0)),"")</f>
        <v/>
      </c>
      <c r="I446" s="256"/>
      <c r="J446" s="218">
        <f t="shared" si="49"/>
        <v>0</v>
      </c>
      <c r="K446" s="292" t="str">
        <f t="array" ref="K446">IFERROR(I446*INDEX('PORTIFÓLIO'!$S$4:$S$433,MATCH($C446,'PORTIFÓLIO'!$C$4:$C$433,0)),"")</f>
        <v/>
      </c>
      <c r="L446" s="292" t="str">
        <f t="array" ref="L446">IFERROR(J446*INDEX('PORTIFÓLIO'!$S$4:$S$433,MATCH($C446,'PORTIFÓLIO'!$C$4:$C$433,0)),"")</f>
        <v/>
      </c>
      <c r="U446" s="79"/>
    </row>
    <row r="447" ht="15.75" customHeight="1" outlineLevel="1">
      <c r="A447" s="211"/>
      <c r="B447" s="227"/>
      <c r="C447" s="211"/>
      <c r="D447" s="214" t="str">
        <f>IFERROR(VLOOKUP($C447,'PORTIFÓLIO'!C:V,2,0),"")</f>
        <v/>
      </c>
      <c r="E447" s="211" t="str">
        <f>IFERROR(VLOOKUP($C447,'PORTIFÓLIO'!C:V,3,0),"")</f>
        <v/>
      </c>
      <c r="F447" s="211" t="str">
        <f>IFERROR(VLOOKUP($C447,'PORTIFÓLIO'!C:V,4,0),"")</f>
        <v/>
      </c>
      <c r="G447" s="215" t="str">
        <f>IFERROR(VLOOKUP($C447,'PORTIFÓLIO'!C:V,5,0),"")</f>
        <v/>
      </c>
      <c r="H447" s="254" t="str">
        <f t="array" ref="H447">IFERROR(INDEX('PORTIFÓLIO'!$H$4:$H$433,MATCH($C447,'PORTIFÓLIO'!$C$4:$C$433,0)),"")</f>
        <v/>
      </c>
      <c r="I447" s="256"/>
      <c r="J447" s="218">
        <f t="shared" si="49"/>
        <v>0</v>
      </c>
      <c r="K447" s="292" t="str">
        <f t="array" ref="K447">IFERROR(I447*INDEX('PORTIFÓLIO'!$S$4:$S$433,MATCH($C447,'PORTIFÓLIO'!$C$4:$C$433,0)),"")</f>
        <v/>
      </c>
      <c r="L447" s="292" t="str">
        <f t="array" ref="L447">IFERROR(J447*INDEX('PORTIFÓLIO'!$S$4:$S$433,MATCH($C447,'PORTIFÓLIO'!$C$4:$C$433,0)),"")</f>
        <v/>
      </c>
      <c r="U447" s="79"/>
    </row>
    <row r="448" ht="15.75" customHeight="1" outlineLevel="1">
      <c r="A448" s="211"/>
      <c r="B448" s="227"/>
      <c r="C448" s="211"/>
      <c r="D448" s="214" t="str">
        <f>IFERROR(VLOOKUP($C448,'PORTIFÓLIO'!C:V,2,0),"")</f>
        <v/>
      </c>
      <c r="E448" s="211" t="str">
        <f>IFERROR(VLOOKUP($C448,'PORTIFÓLIO'!C:V,3,0),"")</f>
        <v/>
      </c>
      <c r="F448" s="211" t="str">
        <f>IFERROR(VLOOKUP($C448,'PORTIFÓLIO'!C:V,4,0),"")</f>
        <v/>
      </c>
      <c r="G448" s="215" t="str">
        <f>IFERROR(VLOOKUP($C448,'PORTIFÓLIO'!C:V,5,0),"")</f>
        <v/>
      </c>
      <c r="H448" s="254" t="str">
        <f t="array" ref="H448">IFERROR(INDEX('PORTIFÓLIO'!$H$4:$H$433,MATCH($C448,'PORTIFÓLIO'!$C$4:$C$433,0)),"")</f>
        <v/>
      </c>
      <c r="I448" s="256"/>
      <c r="J448" s="218">
        <f t="shared" si="49"/>
        <v>0</v>
      </c>
      <c r="K448" s="292" t="str">
        <f t="array" ref="K448">IFERROR(I448*INDEX('PORTIFÓLIO'!$S$4:$S$433,MATCH($C448,'PORTIFÓLIO'!$C$4:$C$433,0)),"")</f>
        <v/>
      </c>
      <c r="L448" s="292" t="str">
        <f t="array" ref="L448">IFERROR(J448*INDEX('PORTIFÓLIO'!$S$4:$S$433,MATCH($C448,'PORTIFÓLIO'!$C$4:$C$433,0)),"")</f>
        <v/>
      </c>
      <c r="U448" s="79"/>
    </row>
    <row r="449" ht="15.75" customHeight="1" outlineLevel="1">
      <c r="A449" s="211"/>
      <c r="B449" s="227"/>
      <c r="C449" s="211"/>
      <c r="D449" s="214" t="str">
        <f>IFERROR(VLOOKUP($C449,'PORTIFÓLIO'!C:V,2,0),"")</f>
        <v/>
      </c>
      <c r="E449" s="211" t="str">
        <f>IFERROR(VLOOKUP($C449,'PORTIFÓLIO'!C:V,3,0),"")</f>
        <v/>
      </c>
      <c r="F449" s="211" t="str">
        <f>IFERROR(VLOOKUP($C449,'PORTIFÓLIO'!C:V,4,0),"")</f>
        <v/>
      </c>
      <c r="G449" s="215" t="str">
        <f>IFERROR(VLOOKUP($C449,'PORTIFÓLIO'!C:V,5,0),"")</f>
        <v/>
      </c>
      <c r="H449" s="254" t="str">
        <f t="array" ref="H449">IFERROR(INDEX('PORTIFÓLIO'!$H$4:$H$433,MATCH($C449,'PORTIFÓLIO'!$C$4:$C$433,0)),"")</f>
        <v/>
      </c>
      <c r="I449" s="256"/>
      <c r="J449" s="218">
        <f t="shared" si="49"/>
        <v>0</v>
      </c>
      <c r="K449" s="292" t="str">
        <f t="array" ref="K449">IFERROR(I449*INDEX('PORTIFÓLIO'!$S$4:$S$433,MATCH($C449,'PORTIFÓLIO'!$C$4:$C$433,0)),"")</f>
        <v/>
      </c>
      <c r="L449" s="292" t="str">
        <f t="array" ref="L449">IFERROR(J449*INDEX('PORTIFÓLIO'!$S$4:$S$433,MATCH($C449,'PORTIFÓLIO'!$C$4:$C$433,0)),"")</f>
        <v/>
      </c>
      <c r="U449" s="79"/>
    </row>
    <row r="450" ht="15.75" customHeight="1" outlineLevel="1">
      <c r="A450" s="211"/>
      <c r="B450" s="227"/>
      <c r="C450" s="211"/>
      <c r="D450" s="214" t="str">
        <f>IFERROR(VLOOKUP($C450,'PORTIFÓLIO'!C:V,2,0),"")</f>
        <v/>
      </c>
      <c r="E450" s="211" t="str">
        <f>IFERROR(VLOOKUP($C450,'PORTIFÓLIO'!C:V,3,0),"")</f>
        <v/>
      </c>
      <c r="F450" s="211" t="str">
        <f>IFERROR(VLOOKUP($C450,'PORTIFÓLIO'!C:V,4,0),"")</f>
        <v/>
      </c>
      <c r="G450" s="215" t="str">
        <f>IFERROR(VLOOKUP($C450,'PORTIFÓLIO'!C:V,5,0),"")</f>
        <v/>
      </c>
      <c r="H450" s="254" t="str">
        <f t="array" ref="H450">IFERROR(INDEX('PORTIFÓLIO'!$H$4:$H$433,MATCH($C450,'PORTIFÓLIO'!$C$4:$C$433,0)),"")</f>
        <v/>
      </c>
      <c r="I450" s="256"/>
      <c r="J450" s="218">
        <f t="shared" si="49"/>
        <v>0</v>
      </c>
      <c r="K450" s="292" t="str">
        <f t="array" ref="K450">IFERROR(I450*INDEX('PORTIFÓLIO'!$S$4:$S$433,MATCH($C450,'PORTIFÓLIO'!$C$4:$C$433,0)),"")</f>
        <v/>
      </c>
      <c r="L450" s="292" t="str">
        <f t="array" ref="L450">IFERROR(J450*INDEX('PORTIFÓLIO'!$S$4:$S$433,MATCH($C450,'PORTIFÓLIO'!$C$4:$C$433,0)),"")</f>
        <v/>
      </c>
      <c r="U450" s="79"/>
    </row>
    <row r="451" ht="15.75" customHeight="1" outlineLevel="1">
      <c r="A451" s="211"/>
      <c r="B451" s="227"/>
      <c r="C451" s="211"/>
      <c r="D451" s="214" t="str">
        <f>IFERROR(VLOOKUP($C451,'PORTIFÓLIO'!C:V,2,0),"")</f>
        <v/>
      </c>
      <c r="E451" s="211" t="str">
        <f>IFERROR(VLOOKUP($C451,'PORTIFÓLIO'!C:V,3,0),"")</f>
        <v/>
      </c>
      <c r="F451" s="211" t="str">
        <f>IFERROR(VLOOKUP($C451,'PORTIFÓLIO'!C:V,4,0),"")</f>
        <v/>
      </c>
      <c r="G451" s="215" t="str">
        <f>IFERROR(VLOOKUP($C451,'PORTIFÓLIO'!C:V,5,0),"")</f>
        <v/>
      </c>
      <c r="H451" s="254" t="str">
        <f t="array" ref="H451">IFERROR(INDEX('PORTIFÓLIO'!$H$4:$H$433,MATCH($C451,'PORTIFÓLIO'!$C$4:$C$433,0)),"")</f>
        <v/>
      </c>
      <c r="I451" s="256"/>
      <c r="J451" s="218">
        <f t="shared" si="49"/>
        <v>0</v>
      </c>
      <c r="K451" s="292" t="str">
        <f t="array" ref="K451">IFERROR(I451*INDEX('PORTIFÓLIO'!$S$4:$S$433,MATCH($C451,'PORTIFÓLIO'!$C$4:$C$433,0)),"")</f>
        <v/>
      </c>
      <c r="L451" s="292" t="str">
        <f t="array" ref="L451">IFERROR(J451*INDEX('PORTIFÓLIO'!$S$4:$S$433,MATCH($C451,'PORTIFÓLIO'!$C$4:$C$433,0)),"")</f>
        <v/>
      </c>
      <c r="U451" s="79"/>
    </row>
    <row r="452" ht="15.75" customHeight="1">
      <c r="A452" s="227"/>
      <c r="B452" s="227"/>
      <c r="C452" s="227"/>
      <c r="D452" s="227"/>
      <c r="E452" s="227"/>
      <c r="F452" s="227"/>
      <c r="G452" s="215"/>
      <c r="H452" s="227"/>
      <c r="I452" s="227"/>
      <c r="J452" s="227"/>
      <c r="K452" s="293">
        <f t="shared" ref="K452:L452" si="50">SUBTOTAL(9,K237:K427)</f>
        <v>0</v>
      </c>
      <c r="L452" s="293">
        <f t="shared" si="50"/>
        <v>0</v>
      </c>
      <c r="U452" s="79"/>
    </row>
    <row r="453" ht="15.75" customHeight="1">
      <c r="U453" s="79"/>
    </row>
    <row r="454" ht="15.75" customHeight="1">
      <c r="U454" s="79"/>
    </row>
    <row r="455" ht="15.75" customHeight="1">
      <c r="U455" s="79"/>
    </row>
    <row r="456" ht="15.75" customHeight="1">
      <c r="U456" s="79"/>
    </row>
    <row r="457" ht="15.75" customHeight="1">
      <c r="U457" s="79"/>
    </row>
    <row r="458" ht="15.75" customHeight="1">
      <c r="U458" s="79"/>
    </row>
    <row r="459" ht="15.75" customHeight="1">
      <c r="U459" s="79"/>
    </row>
    <row r="460" ht="15.75" customHeight="1">
      <c r="U460" s="79"/>
    </row>
    <row r="461" ht="15.75" customHeight="1">
      <c r="U461" s="79"/>
    </row>
    <row r="462" ht="15.75" customHeight="1">
      <c r="U462" s="79"/>
    </row>
    <row r="463" ht="15.75" customHeight="1">
      <c r="U463" s="79"/>
    </row>
    <row r="464" ht="15.75" customHeight="1">
      <c r="U464" s="79"/>
    </row>
    <row r="465" ht="15.75" customHeight="1">
      <c r="U465" s="79"/>
    </row>
    <row r="466" ht="15.75" customHeight="1">
      <c r="U466" s="79"/>
    </row>
    <row r="467" ht="15.75" customHeight="1">
      <c r="U467" s="79"/>
    </row>
    <row r="468" ht="15.75" customHeight="1">
      <c r="U468" s="79"/>
    </row>
    <row r="469" ht="15.75" customHeight="1">
      <c r="U469" s="79"/>
    </row>
    <row r="470" ht="15.75" customHeight="1">
      <c r="U470" s="79"/>
    </row>
    <row r="471" ht="15.75" customHeight="1">
      <c r="U471" s="79"/>
    </row>
    <row r="472" ht="15.75" customHeight="1">
      <c r="U472" s="79"/>
    </row>
    <row r="473" ht="15.75" customHeight="1">
      <c r="U473" s="79"/>
    </row>
    <row r="474" ht="15.75" customHeight="1">
      <c r="U474" s="79"/>
    </row>
    <row r="475" ht="15.75" customHeight="1">
      <c r="U475" s="79"/>
    </row>
    <row r="476" ht="15.75" customHeight="1">
      <c r="U476" s="79"/>
    </row>
    <row r="477" ht="15.75" customHeight="1">
      <c r="U477" s="79"/>
    </row>
    <row r="478" ht="15.75" customHeight="1">
      <c r="U478" s="79"/>
    </row>
    <row r="479" ht="15.75" customHeight="1">
      <c r="U479" s="79"/>
    </row>
    <row r="480" ht="15.75" customHeight="1">
      <c r="U480" s="79"/>
    </row>
    <row r="481" ht="15.75" customHeight="1">
      <c r="U481" s="79"/>
    </row>
    <row r="482" ht="15.75" customHeight="1">
      <c r="U482" s="79"/>
    </row>
    <row r="483" ht="15.75" customHeight="1">
      <c r="U483" s="79"/>
    </row>
    <row r="484" ht="15.75" customHeight="1">
      <c r="U484" s="79"/>
    </row>
    <row r="485" ht="15.75" customHeight="1">
      <c r="U485" s="79"/>
    </row>
    <row r="486" ht="15.75" customHeight="1">
      <c r="U486" s="79"/>
    </row>
    <row r="487" ht="15.75" customHeight="1">
      <c r="U487" s="79"/>
    </row>
    <row r="488" ht="15.75" customHeight="1">
      <c r="U488" s="79"/>
    </row>
    <row r="489" ht="15.75" customHeight="1">
      <c r="U489" s="79"/>
    </row>
    <row r="490" ht="15.75" customHeight="1">
      <c r="U490" s="79"/>
    </row>
    <row r="491" ht="15.75" customHeight="1">
      <c r="U491" s="79"/>
    </row>
    <row r="492" ht="15.75" customHeight="1">
      <c r="U492" s="79"/>
    </row>
    <row r="493" ht="15.75" customHeight="1">
      <c r="U493" s="79"/>
    </row>
    <row r="494" ht="15.75" customHeight="1">
      <c r="U494" s="79"/>
    </row>
    <row r="495" ht="15.75" customHeight="1">
      <c r="U495" s="79"/>
    </row>
    <row r="496" ht="15.75" customHeight="1">
      <c r="U496" s="79"/>
    </row>
    <row r="497" ht="15.75" customHeight="1">
      <c r="U497" s="79"/>
    </row>
    <row r="498" ht="15.75" customHeight="1">
      <c r="U498" s="79"/>
    </row>
    <row r="499" ht="15.75" customHeight="1">
      <c r="U499" s="79"/>
    </row>
    <row r="500" ht="15.75" customHeight="1">
      <c r="U500" s="79"/>
    </row>
    <row r="501" ht="15.75" customHeight="1">
      <c r="U501" s="79"/>
    </row>
    <row r="502" ht="15.75" customHeight="1">
      <c r="U502" s="79"/>
    </row>
    <row r="503" ht="15.75" customHeight="1">
      <c r="U503" s="79"/>
    </row>
    <row r="504" ht="15.75" customHeight="1">
      <c r="U504" s="79"/>
    </row>
    <row r="505" ht="15.75" customHeight="1">
      <c r="U505" s="79"/>
    </row>
    <row r="506" ht="15.75" customHeight="1">
      <c r="U506" s="79"/>
    </row>
    <row r="507" ht="15.75" customHeight="1">
      <c r="U507" s="79"/>
    </row>
    <row r="508" ht="15.75" customHeight="1">
      <c r="U508" s="79"/>
    </row>
    <row r="509" ht="15.75" customHeight="1">
      <c r="U509" s="79"/>
    </row>
    <row r="510" ht="15.75" customHeight="1">
      <c r="U510" s="79"/>
    </row>
    <row r="511" ht="15.75" customHeight="1">
      <c r="U511" s="79"/>
    </row>
    <row r="512" ht="15.75" customHeight="1">
      <c r="U512" s="79"/>
    </row>
    <row r="513" ht="15.75" customHeight="1">
      <c r="U513" s="79"/>
    </row>
    <row r="514" ht="15.75" customHeight="1">
      <c r="U514" s="79"/>
    </row>
    <row r="515" ht="15.75" customHeight="1">
      <c r="U515" s="79"/>
    </row>
    <row r="516" ht="15.75" customHeight="1">
      <c r="U516" s="79"/>
    </row>
    <row r="517" ht="15.75" customHeight="1">
      <c r="U517" s="79"/>
    </row>
    <row r="518" ht="15.75" customHeight="1">
      <c r="U518" s="79"/>
    </row>
    <row r="519" ht="15.75" customHeight="1">
      <c r="U519" s="79"/>
    </row>
    <row r="520" ht="15.75" customHeight="1">
      <c r="U520" s="79"/>
    </row>
    <row r="521" ht="15.75" customHeight="1">
      <c r="U521" s="79"/>
    </row>
    <row r="522" ht="15.75" customHeight="1">
      <c r="U522" s="79"/>
    </row>
    <row r="523" ht="15.75" customHeight="1">
      <c r="U523" s="79"/>
    </row>
    <row r="524" ht="15.75" customHeight="1">
      <c r="U524" s="79"/>
    </row>
    <row r="525" ht="15.75" customHeight="1">
      <c r="U525" s="79"/>
    </row>
    <row r="526" ht="15.75" customHeight="1">
      <c r="U526" s="79"/>
    </row>
    <row r="527" ht="15.75" customHeight="1">
      <c r="U527" s="79"/>
    </row>
    <row r="528" ht="15.75" customHeight="1">
      <c r="U528" s="79"/>
    </row>
    <row r="529" ht="15.75" customHeight="1">
      <c r="U529" s="79"/>
    </row>
    <row r="530" ht="15.75" customHeight="1">
      <c r="U530" s="79"/>
    </row>
    <row r="531" ht="15.75" customHeight="1">
      <c r="U531" s="79"/>
    </row>
    <row r="532" ht="15.75" customHeight="1">
      <c r="U532" s="79"/>
    </row>
    <row r="533" ht="15.75" customHeight="1">
      <c r="U533" s="79"/>
    </row>
    <row r="534" ht="15.75" customHeight="1">
      <c r="U534" s="79"/>
    </row>
    <row r="535" ht="15.75" customHeight="1">
      <c r="U535" s="79"/>
    </row>
    <row r="536" ht="15.75" customHeight="1">
      <c r="U536" s="79"/>
    </row>
    <row r="537" ht="15.75" customHeight="1">
      <c r="U537" s="79"/>
    </row>
    <row r="538" ht="15.75" customHeight="1">
      <c r="U538" s="79"/>
    </row>
    <row r="539" ht="15.75" customHeight="1">
      <c r="U539" s="79"/>
    </row>
    <row r="540" ht="15.75" customHeight="1">
      <c r="U540" s="79"/>
    </row>
    <row r="541" ht="15.75" customHeight="1">
      <c r="U541" s="79"/>
    </row>
    <row r="542" ht="15.75" customHeight="1">
      <c r="U542" s="79"/>
    </row>
    <row r="543" ht="15.75" customHeight="1">
      <c r="U543" s="79"/>
    </row>
    <row r="544" ht="15.75" customHeight="1">
      <c r="U544" s="79"/>
    </row>
    <row r="545" ht="15.75" customHeight="1">
      <c r="U545" s="79"/>
    </row>
    <row r="546" ht="15.75" customHeight="1">
      <c r="U546" s="79"/>
    </row>
    <row r="547" ht="15.75" customHeight="1">
      <c r="U547" s="79"/>
    </row>
    <row r="548" ht="15.75" customHeight="1">
      <c r="U548" s="79"/>
    </row>
    <row r="549" ht="15.75" customHeight="1">
      <c r="U549" s="79"/>
    </row>
    <row r="550" ht="15.75" customHeight="1">
      <c r="U550" s="79"/>
    </row>
    <row r="551" ht="15.75" customHeight="1">
      <c r="U551" s="79"/>
    </row>
    <row r="552" ht="15.75" customHeight="1">
      <c r="U552" s="79"/>
    </row>
    <row r="553" ht="15.75" customHeight="1">
      <c r="U553" s="79"/>
    </row>
    <row r="554" ht="15.75" customHeight="1">
      <c r="U554" s="79"/>
    </row>
    <row r="555" ht="15.75" customHeight="1">
      <c r="U555" s="79"/>
    </row>
    <row r="556" ht="15.75" customHeight="1">
      <c r="U556" s="79"/>
    </row>
    <row r="557" ht="15.75" customHeight="1">
      <c r="U557" s="79"/>
    </row>
    <row r="558" ht="15.75" customHeight="1">
      <c r="U558" s="79"/>
    </row>
    <row r="559" ht="15.75" customHeight="1">
      <c r="U559" s="79"/>
    </row>
    <row r="560" ht="15.75" customHeight="1">
      <c r="U560" s="79"/>
    </row>
    <row r="561" ht="15.75" customHeight="1">
      <c r="U561" s="79"/>
    </row>
    <row r="562" ht="15.75" customHeight="1">
      <c r="U562" s="79"/>
    </row>
    <row r="563" ht="15.75" customHeight="1">
      <c r="U563" s="79"/>
    </row>
    <row r="564" ht="15.75" customHeight="1">
      <c r="U564" s="79"/>
    </row>
    <row r="565" ht="15.75" customHeight="1">
      <c r="U565" s="79"/>
    </row>
    <row r="566" ht="15.75" customHeight="1">
      <c r="U566" s="79"/>
    </row>
    <row r="567" ht="15.75" customHeight="1">
      <c r="U567" s="79"/>
    </row>
    <row r="568" ht="15.75" customHeight="1">
      <c r="U568" s="79"/>
    </row>
    <row r="569" ht="15.75" customHeight="1">
      <c r="U569" s="79"/>
    </row>
    <row r="570" ht="15.75" customHeight="1">
      <c r="U570" s="79"/>
    </row>
    <row r="571" ht="15.75" customHeight="1">
      <c r="U571" s="79"/>
    </row>
    <row r="572" ht="15.75" customHeight="1">
      <c r="U572" s="79"/>
    </row>
    <row r="573" ht="15.75" customHeight="1">
      <c r="U573" s="79"/>
    </row>
    <row r="574" ht="15.75" customHeight="1">
      <c r="U574" s="79"/>
    </row>
    <row r="575" ht="15.75" customHeight="1">
      <c r="U575" s="79"/>
    </row>
    <row r="576" ht="15.75" customHeight="1">
      <c r="U576" s="79"/>
    </row>
    <row r="577" ht="15.75" customHeight="1">
      <c r="U577" s="79"/>
    </row>
    <row r="578" ht="15.75" customHeight="1">
      <c r="U578" s="79"/>
    </row>
    <row r="579" ht="15.75" customHeight="1">
      <c r="U579" s="79"/>
    </row>
    <row r="580" ht="15.75" customHeight="1">
      <c r="U580" s="79"/>
    </row>
    <row r="581" ht="15.75" customHeight="1">
      <c r="U581" s="79"/>
    </row>
    <row r="582" ht="15.75" customHeight="1">
      <c r="U582" s="79"/>
    </row>
    <row r="583" ht="15.75" customHeight="1">
      <c r="U583" s="79"/>
    </row>
    <row r="584" ht="15.75" customHeight="1">
      <c r="U584" s="79"/>
    </row>
    <row r="585" ht="15.75" customHeight="1">
      <c r="U585" s="79"/>
    </row>
    <row r="586" ht="15.75" customHeight="1">
      <c r="U586" s="79"/>
    </row>
    <row r="587" ht="15.75" customHeight="1">
      <c r="U587" s="79"/>
    </row>
    <row r="588" ht="15.75" customHeight="1">
      <c r="U588" s="79"/>
    </row>
    <row r="589" ht="15.75" customHeight="1">
      <c r="U589" s="79"/>
    </row>
    <row r="590" ht="15.75" customHeight="1">
      <c r="U590" s="79"/>
    </row>
    <row r="591" ht="15.75" customHeight="1">
      <c r="U591" s="79"/>
    </row>
    <row r="592" ht="15.75" customHeight="1">
      <c r="U592" s="79"/>
    </row>
    <row r="593" ht="15.75" customHeight="1">
      <c r="U593" s="79"/>
    </row>
    <row r="594" ht="15.75" customHeight="1">
      <c r="U594" s="79"/>
    </row>
    <row r="595" ht="15.75" customHeight="1">
      <c r="U595" s="79"/>
    </row>
    <row r="596" ht="15.75" customHeight="1">
      <c r="U596" s="79"/>
    </row>
    <row r="597" ht="15.75" customHeight="1">
      <c r="U597" s="79"/>
    </row>
    <row r="598" ht="15.75" customHeight="1">
      <c r="U598" s="79"/>
    </row>
    <row r="599" ht="15.75" customHeight="1">
      <c r="U599" s="79"/>
    </row>
    <row r="600" ht="15.75" customHeight="1">
      <c r="U600" s="79"/>
    </row>
    <row r="601" ht="15.75" customHeight="1">
      <c r="U601" s="79"/>
    </row>
    <row r="602" ht="15.75" customHeight="1">
      <c r="U602" s="79"/>
    </row>
    <row r="603" ht="15.75" customHeight="1">
      <c r="U603" s="79"/>
    </row>
    <row r="604" ht="15.75" customHeight="1">
      <c r="U604" s="79"/>
    </row>
    <row r="605" ht="15.75" customHeight="1">
      <c r="U605" s="79"/>
    </row>
    <row r="606" ht="15.75" customHeight="1">
      <c r="U606" s="79"/>
    </row>
    <row r="607" ht="15.75" customHeight="1">
      <c r="U607" s="79"/>
    </row>
    <row r="608" ht="15.75" customHeight="1">
      <c r="U608" s="79"/>
    </row>
    <row r="609" ht="15.75" customHeight="1">
      <c r="U609" s="79"/>
    </row>
    <row r="610" ht="15.75" customHeight="1">
      <c r="U610" s="79"/>
    </row>
    <row r="611" ht="15.75" customHeight="1">
      <c r="U611" s="79"/>
    </row>
    <row r="612" ht="15.75" customHeight="1">
      <c r="U612" s="79"/>
    </row>
    <row r="613" ht="15.75" customHeight="1">
      <c r="U613" s="79"/>
    </row>
    <row r="614" ht="15.75" customHeight="1">
      <c r="U614" s="79"/>
    </row>
    <row r="615" ht="15.75" customHeight="1">
      <c r="U615" s="79"/>
    </row>
    <row r="616" ht="15.75" customHeight="1">
      <c r="U616" s="79"/>
    </row>
    <row r="617" ht="15.75" customHeight="1">
      <c r="U617" s="79"/>
    </row>
    <row r="618" ht="15.75" customHeight="1">
      <c r="U618" s="79"/>
    </row>
    <row r="619" ht="15.75" customHeight="1">
      <c r="U619" s="79"/>
    </row>
    <row r="620" ht="15.75" customHeight="1">
      <c r="U620" s="79"/>
    </row>
    <row r="621" ht="15.75" customHeight="1">
      <c r="U621" s="79"/>
    </row>
    <row r="622" ht="15.75" customHeight="1">
      <c r="U622" s="79"/>
    </row>
    <row r="623" ht="15.75" customHeight="1">
      <c r="U623" s="79"/>
    </row>
    <row r="624" ht="15.75" customHeight="1">
      <c r="U624" s="79"/>
    </row>
    <row r="625" ht="15.75" customHeight="1">
      <c r="U625" s="79"/>
    </row>
    <row r="626" ht="15.75" customHeight="1">
      <c r="U626" s="79"/>
    </row>
    <row r="627" ht="15.75" customHeight="1">
      <c r="U627" s="79"/>
    </row>
    <row r="628" ht="15.75" customHeight="1">
      <c r="U628" s="79"/>
    </row>
    <row r="629" ht="15.75" customHeight="1">
      <c r="U629" s="79"/>
    </row>
    <row r="630" ht="15.75" customHeight="1">
      <c r="U630" s="79"/>
    </row>
    <row r="631" ht="15.75" customHeight="1">
      <c r="U631" s="79"/>
    </row>
    <row r="632" ht="15.75" customHeight="1">
      <c r="U632" s="79"/>
    </row>
    <row r="633" ht="15.75" customHeight="1">
      <c r="U633" s="79"/>
    </row>
    <row r="634" ht="15.75" customHeight="1">
      <c r="U634" s="79"/>
    </row>
    <row r="635" ht="15.75" customHeight="1">
      <c r="U635" s="79"/>
    </row>
    <row r="636" ht="15.75" customHeight="1">
      <c r="U636" s="79"/>
    </row>
    <row r="637" ht="15.75" customHeight="1">
      <c r="U637" s="79"/>
    </row>
    <row r="638" ht="15.75" customHeight="1">
      <c r="U638" s="79"/>
    </row>
    <row r="639" ht="15.75" customHeight="1">
      <c r="U639" s="79"/>
    </row>
    <row r="640" ht="15.75" customHeight="1">
      <c r="U640" s="79"/>
    </row>
    <row r="641" ht="15.75" customHeight="1">
      <c r="U641" s="79"/>
    </row>
    <row r="642" ht="15.75" customHeight="1">
      <c r="U642" s="79"/>
    </row>
    <row r="643" ht="15.75" customHeight="1">
      <c r="U643" s="79"/>
    </row>
    <row r="644" ht="15.75" customHeight="1">
      <c r="U644" s="79"/>
    </row>
    <row r="645" ht="15.75" customHeight="1">
      <c r="U645" s="79"/>
    </row>
    <row r="646" ht="15.75" customHeight="1">
      <c r="U646" s="79"/>
    </row>
    <row r="647" ht="15.75" customHeight="1">
      <c r="U647" s="79"/>
    </row>
    <row r="648" ht="15.75" customHeight="1">
      <c r="U648" s="79"/>
    </row>
    <row r="649" ht="15.75" customHeight="1">
      <c r="U649" s="79"/>
    </row>
    <row r="650" ht="15.75" customHeight="1">
      <c r="U650" s="79"/>
    </row>
    <row r="651" ht="15.75" customHeight="1">
      <c r="U651" s="79"/>
    </row>
    <row r="652" ht="15.75" customHeight="1">
      <c r="U652" s="79"/>
    </row>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K10:L224 K237:L451">
    <cfRule type="cellIs" dxfId="9" priority="1" operator="equal">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2">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3">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4">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5">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6">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7">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8">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9">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0">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1">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2">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3">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4">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5">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6">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7">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8">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9">
      <colorScale>
        <cfvo type="min"/>
        <cfvo type="percentile" val="50"/>
        <cfvo type="max"/>
        <color rgb="FF63BE7B"/>
        <color rgb="FFFCFCFF"/>
        <color rgb="FFF8696B"/>
      </colorScale>
    </cfRule>
  </conditionalFormatting>
  <conditionalFormatting sqref="A64:A67 A82:A85 A98:A101 A115:A118 A132:A135 A149:A152 A166:A169 A183:A186 A201:A204 A290:A294 A309:A312 A325:A328 A342:A345 A359:A362 A376:A379 A393:A396 A410:A413 A428:A431">
    <cfRule type="colorScale" priority="20">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1">
      <colorScale>
        <cfvo type="min"/>
        <cfvo type="percentile" val="50"/>
        <cfvo type="max"/>
        <color rgb="FF63BE7B"/>
        <color rgb="FFFCFCFF"/>
        <color rgb="FFF8696B"/>
      </colorScale>
    </cfRule>
  </conditionalFormatting>
  <conditionalFormatting sqref="A67:A68 A86 A102 A119 A136 A153 A170 A187 A205 A294:A295 A313 A329 A346 A363 A380 A397 A414 A432">
    <cfRule type="colorScale" priority="22">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3">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4">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5">
      <colorScale>
        <cfvo type="min"/>
        <cfvo type="percentile" val="50"/>
        <cfvo type="max"/>
        <color rgb="FF63BE7B"/>
        <color rgb="FFFCFCFF"/>
        <color rgb="FFF8696B"/>
      </colorScale>
    </cfRule>
  </conditionalFormatting>
  <conditionalFormatting sqref="A82:A86 A98:A102 A115:A119 A132:A136 A149:A153 A166:A170 A183:A187 A201:A205 A290 A309:A313 A325:A329 A342:A346 A359:A363 A376:A380 A393:A397 A410:A414 A428:A432">
    <cfRule type="colorScale" priority="26">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7">
      <colorScale>
        <cfvo type="min"/>
        <cfvo type="percentile" val="50"/>
        <cfvo type="max"/>
        <color rgb="FF63BE7B"/>
        <color rgb="FFFCFCFF"/>
        <color rgb="FFF8696B"/>
      </colorScale>
    </cfRule>
  </conditionalFormatting>
  <conditionalFormatting sqref="A87 A103 A120 A137 A154 A171 A188 A206 A314 A330 A347 A364 A381 A398 A415 A433">
    <cfRule type="colorScale" priority="28">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9">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0">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1">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2">
      <colorScale>
        <cfvo type="min"/>
        <cfvo type="percentile" val="50"/>
        <cfvo type="max"/>
        <color rgb="FF63BE7B"/>
        <color rgb="FFFCFCFF"/>
        <color rgb="FFF8696B"/>
      </colorScale>
    </cfRule>
  </conditionalFormatting>
  <conditionalFormatting sqref="A81:A84 A97:A100 A114:A117 A131:A134 A148:A151 A165:A168 A182:A185 A200:A203 A308:A311 A324:A327 A341:A344 A358:A361 A375:A378 A392:A395 A409:A412 A427:A430">
    <cfRule type="colorScale" priority="33">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4">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5">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6">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7">
      <colorScale>
        <cfvo type="min"/>
        <cfvo type="percentile" val="50"/>
        <cfvo type="max"/>
        <color rgb="FF63BE7B"/>
        <color rgb="FFFCFCFF"/>
        <color rgb="FFF8696B"/>
      </colorScale>
    </cfRule>
  </conditionalFormatting>
  <conditionalFormatting sqref="A82:A84 A98:A100 A115:A117 A132:A134 A149:A151 A166:A168 A183:A185 A201:A203 A309:A311 A325:A327 A342:A344 A359:A361 A376:A378 A393:A395 A410:A412 A428:A430">
    <cfRule type="colorScale" priority="38">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9">
      <colorScale>
        <cfvo type="min"/>
        <cfvo type="percentile" val="50"/>
        <cfvo type="max"/>
        <color rgb="FF63BE7B"/>
        <color rgb="FFFCFCFF"/>
        <color rgb="FFF8696B"/>
      </colorScale>
    </cfRule>
  </conditionalFormatting>
  <conditionalFormatting sqref="A85 A101 A118 A135 A152 A169 A186 A204 A312 A328 A345 A362 A379 A396 A413 A431">
    <cfRule type="colorScale" priority="40">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1">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42">
      <colorScale>
        <cfvo type="min"/>
        <cfvo type="percentile" val="50"/>
        <cfvo type="max"/>
        <color rgb="FF63BE7B"/>
        <color rgb="FFFFEB84"/>
        <color rgb="FFF8696B"/>
      </colorScale>
    </cfRule>
  </conditionalFormatting>
  <conditionalFormatting sqref="A98 A325">
    <cfRule type="colorScale" priority="43">
      <colorScale>
        <cfvo type="min"/>
        <cfvo type="percentile" val="50"/>
        <cfvo type="max"/>
        <color rgb="FF63BE7B"/>
        <color rgb="FFFCFCFF"/>
        <color rgb="FFF8696B"/>
      </colorScale>
    </cfRule>
  </conditionalFormatting>
  <conditionalFormatting sqref="A98 A325">
    <cfRule type="colorScale" priority="44">
      <colorScale>
        <cfvo type="min"/>
        <cfvo type="percentile" val="50"/>
        <cfvo type="max"/>
        <color rgb="FF63BE7B"/>
        <color rgb="FFFFEB84"/>
        <color rgb="FFF8696B"/>
      </colorScale>
    </cfRule>
  </conditionalFormatting>
  <conditionalFormatting sqref="A99 A326">
    <cfRule type="colorScale" priority="45">
      <colorScale>
        <cfvo type="min"/>
        <cfvo type="percentile" val="50"/>
        <cfvo type="max"/>
        <color rgb="FF63BE7B"/>
        <color rgb="FFFFEB84"/>
        <color rgb="FFF8696B"/>
      </colorScale>
    </cfRule>
  </conditionalFormatting>
  <conditionalFormatting sqref="A100:A104 A327:A331">
    <cfRule type="colorScale" priority="46">
      <colorScale>
        <cfvo type="min"/>
        <cfvo type="percentile" val="50"/>
        <cfvo type="max"/>
        <color rgb="FF63BE7B"/>
        <color rgb="FFFFEB84"/>
        <color rgb="FFF8696B"/>
      </colorScale>
    </cfRule>
  </conditionalFormatting>
  <conditionalFormatting sqref="A115 A342">
    <cfRule type="colorScale" priority="47">
      <colorScale>
        <cfvo type="min"/>
        <cfvo type="percentile" val="50"/>
        <cfvo type="max"/>
        <color rgb="FF63BE7B"/>
        <color rgb="FFFCFCFF"/>
        <color rgb="FFF8696B"/>
      </colorScale>
    </cfRule>
  </conditionalFormatting>
  <conditionalFormatting sqref="A115 A342">
    <cfRule type="colorScale" priority="48">
      <colorScale>
        <cfvo type="min"/>
        <cfvo type="percentile" val="50"/>
        <cfvo type="max"/>
        <color rgb="FF63BE7B"/>
        <color rgb="FFFFEB84"/>
        <color rgb="FFF8696B"/>
      </colorScale>
    </cfRule>
  </conditionalFormatting>
  <conditionalFormatting sqref="A116:A129 A343:A356">
    <cfRule type="colorScale" priority="49">
      <colorScale>
        <cfvo type="min"/>
        <cfvo type="percentile" val="50"/>
        <cfvo type="max"/>
        <color rgb="FF63BE7B"/>
        <color rgb="FFFFEB84"/>
        <color rgb="FFF8696B"/>
      </colorScale>
    </cfRule>
  </conditionalFormatting>
  <conditionalFormatting sqref="A132:A133 A359:A360">
    <cfRule type="colorScale" priority="50">
      <colorScale>
        <cfvo type="min"/>
        <cfvo type="percentile" val="50"/>
        <cfvo type="max"/>
        <color rgb="FF63BE7B"/>
        <color rgb="FFFFEB84"/>
        <color rgb="FFF8696B"/>
      </colorScale>
    </cfRule>
  </conditionalFormatting>
  <conditionalFormatting sqref="A149:A163 A376:A390">
    <cfRule type="colorScale" priority="51">
      <colorScale>
        <cfvo type="min"/>
        <cfvo type="percentile" val="50"/>
        <cfvo type="max"/>
        <color rgb="FF63BE7B"/>
        <color rgb="FFFFEB84"/>
        <color rgb="FFF8696B"/>
      </colorScale>
    </cfRule>
  </conditionalFormatting>
  <conditionalFormatting sqref="A166:A180 A393:A407">
    <cfRule type="colorScale" priority="52">
      <colorScale>
        <cfvo type="min"/>
        <cfvo type="percentile" val="50"/>
        <cfvo type="max"/>
        <color rgb="FF63BE7B"/>
        <color rgb="FFFFEB84"/>
        <color rgb="FFF8696B"/>
      </colorScale>
    </cfRule>
  </conditionalFormatting>
  <conditionalFormatting sqref="A183:A185 A410:A412">
    <cfRule type="colorScale" priority="53">
      <colorScale>
        <cfvo type="min"/>
        <cfvo type="percentile" val="50"/>
        <cfvo type="max"/>
        <color rgb="FF63BE7B"/>
        <color rgb="FFFFEB84"/>
        <color rgb="FFF8696B"/>
      </colorScale>
    </cfRule>
  </conditionalFormatting>
  <conditionalFormatting sqref="A201:A203 A428:A430">
    <cfRule type="colorScale" priority="54">
      <colorScale>
        <cfvo type="min"/>
        <cfvo type="percentile" val="50"/>
        <cfvo type="max"/>
        <color rgb="FF63BE7B"/>
        <color rgb="FFFFEB84"/>
        <color rgb="FFF8696B"/>
      </colorScale>
    </cfRule>
  </conditionalFormatting>
  <conditionalFormatting sqref="A208:A210 A435:A437">
    <cfRule type="colorScale" priority="55">
      <colorScale>
        <cfvo type="min"/>
        <cfvo type="percentile" val="50"/>
        <cfvo type="max"/>
        <color rgb="FF63BE7B"/>
        <color rgb="FFFFEB84"/>
        <color rgb="FFF8696B"/>
      </colorScale>
    </cfRule>
  </conditionalFormatting>
  <conditionalFormatting sqref="A211:A224 A438:A451">
    <cfRule type="colorScale" priority="56">
      <colorScale>
        <cfvo type="min"/>
        <cfvo type="percentile" val="50"/>
        <cfvo type="max"/>
        <color rgb="FF63BE7B"/>
        <color rgb="FFFFEB84"/>
        <color rgb="FFF8696B"/>
      </colorScale>
    </cfRule>
  </conditionalFormatting>
  <conditionalFormatting sqref="J10:L224 J237:L451">
    <cfRule type="cellIs" dxfId="8" priority="57" operator="equal">
      <formula>0</formula>
    </cfRule>
  </conditionalFormatting>
  <dataValidations>
    <dataValidation type="list" allowBlank="1" sqref="C12:C14 C87 C137 C152 C154 C169 C171 C204 C206 C241 C243 C256 C258 C275 C277 C294 C296 C312 C314 C328 C330 C345 C347 C362 C364 C379 C381 C396 C398 C413 C415 C431 C433">
      <formula1>"I-ACTIVE,MAP,KCL 60%,05-37-00,10-46-00 + S,08-42-00,SSP 21,03-15-07 +14%CO,URÉIA,SULFATO DE AMÔNIO,BOROGRAN,SUPER DUO,08-40-00 - 100M,AURUS 500,00-01-00+Cu2 Mn8 Zn7"</formula1>
    </dataValidation>
    <dataValidation type="list" allowBlank="1" sqref="C183">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formula1>
    </dataValidation>
    <dataValidation type="list" allowBlank="1" sqref="C67">
      <formula1>"UTRISHA N,PRESENCE FULL,Now Lock,Now Guard,Now Force,Now Raze,Now Bolt,Now Active,Now React,Now Cover,Now Pulse,Now Sprint,Bio Az,Bio ND,Tec Catp Pro,Bio Elipso,Tec Bug,Solu Shield,Solu Strong,Solu Leaf,Bio Hidric,Bio Bokashi,Bio Oil,Carbon Pro,Essencial "&amp;"Mg,Expelir,Primafert,Reserva,Tec Catp Pro Kit On-farm,Tec Bug Kit On-farm,Solu Shield Kit On-farm,Solu Strong Kit On-farm,Solu Leaf Kit On-farm,Bio Hidric Kit On-farm,Bio Bokashi Kit On-farm,Tec White Kit On-farm,Bio Solubilize Kit On-farm,Bio Release Kit"&amp;" On-farm,Bio Raiz Plus Kit On-farm,Bio Balance Kit On-farm,SoluBio Raiz Performance Kit On-farm,Tec Isaria Kit On-farm"</formula1>
    </dataValidation>
    <dataValidation type="list" allowBlank="1" sqref="C26:C27 C45:C47 C82:C83">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type="custom" allowBlank="1" showDropDown="1" sqref="G10:L224 G237:L451">
      <formula1>AND(ISNUMBER(G10),(NOT(OR(NOT(ISERROR(DATEVALUE(G10))), AND(ISNUMBER(G10), LEFT(CELL("format", G10))="D")))))</formula1>
    </dataValidation>
    <dataValidation type="list" allowBlank="1" sqref="C28 C48 C103 C120 C135 C151">
      <formula1>"RUMBA,ASSIST,MEES,AUREO,JOINT ULTRA,ADGREEN,ENERGIC,EXTRAVON,OCHIMA"</formula1>
    </dataValidation>
    <dataValidation type="list" allowBlank="1" sqref="C33 C52 C89 C105 C139 C156 C166 C173 C190 C202 C208 C245 C254 C260 C273 C279 C292 C298 C310 C316 C326 C332 C343 C349 C360 C366 C377 C383 C394 C400 C411 C417 C429 C435">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type="list" allowBlank="1" sqref="C17:C18">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formula1>
    </dataValidation>
    <dataValidation type="list" allowBlank="1" sqref="C29:C30 C49 C100:C102 C118:C119 C134">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type="list" allowBlank="1" sqref="C20:C24 C43 C62 C80 C247:C251 C270 C289 C307">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type="list" allowBlank="1" sqref="C11 C88 C138 C155 C172 C207 C244 C259 C278 C297 C315 C331 C348 C365 C382 C399 C416 C434">
      <formula1>"CALCÁRIO DOLOMITICO,GESSO AGRICOLA"</formula1>
    </dataValidation>
    <dataValidation type="list" allowBlank="1" sqref="C19">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formula1>
    </dataValidation>
    <dataValidation type="list" allowBlank="1" sqref="C86 C136 C153 C170 C205 C242 C257 C272 C276 C291 C295 C309 C313 C325 C329 C342 C346 C359 C363 C376 C380 C393 C397 C410 C414 C432">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type="list" allowBlank="1" sqref="C64">
      <formula1>"FEIJÃO,SEMENTE TRIGO,SEMENTE MILHO,MG540PWU,MG711PWU,MG616PWU,P3707PWU,P39209PWU,P40537PWU,FS650PWU,SEMENTE SOJA CV,OLIMPO,M8349,CORDIUS C2795 CE,HERA I2X,SPARTA 8.0,CORDIUS C2795 CE 7.9,IMPETO,NEO 790,APORÉ 7.3,GUAPÓ 7.7,MITICA 7.7,TMG MURICI I2X 7.6,DOM"&amp;"ÍNIO 8.4,LENDA,BRASMAX HERA,BRASMAX OLIMPO,S6525 I2X,TMG ITAÚBA I2X,SEMENTE SOJA RR,BRACHIARIA RUZIZIENCES,CAPIM MIAGE,TMG INGÁ I2X 6.9,TMG 2383 IPRO 8.3,BRACHIARIA BASICA,GH 2478 IPRO 8.1,HO COCARI I2X 8.2,SEMENTE DE SORGO"</formula1>
    </dataValidation>
    <dataValidation type="list" allowBlank="1" sqref="C31 C71">
      <formula1>"RADIFARM,MEGAFOL,OCTABORATO,BOP,METAL NUTRE,MONIC,AP MAGNÉSIO,GRANO KMG,AP MANGANÊS,AMINOS Mn,MICROBOX,ACRESECENT ALGA,RAIZ F,ACRESCENTE SOLUS F,SALUT,MATRIZ D,BRAVERO,Glyfort,Fergsum,Spander,Halattus,Sallvare Complex,Zinctaus Complex,Emezine Complex,Bora"&amp;"tus Complex,Magmill Complex,Brave K,Brave Max Up,MAX RAIZ,Polyamine,Sulfato de Magnésio,Map Purificado,MANGAN 10,NHT ZINCO,KELLUS CUPPER,MOLIBIDENIO 16,ZINCO 10,Potenza NiCoMo"</formula1>
    </dataValidation>
    <dataValidation type="list" allowBlank="1" sqref="C85 C167">
      <formula1>"RUMBA,ASSIST,MEES,AUREO EC,JOINT ULTRA,ENERGIC,EXTRAVON,OCHIMA,STRIDES"</formula1>
    </dataValidation>
    <dataValidation type="list" allowBlank="1" sqref="C84 C98:C99 C104 C115:C117 C132:C133 C149:C150">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type="list" allowBlank="1" sqref="C68:C70">
      <formula1>"UTRISHA N,PRESENCE FULL,Now Lock,Now Guard,Now Force,Now Raze,Now Bolt,Now Active,Now React,Now Cover,Now Pulse,Now Sprint,Bio Az,Bio ND,Tec Catp Pro,Bio Elipso,Tec Bug,Solu Shield,Solu Strong,Solu Leaf,Bio Hidric,Bio Bokashi,Bio Oil,Carbon Pro,Essencial "&amp;"Mg,Expelir,Potenza NiCoMo,Primafert,Reserva,Tec White,Bio Solubilize,Bio Release,Bio Raiz Plus,Bio Balance,SoluBio Raiz Performance,Tec Isaria"</formula1>
    </dataValidation>
    <dataValidation type="list" allowBlank="1" showErrorMessage="1" sqref="B10:B224 B237:B451">
      <formula1>#REF!</formula1>
    </dataValidation>
    <dataValidation type="list" allowBlank="1" sqref="C65:C66 C168 C203 C240 C255 C274 C293 C311 C327 C344 C361 C378 C395 C412 C430">
      <formula1>"SOMBRERO,STANDAK TOP,CROPSTAR,DERMACOR,PERMIT STAR,PRESENCE FULL,PLUST,CRUISER 350 FS,CRUISER ADVANCED,FORTENZA 600 FS,MAXIM ADVANCED,MAXIM XL,SPECTRO,BIOZYME,NIMAXXA,VITAVAX-THIRAM 200 SC"</formula1>
    </dataValidation>
    <dataValidation type="list" allowBlank="1" sqref="C184:C189">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formula1>
    </dataValidation>
    <dataValidation type="list" allowBlank="1" sqref="C34 C53:C54 C59 C72:C73 C90:C91 C96 C106:C107 C112 C123:C124 C129 C140:C141 C146 C157:C158 C163 C174:C175 C180 C191:C192 C197 C209:C210 C215 C246 C253 C261:C262 C267 C280:C281 C286 C299:C300 C317:C318 C323 C333:C334 C339 C350:C351 C356 C367:C368 C373 C384:C385 C390 C401:C402 C407 C418:C419 C424 C436:C437 C442">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display="ÁREA PLANTIO" location="'ÁREA PLANTIO'!A1" ref="F1"/>
    <hyperlink display="ÁREA PLANTIO" location="'ÁREA PLANTIO'!A1" ref="F227"/>
  </hyperlinks>
  <printOptions/>
  <pageMargins bottom="0.787401575" footer="0.0" header="0.0" left="0.511811024" right="0.511811024" top="0.787401575"/>
  <pageSetup orientation="landscape"/>
  <drawing r:id="rId1"/>
  <tableParts count="2">
    <tablePart r:id="rId4"/>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13.88"/>
    <col customWidth="1" min="2" max="2" width="22.75"/>
    <col customWidth="1" min="3" max="3" width="33.63"/>
    <col customWidth="1" min="4" max="4" width="40.25"/>
    <col customWidth="1" min="5" max="5" width="20.13"/>
    <col customWidth="1" min="6" max="6" width="13.13"/>
    <col customWidth="1" min="7" max="7" width="13.75"/>
    <col customWidth="1" min="8" max="9" width="10.38"/>
    <col customWidth="1" min="10" max="10" width="14.0"/>
    <col customWidth="1" min="11" max="23" width="14.38"/>
  </cols>
  <sheetData>
    <row r="1" ht="15.75" customHeight="1">
      <c r="A1" s="260" t="s">
        <v>1203</v>
      </c>
      <c r="B1" s="261" t="str">
        <f>'ÁREA PLANTIO'!B8</f>
        <v>RONCADOR</v>
      </c>
      <c r="C1" s="262" t="s">
        <v>1166</v>
      </c>
      <c r="D1" s="263">
        <f>$K$225</f>
        <v>1721.322087</v>
      </c>
      <c r="E1" s="264"/>
      <c r="F1" s="265" t="s">
        <v>1167</v>
      </c>
      <c r="G1" s="266"/>
      <c r="H1" s="267"/>
      <c r="I1" s="267"/>
      <c r="J1" s="267"/>
      <c r="K1" s="266"/>
      <c r="L1" s="220"/>
      <c r="M1" s="220"/>
      <c r="N1" s="220"/>
      <c r="O1" s="220"/>
      <c r="P1" s="220"/>
      <c r="Q1" s="220"/>
      <c r="R1" s="220"/>
      <c r="S1" s="220"/>
      <c r="T1" s="220"/>
      <c r="U1" s="220"/>
      <c r="V1" s="220"/>
      <c r="W1" s="220"/>
    </row>
    <row r="2" ht="15.75" customHeight="1">
      <c r="A2" s="260" t="s">
        <v>1168</v>
      </c>
      <c r="B2" s="268">
        <f>'ÁREA PLANTIO'!E8</f>
        <v>313</v>
      </c>
      <c r="C2" s="269" t="s">
        <v>1169</v>
      </c>
      <c r="D2" s="270">
        <f>'ÁREA PLANTIO'!D8</f>
        <v>70</v>
      </c>
      <c r="E2" s="264"/>
      <c r="F2" s="264"/>
      <c r="G2" s="266"/>
      <c r="H2" s="267"/>
      <c r="I2" s="267"/>
      <c r="J2" s="267"/>
      <c r="K2" s="266"/>
      <c r="L2" s="220"/>
      <c r="M2" s="220"/>
      <c r="N2" s="220"/>
      <c r="O2" s="220"/>
      <c r="P2" s="220"/>
      <c r="Q2" s="220"/>
      <c r="R2" s="220"/>
      <c r="S2" s="220"/>
      <c r="T2" s="220"/>
      <c r="U2" s="220"/>
      <c r="V2" s="220"/>
      <c r="W2" s="220"/>
    </row>
    <row r="3" ht="15.75" customHeight="1">
      <c r="A3" s="260" t="s">
        <v>1170</v>
      </c>
      <c r="B3" s="267" t="str">
        <f>'ÁREA PLANTIO'!C8</f>
        <v>FA-SOJA SEQUEIRO-26/27</v>
      </c>
      <c r="C3" s="269" t="s">
        <v>1171</v>
      </c>
      <c r="D3" s="271">
        <f>D1/D2</f>
        <v>24.59031553</v>
      </c>
      <c r="E3" s="264"/>
      <c r="F3" s="264"/>
      <c r="G3" s="266"/>
      <c r="H3" s="267"/>
      <c r="I3" s="267"/>
      <c r="J3" s="267"/>
      <c r="K3" s="266"/>
      <c r="L3" s="220"/>
      <c r="M3" s="220"/>
      <c r="N3" s="220"/>
      <c r="O3" s="220"/>
      <c r="P3" s="220"/>
      <c r="Q3" s="220"/>
      <c r="R3" s="220"/>
      <c r="S3" s="220"/>
      <c r="T3" s="220"/>
      <c r="U3" s="220"/>
      <c r="V3" s="220"/>
      <c r="W3" s="220"/>
    </row>
    <row r="4" ht="15.75" customHeight="1">
      <c r="A4" s="272" t="s">
        <v>1172</v>
      </c>
      <c r="B4" s="273">
        <v>45606.0</v>
      </c>
      <c r="C4" s="274"/>
      <c r="D4" s="275"/>
      <c r="E4" s="276"/>
      <c r="F4" s="264"/>
      <c r="G4" s="266"/>
      <c r="H4" s="267"/>
      <c r="I4" s="267"/>
      <c r="J4" s="267"/>
      <c r="K4" s="266"/>
      <c r="L4" s="220"/>
      <c r="M4" s="220"/>
      <c r="N4" s="220"/>
      <c r="O4" s="220"/>
      <c r="P4" s="220"/>
      <c r="Q4" s="220"/>
      <c r="R4" s="220"/>
      <c r="S4" s="220"/>
      <c r="T4" s="220"/>
      <c r="U4" s="220"/>
      <c r="V4" s="220"/>
      <c r="W4" s="220"/>
    </row>
    <row r="5" ht="15.75" customHeight="1">
      <c r="E5" s="277"/>
      <c r="F5" s="264"/>
      <c r="G5" s="266"/>
      <c r="H5" s="267"/>
      <c r="I5" s="267"/>
      <c r="J5" s="267"/>
      <c r="K5" s="266"/>
      <c r="L5" s="220"/>
      <c r="M5" s="220"/>
      <c r="N5" s="220"/>
      <c r="O5" s="220"/>
      <c r="P5" s="220"/>
      <c r="Q5" s="220"/>
      <c r="R5" s="220"/>
      <c r="S5" s="220"/>
      <c r="T5" s="220"/>
      <c r="U5" s="220"/>
      <c r="V5" s="220"/>
      <c r="W5" s="220"/>
    </row>
    <row r="6" ht="15.75" customHeight="1">
      <c r="A6" s="260"/>
      <c r="B6" s="267"/>
      <c r="C6" s="264"/>
      <c r="D6" s="264"/>
      <c r="E6" s="264"/>
      <c r="F6" s="264"/>
      <c r="G6" s="266"/>
      <c r="H6" s="267"/>
      <c r="I6" s="267"/>
      <c r="J6" s="267"/>
      <c r="K6" s="266"/>
      <c r="L6" s="220"/>
      <c r="M6" s="220"/>
      <c r="N6" s="220"/>
      <c r="O6" s="220"/>
      <c r="P6" s="220"/>
      <c r="Q6" s="220"/>
      <c r="R6" s="220"/>
      <c r="S6" s="220"/>
      <c r="T6" s="220"/>
      <c r="U6" s="220"/>
      <c r="V6" s="220"/>
      <c r="W6" s="220"/>
    </row>
    <row r="7" ht="15.75" customHeight="1">
      <c r="A7" s="267"/>
      <c r="B7" s="267"/>
      <c r="C7" s="264"/>
      <c r="D7" s="264"/>
      <c r="E7" s="264"/>
      <c r="F7" s="264"/>
      <c r="G7" s="266"/>
      <c r="H7" s="267"/>
      <c r="I7" s="267"/>
      <c r="J7" s="267"/>
      <c r="K7" s="266"/>
      <c r="L7" s="220"/>
      <c r="M7" s="220"/>
      <c r="N7" s="220"/>
      <c r="O7" s="220"/>
      <c r="P7" s="220"/>
      <c r="Q7" s="220"/>
      <c r="R7" s="220"/>
      <c r="S7" s="220"/>
      <c r="T7" s="220"/>
      <c r="U7" s="220"/>
      <c r="V7" s="220"/>
      <c r="W7" s="220"/>
    </row>
    <row r="8" ht="15.75" customHeight="1">
      <c r="A8" s="267"/>
      <c r="B8" s="267"/>
      <c r="C8" s="267"/>
      <c r="D8" s="267"/>
      <c r="E8" s="264"/>
      <c r="F8" s="264"/>
      <c r="G8" s="266"/>
      <c r="H8" s="267"/>
      <c r="I8" s="267"/>
      <c r="J8" s="267"/>
      <c r="K8" s="266"/>
      <c r="L8" s="220"/>
      <c r="M8" s="220"/>
      <c r="N8" s="220"/>
      <c r="O8" s="220"/>
      <c r="P8" s="220"/>
      <c r="Q8" s="220"/>
      <c r="R8" s="220"/>
      <c r="S8" s="220"/>
      <c r="T8" s="220"/>
      <c r="U8" s="220"/>
      <c r="V8" s="220"/>
      <c r="W8" s="220"/>
    </row>
    <row r="9" ht="15.75" customHeight="1">
      <c r="A9" s="211" t="s">
        <v>1173</v>
      </c>
      <c r="B9" s="213" t="s">
        <v>327</v>
      </c>
      <c r="C9" s="213" t="s">
        <v>1175</v>
      </c>
      <c r="D9" s="211" t="s">
        <v>1176</v>
      </c>
      <c r="E9" s="211" t="s">
        <v>1177</v>
      </c>
      <c r="F9" s="211" t="s">
        <v>1178</v>
      </c>
      <c r="G9" s="278" t="s">
        <v>1179</v>
      </c>
      <c r="H9" s="278" t="s">
        <v>1180</v>
      </c>
      <c r="I9" s="278" t="s">
        <v>1181</v>
      </c>
      <c r="J9" s="279" t="s">
        <v>1134</v>
      </c>
      <c r="K9" s="280" t="s">
        <v>1182</v>
      </c>
      <c r="L9" s="281" t="s">
        <v>339</v>
      </c>
      <c r="M9" s="220"/>
      <c r="N9" s="220"/>
      <c r="O9" s="220"/>
      <c r="P9" s="220"/>
      <c r="Q9" s="220"/>
      <c r="R9" s="220"/>
      <c r="S9" s="220"/>
      <c r="T9" s="220"/>
      <c r="U9" s="220"/>
      <c r="V9" s="220"/>
      <c r="W9" s="220"/>
    </row>
    <row r="10" ht="15.75" customHeight="1">
      <c r="A10" s="231" t="s">
        <v>1183</v>
      </c>
      <c r="B10" s="230"/>
      <c r="C10" s="231"/>
      <c r="D10" s="232" t="s">
        <v>216</v>
      </c>
      <c r="E10" s="231"/>
      <c r="F10" s="231"/>
      <c r="G10" s="233"/>
      <c r="H10" s="282"/>
      <c r="I10" s="258"/>
      <c r="J10" s="236"/>
      <c r="K10" s="237">
        <f t="shared" ref="K10:L10" si="1">SUBTOTAL(9,K11:K24)</f>
        <v>0</v>
      </c>
      <c r="L10" s="237">
        <f t="shared" si="1"/>
        <v>0</v>
      </c>
      <c r="M10" s="220"/>
      <c r="N10" s="220"/>
      <c r="O10" s="220"/>
      <c r="P10" s="220"/>
      <c r="Q10" s="220"/>
      <c r="R10" s="220"/>
      <c r="S10" s="220"/>
      <c r="T10" s="220"/>
      <c r="U10" s="220"/>
      <c r="V10" s="220"/>
      <c r="W10" s="220"/>
    </row>
    <row r="11" outlineLevel="1">
      <c r="A11" s="213"/>
      <c r="B11" s="212" t="s">
        <v>8</v>
      </c>
      <c r="C11" s="213" t="s">
        <v>397</v>
      </c>
      <c r="D11" s="214" t="str">
        <f>IFERROR(VLOOKUP($C11,'PORTIFÓLIO'!C:V,2,0),"")</f>
        <v>CaO 38%  MgO 18%</v>
      </c>
      <c r="E11" s="211" t="str">
        <f>IFERROR(VLOOKUP($C11,'PORTIFÓLIO'!C:V,3,0),"")</f>
        <v/>
      </c>
      <c r="F11" s="211" t="str">
        <f>IFERROR(VLOOKUP($C11,'PORTIFÓLIO'!C:V,4,0),"")</f>
        <v>Ton</v>
      </c>
      <c r="G11" s="215" t="str">
        <f>IFERROR(VLOOKUP($C11,'PORTIFÓLIO'!C:V,5,0),"")</f>
        <v/>
      </c>
      <c r="H11" s="254" t="str">
        <f t="array" ref="H11">IFERROR(INDEX('PORTIFÓLIO'!$H$4:$H$433,MATCH($C11,'PORTIFÓLIO'!$C$4:$C$433,0)),"")</f>
        <v/>
      </c>
      <c r="I11" s="255">
        <v>3.0</v>
      </c>
      <c r="J11" s="218">
        <f t="shared" ref="J11:J24" si="2">I11*$B$2</f>
        <v>939</v>
      </c>
      <c r="K11" s="219">
        <f t="array" ref="K11">IFERROR(I11*INDEX('PORTIFÓLIO'!$S$4:$S$433,MATCH($C11,'PORTIFÓLIO'!$C$4:$C$433,0)),"")</f>
        <v>0</v>
      </c>
      <c r="L11" s="219">
        <f t="array" ref="L11">IFERROR(J11*INDEX('PORTIFÓLIO'!$S$4:$S$433,MATCH($C11,'PORTIFÓLIO'!$C$4:$C$433,0)),"")</f>
        <v>0</v>
      </c>
      <c r="M11" s="220"/>
      <c r="N11" s="220"/>
      <c r="O11" s="220"/>
      <c r="P11" s="220"/>
      <c r="Q11" s="220"/>
      <c r="R11" s="220"/>
      <c r="S11" s="220"/>
      <c r="T11" s="220"/>
      <c r="U11" s="220" t="str">
        <f>IFERROR(__xludf.DUMMYFUNCTION("FILTER('PORTIFÓLIO'!C:C, 'PORTIFÓLIO'!B:B=B11)"),"#REF!")</f>
        <v>#REF!</v>
      </c>
      <c r="V11" s="220"/>
      <c r="W11" s="220"/>
    </row>
    <row r="12" outlineLevel="1">
      <c r="A12" s="213"/>
      <c r="B12" s="212" t="s">
        <v>7</v>
      </c>
      <c r="C12" s="213" t="s">
        <v>423</v>
      </c>
      <c r="D12" s="214" t="str">
        <f>IFERROR(VLOOKUP($C12,'PORTIFÓLIO'!C:V,2,0),"")</f>
        <v>P2O5 14%</v>
      </c>
      <c r="E12" s="211" t="str">
        <f>IFERROR(VLOOKUP($C12,'PORTIFÓLIO'!C:V,3,0),"")</f>
        <v/>
      </c>
      <c r="F12" s="211" t="str">
        <f>IFERROR(VLOOKUP($C12,'PORTIFÓLIO'!C:V,4,0),"")</f>
        <v>Ton</v>
      </c>
      <c r="G12" s="215" t="str">
        <f>IFERROR(VLOOKUP($C12,'PORTIFÓLIO'!C:V,5,0),"")</f>
        <v/>
      </c>
      <c r="H12" s="254" t="str">
        <f t="array" ref="H12">IFERROR(INDEX('PORTIFÓLIO'!$H$4:$H$433,MATCH($C12,'PORTIFÓLIO'!$C$4:$C$433,0)),"")</f>
        <v/>
      </c>
      <c r="I12" s="255">
        <v>0.5</v>
      </c>
      <c r="J12" s="218">
        <f t="shared" si="2"/>
        <v>156.5</v>
      </c>
      <c r="K12" s="219">
        <f t="array" ref="K12">IFERROR(I12*INDEX('PORTIFÓLIO'!$S$4:$S$433,MATCH($C12,'PORTIFÓLIO'!$C$4:$C$433,0)),"")</f>
        <v>0</v>
      </c>
      <c r="L12" s="219">
        <f t="array" ref="L12">IFERROR(J12*INDEX('PORTIFÓLIO'!$S$4:$S$433,MATCH($C12,'PORTIFÓLIO'!$C$4:$C$433,0)),"")</f>
        <v>0</v>
      </c>
      <c r="M12" s="220"/>
      <c r="N12" s="220"/>
      <c r="O12" s="220"/>
      <c r="P12" s="220"/>
      <c r="Q12" s="220"/>
      <c r="R12" s="220"/>
      <c r="S12" s="220"/>
      <c r="T12" s="220"/>
      <c r="U12" s="220" t="str">
        <f>IFERROR(__xludf.DUMMYFUNCTION("FILTER('PORTIFÓLIO'!C:C, 'PORTIFÓLIO'!B:B=B12)"),"#REF!")</f>
        <v>#REF!</v>
      </c>
      <c r="V12" s="220"/>
      <c r="W12" s="220"/>
    </row>
    <row r="13" outlineLevel="1">
      <c r="A13" s="213"/>
      <c r="B13" s="212" t="s">
        <v>7</v>
      </c>
      <c r="C13" s="213" t="s">
        <v>405</v>
      </c>
      <c r="D13" s="214" t="str">
        <f>IFERROR(VLOOKUP($C13,'PORTIFÓLIO'!C:V,2,0),"")</f>
        <v>K2O 60%</v>
      </c>
      <c r="E13" s="211" t="str">
        <f>IFERROR(VLOOKUP($C13,'PORTIFÓLIO'!C:V,3,0),"")</f>
        <v/>
      </c>
      <c r="F13" s="211" t="str">
        <f>IFERROR(VLOOKUP($C13,'PORTIFÓLIO'!C:V,4,0),"")</f>
        <v>Ton</v>
      </c>
      <c r="G13" s="215" t="str">
        <f>IFERROR(VLOOKUP($C13,'PORTIFÓLIO'!C:V,5,0),"")</f>
        <v/>
      </c>
      <c r="H13" s="254" t="str">
        <f t="array" ref="H13">IFERROR(INDEX('PORTIFÓLIO'!$H$4:$H$433,MATCH($C13,'PORTIFÓLIO'!$C$4:$C$433,0)),"")</f>
        <v/>
      </c>
      <c r="I13" s="255">
        <v>0.2</v>
      </c>
      <c r="J13" s="218">
        <f t="shared" si="2"/>
        <v>62.6</v>
      </c>
      <c r="K13" s="219">
        <f t="array" ref="K13">IFERROR(I13*INDEX('PORTIFÓLIO'!$S$4:$S$433,MATCH($C13,'PORTIFÓLIO'!$C$4:$C$433,0)),"")</f>
        <v>0</v>
      </c>
      <c r="L13" s="219">
        <f t="array" ref="L13">IFERROR(J13*INDEX('PORTIFÓLIO'!$S$4:$S$433,MATCH($C13,'PORTIFÓLIO'!$C$4:$C$433,0)),"")</f>
        <v>0</v>
      </c>
      <c r="M13" s="220"/>
      <c r="N13" s="220"/>
      <c r="O13" s="220"/>
      <c r="P13" s="220"/>
      <c r="Q13" s="220"/>
      <c r="R13" s="220"/>
      <c r="S13" s="220"/>
      <c r="T13" s="220"/>
      <c r="U13" s="220" t="str">
        <f>IFERROR(__xludf.DUMMYFUNCTION("FILTER('PORTIFÓLIO'!C:C, 'PORTIFÓLIO'!B:B=B13)"),"#REF!")</f>
        <v>#REF!</v>
      </c>
      <c r="V13" s="220"/>
      <c r="W13" s="220"/>
    </row>
    <row r="14" outlineLevel="1">
      <c r="A14" s="211"/>
      <c r="B14" s="212" t="s">
        <v>7</v>
      </c>
      <c r="C14" s="213" t="s">
        <v>429</v>
      </c>
      <c r="D14" s="214" t="str">
        <f>IFERROR(VLOOKUP($C14,'PORTIFÓLIO'!C:V,2,0),"")</f>
        <v>Cu 2% Mn 8% Zn 7% </v>
      </c>
      <c r="E14" s="211" t="str">
        <f>IFERROR(VLOOKUP($C14,'PORTIFÓLIO'!C:V,3,0),"")</f>
        <v/>
      </c>
      <c r="F14" s="211" t="str">
        <f>IFERROR(VLOOKUP($C14,'PORTIFÓLIO'!C:V,4,0),"")</f>
        <v>Ton</v>
      </c>
      <c r="G14" s="215" t="str">
        <f>IFERROR(VLOOKUP($C14,'PORTIFÓLIO'!C:V,5,0),"")</f>
        <v/>
      </c>
      <c r="H14" s="254" t="str">
        <f t="array" ref="H14">IFERROR(INDEX('PORTIFÓLIO'!$H$4:$H$433,MATCH($C14,'PORTIFÓLIO'!$C$4:$C$433,0)),"")</f>
        <v/>
      </c>
      <c r="I14" s="255">
        <v>0.05</v>
      </c>
      <c r="J14" s="218">
        <f t="shared" si="2"/>
        <v>15.65</v>
      </c>
      <c r="K14" s="219">
        <f t="array" ref="K14">IFERROR(I14*INDEX('PORTIFÓLIO'!$S$4:$S$433,MATCH($C14,'PORTIFÓLIO'!$C$4:$C$433,0)),"")</f>
        <v>0</v>
      </c>
      <c r="L14" s="219">
        <f t="array" ref="L14">IFERROR(J14*INDEX('PORTIFÓLIO'!$S$4:$S$433,MATCH($C14,'PORTIFÓLIO'!$C$4:$C$433,0)),"")</f>
        <v>0</v>
      </c>
      <c r="M14" s="220"/>
      <c r="N14" s="220"/>
      <c r="O14" s="220"/>
      <c r="P14" s="220"/>
      <c r="Q14" s="220"/>
      <c r="R14" s="220"/>
      <c r="S14" s="220"/>
      <c r="T14" s="220"/>
      <c r="U14" s="220" t="str">
        <f>IFERROR(__xludf.DUMMYFUNCTION("FILTER('PORTIFÓLIO'!C:C, 'PORTIFÓLIO'!B:B=B14)"),"#REF!")</f>
        <v>#REF!</v>
      </c>
      <c r="V14" s="220"/>
      <c r="W14" s="220"/>
    </row>
    <row r="15" outlineLevel="1">
      <c r="A15" s="211"/>
      <c r="B15" s="212"/>
      <c r="C15" s="213"/>
      <c r="D15" s="214" t="str">
        <f>IFERROR(VLOOKUP($C15,'PORTIFÓLIO'!C:V,2,0),"")</f>
        <v/>
      </c>
      <c r="E15" s="211" t="str">
        <f>IFERROR(VLOOKUP($C15,'PORTIFÓLIO'!C:V,3,0),"")</f>
        <v/>
      </c>
      <c r="F15" s="211" t="str">
        <f>IFERROR(VLOOKUP($C15,'PORTIFÓLIO'!C:V,4,0),"")</f>
        <v/>
      </c>
      <c r="G15" s="215" t="str">
        <f>IFERROR(VLOOKUP($C15,'PORTIFÓLIO'!C:V,5,0),"")</f>
        <v/>
      </c>
      <c r="H15" s="254" t="str">
        <f t="array" ref="H15">IFERROR(INDEX('PORTIFÓLIO'!$H$4:$H$433,MATCH($C15,'PORTIFÓLIO'!$C$4:$C$433,0)),"")</f>
        <v/>
      </c>
      <c r="I15" s="255"/>
      <c r="J15" s="218">
        <f t="shared" si="2"/>
        <v>0</v>
      </c>
      <c r="K15" s="219" t="str">
        <f t="array" ref="K15">IFERROR(I15*INDEX('PORTIFÓLIO'!$S$4:$S$433,MATCH($C15,'PORTIFÓLIO'!$C$4:$C$433,0)),"")</f>
        <v/>
      </c>
      <c r="L15" s="219" t="str">
        <f t="array" ref="L15">IFERROR(J15*INDEX('PORTIFÓLIO'!$S$4:$S$433,MATCH($C15,'PORTIFÓLIO'!$C$4:$C$433,0)),"")</f>
        <v/>
      </c>
      <c r="M15" s="220"/>
      <c r="N15" s="220"/>
      <c r="O15" s="220"/>
      <c r="P15" s="220"/>
      <c r="Q15" s="220"/>
      <c r="R15" s="220"/>
      <c r="S15" s="220"/>
      <c r="T15" s="220"/>
      <c r="U15" s="220" t="str">
        <f>IFERROR(__xludf.DUMMYFUNCTION("FILTER('PORTIFÓLIO'!C:C, 'PORTIFÓLIO'!B:B=B15)"),"#REF!")</f>
        <v>#REF!</v>
      </c>
      <c r="V15" s="220"/>
      <c r="W15" s="220"/>
    </row>
    <row r="16" outlineLevel="1">
      <c r="A16" s="211"/>
      <c r="B16" s="212"/>
      <c r="C16" s="213"/>
      <c r="D16" s="214" t="str">
        <f>IFERROR(VLOOKUP($C16,'PORTIFÓLIO'!C:V,2,0),"")</f>
        <v/>
      </c>
      <c r="E16" s="211" t="str">
        <f>IFERROR(VLOOKUP($C16,'PORTIFÓLIO'!C:V,3,0),"")</f>
        <v/>
      </c>
      <c r="F16" s="211" t="str">
        <f>IFERROR(VLOOKUP($C16,'PORTIFÓLIO'!C:V,4,0),"")</f>
        <v/>
      </c>
      <c r="G16" s="215" t="str">
        <f>IFERROR(VLOOKUP($C16,'PORTIFÓLIO'!C:V,5,0),"")</f>
        <v/>
      </c>
      <c r="H16" s="254" t="str">
        <f t="array" ref="H16">IFERROR(INDEX('PORTIFÓLIO'!$H$4:$H$433,MATCH($C16,'PORTIFÓLIO'!$C$4:$C$433,0)),"")</f>
        <v/>
      </c>
      <c r="I16" s="255"/>
      <c r="J16" s="218">
        <f t="shared" si="2"/>
        <v>0</v>
      </c>
      <c r="K16" s="219" t="str">
        <f t="array" ref="K16">IFERROR(I16*INDEX('PORTIFÓLIO'!$S$4:$S$433,MATCH($C16,'PORTIFÓLIO'!$C$4:$C$433,0)),"")</f>
        <v/>
      </c>
      <c r="L16" s="219" t="str">
        <f t="array" ref="L16">IFERROR(J16*INDEX('PORTIFÓLIO'!$S$4:$S$433,MATCH($C16,'PORTIFÓLIO'!$C$4:$C$433,0)),"")</f>
        <v/>
      </c>
      <c r="M16" s="220"/>
      <c r="N16" s="220"/>
      <c r="O16" s="220"/>
      <c r="P16" s="220"/>
      <c r="Q16" s="220"/>
      <c r="R16" s="220"/>
      <c r="S16" s="220"/>
      <c r="T16" s="220"/>
      <c r="U16" s="220" t="str">
        <f>IFERROR(__xludf.DUMMYFUNCTION("FILTER('PORTIFÓLIO'!C:C, 'PORTIFÓLIO'!B:B=B16)"),"#REF!")</f>
        <v>#REF!</v>
      </c>
      <c r="V16" s="220"/>
      <c r="W16" s="220"/>
    </row>
    <row r="17" outlineLevel="1">
      <c r="A17" s="211"/>
      <c r="B17" s="212"/>
      <c r="C17" s="213"/>
      <c r="D17" s="214" t="str">
        <f>IFERROR(VLOOKUP($C17,'PORTIFÓLIO'!C:V,2,0),"")</f>
        <v/>
      </c>
      <c r="E17" s="211" t="str">
        <f>IFERROR(VLOOKUP($C17,'PORTIFÓLIO'!C:V,3,0),"")</f>
        <v/>
      </c>
      <c r="F17" s="211" t="str">
        <f>IFERROR(VLOOKUP($C17,'PORTIFÓLIO'!C:V,4,0),"")</f>
        <v/>
      </c>
      <c r="G17" s="215" t="str">
        <f>IFERROR(VLOOKUP($C17,'PORTIFÓLIO'!C:V,5,0),"")</f>
        <v/>
      </c>
      <c r="H17" s="254" t="str">
        <f t="array" ref="H17">IFERROR(INDEX('PORTIFÓLIO'!$H$4:$H$433,MATCH($C17,'PORTIFÓLIO'!$C$4:$C$433,0)),"")</f>
        <v/>
      </c>
      <c r="I17" s="255"/>
      <c r="J17" s="218">
        <f t="shared" si="2"/>
        <v>0</v>
      </c>
      <c r="K17" s="219" t="str">
        <f t="array" ref="K17">IFERROR(I17*INDEX('PORTIFÓLIO'!$S$4:$S$433,MATCH($C17,'PORTIFÓLIO'!$C$4:$C$433,0)),"")</f>
        <v/>
      </c>
      <c r="L17" s="219" t="str">
        <f t="array" ref="L17">IFERROR(J17*INDEX('PORTIFÓLIO'!$S$4:$S$433,MATCH($C17,'PORTIFÓLIO'!$C$4:$C$433,0)),"")</f>
        <v/>
      </c>
      <c r="M17" s="220"/>
      <c r="N17" s="220"/>
      <c r="O17" s="220"/>
      <c r="P17" s="220"/>
      <c r="Q17" s="220"/>
      <c r="R17" s="220"/>
      <c r="S17" s="220"/>
      <c r="T17" s="220"/>
      <c r="U17" s="220" t="str">
        <f>IFERROR(__xludf.DUMMYFUNCTION("FILTER('PORTIFÓLIO'!C:C, 'PORTIFÓLIO'!B:B=B17)"),"#REF!")</f>
        <v>#REF!</v>
      </c>
      <c r="V17" s="220"/>
      <c r="W17" s="220"/>
    </row>
    <row r="18" outlineLevel="1">
      <c r="A18" s="211"/>
      <c r="B18" s="212"/>
      <c r="C18" s="213"/>
      <c r="D18" s="214" t="str">
        <f>IFERROR(VLOOKUP($C18,'PORTIFÓLIO'!C:V,2,0),"")</f>
        <v/>
      </c>
      <c r="E18" s="211" t="str">
        <f>IFERROR(VLOOKUP($C18,'PORTIFÓLIO'!C:V,3,0),"")</f>
        <v/>
      </c>
      <c r="F18" s="211" t="str">
        <f>IFERROR(VLOOKUP($C18,'PORTIFÓLIO'!C:V,4,0),"")</f>
        <v/>
      </c>
      <c r="G18" s="215" t="str">
        <f>IFERROR(VLOOKUP($C18,'PORTIFÓLIO'!C:V,5,0),"")</f>
        <v/>
      </c>
      <c r="H18" s="254" t="str">
        <f t="array" ref="H18">IFERROR(INDEX('PORTIFÓLIO'!$H$4:$H$433,MATCH($C18,'PORTIFÓLIO'!$C$4:$C$433,0)),"")</f>
        <v/>
      </c>
      <c r="I18" s="255"/>
      <c r="J18" s="218">
        <f t="shared" si="2"/>
        <v>0</v>
      </c>
      <c r="K18" s="219" t="str">
        <f t="array" ref="K18">IFERROR(I18*INDEX('PORTIFÓLIO'!$S$4:$S$433,MATCH($C18,'PORTIFÓLIO'!$C$4:$C$433,0)),"")</f>
        <v/>
      </c>
      <c r="L18" s="219" t="str">
        <f t="array" ref="L18">IFERROR(J18*INDEX('PORTIFÓLIO'!$S$4:$S$433,MATCH($C18,'PORTIFÓLIO'!$C$4:$C$433,0)),"")</f>
        <v/>
      </c>
      <c r="M18" s="220"/>
      <c r="N18" s="220"/>
      <c r="O18" s="220"/>
      <c r="P18" s="220"/>
      <c r="Q18" s="220"/>
      <c r="R18" s="220"/>
      <c r="S18" s="220"/>
      <c r="T18" s="220"/>
      <c r="U18" s="220" t="str">
        <f>IFERROR(__xludf.DUMMYFUNCTION("FILTER('PORTIFÓLIO'!C:C, 'PORTIFÓLIO'!B:B=B18)"),"#REF!")</f>
        <v>#REF!</v>
      </c>
      <c r="V18" s="220"/>
      <c r="W18" s="220"/>
    </row>
    <row r="19" outlineLevel="1">
      <c r="A19" s="211"/>
      <c r="B19" s="212"/>
      <c r="C19" s="213"/>
      <c r="D19" s="214" t="str">
        <f>IFERROR(VLOOKUP($C19,'PORTIFÓLIO'!C:V,2,0),"")</f>
        <v/>
      </c>
      <c r="E19" s="211" t="str">
        <f>IFERROR(VLOOKUP($C19,'PORTIFÓLIO'!C:V,3,0),"")</f>
        <v/>
      </c>
      <c r="F19" s="211" t="str">
        <f>IFERROR(VLOOKUP($C19,'PORTIFÓLIO'!C:V,4,0),"")</f>
        <v/>
      </c>
      <c r="G19" s="215" t="str">
        <f>IFERROR(VLOOKUP($C19,'PORTIFÓLIO'!C:V,5,0),"")</f>
        <v/>
      </c>
      <c r="H19" s="254" t="str">
        <f t="array" ref="H19">IFERROR(INDEX('PORTIFÓLIO'!$H$4:$H$433,MATCH($C19,'PORTIFÓLIO'!$C$4:$C$433,0)),"")</f>
        <v/>
      </c>
      <c r="I19" s="255"/>
      <c r="J19" s="218">
        <f t="shared" si="2"/>
        <v>0</v>
      </c>
      <c r="K19" s="219" t="str">
        <f t="array" ref="K19">IFERROR(I19*INDEX('PORTIFÓLIO'!$S$4:$S$433,MATCH($C19,'PORTIFÓLIO'!$C$4:$C$433,0)),"")</f>
        <v/>
      </c>
      <c r="L19" s="219" t="str">
        <f t="array" ref="L19">IFERROR(J19*INDEX('PORTIFÓLIO'!$S$4:$S$433,MATCH($C19,'PORTIFÓLIO'!$C$4:$C$433,0)),"")</f>
        <v/>
      </c>
      <c r="M19" s="220"/>
      <c r="N19" s="220"/>
      <c r="O19" s="220"/>
      <c r="P19" s="220"/>
      <c r="Q19" s="220"/>
      <c r="R19" s="220"/>
      <c r="S19" s="220"/>
      <c r="T19" s="220"/>
      <c r="U19" s="220" t="str">
        <f>IFERROR(__xludf.DUMMYFUNCTION("FILTER('PORTIFÓLIO'!C:C, 'PORTIFÓLIO'!B:B=B19)"),"")</f>
        <v/>
      </c>
      <c r="V19" s="220"/>
      <c r="W19" s="220"/>
    </row>
    <row r="20" outlineLevel="1">
      <c r="A20" s="211"/>
      <c r="B20" s="212"/>
      <c r="C20" s="213"/>
      <c r="D20" s="214" t="str">
        <f>IFERROR(VLOOKUP($C20,'PORTIFÓLIO'!C:V,2,0),"")</f>
        <v/>
      </c>
      <c r="E20" s="211" t="str">
        <f>IFERROR(VLOOKUP($C20,'PORTIFÓLIO'!C:V,3,0),"")</f>
        <v/>
      </c>
      <c r="F20" s="211" t="str">
        <f>IFERROR(VLOOKUP($C20,'PORTIFÓLIO'!C:V,4,0),"")</f>
        <v/>
      </c>
      <c r="G20" s="215" t="str">
        <f>IFERROR(VLOOKUP($C20,'PORTIFÓLIO'!C:V,5,0),"")</f>
        <v/>
      </c>
      <c r="H20" s="254" t="str">
        <f t="array" ref="H20">IFERROR(INDEX('PORTIFÓLIO'!$H$4:$H$433,MATCH($C20,'PORTIFÓLIO'!$C$4:$C$433,0)),"")</f>
        <v/>
      </c>
      <c r="I20" s="255"/>
      <c r="J20" s="218">
        <f t="shared" si="2"/>
        <v>0</v>
      </c>
      <c r="K20" s="219" t="str">
        <f t="array" ref="K20">IFERROR(I20*INDEX('PORTIFÓLIO'!$S$4:$S$433,MATCH($C20,'PORTIFÓLIO'!$C$4:$C$433,0)),"")</f>
        <v/>
      </c>
      <c r="L20" s="219" t="str">
        <f t="array" ref="L20">IFERROR(J20*INDEX('PORTIFÓLIO'!$S$4:$S$433,MATCH($C20,'PORTIFÓLIO'!$C$4:$C$433,0)),"")</f>
        <v/>
      </c>
      <c r="M20" s="220"/>
      <c r="N20" s="220"/>
      <c r="O20" s="220"/>
      <c r="P20" s="220"/>
      <c r="Q20" s="220"/>
      <c r="R20" s="220"/>
      <c r="S20" s="220"/>
      <c r="T20" s="220"/>
      <c r="U20" s="220"/>
      <c r="V20" s="220"/>
      <c r="W20" s="220"/>
    </row>
    <row r="21" ht="15.75" customHeight="1" outlineLevel="1">
      <c r="A21" s="211"/>
      <c r="B21" s="212"/>
      <c r="C21" s="213"/>
      <c r="D21" s="214" t="str">
        <f>IFERROR(VLOOKUP($C21,'PORTIFÓLIO'!C:V,2,0),"")</f>
        <v/>
      </c>
      <c r="E21" s="211" t="str">
        <f>IFERROR(VLOOKUP($C21,'PORTIFÓLIO'!C:V,3,0),"")</f>
        <v/>
      </c>
      <c r="F21" s="211" t="str">
        <f>IFERROR(VLOOKUP($C21,'PORTIFÓLIO'!C:V,4,0),"")</f>
        <v/>
      </c>
      <c r="G21" s="215" t="str">
        <f>IFERROR(VLOOKUP($C21,'PORTIFÓLIO'!C:V,5,0),"")</f>
        <v/>
      </c>
      <c r="H21" s="254" t="str">
        <f t="array" ref="H21">IFERROR(INDEX('PORTIFÓLIO'!$H$4:$H$433,MATCH($C21,'PORTIFÓLIO'!$C$4:$C$433,0)),"")</f>
        <v/>
      </c>
      <c r="I21" s="255"/>
      <c r="J21" s="218">
        <f t="shared" si="2"/>
        <v>0</v>
      </c>
      <c r="K21" s="219" t="str">
        <f t="array" ref="K21">IFERROR(I21*INDEX('PORTIFÓLIO'!$S$4:$S$433,MATCH($C21,'PORTIFÓLIO'!$C$4:$C$433,0)),"")</f>
        <v/>
      </c>
      <c r="L21" s="219" t="str">
        <f t="array" ref="L21">IFERROR(J21*INDEX('PORTIFÓLIO'!$S$4:$S$433,MATCH($C21,'PORTIFÓLIO'!$C$4:$C$433,0)),"")</f>
        <v/>
      </c>
      <c r="M21" s="220"/>
      <c r="N21" s="220"/>
      <c r="O21" s="220"/>
      <c r="P21" s="220"/>
      <c r="Q21" s="220"/>
      <c r="R21" s="220"/>
      <c r="S21" s="220"/>
      <c r="T21" s="220"/>
      <c r="U21" s="220"/>
      <c r="V21" s="220"/>
      <c r="W21" s="220"/>
    </row>
    <row r="22" ht="15.75" customHeight="1" outlineLevel="1">
      <c r="A22" s="211"/>
      <c r="B22" s="212"/>
      <c r="C22" s="213"/>
      <c r="D22" s="214" t="str">
        <f>IFERROR(VLOOKUP($C22,'PORTIFÓLIO'!C:V,2,0),"")</f>
        <v/>
      </c>
      <c r="E22" s="211" t="str">
        <f>IFERROR(VLOOKUP($C22,'PORTIFÓLIO'!C:V,3,0),"")</f>
        <v/>
      </c>
      <c r="F22" s="211" t="str">
        <f>IFERROR(VLOOKUP($C22,'PORTIFÓLIO'!C:V,4,0),"")</f>
        <v/>
      </c>
      <c r="G22" s="215" t="str">
        <f>IFERROR(VLOOKUP($C22,'PORTIFÓLIO'!C:V,5,0),"")</f>
        <v/>
      </c>
      <c r="H22" s="254" t="str">
        <f t="array" ref="H22">IFERROR(INDEX('PORTIFÓLIO'!$H$4:$H$433,MATCH($C22,'PORTIFÓLIO'!$C$4:$C$433,0)),"")</f>
        <v/>
      </c>
      <c r="I22" s="255"/>
      <c r="J22" s="218">
        <f t="shared" si="2"/>
        <v>0</v>
      </c>
      <c r="K22" s="219" t="str">
        <f t="array" ref="K22">IFERROR(I22*INDEX('PORTIFÓLIO'!$S$4:$S$433,MATCH($C22,'PORTIFÓLIO'!$C$4:$C$433,0)),"")</f>
        <v/>
      </c>
      <c r="L22" s="219" t="str">
        <f t="array" ref="L22">IFERROR(J22*INDEX('PORTIFÓLIO'!$S$4:$S$433,MATCH($C22,'PORTIFÓLIO'!$C$4:$C$433,0)),"")</f>
        <v/>
      </c>
      <c r="M22" s="220"/>
      <c r="N22" s="220"/>
      <c r="O22" s="220"/>
      <c r="P22" s="220"/>
      <c r="Q22" s="220"/>
      <c r="R22" s="220"/>
      <c r="S22" s="220"/>
      <c r="T22" s="220"/>
      <c r="U22" s="220"/>
      <c r="V22" s="220"/>
      <c r="W22" s="220"/>
    </row>
    <row r="23" ht="15.75" customHeight="1" outlineLevel="1">
      <c r="A23" s="211"/>
      <c r="B23" s="212"/>
      <c r="C23" s="213"/>
      <c r="D23" s="214" t="str">
        <f>IFERROR(VLOOKUP($C23,'PORTIFÓLIO'!C:V,2,0),"")</f>
        <v/>
      </c>
      <c r="E23" s="211" t="str">
        <f>IFERROR(VLOOKUP($C23,'PORTIFÓLIO'!C:V,3,0),"")</f>
        <v/>
      </c>
      <c r="F23" s="211" t="str">
        <f>IFERROR(VLOOKUP($C23,'PORTIFÓLIO'!C:V,4,0),"")</f>
        <v/>
      </c>
      <c r="G23" s="215" t="str">
        <f>IFERROR(VLOOKUP($C23,'PORTIFÓLIO'!C:V,5,0),"")</f>
        <v/>
      </c>
      <c r="H23" s="254" t="str">
        <f t="array" ref="H23">IFERROR(INDEX('PORTIFÓLIO'!$H$4:$H$433,MATCH($C23,'PORTIFÓLIO'!$C$4:$C$433,0)),"")</f>
        <v/>
      </c>
      <c r="I23" s="255"/>
      <c r="J23" s="218">
        <f t="shared" si="2"/>
        <v>0</v>
      </c>
      <c r="K23" s="219" t="str">
        <f t="array" ref="K23">IFERROR(I23*INDEX('PORTIFÓLIO'!$S$4:$S$433,MATCH($C23,'PORTIFÓLIO'!$C$4:$C$433,0)),"")</f>
        <v/>
      </c>
      <c r="L23" s="219" t="str">
        <f t="array" ref="L23">IFERROR(J23*INDEX('PORTIFÓLIO'!$S$4:$S$433,MATCH($C23,'PORTIFÓLIO'!$C$4:$C$433,0)),"")</f>
        <v/>
      </c>
      <c r="M23" s="220"/>
      <c r="N23" s="220"/>
      <c r="O23" s="220"/>
      <c r="P23" s="220"/>
      <c r="Q23" s="220"/>
      <c r="R23" s="220"/>
      <c r="S23" s="220"/>
      <c r="T23" s="220"/>
      <c r="U23" s="220"/>
      <c r="V23" s="220"/>
      <c r="W23" s="220"/>
    </row>
    <row r="24" ht="15.75" customHeight="1" outlineLevel="1">
      <c r="A24" s="211"/>
      <c r="B24" s="212"/>
      <c r="C24" s="213"/>
      <c r="D24" s="214" t="str">
        <f>IFERROR(VLOOKUP($C24,'PORTIFÓLIO'!C:V,2,0),"")</f>
        <v/>
      </c>
      <c r="E24" s="211" t="str">
        <f>IFERROR(VLOOKUP($C24,'PORTIFÓLIO'!C:V,3,0),"")</f>
        <v/>
      </c>
      <c r="F24" s="211" t="str">
        <f>IFERROR(VLOOKUP($C24,'PORTIFÓLIO'!C:V,4,0),"")</f>
        <v/>
      </c>
      <c r="G24" s="215" t="str">
        <f>IFERROR(VLOOKUP($C24,'PORTIFÓLIO'!C:V,5,0),"")</f>
        <v/>
      </c>
      <c r="H24" s="254" t="str">
        <f t="array" ref="H24">IFERROR(INDEX('PORTIFÓLIO'!$H$4:$H$433,MATCH($C24,'PORTIFÓLIO'!$C$4:$C$433,0)),"")</f>
        <v/>
      </c>
      <c r="I24" s="255"/>
      <c r="J24" s="218">
        <f t="shared" si="2"/>
        <v>0</v>
      </c>
      <c r="K24" s="219" t="str">
        <f t="array" ref="K24">IFERROR(I24*INDEX('PORTIFÓLIO'!$S$4:$S$433,MATCH($C24,'PORTIFÓLIO'!$C$4:$C$433,0)),"")</f>
        <v/>
      </c>
      <c r="L24" s="219" t="str">
        <f t="array" ref="L24">IFERROR(J24*INDEX('PORTIFÓLIO'!$S$4:$S$433,MATCH($C24,'PORTIFÓLIO'!$C$4:$C$433,0)),"")</f>
        <v/>
      </c>
      <c r="M24" s="220"/>
      <c r="N24" s="220"/>
      <c r="O24" s="220"/>
      <c r="P24" s="220"/>
      <c r="Q24" s="220"/>
      <c r="R24" s="220"/>
      <c r="S24" s="220"/>
      <c r="T24" s="220"/>
      <c r="U24" s="220"/>
      <c r="V24" s="220"/>
      <c r="W24" s="220"/>
    </row>
    <row r="25" ht="15.75" customHeight="1">
      <c r="A25" s="229" t="s">
        <v>1184</v>
      </c>
      <c r="B25" s="230"/>
      <c r="C25" s="231"/>
      <c r="D25" s="232"/>
      <c r="E25" s="231"/>
      <c r="F25" s="231"/>
      <c r="G25" s="233"/>
      <c r="H25" s="233"/>
      <c r="I25" s="258"/>
      <c r="J25" s="236"/>
      <c r="K25" s="237">
        <f t="shared" ref="K25:L25" si="3">SUBTOTAL(9,K26:K39)</f>
        <v>96.6091212</v>
      </c>
      <c r="L25" s="237">
        <f t="shared" si="3"/>
        <v>30238.65494</v>
      </c>
      <c r="M25" s="220"/>
      <c r="N25" s="220"/>
      <c r="O25" s="220"/>
      <c r="P25" s="220"/>
      <c r="Q25" s="220"/>
      <c r="R25" s="220"/>
      <c r="S25" s="220"/>
      <c r="T25" s="220"/>
      <c r="U25" s="220"/>
      <c r="V25" s="220"/>
      <c r="W25" s="220"/>
    </row>
    <row r="26" ht="15.75" customHeight="1" outlineLevel="1">
      <c r="A26" s="213"/>
      <c r="B26" s="212" t="s">
        <v>1</v>
      </c>
      <c r="C26" s="213" t="s">
        <v>637</v>
      </c>
      <c r="D26" s="214" t="str">
        <f>IFERROR(VLOOKUP($C26,'PORTIFÓLIO'!C:V,2,0),"")</f>
        <v>GLIFOSATO-SAL DE AMÔNIO</v>
      </c>
      <c r="E26" s="211">
        <f>IFERROR(VLOOKUP($C26,'PORTIFÓLIO'!C:V,3,0),"")</f>
        <v>720</v>
      </c>
      <c r="F26" s="211" t="str">
        <f>IFERROR(VLOOKUP($C26,'PORTIFÓLIO'!C:V,4,0),"")</f>
        <v>L</v>
      </c>
      <c r="G26" s="225" t="str">
        <f>IFERROR(VLOOKUP($C26,'PORTIFÓLIO'!C:V,5,0),"")</f>
        <v>📄 Ver bula</v>
      </c>
      <c r="H26" s="254">
        <f t="array" ref="H26">IFERROR(INDEX('PORTIFÓLIO'!$H$4:$H$433,MATCH($C26,'PORTIFÓLIO'!$C$4:$C$433,0)),"")</f>
        <v>2</v>
      </c>
      <c r="I26" s="255">
        <v>2.0</v>
      </c>
      <c r="J26" s="218">
        <f t="shared" ref="J26:J43" si="4">I26*$B$2</f>
        <v>626</v>
      </c>
      <c r="K26" s="219">
        <f t="array" ref="K26">IFERROR(I26*INDEX('PORTIFÓLIO'!$S$4:$S$433,MATCH($C26,'PORTIFÓLIO'!$C$4:$C$433,0)),"")</f>
        <v>49.16</v>
      </c>
      <c r="L26" s="219">
        <f t="array" ref="L26">IFERROR(J26*INDEX('PORTIFÓLIO'!$S$4:$S$433,MATCH($C26,'PORTIFÓLIO'!$C$4:$C$433,0)),"")</f>
        <v>15387.08</v>
      </c>
      <c r="M26" s="220"/>
      <c r="N26" s="220"/>
      <c r="O26" s="220"/>
      <c r="P26" s="220"/>
      <c r="Q26" s="220"/>
      <c r="R26" s="220"/>
      <c r="S26" s="220"/>
      <c r="T26" s="220"/>
      <c r="U26" s="220"/>
      <c r="V26" s="220"/>
      <c r="W26" s="220"/>
    </row>
    <row r="27" ht="15.75" customHeight="1" outlineLevel="1">
      <c r="A27" s="211"/>
      <c r="B27" s="212" t="s">
        <v>1</v>
      </c>
      <c r="C27" s="213" t="s">
        <v>683</v>
      </c>
      <c r="D27" s="214" t="str">
        <f>IFERROR(VLOOKUP($C27,'PORTIFÓLIO'!C:V,2,0),"")</f>
        <v>GLUFOSINATO - SAL DE AMONIO</v>
      </c>
      <c r="E27" s="211">
        <f>IFERROR(VLOOKUP($C27,'PORTIFÓLIO'!C:V,3,0),"")</f>
        <v>880</v>
      </c>
      <c r="F27" s="211" t="str">
        <f>IFERROR(VLOOKUP($C27,'PORTIFÓLIO'!C:V,4,0),"")</f>
        <v>L</v>
      </c>
      <c r="G27" s="225" t="str">
        <f>IFERROR(VLOOKUP($C27,'PORTIFÓLIO'!C:V,5,0),"")</f>
        <v>📄 Ver bula</v>
      </c>
      <c r="H27" s="254">
        <f t="array" ref="H27">IFERROR(INDEX('PORTIFÓLIO'!$H$4:$H$433,MATCH($C27,'PORTIFÓLIO'!$C$4:$C$433,0)),"")</f>
        <v>0.5</v>
      </c>
      <c r="I27" s="255">
        <v>0.5</v>
      </c>
      <c r="J27" s="218">
        <f t="shared" si="4"/>
        <v>156.5</v>
      </c>
      <c r="K27" s="219">
        <f t="array" ref="K27">IFERROR(I27*INDEX('PORTIFÓLIO'!$S$4:$S$433,MATCH($C27,'PORTIFÓLIO'!$C$4:$C$433,0)),"")</f>
        <v>23.01917</v>
      </c>
      <c r="L27" s="219">
        <f t="array" ref="L27">IFERROR(J27*INDEX('PORTIFÓLIO'!$S$4:$S$433,MATCH($C27,'PORTIFÓLIO'!$C$4:$C$433,0)),"")</f>
        <v>7205.00021</v>
      </c>
      <c r="M27" s="220"/>
      <c r="N27" s="220"/>
      <c r="O27" s="220"/>
      <c r="P27" s="220"/>
      <c r="Q27" s="220"/>
      <c r="R27" s="220"/>
      <c r="S27" s="220"/>
      <c r="T27" s="220"/>
      <c r="U27" s="220"/>
      <c r="V27" s="220"/>
      <c r="W27" s="220"/>
    </row>
    <row r="28" ht="15.75" customHeight="1" outlineLevel="1">
      <c r="A28" s="211"/>
      <c r="B28" s="212" t="s">
        <v>6</v>
      </c>
      <c r="C28" s="213" t="s">
        <v>354</v>
      </c>
      <c r="D28" s="214" t="str">
        <f>IFERROR(VLOOKUP($C28,'PORTIFÓLIO'!C:V,2,0),"")</f>
        <v>OLEO MINERAL</v>
      </c>
      <c r="E28" s="211">
        <f>IFERROR(VLOOKUP($C28,'PORTIFÓLIO'!C:V,3,0),"")</f>
        <v>761</v>
      </c>
      <c r="F28" s="211" t="str">
        <f>IFERROR(VLOOKUP($C28,'PORTIFÓLIO'!C:V,4,0),"")</f>
        <v>L</v>
      </c>
      <c r="G28" s="225" t="str">
        <f>IFERROR(VLOOKUP($C28,'PORTIFÓLIO'!C:V,5,0),"")</f>
        <v>📄 Ver bula</v>
      </c>
      <c r="H28" s="254">
        <f t="array" ref="H28">IFERROR(INDEX('PORTIFÓLIO'!$H$4:$H$433,MATCH($C28,'PORTIFÓLIO'!$C$4:$C$433,0)),"")</f>
        <v>0.2</v>
      </c>
      <c r="I28" s="255">
        <v>0.2</v>
      </c>
      <c r="J28" s="218">
        <f t="shared" si="4"/>
        <v>62.6</v>
      </c>
      <c r="K28" s="219">
        <f t="array" ref="K28">IFERROR(I28*INDEX('PORTIFÓLIO'!$S$4:$S$433,MATCH($C28,'PORTIFÓLIO'!$C$4:$C$433,0)),"")</f>
        <v>3.206</v>
      </c>
      <c r="L28" s="219">
        <f t="array" ref="L28">IFERROR(J28*INDEX('PORTIFÓLIO'!$S$4:$S$433,MATCH($C28,'PORTIFÓLIO'!$C$4:$C$433,0)),"")</f>
        <v>1003.478</v>
      </c>
      <c r="M28" s="220"/>
      <c r="N28" s="220"/>
      <c r="O28" s="220"/>
      <c r="P28" s="220"/>
      <c r="Q28" s="220"/>
      <c r="R28" s="220"/>
      <c r="S28" s="220"/>
      <c r="T28" s="220"/>
      <c r="U28" s="220"/>
      <c r="V28" s="220"/>
      <c r="W28" s="220"/>
    </row>
    <row r="29" ht="15.75" customHeight="1" outlineLevel="1">
      <c r="A29" s="211"/>
      <c r="B29" s="212" t="s">
        <v>2</v>
      </c>
      <c r="C29" s="213" t="s">
        <v>824</v>
      </c>
      <c r="D29" s="214" t="str">
        <f>IFERROR(VLOOKUP($C29,'PORTIFÓLIO'!C:V,2,0),"")</f>
        <v>CLORANTRANILIPROLE</v>
      </c>
      <c r="E29" s="211">
        <f>IFERROR(VLOOKUP($C29,'PORTIFÓLIO'!C:V,3,0),"")</f>
        <v>200</v>
      </c>
      <c r="F29" s="211" t="str">
        <f>IFERROR(VLOOKUP($C29,'PORTIFÓLIO'!C:V,4,0),"")</f>
        <v>L</v>
      </c>
      <c r="G29" s="225" t="str">
        <f>IFERROR(VLOOKUP($C29,'PORTIFÓLIO'!C:V,5,0),"")</f>
        <v>📄 Ver bula</v>
      </c>
      <c r="H29" s="254">
        <f t="array" ref="H29">IFERROR(INDEX('PORTIFÓLIO'!$H$4:$H$433,MATCH($C29,'PORTIFÓLIO'!$C$4:$C$433,0)),"")</f>
        <v>0.1</v>
      </c>
      <c r="I29" s="255">
        <v>0.04</v>
      </c>
      <c r="J29" s="218">
        <f t="shared" si="4"/>
        <v>12.52</v>
      </c>
      <c r="K29" s="219">
        <f t="array" ref="K29">IFERROR(I29*INDEX('PORTIFÓLIO'!$S$4:$S$433,MATCH($C29,'PORTIFÓLIO'!$C$4:$C$433,0)),"")</f>
        <v>11.31855</v>
      </c>
      <c r="L29" s="219">
        <f t="array" ref="L29">IFERROR(J29*INDEX('PORTIFÓLIO'!$S$4:$S$433,MATCH($C29,'PORTIFÓLIO'!$C$4:$C$433,0)),"")</f>
        <v>3542.70615</v>
      </c>
      <c r="M29" s="220"/>
      <c r="N29" s="220"/>
      <c r="O29" s="220"/>
      <c r="P29" s="220"/>
      <c r="Q29" s="220"/>
      <c r="R29" s="220"/>
      <c r="S29" s="220"/>
      <c r="T29" s="220"/>
      <c r="U29" s="220"/>
      <c r="V29" s="220"/>
      <c r="W29" s="220"/>
    </row>
    <row r="30" ht="15.75" customHeight="1" outlineLevel="1">
      <c r="A30" s="211"/>
      <c r="B30" s="212" t="s">
        <v>2</v>
      </c>
      <c r="C30" s="213" t="s">
        <v>788</v>
      </c>
      <c r="D30" s="214" t="str">
        <f>IFERROR(VLOOKUP($C30,'PORTIFÓLIO'!C:V,2,0),"")</f>
        <v>FIPRONIL</v>
      </c>
      <c r="E30" s="211">
        <f>IFERROR(VLOOKUP($C30,'PORTIFÓLIO'!C:V,3,0),"")</f>
        <v>800</v>
      </c>
      <c r="F30" s="211" t="str">
        <f>IFERROR(VLOOKUP($C30,'PORTIFÓLIO'!C:V,4,0),"")</f>
        <v>L</v>
      </c>
      <c r="G30" s="225" t="str">
        <f>IFERROR(VLOOKUP($C30,'PORTIFÓLIO'!C:V,5,0),"")</f>
        <v>📄 Ver bula</v>
      </c>
      <c r="H30" s="254">
        <f t="array" ref="H30">IFERROR(INDEX('PORTIFÓLIO'!$H$4:$H$433,MATCH($C30,'PORTIFÓLIO'!$C$4:$C$433,0)),"")</f>
        <v>0.04</v>
      </c>
      <c r="I30" s="255">
        <v>0.04</v>
      </c>
      <c r="J30" s="218">
        <f t="shared" si="4"/>
        <v>12.52</v>
      </c>
      <c r="K30" s="219">
        <f t="array" ref="K30">IFERROR(I30*INDEX('PORTIFÓLIO'!$S$4:$S$433,MATCH($C30,'PORTIFÓLIO'!$C$4:$C$433,0)),"")</f>
        <v>9.9054012</v>
      </c>
      <c r="L30" s="219">
        <f t="array" ref="L30">IFERROR(J30*INDEX('PORTIFÓLIO'!$S$4:$S$433,MATCH($C30,'PORTIFÓLIO'!$C$4:$C$433,0)),"")</f>
        <v>3100.390576</v>
      </c>
      <c r="M30" s="220"/>
      <c r="N30" s="220"/>
      <c r="O30" s="220"/>
      <c r="P30" s="220"/>
      <c r="Q30" s="220"/>
      <c r="R30" s="220"/>
      <c r="S30" s="220"/>
      <c r="T30" s="220"/>
      <c r="U30" s="220"/>
      <c r="V30" s="220"/>
      <c r="W30" s="220"/>
    </row>
    <row r="31" ht="15.75" customHeight="1" outlineLevel="1">
      <c r="A31" s="211"/>
      <c r="B31" s="212"/>
      <c r="C31" s="213"/>
      <c r="D31" s="214" t="str">
        <f>IFERROR(VLOOKUP($C31,'PORTIFÓLIO'!C:V,2,0),"")</f>
        <v/>
      </c>
      <c r="E31" s="211" t="str">
        <f>IFERROR(VLOOKUP($C31,'PORTIFÓLIO'!C:V,3,0),"")</f>
        <v/>
      </c>
      <c r="F31" s="211" t="str">
        <f>IFERROR(VLOOKUP($C31,'PORTIFÓLIO'!C:V,4,0),"")</f>
        <v/>
      </c>
      <c r="G31" s="215" t="str">
        <f>IFERROR(VLOOKUP($C31,'PORTIFÓLIO'!C:V,5,0),"")</f>
        <v/>
      </c>
      <c r="H31" s="254" t="str">
        <f t="array" ref="H31">IFERROR(INDEX('PORTIFÓLIO'!$H$4:$H$433,MATCH($C31,'PORTIFÓLIO'!$C$4:$C$433,0)),"")</f>
        <v/>
      </c>
      <c r="I31" s="255"/>
      <c r="J31" s="218">
        <f t="shared" si="4"/>
        <v>0</v>
      </c>
      <c r="K31" s="219" t="str">
        <f t="array" ref="K31">IFERROR(I31*INDEX('PORTIFÓLIO'!$S$4:$S$433,MATCH($C31,'PORTIFÓLIO'!$C$4:$C$433,0)),"")</f>
        <v/>
      </c>
      <c r="L31" s="219" t="str">
        <f t="array" ref="L31">IFERROR(J31*INDEX('PORTIFÓLIO'!$S$4:$S$433,MATCH($C31,'PORTIFÓLIO'!$C$4:$C$433,0)),"")</f>
        <v/>
      </c>
      <c r="M31" s="220"/>
      <c r="N31" s="220"/>
      <c r="O31" s="220"/>
      <c r="P31" s="220"/>
      <c r="Q31" s="220"/>
      <c r="R31" s="220"/>
      <c r="S31" s="220"/>
      <c r="T31" s="220"/>
      <c r="U31" s="220"/>
      <c r="V31" s="220"/>
      <c r="W31" s="220"/>
    </row>
    <row r="32" ht="15.75" customHeight="1" outlineLevel="1">
      <c r="A32" s="211"/>
      <c r="B32" s="212"/>
      <c r="C32" s="213"/>
      <c r="D32" s="214" t="str">
        <f>IFERROR(VLOOKUP($C32,'PORTIFÓLIO'!C:V,2,0),"")</f>
        <v/>
      </c>
      <c r="E32" s="211" t="str">
        <f>IFERROR(VLOOKUP($C32,'PORTIFÓLIO'!C:V,3,0),"")</f>
        <v/>
      </c>
      <c r="F32" s="211" t="str">
        <f>IFERROR(VLOOKUP($C32,'PORTIFÓLIO'!C:V,4,0),"")</f>
        <v/>
      </c>
      <c r="G32" s="215" t="str">
        <f>IFERROR(VLOOKUP($C32,'PORTIFÓLIO'!C:V,5,0),"")</f>
        <v/>
      </c>
      <c r="H32" s="254" t="str">
        <f t="array" ref="H32">IFERROR(INDEX('PORTIFÓLIO'!$H$4:$H$433,MATCH($C32,'PORTIFÓLIO'!$C$4:$C$433,0)),"")</f>
        <v/>
      </c>
      <c r="I32" s="256"/>
      <c r="J32" s="218">
        <f t="shared" si="4"/>
        <v>0</v>
      </c>
      <c r="K32" s="219" t="str">
        <f t="array" ref="K32">IFERROR(I32*INDEX('PORTIFÓLIO'!$S$4:$S$433,MATCH($C32,'PORTIFÓLIO'!$C$4:$C$433,0)),"")</f>
        <v/>
      </c>
      <c r="L32" s="219" t="str">
        <f t="array" ref="L32">IFERROR(J32*INDEX('PORTIFÓLIO'!$S$4:$S$433,MATCH($C32,'PORTIFÓLIO'!$C$4:$C$433,0)),"")</f>
        <v/>
      </c>
      <c r="M32" s="220"/>
      <c r="N32" s="220"/>
      <c r="O32" s="220"/>
      <c r="P32" s="220"/>
      <c r="Q32" s="220"/>
      <c r="R32" s="220"/>
      <c r="S32" s="220"/>
      <c r="T32" s="220"/>
      <c r="U32" s="220"/>
      <c r="V32" s="220"/>
      <c r="W32" s="220"/>
    </row>
    <row r="33" ht="15.75" customHeight="1" outlineLevel="1">
      <c r="A33" s="211"/>
      <c r="B33" s="212"/>
      <c r="C33" s="213"/>
      <c r="D33" s="214" t="str">
        <f>IFERROR(VLOOKUP($C33,'PORTIFÓLIO'!C:V,2,0),"")</f>
        <v/>
      </c>
      <c r="E33" s="211" t="str">
        <f>IFERROR(VLOOKUP($C33,'PORTIFÓLIO'!C:V,3,0),"")</f>
        <v/>
      </c>
      <c r="F33" s="211" t="str">
        <f>IFERROR(VLOOKUP($C33,'PORTIFÓLIO'!C:V,4,0),"")</f>
        <v/>
      </c>
      <c r="G33" s="215" t="str">
        <f>IFERROR(VLOOKUP($C33,'PORTIFÓLIO'!C:V,5,0),"")</f>
        <v/>
      </c>
      <c r="H33" s="254" t="str">
        <f t="array" ref="H33">IFERROR(INDEX('PORTIFÓLIO'!$H$4:$H$433,MATCH($C33,'PORTIFÓLIO'!$C$4:$C$433,0)),"")</f>
        <v/>
      </c>
      <c r="I33" s="256"/>
      <c r="J33" s="218">
        <f t="shared" si="4"/>
        <v>0</v>
      </c>
      <c r="K33" s="219" t="str">
        <f t="array" ref="K33">IFERROR(I33*INDEX('PORTIFÓLIO'!$S$4:$S$433,MATCH($C33,'PORTIFÓLIO'!$C$4:$C$433,0)),"")</f>
        <v/>
      </c>
      <c r="L33" s="219" t="str">
        <f t="array" ref="L33">IFERROR(J33*INDEX('PORTIFÓLIO'!$S$4:$S$433,MATCH($C33,'PORTIFÓLIO'!$C$4:$C$433,0)),"")</f>
        <v/>
      </c>
      <c r="M33" s="220"/>
      <c r="N33" s="220"/>
      <c r="O33" s="220"/>
      <c r="P33" s="220"/>
      <c r="Q33" s="220"/>
      <c r="R33" s="220"/>
      <c r="S33" s="220"/>
      <c r="T33" s="220"/>
      <c r="U33" s="220"/>
      <c r="V33" s="220"/>
      <c r="W33" s="220"/>
    </row>
    <row r="34" ht="15.75" customHeight="1" outlineLevel="1">
      <c r="A34" s="211"/>
      <c r="B34" s="212"/>
      <c r="C34" s="213"/>
      <c r="D34" s="214" t="str">
        <f>IFERROR(VLOOKUP($C34,'PORTIFÓLIO'!C:V,2,0),"")</f>
        <v/>
      </c>
      <c r="E34" s="211" t="str">
        <f>IFERROR(VLOOKUP($C34,'PORTIFÓLIO'!C:V,3,0),"")</f>
        <v/>
      </c>
      <c r="F34" s="211" t="str">
        <f>IFERROR(VLOOKUP($C34,'PORTIFÓLIO'!C:V,4,0),"")</f>
        <v/>
      </c>
      <c r="G34" s="215" t="str">
        <f>IFERROR(VLOOKUP($C34,'PORTIFÓLIO'!C:V,5,0),"")</f>
        <v/>
      </c>
      <c r="H34" s="254" t="str">
        <f t="array" ref="H34">IFERROR(INDEX('PORTIFÓLIO'!$H$4:$H$433,MATCH($C34,'PORTIFÓLIO'!$C$4:$C$433,0)),"")</f>
        <v/>
      </c>
      <c r="I34" s="255"/>
      <c r="J34" s="218">
        <f t="shared" si="4"/>
        <v>0</v>
      </c>
      <c r="K34" s="219" t="str">
        <f t="array" ref="K34">IFERROR(I34*INDEX('PORTIFÓLIO'!$S$4:$S$433,MATCH($C34,'PORTIFÓLIO'!$C$4:$C$433,0)),"")</f>
        <v/>
      </c>
      <c r="L34" s="219" t="str">
        <f t="array" ref="L34">IFERROR(J34*INDEX('PORTIFÓLIO'!$S$4:$S$433,MATCH($C34,'PORTIFÓLIO'!$C$4:$C$433,0)),"")</f>
        <v/>
      </c>
      <c r="M34" s="220"/>
      <c r="N34" s="220"/>
      <c r="O34" s="220"/>
      <c r="P34" s="220"/>
      <c r="Q34" s="220"/>
      <c r="R34" s="220"/>
      <c r="S34" s="220"/>
      <c r="T34" s="220"/>
      <c r="U34" s="220"/>
      <c r="V34" s="220"/>
      <c r="W34" s="220"/>
    </row>
    <row r="35" ht="15.75" customHeight="1" outlineLevel="1">
      <c r="A35" s="211"/>
      <c r="B35" s="212"/>
      <c r="C35" s="213"/>
      <c r="D35" s="214" t="str">
        <f>IFERROR(VLOOKUP($C35,'PORTIFÓLIO'!C:V,2,0),"")</f>
        <v/>
      </c>
      <c r="E35" s="211" t="str">
        <f>IFERROR(VLOOKUP($C35,'PORTIFÓLIO'!C:V,3,0),"")</f>
        <v/>
      </c>
      <c r="F35" s="211" t="str">
        <f>IFERROR(VLOOKUP($C35,'PORTIFÓLIO'!C:V,4,0),"")</f>
        <v/>
      </c>
      <c r="G35" s="215" t="str">
        <f>IFERROR(VLOOKUP($C35,'PORTIFÓLIO'!C:V,5,0),"")</f>
        <v/>
      </c>
      <c r="H35" s="254" t="str">
        <f t="array" ref="H35">IFERROR(INDEX('PORTIFÓLIO'!$H$4:$H$433,MATCH($C35,'PORTIFÓLIO'!$C$4:$C$433,0)),"")</f>
        <v/>
      </c>
      <c r="I35" s="256"/>
      <c r="J35" s="218">
        <f t="shared" si="4"/>
        <v>0</v>
      </c>
      <c r="K35" s="219" t="str">
        <f t="array" ref="K35">IFERROR(I35*INDEX('PORTIFÓLIO'!$S$4:$S$433,MATCH($C35,'PORTIFÓLIO'!$C$4:$C$433,0)),"")</f>
        <v/>
      </c>
      <c r="L35" s="219" t="str">
        <f t="array" ref="L35">IFERROR(J35*INDEX('PORTIFÓLIO'!$S$4:$S$433,MATCH($C35,'PORTIFÓLIO'!$C$4:$C$433,0)),"")</f>
        <v/>
      </c>
      <c r="M35" s="220"/>
      <c r="N35" s="220"/>
      <c r="O35" s="220"/>
      <c r="P35" s="220"/>
      <c r="Q35" s="220"/>
      <c r="R35" s="220"/>
      <c r="S35" s="220"/>
      <c r="T35" s="220"/>
      <c r="U35" s="220"/>
      <c r="V35" s="220"/>
      <c r="W35" s="220"/>
    </row>
    <row r="36" ht="15.75" customHeight="1" outlineLevel="1">
      <c r="A36" s="211"/>
      <c r="B36" s="212"/>
      <c r="C36" s="213"/>
      <c r="D36" s="214" t="str">
        <f>IFERROR(VLOOKUP($C36,'PORTIFÓLIO'!C:V,2,0),"")</f>
        <v/>
      </c>
      <c r="E36" s="211" t="str">
        <f>IFERROR(VLOOKUP($C36,'PORTIFÓLIO'!C:V,3,0),"")</f>
        <v/>
      </c>
      <c r="F36" s="211" t="str">
        <f>IFERROR(VLOOKUP($C36,'PORTIFÓLIO'!C:V,4,0),"")</f>
        <v/>
      </c>
      <c r="G36" s="215" t="str">
        <f>IFERROR(VLOOKUP($C36,'PORTIFÓLIO'!C:V,5,0),"")</f>
        <v/>
      </c>
      <c r="H36" s="254" t="str">
        <f t="array" ref="H36">IFERROR(INDEX('PORTIFÓLIO'!$H$4:$H$433,MATCH($C36,'PORTIFÓLIO'!$C$4:$C$433,0)),"")</f>
        <v/>
      </c>
      <c r="I36" s="256"/>
      <c r="J36" s="218">
        <f t="shared" si="4"/>
        <v>0</v>
      </c>
      <c r="K36" s="219" t="str">
        <f t="array" ref="K36">IFERROR(I36*INDEX('PORTIFÓLIO'!$S$4:$S$433,MATCH($C36,'PORTIFÓLIO'!$C$4:$C$433,0)),"")</f>
        <v/>
      </c>
      <c r="L36" s="219" t="str">
        <f t="array" ref="L36">IFERROR(J36*INDEX('PORTIFÓLIO'!$S$4:$S$433,MATCH($C36,'PORTIFÓLIO'!$C$4:$C$433,0)),"")</f>
        <v/>
      </c>
      <c r="M36" s="220"/>
      <c r="N36" s="220"/>
      <c r="O36" s="220"/>
      <c r="P36" s="220"/>
      <c r="Q36" s="220"/>
      <c r="R36" s="220"/>
      <c r="S36" s="220"/>
      <c r="T36" s="220"/>
      <c r="U36" s="220"/>
      <c r="V36" s="220"/>
      <c r="W36" s="220"/>
    </row>
    <row r="37" ht="15.75" customHeight="1" outlineLevel="1">
      <c r="A37" s="211"/>
      <c r="B37" s="212"/>
      <c r="C37" s="213"/>
      <c r="D37" s="214" t="str">
        <f>IFERROR(VLOOKUP($C37,'PORTIFÓLIO'!C:V,2,0),"")</f>
        <v/>
      </c>
      <c r="E37" s="211" t="str">
        <f>IFERROR(VLOOKUP($C37,'PORTIFÓLIO'!C:V,3,0),"")</f>
        <v/>
      </c>
      <c r="F37" s="211" t="str">
        <f>IFERROR(VLOOKUP($C37,'PORTIFÓLIO'!C:V,4,0),"")</f>
        <v/>
      </c>
      <c r="G37" s="215" t="str">
        <f>IFERROR(VLOOKUP($C37,'PORTIFÓLIO'!C:V,5,0),"")</f>
        <v/>
      </c>
      <c r="H37" s="254" t="str">
        <f t="array" ref="H37">IFERROR(INDEX('PORTIFÓLIO'!$H$4:$H$433,MATCH($C37,'PORTIFÓLIO'!$C$4:$C$433,0)),"")</f>
        <v/>
      </c>
      <c r="I37" s="256"/>
      <c r="J37" s="218">
        <f t="shared" si="4"/>
        <v>0</v>
      </c>
      <c r="K37" s="219" t="str">
        <f t="array" ref="K37">IFERROR(I37*INDEX('PORTIFÓLIO'!$S$4:$S$433,MATCH($C37,'PORTIFÓLIO'!$C$4:$C$433,0)),"")</f>
        <v/>
      </c>
      <c r="L37" s="219" t="str">
        <f t="array" ref="L37">IFERROR(J37*INDEX('PORTIFÓLIO'!$S$4:$S$433,MATCH($C37,'PORTIFÓLIO'!$C$4:$C$433,0)),"")</f>
        <v/>
      </c>
      <c r="M37" s="220"/>
      <c r="N37" s="220"/>
      <c r="O37" s="220"/>
      <c r="P37" s="220"/>
      <c r="Q37" s="220"/>
      <c r="R37" s="220"/>
      <c r="S37" s="220"/>
      <c r="T37" s="220"/>
      <c r="U37" s="220"/>
      <c r="V37" s="220"/>
      <c r="W37" s="220"/>
    </row>
    <row r="38" ht="15.75" customHeight="1" outlineLevel="1">
      <c r="A38" s="211"/>
      <c r="B38" s="212"/>
      <c r="C38" s="213"/>
      <c r="D38" s="214" t="str">
        <f>IFERROR(VLOOKUP($C38,'PORTIFÓLIO'!C:V,2,0),"")</f>
        <v/>
      </c>
      <c r="E38" s="211" t="str">
        <f>IFERROR(VLOOKUP($C38,'PORTIFÓLIO'!C:V,3,0),"")</f>
        <v/>
      </c>
      <c r="F38" s="211" t="str">
        <f>IFERROR(VLOOKUP($C38,'PORTIFÓLIO'!C:V,4,0),"")</f>
        <v/>
      </c>
      <c r="G38" s="215" t="str">
        <f>IFERROR(VLOOKUP($C38,'PORTIFÓLIO'!C:V,5,0),"")</f>
        <v/>
      </c>
      <c r="H38" s="254" t="str">
        <f t="array" ref="H38">IFERROR(INDEX('PORTIFÓLIO'!$H$4:$H$433,MATCH($C38,'PORTIFÓLIO'!$C$4:$C$433,0)),"")</f>
        <v/>
      </c>
      <c r="I38" s="256"/>
      <c r="J38" s="218">
        <f t="shared" si="4"/>
        <v>0</v>
      </c>
      <c r="K38" s="219" t="str">
        <f t="array" ref="K38">IFERROR(I38*INDEX('PORTIFÓLIO'!$S$4:$S$433,MATCH($C38,'PORTIFÓLIO'!$C$4:$C$433,0)),"")</f>
        <v/>
      </c>
      <c r="L38" s="219" t="str">
        <f t="array" ref="L38">IFERROR(J38*INDEX('PORTIFÓLIO'!$S$4:$S$433,MATCH($C38,'PORTIFÓLIO'!$C$4:$C$433,0)),"")</f>
        <v/>
      </c>
      <c r="M38" s="220"/>
      <c r="N38" s="220"/>
      <c r="O38" s="220"/>
      <c r="P38" s="220"/>
      <c r="Q38" s="220"/>
      <c r="R38" s="220"/>
      <c r="S38" s="220"/>
      <c r="T38" s="220"/>
      <c r="U38" s="220"/>
      <c r="V38" s="220"/>
      <c r="W38" s="220"/>
    </row>
    <row r="39" ht="15.75" customHeight="1" outlineLevel="1">
      <c r="A39" s="211"/>
      <c r="B39" s="212"/>
      <c r="C39" s="213"/>
      <c r="D39" s="214" t="str">
        <f>IFERROR(VLOOKUP($C39,'PORTIFÓLIO'!C:V,2,0),"")</f>
        <v/>
      </c>
      <c r="E39" s="211" t="str">
        <f>IFERROR(VLOOKUP($C39,'PORTIFÓLIO'!C:V,3,0),"")</f>
        <v/>
      </c>
      <c r="F39" s="211" t="str">
        <f>IFERROR(VLOOKUP($C39,'PORTIFÓLIO'!C:V,4,0),"")</f>
        <v/>
      </c>
      <c r="G39" s="215" t="str">
        <f>IFERROR(VLOOKUP($C39,'PORTIFÓLIO'!C:V,5,0),"")</f>
        <v/>
      </c>
      <c r="H39" s="254" t="str">
        <f t="array" ref="H39">IFERROR(INDEX('PORTIFÓLIO'!$H$4:$H$433,MATCH($C39,'PORTIFÓLIO'!$C$4:$C$433,0)),"")</f>
        <v/>
      </c>
      <c r="I39" s="256"/>
      <c r="J39" s="218">
        <f t="shared" si="4"/>
        <v>0</v>
      </c>
      <c r="K39" s="219" t="str">
        <f t="array" ref="K39">IFERROR(I39*INDEX('PORTIFÓLIO'!$S$4:$S$433,MATCH($C39,'PORTIFÓLIO'!$C$4:$C$433,0)),"")</f>
        <v/>
      </c>
      <c r="L39" s="219" t="str">
        <f t="array" ref="L39">IFERROR(J39*INDEX('PORTIFÓLIO'!$S$4:$S$433,MATCH($C39,'PORTIFÓLIO'!$C$4:$C$433,0)),"")</f>
        <v/>
      </c>
      <c r="M39" s="220"/>
      <c r="N39" s="220"/>
      <c r="O39" s="220"/>
      <c r="P39" s="220"/>
      <c r="Q39" s="220"/>
      <c r="R39" s="220"/>
      <c r="S39" s="220"/>
      <c r="T39" s="220"/>
      <c r="U39" s="220"/>
      <c r="V39" s="220"/>
      <c r="W39" s="220"/>
    </row>
    <row r="40" ht="15.75" customHeight="1" outlineLevel="1">
      <c r="A40" s="211"/>
      <c r="B40" s="212"/>
      <c r="C40" s="213"/>
      <c r="D40" s="214" t="str">
        <f>IFERROR(VLOOKUP($C40,'PORTIFÓLIO'!C:V,2,0),"")</f>
        <v/>
      </c>
      <c r="E40" s="211" t="str">
        <f>IFERROR(VLOOKUP($C40,'PORTIFÓLIO'!C:V,3,0),"")</f>
        <v/>
      </c>
      <c r="F40" s="211" t="str">
        <f>IFERROR(VLOOKUP($C40,'PORTIFÓLIO'!C:V,4,0),"")</f>
        <v/>
      </c>
      <c r="G40" s="215" t="str">
        <f>IFERROR(VLOOKUP($C40,'PORTIFÓLIO'!C:V,5,0),"")</f>
        <v/>
      </c>
      <c r="H40" s="254" t="str">
        <f t="array" ref="H40">IFERROR(INDEX('PORTIFÓLIO'!$H$4:$H$433,MATCH($C40,'PORTIFÓLIO'!$C$4:$C$433,0)),"")</f>
        <v/>
      </c>
      <c r="I40" s="256"/>
      <c r="J40" s="218">
        <f t="shared" si="4"/>
        <v>0</v>
      </c>
      <c r="K40" s="219" t="str">
        <f t="array" ref="K40">IFERROR(I40*INDEX('PORTIFÓLIO'!$S$4:$S$433,MATCH($C40,'PORTIFÓLIO'!$C$4:$C$433,0)),"")</f>
        <v/>
      </c>
      <c r="L40" s="219" t="str">
        <f t="array" ref="L40">IFERROR(J40*INDEX('PORTIFÓLIO'!$S$4:$S$433,MATCH($C40,'PORTIFÓLIO'!$C$4:$C$433,0)),"")</f>
        <v/>
      </c>
      <c r="M40" s="220"/>
      <c r="N40" s="220"/>
      <c r="O40" s="220"/>
      <c r="P40" s="220"/>
      <c r="Q40" s="220"/>
      <c r="R40" s="220"/>
      <c r="S40" s="220"/>
      <c r="T40" s="220"/>
      <c r="U40" s="220"/>
      <c r="V40" s="220"/>
      <c r="W40" s="220"/>
    </row>
    <row r="41" ht="15.75" customHeight="1" outlineLevel="1">
      <c r="A41" s="211"/>
      <c r="B41" s="212"/>
      <c r="C41" s="213"/>
      <c r="D41" s="214" t="str">
        <f>IFERROR(VLOOKUP($C41,'PORTIFÓLIO'!C:V,2,0),"")</f>
        <v/>
      </c>
      <c r="E41" s="211" t="str">
        <f>IFERROR(VLOOKUP($C41,'PORTIFÓLIO'!C:V,3,0),"")</f>
        <v/>
      </c>
      <c r="F41" s="211" t="str">
        <f>IFERROR(VLOOKUP($C41,'PORTIFÓLIO'!C:V,4,0),"")</f>
        <v/>
      </c>
      <c r="G41" s="215" t="str">
        <f>IFERROR(VLOOKUP($C41,'PORTIFÓLIO'!C:V,5,0),"")</f>
        <v/>
      </c>
      <c r="H41" s="254" t="str">
        <f t="array" ref="H41">IFERROR(INDEX('PORTIFÓLIO'!$H$4:$H$433,MATCH($C41,'PORTIFÓLIO'!$C$4:$C$433,0)),"")</f>
        <v/>
      </c>
      <c r="I41" s="256"/>
      <c r="J41" s="218">
        <f t="shared" si="4"/>
        <v>0</v>
      </c>
      <c r="K41" s="219" t="str">
        <f t="array" ref="K41">IFERROR(I41*INDEX('PORTIFÓLIO'!$S$4:$S$433,MATCH($C41,'PORTIFÓLIO'!$C$4:$C$433,0)),"")</f>
        <v/>
      </c>
      <c r="L41" s="219" t="str">
        <f t="array" ref="L41">IFERROR(J41*INDEX('PORTIFÓLIO'!$S$4:$S$433,MATCH($C41,'PORTIFÓLIO'!$C$4:$C$433,0)),"")</f>
        <v/>
      </c>
      <c r="M41" s="220"/>
      <c r="N41" s="220"/>
      <c r="O41" s="220"/>
      <c r="P41" s="220"/>
      <c r="Q41" s="220"/>
      <c r="R41" s="220"/>
      <c r="S41" s="220"/>
      <c r="T41" s="220"/>
      <c r="U41" s="220"/>
      <c r="V41" s="220"/>
      <c r="W41" s="220"/>
    </row>
    <row r="42" ht="15.75" customHeight="1" outlineLevel="1">
      <c r="A42" s="211"/>
      <c r="B42" s="212"/>
      <c r="C42" s="213"/>
      <c r="D42" s="214" t="str">
        <f>IFERROR(VLOOKUP($C42,'PORTIFÓLIO'!C:V,2,0),"")</f>
        <v/>
      </c>
      <c r="E42" s="211" t="str">
        <f>IFERROR(VLOOKUP($C42,'PORTIFÓLIO'!C:V,3,0),"")</f>
        <v/>
      </c>
      <c r="F42" s="211" t="str">
        <f>IFERROR(VLOOKUP($C42,'PORTIFÓLIO'!C:V,4,0),"")</f>
        <v/>
      </c>
      <c r="G42" s="215" t="str">
        <f>IFERROR(VLOOKUP($C42,'PORTIFÓLIO'!C:V,5,0),"")</f>
        <v/>
      </c>
      <c r="H42" s="254" t="str">
        <f t="array" ref="H42">IFERROR(INDEX('PORTIFÓLIO'!$H$4:$H$433,MATCH($C42,'PORTIFÓLIO'!$C$4:$C$433,0)),"")</f>
        <v/>
      </c>
      <c r="I42" s="256"/>
      <c r="J42" s="218">
        <f t="shared" si="4"/>
        <v>0</v>
      </c>
      <c r="K42" s="219" t="str">
        <f t="array" ref="K42">IFERROR(I42*INDEX('PORTIFÓLIO'!$S$4:$S$433,MATCH($C42,'PORTIFÓLIO'!$C$4:$C$433,0)),"")</f>
        <v/>
      </c>
      <c r="L42" s="219" t="str">
        <f t="array" ref="L42">IFERROR(J42*INDEX('PORTIFÓLIO'!$S$4:$S$433,MATCH($C42,'PORTIFÓLIO'!$C$4:$C$433,0)),"")</f>
        <v/>
      </c>
      <c r="M42" s="220"/>
      <c r="N42" s="220"/>
      <c r="O42" s="220"/>
      <c r="P42" s="220"/>
      <c r="Q42" s="220"/>
      <c r="R42" s="220"/>
      <c r="S42" s="220"/>
      <c r="T42" s="220"/>
      <c r="U42" s="220"/>
      <c r="V42" s="220"/>
      <c r="W42" s="220"/>
    </row>
    <row r="43" ht="15.75" customHeight="1" outlineLevel="1">
      <c r="A43" s="211"/>
      <c r="B43" s="212"/>
      <c r="C43" s="213"/>
      <c r="D43" s="214" t="str">
        <f>IFERROR(VLOOKUP($C43,'PORTIFÓLIO'!C:V,2,0),"")</f>
        <v/>
      </c>
      <c r="E43" s="211" t="str">
        <f>IFERROR(VLOOKUP($C43,'PORTIFÓLIO'!C:V,3,0),"")</f>
        <v/>
      </c>
      <c r="F43" s="211" t="str">
        <f>IFERROR(VLOOKUP($C43,'PORTIFÓLIO'!C:V,4,0),"")</f>
        <v/>
      </c>
      <c r="G43" s="215" t="str">
        <f>IFERROR(VLOOKUP($C43,'PORTIFÓLIO'!C:V,5,0),"")</f>
        <v/>
      </c>
      <c r="H43" s="254" t="str">
        <f t="array" ref="H43">IFERROR(INDEX('PORTIFÓLIO'!$H$4:$H$433,MATCH($C43,'PORTIFÓLIO'!$C$4:$C$433,0)),"")</f>
        <v/>
      </c>
      <c r="I43" s="256"/>
      <c r="J43" s="218">
        <f t="shared" si="4"/>
        <v>0</v>
      </c>
      <c r="K43" s="219" t="str">
        <f t="array" ref="K43">IFERROR(I43*INDEX('PORTIFÓLIO'!$S$4:$S$433,MATCH($C43,'PORTIFÓLIO'!$C$4:$C$433,0)),"")</f>
        <v/>
      </c>
      <c r="L43" s="219" t="str">
        <f t="array" ref="L43">IFERROR(J43*INDEX('PORTIFÓLIO'!$S$4:$S$433,MATCH($C43,'PORTIFÓLIO'!$C$4:$C$433,0)),"")</f>
        <v/>
      </c>
      <c r="M43" s="220"/>
      <c r="N43" s="220"/>
      <c r="O43" s="220"/>
      <c r="P43" s="220"/>
      <c r="Q43" s="220"/>
      <c r="R43" s="220"/>
      <c r="S43" s="220"/>
      <c r="T43" s="220"/>
      <c r="U43" s="220"/>
      <c r="V43" s="220"/>
      <c r="W43" s="220"/>
    </row>
    <row r="44" ht="15.75" customHeight="1">
      <c r="A44" s="229" t="s">
        <v>1185</v>
      </c>
      <c r="B44" s="230"/>
      <c r="C44" s="231"/>
      <c r="D44" s="232" t="s">
        <v>216</v>
      </c>
      <c r="E44" s="231"/>
      <c r="F44" s="231"/>
      <c r="G44" s="233"/>
      <c r="H44" s="233"/>
      <c r="I44" s="258"/>
      <c r="J44" s="236"/>
      <c r="K44" s="237">
        <f t="shared" ref="K44:L44" si="5">SUBTOTAL(9,K45:K58)</f>
        <v>155.25258</v>
      </c>
      <c r="L44" s="237">
        <f t="shared" si="5"/>
        <v>48594.05754</v>
      </c>
      <c r="M44" s="220"/>
      <c r="N44" s="220"/>
      <c r="O44" s="220"/>
      <c r="P44" s="220"/>
      <c r="Q44" s="220"/>
      <c r="R44" s="220"/>
      <c r="S44" s="220"/>
      <c r="T44" s="220"/>
      <c r="U44" s="220"/>
      <c r="V44" s="220"/>
      <c r="W44" s="220"/>
    </row>
    <row r="45" ht="15.75" customHeight="1" outlineLevel="1">
      <c r="A45" s="213"/>
      <c r="B45" s="212" t="s">
        <v>1</v>
      </c>
      <c r="C45" s="213" t="s">
        <v>683</v>
      </c>
      <c r="D45" s="214" t="str">
        <f>IFERROR(VLOOKUP($C45,'PORTIFÓLIO'!C:V,2,0),"")</f>
        <v>GLUFOSINATO - SAL DE AMONIO</v>
      </c>
      <c r="E45" s="211">
        <f>IFERROR(VLOOKUP($C45,'PORTIFÓLIO'!C:V,3,0),"")</f>
        <v>880</v>
      </c>
      <c r="F45" s="211" t="str">
        <f>IFERROR(VLOOKUP($C45,'PORTIFÓLIO'!C:V,4,0),"")</f>
        <v>L</v>
      </c>
      <c r="G45" s="225" t="str">
        <f>IFERROR(VLOOKUP($C45,'PORTIFÓLIO'!C:V,5,0),"")</f>
        <v>📄 Ver bula</v>
      </c>
      <c r="H45" s="254">
        <f t="array" ref="H45">IFERROR(INDEX('PORTIFÓLIO'!$H$4:$H$433,MATCH($C45,'PORTIFÓLIO'!$C$4:$C$433,0)),"")</f>
        <v>0.5</v>
      </c>
      <c r="I45" s="255">
        <v>0.5</v>
      </c>
      <c r="J45" s="218">
        <f t="shared" ref="J45:J62" si="6">I45*$B$2</f>
        <v>156.5</v>
      </c>
      <c r="K45" s="219">
        <f t="array" ref="K45">IFERROR(I45*INDEX('PORTIFÓLIO'!$S$4:$S$433,MATCH($C45,'PORTIFÓLIO'!$C$4:$C$433,0)),"")</f>
        <v>23.01917</v>
      </c>
      <c r="L45" s="219">
        <f t="array" ref="L45">IFERROR(J45*INDEX('PORTIFÓLIO'!$S$4:$S$433,MATCH($C45,'PORTIFÓLIO'!$C$4:$C$433,0)),"")</f>
        <v>7205.00021</v>
      </c>
      <c r="M45" s="220"/>
      <c r="N45" s="220"/>
      <c r="O45" s="220"/>
      <c r="P45" s="220"/>
      <c r="Q45" s="220"/>
      <c r="R45" s="220"/>
      <c r="S45" s="220"/>
      <c r="T45" s="220"/>
      <c r="U45" s="220"/>
      <c r="V45" s="220"/>
      <c r="W45" s="220"/>
    </row>
    <row r="46" ht="15.75" customHeight="1" outlineLevel="1">
      <c r="A46" s="211"/>
      <c r="B46" s="212" t="s">
        <v>1</v>
      </c>
      <c r="C46" s="213" t="s">
        <v>693</v>
      </c>
      <c r="D46" s="214" t="str">
        <f>IFERROR(VLOOKUP($C46,'PORTIFÓLIO'!C:V,2,0),"")</f>
        <v>CLOMAZONA</v>
      </c>
      <c r="E46" s="211">
        <f>IFERROR(VLOOKUP($C46,'PORTIFÓLIO'!C:V,3,0),"")</f>
        <v>360</v>
      </c>
      <c r="F46" s="211" t="str">
        <f>IFERROR(VLOOKUP($C46,'PORTIFÓLIO'!C:V,4,0),"")</f>
        <v>L</v>
      </c>
      <c r="G46" s="225" t="str">
        <f>IFERROR(VLOOKUP($C46,'PORTIFÓLIO'!C:V,5,0),"")</f>
        <v>📄 Ver bula</v>
      </c>
      <c r="H46" s="254">
        <f t="array" ref="H46">IFERROR(INDEX('PORTIFÓLIO'!$H$4:$H$433,MATCH($C46,'PORTIFÓLIO'!$C$4:$C$433,0)),"")</f>
        <v>1</v>
      </c>
      <c r="I46" s="255">
        <v>1.0</v>
      </c>
      <c r="J46" s="218">
        <f t="shared" si="6"/>
        <v>313</v>
      </c>
      <c r="K46" s="219">
        <f t="array" ref="K46">IFERROR(I46*INDEX('PORTIFÓLIO'!$S$4:$S$433,MATCH($C46,'PORTIFÓLIO'!$C$4:$C$433,0)),"")</f>
        <v>43.80156</v>
      </c>
      <c r="L46" s="219">
        <f t="array" ref="L46">IFERROR(J46*INDEX('PORTIFÓLIO'!$S$4:$S$433,MATCH($C46,'PORTIFÓLIO'!$C$4:$C$433,0)),"")</f>
        <v>13709.88828</v>
      </c>
      <c r="M46" s="220"/>
      <c r="N46" s="220"/>
      <c r="O46" s="220"/>
      <c r="P46" s="220"/>
      <c r="Q46" s="220"/>
      <c r="R46" s="220"/>
      <c r="S46" s="220"/>
      <c r="T46" s="220"/>
      <c r="U46" s="220"/>
      <c r="V46" s="220"/>
      <c r="W46" s="220"/>
    </row>
    <row r="47" ht="15.75" customHeight="1" outlineLevel="1">
      <c r="A47" s="211"/>
      <c r="B47" s="212" t="s">
        <v>1</v>
      </c>
      <c r="C47" s="213" t="s">
        <v>728</v>
      </c>
      <c r="D47" s="214" t="str">
        <f>IFERROR(VLOOKUP($C47,'PORTIFÓLIO'!C:V,2,0),"")</f>
        <v>S-METOLACLORO</v>
      </c>
      <c r="E47" s="211">
        <f>IFERROR(VLOOKUP($C47,'PORTIFÓLIO'!C:V,3,0),"")</f>
        <v>960</v>
      </c>
      <c r="F47" s="211" t="str">
        <f>IFERROR(VLOOKUP($C47,'PORTIFÓLIO'!C:V,4,0),"")</f>
        <v>KG</v>
      </c>
      <c r="G47" s="225" t="str">
        <f>IFERROR(VLOOKUP($C47,'PORTIFÓLIO'!C:V,5,0),"")</f>
        <v>📄 Ver bula</v>
      </c>
      <c r="H47" s="254">
        <f t="array" ref="H47">IFERROR(INDEX('PORTIFÓLIO'!$H$4:$H$433,MATCH($C47,'PORTIFÓLIO'!$C$4:$C$433,0)),"")</f>
        <v>2</v>
      </c>
      <c r="I47" s="255">
        <v>1.0</v>
      </c>
      <c r="J47" s="218">
        <f t="shared" si="6"/>
        <v>313</v>
      </c>
      <c r="K47" s="219">
        <f t="array" ref="K47">IFERROR(I47*INDEX('PORTIFÓLIO'!$S$4:$S$433,MATCH($C47,'PORTIFÓLIO'!$C$4:$C$433,0)),"")</f>
        <v>29.1273</v>
      </c>
      <c r="L47" s="219">
        <f t="array" ref="L47">IFERROR(J47*INDEX('PORTIFÓLIO'!$S$4:$S$433,MATCH($C47,'PORTIFÓLIO'!$C$4:$C$433,0)),"")</f>
        <v>9116.8449</v>
      </c>
      <c r="M47" s="220"/>
      <c r="N47" s="220"/>
      <c r="O47" s="220"/>
      <c r="P47" s="220"/>
      <c r="Q47" s="220"/>
      <c r="R47" s="220"/>
      <c r="S47" s="220"/>
      <c r="T47" s="220"/>
      <c r="U47" s="220"/>
      <c r="V47" s="220"/>
      <c r="W47" s="220"/>
    </row>
    <row r="48" ht="15.75" customHeight="1" outlineLevel="1">
      <c r="A48" s="211"/>
      <c r="B48" s="212" t="s">
        <v>6</v>
      </c>
      <c r="C48" s="213" t="s">
        <v>354</v>
      </c>
      <c r="D48" s="214" t="str">
        <f>IFERROR(VLOOKUP($C48,'PORTIFÓLIO'!C:V,2,0),"")</f>
        <v>OLEO MINERAL</v>
      </c>
      <c r="E48" s="211">
        <f>IFERROR(VLOOKUP($C48,'PORTIFÓLIO'!C:V,3,0),"")</f>
        <v>761</v>
      </c>
      <c r="F48" s="211" t="str">
        <f>IFERROR(VLOOKUP($C48,'PORTIFÓLIO'!C:V,4,0),"")</f>
        <v>L</v>
      </c>
      <c r="G48" s="225" t="str">
        <f>IFERROR(VLOOKUP($C48,'PORTIFÓLIO'!C:V,5,0),"")</f>
        <v>📄 Ver bula</v>
      </c>
      <c r="H48" s="254">
        <f t="array" ref="H48">IFERROR(INDEX('PORTIFÓLIO'!$H$4:$H$433,MATCH($C48,'PORTIFÓLIO'!$C$4:$C$433,0)),"")</f>
        <v>0.2</v>
      </c>
      <c r="I48" s="255">
        <v>0.2</v>
      </c>
      <c r="J48" s="218">
        <f t="shared" si="6"/>
        <v>62.6</v>
      </c>
      <c r="K48" s="219">
        <f t="array" ref="K48">IFERROR(I48*INDEX('PORTIFÓLIO'!$S$4:$S$433,MATCH($C48,'PORTIFÓLIO'!$C$4:$C$433,0)),"")</f>
        <v>3.206</v>
      </c>
      <c r="L48" s="219">
        <f t="array" ref="L48">IFERROR(J48*INDEX('PORTIFÓLIO'!$S$4:$S$433,MATCH($C48,'PORTIFÓLIO'!$C$4:$C$433,0)),"")</f>
        <v>1003.478</v>
      </c>
      <c r="M48" s="220"/>
      <c r="N48" s="220"/>
      <c r="O48" s="220"/>
      <c r="P48" s="220"/>
      <c r="Q48" s="220"/>
      <c r="R48" s="220"/>
      <c r="S48" s="220"/>
      <c r="T48" s="220"/>
      <c r="U48" s="220"/>
      <c r="V48" s="220"/>
      <c r="W48" s="220"/>
    </row>
    <row r="49" ht="15.75" customHeight="1" outlineLevel="1">
      <c r="A49" s="211"/>
      <c r="B49" s="212" t="s">
        <v>2</v>
      </c>
      <c r="C49" s="213" t="s">
        <v>824</v>
      </c>
      <c r="D49" s="214" t="str">
        <f>IFERROR(VLOOKUP($C49,'PORTIFÓLIO'!C:V,2,0),"")</f>
        <v>CLORANTRANILIPROLE</v>
      </c>
      <c r="E49" s="211">
        <f>IFERROR(VLOOKUP($C49,'PORTIFÓLIO'!C:V,3,0),"")</f>
        <v>200</v>
      </c>
      <c r="F49" s="211" t="str">
        <f>IFERROR(VLOOKUP($C49,'PORTIFÓLIO'!C:V,4,0),"")</f>
        <v>L</v>
      </c>
      <c r="G49" s="225" t="str">
        <f>IFERROR(VLOOKUP($C49,'PORTIFÓLIO'!C:V,5,0),"")</f>
        <v>📄 Ver bula</v>
      </c>
      <c r="H49" s="254">
        <f t="array" ref="H49">IFERROR(INDEX('PORTIFÓLIO'!$H$4:$H$433,MATCH($C49,'PORTIFÓLIO'!$C$4:$C$433,0)),"")</f>
        <v>0.1</v>
      </c>
      <c r="I49" s="255">
        <v>0.04</v>
      </c>
      <c r="J49" s="218">
        <f t="shared" si="6"/>
        <v>12.52</v>
      </c>
      <c r="K49" s="219">
        <f t="array" ref="K49">IFERROR(I49*INDEX('PORTIFÓLIO'!$S$4:$S$433,MATCH($C49,'PORTIFÓLIO'!$C$4:$C$433,0)),"")</f>
        <v>11.31855</v>
      </c>
      <c r="L49" s="219">
        <f t="array" ref="L49">IFERROR(J49*INDEX('PORTIFÓLIO'!$S$4:$S$433,MATCH($C49,'PORTIFÓLIO'!$C$4:$C$433,0)),"")</f>
        <v>3542.70615</v>
      </c>
      <c r="M49" s="220"/>
      <c r="N49" s="220"/>
      <c r="O49" s="220"/>
      <c r="P49" s="220"/>
      <c r="Q49" s="220"/>
      <c r="R49" s="220"/>
      <c r="S49" s="220"/>
      <c r="T49" s="220"/>
      <c r="U49" s="220"/>
      <c r="V49" s="220"/>
      <c r="W49" s="220"/>
    </row>
    <row r="50" ht="15.75" customHeight="1" outlineLevel="1">
      <c r="A50" s="211"/>
      <c r="B50" s="212" t="s">
        <v>9</v>
      </c>
      <c r="C50" s="213" t="s">
        <v>933</v>
      </c>
      <c r="D50" s="214" t="str">
        <f>IFERROR(VLOOKUP($C50,'PORTIFÓLIO'!C:V,2,0),"")</f>
        <v>N1%;B9,5%</v>
      </c>
      <c r="E50" s="211" t="str">
        <f>IFERROR(VLOOKUP($C50,'PORTIFÓLIO'!C:V,3,0),"")</f>
        <v>13,8g/l + 131,1g/l</v>
      </c>
      <c r="F50" s="211" t="str">
        <f>IFERROR(VLOOKUP($C50,'PORTIFÓLIO'!C:V,4,0),"")</f>
        <v>L</v>
      </c>
      <c r="G50" s="215" t="str">
        <f>IFERROR(VLOOKUP($C50,'PORTIFÓLIO'!C:V,5,0),"")</f>
        <v/>
      </c>
      <c r="H50" s="254">
        <f t="array" ref="H50">IFERROR(INDEX('PORTIFÓLIO'!$H$4:$H$433,MATCH($C50,'PORTIFÓLIO'!$C$4:$C$433,0)),"")</f>
        <v>2</v>
      </c>
      <c r="I50" s="255">
        <v>1.0</v>
      </c>
      <c r="J50" s="218">
        <f t="shared" si="6"/>
        <v>313</v>
      </c>
      <c r="K50" s="219">
        <f t="array" ref="K50">IFERROR(I50*INDEX('PORTIFÓLIO'!$S$4:$S$433,MATCH($C50,'PORTIFÓLIO'!$C$4:$C$433,0)),"")</f>
        <v>44.78</v>
      </c>
      <c r="L50" s="219">
        <f t="array" ref="L50">IFERROR(J50*INDEX('PORTIFÓLIO'!$S$4:$S$433,MATCH($C50,'PORTIFÓLIO'!$C$4:$C$433,0)),"")</f>
        <v>14016.14</v>
      </c>
      <c r="M50" s="220"/>
      <c r="N50" s="220"/>
      <c r="O50" s="220"/>
      <c r="P50" s="220"/>
      <c r="Q50" s="220"/>
      <c r="R50" s="220"/>
      <c r="S50" s="220"/>
      <c r="T50" s="220"/>
      <c r="U50" s="220"/>
      <c r="V50" s="220"/>
      <c r="W50" s="220"/>
    </row>
    <row r="51" ht="15.75" customHeight="1" outlineLevel="1">
      <c r="A51" s="211"/>
      <c r="B51" s="212"/>
      <c r="C51" s="213"/>
      <c r="D51" s="214" t="str">
        <f>IFERROR(VLOOKUP($C51,'PORTIFÓLIO'!C:V,2,0),"")</f>
        <v/>
      </c>
      <c r="E51" s="211" t="str">
        <f>IFERROR(VLOOKUP($C51,'PORTIFÓLIO'!C:V,3,0),"")</f>
        <v/>
      </c>
      <c r="F51" s="211" t="str">
        <f>IFERROR(VLOOKUP($C51,'PORTIFÓLIO'!C:V,4,0),"")</f>
        <v/>
      </c>
      <c r="G51" s="215" t="str">
        <f>IFERROR(VLOOKUP($C51,'PORTIFÓLIO'!C:V,5,0),"")</f>
        <v/>
      </c>
      <c r="H51" s="254" t="str">
        <f t="array" ref="H51">IFERROR(INDEX('PORTIFÓLIO'!$H$4:$H$433,MATCH($C51,'PORTIFÓLIO'!$C$4:$C$433,0)),"")</f>
        <v/>
      </c>
      <c r="I51" s="255"/>
      <c r="J51" s="218">
        <f t="shared" si="6"/>
        <v>0</v>
      </c>
      <c r="K51" s="219" t="str">
        <f t="array" ref="K51">IFERROR(I51*INDEX('PORTIFÓLIO'!$S$4:$S$433,MATCH($C51,'PORTIFÓLIO'!$C$4:$C$433,0)),"")</f>
        <v/>
      </c>
      <c r="L51" s="219" t="str">
        <f t="array" ref="L51">IFERROR(J51*INDEX('PORTIFÓLIO'!$S$4:$S$433,MATCH($C51,'PORTIFÓLIO'!$C$4:$C$433,0)),"")</f>
        <v/>
      </c>
      <c r="M51" s="220"/>
      <c r="N51" s="220"/>
      <c r="O51" s="220"/>
      <c r="P51" s="220"/>
      <c r="Q51" s="220"/>
      <c r="R51" s="220"/>
      <c r="S51" s="220"/>
      <c r="T51" s="220"/>
      <c r="U51" s="220"/>
      <c r="V51" s="220"/>
      <c r="W51" s="220"/>
    </row>
    <row r="52" ht="15.75" customHeight="1" outlineLevel="1">
      <c r="A52" s="211"/>
      <c r="B52" s="212"/>
      <c r="C52" s="213"/>
      <c r="D52" s="214" t="str">
        <f>IFERROR(VLOOKUP($C52,'PORTIFÓLIO'!C:V,2,0),"")</f>
        <v/>
      </c>
      <c r="E52" s="211" t="str">
        <f>IFERROR(VLOOKUP($C52,'PORTIFÓLIO'!C:V,3,0),"")</f>
        <v/>
      </c>
      <c r="F52" s="211" t="str">
        <f>IFERROR(VLOOKUP($C52,'PORTIFÓLIO'!C:V,4,0),"")</f>
        <v/>
      </c>
      <c r="G52" s="215" t="str">
        <f>IFERROR(VLOOKUP($C52,'PORTIFÓLIO'!C:V,5,0),"")</f>
        <v/>
      </c>
      <c r="H52" s="254" t="str">
        <f t="array" ref="H52">IFERROR(INDEX('PORTIFÓLIO'!$H$4:$H$433,MATCH($C52,'PORTIFÓLIO'!$C$4:$C$433,0)),"")</f>
        <v/>
      </c>
      <c r="I52" s="256"/>
      <c r="J52" s="218">
        <f t="shared" si="6"/>
        <v>0</v>
      </c>
      <c r="K52" s="219" t="str">
        <f t="array" ref="K52">IFERROR(I52*INDEX('PORTIFÓLIO'!$S$4:$S$433,MATCH($C52,'PORTIFÓLIO'!$C$4:$C$433,0)),"")</f>
        <v/>
      </c>
      <c r="L52" s="219" t="str">
        <f t="array" ref="L52">IFERROR(J52*INDEX('PORTIFÓLIO'!$S$4:$S$433,MATCH($C52,'PORTIFÓLIO'!$C$4:$C$433,0)),"")</f>
        <v/>
      </c>
      <c r="M52" s="220"/>
      <c r="N52" s="220"/>
      <c r="O52" s="220"/>
      <c r="P52" s="220"/>
      <c r="Q52" s="220"/>
      <c r="R52" s="220"/>
      <c r="S52" s="220"/>
      <c r="T52" s="220"/>
      <c r="U52" s="220"/>
      <c r="V52" s="220"/>
      <c r="W52" s="220"/>
    </row>
    <row r="53" ht="15.75" customHeight="1" outlineLevel="1">
      <c r="A53" s="211"/>
      <c r="B53" s="212"/>
      <c r="C53" s="213"/>
      <c r="D53" s="214" t="str">
        <f>IFERROR(VLOOKUP($C53,'PORTIFÓLIO'!C:V,2,0),"")</f>
        <v/>
      </c>
      <c r="E53" s="211" t="str">
        <f>IFERROR(VLOOKUP($C53,'PORTIFÓLIO'!C:V,3,0),"")</f>
        <v/>
      </c>
      <c r="F53" s="211" t="str">
        <f>IFERROR(VLOOKUP($C53,'PORTIFÓLIO'!C:V,4,0),"")</f>
        <v/>
      </c>
      <c r="G53" s="215" t="str">
        <f>IFERROR(VLOOKUP($C53,'PORTIFÓLIO'!C:V,5,0),"")</f>
        <v/>
      </c>
      <c r="H53" s="254" t="str">
        <f t="array" ref="H53">IFERROR(INDEX('PORTIFÓLIO'!$H$4:$H$433,MATCH($C53,'PORTIFÓLIO'!$C$4:$C$433,0)),"")</f>
        <v/>
      </c>
      <c r="I53" s="255"/>
      <c r="J53" s="218">
        <f t="shared" si="6"/>
        <v>0</v>
      </c>
      <c r="K53" s="219" t="str">
        <f t="array" ref="K53">IFERROR(I53*INDEX('PORTIFÓLIO'!$S$4:$S$433,MATCH($C53,'PORTIFÓLIO'!$C$4:$C$433,0)),"")</f>
        <v/>
      </c>
      <c r="L53" s="219" t="str">
        <f t="array" ref="L53">IFERROR(J53*INDEX('PORTIFÓLIO'!$S$4:$S$433,MATCH($C53,'PORTIFÓLIO'!$C$4:$C$433,0)),"")</f>
        <v/>
      </c>
      <c r="M53" s="220"/>
      <c r="N53" s="220"/>
      <c r="O53" s="220"/>
      <c r="P53" s="220"/>
      <c r="Q53" s="220"/>
      <c r="R53" s="220"/>
      <c r="S53" s="220"/>
      <c r="T53" s="220"/>
      <c r="U53" s="220"/>
      <c r="V53" s="220"/>
      <c r="W53" s="220"/>
    </row>
    <row r="54" ht="15.75" customHeight="1" outlineLevel="1">
      <c r="A54" s="211"/>
      <c r="B54" s="212"/>
      <c r="C54" s="213"/>
      <c r="D54" s="214" t="str">
        <f>IFERROR(VLOOKUP($C54,'PORTIFÓLIO'!C:V,2,0),"")</f>
        <v/>
      </c>
      <c r="E54" s="211" t="str">
        <f>IFERROR(VLOOKUP($C54,'PORTIFÓLIO'!C:V,3,0),"")</f>
        <v/>
      </c>
      <c r="F54" s="211" t="str">
        <f>IFERROR(VLOOKUP($C54,'PORTIFÓLIO'!C:V,4,0),"")</f>
        <v/>
      </c>
      <c r="G54" s="215" t="str">
        <f>IFERROR(VLOOKUP($C54,'PORTIFÓLIO'!C:V,5,0),"")</f>
        <v/>
      </c>
      <c r="H54" s="254" t="str">
        <f t="array" ref="H54">IFERROR(INDEX('PORTIFÓLIO'!$H$4:$H$433,MATCH($C54,'PORTIFÓLIO'!$C$4:$C$433,0)),"")</f>
        <v/>
      </c>
      <c r="I54" s="256"/>
      <c r="J54" s="218">
        <f t="shared" si="6"/>
        <v>0</v>
      </c>
      <c r="K54" s="219" t="str">
        <f t="array" ref="K54">IFERROR(I54*INDEX('PORTIFÓLIO'!$S$4:$S$433,MATCH($C54,'PORTIFÓLIO'!$C$4:$C$433,0)),"")</f>
        <v/>
      </c>
      <c r="L54" s="219" t="str">
        <f t="array" ref="L54">IFERROR(J54*INDEX('PORTIFÓLIO'!$S$4:$S$433,MATCH($C54,'PORTIFÓLIO'!$C$4:$C$433,0)),"")</f>
        <v/>
      </c>
      <c r="M54" s="220"/>
      <c r="N54" s="220"/>
      <c r="O54" s="220"/>
      <c r="P54" s="220"/>
      <c r="Q54" s="220"/>
      <c r="R54" s="220"/>
      <c r="S54" s="220"/>
      <c r="T54" s="220"/>
      <c r="U54" s="220"/>
      <c r="V54" s="220"/>
      <c r="W54" s="220"/>
    </row>
    <row r="55" ht="15.75" customHeight="1" outlineLevel="1">
      <c r="A55" s="211"/>
      <c r="B55" s="212"/>
      <c r="C55" s="213"/>
      <c r="D55" s="214" t="str">
        <f>IFERROR(VLOOKUP($C55,'PORTIFÓLIO'!C:V,2,0),"")</f>
        <v/>
      </c>
      <c r="E55" s="211" t="str">
        <f>IFERROR(VLOOKUP($C55,'PORTIFÓLIO'!C:V,3,0),"")</f>
        <v/>
      </c>
      <c r="F55" s="211" t="str">
        <f>IFERROR(VLOOKUP($C55,'PORTIFÓLIO'!C:V,4,0),"")</f>
        <v/>
      </c>
      <c r="G55" s="215" t="str">
        <f>IFERROR(VLOOKUP($C55,'PORTIFÓLIO'!C:V,5,0),"")</f>
        <v/>
      </c>
      <c r="H55" s="254" t="str">
        <f t="array" ref="H55">IFERROR(INDEX('PORTIFÓLIO'!$H$4:$H$433,MATCH($C55,'PORTIFÓLIO'!$C$4:$C$433,0)),"")</f>
        <v/>
      </c>
      <c r="I55" s="256"/>
      <c r="J55" s="218">
        <f t="shared" si="6"/>
        <v>0</v>
      </c>
      <c r="K55" s="219" t="str">
        <f t="array" ref="K55">IFERROR(I55*INDEX('PORTIFÓLIO'!$S$4:$S$433,MATCH($C55,'PORTIFÓLIO'!$C$4:$C$433,0)),"")</f>
        <v/>
      </c>
      <c r="L55" s="219" t="str">
        <f t="array" ref="L55">IFERROR(J55*INDEX('PORTIFÓLIO'!$S$4:$S$433,MATCH($C55,'PORTIFÓLIO'!$C$4:$C$433,0)),"")</f>
        <v/>
      </c>
      <c r="M55" s="220"/>
      <c r="N55" s="220"/>
      <c r="O55" s="220"/>
      <c r="P55" s="220"/>
      <c r="Q55" s="220"/>
      <c r="R55" s="220"/>
      <c r="S55" s="220"/>
      <c r="T55" s="220"/>
      <c r="U55" s="220"/>
      <c r="V55" s="220"/>
      <c r="W55" s="220"/>
    </row>
    <row r="56" ht="15.75" customHeight="1" outlineLevel="1">
      <c r="A56" s="211"/>
      <c r="B56" s="212"/>
      <c r="C56" s="213"/>
      <c r="D56" s="214" t="str">
        <f>IFERROR(VLOOKUP($C56,'PORTIFÓLIO'!C:V,2,0),"")</f>
        <v/>
      </c>
      <c r="E56" s="211" t="str">
        <f>IFERROR(VLOOKUP($C56,'PORTIFÓLIO'!C:V,3,0),"")</f>
        <v/>
      </c>
      <c r="F56" s="211" t="str">
        <f>IFERROR(VLOOKUP($C56,'PORTIFÓLIO'!C:V,4,0),"")</f>
        <v/>
      </c>
      <c r="G56" s="215" t="str">
        <f>IFERROR(VLOOKUP($C56,'PORTIFÓLIO'!C:V,5,0),"")</f>
        <v/>
      </c>
      <c r="H56" s="254" t="str">
        <f t="array" ref="H56">IFERROR(INDEX('PORTIFÓLIO'!$H$4:$H$433,MATCH($C56,'PORTIFÓLIO'!$C$4:$C$433,0)),"")</f>
        <v/>
      </c>
      <c r="I56" s="256"/>
      <c r="J56" s="218">
        <f t="shared" si="6"/>
        <v>0</v>
      </c>
      <c r="K56" s="219" t="str">
        <f t="array" ref="K56">IFERROR(I56*INDEX('PORTIFÓLIO'!$S$4:$S$433,MATCH($C56,'PORTIFÓLIO'!$C$4:$C$433,0)),"")</f>
        <v/>
      </c>
      <c r="L56" s="219" t="str">
        <f t="array" ref="L56">IFERROR(J56*INDEX('PORTIFÓLIO'!$S$4:$S$433,MATCH($C56,'PORTIFÓLIO'!$C$4:$C$433,0)),"")</f>
        <v/>
      </c>
      <c r="M56" s="220"/>
      <c r="N56" s="220"/>
      <c r="O56" s="220"/>
      <c r="P56" s="220"/>
      <c r="Q56" s="220"/>
      <c r="R56" s="220"/>
      <c r="S56" s="220"/>
      <c r="T56" s="220"/>
      <c r="U56" s="220"/>
      <c r="V56" s="220"/>
      <c r="W56" s="220"/>
    </row>
    <row r="57" ht="15.75" customHeight="1" outlineLevel="1">
      <c r="A57" s="211"/>
      <c r="B57" s="212"/>
      <c r="C57" s="213"/>
      <c r="D57" s="214" t="str">
        <f>IFERROR(VLOOKUP($C57,'PORTIFÓLIO'!C:V,2,0),"")</f>
        <v/>
      </c>
      <c r="E57" s="211" t="str">
        <f>IFERROR(VLOOKUP($C57,'PORTIFÓLIO'!C:V,3,0),"")</f>
        <v/>
      </c>
      <c r="F57" s="211" t="str">
        <f>IFERROR(VLOOKUP($C57,'PORTIFÓLIO'!C:V,4,0),"")</f>
        <v/>
      </c>
      <c r="G57" s="215" t="str">
        <f>IFERROR(VLOOKUP($C57,'PORTIFÓLIO'!C:V,5,0),"")</f>
        <v/>
      </c>
      <c r="H57" s="254" t="str">
        <f t="array" ref="H57">IFERROR(INDEX('PORTIFÓLIO'!$H$4:$H$433,MATCH($C57,'PORTIFÓLIO'!$C$4:$C$433,0)),"")</f>
        <v/>
      </c>
      <c r="I57" s="256"/>
      <c r="J57" s="218">
        <f t="shared" si="6"/>
        <v>0</v>
      </c>
      <c r="K57" s="219" t="str">
        <f t="array" ref="K57">IFERROR(I57*INDEX('PORTIFÓLIO'!$S$4:$S$433,MATCH($C57,'PORTIFÓLIO'!$C$4:$C$433,0)),"")</f>
        <v/>
      </c>
      <c r="L57" s="219" t="str">
        <f t="array" ref="L57">IFERROR(J57*INDEX('PORTIFÓLIO'!$S$4:$S$433,MATCH($C57,'PORTIFÓLIO'!$C$4:$C$433,0)),"")</f>
        <v/>
      </c>
      <c r="M57" s="220"/>
      <c r="N57" s="220"/>
      <c r="O57" s="220"/>
      <c r="P57" s="220"/>
      <c r="Q57" s="220"/>
      <c r="R57" s="220"/>
      <c r="S57" s="220"/>
      <c r="T57" s="220"/>
      <c r="U57" s="220"/>
      <c r="V57" s="220"/>
      <c r="W57" s="220"/>
    </row>
    <row r="58" ht="15.75" customHeight="1" outlineLevel="1">
      <c r="A58" s="211"/>
      <c r="B58" s="212"/>
      <c r="C58" s="213"/>
      <c r="D58" s="214" t="str">
        <f>IFERROR(VLOOKUP($C58,'PORTIFÓLIO'!C:V,2,0),"")</f>
        <v/>
      </c>
      <c r="E58" s="211" t="str">
        <f>IFERROR(VLOOKUP($C58,'PORTIFÓLIO'!C:V,3,0),"")</f>
        <v/>
      </c>
      <c r="F58" s="211" t="str">
        <f>IFERROR(VLOOKUP($C58,'PORTIFÓLIO'!C:V,4,0),"")</f>
        <v/>
      </c>
      <c r="G58" s="215" t="str">
        <f>IFERROR(VLOOKUP($C58,'PORTIFÓLIO'!C:V,5,0),"")</f>
        <v/>
      </c>
      <c r="H58" s="254" t="str">
        <f t="array" ref="H58">IFERROR(INDEX('PORTIFÓLIO'!$H$4:$H$433,MATCH($C58,'PORTIFÓLIO'!$C$4:$C$433,0)),"")</f>
        <v/>
      </c>
      <c r="I58" s="256"/>
      <c r="J58" s="218">
        <f t="shared" si="6"/>
        <v>0</v>
      </c>
      <c r="K58" s="219" t="str">
        <f t="array" ref="K58">IFERROR(I58*INDEX('PORTIFÓLIO'!$S$4:$S$433,MATCH($C58,'PORTIFÓLIO'!$C$4:$C$433,0)),"")</f>
        <v/>
      </c>
      <c r="L58" s="219" t="str">
        <f t="array" ref="L58">IFERROR(J58*INDEX('PORTIFÓLIO'!$S$4:$S$433,MATCH($C58,'PORTIFÓLIO'!$C$4:$C$433,0)),"")</f>
        <v/>
      </c>
      <c r="M58" s="220"/>
      <c r="N58" s="220"/>
      <c r="O58" s="220"/>
      <c r="P58" s="220"/>
      <c r="Q58" s="220"/>
      <c r="R58" s="220"/>
      <c r="S58" s="220"/>
      <c r="T58" s="220"/>
      <c r="U58" s="220"/>
      <c r="V58" s="220"/>
      <c r="W58" s="220"/>
    </row>
    <row r="59" ht="15.75" customHeight="1" outlineLevel="1">
      <c r="A59" s="211"/>
      <c r="B59" s="212"/>
      <c r="C59" s="213"/>
      <c r="D59" s="214" t="str">
        <f>IFERROR(VLOOKUP($C59,'PORTIFÓLIO'!C:V,2,0),"")</f>
        <v/>
      </c>
      <c r="E59" s="211" t="str">
        <f>IFERROR(VLOOKUP($C59,'PORTIFÓLIO'!C:V,3,0),"")</f>
        <v/>
      </c>
      <c r="F59" s="211" t="str">
        <f>IFERROR(VLOOKUP($C59,'PORTIFÓLIO'!C:V,4,0),"")</f>
        <v/>
      </c>
      <c r="G59" s="215" t="str">
        <f>IFERROR(VLOOKUP($C59,'PORTIFÓLIO'!C:V,5,0),"")</f>
        <v/>
      </c>
      <c r="H59" s="254" t="str">
        <f t="array" ref="H59">IFERROR(INDEX('PORTIFÓLIO'!$H$4:$H$433,MATCH($C59,'PORTIFÓLIO'!$C$4:$C$433,0)),"")</f>
        <v/>
      </c>
      <c r="I59" s="256"/>
      <c r="J59" s="218">
        <f t="shared" si="6"/>
        <v>0</v>
      </c>
      <c r="K59" s="219" t="str">
        <f t="array" ref="K59">IFERROR(I59*INDEX('PORTIFÓLIO'!$S$4:$S$433,MATCH($C59,'PORTIFÓLIO'!$C$4:$C$433,0)),"")</f>
        <v/>
      </c>
      <c r="L59" s="219" t="str">
        <f t="array" ref="L59">IFERROR(J59*INDEX('PORTIFÓLIO'!$S$4:$S$433,MATCH($C59,'PORTIFÓLIO'!$C$4:$C$433,0)),"")</f>
        <v/>
      </c>
      <c r="M59" s="220"/>
      <c r="N59" s="220"/>
      <c r="O59" s="220"/>
      <c r="P59" s="220"/>
      <c r="Q59" s="220"/>
      <c r="R59" s="220"/>
      <c r="S59" s="220"/>
      <c r="T59" s="220"/>
      <c r="U59" s="220"/>
      <c r="V59" s="220"/>
      <c r="W59" s="220"/>
    </row>
    <row r="60" ht="15.75" customHeight="1" outlineLevel="1">
      <c r="A60" s="211"/>
      <c r="B60" s="212"/>
      <c r="C60" s="213"/>
      <c r="D60" s="214" t="str">
        <f>IFERROR(VLOOKUP($C60,'PORTIFÓLIO'!C:V,2,0),"")</f>
        <v/>
      </c>
      <c r="E60" s="211" t="str">
        <f>IFERROR(VLOOKUP($C60,'PORTIFÓLIO'!C:V,3,0),"")</f>
        <v/>
      </c>
      <c r="F60" s="211" t="str">
        <f>IFERROR(VLOOKUP($C60,'PORTIFÓLIO'!C:V,4,0),"")</f>
        <v/>
      </c>
      <c r="G60" s="215" t="str">
        <f>IFERROR(VLOOKUP($C60,'PORTIFÓLIO'!C:V,5,0),"")</f>
        <v/>
      </c>
      <c r="H60" s="254" t="str">
        <f t="array" ref="H60">IFERROR(INDEX('PORTIFÓLIO'!$H$4:$H$433,MATCH($C60,'PORTIFÓLIO'!$C$4:$C$433,0)),"")</f>
        <v/>
      </c>
      <c r="I60" s="256"/>
      <c r="J60" s="218">
        <f t="shared" si="6"/>
        <v>0</v>
      </c>
      <c r="K60" s="219" t="str">
        <f t="array" ref="K60">IFERROR(I60*INDEX('PORTIFÓLIO'!$S$4:$S$433,MATCH($C60,'PORTIFÓLIO'!$C$4:$C$433,0)),"")</f>
        <v/>
      </c>
      <c r="L60" s="219" t="str">
        <f t="array" ref="L60">IFERROR(J60*INDEX('PORTIFÓLIO'!$S$4:$S$433,MATCH($C60,'PORTIFÓLIO'!$C$4:$C$433,0)),"")</f>
        <v/>
      </c>
      <c r="M60" s="220"/>
      <c r="N60" s="220"/>
      <c r="O60" s="220"/>
      <c r="P60" s="220"/>
      <c r="Q60" s="220"/>
      <c r="R60" s="220"/>
      <c r="S60" s="220"/>
      <c r="T60" s="220"/>
      <c r="U60" s="220"/>
      <c r="V60" s="220"/>
      <c r="W60" s="220"/>
    </row>
    <row r="61" ht="15.75" customHeight="1" outlineLevel="1">
      <c r="A61" s="211"/>
      <c r="B61" s="212"/>
      <c r="C61" s="213"/>
      <c r="D61" s="214" t="str">
        <f>IFERROR(VLOOKUP($C61,'PORTIFÓLIO'!C:V,2,0),"")</f>
        <v/>
      </c>
      <c r="E61" s="211" t="str">
        <f>IFERROR(VLOOKUP($C61,'PORTIFÓLIO'!C:V,3,0),"")</f>
        <v/>
      </c>
      <c r="F61" s="211" t="str">
        <f>IFERROR(VLOOKUP($C61,'PORTIFÓLIO'!C:V,4,0),"")</f>
        <v/>
      </c>
      <c r="G61" s="215" t="str">
        <f>IFERROR(VLOOKUP($C61,'PORTIFÓLIO'!C:V,5,0),"")</f>
        <v/>
      </c>
      <c r="H61" s="254" t="str">
        <f t="array" ref="H61">IFERROR(INDEX('PORTIFÓLIO'!$H$4:$H$433,MATCH($C61,'PORTIFÓLIO'!$C$4:$C$433,0)),"")</f>
        <v/>
      </c>
      <c r="I61" s="256"/>
      <c r="J61" s="218">
        <f t="shared" si="6"/>
        <v>0</v>
      </c>
      <c r="K61" s="219" t="str">
        <f t="array" ref="K61">IFERROR(I61*INDEX('PORTIFÓLIO'!$S$4:$S$433,MATCH($C61,'PORTIFÓLIO'!$C$4:$C$433,0)),"")</f>
        <v/>
      </c>
      <c r="L61" s="219" t="str">
        <f t="array" ref="L61">IFERROR(J61*INDEX('PORTIFÓLIO'!$S$4:$S$433,MATCH($C61,'PORTIFÓLIO'!$C$4:$C$433,0)),"")</f>
        <v/>
      </c>
      <c r="M61" s="220"/>
      <c r="N61" s="220"/>
      <c r="O61" s="220"/>
      <c r="P61" s="220"/>
      <c r="Q61" s="220"/>
      <c r="R61" s="220"/>
      <c r="S61" s="220"/>
      <c r="T61" s="220"/>
      <c r="U61" s="220"/>
      <c r="V61" s="220"/>
      <c r="W61" s="220"/>
    </row>
    <row r="62" ht="15.75" customHeight="1" outlineLevel="1">
      <c r="A62" s="211"/>
      <c r="B62" s="212"/>
      <c r="C62" s="213"/>
      <c r="D62" s="214" t="str">
        <f>IFERROR(VLOOKUP($C62,'PORTIFÓLIO'!C:V,2,0),"")</f>
        <v/>
      </c>
      <c r="E62" s="211" t="str">
        <f>IFERROR(VLOOKUP($C62,'PORTIFÓLIO'!C:V,3,0),"")</f>
        <v/>
      </c>
      <c r="F62" s="211" t="str">
        <f>IFERROR(VLOOKUP($C62,'PORTIFÓLIO'!C:V,4,0),"")</f>
        <v/>
      </c>
      <c r="G62" s="215" t="str">
        <f>IFERROR(VLOOKUP($C62,'PORTIFÓLIO'!C:V,5,0),"")</f>
        <v/>
      </c>
      <c r="H62" s="254" t="str">
        <f t="array" ref="H62">IFERROR(INDEX('PORTIFÓLIO'!$H$4:$H$433,MATCH($C62,'PORTIFÓLIO'!$C$4:$C$433,0)),"")</f>
        <v/>
      </c>
      <c r="I62" s="256"/>
      <c r="J62" s="218">
        <f t="shared" si="6"/>
        <v>0</v>
      </c>
      <c r="K62" s="219" t="str">
        <f t="array" ref="K62">IFERROR(I62*INDEX('PORTIFÓLIO'!$S$4:$S$433,MATCH($C62,'PORTIFÓLIO'!$C$4:$C$433,0)),"")</f>
        <v/>
      </c>
      <c r="L62" s="219" t="str">
        <f t="array" ref="L62">IFERROR(J62*INDEX('PORTIFÓLIO'!$S$4:$S$433,MATCH($C62,'PORTIFÓLIO'!$C$4:$C$433,0)),"")</f>
        <v/>
      </c>
      <c r="M62" s="220"/>
      <c r="N62" s="220"/>
      <c r="O62" s="220"/>
      <c r="P62" s="220"/>
      <c r="Q62" s="220"/>
      <c r="R62" s="220"/>
      <c r="S62" s="220"/>
      <c r="T62" s="220"/>
      <c r="U62" s="220"/>
      <c r="V62" s="220"/>
      <c r="W62" s="220"/>
    </row>
    <row r="63" ht="15.75" customHeight="1">
      <c r="A63" s="229" t="s">
        <v>1186</v>
      </c>
      <c r="B63" s="230"/>
      <c r="C63" s="231"/>
      <c r="D63" s="232"/>
      <c r="E63" s="231"/>
      <c r="F63" s="231"/>
      <c r="G63" s="233"/>
      <c r="H63" s="233"/>
      <c r="I63" s="258"/>
      <c r="J63" s="236"/>
      <c r="K63" s="237">
        <f t="shared" ref="K63:L63" si="7">SUBTOTAL(9,K64:K76)</f>
        <v>266.77486</v>
      </c>
      <c r="L63" s="237">
        <f t="shared" si="7"/>
        <v>83500.53118</v>
      </c>
      <c r="M63" s="220"/>
      <c r="N63" s="220"/>
      <c r="O63" s="220"/>
      <c r="P63" s="220"/>
      <c r="Q63" s="220"/>
      <c r="R63" s="220"/>
      <c r="S63" s="220"/>
      <c r="T63" s="220"/>
      <c r="U63" s="220"/>
      <c r="V63" s="220"/>
      <c r="W63" s="220"/>
    </row>
    <row r="64" ht="15.75" customHeight="1" outlineLevel="1">
      <c r="A64" s="213"/>
      <c r="B64" s="212" t="s">
        <v>5</v>
      </c>
      <c r="C64" s="213" t="s">
        <v>1047</v>
      </c>
      <c r="D64" s="214" t="str">
        <f>IFERROR(VLOOKUP($C64,'PORTIFÓLIO'!C:V,2,0),"")</f>
        <v/>
      </c>
      <c r="E64" s="211" t="str">
        <f>IFERROR(VLOOKUP($C64,'PORTIFÓLIO'!C:V,3,0),"")</f>
        <v/>
      </c>
      <c r="F64" s="211" t="str">
        <f>IFERROR(VLOOKUP($C64,'PORTIFÓLIO'!C:V,4,0),"")</f>
        <v/>
      </c>
      <c r="G64" s="225" t="str">
        <f>IFERROR(VLOOKUP($C64,'PORTIFÓLIO'!C:V,5,0),"")</f>
        <v>📄 Ver bula</v>
      </c>
      <c r="H64" s="254" t="str">
        <f t="array" ref="H64">IFERROR(INDEX('PORTIFÓLIO'!$H$4:$H$433,MATCH($C64,'PORTIFÓLIO'!$C$4:$C$433,0)),"")</f>
        <v/>
      </c>
      <c r="I64" s="255">
        <v>0.04</v>
      </c>
      <c r="J64" s="218">
        <f t="shared" ref="J64:J80" si="8">I64*$B$2</f>
        <v>12.52</v>
      </c>
      <c r="K64" s="219">
        <f t="array" ref="K64">IFERROR(I64*INDEX('PORTIFÓLIO'!$S$4:$S$433,MATCH($C64,'PORTIFÓLIO'!$C$4:$C$433,0)),"")</f>
        <v>0</v>
      </c>
      <c r="L64" s="219">
        <f t="array" ref="L64">IFERROR(J64*INDEX('PORTIFÓLIO'!$S$4:$S$433,MATCH($C64,'PORTIFÓLIO'!$C$4:$C$433,0)),"")</f>
        <v>0</v>
      </c>
      <c r="M64" s="220"/>
      <c r="N64" s="220"/>
      <c r="O64" s="220"/>
      <c r="P64" s="220"/>
      <c r="Q64" s="220"/>
      <c r="R64" s="220"/>
      <c r="S64" s="220"/>
      <c r="T64" s="220"/>
      <c r="U64" s="220"/>
      <c r="V64" s="220"/>
      <c r="W64" s="220"/>
    </row>
    <row r="65" ht="15.75" customHeight="1" outlineLevel="1">
      <c r="A65" s="211"/>
      <c r="B65" s="212" t="s">
        <v>3</v>
      </c>
      <c r="C65" s="213" t="s">
        <v>1011</v>
      </c>
      <c r="D65" s="214" t="str">
        <f>IFERROR(VLOOKUP($C65,'PORTIFÓLIO'!C:V,2,0),"")</f>
        <v>METALAXIL-M + TIABENDAZOL + FLUDIOXONIL +
 TIAMETOXAM</v>
      </c>
      <c r="E65" s="211" t="str">
        <f>IFERROR(VLOOKUP($C65,'PORTIFÓLIO'!C:V,3,0),"")</f>
        <v>20 + 150 + 25 + 350</v>
      </c>
      <c r="F65" s="211" t="str">
        <f>IFERROR(VLOOKUP($C65,'PORTIFÓLIO'!C:V,4,0),"")</f>
        <v/>
      </c>
      <c r="G65" s="225" t="str">
        <f>IFERROR(VLOOKUP($C65,'PORTIFÓLIO'!C:V,5,0),"")</f>
        <v>📄 Ver bula</v>
      </c>
      <c r="H65" s="254">
        <f t="array" ref="H65">IFERROR(INDEX('PORTIFÓLIO'!$H$4:$H$433,MATCH($C65,'PORTIFÓLIO'!$C$4:$C$433,0)),"")</f>
        <v>0.05</v>
      </c>
      <c r="I65" s="255">
        <v>0.05</v>
      </c>
      <c r="J65" s="218">
        <f t="shared" si="8"/>
        <v>15.65</v>
      </c>
      <c r="K65" s="219">
        <f t="array" ref="K65">IFERROR(I65*INDEX('PORTIFÓLIO'!$S$4:$S$433,MATCH($C65,'PORTIFÓLIO'!$C$4:$C$433,0)),"")</f>
        <v>25.27</v>
      </c>
      <c r="L65" s="219">
        <f t="array" ref="L65">IFERROR(J65*INDEX('PORTIFÓLIO'!$S$4:$S$433,MATCH($C65,'PORTIFÓLIO'!$C$4:$C$433,0)),"")</f>
        <v>7909.51</v>
      </c>
      <c r="M65" s="220"/>
      <c r="N65" s="220"/>
      <c r="O65" s="220"/>
      <c r="P65" s="220"/>
      <c r="Q65" s="220"/>
      <c r="R65" s="220"/>
      <c r="S65" s="220"/>
      <c r="T65" s="220"/>
      <c r="U65" s="220"/>
      <c r="V65" s="220"/>
      <c r="W65" s="220"/>
    </row>
    <row r="66" ht="15.75" customHeight="1" outlineLevel="1">
      <c r="A66" s="211"/>
      <c r="B66" s="212" t="s">
        <v>3</v>
      </c>
      <c r="C66" s="213" t="s">
        <v>1007</v>
      </c>
      <c r="D66" s="214" t="str">
        <f>IFERROR(VLOOKUP($C66,'PORTIFÓLIO'!C:V,2,0),"")</f>
        <v>DIFENOCONAZOL</v>
      </c>
      <c r="E66" s="211">
        <f>IFERROR(VLOOKUP($C66,'PORTIFÓLIO'!C:V,3,0),"")</f>
        <v>150</v>
      </c>
      <c r="F66" s="211" t="str">
        <f>IFERROR(VLOOKUP($C66,'PORTIFÓLIO'!C:V,4,0),"")</f>
        <v/>
      </c>
      <c r="G66" s="225" t="str">
        <f>IFERROR(VLOOKUP($C66,'PORTIFÓLIO'!C:V,5,0),"")</f>
        <v>📄 Ver bula</v>
      </c>
      <c r="H66" s="254">
        <f t="array" ref="H66">IFERROR(INDEX('PORTIFÓLIO'!$H$4:$H$433,MATCH($C66,'PORTIFÓLIO'!$C$4:$C$433,0)),"")</f>
        <v>0.015</v>
      </c>
      <c r="I66" s="255">
        <v>0.02</v>
      </c>
      <c r="J66" s="218">
        <f t="shared" si="8"/>
        <v>6.26</v>
      </c>
      <c r="K66" s="219">
        <f t="array" ref="K66">IFERROR(I66*INDEX('PORTIFÓLIO'!$S$4:$S$433,MATCH($C66,'PORTIFÓLIO'!$C$4:$C$433,0)),"")</f>
        <v>1.78486</v>
      </c>
      <c r="L66" s="219">
        <f t="array" ref="L66">IFERROR(J66*INDEX('PORTIFÓLIO'!$S$4:$S$433,MATCH($C66,'PORTIFÓLIO'!$C$4:$C$433,0)),"")</f>
        <v>558.66118</v>
      </c>
      <c r="M66" s="220"/>
      <c r="N66" s="220"/>
      <c r="O66" s="220"/>
      <c r="P66" s="220"/>
      <c r="Q66" s="220"/>
      <c r="R66" s="220"/>
      <c r="S66" s="220"/>
      <c r="T66" s="220"/>
      <c r="U66" s="220"/>
      <c r="V66" s="220"/>
      <c r="W66" s="220"/>
    </row>
    <row r="67" ht="15.75" customHeight="1" outlineLevel="1">
      <c r="A67" s="211"/>
      <c r="B67" s="212" t="s">
        <v>4</v>
      </c>
      <c r="C67" s="213" t="s">
        <v>1094</v>
      </c>
      <c r="D67" s="214" t="str">
        <f>IFERROR(VLOOKUP($C67,'PORTIFÓLIO'!C:V,2,0),"")</f>
        <v>Bradyrhizobium sp.</v>
      </c>
      <c r="E67" s="211" t="str">
        <f>IFERROR(VLOOKUP($C67,'PORTIFÓLIO'!C:V,3,0),"")</f>
        <v/>
      </c>
      <c r="F67" s="211" t="str">
        <f>IFERROR(VLOOKUP($C67,'PORTIFÓLIO'!C:V,4,0),"")</f>
        <v>L</v>
      </c>
      <c r="G67" s="225" t="str">
        <f>IFERROR(VLOOKUP($C67,'PORTIFÓLIO'!C:V,5,0),"")</f>
        <v>📄 Ver bula</v>
      </c>
      <c r="H67" s="254">
        <f t="array" ref="H67">IFERROR(INDEX('PORTIFÓLIO'!$H$4:$H$433,MATCH($C67,'PORTIFÓLIO'!$C$4:$C$433,0)),"")</f>
        <v>2</v>
      </c>
      <c r="I67" s="255">
        <v>4.0</v>
      </c>
      <c r="J67" s="218">
        <f t="shared" si="8"/>
        <v>1252</v>
      </c>
      <c r="K67" s="219">
        <f t="array" ref="K67">IFERROR(I67*INDEX('PORTIFÓLIO'!$S$4:$S$433,MATCH($C67,'PORTIFÓLIO'!$C$4:$C$433,0)),"")</f>
        <v>104</v>
      </c>
      <c r="L67" s="219">
        <f t="array" ref="L67">IFERROR(J67*INDEX('PORTIFÓLIO'!$S$4:$S$433,MATCH($C67,'PORTIFÓLIO'!$C$4:$C$433,0)),"")</f>
        <v>32552</v>
      </c>
      <c r="M67" s="220"/>
      <c r="N67" s="220"/>
      <c r="O67" s="220"/>
      <c r="P67" s="220"/>
      <c r="Q67" s="220"/>
      <c r="R67" s="220"/>
      <c r="S67" s="220"/>
      <c r="T67" s="220"/>
      <c r="U67" s="220"/>
      <c r="V67" s="220"/>
      <c r="W67" s="220"/>
    </row>
    <row r="68" ht="15.75" customHeight="1" outlineLevel="1">
      <c r="A68" s="211"/>
      <c r="B68" s="212" t="s">
        <v>4</v>
      </c>
      <c r="C68" s="213" t="s">
        <v>1092</v>
      </c>
      <c r="D68" s="214" t="str">
        <f>IFERROR(VLOOKUP($C68,'PORTIFÓLIO'!C:V,2,0),"")</f>
        <v>Azospirillum brasiliense</v>
      </c>
      <c r="E68" s="211" t="str">
        <f>IFERROR(VLOOKUP($C68,'PORTIFÓLIO'!C:V,3,0),"")</f>
        <v/>
      </c>
      <c r="F68" s="211" t="str">
        <f>IFERROR(VLOOKUP($C68,'PORTIFÓLIO'!C:V,4,0),"")</f>
        <v>L</v>
      </c>
      <c r="G68" s="225" t="str">
        <f>IFERROR(VLOOKUP($C68,'PORTIFÓLIO'!C:V,5,0),"")</f>
        <v>📄 Ver bula</v>
      </c>
      <c r="H68" s="254">
        <f t="array" ref="H68">IFERROR(INDEX('PORTIFÓLIO'!$H$4:$H$433,MATCH($C68,'PORTIFÓLIO'!$C$4:$C$433,0)),"")</f>
        <v>2</v>
      </c>
      <c r="I68" s="255">
        <v>1.0</v>
      </c>
      <c r="J68" s="218">
        <f t="shared" si="8"/>
        <v>313</v>
      </c>
      <c r="K68" s="219">
        <f t="array" ref="K68">IFERROR(I68*INDEX('PORTIFÓLIO'!$S$4:$S$433,MATCH($C68,'PORTIFÓLIO'!$C$4:$C$433,0)),"")</f>
        <v>36.4</v>
      </c>
      <c r="L68" s="219">
        <f t="array" ref="L68">IFERROR(J68*INDEX('PORTIFÓLIO'!$S$4:$S$433,MATCH($C68,'PORTIFÓLIO'!$C$4:$C$433,0)),"")</f>
        <v>11393.2</v>
      </c>
      <c r="M68" s="220"/>
      <c r="N68" s="220"/>
      <c r="O68" s="220"/>
      <c r="P68" s="220"/>
      <c r="Q68" s="220"/>
      <c r="R68" s="220"/>
      <c r="S68" s="220"/>
      <c r="T68" s="220"/>
      <c r="U68" s="220"/>
      <c r="V68" s="220"/>
      <c r="W68" s="220"/>
    </row>
    <row r="69" ht="15.75" customHeight="1" outlineLevel="1">
      <c r="A69" s="211"/>
      <c r="B69" s="212" t="s">
        <v>4</v>
      </c>
      <c r="C69" s="213" t="s">
        <v>1107</v>
      </c>
      <c r="D69" s="214" t="str">
        <f>IFERROR(VLOOKUP($C69,'PORTIFÓLIO'!C:V,2,0),"")</f>
        <v>Priestia aryabhattai</v>
      </c>
      <c r="E69" s="211" t="str">
        <f>IFERROR(VLOOKUP($C69,'PORTIFÓLIO'!C:V,3,0),"")</f>
        <v/>
      </c>
      <c r="F69" s="211" t="str">
        <f>IFERROR(VLOOKUP($C69,'PORTIFÓLIO'!C:V,4,0),"")</f>
        <v/>
      </c>
      <c r="G69" s="225" t="str">
        <f>IFERROR(VLOOKUP($C69,'PORTIFÓLIO'!C:V,5,0),"")</f>
        <v>📄 Ver bula</v>
      </c>
      <c r="H69" s="254">
        <f t="array" ref="H69">IFERROR(INDEX('PORTIFÓLIO'!$H$4:$H$433,MATCH($C69,'PORTIFÓLIO'!$C$4:$C$433,0)),"")</f>
        <v>2</v>
      </c>
      <c r="I69" s="255">
        <v>1.0</v>
      </c>
      <c r="J69" s="218">
        <f t="shared" si="8"/>
        <v>313</v>
      </c>
      <c r="K69" s="219">
        <f t="array" ref="K69">IFERROR(I69*INDEX('PORTIFÓLIO'!$S$4:$S$433,MATCH($C69,'PORTIFÓLIO'!$C$4:$C$433,0)),"")</f>
        <v>81.12</v>
      </c>
      <c r="L69" s="219">
        <f t="array" ref="L69">IFERROR(J69*INDEX('PORTIFÓLIO'!$S$4:$S$433,MATCH($C69,'PORTIFÓLIO'!$C$4:$C$433,0)),"")</f>
        <v>25390.56</v>
      </c>
      <c r="M69" s="220"/>
      <c r="N69" s="220"/>
      <c r="O69" s="220"/>
      <c r="P69" s="220"/>
      <c r="Q69" s="220"/>
      <c r="R69" s="220"/>
      <c r="S69" s="220"/>
      <c r="T69" s="220"/>
      <c r="U69" s="220"/>
      <c r="V69" s="220"/>
      <c r="W69" s="220"/>
    </row>
    <row r="70" ht="15.75" customHeight="1" outlineLevel="1">
      <c r="A70" s="211"/>
      <c r="B70" s="212" t="s">
        <v>4</v>
      </c>
      <c r="C70" s="213" t="s">
        <v>1187</v>
      </c>
      <c r="D70" s="214" t="str">
        <f>IFERROR(VLOOKUP($C70,'PORTIFÓLIO'!C:V,2,0),"")</f>
        <v/>
      </c>
      <c r="E70" s="211" t="str">
        <f>IFERROR(VLOOKUP($C70,'PORTIFÓLIO'!C:V,3,0),"")</f>
        <v/>
      </c>
      <c r="F70" s="211" t="str">
        <f>IFERROR(VLOOKUP($C70,'PORTIFÓLIO'!C:V,4,0),"")</f>
        <v/>
      </c>
      <c r="G70" s="215" t="str">
        <f>IFERROR(VLOOKUP($C70,'PORTIFÓLIO'!C:V,5,0),"")</f>
        <v/>
      </c>
      <c r="H70" s="254" t="str">
        <f t="array" ref="H70">IFERROR(INDEX('PORTIFÓLIO'!$H$4:$H$433,MATCH($C70,'PORTIFÓLIO'!$C$4:$C$433,0)),"")</f>
        <v/>
      </c>
      <c r="I70" s="255">
        <v>1.0</v>
      </c>
      <c r="J70" s="218">
        <f t="shared" si="8"/>
        <v>313</v>
      </c>
      <c r="K70" s="219" t="str">
        <f t="array" ref="K70">IFERROR(I70*INDEX('PORTIFÓLIO'!$S$4:$S$433,MATCH($C70,'PORTIFÓLIO'!$C$4:$C$433,0)),"")</f>
        <v/>
      </c>
      <c r="L70" s="219" t="str">
        <f t="array" ref="L70">IFERROR(J70*INDEX('PORTIFÓLIO'!$S$4:$S$433,MATCH($C70,'PORTIFÓLIO'!$C$4:$C$433,0)),"")</f>
        <v/>
      </c>
      <c r="M70" s="220"/>
      <c r="N70" s="220"/>
      <c r="O70" s="220"/>
      <c r="P70" s="220"/>
      <c r="Q70" s="220"/>
      <c r="R70" s="220"/>
      <c r="S70" s="220"/>
      <c r="T70" s="220"/>
      <c r="U70" s="220"/>
      <c r="V70" s="220"/>
      <c r="W70" s="220"/>
    </row>
    <row r="71" ht="15.75" customHeight="1" outlineLevel="1">
      <c r="A71" s="211"/>
      <c r="B71" s="212" t="s">
        <v>9</v>
      </c>
      <c r="C71" s="213" t="s">
        <v>1115</v>
      </c>
      <c r="D71" s="214" t="str">
        <f>IFERROR(VLOOKUP($C71,'PORTIFÓLIO'!C:V,2,0),"")</f>
        <v>Nutrifarm</v>
      </c>
      <c r="E71" s="211" t="str">
        <f>IFERROR(VLOOKUP($C71,'PORTIFÓLIO'!C:V,3,0),"")</f>
        <v/>
      </c>
      <c r="F71" s="211" t="str">
        <f>IFERROR(VLOOKUP($C71,'PORTIFÓLIO'!C:V,4,0),"")</f>
        <v>L</v>
      </c>
      <c r="G71" s="225" t="str">
        <f>IFERROR(VLOOKUP($C71,'PORTIFÓLIO'!C:V,5,0),"")</f>
        <v>📄 Ver bula</v>
      </c>
      <c r="H71" s="254">
        <f t="array" ref="H71">IFERROR(INDEX('PORTIFÓLIO'!$H$4:$H$433,MATCH($C71,'PORTIFÓLIO'!$C$4:$C$433,0)),"")</f>
        <v>0.2</v>
      </c>
      <c r="I71" s="255">
        <v>0.1</v>
      </c>
      <c r="J71" s="218">
        <f t="shared" si="8"/>
        <v>31.3</v>
      </c>
      <c r="K71" s="219">
        <f t="array" ref="K71">IFERROR(I71*INDEX('PORTIFÓLIO'!$S$4:$S$433,MATCH($C71,'PORTIFÓLIO'!$C$4:$C$433,0)),"")</f>
        <v>18.2</v>
      </c>
      <c r="L71" s="219">
        <f t="array" ref="L71">IFERROR(J71*INDEX('PORTIFÓLIO'!$S$4:$S$433,MATCH($C71,'PORTIFÓLIO'!$C$4:$C$433,0)),"")</f>
        <v>5696.6</v>
      </c>
      <c r="M71" s="220"/>
      <c r="N71" s="220"/>
      <c r="O71" s="220"/>
      <c r="P71" s="220"/>
      <c r="Q71" s="220"/>
      <c r="R71" s="220"/>
      <c r="S71" s="220"/>
      <c r="T71" s="220"/>
      <c r="U71" s="220"/>
      <c r="V71" s="220"/>
      <c r="W71" s="220"/>
    </row>
    <row r="72" ht="15.75" customHeight="1" outlineLevel="1">
      <c r="A72" s="211"/>
      <c r="B72" s="212"/>
      <c r="C72" s="213"/>
      <c r="D72" s="214" t="str">
        <f>IFERROR(VLOOKUP($C72,'PORTIFÓLIO'!C:V,2,0),"")</f>
        <v/>
      </c>
      <c r="E72" s="211" t="str">
        <f>IFERROR(VLOOKUP($C72,'PORTIFÓLIO'!C:V,3,0),"")</f>
        <v/>
      </c>
      <c r="F72" s="211" t="str">
        <f>IFERROR(VLOOKUP($C72,'PORTIFÓLIO'!C:V,4,0),"")</f>
        <v/>
      </c>
      <c r="G72" s="215" t="str">
        <f>IFERROR(VLOOKUP($C72,'PORTIFÓLIO'!C:V,5,0),"")</f>
        <v/>
      </c>
      <c r="H72" s="254" t="str">
        <f t="array" ref="H72">IFERROR(INDEX('PORTIFÓLIO'!$H$4:$H$433,MATCH($C72,'PORTIFÓLIO'!$C$4:$C$433,0)),"")</f>
        <v/>
      </c>
      <c r="I72" s="255"/>
      <c r="J72" s="218">
        <f t="shared" si="8"/>
        <v>0</v>
      </c>
      <c r="K72" s="219" t="str">
        <f t="array" ref="K72">IFERROR(I72*INDEX('PORTIFÓLIO'!$S$4:$S$433,MATCH($C72,'PORTIFÓLIO'!$C$4:$C$433,0)),"")</f>
        <v/>
      </c>
      <c r="L72" s="219" t="str">
        <f t="array" ref="L72">IFERROR(J72*INDEX('PORTIFÓLIO'!$S$4:$S$433,MATCH($C72,'PORTIFÓLIO'!$C$4:$C$433,0)),"")</f>
        <v/>
      </c>
      <c r="M72" s="220"/>
      <c r="N72" s="220"/>
      <c r="O72" s="220"/>
      <c r="P72" s="220"/>
      <c r="Q72" s="220"/>
      <c r="R72" s="220"/>
      <c r="S72" s="220"/>
      <c r="T72" s="220"/>
      <c r="U72" s="220"/>
      <c r="V72" s="220"/>
      <c r="W72" s="220"/>
    </row>
    <row r="73" ht="15.75" customHeight="1" outlineLevel="1">
      <c r="A73" s="211"/>
      <c r="B73" s="212"/>
      <c r="C73" s="213"/>
      <c r="D73" s="214" t="str">
        <f>IFERROR(VLOOKUP($C73,'PORTIFÓLIO'!C:V,2,0),"")</f>
        <v/>
      </c>
      <c r="E73" s="211" t="str">
        <f>IFERROR(VLOOKUP($C73,'PORTIFÓLIO'!C:V,3,0),"")</f>
        <v/>
      </c>
      <c r="F73" s="211" t="str">
        <f>IFERROR(VLOOKUP($C73,'PORTIFÓLIO'!C:V,4,0),"")</f>
        <v/>
      </c>
      <c r="G73" s="215" t="str">
        <f>IFERROR(VLOOKUP($C73,'PORTIFÓLIO'!C:V,5,0),"")</f>
        <v/>
      </c>
      <c r="H73" s="254" t="str">
        <f t="array" ref="H73">IFERROR(INDEX('PORTIFÓLIO'!$H$4:$H$433,MATCH($C73,'PORTIFÓLIO'!$C$4:$C$433,0)),"")</f>
        <v/>
      </c>
      <c r="I73" s="256"/>
      <c r="J73" s="218">
        <f t="shared" si="8"/>
        <v>0</v>
      </c>
      <c r="K73" s="219" t="str">
        <f t="array" ref="K73">IFERROR(I73*INDEX('PORTIFÓLIO'!$S$4:$S$433,MATCH($C73,'PORTIFÓLIO'!$C$4:$C$433,0)),"")</f>
        <v/>
      </c>
      <c r="L73" s="219" t="str">
        <f t="array" ref="L73">IFERROR(J73*INDEX('PORTIFÓLIO'!$S$4:$S$433,MATCH($C73,'PORTIFÓLIO'!$C$4:$C$433,0)),"")</f>
        <v/>
      </c>
      <c r="M73" s="220"/>
      <c r="N73" s="220"/>
      <c r="O73" s="220"/>
      <c r="P73" s="220"/>
      <c r="Q73" s="220"/>
      <c r="R73" s="220"/>
      <c r="S73" s="220"/>
      <c r="T73" s="220"/>
      <c r="U73" s="220"/>
      <c r="V73" s="220"/>
      <c r="W73" s="220"/>
    </row>
    <row r="74" ht="15.75" customHeight="1" outlineLevel="1">
      <c r="A74" s="211"/>
      <c r="B74" s="212"/>
      <c r="C74" s="213"/>
      <c r="D74" s="214" t="str">
        <f>IFERROR(VLOOKUP($C74,'PORTIFÓLIO'!C:V,2,0),"")</f>
        <v/>
      </c>
      <c r="E74" s="211" t="str">
        <f>IFERROR(VLOOKUP($C74,'PORTIFÓLIO'!C:V,3,0),"")</f>
        <v/>
      </c>
      <c r="F74" s="211" t="str">
        <f>IFERROR(VLOOKUP($C74,'PORTIFÓLIO'!C:V,4,0),"")</f>
        <v/>
      </c>
      <c r="G74" s="215" t="str">
        <f>IFERROR(VLOOKUP($C74,'PORTIFÓLIO'!C:V,5,0),"")</f>
        <v/>
      </c>
      <c r="H74" s="254" t="str">
        <f t="array" ref="H74">IFERROR(INDEX('PORTIFÓLIO'!$H$4:$H$433,MATCH($C74,'PORTIFÓLIO'!$C$4:$C$433,0)),"")</f>
        <v/>
      </c>
      <c r="I74" s="256"/>
      <c r="J74" s="218">
        <f t="shared" si="8"/>
        <v>0</v>
      </c>
      <c r="K74" s="219" t="str">
        <f t="array" ref="K74">IFERROR(I74*INDEX('PORTIFÓLIO'!$S$4:$S$433,MATCH($C74,'PORTIFÓLIO'!$C$4:$C$433,0)),"")</f>
        <v/>
      </c>
      <c r="L74" s="219" t="str">
        <f t="array" ref="L74">IFERROR(J74*INDEX('PORTIFÓLIO'!$S$4:$S$433,MATCH($C74,'PORTIFÓLIO'!$C$4:$C$433,0)),"")</f>
        <v/>
      </c>
      <c r="M74" s="220"/>
      <c r="N74" s="220"/>
      <c r="O74" s="220"/>
      <c r="P74" s="220"/>
      <c r="Q74" s="220"/>
      <c r="R74" s="220"/>
      <c r="S74" s="220"/>
      <c r="T74" s="220"/>
      <c r="U74" s="220"/>
      <c r="V74" s="220"/>
      <c r="W74" s="220"/>
    </row>
    <row r="75" ht="15.75" customHeight="1" outlineLevel="1">
      <c r="A75" s="211"/>
      <c r="B75" s="212"/>
      <c r="C75" s="213"/>
      <c r="D75" s="214" t="str">
        <f>IFERROR(VLOOKUP($C75,'PORTIFÓLIO'!C:V,2,0),"")</f>
        <v/>
      </c>
      <c r="E75" s="211" t="str">
        <f>IFERROR(VLOOKUP($C75,'PORTIFÓLIO'!C:V,3,0),"")</f>
        <v/>
      </c>
      <c r="F75" s="211" t="str">
        <f>IFERROR(VLOOKUP($C75,'PORTIFÓLIO'!C:V,4,0),"")</f>
        <v/>
      </c>
      <c r="G75" s="215" t="str">
        <f>IFERROR(VLOOKUP($C75,'PORTIFÓLIO'!C:V,5,0),"")</f>
        <v/>
      </c>
      <c r="H75" s="254" t="str">
        <f t="array" ref="H75">IFERROR(INDEX('PORTIFÓLIO'!$H$4:$H$433,MATCH($C75,'PORTIFÓLIO'!$C$4:$C$433,0)),"")</f>
        <v/>
      </c>
      <c r="I75" s="256"/>
      <c r="J75" s="218">
        <f t="shared" si="8"/>
        <v>0</v>
      </c>
      <c r="K75" s="219" t="str">
        <f t="array" ref="K75">IFERROR(I75*INDEX('PORTIFÓLIO'!$S$4:$S$433,MATCH($C75,'PORTIFÓLIO'!$C$4:$C$433,0)),"")</f>
        <v/>
      </c>
      <c r="L75" s="219" t="str">
        <f t="array" ref="L75">IFERROR(J75*INDEX('PORTIFÓLIO'!$S$4:$S$433,MATCH($C75,'PORTIFÓLIO'!$C$4:$C$433,0)),"")</f>
        <v/>
      </c>
      <c r="M75" s="220"/>
      <c r="N75" s="220"/>
      <c r="O75" s="220"/>
      <c r="P75" s="220"/>
      <c r="Q75" s="220"/>
      <c r="R75" s="220"/>
      <c r="S75" s="220"/>
      <c r="T75" s="220"/>
      <c r="U75" s="220"/>
      <c r="V75" s="220"/>
      <c r="W75" s="220"/>
    </row>
    <row r="76" ht="15.75" customHeight="1" outlineLevel="1">
      <c r="A76" s="211"/>
      <c r="B76" s="212"/>
      <c r="C76" s="213"/>
      <c r="D76" s="214" t="str">
        <f>IFERROR(VLOOKUP($C76,'PORTIFÓLIO'!C:V,2,0),"")</f>
        <v/>
      </c>
      <c r="E76" s="211" t="str">
        <f>IFERROR(VLOOKUP($C76,'PORTIFÓLIO'!C:V,3,0),"")</f>
        <v/>
      </c>
      <c r="F76" s="211" t="str">
        <f>IFERROR(VLOOKUP($C76,'PORTIFÓLIO'!C:V,4,0),"")</f>
        <v/>
      </c>
      <c r="G76" s="215" t="str">
        <f>IFERROR(VLOOKUP($C76,'PORTIFÓLIO'!C:V,5,0),"")</f>
        <v/>
      </c>
      <c r="H76" s="254" t="str">
        <f t="array" ref="H76">IFERROR(INDEX('PORTIFÓLIO'!$H$4:$H$433,MATCH($C76,'PORTIFÓLIO'!$C$4:$C$433,0)),"")</f>
        <v/>
      </c>
      <c r="I76" s="256"/>
      <c r="J76" s="218">
        <f t="shared" si="8"/>
        <v>0</v>
      </c>
      <c r="K76" s="219" t="str">
        <f t="array" ref="K76">IFERROR(I76*INDEX('PORTIFÓLIO'!$S$4:$S$433,MATCH($C76,'PORTIFÓLIO'!$C$4:$C$433,0)),"")</f>
        <v/>
      </c>
      <c r="L76" s="219" t="str">
        <f t="array" ref="L76">IFERROR(J76*INDEX('PORTIFÓLIO'!$S$4:$S$433,MATCH($C76,'PORTIFÓLIO'!$C$4:$C$433,0)),"")</f>
        <v/>
      </c>
      <c r="M76" s="220"/>
      <c r="N76" s="220"/>
      <c r="O76" s="220"/>
      <c r="P76" s="220"/>
      <c r="Q76" s="220"/>
      <c r="R76" s="220"/>
      <c r="S76" s="220"/>
      <c r="T76" s="220"/>
      <c r="U76" s="220"/>
      <c r="V76" s="220"/>
      <c r="W76" s="220"/>
    </row>
    <row r="77" ht="15.75" customHeight="1" outlineLevel="1">
      <c r="A77" s="211"/>
      <c r="B77" s="212"/>
      <c r="C77" s="213"/>
      <c r="D77" s="214" t="str">
        <f>IFERROR(VLOOKUP($C77,'PORTIFÓLIO'!C:V,2,0),"")</f>
        <v/>
      </c>
      <c r="E77" s="211" t="str">
        <f>IFERROR(VLOOKUP($C77,'PORTIFÓLIO'!C:V,3,0),"")</f>
        <v/>
      </c>
      <c r="F77" s="211" t="str">
        <f>IFERROR(VLOOKUP($C77,'PORTIFÓLIO'!C:V,4,0),"")</f>
        <v/>
      </c>
      <c r="G77" s="215" t="str">
        <f>IFERROR(VLOOKUP($C77,'PORTIFÓLIO'!C:V,5,0),"")</f>
        <v/>
      </c>
      <c r="H77" s="254" t="str">
        <f t="array" ref="H77">IFERROR(INDEX('PORTIFÓLIO'!$H$4:$H$433,MATCH($C77,'PORTIFÓLIO'!$C$4:$C$433,0)),"")</f>
        <v/>
      </c>
      <c r="I77" s="256"/>
      <c r="J77" s="218">
        <f t="shared" si="8"/>
        <v>0</v>
      </c>
      <c r="K77" s="219" t="str">
        <f t="array" ref="K77">IFERROR(I77*INDEX('PORTIFÓLIO'!$S$4:$S$433,MATCH($C77,'PORTIFÓLIO'!$C$4:$C$433,0)),"")</f>
        <v/>
      </c>
      <c r="L77" s="219" t="str">
        <f t="array" ref="L77">IFERROR(J77*INDEX('PORTIFÓLIO'!$S$4:$S$433,MATCH($C77,'PORTIFÓLIO'!$C$4:$C$433,0)),"")</f>
        <v/>
      </c>
      <c r="M77" s="220"/>
      <c r="N77" s="220"/>
      <c r="O77" s="220"/>
      <c r="P77" s="220"/>
      <c r="Q77" s="220"/>
      <c r="R77" s="220"/>
      <c r="S77" s="220"/>
      <c r="T77" s="220"/>
      <c r="U77" s="220"/>
      <c r="V77" s="220"/>
      <c r="W77" s="220"/>
    </row>
    <row r="78" ht="15.75" customHeight="1" outlineLevel="1">
      <c r="A78" s="211"/>
      <c r="B78" s="212"/>
      <c r="C78" s="213"/>
      <c r="D78" s="214" t="str">
        <f>IFERROR(VLOOKUP($C78,'PORTIFÓLIO'!C:V,2,0),"")</f>
        <v/>
      </c>
      <c r="E78" s="211" t="str">
        <f>IFERROR(VLOOKUP($C78,'PORTIFÓLIO'!C:V,3,0),"")</f>
        <v/>
      </c>
      <c r="F78" s="211" t="str">
        <f>IFERROR(VLOOKUP($C78,'PORTIFÓLIO'!C:V,4,0),"")</f>
        <v/>
      </c>
      <c r="G78" s="215" t="str">
        <f>IFERROR(VLOOKUP($C78,'PORTIFÓLIO'!C:V,5,0),"")</f>
        <v/>
      </c>
      <c r="H78" s="254" t="str">
        <f t="array" ref="H78">IFERROR(INDEX('PORTIFÓLIO'!$H$4:$H$433,MATCH($C78,'PORTIFÓLIO'!$C$4:$C$433,0)),"")</f>
        <v/>
      </c>
      <c r="I78" s="256"/>
      <c r="J78" s="218">
        <f t="shared" si="8"/>
        <v>0</v>
      </c>
      <c r="K78" s="219" t="str">
        <f t="array" ref="K78">IFERROR(I78*INDEX('PORTIFÓLIO'!$S$4:$S$433,MATCH($C78,'PORTIFÓLIO'!$C$4:$C$433,0)),"")</f>
        <v/>
      </c>
      <c r="L78" s="219" t="str">
        <f t="array" ref="L78">IFERROR(J78*INDEX('PORTIFÓLIO'!$S$4:$S$433,MATCH($C78,'PORTIFÓLIO'!$C$4:$C$433,0)),"")</f>
        <v/>
      </c>
      <c r="M78" s="220"/>
      <c r="N78" s="220"/>
      <c r="O78" s="220"/>
      <c r="P78" s="220"/>
      <c r="Q78" s="220"/>
      <c r="R78" s="220"/>
      <c r="S78" s="220"/>
      <c r="T78" s="220"/>
      <c r="U78" s="220"/>
      <c r="V78" s="220"/>
      <c r="W78" s="220"/>
    </row>
    <row r="79" ht="15.75" customHeight="1" outlineLevel="1">
      <c r="A79" s="211"/>
      <c r="B79" s="212"/>
      <c r="C79" s="213"/>
      <c r="D79" s="214" t="str">
        <f>IFERROR(VLOOKUP($C79,'PORTIFÓLIO'!C:V,2,0),"")</f>
        <v/>
      </c>
      <c r="E79" s="211" t="str">
        <f>IFERROR(VLOOKUP($C79,'PORTIFÓLIO'!C:V,3,0),"")</f>
        <v/>
      </c>
      <c r="F79" s="211" t="str">
        <f>IFERROR(VLOOKUP($C79,'PORTIFÓLIO'!C:V,4,0),"")</f>
        <v/>
      </c>
      <c r="G79" s="215" t="str">
        <f>IFERROR(VLOOKUP($C79,'PORTIFÓLIO'!C:V,5,0),"")</f>
        <v/>
      </c>
      <c r="H79" s="254" t="str">
        <f t="array" ref="H79">IFERROR(INDEX('PORTIFÓLIO'!$H$4:$H$433,MATCH($C79,'PORTIFÓLIO'!$C$4:$C$433,0)),"")</f>
        <v/>
      </c>
      <c r="I79" s="256"/>
      <c r="J79" s="218">
        <f t="shared" si="8"/>
        <v>0</v>
      </c>
      <c r="K79" s="219" t="str">
        <f t="array" ref="K79">IFERROR(I79*INDEX('PORTIFÓLIO'!$S$4:$S$433,MATCH($C79,'PORTIFÓLIO'!$C$4:$C$433,0)),"")</f>
        <v/>
      </c>
      <c r="L79" s="219" t="str">
        <f t="array" ref="L79">IFERROR(J79*INDEX('PORTIFÓLIO'!$S$4:$S$433,MATCH($C79,'PORTIFÓLIO'!$C$4:$C$433,0)),"")</f>
        <v/>
      </c>
      <c r="M79" s="220"/>
      <c r="N79" s="220"/>
      <c r="O79" s="220"/>
      <c r="P79" s="220"/>
      <c r="Q79" s="220"/>
      <c r="R79" s="220"/>
      <c r="S79" s="220"/>
      <c r="T79" s="220"/>
      <c r="U79" s="220"/>
      <c r="V79" s="220"/>
      <c r="W79" s="220"/>
    </row>
    <row r="80" ht="15.75" customHeight="1" outlineLevel="1">
      <c r="A80" s="211"/>
      <c r="B80" s="212"/>
      <c r="C80" s="213"/>
      <c r="D80" s="214" t="str">
        <f>IFERROR(VLOOKUP($C80,'PORTIFÓLIO'!C:V,2,0),"")</f>
        <v/>
      </c>
      <c r="E80" s="211" t="str">
        <f>IFERROR(VLOOKUP($C80,'PORTIFÓLIO'!C:V,3,0),"")</f>
        <v/>
      </c>
      <c r="F80" s="211" t="str">
        <f>IFERROR(VLOOKUP($C80,'PORTIFÓLIO'!C:V,4,0),"")</f>
        <v/>
      </c>
      <c r="G80" s="215" t="str">
        <f>IFERROR(VLOOKUP($C80,'PORTIFÓLIO'!C:V,5,0),"")</f>
        <v/>
      </c>
      <c r="H80" s="254" t="str">
        <f t="array" ref="H80">IFERROR(INDEX('PORTIFÓLIO'!$H$4:$H$433,MATCH($C80,'PORTIFÓLIO'!$C$4:$C$433,0)),"")</f>
        <v/>
      </c>
      <c r="I80" s="256"/>
      <c r="J80" s="218">
        <f t="shared" si="8"/>
        <v>0</v>
      </c>
      <c r="K80" s="219" t="str">
        <f t="array" ref="K80">IFERROR(I80*INDEX('PORTIFÓLIO'!$S$4:$S$433,MATCH($C80,'PORTIFÓLIO'!$C$4:$C$433,0)),"")</f>
        <v/>
      </c>
      <c r="L80" s="219" t="str">
        <f t="array" ref="L80">IFERROR(J80*INDEX('PORTIFÓLIO'!$S$4:$S$433,MATCH($C80,'PORTIFÓLIO'!$C$4:$C$433,0)),"")</f>
        <v/>
      </c>
      <c r="M80" s="220"/>
      <c r="N80" s="220"/>
      <c r="O80" s="220"/>
      <c r="P80" s="220"/>
      <c r="Q80" s="220"/>
      <c r="R80" s="220"/>
      <c r="S80" s="220"/>
      <c r="T80" s="220"/>
      <c r="U80" s="220"/>
      <c r="V80" s="220"/>
      <c r="W80" s="220"/>
    </row>
    <row r="81" ht="15.75" customHeight="1">
      <c r="A81" s="229" t="s">
        <v>1188</v>
      </c>
      <c r="B81" s="230"/>
      <c r="C81" s="231"/>
      <c r="D81" s="232" t="s">
        <v>216</v>
      </c>
      <c r="E81" s="231"/>
      <c r="F81" s="231"/>
      <c r="G81" s="233"/>
      <c r="H81" s="233"/>
      <c r="I81" s="258"/>
      <c r="J81" s="236"/>
      <c r="K81" s="237">
        <f t="shared" ref="K81:L81" si="9">SUBTOTAL(9,K82:K95)</f>
        <v>83.05714</v>
      </c>
      <c r="L81" s="237">
        <f t="shared" si="9"/>
        <v>25996.88482</v>
      </c>
      <c r="M81" s="220"/>
      <c r="N81" s="220"/>
      <c r="O81" s="220"/>
      <c r="P81" s="220"/>
      <c r="Q81" s="220"/>
      <c r="R81" s="220"/>
      <c r="S81" s="220"/>
      <c r="T81" s="220"/>
      <c r="U81" s="220"/>
      <c r="V81" s="220"/>
      <c r="W81" s="220"/>
    </row>
    <row r="82" ht="15.75" customHeight="1" outlineLevel="1">
      <c r="A82" s="213"/>
      <c r="B82" s="212" t="s">
        <v>1</v>
      </c>
      <c r="C82" s="213" t="s">
        <v>637</v>
      </c>
      <c r="D82" s="214" t="str">
        <f>IFERROR(VLOOKUP($C82,'PORTIFÓLIO'!C:V,2,0),"")</f>
        <v>GLIFOSATO-SAL DE AMÔNIO</v>
      </c>
      <c r="E82" s="211">
        <f>IFERROR(VLOOKUP($C82,'PORTIFÓLIO'!C:V,3,0),"")</f>
        <v>720</v>
      </c>
      <c r="F82" s="211" t="str">
        <f>IFERROR(VLOOKUP($C82,'PORTIFÓLIO'!C:V,4,0),"")</f>
        <v>L</v>
      </c>
      <c r="G82" s="225" t="str">
        <f>IFERROR(VLOOKUP($C82,'PORTIFÓLIO'!C:V,5,0),"")</f>
        <v>📄 Ver bula</v>
      </c>
      <c r="H82" s="254">
        <f t="array" ref="H82">IFERROR(INDEX('PORTIFÓLIO'!$H$4:$H$433,MATCH($C82,'PORTIFÓLIO'!$C$4:$C$433,0)),"")</f>
        <v>2</v>
      </c>
      <c r="I82" s="255">
        <v>2.0</v>
      </c>
      <c r="J82" s="218">
        <f t="shared" ref="J82:J96" si="10">I82*$B$2</f>
        <v>626</v>
      </c>
      <c r="K82" s="219">
        <f t="array" ref="K82">IFERROR(I82*INDEX('PORTIFÓLIO'!$S$4:$S$433,MATCH($C82,'PORTIFÓLIO'!$C$4:$C$433,0)),"")</f>
        <v>49.16</v>
      </c>
      <c r="L82" s="219">
        <f t="array" ref="L82">IFERROR(J82*INDEX('PORTIFÓLIO'!$S$4:$S$433,MATCH($C82,'PORTIFÓLIO'!$C$4:$C$433,0)),"")</f>
        <v>15387.08</v>
      </c>
      <c r="M82" s="220"/>
      <c r="N82" s="220"/>
      <c r="O82" s="220"/>
      <c r="P82" s="220"/>
      <c r="Q82" s="220"/>
      <c r="R82" s="220"/>
      <c r="S82" s="220"/>
      <c r="T82" s="220"/>
      <c r="U82" s="220"/>
      <c r="V82" s="220"/>
      <c r="W82" s="220"/>
    </row>
    <row r="83" ht="15.75" customHeight="1" outlineLevel="1">
      <c r="A83" s="211"/>
      <c r="B83" s="212" t="s">
        <v>1</v>
      </c>
      <c r="C83" s="213" t="s">
        <v>682</v>
      </c>
      <c r="D83" s="214" t="str">
        <f>IFERROR(VLOOKUP($C83,'PORTIFÓLIO'!C:V,2,0),"")</f>
        <v>CLETODIM</v>
      </c>
      <c r="E83" s="211">
        <f>IFERROR(VLOOKUP($C83,'PORTIFÓLIO'!C:V,3,0),"")</f>
        <v>240</v>
      </c>
      <c r="F83" s="211" t="str">
        <f>IFERROR(VLOOKUP($C83,'PORTIFÓLIO'!C:V,4,0),"")</f>
        <v>L</v>
      </c>
      <c r="G83" s="225" t="str">
        <f>IFERROR(VLOOKUP($C83,'PORTIFÓLIO'!C:V,5,0),"")</f>
        <v>📄 Ver bula</v>
      </c>
      <c r="H83" s="254">
        <f t="array" ref="H83">IFERROR(INDEX('PORTIFÓLIO'!$H$4:$H$433,MATCH($C83,'PORTIFÓLIO'!$C$4:$C$433,0)),"")</f>
        <v>0.4</v>
      </c>
      <c r="I83" s="255">
        <v>0.6</v>
      </c>
      <c r="J83" s="218">
        <f t="shared" si="10"/>
        <v>187.8</v>
      </c>
      <c r="K83" s="219">
        <f t="array" ref="K83">IFERROR(I83*INDEX('PORTIFÓLIO'!$S$4:$S$433,MATCH($C83,'PORTIFÓLIO'!$C$4:$C$433,0)),"")</f>
        <v>18.50874</v>
      </c>
      <c r="L83" s="219">
        <f t="array" ref="L83">IFERROR(J83*INDEX('PORTIFÓLIO'!$S$4:$S$433,MATCH($C83,'PORTIFÓLIO'!$C$4:$C$433,0)),"")</f>
        <v>5793.23562</v>
      </c>
      <c r="M83" s="220"/>
      <c r="N83" s="220"/>
      <c r="O83" s="220"/>
      <c r="P83" s="220"/>
      <c r="Q83" s="220"/>
      <c r="R83" s="220"/>
      <c r="S83" s="220"/>
      <c r="T83" s="220"/>
      <c r="U83" s="220"/>
      <c r="V83" s="220"/>
      <c r="W83" s="220"/>
    </row>
    <row r="84" ht="15.75" customHeight="1" outlineLevel="1">
      <c r="A84" s="211"/>
      <c r="B84" s="212" t="s">
        <v>0</v>
      </c>
      <c r="C84" s="213" t="s">
        <v>505</v>
      </c>
      <c r="D84" s="214" t="str">
        <f>IFERROR(VLOOKUP($C84,'PORTIFÓLIO'!C:V,2,0),"")</f>
        <v>TEBUCONAZOL</v>
      </c>
      <c r="E84" s="211">
        <f>IFERROR(VLOOKUP($C84,'PORTIFÓLIO'!C:V,3,0),"")</f>
        <v>430</v>
      </c>
      <c r="F84" s="211" t="str">
        <f>IFERROR(VLOOKUP($C84,'PORTIFÓLIO'!C:V,4,0),"")</f>
        <v>L</v>
      </c>
      <c r="G84" s="225" t="str">
        <f>IFERROR(VLOOKUP($C84,'PORTIFÓLIO'!C:V,5,0),"")</f>
        <v>📄 Ver bula</v>
      </c>
      <c r="H84" s="254">
        <f t="array" ref="H84">IFERROR(INDEX('PORTIFÓLIO'!$H$4:$H$433,MATCH($C84,'PORTIFÓLIO'!$C$4:$C$433,0)),"")</f>
        <v>0.4</v>
      </c>
      <c r="I84" s="255">
        <v>0.4</v>
      </c>
      <c r="J84" s="218">
        <f t="shared" si="10"/>
        <v>125.2</v>
      </c>
      <c r="K84" s="219">
        <f t="array" ref="K84">IFERROR(I84*INDEX('PORTIFÓLIO'!$S$4:$S$433,MATCH($C84,'PORTIFÓLIO'!$C$4:$C$433,0)),"")</f>
        <v>12.1824</v>
      </c>
      <c r="L84" s="219">
        <f t="array" ref="L84">IFERROR(J84*INDEX('PORTIFÓLIO'!$S$4:$S$433,MATCH($C84,'PORTIFÓLIO'!$C$4:$C$433,0)),"")</f>
        <v>3813.0912</v>
      </c>
      <c r="M84" s="220"/>
      <c r="N84" s="220"/>
      <c r="O84" s="220"/>
      <c r="P84" s="220"/>
      <c r="Q84" s="220"/>
      <c r="R84" s="220"/>
      <c r="S84" s="220"/>
      <c r="T84" s="220"/>
      <c r="U84" s="220"/>
      <c r="V84" s="220"/>
      <c r="W84" s="220"/>
    </row>
    <row r="85" ht="15.75" customHeight="1" outlineLevel="1">
      <c r="A85" s="211"/>
      <c r="B85" s="212" t="s">
        <v>6</v>
      </c>
      <c r="C85" s="213" t="s">
        <v>354</v>
      </c>
      <c r="D85" s="214" t="str">
        <f>IFERROR(VLOOKUP($C85,'PORTIFÓLIO'!C:V,2,0),"")</f>
        <v>OLEO MINERAL</v>
      </c>
      <c r="E85" s="211">
        <f>IFERROR(VLOOKUP($C85,'PORTIFÓLIO'!C:V,3,0),"")</f>
        <v>761</v>
      </c>
      <c r="F85" s="211" t="str">
        <f>IFERROR(VLOOKUP($C85,'PORTIFÓLIO'!C:V,4,0),"")</f>
        <v>L</v>
      </c>
      <c r="G85" s="225" t="str">
        <f>IFERROR(VLOOKUP($C85,'PORTIFÓLIO'!C:V,5,0),"")</f>
        <v>📄 Ver bula</v>
      </c>
      <c r="H85" s="254">
        <f t="array" ref="H85">IFERROR(INDEX('PORTIFÓLIO'!$H$4:$H$433,MATCH($C85,'PORTIFÓLIO'!$C$4:$C$433,0)),"")</f>
        <v>0.2</v>
      </c>
      <c r="I85" s="255">
        <v>0.2</v>
      </c>
      <c r="J85" s="218">
        <f t="shared" si="10"/>
        <v>62.6</v>
      </c>
      <c r="K85" s="219">
        <f t="array" ref="K85">IFERROR(I85*INDEX('PORTIFÓLIO'!$S$4:$S$433,MATCH($C85,'PORTIFÓLIO'!$C$4:$C$433,0)),"")</f>
        <v>3.206</v>
      </c>
      <c r="L85" s="219">
        <f t="array" ref="L85">IFERROR(J85*INDEX('PORTIFÓLIO'!$S$4:$S$433,MATCH($C85,'PORTIFÓLIO'!$C$4:$C$433,0)),"")</f>
        <v>1003.478</v>
      </c>
      <c r="M85" s="220"/>
      <c r="N85" s="220"/>
      <c r="O85" s="220"/>
      <c r="P85" s="220"/>
      <c r="Q85" s="220"/>
      <c r="R85" s="220"/>
      <c r="S85" s="220"/>
      <c r="T85" s="220"/>
      <c r="U85" s="220"/>
      <c r="V85" s="220"/>
      <c r="W85" s="220"/>
    </row>
    <row r="86" ht="15.75" customHeight="1" outlineLevel="1">
      <c r="A86" s="211"/>
      <c r="B86" s="212"/>
      <c r="C86" s="213"/>
      <c r="D86" s="214" t="str">
        <f>IFERROR(VLOOKUP($C86,'PORTIFÓLIO'!C:V,2,0),"")</f>
        <v/>
      </c>
      <c r="E86" s="211" t="str">
        <f>IFERROR(VLOOKUP($C86,'PORTIFÓLIO'!C:V,3,0),"")</f>
        <v/>
      </c>
      <c r="F86" s="211" t="str">
        <f>IFERROR(VLOOKUP($C86,'PORTIFÓLIO'!C:V,4,0),"")</f>
        <v/>
      </c>
      <c r="G86" s="215" t="str">
        <f>IFERROR(VLOOKUP($C86,'PORTIFÓLIO'!C:V,5,0),"")</f>
        <v/>
      </c>
      <c r="H86" s="254" t="str">
        <f t="array" ref="H86">IFERROR(INDEX('PORTIFÓLIO'!$H$4:$H$433,MATCH($C86,'PORTIFÓLIO'!$C$4:$C$433,0)),"")</f>
        <v/>
      </c>
      <c r="I86" s="256"/>
      <c r="J86" s="218">
        <f t="shared" si="10"/>
        <v>0</v>
      </c>
      <c r="K86" s="219" t="str">
        <f t="array" ref="K86">IFERROR(I86*INDEX('PORTIFÓLIO'!$S$4:$S$433,MATCH($C86,'PORTIFÓLIO'!$C$4:$C$433,0)),"")</f>
        <v/>
      </c>
      <c r="L86" s="219" t="str">
        <f t="array" ref="L86">IFERROR(J86*INDEX('PORTIFÓLIO'!$S$4:$S$433,MATCH($C86,'PORTIFÓLIO'!$C$4:$C$433,0)),"")</f>
        <v/>
      </c>
      <c r="M86" s="220"/>
      <c r="N86" s="220"/>
      <c r="O86" s="220"/>
      <c r="P86" s="220"/>
      <c r="Q86" s="220"/>
      <c r="R86" s="220"/>
      <c r="S86" s="220"/>
      <c r="T86" s="220"/>
      <c r="U86" s="220"/>
      <c r="V86" s="220"/>
      <c r="W86" s="220"/>
    </row>
    <row r="87" ht="15.75" customHeight="1" outlineLevel="1">
      <c r="A87" s="211"/>
      <c r="B87" s="212"/>
      <c r="C87" s="213"/>
      <c r="D87" s="214" t="str">
        <f>IFERROR(VLOOKUP($C87,'PORTIFÓLIO'!C:V,2,0),"")</f>
        <v/>
      </c>
      <c r="E87" s="211" t="str">
        <f>IFERROR(VLOOKUP($C87,'PORTIFÓLIO'!C:V,3,0),"")</f>
        <v/>
      </c>
      <c r="F87" s="211" t="str">
        <f>IFERROR(VLOOKUP($C87,'PORTIFÓLIO'!C:V,4,0),"")</f>
        <v/>
      </c>
      <c r="G87" s="215" t="str">
        <f>IFERROR(VLOOKUP($C87,'PORTIFÓLIO'!C:V,5,0),"")</f>
        <v/>
      </c>
      <c r="H87" s="254" t="str">
        <f t="array" ref="H87">IFERROR(INDEX('PORTIFÓLIO'!$H$4:$H$433,MATCH($C87,'PORTIFÓLIO'!$C$4:$C$433,0)),"")</f>
        <v/>
      </c>
      <c r="I87" s="256"/>
      <c r="J87" s="218">
        <f t="shared" si="10"/>
        <v>0</v>
      </c>
      <c r="K87" s="219" t="str">
        <f t="array" ref="K87">IFERROR(I87*INDEX('PORTIFÓLIO'!$S$4:$S$433,MATCH($C87,'PORTIFÓLIO'!$C$4:$C$433,0)),"")</f>
        <v/>
      </c>
      <c r="L87" s="219" t="str">
        <f t="array" ref="L87">IFERROR(J87*INDEX('PORTIFÓLIO'!$S$4:$S$433,MATCH($C87,'PORTIFÓLIO'!$C$4:$C$433,0)),"")</f>
        <v/>
      </c>
      <c r="M87" s="220"/>
      <c r="N87" s="220"/>
      <c r="O87" s="220"/>
      <c r="P87" s="220"/>
      <c r="Q87" s="220"/>
      <c r="R87" s="220"/>
      <c r="S87" s="220"/>
      <c r="T87" s="220"/>
      <c r="U87" s="220"/>
      <c r="V87" s="220"/>
      <c r="W87" s="220"/>
    </row>
    <row r="88" ht="15.75" customHeight="1" outlineLevel="1">
      <c r="A88" s="211"/>
      <c r="B88" s="212"/>
      <c r="C88" s="213"/>
      <c r="D88" s="214" t="str">
        <f>IFERROR(VLOOKUP($C88,'PORTIFÓLIO'!C:V,2,0),"")</f>
        <v/>
      </c>
      <c r="E88" s="211" t="str">
        <f>IFERROR(VLOOKUP($C88,'PORTIFÓLIO'!C:V,3,0),"")</f>
        <v/>
      </c>
      <c r="F88" s="211" t="str">
        <f>IFERROR(VLOOKUP($C88,'PORTIFÓLIO'!C:V,4,0),"")</f>
        <v/>
      </c>
      <c r="G88" s="215" t="str">
        <f>IFERROR(VLOOKUP($C88,'PORTIFÓLIO'!C:V,5,0),"")</f>
        <v/>
      </c>
      <c r="H88" s="254" t="str">
        <f t="array" ref="H88">IFERROR(INDEX('PORTIFÓLIO'!$H$4:$H$433,MATCH($C88,'PORTIFÓLIO'!$C$4:$C$433,0)),"")</f>
        <v/>
      </c>
      <c r="I88" s="256"/>
      <c r="J88" s="218">
        <f t="shared" si="10"/>
        <v>0</v>
      </c>
      <c r="K88" s="219" t="str">
        <f t="array" ref="K88">IFERROR(I88*INDEX('PORTIFÓLIO'!$S$4:$S$433,MATCH($C88,'PORTIFÓLIO'!$C$4:$C$433,0)),"")</f>
        <v/>
      </c>
      <c r="L88" s="219" t="str">
        <f t="array" ref="L88">IFERROR(J88*INDEX('PORTIFÓLIO'!$S$4:$S$433,MATCH($C88,'PORTIFÓLIO'!$C$4:$C$433,0)),"")</f>
        <v/>
      </c>
      <c r="M88" s="220"/>
      <c r="N88" s="220"/>
      <c r="O88" s="220"/>
      <c r="P88" s="220"/>
      <c r="Q88" s="220"/>
      <c r="R88" s="220"/>
      <c r="S88" s="220"/>
      <c r="T88" s="220"/>
      <c r="U88" s="220"/>
      <c r="V88" s="220"/>
      <c r="W88" s="220"/>
    </row>
    <row r="89" ht="15.75" customHeight="1" outlineLevel="1">
      <c r="A89" s="211"/>
      <c r="B89" s="212"/>
      <c r="C89" s="213"/>
      <c r="D89" s="214" t="str">
        <f>IFERROR(VLOOKUP($C89,'PORTIFÓLIO'!C:V,2,0),"")</f>
        <v/>
      </c>
      <c r="E89" s="211" t="str">
        <f>IFERROR(VLOOKUP($C89,'PORTIFÓLIO'!C:V,3,0),"")</f>
        <v/>
      </c>
      <c r="F89" s="211" t="str">
        <f>IFERROR(VLOOKUP($C89,'PORTIFÓLIO'!C:V,4,0),"")</f>
        <v/>
      </c>
      <c r="G89" s="215" t="str">
        <f>IFERROR(VLOOKUP($C89,'PORTIFÓLIO'!C:V,5,0),"")</f>
        <v/>
      </c>
      <c r="H89" s="254" t="str">
        <f t="array" ref="H89">IFERROR(INDEX('PORTIFÓLIO'!$H$4:$H$433,MATCH($C89,'PORTIFÓLIO'!$C$4:$C$433,0)),"")</f>
        <v/>
      </c>
      <c r="I89" s="256"/>
      <c r="J89" s="218">
        <f t="shared" si="10"/>
        <v>0</v>
      </c>
      <c r="K89" s="219" t="str">
        <f t="array" ref="K89">IFERROR(I89*INDEX('PORTIFÓLIO'!$S$4:$S$433,MATCH($C89,'PORTIFÓLIO'!$C$4:$C$433,0)),"")</f>
        <v/>
      </c>
      <c r="L89" s="219" t="str">
        <f t="array" ref="L89">IFERROR(J89*INDEX('PORTIFÓLIO'!$S$4:$S$433,MATCH($C89,'PORTIFÓLIO'!$C$4:$C$433,0)),"")</f>
        <v/>
      </c>
      <c r="M89" s="220"/>
      <c r="N89" s="220"/>
      <c r="O89" s="220"/>
      <c r="P89" s="220"/>
      <c r="Q89" s="220"/>
      <c r="R89" s="220"/>
      <c r="S89" s="220"/>
      <c r="T89" s="220"/>
      <c r="U89" s="220"/>
      <c r="V89" s="220"/>
      <c r="W89" s="220"/>
    </row>
    <row r="90" ht="15.75" customHeight="1" outlineLevel="1">
      <c r="A90" s="211"/>
      <c r="B90" s="212"/>
      <c r="C90" s="213"/>
      <c r="D90" s="214" t="str">
        <f>IFERROR(VLOOKUP($C90,'PORTIFÓLIO'!C:V,2,0),"")</f>
        <v/>
      </c>
      <c r="E90" s="211" t="str">
        <f>IFERROR(VLOOKUP($C90,'PORTIFÓLIO'!C:V,3,0),"")</f>
        <v/>
      </c>
      <c r="F90" s="211" t="str">
        <f>IFERROR(VLOOKUP($C90,'PORTIFÓLIO'!C:V,4,0),"")</f>
        <v/>
      </c>
      <c r="G90" s="215" t="str">
        <f>IFERROR(VLOOKUP($C90,'PORTIFÓLIO'!C:V,5,0),"")</f>
        <v/>
      </c>
      <c r="H90" s="254" t="str">
        <f t="array" ref="H90">IFERROR(INDEX('PORTIFÓLIO'!$H$4:$H$433,MATCH($C90,'PORTIFÓLIO'!$C$4:$C$433,0)),"")</f>
        <v/>
      </c>
      <c r="I90" s="255"/>
      <c r="J90" s="218">
        <f t="shared" si="10"/>
        <v>0</v>
      </c>
      <c r="K90" s="219" t="str">
        <f t="array" ref="K90">IFERROR(I90*INDEX('PORTIFÓLIO'!$S$4:$S$433,MATCH($C90,'PORTIFÓLIO'!$C$4:$C$433,0)),"")</f>
        <v/>
      </c>
      <c r="L90" s="219" t="str">
        <f t="array" ref="L90">IFERROR(J90*INDEX('PORTIFÓLIO'!$S$4:$S$433,MATCH($C90,'PORTIFÓLIO'!$C$4:$C$433,0)),"")</f>
        <v/>
      </c>
      <c r="M90" s="220"/>
      <c r="N90" s="220"/>
      <c r="O90" s="220"/>
      <c r="P90" s="220"/>
      <c r="Q90" s="220"/>
      <c r="R90" s="220"/>
      <c r="S90" s="220"/>
      <c r="T90" s="220"/>
      <c r="U90" s="220"/>
      <c r="V90" s="220"/>
      <c r="W90" s="220"/>
    </row>
    <row r="91" ht="15.75" customHeight="1" outlineLevel="1">
      <c r="A91" s="211"/>
      <c r="B91" s="212"/>
      <c r="C91" s="213"/>
      <c r="D91" s="214" t="str">
        <f>IFERROR(VLOOKUP($C91,'PORTIFÓLIO'!C:V,2,0),"")</f>
        <v/>
      </c>
      <c r="E91" s="211" t="str">
        <f>IFERROR(VLOOKUP($C91,'PORTIFÓLIO'!C:V,3,0),"")</f>
        <v/>
      </c>
      <c r="F91" s="211" t="str">
        <f>IFERROR(VLOOKUP($C91,'PORTIFÓLIO'!C:V,4,0),"")</f>
        <v/>
      </c>
      <c r="G91" s="215" t="str">
        <f>IFERROR(VLOOKUP($C91,'PORTIFÓLIO'!C:V,5,0),"")</f>
        <v/>
      </c>
      <c r="H91" s="254" t="str">
        <f t="array" ref="H91">IFERROR(INDEX('PORTIFÓLIO'!$H$4:$H$433,MATCH($C91,'PORTIFÓLIO'!$C$4:$C$433,0)),"")</f>
        <v/>
      </c>
      <c r="I91" s="256"/>
      <c r="J91" s="218">
        <f t="shared" si="10"/>
        <v>0</v>
      </c>
      <c r="K91" s="219" t="str">
        <f t="array" ref="K91">IFERROR(I91*INDEX('PORTIFÓLIO'!$S$4:$S$433,MATCH($C91,'PORTIFÓLIO'!$C$4:$C$433,0)),"")</f>
        <v/>
      </c>
      <c r="L91" s="219" t="str">
        <f t="array" ref="L91">IFERROR(J91*INDEX('PORTIFÓLIO'!$S$4:$S$433,MATCH($C91,'PORTIFÓLIO'!$C$4:$C$433,0)),"")</f>
        <v/>
      </c>
      <c r="M91" s="220"/>
      <c r="N91" s="220"/>
      <c r="O91" s="220"/>
      <c r="P91" s="220"/>
      <c r="Q91" s="220"/>
      <c r="R91" s="220"/>
      <c r="S91" s="220"/>
      <c r="T91" s="220"/>
      <c r="U91" s="220"/>
      <c r="V91" s="220"/>
      <c r="W91" s="220"/>
    </row>
    <row r="92" ht="15.75" customHeight="1" outlineLevel="1">
      <c r="A92" s="211"/>
      <c r="B92" s="212"/>
      <c r="C92" s="213"/>
      <c r="D92" s="214" t="str">
        <f>IFERROR(VLOOKUP($C92,'PORTIFÓLIO'!C:V,2,0),"")</f>
        <v/>
      </c>
      <c r="E92" s="211" t="str">
        <f>IFERROR(VLOOKUP($C92,'PORTIFÓLIO'!C:V,3,0),"")</f>
        <v/>
      </c>
      <c r="F92" s="211" t="str">
        <f>IFERROR(VLOOKUP($C92,'PORTIFÓLIO'!C:V,4,0),"")</f>
        <v/>
      </c>
      <c r="G92" s="215" t="str">
        <f>IFERROR(VLOOKUP($C92,'PORTIFÓLIO'!C:V,5,0),"")</f>
        <v/>
      </c>
      <c r="H92" s="254" t="str">
        <f t="array" ref="H92">IFERROR(INDEX('PORTIFÓLIO'!$H$4:$H$433,MATCH($C92,'PORTIFÓLIO'!$C$4:$C$433,0)),"")</f>
        <v/>
      </c>
      <c r="I92" s="256"/>
      <c r="J92" s="218">
        <f t="shared" si="10"/>
        <v>0</v>
      </c>
      <c r="K92" s="219" t="str">
        <f t="array" ref="K92">IFERROR(I92*INDEX('PORTIFÓLIO'!$S$4:$S$433,MATCH($C92,'PORTIFÓLIO'!$C$4:$C$433,0)),"")</f>
        <v/>
      </c>
      <c r="L92" s="219" t="str">
        <f t="array" ref="L92">IFERROR(J92*INDEX('PORTIFÓLIO'!$S$4:$S$433,MATCH($C92,'PORTIFÓLIO'!$C$4:$C$433,0)),"")</f>
        <v/>
      </c>
      <c r="M92" s="220"/>
      <c r="N92" s="220"/>
      <c r="O92" s="220"/>
      <c r="P92" s="220"/>
      <c r="Q92" s="220"/>
      <c r="R92" s="220"/>
      <c r="S92" s="220"/>
      <c r="T92" s="220"/>
      <c r="U92" s="220"/>
      <c r="V92" s="220"/>
      <c r="W92" s="220"/>
    </row>
    <row r="93" ht="15.75" customHeight="1" outlineLevel="1">
      <c r="A93" s="211"/>
      <c r="B93" s="212"/>
      <c r="C93" s="213"/>
      <c r="D93" s="214" t="str">
        <f>IFERROR(VLOOKUP($C93,'PORTIFÓLIO'!C:V,2,0),"")</f>
        <v/>
      </c>
      <c r="E93" s="211" t="str">
        <f>IFERROR(VLOOKUP($C93,'PORTIFÓLIO'!C:V,3,0),"")</f>
        <v/>
      </c>
      <c r="F93" s="211" t="str">
        <f>IFERROR(VLOOKUP($C93,'PORTIFÓLIO'!C:V,4,0),"")</f>
        <v/>
      </c>
      <c r="G93" s="215" t="str">
        <f>IFERROR(VLOOKUP($C93,'PORTIFÓLIO'!C:V,5,0),"")</f>
        <v/>
      </c>
      <c r="H93" s="254" t="str">
        <f t="array" ref="H93">IFERROR(INDEX('PORTIFÓLIO'!$H$4:$H$433,MATCH($C93,'PORTIFÓLIO'!$C$4:$C$433,0)),"")</f>
        <v/>
      </c>
      <c r="I93" s="256"/>
      <c r="J93" s="218">
        <f t="shared" si="10"/>
        <v>0</v>
      </c>
      <c r="K93" s="219" t="str">
        <f t="array" ref="K93">IFERROR(I93*INDEX('PORTIFÓLIO'!$S$4:$S$433,MATCH($C93,'PORTIFÓLIO'!$C$4:$C$433,0)),"")</f>
        <v/>
      </c>
      <c r="L93" s="219" t="str">
        <f t="array" ref="L93">IFERROR(J93*INDEX('PORTIFÓLIO'!$S$4:$S$433,MATCH($C93,'PORTIFÓLIO'!$C$4:$C$433,0)),"")</f>
        <v/>
      </c>
      <c r="M93" s="220"/>
      <c r="N93" s="220"/>
      <c r="O93" s="220"/>
      <c r="P93" s="220"/>
      <c r="Q93" s="220"/>
      <c r="R93" s="220"/>
      <c r="S93" s="220"/>
      <c r="T93" s="220"/>
      <c r="U93" s="220"/>
      <c r="V93" s="220"/>
      <c r="W93" s="220"/>
    </row>
    <row r="94" ht="15.75" customHeight="1" outlineLevel="1">
      <c r="A94" s="211"/>
      <c r="B94" s="212"/>
      <c r="C94" s="213"/>
      <c r="D94" s="214" t="str">
        <f>IFERROR(VLOOKUP($C94,'PORTIFÓLIO'!C:V,2,0),"")</f>
        <v/>
      </c>
      <c r="E94" s="211" t="str">
        <f>IFERROR(VLOOKUP($C94,'PORTIFÓLIO'!C:V,3,0),"")</f>
        <v/>
      </c>
      <c r="F94" s="211" t="str">
        <f>IFERROR(VLOOKUP($C94,'PORTIFÓLIO'!C:V,4,0),"")</f>
        <v/>
      </c>
      <c r="G94" s="215" t="str">
        <f>IFERROR(VLOOKUP($C94,'PORTIFÓLIO'!C:V,5,0),"")</f>
        <v/>
      </c>
      <c r="H94" s="254" t="str">
        <f t="array" ref="H94">IFERROR(INDEX('PORTIFÓLIO'!$H$4:$H$433,MATCH($C94,'PORTIFÓLIO'!$C$4:$C$433,0)),"")</f>
        <v/>
      </c>
      <c r="I94" s="256"/>
      <c r="J94" s="218">
        <f t="shared" si="10"/>
        <v>0</v>
      </c>
      <c r="K94" s="219" t="str">
        <f t="array" ref="K94">IFERROR(I94*INDEX('PORTIFÓLIO'!$S$4:$S$433,MATCH($C94,'PORTIFÓLIO'!$C$4:$C$433,0)),"")</f>
        <v/>
      </c>
      <c r="L94" s="219" t="str">
        <f t="array" ref="L94">IFERROR(J94*INDEX('PORTIFÓLIO'!$S$4:$S$433,MATCH($C94,'PORTIFÓLIO'!$C$4:$C$433,0)),"")</f>
        <v/>
      </c>
      <c r="M94" s="220"/>
      <c r="N94" s="220"/>
      <c r="O94" s="220"/>
      <c r="P94" s="220"/>
      <c r="Q94" s="220"/>
      <c r="R94" s="220"/>
      <c r="S94" s="220"/>
      <c r="T94" s="220"/>
      <c r="U94" s="220"/>
      <c r="V94" s="220"/>
      <c r="W94" s="220"/>
    </row>
    <row r="95" ht="15.75" customHeight="1" outlineLevel="1">
      <c r="A95" s="211"/>
      <c r="B95" s="212"/>
      <c r="C95" s="213"/>
      <c r="D95" s="214" t="str">
        <f>IFERROR(VLOOKUP($C95,'PORTIFÓLIO'!C:V,2,0),"")</f>
        <v/>
      </c>
      <c r="E95" s="211" t="str">
        <f>IFERROR(VLOOKUP($C95,'PORTIFÓLIO'!C:V,3,0),"")</f>
        <v/>
      </c>
      <c r="F95" s="211" t="str">
        <f>IFERROR(VLOOKUP($C95,'PORTIFÓLIO'!C:V,4,0),"")</f>
        <v/>
      </c>
      <c r="G95" s="215" t="str">
        <f>IFERROR(VLOOKUP($C95,'PORTIFÓLIO'!C:V,5,0),"")</f>
        <v/>
      </c>
      <c r="H95" s="254" t="str">
        <f t="array" ref="H95">IFERROR(INDEX('PORTIFÓLIO'!$H$4:$H$433,MATCH($C95,'PORTIFÓLIO'!$C$4:$C$433,0)),"")</f>
        <v/>
      </c>
      <c r="I95" s="256"/>
      <c r="J95" s="218">
        <f t="shared" si="10"/>
        <v>0</v>
      </c>
      <c r="K95" s="219" t="str">
        <f t="array" ref="K95">IFERROR(I95*INDEX('PORTIFÓLIO'!$S$4:$S$433,MATCH($C95,'PORTIFÓLIO'!$C$4:$C$433,0)),"")</f>
        <v/>
      </c>
      <c r="L95" s="219" t="str">
        <f t="array" ref="L95">IFERROR(J95*INDEX('PORTIFÓLIO'!$S$4:$S$433,MATCH($C95,'PORTIFÓLIO'!$C$4:$C$433,0)),"")</f>
        <v/>
      </c>
      <c r="M95" s="220"/>
      <c r="N95" s="220"/>
      <c r="O95" s="220"/>
      <c r="P95" s="220"/>
      <c r="Q95" s="220"/>
      <c r="R95" s="220"/>
      <c r="S95" s="220"/>
      <c r="T95" s="220"/>
      <c r="U95" s="220"/>
      <c r="V95" s="220"/>
      <c r="W95" s="220"/>
    </row>
    <row r="96" ht="15.75" customHeight="1" outlineLevel="1">
      <c r="A96" s="211"/>
      <c r="B96" s="212"/>
      <c r="C96" s="213"/>
      <c r="D96" s="214" t="str">
        <f>IFERROR(VLOOKUP($C96,'PORTIFÓLIO'!C:V,2,0),"")</f>
        <v/>
      </c>
      <c r="E96" s="211" t="str">
        <f>IFERROR(VLOOKUP($C96,'PORTIFÓLIO'!C:V,3,0),"")</f>
        <v/>
      </c>
      <c r="F96" s="211" t="str">
        <f>IFERROR(VLOOKUP($C96,'PORTIFÓLIO'!C:V,4,0),"")</f>
        <v/>
      </c>
      <c r="G96" s="215" t="str">
        <f>IFERROR(VLOOKUP($C96,'PORTIFÓLIO'!C:V,5,0),"")</f>
        <v/>
      </c>
      <c r="H96" s="254" t="str">
        <f t="array" ref="H96">IFERROR(INDEX('PORTIFÓLIO'!$H$4:$H$433,MATCH($C96,'PORTIFÓLIO'!$C$4:$C$433,0)),"")</f>
        <v/>
      </c>
      <c r="I96" s="256"/>
      <c r="J96" s="218">
        <f t="shared" si="10"/>
        <v>0</v>
      </c>
      <c r="K96" s="219" t="str">
        <f t="array" ref="K96">IFERROR(I96*INDEX('PORTIFÓLIO'!$S$4:$S$433,MATCH($C96,'PORTIFÓLIO'!$C$4:$C$433,0)),"")</f>
        <v/>
      </c>
      <c r="L96" s="219" t="str">
        <f t="array" ref="L96">IFERROR(J96*INDEX('PORTIFÓLIO'!$S$4:$S$433,MATCH($C96,'PORTIFÓLIO'!$C$4:$C$433,0)),"")</f>
        <v/>
      </c>
      <c r="M96" s="220"/>
      <c r="N96" s="220"/>
      <c r="O96" s="220"/>
      <c r="P96" s="220"/>
      <c r="Q96" s="220"/>
      <c r="R96" s="220"/>
      <c r="S96" s="220"/>
      <c r="T96" s="220"/>
      <c r="U96" s="220"/>
      <c r="V96" s="220"/>
      <c r="W96" s="220"/>
    </row>
    <row r="97" ht="15.75" customHeight="1">
      <c r="A97" s="229" t="s">
        <v>1189</v>
      </c>
      <c r="B97" s="230"/>
      <c r="C97" s="231"/>
      <c r="D97" s="232"/>
      <c r="E97" s="231"/>
      <c r="F97" s="231"/>
      <c r="G97" s="233"/>
      <c r="H97" s="233"/>
      <c r="I97" s="258"/>
      <c r="J97" s="236"/>
      <c r="K97" s="237">
        <f t="shared" ref="K97:L97" si="11">SUBTOTAL(9,K98:K111)</f>
        <v>251.9479845</v>
      </c>
      <c r="L97" s="237">
        <f t="shared" si="11"/>
        <v>78859.71915</v>
      </c>
      <c r="M97" s="220"/>
      <c r="N97" s="220"/>
      <c r="O97" s="220"/>
      <c r="P97" s="220"/>
      <c r="Q97" s="220"/>
      <c r="R97" s="220"/>
      <c r="S97" s="220"/>
      <c r="T97" s="220"/>
      <c r="U97" s="220"/>
      <c r="V97" s="220"/>
      <c r="W97" s="220"/>
    </row>
    <row r="98" ht="15.75" customHeight="1" outlineLevel="1">
      <c r="A98" s="213"/>
      <c r="B98" s="212" t="s">
        <v>0</v>
      </c>
      <c r="C98" s="213" t="s">
        <v>443</v>
      </c>
      <c r="D98" s="214" t="str">
        <f>IFERROR(VLOOKUP($C98,'PORTIFÓLIO'!C:V,2,0),"")</f>
        <v>MEFENTRIFLUCONAZOL + PIRACLOSTROBINA +
 FLUXAPIROXADE</v>
      </c>
      <c r="E98" s="211" t="str">
        <f>IFERROR(VLOOKUP($C98,'PORTIFÓLIO'!C:V,3,0),"")</f>
        <v>133,3 + 177,8 + 88,9</v>
      </c>
      <c r="F98" s="211" t="str">
        <f>IFERROR(VLOOKUP($C98,'PORTIFÓLIO'!C:V,4,0),"")</f>
        <v>L</v>
      </c>
      <c r="G98" s="225" t="str">
        <f>IFERROR(VLOOKUP($C98,'PORTIFÓLIO'!C:V,5,0),"")</f>
        <v>📄 Ver bula</v>
      </c>
      <c r="H98" s="254">
        <f t="array" ref="H98">IFERROR(INDEX('PORTIFÓLIO'!$H$4:$H$433,MATCH($C98,'PORTIFÓLIO'!$C$4:$C$433,0)),"")</f>
        <v>0.7</v>
      </c>
      <c r="I98" s="255">
        <v>0.7</v>
      </c>
      <c r="J98" s="218">
        <f t="shared" ref="J98:J112" si="12">I98*$B$2</f>
        <v>219.1</v>
      </c>
      <c r="K98" s="219">
        <f t="array" ref="K98">IFERROR(I98*INDEX('PORTIFÓLIO'!$S$4:$S$433,MATCH($C98,'PORTIFÓLIO'!$C$4:$C$433,0)),"")</f>
        <v>119.38752</v>
      </c>
      <c r="L98" s="219">
        <f t="array" ref="L98">IFERROR(J98*INDEX('PORTIFÓLIO'!$S$4:$S$433,MATCH($C98,'PORTIFÓLIO'!$C$4:$C$433,0)),"")</f>
        <v>37368.29376</v>
      </c>
      <c r="M98" s="220"/>
      <c r="N98" s="220"/>
      <c r="O98" s="220"/>
      <c r="P98" s="220"/>
      <c r="Q98" s="220"/>
      <c r="R98" s="220"/>
      <c r="S98" s="220"/>
      <c r="T98" s="220"/>
      <c r="U98" s="220"/>
      <c r="V98" s="220"/>
      <c r="W98" s="220"/>
    </row>
    <row r="99" ht="15.75" customHeight="1" outlineLevel="1">
      <c r="A99" s="211"/>
      <c r="B99" s="212" t="s">
        <v>0</v>
      </c>
      <c r="C99" s="213" t="s">
        <v>520</v>
      </c>
      <c r="D99" s="214" t="str">
        <f>IFERROR(VLOOKUP($C99,'PORTIFÓLIO'!C:V,2,0),"")</f>
        <v>FLUAZINAM</v>
      </c>
      <c r="E99" s="211">
        <f>IFERROR(VLOOKUP($C99,'PORTIFÓLIO'!C:V,3,0),"")</f>
        <v>500</v>
      </c>
      <c r="F99" s="211" t="str">
        <f>IFERROR(VLOOKUP($C99,'PORTIFÓLIO'!C:V,4,0),"")</f>
        <v>L</v>
      </c>
      <c r="G99" s="225" t="str">
        <f>IFERROR(VLOOKUP($C99,'PORTIFÓLIO'!C:V,5,0),"")</f>
        <v>📄 Ver bula</v>
      </c>
      <c r="H99" s="254">
        <f t="array" ref="H99">IFERROR(INDEX('PORTIFÓLIO'!$H$4:$H$433,MATCH($C99,'PORTIFÓLIO'!$C$4:$C$433,0)),"")</f>
        <v>1</v>
      </c>
      <c r="I99" s="255">
        <v>1.0</v>
      </c>
      <c r="J99" s="218">
        <f t="shared" si="12"/>
        <v>313</v>
      </c>
      <c r="K99" s="219">
        <f t="array" ref="K99">IFERROR(I99*INDEX('PORTIFÓLIO'!$S$4:$S$433,MATCH($C99,'PORTIFÓLIO'!$C$4:$C$433,0)),"")</f>
        <v>67.68</v>
      </c>
      <c r="L99" s="219">
        <f t="array" ref="L99">IFERROR(J99*INDEX('PORTIFÓLIO'!$S$4:$S$433,MATCH($C99,'PORTIFÓLIO'!$C$4:$C$433,0)),"")</f>
        <v>21183.84</v>
      </c>
      <c r="M99" s="220"/>
      <c r="N99" s="220"/>
      <c r="O99" s="220"/>
      <c r="P99" s="220"/>
      <c r="Q99" s="220"/>
      <c r="R99" s="220"/>
      <c r="S99" s="220"/>
      <c r="T99" s="220"/>
      <c r="U99" s="220"/>
      <c r="V99" s="220"/>
      <c r="W99" s="220"/>
    </row>
    <row r="100" ht="15.75" customHeight="1" outlineLevel="1">
      <c r="A100" s="211"/>
      <c r="B100" s="212" t="s">
        <v>2</v>
      </c>
      <c r="C100" s="213" t="s">
        <v>829</v>
      </c>
      <c r="D100" s="214" t="str">
        <f>IFERROR(VLOOKUP($C100,'PORTIFÓLIO'!C:V,2,0),"")</f>
        <v>BIFENTRINA</v>
      </c>
      <c r="E100" s="211">
        <f>IFERROR(VLOOKUP($C100,'PORTIFÓLIO'!C:V,3,0),"")</f>
        <v>400</v>
      </c>
      <c r="F100" s="211" t="str">
        <f>IFERROR(VLOOKUP($C100,'PORTIFÓLIO'!C:V,4,0),"")</f>
        <v>L</v>
      </c>
      <c r="G100" s="225" t="str">
        <f>IFERROR(VLOOKUP($C100,'PORTIFÓLIO'!C:V,5,0),"")</f>
        <v>📄 Ver bula</v>
      </c>
      <c r="H100" s="254">
        <f t="array" ref="H100">IFERROR(INDEX('PORTIFÓLIO'!$H$4:$H$433,MATCH($C100,'PORTIFÓLIO'!$C$4:$C$433,0)),"")</f>
        <v>0.05</v>
      </c>
      <c r="I100" s="255">
        <v>0.05</v>
      </c>
      <c r="J100" s="218">
        <f t="shared" si="12"/>
        <v>15.65</v>
      </c>
      <c r="K100" s="219">
        <f t="array" ref="K100">IFERROR(I100*INDEX('PORTIFÓLIO'!$S$4:$S$433,MATCH($C100,'PORTIFÓLIO'!$C$4:$C$433,0)),"")</f>
        <v>3.076419</v>
      </c>
      <c r="L100" s="219">
        <f t="array" ref="L100">IFERROR(J100*INDEX('PORTIFÓLIO'!$S$4:$S$433,MATCH($C100,'PORTIFÓLIO'!$C$4:$C$433,0)),"")</f>
        <v>962.919147</v>
      </c>
      <c r="M100" s="220"/>
      <c r="N100" s="220"/>
      <c r="O100" s="220"/>
      <c r="P100" s="220"/>
      <c r="Q100" s="220"/>
      <c r="R100" s="220"/>
      <c r="S100" s="220"/>
      <c r="T100" s="220"/>
      <c r="U100" s="220"/>
      <c r="V100" s="220"/>
      <c r="W100" s="220"/>
    </row>
    <row r="101" ht="15.75" customHeight="1" outlineLevel="1">
      <c r="A101" s="211"/>
      <c r="B101" s="212" t="s">
        <v>2</v>
      </c>
      <c r="C101" s="213" t="s">
        <v>842</v>
      </c>
      <c r="D101" s="214" t="str">
        <f>IFERROR(VLOOKUP($C101,'PORTIFÓLIO'!C:V,2,0),"")</f>
        <v>IMIDACLOPRIDO</v>
      </c>
      <c r="E101" s="211">
        <f>IFERROR(VLOOKUP($C101,'PORTIFÓLIO'!C:V,3,0),"")</f>
        <v>480</v>
      </c>
      <c r="F101" s="211" t="str">
        <f>IFERROR(VLOOKUP($C101,'PORTIFÓLIO'!C:V,4,0),"")</f>
        <v>L</v>
      </c>
      <c r="G101" s="225" t="str">
        <f>IFERROR(VLOOKUP($C101,'PORTIFÓLIO'!C:V,5,0),"")</f>
        <v>📄 Ver bula</v>
      </c>
      <c r="H101" s="254">
        <f t="array" ref="H101">IFERROR(INDEX('PORTIFÓLIO'!$H$4:$H$433,MATCH($C101,'PORTIFÓLIO'!$C$4:$C$433,0)),"")</f>
        <v>0.25</v>
      </c>
      <c r="I101" s="255">
        <v>0.25</v>
      </c>
      <c r="J101" s="218">
        <f t="shared" si="12"/>
        <v>78.25</v>
      </c>
      <c r="K101" s="219">
        <f t="array" ref="K101">IFERROR(I101*INDEX('PORTIFÓLIO'!$S$4:$S$433,MATCH($C101,'PORTIFÓLIO'!$C$4:$C$433,0)),"")</f>
        <v>14.0554125</v>
      </c>
      <c r="L101" s="219">
        <f t="array" ref="L101">IFERROR(J101*INDEX('PORTIFÓLIO'!$S$4:$S$433,MATCH($C101,'PORTIFÓLIO'!$C$4:$C$433,0)),"")</f>
        <v>4399.344113</v>
      </c>
      <c r="M101" s="220"/>
      <c r="N101" s="220"/>
      <c r="O101" s="220"/>
      <c r="P101" s="220"/>
      <c r="Q101" s="220"/>
      <c r="R101" s="220"/>
      <c r="S101" s="220"/>
      <c r="T101" s="220"/>
      <c r="U101" s="220"/>
      <c r="V101" s="220"/>
      <c r="W101" s="220"/>
    </row>
    <row r="102" ht="15.75" customHeight="1" outlineLevel="1">
      <c r="A102" s="211"/>
      <c r="B102" s="212" t="s">
        <v>2</v>
      </c>
      <c r="C102" s="213" t="s">
        <v>786</v>
      </c>
      <c r="D102" s="214" t="str">
        <f>IFERROR(VLOOKUP($C102,'PORTIFÓLIO'!C:V,2,0),"")</f>
        <v>DIFLUBENZUROM</v>
      </c>
      <c r="E102" s="211">
        <f>IFERROR(VLOOKUP($C102,'PORTIFÓLIO'!C:V,3,0),"")</f>
        <v>480</v>
      </c>
      <c r="F102" s="211" t="str">
        <f>IFERROR(VLOOKUP($C102,'PORTIFÓLIO'!C:V,4,0),"")</f>
        <v>KG</v>
      </c>
      <c r="G102" s="225" t="str">
        <f>IFERROR(VLOOKUP($C102,'PORTIFÓLIO'!C:V,5,0),"")</f>
        <v>📄 Ver bula</v>
      </c>
      <c r="H102" s="254">
        <f t="array" ref="H102">IFERROR(INDEX('PORTIFÓLIO'!$H$4:$H$433,MATCH($C102,'PORTIFÓLIO'!$C$4:$C$433,0)),"")</f>
        <v>0.04</v>
      </c>
      <c r="I102" s="255">
        <v>0.05</v>
      </c>
      <c r="J102" s="218">
        <f t="shared" si="12"/>
        <v>15.65</v>
      </c>
      <c r="K102" s="219">
        <f t="array" ref="K102">IFERROR(I102*INDEX('PORTIFÓLIO'!$S$4:$S$433,MATCH($C102,'PORTIFÓLIO'!$C$4:$C$433,0)),"")</f>
        <v>2.927979</v>
      </c>
      <c r="L102" s="219">
        <f t="array" ref="L102">IFERROR(J102*INDEX('PORTIFÓLIO'!$S$4:$S$433,MATCH($C102,'PORTIFÓLIO'!$C$4:$C$433,0)),"")</f>
        <v>916.457427</v>
      </c>
      <c r="M102" s="220"/>
      <c r="N102" s="220"/>
      <c r="O102" s="220"/>
      <c r="P102" s="220"/>
      <c r="Q102" s="220"/>
      <c r="R102" s="220"/>
      <c r="S102" s="220"/>
      <c r="T102" s="220"/>
      <c r="U102" s="220"/>
      <c r="V102" s="220"/>
      <c r="W102" s="220"/>
    </row>
    <row r="103" ht="15.75" customHeight="1" outlineLevel="1">
      <c r="A103" s="211"/>
      <c r="B103" s="212" t="s">
        <v>6</v>
      </c>
      <c r="C103" s="213" t="s">
        <v>341</v>
      </c>
      <c r="D103" s="214" t="str">
        <f>IFERROR(VLOOKUP($C103,'PORTIFÓLIO'!C:V,2,0),"")</f>
        <v>ESTER METILICO DE SOJA</v>
      </c>
      <c r="E103" s="211">
        <f>IFERROR(VLOOKUP($C103,'PORTIFÓLIO'!C:V,3,0),"")</f>
        <v>765</v>
      </c>
      <c r="F103" s="211" t="str">
        <f>IFERROR(VLOOKUP($C103,'PORTIFÓLIO'!C:V,4,0),"")</f>
        <v>L</v>
      </c>
      <c r="G103" s="225" t="str">
        <f>IFERROR(VLOOKUP($C103,'PORTIFÓLIO'!C:V,5,0),"")</f>
        <v>📄 Ver bula</v>
      </c>
      <c r="H103" s="254">
        <f t="array" ref="H103">IFERROR(INDEX('PORTIFÓLIO'!$H$4:$H$433,MATCH($C103,'PORTIFÓLIO'!$C$4:$C$433,0)),"")</f>
        <v>0.2</v>
      </c>
      <c r="I103" s="255">
        <v>0.2</v>
      </c>
      <c r="J103" s="218">
        <f t="shared" si="12"/>
        <v>62.6</v>
      </c>
      <c r="K103" s="219">
        <f t="array" ref="K103">IFERROR(I103*INDEX('PORTIFÓLIO'!$S$4:$S$433,MATCH($C103,'PORTIFÓLIO'!$C$4:$C$433,0)),"")</f>
        <v>3.298974</v>
      </c>
      <c r="L103" s="219">
        <f t="array" ref="L103">IFERROR(J103*INDEX('PORTIFÓLIO'!$S$4:$S$433,MATCH($C103,'PORTIFÓLIO'!$C$4:$C$433,0)),"")</f>
        <v>1032.578862</v>
      </c>
      <c r="M103" s="220"/>
      <c r="N103" s="220"/>
      <c r="O103" s="220"/>
      <c r="P103" s="220"/>
      <c r="Q103" s="220"/>
      <c r="R103" s="220"/>
      <c r="S103" s="220"/>
      <c r="T103" s="220"/>
      <c r="U103" s="220"/>
      <c r="V103" s="220"/>
      <c r="W103" s="220"/>
    </row>
    <row r="104" ht="15.75" customHeight="1" outlineLevel="1">
      <c r="A104" s="211"/>
      <c r="B104" s="212" t="s">
        <v>0</v>
      </c>
      <c r="C104" s="213" t="s">
        <v>484</v>
      </c>
      <c r="D104" s="214" t="str">
        <f>IFERROR(VLOOKUP($C104,'PORTIFÓLIO'!C:V,2,0),"")</f>
        <v>MANCOZEBE</v>
      </c>
      <c r="E104" s="211">
        <f>IFERROR(VLOOKUP($C104,'PORTIFÓLIO'!C:V,3,0),"")</f>
        <v>750</v>
      </c>
      <c r="F104" s="211" t="str">
        <f>IFERROR(VLOOKUP($C104,'PORTIFÓLIO'!C:V,4,0),"")</f>
        <v>L</v>
      </c>
      <c r="G104" s="225" t="str">
        <f>IFERROR(VLOOKUP($C104,'PORTIFÓLIO'!C:V,5,0),"")</f>
        <v>📄 Ver bula</v>
      </c>
      <c r="H104" s="254">
        <f t="array" ref="H104">IFERROR(INDEX('PORTIFÓLIO'!$H$4:$H$433,MATCH($C104,'PORTIFÓLIO'!$C$4:$C$433,0)),"")</f>
        <v>1.5</v>
      </c>
      <c r="I104" s="255">
        <v>1.5</v>
      </c>
      <c r="J104" s="218">
        <f t="shared" si="12"/>
        <v>469.5</v>
      </c>
      <c r="K104" s="219">
        <f t="array" ref="K104">IFERROR(I104*INDEX('PORTIFÓLIO'!$S$4:$S$433,MATCH($C104,'PORTIFÓLIO'!$C$4:$C$433,0)),"")</f>
        <v>41.52168</v>
      </c>
      <c r="L104" s="219">
        <f t="array" ref="L104">IFERROR(J104*INDEX('PORTIFÓLIO'!$S$4:$S$433,MATCH($C104,'PORTIFÓLIO'!$C$4:$C$433,0)),"")</f>
        <v>12996.28584</v>
      </c>
      <c r="M104" s="220"/>
      <c r="N104" s="220"/>
      <c r="O104" s="220"/>
      <c r="P104" s="220"/>
      <c r="Q104" s="220"/>
      <c r="R104" s="220"/>
      <c r="S104" s="220"/>
      <c r="T104" s="220"/>
      <c r="U104" s="220"/>
      <c r="V104" s="220"/>
      <c r="W104" s="220"/>
    </row>
    <row r="105" ht="15.75" customHeight="1" outlineLevel="1">
      <c r="A105" s="211"/>
      <c r="B105" s="212"/>
      <c r="C105" s="213"/>
      <c r="D105" s="214" t="str">
        <f>IFERROR(VLOOKUP($C105,'PORTIFÓLIO'!C:V,2,0),"")</f>
        <v/>
      </c>
      <c r="E105" s="211" t="str">
        <f>IFERROR(VLOOKUP($C105,'PORTIFÓLIO'!C:V,3,0),"")</f>
        <v/>
      </c>
      <c r="F105" s="211" t="str">
        <f>IFERROR(VLOOKUP($C105,'PORTIFÓLIO'!C:V,4,0),"")</f>
        <v/>
      </c>
      <c r="G105" s="215" t="str">
        <f>IFERROR(VLOOKUP($C105,'PORTIFÓLIO'!C:V,5,0),"")</f>
        <v/>
      </c>
      <c r="H105" s="254" t="str">
        <f t="array" ref="H105">IFERROR(INDEX('PORTIFÓLIO'!$H$4:$H$433,MATCH($C105,'PORTIFÓLIO'!$C$4:$C$433,0)),"")</f>
        <v/>
      </c>
      <c r="I105" s="256"/>
      <c r="J105" s="218">
        <f t="shared" si="12"/>
        <v>0</v>
      </c>
      <c r="K105" s="219" t="str">
        <f t="array" ref="K105">IFERROR(I105*INDEX('PORTIFÓLIO'!$S$4:$S$433,MATCH($C105,'PORTIFÓLIO'!$C$4:$C$433,0)),"")</f>
        <v/>
      </c>
      <c r="L105" s="219" t="str">
        <f t="array" ref="L105">IFERROR(J105*INDEX('PORTIFÓLIO'!$S$4:$S$433,MATCH($C105,'PORTIFÓLIO'!$C$4:$C$433,0)),"")</f>
        <v/>
      </c>
      <c r="M105" s="220"/>
      <c r="N105" s="220"/>
      <c r="O105" s="220"/>
      <c r="P105" s="220"/>
      <c r="Q105" s="220"/>
      <c r="R105" s="220"/>
      <c r="S105" s="220"/>
      <c r="T105" s="220"/>
      <c r="U105" s="220"/>
      <c r="V105" s="220"/>
      <c r="W105" s="220"/>
    </row>
    <row r="106" ht="15.75" customHeight="1" outlineLevel="1">
      <c r="A106" s="211"/>
      <c r="B106" s="212"/>
      <c r="C106" s="213"/>
      <c r="D106" s="214" t="str">
        <f>IFERROR(VLOOKUP($C106,'PORTIFÓLIO'!C:V,2,0),"")</f>
        <v/>
      </c>
      <c r="E106" s="211" t="str">
        <f>IFERROR(VLOOKUP($C106,'PORTIFÓLIO'!C:V,3,0),"")</f>
        <v/>
      </c>
      <c r="F106" s="211" t="str">
        <f>IFERROR(VLOOKUP($C106,'PORTIFÓLIO'!C:V,4,0),"")</f>
        <v/>
      </c>
      <c r="G106" s="215" t="str">
        <f>IFERROR(VLOOKUP($C106,'PORTIFÓLIO'!C:V,5,0),"")</f>
        <v/>
      </c>
      <c r="H106" s="254" t="str">
        <f t="array" ref="H106">IFERROR(INDEX('PORTIFÓLIO'!$H$4:$H$433,MATCH($C106,'PORTIFÓLIO'!$C$4:$C$433,0)),"")</f>
        <v/>
      </c>
      <c r="I106" s="255"/>
      <c r="J106" s="218">
        <f t="shared" si="12"/>
        <v>0</v>
      </c>
      <c r="K106" s="219" t="str">
        <f t="array" ref="K106">IFERROR(I106*INDEX('PORTIFÓLIO'!$S$4:$S$433,MATCH($C106,'PORTIFÓLIO'!$C$4:$C$433,0)),"")</f>
        <v/>
      </c>
      <c r="L106" s="219" t="str">
        <f t="array" ref="L106">IFERROR(J106*INDEX('PORTIFÓLIO'!$S$4:$S$433,MATCH($C106,'PORTIFÓLIO'!$C$4:$C$433,0)),"")</f>
        <v/>
      </c>
      <c r="M106" s="220"/>
      <c r="N106" s="220"/>
      <c r="O106" s="220"/>
      <c r="P106" s="220"/>
      <c r="Q106" s="220"/>
      <c r="R106" s="220"/>
      <c r="S106" s="220"/>
      <c r="T106" s="220"/>
      <c r="U106" s="220"/>
      <c r="V106" s="220"/>
      <c r="W106" s="220"/>
    </row>
    <row r="107" ht="15.75" customHeight="1" outlineLevel="1">
      <c r="A107" s="211"/>
      <c r="B107" s="212"/>
      <c r="C107" s="213"/>
      <c r="D107" s="214" t="str">
        <f>IFERROR(VLOOKUP($C107,'PORTIFÓLIO'!C:V,2,0),"")</f>
        <v/>
      </c>
      <c r="E107" s="211" t="str">
        <f>IFERROR(VLOOKUP($C107,'PORTIFÓLIO'!C:V,3,0),"")</f>
        <v/>
      </c>
      <c r="F107" s="211" t="str">
        <f>IFERROR(VLOOKUP($C107,'PORTIFÓLIO'!C:V,4,0),"")</f>
        <v/>
      </c>
      <c r="G107" s="215" t="str">
        <f>IFERROR(VLOOKUP($C107,'PORTIFÓLIO'!C:V,5,0),"")</f>
        <v/>
      </c>
      <c r="H107" s="254" t="str">
        <f t="array" ref="H107">IFERROR(INDEX('PORTIFÓLIO'!$H$4:$H$433,MATCH($C107,'PORTIFÓLIO'!$C$4:$C$433,0)),"")</f>
        <v/>
      </c>
      <c r="I107" s="256"/>
      <c r="J107" s="218">
        <f t="shared" si="12"/>
        <v>0</v>
      </c>
      <c r="K107" s="219" t="str">
        <f t="array" ref="K107">IFERROR(I107*INDEX('PORTIFÓLIO'!$S$4:$S$433,MATCH($C107,'PORTIFÓLIO'!$C$4:$C$433,0)),"")</f>
        <v/>
      </c>
      <c r="L107" s="219" t="str">
        <f t="array" ref="L107">IFERROR(J107*INDEX('PORTIFÓLIO'!$S$4:$S$433,MATCH($C107,'PORTIFÓLIO'!$C$4:$C$433,0)),"")</f>
        <v/>
      </c>
      <c r="M107" s="220"/>
      <c r="N107" s="220"/>
      <c r="O107" s="220"/>
      <c r="P107" s="220"/>
      <c r="Q107" s="220"/>
      <c r="R107" s="220"/>
      <c r="S107" s="220"/>
      <c r="T107" s="220"/>
      <c r="U107" s="220"/>
      <c r="V107" s="220"/>
      <c r="W107" s="220"/>
    </row>
    <row r="108" ht="15.75" customHeight="1" outlineLevel="1">
      <c r="A108" s="211"/>
      <c r="B108" s="212"/>
      <c r="C108" s="213"/>
      <c r="D108" s="214" t="str">
        <f>IFERROR(VLOOKUP($C108,'PORTIFÓLIO'!C:V,2,0),"")</f>
        <v/>
      </c>
      <c r="E108" s="211" t="str">
        <f>IFERROR(VLOOKUP($C108,'PORTIFÓLIO'!C:V,3,0),"")</f>
        <v/>
      </c>
      <c r="F108" s="211" t="str">
        <f>IFERROR(VLOOKUP($C108,'PORTIFÓLIO'!C:V,4,0),"")</f>
        <v/>
      </c>
      <c r="G108" s="215" t="str">
        <f>IFERROR(VLOOKUP($C108,'PORTIFÓLIO'!C:V,5,0),"")</f>
        <v/>
      </c>
      <c r="H108" s="254" t="str">
        <f t="array" ref="H108">IFERROR(INDEX('PORTIFÓLIO'!$H$4:$H$433,MATCH($C108,'PORTIFÓLIO'!$C$4:$C$433,0)),"")</f>
        <v/>
      </c>
      <c r="I108" s="256"/>
      <c r="J108" s="218">
        <f t="shared" si="12"/>
        <v>0</v>
      </c>
      <c r="K108" s="219" t="str">
        <f t="array" ref="K108">IFERROR(I108*INDEX('PORTIFÓLIO'!$S$4:$S$433,MATCH($C108,'PORTIFÓLIO'!$C$4:$C$433,0)),"")</f>
        <v/>
      </c>
      <c r="L108" s="219" t="str">
        <f t="array" ref="L108">IFERROR(J108*INDEX('PORTIFÓLIO'!$S$4:$S$433,MATCH($C108,'PORTIFÓLIO'!$C$4:$C$433,0)),"")</f>
        <v/>
      </c>
      <c r="M108" s="220"/>
      <c r="N108" s="220"/>
      <c r="O108" s="220"/>
      <c r="P108" s="220"/>
      <c r="Q108" s="220"/>
      <c r="R108" s="220"/>
      <c r="S108" s="220"/>
      <c r="T108" s="220"/>
      <c r="U108" s="220"/>
      <c r="V108" s="220"/>
      <c r="W108" s="220"/>
    </row>
    <row r="109" ht="15.75" customHeight="1" outlineLevel="1">
      <c r="A109" s="211"/>
      <c r="B109" s="212"/>
      <c r="C109" s="213"/>
      <c r="D109" s="214" t="str">
        <f>IFERROR(VLOOKUP($C109,'PORTIFÓLIO'!C:V,2,0),"")</f>
        <v/>
      </c>
      <c r="E109" s="211" t="str">
        <f>IFERROR(VLOOKUP($C109,'PORTIFÓLIO'!C:V,3,0),"")</f>
        <v/>
      </c>
      <c r="F109" s="211" t="str">
        <f>IFERROR(VLOOKUP($C109,'PORTIFÓLIO'!C:V,4,0),"")</f>
        <v/>
      </c>
      <c r="G109" s="215" t="str">
        <f>IFERROR(VLOOKUP($C109,'PORTIFÓLIO'!C:V,5,0),"")</f>
        <v/>
      </c>
      <c r="H109" s="254" t="str">
        <f t="array" ref="H109">IFERROR(INDEX('PORTIFÓLIO'!$H$4:$H$433,MATCH($C109,'PORTIFÓLIO'!$C$4:$C$433,0)),"")</f>
        <v/>
      </c>
      <c r="I109" s="256"/>
      <c r="J109" s="218">
        <f t="shared" si="12"/>
        <v>0</v>
      </c>
      <c r="K109" s="219" t="str">
        <f t="array" ref="K109">IFERROR(I109*INDEX('PORTIFÓLIO'!$S$4:$S$433,MATCH($C109,'PORTIFÓLIO'!$C$4:$C$433,0)),"")</f>
        <v/>
      </c>
      <c r="L109" s="219" t="str">
        <f t="array" ref="L109">IFERROR(J109*INDEX('PORTIFÓLIO'!$S$4:$S$433,MATCH($C109,'PORTIFÓLIO'!$C$4:$C$433,0)),"")</f>
        <v/>
      </c>
      <c r="M109" s="220"/>
      <c r="N109" s="220"/>
      <c r="O109" s="220"/>
      <c r="P109" s="220"/>
      <c r="Q109" s="220"/>
      <c r="R109" s="220"/>
      <c r="S109" s="220"/>
      <c r="T109" s="220"/>
      <c r="U109" s="220"/>
      <c r="V109" s="220"/>
      <c r="W109" s="220"/>
    </row>
    <row r="110" ht="15.75" customHeight="1" outlineLevel="1">
      <c r="A110" s="211"/>
      <c r="B110" s="212"/>
      <c r="C110" s="213"/>
      <c r="D110" s="214" t="str">
        <f>IFERROR(VLOOKUP($C110,'PORTIFÓLIO'!C:V,2,0),"")</f>
        <v/>
      </c>
      <c r="E110" s="211" t="str">
        <f>IFERROR(VLOOKUP($C110,'PORTIFÓLIO'!C:V,3,0),"")</f>
        <v/>
      </c>
      <c r="F110" s="211" t="str">
        <f>IFERROR(VLOOKUP($C110,'PORTIFÓLIO'!C:V,4,0),"")</f>
        <v/>
      </c>
      <c r="G110" s="215" t="str">
        <f>IFERROR(VLOOKUP($C110,'PORTIFÓLIO'!C:V,5,0),"")</f>
        <v/>
      </c>
      <c r="H110" s="254" t="str">
        <f t="array" ref="H110">IFERROR(INDEX('PORTIFÓLIO'!$H$4:$H$433,MATCH($C110,'PORTIFÓLIO'!$C$4:$C$433,0)),"")</f>
        <v/>
      </c>
      <c r="I110" s="256"/>
      <c r="J110" s="218">
        <f t="shared" si="12"/>
        <v>0</v>
      </c>
      <c r="K110" s="219" t="str">
        <f t="array" ref="K110">IFERROR(I110*INDEX('PORTIFÓLIO'!$S$4:$S$433,MATCH($C110,'PORTIFÓLIO'!$C$4:$C$433,0)),"")</f>
        <v/>
      </c>
      <c r="L110" s="219" t="str">
        <f t="array" ref="L110">IFERROR(J110*INDEX('PORTIFÓLIO'!$S$4:$S$433,MATCH($C110,'PORTIFÓLIO'!$C$4:$C$433,0)),"")</f>
        <v/>
      </c>
      <c r="M110" s="220"/>
      <c r="N110" s="220"/>
      <c r="O110" s="220"/>
      <c r="P110" s="220"/>
      <c r="Q110" s="220"/>
      <c r="R110" s="220"/>
      <c r="S110" s="220"/>
      <c r="T110" s="220"/>
      <c r="U110" s="220"/>
      <c r="V110" s="220"/>
      <c r="W110" s="220"/>
    </row>
    <row r="111" ht="15.75" customHeight="1" outlineLevel="1">
      <c r="A111" s="211"/>
      <c r="B111" s="212"/>
      <c r="C111" s="213"/>
      <c r="D111" s="214" t="str">
        <f>IFERROR(VLOOKUP($C111,'PORTIFÓLIO'!C:V,2,0),"")</f>
        <v/>
      </c>
      <c r="E111" s="211" t="str">
        <f>IFERROR(VLOOKUP($C111,'PORTIFÓLIO'!C:V,3,0),"")</f>
        <v/>
      </c>
      <c r="F111" s="211" t="str">
        <f>IFERROR(VLOOKUP($C111,'PORTIFÓLIO'!C:V,4,0),"")</f>
        <v/>
      </c>
      <c r="G111" s="215" t="str">
        <f>IFERROR(VLOOKUP($C111,'PORTIFÓLIO'!C:V,5,0),"")</f>
        <v/>
      </c>
      <c r="H111" s="254" t="str">
        <f t="array" ref="H111">IFERROR(INDEX('PORTIFÓLIO'!$H$4:$H$433,MATCH($C111,'PORTIFÓLIO'!$C$4:$C$433,0)),"")</f>
        <v/>
      </c>
      <c r="I111" s="256"/>
      <c r="J111" s="218">
        <f t="shared" si="12"/>
        <v>0</v>
      </c>
      <c r="K111" s="219" t="str">
        <f t="array" ref="K111">IFERROR(I111*INDEX('PORTIFÓLIO'!$S$4:$S$433,MATCH($C111,'PORTIFÓLIO'!$C$4:$C$433,0)),"")</f>
        <v/>
      </c>
      <c r="L111" s="219" t="str">
        <f t="array" ref="L111">IFERROR(J111*INDEX('PORTIFÓLIO'!$S$4:$S$433,MATCH($C111,'PORTIFÓLIO'!$C$4:$C$433,0)),"")</f>
        <v/>
      </c>
      <c r="M111" s="220"/>
      <c r="N111" s="220"/>
      <c r="O111" s="220"/>
      <c r="P111" s="220"/>
      <c r="Q111" s="220"/>
      <c r="R111" s="220"/>
      <c r="S111" s="220"/>
      <c r="T111" s="220"/>
      <c r="U111" s="220"/>
      <c r="V111" s="220"/>
      <c r="W111" s="220"/>
    </row>
    <row r="112" ht="15.75" customHeight="1" outlineLevel="1">
      <c r="A112" s="211"/>
      <c r="B112" s="212"/>
      <c r="C112" s="213"/>
      <c r="D112" s="214" t="str">
        <f>IFERROR(VLOOKUP($C112,'PORTIFÓLIO'!C:V,2,0),"")</f>
        <v/>
      </c>
      <c r="E112" s="211" t="str">
        <f>IFERROR(VLOOKUP($C112,'PORTIFÓLIO'!C:V,3,0),"")</f>
        <v/>
      </c>
      <c r="F112" s="211" t="str">
        <f>IFERROR(VLOOKUP($C112,'PORTIFÓLIO'!C:V,4,0),"")</f>
        <v/>
      </c>
      <c r="G112" s="215" t="str">
        <f>IFERROR(VLOOKUP($C112,'PORTIFÓLIO'!C:V,5,0),"")</f>
        <v/>
      </c>
      <c r="H112" s="254" t="str">
        <f t="array" ref="H112">IFERROR(INDEX('PORTIFÓLIO'!$H$4:$H$433,MATCH($C112,'PORTIFÓLIO'!$C$4:$C$433,0)),"")</f>
        <v/>
      </c>
      <c r="I112" s="256"/>
      <c r="J112" s="218">
        <f t="shared" si="12"/>
        <v>0</v>
      </c>
      <c r="K112" s="219" t="str">
        <f t="array" ref="K112">IFERROR(I112*INDEX('PORTIFÓLIO'!$S$4:$S$433,MATCH($C112,'PORTIFÓLIO'!$C$4:$C$433,0)),"")</f>
        <v/>
      </c>
      <c r="L112" s="219" t="str">
        <f t="array" ref="L112">IFERROR(J112*INDEX('PORTIFÓLIO'!$S$4:$S$433,MATCH($C112,'PORTIFÓLIO'!$C$4:$C$433,0)),"")</f>
        <v/>
      </c>
      <c r="M112" s="220"/>
      <c r="N112" s="220"/>
      <c r="O112" s="220"/>
      <c r="P112" s="220"/>
      <c r="Q112" s="220"/>
      <c r="R112" s="220"/>
      <c r="S112" s="220"/>
      <c r="T112" s="220"/>
      <c r="U112" s="220"/>
      <c r="V112" s="220"/>
      <c r="W112" s="220"/>
    </row>
    <row r="113" ht="15.75" customHeight="1" outlineLevel="1">
      <c r="A113" s="211"/>
      <c r="B113" s="212"/>
      <c r="C113" s="211"/>
      <c r="D113" s="214" t="str">
        <f>IFERROR(VLOOKUP($C113,'PORTIFÓLIO'!C:V,2,0),"")</f>
        <v/>
      </c>
      <c r="E113" s="211" t="str">
        <f>IFERROR(VLOOKUP($C113,'PORTIFÓLIO'!C:V,3,0),"")</f>
        <v/>
      </c>
      <c r="F113" s="211" t="str">
        <f>IFERROR(VLOOKUP($C113,'PORTIFÓLIO'!C:V,4,0),"")</f>
        <v/>
      </c>
      <c r="G113" s="215" t="str">
        <f>IFERROR(VLOOKUP($C113,'PORTIFÓLIO'!C:V,5,0),"")</f>
        <v/>
      </c>
      <c r="H113" s="254" t="str">
        <f t="array" ref="H113">IFERROR(INDEX('PORTIFÓLIO'!$H$4:$H$433,MATCH($C113,'PORTIFÓLIO'!$C$4:$C$433,0)),"")</f>
        <v/>
      </c>
      <c r="I113" s="256"/>
      <c r="J113" s="218"/>
      <c r="K113" s="219" t="str">
        <f t="array" ref="K113">IFERROR(I113*INDEX('PORTIFÓLIO'!$S$4:$S$433,MATCH($C113,'PORTIFÓLIO'!$C$4:$C$433,0)),"")</f>
        <v/>
      </c>
      <c r="L113" s="219" t="str">
        <f t="array" ref="L113">IFERROR(J113*INDEX('PORTIFÓLIO'!$S$4:$S$433,MATCH($C113,'PORTIFÓLIO'!$C$4:$C$433,0)),"")</f>
        <v/>
      </c>
      <c r="M113" s="220"/>
      <c r="N113" s="220"/>
      <c r="O113" s="220"/>
      <c r="P113" s="220"/>
      <c r="Q113" s="220"/>
      <c r="R113" s="220"/>
      <c r="S113" s="220"/>
      <c r="T113" s="220"/>
      <c r="U113" s="220"/>
      <c r="V113" s="220"/>
      <c r="W113" s="220"/>
    </row>
    <row r="114" ht="15.75" customHeight="1">
      <c r="A114" s="229" t="s">
        <v>1190</v>
      </c>
      <c r="B114" s="230"/>
      <c r="C114" s="231"/>
      <c r="D114" s="232"/>
      <c r="E114" s="231"/>
      <c r="F114" s="231"/>
      <c r="G114" s="233"/>
      <c r="H114" s="233"/>
      <c r="I114" s="258"/>
      <c r="J114" s="236"/>
      <c r="K114" s="237">
        <f t="shared" ref="K114:L114" si="13">SUBTOTAL(9,K115:K128)</f>
        <v>236.685179</v>
      </c>
      <c r="L114" s="237">
        <f t="shared" si="13"/>
        <v>74082.46103</v>
      </c>
      <c r="M114" s="220"/>
      <c r="N114" s="220"/>
      <c r="O114" s="220"/>
      <c r="P114" s="220"/>
      <c r="Q114" s="220"/>
      <c r="R114" s="220"/>
      <c r="S114" s="220"/>
      <c r="T114" s="220"/>
      <c r="U114" s="220"/>
      <c r="V114" s="220"/>
      <c r="W114" s="220"/>
    </row>
    <row r="115" ht="15.75" customHeight="1" outlineLevel="1">
      <c r="A115" s="213"/>
      <c r="B115" s="212" t="s">
        <v>0</v>
      </c>
      <c r="C115" s="283" t="s">
        <v>467</v>
      </c>
      <c r="D115" s="214" t="str">
        <f>IFERROR(VLOOKUP($C115,'PORTIFÓLIO'!C:V,2,0),"")</f>
        <v>BIXAFEM + PROTIOCONAZOL + TRIFLOXISTROBINA</v>
      </c>
      <c r="E115" s="211" t="str">
        <f>IFERROR(VLOOKUP($C115,'PORTIFÓLIO'!C:V,3,0),"")</f>
        <v>125 + 175 + 150</v>
      </c>
      <c r="F115" s="211" t="str">
        <f>IFERROR(VLOOKUP($C115,'PORTIFÓLIO'!C:V,4,0),"")</f>
        <v>L</v>
      </c>
      <c r="G115" s="225" t="str">
        <f>IFERROR(VLOOKUP($C115,'PORTIFÓLIO'!C:V,5,0),"")</f>
        <v>📄 Ver bula</v>
      </c>
      <c r="H115" s="254">
        <f t="array" ref="H115">IFERROR(INDEX('PORTIFÓLIO'!$H$4:$H$433,MATCH($C115,'PORTIFÓLIO'!$C$4:$C$433,0)),"")</f>
        <v>0.5</v>
      </c>
      <c r="I115" s="255">
        <v>0.5</v>
      </c>
      <c r="J115" s="218">
        <f t="shared" ref="J115:J129" si="14">I115*$B$2</f>
        <v>156.5</v>
      </c>
      <c r="K115" s="219">
        <f t="array" ref="K115">IFERROR(I115*INDEX('PORTIFÓLIO'!$S$4:$S$433,MATCH($C115,'PORTIFÓLIO'!$C$4:$C$433,0)),"")</f>
        <v>99.08352</v>
      </c>
      <c r="L115" s="219">
        <f t="array" ref="L115">IFERROR(J115*INDEX('PORTIFÓLIO'!$S$4:$S$433,MATCH($C115,'PORTIFÓLIO'!$C$4:$C$433,0)),"")</f>
        <v>31013.14176</v>
      </c>
      <c r="M115" s="220"/>
      <c r="N115" s="220"/>
      <c r="O115" s="220"/>
      <c r="P115" s="220"/>
      <c r="Q115" s="220"/>
      <c r="R115" s="220"/>
      <c r="S115" s="220"/>
      <c r="T115" s="220"/>
      <c r="U115" s="220"/>
      <c r="V115" s="220"/>
      <c r="W115" s="220"/>
    </row>
    <row r="116" ht="15.75" customHeight="1" outlineLevel="1">
      <c r="A116" s="211"/>
      <c r="B116" s="212" t="s">
        <v>0</v>
      </c>
      <c r="C116" s="283" t="s">
        <v>520</v>
      </c>
      <c r="D116" s="214" t="str">
        <f>IFERROR(VLOOKUP($C116,'PORTIFÓLIO'!C:V,2,0),"")</f>
        <v>FLUAZINAM</v>
      </c>
      <c r="E116" s="211">
        <f>IFERROR(VLOOKUP($C116,'PORTIFÓLIO'!C:V,3,0),"")</f>
        <v>500</v>
      </c>
      <c r="F116" s="211" t="str">
        <f>IFERROR(VLOOKUP($C116,'PORTIFÓLIO'!C:V,4,0),"")</f>
        <v>L</v>
      </c>
      <c r="G116" s="225" t="str">
        <f>IFERROR(VLOOKUP($C116,'PORTIFÓLIO'!C:V,5,0),"")</f>
        <v>📄 Ver bula</v>
      </c>
      <c r="H116" s="254">
        <f t="array" ref="H116">IFERROR(INDEX('PORTIFÓLIO'!$H$4:$H$433,MATCH($C116,'PORTIFÓLIO'!$C$4:$C$433,0)),"")</f>
        <v>1</v>
      </c>
      <c r="I116" s="255">
        <v>1.0</v>
      </c>
      <c r="J116" s="218">
        <f t="shared" si="14"/>
        <v>313</v>
      </c>
      <c r="K116" s="219">
        <f t="array" ref="K116">IFERROR(I116*INDEX('PORTIFÓLIO'!$S$4:$S$433,MATCH($C116,'PORTIFÓLIO'!$C$4:$C$433,0)),"")</f>
        <v>67.68</v>
      </c>
      <c r="L116" s="219">
        <f t="array" ref="L116">IFERROR(J116*INDEX('PORTIFÓLIO'!$S$4:$S$433,MATCH($C116,'PORTIFÓLIO'!$C$4:$C$433,0)),"")</f>
        <v>21183.84</v>
      </c>
      <c r="M116" s="220"/>
      <c r="N116" s="220"/>
      <c r="O116" s="220"/>
      <c r="P116" s="220"/>
      <c r="Q116" s="220"/>
      <c r="R116" s="220"/>
      <c r="S116" s="220"/>
      <c r="T116" s="220"/>
      <c r="U116" s="220"/>
      <c r="V116" s="220"/>
      <c r="W116" s="220"/>
    </row>
    <row r="117" ht="15.75" customHeight="1" outlineLevel="1">
      <c r="A117" s="211"/>
      <c r="B117" s="212" t="s">
        <v>0</v>
      </c>
      <c r="C117" s="283" t="s">
        <v>484</v>
      </c>
      <c r="D117" s="214" t="str">
        <f>IFERROR(VLOOKUP($C117,'PORTIFÓLIO'!C:V,2,0),"")</f>
        <v>MANCOZEBE</v>
      </c>
      <c r="E117" s="211">
        <f>IFERROR(VLOOKUP($C117,'PORTIFÓLIO'!C:V,3,0),"")</f>
        <v>750</v>
      </c>
      <c r="F117" s="211" t="str">
        <f>IFERROR(VLOOKUP($C117,'PORTIFÓLIO'!C:V,4,0),"")</f>
        <v>L</v>
      </c>
      <c r="G117" s="225" t="str">
        <f>IFERROR(VLOOKUP($C117,'PORTIFÓLIO'!C:V,5,0),"")</f>
        <v>📄 Ver bula</v>
      </c>
      <c r="H117" s="254">
        <f t="array" ref="H117">IFERROR(INDEX('PORTIFÓLIO'!$H$4:$H$433,MATCH($C117,'PORTIFÓLIO'!$C$4:$C$433,0)),"")</f>
        <v>1.5</v>
      </c>
      <c r="I117" s="255">
        <v>1.5</v>
      </c>
      <c r="J117" s="218">
        <f t="shared" si="14"/>
        <v>469.5</v>
      </c>
      <c r="K117" s="219">
        <f t="array" ref="K117">IFERROR(I117*INDEX('PORTIFÓLIO'!$S$4:$S$433,MATCH($C117,'PORTIFÓLIO'!$C$4:$C$433,0)),"")</f>
        <v>41.52168</v>
      </c>
      <c r="L117" s="219">
        <f t="array" ref="L117">IFERROR(J117*INDEX('PORTIFÓLIO'!$S$4:$S$433,MATCH($C117,'PORTIFÓLIO'!$C$4:$C$433,0)),"")</f>
        <v>12996.28584</v>
      </c>
      <c r="M117" s="220"/>
      <c r="N117" s="220"/>
      <c r="O117" s="220"/>
      <c r="P117" s="220"/>
      <c r="Q117" s="220"/>
      <c r="R117" s="220"/>
      <c r="S117" s="220"/>
      <c r="T117" s="220"/>
      <c r="U117" s="220"/>
      <c r="V117" s="220"/>
      <c r="W117" s="220"/>
    </row>
    <row r="118" ht="15.75" customHeight="1" outlineLevel="1">
      <c r="A118" s="211"/>
      <c r="B118" s="212" t="s">
        <v>2</v>
      </c>
      <c r="C118" s="283" t="s">
        <v>752</v>
      </c>
      <c r="D118" s="214" t="str">
        <f>IFERROR(VLOOKUP($C118,'PORTIFÓLIO'!C:V,2,0),"")</f>
        <v>ACEFATO</v>
      </c>
      <c r="E118" s="211">
        <f>IFERROR(VLOOKUP($C118,'PORTIFÓLIO'!C:V,3,0),"")</f>
        <v>970</v>
      </c>
      <c r="F118" s="211" t="str">
        <f>IFERROR(VLOOKUP($C118,'PORTIFÓLIO'!C:V,4,0),"")</f>
        <v>L</v>
      </c>
      <c r="G118" s="225" t="str">
        <f>IFERROR(VLOOKUP($C118,'PORTIFÓLIO'!C:V,5,0),"")</f>
        <v>📄 Ver bula</v>
      </c>
      <c r="H118" s="254">
        <f t="array" ref="H118">IFERROR(INDEX('PORTIFÓLIO'!$H$4:$H$433,MATCH($C118,'PORTIFÓLIO'!$C$4:$C$433,0)),"")</f>
        <v>0.6</v>
      </c>
      <c r="I118" s="255">
        <v>0.6</v>
      </c>
      <c r="J118" s="218">
        <f t="shared" si="14"/>
        <v>187.8</v>
      </c>
      <c r="K118" s="219">
        <f t="array" ref="K118">IFERROR(I118*INDEX('PORTIFÓLIO'!$S$4:$S$433,MATCH($C118,'PORTIFÓLIO'!$C$4:$C$433,0)),"")</f>
        <v>22.266</v>
      </c>
      <c r="L118" s="219">
        <f t="array" ref="L118">IFERROR(J118*INDEX('PORTIFÓLIO'!$S$4:$S$433,MATCH($C118,'PORTIFÓLIO'!$C$4:$C$433,0)),"")</f>
        <v>6969.258</v>
      </c>
      <c r="M118" s="220"/>
      <c r="N118" s="220"/>
      <c r="O118" s="220"/>
      <c r="P118" s="220"/>
      <c r="Q118" s="220"/>
      <c r="R118" s="220"/>
      <c r="S118" s="220"/>
      <c r="T118" s="220"/>
      <c r="U118" s="220"/>
      <c r="V118" s="220"/>
      <c r="W118" s="220"/>
    </row>
    <row r="119" ht="15.75" customHeight="1" outlineLevel="1">
      <c r="A119" s="211"/>
      <c r="B119" s="212" t="s">
        <v>2</v>
      </c>
      <c r="C119" s="283" t="s">
        <v>786</v>
      </c>
      <c r="D119" s="214" t="str">
        <f>IFERROR(VLOOKUP($C119,'PORTIFÓLIO'!C:V,2,0),"")</f>
        <v>DIFLUBENZUROM</v>
      </c>
      <c r="E119" s="211">
        <f>IFERROR(VLOOKUP($C119,'PORTIFÓLIO'!C:V,3,0),"")</f>
        <v>480</v>
      </c>
      <c r="F119" s="211" t="str">
        <f>IFERROR(VLOOKUP($C119,'PORTIFÓLIO'!C:V,4,0),"")</f>
        <v>KG</v>
      </c>
      <c r="G119" s="225" t="str">
        <f>IFERROR(VLOOKUP($C119,'PORTIFÓLIO'!C:V,5,0),"")</f>
        <v>📄 Ver bula</v>
      </c>
      <c r="H119" s="254">
        <f t="array" ref="H119">IFERROR(INDEX('PORTIFÓLIO'!$H$4:$H$433,MATCH($C119,'PORTIFÓLIO'!$C$4:$C$433,0)),"")</f>
        <v>0.04</v>
      </c>
      <c r="I119" s="255">
        <v>0.05</v>
      </c>
      <c r="J119" s="218">
        <f t="shared" si="14"/>
        <v>15.65</v>
      </c>
      <c r="K119" s="219">
        <f t="array" ref="K119">IFERROR(I119*INDEX('PORTIFÓLIO'!$S$4:$S$433,MATCH($C119,'PORTIFÓLIO'!$C$4:$C$433,0)),"")</f>
        <v>2.927979</v>
      </c>
      <c r="L119" s="219">
        <f t="array" ref="L119">IFERROR(J119*INDEX('PORTIFÓLIO'!$S$4:$S$433,MATCH($C119,'PORTIFÓLIO'!$C$4:$C$433,0)),"")</f>
        <v>916.457427</v>
      </c>
      <c r="M119" s="220"/>
      <c r="N119" s="220"/>
      <c r="O119" s="220"/>
      <c r="P119" s="220"/>
      <c r="Q119" s="220"/>
      <c r="R119" s="220"/>
      <c r="S119" s="220"/>
      <c r="T119" s="220"/>
      <c r="U119" s="220"/>
      <c r="V119" s="220"/>
      <c r="W119" s="220"/>
    </row>
    <row r="120" ht="15.75" customHeight="1" outlineLevel="1">
      <c r="A120" s="211"/>
      <c r="B120" s="212" t="s">
        <v>6</v>
      </c>
      <c r="C120" s="213" t="s">
        <v>354</v>
      </c>
      <c r="D120" s="214" t="str">
        <f>IFERROR(VLOOKUP($C120,'PORTIFÓLIO'!C:V,2,0),"")</f>
        <v>OLEO MINERAL</v>
      </c>
      <c r="E120" s="211">
        <f>IFERROR(VLOOKUP($C120,'PORTIFÓLIO'!C:V,3,0),"")</f>
        <v>761</v>
      </c>
      <c r="F120" s="211" t="str">
        <f>IFERROR(VLOOKUP($C120,'PORTIFÓLIO'!C:V,4,0),"")</f>
        <v>L</v>
      </c>
      <c r="G120" s="225" t="str">
        <f>IFERROR(VLOOKUP($C120,'PORTIFÓLIO'!C:V,5,0),"")</f>
        <v>📄 Ver bula</v>
      </c>
      <c r="H120" s="254">
        <f t="array" ref="H120">IFERROR(INDEX('PORTIFÓLIO'!$H$4:$H$433,MATCH($C120,'PORTIFÓLIO'!$C$4:$C$433,0)),"")</f>
        <v>0.2</v>
      </c>
      <c r="I120" s="255">
        <v>0.2</v>
      </c>
      <c r="J120" s="218">
        <f t="shared" si="14"/>
        <v>62.6</v>
      </c>
      <c r="K120" s="219">
        <f t="array" ref="K120">IFERROR(I120*INDEX('PORTIFÓLIO'!$S$4:$S$433,MATCH($C120,'PORTIFÓLIO'!$C$4:$C$433,0)),"")</f>
        <v>3.206</v>
      </c>
      <c r="L120" s="219">
        <f t="array" ref="L120">IFERROR(J120*INDEX('PORTIFÓLIO'!$S$4:$S$433,MATCH($C120,'PORTIFÓLIO'!$C$4:$C$433,0)),"")</f>
        <v>1003.478</v>
      </c>
      <c r="M120" s="220"/>
      <c r="N120" s="220"/>
      <c r="O120" s="220"/>
      <c r="P120" s="220"/>
      <c r="Q120" s="220"/>
      <c r="R120" s="220"/>
      <c r="S120" s="220"/>
      <c r="T120" s="220"/>
      <c r="U120" s="220"/>
      <c r="V120" s="220"/>
      <c r="W120" s="220"/>
    </row>
    <row r="121" ht="15.75" customHeight="1" outlineLevel="1">
      <c r="A121" s="211"/>
      <c r="B121" s="212"/>
      <c r="C121" s="213"/>
      <c r="D121" s="214" t="str">
        <f>IFERROR(VLOOKUP($C121,'PORTIFÓLIO'!C:V,2,0),"")</f>
        <v/>
      </c>
      <c r="E121" s="211" t="str">
        <f>IFERROR(VLOOKUP($C121,'PORTIFÓLIO'!C:V,3,0),"")</f>
        <v/>
      </c>
      <c r="F121" s="211" t="str">
        <f>IFERROR(VLOOKUP($C121,'PORTIFÓLIO'!C:V,4,0),"")</f>
        <v/>
      </c>
      <c r="G121" s="215" t="str">
        <f>IFERROR(VLOOKUP($C121,'PORTIFÓLIO'!C:V,5,0),"")</f>
        <v/>
      </c>
      <c r="H121" s="254" t="str">
        <f t="array" ref="H121">IFERROR(INDEX('PORTIFÓLIO'!$H$4:$H$433,MATCH($C121,'PORTIFÓLIO'!$C$4:$C$433,0)),"")</f>
        <v/>
      </c>
      <c r="I121" s="255"/>
      <c r="J121" s="218">
        <f t="shared" si="14"/>
        <v>0</v>
      </c>
      <c r="K121" s="219" t="str">
        <f t="array" ref="K121">IFERROR(I121*INDEX('PORTIFÓLIO'!$S$4:$S$433,MATCH($C121,'PORTIFÓLIO'!$C$4:$C$433,0)),"")</f>
        <v/>
      </c>
      <c r="L121" s="219" t="str">
        <f t="array" ref="L121">IFERROR(J121*INDEX('PORTIFÓLIO'!$S$4:$S$433,MATCH($C121,'PORTIFÓLIO'!$C$4:$C$433,0)),"")</f>
        <v/>
      </c>
      <c r="M121" s="220"/>
      <c r="N121" s="220"/>
      <c r="O121" s="220"/>
      <c r="P121" s="220"/>
      <c r="Q121" s="220"/>
      <c r="R121" s="220"/>
      <c r="S121" s="220"/>
      <c r="T121" s="220"/>
      <c r="U121" s="220"/>
      <c r="V121" s="220"/>
      <c r="W121" s="220"/>
    </row>
    <row r="122" ht="15.75" customHeight="1" outlineLevel="1">
      <c r="A122" s="211"/>
      <c r="B122" s="212"/>
      <c r="C122" s="213"/>
      <c r="D122" s="214" t="str">
        <f>IFERROR(VLOOKUP($C122,'PORTIFÓLIO'!C:V,2,0),"")</f>
        <v/>
      </c>
      <c r="E122" s="211" t="str">
        <f>IFERROR(VLOOKUP($C122,'PORTIFÓLIO'!C:V,3,0),"")</f>
        <v/>
      </c>
      <c r="F122" s="211" t="str">
        <f>IFERROR(VLOOKUP($C122,'PORTIFÓLIO'!C:V,4,0),"")</f>
        <v/>
      </c>
      <c r="G122" s="215" t="str">
        <f>IFERROR(VLOOKUP($C122,'PORTIFÓLIO'!C:V,5,0),"")</f>
        <v/>
      </c>
      <c r="H122" s="254" t="str">
        <f t="array" ref="H122">IFERROR(INDEX('PORTIFÓLIO'!$H$4:$H$433,MATCH($C122,'PORTIFÓLIO'!$C$4:$C$433,0)),"")</f>
        <v/>
      </c>
      <c r="I122" s="255"/>
      <c r="J122" s="218">
        <f t="shared" si="14"/>
        <v>0</v>
      </c>
      <c r="K122" s="219" t="str">
        <f t="array" ref="K122">IFERROR(I122*INDEX('PORTIFÓLIO'!$S$4:$S$433,MATCH($C122,'PORTIFÓLIO'!$C$4:$C$433,0)),"")</f>
        <v/>
      </c>
      <c r="L122" s="219" t="str">
        <f t="array" ref="L122">IFERROR(J122*INDEX('PORTIFÓLIO'!$S$4:$S$433,MATCH($C122,'PORTIFÓLIO'!$C$4:$C$433,0)),"")</f>
        <v/>
      </c>
      <c r="M122" s="220"/>
      <c r="N122" s="220"/>
      <c r="O122" s="220"/>
      <c r="P122" s="220"/>
      <c r="Q122" s="220"/>
      <c r="R122" s="220"/>
      <c r="S122" s="220"/>
      <c r="T122" s="220"/>
      <c r="U122" s="220"/>
      <c r="V122" s="220"/>
      <c r="W122" s="220"/>
    </row>
    <row r="123" ht="15.75" customHeight="1" outlineLevel="1">
      <c r="A123" s="211"/>
      <c r="B123" s="212"/>
      <c r="C123" s="213"/>
      <c r="D123" s="214" t="str">
        <f>IFERROR(VLOOKUP($C123,'PORTIFÓLIO'!C:V,2,0),"")</f>
        <v/>
      </c>
      <c r="E123" s="211" t="str">
        <f>IFERROR(VLOOKUP($C123,'PORTIFÓLIO'!C:V,3,0),"")</f>
        <v/>
      </c>
      <c r="F123" s="211" t="str">
        <f>IFERROR(VLOOKUP($C123,'PORTIFÓLIO'!C:V,4,0),"")</f>
        <v/>
      </c>
      <c r="G123" s="215" t="str">
        <f>IFERROR(VLOOKUP($C123,'PORTIFÓLIO'!C:V,5,0),"")</f>
        <v/>
      </c>
      <c r="H123" s="254" t="str">
        <f t="array" ref="H123">IFERROR(INDEX('PORTIFÓLIO'!$H$4:$H$433,MATCH($C123,'PORTIFÓLIO'!$C$4:$C$433,0)),"")</f>
        <v/>
      </c>
      <c r="I123" s="255"/>
      <c r="J123" s="218">
        <f t="shared" si="14"/>
        <v>0</v>
      </c>
      <c r="K123" s="219" t="str">
        <f t="array" ref="K123">IFERROR(I123*INDEX('PORTIFÓLIO'!$S$4:$S$433,MATCH($C123,'PORTIFÓLIO'!$C$4:$C$433,0)),"")</f>
        <v/>
      </c>
      <c r="L123" s="219" t="str">
        <f t="array" ref="L123">IFERROR(J123*INDEX('PORTIFÓLIO'!$S$4:$S$433,MATCH($C123,'PORTIFÓLIO'!$C$4:$C$433,0)),"")</f>
        <v/>
      </c>
      <c r="M123" s="220"/>
      <c r="N123" s="220"/>
      <c r="O123" s="220"/>
      <c r="P123" s="220"/>
      <c r="Q123" s="220"/>
      <c r="R123" s="220"/>
      <c r="S123" s="220"/>
      <c r="T123" s="220"/>
      <c r="U123" s="220"/>
      <c r="V123" s="220"/>
      <c r="W123" s="220"/>
    </row>
    <row r="124" ht="15.75" customHeight="1" outlineLevel="1">
      <c r="A124" s="211"/>
      <c r="B124" s="212"/>
      <c r="C124" s="213"/>
      <c r="D124" s="214" t="str">
        <f>IFERROR(VLOOKUP($C124,'PORTIFÓLIO'!C:V,2,0),"")</f>
        <v/>
      </c>
      <c r="E124" s="211" t="str">
        <f>IFERROR(VLOOKUP($C124,'PORTIFÓLIO'!C:V,3,0),"")</f>
        <v/>
      </c>
      <c r="F124" s="211" t="str">
        <f>IFERROR(VLOOKUP($C124,'PORTIFÓLIO'!C:V,4,0),"")</f>
        <v/>
      </c>
      <c r="G124" s="215" t="str">
        <f>IFERROR(VLOOKUP($C124,'PORTIFÓLIO'!C:V,5,0),"")</f>
        <v/>
      </c>
      <c r="H124" s="254" t="str">
        <f t="array" ref="H124">IFERROR(INDEX('PORTIFÓLIO'!$H$4:$H$433,MATCH($C124,'PORTIFÓLIO'!$C$4:$C$433,0)),"")</f>
        <v/>
      </c>
      <c r="I124" s="256"/>
      <c r="J124" s="218">
        <f t="shared" si="14"/>
        <v>0</v>
      </c>
      <c r="K124" s="219" t="str">
        <f t="array" ref="K124">IFERROR(I124*INDEX('PORTIFÓLIO'!$S$4:$S$433,MATCH($C124,'PORTIFÓLIO'!$C$4:$C$433,0)),"")</f>
        <v/>
      </c>
      <c r="L124" s="219" t="str">
        <f t="array" ref="L124">IFERROR(J124*INDEX('PORTIFÓLIO'!$S$4:$S$433,MATCH($C124,'PORTIFÓLIO'!$C$4:$C$433,0)),"")</f>
        <v/>
      </c>
      <c r="M124" s="220"/>
      <c r="N124" s="220"/>
      <c r="O124" s="220"/>
      <c r="P124" s="220"/>
      <c r="Q124" s="220"/>
      <c r="R124" s="220"/>
      <c r="S124" s="220"/>
      <c r="T124" s="220"/>
      <c r="U124" s="220"/>
      <c r="V124" s="220"/>
      <c r="W124" s="220"/>
    </row>
    <row r="125" ht="15.75" customHeight="1" outlineLevel="1">
      <c r="A125" s="211"/>
      <c r="B125" s="212"/>
      <c r="C125" s="213"/>
      <c r="D125" s="214" t="str">
        <f>IFERROR(VLOOKUP($C125,'PORTIFÓLIO'!C:V,2,0),"")</f>
        <v/>
      </c>
      <c r="E125" s="211" t="str">
        <f>IFERROR(VLOOKUP($C125,'PORTIFÓLIO'!C:V,3,0),"")</f>
        <v/>
      </c>
      <c r="F125" s="211" t="str">
        <f>IFERROR(VLOOKUP($C125,'PORTIFÓLIO'!C:V,4,0),"")</f>
        <v/>
      </c>
      <c r="G125" s="215" t="str">
        <f>IFERROR(VLOOKUP($C125,'PORTIFÓLIO'!C:V,5,0),"")</f>
        <v/>
      </c>
      <c r="H125" s="254" t="str">
        <f t="array" ref="H125">IFERROR(INDEX('PORTIFÓLIO'!$H$4:$H$433,MATCH($C125,'PORTIFÓLIO'!$C$4:$C$433,0)),"")</f>
        <v/>
      </c>
      <c r="I125" s="256"/>
      <c r="J125" s="218">
        <f t="shared" si="14"/>
        <v>0</v>
      </c>
      <c r="K125" s="219" t="str">
        <f t="array" ref="K125">IFERROR(I125*INDEX('PORTIFÓLIO'!$S$4:$S$433,MATCH($C125,'PORTIFÓLIO'!$C$4:$C$433,0)),"")</f>
        <v/>
      </c>
      <c r="L125" s="219" t="str">
        <f t="array" ref="L125">IFERROR(J125*INDEX('PORTIFÓLIO'!$S$4:$S$433,MATCH($C125,'PORTIFÓLIO'!$C$4:$C$433,0)),"")</f>
        <v/>
      </c>
      <c r="M125" s="220"/>
      <c r="N125" s="220"/>
      <c r="O125" s="220"/>
      <c r="P125" s="220"/>
      <c r="Q125" s="220"/>
      <c r="R125" s="220"/>
      <c r="S125" s="220"/>
      <c r="T125" s="220"/>
      <c r="U125" s="220"/>
      <c r="V125" s="220"/>
      <c r="W125" s="220"/>
    </row>
    <row r="126" ht="15.75" customHeight="1" outlineLevel="1">
      <c r="A126" s="211"/>
      <c r="B126" s="212"/>
      <c r="C126" s="213"/>
      <c r="D126" s="214" t="str">
        <f>IFERROR(VLOOKUP($C126,'PORTIFÓLIO'!C:V,2,0),"")</f>
        <v/>
      </c>
      <c r="E126" s="211" t="str">
        <f>IFERROR(VLOOKUP($C126,'PORTIFÓLIO'!C:V,3,0),"")</f>
        <v/>
      </c>
      <c r="F126" s="211" t="str">
        <f>IFERROR(VLOOKUP($C126,'PORTIFÓLIO'!C:V,4,0),"")</f>
        <v/>
      </c>
      <c r="G126" s="215" t="str">
        <f>IFERROR(VLOOKUP($C126,'PORTIFÓLIO'!C:V,5,0),"")</f>
        <v/>
      </c>
      <c r="H126" s="254" t="str">
        <f t="array" ref="H126">IFERROR(INDEX('PORTIFÓLIO'!$H$4:$H$433,MATCH($C126,'PORTIFÓLIO'!$C$4:$C$433,0)),"")</f>
        <v/>
      </c>
      <c r="I126" s="256"/>
      <c r="J126" s="218">
        <f t="shared" si="14"/>
        <v>0</v>
      </c>
      <c r="K126" s="219" t="str">
        <f t="array" ref="K126">IFERROR(I126*INDEX('PORTIFÓLIO'!$S$4:$S$433,MATCH($C126,'PORTIFÓLIO'!$C$4:$C$433,0)),"")</f>
        <v/>
      </c>
      <c r="L126" s="219" t="str">
        <f t="array" ref="L126">IFERROR(J126*INDEX('PORTIFÓLIO'!$S$4:$S$433,MATCH($C126,'PORTIFÓLIO'!$C$4:$C$433,0)),"")</f>
        <v/>
      </c>
      <c r="M126" s="220"/>
      <c r="N126" s="220"/>
      <c r="O126" s="220"/>
      <c r="P126" s="220"/>
      <c r="Q126" s="220"/>
      <c r="R126" s="220"/>
      <c r="S126" s="220"/>
      <c r="T126" s="220"/>
      <c r="U126" s="220"/>
      <c r="V126" s="220"/>
      <c r="W126" s="220"/>
    </row>
    <row r="127" ht="15.75" customHeight="1" outlineLevel="1">
      <c r="A127" s="211"/>
      <c r="B127" s="212"/>
      <c r="C127" s="213"/>
      <c r="D127" s="214" t="str">
        <f>IFERROR(VLOOKUP($C127,'PORTIFÓLIO'!C:V,2,0),"")</f>
        <v/>
      </c>
      <c r="E127" s="211" t="str">
        <f>IFERROR(VLOOKUP($C127,'PORTIFÓLIO'!C:V,3,0),"")</f>
        <v/>
      </c>
      <c r="F127" s="211" t="str">
        <f>IFERROR(VLOOKUP($C127,'PORTIFÓLIO'!C:V,4,0),"")</f>
        <v/>
      </c>
      <c r="G127" s="215" t="str">
        <f>IFERROR(VLOOKUP($C127,'PORTIFÓLIO'!C:V,5,0),"")</f>
        <v/>
      </c>
      <c r="H127" s="254" t="str">
        <f t="array" ref="H127">IFERROR(INDEX('PORTIFÓLIO'!$H$4:$H$433,MATCH($C127,'PORTIFÓLIO'!$C$4:$C$433,0)),"")</f>
        <v/>
      </c>
      <c r="I127" s="256"/>
      <c r="J127" s="218">
        <f t="shared" si="14"/>
        <v>0</v>
      </c>
      <c r="K127" s="219" t="str">
        <f t="array" ref="K127">IFERROR(I127*INDEX('PORTIFÓLIO'!$S$4:$S$433,MATCH($C127,'PORTIFÓLIO'!$C$4:$C$433,0)),"")</f>
        <v/>
      </c>
      <c r="L127" s="219" t="str">
        <f t="array" ref="L127">IFERROR(J127*INDEX('PORTIFÓLIO'!$S$4:$S$433,MATCH($C127,'PORTIFÓLIO'!$C$4:$C$433,0)),"")</f>
        <v/>
      </c>
      <c r="M127" s="220"/>
      <c r="N127" s="220"/>
      <c r="O127" s="220"/>
      <c r="P127" s="220"/>
      <c r="Q127" s="220"/>
      <c r="R127" s="220"/>
      <c r="S127" s="220"/>
      <c r="T127" s="220"/>
      <c r="U127" s="220"/>
      <c r="V127" s="220"/>
      <c r="W127" s="220"/>
    </row>
    <row r="128" ht="15.75" customHeight="1" outlineLevel="1">
      <c r="A128" s="211"/>
      <c r="B128" s="212"/>
      <c r="C128" s="213"/>
      <c r="D128" s="214" t="str">
        <f>IFERROR(VLOOKUP($C128,'PORTIFÓLIO'!C:V,2,0),"")</f>
        <v/>
      </c>
      <c r="E128" s="211" t="str">
        <f>IFERROR(VLOOKUP($C128,'PORTIFÓLIO'!C:V,3,0),"")</f>
        <v/>
      </c>
      <c r="F128" s="211" t="str">
        <f>IFERROR(VLOOKUP($C128,'PORTIFÓLIO'!C:V,4,0),"")</f>
        <v/>
      </c>
      <c r="G128" s="215" t="str">
        <f>IFERROR(VLOOKUP($C128,'PORTIFÓLIO'!C:V,5,0),"")</f>
        <v/>
      </c>
      <c r="H128" s="254" t="str">
        <f t="array" ref="H128">IFERROR(INDEX('PORTIFÓLIO'!$H$4:$H$433,MATCH($C128,'PORTIFÓLIO'!$C$4:$C$433,0)),"")</f>
        <v/>
      </c>
      <c r="I128" s="256"/>
      <c r="J128" s="218">
        <f t="shared" si="14"/>
        <v>0</v>
      </c>
      <c r="K128" s="219" t="str">
        <f t="array" ref="K128">IFERROR(I128*INDEX('PORTIFÓLIO'!$S$4:$S$433,MATCH($C128,'PORTIFÓLIO'!$C$4:$C$433,0)),"")</f>
        <v/>
      </c>
      <c r="L128" s="219" t="str">
        <f t="array" ref="L128">IFERROR(J128*INDEX('PORTIFÓLIO'!$S$4:$S$433,MATCH($C128,'PORTIFÓLIO'!$C$4:$C$433,0)),"")</f>
        <v/>
      </c>
      <c r="M128" s="220"/>
      <c r="N128" s="220"/>
      <c r="O128" s="220"/>
      <c r="P128" s="220"/>
      <c r="Q128" s="220"/>
      <c r="R128" s="220"/>
      <c r="S128" s="220"/>
      <c r="T128" s="220"/>
      <c r="U128" s="220"/>
      <c r="V128" s="220"/>
      <c r="W128" s="220"/>
    </row>
    <row r="129" ht="15.75" customHeight="1" outlineLevel="1">
      <c r="A129" s="211"/>
      <c r="B129" s="212"/>
      <c r="C129" s="213"/>
      <c r="D129" s="214" t="str">
        <f>IFERROR(VLOOKUP($C129,'PORTIFÓLIO'!C:V,2,0),"")</f>
        <v/>
      </c>
      <c r="E129" s="211" t="str">
        <f>IFERROR(VLOOKUP($C129,'PORTIFÓLIO'!C:V,3,0),"")</f>
        <v/>
      </c>
      <c r="F129" s="211" t="str">
        <f>IFERROR(VLOOKUP($C129,'PORTIFÓLIO'!C:V,4,0),"")</f>
        <v/>
      </c>
      <c r="G129" s="215" t="str">
        <f>IFERROR(VLOOKUP($C129,'PORTIFÓLIO'!C:V,5,0),"")</f>
        <v/>
      </c>
      <c r="H129" s="254" t="str">
        <f t="array" ref="H129">IFERROR(INDEX('PORTIFÓLIO'!$H$4:$H$433,MATCH($C129,'PORTIFÓLIO'!$C$4:$C$433,0)),"")</f>
        <v/>
      </c>
      <c r="I129" s="256"/>
      <c r="J129" s="218">
        <f t="shared" si="14"/>
        <v>0</v>
      </c>
      <c r="K129" s="219" t="str">
        <f t="array" ref="K129">IFERROR(I129*INDEX('PORTIFÓLIO'!$S$4:$S$433,MATCH($C129,'PORTIFÓLIO'!$C$4:$C$433,0)),"")</f>
        <v/>
      </c>
      <c r="L129" s="219" t="str">
        <f t="array" ref="L129">IFERROR(J129*INDEX('PORTIFÓLIO'!$S$4:$S$433,MATCH($C129,'PORTIFÓLIO'!$C$4:$C$433,0)),"")</f>
        <v/>
      </c>
      <c r="M129" s="220"/>
      <c r="N129" s="220"/>
      <c r="O129" s="220"/>
      <c r="P129" s="220"/>
      <c r="Q129" s="220"/>
      <c r="R129" s="220"/>
      <c r="S129" s="220"/>
      <c r="T129" s="220"/>
      <c r="U129" s="220"/>
      <c r="V129" s="220"/>
      <c r="W129" s="220"/>
    </row>
    <row r="130" ht="15.75" customHeight="1" outlineLevel="1">
      <c r="A130" s="211"/>
      <c r="B130" s="227"/>
      <c r="C130" s="211"/>
      <c r="D130" s="214" t="str">
        <f>IFERROR(VLOOKUP($C130,'PORTIFÓLIO'!C:V,2,0),"")</f>
        <v/>
      </c>
      <c r="E130" s="211" t="str">
        <f>IFERROR(VLOOKUP($C130,'PORTIFÓLIO'!C:V,3,0),"")</f>
        <v/>
      </c>
      <c r="F130" s="211" t="str">
        <f>IFERROR(VLOOKUP($C130,'PORTIFÓLIO'!C:V,4,0),"")</f>
        <v/>
      </c>
      <c r="G130" s="215" t="str">
        <f>IFERROR(VLOOKUP($C130,'PORTIFÓLIO'!C:V,5,0),"")</f>
        <v/>
      </c>
      <c r="H130" s="254" t="str">
        <f t="array" ref="H130">IFERROR(INDEX('PORTIFÓLIO'!$H$4:$H$433,MATCH($C130,'PORTIFÓLIO'!$C$4:$C$433,0)),"")</f>
        <v/>
      </c>
      <c r="I130" s="256"/>
      <c r="J130" s="218"/>
      <c r="K130" s="219" t="str">
        <f t="array" ref="K130">IFERROR(I130*INDEX('PORTIFÓLIO'!$S$4:$S$433,MATCH($C130,'PORTIFÓLIO'!$C$4:$C$433,0)),"")</f>
        <v/>
      </c>
      <c r="L130" s="219" t="str">
        <f t="array" ref="L130">IFERROR(J130*INDEX('PORTIFÓLIO'!$S$4:$S$433,MATCH($C130,'PORTIFÓLIO'!$C$4:$C$433,0)),"")</f>
        <v/>
      </c>
      <c r="M130" s="220"/>
      <c r="N130" s="220"/>
      <c r="O130" s="220"/>
      <c r="P130" s="220"/>
      <c r="Q130" s="220"/>
      <c r="R130" s="220"/>
      <c r="S130" s="220"/>
      <c r="T130" s="220"/>
      <c r="U130" s="220"/>
      <c r="V130" s="220"/>
      <c r="W130" s="220"/>
    </row>
    <row r="131" ht="15.75" customHeight="1">
      <c r="A131" s="229" t="s">
        <v>1191</v>
      </c>
      <c r="B131" s="230"/>
      <c r="C131" s="231"/>
      <c r="D131" s="232"/>
      <c r="E131" s="231"/>
      <c r="F131" s="231"/>
      <c r="G131" s="233"/>
      <c r="H131" s="233"/>
      <c r="I131" s="258"/>
      <c r="J131" s="236"/>
      <c r="K131" s="237">
        <f t="shared" ref="K131:L131" si="15">SUBTOTAL(9,K132:K145)</f>
        <v>183.160532</v>
      </c>
      <c r="L131" s="237">
        <f t="shared" si="15"/>
        <v>57329.24652</v>
      </c>
      <c r="M131" s="220"/>
      <c r="N131" s="220"/>
      <c r="O131" s="220"/>
      <c r="P131" s="220"/>
      <c r="Q131" s="220"/>
      <c r="R131" s="220"/>
      <c r="S131" s="220"/>
      <c r="T131" s="220"/>
      <c r="U131" s="220"/>
      <c r="V131" s="220"/>
      <c r="W131" s="220"/>
    </row>
    <row r="132" ht="15.75" customHeight="1" outlineLevel="1">
      <c r="A132" s="213"/>
      <c r="B132" s="212" t="s">
        <v>0</v>
      </c>
      <c r="C132" s="213" t="s">
        <v>487</v>
      </c>
      <c r="D132" s="214" t="str">
        <f>IFERROR(VLOOKUP($C132,'PORTIFÓLIO'!C:V,2,0),"")</f>
        <v>PICOXISTROBINA + CIPROCONAZOL</v>
      </c>
      <c r="E132" s="211" t="str">
        <f>IFERROR(VLOOKUP($C132,'PORTIFÓLIO'!C:V,3,0),"")</f>
        <v>90 + 40</v>
      </c>
      <c r="F132" s="211" t="str">
        <f>IFERROR(VLOOKUP($C132,'PORTIFÓLIO'!C:V,4,0),"")</f>
        <v>L</v>
      </c>
      <c r="G132" s="225" t="str">
        <f>IFERROR(VLOOKUP($C132,'PORTIFÓLIO'!C:V,5,0),"")</f>
        <v>📄 Ver bula</v>
      </c>
      <c r="H132" s="254">
        <f t="array" ref="H132">IFERROR(INDEX('PORTIFÓLIO'!$H$4:$H$433,MATCH($C132,'PORTIFÓLIO'!$C$4:$C$433,0)),"")</f>
        <v>0.6</v>
      </c>
      <c r="I132" s="255">
        <v>0.6</v>
      </c>
      <c r="J132" s="218">
        <f t="shared" ref="J132:J146" si="16">I132*$B$2</f>
        <v>187.8</v>
      </c>
      <c r="K132" s="219">
        <f t="array" ref="K132">IFERROR(I132*INDEX('PORTIFÓLIO'!$S$4:$S$433,MATCH($C132,'PORTIFÓLIO'!$C$4:$C$433,0)),"")</f>
        <v>39.349152</v>
      </c>
      <c r="L132" s="219">
        <f t="array" ref="L132">IFERROR(J132*INDEX('PORTIFÓLIO'!$S$4:$S$433,MATCH($C132,'PORTIFÓLIO'!$C$4:$C$433,0)),"")</f>
        <v>12316.28458</v>
      </c>
      <c r="M132" s="220"/>
      <c r="N132" s="220"/>
      <c r="O132" s="220"/>
      <c r="P132" s="220"/>
      <c r="Q132" s="220"/>
      <c r="R132" s="220"/>
      <c r="S132" s="220"/>
      <c r="T132" s="220"/>
      <c r="U132" s="220"/>
      <c r="V132" s="220"/>
      <c r="W132" s="220"/>
    </row>
    <row r="133" ht="15.75" customHeight="1" outlineLevel="1">
      <c r="A133" s="211"/>
      <c r="B133" s="212" t="s">
        <v>0</v>
      </c>
      <c r="C133" s="213" t="s">
        <v>484</v>
      </c>
      <c r="D133" s="214" t="str">
        <f>IFERROR(VLOOKUP($C133,'PORTIFÓLIO'!C:V,2,0),"")</f>
        <v>MANCOZEBE</v>
      </c>
      <c r="E133" s="211">
        <f>IFERROR(VLOOKUP($C133,'PORTIFÓLIO'!C:V,3,0),"")</f>
        <v>750</v>
      </c>
      <c r="F133" s="211" t="str">
        <f>IFERROR(VLOOKUP($C133,'PORTIFÓLIO'!C:V,4,0),"")</f>
        <v>L</v>
      </c>
      <c r="G133" s="225" t="str">
        <f>IFERROR(VLOOKUP($C133,'PORTIFÓLIO'!C:V,5,0),"")</f>
        <v>📄 Ver bula</v>
      </c>
      <c r="H133" s="254">
        <f t="array" ref="H133">IFERROR(INDEX('PORTIFÓLIO'!$H$4:$H$433,MATCH($C133,'PORTIFÓLIO'!$C$4:$C$433,0)),"")</f>
        <v>1.5</v>
      </c>
      <c r="I133" s="255">
        <v>1.5</v>
      </c>
      <c r="J133" s="218">
        <f t="shared" si="16"/>
        <v>469.5</v>
      </c>
      <c r="K133" s="219">
        <f t="array" ref="K133">IFERROR(I133*INDEX('PORTIFÓLIO'!$S$4:$S$433,MATCH($C133,'PORTIFÓLIO'!$C$4:$C$433,0)),"")</f>
        <v>41.52168</v>
      </c>
      <c r="L133" s="219">
        <f t="array" ref="L133">IFERROR(J133*INDEX('PORTIFÓLIO'!$S$4:$S$433,MATCH($C133,'PORTIFÓLIO'!$C$4:$C$433,0)),"")</f>
        <v>12996.28584</v>
      </c>
      <c r="M133" s="220"/>
      <c r="N133" s="220"/>
      <c r="O133" s="220"/>
      <c r="P133" s="220"/>
      <c r="Q133" s="220"/>
      <c r="R133" s="220"/>
      <c r="S133" s="220"/>
      <c r="T133" s="220"/>
      <c r="U133" s="220"/>
      <c r="V133" s="220"/>
      <c r="W133" s="220"/>
    </row>
    <row r="134" ht="15.75" customHeight="1" outlineLevel="1">
      <c r="A134" s="211"/>
      <c r="B134" s="212" t="s">
        <v>2</v>
      </c>
      <c r="C134" s="213" t="s">
        <v>897</v>
      </c>
      <c r="D134" s="214" t="str">
        <f>IFERROR(VLOOKUP($C134,'PORTIFÓLIO'!C:V,2,0),"")</f>
        <v>ISOCICLOSERAM + LAMBDA-CIALOTRINA</v>
      </c>
      <c r="E134" s="211" t="str">
        <f>IFERROR(VLOOKUP($C134,'PORTIFÓLIO'!C:V,3,0),"")</f>
        <v>100 + 150</v>
      </c>
      <c r="F134" s="211" t="str">
        <f>IFERROR(VLOOKUP($C134,'PORTIFÓLIO'!C:V,4,0),"")</f>
        <v>L</v>
      </c>
      <c r="G134" s="225" t="str">
        <f>IFERROR(VLOOKUP($C134,'PORTIFÓLIO'!C:V,5,0),"")</f>
        <v>📄 Ver bula</v>
      </c>
      <c r="H134" s="254">
        <f t="array" ref="H134">IFERROR(INDEX('PORTIFÓLIO'!$H$4:$H$433,MATCH($C134,'PORTIFÓLIO'!$C$4:$C$433,0)),"")</f>
        <v>0.25</v>
      </c>
      <c r="I134" s="255">
        <v>0.25</v>
      </c>
      <c r="J134" s="218">
        <f t="shared" si="16"/>
        <v>78.25</v>
      </c>
      <c r="K134" s="219">
        <f t="array" ref="K134">IFERROR(I134*INDEX('PORTIFÓLIO'!$S$4:$S$433,MATCH($C134,'PORTIFÓLIO'!$C$4:$C$433,0)),"")</f>
        <v>99.0837</v>
      </c>
      <c r="L134" s="219">
        <f t="array" ref="L134">IFERROR(J134*INDEX('PORTIFÓLIO'!$S$4:$S$433,MATCH($C134,'PORTIFÓLIO'!$C$4:$C$433,0)),"")</f>
        <v>31013.1981</v>
      </c>
      <c r="M134" s="220"/>
      <c r="N134" s="220"/>
      <c r="O134" s="220"/>
      <c r="P134" s="220"/>
      <c r="Q134" s="220"/>
      <c r="R134" s="220"/>
      <c r="S134" s="220"/>
      <c r="T134" s="220"/>
      <c r="U134" s="220"/>
      <c r="V134" s="220"/>
      <c r="W134" s="220"/>
    </row>
    <row r="135" ht="15.75" customHeight="1" outlineLevel="1">
      <c r="A135" s="211"/>
      <c r="B135" s="212" t="s">
        <v>6</v>
      </c>
      <c r="C135" s="213" t="s">
        <v>354</v>
      </c>
      <c r="D135" s="214" t="str">
        <f>IFERROR(VLOOKUP($C135,'PORTIFÓLIO'!C:V,2,0),"")</f>
        <v>OLEO MINERAL</v>
      </c>
      <c r="E135" s="211">
        <f>IFERROR(VLOOKUP($C135,'PORTIFÓLIO'!C:V,3,0),"")</f>
        <v>761</v>
      </c>
      <c r="F135" s="211" t="str">
        <f>IFERROR(VLOOKUP($C135,'PORTIFÓLIO'!C:V,4,0),"")</f>
        <v>L</v>
      </c>
      <c r="G135" s="225" t="str">
        <f>IFERROR(VLOOKUP($C135,'PORTIFÓLIO'!C:V,5,0),"")</f>
        <v>📄 Ver bula</v>
      </c>
      <c r="H135" s="254">
        <f t="array" ref="H135">IFERROR(INDEX('PORTIFÓLIO'!$H$4:$H$433,MATCH($C135,'PORTIFÓLIO'!$C$4:$C$433,0)),"")</f>
        <v>0.2</v>
      </c>
      <c r="I135" s="255">
        <v>0.2</v>
      </c>
      <c r="J135" s="218">
        <f t="shared" si="16"/>
        <v>62.6</v>
      </c>
      <c r="K135" s="219">
        <f t="array" ref="K135">IFERROR(I135*INDEX('PORTIFÓLIO'!$S$4:$S$433,MATCH($C135,'PORTIFÓLIO'!$C$4:$C$433,0)),"")</f>
        <v>3.206</v>
      </c>
      <c r="L135" s="219">
        <f t="array" ref="L135">IFERROR(J135*INDEX('PORTIFÓLIO'!$S$4:$S$433,MATCH($C135,'PORTIFÓLIO'!$C$4:$C$433,0)),"")</f>
        <v>1003.478</v>
      </c>
      <c r="M135" s="220"/>
      <c r="N135" s="220"/>
      <c r="O135" s="220"/>
      <c r="P135" s="220"/>
      <c r="Q135" s="220"/>
      <c r="R135" s="220"/>
      <c r="S135" s="220"/>
      <c r="T135" s="220"/>
      <c r="U135" s="220"/>
      <c r="V135" s="220"/>
      <c r="W135" s="220"/>
    </row>
    <row r="136" ht="15.75" customHeight="1" outlineLevel="1">
      <c r="A136" s="211"/>
      <c r="B136" s="212"/>
      <c r="C136" s="213"/>
      <c r="D136" s="214" t="str">
        <f>IFERROR(VLOOKUP($C136,'PORTIFÓLIO'!C:V,2,0),"")</f>
        <v/>
      </c>
      <c r="E136" s="211" t="str">
        <f>IFERROR(VLOOKUP($C136,'PORTIFÓLIO'!C:V,3,0),"")</f>
        <v/>
      </c>
      <c r="F136" s="211" t="str">
        <f>IFERROR(VLOOKUP($C136,'PORTIFÓLIO'!C:V,4,0),"")</f>
        <v/>
      </c>
      <c r="G136" s="215" t="str">
        <f>IFERROR(VLOOKUP($C136,'PORTIFÓLIO'!C:V,5,0),"")</f>
        <v/>
      </c>
      <c r="H136" s="254" t="str">
        <f t="array" ref="H136">IFERROR(INDEX('PORTIFÓLIO'!$H$4:$H$433,MATCH($C136,'PORTIFÓLIO'!$C$4:$C$433,0)),"")</f>
        <v/>
      </c>
      <c r="I136" s="256"/>
      <c r="J136" s="218">
        <f t="shared" si="16"/>
        <v>0</v>
      </c>
      <c r="K136" s="219" t="str">
        <f t="array" ref="K136">IFERROR(I136*INDEX('PORTIFÓLIO'!$S$4:$S$433,MATCH($C136,'PORTIFÓLIO'!$C$4:$C$433,0)),"")</f>
        <v/>
      </c>
      <c r="L136" s="219" t="str">
        <f t="array" ref="L136">IFERROR(J136*INDEX('PORTIFÓLIO'!$S$4:$S$433,MATCH($C136,'PORTIFÓLIO'!$C$4:$C$433,0)),"")</f>
        <v/>
      </c>
      <c r="M136" s="220"/>
      <c r="N136" s="220"/>
      <c r="O136" s="220"/>
      <c r="P136" s="220"/>
      <c r="Q136" s="220"/>
      <c r="R136" s="220"/>
      <c r="S136" s="220"/>
      <c r="T136" s="220"/>
      <c r="U136" s="220"/>
      <c r="V136" s="220"/>
      <c r="W136" s="220"/>
    </row>
    <row r="137" ht="15.75" customHeight="1" outlineLevel="1">
      <c r="A137" s="211"/>
      <c r="B137" s="212"/>
      <c r="C137" s="213"/>
      <c r="D137" s="214" t="str">
        <f>IFERROR(VLOOKUP($C137,'PORTIFÓLIO'!C:V,2,0),"")</f>
        <v/>
      </c>
      <c r="E137" s="211" t="str">
        <f>IFERROR(VLOOKUP($C137,'PORTIFÓLIO'!C:V,3,0),"")</f>
        <v/>
      </c>
      <c r="F137" s="211" t="str">
        <f>IFERROR(VLOOKUP($C137,'PORTIFÓLIO'!C:V,4,0),"")</f>
        <v/>
      </c>
      <c r="G137" s="215" t="str">
        <f>IFERROR(VLOOKUP($C137,'PORTIFÓLIO'!C:V,5,0),"")</f>
        <v/>
      </c>
      <c r="H137" s="254" t="str">
        <f t="array" ref="H137">IFERROR(INDEX('PORTIFÓLIO'!$H$4:$H$433,MATCH($C137,'PORTIFÓLIO'!$C$4:$C$433,0)),"")</f>
        <v/>
      </c>
      <c r="I137" s="256"/>
      <c r="J137" s="218">
        <f t="shared" si="16"/>
        <v>0</v>
      </c>
      <c r="K137" s="219" t="str">
        <f t="array" ref="K137">IFERROR(I137*INDEX('PORTIFÓLIO'!$S$4:$S$433,MATCH($C137,'PORTIFÓLIO'!$C$4:$C$433,0)),"")</f>
        <v/>
      </c>
      <c r="L137" s="219" t="str">
        <f t="array" ref="L137">IFERROR(J137*INDEX('PORTIFÓLIO'!$S$4:$S$433,MATCH($C137,'PORTIFÓLIO'!$C$4:$C$433,0)),"")</f>
        <v/>
      </c>
      <c r="M137" s="220"/>
      <c r="N137" s="220"/>
      <c r="O137" s="220"/>
      <c r="P137" s="220"/>
      <c r="Q137" s="220"/>
      <c r="R137" s="220"/>
      <c r="S137" s="220"/>
      <c r="T137" s="220"/>
      <c r="U137" s="220"/>
      <c r="V137" s="220"/>
      <c r="W137" s="220"/>
    </row>
    <row r="138" ht="15.75" customHeight="1" outlineLevel="1">
      <c r="A138" s="211"/>
      <c r="B138" s="212"/>
      <c r="C138" s="213"/>
      <c r="D138" s="214" t="str">
        <f>IFERROR(VLOOKUP($C138,'PORTIFÓLIO'!C:V,2,0),"")</f>
        <v/>
      </c>
      <c r="E138" s="211" t="str">
        <f>IFERROR(VLOOKUP($C138,'PORTIFÓLIO'!C:V,3,0),"")</f>
        <v/>
      </c>
      <c r="F138" s="211" t="str">
        <f>IFERROR(VLOOKUP($C138,'PORTIFÓLIO'!C:V,4,0),"")</f>
        <v/>
      </c>
      <c r="G138" s="215" t="str">
        <f>IFERROR(VLOOKUP($C138,'PORTIFÓLIO'!C:V,5,0),"")</f>
        <v/>
      </c>
      <c r="H138" s="254" t="str">
        <f t="array" ref="H138">IFERROR(INDEX('PORTIFÓLIO'!$H$4:$H$433,MATCH($C138,'PORTIFÓLIO'!$C$4:$C$433,0)),"")</f>
        <v/>
      </c>
      <c r="I138" s="256"/>
      <c r="J138" s="218">
        <f t="shared" si="16"/>
        <v>0</v>
      </c>
      <c r="K138" s="219" t="str">
        <f t="array" ref="K138">IFERROR(I138*INDEX('PORTIFÓLIO'!$S$4:$S$433,MATCH($C138,'PORTIFÓLIO'!$C$4:$C$433,0)),"")</f>
        <v/>
      </c>
      <c r="L138" s="219" t="str">
        <f t="array" ref="L138">IFERROR(J138*INDEX('PORTIFÓLIO'!$S$4:$S$433,MATCH($C138,'PORTIFÓLIO'!$C$4:$C$433,0)),"")</f>
        <v/>
      </c>
      <c r="M138" s="220"/>
      <c r="N138" s="220"/>
      <c r="O138" s="220"/>
      <c r="P138" s="220"/>
      <c r="Q138" s="220"/>
      <c r="R138" s="220"/>
      <c r="S138" s="220"/>
      <c r="T138" s="220"/>
      <c r="U138" s="220"/>
      <c r="V138" s="220"/>
      <c r="W138" s="220"/>
    </row>
    <row r="139" ht="15.75" customHeight="1" outlineLevel="1">
      <c r="A139" s="211"/>
      <c r="B139" s="212"/>
      <c r="C139" s="213"/>
      <c r="D139" s="214" t="str">
        <f>IFERROR(VLOOKUP($C139,'PORTIFÓLIO'!C:V,2,0),"")</f>
        <v/>
      </c>
      <c r="E139" s="211" t="str">
        <f>IFERROR(VLOOKUP($C139,'PORTIFÓLIO'!C:V,3,0),"")</f>
        <v/>
      </c>
      <c r="F139" s="211" t="str">
        <f>IFERROR(VLOOKUP($C139,'PORTIFÓLIO'!C:V,4,0),"")</f>
        <v/>
      </c>
      <c r="G139" s="215" t="str">
        <f>IFERROR(VLOOKUP($C139,'PORTIFÓLIO'!C:V,5,0),"")</f>
        <v/>
      </c>
      <c r="H139" s="254" t="str">
        <f t="array" ref="H139">IFERROR(INDEX('PORTIFÓLIO'!$H$4:$H$433,MATCH($C139,'PORTIFÓLIO'!$C$4:$C$433,0)),"")</f>
        <v/>
      </c>
      <c r="I139" s="256"/>
      <c r="J139" s="218">
        <f t="shared" si="16"/>
        <v>0</v>
      </c>
      <c r="K139" s="219" t="str">
        <f t="array" ref="K139">IFERROR(I139*INDEX('PORTIFÓLIO'!$S$4:$S$433,MATCH($C139,'PORTIFÓLIO'!$C$4:$C$433,0)),"")</f>
        <v/>
      </c>
      <c r="L139" s="219" t="str">
        <f t="array" ref="L139">IFERROR(J139*INDEX('PORTIFÓLIO'!$S$4:$S$433,MATCH($C139,'PORTIFÓLIO'!$C$4:$C$433,0)),"")</f>
        <v/>
      </c>
      <c r="M139" s="220"/>
      <c r="N139" s="220"/>
      <c r="O139" s="220"/>
      <c r="P139" s="220"/>
      <c r="Q139" s="220"/>
      <c r="R139" s="220"/>
      <c r="S139" s="220"/>
      <c r="T139" s="220"/>
      <c r="U139" s="220"/>
      <c r="V139" s="220"/>
      <c r="W139" s="220"/>
    </row>
    <row r="140" ht="15.75" customHeight="1" outlineLevel="1">
      <c r="A140" s="211"/>
      <c r="B140" s="212"/>
      <c r="C140" s="213"/>
      <c r="D140" s="214" t="str">
        <f>IFERROR(VLOOKUP($C140,'PORTIFÓLIO'!C:V,2,0),"")</f>
        <v/>
      </c>
      <c r="E140" s="211" t="str">
        <f>IFERROR(VLOOKUP($C140,'PORTIFÓLIO'!C:V,3,0),"")</f>
        <v/>
      </c>
      <c r="F140" s="211" t="str">
        <f>IFERROR(VLOOKUP($C140,'PORTIFÓLIO'!C:V,4,0),"")</f>
        <v/>
      </c>
      <c r="G140" s="215" t="str">
        <f>IFERROR(VLOOKUP($C140,'PORTIFÓLIO'!C:V,5,0),"")</f>
        <v/>
      </c>
      <c r="H140" s="254" t="str">
        <f t="array" ref="H140">IFERROR(INDEX('PORTIFÓLIO'!$H$4:$H$433,MATCH($C140,'PORTIFÓLIO'!$C$4:$C$433,0)),"")</f>
        <v/>
      </c>
      <c r="I140" s="255"/>
      <c r="J140" s="218">
        <f t="shared" si="16"/>
        <v>0</v>
      </c>
      <c r="K140" s="219" t="str">
        <f t="array" ref="K140">IFERROR(I140*INDEX('PORTIFÓLIO'!$S$4:$S$433,MATCH($C140,'PORTIFÓLIO'!$C$4:$C$433,0)),"")</f>
        <v/>
      </c>
      <c r="L140" s="219" t="str">
        <f t="array" ref="L140">IFERROR(J140*INDEX('PORTIFÓLIO'!$S$4:$S$433,MATCH($C140,'PORTIFÓLIO'!$C$4:$C$433,0)),"")</f>
        <v/>
      </c>
      <c r="M140" s="220"/>
      <c r="N140" s="220"/>
      <c r="O140" s="220"/>
      <c r="P140" s="220"/>
      <c r="Q140" s="220"/>
      <c r="R140" s="220"/>
      <c r="S140" s="220"/>
      <c r="T140" s="220"/>
      <c r="U140" s="220"/>
      <c r="V140" s="220"/>
      <c r="W140" s="220"/>
    </row>
    <row r="141" ht="15.75" customHeight="1" outlineLevel="1">
      <c r="A141" s="211"/>
      <c r="B141" s="212"/>
      <c r="C141" s="213"/>
      <c r="D141" s="214" t="str">
        <f>IFERROR(VLOOKUP($C141,'PORTIFÓLIO'!C:V,2,0),"")</f>
        <v/>
      </c>
      <c r="E141" s="211" t="str">
        <f>IFERROR(VLOOKUP($C141,'PORTIFÓLIO'!C:V,3,0),"")</f>
        <v/>
      </c>
      <c r="F141" s="211" t="str">
        <f>IFERROR(VLOOKUP($C141,'PORTIFÓLIO'!C:V,4,0),"")</f>
        <v/>
      </c>
      <c r="G141" s="215" t="str">
        <f>IFERROR(VLOOKUP($C141,'PORTIFÓLIO'!C:V,5,0),"")</f>
        <v/>
      </c>
      <c r="H141" s="254" t="str">
        <f t="array" ref="H141">IFERROR(INDEX('PORTIFÓLIO'!$H$4:$H$433,MATCH($C141,'PORTIFÓLIO'!$C$4:$C$433,0)),"")</f>
        <v/>
      </c>
      <c r="I141" s="256"/>
      <c r="J141" s="218">
        <f t="shared" si="16"/>
        <v>0</v>
      </c>
      <c r="K141" s="219" t="str">
        <f t="array" ref="K141">IFERROR(I141*INDEX('PORTIFÓLIO'!$S$4:$S$433,MATCH($C141,'PORTIFÓLIO'!$C$4:$C$433,0)),"")</f>
        <v/>
      </c>
      <c r="L141" s="219" t="str">
        <f t="array" ref="L141">IFERROR(J141*INDEX('PORTIFÓLIO'!$S$4:$S$433,MATCH($C141,'PORTIFÓLIO'!$C$4:$C$433,0)),"")</f>
        <v/>
      </c>
      <c r="M141" s="220"/>
      <c r="N141" s="220"/>
      <c r="O141" s="220"/>
      <c r="P141" s="220"/>
      <c r="Q141" s="220"/>
      <c r="R141" s="220"/>
      <c r="S141" s="220"/>
      <c r="T141" s="220"/>
      <c r="U141" s="220"/>
      <c r="V141" s="220"/>
      <c r="W141" s="220"/>
    </row>
    <row r="142" ht="15.75" customHeight="1" outlineLevel="1">
      <c r="A142" s="211"/>
      <c r="B142" s="212"/>
      <c r="C142" s="213"/>
      <c r="D142" s="214" t="str">
        <f>IFERROR(VLOOKUP($C142,'PORTIFÓLIO'!C:V,2,0),"")</f>
        <v/>
      </c>
      <c r="E142" s="211" t="str">
        <f>IFERROR(VLOOKUP($C142,'PORTIFÓLIO'!C:V,3,0),"")</f>
        <v/>
      </c>
      <c r="F142" s="211" t="str">
        <f>IFERROR(VLOOKUP($C142,'PORTIFÓLIO'!C:V,4,0),"")</f>
        <v/>
      </c>
      <c r="G142" s="215" t="str">
        <f>IFERROR(VLOOKUP($C142,'PORTIFÓLIO'!C:V,5,0),"")</f>
        <v/>
      </c>
      <c r="H142" s="254" t="str">
        <f t="array" ref="H142">IFERROR(INDEX('PORTIFÓLIO'!$H$4:$H$433,MATCH($C142,'PORTIFÓLIO'!$C$4:$C$433,0)),"")</f>
        <v/>
      </c>
      <c r="I142" s="256"/>
      <c r="J142" s="218">
        <f t="shared" si="16"/>
        <v>0</v>
      </c>
      <c r="K142" s="219" t="str">
        <f t="array" ref="K142">IFERROR(I142*INDEX('PORTIFÓLIO'!$S$4:$S$433,MATCH($C142,'PORTIFÓLIO'!$C$4:$C$433,0)),"")</f>
        <v/>
      </c>
      <c r="L142" s="219" t="str">
        <f t="array" ref="L142">IFERROR(J142*INDEX('PORTIFÓLIO'!$S$4:$S$433,MATCH($C142,'PORTIFÓLIO'!$C$4:$C$433,0)),"")</f>
        <v/>
      </c>
      <c r="M142" s="220"/>
      <c r="N142" s="220"/>
      <c r="O142" s="220"/>
      <c r="P142" s="220"/>
      <c r="Q142" s="220"/>
      <c r="R142" s="220"/>
      <c r="S142" s="220"/>
      <c r="T142" s="220"/>
      <c r="U142" s="220"/>
      <c r="V142" s="220"/>
      <c r="W142" s="220"/>
    </row>
    <row r="143" ht="15.75" customHeight="1" outlineLevel="1">
      <c r="A143" s="211"/>
      <c r="B143" s="212"/>
      <c r="C143" s="213"/>
      <c r="D143" s="214" t="str">
        <f>IFERROR(VLOOKUP($C143,'PORTIFÓLIO'!C:V,2,0),"")</f>
        <v/>
      </c>
      <c r="E143" s="211" t="str">
        <f>IFERROR(VLOOKUP($C143,'PORTIFÓLIO'!C:V,3,0),"")</f>
        <v/>
      </c>
      <c r="F143" s="211" t="str">
        <f>IFERROR(VLOOKUP($C143,'PORTIFÓLIO'!C:V,4,0),"")</f>
        <v/>
      </c>
      <c r="G143" s="215" t="str">
        <f>IFERROR(VLOOKUP($C143,'PORTIFÓLIO'!C:V,5,0),"")</f>
        <v/>
      </c>
      <c r="H143" s="254" t="str">
        <f t="array" ref="H143">IFERROR(INDEX('PORTIFÓLIO'!$H$4:$H$433,MATCH($C143,'PORTIFÓLIO'!$C$4:$C$433,0)),"")</f>
        <v/>
      </c>
      <c r="I143" s="256"/>
      <c r="J143" s="218">
        <f t="shared" si="16"/>
        <v>0</v>
      </c>
      <c r="K143" s="219" t="str">
        <f t="array" ref="K143">IFERROR(I143*INDEX('PORTIFÓLIO'!$S$4:$S$433,MATCH($C143,'PORTIFÓLIO'!$C$4:$C$433,0)),"")</f>
        <v/>
      </c>
      <c r="L143" s="219" t="str">
        <f t="array" ref="L143">IFERROR(J143*INDEX('PORTIFÓLIO'!$S$4:$S$433,MATCH($C143,'PORTIFÓLIO'!$C$4:$C$433,0)),"")</f>
        <v/>
      </c>
      <c r="M143" s="220"/>
      <c r="N143" s="220"/>
      <c r="O143" s="220"/>
      <c r="P143" s="220"/>
      <c r="Q143" s="220"/>
      <c r="R143" s="220"/>
      <c r="S143" s="220"/>
      <c r="T143" s="220"/>
      <c r="U143" s="220"/>
      <c r="V143" s="220"/>
      <c r="W143" s="220"/>
    </row>
    <row r="144" ht="15.75" customHeight="1" outlineLevel="1">
      <c r="A144" s="211"/>
      <c r="B144" s="212"/>
      <c r="C144" s="213"/>
      <c r="D144" s="214" t="str">
        <f>IFERROR(VLOOKUP($C144,'PORTIFÓLIO'!C:V,2,0),"")</f>
        <v/>
      </c>
      <c r="E144" s="211" t="str">
        <f>IFERROR(VLOOKUP($C144,'PORTIFÓLIO'!C:V,3,0),"")</f>
        <v/>
      </c>
      <c r="F144" s="211" t="str">
        <f>IFERROR(VLOOKUP($C144,'PORTIFÓLIO'!C:V,4,0),"")</f>
        <v/>
      </c>
      <c r="G144" s="215" t="str">
        <f>IFERROR(VLOOKUP($C144,'PORTIFÓLIO'!C:V,5,0),"")</f>
        <v/>
      </c>
      <c r="H144" s="254" t="str">
        <f t="array" ref="H144">IFERROR(INDEX('PORTIFÓLIO'!$H$4:$H$433,MATCH($C144,'PORTIFÓLIO'!$C$4:$C$433,0)),"")</f>
        <v/>
      </c>
      <c r="I144" s="256"/>
      <c r="J144" s="218">
        <f t="shared" si="16"/>
        <v>0</v>
      </c>
      <c r="K144" s="219" t="str">
        <f t="array" ref="K144">IFERROR(I144*INDEX('PORTIFÓLIO'!$S$4:$S$433,MATCH($C144,'PORTIFÓLIO'!$C$4:$C$433,0)),"")</f>
        <v/>
      </c>
      <c r="L144" s="219" t="str">
        <f t="array" ref="L144">IFERROR(J144*INDEX('PORTIFÓLIO'!$S$4:$S$433,MATCH($C144,'PORTIFÓLIO'!$C$4:$C$433,0)),"")</f>
        <v/>
      </c>
      <c r="M144" s="220"/>
      <c r="N144" s="220"/>
      <c r="O144" s="220"/>
      <c r="P144" s="220"/>
      <c r="Q144" s="220"/>
      <c r="R144" s="220"/>
      <c r="S144" s="220"/>
      <c r="T144" s="220"/>
      <c r="U144" s="220"/>
      <c r="V144" s="220"/>
      <c r="W144" s="220"/>
    </row>
    <row r="145" ht="15.75" customHeight="1" outlineLevel="1">
      <c r="A145" s="211"/>
      <c r="B145" s="212"/>
      <c r="C145" s="213"/>
      <c r="D145" s="214" t="str">
        <f>IFERROR(VLOOKUP($C145,'PORTIFÓLIO'!C:V,2,0),"")</f>
        <v/>
      </c>
      <c r="E145" s="211" t="str">
        <f>IFERROR(VLOOKUP($C145,'PORTIFÓLIO'!C:V,3,0),"")</f>
        <v/>
      </c>
      <c r="F145" s="211" t="str">
        <f>IFERROR(VLOOKUP($C145,'PORTIFÓLIO'!C:V,4,0),"")</f>
        <v/>
      </c>
      <c r="G145" s="215" t="str">
        <f>IFERROR(VLOOKUP($C145,'PORTIFÓLIO'!C:V,5,0),"")</f>
        <v/>
      </c>
      <c r="H145" s="254" t="str">
        <f t="array" ref="H145">IFERROR(INDEX('PORTIFÓLIO'!$H$4:$H$433,MATCH($C145,'PORTIFÓLIO'!$C$4:$C$433,0)),"")</f>
        <v/>
      </c>
      <c r="I145" s="256"/>
      <c r="J145" s="218">
        <f t="shared" si="16"/>
        <v>0</v>
      </c>
      <c r="K145" s="219" t="str">
        <f t="array" ref="K145">IFERROR(I145*INDEX('PORTIFÓLIO'!$S$4:$S$433,MATCH($C145,'PORTIFÓLIO'!$C$4:$C$433,0)),"")</f>
        <v/>
      </c>
      <c r="L145" s="219" t="str">
        <f t="array" ref="L145">IFERROR(J145*INDEX('PORTIFÓLIO'!$S$4:$S$433,MATCH($C145,'PORTIFÓLIO'!$C$4:$C$433,0)),"")</f>
        <v/>
      </c>
      <c r="M145" s="220"/>
      <c r="N145" s="220"/>
      <c r="O145" s="220"/>
      <c r="P145" s="220"/>
      <c r="Q145" s="220"/>
      <c r="R145" s="220"/>
      <c r="S145" s="220"/>
      <c r="T145" s="220"/>
      <c r="U145" s="220"/>
      <c r="V145" s="220"/>
      <c r="W145" s="220"/>
    </row>
    <row r="146" ht="15.75" customHeight="1" outlineLevel="1">
      <c r="A146" s="211"/>
      <c r="B146" s="212"/>
      <c r="C146" s="213"/>
      <c r="D146" s="214" t="str">
        <f>IFERROR(VLOOKUP($C146,'PORTIFÓLIO'!C:V,2,0),"")</f>
        <v/>
      </c>
      <c r="E146" s="211" t="str">
        <f>IFERROR(VLOOKUP($C146,'PORTIFÓLIO'!C:V,3,0),"")</f>
        <v/>
      </c>
      <c r="F146" s="211" t="str">
        <f>IFERROR(VLOOKUP($C146,'PORTIFÓLIO'!C:V,4,0),"")</f>
        <v/>
      </c>
      <c r="G146" s="215" t="str">
        <f>IFERROR(VLOOKUP($C146,'PORTIFÓLIO'!C:V,5,0),"")</f>
        <v/>
      </c>
      <c r="H146" s="254" t="str">
        <f t="array" ref="H146">IFERROR(INDEX('PORTIFÓLIO'!$H$4:$H$433,MATCH($C146,'PORTIFÓLIO'!$C$4:$C$433,0)),"")</f>
        <v/>
      </c>
      <c r="I146" s="256"/>
      <c r="J146" s="218">
        <f t="shared" si="16"/>
        <v>0</v>
      </c>
      <c r="K146" s="219" t="str">
        <f t="array" ref="K146">IFERROR(I146*INDEX('PORTIFÓLIO'!$S$4:$S$433,MATCH($C146,'PORTIFÓLIO'!$C$4:$C$433,0)),"")</f>
        <v/>
      </c>
      <c r="L146" s="219" t="str">
        <f t="array" ref="L146">IFERROR(J146*INDEX('PORTIFÓLIO'!$S$4:$S$433,MATCH($C146,'PORTIFÓLIO'!$C$4:$C$433,0)),"")</f>
        <v/>
      </c>
      <c r="M146" s="220"/>
      <c r="N146" s="220"/>
      <c r="O146" s="220"/>
      <c r="P146" s="220"/>
      <c r="Q146" s="220"/>
      <c r="R146" s="220"/>
      <c r="S146" s="220"/>
      <c r="T146" s="220"/>
      <c r="U146" s="220"/>
      <c r="V146" s="220"/>
      <c r="W146" s="220"/>
    </row>
    <row r="147" ht="15.75" customHeight="1" outlineLevel="1">
      <c r="A147" s="211"/>
      <c r="B147" s="227"/>
      <c r="C147" s="211"/>
      <c r="D147" s="214" t="str">
        <f>IFERROR(VLOOKUP($C147,'PORTIFÓLIO'!C:V,2,0),"")</f>
        <v/>
      </c>
      <c r="E147" s="211" t="str">
        <f>IFERROR(VLOOKUP($C147,'PORTIFÓLIO'!C:V,3,0),"")</f>
        <v/>
      </c>
      <c r="F147" s="211" t="str">
        <f>IFERROR(VLOOKUP($C147,'PORTIFÓLIO'!C:V,4,0),"")</f>
        <v/>
      </c>
      <c r="G147" s="215" t="str">
        <f>IFERROR(VLOOKUP($C147,'PORTIFÓLIO'!C:V,5,0),"")</f>
        <v/>
      </c>
      <c r="H147" s="254" t="str">
        <f t="array" ref="H147">IFERROR(INDEX('PORTIFÓLIO'!$H$4:$H$433,MATCH($C147,'PORTIFÓLIO'!$C$4:$C$433,0)),"")</f>
        <v/>
      </c>
      <c r="I147" s="256"/>
      <c r="J147" s="218"/>
      <c r="K147" s="219" t="str">
        <f t="array" ref="K147">IFERROR(I147*INDEX('PORTIFÓLIO'!$S$4:$S$433,MATCH($C147,'PORTIFÓLIO'!$C$4:$C$433,0)),"")</f>
        <v/>
      </c>
      <c r="L147" s="219" t="str">
        <f t="array" ref="L147">IFERROR(J147*INDEX('PORTIFÓLIO'!$S$4:$S$433,MATCH($C147,'PORTIFÓLIO'!$C$4:$C$433,0)),"")</f>
        <v/>
      </c>
      <c r="M147" s="220"/>
      <c r="N147" s="220"/>
      <c r="O147" s="220"/>
      <c r="P147" s="220"/>
      <c r="Q147" s="220"/>
      <c r="R147" s="220"/>
      <c r="S147" s="220"/>
      <c r="T147" s="220"/>
      <c r="U147" s="220"/>
      <c r="V147" s="220"/>
      <c r="W147" s="220"/>
    </row>
    <row r="148" ht="15.75" customHeight="1">
      <c r="A148" s="229" t="s">
        <v>1192</v>
      </c>
      <c r="B148" s="230"/>
      <c r="C148" s="231"/>
      <c r="D148" s="232"/>
      <c r="E148" s="231"/>
      <c r="F148" s="231"/>
      <c r="G148" s="233"/>
      <c r="H148" s="233"/>
      <c r="I148" s="258"/>
      <c r="J148" s="236"/>
      <c r="K148" s="237">
        <f t="shared" ref="K148:L148" si="17">SUBTOTAL(9,K149:K162)</f>
        <v>57.21464</v>
      </c>
      <c r="L148" s="237">
        <f t="shared" si="17"/>
        <v>17908.18232</v>
      </c>
      <c r="M148" s="220"/>
      <c r="N148" s="220"/>
      <c r="O148" s="220"/>
      <c r="P148" s="220"/>
      <c r="Q148" s="220"/>
      <c r="R148" s="220"/>
      <c r="S148" s="220"/>
      <c r="T148" s="220"/>
      <c r="U148" s="220"/>
      <c r="V148" s="220"/>
      <c r="W148" s="220"/>
    </row>
    <row r="149" ht="15.75" customHeight="1" outlineLevel="1">
      <c r="A149" s="213"/>
      <c r="B149" s="212" t="s">
        <v>0</v>
      </c>
      <c r="C149" s="213" t="s">
        <v>434</v>
      </c>
      <c r="D149" s="214" t="str">
        <f>IFERROR(VLOOKUP($C149,'PORTIFÓLIO'!C:V,2,0),"")</f>
        <v>AZOXISTROBINA + TEBUCONAZOL</v>
      </c>
      <c r="E149" s="211" t="str">
        <f>IFERROR(VLOOKUP($C149,'PORTIFÓLIO'!C:V,3,0),"")</f>
        <v>120 + 200</v>
      </c>
      <c r="F149" s="211" t="str">
        <f>IFERROR(VLOOKUP($C149,'PORTIFÓLIO'!C:V,4,0),"")</f>
        <v>L</v>
      </c>
      <c r="G149" s="225" t="str">
        <f>IFERROR(VLOOKUP($C149,'PORTIFÓLIO'!C:V,5,0),"")</f>
        <v>📄 Ver bula</v>
      </c>
      <c r="H149" s="254">
        <f t="array" ref="H149">IFERROR(INDEX('PORTIFÓLIO'!$H$4:$H$433,MATCH($C149,'PORTIFÓLIO'!$C$4:$C$433,0)),"")</f>
        <v>0.5</v>
      </c>
      <c r="I149" s="255">
        <v>0.5</v>
      </c>
      <c r="J149" s="218">
        <f t="shared" ref="J149:J163" si="18">I149*$B$2</f>
        <v>156.5</v>
      </c>
      <c r="K149" s="219">
        <f t="array" ref="K149">IFERROR(I149*INDEX('PORTIFÓLIO'!$S$4:$S$433,MATCH($C149,'PORTIFÓLIO'!$C$4:$C$433,0)),"")</f>
        <v>17.66448</v>
      </c>
      <c r="L149" s="219">
        <f t="array" ref="L149">IFERROR(J149*INDEX('PORTIFÓLIO'!$S$4:$S$433,MATCH($C149,'PORTIFÓLIO'!$C$4:$C$433,0)),"")</f>
        <v>5528.98224</v>
      </c>
      <c r="M149" s="220"/>
      <c r="N149" s="220"/>
      <c r="O149" s="220"/>
      <c r="P149" s="220"/>
      <c r="Q149" s="220"/>
      <c r="R149" s="220"/>
      <c r="S149" s="220"/>
      <c r="T149" s="220"/>
      <c r="U149" s="220"/>
      <c r="V149" s="220"/>
      <c r="W149" s="220"/>
    </row>
    <row r="150" ht="15.75" customHeight="1" outlineLevel="1">
      <c r="A150" s="211"/>
      <c r="B150" s="212" t="s">
        <v>0</v>
      </c>
      <c r="C150" s="213" t="s">
        <v>572</v>
      </c>
      <c r="D150" s="214" t="str">
        <f>IFERROR(VLOOKUP($C150,'PORTIFÓLIO'!C:V,2,0),"")</f>
        <v>CLOROTALONIL</v>
      </c>
      <c r="E150" s="211">
        <f>IFERROR(VLOOKUP($C150,'PORTIFÓLIO'!C:V,3,0),"")</f>
        <v>720</v>
      </c>
      <c r="F150" s="211" t="str">
        <f>IFERROR(VLOOKUP($C150,'PORTIFÓLIO'!C:V,4,0),"")</f>
        <v>KG</v>
      </c>
      <c r="G150" s="225" t="str">
        <f>IFERROR(VLOOKUP($C150,'PORTIFÓLIO'!C:V,5,0),"")</f>
        <v>📄 Ver bula</v>
      </c>
      <c r="H150" s="254">
        <f t="array" ref="H150">IFERROR(INDEX('PORTIFÓLIO'!$H$4:$H$433,MATCH($C150,'PORTIFÓLIO'!$C$4:$C$433,0)),"")</f>
        <v>1.5</v>
      </c>
      <c r="I150" s="255">
        <v>1.5</v>
      </c>
      <c r="J150" s="218">
        <f t="shared" si="18"/>
        <v>469.5</v>
      </c>
      <c r="K150" s="219">
        <f t="array" ref="K150">IFERROR(I150*INDEX('PORTIFÓLIO'!$S$4:$S$433,MATCH($C150,'PORTIFÓLIO'!$C$4:$C$433,0)),"")</f>
        <v>36.34416</v>
      </c>
      <c r="L150" s="219">
        <f t="array" ref="L150">IFERROR(J150*INDEX('PORTIFÓLIO'!$S$4:$S$433,MATCH($C150,'PORTIFÓLIO'!$C$4:$C$433,0)),"")</f>
        <v>11375.72208</v>
      </c>
      <c r="M150" s="220"/>
      <c r="N150" s="220"/>
      <c r="O150" s="220"/>
      <c r="P150" s="220"/>
      <c r="Q150" s="220"/>
      <c r="R150" s="220"/>
      <c r="S150" s="220"/>
      <c r="T150" s="220"/>
      <c r="U150" s="220"/>
      <c r="V150" s="220"/>
      <c r="W150" s="220"/>
    </row>
    <row r="151" ht="15.75" customHeight="1" outlineLevel="1">
      <c r="A151" s="211"/>
      <c r="B151" s="212" t="s">
        <v>6</v>
      </c>
      <c r="C151" s="213" t="s">
        <v>354</v>
      </c>
      <c r="D151" s="214" t="str">
        <f>IFERROR(VLOOKUP($C151,'PORTIFÓLIO'!C:V,2,0),"")</f>
        <v>OLEO MINERAL</v>
      </c>
      <c r="E151" s="211">
        <f>IFERROR(VLOOKUP($C151,'PORTIFÓLIO'!C:V,3,0),"")</f>
        <v>761</v>
      </c>
      <c r="F151" s="211" t="str">
        <f>IFERROR(VLOOKUP($C151,'PORTIFÓLIO'!C:V,4,0),"")</f>
        <v>L</v>
      </c>
      <c r="G151" s="225" t="str">
        <f>IFERROR(VLOOKUP($C151,'PORTIFÓLIO'!C:V,5,0),"")</f>
        <v>📄 Ver bula</v>
      </c>
      <c r="H151" s="254">
        <f t="array" ref="H151">IFERROR(INDEX('PORTIFÓLIO'!$H$4:$H$433,MATCH($C151,'PORTIFÓLIO'!$C$4:$C$433,0)),"")</f>
        <v>0.2</v>
      </c>
      <c r="I151" s="255">
        <v>0.2</v>
      </c>
      <c r="J151" s="218">
        <f t="shared" si="18"/>
        <v>62.6</v>
      </c>
      <c r="K151" s="219">
        <f t="array" ref="K151">IFERROR(I151*INDEX('PORTIFÓLIO'!$S$4:$S$433,MATCH($C151,'PORTIFÓLIO'!$C$4:$C$433,0)),"")</f>
        <v>3.206</v>
      </c>
      <c r="L151" s="219">
        <f t="array" ref="L151">IFERROR(J151*INDEX('PORTIFÓLIO'!$S$4:$S$433,MATCH($C151,'PORTIFÓLIO'!$C$4:$C$433,0)),"")</f>
        <v>1003.478</v>
      </c>
      <c r="M151" s="220"/>
      <c r="N151" s="220"/>
      <c r="O151" s="220"/>
      <c r="P151" s="220"/>
      <c r="Q151" s="220"/>
      <c r="R151" s="220"/>
      <c r="S151" s="220"/>
      <c r="T151" s="220"/>
      <c r="U151" s="220"/>
      <c r="V151" s="220"/>
      <c r="W151" s="220"/>
    </row>
    <row r="152" ht="15.75" customHeight="1" outlineLevel="1">
      <c r="A152" s="211"/>
      <c r="B152" s="212"/>
      <c r="C152" s="213"/>
      <c r="D152" s="214" t="str">
        <f>IFERROR(VLOOKUP($C152,'PORTIFÓLIO'!C:V,2,0),"")</f>
        <v/>
      </c>
      <c r="E152" s="211" t="str">
        <f>IFERROR(VLOOKUP($C152,'PORTIFÓLIO'!C:V,3,0),"")</f>
        <v/>
      </c>
      <c r="F152" s="211" t="str">
        <f>IFERROR(VLOOKUP($C152,'PORTIFÓLIO'!C:V,4,0),"")</f>
        <v/>
      </c>
      <c r="G152" s="215" t="str">
        <f>IFERROR(VLOOKUP($C152,'PORTIFÓLIO'!C:V,5,0),"")</f>
        <v/>
      </c>
      <c r="H152" s="254" t="str">
        <f t="array" ref="H152">IFERROR(INDEX('PORTIFÓLIO'!$H$4:$H$433,MATCH($C152,'PORTIFÓLIO'!$C$4:$C$433,0)),"")</f>
        <v/>
      </c>
      <c r="I152" s="256"/>
      <c r="J152" s="218">
        <f t="shared" si="18"/>
        <v>0</v>
      </c>
      <c r="K152" s="219" t="str">
        <f t="array" ref="K152">IFERROR(I152*INDEX('PORTIFÓLIO'!$S$4:$S$433,MATCH($C152,'PORTIFÓLIO'!$C$4:$C$433,0)),"")</f>
        <v/>
      </c>
      <c r="L152" s="219" t="str">
        <f t="array" ref="L152">IFERROR(J152*INDEX('PORTIFÓLIO'!$S$4:$S$433,MATCH($C152,'PORTIFÓLIO'!$C$4:$C$433,0)),"")</f>
        <v/>
      </c>
      <c r="M152" s="220"/>
      <c r="N152" s="220"/>
      <c r="O152" s="220"/>
      <c r="P152" s="220"/>
      <c r="Q152" s="220"/>
      <c r="R152" s="220"/>
      <c r="S152" s="220"/>
      <c r="T152" s="220"/>
      <c r="U152" s="220"/>
      <c r="V152" s="220"/>
      <c r="W152" s="220"/>
    </row>
    <row r="153" ht="15.75" customHeight="1" outlineLevel="1">
      <c r="A153" s="211"/>
      <c r="B153" s="212"/>
      <c r="C153" s="213"/>
      <c r="D153" s="214" t="str">
        <f>IFERROR(VLOOKUP($C153,'PORTIFÓLIO'!C:V,2,0),"")</f>
        <v/>
      </c>
      <c r="E153" s="211" t="str">
        <f>IFERROR(VLOOKUP($C153,'PORTIFÓLIO'!C:V,3,0),"")</f>
        <v/>
      </c>
      <c r="F153" s="211" t="str">
        <f>IFERROR(VLOOKUP($C153,'PORTIFÓLIO'!C:V,4,0),"")</f>
        <v/>
      </c>
      <c r="G153" s="215" t="str">
        <f>IFERROR(VLOOKUP($C153,'PORTIFÓLIO'!C:V,5,0),"")</f>
        <v/>
      </c>
      <c r="H153" s="254" t="str">
        <f t="array" ref="H153">IFERROR(INDEX('PORTIFÓLIO'!$H$4:$H$433,MATCH($C153,'PORTIFÓLIO'!$C$4:$C$433,0)),"")</f>
        <v/>
      </c>
      <c r="I153" s="256"/>
      <c r="J153" s="218">
        <f t="shared" si="18"/>
        <v>0</v>
      </c>
      <c r="K153" s="219" t="str">
        <f t="array" ref="K153">IFERROR(I153*INDEX('PORTIFÓLIO'!$S$4:$S$433,MATCH($C153,'PORTIFÓLIO'!$C$4:$C$433,0)),"")</f>
        <v/>
      </c>
      <c r="L153" s="219" t="str">
        <f t="array" ref="L153">IFERROR(J153*INDEX('PORTIFÓLIO'!$S$4:$S$433,MATCH($C153,'PORTIFÓLIO'!$C$4:$C$433,0)),"")</f>
        <v/>
      </c>
      <c r="M153" s="220"/>
      <c r="N153" s="220"/>
      <c r="O153" s="220"/>
      <c r="P153" s="220"/>
      <c r="Q153" s="220"/>
      <c r="R153" s="220"/>
      <c r="S153" s="220"/>
      <c r="T153" s="220"/>
      <c r="U153" s="220"/>
      <c r="V153" s="220"/>
      <c r="W153" s="220"/>
    </row>
    <row r="154" ht="15.75" customHeight="1" outlineLevel="1">
      <c r="A154" s="211"/>
      <c r="B154" s="212"/>
      <c r="C154" s="213"/>
      <c r="D154" s="214" t="str">
        <f>IFERROR(VLOOKUP($C154,'PORTIFÓLIO'!C:V,2,0),"")</f>
        <v/>
      </c>
      <c r="E154" s="211" t="str">
        <f>IFERROR(VLOOKUP($C154,'PORTIFÓLIO'!C:V,3,0),"")</f>
        <v/>
      </c>
      <c r="F154" s="211" t="str">
        <f>IFERROR(VLOOKUP($C154,'PORTIFÓLIO'!C:V,4,0),"")</f>
        <v/>
      </c>
      <c r="G154" s="215" t="str">
        <f>IFERROR(VLOOKUP($C154,'PORTIFÓLIO'!C:V,5,0),"")</f>
        <v/>
      </c>
      <c r="H154" s="254" t="str">
        <f t="array" ref="H154">IFERROR(INDEX('PORTIFÓLIO'!$H$4:$H$433,MATCH($C154,'PORTIFÓLIO'!$C$4:$C$433,0)),"")</f>
        <v/>
      </c>
      <c r="I154" s="256"/>
      <c r="J154" s="218">
        <f t="shared" si="18"/>
        <v>0</v>
      </c>
      <c r="K154" s="219" t="str">
        <f t="array" ref="K154">IFERROR(I154*INDEX('PORTIFÓLIO'!$S$4:$S$433,MATCH($C154,'PORTIFÓLIO'!$C$4:$C$433,0)),"")</f>
        <v/>
      </c>
      <c r="L154" s="219" t="str">
        <f t="array" ref="L154">IFERROR(J154*INDEX('PORTIFÓLIO'!$S$4:$S$433,MATCH($C154,'PORTIFÓLIO'!$C$4:$C$433,0)),"")</f>
        <v/>
      </c>
      <c r="M154" s="220"/>
      <c r="N154" s="220"/>
      <c r="O154" s="220"/>
      <c r="P154" s="220"/>
      <c r="Q154" s="220"/>
      <c r="R154" s="220"/>
      <c r="S154" s="220"/>
      <c r="T154" s="220"/>
      <c r="U154" s="220"/>
      <c r="V154" s="220"/>
      <c r="W154" s="220"/>
    </row>
    <row r="155" ht="15.75" customHeight="1" outlineLevel="1">
      <c r="A155" s="211"/>
      <c r="B155" s="212"/>
      <c r="C155" s="213"/>
      <c r="D155" s="214" t="str">
        <f>IFERROR(VLOOKUP($C155,'PORTIFÓLIO'!C:V,2,0),"")</f>
        <v/>
      </c>
      <c r="E155" s="211" t="str">
        <f>IFERROR(VLOOKUP($C155,'PORTIFÓLIO'!C:V,3,0),"")</f>
        <v/>
      </c>
      <c r="F155" s="211" t="str">
        <f>IFERROR(VLOOKUP($C155,'PORTIFÓLIO'!C:V,4,0),"")</f>
        <v/>
      </c>
      <c r="G155" s="215" t="str">
        <f>IFERROR(VLOOKUP($C155,'PORTIFÓLIO'!C:V,5,0),"")</f>
        <v/>
      </c>
      <c r="H155" s="254" t="str">
        <f t="array" ref="H155">IFERROR(INDEX('PORTIFÓLIO'!$H$4:$H$433,MATCH($C155,'PORTIFÓLIO'!$C$4:$C$433,0)),"")</f>
        <v/>
      </c>
      <c r="I155" s="256"/>
      <c r="J155" s="218">
        <f t="shared" si="18"/>
        <v>0</v>
      </c>
      <c r="K155" s="219" t="str">
        <f t="array" ref="K155">IFERROR(I155*INDEX('PORTIFÓLIO'!$S$4:$S$433,MATCH($C155,'PORTIFÓLIO'!$C$4:$C$433,0)),"")</f>
        <v/>
      </c>
      <c r="L155" s="219" t="str">
        <f t="array" ref="L155">IFERROR(J155*INDEX('PORTIFÓLIO'!$S$4:$S$433,MATCH($C155,'PORTIFÓLIO'!$C$4:$C$433,0)),"")</f>
        <v/>
      </c>
      <c r="M155" s="220"/>
      <c r="N155" s="220"/>
      <c r="O155" s="220"/>
      <c r="P155" s="220"/>
      <c r="Q155" s="220"/>
      <c r="R155" s="220"/>
      <c r="S155" s="220"/>
      <c r="T155" s="220"/>
      <c r="U155" s="220"/>
      <c r="V155" s="220"/>
      <c r="W155" s="220"/>
    </row>
    <row r="156" ht="15.75" customHeight="1" outlineLevel="1">
      <c r="A156" s="211"/>
      <c r="B156" s="212"/>
      <c r="C156" s="213"/>
      <c r="D156" s="214" t="str">
        <f>IFERROR(VLOOKUP($C156,'PORTIFÓLIO'!C:V,2,0),"")</f>
        <v/>
      </c>
      <c r="E156" s="211" t="str">
        <f>IFERROR(VLOOKUP($C156,'PORTIFÓLIO'!C:V,3,0),"")</f>
        <v/>
      </c>
      <c r="F156" s="211" t="str">
        <f>IFERROR(VLOOKUP($C156,'PORTIFÓLIO'!C:V,4,0),"")</f>
        <v/>
      </c>
      <c r="G156" s="215" t="str">
        <f>IFERROR(VLOOKUP($C156,'PORTIFÓLIO'!C:V,5,0),"")</f>
        <v/>
      </c>
      <c r="H156" s="254" t="str">
        <f t="array" ref="H156">IFERROR(INDEX('PORTIFÓLIO'!$H$4:$H$433,MATCH($C156,'PORTIFÓLIO'!$C$4:$C$433,0)),"")</f>
        <v/>
      </c>
      <c r="I156" s="256"/>
      <c r="J156" s="218">
        <f t="shared" si="18"/>
        <v>0</v>
      </c>
      <c r="K156" s="219" t="str">
        <f t="array" ref="K156">IFERROR(I156*INDEX('PORTIFÓLIO'!$S$4:$S$433,MATCH($C156,'PORTIFÓLIO'!$C$4:$C$433,0)),"")</f>
        <v/>
      </c>
      <c r="L156" s="219" t="str">
        <f t="array" ref="L156">IFERROR(J156*INDEX('PORTIFÓLIO'!$S$4:$S$433,MATCH($C156,'PORTIFÓLIO'!$C$4:$C$433,0)),"")</f>
        <v/>
      </c>
      <c r="M156" s="220"/>
      <c r="N156" s="220"/>
      <c r="O156" s="220"/>
      <c r="P156" s="220"/>
      <c r="Q156" s="220"/>
      <c r="R156" s="220"/>
      <c r="S156" s="220"/>
      <c r="T156" s="220"/>
      <c r="U156" s="220"/>
      <c r="V156" s="220"/>
      <c r="W156" s="220"/>
    </row>
    <row r="157" ht="15.75" customHeight="1" outlineLevel="1">
      <c r="A157" s="211"/>
      <c r="B157" s="212"/>
      <c r="C157" s="213"/>
      <c r="D157" s="214" t="str">
        <f>IFERROR(VLOOKUP($C157,'PORTIFÓLIO'!C:V,2,0),"")</f>
        <v/>
      </c>
      <c r="E157" s="211" t="str">
        <f>IFERROR(VLOOKUP($C157,'PORTIFÓLIO'!C:V,3,0),"")</f>
        <v/>
      </c>
      <c r="F157" s="211" t="str">
        <f>IFERROR(VLOOKUP($C157,'PORTIFÓLIO'!C:V,4,0),"")</f>
        <v/>
      </c>
      <c r="G157" s="215" t="str">
        <f>IFERROR(VLOOKUP($C157,'PORTIFÓLIO'!C:V,5,0),"")</f>
        <v/>
      </c>
      <c r="H157" s="254" t="str">
        <f t="array" ref="H157">IFERROR(INDEX('PORTIFÓLIO'!$H$4:$H$433,MATCH($C157,'PORTIFÓLIO'!$C$4:$C$433,0)),"")</f>
        <v/>
      </c>
      <c r="I157" s="255"/>
      <c r="J157" s="218">
        <f t="shared" si="18"/>
        <v>0</v>
      </c>
      <c r="K157" s="219" t="str">
        <f t="array" ref="K157">IFERROR(I157*INDEX('PORTIFÓLIO'!$S$4:$S$433,MATCH($C157,'PORTIFÓLIO'!$C$4:$C$433,0)),"")</f>
        <v/>
      </c>
      <c r="L157" s="219" t="str">
        <f t="array" ref="L157">IFERROR(J157*INDEX('PORTIFÓLIO'!$S$4:$S$433,MATCH($C157,'PORTIFÓLIO'!$C$4:$C$433,0)),"")</f>
        <v/>
      </c>
      <c r="M157" s="220"/>
      <c r="N157" s="220"/>
      <c r="O157" s="220"/>
      <c r="P157" s="220"/>
      <c r="Q157" s="220"/>
      <c r="R157" s="220"/>
      <c r="S157" s="220"/>
      <c r="T157" s="220"/>
      <c r="U157" s="220"/>
      <c r="V157" s="220"/>
      <c r="W157" s="220"/>
    </row>
    <row r="158" ht="15.75" customHeight="1" outlineLevel="1">
      <c r="A158" s="211"/>
      <c r="B158" s="212"/>
      <c r="C158" s="213"/>
      <c r="D158" s="214" t="str">
        <f>IFERROR(VLOOKUP($C158,'PORTIFÓLIO'!C:V,2,0),"")</f>
        <v/>
      </c>
      <c r="E158" s="211" t="str">
        <f>IFERROR(VLOOKUP($C158,'PORTIFÓLIO'!C:V,3,0),"")</f>
        <v/>
      </c>
      <c r="F158" s="211" t="str">
        <f>IFERROR(VLOOKUP($C158,'PORTIFÓLIO'!C:V,4,0),"")</f>
        <v/>
      </c>
      <c r="G158" s="215" t="str">
        <f>IFERROR(VLOOKUP($C158,'PORTIFÓLIO'!C:V,5,0),"")</f>
        <v/>
      </c>
      <c r="H158" s="254" t="str">
        <f t="array" ref="H158">IFERROR(INDEX('PORTIFÓLIO'!$H$4:$H$433,MATCH($C158,'PORTIFÓLIO'!$C$4:$C$433,0)),"")</f>
        <v/>
      </c>
      <c r="I158" s="256"/>
      <c r="J158" s="218">
        <f t="shared" si="18"/>
        <v>0</v>
      </c>
      <c r="K158" s="219" t="str">
        <f t="array" ref="K158">IFERROR(I158*INDEX('PORTIFÓLIO'!$S$4:$S$433,MATCH($C158,'PORTIFÓLIO'!$C$4:$C$433,0)),"")</f>
        <v/>
      </c>
      <c r="L158" s="219" t="str">
        <f t="array" ref="L158">IFERROR(J158*INDEX('PORTIFÓLIO'!$S$4:$S$433,MATCH($C158,'PORTIFÓLIO'!$C$4:$C$433,0)),"")</f>
        <v/>
      </c>
      <c r="M158" s="220"/>
      <c r="N158" s="220"/>
      <c r="O158" s="220"/>
      <c r="P158" s="220"/>
      <c r="Q158" s="220"/>
      <c r="R158" s="220"/>
      <c r="S158" s="220"/>
      <c r="T158" s="220"/>
      <c r="U158" s="220"/>
      <c r="V158" s="220"/>
      <c r="W158" s="220"/>
    </row>
    <row r="159" ht="15.75" customHeight="1" outlineLevel="1">
      <c r="A159" s="211"/>
      <c r="B159" s="212"/>
      <c r="C159" s="213"/>
      <c r="D159" s="214" t="str">
        <f>IFERROR(VLOOKUP($C159,'PORTIFÓLIO'!C:V,2,0),"")</f>
        <v/>
      </c>
      <c r="E159" s="211" t="str">
        <f>IFERROR(VLOOKUP($C159,'PORTIFÓLIO'!C:V,3,0),"")</f>
        <v/>
      </c>
      <c r="F159" s="211" t="str">
        <f>IFERROR(VLOOKUP($C159,'PORTIFÓLIO'!C:V,4,0),"")</f>
        <v/>
      </c>
      <c r="G159" s="215" t="str">
        <f>IFERROR(VLOOKUP($C159,'PORTIFÓLIO'!C:V,5,0),"")</f>
        <v/>
      </c>
      <c r="H159" s="254" t="str">
        <f t="array" ref="H159">IFERROR(INDEX('PORTIFÓLIO'!$H$4:$H$433,MATCH($C159,'PORTIFÓLIO'!$C$4:$C$433,0)),"")</f>
        <v/>
      </c>
      <c r="I159" s="256"/>
      <c r="J159" s="218">
        <f t="shared" si="18"/>
        <v>0</v>
      </c>
      <c r="K159" s="219" t="str">
        <f t="array" ref="K159">IFERROR(I159*INDEX('PORTIFÓLIO'!$S$4:$S$433,MATCH($C159,'PORTIFÓLIO'!$C$4:$C$433,0)),"")</f>
        <v/>
      </c>
      <c r="L159" s="219" t="str">
        <f t="array" ref="L159">IFERROR(J159*INDEX('PORTIFÓLIO'!$S$4:$S$433,MATCH($C159,'PORTIFÓLIO'!$C$4:$C$433,0)),"")</f>
        <v/>
      </c>
      <c r="M159" s="220"/>
      <c r="N159" s="220"/>
      <c r="O159" s="220"/>
      <c r="P159" s="220"/>
      <c r="Q159" s="220"/>
      <c r="R159" s="220"/>
      <c r="S159" s="220"/>
      <c r="T159" s="220"/>
      <c r="U159" s="220"/>
      <c r="V159" s="220"/>
      <c r="W159" s="220"/>
    </row>
    <row r="160" ht="15.75" customHeight="1" outlineLevel="1">
      <c r="A160" s="211"/>
      <c r="B160" s="212"/>
      <c r="C160" s="213"/>
      <c r="D160" s="214" t="str">
        <f>IFERROR(VLOOKUP($C160,'PORTIFÓLIO'!C:V,2,0),"")</f>
        <v/>
      </c>
      <c r="E160" s="211" t="str">
        <f>IFERROR(VLOOKUP($C160,'PORTIFÓLIO'!C:V,3,0),"")</f>
        <v/>
      </c>
      <c r="F160" s="211" t="str">
        <f>IFERROR(VLOOKUP($C160,'PORTIFÓLIO'!C:V,4,0),"")</f>
        <v/>
      </c>
      <c r="G160" s="215" t="str">
        <f>IFERROR(VLOOKUP($C160,'PORTIFÓLIO'!C:V,5,0),"")</f>
        <v/>
      </c>
      <c r="H160" s="254" t="str">
        <f t="array" ref="H160">IFERROR(INDEX('PORTIFÓLIO'!$H$4:$H$433,MATCH($C160,'PORTIFÓLIO'!$C$4:$C$433,0)),"")</f>
        <v/>
      </c>
      <c r="I160" s="256"/>
      <c r="J160" s="218">
        <f t="shared" si="18"/>
        <v>0</v>
      </c>
      <c r="K160" s="219" t="str">
        <f t="array" ref="K160">IFERROR(I160*INDEX('PORTIFÓLIO'!$S$4:$S$433,MATCH($C160,'PORTIFÓLIO'!$C$4:$C$433,0)),"")</f>
        <v/>
      </c>
      <c r="L160" s="219" t="str">
        <f t="array" ref="L160">IFERROR(J160*INDEX('PORTIFÓLIO'!$S$4:$S$433,MATCH($C160,'PORTIFÓLIO'!$C$4:$C$433,0)),"")</f>
        <v/>
      </c>
      <c r="M160" s="220"/>
      <c r="N160" s="220"/>
      <c r="O160" s="220"/>
      <c r="P160" s="220"/>
      <c r="Q160" s="220"/>
      <c r="R160" s="220"/>
      <c r="S160" s="220"/>
      <c r="T160" s="220"/>
      <c r="U160" s="220"/>
      <c r="V160" s="220"/>
      <c r="W160" s="220"/>
    </row>
    <row r="161" ht="15.75" customHeight="1" outlineLevel="1">
      <c r="A161" s="211"/>
      <c r="B161" s="212"/>
      <c r="C161" s="213"/>
      <c r="D161" s="214" t="str">
        <f>IFERROR(VLOOKUP($C161,'PORTIFÓLIO'!C:V,2,0),"")</f>
        <v/>
      </c>
      <c r="E161" s="211" t="str">
        <f>IFERROR(VLOOKUP($C161,'PORTIFÓLIO'!C:V,3,0),"")</f>
        <v/>
      </c>
      <c r="F161" s="211" t="str">
        <f>IFERROR(VLOOKUP($C161,'PORTIFÓLIO'!C:V,4,0),"")</f>
        <v/>
      </c>
      <c r="G161" s="215" t="str">
        <f>IFERROR(VLOOKUP($C161,'PORTIFÓLIO'!C:V,5,0),"")</f>
        <v/>
      </c>
      <c r="H161" s="254" t="str">
        <f t="array" ref="H161">IFERROR(INDEX('PORTIFÓLIO'!$H$4:$H$433,MATCH($C161,'PORTIFÓLIO'!$C$4:$C$433,0)),"")</f>
        <v/>
      </c>
      <c r="I161" s="256"/>
      <c r="J161" s="218">
        <f t="shared" si="18"/>
        <v>0</v>
      </c>
      <c r="K161" s="219" t="str">
        <f t="array" ref="K161">IFERROR(I161*INDEX('PORTIFÓLIO'!$S$4:$S$433,MATCH($C161,'PORTIFÓLIO'!$C$4:$C$433,0)),"")</f>
        <v/>
      </c>
      <c r="L161" s="219" t="str">
        <f t="array" ref="L161">IFERROR(J161*INDEX('PORTIFÓLIO'!$S$4:$S$433,MATCH($C161,'PORTIFÓLIO'!$C$4:$C$433,0)),"")</f>
        <v/>
      </c>
      <c r="M161" s="220"/>
      <c r="N161" s="220"/>
      <c r="O161" s="220"/>
      <c r="P161" s="220"/>
      <c r="Q161" s="220"/>
      <c r="R161" s="220"/>
      <c r="S161" s="220"/>
      <c r="T161" s="220"/>
      <c r="U161" s="220"/>
      <c r="V161" s="220"/>
      <c r="W161" s="220"/>
    </row>
    <row r="162" ht="15.75" customHeight="1" outlineLevel="1">
      <c r="A162" s="211"/>
      <c r="B162" s="212"/>
      <c r="C162" s="213"/>
      <c r="D162" s="214" t="str">
        <f>IFERROR(VLOOKUP($C162,'PORTIFÓLIO'!C:V,2,0),"")</f>
        <v/>
      </c>
      <c r="E162" s="211" t="str">
        <f>IFERROR(VLOOKUP($C162,'PORTIFÓLIO'!C:V,3,0),"")</f>
        <v/>
      </c>
      <c r="F162" s="211" t="str">
        <f>IFERROR(VLOOKUP($C162,'PORTIFÓLIO'!C:V,4,0),"")</f>
        <v/>
      </c>
      <c r="G162" s="215" t="str">
        <f>IFERROR(VLOOKUP($C162,'PORTIFÓLIO'!C:V,5,0),"")</f>
        <v/>
      </c>
      <c r="H162" s="254" t="str">
        <f t="array" ref="H162">IFERROR(INDEX('PORTIFÓLIO'!$H$4:$H$433,MATCH($C162,'PORTIFÓLIO'!$C$4:$C$433,0)),"")</f>
        <v/>
      </c>
      <c r="I162" s="256"/>
      <c r="J162" s="218">
        <f t="shared" si="18"/>
        <v>0</v>
      </c>
      <c r="K162" s="219" t="str">
        <f t="array" ref="K162">IFERROR(I162*INDEX('PORTIFÓLIO'!$S$4:$S$433,MATCH($C162,'PORTIFÓLIO'!$C$4:$C$433,0)),"")</f>
        <v/>
      </c>
      <c r="L162" s="219" t="str">
        <f t="array" ref="L162">IFERROR(J162*INDEX('PORTIFÓLIO'!$S$4:$S$433,MATCH($C162,'PORTIFÓLIO'!$C$4:$C$433,0)),"")</f>
        <v/>
      </c>
      <c r="M162" s="220"/>
      <c r="N162" s="220"/>
      <c r="O162" s="220"/>
      <c r="P162" s="220"/>
      <c r="Q162" s="220"/>
      <c r="R162" s="220"/>
      <c r="S162" s="220"/>
      <c r="T162" s="220"/>
      <c r="U162" s="220"/>
      <c r="V162" s="220"/>
      <c r="W162" s="220"/>
    </row>
    <row r="163" ht="15.75" customHeight="1" outlineLevel="1">
      <c r="A163" s="211"/>
      <c r="B163" s="212"/>
      <c r="C163" s="213"/>
      <c r="D163" s="214" t="str">
        <f>IFERROR(VLOOKUP($C163,'PORTIFÓLIO'!C:V,2,0),"")</f>
        <v/>
      </c>
      <c r="E163" s="211" t="str">
        <f>IFERROR(VLOOKUP($C163,'PORTIFÓLIO'!C:V,3,0),"")</f>
        <v/>
      </c>
      <c r="F163" s="211" t="str">
        <f>IFERROR(VLOOKUP($C163,'PORTIFÓLIO'!C:V,4,0),"")</f>
        <v/>
      </c>
      <c r="G163" s="215" t="str">
        <f>IFERROR(VLOOKUP($C163,'PORTIFÓLIO'!C:V,5,0),"")</f>
        <v/>
      </c>
      <c r="H163" s="254" t="str">
        <f t="array" ref="H163">IFERROR(INDEX('PORTIFÓLIO'!$H$4:$H$433,MATCH($C163,'PORTIFÓLIO'!$C$4:$C$433,0)),"")</f>
        <v/>
      </c>
      <c r="I163" s="256"/>
      <c r="J163" s="218">
        <f t="shared" si="18"/>
        <v>0</v>
      </c>
      <c r="K163" s="219" t="str">
        <f t="array" ref="K163">IFERROR(I163*INDEX('PORTIFÓLIO'!$S$4:$S$433,MATCH($C163,'PORTIFÓLIO'!$C$4:$C$433,0)),"")</f>
        <v/>
      </c>
      <c r="L163" s="219" t="str">
        <f t="array" ref="L163">IFERROR(J163*INDEX('PORTIFÓLIO'!$S$4:$S$433,MATCH($C163,'PORTIFÓLIO'!$C$4:$C$433,0)),"")</f>
        <v/>
      </c>
      <c r="M163" s="220"/>
      <c r="N163" s="220"/>
      <c r="O163" s="220"/>
      <c r="P163" s="220"/>
      <c r="Q163" s="220"/>
      <c r="R163" s="220"/>
      <c r="S163" s="220"/>
      <c r="T163" s="220"/>
      <c r="U163" s="220"/>
      <c r="V163" s="220"/>
      <c r="W163" s="220"/>
    </row>
    <row r="164" ht="15.75" customHeight="1" outlineLevel="1">
      <c r="A164" s="211"/>
      <c r="B164" s="227"/>
      <c r="C164" s="211"/>
      <c r="D164" s="214" t="str">
        <f>IFERROR(VLOOKUP($C164,'PORTIFÓLIO'!C:V,2,0),"")</f>
        <v/>
      </c>
      <c r="E164" s="211" t="str">
        <f>IFERROR(VLOOKUP($C164,'PORTIFÓLIO'!C:V,3,0),"")</f>
        <v/>
      </c>
      <c r="F164" s="211" t="str">
        <f>IFERROR(VLOOKUP($C164,'PORTIFÓLIO'!C:V,4,0),"")</f>
        <v/>
      </c>
      <c r="G164" s="215" t="str">
        <f>IFERROR(VLOOKUP($C164,'PORTIFÓLIO'!C:V,5,0),"")</f>
        <v/>
      </c>
      <c r="H164" s="254" t="str">
        <f t="array" ref="H164">IFERROR(INDEX('PORTIFÓLIO'!$H$4:$H$433,MATCH($C164,'PORTIFÓLIO'!$C$4:$C$433,0)),"")</f>
        <v/>
      </c>
      <c r="I164" s="256"/>
      <c r="J164" s="218"/>
      <c r="K164" s="219" t="str">
        <f t="array" ref="K164">IFERROR(I164*INDEX('PORTIFÓLIO'!$S$4:$S$433,MATCH($C164,'PORTIFÓLIO'!$C$4:$C$433,0)),"")</f>
        <v/>
      </c>
      <c r="L164" s="219" t="str">
        <f t="array" ref="L164">IFERROR(J164*INDEX('PORTIFÓLIO'!$S$4:$S$433,MATCH($C164,'PORTIFÓLIO'!$C$4:$C$433,0)),"")</f>
        <v/>
      </c>
      <c r="M164" s="220"/>
      <c r="N164" s="220"/>
      <c r="O164" s="220"/>
      <c r="P164" s="220"/>
      <c r="Q164" s="220"/>
      <c r="R164" s="220"/>
      <c r="S164" s="220"/>
      <c r="T164" s="220"/>
      <c r="U164" s="220"/>
      <c r="V164" s="220"/>
      <c r="W164" s="220"/>
    </row>
    <row r="165" ht="15.75" customHeight="1">
      <c r="A165" s="229" t="s">
        <v>1193</v>
      </c>
      <c r="B165" s="230"/>
      <c r="C165" s="231"/>
      <c r="D165" s="232"/>
      <c r="E165" s="231"/>
      <c r="F165" s="231"/>
      <c r="G165" s="233"/>
      <c r="H165" s="233"/>
      <c r="I165" s="258"/>
      <c r="J165" s="236"/>
      <c r="K165" s="237">
        <f t="shared" ref="K165:L165" si="19">SUBTOTAL(9,K166:K179)</f>
        <v>50.69456</v>
      </c>
      <c r="L165" s="237">
        <f t="shared" si="19"/>
        <v>15867.39728</v>
      </c>
      <c r="M165" s="220"/>
      <c r="N165" s="220"/>
      <c r="O165" s="220"/>
      <c r="P165" s="220"/>
      <c r="Q165" s="220"/>
      <c r="R165" s="220"/>
      <c r="S165" s="220"/>
      <c r="T165" s="220"/>
      <c r="U165" s="220"/>
      <c r="V165" s="220"/>
      <c r="W165" s="220"/>
    </row>
    <row r="166" ht="15.75" customHeight="1" outlineLevel="1">
      <c r="A166" s="213"/>
      <c r="B166" s="212" t="s">
        <v>1</v>
      </c>
      <c r="C166" s="213" t="s">
        <v>742</v>
      </c>
      <c r="D166" s="214" t="str">
        <f>IFERROR(VLOOKUP($C166,'PORTIFÓLIO'!C:V,2,0),"")</f>
        <v>DIQUATE</v>
      </c>
      <c r="E166" s="211">
        <f>IFERROR(VLOOKUP($C166,'PORTIFÓLIO'!C:V,3,0),"")</f>
        <v>200</v>
      </c>
      <c r="F166" s="211" t="str">
        <f>IFERROR(VLOOKUP($C166,'PORTIFÓLIO'!C:V,4,0),"")</f>
        <v>L</v>
      </c>
      <c r="G166" s="225" t="str">
        <f>IFERROR(VLOOKUP($C166,'PORTIFÓLIO'!C:V,5,0),"")</f>
        <v>📄 Ver bula</v>
      </c>
      <c r="H166" s="254">
        <f t="array" ref="H166">IFERROR(INDEX('PORTIFÓLIO'!$H$4:$H$433,MATCH($C166,'PORTIFÓLIO'!$C$4:$C$433,0)),"")</f>
        <v>2</v>
      </c>
      <c r="I166" s="255">
        <v>2.0</v>
      </c>
      <c r="J166" s="218">
        <f t="shared" ref="J166:J181" si="20">I166*$B$2</f>
        <v>626</v>
      </c>
      <c r="K166" s="219">
        <f t="array" ref="K166">IFERROR(I166*INDEX('PORTIFÓLIO'!$S$4:$S$433,MATCH($C166,'PORTIFÓLIO'!$C$4:$C$433,0)),"")</f>
        <v>47.48856</v>
      </c>
      <c r="L166" s="219">
        <f t="array" ref="L166">IFERROR(J166*INDEX('PORTIFÓLIO'!$S$4:$S$433,MATCH($C166,'PORTIFÓLIO'!$C$4:$C$433,0)),"")</f>
        <v>14863.91928</v>
      </c>
      <c r="M166" s="220"/>
      <c r="N166" s="220"/>
      <c r="O166" s="220"/>
      <c r="P166" s="220"/>
      <c r="Q166" s="220"/>
      <c r="R166" s="220"/>
      <c r="S166" s="220"/>
      <c r="T166" s="220"/>
      <c r="U166" s="220"/>
      <c r="V166" s="220"/>
      <c r="W166" s="220"/>
    </row>
    <row r="167" ht="15.75" customHeight="1" outlineLevel="1">
      <c r="A167" s="211"/>
      <c r="B167" s="212" t="s">
        <v>6</v>
      </c>
      <c r="C167" s="213" t="s">
        <v>354</v>
      </c>
      <c r="D167" s="214" t="str">
        <f>IFERROR(VLOOKUP($C167,'PORTIFÓLIO'!C:V,2,0),"")</f>
        <v>OLEO MINERAL</v>
      </c>
      <c r="E167" s="211">
        <f>IFERROR(VLOOKUP($C167,'PORTIFÓLIO'!C:V,3,0),"")</f>
        <v>761</v>
      </c>
      <c r="F167" s="211" t="str">
        <f>IFERROR(VLOOKUP($C167,'PORTIFÓLIO'!C:V,4,0),"")</f>
        <v>L</v>
      </c>
      <c r="G167" s="225" t="str">
        <f>IFERROR(VLOOKUP($C167,'PORTIFÓLIO'!C:V,5,0),"")</f>
        <v>📄 Ver bula</v>
      </c>
      <c r="H167" s="254">
        <f t="array" ref="H167">IFERROR(INDEX('PORTIFÓLIO'!$H$4:$H$433,MATCH($C167,'PORTIFÓLIO'!$C$4:$C$433,0)),"")</f>
        <v>0.2</v>
      </c>
      <c r="I167" s="255">
        <v>0.2</v>
      </c>
      <c r="J167" s="218">
        <f t="shared" si="20"/>
        <v>62.6</v>
      </c>
      <c r="K167" s="219">
        <f t="array" ref="K167">IFERROR(I167*INDEX('PORTIFÓLIO'!$S$4:$S$433,MATCH($C167,'PORTIFÓLIO'!$C$4:$C$433,0)),"")</f>
        <v>3.206</v>
      </c>
      <c r="L167" s="219">
        <f t="array" ref="L167">IFERROR(J167*INDEX('PORTIFÓLIO'!$S$4:$S$433,MATCH($C167,'PORTIFÓLIO'!$C$4:$C$433,0)),"")</f>
        <v>1003.478</v>
      </c>
      <c r="M167" s="220"/>
      <c r="N167" s="220"/>
      <c r="O167" s="220"/>
      <c r="P167" s="220"/>
      <c r="Q167" s="220"/>
      <c r="R167" s="220"/>
      <c r="S167" s="220"/>
      <c r="T167" s="220"/>
      <c r="U167" s="220"/>
      <c r="V167" s="220"/>
      <c r="W167" s="220"/>
    </row>
    <row r="168" ht="15.75" customHeight="1" outlineLevel="1">
      <c r="A168" s="211"/>
      <c r="B168" s="212"/>
      <c r="C168" s="213"/>
      <c r="D168" s="214" t="str">
        <f>IFERROR(VLOOKUP($C168,'PORTIFÓLIO'!C:V,2,0),"")</f>
        <v/>
      </c>
      <c r="E168" s="211" t="str">
        <f>IFERROR(VLOOKUP($C168,'PORTIFÓLIO'!C:V,3,0),"")</f>
        <v/>
      </c>
      <c r="F168" s="211" t="str">
        <f>IFERROR(VLOOKUP($C168,'PORTIFÓLIO'!C:V,4,0),"")</f>
        <v/>
      </c>
      <c r="G168" s="215" t="str">
        <f>IFERROR(VLOOKUP($C168,'PORTIFÓLIO'!C:V,5,0),"")</f>
        <v/>
      </c>
      <c r="H168" s="254" t="str">
        <f t="array" ref="H168">IFERROR(INDEX('PORTIFÓLIO'!$H$4:$H$433,MATCH($C168,'PORTIFÓLIO'!$C$4:$C$433,0)),"")</f>
        <v/>
      </c>
      <c r="I168" s="256"/>
      <c r="J168" s="218">
        <f t="shared" si="20"/>
        <v>0</v>
      </c>
      <c r="K168" s="219" t="str">
        <f t="array" ref="K168">IFERROR(I168*INDEX('PORTIFÓLIO'!$S$4:$S$433,MATCH($C168,'PORTIFÓLIO'!$C$4:$C$433,0)),"")</f>
        <v/>
      </c>
      <c r="L168" s="219" t="str">
        <f t="array" ref="L168">IFERROR(J168*INDEX('PORTIFÓLIO'!$S$4:$S$433,MATCH($C168,'PORTIFÓLIO'!$C$4:$C$433,0)),"")</f>
        <v/>
      </c>
      <c r="M168" s="220"/>
      <c r="N168" s="220"/>
      <c r="O168" s="220"/>
      <c r="P168" s="220"/>
      <c r="Q168" s="220"/>
      <c r="R168" s="220"/>
      <c r="S168" s="220"/>
      <c r="T168" s="220"/>
      <c r="U168" s="220"/>
      <c r="V168" s="220"/>
      <c r="W168" s="220"/>
    </row>
    <row r="169" ht="15.75" customHeight="1" outlineLevel="1">
      <c r="A169" s="211"/>
      <c r="B169" s="212"/>
      <c r="C169" s="213"/>
      <c r="D169" s="214" t="str">
        <f>IFERROR(VLOOKUP($C169,'PORTIFÓLIO'!C:V,2,0),"")</f>
        <v/>
      </c>
      <c r="E169" s="211" t="str">
        <f>IFERROR(VLOOKUP($C169,'PORTIFÓLIO'!C:V,3,0),"")</f>
        <v/>
      </c>
      <c r="F169" s="211" t="str">
        <f>IFERROR(VLOOKUP($C169,'PORTIFÓLIO'!C:V,4,0),"")</f>
        <v/>
      </c>
      <c r="G169" s="215" t="str">
        <f>IFERROR(VLOOKUP($C169,'PORTIFÓLIO'!C:V,5,0),"")</f>
        <v/>
      </c>
      <c r="H169" s="254" t="str">
        <f t="array" ref="H169">IFERROR(INDEX('PORTIFÓLIO'!$H$4:$H$433,MATCH($C169,'PORTIFÓLIO'!$C$4:$C$433,0)),"")</f>
        <v/>
      </c>
      <c r="I169" s="256"/>
      <c r="J169" s="218">
        <f t="shared" si="20"/>
        <v>0</v>
      </c>
      <c r="K169" s="219" t="str">
        <f t="array" ref="K169">IFERROR(I169*INDEX('PORTIFÓLIO'!$S$4:$S$433,MATCH($C169,'PORTIFÓLIO'!$C$4:$C$433,0)),"")</f>
        <v/>
      </c>
      <c r="L169" s="219" t="str">
        <f t="array" ref="L169">IFERROR(J169*INDEX('PORTIFÓLIO'!$S$4:$S$433,MATCH($C169,'PORTIFÓLIO'!$C$4:$C$433,0)),"")</f>
        <v/>
      </c>
      <c r="M169" s="220"/>
      <c r="N169" s="220"/>
      <c r="O169" s="220"/>
      <c r="P169" s="220"/>
      <c r="Q169" s="220"/>
      <c r="R169" s="220"/>
      <c r="S169" s="220"/>
      <c r="T169" s="220"/>
      <c r="U169" s="220"/>
      <c r="V169" s="220"/>
      <c r="W169" s="220"/>
    </row>
    <row r="170" ht="15.75" customHeight="1" outlineLevel="1">
      <c r="A170" s="211"/>
      <c r="B170" s="212"/>
      <c r="C170" s="213"/>
      <c r="D170" s="214" t="str">
        <f>IFERROR(VLOOKUP($C170,'PORTIFÓLIO'!C:V,2,0),"")</f>
        <v/>
      </c>
      <c r="E170" s="211" t="str">
        <f>IFERROR(VLOOKUP($C170,'PORTIFÓLIO'!C:V,3,0),"")</f>
        <v/>
      </c>
      <c r="F170" s="211" t="str">
        <f>IFERROR(VLOOKUP($C170,'PORTIFÓLIO'!C:V,4,0),"")</f>
        <v/>
      </c>
      <c r="G170" s="215" t="str">
        <f>IFERROR(VLOOKUP($C170,'PORTIFÓLIO'!C:V,5,0),"")</f>
        <v/>
      </c>
      <c r="H170" s="254" t="str">
        <f t="array" ref="H170">IFERROR(INDEX('PORTIFÓLIO'!$H$4:$H$433,MATCH($C170,'PORTIFÓLIO'!$C$4:$C$433,0)),"")</f>
        <v/>
      </c>
      <c r="I170" s="256"/>
      <c r="J170" s="218">
        <f t="shared" si="20"/>
        <v>0</v>
      </c>
      <c r="K170" s="219" t="str">
        <f t="array" ref="K170">IFERROR(I170*INDEX('PORTIFÓLIO'!$S$4:$S$433,MATCH($C170,'PORTIFÓLIO'!$C$4:$C$433,0)),"")</f>
        <v/>
      </c>
      <c r="L170" s="219" t="str">
        <f t="array" ref="L170">IFERROR(J170*INDEX('PORTIFÓLIO'!$S$4:$S$433,MATCH($C170,'PORTIFÓLIO'!$C$4:$C$433,0)),"")</f>
        <v/>
      </c>
      <c r="M170" s="220"/>
      <c r="N170" s="220"/>
      <c r="O170" s="220"/>
      <c r="P170" s="220"/>
      <c r="Q170" s="220"/>
      <c r="R170" s="220"/>
      <c r="S170" s="220"/>
      <c r="T170" s="220"/>
      <c r="U170" s="220"/>
      <c r="V170" s="220"/>
      <c r="W170" s="220"/>
    </row>
    <row r="171" ht="15.75" customHeight="1" outlineLevel="1">
      <c r="A171" s="211"/>
      <c r="B171" s="212"/>
      <c r="C171" s="213"/>
      <c r="D171" s="214" t="str">
        <f>IFERROR(VLOOKUP($C171,'PORTIFÓLIO'!C:V,2,0),"")</f>
        <v/>
      </c>
      <c r="E171" s="211" t="str">
        <f>IFERROR(VLOOKUP($C171,'PORTIFÓLIO'!C:V,3,0),"")</f>
        <v/>
      </c>
      <c r="F171" s="211" t="str">
        <f>IFERROR(VLOOKUP($C171,'PORTIFÓLIO'!C:V,4,0),"")</f>
        <v/>
      </c>
      <c r="G171" s="215" t="str">
        <f>IFERROR(VLOOKUP($C171,'PORTIFÓLIO'!C:V,5,0),"")</f>
        <v/>
      </c>
      <c r="H171" s="254" t="str">
        <f t="array" ref="H171">IFERROR(INDEX('PORTIFÓLIO'!$H$4:$H$433,MATCH($C171,'PORTIFÓLIO'!$C$4:$C$433,0)),"")</f>
        <v/>
      </c>
      <c r="I171" s="256"/>
      <c r="J171" s="218">
        <f t="shared" si="20"/>
        <v>0</v>
      </c>
      <c r="K171" s="219" t="str">
        <f t="array" ref="K171">IFERROR(I171*INDEX('PORTIFÓLIO'!$S$4:$S$433,MATCH($C171,'PORTIFÓLIO'!$C$4:$C$433,0)),"")</f>
        <v/>
      </c>
      <c r="L171" s="219" t="str">
        <f t="array" ref="L171">IFERROR(J171*INDEX('PORTIFÓLIO'!$S$4:$S$433,MATCH($C171,'PORTIFÓLIO'!$C$4:$C$433,0)),"")</f>
        <v/>
      </c>
      <c r="M171" s="220"/>
      <c r="N171" s="220"/>
      <c r="O171" s="220"/>
      <c r="P171" s="220"/>
      <c r="Q171" s="220"/>
      <c r="R171" s="220"/>
      <c r="S171" s="220"/>
      <c r="T171" s="220"/>
      <c r="U171" s="220"/>
      <c r="V171" s="220"/>
      <c r="W171" s="220"/>
    </row>
    <row r="172" ht="15.75" customHeight="1" outlineLevel="1">
      <c r="A172" s="211"/>
      <c r="B172" s="212"/>
      <c r="C172" s="213"/>
      <c r="D172" s="214" t="str">
        <f>IFERROR(VLOOKUP($C172,'PORTIFÓLIO'!C:V,2,0),"")</f>
        <v/>
      </c>
      <c r="E172" s="211" t="str">
        <f>IFERROR(VLOOKUP($C172,'PORTIFÓLIO'!C:V,3,0),"")</f>
        <v/>
      </c>
      <c r="F172" s="211" t="str">
        <f>IFERROR(VLOOKUP($C172,'PORTIFÓLIO'!C:V,4,0),"")</f>
        <v/>
      </c>
      <c r="G172" s="215" t="str">
        <f>IFERROR(VLOOKUP($C172,'PORTIFÓLIO'!C:V,5,0),"")</f>
        <v/>
      </c>
      <c r="H172" s="254" t="str">
        <f t="array" ref="H172">IFERROR(INDEX('PORTIFÓLIO'!$H$4:$H$433,MATCH($C172,'PORTIFÓLIO'!$C$4:$C$433,0)),"")</f>
        <v/>
      </c>
      <c r="I172" s="256"/>
      <c r="J172" s="218">
        <f t="shared" si="20"/>
        <v>0</v>
      </c>
      <c r="K172" s="219" t="str">
        <f t="array" ref="K172">IFERROR(I172*INDEX('PORTIFÓLIO'!$S$4:$S$433,MATCH($C172,'PORTIFÓLIO'!$C$4:$C$433,0)),"")</f>
        <v/>
      </c>
      <c r="L172" s="219" t="str">
        <f t="array" ref="L172">IFERROR(J172*INDEX('PORTIFÓLIO'!$S$4:$S$433,MATCH($C172,'PORTIFÓLIO'!$C$4:$C$433,0)),"")</f>
        <v/>
      </c>
      <c r="M172" s="220"/>
      <c r="N172" s="220"/>
      <c r="O172" s="220"/>
      <c r="P172" s="220"/>
      <c r="Q172" s="220"/>
      <c r="R172" s="220"/>
      <c r="S172" s="220"/>
      <c r="T172" s="220"/>
      <c r="U172" s="220"/>
      <c r="V172" s="220"/>
      <c r="W172" s="220"/>
    </row>
    <row r="173" ht="15.75" customHeight="1" outlineLevel="1">
      <c r="A173" s="211"/>
      <c r="B173" s="212"/>
      <c r="C173" s="213"/>
      <c r="D173" s="214" t="str">
        <f>IFERROR(VLOOKUP($C173,'PORTIFÓLIO'!C:V,2,0),"")</f>
        <v/>
      </c>
      <c r="E173" s="211" t="str">
        <f>IFERROR(VLOOKUP($C173,'PORTIFÓLIO'!C:V,3,0),"")</f>
        <v/>
      </c>
      <c r="F173" s="211" t="str">
        <f>IFERROR(VLOOKUP($C173,'PORTIFÓLIO'!C:V,4,0),"")</f>
        <v/>
      </c>
      <c r="G173" s="215" t="str">
        <f>IFERROR(VLOOKUP($C173,'PORTIFÓLIO'!C:V,5,0),"")</f>
        <v/>
      </c>
      <c r="H173" s="254" t="str">
        <f t="array" ref="H173">IFERROR(INDEX('PORTIFÓLIO'!$H$4:$H$433,MATCH($C173,'PORTIFÓLIO'!$C$4:$C$433,0)),"")</f>
        <v/>
      </c>
      <c r="I173" s="256"/>
      <c r="J173" s="218">
        <f t="shared" si="20"/>
        <v>0</v>
      </c>
      <c r="K173" s="219" t="str">
        <f t="array" ref="K173">IFERROR(I173*INDEX('PORTIFÓLIO'!$S$4:$S$433,MATCH($C173,'PORTIFÓLIO'!$C$4:$C$433,0)),"")</f>
        <v/>
      </c>
      <c r="L173" s="219" t="str">
        <f t="array" ref="L173">IFERROR(J173*INDEX('PORTIFÓLIO'!$S$4:$S$433,MATCH($C173,'PORTIFÓLIO'!$C$4:$C$433,0)),"")</f>
        <v/>
      </c>
      <c r="M173" s="220"/>
      <c r="N173" s="220"/>
      <c r="O173" s="220"/>
      <c r="P173" s="220"/>
      <c r="Q173" s="220"/>
      <c r="R173" s="220"/>
      <c r="S173" s="220"/>
      <c r="T173" s="220"/>
      <c r="U173" s="220"/>
      <c r="V173" s="220"/>
      <c r="W173" s="220"/>
    </row>
    <row r="174" ht="15.75" customHeight="1" outlineLevel="1">
      <c r="A174" s="211"/>
      <c r="B174" s="212"/>
      <c r="C174" s="213"/>
      <c r="D174" s="214" t="str">
        <f>IFERROR(VLOOKUP($C174,'PORTIFÓLIO'!C:V,2,0),"")</f>
        <v/>
      </c>
      <c r="E174" s="211" t="str">
        <f>IFERROR(VLOOKUP($C174,'PORTIFÓLIO'!C:V,3,0),"")</f>
        <v/>
      </c>
      <c r="F174" s="211" t="str">
        <f>IFERROR(VLOOKUP($C174,'PORTIFÓLIO'!C:V,4,0),"")</f>
        <v/>
      </c>
      <c r="G174" s="215" t="str">
        <f>IFERROR(VLOOKUP($C174,'PORTIFÓLIO'!C:V,5,0),"")</f>
        <v/>
      </c>
      <c r="H174" s="254" t="str">
        <f t="array" ref="H174">IFERROR(INDEX('PORTIFÓLIO'!$H$4:$H$433,MATCH($C174,'PORTIFÓLIO'!$C$4:$C$433,0)),"")</f>
        <v/>
      </c>
      <c r="I174" s="255"/>
      <c r="J174" s="218">
        <f t="shared" si="20"/>
        <v>0</v>
      </c>
      <c r="K174" s="219" t="str">
        <f t="array" ref="K174">IFERROR(I174*INDEX('PORTIFÓLIO'!$S$4:$S$433,MATCH($C174,'PORTIFÓLIO'!$C$4:$C$433,0)),"")</f>
        <v/>
      </c>
      <c r="L174" s="219" t="str">
        <f t="array" ref="L174">IFERROR(J174*INDEX('PORTIFÓLIO'!$S$4:$S$433,MATCH($C174,'PORTIFÓLIO'!$C$4:$C$433,0)),"")</f>
        <v/>
      </c>
      <c r="M174" s="220"/>
      <c r="N174" s="220"/>
      <c r="O174" s="220"/>
      <c r="P174" s="220"/>
      <c r="Q174" s="220"/>
      <c r="R174" s="220"/>
      <c r="S174" s="220"/>
      <c r="T174" s="220"/>
      <c r="U174" s="220"/>
      <c r="V174" s="220"/>
      <c r="W174" s="220"/>
    </row>
    <row r="175" ht="15.75" customHeight="1" outlineLevel="1">
      <c r="A175" s="211"/>
      <c r="B175" s="212"/>
      <c r="C175" s="213"/>
      <c r="D175" s="214" t="str">
        <f>IFERROR(VLOOKUP($C175,'PORTIFÓLIO'!C:V,2,0),"")</f>
        <v/>
      </c>
      <c r="E175" s="211" t="str">
        <f>IFERROR(VLOOKUP($C175,'PORTIFÓLIO'!C:V,3,0),"")</f>
        <v/>
      </c>
      <c r="F175" s="211" t="str">
        <f>IFERROR(VLOOKUP($C175,'PORTIFÓLIO'!C:V,4,0),"")</f>
        <v/>
      </c>
      <c r="G175" s="215" t="str">
        <f>IFERROR(VLOOKUP($C175,'PORTIFÓLIO'!C:V,5,0),"")</f>
        <v/>
      </c>
      <c r="H175" s="254" t="str">
        <f t="array" ref="H175">IFERROR(INDEX('PORTIFÓLIO'!$H$4:$H$433,MATCH($C175,'PORTIFÓLIO'!$C$4:$C$433,0)),"")</f>
        <v/>
      </c>
      <c r="I175" s="256"/>
      <c r="J175" s="218">
        <f t="shared" si="20"/>
        <v>0</v>
      </c>
      <c r="K175" s="219" t="str">
        <f t="array" ref="K175">IFERROR(I175*INDEX('PORTIFÓLIO'!$S$4:$S$433,MATCH($C175,'PORTIFÓLIO'!$C$4:$C$433,0)),"")</f>
        <v/>
      </c>
      <c r="L175" s="219" t="str">
        <f t="array" ref="L175">IFERROR(J175*INDEX('PORTIFÓLIO'!$S$4:$S$433,MATCH($C175,'PORTIFÓLIO'!$C$4:$C$433,0)),"")</f>
        <v/>
      </c>
      <c r="M175" s="220"/>
      <c r="N175" s="220"/>
      <c r="O175" s="220"/>
      <c r="P175" s="220"/>
      <c r="Q175" s="220"/>
      <c r="R175" s="220"/>
      <c r="S175" s="220"/>
      <c r="T175" s="220"/>
      <c r="U175" s="220"/>
      <c r="V175" s="220"/>
      <c r="W175" s="220"/>
    </row>
    <row r="176" ht="15.75" customHeight="1" outlineLevel="1">
      <c r="A176" s="211"/>
      <c r="B176" s="212"/>
      <c r="C176" s="213"/>
      <c r="D176" s="214" t="str">
        <f>IFERROR(VLOOKUP($C176,'PORTIFÓLIO'!C:V,2,0),"")</f>
        <v/>
      </c>
      <c r="E176" s="211" t="str">
        <f>IFERROR(VLOOKUP($C176,'PORTIFÓLIO'!C:V,3,0),"")</f>
        <v/>
      </c>
      <c r="F176" s="211" t="str">
        <f>IFERROR(VLOOKUP($C176,'PORTIFÓLIO'!C:V,4,0),"")</f>
        <v/>
      </c>
      <c r="G176" s="215" t="str">
        <f>IFERROR(VLOOKUP($C176,'PORTIFÓLIO'!C:V,5,0),"")</f>
        <v/>
      </c>
      <c r="H176" s="254" t="str">
        <f t="array" ref="H176">IFERROR(INDEX('PORTIFÓLIO'!$H$4:$H$433,MATCH($C176,'PORTIFÓLIO'!$C$4:$C$433,0)),"")</f>
        <v/>
      </c>
      <c r="I176" s="256"/>
      <c r="J176" s="218">
        <f t="shared" si="20"/>
        <v>0</v>
      </c>
      <c r="K176" s="219" t="str">
        <f t="array" ref="K176">IFERROR(I176*INDEX('PORTIFÓLIO'!$S$4:$S$433,MATCH($C176,'PORTIFÓLIO'!$C$4:$C$433,0)),"")</f>
        <v/>
      </c>
      <c r="L176" s="219" t="str">
        <f t="array" ref="L176">IFERROR(J176*INDEX('PORTIFÓLIO'!$S$4:$S$433,MATCH($C176,'PORTIFÓLIO'!$C$4:$C$433,0)),"")</f>
        <v/>
      </c>
      <c r="M176" s="220"/>
      <c r="N176" s="220"/>
      <c r="O176" s="220"/>
      <c r="P176" s="220"/>
      <c r="Q176" s="220"/>
      <c r="R176" s="220"/>
      <c r="S176" s="220"/>
      <c r="T176" s="220"/>
      <c r="U176" s="220"/>
      <c r="V176" s="220"/>
      <c r="W176" s="220"/>
    </row>
    <row r="177" ht="15.75" customHeight="1" outlineLevel="1">
      <c r="A177" s="211"/>
      <c r="B177" s="212"/>
      <c r="C177" s="213"/>
      <c r="D177" s="214" t="str">
        <f>IFERROR(VLOOKUP($C177,'PORTIFÓLIO'!C:V,2,0),"")</f>
        <v/>
      </c>
      <c r="E177" s="211" t="str">
        <f>IFERROR(VLOOKUP($C177,'PORTIFÓLIO'!C:V,3,0),"")</f>
        <v/>
      </c>
      <c r="F177" s="211" t="str">
        <f>IFERROR(VLOOKUP($C177,'PORTIFÓLIO'!C:V,4,0),"")</f>
        <v/>
      </c>
      <c r="G177" s="215" t="str">
        <f>IFERROR(VLOOKUP($C177,'PORTIFÓLIO'!C:V,5,0),"")</f>
        <v/>
      </c>
      <c r="H177" s="254" t="str">
        <f t="array" ref="H177">IFERROR(INDEX('PORTIFÓLIO'!$H$4:$H$433,MATCH($C177,'PORTIFÓLIO'!$C$4:$C$433,0)),"")</f>
        <v/>
      </c>
      <c r="I177" s="256"/>
      <c r="J177" s="218">
        <f t="shared" si="20"/>
        <v>0</v>
      </c>
      <c r="K177" s="219" t="str">
        <f t="array" ref="K177">IFERROR(I177*INDEX('PORTIFÓLIO'!$S$4:$S$433,MATCH($C177,'PORTIFÓLIO'!$C$4:$C$433,0)),"")</f>
        <v/>
      </c>
      <c r="L177" s="219" t="str">
        <f t="array" ref="L177">IFERROR(J177*INDEX('PORTIFÓLIO'!$S$4:$S$433,MATCH($C177,'PORTIFÓLIO'!$C$4:$C$433,0)),"")</f>
        <v/>
      </c>
      <c r="M177" s="220"/>
      <c r="N177" s="220"/>
      <c r="O177" s="220"/>
      <c r="P177" s="220"/>
      <c r="Q177" s="220"/>
      <c r="R177" s="220"/>
      <c r="S177" s="220"/>
      <c r="T177" s="220"/>
      <c r="U177" s="220"/>
      <c r="V177" s="220"/>
      <c r="W177" s="220"/>
    </row>
    <row r="178" ht="15.75" customHeight="1" outlineLevel="1">
      <c r="A178" s="211"/>
      <c r="B178" s="212"/>
      <c r="C178" s="213"/>
      <c r="D178" s="214" t="str">
        <f>IFERROR(VLOOKUP($C178,'PORTIFÓLIO'!C:V,2,0),"")</f>
        <v/>
      </c>
      <c r="E178" s="211" t="str">
        <f>IFERROR(VLOOKUP($C178,'PORTIFÓLIO'!C:V,3,0),"")</f>
        <v/>
      </c>
      <c r="F178" s="211" t="str">
        <f>IFERROR(VLOOKUP($C178,'PORTIFÓLIO'!C:V,4,0),"")</f>
        <v/>
      </c>
      <c r="G178" s="215" t="str">
        <f>IFERROR(VLOOKUP($C178,'PORTIFÓLIO'!C:V,5,0),"")</f>
        <v/>
      </c>
      <c r="H178" s="254" t="str">
        <f t="array" ref="H178">IFERROR(INDEX('PORTIFÓLIO'!$H$4:$H$433,MATCH($C178,'PORTIFÓLIO'!$C$4:$C$433,0)),"")</f>
        <v/>
      </c>
      <c r="I178" s="256"/>
      <c r="J178" s="218">
        <f t="shared" si="20"/>
        <v>0</v>
      </c>
      <c r="K178" s="219" t="str">
        <f t="array" ref="K178">IFERROR(I178*INDEX('PORTIFÓLIO'!$S$4:$S$433,MATCH($C178,'PORTIFÓLIO'!$C$4:$C$433,0)),"")</f>
        <v/>
      </c>
      <c r="L178" s="219" t="str">
        <f t="array" ref="L178">IFERROR(J178*INDEX('PORTIFÓLIO'!$S$4:$S$433,MATCH($C178,'PORTIFÓLIO'!$C$4:$C$433,0)),"")</f>
        <v/>
      </c>
      <c r="M178" s="220"/>
      <c r="N178" s="220"/>
      <c r="O178" s="220"/>
      <c r="P178" s="220"/>
      <c r="Q178" s="220"/>
      <c r="R178" s="220"/>
      <c r="S178" s="220"/>
      <c r="T178" s="220"/>
      <c r="U178" s="220"/>
      <c r="V178" s="220"/>
      <c r="W178" s="220"/>
    </row>
    <row r="179" ht="15.75" customHeight="1" outlineLevel="1">
      <c r="A179" s="211"/>
      <c r="B179" s="212"/>
      <c r="C179" s="213"/>
      <c r="D179" s="214" t="str">
        <f>IFERROR(VLOOKUP($C179,'PORTIFÓLIO'!C:V,2,0),"")</f>
        <v/>
      </c>
      <c r="E179" s="211" t="str">
        <f>IFERROR(VLOOKUP($C179,'PORTIFÓLIO'!C:V,3,0),"")</f>
        <v/>
      </c>
      <c r="F179" s="211" t="str">
        <f>IFERROR(VLOOKUP($C179,'PORTIFÓLIO'!C:V,4,0),"")</f>
        <v/>
      </c>
      <c r="G179" s="215" t="str">
        <f>IFERROR(VLOOKUP($C179,'PORTIFÓLIO'!C:V,5,0),"")</f>
        <v/>
      </c>
      <c r="H179" s="254" t="str">
        <f t="array" ref="H179">IFERROR(INDEX('PORTIFÓLIO'!$H$4:$H$433,MATCH($C179,'PORTIFÓLIO'!$C$4:$C$433,0)),"")</f>
        <v/>
      </c>
      <c r="I179" s="256"/>
      <c r="J179" s="218">
        <f t="shared" si="20"/>
        <v>0</v>
      </c>
      <c r="K179" s="219" t="str">
        <f t="array" ref="K179">IFERROR(I179*INDEX('PORTIFÓLIO'!$S$4:$S$433,MATCH($C179,'PORTIFÓLIO'!$C$4:$C$433,0)),"")</f>
        <v/>
      </c>
      <c r="L179" s="219" t="str">
        <f t="array" ref="L179">IFERROR(J179*INDEX('PORTIFÓLIO'!$S$4:$S$433,MATCH($C179,'PORTIFÓLIO'!$C$4:$C$433,0)),"")</f>
        <v/>
      </c>
      <c r="M179" s="220"/>
      <c r="N179" s="220"/>
      <c r="O179" s="220"/>
      <c r="P179" s="220"/>
      <c r="Q179" s="220"/>
      <c r="R179" s="220"/>
      <c r="S179" s="220"/>
      <c r="T179" s="220"/>
      <c r="U179" s="220"/>
      <c r="V179" s="220"/>
      <c r="W179" s="220"/>
    </row>
    <row r="180" ht="15.75" customHeight="1" outlineLevel="1">
      <c r="A180" s="211"/>
      <c r="B180" s="212"/>
      <c r="C180" s="213"/>
      <c r="D180" s="214" t="str">
        <f>IFERROR(VLOOKUP($C180,'PORTIFÓLIO'!C:V,2,0),"")</f>
        <v/>
      </c>
      <c r="E180" s="211" t="str">
        <f>IFERROR(VLOOKUP($C180,'PORTIFÓLIO'!C:V,3,0),"")</f>
        <v/>
      </c>
      <c r="F180" s="211" t="str">
        <f>IFERROR(VLOOKUP($C180,'PORTIFÓLIO'!C:V,4,0),"")</f>
        <v/>
      </c>
      <c r="G180" s="215" t="str">
        <f>IFERROR(VLOOKUP($C180,'PORTIFÓLIO'!C:V,5,0),"")</f>
        <v/>
      </c>
      <c r="H180" s="254" t="str">
        <f t="array" ref="H180">IFERROR(INDEX('PORTIFÓLIO'!$H$4:$H$433,MATCH($C180,'PORTIFÓLIO'!$C$4:$C$433,0)),"")</f>
        <v/>
      </c>
      <c r="I180" s="256"/>
      <c r="J180" s="218">
        <f t="shared" si="20"/>
        <v>0</v>
      </c>
      <c r="K180" s="219" t="str">
        <f t="array" ref="K180">IFERROR(I180*INDEX('PORTIFÓLIO'!$S$4:$S$433,MATCH($C180,'PORTIFÓLIO'!$C$4:$C$433,0)),"")</f>
        <v/>
      </c>
      <c r="L180" s="219" t="str">
        <f t="array" ref="L180">IFERROR(J180*INDEX('PORTIFÓLIO'!$S$4:$S$433,MATCH($C180,'PORTIFÓLIO'!$C$4:$C$433,0)),"")</f>
        <v/>
      </c>
      <c r="M180" s="220"/>
      <c r="N180" s="220"/>
      <c r="O180" s="220"/>
      <c r="P180" s="220"/>
      <c r="Q180" s="220"/>
      <c r="R180" s="220"/>
      <c r="S180" s="220"/>
      <c r="T180" s="220"/>
      <c r="U180" s="220"/>
      <c r="V180" s="220"/>
      <c r="W180" s="220"/>
    </row>
    <row r="181" ht="15.75" customHeight="1" outlineLevel="1">
      <c r="A181" s="211"/>
      <c r="B181" s="227"/>
      <c r="C181" s="211"/>
      <c r="D181" s="214" t="str">
        <f>IFERROR(VLOOKUP($C181,'PORTIFÓLIO'!C:V,2,0),"")</f>
        <v/>
      </c>
      <c r="E181" s="211" t="str">
        <f>IFERROR(VLOOKUP($C181,'PORTIFÓLIO'!C:V,3,0),"")</f>
        <v/>
      </c>
      <c r="F181" s="211" t="str">
        <f>IFERROR(VLOOKUP($C181,'PORTIFÓLIO'!C:V,4,0),"")</f>
        <v/>
      </c>
      <c r="G181" s="215" t="str">
        <f>IFERROR(VLOOKUP($C181,'PORTIFÓLIO'!C:V,5,0),"")</f>
        <v/>
      </c>
      <c r="H181" s="254" t="str">
        <f t="array" ref="H181">IFERROR(INDEX('PORTIFÓLIO'!$H$4:$H$433,MATCH($C181,'PORTIFÓLIO'!$C$4:$C$433,0)),"")</f>
        <v/>
      </c>
      <c r="I181" s="256"/>
      <c r="J181" s="218">
        <f t="shared" si="20"/>
        <v>0</v>
      </c>
      <c r="K181" s="219" t="str">
        <f t="array" ref="K181">IFERROR(I181*INDEX('PORTIFÓLIO'!$S$4:$S$433,MATCH($C181,'PORTIFÓLIO'!$C$4:$C$433,0)),"")</f>
        <v/>
      </c>
      <c r="L181" s="219" t="str">
        <f t="array" ref="L181">IFERROR(J181*INDEX('PORTIFÓLIO'!$S$4:$S$433,MATCH($C181,'PORTIFÓLIO'!$C$4:$C$433,0)),"")</f>
        <v/>
      </c>
      <c r="M181" s="220"/>
      <c r="N181" s="220"/>
      <c r="O181" s="220"/>
      <c r="P181" s="220"/>
      <c r="Q181" s="220"/>
      <c r="R181" s="220"/>
      <c r="S181" s="220"/>
      <c r="T181" s="220"/>
      <c r="U181" s="220"/>
      <c r="V181" s="220"/>
      <c r="W181" s="220"/>
    </row>
    <row r="182" ht="15.75" customHeight="1">
      <c r="A182" s="229" t="s">
        <v>1194</v>
      </c>
      <c r="B182" s="230"/>
      <c r="C182" s="231"/>
      <c r="D182" s="232"/>
      <c r="E182" s="231"/>
      <c r="F182" s="231"/>
      <c r="G182" s="233"/>
      <c r="H182" s="233"/>
      <c r="I182" s="258"/>
      <c r="J182" s="236"/>
      <c r="K182" s="237">
        <f t="shared" ref="K182:L182" si="21">SUBTOTAL(9,K183:K196)</f>
        <v>339.9254902</v>
      </c>
      <c r="L182" s="237">
        <f t="shared" si="21"/>
        <v>106396.6784</v>
      </c>
      <c r="M182" s="220"/>
      <c r="N182" s="220"/>
      <c r="O182" s="220"/>
      <c r="P182" s="220"/>
      <c r="Q182" s="220"/>
      <c r="R182" s="220"/>
      <c r="S182" s="220"/>
      <c r="T182" s="220"/>
      <c r="U182" s="220"/>
      <c r="V182" s="220"/>
      <c r="W182" s="220"/>
    </row>
    <row r="183" ht="15.75" customHeight="1" outlineLevel="1">
      <c r="A183" s="213"/>
      <c r="B183" s="212" t="s">
        <v>10</v>
      </c>
      <c r="C183" s="213" t="s">
        <v>1195</v>
      </c>
      <c r="D183" s="214" t="str">
        <f>IFERROR(VLOOKUP($C183,'PORTIFÓLIO'!C:V,2,0),"")</f>
        <v/>
      </c>
      <c r="E183" s="211" t="str">
        <f>IFERROR(VLOOKUP($C183,'PORTIFÓLIO'!C:V,3,0),"")</f>
        <v/>
      </c>
      <c r="F183" s="211" t="str">
        <f>IFERROR(VLOOKUP($C183,'PORTIFÓLIO'!C:V,4,0),"")</f>
        <v>R$/Ha</v>
      </c>
      <c r="G183" s="215">
        <f t="array" ref="G183">IFERROR(INDEX('PORTIFÓLIO'!$H$4:$H$433,MATCH($C183,'PORTIFÓLIO'!$C$4:$C$433,0)),"")</f>
        <v>0.3267973856</v>
      </c>
      <c r="H183" s="254">
        <f t="array" ref="H183">IFERROR(INDEX('PORTIFÓLIO'!$H$4:$H$433,MATCH($C183,'PORTIFÓLIO'!$C$4:$C$433,0)),"")</f>
        <v>0.3267973856</v>
      </c>
      <c r="I183" s="255">
        <v>0.32</v>
      </c>
      <c r="J183" s="218">
        <f t="shared" ref="J183:J199" si="22">I183*$B$2</f>
        <v>100.16</v>
      </c>
      <c r="K183" s="219">
        <f t="array" ref="K183">IFERROR(I183*INDEX('PORTIFÓLIO'!$S$4:$S$433,MATCH($C183,'PORTIFÓLIO'!$C$4:$C$433,0)),"")</f>
        <v>36</v>
      </c>
      <c r="L183" s="219">
        <f t="array" ref="L183">IFERROR(J183*INDEX('PORTIFÓLIO'!$S$4:$S$433,MATCH($C183,'PORTIFÓLIO'!$C$4:$C$433,0)),"")</f>
        <v>11268</v>
      </c>
      <c r="M183" s="220"/>
      <c r="N183" s="220"/>
      <c r="O183" s="220"/>
      <c r="P183" s="220"/>
      <c r="Q183" s="220"/>
      <c r="R183" s="220"/>
      <c r="S183" s="220"/>
      <c r="T183" s="220"/>
      <c r="U183" s="220"/>
      <c r="V183" s="220"/>
      <c r="W183" s="220"/>
    </row>
    <row r="184" ht="15.75" customHeight="1" outlineLevel="1">
      <c r="A184" s="211"/>
      <c r="B184" s="212" t="s">
        <v>10</v>
      </c>
      <c r="C184" s="213" t="s">
        <v>1196</v>
      </c>
      <c r="D184" s="214" t="str">
        <f>IFERROR(VLOOKUP($C184,'PORTIFÓLIO'!C:V,2,0),"")</f>
        <v/>
      </c>
      <c r="E184" s="211" t="str">
        <f>IFERROR(VLOOKUP($C184,'PORTIFÓLIO'!C:V,3,0),"")</f>
        <v/>
      </c>
      <c r="F184" s="211" t="str">
        <f>IFERROR(VLOOKUP($C184,'PORTIFÓLIO'!C:V,4,0),"")</f>
        <v>R$/Ha</v>
      </c>
      <c r="G184" s="215">
        <f t="array" ref="G184">IFERROR(INDEX('PORTIFÓLIO'!$H$4:$H$433,MATCH($C184,'PORTIFÓLIO'!$C$4:$C$433,0)),"")</f>
        <v>0.04901960784</v>
      </c>
      <c r="H184" s="254">
        <f t="array" ref="H184">IFERROR(INDEX('PORTIFÓLIO'!$H$4:$H$433,MATCH($C184,'PORTIFÓLIO'!$C$4:$C$433,0)),"")</f>
        <v>0.04901960784</v>
      </c>
      <c r="I184" s="256">
        <f>G184*4</f>
        <v>0.1960784314</v>
      </c>
      <c r="J184" s="218">
        <f t="shared" si="22"/>
        <v>61.37254902</v>
      </c>
      <c r="K184" s="219">
        <f t="array" ref="K184">IFERROR(I184*INDEX('PORTIFÓLIO'!$S$4:$S$433,MATCH($C184,'PORTIFÓLIO'!$C$4:$C$433,0)),"")</f>
        <v>22.05882353</v>
      </c>
      <c r="L184" s="219">
        <f t="array" ref="L184">IFERROR(J184*INDEX('PORTIFÓLIO'!$S$4:$S$433,MATCH($C184,'PORTIFÓLIO'!$C$4:$C$433,0)),"")</f>
        <v>6904.411765</v>
      </c>
      <c r="M184" s="220"/>
      <c r="N184" s="220"/>
      <c r="O184" s="220"/>
      <c r="P184" s="220"/>
      <c r="Q184" s="220"/>
      <c r="R184" s="220"/>
      <c r="S184" s="220"/>
      <c r="T184" s="220"/>
      <c r="U184" s="220"/>
      <c r="V184" s="220"/>
      <c r="W184" s="220"/>
    </row>
    <row r="185" ht="15.75" customHeight="1" outlineLevel="1">
      <c r="A185" s="211"/>
      <c r="B185" s="212" t="s">
        <v>10</v>
      </c>
      <c r="C185" s="213" t="s">
        <v>1197</v>
      </c>
      <c r="D185" s="214" t="str">
        <f>IFERROR(VLOOKUP($C185,'PORTIFÓLIO'!C:V,2,0),"")</f>
        <v/>
      </c>
      <c r="E185" s="211" t="str">
        <f>IFERROR(VLOOKUP($C185,'PORTIFÓLIO'!C:V,3,0),"")</f>
        <v/>
      </c>
      <c r="F185" s="211" t="str">
        <f>IFERROR(VLOOKUP($C185,'PORTIFÓLIO'!C:V,4,0),"")</f>
        <v>R$/Ha</v>
      </c>
      <c r="G185" s="215">
        <f t="array" ref="G185">IFERROR(INDEX('PORTIFÓLIO'!$H$4:$H$433,MATCH($C185,'PORTIFÓLIO'!$C$4:$C$433,0)),"")</f>
        <v>0.01960784314</v>
      </c>
      <c r="H185" s="254">
        <f t="array" ref="H185">IFERROR(INDEX('PORTIFÓLIO'!$H$4:$H$433,MATCH($C185,'PORTIFÓLIO'!$C$4:$C$433,0)),"")</f>
        <v>0.01960784314</v>
      </c>
      <c r="I185" s="256">
        <f>G185*3</f>
        <v>0.05882352941</v>
      </c>
      <c r="J185" s="218">
        <f t="shared" si="22"/>
        <v>18.41176471</v>
      </c>
      <c r="K185" s="219">
        <f t="array" ref="K185">IFERROR(I185*INDEX('PORTIFÓLIO'!$S$4:$S$433,MATCH($C185,'PORTIFÓLIO'!$C$4:$C$433,0)),"")</f>
        <v>7.5</v>
      </c>
      <c r="L185" s="219">
        <f t="array" ref="L185">IFERROR(J185*INDEX('PORTIFÓLIO'!$S$4:$S$433,MATCH($C185,'PORTIFÓLIO'!$C$4:$C$433,0)),"")</f>
        <v>2347.5</v>
      </c>
      <c r="M185" s="220"/>
      <c r="N185" s="220"/>
      <c r="O185" s="220"/>
      <c r="P185" s="220"/>
      <c r="Q185" s="220"/>
      <c r="R185" s="220"/>
      <c r="S185" s="220"/>
      <c r="T185" s="220"/>
      <c r="U185" s="220"/>
      <c r="V185" s="220"/>
      <c r="W185" s="220"/>
    </row>
    <row r="186" ht="15.75" customHeight="1" outlineLevel="1">
      <c r="A186" s="211"/>
      <c r="B186" s="212" t="s">
        <v>10</v>
      </c>
      <c r="C186" s="213" t="s">
        <v>1198</v>
      </c>
      <c r="D186" s="214" t="str">
        <f>IFERROR(VLOOKUP($C186,'PORTIFÓLIO'!C:V,2,0),"")</f>
        <v/>
      </c>
      <c r="E186" s="211" t="str">
        <f>IFERROR(VLOOKUP($C186,'PORTIFÓLIO'!C:V,3,0),"")</f>
        <v/>
      </c>
      <c r="F186" s="211" t="str">
        <f>IFERROR(VLOOKUP($C186,'PORTIFÓLIO'!C:V,4,0),"")</f>
        <v>R$/Ha</v>
      </c>
      <c r="G186" s="215">
        <f t="array" ref="G186">IFERROR(INDEX('PORTIFÓLIO'!$H$4:$H$433,MATCH($C186,'PORTIFÓLIO'!$C$4:$C$433,0)),"")</f>
        <v>0.006666666667</v>
      </c>
      <c r="H186" s="254">
        <f t="array" ref="H186">IFERROR(INDEX('PORTIFÓLIO'!$H$4:$H$433,MATCH($C186,'PORTIFÓLIO'!$C$4:$C$433,0)),"")</f>
        <v>0.006666666667</v>
      </c>
      <c r="I186" s="256">
        <f>G186*5</f>
        <v>0.03333333333</v>
      </c>
      <c r="J186" s="218">
        <f t="shared" si="22"/>
        <v>10.43333333</v>
      </c>
      <c r="K186" s="219">
        <f t="array" ref="K186">IFERROR(I186*INDEX('PORTIFÓLIO'!$S$4:$S$433,MATCH($C186,'PORTIFÓLIO'!$C$4:$C$433,0)),"")</f>
        <v>166.6666667</v>
      </c>
      <c r="L186" s="219">
        <f t="array" ref="L186">IFERROR(J186*INDEX('PORTIFÓLIO'!$S$4:$S$433,MATCH($C186,'PORTIFÓLIO'!$C$4:$C$433,0)),"")</f>
        <v>52166.66667</v>
      </c>
      <c r="M186" s="220"/>
      <c r="N186" s="220"/>
      <c r="O186" s="220"/>
      <c r="P186" s="220"/>
      <c r="Q186" s="220"/>
      <c r="R186" s="220"/>
      <c r="S186" s="220"/>
      <c r="T186" s="220"/>
      <c r="U186" s="220"/>
      <c r="V186" s="220"/>
      <c r="W186" s="220"/>
    </row>
    <row r="187" ht="15.75" customHeight="1" outlineLevel="1">
      <c r="A187" s="211"/>
      <c r="B187" s="212" t="s">
        <v>10</v>
      </c>
      <c r="C187" s="213" t="s">
        <v>1199</v>
      </c>
      <c r="D187" s="214" t="str">
        <f>IFERROR(VLOOKUP($C187,'PORTIFÓLIO'!C:V,2,0),"")</f>
        <v/>
      </c>
      <c r="E187" s="211" t="str">
        <f>IFERROR(VLOOKUP($C187,'PORTIFÓLIO'!C:V,3,0),"")</f>
        <v/>
      </c>
      <c r="F187" s="211" t="str">
        <f>IFERROR(VLOOKUP($C187,'PORTIFÓLIO'!C:V,4,0),"")</f>
        <v>R$/Ha</v>
      </c>
      <c r="G187" s="215">
        <f t="array" ref="G187">IFERROR(INDEX('PORTIFÓLIO'!$H$4:$H$433,MATCH($C187,'PORTIFÓLIO'!$C$4:$C$433,0)),"")</f>
        <v>0.08169934641</v>
      </c>
      <c r="H187" s="254">
        <f t="array" ref="H187">IFERROR(INDEX('PORTIFÓLIO'!$H$4:$H$433,MATCH($C187,'PORTIFÓLIO'!$C$4:$C$433,0)),"")</f>
        <v>0.08169934641</v>
      </c>
      <c r="I187" s="255">
        <v>0.081</v>
      </c>
      <c r="J187" s="218">
        <f t="shared" si="22"/>
        <v>25.353</v>
      </c>
      <c r="K187" s="219">
        <f t="array" ref="K187">IFERROR(I187*INDEX('PORTIFÓLIO'!$S$4:$S$433,MATCH($C187,'PORTIFÓLIO'!$C$4:$C$433,0)),"")</f>
        <v>36.45</v>
      </c>
      <c r="L187" s="219">
        <f t="array" ref="L187">IFERROR(J187*INDEX('PORTIFÓLIO'!$S$4:$S$433,MATCH($C187,'PORTIFÓLIO'!$C$4:$C$433,0)),"")</f>
        <v>11408.85</v>
      </c>
      <c r="M187" s="220"/>
      <c r="N187" s="220"/>
      <c r="O187" s="220"/>
      <c r="P187" s="220"/>
      <c r="Q187" s="220"/>
      <c r="R187" s="220"/>
      <c r="S187" s="220"/>
      <c r="T187" s="220"/>
      <c r="U187" s="220"/>
      <c r="V187" s="220"/>
      <c r="W187" s="220"/>
    </row>
    <row r="188" ht="15.75" customHeight="1" outlineLevel="1">
      <c r="A188" s="211"/>
      <c r="B188" s="212" t="s">
        <v>10</v>
      </c>
      <c r="C188" s="213" t="s">
        <v>1200</v>
      </c>
      <c r="D188" s="214" t="str">
        <f>IFERROR(VLOOKUP($C188,'PORTIFÓLIO'!C:V,2,0),"")</f>
        <v/>
      </c>
      <c r="E188" s="211" t="str">
        <f>IFERROR(VLOOKUP($C188,'PORTIFÓLIO'!C:V,3,0),"")</f>
        <v/>
      </c>
      <c r="F188" s="211" t="str">
        <f>IFERROR(VLOOKUP($C188,'PORTIFÓLIO'!C:V,4,0),"")</f>
        <v>R$/Ha</v>
      </c>
      <c r="G188" s="215">
        <f t="array" ref="G188">IFERROR(INDEX('PORTIFÓLIO'!$H$4:$H$433,MATCH($C188,'PORTIFÓLIO'!$C$4:$C$433,0)),"")</f>
        <v>0.1508295626</v>
      </c>
      <c r="H188" s="254">
        <f t="array" ref="H188">IFERROR(INDEX('PORTIFÓLIO'!$H$4:$H$433,MATCH($C188,'PORTIFÓLIO'!$C$4:$C$433,0)),"")</f>
        <v>0.1508295626</v>
      </c>
      <c r="I188" s="255">
        <v>0.15</v>
      </c>
      <c r="J188" s="218">
        <f t="shared" si="22"/>
        <v>46.95</v>
      </c>
      <c r="K188" s="219">
        <f t="array" ref="K188">IFERROR(I188*INDEX('PORTIFÓLIO'!$S$4:$S$433,MATCH($C188,'PORTIFÓLIO'!$C$4:$C$433,0)),"")</f>
        <v>56.25</v>
      </c>
      <c r="L188" s="219">
        <f t="array" ref="L188">IFERROR(J188*INDEX('PORTIFÓLIO'!$S$4:$S$433,MATCH($C188,'PORTIFÓLIO'!$C$4:$C$433,0)),"")</f>
        <v>17606.25</v>
      </c>
      <c r="M188" s="220"/>
      <c r="N188" s="220"/>
      <c r="O188" s="220"/>
      <c r="P188" s="220"/>
      <c r="Q188" s="220"/>
      <c r="R188" s="220"/>
      <c r="S188" s="220"/>
      <c r="T188" s="220"/>
      <c r="U188" s="220"/>
      <c r="V188" s="220"/>
      <c r="W188" s="220"/>
    </row>
    <row r="189" ht="15.75" customHeight="1" outlineLevel="1">
      <c r="A189" s="211"/>
      <c r="B189" s="212" t="s">
        <v>10</v>
      </c>
      <c r="C189" s="213" t="s">
        <v>1201</v>
      </c>
      <c r="D189" s="214" t="str">
        <f>IFERROR(VLOOKUP($C189,'PORTIFÓLIO'!C:V,2,0),"")</f>
        <v/>
      </c>
      <c r="E189" s="211" t="str">
        <f>IFERROR(VLOOKUP($C189,'PORTIFÓLIO'!C:V,3,0),"")</f>
        <v/>
      </c>
      <c r="F189" s="211" t="str">
        <f>IFERROR(VLOOKUP($C189,'PORTIFÓLIO'!C:V,4,0),"")</f>
        <v>R$/Ha</v>
      </c>
      <c r="G189" s="215">
        <f t="array" ref="G189">IFERROR(INDEX('PORTIFÓLIO'!$H$4:$H$433,MATCH($C189,'PORTIFÓLIO'!$C$4:$C$433,0)),"")</f>
        <v>0.001367989056</v>
      </c>
      <c r="H189" s="254">
        <f t="array" ref="H189">IFERROR(INDEX('PORTIFÓLIO'!$H$4:$H$433,MATCH($C189,'PORTIFÓLIO'!$C$4:$C$433,0)),"")</f>
        <v>0.001367989056</v>
      </c>
      <c r="I189" s="255">
        <v>0.1</v>
      </c>
      <c r="J189" s="218">
        <f t="shared" si="22"/>
        <v>31.3</v>
      </c>
      <c r="K189" s="219">
        <f t="array" ref="K189">IFERROR(I189*INDEX('PORTIFÓLIO'!$S$4:$S$433,MATCH($C189,'PORTIFÓLIO'!$C$4:$C$433,0)),"")</f>
        <v>15</v>
      </c>
      <c r="L189" s="219">
        <f t="array" ref="L189">IFERROR(J189*INDEX('PORTIFÓLIO'!$S$4:$S$433,MATCH($C189,'PORTIFÓLIO'!$C$4:$C$433,0)),"")</f>
        <v>4695</v>
      </c>
      <c r="M189" s="220"/>
      <c r="N189" s="220"/>
      <c r="O189" s="220"/>
      <c r="P189" s="220"/>
      <c r="Q189" s="220"/>
      <c r="R189" s="220"/>
      <c r="S189" s="220"/>
      <c r="T189" s="220"/>
      <c r="U189" s="220"/>
      <c r="V189" s="220"/>
      <c r="W189" s="220"/>
    </row>
    <row r="190" ht="15.75" customHeight="1" outlineLevel="1">
      <c r="A190" s="211"/>
      <c r="B190" s="212"/>
      <c r="C190" s="213"/>
      <c r="D190" s="214" t="str">
        <f>IFERROR(VLOOKUP($C190,'PORTIFÓLIO'!C:V,2,0),"")</f>
        <v/>
      </c>
      <c r="E190" s="211" t="str">
        <f>IFERROR(VLOOKUP($C190,'PORTIFÓLIO'!C:V,3,0),"")</f>
        <v/>
      </c>
      <c r="F190" s="211" t="str">
        <f>IFERROR(VLOOKUP($C190,'PORTIFÓLIO'!C:V,4,0),"")</f>
        <v/>
      </c>
      <c r="G190" s="215" t="str">
        <f>IFERROR(VLOOKUP($C190,'PORTIFÓLIO'!C:V,5,0),"")</f>
        <v/>
      </c>
      <c r="H190" s="254" t="str">
        <f t="array" ref="H190">IFERROR(INDEX('PORTIFÓLIO'!$H$4:$H$433,MATCH($C190,'PORTIFÓLIO'!$C$4:$C$433,0)),"")</f>
        <v/>
      </c>
      <c r="I190" s="256"/>
      <c r="J190" s="218">
        <f t="shared" si="22"/>
        <v>0</v>
      </c>
      <c r="K190" s="219" t="str">
        <f t="array" ref="K190">IFERROR(I190*INDEX('PORTIFÓLIO'!$S$4:$S$433,MATCH($C190,'PORTIFÓLIO'!$C$4:$C$433,0)),"")</f>
        <v/>
      </c>
      <c r="L190" s="219" t="str">
        <f t="array" ref="L190">IFERROR(J190*INDEX('PORTIFÓLIO'!$S$4:$S$433,MATCH($C190,'PORTIFÓLIO'!$C$4:$C$433,0)),"")</f>
        <v/>
      </c>
      <c r="M190" s="220"/>
      <c r="N190" s="220"/>
      <c r="O190" s="220"/>
      <c r="P190" s="220"/>
      <c r="Q190" s="220"/>
      <c r="R190" s="220"/>
      <c r="S190" s="220"/>
      <c r="T190" s="220"/>
      <c r="U190" s="220"/>
      <c r="V190" s="220"/>
      <c r="W190" s="220"/>
    </row>
    <row r="191" ht="15.75" customHeight="1" outlineLevel="1">
      <c r="A191" s="211"/>
      <c r="B191" s="212"/>
      <c r="C191" s="213"/>
      <c r="D191" s="214" t="str">
        <f>IFERROR(VLOOKUP($C191,'PORTIFÓLIO'!C:V,2,0),"")</f>
        <v/>
      </c>
      <c r="E191" s="211" t="str">
        <f>IFERROR(VLOOKUP($C191,'PORTIFÓLIO'!C:V,3,0),"")</f>
        <v/>
      </c>
      <c r="F191" s="211" t="str">
        <f>IFERROR(VLOOKUP($C191,'PORTIFÓLIO'!C:V,4,0),"")</f>
        <v/>
      </c>
      <c r="G191" s="215" t="str">
        <f>IFERROR(VLOOKUP($C191,'PORTIFÓLIO'!C:V,5,0),"")</f>
        <v/>
      </c>
      <c r="H191" s="254" t="str">
        <f t="array" ref="H191">IFERROR(INDEX('PORTIFÓLIO'!$H$4:$H$433,MATCH($C191,'PORTIFÓLIO'!$C$4:$C$433,0)),"")</f>
        <v/>
      </c>
      <c r="I191" s="255"/>
      <c r="J191" s="218">
        <f t="shared" si="22"/>
        <v>0</v>
      </c>
      <c r="K191" s="219" t="str">
        <f t="array" ref="K191">IFERROR(I191*INDEX('PORTIFÓLIO'!$S$4:$S$433,MATCH($C191,'PORTIFÓLIO'!$C$4:$C$433,0)),"")</f>
        <v/>
      </c>
      <c r="L191" s="219" t="str">
        <f t="array" ref="L191">IFERROR(J191*INDEX('PORTIFÓLIO'!$S$4:$S$433,MATCH($C191,'PORTIFÓLIO'!$C$4:$C$433,0)),"")</f>
        <v/>
      </c>
      <c r="M191" s="220"/>
      <c r="N191" s="220"/>
      <c r="O191" s="220"/>
      <c r="P191" s="220"/>
      <c r="Q191" s="220"/>
      <c r="R191" s="220"/>
      <c r="S191" s="220"/>
      <c r="T191" s="220"/>
      <c r="U191" s="220"/>
      <c r="V191" s="220"/>
      <c r="W191" s="220"/>
    </row>
    <row r="192" ht="15.75" customHeight="1" outlineLevel="1">
      <c r="A192" s="211"/>
      <c r="B192" s="212"/>
      <c r="C192" s="213"/>
      <c r="D192" s="214" t="str">
        <f>IFERROR(VLOOKUP($C192,'PORTIFÓLIO'!C:V,2,0),"")</f>
        <v/>
      </c>
      <c r="E192" s="211" t="str">
        <f>IFERROR(VLOOKUP($C192,'PORTIFÓLIO'!C:V,3,0),"")</f>
        <v/>
      </c>
      <c r="F192" s="211" t="str">
        <f>IFERROR(VLOOKUP($C192,'PORTIFÓLIO'!C:V,4,0),"")</f>
        <v/>
      </c>
      <c r="G192" s="215" t="str">
        <f>IFERROR(VLOOKUP($C192,'PORTIFÓLIO'!C:V,5,0),"")</f>
        <v/>
      </c>
      <c r="H192" s="254" t="str">
        <f t="array" ref="H192">IFERROR(INDEX('PORTIFÓLIO'!$H$4:$H$433,MATCH($C192,'PORTIFÓLIO'!$C$4:$C$433,0)),"")</f>
        <v/>
      </c>
      <c r="I192" s="256"/>
      <c r="J192" s="218">
        <f t="shared" si="22"/>
        <v>0</v>
      </c>
      <c r="K192" s="219" t="str">
        <f t="array" ref="K192">IFERROR(I192*INDEX('PORTIFÓLIO'!$S$4:$S$433,MATCH($C192,'PORTIFÓLIO'!$C$4:$C$433,0)),"")</f>
        <v/>
      </c>
      <c r="L192" s="219" t="str">
        <f t="array" ref="L192">IFERROR(J192*INDEX('PORTIFÓLIO'!$S$4:$S$433,MATCH($C192,'PORTIFÓLIO'!$C$4:$C$433,0)),"")</f>
        <v/>
      </c>
      <c r="M192" s="220"/>
      <c r="N192" s="220"/>
      <c r="O192" s="220"/>
      <c r="P192" s="220"/>
      <c r="Q192" s="220"/>
      <c r="R192" s="220"/>
      <c r="S192" s="220"/>
      <c r="T192" s="220"/>
      <c r="U192" s="220"/>
      <c r="V192" s="220"/>
      <c r="W192" s="220"/>
    </row>
    <row r="193" ht="15.75" customHeight="1" outlineLevel="1">
      <c r="A193" s="211"/>
      <c r="B193" s="212"/>
      <c r="C193" s="213"/>
      <c r="D193" s="214" t="str">
        <f>IFERROR(VLOOKUP($C193,'PORTIFÓLIO'!C:V,2,0),"")</f>
        <v/>
      </c>
      <c r="E193" s="211" t="str">
        <f>IFERROR(VLOOKUP($C193,'PORTIFÓLIO'!C:V,3,0),"")</f>
        <v/>
      </c>
      <c r="F193" s="211" t="str">
        <f>IFERROR(VLOOKUP($C193,'PORTIFÓLIO'!C:V,4,0),"")</f>
        <v/>
      </c>
      <c r="G193" s="215" t="str">
        <f>IFERROR(VLOOKUP($C193,'PORTIFÓLIO'!C:V,5,0),"")</f>
        <v/>
      </c>
      <c r="H193" s="254" t="str">
        <f t="array" ref="H193">IFERROR(INDEX('PORTIFÓLIO'!$H$4:$H$433,MATCH($C193,'PORTIFÓLIO'!$C$4:$C$433,0)),"")</f>
        <v/>
      </c>
      <c r="I193" s="256"/>
      <c r="J193" s="218">
        <f t="shared" si="22"/>
        <v>0</v>
      </c>
      <c r="K193" s="219" t="str">
        <f t="array" ref="K193">IFERROR(I193*INDEX('PORTIFÓLIO'!$S$4:$S$433,MATCH($C193,'PORTIFÓLIO'!$C$4:$C$433,0)),"")</f>
        <v/>
      </c>
      <c r="L193" s="219" t="str">
        <f t="array" ref="L193">IFERROR(J193*INDEX('PORTIFÓLIO'!$S$4:$S$433,MATCH($C193,'PORTIFÓLIO'!$C$4:$C$433,0)),"")</f>
        <v/>
      </c>
      <c r="M193" s="220"/>
      <c r="N193" s="220"/>
      <c r="O193" s="220"/>
      <c r="P193" s="220"/>
      <c r="Q193" s="220"/>
      <c r="R193" s="220"/>
      <c r="S193" s="220"/>
      <c r="T193" s="220"/>
      <c r="U193" s="220"/>
      <c r="V193" s="220"/>
      <c r="W193" s="220"/>
    </row>
    <row r="194" ht="15.75" customHeight="1" outlineLevel="1">
      <c r="A194" s="211"/>
      <c r="B194" s="212"/>
      <c r="C194" s="213"/>
      <c r="D194" s="214" t="str">
        <f>IFERROR(VLOOKUP($C194,'PORTIFÓLIO'!C:V,2,0),"")</f>
        <v/>
      </c>
      <c r="E194" s="211" t="str">
        <f>IFERROR(VLOOKUP($C194,'PORTIFÓLIO'!C:V,3,0),"")</f>
        <v/>
      </c>
      <c r="F194" s="211" t="str">
        <f>IFERROR(VLOOKUP($C194,'PORTIFÓLIO'!C:V,4,0),"")</f>
        <v/>
      </c>
      <c r="G194" s="215" t="str">
        <f>IFERROR(VLOOKUP($C194,'PORTIFÓLIO'!C:V,5,0),"")</f>
        <v/>
      </c>
      <c r="H194" s="254" t="str">
        <f t="array" ref="H194">IFERROR(INDEX('PORTIFÓLIO'!$H$4:$H$433,MATCH($C194,'PORTIFÓLIO'!$C$4:$C$433,0)),"")</f>
        <v/>
      </c>
      <c r="I194" s="256"/>
      <c r="J194" s="218">
        <f t="shared" si="22"/>
        <v>0</v>
      </c>
      <c r="K194" s="219" t="str">
        <f t="array" ref="K194">IFERROR(I194*INDEX('PORTIFÓLIO'!$S$4:$S$433,MATCH($C194,'PORTIFÓLIO'!$C$4:$C$433,0)),"")</f>
        <v/>
      </c>
      <c r="L194" s="219" t="str">
        <f t="array" ref="L194">IFERROR(J194*INDEX('PORTIFÓLIO'!$S$4:$S$433,MATCH($C194,'PORTIFÓLIO'!$C$4:$C$433,0)),"")</f>
        <v/>
      </c>
      <c r="M194" s="220"/>
      <c r="N194" s="220"/>
      <c r="O194" s="220"/>
      <c r="P194" s="220"/>
      <c r="Q194" s="220"/>
      <c r="R194" s="220"/>
      <c r="S194" s="220"/>
      <c r="T194" s="220"/>
      <c r="U194" s="220"/>
      <c r="V194" s="220"/>
      <c r="W194" s="220"/>
    </row>
    <row r="195" ht="15.75" customHeight="1" outlineLevel="1">
      <c r="A195" s="211"/>
      <c r="B195" s="212"/>
      <c r="C195" s="213"/>
      <c r="D195" s="214" t="str">
        <f>IFERROR(VLOOKUP($C195,'PORTIFÓLIO'!C:V,2,0),"")</f>
        <v/>
      </c>
      <c r="E195" s="211" t="str">
        <f>IFERROR(VLOOKUP($C195,'PORTIFÓLIO'!C:V,3,0),"")</f>
        <v/>
      </c>
      <c r="F195" s="211" t="str">
        <f>IFERROR(VLOOKUP($C195,'PORTIFÓLIO'!C:V,4,0),"")</f>
        <v/>
      </c>
      <c r="G195" s="215" t="str">
        <f>IFERROR(VLOOKUP($C195,'PORTIFÓLIO'!C:V,5,0),"")</f>
        <v/>
      </c>
      <c r="H195" s="254" t="str">
        <f t="array" ref="H195">IFERROR(INDEX('PORTIFÓLIO'!$H$4:$H$433,MATCH($C195,'PORTIFÓLIO'!$C$4:$C$433,0)),"")</f>
        <v/>
      </c>
      <c r="I195" s="256"/>
      <c r="J195" s="218">
        <f t="shared" si="22"/>
        <v>0</v>
      </c>
      <c r="K195" s="219" t="str">
        <f t="array" ref="K195">IFERROR(I195*INDEX('PORTIFÓLIO'!$S$4:$S$433,MATCH($C195,'PORTIFÓLIO'!$C$4:$C$433,0)),"")</f>
        <v/>
      </c>
      <c r="L195" s="219" t="str">
        <f t="array" ref="L195">IFERROR(J195*INDEX('PORTIFÓLIO'!$S$4:$S$433,MATCH($C195,'PORTIFÓLIO'!$C$4:$C$433,0)),"")</f>
        <v/>
      </c>
      <c r="M195" s="220"/>
      <c r="N195" s="220"/>
      <c r="O195" s="220"/>
      <c r="P195" s="220"/>
      <c r="Q195" s="220"/>
      <c r="R195" s="220"/>
      <c r="S195" s="220"/>
      <c r="T195" s="220"/>
      <c r="U195" s="220"/>
      <c r="V195" s="220"/>
      <c r="W195" s="220"/>
    </row>
    <row r="196" ht="15.75" customHeight="1" outlineLevel="1">
      <c r="A196" s="211"/>
      <c r="B196" s="212"/>
      <c r="C196" s="213"/>
      <c r="D196" s="214" t="str">
        <f>IFERROR(VLOOKUP($C196,'PORTIFÓLIO'!C:V,2,0),"")</f>
        <v/>
      </c>
      <c r="E196" s="211" t="str">
        <f>IFERROR(VLOOKUP($C196,'PORTIFÓLIO'!C:V,3,0),"")</f>
        <v/>
      </c>
      <c r="F196" s="211" t="str">
        <f>IFERROR(VLOOKUP($C196,'PORTIFÓLIO'!C:V,4,0),"")</f>
        <v/>
      </c>
      <c r="G196" s="215" t="str">
        <f>IFERROR(VLOOKUP($C196,'PORTIFÓLIO'!C:V,5,0),"")</f>
        <v/>
      </c>
      <c r="H196" s="254" t="str">
        <f t="array" ref="H196">IFERROR(INDEX('PORTIFÓLIO'!$H$4:$H$433,MATCH($C196,'PORTIFÓLIO'!$C$4:$C$433,0)),"")</f>
        <v/>
      </c>
      <c r="I196" s="256"/>
      <c r="J196" s="218">
        <f t="shared" si="22"/>
        <v>0</v>
      </c>
      <c r="K196" s="219" t="str">
        <f t="array" ref="K196">IFERROR(I196*INDEX('PORTIFÓLIO'!$S$4:$S$433,MATCH($C196,'PORTIFÓLIO'!$C$4:$C$433,0)),"")</f>
        <v/>
      </c>
      <c r="L196" s="219" t="str">
        <f t="array" ref="L196">IFERROR(J196*INDEX('PORTIFÓLIO'!$S$4:$S$433,MATCH($C196,'PORTIFÓLIO'!$C$4:$C$433,0)),"")</f>
        <v/>
      </c>
      <c r="M196" s="220"/>
      <c r="N196" s="220"/>
      <c r="O196" s="220"/>
      <c r="P196" s="220"/>
      <c r="Q196" s="220"/>
      <c r="R196" s="220"/>
      <c r="S196" s="220"/>
      <c r="T196" s="220"/>
      <c r="U196" s="220"/>
      <c r="V196" s="220"/>
      <c r="W196" s="220"/>
    </row>
    <row r="197" ht="15.75" customHeight="1" outlineLevel="1">
      <c r="A197" s="211"/>
      <c r="B197" s="212"/>
      <c r="C197" s="213"/>
      <c r="D197" s="214" t="str">
        <f>IFERROR(VLOOKUP($C197,'PORTIFÓLIO'!C:V,2,0),"")</f>
        <v/>
      </c>
      <c r="E197" s="211" t="str">
        <f>IFERROR(VLOOKUP($C197,'PORTIFÓLIO'!C:V,3,0),"")</f>
        <v/>
      </c>
      <c r="F197" s="211" t="str">
        <f>IFERROR(VLOOKUP($C197,'PORTIFÓLIO'!C:V,4,0),"")</f>
        <v/>
      </c>
      <c r="G197" s="215" t="str">
        <f>IFERROR(VLOOKUP($C197,'PORTIFÓLIO'!C:V,5,0),"")</f>
        <v/>
      </c>
      <c r="H197" s="254" t="str">
        <f t="array" ref="H197">IFERROR(INDEX('PORTIFÓLIO'!$H$4:$H$433,MATCH($C197,'PORTIFÓLIO'!$C$4:$C$433,0)),"")</f>
        <v/>
      </c>
      <c r="I197" s="256"/>
      <c r="J197" s="218">
        <f t="shared" si="22"/>
        <v>0</v>
      </c>
      <c r="K197" s="219" t="str">
        <f t="array" ref="K197">IFERROR(I197*INDEX('PORTIFÓLIO'!$S$4:$S$433,MATCH($C197,'PORTIFÓLIO'!$C$4:$C$433,0)),"")</f>
        <v/>
      </c>
      <c r="L197" s="219" t="str">
        <f t="array" ref="L197">IFERROR(J197*INDEX('PORTIFÓLIO'!$S$4:$S$433,MATCH($C197,'PORTIFÓLIO'!$C$4:$C$433,0)),"")</f>
        <v/>
      </c>
      <c r="M197" s="220"/>
      <c r="N197" s="220"/>
      <c r="O197" s="220"/>
      <c r="P197" s="220"/>
      <c r="Q197" s="220"/>
      <c r="R197" s="220"/>
      <c r="S197" s="220"/>
      <c r="T197" s="220"/>
      <c r="U197" s="220"/>
      <c r="V197" s="220"/>
      <c r="W197" s="220"/>
    </row>
    <row r="198" ht="15.75" customHeight="1" outlineLevel="1">
      <c r="A198" s="211"/>
      <c r="B198" s="227"/>
      <c r="C198" s="211"/>
      <c r="D198" s="214" t="str">
        <f>IFERROR(VLOOKUP($C198,'PORTIFÓLIO'!C:V,2,0),"")</f>
        <v/>
      </c>
      <c r="E198" s="211" t="str">
        <f>IFERROR(VLOOKUP($C198,'PORTIFÓLIO'!C:V,3,0),"")</f>
        <v/>
      </c>
      <c r="F198" s="211" t="str">
        <f>IFERROR(VLOOKUP($C198,'PORTIFÓLIO'!C:V,4,0),"")</f>
        <v/>
      </c>
      <c r="G198" s="215" t="str">
        <f>IFERROR(VLOOKUP($C198,'PORTIFÓLIO'!C:V,5,0),"")</f>
        <v/>
      </c>
      <c r="H198" s="254" t="str">
        <f t="array" ref="H198">IFERROR(INDEX('PORTIFÓLIO'!$H$4:$H$433,MATCH($C198,'PORTIFÓLIO'!$C$4:$C$433,0)),"")</f>
        <v/>
      </c>
      <c r="I198" s="256"/>
      <c r="J198" s="218">
        <f t="shared" si="22"/>
        <v>0</v>
      </c>
      <c r="K198" s="219" t="str">
        <f t="array" ref="K198">IFERROR(I198*INDEX('PORTIFÓLIO'!$S$4:$S$433,MATCH($C198,'PORTIFÓLIO'!$C$4:$C$433,0)),"")</f>
        <v/>
      </c>
      <c r="L198" s="219" t="str">
        <f t="array" ref="L198">IFERROR(J198*INDEX('PORTIFÓLIO'!$S$4:$S$433,MATCH($C198,'PORTIFÓLIO'!$C$4:$C$433,0)),"")</f>
        <v/>
      </c>
      <c r="M198" s="220"/>
      <c r="N198" s="220"/>
      <c r="O198" s="220"/>
      <c r="P198" s="220"/>
      <c r="Q198" s="220"/>
      <c r="R198" s="220"/>
      <c r="S198" s="220"/>
      <c r="T198" s="220"/>
      <c r="U198" s="220"/>
      <c r="V198" s="220"/>
      <c r="W198" s="220"/>
    </row>
    <row r="199" ht="15.75" customHeight="1" outlineLevel="1">
      <c r="A199" s="211"/>
      <c r="B199" s="227"/>
      <c r="C199" s="211"/>
      <c r="D199" s="214" t="str">
        <f>IFERROR(VLOOKUP($C199,'PORTIFÓLIO'!C:V,2,0),"")</f>
        <v/>
      </c>
      <c r="E199" s="211" t="str">
        <f>IFERROR(VLOOKUP($C199,'PORTIFÓLIO'!C:V,3,0),"")</f>
        <v/>
      </c>
      <c r="F199" s="211" t="str">
        <f>IFERROR(VLOOKUP($C199,'PORTIFÓLIO'!C:V,4,0),"")</f>
        <v/>
      </c>
      <c r="G199" s="215" t="str">
        <f>IFERROR(VLOOKUP($C199,'PORTIFÓLIO'!C:V,5,0),"")</f>
        <v/>
      </c>
      <c r="H199" s="254" t="str">
        <f t="array" ref="H199">IFERROR(INDEX('PORTIFÓLIO'!$H$4:$H$433,MATCH($C199,'PORTIFÓLIO'!$C$4:$C$433,0)),"")</f>
        <v/>
      </c>
      <c r="I199" s="256"/>
      <c r="J199" s="218">
        <f t="shared" si="22"/>
        <v>0</v>
      </c>
      <c r="K199" s="219" t="str">
        <f t="array" ref="K199">IFERROR(I199*INDEX('PORTIFÓLIO'!$S$4:$S$433,MATCH($C199,'PORTIFÓLIO'!$C$4:$C$433,0)),"")</f>
        <v/>
      </c>
      <c r="L199" s="219" t="str">
        <f t="array" ref="L199">IFERROR(J199*INDEX('PORTIFÓLIO'!$S$4:$S$433,MATCH($C199,'PORTIFÓLIO'!$C$4:$C$433,0)),"")</f>
        <v/>
      </c>
      <c r="M199" s="220"/>
      <c r="N199" s="220"/>
      <c r="O199" s="220"/>
      <c r="P199" s="220"/>
      <c r="Q199" s="220"/>
      <c r="R199" s="220"/>
      <c r="S199" s="220"/>
      <c r="T199" s="220"/>
      <c r="U199" s="220"/>
      <c r="V199" s="220"/>
      <c r="W199" s="220"/>
    </row>
    <row r="200" ht="15.75" customHeight="1">
      <c r="A200" s="229" t="s">
        <v>1202</v>
      </c>
      <c r="B200" s="230"/>
      <c r="C200" s="231"/>
      <c r="D200" s="232"/>
      <c r="E200" s="231"/>
      <c r="F200" s="231"/>
      <c r="G200" s="233"/>
      <c r="H200" s="233"/>
      <c r="I200" s="258"/>
      <c r="J200" s="236"/>
      <c r="K200" s="237">
        <f t="shared" ref="K200:L200" si="23">SUBTOTAL(9,K201:K214)</f>
        <v>88.460964</v>
      </c>
      <c r="L200" s="237">
        <f t="shared" si="23"/>
        <v>27688.28173</v>
      </c>
      <c r="M200" s="220"/>
      <c r="N200" s="220"/>
      <c r="O200" s="220"/>
      <c r="P200" s="220"/>
      <c r="Q200" s="220"/>
      <c r="R200" s="220"/>
      <c r="S200" s="220"/>
      <c r="T200" s="220"/>
      <c r="U200" s="220"/>
      <c r="V200" s="220"/>
      <c r="W200" s="220"/>
    </row>
    <row r="201" ht="15.75" customHeight="1" outlineLevel="1">
      <c r="A201" s="213"/>
      <c r="B201" s="212" t="s">
        <v>0</v>
      </c>
      <c r="C201" s="213" t="s">
        <v>470</v>
      </c>
      <c r="D201" s="214" t="str">
        <f>IFERROR(VLOOKUP($C201,'PORTIFÓLIO'!C:V,2,0),"")</f>
        <v>TRIFLOXISTROBINA + TEBUCONAZOL</v>
      </c>
      <c r="E201" s="211" t="str">
        <f>IFERROR(VLOOKUP($C201,'PORTIFÓLIO'!C:V,3,0),"")</f>
        <v>100 + 200</v>
      </c>
      <c r="F201" s="211" t="str">
        <f>IFERROR(VLOOKUP($C201,'PORTIFÓLIO'!C:V,4,0),"")</f>
        <v>L</v>
      </c>
      <c r="G201" s="225" t="str">
        <f>IFERROR(VLOOKUP($C201,'PORTIFÓLIO'!C:V,5,0),"")</f>
        <v>📄 Ver bula</v>
      </c>
      <c r="H201" s="254">
        <f t="array" ref="H201">IFERROR(INDEX('PORTIFÓLIO'!$H$4:$H$433,MATCH($C201,'PORTIFÓLIO'!$C$4:$C$433,0)),"")</f>
        <v>0.6</v>
      </c>
      <c r="I201" s="255">
        <v>0.6</v>
      </c>
      <c r="J201" s="218">
        <f t="shared" ref="J201:J224" si="24">I201*$B$2</f>
        <v>187.8</v>
      </c>
      <c r="K201" s="219">
        <f t="array" ref="K201">IFERROR(I201*INDEX('PORTIFÓLIO'!$S$4:$S$433,MATCH($C201,'PORTIFÓLIO'!$C$4:$C$433,0)),"")</f>
        <v>37.075104</v>
      </c>
      <c r="L201" s="219">
        <f t="array" ref="L201">IFERROR(J201*INDEX('PORTIFÓLIO'!$S$4:$S$433,MATCH($C201,'PORTIFÓLIO'!$C$4:$C$433,0)),"")</f>
        <v>11604.50755</v>
      </c>
      <c r="M201" s="220"/>
      <c r="N201" s="220"/>
      <c r="O201" s="220"/>
      <c r="P201" s="220"/>
      <c r="Q201" s="220"/>
      <c r="R201" s="220"/>
      <c r="S201" s="220"/>
      <c r="T201" s="220"/>
      <c r="U201" s="220"/>
      <c r="V201" s="220"/>
      <c r="W201" s="220"/>
    </row>
    <row r="202" ht="15.75" customHeight="1" outlineLevel="1">
      <c r="A202" s="211"/>
      <c r="B202" s="212" t="s">
        <v>0</v>
      </c>
      <c r="C202" s="213" t="s">
        <v>572</v>
      </c>
      <c r="D202" s="214" t="str">
        <f>IFERROR(VLOOKUP($C202,'PORTIFÓLIO'!C:V,2,0),"")</f>
        <v>CLOROTALONIL</v>
      </c>
      <c r="E202" s="211">
        <f>IFERROR(VLOOKUP($C202,'PORTIFÓLIO'!C:V,3,0),"")</f>
        <v>720</v>
      </c>
      <c r="F202" s="211" t="str">
        <f>IFERROR(VLOOKUP($C202,'PORTIFÓLIO'!C:V,4,0),"")</f>
        <v>KG</v>
      </c>
      <c r="G202" s="225" t="str">
        <f>IFERROR(VLOOKUP($C202,'PORTIFÓLIO'!C:V,5,0),"")</f>
        <v>📄 Ver bula</v>
      </c>
      <c r="H202" s="254">
        <f t="array" ref="H202">IFERROR(INDEX('PORTIFÓLIO'!$H$4:$H$433,MATCH($C202,'PORTIFÓLIO'!$C$4:$C$433,0)),"")</f>
        <v>1.5</v>
      </c>
      <c r="I202" s="255">
        <v>1.2</v>
      </c>
      <c r="J202" s="218">
        <f t="shared" si="24"/>
        <v>375.6</v>
      </c>
      <c r="K202" s="219">
        <f t="array" ref="K202">IFERROR(I202*INDEX('PORTIFÓLIO'!$S$4:$S$433,MATCH($C202,'PORTIFÓLIO'!$C$4:$C$433,0)),"")</f>
        <v>29.075328</v>
      </c>
      <c r="L202" s="219">
        <f t="array" ref="L202">IFERROR(J202*INDEX('PORTIFÓLIO'!$S$4:$S$433,MATCH($C202,'PORTIFÓLIO'!$C$4:$C$433,0)),"")</f>
        <v>9100.577664</v>
      </c>
      <c r="M202" s="220"/>
      <c r="N202" s="220"/>
      <c r="O202" s="220"/>
      <c r="P202" s="220"/>
      <c r="Q202" s="220"/>
      <c r="R202" s="220"/>
      <c r="S202" s="220"/>
      <c r="T202" s="220"/>
      <c r="U202" s="220"/>
      <c r="V202" s="220"/>
      <c r="W202" s="220"/>
    </row>
    <row r="203" ht="15.75" customHeight="1" outlineLevel="1">
      <c r="A203" s="211"/>
      <c r="B203" s="212" t="s">
        <v>2</v>
      </c>
      <c r="C203" s="213" t="s">
        <v>749</v>
      </c>
      <c r="D203" s="214" t="str">
        <f>IFERROR(VLOOKUP($C203,'PORTIFÓLIO'!C:V,2,0),"")</f>
        <v>IMIDACLOPRIDO + BIFENTRINA</v>
      </c>
      <c r="E203" s="211" t="str">
        <f>IFERROR(VLOOKUP($C203,'PORTIFÓLIO'!C:V,3,0),"")</f>
        <v>250 + 50</v>
      </c>
      <c r="F203" s="211" t="str">
        <f>IFERROR(VLOOKUP($C203,'PORTIFÓLIO'!C:V,4,0),"")</f>
        <v>KG</v>
      </c>
      <c r="G203" s="225" t="str">
        <f>IFERROR(VLOOKUP($C203,'PORTIFÓLIO'!C:V,5,0),"")</f>
        <v>📄 Ver bula</v>
      </c>
      <c r="H203" s="254">
        <f t="array" ref="H203">IFERROR(INDEX('PORTIFÓLIO'!$H$4:$H$433,MATCH($C203,'PORTIFÓLIO'!$C$4:$C$433,0)),"")</f>
        <v>0.4</v>
      </c>
      <c r="I203" s="255">
        <v>0.4</v>
      </c>
      <c r="J203" s="218">
        <f t="shared" si="24"/>
        <v>125.2</v>
      </c>
      <c r="K203" s="219">
        <f t="array" ref="K203">IFERROR(I203*INDEX('PORTIFÓLIO'!$S$4:$S$433,MATCH($C203,'PORTIFÓLIO'!$C$4:$C$433,0)),"")</f>
        <v>22.310532</v>
      </c>
      <c r="L203" s="219">
        <f t="array" ref="L203">IFERROR(J203*INDEX('PORTIFÓLIO'!$S$4:$S$433,MATCH($C203,'PORTIFÓLIO'!$C$4:$C$433,0)),"")</f>
        <v>6983.196516</v>
      </c>
      <c r="M203" s="220"/>
      <c r="N203" s="220"/>
      <c r="O203" s="220"/>
      <c r="P203" s="220"/>
      <c r="Q203" s="220"/>
      <c r="R203" s="220"/>
      <c r="S203" s="220"/>
      <c r="T203" s="220"/>
      <c r="U203" s="220"/>
      <c r="V203" s="220"/>
      <c r="W203" s="220"/>
    </row>
    <row r="204" ht="15.75" customHeight="1" outlineLevel="1">
      <c r="A204" s="211"/>
      <c r="B204" s="212"/>
      <c r="C204" s="213"/>
      <c r="D204" s="214" t="str">
        <f>IFERROR(VLOOKUP($C204,'PORTIFÓLIO'!C:V,2,0),"")</f>
        <v/>
      </c>
      <c r="E204" s="211" t="str">
        <f>IFERROR(VLOOKUP($C204,'PORTIFÓLIO'!C:V,3,0),"")</f>
        <v/>
      </c>
      <c r="F204" s="211" t="str">
        <f>IFERROR(VLOOKUP($C204,'PORTIFÓLIO'!C:V,4,0),"")</f>
        <v/>
      </c>
      <c r="G204" s="215" t="str">
        <f>IFERROR(VLOOKUP($C204,'PORTIFÓLIO'!C:V,5,0),"")</f>
        <v/>
      </c>
      <c r="H204" s="254" t="str">
        <f t="array" ref="H204">IFERROR(INDEX('PORTIFÓLIO'!$H$4:$H$433,MATCH($C204,'PORTIFÓLIO'!$C$4:$C$433,0)),"")</f>
        <v/>
      </c>
      <c r="I204" s="256"/>
      <c r="J204" s="218">
        <f t="shared" si="24"/>
        <v>0</v>
      </c>
      <c r="K204" s="219" t="str">
        <f t="array" ref="K204">IFERROR(I204*INDEX('PORTIFÓLIO'!$S$4:$S$433,MATCH($C204,'PORTIFÓLIO'!$C$4:$C$433,0)),"")</f>
        <v/>
      </c>
      <c r="L204" s="219" t="str">
        <f t="array" ref="L204">IFERROR(J204*INDEX('PORTIFÓLIO'!$S$4:$S$433,MATCH($C204,'PORTIFÓLIO'!$C$4:$C$433,0)),"")</f>
        <v/>
      </c>
      <c r="M204" s="220"/>
      <c r="N204" s="220"/>
      <c r="O204" s="220"/>
      <c r="P204" s="220"/>
      <c r="Q204" s="220"/>
      <c r="R204" s="220"/>
      <c r="S204" s="220"/>
      <c r="T204" s="220"/>
      <c r="U204" s="220"/>
      <c r="V204" s="220"/>
      <c r="W204" s="220"/>
    </row>
    <row r="205" ht="15.75" customHeight="1" outlineLevel="1">
      <c r="A205" s="211"/>
      <c r="B205" s="212"/>
      <c r="C205" s="213"/>
      <c r="D205" s="214" t="str">
        <f>IFERROR(VLOOKUP($C205,'PORTIFÓLIO'!C:V,2,0),"")</f>
        <v/>
      </c>
      <c r="E205" s="211" t="str">
        <f>IFERROR(VLOOKUP($C205,'PORTIFÓLIO'!C:V,3,0),"")</f>
        <v/>
      </c>
      <c r="F205" s="211" t="str">
        <f>IFERROR(VLOOKUP($C205,'PORTIFÓLIO'!C:V,4,0),"")</f>
        <v/>
      </c>
      <c r="G205" s="215" t="str">
        <f>IFERROR(VLOOKUP($C205,'PORTIFÓLIO'!C:V,5,0),"")</f>
        <v/>
      </c>
      <c r="H205" s="254" t="str">
        <f t="array" ref="H205">IFERROR(INDEX('PORTIFÓLIO'!$H$4:$H$433,MATCH($C205,'PORTIFÓLIO'!$C$4:$C$433,0)),"")</f>
        <v/>
      </c>
      <c r="I205" s="256"/>
      <c r="J205" s="218">
        <f t="shared" si="24"/>
        <v>0</v>
      </c>
      <c r="K205" s="219" t="str">
        <f t="array" ref="K205">IFERROR(I205*INDEX('PORTIFÓLIO'!$S$4:$S$433,MATCH($C205,'PORTIFÓLIO'!$C$4:$C$433,0)),"")</f>
        <v/>
      </c>
      <c r="L205" s="219" t="str">
        <f t="array" ref="L205">IFERROR(J205*INDEX('PORTIFÓLIO'!$S$4:$S$433,MATCH($C205,'PORTIFÓLIO'!$C$4:$C$433,0)),"")</f>
        <v/>
      </c>
      <c r="M205" s="220"/>
      <c r="N205" s="220"/>
      <c r="O205" s="220"/>
      <c r="P205" s="220"/>
      <c r="Q205" s="220"/>
      <c r="R205" s="220"/>
      <c r="S205" s="220"/>
      <c r="T205" s="220"/>
      <c r="U205" s="220"/>
      <c r="V205" s="220"/>
      <c r="W205" s="220"/>
    </row>
    <row r="206" ht="15.75" customHeight="1" outlineLevel="1">
      <c r="A206" s="211"/>
      <c r="B206" s="212"/>
      <c r="C206" s="213"/>
      <c r="D206" s="214" t="str">
        <f>IFERROR(VLOOKUP($C206,'PORTIFÓLIO'!C:V,2,0),"")</f>
        <v/>
      </c>
      <c r="E206" s="211" t="str">
        <f>IFERROR(VLOOKUP($C206,'PORTIFÓLIO'!C:V,3,0),"")</f>
        <v/>
      </c>
      <c r="F206" s="211" t="str">
        <f>IFERROR(VLOOKUP($C206,'PORTIFÓLIO'!C:V,4,0),"")</f>
        <v/>
      </c>
      <c r="G206" s="215" t="str">
        <f>IFERROR(VLOOKUP($C206,'PORTIFÓLIO'!C:V,5,0),"")</f>
        <v/>
      </c>
      <c r="H206" s="254" t="str">
        <f t="array" ref="H206">IFERROR(INDEX('PORTIFÓLIO'!$H$4:$H$433,MATCH($C206,'PORTIFÓLIO'!$C$4:$C$433,0)),"")</f>
        <v/>
      </c>
      <c r="I206" s="256"/>
      <c r="J206" s="218">
        <f t="shared" si="24"/>
        <v>0</v>
      </c>
      <c r="K206" s="219" t="str">
        <f t="array" ref="K206">IFERROR(I206*INDEX('PORTIFÓLIO'!$S$4:$S$433,MATCH($C206,'PORTIFÓLIO'!$C$4:$C$433,0)),"")</f>
        <v/>
      </c>
      <c r="L206" s="219" t="str">
        <f t="array" ref="L206">IFERROR(J206*INDEX('PORTIFÓLIO'!$S$4:$S$433,MATCH($C206,'PORTIFÓLIO'!$C$4:$C$433,0)),"")</f>
        <v/>
      </c>
      <c r="M206" s="220"/>
      <c r="N206" s="220"/>
      <c r="O206" s="220"/>
      <c r="P206" s="220"/>
      <c r="Q206" s="220"/>
      <c r="R206" s="220"/>
      <c r="S206" s="220"/>
      <c r="T206" s="220"/>
      <c r="U206" s="220"/>
      <c r="V206" s="220"/>
      <c r="W206" s="220"/>
    </row>
    <row r="207" ht="15.75" customHeight="1" outlineLevel="1">
      <c r="A207" s="211"/>
      <c r="B207" s="212"/>
      <c r="C207" s="213"/>
      <c r="D207" s="214" t="str">
        <f>IFERROR(VLOOKUP($C207,'PORTIFÓLIO'!C:V,2,0),"")</f>
        <v/>
      </c>
      <c r="E207" s="211" t="str">
        <f>IFERROR(VLOOKUP($C207,'PORTIFÓLIO'!C:V,3,0),"")</f>
        <v/>
      </c>
      <c r="F207" s="211" t="str">
        <f>IFERROR(VLOOKUP($C207,'PORTIFÓLIO'!C:V,4,0),"")</f>
        <v/>
      </c>
      <c r="G207" s="215" t="str">
        <f>IFERROR(VLOOKUP($C207,'PORTIFÓLIO'!C:V,5,0),"")</f>
        <v/>
      </c>
      <c r="H207" s="254" t="str">
        <f t="array" ref="H207">IFERROR(INDEX('PORTIFÓLIO'!$H$4:$H$433,MATCH($C207,'PORTIFÓLIO'!$C$4:$C$433,0)),"")</f>
        <v/>
      </c>
      <c r="I207" s="256"/>
      <c r="J207" s="218">
        <f t="shared" si="24"/>
        <v>0</v>
      </c>
      <c r="K207" s="219" t="str">
        <f t="array" ref="K207">IFERROR(I207*INDEX('PORTIFÓLIO'!$S$4:$S$433,MATCH($C207,'PORTIFÓLIO'!$C$4:$C$433,0)),"")</f>
        <v/>
      </c>
      <c r="L207" s="219" t="str">
        <f t="array" ref="L207">IFERROR(J207*INDEX('PORTIFÓLIO'!$S$4:$S$433,MATCH($C207,'PORTIFÓLIO'!$C$4:$C$433,0)),"")</f>
        <v/>
      </c>
      <c r="M207" s="220"/>
      <c r="N207" s="220"/>
      <c r="O207" s="220"/>
      <c r="P207" s="220"/>
      <c r="Q207" s="220"/>
      <c r="R207" s="220"/>
      <c r="S207" s="220"/>
      <c r="T207" s="220"/>
      <c r="U207" s="220"/>
      <c r="V207" s="220"/>
      <c r="W207" s="220"/>
    </row>
    <row r="208" ht="15.75" customHeight="1" outlineLevel="1">
      <c r="A208" s="211"/>
      <c r="B208" s="212"/>
      <c r="C208" s="213"/>
      <c r="D208" s="214" t="str">
        <f>IFERROR(VLOOKUP($C208,'PORTIFÓLIO'!C:V,2,0),"")</f>
        <v/>
      </c>
      <c r="E208" s="211" t="str">
        <f>IFERROR(VLOOKUP($C208,'PORTIFÓLIO'!C:V,3,0),"")</f>
        <v/>
      </c>
      <c r="F208" s="211" t="str">
        <f>IFERROR(VLOOKUP($C208,'PORTIFÓLIO'!C:V,4,0),"")</f>
        <v/>
      </c>
      <c r="G208" s="215" t="str">
        <f>IFERROR(VLOOKUP($C208,'PORTIFÓLIO'!C:V,5,0),"")</f>
        <v/>
      </c>
      <c r="H208" s="254" t="str">
        <f t="array" ref="H208">IFERROR(INDEX('PORTIFÓLIO'!$H$4:$H$433,MATCH($C208,'PORTIFÓLIO'!$C$4:$C$433,0)),"")</f>
        <v/>
      </c>
      <c r="I208" s="256"/>
      <c r="J208" s="218">
        <f t="shared" si="24"/>
        <v>0</v>
      </c>
      <c r="K208" s="219" t="str">
        <f t="array" ref="K208">IFERROR(I208*INDEX('PORTIFÓLIO'!$S$4:$S$433,MATCH($C208,'PORTIFÓLIO'!$C$4:$C$433,0)),"")</f>
        <v/>
      </c>
      <c r="L208" s="219" t="str">
        <f t="array" ref="L208">IFERROR(J208*INDEX('PORTIFÓLIO'!$S$4:$S$433,MATCH($C208,'PORTIFÓLIO'!$C$4:$C$433,0)),"")</f>
        <v/>
      </c>
      <c r="M208" s="220"/>
      <c r="N208" s="220"/>
      <c r="O208" s="220"/>
      <c r="P208" s="220"/>
      <c r="Q208" s="220"/>
      <c r="R208" s="220"/>
      <c r="S208" s="220"/>
      <c r="T208" s="220"/>
      <c r="U208" s="220"/>
      <c r="V208" s="220"/>
      <c r="W208" s="220"/>
    </row>
    <row r="209" ht="15.75" customHeight="1" outlineLevel="1">
      <c r="A209" s="211"/>
      <c r="B209" s="212"/>
      <c r="C209" s="213"/>
      <c r="D209" s="214" t="str">
        <f>IFERROR(VLOOKUP($C209,'PORTIFÓLIO'!C:V,2,0),"")</f>
        <v/>
      </c>
      <c r="E209" s="211" t="str">
        <f>IFERROR(VLOOKUP($C209,'PORTIFÓLIO'!C:V,3,0),"")</f>
        <v/>
      </c>
      <c r="F209" s="211" t="str">
        <f>IFERROR(VLOOKUP($C209,'PORTIFÓLIO'!C:V,4,0),"")</f>
        <v/>
      </c>
      <c r="G209" s="215" t="str">
        <f>IFERROR(VLOOKUP($C209,'PORTIFÓLIO'!C:V,5,0),"")</f>
        <v/>
      </c>
      <c r="H209" s="254" t="str">
        <f t="array" ref="H209">IFERROR(INDEX('PORTIFÓLIO'!$H$4:$H$433,MATCH($C209,'PORTIFÓLIO'!$C$4:$C$433,0)),"")</f>
        <v/>
      </c>
      <c r="I209" s="256"/>
      <c r="J209" s="218">
        <f t="shared" si="24"/>
        <v>0</v>
      </c>
      <c r="K209" s="219" t="str">
        <f t="array" ref="K209">IFERROR(I209*INDEX('PORTIFÓLIO'!$S$4:$S$433,MATCH($C209,'PORTIFÓLIO'!$C$4:$C$433,0)),"")</f>
        <v/>
      </c>
      <c r="L209" s="219" t="str">
        <f t="array" ref="L209">IFERROR(J209*INDEX('PORTIFÓLIO'!$S$4:$S$433,MATCH($C209,'PORTIFÓLIO'!$C$4:$C$433,0)),"")</f>
        <v/>
      </c>
      <c r="M209" s="220"/>
      <c r="N209" s="220"/>
      <c r="O209" s="220"/>
      <c r="P209" s="220"/>
      <c r="Q209" s="220"/>
      <c r="R209" s="220"/>
      <c r="S209" s="220"/>
      <c r="T209" s="220"/>
      <c r="U209" s="220"/>
      <c r="V209" s="220"/>
      <c r="W209" s="220"/>
    </row>
    <row r="210" ht="15.75" customHeight="1" outlineLevel="1">
      <c r="A210" s="211"/>
      <c r="B210" s="212"/>
      <c r="C210" s="213"/>
      <c r="D210" s="214" t="str">
        <f>IFERROR(VLOOKUP($C210,'PORTIFÓLIO'!C:V,2,0),"")</f>
        <v/>
      </c>
      <c r="E210" s="211" t="str">
        <f>IFERROR(VLOOKUP($C210,'PORTIFÓLIO'!C:V,3,0),"")</f>
        <v/>
      </c>
      <c r="F210" s="211" t="str">
        <f>IFERROR(VLOOKUP($C210,'PORTIFÓLIO'!C:V,4,0),"")</f>
        <v/>
      </c>
      <c r="G210" s="215" t="str">
        <f>IFERROR(VLOOKUP($C210,'PORTIFÓLIO'!C:V,5,0),"")</f>
        <v/>
      </c>
      <c r="H210" s="254" t="str">
        <f t="array" ref="H210">IFERROR(INDEX('PORTIFÓLIO'!$H$4:$H$433,MATCH($C210,'PORTIFÓLIO'!$C$4:$C$433,0)),"")</f>
        <v/>
      </c>
      <c r="I210" s="256"/>
      <c r="J210" s="218">
        <f t="shared" si="24"/>
        <v>0</v>
      </c>
      <c r="K210" s="219" t="str">
        <f t="array" ref="K210">IFERROR(I210*INDEX('PORTIFÓLIO'!$S$4:$S$433,MATCH($C210,'PORTIFÓLIO'!$C$4:$C$433,0)),"")</f>
        <v/>
      </c>
      <c r="L210" s="219" t="str">
        <f t="array" ref="L210">IFERROR(J210*INDEX('PORTIFÓLIO'!$S$4:$S$433,MATCH($C210,'PORTIFÓLIO'!$C$4:$C$433,0)),"")</f>
        <v/>
      </c>
      <c r="M210" s="220"/>
      <c r="N210" s="220"/>
      <c r="O210" s="220"/>
      <c r="P210" s="220"/>
      <c r="Q210" s="220"/>
      <c r="R210" s="220"/>
      <c r="S210" s="220"/>
      <c r="T210" s="220"/>
      <c r="U210" s="220"/>
      <c r="V210" s="220"/>
      <c r="W210" s="220"/>
    </row>
    <row r="211" ht="15.75" customHeight="1" outlineLevel="1">
      <c r="A211" s="211"/>
      <c r="B211" s="212"/>
      <c r="C211" s="213"/>
      <c r="D211" s="214" t="str">
        <f>IFERROR(VLOOKUP($C211,'PORTIFÓLIO'!C:V,2,0),"")</f>
        <v/>
      </c>
      <c r="E211" s="211" t="str">
        <f>IFERROR(VLOOKUP($C211,'PORTIFÓLIO'!C:V,3,0),"")</f>
        <v/>
      </c>
      <c r="F211" s="211" t="str">
        <f>IFERROR(VLOOKUP($C211,'PORTIFÓLIO'!C:V,4,0),"")</f>
        <v/>
      </c>
      <c r="G211" s="215" t="str">
        <f>IFERROR(VLOOKUP($C211,'PORTIFÓLIO'!C:V,5,0),"")</f>
        <v/>
      </c>
      <c r="H211" s="254" t="str">
        <f t="array" ref="H211">IFERROR(INDEX('PORTIFÓLIO'!$H$4:$H$433,MATCH($C211,'PORTIFÓLIO'!$C$4:$C$433,0)),"")</f>
        <v/>
      </c>
      <c r="I211" s="256"/>
      <c r="J211" s="218">
        <f t="shared" si="24"/>
        <v>0</v>
      </c>
      <c r="K211" s="219" t="str">
        <f t="array" ref="K211">IFERROR(I211*INDEX('PORTIFÓLIO'!$S$4:$S$433,MATCH($C211,'PORTIFÓLIO'!$C$4:$C$433,0)),"")</f>
        <v/>
      </c>
      <c r="L211" s="219" t="str">
        <f t="array" ref="L211">IFERROR(J211*INDEX('PORTIFÓLIO'!$S$4:$S$433,MATCH($C211,'PORTIFÓLIO'!$C$4:$C$433,0)),"")</f>
        <v/>
      </c>
      <c r="M211" s="220"/>
      <c r="N211" s="220"/>
      <c r="O211" s="220"/>
      <c r="P211" s="220"/>
      <c r="Q211" s="220"/>
      <c r="R211" s="220"/>
      <c r="S211" s="220"/>
      <c r="T211" s="220"/>
      <c r="U211" s="220"/>
      <c r="V211" s="220"/>
      <c r="W211" s="220"/>
    </row>
    <row r="212" ht="15.75" customHeight="1" outlineLevel="1">
      <c r="A212" s="211"/>
      <c r="B212" s="212"/>
      <c r="C212" s="213"/>
      <c r="D212" s="214" t="str">
        <f>IFERROR(VLOOKUP($C212,'PORTIFÓLIO'!C:V,2,0),"")</f>
        <v/>
      </c>
      <c r="E212" s="211" t="str">
        <f>IFERROR(VLOOKUP($C212,'PORTIFÓLIO'!C:V,3,0),"")</f>
        <v/>
      </c>
      <c r="F212" s="211" t="str">
        <f>IFERROR(VLOOKUP($C212,'PORTIFÓLIO'!C:V,4,0),"")</f>
        <v/>
      </c>
      <c r="G212" s="215" t="str">
        <f>IFERROR(VLOOKUP($C212,'PORTIFÓLIO'!C:V,5,0),"")</f>
        <v/>
      </c>
      <c r="H212" s="254" t="str">
        <f t="array" ref="H212">IFERROR(INDEX('PORTIFÓLIO'!$H$4:$H$433,MATCH($C212,'PORTIFÓLIO'!$C$4:$C$433,0)),"")</f>
        <v/>
      </c>
      <c r="I212" s="256"/>
      <c r="J212" s="218">
        <f t="shared" si="24"/>
        <v>0</v>
      </c>
      <c r="K212" s="219" t="str">
        <f t="array" ref="K212">IFERROR(I212*INDEX('PORTIFÓLIO'!$S$4:$S$433,MATCH($C212,'PORTIFÓLIO'!$C$4:$C$433,0)),"")</f>
        <v/>
      </c>
      <c r="L212" s="219" t="str">
        <f t="array" ref="L212">IFERROR(J212*INDEX('PORTIFÓLIO'!$S$4:$S$433,MATCH($C212,'PORTIFÓLIO'!$C$4:$C$433,0)),"")</f>
        <v/>
      </c>
      <c r="M212" s="220"/>
      <c r="N212" s="220"/>
      <c r="O212" s="220"/>
      <c r="P212" s="220"/>
      <c r="Q212" s="220"/>
      <c r="R212" s="220"/>
      <c r="S212" s="220"/>
      <c r="T212" s="220"/>
      <c r="U212" s="220"/>
      <c r="V212" s="220"/>
      <c r="W212" s="220"/>
    </row>
    <row r="213" ht="15.75" customHeight="1" outlineLevel="1">
      <c r="A213" s="211"/>
      <c r="B213" s="212"/>
      <c r="C213" s="213"/>
      <c r="D213" s="214" t="str">
        <f>IFERROR(VLOOKUP($C213,'PORTIFÓLIO'!C:V,2,0),"")</f>
        <v/>
      </c>
      <c r="E213" s="211" t="str">
        <f>IFERROR(VLOOKUP($C213,'PORTIFÓLIO'!C:V,3,0),"")</f>
        <v/>
      </c>
      <c r="F213" s="211" t="str">
        <f>IFERROR(VLOOKUP($C213,'PORTIFÓLIO'!C:V,4,0),"")</f>
        <v/>
      </c>
      <c r="G213" s="215" t="str">
        <f>IFERROR(VLOOKUP($C213,'PORTIFÓLIO'!C:V,5,0),"")</f>
        <v/>
      </c>
      <c r="H213" s="254" t="str">
        <f t="array" ref="H213">IFERROR(INDEX('PORTIFÓLIO'!$H$4:$H$433,MATCH($C213,'PORTIFÓLIO'!$C$4:$C$433,0)),"")</f>
        <v/>
      </c>
      <c r="I213" s="256"/>
      <c r="J213" s="218">
        <f t="shared" si="24"/>
        <v>0</v>
      </c>
      <c r="K213" s="219" t="str">
        <f t="array" ref="K213">IFERROR(I213*INDEX('PORTIFÓLIO'!$S$4:$S$433,MATCH($C213,'PORTIFÓLIO'!$C$4:$C$433,0)),"")</f>
        <v/>
      </c>
      <c r="L213" s="219" t="str">
        <f t="array" ref="L213">IFERROR(J213*INDEX('PORTIFÓLIO'!$S$4:$S$433,MATCH($C213,'PORTIFÓLIO'!$C$4:$C$433,0)),"")</f>
        <v/>
      </c>
      <c r="M213" s="220"/>
      <c r="N213" s="220"/>
      <c r="O213" s="220"/>
      <c r="P213" s="220"/>
      <c r="Q213" s="220"/>
      <c r="R213" s="220"/>
      <c r="S213" s="220"/>
      <c r="T213" s="220"/>
      <c r="U213" s="220"/>
      <c r="V213" s="220"/>
      <c r="W213" s="220"/>
    </row>
    <row r="214" ht="15.75" customHeight="1" outlineLevel="1">
      <c r="A214" s="211"/>
      <c r="B214" s="212"/>
      <c r="C214" s="213"/>
      <c r="D214" s="214" t="str">
        <f>IFERROR(VLOOKUP($C214,'PORTIFÓLIO'!C:V,2,0),"")</f>
        <v/>
      </c>
      <c r="E214" s="211" t="str">
        <f>IFERROR(VLOOKUP($C214,'PORTIFÓLIO'!C:V,3,0),"")</f>
        <v/>
      </c>
      <c r="F214" s="211" t="str">
        <f>IFERROR(VLOOKUP($C214,'PORTIFÓLIO'!C:V,4,0),"")</f>
        <v/>
      </c>
      <c r="G214" s="215" t="str">
        <f>IFERROR(VLOOKUP($C214,'PORTIFÓLIO'!C:V,5,0),"")</f>
        <v/>
      </c>
      <c r="H214" s="254" t="str">
        <f t="array" ref="H214">IFERROR(INDEX('PORTIFÓLIO'!$H$4:$H$433,MATCH($C214,'PORTIFÓLIO'!$C$4:$C$433,0)),"")</f>
        <v/>
      </c>
      <c r="I214" s="256"/>
      <c r="J214" s="218">
        <f t="shared" si="24"/>
        <v>0</v>
      </c>
      <c r="K214" s="219" t="str">
        <f t="array" ref="K214">IFERROR(I214*INDEX('PORTIFÓLIO'!$S$4:$S$433,MATCH($C214,'PORTIFÓLIO'!$C$4:$C$433,0)),"")</f>
        <v/>
      </c>
      <c r="L214" s="219" t="str">
        <f t="array" ref="L214">IFERROR(J214*INDEX('PORTIFÓLIO'!$S$4:$S$433,MATCH($C214,'PORTIFÓLIO'!$C$4:$C$433,0)),"")</f>
        <v/>
      </c>
      <c r="M214" s="220"/>
      <c r="N214" s="220"/>
      <c r="O214" s="220"/>
      <c r="P214" s="220"/>
      <c r="Q214" s="220"/>
      <c r="R214" s="220"/>
      <c r="S214" s="220"/>
      <c r="T214" s="220"/>
      <c r="U214" s="220"/>
      <c r="V214" s="220"/>
      <c r="W214" s="220"/>
    </row>
    <row r="215" ht="15.75" customHeight="1" outlineLevel="1">
      <c r="A215" s="211"/>
      <c r="B215" s="212"/>
      <c r="C215" s="213"/>
      <c r="D215" s="214" t="str">
        <f>IFERROR(VLOOKUP($C215,'PORTIFÓLIO'!C:V,2,0),"")</f>
        <v/>
      </c>
      <c r="E215" s="211" t="str">
        <f>IFERROR(VLOOKUP($C215,'PORTIFÓLIO'!C:V,3,0),"")</f>
        <v/>
      </c>
      <c r="F215" s="211" t="str">
        <f>IFERROR(VLOOKUP($C215,'PORTIFÓLIO'!C:V,4,0),"")</f>
        <v/>
      </c>
      <c r="G215" s="215" t="str">
        <f>IFERROR(VLOOKUP($C215,'PORTIFÓLIO'!C:V,5,0),"")</f>
        <v/>
      </c>
      <c r="H215" s="254" t="str">
        <f t="array" ref="H215">IFERROR(INDEX('PORTIFÓLIO'!$H$4:$H$433,MATCH($C215,'PORTIFÓLIO'!$C$4:$C$433,0)),"")</f>
        <v/>
      </c>
      <c r="I215" s="256"/>
      <c r="J215" s="218">
        <f t="shared" si="24"/>
        <v>0</v>
      </c>
      <c r="K215" s="219" t="str">
        <f t="array" ref="K215">IFERROR(I215*INDEX('PORTIFÓLIO'!$S$4:$S$433,MATCH($C215,'PORTIFÓLIO'!$C$4:$C$433,0)),"")</f>
        <v/>
      </c>
      <c r="L215" s="219" t="str">
        <f t="array" ref="L215">IFERROR(J215*INDEX('PORTIFÓLIO'!$S$4:$S$433,MATCH($C215,'PORTIFÓLIO'!$C$4:$C$433,0)),"")</f>
        <v/>
      </c>
      <c r="M215" s="220"/>
      <c r="N215" s="220"/>
      <c r="O215" s="220"/>
      <c r="P215" s="220"/>
      <c r="Q215" s="220"/>
      <c r="R215" s="220"/>
      <c r="S215" s="220"/>
      <c r="T215" s="220"/>
      <c r="U215" s="220"/>
      <c r="V215" s="220"/>
      <c r="W215" s="220"/>
    </row>
    <row r="216" ht="15.75" customHeight="1" outlineLevel="1">
      <c r="A216" s="211"/>
      <c r="B216" s="227"/>
      <c r="C216" s="211"/>
      <c r="D216" s="214" t="str">
        <f>IFERROR(VLOOKUP($C216,'PORTIFÓLIO'!C:V,2,0),"")</f>
        <v/>
      </c>
      <c r="E216" s="211" t="str">
        <f>IFERROR(VLOOKUP($C216,'PORTIFÓLIO'!C:V,3,0),"")</f>
        <v/>
      </c>
      <c r="F216" s="211" t="str">
        <f>IFERROR(VLOOKUP($C216,'PORTIFÓLIO'!C:V,4,0),"")</f>
        <v/>
      </c>
      <c r="G216" s="215" t="str">
        <f>IFERROR(VLOOKUP($C216,'PORTIFÓLIO'!C:V,5,0),"")</f>
        <v/>
      </c>
      <c r="H216" s="254" t="str">
        <f t="array" ref="H216">IFERROR(INDEX('PORTIFÓLIO'!$H$4:$H$433,MATCH($C216,'PORTIFÓLIO'!$C$4:$C$433,0)),"")</f>
        <v/>
      </c>
      <c r="I216" s="256"/>
      <c r="J216" s="218">
        <f t="shared" si="24"/>
        <v>0</v>
      </c>
      <c r="K216" s="219" t="str">
        <f t="array" ref="K216">IFERROR(I216*INDEX('PORTIFÓLIO'!$S$4:$S$433,MATCH($C216,'PORTIFÓLIO'!$C$4:$C$433,0)),"")</f>
        <v/>
      </c>
      <c r="L216" s="219" t="str">
        <f t="array" ref="L216">IFERROR(J216*INDEX('PORTIFÓLIO'!$S$4:$S$433,MATCH($C216,'PORTIFÓLIO'!$C$4:$C$433,0)),"")</f>
        <v/>
      </c>
      <c r="M216" s="220"/>
      <c r="N216" s="220"/>
      <c r="O216" s="220"/>
      <c r="P216" s="220"/>
      <c r="Q216" s="220"/>
      <c r="R216" s="220"/>
      <c r="S216" s="220"/>
      <c r="T216" s="220"/>
      <c r="U216" s="220"/>
      <c r="V216" s="220"/>
      <c r="W216" s="220"/>
    </row>
    <row r="217" ht="15.75" customHeight="1" outlineLevel="1">
      <c r="A217" s="211"/>
      <c r="B217" s="227"/>
      <c r="C217" s="211"/>
      <c r="D217" s="214" t="str">
        <f>IFERROR(VLOOKUP($C217,'PORTIFÓLIO'!C:V,2,0),"")</f>
        <v/>
      </c>
      <c r="E217" s="211" t="str">
        <f>IFERROR(VLOOKUP($C217,'PORTIFÓLIO'!C:V,3,0),"")</f>
        <v/>
      </c>
      <c r="F217" s="211" t="str">
        <f>IFERROR(VLOOKUP($C217,'PORTIFÓLIO'!C:V,4,0),"")</f>
        <v/>
      </c>
      <c r="G217" s="215" t="str">
        <f>IFERROR(VLOOKUP($C217,'PORTIFÓLIO'!C:V,5,0),"")</f>
        <v/>
      </c>
      <c r="H217" s="254" t="str">
        <f t="array" ref="H217">IFERROR(INDEX('PORTIFÓLIO'!$H$4:$H$433,MATCH($C217,'PORTIFÓLIO'!$C$4:$C$433,0)),"")</f>
        <v/>
      </c>
      <c r="I217" s="256"/>
      <c r="J217" s="218">
        <f t="shared" si="24"/>
        <v>0</v>
      </c>
      <c r="K217" s="219" t="str">
        <f t="array" ref="K217">IFERROR(I217*INDEX('PORTIFÓLIO'!$S$4:$S$433,MATCH($C217,'PORTIFÓLIO'!$C$4:$C$433,0)),"")</f>
        <v/>
      </c>
      <c r="L217" s="219" t="str">
        <f t="array" ref="L217">IFERROR(J217*INDEX('PORTIFÓLIO'!$S$4:$S$433,MATCH($C217,'PORTIFÓLIO'!$C$4:$C$433,0)),"")</f>
        <v/>
      </c>
      <c r="M217" s="220"/>
      <c r="N217" s="220"/>
      <c r="O217" s="220"/>
      <c r="P217" s="220"/>
      <c r="Q217" s="220"/>
      <c r="R217" s="220"/>
      <c r="S217" s="220"/>
      <c r="T217" s="220"/>
      <c r="U217" s="220"/>
      <c r="V217" s="220"/>
      <c r="W217" s="220"/>
    </row>
    <row r="218" ht="15.75" customHeight="1" outlineLevel="1">
      <c r="A218" s="211"/>
      <c r="B218" s="227"/>
      <c r="C218" s="211"/>
      <c r="D218" s="214" t="str">
        <f>IFERROR(VLOOKUP($C218,'PORTIFÓLIO'!C:V,2,0),"")</f>
        <v/>
      </c>
      <c r="E218" s="211" t="str">
        <f>IFERROR(VLOOKUP($C218,'PORTIFÓLIO'!C:V,3,0),"")</f>
        <v/>
      </c>
      <c r="F218" s="211" t="str">
        <f>IFERROR(VLOOKUP($C218,'PORTIFÓLIO'!C:V,4,0),"")</f>
        <v/>
      </c>
      <c r="G218" s="215" t="str">
        <f>IFERROR(VLOOKUP($C218,'PORTIFÓLIO'!C:V,5,0),"")</f>
        <v/>
      </c>
      <c r="H218" s="254" t="str">
        <f t="array" ref="H218">IFERROR(INDEX('PORTIFÓLIO'!$H$4:$H$433,MATCH($C218,'PORTIFÓLIO'!$C$4:$C$433,0)),"")</f>
        <v/>
      </c>
      <c r="I218" s="256"/>
      <c r="J218" s="218">
        <f t="shared" si="24"/>
        <v>0</v>
      </c>
      <c r="K218" s="219" t="str">
        <f t="array" ref="K218">IFERROR(I218*INDEX('PORTIFÓLIO'!$S$4:$S$433,MATCH($C218,'PORTIFÓLIO'!$C$4:$C$433,0)),"")</f>
        <v/>
      </c>
      <c r="L218" s="219" t="str">
        <f t="array" ref="L218">IFERROR(J218*INDEX('PORTIFÓLIO'!$S$4:$S$433,MATCH($C218,'PORTIFÓLIO'!$C$4:$C$433,0)),"")</f>
        <v/>
      </c>
      <c r="M218" s="220"/>
      <c r="N218" s="220"/>
      <c r="O218" s="220"/>
      <c r="P218" s="220"/>
      <c r="Q218" s="220"/>
      <c r="R218" s="220"/>
      <c r="S218" s="220"/>
      <c r="T218" s="220"/>
      <c r="U218" s="220"/>
      <c r="V218" s="220"/>
      <c r="W218" s="220"/>
    </row>
    <row r="219" ht="15.75" customHeight="1" outlineLevel="1">
      <c r="A219" s="211"/>
      <c r="B219" s="227"/>
      <c r="C219" s="211"/>
      <c r="D219" s="214" t="str">
        <f>IFERROR(VLOOKUP($C219,'PORTIFÓLIO'!C:V,2,0),"")</f>
        <v/>
      </c>
      <c r="E219" s="211" t="str">
        <f>IFERROR(VLOOKUP($C219,'PORTIFÓLIO'!C:V,3,0),"")</f>
        <v/>
      </c>
      <c r="F219" s="211" t="str">
        <f>IFERROR(VLOOKUP($C219,'PORTIFÓLIO'!C:V,4,0),"")</f>
        <v/>
      </c>
      <c r="G219" s="215" t="str">
        <f>IFERROR(VLOOKUP($C219,'PORTIFÓLIO'!C:V,5,0),"")</f>
        <v/>
      </c>
      <c r="H219" s="254" t="str">
        <f t="array" ref="H219">IFERROR(INDEX('PORTIFÓLIO'!$H$4:$H$433,MATCH($C219,'PORTIFÓLIO'!$C$4:$C$433,0)),"")</f>
        <v/>
      </c>
      <c r="I219" s="256"/>
      <c r="J219" s="218">
        <f t="shared" si="24"/>
        <v>0</v>
      </c>
      <c r="K219" s="219" t="str">
        <f t="array" ref="K219">IFERROR(I219*INDEX('PORTIFÓLIO'!$S$4:$S$433,MATCH($C219,'PORTIFÓLIO'!$C$4:$C$433,0)),"")</f>
        <v/>
      </c>
      <c r="L219" s="219" t="str">
        <f t="array" ref="L219">IFERROR(J219*INDEX('PORTIFÓLIO'!$S$4:$S$433,MATCH($C219,'PORTIFÓLIO'!$C$4:$C$433,0)),"")</f>
        <v/>
      </c>
      <c r="M219" s="220"/>
      <c r="N219" s="220"/>
      <c r="O219" s="220"/>
      <c r="P219" s="220"/>
      <c r="Q219" s="220"/>
      <c r="R219" s="220"/>
      <c r="S219" s="220"/>
      <c r="T219" s="220"/>
      <c r="U219" s="220"/>
      <c r="V219" s="220"/>
      <c r="W219" s="220"/>
    </row>
    <row r="220" ht="15.75" customHeight="1" outlineLevel="1">
      <c r="A220" s="211"/>
      <c r="B220" s="227"/>
      <c r="C220" s="211"/>
      <c r="D220" s="214" t="str">
        <f>IFERROR(VLOOKUP($C220,'PORTIFÓLIO'!C:V,2,0),"")</f>
        <v/>
      </c>
      <c r="E220" s="211" t="str">
        <f>IFERROR(VLOOKUP($C220,'PORTIFÓLIO'!C:V,3,0),"")</f>
        <v/>
      </c>
      <c r="F220" s="211" t="str">
        <f>IFERROR(VLOOKUP($C220,'PORTIFÓLIO'!C:V,4,0),"")</f>
        <v/>
      </c>
      <c r="G220" s="215" t="str">
        <f>IFERROR(VLOOKUP($C220,'PORTIFÓLIO'!C:V,5,0),"")</f>
        <v/>
      </c>
      <c r="H220" s="254" t="str">
        <f t="array" ref="H220">IFERROR(INDEX('PORTIFÓLIO'!$H$4:$H$433,MATCH($C220,'PORTIFÓLIO'!$C$4:$C$433,0)),"")</f>
        <v/>
      </c>
      <c r="I220" s="256"/>
      <c r="J220" s="218">
        <f t="shared" si="24"/>
        <v>0</v>
      </c>
      <c r="K220" s="219" t="str">
        <f t="array" ref="K220">IFERROR(I220*INDEX('PORTIFÓLIO'!$S$4:$S$433,MATCH($C220,'PORTIFÓLIO'!$C$4:$C$433,0)),"")</f>
        <v/>
      </c>
      <c r="L220" s="219" t="str">
        <f t="array" ref="L220">IFERROR(J220*INDEX('PORTIFÓLIO'!$S$4:$S$433,MATCH($C220,'PORTIFÓLIO'!$C$4:$C$433,0)),"")</f>
        <v/>
      </c>
      <c r="M220" s="220"/>
      <c r="N220" s="220"/>
      <c r="O220" s="220"/>
      <c r="P220" s="220"/>
      <c r="Q220" s="220"/>
      <c r="R220" s="220"/>
      <c r="S220" s="220"/>
      <c r="T220" s="220"/>
      <c r="U220" s="220"/>
      <c r="V220" s="220"/>
      <c r="W220" s="220"/>
    </row>
    <row r="221" ht="15.75" customHeight="1" outlineLevel="1">
      <c r="A221" s="211"/>
      <c r="B221" s="227"/>
      <c r="C221" s="211"/>
      <c r="D221" s="214" t="str">
        <f>IFERROR(VLOOKUP($C221,'PORTIFÓLIO'!C:V,2,0),"")</f>
        <v/>
      </c>
      <c r="E221" s="211" t="str">
        <f>IFERROR(VLOOKUP($C221,'PORTIFÓLIO'!C:V,3,0),"")</f>
        <v/>
      </c>
      <c r="F221" s="211" t="str">
        <f>IFERROR(VLOOKUP($C221,'PORTIFÓLIO'!C:V,4,0),"")</f>
        <v/>
      </c>
      <c r="G221" s="215" t="str">
        <f>IFERROR(VLOOKUP($C221,'PORTIFÓLIO'!C:V,5,0),"")</f>
        <v/>
      </c>
      <c r="H221" s="254" t="str">
        <f t="array" ref="H221">IFERROR(INDEX('PORTIFÓLIO'!$H$4:$H$433,MATCH($C221,'PORTIFÓLIO'!$C$4:$C$433,0)),"")</f>
        <v/>
      </c>
      <c r="I221" s="256"/>
      <c r="J221" s="218">
        <f t="shared" si="24"/>
        <v>0</v>
      </c>
      <c r="K221" s="219" t="str">
        <f t="array" ref="K221">IFERROR(I221*INDEX('PORTIFÓLIO'!$S$4:$S$433,MATCH($C221,'PORTIFÓLIO'!$C$4:$C$433,0)),"")</f>
        <v/>
      </c>
      <c r="L221" s="219" t="str">
        <f t="array" ref="L221">IFERROR(J221*INDEX('PORTIFÓLIO'!$S$4:$S$433,MATCH($C221,'PORTIFÓLIO'!$C$4:$C$433,0)),"")</f>
        <v/>
      </c>
      <c r="M221" s="220"/>
      <c r="N221" s="220"/>
      <c r="O221" s="220"/>
      <c r="P221" s="220"/>
      <c r="Q221" s="220"/>
      <c r="R221" s="220"/>
      <c r="S221" s="220"/>
      <c r="T221" s="220"/>
      <c r="U221" s="220"/>
      <c r="V221" s="220"/>
      <c r="W221" s="220"/>
    </row>
    <row r="222" ht="15.75" customHeight="1" outlineLevel="1">
      <c r="A222" s="211"/>
      <c r="B222" s="227"/>
      <c r="C222" s="211"/>
      <c r="D222" s="214" t="str">
        <f>IFERROR(VLOOKUP($C222,'PORTIFÓLIO'!C:V,2,0),"")</f>
        <v/>
      </c>
      <c r="E222" s="211" t="str">
        <f>IFERROR(VLOOKUP($C222,'PORTIFÓLIO'!C:V,3,0),"")</f>
        <v/>
      </c>
      <c r="F222" s="211" t="str">
        <f>IFERROR(VLOOKUP($C222,'PORTIFÓLIO'!C:V,4,0),"")</f>
        <v/>
      </c>
      <c r="G222" s="215" t="str">
        <f>IFERROR(VLOOKUP($C222,'PORTIFÓLIO'!C:V,5,0),"")</f>
        <v/>
      </c>
      <c r="H222" s="254" t="str">
        <f t="array" ref="H222">IFERROR(INDEX('PORTIFÓLIO'!$H$4:$H$433,MATCH($C222,'PORTIFÓLIO'!$C$4:$C$433,0)),"")</f>
        <v/>
      </c>
      <c r="I222" s="256"/>
      <c r="J222" s="218">
        <f t="shared" si="24"/>
        <v>0</v>
      </c>
      <c r="K222" s="219" t="str">
        <f t="array" ref="K222">IFERROR(I222*INDEX('PORTIFÓLIO'!$S$4:$S$433,MATCH($C222,'PORTIFÓLIO'!$C$4:$C$433,0)),"")</f>
        <v/>
      </c>
      <c r="L222" s="219" t="str">
        <f t="array" ref="L222">IFERROR(J222*INDEX('PORTIFÓLIO'!$S$4:$S$433,MATCH($C222,'PORTIFÓLIO'!$C$4:$C$433,0)),"")</f>
        <v/>
      </c>
      <c r="M222" s="220"/>
      <c r="N222" s="220"/>
      <c r="O222" s="220"/>
      <c r="P222" s="220"/>
      <c r="Q222" s="220"/>
      <c r="R222" s="220"/>
      <c r="S222" s="220"/>
      <c r="T222" s="220"/>
      <c r="U222" s="220"/>
      <c r="V222" s="220"/>
      <c r="W222" s="220"/>
    </row>
    <row r="223" ht="15.75" customHeight="1" outlineLevel="1">
      <c r="A223" s="211"/>
      <c r="B223" s="227"/>
      <c r="C223" s="211"/>
      <c r="D223" s="214" t="str">
        <f>IFERROR(VLOOKUP($C223,'PORTIFÓLIO'!C:V,2,0),"")</f>
        <v/>
      </c>
      <c r="E223" s="211" t="str">
        <f>IFERROR(VLOOKUP($C223,'PORTIFÓLIO'!C:V,3,0),"")</f>
        <v/>
      </c>
      <c r="F223" s="211" t="str">
        <f>IFERROR(VLOOKUP($C223,'PORTIFÓLIO'!C:V,4,0),"")</f>
        <v/>
      </c>
      <c r="G223" s="215" t="str">
        <f>IFERROR(VLOOKUP($C223,'PORTIFÓLIO'!C:V,5,0),"")</f>
        <v/>
      </c>
      <c r="H223" s="254" t="str">
        <f t="array" ref="H223">IFERROR(INDEX('PORTIFÓLIO'!$H$4:$H$433,MATCH($C223,'PORTIFÓLIO'!$C$4:$C$433,0)),"")</f>
        <v/>
      </c>
      <c r="I223" s="256"/>
      <c r="J223" s="218">
        <f t="shared" si="24"/>
        <v>0</v>
      </c>
      <c r="K223" s="219" t="str">
        <f t="array" ref="K223">IFERROR(I223*INDEX('PORTIFÓLIO'!$S$4:$S$433,MATCH($C223,'PORTIFÓLIO'!$C$4:$C$433,0)),"")</f>
        <v/>
      </c>
      <c r="L223" s="219" t="str">
        <f t="array" ref="L223">IFERROR(J223*INDEX('PORTIFÓLIO'!$S$4:$S$433,MATCH($C223,'PORTIFÓLIO'!$C$4:$C$433,0)),"")</f>
        <v/>
      </c>
      <c r="M223" s="220"/>
      <c r="N223" s="220"/>
      <c r="O223" s="220"/>
      <c r="P223" s="220"/>
      <c r="Q223" s="220"/>
      <c r="R223" s="220"/>
      <c r="S223" s="220"/>
      <c r="T223" s="220"/>
      <c r="U223" s="220"/>
      <c r="V223" s="220"/>
      <c r="W223" s="220"/>
    </row>
    <row r="224" ht="15.75" customHeight="1" outlineLevel="1">
      <c r="A224" s="211"/>
      <c r="B224" s="227"/>
      <c r="C224" s="211"/>
      <c r="D224" s="214" t="str">
        <f>IFERROR(VLOOKUP($C224,'PORTIFÓLIO'!C:V,2,0),"")</f>
        <v/>
      </c>
      <c r="E224" s="211" t="str">
        <f>IFERROR(VLOOKUP($C224,'PORTIFÓLIO'!C:V,3,0),"")</f>
        <v/>
      </c>
      <c r="F224" s="211" t="str">
        <f>IFERROR(VLOOKUP($C224,'PORTIFÓLIO'!C:V,4,0),"")</f>
        <v/>
      </c>
      <c r="G224" s="215" t="str">
        <f>IFERROR(VLOOKUP($C224,'PORTIFÓLIO'!C:V,5,0),"")</f>
        <v/>
      </c>
      <c r="H224" s="254" t="str">
        <f t="array" ref="H224">IFERROR(INDEX('PORTIFÓLIO'!$H$4:$H$433,MATCH($C224,'PORTIFÓLIO'!$C$4:$C$433,0)),"")</f>
        <v/>
      </c>
      <c r="I224" s="256"/>
      <c r="J224" s="218">
        <f t="shared" si="24"/>
        <v>0</v>
      </c>
      <c r="K224" s="219" t="str">
        <f t="array" ref="K224">IFERROR(I224*INDEX('PORTIFÓLIO'!$S$4:$S$433,MATCH($C224,'PORTIFÓLIO'!$C$4:$C$433,0)),"")</f>
        <v/>
      </c>
      <c r="L224" s="219" t="str">
        <f t="array" ref="L224">IFERROR(J224*INDEX('PORTIFÓLIO'!$S$4:$S$433,MATCH($C224,'PORTIFÓLIO'!$C$4:$C$433,0)),"")</f>
        <v/>
      </c>
      <c r="M224" s="220"/>
      <c r="N224" s="220"/>
      <c r="O224" s="220"/>
      <c r="P224" s="220"/>
      <c r="Q224" s="220"/>
      <c r="R224" s="220"/>
      <c r="S224" s="220"/>
      <c r="T224" s="220"/>
      <c r="U224" s="220"/>
      <c r="V224" s="220"/>
      <c r="W224" s="220"/>
    </row>
    <row r="225" ht="15.75" customHeight="1">
      <c r="A225" s="227"/>
      <c r="B225" s="227"/>
      <c r="C225" s="227"/>
      <c r="D225" s="227"/>
      <c r="E225" s="227"/>
      <c r="F225" s="227"/>
      <c r="G225" s="215"/>
      <c r="H225" s="278" t="str">
        <f t="array" ref="H225">IFERROR(INDEX('PORTIFÓLIO'!$H$4:$H$433,MATCH($C225,'PORTIFÓLIO'!$C$4:$C$433,0)),"")</f>
        <v/>
      </c>
      <c r="I225" s="227"/>
      <c r="J225" s="227"/>
      <c r="K225" s="284">
        <f t="shared" ref="K225:L225" si="25">SUBTOTAL(9,K10:K200)</f>
        <v>1721.322087</v>
      </c>
      <c r="L225" s="284">
        <f t="shared" si="25"/>
        <v>538773.8132</v>
      </c>
      <c r="M225" s="220"/>
      <c r="N225" s="220"/>
      <c r="O225" s="220"/>
      <c r="P225" s="220"/>
      <c r="Q225" s="220"/>
      <c r="R225" s="220"/>
      <c r="S225" s="220"/>
      <c r="T225" s="220"/>
      <c r="U225" s="220"/>
      <c r="V225" s="220"/>
      <c r="W225" s="220"/>
    </row>
    <row r="226" ht="15.75" customHeight="1">
      <c r="A226" s="285"/>
      <c r="B226" s="285"/>
      <c r="C226" s="285"/>
      <c r="D226" s="285"/>
      <c r="E226" s="285"/>
      <c r="F226" s="285"/>
      <c r="G226" s="286"/>
      <c r="H226" s="286"/>
      <c r="I226" s="285"/>
      <c r="J226" s="285"/>
      <c r="K226" s="285"/>
      <c r="L226" s="285"/>
      <c r="M226" s="285"/>
      <c r="N226" s="285"/>
      <c r="O226" s="285"/>
      <c r="P226" s="285"/>
      <c r="Q226" s="285"/>
      <c r="R226" s="285"/>
      <c r="S226" s="285"/>
      <c r="T226" s="285"/>
      <c r="U226" s="285"/>
      <c r="V226" s="285"/>
      <c r="W226" s="285"/>
    </row>
    <row r="227" ht="15.75" customHeight="1">
      <c r="A227" s="260" t="s">
        <v>1203</v>
      </c>
      <c r="B227" s="261" t="str">
        <f>'ÁREA PLANTIO'!B8</f>
        <v>RONCADOR</v>
      </c>
      <c r="C227" s="262" t="s">
        <v>1166</v>
      </c>
      <c r="D227" s="263">
        <f>$K$452</f>
        <v>0</v>
      </c>
      <c r="E227" s="264"/>
      <c r="F227" s="265" t="s">
        <v>1167</v>
      </c>
      <c r="G227" s="266"/>
      <c r="H227" s="287" t="str">
        <f t="array" ref="H227">IFERROR(INDEX('PORTIFÓLIO'!$H$4:$H$433,MATCH($C227,'PORTIFÓLIO'!$C$4:$C$433,0)),"")</f>
        <v/>
      </c>
      <c r="I227" s="267"/>
      <c r="J227" s="267"/>
      <c r="K227" s="266"/>
      <c r="L227" s="220"/>
      <c r="M227" s="220"/>
      <c r="N227" s="220"/>
      <c r="O227" s="220"/>
      <c r="P227" s="220"/>
      <c r="Q227" s="220"/>
      <c r="R227" s="220"/>
      <c r="S227" s="220"/>
      <c r="T227" s="220"/>
      <c r="U227" s="220"/>
      <c r="V227" s="220"/>
      <c r="W227" s="220"/>
    </row>
    <row r="228" ht="15.75" customHeight="1">
      <c r="A228" s="260" t="s">
        <v>1168</v>
      </c>
      <c r="B228" s="268">
        <f>'ÁREA PLANTIO'!E8</f>
        <v>313</v>
      </c>
      <c r="C228" s="269" t="s">
        <v>1169</v>
      </c>
      <c r="D228" s="270" t="str">
        <f>'ÁREA PLANTIO'!I8</f>
        <v/>
      </c>
      <c r="E228" s="264"/>
      <c r="F228" s="264"/>
      <c r="G228" s="266"/>
      <c r="H228" s="287" t="str">
        <f t="array" ref="H228">IFERROR(INDEX('PORTIFÓLIO'!$H$4:$H$433,MATCH($C228,'PORTIFÓLIO'!$C$4:$C$433,0)),"")</f>
        <v/>
      </c>
      <c r="I228" s="267"/>
      <c r="J228" s="267"/>
      <c r="K228" s="266"/>
      <c r="L228" s="220"/>
      <c r="M228" s="220"/>
      <c r="N228" s="220"/>
      <c r="O228" s="220"/>
      <c r="P228" s="220"/>
      <c r="Q228" s="220"/>
      <c r="R228" s="220"/>
      <c r="S228" s="220"/>
      <c r="T228" s="220"/>
      <c r="U228" s="220"/>
      <c r="V228" s="220"/>
      <c r="W228" s="220"/>
    </row>
    <row r="229" ht="15.75" customHeight="1">
      <c r="A229" s="260" t="s">
        <v>1170</v>
      </c>
      <c r="B229" s="267" t="str">
        <f>'ÁREA PLANTIO'!H8</f>
        <v/>
      </c>
      <c r="C229" s="269" t="s">
        <v>1171</v>
      </c>
      <c r="D229" s="271" t="str">
        <f>D227/D228</f>
        <v>#DIV/0!</v>
      </c>
      <c r="E229" s="264"/>
      <c r="F229" s="264"/>
      <c r="G229" s="266"/>
      <c r="H229" s="287" t="str">
        <f t="array" ref="H229">IFERROR(INDEX('PORTIFÓLIO'!$H$4:$H$433,MATCH($C229,'PORTIFÓLIO'!$C$4:$C$433,0)),"")</f>
        <v/>
      </c>
      <c r="I229" s="267"/>
      <c r="J229" s="267"/>
      <c r="K229" s="266"/>
      <c r="L229" s="220"/>
      <c r="M229" s="220"/>
      <c r="N229" s="220"/>
      <c r="O229" s="220"/>
      <c r="P229" s="220"/>
      <c r="Q229" s="220"/>
      <c r="R229" s="220"/>
      <c r="S229" s="220"/>
      <c r="T229" s="220"/>
      <c r="U229" s="220"/>
      <c r="V229" s="220"/>
      <c r="W229" s="220"/>
    </row>
    <row r="230" ht="15.75" customHeight="1">
      <c r="A230" s="272" t="s">
        <v>1172</v>
      </c>
      <c r="B230" s="273">
        <v>45606.0</v>
      </c>
      <c r="C230" s="274"/>
      <c r="D230" s="275"/>
      <c r="E230" s="276"/>
      <c r="F230" s="264"/>
      <c r="G230" s="266"/>
      <c r="H230" s="287" t="str">
        <f t="array" ref="H230">IFERROR(INDEX('PORTIFÓLIO'!$H$4:$H$433,MATCH($C230,'PORTIFÓLIO'!$C$4:$C$433,0)),"")</f>
        <v/>
      </c>
      <c r="I230" s="267"/>
      <c r="J230" s="267"/>
      <c r="K230" s="266"/>
      <c r="L230" s="220"/>
      <c r="M230" s="220"/>
      <c r="N230" s="220"/>
      <c r="O230" s="220"/>
      <c r="P230" s="220"/>
      <c r="Q230" s="220"/>
      <c r="R230" s="220"/>
      <c r="S230" s="220"/>
      <c r="T230" s="220"/>
      <c r="U230" s="220"/>
      <c r="V230" s="220"/>
      <c r="W230" s="220"/>
    </row>
    <row r="231" ht="15.75" customHeight="1">
      <c r="E231" s="277"/>
      <c r="F231" s="264"/>
      <c r="G231" s="266"/>
      <c r="H231" s="287" t="str">
        <f t="array" ref="H231">IFERROR(INDEX('PORTIFÓLIO'!$H$4:$H$433,MATCH($C231,'PORTIFÓLIO'!$C$4:$C$433,0)),"")</f>
        <v/>
      </c>
      <c r="I231" s="267"/>
      <c r="J231" s="267"/>
      <c r="K231" s="266"/>
      <c r="L231" s="220"/>
      <c r="M231" s="220"/>
      <c r="N231" s="220"/>
      <c r="O231" s="220"/>
      <c r="P231" s="220"/>
      <c r="Q231" s="220"/>
      <c r="R231" s="220"/>
      <c r="S231" s="220"/>
      <c r="T231" s="220"/>
      <c r="U231" s="220"/>
      <c r="V231" s="220"/>
      <c r="W231" s="220"/>
    </row>
    <row r="232" ht="15.75" customHeight="1">
      <c r="A232" s="260"/>
      <c r="B232" s="267"/>
      <c r="C232" s="264"/>
      <c r="D232" s="264"/>
      <c r="E232" s="264"/>
      <c r="F232" s="264"/>
      <c r="G232" s="266"/>
      <c r="H232" s="287" t="str">
        <f t="array" ref="H232">IFERROR(INDEX('PORTIFÓLIO'!$H$4:$H$433,MATCH($C232,'PORTIFÓLIO'!$C$4:$C$433,0)),"")</f>
        <v/>
      </c>
      <c r="I232" s="267"/>
      <c r="J232" s="267"/>
      <c r="K232" s="266"/>
      <c r="L232" s="220"/>
      <c r="M232" s="220"/>
      <c r="N232" s="220"/>
      <c r="O232" s="220"/>
      <c r="P232" s="220"/>
      <c r="Q232" s="220"/>
      <c r="R232" s="220"/>
      <c r="S232" s="220"/>
      <c r="T232" s="220"/>
      <c r="U232" s="220"/>
      <c r="V232" s="220"/>
      <c r="W232" s="220"/>
    </row>
    <row r="233" ht="15.75" customHeight="1">
      <c r="A233" s="267"/>
      <c r="B233" s="267"/>
      <c r="C233" s="264"/>
      <c r="D233" s="264"/>
      <c r="E233" s="264"/>
      <c r="F233" s="264"/>
      <c r="G233" s="266"/>
      <c r="H233" s="287" t="str">
        <f t="array" ref="H233">IFERROR(INDEX('PORTIFÓLIO'!$H$4:$H$433,MATCH($C233,'PORTIFÓLIO'!$C$4:$C$433,0)),"")</f>
        <v/>
      </c>
      <c r="I233" s="267"/>
      <c r="J233" s="267"/>
      <c r="K233" s="266"/>
      <c r="L233" s="220"/>
      <c r="M233" s="220"/>
      <c r="N233" s="220"/>
      <c r="O233" s="220"/>
      <c r="P233" s="220"/>
      <c r="Q233" s="220"/>
      <c r="R233" s="220"/>
      <c r="S233" s="220"/>
      <c r="T233" s="220"/>
      <c r="U233" s="220"/>
      <c r="V233" s="220"/>
      <c r="W233" s="220"/>
    </row>
    <row r="234" ht="15.75" customHeight="1">
      <c r="A234" s="267"/>
      <c r="B234" s="267"/>
      <c r="C234" s="267"/>
      <c r="D234" s="267"/>
      <c r="E234" s="264"/>
      <c r="F234" s="264"/>
      <c r="G234" s="266"/>
      <c r="H234" s="287" t="str">
        <f t="array" ref="H234">IFERROR(INDEX('PORTIFÓLIO'!$H$4:$H$433,MATCH($C234,'PORTIFÓLIO'!$C$4:$C$433,0)),"")</f>
        <v/>
      </c>
      <c r="I234" s="267"/>
      <c r="J234" s="267"/>
      <c r="K234" s="266"/>
      <c r="L234" s="220"/>
      <c r="M234" s="220"/>
      <c r="N234" s="220"/>
      <c r="O234" s="220"/>
      <c r="P234" s="220"/>
      <c r="Q234" s="220"/>
      <c r="R234" s="220"/>
      <c r="S234" s="220"/>
      <c r="T234" s="220"/>
      <c r="U234" s="220"/>
      <c r="V234" s="220"/>
      <c r="W234" s="220"/>
    </row>
    <row r="235" ht="15.75" customHeight="1">
      <c r="A235" s="267"/>
      <c r="B235" s="267"/>
      <c r="C235" s="267"/>
      <c r="D235" s="267"/>
      <c r="E235" s="267"/>
      <c r="F235" s="267"/>
      <c r="G235" s="266"/>
      <c r="H235" s="287"/>
      <c r="I235" s="287"/>
      <c r="J235" s="288"/>
      <c r="K235" s="289"/>
      <c r="L235" s="290"/>
      <c r="M235" s="220"/>
      <c r="N235" s="220"/>
      <c r="O235" s="220"/>
      <c r="P235" s="220"/>
      <c r="Q235" s="220"/>
      <c r="R235" s="220"/>
      <c r="S235" s="220"/>
      <c r="T235" s="220"/>
      <c r="U235" s="220"/>
      <c r="V235" s="220"/>
      <c r="W235" s="220"/>
    </row>
    <row r="236" ht="15.75" customHeight="1">
      <c r="A236" s="211" t="s">
        <v>1173</v>
      </c>
      <c r="B236" s="213" t="s">
        <v>1174</v>
      </c>
      <c r="C236" s="213" t="s">
        <v>1175</v>
      </c>
      <c r="D236" s="211" t="s">
        <v>1176</v>
      </c>
      <c r="E236" s="211" t="s">
        <v>1177</v>
      </c>
      <c r="F236" s="211" t="s">
        <v>1178</v>
      </c>
      <c r="G236" s="291" t="s">
        <v>1180</v>
      </c>
      <c r="H236" s="278" t="s">
        <v>1179</v>
      </c>
      <c r="I236" s="278" t="s">
        <v>1181</v>
      </c>
      <c r="J236" s="279" t="s">
        <v>1134</v>
      </c>
      <c r="K236" s="280" t="s">
        <v>1182</v>
      </c>
      <c r="L236" s="281" t="s">
        <v>339</v>
      </c>
      <c r="M236" s="220"/>
      <c r="N236" s="220"/>
      <c r="O236" s="220"/>
      <c r="P236" s="220"/>
      <c r="Q236" s="220"/>
      <c r="R236" s="220"/>
      <c r="S236" s="220"/>
      <c r="T236" s="220"/>
      <c r="U236" s="220"/>
      <c r="V236" s="220"/>
      <c r="W236" s="220"/>
    </row>
    <row r="237" ht="15.75" customHeight="1">
      <c r="A237" s="231" t="s">
        <v>1183</v>
      </c>
      <c r="B237" s="230"/>
      <c r="C237" s="231"/>
      <c r="D237" s="232"/>
      <c r="E237" s="231"/>
      <c r="F237" s="231"/>
      <c r="G237" s="233"/>
      <c r="H237" s="233"/>
      <c r="I237" s="258"/>
      <c r="J237" s="236"/>
      <c r="K237" s="237">
        <f t="shared" ref="K237:L237" si="26">SUBTOTAL(9,K238:K251)</f>
        <v>0</v>
      </c>
      <c r="L237" s="237">
        <f t="shared" si="26"/>
        <v>0</v>
      </c>
      <c r="M237" s="220"/>
      <c r="N237" s="220"/>
      <c r="O237" s="220"/>
      <c r="P237" s="220"/>
      <c r="Q237" s="220"/>
      <c r="R237" s="220"/>
      <c r="S237" s="220"/>
      <c r="T237" s="220"/>
      <c r="U237" s="220"/>
      <c r="V237" s="220"/>
      <c r="W237" s="220"/>
    </row>
    <row r="238" ht="15.75" customHeight="1" outlineLevel="1">
      <c r="A238" s="211"/>
      <c r="B238" s="212"/>
      <c r="C238" s="213"/>
      <c r="D238" s="214" t="str">
        <f>IFERROR(VLOOKUP($C238,'PORTIFÓLIO'!C:V,2,0),"")</f>
        <v/>
      </c>
      <c r="E238" s="211" t="str">
        <f>IFERROR(VLOOKUP($C238,'PORTIFÓLIO'!C:V,3,0),"")</f>
        <v/>
      </c>
      <c r="F238" s="211" t="str">
        <f>IFERROR(VLOOKUP($C238,'PORTIFÓLIO'!C:V,4,0),"")</f>
        <v/>
      </c>
      <c r="G238" s="215" t="str">
        <f>IFERROR(VLOOKUP($C238,'PORTIFÓLIO'!C:V,5,0),"")</f>
        <v/>
      </c>
      <c r="H238" s="254" t="str">
        <f t="array" ref="H238">IFERROR(INDEX('PORTIFÓLIO'!$H$4:$H$433,MATCH($C238,'PORTIFÓLIO'!$C$4:$C$433,0)),"")</f>
        <v/>
      </c>
      <c r="I238" s="255"/>
      <c r="J238" s="218">
        <f t="shared" ref="J238:J251" si="27">I238*$B$2</f>
        <v>0</v>
      </c>
      <c r="K238" s="219" t="str">
        <f t="array" ref="K238">IFERROR(I238*INDEX('PORTIFÓLIO'!$S$4:$S$433,MATCH($C238,'PORTIFÓLIO'!$C$4:$C$433,0)),"")</f>
        <v/>
      </c>
      <c r="L238" s="219" t="str">
        <f t="array" ref="L238">IFERROR(J238*INDEX('PORTIFÓLIO'!$S$4:$S$433,MATCH($C238,'PORTIFÓLIO'!$C$4:$C$433,0)),"")</f>
        <v/>
      </c>
      <c r="M238" s="220"/>
      <c r="N238" s="220"/>
      <c r="O238" s="220"/>
      <c r="P238" s="220"/>
      <c r="Q238" s="220"/>
      <c r="R238" s="220"/>
      <c r="S238" s="220"/>
      <c r="T238" s="220"/>
      <c r="U238" s="220"/>
      <c r="V238" s="220"/>
      <c r="W238" s="220"/>
    </row>
    <row r="239" ht="15.75" customHeight="1" outlineLevel="1">
      <c r="A239" s="211"/>
      <c r="B239" s="212"/>
      <c r="C239" s="213"/>
      <c r="D239" s="214" t="str">
        <f>IFERROR(VLOOKUP($C239,'PORTIFÓLIO'!C:V,2,0),"")</f>
        <v/>
      </c>
      <c r="E239" s="211" t="str">
        <f>IFERROR(VLOOKUP($C239,'PORTIFÓLIO'!C:V,3,0),"")</f>
        <v/>
      </c>
      <c r="F239" s="211" t="str">
        <f>IFERROR(VLOOKUP($C239,'PORTIFÓLIO'!C:V,4,0),"")</f>
        <v/>
      </c>
      <c r="G239" s="215" t="str">
        <f>IFERROR(VLOOKUP($C239,'PORTIFÓLIO'!C:V,5,0),"")</f>
        <v/>
      </c>
      <c r="H239" s="254" t="str">
        <f t="array" ref="H239">IFERROR(INDEX('PORTIFÓLIO'!$H$4:$H$433,MATCH($C239,'PORTIFÓLIO'!$C$4:$C$433,0)),"")</f>
        <v/>
      </c>
      <c r="I239" s="255"/>
      <c r="J239" s="218">
        <f t="shared" si="27"/>
        <v>0</v>
      </c>
      <c r="K239" s="219" t="str">
        <f t="array" ref="K239">IFERROR(I239*INDEX('PORTIFÓLIO'!$S$4:$S$433,MATCH($C239,'PORTIFÓLIO'!$C$4:$C$433,0)),"")</f>
        <v/>
      </c>
      <c r="L239" s="219" t="str">
        <f t="array" ref="L239">IFERROR(J239*INDEX('PORTIFÓLIO'!$S$4:$S$433,MATCH($C239,'PORTIFÓLIO'!$C$4:$C$433,0)),"")</f>
        <v/>
      </c>
      <c r="M239" s="220"/>
      <c r="N239" s="220"/>
      <c r="O239" s="220"/>
      <c r="P239" s="220"/>
      <c r="Q239" s="220"/>
      <c r="R239" s="220"/>
      <c r="S239" s="220"/>
      <c r="T239" s="220"/>
      <c r="U239" s="220"/>
      <c r="V239" s="220"/>
      <c r="W239" s="220"/>
    </row>
    <row r="240" ht="15.75" customHeight="1" outlineLevel="1">
      <c r="A240" s="211"/>
      <c r="B240" s="212"/>
      <c r="C240" s="213"/>
      <c r="D240" s="214" t="str">
        <f>IFERROR(VLOOKUP($C240,'PORTIFÓLIO'!C:V,2,0),"")</f>
        <v/>
      </c>
      <c r="E240" s="211" t="str">
        <f>IFERROR(VLOOKUP($C240,'PORTIFÓLIO'!C:V,3,0),"")</f>
        <v/>
      </c>
      <c r="F240" s="211" t="str">
        <f>IFERROR(VLOOKUP($C240,'PORTIFÓLIO'!C:V,4,0),"")</f>
        <v/>
      </c>
      <c r="G240" s="215" t="str">
        <f>IFERROR(VLOOKUP($C240,'PORTIFÓLIO'!C:V,5,0),"")</f>
        <v/>
      </c>
      <c r="H240" s="254" t="str">
        <f t="array" ref="H240">IFERROR(INDEX('PORTIFÓLIO'!$H$4:$H$433,MATCH($C240,'PORTIFÓLIO'!$C$4:$C$433,0)),"")</f>
        <v/>
      </c>
      <c r="I240" s="256"/>
      <c r="J240" s="218">
        <f t="shared" si="27"/>
        <v>0</v>
      </c>
      <c r="K240" s="219" t="str">
        <f t="array" ref="K240">IFERROR(I240*INDEX('PORTIFÓLIO'!$S$4:$S$433,MATCH($C240,'PORTIFÓLIO'!$C$4:$C$433,0)),"")</f>
        <v/>
      </c>
      <c r="L240" s="219" t="str">
        <f t="array" ref="L240">IFERROR(J240*INDEX('PORTIFÓLIO'!$S$4:$S$433,MATCH($C240,'PORTIFÓLIO'!$C$4:$C$433,0)),"")</f>
        <v/>
      </c>
      <c r="M240" s="220"/>
      <c r="N240" s="220"/>
      <c r="O240" s="220"/>
      <c r="P240" s="220"/>
      <c r="Q240" s="220"/>
      <c r="R240" s="220"/>
      <c r="S240" s="220"/>
      <c r="T240" s="220"/>
      <c r="U240" s="220"/>
      <c r="V240" s="220"/>
      <c r="W240" s="220"/>
    </row>
    <row r="241" ht="15.75" customHeight="1" outlineLevel="1">
      <c r="A241" s="211"/>
      <c r="B241" s="212"/>
      <c r="C241" s="213"/>
      <c r="D241" s="214" t="str">
        <f>IFERROR(VLOOKUP($C241,'PORTIFÓLIO'!C:V,2,0),"")</f>
        <v/>
      </c>
      <c r="E241" s="211" t="str">
        <f>IFERROR(VLOOKUP($C241,'PORTIFÓLIO'!C:V,3,0),"")</f>
        <v/>
      </c>
      <c r="F241" s="211" t="str">
        <f>IFERROR(VLOOKUP($C241,'PORTIFÓLIO'!C:V,4,0),"")</f>
        <v/>
      </c>
      <c r="G241" s="215" t="str">
        <f>IFERROR(VLOOKUP($C241,'PORTIFÓLIO'!C:V,5,0),"")</f>
        <v/>
      </c>
      <c r="H241" s="254" t="str">
        <f t="array" ref="H241">IFERROR(INDEX('PORTIFÓLIO'!$H$4:$H$433,MATCH($C241,'PORTIFÓLIO'!$C$4:$C$433,0)),"")</f>
        <v/>
      </c>
      <c r="I241" s="256"/>
      <c r="J241" s="218">
        <f t="shared" si="27"/>
        <v>0</v>
      </c>
      <c r="K241" s="219" t="str">
        <f t="array" ref="K241">IFERROR(I241*INDEX('PORTIFÓLIO'!$S$4:$S$433,MATCH($C241,'PORTIFÓLIO'!$C$4:$C$433,0)),"")</f>
        <v/>
      </c>
      <c r="L241" s="219" t="str">
        <f t="array" ref="L241">IFERROR(J241*INDEX('PORTIFÓLIO'!$S$4:$S$433,MATCH($C241,'PORTIFÓLIO'!$C$4:$C$433,0)),"")</f>
        <v/>
      </c>
      <c r="M241" s="220"/>
      <c r="N241" s="220"/>
      <c r="O241" s="220"/>
      <c r="P241" s="220"/>
      <c r="Q241" s="220"/>
      <c r="R241" s="220"/>
      <c r="S241" s="220"/>
      <c r="T241" s="220"/>
      <c r="U241" s="220"/>
      <c r="V241" s="220"/>
      <c r="W241" s="220"/>
    </row>
    <row r="242" ht="15.75" customHeight="1" outlineLevel="1">
      <c r="A242" s="211"/>
      <c r="B242" s="212"/>
      <c r="C242" s="213"/>
      <c r="D242" s="214" t="str">
        <f>IFERROR(VLOOKUP($C242,'PORTIFÓLIO'!C:V,2,0),"")</f>
        <v/>
      </c>
      <c r="E242" s="211" t="str">
        <f>IFERROR(VLOOKUP($C242,'PORTIFÓLIO'!C:V,3,0),"")</f>
        <v/>
      </c>
      <c r="F242" s="211" t="str">
        <f>IFERROR(VLOOKUP($C242,'PORTIFÓLIO'!C:V,4,0),"")</f>
        <v/>
      </c>
      <c r="G242" s="215" t="str">
        <f>IFERROR(VLOOKUP($C242,'PORTIFÓLIO'!C:V,5,0),"")</f>
        <v/>
      </c>
      <c r="H242" s="254" t="str">
        <f t="array" ref="H242">IFERROR(INDEX('PORTIFÓLIO'!$H$4:$H$433,MATCH($C242,'PORTIFÓLIO'!$C$4:$C$433,0)),"")</f>
        <v/>
      </c>
      <c r="I242" s="255"/>
      <c r="J242" s="218">
        <f t="shared" si="27"/>
        <v>0</v>
      </c>
      <c r="K242" s="219" t="str">
        <f t="array" ref="K242">IFERROR(I242*INDEX('PORTIFÓLIO'!$S$4:$S$433,MATCH($C242,'PORTIFÓLIO'!$C$4:$C$433,0)),"")</f>
        <v/>
      </c>
      <c r="L242" s="219" t="str">
        <f t="array" ref="L242">IFERROR(J242*INDEX('PORTIFÓLIO'!$S$4:$S$433,MATCH($C242,'PORTIFÓLIO'!$C$4:$C$433,0)),"")</f>
        <v/>
      </c>
      <c r="M242" s="220"/>
      <c r="N242" s="220"/>
      <c r="O242" s="220"/>
      <c r="P242" s="220"/>
      <c r="Q242" s="220"/>
      <c r="R242" s="220"/>
      <c r="S242" s="220"/>
      <c r="T242" s="220"/>
      <c r="U242" s="220"/>
      <c r="V242" s="220"/>
      <c r="W242" s="220"/>
    </row>
    <row r="243" ht="15.75" customHeight="1" outlineLevel="1">
      <c r="A243" s="211"/>
      <c r="B243" s="212"/>
      <c r="C243" s="213"/>
      <c r="D243" s="214" t="str">
        <f>IFERROR(VLOOKUP($C243,'PORTIFÓLIO'!C:V,2,0),"")</f>
        <v/>
      </c>
      <c r="E243" s="211" t="str">
        <f>IFERROR(VLOOKUP($C243,'PORTIFÓLIO'!C:V,3,0),"")</f>
        <v/>
      </c>
      <c r="F243" s="211" t="str">
        <f>IFERROR(VLOOKUP($C243,'PORTIFÓLIO'!C:V,4,0),"")</f>
        <v/>
      </c>
      <c r="G243" s="215" t="str">
        <f>IFERROR(VLOOKUP($C243,'PORTIFÓLIO'!C:V,5,0),"")</f>
        <v/>
      </c>
      <c r="H243" s="254" t="str">
        <f t="array" ref="H243">IFERROR(INDEX('PORTIFÓLIO'!$H$4:$H$433,MATCH($C243,'PORTIFÓLIO'!$C$4:$C$433,0)),"")</f>
        <v/>
      </c>
      <c r="I243" s="256"/>
      <c r="J243" s="218">
        <f t="shared" si="27"/>
        <v>0</v>
      </c>
      <c r="K243" s="219" t="str">
        <f t="array" ref="K243">IFERROR(I243*INDEX('PORTIFÓLIO'!$S$4:$S$433,MATCH($C243,'PORTIFÓLIO'!$C$4:$C$433,0)),"")</f>
        <v/>
      </c>
      <c r="L243" s="219" t="str">
        <f t="array" ref="L243">IFERROR(J243*INDEX('PORTIFÓLIO'!$S$4:$S$433,MATCH($C243,'PORTIFÓLIO'!$C$4:$C$433,0)),"")</f>
        <v/>
      </c>
      <c r="M243" s="220"/>
      <c r="N243" s="220"/>
      <c r="O243" s="220"/>
      <c r="P243" s="220"/>
      <c r="Q243" s="220"/>
      <c r="R243" s="220"/>
      <c r="S243" s="220"/>
      <c r="T243" s="220"/>
      <c r="U243" s="220"/>
      <c r="V243" s="220"/>
      <c r="W243" s="220"/>
    </row>
    <row r="244" ht="15.75" customHeight="1" outlineLevel="1">
      <c r="A244" s="211"/>
      <c r="B244" s="212"/>
      <c r="C244" s="213"/>
      <c r="D244" s="214" t="str">
        <f>IFERROR(VLOOKUP($C244,'PORTIFÓLIO'!C:V,2,0),"")</f>
        <v/>
      </c>
      <c r="E244" s="211" t="str">
        <f>IFERROR(VLOOKUP($C244,'PORTIFÓLIO'!C:V,3,0),"")</f>
        <v/>
      </c>
      <c r="F244" s="211" t="str">
        <f>IFERROR(VLOOKUP($C244,'PORTIFÓLIO'!C:V,4,0),"")</f>
        <v/>
      </c>
      <c r="G244" s="215" t="str">
        <f>IFERROR(VLOOKUP($C244,'PORTIFÓLIO'!C:V,5,0),"")</f>
        <v/>
      </c>
      <c r="H244" s="254" t="str">
        <f t="array" ref="H244">IFERROR(INDEX('PORTIFÓLIO'!$H$4:$H$433,MATCH($C244,'PORTIFÓLIO'!$C$4:$C$433,0)),"")</f>
        <v/>
      </c>
      <c r="I244" s="256"/>
      <c r="J244" s="218">
        <f t="shared" si="27"/>
        <v>0</v>
      </c>
      <c r="K244" s="219" t="str">
        <f t="array" ref="K244">IFERROR(I244*INDEX('PORTIFÓLIO'!$S$4:$S$433,MATCH($C244,'PORTIFÓLIO'!$C$4:$C$433,0)),"")</f>
        <v/>
      </c>
      <c r="L244" s="219" t="str">
        <f t="array" ref="L244">IFERROR(J244*INDEX('PORTIFÓLIO'!$S$4:$S$433,MATCH($C244,'PORTIFÓLIO'!$C$4:$C$433,0)),"")</f>
        <v/>
      </c>
      <c r="M244" s="220"/>
      <c r="N244" s="220"/>
      <c r="O244" s="220"/>
      <c r="P244" s="220"/>
      <c r="Q244" s="220"/>
      <c r="R244" s="220"/>
      <c r="S244" s="220"/>
      <c r="T244" s="220"/>
      <c r="U244" s="220"/>
      <c r="V244" s="220"/>
      <c r="W244" s="220"/>
    </row>
    <row r="245" ht="15.75" customHeight="1" outlineLevel="1">
      <c r="A245" s="211"/>
      <c r="B245" s="212"/>
      <c r="C245" s="213"/>
      <c r="D245" s="214" t="str">
        <f>IFERROR(VLOOKUP($C245,'PORTIFÓLIO'!C:V,2,0),"")</f>
        <v/>
      </c>
      <c r="E245" s="211" t="str">
        <f>IFERROR(VLOOKUP($C245,'PORTIFÓLIO'!C:V,3,0),"")</f>
        <v/>
      </c>
      <c r="F245" s="211" t="str">
        <f>IFERROR(VLOOKUP($C245,'PORTIFÓLIO'!C:V,4,0),"")</f>
        <v/>
      </c>
      <c r="G245" s="215" t="str">
        <f>IFERROR(VLOOKUP($C245,'PORTIFÓLIO'!C:V,5,0),"")</f>
        <v/>
      </c>
      <c r="H245" s="254" t="str">
        <f t="array" ref="H245">IFERROR(INDEX('PORTIFÓLIO'!$H$4:$H$433,MATCH($C245,'PORTIFÓLIO'!$C$4:$C$433,0)),"")</f>
        <v/>
      </c>
      <c r="I245" s="256"/>
      <c r="J245" s="218">
        <f t="shared" si="27"/>
        <v>0</v>
      </c>
      <c r="K245" s="219" t="str">
        <f t="array" ref="K245">IFERROR(I245*INDEX('PORTIFÓLIO'!$S$4:$S$433,MATCH($C245,'PORTIFÓLIO'!$C$4:$C$433,0)),"")</f>
        <v/>
      </c>
      <c r="L245" s="219" t="str">
        <f t="array" ref="L245">IFERROR(J245*INDEX('PORTIFÓLIO'!$S$4:$S$433,MATCH($C245,'PORTIFÓLIO'!$C$4:$C$433,0)),"")</f>
        <v/>
      </c>
      <c r="M245" s="220"/>
      <c r="N245" s="220"/>
      <c r="O245" s="220"/>
      <c r="P245" s="220"/>
      <c r="Q245" s="220"/>
      <c r="R245" s="220"/>
      <c r="S245" s="220"/>
      <c r="T245" s="220"/>
      <c r="U245" s="220"/>
      <c r="V245" s="220"/>
      <c r="W245" s="220"/>
    </row>
    <row r="246" ht="15.75" customHeight="1" outlineLevel="1">
      <c r="A246" s="211"/>
      <c r="B246" s="212"/>
      <c r="C246" s="213"/>
      <c r="D246" s="214" t="str">
        <f>IFERROR(VLOOKUP($C246,'PORTIFÓLIO'!C:V,2,0),"")</f>
        <v/>
      </c>
      <c r="E246" s="211" t="str">
        <f>IFERROR(VLOOKUP($C246,'PORTIFÓLIO'!C:V,3,0),"")</f>
        <v/>
      </c>
      <c r="F246" s="211" t="str">
        <f>IFERROR(VLOOKUP($C246,'PORTIFÓLIO'!C:V,4,0),"")</f>
        <v/>
      </c>
      <c r="G246" s="215" t="str">
        <f>IFERROR(VLOOKUP($C246,'PORTIFÓLIO'!C:V,5,0),"")</f>
        <v/>
      </c>
      <c r="H246" s="254" t="str">
        <f t="array" ref="H246">IFERROR(INDEX('PORTIFÓLIO'!$H$4:$H$433,MATCH($C246,'PORTIFÓLIO'!$C$4:$C$433,0)),"")</f>
        <v/>
      </c>
      <c r="I246" s="255"/>
      <c r="J246" s="218">
        <f t="shared" si="27"/>
        <v>0</v>
      </c>
      <c r="K246" s="219" t="str">
        <f t="array" ref="K246">IFERROR(I246*INDEX('PORTIFÓLIO'!$S$4:$S$433,MATCH($C246,'PORTIFÓLIO'!$C$4:$C$433,0)),"")</f>
        <v/>
      </c>
      <c r="L246" s="219" t="str">
        <f t="array" ref="L246">IFERROR(J246*INDEX('PORTIFÓLIO'!$S$4:$S$433,MATCH($C246,'PORTIFÓLIO'!$C$4:$C$433,0)),"")</f>
        <v/>
      </c>
      <c r="M246" s="220"/>
      <c r="N246" s="220"/>
      <c r="O246" s="220"/>
      <c r="P246" s="220"/>
      <c r="Q246" s="220"/>
      <c r="R246" s="220"/>
      <c r="S246" s="220"/>
      <c r="T246" s="220"/>
      <c r="U246" s="220"/>
      <c r="V246" s="220"/>
      <c r="W246" s="220"/>
    </row>
    <row r="247" ht="15.75" customHeight="1" outlineLevel="1">
      <c r="A247" s="211"/>
      <c r="B247" s="212"/>
      <c r="C247" s="213"/>
      <c r="D247" s="214" t="str">
        <f>IFERROR(VLOOKUP($C247,'PORTIFÓLIO'!C:V,2,0),"")</f>
        <v/>
      </c>
      <c r="E247" s="211" t="str">
        <f>IFERROR(VLOOKUP($C247,'PORTIFÓLIO'!C:V,3,0),"")</f>
        <v/>
      </c>
      <c r="F247" s="211" t="str">
        <f>IFERROR(VLOOKUP($C247,'PORTIFÓLIO'!C:V,4,0),"")</f>
        <v/>
      </c>
      <c r="G247" s="215" t="str">
        <f>IFERROR(VLOOKUP($C247,'PORTIFÓLIO'!C:V,5,0),"")</f>
        <v/>
      </c>
      <c r="H247" s="254" t="str">
        <f t="array" ref="H247">IFERROR(INDEX('PORTIFÓLIO'!$H$4:$H$433,MATCH($C247,'PORTIFÓLIO'!$C$4:$C$433,0)),"")</f>
        <v/>
      </c>
      <c r="I247" s="255"/>
      <c r="J247" s="218">
        <f t="shared" si="27"/>
        <v>0</v>
      </c>
      <c r="K247" s="219" t="str">
        <f t="array" ref="K247">IFERROR(I247*INDEX('PORTIFÓLIO'!$S$4:$S$433,MATCH($C247,'PORTIFÓLIO'!$C$4:$C$433,0)),"")</f>
        <v/>
      </c>
      <c r="L247" s="219" t="str">
        <f t="array" ref="L247">IFERROR(J247*INDEX('PORTIFÓLIO'!$S$4:$S$433,MATCH($C247,'PORTIFÓLIO'!$C$4:$C$433,0)),"")</f>
        <v/>
      </c>
      <c r="M247" s="220"/>
      <c r="N247" s="220"/>
      <c r="O247" s="220"/>
      <c r="P247" s="220"/>
      <c r="Q247" s="220"/>
      <c r="R247" s="220"/>
      <c r="S247" s="220"/>
      <c r="T247" s="220"/>
      <c r="U247" s="220"/>
      <c r="V247" s="220"/>
      <c r="W247" s="220"/>
    </row>
    <row r="248" ht="15.75" customHeight="1" outlineLevel="1">
      <c r="A248" s="211"/>
      <c r="B248" s="212"/>
      <c r="C248" s="213"/>
      <c r="D248" s="214" t="str">
        <f>IFERROR(VLOOKUP($C248,'PORTIFÓLIO'!C:V,2,0),"")</f>
        <v/>
      </c>
      <c r="E248" s="211" t="str">
        <f>IFERROR(VLOOKUP($C248,'PORTIFÓLIO'!C:V,3,0),"")</f>
        <v/>
      </c>
      <c r="F248" s="211" t="str">
        <f>IFERROR(VLOOKUP($C248,'PORTIFÓLIO'!C:V,4,0),"")</f>
        <v/>
      </c>
      <c r="G248" s="215" t="str">
        <f>IFERROR(VLOOKUP($C248,'PORTIFÓLIO'!C:V,5,0),"")</f>
        <v/>
      </c>
      <c r="H248" s="254" t="str">
        <f t="array" ref="H248">IFERROR(INDEX('PORTIFÓLIO'!$H$4:$H$433,MATCH($C248,'PORTIFÓLIO'!$C$4:$C$433,0)),"")</f>
        <v/>
      </c>
      <c r="I248" s="255"/>
      <c r="J248" s="218">
        <f t="shared" si="27"/>
        <v>0</v>
      </c>
      <c r="K248" s="219" t="str">
        <f t="array" ref="K248">IFERROR(I248*INDEX('PORTIFÓLIO'!$S$4:$S$433,MATCH($C248,'PORTIFÓLIO'!$C$4:$C$433,0)),"")</f>
        <v/>
      </c>
      <c r="L248" s="219" t="str">
        <f t="array" ref="L248">IFERROR(J248*INDEX('PORTIFÓLIO'!$S$4:$S$433,MATCH($C248,'PORTIFÓLIO'!$C$4:$C$433,0)),"")</f>
        <v/>
      </c>
      <c r="M248" s="220"/>
      <c r="N248" s="220"/>
      <c r="O248" s="220"/>
      <c r="P248" s="220"/>
      <c r="Q248" s="220"/>
      <c r="R248" s="220"/>
      <c r="S248" s="220"/>
      <c r="T248" s="220"/>
      <c r="U248" s="220"/>
      <c r="V248" s="220"/>
      <c r="W248" s="220"/>
    </row>
    <row r="249" ht="15.75" customHeight="1" outlineLevel="1">
      <c r="A249" s="211"/>
      <c r="B249" s="212"/>
      <c r="C249" s="213"/>
      <c r="D249" s="214" t="str">
        <f>IFERROR(VLOOKUP($C249,'PORTIFÓLIO'!C:V,2,0),"")</f>
        <v/>
      </c>
      <c r="E249" s="211" t="str">
        <f>IFERROR(VLOOKUP($C249,'PORTIFÓLIO'!C:V,3,0),"")</f>
        <v/>
      </c>
      <c r="F249" s="211" t="str">
        <f>IFERROR(VLOOKUP($C249,'PORTIFÓLIO'!C:V,4,0),"")</f>
        <v/>
      </c>
      <c r="G249" s="215" t="str">
        <f>IFERROR(VLOOKUP($C249,'PORTIFÓLIO'!C:V,5,0),"")</f>
        <v/>
      </c>
      <c r="H249" s="254" t="str">
        <f t="array" ref="H249">IFERROR(INDEX('PORTIFÓLIO'!$H$4:$H$433,MATCH($C249,'PORTIFÓLIO'!$C$4:$C$433,0)),"")</f>
        <v/>
      </c>
      <c r="I249" s="255"/>
      <c r="J249" s="218">
        <f t="shared" si="27"/>
        <v>0</v>
      </c>
      <c r="K249" s="219" t="str">
        <f t="array" ref="K249">IFERROR(I249*INDEX('PORTIFÓLIO'!$S$4:$S$433,MATCH($C249,'PORTIFÓLIO'!$C$4:$C$433,0)),"")</f>
        <v/>
      </c>
      <c r="L249" s="219" t="str">
        <f t="array" ref="L249">IFERROR(J249*INDEX('PORTIFÓLIO'!$S$4:$S$433,MATCH($C249,'PORTIFÓLIO'!$C$4:$C$433,0)),"")</f>
        <v/>
      </c>
      <c r="M249" s="220"/>
      <c r="N249" s="220"/>
      <c r="O249" s="220"/>
      <c r="P249" s="220"/>
      <c r="Q249" s="220"/>
      <c r="R249" s="220"/>
      <c r="S249" s="220"/>
      <c r="T249" s="220"/>
      <c r="U249" s="220"/>
      <c r="V249" s="220"/>
      <c r="W249" s="220"/>
    </row>
    <row r="250" ht="15.75" customHeight="1" outlineLevel="1">
      <c r="A250" s="211"/>
      <c r="B250" s="212"/>
      <c r="C250" s="213"/>
      <c r="D250" s="214" t="str">
        <f>IFERROR(VLOOKUP($C250,'PORTIFÓLIO'!C:V,2,0),"")</f>
        <v/>
      </c>
      <c r="E250" s="211" t="str">
        <f>IFERROR(VLOOKUP($C250,'PORTIFÓLIO'!C:V,3,0),"")</f>
        <v/>
      </c>
      <c r="F250" s="211" t="str">
        <f>IFERROR(VLOOKUP($C250,'PORTIFÓLIO'!C:V,4,0),"")</f>
        <v/>
      </c>
      <c r="G250" s="215" t="str">
        <f>IFERROR(VLOOKUP($C250,'PORTIFÓLIO'!C:V,5,0),"")</f>
        <v/>
      </c>
      <c r="H250" s="254" t="str">
        <f t="array" ref="H250">IFERROR(INDEX('PORTIFÓLIO'!$H$4:$H$433,MATCH($C250,'PORTIFÓLIO'!$C$4:$C$433,0)),"")</f>
        <v/>
      </c>
      <c r="I250" s="255"/>
      <c r="J250" s="218">
        <f t="shared" si="27"/>
        <v>0</v>
      </c>
      <c r="K250" s="219" t="str">
        <f t="array" ref="K250">IFERROR(I250*INDEX('PORTIFÓLIO'!$S$4:$S$433,MATCH($C250,'PORTIFÓLIO'!$C$4:$C$433,0)),"")</f>
        <v/>
      </c>
      <c r="L250" s="219" t="str">
        <f t="array" ref="L250">IFERROR(J250*INDEX('PORTIFÓLIO'!$S$4:$S$433,MATCH($C250,'PORTIFÓLIO'!$C$4:$C$433,0)),"")</f>
        <v/>
      </c>
      <c r="M250" s="220"/>
      <c r="N250" s="220"/>
      <c r="O250" s="220"/>
      <c r="P250" s="220"/>
      <c r="Q250" s="220"/>
      <c r="R250" s="220"/>
      <c r="S250" s="220"/>
      <c r="T250" s="220"/>
      <c r="U250" s="220"/>
      <c r="V250" s="220"/>
      <c r="W250" s="220"/>
    </row>
    <row r="251" ht="15.75" customHeight="1" outlineLevel="1">
      <c r="A251" s="211"/>
      <c r="B251" s="212"/>
      <c r="C251" s="213"/>
      <c r="D251" s="214" t="str">
        <f>IFERROR(VLOOKUP($C251,'PORTIFÓLIO'!C:V,2,0),"")</f>
        <v/>
      </c>
      <c r="E251" s="211" t="str">
        <f>IFERROR(VLOOKUP($C251,'PORTIFÓLIO'!C:V,3,0),"")</f>
        <v/>
      </c>
      <c r="F251" s="211" t="str">
        <f>IFERROR(VLOOKUP($C251,'PORTIFÓLIO'!C:V,4,0),"")</f>
        <v/>
      </c>
      <c r="G251" s="215" t="str">
        <f>IFERROR(VLOOKUP($C251,'PORTIFÓLIO'!C:V,5,0),"")</f>
        <v/>
      </c>
      <c r="H251" s="254" t="str">
        <f t="array" ref="H251">IFERROR(INDEX('PORTIFÓLIO'!$H$4:$H$433,MATCH($C251,'PORTIFÓLIO'!$C$4:$C$433,0)),"")</f>
        <v/>
      </c>
      <c r="I251" s="255"/>
      <c r="J251" s="218">
        <f t="shared" si="27"/>
        <v>0</v>
      </c>
      <c r="K251" s="219" t="str">
        <f t="array" ref="K251">IFERROR(I251*INDEX('PORTIFÓLIO'!$S$4:$S$433,MATCH($C251,'PORTIFÓLIO'!$C$4:$C$433,0)),"")</f>
        <v/>
      </c>
      <c r="L251" s="219" t="str">
        <f t="array" ref="L251">IFERROR(J251*INDEX('PORTIFÓLIO'!$S$4:$S$433,MATCH($C251,'PORTIFÓLIO'!$C$4:$C$433,0)),"")</f>
        <v/>
      </c>
      <c r="M251" s="220"/>
      <c r="N251" s="220"/>
      <c r="O251" s="220"/>
      <c r="P251" s="220"/>
      <c r="Q251" s="220"/>
      <c r="R251" s="220"/>
      <c r="S251" s="220"/>
      <c r="T251" s="220"/>
      <c r="U251" s="220"/>
      <c r="V251" s="220"/>
      <c r="W251" s="220"/>
    </row>
    <row r="252" ht="15.75" customHeight="1">
      <c r="A252" s="229" t="s">
        <v>1184</v>
      </c>
      <c r="B252" s="230"/>
      <c r="C252" s="231"/>
      <c r="D252" s="232"/>
      <c r="E252" s="231"/>
      <c r="F252" s="231"/>
      <c r="G252" s="233"/>
      <c r="H252" s="233"/>
      <c r="I252" s="258"/>
      <c r="J252" s="236"/>
      <c r="K252" s="237">
        <f t="shared" ref="K252:L252" si="28">SUBTOTAL(9,K253:K266)</f>
        <v>0</v>
      </c>
      <c r="L252" s="237">
        <f t="shared" si="28"/>
        <v>0</v>
      </c>
      <c r="M252" s="220"/>
      <c r="N252" s="220"/>
      <c r="O252" s="220"/>
      <c r="P252" s="220"/>
      <c r="Q252" s="220"/>
      <c r="R252" s="220"/>
      <c r="S252" s="220"/>
      <c r="T252" s="220"/>
      <c r="U252" s="220"/>
      <c r="V252" s="220"/>
      <c r="W252" s="220"/>
    </row>
    <row r="253" ht="15.75" customHeight="1" outlineLevel="1">
      <c r="A253" s="213"/>
      <c r="B253" s="212"/>
      <c r="C253" s="213"/>
      <c r="D253" s="214" t="str">
        <f>IFERROR(VLOOKUP($C253,'PORTIFÓLIO'!C:V,2,0),"")</f>
        <v/>
      </c>
      <c r="E253" s="211" t="str">
        <f>IFERROR(VLOOKUP($C253,'PORTIFÓLIO'!C:V,3,0),"")</f>
        <v/>
      </c>
      <c r="F253" s="211" t="str">
        <f>IFERROR(VLOOKUP($C253,'PORTIFÓLIO'!C:V,4,0),"")</f>
        <v/>
      </c>
      <c r="G253" s="215" t="str">
        <f>IFERROR(VLOOKUP($C253,'PORTIFÓLIO'!C:V,5,0),"")</f>
        <v/>
      </c>
      <c r="H253" s="254" t="str">
        <f t="array" ref="H253">IFERROR(INDEX('PORTIFÓLIO'!$H$4:$H$433,MATCH($C253,'PORTIFÓLIO'!$C$4:$C$433,0)),"")</f>
        <v/>
      </c>
      <c r="I253" s="255"/>
      <c r="J253" s="218">
        <f t="shared" ref="J253:J270" si="29">I253*$B$2</f>
        <v>0</v>
      </c>
      <c r="K253" s="292" t="str">
        <f t="array" ref="K253">IFERROR(I253*INDEX('PORTIFÓLIO'!$S$4:$S$433,MATCH($C253,'PORTIFÓLIO'!$C$4:$C$433,0)),"")</f>
        <v/>
      </c>
      <c r="L253" s="292" t="str">
        <f t="array" ref="L253">IFERROR(J253*INDEX('PORTIFÓLIO'!$S$4:$S$433,MATCH($C253,'PORTIFÓLIO'!$C$4:$C$433,0)),"")</f>
        <v/>
      </c>
      <c r="M253" s="220"/>
      <c r="N253" s="220"/>
      <c r="O253" s="220"/>
      <c r="P253" s="220"/>
      <c r="Q253" s="220"/>
      <c r="R253" s="220"/>
      <c r="S253" s="220"/>
      <c r="T253" s="220"/>
      <c r="U253" s="220"/>
      <c r="V253" s="220"/>
      <c r="W253" s="220"/>
    </row>
    <row r="254" ht="15.75" customHeight="1" outlineLevel="1">
      <c r="A254" s="211"/>
      <c r="B254" s="212"/>
      <c r="C254" s="213"/>
      <c r="D254" s="214" t="str">
        <f>IFERROR(VLOOKUP($C254,'PORTIFÓLIO'!C:V,2,0),"")</f>
        <v/>
      </c>
      <c r="E254" s="211" t="str">
        <f>IFERROR(VLOOKUP($C254,'PORTIFÓLIO'!C:V,3,0),"")</f>
        <v/>
      </c>
      <c r="F254" s="211" t="str">
        <f>IFERROR(VLOOKUP($C254,'PORTIFÓLIO'!C:V,4,0),"")</f>
        <v/>
      </c>
      <c r="G254" s="215" t="str">
        <f>IFERROR(VLOOKUP($C254,'PORTIFÓLIO'!C:V,5,0),"")</f>
        <v/>
      </c>
      <c r="H254" s="254" t="str">
        <f t="array" ref="H254">IFERROR(INDEX('PORTIFÓLIO'!$H$4:$H$433,MATCH($C254,'PORTIFÓLIO'!$C$4:$C$433,0)),"")</f>
        <v/>
      </c>
      <c r="I254" s="255"/>
      <c r="J254" s="218">
        <f t="shared" si="29"/>
        <v>0</v>
      </c>
      <c r="K254" s="292" t="str">
        <f t="array" ref="K254">IFERROR(I254*INDEX('PORTIFÓLIO'!$S$4:$S$433,MATCH($C254,'PORTIFÓLIO'!$C$4:$C$433,0)),"")</f>
        <v/>
      </c>
      <c r="L254" s="292" t="str">
        <f t="array" ref="L254">IFERROR(J254*INDEX('PORTIFÓLIO'!$S$4:$S$433,MATCH($C254,'PORTIFÓLIO'!$C$4:$C$433,0)),"")</f>
        <v/>
      </c>
      <c r="M254" s="220"/>
      <c r="N254" s="220"/>
      <c r="O254" s="220"/>
      <c r="P254" s="220"/>
      <c r="Q254" s="220"/>
      <c r="R254" s="220"/>
      <c r="S254" s="220"/>
      <c r="T254" s="220"/>
      <c r="U254" s="220"/>
      <c r="V254" s="220"/>
      <c r="W254" s="220"/>
    </row>
    <row r="255" ht="15.75" customHeight="1" outlineLevel="1">
      <c r="A255" s="211"/>
      <c r="B255" s="212"/>
      <c r="C255" s="213"/>
      <c r="D255" s="214" t="str">
        <f>IFERROR(VLOOKUP($C255,'PORTIFÓLIO'!C:V,2,0),"")</f>
        <v/>
      </c>
      <c r="E255" s="211" t="str">
        <f>IFERROR(VLOOKUP($C255,'PORTIFÓLIO'!C:V,3,0),"")</f>
        <v/>
      </c>
      <c r="F255" s="211" t="str">
        <f>IFERROR(VLOOKUP($C255,'PORTIFÓLIO'!C:V,4,0),"")</f>
        <v/>
      </c>
      <c r="G255" s="215" t="str">
        <f>IFERROR(VLOOKUP($C255,'PORTIFÓLIO'!C:V,5,0),"")</f>
        <v/>
      </c>
      <c r="H255" s="254" t="str">
        <f t="array" ref="H255">IFERROR(INDEX('PORTIFÓLIO'!$H$4:$H$433,MATCH($C255,'PORTIFÓLIO'!$C$4:$C$433,0)),"")</f>
        <v/>
      </c>
      <c r="I255" s="256"/>
      <c r="J255" s="218">
        <f t="shared" si="29"/>
        <v>0</v>
      </c>
      <c r="K255" s="292" t="str">
        <f t="array" ref="K255">IFERROR(I255*INDEX('PORTIFÓLIO'!$S$4:$S$433,MATCH($C255,'PORTIFÓLIO'!$C$4:$C$433,0)),"")</f>
        <v/>
      </c>
      <c r="L255" s="292" t="str">
        <f t="array" ref="L255">IFERROR(J255*INDEX('PORTIFÓLIO'!$S$4:$S$433,MATCH($C255,'PORTIFÓLIO'!$C$4:$C$433,0)),"")</f>
        <v/>
      </c>
      <c r="M255" s="220"/>
      <c r="N255" s="220"/>
      <c r="O255" s="220"/>
      <c r="P255" s="220"/>
      <c r="Q255" s="220"/>
      <c r="R255" s="220"/>
      <c r="S255" s="220"/>
      <c r="T255" s="220"/>
      <c r="U255" s="220"/>
      <c r="V255" s="220"/>
      <c r="W255" s="220"/>
    </row>
    <row r="256" ht="15.75" customHeight="1" outlineLevel="1">
      <c r="A256" s="211"/>
      <c r="B256" s="212"/>
      <c r="C256" s="213"/>
      <c r="D256" s="214" t="str">
        <f>IFERROR(VLOOKUP($C256,'PORTIFÓLIO'!C:V,2,0),"")</f>
        <v/>
      </c>
      <c r="E256" s="211" t="str">
        <f>IFERROR(VLOOKUP($C256,'PORTIFÓLIO'!C:V,3,0),"")</f>
        <v/>
      </c>
      <c r="F256" s="211" t="str">
        <f>IFERROR(VLOOKUP($C256,'PORTIFÓLIO'!C:V,4,0),"")</f>
        <v/>
      </c>
      <c r="G256" s="215" t="str">
        <f>IFERROR(VLOOKUP($C256,'PORTIFÓLIO'!C:V,5,0),"")</f>
        <v/>
      </c>
      <c r="H256" s="254" t="str">
        <f t="array" ref="H256">IFERROR(INDEX('PORTIFÓLIO'!$H$4:$H$433,MATCH($C256,'PORTIFÓLIO'!$C$4:$C$433,0)),"")</f>
        <v/>
      </c>
      <c r="I256" s="255"/>
      <c r="J256" s="218">
        <f t="shared" si="29"/>
        <v>0</v>
      </c>
      <c r="K256" s="292" t="str">
        <f t="array" ref="K256">IFERROR(I256*INDEX('PORTIFÓLIO'!$S$4:$S$433,MATCH($C256,'PORTIFÓLIO'!$C$4:$C$433,0)),"")</f>
        <v/>
      </c>
      <c r="L256" s="292" t="str">
        <f t="array" ref="L256">IFERROR(J256*INDEX('PORTIFÓLIO'!$S$4:$S$433,MATCH($C256,'PORTIFÓLIO'!$C$4:$C$433,0)),"")</f>
        <v/>
      </c>
      <c r="M256" s="220"/>
      <c r="N256" s="220"/>
      <c r="O256" s="220"/>
      <c r="P256" s="220"/>
      <c r="Q256" s="220"/>
      <c r="R256" s="220"/>
      <c r="S256" s="220"/>
      <c r="T256" s="220"/>
      <c r="U256" s="220"/>
      <c r="V256" s="220"/>
      <c r="W256" s="220"/>
    </row>
    <row r="257" ht="15.75" customHeight="1" outlineLevel="1">
      <c r="A257" s="211"/>
      <c r="B257" s="212"/>
      <c r="C257" s="213"/>
      <c r="D257" s="214" t="str">
        <f>IFERROR(VLOOKUP($C257,'PORTIFÓLIO'!C:V,2,0),"")</f>
        <v/>
      </c>
      <c r="E257" s="211" t="str">
        <f>IFERROR(VLOOKUP($C257,'PORTIFÓLIO'!C:V,3,0),"")</f>
        <v/>
      </c>
      <c r="F257" s="211" t="str">
        <f>IFERROR(VLOOKUP($C257,'PORTIFÓLIO'!C:V,4,0),"")</f>
        <v/>
      </c>
      <c r="G257" s="215" t="str">
        <f>IFERROR(VLOOKUP($C257,'PORTIFÓLIO'!C:V,5,0),"")</f>
        <v/>
      </c>
      <c r="H257" s="254" t="str">
        <f t="array" ref="H257">IFERROR(INDEX('PORTIFÓLIO'!$H$4:$H$433,MATCH($C257,'PORTIFÓLIO'!$C$4:$C$433,0)),"")</f>
        <v/>
      </c>
      <c r="I257" s="256"/>
      <c r="J257" s="218">
        <f t="shared" si="29"/>
        <v>0</v>
      </c>
      <c r="K257" s="292" t="str">
        <f t="array" ref="K257">IFERROR(I257*INDEX('PORTIFÓLIO'!$S$4:$S$433,MATCH($C257,'PORTIFÓLIO'!$C$4:$C$433,0)),"")</f>
        <v/>
      </c>
      <c r="L257" s="292" t="str">
        <f t="array" ref="L257">IFERROR(J257*INDEX('PORTIFÓLIO'!$S$4:$S$433,MATCH($C257,'PORTIFÓLIO'!$C$4:$C$433,0)),"")</f>
        <v/>
      </c>
      <c r="M257" s="220"/>
      <c r="N257" s="220"/>
      <c r="O257" s="220"/>
      <c r="P257" s="220"/>
      <c r="Q257" s="220"/>
      <c r="R257" s="220"/>
      <c r="S257" s="220"/>
      <c r="T257" s="220"/>
      <c r="U257" s="220"/>
      <c r="V257" s="220"/>
      <c r="W257" s="220"/>
    </row>
    <row r="258" ht="15.75" customHeight="1" outlineLevel="1">
      <c r="A258" s="211"/>
      <c r="B258" s="212"/>
      <c r="C258" s="213"/>
      <c r="D258" s="214" t="str">
        <f>IFERROR(VLOOKUP($C258,'PORTIFÓLIO'!C:V,2,0),"")</f>
        <v/>
      </c>
      <c r="E258" s="211" t="str">
        <f>IFERROR(VLOOKUP($C258,'PORTIFÓLIO'!C:V,3,0),"")</f>
        <v/>
      </c>
      <c r="F258" s="211" t="str">
        <f>IFERROR(VLOOKUP($C258,'PORTIFÓLIO'!C:V,4,0),"")</f>
        <v/>
      </c>
      <c r="G258" s="215" t="str">
        <f>IFERROR(VLOOKUP($C258,'PORTIFÓLIO'!C:V,5,0),"")</f>
        <v/>
      </c>
      <c r="H258" s="254" t="str">
        <f t="array" ref="H258">IFERROR(INDEX('PORTIFÓLIO'!$H$4:$H$433,MATCH($C258,'PORTIFÓLIO'!$C$4:$C$433,0)),"")</f>
        <v/>
      </c>
      <c r="I258" s="256"/>
      <c r="J258" s="218">
        <f t="shared" si="29"/>
        <v>0</v>
      </c>
      <c r="K258" s="292" t="str">
        <f t="array" ref="K258">IFERROR(I258*INDEX('PORTIFÓLIO'!$S$4:$S$433,MATCH($C258,'PORTIFÓLIO'!$C$4:$C$433,0)),"")</f>
        <v/>
      </c>
      <c r="L258" s="292" t="str">
        <f t="array" ref="L258">IFERROR(J258*INDEX('PORTIFÓLIO'!$S$4:$S$433,MATCH($C258,'PORTIFÓLIO'!$C$4:$C$433,0)),"")</f>
        <v/>
      </c>
      <c r="M258" s="220"/>
      <c r="N258" s="220"/>
      <c r="O258" s="220"/>
      <c r="P258" s="220"/>
      <c r="Q258" s="220"/>
      <c r="R258" s="220"/>
      <c r="S258" s="220"/>
      <c r="T258" s="220"/>
      <c r="U258" s="220"/>
      <c r="V258" s="220"/>
      <c r="W258" s="220"/>
    </row>
    <row r="259" ht="15.75" customHeight="1" outlineLevel="1">
      <c r="A259" s="211"/>
      <c r="B259" s="212"/>
      <c r="C259" s="213"/>
      <c r="D259" s="214" t="str">
        <f>IFERROR(VLOOKUP($C259,'PORTIFÓLIO'!C:V,2,0),"")</f>
        <v/>
      </c>
      <c r="E259" s="211" t="str">
        <f>IFERROR(VLOOKUP($C259,'PORTIFÓLIO'!C:V,3,0),"")</f>
        <v/>
      </c>
      <c r="F259" s="211" t="str">
        <f>IFERROR(VLOOKUP($C259,'PORTIFÓLIO'!C:V,4,0),"")</f>
        <v/>
      </c>
      <c r="G259" s="215" t="str">
        <f>IFERROR(VLOOKUP($C259,'PORTIFÓLIO'!C:V,5,0),"")</f>
        <v/>
      </c>
      <c r="H259" s="254" t="str">
        <f t="array" ref="H259">IFERROR(INDEX('PORTIFÓLIO'!$H$4:$H$433,MATCH($C259,'PORTIFÓLIO'!$C$4:$C$433,0)),"")</f>
        <v/>
      </c>
      <c r="I259" s="256"/>
      <c r="J259" s="218">
        <f t="shared" si="29"/>
        <v>0</v>
      </c>
      <c r="K259" s="292" t="str">
        <f t="array" ref="K259">IFERROR(I259*INDEX('PORTIFÓLIO'!$S$4:$S$433,MATCH($C259,'PORTIFÓLIO'!$C$4:$C$433,0)),"")</f>
        <v/>
      </c>
      <c r="L259" s="292" t="str">
        <f t="array" ref="L259">IFERROR(J259*INDEX('PORTIFÓLIO'!$S$4:$S$433,MATCH($C259,'PORTIFÓLIO'!$C$4:$C$433,0)),"")</f>
        <v/>
      </c>
      <c r="M259" s="220"/>
      <c r="N259" s="220"/>
      <c r="O259" s="220"/>
      <c r="P259" s="220"/>
      <c r="Q259" s="220"/>
      <c r="R259" s="220"/>
      <c r="S259" s="220"/>
      <c r="T259" s="220"/>
      <c r="U259" s="220"/>
      <c r="V259" s="220"/>
      <c r="W259" s="220"/>
    </row>
    <row r="260" ht="15.75" customHeight="1" outlineLevel="1">
      <c r="A260" s="211"/>
      <c r="B260" s="212"/>
      <c r="C260" s="213"/>
      <c r="D260" s="214" t="str">
        <f>IFERROR(VLOOKUP($C260,'PORTIFÓLIO'!C:V,2,0),"")</f>
        <v/>
      </c>
      <c r="E260" s="211" t="str">
        <f>IFERROR(VLOOKUP($C260,'PORTIFÓLIO'!C:V,3,0),"")</f>
        <v/>
      </c>
      <c r="F260" s="211" t="str">
        <f>IFERROR(VLOOKUP($C260,'PORTIFÓLIO'!C:V,4,0),"")</f>
        <v/>
      </c>
      <c r="G260" s="215" t="str">
        <f>IFERROR(VLOOKUP($C260,'PORTIFÓLIO'!C:V,5,0),"")</f>
        <v/>
      </c>
      <c r="H260" s="254" t="str">
        <f t="array" ref="H260">IFERROR(INDEX('PORTIFÓLIO'!$H$4:$H$433,MATCH($C260,'PORTIFÓLIO'!$C$4:$C$433,0)),"")</f>
        <v/>
      </c>
      <c r="I260" s="256"/>
      <c r="J260" s="218">
        <f t="shared" si="29"/>
        <v>0</v>
      </c>
      <c r="K260" s="292" t="str">
        <f t="array" ref="K260">IFERROR(I260*INDEX('PORTIFÓLIO'!$S$4:$S$433,MATCH($C260,'PORTIFÓLIO'!$C$4:$C$433,0)),"")</f>
        <v/>
      </c>
      <c r="L260" s="292" t="str">
        <f t="array" ref="L260">IFERROR(J260*INDEX('PORTIFÓLIO'!$S$4:$S$433,MATCH($C260,'PORTIFÓLIO'!$C$4:$C$433,0)),"")</f>
        <v/>
      </c>
      <c r="M260" s="220"/>
      <c r="N260" s="220"/>
      <c r="O260" s="220"/>
      <c r="P260" s="220"/>
      <c r="Q260" s="220"/>
      <c r="R260" s="220"/>
      <c r="S260" s="220"/>
      <c r="T260" s="220"/>
      <c r="U260" s="220"/>
      <c r="V260" s="220"/>
      <c r="W260" s="220"/>
    </row>
    <row r="261" ht="15.75" customHeight="1" outlineLevel="1">
      <c r="A261" s="211"/>
      <c r="B261" s="212"/>
      <c r="C261" s="213"/>
      <c r="D261" s="214" t="str">
        <f>IFERROR(VLOOKUP($C261,'PORTIFÓLIO'!C:V,2,0),"")</f>
        <v/>
      </c>
      <c r="E261" s="211" t="str">
        <f>IFERROR(VLOOKUP($C261,'PORTIFÓLIO'!C:V,3,0),"")</f>
        <v/>
      </c>
      <c r="F261" s="211" t="str">
        <f>IFERROR(VLOOKUP($C261,'PORTIFÓLIO'!C:V,4,0),"")</f>
        <v/>
      </c>
      <c r="G261" s="215" t="str">
        <f>IFERROR(VLOOKUP($C261,'PORTIFÓLIO'!C:V,5,0),"")</f>
        <v/>
      </c>
      <c r="H261" s="254" t="str">
        <f t="array" ref="H261">IFERROR(INDEX('PORTIFÓLIO'!$H$4:$H$433,MATCH($C261,'PORTIFÓLIO'!$C$4:$C$433,0)),"")</f>
        <v/>
      </c>
      <c r="I261" s="255"/>
      <c r="J261" s="218">
        <f t="shared" si="29"/>
        <v>0</v>
      </c>
      <c r="K261" s="292" t="str">
        <f t="array" ref="K261">IFERROR(I261*INDEX('PORTIFÓLIO'!$S$4:$S$433,MATCH($C261,'PORTIFÓLIO'!$C$4:$C$433,0)),"")</f>
        <v/>
      </c>
      <c r="L261" s="292" t="str">
        <f t="array" ref="L261">IFERROR(J261*INDEX('PORTIFÓLIO'!$S$4:$S$433,MATCH($C261,'PORTIFÓLIO'!$C$4:$C$433,0)),"")</f>
        <v/>
      </c>
      <c r="M261" s="220"/>
      <c r="N261" s="220"/>
      <c r="O261" s="220"/>
      <c r="P261" s="220"/>
      <c r="Q261" s="220"/>
      <c r="R261" s="220"/>
      <c r="S261" s="220"/>
      <c r="T261" s="220"/>
      <c r="U261" s="220"/>
      <c r="V261" s="220"/>
      <c r="W261" s="220"/>
    </row>
    <row r="262" ht="15.75" customHeight="1" outlineLevel="1">
      <c r="A262" s="211"/>
      <c r="B262" s="212"/>
      <c r="C262" s="213"/>
      <c r="D262" s="214" t="str">
        <f>IFERROR(VLOOKUP($C262,'PORTIFÓLIO'!C:V,2,0),"")</f>
        <v/>
      </c>
      <c r="E262" s="211" t="str">
        <f>IFERROR(VLOOKUP($C262,'PORTIFÓLIO'!C:V,3,0),"")</f>
        <v/>
      </c>
      <c r="F262" s="211" t="str">
        <f>IFERROR(VLOOKUP($C262,'PORTIFÓLIO'!C:V,4,0),"")</f>
        <v/>
      </c>
      <c r="G262" s="215" t="str">
        <f>IFERROR(VLOOKUP($C262,'PORTIFÓLIO'!C:V,5,0),"")</f>
        <v/>
      </c>
      <c r="H262" s="254" t="str">
        <f t="array" ref="H262">IFERROR(INDEX('PORTIFÓLIO'!$H$4:$H$433,MATCH($C262,'PORTIFÓLIO'!$C$4:$C$433,0)),"")</f>
        <v/>
      </c>
      <c r="I262" s="256"/>
      <c r="J262" s="218">
        <f t="shared" si="29"/>
        <v>0</v>
      </c>
      <c r="K262" s="292" t="str">
        <f t="array" ref="K262">IFERROR(I262*INDEX('PORTIFÓLIO'!$S$4:$S$433,MATCH($C262,'PORTIFÓLIO'!$C$4:$C$433,0)),"")</f>
        <v/>
      </c>
      <c r="L262" s="292" t="str">
        <f t="array" ref="L262">IFERROR(J262*INDEX('PORTIFÓLIO'!$S$4:$S$433,MATCH($C262,'PORTIFÓLIO'!$C$4:$C$433,0)),"")</f>
        <v/>
      </c>
      <c r="M262" s="220"/>
      <c r="N262" s="220"/>
      <c r="O262" s="220"/>
      <c r="P262" s="220"/>
      <c r="Q262" s="220"/>
      <c r="R262" s="220"/>
      <c r="S262" s="220"/>
      <c r="T262" s="220"/>
      <c r="U262" s="220"/>
      <c r="V262" s="220"/>
      <c r="W262" s="220"/>
    </row>
    <row r="263" ht="15.75" customHeight="1" outlineLevel="1">
      <c r="A263" s="211"/>
      <c r="B263" s="212"/>
      <c r="C263" s="213"/>
      <c r="D263" s="214" t="str">
        <f>IFERROR(VLOOKUP($C263,'PORTIFÓLIO'!C:V,2,0),"")</f>
        <v/>
      </c>
      <c r="E263" s="211" t="str">
        <f>IFERROR(VLOOKUP($C263,'PORTIFÓLIO'!C:V,3,0),"")</f>
        <v/>
      </c>
      <c r="F263" s="211" t="str">
        <f>IFERROR(VLOOKUP($C263,'PORTIFÓLIO'!C:V,4,0),"")</f>
        <v/>
      </c>
      <c r="G263" s="215" t="str">
        <f>IFERROR(VLOOKUP($C263,'PORTIFÓLIO'!C:V,5,0),"")</f>
        <v/>
      </c>
      <c r="H263" s="254" t="str">
        <f t="array" ref="H263">IFERROR(INDEX('PORTIFÓLIO'!$H$4:$H$433,MATCH($C263,'PORTIFÓLIO'!$C$4:$C$433,0)),"")</f>
        <v/>
      </c>
      <c r="I263" s="256"/>
      <c r="J263" s="218">
        <f t="shared" si="29"/>
        <v>0</v>
      </c>
      <c r="K263" s="292" t="str">
        <f t="array" ref="K263">IFERROR(I263*INDEX('PORTIFÓLIO'!$S$4:$S$433,MATCH($C263,'PORTIFÓLIO'!$C$4:$C$433,0)),"")</f>
        <v/>
      </c>
      <c r="L263" s="292" t="str">
        <f t="array" ref="L263">IFERROR(J263*INDEX('PORTIFÓLIO'!$S$4:$S$433,MATCH($C263,'PORTIFÓLIO'!$C$4:$C$433,0)),"")</f>
        <v/>
      </c>
      <c r="M263" s="220"/>
      <c r="N263" s="220"/>
      <c r="O263" s="220"/>
      <c r="P263" s="220"/>
      <c r="Q263" s="220"/>
      <c r="R263" s="220"/>
      <c r="S263" s="220"/>
      <c r="T263" s="220"/>
      <c r="U263" s="220"/>
      <c r="V263" s="220"/>
      <c r="W263" s="220"/>
    </row>
    <row r="264" ht="15.75" customHeight="1" outlineLevel="1">
      <c r="A264" s="211"/>
      <c r="B264" s="212"/>
      <c r="C264" s="213"/>
      <c r="D264" s="214" t="str">
        <f>IFERROR(VLOOKUP($C264,'PORTIFÓLIO'!C:V,2,0),"")</f>
        <v/>
      </c>
      <c r="E264" s="211" t="str">
        <f>IFERROR(VLOOKUP($C264,'PORTIFÓLIO'!C:V,3,0),"")</f>
        <v/>
      </c>
      <c r="F264" s="211" t="str">
        <f>IFERROR(VLOOKUP($C264,'PORTIFÓLIO'!C:V,4,0),"")</f>
        <v/>
      </c>
      <c r="G264" s="215" t="str">
        <f>IFERROR(VLOOKUP($C264,'PORTIFÓLIO'!C:V,5,0),"")</f>
        <v/>
      </c>
      <c r="H264" s="254" t="str">
        <f t="array" ref="H264">IFERROR(INDEX('PORTIFÓLIO'!$H$4:$H$433,MATCH($C264,'PORTIFÓLIO'!$C$4:$C$433,0)),"")</f>
        <v/>
      </c>
      <c r="I264" s="256"/>
      <c r="J264" s="218">
        <f t="shared" si="29"/>
        <v>0</v>
      </c>
      <c r="K264" s="292" t="str">
        <f t="array" ref="K264">IFERROR(I264*INDEX('PORTIFÓLIO'!$S$4:$S$433,MATCH($C264,'PORTIFÓLIO'!$C$4:$C$433,0)),"")</f>
        <v/>
      </c>
      <c r="L264" s="292" t="str">
        <f t="array" ref="L264">IFERROR(J264*INDEX('PORTIFÓLIO'!$S$4:$S$433,MATCH($C264,'PORTIFÓLIO'!$C$4:$C$433,0)),"")</f>
        <v/>
      </c>
      <c r="M264" s="220"/>
      <c r="N264" s="220"/>
      <c r="O264" s="220"/>
      <c r="P264" s="220"/>
      <c r="Q264" s="220"/>
      <c r="R264" s="220"/>
      <c r="S264" s="220"/>
      <c r="T264" s="220"/>
      <c r="U264" s="220"/>
      <c r="V264" s="220"/>
      <c r="W264" s="220"/>
    </row>
    <row r="265" ht="15.75" customHeight="1" outlineLevel="1">
      <c r="A265" s="211"/>
      <c r="B265" s="212"/>
      <c r="C265" s="213"/>
      <c r="D265" s="214" t="str">
        <f>IFERROR(VLOOKUP($C265,'PORTIFÓLIO'!C:V,2,0),"")</f>
        <v/>
      </c>
      <c r="E265" s="211" t="str">
        <f>IFERROR(VLOOKUP($C265,'PORTIFÓLIO'!C:V,3,0),"")</f>
        <v/>
      </c>
      <c r="F265" s="211" t="str">
        <f>IFERROR(VLOOKUP($C265,'PORTIFÓLIO'!C:V,4,0),"")</f>
        <v/>
      </c>
      <c r="G265" s="215" t="str">
        <f>IFERROR(VLOOKUP($C265,'PORTIFÓLIO'!C:V,5,0),"")</f>
        <v/>
      </c>
      <c r="H265" s="254" t="str">
        <f t="array" ref="H265">IFERROR(INDEX('PORTIFÓLIO'!$H$4:$H$433,MATCH($C265,'PORTIFÓLIO'!$C$4:$C$433,0)),"")</f>
        <v/>
      </c>
      <c r="I265" s="256"/>
      <c r="J265" s="218">
        <f t="shared" si="29"/>
        <v>0</v>
      </c>
      <c r="K265" s="292" t="str">
        <f t="array" ref="K265">IFERROR(I265*INDEX('PORTIFÓLIO'!$S$4:$S$433,MATCH($C265,'PORTIFÓLIO'!$C$4:$C$433,0)),"")</f>
        <v/>
      </c>
      <c r="L265" s="292" t="str">
        <f t="array" ref="L265">IFERROR(J265*INDEX('PORTIFÓLIO'!$S$4:$S$433,MATCH($C265,'PORTIFÓLIO'!$C$4:$C$433,0)),"")</f>
        <v/>
      </c>
      <c r="M265" s="220"/>
      <c r="N265" s="220"/>
      <c r="O265" s="220"/>
      <c r="P265" s="220"/>
      <c r="Q265" s="220"/>
      <c r="R265" s="220"/>
      <c r="S265" s="220"/>
      <c r="T265" s="220"/>
      <c r="U265" s="220"/>
      <c r="V265" s="220"/>
      <c r="W265" s="220"/>
    </row>
    <row r="266" ht="15.75" customHeight="1" outlineLevel="1">
      <c r="A266" s="211"/>
      <c r="B266" s="212"/>
      <c r="C266" s="213"/>
      <c r="D266" s="214" t="str">
        <f>IFERROR(VLOOKUP($C266,'PORTIFÓLIO'!C:V,2,0),"")</f>
        <v/>
      </c>
      <c r="E266" s="211" t="str">
        <f>IFERROR(VLOOKUP($C266,'PORTIFÓLIO'!C:V,3,0),"")</f>
        <v/>
      </c>
      <c r="F266" s="211" t="str">
        <f>IFERROR(VLOOKUP($C266,'PORTIFÓLIO'!C:V,4,0),"")</f>
        <v/>
      </c>
      <c r="G266" s="215" t="str">
        <f>IFERROR(VLOOKUP($C266,'PORTIFÓLIO'!C:V,5,0),"")</f>
        <v/>
      </c>
      <c r="H266" s="254" t="str">
        <f t="array" ref="H266">IFERROR(INDEX('PORTIFÓLIO'!$H$4:$H$433,MATCH($C266,'PORTIFÓLIO'!$C$4:$C$433,0)),"")</f>
        <v/>
      </c>
      <c r="I266" s="256"/>
      <c r="J266" s="218">
        <f t="shared" si="29"/>
        <v>0</v>
      </c>
      <c r="K266" s="292" t="str">
        <f t="array" ref="K266">IFERROR(I266*INDEX('PORTIFÓLIO'!$S$4:$S$433,MATCH($C266,'PORTIFÓLIO'!$C$4:$C$433,0)),"")</f>
        <v/>
      </c>
      <c r="L266" s="292" t="str">
        <f t="array" ref="L266">IFERROR(J266*INDEX('PORTIFÓLIO'!$S$4:$S$433,MATCH($C266,'PORTIFÓLIO'!$C$4:$C$433,0)),"")</f>
        <v/>
      </c>
      <c r="M266" s="220"/>
      <c r="N266" s="220"/>
      <c r="O266" s="220"/>
      <c r="P266" s="220"/>
      <c r="Q266" s="220"/>
      <c r="R266" s="220"/>
      <c r="S266" s="220"/>
      <c r="T266" s="220"/>
      <c r="U266" s="220"/>
      <c r="V266" s="220"/>
      <c r="W266" s="220"/>
    </row>
    <row r="267" ht="15.75" customHeight="1" outlineLevel="1">
      <c r="A267" s="211"/>
      <c r="B267" s="212"/>
      <c r="C267" s="213"/>
      <c r="D267" s="214" t="str">
        <f>IFERROR(VLOOKUP($C267,'PORTIFÓLIO'!C:V,2,0),"")</f>
        <v/>
      </c>
      <c r="E267" s="211" t="str">
        <f>IFERROR(VLOOKUP($C267,'PORTIFÓLIO'!C:V,3,0),"")</f>
        <v/>
      </c>
      <c r="F267" s="211" t="str">
        <f>IFERROR(VLOOKUP($C267,'PORTIFÓLIO'!C:V,4,0),"")</f>
        <v/>
      </c>
      <c r="G267" s="215" t="str">
        <f>IFERROR(VLOOKUP($C267,'PORTIFÓLIO'!C:V,5,0),"")</f>
        <v/>
      </c>
      <c r="H267" s="254" t="str">
        <f t="array" ref="H267">IFERROR(INDEX('PORTIFÓLIO'!$H$4:$H$433,MATCH($C267,'PORTIFÓLIO'!$C$4:$C$433,0)),"")</f>
        <v/>
      </c>
      <c r="I267" s="256"/>
      <c r="J267" s="218">
        <f t="shared" si="29"/>
        <v>0</v>
      </c>
      <c r="K267" s="292" t="str">
        <f t="array" ref="K267">IFERROR(I267*INDEX('PORTIFÓLIO'!$S$4:$S$433,MATCH($C267,'PORTIFÓLIO'!$C$4:$C$433,0)),"")</f>
        <v/>
      </c>
      <c r="L267" s="292" t="str">
        <f t="array" ref="L267">IFERROR(J267*INDEX('PORTIFÓLIO'!$S$4:$S$433,MATCH($C267,'PORTIFÓLIO'!$C$4:$C$433,0)),"")</f>
        <v/>
      </c>
      <c r="M267" s="220"/>
      <c r="N267" s="220"/>
      <c r="O267" s="220"/>
      <c r="P267" s="220"/>
      <c r="Q267" s="220"/>
      <c r="R267" s="220"/>
      <c r="S267" s="220"/>
      <c r="T267" s="220"/>
      <c r="U267" s="220"/>
      <c r="V267" s="220"/>
      <c r="W267" s="220"/>
    </row>
    <row r="268" ht="15.75" customHeight="1" outlineLevel="1">
      <c r="A268" s="211"/>
      <c r="B268" s="212"/>
      <c r="C268" s="213"/>
      <c r="D268" s="214" t="str">
        <f>IFERROR(VLOOKUP($C268,'PORTIFÓLIO'!C:V,2,0),"")</f>
        <v/>
      </c>
      <c r="E268" s="211" t="str">
        <f>IFERROR(VLOOKUP($C268,'PORTIFÓLIO'!C:V,3,0),"")</f>
        <v/>
      </c>
      <c r="F268" s="211" t="str">
        <f>IFERROR(VLOOKUP($C268,'PORTIFÓLIO'!C:V,4,0),"")</f>
        <v/>
      </c>
      <c r="G268" s="215" t="str">
        <f>IFERROR(VLOOKUP($C268,'PORTIFÓLIO'!C:V,5,0),"")</f>
        <v/>
      </c>
      <c r="H268" s="254" t="str">
        <f t="array" ref="H268">IFERROR(INDEX('PORTIFÓLIO'!$H$4:$H$433,MATCH($C268,'PORTIFÓLIO'!$C$4:$C$433,0)),"")</f>
        <v/>
      </c>
      <c r="I268" s="256"/>
      <c r="J268" s="218">
        <f t="shared" si="29"/>
        <v>0</v>
      </c>
      <c r="K268" s="292" t="str">
        <f t="array" ref="K268">IFERROR(I268*INDEX('PORTIFÓLIO'!$S$4:$S$433,MATCH($C268,'PORTIFÓLIO'!$C$4:$C$433,0)),"")</f>
        <v/>
      </c>
      <c r="L268" s="292" t="str">
        <f t="array" ref="L268">IFERROR(J268*INDEX('PORTIFÓLIO'!$S$4:$S$433,MATCH($C268,'PORTIFÓLIO'!$C$4:$C$433,0)),"")</f>
        <v/>
      </c>
      <c r="M268" s="220"/>
      <c r="N268" s="220"/>
      <c r="O268" s="220"/>
      <c r="P268" s="220"/>
      <c r="Q268" s="220"/>
      <c r="R268" s="220"/>
      <c r="S268" s="220"/>
      <c r="T268" s="220"/>
      <c r="U268" s="220"/>
      <c r="V268" s="220"/>
      <c r="W268" s="220"/>
    </row>
    <row r="269" ht="15.75" customHeight="1" outlineLevel="1">
      <c r="A269" s="211"/>
      <c r="B269" s="212"/>
      <c r="C269" s="213"/>
      <c r="D269" s="214" t="str">
        <f>IFERROR(VLOOKUP($C269,'PORTIFÓLIO'!C:V,2,0),"")</f>
        <v/>
      </c>
      <c r="E269" s="211" t="str">
        <f>IFERROR(VLOOKUP($C269,'PORTIFÓLIO'!C:V,3,0),"")</f>
        <v/>
      </c>
      <c r="F269" s="211" t="str">
        <f>IFERROR(VLOOKUP($C269,'PORTIFÓLIO'!C:V,4,0),"")</f>
        <v/>
      </c>
      <c r="G269" s="215" t="str">
        <f>IFERROR(VLOOKUP($C269,'PORTIFÓLIO'!C:V,5,0),"")</f>
        <v/>
      </c>
      <c r="H269" s="254" t="str">
        <f t="array" ref="H269">IFERROR(INDEX('PORTIFÓLIO'!$H$4:$H$433,MATCH($C269,'PORTIFÓLIO'!$C$4:$C$433,0)),"")</f>
        <v/>
      </c>
      <c r="I269" s="256"/>
      <c r="J269" s="218">
        <f t="shared" si="29"/>
        <v>0</v>
      </c>
      <c r="K269" s="292" t="str">
        <f t="array" ref="K269">IFERROR(I269*INDEX('PORTIFÓLIO'!$S$4:$S$433,MATCH($C269,'PORTIFÓLIO'!$C$4:$C$433,0)),"")</f>
        <v/>
      </c>
      <c r="L269" s="292" t="str">
        <f t="array" ref="L269">IFERROR(J269*INDEX('PORTIFÓLIO'!$S$4:$S$433,MATCH($C269,'PORTIFÓLIO'!$C$4:$C$433,0)),"")</f>
        <v/>
      </c>
      <c r="M269" s="220"/>
      <c r="N269" s="220"/>
      <c r="O269" s="220"/>
      <c r="P269" s="220"/>
      <c r="Q269" s="220"/>
      <c r="R269" s="220"/>
      <c r="S269" s="220"/>
      <c r="T269" s="220"/>
      <c r="U269" s="220"/>
      <c r="V269" s="220"/>
      <c r="W269" s="220"/>
    </row>
    <row r="270" ht="15.75" customHeight="1" outlineLevel="1">
      <c r="A270" s="211"/>
      <c r="B270" s="212"/>
      <c r="C270" s="213"/>
      <c r="D270" s="214" t="str">
        <f>IFERROR(VLOOKUP($C270,'PORTIFÓLIO'!C:V,2,0),"")</f>
        <v/>
      </c>
      <c r="E270" s="211" t="str">
        <f>IFERROR(VLOOKUP($C270,'PORTIFÓLIO'!C:V,3,0),"")</f>
        <v/>
      </c>
      <c r="F270" s="211" t="str">
        <f>IFERROR(VLOOKUP($C270,'PORTIFÓLIO'!C:V,4,0),"")</f>
        <v/>
      </c>
      <c r="G270" s="215" t="str">
        <f>IFERROR(VLOOKUP($C270,'PORTIFÓLIO'!C:V,5,0),"")</f>
        <v/>
      </c>
      <c r="H270" s="254" t="str">
        <f t="array" ref="H270">IFERROR(INDEX('PORTIFÓLIO'!$H$4:$H$433,MATCH($C270,'PORTIFÓLIO'!$C$4:$C$433,0)),"")</f>
        <v/>
      </c>
      <c r="I270" s="256"/>
      <c r="J270" s="218">
        <f t="shared" si="29"/>
        <v>0</v>
      </c>
      <c r="K270" s="292" t="str">
        <f t="array" ref="K270">IFERROR(I270*INDEX('PORTIFÓLIO'!$S$4:$S$433,MATCH($C270,'PORTIFÓLIO'!$C$4:$C$433,0)),"")</f>
        <v/>
      </c>
      <c r="L270" s="292" t="str">
        <f t="array" ref="L270">IFERROR(J270*INDEX('PORTIFÓLIO'!$S$4:$S$433,MATCH($C270,'PORTIFÓLIO'!$C$4:$C$433,0)),"")</f>
        <v/>
      </c>
      <c r="M270" s="220"/>
      <c r="N270" s="220"/>
      <c r="O270" s="220"/>
      <c r="P270" s="220"/>
      <c r="Q270" s="220"/>
      <c r="R270" s="220"/>
      <c r="S270" s="220"/>
      <c r="T270" s="220"/>
      <c r="U270" s="220"/>
      <c r="V270" s="220"/>
      <c r="W270" s="220"/>
    </row>
    <row r="271" ht="15.75" customHeight="1">
      <c r="A271" s="229" t="s">
        <v>1185</v>
      </c>
      <c r="B271" s="230"/>
      <c r="C271" s="231"/>
      <c r="D271" s="232"/>
      <c r="E271" s="231"/>
      <c r="F271" s="231"/>
      <c r="G271" s="233"/>
      <c r="H271" s="233"/>
      <c r="I271" s="258"/>
      <c r="J271" s="236"/>
      <c r="K271" s="237">
        <f t="shared" ref="K271:L271" si="30">SUBTOTAL(9,K272:K285)</f>
        <v>0</v>
      </c>
      <c r="L271" s="237">
        <f t="shared" si="30"/>
        <v>0</v>
      </c>
      <c r="M271" s="220"/>
      <c r="N271" s="220"/>
      <c r="O271" s="220"/>
      <c r="P271" s="220"/>
      <c r="Q271" s="220"/>
      <c r="R271" s="220"/>
      <c r="S271" s="220"/>
      <c r="T271" s="220"/>
      <c r="U271" s="220"/>
      <c r="V271" s="220"/>
      <c r="W271" s="220"/>
    </row>
    <row r="272" ht="15.75" customHeight="1" outlineLevel="1">
      <c r="A272" s="213"/>
      <c r="B272" s="212"/>
      <c r="C272" s="213"/>
      <c r="D272" s="214" t="str">
        <f>IFERROR(VLOOKUP($C272,'PORTIFÓLIO'!C:V,2,0),"")</f>
        <v/>
      </c>
      <c r="E272" s="211" t="str">
        <f>IFERROR(VLOOKUP($C272,'PORTIFÓLIO'!C:V,3,0),"")</f>
        <v/>
      </c>
      <c r="F272" s="211" t="str">
        <f>IFERROR(VLOOKUP($C272,'PORTIFÓLIO'!C:V,4,0),"")</f>
        <v/>
      </c>
      <c r="G272" s="215" t="str">
        <f>IFERROR(VLOOKUP($C272,'PORTIFÓLIO'!C:V,5,0),"")</f>
        <v/>
      </c>
      <c r="H272" s="254" t="str">
        <f t="array" ref="H272">IFERROR(INDEX('PORTIFÓLIO'!$H$4:$H$433,MATCH($C272,'PORTIFÓLIO'!$C$4:$C$433,0)),"")</f>
        <v/>
      </c>
      <c r="I272" s="255"/>
      <c r="J272" s="218">
        <f t="shared" ref="J272:J289" si="31">I272*$B$2</f>
        <v>0</v>
      </c>
      <c r="K272" s="292" t="str">
        <f t="array" ref="K272">IFERROR(I272*INDEX('PORTIFÓLIO'!$S$4:$S$433,MATCH($C272,'PORTIFÓLIO'!$C$4:$C$433,0)),"")</f>
        <v/>
      </c>
      <c r="L272" s="292" t="str">
        <f t="array" ref="L272">IFERROR(J272*INDEX('PORTIFÓLIO'!$S$4:$S$433,MATCH($C272,'PORTIFÓLIO'!$C$4:$C$433,0)),"")</f>
        <v/>
      </c>
      <c r="M272" s="220"/>
      <c r="N272" s="220"/>
      <c r="O272" s="220"/>
      <c r="P272" s="220"/>
      <c r="Q272" s="220"/>
      <c r="R272" s="220"/>
      <c r="S272" s="220"/>
      <c r="T272" s="220"/>
      <c r="U272" s="220"/>
      <c r="V272" s="220"/>
      <c r="W272" s="220"/>
    </row>
    <row r="273" ht="15.75" customHeight="1" outlineLevel="1">
      <c r="A273" s="211"/>
      <c r="B273" s="212"/>
      <c r="C273" s="213"/>
      <c r="D273" s="214" t="str">
        <f>IFERROR(VLOOKUP($C273,'PORTIFÓLIO'!C:V,2,0),"")</f>
        <v/>
      </c>
      <c r="E273" s="211" t="str">
        <f>IFERROR(VLOOKUP($C273,'PORTIFÓLIO'!C:V,3,0),"")</f>
        <v/>
      </c>
      <c r="F273" s="211" t="str">
        <f>IFERROR(VLOOKUP($C273,'PORTIFÓLIO'!C:V,4,0),"")</f>
        <v/>
      </c>
      <c r="G273" s="215" t="str">
        <f>IFERROR(VLOOKUP($C273,'PORTIFÓLIO'!C:V,5,0),"")</f>
        <v/>
      </c>
      <c r="H273" s="254" t="str">
        <f t="array" ref="H273">IFERROR(INDEX('PORTIFÓLIO'!$H$4:$H$433,MATCH($C273,'PORTIFÓLIO'!$C$4:$C$433,0)),"")</f>
        <v/>
      </c>
      <c r="I273" s="256"/>
      <c r="J273" s="218">
        <f t="shared" si="31"/>
        <v>0</v>
      </c>
      <c r="K273" s="292" t="str">
        <f t="array" ref="K273">IFERROR(I273*INDEX('PORTIFÓLIO'!$S$4:$S$433,MATCH($C273,'PORTIFÓLIO'!$C$4:$C$433,0)),"")</f>
        <v/>
      </c>
      <c r="L273" s="292" t="str">
        <f t="array" ref="L273">IFERROR(J273*INDEX('PORTIFÓLIO'!$S$4:$S$433,MATCH($C273,'PORTIFÓLIO'!$C$4:$C$433,0)),"")</f>
        <v/>
      </c>
      <c r="M273" s="220"/>
      <c r="N273" s="220"/>
      <c r="O273" s="220"/>
      <c r="P273" s="220"/>
      <c r="Q273" s="220"/>
      <c r="R273" s="220"/>
      <c r="S273" s="220"/>
      <c r="T273" s="220"/>
      <c r="U273" s="220"/>
      <c r="V273" s="220"/>
      <c r="W273" s="220"/>
    </row>
    <row r="274" ht="15.75" customHeight="1" outlineLevel="1">
      <c r="A274" s="211"/>
      <c r="B274" s="212"/>
      <c r="C274" s="213"/>
      <c r="D274" s="214" t="str">
        <f>IFERROR(VLOOKUP($C274,'PORTIFÓLIO'!C:V,2,0),"")</f>
        <v/>
      </c>
      <c r="E274" s="211" t="str">
        <f>IFERROR(VLOOKUP($C274,'PORTIFÓLIO'!C:V,3,0),"")</f>
        <v/>
      </c>
      <c r="F274" s="211" t="str">
        <f>IFERROR(VLOOKUP($C274,'PORTIFÓLIO'!C:V,4,0),"")</f>
        <v/>
      </c>
      <c r="G274" s="215" t="str">
        <f>IFERROR(VLOOKUP($C274,'PORTIFÓLIO'!C:V,5,0),"")</f>
        <v/>
      </c>
      <c r="H274" s="254" t="str">
        <f t="array" ref="H274">IFERROR(INDEX('PORTIFÓLIO'!$H$4:$H$433,MATCH($C274,'PORTIFÓLIO'!$C$4:$C$433,0)),"")</f>
        <v/>
      </c>
      <c r="I274" s="256"/>
      <c r="J274" s="218">
        <f t="shared" si="31"/>
        <v>0</v>
      </c>
      <c r="K274" s="292" t="str">
        <f t="array" ref="K274">IFERROR(I274*INDEX('PORTIFÓLIO'!$S$4:$S$433,MATCH($C274,'PORTIFÓLIO'!$C$4:$C$433,0)),"")</f>
        <v/>
      </c>
      <c r="L274" s="292" t="str">
        <f t="array" ref="L274">IFERROR(J274*INDEX('PORTIFÓLIO'!$S$4:$S$433,MATCH($C274,'PORTIFÓLIO'!$C$4:$C$433,0)),"")</f>
        <v/>
      </c>
      <c r="M274" s="220"/>
      <c r="N274" s="220"/>
      <c r="O274" s="220"/>
      <c r="P274" s="220"/>
      <c r="Q274" s="220"/>
      <c r="R274" s="220"/>
      <c r="S274" s="220"/>
      <c r="T274" s="220"/>
      <c r="U274" s="220"/>
      <c r="V274" s="220"/>
      <c r="W274" s="220"/>
    </row>
    <row r="275" ht="15.75" customHeight="1" outlineLevel="1">
      <c r="A275" s="211"/>
      <c r="B275" s="212"/>
      <c r="C275" s="213"/>
      <c r="D275" s="214" t="str">
        <f>IFERROR(VLOOKUP($C275,'PORTIFÓLIO'!C:V,2,0),"")</f>
        <v/>
      </c>
      <c r="E275" s="211" t="str">
        <f>IFERROR(VLOOKUP($C275,'PORTIFÓLIO'!C:V,3,0),"")</f>
        <v/>
      </c>
      <c r="F275" s="211" t="str">
        <f>IFERROR(VLOOKUP($C275,'PORTIFÓLIO'!C:V,4,0),"")</f>
        <v/>
      </c>
      <c r="G275" s="215" t="str">
        <f>IFERROR(VLOOKUP($C275,'PORTIFÓLIO'!C:V,5,0),"")</f>
        <v/>
      </c>
      <c r="H275" s="254" t="str">
        <f t="array" ref="H275">IFERROR(INDEX('PORTIFÓLIO'!$H$4:$H$433,MATCH($C275,'PORTIFÓLIO'!$C$4:$C$433,0)),"")</f>
        <v/>
      </c>
      <c r="I275" s="256"/>
      <c r="J275" s="218">
        <f t="shared" si="31"/>
        <v>0</v>
      </c>
      <c r="K275" s="292" t="str">
        <f t="array" ref="K275">IFERROR(I275*INDEX('PORTIFÓLIO'!$S$4:$S$433,MATCH($C275,'PORTIFÓLIO'!$C$4:$C$433,0)),"")</f>
        <v/>
      </c>
      <c r="L275" s="292" t="str">
        <f t="array" ref="L275">IFERROR(J275*INDEX('PORTIFÓLIO'!$S$4:$S$433,MATCH($C275,'PORTIFÓLIO'!$C$4:$C$433,0)),"")</f>
        <v/>
      </c>
      <c r="M275" s="220"/>
      <c r="N275" s="220"/>
      <c r="O275" s="220"/>
      <c r="P275" s="220"/>
      <c r="Q275" s="220"/>
      <c r="R275" s="220"/>
      <c r="S275" s="220"/>
      <c r="T275" s="220"/>
      <c r="U275" s="220"/>
      <c r="V275" s="220"/>
      <c r="W275" s="220"/>
    </row>
    <row r="276" ht="15.75" customHeight="1" outlineLevel="1">
      <c r="A276" s="211"/>
      <c r="B276" s="212"/>
      <c r="C276" s="213"/>
      <c r="D276" s="214" t="str">
        <f>IFERROR(VLOOKUP($C276,'PORTIFÓLIO'!C:V,2,0),"")</f>
        <v/>
      </c>
      <c r="E276" s="211" t="str">
        <f>IFERROR(VLOOKUP($C276,'PORTIFÓLIO'!C:V,3,0),"")</f>
        <v/>
      </c>
      <c r="F276" s="211" t="str">
        <f>IFERROR(VLOOKUP($C276,'PORTIFÓLIO'!C:V,4,0),"")</f>
        <v/>
      </c>
      <c r="G276" s="215" t="str">
        <f>IFERROR(VLOOKUP($C276,'PORTIFÓLIO'!C:V,5,0),"")</f>
        <v/>
      </c>
      <c r="H276" s="254" t="str">
        <f t="array" ref="H276">IFERROR(INDEX('PORTIFÓLIO'!$H$4:$H$433,MATCH($C276,'PORTIFÓLIO'!$C$4:$C$433,0)),"")</f>
        <v/>
      </c>
      <c r="I276" s="256"/>
      <c r="J276" s="218">
        <f t="shared" si="31"/>
        <v>0</v>
      </c>
      <c r="K276" s="292" t="str">
        <f t="array" ref="K276">IFERROR(I276*INDEX('PORTIFÓLIO'!$S$4:$S$433,MATCH($C276,'PORTIFÓLIO'!$C$4:$C$433,0)),"")</f>
        <v/>
      </c>
      <c r="L276" s="292" t="str">
        <f t="array" ref="L276">IFERROR(J276*INDEX('PORTIFÓLIO'!$S$4:$S$433,MATCH($C276,'PORTIFÓLIO'!$C$4:$C$433,0)),"")</f>
        <v/>
      </c>
      <c r="M276" s="220"/>
      <c r="N276" s="220"/>
      <c r="O276" s="220"/>
      <c r="P276" s="220"/>
      <c r="Q276" s="220"/>
      <c r="R276" s="220"/>
      <c r="S276" s="220"/>
      <c r="T276" s="220"/>
      <c r="U276" s="220"/>
      <c r="V276" s="220"/>
      <c r="W276" s="220"/>
    </row>
    <row r="277" ht="15.75" customHeight="1" outlineLevel="1">
      <c r="A277" s="211"/>
      <c r="B277" s="212"/>
      <c r="C277" s="213"/>
      <c r="D277" s="214" t="str">
        <f>IFERROR(VLOOKUP($C277,'PORTIFÓLIO'!C:V,2,0),"")</f>
        <v/>
      </c>
      <c r="E277" s="211" t="str">
        <f>IFERROR(VLOOKUP($C277,'PORTIFÓLIO'!C:V,3,0),"")</f>
        <v/>
      </c>
      <c r="F277" s="211" t="str">
        <f>IFERROR(VLOOKUP($C277,'PORTIFÓLIO'!C:V,4,0),"")</f>
        <v/>
      </c>
      <c r="G277" s="215" t="str">
        <f>IFERROR(VLOOKUP($C277,'PORTIFÓLIO'!C:V,5,0),"")</f>
        <v/>
      </c>
      <c r="H277" s="254" t="str">
        <f t="array" ref="H277">IFERROR(INDEX('PORTIFÓLIO'!$H$4:$H$433,MATCH($C277,'PORTIFÓLIO'!$C$4:$C$433,0)),"")</f>
        <v/>
      </c>
      <c r="I277" s="256"/>
      <c r="J277" s="218">
        <f t="shared" si="31"/>
        <v>0</v>
      </c>
      <c r="K277" s="292" t="str">
        <f t="array" ref="K277">IFERROR(I277*INDEX('PORTIFÓLIO'!$S$4:$S$433,MATCH($C277,'PORTIFÓLIO'!$C$4:$C$433,0)),"")</f>
        <v/>
      </c>
      <c r="L277" s="292" t="str">
        <f t="array" ref="L277">IFERROR(J277*INDEX('PORTIFÓLIO'!$S$4:$S$433,MATCH($C277,'PORTIFÓLIO'!$C$4:$C$433,0)),"")</f>
        <v/>
      </c>
      <c r="M277" s="220"/>
      <c r="N277" s="220"/>
      <c r="O277" s="220"/>
      <c r="P277" s="220"/>
      <c r="Q277" s="220"/>
      <c r="R277" s="220"/>
      <c r="S277" s="220"/>
      <c r="T277" s="220"/>
      <c r="U277" s="220"/>
      <c r="V277" s="220"/>
      <c r="W277" s="220"/>
    </row>
    <row r="278" ht="15.75" customHeight="1" outlineLevel="1">
      <c r="A278" s="211"/>
      <c r="B278" s="212"/>
      <c r="C278" s="213"/>
      <c r="D278" s="214" t="str">
        <f>IFERROR(VLOOKUP($C278,'PORTIFÓLIO'!C:V,2,0),"")</f>
        <v/>
      </c>
      <c r="E278" s="211" t="str">
        <f>IFERROR(VLOOKUP($C278,'PORTIFÓLIO'!C:V,3,0),"")</f>
        <v/>
      </c>
      <c r="F278" s="211" t="str">
        <f>IFERROR(VLOOKUP($C278,'PORTIFÓLIO'!C:V,4,0),"")</f>
        <v/>
      </c>
      <c r="G278" s="215" t="str">
        <f>IFERROR(VLOOKUP($C278,'PORTIFÓLIO'!C:V,5,0),"")</f>
        <v/>
      </c>
      <c r="H278" s="254" t="str">
        <f t="array" ref="H278">IFERROR(INDEX('PORTIFÓLIO'!$H$4:$H$433,MATCH($C278,'PORTIFÓLIO'!$C$4:$C$433,0)),"")</f>
        <v/>
      </c>
      <c r="I278" s="256"/>
      <c r="J278" s="218">
        <f t="shared" si="31"/>
        <v>0</v>
      </c>
      <c r="K278" s="292" t="str">
        <f t="array" ref="K278">IFERROR(I278*INDEX('PORTIFÓLIO'!$S$4:$S$433,MATCH($C278,'PORTIFÓLIO'!$C$4:$C$433,0)),"")</f>
        <v/>
      </c>
      <c r="L278" s="292" t="str">
        <f t="array" ref="L278">IFERROR(J278*INDEX('PORTIFÓLIO'!$S$4:$S$433,MATCH($C278,'PORTIFÓLIO'!$C$4:$C$433,0)),"")</f>
        <v/>
      </c>
      <c r="M278" s="220"/>
      <c r="N278" s="220"/>
      <c r="O278" s="220"/>
      <c r="P278" s="220"/>
      <c r="Q278" s="220"/>
      <c r="R278" s="220"/>
      <c r="S278" s="220"/>
      <c r="T278" s="220"/>
      <c r="U278" s="220"/>
      <c r="V278" s="220"/>
      <c r="W278" s="220"/>
    </row>
    <row r="279" ht="15.75" customHeight="1" outlineLevel="1">
      <c r="A279" s="211"/>
      <c r="B279" s="212"/>
      <c r="C279" s="213"/>
      <c r="D279" s="214" t="str">
        <f>IFERROR(VLOOKUP($C279,'PORTIFÓLIO'!C:V,2,0),"")</f>
        <v/>
      </c>
      <c r="E279" s="211" t="str">
        <f>IFERROR(VLOOKUP($C279,'PORTIFÓLIO'!C:V,3,0),"")</f>
        <v/>
      </c>
      <c r="F279" s="211" t="str">
        <f>IFERROR(VLOOKUP($C279,'PORTIFÓLIO'!C:V,4,0),"")</f>
        <v/>
      </c>
      <c r="G279" s="215" t="str">
        <f>IFERROR(VLOOKUP($C279,'PORTIFÓLIO'!C:V,5,0),"")</f>
        <v/>
      </c>
      <c r="H279" s="254" t="str">
        <f t="array" ref="H279">IFERROR(INDEX('PORTIFÓLIO'!$H$4:$H$433,MATCH($C279,'PORTIFÓLIO'!$C$4:$C$433,0)),"")</f>
        <v/>
      </c>
      <c r="I279" s="256"/>
      <c r="J279" s="218">
        <f t="shared" si="31"/>
        <v>0</v>
      </c>
      <c r="K279" s="292" t="str">
        <f t="array" ref="K279">IFERROR(I279*INDEX('PORTIFÓLIO'!$S$4:$S$433,MATCH($C279,'PORTIFÓLIO'!$C$4:$C$433,0)),"")</f>
        <v/>
      </c>
      <c r="L279" s="292" t="str">
        <f t="array" ref="L279">IFERROR(J279*INDEX('PORTIFÓLIO'!$S$4:$S$433,MATCH($C279,'PORTIFÓLIO'!$C$4:$C$433,0)),"")</f>
        <v/>
      </c>
      <c r="M279" s="220"/>
      <c r="N279" s="220"/>
      <c r="O279" s="220"/>
      <c r="P279" s="220"/>
      <c r="Q279" s="220"/>
      <c r="R279" s="220"/>
      <c r="S279" s="220"/>
      <c r="T279" s="220"/>
      <c r="U279" s="220"/>
      <c r="V279" s="220"/>
      <c r="W279" s="220"/>
    </row>
    <row r="280" ht="15.75" customHeight="1" outlineLevel="1">
      <c r="A280" s="211"/>
      <c r="B280" s="212"/>
      <c r="C280" s="213"/>
      <c r="D280" s="214" t="str">
        <f>IFERROR(VLOOKUP($C280,'PORTIFÓLIO'!C:V,2,0),"")</f>
        <v/>
      </c>
      <c r="E280" s="211" t="str">
        <f>IFERROR(VLOOKUP($C280,'PORTIFÓLIO'!C:V,3,0),"")</f>
        <v/>
      </c>
      <c r="F280" s="211" t="str">
        <f>IFERROR(VLOOKUP($C280,'PORTIFÓLIO'!C:V,4,0),"")</f>
        <v/>
      </c>
      <c r="G280" s="215" t="str">
        <f>IFERROR(VLOOKUP($C280,'PORTIFÓLIO'!C:V,5,0),"")</f>
        <v/>
      </c>
      <c r="H280" s="254" t="str">
        <f t="array" ref="H280">IFERROR(INDEX('PORTIFÓLIO'!$H$4:$H$433,MATCH($C280,'PORTIFÓLIO'!$C$4:$C$433,0)),"")</f>
        <v/>
      </c>
      <c r="I280" s="255"/>
      <c r="J280" s="218">
        <f t="shared" si="31"/>
        <v>0</v>
      </c>
      <c r="K280" s="292" t="str">
        <f t="array" ref="K280">IFERROR(I280*INDEX('PORTIFÓLIO'!$S$4:$S$433,MATCH($C280,'PORTIFÓLIO'!$C$4:$C$433,0)),"")</f>
        <v/>
      </c>
      <c r="L280" s="292" t="str">
        <f t="array" ref="L280">IFERROR(J280*INDEX('PORTIFÓLIO'!$S$4:$S$433,MATCH($C280,'PORTIFÓLIO'!$C$4:$C$433,0)),"")</f>
        <v/>
      </c>
      <c r="M280" s="220"/>
      <c r="N280" s="220"/>
      <c r="O280" s="220"/>
      <c r="P280" s="220"/>
      <c r="Q280" s="220"/>
      <c r="R280" s="220"/>
      <c r="S280" s="220"/>
      <c r="T280" s="220"/>
      <c r="U280" s="220"/>
      <c r="V280" s="220"/>
      <c r="W280" s="220"/>
    </row>
    <row r="281" ht="15.75" customHeight="1" outlineLevel="1">
      <c r="A281" s="211"/>
      <c r="B281" s="212"/>
      <c r="C281" s="213"/>
      <c r="D281" s="214" t="str">
        <f>IFERROR(VLOOKUP($C281,'PORTIFÓLIO'!C:V,2,0),"")</f>
        <v/>
      </c>
      <c r="E281" s="211" t="str">
        <f>IFERROR(VLOOKUP($C281,'PORTIFÓLIO'!C:V,3,0),"")</f>
        <v/>
      </c>
      <c r="F281" s="211" t="str">
        <f>IFERROR(VLOOKUP($C281,'PORTIFÓLIO'!C:V,4,0),"")</f>
        <v/>
      </c>
      <c r="G281" s="215" t="str">
        <f>IFERROR(VLOOKUP($C281,'PORTIFÓLIO'!C:V,5,0),"")</f>
        <v/>
      </c>
      <c r="H281" s="254" t="str">
        <f t="array" ref="H281">IFERROR(INDEX('PORTIFÓLIO'!$H$4:$H$433,MATCH($C281,'PORTIFÓLIO'!$C$4:$C$433,0)),"")</f>
        <v/>
      </c>
      <c r="I281" s="256"/>
      <c r="J281" s="218">
        <f t="shared" si="31"/>
        <v>0</v>
      </c>
      <c r="K281" s="292" t="str">
        <f t="array" ref="K281">IFERROR(I281*INDEX('PORTIFÓLIO'!$S$4:$S$433,MATCH($C281,'PORTIFÓLIO'!$C$4:$C$433,0)),"")</f>
        <v/>
      </c>
      <c r="L281" s="292" t="str">
        <f t="array" ref="L281">IFERROR(J281*INDEX('PORTIFÓLIO'!$S$4:$S$433,MATCH($C281,'PORTIFÓLIO'!$C$4:$C$433,0)),"")</f>
        <v/>
      </c>
      <c r="M281" s="220"/>
      <c r="N281" s="220"/>
      <c r="O281" s="220"/>
      <c r="P281" s="220"/>
      <c r="Q281" s="220"/>
      <c r="R281" s="220"/>
      <c r="S281" s="220"/>
      <c r="T281" s="220"/>
      <c r="U281" s="220"/>
      <c r="V281" s="220"/>
      <c r="W281" s="220"/>
    </row>
    <row r="282" ht="15.75" customHeight="1" outlineLevel="1">
      <c r="A282" s="211"/>
      <c r="B282" s="212"/>
      <c r="C282" s="213"/>
      <c r="D282" s="214" t="str">
        <f>IFERROR(VLOOKUP($C282,'PORTIFÓLIO'!C:V,2,0),"")</f>
        <v/>
      </c>
      <c r="E282" s="211" t="str">
        <f>IFERROR(VLOOKUP($C282,'PORTIFÓLIO'!C:V,3,0),"")</f>
        <v/>
      </c>
      <c r="F282" s="211" t="str">
        <f>IFERROR(VLOOKUP($C282,'PORTIFÓLIO'!C:V,4,0),"")</f>
        <v/>
      </c>
      <c r="G282" s="215" t="str">
        <f>IFERROR(VLOOKUP($C282,'PORTIFÓLIO'!C:V,5,0),"")</f>
        <v/>
      </c>
      <c r="H282" s="254" t="str">
        <f t="array" ref="H282">IFERROR(INDEX('PORTIFÓLIO'!$H$4:$H$433,MATCH($C282,'PORTIFÓLIO'!$C$4:$C$433,0)),"")</f>
        <v/>
      </c>
      <c r="I282" s="256"/>
      <c r="J282" s="218">
        <f t="shared" si="31"/>
        <v>0</v>
      </c>
      <c r="K282" s="292" t="str">
        <f t="array" ref="K282">IFERROR(I282*INDEX('PORTIFÓLIO'!$S$4:$S$433,MATCH($C282,'PORTIFÓLIO'!$C$4:$C$433,0)),"")</f>
        <v/>
      </c>
      <c r="L282" s="292" t="str">
        <f t="array" ref="L282">IFERROR(J282*INDEX('PORTIFÓLIO'!$S$4:$S$433,MATCH($C282,'PORTIFÓLIO'!$C$4:$C$433,0)),"")</f>
        <v/>
      </c>
      <c r="M282" s="220"/>
      <c r="N282" s="220"/>
      <c r="O282" s="220"/>
      <c r="P282" s="220"/>
      <c r="Q282" s="220"/>
      <c r="R282" s="220"/>
      <c r="S282" s="220"/>
      <c r="T282" s="220"/>
      <c r="U282" s="220"/>
      <c r="V282" s="220"/>
      <c r="W282" s="220"/>
    </row>
    <row r="283" ht="15.75" customHeight="1" outlineLevel="1">
      <c r="A283" s="211"/>
      <c r="B283" s="212"/>
      <c r="C283" s="213"/>
      <c r="D283" s="214" t="str">
        <f>IFERROR(VLOOKUP($C283,'PORTIFÓLIO'!C:V,2,0),"")</f>
        <v/>
      </c>
      <c r="E283" s="211" t="str">
        <f>IFERROR(VLOOKUP($C283,'PORTIFÓLIO'!C:V,3,0),"")</f>
        <v/>
      </c>
      <c r="F283" s="211" t="str">
        <f>IFERROR(VLOOKUP($C283,'PORTIFÓLIO'!C:V,4,0),"")</f>
        <v/>
      </c>
      <c r="G283" s="215" t="str">
        <f>IFERROR(VLOOKUP($C283,'PORTIFÓLIO'!C:V,5,0),"")</f>
        <v/>
      </c>
      <c r="H283" s="254" t="str">
        <f t="array" ref="H283">IFERROR(INDEX('PORTIFÓLIO'!$H$4:$H$433,MATCH($C283,'PORTIFÓLIO'!$C$4:$C$433,0)),"")</f>
        <v/>
      </c>
      <c r="I283" s="256"/>
      <c r="J283" s="218">
        <f t="shared" si="31"/>
        <v>0</v>
      </c>
      <c r="K283" s="292" t="str">
        <f t="array" ref="K283">IFERROR(I283*INDEX('PORTIFÓLIO'!$S$4:$S$433,MATCH($C283,'PORTIFÓLIO'!$C$4:$C$433,0)),"")</f>
        <v/>
      </c>
      <c r="L283" s="292" t="str">
        <f t="array" ref="L283">IFERROR(J283*INDEX('PORTIFÓLIO'!$S$4:$S$433,MATCH($C283,'PORTIFÓLIO'!$C$4:$C$433,0)),"")</f>
        <v/>
      </c>
      <c r="M283" s="220"/>
      <c r="N283" s="220"/>
      <c r="O283" s="220"/>
      <c r="P283" s="220"/>
      <c r="Q283" s="220"/>
      <c r="R283" s="220"/>
      <c r="S283" s="220"/>
      <c r="T283" s="220"/>
      <c r="U283" s="220"/>
      <c r="V283" s="220"/>
      <c r="W283" s="220"/>
    </row>
    <row r="284" ht="15.75" customHeight="1" outlineLevel="1">
      <c r="A284" s="211"/>
      <c r="B284" s="212"/>
      <c r="C284" s="213"/>
      <c r="D284" s="214" t="str">
        <f>IFERROR(VLOOKUP($C284,'PORTIFÓLIO'!C:V,2,0),"")</f>
        <v/>
      </c>
      <c r="E284" s="211" t="str">
        <f>IFERROR(VLOOKUP($C284,'PORTIFÓLIO'!C:V,3,0),"")</f>
        <v/>
      </c>
      <c r="F284" s="211" t="str">
        <f>IFERROR(VLOOKUP($C284,'PORTIFÓLIO'!C:V,4,0),"")</f>
        <v/>
      </c>
      <c r="G284" s="215" t="str">
        <f>IFERROR(VLOOKUP($C284,'PORTIFÓLIO'!C:V,5,0),"")</f>
        <v/>
      </c>
      <c r="H284" s="254" t="str">
        <f t="array" ref="H284">IFERROR(INDEX('PORTIFÓLIO'!$H$4:$H$433,MATCH($C284,'PORTIFÓLIO'!$C$4:$C$433,0)),"")</f>
        <v/>
      </c>
      <c r="I284" s="256"/>
      <c r="J284" s="218">
        <f t="shared" si="31"/>
        <v>0</v>
      </c>
      <c r="K284" s="292" t="str">
        <f t="array" ref="K284">IFERROR(I284*INDEX('PORTIFÓLIO'!$S$4:$S$433,MATCH($C284,'PORTIFÓLIO'!$C$4:$C$433,0)),"")</f>
        <v/>
      </c>
      <c r="L284" s="292" t="str">
        <f t="array" ref="L284">IFERROR(J284*INDEX('PORTIFÓLIO'!$S$4:$S$433,MATCH($C284,'PORTIFÓLIO'!$C$4:$C$433,0)),"")</f>
        <v/>
      </c>
      <c r="M284" s="220"/>
      <c r="N284" s="220"/>
      <c r="O284" s="220"/>
      <c r="P284" s="220"/>
      <c r="Q284" s="220"/>
      <c r="R284" s="220"/>
      <c r="S284" s="220"/>
      <c r="T284" s="220"/>
      <c r="U284" s="220"/>
      <c r="V284" s="220"/>
      <c r="W284" s="220"/>
    </row>
    <row r="285" ht="15.75" customHeight="1" outlineLevel="1">
      <c r="A285" s="211"/>
      <c r="B285" s="212"/>
      <c r="C285" s="213"/>
      <c r="D285" s="214" t="str">
        <f>IFERROR(VLOOKUP($C285,'PORTIFÓLIO'!C:V,2,0),"")</f>
        <v/>
      </c>
      <c r="E285" s="211" t="str">
        <f>IFERROR(VLOOKUP($C285,'PORTIFÓLIO'!C:V,3,0),"")</f>
        <v/>
      </c>
      <c r="F285" s="211" t="str">
        <f>IFERROR(VLOOKUP($C285,'PORTIFÓLIO'!C:V,4,0),"")</f>
        <v/>
      </c>
      <c r="G285" s="215" t="str">
        <f>IFERROR(VLOOKUP($C285,'PORTIFÓLIO'!C:V,5,0),"")</f>
        <v/>
      </c>
      <c r="H285" s="254" t="str">
        <f t="array" ref="H285">IFERROR(INDEX('PORTIFÓLIO'!$H$4:$H$433,MATCH($C285,'PORTIFÓLIO'!$C$4:$C$433,0)),"")</f>
        <v/>
      </c>
      <c r="I285" s="256"/>
      <c r="J285" s="218">
        <f t="shared" si="31"/>
        <v>0</v>
      </c>
      <c r="K285" s="292" t="str">
        <f t="array" ref="K285">IFERROR(I285*INDEX('PORTIFÓLIO'!$S$4:$S$433,MATCH($C285,'PORTIFÓLIO'!$C$4:$C$433,0)),"")</f>
        <v/>
      </c>
      <c r="L285" s="292" t="str">
        <f t="array" ref="L285">IFERROR(J285*INDEX('PORTIFÓLIO'!$S$4:$S$433,MATCH($C285,'PORTIFÓLIO'!$C$4:$C$433,0)),"")</f>
        <v/>
      </c>
      <c r="M285" s="220"/>
      <c r="N285" s="220"/>
      <c r="O285" s="220"/>
      <c r="P285" s="220"/>
      <c r="Q285" s="220"/>
      <c r="R285" s="220"/>
      <c r="S285" s="220"/>
      <c r="T285" s="220"/>
      <c r="U285" s="220"/>
      <c r="V285" s="220"/>
      <c r="W285" s="220"/>
    </row>
    <row r="286" ht="15.75" customHeight="1" outlineLevel="1">
      <c r="A286" s="211"/>
      <c r="B286" s="212"/>
      <c r="C286" s="213"/>
      <c r="D286" s="214" t="str">
        <f>IFERROR(VLOOKUP($C286,'PORTIFÓLIO'!C:V,2,0),"")</f>
        <v/>
      </c>
      <c r="E286" s="211" t="str">
        <f>IFERROR(VLOOKUP($C286,'PORTIFÓLIO'!C:V,3,0),"")</f>
        <v/>
      </c>
      <c r="F286" s="211" t="str">
        <f>IFERROR(VLOOKUP($C286,'PORTIFÓLIO'!C:V,4,0),"")</f>
        <v/>
      </c>
      <c r="G286" s="215" t="str">
        <f>IFERROR(VLOOKUP($C286,'PORTIFÓLIO'!C:V,5,0),"")</f>
        <v/>
      </c>
      <c r="H286" s="254" t="str">
        <f t="array" ref="H286">IFERROR(INDEX('PORTIFÓLIO'!$H$4:$H$433,MATCH($C286,'PORTIFÓLIO'!$C$4:$C$433,0)),"")</f>
        <v/>
      </c>
      <c r="I286" s="256"/>
      <c r="J286" s="218">
        <f t="shared" si="31"/>
        <v>0</v>
      </c>
      <c r="K286" s="292" t="str">
        <f t="array" ref="K286">IFERROR(I286*INDEX('PORTIFÓLIO'!$S$4:$S$433,MATCH($C286,'PORTIFÓLIO'!$C$4:$C$433,0)),"")</f>
        <v/>
      </c>
      <c r="L286" s="292" t="str">
        <f t="array" ref="L286">IFERROR(J286*INDEX('PORTIFÓLIO'!$S$4:$S$433,MATCH($C286,'PORTIFÓLIO'!$C$4:$C$433,0)),"")</f>
        <v/>
      </c>
      <c r="M286" s="220"/>
      <c r="N286" s="220"/>
      <c r="O286" s="220"/>
      <c r="P286" s="220"/>
      <c r="Q286" s="220"/>
      <c r="R286" s="220"/>
      <c r="S286" s="220"/>
      <c r="T286" s="220"/>
      <c r="U286" s="220"/>
      <c r="V286" s="220"/>
      <c r="W286" s="220"/>
    </row>
    <row r="287" ht="15.75" customHeight="1" outlineLevel="1">
      <c r="A287" s="211"/>
      <c r="B287" s="212"/>
      <c r="C287" s="213"/>
      <c r="D287" s="214" t="str">
        <f>IFERROR(VLOOKUP($C287,'PORTIFÓLIO'!C:V,2,0),"")</f>
        <v/>
      </c>
      <c r="E287" s="211" t="str">
        <f>IFERROR(VLOOKUP($C287,'PORTIFÓLIO'!C:V,3,0),"")</f>
        <v/>
      </c>
      <c r="F287" s="211" t="str">
        <f>IFERROR(VLOOKUP($C287,'PORTIFÓLIO'!C:V,4,0),"")</f>
        <v/>
      </c>
      <c r="G287" s="215" t="str">
        <f>IFERROR(VLOOKUP($C287,'PORTIFÓLIO'!C:V,5,0),"")</f>
        <v/>
      </c>
      <c r="H287" s="254" t="str">
        <f t="array" ref="H287">IFERROR(INDEX('PORTIFÓLIO'!$H$4:$H$433,MATCH($C287,'PORTIFÓLIO'!$C$4:$C$433,0)),"")</f>
        <v/>
      </c>
      <c r="I287" s="256"/>
      <c r="J287" s="218">
        <f t="shared" si="31"/>
        <v>0</v>
      </c>
      <c r="K287" s="292" t="str">
        <f t="array" ref="K287">IFERROR(I287*INDEX('PORTIFÓLIO'!$S$4:$S$433,MATCH($C287,'PORTIFÓLIO'!$C$4:$C$433,0)),"")</f>
        <v/>
      </c>
      <c r="L287" s="292" t="str">
        <f t="array" ref="L287">IFERROR(J287*INDEX('PORTIFÓLIO'!$S$4:$S$433,MATCH($C287,'PORTIFÓLIO'!$C$4:$C$433,0)),"")</f>
        <v/>
      </c>
      <c r="M287" s="220"/>
      <c r="N287" s="220"/>
      <c r="O287" s="220"/>
      <c r="P287" s="220"/>
      <c r="Q287" s="220"/>
      <c r="R287" s="220"/>
      <c r="S287" s="220"/>
      <c r="T287" s="220"/>
      <c r="U287" s="220"/>
      <c r="V287" s="220"/>
      <c r="W287" s="220"/>
    </row>
    <row r="288" ht="15.75" customHeight="1" outlineLevel="1">
      <c r="A288" s="211"/>
      <c r="B288" s="212"/>
      <c r="C288" s="213"/>
      <c r="D288" s="214" t="str">
        <f>IFERROR(VLOOKUP($C288,'PORTIFÓLIO'!C:V,2,0),"")</f>
        <v/>
      </c>
      <c r="E288" s="211" t="str">
        <f>IFERROR(VLOOKUP($C288,'PORTIFÓLIO'!C:V,3,0),"")</f>
        <v/>
      </c>
      <c r="F288" s="211" t="str">
        <f>IFERROR(VLOOKUP($C288,'PORTIFÓLIO'!C:V,4,0),"")</f>
        <v/>
      </c>
      <c r="G288" s="215" t="str">
        <f>IFERROR(VLOOKUP($C288,'PORTIFÓLIO'!C:V,5,0),"")</f>
        <v/>
      </c>
      <c r="H288" s="254" t="str">
        <f t="array" ref="H288">IFERROR(INDEX('PORTIFÓLIO'!$H$4:$H$433,MATCH($C288,'PORTIFÓLIO'!$C$4:$C$433,0)),"")</f>
        <v/>
      </c>
      <c r="I288" s="256"/>
      <c r="J288" s="218">
        <f t="shared" si="31"/>
        <v>0</v>
      </c>
      <c r="K288" s="292" t="str">
        <f t="array" ref="K288">IFERROR(I288*INDEX('PORTIFÓLIO'!$S$4:$S$433,MATCH($C288,'PORTIFÓLIO'!$C$4:$C$433,0)),"")</f>
        <v/>
      </c>
      <c r="L288" s="292" t="str">
        <f t="array" ref="L288">IFERROR(J288*INDEX('PORTIFÓLIO'!$S$4:$S$433,MATCH($C288,'PORTIFÓLIO'!$C$4:$C$433,0)),"")</f>
        <v/>
      </c>
      <c r="M288" s="220"/>
      <c r="N288" s="220"/>
      <c r="O288" s="220"/>
      <c r="P288" s="220"/>
      <c r="Q288" s="220"/>
      <c r="R288" s="220"/>
      <c r="S288" s="220"/>
      <c r="T288" s="220"/>
      <c r="U288" s="220"/>
      <c r="V288" s="220"/>
      <c r="W288" s="220"/>
    </row>
    <row r="289" ht="15.75" customHeight="1" outlineLevel="1">
      <c r="A289" s="211"/>
      <c r="B289" s="212"/>
      <c r="C289" s="213"/>
      <c r="D289" s="214" t="str">
        <f>IFERROR(VLOOKUP($C289,'PORTIFÓLIO'!C:V,2,0),"")</f>
        <v/>
      </c>
      <c r="E289" s="211" t="str">
        <f>IFERROR(VLOOKUP($C289,'PORTIFÓLIO'!C:V,3,0),"")</f>
        <v/>
      </c>
      <c r="F289" s="211" t="str">
        <f>IFERROR(VLOOKUP($C289,'PORTIFÓLIO'!C:V,4,0),"")</f>
        <v/>
      </c>
      <c r="G289" s="215" t="str">
        <f>IFERROR(VLOOKUP($C289,'PORTIFÓLIO'!C:V,5,0),"")</f>
        <v/>
      </c>
      <c r="H289" s="254" t="str">
        <f t="array" ref="H289">IFERROR(INDEX('PORTIFÓLIO'!$H$4:$H$433,MATCH($C289,'PORTIFÓLIO'!$C$4:$C$433,0)),"")</f>
        <v/>
      </c>
      <c r="I289" s="256"/>
      <c r="J289" s="218">
        <f t="shared" si="31"/>
        <v>0</v>
      </c>
      <c r="K289" s="292" t="str">
        <f t="array" ref="K289">IFERROR(I289*INDEX('PORTIFÓLIO'!$S$4:$S$433,MATCH($C289,'PORTIFÓLIO'!$C$4:$C$433,0)),"")</f>
        <v/>
      </c>
      <c r="L289" s="292" t="str">
        <f t="array" ref="L289">IFERROR(J289*INDEX('PORTIFÓLIO'!$S$4:$S$433,MATCH($C289,'PORTIFÓLIO'!$C$4:$C$433,0)),"")</f>
        <v/>
      </c>
      <c r="M289" s="220"/>
      <c r="N289" s="220"/>
      <c r="O289" s="220"/>
      <c r="P289" s="220"/>
      <c r="Q289" s="220"/>
      <c r="R289" s="220"/>
      <c r="S289" s="220"/>
      <c r="T289" s="220"/>
      <c r="U289" s="220"/>
      <c r="V289" s="220"/>
      <c r="W289" s="220"/>
    </row>
    <row r="290" ht="15.75" customHeight="1">
      <c r="A290" s="229" t="s">
        <v>1186</v>
      </c>
      <c r="B290" s="230"/>
      <c r="C290" s="231"/>
      <c r="D290" s="232"/>
      <c r="E290" s="231"/>
      <c r="F290" s="231"/>
      <c r="G290" s="233"/>
      <c r="H290" s="233"/>
      <c r="I290" s="258"/>
      <c r="J290" s="236"/>
      <c r="K290" s="237">
        <f t="shared" ref="K290:L290" si="32">SUBTOTAL(9,K291:K304)</f>
        <v>0</v>
      </c>
      <c r="L290" s="237">
        <f t="shared" si="32"/>
        <v>0</v>
      </c>
      <c r="M290" s="220"/>
      <c r="N290" s="220"/>
      <c r="O290" s="220"/>
      <c r="P290" s="220"/>
      <c r="Q290" s="220"/>
      <c r="R290" s="220"/>
      <c r="S290" s="220"/>
      <c r="T290" s="220"/>
      <c r="U290" s="220"/>
      <c r="V290" s="220"/>
      <c r="W290" s="220"/>
    </row>
    <row r="291" ht="15.75" customHeight="1" outlineLevel="1">
      <c r="A291" s="213"/>
      <c r="B291" s="212"/>
      <c r="C291" s="213"/>
      <c r="D291" s="214" t="str">
        <f>IFERROR(VLOOKUP($C291,'PORTIFÓLIO'!C:V,2,0),"")</f>
        <v/>
      </c>
      <c r="E291" s="211" t="str">
        <f>IFERROR(VLOOKUP($C291,'PORTIFÓLIO'!C:V,3,0),"")</f>
        <v/>
      </c>
      <c r="F291" s="211" t="str">
        <f>IFERROR(VLOOKUP($C291,'PORTIFÓLIO'!C:V,4,0),"")</f>
        <v/>
      </c>
      <c r="G291" s="215" t="str">
        <f>IFERROR(VLOOKUP($C291,'PORTIFÓLIO'!C:V,5,0),"")</f>
        <v/>
      </c>
      <c r="H291" s="254" t="str">
        <f t="array" ref="H291">IFERROR(INDEX('PORTIFÓLIO'!$H$4:$H$433,MATCH($C291,'PORTIFÓLIO'!$C$4:$C$433,0)),"")</f>
        <v/>
      </c>
      <c r="I291" s="255"/>
      <c r="J291" s="218">
        <f t="shared" ref="J291:J307" si="33">I291*$B$2</f>
        <v>0</v>
      </c>
      <c r="K291" s="292" t="str">
        <f t="array" ref="K291">IFERROR(I291*INDEX('PORTIFÓLIO'!$S$4:$S$433,MATCH($C291,'PORTIFÓLIO'!$C$4:$C$433,0)),"")</f>
        <v/>
      </c>
      <c r="L291" s="292" t="str">
        <f t="array" ref="L291">IFERROR(J291*INDEX('PORTIFÓLIO'!$S$4:$S$433,MATCH($C291,'PORTIFÓLIO'!$C$4:$C$433,0)),"")</f>
        <v/>
      </c>
      <c r="M291" s="220"/>
      <c r="N291" s="220"/>
      <c r="O291" s="220"/>
      <c r="P291" s="220"/>
      <c r="Q291" s="220"/>
      <c r="R291" s="220"/>
      <c r="S291" s="220"/>
      <c r="T291" s="220"/>
      <c r="U291" s="220"/>
      <c r="V291" s="220"/>
      <c r="W291" s="220"/>
    </row>
    <row r="292" ht="15.75" customHeight="1" outlineLevel="1">
      <c r="A292" s="211"/>
      <c r="B292" s="212"/>
      <c r="C292" s="213"/>
      <c r="D292" s="214" t="str">
        <f>IFERROR(VLOOKUP($C292,'PORTIFÓLIO'!C:V,2,0),"")</f>
        <v/>
      </c>
      <c r="E292" s="211" t="str">
        <f>IFERROR(VLOOKUP($C292,'PORTIFÓLIO'!C:V,3,0),"")</f>
        <v/>
      </c>
      <c r="F292" s="211" t="str">
        <f>IFERROR(VLOOKUP($C292,'PORTIFÓLIO'!C:V,4,0),"")</f>
        <v/>
      </c>
      <c r="G292" s="215" t="str">
        <f>IFERROR(VLOOKUP($C292,'PORTIFÓLIO'!C:V,5,0),"")</f>
        <v/>
      </c>
      <c r="H292" s="254" t="str">
        <f t="array" ref="H292">IFERROR(INDEX('PORTIFÓLIO'!$H$4:$H$433,MATCH($C292,'PORTIFÓLIO'!$C$4:$C$433,0)),"")</f>
        <v/>
      </c>
      <c r="I292" s="256"/>
      <c r="J292" s="218">
        <f t="shared" si="33"/>
        <v>0</v>
      </c>
      <c r="K292" s="292" t="str">
        <f t="array" ref="K292">IFERROR(I292*INDEX('PORTIFÓLIO'!$S$4:$S$433,MATCH($C292,'PORTIFÓLIO'!$C$4:$C$433,0)),"")</f>
        <v/>
      </c>
      <c r="L292" s="292" t="str">
        <f t="array" ref="L292">IFERROR(J292*INDEX('PORTIFÓLIO'!$S$4:$S$433,MATCH($C292,'PORTIFÓLIO'!$C$4:$C$433,0)),"")</f>
        <v/>
      </c>
      <c r="M292" s="220"/>
      <c r="N292" s="220"/>
      <c r="O292" s="220"/>
      <c r="P292" s="220"/>
      <c r="Q292" s="220"/>
      <c r="R292" s="220"/>
      <c r="S292" s="220"/>
      <c r="T292" s="220"/>
      <c r="U292" s="220"/>
      <c r="V292" s="220"/>
      <c r="W292" s="220"/>
    </row>
    <row r="293" ht="15.75" customHeight="1" outlineLevel="1">
      <c r="A293" s="211"/>
      <c r="B293" s="212"/>
      <c r="C293" s="213"/>
      <c r="D293" s="214" t="str">
        <f>IFERROR(VLOOKUP($C293,'PORTIFÓLIO'!C:V,2,0),"")</f>
        <v/>
      </c>
      <c r="E293" s="211" t="str">
        <f>IFERROR(VLOOKUP($C293,'PORTIFÓLIO'!C:V,3,0),"")</f>
        <v/>
      </c>
      <c r="F293" s="211" t="str">
        <f>IFERROR(VLOOKUP($C293,'PORTIFÓLIO'!C:V,4,0),"")</f>
        <v/>
      </c>
      <c r="G293" s="215" t="str">
        <f>IFERROR(VLOOKUP($C293,'PORTIFÓLIO'!C:V,5,0),"")</f>
        <v/>
      </c>
      <c r="H293" s="254" t="str">
        <f t="array" ref="H293">IFERROR(INDEX('PORTIFÓLIO'!$H$4:$H$433,MATCH($C293,'PORTIFÓLIO'!$C$4:$C$433,0)),"")</f>
        <v/>
      </c>
      <c r="I293" s="256"/>
      <c r="J293" s="218">
        <f t="shared" si="33"/>
        <v>0</v>
      </c>
      <c r="K293" s="292" t="str">
        <f t="array" ref="K293">IFERROR(I293*INDEX('PORTIFÓLIO'!$S$4:$S$433,MATCH($C293,'PORTIFÓLIO'!$C$4:$C$433,0)),"")</f>
        <v/>
      </c>
      <c r="L293" s="292" t="str">
        <f t="array" ref="L293">IFERROR(J293*INDEX('PORTIFÓLIO'!$S$4:$S$433,MATCH($C293,'PORTIFÓLIO'!$C$4:$C$433,0)),"")</f>
        <v/>
      </c>
      <c r="M293" s="220"/>
      <c r="N293" s="220"/>
      <c r="O293" s="220"/>
      <c r="P293" s="220"/>
      <c r="Q293" s="220"/>
      <c r="R293" s="220"/>
      <c r="S293" s="220"/>
      <c r="T293" s="220"/>
      <c r="U293" s="220"/>
      <c r="V293" s="220"/>
      <c r="W293" s="220"/>
    </row>
    <row r="294" ht="15.75" customHeight="1" outlineLevel="1">
      <c r="A294" s="211"/>
      <c r="B294" s="212"/>
      <c r="C294" s="213"/>
      <c r="D294" s="214" t="str">
        <f>IFERROR(VLOOKUP($C294,'PORTIFÓLIO'!C:V,2,0),"")</f>
        <v/>
      </c>
      <c r="E294" s="211" t="str">
        <f>IFERROR(VLOOKUP($C294,'PORTIFÓLIO'!C:V,3,0),"")</f>
        <v/>
      </c>
      <c r="F294" s="211" t="str">
        <f>IFERROR(VLOOKUP($C294,'PORTIFÓLIO'!C:V,4,0),"")</f>
        <v/>
      </c>
      <c r="G294" s="215" t="str">
        <f>IFERROR(VLOOKUP($C294,'PORTIFÓLIO'!C:V,5,0),"")</f>
        <v/>
      </c>
      <c r="H294" s="254" t="str">
        <f t="array" ref="H294">IFERROR(INDEX('PORTIFÓLIO'!$H$4:$H$433,MATCH($C294,'PORTIFÓLIO'!$C$4:$C$433,0)),"")</f>
        <v/>
      </c>
      <c r="I294" s="256"/>
      <c r="J294" s="218">
        <f t="shared" si="33"/>
        <v>0</v>
      </c>
      <c r="K294" s="292" t="str">
        <f t="array" ref="K294">IFERROR(I294*INDEX('PORTIFÓLIO'!$S$4:$S$433,MATCH($C294,'PORTIFÓLIO'!$C$4:$C$433,0)),"")</f>
        <v/>
      </c>
      <c r="L294" s="292" t="str">
        <f t="array" ref="L294">IFERROR(J294*INDEX('PORTIFÓLIO'!$S$4:$S$433,MATCH($C294,'PORTIFÓLIO'!$C$4:$C$433,0)),"")</f>
        <v/>
      </c>
      <c r="M294" s="220"/>
      <c r="N294" s="220"/>
      <c r="O294" s="220"/>
      <c r="P294" s="220"/>
      <c r="Q294" s="220"/>
      <c r="R294" s="220"/>
      <c r="S294" s="220"/>
      <c r="T294" s="220"/>
      <c r="U294" s="220"/>
      <c r="V294" s="220"/>
      <c r="W294" s="220"/>
    </row>
    <row r="295" ht="15.75" customHeight="1" outlineLevel="1">
      <c r="A295" s="211"/>
      <c r="B295" s="212"/>
      <c r="C295" s="213"/>
      <c r="D295" s="214" t="str">
        <f>IFERROR(VLOOKUP($C295,'PORTIFÓLIO'!C:V,2,0),"")</f>
        <v/>
      </c>
      <c r="E295" s="211" t="str">
        <f>IFERROR(VLOOKUP($C295,'PORTIFÓLIO'!C:V,3,0),"")</f>
        <v/>
      </c>
      <c r="F295" s="211" t="str">
        <f>IFERROR(VLOOKUP($C295,'PORTIFÓLIO'!C:V,4,0),"")</f>
        <v/>
      </c>
      <c r="G295" s="215" t="str">
        <f>IFERROR(VLOOKUP($C295,'PORTIFÓLIO'!C:V,5,0),"")</f>
        <v/>
      </c>
      <c r="H295" s="254" t="str">
        <f t="array" ref="H295">IFERROR(INDEX('PORTIFÓLIO'!$H$4:$H$433,MATCH($C295,'PORTIFÓLIO'!$C$4:$C$433,0)),"")</f>
        <v/>
      </c>
      <c r="I295" s="256"/>
      <c r="J295" s="218">
        <f t="shared" si="33"/>
        <v>0</v>
      </c>
      <c r="K295" s="292" t="str">
        <f t="array" ref="K295">IFERROR(I295*INDEX('PORTIFÓLIO'!$S$4:$S$433,MATCH($C295,'PORTIFÓLIO'!$C$4:$C$433,0)),"")</f>
        <v/>
      </c>
      <c r="L295" s="292" t="str">
        <f t="array" ref="L295">IFERROR(J295*INDEX('PORTIFÓLIO'!$S$4:$S$433,MATCH($C295,'PORTIFÓLIO'!$C$4:$C$433,0)),"")</f>
        <v/>
      </c>
      <c r="M295" s="220"/>
      <c r="N295" s="220"/>
      <c r="O295" s="220"/>
      <c r="P295" s="220"/>
      <c r="Q295" s="220"/>
      <c r="R295" s="220"/>
      <c r="S295" s="220"/>
      <c r="T295" s="220"/>
      <c r="U295" s="220"/>
      <c r="V295" s="220"/>
      <c r="W295" s="220"/>
    </row>
    <row r="296" ht="15.75" customHeight="1" outlineLevel="1">
      <c r="A296" s="211"/>
      <c r="B296" s="212"/>
      <c r="C296" s="213"/>
      <c r="D296" s="214" t="str">
        <f>IFERROR(VLOOKUP($C296,'PORTIFÓLIO'!C:V,2,0),"")</f>
        <v/>
      </c>
      <c r="E296" s="211" t="str">
        <f>IFERROR(VLOOKUP($C296,'PORTIFÓLIO'!C:V,3,0),"")</f>
        <v/>
      </c>
      <c r="F296" s="211" t="str">
        <f>IFERROR(VLOOKUP($C296,'PORTIFÓLIO'!C:V,4,0),"")</f>
        <v/>
      </c>
      <c r="G296" s="215" t="str">
        <f>IFERROR(VLOOKUP($C296,'PORTIFÓLIO'!C:V,5,0),"")</f>
        <v/>
      </c>
      <c r="H296" s="254" t="str">
        <f t="array" ref="H296">IFERROR(INDEX('PORTIFÓLIO'!$H$4:$H$433,MATCH($C296,'PORTIFÓLIO'!$C$4:$C$433,0)),"")</f>
        <v/>
      </c>
      <c r="I296" s="256"/>
      <c r="J296" s="218">
        <f t="shared" si="33"/>
        <v>0</v>
      </c>
      <c r="K296" s="292" t="str">
        <f t="array" ref="K296">IFERROR(I296*INDEX('PORTIFÓLIO'!$S$4:$S$433,MATCH($C296,'PORTIFÓLIO'!$C$4:$C$433,0)),"")</f>
        <v/>
      </c>
      <c r="L296" s="292" t="str">
        <f t="array" ref="L296">IFERROR(J296*INDEX('PORTIFÓLIO'!$S$4:$S$433,MATCH($C296,'PORTIFÓLIO'!$C$4:$C$433,0)),"")</f>
        <v/>
      </c>
      <c r="M296" s="220"/>
      <c r="N296" s="220"/>
      <c r="O296" s="220"/>
      <c r="P296" s="220"/>
      <c r="Q296" s="220"/>
      <c r="R296" s="220"/>
      <c r="S296" s="220"/>
      <c r="T296" s="220"/>
      <c r="U296" s="220"/>
      <c r="V296" s="220"/>
      <c r="W296" s="220"/>
    </row>
    <row r="297" ht="15.75" customHeight="1" outlineLevel="1">
      <c r="A297" s="211"/>
      <c r="B297" s="212"/>
      <c r="C297" s="213"/>
      <c r="D297" s="214" t="str">
        <f>IFERROR(VLOOKUP($C297,'PORTIFÓLIO'!C:V,2,0),"")</f>
        <v/>
      </c>
      <c r="E297" s="211" t="str">
        <f>IFERROR(VLOOKUP($C297,'PORTIFÓLIO'!C:V,3,0),"")</f>
        <v/>
      </c>
      <c r="F297" s="211" t="str">
        <f>IFERROR(VLOOKUP($C297,'PORTIFÓLIO'!C:V,4,0),"")</f>
        <v/>
      </c>
      <c r="G297" s="215" t="str">
        <f>IFERROR(VLOOKUP($C297,'PORTIFÓLIO'!C:V,5,0),"")</f>
        <v/>
      </c>
      <c r="H297" s="254" t="str">
        <f t="array" ref="H297">IFERROR(INDEX('PORTIFÓLIO'!$H$4:$H$433,MATCH($C297,'PORTIFÓLIO'!$C$4:$C$433,0)),"")</f>
        <v/>
      </c>
      <c r="I297" s="256"/>
      <c r="J297" s="218">
        <f t="shared" si="33"/>
        <v>0</v>
      </c>
      <c r="K297" s="292" t="str">
        <f t="array" ref="K297">IFERROR(I297*INDEX('PORTIFÓLIO'!$S$4:$S$433,MATCH($C297,'PORTIFÓLIO'!$C$4:$C$433,0)),"")</f>
        <v/>
      </c>
      <c r="L297" s="292" t="str">
        <f t="array" ref="L297">IFERROR(J297*INDEX('PORTIFÓLIO'!$S$4:$S$433,MATCH($C297,'PORTIFÓLIO'!$C$4:$C$433,0)),"")</f>
        <v/>
      </c>
      <c r="M297" s="220"/>
      <c r="N297" s="220"/>
      <c r="O297" s="220"/>
      <c r="P297" s="220"/>
      <c r="Q297" s="220"/>
      <c r="R297" s="220"/>
      <c r="S297" s="220"/>
      <c r="T297" s="220"/>
      <c r="U297" s="220"/>
      <c r="V297" s="220"/>
      <c r="W297" s="220"/>
    </row>
    <row r="298" ht="15.75" customHeight="1" outlineLevel="1">
      <c r="A298" s="211"/>
      <c r="B298" s="212"/>
      <c r="C298" s="213"/>
      <c r="D298" s="214" t="str">
        <f>IFERROR(VLOOKUP($C298,'PORTIFÓLIO'!C:V,2,0),"")</f>
        <v/>
      </c>
      <c r="E298" s="211" t="str">
        <f>IFERROR(VLOOKUP($C298,'PORTIFÓLIO'!C:V,3,0),"")</f>
        <v/>
      </c>
      <c r="F298" s="211" t="str">
        <f>IFERROR(VLOOKUP($C298,'PORTIFÓLIO'!C:V,4,0),"")</f>
        <v/>
      </c>
      <c r="G298" s="215" t="str">
        <f>IFERROR(VLOOKUP($C298,'PORTIFÓLIO'!C:V,5,0),"")</f>
        <v/>
      </c>
      <c r="H298" s="254" t="str">
        <f t="array" ref="H298">IFERROR(INDEX('PORTIFÓLIO'!$H$4:$H$433,MATCH($C298,'PORTIFÓLIO'!$C$4:$C$433,0)),"")</f>
        <v/>
      </c>
      <c r="I298" s="256"/>
      <c r="J298" s="218">
        <f t="shared" si="33"/>
        <v>0</v>
      </c>
      <c r="K298" s="292" t="str">
        <f t="array" ref="K298">IFERROR(I298*INDEX('PORTIFÓLIO'!$S$4:$S$433,MATCH($C298,'PORTIFÓLIO'!$C$4:$C$433,0)),"")</f>
        <v/>
      </c>
      <c r="L298" s="292" t="str">
        <f t="array" ref="L298">IFERROR(J298*INDEX('PORTIFÓLIO'!$S$4:$S$433,MATCH($C298,'PORTIFÓLIO'!$C$4:$C$433,0)),"")</f>
        <v/>
      </c>
      <c r="M298" s="220"/>
      <c r="N298" s="220"/>
      <c r="O298" s="220"/>
      <c r="P298" s="220"/>
      <c r="Q298" s="220"/>
      <c r="R298" s="220"/>
      <c r="S298" s="220"/>
      <c r="T298" s="220"/>
      <c r="U298" s="220"/>
      <c r="V298" s="220"/>
      <c r="W298" s="220"/>
    </row>
    <row r="299" ht="15.75" customHeight="1" outlineLevel="1">
      <c r="A299" s="211"/>
      <c r="B299" s="212"/>
      <c r="C299" s="213"/>
      <c r="D299" s="214" t="str">
        <f>IFERROR(VLOOKUP($C299,'PORTIFÓLIO'!C:V,2,0),"")</f>
        <v/>
      </c>
      <c r="E299" s="211" t="str">
        <f>IFERROR(VLOOKUP($C299,'PORTIFÓLIO'!C:V,3,0),"")</f>
        <v/>
      </c>
      <c r="F299" s="211" t="str">
        <f>IFERROR(VLOOKUP($C299,'PORTIFÓLIO'!C:V,4,0),"")</f>
        <v/>
      </c>
      <c r="G299" s="215" t="str">
        <f>IFERROR(VLOOKUP($C299,'PORTIFÓLIO'!C:V,5,0),"")</f>
        <v/>
      </c>
      <c r="H299" s="254" t="str">
        <f t="array" ref="H299">IFERROR(INDEX('PORTIFÓLIO'!$H$4:$H$433,MATCH($C299,'PORTIFÓLIO'!$C$4:$C$433,0)),"")</f>
        <v/>
      </c>
      <c r="I299" s="255"/>
      <c r="J299" s="218">
        <f t="shared" si="33"/>
        <v>0</v>
      </c>
      <c r="K299" s="292" t="str">
        <f t="array" ref="K299">IFERROR(I299*INDEX('PORTIFÓLIO'!$S$4:$S$433,MATCH($C299,'PORTIFÓLIO'!$C$4:$C$433,0)),"")</f>
        <v/>
      </c>
      <c r="L299" s="292" t="str">
        <f t="array" ref="L299">IFERROR(J299*INDEX('PORTIFÓLIO'!$S$4:$S$433,MATCH($C299,'PORTIFÓLIO'!$C$4:$C$433,0)),"")</f>
        <v/>
      </c>
      <c r="M299" s="220"/>
      <c r="N299" s="220"/>
      <c r="O299" s="220"/>
      <c r="P299" s="220"/>
      <c r="Q299" s="220"/>
      <c r="R299" s="220"/>
      <c r="S299" s="220"/>
      <c r="T299" s="220"/>
      <c r="U299" s="220"/>
      <c r="V299" s="220"/>
      <c r="W299" s="220"/>
    </row>
    <row r="300" ht="15.75" customHeight="1" outlineLevel="1">
      <c r="A300" s="211"/>
      <c r="B300" s="212"/>
      <c r="C300" s="213"/>
      <c r="D300" s="214" t="str">
        <f>IFERROR(VLOOKUP($C300,'PORTIFÓLIO'!C:V,2,0),"")</f>
        <v/>
      </c>
      <c r="E300" s="211" t="str">
        <f>IFERROR(VLOOKUP($C300,'PORTIFÓLIO'!C:V,3,0),"")</f>
        <v/>
      </c>
      <c r="F300" s="211" t="str">
        <f>IFERROR(VLOOKUP($C300,'PORTIFÓLIO'!C:V,4,0),"")</f>
        <v/>
      </c>
      <c r="G300" s="215" t="str">
        <f>IFERROR(VLOOKUP($C300,'PORTIFÓLIO'!C:V,5,0),"")</f>
        <v/>
      </c>
      <c r="H300" s="254" t="str">
        <f t="array" ref="H300">IFERROR(INDEX('PORTIFÓLIO'!$H$4:$H$433,MATCH($C300,'PORTIFÓLIO'!$C$4:$C$433,0)),"")</f>
        <v/>
      </c>
      <c r="I300" s="256"/>
      <c r="J300" s="218">
        <f t="shared" si="33"/>
        <v>0</v>
      </c>
      <c r="K300" s="292" t="str">
        <f t="array" ref="K300">IFERROR(I300*INDEX('PORTIFÓLIO'!$S$4:$S$433,MATCH($C300,'PORTIFÓLIO'!$C$4:$C$433,0)),"")</f>
        <v/>
      </c>
      <c r="L300" s="292" t="str">
        <f t="array" ref="L300">IFERROR(J300*INDEX('PORTIFÓLIO'!$S$4:$S$433,MATCH($C300,'PORTIFÓLIO'!$C$4:$C$433,0)),"")</f>
        <v/>
      </c>
      <c r="M300" s="220"/>
      <c r="N300" s="220"/>
      <c r="O300" s="220"/>
      <c r="P300" s="220"/>
      <c r="Q300" s="220"/>
      <c r="R300" s="220"/>
      <c r="S300" s="220"/>
      <c r="T300" s="220"/>
      <c r="U300" s="220"/>
      <c r="V300" s="220"/>
      <c r="W300" s="220"/>
    </row>
    <row r="301" ht="15.75" customHeight="1" outlineLevel="1">
      <c r="A301" s="211"/>
      <c r="B301" s="212"/>
      <c r="C301" s="213"/>
      <c r="D301" s="214" t="str">
        <f>IFERROR(VLOOKUP($C301,'PORTIFÓLIO'!C:V,2,0),"")</f>
        <v/>
      </c>
      <c r="E301" s="211" t="str">
        <f>IFERROR(VLOOKUP($C301,'PORTIFÓLIO'!C:V,3,0),"")</f>
        <v/>
      </c>
      <c r="F301" s="211" t="str">
        <f>IFERROR(VLOOKUP($C301,'PORTIFÓLIO'!C:V,4,0),"")</f>
        <v/>
      </c>
      <c r="G301" s="215" t="str">
        <f>IFERROR(VLOOKUP($C301,'PORTIFÓLIO'!C:V,5,0),"")</f>
        <v/>
      </c>
      <c r="H301" s="254" t="str">
        <f t="array" ref="H301">IFERROR(INDEX('PORTIFÓLIO'!$H$4:$H$433,MATCH($C301,'PORTIFÓLIO'!$C$4:$C$433,0)),"")</f>
        <v/>
      </c>
      <c r="I301" s="256"/>
      <c r="J301" s="218">
        <f t="shared" si="33"/>
        <v>0</v>
      </c>
      <c r="K301" s="292" t="str">
        <f t="array" ref="K301">IFERROR(I301*INDEX('PORTIFÓLIO'!$S$4:$S$433,MATCH($C301,'PORTIFÓLIO'!$C$4:$C$433,0)),"")</f>
        <v/>
      </c>
      <c r="L301" s="292" t="str">
        <f t="array" ref="L301">IFERROR(J301*INDEX('PORTIFÓLIO'!$S$4:$S$433,MATCH($C301,'PORTIFÓLIO'!$C$4:$C$433,0)),"")</f>
        <v/>
      </c>
      <c r="M301" s="220"/>
      <c r="N301" s="220"/>
      <c r="O301" s="220"/>
      <c r="P301" s="220"/>
      <c r="Q301" s="220"/>
      <c r="R301" s="220"/>
      <c r="S301" s="220"/>
      <c r="T301" s="220"/>
      <c r="U301" s="220"/>
      <c r="V301" s="220"/>
      <c r="W301" s="220"/>
    </row>
    <row r="302" ht="15.75" customHeight="1" outlineLevel="1">
      <c r="A302" s="211"/>
      <c r="B302" s="212"/>
      <c r="C302" s="213"/>
      <c r="D302" s="214" t="str">
        <f>IFERROR(VLOOKUP($C302,'PORTIFÓLIO'!C:V,2,0),"")</f>
        <v/>
      </c>
      <c r="E302" s="211" t="str">
        <f>IFERROR(VLOOKUP($C302,'PORTIFÓLIO'!C:V,3,0),"")</f>
        <v/>
      </c>
      <c r="F302" s="211" t="str">
        <f>IFERROR(VLOOKUP($C302,'PORTIFÓLIO'!C:V,4,0),"")</f>
        <v/>
      </c>
      <c r="G302" s="215" t="str">
        <f>IFERROR(VLOOKUP($C302,'PORTIFÓLIO'!C:V,5,0),"")</f>
        <v/>
      </c>
      <c r="H302" s="254" t="str">
        <f t="array" ref="H302">IFERROR(INDEX('PORTIFÓLIO'!$H$4:$H$433,MATCH($C302,'PORTIFÓLIO'!$C$4:$C$433,0)),"")</f>
        <v/>
      </c>
      <c r="I302" s="256"/>
      <c r="J302" s="218">
        <f t="shared" si="33"/>
        <v>0</v>
      </c>
      <c r="K302" s="292" t="str">
        <f t="array" ref="K302">IFERROR(I302*INDEX('PORTIFÓLIO'!$S$4:$S$433,MATCH($C302,'PORTIFÓLIO'!$C$4:$C$433,0)),"")</f>
        <v/>
      </c>
      <c r="L302" s="292" t="str">
        <f t="array" ref="L302">IFERROR(J302*INDEX('PORTIFÓLIO'!$S$4:$S$433,MATCH($C302,'PORTIFÓLIO'!$C$4:$C$433,0)),"")</f>
        <v/>
      </c>
      <c r="M302" s="220"/>
      <c r="N302" s="220"/>
      <c r="O302" s="220"/>
      <c r="P302" s="220"/>
      <c r="Q302" s="220"/>
      <c r="R302" s="220"/>
      <c r="S302" s="220"/>
      <c r="T302" s="220"/>
      <c r="U302" s="220"/>
      <c r="V302" s="220"/>
      <c r="W302" s="220"/>
    </row>
    <row r="303" ht="15.75" customHeight="1" outlineLevel="1">
      <c r="A303" s="211"/>
      <c r="B303" s="212"/>
      <c r="C303" s="213"/>
      <c r="D303" s="214" t="str">
        <f>IFERROR(VLOOKUP($C303,'PORTIFÓLIO'!C:V,2,0),"")</f>
        <v/>
      </c>
      <c r="E303" s="211" t="str">
        <f>IFERROR(VLOOKUP($C303,'PORTIFÓLIO'!C:V,3,0),"")</f>
        <v/>
      </c>
      <c r="F303" s="211" t="str">
        <f>IFERROR(VLOOKUP($C303,'PORTIFÓLIO'!C:V,4,0),"")</f>
        <v/>
      </c>
      <c r="G303" s="215" t="str">
        <f>IFERROR(VLOOKUP($C303,'PORTIFÓLIO'!C:V,5,0),"")</f>
        <v/>
      </c>
      <c r="H303" s="254" t="str">
        <f t="array" ref="H303">IFERROR(INDEX('PORTIFÓLIO'!$H$4:$H$433,MATCH($C303,'PORTIFÓLIO'!$C$4:$C$433,0)),"")</f>
        <v/>
      </c>
      <c r="I303" s="256"/>
      <c r="J303" s="218">
        <f t="shared" si="33"/>
        <v>0</v>
      </c>
      <c r="K303" s="292" t="str">
        <f t="array" ref="K303">IFERROR(I303*INDEX('PORTIFÓLIO'!$S$4:$S$433,MATCH($C303,'PORTIFÓLIO'!$C$4:$C$433,0)),"")</f>
        <v/>
      </c>
      <c r="L303" s="292" t="str">
        <f t="array" ref="L303">IFERROR(J303*INDEX('PORTIFÓLIO'!$S$4:$S$433,MATCH($C303,'PORTIFÓLIO'!$C$4:$C$433,0)),"")</f>
        <v/>
      </c>
      <c r="M303" s="220"/>
      <c r="N303" s="220"/>
      <c r="O303" s="220"/>
      <c r="P303" s="220"/>
      <c r="Q303" s="220"/>
      <c r="R303" s="220"/>
      <c r="S303" s="220"/>
      <c r="T303" s="220"/>
      <c r="U303" s="220"/>
      <c r="V303" s="220"/>
      <c r="W303" s="220"/>
    </row>
    <row r="304" ht="15.75" customHeight="1" outlineLevel="1">
      <c r="A304" s="211"/>
      <c r="B304" s="212"/>
      <c r="C304" s="213"/>
      <c r="D304" s="214" t="str">
        <f>IFERROR(VLOOKUP($C304,'PORTIFÓLIO'!C:V,2,0),"")</f>
        <v/>
      </c>
      <c r="E304" s="211" t="str">
        <f>IFERROR(VLOOKUP($C304,'PORTIFÓLIO'!C:V,3,0),"")</f>
        <v/>
      </c>
      <c r="F304" s="211" t="str">
        <f>IFERROR(VLOOKUP($C304,'PORTIFÓLIO'!C:V,4,0),"")</f>
        <v/>
      </c>
      <c r="G304" s="215" t="str">
        <f>IFERROR(VLOOKUP($C304,'PORTIFÓLIO'!C:V,5,0),"")</f>
        <v/>
      </c>
      <c r="H304" s="254" t="str">
        <f t="array" ref="H304">IFERROR(INDEX('PORTIFÓLIO'!$H$4:$H$433,MATCH($C304,'PORTIFÓLIO'!$C$4:$C$433,0)),"")</f>
        <v/>
      </c>
      <c r="I304" s="256"/>
      <c r="J304" s="218">
        <f t="shared" si="33"/>
        <v>0</v>
      </c>
      <c r="K304" s="292" t="str">
        <f t="array" ref="K304">IFERROR(I304*INDEX('PORTIFÓLIO'!$S$4:$S$433,MATCH($C304,'PORTIFÓLIO'!$C$4:$C$433,0)),"")</f>
        <v/>
      </c>
      <c r="L304" s="292" t="str">
        <f t="array" ref="L304">IFERROR(J304*INDEX('PORTIFÓLIO'!$S$4:$S$433,MATCH($C304,'PORTIFÓLIO'!$C$4:$C$433,0)),"")</f>
        <v/>
      </c>
      <c r="M304" s="220"/>
      <c r="N304" s="220"/>
      <c r="O304" s="220"/>
      <c r="P304" s="220"/>
      <c r="Q304" s="220"/>
      <c r="R304" s="220"/>
      <c r="S304" s="220"/>
      <c r="T304" s="220"/>
      <c r="U304" s="220"/>
      <c r="V304" s="220"/>
      <c r="W304" s="220"/>
    </row>
    <row r="305" ht="15.75" customHeight="1" outlineLevel="1">
      <c r="A305" s="211"/>
      <c r="B305" s="212"/>
      <c r="C305" s="213"/>
      <c r="D305" s="214" t="str">
        <f>IFERROR(VLOOKUP($C305,'PORTIFÓLIO'!C:V,2,0),"")</f>
        <v/>
      </c>
      <c r="E305" s="211" t="str">
        <f>IFERROR(VLOOKUP($C305,'PORTIFÓLIO'!C:V,3,0),"")</f>
        <v/>
      </c>
      <c r="F305" s="211" t="str">
        <f>IFERROR(VLOOKUP($C305,'PORTIFÓLIO'!C:V,4,0),"")</f>
        <v/>
      </c>
      <c r="G305" s="215" t="str">
        <f>IFERROR(VLOOKUP($C305,'PORTIFÓLIO'!C:V,5,0),"")</f>
        <v/>
      </c>
      <c r="H305" s="254" t="str">
        <f t="array" ref="H305">IFERROR(INDEX('PORTIFÓLIO'!$H$4:$H$433,MATCH($C305,'PORTIFÓLIO'!$C$4:$C$433,0)),"")</f>
        <v/>
      </c>
      <c r="I305" s="256"/>
      <c r="J305" s="218">
        <f t="shared" si="33"/>
        <v>0</v>
      </c>
      <c r="K305" s="292" t="str">
        <f t="array" ref="K305">IFERROR(I305*INDEX('PORTIFÓLIO'!$S$4:$S$433,MATCH($C305,'PORTIFÓLIO'!$C$4:$C$433,0)),"")</f>
        <v/>
      </c>
      <c r="L305" s="292" t="str">
        <f t="array" ref="L305">IFERROR(J305*INDEX('PORTIFÓLIO'!$S$4:$S$433,MATCH($C305,'PORTIFÓLIO'!$C$4:$C$433,0)),"")</f>
        <v/>
      </c>
      <c r="M305" s="220"/>
      <c r="N305" s="220"/>
      <c r="O305" s="220"/>
      <c r="P305" s="220"/>
      <c r="Q305" s="220"/>
      <c r="R305" s="220"/>
      <c r="S305" s="220"/>
      <c r="T305" s="220"/>
      <c r="U305" s="220"/>
      <c r="V305" s="220"/>
      <c r="W305" s="220"/>
    </row>
    <row r="306" ht="15.75" customHeight="1" outlineLevel="1">
      <c r="A306" s="211"/>
      <c r="B306" s="212"/>
      <c r="C306" s="213"/>
      <c r="D306" s="214" t="str">
        <f>IFERROR(VLOOKUP($C306,'PORTIFÓLIO'!C:V,2,0),"")</f>
        <v/>
      </c>
      <c r="E306" s="211" t="str">
        <f>IFERROR(VLOOKUP($C306,'PORTIFÓLIO'!C:V,3,0),"")</f>
        <v/>
      </c>
      <c r="F306" s="211" t="str">
        <f>IFERROR(VLOOKUP($C306,'PORTIFÓLIO'!C:V,4,0),"")</f>
        <v/>
      </c>
      <c r="G306" s="215" t="str">
        <f>IFERROR(VLOOKUP($C306,'PORTIFÓLIO'!C:V,5,0),"")</f>
        <v/>
      </c>
      <c r="H306" s="254" t="str">
        <f t="array" ref="H306">IFERROR(INDEX('PORTIFÓLIO'!$H$4:$H$433,MATCH($C306,'PORTIFÓLIO'!$C$4:$C$433,0)),"")</f>
        <v/>
      </c>
      <c r="I306" s="256"/>
      <c r="J306" s="218">
        <f t="shared" si="33"/>
        <v>0</v>
      </c>
      <c r="K306" s="292" t="str">
        <f t="array" ref="K306">IFERROR(I306*INDEX('PORTIFÓLIO'!$S$4:$S$433,MATCH($C306,'PORTIFÓLIO'!$C$4:$C$433,0)),"")</f>
        <v/>
      </c>
      <c r="L306" s="292" t="str">
        <f t="array" ref="L306">IFERROR(J306*INDEX('PORTIFÓLIO'!$S$4:$S$433,MATCH($C306,'PORTIFÓLIO'!$C$4:$C$433,0)),"")</f>
        <v/>
      </c>
      <c r="M306" s="220"/>
      <c r="N306" s="220"/>
      <c r="O306" s="220"/>
      <c r="P306" s="220"/>
      <c r="Q306" s="220"/>
      <c r="R306" s="220"/>
      <c r="S306" s="220"/>
      <c r="T306" s="220"/>
      <c r="U306" s="220"/>
      <c r="V306" s="220"/>
      <c r="W306" s="220"/>
    </row>
    <row r="307" ht="15.75" customHeight="1" outlineLevel="1">
      <c r="A307" s="211"/>
      <c r="B307" s="212"/>
      <c r="C307" s="213"/>
      <c r="D307" s="214" t="str">
        <f>IFERROR(VLOOKUP($C307,'PORTIFÓLIO'!C:V,2,0),"")</f>
        <v/>
      </c>
      <c r="E307" s="211" t="str">
        <f>IFERROR(VLOOKUP($C307,'PORTIFÓLIO'!C:V,3,0),"")</f>
        <v/>
      </c>
      <c r="F307" s="211" t="str">
        <f>IFERROR(VLOOKUP($C307,'PORTIFÓLIO'!C:V,4,0),"")</f>
        <v/>
      </c>
      <c r="G307" s="215" t="str">
        <f>IFERROR(VLOOKUP($C307,'PORTIFÓLIO'!C:V,5,0),"")</f>
        <v/>
      </c>
      <c r="H307" s="254" t="str">
        <f t="array" ref="H307">IFERROR(INDEX('PORTIFÓLIO'!$H$4:$H$433,MATCH($C307,'PORTIFÓLIO'!$C$4:$C$433,0)),"")</f>
        <v/>
      </c>
      <c r="I307" s="256"/>
      <c r="J307" s="218">
        <f t="shared" si="33"/>
        <v>0</v>
      </c>
      <c r="K307" s="292" t="str">
        <f t="array" ref="K307">IFERROR(I307*INDEX('PORTIFÓLIO'!$S$4:$S$433,MATCH($C307,'PORTIFÓLIO'!$C$4:$C$433,0)),"")</f>
        <v/>
      </c>
      <c r="L307" s="292" t="str">
        <f t="array" ref="L307">IFERROR(J307*INDEX('PORTIFÓLIO'!$S$4:$S$433,MATCH($C307,'PORTIFÓLIO'!$C$4:$C$433,0)),"")</f>
        <v/>
      </c>
      <c r="M307" s="220"/>
      <c r="N307" s="220"/>
      <c r="O307" s="220"/>
      <c r="P307" s="220"/>
      <c r="Q307" s="220"/>
      <c r="R307" s="220"/>
      <c r="S307" s="220"/>
      <c r="T307" s="220"/>
      <c r="U307" s="220"/>
      <c r="V307" s="220"/>
      <c r="W307" s="220"/>
    </row>
    <row r="308" ht="15.75" customHeight="1">
      <c r="A308" s="229" t="s">
        <v>1188</v>
      </c>
      <c r="B308" s="230"/>
      <c r="C308" s="231"/>
      <c r="D308" s="232"/>
      <c r="E308" s="231"/>
      <c r="F308" s="231"/>
      <c r="G308" s="233"/>
      <c r="H308" s="233"/>
      <c r="I308" s="258"/>
      <c r="J308" s="236"/>
      <c r="K308" s="237">
        <f t="shared" ref="K308:L308" si="34">SUBTOTAL(9,K309:K322)</f>
        <v>0</v>
      </c>
      <c r="L308" s="237">
        <f t="shared" si="34"/>
        <v>0</v>
      </c>
      <c r="M308" s="220"/>
      <c r="N308" s="220"/>
      <c r="O308" s="220"/>
      <c r="P308" s="220"/>
      <c r="Q308" s="220"/>
      <c r="R308" s="220"/>
      <c r="S308" s="220"/>
      <c r="T308" s="220"/>
      <c r="U308" s="220"/>
      <c r="V308" s="220"/>
      <c r="W308" s="220"/>
    </row>
    <row r="309" ht="15.75" customHeight="1" outlineLevel="1">
      <c r="A309" s="213"/>
      <c r="B309" s="212"/>
      <c r="C309" s="213"/>
      <c r="D309" s="214" t="str">
        <f>IFERROR(VLOOKUP($C309,'PORTIFÓLIO'!C:V,2,0),"")</f>
        <v/>
      </c>
      <c r="E309" s="211" t="str">
        <f>IFERROR(VLOOKUP($C309,'PORTIFÓLIO'!C:V,3,0),"")</f>
        <v/>
      </c>
      <c r="F309" s="211" t="str">
        <f>IFERROR(VLOOKUP($C309,'PORTIFÓLIO'!C:V,4,0),"")</f>
        <v/>
      </c>
      <c r="G309" s="215" t="str">
        <f>IFERROR(VLOOKUP($C309,'PORTIFÓLIO'!C:V,5,0),"")</f>
        <v/>
      </c>
      <c r="H309" s="254" t="str">
        <f t="array" ref="H309">IFERROR(INDEX('PORTIFÓLIO'!$H$4:$H$433,MATCH($C309,'PORTIFÓLIO'!$C$4:$C$433,0)),"")</f>
        <v/>
      </c>
      <c r="I309" s="255"/>
      <c r="J309" s="218">
        <f t="shared" ref="J309:J323" si="35">I309*$B$2</f>
        <v>0</v>
      </c>
      <c r="K309" s="292" t="str">
        <f t="array" ref="K309">IFERROR(I309*INDEX('PORTIFÓLIO'!$S$4:$S$433,MATCH($C309,'PORTIFÓLIO'!$C$4:$C$433,0)),"")</f>
        <v/>
      </c>
      <c r="L309" s="292" t="str">
        <f t="array" ref="L309">IFERROR(J309*INDEX('PORTIFÓLIO'!$S$4:$S$433,MATCH($C309,'PORTIFÓLIO'!$C$4:$C$433,0)),"")</f>
        <v/>
      </c>
      <c r="M309" s="220"/>
      <c r="N309" s="220"/>
      <c r="O309" s="220"/>
      <c r="P309" s="220"/>
      <c r="Q309" s="220"/>
      <c r="R309" s="220"/>
      <c r="S309" s="220"/>
      <c r="T309" s="220"/>
      <c r="U309" s="220"/>
      <c r="V309" s="220"/>
      <c r="W309" s="220"/>
    </row>
    <row r="310" ht="15.75" customHeight="1" outlineLevel="1">
      <c r="A310" s="211"/>
      <c r="B310" s="212"/>
      <c r="C310" s="213"/>
      <c r="D310" s="214" t="str">
        <f>IFERROR(VLOOKUP($C310,'PORTIFÓLIO'!C:V,2,0),"")</f>
        <v/>
      </c>
      <c r="E310" s="211" t="str">
        <f>IFERROR(VLOOKUP($C310,'PORTIFÓLIO'!C:V,3,0),"")</f>
        <v/>
      </c>
      <c r="F310" s="211" t="str">
        <f>IFERROR(VLOOKUP($C310,'PORTIFÓLIO'!C:V,4,0),"")</f>
        <v/>
      </c>
      <c r="G310" s="215" t="str">
        <f>IFERROR(VLOOKUP($C310,'PORTIFÓLIO'!C:V,5,0),"")</f>
        <v/>
      </c>
      <c r="H310" s="254" t="str">
        <f t="array" ref="H310">IFERROR(INDEX('PORTIFÓLIO'!$H$4:$H$433,MATCH($C310,'PORTIFÓLIO'!$C$4:$C$433,0)),"")</f>
        <v/>
      </c>
      <c r="I310" s="256"/>
      <c r="J310" s="218">
        <f t="shared" si="35"/>
        <v>0</v>
      </c>
      <c r="K310" s="292" t="str">
        <f t="array" ref="K310">IFERROR(I310*INDEX('PORTIFÓLIO'!$S$4:$S$433,MATCH($C310,'PORTIFÓLIO'!$C$4:$C$433,0)),"")</f>
        <v/>
      </c>
      <c r="L310" s="292" t="str">
        <f t="array" ref="L310">IFERROR(J310*INDEX('PORTIFÓLIO'!$S$4:$S$433,MATCH($C310,'PORTIFÓLIO'!$C$4:$C$433,0)),"")</f>
        <v/>
      </c>
      <c r="M310" s="220"/>
      <c r="N310" s="220"/>
      <c r="O310" s="220"/>
      <c r="P310" s="220"/>
      <c r="Q310" s="220"/>
      <c r="R310" s="220"/>
      <c r="S310" s="220"/>
      <c r="T310" s="220"/>
      <c r="U310" s="220"/>
      <c r="V310" s="220"/>
      <c r="W310" s="220"/>
    </row>
    <row r="311" ht="15.75" customHeight="1" outlineLevel="1">
      <c r="A311" s="211"/>
      <c r="B311" s="212"/>
      <c r="C311" s="213"/>
      <c r="D311" s="214" t="str">
        <f>IFERROR(VLOOKUP($C311,'PORTIFÓLIO'!C:V,2,0),"")</f>
        <v/>
      </c>
      <c r="E311" s="211" t="str">
        <f>IFERROR(VLOOKUP($C311,'PORTIFÓLIO'!C:V,3,0),"")</f>
        <v/>
      </c>
      <c r="F311" s="211" t="str">
        <f>IFERROR(VLOOKUP($C311,'PORTIFÓLIO'!C:V,4,0),"")</f>
        <v/>
      </c>
      <c r="G311" s="215" t="str">
        <f>IFERROR(VLOOKUP($C311,'PORTIFÓLIO'!C:V,5,0),"")</f>
        <v/>
      </c>
      <c r="H311" s="254" t="str">
        <f t="array" ref="H311">IFERROR(INDEX('PORTIFÓLIO'!$H$4:$H$433,MATCH($C311,'PORTIFÓLIO'!$C$4:$C$433,0)),"")</f>
        <v/>
      </c>
      <c r="I311" s="256"/>
      <c r="J311" s="218">
        <f t="shared" si="35"/>
        <v>0</v>
      </c>
      <c r="K311" s="292" t="str">
        <f t="array" ref="K311">IFERROR(I311*INDEX('PORTIFÓLIO'!$S$4:$S$433,MATCH($C311,'PORTIFÓLIO'!$C$4:$C$433,0)),"")</f>
        <v/>
      </c>
      <c r="L311" s="292" t="str">
        <f t="array" ref="L311">IFERROR(J311*INDEX('PORTIFÓLIO'!$S$4:$S$433,MATCH($C311,'PORTIFÓLIO'!$C$4:$C$433,0)),"")</f>
        <v/>
      </c>
      <c r="M311" s="220"/>
      <c r="N311" s="220"/>
      <c r="O311" s="220"/>
      <c r="P311" s="220"/>
      <c r="Q311" s="220"/>
      <c r="R311" s="220"/>
      <c r="S311" s="220"/>
      <c r="T311" s="220"/>
      <c r="U311" s="220"/>
      <c r="V311" s="220"/>
      <c r="W311" s="220"/>
    </row>
    <row r="312" ht="15.75" customHeight="1" outlineLevel="1">
      <c r="A312" s="211"/>
      <c r="B312" s="212"/>
      <c r="C312" s="213"/>
      <c r="D312" s="214" t="str">
        <f>IFERROR(VLOOKUP($C312,'PORTIFÓLIO'!C:V,2,0),"")</f>
        <v/>
      </c>
      <c r="E312" s="211" t="str">
        <f>IFERROR(VLOOKUP($C312,'PORTIFÓLIO'!C:V,3,0),"")</f>
        <v/>
      </c>
      <c r="F312" s="211" t="str">
        <f>IFERROR(VLOOKUP($C312,'PORTIFÓLIO'!C:V,4,0),"")</f>
        <v/>
      </c>
      <c r="G312" s="215" t="str">
        <f>IFERROR(VLOOKUP($C312,'PORTIFÓLIO'!C:V,5,0),"")</f>
        <v/>
      </c>
      <c r="H312" s="254" t="str">
        <f t="array" ref="H312">IFERROR(INDEX('PORTIFÓLIO'!$H$4:$H$433,MATCH($C312,'PORTIFÓLIO'!$C$4:$C$433,0)),"")</f>
        <v/>
      </c>
      <c r="I312" s="256"/>
      <c r="J312" s="218">
        <f t="shared" si="35"/>
        <v>0</v>
      </c>
      <c r="K312" s="292" t="str">
        <f t="array" ref="K312">IFERROR(I312*INDEX('PORTIFÓLIO'!$S$4:$S$433,MATCH($C312,'PORTIFÓLIO'!$C$4:$C$433,0)),"")</f>
        <v/>
      </c>
      <c r="L312" s="292" t="str">
        <f t="array" ref="L312">IFERROR(J312*INDEX('PORTIFÓLIO'!$S$4:$S$433,MATCH($C312,'PORTIFÓLIO'!$C$4:$C$433,0)),"")</f>
        <v/>
      </c>
      <c r="M312" s="220"/>
      <c r="N312" s="220"/>
      <c r="O312" s="220"/>
      <c r="P312" s="220"/>
      <c r="Q312" s="220"/>
      <c r="R312" s="220"/>
      <c r="S312" s="220"/>
      <c r="T312" s="220"/>
      <c r="U312" s="220"/>
      <c r="V312" s="220"/>
      <c r="W312" s="220"/>
    </row>
    <row r="313" ht="15.75" customHeight="1" outlineLevel="1">
      <c r="A313" s="211"/>
      <c r="B313" s="212"/>
      <c r="C313" s="213"/>
      <c r="D313" s="214" t="str">
        <f>IFERROR(VLOOKUP($C313,'PORTIFÓLIO'!C:V,2,0),"")</f>
        <v/>
      </c>
      <c r="E313" s="211" t="str">
        <f>IFERROR(VLOOKUP($C313,'PORTIFÓLIO'!C:V,3,0),"")</f>
        <v/>
      </c>
      <c r="F313" s="211" t="str">
        <f>IFERROR(VLOOKUP($C313,'PORTIFÓLIO'!C:V,4,0),"")</f>
        <v/>
      </c>
      <c r="G313" s="215" t="str">
        <f>IFERROR(VLOOKUP($C313,'PORTIFÓLIO'!C:V,5,0),"")</f>
        <v/>
      </c>
      <c r="H313" s="254" t="str">
        <f t="array" ref="H313">IFERROR(INDEX('PORTIFÓLIO'!$H$4:$H$433,MATCH($C313,'PORTIFÓLIO'!$C$4:$C$433,0)),"")</f>
        <v/>
      </c>
      <c r="I313" s="256"/>
      <c r="J313" s="218">
        <f t="shared" si="35"/>
        <v>0</v>
      </c>
      <c r="K313" s="292" t="str">
        <f t="array" ref="K313">IFERROR(I313*INDEX('PORTIFÓLIO'!$S$4:$S$433,MATCH($C313,'PORTIFÓLIO'!$C$4:$C$433,0)),"")</f>
        <v/>
      </c>
      <c r="L313" s="292" t="str">
        <f t="array" ref="L313">IFERROR(J313*INDEX('PORTIFÓLIO'!$S$4:$S$433,MATCH($C313,'PORTIFÓLIO'!$C$4:$C$433,0)),"")</f>
        <v/>
      </c>
      <c r="M313" s="220"/>
      <c r="N313" s="220"/>
      <c r="O313" s="220"/>
      <c r="P313" s="220"/>
      <c r="Q313" s="220"/>
      <c r="R313" s="220"/>
      <c r="S313" s="220"/>
      <c r="T313" s="220"/>
      <c r="U313" s="220"/>
      <c r="V313" s="220"/>
      <c r="W313" s="220"/>
    </row>
    <row r="314" ht="15.75" customHeight="1" outlineLevel="1">
      <c r="A314" s="211"/>
      <c r="B314" s="212"/>
      <c r="C314" s="213"/>
      <c r="D314" s="214" t="str">
        <f>IFERROR(VLOOKUP($C314,'PORTIFÓLIO'!C:V,2,0),"")</f>
        <v/>
      </c>
      <c r="E314" s="211" t="str">
        <f>IFERROR(VLOOKUP($C314,'PORTIFÓLIO'!C:V,3,0),"")</f>
        <v/>
      </c>
      <c r="F314" s="211" t="str">
        <f>IFERROR(VLOOKUP($C314,'PORTIFÓLIO'!C:V,4,0),"")</f>
        <v/>
      </c>
      <c r="G314" s="215" t="str">
        <f>IFERROR(VLOOKUP($C314,'PORTIFÓLIO'!C:V,5,0),"")</f>
        <v/>
      </c>
      <c r="H314" s="254" t="str">
        <f t="array" ref="H314">IFERROR(INDEX('PORTIFÓLIO'!$H$4:$H$433,MATCH($C314,'PORTIFÓLIO'!$C$4:$C$433,0)),"")</f>
        <v/>
      </c>
      <c r="I314" s="256"/>
      <c r="J314" s="218">
        <f t="shared" si="35"/>
        <v>0</v>
      </c>
      <c r="K314" s="292" t="str">
        <f t="array" ref="K314">IFERROR(I314*INDEX('PORTIFÓLIO'!$S$4:$S$433,MATCH($C314,'PORTIFÓLIO'!$C$4:$C$433,0)),"")</f>
        <v/>
      </c>
      <c r="L314" s="292" t="str">
        <f t="array" ref="L314">IFERROR(J314*INDEX('PORTIFÓLIO'!$S$4:$S$433,MATCH($C314,'PORTIFÓLIO'!$C$4:$C$433,0)),"")</f>
        <v/>
      </c>
      <c r="M314" s="220"/>
      <c r="N314" s="220"/>
      <c r="O314" s="220"/>
      <c r="P314" s="220"/>
      <c r="Q314" s="220"/>
      <c r="R314" s="220"/>
      <c r="S314" s="220"/>
      <c r="T314" s="220"/>
      <c r="U314" s="220"/>
      <c r="V314" s="220"/>
      <c r="W314" s="220"/>
    </row>
    <row r="315" ht="15.75" customHeight="1" outlineLevel="1">
      <c r="A315" s="211"/>
      <c r="B315" s="212"/>
      <c r="C315" s="213"/>
      <c r="D315" s="214" t="str">
        <f>IFERROR(VLOOKUP($C315,'PORTIFÓLIO'!C:V,2,0),"")</f>
        <v/>
      </c>
      <c r="E315" s="211" t="str">
        <f>IFERROR(VLOOKUP($C315,'PORTIFÓLIO'!C:V,3,0),"")</f>
        <v/>
      </c>
      <c r="F315" s="211" t="str">
        <f>IFERROR(VLOOKUP($C315,'PORTIFÓLIO'!C:V,4,0),"")</f>
        <v/>
      </c>
      <c r="G315" s="215" t="str">
        <f>IFERROR(VLOOKUP($C315,'PORTIFÓLIO'!C:V,5,0),"")</f>
        <v/>
      </c>
      <c r="H315" s="254" t="str">
        <f t="array" ref="H315">IFERROR(INDEX('PORTIFÓLIO'!$H$4:$H$433,MATCH($C315,'PORTIFÓLIO'!$C$4:$C$433,0)),"")</f>
        <v/>
      </c>
      <c r="I315" s="256"/>
      <c r="J315" s="218">
        <f t="shared" si="35"/>
        <v>0</v>
      </c>
      <c r="K315" s="292" t="str">
        <f t="array" ref="K315">IFERROR(I315*INDEX('PORTIFÓLIO'!$S$4:$S$433,MATCH($C315,'PORTIFÓLIO'!$C$4:$C$433,0)),"")</f>
        <v/>
      </c>
      <c r="L315" s="292" t="str">
        <f t="array" ref="L315">IFERROR(J315*INDEX('PORTIFÓLIO'!$S$4:$S$433,MATCH($C315,'PORTIFÓLIO'!$C$4:$C$433,0)),"")</f>
        <v/>
      </c>
      <c r="M315" s="220"/>
      <c r="N315" s="220"/>
      <c r="O315" s="220"/>
      <c r="P315" s="220"/>
      <c r="Q315" s="220"/>
      <c r="R315" s="220"/>
      <c r="S315" s="220"/>
      <c r="T315" s="220"/>
      <c r="U315" s="220"/>
      <c r="V315" s="220"/>
      <c r="W315" s="220"/>
    </row>
    <row r="316" ht="15.75" customHeight="1" outlineLevel="1">
      <c r="A316" s="211"/>
      <c r="B316" s="212"/>
      <c r="C316" s="213"/>
      <c r="D316" s="214" t="str">
        <f>IFERROR(VLOOKUP($C316,'PORTIFÓLIO'!C:V,2,0),"")</f>
        <v/>
      </c>
      <c r="E316" s="211" t="str">
        <f>IFERROR(VLOOKUP($C316,'PORTIFÓLIO'!C:V,3,0),"")</f>
        <v/>
      </c>
      <c r="F316" s="211" t="str">
        <f>IFERROR(VLOOKUP($C316,'PORTIFÓLIO'!C:V,4,0),"")</f>
        <v/>
      </c>
      <c r="G316" s="215" t="str">
        <f>IFERROR(VLOOKUP($C316,'PORTIFÓLIO'!C:V,5,0),"")</f>
        <v/>
      </c>
      <c r="H316" s="254" t="str">
        <f t="array" ref="H316">IFERROR(INDEX('PORTIFÓLIO'!$H$4:$H$433,MATCH($C316,'PORTIFÓLIO'!$C$4:$C$433,0)),"")</f>
        <v/>
      </c>
      <c r="I316" s="256"/>
      <c r="J316" s="218">
        <f t="shared" si="35"/>
        <v>0</v>
      </c>
      <c r="K316" s="292" t="str">
        <f t="array" ref="K316">IFERROR(I316*INDEX('PORTIFÓLIO'!$S$4:$S$433,MATCH($C316,'PORTIFÓLIO'!$C$4:$C$433,0)),"")</f>
        <v/>
      </c>
      <c r="L316" s="292" t="str">
        <f t="array" ref="L316">IFERROR(J316*INDEX('PORTIFÓLIO'!$S$4:$S$433,MATCH($C316,'PORTIFÓLIO'!$C$4:$C$433,0)),"")</f>
        <v/>
      </c>
      <c r="M316" s="220"/>
      <c r="N316" s="220"/>
      <c r="O316" s="220"/>
      <c r="P316" s="220"/>
      <c r="Q316" s="220"/>
      <c r="R316" s="220"/>
      <c r="S316" s="220"/>
      <c r="T316" s="220"/>
      <c r="U316" s="220"/>
      <c r="V316" s="220"/>
      <c r="W316" s="220"/>
    </row>
    <row r="317" ht="15.75" customHeight="1" outlineLevel="1">
      <c r="A317" s="211"/>
      <c r="B317" s="212"/>
      <c r="C317" s="213"/>
      <c r="D317" s="214" t="str">
        <f>IFERROR(VLOOKUP($C317,'PORTIFÓLIO'!C:V,2,0),"")</f>
        <v/>
      </c>
      <c r="E317" s="211" t="str">
        <f>IFERROR(VLOOKUP($C317,'PORTIFÓLIO'!C:V,3,0),"")</f>
        <v/>
      </c>
      <c r="F317" s="211" t="str">
        <f>IFERROR(VLOOKUP($C317,'PORTIFÓLIO'!C:V,4,0),"")</f>
        <v/>
      </c>
      <c r="G317" s="215" t="str">
        <f>IFERROR(VLOOKUP($C317,'PORTIFÓLIO'!C:V,5,0),"")</f>
        <v/>
      </c>
      <c r="H317" s="254" t="str">
        <f t="array" ref="H317">IFERROR(INDEX('PORTIFÓLIO'!$H$4:$H$433,MATCH($C317,'PORTIFÓLIO'!$C$4:$C$433,0)),"")</f>
        <v/>
      </c>
      <c r="I317" s="255"/>
      <c r="J317" s="218">
        <f t="shared" si="35"/>
        <v>0</v>
      </c>
      <c r="K317" s="292" t="str">
        <f t="array" ref="K317">IFERROR(I317*INDEX('PORTIFÓLIO'!$S$4:$S$433,MATCH($C317,'PORTIFÓLIO'!$C$4:$C$433,0)),"")</f>
        <v/>
      </c>
      <c r="L317" s="292" t="str">
        <f t="array" ref="L317">IFERROR(J317*INDEX('PORTIFÓLIO'!$S$4:$S$433,MATCH($C317,'PORTIFÓLIO'!$C$4:$C$433,0)),"")</f>
        <v/>
      </c>
      <c r="M317" s="220"/>
      <c r="N317" s="220"/>
      <c r="O317" s="220"/>
      <c r="P317" s="220"/>
      <c r="Q317" s="220"/>
      <c r="R317" s="220"/>
      <c r="S317" s="220"/>
      <c r="T317" s="220"/>
      <c r="U317" s="220"/>
      <c r="V317" s="220"/>
      <c r="W317" s="220"/>
    </row>
    <row r="318" ht="15.75" customHeight="1" outlineLevel="1">
      <c r="A318" s="211"/>
      <c r="B318" s="212"/>
      <c r="C318" s="213"/>
      <c r="D318" s="214" t="str">
        <f>IFERROR(VLOOKUP($C318,'PORTIFÓLIO'!C:V,2,0),"")</f>
        <v/>
      </c>
      <c r="E318" s="211" t="str">
        <f>IFERROR(VLOOKUP($C318,'PORTIFÓLIO'!C:V,3,0),"")</f>
        <v/>
      </c>
      <c r="F318" s="211" t="str">
        <f>IFERROR(VLOOKUP($C318,'PORTIFÓLIO'!C:V,4,0),"")</f>
        <v/>
      </c>
      <c r="G318" s="215" t="str">
        <f>IFERROR(VLOOKUP($C318,'PORTIFÓLIO'!C:V,5,0),"")</f>
        <v/>
      </c>
      <c r="H318" s="254" t="str">
        <f t="array" ref="H318">IFERROR(INDEX('PORTIFÓLIO'!$H$4:$H$433,MATCH($C318,'PORTIFÓLIO'!$C$4:$C$433,0)),"")</f>
        <v/>
      </c>
      <c r="I318" s="256"/>
      <c r="J318" s="218">
        <f t="shared" si="35"/>
        <v>0</v>
      </c>
      <c r="K318" s="292" t="str">
        <f t="array" ref="K318">IFERROR(I318*INDEX('PORTIFÓLIO'!$S$4:$S$433,MATCH($C318,'PORTIFÓLIO'!$C$4:$C$433,0)),"")</f>
        <v/>
      </c>
      <c r="L318" s="292" t="str">
        <f t="array" ref="L318">IFERROR(J318*INDEX('PORTIFÓLIO'!$S$4:$S$433,MATCH($C318,'PORTIFÓLIO'!$C$4:$C$433,0)),"")</f>
        <v/>
      </c>
      <c r="M318" s="220"/>
      <c r="N318" s="220"/>
      <c r="O318" s="220"/>
      <c r="P318" s="220"/>
      <c r="Q318" s="220"/>
      <c r="R318" s="220"/>
      <c r="S318" s="220"/>
      <c r="T318" s="220"/>
      <c r="U318" s="220"/>
      <c r="V318" s="220"/>
      <c r="W318" s="220"/>
    </row>
    <row r="319" ht="15.75" customHeight="1" outlineLevel="1">
      <c r="A319" s="211"/>
      <c r="B319" s="212"/>
      <c r="C319" s="213"/>
      <c r="D319" s="214" t="str">
        <f>IFERROR(VLOOKUP($C319,'PORTIFÓLIO'!C:V,2,0),"")</f>
        <v/>
      </c>
      <c r="E319" s="211" t="str">
        <f>IFERROR(VLOOKUP($C319,'PORTIFÓLIO'!C:V,3,0),"")</f>
        <v/>
      </c>
      <c r="F319" s="211" t="str">
        <f>IFERROR(VLOOKUP($C319,'PORTIFÓLIO'!C:V,4,0),"")</f>
        <v/>
      </c>
      <c r="G319" s="215" t="str">
        <f>IFERROR(VLOOKUP($C319,'PORTIFÓLIO'!C:V,5,0),"")</f>
        <v/>
      </c>
      <c r="H319" s="254" t="str">
        <f t="array" ref="H319">IFERROR(INDEX('PORTIFÓLIO'!$H$4:$H$433,MATCH($C319,'PORTIFÓLIO'!$C$4:$C$433,0)),"")</f>
        <v/>
      </c>
      <c r="I319" s="256"/>
      <c r="J319" s="218">
        <f t="shared" si="35"/>
        <v>0</v>
      </c>
      <c r="K319" s="292" t="str">
        <f t="array" ref="K319">IFERROR(I319*INDEX('PORTIFÓLIO'!$S$4:$S$433,MATCH($C319,'PORTIFÓLIO'!$C$4:$C$433,0)),"")</f>
        <v/>
      </c>
      <c r="L319" s="292" t="str">
        <f t="array" ref="L319">IFERROR(J319*INDEX('PORTIFÓLIO'!$S$4:$S$433,MATCH($C319,'PORTIFÓLIO'!$C$4:$C$433,0)),"")</f>
        <v/>
      </c>
      <c r="M319" s="220"/>
      <c r="N319" s="220"/>
      <c r="O319" s="220"/>
      <c r="P319" s="220"/>
      <c r="Q319" s="220"/>
      <c r="R319" s="220"/>
      <c r="S319" s="220"/>
      <c r="T319" s="220"/>
      <c r="U319" s="220"/>
      <c r="V319" s="220"/>
      <c r="W319" s="220"/>
    </row>
    <row r="320" ht="15.75" customHeight="1" outlineLevel="1">
      <c r="A320" s="211"/>
      <c r="B320" s="212"/>
      <c r="C320" s="213"/>
      <c r="D320" s="214" t="str">
        <f>IFERROR(VLOOKUP($C320,'PORTIFÓLIO'!C:V,2,0),"")</f>
        <v/>
      </c>
      <c r="E320" s="211" t="str">
        <f>IFERROR(VLOOKUP($C320,'PORTIFÓLIO'!C:V,3,0),"")</f>
        <v/>
      </c>
      <c r="F320" s="211" t="str">
        <f>IFERROR(VLOOKUP($C320,'PORTIFÓLIO'!C:V,4,0),"")</f>
        <v/>
      </c>
      <c r="G320" s="215" t="str">
        <f>IFERROR(VLOOKUP($C320,'PORTIFÓLIO'!C:V,5,0),"")</f>
        <v/>
      </c>
      <c r="H320" s="254" t="str">
        <f t="array" ref="H320">IFERROR(INDEX('PORTIFÓLIO'!$H$4:$H$433,MATCH($C320,'PORTIFÓLIO'!$C$4:$C$433,0)),"")</f>
        <v/>
      </c>
      <c r="I320" s="256"/>
      <c r="J320" s="218">
        <f t="shared" si="35"/>
        <v>0</v>
      </c>
      <c r="K320" s="292" t="str">
        <f t="array" ref="K320">IFERROR(I320*INDEX('PORTIFÓLIO'!$S$4:$S$433,MATCH($C320,'PORTIFÓLIO'!$C$4:$C$433,0)),"")</f>
        <v/>
      </c>
      <c r="L320" s="292" t="str">
        <f t="array" ref="L320">IFERROR(J320*INDEX('PORTIFÓLIO'!$S$4:$S$433,MATCH($C320,'PORTIFÓLIO'!$C$4:$C$433,0)),"")</f>
        <v/>
      </c>
      <c r="M320" s="220"/>
      <c r="N320" s="220"/>
      <c r="O320" s="220"/>
      <c r="P320" s="220"/>
      <c r="Q320" s="220"/>
      <c r="R320" s="220"/>
      <c r="S320" s="220"/>
      <c r="T320" s="220"/>
      <c r="U320" s="220"/>
      <c r="V320" s="220"/>
      <c r="W320" s="220"/>
    </row>
    <row r="321" ht="15.75" customHeight="1" outlineLevel="1">
      <c r="A321" s="211"/>
      <c r="B321" s="212"/>
      <c r="C321" s="213"/>
      <c r="D321" s="214" t="str">
        <f>IFERROR(VLOOKUP($C321,'PORTIFÓLIO'!C:V,2,0),"")</f>
        <v/>
      </c>
      <c r="E321" s="211" t="str">
        <f>IFERROR(VLOOKUP($C321,'PORTIFÓLIO'!C:V,3,0),"")</f>
        <v/>
      </c>
      <c r="F321" s="211" t="str">
        <f>IFERROR(VLOOKUP($C321,'PORTIFÓLIO'!C:V,4,0),"")</f>
        <v/>
      </c>
      <c r="G321" s="215" t="str">
        <f>IFERROR(VLOOKUP($C321,'PORTIFÓLIO'!C:V,5,0),"")</f>
        <v/>
      </c>
      <c r="H321" s="254" t="str">
        <f t="array" ref="H321">IFERROR(INDEX('PORTIFÓLIO'!$H$4:$H$433,MATCH($C321,'PORTIFÓLIO'!$C$4:$C$433,0)),"")</f>
        <v/>
      </c>
      <c r="I321" s="256"/>
      <c r="J321" s="218">
        <f t="shared" si="35"/>
        <v>0</v>
      </c>
      <c r="K321" s="292" t="str">
        <f t="array" ref="K321">IFERROR(I321*INDEX('PORTIFÓLIO'!$S$4:$S$433,MATCH($C321,'PORTIFÓLIO'!$C$4:$C$433,0)),"")</f>
        <v/>
      </c>
      <c r="L321" s="292" t="str">
        <f t="array" ref="L321">IFERROR(J321*INDEX('PORTIFÓLIO'!$S$4:$S$433,MATCH($C321,'PORTIFÓLIO'!$C$4:$C$433,0)),"")</f>
        <v/>
      </c>
      <c r="M321" s="220"/>
      <c r="N321" s="220"/>
      <c r="O321" s="220"/>
      <c r="P321" s="220"/>
      <c r="Q321" s="220"/>
      <c r="R321" s="220"/>
      <c r="S321" s="220"/>
      <c r="T321" s="220"/>
      <c r="U321" s="220"/>
      <c r="V321" s="220"/>
      <c r="W321" s="220"/>
    </row>
    <row r="322" ht="15.75" customHeight="1" outlineLevel="1">
      <c r="A322" s="211"/>
      <c r="B322" s="212"/>
      <c r="C322" s="213"/>
      <c r="D322" s="214" t="str">
        <f>IFERROR(VLOOKUP($C322,'PORTIFÓLIO'!C:V,2,0),"")</f>
        <v/>
      </c>
      <c r="E322" s="211" t="str">
        <f>IFERROR(VLOOKUP($C322,'PORTIFÓLIO'!C:V,3,0),"")</f>
        <v/>
      </c>
      <c r="F322" s="211" t="str">
        <f>IFERROR(VLOOKUP($C322,'PORTIFÓLIO'!C:V,4,0),"")</f>
        <v/>
      </c>
      <c r="G322" s="215" t="str">
        <f>IFERROR(VLOOKUP($C322,'PORTIFÓLIO'!C:V,5,0),"")</f>
        <v/>
      </c>
      <c r="H322" s="254" t="str">
        <f t="array" ref="H322">IFERROR(INDEX('PORTIFÓLIO'!$H$4:$H$433,MATCH($C322,'PORTIFÓLIO'!$C$4:$C$433,0)),"")</f>
        <v/>
      </c>
      <c r="I322" s="256"/>
      <c r="J322" s="218">
        <f t="shared" si="35"/>
        <v>0</v>
      </c>
      <c r="K322" s="292" t="str">
        <f t="array" ref="K322">IFERROR(I322*INDEX('PORTIFÓLIO'!$S$4:$S$433,MATCH($C322,'PORTIFÓLIO'!$C$4:$C$433,0)),"")</f>
        <v/>
      </c>
      <c r="L322" s="292" t="str">
        <f t="array" ref="L322">IFERROR(J322*INDEX('PORTIFÓLIO'!$S$4:$S$433,MATCH($C322,'PORTIFÓLIO'!$C$4:$C$433,0)),"")</f>
        <v/>
      </c>
      <c r="M322" s="220"/>
      <c r="N322" s="220"/>
      <c r="O322" s="220"/>
      <c r="P322" s="220"/>
      <c r="Q322" s="220"/>
      <c r="R322" s="220"/>
      <c r="S322" s="220"/>
      <c r="T322" s="220"/>
      <c r="U322" s="220"/>
      <c r="V322" s="220"/>
      <c r="W322" s="220"/>
    </row>
    <row r="323" ht="15.75" customHeight="1" outlineLevel="1">
      <c r="A323" s="211"/>
      <c r="B323" s="212"/>
      <c r="C323" s="213"/>
      <c r="D323" s="214" t="str">
        <f>IFERROR(VLOOKUP($C323,'PORTIFÓLIO'!C:V,2,0),"")</f>
        <v/>
      </c>
      <c r="E323" s="211" t="str">
        <f>IFERROR(VLOOKUP($C323,'PORTIFÓLIO'!C:V,3,0),"")</f>
        <v/>
      </c>
      <c r="F323" s="211" t="str">
        <f>IFERROR(VLOOKUP($C323,'PORTIFÓLIO'!C:V,4,0),"")</f>
        <v/>
      </c>
      <c r="G323" s="215" t="str">
        <f>IFERROR(VLOOKUP($C323,'PORTIFÓLIO'!C:V,5,0),"")</f>
        <v/>
      </c>
      <c r="H323" s="254" t="str">
        <f t="array" ref="H323">IFERROR(INDEX('PORTIFÓLIO'!$H$4:$H$433,MATCH($C323,'PORTIFÓLIO'!$C$4:$C$433,0)),"")</f>
        <v/>
      </c>
      <c r="I323" s="256"/>
      <c r="J323" s="218">
        <f t="shared" si="35"/>
        <v>0</v>
      </c>
      <c r="K323" s="292" t="str">
        <f t="array" ref="K323">IFERROR(I323*INDEX('PORTIFÓLIO'!$S$4:$S$433,MATCH($C323,'PORTIFÓLIO'!$C$4:$C$433,0)),"")</f>
        <v/>
      </c>
      <c r="L323" s="292" t="str">
        <f t="array" ref="L323">IFERROR(J323*INDEX('PORTIFÓLIO'!$S$4:$S$433,MATCH($C323,'PORTIFÓLIO'!$C$4:$C$433,0)),"")</f>
        <v/>
      </c>
      <c r="M323" s="220"/>
      <c r="N323" s="220"/>
      <c r="O323" s="220"/>
      <c r="P323" s="220"/>
      <c r="Q323" s="220"/>
      <c r="R323" s="220"/>
      <c r="S323" s="220"/>
      <c r="T323" s="220"/>
      <c r="U323" s="220"/>
      <c r="V323" s="220"/>
      <c r="W323" s="220"/>
    </row>
    <row r="324" ht="15.75" customHeight="1">
      <c r="A324" s="229" t="s">
        <v>1189</v>
      </c>
      <c r="B324" s="230"/>
      <c r="C324" s="231"/>
      <c r="D324" s="232"/>
      <c r="E324" s="231"/>
      <c r="F324" s="231"/>
      <c r="G324" s="233"/>
      <c r="H324" s="233"/>
      <c r="I324" s="258"/>
      <c r="J324" s="236"/>
      <c r="K324" s="237">
        <f t="shared" ref="K324:L324" si="36">SUBTOTAL(9,K325:K338)</f>
        <v>0</v>
      </c>
      <c r="L324" s="237">
        <f t="shared" si="36"/>
        <v>0</v>
      </c>
      <c r="M324" s="220"/>
      <c r="N324" s="220"/>
      <c r="O324" s="220"/>
      <c r="P324" s="220"/>
      <c r="Q324" s="220"/>
      <c r="R324" s="220"/>
      <c r="S324" s="220"/>
      <c r="T324" s="220"/>
      <c r="U324" s="220"/>
      <c r="V324" s="220"/>
      <c r="W324" s="220"/>
    </row>
    <row r="325" ht="15.75" customHeight="1" outlineLevel="1">
      <c r="A325" s="213"/>
      <c r="B325" s="212"/>
      <c r="C325" s="213"/>
      <c r="D325" s="214" t="str">
        <f>IFERROR(VLOOKUP($C325,'PORTIFÓLIO'!C:V,2,0),"")</f>
        <v/>
      </c>
      <c r="E325" s="211" t="str">
        <f>IFERROR(VLOOKUP($C325,'PORTIFÓLIO'!C:V,3,0),"")</f>
        <v/>
      </c>
      <c r="F325" s="211" t="str">
        <f>IFERROR(VLOOKUP($C325,'PORTIFÓLIO'!C:V,4,0),"")</f>
        <v/>
      </c>
      <c r="G325" s="215" t="str">
        <f>IFERROR(VLOOKUP($C325,'PORTIFÓLIO'!C:V,5,0),"")</f>
        <v/>
      </c>
      <c r="H325" s="254" t="str">
        <f t="array" ref="H325">IFERROR(INDEX('PORTIFÓLIO'!$H$4:$H$433,MATCH($C325,'PORTIFÓLIO'!$C$4:$C$433,0)),"")</f>
        <v/>
      </c>
      <c r="I325" s="255"/>
      <c r="J325" s="218">
        <f t="shared" ref="J325:J339" si="37">I325*$B$2</f>
        <v>0</v>
      </c>
      <c r="K325" s="292" t="str">
        <f t="array" ref="K325">IFERROR(I325*INDEX('PORTIFÓLIO'!$S$4:$S$433,MATCH($C325,'PORTIFÓLIO'!$C$4:$C$433,0)),"")</f>
        <v/>
      </c>
      <c r="L325" s="292" t="str">
        <f t="array" ref="L325">IFERROR(J325*INDEX('PORTIFÓLIO'!$S$4:$S$433,MATCH($C325,'PORTIFÓLIO'!$C$4:$C$433,0)),"")</f>
        <v/>
      </c>
      <c r="M325" s="220"/>
      <c r="N325" s="220"/>
      <c r="O325" s="220"/>
      <c r="P325" s="220"/>
      <c r="Q325" s="220"/>
      <c r="R325" s="220"/>
      <c r="S325" s="220"/>
      <c r="T325" s="220"/>
      <c r="U325" s="220"/>
      <c r="V325" s="220"/>
      <c r="W325" s="220"/>
    </row>
    <row r="326" ht="15.75" customHeight="1" outlineLevel="1">
      <c r="A326" s="211"/>
      <c r="B326" s="212"/>
      <c r="C326" s="213"/>
      <c r="D326" s="214" t="str">
        <f>IFERROR(VLOOKUP($C326,'PORTIFÓLIO'!C:V,2,0),"")</f>
        <v/>
      </c>
      <c r="E326" s="211" t="str">
        <f>IFERROR(VLOOKUP($C326,'PORTIFÓLIO'!C:V,3,0),"")</f>
        <v/>
      </c>
      <c r="F326" s="211" t="str">
        <f>IFERROR(VLOOKUP($C326,'PORTIFÓLIO'!C:V,4,0),"")</f>
        <v/>
      </c>
      <c r="G326" s="215" t="str">
        <f>IFERROR(VLOOKUP($C326,'PORTIFÓLIO'!C:V,5,0),"")</f>
        <v/>
      </c>
      <c r="H326" s="254" t="str">
        <f t="array" ref="H326">IFERROR(INDEX('PORTIFÓLIO'!$H$4:$H$433,MATCH($C326,'PORTIFÓLIO'!$C$4:$C$433,0)),"")</f>
        <v/>
      </c>
      <c r="I326" s="256"/>
      <c r="J326" s="218">
        <f t="shared" si="37"/>
        <v>0</v>
      </c>
      <c r="K326" s="292" t="str">
        <f t="array" ref="K326">IFERROR(I326*INDEX('PORTIFÓLIO'!$S$4:$S$433,MATCH($C326,'PORTIFÓLIO'!$C$4:$C$433,0)),"")</f>
        <v/>
      </c>
      <c r="L326" s="292" t="str">
        <f t="array" ref="L326">IFERROR(J326*INDEX('PORTIFÓLIO'!$S$4:$S$433,MATCH($C326,'PORTIFÓLIO'!$C$4:$C$433,0)),"")</f>
        <v/>
      </c>
      <c r="M326" s="220"/>
      <c r="N326" s="220"/>
      <c r="O326" s="220"/>
      <c r="P326" s="220"/>
      <c r="Q326" s="220"/>
      <c r="R326" s="220"/>
      <c r="S326" s="220"/>
      <c r="T326" s="220"/>
      <c r="U326" s="220"/>
      <c r="V326" s="220"/>
      <c r="W326" s="220"/>
    </row>
    <row r="327" ht="15.75" customHeight="1" outlineLevel="1">
      <c r="A327" s="211"/>
      <c r="B327" s="212"/>
      <c r="C327" s="213"/>
      <c r="D327" s="214" t="str">
        <f>IFERROR(VLOOKUP($C327,'PORTIFÓLIO'!C:V,2,0),"")</f>
        <v/>
      </c>
      <c r="E327" s="211" t="str">
        <f>IFERROR(VLOOKUP($C327,'PORTIFÓLIO'!C:V,3,0),"")</f>
        <v/>
      </c>
      <c r="F327" s="211" t="str">
        <f>IFERROR(VLOOKUP($C327,'PORTIFÓLIO'!C:V,4,0),"")</f>
        <v/>
      </c>
      <c r="G327" s="215" t="str">
        <f>IFERROR(VLOOKUP($C327,'PORTIFÓLIO'!C:V,5,0),"")</f>
        <v/>
      </c>
      <c r="H327" s="254" t="str">
        <f t="array" ref="H327">IFERROR(INDEX('PORTIFÓLIO'!$H$4:$H$433,MATCH($C327,'PORTIFÓLIO'!$C$4:$C$433,0)),"")</f>
        <v/>
      </c>
      <c r="I327" s="256"/>
      <c r="J327" s="218">
        <f t="shared" si="37"/>
        <v>0</v>
      </c>
      <c r="K327" s="292" t="str">
        <f t="array" ref="K327">IFERROR(I327*INDEX('PORTIFÓLIO'!$S$4:$S$433,MATCH($C327,'PORTIFÓLIO'!$C$4:$C$433,0)),"")</f>
        <v/>
      </c>
      <c r="L327" s="292" t="str">
        <f t="array" ref="L327">IFERROR(J327*INDEX('PORTIFÓLIO'!$S$4:$S$433,MATCH($C327,'PORTIFÓLIO'!$C$4:$C$433,0)),"")</f>
        <v/>
      </c>
      <c r="M327" s="220"/>
      <c r="N327" s="220"/>
      <c r="O327" s="220"/>
      <c r="P327" s="220"/>
      <c r="Q327" s="220"/>
      <c r="R327" s="220"/>
      <c r="S327" s="220"/>
      <c r="T327" s="220"/>
      <c r="U327" s="220"/>
      <c r="V327" s="220"/>
      <c r="W327" s="220"/>
    </row>
    <row r="328" ht="15.75" customHeight="1" outlineLevel="1">
      <c r="A328" s="211"/>
      <c r="B328" s="212"/>
      <c r="C328" s="213"/>
      <c r="D328" s="214" t="str">
        <f>IFERROR(VLOOKUP($C328,'PORTIFÓLIO'!C:V,2,0),"")</f>
        <v/>
      </c>
      <c r="E328" s="211" t="str">
        <f>IFERROR(VLOOKUP($C328,'PORTIFÓLIO'!C:V,3,0),"")</f>
        <v/>
      </c>
      <c r="F328" s="211" t="str">
        <f>IFERROR(VLOOKUP($C328,'PORTIFÓLIO'!C:V,4,0),"")</f>
        <v/>
      </c>
      <c r="G328" s="215" t="str">
        <f>IFERROR(VLOOKUP($C328,'PORTIFÓLIO'!C:V,5,0),"")</f>
        <v/>
      </c>
      <c r="H328" s="254" t="str">
        <f t="array" ref="H328">IFERROR(INDEX('PORTIFÓLIO'!$H$4:$H$433,MATCH($C328,'PORTIFÓLIO'!$C$4:$C$433,0)),"")</f>
        <v/>
      </c>
      <c r="I328" s="256"/>
      <c r="J328" s="218">
        <f t="shared" si="37"/>
        <v>0</v>
      </c>
      <c r="K328" s="292" t="str">
        <f t="array" ref="K328">IFERROR(I328*INDEX('PORTIFÓLIO'!$S$4:$S$433,MATCH($C328,'PORTIFÓLIO'!$C$4:$C$433,0)),"")</f>
        <v/>
      </c>
      <c r="L328" s="292" t="str">
        <f t="array" ref="L328">IFERROR(J328*INDEX('PORTIFÓLIO'!$S$4:$S$433,MATCH($C328,'PORTIFÓLIO'!$C$4:$C$433,0)),"")</f>
        <v/>
      </c>
      <c r="M328" s="220"/>
      <c r="N328" s="220"/>
      <c r="O328" s="220"/>
      <c r="P328" s="220"/>
      <c r="Q328" s="220"/>
      <c r="R328" s="220"/>
      <c r="S328" s="220"/>
      <c r="T328" s="220"/>
      <c r="U328" s="220"/>
      <c r="V328" s="220"/>
      <c r="W328" s="220"/>
    </row>
    <row r="329" ht="15.75" customHeight="1" outlineLevel="1">
      <c r="A329" s="211"/>
      <c r="B329" s="212"/>
      <c r="C329" s="213"/>
      <c r="D329" s="214" t="str">
        <f>IFERROR(VLOOKUP($C329,'PORTIFÓLIO'!C:V,2,0),"")</f>
        <v/>
      </c>
      <c r="E329" s="211" t="str">
        <f>IFERROR(VLOOKUP($C329,'PORTIFÓLIO'!C:V,3,0),"")</f>
        <v/>
      </c>
      <c r="F329" s="211" t="str">
        <f>IFERROR(VLOOKUP($C329,'PORTIFÓLIO'!C:V,4,0),"")</f>
        <v/>
      </c>
      <c r="G329" s="215" t="str">
        <f>IFERROR(VLOOKUP($C329,'PORTIFÓLIO'!C:V,5,0),"")</f>
        <v/>
      </c>
      <c r="H329" s="254" t="str">
        <f t="array" ref="H329">IFERROR(INDEX('PORTIFÓLIO'!$H$4:$H$433,MATCH($C329,'PORTIFÓLIO'!$C$4:$C$433,0)),"")</f>
        <v/>
      </c>
      <c r="I329" s="256"/>
      <c r="J329" s="218">
        <f t="shared" si="37"/>
        <v>0</v>
      </c>
      <c r="K329" s="292" t="str">
        <f t="array" ref="K329">IFERROR(I329*INDEX('PORTIFÓLIO'!$S$4:$S$433,MATCH($C329,'PORTIFÓLIO'!$C$4:$C$433,0)),"")</f>
        <v/>
      </c>
      <c r="L329" s="292" t="str">
        <f t="array" ref="L329">IFERROR(J329*INDEX('PORTIFÓLIO'!$S$4:$S$433,MATCH($C329,'PORTIFÓLIO'!$C$4:$C$433,0)),"")</f>
        <v/>
      </c>
      <c r="M329" s="220"/>
      <c r="N329" s="220"/>
      <c r="O329" s="220"/>
      <c r="P329" s="220"/>
      <c r="Q329" s="220"/>
      <c r="R329" s="220"/>
      <c r="S329" s="220"/>
      <c r="T329" s="220"/>
      <c r="U329" s="220"/>
      <c r="V329" s="220"/>
      <c r="W329" s="220"/>
    </row>
    <row r="330" ht="15.75" customHeight="1" outlineLevel="1">
      <c r="A330" s="211"/>
      <c r="B330" s="212"/>
      <c r="C330" s="213"/>
      <c r="D330" s="214" t="str">
        <f>IFERROR(VLOOKUP($C330,'PORTIFÓLIO'!C:V,2,0),"")</f>
        <v/>
      </c>
      <c r="E330" s="211" t="str">
        <f>IFERROR(VLOOKUP($C330,'PORTIFÓLIO'!C:V,3,0),"")</f>
        <v/>
      </c>
      <c r="F330" s="211" t="str">
        <f>IFERROR(VLOOKUP($C330,'PORTIFÓLIO'!C:V,4,0),"")</f>
        <v/>
      </c>
      <c r="G330" s="215" t="str">
        <f>IFERROR(VLOOKUP($C330,'PORTIFÓLIO'!C:V,5,0),"")</f>
        <v/>
      </c>
      <c r="H330" s="254" t="str">
        <f t="array" ref="H330">IFERROR(INDEX('PORTIFÓLIO'!$H$4:$H$433,MATCH($C330,'PORTIFÓLIO'!$C$4:$C$433,0)),"")</f>
        <v/>
      </c>
      <c r="I330" s="256"/>
      <c r="J330" s="218">
        <f t="shared" si="37"/>
        <v>0</v>
      </c>
      <c r="K330" s="292" t="str">
        <f t="array" ref="K330">IFERROR(I330*INDEX('PORTIFÓLIO'!$S$4:$S$433,MATCH($C330,'PORTIFÓLIO'!$C$4:$C$433,0)),"")</f>
        <v/>
      </c>
      <c r="L330" s="292" t="str">
        <f t="array" ref="L330">IFERROR(J330*INDEX('PORTIFÓLIO'!$S$4:$S$433,MATCH($C330,'PORTIFÓLIO'!$C$4:$C$433,0)),"")</f>
        <v/>
      </c>
      <c r="M330" s="220"/>
      <c r="N330" s="220"/>
      <c r="O330" s="220"/>
      <c r="P330" s="220"/>
      <c r="Q330" s="220"/>
      <c r="R330" s="220"/>
      <c r="S330" s="220"/>
      <c r="T330" s="220"/>
      <c r="U330" s="220"/>
      <c r="V330" s="220"/>
      <c r="W330" s="220"/>
    </row>
    <row r="331" ht="15.75" customHeight="1" outlineLevel="1">
      <c r="A331" s="211"/>
      <c r="B331" s="212"/>
      <c r="C331" s="213"/>
      <c r="D331" s="214" t="str">
        <f>IFERROR(VLOOKUP($C331,'PORTIFÓLIO'!C:V,2,0),"")</f>
        <v/>
      </c>
      <c r="E331" s="211" t="str">
        <f>IFERROR(VLOOKUP($C331,'PORTIFÓLIO'!C:V,3,0),"")</f>
        <v/>
      </c>
      <c r="F331" s="211" t="str">
        <f>IFERROR(VLOOKUP($C331,'PORTIFÓLIO'!C:V,4,0),"")</f>
        <v/>
      </c>
      <c r="G331" s="215" t="str">
        <f>IFERROR(VLOOKUP($C331,'PORTIFÓLIO'!C:V,5,0),"")</f>
        <v/>
      </c>
      <c r="H331" s="254" t="str">
        <f t="array" ref="H331">IFERROR(INDEX('PORTIFÓLIO'!$H$4:$H$433,MATCH($C331,'PORTIFÓLIO'!$C$4:$C$433,0)),"")</f>
        <v/>
      </c>
      <c r="I331" s="256"/>
      <c r="J331" s="218">
        <f t="shared" si="37"/>
        <v>0</v>
      </c>
      <c r="K331" s="292" t="str">
        <f t="array" ref="K331">IFERROR(I331*INDEX('PORTIFÓLIO'!$S$4:$S$433,MATCH($C331,'PORTIFÓLIO'!$C$4:$C$433,0)),"")</f>
        <v/>
      </c>
      <c r="L331" s="292" t="str">
        <f t="array" ref="L331">IFERROR(J331*INDEX('PORTIFÓLIO'!$S$4:$S$433,MATCH($C331,'PORTIFÓLIO'!$C$4:$C$433,0)),"")</f>
        <v/>
      </c>
      <c r="M331" s="220"/>
      <c r="N331" s="220"/>
      <c r="O331" s="220"/>
      <c r="P331" s="220"/>
      <c r="Q331" s="220"/>
      <c r="R331" s="220"/>
      <c r="S331" s="220"/>
      <c r="T331" s="220"/>
      <c r="U331" s="220"/>
      <c r="V331" s="220"/>
      <c r="W331" s="220"/>
    </row>
    <row r="332" ht="15.75" customHeight="1" outlineLevel="1">
      <c r="A332" s="211"/>
      <c r="B332" s="212"/>
      <c r="C332" s="213"/>
      <c r="D332" s="214" t="str">
        <f>IFERROR(VLOOKUP($C332,'PORTIFÓLIO'!C:V,2,0),"")</f>
        <v/>
      </c>
      <c r="E332" s="211" t="str">
        <f>IFERROR(VLOOKUP($C332,'PORTIFÓLIO'!C:V,3,0),"")</f>
        <v/>
      </c>
      <c r="F332" s="211" t="str">
        <f>IFERROR(VLOOKUP($C332,'PORTIFÓLIO'!C:V,4,0),"")</f>
        <v/>
      </c>
      <c r="G332" s="215" t="str">
        <f>IFERROR(VLOOKUP($C332,'PORTIFÓLIO'!C:V,5,0),"")</f>
        <v/>
      </c>
      <c r="H332" s="254" t="str">
        <f t="array" ref="H332">IFERROR(INDEX('PORTIFÓLIO'!$H$4:$H$433,MATCH($C332,'PORTIFÓLIO'!$C$4:$C$433,0)),"")</f>
        <v/>
      </c>
      <c r="I332" s="256"/>
      <c r="J332" s="218">
        <f t="shared" si="37"/>
        <v>0</v>
      </c>
      <c r="K332" s="292" t="str">
        <f t="array" ref="K332">IFERROR(I332*INDEX('PORTIFÓLIO'!$S$4:$S$433,MATCH($C332,'PORTIFÓLIO'!$C$4:$C$433,0)),"")</f>
        <v/>
      </c>
      <c r="L332" s="292" t="str">
        <f t="array" ref="L332">IFERROR(J332*INDEX('PORTIFÓLIO'!$S$4:$S$433,MATCH($C332,'PORTIFÓLIO'!$C$4:$C$433,0)),"")</f>
        <v/>
      </c>
      <c r="M332" s="220"/>
      <c r="N332" s="220"/>
      <c r="O332" s="220"/>
      <c r="P332" s="220"/>
      <c r="Q332" s="220"/>
      <c r="R332" s="220"/>
      <c r="S332" s="220"/>
      <c r="T332" s="220"/>
      <c r="U332" s="220"/>
      <c r="V332" s="220"/>
      <c r="W332" s="220"/>
    </row>
    <row r="333" ht="15.75" customHeight="1" outlineLevel="1">
      <c r="A333" s="211"/>
      <c r="B333" s="212"/>
      <c r="C333" s="213"/>
      <c r="D333" s="214" t="str">
        <f>IFERROR(VLOOKUP($C333,'PORTIFÓLIO'!C:V,2,0),"")</f>
        <v/>
      </c>
      <c r="E333" s="211" t="str">
        <f>IFERROR(VLOOKUP($C333,'PORTIFÓLIO'!C:V,3,0),"")</f>
        <v/>
      </c>
      <c r="F333" s="211" t="str">
        <f>IFERROR(VLOOKUP($C333,'PORTIFÓLIO'!C:V,4,0),"")</f>
        <v/>
      </c>
      <c r="G333" s="215" t="str">
        <f>IFERROR(VLOOKUP($C333,'PORTIFÓLIO'!C:V,5,0),"")</f>
        <v/>
      </c>
      <c r="H333" s="254" t="str">
        <f t="array" ref="H333">IFERROR(INDEX('PORTIFÓLIO'!$H$4:$H$433,MATCH($C333,'PORTIFÓLIO'!$C$4:$C$433,0)),"")</f>
        <v/>
      </c>
      <c r="I333" s="255"/>
      <c r="J333" s="218">
        <f t="shared" si="37"/>
        <v>0</v>
      </c>
      <c r="K333" s="292" t="str">
        <f t="array" ref="K333">IFERROR(I333*INDEX('PORTIFÓLIO'!$S$4:$S$433,MATCH($C333,'PORTIFÓLIO'!$C$4:$C$433,0)),"")</f>
        <v/>
      </c>
      <c r="L333" s="292" t="str">
        <f t="array" ref="L333">IFERROR(J333*INDEX('PORTIFÓLIO'!$S$4:$S$433,MATCH($C333,'PORTIFÓLIO'!$C$4:$C$433,0)),"")</f>
        <v/>
      </c>
      <c r="M333" s="220"/>
      <c r="N333" s="220"/>
      <c r="O333" s="220"/>
      <c r="P333" s="220"/>
      <c r="Q333" s="220"/>
      <c r="R333" s="220"/>
      <c r="S333" s="220"/>
      <c r="T333" s="220"/>
      <c r="U333" s="220"/>
      <c r="V333" s="220"/>
      <c r="W333" s="220"/>
    </row>
    <row r="334" ht="15.75" customHeight="1" outlineLevel="1">
      <c r="A334" s="211"/>
      <c r="B334" s="212"/>
      <c r="C334" s="213"/>
      <c r="D334" s="214" t="str">
        <f>IFERROR(VLOOKUP($C334,'PORTIFÓLIO'!C:V,2,0),"")</f>
        <v/>
      </c>
      <c r="E334" s="211" t="str">
        <f>IFERROR(VLOOKUP($C334,'PORTIFÓLIO'!C:V,3,0),"")</f>
        <v/>
      </c>
      <c r="F334" s="211" t="str">
        <f>IFERROR(VLOOKUP($C334,'PORTIFÓLIO'!C:V,4,0),"")</f>
        <v/>
      </c>
      <c r="G334" s="215" t="str">
        <f>IFERROR(VLOOKUP($C334,'PORTIFÓLIO'!C:V,5,0),"")</f>
        <v/>
      </c>
      <c r="H334" s="254" t="str">
        <f t="array" ref="H334">IFERROR(INDEX('PORTIFÓLIO'!$H$4:$H$433,MATCH($C334,'PORTIFÓLIO'!$C$4:$C$433,0)),"")</f>
        <v/>
      </c>
      <c r="I334" s="256"/>
      <c r="J334" s="218">
        <f t="shared" si="37"/>
        <v>0</v>
      </c>
      <c r="K334" s="292" t="str">
        <f t="array" ref="K334">IFERROR(I334*INDEX('PORTIFÓLIO'!$S$4:$S$433,MATCH($C334,'PORTIFÓLIO'!$C$4:$C$433,0)),"")</f>
        <v/>
      </c>
      <c r="L334" s="292" t="str">
        <f t="array" ref="L334">IFERROR(J334*INDEX('PORTIFÓLIO'!$S$4:$S$433,MATCH($C334,'PORTIFÓLIO'!$C$4:$C$433,0)),"")</f>
        <v/>
      </c>
      <c r="M334" s="220"/>
      <c r="N334" s="220"/>
      <c r="O334" s="220"/>
      <c r="P334" s="220"/>
      <c r="Q334" s="220"/>
      <c r="R334" s="220"/>
      <c r="S334" s="220"/>
      <c r="T334" s="220"/>
      <c r="U334" s="220"/>
      <c r="V334" s="220"/>
      <c r="W334" s="220"/>
    </row>
    <row r="335" ht="15.75" customHeight="1" outlineLevel="1">
      <c r="A335" s="211"/>
      <c r="B335" s="212"/>
      <c r="C335" s="213"/>
      <c r="D335" s="214" t="str">
        <f>IFERROR(VLOOKUP($C335,'PORTIFÓLIO'!C:V,2,0),"")</f>
        <v/>
      </c>
      <c r="E335" s="211" t="str">
        <f>IFERROR(VLOOKUP($C335,'PORTIFÓLIO'!C:V,3,0),"")</f>
        <v/>
      </c>
      <c r="F335" s="211" t="str">
        <f>IFERROR(VLOOKUP($C335,'PORTIFÓLIO'!C:V,4,0),"")</f>
        <v/>
      </c>
      <c r="G335" s="215" t="str">
        <f>IFERROR(VLOOKUP($C335,'PORTIFÓLIO'!C:V,5,0),"")</f>
        <v/>
      </c>
      <c r="H335" s="254" t="str">
        <f t="array" ref="H335">IFERROR(INDEX('PORTIFÓLIO'!$H$4:$H$433,MATCH($C335,'PORTIFÓLIO'!$C$4:$C$433,0)),"")</f>
        <v/>
      </c>
      <c r="I335" s="256"/>
      <c r="J335" s="218">
        <f t="shared" si="37"/>
        <v>0</v>
      </c>
      <c r="K335" s="292" t="str">
        <f t="array" ref="K335">IFERROR(I335*INDEX('PORTIFÓLIO'!$S$4:$S$433,MATCH($C335,'PORTIFÓLIO'!$C$4:$C$433,0)),"")</f>
        <v/>
      </c>
      <c r="L335" s="292" t="str">
        <f t="array" ref="L335">IFERROR(J335*INDEX('PORTIFÓLIO'!$S$4:$S$433,MATCH($C335,'PORTIFÓLIO'!$C$4:$C$433,0)),"")</f>
        <v/>
      </c>
      <c r="M335" s="220"/>
      <c r="N335" s="220"/>
      <c r="O335" s="220"/>
      <c r="P335" s="220"/>
      <c r="Q335" s="220"/>
      <c r="R335" s="220"/>
      <c r="S335" s="220"/>
      <c r="T335" s="220"/>
      <c r="U335" s="220"/>
      <c r="V335" s="220"/>
      <c r="W335" s="220"/>
    </row>
    <row r="336" ht="15.75" customHeight="1" outlineLevel="1">
      <c r="A336" s="211"/>
      <c r="B336" s="212"/>
      <c r="C336" s="213"/>
      <c r="D336" s="214" t="str">
        <f>IFERROR(VLOOKUP($C336,'PORTIFÓLIO'!C:V,2,0),"")</f>
        <v/>
      </c>
      <c r="E336" s="211" t="str">
        <f>IFERROR(VLOOKUP($C336,'PORTIFÓLIO'!C:V,3,0),"")</f>
        <v/>
      </c>
      <c r="F336" s="211" t="str">
        <f>IFERROR(VLOOKUP($C336,'PORTIFÓLIO'!C:V,4,0),"")</f>
        <v/>
      </c>
      <c r="G336" s="215" t="str">
        <f>IFERROR(VLOOKUP($C336,'PORTIFÓLIO'!C:V,5,0),"")</f>
        <v/>
      </c>
      <c r="H336" s="254" t="str">
        <f t="array" ref="H336">IFERROR(INDEX('PORTIFÓLIO'!$H$4:$H$433,MATCH($C336,'PORTIFÓLIO'!$C$4:$C$433,0)),"")</f>
        <v/>
      </c>
      <c r="I336" s="256"/>
      <c r="J336" s="218">
        <f t="shared" si="37"/>
        <v>0</v>
      </c>
      <c r="K336" s="292" t="str">
        <f t="array" ref="K336">IFERROR(I336*INDEX('PORTIFÓLIO'!$S$4:$S$433,MATCH($C336,'PORTIFÓLIO'!$C$4:$C$433,0)),"")</f>
        <v/>
      </c>
      <c r="L336" s="292" t="str">
        <f t="array" ref="L336">IFERROR(J336*INDEX('PORTIFÓLIO'!$S$4:$S$433,MATCH($C336,'PORTIFÓLIO'!$C$4:$C$433,0)),"")</f>
        <v/>
      </c>
      <c r="M336" s="220"/>
      <c r="N336" s="220"/>
      <c r="O336" s="220"/>
      <c r="P336" s="220"/>
      <c r="Q336" s="220"/>
      <c r="R336" s="220"/>
      <c r="S336" s="220"/>
      <c r="T336" s="220"/>
      <c r="U336" s="220"/>
      <c r="V336" s="220"/>
      <c r="W336" s="220"/>
    </row>
    <row r="337" ht="15.75" customHeight="1" outlineLevel="1">
      <c r="A337" s="211"/>
      <c r="B337" s="212"/>
      <c r="C337" s="213"/>
      <c r="D337" s="214" t="str">
        <f>IFERROR(VLOOKUP($C337,'PORTIFÓLIO'!C:V,2,0),"")</f>
        <v/>
      </c>
      <c r="E337" s="211" t="str">
        <f>IFERROR(VLOOKUP($C337,'PORTIFÓLIO'!C:V,3,0),"")</f>
        <v/>
      </c>
      <c r="F337" s="211" t="str">
        <f>IFERROR(VLOOKUP($C337,'PORTIFÓLIO'!C:V,4,0),"")</f>
        <v/>
      </c>
      <c r="G337" s="215" t="str">
        <f>IFERROR(VLOOKUP($C337,'PORTIFÓLIO'!C:V,5,0),"")</f>
        <v/>
      </c>
      <c r="H337" s="254" t="str">
        <f t="array" ref="H337">IFERROR(INDEX('PORTIFÓLIO'!$H$4:$H$433,MATCH($C337,'PORTIFÓLIO'!$C$4:$C$433,0)),"")</f>
        <v/>
      </c>
      <c r="I337" s="256"/>
      <c r="J337" s="218">
        <f t="shared" si="37"/>
        <v>0</v>
      </c>
      <c r="K337" s="292" t="str">
        <f t="array" ref="K337">IFERROR(I337*INDEX('PORTIFÓLIO'!$S$4:$S$433,MATCH($C337,'PORTIFÓLIO'!$C$4:$C$433,0)),"")</f>
        <v/>
      </c>
      <c r="L337" s="292" t="str">
        <f t="array" ref="L337">IFERROR(J337*INDEX('PORTIFÓLIO'!$S$4:$S$433,MATCH($C337,'PORTIFÓLIO'!$C$4:$C$433,0)),"")</f>
        <v/>
      </c>
      <c r="M337" s="220"/>
      <c r="N337" s="220"/>
      <c r="O337" s="220"/>
      <c r="P337" s="220"/>
      <c r="Q337" s="220"/>
      <c r="R337" s="220"/>
      <c r="S337" s="220"/>
      <c r="T337" s="220"/>
      <c r="U337" s="220"/>
      <c r="V337" s="220"/>
      <c r="W337" s="220"/>
    </row>
    <row r="338" ht="15.75" customHeight="1" outlineLevel="1">
      <c r="A338" s="211"/>
      <c r="B338" s="212"/>
      <c r="C338" s="213"/>
      <c r="D338" s="214" t="str">
        <f>IFERROR(VLOOKUP($C338,'PORTIFÓLIO'!C:V,2,0),"")</f>
        <v/>
      </c>
      <c r="E338" s="211" t="str">
        <f>IFERROR(VLOOKUP($C338,'PORTIFÓLIO'!C:V,3,0),"")</f>
        <v/>
      </c>
      <c r="F338" s="211" t="str">
        <f>IFERROR(VLOOKUP($C338,'PORTIFÓLIO'!C:V,4,0),"")</f>
        <v/>
      </c>
      <c r="G338" s="215" t="str">
        <f>IFERROR(VLOOKUP($C338,'PORTIFÓLIO'!C:V,5,0),"")</f>
        <v/>
      </c>
      <c r="H338" s="254" t="str">
        <f t="array" ref="H338">IFERROR(INDEX('PORTIFÓLIO'!$H$4:$H$433,MATCH($C338,'PORTIFÓLIO'!$C$4:$C$433,0)),"")</f>
        <v/>
      </c>
      <c r="I338" s="256"/>
      <c r="J338" s="218">
        <f t="shared" si="37"/>
        <v>0</v>
      </c>
      <c r="K338" s="292" t="str">
        <f t="array" ref="K338">IFERROR(I338*INDEX('PORTIFÓLIO'!$S$4:$S$433,MATCH($C338,'PORTIFÓLIO'!$C$4:$C$433,0)),"")</f>
        <v/>
      </c>
      <c r="L338" s="292" t="str">
        <f t="array" ref="L338">IFERROR(J338*INDEX('PORTIFÓLIO'!$S$4:$S$433,MATCH($C338,'PORTIFÓLIO'!$C$4:$C$433,0)),"")</f>
        <v/>
      </c>
      <c r="M338" s="220"/>
      <c r="N338" s="220"/>
      <c r="O338" s="220"/>
      <c r="P338" s="220"/>
      <c r="Q338" s="220"/>
      <c r="R338" s="220"/>
      <c r="S338" s="220"/>
      <c r="T338" s="220"/>
      <c r="U338" s="220"/>
      <c r="V338" s="220"/>
      <c r="W338" s="220"/>
    </row>
    <row r="339" ht="15.75" customHeight="1" outlineLevel="1">
      <c r="A339" s="211"/>
      <c r="B339" s="212"/>
      <c r="C339" s="213"/>
      <c r="D339" s="214" t="str">
        <f>IFERROR(VLOOKUP($C339,'PORTIFÓLIO'!C:V,2,0),"")</f>
        <v/>
      </c>
      <c r="E339" s="211" t="str">
        <f>IFERROR(VLOOKUP($C339,'PORTIFÓLIO'!C:V,3,0),"")</f>
        <v/>
      </c>
      <c r="F339" s="211" t="str">
        <f>IFERROR(VLOOKUP($C339,'PORTIFÓLIO'!C:V,4,0),"")</f>
        <v/>
      </c>
      <c r="G339" s="215" t="str">
        <f>IFERROR(VLOOKUP($C339,'PORTIFÓLIO'!C:V,5,0),"")</f>
        <v/>
      </c>
      <c r="H339" s="254" t="str">
        <f t="array" ref="H339">IFERROR(INDEX('PORTIFÓLIO'!$H$4:$H$433,MATCH($C339,'PORTIFÓLIO'!$C$4:$C$433,0)),"")</f>
        <v/>
      </c>
      <c r="I339" s="256"/>
      <c r="J339" s="218">
        <f t="shared" si="37"/>
        <v>0</v>
      </c>
      <c r="K339" s="292" t="str">
        <f t="array" ref="K339">IFERROR(I339*INDEX('PORTIFÓLIO'!$S$4:$S$433,MATCH($C339,'PORTIFÓLIO'!$C$4:$C$433,0)),"")</f>
        <v/>
      </c>
      <c r="L339" s="292" t="str">
        <f t="array" ref="L339">IFERROR(J339*INDEX('PORTIFÓLIO'!$S$4:$S$433,MATCH($C339,'PORTIFÓLIO'!$C$4:$C$433,0)),"")</f>
        <v/>
      </c>
      <c r="M339" s="220"/>
      <c r="N339" s="220"/>
      <c r="O339" s="220"/>
      <c r="P339" s="220"/>
      <c r="Q339" s="220"/>
      <c r="R339" s="220"/>
      <c r="S339" s="220"/>
      <c r="T339" s="220"/>
      <c r="U339" s="220"/>
      <c r="V339" s="220"/>
      <c r="W339" s="220"/>
    </row>
    <row r="340" ht="15.75" customHeight="1" outlineLevel="1">
      <c r="A340" s="211"/>
      <c r="B340" s="227"/>
      <c r="C340" s="211"/>
      <c r="D340" s="214" t="str">
        <f>IFERROR(VLOOKUP($C340,'PORTIFÓLIO'!C:V,2,0),"")</f>
        <v/>
      </c>
      <c r="E340" s="211" t="str">
        <f>IFERROR(VLOOKUP($C340,'PORTIFÓLIO'!C:V,3,0),"")</f>
        <v/>
      </c>
      <c r="F340" s="211" t="str">
        <f>IFERROR(VLOOKUP($C340,'PORTIFÓLIO'!C:V,4,0),"")</f>
        <v/>
      </c>
      <c r="G340" s="215" t="str">
        <f>IFERROR(VLOOKUP($C340,'PORTIFÓLIO'!C:V,5,0),"")</f>
        <v/>
      </c>
      <c r="H340" s="254" t="str">
        <f t="array" ref="H340">IFERROR(INDEX('PORTIFÓLIO'!$H$4:$H$433,MATCH($C340,'PORTIFÓLIO'!$C$4:$C$433,0)),"")</f>
        <v/>
      </c>
      <c r="I340" s="256"/>
      <c r="J340" s="218"/>
      <c r="K340" s="292" t="str">
        <f t="array" ref="K340">IFERROR(I340*INDEX('PORTIFÓLIO'!$S$4:$S$433,MATCH($C340,'PORTIFÓLIO'!$C$4:$C$433,0)),"")</f>
        <v/>
      </c>
      <c r="L340" s="292" t="str">
        <f t="array" ref="L340">IFERROR(J340*INDEX('PORTIFÓLIO'!$S$4:$S$433,MATCH($C340,'PORTIFÓLIO'!$C$4:$C$433,0)),"")</f>
        <v/>
      </c>
      <c r="M340" s="220"/>
      <c r="N340" s="220"/>
      <c r="O340" s="220"/>
      <c r="P340" s="220"/>
      <c r="Q340" s="220"/>
      <c r="R340" s="220"/>
      <c r="S340" s="220"/>
      <c r="T340" s="220"/>
      <c r="U340" s="220"/>
      <c r="V340" s="220"/>
      <c r="W340" s="220"/>
    </row>
    <row r="341" ht="15.75" customHeight="1">
      <c r="A341" s="229" t="s">
        <v>1190</v>
      </c>
      <c r="B341" s="230"/>
      <c r="C341" s="231"/>
      <c r="D341" s="232"/>
      <c r="E341" s="231"/>
      <c r="F341" s="231"/>
      <c r="G341" s="233"/>
      <c r="H341" s="233"/>
      <c r="I341" s="258"/>
      <c r="J341" s="236"/>
      <c r="K341" s="237">
        <f t="shared" ref="K341:L341" si="38">SUBTOTAL(9,K342:K355)</f>
        <v>0</v>
      </c>
      <c r="L341" s="237">
        <f t="shared" si="38"/>
        <v>0</v>
      </c>
      <c r="M341" s="220"/>
      <c r="N341" s="220"/>
      <c r="O341" s="220"/>
      <c r="P341" s="220"/>
      <c r="Q341" s="220"/>
      <c r="R341" s="220"/>
      <c r="S341" s="220"/>
      <c r="T341" s="220"/>
      <c r="U341" s="220"/>
      <c r="V341" s="220"/>
      <c r="W341" s="220"/>
    </row>
    <row r="342" ht="15.75" customHeight="1" outlineLevel="1">
      <c r="A342" s="213"/>
      <c r="B342" s="212"/>
      <c r="C342" s="213"/>
      <c r="D342" s="214" t="str">
        <f>IFERROR(VLOOKUP($C342,'PORTIFÓLIO'!C:V,2,0),"")</f>
        <v/>
      </c>
      <c r="E342" s="211" t="str">
        <f>IFERROR(VLOOKUP($C342,'PORTIFÓLIO'!C:V,3,0),"")</f>
        <v/>
      </c>
      <c r="F342" s="211" t="str">
        <f>IFERROR(VLOOKUP($C342,'PORTIFÓLIO'!C:V,4,0),"")</f>
        <v/>
      </c>
      <c r="G342" s="215" t="str">
        <f>IFERROR(VLOOKUP($C342,'PORTIFÓLIO'!C:V,5,0),"")</f>
        <v/>
      </c>
      <c r="H342" s="254" t="str">
        <f t="array" ref="H342">IFERROR(INDEX('PORTIFÓLIO'!$H$4:$H$433,MATCH($C342,'PORTIFÓLIO'!$C$4:$C$433,0)),"")</f>
        <v/>
      </c>
      <c r="I342" s="255"/>
      <c r="J342" s="218">
        <f t="shared" ref="J342:J356" si="39">I342*$B$2</f>
        <v>0</v>
      </c>
      <c r="K342" s="292" t="str">
        <f t="array" ref="K342">IFERROR(I342*INDEX('PORTIFÓLIO'!$S$4:$S$433,MATCH($C342,'PORTIFÓLIO'!$C$4:$C$433,0)),"")</f>
        <v/>
      </c>
      <c r="L342" s="292" t="str">
        <f t="array" ref="L342">IFERROR(J342*INDEX('PORTIFÓLIO'!$S$4:$S$433,MATCH($C342,'PORTIFÓLIO'!$C$4:$C$433,0)),"")</f>
        <v/>
      </c>
      <c r="M342" s="220"/>
      <c r="N342" s="220"/>
      <c r="O342" s="220"/>
      <c r="P342" s="220"/>
      <c r="Q342" s="220"/>
      <c r="R342" s="220"/>
      <c r="S342" s="220"/>
      <c r="T342" s="220"/>
      <c r="U342" s="220"/>
      <c r="V342" s="220"/>
      <c r="W342" s="220"/>
    </row>
    <row r="343" ht="15.75" customHeight="1" outlineLevel="1">
      <c r="A343" s="211"/>
      <c r="B343" s="212"/>
      <c r="C343" s="213"/>
      <c r="D343" s="214" t="str">
        <f>IFERROR(VLOOKUP($C343,'PORTIFÓLIO'!C:V,2,0),"")</f>
        <v/>
      </c>
      <c r="E343" s="211" t="str">
        <f>IFERROR(VLOOKUP($C343,'PORTIFÓLIO'!C:V,3,0),"")</f>
        <v/>
      </c>
      <c r="F343" s="211" t="str">
        <f>IFERROR(VLOOKUP($C343,'PORTIFÓLIO'!C:V,4,0),"")</f>
        <v/>
      </c>
      <c r="G343" s="215" t="str">
        <f>IFERROR(VLOOKUP($C343,'PORTIFÓLIO'!C:V,5,0),"")</f>
        <v/>
      </c>
      <c r="H343" s="254" t="str">
        <f t="array" ref="H343">IFERROR(INDEX('PORTIFÓLIO'!$H$4:$H$433,MATCH($C343,'PORTIFÓLIO'!$C$4:$C$433,0)),"")</f>
        <v/>
      </c>
      <c r="I343" s="256"/>
      <c r="J343" s="218">
        <f t="shared" si="39"/>
        <v>0</v>
      </c>
      <c r="K343" s="292" t="str">
        <f t="array" ref="K343">IFERROR(I343*INDEX('PORTIFÓLIO'!$S$4:$S$433,MATCH($C343,'PORTIFÓLIO'!$C$4:$C$433,0)),"")</f>
        <v/>
      </c>
      <c r="L343" s="292" t="str">
        <f t="array" ref="L343">IFERROR(J343*INDEX('PORTIFÓLIO'!$S$4:$S$433,MATCH($C343,'PORTIFÓLIO'!$C$4:$C$433,0)),"")</f>
        <v/>
      </c>
      <c r="M343" s="220"/>
      <c r="N343" s="220"/>
      <c r="O343" s="220"/>
      <c r="P343" s="220"/>
      <c r="Q343" s="220"/>
      <c r="R343" s="220"/>
      <c r="S343" s="220"/>
      <c r="T343" s="220"/>
      <c r="U343" s="220"/>
      <c r="V343" s="220"/>
      <c r="W343" s="220"/>
    </row>
    <row r="344" ht="15.75" customHeight="1" outlineLevel="1">
      <c r="A344" s="211"/>
      <c r="B344" s="212"/>
      <c r="C344" s="213"/>
      <c r="D344" s="214" t="str">
        <f>IFERROR(VLOOKUP($C344,'PORTIFÓLIO'!C:V,2,0),"")</f>
        <v/>
      </c>
      <c r="E344" s="211" t="str">
        <f>IFERROR(VLOOKUP($C344,'PORTIFÓLIO'!C:V,3,0),"")</f>
        <v/>
      </c>
      <c r="F344" s="211" t="str">
        <f>IFERROR(VLOOKUP($C344,'PORTIFÓLIO'!C:V,4,0),"")</f>
        <v/>
      </c>
      <c r="G344" s="215" t="str">
        <f>IFERROR(VLOOKUP($C344,'PORTIFÓLIO'!C:V,5,0),"")</f>
        <v/>
      </c>
      <c r="H344" s="254" t="str">
        <f t="array" ref="H344">IFERROR(INDEX('PORTIFÓLIO'!$H$4:$H$433,MATCH($C344,'PORTIFÓLIO'!$C$4:$C$433,0)),"")</f>
        <v/>
      </c>
      <c r="I344" s="256"/>
      <c r="J344" s="218">
        <f t="shared" si="39"/>
        <v>0</v>
      </c>
      <c r="K344" s="292" t="str">
        <f t="array" ref="K344">IFERROR(I344*INDEX('PORTIFÓLIO'!$S$4:$S$433,MATCH($C344,'PORTIFÓLIO'!$C$4:$C$433,0)),"")</f>
        <v/>
      </c>
      <c r="L344" s="292" t="str">
        <f t="array" ref="L344">IFERROR(J344*INDEX('PORTIFÓLIO'!$S$4:$S$433,MATCH($C344,'PORTIFÓLIO'!$C$4:$C$433,0)),"")</f>
        <v/>
      </c>
      <c r="M344" s="220"/>
      <c r="N344" s="220"/>
      <c r="O344" s="220"/>
      <c r="P344" s="220"/>
      <c r="Q344" s="220"/>
      <c r="R344" s="220"/>
      <c r="S344" s="220"/>
      <c r="T344" s="220"/>
      <c r="U344" s="220"/>
      <c r="V344" s="220"/>
      <c r="W344" s="220"/>
    </row>
    <row r="345" ht="15.75" customHeight="1" outlineLevel="1">
      <c r="A345" s="211"/>
      <c r="B345" s="212"/>
      <c r="C345" s="213"/>
      <c r="D345" s="214" t="str">
        <f>IFERROR(VLOOKUP($C345,'PORTIFÓLIO'!C:V,2,0),"")</f>
        <v/>
      </c>
      <c r="E345" s="211" t="str">
        <f>IFERROR(VLOOKUP($C345,'PORTIFÓLIO'!C:V,3,0),"")</f>
        <v/>
      </c>
      <c r="F345" s="211" t="str">
        <f>IFERROR(VLOOKUP($C345,'PORTIFÓLIO'!C:V,4,0),"")</f>
        <v/>
      </c>
      <c r="G345" s="215" t="str">
        <f>IFERROR(VLOOKUP($C345,'PORTIFÓLIO'!C:V,5,0),"")</f>
        <v/>
      </c>
      <c r="H345" s="254" t="str">
        <f t="array" ref="H345">IFERROR(INDEX('PORTIFÓLIO'!$H$4:$H$433,MATCH($C345,'PORTIFÓLIO'!$C$4:$C$433,0)),"")</f>
        <v/>
      </c>
      <c r="I345" s="256"/>
      <c r="J345" s="218">
        <f t="shared" si="39"/>
        <v>0</v>
      </c>
      <c r="K345" s="292" t="str">
        <f t="array" ref="K345">IFERROR(I345*INDEX('PORTIFÓLIO'!$S$4:$S$433,MATCH($C345,'PORTIFÓLIO'!$C$4:$C$433,0)),"")</f>
        <v/>
      </c>
      <c r="L345" s="292" t="str">
        <f t="array" ref="L345">IFERROR(J345*INDEX('PORTIFÓLIO'!$S$4:$S$433,MATCH($C345,'PORTIFÓLIO'!$C$4:$C$433,0)),"")</f>
        <v/>
      </c>
      <c r="M345" s="220"/>
      <c r="N345" s="220"/>
      <c r="O345" s="220"/>
      <c r="P345" s="220"/>
      <c r="Q345" s="220"/>
      <c r="R345" s="220"/>
      <c r="S345" s="220"/>
      <c r="T345" s="220"/>
      <c r="U345" s="220"/>
      <c r="V345" s="220"/>
      <c r="W345" s="220"/>
    </row>
    <row r="346" ht="15.75" customHeight="1" outlineLevel="1">
      <c r="A346" s="211"/>
      <c r="B346" s="212"/>
      <c r="C346" s="213"/>
      <c r="D346" s="214" t="str">
        <f>IFERROR(VLOOKUP($C346,'PORTIFÓLIO'!C:V,2,0),"")</f>
        <v/>
      </c>
      <c r="E346" s="211" t="str">
        <f>IFERROR(VLOOKUP($C346,'PORTIFÓLIO'!C:V,3,0),"")</f>
        <v/>
      </c>
      <c r="F346" s="211" t="str">
        <f>IFERROR(VLOOKUP($C346,'PORTIFÓLIO'!C:V,4,0),"")</f>
        <v/>
      </c>
      <c r="G346" s="215" t="str">
        <f>IFERROR(VLOOKUP($C346,'PORTIFÓLIO'!C:V,5,0),"")</f>
        <v/>
      </c>
      <c r="H346" s="254" t="str">
        <f t="array" ref="H346">IFERROR(INDEX('PORTIFÓLIO'!$H$4:$H$433,MATCH($C346,'PORTIFÓLIO'!$C$4:$C$433,0)),"")</f>
        <v/>
      </c>
      <c r="I346" s="256"/>
      <c r="J346" s="218">
        <f t="shared" si="39"/>
        <v>0</v>
      </c>
      <c r="K346" s="292" t="str">
        <f t="array" ref="K346">IFERROR(I346*INDEX('PORTIFÓLIO'!$S$4:$S$433,MATCH($C346,'PORTIFÓLIO'!$C$4:$C$433,0)),"")</f>
        <v/>
      </c>
      <c r="L346" s="292" t="str">
        <f t="array" ref="L346">IFERROR(J346*INDEX('PORTIFÓLIO'!$S$4:$S$433,MATCH($C346,'PORTIFÓLIO'!$C$4:$C$433,0)),"")</f>
        <v/>
      </c>
      <c r="M346" s="220"/>
      <c r="N346" s="220"/>
      <c r="O346" s="220"/>
      <c r="P346" s="220"/>
      <c r="Q346" s="220"/>
      <c r="R346" s="220"/>
      <c r="S346" s="220"/>
      <c r="T346" s="220"/>
      <c r="U346" s="220"/>
      <c r="V346" s="220"/>
      <c r="W346" s="220"/>
    </row>
    <row r="347" ht="15.75" customHeight="1" outlineLevel="1">
      <c r="A347" s="211"/>
      <c r="B347" s="212"/>
      <c r="C347" s="213"/>
      <c r="D347" s="214" t="str">
        <f>IFERROR(VLOOKUP($C347,'PORTIFÓLIO'!C:V,2,0),"")</f>
        <v/>
      </c>
      <c r="E347" s="211" t="str">
        <f>IFERROR(VLOOKUP($C347,'PORTIFÓLIO'!C:V,3,0),"")</f>
        <v/>
      </c>
      <c r="F347" s="211" t="str">
        <f>IFERROR(VLOOKUP($C347,'PORTIFÓLIO'!C:V,4,0),"")</f>
        <v/>
      </c>
      <c r="G347" s="215" t="str">
        <f>IFERROR(VLOOKUP($C347,'PORTIFÓLIO'!C:V,5,0),"")</f>
        <v/>
      </c>
      <c r="H347" s="254" t="str">
        <f t="array" ref="H347">IFERROR(INDEX('PORTIFÓLIO'!$H$4:$H$433,MATCH($C347,'PORTIFÓLIO'!$C$4:$C$433,0)),"")</f>
        <v/>
      </c>
      <c r="I347" s="256"/>
      <c r="J347" s="218">
        <f t="shared" si="39"/>
        <v>0</v>
      </c>
      <c r="K347" s="292" t="str">
        <f t="array" ref="K347">IFERROR(I347*INDEX('PORTIFÓLIO'!$S$4:$S$433,MATCH($C347,'PORTIFÓLIO'!$C$4:$C$433,0)),"")</f>
        <v/>
      </c>
      <c r="L347" s="292" t="str">
        <f t="array" ref="L347">IFERROR(J347*INDEX('PORTIFÓLIO'!$S$4:$S$433,MATCH($C347,'PORTIFÓLIO'!$C$4:$C$433,0)),"")</f>
        <v/>
      </c>
      <c r="M347" s="220"/>
      <c r="N347" s="220"/>
      <c r="O347" s="220"/>
      <c r="P347" s="220"/>
      <c r="Q347" s="220"/>
      <c r="R347" s="220"/>
      <c r="S347" s="220"/>
      <c r="T347" s="220"/>
      <c r="U347" s="220"/>
      <c r="V347" s="220"/>
      <c r="W347" s="220"/>
    </row>
    <row r="348" ht="15.75" customHeight="1" outlineLevel="1">
      <c r="A348" s="211"/>
      <c r="B348" s="212"/>
      <c r="C348" s="213"/>
      <c r="D348" s="214" t="str">
        <f>IFERROR(VLOOKUP($C348,'PORTIFÓLIO'!C:V,2,0),"")</f>
        <v/>
      </c>
      <c r="E348" s="211" t="str">
        <f>IFERROR(VLOOKUP($C348,'PORTIFÓLIO'!C:V,3,0),"")</f>
        <v/>
      </c>
      <c r="F348" s="211" t="str">
        <f>IFERROR(VLOOKUP($C348,'PORTIFÓLIO'!C:V,4,0),"")</f>
        <v/>
      </c>
      <c r="G348" s="215" t="str">
        <f>IFERROR(VLOOKUP($C348,'PORTIFÓLIO'!C:V,5,0),"")</f>
        <v/>
      </c>
      <c r="H348" s="254" t="str">
        <f t="array" ref="H348">IFERROR(INDEX('PORTIFÓLIO'!$H$4:$H$433,MATCH($C348,'PORTIFÓLIO'!$C$4:$C$433,0)),"")</f>
        <v/>
      </c>
      <c r="I348" s="256"/>
      <c r="J348" s="218">
        <f t="shared" si="39"/>
        <v>0</v>
      </c>
      <c r="K348" s="292" t="str">
        <f t="array" ref="K348">IFERROR(I348*INDEX('PORTIFÓLIO'!$S$4:$S$433,MATCH($C348,'PORTIFÓLIO'!$C$4:$C$433,0)),"")</f>
        <v/>
      </c>
      <c r="L348" s="292" t="str">
        <f t="array" ref="L348">IFERROR(J348*INDEX('PORTIFÓLIO'!$S$4:$S$433,MATCH($C348,'PORTIFÓLIO'!$C$4:$C$433,0)),"")</f>
        <v/>
      </c>
      <c r="M348" s="220"/>
      <c r="N348" s="220"/>
      <c r="O348" s="220"/>
      <c r="P348" s="220"/>
      <c r="Q348" s="220"/>
      <c r="R348" s="220"/>
      <c r="S348" s="220"/>
      <c r="T348" s="220"/>
      <c r="U348" s="220"/>
      <c r="V348" s="220"/>
      <c r="W348" s="220"/>
    </row>
    <row r="349" ht="15.75" customHeight="1" outlineLevel="1">
      <c r="A349" s="211"/>
      <c r="B349" s="212"/>
      <c r="C349" s="213"/>
      <c r="D349" s="214" t="str">
        <f>IFERROR(VLOOKUP($C349,'PORTIFÓLIO'!C:V,2,0),"")</f>
        <v/>
      </c>
      <c r="E349" s="211" t="str">
        <f>IFERROR(VLOOKUP($C349,'PORTIFÓLIO'!C:V,3,0),"")</f>
        <v/>
      </c>
      <c r="F349" s="211" t="str">
        <f>IFERROR(VLOOKUP($C349,'PORTIFÓLIO'!C:V,4,0),"")</f>
        <v/>
      </c>
      <c r="G349" s="215" t="str">
        <f>IFERROR(VLOOKUP($C349,'PORTIFÓLIO'!C:V,5,0),"")</f>
        <v/>
      </c>
      <c r="H349" s="254" t="str">
        <f t="array" ref="H349">IFERROR(INDEX('PORTIFÓLIO'!$H$4:$H$433,MATCH($C349,'PORTIFÓLIO'!$C$4:$C$433,0)),"")</f>
        <v/>
      </c>
      <c r="I349" s="256"/>
      <c r="J349" s="218">
        <f t="shared" si="39"/>
        <v>0</v>
      </c>
      <c r="K349" s="292" t="str">
        <f t="array" ref="K349">IFERROR(I349*INDEX('PORTIFÓLIO'!$S$4:$S$433,MATCH($C349,'PORTIFÓLIO'!$C$4:$C$433,0)),"")</f>
        <v/>
      </c>
      <c r="L349" s="292" t="str">
        <f t="array" ref="L349">IFERROR(J349*INDEX('PORTIFÓLIO'!$S$4:$S$433,MATCH($C349,'PORTIFÓLIO'!$C$4:$C$433,0)),"")</f>
        <v/>
      </c>
      <c r="M349" s="220"/>
      <c r="N349" s="220"/>
      <c r="O349" s="220"/>
      <c r="P349" s="220"/>
      <c r="Q349" s="220"/>
      <c r="R349" s="220"/>
      <c r="S349" s="220"/>
      <c r="T349" s="220"/>
      <c r="U349" s="220"/>
      <c r="V349" s="220"/>
      <c r="W349" s="220"/>
    </row>
    <row r="350" ht="15.75" customHeight="1" outlineLevel="1">
      <c r="A350" s="211"/>
      <c r="B350" s="212"/>
      <c r="C350" s="213"/>
      <c r="D350" s="214" t="str">
        <f>IFERROR(VLOOKUP($C350,'PORTIFÓLIO'!C:V,2,0),"")</f>
        <v/>
      </c>
      <c r="E350" s="211" t="str">
        <f>IFERROR(VLOOKUP($C350,'PORTIFÓLIO'!C:V,3,0),"")</f>
        <v/>
      </c>
      <c r="F350" s="211" t="str">
        <f>IFERROR(VLOOKUP($C350,'PORTIFÓLIO'!C:V,4,0),"")</f>
        <v/>
      </c>
      <c r="G350" s="215" t="str">
        <f>IFERROR(VLOOKUP($C350,'PORTIFÓLIO'!C:V,5,0),"")</f>
        <v/>
      </c>
      <c r="H350" s="254" t="str">
        <f t="array" ref="H350">IFERROR(INDEX('PORTIFÓLIO'!$H$4:$H$433,MATCH($C350,'PORTIFÓLIO'!$C$4:$C$433,0)),"")</f>
        <v/>
      </c>
      <c r="I350" s="255"/>
      <c r="J350" s="218">
        <f t="shared" si="39"/>
        <v>0</v>
      </c>
      <c r="K350" s="292" t="str">
        <f t="array" ref="K350">IFERROR(I350*INDEX('PORTIFÓLIO'!$S$4:$S$433,MATCH($C350,'PORTIFÓLIO'!$C$4:$C$433,0)),"")</f>
        <v/>
      </c>
      <c r="L350" s="292" t="str">
        <f t="array" ref="L350">IFERROR(J350*INDEX('PORTIFÓLIO'!$S$4:$S$433,MATCH($C350,'PORTIFÓLIO'!$C$4:$C$433,0)),"")</f>
        <v/>
      </c>
      <c r="M350" s="220"/>
      <c r="N350" s="220"/>
      <c r="O350" s="220"/>
      <c r="P350" s="220"/>
      <c r="Q350" s="220"/>
      <c r="R350" s="220"/>
      <c r="S350" s="220"/>
      <c r="T350" s="220"/>
      <c r="U350" s="220"/>
      <c r="V350" s="220"/>
      <c r="W350" s="220"/>
    </row>
    <row r="351" ht="15.75" customHeight="1" outlineLevel="1">
      <c r="A351" s="211"/>
      <c r="B351" s="212"/>
      <c r="C351" s="213"/>
      <c r="D351" s="214" t="str">
        <f>IFERROR(VLOOKUP($C351,'PORTIFÓLIO'!C:V,2,0),"")</f>
        <v/>
      </c>
      <c r="E351" s="211" t="str">
        <f>IFERROR(VLOOKUP($C351,'PORTIFÓLIO'!C:V,3,0),"")</f>
        <v/>
      </c>
      <c r="F351" s="211" t="str">
        <f>IFERROR(VLOOKUP($C351,'PORTIFÓLIO'!C:V,4,0),"")</f>
        <v/>
      </c>
      <c r="G351" s="215" t="str">
        <f>IFERROR(VLOOKUP($C351,'PORTIFÓLIO'!C:V,5,0),"")</f>
        <v/>
      </c>
      <c r="H351" s="254" t="str">
        <f t="array" ref="H351">IFERROR(INDEX('PORTIFÓLIO'!$H$4:$H$433,MATCH($C351,'PORTIFÓLIO'!$C$4:$C$433,0)),"")</f>
        <v/>
      </c>
      <c r="I351" s="256"/>
      <c r="J351" s="218">
        <f t="shared" si="39"/>
        <v>0</v>
      </c>
      <c r="K351" s="292" t="str">
        <f t="array" ref="K351">IFERROR(I351*INDEX('PORTIFÓLIO'!$S$4:$S$433,MATCH($C351,'PORTIFÓLIO'!$C$4:$C$433,0)),"")</f>
        <v/>
      </c>
      <c r="L351" s="292" t="str">
        <f t="array" ref="L351">IFERROR(J351*INDEX('PORTIFÓLIO'!$S$4:$S$433,MATCH($C351,'PORTIFÓLIO'!$C$4:$C$433,0)),"")</f>
        <v/>
      </c>
      <c r="M351" s="220"/>
      <c r="N351" s="220"/>
      <c r="O351" s="220"/>
      <c r="P351" s="220"/>
      <c r="Q351" s="220"/>
      <c r="R351" s="220"/>
      <c r="S351" s="220"/>
      <c r="T351" s="220"/>
      <c r="U351" s="220"/>
      <c r="V351" s="220"/>
      <c r="W351" s="220"/>
    </row>
    <row r="352" ht="15.75" customHeight="1" outlineLevel="1">
      <c r="A352" s="211"/>
      <c r="B352" s="212"/>
      <c r="C352" s="213"/>
      <c r="D352" s="214" t="str">
        <f>IFERROR(VLOOKUP($C352,'PORTIFÓLIO'!C:V,2,0),"")</f>
        <v/>
      </c>
      <c r="E352" s="211" t="str">
        <f>IFERROR(VLOOKUP($C352,'PORTIFÓLIO'!C:V,3,0),"")</f>
        <v/>
      </c>
      <c r="F352" s="211" t="str">
        <f>IFERROR(VLOOKUP($C352,'PORTIFÓLIO'!C:V,4,0),"")</f>
        <v/>
      </c>
      <c r="G352" s="215" t="str">
        <f>IFERROR(VLOOKUP($C352,'PORTIFÓLIO'!C:V,5,0),"")</f>
        <v/>
      </c>
      <c r="H352" s="254" t="str">
        <f t="array" ref="H352">IFERROR(INDEX('PORTIFÓLIO'!$H$4:$H$433,MATCH($C352,'PORTIFÓLIO'!$C$4:$C$433,0)),"")</f>
        <v/>
      </c>
      <c r="I352" s="256"/>
      <c r="J352" s="218">
        <f t="shared" si="39"/>
        <v>0</v>
      </c>
      <c r="K352" s="292" t="str">
        <f t="array" ref="K352">IFERROR(I352*INDEX('PORTIFÓLIO'!$S$4:$S$433,MATCH($C352,'PORTIFÓLIO'!$C$4:$C$433,0)),"")</f>
        <v/>
      </c>
      <c r="L352" s="292" t="str">
        <f t="array" ref="L352">IFERROR(J352*INDEX('PORTIFÓLIO'!$S$4:$S$433,MATCH($C352,'PORTIFÓLIO'!$C$4:$C$433,0)),"")</f>
        <v/>
      </c>
      <c r="M352" s="220"/>
      <c r="N352" s="220"/>
      <c r="O352" s="220"/>
      <c r="P352" s="220"/>
      <c r="Q352" s="220"/>
      <c r="R352" s="220"/>
      <c r="S352" s="220"/>
      <c r="T352" s="220"/>
      <c r="U352" s="220"/>
      <c r="V352" s="220"/>
      <c r="W352" s="220"/>
    </row>
    <row r="353" ht="15.75" customHeight="1" outlineLevel="1">
      <c r="A353" s="211"/>
      <c r="B353" s="212"/>
      <c r="C353" s="213"/>
      <c r="D353" s="214" t="str">
        <f>IFERROR(VLOOKUP($C353,'PORTIFÓLIO'!C:V,2,0),"")</f>
        <v/>
      </c>
      <c r="E353" s="211" t="str">
        <f>IFERROR(VLOOKUP($C353,'PORTIFÓLIO'!C:V,3,0),"")</f>
        <v/>
      </c>
      <c r="F353" s="211" t="str">
        <f>IFERROR(VLOOKUP($C353,'PORTIFÓLIO'!C:V,4,0),"")</f>
        <v/>
      </c>
      <c r="G353" s="215" t="str">
        <f>IFERROR(VLOOKUP($C353,'PORTIFÓLIO'!C:V,5,0),"")</f>
        <v/>
      </c>
      <c r="H353" s="254" t="str">
        <f t="array" ref="H353">IFERROR(INDEX('PORTIFÓLIO'!$H$4:$H$433,MATCH($C353,'PORTIFÓLIO'!$C$4:$C$433,0)),"")</f>
        <v/>
      </c>
      <c r="I353" s="256"/>
      <c r="J353" s="218">
        <f t="shared" si="39"/>
        <v>0</v>
      </c>
      <c r="K353" s="292" t="str">
        <f t="array" ref="K353">IFERROR(I353*INDEX('PORTIFÓLIO'!$S$4:$S$433,MATCH($C353,'PORTIFÓLIO'!$C$4:$C$433,0)),"")</f>
        <v/>
      </c>
      <c r="L353" s="292" t="str">
        <f t="array" ref="L353">IFERROR(J353*INDEX('PORTIFÓLIO'!$S$4:$S$433,MATCH($C353,'PORTIFÓLIO'!$C$4:$C$433,0)),"")</f>
        <v/>
      </c>
      <c r="M353" s="220"/>
      <c r="N353" s="220"/>
      <c r="O353" s="220"/>
      <c r="P353" s="220"/>
      <c r="Q353" s="220"/>
      <c r="R353" s="220"/>
      <c r="S353" s="220"/>
      <c r="T353" s="220"/>
      <c r="U353" s="220"/>
      <c r="V353" s="220"/>
      <c r="W353" s="220"/>
    </row>
    <row r="354" ht="15.75" customHeight="1" outlineLevel="1">
      <c r="A354" s="211"/>
      <c r="B354" s="212"/>
      <c r="C354" s="213"/>
      <c r="D354" s="214" t="str">
        <f>IFERROR(VLOOKUP($C354,'PORTIFÓLIO'!C:V,2,0),"")</f>
        <v/>
      </c>
      <c r="E354" s="211" t="str">
        <f>IFERROR(VLOOKUP($C354,'PORTIFÓLIO'!C:V,3,0),"")</f>
        <v/>
      </c>
      <c r="F354" s="211" t="str">
        <f>IFERROR(VLOOKUP($C354,'PORTIFÓLIO'!C:V,4,0),"")</f>
        <v/>
      </c>
      <c r="G354" s="215" t="str">
        <f>IFERROR(VLOOKUP($C354,'PORTIFÓLIO'!C:V,5,0),"")</f>
        <v/>
      </c>
      <c r="H354" s="254" t="str">
        <f t="array" ref="H354">IFERROR(INDEX('PORTIFÓLIO'!$H$4:$H$433,MATCH($C354,'PORTIFÓLIO'!$C$4:$C$433,0)),"")</f>
        <v/>
      </c>
      <c r="I354" s="256"/>
      <c r="J354" s="218">
        <f t="shared" si="39"/>
        <v>0</v>
      </c>
      <c r="K354" s="292" t="str">
        <f t="array" ref="K354">IFERROR(I354*INDEX('PORTIFÓLIO'!$S$4:$S$433,MATCH($C354,'PORTIFÓLIO'!$C$4:$C$433,0)),"")</f>
        <v/>
      </c>
      <c r="L354" s="292" t="str">
        <f t="array" ref="L354">IFERROR(J354*INDEX('PORTIFÓLIO'!$S$4:$S$433,MATCH($C354,'PORTIFÓLIO'!$C$4:$C$433,0)),"")</f>
        <v/>
      </c>
      <c r="M354" s="220"/>
      <c r="N354" s="220"/>
      <c r="O354" s="220"/>
      <c r="P354" s="220"/>
      <c r="Q354" s="220"/>
      <c r="R354" s="220"/>
      <c r="S354" s="220"/>
      <c r="T354" s="220"/>
      <c r="U354" s="220"/>
      <c r="V354" s="220"/>
      <c r="W354" s="220"/>
    </row>
    <row r="355" ht="15.75" customHeight="1" outlineLevel="1">
      <c r="A355" s="211"/>
      <c r="B355" s="212"/>
      <c r="C355" s="213"/>
      <c r="D355" s="214" t="str">
        <f>IFERROR(VLOOKUP($C355,'PORTIFÓLIO'!C:V,2,0),"")</f>
        <v/>
      </c>
      <c r="E355" s="211" t="str">
        <f>IFERROR(VLOOKUP($C355,'PORTIFÓLIO'!C:V,3,0),"")</f>
        <v/>
      </c>
      <c r="F355" s="211" t="str">
        <f>IFERROR(VLOOKUP($C355,'PORTIFÓLIO'!C:V,4,0),"")</f>
        <v/>
      </c>
      <c r="G355" s="215" t="str">
        <f>IFERROR(VLOOKUP($C355,'PORTIFÓLIO'!C:V,5,0),"")</f>
        <v/>
      </c>
      <c r="H355" s="254" t="str">
        <f t="array" ref="H355">IFERROR(INDEX('PORTIFÓLIO'!$H$4:$H$433,MATCH($C355,'PORTIFÓLIO'!$C$4:$C$433,0)),"")</f>
        <v/>
      </c>
      <c r="I355" s="256"/>
      <c r="J355" s="218">
        <f t="shared" si="39"/>
        <v>0</v>
      </c>
      <c r="K355" s="292" t="str">
        <f t="array" ref="K355">IFERROR(I355*INDEX('PORTIFÓLIO'!$S$4:$S$433,MATCH($C355,'PORTIFÓLIO'!$C$4:$C$433,0)),"")</f>
        <v/>
      </c>
      <c r="L355" s="292" t="str">
        <f t="array" ref="L355">IFERROR(J355*INDEX('PORTIFÓLIO'!$S$4:$S$433,MATCH($C355,'PORTIFÓLIO'!$C$4:$C$433,0)),"")</f>
        <v/>
      </c>
      <c r="M355" s="220"/>
      <c r="N355" s="220"/>
      <c r="O355" s="220"/>
      <c r="P355" s="220"/>
      <c r="Q355" s="220"/>
      <c r="R355" s="220"/>
      <c r="S355" s="220"/>
      <c r="T355" s="220"/>
      <c r="U355" s="220"/>
      <c r="V355" s="220"/>
      <c r="W355" s="220"/>
    </row>
    <row r="356" ht="15.75" customHeight="1" outlineLevel="1">
      <c r="A356" s="211"/>
      <c r="B356" s="212"/>
      <c r="C356" s="213"/>
      <c r="D356" s="214" t="str">
        <f>IFERROR(VLOOKUP($C356,'PORTIFÓLIO'!C:V,2,0),"")</f>
        <v/>
      </c>
      <c r="E356" s="211" t="str">
        <f>IFERROR(VLOOKUP($C356,'PORTIFÓLIO'!C:V,3,0),"")</f>
        <v/>
      </c>
      <c r="F356" s="211" t="str">
        <f>IFERROR(VLOOKUP($C356,'PORTIFÓLIO'!C:V,4,0),"")</f>
        <v/>
      </c>
      <c r="G356" s="215" t="str">
        <f>IFERROR(VLOOKUP($C356,'PORTIFÓLIO'!C:V,5,0),"")</f>
        <v/>
      </c>
      <c r="H356" s="254" t="str">
        <f t="array" ref="H356">IFERROR(INDEX('PORTIFÓLIO'!$H$4:$H$433,MATCH($C356,'PORTIFÓLIO'!$C$4:$C$433,0)),"")</f>
        <v/>
      </c>
      <c r="I356" s="256"/>
      <c r="J356" s="218">
        <f t="shared" si="39"/>
        <v>0</v>
      </c>
      <c r="K356" s="292" t="str">
        <f t="array" ref="K356">IFERROR(I356*INDEX('PORTIFÓLIO'!$S$4:$S$433,MATCH($C356,'PORTIFÓLIO'!$C$4:$C$433,0)),"")</f>
        <v/>
      </c>
      <c r="L356" s="292" t="str">
        <f t="array" ref="L356">IFERROR(J356*INDEX('PORTIFÓLIO'!$S$4:$S$433,MATCH($C356,'PORTIFÓLIO'!$C$4:$C$433,0)),"")</f>
        <v/>
      </c>
      <c r="M356" s="220"/>
      <c r="N356" s="220"/>
      <c r="O356" s="220"/>
      <c r="P356" s="220"/>
      <c r="Q356" s="220"/>
      <c r="R356" s="220"/>
      <c r="S356" s="220"/>
      <c r="T356" s="220"/>
      <c r="U356" s="220"/>
      <c r="V356" s="220"/>
      <c r="W356" s="220"/>
    </row>
    <row r="357" ht="15.75" customHeight="1" outlineLevel="1">
      <c r="A357" s="211"/>
      <c r="B357" s="227"/>
      <c r="C357" s="211"/>
      <c r="D357" s="214" t="str">
        <f>IFERROR(VLOOKUP($C357,'PORTIFÓLIO'!C:V,2,0),"")</f>
        <v/>
      </c>
      <c r="E357" s="211" t="str">
        <f>IFERROR(VLOOKUP($C357,'PORTIFÓLIO'!C:V,3,0),"")</f>
        <v/>
      </c>
      <c r="F357" s="211" t="str">
        <f>IFERROR(VLOOKUP($C357,'PORTIFÓLIO'!C:V,4,0),"")</f>
        <v/>
      </c>
      <c r="G357" s="215" t="str">
        <f>IFERROR(VLOOKUP($C357,'PORTIFÓLIO'!C:V,5,0),"")</f>
        <v/>
      </c>
      <c r="H357" s="254" t="str">
        <f t="array" ref="H357">IFERROR(INDEX('PORTIFÓLIO'!$H$4:$H$433,MATCH($C357,'PORTIFÓLIO'!$C$4:$C$433,0)),"")</f>
        <v/>
      </c>
      <c r="I357" s="256"/>
      <c r="J357" s="218"/>
      <c r="K357" s="292" t="str">
        <f t="array" ref="K357">IFERROR(I357*INDEX('PORTIFÓLIO'!$S$4:$S$433,MATCH($C357,'PORTIFÓLIO'!$C$4:$C$433,0)),"")</f>
        <v/>
      </c>
      <c r="L357" s="292" t="str">
        <f t="array" ref="L357">IFERROR(J357*INDEX('PORTIFÓLIO'!$S$4:$S$433,MATCH($C357,'PORTIFÓLIO'!$C$4:$C$433,0)),"")</f>
        <v/>
      </c>
      <c r="M357" s="220"/>
      <c r="N357" s="220"/>
      <c r="O357" s="220"/>
      <c r="P357" s="220"/>
      <c r="Q357" s="220"/>
      <c r="R357" s="220"/>
      <c r="S357" s="220"/>
      <c r="T357" s="220"/>
      <c r="U357" s="220"/>
      <c r="V357" s="220"/>
      <c r="W357" s="220"/>
    </row>
    <row r="358" ht="15.75" customHeight="1">
      <c r="A358" s="229" t="s">
        <v>1191</v>
      </c>
      <c r="B358" s="230"/>
      <c r="C358" s="231"/>
      <c r="D358" s="232"/>
      <c r="E358" s="231"/>
      <c r="F358" s="231"/>
      <c r="G358" s="233"/>
      <c r="H358" s="233"/>
      <c r="I358" s="258"/>
      <c r="J358" s="236"/>
      <c r="K358" s="237">
        <f t="shared" ref="K358:L358" si="40">SUBTOTAL(9,K359:K372)</f>
        <v>0</v>
      </c>
      <c r="L358" s="237">
        <f t="shared" si="40"/>
        <v>0</v>
      </c>
      <c r="M358" s="220"/>
      <c r="N358" s="220"/>
      <c r="O358" s="220"/>
      <c r="P358" s="220"/>
      <c r="Q358" s="220"/>
      <c r="R358" s="220"/>
      <c r="S358" s="220"/>
      <c r="T358" s="220"/>
      <c r="U358" s="220"/>
      <c r="V358" s="220"/>
      <c r="W358" s="220"/>
    </row>
    <row r="359" ht="15.75" customHeight="1" outlineLevel="1">
      <c r="A359" s="213"/>
      <c r="B359" s="212"/>
      <c r="C359" s="213"/>
      <c r="D359" s="214" t="str">
        <f>IFERROR(VLOOKUP($C359,'PORTIFÓLIO'!C:V,2,0),"")</f>
        <v/>
      </c>
      <c r="E359" s="211" t="str">
        <f>IFERROR(VLOOKUP($C359,'PORTIFÓLIO'!C:V,3,0),"")</f>
        <v/>
      </c>
      <c r="F359" s="211" t="str">
        <f>IFERROR(VLOOKUP($C359,'PORTIFÓLIO'!C:V,4,0),"")</f>
        <v/>
      </c>
      <c r="G359" s="215" t="str">
        <f>IFERROR(VLOOKUP($C359,'PORTIFÓLIO'!C:V,5,0),"")</f>
        <v/>
      </c>
      <c r="H359" s="254" t="str">
        <f t="array" ref="H359">IFERROR(INDEX('PORTIFÓLIO'!$H$4:$H$433,MATCH($C359,'PORTIFÓLIO'!$C$4:$C$433,0)),"")</f>
        <v/>
      </c>
      <c r="I359" s="255"/>
      <c r="J359" s="218">
        <f t="shared" ref="J359:J373" si="41">I359*$B$2</f>
        <v>0</v>
      </c>
      <c r="K359" s="292" t="str">
        <f t="array" ref="K359">IFERROR(I359*INDEX('PORTIFÓLIO'!$S$4:$S$433,MATCH($C359,'PORTIFÓLIO'!$C$4:$C$433,0)),"")</f>
        <v/>
      </c>
      <c r="L359" s="292" t="str">
        <f t="array" ref="L359">IFERROR(J359*INDEX('PORTIFÓLIO'!$S$4:$S$433,MATCH($C359,'PORTIFÓLIO'!$C$4:$C$433,0)),"")</f>
        <v/>
      </c>
      <c r="M359" s="220"/>
      <c r="N359" s="220"/>
      <c r="O359" s="220"/>
      <c r="P359" s="220"/>
      <c r="Q359" s="220"/>
      <c r="R359" s="220"/>
      <c r="S359" s="220"/>
      <c r="T359" s="220"/>
      <c r="U359" s="220"/>
      <c r="V359" s="220"/>
      <c r="W359" s="220"/>
    </row>
    <row r="360" ht="15.75" customHeight="1" outlineLevel="1">
      <c r="A360" s="211"/>
      <c r="B360" s="212"/>
      <c r="C360" s="213"/>
      <c r="D360" s="214" t="str">
        <f>IFERROR(VLOOKUP($C360,'PORTIFÓLIO'!C:V,2,0),"")</f>
        <v/>
      </c>
      <c r="E360" s="211" t="str">
        <f>IFERROR(VLOOKUP($C360,'PORTIFÓLIO'!C:V,3,0),"")</f>
        <v/>
      </c>
      <c r="F360" s="211" t="str">
        <f>IFERROR(VLOOKUP($C360,'PORTIFÓLIO'!C:V,4,0),"")</f>
        <v/>
      </c>
      <c r="G360" s="215" t="str">
        <f>IFERROR(VLOOKUP($C360,'PORTIFÓLIO'!C:V,5,0),"")</f>
        <v/>
      </c>
      <c r="H360" s="254" t="str">
        <f t="array" ref="H360">IFERROR(INDEX('PORTIFÓLIO'!$H$4:$H$433,MATCH($C360,'PORTIFÓLIO'!$C$4:$C$433,0)),"")</f>
        <v/>
      </c>
      <c r="I360" s="256"/>
      <c r="J360" s="218">
        <f t="shared" si="41"/>
        <v>0</v>
      </c>
      <c r="K360" s="292" t="str">
        <f t="array" ref="K360">IFERROR(I360*INDEX('PORTIFÓLIO'!$S$4:$S$433,MATCH($C360,'PORTIFÓLIO'!$C$4:$C$433,0)),"")</f>
        <v/>
      </c>
      <c r="L360" s="292" t="str">
        <f t="array" ref="L360">IFERROR(J360*INDEX('PORTIFÓLIO'!$S$4:$S$433,MATCH($C360,'PORTIFÓLIO'!$C$4:$C$433,0)),"")</f>
        <v/>
      </c>
      <c r="M360" s="220"/>
      <c r="N360" s="220"/>
      <c r="O360" s="220"/>
      <c r="P360" s="220"/>
      <c r="Q360" s="220"/>
      <c r="R360" s="220"/>
      <c r="S360" s="220"/>
      <c r="T360" s="220"/>
      <c r="U360" s="220"/>
      <c r="V360" s="220"/>
      <c r="W360" s="220"/>
    </row>
    <row r="361" ht="15.75" customHeight="1" outlineLevel="1">
      <c r="A361" s="211"/>
      <c r="B361" s="212"/>
      <c r="C361" s="213"/>
      <c r="D361" s="214" t="str">
        <f>IFERROR(VLOOKUP($C361,'PORTIFÓLIO'!C:V,2,0),"")</f>
        <v/>
      </c>
      <c r="E361" s="211" t="str">
        <f>IFERROR(VLOOKUP($C361,'PORTIFÓLIO'!C:V,3,0),"")</f>
        <v/>
      </c>
      <c r="F361" s="211" t="str">
        <f>IFERROR(VLOOKUP($C361,'PORTIFÓLIO'!C:V,4,0),"")</f>
        <v/>
      </c>
      <c r="G361" s="215" t="str">
        <f>IFERROR(VLOOKUP($C361,'PORTIFÓLIO'!C:V,5,0),"")</f>
        <v/>
      </c>
      <c r="H361" s="254" t="str">
        <f t="array" ref="H361">IFERROR(INDEX('PORTIFÓLIO'!$H$4:$H$433,MATCH($C361,'PORTIFÓLIO'!$C$4:$C$433,0)),"")</f>
        <v/>
      </c>
      <c r="I361" s="256"/>
      <c r="J361" s="218">
        <f t="shared" si="41"/>
        <v>0</v>
      </c>
      <c r="K361" s="292" t="str">
        <f t="array" ref="K361">IFERROR(I361*INDEX('PORTIFÓLIO'!$S$4:$S$433,MATCH($C361,'PORTIFÓLIO'!$C$4:$C$433,0)),"")</f>
        <v/>
      </c>
      <c r="L361" s="292" t="str">
        <f t="array" ref="L361">IFERROR(J361*INDEX('PORTIFÓLIO'!$S$4:$S$433,MATCH($C361,'PORTIFÓLIO'!$C$4:$C$433,0)),"")</f>
        <v/>
      </c>
      <c r="M361" s="220"/>
      <c r="N361" s="220"/>
      <c r="O361" s="220"/>
      <c r="P361" s="220"/>
      <c r="Q361" s="220"/>
      <c r="R361" s="220"/>
      <c r="S361" s="220"/>
      <c r="T361" s="220"/>
      <c r="U361" s="220"/>
      <c r="V361" s="220"/>
      <c r="W361" s="220"/>
    </row>
    <row r="362" ht="15.75" customHeight="1" outlineLevel="1">
      <c r="A362" s="211"/>
      <c r="B362" s="212"/>
      <c r="C362" s="213"/>
      <c r="D362" s="214" t="str">
        <f>IFERROR(VLOOKUP($C362,'PORTIFÓLIO'!C:V,2,0),"")</f>
        <v/>
      </c>
      <c r="E362" s="211" t="str">
        <f>IFERROR(VLOOKUP($C362,'PORTIFÓLIO'!C:V,3,0),"")</f>
        <v/>
      </c>
      <c r="F362" s="211" t="str">
        <f>IFERROR(VLOOKUP($C362,'PORTIFÓLIO'!C:V,4,0),"")</f>
        <v/>
      </c>
      <c r="G362" s="215" t="str">
        <f>IFERROR(VLOOKUP($C362,'PORTIFÓLIO'!C:V,5,0),"")</f>
        <v/>
      </c>
      <c r="H362" s="254" t="str">
        <f t="array" ref="H362">IFERROR(INDEX('PORTIFÓLIO'!$H$4:$H$433,MATCH($C362,'PORTIFÓLIO'!$C$4:$C$433,0)),"")</f>
        <v/>
      </c>
      <c r="I362" s="256"/>
      <c r="J362" s="218">
        <f t="shared" si="41"/>
        <v>0</v>
      </c>
      <c r="K362" s="292" t="str">
        <f t="array" ref="K362">IFERROR(I362*INDEX('PORTIFÓLIO'!$S$4:$S$433,MATCH($C362,'PORTIFÓLIO'!$C$4:$C$433,0)),"")</f>
        <v/>
      </c>
      <c r="L362" s="292" t="str">
        <f t="array" ref="L362">IFERROR(J362*INDEX('PORTIFÓLIO'!$S$4:$S$433,MATCH($C362,'PORTIFÓLIO'!$C$4:$C$433,0)),"")</f>
        <v/>
      </c>
      <c r="M362" s="220"/>
      <c r="N362" s="220"/>
      <c r="O362" s="220"/>
      <c r="P362" s="220"/>
      <c r="Q362" s="220"/>
      <c r="R362" s="220"/>
      <c r="S362" s="220"/>
      <c r="T362" s="220"/>
      <c r="U362" s="220"/>
      <c r="V362" s="220"/>
      <c r="W362" s="220"/>
    </row>
    <row r="363" ht="15.75" customHeight="1" outlineLevel="1">
      <c r="A363" s="211"/>
      <c r="B363" s="212"/>
      <c r="C363" s="213"/>
      <c r="D363" s="214" t="str">
        <f>IFERROR(VLOOKUP($C363,'PORTIFÓLIO'!C:V,2,0),"")</f>
        <v/>
      </c>
      <c r="E363" s="211" t="str">
        <f>IFERROR(VLOOKUP($C363,'PORTIFÓLIO'!C:V,3,0),"")</f>
        <v/>
      </c>
      <c r="F363" s="211" t="str">
        <f>IFERROR(VLOOKUP($C363,'PORTIFÓLIO'!C:V,4,0),"")</f>
        <v/>
      </c>
      <c r="G363" s="215" t="str">
        <f>IFERROR(VLOOKUP($C363,'PORTIFÓLIO'!C:V,5,0),"")</f>
        <v/>
      </c>
      <c r="H363" s="254" t="str">
        <f t="array" ref="H363">IFERROR(INDEX('PORTIFÓLIO'!$H$4:$H$433,MATCH($C363,'PORTIFÓLIO'!$C$4:$C$433,0)),"")</f>
        <v/>
      </c>
      <c r="I363" s="256"/>
      <c r="J363" s="218">
        <f t="shared" si="41"/>
        <v>0</v>
      </c>
      <c r="K363" s="292" t="str">
        <f t="array" ref="K363">IFERROR(I363*INDEX('PORTIFÓLIO'!$S$4:$S$433,MATCH($C363,'PORTIFÓLIO'!$C$4:$C$433,0)),"")</f>
        <v/>
      </c>
      <c r="L363" s="292" t="str">
        <f t="array" ref="L363">IFERROR(J363*INDEX('PORTIFÓLIO'!$S$4:$S$433,MATCH($C363,'PORTIFÓLIO'!$C$4:$C$433,0)),"")</f>
        <v/>
      </c>
      <c r="M363" s="220"/>
      <c r="N363" s="220"/>
      <c r="O363" s="220"/>
      <c r="P363" s="220"/>
      <c r="Q363" s="220"/>
      <c r="R363" s="220"/>
      <c r="S363" s="220"/>
      <c r="T363" s="220"/>
      <c r="U363" s="220"/>
      <c r="V363" s="220"/>
      <c r="W363" s="220"/>
    </row>
    <row r="364" ht="15.75" customHeight="1" outlineLevel="1">
      <c r="A364" s="211"/>
      <c r="B364" s="212"/>
      <c r="C364" s="213"/>
      <c r="D364" s="214" t="str">
        <f>IFERROR(VLOOKUP($C364,'PORTIFÓLIO'!C:V,2,0),"")</f>
        <v/>
      </c>
      <c r="E364" s="211" t="str">
        <f>IFERROR(VLOOKUP($C364,'PORTIFÓLIO'!C:V,3,0),"")</f>
        <v/>
      </c>
      <c r="F364" s="211" t="str">
        <f>IFERROR(VLOOKUP($C364,'PORTIFÓLIO'!C:V,4,0),"")</f>
        <v/>
      </c>
      <c r="G364" s="215" t="str">
        <f>IFERROR(VLOOKUP($C364,'PORTIFÓLIO'!C:V,5,0),"")</f>
        <v/>
      </c>
      <c r="H364" s="254" t="str">
        <f t="array" ref="H364">IFERROR(INDEX('PORTIFÓLIO'!$H$4:$H$433,MATCH($C364,'PORTIFÓLIO'!$C$4:$C$433,0)),"")</f>
        <v/>
      </c>
      <c r="I364" s="256"/>
      <c r="J364" s="218">
        <f t="shared" si="41"/>
        <v>0</v>
      </c>
      <c r="K364" s="292" t="str">
        <f t="array" ref="K364">IFERROR(I364*INDEX('PORTIFÓLIO'!$S$4:$S$433,MATCH($C364,'PORTIFÓLIO'!$C$4:$C$433,0)),"")</f>
        <v/>
      </c>
      <c r="L364" s="292" t="str">
        <f t="array" ref="L364">IFERROR(J364*INDEX('PORTIFÓLIO'!$S$4:$S$433,MATCH($C364,'PORTIFÓLIO'!$C$4:$C$433,0)),"")</f>
        <v/>
      </c>
      <c r="M364" s="220"/>
      <c r="N364" s="220"/>
      <c r="O364" s="220"/>
      <c r="P364" s="220"/>
      <c r="Q364" s="220"/>
      <c r="R364" s="220"/>
      <c r="S364" s="220"/>
      <c r="T364" s="220"/>
      <c r="U364" s="220"/>
      <c r="V364" s="220"/>
      <c r="W364" s="220"/>
    </row>
    <row r="365" ht="15.75" customHeight="1" outlineLevel="1">
      <c r="A365" s="211"/>
      <c r="B365" s="212"/>
      <c r="C365" s="213"/>
      <c r="D365" s="214" t="str">
        <f>IFERROR(VLOOKUP($C365,'PORTIFÓLIO'!C:V,2,0),"")</f>
        <v/>
      </c>
      <c r="E365" s="211" t="str">
        <f>IFERROR(VLOOKUP($C365,'PORTIFÓLIO'!C:V,3,0),"")</f>
        <v/>
      </c>
      <c r="F365" s="211" t="str">
        <f>IFERROR(VLOOKUP($C365,'PORTIFÓLIO'!C:V,4,0),"")</f>
        <v/>
      </c>
      <c r="G365" s="215" t="str">
        <f>IFERROR(VLOOKUP($C365,'PORTIFÓLIO'!C:V,5,0),"")</f>
        <v/>
      </c>
      <c r="H365" s="254" t="str">
        <f t="array" ref="H365">IFERROR(INDEX('PORTIFÓLIO'!$H$4:$H$433,MATCH($C365,'PORTIFÓLIO'!$C$4:$C$433,0)),"")</f>
        <v/>
      </c>
      <c r="I365" s="256"/>
      <c r="J365" s="218">
        <f t="shared" si="41"/>
        <v>0</v>
      </c>
      <c r="K365" s="292" t="str">
        <f t="array" ref="K365">IFERROR(I365*INDEX('PORTIFÓLIO'!$S$4:$S$433,MATCH($C365,'PORTIFÓLIO'!$C$4:$C$433,0)),"")</f>
        <v/>
      </c>
      <c r="L365" s="292" t="str">
        <f t="array" ref="L365">IFERROR(J365*INDEX('PORTIFÓLIO'!$S$4:$S$433,MATCH($C365,'PORTIFÓLIO'!$C$4:$C$433,0)),"")</f>
        <v/>
      </c>
      <c r="M365" s="220"/>
      <c r="N365" s="220"/>
      <c r="O365" s="220"/>
      <c r="P365" s="220"/>
      <c r="Q365" s="220"/>
      <c r="R365" s="220"/>
      <c r="S365" s="220"/>
      <c r="T365" s="220"/>
      <c r="U365" s="220"/>
      <c r="V365" s="220"/>
      <c r="W365" s="220"/>
    </row>
    <row r="366" ht="15.75" customHeight="1" outlineLevel="1">
      <c r="A366" s="211"/>
      <c r="B366" s="212"/>
      <c r="C366" s="213"/>
      <c r="D366" s="214" t="str">
        <f>IFERROR(VLOOKUP($C366,'PORTIFÓLIO'!C:V,2,0),"")</f>
        <v/>
      </c>
      <c r="E366" s="211" t="str">
        <f>IFERROR(VLOOKUP($C366,'PORTIFÓLIO'!C:V,3,0),"")</f>
        <v/>
      </c>
      <c r="F366" s="211" t="str">
        <f>IFERROR(VLOOKUP($C366,'PORTIFÓLIO'!C:V,4,0),"")</f>
        <v/>
      </c>
      <c r="G366" s="215" t="str">
        <f>IFERROR(VLOOKUP($C366,'PORTIFÓLIO'!C:V,5,0),"")</f>
        <v/>
      </c>
      <c r="H366" s="254" t="str">
        <f t="array" ref="H366">IFERROR(INDEX('PORTIFÓLIO'!$H$4:$H$433,MATCH($C366,'PORTIFÓLIO'!$C$4:$C$433,0)),"")</f>
        <v/>
      </c>
      <c r="I366" s="256"/>
      <c r="J366" s="218">
        <f t="shared" si="41"/>
        <v>0</v>
      </c>
      <c r="K366" s="292" t="str">
        <f t="array" ref="K366">IFERROR(I366*INDEX('PORTIFÓLIO'!$S$4:$S$433,MATCH($C366,'PORTIFÓLIO'!$C$4:$C$433,0)),"")</f>
        <v/>
      </c>
      <c r="L366" s="292" t="str">
        <f t="array" ref="L366">IFERROR(J366*INDEX('PORTIFÓLIO'!$S$4:$S$433,MATCH($C366,'PORTIFÓLIO'!$C$4:$C$433,0)),"")</f>
        <v/>
      </c>
      <c r="M366" s="220"/>
      <c r="N366" s="220"/>
      <c r="O366" s="220"/>
      <c r="P366" s="220"/>
      <c r="Q366" s="220"/>
      <c r="R366" s="220"/>
      <c r="S366" s="220"/>
      <c r="T366" s="220"/>
      <c r="U366" s="220"/>
      <c r="V366" s="220"/>
      <c r="W366" s="220"/>
    </row>
    <row r="367" ht="15.75" customHeight="1" outlineLevel="1">
      <c r="A367" s="211"/>
      <c r="B367" s="212"/>
      <c r="C367" s="213"/>
      <c r="D367" s="214" t="str">
        <f>IFERROR(VLOOKUP($C367,'PORTIFÓLIO'!C:V,2,0),"")</f>
        <v/>
      </c>
      <c r="E367" s="211" t="str">
        <f>IFERROR(VLOOKUP($C367,'PORTIFÓLIO'!C:V,3,0),"")</f>
        <v/>
      </c>
      <c r="F367" s="211" t="str">
        <f>IFERROR(VLOOKUP($C367,'PORTIFÓLIO'!C:V,4,0),"")</f>
        <v/>
      </c>
      <c r="G367" s="215" t="str">
        <f>IFERROR(VLOOKUP($C367,'PORTIFÓLIO'!C:V,5,0),"")</f>
        <v/>
      </c>
      <c r="H367" s="254" t="str">
        <f t="array" ref="H367">IFERROR(INDEX('PORTIFÓLIO'!$H$4:$H$433,MATCH($C367,'PORTIFÓLIO'!$C$4:$C$433,0)),"")</f>
        <v/>
      </c>
      <c r="I367" s="255"/>
      <c r="J367" s="218">
        <f t="shared" si="41"/>
        <v>0</v>
      </c>
      <c r="K367" s="292" t="str">
        <f t="array" ref="K367">IFERROR(I367*INDEX('PORTIFÓLIO'!$S$4:$S$433,MATCH($C367,'PORTIFÓLIO'!$C$4:$C$433,0)),"")</f>
        <v/>
      </c>
      <c r="L367" s="292" t="str">
        <f t="array" ref="L367">IFERROR(J367*INDEX('PORTIFÓLIO'!$S$4:$S$433,MATCH($C367,'PORTIFÓLIO'!$C$4:$C$433,0)),"")</f>
        <v/>
      </c>
      <c r="M367" s="220"/>
      <c r="N367" s="220"/>
      <c r="O367" s="220"/>
      <c r="P367" s="220"/>
      <c r="Q367" s="220"/>
      <c r="R367" s="220"/>
      <c r="S367" s="220"/>
      <c r="T367" s="220"/>
      <c r="U367" s="220"/>
      <c r="V367" s="220"/>
      <c r="W367" s="220"/>
    </row>
    <row r="368" ht="15.75" customHeight="1" outlineLevel="1">
      <c r="A368" s="211"/>
      <c r="B368" s="212"/>
      <c r="C368" s="213"/>
      <c r="D368" s="214" t="str">
        <f>IFERROR(VLOOKUP($C368,'PORTIFÓLIO'!C:V,2,0),"")</f>
        <v/>
      </c>
      <c r="E368" s="211" t="str">
        <f>IFERROR(VLOOKUP($C368,'PORTIFÓLIO'!C:V,3,0),"")</f>
        <v/>
      </c>
      <c r="F368" s="211" t="str">
        <f>IFERROR(VLOOKUP($C368,'PORTIFÓLIO'!C:V,4,0),"")</f>
        <v/>
      </c>
      <c r="G368" s="215" t="str">
        <f>IFERROR(VLOOKUP($C368,'PORTIFÓLIO'!C:V,5,0),"")</f>
        <v/>
      </c>
      <c r="H368" s="254" t="str">
        <f t="array" ref="H368">IFERROR(INDEX('PORTIFÓLIO'!$H$4:$H$433,MATCH($C368,'PORTIFÓLIO'!$C$4:$C$433,0)),"")</f>
        <v/>
      </c>
      <c r="I368" s="256"/>
      <c r="J368" s="218">
        <f t="shared" si="41"/>
        <v>0</v>
      </c>
      <c r="K368" s="292" t="str">
        <f t="array" ref="K368">IFERROR(I368*INDEX('PORTIFÓLIO'!$S$4:$S$433,MATCH($C368,'PORTIFÓLIO'!$C$4:$C$433,0)),"")</f>
        <v/>
      </c>
      <c r="L368" s="292" t="str">
        <f t="array" ref="L368">IFERROR(J368*INDEX('PORTIFÓLIO'!$S$4:$S$433,MATCH($C368,'PORTIFÓLIO'!$C$4:$C$433,0)),"")</f>
        <v/>
      </c>
      <c r="M368" s="220"/>
      <c r="N368" s="220"/>
      <c r="O368" s="220"/>
      <c r="P368" s="220"/>
      <c r="Q368" s="220"/>
      <c r="R368" s="220"/>
      <c r="S368" s="220"/>
      <c r="T368" s="220"/>
      <c r="U368" s="220"/>
      <c r="V368" s="220"/>
      <c r="W368" s="220"/>
    </row>
    <row r="369" ht="15.75" customHeight="1" outlineLevel="1">
      <c r="A369" s="211"/>
      <c r="B369" s="212"/>
      <c r="C369" s="213"/>
      <c r="D369" s="214" t="str">
        <f>IFERROR(VLOOKUP($C369,'PORTIFÓLIO'!C:V,2,0),"")</f>
        <v/>
      </c>
      <c r="E369" s="211" t="str">
        <f>IFERROR(VLOOKUP($C369,'PORTIFÓLIO'!C:V,3,0),"")</f>
        <v/>
      </c>
      <c r="F369" s="211" t="str">
        <f>IFERROR(VLOOKUP($C369,'PORTIFÓLIO'!C:V,4,0),"")</f>
        <v/>
      </c>
      <c r="G369" s="215" t="str">
        <f>IFERROR(VLOOKUP($C369,'PORTIFÓLIO'!C:V,5,0),"")</f>
        <v/>
      </c>
      <c r="H369" s="254" t="str">
        <f t="array" ref="H369">IFERROR(INDEX('PORTIFÓLIO'!$H$4:$H$433,MATCH($C369,'PORTIFÓLIO'!$C$4:$C$433,0)),"")</f>
        <v/>
      </c>
      <c r="I369" s="256"/>
      <c r="J369" s="218">
        <f t="shared" si="41"/>
        <v>0</v>
      </c>
      <c r="K369" s="292" t="str">
        <f t="array" ref="K369">IFERROR(I369*INDEX('PORTIFÓLIO'!$S$4:$S$433,MATCH($C369,'PORTIFÓLIO'!$C$4:$C$433,0)),"")</f>
        <v/>
      </c>
      <c r="L369" s="292" t="str">
        <f t="array" ref="L369">IFERROR(J369*INDEX('PORTIFÓLIO'!$S$4:$S$433,MATCH($C369,'PORTIFÓLIO'!$C$4:$C$433,0)),"")</f>
        <v/>
      </c>
      <c r="M369" s="220"/>
      <c r="N369" s="220"/>
      <c r="O369" s="220"/>
      <c r="P369" s="220"/>
      <c r="Q369" s="220"/>
      <c r="R369" s="220"/>
      <c r="S369" s="220"/>
      <c r="T369" s="220"/>
      <c r="U369" s="220"/>
      <c r="V369" s="220"/>
      <c r="W369" s="220"/>
    </row>
    <row r="370" ht="15.75" customHeight="1" outlineLevel="1">
      <c r="A370" s="211"/>
      <c r="B370" s="212"/>
      <c r="C370" s="213"/>
      <c r="D370" s="214" t="str">
        <f>IFERROR(VLOOKUP($C370,'PORTIFÓLIO'!C:V,2,0),"")</f>
        <v/>
      </c>
      <c r="E370" s="211" t="str">
        <f>IFERROR(VLOOKUP($C370,'PORTIFÓLIO'!C:V,3,0),"")</f>
        <v/>
      </c>
      <c r="F370" s="211" t="str">
        <f>IFERROR(VLOOKUP($C370,'PORTIFÓLIO'!C:V,4,0),"")</f>
        <v/>
      </c>
      <c r="G370" s="215" t="str">
        <f>IFERROR(VLOOKUP($C370,'PORTIFÓLIO'!C:V,5,0),"")</f>
        <v/>
      </c>
      <c r="H370" s="254" t="str">
        <f t="array" ref="H370">IFERROR(INDEX('PORTIFÓLIO'!$H$4:$H$433,MATCH($C370,'PORTIFÓLIO'!$C$4:$C$433,0)),"")</f>
        <v/>
      </c>
      <c r="I370" s="256"/>
      <c r="J370" s="218">
        <f t="shared" si="41"/>
        <v>0</v>
      </c>
      <c r="K370" s="292" t="str">
        <f t="array" ref="K370">IFERROR(I370*INDEX('PORTIFÓLIO'!$S$4:$S$433,MATCH($C370,'PORTIFÓLIO'!$C$4:$C$433,0)),"")</f>
        <v/>
      </c>
      <c r="L370" s="292" t="str">
        <f t="array" ref="L370">IFERROR(J370*INDEX('PORTIFÓLIO'!$S$4:$S$433,MATCH($C370,'PORTIFÓLIO'!$C$4:$C$433,0)),"")</f>
        <v/>
      </c>
      <c r="M370" s="220"/>
      <c r="N370" s="220"/>
      <c r="O370" s="220"/>
      <c r="P370" s="220"/>
      <c r="Q370" s="220"/>
      <c r="R370" s="220"/>
      <c r="S370" s="220"/>
      <c r="T370" s="220"/>
      <c r="U370" s="220"/>
      <c r="V370" s="220"/>
      <c r="W370" s="220"/>
    </row>
    <row r="371" ht="15.75" customHeight="1" outlineLevel="1">
      <c r="A371" s="211"/>
      <c r="B371" s="212"/>
      <c r="C371" s="213"/>
      <c r="D371" s="214" t="str">
        <f>IFERROR(VLOOKUP($C371,'PORTIFÓLIO'!C:V,2,0),"")</f>
        <v/>
      </c>
      <c r="E371" s="211" t="str">
        <f>IFERROR(VLOOKUP($C371,'PORTIFÓLIO'!C:V,3,0),"")</f>
        <v/>
      </c>
      <c r="F371" s="211" t="str">
        <f>IFERROR(VLOOKUP($C371,'PORTIFÓLIO'!C:V,4,0),"")</f>
        <v/>
      </c>
      <c r="G371" s="215" t="str">
        <f>IFERROR(VLOOKUP($C371,'PORTIFÓLIO'!C:V,5,0),"")</f>
        <v/>
      </c>
      <c r="H371" s="254" t="str">
        <f t="array" ref="H371">IFERROR(INDEX('PORTIFÓLIO'!$H$4:$H$433,MATCH($C371,'PORTIFÓLIO'!$C$4:$C$433,0)),"")</f>
        <v/>
      </c>
      <c r="I371" s="256"/>
      <c r="J371" s="218">
        <f t="shared" si="41"/>
        <v>0</v>
      </c>
      <c r="K371" s="292" t="str">
        <f t="array" ref="K371">IFERROR(I371*INDEX('PORTIFÓLIO'!$S$4:$S$433,MATCH($C371,'PORTIFÓLIO'!$C$4:$C$433,0)),"")</f>
        <v/>
      </c>
      <c r="L371" s="292" t="str">
        <f t="array" ref="L371">IFERROR(J371*INDEX('PORTIFÓLIO'!$S$4:$S$433,MATCH($C371,'PORTIFÓLIO'!$C$4:$C$433,0)),"")</f>
        <v/>
      </c>
      <c r="M371" s="220"/>
      <c r="N371" s="220"/>
      <c r="O371" s="220"/>
      <c r="P371" s="220"/>
      <c r="Q371" s="220"/>
      <c r="R371" s="220"/>
      <c r="S371" s="220"/>
      <c r="T371" s="220"/>
      <c r="U371" s="220"/>
      <c r="V371" s="220"/>
      <c r="W371" s="220"/>
    </row>
    <row r="372" ht="15.75" customHeight="1" outlineLevel="1">
      <c r="A372" s="211"/>
      <c r="B372" s="212"/>
      <c r="C372" s="213"/>
      <c r="D372" s="214" t="str">
        <f>IFERROR(VLOOKUP($C372,'PORTIFÓLIO'!C:V,2,0),"")</f>
        <v/>
      </c>
      <c r="E372" s="211" t="str">
        <f>IFERROR(VLOOKUP($C372,'PORTIFÓLIO'!C:V,3,0),"")</f>
        <v/>
      </c>
      <c r="F372" s="211" t="str">
        <f>IFERROR(VLOOKUP($C372,'PORTIFÓLIO'!C:V,4,0),"")</f>
        <v/>
      </c>
      <c r="G372" s="215" t="str">
        <f>IFERROR(VLOOKUP($C372,'PORTIFÓLIO'!C:V,5,0),"")</f>
        <v/>
      </c>
      <c r="H372" s="254" t="str">
        <f t="array" ref="H372">IFERROR(INDEX('PORTIFÓLIO'!$H$4:$H$433,MATCH($C372,'PORTIFÓLIO'!$C$4:$C$433,0)),"")</f>
        <v/>
      </c>
      <c r="I372" s="256"/>
      <c r="J372" s="218">
        <f t="shared" si="41"/>
        <v>0</v>
      </c>
      <c r="K372" s="292" t="str">
        <f t="array" ref="K372">IFERROR(I372*INDEX('PORTIFÓLIO'!$S$4:$S$433,MATCH($C372,'PORTIFÓLIO'!$C$4:$C$433,0)),"")</f>
        <v/>
      </c>
      <c r="L372" s="292" t="str">
        <f t="array" ref="L372">IFERROR(J372*INDEX('PORTIFÓLIO'!$S$4:$S$433,MATCH($C372,'PORTIFÓLIO'!$C$4:$C$433,0)),"")</f>
        <v/>
      </c>
      <c r="M372" s="220"/>
      <c r="N372" s="220"/>
      <c r="O372" s="220"/>
      <c r="P372" s="220"/>
      <c r="Q372" s="220"/>
      <c r="R372" s="220"/>
      <c r="S372" s="220"/>
      <c r="T372" s="220"/>
      <c r="U372" s="220"/>
      <c r="V372" s="220"/>
      <c r="W372" s="220"/>
    </row>
    <row r="373" ht="15.75" customHeight="1" outlineLevel="1">
      <c r="A373" s="211"/>
      <c r="B373" s="212"/>
      <c r="C373" s="213"/>
      <c r="D373" s="214" t="str">
        <f>IFERROR(VLOOKUP($C373,'PORTIFÓLIO'!C:V,2,0),"")</f>
        <v/>
      </c>
      <c r="E373" s="211" t="str">
        <f>IFERROR(VLOOKUP($C373,'PORTIFÓLIO'!C:V,3,0),"")</f>
        <v/>
      </c>
      <c r="F373" s="211" t="str">
        <f>IFERROR(VLOOKUP($C373,'PORTIFÓLIO'!C:V,4,0),"")</f>
        <v/>
      </c>
      <c r="G373" s="215" t="str">
        <f>IFERROR(VLOOKUP($C373,'PORTIFÓLIO'!C:V,5,0),"")</f>
        <v/>
      </c>
      <c r="H373" s="254" t="str">
        <f t="array" ref="H373">IFERROR(INDEX('PORTIFÓLIO'!$H$4:$H$433,MATCH($C373,'PORTIFÓLIO'!$C$4:$C$433,0)),"")</f>
        <v/>
      </c>
      <c r="I373" s="256"/>
      <c r="J373" s="218">
        <f t="shared" si="41"/>
        <v>0</v>
      </c>
      <c r="K373" s="292" t="str">
        <f t="array" ref="K373">IFERROR(I373*INDEX('PORTIFÓLIO'!$S$4:$S$433,MATCH($C373,'PORTIFÓLIO'!$C$4:$C$433,0)),"")</f>
        <v/>
      </c>
      <c r="L373" s="292" t="str">
        <f t="array" ref="L373">IFERROR(J373*INDEX('PORTIFÓLIO'!$S$4:$S$433,MATCH($C373,'PORTIFÓLIO'!$C$4:$C$433,0)),"")</f>
        <v/>
      </c>
      <c r="M373" s="220"/>
      <c r="N373" s="220"/>
      <c r="O373" s="220"/>
      <c r="P373" s="220"/>
      <c r="Q373" s="220"/>
      <c r="R373" s="220"/>
      <c r="S373" s="220"/>
      <c r="T373" s="220"/>
      <c r="U373" s="220"/>
      <c r="V373" s="220"/>
      <c r="W373" s="220"/>
    </row>
    <row r="374" ht="15.75" customHeight="1" outlineLevel="1">
      <c r="A374" s="211"/>
      <c r="B374" s="227"/>
      <c r="C374" s="211"/>
      <c r="D374" s="214" t="str">
        <f>IFERROR(VLOOKUP($C374,'PORTIFÓLIO'!C:V,2,0),"")</f>
        <v/>
      </c>
      <c r="E374" s="211" t="str">
        <f>IFERROR(VLOOKUP($C374,'PORTIFÓLIO'!C:V,3,0),"")</f>
        <v/>
      </c>
      <c r="F374" s="211" t="str">
        <f>IFERROR(VLOOKUP($C374,'PORTIFÓLIO'!C:V,4,0),"")</f>
        <v/>
      </c>
      <c r="G374" s="215" t="str">
        <f>IFERROR(VLOOKUP($C374,'PORTIFÓLIO'!C:V,5,0),"")</f>
        <v/>
      </c>
      <c r="H374" s="254" t="str">
        <f t="array" ref="H374">IFERROR(INDEX('PORTIFÓLIO'!$H$4:$H$433,MATCH($C374,'PORTIFÓLIO'!$C$4:$C$433,0)),"")</f>
        <v/>
      </c>
      <c r="I374" s="256"/>
      <c r="J374" s="218"/>
      <c r="K374" s="292" t="str">
        <f t="array" ref="K374">IFERROR(I374*INDEX('PORTIFÓLIO'!$S$4:$S$433,MATCH($C374,'PORTIFÓLIO'!$C$4:$C$433,0)),"")</f>
        <v/>
      </c>
      <c r="L374" s="292" t="str">
        <f t="array" ref="L374">IFERROR(J374*INDEX('PORTIFÓLIO'!$S$4:$S$433,MATCH($C374,'PORTIFÓLIO'!$C$4:$C$433,0)),"")</f>
        <v/>
      </c>
      <c r="M374" s="220"/>
      <c r="N374" s="220"/>
      <c r="O374" s="220"/>
      <c r="P374" s="220"/>
      <c r="Q374" s="220"/>
      <c r="R374" s="220"/>
      <c r="S374" s="220"/>
      <c r="T374" s="220"/>
      <c r="U374" s="220"/>
      <c r="V374" s="220"/>
      <c r="W374" s="220"/>
    </row>
    <row r="375" ht="15.75" customHeight="1">
      <c r="A375" s="229" t="s">
        <v>1192</v>
      </c>
      <c r="B375" s="230"/>
      <c r="C375" s="231"/>
      <c r="D375" s="232"/>
      <c r="E375" s="231"/>
      <c r="F375" s="231"/>
      <c r="G375" s="233"/>
      <c r="H375" s="233"/>
      <c r="I375" s="258"/>
      <c r="J375" s="236"/>
      <c r="K375" s="237">
        <f t="shared" ref="K375:L375" si="42">SUBTOTAL(9,K376:K389)</f>
        <v>0</v>
      </c>
      <c r="L375" s="237">
        <f t="shared" si="42"/>
        <v>0</v>
      </c>
      <c r="M375" s="220"/>
      <c r="N375" s="220"/>
      <c r="O375" s="220"/>
      <c r="P375" s="220"/>
      <c r="Q375" s="220"/>
      <c r="R375" s="220"/>
      <c r="S375" s="220"/>
      <c r="T375" s="220"/>
      <c r="U375" s="220"/>
      <c r="V375" s="220"/>
      <c r="W375" s="220"/>
    </row>
    <row r="376" ht="15.75" customHeight="1" outlineLevel="1">
      <c r="A376" s="213"/>
      <c r="B376" s="212"/>
      <c r="C376" s="213"/>
      <c r="D376" s="214" t="str">
        <f>IFERROR(VLOOKUP($C376,'PORTIFÓLIO'!C:V,2,0),"")</f>
        <v/>
      </c>
      <c r="E376" s="211" t="str">
        <f>IFERROR(VLOOKUP($C376,'PORTIFÓLIO'!C:V,3,0),"")</f>
        <v/>
      </c>
      <c r="F376" s="211" t="str">
        <f>IFERROR(VLOOKUP($C376,'PORTIFÓLIO'!C:V,4,0),"")</f>
        <v/>
      </c>
      <c r="G376" s="215" t="str">
        <f>IFERROR(VLOOKUP($C376,'PORTIFÓLIO'!C:V,5,0),"")</f>
        <v/>
      </c>
      <c r="H376" s="254" t="str">
        <f t="array" ref="H376">IFERROR(INDEX('PORTIFÓLIO'!$H$4:$H$433,MATCH($C376,'PORTIFÓLIO'!$C$4:$C$433,0)),"")</f>
        <v/>
      </c>
      <c r="I376" s="255"/>
      <c r="J376" s="218">
        <f t="shared" ref="J376:J390" si="43">I376*$B$2</f>
        <v>0</v>
      </c>
      <c r="K376" s="292" t="str">
        <f t="array" ref="K376">IFERROR(I376*INDEX('PORTIFÓLIO'!$S$4:$S$433,MATCH($C376,'PORTIFÓLIO'!$C$4:$C$433,0)),"")</f>
        <v/>
      </c>
      <c r="L376" s="292" t="str">
        <f t="array" ref="L376">IFERROR(J376*INDEX('PORTIFÓLIO'!$S$4:$S$433,MATCH($C376,'PORTIFÓLIO'!$C$4:$C$433,0)),"")</f>
        <v/>
      </c>
      <c r="M376" s="220"/>
      <c r="N376" s="220"/>
      <c r="O376" s="220"/>
      <c r="P376" s="220"/>
      <c r="Q376" s="220"/>
      <c r="R376" s="220"/>
      <c r="S376" s="220"/>
      <c r="T376" s="220"/>
      <c r="U376" s="220"/>
      <c r="V376" s="220"/>
      <c r="W376" s="220"/>
    </row>
    <row r="377" ht="15.75" customHeight="1" outlineLevel="1">
      <c r="A377" s="211"/>
      <c r="B377" s="212"/>
      <c r="C377" s="213"/>
      <c r="D377" s="214" t="str">
        <f>IFERROR(VLOOKUP($C377,'PORTIFÓLIO'!C:V,2,0),"")</f>
        <v/>
      </c>
      <c r="E377" s="211" t="str">
        <f>IFERROR(VLOOKUP($C377,'PORTIFÓLIO'!C:V,3,0),"")</f>
        <v/>
      </c>
      <c r="F377" s="211" t="str">
        <f>IFERROR(VLOOKUP($C377,'PORTIFÓLIO'!C:V,4,0),"")</f>
        <v/>
      </c>
      <c r="G377" s="215" t="str">
        <f>IFERROR(VLOOKUP($C377,'PORTIFÓLIO'!C:V,5,0),"")</f>
        <v/>
      </c>
      <c r="H377" s="254" t="str">
        <f t="array" ref="H377">IFERROR(INDEX('PORTIFÓLIO'!$H$4:$H$433,MATCH($C377,'PORTIFÓLIO'!$C$4:$C$433,0)),"")</f>
        <v/>
      </c>
      <c r="I377" s="256"/>
      <c r="J377" s="218">
        <f t="shared" si="43"/>
        <v>0</v>
      </c>
      <c r="K377" s="292" t="str">
        <f t="array" ref="K377">IFERROR(I377*INDEX('PORTIFÓLIO'!$S$4:$S$433,MATCH($C377,'PORTIFÓLIO'!$C$4:$C$433,0)),"")</f>
        <v/>
      </c>
      <c r="L377" s="292" t="str">
        <f t="array" ref="L377">IFERROR(J377*INDEX('PORTIFÓLIO'!$S$4:$S$433,MATCH($C377,'PORTIFÓLIO'!$C$4:$C$433,0)),"")</f>
        <v/>
      </c>
      <c r="M377" s="220"/>
      <c r="N377" s="220"/>
      <c r="O377" s="220"/>
      <c r="P377" s="220"/>
      <c r="Q377" s="220"/>
      <c r="R377" s="220"/>
      <c r="S377" s="220"/>
      <c r="T377" s="220"/>
      <c r="U377" s="220"/>
      <c r="V377" s="220"/>
      <c r="W377" s="220"/>
    </row>
    <row r="378" ht="15.75" customHeight="1" outlineLevel="1">
      <c r="A378" s="211"/>
      <c r="B378" s="212"/>
      <c r="C378" s="213"/>
      <c r="D378" s="214" t="str">
        <f>IFERROR(VLOOKUP($C378,'PORTIFÓLIO'!C:V,2,0),"")</f>
        <v/>
      </c>
      <c r="E378" s="211" t="str">
        <f>IFERROR(VLOOKUP($C378,'PORTIFÓLIO'!C:V,3,0),"")</f>
        <v/>
      </c>
      <c r="F378" s="211" t="str">
        <f>IFERROR(VLOOKUP($C378,'PORTIFÓLIO'!C:V,4,0),"")</f>
        <v/>
      </c>
      <c r="G378" s="215" t="str">
        <f>IFERROR(VLOOKUP($C378,'PORTIFÓLIO'!C:V,5,0),"")</f>
        <v/>
      </c>
      <c r="H378" s="254" t="str">
        <f t="array" ref="H378">IFERROR(INDEX('PORTIFÓLIO'!$H$4:$H$433,MATCH($C378,'PORTIFÓLIO'!$C$4:$C$433,0)),"")</f>
        <v/>
      </c>
      <c r="I378" s="256"/>
      <c r="J378" s="218">
        <f t="shared" si="43"/>
        <v>0</v>
      </c>
      <c r="K378" s="292" t="str">
        <f t="array" ref="K378">IFERROR(I378*INDEX('PORTIFÓLIO'!$S$4:$S$433,MATCH($C378,'PORTIFÓLIO'!$C$4:$C$433,0)),"")</f>
        <v/>
      </c>
      <c r="L378" s="292" t="str">
        <f t="array" ref="L378">IFERROR(J378*INDEX('PORTIFÓLIO'!$S$4:$S$433,MATCH($C378,'PORTIFÓLIO'!$C$4:$C$433,0)),"")</f>
        <v/>
      </c>
      <c r="M378" s="220"/>
      <c r="N378" s="220"/>
      <c r="O378" s="220"/>
      <c r="P378" s="220"/>
      <c r="Q378" s="220"/>
      <c r="R378" s="220"/>
      <c r="S378" s="220"/>
      <c r="T378" s="220"/>
      <c r="U378" s="220"/>
      <c r="V378" s="220"/>
      <c r="W378" s="220"/>
    </row>
    <row r="379" ht="15.75" customHeight="1" outlineLevel="1">
      <c r="A379" s="211"/>
      <c r="B379" s="212"/>
      <c r="C379" s="213"/>
      <c r="D379" s="214" t="str">
        <f>IFERROR(VLOOKUP($C379,'PORTIFÓLIO'!C:V,2,0),"")</f>
        <v/>
      </c>
      <c r="E379" s="211" t="str">
        <f>IFERROR(VLOOKUP($C379,'PORTIFÓLIO'!C:V,3,0),"")</f>
        <v/>
      </c>
      <c r="F379" s="211" t="str">
        <f>IFERROR(VLOOKUP($C379,'PORTIFÓLIO'!C:V,4,0),"")</f>
        <v/>
      </c>
      <c r="G379" s="215" t="str">
        <f>IFERROR(VLOOKUP($C379,'PORTIFÓLIO'!C:V,5,0),"")</f>
        <v/>
      </c>
      <c r="H379" s="254" t="str">
        <f t="array" ref="H379">IFERROR(INDEX('PORTIFÓLIO'!$H$4:$H$433,MATCH($C379,'PORTIFÓLIO'!$C$4:$C$433,0)),"")</f>
        <v/>
      </c>
      <c r="I379" s="256"/>
      <c r="J379" s="218">
        <f t="shared" si="43"/>
        <v>0</v>
      </c>
      <c r="K379" s="292" t="str">
        <f t="array" ref="K379">IFERROR(I379*INDEX('PORTIFÓLIO'!$S$4:$S$433,MATCH($C379,'PORTIFÓLIO'!$C$4:$C$433,0)),"")</f>
        <v/>
      </c>
      <c r="L379" s="292" t="str">
        <f t="array" ref="L379">IFERROR(J379*INDEX('PORTIFÓLIO'!$S$4:$S$433,MATCH($C379,'PORTIFÓLIO'!$C$4:$C$433,0)),"")</f>
        <v/>
      </c>
      <c r="M379" s="220"/>
      <c r="N379" s="220"/>
      <c r="O379" s="220"/>
      <c r="P379" s="220"/>
      <c r="Q379" s="220"/>
      <c r="R379" s="220"/>
      <c r="S379" s="220"/>
      <c r="T379" s="220"/>
      <c r="U379" s="220"/>
      <c r="V379" s="220"/>
      <c r="W379" s="220"/>
    </row>
    <row r="380" ht="15.75" customHeight="1" outlineLevel="1">
      <c r="A380" s="211"/>
      <c r="B380" s="212"/>
      <c r="C380" s="213"/>
      <c r="D380" s="214" t="str">
        <f>IFERROR(VLOOKUP($C380,'PORTIFÓLIO'!C:V,2,0),"")</f>
        <v/>
      </c>
      <c r="E380" s="211" t="str">
        <f>IFERROR(VLOOKUP($C380,'PORTIFÓLIO'!C:V,3,0),"")</f>
        <v/>
      </c>
      <c r="F380" s="211" t="str">
        <f>IFERROR(VLOOKUP($C380,'PORTIFÓLIO'!C:V,4,0),"")</f>
        <v/>
      </c>
      <c r="G380" s="215" t="str">
        <f>IFERROR(VLOOKUP($C380,'PORTIFÓLIO'!C:V,5,0),"")</f>
        <v/>
      </c>
      <c r="H380" s="254" t="str">
        <f t="array" ref="H380">IFERROR(INDEX('PORTIFÓLIO'!$H$4:$H$433,MATCH($C380,'PORTIFÓLIO'!$C$4:$C$433,0)),"")</f>
        <v/>
      </c>
      <c r="I380" s="256"/>
      <c r="J380" s="218">
        <f t="shared" si="43"/>
        <v>0</v>
      </c>
      <c r="K380" s="292" t="str">
        <f t="array" ref="K380">IFERROR(I380*INDEX('PORTIFÓLIO'!$S$4:$S$433,MATCH($C380,'PORTIFÓLIO'!$C$4:$C$433,0)),"")</f>
        <v/>
      </c>
      <c r="L380" s="292" t="str">
        <f t="array" ref="L380">IFERROR(J380*INDEX('PORTIFÓLIO'!$S$4:$S$433,MATCH($C380,'PORTIFÓLIO'!$C$4:$C$433,0)),"")</f>
        <v/>
      </c>
      <c r="M380" s="220"/>
      <c r="N380" s="220"/>
      <c r="O380" s="220"/>
      <c r="P380" s="220"/>
      <c r="Q380" s="220"/>
      <c r="R380" s="220"/>
      <c r="S380" s="220"/>
      <c r="T380" s="220"/>
      <c r="U380" s="220"/>
      <c r="V380" s="220"/>
      <c r="W380" s="220"/>
    </row>
    <row r="381" ht="15.75" customHeight="1" outlineLevel="1">
      <c r="A381" s="211"/>
      <c r="B381" s="212"/>
      <c r="C381" s="213"/>
      <c r="D381" s="214" t="str">
        <f>IFERROR(VLOOKUP($C381,'PORTIFÓLIO'!C:V,2,0),"")</f>
        <v/>
      </c>
      <c r="E381" s="211" t="str">
        <f>IFERROR(VLOOKUP($C381,'PORTIFÓLIO'!C:V,3,0),"")</f>
        <v/>
      </c>
      <c r="F381" s="211" t="str">
        <f>IFERROR(VLOOKUP($C381,'PORTIFÓLIO'!C:V,4,0),"")</f>
        <v/>
      </c>
      <c r="G381" s="215" t="str">
        <f>IFERROR(VLOOKUP($C381,'PORTIFÓLIO'!C:V,5,0),"")</f>
        <v/>
      </c>
      <c r="H381" s="254" t="str">
        <f t="array" ref="H381">IFERROR(INDEX('PORTIFÓLIO'!$H$4:$H$433,MATCH($C381,'PORTIFÓLIO'!$C$4:$C$433,0)),"")</f>
        <v/>
      </c>
      <c r="I381" s="256"/>
      <c r="J381" s="218">
        <f t="shared" si="43"/>
        <v>0</v>
      </c>
      <c r="K381" s="292" t="str">
        <f t="array" ref="K381">IFERROR(I381*INDEX('PORTIFÓLIO'!$S$4:$S$433,MATCH($C381,'PORTIFÓLIO'!$C$4:$C$433,0)),"")</f>
        <v/>
      </c>
      <c r="L381" s="292" t="str">
        <f t="array" ref="L381">IFERROR(J381*INDEX('PORTIFÓLIO'!$S$4:$S$433,MATCH($C381,'PORTIFÓLIO'!$C$4:$C$433,0)),"")</f>
        <v/>
      </c>
      <c r="M381" s="220"/>
      <c r="N381" s="220"/>
      <c r="O381" s="220"/>
      <c r="P381" s="220"/>
      <c r="Q381" s="220"/>
      <c r="R381" s="220"/>
      <c r="S381" s="220"/>
      <c r="T381" s="220"/>
      <c r="U381" s="220"/>
      <c r="V381" s="220"/>
      <c r="W381" s="220"/>
    </row>
    <row r="382" ht="15.75" customHeight="1" outlineLevel="1">
      <c r="A382" s="211"/>
      <c r="B382" s="212"/>
      <c r="C382" s="213"/>
      <c r="D382" s="214" t="str">
        <f>IFERROR(VLOOKUP($C382,'PORTIFÓLIO'!C:V,2,0),"")</f>
        <v/>
      </c>
      <c r="E382" s="211" t="str">
        <f>IFERROR(VLOOKUP($C382,'PORTIFÓLIO'!C:V,3,0),"")</f>
        <v/>
      </c>
      <c r="F382" s="211" t="str">
        <f>IFERROR(VLOOKUP($C382,'PORTIFÓLIO'!C:V,4,0),"")</f>
        <v/>
      </c>
      <c r="G382" s="215" t="str">
        <f>IFERROR(VLOOKUP($C382,'PORTIFÓLIO'!C:V,5,0),"")</f>
        <v/>
      </c>
      <c r="H382" s="254" t="str">
        <f t="array" ref="H382">IFERROR(INDEX('PORTIFÓLIO'!$H$4:$H$433,MATCH($C382,'PORTIFÓLIO'!$C$4:$C$433,0)),"")</f>
        <v/>
      </c>
      <c r="I382" s="256"/>
      <c r="J382" s="218">
        <f t="shared" si="43"/>
        <v>0</v>
      </c>
      <c r="K382" s="292" t="str">
        <f t="array" ref="K382">IFERROR(I382*INDEX('PORTIFÓLIO'!$S$4:$S$433,MATCH($C382,'PORTIFÓLIO'!$C$4:$C$433,0)),"")</f>
        <v/>
      </c>
      <c r="L382" s="292" t="str">
        <f t="array" ref="L382">IFERROR(J382*INDEX('PORTIFÓLIO'!$S$4:$S$433,MATCH($C382,'PORTIFÓLIO'!$C$4:$C$433,0)),"")</f>
        <v/>
      </c>
      <c r="M382" s="220"/>
      <c r="N382" s="220"/>
      <c r="O382" s="220"/>
      <c r="P382" s="220"/>
      <c r="Q382" s="220"/>
      <c r="R382" s="220"/>
      <c r="S382" s="220"/>
      <c r="T382" s="220"/>
      <c r="U382" s="220"/>
      <c r="V382" s="220"/>
      <c r="W382" s="220"/>
    </row>
    <row r="383" ht="15.75" customHeight="1" outlineLevel="1">
      <c r="A383" s="211"/>
      <c r="B383" s="212"/>
      <c r="C383" s="213"/>
      <c r="D383" s="214" t="str">
        <f>IFERROR(VLOOKUP($C383,'PORTIFÓLIO'!C:V,2,0),"")</f>
        <v/>
      </c>
      <c r="E383" s="211" t="str">
        <f>IFERROR(VLOOKUP($C383,'PORTIFÓLIO'!C:V,3,0),"")</f>
        <v/>
      </c>
      <c r="F383" s="211" t="str">
        <f>IFERROR(VLOOKUP($C383,'PORTIFÓLIO'!C:V,4,0),"")</f>
        <v/>
      </c>
      <c r="G383" s="215" t="str">
        <f>IFERROR(VLOOKUP($C383,'PORTIFÓLIO'!C:V,5,0),"")</f>
        <v/>
      </c>
      <c r="H383" s="254" t="str">
        <f t="array" ref="H383">IFERROR(INDEX('PORTIFÓLIO'!$H$4:$H$433,MATCH($C383,'PORTIFÓLIO'!$C$4:$C$433,0)),"")</f>
        <v/>
      </c>
      <c r="I383" s="256"/>
      <c r="J383" s="218">
        <f t="shared" si="43"/>
        <v>0</v>
      </c>
      <c r="K383" s="292" t="str">
        <f t="array" ref="K383">IFERROR(I383*INDEX('PORTIFÓLIO'!$S$4:$S$433,MATCH($C383,'PORTIFÓLIO'!$C$4:$C$433,0)),"")</f>
        <v/>
      </c>
      <c r="L383" s="292" t="str">
        <f t="array" ref="L383">IFERROR(J383*INDEX('PORTIFÓLIO'!$S$4:$S$433,MATCH($C383,'PORTIFÓLIO'!$C$4:$C$433,0)),"")</f>
        <v/>
      </c>
      <c r="M383" s="220"/>
      <c r="N383" s="220"/>
      <c r="O383" s="220"/>
      <c r="P383" s="220"/>
      <c r="Q383" s="220"/>
      <c r="R383" s="220"/>
      <c r="S383" s="220"/>
      <c r="T383" s="220"/>
      <c r="U383" s="220"/>
      <c r="V383" s="220"/>
      <c r="W383" s="220"/>
    </row>
    <row r="384" ht="15.75" customHeight="1" outlineLevel="1">
      <c r="A384" s="211"/>
      <c r="B384" s="212"/>
      <c r="C384" s="213"/>
      <c r="D384" s="214" t="str">
        <f>IFERROR(VLOOKUP($C384,'PORTIFÓLIO'!C:V,2,0),"")</f>
        <v/>
      </c>
      <c r="E384" s="211" t="str">
        <f>IFERROR(VLOOKUP($C384,'PORTIFÓLIO'!C:V,3,0),"")</f>
        <v/>
      </c>
      <c r="F384" s="211" t="str">
        <f>IFERROR(VLOOKUP($C384,'PORTIFÓLIO'!C:V,4,0),"")</f>
        <v/>
      </c>
      <c r="G384" s="215" t="str">
        <f>IFERROR(VLOOKUP($C384,'PORTIFÓLIO'!C:V,5,0),"")</f>
        <v/>
      </c>
      <c r="H384" s="254" t="str">
        <f t="array" ref="H384">IFERROR(INDEX('PORTIFÓLIO'!$H$4:$H$433,MATCH($C384,'PORTIFÓLIO'!$C$4:$C$433,0)),"")</f>
        <v/>
      </c>
      <c r="I384" s="255"/>
      <c r="J384" s="218">
        <f t="shared" si="43"/>
        <v>0</v>
      </c>
      <c r="K384" s="292" t="str">
        <f t="array" ref="K384">IFERROR(I384*INDEX('PORTIFÓLIO'!$S$4:$S$433,MATCH($C384,'PORTIFÓLIO'!$C$4:$C$433,0)),"")</f>
        <v/>
      </c>
      <c r="L384" s="292" t="str">
        <f t="array" ref="L384">IFERROR(J384*INDEX('PORTIFÓLIO'!$S$4:$S$433,MATCH($C384,'PORTIFÓLIO'!$C$4:$C$433,0)),"")</f>
        <v/>
      </c>
      <c r="M384" s="220"/>
      <c r="N384" s="220"/>
      <c r="O384" s="220"/>
      <c r="P384" s="220"/>
      <c r="Q384" s="220"/>
      <c r="R384" s="220"/>
      <c r="S384" s="220"/>
      <c r="T384" s="220"/>
      <c r="U384" s="220"/>
      <c r="V384" s="220"/>
      <c r="W384" s="220"/>
    </row>
    <row r="385" ht="15.75" customHeight="1" outlineLevel="1">
      <c r="A385" s="211"/>
      <c r="B385" s="212"/>
      <c r="C385" s="213"/>
      <c r="D385" s="214" t="str">
        <f>IFERROR(VLOOKUP($C385,'PORTIFÓLIO'!C:V,2,0),"")</f>
        <v/>
      </c>
      <c r="E385" s="211" t="str">
        <f>IFERROR(VLOOKUP($C385,'PORTIFÓLIO'!C:V,3,0),"")</f>
        <v/>
      </c>
      <c r="F385" s="211" t="str">
        <f>IFERROR(VLOOKUP($C385,'PORTIFÓLIO'!C:V,4,0),"")</f>
        <v/>
      </c>
      <c r="G385" s="215" t="str">
        <f>IFERROR(VLOOKUP($C385,'PORTIFÓLIO'!C:V,5,0),"")</f>
        <v/>
      </c>
      <c r="H385" s="254" t="str">
        <f t="array" ref="H385">IFERROR(INDEX('PORTIFÓLIO'!$H$4:$H$433,MATCH($C385,'PORTIFÓLIO'!$C$4:$C$433,0)),"")</f>
        <v/>
      </c>
      <c r="I385" s="256"/>
      <c r="J385" s="218">
        <f t="shared" si="43"/>
        <v>0</v>
      </c>
      <c r="K385" s="292" t="str">
        <f t="array" ref="K385">IFERROR(I385*INDEX('PORTIFÓLIO'!$S$4:$S$433,MATCH($C385,'PORTIFÓLIO'!$C$4:$C$433,0)),"")</f>
        <v/>
      </c>
      <c r="L385" s="292" t="str">
        <f t="array" ref="L385">IFERROR(J385*INDEX('PORTIFÓLIO'!$S$4:$S$433,MATCH($C385,'PORTIFÓLIO'!$C$4:$C$433,0)),"")</f>
        <v/>
      </c>
      <c r="M385" s="220"/>
      <c r="N385" s="220"/>
      <c r="O385" s="220"/>
      <c r="P385" s="220"/>
      <c r="Q385" s="220"/>
      <c r="R385" s="220"/>
      <c r="S385" s="220"/>
      <c r="T385" s="220"/>
      <c r="U385" s="220"/>
      <c r="V385" s="220"/>
      <c r="W385" s="220"/>
    </row>
    <row r="386" ht="15.75" customHeight="1" outlineLevel="1">
      <c r="A386" s="211"/>
      <c r="B386" s="212"/>
      <c r="C386" s="213"/>
      <c r="D386" s="214" t="str">
        <f>IFERROR(VLOOKUP($C386,'PORTIFÓLIO'!C:V,2,0),"")</f>
        <v/>
      </c>
      <c r="E386" s="211" t="str">
        <f>IFERROR(VLOOKUP($C386,'PORTIFÓLIO'!C:V,3,0),"")</f>
        <v/>
      </c>
      <c r="F386" s="211" t="str">
        <f>IFERROR(VLOOKUP($C386,'PORTIFÓLIO'!C:V,4,0),"")</f>
        <v/>
      </c>
      <c r="G386" s="215" t="str">
        <f>IFERROR(VLOOKUP($C386,'PORTIFÓLIO'!C:V,5,0),"")</f>
        <v/>
      </c>
      <c r="H386" s="254" t="str">
        <f t="array" ref="H386">IFERROR(INDEX('PORTIFÓLIO'!$H$4:$H$433,MATCH($C386,'PORTIFÓLIO'!$C$4:$C$433,0)),"")</f>
        <v/>
      </c>
      <c r="I386" s="256"/>
      <c r="J386" s="218">
        <f t="shared" si="43"/>
        <v>0</v>
      </c>
      <c r="K386" s="292" t="str">
        <f t="array" ref="K386">IFERROR(I386*INDEX('PORTIFÓLIO'!$S$4:$S$433,MATCH($C386,'PORTIFÓLIO'!$C$4:$C$433,0)),"")</f>
        <v/>
      </c>
      <c r="L386" s="292" t="str">
        <f t="array" ref="L386">IFERROR(J386*INDEX('PORTIFÓLIO'!$S$4:$S$433,MATCH($C386,'PORTIFÓLIO'!$C$4:$C$433,0)),"")</f>
        <v/>
      </c>
      <c r="M386" s="220"/>
      <c r="N386" s="220"/>
      <c r="O386" s="220"/>
      <c r="P386" s="220"/>
      <c r="Q386" s="220"/>
      <c r="R386" s="220"/>
      <c r="S386" s="220"/>
      <c r="T386" s="220"/>
      <c r="U386" s="220"/>
      <c r="V386" s="220"/>
      <c r="W386" s="220"/>
    </row>
    <row r="387" ht="15.75" customHeight="1" outlineLevel="1">
      <c r="A387" s="211"/>
      <c r="B387" s="212"/>
      <c r="C387" s="213"/>
      <c r="D387" s="214" t="str">
        <f>IFERROR(VLOOKUP($C387,'PORTIFÓLIO'!C:V,2,0),"")</f>
        <v/>
      </c>
      <c r="E387" s="211" t="str">
        <f>IFERROR(VLOOKUP($C387,'PORTIFÓLIO'!C:V,3,0),"")</f>
        <v/>
      </c>
      <c r="F387" s="211" t="str">
        <f>IFERROR(VLOOKUP($C387,'PORTIFÓLIO'!C:V,4,0),"")</f>
        <v/>
      </c>
      <c r="G387" s="215" t="str">
        <f>IFERROR(VLOOKUP($C387,'PORTIFÓLIO'!C:V,5,0),"")</f>
        <v/>
      </c>
      <c r="H387" s="254" t="str">
        <f t="array" ref="H387">IFERROR(INDEX('PORTIFÓLIO'!$H$4:$H$433,MATCH($C387,'PORTIFÓLIO'!$C$4:$C$433,0)),"")</f>
        <v/>
      </c>
      <c r="I387" s="256"/>
      <c r="J387" s="218">
        <f t="shared" si="43"/>
        <v>0</v>
      </c>
      <c r="K387" s="292" t="str">
        <f t="array" ref="K387">IFERROR(I387*INDEX('PORTIFÓLIO'!$S$4:$S$433,MATCH($C387,'PORTIFÓLIO'!$C$4:$C$433,0)),"")</f>
        <v/>
      </c>
      <c r="L387" s="292" t="str">
        <f t="array" ref="L387">IFERROR(J387*INDEX('PORTIFÓLIO'!$S$4:$S$433,MATCH($C387,'PORTIFÓLIO'!$C$4:$C$433,0)),"")</f>
        <v/>
      </c>
      <c r="M387" s="220"/>
      <c r="N387" s="220"/>
      <c r="O387" s="220"/>
      <c r="P387" s="220"/>
      <c r="Q387" s="220"/>
      <c r="R387" s="220"/>
      <c r="S387" s="220"/>
      <c r="T387" s="220"/>
      <c r="U387" s="220"/>
      <c r="V387" s="220"/>
      <c r="W387" s="220"/>
    </row>
    <row r="388" ht="15.75" customHeight="1" outlineLevel="1">
      <c r="A388" s="211"/>
      <c r="B388" s="212"/>
      <c r="C388" s="213"/>
      <c r="D388" s="214" t="str">
        <f>IFERROR(VLOOKUP($C388,'PORTIFÓLIO'!C:V,2,0),"")</f>
        <v/>
      </c>
      <c r="E388" s="211" t="str">
        <f>IFERROR(VLOOKUP($C388,'PORTIFÓLIO'!C:V,3,0),"")</f>
        <v/>
      </c>
      <c r="F388" s="211" t="str">
        <f>IFERROR(VLOOKUP($C388,'PORTIFÓLIO'!C:V,4,0),"")</f>
        <v/>
      </c>
      <c r="G388" s="215" t="str">
        <f>IFERROR(VLOOKUP($C388,'PORTIFÓLIO'!C:V,5,0),"")</f>
        <v/>
      </c>
      <c r="H388" s="254" t="str">
        <f t="array" ref="H388">IFERROR(INDEX('PORTIFÓLIO'!$H$4:$H$433,MATCH($C388,'PORTIFÓLIO'!$C$4:$C$433,0)),"")</f>
        <v/>
      </c>
      <c r="I388" s="256"/>
      <c r="J388" s="218">
        <f t="shared" si="43"/>
        <v>0</v>
      </c>
      <c r="K388" s="292" t="str">
        <f t="array" ref="K388">IFERROR(I388*INDEX('PORTIFÓLIO'!$S$4:$S$433,MATCH($C388,'PORTIFÓLIO'!$C$4:$C$433,0)),"")</f>
        <v/>
      </c>
      <c r="L388" s="292" t="str">
        <f t="array" ref="L388">IFERROR(J388*INDEX('PORTIFÓLIO'!$S$4:$S$433,MATCH($C388,'PORTIFÓLIO'!$C$4:$C$433,0)),"")</f>
        <v/>
      </c>
      <c r="M388" s="220"/>
      <c r="N388" s="220"/>
      <c r="O388" s="220"/>
      <c r="P388" s="220"/>
      <c r="Q388" s="220"/>
      <c r="R388" s="220"/>
      <c r="S388" s="220"/>
      <c r="T388" s="220"/>
      <c r="U388" s="220"/>
      <c r="V388" s="220"/>
      <c r="W388" s="220"/>
    </row>
    <row r="389" ht="15.75" customHeight="1" outlineLevel="1">
      <c r="A389" s="211"/>
      <c r="B389" s="212"/>
      <c r="C389" s="213"/>
      <c r="D389" s="214" t="str">
        <f>IFERROR(VLOOKUP($C389,'PORTIFÓLIO'!C:V,2,0),"")</f>
        <v/>
      </c>
      <c r="E389" s="211" t="str">
        <f>IFERROR(VLOOKUP($C389,'PORTIFÓLIO'!C:V,3,0),"")</f>
        <v/>
      </c>
      <c r="F389" s="211" t="str">
        <f>IFERROR(VLOOKUP($C389,'PORTIFÓLIO'!C:V,4,0),"")</f>
        <v/>
      </c>
      <c r="G389" s="215" t="str">
        <f>IFERROR(VLOOKUP($C389,'PORTIFÓLIO'!C:V,5,0),"")</f>
        <v/>
      </c>
      <c r="H389" s="254" t="str">
        <f t="array" ref="H389">IFERROR(INDEX('PORTIFÓLIO'!$H$4:$H$433,MATCH($C389,'PORTIFÓLIO'!$C$4:$C$433,0)),"")</f>
        <v/>
      </c>
      <c r="I389" s="256"/>
      <c r="J389" s="218">
        <f t="shared" si="43"/>
        <v>0</v>
      </c>
      <c r="K389" s="292" t="str">
        <f t="array" ref="K389">IFERROR(I389*INDEX('PORTIFÓLIO'!$S$4:$S$433,MATCH($C389,'PORTIFÓLIO'!$C$4:$C$433,0)),"")</f>
        <v/>
      </c>
      <c r="L389" s="292" t="str">
        <f t="array" ref="L389">IFERROR(J389*INDEX('PORTIFÓLIO'!$S$4:$S$433,MATCH($C389,'PORTIFÓLIO'!$C$4:$C$433,0)),"")</f>
        <v/>
      </c>
      <c r="M389" s="220"/>
      <c r="N389" s="220"/>
      <c r="O389" s="220"/>
      <c r="P389" s="220"/>
      <c r="Q389" s="220"/>
      <c r="R389" s="220"/>
      <c r="S389" s="220"/>
      <c r="T389" s="220"/>
      <c r="U389" s="220"/>
      <c r="V389" s="220"/>
      <c r="W389" s="220"/>
    </row>
    <row r="390" ht="15.75" customHeight="1" outlineLevel="1">
      <c r="A390" s="211"/>
      <c r="B390" s="212"/>
      <c r="C390" s="213"/>
      <c r="D390" s="214" t="str">
        <f>IFERROR(VLOOKUP($C390,'PORTIFÓLIO'!C:V,2,0),"")</f>
        <v/>
      </c>
      <c r="E390" s="211" t="str">
        <f>IFERROR(VLOOKUP($C390,'PORTIFÓLIO'!C:V,3,0),"")</f>
        <v/>
      </c>
      <c r="F390" s="211" t="str">
        <f>IFERROR(VLOOKUP($C390,'PORTIFÓLIO'!C:V,4,0),"")</f>
        <v/>
      </c>
      <c r="G390" s="215" t="str">
        <f>IFERROR(VLOOKUP($C390,'PORTIFÓLIO'!C:V,5,0),"")</f>
        <v/>
      </c>
      <c r="H390" s="254" t="str">
        <f t="array" ref="H390">IFERROR(INDEX('PORTIFÓLIO'!$H$4:$H$433,MATCH($C390,'PORTIFÓLIO'!$C$4:$C$433,0)),"")</f>
        <v/>
      </c>
      <c r="I390" s="256"/>
      <c r="J390" s="218">
        <f t="shared" si="43"/>
        <v>0</v>
      </c>
      <c r="K390" s="292" t="str">
        <f t="array" ref="K390">IFERROR(I390*INDEX('PORTIFÓLIO'!$S$4:$S$433,MATCH($C390,'PORTIFÓLIO'!$C$4:$C$433,0)),"")</f>
        <v/>
      </c>
      <c r="L390" s="292" t="str">
        <f t="array" ref="L390">IFERROR(J390*INDEX('PORTIFÓLIO'!$S$4:$S$433,MATCH($C390,'PORTIFÓLIO'!$C$4:$C$433,0)),"")</f>
        <v/>
      </c>
      <c r="M390" s="220"/>
      <c r="N390" s="220"/>
      <c r="O390" s="220"/>
      <c r="P390" s="220"/>
      <c r="Q390" s="220"/>
      <c r="R390" s="220"/>
      <c r="S390" s="220"/>
      <c r="T390" s="220"/>
      <c r="U390" s="220"/>
      <c r="V390" s="220"/>
      <c r="W390" s="220"/>
    </row>
    <row r="391" ht="15.75" customHeight="1" outlineLevel="1">
      <c r="A391" s="211"/>
      <c r="B391" s="227"/>
      <c r="C391" s="211"/>
      <c r="D391" s="214" t="str">
        <f>IFERROR(VLOOKUP($C391,'PORTIFÓLIO'!C:V,2,0),"")</f>
        <v/>
      </c>
      <c r="E391" s="211" t="str">
        <f>IFERROR(VLOOKUP($C391,'PORTIFÓLIO'!C:V,3,0),"")</f>
        <v/>
      </c>
      <c r="F391" s="211" t="str">
        <f>IFERROR(VLOOKUP($C391,'PORTIFÓLIO'!C:V,4,0),"")</f>
        <v/>
      </c>
      <c r="G391" s="215" t="str">
        <f>IFERROR(VLOOKUP($C391,'PORTIFÓLIO'!C:V,5,0),"")</f>
        <v/>
      </c>
      <c r="H391" s="254" t="str">
        <f t="array" ref="H391">IFERROR(INDEX('PORTIFÓLIO'!$H$4:$H$433,MATCH($C391,'PORTIFÓLIO'!$C$4:$C$433,0)),"")</f>
        <v/>
      </c>
      <c r="I391" s="256"/>
      <c r="J391" s="218"/>
      <c r="K391" s="292" t="str">
        <f t="array" ref="K391">IFERROR(I391*INDEX('PORTIFÓLIO'!$S$4:$S$433,MATCH($C391,'PORTIFÓLIO'!$C$4:$C$433,0)),"")</f>
        <v/>
      </c>
      <c r="L391" s="292" t="str">
        <f t="array" ref="L391">IFERROR(J391*INDEX('PORTIFÓLIO'!$S$4:$S$433,MATCH($C391,'PORTIFÓLIO'!$C$4:$C$433,0)),"")</f>
        <v/>
      </c>
      <c r="M391" s="220"/>
      <c r="N391" s="220"/>
      <c r="O391" s="220"/>
      <c r="P391" s="220"/>
      <c r="Q391" s="220"/>
      <c r="R391" s="220"/>
      <c r="S391" s="220"/>
      <c r="T391" s="220"/>
      <c r="U391" s="220"/>
      <c r="V391" s="220"/>
      <c r="W391" s="220"/>
    </row>
    <row r="392" ht="15.75" customHeight="1">
      <c r="A392" s="229" t="s">
        <v>1193</v>
      </c>
      <c r="B392" s="230"/>
      <c r="C392" s="231"/>
      <c r="D392" s="232"/>
      <c r="E392" s="231"/>
      <c r="F392" s="231"/>
      <c r="G392" s="233"/>
      <c r="H392" s="233"/>
      <c r="I392" s="258"/>
      <c r="J392" s="236"/>
      <c r="K392" s="237">
        <f t="shared" ref="K392:L392" si="44">SUBTOTAL(9,K393:K406)</f>
        <v>0</v>
      </c>
      <c r="L392" s="237">
        <f t="shared" si="44"/>
        <v>0</v>
      </c>
      <c r="M392" s="220"/>
      <c r="N392" s="220"/>
      <c r="O392" s="220"/>
      <c r="P392" s="220"/>
      <c r="Q392" s="220"/>
      <c r="R392" s="220"/>
      <c r="S392" s="220"/>
      <c r="T392" s="220"/>
      <c r="U392" s="220"/>
      <c r="V392" s="220"/>
      <c r="W392" s="220"/>
    </row>
    <row r="393" ht="15.75" customHeight="1" outlineLevel="1">
      <c r="A393" s="213"/>
      <c r="B393" s="212"/>
      <c r="C393" s="213"/>
      <c r="D393" s="214" t="str">
        <f>IFERROR(VLOOKUP($C393,'PORTIFÓLIO'!C:V,2,0),"")</f>
        <v/>
      </c>
      <c r="E393" s="211" t="str">
        <f>IFERROR(VLOOKUP($C393,'PORTIFÓLIO'!C:V,3,0),"")</f>
        <v/>
      </c>
      <c r="F393" s="211" t="str">
        <f>IFERROR(VLOOKUP($C393,'PORTIFÓLIO'!C:V,4,0),"")</f>
        <v/>
      </c>
      <c r="G393" s="215" t="str">
        <f>IFERROR(VLOOKUP($C393,'PORTIFÓLIO'!C:V,5,0),"")</f>
        <v/>
      </c>
      <c r="H393" s="254" t="str">
        <f t="array" ref="H393">IFERROR(INDEX('PORTIFÓLIO'!$H$4:$H$433,MATCH($C393,'PORTIFÓLIO'!$C$4:$C$433,0)),"")</f>
        <v/>
      </c>
      <c r="I393" s="255"/>
      <c r="J393" s="218">
        <f t="shared" ref="J393:J408" si="45">I393*$B$2</f>
        <v>0</v>
      </c>
      <c r="K393" s="292" t="str">
        <f t="array" ref="K393">IFERROR(I393*INDEX('PORTIFÓLIO'!$S$4:$S$433,MATCH($C393,'PORTIFÓLIO'!$C$4:$C$433,0)),"")</f>
        <v/>
      </c>
      <c r="L393" s="292" t="str">
        <f t="array" ref="L393">IFERROR(J393*INDEX('PORTIFÓLIO'!$S$4:$S$433,MATCH($C393,'PORTIFÓLIO'!$C$4:$C$433,0)),"")</f>
        <v/>
      </c>
      <c r="M393" s="220"/>
      <c r="N393" s="220"/>
      <c r="O393" s="220"/>
      <c r="P393" s="220"/>
      <c r="Q393" s="220"/>
      <c r="R393" s="220"/>
      <c r="S393" s="220"/>
      <c r="T393" s="220"/>
      <c r="U393" s="220"/>
      <c r="V393" s="220"/>
      <c r="W393" s="220"/>
    </row>
    <row r="394" ht="15.75" customHeight="1" outlineLevel="1">
      <c r="A394" s="211"/>
      <c r="B394" s="212"/>
      <c r="C394" s="213"/>
      <c r="D394" s="214" t="str">
        <f>IFERROR(VLOOKUP($C394,'PORTIFÓLIO'!C:V,2,0),"")</f>
        <v/>
      </c>
      <c r="E394" s="211" t="str">
        <f>IFERROR(VLOOKUP($C394,'PORTIFÓLIO'!C:V,3,0),"")</f>
        <v/>
      </c>
      <c r="F394" s="211" t="str">
        <f>IFERROR(VLOOKUP($C394,'PORTIFÓLIO'!C:V,4,0),"")</f>
        <v/>
      </c>
      <c r="G394" s="215" t="str">
        <f>IFERROR(VLOOKUP($C394,'PORTIFÓLIO'!C:V,5,0),"")</f>
        <v/>
      </c>
      <c r="H394" s="254" t="str">
        <f t="array" ref="H394">IFERROR(INDEX('PORTIFÓLIO'!$H$4:$H$433,MATCH($C394,'PORTIFÓLIO'!$C$4:$C$433,0)),"")</f>
        <v/>
      </c>
      <c r="I394" s="256"/>
      <c r="J394" s="218">
        <f t="shared" si="45"/>
        <v>0</v>
      </c>
      <c r="K394" s="292" t="str">
        <f t="array" ref="K394">IFERROR(I394*INDEX('PORTIFÓLIO'!$S$4:$S$433,MATCH($C394,'PORTIFÓLIO'!$C$4:$C$433,0)),"")</f>
        <v/>
      </c>
      <c r="L394" s="292" t="str">
        <f t="array" ref="L394">IFERROR(J394*INDEX('PORTIFÓLIO'!$S$4:$S$433,MATCH($C394,'PORTIFÓLIO'!$C$4:$C$433,0)),"")</f>
        <v/>
      </c>
      <c r="M394" s="220"/>
      <c r="N394" s="220"/>
      <c r="O394" s="220"/>
      <c r="P394" s="220"/>
      <c r="Q394" s="220"/>
      <c r="R394" s="220"/>
      <c r="S394" s="220"/>
      <c r="T394" s="220"/>
      <c r="U394" s="220"/>
      <c r="V394" s="220"/>
      <c r="W394" s="220"/>
    </row>
    <row r="395" ht="15.75" customHeight="1" outlineLevel="1">
      <c r="A395" s="211"/>
      <c r="B395" s="212"/>
      <c r="C395" s="213"/>
      <c r="D395" s="214" t="str">
        <f>IFERROR(VLOOKUP($C395,'PORTIFÓLIO'!C:V,2,0),"")</f>
        <v/>
      </c>
      <c r="E395" s="211" t="str">
        <f>IFERROR(VLOOKUP($C395,'PORTIFÓLIO'!C:V,3,0),"")</f>
        <v/>
      </c>
      <c r="F395" s="211" t="str">
        <f>IFERROR(VLOOKUP($C395,'PORTIFÓLIO'!C:V,4,0),"")</f>
        <v/>
      </c>
      <c r="G395" s="215" t="str">
        <f>IFERROR(VLOOKUP($C395,'PORTIFÓLIO'!C:V,5,0),"")</f>
        <v/>
      </c>
      <c r="H395" s="254" t="str">
        <f t="array" ref="H395">IFERROR(INDEX('PORTIFÓLIO'!$H$4:$H$433,MATCH($C395,'PORTIFÓLIO'!$C$4:$C$433,0)),"")</f>
        <v/>
      </c>
      <c r="I395" s="256"/>
      <c r="J395" s="218">
        <f t="shared" si="45"/>
        <v>0</v>
      </c>
      <c r="K395" s="292" t="str">
        <f t="array" ref="K395">IFERROR(I395*INDEX('PORTIFÓLIO'!$S$4:$S$433,MATCH($C395,'PORTIFÓLIO'!$C$4:$C$433,0)),"")</f>
        <v/>
      </c>
      <c r="L395" s="292" t="str">
        <f t="array" ref="L395">IFERROR(J395*INDEX('PORTIFÓLIO'!$S$4:$S$433,MATCH($C395,'PORTIFÓLIO'!$C$4:$C$433,0)),"")</f>
        <v/>
      </c>
      <c r="M395" s="220"/>
      <c r="N395" s="220"/>
      <c r="O395" s="220"/>
      <c r="P395" s="220"/>
      <c r="Q395" s="220"/>
      <c r="R395" s="220"/>
      <c r="S395" s="220"/>
      <c r="T395" s="220"/>
      <c r="U395" s="220"/>
      <c r="V395" s="220"/>
      <c r="W395" s="220"/>
    </row>
    <row r="396" ht="15.75" customHeight="1" outlineLevel="1">
      <c r="A396" s="211"/>
      <c r="B396" s="212"/>
      <c r="C396" s="213"/>
      <c r="D396" s="214" t="str">
        <f>IFERROR(VLOOKUP($C396,'PORTIFÓLIO'!C:V,2,0),"")</f>
        <v/>
      </c>
      <c r="E396" s="211" t="str">
        <f>IFERROR(VLOOKUP($C396,'PORTIFÓLIO'!C:V,3,0),"")</f>
        <v/>
      </c>
      <c r="F396" s="211" t="str">
        <f>IFERROR(VLOOKUP($C396,'PORTIFÓLIO'!C:V,4,0),"")</f>
        <v/>
      </c>
      <c r="G396" s="215" t="str">
        <f>IFERROR(VLOOKUP($C396,'PORTIFÓLIO'!C:V,5,0),"")</f>
        <v/>
      </c>
      <c r="H396" s="254" t="str">
        <f t="array" ref="H396">IFERROR(INDEX('PORTIFÓLIO'!$H$4:$H$433,MATCH($C396,'PORTIFÓLIO'!$C$4:$C$433,0)),"")</f>
        <v/>
      </c>
      <c r="I396" s="256"/>
      <c r="J396" s="218">
        <f t="shared" si="45"/>
        <v>0</v>
      </c>
      <c r="K396" s="292" t="str">
        <f t="array" ref="K396">IFERROR(I396*INDEX('PORTIFÓLIO'!$S$4:$S$433,MATCH($C396,'PORTIFÓLIO'!$C$4:$C$433,0)),"")</f>
        <v/>
      </c>
      <c r="L396" s="292" t="str">
        <f t="array" ref="L396">IFERROR(J396*INDEX('PORTIFÓLIO'!$S$4:$S$433,MATCH($C396,'PORTIFÓLIO'!$C$4:$C$433,0)),"")</f>
        <v/>
      </c>
      <c r="M396" s="220"/>
      <c r="N396" s="220"/>
      <c r="O396" s="220"/>
      <c r="P396" s="220"/>
      <c r="Q396" s="220"/>
      <c r="R396" s="220"/>
      <c r="S396" s="220"/>
      <c r="T396" s="220"/>
      <c r="U396" s="220"/>
      <c r="V396" s="220"/>
      <c r="W396" s="220"/>
    </row>
    <row r="397" ht="15.75" customHeight="1" outlineLevel="1">
      <c r="A397" s="211"/>
      <c r="B397" s="212"/>
      <c r="C397" s="213"/>
      <c r="D397" s="214" t="str">
        <f>IFERROR(VLOOKUP($C397,'PORTIFÓLIO'!C:V,2,0),"")</f>
        <v/>
      </c>
      <c r="E397" s="211" t="str">
        <f>IFERROR(VLOOKUP($C397,'PORTIFÓLIO'!C:V,3,0),"")</f>
        <v/>
      </c>
      <c r="F397" s="211" t="str">
        <f>IFERROR(VLOOKUP($C397,'PORTIFÓLIO'!C:V,4,0),"")</f>
        <v/>
      </c>
      <c r="G397" s="215" t="str">
        <f>IFERROR(VLOOKUP($C397,'PORTIFÓLIO'!C:V,5,0),"")</f>
        <v/>
      </c>
      <c r="H397" s="254" t="str">
        <f t="array" ref="H397">IFERROR(INDEX('PORTIFÓLIO'!$H$4:$H$433,MATCH($C397,'PORTIFÓLIO'!$C$4:$C$433,0)),"")</f>
        <v/>
      </c>
      <c r="I397" s="256"/>
      <c r="J397" s="218">
        <f t="shared" si="45"/>
        <v>0</v>
      </c>
      <c r="K397" s="292" t="str">
        <f t="array" ref="K397">IFERROR(I397*INDEX('PORTIFÓLIO'!$S$4:$S$433,MATCH($C397,'PORTIFÓLIO'!$C$4:$C$433,0)),"")</f>
        <v/>
      </c>
      <c r="L397" s="292" t="str">
        <f t="array" ref="L397">IFERROR(J397*INDEX('PORTIFÓLIO'!$S$4:$S$433,MATCH($C397,'PORTIFÓLIO'!$C$4:$C$433,0)),"")</f>
        <v/>
      </c>
      <c r="M397" s="220"/>
      <c r="N397" s="220"/>
      <c r="O397" s="220"/>
      <c r="P397" s="220"/>
      <c r="Q397" s="220"/>
      <c r="R397" s="220"/>
      <c r="S397" s="220"/>
      <c r="T397" s="220"/>
      <c r="U397" s="220"/>
      <c r="V397" s="220"/>
      <c r="W397" s="220"/>
    </row>
    <row r="398" ht="15.75" customHeight="1" outlineLevel="1">
      <c r="A398" s="211"/>
      <c r="B398" s="212"/>
      <c r="C398" s="213"/>
      <c r="D398" s="214" t="str">
        <f>IFERROR(VLOOKUP($C398,'PORTIFÓLIO'!C:V,2,0),"")</f>
        <v/>
      </c>
      <c r="E398" s="211" t="str">
        <f>IFERROR(VLOOKUP($C398,'PORTIFÓLIO'!C:V,3,0),"")</f>
        <v/>
      </c>
      <c r="F398" s="211" t="str">
        <f>IFERROR(VLOOKUP($C398,'PORTIFÓLIO'!C:V,4,0),"")</f>
        <v/>
      </c>
      <c r="G398" s="215" t="str">
        <f>IFERROR(VLOOKUP($C398,'PORTIFÓLIO'!C:V,5,0),"")</f>
        <v/>
      </c>
      <c r="H398" s="254" t="str">
        <f t="array" ref="H398">IFERROR(INDEX('PORTIFÓLIO'!$H$4:$H$433,MATCH($C398,'PORTIFÓLIO'!$C$4:$C$433,0)),"")</f>
        <v/>
      </c>
      <c r="I398" s="256"/>
      <c r="J398" s="218">
        <f t="shared" si="45"/>
        <v>0</v>
      </c>
      <c r="K398" s="292" t="str">
        <f t="array" ref="K398">IFERROR(I398*INDEX('PORTIFÓLIO'!$S$4:$S$433,MATCH($C398,'PORTIFÓLIO'!$C$4:$C$433,0)),"")</f>
        <v/>
      </c>
      <c r="L398" s="292" t="str">
        <f t="array" ref="L398">IFERROR(J398*INDEX('PORTIFÓLIO'!$S$4:$S$433,MATCH($C398,'PORTIFÓLIO'!$C$4:$C$433,0)),"")</f>
        <v/>
      </c>
      <c r="M398" s="220"/>
      <c r="N398" s="220"/>
      <c r="O398" s="220"/>
      <c r="P398" s="220"/>
      <c r="Q398" s="220"/>
      <c r="R398" s="220"/>
      <c r="S398" s="220"/>
      <c r="T398" s="220"/>
      <c r="U398" s="220"/>
      <c r="V398" s="220"/>
      <c r="W398" s="220"/>
    </row>
    <row r="399" ht="15.75" customHeight="1" outlineLevel="1">
      <c r="A399" s="211"/>
      <c r="B399" s="212"/>
      <c r="C399" s="213"/>
      <c r="D399" s="214" t="str">
        <f>IFERROR(VLOOKUP($C399,'PORTIFÓLIO'!C:V,2,0),"")</f>
        <v/>
      </c>
      <c r="E399" s="211" t="str">
        <f>IFERROR(VLOOKUP($C399,'PORTIFÓLIO'!C:V,3,0),"")</f>
        <v/>
      </c>
      <c r="F399" s="211" t="str">
        <f>IFERROR(VLOOKUP($C399,'PORTIFÓLIO'!C:V,4,0),"")</f>
        <v/>
      </c>
      <c r="G399" s="215" t="str">
        <f>IFERROR(VLOOKUP($C399,'PORTIFÓLIO'!C:V,5,0),"")</f>
        <v/>
      </c>
      <c r="H399" s="254" t="str">
        <f t="array" ref="H399">IFERROR(INDEX('PORTIFÓLIO'!$H$4:$H$433,MATCH($C399,'PORTIFÓLIO'!$C$4:$C$433,0)),"")</f>
        <v/>
      </c>
      <c r="I399" s="256"/>
      <c r="J399" s="218">
        <f t="shared" si="45"/>
        <v>0</v>
      </c>
      <c r="K399" s="292" t="str">
        <f t="array" ref="K399">IFERROR(I399*INDEX('PORTIFÓLIO'!$S$4:$S$433,MATCH($C399,'PORTIFÓLIO'!$C$4:$C$433,0)),"")</f>
        <v/>
      </c>
      <c r="L399" s="292" t="str">
        <f t="array" ref="L399">IFERROR(J399*INDEX('PORTIFÓLIO'!$S$4:$S$433,MATCH($C399,'PORTIFÓLIO'!$C$4:$C$433,0)),"")</f>
        <v/>
      </c>
      <c r="M399" s="220"/>
      <c r="N399" s="220"/>
      <c r="O399" s="220"/>
      <c r="P399" s="220"/>
      <c r="Q399" s="220"/>
      <c r="R399" s="220"/>
      <c r="S399" s="220"/>
      <c r="T399" s="220"/>
      <c r="U399" s="220"/>
      <c r="V399" s="220"/>
      <c r="W399" s="220"/>
    </row>
    <row r="400" ht="15.75" customHeight="1" outlineLevel="1">
      <c r="A400" s="211"/>
      <c r="B400" s="212"/>
      <c r="C400" s="213"/>
      <c r="D400" s="214" t="str">
        <f>IFERROR(VLOOKUP($C400,'PORTIFÓLIO'!C:V,2,0),"")</f>
        <v/>
      </c>
      <c r="E400" s="211" t="str">
        <f>IFERROR(VLOOKUP($C400,'PORTIFÓLIO'!C:V,3,0),"")</f>
        <v/>
      </c>
      <c r="F400" s="211" t="str">
        <f>IFERROR(VLOOKUP($C400,'PORTIFÓLIO'!C:V,4,0),"")</f>
        <v/>
      </c>
      <c r="G400" s="215" t="str">
        <f>IFERROR(VLOOKUP($C400,'PORTIFÓLIO'!C:V,5,0),"")</f>
        <v/>
      </c>
      <c r="H400" s="254" t="str">
        <f t="array" ref="H400">IFERROR(INDEX('PORTIFÓLIO'!$H$4:$H$433,MATCH($C400,'PORTIFÓLIO'!$C$4:$C$433,0)),"")</f>
        <v/>
      </c>
      <c r="I400" s="256"/>
      <c r="J400" s="218">
        <f t="shared" si="45"/>
        <v>0</v>
      </c>
      <c r="K400" s="292" t="str">
        <f t="array" ref="K400">IFERROR(I400*INDEX('PORTIFÓLIO'!$S$4:$S$433,MATCH($C400,'PORTIFÓLIO'!$C$4:$C$433,0)),"")</f>
        <v/>
      </c>
      <c r="L400" s="292" t="str">
        <f t="array" ref="L400">IFERROR(J400*INDEX('PORTIFÓLIO'!$S$4:$S$433,MATCH($C400,'PORTIFÓLIO'!$C$4:$C$433,0)),"")</f>
        <v/>
      </c>
      <c r="M400" s="220"/>
      <c r="N400" s="220"/>
      <c r="O400" s="220"/>
      <c r="P400" s="220"/>
      <c r="Q400" s="220"/>
      <c r="R400" s="220"/>
      <c r="S400" s="220"/>
      <c r="T400" s="220"/>
      <c r="U400" s="220"/>
      <c r="V400" s="220"/>
      <c r="W400" s="220"/>
    </row>
    <row r="401" ht="15.75" customHeight="1" outlineLevel="1">
      <c r="A401" s="211"/>
      <c r="B401" s="212"/>
      <c r="C401" s="213"/>
      <c r="D401" s="214" t="str">
        <f>IFERROR(VLOOKUP($C401,'PORTIFÓLIO'!C:V,2,0),"")</f>
        <v/>
      </c>
      <c r="E401" s="211" t="str">
        <f>IFERROR(VLOOKUP($C401,'PORTIFÓLIO'!C:V,3,0),"")</f>
        <v/>
      </c>
      <c r="F401" s="211" t="str">
        <f>IFERROR(VLOOKUP($C401,'PORTIFÓLIO'!C:V,4,0),"")</f>
        <v/>
      </c>
      <c r="G401" s="215" t="str">
        <f>IFERROR(VLOOKUP($C401,'PORTIFÓLIO'!C:V,5,0),"")</f>
        <v/>
      </c>
      <c r="H401" s="254" t="str">
        <f t="array" ref="H401">IFERROR(INDEX('PORTIFÓLIO'!$H$4:$H$433,MATCH($C401,'PORTIFÓLIO'!$C$4:$C$433,0)),"")</f>
        <v/>
      </c>
      <c r="I401" s="255"/>
      <c r="J401" s="218">
        <f t="shared" si="45"/>
        <v>0</v>
      </c>
      <c r="K401" s="292" t="str">
        <f t="array" ref="K401">IFERROR(I401*INDEX('PORTIFÓLIO'!$S$4:$S$433,MATCH($C401,'PORTIFÓLIO'!$C$4:$C$433,0)),"")</f>
        <v/>
      </c>
      <c r="L401" s="292" t="str">
        <f t="array" ref="L401">IFERROR(J401*INDEX('PORTIFÓLIO'!$S$4:$S$433,MATCH($C401,'PORTIFÓLIO'!$C$4:$C$433,0)),"")</f>
        <v/>
      </c>
      <c r="M401" s="220"/>
      <c r="N401" s="220"/>
      <c r="O401" s="220"/>
      <c r="P401" s="220"/>
      <c r="Q401" s="220"/>
      <c r="R401" s="220"/>
      <c r="S401" s="220"/>
      <c r="T401" s="220"/>
      <c r="U401" s="220"/>
      <c r="V401" s="220"/>
      <c r="W401" s="220"/>
    </row>
    <row r="402" ht="15.75" customHeight="1" outlineLevel="1">
      <c r="A402" s="211"/>
      <c r="B402" s="212"/>
      <c r="C402" s="213"/>
      <c r="D402" s="214" t="str">
        <f>IFERROR(VLOOKUP($C402,'PORTIFÓLIO'!C:V,2,0),"")</f>
        <v/>
      </c>
      <c r="E402" s="211" t="str">
        <f>IFERROR(VLOOKUP($C402,'PORTIFÓLIO'!C:V,3,0),"")</f>
        <v/>
      </c>
      <c r="F402" s="211" t="str">
        <f>IFERROR(VLOOKUP($C402,'PORTIFÓLIO'!C:V,4,0),"")</f>
        <v/>
      </c>
      <c r="G402" s="215" t="str">
        <f>IFERROR(VLOOKUP($C402,'PORTIFÓLIO'!C:V,5,0),"")</f>
        <v/>
      </c>
      <c r="H402" s="254" t="str">
        <f t="array" ref="H402">IFERROR(INDEX('PORTIFÓLIO'!$H$4:$H$433,MATCH($C402,'PORTIFÓLIO'!$C$4:$C$433,0)),"")</f>
        <v/>
      </c>
      <c r="I402" s="256"/>
      <c r="J402" s="218">
        <f t="shared" si="45"/>
        <v>0</v>
      </c>
      <c r="K402" s="292" t="str">
        <f t="array" ref="K402">IFERROR(I402*INDEX('PORTIFÓLIO'!$S$4:$S$433,MATCH($C402,'PORTIFÓLIO'!$C$4:$C$433,0)),"")</f>
        <v/>
      </c>
      <c r="L402" s="292" t="str">
        <f t="array" ref="L402">IFERROR(J402*INDEX('PORTIFÓLIO'!$S$4:$S$433,MATCH($C402,'PORTIFÓLIO'!$C$4:$C$433,0)),"")</f>
        <v/>
      </c>
      <c r="M402" s="220"/>
      <c r="N402" s="220"/>
      <c r="O402" s="220"/>
      <c r="P402" s="220"/>
      <c r="Q402" s="220"/>
      <c r="R402" s="220"/>
      <c r="S402" s="220"/>
      <c r="T402" s="220"/>
      <c r="U402" s="220"/>
      <c r="V402" s="220"/>
      <c r="W402" s="220"/>
    </row>
    <row r="403" ht="15.75" customHeight="1" outlineLevel="1">
      <c r="A403" s="211"/>
      <c r="B403" s="212"/>
      <c r="C403" s="213"/>
      <c r="D403" s="214" t="str">
        <f>IFERROR(VLOOKUP($C403,'PORTIFÓLIO'!C:V,2,0),"")</f>
        <v/>
      </c>
      <c r="E403" s="211" t="str">
        <f>IFERROR(VLOOKUP($C403,'PORTIFÓLIO'!C:V,3,0),"")</f>
        <v/>
      </c>
      <c r="F403" s="211" t="str">
        <f>IFERROR(VLOOKUP($C403,'PORTIFÓLIO'!C:V,4,0),"")</f>
        <v/>
      </c>
      <c r="G403" s="215" t="str">
        <f>IFERROR(VLOOKUP($C403,'PORTIFÓLIO'!C:V,5,0),"")</f>
        <v/>
      </c>
      <c r="H403" s="254" t="str">
        <f t="array" ref="H403">IFERROR(INDEX('PORTIFÓLIO'!$H$4:$H$433,MATCH($C403,'PORTIFÓLIO'!$C$4:$C$433,0)),"")</f>
        <v/>
      </c>
      <c r="I403" s="256"/>
      <c r="J403" s="218">
        <f t="shared" si="45"/>
        <v>0</v>
      </c>
      <c r="K403" s="292" t="str">
        <f t="array" ref="K403">IFERROR(I403*INDEX('PORTIFÓLIO'!$S$4:$S$433,MATCH($C403,'PORTIFÓLIO'!$C$4:$C$433,0)),"")</f>
        <v/>
      </c>
      <c r="L403" s="292" t="str">
        <f t="array" ref="L403">IFERROR(J403*INDEX('PORTIFÓLIO'!$S$4:$S$433,MATCH($C403,'PORTIFÓLIO'!$C$4:$C$433,0)),"")</f>
        <v/>
      </c>
      <c r="M403" s="220"/>
      <c r="N403" s="220"/>
      <c r="O403" s="220"/>
      <c r="P403" s="220"/>
      <c r="Q403" s="220"/>
      <c r="R403" s="220"/>
      <c r="S403" s="220"/>
      <c r="T403" s="220"/>
      <c r="U403" s="220"/>
      <c r="V403" s="220"/>
      <c r="W403" s="220"/>
    </row>
    <row r="404" ht="15.75" customHeight="1" outlineLevel="1">
      <c r="A404" s="211"/>
      <c r="B404" s="212"/>
      <c r="C404" s="213"/>
      <c r="D404" s="214" t="str">
        <f>IFERROR(VLOOKUP($C404,'PORTIFÓLIO'!C:V,2,0),"")</f>
        <v/>
      </c>
      <c r="E404" s="211" t="str">
        <f>IFERROR(VLOOKUP($C404,'PORTIFÓLIO'!C:V,3,0),"")</f>
        <v/>
      </c>
      <c r="F404" s="211" t="str">
        <f>IFERROR(VLOOKUP($C404,'PORTIFÓLIO'!C:V,4,0),"")</f>
        <v/>
      </c>
      <c r="G404" s="215" t="str">
        <f>IFERROR(VLOOKUP($C404,'PORTIFÓLIO'!C:V,5,0),"")</f>
        <v/>
      </c>
      <c r="H404" s="254" t="str">
        <f t="array" ref="H404">IFERROR(INDEX('PORTIFÓLIO'!$H$4:$H$433,MATCH($C404,'PORTIFÓLIO'!$C$4:$C$433,0)),"")</f>
        <v/>
      </c>
      <c r="I404" s="256"/>
      <c r="J404" s="218">
        <f t="shared" si="45"/>
        <v>0</v>
      </c>
      <c r="K404" s="292" t="str">
        <f t="array" ref="K404">IFERROR(I404*INDEX('PORTIFÓLIO'!$S$4:$S$433,MATCH($C404,'PORTIFÓLIO'!$C$4:$C$433,0)),"")</f>
        <v/>
      </c>
      <c r="L404" s="292" t="str">
        <f t="array" ref="L404">IFERROR(J404*INDEX('PORTIFÓLIO'!$S$4:$S$433,MATCH($C404,'PORTIFÓLIO'!$C$4:$C$433,0)),"")</f>
        <v/>
      </c>
      <c r="M404" s="220"/>
      <c r="N404" s="220"/>
      <c r="O404" s="220"/>
      <c r="P404" s="220"/>
      <c r="Q404" s="220"/>
      <c r="R404" s="220"/>
      <c r="S404" s="220"/>
      <c r="T404" s="220"/>
      <c r="U404" s="220"/>
      <c r="V404" s="220"/>
      <c r="W404" s="220"/>
    </row>
    <row r="405" ht="15.75" customHeight="1" outlineLevel="1">
      <c r="A405" s="211"/>
      <c r="B405" s="212"/>
      <c r="C405" s="213"/>
      <c r="D405" s="214" t="str">
        <f>IFERROR(VLOOKUP($C405,'PORTIFÓLIO'!C:V,2,0),"")</f>
        <v/>
      </c>
      <c r="E405" s="211" t="str">
        <f>IFERROR(VLOOKUP($C405,'PORTIFÓLIO'!C:V,3,0),"")</f>
        <v/>
      </c>
      <c r="F405" s="211" t="str">
        <f>IFERROR(VLOOKUP($C405,'PORTIFÓLIO'!C:V,4,0),"")</f>
        <v/>
      </c>
      <c r="G405" s="215" t="str">
        <f>IFERROR(VLOOKUP($C405,'PORTIFÓLIO'!C:V,5,0),"")</f>
        <v/>
      </c>
      <c r="H405" s="254" t="str">
        <f t="array" ref="H405">IFERROR(INDEX('PORTIFÓLIO'!$H$4:$H$433,MATCH($C405,'PORTIFÓLIO'!$C$4:$C$433,0)),"")</f>
        <v/>
      </c>
      <c r="I405" s="256"/>
      <c r="J405" s="218">
        <f t="shared" si="45"/>
        <v>0</v>
      </c>
      <c r="K405" s="292" t="str">
        <f t="array" ref="K405">IFERROR(I405*INDEX('PORTIFÓLIO'!$S$4:$S$433,MATCH($C405,'PORTIFÓLIO'!$C$4:$C$433,0)),"")</f>
        <v/>
      </c>
      <c r="L405" s="292" t="str">
        <f t="array" ref="L405">IFERROR(J405*INDEX('PORTIFÓLIO'!$S$4:$S$433,MATCH($C405,'PORTIFÓLIO'!$C$4:$C$433,0)),"")</f>
        <v/>
      </c>
      <c r="M405" s="220"/>
      <c r="N405" s="220"/>
      <c r="O405" s="220"/>
      <c r="P405" s="220"/>
      <c r="Q405" s="220"/>
      <c r="R405" s="220"/>
      <c r="S405" s="220"/>
      <c r="T405" s="220"/>
      <c r="U405" s="220"/>
      <c r="V405" s="220"/>
      <c r="W405" s="220"/>
    </row>
    <row r="406" ht="15.75" customHeight="1" outlineLevel="1">
      <c r="A406" s="211"/>
      <c r="B406" s="212"/>
      <c r="C406" s="213"/>
      <c r="D406" s="214" t="str">
        <f>IFERROR(VLOOKUP($C406,'PORTIFÓLIO'!C:V,2,0),"")</f>
        <v/>
      </c>
      <c r="E406" s="211" t="str">
        <f>IFERROR(VLOOKUP($C406,'PORTIFÓLIO'!C:V,3,0),"")</f>
        <v/>
      </c>
      <c r="F406" s="211" t="str">
        <f>IFERROR(VLOOKUP($C406,'PORTIFÓLIO'!C:V,4,0),"")</f>
        <v/>
      </c>
      <c r="G406" s="215" t="str">
        <f>IFERROR(VLOOKUP($C406,'PORTIFÓLIO'!C:V,5,0),"")</f>
        <v/>
      </c>
      <c r="H406" s="254" t="str">
        <f t="array" ref="H406">IFERROR(INDEX('PORTIFÓLIO'!$H$4:$H$433,MATCH($C406,'PORTIFÓLIO'!$C$4:$C$433,0)),"")</f>
        <v/>
      </c>
      <c r="I406" s="256"/>
      <c r="J406" s="218">
        <f t="shared" si="45"/>
        <v>0</v>
      </c>
      <c r="K406" s="292" t="str">
        <f t="array" ref="K406">IFERROR(I406*INDEX('PORTIFÓLIO'!$S$4:$S$433,MATCH($C406,'PORTIFÓLIO'!$C$4:$C$433,0)),"")</f>
        <v/>
      </c>
      <c r="L406" s="292" t="str">
        <f t="array" ref="L406">IFERROR(J406*INDEX('PORTIFÓLIO'!$S$4:$S$433,MATCH($C406,'PORTIFÓLIO'!$C$4:$C$433,0)),"")</f>
        <v/>
      </c>
      <c r="M406" s="220"/>
      <c r="N406" s="220"/>
      <c r="O406" s="220"/>
      <c r="P406" s="220"/>
      <c r="Q406" s="220"/>
      <c r="R406" s="220"/>
      <c r="S406" s="220"/>
      <c r="T406" s="220"/>
      <c r="U406" s="220"/>
      <c r="V406" s="220"/>
      <c r="W406" s="220"/>
    </row>
    <row r="407" ht="15.75" customHeight="1" outlineLevel="1">
      <c r="A407" s="211"/>
      <c r="B407" s="212"/>
      <c r="C407" s="213"/>
      <c r="D407" s="214" t="str">
        <f>IFERROR(VLOOKUP($C407,'PORTIFÓLIO'!C:V,2,0),"")</f>
        <v/>
      </c>
      <c r="E407" s="211" t="str">
        <f>IFERROR(VLOOKUP($C407,'PORTIFÓLIO'!C:V,3,0),"")</f>
        <v/>
      </c>
      <c r="F407" s="211" t="str">
        <f>IFERROR(VLOOKUP($C407,'PORTIFÓLIO'!C:V,4,0),"")</f>
        <v/>
      </c>
      <c r="G407" s="215" t="str">
        <f>IFERROR(VLOOKUP($C407,'PORTIFÓLIO'!C:V,5,0),"")</f>
        <v/>
      </c>
      <c r="H407" s="254" t="str">
        <f t="array" ref="H407">IFERROR(INDEX('PORTIFÓLIO'!$H$4:$H$433,MATCH($C407,'PORTIFÓLIO'!$C$4:$C$433,0)),"")</f>
        <v/>
      </c>
      <c r="I407" s="256"/>
      <c r="J407" s="218">
        <f t="shared" si="45"/>
        <v>0</v>
      </c>
      <c r="K407" s="292" t="str">
        <f t="array" ref="K407">IFERROR(I407*INDEX('PORTIFÓLIO'!$S$4:$S$433,MATCH($C407,'PORTIFÓLIO'!$C$4:$C$433,0)),"")</f>
        <v/>
      </c>
      <c r="L407" s="292" t="str">
        <f t="array" ref="L407">IFERROR(J407*INDEX('PORTIFÓLIO'!$S$4:$S$433,MATCH($C407,'PORTIFÓLIO'!$C$4:$C$433,0)),"")</f>
        <v/>
      </c>
      <c r="M407" s="220"/>
      <c r="N407" s="220"/>
      <c r="O407" s="220"/>
      <c r="P407" s="220"/>
      <c r="Q407" s="220"/>
      <c r="R407" s="220"/>
      <c r="S407" s="220"/>
      <c r="T407" s="220"/>
      <c r="U407" s="220"/>
      <c r="V407" s="220"/>
      <c r="W407" s="220"/>
    </row>
    <row r="408" ht="15.75" customHeight="1" outlineLevel="1">
      <c r="A408" s="211"/>
      <c r="B408" s="227"/>
      <c r="C408" s="211"/>
      <c r="D408" s="214" t="str">
        <f>IFERROR(VLOOKUP($C408,'PORTIFÓLIO'!C:V,2,0),"")</f>
        <v/>
      </c>
      <c r="E408" s="211" t="str">
        <f>IFERROR(VLOOKUP($C408,'PORTIFÓLIO'!C:V,3,0),"")</f>
        <v/>
      </c>
      <c r="F408" s="211" t="str">
        <f>IFERROR(VLOOKUP($C408,'PORTIFÓLIO'!C:V,4,0),"")</f>
        <v/>
      </c>
      <c r="G408" s="215" t="str">
        <f>IFERROR(VLOOKUP($C408,'PORTIFÓLIO'!C:V,5,0),"")</f>
        <v/>
      </c>
      <c r="H408" s="254" t="str">
        <f t="array" ref="H408">IFERROR(INDEX('PORTIFÓLIO'!$H$4:$H$433,MATCH($C408,'PORTIFÓLIO'!$C$4:$C$433,0)),"")</f>
        <v/>
      </c>
      <c r="I408" s="256"/>
      <c r="J408" s="218">
        <f t="shared" si="45"/>
        <v>0</v>
      </c>
      <c r="K408" s="292" t="str">
        <f t="array" ref="K408">IFERROR(I408*INDEX('PORTIFÓLIO'!$S$4:$S$433,MATCH($C408,'PORTIFÓLIO'!$C$4:$C$433,0)),"")</f>
        <v/>
      </c>
      <c r="L408" s="292" t="str">
        <f t="array" ref="L408">IFERROR(J408*INDEX('PORTIFÓLIO'!$S$4:$S$433,MATCH($C408,'PORTIFÓLIO'!$C$4:$C$433,0)),"")</f>
        <v/>
      </c>
      <c r="M408" s="220"/>
      <c r="N408" s="220"/>
      <c r="O408" s="220"/>
      <c r="P408" s="220"/>
      <c r="Q408" s="220"/>
      <c r="R408" s="220"/>
      <c r="S408" s="220"/>
      <c r="T408" s="220"/>
      <c r="U408" s="220"/>
      <c r="V408" s="220"/>
      <c r="W408" s="220"/>
    </row>
    <row r="409" ht="15.75" customHeight="1">
      <c r="A409" s="229" t="s">
        <v>1194</v>
      </c>
      <c r="B409" s="230"/>
      <c r="C409" s="231"/>
      <c r="D409" s="232"/>
      <c r="E409" s="231"/>
      <c r="F409" s="231"/>
      <c r="G409" s="233"/>
      <c r="H409" s="233"/>
      <c r="I409" s="258"/>
      <c r="J409" s="236"/>
      <c r="K409" s="237">
        <f t="shared" ref="K409:L409" si="46">SUBTOTAL(9,K410:K423)</f>
        <v>0</v>
      </c>
      <c r="L409" s="237">
        <f t="shared" si="46"/>
        <v>0</v>
      </c>
      <c r="M409" s="220"/>
      <c r="N409" s="220"/>
      <c r="O409" s="220"/>
      <c r="P409" s="220"/>
      <c r="Q409" s="220"/>
      <c r="R409" s="220"/>
      <c r="S409" s="220"/>
      <c r="T409" s="220"/>
      <c r="U409" s="220"/>
      <c r="V409" s="220"/>
      <c r="W409" s="220"/>
    </row>
    <row r="410" ht="15.75" customHeight="1" outlineLevel="1">
      <c r="A410" s="213"/>
      <c r="B410" s="212"/>
      <c r="C410" s="213"/>
      <c r="D410" s="214" t="str">
        <f>IFERROR(VLOOKUP($C410,'PORTIFÓLIO'!C:V,2,0),"")</f>
        <v/>
      </c>
      <c r="E410" s="211" t="str">
        <f>IFERROR(VLOOKUP($C410,'PORTIFÓLIO'!C:V,3,0),"")</f>
        <v/>
      </c>
      <c r="F410" s="211" t="str">
        <f>IFERROR(VLOOKUP($C410,'PORTIFÓLIO'!C:V,4,0),"")</f>
        <v/>
      </c>
      <c r="G410" s="215" t="str">
        <f>IFERROR(VLOOKUP($C410,'PORTIFÓLIO'!C:V,5,0),"")</f>
        <v/>
      </c>
      <c r="H410" s="254" t="str">
        <f t="array" ref="H410">IFERROR(INDEX('PORTIFÓLIO'!$H$4:$H$433,MATCH($C410,'PORTIFÓLIO'!$C$4:$C$433,0)),"")</f>
        <v/>
      </c>
      <c r="I410" s="255"/>
      <c r="J410" s="218">
        <f t="shared" ref="J410:J426" si="47">I410*$B$2</f>
        <v>0</v>
      </c>
      <c r="K410" s="292" t="str">
        <f t="array" ref="K410">IFERROR(I410*INDEX('PORTIFÓLIO'!$S$4:$S$433,MATCH($C410,'PORTIFÓLIO'!$C$4:$C$433,0)),"")</f>
        <v/>
      </c>
      <c r="L410" s="292" t="str">
        <f t="array" ref="L410">IFERROR(J410*INDEX('PORTIFÓLIO'!$S$4:$S$433,MATCH($C410,'PORTIFÓLIO'!$C$4:$C$433,0)),"")</f>
        <v/>
      </c>
      <c r="M410" s="220"/>
      <c r="N410" s="220"/>
      <c r="O410" s="220"/>
      <c r="P410" s="220"/>
      <c r="Q410" s="220"/>
      <c r="R410" s="220"/>
      <c r="S410" s="220"/>
      <c r="T410" s="220"/>
      <c r="U410" s="220"/>
      <c r="V410" s="220"/>
      <c r="W410" s="220"/>
    </row>
    <row r="411" ht="15.75" customHeight="1" outlineLevel="1">
      <c r="A411" s="211"/>
      <c r="B411" s="212"/>
      <c r="C411" s="213"/>
      <c r="D411" s="214" t="str">
        <f>IFERROR(VLOOKUP($C411,'PORTIFÓLIO'!C:V,2,0),"")</f>
        <v/>
      </c>
      <c r="E411" s="211" t="str">
        <f>IFERROR(VLOOKUP($C411,'PORTIFÓLIO'!C:V,3,0),"")</f>
        <v/>
      </c>
      <c r="F411" s="211" t="str">
        <f>IFERROR(VLOOKUP($C411,'PORTIFÓLIO'!C:V,4,0),"")</f>
        <v/>
      </c>
      <c r="G411" s="215" t="str">
        <f>IFERROR(VLOOKUP($C411,'PORTIFÓLIO'!C:V,5,0),"")</f>
        <v/>
      </c>
      <c r="H411" s="254" t="str">
        <f t="array" ref="H411">IFERROR(INDEX('PORTIFÓLIO'!$H$4:$H$433,MATCH($C411,'PORTIFÓLIO'!$C$4:$C$433,0)),"")</f>
        <v/>
      </c>
      <c r="I411" s="256"/>
      <c r="J411" s="218">
        <f t="shared" si="47"/>
        <v>0</v>
      </c>
      <c r="K411" s="292" t="str">
        <f t="array" ref="K411">IFERROR(I411*INDEX('PORTIFÓLIO'!$S$4:$S$433,MATCH($C411,'PORTIFÓLIO'!$C$4:$C$433,0)),"")</f>
        <v/>
      </c>
      <c r="L411" s="292" t="str">
        <f t="array" ref="L411">IFERROR(J411*INDEX('PORTIFÓLIO'!$S$4:$S$433,MATCH($C411,'PORTIFÓLIO'!$C$4:$C$433,0)),"")</f>
        <v/>
      </c>
      <c r="M411" s="220"/>
      <c r="N411" s="220"/>
      <c r="O411" s="220"/>
      <c r="P411" s="220"/>
      <c r="Q411" s="220"/>
      <c r="R411" s="220"/>
      <c r="S411" s="220"/>
      <c r="T411" s="220"/>
      <c r="U411" s="220"/>
      <c r="V411" s="220"/>
      <c r="W411" s="220"/>
    </row>
    <row r="412" ht="15.75" customHeight="1" outlineLevel="1">
      <c r="A412" s="211"/>
      <c r="B412" s="212"/>
      <c r="C412" s="213"/>
      <c r="D412" s="214" t="str">
        <f>IFERROR(VLOOKUP($C412,'PORTIFÓLIO'!C:V,2,0),"")</f>
        <v/>
      </c>
      <c r="E412" s="211" t="str">
        <f>IFERROR(VLOOKUP($C412,'PORTIFÓLIO'!C:V,3,0),"")</f>
        <v/>
      </c>
      <c r="F412" s="211" t="str">
        <f>IFERROR(VLOOKUP($C412,'PORTIFÓLIO'!C:V,4,0),"")</f>
        <v/>
      </c>
      <c r="G412" s="215" t="str">
        <f>IFERROR(VLOOKUP($C412,'PORTIFÓLIO'!C:V,5,0),"")</f>
        <v/>
      </c>
      <c r="H412" s="254" t="str">
        <f t="array" ref="H412">IFERROR(INDEX('PORTIFÓLIO'!$H$4:$H$433,MATCH($C412,'PORTIFÓLIO'!$C$4:$C$433,0)),"")</f>
        <v/>
      </c>
      <c r="I412" s="256"/>
      <c r="J412" s="218">
        <f t="shared" si="47"/>
        <v>0</v>
      </c>
      <c r="K412" s="292" t="str">
        <f t="array" ref="K412">IFERROR(I412*INDEX('PORTIFÓLIO'!$S$4:$S$433,MATCH($C412,'PORTIFÓLIO'!$C$4:$C$433,0)),"")</f>
        <v/>
      </c>
      <c r="L412" s="292" t="str">
        <f t="array" ref="L412">IFERROR(J412*INDEX('PORTIFÓLIO'!$S$4:$S$433,MATCH($C412,'PORTIFÓLIO'!$C$4:$C$433,0)),"")</f>
        <v/>
      </c>
      <c r="M412" s="220"/>
      <c r="N412" s="220"/>
      <c r="O412" s="220"/>
      <c r="P412" s="220"/>
      <c r="Q412" s="220"/>
      <c r="R412" s="220"/>
      <c r="S412" s="220"/>
      <c r="T412" s="220"/>
      <c r="U412" s="220"/>
      <c r="V412" s="220"/>
      <c r="W412" s="220"/>
    </row>
    <row r="413" ht="15.75" customHeight="1" outlineLevel="1">
      <c r="A413" s="211"/>
      <c r="B413" s="212"/>
      <c r="C413" s="213"/>
      <c r="D413" s="214" t="str">
        <f>IFERROR(VLOOKUP($C413,'PORTIFÓLIO'!C:V,2,0),"")</f>
        <v/>
      </c>
      <c r="E413" s="211" t="str">
        <f>IFERROR(VLOOKUP($C413,'PORTIFÓLIO'!C:V,3,0),"")</f>
        <v/>
      </c>
      <c r="F413" s="211" t="str">
        <f>IFERROR(VLOOKUP($C413,'PORTIFÓLIO'!C:V,4,0),"")</f>
        <v/>
      </c>
      <c r="G413" s="215" t="str">
        <f>IFERROR(VLOOKUP($C413,'PORTIFÓLIO'!C:V,5,0),"")</f>
        <v/>
      </c>
      <c r="H413" s="254" t="str">
        <f t="array" ref="H413">IFERROR(INDEX('PORTIFÓLIO'!$H$4:$H$433,MATCH($C413,'PORTIFÓLIO'!$C$4:$C$433,0)),"")</f>
        <v/>
      </c>
      <c r="I413" s="256"/>
      <c r="J413" s="218">
        <f t="shared" si="47"/>
        <v>0</v>
      </c>
      <c r="K413" s="292" t="str">
        <f t="array" ref="K413">IFERROR(I413*INDEX('PORTIFÓLIO'!$S$4:$S$433,MATCH($C413,'PORTIFÓLIO'!$C$4:$C$433,0)),"")</f>
        <v/>
      </c>
      <c r="L413" s="292" t="str">
        <f t="array" ref="L413">IFERROR(J413*INDEX('PORTIFÓLIO'!$S$4:$S$433,MATCH($C413,'PORTIFÓLIO'!$C$4:$C$433,0)),"")</f>
        <v/>
      </c>
      <c r="M413" s="220"/>
      <c r="N413" s="220"/>
      <c r="O413" s="220"/>
      <c r="P413" s="220"/>
      <c r="Q413" s="220"/>
      <c r="R413" s="220"/>
      <c r="S413" s="220"/>
      <c r="T413" s="220"/>
      <c r="U413" s="220"/>
      <c r="V413" s="220"/>
      <c r="W413" s="220"/>
    </row>
    <row r="414" ht="15.75" customHeight="1" outlineLevel="1">
      <c r="A414" s="211"/>
      <c r="B414" s="212"/>
      <c r="C414" s="213"/>
      <c r="D414" s="214" t="str">
        <f>IFERROR(VLOOKUP($C414,'PORTIFÓLIO'!C:V,2,0),"")</f>
        <v/>
      </c>
      <c r="E414" s="211" t="str">
        <f>IFERROR(VLOOKUP($C414,'PORTIFÓLIO'!C:V,3,0),"")</f>
        <v/>
      </c>
      <c r="F414" s="211" t="str">
        <f>IFERROR(VLOOKUP($C414,'PORTIFÓLIO'!C:V,4,0),"")</f>
        <v/>
      </c>
      <c r="G414" s="215" t="str">
        <f>IFERROR(VLOOKUP($C414,'PORTIFÓLIO'!C:V,5,0),"")</f>
        <v/>
      </c>
      <c r="H414" s="254" t="str">
        <f t="array" ref="H414">IFERROR(INDEX('PORTIFÓLIO'!$H$4:$H$433,MATCH($C414,'PORTIFÓLIO'!$C$4:$C$433,0)),"")</f>
        <v/>
      </c>
      <c r="I414" s="256"/>
      <c r="J414" s="218">
        <f t="shared" si="47"/>
        <v>0</v>
      </c>
      <c r="K414" s="292" t="str">
        <f t="array" ref="K414">IFERROR(I414*INDEX('PORTIFÓLIO'!$S$4:$S$433,MATCH($C414,'PORTIFÓLIO'!$C$4:$C$433,0)),"")</f>
        <v/>
      </c>
      <c r="L414" s="292" t="str">
        <f t="array" ref="L414">IFERROR(J414*INDEX('PORTIFÓLIO'!$S$4:$S$433,MATCH($C414,'PORTIFÓLIO'!$C$4:$C$433,0)),"")</f>
        <v/>
      </c>
      <c r="M414" s="220"/>
      <c r="N414" s="220"/>
      <c r="O414" s="220"/>
      <c r="P414" s="220"/>
      <c r="Q414" s="220"/>
      <c r="R414" s="220"/>
      <c r="S414" s="220"/>
      <c r="T414" s="220"/>
      <c r="U414" s="220"/>
      <c r="V414" s="220"/>
      <c r="W414" s="220"/>
    </row>
    <row r="415" ht="15.75" customHeight="1" outlineLevel="1">
      <c r="A415" s="211"/>
      <c r="B415" s="212"/>
      <c r="C415" s="213"/>
      <c r="D415" s="214" t="str">
        <f>IFERROR(VLOOKUP($C415,'PORTIFÓLIO'!C:V,2,0),"")</f>
        <v/>
      </c>
      <c r="E415" s="211" t="str">
        <f>IFERROR(VLOOKUP($C415,'PORTIFÓLIO'!C:V,3,0),"")</f>
        <v/>
      </c>
      <c r="F415" s="211" t="str">
        <f>IFERROR(VLOOKUP($C415,'PORTIFÓLIO'!C:V,4,0),"")</f>
        <v/>
      </c>
      <c r="G415" s="215" t="str">
        <f>IFERROR(VLOOKUP($C415,'PORTIFÓLIO'!C:V,5,0),"")</f>
        <v/>
      </c>
      <c r="H415" s="254" t="str">
        <f t="array" ref="H415">IFERROR(INDEX('PORTIFÓLIO'!$H$4:$H$433,MATCH($C415,'PORTIFÓLIO'!$C$4:$C$433,0)),"")</f>
        <v/>
      </c>
      <c r="I415" s="256"/>
      <c r="J415" s="218">
        <f t="shared" si="47"/>
        <v>0</v>
      </c>
      <c r="K415" s="292" t="str">
        <f t="array" ref="K415">IFERROR(I415*INDEX('PORTIFÓLIO'!$S$4:$S$433,MATCH($C415,'PORTIFÓLIO'!$C$4:$C$433,0)),"")</f>
        <v/>
      </c>
      <c r="L415" s="292" t="str">
        <f t="array" ref="L415">IFERROR(J415*INDEX('PORTIFÓLIO'!$S$4:$S$433,MATCH($C415,'PORTIFÓLIO'!$C$4:$C$433,0)),"")</f>
        <v/>
      </c>
      <c r="M415" s="220"/>
      <c r="N415" s="220"/>
      <c r="O415" s="220"/>
      <c r="P415" s="220"/>
      <c r="Q415" s="220"/>
      <c r="R415" s="220"/>
      <c r="S415" s="220"/>
      <c r="T415" s="220"/>
      <c r="U415" s="220"/>
      <c r="V415" s="220"/>
      <c r="W415" s="220"/>
    </row>
    <row r="416" ht="15.75" customHeight="1" outlineLevel="1">
      <c r="A416" s="211"/>
      <c r="B416" s="212"/>
      <c r="C416" s="213"/>
      <c r="D416" s="214" t="str">
        <f>IFERROR(VLOOKUP($C416,'PORTIFÓLIO'!C:V,2,0),"")</f>
        <v/>
      </c>
      <c r="E416" s="211" t="str">
        <f>IFERROR(VLOOKUP($C416,'PORTIFÓLIO'!C:V,3,0),"")</f>
        <v/>
      </c>
      <c r="F416" s="211" t="str">
        <f>IFERROR(VLOOKUP($C416,'PORTIFÓLIO'!C:V,4,0),"")</f>
        <v/>
      </c>
      <c r="G416" s="215" t="str">
        <f>IFERROR(VLOOKUP($C416,'PORTIFÓLIO'!C:V,5,0),"")</f>
        <v/>
      </c>
      <c r="H416" s="254" t="str">
        <f t="array" ref="H416">IFERROR(INDEX('PORTIFÓLIO'!$H$4:$H$433,MATCH($C416,'PORTIFÓLIO'!$C$4:$C$433,0)),"")</f>
        <v/>
      </c>
      <c r="I416" s="256"/>
      <c r="J416" s="218">
        <f t="shared" si="47"/>
        <v>0</v>
      </c>
      <c r="K416" s="292" t="str">
        <f t="array" ref="K416">IFERROR(I416*INDEX('PORTIFÓLIO'!$S$4:$S$433,MATCH($C416,'PORTIFÓLIO'!$C$4:$C$433,0)),"")</f>
        <v/>
      </c>
      <c r="L416" s="292" t="str">
        <f t="array" ref="L416">IFERROR(J416*INDEX('PORTIFÓLIO'!$S$4:$S$433,MATCH($C416,'PORTIFÓLIO'!$C$4:$C$433,0)),"")</f>
        <v/>
      </c>
      <c r="M416" s="220"/>
      <c r="N416" s="220"/>
      <c r="O416" s="220"/>
      <c r="P416" s="220"/>
      <c r="Q416" s="220"/>
      <c r="R416" s="220"/>
      <c r="S416" s="220"/>
      <c r="T416" s="220"/>
      <c r="U416" s="220"/>
      <c r="V416" s="220"/>
      <c r="W416" s="220"/>
    </row>
    <row r="417" ht="15.75" customHeight="1" outlineLevel="1">
      <c r="A417" s="211"/>
      <c r="B417" s="212"/>
      <c r="C417" s="213"/>
      <c r="D417" s="214" t="str">
        <f>IFERROR(VLOOKUP($C417,'PORTIFÓLIO'!C:V,2,0),"")</f>
        <v/>
      </c>
      <c r="E417" s="211" t="str">
        <f>IFERROR(VLOOKUP($C417,'PORTIFÓLIO'!C:V,3,0),"")</f>
        <v/>
      </c>
      <c r="F417" s="211" t="str">
        <f>IFERROR(VLOOKUP($C417,'PORTIFÓLIO'!C:V,4,0),"")</f>
        <v/>
      </c>
      <c r="G417" s="215" t="str">
        <f>IFERROR(VLOOKUP($C417,'PORTIFÓLIO'!C:V,5,0),"")</f>
        <v/>
      </c>
      <c r="H417" s="254" t="str">
        <f t="array" ref="H417">IFERROR(INDEX('PORTIFÓLIO'!$H$4:$H$433,MATCH($C417,'PORTIFÓLIO'!$C$4:$C$433,0)),"")</f>
        <v/>
      </c>
      <c r="I417" s="256"/>
      <c r="J417" s="218">
        <f t="shared" si="47"/>
        <v>0</v>
      </c>
      <c r="K417" s="292" t="str">
        <f t="array" ref="K417">IFERROR(I417*INDEX('PORTIFÓLIO'!$S$4:$S$433,MATCH($C417,'PORTIFÓLIO'!$C$4:$C$433,0)),"")</f>
        <v/>
      </c>
      <c r="L417" s="292" t="str">
        <f t="array" ref="L417">IFERROR(J417*INDEX('PORTIFÓLIO'!$S$4:$S$433,MATCH($C417,'PORTIFÓLIO'!$C$4:$C$433,0)),"")</f>
        <v/>
      </c>
      <c r="M417" s="220"/>
      <c r="N417" s="220"/>
      <c r="O417" s="220"/>
      <c r="P417" s="220"/>
      <c r="Q417" s="220"/>
      <c r="R417" s="220"/>
      <c r="S417" s="220"/>
      <c r="T417" s="220"/>
      <c r="U417" s="220"/>
      <c r="V417" s="220"/>
      <c r="W417" s="220"/>
    </row>
    <row r="418" ht="15.75" customHeight="1" outlineLevel="1">
      <c r="A418" s="211"/>
      <c r="B418" s="212"/>
      <c r="C418" s="213"/>
      <c r="D418" s="214" t="str">
        <f>IFERROR(VLOOKUP($C418,'PORTIFÓLIO'!C:V,2,0),"")</f>
        <v/>
      </c>
      <c r="E418" s="211" t="str">
        <f>IFERROR(VLOOKUP($C418,'PORTIFÓLIO'!C:V,3,0),"")</f>
        <v/>
      </c>
      <c r="F418" s="211" t="str">
        <f>IFERROR(VLOOKUP($C418,'PORTIFÓLIO'!C:V,4,0),"")</f>
        <v/>
      </c>
      <c r="G418" s="215" t="str">
        <f>IFERROR(VLOOKUP($C418,'PORTIFÓLIO'!C:V,5,0),"")</f>
        <v/>
      </c>
      <c r="H418" s="254" t="str">
        <f t="array" ref="H418">IFERROR(INDEX('PORTIFÓLIO'!$H$4:$H$433,MATCH($C418,'PORTIFÓLIO'!$C$4:$C$433,0)),"")</f>
        <v/>
      </c>
      <c r="I418" s="255"/>
      <c r="J418" s="218">
        <f t="shared" si="47"/>
        <v>0</v>
      </c>
      <c r="K418" s="292" t="str">
        <f t="array" ref="K418">IFERROR(I418*INDEX('PORTIFÓLIO'!$S$4:$S$433,MATCH($C418,'PORTIFÓLIO'!$C$4:$C$433,0)),"")</f>
        <v/>
      </c>
      <c r="L418" s="292" t="str">
        <f t="array" ref="L418">IFERROR(J418*INDEX('PORTIFÓLIO'!$S$4:$S$433,MATCH($C418,'PORTIFÓLIO'!$C$4:$C$433,0)),"")</f>
        <v/>
      </c>
      <c r="M418" s="220"/>
      <c r="N418" s="220"/>
      <c r="O418" s="220"/>
      <c r="P418" s="220"/>
      <c r="Q418" s="220"/>
      <c r="R418" s="220"/>
      <c r="S418" s="220"/>
      <c r="T418" s="220"/>
      <c r="U418" s="220"/>
      <c r="V418" s="220"/>
      <c r="W418" s="220"/>
    </row>
    <row r="419" ht="15.75" customHeight="1" outlineLevel="1">
      <c r="A419" s="211"/>
      <c r="B419" s="212"/>
      <c r="C419" s="213"/>
      <c r="D419" s="214" t="str">
        <f>IFERROR(VLOOKUP($C419,'PORTIFÓLIO'!C:V,2,0),"")</f>
        <v/>
      </c>
      <c r="E419" s="211" t="str">
        <f>IFERROR(VLOOKUP($C419,'PORTIFÓLIO'!C:V,3,0),"")</f>
        <v/>
      </c>
      <c r="F419" s="211" t="str">
        <f>IFERROR(VLOOKUP($C419,'PORTIFÓLIO'!C:V,4,0),"")</f>
        <v/>
      </c>
      <c r="G419" s="215" t="str">
        <f>IFERROR(VLOOKUP($C419,'PORTIFÓLIO'!C:V,5,0),"")</f>
        <v/>
      </c>
      <c r="H419" s="254" t="str">
        <f t="array" ref="H419">IFERROR(INDEX('PORTIFÓLIO'!$H$4:$H$433,MATCH($C419,'PORTIFÓLIO'!$C$4:$C$433,0)),"")</f>
        <v/>
      </c>
      <c r="I419" s="256"/>
      <c r="J419" s="218">
        <f t="shared" si="47"/>
        <v>0</v>
      </c>
      <c r="K419" s="292" t="str">
        <f t="array" ref="K419">IFERROR(I419*INDEX('PORTIFÓLIO'!$S$4:$S$433,MATCH($C419,'PORTIFÓLIO'!$C$4:$C$433,0)),"")</f>
        <v/>
      </c>
      <c r="L419" s="292" t="str">
        <f t="array" ref="L419">IFERROR(J419*INDEX('PORTIFÓLIO'!$S$4:$S$433,MATCH($C419,'PORTIFÓLIO'!$C$4:$C$433,0)),"")</f>
        <v/>
      </c>
      <c r="M419" s="220"/>
      <c r="N419" s="220"/>
      <c r="O419" s="220"/>
      <c r="P419" s="220"/>
      <c r="Q419" s="220"/>
      <c r="R419" s="220"/>
      <c r="S419" s="220"/>
      <c r="T419" s="220"/>
      <c r="U419" s="220"/>
      <c r="V419" s="220"/>
      <c r="W419" s="220"/>
    </row>
    <row r="420" ht="15.75" customHeight="1" outlineLevel="1">
      <c r="A420" s="211"/>
      <c r="B420" s="212"/>
      <c r="C420" s="213"/>
      <c r="D420" s="214" t="str">
        <f>IFERROR(VLOOKUP($C420,'PORTIFÓLIO'!C:V,2,0),"")</f>
        <v/>
      </c>
      <c r="E420" s="211" t="str">
        <f>IFERROR(VLOOKUP($C420,'PORTIFÓLIO'!C:V,3,0),"")</f>
        <v/>
      </c>
      <c r="F420" s="211" t="str">
        <f>IFERROR(VLOOKUP($C420,'PORTIFÓLIO'!C:V,4,0),"")</f>
        <v/>
      </c>
      <c r="G420" s="215" t="str">
        <f>IFERROR(VLOOKUP($C420,'PORTIFÓLIO'!C:V,5,0),"")</f>
        <v/>
      </c>
      <c r="H420" s="254" t="str">
        <f t="array" ref="H420">IFERROR(INDEX('PORTIFÓLIO'!$H$4:$H$433,MATCH($C420,'PORTIFÓLIO'!$C$4:$C$433,0)),"")</f>
        <v/>
      </c>
      <c r="I420" s="256"/>
      <c r="J420" s="218">
        <f t="shared" si="47"/>
        <v>0</v>
      </c>
      <c r="K420" s="292" t="str">
        <f t="array" ref="K420">IFERROR(I420*INDEX('PORTIFÓLIO'!$S$4:$S$433,MATCH($C420,'PORTIFÓLIO'!$C$4:$C$433,0)),"")</f>
        <v/>
      </c>
      <c r="L420" s="292" t="str">
        <f t="array" ref="L420">IFERROR(J420*INDEX('PORTIFÓLIO'!$S$4:$S$433,MATCH($C420,'PORTIFÓLIO'!$C$4:$C$433,0)),"")</f>
        <v/>
      </c>
      <c r="M420" s="220"/>
      <c r="N420" s="220"/>
      <c r="O420" s="220"/>
      <c r="P420" s="220"/>
      <c r="Q420" s="220"/>
      <c r="R420" s="220"/>
      <c r="S420" s="220"/>
      <c r="T420" s="220"/>
      <c r="U420" s="220"/>
      <c r="V420" s="220"/>
      <c r="W420" s="220"/>
    </row>
    <row r="421" ht="15.75" customHeight="1" outlineLevel="1">
      <c r="A421" s="211"/>
      <c r="B421" s="212"/>
      <c r="C421" s="213"/>
      <c r="D421" s="214" t="str">
        <f>IFERROR(VLOOKUP($C421,'PORTIFÓLIO'!C:V,2,0),"")</f>
        <v/>
      </c>
      <c r="E421" s="211" t="str">
        <f>IFERROR(VLOOKUP($C421,'PORTIFÓLIO'!C:V,3,0),"")</f>
        <v/>
      </c>
      <c r="F421" s="211" t="str">
        <f>IFERROR(VLOOKUP($C421,'PORTIFÓLIO'!C:V,4,0),"")</f>
        <v/>
      </c>
      <c r="G421" s="215" t="str">
        <f>IFERROR(VLOOKUP($C421,'PORTIFÓLIO'!C:V,5,0),"")</f>
        <v/>
      </c>
      <c r="H421" s="254" t="str">
        <f t="array" ref="H421">IFERROR(INDEX('PORTIFÓLIO'!$H$4:$H$433,MATCH($C421,'PORTIFÓLIO'!$C$4:$C$433,0)),"")</f>
        <v/>
      </c>
      <c r="I421" s="256"/>
      <c r="J421" s="218">
        <f t="shared" si="47"/>
        <v>0</v>
      </c>
      <c r="K421" s="292" t="str">
        <f t="array" ref="K421">IFERROR(I421*INDEX('PORTIFÓLIO'!$S$4:$S$433,MATCH($C421,'PORTIFÓLIO'!$C$4:$C$433,0)),"")</f>
        <v/>
      </c>
      <c r="L421" s="292" t="str">
        <f t="array" ref="L421">IFERROR(J421*INDEX('PORTIFÓLIO'!$S$4:$S$433,MATCH($C421,'PORTIFÓLIO'!$C$4:$C$433,0)),"")</f>
        <v/>
      </c>
      <c r="M421" s="220"/>
      <c r="N421" s="220"/>
      <c r="O421" s="220"/>
      <c r="P421" s="220"/>
      <c r="Q421" s="220"/>
      <c r="R421" s="220"/>
      <c r="S421" s="220"/>
      <c r="T421" s="220"/>
      <c r="U421" s="220"/>
      <c r="V421" s="220"/>
      <c r="W421" s="220"/>
    </row>
    <row r="422" ht="15.75" customHeight="1" outlineLevel="1">
      <c r="A422" s="211"/>
      <c r="B422" s="212"/>
      <c r="C422" s="213"/>
      <c r="D422" s="214" t="str">
        <f>IFERROR(VLOOKUP($C422,'PORTIFÓLIO'!C:V,2,0),"")</f>
        <v/>
      </c>
      <c r="E422" s="211" t="str">
        <f>IFERROR(VLOOKUP($C422,'PORTIFÓLIO'!C:V,3,0),"")</f>
        <v/>
      </c>
      <c r="F422" s="211" t="str">
        <f>IFERROR(VLOOKUP($C422,'PORTIFÓLIO'!C:V,4,0),"")</f>
        <v/>
      </c>
      <c r="G422" s="215" t="str">
        <f>IFERROR(VLOOKUP($C422,'PORTIFÓLIO'!C:V,5,0),"")</f>
        <v/>
      </c>
      <c r="H422" s="254" t="str">
        <f t="array" ref="H422">IFERROR(INDEX('PORTIFÓLIO'!$H$4:$H$433,MATCH($C422,'PORTIFÓLIO'!$C$4:$C$433,0)),"")</f>
        <v/>
      </c>
      <c r="I422" s="256"/>
      <c r="J422" s="218">
        <f t="shared" si="47"/>
        <v>0</v>
      </c>
      <c r="K422" s="292" t="str">
        <f t="array" ref="K422">IFERROR(I422*INDEX('PORTIFÓLIO'!$S$4:$S$433,MATCH($C422,'PORTIFÓLIO'!$C$4:$C$433,0)),"")</f>
        <v/>
      </c>
      <c r="L422" s="292" t="str">
        <f t="array" ref="L422">IFERROR(J422*INDEX('PORTIFÓLIO'!$S$4:$S$433,MATCH($C422,'PORTIFÓLIO'!$C$4:$C$433,0)),"")</f>
        <v/>
      </c>
      <c r="M422" s="220"/>
      <c r="N422" s="220"/>
      <c r="O422" s="220"/>
      <c r="P422" s="220"/>
      <c r="Q422" s="220"/>
      <c r="R422" s="220"/>
      <c r="S422" s="220"/>
      <c r="T422" s="220"/>
      <c r="U422" s="220"/>
      <c r="V422" s="220"/>
      <c r="W422" s="220"/>
    </row>
    <row r="423" ht="15.75" customHeight="1" outlineLevel="1">
      <c r="A423" s="211"/>
      <c r="B423" s="212"/>
      <c r="C423" s="213"/>
      <c r="D423" s="214" t="str">
        <f>IFERROR(VLOOKUP($C423,'PORTIFÓLIO'!C:V,2,0),"")</f>
        <v/>
      </c>
      <c r="E423" s="211" t="str">
        <f>IFERROR(VLOOKUP($C423,'PORTIFÓLIO'!C:V,3,0),"")</f>
        <v/>
      </c>
      <c r="F423" s="211" t="str">
        <f>IFERROR(VLOOKUP($C423,'PORTIFÓLIO'!C:V,4,0),"")</f>
        <v/>
      </c>
      <c r="G423" s="215" t="str">
        <f>IFERROR(VLOOKUP($C423,'PORTIFÓLIO'!C:V,5,0),"")</f>
        <v/>
      </c>
      <c r="H423" s="254" t="str">
        <f t="array" ref="H423">IFERROR(INDEX('PORTIFÓLIO'!$H$4:$H$433,MATCH($C423,'PORTIFÓLIO'!$C$4:$C$433,0)),"")</f>
        <v/>
      </c>
      <c r="I423" s="256"/>
      <c r="J423" s="218">
        <f t="shared" si="47"/>
        <v>0</v>
      </c>
      <c r="K423" s="292" t="str">
        <f t="array" ref="K423">IFERROR(I423*INDEX('PORTIFÓLIO'!$S$4:$S$433,MATCH($C423,'PORTIFÓLIO'!$C$4:$C$433,0)),"")</f>
        <v/>
      </c>
      <c r="L423" s="292" t="str">
        <f t="array" ref="L423">IFERROR(J423*INDEX('PORTIFÓLIO'!$S$4:$S$433,MATCH($C423,'PORTIFÓLIO'!$C$4:$C$433,0)),"")</f>
        <v/>
      </c>
      <c r="M423" s="220"/>
      <c r="N423" s="220"/>
      <c r="O423" s="220"/>
      <c r="P423" s="220"/>
      <c r="Q423" s="220"/>
      <c r="R423" s="220"/>
      <c r="S423" s="220"/>
      <c r="T423" s="220"/>
      <c r="U423" s="220"/>
      <c r="V423" s="220"/>
      <c r="W423" s="220"/>
    </row>
    <row r="424" ht="15.75" customHeight="1" outlineLevel="1">
      <c r="A424" s="211"/>
      <c r="B424" s="212"/>
      <c r="C424" s="213"/>
      <c r="D424" s="214" t="str">
        <f>IFERROR(VLOOKUP($C424,'PORTIFÓLIO'!C:V,2,0),"")</f>
        <v/>
      </c>
      <c r="E424" s="211" t="str">
        <f>IFERROR(VLOOKUP($C424,'PORTIFÓLIO'!C:V,3,0),"")</f>
        <v/>
      </c>
      <c r="F424" s="211" t="str">
        <f>IFERROR(VLOOKUP($C424,'PORTIFÓLIO'!C:V,4,0),"")</f>
        <v/>
      </c>
      <c r="G424" s="215" t="str">
        <f>IFERROR(VLOOKUP($C424,'PORTIFÓLIO'!C:V,5,0),"")</f>
        <v/>
      </c>
      <c r="H424" s="254" t="str">
        <f t="array" ref="H424">IFERROR(INDEX('PORTIFÓLIO'!$H$4:$H$433,MATCH($C424,'PORTIFÓLIO'!$C$4:$C$433,0)),"")</f>
        <v/>
      </c>
      <c r="I424" s="256"/>
      <c r="J424" s="218">
        <f t="shared" si="47"/>
        <v>0</v>
      </c>
      <c r="K424" s="292" t="str">
        <f t="array" ref="K424">IFERROR(I424*INDEX('PORTIFÓLIO'!$S$4:$S$433,MATCH($C424,'PORTIFÓLIO'!$C$4:$C$433,0)),"")</f>
        <v/>
      </c>
      <c r="L424" s="292" t="str">
        <f t="array" ref="L424">IFERROR(J424*INDEX('PORTIFÓLIO'!$S$4:$S$433,MATCH($C424,'PORTIFÓLIO'!$C$4:$C$433,0)),"")</f>
        <v/>
      </c>
      <c r="M424" s="220"/>
      <c r="N424" s="220"/>
      <c r="O424" s="220"/>
      <c r="P424" s="220"/>
      <c r="Q424" s="220"/>
      <c r="R424" s="220"/>
      <c r="S424" s="220"/>
      <c r="T424" s="220"/>
      <c r="U424" s="220"/>
      <c r="V424" s="220"/>
      <c r="W424" s="220"/>
    </row>
    <row r="425" ht="15.75" customHeight="1" outlineLevel="1">
      <c r="A425" s="211"/>
      <c r="B425" s="227"/>
      <c r="C425" s="211"/>
      <c r="D425" s="214" t="str">
        <f>IFERROR(VLOOKUP($C425,'PORTIFÓLIO'!C:V,2,0),"")</f>
        <v/>
      </c>
      <c r="E425" s="211" t="str">
        <f>IFERROR(VLOOKUP($C425,'PORTIFÓLIO'!C:V,3,0),"")</f>
        <v/>
      </c>
      <c r="F425" s="211" t="str">
        <f>IFERROR(VLOOKUP($C425,'PORTIFÓLIO'!C:V,4,0),"")</f>
        <v/>
      </c>
      <c r="G425" s="215" t="str">
        <f>IFERROR(VLOOKUP($C425,'PORTIFÓLIO'!C:V,5,0),"")</f>
        <v/>
      </c>
      <c r="H425" s="254" t="str">
        <f t="array" ref="H425">IFERROR(INDEX('PORTIFÓLIO'!$H$4:$H$433,MATCH($C425,'PORTIFÓLIO'!$C$4:$C$433,0)),"")</f>
        <v/>
      </c>
      <c r="I425" s="256"/>
      <c r="J425" s="218">
        <f t="shared" si="47"/>
        <v>0</v>
      </c>
      <c r="K425" s="292" t="str">
        <f t="array" ref="K425">IFERROR(I425*INDEX('PORTIFÓLIO'!$S$4:$S$433,MATCH($C425,'PORTIFÓLIO'!$C$4:$C$433,0)),"")</f>
        <v/>
      </c>
      <c r="L425" s="292" t="str">
        <f t="array" ref="L425">IFERROR(J425*INDEX('PORTIFÓLIO'!$S$4:$S$433,MATCH($C425,'PORTIFÓLIO'!$C$4:$C$433,0)),"")</f>
        <v/>
      </c>
      <c r="M425" s="220"/>
      <c r="N425" s="220"/>
      <c r="O425" s="220"/>
      <c r="P425" s="220"/>
      <c r="Q425" s="220"/>
      <c r="R425" s="220"/>
      <c r="S425" s="220"/>
      <c r="T425" s="220"/>
      <c r="U425" s="220"/>
      <c r="V425" s="220"/>
      <c r="W425" s="220"/>
    </row>
    <row r="426" ht="15.75" customHeight="1" outlineLevel="1">
      <c r="A426" s="211"/>
      <c r="B426" s="227"/>
      <c r="C426" s="211"/>
      <c r="D426" s="214" t="str">
        <f>IFERROR(VLOOKUP($C426,'PORTIFÓLIO'!C:V,2,0),"")</f>
        <v/>
      </c>
      <c r="E426" s="211" t="str">
        <f>IFERROR(VLOOKUP($C426,'PORTIFÓLIO'!C:V,3,0),"")</f>
        <v/>
      </c>
      <c r="F426" s="211" t="str">
        <f>IFERROR(VLOOKUP($C426,'PORTIFÓLIO'!C:V,4,0),"")</f>
        <v/>
      </c>
      <c r="G426" s="215" t="str">
        <f>IFERROR(VLOOKUP($C426,'PORTIFÓLIO'!C:V,5,0),"")</f>
        <v/>
      </c>
      <c r="H426" s="254" t="str">
        <f t="array" ref="H426">IFERROR(INDEX('PORTIFÓLIO'!$H$4:$H$433,MATCH($C426,'PORTIFÓLIO'!$C$4:$C$433,0)),"")</f>
        <v/>
      </c>
      <c r="I426" s="256"/>
      <c r="J426" s="218">
        <f t="shared" si="47"/>
        <v>0</v>
      </c>
      <c r="K426" s="292" t="str">
        <f t="array" ref="K426">IFERROR(I426*INDEX('PORTIFÓLIO'!$S$4:$S$433,MATCH($C426,'PORTIFÓLIO'!$C$4:$C$433,0)),"")</f>
        <v/>
      </c>
      <c r="L426" s="292" t="str">
        <f t="array" ref="L426">IFERROR(J426*INDEX('PORTIFÓLIO'!$S$4:$S$433,MATCH($C426,'PORTIFÓLIO'!$C$4:$C$433,0)),"")</f>
        <v/>
      </c>
      <c r="U426" s="79"/>
    </row>
    <row r="427" ht="15.75" customHeight="1">
      <c r="A427" s="229" t="s">
        <v>1202</v>
      </c>
      <c r="B427" s="230"/>
      <c r="C427" s="231"/>
      <c r="D427" s="232"/>
      <c r="E427" s="231"/>
      <c r="F427" s="231"/>
      <c r="G427" s="233"/>
      <c r="H427" s="233"/>
      <c r="I427" s="258"/>
      <c r="J427" s="236"/>
      <c r="K427" s="237">
        <f t="shared" ref="K427:L427" si="48">SUBTOTAL(9,K428:K441)</f>
        <v>0</v>
      </c>
      <c r="L427" s="237">
        <f t="shared" si="48"/>
        <v>0</v>
      </c>
      <c r="U427" s="79"/>
    </row>
    <row r="428" ht="15.75" customHeight="1" outlineLevel="1">
      <c r="A428" s="213"/>
      <c r="B428" s="212"/>
      <c r="C428" s="213"/>
      <c r="D428" s="214" t="str">
        <f>IFERROR(VLOOKUP($C428,'PORTIFÓLIO'!C:V,2,0),"")</f>
        <v/>
      </c>
      <c r="E428" s="211" t="str">
        <f>IFERROR(VLOOKUP($C428,'PORTIFÓLIO'!C:V,3,0),"")</f>
        <v/>
      </c>
      <c r="F428" s="211" t="str">
        <f>IFERROR(VLOOKUP($C428,'PORTIFÓLIO'!C:V,4,0),"")</f>
        <v/>
      </c>
      <c r="G428" s="215" t="str">
        <f>IFERROR(VLOOKUP($C428,'PORTIFÓLIO'!C:V,5,0),"")</f>
        <v/>
      </c>
      <c r="H428" s="254" t="str">
        <f t="array" ref="H428">IFERROR(INDEX('PORTIFÓLIO'!$H$4:$H$433,MATCH($C428,'PORTIFÓLIO'!$C$4:$C$433,0)),"")</f>
        <v/>
      </c>
      <c r="I428" s="256"/>
      <c r="J428" s="218">
        <f t="shared" ref="J428:J451" si="49">I428*$B$2</f>
        <v>0</v>
      </c>
      <c r="K428" s="292" t="str">
        <f t="array" ref="K428">IFERROR(I428*INDEX('PORTIFÓLIO'!$S$4:$S$433,MATCH($C428,'PORTIFÓLIO'!$C$4:$C$433,0)),"")</f>
        <v/>
      </c>
      <c r="L428" s="292" t="str">
        <f t="array" ref="L428">IFERROR(J428*INDEX('PORTIFÓLIO'!$S$4:$S$433,MATCH($C428,'PORTIFÓLIO'!$C$4:$C$433,0)),"")</f>
        <v/>
      </c>
      <c r="U428" s="79"/>
    </row>
    <row r="429" ht="15.75" customHeight="1" outlineLevel="1">
      <c r="A429" s="211"/>
      <c r="B429" s="212"/>
      <c r="C429" s="213"/>
      <c r="D429" s="214" t="str">
        <f>IFERROR(VLOOKUP($C429,'PORTIFÓLIO'!C:V,2,0),"")</f>
        <v/>
      </c>
      <c r="E429" s="211" t="str">
        <f>IFERROR(VLOOKUP($C429,'PORTIFÓLIO'!C:V,3,0),"")</f>
        <v/>
      </c>
      <c r="F429" s="211" t="str">
        <f>IFERROR(VLOOKUP($C429,'PORTIFÓLIO'!C:V,4,0),"")</f>
        <v/>
      </c>
      <c r="G429" s="215" t="str">
        <f>IFERROR(VLOOKUP($C429,'PORTIFÓLIO'!C:V,5,0),"")</f>
        <v/>
      </c>
      <c r="H429" s="254" t="str">
        <f t="array" ref="H429">IFERROR(INDEX('PORTIFÓLIO'!$H$4:$H$433,MATCH($C429,'PORTIFÓLIO'!$C$4:$C$433,0)),"")</f>
        <v/>
      </c>
      <c r="I429" s="256"/>
      <c r="J429" s="218">
        <f t="shared" si="49"/>
        <v>0</v>
      </c>
      <c r="K429" s="292" t="str">
        <f t="array" ref="K429">IFERROR(I429*INDEX('PORTIFÓLIO'!$S$4:$S$433,MATCH($C429,'PORTIFÓLIO'!$C$4:$C$433,0)),"")</f>
        <v/>
      </c>
      <c r="L429" s="292" t="str">
        <f t="array" ref="L429">IFERROR(J429*INDEX('PORTIFÓLIO'!$S$4:$S$433,MATCH($C429,'PORTIFÓLIO'!$C$4:$C$433,0)),"")</f>
        <v/>
      </c>
      <c r="U429" s="79"/>
    </row>
    <row r="430" ht="15.75" customHeight="1" outlineLevel="1">
      <c r="A430" s="211"/>
      <c r="B430" s="212"/>
      <c r="C430" s="213"/>
      <c r="D430" s="214" t="str">
        <f>IFERROR(VLOOKUP($C430,'PORTIFÓLIO'!C:V,2,0),"")</f>
        <v/>
      </c>
      <c r="E430" s="211" t="str">
        <f>IFERROR(VLOOKUP($C430,'PORTIFÓLIO'!C:V,3,0),"")</f>
        <v/>
      </c>
      <c r="F430" s="211" t="str">
        <f>IFERROR(VLOOKUP($C430,'PORTIFÓLIO'!C:V,4,0),"")</f>
        <v/>
      </c>
      <c r="G430" s="215" t="str">
        <f>IFERROR(VLOOKUP($C430,'PORTIFÓLIO'!C:V,5,0),"")</f>
        <v/>
      </c>
      <c r="H430" s="254" t="str">
        <f t="array" ref="H430">IFERROR(INDEX('PORTIFÓLIO'!$H$4:$H$433,MATCH($C430,'PORTIFÓLIO'!$C$4:$C$433,0)),"")</f>
        <v/>
      </c>
      <c r="I430" s="256"/>
      <c r="J430" s="218">
        <f t="shared" si="49"/>
        <v>0</v>
      </c>
      <c r="K430" s="292" t="str">
        <f t="array" ref="K430">IFERROR(I430*INDEX('PORTIFÓLIO'!$S$4:$S$433,MATCH($C430,'PORTIFÓLIO'!$C$4:$C$433,0)),"")</f>
        <v/>
      </c>
      <c r="L430" s="292" t="str">
        <f t="array" ref="L430">IFERROR(J430*INDEX('PORTIFÓLIO'!$S$4:$S$433,MATCH($C430,'PORTIFÓLIO'!$C$4:$C$433,0)),"")</f>
        <v/>
      </c>
      <c r="U430" s="79"/>
    </row>
    <row r="431" ht="15.75" customHeight="1" outlineLevel="1">
      <c r="A431" s="211"/>
      <c r="B431" s="212"/>
      <c r="C431" s="213"/>
      <c r="D431" s="214" t="str">
        <f>IFERROR(VLOOKUP($C431,'PORTIFÓLIO'!C:V,2,0),"")</f>
        <v/>
      </c>
      <c r="E431" s="211" t="str">
        <f>IFERROR(VLOOKUP($C431,'PORTIFÓLIO'!C:V,3,0),"")</f>
        <v/>
      </c>
      <c r="F431" s="211" t="str">
        <f>IFERROR(VLOOKUP($C431,'PORTIFÓLIO'!C:V,4,0),"")</f>
        <v/>
      </c>
      <c r="G431" s="215" t="str">
        <f>IFERROR(VLOOKUP($C431,'PORTIFÓLIO'!C:V,5,0),"")</f>
        <v/>
      </c>
      <c r="H431" s="254" t="str">
        <f t="array" ref="H431">IFERROR(INDEX('PORTIFÓLIO'!$H$4:$H$433,MATCH($C431,'PORTIFÓLIO'!$C$4:$C$433,0)),"")</f>
        <v/>
      </c>
      <c r="I431" s="256"/>
      <c r="J431" s="218">
        <f t="shared" si="49"/>
        <v>0</v>
      </c>
      <c r="K431" s="292" t="str">
        <f t="array" ref="K431">IFERROR(I431*INDEX('PORTIFÓLIO'!$S$4:$S$433,MATCH($C431,'PORTIFÓLIO'!$C$4:$C$433,0)),"")</f>
        <v/>
      </c>
      <c r="L431" s="292" t="str">
        <f t="array" ref="L431">IFERROR(J431*INDEX('PORTIFÓLIO'!$S$4:$S$433,MATCH($C431,'PORTIFÓLIO'!$C$4:$C$433,0)),"")</f>
        <v/>
      </c>
      <c r="U431" s="79"/>
    </row>
    <row r="432" ht="15.75" customHeight="1" outlineLevel="1">
      <c r="A432" s="211"/>
      <c r="B432" s="212"/>
      <c r="C432" s="213"/>
      <c r="D432" s="214" t="str">
        <f>IFERROR(VLOOKUP($C432,'PORTIFÓLIO'!C:V,2,0),"")</f>
        <v/>
      </c>
      <c r="E432" s="211" t="str">
        <f>IFERROR(VLOOKUP($C432,'PORTIFÓLIO'!C:V,3,0),"")</f>
        <v/>
      </c>
      <c r="F432" s="211" t="str">
        <f>IFERROR(VLOOKUP($C432,'PORTIFÓLIO'!C:V,4,0),"")</f>
        <v/>
      </c>
      <c r="G432" s="215" t="str">
        <f>IFERROR(VLOOKUP($C432,'PORTIFÓLIO'!C:V,5,0),"")</f>
        <v/>
      </c>
      <c r="H432" s="254" t="str">
        <f t="array" ref="H432">IFERROR(INDEX('PORTIFÓLIO'!$H$4:$H$433,MATCH($C432,'PORTIFÓLIO'!$C$4:$C$433,0)),"")</f>
        <v/>
      </c>
      <c r="I432" s="256"/>
      <c r="J432" s="218">
        <f t="shared" si="49"/>
        <v>0</v>
      </c>
      <c r="K432" s="292" t="str">
        <f t="array" ref="K432">IFERROR(I432*INDEX('PORTIFÓLIO'!$S$4:$S$433,MATCH($C432,'PORTIFÓLIO'!$C$4:$C$433,0)),"")</f>
        <v/>
      </c>
      <c r="L432" s="292" t="str">
        <f t="array" ref="L432">IFERROR(J432*INDEX('PORTIFÓLIO'!$S$4:$S$433,MATCH($C432,'PORTIFÓLIO'!$C$4:$C$433,0)),"")</f>
        <v/>
      </c>
      <c r="U432" s="79"/>
    </row>
    <row r="433" ht="15.75" customHeight="1" outlineLevel="1">
      <c r="A433" s="211"/>
      <c r="B433" s="212"/>
      <c r="C433" s="213"/>
      <c r="D433" s="214" t="str">
        <f>IFERROR(VLOOKUP($C433,'PORTIFÓLIO'!C:V,2,0),"")</f>
        <v/>
      </c>
      <c r="E433" s="211" t="str">
        <f>IFERROR(VLOOKUP($C433,'PORTIFÓLIO'!C:V,3,0),"")</f>
        <v/>
      </c>
      <c r="F433" s="211" t="str">
        <f>IFERROR(VLOOKUP($C433,'PORTIFÓLIO'!C:V,4,0),"")</f>
        <v/>
      </c>
      <c r="G433" s="215" t="str">
        <f>IFERROR(VLOOKUP($C433,'PORTIFÓLIO'!C:V,5,0),"")</f>
        <v/>
      </c>
      <c r="H433" s="254" t="str">
        <f t="array" ref="H433">IFERROR(INDEX('PORTIFÓLIO'!$H$4:$H$433,MATCH($C433,'PORTIFÓLIO'!$C$4:$C$433,0)),"")</f>
        <v/>
      </c>
      <c r="I433" s="256"/>
      <c r="J433" s="218">
        <f t="shared" si="49"/>
        <v>0</v>
      </c>
      <c r="K433" s="292" t="str">
        <f t="array" ref="K433">IFERROR(I433*INDEX('PORTIFÓLIO'!$S$4:$S$433,MATCH($C433,'PORTIFÓLIO'!$C$4:$C$433,0)),"")</f>
        <v/>
      </c>
      <c r="L433" s="292" t="str">
        <f t="array" ref="L433">IFERROR(J433*INDEX('PORTIFÓLIO'!$S$4:$S$433,MATCH($C433,'PORTIFÓLIO'!$C$4:$C$433,0)),"")</f>
        <v/>
      </c>
      <c r="U433" s="79"/>
    </row>
    <row r="434" ht="15.75" customHeight="1" outlineLevel="1">
      <c r="A434" s="211"/>
      <c r="B434" s="212"/>
      <c r="C434" s="213"/>
      <c r="D434" s="214" t="str">
        <f>IFERROR(VLOOKUP($C434,'PORTIFÓLIO'!C:V,2,0),"")</f>
        <v/>
      </c>
      <c r="E434" s="211" t="str">
        <f>IFERROR(VLOOKUP($C434,'PORTIFÓLIO'!C:V,3,0),"")</f>
        <v/>
      </c>
      <c r="F434" s="211" t="str">
        <f>IFERROR(VLOOKUP($C434,'PORTIFÓLIO'!C:V,4,0),"")</f>
        <v/>
      </c>
      <c r="G434" s="215" t="str">
        <f>IFERROR(VLOOKUP($C434,'PORTIFÓLIO'!C:V,5,0),"")</f>
        <v/>
      </c>
      <c r="H434" s="254" t="str">
        <f t="array" ref="H434">IFERROR(INDEX('PORTIFÓLIO'!$H$4:$H$433,MATCH($C434,'PORTIFÓLIO'!$C$4:$C$433,0)),"")</f>
        <v/>
      </c>
      <c r="I434" s="256"/>
      <c r="J434" s="218">
        <f t="shared" si="49"/>
        <v>0</v>
      </c>
      <c r="K434" s="292" t="str">
        <f t="array" ref="K434">IFERROR(I434*INDEX('PORTIFÓLIO'!$S$4:$S$433,MATCH($C434,'PORTIFÓLIO'!$C$4:$C$433,0)),"")</f>
        <v/>
      </c>
      <c r="L434" s="292" t="str">
        <f t="array" ref="L434">IFERROR(J434*INDEX('PORTIFÓLIO'!$S$4:$S$433,MATCH($C434,'PORTIFÓLIO'!$C$4:$C$433,0)),"")</f>
        <v/>
      </c>
      <c r="U434" s="79"/>
    </row>
    <row r="435" ht="15.75" customHeight="1" outlineLevel="1">
      <c r="A435" s="211"/>
      <c r="B435" s="212"/>
      <c r="C435" s="213"/>
      <c r="D435" s="214" t="str">
        <f>IFERROR(VLOOKUP($C435,'PORTIFÓLIO'!C:V,2,0),"")</f>
        <v/>
      </c>
      <c r="E435" s="211" t="str">
        <f>IFERROR(VLOOKUP($C435,'PORTIFÓLIO'!C:V,3,0),"")</f>
        <v/>
      </c>
      <c r="F435" s="211" t="str">
        <f>IFERROR(VLOOKUP($C435,'PORTIFÓLIO'!C:V,4,0),"")</f>
        <v/>
      </c>
      <c r="G435" s="215" t="str">
        <f>IFERROR(VLOOKUP($C435,'PORTIFÓLIO'!C:V,5,0),"")</f>
        <v/>
      </c>
      <c r="H435" s="254" t="str">
        <f t="array" ref="H435">IFERROR(INDEX('PORTIFÓLIO'!$H$4:$H$433,MATCH($C435,'PORTIFÓLIO'!$C$4:$C$433,0)),"")</f>
        <v/>
      </c>
      <c r="I435" s="256"/>
      <c r="J435" s="218">
        <f t="shared" si="49"/>
        <v>0</v>
      </c>
      <c r="K435" s="292" t="str">
        <f t="array" ref="K435">IFERROR(I435*INDEX('PORTIFÓLIO'!$S$4:$S$433,MATCH($C435,'PORTIFÓLIO'!$C$4:$C$433,0)),"")</f>
        <v/>
      </c>
      <c r="L435" s="292" t="str">
        <f t="array" ref="L435">IFERROR(J435*INDEX('PORTIFÓLIO'!$S$4:$S$433,MATCH($C435,'PORTIFÓLIO'!$C$4:$C$433,0)),"")</f>
        <v/>
      </c>
      <c r="U435" s="79"/>
    </row>
    <row r="436" ht="15.75" customHeight="1" outlineLevel="1">
      <c r="A436" s="211"/>
      <c r="B436" s="212"/>
      <c r="C436" s="213"/>
      <c r="D436" s="214" t="str">
        <f>IFERROR(VLOOKUP($C436,'PORTIFÓLIO'!C:V,2,0),"")</f>
        <v/>
      </c>
      <c r="E436" s="211" t="str">
        <f>IFERROR(VLOOKUP($C436,'PORTIFÓLIO'!C:V,3,0),"")</f>
        <v/>
      </c>
      <c r="F436" s="211" t="str">
        <f>IFERROR(VLOOKUP($C436,'PORTIFÓLIO'!C:V,4,0),"")</f>
        <v/>
      </c>
      <c r="G436" s="215" t="str">
        <f>IFERROR(VLOOKUP($C436,'PORTIFÓLIO'!C:V,5,0),"")</f>
        <v/>
      </c>
      <c r="H436" s="254" t="str">
        <f t="array" ref="H436">IFERROR(INDEX('PORTIFÓLIO'!$H$4:$H$433,MATCH($C436,'PORTIFÓLIO'!$C$4:$C$433,0)),"")</f>
        <v/>
      </c>
      <c r="I436" s="256"/>
      <c r="J436" s="218">
        <f t="shared" si="49"/>
        <v>0</v>
      </c>
      <c r="K436" s="292" t="str">
        <f t="array" ref="K436">IFERROR(I436*INDEX('PORTIFÓLIO'!$S$4:$S$433,MATCH($C436,'PORTIFÓLIO'!$C$4:$C$433,0)),"")</f>
        <v/>
      </c>
      <c r="L436" s="292" t="str">
        <f t="array" ref="L436">IFERROR(J436*INDEX('PORTIFÓLIO'!$S$4:$S$433,MATCH($C436,'PORTIFÓLIO'!$C$4:$C$433,0)),"")</f>
        <v/>
      </c>
      <c r="U436" s="79"/>
    </row>
    <row r="437" ht="15.75" customHeight="1" outlineLevel="1">
      <c r="A437" s="211"/>
      <c r="B437" s="212"/>
      <c r="C437" s="213"/>
      <c r="D437" s="214" t="str">
        <f>IFERROR(VLOOKUP($C437,'PORTIFÓLIO'!C:V,2,0),"")</f>
        <v/>
      </c>
      <c r="E437" s="211" t="str">
        <f>IFERROR(VLOOKUP($C437,'PORTIFÓLIO'!C:V,3,0),"")</f>
        <v/>
      </c>
      <c r="F437" s="211" t="str">
        <f>IFERROR(VLOOKUP($C437,'PORTIFÓLIO'!C:V,4,0),"")</f>
        <v/>
      </c>
      <c r="G437" s="215" t="str">
        <f>IFERROR(VLOOKUP($C437,'PORTIFÓLIO'!C:V,5,0),"")</f>
        <v/>
      </c>
      <c r="H437" s="254" t="str">
        <f t="array" ref="H437">IFERROR(INDEX('PORTIFÓLIO'!$H$4:$H$433,MATCH($C437,'PORTIFÓLIO'!$C$4:$C$433,0)),"")</f>
        <v/>
      </c>
      <c r="I437" s="256"/>
      <c r="J437" s="218">
        <f t="shared" si="49"/>
        <v>0</v>
      </c>
      <c r="K437" s="292" t="str">
        <f t="array" ref="K437">IFERROR(I437*INDEX('PORTIFÓLIO'!$S$4:$S$433,MATCH($C437,'PORTIFÓLIO'!$C$4:$C$433,0)),"")</f>
        <v/>
      </c>
      <c r="L437" s="292" t="str">
        <f t="array" ref="L437">IFERROR(J437*INDEX('PORTIFÓLIO'!$S$4:$S$433,MATCH($C437,'PORTIFÓLIO'!$C$4:$C$433,0)),"")</f>
        <v/>
      </c>
      <c r="U437" s="79"/>
    </row>
    <row r="438" ht="15.75" customHeight="1" outlineLevel="1">
      <c r="A438" s="211"/>
      <c r="B438" s="212"/>
      <c r="C438" s="213"/>
      <c r="D438" s="214" t="str">
        <f>IFERROR(VLOOKUP($C438,'PORTIFÓLIO'!C:V,2,0),"")</f>
        <v/>
      </c>
      <c r="E438" s="211" t="str">
        <f>IFERROR(VLOOKUP($C438,'PORTIFÓLIO'!C:V,3,0),"")</f>
        <v/>
      </c>
      <c r="F438" s="211" t="str">
        <f>IFERROR(VLOOKUP($C438,'PORTIFÓLIO'!C:V,4,0),"")</f>
        <v/>
      </c>
      <c r="G438" s="215" t="str">
        <f>IFERROR(VLOOKUP($C438,'PORTIFÓLIO'!C:V,5,0),"")</f>
        <v/>
      </c>
      <c r="H438" s="254" t="str">
        <f t="array" ref="H438">IFERROR(INDEX('PORTIFÓLIO'!$H$4:$H$433,MATCH($C438,'PORTIFÓLIO'!$C$4:$C$433,0)),"")</f>
        <v/>
      </c>
      <c r="I438" s="256"/>
      <c r="J438" s="218">
        <f t="shared" si="49"/>
        <v>0</v>
      </c>
      <c r="K438" s="292" t="str">
        <f t="array" ref="K438">IFERROR(I438*INDEX('PORTIFÓLIO'!$S$4:$S$433,MATCH($C438,'PORTIFÓLIO'!$C$4:$C$433,0)),"")</f>
        <v/>
      </c>
      <c r="L438" s="292" t="str">
        <f t="array" ref="L438">IFERROR(J438*INDEX('PORTIFÓLIO'!$S$4:$S$433,MATCH($C438,'PORTIFÓLIO'!$C$4:$C$433,0)),"")</f>
        <v/>
      </c>
      <c r="U438" s="79"/>
    </row>
    <row r="439" ht="15.75" customHeight="1" outlineLevel="1">
      <c r="A439" s="211"/>
      <c r="B439" s="212"/>
      <c r="C439" s="213"/>
      <c r="D439" s="214" t="str">
        <f>IFERROR(VLOOKUP($C439,'PORTIFÓLIO'!C:V,2,0),"")</f>
        <v/>
      </c>
      <c r="E439" s="211" t="str">
        <f>IFERROR(VLOOKUP($C439,'PORTIFÓLIO'!C:V,3,0),"")</f>
        <v/>
      </c>
      <c r="F439" s="211" t="str">
        <f>IFERROR(VLOOKUP($C439,'PORTIFÓLIO'!C:V,4,0),"")</f>
        <v/>
      </c>
      <c r="G439" s="215" t="str">
        <f>IFERROR(VLOOKUP($C439,'PORTIFÓLIO'!C:V,5,0),"")</f>
        <v/>
      </c>
      <c r="H439" s="254" t="str">
        <f t="array" ref="H439">IFERROR(INDEX('PORTIFÓLIO'!$H$4:$H$433,MATCH($C439,'PORTIFÓLIO'!$C$4:$C$433,0)),"")</f>
        <v/>
      </c>
      <c r="I439" s="256"/>
      <c r="J439" s="218">
        <f t="shared" si="49"/>
        <v>0</v>
      </c>
      <c r="K439" s="292" t="str">
        <f t="array" ref="K439">IFERROR(I439*INDEX('PORTIFÓLIO'!$S$4:$S$433,MATCH($C439,'PORTIFÓLIO'!$C$4:$C$433,0)),"")</f>
        <v/>
      </c>
      <c r="L439" s="292" t="str">
        <f t="array" ref="L439">IFERROR(J439*INDEX('PORTIFÓLIO'!$S$4:$S$433,MATCH($C439,'PORTIFÓLIO'!$C$4:$C$433,0)),"")</f>
        <v/>
      </c>
      <c r="U439" s="79"/>
    </row>
    <row r="440" ht="15.75" customHeight="1" outlineLevel="1">
      <c r="A440" s="211"/>
      <c r="B440" s="212"/>
      <c r="C440" s="213"/>
      <c r="D440" s="214" t="str">
        <f>IFERROR(VLOOKUP($C440,'PORTIFÓLIO'!C:V,2,0),"")</f>
        <v/>
      </c>
      <c r="E440" s="211" t="str">
        <f>IFERROR(VLOOKUP($C440,'PORTIFÓLIO'!C:V,3,0),"")</f>
        <v/>
      </c>
      <c r="F440" s="211" t="str">
        <f>IFERROR(VLOOKUP($C440,'PORTIFÓLIO'!C:V,4,0),"")</f>
        <v/>
      </c>
      <c r="G440" s="215" t="str">
        <f>IFERROR(VLOOKUP($C440,'PORTIFÓLIO'!C:V,5,0),"")</f>
        <v/>
      </c>
      <c r="H440" s="254" t="str">
        <f t="array" ref="H440">IFERROR(INDEX('PORTIFÓLIO'!$H$4:$H$433,MATCH($C440,'PORTIFÓLIO'!$C$4:$C$433,0)),"")</f>
        <v/>
      </c>
      <c r="I440" s="256"/>
      <c r="J440" s="218">
        <f t="shared" si="49"/>
        <v>0</v>
      </c>
      <c r="K440" s="292" t="str">
        <f t="array" ref="K440">IFERROR(I440*INDEX('PORTIFÓLIO'!$S$4:$S$433,MATCH($C440,'PORTIFÓLIO'!$C$4:$C$433,0)),"")</f>
        <v/>
      </c>
      <c r="L440" s="292" t="str">
        <f t="array" ref="L440">IFERROR(J440*INDEX('PORTIFÓLIO'!$S$4:$S$433,MATCH($C440,'PORTIFÓLIO'!$C$4:$C$433,0)),"")</f>
        <v/>
      </c>
      <c r="U440" s="79"/>
    </row>
    <row r="441" ht="15.75" customHeight="1" outlineLevel="1">
      <c r="A441" s="211"/>
      <c r="B441" s="212"/>
      <c r="C441" s="213"/>
      <c r="D441" s="214" t="str">
        <f>IFERROR(VLOOKUP($C441,'PORTIFÓLIO'!C:V,2,0),"")</f>
        <v/>
      </c>
      <c r="E441" s="211" t="str">
        <f>IFERROR(VLOOKUP($C441,'PORTIFÓLIO'!C:V,3,0),"")</f>
        <v/>
      </c>
      <c r="F441" s="211" t="str">
        <f>IFERROR(VLOOKUP($C441,'PORTIFÓLIO'!C:V,4,0),"")</f>
        <v/>
      </c>
      <c r="G441" s="215" t="str">
        <f>IFERROR(VLOOKUP($C441,'PORTIFÓLIO'!C:V,5,0),"")</f>
        <v/>
      </c>
      <c r="H441" s="254" t="str">
        <f t="array" ref="H441">IFERROR(INDEX('PORTIFÓLIO'!$H$4:$H$433,MATCH($C441,'PORTIFÓLIO'!$C$4:$C$433,0)),"")</f>
        <v/>
      </c>
      <c r="I441" s="256"/>
      <c r="J441" s="218">
        <f t="shared" si="49"/>
        <v>0</v>
      </c>
      <c r="K441" s="292" t="str">
        <f t="array" ref="K441">IFERROR(I441*INDEX('PORTIFÓLIO'!$S$4:$S$433,MATCH($C441,'PORTIFÓLIO'!$C$4:$C$433,0)),"")</f>
        <v/>
      </c>
      <c r="L441" s="292" t="str">
        <f t="array" ref="L441">IFERROR(J441*INDEX('PORTIFÓLIO'!$S$4:$S$433,MATCH($C441,'PORTIFÓLIO'!$C$4:$C$433,0)),"")</f>
        <v/>
      </c>
      <c r="U441" s="79"/>
    </row>
    <row r="442" ht="15.75" customHeight="1" outlineLevel="1">
      <c r="A442" s="211"/>
      <c r="B442" s="212"/>
      <c r="C442" s="213"/>
      <c r="D442" s="214" t="str">
        <f>IFERROR(VLOOKUP($C442,'PORTIFÓLIO'!C:V,2,0),"")</f>
        <v/>
      </c>
      <c r="E442" s="211" t="str">
        <f>IFERROR(VLOOKUP($C442,'PORTIFÓLIO'!C:V,3,0),"")</f>
        <v/>
      </c>
      <c r="F442" s="211" t="str">
        <f>IFERROR(VLOOKUP($C442,'PORTIFÓLIO'!C:V,4,0),"")</f>
        <v/>
      </c>
      <c r="G442" s="215" t="str">
        <f>IFERROR(VLOOKUP($C442,'PORTIFÓLIO'!C:V,5,0),"")</f>
        <v/>
      </c>
      <c r="H442" s="254" t="str">
        <f t="array" ref="H442">IFERROR(INDEX('PORTIFÓLIO'!$H$4:$H$433,MATCH($C442,'PORTIFÓLIO'!$C$4:$C$433,0)),"")</f>
        <v/>
      </c>
      <c r="I442" s="256"/>
      <c r="J442" s="218">
        <f t="shared" si="49"/>
        <v>0</v>
      </c>
      <c r="K442" s="292" t="str">
        <f t="array" ref="K442">IFERROR(I442*INDEX('PORTIFÓLIO'!$S$4:$S$433,MATCH($C442,'PORTIFÓLIO'!$C$4:$C$433,0)),"")</f>
        <v/>
      </c>
      <c r="L442" s="292" t="str">
        <f t="array" ref="L442">IFERROR(J442*INDEX('PORTIFÓLIO'!$S$4:$S$433,MATCH($C442,'PORTIFÓLIO'!$C$4:$C$433,0)),"")</f>
        <v/>
      </c>
      <c r="U442" s="79"/>
    </row>
    <row r="443" ht="15.75" customHeight="1" outlineLevel="1">
      <c r="A443" s="211"/>
      <c r="B443" s="227"/>
      <c r="C443" s="211"/>
      <c r="D443" s="214" t="str">
        <f>IFERROR(VLOOKUP($C443,'PORTIFÓLIO'!C:V,2,0),"")</f>
        <v/>
      </c>
      <c r="E443" s="211" t="str">
        <f>IFERROR(VLOOKUP($C443,'PORTIFÓLIO'!C:V,3,0),"")</f>
        <v/>
      </c>
      <c r="F443" s="211" t="str">
        <f>IFERROR(VLOOKUP($C443,'PORTIFÓLIO'!C:V,4,0),"")</f>
        <v/>
      </c>
      <c r="G443" s="215" t="str">
        <f>IFERROR(VLOOKUP($C443,'PORTIFÓLIO'!C:V,5,0),"")</f>
        <v/>
      </c>
      <c r="H443" s="254" t="str">
        <f t="array" ref="H443">IFERROR(INDEX('PORTIFÓLIO'!$H$4:$H$433,MATCH($C443,'PORTIFÓLIO'!$C$4:$C$433,0)),"")</f>
        <v/>
      </c>
      <c r="I443" s="256"/>
      <c r="J443" s="218">
        <f t="shared" si="49"/>
        <v>0</v>
      </c>
      <c r="K443" s="292" t="str">
        <f t="array" ref="K443">IFERROR(I443*INDEX('PORTIFÓLIO'!$S$4:$S$433,MATCH($C443,'PORTIFÓLIO'!$C$4:$C$433,0)),"")</f>
        <v/>
      </c>
      <c r="L443" s="292" t="str">
        <f t="array" ref="L443">IFERROR(J443*INDEX('PORTIFÓLIO'!$S$4:$S$433,MATCH($C443,'PORTIFÓLIO'!$C$4:$C$433,0)),"")</f>
        <v/>
      </c>
      <c r="U443" s="79"/>
    </row>
    <row r="444" ht="15.75" customHeight="1" outlineLevel="1">
      <c r="A444" s="211"/>
      <c r="B444" s="227"/>
      <c r="C444" s="211"/>
      <c r="D444" s="214" t="str">
        <f>IFERROR(VLOOKUP($C444,'PORTIFÓLIO'!C:V,2,0),"")</f>
        <v/>
      </c>
      <c r="E444" s="211" t="str">
        <f>IFERROR(VLOOKUP($C444,'PORTIFÓLIO'!C:V,3,0),"")</f>
        <v/>
      </c>
      <c r="F444" s="211" t="str">
        <f>IFERROR(VLOOKUP($C444,'PORTIFÓLIO'!C:V,4,0),"")</f>
        <v/>
      </c>
      <c r="G444" s="215" t="str">
        <f>IFERROR(VLOOKUP($C444,'PORTIFÓLIO'!C:V,5,0),"")</f>
        <v/>
      </c>
      <c r="H444" s="254" t="str">
        <f t="array" ref="H444">IFERROR(INDEX('PORTIFÓLIO'!$H$4:$H$433,MATCH($C444,'PORTIFÓLIO'!$C$4:$C$433,0)),"")</f>
        <v/>
      </c>
      <c r="I444" s="256"/>
      <c r="J444" s="218">
        <f t="shared" si="49"/>
        <v>0</v>
      </c>
      <c r="K444" s="292" t="str">
        <f t="array" ref="K444">IFERROR(I444*INDEX('PORTIFÓLIO'!$S$4:$S$433,MATCH($C444,'PORTIFÓLIO'!$C$4:$C$433,0)),"")</f>
        <v/>
      </c>
      <c r="L444" s="292" t="str">
        <f t="array" ref="L444">IFERROR(J444*INDEX('PORTIFÓLIO'!$S$4:$S$433,MATCH($C444,'PORTIFÓLIO'!$C$4:$C$433,0)),"")</f>
        <v/>
      </c>
      <c r="U444" s="79"/>
    </row>
    <row r="445" ht="15.75" customHeight="1" outlineLevel="1">
      <c r="A445" s="211"/>
      <c r="B445" s="227"/>
      <c r="C445" s="211"/>
      <c r="D445" s="214" t="str">
        <f>IFERROR(VLOOKUP($C445,'PORTIFÓLIO'!C:V,2,0),"")</f>
        <v/>
      </c>
      <c r="E445" s="211" t="str">
        <f>IFERROR(VLOOKUP($C445,'PORTIFÓLIO'!C:V,3,0),"")</f>
        <v/>
      </c>
      <c r="F445" s="211" t="str">
        <f>IFERROR(VLOOKUP($C445,'PORTIFÓLIO'!C:V,4,0),"")</f>
        <v/>
      </c>
      <c r="G445" s="215" t="str">
        <f>IFERROR(VLOOKUP($C445,'PORTIFÓLIO'!C:V,5,0),"")</f>
        <v/>
      </c>
      <c r="H445" s="254" t="str">
        <f t="array" ref="H445">IFERROR(INDEX('PORTIFÓLIO'!$H$4:$H$433,MATCH($C445,'PORTIFÓLIO'!$C$4:$C$433,0)),"")</f>
        <v/>
      </c>
      <c r="I445" s="256"/>
      <c r="J445" s="218">
        <f t="shared" si="49"/>
        <v>0</v>
      </c>
      <c r="K445" s="292" t="str">
        <f t="array" ref="K445">IFERROR(I445*INDEX('PORTIFÓLIO'!$S$4:$S$433,MATCH($C445,'PORTIFÓLIO'!$C$4:$C$433,0)),"")</f>
        <v/>
      </c>
      <c r="L445" s="292" t="str">
        <f t="array" ref="L445">IFERROR(J445*INDEX('PORTIFÓLIO'!$S$4:$S$433,MATCH($C445,'PORTIFÓLIO'!$C$4:$C$433,0)),"")</f>
        <v/>
      </c>
      <c r="U445" s="79"/>
    </row>
    <row r="446" ht="15.75" customHeight="1" outlineLevel="1">
      <c r="A446" s="211"/>
      <c r="B446" s="227"/>
      <c r="C446" s="211"/>
      <c r="D446" s="214" t="str">
        <f>IFERROR(VLOOKUP($C446,'PORTIFÓLIO'!C:V,2,0),"")</f>
        <v/>
      </c>
      <c r="E446" s="211" t="str">
        <f>IFERROR(VLOOKUP($C446,'PORTIFÓLIO'!C:V,3,0),"")</f>
        <v/>
      </c>
      <c r="F446" s="211" t="str">
        <f>IFERROR(VLOOKUP($C446,'PORTIFÓLIO'!C:V,4,0),"")</f>
        <v/>
      </c>
      <c r="G446" s="215" t="str">
        <f>IFERROR(VLOOKUP($C446,'PORTIFÓLIO'!C:V,5,0),"")</f>
        <v/>
      </c>
      <c r="H446" s="254" t="str">
        <f t="array" ref="H446">IFERROR(INDEX('PORTIFÓLIO'!$H$4:$H$433,MATCH($C446,'PORTIFÓLIO'!$C$4:$C$433,0)),"")</f>
        <v/>
      </c>
      <c r="I446" s="256"/>
      <c r="J446" s="218">
        <f t="shared" si="49"/>
        <v>0</v>
      </c>
      <c r="K446" s="292" t="str">
        <f t="array" ref="K446">IFERROR(I446*INDEX('PORTIFÓLIO'!$S$4:$S$433,MATCH($C446,'PORTIFÓLIO'!$C$4:$C$433,0)),"")</f>
        <v/>
      </c>
      <c r="L446" s="292" t="str">
        <f t="array" ref="L446">IFERROR(J446*INDEX('PORTIFÓLIO'!$S$4:$S$433,MATCH($C446,'PORTIFÓLIO'!$C$4:$C$433,0)),"")</f>
        <v/>
      </c>
      <c r="U446" s="79"/>
    </row>
    <row r="447" ht="15.75" customHeight="1" outlineLevel="1">
      <c r="A447" s="211"/>
      <c r="B447" s="227"/>
      <c r="C447" s="211"/>
      <c r="D447" s="214" t="str">
        <f>IFERROR(VLOOKUP($C447,'PORTIFÓLIO'!C:V,2,0),"")</f>
        <v/>
      </c>
      <c r="E447" s="211" t="str">
        <f>IFERROR(VLOOKUP($C447,'PORTIFÓLIO'!C:V,3,0),"")</f>
        <v/>
      </c>
      <c r="F447" s="211" t="str">
        <f>IFERROR(VLOOKUP($C447,'PORTIFÓLIO'!C:V,4,0),"")</f>
        <v/>
      </c>
      <c r="G447" s="215" t="str">
        <f>IFERROR(VLOOKUP($C447,'PORTIFÓLIO'!C:V,5,0),"")</f>
        <v/>
      </c>
      <c r="H447" s="254" t="str">
        <f t="array" ref="H447">IFERROR(INDEX('PORTIFÓLIO'!$H$4:$H$433,MATCH($C447,'PORTIFÓLIO'!$C$4:$C$433,0)),"")</f>
        <v/>
      </c>
      <c r="I447" s="256"/>
      <c r="J447" s="218">
        <f t="shared" si="49"/>
        <v>0</v>
      </c>
      <c r="K447" s="292" t="str">
        <f t="array" ref="K447">IFERROR(I447*INDEX('PORTIFÓLIO'!$S$4:$S$433,MATCH($C447,'PORTIFÓLIO'!$C$4:$C$433,0)),"")</f>
        <v/>
      </c>
      <c r="L447" s="292" t="str">
        <f t="array" ref="L447">IFERROR(J447*INDEX('PORTIFÓLIO'!$S$4:$S$433,MATCH($C447,'PORTIFÓLIO'!$C$4:$C$433,0)),"")</f>
        <v/>
      </c>
      <c r="U447" s="79"/>
    </row>
    <row r="448" ht="15.75" customHeight="1" outlineLevel="1">
      <c r="A448" s="211"/>
      <c r="B448" s="227"/>
      <c r="C448" s="211"/>
      <c r="D448" s="214" t="str">
        <f>IFERROR(VLOOKUP($C448,'PORTIFÓLIO'!C:V,2,0),"")</f>
        <v/>
      </c>
      <c r="E448" s="211" t="str">
        <f>IFERROR(VLOOKUP($C448,'PORTIFÓLIO'!C:V,3,0),"")</f>
        <v/>
      </c>
      <c r="F448" s="211" t="str">
        <f>IFERROR(VLOOKUP($C448,'PORTIFÓLIO'!C:V,4,0),"")</f>
        <v/>
      </c>
      <c r="G448" s="215" t="str">
        <f>IFERROR(VLOOKUP($C448,'PORTIFÓLIO'!C:V,5,0),"")</f>
        <v/>
      </c>
      <c r="H448" s="254" t="str">
        <f t="array" ref="H448">IFERROR(INDEX('PORTIFÓLIO'!$H$4:$H$433,MATCH($C448,'PORTIFÓLIO'!$C$4:$C$433,0)),"")</f>
        <v/>
      </c>
      <c r="I448" s="256"/>
      <c r="J448" s="218">
        <f t="shared" si="49"/>
        <v>0</v>
      </c>
      <c r="K448" s="292" t="str">
        <f t="array" ref="K448">IFERROR(I448*INDEX('PORTIFÓLIO'!$S$4:$S$433,MATCH($C448,'PORTIFÓLIO'!$C$4:$C$433,0)),"")</f>
        <v/>
      </c>
      <c r="L448" s="292" t="str">
        <f t="array" ref="L448">IFERROR(J448*INDEX('PORTIFÓLIO'!$S$4:$S$433,MATCH($C448,'PORTIFÓLIO'!$C$4:$C$433,0)),"")</f>
        <v/>
      </c>
      <c r="U448" s="79"/>
    </row>
    <row r="449" ht="15.75" customHeight="1" outlineLevel="1">
      <c r="A449" s="211"/>
      <c r="B449" s="227"/>
      <c r="C449" s="211"/>
      <c r="D449" s="214" t="str">
        <f>IFERROR(VLOOKUP($C449,'PORTIFÓLIO'!C:V,2,0),"")</f>
        <v/>
      </c>
      <c r="E449" s="211" t="str">
        <f>IFERROR(VLOOKUP($C449,'PORTIFÓLIO'!C:V,3,0),"")</f>
        <v/>
      </c>
      <c r="F449" s="211" t="str">
        <f>IFERROR(VLOOKUP($C449,'PORTIFÓLIO'!C:V,4,0),"")</f>
        <v/>
      </c>
      <c r="G449" s="215" t="str">
        <f>IFERROR(VLOOKUP($C449,'PORTIFÓLIO'!C:V,5,0),"")</f>
        <v/>
      </c>
      <c r="H449" s="254" t="str">
        <f t="array" ref="H449">IFERROR(INDEX('PORTIFÓLIO'!$H$4:$H$433,MATCH($C449,'PORTIFÓLIO'!$C$4:$C$433,0)),"")</f>
        <v/>
      </c>
      <c r="I449" s="256"/>
      <c r="J449" s="218">
        <f t="shared" si="49"/>
        <v>0</v>
      </c>
      <c r="K449" s="292" t="str">
        <f t="array" ref="K449">IFERROR(I449*INDEX('PORTIFÓLIO'!$S$4:$S$433,MATCH($C449,'PORTIFÓLIO'!$C$4:$C$433,0)),"")</f>
        <v/>
      </c>
      <c r="L449" s="292" t="str">
        <f t="array" ref="L449">IFERROR(J449*INDEX('PORTIFÓLIO'!$S$4:$S$433,MATCH($C449,'PORTIFÓLIO'!$C$4:$C$433,0)),"")</f>
        <v/>
      </c>
      <c r="U449" s="79"/>
    </row>
    <row r="450" ht="15.75" customHeight="1" outlineLevel="1">
      <c r="A450" s="211"/>
      <c r="B450" s="227"/>
      <c r="C450" s="211"/>
      <c r="D450" s="214" t="str">
        <f>IFERROR(VLOOKUP($C450,'PORTIFÓLIO'!C:V,2,0),"")</f>
        <v/>
      </c>
      <c r="E450" s="211" t="str">
        <f>IFERROR(VLOOKUP($C450,'PORTIFÓLIO'!C:V,3,0),"")</f>
        <v/>
      </c>
      <c r="F450" s="211" t="str">
        <f>IFERROR(VLOOKUP($C450,'PORTIFÓLIO'!C:V,4,0),"")</f>
        <v/>
      </c>
      <c r="G450" s="215" t="str">
        <f>IFERROR(VLOOKUP($C450,'PORTIFÓLIO'!C:V,5,0),"")</f>
        <v/>
      </c>
      <c r="H450" s="254" t="str">
        <f t="array" ref="H450">IFERROR(INDEX('PORTIFÓLIO'!$H$4:$H$433,MATCH($C450,'PORTIFÓLIO'!$C$4:$C$433,0)),"")</f>
        <v/>
      </c>
      <c r="I450" s="256"/>
      <c r="J450" s="218">
        <f t="shared" si="49"/>
        <v>0</v>
      </c>
      <c r="K450" s="292" t="str">
        <f t="array" ref="K450">IFERROR(I450*INDEX('PORTIFÓLIO'!$S$4:$S$433,MATCH($C450,'PORTIFÓLIO'!$C$4:$C$433,0)),"")</f>
        <v/>
      </c>
      <c r="L450" s="292" t="str">
        <f t="array" ref="L450">IFERROR(J450*INDEX('PORTIFÓLIO'!$S$4:$S$433,MATCH($C450,'PORTIFÓLIO'!$C$4:$C$433,0)),"")</f>
        <v/>
      </c>
      <c r="U450" s="79"/>
    </row>
    <row r="451" ht="15.75" customHeight="1" outlineLevel="1">
      <c r="A451" s="211"/>
      <c r="B451" s="227"/>
      <c r="C451" s="211"/>
      <c r="D451" s="214" t="str">
        <f>IFERROR(VLOOKUP($C451,'PORTIFÓLIO'!C:V,2,0),"")</f>
        <v/>
      </c>
      <c r="E451" s="211" t="str">
        <f>IFERROR(VLOOKUP($C451,'PORTIFÓLIO'!C:V,3,0),"")</f>
        <v/>
      </c>
      <c r="F451" s="211" t="str">
        <f>IFERROR(VLOOKUP($C451,'PORTIFÓLIO'!C:V,4,0),"")</f>
        <v/>
      </c>
      <c r="G451" s="215" t="str">
        <f>IFERROR(VLOOKUP($C451,'PORTIFÓLIO'!C:V,5,0),"")</f>
        <v/>
      </c>
      <c r="H451" s="254" t="str">
        <f t="array" ref="H451">IFERROR(INDEX('PORTIFÓLIO'!$H$4:$H$433,MATCH($C451,'PORTIFÓLIO'!$C$4:$C$433,0)),"")</f>
        <v/>
      </c>
      <c r="I451" s="256"/>
      <c r="J451" s="218">
        <f t="shared" si="49"/>
        <v>0</v>
      </c>
      <c r="K451" s="292" t="str">
        <f t="array" ref="K451">IFERROR(I451*INDEX('PORTIFÓLIO'!$S$4:$S$433,MATCH($C451,'PORTIFÓLIO'!$C$4:$C$433,0)),"")</f>
        <v/>
      </c>
      <c r="L451" s="292" t="str">
        <f t="array" ref="L451">IFERROR(J451*INDEX('PORTIFÓLIO'!$S$4:$S$433,MATCH($C451,'PORTIFÓLIO'!$C$4:$C$433,0)),"")</f>
        <v/>
      </c>
      <c r="U451" s="79"/>
    </row>
    <row r="452" ht="15.75" customHeight="1">
      <c r="A452" s="227"/>
      <c r="B452" s="227"/>
      <c r="C452" s="227"/>
      <c r="D452" s="227"/>
      <c r="E452" s="227"/>
      <c r="F452" s="227"/>
      <c r="G452" s="215"/>
      <c r="H452" s="227"/>
      <c r="I452" s="227"/>
      <c r="J452" s="227"/>
      <c r="K452" s="293">
        <f t="shared" ref="K452:L452" si="50">SUBTOTAL(9,K237:K427)</f>
        <v>0</v>
      </c>
      <c r="L452" s="293">
        <f t="shared" si="50"/>
        <v>0</v>
      </c>
      <c r="U452" s="79"/>
    </row>
    <row r="453" ht="15.75" customHeight="1">
      <c r="U453" s="79"/>
    </row>
    <row r="454" ht="15.75" customHeight="1">
      <c r="U454" s="79"/>
    </row>
    <row r="455" ht="15.75" customHeight="1">
      <c r="U455" s="79"/>
    </row>
    <row r="456" ht="15.75" customHeight="1">
      <c r="U456" s="79"/>
    </row>
    <row r="457" ht="15.75" customHeight="1">
      <c r="U457" s="79"/>
    </row>
    <row r="458" ht="15.75" customHeight="1">
      <c r="U458" s="79"/>
    </row>
    <row r="459" ht="15.75" customHeight="1">
      <c r="U459" s="79"/>
    </row>
    <row r="460" ht="15.75" customHeight="1">
      <c r="U460" s="79"/>
    </row>
    <row r="461" ht="15.75" customHeight="1">
      <c r="U461" s="79"/>
    </row>
    <row r="462" ht="15.75" customHeight="1">
      <c r="U462" s="79"/>
    </row>
    <row r="463" ht="15.75" customHeight="1">
      <c r="U463" s="79"/>
    </row>
    <row r="464" ht="15.75" customHeight="1">
      <c r="U464" s="79"/>
    </row>
    <row r="465" ht="15.75" customHeight="1">
      <c r="U465" s="79"/>
    </row>
    <row r="466" ht="15.75" customHeight="1">
      <c r="U466" s="79"/>
    </row>
    <row r="467" ht="15.75" customHeight="1">
      <c r="U467" s="79"/>
    </row>
    <row r="468" ht="15.75" customHeight="1">
      <c r="U468" s="79"/>
    </row>
    <row r="469" ht="15.75" customHeight="1">
      <c r="U469" s="79"/>
    </row>
    <row r="470" ht="15.75" customHeight="1">
      <c r="U470" s="79"/>
    </row>
    <row r="471" ht="15.75" customHeight="1">
      <c r="U471" s="79"/>
    </row>
    <row r="472" ht="15.75" customHeight="1">
      <c r="U472" s="79"/>
    </row>
    <row r="473" ht="15.75" customHeight="1">
      <c r="U473" s="79"/>
    </row>
    <row r="474" ht="15.75" customHeight="1">
      <c r="U474" s="79"/>
    </row>
    <row r="475" ht="15.75" customHeight="1">
      <c r="U475" s="79"/>
    </row>
    <row r="476" ht="15.75" customHeight="1">
      <c r="U476" s="79"/>
    </row>
    <row r="477" ht="15.75" customHeight="1">
      <c r="U477" s="79"/>
    </row>
    <row r="478" ht="15.75" customHeight="1">
      <c r="U478" s="79"/>
    </row>
    <row r="479" ht="15.75" customHeight="1">
      <c r="U479" s="79"/>
    </row>
    <row r="480" ht="15.75" customHeight="1">
      <c r="U480" s="79"/>
    </row>
    <row r="481" ht="15.75" customHeight="1">
      <c r="U481" s="79"/>
    </row>
    <row r="482" ht="15.75" customHeight="1">
      <c r="U482" s="79"/>
    </row>
    <row r="483" ht="15.75" customHeight="1">
      <c r="U483" s="79"/>
    </row>
    <row r="484" ht="15.75" customHeight="1">
      <c r="U484" s="79"/>
    </row>
    <row r="485" ht="15.75" customHeight="1">
      <c r="U485" s="79"/>
    </row>
    <row r="486" ht="15.75" customHeight="1">
      <c r="U486" s="79"/>
    </row>
    <row r="487" ht="15.75" customHeight="1">
      <c r="U487" s="79"/>
    </row>
    <row r="488" ht="15.75" customHeight="1">
      <c r="U488" s="79"/>
    </row>
    <row r="489" ht="15.75" customHeight="1">
      <c r="U489" s="79"/>
    </row>
    <row r="490" ht="15.75" customHeight="1">
      <c r="U490" s="79"/>
    </row>
    <row r="491" ht="15.75" customHeight="1">
      <c r="U491" s="79"/>
    </row>
    <row r="492" ht="15.75" customHeight="1">
      <c r="U492" s="79"/>
    </row>
    <row r="493" ht="15.75" customHeight="1">
      <c r="U493" s="79"/>
    </row>
    <row r="494" ht="15.75" customHeight="1">
      <c r="U494" s="79"/>
    </row>
    <row r="495" ht="15.75" customHeight="1">
      <c r="U495" s="79"/>
    </row>
    <row r="496" ht="15.75" customHeight="1">
      <c r="U496" s="79"/>
    </row>
    <row r="497" ht="15.75" customHeight="1">
      <c r="U497" s="79"/>
    </row>
    <row r="498" ht="15.75" customHeight="1">
      <c r="U498" s="79"/>
    </row>
    <row r="499" ht="15.75" customHeight="1">
      <c r="U499" s="79"/>
    </row>
    <row r="500" ht="15.75" customHeight="1">
      <c r="U500" s="79"/>
    </row>
    <row r="501" ht="15.75" customHeight="1">
      <c r="U501" s="79"/>
    </row>
    <row r="502" ht="15.75" customHeight="1">
      <c r="U502" s="79"/>
    </row>
    <row r="503" ht="15.75" customHeight="1">
      <c r="U503" s="79"/>
    </row>
    <row r="504" ht="15.75" customHeight="1">
      <c r="U504" s="79"/>
    </row>
    <row r="505" ht="15.75" customHeight="1">
      <c r="U505" s="79"/>
    </row>
    <row r="506" ht="15.75" customHeight="1">
      <c r="U506" s="79"/>
    </row>
    <row r="507" ht="15.75" customHeight="1">
      <c r="U507" s="79"/>
    </row>
    <row r="508" ht="15.75" customHeight="1">
      <c r="U508" s="79"/>
    </row>
    <row r="509" ht="15.75" customHeight="1">
      <c r="U509" s="79"/>
    </row>
    <row r="510" ht="15.75" customHeight="1">
      <c r="U510" s="79"/>
    </row>
    <row r="511" ht="15.75" customHeight="1">
      <c r="U511" s="79"/>
    </row>
    <row r="512" ht="15.75" customHeight="1">
      <c r="U512" s="79"/>
    </row>
    <row r="513" ht="15.75" customHeight="1">
      <c r="U513" s="79"/>
    </row>
    <row r="514" ht="15.75" customHeight="1">
      <c r="U514" s="79"/>
    </row>
    <row r="515" ht="15.75" customHeight="1">
      <c r="U515" s="79"/>
    </row>
    <row r="516" ht="15.75" customHeight="1">
      <c r="U516" s="79"/>
    </row>
    <row r="517" ht="15.75" customHeight="1">
      <c r="U517" s="79"/>
    </row>
    <row r="518" ht="15.75" customHeight="1">
      <c r="U518" s="79"/>
    </row>
    <row r="519" ht="15.75" customHeight="1">
      <c r="U519" s="79"/>
    </row>
    <row r="520" ht="15.75" customHeight="1">
      <c r="U520" s="79"/>
    </row>
    <row r="521" ht="15.75" customHeight="1">
      <c r="U521" s="79"/>
    </row>
    <row r="522" ht="15.75" customHeight="1">
      <c r="U522" s="79"/>
    </row>
    <row r="523" ht="15.75" customHeight="1">
      <c r="U523" s="79"/>
    </row>
    <row r="524" ht="15.75" customHeight="1">
      <c r="U524" s="79"/>
    </row>
    <row r="525" ht="15.75" customHeight="1">
      <c r="U525" s="79"/>
    </row>
    <row r="526" ht="15.75" customHeight="1">
      <c r="U526" s="79"/>
    </row>
    <row r="527" ht="15.75" customHeight="1">
      <c r="U527" s="79"/>
    </row>
    <row r="528" ht="15.75" customHeight="1">
      <c r="U528" s="79"/>
    </row>
    <row r="529" ht="15.75" customHeight="1">
      <c r="U529" s="79"/>
    </row>
    <row r="530" ht="15.75" customHeight="1">
      <c r="U530" s="79"/>
    </row>
    <row r="531" ht="15.75" customHeight="1">
      <c r="U531" s="79"/>
    </row>
    <row r="532" ht="15.75" customHeight="1">
      <c r="U532" s="79"/>
    </row>
    <row r="533" ht="15.75" customHeight="1">
      <c r="U533" s="79"/>
    </row>
    <row r="534" ht="15.75" customHeight="1">
      <c r="U534" s="79"/>
    </row>
    <row r="535" ht="15.75" customHeight="1">
      <c r="U535" s="79"/>
    </row>
    <row r="536" ht="15.75" customHeight="1">
      <c r="U536" s="79"/>
    </row>
    <row r="537" ht="15.75" customHeight="1">
      <c r="U537" s="79"/>
    </row>
    <row r="538" ht="15.75" customHeight="1">
      <c r="U538" s="79"/>
    </row>
    <row r="539" ht="15.75" customHeight="1">
      <c r="U539" s="79"/>
    </row>
    <row r="540" ht="15.75" customHeight="1">
      <c r="U540" s="79"/>
    </row>
    <row r="541" ht="15.75" customHeight="1">
      <c r="U541" s="79"/>
    </row>
    <row r="542" ht="15.75" customHeight="1">
      <c r="U542" s="79"/>
    </row>
    <row r="543" ht="15.75" customHeight="1">
      <c r="U543" s="79"/>
    </row>
    <row r="544" ht="15.75" customHeight="1">
      <c r="U544" s="79"/>
    </row>
    <row r="545" ht="15.75" customHeight="1">
      <c r="U545" s="79"/>
    </row>
    <row r="546" ht="15.75" customHeight="1">
      <c r="U546" s="79"/>
    </row>
    <row r="547" ht="15.75" customHeight="1">
      <c r="U547" s="79"/>
    </row>
    <row r="548" ht="15.75" customHeight="1">
      <c r="U548" s="79"/>
    </row>
    <row r="549" ht="15.75" customHeight="1">
      <c r="U549" s="79"/>
    </row>
    <row r="550" ht="15.75" customHeight="1">
      <c r="U550" s="79"/>
    </row>
    <row r="551" ht="15.75" customHeight="1">
      <c r="U551" s="79"/>
    </row>
    <row r="552" ht="15.75" customHeight="1">
      <c r="U552" s="79"/>
    </row>
    <row r="553" ht="15.75" customHeight="1">
      <c r="U553" s="79"/>
    </row>
    <row r="554" ht="15.75" customHeight="1">
      <c r="U554" s="79"/>
    </row>
    <row r="555" ht="15.75" customHeight="1">
      <c r="U555" s="79"/>
    </row>
    <row r="556" ht="15.75" customHeight="1">
      <c r="U556" s="79"/>
    </row>
    <row r="557" ht="15.75" customHeight="1">
      <c r="U557" s="79"/>
    </row>
    <row r="558" ht="15.75" customHeight="1">
      <c r="U558" s="79"/>
    </row>
    <row r="559" ht="15.75" customHeight="1">
      <c r="U559" s="79"/>
    </row>
    <row r="560" ht="15.75" customHeight="1">
      <c r="U560" s="79"/>
    </row>
    <row r="561" ht="15.75" customHeight="1">
      <c r="U561" s="79"/>
    </row>
    <row r="562" ht="15.75" customHeight="1">
      <c r="U562" s="79"/>
    </row>
    <row r="563" ht="15.75" customHeight="1">
      <c r="U563" s="79"/>
    </row>
    <row r="564" ht="15.75" customHeight="1">
      <c r="U564" s="79"/>
    </row>
    <row r="565" ht="15.75" customHeight="1">
      <c r="U565" s="79"/>
    </row>
    <row r="566" ht="15.75" customHeight="1">
      <c r="U566" s="79"/>
    </row>
    <row r="567" ht="15.75" customHeight="1">
      <c r="U567" s="79"/>
    </row>
    <row r="568" ht="15.75" customHeight="1">
      <c r="U568" s="79"/>
    </row>
    <row r="569" ht="15.75" customHeight="1">
      <c r="U569" s="79"/>
    </row>
    <row r="570" ht="15.75" customHeight="1">
      <c r="U570" s="79"/>
    </row>
    <row r="571" ht="15.75" customHeight="1">
      <c r="U571" s="79"/>
    </row>
    <row r="572" ht="15.75" customHeight="1">
      <c r="U572" s="79"/>
    </row>
    <row r="573" ht="15.75" customHeight="1">
      <c r="U573" s="79"/>
    </row>
    <row r="574" ht="15.75" customHeight="1">
      <c r="U574" s="79"/>
    </row>
    <row r="575" ht="15.75" customHeight="1">
      <c r="U575" s="79"/>
    </row>
    <row r="576" ht="15.75" customHeight="1">
      <c r="U576" s="79"/>
    </row>
    <row r="577" ht="15.75" customHeight="1">
      <c r="U577" s="79"/>
    </row>
    <row r="578" ht="15.75" customHeight="1">
      <c r="U578" s="79"/>
    </row>
    <row r="579" ht="15.75" customHeight="1">
      <c r="U579" s="79"/>
    </row>
    <row r="580" ht="15.75" customHeight="1">
      <c r="U580" s="79"/>
    </row>
    <row r="581" ht="15.75" customHeight="1">
      <c r="U581" s="79"/>
    </row>
    <row r="582" ht="15.75" customHeight="1">
      <c r="U582" s="79"/>
    </row>
    <row r="583" ht="15.75" customHeight="1">
      <c r="U583" s="79"/>
    </row>
    <row r="584" ht="15.75" customHeight="1">
      <c r="U584" s="79"/>
    </row>
    <row r="585" ht="15.75" customHeight="1">
      <c r="U585" s="79"/>
    </row>
    <row r="586" ht="15.75" customHeight="1">
      <c r="U586" s="79"/>
    </row>
    <row r="587" ht="15.75" customHeight="1">
      <c r="U587" s="79"/>
    </row>
    <row r="588" ht="15.75" customHeight="1">
      <c r="U588" s="79"/>
    </row>
    <row r="589" ht="15.75" customHeight="1">
      <c r="U589" s="79"/>
    </row>
    <row r="590" ht="15.75" customHeight="1">
      <c r="U590" s="79"/>
    </row>
    <row r="591" ht="15.75" customHeight="1">
      <c r="U591" s="79"/>
    </row>
    <row r="592" ht="15.75" customHeight="1">
      <c r="U592" s="79"/>
    </row>
    <row r="593" ht="15.75" customHeight="1">
      <c r="U593" s="79"/>
    </row>
    <row r="594" ht="15.75" customHeight="1">
      <c r="U594" s="79"/>
    </row>
    <row r="595" ht="15.75" customHeight="1">
      <c r="U595" s="79"/>
    </row>
    <row r="596" ht="15.75" customHeight="1">
      <c r="U596" s="79"/>
    </row>
    <row r="597" ht="15.75" customHeight="1">
      <c r="U597" s="79"/>
    </row>
    <row r="598" ht="15.75" customHeight="1">
      <c r="U598" s="79"/>
    </row>
    <row r="599" ht="15.75" customHeight="1">
      <c r="U599" s="79"/>
    </row>
    <row r="600" ht="15.75" customHeight="1">
      <c r="U600" s="79"/>
    </row>
    <row r="601" ht="15.75" customHeight="1">
      <c r="U601" s="79"/>
    </row>
    <row r="602" ht="15.75" customHeight="1">
      <c r="U602" s="79"/>
    </row>
    <row r="603" ht="15.75" customHeight="1">
      <c r="U603" s="79"/>
    </row>
    <row r="604" ht="15.75" customHeight="1">
      <c r="U604" s="79"/>
    </row>
    <row r="605" ht="15.75" customHeight="1">
      <c r="U605" s="79"/>
    </row>
    <row r="606" ht="15.75" customHeight="1">
      <c r="U606" s="79"/>
    </row>
    <row r="607" ht="15.75" customHeight="1">
      <c r="U607" s="79"/>
    </row>
    <row r="608" ht="15.75" customHeight="1">
      <c r="U608" s="79"/>
    </row>
    <row r="609" ht="15.75" customHeight="1">
      <c r="U609" s="79"/>
    </row>
    <row r="610" ht="15.75" customHeight="1">
      <c r="U610" s="79"/>
    </row>
    <row r="611" ht="15.75" customHeight="1">
      <c r="U611" s="79"/>
    </row>
    <row r="612" ht="15.75" customHeight="1">
      <c r="U612" s="79"/>
    </row>
    <row r="613" ht="15.75" customHeight="1">
      <c r="U613" s="79"/>
    </row>
    <row r="614" ht="15.75" customHeight="1">
      <c r="U614" s="79"/>
    </row>
    <row r="615" ht="15.75" customHeight="1">
      <c r="U615" s="79"/>
    </row>
    <row r="616" ht="15.75" customHeight="1">
      <c r="U616" s="79"/>
    </row>
    <row r="617" ht="15.75" customHeight="1">
      <c r="U617" s="79"/>
    </row>
    <row r="618" ht="15.75" customHeight="1">
      <c r="U618" s="79"/>
    </row>
    <row r="619" ht="15.75" customHeight="1">
      <c r="U619" s="79"/>
    </row>
    <row r="620" ht="15.75" customHeight="1">
      <c r="U620" s="79"/>
    </row>
    <row r="621" ht="15.75" customHeight="1">
      <c r="U621" s="79"/>
    </row>
    <row r="622" ht="15.75" customHeight="1">
      <c r="U622" s="79"/>
    </row>
    <row r="623" ht="15.75" customHeight="1">
      <c r="U623" s="79"/>
    </row>
    <row r="624" ht="15.75" customHeight="1">
      <c r="U624" s="79"/>
    </row>
    <row r="625" ht="15.75" customHeight="1">
      <c r="U625" s="79"/>
    </row>
    <row r="626" ht="15.75" customHeight="1">
      <c r="U626" s="79"/>
    </row>
    <row r="627" ht="15.75" customHeight="1">
      <c r="U627" s="79"/>
    </row>
    <row r="628" ht="15.75" customHeight="1">
      <c r="U628" s="79"/>
    </row>
    <row r="629" ht="15.75" customHeight="1">
      <c r="U629" s="79"/>
    </row>
    <row r="630" ht="15.75" customHeight="1">
      <c r="U630" s="79"/>
    </row>
    <row r="631" ht="15.75" customHeight="1">
      <c r="U631" s="79"/>
    </row>
    <row r="632" ht="15.75" customHeight="1">
      <c r="U632" s="79"/>
    </row>
    <row r="633" ht="15.75" customHeight="1">
      <c r="U633" s="79"/>
    </row>
    <row r="634" ht="15.75" customHeight="1">
      <c r="U634" s="79"/>
    </row>
    <row r="635" ht="15.75" customHeight="1">
      <c r="U635" s="79"/>
    </row>
    <row r="636" ht="15.75" customHeight="1">
      <c r="U636" s="79"/>
    </row>
    <row r="637" ht="15.75" customHeight="1">
      <c r="U637" s="79"/>
    </row>
    <row r="638" ht="15.75" customHeight="1">
      <c r="U638" s="79"/>
    </row>
    <row r="639" ht="15.75" customHeight="1">
      <c r="U639" s="79"/>
    </row>
    <row r="640" ht="15.75" customHeight="1">
      <c r="U640" s="79"/>
    </row>
    <row r="641" ht="15.75" customHeight="1">
      <c r="U641" s="79"/>
    </row>
    <row r="642" ht="15.75" customHeight="1">
      <c r="U642" s="79"/>
    </row>
    <row r="643" ht="15.75" customHeight="1">
      <c r="U643" s="79"/>
    </row>
    <row r="644" ht="15.75" customHeight="1">
      <c r="U644" s="79"/>
    </row>
    <row r="645" ht="15.75" customHeight="1">
      <c r="U645" s="79"/>
    </row>
    <row r="646" ht="15.75" customHeight="1">
      <c r="U646" s="79"/>
    </row>
    <row r="647" ht="15.75" customHeight="1">
      <c r="U647" s="79"/>
    </row>
    <row r="648" ht="15.75" customHeight="1">
      <c r="U648" s="79"/>
    </row>
    <row r="649" ht="15.75" customHeight="1">
      <c r="U649" s="79"/>
    </row>
    <row r="650" ht="15.75" customHeight="1">
      <c r="U650" s="79"/>
    </row>
    <row r="651" ht="15.75" customHeight="1">
      <c r="U651" s="79"/>
    </row>
    <row r="652" ht="15.75" customHeight="1">
      <c r="U652" s="79"/>
    </row>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K10:L224 K237:L451">
    <cfRule type="cellIs" dxfId="9" priority="1" operator="equal">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2">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3">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4">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5">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6">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7">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8">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9">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0">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1">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2">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3">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4">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5">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6">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7">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8">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9">
      <colorScale>
        <cfvo type="min"/>
        <cfvo type="percentile" val="50"/>
        <cfvo type="max"/>
        <color rgb="FF63BE7B"/>
        <color rgb="FFFCFCFF"/>
        <color rgb="FFF8696B"/>
      </colorScale>
    </cfRule>
  </conditionalFormatting>
  <conditionalFormatting sqref="A64:A67 A82:A85 A98:A101 A115:A118 A132:A135 A149:A152 A166:A169 A183:A186 A201:A204 A290:A294 A309:A312 A325:A328 A342:A345 A359:A362 A376:A379 A393:A396 A410:A413 A428:A431">
    <cfRule type="colorScale" priority="20">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1">
      <colorScale>
        <cfvo type="min"/>
        <cfvo type="percentile" val="50"/>
        <cfvo type="max"/>
        <color rgb="FF63BE7B"/>
        <color rgb="FFFCFCFF"/>
        <color rgb="FFF8696B"/>
      </colorScale>
    </cfRule>
  </conditionalFormatting>
  <conditionalFormatting sqref="A67:A68 A86 A102 A119 A136 A153 A170 A187 A205 A294:A295 A313 A329 A346 A363 A380 A397 A414 A432">
    <cfRule type="colorScale" priority="22">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3">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4">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5">
      <colorScale>
        <cfvo type="min"/>
        <cfvo type="percentile" val="50"/>
        <cfvo type="max"/>
        <color rgb="FF63BE7B"/>
        <color rgb="FFFCFCFF"/>
        <color rgb="FFF8696B"/>
      </colorScale>
    </cfRule>
  </conditionalFormatting>
  <conditionalFormatting sqref="A82:A86 A98:A102 A115:A119 A132:A136 A149:A153 A166:A170 A183:A187 A201:A205 A290 A309:A313 A325:A329 A342:A346 A359:A363 A376:A380 A393:A397 A410:A414 A428:A432">
    <cfRule type="colorScale" priority="26">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7">
      <colorScale>
        <cfvo type="min"/>
        <cfvo type="percentile" val="50"/>
        <cfvo type="max"/>
        <color rgb="FF63BE7B"/>
        <color rgb="FFFCFCFF"/>
        <color rgb="FFF8696B"/>
      </colorScale>
    </cfRule>
  </conditionalFormatting>
  <conditionalFormatting sqref="A87 A103 A120 A137 A154 A171 A188 A206 A314 A330 A347 A364 A381 A398 A415 A433">
    <cfRule type="colorScale" priority="28">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9">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0">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1">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2">
      <colorScale>
        <cfvo type="min"/>
        <cfvo type="percentile" val="50"/>
        <cfvo type="max"/>
        <color rgb="FF63BE7B"/>
        <color rgb="FFFCFCFF"/>
        <color rgb="FFF8696B"/>
      </colorScale>
    </cfRule>
  </conditionalFormatting>
  <conditionalFormatting sqref="A81:A84 A97:A100 A114:A117 A131:A134 A148:A151 A165:A168 A182:A185 A200:A203 A308:A311 A324:A327 A341:A344 A358:A361 A375:A378 A392:A395 A409:A412 A427:A430">
    <cfRule type="colorScale" priority="33">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4">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5">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6">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7">
      <colorScale>
        <cfvo type="min"/>
        <cfvo type="percentile" val="50"/>
        <cfvo type="max"/>
        <color rgb="FF63BE7B"/>
        <color rgb="FFFCFCFF"/>
        <color rgb="FFF8696B"/>
      </colorScale>
    </cfRule>
  </conditionalFormatting>
  <conditionalFormatting sqref="A82:A84 A98:A100 A115:A117 A132:A134 A149:A151 A166:A168 A183:A185 A201:A203 A309:A311 A325:A327 A342:A344 A359:A361 A376:A378 A393:A395 A410:A412 A428:A430">
    <cfRule type="colorScale" priority="38">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9">
      <colorScale>
        <cfvo type="min"/>
        <cfvo type="percentile" val="50"/>
        <cfvo type="max"/>
        <color rgb="FF63BE7B"/>
        <color rgb="FFFCFCFF"/>
        <color rgb="FFF8696B"/>
      </colorScale>
    </cfRule>
  </conditionalFormatting>
  <conditionalFormatting sqref="A85 A101 A118 A135 A152 A169 A186 A204 A312 A328 A345 A362 A379 A396 A413 A431">
    <cfRule type="colorScale" priority="40">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1">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42">
      <colorScale>
        <cfvo type="min"/>
        <cfvo type="percentile" val="50"/>
        <cfvo type="max"/>
        <color rgb="FF63BE7B"/>
        <color rgb="FFFFEB84"/>
        <color rgb="FFF8696B"/>
      </colorScale>
    </cfRule>
  </conditionalFormatting>
  <conditionalFormatting sqref="A98 A325">
    <cfRule type="colorScale" priority="43">
      <colorScale>
        <cfvo type="min"/>
        <cfvo type="percentile" val="50"/>
        <cfvo type="max"/>
        <color rgb="FF63BE7B"/>
        <color rgb="FFFCFCFF"/>
        <color rgb="FFF8696B"/>
      </colorScale>
    </cfRule>
  </conditionalFormatting>
  <conditionalFormatting sqref="A98 A325">
    <cfRule type="colorScale" priority="44">
      <colorScale>
        <cfvo type="min"/>
        <cfvo type="percentile" val="50"/>
        <cfvo type="max"/>
        <color rgb="FF63BE7B"/>
        <color rgb="FFFFEB84"/>
        <color rgb="FFF8696B"/>
      </colorScale>
    </cfRule>
  </conditionalFormatting>
  <conditionalFormatting sqref="A99 A326">
    <cfRule type="colorScale" priority="45">
      <colorScale>
        <cfvo type="min"/>
        <cfvo type="percentile" val="50"/>
        <cfvo type="max"/>
        <color rgb="FF63BE7B"/>
        <color rgb="FFFFEB84"/>
        <color rgb="FFF8696B"/>
      </colorScale>
    </cfRule>
  </conditionalFormatting>
  <conditionalFormatting sqref="A100:A104 A327:A331">
    <cfRule type="colorScale" priority="46">
      <colorScale>
        <cfvo type="min"/>
        <cfvo type="percentile" val="50"/>
        <cfvo type="max"/>
        <color rgb="FF63BE7B"/>
        <color rgb="FFFFEB84"/>
        <color rgb="FFF8696B"/>
      </colorScale>
    </cfRule>
  </conditionalFormatting>
  <conditionalFormatting sqref="A115 A342">
    <cfRule type="colorScale" priority="47">
      <colorScale>
        <cfvo type="min"/>
        <cfvo type="percentile" val="50"/>
        <cfvo type="max"/>
        <color rgb="FF63BE7B"/>
        <color rgb="FFFCFCFF"/>
        <color rgb="FFF8696B"/>
      </colorScale>
    </cfRule>
  </conditionalFormatting>
  <conditionalFormatting sqref="A115 A342">
    <cfRule type="colorScale" priority="48">
      <colorScale>
        <cfvo type="min"/>
        <cfvo type="percentile" val="50"/>
        <cfvo type="max"/>
        <color rgb="FF63BE7B"/>
        <color rgb="FFFFEB84"/>
        <color rgb="FFF8696B"/>
      </colorScale>
    </cfRule>
  </conditionalFormatting>
  <conditionalFormatting sqref="A116:A129 A343:A356">
    <cfRule type="colorScale" priority="49">
      <colorScale>
        <cfvo type="min"/>
        <cfvo type="percentile" val="50"/>
        <cfvo type="max"/>
        <color rgb="FF63BE7B"/>
        <color rgb="FFFFEB84"/>
        <color rgb="FFF8696B"/>
      </colorScale>
    </cfRule>
  </conditionalFormatting>
  <conditionalFormatting sqref="A132:A133 A359:A360">
    <cfRule type="colorScale" priority="50">
      <colorScale>
        <cfvo type="min"/>
        <cfvo type="percentile" val="50"/>
        <cfvo type="max"/>
        <color rgb="FF63BE7B"/>
        <color rgb="FFFFEB84"/>
        <color rgb="FFF8696B"/>
      </colorScale>
    </cfRule>
  </conditionalFormatting>
  <conditionalFormatting sqref="A149:A163 A376:A390">
    <cfRule type="colorScale" priority="51">
      <colorScale>
        <cfvo type="min"/>
        <cfvo type="percentile" val="50"/>
        <cfvo type="max"/>
        <color rgb="FF63BE7B"/>
        <color rgb="FFFFEB84"/>
        <color rgb="FFF8696B"/>
      </colorScale>
    </cfRule>
  </conditionalFormatting>
  <conditionalFormatting sqref="A166:A180 A393:A407">
    <cfRule type="colorScale" priority="52">
      <colorScale>
        <cfvo type="min"/>
        <cfvo type="percentile" val="50"/>
        <cfvo type="max"/>
        <color rgb="FF63BE7B"/>
        <color rgb="FFFFEB84"/>
        <color rgb="FFF8696B"/>
      </colorScale>
    </cfRule>
  </conditionalFormatting>
  <conditionalFormatting sqref="A183:A185 A410:A412">
    <cfRule type="colorScale" priority="53">
      <colorScale>
        <cfvo type="min"/>
        <cfvo type="percentile" val="50"/>
        <cfvo type="max"/>
        <color rgb="FF63BE7B"/>
        <color rgb="FFFFEB84"/>
        <color rgb="FFF8696B"/>
      </colorScale>
    </cfRule>
  </conditionalFormatting>
  <conditionalFormatting sqref="A201:A203 A428:A430">
    <cfRule type="colorScale" priority="54">
      <colorScale>
        <cfvo type="min"/>
        <cfvo type="percentile" val="50"/>
        <cfvo type="max"/>
        <color rgb="FF63BE7B"/>
        <color rgb="FFFFEB84"/>
        <color rgb="FFF8696B"/>
      </colorScale>
    </cfRule>
  </conditionalFormatting>
  <conditionalFormatting sqref="A208:A210 A435:A437">
    <cfRule type="colorScale" priority="55">
      <colorScale>
        <cfvo type="min"/>
        <cfvo type="percentile" val="50"/>
        <cfvo type="max"/>
        <color rgb="FF63BE7B"/>
        <color rgb="FFFFEB84"/>
        <color rgb="FFF8696B"/>
      </colorScale>
    </cfRule>
  </conditionalFormatting>
  <conditionalFormatting sqref="A211:A224 A438:A451">
    <cfRule type="colorScale" priority="56">
      <colorScale>
        <cfvo type="min"/>
        <cfvo type="percentile" val="50"/>
        <cfvo type="max"/>
        <color rgb="FF63BE7B"/>
        <color rgb="FFFFEB84"/>
        <color rgb="FFF8696B"/>
      </colorScale>
    </cfRule>
  </conditionalFormatting>
  <conditionalFormatting sqref="J10:L224 J237:L451">
    <cfRule type="cellIs" dxfId="8" priority="57" operator="equal">
      <formula>0</formula>
    </cfRule>
  </conditionalFormatting>
  <dataValidations>
    <dataValidation type="list" allowBlank="1" sqref="C12:C14 C87 C137 C152 C154 C169 C171 C204 C206 C241 C243 C256 C258 C275 C277 C294 C296 C312 C314 C328 C330 C345 C347 C362 C364 C379 C381 C396 C398 C413 C415 C431 C433">
      <formula1>"I-ACTIVE,MAP,KCL 60%,05-37-00,10-46-00 + S,08-42-00,SSP 21,03-15-07 +14%CO,URÉIA,SULFATO DE AMÔNIO,BOROGRAN,SUPER DUO,08-40-00 - 100M,AURUS 500,00-01-00+Cu2 Mn8 Zn7"</formula1>
    </dataValidation>
    <dataValidation type="list" allowBlank="1" sqref="C183">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formula1>
    </dataValidation>
    <dataValidation type="list" allowBlank="1" sqref="C67">
      <formula1>"UTRISHA N,PRESENCE FULL,Now Lock,Now Guard,Now Force,Now Raze,Now Bolt,Now Active,Now React,Now Cover,Now Pulse,Now Sprint,Bio Az,Bio ND,Tec Catp Pro,Bio Elipso,Tec Bug,Solu Shield,Solu Strong,Solu Leaf,Bio Hidric,Bio Bokashi,Bio Oil,Carbon Pro,Essencial "&amp;"Mg,Expelir,Primafert,Reserva,Tec Catp Pro Kit On-farm,Tec Bug Kit On-farm,Solu Shield Kit On-farm,Solu Strong Kit On-farm,Solu Leaf Kit On-farm,Bio Hidric Kit On-farm,Bio Bokashi Kit On-farm,Tec White Kit On-farm,Bio Solubilize Kit On-farm,Bio Release Kit"&amp;" On-farm,Bio Raiz Plus Kit On-farm,Bio Balance Kit On-farm,SoluBio Raiz Performance Kit On-farm,Tec Isaria Kit On-farm"</formula1>
    </dataValidation>
    <dataValidation type="list" allowBlank="1" sqref="C26:C27 C45:C47 C82:C83">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type="custom" allowBlank="1" showDropDown="1" sqref="G10:L224 G237:L451">
      <formula1>AND(ISNUMBER(G10),(NOT(OR(NOT(ISERROR(DATEVALUE(G10))), AND(ISNUMBER(G10), LEFT(CELL("format", G10))="D")))))</formula1>
    </dataValidation>
    <dataValidation type="list" allowBlank="1" sqref="C28 C48 C103 C120 C135 C151">
      <formula1>"RUMBA,ASSIST,MEES,AUREO,JOINT ULTRA,ADGREEN,ENERGIC,EXTRAVON,OCHIMA"</formula1>
    </dataValidation>
    <dataValidation type="list" allowBlank="1" sqref="C33 C52 C89 C105 C139 C156 C166 C173 C190 C208 C245 C254 C260 C273 C279 C292 C298 C310 C316 C326 C332 C343 C349 C360 C366 C377 C383 C394 C400 C411 C417 C429 C435">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type="list" allowBlank="1" sqref="C64">
      <formula1>"FEIJÃO,SEMENTE TRIGO,SEMENTE MILHO,MG540PWU,MG711PWU,MG616PWU,P3707PWU,P39209PWU,P40537PWU,FS650PWU,SEMENTE SOJA CV,OLIMPO,M8349,CORDIUS C2795 CE,HERA I2X,SPARTA 8.0,IMPETO,NEO 790,APORÉ 7.3,GUAPÓ 7.7,MITICA 7.7,TMG MURICI I2X 7.6,DOMÍNIO 8.4,LENDA,SEMENT"&amp;"E SOJA RR,BRACHIARIA RUZIZIENCES,CAPIM MIAGE,TMG INGÁ I2X 6.9,TMG 2383 IPRO 8.3,BRACHIARIA BASICA,GH 2478 IPRO 8.1,HO COCARI I2X 8.2,SEMENTE DE SORGO"</formula1>
    </dataValidation>
    <dataValidation type="list" allowBlank="1" sqref="C17:C18">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formula1>
    </dataValidation>
    <dataValidation type="list" allowBlank="1" sqref="C29:C30 C49 C100:C102 C118:C119 C134 C203">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type="list" allowBlank="1" sqref="C20:C24 C43 C62 C80 C247:C251 C270 C289 C307">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type="list" allowBlank="1" sqref="C11 C88 C138 C155 C172 C207 C244 C259 C278 C297 C315 C331 C348 C365 C382 C399 C416 C434">
      <formula1>"CALCÁRIO DOLOMITICO,GESSO AGRICOLA"</formula1>
    </dataValidation>
    <dataValidation type="list" allowBlank="1" sqref="C19">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formula1>
    </dataValidation>
    <dataValidation type="list" allowBlank="1" sqref="C86 C136 C153 C170 C205 C242 C257 C272 C276 C291 C295 C309 C313 C325 C329 C342 C346 C359 C363 C376 C380 C393 C397 C410 C414 C432">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type="list" allowBlank="1" sqref="C50 C71">
      <formula1>"RADIFARM,MEGAFOL,OCTABORATO,BOP,METAL NUTRE,MONIC,AP MAGNÉSIO,GRANO KMG,AP MANGANÊS,AMINOS Mn,MICROBOX,ACRESECENT ALGA,RAIZ F,ACRESCENTE SOLUS F,SALUT,MATRIZ D,BRAVERO,Glyfort,Fergsum,Spander,Halattus,Sallvare Complex,Zinctaus Complex,Emezine Complex,Bora"&amp;"tus Complex,Magmill Complex,Brave K,Brave Max Up,MAX RAIZ,Polyamine,Sulfato de Magnésio,Map Purificado,MANGAN 10,NHT ZINCO,KELLUS CUPPER,MOLIBIDENIO 16,ZINCO 10,Potenza NiCoMo"</formula1>
    </dataValidation>
    <dataValidation type="list" allowBlank="1" sqref="C31 C85 C167">
      <formula1>"RUMBA,ASSIST,MEES,AUREO EC,JOINT ULTRA,ENERGIC,EXTRAVON,OCHIMA,STRIDES"</formula1>
    </dataValidation>
    <dataValidation type="list" allowBlank="1" sqref="C84 C98:C99 C104 C115:C117 C132:C133 C149:C150 C201:C202">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type="list" allowBlank="1" sqref="C68:C70">
      <formula1>"UTRISHA N,PRESENCE FULL,Now Lock,Now Guard,Now Force,Now Raze,Now Bolt,Now Active,Now React,Now Cover,Now Pulse,Now Sprint,Bio Az,Bio ND,Tec Catp Pro,Bio Elipso,Tec Bug,Solu Shield,Solu Strong,Solu Leaf,Bio Hidric,Bio Bokashi,Bio Oil,Carbon Pro,Essencial "&amp;"Mg,Expelir,Potenza NiCoMo,Primafert,Reserva,Tec White,Bio Solubilize,Bio Release,Bio Raiz Plus,Bio Balance,SoluBio Raiz Performance,Tec Isaria"</formula1>
    </dataValidation>
    <dataValidation type="list" allowBlank="1" showErrorMessage="1" sqref="B10:B224 B237:B451">
      <formula1>#REF!</formula1>
    </dataValidation>
    <dataValidation type="list" allowBlank="1" sqref="C65:C66 C168 C240 C255 C274 C293 C311 C327 C344 C361 C378 C395 C412 C430">
      <formula1>"SOMBRERO,STANDAK TOP,CROPSTAR,DERMACOR,PERMIT STAR,PRESENCE FULL,PLUST,CRUISER 350 FS,CRUISER ADVANCED,FORTENZA 600 FS,MAXIM ADVANCED,MAXIM XL,SPECTRO,BIOZYME,NIMAXXA,VITAVAX-THIRAM 200 SC"</formula1>
    </dataValidation>
    <dataValidation type="list" allowBlank="1" sqref="C184:C189">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formula1>
    </dataValidation>
    <dataValidation type="list" allowBlank="1" sqref="C34 C53:C54 C59 C72:C73 C90:C91 C96 C106:C107 C112 C123:C124 C129 C140:C141 C146 C157:C158 C163 C174:C175 C180 C191:C192 C197 C209:C210 C215 C246 C253 C261:C262 C267 C280:C281 C286 C299:C300 C317:C318 C323 C333:C334 C339 C350:C351 C356 C367:C368 C373 C384:C385 C390 C401:C402 C407 C418:C419 C424 C436:C437 C442">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display="ÁREA PLANTIO" location="'ÁREA PLANTIO'!A1" ref="F1"/>
    <hyperlink display="ÁREA PLANTIO" location="'ÁREA PLANTIO'!A1" ref="F227"/>
  </hyperlinks>
  <printOptions/>
  <pageMargins bottom="0.787401575" footer="0.0" header="0.0" left="0.511811024" right="0.511811024" top="0.787401575"/>
  <pageSetup orientation="landscape"/>
  <drawing r:id="rId1"/>
  <tableParts count="2">
    <tablePart r:id="rId4"/>
    <tablePart r:id="rId5"/>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13.88"/>
    <col customWidth="1" min="2" max="2" width="22.75"/>
    <col customWidth="1" min="3" max="3" width="33.63"/>
    <col customWidth="1" min="4" max="4" width="40.25"/>
    <col customWidth="1" min="5" max="5" width="20.13"/>
    <col customWidth="1" min="6" max="6" width="13.13"/>
    <col customWidth="1" min="7" max="7" width="13.75"/>
    <col customWidth="1" min="8" max="9" width="10.38"/>
    <col customWidth="1" min="10" max="10" width="14.0"/>
    <col customWidth="1" min="11" max="23" width="14.38"/>
  </cols>
  <sheetData>
    <row r="1" ht="15.75" customHeight="1">
      <c r="A1" s="260" t="s">
        <v>1203</v>
      </c>
      <c r="B1" s="261" t="str">
        <f>'ÁREA PLANTIO'!B9</f>
        <v>BARRO BRANCO</v>
      </c>
      <c r="C1" s="262" t="s">
        <v>1166</v>
      </c>
      <c r="D1" s="263">
        <f>$K$225</f>
        <v>1372.64086</v>
      </c>
      <c r="E1" s="264"/>
      <c r="F1" s="265" t="s">
        <v>1167</v>
      </c>
      <c r="G1" s="266"/>
      <c r="H1" s="267"/>
      <c r="I1" s="267"/>
      <c r="J1" s="267"/>
      <c r="K1" s="266"/>
      <c r="L1" s="220"/>
      <c r="M1" s="220"/>
      <c r="N1" s="220"/>
      <c r="O1" s="220"/>
      <c r="P1" s="220"/>
      <c r="Q1" s="220"/>
      <c r="R1" s="220"/>
      <c r="S1" s="220"/>
      <c r="T1" s="220"/>
      <c r="U1" s="220"/>
      <c r="V1" s="220"/>
      <c r="W1" s="220"/>
    </row>
    <row r="2" ht="15.75" customHeight="1">
      <c r="A2" s="260" t="s">
        <v>1168</v>
      </c>
      <c r="B2" s="268">
        <f>'ÁREA PLANTIO'!E9</f>
        <v>220</v>
      </c>
      <c r="C2" s="269" t="s">
        <v>1169</v>
      </c>
      <c r="D2" s="270">
        <f>'ÁREA PLANTIO'!D9</f>
        <v>180</v>
      </c>
      <c r="E2" s="264"/>
      <c r="F2" s="264"/>
      <c r="G2" s="266"/>
      <c r="H2" s="267"/>
      <c r="I2" s="267"/>
      <c r="J2" s="267"/>
      <c r="K2" s="266"/>
      <c r="L2" s="220"/>
      <c r="M2" s="220"/>
      <c r="N2" s="220"/>
      <c r="O2" s="220"/>
      <c r="P2" s="220"/>
      <c r="Q2" s="220"/>
      <c r="R2" s="220"/>
      <c r="S2" s="220"/>
      <c r="T2" s="220"/>
      <c r="U2" s="220"/>
      <c r="V2" s="220"/>
      <c r="W2" s="220"/>
    </row>
    <row r="3" ht="15.75" customHeight="1">
      <c r="A3" s="260" t="s">
        <v>1170</v>
      </c>
      <c r="B3" s="267" t="str">
        <f>'ÁREA PLANTIO'!C9</f>
        <v>FA-MILHO SEQUEIRO-26/27</v>
      </c>
      <c r="C3" s="269" t="s">
        <v>1171</v>
      </c>
      <c r="D3" s="271">
        <f>D1/D2</f>
        <v>7.625782553</v>
      </c>
      <c r="E3" s="264"/>
      <c r="F3" s="264"/>
      <c r="G3" s="266"/>
      <c r="H3" s="267"/>
      <c r="I3" s="267"/>
      <c r="J3" s="267"/>
      <c r="K3" s="266"/>
      <c r="L3" s="220"/>
      <c r="M3" s="220"/>
      <c r="N3" s="220"/>
      <c r="O3" s="220"/>
      <c r="P3" s="220"/>
      <c r="Q3" s="220"/>
      <c r="R3" s="220"/>
      <c r="S3" s="220"/>
      <c r="T3" s="220"/>
      <c r="U3" s="220"/>
      <c r="V3" s="220"/>
      <c r="W3" s="220"/>
    </row>
    <row r="4" ht="15.75" customHeight="1">
      <c r="A4" s="272" t="s">
        <v>1172</v>
      </c>
      <c r="B4" s="273">
        <v>45606.0</v>
      </c>
      <c r="C4" s="274"/>
      <c r="D4" s="275"/>
      <c r="E4" s="276"/>
      <c r="F4" s="264"/>
      <c r="G4" s="266"/>
      <c r="H4" s="267"/>
      <c r="I4" s="267"/>
      <c r="J4" s="267"/>
      <c r="K4" s="266"/>
      <c r="L4" s="220"/>
      <c r="M4" s="220"/>
      <c r="N4" s="220"/>
      <c r="O4" s="220"/>
      <c r="P4" s="220"/>
      <c r="Q4" s="220"/>
      <c r="R4" s="220"/>
      <c r="S4" s="220"/>
      <c r="T4" s="220"/>
      <c r="U4" s="220"/>
      <c r="V4" s="220"/>
      <c r="W4" s="220"/>
    </row>
    <row r="5" ht="15.75" customHeight="1">
      <c r="E5" s="277"/>
      <c r="F5" s="264"/>
      <c r="G5" s="266"/>
      <c r="H5" s="267"/>
      <c r="I5" s="267"/>
      <c r="J5" s="267"/>
      <c r="K5" s="266"/>
      <c r="L5" s="220"/>
      <c r="M5" s="220"/>
      <c r="N5" s="220"/>
      <c r="O5" s="220"/>
      <c r="P5" s="220"/>
      <c r="Q5" s="220"/>
      <c r="R5" s="220"/>
      <c r="S5" s="220"/>
      <c r="T5" s="220"/>
      <c r="U5" s="220"/>
      <c r="V5" s="220"/>
      <c r="W5" s="220"/>
    </row>
    <row r="6" ht="15.75" customHeight="1">
      <c r="A6" s="260"/>
      <c r="B6" s="267"/>
      <c r="C6" s="264"/>
      <c r="D6" s="264"/>
      <c r="E6" s="264"/>
      <c r="F6" s="264"/>
      <c r="G6" s="266"/>
      <c r="H6" s="267"/>
      <c r="I6" s="267"/>
      <c r="J6" s="267"/>
      <c r="K6" s="266"/>
      <c r="L6" s="220"/>
      <c r="M6" s="220"/>
      <c r="N6" s="220"/>
      <c r="O6" s="220"/>
      <c r="P6" s="220"/>
      <c r="Q6" s="220"/>
      <c r="R6" s="220"/>
      <c r="S6" s="220"/>
      <c r="T6" s="220"/>
      <c r="U6" s="220"/>
      <c r="V6" s="220"/>
      <c r="W6" s="220"/>
    </row>
    <row r="7" ht="15.75" customHeight="1">
      <c r="A7" s="267"/>
      <c r="B7" s="267"/>
      <c r="C7" s="264"/>
      <c r="D7" s="264"/>
      <c r="E7" s="264"/>
      <c r="F7" s="264"/>
      <c r="G7" s="266"/>
      <c r="H7" s="267"/>
      <c r="I7" s="267"/>
      <c r="J7" s="267"/>
      <c r="K7" s="266"/>
      <c r="L7" s="220"/>
      <c r="M7" s="220"/>
      <c r="N7" s="220"/>
      <c r="O7" s="220"/>
      <c r="P7" s="220"/>
      <c r="Q7" s="220"/>
      <c r="R7" s="220"/>
      <c r="S7" s="220"/>
      <c r="T7" s="220"/>
      <c r="U7" s="220"/>
      <c r="V7" s="220"/>
      <c r="W7" s="220"/>
    </row>
    <row r="8" ht="15.75" customHeight="1">
      <c r="A8" s="267"/>
      <c r="B8" s="267"/>
      <c r="C8" s="267"/>
      <c r="D8" s="267"/>
      <c r="E8" s="264"/>
      <c r="F8" s="264"/>
      <c r="G8" s="266"/>
      <c r="H8" s="267"/>
      <c r="I8" s="267"/>
      <c r="J8" s="267"/>
      <c r="K8" s="266"/>
      <c r="L8" s="220"/>
      <c r="M8" s="220"/>
      <c r="N8" s="220"/>
      <c r="O8" s="220"/>
      <c r="P8" s="220"/>
      <c r="Q8" s="220"/>
      <c r="R8" s="220"/>
      <c r="S8" s="220"/>
      <c r="T8" s="220"/>
      <c r="U8" s="220"/>
      <c r="V8" s="220"/>
      <c r="W8" s="220"/>
    </row>
    <row r="9" ht="15.75" customHeight="1">
      <c r="A9" s="211" t="s">
        <v>1173</v>
      </c>
      <c r="B9" s="213" t="s">
        <v>1174</v>
      </c>
      <c r="C9" s="213" t="s">
        <v>1175</v>
      </c>
      <c r="D9" s="211" t="s">
        <v>1176</v>
      </c>
      <c r="E9" s="211" t="s">
        <v>1177</v>
      </c>
      <c r="F9" s="211" t="s">
        <v>1178</v>
      </c>
      <c r="G9" s="278" t="s">
        <v>1179</v>
      </c>
      <c r="H9" s="278" t="s">
        <v>1180</v>
      </c>
      <c r="I9" s="278" t="s">
        <v>1181</v>
      </c>
      <c r="J9" s="279" t="s">
        <v>1134</v>
      </c>
      <c r="K9" s="280" t="s">
        <v>1182</v>
      </c>
      <c r="L9" s="281" t="s">
        <v>339</v>
      </c>
      <c r="M9" s="220"/>
      <c r="N9" s="220"/>
      <c r="O9" s="220"/>
      <c r="P9" s="220"/>
      <c r="Q9" s="220"/>
      <c r="R9" s="220"/>
      <c r="S9" s="220"/>
      <c r="T9" s="220"/>
      <c r="U9" s="220"/>
      <c r="V9" s="220"/>
      <c r="W9" s="220"/>
    </row>
    <row r="10" ht="15.75" customHeight="1">
      <c r="A10" s="231" t="s">
        <v>1183</v>
      </c>
      <c r="B10" s="230"/>
      <c r="C10" s="231"/>
      <c r="D10" s="232" t="s">
        <v>216</v>
      </c>
      <c r="E10" s="231"/>
      <c r="F10" s="231"/>
      <c r="G10" s="233"/>
      <c r="H10" s="282"/>
      <c r="I10" s="258"/>
      <c r="J10" s="236"/>
      <c r="K10" s="237">
        <f t="shared" ref="K10:L10" si="1">SUBTOTAL(9,K11:K24)</f>
        <v>0</v>
      </c>
      <c r="L10" s="237">
        <f t="shared" si="1"/>
        <v>0</v>
      </c>
      <c r="M10" s="220"/>
      <c r="N10" s="220"/>
      <c r="O10" s="220"/>
      <c r="P10" s="220"/>
      <c r="Q10" s="220"/>
      <c r="R10" s="220"/>
      <c r="S10" s="220"/>
      <c r="T10" s="220"/>
      <c r="U10" s="220"/>
      <c r="V10" s="220"/>
      <c r="W10" s="220"/>
    </row>
    <row r="11" outlineLevel="1">
      <c r="A11" s="213"/>
      <c r="B11" s="212" t="s">
        <v>8</v>
      </c>
      <c r="C11" s="213" t="s">
        <v>397</v>
      </c>
      <c r="D11" s="214" t="str">
        <f>IFERROR(VLOOKUP($C11,'PORTIFÓLIO'!C:V,2,0),"")</f>
        <v>CaO 38%  MgO 18%</v>
      </c>
      <c r="E11" s="211" t="str">
        <f>IFERROR(VLOOKUP($C11,'PORTIFÓLIO'!C:V,3,0),"")</f>
        <v/>
      </c>
      <c r="F11" s="211" t="str">
        <f>IFERROR(VLOOKUP($C11,'PORTIFÓLIO'!C:V,4,0),"")</f>
        <v>Ton</v>
      </c>
      <c r="G11" s="215" t="str">
        <f>IFERROR(VLOOKUP($C11,'PORTIFÓLIO'!C:V,5,0),"")</f>
        <v/>
      </c>
      <c r="H11" s="254" t="str">
        <f t="array" ref="H11">IFERROR(INDEX('PORTIFÓLIO'!$H$4:$H$433,MATCH($C11,'PORTIFÓLIO'!$C$4:$C$433,0)),"")</f>
        <v/>
      </c>
      <c r="I11" s="255">
        <v>5.0</v>
      </c>
      <c r="J11" s="218">
        <f t="shared" ref="J11:J24" si="2">I11*$B$2</f>
        <v>1100</v>
      </c>
      <c r="K11" s="219">
        <f t="array" ref="K11">IFERROR(I11*INDEX('PORTIFÓLIO'!$S$4:$S$433,MATCH($C11,'PORTIFÓLIO'!$C$4:$C$433,0)),"")</f>
        <v>0</v>
      </c>
      <c r="L11" s="219">
        <f t="array" ref="L11">IFERROR(J11*INDEX('PORTIFÓLIO'!$S$4:$S$433,MATCH($C11,'PORTIFÓLIO'!$C$4:$C$433,0)),"")</f>
        <v>0</v>
      </c>
      <c r="M11" s="220"/>
      <c r="N11" s="220"/>
      <c r="O11" s="220"/>
      <c r="P11" s="220"/>
      <c r="Q11" s="220"/>
      <c r="R11" s="220"/>
      <c r="S11" s="220"/>
      <c r="T11" s="220"/>
      <c r="U11" s="220" t="str">
        <f>IFERROR(__xludf.DUMMYFUNCTION("FILTER('PORTIFÓLIO'!C:C, 'PORTIFÓLIO'!B:B=B11)"),"#REF!")</f>
        <v>#REF!</v>
      </c>
      <c r="V11" s="220"/>
      <c r="W11" s="220"/>
    </row>
    <row r="12" outlineLevel="1">
      <c r="A12" s="213"/>
      <c r="B12" s="212" t="s">
        <v>7</v>
      </c>
      <c r="C12" s="213" t="s">
        <v>423</v>
      </c>
      <c r="D12" s="214" t="str">
        <f>IFERROR(VLOOKUP($C12,'PORTIFÓLIO'!C:V,2,0),"")</f>
        <v>P2O5 14%</v>
      </c>
      <c r="E12" s="211" t="str">
        <f>IFERROR(VLOOKUP($C12,'PORTIFÓLIO'!C:V,3,0),"")</f>
        <v/>
      </c>
      <c r="F12" s="211" t="str">
        <f>IFERROR(VLOOKUP($C12,'PORTIFÓLIO'!C:V,4,0),"")</f>
        <v>Ton</v>
      </c>
      <c r="G12" s="215" t="str">
        <f>IFERROR(VLOOKUP($C12,'PORTIFÓLIO'!C:V,5,0),"")</f>
        <v/>
      </c>
      <c r="H12" s="254" t="str">
        <f t="array" ref="H12">IFERROR(INDEX('PORTIFÓLIO'!$H$4:$H$433,MATCH($C12,'PORTIFÓLIO'!$C$4:$C$433,0)),"")</f>
        <v/>
      </c>
      <c r="I12" s="255">
        <v>0.5</v>
      </c>
      <c r="J12" s="218">
        <f t="shared" si="2"/>
        <v>110</v>
      </c>
      <c r="K12" s="219">
        <f t="array" ref="K12">IFERROR(I12*INDEX('PORTIFÓLIO'!$S$4:$S$433,MATCH($C12,'PORTIFÓLIO'!$C$4:$C$433,0)),"")</f>
        <v>0</v>
      </c>
      <c r="L12" s="219">
        <f t="array" ref="L12">IFERROR(J12*INDEX('PORTIFÓLIO'!$S$4:$S$433,MATCH($C12,'PORTIFÓLIO'!$C$4:$C$433,0)),"")</f>
        <v>0</v>
      </c>
      <c r="M12" s="220"/>
      <c r="N12" s="220"/>
      <c r="O12" s="220"/>
      <c r="P12" s="220"/>
      <c r="Q12" s="220"/>
      <c r="R12" s="220"/>
      <c r="S12" s="220"/>
      <c r="T12" s="220"/>
      <c r="U12" s="220" t="str">
        <f>IFERROR(__xludf.DUMMYFUNCTION("FILTER('PORTIFÓLIO'!C:C, 'PORTIFÓLIO'!B:B=B12)"),"#REF!")</f>
        <v>#REF!</v>
      </c>
      <c r="V12" s="220"/>
      <c r="W12" s="220"/>
    </row>
    <row r="13" outlineLevel="1">
      <c r="A13" s="213"/>
      <c r="B13" s="212" t="s">
        <v>7</v>
      </c>
      <c r="C13" s="213" t="s">
        <v>405</v>
      </c>
      <c r="D13" s="214" t="str">
        <f>IFERROR(VLOOKUP($C13,'PORTIFÓLIO'!C:V,2,0),"")</f>
        <v>K2O 60%</v>
      </c>
      <c r="E13" s="211" t="str">
        <f>IFERROR(VLOOKUP($C13,'PORTIFÓLIO'!C:V,3,0),"")</f>
        <v/>
      </c>
      <c r="F13" s="211" t="str">
        <f>IFERROR(VLOOKUP($C13,'PORTIFÓLIO'!C:V,4,0),"")</f>
        <v>Ton</v>
      </c>
      <c r="G13" s="215" t="str">
        <f>IFERROR(VLOOKUP($C13,'PORTIFÓLIO'!C:V,5,0),"")</f>
        <v/>
      </c>
      <c r="H13" s="254" t="str">
        <f t="array" ref="H13">IFERROR(INDEX('PORTIFÓLIO'!$H$4:$H$433,MATCH($C13,'PORTIFÓLIO'!$C$4:$C$433,0)),"")</f>
        <v/>
      </c>
      <c r="I13" s="255">
        <v>0.4</v>
      </c>
      <c r="J13" s="218">
        <f t="shared" si="2"/>
        <v>88</v>
      </c>
      <c r="K13" s="219">
        <f t="array" ref="K13">IFERROR(I13*INDEX('PORTIFÓLIO'!$S$4:$S$433,MATCH($C13,'PORTIFÓLIO'!$C$4:$C$433,0)),"")</f>
        <v>0</v>
      </c>
      <c r="L13" s="219">
        <f t="array" ref="L13">IFERROR(J13*INDEX('PORTIFÓLIO'!$S$4:$S$433,MATCH($C13,'PORTIFÓLIO'!$C$4:$C$433,0)),"")</f>
        <v>0</v>
      </c>
      <c r="M13" s="220"/>
      <c r="N13" s="220"/>
      <c r="O13" s="220"/>
      <c r="P13" s="220"/>
      <c r="Q13" s="220"/>
      <c r="R13" s="220"/>
      <c r="S13" s="220"/>
      <c r="T13" s="220"/>
      <c r="U13" s="220" t="str">
        <f>IFERROR(__xludf.DUMMYFUNCTION("FILTER('PORTIFÓLIO'!C:C, 'PORTIFÓLIO'!B:B=B13)"),"#REF!")</f>
        <v>#REF!</v>
      </c>
      <c r="V13" s="220"/>
      <c r="W13" s="220"/>
    </row>
    <row r="14" outlineLevel="1">
      <c r="A14" s="211"/>
      <c r="B14" s="212" t="s">
        <v>7</v>
      </c>
      <c r="C14" s="213" t="s">
        <v>419</v>
      </c>
      <c r="D14" s="214" t="str">
        <f>IFERROR(VLOOKUP($C14,'PORTIFÓLIO'!C:V,2,0),"")</f>
        <v>N 22</v>
      </c>
      <c r="E14" s="211" t="str">
        <f>IFERROR(VLOOKUP($C14,'PORTIFÓLIO'!C:V,3,0),"")</f>
        <v/>
      </c>
      <c r="F14" s="211" t="str">
        <f>IFERROR(VLOOKUP($C14,'PORTIFÓLIO'!C:V,4,0),"")</f>
        <v>Ton</v>
      </c>
      <c r="G14" s="215" t="str">
        <f>IFERROR(VLOOKUP($C14,'PORTIFÓLIO'!C:V,5,0),"")</f>
        <v/>
      </c>
      <c r="H14" s="254" t="str">
        <f t="array" ref="H14">IFERROR(INDEX('PORTIFÓLIO'!$H$4:$H$433,MATCH($C14,'PORTIFÓLIO'!$C$4:$C$433,0)),"")</f>
        <v/>
      </c>
      <c r="I14" s="255">
        <v>0.6</v>
      </c>
      <c r="J14" s="218">
        <f t="shared" si="2"/>
        <v>132</v>
      </c>
      <c r="K14" s="219">
        <f t="array" ref="K14">IFERROR(I14*INDEX('PORTIFÓLIO'!$S$4:$S$433,MATCH($C14,'PORTIFÓLIO'!$C$4:$C$433,0)),"")</f>
        <v>0</v>
      </c>
      <c r="L14" s="219">
        <f t="array" ref="L14">IFERROR(J14*INDEX('PORTIFÓLIO'!$S$4:$S$433,MATCH($C14,'PORTIFÓLIO'!$C$4:$C$433,0)),"")</f>
        <v>0</v>
      </c>
      <c r="M14" s="220"/>
      <c r="N14" s="220"/>
      <c r="O14" s="220"/>
      <c r="P14" s="220"/>
      <c r="Q14" s="220"/>
      <c r="R14" s="220"/>
      <c r="S14" s="220"/>
      <c r="T14" s="220"/>
      <c r="U14" s="220" t="str">
        <f>IFERROR(__xludf.DUMMYFUNCTION("FILTER('PORTIFÓLIO'!C:C, 'PORTIFÓLIO'!B:B=B14)"),"#REF!")</f>
        <v>#REF!</v>
      </c>
      <c r="V14" s="220"/>
      <c r="W14" s="220"/>
    </row>
    <row r="15" outlineLevel="1">
      <c r="A15" s="211"/>
      <c r="B15" s="212" t="s">
        <v>7</v>
      </c>
      <c r="C15" s="213" t="s">
        <v>417</v>
      </c>
      <c r="D15" s="214" t="str">
        <f>IFERROR(VLOOKUP($C15,'PORTIFÓLIO'!C:V,2,0),"")</f>
        <v>N 44</v>
      </c>
      <c r="E15" s="211" t="str">
        <f>IFERROR(VLOOKUP($C15,'PORTIFÓLIO'!C:V,3,0),"")</f>
        <v/>
      </c>
      <c r="F15" s="211" t="str">
        <f>IFERROR(VLOOKUP($C15,'PORTIFÓLIO'!C:V,4,0),"")</f>
        <v>Ton</v>
      </c>
      <c r="G15" s="215" t="str">
        <f>IFERROR(VLOOKUP($C15,'PORTIFÓLIO'!C:V,5,0),"")</f>
        <v/>
      </c>
      <c r="H15" s="254" t="str">
        <f t="array" ref="H15">IFERROR(INDEX('PORTIFÓLIO'!$H$4:$H$433,MATCH($C15,'PORTIFÓLIO'!$C$4:$C$433,0)),"")</f>
        <v/>
      </c>
      <c r="I15" s="255">
        <v>0.25</v>
      </c>
      <c r="J15" s="218">
        <f t="shared" si="2"/>
        <v>55</v>
      </c>
      <c r="K15" s="219">
        <f t="array" ref="K15">IFERROR(I15*INDEX('PORTIFÓLIO'!$S$4:$S$433,MATCH($C15,'PORTIFÓLIO'!$C$4:$C$433,0)),"")</f>
        <v>0</v>
      </c>
      <c r="L15" s="219">
        <f t="array" ref="L15">IFERROR(J15*INDEX('PORTIFÓLIO'!$S$4:$S$433,MATCH($C15,'PORTIFÓLIO'!$C$4:$C$433,0)),"")</f>
        <v>0</v>
      </c>
      <c r="M15" s="220"/>
      <c r="N15" s="220"/>
      <c r="O15" s="220"/>
      <c r="P15" s="220"/>
      <c r="Q15" s="220"/>
      <c r="R15" s="220"/>
      <c r="S15" s="220"/>
      <c r="T15" s="220"/>
      <c r="U15" s="220" t="str">
        <f>IFERROR(__xludf.DUMMYFUNCTION("FILTER('PORTIFÓLIO'!C:C, 'PORTIFÓLIO'!B:B=B15)"),"#REF!")</f>
        <v>#REF!</v>
      </c>
      <c r="V15" s="220"/>
      <c r="W15" s="220"/>
    </row>
    <row r="16" outlineLevel="1">
      <c r="A16" s="211"/>
      <c r="B16" s="212" t="s">
        <v>7</v>
      </c>
      <c r="C16" s="213"/>
      <c r="D16" s="214" t="str">
        <f>IFERROR(VLOOKUP($C16,'PORTIFÓLIO'!C:V,2,0),"")</f>
        <v/>
      </c>
      <c r="E16" s="211" t="str">
        <f>IFERROR(VLOOKUP($C16,'PORTIFÓLIO'!C:V,3,0),"")</f>
        <v/>
      </c>
      <c r="F16" s="211" t="str">
        <f>IFERROR(VLOOKUP($C16,'PORTIFÓLIO'!C:V,4,0),"")</f>
        <v/>
      </c>
      <c r="G16" s="215" t="str">
        <f>IFERROR(VLOOKUP($C16,'PORTIFÓLIO'!C:V,5,0),"")</f>
        <v/>
      </c>
      <c r="H16" s="254" t="str">
        <f t="array" ref="H16">IFERROR(INDEX('PORTIFÓLIO'!$H$4:$H$433,MATCH($C16,'PORTIFÓLIO'!$C$4:$C$433,0)),"")</f>
        <v/>
      </c>
      <c r="I16" s="255"/>
      <c r="J16" s="218">
        <f t="shared" si="2"/>
        <v>0</v>
      </c>
      <c r="K16" s="219" t="str">
        <f t="array" ref="K16">IFERROR(I16*INDEX('PORTIFÓLIO'!$S$4:$S$433,MATCH($C16,'PORTIFÓLIO'!$C$4:$C$433,0)),"")</f>
        <v/>
      </c>
      <c r="L16" s="219" t="str">
        <f t="array" ref="L16">IFERROR(J16*INDEX('PORTIFÓLIO'!$S$4:$S$433,MATCH($C16,'PORTIFÓLIO'!$C$4:$C$433,0)),"")</f>
        <v/>
      </c>
      <c r="M16" s="220"/>
      <c r="N16" s="220"/>
      <c r="O16" s="220"/>
      <c r="P16" s="220"/>
      <c r="Q16" s="220"/>
      <c r="R16" s="220"/>
      <c r="S16" s="220"/>
      <c r="T16" s="220"/>
      <c r="U16" s="220" t="str">
        <f>IFERROR(__xludf.DUMMYFUNCTION("FILTER('PORTIFÓLIO'!C:C, 'PORTIFÓLIO'!B:B=B16)"),"#REF!")</f>
        <v>#REF!</v>
      </c>
      <c r="V16" s="220"/>
      <c r="W16" s="220"/>
    </row>
    <row r="17" outlineLevel="1">
      <c r="A17" s="211"/>
      <c r="B17" s="212"/>
      <c r="C17" s="213"/>
      <c r="D17" s="214" t="str">
        <f>IFERROR(VLOOKUP($C17,'PORTIFÓLIO'!C:V,2,0),"")</f>
        <v/>
      </c>
      <c r="E17" s="211" t="str">
        <f>IFERROR(VLOOKUP($C17,'PORTIFÓLIO'!C:V,3,0),"")</f>
        <v/>
      </c>
      <c r="F17" s="211" t="str">
        <f>IFERROR(VLOOKUP($C17,'PORTIFÓLIO'!C:V,4,0),"")</f>
        <v/>
      </c>
      <c r="G17" s="215" t="str">
        <f>IFERROR(VLOOKUP($C17,'PORTIFÓLIO'!C:V,5,0),"")</f>
        <v/>
      </c>
      <c r="H17" s="254" t="str">
        <f t="array" ref="H17">IFERROR(INDEX('PORTIFÓLIO'!$H$4:$H$433,MATCH($C17,'PORTIFÓLIO'!$C$4:$C$433,0)),"")</f>
        <v/>
      </c>
      <c r="I17" s="256"/>
      <c r="J17" s="218">
        <f t="shared" si="2"/>
        <v>0</v>
      </c>
      <c r="K17" s="219" t="str">
        <f t="array" ref="K17">IFERROR(I17*INDEX('PORTIFÓLIO'!$S$4:$S$433,MATCH($C17,'PORTIFÓLIO'!$C$4:$C$433,0)),"")</f>
        <v/>
      </c>
      <c r="L17" s="219" t="str">
        <f t="array" ref="L17">IFERROR(J17*INDEX('PORTIFÓLIO'!$S$4:$S$433,MATCH($C17,'PORTIFÓLIO'!$C$4:$C$433,0)),"")</f>
        <v/>
      </c>
      <c r="M17" s="220"/>
      <c r="N17" s="220"/>
      <c r="O17" s="220"/>
      <c r="P17" s="220"/>
      <c r="Q17" s="220"/>
      <c r="R17" s="220"/>
      <c r="S17" s="220"/>
      <c r="T17" s="220"/>
      <c r="U17" s="220" t="str">
        <f>IFERROR(__xludf.DUMMYFUNCTION("FILTER('PORTIFÓLIO'!C:C, 'PORTIFÓLIO'!B:B=B17)"),"#REF!")</f>
        <v>#REF!</v>
      </c>
      <c r="V17" s="220"/>
      <c r="W17" s="220"/>
    </row>
    <row r="18" outlineLevel="1">
      <c r="A18" s="211"/>
      <c r="B18" s="212"/>
      <c r="C18" s="213"/>
      <c r="D18" s="214" t="str">
        <f>IFERROR(VLOOKUP($C18,'PORTIFÓLIO'!C:V,2,0),"")</f>
        <v/>
      </c>
      <c r="E18" s="211" t="str">
        <f>IFERROR(VLOOKUP($C18,'PORTIFÓLIO'!C:V,3,0),"")</f>
        <v/>
      </c>
      <c r="F18" s="211" t="str">
        <f>IFERROR(VLOOKUP($C18,'PORTIFÓLIO'!C:V,4,0),"")</f>
        <v/>
      </c>
      <c r="G18" s="215" t="str">
        <f>IFERROR(VLOOKUP($C18,'PORTIFÓLIO'!C:V,5,0),"")</f>
        <v/>
      </c>
      <c r="H18" s="254" t="str">
        <f t="array" ref="H18">IFERROR(INDEX('PORTIFÓLIO'!$H$4:$H$433,MATCH($C18,'PORTIFÓLIO'!$C$4:$C$433,0)),"")</f>
        <v/>
      </c>
      <c r="I18" s="256"/>
      <c r="J18" s="218">
        <f t="shared" si="2"/>
        <v>0</v>
      </c>
      <c r="K18" s="219" t="str">
        <f t="array" ref="K18">IFERROR(I18*INDEX('PORTIFÓLIO'!$S$4:$S$433,MATCH($C18,'PORTIFÓLIO'!$C$4:$C$433,0)),"")</f>
        <v/>
      </c>
      <c r="L18" s="219" t="str">
        <f t="array" ref="L18">IFERROR(J18*INDEX('PORTIFÓLIO'!$S$4:$S$433,MATCH($C18,'PORTIFÓLIO'!$C$4:$C$433,0)),"")</f>
        <v/>
      </c>
      <c r="M18" s="220"/>
      <c r="N18" s="220"/>
      <c r="O18" s="220"/>
      <c r="P18" s="220"/>
      <c r="Q18" s="220"/>
      <c r="R18" s="220"/>
      <c r="S18" s="220"/>
      <c r="T18" s="220"/>
      <c r="U18" s="220" t="str">
        <f>IFERROR(__xludf.DUMMYFUNCTION("FILTER('PORTIFÓLIO'!C:C, 'PORTIFÓLIO'!B:B=B18)"),"#REF!")</f>
        <v>#REF!</v>
      </c>
      <c r="V18" s="220"/>
      <c r="W18" s="220"/>
    </row>
    <row r="19" outlineLevel="1">
      <c r="A19" s="211"/>
      <c r="B19" s="212"/>
      <c r="C19" s="213"/>
      <c r="D19" s="214" t="str">
        <f>IFERROR(VLOOKUP($C19,'PORTIFÓLIO'!C:V,2,0),"")</f>
        <v/>
      </c>
      <c r="E19" s="211" t="str">
        <f>IFERROR(VLOOKUP($C19,'PORTIFÓLIO'!C:V,3,0),"")</f>
        <v/>
      </c>
      <c r="F19" s="211" t="str">
        <f>IFERROR(VLOOKUP($C19,'PORTIFÓLIO'!C:V,4,0),"")</f>
        <v/>
      </c>
      <c r="G19" s="215" t="str">
        <f>IFERROR(VLOOKUP($C19,'PORTIFÓLIO'!C:V,5,0),"")</f>
        <v/>
      </c>
      <c r="H19" s="254" t="str">
        <f t="array" ref="H19">IFERROR(INDEX('PORTIFÓLIO'!$H$4:$H$433,MATCH($C19,'PORTIFÓLIO'!$C$4:$C$433,0)),"")</f>
        <v/>
      </c>
      <c r="I19" s="255"/>
      <c r="J19" s="218">
        <f t="shared" si="2"/>
        <v>0</v>
      </c>
      <c r="K19" s="219" t="str">
        <f t="array" ref="K19">IFERROR(I19*INDEX('PORTIFÓLIO'!$S$4:$S$433,MATCH($C19,'PORTIFÓLIO'!$C$4:$C$433,0)),"")</f>
        <v/>
      </c>
      <c r="L19" s="219" t="str">
        <f t="array" ref="L19">IFERROR(J19*INDEX('PORTIFÓLIO'!$S$4:$S$433,MATCH($C19,'PORTIFÓLIO'!$C$4:$C$433,0)),"")</f>
        <v/>
      </c>
      <c r="M19" s="220"/>
      <c r="N19" s="220"/>
      <c r="O19" s="220"/>
      <c r="P19" s="220"/>
      <c r="Q19" s="220"/>
      <c r="R19" s="220"/>
      <c r="S19" s="220"/>
      <c r="T19" s="220"/>
      <c r="U19" s="220" t="str">
        <f>IFERROR(__xludf.DUMMYFUNCTION("FILTER('PORTIFÓLIO'!C:C, 'PORTIFÓLIO'!B:B=B19)"),"")</f>
        <v/>
      </c>
      <c r="V19" s="220"/>
      <c r="W19" s="220"/>
    </row>
    <row r="20" outlineLevel="1">
      <c r="A20" s="211"/>
      <c r="B20" s="212"/>
      <c r="C20" s="213"/>
      <c r="D20" s="214" t="str">
        <f>IFERROR(VLOOKUP($C20,'PORTIFÓLIO'!C:V,2,0),"")</f>
        <v/>
      </c>
      <c r="E20" s="211" t="str">
        <f>IFERROR(VLOOKUP($C20,'PORTIFÓLIO'!C:V,3,0),"")</f>
        <v/>
      </c>
      <c r="F20" s="211" t="str">
        <f>IFERROR(VLOOKUP($C20,'PORTIFÓLIO'!C:V,4,0),"")</f>
        <v/>
      </c>
      <c r="G20" s="215" t="str">
        <f>IFERROR(VLOOKUP($C20,'PORTIFÓLIO'!C:V,5,0),"")</f>
        <v/>
      </c>
      <c r="H20" s="254" t="str">
        <f t="array" ref="H20">IFERROR(INDEX('PORTIFÓLIO'!$H$4:$H$433,MATCH($C20,'PORTIFÓLIO'!$C$4:$C$433,0)),"")</f>
        <v/>
      </c>
      <c r="I20" s="255"/>
      <c r="J20" s="218">
        <f t="shared" si="2"/>
        <v>0</v>
      </c>
      <c r="K20" s="219" t="str">
        <f t="array" ref="K20">IFERROR(I20*INDEX('PORTIFÓLIO'!$S$4:$S$433,MATCH($C20,'PORTIFÓLIO'!$C$4:$C$433,0)),"")</f>
        <v/>
      </c>
      <c r="L20" s="219" t="str">
        <f t="array" ref="L20">IFERROR(J20*INDEX('PORTIFÓLIO'!$S$4:$S$433,MATCH($C20,'PORTIFÓLIO'!$C$4:$C$433,0)),"")</f>
        <v/>
      </c>
      <c r="M20" s="220"/>
      <c r="N20" s="220"/>
      <c r="O20" s="220"/>
      <c r="P20" s="220"/>
      <c r="Q20" s="220"/>
      <c r="R20" s="220"/>
      <c r="S20" s="220"/>
      <c r="T20" s="220"/>
      <c r="U20" s="220"/>
      <c r="V20" s="220"/>
      <c r="W20" s="220"/>
    </row>
    <row r="21" ht="15.75" customHeight="1" outlineLevel="1">
      <c r="A21" s="211"/>
      <c r="B21" s="212"/>
      <c r="C21" s="213"/>
      <c r="D21" s="214" t="str">
        <f>IFERROR(VLOOKUP($C21,'PORTIFÓLIO'!C:V,2,0),"")</f>
        <v/>
      </c>
      <c r="E21" s="211" t="str">
        <f>IFERROR(VLOOKUP($C21,'PORTIFÓLIO'!C:V,3,0),"")</f>
        <v/>
      </c>
      <c r="F21" s="211" t="str">
        <f>IFERROR(VLOOKUP($C21,'PORTIFÓLIO'!C:V,4,0),"")</f>
        <v/>
      </c>
      <c r="G21" s="215" t="str">
        <f>IFERROR(VLOOKUP($C21,'PORTIFÓLIO'!C:V,5,0),"")</f>
        <v/>
      </c>
      <c r="H21" s="254" t="str">
        <f t="array" ref="H21">IFERROR(INDEX('PORTIFÓLIO'!$H$4:$H$433,MATCH($C21,'PORTIFÓLIO'!$C$4:$C$433,0)),"")</f>
        <v/>
      </c>
      <c r="I21" s="255"/>
      <c r="J21" s="218">
        <f t="shared" si="2"/>
        <v>0</v>
      </c>
      <c r="K21" s="219" t="str">
        <f t="array" ref="K21">IFERROR(I21*INDEX('PORTIFÓLIO'!$S$4:$S$433,MATCH($C21,'PORTIFÓLIO'!$C$4:$C$433,0)),"")</f>
        <v/>
      </c>
      <c r="L21" s="219" t="str">
        <f t="array" ref="L21">IFERROR(J21*INDEX('PORTIFÓLIO'!$S$4:$S$433,MATCH($C21,'PORTIFÓLIO'!$C$4:$C$433,0)),"")</f>
        <v/>
      </c>
      <c r="M21" s="220"/>
      <c r="N21" s="220"/>
      <c r="O21" s="220"/>
      <c r="P21" s="220"/>
      <c r="Q21" s="220"/>
      <c r="R21" s="220"/>
      <c r="S21" s="220"/>
      <c r="T21" s="220"/>
      <c r="U21" s="220"/>
      <c r="V21" s="220"/>
      <c r="W21" s="220"/>
    </row>
    <row r="22" ht="15.75" customHeight="1" outlineLevel="1">
      <c r="A22" s="211"/>
      <c r="B22" s="212"/>
      <c r="C22" s="213"/>
      <c r="D22" s="214" t="str">
        <f>IFERROR(VLOOKUP($C22,'PORTIFÓLIO'!C:V,2,0),"")</f>
        <v/>
      </c>
      <c r="E22" s="211" t="str">
        <f>IFERROR(VLOOKUP($C22,'PORTIFÓLIO'!C:V,3,0),"")</f>
        <v/>
      </c>
      <c r="F22" s="211" t="str">
        <f>IFERROR(VLOOKUP($C22,'PORTIFÓLIO'!C:V,4,0),"")</f>
        <v/>
      </c>
      <c r="G22" s="215" t="str">
        <f>IFERROR(VLOOKUP($C22,'PORTIFÓLIO'!C:V,5,0),"")</f>
        <v/>
      </c>
      <c r="H22" s="254" t="str">
        <f t="array" ref="H22">IFERROR(INDEX('PORTIFÓLIO'!$H$4:$H$433,MATCH($C22,'PORTIFÓLIO'!$C$4:$C$433,0)),"")</f>
        <v/>
      </c>
      <c r="I22" s="255"/>
      <c r="J22" s="218">
        <f t="shared" si="2"/>
        <v>0</v>
      </c>
      <c r="K22" s="219" t="str">
        <f t="array" ref="K22">IFERROR(I22*INDEX('PORTIFÓLIO'!$S$4:$S$433,MATCH($C22,'PORTIFÓLIO'!$C$4:$C$433,0)),"")</f>
        <v/>
      </c>
      <c r="L22" s="219" t="str">
        <f t="array" ref="L22">IFERROR(J22*INDEX('PORTIFÓLIO'!$S$4:$S$433,MATCH($C22,'PORTIFÓLIO'!$C$4:$C$433,0)),"")</f>
        <v/>
      </c>
      <c r="M22" s="220"/>
      <c r="N22" s="220"/>
      <c r="O22" s="220"/>
      <c r="P22" s="220"/>
      <c r="Q22" s="220"/>
      <c r="R22" s="220"/>
      <c r="S22" s="220"/>
      <c r="T22" s="220"/>
      <c r="U22" s="220"/>
      <c r="V22" s="220"/>
      <c r="W22" s="220"/>
    </row>
    <row r="23" ht="15.75" customHeight="1" outlineLevel="1">
      <c r="A23" s="211"/>
      <c r="B23" s="212"/>
      <c r="C23" s="213"/>
      <c r="D23" s="214" t="str">
        <f>IFERROR(VLOOKUP($C23,'PORTIFÓLIO'!C:V,2,0),"")</f>
        <v/>
      </c>
      <c r="E23" s="211" t="str">
        <f>IFERROR(VLOOKUP($C23,'PORTIFÓLIO'!C:V,3,0),"")</f>
        <v/>
      </c>
      <c r="F23" s="211" t="str">
        <f>IFERROR(VLOOKUP($C23,'PORTIFÓLIO'!C:V,4,0),"")</f>
        <v/>
      </c>
      <c r="G23" s="215" t="str">
        <f>IFERROR(VLOOKUP($C23,'PORTIFÓLIO'!C:V,5,0),"")</f>
        <v/>
      </c>
      <c r="H23" s="254" t="str">
        <f t="array" ref="H23">IFERROR(INDEX('PORTIFÓLIO'!$H$4:$H$433,MATCH($C23,'PORTIFÓLIO'!$C$4:$C$433,0)),"")</f>
        <v/>
      </c>
      <c r="I23" s="255"/>
      <c r="J23" s="218">
        <f t="shared" si="2"/>
        <v>0</v>
      </c>
      <c r="K23" s="219" t="str">
        <f t="array" ref="K23">IFERROR(I23*INDEX('PORTIFÓLIO'!$S$4:$S$433,MATCH($C23,'PORTIFÓLIO'!$C$4:$C$433,0)),"")</f>
        <v/>
      </c>
      <c r="L23" s="219" t="str">
        <f t="array" ref="L23">IFERROR(J23*INDEX('PORTIFÓLIO'!$S$4:$S$433,MATCH($C23,'PORTIFÓLIO'!$C$4:$C$433,0)),"")</f>
        <v/>
      </c>
      <c r="M23" s="220"/>
      <c r="N23" s="220"/>
      <c r="O23" s="220"/>
      <c r="P23" s="220"/>
      <c r="Q23" s="220"/>
      <c r="R23" s="220"/>
      <c r="S23" s="220"/>
      <c r="T23" s="220"/>
      <c r="U23" s="220"/>
      <c r="V23" s="220"/>
      <c r="W23" s="220"/>
    </row>
    <row r="24" ht="15.75" customHeight="1" outlineLevel="1">
      <c r="A24" s="211"/>
      <c r="B24" s="212"/>
      <c r="C24" s="213"/>
      <c r="D24" s="214" t="str">
        <f>IFERROR(VLOOKUP($C24,'PORTIFÓLIO'!C:V,2,0),"")</f>
        <v/>
      </c>
      <c r="E24" s="211" t="str">
        <f>IFERROR(VLOOKUP($C24,'PORTIFÓLIO'!C:V,3,0),"")</f>
        <v/>
      </c>
      <c r="F24" s="211" t="str">
        <f>IFERROR(VLOOKUP($C24,'PORTIFÓLIO'!C:V,4,0),"")</f>
        <v/>
      </c>
      <c r="G24" s="215" t="str">
        <f>IFERROR(VLOOKUP($C24,'PORTIFÓLIO'!C:V,5,0),"")</f>
        <v/>
      </c>
      <c r="H24" s="254" t="str">
        <f t="array" ref="H24">IFERROR(INDEX('PORTIFÓLIO'!$H$4:$H$433,MATCH($C24,'PORTIFÓLIO'!$C$4:$C$433,0)),"")</f>
        <v/>
      </c>
      <c r="I24" s="255"/>
      <c r="J24" s="218">
        <f t="shared" si="2"/>
        <v>0</v>
      </c>
      <c r="K24" s="219" t="str">
        <f t="array" ref="K24">IFERROR(I24*INDEX('PORTIFÓLIO'!$S$4:$S$433,MATCH($C24,'PORTIFÓLIO'!$C$4:$C$433,0)),"")</f>
        <v/>
      </c>
      <c r="L24" s="219" t="str">
        <f t="array" ref="L24">IFERROR(J24*INDEX('PORTIFÓLIO'!$S$4:$S$433,MATCH($C24,'PORTIFÓLIO'!$C$4:$C$433,0)),"")</f>
        <v/>
      </c>
      <c r="M24" s="220"/>
      <c r="N24" s="220"/>
      <c r="O24" s="220"/>
      <c r="P24" s="220"/>
      <c r="Q24" s="220"/>
      <c r="R24" s="220"/>
      <c r="S24" s="220"/>
      <c r="T24" s="220"/>
      <c r="U24" s="220"/>
      <c r="V24" s="220"/>
      <c r="W24" s="220"/>
    </row>
    <row r="25" ht="15.75" customHeight="1">
      <c r="A25" s="229" t="s">
        <v>1184</v>
      </c>
      <c r="B25" s="230"/>
      <c r="C25" s="231"/>
      <c r="D25" s="232"/>
      <c r="E25" s="231"/>
      <c r="F25" s="231"/>
      <c r="G25" s="233"/>
      <c r="H25" s="233"/>
      <c r="I25" s="258"/>
      <c r="J25" s="236"/>
      <c r="K25" s="237">
        <f t="shared" ref="K25:L25" si="3">SUBTOTAL(9,K26:K39)</f>
        <v>159.179505</v>
      </c>
      <c r="L25" s="237">
        <f t="shared" si="3"/>
        <v>35019.4911</v>
      </c>
      <c r="M25" s="220"/>
      <c r="N25" s="220"/>
      <c r="O25" s="220"/>
      <c r="P25" s="220"/>
      <c r="Q25" s="220"/>
      <c r="R25" s="220"/>
      <c r="S25" s="220"/>
      <c r="T25" s="220"/>
      <c r="U25" s="220"/>
      <c r="V25" s="220"/>
      <c r="W25" s="220"/>
    </row>
    <row r="26" ht="15.75" customHeight="1" outlineLevel="1">
      <c r="A26" s="213"/>
      <c r="B26" s="212" t="s">
        <v>1</v>
      </c>
      <c r="C26" s="213" t="s">
        <v>746</v>
      </c>
      <c r="D26" s="214" t="str">
        <f>IFERROR(VLOOKUP($C26,'PORTIFÓLIO'!C:V,2,0),"")</f>
        <v>GLIFOSATO-SAL DE POTÁSSIO</v>
      </c>
      <c r="E26" s="211">
        <f>IFERROR(VLOOKUP($C26,'PORTIFÓLIO'!C:V,3,0),"")</f>
        <v>500</v>
      </c>
      <c r="F26" s="211" t="str">
        <f>IFERROR(VLOOKUP($C26,'PORTIFÓLIO'!C:V,4,0),"")</f>
        <v>L</v>
      </c>
      <c r="G26" s="225" t="str">
        <f>IFERROR(VLOOKUP($C26,'PORTIFÓLIO'!C:V,5,0),"")</f>
        <v>📄 Ver bula</v>
      </c>
      <c r="H26" s="254">
        <f t="array" ref="H26">IFERROR(INDEX('PORTIFÓLIO'!$H$4:$H$433,MATCH($C26,'PORTIFÓLIO'!$C$4:$C$433,0)),"")</f>
        <v>2</v>
      </c>
      <c r="I26" s="255">
        <v>2.0</v>
      </c>
      <c r="J26" s="218">
        <f t="shared" ref="J26:J43" si="4">I26*$B$2</f>
        <v>440</v>
      </c>
      <c r="K26" s="219">
        <f t="array" ref="K26">IFERROR(I26*INDEX('PORTIFÓLIO'!$S$4:$S$433,MATCH($C26,'PORTIFÓLIO'!$C$4:$C$433,0)),"")</f>
        <v>53.38776</v>
      </c>
      <c r="L26" s="219">
        <f t="array" ref="L26">IFERROR(J26*INDEX('PORTIFÓLIO'!$S$4:$S$433,MATCH($C26,'PORTIFÓLIO'!$C$4:$C$433,0)),"")</f>
        <v>11745.3072</v>
      </c>
      <c r="M26" s="220"/>
      <c r="N26" s="220"/>
      <c r="O26" s="220"/>
      <c r="P26" s="220"/>
      <c r="Q26" s="220"/>
      <c r="R26" s="220"/>
      <c r="S26" s="220"/>
      <c r="T26" s="220"/>
      <c r="U26" s="220"/>
      <c r="V26" s="220"/>
      <c r="W26" s="220"/>
    </row>
    <row r="27" ht="15.75" customHeight="1" outlineLevel="1">
      <c r="A27" s="211"/>
      <c r="B27" s="212" t="s">
        <v>1</v>
      </c>
      <c r="C27" s="213" t="s">
        <v>683</v>
      </c>
      <c r="D27" s="214" t="str">
        <f>IFERROR(VLOOKUP($C27,'PORTIFÓLIO'!C:V,2,0),"")</f>
        <v>GLUFOSINATO - SAL DE AMONIO</v>
      </c>
      <c r="E27" s="211">
        <f>IFERROR(VLOOKUP($C27,'PORTIFÓLIO'!C:V,3,0),"")</f>
        <v>880</v>
      </c>
      <c r="F27" s="211" t="str">
        <f>IFERROR(VLOOKUP($C27,'PORTIFÓLIO'!C:V,4,0),"")</f>
        <v>L</v>
      </c>
      <c r="G27" s="225" t="str">
        <f>IFERROR(VLOOKUP($C27,'PORTIFÓLIO'!C:V,5,0),"")</f>
        <v>📄 Ver bula</v>
      </c>
      <c r="H27" s="254">
        <f t="array" ref="H27">IFERROR(INDEX('PORTIFÓLIO'!$H$4:$H$433,MATCH($C27,'PORTIFÓLIO'!$C$4:$C$433,0)),"")</f>
        <v>0.5</v>
      </c>
      <c r="I27" s="255">
        <v>0.5</v>
      </c>
      <c r="J27" s="218">
        <f t="shared" si="4"/>
        <v>110</v>
      </c>
      <c r="K27" s="219">
        <f t="array" ref="K27">IFERROR(I27*INDEX('PORTIFÓLIO'!$S$4:$S$433,MATCH($C27,'PORTIFÓLIO'!$C$4:$C$433,0)),"")</f>
        <v>23.01917</v>
      </c>
      <c r="L27" s="219">
        <f t="array" ref="L27">IFERROR(J27*INDEX('PORTIFÓLIO'!$S$4:$S$433,MATCH($C27,'PORTIFÓLIO'!$C$4:$C$433,0)),"")</f>
        <v>5064.2174</v>
      </c>
      <c r="M27" s="220"/>
      <c r="N27" s="220"/>
      <c r="O27" s="220"/>
      <c r="P27" s="220"/>
      <c r="Q27" s="220"/>
      <c r="R27" s="220"/>
      <c r="S27" s="220"/>
      <c r="T27" s="220"/>
      <c r="U27" s="220"/>
      <c r="V27" s="220"/>
      <c r="W27" s="220"/>
    </row>
    <row r="28" ht="15.75" customHeight="1" outlineLevel="1">
      <c r="A28" s="211"/>
      <c r="B28" s="212" t="s">
        <v>1</v>
      </c>
      <c r="C28" s="213" t="s">
        <v>728</v>
      </c>
      <c r="D28" s="214" t="str">
        <f>IFERROR(VLOOKUP($C28,'PORTIFÓLIO'!C:V,2,0),"")</f>
        <v>S-METOLACLORO</v>
      </c>
      <c r="E28" s="211">
        <f>IFERROR(VLOOKUP($C28,'PORTIFÓLIO'!C:V,3,0),"")</f>
        <v>960</v>
      </c>
      <c r="F28" s="211" t="str">
        <f>IFERROR(VLOOKUP($C28,'PORTIFÓLIO'!C:V,4,0),"")</f>
        <v>KG</v>
      </c>
      <c r="G28" s="225" t="str">
        <f>IFERROR(VLOOKUP($C28,'PORTIFÓLIO'!C:V,5,0),"")</f>
        <v>📄 Ver bula</v>
      </c>
      <c r="H28" s="254">
        <f t="array" ref="H28">IFERROR(INDEX('PORTIFÓLIO'!$H$4:$H$433,MATCH($C28,'PORTIFÓLIO'!$C$4:$C$433,0)),"")</f>
        <v>2</v>
      </c>
      <c r="I28" s="255">
        <v>1.0</v>
      </c>
      <c r="J28" s="218">
        <f t="shared" si="4"/>
        <v>220</v>
      </c>
      <c r="K28" s="219">
        <f t="array" ref="K28">IFERROR(I28*INDEX('PORTIFÓLIO'!$S$4:$S$433,MATCH($C28,'PORTIFÓLIO'!$C$4:$C$433,0)),"")</f>
        <v>29.1273</v>
      </c>
      <c r="L28" s="219">
        <f t="array" ref="L28">IFERROR(J28*INDEX('PORTIFÓLIO'!$S$4:$S$433,MATCH($C28,'PORTIFÓLIO'!$C$4:$C$433,0)),"")</f>
        <v>6408.006</v>
      </c>
      <c r="M28" s="220"/>
      <c r="N28" s="220"/>
      <c r="O28" s="220"/>
      <c r="P28" s="220"/>
      <c r="Q28" s="220"/>
      <c r="R28" s="220"/>
      <c r="S28" s="220"/>
      <c r="T28" s="220"/>
      <c r="U28" s="220"/>
      <c r="V28" s="220"/>
      <c r="W28" s="220"/>
    </row>
    <row r="29" ht="15.75" customHeight="1" outlineLevel="1">
      <c r="A29" s="211"/>
      <c r="B29" s="212" t="s">
        <v>2</v>
      </c>
      <c r="C29" s="213" t="s">
        <v>824</v>
      </c>
      <c r="D29" s="214" t="str">
        <f>IFERROR(VLOOKUP($C29,'PORTIFÓLIO'!C:V,2,0),"")</f>
        <v>CLORANTRANILIPROLE</v>
      </c>
      <c r="E29" s="211">
        <f>IFERROR(VLOOKUP($C29,'PORTIFÓLIO'!C:V,3,0),"")</f>
        <v>200</v>
      </c>
      <c r="F29" s="211" t="str">
        <f>IFERROR(VLOOKUP($C29,'PORTIFÓLIO'!C:V,4,0),"")</f>
        <v>L</v>
      </c>
      <c r="G29" s="225" t="str">
        <f>IFERROR(VLOOKUP($C29,'PORTIFÓLIO'!C:V,5,0),"")</f>
        <v>📄 Ver bula</v>
      </c>
      <c r="H29" s="254">
        <f t="array" ref="H29">IFERROR(INDEX('PORTIFÓLIO'!$H$4:$H$433,MATCH($C29,'PORTIFÓLIO'!$C$4:$C$433,0)),"")</f>
        <v>0.1</v>
      </c>
      <c r="I29" s="255">
        <v>0.02</v>
      </c>
      <c r="J29" s="218">
        <f t="shared" si="4"/>
        <v>4.4</v>
      </c>
      <c r="K29" s="219">
        <f t="array" ref="K29">IFERROR(I29*INDEX('PORTIFÓLIO'!$S$4:$S$433,MATCH($C29,'PORTIFÓLIO'!$C$4:$C$433,0)),"")</f>
        <v>5.659275</v>
      </c>
      <c r="L29" s="219">
        <f t="array" ref="L29">IFERROR(J29*INDEX('PORTIFÓLIO'!$S$4:$S$433,MATCH($C29,'PORTIFÓLIO'!$C$4:$C$433,0)),"")</f>
        <v>1245.0405</v>
      </c>
      <c r="M29" s="220"/>
      <c r="N29" s="220"/>
      <c r="O29" s="220"/>
      <c r="P29" s="220"/>
      <c r="Q29" s="220"/>
      <c r="R29" s="220"/>
      <c r="S29" s="220"/>
      <c r="T29" s="220"/>
      <c r="U29" s="220"/>
      <c r="V29" s="220"/>
      <c r="W29" s="220"/>
    </row>
    <row r="30" ht="15.75" customHeight="1" outlineLevel="1">
      <c r="A30" s="211"/>
      <c r="B30" s="212" t="s">
        <v>6</v>
      </c>
      <c r="C30" s="213" t="s">
        <v>354</v>
      </c>
      <c r="D30" s="214" t="str">
        <f>IFERROR(VLOOKUP($C30,'PORTIFÓLIO'!C:V,2,0),"")</f>
        <v>OLEO MINERAL</v>
      </c>
      <c r="E30" s="211">
        <f>IFERROR(VLOOKUP($C30,'PORTIFÓLIO'!C:V,3,0),"")</f>
        <v>761</v>
      </c>
      <c r="F30" s="211" t="str">
        <f>IFERROR(VLOOKUP($C30,'PORTIFÓLIO'!C:V,4,0),"")</f>
        <v>L</v>
      </c>
      <c r="G30" s="225" t="str">
        <f>IFERROR(VLOOKUP($C30,'PORTIFÓLIO'!C:V,5,0),"")</f>
        <v>📄 Ver bula</v>
      </c>
      <c r="H30" s="254">
        <f t="array" ref="H30">IFERROR(INDEX('PORTIFÓLIO'!$H$4:$H$433,MATCH($C30,'PORTIFÓLIO'!$C$4:$C$433,0)),"")</f>
        <v>0.2</v>
      </c>
      <c r="I30" s="255">
        <v>0.2</v>
      </c>
      <c r="J30" s="218">
        <f t="shared" si="4"/>
        <v>44</v>
      </c>
      <c r="K30" s="219">
        <f t="array" ref="K30">IFERROR(I30*INDEX('PORTIFÓLIO'!$S$4:$S$433,MATCH($C30,'PORTIFÓLIO'!$C$4:$C$433,0)),"")</f>
        <v>3.206</v>
      </c>
      <c r="L30" s="219">
        <f t="array" ref="L30">IFERROR(J30*INDEX('PORTIFÓLIO'!$S$4:$S$433,MATCH($C30,'PORTIFÓLIO'!$C$4:$C$433,0)),"")</f>
        <v>705.32</v>
      </c>
      <c r="M30" s="220"/>
      <c r="N30" s="220"/>
      <c r="O30" s="220"/>
      <c r="P30" s="220"/>
      <c r="Q30" s="220"/>
      <c r="R30" s="220"/>
      <c r="S30" s="220"/>
      <c r="T30" s="220"/>
      <c r="U30" s="220"/>
      <c r="V30" s="220"/>
      <c r="W30" s="220"/>
    </row>
    <row r="31" ht="15.75" customHeight="1" outlineLevel="1">
      <c r="A31" s="211"/>
      <c r="B31" s="212" t="s">
        <v>9</v>
      </c>
      <c r="C31" s="213" t="s">
        <v>933</v>
      </c>
      <c r="D31" s="214" t="str">
        <f>IFERROR(VLOOKUP($C31,'PORTIFÓLIO'!C:V,2,0),"")</f>
        <v>N1%;B9,5%</v>
      </c>
      <c r="E31" s="211" t="str">
        <f>IFERROR(VLOOKUP($C31,'PORTIFÓLIO'!C:V,3,0),"")</f>
        <v>13,8g/l + 131,1g/l</v>
      </c>
      <c r="F31" s="211" t="str">
        <f>IFERROR(VLOOKUP($C31,'PORTIFÓLIO'!C:V,4,0),"")</f>
        <v>L</v>
      </c>
      <c r="G31" s="215" t="str">
        <f>IFERROR(VLOOKUP($C31,'PORTIFÓLIO'!C:V,5,0),"")</f>
        <v/>
      </c>
      <c r="H31" s="254">
        <f t="array" ref="H31">IFERROR(INDEX('PORTIFÓLIO'!$H$4:$H$433,MATCH($C31,'PORTIFÓLIO'!$C$4:$C$433,0)),"")</f>
        <v>2</v>
      </c>
      <c r="I31" s="255">
        <v>1.0</v>
      </c>
      <c r="J31" s="218">
        <f t="shared" si="4"/>
        <v>220</v>
      </c>
      <c r="K31" s="219">
        <f t="array" ref="K31">IFERROR(I31*INDEX('PORTIFÓLIO'!$S$4:$S$433,MATCH($C31,'PORTIFÓLIO'!$C$4:$C$433,0)),"")</f>
        <v>44.78</v>
      </c>
      <c r="L31" s="219">
        <f t="array" ref="L31">IFERROR(J31*INDEX('PORTIFÓLIO'!$S$4:$S$433,MATCH($C31,'PORTIFÓLIO'!$C$4:$C$433,0)),"")</f>
        <v>9851.6</v>
      </c>
      <c r="M31" s="220"/>
      <c r="N31" s="220"/>
      <c r="O31" s="220"/>
      <c r="P31" s="220"/>
      <c r="Q31" s="220"/>
      <c r="R31" s="220"/>
      <c r="S31" s="220"/>
      <c r="T31" s="220"/>
      <c r="U31" s="220"/>
      <c r="V31" s="220"/>
      <c r="W31" s="220"/>
    </row>
    <row r="32" ht="15.75" customHeight="1" outlineLevel="1">
      <c r="A32" s="211"/>
      <c r="B32" s="212"/>
      <c r="C32" s="213"/>
      <c r="D32" s="214" t="str">
        <f>IFERROR(VLOOKUP($C32,'PORTIFÓLIO'!C:V,2,0),"")</f>
        <v/>
      </c>
      <c r="E32" s="211" t="str">
        <f>IFERROR(VLOOKUP($C32,'PORTIFÓLIO'!C:V,3,0),"")</f>
        <v/>
      </c>
      <c r="F32" s="211" t="str">
        <f>IFERROR(VLOOKUP($C32,'PORTIFÓLIO'!C:V,4,0),"")</f>
        <v/>
      </c>
      <c r="G32" s="215" t="str">
        <f>IFERROR(VLOOKUP($C32,'PORTIFÓLIO'!C:V,5,0),"")</f>
        <v/>
      </c>
      <c r="H32" s="254" t="str">
        <f t="array" ref="H32">IFERROR(INDEX('PORTIFÓLIO'!$H$4:$H$433,MATCH($C32,'PORTIFÓLIO'!$C$4:$C$433,0)),"")</f>
        <v/>
      </c>
      <c r="I32" s="256"/>
      <c r="J32" s="218">
        <f t="shared" si="4"/>
        <v>0</v>
      </c>
      <c r="K32" s="219" t="str">
        <f t="array" ref="K32">IFERROR(I32*INDEX('PORTIFÓLIO'!$S$4:$S$433,MATCH($C32,'PORTIFÓLIO'!$C$4:$C$433,0)),"")</f>
        <v/>
      </c>
      <c r="L32" s="219" t="str">
        <f t="array" ref="L32">IFERROR(J32*INDEX('PORTIFÓLIO'!$S$4:$S$433,MATCH($C32,'PORTIFÓLIO'!$C$4:$C$433,0)),"")</f>
        <v/>
      </c>
      <c r="M32" s="220"/>
      <c r="N32" s="220"/>
      <c r="O32" s="220"/>
      <c r="P32" s="220"/>
      <c r="Q32" s="220"/>
      <c r="R32" s="220"/>
      <c r="S32" s="220"/>
      <c r="T32" s="220"/>
      <c r="U32" s="220"/>
      <c r="V32" s="220"/>
      <c r="W32" s="220"/>
    </row>
    <row r="33" ht="15.75" customHeight="1" outlineLevel="1">
      <c r="A33" s="211"/>
      <c r="B33" s="212"/>
      <c r="C33" s="213"/>
      <c r="D33" s="214" t="str">
        <f>IFERROR(VLOOKUP($C33,'PORTIFÓLIO'!C:V,2,0),"")</f>
        <v/>
      </c>
      <c r="E33" s="211" t="str">
        <f>IFERROR(VLOOKUP($C33,'PORTIFÓLIO'!C:V,3,0),"")</f>
        <v/>
      </c>
      <c r="F33" s="211" t="str">
        <f>IFERROR(VLOOKUP($C33,'PORTIFÓLIO'!C:V,4,0),"")</f>
        <v/>
      </c>
      <c r="G33" s="215" t="str">
        <f>IFERROR(VLOOKUP($C33,'PORTIFÓLIO'!C:V,5,0),"")</f>
        <v/>
      </c>
      <c r="H33" s="254" t="str">
        <f t="array" ref="H33">IFERROR(INDEX('PORTIFÓLIO'!$H$4:$H$433,MATCH($C33,'PORTIFÓLIO'!$C$4:$C$433,0)),"")</f>
        <v/>
      </c>
      <c r="I33" s="256"/>
      <c r="J33" s="218">
        <f t="shared" si="4"/>
        <v>0</v>
      </c>
      <c r="K33" s="219" t="str">
        <f t="array" ref="K33">IFERROR(I33*INDEX('PORTIFÓLIO'!$S$4:$S$433,MATCH($C33,'PORTIFÓLIO'!$C$4:$C$433,0)),"")</f>
        <v/>
      </c>
      <c r="L33" s="219" t="str">
        <f t="array" ref="L33">IFERROR(J33*INDEX('PORTIFÓLIO'!$S$4:$S$433,MATCH($C33,'PORTIFÓLIO'!$C$4:$C$433,0)),"")</f>
        <v/>
      </c>
      <c r="M33" s="220"/>
      <c r="N33" s="220"/>
      <c r="O33" s="220"/>
      <c r="P33" s="220"/>
      <c r="Q33" s="220"/>
      <c r="R33" s="220"/>
      <c r="S33" s="220"/>
      <c r="T33" s="220"/>
      <c r="U33" s="220"/>
      <c r="V33" s="220"/>
      <c r="W33" s="220"/>
    </row>
    <row r="34" ht="15.75" customHeight="1" outlineLevel="1">
      <c r="A34" s="211"/>
      <c r="B34" s="212"/>
      <c r="C34" s="213"/>
      <c r="D34" s="214" t="str">
        <f>IFERROR(VLOOKUP($C34,'PORTIFÓLIO'!C:V,2,0),"")</f>
        <v/>
      </c>
      <c r="E34" s="211" t="str">
        <f>IFERROR(VLOOKUP($C34,'PORTIFÓLIO'!C:V,3,0),"")</f>
        <v/>
      </c>
      <c r="F34" s="211" t="str">
        <f>IFERROR(VLOOKUP($C34,'PORTIFÓLIO'!C:V,4,0),"")</f>
        <v/>
      </c>
      <c r="G34" s="215" t="str">
        <f>IFERROR(VLOOKUP($C34,'PORTIFÓLIO'!C:V,5,0),"")</f>
        <v/>
      </c>
      <c r="H34" s="254" t="str">
        <f t="array" ref="H34">IFERROR(INDEX('PORTIFÓLIO'!$H$4:$H$433,MATCH($C34,'PORTIFÓLIO'!$C$4:$C$433,0)),"")</f>
        <v/>
      </c>
      <c r="I34" s="255"/>
      <c r="J34" s="218">
        <f t="shared" si="4"/>
        <v>0</v>
      </c>
      <c r="K34" s="219" t="str">
        <f t="array" ref="K34">IFERROR(I34*INDEX('PORTIFÓLIO'!$S$4:$S$433,MATCH($C34,'PORTIFÓLIO'!$C$4:$C$433,0)),"")</f>
        <v/>
      </c>
      <c r="L34" s="219" t="str">
        <f t="array" ref="L34">IFERROR(J34*INDEX('PORTIFÓLIO'!$S$4:$S$433,MATCH($C34,'PORTIFÓLIO'!$C$4:$C$433,0)),"")</f>
        <v/>
      </c>
      <c r="M34" s="220"/>
      <c r="N34" s="220"/>
      <c r="O34" s="220"/>
      <c r="P34" s="220"/>
      <c r="Q34" s="220"/>
      <c r="R34" s="220"/>
      <c r="S34" s="220"/>
      <c r="T34" s="220"/>
      <c r="U34" s="220"/>
      <c r="V34" s="220"/>
      <c r="W34" s="220"/>
    </row>
    <row r="35" ht="15.75" customHeight="1" outlineLevel="1">
      <c r="A35" s="211"/>
      <c r="B35" s="212"/>
      <c r="C35" s="213"/>
      <c r="D35" s="214" t="str">
        <f>IFERROR(VLOOKUP($C35,'PORTIFÓLIO'!C:V,2,0),"")</f>
        <v/>
      </c>
      <c r="E35" s="211" t="str">
        <f>IFERROR(VLOOKUP($C35,'PORTIFÓLIO'!C:V,3,0),"")</f>
        <v/>
      </c>
      <c r="F35" s="211" t="str">
        <f>IFERROR(VLOOKUP($C35,'PORTIFÓLIO'!C:V,4,0),"")</f>
        <v/>
      </c>
      <c r="G35" s="215" t="str">
        <f>IFERROR(VLOOKUP($C35,'PORTIFÓLIO'!C:V,5,0),"")</f>
        <v/>
      </c>
      <c r="H35" s="254" t="str">
        <f t="array" ref="H35">IFERROR(INDEX('PORTIFÓLIO'!$H$4:$H$433,MATCH($C35,'PORTIFÓLIO'!$C$4:$C$433,0)),"")</f>
        <v/>
      </c>
      <c r="I35" s="256"/>
      <c r="J35" s="218">
        <f t="shared" si="4"/>
        <v>0</v>
      </c>
      <c r="K35" s="219" t="str">
        <f t="array" ref="K35">IFERROR(I35*INDEX('PORTIFÓLIO'!$S$4:$S$433,MATCH($C35,'PORTIFÓLIO'!$C$4:$C$433,0)),"")</f>
        <v/>
      </c>
      <c r="L35" s="219" t="str">
        <f t="array" ref="L35">IFERROR(J35*INDEX('PORTIFÓLIO'!$S$4:$S$433,MATCH($C35,'PORTIFÓLIO'!$C$4:$C$433,0)),"")</f>
        <v/>
      </c>
      <c r="M35" s="220"/>
      <c r="N35" s="220"/>
      <c r="O35" s="220"/>
      <c r="P35" s="220"/>
      <c r="Q35" s="220"/>
      <c r="R35" s="220"/>
      <c r="S35" s="220"/>
      <c r="T35" s="220"/>
      <c r="U35" s="220"/>
      <c r="V35" s="220"/>
      <c r="W35" s="220"/>
    </row>
    <row r="36" ht="15.75" customHeight="1" outlineLevel="1">
      <c r="A36" s="211"/>
      <c r="B36" s="212"/>
      <c r="C36" s="213"/>
      <c r="D36" s="214" t="str">
        <f>IFERROR(VLOOKUP($C36,'PORTIFÓLIO'!C:V,2,0),"")</f>
        <v/>
      </c>
      <c r="E36" s="211" t="str">
        <f>IFERROR(VLOOKUP($C36,'PORTIFÓLIO'!C:V,3,0),"")</f>
        <v/>
      </c>
      <c r="F36" s="211" t="str">
        <f>IFERROR(VLOOKUP($C36,'PORTIFÓLIO'!C:V,4,0),"")</f>
        <v/>
      </c>
      <c r="G36" s="215" t="str">
        <f>IFERROR(VLOOKUP($C36,'PORTIFÓLIO'!C:V,5,0),"")</f>
        <v/>
      </c>
      <c r="H36" s="254" t="str">
        <f t="array" ref="H36">IFERROR(INDEX('PORTIFÓLIO'!$H$4:$H$433,MATCH($C36,'PORTIFÓLIO'!$C$4:$C$433,0)),"")</f>
        <v/>
      </c>
      <c r="I36" s="256"/>
      <c r="J36" s="218">
        <f t="shared" si="4"/>
        <v>0</v>
      </c>
      <c r="K36" s="219" t="str">
        <f t="array" ref="K36">IFERROR(I36*INDEX('PORTIFÓLIO'!$S$4:$S$433,MATCH($C36,'PORTIFÓLIO'!$C$4:$C$433,0)),"")</f>
        <v/>
      </c>
      <c r="L36" s="219" t="str">
        <f t="array" ref="L36">IFERROR(J36*INDEX('PORTIFÓLIO'!$S$4:$S$433,MATCH($C36,'PORTIFÓLIO'!$C$4:$C$433,0)),"")</f>
        <v/>
      </c>
      <c r="M36" s="220"/>
      <c r="N36" s="220"/>
      <c r="O36" s="220"/>
      <c r="P36" s="220"/>
      <c r="Q36" s="220"/>
      <c r="R36" s="220"/>
      <c r="S36" s="220"/>
      <c r="T36" s="220"/>
      <c r="U36" s="220"/>
      <c r="V36" s="220"/>
      <c r="W36" s="220"/>
    </row>
    <row r="37" ht="15.75" customHeight="1" outlineLevel="1">
      <c r="A37" s="211"/>
      <c r="B37" s="212"/>
      <c r="C37" s="213"/>
      <c r="D37" s="214" t="str">
        <f>IFERROR(VLOOKUP($C37,'PORTIFÓLIO'!C:V,2,0),"")</f>
        <v/>
      </c>
      <c r="E37" s="211" t="str">
        <f>IFERROR(VLOOKUP($C37,'PORTIFÓLIO'!C:V,3,0),"")</f>
        <v/>
      </c>
      <c r="F37" s="211" t="str">
        <f>IFERROR(VLOOKUP($C37,'PORTIFÓLIO'!C:V,4,0),"")</f>
        <v/>
      </c>
      <c r="G37" s="215" t="str">
        <f>IFERROR(VLOOKUP($C37,'PORTIFÓLIO'!C:V,5,0),"")</f>
        <v/>
      </c>
      <c r="H37" s="254" t="str">
        <f t="array" ref="H37">IFERROR(INDEX('PORTIFÓLIO'!$H$4:$H$433,MATCH($C37,'PORTIFÓLIO'!$C$4:$C$433,0)),"")</f>
        <v/>
      </c>
      <c r="I37" s="256"/>
      <c r="J37" s="218">
        <f t="shared" si="4"/>
        <v>0</v>
      </c>
      <c r="K37" s="219" t="str">
        <f t="array" ref="K37">IFERROR(I37*INDEX('PORTIFÓLIO'!$S$4:$S$433,MATCH($C37,'PORTIFÓLIO'!$C$4:$C$433,0)),"")</f>
        <v/>
      </c>
      <c r="L37" s="219" t="str">
        <f t="array" ref="L37">IFERROR(J37*INDEX('PORTIFÓLIO'!$S$4:$S$433,MATCH($C37,'PORTIFÓLIO'!$C$4:$C$433,0)),"")</f>
        <v/>
      </c>
      <c r="M37" s="220"/>
      <c r="N37" s="220"/>
      <c r="O37" s="220"/>
      <c r="P37" s="220"/>
      <c r="Q37" s="220"/>
      <c r="R37" s="220"/>
      <c r="S37" s="220"/>
      <c r="T37" s="220"/>
      <c r="U37" s="220"/>
      <c r="V37" s="220"/>
      <c r="W37" s="220"/>
    </row>
    <row r="38" ht="15.75" customHeight="1" outlineLevel="1">
      <c r="A38" s="211"/>
      <c r="B38" s="212"/>
      <c r="C38" s="213"/>
      <c r="D38" s="214" t="str">
        <f>IFERROR(VLOOKUP($C38,'PORTIFÓLIO'!C:V,2,0),"")</f>
        <v/>
      </c>
      <c r="E38" s="211" t="str">
        <f>IFERROR(VLOOKUP($C38,'PORTIFÓLIO'!C:V,3,0),"")</f>
        <v/>
      </c>
      <c r="F38" s="211" t="str">
        <f>IFERROR(VLOOKUP($C38,'PORTIFÓLIO'!C:V,4,0),"")</f>
        <v/>
      </c>
      <c r="G38" s="215" t="str">
        <f>IFERROR(VLOOKUP($C38,'PORTIFÓLIO'!C:V,5,0),"")</f>
        <v/>
      </c>
      <c r="H38" s="254" t="str">
        <f t="array" ref="H38">IFERROR(INDEX('PORTIFÓLIO'!$H$4:$H$433,MATCH($C38,'PORTIFÓLIO'!$C$4:$C$433,0)),"")</f>
        <v/>
      </c>
      <c r="I38" s="256"/>
      <c r="J38" s="218">
        <f t="shared" si="4"/>
        <v>0</v>
      </c>
      <c r="K38" s="219" t="str">
        <f t="array" ref="K38">IFERROR(I38*INDEX('PORTIFÓLIO'!$S$4:$S$433,MATCH($C38,'PORTIFÓLIO'!$C$4:$C$433,0)),"")</f>
        <v/>
      </c>
      <c r="L38" s="219" t="str">
        <f t="array" ref="L38">IFERROR(J38*INDEX('PORTIFÓLIO'!$S$4:$S$433,MATCH($C38,'PORTIFÓLIO'!$C$4:$C$433,0)),"")</f>
        <v/>
      </c>
      <c r="M38" s="220"/>
      <c r="N38" s="220"/>
      <c r="O38" s="220"/>
      <c r="P38" s="220"/>
      <c r="Q38" s="220"/>
      <c r="R38" s="220"/>
      <c r="S38" s="220"/>
      <c r="T38" s="220"/>
      <c r="U38" s="220"/>
      <c r="V38" s="220"/>
      <c r="W38" s="220"/>
    </row>
    <row r="39" ht="15.75" customHeight="1" outlineLevel="1">
      <c r="A39" s="211"/>
      <c r="B39" s="212"/>
      <c r="C39" s="213"/>
      <c r="D39" s="214" t="str">
        <f>IFERROR(VLOOKUP($C39,'PORTIFÓLIO'!C:V,2,0),"")</f>
        <v/>
      </c>
      <c r="E39" s="211" t="str">
        <f>IFERROR(VLOOKUP($C39,'PORTIFÓLIO'!C:V,3,0),"")</f>
        <v/>
      </c>
      <c r="F39" s="211" t="str">
        <f>IFERROR(VLOOKUP($C39,'PORTIFÓLIO'!C:V,4,0),"")</f>
        <v/>
      </c>
      <c r="G39" s="215" t="str">
        <f>IFERROR(VLOOKUP($C39,'PORTIFÓLIO'!C:V,5,0),"")</f>
        <v/>
      </c>
      <c r="H39" s="254" t="str">
        <f t="array" ref="H39">IFERROR(INDEX('PORTIFÓLIO'!$H$4:$H$433,MATCH($C39,'PORTIFÓLIO'!$C$4:$C$433,0)),"")</f>
        <v/>
      </c>
      <c r="I39" s="256"/>
      <c r="J39" s="218">
        <f t="shared" si="4"/>
        <v>0</v>
      </c>
      <c r="K39" s="219" t="str">
        <f t="array" ref="K39">IFERROR(I39*INDEX('PORTIFÓLIO'!$S$4:$S$433,MATCH($C39,'PORTIFÓLIO'!$C$4:$C$433,0)),"")</f>
        <v/>
      </c>
      <c r="L39" s="219" t="str">
        <f t="array" ref="L39">IFERROR(J39*INDEX('PORTIFÓLIO'!$S$4:$S$433,MATCH($C39,'PORTIFÓLIO'!$C$4:$C$433,0)),"")</f>
        <v/>
      </c>
      <c r="M39" s="220"/>
      <c r="N39" s="220"/>
      <c r="O39" s="220"/>
      <c r="P39" s="220"/>
      <c r="Q39" s="220"/>
      <c r="R39" s="220"/>
      <c r="S39" s="220"/>
      <c r="T39" s="220"/>
      <c r="U39" s="220"/>
      <c r="V39" s="220"/>
      <c r="W39" s="220"/>
    </row>
    <row r="40" ht="15.75" customHeight="1" outlineLevel="1">
      <c r="A40" s="211"/>
      <c r="B40" s="212"/>
      <c r="C40" s="213"/>
      <c r="D40" s="214" t="str">
        <f>IFERROR(VLOOKUP($C40,'PORTIFÓLIO'!C:V,2,0),"")</f>
        <v/>
      </c>
      <c r="E40" s="211" t="str">
        <f>IFERROR(VLOOKUP($C40,'PORTIFÓLIO'!C:V,3,0),"")</f>
        <v/>
      </c>
      <c r="F40" s="211" t="str">
        <f>IFERROR(VLOOKUP($C40,'PORTIFÓLIO'!C:V,4,0),"")</f>
        <v/>
      </c>
      <c r="G40" s="215" t="str">
        <f>IFERROR(VLOOKUP($C40,'PORTIFÓLIO'!C:V,5,0),"")</f>
        <v/>
      </c>
      <c r="H40" s="254" t="str">
        <f t="array" ref="H40">IFERROR(INDEX('PORTIFÓLIO'!$H$4:$H$433,MATCH($C40,'PORTIFÓLIO'!$C$4:$C$433,0)),"")</f>
        <v/>
      </c>
      <c r="I40" s="256"/>
      <c r="J40" s="218">
        <f t="shared" si="4"/>
        <v>0</v>
      </c>
      <c r="K40" s="219" t="str">
        <f t="array" ref="K40">IFERROR(I40*INDEX('PORTIFÓLIO'!$S$4:$S$433,MATCH($C40,'PORTIFÓLIO'!$C$4:$C$433,0)),"")</f>
        <v/>
      </c>
      <c r="L40" s="219" t="str">
        <f t="array" ref="L40">IFERROR(J40*INDEX('PORTIFÓLIO'!$S$4:$S$433,MATCH($C40,'PORTIFÓLIO'!$C$4:$C$433,0)),"")</f>
        <v/>
      </c>
      <c r="M40" s="220"/>
      <c r="N40" s="220"/>
      <c r="O40" s="220"/>
      <c r="P40" s="220"/>
      <c r="Q40" s="220"/>
      <c r="R40" s="220"/>
      <c r="S40" s="220"/>
      <c r="T40" s="220"/>
      <c r="U40" s="220"/>
      <c r="V40" s="220"/>
      <c r="W40" s="220"/>
    </row>
    <row r="41" ht="15.75" customHeight="1" outlineLevel="1">
      <c r="A41" s="211"/>
      <c r="B41" s="212"/>
      <c r="C41" s="213"/>
      <c r="D41" s="214" t="str">
        <f>IFERROR(VLOOKUP($C41,'PORTIFÓLIO'!C:V,2,0),"")</f>
        <v/>
      </c>
      <c r="E41" s="211" t="str">
        <f>IFERROR(VLOOKUP($C41,'PORTIFÓLIO'!C:V,3,0),"")</f>
        <v/>
      </c>
      <c r="F41" s="211" t="str">
        <f>IFERROR(VLOOKUP($C41,'PORTIFÓLIO'!C:V,4,0),"")</f>
        <v/>
      </c>
      <c r="G41" s="215" t="str">
        <f>IFERROR(VLOOKUP($C41,'PORTIFÓLIO'!C:V,5,0),"")</f>
        <v/>
      </c>
      <c r="H41" s="254" t="str">
        <f t="array" ref="H41">IFERROR(INDEX('PORTIFÓLIO'!$H$4:$H$433,MATCH($C41,'PORTIFÓLIO'!$C$4:$C$433,0)),"")</f>
        <v/>
      </c>
      <c r="I41" s="256"/>
      <c r="J41" s="218">
        <f t="shared" si="4"/>
        <v>0</v>
      </c>
      <c r="K41" s="219" t="str">
        <f t="array" ref="K41">IFERROR(I41*INDEX('PORTIFÓLIO'!$S$4:$S$433,MATCH($C41,'PORTIFÓLIO'!$C$4:$C$433,0)),"")</f>
        <v/>
      </c>
      <c r="L41" s="219" t="str">
        <f t="array" ref="L41">IFERROR(J41*INDEX('PORTIFÓLIO'!$S$4:$S$433,MATCH($C41,'PORTIFÓLIO'!$C$4:$C$433,0)),"")</f>
        <v/>
      </c>
      <c r="M41" s="220"/>
      <c r="N41" s="220"/>
      <c r="O41" s="220"/>
      <c r="P41" s="220"/>
      <c r="Q41" s="220"/>
      <c r="R41" s="220"/>
      <c r="S41" s="220"/>
      <c r="T41" s="220"/>
      <c r="U41" s="220"/>
      <c r="V41" s="220"/>
      <c r="W41" s="220"/>
    </row>
    <row r="42" ht="15.75" customHeight="1" outlineLevel="1">
      <c r="A42" s="211"/>
      <c r="B42" s="212"/>
      <c r="C42" s="213"/>
      <c r="D42" s="214" t="str">
        <f>IFERROR(VLOOKUP($C42,'PORTIFÓLIO'!C:V,2,0),"")</f>
        <v/>
      </c>
      <c r="E42" s="211" t="str">
        <f>IFERROR(VLOOKUP($C42,'PORTIFÓLIO'!C:V,3,0),"")</f>
        <v/>
      </c>
      <c r="F42" s="211" t="str">
        <f>IFERROR(VLOOKUP($C42,'PORTIFÓLIO'!C:V,4,0),"")</f>
        <v/>
      </c>
      <c r="G42" s="215" t="str">
        <f>IFERROR(VLOOKUP($C42,'PORTIFÓLIO'!C:V,5,0),"")</f>
        <v/>
      </c>
      <c r="H42" s="254" t="str">
        <f t="array" ref="H42">IFERROR(INDEX('PORTIFÓLIO'!$H$4:$H$433,MATCH($C42,'PORTIFÓLIO'!$C$4:$C$433,0)),"")</f>
        <v/>
      </c>
      <c r="I42" s="256"/>
      <c r="J42" s="218">
        <f t="shared" si="4"/>
        <v>0</v>
      </c>
      <c r="K42" s="219" t="str">
        <f t="array" ref="K42">IFERROR(I42*INDEX('PORTIFÓLIO'!$S$4:$S$433,MATCH($C42,'PORTIFÓLIO'!$C$4:$C$433,0)),"")</f>
        <v/>
      </c>
      <c r="L42" s="219" t="str">
        <f t="array" ref="L42">IFERROR(J42*INDEX('PORTIFÓLIO'!$S$4:$S$433,MATCH($C42,'PORTIFÓLIO'!$C$4:$C$433,0)),"")</f>
        <v/>
      </c>
      <c r="M42" s="220"/>
      <c r="N42" s="220"/>
      <c r="O42" s="220"/>
      <c r="P42" s="220"/>
      <c r="Q42" s="220"/>
      <c r="R42" s="220"/>
      <c r="S42" s="220"/>
      <c r="T42" s="220"/>
      <c r="U42" s="220"/>
      <c r="V42" s="220"/>
      <c r="W42" s="220"/>
    </row>
    <row r="43" ht="15.75" customHeight="1" outlineLevel="1">
      <c r="A43" s="211"/>
      <c r="B43" s="212"/>
      <c r="C43" s="213"/>
      <c r="D43" s="214" t="str">
        <f>IFERROR(VLOOKUP($C43,'PORTIFÓLIO'!C:V,2,0),"")</f>
        <v/>
      </c>
      <c r="E43" s="211" t="str">
        <f>IFERROR(VLOOKUP($C43,'PORTIFÓLIO'!C:V,3,0),"")</f>
        <v/>
      </c>
      <c r="F43" s="211" t="str">
        <f>IFERROR(VLOOKUP($C43,'PORTIFÓLIO'!C:V,4,0),"")</f>
        <v/>
      </c>
      <c r="G43" s="215" t="str">
        <f>IFERROR(VLOOKUP($C43,'PORTIFÓLIO'!C:V,5,0),"")</f>
        <v/>
      </c>
      <c r="H43" s="254" t="str">
        <f t="array" ref="H43">IFERROR(INDEX('PORTIFÓLIO'!$H$4:$H$433,MATCH($C43,'PORTIFÓLIO'!$C$4:$C$433,0)),"")</f>
        <v/>
      </c>
      <c r="I43" s="256"/>
      <c r="J43" s="218">
        <f t="shared" si="4"/>
        <v>0</v>
      </c>
      <c r="K43" s="219" t="str">
        <f t="array" ref="K43">IFERROR(I43*INDEX('PORTIFÓLIO'!$S$4:$S$433,MATCH($C43,'PORTIFÓLIO'!$C$4:$C$433,0)),"")</f>
        <v/>
      </c>
      <c r="L43" s="219" t="str">
        <f t="array" ref="L43">IFERROR(J43*INDEX('PORTIFÓLIO'!$S$4:$S$433,MATCH($C43,'PORTIFÓLIO'!$C$4:$C$433,0)),"")</f>
        <v/>
      </c>
      <c r="M43" s="220"/>
      <c r="N43" s="220"/>
      <c r="O43" s="220"/>
      <c r="P43" s="220"/>
      <c r="Q43" s="220"/>
      <c r="R43" s="220"/>
      <c r="S43" s="220"/>
      <c r="T43" s="220"/>
      <c r="U43" s="220"/>
      <c r="V43" s="220"/>
      <c r="W43" s="220"/>
    </row>
    <row r="44" ht="15.75" customHeight="1">
      <c r="A44" s="229" t="s">
        <v>1185</v>
      </c>
      <c r="B44" s="230"/>
      <c r="C44" s="231"/>
      <c r="D44" s="232" t="s">
        <v>216</v>
      </c>
      <c r="E44" s="231"/>
      <c r="F44" s="231"/>
      <c r="G44" s="233"/>
      <c r="H44" s="233"/>
      <c r="I44" s="258"/>
      <c r="J44" s="236"/>
      <c r="K44" s="237">
        <f t="shared" ref="K44:L44" si="5">SUBTOTAL(9,K45:K58)</f>
        <v>0</v>
      </c>
      <c r="L44" s="237">
        <f t="shared" si="5"/>
        <v>0</v>
      </c>
      <c r="M44" s="220"/>
      <c r="N44" s="220"/>
      <c r="O44" s="220"/>
      <c r="P44" s="220"/>
      <c r="Q44" s="220"/>
      <c r="R44" s="220"/>
      <c r="S44" s="220"/>
      <c r="T44" s="220"/>
      <c r="U44" s="220"/>
      <c r="V44" s="220"/>
      <c r="W44" s="220"/>
    </row>
    <row r="45" ht="15.75" customHeight="1" outlineLevel="1">
      <c r="A45" s="213"/>
      <c r="B45" s="212" t="s">
        <v>5</v>
      </c>
      <c r="C45" s="213" t="s">
        <v>1031</v>
      </c>
      <c r="D45" s="214" t="str">
        <f>IFERROR(VLOOKUP($C45,'PORTIFÓLIO'!C:V,2,0),"")</f>
        <v/>
      </c>
      <c r="E45" s="211" t="str">
        <f>IFERROR(VLOOKUP($C45,'PORTIFÓLIO'!C:V,3,0),"")</f>
        <v/>
      </c>
      <c r="F45" s="211" t="str">
        <f>IFERROR(VLOOKUP($C45,'PORTIFÓLIO'!C:V,4,0),"")</f>
        <v>SC</v>
      </c>
      <c r="G45" s="225" t="str">
        <f>IFERROR(VLOOKUP($C45,'PORTIFÓLIO'!C:V,5,0),"")</f>
        <v>📄 Ver bula</v>
      </c>
      <c r="H45" s="254">
        <f t="array" ref="H45">IFERROR(INDEX('PORTIFÓLIO'!$H$4:$H$433,MATCH($C45,'PORTIFÓLIO'!$C$4:$C$433,0)),"")</f>
        <v>1.2</v>
      </c>
      <c r="I45" s="255">
        <v>1.2</v>
      </c>
      <c r="J45" s="218">
        <f t="shared" ref="J45:J62" si="6">I45*$B$2</f>
        <v>264</v>
      </c>
      <c r="K45" s="219">
        <f t="array" ref="K45">IFERROR(I45*INDEX('PORTIFÓLIO'!$S$4:$S$433,MATCH($C45,'PORTIFÓLIO'!$C$4:$C$433,0)),"")</f>
        <v>0</v>
      </c>
      <c r="L45" s="219">
        <f t="array" ref="L45">IFERROR(J45*INDEX('PORTIFÓLIO'!$S$4:$S$433,MATCH($C45,'PORTIFÓLIO'!$C$4:$C$433,0)),"")</f>
        <v>0</v>
      </c>
      <c r="M45" s="220"/>
      <c r="N45" s="220"/>
      <c r="O45" s="220"/>
      <c r="P45" s="220"/>
      <c r="Q45" s="220"/>
      <c r="R45" s="220"/>
      <c r="S45" s="220"/>
      <c r="T45" s="220"/>
      <c r="U45" s="220"/>
      <c r="V45" s="220"/>
      <c r="W45" s="220"/>
    </row>
    <row r="46" ht="15.75" customHeight="1" outlineLevel="1">
      <c r="A46" s="211"/>
      <c r="B46" s="212" t="s">
        <v>7</v>
      </c>
      <c r="C46" s="213" t="s">
        <v>425</v>
      </c>
      <c r="D46" s="214" t="str">
        <f>IFERROR(VLOOKUP($C46,'PORTIFÓLIO'!C:V,2,0),"")</f>
        <v>P2O5 40</v>
      </c>
      <c r="E46" s="211" t="str">
        <f>IFERROR(VLOOKUP($C46,'PORTIFÓLIO'!C:V,3,0),"")</f>
        <v/>
      </c>
      <c r="F46" s="211" t="str">
        <f>IFERROR(VLOOKUP($C46,'PORTIFÓLIO'!C:V,4,0),"")</f>
        <v>Ton</v>
      </c>
      <c r="G46" s="215" t="str">
        <f>IFERROR(VLOOKUP($C46,'PORTIFÓLIO'!C:V,5,0),"")</f>
        <v/>
      </c>
      <c r="H46" s="254" t="str">
        <f t="array" ref="H46">IFERROR(INDEX('PORTIFÓLIO'!$H$4:$H$433,MATCH($C46,'PORTIFÓLIO'!$C$4:$C$433,0)),"")</f>
        <v/>
      </c>
      <c r="I46" s="255">
        <v>0.15</v>
      </c>
      <c r="J46" s="218">
        <f t="shared" si="6"/>
        <v>33</v>
      </c>
      <c r="K46" s="219">
        <f t="array" ref="K46">IFERROR(I46*INDEX('PORTIFÓLIO'!$S$4:$S$433,MATCH($C46,'PORTIFÓLIO'!$C$4:$C$433,0)),"")</f>
        <v>0</v>
      </c>
      <c r="L46" s="219">
        <f t="array" ref="L46">IFERROR(J46*INDEX('PORTIFÓLIO'!$S$4:$S$433,MATCH($C46,'PORTIFÓLIO'!$C$4:$C$433,0)),"")</f>
        <v>0</v>
      </c>
      <c r="M46" s="220"/>
      <c r="N46" s="220"/>
      <c r="O46" s="220"/>
      <c r="P46" s="220"/>
      <c r="Q46" s="220"/>
      <c r="R46" s="220"/>
      <c r="S46" s="220"/>
      <c r="T46" s="220"/>
      <c r="U46" s="220"/>
      <c r="V46" s="220"/>
      <c r="W46" s="220"/>
    </row>
    <row r="47" ht="15.75" customHeight="1" outlineLevel="1">
      <c r="A47" s="211"/>
      <c r="B47" s="212"/>
      <c r="C47" s="213"/>
      <c r="D47" s="214" t="str">
        <f>IFERROR(VLOOKUP($C47,'PORTIFÓLIO'!C:V,2,0),"")</f>
        <v/>
      </c>
      <c r="E47" s="211" t="str">
        <f>IFERROR(VLOOKUP($C47,'PORTIFÓLIO'!C:V,3,0),"")</f>
        <v/>
      </c>
      <c r="F47" s="211" t="str">
        <f>IFERROR(VLOOKUP($C47,'PORTIFÓLIO'!C:V,4,0),"")</f>
        <v/>
      </c>
      <c r="G47" s="215" t="str">
        <f>IFERROR(VLOOKUP($C47,'PORTIFÓLIO'!C:V,5,0),"")</f>
        <v/>
      </c>
      <c r="H47" s="254" t="str">
        <f t="array" ref="H47">IFERROR(INDEX('PORTIFÓLIO'!$H$4:$H$433,MATCH($C47,'PORTIFÓLIO'!$C$4:$C$433,0)),"")</f>
        <v/>
      </c>
      <c r="I47" s="255"/>
      <c r="J47" s="218">
        <f t="shared" si="6"/>
        <v>0</v>
      </c>
      <c r="K47" s="219" t="str">
        <f t="array" ref="K47">IFERROR(I47*INDEX('PORTIFÓLIO'!$S$4:$S$433,MATCH($C47,'PORTIFÓLIO'!$C$4:$C$433,0)),"")</f>
        <v/>
      </c>
      <c r="L47" s="219" t="str">
        <f t="array" ref="L47">IFERROR(J47*INDEX('PORTIFÓLIO'!$S$4:$S$433,MATCH($C47,'PORTIFÓLIO'!$C$4:$C$433,0)),"")</f>
        <v/>
      </c>
      <c r="M47" s="220"/>
      <c r="N47" s="220"/>
      <c r="O47" s="220"/>
      <c r="P47" s="220"/>
      <c r="Q47" s="220"/>
      <c r="R47" s="220"/>
      <c r="S47" s="220"/>
      <c r="T47" s="220"/>
      <c r="U47" s="220"/>
      <c r="V47" s="220"/>
      <c r="W47" s="220"/>
    </row>
    <row r="48" ht="15.75" customHeight="1" outlineLevel="1">
      <c r="A48" s="211"/>
      <c r="B48" s="212"/>
      <c r="C48" s="213"/>
      <c r="D48" s="214" t="str">
        <f>IFERROR(VLOOKUP($C48,'PORTIFÓLIO'!C:V,2,0),"")</f>
        <v/>
      </c>
      <c r="E48" s="211" t="str">
        <f>IFERROR(VLOOKUP($C48,'PORTIFÓLIO'!C:V,3,0),"")</f>
        <v/>
      </c>
      <c r="F48" s="211" t="str">
        <f>IFERROR(VLOOKUP($C48,'PORTIFÓLIO'!C:V,4,0),"")</f>
        <v/>
      </c>
      <c r="G48" s="215" t="str">
        <f>IFERROR(VLOOKUP($C48,'PORTIFÓLIO'!C:V,5,0),"")</f>
        <v/>
      </c>
      <c r="H48" s="254" t="str">
        <f t="array" ref="H48">IFERROR(INDEX('PORTIFÓLIO'!$H$4:$H$433,MATCH($C48,'PORTIFÓLIO'!$C$4:$C$433,0)),"")</f>
        <v/>
      </c>
      <c r="I48" s="255"/>
      <c r="J48" s="218">
        <f t="shared" si="6"/>
        <v>0</v>
      </c>
      <c r="K48" s="219" t="str">
        <f t="array" ref="K48">IFERROR(I48*INDEX('PORTIFÓLIO'!$S$4:$S$433,MATCH($C48,'PORTIFÓLIO'!$C$4:$C$433,0)),"")</f>
        <v/>
      </c>
      <c r="L48" s="219" t="str">
        <f t="array" ref="L48">IFERROR(J48*INDEX('PORTIFÓLIO'!$S$4:$S$433,MATCH($C48,'PORTIFÓLIO'!$C$4:$C$433,0)),"")</f>
        <v/>
      </c>
      <c r="M48" s="220"/>
      <c r="N48" s="220"/>
      <c r="O48" s="220"/>
      <c r="P48" s="220"/>
      <c r="Q48" s="220"/>
      <c r="R48" s="220"/>
      <c r="S48" s="220"/>
      <c r="T48" s="220"/>
      <c r="U48" s="220"/>
      <c r="V48" s="220"/>
      <c r="W48" s="220"/>
    </row>
    <row r="49" ht="15.75" customHeight="1" outlineLevel="1">
      <c r="A49" s="211"/>
      <c r="B49" s="212"/>
      <c r="C49" s="213"/>
      <c r="D49" s="214" t="str">
        <f>IFERROR(VLOOKUP($C49,'PORTIFÓLIO'!C:V,2,0),"")</f>
        <v/>
      </c>
      <c r="E49" s="211" t="str">
        <f>IFERROR(VLOOKUP($C49,'PORTIFÓLIO'!C:V,3,0),"")</f>
        <v/>
      </c>
      <c r="F49" s="211" t="str">
        <f>IFERROR(VLOOKUP($C49,'PORTIFÓLIO'!C:V,4,0),"")</f>
        <v/>
      </c>
      <c r="G49" s="215" t="str">
        <f>IFERROR(VLOOKUP($C49,'PORTIFÓLIO'!C:V,5,0),"")</f>
        <v/>
      </c>
      <c r="H49" s="254" t="str">
        <f t="array" ref="H49">IFERROR(INDEX('PORTIFÓLIO'!$H$4:$H$433,MATCH($C49,'PORTIFÓLIO'!$C$4:$C$433,0)),"")</f>
        <v/>
      </c>
      <c r="I49" s="256"/>
      <c r="J49" s="218">
        <f t="shared" si="6"/>
        <v>0</v>
      </c>
      <c r="K49" s="219" t="str">
        <f t="array" ref="K49">IFERROR(I49*INDEX('PORTIFÓLIO'!$S$4:$S$433,MATCH($C49,'PORTIFÓLIO'!$C$4:$C$433,0)),"")</f>
        <v/>
      </c>
      <c r="L49" s="219" t="str">
        <f t="array" ref="L49">IFERROR(J49*INDEX('PORTIFÓLIO'!$S$4:$S$433,MATCH($C49,'PORTIFÓLIO'!$C$4:$C$433,0)),"")</f>
        <v/>
      </c>
      <c r="M49" s="220"/>
      <c r="N49" s="220"/>
      <c r="O49" s="220"/>
      <c r="P49" s="220"/>
      <c r="Q49" s="220"/>
      <c r="R49" s="220"/>
      <c r="S49" s="220"/>
      <c r="T49" s="220"/>
      <c r="U49" s="220"/>
      <c r="V49" s="220"/>
      <c r="W49" s="220"/>
    </row>
    <row r="50" ht="15.75" customHeight="1" outlineLevel="1">
      <c r="A50" s="211"/>
      <c r="B50" s="212"/>
      <c r="C50" s="213"/>
      <c r="D50" s="214" t="str">
        <f>IFERROR(VLOOKUP($C50,'PORTIFÓLIO'!C:V,2,0),"")</f>
        <v/>
      </c>
      <c r="E50" s="211" t="str">
        <f>IFERROR(VLOOKUP($C50,'PORTIFÓLIO'!C:V,3,0),"")</f>
        <v/>
      </c>
      <c r="F50" s="211" t="str">
        <f>IFERROR(VLOOKUP($C50,'PORTIFÓLIO'!C:V,4,0),"")</f>
        <v/>
      </c>
      <c r="G50" s="215" t="str">
        <f>IFERROR(VLOOKUP($C50,'PORTIFÓLIO'!C:V,5,0),"")</f>
        <v/>
      </c>
      <c r="H50" s="254" t="str">
        <f t="array" ref="H50">IFERROR(INDEX('PORTIFÓLIO'!$H$4:$H$433,MATCH($C50,'PORTIFÓLIO'!$C$4:$C$433,0)),"")</f>
        <v/>
      </c>
      <c r="I50" s="256"/>
      <c r="J50" s="218">
        <f t="shared" si="6"/>
        <v>0</v>
      </c>
      <c r="K50" s="219" t="str">
        <f t="array" ref="K50">IFERROR(I50*INDEX('PORTIFÓLIO'!$S$4:$S$433,MATCH($C50,'PORTIFÓLIO'!$C$4:$C$433,0)),"")</f>
        <v/>
      </c>
      <c r="L50" s="219" t="str">
        <f t="array" ref="L50">IFERROR(J50*INDEX('PORTIFÓLIO'!$S$4:$S$433,MATCH($C50,'PORTIFÓLIO'!$C$4:$C$433,0)),"")</f>
        <v/>
      </c>
      <c r="M50" s="220"/>
      <c r="N50" s="220"/>
      <c r="O50" s="220"/>
      <c r="P50" s="220"/>
      <c r="Q50" s="220"/>
      <c r="R50" s="220"/>
      <c r="S50" s="220"/>
      <c r="T50" s="220"/>
      <c r="U50" s="220"/>
      <c r="V50" s="220"/>
      <c r="W50" s="220"/>
    </row>
    <row r="51" ht="15.75" customHeight="1" outlineLevel="1">
      <c r="A51" s="211"/>
      <c r="B51" s="212"/>
      <c r="C51" s="213"/>
      <c r="D51" s="214" t="str">
        <f>IFERROR(VLOOKUP($C51,'PORTIFÓLIO'!C:V,2,0),"")</f>
        <v/>
      </c>
      <c r="E51" s="211" t="str">
        <f>IFERROR(VLOOKUP($C51,'PORTIFÓLIO'!C:V,3,0),"")</f>
        <v/>
      </c>
      <c r="F51" s="211" t="str">
        <f>IFERROR(VLOOKUP($C51,'PORTIFÓLIO'!C:V,4,0),"")</f>
        <v/>
      </c>
      <c r="G51" s="215" t="str">
        <f>IFERROR(VLOOKUP($C51,'PORTIFÓLIO'!C:V,5,0),"")</f>
        <v/>
      </c>
      <c r="H51" s="254" t="str">
        <f t="array" ref="H51">IFERROR(INDEX('PORTIFÓLIO'!$H$4:$H$433,MATCH($C51,'PORTIFÓLIO'!$C$4:$C$433,0)),"")</f>
        <v/>
      </c>
      <c r="I51" s="256"/>
      <c r="J51" s="218">
        <f t="shared" si="6"/>
        <v>0</v>
      </c>
      <c r="K51" s="219" t="str">
        <f t="array" ref="K51">IFERROR(I51*INDEX('PORTIFÓLIO'!$S$4:$S$433,MATCH($C51,'PORTIFÓLIO'!$C$4:$C$433,0)),"")</f>
        <v/>
      </c>
      <c r="L51" s="219" t="str">
        <f t="array" ref="L51">IFERROR(J51*INDEX('PORTIFÓLIO'!$S$4:$S$433,MATCH($C51,'PORTIFÓLIO'!$C$4:$C$433,0)),"")</f>
        <v/>
      </c>
      <c r="M51" s="220"/>
      <c r="N51" s="220"/>
      <c r="O51" s="220"/>
      <c r="P51" s="220"/>
      <c r="Q51" s="220"/>
      <c r="R51" s="220"/>
      <c r="S51" s="220"/>
      <c r="T51" s="220"/>
      <c r="U51" s="220"/>
      <c r="V51" s="220"/>
      <c r="W51" s="220"/>
    </row>
    <row r="52" ht="15.75" customHeight="1" outlineLevel="1">
      <c r="A52" s="211"/>
      <c r="B52" s="212"/>
      <c r="C52" s="213"/>
      <c r="D52" s="214" t="str">
        <f>IFERROR(VLOOKUP($C52,'PORTIFÓLIO'!C:V,2,0),"")</f>
        <v/>
      </c>
      <c r="E52" s="211" t="str">
        <f>IFERROR(VLOOKUP($C52,'PORTIFÓLIO'!C:V,3,0),"")</f>
        <v/>
      </c>
      <c r="F52" s="211" t="str">
        <f>IFERROR(VLOOKUP($C52,'PORTIFÓLIO'!C:V,4,0),"")</f>
        <v/>
      </c>
      <c r="G52" s="215" t="str">
        <f>IFERROR(VLOOKUP($C52,'PORTIFÓLIO'!C:V,5,0),"")</f>
        <v/>
      </c>
      <c r="H52" s="254" t="str">
        <f t="array" ref="H52">IFERROR(INDEX('PORTIFÓLIO'!$H$4:$H$433,MATCH($C52,'PORTIFÓLIO'!$C$4:$C$433,0)),"")</f>
        <v/>
      </c>
      <c r="I52" s="256"/>
      <c r="J52" s="218">
        <f t="shared" si="6"/>
        <v>0</v>
      </c>
      <c r="K52" s="219" t="str">
        <f t="array" ref="K52">IFERROR(I52*INDEX('PORTIFÓLIO'!$S$4:$S$433,MATCH($C52,'PORTIFÓLIO'!$C$4:$C$433,0)),"")</f>
        <v/>
      </c>
      <c r="L52" s="219" t="str">
        <f t="array" ref="L52">IFERROR(J52*INDEX('PORTIFÓLIO'!$S$4:$S$433,MATCH($C52,'PORTIFÓLIO'!$C$4:$C$433,0)),"")</f>
        <v/>
      </c>
      <c r="M52" s="220"/>
      <c r="N52" s="220"/>
      <c r="O52" s="220"/>
      <c r="P52" s="220"/>
      <c r="Q52" s="220"/>
      <c r="R52" s="220"/>
      <c r="S52" s="220"/>
      <c r="T52" s="220"/>
      <c r="U52" s="220"/>
      <c r="V52" s="220"/>
      <c r="W52" s="220"/>
    </row>
    <row r="53" ht="15.75" customHeight="1" outlineLevel="1">
      <c r="A53" s="211"/>
      <c r="B53" s="212"/>
      <c r="C53" s="213"/>
      <c r="D53" s="214" t="str">
        <f>IFERROR(VLOOKUP($C53,'PORTIFÓLIO'!C:V,2,0),"")</f>
        <v/>
      </c>
      <c r="E53" s="211" t="str">
        <f>IFERROR(VLOOKUP($C53,'PORTIFÓLIO'!C:V,3,0),"")</f>
        <v/>
      </c>
      <c r="F53" s="211" t="str">
        <f>IFERROR(VLOOKUP($C53,'PORTIFÓLIO'!C:V,4,0),"")</f>
        <v/>
      </c>
      <c r="G53" s="215" t="str">
        <f>IFERROR(VLOOKUP($C53,'PORTIFÓLIO'!C:V,5,0),"")</f>
        <v/>
      </c>
      <c r="H53" s="254" t="str">
        <f t="array" ref="H53">IFERROR(INDEX('PORTIFÓLIO'!$H$4:$H$433,MATCH($C53,'PORTIFÓLIO'!$C$4:$C$433,0)),"")</f>
        <v/>
      </c>
      <c r="I53" s="255"/>
      <c r="J53" s="218">
        <f t="shared" si="6"/>
        <v>0</v>
      </c>
      <c r="K53" s="219" t="str">
        <f t="array" ref="K53">IFERROR(I53*INDEX('PORTIFÓLIO'!$S$4:$S$433,MATCH($C53,'PORTIFÓLIO'!$C$4:$C$433,0)),"")</f>
        <v/>
      </c>
      <c r="L53" s="219" t="str">
        <f t="array" ref="L53">IFERROR(J53*INDEX('PORTIFÓLIO'!$S$4:$S$433,MATCH($C53,'PORTIFÓLIO'!$C$4:$C$433,0)),"")</f>
        <v/>
      </c>
      <c r="M53" s="220"/>
      <c r="N53" s="220"/>
      <c r="O53" s="220"/>
      <c r="P53" s="220"/>
      <c r="Q53" s="220"/>
      <c r="R53" s="220"/>
      <c r="S53" s="220"/>
      <c r="T53" s="220"/>
      <c r="U53" s="220"/>
      <c r="V53" s="220"/>
      <c r="W53" s="220"/>
    </row>
    <row r="54" ht="15.75" customHeight="1" outlineLevel="1">
      <c r="A54" s="211"/>
      <c r="B54" s="212"/>
      <c r="C54" s="213"/>
      <c r="D54" s="214" t="str">
        <f>IFERROR(VLOOKUP($C54,'PORTIFÓLIO'!C:V,2,0),"")</f>
        <v/>
      </c>
      <c r="E54" s="211" t="str">
        <f>IFERROR(VLOOKUP($C54,'PORTIFÓLIO'!C:V,3,0),"")</f>
        <v/>
      </c>
      <c r="F54" s="211" t="str">
        <f>IFERROR(VLOOKUP($C54,'PORTIFÓLIO'!C:V,4,0),"")</f>
        <v/>
      </c>
      <c r="G54" s="215" t="str">
        <f>IFERROR(VLOOKUP($C54,'PORTIFÓLIO'!C:V,5,0),"")</f>
        <v/>
      </c>
      <c r="H54" s="254" t="str">
        <f t="array" ref="H54">IFERROR(INDEX('PORTIFÓLIO'!$H$4:$H$433,MATCH($C54,'PORTIFÓLIO'!$C$4:$C$433,0)),"")</f>
        <v/>
      </c>
      <c r="I54" s="256"/>
      <c r="J54" s="218">
        <f t="shared" si="6"/>
        <v>0</v>
      </c>
      <c r="K54" s="219" t="str">
        <f t="array" ref="K54">IFERROR(I54*INDEX('PORTIFÓLIO'!$S$4:$S$433,MATCH($C54,'PORTIFÓLIO'!$C$4:$C$433,0)),"")</f>
        <v/>
      </c>
      <c r="L54" s="219" t="str">
        <f t="array" ref="L54">IFERROR(J54*INDEX('PORTIFÓLIO'!$S$4:$S$433,MATCH($C54,'PORTIFÓLIO'!$C$4:$C$433,0)),"")</f>
        <v/>
      </c>
      <c r="M54" s="220"/>
      <c r="N54" s="220"/>
      <c r="O54" s="220"/>
      <c r="P54" s="220"/>
      <c r="Q54" s="220"/>
      <c r="R54" s="220"/>
      <c r="S54" s="220"/>
      <c r="T54" s="220"/>
      <c r="U54" s="220"/>
      <c r="V54" s="220"/>
      <c r="W54" s="220"/>
    </row>
    <row r="55" ht="15.75" customHeight="1" outlineLevel="1">
      <c r="A55" s="211"/>
      <c r="B55" s="212"/>
      <c r="C55" s="213"/>
      <c r="D55" s="214" t="str">
        <f>IFERROR(VLOOKUP($C55,'PORTIFÓLIO'!C:V,2,0),"")</f>
        <v/>
      </c>
      <c r="E55" s="211" t="str">
        <f>IFERROR(VLOOKUP($C55,'PORTIFÓLIO'!C:V,3,0),"")</f>
        <v/>
      </c>
      <c r="F55" s="211" t="str">
        <f>IFERROR(VLOOKUP($C55,'PORTIFÓLIO'!C:V,4,0),"")</f>
        <v/>
      </c>
      <c r="G55" s="215" t="str">
        <f>IFERROR(VLOOKUP($C55,'PORTIFÓLIO'!C:V,5,0),"")</f>
        <v/>
      </c>
      <c r="H55" s="254" t="str">
        <f t="array" ref="H55">IFERROR(INDEX('PORTIFÓLIO'!$H$4:$H$433,MATCH($C55,'PORTIFÓLIO'!$C$4:$C$433,0)),"")</f>
        <v/>
      </c>
      <c r="I55" s="256"/>
      <c r="J55" s="218">
        <f t="shared" si="6"/>
        <v>0</v>
      </c>
      <c r="K55" s="219" t="str">
        <f t="array" ref="K55">IFERROR(I55*INDEX('PORTIFÓLIO'!$S$4:$S$433,MATCH($C55,'PORTIFÓLIO'!$C$4:$C$433,0)),"")</f>
        <v/>
      </c>
      <c r="L55" s="219" t="str">
        <f t="array" ref="L55">IFERROR(J55*INDEX('PORTIFÓLIO'!$S$4:$S$433,MATCH($C55,'PORTIFÓLIO'!$C$4:$C$433,0)),"")</f>
        <v/>
      </c>
      <c r="M55" s="220"/>
      <c r="N55" s="220"/>
      <c r="O55" s="220"/>
      <c r="P55" s="220"/>
      <c r="Q55" s="220"/>
      <c r="R55" s="220"/>
      <c r="S55" s="220"/>
      <c r="T55" s="220"/>
      <c r="U55" s="220"/>
      <c r="V55" s="220"/>
      <c r="W55" s="220"/>
    </row>
    <row r="56" ht="15.75" customHeight="1" outlineLevel="1">
      <c r="A56" s="211"/>
      <c r="B56" s="212"/>
      <c r="C56" s="213"/>
      <c r="D56" s="214" t="str">
        <f>IFERROR(VLOOKUP($C56,'PORTIFÓLIO'!C:V,2,0),"")</f>
        <v/>
      </c>
      <c r="E56" s="211" t="str">
        <f>IFERROR(VLOOKUP($C56,'PORTIFÓLIO'!C:V,3,0),"")</f>
        <v/>
      </c>
      <c r="F56" s="211" t="str">
        <f>IFERROR(VLOOKUP($C56,'PORTIFÓLIO'!C:V,4,0),"")</f>
        <v/>
      </c>
      <c r="G56" s="215" t="str">
        <f>IFERROR(VLOOKUP($C56,'PORTIFÓLIO'!C:V,5,0),"")</f>
        <v/>
      </c>
      <c r="H56" s="254" t="str">
        <f t="array" ref="H56">IFERROR(INDEX('PORTIFÓLIO'!$H$4:$H$433,MATCH($C56,'PORTIFÓLIO'!$C$4:$C$433,0)),"")</f>
        <v/>
      </c>
      <c r="I56" s="256"/>
      <c r="J56" s="218">
        <f t="shared" si="6"/>
        <v>0</v>
      </c>
      <c r="K56" s="219" t="str">
        <f t="array" ref="K56">IFERROR(I56*INDEX('PORTIFÓLIO'!$S$4:$S$433,MATCH($C56,'PORTIFÓLIO'!$C$4:$C$433,0)),"")</f>
        <v/>
      </c>
      <c r="L56" s="219" t="str">
        <f t="array" ref="L56">IFERROR(J56*INDEX('PORTIFÓLIO'!$S$4:$S$433,MATCH($C56,'PORTIFÓLIO'!$C$4:$C$433,0)),"")</f>
        <v/>
      </c>
      <c r="M56" s="220"/>
      <c r="N56" s="220"/>
      <c r="O56" s="220"/>
      <c r="P56" s="220"/>
      <c r="Q56" s="220"/>
      <c r="R56" s="220"/>
      <c r="S56" s="220"/>
      <c r="T56" s="220"/>
      <c r="U56" s="220"/>
      <c r="V56" s="220"/>
      <c r="W56" s="220"/>
    </row>
    <row r="57" ht="15.75" customHeight="1" outlineLevel="1">
      <c r="A57" s="211"/>
      <c r="B57" s="212"/>
      <c r="C57" s="213"/>
      <c r="D57" s="214" t="str">
        <f>IFERROR(VLOOKUP($C57,'PORTIFÓLIO'!C:V,2,0),"")</f>
        <v/>
      </c>
      <c r="E57" s="211" t="str">
        <f>IFERROR(VLOOKUP($C57,'PORTIFÓLIO'!C:V,3,0),"")</f>
        <v/>
      </c>
      <c r="F57" s="211" t="str">
        <f>IFERROR(VLOOKUP($C57,'PORTIFÓLIO'!C:V,4,0),"")</f>
        <v/>
      </c>
      <c r="G57" s="215" t="str">
        <f>IFERROR(VLOOKUP($C57,'PORTIFÓLIO'!C:V,5,0),"")</f>
        <v/>
      </c>
      <c r="H57" s="254" t="str">
        <f t="array" ref="H57">IFERROR(INDEX('PORTIFÓLIO'!$H$4:$H$433,MATCH($C57,'PORTIFÓLIO'!$C$4:$C$433,0)),"")</f>
        <v/>
      </c>
      <c r="I57" s="256"/>
      <c r="J57" s="218">
        <f t="shared" si="6"/>
        <v>0</v>
      </c>
      <c r="K57" s="219" t="str">
        <f t="array" ref="K57">IFERROR(I57*INDEX('PORTIFÓLIO'!$S$4:$S$433,MATCH($C57,'PORTIFÓLIO'!$C$4:$C$433,0)),"")</f>
        <v/>
      </c>
      <c r="L57" s="219" t="str">
        <f t="array" ref="L57">IFERROR(J57*INDEX('PORTIFÓLIO'!$S$4:$S$433,MATCH($C57,'PORTIFÓLIO'!$C$4:$C$433,0)),"")</f>
        <v/>
      </c>
      <c r="M57" s="220"/>
      <c r="N57" s="220"/>
      <c r="O57" s="220"/>
      <c r="P57" s="220"/>
      <c r="Q57" s="220"/>
      <c r="R57" s="220"/>
      <c r="S57" s="220"/>
      <c r="T57" s="220"/>
      <c r="U57" s="220"/>
      <c r="V57" s="220"/>
      <c r="W57" s="220"/>
    </row>
    <row r="58" ht="15.75" customHeight="1" outlineLevel="1">
      <c r="A58" s="211"/>
      <c r="B58" s="212"/>
      <c r="C58" s="213"/>
      <c r="D58" s="214" t="str">
        <f>IFERROR(VLOOKUP($C58,'PORTIFÓLIO'!C:V,2,0),"")</f>
        <v/>
      </c>
      <c r="E58" s="211" t="str">
        <f>IFERROR(VLOOKUP($C58,'PORTIFÓLIO'!C:V,3,0),"")</f>
        <v/>
      </c>
      <c r="F58" s="211" t="str">
        <f>IFERROR(VLOOKUP($C58,'PORTIFÓLIO'!C:V,4,0),"")</f>
        <v/>
      </c>
      <c r="G58" s="215" t="str">
        <f>IFERROR(VLOOKUP($C58,'PORTIFÓLIO'!C:V,5,0),"")</f>
        <v/>
      </c>
      <c r="H58" s="254" t="str">
        <f t="array" ref="H58">IFERROR(INDEX('PORTIFÓLIO'!$H$4:$H$433,MATCH($C58,'PORTIFÓLIO'!$C$4:$C$433,0)),"")</f>
        <v/>
      </c>
      <c r="I58" s="256"/>
      <c r="J58" s="218">
        <f t="shared" si="6"/>
        <v>0</v>
      </c>
      <c r="K58" s="219" t="str">
        <f t="array" ref="K58">IFERROR(I58*INDEX('PORTIFÓLIO'!$S$4:$S$433,MATCH($C58,'PORTIFÓLIO'!$C$4:$C$433,0)),"")</f>
        <v/>
      </c>
      <c r="L58" s="219" t="str">
        <f t="array" ref="L58">IFERROR(J58*INDEX('PORTIFÓLIO'!$S$4:$S$433,MATCH($C58,'PORTIFÓLIO'!$C$4:$C$433,0)),"")</f>
        <v/>
      </c>
      <c r="M58" s="220"/>
      <c r="N58" s="220"/>
      <c r="O58" s="220"/>
      <c r="P58" s="220"/>
      <c r="Q58" s="220"/>
      <c r="R58" s="220"/>
      <c r="S58" s="220"/>
      <c r="T58" s="220"/>
      <c r="U58" s="220"/>
      <c r="V58" s="220"/>
      <c r="W58" s="220"/>
    </row>
    <row r="59" ht="15.75" customHeight="1" outlineLevel="1">
      <c r="A59" s="211"/>
      <c r="B59" s="212"/>
      <c r="C59" s="213"/>
      <c r="D59" s="214" t="str">
        <f>IFERROR(VLOOKUP($C59,'PORTIFÓLIO'!C:V,2,0),"")</f>
        <v/>
      </c>
      <c r="E59" s="211" t="str">
        <f>IFERROR(VLOOKUP($C59,'PORTIFÓLIO'!C:V,3,0),"")</f>
        <v/>
      </c>
      <c r="F59" s="211" t="str">
        <f>IFERROR(VLOOKUP($C59,'PORTIFÓLIO'!C:V,4,0),"")</f>
        <v/>
      </c>
      <c r="G59" s="215" t="str">
        <f>IFERROR(VLOOKUP($C59,'PORTIFÓLIO'!C:V,5,0),"")</f>
        <v/>
      </c>
      <c r="H59" s="254" t="str">
        <f t="array" ref="H59">IFERROR(INDEX('PORTIFÓLIO'!$H$4:$H$433,MATCH($C59,'PORTIFÓLIO'!$C$4:$C$433,0)),"")</f>
        <v/>
      </c>
      <c r="I59" s="256"/>
      <c r="J59" s="218">
        <f t="shared" si="6"/>
        <v>0</v>
      </c>
      <c r="K59" s="219" t="str">
        <f t="array" ref="K59">IFERROR(I59*INDEX('PORTIFÓLIO'!$S$4:$S$433,MATCH($C59,'PORTIFÓLIO'!$C$4:$C$433,0)),"")</f>
        <v/>
      </c>
      <c r="L59" s="219" t="str">
        <f t="array" ref="L59">IFERROR(J59*INDEX('PORTIFÓLIO'!$S$4:$S$433,MATCH($C59,'PORTIFÓLIO'!$C$4:$C$433,0)),"")</f>
        <v/>
      </c>
      <c r="M59" s="220"/>
      <c r="N59" s="220"/>
      <c r="O59" s="220"/>
      <c r="P59" s="220"/>
      <c r="Q59" s="220"/>
      <c r="R59" s="220"/>
      <c r="S59" s="220"/>
      <c r="T59" s="220"/>
      <c r="U59" s="220"/>
      <c r="V59" s="220"/>
      <c r="W59" s="220"/>
    </row>
    <row r="60" ht="15.75" customHeight="1" outlineLevel="1">
      <c r="A60" s="211"/>
      <c r="B60" s="212"/>
      <c r="C60" s="213"/>
      <c r="D60" s="214" t="str">
        <f>IFERROR(VLOOKUP($C60,'PORTIFÓLIO'!C:V,2,0),"")</f>
        <v/>
      </c>
      <c r="E60" s="211" t="str">
        <f>IFERROR(VLOOKUP($C60,'PORTIFÓLIO'!C:V,3,0),"")</f>
        <v/>
      </c>
      <c r="F60" s="211" t="str">
        <f>IFERROR(VLOOKUP($C60,'PORTIFÓLIO'!C:V,4,0),"")</f>
        <v/>
      </c>
      <c r="G60" s="215" t="str">
        <f>IFERROR(VLOOKUP($C60,'PORTIFÓLIO'!C:V,5,0),"")</f>
        <v/>
      </c>
      <c r="H60" s="254" t="str">
        <f t="array" ref="H60">IFERROR(INDEX('PORTIFÓLIO'!$H$4:$H$433,MATCH($C60,'PORTIFÓLIO'!$C$4:$C$433,0)),"")</f>
        <v/>
      </c>
      <c r="I60" s="256"/>
      <c r="J60" s="218">
        <f t="shared" si="6"/>
        <v>0</v>
      </c>
      <c r="K60" s="219" t="str">
        <f t="array" ref="K60">IFERROR(I60*INDEX('PORTIFÓLIO'!$S$4:$S$433,MATCH($C60,'PORTIFÓLIO'!$C$4:$C$433,0)),"")</f>
        <v/>
      </c>
      <c r="L60" s="219" t="str">
        <f t="array" ref="L60">IFERROR(J60*INDEX('PORTIFÓLIO'!$S$4:$S$433,MATCH($C60,'PORTIFÓLIO'!$C$4:$C$433,0)),"")</f>
        <v/>
      </c>
      <c r="M60" s="220"/>
      <c r="N60" s="220"/>
      <c r="O60" s="220"/>
      <c r="P60" s="220"/>
      <c r="Q60" s="220"/>
      <c r="R60" s="220"/>
      <c r="S60" s="220"/>
      <c r="T60" s="220"/>
      <c r="U60" s="220"/>
      <c r="V60" s="220"/>
      <c r="W60" s="220"/>
    </row>
    <row r="61" ht="15.75" customHeight="1" outlineLevel="1">
      <c r="A61" s="211"/>
      <c r="B61" s="212"/>
      <c r="C61" s="213"/>
      <c r="D61" s="214" t="str">
        <f>IFERROR(VLOOKUP($C61,'PORTIFÓLIO'!C:V,2,0),"")</f>
        <v/>
      </c>
      <c r="E61" s="211" t="str">
        <f>IFERROR(VLOOKUP($C61,'PORTIFÓLIO'!C:V,3,0),"")</f>
        <v/>
      </c>
      <c r="F61" s="211" t="str">
        <f>IFERROR(VLOOKUP($C61,'PORTIFÓLIO'!C:V,4,0),"")</f>
        <v/>
      </c>
      <c r="G61" s="215" t="str">
        <f>IFERROR(VLOOKUP($C61,'PORTIFÓLIO'!C:V,5,0),"")</f>
        <v/>
      </c>
      <c r="H61" s="254" t="str">
        <f t="array" ref="H61">IFERROR(INDEX('PORTIFÓLIO'!$H$4:$H$433,MATCH($C61,'PORTIFÓLIO'!$C$4:$C$433,0)),"")</f>
        <v/>
      </c>
      <c r="I61" s="256"/>
      <c r="J61" s="218">
        <f t="shared" si="6"/>
        <v>0</v>
      </c>
      <c r="K61" s="219" t="str">
        <f t="array" ref="K61">IFERROR(I61*INDEX('PORTIFÓLIO'!$S$4:$S$433,MATCH($C61,'PORTIFÓLIO'!$C$4:$C$433,0)),"")</f>
        <v/>
      </c>
      <c r="L61" s="219" t="str">
        <f t="array" ref="L61">IFERROR(J61*INDEX('PORTIFÓLIO'!$S$4:$S$433,MATCH($C61,'PORTIFÓLIO'!$C$4:$C$433,0)),"")</f>
        <v/>
      </c>
      <c r="M61" s="220"/>
      <c r="N61" s="220"/>
      <c r="O61" s="220"/>
      <c r="P61" s="220"/>
      <c r="Q61" s="220"/>
      <c r="R61" s="220"/>
      <c r="S61" s="220"/>
      <c r="T61" s="220"/>
      <c r="U61" s="220"/>
      <c r="V61" s="220"/>
      <c r="W61" s="220"/>
    </row>
    <row r="62" ht="15.75" customHeight="1" outlineLevel="1">
      <c r="A62" s="211"/>
      <c r="B62" s="212"/>
      <c r="C62" s="213"/>
      <c r="D62" s="214" t="str">
        <f>IFERROR(VLOOKUP($C62,'PORTIFÓLIO'!C:V,2,0),"")</f>
        <v/>
      </c>
      <c r="E62" s="211" t="str">
        <f>IFERROR(VLOOKUP($C62,'PORTIFÓLIO'!C:V,3,0),"")</f>
        <v/>
      </c>
      <c r="F62" s="211" t="str">
        <f>IFERROR(VLOOKUP($C62,'PORTIFÓLIO'!C:V,4,0),"")</f>
        <v/>
      </c>
      <c r="G62" s="215" t="str">
        <f>IFERROR(VLOOKUP($C62,'PORTIFÓLIO'!C:V,5,0),"")</f>
        <v/>
      </c>
      <c r="H62" s="254" t="str">
        <f t="array" ref="H62">IFERROR(INDEX('PORTIFÓLIO'!$H$4:$H$433,MATCH($C62,'PORTIFÓLIO'!$C$4:$C$433,0)),"")</f>
        <v/>
      </c>
      <c r="I62" s="256"/>
      <c r="J62" s="218">
        <f t="shared" si="6"/>
        <v>0</v>
      </c>
      <c r="K62" s="219" t="str">
        <f t="array" ref="K62">IFERROR(I62*INDEX('PORTIFÓLIO'!$S$4:$S$433,MATCH($C62,'PORTIFÓLIO'!$C$4:$C$433,0)),"")</f>
        <v/>
      </c>
      <c r="L62" s="219" t="str">
        <f t="array" ref="L62">IFERROR(J62*INDEX('PORTIFÓLIO'!$S$4:$S$433,MATCH($C62,'PORTIFÓLIO'!$C$4:$C$433,0)),"")</f>
        <v/>
      </c>
      <c r="M62" s="220"/>
      <c r="N62" s="220"/>
      <c r="O62" s="220"/>
      <c r="P62" s="220"/>
      <c r="Q62" s="220"/>
      <c r="R62" s="220"/>
      <c r="S62" s="220"/>
      <c r="T62" s="220"/>
      <c r="U62" s="220"/>
      <c r="V62" s="220"/>
      <c r="W62" s="220"/>
    </row>
    <row r="63" ht="15.75" customHeight="1">
      <c r="A63" s="229" t="s">
        <v>1186</v>
      </c>
      <c r="B63" s="230"/>
      <c r="C63" s="231"/>
      <c r="D63" s="232"/>
      <c r="E63" s="231"/>
      <c r="F63" s="231"/>
      <c r="G63" s="233"/>
      <c r="H63" s="233"/>
      <c r="I63" s="258"/>
      <c r="J63" s="236"/>
      <c r="K63" s="237">
        <f t="shared" ref="K63:L63" si="7">SUBTOTAL(9,K64:K76)</f>
        <v>52.6127025</v>
      </c>
      <c r="L63" s="237">
        <f t="shared" si="7"/>
        <v>11574.79455</v>
      </c>
      <c r="M63" s="220"/>
      <c r="N63" s="220"/>
      <c r="O63" s="220"/>
      <c r="P63" s="220"/>
      <c r="Q63" s="220"/>
      <c r="R63" s="220"/>
      <c r="S63" s="220"/>
      <c r="T63" s="220"/>
      <c r="U63" s="220"/>
      <c r="V63" s="220"/>
      <c r="W63" s="220"/>
    </row>
    <row r="64" ht="15.75" customHeight="1" outlineLevel="1">
      <c r="A64" s="213"/>
      <c r="B64" s="212" t="s">
        <v>2</v>
      </c>
      <c r="C64" s="213" t="s">
        <v>837</v>
      </c>
      <c r="D64" s="214" t="str">
        <f>IFERROR(VLOOKUP($C64,'PORTIFÓLIO'!C:V,2,0),"")</f>
        <v>CLORFENAPIR</v>
      </c>
      <c r="E64" s="211">
        <f>IFERROR(VLOOKUP($C64,'PORTIFÓLIO'!C:V,3,0),"")</f>
        <v>240</v>
      </c>
      <c r="F64" s="211" t="str">
        <f>IFERROR(VLOOKUP($C64,'PORTIFÓLIO'!C:V,4,0),"")</f>
        <v>KG</v>
      </c>
      <c r="G64" s="225" t="str">
        <f>IFERROR(VLOOKUP($C64,'PORTIFÓLIO'!C:V,5,0),"")</f>
        <v>📄 Ver bula</v>
      </c>
      <c r="H64" s="254">
        <f t="array" ref="H64">IFERROR(INDEX('PORTIFÓLIO'!$H$4:$H$433,MATCH($C64,'PORTIFÓLIO'!$C$4:$C$433,0)),"")</f>
        <v>1</v>
      </c>
      <c r="I64" s="255">
        <v>1.0</v>
      </c>
      <c r="J64" s="218">
        <f t="shared" ref="J64:J80" si="8">I64*$B$2</f>
        <v>220</v>
      </c>
      <c r="K64" s="219">
        <f t="array" ref="K64">IFERROR(I64*INDEX('PORTIFÓLIO'!$S$4:$S$433,MATCH($C64,'PORTIFÓLIO'!$C$4:$C$433,0)),"")</f>
        <v>38.55729</v>
      </c>
      <c r="L64" s="219">
        <f t="array" ref="L64">IFERROR(J64*INDEX('PORTIFÓLIO'!$S$4:$S$433,MATCH($C64,'PORTIFÓLIO'!$C$4:$C$433,0)),"")</f>
        <v>8482.6038</v>
      </c>
      <c r="M64" s="220"/>
      <c r="N64" s="220"/>
      <c r="O64" s="220"/>
      <c r="P64" s="220"/>
      <c r="Q64" s="220"/>
      <c r="R64" s="220"/>
      <c r="S64" s="220"/>
      <c r="T64" s="220"/>
      <c r="U64" s="220"/>
      <c r="V64" s="220"/>
      <c r="W64" s="220"/>
    </row>
    <row r="65" ht="15.75" customHeight="1" outlineLevel="1">
      <c r="A65" s="211"/>
      <c r="B65" s="212" t="s">
        <v>2</v>
      </c>
      <c r="C65" s="213" t="s">
        <v>842</v>
      </c>
      <c r="D65" s="214" t="str">
        <f>IFERROR(VLOOKUP($C65,'PORTIFÓLIO'!C:V,2,0),"")</f>
        <v>IMIDACLOPRIDO</v>
      </c>
      <c r="E65" s="211">
        <f>IFERROR(VLOOKUP($C65,'PORTIFÓLIO'!C:V,3,0),"")</f>
        <v>480</v>
      </c>
      <c r="F65" s="211" t="str">
        <f>IFERROR(VLOOKUP($C65,'PORTIFÓLIO'!C:V,4,0),"")</f>
        <v>L</v>
      </c>
      <c r="G65" s="225" t="str">
        <f>IFERROR(VLOOKUP($C65,'PORTIFÓLIO'!C:V,5,0),"")</f>
        <v>📄 Ver bula</v>
      </c>
      <c r="H65" s="254">
        <f t="array" ref="H65">IFERROR(INDEX('PORTIFÓLIO'!$H$4:$H$433,MATCH($C65,'PORTIFÓLIO'!$C$4:$C$433,0)),"")</f>
        <v>0.25</v>
      </c>
      <c r="I65" s="255">
        <v>0.25</v>
      </c>
      <c r="J65" s="218">
        <f t="shared" si="8"/>
        <v>55</v>
      </c>
      <c r="K65" s="219">
        <f t="array" ref="K65">IFERROR(I65*INDEX('PORTIFÓLIO'!$S$4:$S$433,MATCH($C65,'PORTIFÓLIO'!$C$4:$C$433,0)),"")</f>
        <v>14.0554125</v>
      </c>
      <c r="L65" s="219">
        <f t="array" ref="L65">IFERROR(J65*INDEX('PORTIFÓLIO'!$S$4:$S$433,MATCH($C65,'PORTIFÓLIO'!$C$4:$C$433,0)),"")</f>
        <v>3092.19075</v>
      </c>
      <c r="M65" s="220"/>
      <c r="N65" s="220"/>
      <c r="O65" s="220"/>
      <c r="P65" s="220"/>
      <c r="Q65" s="220"/>
      <c r="R65" s="220"/>
      <c r="S65" s="220"/>
      <c r="T65" s="220"/>
      <c r="U65" s="220"/>
      <c r="V65" s="220"/>
      <c r="W65" s="220"/>
    </row>
    <row r="66" ht="15.75" customHeight="1" outlineLevel="1">
      <c r="A66" s="211"/>
      <c r="B66" s="212"/>
      <c r="C66" s="213"/>
      <c r="D66" s="214" t="str">
        <f>IFERROR(VLOOKUP($C66,'PORTIFÓLIO'!C:V,2,0),"")</f>
        <v/>
      </c>
      <c r="E66" s="211" t="str">
        <f>IFERROR(VLOOKUP($C66,'PORTIFÓLIO'!C:V,3,0),"")</f>
        <v/>
      </c>
      <c r="F66" s="211" t="str">
        <f>IFERROR(VLOOKUP($C66,'PORTIFÓLIO'!C:V,4,0),"")</f>
        <v/>
      </c>
      <c r="G66" s="215" t="str">
        <f>IFERROR(VLOOKUP($C66,'PORTIFÓLIO'!C:V,5,0),"")</f>
        <v/>
      </c>
      <c r="H66" s="254" t="str">
        <f t="array" ref="H66">IFERROR(INDEX('PORTIFÓLIO'!$H$4:$H$433,MATCH($C66,'PORTIFÓLIO'!$C$4:$C$433,0)),"")</f>
        <v/>
      </c>
      <c r="I66" s="255"/>
      <c r="J66" s="218">
        <f t="shared" si="8"/>
        <v>0</v>
      </c>
      <c r="K66" s="219" t="str">
        <f t="array" ref="K66">IFERROR(I66*INDEX('PORTIFÓLIO'!$S$4:$S$433,MATCH($C66,'PORTIFÓLIO'!$C$4:$C$433,0)),"")</f>
        <v/>
      </c>
      <c r="L66" s="219" t="str">
        <f t="array" ref="L66">IFERROR(J66*INDEX('PORTIFÓLIO'!$S$4:$S$433,MATCH($C66,'PORTIFÓLIO'!$C$4:$C$433,0)),"")</f>
        <v/>
      </c>
      <c r="M66" s="220"/>
      <c r="N66" s="220"/>
      <c r="O66" s="220"/>
      <c r="P66" s="220"/>
      <c r="Q66" s="220"/>
      <c r="R66" s="220"/>
      <c r="S66" s="220"/>
      <c r="T66" s="220"/>
      <c r="U66" s="220"/>
      <c r="V66" s="220"/>
      <c r="W66" s="220"/>
    </row>
    <row r="67" ht="15.75" customHeight="1" outlineLevel="1">
      <c r="A67" s="211"/>
      <c r="B67" s="212"/>
      <c r="C67" s="213"/>
      <c r="D67" s="214" t="str">
        <f>IFERROR(VLOOKUP($C67,'PORTIFÓLIO'!C:V,2,0),"")</f>
        <v/>
      </c>
      <c r="E67" s="211" t="str">
        <f>IFERROR(VLOOKUP($C67,'PORTIFÓLIO'!C:V,3,0),"")</f>
        <v/>
      </c>
      <c r="F67" s="211" t="str">
        <f>IFERROR(VLOOKUP($C67,'PORTIFÓLIO'!C:V,4,0),"")</f>
        <v/>
      </c>
      <c r="G67" s="215" t="str">
        <f>IFERROR(VLOOKUP($C67,'PORTIFÓLIO'!C:V,5,0),"")</f>
        <v/>
      </c>
      <c r="H67" s="254" t="str">
        <f t="array" ref="H67">IFERROR(INDEX('PORTIFÓLIO'!$H$4:$H$433,MATCH($C67,'PORTIFÓLIO'!$C$4:$C$433,0)),"")</f>
        <v/>
      </c>
      <c r="I67" s="256"/>
      <c r="J67" s="218">
        <f t="shared" si="8"/>
        <v>0</v>
      </c>
      <c r="K67" s="219" t="str">
        <f t="array" ref="K67">IFERROR(I67*INDEX('PORTIFÓLIO'!$S$4:$S$433,MATCH($C67,'PORTIFÓLIO'!$C$4:$C$433,0)),"")</f>
        <v/>
      </c>
      <c r="L67" s="219" t="str">
        <f t="array" ref="L67">IFERROR(J67*INDEX('PORTIFÓLIO'!$S$4:$S$433,MATCH($C67,'PORTIFÓLIO'!$C$4:$C$433,0)),"")</f>
        <v/>
      </c>
      <c r="M67" s="220"/>
      <c r="N67" s="220"/>
      <c r="O67" s="220"/>
      <c r="P67" s="220"/>
      <c r="Q67" s="220"/>
      <c r="R67" s="220"/>
      <c r="S67" s="220"/>
      <c r="T67" s="220"/>
      <c r="U67" s="220"/>
      <c r="V67" s="220"/>
      <c r="W67" s="220"/>
    </row>
    <row r="68" ht="15.75" customHeight="1" outlineLevel="1">
      <c r="A68" s="211"/>
      <c r="B68" s="212"/>
      <c r="C68" s="213"/>
      <c r="D68" s="214" t="str">
        <f>IFERROR(VLOOKUP($C68,'PORTIFÓLIO'!C:V,2,0),"")</f>
        <v/>
      </c>
      <c r="E68" s="211" t="str">
        <f>IFERROR(VLOOKUP($C68,'PORTIFÓLIO'!C:V,3,0),"")</f>
        <v/>
      </c>
      <c r="F68" s="211" t="str">
        <f>IFERROR(VLOOKUP($C68,'PORTIFÓLIO'!C:V,4,0),"")</f>
        <v/>
      </c>
      <c r="G68" s="215" t="str">
        <f>IFERROR(VLOOKUP($C68,'PORTIFÓLIO'!C:V,5,0),"")</f>
        <v/>
      </c>
      <c r="H68" s="254" t="str">
        <f t="array" ref="H68">IFERROR(INDEX('PORTIFÓLIO'!$H$4:$H$433,MATCH($C68,'PORTIFÓLIO'!$C$4:$C$433,0)),"")</f>
        <v/>
      </c>
      <c r="I68" s="256"/>
      <c r="J68" s="218">
        <f t="shared" si="8"/>
        <v>0</v>
      </c>
      <c r="K68" s="219" t="str">
        <f t="array" ref="K68">IFERROR(I68*INDEX('PORTIFÓLIO'!$S$4:$S$433,MATCH($C68,'PORTIFÓLIO'!$C$4:$C$433,0)),"")</f>
        <v/>
      </c>
      <c r="L68" s="219" t="str">
        <f t="array" ref="L68">IFERROR(J68*INDEX('PORTIFÓLIO'!$S$4:$S$433,MATCH($C68,'PORTIFÓLIO'!$C$4:$C$433,0)),"")</f>
        <v/>
      </c>
      <c r="M68" s="220"/>
      <c r="N68" s="220"/>
      <c r="O68" s="220"/>
      <c r="P68" s="220"/>
      <c r="Q68" s="220"/>
      <c r="R68" s="220"/>
      <c r="S68" s="220"/>
      <c r="T68" s="220"/>
      <c r="U68" s="220"/>
      <c r="V68" s="220"/>
      <c r="W68" s="220"/>
    </row>
    <row r="69" ht="15.75" customHeight="1" outlineLevel="1">
      <c r="A69" s="211"/>
      <c r="B69" s="212"/>
      <c r="C69" s="213"/>
      <c r="D69" s="214" t="str">
        <f>IFERROR(VLOOKUP($C69,'PORTIFÓLIO'!C:V,2,0),"")</f>
        <v/>
      </c>
      <c r="E69" s="211" t="str">
        <f>IFERROR(VLOOKUP($C69,'PORTIFÓLIO'!C:V,3,0),"")</f>
        <v/>
      </c>
      <c r="F69" s="211" t="str">
        <f>IFERROR(VLOOKUP($C69,'PORTIFÓLIO'!C:V,4,0),"")</f>
        <v/>
      </c>
      <c r="G69" s="215" t="str">
        <f>IFERROR(VLOOKUP($C69,'PORTIFÓLIO'!C:V,5,0),"")</f>
        <v/>
      </c>
      <c r="H69" s="254" t="str">
        <f t="array" ref="H69">IFERROR(INDEX('PORTIFÓLIO'!$H$4:$H$433,MATCH($C69,'PORTIFÓLIO'!$C$4:$C$433,0)),"")</f>
        <v/>
      </c>
      <c r="I69" s="256"/>
      <c r="J69" s="218">
        <f t="shared" si="8"/>
        <v>0</v>
      </c>
      <c r="K69" s="219" t="str">
        <f t="array" ref="K69">IFERROR(I69*INDEX('PORTIFÓLIO'!$S$4:$S$433,MATCH($C69,'PORTIFÓLIO'!$C$4:$C$433,0)),"")</f>
        <v/>
      </c>
      <c r="L69" s="219" t="str">
        <f t="array" ref="L69">IFERROR(J69*INDEX('PORTIFÓLIO'!$S$4:$S$433,MATCH($C69,'PORTIFÓLIO'!$C$4:$C$433,0)),"")</f>
        <v/>
      </c>
      <c r="M69" s="220"/>
      <c r="N69" s="220"/>
      <c r="O69" s="220"/>
      <c r="P69" s="220"/>
      <c r="Q69" s="220"/>
      <c r="R69" s="220"/>
      <c r="S69" s="220"/>
      <c r="T69" s="220"/>
      <c r="U69" s="220"/>
      <c r="V69" s="220"/>
      <c r="W69" s="220"/>
    </row>
    <row r="70" ht="15.75" customHeight="1" outlineLevel="1">
      <c r="A70" s="211"/>
      <c r="B70" s="212"/>
      <c r="C70" s="213"/>
      <c r="D70" s="214" t="str">
        <f>IFERROR(VLOOKUP($C70,'PORTIFÓLIO'!C:V,2,0),"")</f>
        <v/>
      </c>
      <c r="E70" s="211" t="str">
        <f>IFERROR(VLOOKUP($C70,'PORTIFÓLIO'!C:V,3,0),"")</f>
        <v/>
      </c>
      <c r="F70" s="211" t="str">
        <f>IFERROR(VLOOKUP($C70,'PORTIFÓLIO'!C:V,4,0),"")</f>
        <v/>
      </c>
      <c r="G70" s="215" t="str">
        <f>IFERROR(VLOOKUP($C70,'PORTIFÓLIO'!C:V,5,0),"")</f>
        <v/>
      </c>
      <c r="H70" s="254" t="str">
        <f t="array" ref="H70">IFERROR(INDEX('PORTIFÓLIO'!$H$4:$H$433,MATCH($C70,'PORTIFÓLIO'!$C$4:$C$433,0)),"")</f>
        <v/>
      </c>
      <c r="I70" s="256"/>
      <c r="J70" s="218">
        <f t="shared" si="8"/>
        <v>0</v>
      </c>
      <c r="K70" s="219" t="str">
        <f t="array" ref="K70">IFERROR(I70*INDEX('PORTIFÓLIO'!$S$4:$S$433,MATCH($C70,'PORTIFÓLIO'!$C$4:$C$433,0)),"")</f>
        <v/>
      </c>
      <c r="L70" s="219" t="str">
        <f t="array" ref="L70">IFERROR(J70*INDEX('PORTIFÓLIO'!$S$4:$S$433,MATCH($C70,'PORTIFÓLIO'!$C$4:$C$433,0)),"")</f>
        <v/>
      </c>
      <c r="M70" s="220"/>
      <c r="N70" s="220"/>
      <c r="O70" s="220"/>
      <c r="P70" s="220"/>
      <c r="Q70" s="220"/>
      <c r="R70" s="220"/>
      <c r="S70" s="220"/>
      <c r="T70" s="220"/>
      <c r="U70" s="220"/>
      <c r="V70" s="220"/>
      <c r="W70" s="220"/>
    </row>
    <row r="71" ht="15.75" customHeight="1" outlineLevel="1">
      <c r="A71" s="211"/>
      <c r="B71" s="212"/>
      <c r="C71" s="213"/>
      <c r="D71" s="214" t="str">
        <f>IFERROR(VLOOKUP($C71,'PORTIFÓLIO'!C:V,2,0),"")</f>
        <v/>
      </c>
      <c r="E71" s="211" t="str">
        <f>IFERROR(VLOOKUP($C71,'PORTIFÓLIO'!C:V,3,0),"")</f>
        <v/>
      </c>
      <c r="F71" s="211" t="str">
        <f>IFERROR(VLOOKUP($C71,'PORTIFÓLIO'!C:V,4,0),"")</f>
        <v/>
      </c>
      <c r="G71" s="215" t="str">
        <f>IFERROR(VLOOKUP($C71,'PORTIFÓLIO'!C:V,5,0),"")</f>
        <v/>
      </c>
      <c r="H71" s="254" t="str">
        <f t="array" ref="H71">IFERROR(INDEX('PORTIFÓLIO'!$H$4:$H$433,MATCH($C71,'PORTIFÓLIO'!$C$4:$C$433,0)),"")</f>
        <v/>
      </c>
      <c r="I71" s="256"/>
      <c r="J71" s="218">
        <f t="shared" si="8"/>
        <v>0</v>
      </c>
      <c r="K71" s="219" t="str">
        <f t="array" ref="K71">IFERROR(I71*INDEX('PORTIFÓLIO'!$S$4:$S$433,MATCH($C71,'PORTIFÓLIO'!$C$4:$C$433,0)),"")</f>
        <v/>
      </c>
      <c r="L71" s="219" t="str">
        <f t="array" ref="L71">IFERROR(J71*INDEX('PORTIFÓLIO'!$S$4:$S$433,MATCH($C71,'PORTIFÓLIO'!$C$4:$C$433,0)),"")</f>
        <v/>
      </c>
      <c r="M71" s="220"/>
      <c r="N71" s="220"/>
      <c r="O71" s="220"/>
      <c r="P71" s="220"/>
      <c r="Q71" s="220"/>
      <c r="R71" s="220"/>
      <c r="S71" s="220"/>
      <c r="T71" s="220"/>
      <c r="U71" s="220"/>
      <c r="V71" s="220"/>
      <c r="W71" s="220"/>
    </row>
    <row r="72" ht="15.75" customHeight="1" outlineLevel="1">
      <c r="A72" s="211"/>
      <c r="B72" s="212"/>
      <c r="C72" s="213"/>
      <c r="D72" s="214" t="str">
        <f>IFERROR(VLOOKUP($C72,'PORTIFÓLIO'!C:V,2,0),"")</f>
        <v/>
      </c>
      <c r="E72" s="211" t="str">
        <f>IFERROR(VLOOKUP($C72,'PORTIFÓLIO'!C:V,3,0),"")</f>
        <v/>
      </c>
      <c r="F72" s="211" t="str">
        <f>IFERROR(VLOOKUP($C72,'PORTIFÓLIO'!C:V,4,0),"")</f>
        <v/>
      </c>
      <c r="G72" s="215" t="str">
        <f>IFERROR(VLOOKUP($C72,'PORTIFÓLIO'!C:V,5,0),"")</f>
        <v/>
      </c>
      <c r="H72" s="254" t="str">
        <f t="array" ref="H72">IFERROR(INDEX('PORTIFÓLIO'!$H$4:$H$433,MATCH($C72,'PORTIFÓLIO'!$C$4:$C$433,0)),"")</f>
        <v/>
      </c>
      <c r="I72" s="255"/>
      <c r="J72" s="218">
        <f t="shared" si="8"/>
        <v>0</v>
      </c>
      <c r="K72" s="219" t="str">
        <f t="array" ref="K72">IFERROR(I72*INDEX('PORTIFÓLIO'!$S$4:$S$433,MATCH($C72,'PORTIFÓLIO'!$C$4:$C$433,0)),"")</f>
        <v/>
      </c>
      <c r="L72" s="219" t="str">
        <f t="array" ref="L72">IFERROR(J72*INDEX('PORTIFÓLIO'!$S$4:$S$433,MATCH($C72,'PORTIFÓLIO'!$C$4:$C$433,0)),"")</f>
        <v/>
      </c>
      <c r="M72" s="220"/>
      <c r="N72" s="220"/>
      <c r="O72" s="220"/>
      <c r="P72" s="220"/>
      <c r="Q72" s="220"/>
      <c r="R72" s="220"/>
      <c r="S72" s="220"/>
      <c r="T72" s="220"/>
      <c r="U72" s="220"/>
      <c r="V72" s="220"/>
      <c r="W72" s="220"/>
    </row>
    <row r="73" ht="15.75" customHeight="1" outlineLevel="1">
      <c r="A73" s="211"/>
      <c r="B73" s="212"/>
      <c r="C73" s="213"/>
      <c r="D73" s="214" t="str">
        <f>IFERROR(VLOOKUP($C73,'PORTIFÓLIO'!C:V,2,0),"")</f>
        <v/>
      </c>
      <c r="E73" s="211" t="str">
        <f>IFERROR(VLOOKUP($C73,'PORTIFÓLIO'!C:V,3,0),"")</f>
        <v/>
      </c>
      <c r="F73" s="211" t="str">
        <f>IFERROR(VLOOKUP($C73,'PORTIFÓLIO'!C:V,4,0),"")</f>
        <v/>
      </c>
      <c r="G73" s="215" t="str">
        <f>IFERROR(VLOOKUP($C73,'PORTIFÓLIO'!C:V,5,0),"")</f>
        <v/>
      </c>
      <c r="H73" s="254" t="str">
        <f t="array" ref="H73">IFERROR(INDEX('PORTIFÓLIO'!$H$4:$H$433,MATCH($C73,'PORTIFÓLIO'!$C$4:$C$433,0)),"")</f>
        <v/>
      </c>
      <c r="I73" s="256"/>
      <c r="J73" s="218">
        <f t="shared" si="8"/>
        <v>0</v>
      </c>
      <c r="K73" s="219" t="str">
        <f t="array" ref="K73">IFERROR(I73*INDEX('PORTIFÓLIO'!$S$4:$S$433,MATCH($C73,'PORTIFÓLIO'!$C$4:$C$433,0)),"")</f>
        <v/>
      </c>
      <c r="L73" s="219" t="str">
        <f t="array" ref="L73">IFERROR(J73*INDEX('PORTIFÓLIO'!$S$4:$S$433,MATCH($C73,'PORTIFÓLIO'!$C$4:$C$433,0)),"")</f>
        <v/>
      </c>
      <c r="M73" s="220"/>
      <c r="N73" s="220"/>
      <c r="O73" s="220"/>
      <c r="P73" s="220"/>
      <c r="Q73" s="220"/>
      <c r="R73" s="220"/>
      <c r="S73" s="220"/>
      <c r="T73" s="220"/>
      <c r="U73" s="220"/>
      <c r="V73" s="220"/>
      <c r="W73" s="220"/>
    </row>
    <row r="74" ht="15.75" customHeight="1" outlineLevel="1">
      <c r="A74" s="211"/>
      <c r="B74" s="212"/>
      <c r="C74" s="213"/>
      <c r="D74" s="214" t="str">
        <f>IFERROR(VLOOKUP($C74,'PORTIFÓLIO'!C:V,2,0),"")</f>
        <v/>
      </c>
      <c r="E74" s="211" t="str">
        <f>IFERROR(VLOOKUP($C74,'PORTIFÓLIO'!C:V,3,0),"")</f>
        <v/>
      </c>
      <c r="F74" s="211" t="str">
        <f>IFERROR(VLOOKUP($C74,'PORTIFÓLIO'!C:V,4,0),"")</f>
        <v/>
      </c>
      <c r="G74" s="215" t="str">
        <f>IFERROR(VLOOKUP($C74,'PORTIFÓLIO'!C:V,5,0),"")</f>
        <v/>
      </c>
      <c r="H74" s="254" t="str">
        <f t="array" ref="H74">IFERROR(INDEX('PORTIFÓLIO'!$H$4:$H$433,MATCH($C74,'PORTIFÓLIO'!$C$4:$C$433,0)),"")</f>
        <v/>
      </c>
      <c r="I74" s="256"/>
      <c r="J74" s="218">
        <f t="shared" si="8"/>
        <v>0</v>
      </c>
      <c r="K74" s="219" t="str">
        <f t="array" ref="K74">IFERROR(I74*INDEX('PORTIFÓLIO'!$S$4:$S$433,MATCH($C74,'PORTIFÓLIO'!$C$4:$C$433,0)),"")</f>
        <v/>
      </c>
      <c r="L74" s="219" t="str">
        <f t="array" ref="L74">IFERROR(J74*INDEX('PORTIFÓLIO'!$S$4:$S$433,MATCH($C74,'PORTIFÓLIO'!$C$4:$C$433,0)),"")</f>
        <v/>
      </c>
      <c r="M74" s="220"/>
      <c r="N74" s="220"/>
      <c r="O74" s="220"/>
      <c r="P74" s="220"/>
      <c r="Q74" s="220"/>
      <c r="R74" s="220"/>
      <c r="S74" s="220"/>
      <c r="T74" s="220"/>
      <c r="U74" s="220"/>
      <c r="V74" s="220"/>
      <c r="W74" s="220"/>
    </row>
    <row r="75" ht="15.75" customHeight="1" outlineLevel="1">
      <c r="A75" s="211"/>
      <c r="B75" s="212"/>
      <c r="C75" s="213"/>
      <c r="D75" s="214" t="str">
        <f>IFERROR(VLOOKUP($C75,'PORTIFÓLIO'!C:V,2,0),"")</f>
        <v/>
      </c>
      <c r="E75" s="211" t="str">
        <f>IFERROR(VLOOKUP($C75,'PORTIFÓLIO'!C:V,3,0),"")</f>
        <v/>
      </c>
      <c r="F75" s="211" t="str">
        <f>IFERROR(VLOOKUP($C75,'PORTIFÓLIO'!C:V,4,0),"")</f>
        <v/>
      </c>
      <c r="G75" s="215" t="str">
        <f>IFERROR(VLOOKUP($C75,'PORTIFÓLIO'!C:V,5,0),"")</f>
        <v/>
      </c>
      <c r="H75" s="254" t="str">
        <f t="array" ref="H75">IFERROR(INDEX('PORTIFÓLIO'!$H$4:$H$433,MATCH($C75,'PORTIFÓLIO'!$C$4:$C$433,0)),"")</f>
        <v/>
      </c>
      <c r="I75" s="256"/>
      <c r="J75" s="218">
        <f t="shared" si="8"/>
        <v>0</v>
      </c>
      <c r="K75" s="219" t="str">
        <f t="array" ref="K75">IFERROR(I75*INDEX('PORTIFÓLIO'!$S$4:$S$433,MATCH($C75,'PORTIFÓLIO'!$C$4:$C$433,0)),"")</f>
        <v/>
      </c>
      <c r="L75" s="219" t="str">
        <f t="array" ref="L75">IFERROR(J75*INDEX('PORTIFÓLIO'!$S$4:$S$433,MATCH($C75,'PORTIFÓLIO'!$C$4:$C$433,0)),"")</f>
        <v/>
      </c>
      <c r="M75" s="220"/>
      <c r="N75" s="220"/>
      <c r="O75" s="220"/>
      <c r="P75" s="220"/>
      <c r="Q75" s="220"/>
      <c r="R75" s="220"/>
      <c r="S75" s="220"/>
      <c r="T75" s="220"/>
      <c r="U75" s="220"/>
      <c r="V75" s="220"/>
      <c r="W75" s="220"/>
    </row>
    <row r="76" ht="15.75" customHeight="1" outlineLevel="1">
      <c r="A76" s="211"/>
      <c r="B76" s="212"/>
      <c r="C76" s="213"/>
      <c r="D76" s="214" t="str">
        <f>IFERROR(VLOOKUP($C76,'PORTIFÓLIO'!C:V,2,0),"")</f>
        <v/>
      </c>
      <c r="E76" s="211" t="str">
        <f>IFERROR(VLOOKUP($C76,'PORTIFÓLIO'!C:V,3,0),"")</f>
        <v/>
      </c>
      <c r="F76" s="211" t="str">
        <f>IFERROR(VLOOKUP($C76,'PORTIFÓLIO'!C:V,4,0),"")</f>
        <v/>
      </c>
      <c r="G76" s="215" t="str">
        <f>IFERROR(VLOOKUP($C76,'PORTIFÓLIO'!C:V,5,0),"")</f>
        <v/>
      </c>
      <c r="H76" s="254" t="str">
        <f t="array" ref="H76">IFERROR(INDEX('PORTIFÓLIO'!$H$4:$H$433,MATCH($C76,'PORTIFÓLIO'!$C$4:$C$433,0)),"")</f>
        <v/>
      </c>
      <c r="I76" s="256"/>
      <c r="J76" s="218">
        <f t="shared" si="8"/>
        <v>0</v>
      </c>
      <c r="K76" s="219" t="str">
        <f t="array" ref="K76">IFERROR(I76*INDEX('PORTIFÓLIO'!$S$4:$S$433,MATCH($C76,'PORTIFÓLIO'!$C$4:$C$433,0)),"")</f>
        <v/>
      </c>
      <c r="L76" s="219" t="str">
        <f t="array" ref="L76">IFERROR(J76*INDEX('PORTIFÓLIO'!$S$4:$S$433,MATCH($C76,'PORTIFÓLIO'!$C$4:$C$433,0)),"")</f>
        <v/>
      </c>
      <c r="M76" s="220"/>
      <c r="N76" s="220"/>
      <c r="O76" s="220"/>
      <c r="P76" s="220"/>
      <c r="Q76" s="220"/>
      <c r="R76" s="220"/>
      <c r="S76" s="220"/>
      <c r="T76" s="220"/>
      <c r="U76" s="220"/>
      <c r="V76" s="220"/>
      <c r="W76" s="220"/>
    </row>
    <row r="77" ht="15.75" customHeight="1" outlineLevel="1">
      <c r="A77" s="211"/>
      <c r="B77" s="212"/>
      <c r="C77" s="213"/>
      <c r="D77" s="214" t="str">
        <f>IFERROR(VLOOKUP($C77,'PORTIFÓLIO'!C:V,2,0),"")</f>
        <v/>
      </c>
      <c r="E77" s="211" t="str">
        <f>IFERROR(VLOOKUP($C77,'PORTIFÓLIO'!C:V,3,0),"")</f>
        <v/>
      </c>
      <c r="F77" s="211" t="str">
        <f>IFERROR(VLOOKUP($C77,'PORTIFÓLIO'!C:V,4,0),"")</f>
        <v/>
      </c>
      <c r="G77" s="215" t="str">
        <f>IFERROR(VLOOKUP($C77,'PORTIFÓLIO'!C:V,5,0),"")</f>
        <v/>
      </c>
      <c r="H77" s="254" t="str">
        <f t="array" ref="H77">IFERROR(INDEX('PORTIFÓLIO'!$H$4:$H$433,MATCH($C77,'PORTIFÓLIO'!$C$4:$C$433,0)),"")</f>
        <v/>
      </c>
      <c r="I77" s="256"/>
      <c r="J77" s="218">
        <f t="shared" si="8"/>
        <v>0</v>
      </c>
      <c r="K77" s="219" t="str">
        <f t="array" ref="K77">IFERROR(I77*INDEX('PORTIFÓLIO'!$S$4:$S$433,MATCH($C77,'PORTIFÓLIO'!$C$4:$C$433,0)),"")</f>
        <v/>
      </c>
      <c r="L77" s="219" t="str">
        <f t="array" ref="L77">IFERROR(J77*INDEX('PORTIFÓLIO'!$S$4:$S$433,MATCH($C77,'PORTIFÓLIO'!$C$4:$C$433,0)),"")</f>
        <v/>
      </c>
      <c r="M77" s="220"/>
      <c r="N77" s="220"/>
      <c r="O77" s="220"/>
      <c r="P77" s="220"/>
      <c r="Q77" s="220"/>
      <c r="R77" s="220"/>
      <c r="S77" s="220"/>
      <c r="T77" s="220"/>
      <c r="U77" s="220"/>
      <c r="V77" s="220"/>
      <c r="W77" s="220"/>
    </row>
    <row r="78" ht="15.75" customHeight="1" outlineLevel="1">
      <c r="A78" s="211"/>
      <c r="B78" s="212"/>
      <c r="C78" s="213"/>
      <c r="D78" s="214" t="str">
        <f>IFERROR(VLOOKUP($C78,'PORTIFÓLIO'!C:V,2,0),"")</f>
        <v/>
      </c>
      <c r="E78" s="211" t="str">
        <f>IFERROR(VLOOKUP($C78,'PORTIFÓLIO'!C:V,3,0),"")</f>
        <v/>
      </c>
      <c r="F78" s="211" t="str">
        <f>IFERROR(VLOOKUP($C78,'PORTIFÓLIO'!C:V,4,0),"")</f>
        <v/>
      </c>
      <c r="G78" s="215" t="str">
        <f>IFERROR(VLOOKUP($C78,'PORTIFÓLIO'!C:V,5,0),"")</f>
        <v/>
      </c>
      <c r="H78" s="254" t="str">
        <f t="array" ref="H78">IFERROR(INDEX('PORTIFÓLIO'!$H$4:$H$433,MATCH($C78,'PORTIFÓLIO'!$C$4:$C$433,0)),"")</f>
        <v/>
      </c>
      <c r="I78" s="256"/>
      <c r="J78" s="218">
        <f t="shared" si="8"/>
        <v>0</v>
      </c>
      <c r="K78" s="219" t="str">
        <f t="array" ref="K78">IFERROR(I78*INDEX('PORTIFÓLIO'!$S$4:$S$433,MATCH($C78,'PORTIFÓLIO'!$C$4:$C$433,0)),"")</f>
        <v/>
      </c>
      <c r="L78" s="219" t="str">
        <f t="array" ref="L78">IFERROR(J78*INDEX('PORTIFÓLIO'!$S$4:$S$433,MATCH($C78,'PORTIFÓLIO'!$C$4:$C$433,0)),"")</f>
        <v/>
      </c>
      <c r="M78" s="220"/>
      <c r="N78" s="220"/>
      <c r="O78" s="220"/>
      <c r="P78" s="220"/>
      <c r="Q78" s="220"/>
      <c r="R78" s="220"/>
      <c r="S78" s="220"/>
      <c r="T78" s="220"/>
      <c r="U78" s="220"/>
      <c r="V78" s="220"/>
      <c r="W78" s="220"/>
    </row>
    <row r="79" ht="15.75" customHeight="1" outlineLevel="1">
      <c r="A79" s="211"/>
      <c r="B79" s="212"/>
      <c r="C79" s="213"/>
      <c r="D79" s="214" t="str">
        <f>IFERROR(VLOOKUP($C79,'PORTIFÓLIO'!C:V,2,0),"")</f>
        <v/>
      </c>
      <c r="E79" s="211" t="str">
        <f>IFERROR(VLOOKUP($C79,'PORTIFÓLIO'!C:V,3,0),"")</f>
        <v/>
      </c>
      <c r="F79" s="211" t="str">
        <f>IFERROR(VLOOKUP($C79,'PORTIFÓLIO'!C:V,4,0),"")</f>
        <v/>
      </c>
      <c r="G79" s="215" t="str">
        <f>IFERROR(VLOOKUP($C79,'PORTIFÓLIO'!C:V,5,0),"")</f>
        <v/>
      </c>
      <c r="H79" s="254" t="str">
        <f t="array" ref="H79">IFERROR(INDEX('PORTIFÓLIO'!$H$4:$H$433,MATCH($C79,'PORTIFÓLIO'!$C$4:$C$433,0)),"")</f>
        <v/>
      </c>
      <c r="I79" s="256"/>
      <c r="J79" s="218">
        <f t="shared" si="8"/>
        <v>0</v>
      </c>
      <c r="K79" s="219" t="str">
        <f t="array" ref="K79">IFERROR(I79*INDEX('PORTIFÓLIO'!$S$4:$S$433,MATCH($C79,'PORTIFÓLIO'!$C$4:$C$433,0)),"")</f>
        <v/>
      </c>
      <c r="L79" s="219" t="str">
        <f t="array" ref="L79">IFERROR(J79*INDEX('PORTIFÓLIO'!$S$4:$S$433,MATCH($C79,'PORTIFÓLIO'!$C$4:$C$433,0)),"")</f>
        <v/>
      </c>
      <c r="M79" s="220"/>
      <c r="N79" s="220"/>
      <c r="O79" s="220"/>
      <c r="P79" s="220"/>
      <c r="Q79" s="220"/>
      <c r="R79" s="220"/>
      <c r="S79" s="220"/>
      <c r="T79" s="220"/>
      <c r="U79" s="220"/>
      <c r="V79" s="220"/>
      <c r="W79" s="220"/>
    </row>
    <row r="80" ht="15.75" customHeight="1" outlineLevel="1">
      <c r="A80" s="211"/>
      <c r="B80" s="212"/>
      <c r="C80" s="213"/>
      <c r="D80" s="214" t="str">
        <f>IFERROR(VLOOKUP($C80,'PORTIFÓLIO'!C:V,2,0),"")</f>
        <v/>
      </c>
      <c r="E80" s="211" t="str">
        <f>IFERROR(VLOOKUP($C80,'PORTIFÓLIO'!C:V,3,0),"")</f>
        <v/>
      </c>
      <c r="F80" s="211" t="str">
        <f>IFERROR(VLOOKUP($C80,'PORTIFÓLIO'!C:V,4,0),"")</f>
        <v/>
      </c>
      <c r="G80" s="215" t="str">
        <f>IFERROR(VLOOKUP($C80,'PORTIFÓLIO'!C:V,5,0),"")</f>
        <v/>
      </c>
      <c r="H80" s="254" t="str">
        <f t="array" ref="H80">IFERROR(INDEX('PORTIFÓLIO'!$H$4:$H$433,MATCH($C80,'PORTIFÓLIO'!$C$4:$C$433,0)),"")</f>
        <v/>
      </c>
      <c r="I80" s="256"/>
      <c r="J80" s="218">
        <f t="shared" si="8"/>
        <v>0</v>
      </c>
      <c r="K80" s="219" t="str">
        <f t="array" ref="K80">IFERROR(I80*INDEX('PORTIFÓLIO'!$S$4:$S$433,MATCH($C80,'PORTIFÓLIO'!$C$4:$C$433,0)),"")</f>
        <v/>
      </c>
      <c r="L80" s="219" t="str">
        <f t="array" ref="L80">IFERROR(J80*INDEX('PORTIFÓLIO'!$S$4:$S$433,MATCH($C80,'PORTIFÓLIO'!$C$4:$C$433,0)),"")</f>
        <v/>
      </c>
      <c r="M80" s="220"/>
      <c r="N80" s="220"/>
      <c r="O80" s="220"/>
      <c r="P80" s="220"/>
      <c r="Q80" s="220"/>
      <c r="R80" s="220"/>
      <c r="S80" s="220"/>
      <c r="T80" s="220"/>
      <c r="U80" s="220"/>
      <c r="V80" s="220"/>
      <c r="W80" s="220"/>
    </row>
    <row r="81" ht="15.75" customHeight="1">
      <c r="A81" s="229" t="s">
        <v>1188</v>
      </c>
      <c r="B81" s="230"/>
      <c r="C81" s="231"/>
      <c r="D81" s="232" t="s">
        <v>216</v>
      </c>
      <c r="E81" s="231"/>
      <c r="F81" s="231"/>
      <c r="G81" s="233"/>
      <c r="H81" s="233"/>
      <c r="I81" s="258"/>
      <c r="J81" s="236"/>
      <c r="K81" s="237">
        <f t="shared" ref="K81:L81" si="9">SUBTOTAL(9,K82:K95)</f>
        <v>165.965576</v>
      </c>
      <c r="L81" s="237">
        <f t="shared" si="9"/>
        <v>36512.42672</v>
      </c>
      <c r="M81" s="220"/>
      <c r="N81" s="220"/>
      <c r="O81" s="220"/>
      <c r="P81" s="220"/>
      <c r="Q81" s="220"/>
      <c r="R81" s="220"/>
      <c r="S81" s="220"/>
      <c r="T81" s="220"/>
      <c r="U81" s="220"/>
      <c r="V81" s="220"/>
      <c r="W81" s="220"/>
    </row>
    <row r="82" ht="15.75" customHeight="1" outlineLevel="1">
      <c r="A82" s="213"/>
      <c r="B82" s="212" t="s">
        <v>1</v>
      </c>
      <c r="C82" s="213" t="s">
        <v>736</v>
      </c>
      <c r="D82" s="214" t="str">
        <f>IFERROR(VLOOKUP($C82,'PORTIFÓLIO'!C:V,2,0),"")</f>
        <v>ATRAZINA</v>
      </c>
      <c r="E82" s="211">
        <f>IFERROR(VLOOKUP($C82,'PORTIFÓLIO'!C:V,3,0),"")</f>
        <v>880</v>
      </c>
      <c r="F82" s="211" t="str">
        <f>IFERROR(VLOOKUP($C82,'PORTIFÓLIO'!C:V,4,0),"")</f>
        <v>L</v>
      </c>
      <c r="G82" s="225" t="str">
        <f>IFERROR(VLOOKUP($C82,'PORTIFÓLIO'!C:V,5,0),"")</f>
        <v>📄 Ver bula</v>
      </c>
      <c r="H82" s="254" t="str">
        <f t="array" ref="H82">IFERROR(INDEX('PORTIFÓLIO'!$H$4:$H$433,MATCH($C82,'PORTIFÓLIO'!$C$4:$C$433,0)),"")</f>
        <v/>
      </c>
      <c r="I82" s="255">
        <v>2.0</v>
      </c>
      <c r="J82" s="218">
        <f t="shared" ref="J82:J96" si="10">I82*$B$2</f>
        <v>440</v>
      </c>
      <c r="K82" s="219">
        <f t="array" ref="K82">IFERROR(I82*INDEX('PORTIFÓLIO'!$S$4:$S$433,MATCH($C82,'PORTIFÓLIO'!$C$4:$C$433,0)),"")</f>
        <v>52.6012</v>
      </c>
      <c r="L82" s="219">
        <f t="array" ref="L82">IFERROR(J82*INDEX('PORTIFÓLIO'!$S$4:$S$433,MATCH($C82,'PORTIFÓLIO'!$C$4:$C$433,0)),"")</f>
        <v>11572.264</v>
      </c>
      <c r="M82" s="220"/>
      <c r="N82" s="220"/>
      <c r="O82" s="220"/>
      <c r="P82" s="220"/>
      <c r="Q82" s="220"/>
      <c r="R82" s="220"/>
      <c r="S82" s="220"/>
      <c r="T82" s="220"/>
      <c r="U82" s="220"/>
      <c r="V82" s="220"/>
      <c r="W82" s="220"/>
    </row>
    <row r="83" ht="15.75" customHeight="1" outlineLevel="1">
      <c r="A83" s="211"/>
      <c r="B83" s="212" t="s">
        <v>2</v>
      </c>
      <c r="C83" s="213" t="s">
        <v>837</v>
      </c>
      <c r="D83" s="214" t="str">
        <f>IFERROR(VLOOKUP($C83,'PORTIFÓLIO'!C:V,2,0),"")</f>
        <v>CLORFENAPIR</v>
      </c>
      <c r="E83" s="211">
        <f>IFERROR(VLOOKUP($C83,'PORTIFÓLIO'!C:V,3,0),"")</f>
        <v>240</v>
      </c>
      <c r="F83" s="211" t="str">
        <f>IFERROR(VLOOKUP($C83,'PORTIFÓLIO'!C:V,4,0),"")</f>
        <v>KG</v>
      </c>
      <c r="G83" s="225" t="str">
        <f>IFERROR(VLOOKUP($C83,'PORTIFÓLIO'!C:V,5,0),"")</f>
        <v>📄 Ver bula</v>
      </c>
      <c r="H83" s="254">
        <f t="array" ref="H83">IFERROR(INDEX('PORTIFÓLIO'!$H$4:$H$433,MATCH($C83,'PORTIFÓLIO'!$C$4:$C$433,0)),"")</f>
        <v>1</v>
      </c>
      <c r="I83" s="255">
        <v>1.0</v>
      </c>
      <c r="J83" s="218">
        <f t="shared" si="10"/>
        <v>220</v>
      </c>
      <c r="K83" s="219">
        <f t="array" ref="K83">IFERROR(I83*INDEX('PORTIFÓLIO'!$S$4:$S$433,MATCH($C83,'PORTIFÓLIO'!$C$4:$C$433,0)),"")</f>
        <v>38.55729</v>
      </c>
      <c r="L83" s="219">
        <f t="array" ref="L83">IFERROR(J83*INDEX('PORTIFÓLIO'!$S$4:$S$433,MATCH($C83,'PORTIFÓLIO'!$C$4:$C$433,0)),"")</f>
        <v>8482.6038</v>
      </c>
      <c r="M83" s="220"/>
      <c r="N83" s="220"/>
      <c r="O83" s="220"/>
      <c r="P83" s="220"/>
      <c r="Q83" s="220"/>
      <c r="R83" s="220"/>
      <c r="S83" s="220"/>
      <c r="T83" s="220"/>
      <c r="U83" s="220"/>
      <c r="V83" s="220"/>
      <c r="W83" s="220"/>
    </row>
    <row r="84" ht="15.75" customHeight="1" outlineLevel="1">
      <c r="A84" s="211"/>
      <c r="B84" s="212" t="s">
        <v>2</v>
      </c>
      <c r="C84" s="213" t="s">
        <v>786</v>
      </c>
      <c r="D84" s="214" t="str">
        <f>IFERROR(VLOOKUP($C84,'PORTIFÓLIO'!C:V,2,0),"")</f>
        <v>DIFLUBENZUROM</v>
      </c>
      <c r="E84" s="211">
        <f>IFERROR(VLOOKUP($C84,'PORTIFÓLIO'!C:V,3,0),"")</f>
        <v>480</v>
      </c>
      <c r="F84" s="211" t="str">
        <f>IFERROR(VLOOKUP($C84,'PORTIFÓLIO'!C:V,4,0),"")</f>
        <v>KG</v>
      </c>
      <c r="G84" s="225" t="str">
        <f>IFERROR(VLOOKUP($C84,'PORTIFÓLIO'!C:V,5,0),"")</f>
        <v>📄 Ver bula</v>
      </c>
      <c r="H84" s="254">
        <f t="array" ref="H84">IFERROR(INDEX('PORTIFÓLIO'!$H$4:$H$433,MATCH($C84,'PORTIFÓLIO'!$C$4:$C$433,0)),"")</f>
        <v>0.04</v>
      </c>
      <c r="I84" s="255">
        <v>0.2</v>
      </c>
      <c r="J84" s="218">
        <f t="shared" si="10"/>
        <v>44</v>
      </c>
      <c r="K84" s="219">
        <f t="array" ref="K84">IFERROR(I84*INDEX('PORTIFÓLIO'!$S$4:$S$433,MATCH($C84,'PORTIFÓLIO'!$C$4:$C$433,0)),"")</f>
        <v>11.711916</v>
      </c>
      <c r="L84" s="219">
        <f t="array" ref="L84">IFERROR(J84*INDEX('PORTIFÓLIO'!$S$4:$S$433,MATCH($C84,'PORTIFÓLIO'!$C$4:$C$433,0)),"")</f>
        <v>2576.62152</v>
      </c>
      <c r="M84" s="220"/>
      <c r="N84" s="220"/>
      <c r="O84" s="220"/>
      <c r="P84" s="220"/>
      <c r="Q84" s="220"/>
      <c r="R84" s="220"/>
      <c r="S84" s="220"/>
      <c r="T84" s="220"/>
      <c r="U84" s="220"/>
      <c r="V84" s="220"/>
      <c r="W84" s="220"/>
    </row>
    <row r="85" ht="15.75" customHeight="1" outlineLevel="1">
      <c r="A85" s="211"/>
      <c r="B85" s="212" t="s">
        <v>1</v>
      </c>
      <c r="C85" s="213" t="s">
        <v>637</v>
      </c>
      <c r="D85" s="214" t="str">
        <f>IFERROR(VLOOKUP($C85,'PORTIFÓLIO'!C:V,2,0),"")</f>
        <v>GLIFOSATO-SAL DE AMÔNIO</v>
      </c>
      <c r="E85" s="211">
        <f>IFERROR(VLOOKUP($C85,'PORTIFÓLIO'!C:V,3,0),"")</f>
        <v>720</v>
      </c>
      <c r="F85" s="211" t="str">
        <f>IFERROR(VLOOKUP($C85,'PORTIFÓLIO'!C:V,4,0),"")</f>
        <v>L</v>
      </c>
      <c r="G85" s="225" t="str">
        <f>IFERROR(VLOOKUP($C85,'PORTIFÓLIO'!C:V,5,0),"")</f>
        <v>📄 Ver bula</v>
      </c>
      <c r="H85" s="254">
        <f t="array" ref="H85">IFERROR(INDEX('PORTIFÓLIO'!$H$4:$H$433,MATCH($C85,'PORTIFÓLIO'!$C$4:$C$433,0)),"")</f>
        <v>2</v>
      </c>
      <c r="I85" s="255">
        <v>1.5</v>
      </c>
      <c r="J85" s="218">
        <f t="shared" si="10"/>
        <v>330</v>
      </c>
      <c r="K85" s="219">
        <f t="array" ref="K85">IFERROR(I85*INDEX('PORTIFÓLIO'!$S$4:$S$433,MATCH($C85,'PORTIFÓLIO'!$C$4:$C$433,0)),"")</f>
        <v>36.87</v>
      </c>
      <c r="L85" s="219">
        <f t="array" ref="L85">IFERROR(J85*INDEX('PORTIFÓLIO'!$S$4:$S$433,MATCH($C85,'PORTIFÓLIO'!$C$4:$C$433,0)),"")</f>
        <v>8111.4</v>
      </c>
      <c r="M85" s="220"/>
      <c r="N85" s="220"/>
      <c r="O85" s="220"/>
      <c r="P85" s="220"/>
      <c r="Q85" s="220"/>
      <c r="R85" s="220"/>
      <c r="S85" s="220"/>
      <c r="T85" s="220"/>
      <c r="U85" s="220"/>
      <c r="V85" s="220"/>
      <c r="W85" s="220"/>
    </row>
    <row r="86" ht="15.75" customHeight="1" outlineLevel="1">
      <c r="A86" s="211"/>
      <c r="B86" s="212" t="s">
        <v>6</v>
      </c>
      <c r="C86" s="213" t="s">
        <v>354</v>
      </c>
      <c r="D86" s="214" t="str">
        <f>IFERROR(VLOOKUP($C86,'PORTIFÓLIO'!C:V,2,0),"")</f>
        <v>OLEO MINERAL</v>
      </c>
      <c r="E86" s="211">
        <f>IFERROR(VLOOKUP($C86,'PORTIFÓLIO'!C:V,3,0),"")</f>
        <v>761</v>
      </c>
      <c r="F86" s="211" t="str">
        <f>IFERROR(VLOOKUP($C86,'PORTIFÓLIO'!C:V,4,0),"")</f>
        <v>L</v>
      </c>
      <c r="G86" s="225" t="str">
        <f>IFERROR(VLOOKUP($C86,'PORTIFÓLIO'!C:V,5,0),"")</f>
        <v>📄 Ver bula</v>
      </c>
      <c r="H86" s="254">
        <f t="array" ref="H86">IFERROR(INDEX('PORTIFÓLIO'!$H$4:$H$433,MATCH($C86,'PORTIFÓLIO'!$C$4:$C$433,0)),"")</f>
        <v>0.2</v>
      </c>
      <c r="I86" s="255">
        <v>0.2</v>
      </c>
      <c r="J86" s="218">
        <f t="shared" si="10"/>
        <v>44</v>
      </c>
      <c r="K86" s="219">
        <f t="array" ref="K86">IFERROR(I86*INDEX('PORTIFÓLIO'!$S$4:$S$433,MATCH($C86,'PORTIFÓLIO'!$C$4:$C$433,0)),"")</f>
        <v>3.206</v>
      </c>
      <c r="L86" s="219">
        <f t="array" ref="L86">IFERROR(J86*INDEX('PORTIFÓLIO'!$S$4:$S$433,MATCH($C86,'PORTIFÓLIO'!$C$4:$C$433,0)),"")</f>
        <v>705.32</v>
      </c>
      <c r="M86" s="220"/>
      <c r="N86" s="220"/>
      <c r="O86" s="220"/>
      <c r="P86" s="220"/>
      <c r="Q86" s="220"/>
      <c r="R86" s="220"/>
      <c r="S86" s="220"/>
      <c r="T86" s="220"/>
      <c r="U86" s="220"/>
      <c r="V86" s="220"/>
      <c r="W86" s="220"/>
    </row>
    <row r="87" ht="15.75" customHeight="1" outlineLevel="1">
      <c r="A87" s="211"/>
      <c r="B87" s="212" t="s">
        <v>1</v>
      </c>
      <c r="C87" s="213" t="s">
        <v>683</v>
      </c>
      <c r="D87" s="214" t="str">
        <f>IFERROR(VLOOKUP($C87,'PORTIFÓLIO'!C:V,2,0),"")</f>
        <v>GLUFOSINATO - SAL DE AMONIO</v>
      </c>
      <c r="E87" s="211">
        <f>IFERROR(VLOOKUP($C87,'PORTIFÓLIO'!C:V,3,0),"")</f>
        <v>880</v>
      </c>
      <c r="F87" s="211" t="str">
        <f>IFERROR(VLOOKUP($C87,'PORTIFÓLIO'!C:V,4,0),"")</f>
        <v>L</v>
      </c>
      <c r="G87" s="225" t="str">
        <f>IFERROR(VLOOKUP($C87,'PORTIFÓLIO'!C:V,5,0),"")</f>
        <v>📄 Ver bula</v>
      </c>
      <c r="H87" s="254">
        <f t="array" ref="H87">IFERROR(INDEX('PORTIFÓLIO'!$H$4:$H$433,MATCH($C87,'PORTIFÓLIO'!$C$4:$C$433,0)),"")</f>
        <v>0.5</v>
      </c>
      <c r="I87" s="255">
        <v>0.5</v>
      </c>
      <c r="J87" s="218">
        <f t="shared" si="10"/>
        <v>110</v>
      </c>
      <c r="K87" s="219">
        <f t="array" ref="K87">IFERROR(I87*INDEX('PORTIFÓLIO'!$S$4:$S$433,MATCH($C87,'PORTIFÓLIO'!$C$4:$C$433,0)),"")</f>
        <v>23.01917</v>
      </c>
      <c r="L87" s="219">
        <f t="array" ref="L87">IFERROR(J87*INDEX('PORTIFÓLIO'!$S$4:$S$433,MATCH($C87,'PORTIFÓLIO'!$C$4:$C$433,0)),"")</f>
        <v>5064.2174</v>
      </c>
      <c r="M87" s="220"/>
      <c r="N87" s="220"/>
      <c r="O87" s="220"/>
      <c r="P87" s="220"/>
      <c r="Q87" s="220"/>
      <c r="R87" s="220"/>
      <c r="S87" s="220"/>
      <c r="T87" s="220"/>
      <c r="U87" s="220"/>
      <c r="V87" s="220"/>
      <c r="W87" s="220"/>
    </row>
    <row r="88" ht="15.75" customHeight="1" outlineLevel="1">
      <c r="A88" s="211"/>
      <c r="B88" s="212"/>
      <c r="C88" s="213"/>
      <c r="D88" s="214" t="str">
        <f>IFERROR(VLOOKUP($C88,'PORTIFÓLIO'!C:V,2,0),"")</f>
        <v/>
      </c>
      <c r="E88" s="211" t="str">
        <f>IFERROR(VLOOKUP($C88,'PORTIFÓLIO'!C:V,3,0),"")</f>
        <v/>
      </c>
      <c r="F88" s="211" t="str">
        <f>IFERROR(VLOOKUP($C88,'PORTIFÓLIO'!C:V,4,0),"")</f>
        <v/>
      </c>
      <c r="G88" s="215" t="str">
        <f>IFERROR(VLOOKUP($C88,'PORTIFÓLIO'!C:V,5,0),"")</f>
        <v/>
      </c>
      <c r="H88" s="254" t="str">
        <f t="array" ref="H88">IFERROR(INDEX('PORTIFÓLIO'!$H$4:$H$433,MATCH($C88,'PORTIFÓLIO'!$C$4:$C$433,0)),"")</f>
        <v/>
      </c>
      <c r="I88" s="256"/>
      <c r="J88" s="218">
        <f t="shared" si="10"/>
        <v>0</v>
      </c>
      <c r="K88" s="219" t="str">
        <f t="array" ref="K88">IFERROR(I88*INDEX('PORTIFÓLIO'!$S$4:$S$433,MATCH($C88,'PORTIFÓLIO'!$C$4:$C$433,0)),"")</f>
        <v/>
      </c>
      <c r="L88" s="219" t="str">
        <f t="array" ref="L88">IFERROR(J88*INDEX('PORTIFÓLIO'!$S$4:$S$433,MATCH($C88,'PORTIFÓLIO'!$C$4:$C$433,0)),"")</f>
        <v/>
      </c>
      <c r="M88" s="220"/>
      <c r="N88" s="220"/>
      <c r="O88" s="220"/>
      <c r="P88" s="220"/>
      <c r="Q88" s="220"/>
      <c r="R88" s="220"/>
      <c r="S88" s="220"/>
      <c r="T88" s="220"/>
      <c r="U88" s="220"/>
      <c r="V88" s="220"/>
      <c r="W88" s="220"/>
    </row>
    <row r="89" ht="15.75" customHeight="1" outlineLevel="1">
      <c r="A89" s="211"/>
      <c r="B89" s="212"/>
      <c r="C89" s="213"/>
      <c r="D89" s="214" t="str">
        <f>IFERROR(VLOOKUP($C89,'PORTIFÓLIO'!C:V,2,0),"")</f>
        <v/>
      </c>
      <c r="E89" s="211" t="str">
        <f>IFERROR(VLOOKUP($C89,'PORTIFÓLIO'!C:V,3,0),"")</f>
        <v/>
      </c>
      <c r="F89" s="211" t="str">
        <f>IFERROR(VLOOKUP($C89,'PORTIFÓLIO'!C:V,4,0),"")</f>
        <v/>
      </c>
      <c r="G89" s="215" t="str">
        <f>IFERROR(VLOOKUP($C89,'PORTIFÓLIO'!C:V,5,0),"")</f>
        <v/>
      </c>
      <c r="H89" s="254" t="str">
        <f t="array" ref="H89">IFERROR(INDEX('PORTIFÓLIO'!$H$4:$H$433,MATCH($C89,'PORTIFÓLIO'!$C$4:$C$433,0)),"")</f>
        <v/>
      </c>
      <c r="I89" s="256"/>
      <c r="J89" s="218">
        <f t="shared" si="10"/>
        <v>0</v>
      </c>
      <c r="K89" s="219" t="str">
        <f t="array" ref="K89">IFERROR(I89*INDEX('PORTIFÓLIO'!$S$4:$S$433,MATCH($C89,'PORTIFÓLIO'!$C$4:$C$433,0)),"")</f>
        <v/>
      </c>
      <c r="L89" s="219" t="str">
        <f t="array" ref="L89">IFERROR(J89*INDEX('PORTIFÓLIO'!$S$4:$S$433,MATCH($C89,'PORTIFÓLIO'!$C$4:$C$433,0)),"")</f>
        <v/>
      </c>
      <c r="M89" s="220"/>
      <c r="N89" s="220"/>
      <c r="O89" s="220"/>
      <c r="P89" s="220"/>
      <c r="Q89" s="220"/>
      <c r="R89" s="220"/>
      <c r="S89" s="220"/>
      <c r="T89" s="220"/>
      <c r="U89" s="220"/>
      <c r="V89" s="220"/>
      <c r="W89" s="220"/>
    </row>
    <row r="90" ht="15.75" customHeight="1" outlineLevel="1">
      <c r="A90" s="211"/>
      <c r="B90" s="212"/>
      <c r="C90" s="213"/>
      <c r="D90" s="214" t="str">
        <f>IFERROR(VLOOKUP($C90,'PORTIFÓLIO'!C:V,2,0),"")</f>
        <v/>
      </c>
      <c r="E90" s="211" t="str">
        <f>IFERROR(VLOOKUP($C90,'PORTIFÓLIO'!C:V,3,0),"")</f>
        <v/>
      </c>
      <c r="F90" s="211" t="str">
        <f>IFERROR(VLOOKUP($C90,'PORTIFÓLIO'!C:V,4,0),"")</f>
        <v/>
      </c>
      <c r="G90" s="215" t="str">
        <f>IFERROR(VLOOKUP($C90,'PORTIFÓLIO'!C:V,5,0),"")</f>
        <v/>
      </c>
      <c r="H90" s="254" t="str">
        <f t="array" ref="H90">IFERROR(INDEX('PORTIFÓLIO'!$H$4:$H$433,MATCH($C90,'PORTIFÓLIO'!$C$4:$C$433,0)),"")</f>
        <v/>
      </c>
      <c r="I90" s="255"/>
      <c r="J90" s="218">
        <f t="shared" si="10"/>
        <v>0</v>
      </c>
      <c r="K90" s="219" t="str">
        <f t="array" ref="K90">IFERROR(I90*INDEX('PORTIFÓLIO'!$S$4:$S$433,MATCH($C90,'PORTIFÓLIO'!$C$4:$C$433,0)),"")</f>
        <v/>
      </c>
      <c r="L90" s="219" t="str">
        <f t="array" ref="L90">IFERROR(J90*INDEX('PORTIFÓLIO'!$S$4:$S$433,MATCH($C90,'PORTIFÓLIO'!$C$4:$C$433,0)),"")</f>
        <v/>
      </c>
      <c r="M90" s="220"/>
      <c r="N90" s="220"/>
      <c r="O90" s="220"/>
      <c r="P90" s="220"/>
      <c r="Q90" s="220"/>
      <c r="R90" s="220"/>
      <c r="S90" s="220"/>
      <c r="T90" s="220"/>
      <c r="U90" s="220"/>
      <c r="V90" s="220"/>
      <c r="W90" s="220"/>
    </row>
    <row r="91" ht="15.75" customHeight="1" outlineLevel="1">
      <c r="A91" s="211"/>
      <c r="B91" s="212"/>
      <c r="C91" s="213"/>
      <c r="D91" s="214" t="str">
        <f>IFERROR(VLOOKUP($C91,'PORTIFÓLIO'!C:V,2,0),"")</f>
        <v/>
      </c>
      <c r="E91" s="211" t="str">
        <f>IFERROR(VLOOKUP($C91,'PORTIFÓLIO'!C:V,3,0),"")</f>
        <v/>
      </c>
      <c r="F91" s="211" t="str">
        <f>IFERROR(VLOOKUP($C91,'PORTIFÓLIO'!C:V,4,0),"")</f>
        <v/>
      </c>
      <c r="G91" s="215" t="str">
        <f>IFERROR(VLOOKUP($C91,'PORTIFÓLIO'!C:V,5,0),"")</f>
        <v/>
      </c>
      <c r="H91" s="254" t="str">
        <f t="array" ref="H91">IFERROR(INDEX('PORTIFÓLIO'!$H$4:$H$433,MATCH($C91,'PORTIFÓLIO'!$C$4:$C$433,0)),"")</f>
        <v/>
      </c>
      <c r="I91" s="256"/>
      <c r="J91" s="218">
        <f t="shared" si="10"/>
        <v>0</v>
      </c>
      <c r="K91" s="219" t="str">
        <f t="array" ref="K91">IFERROR(I91*INDEX('PORTIFÓLIO'!$S$4:$S$433,MATCH($C91,'PORTIFÓLIO'!$C$4:$C$433,0)),"")</f>
        <v/>
      </c>
      <c r="L91" s="219" t="str">
        <f t="array" ref="L91">IFERROR(J91*INDEX('PORTIFÓLIO'!$S$4:$S$433,MATCH($C91,'PORTIFÓLIO'!$C$4:$C$433,0)),"")</f>
        <v/>
      </c>
      <c r="M91" s="220"/>
      <c r="N91" s="220"/>
      <c r="O91" s="220"/>
      <c r="P91" s="220"/>
      <c r="Q91" s="220"/>
      <c r="R91" s="220"/>
      <c r="S91" s="220"/>
      <c r="T91" s="220"/>
      <c r="U91" s="220"/>
      <c r="V91" s="220"/>
      <c r="W91" s="220"/>
    </row>
    <row r="92" ht="15.75" customHeight="1" outlineLevel="1">
      <c r="A92" s="211"/>
      <c r="B92" s="212"/>
      <c r="C92" s="213"/>
      <c r="D92" s="214" t="str">
        <f>IFERROR(VLOOKUP($C92,'PORTIFÓLIO'!C:V,2,0),"")</f>
        <v/>
      </c>
      <c r="E92" s="211" t="str">
        <f>IFERROR(VLOOKUP($C92,'PORTIFÓLIO'!C:V,3,0),"")</f>
        <v/>
      </c>
      <c r="F92" s="211" t="str">
        <f>IFERROR(VLOOKUP($C92,'PORTIFÓLIO'!C:V,4,0),"")</f>
        <v/>
      </c>
      <c r="G92" s="215" t="str">
        <f>IFERROR(VLOOKUP($C92,'PORTIFÓLIO'!C:V,5,0),"")</f>
        <v/>
      </c>
      <c r="H92" s="254" t="str">
        <f t="array" ref="H92">IFERROR(INDEX('PORTIFÓLIO'!$H$4:$H$433,MATCH($C92,'PORTIFÓLIO'!$C$4:$C$433,0)),"")</f>
        <v/>
      </c>
      <c r="I92" s="256"/>
      <c r="J92" s="218">
        <f t="shared" si="10"/>
        <v>0</v>
      </c>
      <c r="K92" s="219" t="str">
        <f t="array" ref="K92">IFERROR(I92*INDEX('PORTIFÓLIO'!$S$4:$S$433,MATCH($C92,'PORTIFÓLIO'!$C$4:$C$433,0)),"")</f>
        <v/>
      </c>
      <c r="L92" s="219" t="str">
        <f t="array" ref="L92">IFERROR(J92*INDEX('PORTIFÓLIO'!$S$4:$S$433,MATCH($C92,'PORTIFÓLIO'!$C$4:$C$433,0)),"")</f>
        <v/>
      </c>
      <c r="M92" s="220"/>
      <c r="N92" s="220"/>
      <c r="O92" s="220"/>
      <c r="P92" s="220"/>
      <c r="Q92" s="220"/>
      <c r="R92" s="220"/>
      <c r="S92" s="220"/>
      <c r="T92" s="220"/>
      <c r="U92" s="220"/>
      <c r="V92" s="220"/>
      <c r="W92" s="220"/>
    </row>
    <row r="93" ht="15.75" customHeight="1" outlineLevel="1">
      <c r="A93" s="211"/>
      <c r="B93" s="212"/>
      <c r="C93" s="213"/>
      <c r="D93" s="214" t="str">
        <f>IFERROR(VLOOKUP($C93,'PORTIFÓLIO'!C:V,2,0),"")</f>
        <v/>
      </c>
      <c r="E93" s="211" t="str">
        <f>IFERROR(VLOOKUP($C93,'PORTIFÓLIO'!C:V,3,0),"")</f>
        <v/>
      </c>
      <c r="F93" s="211" t="str">
        <f>IFERROR(VLOOKUP($C93,'PORTIFÓLIO'!C:V,4,0),"")</f>
        <v/>
      </c>
      <c r="G93" s="215" t="str">
        <f>IFERROR(VLOOKUP($C93,'PORTIFÓLIO'!C:V,5,0),"")</f>
        <v/>
      </c>
      <c r="H93" s="254" t="str">
        <f t="array" ref="H93">IFERROR(INDEX('PORTIFÓLIO'!$H$4:$H$433,MATCH($C93,'PORTIFÓLIO'!$C$4:$C$433,0)),"")</f>
        <v/>
      </c>
      <c r="I93" s="256"/>
      <c r="J93" s="218">
        <f t="shared" si="10"/>
        <v>0</v>
      </c>
      <c r="K93" s="219" t="str">
        <f t="array" ref="K93">IFERROR(I93*INDEX('PORTIFÓLIO'!$S$4:$S$433,MATCH($C93,'PORTIFÓLIO'!$C$4:$C$433,0)),"")</f>
        <v/>
      </c>
      <c r="L93" s="219" t="str">
        <f t="array" ref="L93">IFERROR(J93*INDEX('PORTIFÓLIO'!$S$4:$S$433,MATCH($C93,'PORTIFÓLIO'!$C$4:$C$433,0)),"")</f>
        <v/>
      </c>
      <c r="M93" s="220"/>
      <c r="N93" s="220"/>
      <c r="O93" s="220"/>
      <c r="P93" s="220"/>
      <c r="Q93" s="220"/>
      <c r="R93" s="220"/>
      <c r="S93" s="220"/>
      <c r="T93" s="220"/>
      <c r="U93" s="220"/>
      <c r="V93" s="220"/>
      <c r="W93" s="220"/>
    </row>
    <row r="94" ht="15.75" customHeight="1" outlineLevel="1">
      <c r="A94" s="211"/>
      <c r="B94" s="212"/>
      <c r="C94" s="213"/>
      <c r="D94" s="214" t="str">
        <f>IFERROR(VLOOKUP($C94,'PORTIFÓLIO'!C:V,2,0),"")</f>
        <v/>
      </c>
      <c r="E94" s="211" t="str">
        <f>IFERROR(VLOOKUP($C94,'PORTIFÓLIO'!C:V,3,0),"")</f>
        <v/>
      </c>
      <c r="F94" s="211" t="str">
        <f>IFERROR(VLOOKUP($C94,'PORTIFÓLIO'!C:V,4,0),"")</f>
        <v/>
      </c>
      <c r="G94" s="215" t="str">
        <f>IFERROR(VLOOKUP($C94,'PORTIFÓLIO'!C:V,5,0),"")</f>
        <v/>
      </c>
      <c r="H94" s="254" t="str">
        <f t="array" ref="H94">IFERROR(INDEX('PORTIFÓLIO'!$H$4:$H$433,MATCH($C94,'PORTIFÓLIO'!$C$4:$C$433,0)),"")</f>
        <v/>
      </c>
      <c r="I94" s="256"/>
      <c r="J94" s="218">
        <f t="shared" si="10"/>
        <v>0</v>
      </c>
      <c r="K94" s="219" t="str">
        <f t="array" ref="K94">IFERROR(I94*INDEX('PORTIFÓLIO'!$S$4:$S$433,MATCH($C94,'PORTIFÓLIO'!$C$4:$C$433,0)),"")</f>
        <v/>
      </c>
      <c r="L94" s="219" t="str">
        <f t="array" ref="L94">IFERROR(J94*INDEX('PORTIFÓLIO'!$S$4:$S$433,MATCH($C94,'PORTIFÓLIO'!$C$4:$C$433,0)),"")</f>
        <v/>
      </c>
      <c r="M94" s="220"/>
      <c r="N94" s="220"/>
      <c r="O94" s="220"/>
      <c r="P94" s="220"/>
      <c r="Q94" s="220"/>
      <c r="R94" s="220"/>
      <c r="S94" s="220"/>
      <c r="T94" s="220"/>
      <c r="U94" s="220"/>
      <c r="V94" s="220"/>
      <c r="W94" s="220"/>
    </row>
    <row r="95" ht="15.75" customHeight="1" outlineLevel="1">
      <c r="A95" s="211"/>
      <c r="B95" s="212"/>
      <c r="C95" s="213"/>
      <c r="D95" s="214" t="str">
        <f>IFERROR(VLOOKUP($C95,'PORTIFÓLIO'!C:V,2,0),"")</f>
        <v/>
      </c>
      <c r="E95" s="211" t="str">
        <f>IFERROR(VLOOKUP($C95,'PORTIFÓLIO'!C:V,3,0),"")</f>
        <v/>
      </c>
      <c r="F95" s="211" t="str">
        <f>IFERROR(VLOOKUP($C95,'PORTIFÓLIO'!C:V,4,0),"")</f>
        <v/>
      </c>
      <c r="G95" s="215" t="str">
        <f>IFERROR(VLOOKUP($C95,'PORTIFÓLIO'!C:V,5,0),"")</f>
        <v/>
      </c>
      <c r="H95" s="254" t="str">
        <f t="array" ref="H95">IFERROR(INDEX('PORTIFÓLIO'!$H$4:$H$433,MATCH($C95,'PORTIFÓLIO'!$C$4:$C$433,0)),"")</f>
        <v/>
      </c>
      <c r="I95" s="256"/>
      <c r="J95" s="218">
        <f t="shared" si="10"/>
        <v>0</v>
      </c>
      <c r="K95" s="219" t="str">
        <f t="array" ref="K95">IFERROR(I95*INDEX('PORTIFÓLIO'!$S$4:$S$433,MATCH($C95,'PORTIFÓLIO'!$C$4:$C$433,0)),"")</f>
        <v/>
      </c>
      <c r="L95" s="219" t="str">
        <f t="array" ref="L95">IFERROR(J95*INDEX('PORTIFÓLIO'!$S$4:$S$433,MATCH($C95,'PORTIFÓLIO'!$C$4:$C$433,0)),"")</f>
        <v/>
      </c>
      <c r="M95" s="220"/>
      <c r="N95" s="220"/>
      <c r="O95" s="220"/>
      <c r="P95" s="220"/>
      <c r="Q95" s="220"/>
      <c r="R95" s="220"/>
      <c r="S95" s="220"/>
      <c r="T95" s="220"/>
      <c r="U95" s="220"/>
      <c r="V95" s="220"/>
      <c r="W95" s="220"/>
    </row>
    <row r="96" ht="15.75" customHeight="1" outlineLevel="1">
      <c r="A96" s="211"/>
      <c r="B96" s="212"/>
      <c r="C96" s="213"/>
      <c r="D96" s="214" t="str">
        <f>IFERROR(VLOOKUP($C96,'PORTIFÓLIO'!C:V,2,0),"")</f>
        <v/>
      </c>
      <c r="E96" s="211" t="str">
        <f>IFERROR(VLOOKUP($C96,'PORTIFÓLIO'!C:V,3,0),"")</f>
        <v/>
      </c>
      <c r="F96" s="211" t="str">
        <f>IFERROR(VLOOKUP($C96,'PORTIFÓLIO'!C:V,4,0),"")</f>
        <v/>
      </c>
      <c r="G96" s="215" t="str">
        <f>IFERROR(VLOOKUP($C96,'PORTIFÓLIO'!C:V,5,0),"")</f>
        <v/>
      </c>
      <c r="H96" s="254" t="str">
        <f t="array" ref="H96">IFERROR(INDEX('PORTIFÓLIO'!$H$4:$H$433,MATCH($C96,'PORTIFÓLIO'!$C$4:$C$433,0)),"")</f>
        <v/>
      </c>
      <c r="I96" s="256"/>
      <c r="J96" s="218">
        <f t="shared" si="10"/>
        <v>0</v>
      </c>
      <c r="K96" s="219" t="str">
        <f t="array" ref="K96">IFERROR(I96*INDEX('PORTIFÓLIO'!$S$4:$S$433,MATCH($C96,'PORTIFÓLIO'!$C$4:$C$433,0)),"")</f>
        <v/>
      </c>
      <c r="L96" s="219" t="str">
        <f t="array" ref="L96">IFERROR(J96*INDEX('PORTIFÓLIO'!$S$4:$S$433,MATCH($C96,'PORTIFÓLIO'!$C$4:$C$433,0)),"")</f>
        <v/>
      </c>
      <c r="M96" s="220"/>
      <c r="N96" s="220"/>
      <c r="O96" s="220"/>
      <c r="P96" s="220"/>
      <c r="Q96" s="220"/>
      <c r="R96" s="220"/>
      <c r="S96" s="220"/>
      <c r="T96" s="220"/>
      <c r="U96" s="220"/>
      <c r="V96" s="220"/>
      <c r="W96" s="220"/>
    </row>
    <row r="97" ht="15.75" customHeight="1">
      <c r="A97" s="229" t="s">
        <v>1189</v>
      </c>
      <c r="B97" s="230"/>
      <c r="C97" s="231"/>
      <c r="D97" s="232"/>
      <c r="E97" s="231"/>
      <c r="F97" s="231"/>
      <c r="G97" s="233"/>
      <c r="H97" s="233"/>
      <c r="I97" s="258"/>
      <c r="J97" s="236"/>
      <c r="K97" s="237">
        <f t="shared" ref="K97:L97" si="11">SUBTOTAL(9,K98:K111)</f>
        <v>252.132698</v>
      </c>
      <c r="L97" s="237">
        <f t="shared" si="11"/>
        <v>55469.19356</v>
      </c>
      <c r="M97" s="220"/>
      <c r="N97" s="220"/>
      <c r="O97" s="220"/>
      <c r="P97" s="220"/>
      <c r="Q97" s="220"/>
      <c r="R97" s="220"/>
      <c r="S97" s="220"/>
      <c r="T97" s="220"/>
      <c r="U97" s="220"/>
      <c r="V97" s="220"/>
      <c r="W97" s="220"/>
    </row>
    <row r="98" ht="15.75" customHeight="1" outlineLevel="1">
      <c r="A98" s="213"/>
      <c r="B98" s="212" t="s">
        <v>0</v>
      </c>
      <c r="C98" s="213" t="s">
        <v>443</v>
      </c>
      <c r="D98" s="214" t="str">
        <f>IFERROR(VLOOKUP($C98,'PORTIFÓLIO'!C:V,2,0),"")</f>
        <v>MEFENTRIFLUCONAZOL + PIRACLOSTROBINA +
 FLUXAPIROXADE</v>
      </c>
      <c r="E98" s="211" t="str">
        <f>IFERROR(VLOOKUP($C98,'PORTIFÓLIO'!C:V,3,0),"")</f>
        <v>133,3 + 177,8 + 88,9</v>
      </c>
      <c r="F98" s="211" t="str">
        <f>IFERROR(VLOOKUP($C98,'PORTIFÓLIO'!C:V,4,0),"")</f>
        <v>L</v>
      </c>
      <c r="G98" s="225" t="str">
        <f>IFERROR(VLOOKUP($C98,'PORTIFÓLIO'!C:V,5,0),"")</f>
        <v>📄 Ver bula</v>
      </c>
      <c r="H98" s="254">
        <f t="array" ref="H98">IFERROR(INDEX('PORTIFÓLIO'!$H$4:$H$433,MATCH($C98,'PORTIFÓLIO'!$C$4:$C$433,0)),"")</f>
        <v>0.7</v>
      </c>
      <c r="I98" s="255">
        <v>0.7</v>
      </c>
      <c r="J98" s="218">
        <f t="shared" ref="J98:J112" si="12">I98*$B$2</f>
        <v>154</v>
      </c>
      <c r="K98" s="219">
        <f t="array" ref="K98">IFERROR(I98*INDEX('PORTIFÓLIO'!$S$4:$S$433,MATCH($C98,'PORTIFÓLIO'!$C$4:$C$433,0)),"")</f>
        <v>119.38752</v>
      </c>
      <c r="L98" s="219">
        <f t="array" ref="L98">IFERROR(J98*INDEX('PORTIFÓLIO'!$S$4:$S$433,MATCH($C98,'PORTIFÓLIO'!$C$4:$C$433,0)),"")</f>
        <v>26265.2544</v>
      </c>
      <c r="M98" s="220"/>
      <c r="N98" s="220"/>
      <c r="O98" s="220"/>
      <c r="P98" s="220"/>
      <c r="Q98" s="220"/>
      <c r="R98" s="220"/>
      <c r="S98" s="220"/>
      <c r="T98" s="220"/>
      <c r="U98" s="220"/>
      <c r="V98" s="220"/>
      <c r="W98" s="220"/>
    </row>
    <row r="99" ht="15.75" customHeight="1" outlineLevel="1">
      <c r="A99" s="211"/>
      <c r="B99" s="212" t="s">
        <v>2</v>
      </c>
      <c r="C99" s="213" t="s">
        <v>837</v>
      </c>
      <c r="D99" s="214" t="str">
        <f>IFERROR(VLOOKUP($C99,'PORTIFÓLIO'!C:V,2,0),"")</f>
        <v>CLORFENAPIR</v>
      </c>
      <c r="E99" s="211">
        <f>IFERROR(VLOOKUP($C99,'PORTIFÓLIO'!C:V,3,0),"")</f>
        <v>240</v>
      </c>
      <c r="F99" s="211" t="str">
        <f>IFERROR(VLOOKUP($C99,'PORTIFÓLIO'!C:V,4,0),"")</f>
        <v>KG</v>
      </c>
      <c r="G99" s="225" t="str">
        <f>IFERROR(VLOOKUP($C99,'PORTIFÓLIO'!C:V,5,0),"")</f>
        <v>📄 Ver bula</v>
      </c>
      <c r="H99" s="254">
        <f t="array" ref="H99">IFERROR(INDEX('PORTIFÓLIO'!$H$4:$H$433,MATCH($C99,'PORTIFÓLIO'!$C$4:$C$433,0)),"")</f>
        <v>1</v>
      </c>
      <c r="I99" s="255">
        <v>1.0</v>
      </c>
      <c r="J99" s="218">
        <f t="shared" si="12"/>
        <v>220</v>
      </c>
      <c r="K99" s="219">
        <f t="array" ref="K99">IFERROR(I99*INDEX('PORTIFÓLIO'!$S$4:$S$433,MATCH($C99,'PORTIFÓLIO'!$C$4:$C$433,0)),"")</f>
        <v>38.55729</v>
      </c>
      <c r="L99" s="219">
        <f t="array" ref="L99">IFERROR(J99*INDEX('PORTIFÓLIO'!$S$4:$S$433,MATCH($C99,'PORTIFÓLIO'!$C$4:$C$433,0)),"")</f>
        <v>8482.6038</v>
      </c>
      <c r="M99" s="220"/>
      <c r="N99" s="220"/>
      <c r="O99" s="220"/>
      <c r="P99" s="220"/>
      <c r="Q99" s="220"/>
      <c r="R99" s="220"/>
      <c r="S99" s="220"/>
      <c r="T99" s="220"/>
      <c r="U99" s="220"/>
      <c r="V99" s="220"/>
      <c r="W99" s="220"/>
    </row>
    <row r="100" ht="15.75" customHeight="1" outlineLevel="1">
      <c r="A100" s="211"/>
      <c r="B100" s="212" t="s">
        <v>2</v>
      </c>
      <c r="C100" s="213" t="s">
        <v>893</v>
      </c>
      <c r="D100" s="214" t="str">
        <f>IFERROR(VLOOKUP($C100,'PORTIFÓLIO'!C:V,2,0),"")</f>
        <v>BENZOATO DE EMAMECTINA</v>
      </c>
      <c r="E100" s="211">
        <f>IFERROR(VLOOKUP($C100,'PORTIFÓLIO'!C:V,3,0),"")</f>
        <v>50</v>
      </c>
      <c r="F100" s="211" t="str">
        <f>IFERROR(VLOOKUP($C100,'PORTIFÓLIO'!C:V,4,0),"")</f>
        <v>L</v>
      </c>
      <c r="G100" s="225" t="str">
        <f>IFERROR(VLOOKUP($C100,'PORTIFÓLIO'!C:V,5,0),"")</f>
        <v>📄 Ver bula</v>
      </c>
      <c r="H100" s="254">
        <f t="array" ref="H100">IFERROR(INDEX('PORTIFÓLIO'!$H$4:$H$433,MATCH($C100,'PORTIFÓLIO'!$C$4:$C$433,0)),"")</f>
        <v>0.25</v>
      </c>
      <c r="I100" s="255">
        <v>0.2</v>
      </c>
      <c r="J100" s="218">
        <f t="shared" si="12"/>
        <v>44</v>
      </c>
      <c r="K100" s="219">
        <f t="array" ref="K100">IFERROR(I100*INDEX('PORTIFÓLIO'!$S$4:$S$433,MATCH($C100,'PORTIFÓLIO'!$C$4:$C$433,0)),"")</f>
        <v>49.460208</v>
      </c>
      <c r="L100" s="219">
        <f t="array" ref="L100">IFERROR(J100*INDEX('PORTIFÓLIO'!$S$4:$S$433,MATCH($C100,'PORTIFÓLIO'!$C$4:$C$433,0)),"")</f>
        <v>10881.24576</v>
      </c>
      <c r="M100" s="220"/>
      <c r="N100" s="220"/>
      <c r="O100" s="220"/>
      <c r="P100" s="220"/>
      <c r="Q100" s="220"/>
      <c r="R100" s="220"/>
      <c r="S100" s="220"/>
      <c r="T100" s="220"/>
      <c r="U100" s="220"/>
      <c r="V100" s="220"/>
      <c r="W100" s="220"/>
    </row>
    <row r="101" ht="15.75" customHeight="1" outlineLevel="1">
      <c r="A101" s="211"/>
      <c r="B101" s="212" t="s">
        <v>6</v>
      </c>
      <c r="C101" s="213" t="s">
        <v>354</v>
      </c>
      <c r="D101" s="214" t="str">
        <f>IFERROR(VLOOKUP($C101,'PORTIFÓLIO'!C:V,2,0),"")</f>
        <v>OLEO MINERAL</v>
      </c>
      <c r="E101" s="211">
        <f>IFERROR(VLOOKUP($C101,'PORTIFÓLIO'!C:V,3,0),"")</f>
        <v>761</v>
      </c>
      <c r="F101" s="211" t="str">
        <f>IFERROR(VLOOKUP($C101,'PORTIFÓLIO'!C:V,4,0),"")</f>
        <v>L</v>
      </c>
      <c r="G101" s="225" t="str">
        <f>IFERROR(VLOOKUP($C101,'PORTIFÓLIO'!C:V,5,0),"")</f>
        <v>📄 Ver bula</v>
      </c>
      <c r="H101" s="254">
        <f t="array" ref="H101">IFERROR(INDEX('PORTIFÓLIO'!$H$4:$H$433,MATCH($C101,'PORTIFÓLIO'!$C$4:$C$433,0)),"")</f>
        <v>0.2</v>
      </c>
      <c r="I101" s="255">
        <v>0.2</v>
      </c>
      <c r="J101" s="218">
        <f t="shared" si="12"/>
        <v>44</v>
      </c>
      <c r="K101" s="219">
        <f t="array" ref="K101">IFERROR(I101*INDEX('PORTIFÓLIO'!$S$4:$S$433,MATCH($C101,'PORTIFÓLIO'!$C$4:$C$433,0)),"")</f>
        <v>3.206</v>
      </c>
      <c r="L101" s="219">
        <f t="array" ref="L101">IFERROR(J101*INDEX('PORTIFÓLIO'!$S$4:$S$433,MATCH($C101,'PORTIFÓLIO'!$C$4:$C$433,0)),"")</f>
        <v>705.32</v>
      </c>
      <c r="M101" s="220"/>
      <c r="N101" s="220"/>
      <c r="O101" s="220"/>
      <c r="P101" s="220"/>
      <c r="Q101" s="220"/>
      <c r="R101" s="220"/>
      <c r="S101" s="220"/>
      <c r="T101" s="220"/>
      <c r="U101" s="220"/>
      <c r="V101" s="220"/>
      <c r="W101" s="220"/>
    </row>
    <row r="102" ht="15.75" customHeight="1" outlineLevel="1">
      <c r="A102" s="211"/>
      <c r="B102" s="212" t="s">
        <v>0</v>
      </c>
      <c r="C102" s="213" t="s">
        <v>484</v>
      </c>
      <c r="D102" s="214" t="str">
        <f>IFERROR(VLOOKUP($C102,'PORTIFÓLIO'!C:V,2,0),"")</f>
        <v>MANCOZEBE</v>
      </c>
      <c r="E102" s="211">
        <f>IFERROR(VLOOKUP($C102,'PORTIFÓLIO'!C:V,3,0),"")</f>
        <v>750</v>
      </c>
      <c r="F102" s="211" t="str">
        <f>IFERROR(VLOOKUP($C102,'PORTIFÓLIO'!C:V,4,0),"")</f>
        <v>L</v>
      </c>
      <c r="G102" s="225" t="str">
        <f>IFERROR(VLOOKUP($C102,'PORTIFÓLIO'!C:V,5,0),"")</f>
        <v>📄 Ver bula</v>
      </c>
      <c r="H102" s="254">
        <f t="array" ref="H102">IFERROR(INDEX('PORTIFÓLIO'!$H$4:$H$433,MATCH($C102,'PORTIFÓLIO'!$C$4:$C$433,0)),"")</f>
        <v>1.5</v>
      </c>
      <c r="I102" s="255">
        <v>1.5</v>
      </c>
      <c r="J102" s="218">
        <f t="shared" si="12"/>
        <v>330</v>
      </c>
      <c r="K102" s="219">
        <f t="array" ref="K102">IFERROR(I102*INDEX('PORTIFÓLIO'!$S$4:$S$433,MATCH($C102,'PORTIFÓLIO'!$C$4:$C$433,0)),"")</f>
        <v>41.52168</v>
      </c>
      <c r="L102" s="219">
        <f t="array" ref="L102">IFERROR(J102*INDEX('PORTIFÓLIO'!$S$4:$S$433,MATCH($C102,'PORTIFÓLIO'!$C$4:$C$433,0)),"")</f>
        <v>9134.7696</v>
      </c>
      <c r="M102" s="220"/>
      <c r="N102" s="220"/>
      <c r="O102" s="220"/>
      <c r="P102" s="220"/>
      <c r="Q102" s="220"/>
      <c r="R102" s="220"/>
      <c r="S102" s="220"/>
      <c r="T102" s="220"/>
      <c r="U102" s="220"/>
      <c r="V102" s="220"/>
      <c r="W102" s="220"/>
    </row>
    <row r="103" ht="15.75" customHeight="1" outlineLevel="1">
      <c r="A103" s="211"/>
      <c r="B103" s="212"/>
      <c r="C103" s="213"/>
      <c r="D103" s="214" t="str">
        <f>IFERROR(VLOOKUP($C103,'PORTIFÓLIO'!C:V,2,0),"")</f>
        <v/>
      </c>
      <c r="E103" s="211" t="str">
        <f>IFERROR(VLOOKUP($C103,'PORTIFÓLIO'!C:V,3,0),"")</f>
        <v/>
      </c>
      <c r="F103" s="211" t="str">
        <f>IFERROR(VLOOKUP($C103,'PORTIFÓLIO'!C:V,4,0),"")</f>
        <v/>
      </c>
      <c r="G103" s="215" t="str">
        <f>IFERROR(VLOOKUP($C103,'PORTIFÓLIO'!C:V,5,0),"")</f>
        <v/>
      </c>
      <c r="H103" s="254" t="str">
        <f t="array" ref="H103">IFERROR(INDEX('PORTIFÓLIO'!$H$4:$H$433,MATCH($C103,'PORTIFÓLIO'!$C$4:$C$433,0)),"")</f>
        <v/>
      </c>
      <c r="I103" s="256"/>
      <c r="J103" s="218">
        <f t="shared" si="12"/>
        <v>0</v>
      </c>
      <c r="K103" s="219" t="str">
        <f t="array" ref="K103">IFERROR(I103*INDEX('PORTIFÓLIO'!$S$4:$S$433,MATCH($C103,'PORTIFÓLIO'!$C$4:$C$433,0)),"")</f>
        <v/>
      </c>
      <c r="L103" s="219" t="str">
        <f t="array" ref="L103">IFERROR(J103*INDEX('PORTIFÓLIO'!$S$4:$S$433,MATCH($C103,'PORTIFÓLIO'!$C$4:$C$433,0)),"")</f>
        <v/>
      </c>
      <c r="M103" s="220"/>
      <c r="N103" s="220"/>
      <c r="O103" s="220"/>
      <c r="P103" s="220"/>
      <c r="Q103" s="220"/>
      <c r="R103" s="220"/>
      <c r="S103" s="220"/>
      <c r="T103" s="220"/>
      <c r="U103" s="220"/>
      <c r="V103" s="220"/>
      <c r="W103" s="220"/>
    </row>
    <row r="104" ht="15.75" customHeight="1" outlineLevel="1">
      <c r="A104" s="211"/>
      <c r="B104" s="212"/>
      <c r="C104" s="213"/>
      <c r="D104" s="214" t="str">
        <f>IFERROR(VLOOKUP($C104,'PORTIFÓLIO'!C:V,2,0),"")</f>
        <v/>
      </c>
      <c r="E104" s="211" t="str">
        <f>IFERROR(VLOOKUP($C104,'PORTIFÓLIO'!C:V,3,0),"")</f>
        <v/>
      </c>
      <c r="F104" s="211" t="str">
        <f>IFERROR(VLOOKUP($C104,'PORTIFÓLIO'!C:V,4,0),"")</f>
        <v/>
      </c>
      <c r="G104" s="215" t="str">
        <f>IFERROR(VLOOKUP($C104,'PORTIFÓLIO'!C:V,5,0),"")</f>
        <v/>
      </c>
      <c r="H104" s="254" t="str">
        <f t="array" ref="H104">IFERROR(INDEX('PORTIFÓLIO'!$H$4:$H$433,MATCH($C104,'PORTIFÓLIO'!$C$4:$C$433,0)),"")</f>
        <v/>
      </c>
      <c r="I104" s="256"/>
      <c r="J104" s="218">
        <f t="shared" si="12"/>
        <v>0</v>
      </c>
      <c r="K104" s="219" t="str">
        <f t="array" ref="K104">IFERROR(I104*INDEX('PORTIFÓLIO'!$S$4:$S$433,MATCH($C104,'PORTIFÓLIO'!$C$4:$C$433,0)),"")</f>
        <v/>
      </c>
      <c r="L104" s="219" t="str">
        <f t="array" ref="L104">IFERROR(J104*INDEX('PORTIFÓLIO'!$S$4:$S$433,MATCH($C104,'PORTIFÓLIO'!$C$4:$C$433,0)),"")</f>
        <v/>
      </c>
      <c r="M104" s="220"/>
      <c r="N104" s="220"/>
      <c r="O104" s="220"/>
      <c r="P104" s="220"/>
      <c r="Q104" s="220"/>
      <c r="R104" s="220"/>
      <c r="S104" s="220"/>
      <c r="T104" s="220"/>
      <c r="U104" s="220"/>
      <c r="V104" s="220"/>
      <c r="W104" s="220"/>
    </row>
    <row r="105" ht="15.75" customHeight="1" outlineLevel="1">
      <c r="A105" s="211"/>
      <c r="B105" s="212"/>
      <c r="C105" s="213"/>
      <c r="D105" s="214" t="str">
        <f>IFERROR(VLOOKUP($C105,'PORTIFÓLIO'!C:V,2,0),"")</f>
        <v/>
      </c>
      <c r="E105" s="211" t="str">
        <f>IFERROR(VLOOKUP($C105,'PORTIFÓLIO'!C:V,3,0),"")</f>
        <v/>
      </c>
      <c r="F105" s="211" t="str">
        <f>IFERROR(VLOOKUP($C105,'PORTIFÓLIO'!C:V,4,0),"")</f>
        <v/>
      </c>
      <c r="G105" s="215" t="str">
        <f>IFERROR(VLOOKUP($C105,'PORTIFÓLIO'!C:V,5,0),"")</f>
        <v/>
      </c>
      <c r="H105" s="254" t="str">
        <f t="array" ref="H105">IFERROR(INDEX('PORTIFÓLIO'!$H$4:$H$433,MATCH($C105,'PORTIFÓLIO'!$C$4:$C$433,0)),"")</f>
        <v/>
      </c>
      <c r="I105" s="256"/>
      <c r="J105" s="218">
        <f t="shared" si="12"/>
        <v>0</v>
      </c>
      <c r="K105" s="219" t="str">
        <f t="array" ref="K105">IFERROR(I105*INDEX('PORTIFÓLIO'!$S$4:$S$433,MATCH($C105,'PORTIFÓLIO'!$C$4:$C$433,0)),"")</f>
        <v/>
      </c>
      <c r="L105" s="219" t="str">
        <f t="array" ref="L105">IFERROR(J105*INDEX('PORTIFÓLIO'!$S$4:$S$433,MATCH($C105,'PORTIFÓLIO'!$C$4:$C$433,0)),"")</f>
        <v/>
      </c>
      <c r="M105" s="220"/>
      <c r="N105" s="220"/>
      <c r="O105" s="220"/>
      <c r="P105" s="220"/>
      <c r="Q105" s="220"/>
      <c r="R105" s="220"/>
      <c r="S105" s="220"/>
      <c r="T105" s="220"/>
      <c r="U105" s="220"/>
      <c r="V105" s="220"/>
      <c r="W105" s="220"/>
    </row>
    <row r="106" ht="15.75" customHeight="1" outlineLevel="1">
      <c r="A106" s="211"/>
      <c r="B106" s="212"/>
      <c r="C106" s="213"/>
      <c r="D106" s="214" t="str">
        <f>IFERROR(VLOOKUP($C106,'PORTIFÓLIO'!C:V,2,0),"")</f>
        <v/>
      </c>
      <c r="E106" s="211" t="str">
        <f>IFERROR(VLOOKUP($C106,'PORTIFÓLIO'!C:V,3,0),"")</f>
        <v/>
      </c>
      <c r="F106" s="211" t="str">
        <f>IFERROR(VLOOKUP($C106,'PORTIFÓLIO'!C:V,4,0),"")</f>
        <v/>
      </c>
      <c r="G106" s="215" t="str">
        <f>IFERROR(VLOOKUP($C106,'PORTIFÓLIO'!C:V,5,0),"")</f>
        <v/>
      </c>
      <c r="H106" s="254" t="str">
        <f t="array" ref="H106">IFERROR(INDEX('PORTIFÓLIO'!$H$4:$H$433,MATCH($C106,'PORTIFÓLIO'!$C$4:$C$433,0)),"")</f>
        <v/>
      </c>
      <c r="I106" s="255"/>
      <c r="J106" s="218">
        <f t="shared" si="12"/>
        <v>0</v>
      </c>
      <c r="K106" s="219" t="str">
        <f t="array" ref="K106">IFERROR(I106*INDEX('PORTIFÓLIO'!$S$4:$S$433,MATCH($C106,'PORTIFÓLIO'!$C$4:$C$433,0)),"")</f>
        <v/>
      </c>
      <c r="L106" s="219" t="str">
        <f t="array" ref="L106">IFERROR(J106*INDEX('PORTIFÓLIO'!$S$4:$S$433,MATCH($C106,'PORTIFÓLIO'!$C$4:$C$433,0)),"")</f>
        <v/>
      </c>
      <c r="M106" s="220"/>
      <c r="N106" s="220"/>
      <c r="O106" s="220"/>
      <c r="P106" s="220"/>
      <c r="Q106" s="220"/>
      <c r="R106" s="220"/>
      <c r="S106" s="220"/>
      <c r="T106" s="220"/>
      <c r="U106" s="220"/>
      <c r="V106" s="220"/>
      <c r="W106" s="220"/>
    </row>
    <row r="107" ht="15.75" customHeight="1" outlineLevel="1">
      <c r="A107" s="211"/>
      <c r="B107" s="212"/>
      <c r="C107" s="213"/>
      <c r="D107" s="214" t="str">
        <f>IFERROR(VLOOKUP($C107,'PORTIFÓLIO'!C:V,2,0),"")</f>
        <v/>
      </c>
      <c r="E107" s="211" t="str">
        <f>IFERROR(VLOOKUP($C107,'PORTIFÓLIO'!C:V,3,0),"")</f>
        <v/>
      </c>
      <c r="F107" s="211" t="str">
        <f>IFERROR(VLOOKUP($C107,'PORTIFÓLIO'!C:V,4,0),"")</f>
        <v/>
      </c>
      <c r="G107" s="215" t="str">
        <f>IFERROR(VLOOKUP($C107,'PORTIFÓLIO'!C:V,5,0),"")</f>
        <v/>
      </c>
      <c r="H107" s="254" t="str">
        <f t="array" ref="H107">IFERROR(INDEX('PORTIFÓLIO'!$H$4:$H$433,MATCH($C107,'PORTIFÓLIO'!$C$4:$C$433,0)),"")</f>
        <v/>
      </c>
      <c r="I107" s="256"/>
      <c r="J107" s="218">
        <f t="shared" si="12"/>
        <v>0</v>
      </c>
      <c r="K107" s="219" t="str">
        <f t="array" ref="K107">IFERROR(I107*INDEX('PORTIFÓLIO'!$S$4:$S$433,MATCH($C107,'PORTIFÓLIO'!$C$4:$C$433,0)),"")</f>
        <v/>
      </c>
      <c r="L107" s="219" t="str">
        <f t="array" ref="L107">IFERROR(J107*INDEX('PORTIFÓLIO'!$S$4:$S$433,MATCH($C107,'PORTIFÓLIO'!$C$4:$C$433,0)),"")</f>
        <v/>
      </c>
      <c r="M107" s="220"/>
      <c r="N107" s="220"/>
      <c r="O107" s="220"/>
      <c r="P107" s="220"/>
      <c r="Q107" s="220"/>
      <c r="R107" s="220"/>
      <c r="S107" s="220"/>
      <c r="T107" s="220"/>
      <c r="U107" s="220"/>
      <c r="V107" s="220"/>
      <c r="W107" s="220"/>
    </row>
    <row r="108" ht="15.75" customHeight="1" outlineLevel="1">
      <c r="A108" s="211"/>
      <c r="B108" s="212"/>
      <c r="C108" s="213"/>
      <c r="D108" s="214" t="str">
        <f>IFERROR(VLOOKUP($C108,'PORTIFÓLIO'!C:V,2,0),"")</f>
        <v/>
      </c>
      <c r="E108" s="211" t="str">
        <f>IFERROR(VLOOKUP($C108,'PORTIFÓLIO'!C:V,3,0),"")</f>
        <v/>
      </c>
      <c r="F108" s="211" t="str">
        <f>IFERROR(VLOOKUP($C108,'PORTIFÓLIO'!C:V,4,0),"")</f>
        <v/>
      </c>
      <c r="G108" s="215" t="str">
        <f>IFERROR(VLOOKUP($C108,'PORTIFÓLIO'!C:V,5,0),"")</f>
        <v/>
      </c>
      <c r="H108" s="254" t="str">
        <f t="array" ref="H108">IFERROR(INDEX('PORTIFÓLIO'!$H$4:$H$433,MATCH($C108,'PORTIFÓLIO'!$C$4:$C$433,0)),"")</f>
        <v/>
      </c>
      <c r="I108" s="256"/>
      <c r="J108" s="218">
        <f t="shared" si="12"/>
        <v>0</v>
      </c>
      <c r="K108" s="219" t="str">
        <f t="array" ref="K108">IFERROR(I108*INDEX('PORTIFÓLIO'!$S$4:$S$433,MATCH($C108,'PORTIFÓLIO'!$C$4:$C$433,0)),"")</f>
        <v/>
      </c>
      <c r="L108" s="219" t="str">
        <f t="array" ref="L108">IFERROR(J108*INDEX('PORTIFÓLIO'!$S$4:$S$433,MATCH($C108,'PORTIFÓLIO'!$C$4:$C$433,0)),"")</f>
        <v/>
      </c>
      <c r="M108" s="220"/>
      <c r="N108" s="220"/>
      <c r="O108" s="220"/>
      <c r="P108" s="220"/>
      <c r="Q108" s="220"/>
      <c r="R108" s="220"/>
      <c r="S108" s="220"/>
      <c r="T108" s="220"/>
      <c r="U108" s="220"/>
      <c r="V108" s="220"/>
      <c r="W108" s="220"/>
    </row>
    <row r="109" ht="15.75" customHeight="1" outlineLevel="1">
      <c r="A109" s="211"/>
      <c r="B109" s="212"/>
      <c r="C109" s="213"/>
      <c r="D109" s="214" t="str">
        <f>IFERROR(VLOOKUP($C109,'PORTIFÓLIO'!C:V,2,0),"")</f>
        <v/>
      </c>
      <c r="E109" s="211" t="str">
        <f>IFERROR(VLOOKUP($C109,'PORTIFÓLIO'!C:V,3,0),"")</f>
        <v/>
      </c>
      <c r="F109" s="211" t="str">
        <f>IFERROR(VLOOKUP($C109,'PORTIFÓLIO'!C:V,4,0),"")</f>
        <v/>
      </c>
      <c r="G109" s="215" t="str">
        <f>IFERROR(VLOOKUP($C109,'PORTIFÓLIO'!C:V,5,0),"")</f>
        <v/>
      </c>
      <c r="H109" s="254" t="str">
        <f t="array" ref="H109">IFERROR(INDEX('PORTIFÓLIO'!$H$4:$H$433,MATCH($C109,'PORTIFÓLIO'!$C$4:$C$433,0)),"")</f>
        <v/>
      </c>
      <c r="I109" s="256"/>
      <c r="J109" s="218">
        <f t="shared" si="12"/>
        <v>0</v>
      </c>
      <c r="K109" s="219" t="str">
        <f t="array" ref="K109">IFERROR(I109*INDEX('PORTIFÓLIO'!$S$4:$S$433,MATCH($C109,'PORTIFÓLIO'!$C$4:$C$433,0)),"")</f>
        <v/>
      </c>
      <c r="L109" s="219" t="str">
        <f t="array" ref="L109">IFERROR(J109*INDEX('PORTIFÓLIO'!$S$4:$S$433,MATCH($C109,'PORTIFÓLIO'!$C$4:$C$433,0)),"")</f>
        <v/>
      </c>
      <c r="M109" s="220"/>
      <c r="N109" s="220"/>
      <c r="O109" s="220"/>
      <c r="P109" s="220"/>
      <c r="Q109" s="220"/>
      <c r="R109" s="220"/>
      <c r="S109" s="220"/>
      <c r="T109" s="220"/>
      <c r="U109" s="220"/>
      <c r="V109" s="220"/>
      <c r="W109" s="220"/>
    </row>
    <row r="110" ht="15.75" customHeight="1" outlineLevel="1">
      <c r="A110" s="211"/>
      <c r="B110" s="212"/>
      <c r="C110" s="213"/>
      <c r="D110" s="214" t="str">
        <f>IFERROR(VLOOKUP($C110,'PORTIFÓLIO'!C:V,2,0),"")</f>
        <v/>
      </c>
      <c r="E110" s="211" t="str">
        <f>IFERROR(VLOOKUP($C110,'PORTIFÓLIO'!C:V,3,0),"")</f>
        <v/>
      </c>
      <c r="F110" s="211" t="str">
        <f>IFERROR(VLOOKUP($C110,'PORTIFÓLIO'!C:V,4,0),"")</f>
        <v/>
      </c>
      <c r="G110" s="215" t="str">
        <f>IFERROR(VLOOKUP($C110,'PORTIFÓLIO'!C:V,5,0),"")</f>
        <v/>
      </c>
      <c r="H110" s="254" t="str">
        <f t="array" ref="H110">IFERROR(INDEX('PORTIFÓLIO'!$H$4:$H$433,MATCH($C110,'PORTIFÓLIO'!$C$4:$C$433,0)),"")</f>
        <v/>
      </c>
      <c r="I110" s="256"/>
      <c r="J110" s="218">
        <f t="shared" si="12"/>
        <v>0</v>
      </c>
      <c r="K110" s="219" t="str">
        <f t="array" ref="K110">IFERROR(I110*INDEX('PORTIFÓLIO'!$S$4:$S$433,MATCH($C110,'PORTIFÓLIO'!$C$4:$C$433,0)),"")</f>
        <v/>
      </c>
      <c r="L110" s="219" t="str">
        <f t="array" ref="L110">IFERROR(J110*INDEX('PORTIFÓLIO'!$S$4:$S$433,MATCH($C110,'PORTIFÓLIO'!$C$4:$C$433,0)),"")</f>
        <v/>
      </c>
      <c r="M110" s="220"/>
      <c r="N110" s="220"/>
      <c r="O110" s="220"/>
      <c r="P110" s="220"/>
      <c r="Q110" s="220"/>
      <c r="R110" s="220"/>
      <c r="S110" s="220"/>
      <c r="T110" s="220"/>
      <c r="U110" s="220"/>
      <c r="V110" s="220"/>
      <c r="W110" s="220"/>
    </row>
    <row r="111" ht="15.75" customHeight="1" outlineLevel="1">
      <c r="A111" s="211"/>
      <c r="B111" s="212"/>
      <c r="C111" s="213"/>
      <c r="D111" s="214" t="str">
        <f>IFERROR(VLOOKUP($C111,'PORTIFÓLIO'!C:V,2,0),"")</f>
        <v/>
      </c>
      <c r="E111" s="211" t="str">
        <f>IFERROR(VLOOKUP($C111,'PORTIFÓLIO'!C:V,3,0),"")</f>
        <v/>
      </c>
      <c r="F111" s="211" t="str">
        <f>IFERROR(VLOOKUP($C111,'PORTIFÓLIO'!C:V,4,0),"")</f>
        <v/>
      </c>
      <c r="G111" s="215" t="str">
        <f>IFERROR(VLOOKUP($C111,'PORTIFÓLIO'!C:V,5,0),"")</f>
        <v/>
      </c>
      <c r="H111" s="254" t="str">
        <f t="array" ref="H111">IFERROR(INDEX('PORTIFÓLIO'!$H$4:$H$433,MATCH($C111,'PORTIFÓLIO'!$C$4:$C$433,0)),"")</f>
        <v/>
      </c>
      <c r="I111" s="256"/>
      <c r="J111" s="218">
        <f t="shared" si="12"/>
        <v>0</v>
      </c>
      <c r="K111" s="219" t="str">
        <f t="array" ref="K111">IFERROR(I111*INDEX('PORTIFÓLIO'!$S$4:$S$433,MATCH($C111,'PORTIFÓLIO'!$C$4:$C$433,0)),"")</f>
        <v/>
      </c>
      <c r="L111" s="219" t="str">
        <f t="array" ref="L111">IFERROR(J111*INDEX('PORTIFÓLIO'!$S$4:$S$433,MATCH($C111,'PORTIFÓLIO'!$C$4:$C$433,0)),"")</f>
        <v/>
      </c>
      <c r="M111" s="220"/>
      <c r="N111" s="220"/>
      <c r="O111" s="220"/>
      <c r="P111" s="220"/>
      <c r="Q111" s="220"/>
      <c r="R111" s="220"/>
      <c r="S111" s="220"/>
      <c r="T111" s="220"/>
      <c r="U111" s="220"/>
      <c r="V111" s="220"/>
      <c r="W111" s="220"/>
    </row>
    <row r="112" ht="15.75" customHeight="1" outlineLevel="1">
      <c r="A112" s="211"/>
      <c r="B112" s="212"/>
      <c r="C112" s="213"/>
      <c r="D112" s="214" t="str">
        <f>IFERROR(VLOOKUP($C112,'PORTIFÓLIO'!C:V,2,0),"")</f>
        <v/>
      </c>
      <c r="E112" s="211" t="str">
        <f>IFERROR(VLOOKUP($C112,'PORTIFÓLIO'!C:V,3,0),"")</f>
        <v/>
      </c>
      <c r="F112" s="211" t="str">
        <f>IFERROR(VLOOKUP($C112,'PORTIFÓLIO'!C:V,4,0),"")</f>
        <v/>
      </c>
      <c r="G112" s="215" t="str">
        <f>IFERROR(VLOOKUP($C112,'PORTIFÓLIO'!C:V,5,0),"")</f>
        <v/>
      </c>
      <c r="H112" s="254" t="str">
        <f t="array" ref="H112">IFERROR(INDEX('PORTIFÓLIO'!$H$4:$H$433,MATCH($C112,'PORTIFÓLIO'!$C$4:$C$433,0)),"")</f>
        <v/>
      </c>
      <c r="I112" s="256"/>
      <c r="J112" s="218">
        <f t="shared" si="12"/>
        <v>0</v>
      </c>
      <c r="K112" s="219" t="str">
        <f t="array" ref="K112">IFERROR(I112*INDEX('PORTIFÓLIO'!$S$4:$S$433,MATCH($C112,'PORTIFÓLIO'!$C$4:$C$433,0)),"")</f>
        <v/>
      </c>
      <c r="L112" s="219" t="str">
        <f t="array" ref="L112">IFERROR(J112*INDEX('PORTIFÓLIO'!$S$4:$S$433,MATCH($C112,'PORTIFÓLIO'!$C$4:$C$433,0)),"")</f>
        <v/>
      </c>
      <c r="M112" s="220"/>
      <c r="N112" s="220"/>
      <c r="O112" s="220"/>
      <c r="P112" s="220"/>
      <c r="Q112" s="220"/>
      <c r="R112" s="220"/>
      <c r="S112" s="220"/>
      <c r="T112" s="220"/>
      <c r="U112" s="220"/>
      <c r="V112" s="220"/>
      <c r="W112" s="220"/>
    </row>
    <row r="113" ht="15.75" customHeight="1" outlineLevel="1">
      <c r="A113" s="211"/>
      <c r="B113" s="212"/>
      <c r="C113" s="211"/>
      <c r="D113" s="214" t="str">
        <f>IFERROR(VLOOKUP($C113,'PORTIFÓLIO'!C:V,2,0),"")</f>
        <v/>
      </c>
      <c r="E113" s="211" t="str">
        <f>IFERROR(VLOOKUP($C113,'PORTIFÓLIO'!C:V,3,0),"")</f>
        <v/>
      </c>
      <c r="F113" s="211" t="str">
        <f>IFERROR(VLOOKUP($C113,'PORTIFÓLIO'!C:V,4,0),"")</f>
        <v/>
      </c>
      <c r="G113" s="215" t="str">
        <f>IFERROR(VLOOKUP($C113,'PORTIFÓLIO'!C:V,5,0),"")</f>
        <v/>
      </c>
      <c r="H113" s="254" t="str">
        <f t="array" ref="H113">IFERROR(INDEX('PORTIFÓLIO'!$H$4:$H$433,MATCH($C113,'PORTIFÓLIO'!$C$4:$C$433,0)),"")</f>
        <v/>
      </c>
      <c r="I113" s="256"/>
      <c r="J113" s="218"/>
      <c r="K113" s="219" t="str">
        <f t="array" ref="K113">IFERROR(I113*INDEX('PORTIFÓLIO'!$S$4:$S$433,MATCH($C113,'PORTIFÓLIO'!$C$4:$C$433,0)),"")</f>
        <v/>
      </c>
      <c r="L113" s="219" t="str">
        <f t="array" ref="L113">IFERROR(J113*INDEX('PORTIFÓLIO'!$S$4:$S$433,MATCH($C113,'PORTIFÓLIO'!$C$4:$C$433,0)),"")</f>
        <v/>
      </c>
      <c r="M113" s="220"/>
      <c r="N113" s="220"/>
      <c r="O113" s="220"/>
      <c r="P113" s="220"/>
      <c r="Q113" s="220"/>
      <c r="R113" s="220"/>
      <c r="S113" s="220"/>
      <c r="T113" s="220"/>
      <c r="U113" s="220"/>
      <c r="V113" s="220"/>
      <c r="W113" s="220"/>
    </row>
    <row r="114" ht="15.75" customHeight="1">
      <c r="A114" s="229" t="s">
        <v>1190</v>
      </c>
      <c r="B114" s="230"/>
      <c r="C114" s="231"/>
      <c r="D114" s="232"/>
      <c r="E114" s="231"/>
      <c r="F114" s="231"/>
      <c r="G114" s="233"/>
      <c r="H114" s="233"/>
      <c r="I114" s="258"/>
      <c r="J114" s="236"/>
      <c r="K114" s="237">
        <f t="shared" ref="K114:L114" si="13">SUBTOTAL(9,K115:K128)</f>
        <v>229.252538</v>
      </c>
      <c r="L114" s="237">
        <f t="shared" si="13"/>
        <v>50435.55836</v>
      </c>
      <c r="M114" s="220"/>
      <c r="N114" s="220"/>
      <c r="O114" s="220"/>
      <c r="P114" s="220"/>
      <c r="Q114" s="220"/>
      <c r="R114" s="220"/>
      <c r="S114" s="220"/>
      <c r="T114" s="220"/>
      <c r="U114" s="220"/>
      <c r="V114" s="220"/>
      <c r="W114" s="220"/>
    </row>
    <row r="115" ht="15.75" customHeight="1" outlineLevel="1">
      <c r="A115" s="213"/>
      <c r="B115" s="212" t="s">
        <v>0</v>
      </c>
      <c r="C115" s="283" t="s">
        <v>587</v>
      </c>
      <c r="D115" s="214" t="str">
        <f>IFERROR(VLOOKUP($C115,'PORTIFÓLIO'!C:V,2,0),"")</f>
        <v>PIDIFLUMETOFEN + DIFENOCONAZOL</v>
      </c>
      <c r="E115" s="211" t="str">
        <f>IFERROR(VLOOKUP($C115,'PORTIFÓLIO'!C:V,3,0),"")</f>
        <v>75 + 125</v>
      </c>
      <c r="F115" s="211" t="str">
        <f>IFERROR(VLOOKUP($C115,'PORTIFÓLIO'!C:V,4,0),"")</f>
        <v>L</v>
      </c>
      <c r="G115" s="225" t="str">
        <f>IFERROR(VLOOKUP($C115,'PORTIFÓLIO'!C:V,5,0),"")</f>
        <v>📄 Ver bula</v>
      </c>
      <c r="H115" s="254">
        <f t="array" ref="H115">IFERROR(INDEX('PORTIFÓLIO'!$H$4:$H$433,MATCH($C115,'PORTIFÓLIO'!$C$4:$C$433,0)),"")</f>
        <v>0.6</v>
      </c>
      <c r="I115" s="255">
        <v>0.6</v>
      </c>
      <c r="J115" s="218">
        <f t="shared" ref="J115:J129" si="14">I115*$B$2</f>
        <v>132</v>
      </c>
      <c r="K115" s="219">
        <f t="array" ref="K115">IFERROR(I115*INDEX('PORTIFÓLIO'!$S$4:$S$433,MATCH($C115,'PORTIFÓLIO'!$C$4:$C$433,0)),"")</f>
        <v>80.119584</v>
      </c>
      <c r="L115" s="219">
        <f t="array" ref="L115">IFERROR(J115*INDEX('PORTIFÓLIO'!$S$4:$S$433,MATCH($C115,'PORTIFÓLIO'!$C$4:$C$433,0)),"")</f>
        <v>17626.30848</v>
      </c>
      <c r="M115" s="220"/>
      <c r="N115" s="220"/>
      <c r="O115" s="220"/>
      <c r="P115" s="220"/>
      <c r="Q115" s="220"/>
      <c r="R115" s="220"/>
      <c r="S115" s="220"/>
      <c r="T115" s="220"/>
      <c r="U115" s="220"/>
      <c r="V115" s="220"/>
      <c r="W115" s="220"/>
    </row>
    <row r="116" ht="15.75" customHeight="1" outlineLevel="1">
      <c r="A116" s="211"/>
      <c r="B116" s="212" t="s">
        <v>2</v>
      </c>
      <c r="C116" s="283" t="s">
        <v>792</v>
      </c>
      <c r="D116" s="214" t="str">
        <f>IFERROR(VLOOKUP($C116,'PORTIFÓLIO'!C:V,2,0),"")</f>
        <v>ESPINETORAM</v>
      </c>
      <c r="E116" s="211">
        <f>IFERROR(VLOOKUP($C116,'PORTIFÓLIO'!C:V,3,0),"")</f>
        <v>120</v>
      </c>
      <c r="F116" s="211" t="str">
        <f>IFERROR(VLOOKUP($C116,'PORTIFÓLIO'!C:V,4,0),"")</f>
        <v>KG</v>
      </c>
      <c r="G116" s="225" t="str">
        <f>IFERROR(VLOOKUP($C116,'PORTIFÓLIO'!C:V,5,0),"")</f>
        <v>📄 Ver bula</v>
      </c>
      <c r="H116" s="254">
        <f t="array" ref="H116">IFERROR(INDEX('PORTIFÓLIO'!$H$4:$H$433,MATCH($C116,'PORTIFÓLIO'!$C$4:$C$433,0)),"")</f>
        <v>0.15</v>
      </c>
      <c r="I116" s="255">
        <v>0.15</v>
      </c>
      <c r="J116" s="218">
        <f t="shared" si="14"/>
        <v>33</v>
      </c>
      <c r="K116" s="219">
        <f t="array" ref="K116">IFERROR(I116*INDEX('PORTIFÓLIO'!$S$4:$S$433,MATCH($C116,'PORTIFÓLIO'!$C$4:$C$433,0)),"")</f>
        <v>76.517109</v>
      </c>
      <c r="L116" s="219">
        <f t="array" ref="L116">IFERROR(J116*INDEX('PORTIFÓLIO'!$S$4:$S$433,MATCH($C116,'PORTIFÓLIO'!$C$4:$C$433,0)),"")</f>
        <v>16833.76398</v>
      </c>
      <c r="M116" s="220"/>
      <c r="N116" s="220"/>
      <c r="O116" s="220"/>
      <c r="P116" s="220"/>
      <c r="Q116" s="220"/>
      <c r="R116" s="220"/>
      <c r="S116" s="220"/>
      <c r="T116" s="220"/>
      <c r="U116" s="220"/>
      <c r="V116" s="220"/>
      <c r="W116" s="220"/>
    </row>
    <row r="117" ht="15.75" customHeight="1" outlineLevel="1">
      <c r="A117" s="211"/>
      <c r="B117" s="212" t="s">
        <v>2</v>
      </c>
      <c r="C117" s="283" t="s">
        <v>749</v>
      </c>
      <c r="D117" s="214" t="str">
        <f>IFERROR(VLOOKUP($C117,'PORTIFÓLIO'!C:V,2,0),"")</f>
        <v>IMIDACLOPRIDO + BIFENTRINA</v>
      </c>
      <c r="E117" s="211" t="str">
        <f>IFERROR(VLOOKUP($C117,'PORTIFÓLIO'!C:V,3,0),"")</f>
        <v>250 + 50</v>
      </c>
      <c r="F117" s="211" t="str">
        <f>IFERROR(VLOOKUP($C117,'PORTIFÓLIO'!C:V,4,0),"")</f>
        <v>KG</v>
      </c>
      <c r="G117" s="225" t="str">
        <f>IFERROR(VLOOKUP($C117,'PORTIFÓLIO'!C:V,5,0),"")</f>
        <v>📄 Ver bula</v>
      </c>
      <c r="H117" s="254">
        <f t="array" ref="H117">IFERROR(INDEX('PORTIFÓLIO'!$H$4:$H$433,MATCH($C117,'PORTIFÓLIO'!$C$4:$C$433,0)),"")</f>
        <v>0.4</v>
      </c>
      <c r="I117" s="255">
        <v>0.5</v>
      </c>
      <c r="J117" s="218">
        <f t="shared" si="14"/>
        <v>110</v>
      </c>
      <c r="K117" s="219">
        <f t="array" ref="K117">IFERROR(I117*INDEX('PORTIFÓLIO'!$S$4:$S$433,MATCH($C117,'PORTIFÓLIO'!$C$4:$C$433,0)),"")</f>
        <v>27.888165</v>
      </c>
      <c r="L117" s="219">
        <f t="array" ref="L117">IFERROR(J117*INDEX('PORTIFÓLIO'!$S$4:$S$433,MATCH($C117,'PORTIFÓLIO'!$C$4:$C$433,0)),"")</f>
        <v>6135.3963</v>
      </c>
      <c r="M117" s="220"/>
      <c r="N117" s="220"/>
      <c r="O117" s="220"/>
      <c r="P117" s="220"/>
      <c r="Q117" s="220"/>
      <c r="R117" s="220"/>
      <c r="S117" s="220"/>
      <c r="T117" s="220"/>
      <c r="U117" s="220"/>
      <c r="V117" s="220"/>
      <c r="W117" s="220"/>
    </row>
    <row r="118" ht="15.75" customHeight="1" outlineLevel="1">
      <c r="A118" s="211"/>
      <c r="B118" s="212" t="s">
        <v>6</v>
      </c>
      <c r="C118" s="283" t="s">
        <v>354</v>
      </c>
      <c r="D118" s="214" t="str">
        <f>IFERROR(VLOOKUP($C118,'PORTIFÓLIO'!C:V,2,0),"")</f>
        <v>OLEO MINERAL</v>
      </c>
      <c r="E118" s="211">
        <f>IFERROR(VLOOKUP($C118,'PORTIFÓLIO'!C:V,3,0),"")</f>
        <v>761</v>
      </c>
      <c r="F118" s="211" t="str">
        <f>IFERROR(VLOOKUP($C118,'PORTIFÓLIO'!C:V,4,0),"")</f>
        <v>L</v>
      </c>
      <c r="G118" s="225" t="str">
        <f>IFERROR(VLOOKUP($C118,'PORTIFÓLIO'!C:V,5,0),"")</f>
        <v>📄 Ver bula</v>
      </c>
      <c r="H118" s="254">
        <f t="array" ref="H118">IFERROR(INDEX('PORTIFÓLIO'!$H$4:$H$433,MATCH($C118,'PORTIFÓLIO'!$C$4:$C$433,0)),"")</f>
        <v>0.2</v>
      </c>
      <c r="I118" s="255">
        <v>0.2</v>
      </c>
      <c r="J118" s="218">
        <f t="shared" si="14"/>
        <v>44</v>
      </c>
      <c r="K118" s="219">
        <f t="array" ref="K118">IFERROR(I118*INDEX('PORTIFÓLIO'!$S$4:$S$433,MATCH($C118,'PORTIFÓLIO'!$C$4:$C$433,0)),"")</f>
        <v>3.206</v>
      </c>
      <c r="L118" s="219">
        <f t="array" ref="L118">IFERROR(J118*INDEX('PORTIFÓLIO'!$S$4:$S$433,MATCH($C118,'PORTIFÓLIO'!$C$4:$C$433,0)),"")</f>
        <v>705.32</v>
      </c>
      <c r="M118" s="220"/>
      <c r="N118" s="220"/>
      <c r="O118" s="220"/>
      <c r="P118" s="220"/>
      <c r="Q118" s="220"/>
      <c r="R118" s="220"/>
      <c r="S118" s="220"/>
      <c r="T118" s="220"/>
      <c r="U118" s="220"/>
      <c r="V118" s="220"/>
      <c r="W118" s="220"/>
    </row>
    <row r="119" ht="15.75" customHeight="1" outlineLevel="1">
      <c r="A119" s="211"/>
      <c r="B119" s="212" t="s">
        <v>0</v>
      </c>
      <c r="C119" s="283" t="s">
        <v>484</v>
      </c>
      <c r="D119" s="214" t="str">
        <f>IFERROR(VLOOKUP($C119,'PORTIFÓLIO'!C:V,2,0),"")</f>
        <v>MANCOZEBE</v>
      </c>
      <c r="E119" s="211">
        <f>IFERROR(VLOOKUP($C119,'PORTIFÓLIO'!C:V,3,0),"")</f>
        <v>750</v>
      </c>
      <c r="F119" s="211" t="str">
        <f>IFERROR(VLOOKUP($C119,'PORTIFÓLIO'!C:V,4,0),"")</f>
        <v>L</v>
      </c>
      <c r="G119" s="225" t="str">
        <f>IFERROR(VLOOKUP($C119,'PORTIFÓLIO'!C:V,5,0),"")</f>
        <v>📄 Ver bula</v>
      </c>
      <c r="H119" s="254">
        <f t="array" ref="H119">IFERROR(INDEX('PORTIFÓLIO'!$H$4:$H$433,MATCH($C119,'PORTIFÓLIO'!$C$4:$C$433,0)),"")</f>
        <v>1.5</v>
      </c>
      <c r="I119" s="255">
        <v>1.5</v>
      </c>
      <c r="J119" s="218">
        <f t="shared" si="14"/>
        <v>330</v>
      </c>
      <c r="K119" s="219">
        <f t="array" ref="K119">IFERROR(I119*INDEX('PORTIFÓLIO'!$S$4:$S$433,MATCH($C119,'PORTIFÓLIO'!$C$4:$C$433,0)),"")</f>
        <v>41.52168</v>
      </c>
      <c r="L119" s="219">
        <f t="array" ref="L119">IFERROR(J119*INDEX('PORTIFÓLIO'!$S$4:$S$433,MATCH($C119,'PORTIFÓLIO'!$C$4:$C$433,0)),"")</f>
        <v>9134.7696</v>
      </c>
      <c r="M119" s="220"/>
      <c r="N119" s="220"/>
      <c r="O119" s="220"/>
      <c r="P119" s="220"/>
      <c r="Q119" s="220"/>
      <c r="R119" s="220"/>
      <c r="S119" s="220"/>
      <c r="T119" s="220"/>
      <c r="U119" s="220"/>
      <c r="V119" s="220"/>
      <c r="W119" s="220"/>
    </row>
    <row r="120" ht="15.75" customHeight="1" outlineLevel="1">
      <c r="A120" s="211"/>
      <c r="B120" s="212"/>
      <c r="C120" s="213"/>
      <c r="D120" s="214" t="str">
        <f>IFERROR(VLOOKUP($C120,'PORTIFÓLIO'!C:V,2,0),"")</f>
        <v/>
      </c>
      <c r="E120" s="211" t="str">
        <f>IFERROR(VLOOKUP($C120,'PORTIFÓLIO'!C:V,3,0),"")</f>
        <v/>
      </c>
      <c r="F120" s="211" t="str">
        <f>IFERROR(VLOOKUP($C120,'PORTIFÓLIO'!C:V,4,0),"")</f>
        <v/>
      </c>
      <c r="G120" s="215" t="str">
        <f>IFERROR(VLOOKUP($C120,'PORTIFÓLIO'!C:V,5,0),"")</f>
        <v/>
      </c>
      <c r="H120" s="254" t="str">
        <f t="array" ref="H120">IFERROR(INDEX('PORTIFÓLIO'!$H$4:$H$433,MATCH($C120,'PORTIFÓLIO'!$C$4:$C$433,0)),"")</f>
        <v/>
      </c>
      <c r="I120" s="255"/>
      <c r="J120" s="218">
        <f t="shared" si="14"/>
        <v>0</v>
      </c>
      <c r="K120" s="219" t="str">
        <f t="array" ref="K120">IFERROR(I120*INDEX('PORTIFÓLIO'!$S$4:$S$433,MATCH($C120,'PORTIFÓLIO'!$C$4:$C$433,0)),"")</f>
        <v/>
      </c>
      <c r="L120" s="219" t="str">
        <f t="array" ref="L120">IFERROR(J120*INDEX('PORTIFÓLIO'!$S$4:$S$433,MATCH($C120,'PORTIFÓLIO'!$C$4:$C$433,0)),"")</f>
        <v/>
      </c>
      <c r="M120" s="220"/>
      <c r="N120" s="220"/>
      <c r="O120" s="220"/>
      <c r="P120" s="220"/>
      <c r="Q120" s="220"/>
      <c r="R120" s="220"/>
      <c r="S120" s="220"/>
      <c r="T120" s="220"/>
      <c r="U120" s="220"/>
      <c r="V120" s="220"/>
      <c r="W120" s="220"/>
    </row>
    <row r="121" ht="15.75" customHeight="1" outlineLevel="1">
      <c r="A121" s="211"/>
      <c r="B121" s="212"/>
      <c r="C121" s="213"/>
      <c r="D121" s="214" t="str">
        <f>IFERROR(VLOOKUP($C121,'PORTIFÓLIO'!C:V,2,0),"")</f>
        <v/>
      </c>
      <c r="E121" s="211" t="str">
        <f>IFERROR(VLOOKUP($C121,'PORTIFÓLIO'!C:V,3,0),"")</f>
        <v/>
      </c>
      <c r="F121" s="211" t="str">
        <f>IFERROR(VLOOKUP($C121,'PORTIFÓLIO'!C:V,4,0),"")</f>
        <v/>
      </c>
      <c r="G121" s="215" t="str">
        <f>IFERROR(VLOOKUP($C121,'PORTIFÓLIO'!C:V,5,0),"")</f>
        <v/>
      </c>
      <c r="H121" s="254" t="str">
        <f t="array" ref="H121">IFERROR(INDEX('PORTIFÓLIO'!$H$4:$H$433,MATCH($C121,'PORTIFÓLIO'!$C$4:$C$433,0)),"")</f>
        <v/>
      </c>
      <c r="I121" s="256"/>
      <c r="J121" s="218">
        <f t="shared" si="14"/>
        <v>0</v>
      </c>
      <c r="K121" s="219" t="str">
        <f t="array" ref="K121">IFERROR(I121*INDEX('PORTIFÓLIO'!$S$4:$S$433,MATCH($C121,'PORTIFÓLIO'!$C$4:$C$433,0)),"")</f>
        <v/>
      </c>
      <c r="L121" s="219" t="str">
        <f t="array" ref="L121">IFERROR(J121*INDEX('PORTIFÓLIO'!$S$4:$S$433,MATCH($C121,'PORTIFÓLIO'!$C$4:$C$433,0)),"")</f>
        <v/>
      </c>
      <c r="M121" s="220"/>
      <c r="N121" s="220"/>
      <c r="O121" s="220"/>
      <c r="P121" s="220"/>
      <c r="Q121" s="220"/>
      <c r="R121" s="220"/>
      <c r="S121" s="220"/>
      <c r="T121" s="220"/>
      <c r="U121" s="220"/>
      <c r="V121" s="220"/>
      <c r="W121" s="220"/>
    </row>
    <row r="122" ht="15.75" customHeight="1" outlineLevel="1">
      <c r="A122" s="211"/>
      <c r="B122" s="212"/>
      <c r="C122" s="213"/>
      <c r="D122" s="214" t="str">
        <f>IFERROR(VLOOKUP($C122,'PORTIFÓLIO'!C:V,2,0),"")</f>
        <v/>
      </c>
      <c r="E122" s="211" t="str">
        <f>IFERROR(VLOOKUP($C122,'PORTIFÓLIO'!C:V,3,0),"")</f>
        <v/>
      </c>
      <c r="F122" s="211" t="str">
        <f>IFERROR(VLOOKUP($C122,'PORTIFÓLIO'!C:V,4,0),"")</f>
        <v/>
      </c>
      <c r="G122" s="215" t="str">
        <f>IFERROR(VLOOKUP($C122,'PORTIFÓLIO'!C:V,5,0),"")</f>
        <v/>
      </c>
      <c r="H122" s="254" t="str">
        <f t="array" ref="H122">IFERROR(INDEX('PORTIFÓLIO'!$H$4:$H$433,MATCH($C122,'PORTIFÓLIO'!$C$4:$C$433,0)),"")</f>
        <v/>
      </c>
      <c r="I122" s="256"/>
      <c r="J122" s="218">
        <f t="shared" si="14"/>
        <v>0</v>
      </c>
      <c r="K122" s="219" t="str">
        <f t="array" ref="K122">IFERROR(I122*INDEX('PORTIFÓLIO'!$S$4:$S$433,MATCH($C122,'PORTIFÓLIO'!$C$4:$C$433,0)),"")</f>
        <v/>
      </c>
      <c r="L122" s="219" t="str">
        <f t="array" ref="L122">IFERROR(J122*INDEX('PORTIFÓLIO'!$S$4:$S$433,MATCH($C122,'PORTIFÓLIO'!$C$4:$C$433,0)),"")</f>
        <v/>
      </c>
      <c r="M122" s="220"/>
      <c r="N122" s="220"/>
      <c r="O122" s="220"/>
      <c r="P122" s="220"/>
      <c r="Q122" s="220"/>
      <c r="R122" s="220"/>
      <c r="S122" s="220"/>
      <c r="T122" s="220"/>
      <c r="U122" s="220"/>
      <c r="V122" s="220"/>
      <c r="W122" s="220"/>
    </row>
    <row r="123" ht="15.75" customHeight="1" outlineLevel="1">
      <c r="A123" s="211"/>
      <c r="B123" s="212"/>
      <c r="C123" s="213"/>
      <c r="D123" s="214" t="str">
        <f>IFERROR(VLOOKUP($C123,'PORTIFÓLIO'!C:V,2,0),"")</f>
        <v/>
      </c>
      <c r="E123" s="211" t="str">
        <f>IFERROR(VLOOKUP($C123,'PORTIFÓLIO'!C:V,3,0),"")</f>
        <v/>
      </c>
      <c r="F123" s="211" t="str">
        <f>IFERROR(VLOOKUP($C123,'PORTIFÓLIO'!C:V,4,0),"")</f>
        <v/>
      </c>
      <c r="G123" s="215" t="str">
        <f>IFERROR(VLOOKUP($C123,'PORTIFÓLIO'!C:V,5,0),"")</f>
        <v/>
      </c>
      <c r="H123" s="254" t="str">
        <f t="array" ref="H123">IFERROR(INDEX('PORTIFÓLIO'!$H$4:$H$433,MATCH($C123,'PORTIFÓLIO'!$C$4:$C$433,0)),"")</f>
        <v/>
      </c>
      <c r="I123" s="255"/>
      <c r="J123" s="218">
        <f t="shared" si="14"/>
        <v>0</v>
      </c>
      <c r="K123" s="219" t="str">
        <f t="array" ref="K123">IFERROR(I123*INDEX('PORTIFÓLIO'!$S$4:$S$433,MATCH($C123,'PORTIFÓLIO'!$C$4:$C$433,0)),"")</f>
        <v/>
      </c>
      <c r="L123" s="219" t="str">
        <f t="array" ref="L123">IFERROR(J123*INDEX('PORTIFÓLIO'!$S$4:$S$433,MATCH($C123,'PORTIFÓLIO'!$C$4:$C$433,0)),"")</f>
        <v/>
      </c>
      <c r="M123" s="220"/>
      <c r="N123" s="220"/>
      <c r="O123" s="220"/>
      <c r="P123" s="220"/>
      <c r="Q123" s="220"/>
      <c r="R123" s="220"/>
      <c r="S123" s="220"/>
      <c r="T123" s="220"/>
      <c r="U123" s="220"/>
      <c r="V123" s="220"/>
      <c r="W123" s="220"/>
    </row>
    <row r="124" ht="15.75" customHeight="1" outlineLevel="1">
      <c r="A124" s="211"/>
      <c r="B124" s="212"/>
      <c r="C124" s="213"/>
      <c r="D124" s="214" t="str">
        <f>IFERROR(VLOOKUP($C124,'PORTIFÓLIO'!C:V,2,0),"")</f>
        <v/>
      </c>
      <c r="E124" s="211" t="str">
        <f>IFERROR(VLOOKUP($C124,'PORTIFÓLIO'!C:V,3,0),"")</f>
        <v/>
      </c>
      <c r="F124" s="211" t="str">
        <f>IFERROR(VLOOKUP($C124,'PORTIFÓLIO'!C:V,4,0),"")</f>
        <v/>
      </c>
      <c r="G124" s="215" t="str">
        <f>IFERROR(VLOOKUP($C124,'PORTIFÓLIO'!C:V,5,0),"")</f>
        <v/>
      </c>
      <c r="H124" s="254" t="str">
        <f t="array" ref="H124">IFERROR(INDEX('PORTIFÓLIO'!$H$4:$H$433,MATCH($C124,'PORTIFÓLIO'!$C$4:$C$433,0)),"")</f>
        <v/>
      </c>
      <c r="I124" s="256"/>
      <c r="J124" s="218">
        <f t="shared" si="14"/>
        <v>0</v>
      </c>
      <c r="K124" s="219" t="str">
        <f t="array" ref="K124">IFERROR(I124*INDEX('PORTIFÓLIO'!$S$4:$S$433,MATCH($C124,'PORTIFÓLIO'!$C$4:$C$433,0)),"")</f>
        <v/>
      </c>
      <c r="L124" s="219" t="str">
        <f t="array" ref="L124">IFERROR(J124*INDEX('PORTIFÓLIO'!$S$4:$S$433,MATCH($C124,'PORTIFÓLIO'!$C$4:$C$433,0)),"")</f>
        <v/>
      </c>
      <c r="M124" s="220"/>
      <c r="N124" s="220"/>
      <c r="O124" s="220"/>
      <c r="P124" s="220"/>
      <c r="Q124" s="220"/>
      <c r="R124" s="220"/>
      <c r="S124" s="220"/>
      <c r="T124" s="220"/>
      <c r="U124" s="220"/>
      <c r="V124" s="220"/>
      <c r="W124" s="220"/>
    </row>
    <row r="125" ht="15.75" customHeight="1" outlineLevel="1">
      <c r="A125" s="211"/>
      <c r="B125" s="212"/>
      <c r="C125" s="213"/>
      <c r="D125" s="214" t="str">
        <f>IFERROR(VLOOKUP($C125,'PORTIFÓLIO'!C:V,2,0),"")</f>
        <v/>
      </c>
      <c r="E125" s="211" t="str">
        <f>IFERROR(VLOOKUP($C125,'PORTIFÓLIO'!C:V,3,0),"")</f>
        <v/>
      </c>
      <c r="F125" s="211" t="str">
        <f>IFERROR(VLOOKUP($C125,'PORTIFÓLIO'!C:V,4,0),"")</f>
        <v/>
      </c>
      <c r="G125" s="215" t="str">
        <f>IFERROR(VLOOKUP($C125,'PORTIFÓLIO'!C:V,5,0),"")</f>
        <v/>
      </c>
      <c r="H125" s="254" t="str">
        <f t="array" ref="H125">IFERROR(INDEX('PORTIFÓLIO'!$H$4:$H$433,MATCH($C125,'PORTIFÓLIO'!$C$4:$C$433,0)),"")</f>
        <v/>
      </c>
      <c r="I125" s="256"/>
      <c r="J125" s="218">
        <f t="shared" si="14"/>
        <v>0</v>
      </c>
      <c r="K125" s="219" t="str">
        <f t="array" ref="K125">IFERROR(I125*INDEX('PORTIFÓLIO'!$S$4:$S$433,MATCH($C125,'PORTIFÓLIO'!$C$4:$C$433,0)),"")</f>
        <v/>
      </c>
      <c r="L125" s="219" t="str">
        <f t="array" ref="L125">IFERROR(J125*INDEX('PORTIFÓLIO'!$S$4:$S$433,MATCH($C125,'PORTIFÓLIO'!$C$4:$C$433,0)),"")</f>
        <v/>
      </c>
      <c r="M125" s="220"/>
      <c r="N125" s="220"/>
      <c r="O125" s="220"/>
      <c r="P125" s="220"/>
      <c r="Q125" s="220"/>
      <c r="R125" s="220"/>
      <c r="S125" s="220"/>
      <c r="T125" s="220"/>
      <c r="U125" s="220"/>
      <c r="V125" s="220"/>
      <c r="W125" s="220"/>
    </row>
    <row r="126" ht="15.75" customHeight="1" outlineLevel="1">
      <c r="A126" s="211"/>
      <c r="B126" s="212"/>
      <c r="C126" s="213"/>
      <c r="D126" s="214" t="str">
        <f>IFERROR(VLOOKUP($C126,'PORTIFÓLIO'!C:V,2,0),"")</f>
        <v/>
      </c>
      <c r="E126" s="211" t="str">
        <f>IFERROR(VLOOKUP($C126,'PORTIFÓLIO'!C:V,3,0),"")</f>
        <v/>
      </c>
      <c r="F126" s="211" t="str">
        <f>IFERROR(VLOOKUP($C126,'PORTIFÓLIO'!C:V,4,0),"")</f>
        <v/>
      </c>
      <c r="G126" s="215" t="str">
        <f>IFERROR(VLOOKUP($C126,'PORTIFÓLIO'!C:V,5,0),"")</f>
        <v/>
      </c>
      <c r="H126" s="254" t="str">
        <f t="array" ref="H126">IFERROR(INDEX('PORTIFÓLIO'!$H$4:$H$433,MATCH($C126,'PORTIFÓLIO'!$C$4:$C$433,0)),"")</f>
        <v/>
      </c>
      <c r="I126" s="256"/>
      <c r="J126" s="218">
        <f t="shared" si="14"/>
        <v>0</v>
      </c>
      <c r="K126" s="219" t="str">
        <f t="array" ref="K126">IFERROR(I126*INDEX('PORTIFÓLIO'!$S$4:$S$433,MATCH($C126,'PORTIFÓLIO'!$C$4:$C$433,0)),"")</f>
        <v/>
      </c>
      <c r="L126" s="219" t="str">
        <f t="array" ref="L126">IFERROR(J126*INDEX('PORTIFÓLIO'!$S$4:$S$433,MATCH($C126,'PORTIFÓLIO'!$C$4:$C$433,0)),"")</f>
        <v/>
      </c>
      <c r="M126" s="220"/>
      <c r="N126" s="220"/>
      <c r="O126" s="220"/>
      <c r="P126" s="220"/>
      <c r="Q126" s="220"/>
      <c r="R126" s="220"/>
      <c r="S126" s="220"/>
      <c r="T126" s="220"/>
      <c r="U126" s="220"/>
      <c r="V126" s="220"/>
      <c r="W126" s="220"/>
    </row>
    <row r="127" ht="15.75" customHeight="1" outlineLevel="1">
      <c r="A127" s="211"/>
      <c r="B127" s="212"/>
      <c r="C127" s="213"/>
      <c r="D127" s="214" t="str">
        <f>IFERROR(VLOOKUP($C127,'PORTIFÓLIO'!C:V,2,0),"")</f>
        <v/>
      </c>
      <c r="E127" s="211" t="str">
        <f>IFERROR(VLOOKUP($C127,'PORTIFÓLIO'!C:V,3,0),"")</f>
        <v/>
      </c>
      <c r="F127" s="211" t="str">
        <f>IFERROR(VLOOKUP($C127,'PORTIFÓLIO'!C:V,4,0),"")</f>
        <v/>
      </c>
      <c r="G127" s="215" t="str">
        <f>IFERROR(VLOOKUP($C127,'PORTIFÓLIO'!C:V,5,0),"")</f>
        <v/>
      </c>
      <c r="H127" s="254" t="str">
        <f t="array" ref="H127">IFERROR(INDEX('PORTIFÓLIO'!$H$4:$H$433,MATCH($C127,'PORTIFÓLIO'!$C$4:$C$433,0)),"")</f>
        <v/>
      </c>
      <c r="I127" s="256"/>
      <c r="J127" s="218">
        <f t="shared" si="14"/>
        <v>0</v>
      </c>
      <c r="K127" s="219" t="str">
        <f t="array" ref="K127">IFERROR(I127*INDEX('PORTIFÓLIO'!$S$4:$S$433,MATCH($C127,'PORTIFÓLIO'!$C$4:$C$433,0)),"")</f>
        <v/>
      </c>
      <c r="L127" s="219" t="str">
        <f t="array" ref="L127">IFERROR(J127*INDEX('PORTIFÓLIO'!$S$4:$S$433,MATCH($C127,'PORTIFÓLIO'!$C$4:$C$433,0)),"")</f>
        <v/>
      </c>
      <c r="M127" s="220"/>
      <c r="N127" s="220"/>
      <c r="O127" s="220"/>
      <c r="P127" s="220"/>
      <c r="Q127" s="220"/>
      <c r="R127" s="220"/>
      <c r="S127" s="220"/>
      <c r="T127" s="220"/>
      <c r="U127" s="220"/>
      <c r="V127" s="220"/>
      <c r="W127" s="220"/>
    </row>
    <row r="128" ht="15.75" customHeight="1" outlineLevel="1">
      <c r="A128" s="211"/>
      <c r="B128" s="212"/>
      <c r="C128" s="213"/>
      <c r="D128" s="214" t="str">
        <f>IFERROR(VLOOKUP($C128,'PORTIFÓLIO'!C:V,2,0),"")</f>
        <v/>
      </c>
      <c r="E128" s="211" t="str">
        <f>IFERROR(VLOOKUP($C128,'PORTIFÓLIO'!C:V,3,0),"")</f>
        <v/>
      </c>
      <c r="F128" s="211" t="str">
        <f>IFERROR(VLOOKUP($C128,'PORTIFÓLIO'!C:V,4,0),"")</f>
        <v/>
      </c>
      <c r="G128" s="215" t="str">
        <f>IFERROR(VLOOKUP($C128,'PORTIFÓLIO'!C:V,5,0),"")</f>
        <v/>
      </c>
      <c r="H128" s="254" t="str">
        <f t="array" ref="H128">IFERROR(INDEX('PORTIFÓLIO'!$H$4:$H$433,MATCH($C128,'PORTIFÓLIO'!$C$4:$C$433,0)),"")</f>
        <v/>
      </c>
      <c r="I128" s="256"/>
      <c r="J128" s="218">
        <f t="shared" si="14"/>
        <v>0</v>
      </c>
      <c r="K128" s="219" t="str">
        <f t="array" ref="K128">IFERROR(I128*INDEX('PORTIFÓLIO'!$S$4:$S$433,MATCH($C128,'PORTIFÓLIO'!$C$4:$C$433,0)),"")</f>
        <v/>
      </c>
      <c r="L128" s="219" t="str">
        <f t="array" ref="L128">IFERROR(J128*INDEX('PORTIFÓLIO'!$S$4:$S$433,MATCH($C128,'PORTIFÓLIO'!$C$4:$C$433,0)),"")</f>
        <v/>
      </c>
      <c r="M128" s="220"/>
      <c r="N128" s="220"/>
      <c r="O128" s="220"/>
      <c r="P128" s="220"/>
      <c r="Q128" s="220"/>
      <c r="R128" s="220"/>
      <c r="S128" s="220"/>
      <c r="T128" s="220"/>
      <c r="U128" s="220"/>
      <c r="V128" s="220"/>
      <c r="W128" s="220"/>
    </row>
    <row r="129" ht="15.75" customHeight="1" outlineLevel="1">
      <c r="A129" s="211"/>
      <c r="B129" s="212"/>
      <c r="C129" s="213"/>
      <c r="D129" s="214" t="str">
        <f>IFERROR(VLOOKUP($C129,'PORTIFÓLIO'!C:V,2,0),"")</f>
        <v/>
      </c>
      <c r="E129" s="211" t="str">
        <f>IFERROR(VLOOKUP($C129,'PORTIFÓLIO'!C:V,3,0),"")</f>
        <v/>
      </c>
      <c r="F129" s="211" t="str">
        <f>IFERROR(VLOOKUP($C129,'PORTIFÓLIO'!C:V,4,0),"")</f>
        <v/>
      </c>
      <c r="G129" s="215" t="str">
        <f>IFERROR(VLOOKUP($C129,'PORTIFÓLIO'!C:V,5,0),"")</f>
        <v/>
      </c>
      <c r="H129" s="254" t="str">
        <f t="array" ref="H129">IFERROR(INDEX('PORTIFÓLIO'!$H$4:$H$433,MATCH($C129,'PORTIFÓLIO'!$C$4:$C$433,0)),"")</f>
        <v/>
      </c>
      <c r="I129" s="256"/>
      <c r="J129" s="218">
        <f t="shared" si="14"/>
        <v>0</v>
      </c>
      <c r="K129" s="219" t="str">
        <f t="array" ref="K129">IFERROR(I129*INDEX('PORTIFÓLIO'!$S$4:$S$433,MATCH($C129,'PORTIFÓLIO'!$C$4:$C$433,0)),"")</f>
        <v/>
      </c>
      <c r="L129" s="219" t="str">
        <f t="array" ref="L129">IFERROR(J129*INDEX('PORTIFÓLIO'!$S$4:$S$433,MATCH($C129,'PORTIFÓLIO'!$C$4:$C$433,0)),"")</f>
        <v/>
      </c>
      <c r="M129" s="220"/>
      <c r="N129" s="220"/>
      <c r="O129" s="220"/>
      <c r="P129" s="220"/>
      <c r="Q129" s="220"/>
      <c r="R129" s="220"/>
      <c r="S129" s="220"/>
      <c r="T129" s="220"/>
      <c r="U129" s="220"/>
      <c r="V129" s="220"/>
      <c r="W129" s="220"/>
    </row>
    <row r="130" ht="15.75" customHeight="1" outlineLevel="1">
      <c r="A130" s="211"/>
      <c r="B130" s="227"/>
      <c r="C130" s="211"/>
      <c r="D130" s="214" t="str">
        <f>IFERROR(VLOOKUP($C130,'PORTIFÓLIO'!C:V,2,0),"")</f>
        <v/>
      </c>
      <c r="E130" s="211" t="str">
        <f>IFERROR(VLOOKUP($C130,'PORTIFÓLIO'!C:V,3,0),"")</f>
        <v/>
      </c>
      <c r="F130" s="211" t="str">
        <f>IFERROR(VLOOKUP($C130,'PORTIFÓLIO'!C:V,4,0),"")</f>
        <v/>
      </c>
      <c r="G130" s="215" t="str">
        <f>IFERROR(VLOOKUP($C130,'PORTIFÓLIO'!C:V,5,0),"")</f>
        <v/>
      </c>
      <c r="H130" s="254" t="str">
        <f t="array" ref="H130">IFERROR(INDEX('PORTIFÓLIO'!$H$4:$H$433,MATCH($C130,'PORTIFÓLIO'!$C$4:$C$433,0)),"")</f>
        <v/>
      </c>
      <c r="I130" s="256"/>
      <c r="J130" s="218"/>
      <c r="K130" s="219" t="str">
        <f t="array" ref="K130">IFERROR(I130*INDEX('PORTIFÓLIO'!$S$4:$S$433,MATCH($C130,'PORTIFÓLIO'!$C$4:$C$433,0)),"")</f>
        <v/>
      </c>
      <c r="L130" s="219" t="str">
        <f t="array" ref="L130">IFERROR(J130*INDEX('PORTIFÓLIO'!$S$4:$S$433,MATCH($C130,'PORTIFÓLIO'!$C$4:$C$433,0)),"")</f>
        <v/>
      </c>
      <c r="M130" s="220"/>
      <c r="N130" s="220"/>
      <c r="O130" s="220"/>
      <c r="P130" s="220"/>
      <c r="Q130" s="220"/>
      <c r="R130" s="220"/>
      <c r="S130" s="220"/>
      <c r="T130" s="220"/>
      <c r="U130" s="220"/>
      <c r="V130" s="220"/>
      <c r="W130" s="220"/>
    </row>
    <row r="131" ht="15.75" customHeight="1">
      <c r="A131" s="229" t="s">
        <v>1191</v>
      </c>
      <c r="B131" s="230"/>
      <c r="C131" s="231"/>
      <c r="D131" s="232"/>
      <c r="E131" s="231"/>
      <c r="F131" s="231"/>
      <c r="G131" s="233"/>
      <c r="H131" s="233"/>
      <c r="I131" s="258"/>
      <c r="J131" s="236"/>
      <c r="K131" s="237">
        <f t="shared" ref="K131:L131" si="15">SUBTOTAL(9,K132:K145)</f>
        <v>64.99784</v>
      </c>
      <c r="L131" s="237">
        <f t="shared" si="15"/>
        <v>14299.5248</v>
      </c>
      <c r="M131" s="220"/>
      <c r="N131" s="220"/>
      <c r="O131" s="220"/>
      <c r="P131" s="220"/>
      <c r="Q131" s="220"/>
      <c r="R131" s="220"/>
      <c r="S131" s="220"/>
      <c r="T131" s="220"/>
      <c r="U131" s="220"/>
      <c r="V131" s="220"/>
      <c r="W131" s="220"/>
    </row>
    <row r="132" ht="15.75" customHeight="1" outlineLevel="1">
      <c r="A132" s="213"/>
      <c r="B132" s="212" t="s">
        <v>0</v>
      </c>
      <c r="C132" s="213" t="s">
        <v>470</v>
      </c>
      <c r="D132" s="214" t="str">
        <f>IFERROR(VLOOKUP($C132,'PORTIFÓLIO'!C:V,2,0),"")</f>
        <v>TRIFLOXISTROBINA + TEBUCONAZOL</v>
      </c>
      <c r="E132" s="211" t="str">
        <f>IFERROR(VLOOKUP($C132,'PORTIFÓLIO'!C:V,3,0),"")</f>
        <v>100 + 200</v>
      </c>
      <c r="F132" s="211" t="str">
        <f>IFERROR(VLOOKUP($C132,'PORTIFÓLIO'!C:V,4,0),"")</f>
        <v>L</v>
      </c>
      <c r="G132" s="225" t="str">
        <f>IFERROR(VLOOKUP($C132,'PORTIFÓLIO'!C:V,5,0),"")</f>
        <v>📄 Ver bula</v>
      </c>
      <c r="H132" s="254">
        <f t="array" ref="H132">IFERROR(INDEX('PORTIFÓLIO'!$H$4:$H$433,MATCH($C132,'PORTIFÓLIO'!$C$4:$C$433,0)),"")</f>
        <v>0.6</v>
      </c>
      <c r="I132" s="255">
        <v>1.0</v>
      </c>
      <c r="J132" s="218">
        <f t="shared" ref="J132:J146" si="16">I132*$B$2</f>
        <v>220</v>
      </c>
      <c r="K132" s="219">
        <f t="array" ref="K132">IFERROR(I132*INDEX('PORTIFÓLIO'!$S$4:$S$433,MATCH($C132,'PORTIFÓLIO'!$C$4:$C$433,0)),"")</f>
        <v>61.79184</v>
      </c>
      <c r="L132" s="219">
        <f t="array" ref="L132">IFERROR(J132*INDEX('PORTIFÓLIO'!$S$4:$S$433,MATCH($C132,'PORTIFÓLIO'!$C$4:$C$433,0)),"")</f>
        <v>13594.2048</v>
      </c>
      <c r="M132" s="220"/>
      <c r="N132" s="220"/>
      <c r="O132" s="220"/>
      <c r="P132" s="220"/>
      <c r="Q132" s="220"/>
      <c r="R132" s="220"/>
      <c r="S132" s="220"/>
      <c r="T132" s="220"/>
      <c r="U132" s="220"/>
      <c r="V132" s="220"/>
      <c r="W132" s="220"/>
    </row>
    <row r="133" ht="15.75" customHeight="1" outlineLevel="1">
      <c r="A133" s="211"/>
      <c r="B133" s="212" t="s">
        <v>6</v>
      </c>
      <c r="C133" s="213" t="s">
        <v>354</v>
      </c>
      <c r="D133" s="214" t="str">
        <f>IFERROR(VLOOKUP($C133,'PORTIFÓLIO'!C:V,2,0),"")</f>
        <v>OLEO MINERAL</v>
      </c>
      <c r="E133" s="211">
        <f>IFERROR(VLOOKUP($C133,'PORTIFÓLIO'!C:V,3,0),"")</f>
        <v>761</v>
      </c>
      <c r="F133" s="211" t="str">
        <f>IFERROR(VLOOKUP($C133,'PORTIFÓLIO'!C:V,4,0),"")</f>
        <v>L</v>
      </c>
      <c r="G133" s="225" t="str">
        <f>IFERROR(VLOOKUP($C133,'PORTIFÓLIO'!C:V,5,0),"")</f>
        <v>📄 Ver bula</v>
      </c>
      <c r="H133" s="254">
        <f t="array" ref="H133">IFERROR(INDEX('PORTIFÓLIO'!$H$4:$H$433,MATCH($C133,'PORTIFÓLIO'!$C$4:$C$433,0)),"")</f>
        <v>0.2</v>
      </c>
      <c r="I133" s="255">
        <v>0.2</v>
      </c>
      <c r="J133" s="218">
        <f t="shared" si="16"/>
        <v>44</v>
      </c>
      <c r="K133" s="219">
        <f t="array" ref="K133">IFERROR(I133*INDEX('PORTIFÓLIO'!$S$4:$S$433,MATCH($C133,'PORTIFÓLIO'!$C$4:$C$433,0)),"")</f>
        <v>3.206</v>
      </c>
      <c r="L133" s="219">
        <f t="array" ref="L133">IFERROR(J133*INDEX('PORTIFÓLIO'!$S$4:$S$433,MATCH($C133,'PORTIFÓLIO'!$C$4:$C$433,0)),"")</f>
        <v>705.32</v>
      </c>
      <c r="M133" s="220"/>
      <c r="N133" s="220"/>
      <c r="O133" s="220"/>
      <c r="P133" s="220"/>
      <c r="Q133" s="220"/>
      <c r="R133" s="220"/>
      <c r="S133" s="220"/>
      <c r="T133" s="220"/>
      <c r="U133" s="220"/>
      <c r="V133" s="220"/>
      <c r="W133" s="220"/>
    </row>
    <row r="134" ht="15.75" customHeight="1" outlineLevel="1">
      <c r="A134" s="211"/>
      <c r="B134" s="212"/>
      <c r="C134" s="213"/>
      <c r="D134" s="214" t="str">
        <f>IFERROR(VLOOKUP($C134,'PORTIFÓLIO'!C:V,2,0),"")</f>
        <v/>
      </c>
      <c r="E134" s="211" t="str">
        <f>IFERROR(VLOOKUP($C134,'PORTIFÓLIO'!C:V,3,0),"")</f>
        <v/>
      </c>
      <c r="F134" s="211" t="str">
        <f>IFERROR(VLOOKUP($C134,'PORTIFÓLIO'!C:V,4,0),"")</f>
        <v/>
      </c>
      <c r="G134" s="215" t="str">
        <f>IFERROR(VLOOKUP($C134,'PORTIFÓLIO'!C:V,5,0),"")</f>
        <v/>
      </c>
      <c r="H134" s="254" t="str">
        <f t="array" ref="H134">IFERROR(INDEX('PORTIFÓLIO'!$H$4:$H$433,MATCH($C134,'PORTIFÓLIO'!$C$4:$C$433,0)),"")</f>
        <v/>
      </c>
      <c r="I134" s="255"/>
      <c r="J134" s="218">
        <f t="shared" si="16"/>
        <v>0</v>
      </c>
      <c r="K134" s="219" t="str">
        <f t="array" ref="K134">IFERROR(I134*INDEX('PORTIFÓLIO'!$S$4:$S$433,MATCH($C134,'PORTIFÓLIO'!$C$4:$C$433,0)),"")</f>
        <v/>
      </c>
      <c r="L134" s="219" t="str">
        <f t="array" ref="L134">IFERROR(J134*INDEX('PORTIFÓLIO'!$S$4:$S$433,MATCH($C134,'PORTIFÓLIO'!$C$4:$C$433,0)),"")</f>
        <v/>
      </c>
      <c r="M134" s="220"/>
      <c r="N134" s="220"/>
      <c r="O134" s="220"/>
      <c r="P134" s="220"/>
      <c r="Q134" s="220"/>
      <c r="R134" s="220"/>
      <c r="S134" s="220"/>
      <c r="T134" s="220"/>
      <c r="U134" s="220"/>
      <c r="V134" s="220"/>
      <c r="W134" s="220"/>
    </row>
    <row r="135" ht="15.75" customHeight="1" outlineLevel="1">
      <c r="A135" s="211"/>
      <c r="B135" s="212"/>
      <c r="C135" s="213"/>
      <c r="D135" s="214" t="str">
        <f>IFERROR(VLOOKUP($C135,'PORTIFÓLIO'!C:V,2,0),"")</f>
        <v/>
      </c>
      <c r="E135" s="211" t="str">
        <f>IFERROR(VLOOKUP($C135,'PORTIFÓLIO'!C:V,3,0),"")</f>
        <v/>
      </c>
      <c r="F135" s="211" t="str">
        <f>IFERROR(VLOOKUP($C135,'PORTIFÓLIO'!C:V,4,0),"")</f>
        <v/>
      </c>
      <c r="G135" s="215" t="str">
        <f>IFERROR(VLOOKUP($C135,'PORTIFÓLIO'!C:V,5,0),"")</f>
        <v/>
      </c>
      <c r="H135" s="254" t="str">
        <f t="array" ref="H135">IFERROR(INDEX('PORTIFÓLIO'!$H$4:$H$433,MATCH($C135,'PORTIFÓLIO'!$C$4:$C$433,0)),"")</f>
        <v/>
      </c>
      <c r="I135" s="255"/>
      <c r="J135" s="218">
        <f t="shared" si="16"/>
        <v>0</v>
      </c>
      <c r="K135" s="219" t="str">
        <f t="array" ref="K135">IFERROR(I135*INDEX('PORTIFÓLIO'!$S$4:$S$433,MATCH($C135,'PORTIFÓLIO'!$C$4:$C$433,0)),"")</f>
        <v/>
      </c>
      <c r="L135" s="219" t="str">
        <f t="array" ref="L135">IFERROR(J135*INDEX('PORTIFÓLIO'!$S$4:$S$433,MATCH($C135,'PORTIFÓLIO'!$C$4:$C$433,0)),"")</f>
        <v/>
      </c>
      <c r="M135" s="220"/>
      <c r="N135" s="220"/>
      <c r="O135" s="220"/>
      <c r="P135" s="220"/>
      <c r="Q135" s="220"/>
      <c r="R135" s="220"/>
      <c r="S135" s="220"/>
      <c r="T135" s="220"/>
      <c r="U135" s="220"/>
      <c r="V135" s="220"/>
      <c r="W135" s="220"/>
    </row>
    <row r="136" ht="15.75" customHeight="1" outlineLevel="1">
      <c r="A136" s="211"/>
      <c r="B136" s="212"/>
      <c r="C136" s="213"/>
      <c r="D136" s="214" t="str">
        <f>IFERROR(VLOOKUP($C136,'PORTIFÓLIO'!C:V,2,0),"")</f>
        <v/>
      </c>
      <c r="E136" s="211" t="str">
        <f>IFERROR(VLOOKUP($C136,'PORTIFÓLIO'!C:V,3,0),"")</f>
        <v/>
      </c>
      <c r="F136" s="211" t="str">
        <f>IFERROR(VLOOKUP($C136,'PORTIFÓLIO'!C:V,4,0),"")</f>
        <v/>
      </c>
      <c r="G136" s="215" t="str">
        <f>IFERROR(VLOOKUP($C136,'PORTIFÓLIO'!C:V,5,0),"")</f>
        <v/>
      </c>
      <c r="H136" s="254" t="str">
        <f t="array" ref="H136">IFERROR(INDEX('PORTIFÓLIO'!$H$4:$H$433,MATCH($C136,'PORTIFÓLIO'!$C$4:$C$433,0)),"")</f>
        <v/>
      </c>
      <c r="I136" s="256"/>
      <c r="J136" s="218">
        <f t="shared" si="16"/>
        <v>0</v>
      </c>
      <c r="K136" s="219" t="str">
        <f t="array" ref="K136">IFERROR(I136*INDEX('PORTIFÓLIO'!$S$4:$S$433,MATCH($C136,'PORTIFÓLIO'!$C$4:$C$433,0)),"")</f>
        <v/>
      </c>
      <c r="L136" s="219" t="str">
        <f t="array" ref="L136">IFERROR(J136*INDEX('PORTIFÓLIO'!$S$4:$S$433,MATCH($C136,'PORTIFÓLIO'!$C$4:$C$433,0)),"")</f>
        <v/>
      </c>
      <c r="M136" s="220"/>
      <c r="N136" s="220"/>
      <c r="O136" s="220"/>
      <c r="P136" s="220"/>
      <c r="Q136" s="220"/>
      <c r="R136" s="220"/>
      <c r="S136" s="220"/>
      <c r="T136" s="220"/>
      <c r="U136" s="220"/>
      <c r="V136" s="220"/>
      <c r="W136" s="220"/>
    </row>
    <row r="137" ht="15.75" customHeight="1" outlineLevel="1">
      <c r="A137" s="211"/>
      <c r="B137" s="212"/>
      <c r="C137" s="213"/>
      <c r="D137" s="214" t="str">
        <f>IFERROR(VLOOKUP($C137,'PORTIFÓLIO'!C:V,2,0),"")</f>
        <v/>
      </c>
      <c r="E137" s="211" t="str">
        <f>IFERROR(VLOOKUP($C137,'PORTIFÓLIO'!C:V,3,0),"")</f>
        <v/>
      </c>
      <c r="F137" s="211" t="str">
        <f>IFERROR(VLOOKUP($C137,'PORTIFÓLIO'!C:V,4,0),"")</f>
        <v/>
      </c>
      <c r="G137" s="215" t="str">
        <f>IFERROR(VLOOKUP($C137,'PORTIFÓLIO'!C:V,5,0),"")</f>
        <v/>
      </c>
      <c r="H137" s="254" t="str">
        <f t="array" ref="H137">IFERROR(INDEX('PORTIFÓLIO'!$H$4:$H$433,MATCH($C137,'PORTIFÓLIO'!$C$4:$C$433,0)),"")</f>
        <v/>
      </c>
      <c r="I137" s="256"/>
      <c r="J137" s="218">
        <f t="shared" si="16"/>
        <v>0</v>
      </c>
      <c r="K137" s="219" t="str">
        <f t="array" ref="K137">IFERROR(I137*INDEX('PORTIFÓLIO'!$S$4:$S$433,MATCH($C137,'PORTIFÓLIO'!$C$4:$C$433,0)),"")</f>
        <v/>
      </c>
      <c r="L137" s="219" t="str">
        <f t="array" ref="L137">IFERROR(J137*INDEX('PORTIFÓLIO'!$S$4:$S$433,MATCH($C137,'PORTIFÓLIO'!$C$4:$C$433,0)),"")</f>
        <v/>
      </c>
      <c r="M137" s="220"/>
      <c r="N137" s="220"/>
      <c r="O137" s="220"/>
      <c r="P137" s="220"/>
      <c r="Q137" s="220"/>
      <c r="R137" s="220"/>
      <c r="S137" s="220"/>
      <c r="T137" s="220"/>
      <c r="U137" s="220"/>
      <c r="V137" s="220"/>
      <c r="W137" s="220"/>
    </row>
    <row r="138" ht="15.75" customHeight="1" outlineLevel="1">
      <c r="A138" s="211"/>
      <c r="B138" s="212"/>
      <c r="C138" s="213"/>
      <c r="D138" s="214" t="str">
        <f>IFERROR(VLOOKUP($C138,'PORTIFÓLIO'!C:V,2,0),"")</f>
        <v/>
      </c>
      <c r="E138" s="211" t="str">
        <f>IFERROR(VLOOKUP($C138,'PORTIFÓLIO'!C:V,3,0),"")</f>
        <v/>
      </c>
      <c r="F138" s="211" t="str">
        <f>IFERROR(VLOOKUP($C138,'PORTIFÓLIO'!C:V,4,0),"")</f>
        <v/>
      </c>
      <c r="G138" s="215" t="str">
        <f>IFERROR(VLOOKUP($C138,'PORTIFÓLIO'!C:V,5,0),"")</f>
        <v/>
      </c>
      <c r="H138" s="254" t="str">
        <f t="array" ref="H138">IFERROR(INDEX('PORTIFÓLIO'!$H$4:$H$433,MATCH($C138,'PORTIFÓLIO'!$C$4:$C$433,0)),"")</f>
        <v/>
      </c>
      <c r="I138" s="256"/>
      <c r="J138" s="218">
        <f t="shared" si="16"/>
        <v>0</v>
      </c>
      <c r="K138" s="219" t="str">
        <f t="array" ref="K138">IFERROR(I138*INDEX('PORTIFÓLIO'!$S$4:$S$433,MATCH($C138,'PORTIFÓLIO'!$C$4:$C$433,0)),"")</f>
        <v/>
      </c>
      <c r="L138" s="219" t="str">
        <f t="array" ref="L138">IFERROR(J138*INDEX('PORTIFÓLIO'!$S$4:$S$433,MATCH($C138,'PORTIFÓLIO'!$C$4:$C$433,0)),"")</f>
        <v/>
      </c>
      <c r="M138" s="220"/>
      <c r="N138" s="220"/>
      <c r="O138" s="220"/>
      <c r="P138" s="220"/>
      <c r="Q138" s="220"/>
      <c r="R138" s="220"/>
      <c r="S138" s="220"/>
      <c r="T138" s="220"/>
      <c r="U138" s="220"/>
      <c r="V138" s="220"/>
      <c r="W138" s="220"/>
    </row>
    <row r="139" ht="15.75" customHeight="1" outlineLevel="1">
      <c r="A139" s="211"/>
      <c r="B139" s="212"/>
      <c r="C139" s="213"/>
      <c r="D139" s="214" t="str">
        <f>IFERROR(VLOOKUP($C139,'PORTIFÓLIO'!C:V,2,0),"")</f>
        <v/>
      </c>
      <c r="E139" s="211" t="str">
        <f>IFERROR(VLOOKUP($C139,'PORTIFÓLIO'!C:V,3,0),"")</f>
        <v/>
      </c>
      <c r="F139" s="211" t="str">
        <f>IFERROR(VLOOKUP($C139,'PORTIFÓLIO'!C:V,4,0),"")</f>
        <v/>
      </c>
      <c r="G139" s="215" t="str">
        <f>IFERROR(VLOOKUP($C139,'PORTIFÓLIO'!C:V,5,0),"")</f>
        <v/>
      </c>
      <c r="H139" s="254" t="str">
        <f t="array" ref="H139">IFERROR(INDEX('PORTIFÓLIO'!$H$4:$H$433,MATCH($C139,'PORTIFÓLIO'!$C$4:$C$433,0)),"")</f>
        <v/>
      </c>
      <c r="I139" s="256"/>
      <c r="J139" s="218">
        <f t="shared" si="16"/>
        <v>0</v>
      </c>
      <c r="K139" s="219" t="str">
        <f t="array" ref="K139">IFERROR(I139*INDEX('PORTIFÓLIO'!$S$4:$S$433,MATCH($C139,'PORTIFÓLIO'!$C$4:$C$433,0)),"")</f>
        <v/>
      </c>
      <c r="L139" s="219" t="str">
        <f t="array" ref="L139">IFERROR(J139*INDEX('PORTIFÓLIO'!$S$4:$S$433,MATCH($C139,'PORTIFÓLIO'!$C$4:$C$433,0)),"")</f>
        <v/>
      </c>
      <c r="M139" s="220"/>
      <c r="N139" s="220"/>
      <c r="O139" s="220"/>
      <c r="P139" s="220"/>
      <c r="Q139" s="220"/>
      <c r="R139" s="220"/>
      <c r="S139" s="220"/>
      <c r="T139" s="220"/>
      <c r="U139" s="220"/>
      <c r="V139" s="220"/>
      <c r="W139" s="220"/>
    </row>
    <row r="140" ht="15.75" customHeight="1" outlineLevel="1">
      <c r="A140" s="211"/>
      <c r="B140" s="212"/>
      <c r="C140" s="213"/>
      <c r="D140" s="214" t="str">
        <f>IFERROR(VLOOKUP($C140,'PORTIFÓLIO'!C:V,2,0),"")</f>
        <v/>
      </c>
      <c r="E140" s="211" t="str">
        <f>IFERROR(VLOOKUP($C140,'PORTIFÓLIO'!C:V,3,0),"")</f>
        <v/>
      </c>
      <c r="F140" s="211" t="str">
        <f>IFERROR(VLOOKUP($C140,'PORTIFÓLIO'!C:V,4,0),"")</f>
        <v/>
      </c>
      <c r="G140" s="215" t="str">
        <f>IFERROR(VLOOKUP($C140,'PORTIFÓLIO'!C:V,5,0),"")</f>
        <v/>
      </c>
      <c r="H140" s="254" t="str">
        <f t="array" ref="H140">IFERROR(INDEX('PORTIFÓLIO'!$H$4:$H$433,MATCH($C140,'PORTIFÓLIO'!$C$4:$C$433,0)),"")</f>
        <v/>
      </c>
      <c r="I140" s="255"/>
      <c r="J140" s="218">
        <f t="shared" si="16"/>
        <v>0</v>
      </c>
      <c r="K140" s="219" t="str">
        <f t="array" ref="K140">IFERROR(I140*INDEX('PORTIFÓLIO'!$S$4:$S$433,MATCH($C140,'PORTIFÓLIO'!$C$4:$C$433,0)),"")</f>
        <v/>
      </c>
      <c r="L140" s="219" t="str">
        <f t="array" ref="L140">IFERROR(J140*INDEX('PORTIFÓLIO'!$S$4:$S$433,MATCH($C140,'PORTIFÓLIO'!$C$4:$C$433,0)),"")</f>
        <v/>
      </c>
      <c r="M140" s="220"/>
      <c r="N140" s="220"/>
      <c r="O140" s="220"/>
      <c r="P140" s="220"/>
      <c r="Q140" s="220"/>
      <c r="R140" s="220"/>
      <c r="S140" s="220"/>
      <c r="T140" s="220"/>
      <c r="U140" s="220"/>
      <c r="V140" s="220"/>
      <c r="W140" s="220"/>
    </row>
    <row r="141" ht="15.75" customHeight="1" outlineLevel="1">
      <c r="A141" s="211"/>
      <c r="B141" s="212"/>
      <c r="C141" s="213"/>
      <c r="D141" s="214" t="str">
        <f>IFERROR(VLOOKUP($C141,'PORTIFÓLIO'!C:V,2,0),"")</f>
        <v/>
      </c>
      <c r="E141" s="211" t="str">
        <f>IFERROR(VLOOKUP($C141,'PORTIFÓLIO'!C:V,3,0),"")</f>
        <v/>
      </c>
      <c r="F141" s="211" t="str">
        <f>IFERROR(VLOOKUP($C141,'PORTIFÓLIO'!C:V,4,0),"")</f>
        <v/>
      </c>
      <c r="G141" s="215" t="str">
        <f>IFERROR(VLOOKUP($C141,'PORTIFÓLIO'!C:V,5,0),"")</f>
        <v/>
      </c>
      <c r="H141" s="254" t="str">
        <f t="array" ref="H141">IFERROR(INDEX('PORTIFÓLIO'!$H$4:$H$433,MATCH($C141,'PORTIFÓLIO'!$C$4:$C$433,0)),"")</f>
        <v/>
      </c>
      <c r="I141" s="256"/>
      <c r="J141" s="218">
        <f t="shared" si="16"/>
        <v>0</v>
      </c>
      <c r="K141" s="219" t="str">
        <f t="array" ref="K141">IFERROR(I141*INDEX('PORTIFÓLIO'!$S$4:$S$433,MATCH($C141,'PORTIFÓLIO'!$C$4:$C$433,0)),"")</f>
        <v/>
      </c>
      <c r="L141" s="219" t="str">
        <f t="array" ref="L141">IFERROR(J141*INDEX('PORTIFÓLIO'!$S$4:$S$433,MATCH($C141,'PORTIFÓLIO'!$C$4:$C$433,0)),"")</f>
        <v/>
      </c>
      <c r="M141" s="220"/>
      <c r="N141" s="220"/>
      <c r="O141" s="220"/>
      <c r="P141" s="220"/>
      <c r="Q141" s="220"/>
      <c r="R141" s="220"/>
      <c r="S141" s="220"/>
      <c r="T141" s="220"/>
      <c r="U141" s="220"/>
      <c r="V141" s="220"/>
      <c r="W141" s="220"/>
    </row>
    <row r="142" ht="15.75" customHeight="1" outlineLevel="1">
      <c r="A142" s="211"/>
      <c r="B142" s="212"/>
      <c r="C142" s="213"/>
      <c r="D142" s="214" t="str">
        <f>IFERROR(VLOOKUP($C142,'PORTIFÓLIO'!C:V,2,0),"")</f>
        <v/>
      </c>
      <c r="E142" s="211" t="str">
        <f>IFERROR(VLOOKUP($C142,'PORTIFÓLIO'!C:V,3,0),"")</f>
        <v/>
      </c>
      <c r="F142" s="211" t="str">
        <f>IFERROR(VLOOKUP($C142,'PORTIFÓLIO'!C:V,4,0),"")</f>
        <v/>
      </c>
      <c r="G142" s="215" t="str">
        <f>IFERROR(VLOOKUP($C142,'PORTIFÓLIO'!C:V,5,0),"")</f>
        <v/>
      </c>
      <c r="H142" s="254" t="str">
        <f t="array" ref="H142">IFERROR(INDEX('PORTIFÓLIO'!$H$4:$H$433,MATCH($C142,'PORTIFÓLIO'!$C$4:$C$433,0)),"")</f>
        <v/>
      </c>
      <c r="I142" s="256"/>
      <c r="J142" s="218">
        <f t="shared" si="16"/>
        <v>0</v>
      </c>
      <c r="K142" s="219" t="str">
        <f t="array" ref="K142">IFERROR(I142*INDEX('PORTIFÓLIO'!$S$4:$S$433,MATCH($C142,'PORTIFÓLIO'!$C$4:$C$433,0)),"")</f>
        <v/>
      </c>
      <c r="L142" s="219" t="str">
        <f t="array" ref="L142">IFERROR(J142*INDEX('PORTIFÓLIO'!$S$4:$S$433,MATCH($C142,'PORTIFÓLIO'!$C$4:$C$433,0)),"")</f>
        <v/>
      </c>
      <c r="M142" s="220"/>
      <c r="N142" s="220"/>
      <c r="O142" s="220"/>
      <c r="P142" s="220"/>
      <c r="Q142" s="220"/>
      <c r="R142" s="220"/>
      <c r="S142" s="220"/>
      <c r="T142" s="220"/>
      <c r="U142" s="220"/>
      <c r="V142" s="220"/>
      <c r="W142" s="220"/>
    </row>
    <row r="143" ht="15.75" customHeight="1" outlineLevel="1">
      <c r="A143" s="211"/>
      <c r="B143" s="212"/>
      <c r="C143" s="213"/>
      <c r="D143" s="214" t="str">
        <f>IFERROR(VLOOKUP($C143,'PORTIFÓLIO'!C:V,2,0),"")</f>
        <v/>
      </c>
      <c r="E143" s="211" t="str">
        <f>IFERROR(VLOOKUP($C143,'PORTIFÓLIO'!C:V,3,0),"")</f>
        <v/>
      </c>
      <c r="F143" s="211" t="str">
        <f>IFERROR(VLOOKUP($C143,'PORTIFÓLIO'!C:V,4,0),"")</f>
        <v/>
      </c>
      <c r="G143" s="215" t="str">
        <f>IFERROR(VLOOKUP($C143,'PORTIFÓLIO'!C:V,5,0),"")</f>
        <v/>
      </c>
      <c r="H143" s="254" t="str">
        <f t="array" ref="H143">IFERROR(INDEX('PORTIFÓLIO'!$H$4:$H$433,MATCH($C143,'PORTIFÓLIO'!$C$4:$C$433,0)),"")</f>
        <v/>
      </c>
      <c r="I143" s="256"/>
      <c r="J143" s="218">
        <f t="shared" si="16"/>
        <v>0</v>
      </c>
      <c r="K143" s="219" t="str">
        <f t="array" ref="K143">IFERROR(I143*INDEX('PORTIFÓLIO'!$S$4:$S$433,MATCH($C143,'PORTIFÓLIO'!$C$4:$C$433,0)),"")</f>
        <v/>
      </c>
      <c r="L143" s="219" t="str">
        <f t="array" ref="L143">IFERROR(J143*INDEX('PORTIFÓLIO'!$S$4:$S$433,MATCH($C143,'PORTIFÓLIO'!$C$4:$C$433,0)),"")</f>
        <v/>
      </c>
      <c r="M143" s="220"/>
      <c r="N143" s="220"/>
      <c r="O143" s="220"/>
      <c r="P143" s="220"/>
      <c r="Q143" s="220"/>
      <c r="R143" s="220"/>
      <c r="S143" s="220"/>
      <c r="T143" s="220"/>
      <c r="U143" s="220"/>
      <c r="V143" s="220"/>
      <c r="W143" s="220"/>
    </row>
    <row r="144" ht="15.75" customHeight="1" outlineLevel="1">
      <c r="A144" s="211"/>
      <c r="B144" s="212"/>
      <c r="C144" s="213"/>
      <c r="D144" s="214" t="str">
        <f>IFERROR(VLOOKUP($C144,'PORTIFÓLIO'!C:V,2,0),"")</f>
        <v/>
      </c>
      <c r="E144" s="211" t="str">
        <f>IFERROR(VLOOKUP($C144,'PORTIFÓLIO'!C:V,3,0),"")</f>
        <v/>
      </c>
      <c r="F144" s="211" t="str">
        <f>IFERROR(VLOOKUP($C144,'PORTIFÓLIO'!C:V,4,0),"")</f>
        <v/>
      </c>
      <c r="G144" s="215" t="str">
        <f>IFERROR(VLOOKUP($C144,'PORTIFÓLIO'!C:V,5,0),"")</f>
        <v/>
      </c>
      <c r="H144" s="254" t="str">
        <f t="array" ref="H144">IFERROR(INDEX('PORTIFÓLIO'!$H$4:$H$433,MATCH($C144,'PORTIFÓLIO'!$C$4:$C$433,0)),"")</f>
        <v/>
      </c>
      <c r="I144" s="256"/>
      <c r="J144" s="218">
        <f t="shared" si="16"/>
        <v>0</v>
      </c>
      <c r="K144" s="219" t="str">
        <f t="array" ref="K144">IFERROR(I144*INDEX('PORTIFÓLIO'!$S$4:$S$433,MATCH($C144,'PORTIFÓLIO'!$C$4:$C$433,0)),"")</f>
        <v/>
      </c>
      <c r="L144" s="219" t="str">
        <f t="array" ref="L144">IFERROR(J144*INDEX('PORTIFÓLIO'!$S$4:$S$433,MATCH($C144,'PORTIFÓLIO'!$C$4:$C$433,0)),"")</f>
        <v/>
      </c>
      <c r="M144" s="220"/>
      <c r="N144" s="220"/>
      <c r="O144" s="220"/>
      <c r="P144" s="220"/>
      <c r="Q144" s="220"/>
      <c r="R144" s="220"/>
      <c r="S144" s="220"/>
      <c r="T144" s="220"/>
      <c r="U144" s="220"/>
      <c r="V144" s="220"/>
      <c r="W144" s="220"/>
    </row>
    <row r="145" ht="15.75" customHeight="1" outlineLevel="1">
      <c r="A145" s="211"/>
      <c r="B145" s="212"/>
      <c r="C145" s="213"/>
      <c r="D145" s="214" t="str">
        <f>IFERROR(VLOOKUP($C145,'PORTIFÓLIO'!C:V,2,0),"")</f>
        <v/>
      </c>
      <c r="E145" s="211" t="str">
        <f>IFERROR(VLOOKUP($C145,'PORTIFÓLIO'!C:V,3,0),"")</f>
        <v/>
      </c>
      <c r="F145" s="211" t="str">
        <f>IFERROR(VLOOKUP($C145,'PORTIFÓLIO'!C:V,4,0),"")</f>
        <v/>
      </c>
      <c r="G145" s="215" t="str">
        <f>IFERROR(VLOOKUP($C145,'PORTIFÓLIO'!C:V,5,0),"")</f>
        <v/>
      </c>
      <c r="H145" s="254" t="str">
        <f t="array" ref="H145">IFERROR(INDEX('PORTIFÓLIO'!$H$4:$H$433,MATCH($C145,'PORTIFÓLIO'!$C$4:$C$433,0)),"")</f>
        <v/>
      </c>
      <c r="I145" s="256"/>
      <c r="J145" s="218">
        <f t="shared" si="16"/>
        <v>0</v>
      </c>
      <c r="K145" s="219" t="str">
        <f t="array" ref="K145">IFERROR(I145*INDEX('PORTIFÓLIO'!$S$4:$S$433,MATCH($C145,'PORTIFÓLIO'!$C$4:$C$433,0)),"")</f>
        <v/>
      </c>
      <c r="L145" s="219" t="str">
        <f t="array" ref="L145">IFERROR(J145*INDEX('PORTIFÓLIO'!$S$4:$S$433,MATCH($C145,'PORTIFÓLIO'!$C$4:$C$433,0)),"")</f>
        <v/>
      </c>
      <c r="M145" s="220"/>
      <c r="N145" s="220"/>
      <c r="O145" s="220"/>
      <c r="P145" s="220"/>
      <c r="Q145" s="220"/>
      <c r="R145" s="220"/>
      <c r="S145" s="220"/>
      <c r="T145" s="220"/>
      <c r="U145" s="220"/>
      <c r="V145" s="220"/>
      <c r="W145" s="220"/>
    </row>
    <row r="146" ht="15.75" customHeight="1" outlineLevel="1">
      <c r="A146" s="211"/>
      <c r="B146" s="212"/>
      <c r="C146" s="213"/>
      <c r="D146" s="214" t="str">
        <f>IFERROR(VLOOKUP($C146,'PORTIFÓLIO'!C:V,2,0),"")</f>
        <v/>
      </c>
      <c r="E146" s="211" t="str">
        <f>IFERROR(VLOOKUP($C146,'PORTIFÓLIO'!C:V,3,0),"")</f>
        <v/>
      </c>
      <c r="F146" s="211" t="str">
        <f>IFERROR(VLOOKUP($C146,'PORTIFÓLIO'!C:V,4,0),"")</f>
        <v/>
      </c>
      <c r="G146" s="215" t="str">
        <f>IFERROR(VLOOKUP($C146,'PORTIFÓLIO'!C:V,5,0),"")</f>
        <v/>
      </c>
      <c r="H146" s="254" t="str">
        <f t="array" ref="H146">IFERROR(INDEX('PORTIFÓLIO'!$H$4:$H$433,MATCH($C146,'PORTIFÓLIO'!$C$4:$C$433,0)),"")</f>
        <v/>
      </c>
      <c r="I146" s="256"/>
      <c r="J146" s="218">
        <f t="shared" si="16"/>
        <v>0</v>
      </c>
      <c r="K146" s="219" t="str">
        <f t="array" ref="K146">IFERROR(I146*INDEX('PORTIFÓLIO'!$S$4:$S$433,MATCH($C146,'PORTIFÓLIO'!$C$4:$C$433,0)),"")</f>
        <v/>
      </c>
      <c r="L146" s="219" t="str">
        <f t="array" ref="L146">IFERROR(J146*INDEX('PORTIFÓLIO'!$S$4:$S$433,MATCH($C146,'PORTIFÓLIO'!$C$4:$C$433,0)),"")</f>
        <v/>
      </c>
      <c r="M146" s="220"/>
      <c r="N146" s="220"/>
      <c r="O146" s="220"/>
      <c r="P146" s="220"/>
      <c r="Q146" s="220"/>
      <c r="R146" s="220"/>
      <c r="S146" s="220"/>
      <c r="T146" s="220"/>
      <c r="U146" s="220"/>
      <c r="V146" s="220"/>
      <c r="W146" s="220"/>
    </row>
    <row r="147" ht="15.75" customHeight="1" outlineLevel="1">
      <c r="A147" s="211"/>
      <c r="B147" s="227"/>
      <c r="C147" s="211"/>
      <c r="D147" s="214" t="str">
        <f>IFERROR(VLOOKUP($C147,'PORTIFÓLIO'!C:V,2,0),"")</f>
        <v/>
      </c>
      <c r="E147" s="211" t="str">
        <f>IFERROR(VLOOKUP($C147,'PORTIFÓLIO'!C:V,3,0),"")</f>
        <v/>
      </c>
      <c r="F147" s="211" t="str">
        <f>IFERROR(VLOOKUP($C147,'PORTIFÓLIO'!C:V,4,0),"")</f>
        <v/>
      </c>
      <c r="G147" s="215" t="str">
        <f>IFERROR(VLOOKUP($C147,'PORTIFÓLIO'!C:V,5,0),"")</f>
        <v/>
      </c>
      <c r="H147" s="254" t="str">
        <f t="array" ref="H147">IFERROR(INDEX('PORTIFÓLIO'!$H$4:$H$433,MATCH($C147,'PORTIFÓLIO'!$C$4:$C$433,0)),"")</f>
        <v/>
      </c>
      <c r="I147" s="256"/>
      <c r="J147" s="218"/>
      <c r="K147" s="219" t="str">
        <f t="array" ref="K147">IFERROR(I147*INDEX('PORTIFÓLIO'!$S$4:$S$433,MATCH($C147,'PORTIFÓLIO'!$C$4:$C$433,0)),"")</f>
        <v/>
      </c>
      <c r="L147" s="219" t="str">
        <f t="array" ref="L147">IFERROR(J147*INDEX('PORTIFÓLIO'!$S$4:$S$433,MATCH($C147,'PORTIFÓLIO'!$C$4:$C$433,0)),"")</f>
        <v/>
      </c>
      <c r="M147" s="220"/>
      <c r="N147" s="220"/>
      <c r="O147" s="220"/>
      <c r="P147" s="220"/>
      <c r="Q147" s="220"/>
      <c r="R147" s="220"/>
      <c r="S147" s="220"/>
      <c r="T147" s="220"/>
      <c r="U147" s="220"/>
      <c r="V147" s="220"/>
      <c r="W147" s="220"/>
    </row>
    <row r="148" ht="15.75" customHeight="1">
      <c r="A148" s="229" t="s">
        <v>1192</v>
      </c>
      <c r="B148" s="230"/>
      <c r="C148" s="231"/>
      <c r="D148" s="232"/>
      <c r="E148" s="231"/>
      <c r="F148" s="231"/>
      <c r="G148" s="233"/>
      <c r="H148" s="233"/>
      <c r="I148" s="258"/>
      <c r="J148" s="236"/>
      <c r="K148" s="237">
        <f t="shared" ref="K148:L148" si="17">SUBTOTAL(9,K149:K162)</f>
        <v>448.5</v>
      </c>
      <c r="L148" s="237">
        <f t="shared" si="17"/>
        <v>98670</v>
      </c>
      <c r="M148" s="220"/>
      <c r="N148" s="220"/>
      <c r="O148" s="220"/>
      <c r="P148" s="220"/>
      <c r="Q148" s="220"/>
      <c r="R148" s="220"/>
      <c r="S148" s="220"/>
      <c r="T148" s="220"/>
      <c r="U148" s="220"/>
      <c r="V148" s="220"/>
      <c r="W148" s="220"/>
    </row>
    <row r="149" ht="15.75" customHeight="1" outlineLevel="1">
      <c r="A149" s="213"/>
      <c r="B149" s="212" t="s">
        <v>10</v>
      </c>
      <c r="C149" s="294" t="s">
        <v>1207</v>
      </c>
      <c r="D149" s="214" t="str">
        <f>IFERROR(VLOOKUP($C149,'PORTIFÓLIO'!C:V,2,0),"")</f>
        <v/>
      </c>
      <c r="E149" s="211" t="str">
        <f>IFERROR(VLOOKUP($C149,'PORTIFÓLIO'!C:V,3,0),"")</f>
        <v/>
      </c>
      <c r="F149" s="211" t="str">
        <f>IFERROR(VLOOKUP($C149,'PORTIFÓLIO'!C:V,4,0),"")</f>
        <v>R$/Ha</v>
      </c>
      <c r="G149" s="215" t="str">
        <f>IFERROR(VLOOKUP($C149,'PORTIFÓLIO'!C:V,5,0),"")</f>
        <v/>
      </c>
      <c r="H149" s="254">
        <f t="array" ref="H149">IFERROR(INDEX('PORTIFÓLIO'!$H$4:$H$433,MATCH($C149,'PORTIFÓLIO'!$C$4:$C$433,0)),"")</f>
        <v>0.4753416518</v>
      </c>
      <c r="I149" s="255">
        <v>0.47</v>
      </c>
      <c r="J149" s="218">
        <f t="shared" ref="J149:J163" si="18">I149*$B$2</f>
        <v>103.4</v>
      </c>
      <c r="K149" s="219">
        <f t="array" ref="K149">IFERROR(I149*INDEX('PORTIFÓLIO'!$S$4:$S$433,MATCH($C149,'PORTIFÓLIO'!$C$4:$C$433,0)),"")</f>
        <v>141</v>
      </c>
      <c r="L149" s="219">
        <f t="array" ref="L149">IFERROR(J149*INDEX('PORTIFÓLIO'!$S$4:$S$433,MATCH($C149,'PORTIFÓLIO'!$C$4:$C$433,0)),"")</f>
        <v>31020</v>
      </c>
      <c r="M149" s="220"/>
      <c r="N149" s="220"/>
      <c r="O149" s="220"/>
      <c r="P149" s="220"/>
      <c r="Q149" s="220"/>
      <c r="R149" s="220"/>
      <c r="S149" s="220"/>
      <c r="T149" s="220"/>
      <c r="U149" s="220"/>
      <c r="V149" s="220"/>
      <c r="W149" s="220"/>
    </row>
    <row r="150" ht="15.75" customHeight="1" outlineLevel="1">
      <c r="A150" s="211"/>
      <c r="B150" s="212" t="s">
        <v>10</v>
      </c>
      <c r="C150" s="294" t="s">
        <v>1195</v>
      </c>
      <c r="D150" s="214" t="str">
        <f>IFERROR(VLOOKUP($C150,'PORTIFÓLIO'!C:V,2,0),"")</f>
        <v/>
      </c>
      <c r="E150" s="211" t="str">
        <f>IFERROR(VLOOKUP($C150,'PORTIFÓLIO'!C:V,3,0),"")</f>
        <v/>
      </c>
      <c r="F150" s="211" t="str">
        <f>IFERROR(VLOOKUP($C150,'PORTIFÓLIO'!C:V,4,0),"")</f>
        <v>R$/Ha</v>
      </c>
      <c r="G150" s="215" t="str">
        <f>IFERROR(VLOOKUP($C150,'PORTIFÓLIO'!C:V,5,0),"")</f>
        <v/>
      </c>
      <c r="H150" s="254">
        <f t="array" ref="H150">IFERROR(INDEX('PORTIFÓLIO'!$H$4:$H$433,MATCH($C150,'PORTIFÓLIO'!$C$4:$C$433,0)),"")</f>
        <v>0.3267973856</v>
      </c>
      <c r="I150" s="255">
        <v>0.32</v>
      </c>
      <c r="J150" s="218">
        <f t="shared" si="18"/>
        <v>70.4</v>
      </c>
      <c r="K150" s="219">
        <f t="array" ref="K150">IFERROR(I150*INDEX('PORTIFÓLIO'!$S$4:$S$433,MATCH($C150,'PORTIFÓLIO'!$C$4:$C$433,0)),"")</f>
        <v>36</v>
      </c>
      <c r="L150" s="219">
        <f t="array" ref="L150">IFERROR(J150*INDEX('PORTIFÓLIO'!$S$4:$S$433,MATCH($C150,'PORTIFÓLIO'!$C$4:$C$433,0)),"")</f>
        <v>7920</v>
      </c>
      <c r="M150" s="220"/>
      <c r="N150" s="220"/>
      <c r="O150" s="220"/>
      <c r="P150" s="220"/>
      <c r="Q150" s="220"/>
      <c r="R150" s="220"/>
      <c r="S150" s="220"/>
      <c r="T150" s="220"/>
      <c r="U150" s="220"/>
      <c r="V150" s="220"/>
      <c r="W150" s="220"/>
    </row>
    <row r="151" ht="15.75" customHeight="1" outlineLevel="1">
      <c r="A151" s="211"/>
      <c r="B151" s="212" t="s">
        <v>10</v>
      </c>
      <c r="C151" s="294" t="s">
        <v>1196</v>
      </c>
      <c r="D151" s="214" t="str">
        <f>IFERROR(VLOOKUP($C151,'PORTIFÓLIO'!C:V,2,0),"")</f>
        <v/>
      </c>
      <c r="E151" s="211" t="str">
        <f>IFERROR(VLOOKUP($C151,'PORTIFÓLIO'!C:V,3,0),"")</f>
        <v/>
      </c>
      <c r="F151" s="211" t="str">
        <f>IFERROR(VLOOKUP($C151,'PORTIFÓLIO'!C:V,4,0),"")</f>
        <v>R$/Ha</v>
      </c>
      <c r="G151" s="215" t="str">
        <f>IFERROR(VLOOKUP($C151,'PORTIFÓLIO'!C:V,5,0),"")</f>
        <v/>
      </c>
      <c r="H151" s="254">
        <f t="array" ref="H151">IFERROR(INDEX('PORTIFÓLIO'!$H$4:$H$433,MATCH($C151,'PORTIFÓLIO'!$C$4:$C$433,0)),"")</f>
        <v>0.04901960784</v>
      </c>
      <c r="I151" s="255">
        <v>0.2</v>
      </c>
      <c r="J151" s="218">
        <f t="shared" si="18"/>
        <v>44</v>
      </c>
      <c r="K151" s="219">
        <f t="array" ref="K151">IFERROR(I151*INDEX('PORTIFÓLIO'!$S$4:$S$433,MATCH($C151,'PORTIFÓLIO'!$C$4:$C$433,0)),"")</f>
        <v>22.5</v>
      </c>
      <c r="L151" s="219">
        <f t="array" ref="L151">IFERROR(J151*INDEX('PORTIFÓLIO'!$S$4:$S$433,MATCH($C151,'PORTIFÓLIO'!$C$4:$C$433,0)),"")</f>
        <v>4950</v>
      </c>
      <c r="M151" s="220"/>
      <c r="N151" s="220"/>
      <c r="O151" s="220"/>
      <c r="P151" s="220"/>
      <c r="Q151" s="220"/>
      <c r="R151" s="220"/>
      <c r="S151" s="220"/>
      <c r="T151" s="220"/>
      <c r="U151" s="220"/>
      <c r="V151" s="220"/>
      <c r="W151" s="220"/>
    </row>
    <row r="152" ht="15.75" customHeight="1" outlineLevel="1">
      <c r="A152" s="211"/>
      <c r="B152" s="212" t="s">
        <v>10</v>
      </c>
      <c r="C152" s="294" t="s">
        <v>1198</v>
      </c>
      <c r="D152" s="214" t="str">
        <f>IFERROR(VLOOKUP($C152,'PORTIFÓLIO'!C:V,2,0),"")</f>
        <v/>
      </c>
      <c r="E152" s="211" t="str">
        <f>IFERROR(VLOOKUP($C152,'PORTIFÓLIO'!C:V,3,0),"")</f>
        <v/>
      </c>
      <c r="F152" s="211" t="str">
        <f>IFERROR(VLOOKUP($C152,'PORTIFÓLIO'!C:V,4,0),"")</f>
        <v>R$/Ha</v>
      </c>
      <c r="G152" s="215" t="str">
        <f>IFERROR(VLOOKUP($C152,'PORTIFÓLIO'!C:V,5,0),"")</f>
        <v/>
      </c>
      <c r="H152" s="254">
        <f t="array" ref="H152">IFERROR(INDEX('PORTIFÓLIO'!$H$4:$H$433,MATCH($C152,'PORTIFÓLIO'!$C$4:$C$433,0)),"")</f>
        <v>0.006666666667</v>
      </c>
      <c r="I152" s="255">
        <v>0.03</v>
      </c>
      <c r="J152" s="218">
        <f t="shared" si="18"/>
        <v>6.6</v>
      </c>
      <c r="K152" s="219">
        <f t="array" ref="K152">IFERROR(I152*INDEX('PORTIFÓLIO'!$S$4:$S$433,MATCH($C152,'PORTIFÓLIO'!$C$4:$C$433,0)),"")</f>
        <v>150</v>
      </c>
      <c r="L152" s="219">
        <f t="array" ref="L152">IFERROR(J152*INDEX('PORTIFÓLIO'!$S$4:$S$433,MATCH($C152,'PORTIFÓLIO'!$C$4:$C$433,0)),"")</f>
        <v>33000</v>
      </c>
      <c r="M152" s="220"/>
      <c r="N152" s="220"/>
      <c r="O152" s="220"/>
      <c r="P152" s="220"/>
      <c r="Q152" s="220"/>
      <c r="R152" s="220"/>
      <c r="S152" s="220"/>
      <c r="T152" s="220"/>
      <c r="U152" s="220"/>
      <c r="V152" s="220"/>
      <c r="W152" s="220"/>
    </row>
    <row r="153" ht="15.75" customHeight="1" outlineLevel="1">
      <c r="A153" s="211"/>
      <c r="B153" s="212" t="s">
        <v>10</v>
      </c>
      <c r="C153" s="294" t="s">
        <v>1208</v>
      </c>
      <c r="D153" s="214" t="str">
        <f>IFERROR(VLOOKUP($C153,'PORTIFÓLIO'!C:V,2,0),"")</f>
        <v/>
      </c>
      <c r="E153" s="211" t="str">
        <f>IFERROR(VLOOKUP($C153,'PORTIFÓLIO'!C:V,3,0),"")</f>
        <v/>
      </c>
      <c r="F153" s="211" t="str">
        <f>IFERROR(VLOOKUP($C153,'PORTIFÓLIO'!C:V,4,0),"")</f>
        <v>R$/Ha</v>
      </c>
      <c r="G153" s="215" t="str">
        <f>IFERROR(VLOOKUP($C153,'PORTIFÓLIO'!C:V,5,0),"")</f>
        <v/>
      </c>
      <c r="H153" s="254">
        <f t="array" ref="H153">IFERROR(INDEX('PORTIFÓLIO'!$H$4:$H$433,MATCH($C153,'PORTIFÓLIO'!$C$4:$C$433,0)),"")</f>
        <v>0.2139037433</v>
      </c>
      <c r="I153" s="255">
        <v>0.21</v>
      </c>
      <c r="J153" s="218">
        <f t="shared" si="18"/>
        <v>46.2</v>
      </c>
      <c r="K153" s="219">
        <f t="array" ref="K153">IFERROR(I153*INDEX('PORTIFÓLIO'!$S$4:$S$433,MATCH($C153,'PORTIFÓLIO'!$C$4:$C$433,0)),"")</f>
        <v>63</v>
      </c>
      <c r="L153" s="219">
        <f t="array" ref="L153">IFERROR(J153*INDEX('PORTIFÓLIO'!$S$4:$S$433,MATCH($C153,'PORTIFÓLIO'!$C$4:$C$433,0)),"")</f>
        <v>13860</v>
      </c>
      <c r="M153" s="220"/>
      <c r="N153" s="220"/>
      <c r="O153" s="220"/>
      <c r="P153" s="220"/>
      <c r="Q153" s="220"/>
      <c r="R153" s="220"/>
      <c r="S153" s="220"/>
      <c r="T153" s="220"/>
      <c r="U153" s="220"/>
      <c r="V153" s="220"/>
      <c r="W153" s="220"/>
    </row>
    <row r="154" ht="15.75" customHeight="1" outlineLevel="1">
      <c r="A154" s="211"/>
      <c r="B154" s="212" t="s">
        <v>10</v>
      </c>
      <c r="C154" s="294" t="s">
        <v>1199</v>
      </c>
      <c r="D154" s="214" t="str">
        <f>IFERROR(VLOOKUP($C154,'PORTIFÓLIO'!C:V,2,0),"")</f>
        <v/>
      </c>
      <c r="E154" s="211" t="str">
        <f>IFERROR(VLOOKUP($C154,'PORTIFÓLIO'!C:V,3,0),"")</f>
        <v/>
      </c>
      <c r="F154" s="211" t="str">
        <f>IFERROR(VLOOKUP($C154,'PORTIFÓLIO'!C:V,4,0),"")</f>
        <v>R$/Ha</v>
      </c>
      <c r="G154" s="215" t="str">
        <f>IFERROR(VLOOKUP($C154,'PORTIFÓLIO'!C:V,5,0),"")</f>
        <v/>
      </c>
      <c r="H154" s="254">
        <f t="array" ref="H154">IFERROR(INDEX('PORTIFÓLIO'!$H$4:$H$433,MATCH($C154,'PORTIFÓLIO'!$C$4:$C$433,0)),"")</f>
        <v>0.08169934641</v>
      </c>
      <c r="I154" s="255">
        <v>0.08</v>
      </c>
      <c r="J154" s="218">
        <f t="shared" si="18"/>
        <v>17.6</v>
      </c>
      <c r="K154" s="219">
        <f t="array" ref="K154">IFERROR(I154*INDEX('PORTIFÓLIO'!$S$4:$S$433,MATCH($C154,'PORTIFÓLIO'!$C$4:$C$433,0)),"")</f>
        <v>36</v>
      </c>
      <c r="L154" s="219">
        <f t="array" ref="L154">IFERROR(J154*INDEX('PORTIFÓLIO'!$S$4:$S$433,MATCH($C154,'PORTIFÓLIO'!$C$4:$C$433,0)),"")</f>
        <v>7920</v>
      </c>
      <c r="M154" s="220"/>
      <c r="N154" s="220"/>
      <c r="O154" s="220"/>
      <c r="P154" s="220"/>
      <c r="Q154" s="220"/>
      <c r="R154" s="220"/>
      <c r="S154" s="220"/>
      <c r="T154" s="220"/>
      <c r="U154" s="220"/>
      <c r="V154" s="220"/>
      <c r="W154" s="220"/>
    </row>
    <row r="155" ht="15.75" customHeight="1" outlineLevel="1">
      <c r="A155" s="211"/>
      <c r="B155" s="212" t="s">
        <v>10</v>
      </c>
      <c r="C155" s="294"/>
      <c r="D155" s="214" t="str">
        <f>IFERROR(VLOOKUP($C155,'PORTIFÓLIO'!C:V,2,0),"")</f>
        <v/>
      </c>
      <c r="E155" s="211" t="str">
        <f>IFERROR(VLOOKUP($C155,'PORTIFÓLIO'!C:V,3,0),"")</f>
        <v/>
      </c>
      <c r="F155" s="211" t="str">
        <f>IFERROR(VLOOKUP($C155,'PORTIFÓLIO'!C:V,4,0),"")</f>
        <v/>
      </c>
      <c r="G155" s="215" t="str">
        <f>IFERROR(VLOOKUP($C155,'PORTIFÓLIO'!C:V,5,0),"")</f>
        <v/>
      </c>
      <c r="H155" s="254" t="str">
        <f t="array" ref="H155">IFERROR(INDEX('PORTIFÓLIO'!$H$4:$H$433,MATCH($C155,'PORTIFÓLIO'!$C$4:$C$433,0)),"")</f>
        <v/>
      </c>
      <c r="I155" s="255"/>
      <c r="J155" s="218">
        <f t="shared" si="18"/>
        <v>0</v>
      </c>
      <c r="K155" s="219" t="str">
        <f t="array" ref="K155">IFERROR(I155*INDEX('PORTIFÓLIO'!$S$4:$S$433,MATCH($C155,'PORTIFÓLIO'!$C$4:$C$433,0)),"")</f>
        <v/>
      </c>
      <c r="L155" s="219" t="str">
        <f t="array" ref="L155">IFERROR(J155*INDEX('PORTIFÓLIO'!$S$4:$S$433,MATCH($C155,'PORTIFÓLIO'!$C$4:$C$433,0)),"")</f>
        <v/>
      </c>
      <c r="M155" s="220"/>
      <c r="N155" s="220"/>
      <c r="O155" s="220"/>
      <c r="P155" s="220"/>
      <c r="Q155" s="220"/>
      <c r="R155" s="220"/>
      <c r="S155" s="220"/>
      <c r="T155" s="220"/>
      <c r="U155" s="220"/>
      <c r="V155" s="220"/>
      <c r="W155" s="220"/>
    </row>
    <row r="156" ht="15.75" customHeight="1" outlineLevel="1">
      <c r="A156" s="211"/>
      <c r="B156" s="212" t="s">
        <v>10</v>
      </c>
      <c r="C156" s="294"/>
      <c r="D156" s="214" t="str">
        <f>IFERROR(VLOOKUP($C156,'PORTIFÓLIO'!C:V,2,0),"")</f>
        <v/>
      </c>
      <c r="E156" s="211" t="str">
        <f>IFERROR(VLOOKUP($C156,'PORTIFÓLIO'!C:V,3,0),"")</f>
        <v/>
      </c>
      <c r="F156" s="211" t="str">
        <f>IFERROR(VLOOKUP($C156,'PORTIFÓLIO'!C:V,4,0),"")</f>
        <v/>
      </c>
      <c r="G156" s="215" t="str">
        <f>IFERROR(VLOOKUP($C156,'PORTIFÓLIO'!C:V,5,0),"")</f>
        <v/>
      </c>
      <c r="H156" s="254" t="str">
        <f t="array" ref="H156">IFERROR(INDEX('PORTIFÓLIO'!$H$4:$H$433,MATCH($C156,'PORTIFÓLIO'!$C$4:$C$433,0)),"")</f>
        <v/>
      </c>
      <c r="I156" s="255"/>
      <c r="J156" s="218">
        <f t="shared" si="18"/>
        <v>0</v>
      </c>
      <c r="K156" s="219" t="str">
        <f t="array" ref="K156">IFERROR(I156*INDEX('PORTIFÓLIO'!$S$4:$S$433,MATCH($C156,'PORTIFÓLIO'!$C$4:$C$433,0)),"")</f>
        <v/>
      </c>
      <c r="L156" s="219" t="str">
        <f t="array" ref="L156">IFERROR(J156*INDEX('PORTIFÓLIO'!$S$4:$S$433,MATCH($C156,'PORTIFÓLIO'!$C$4:$C$433,0)),"")</f>
        <v/>
      </c>
      <c r="M156" s="220"/>
      <c r="N156" s="220"/>
      <c r="O156" s="220"/>
      <c r="P156" s="220"/>
      <c r="Q156" s="220"/>
      <c r="R156" s="220"/>
      <c r="S156" s="220"/>
      <c r="T156" s="220"/>
      <c r="U156" s="220"/>
      <c r="V156" s="220"/>
      <c r="W156" s="220"/>
    </row>
    <row r="157" ht="15.75" customHeight="1" outlineLevel="1">
      <c r="A157" s="211"/>
      <c r="B157" s="212" t="s">
        <v>10</v>
      </c>
      <c r="C157" s="294"/>
      <c r="D157" s="214" t="str">
        <f>IFERROR(VLOOKUP($C157,'PORTIFÓLIO'!C:V,2,0),"")</f>
        <v/>
      </c>
      <c r="E157" s="211" t="str">
        <f>IFERROR(VLOOKUP($C157,'PORTIFÓLIO'!C:V,3,0),"")</f>
        <v/>
      </c>
      <c r="F157" s="211" t="str">
        <f>IFERROR(VLOOKUP($C157,'PORTIFÓLIO'!C:V,4,0),"")</f>
        <v/>
      </c>
      <c r="G157" s="215" t="str">
        <f>IFERROR(VLOOKUP($C157,'PORTIFÓLIO'!C:V,5,0),"")</f>
        <v/>
      </c>
      <c r="H157" s="254" t="str">
        <f t="array" ref="H157">IFERROR(INDEX('PORTIFÓLIO'!$H$4:$H$433,MATCH($C157,'PORTIFÓLIO'!$C$4:$C$433,0)),"")</f>
        <v/>
      </c>
      <c r="I157" s="255"/>
      <c r="J157" s="218">
        <f t="shared" si="18"/>
        <v>0</v>
      </c>
      <c r="K157" s="219" t="str">
        <f t="array" ref="K157">IFERROR(I157*INDEX('PORTIFÓLIO'!$S$4:$S$433,MATCH($C157,'PORTIFÓLIO'!$C$4:$C$433,0)),"")</f>
        <v/>
      </c>
      <c r="L157" s="219" t="str">
        <f t="array" ref="L157">IFERROR(J157*INDEX('PORTIFÓLIO'!$S$4:$S$433,MATCH($C157,'PORTIFÓLIO'!$C$4:$C$433,0)),"")</f>
        <v/>
      </c>
      <c r="M157" s="220"/>
      <c r="N157" s="220"/>
      <c r="O157" s="220"/>
      <c r="P157" s="220"/>
      <c r="Q157" s="220"/>
      <c r="R157" s="220"/>
      <c r="S157" s="220"/>
      <c r="T157" s="220"/>
      <c r="U157" s="220"/>
      <c r="V157" s="220"/>
      <c r="W157" s="220"/>
    </row>
    <row r="158" ht="15.75" customHeight="1" outlineLevel="1">
      <c r="A158" s="211"/>
      <c r="B158" s="212" t="s">
        <v>10</v>
      </c>
      <c r="C158" s="294"/>
      <c r="D158" s="214" t="str">
        <f>IFERROR(VLOOKUP($C158,'PORTIFÓLIO'!C:V,2,0),"")</f>
        <v/>
      </c>
      <c r="E158" s="211" t="str">
        <f>IFERROR(VLOOKUP($C158,'PORTIFÓLIO'!C:V,3,0),"")</f>
        <v/>
      </c>
      <c r="F158" s="211" t="str">
        <f>IFERROR(VLOOKUP($C158,'PORTIFÓLIO'!C:V,4,0),"")</f>
        <v/>
      </c>
      <c r="G158" s="215" t="str">
        <f>IFERROR(VLOOKUP($C158,'PORTIFÓLIO'!C:V,5,0),"")</f>
        <v/>
      </c>
      <c r="H158" s="254" t="str">
        <f t="array" ref="H158">IFERROR(INDEX('PORTIFÓLIO'!$H$4:$H$433,MATCH($C158,'PORTIFÓLIO'!$C$4:$C$433,0)),"")</f>
        <v/>
      </c>
      <c r="I158" s="255"/>
      <c r="J158" s="218">
        <f t="shared" si="18"/>
        <v>0</v>
      </c>
      <c r="K158" s="219" t="str">
        <f t="array" ref="K158">IFERROR(I158*INDEX('PORTIFÓLIO'!$S$4:$S$433,MATCH($C158,'PORTIFÓLIO'!$C$4:$C$433,0)),"")</f>
        <v/>
      </c>
      <c r="L158" s="219" t="str">
        <f t="array" ref="L158">IFERROR(J158*INDEX('PORTIFÓLIO'!$S$4:$S$433,MATCH($C158,'PORTIFÓLIO'!$C$4:$C$433,0)),"")</f>
        <v/>
      </c>
      <c r="M158" s="220"/>
      <c r="N158" s="220"/>
      <c r="O158" s="220"/>
      <c r="P158" s="220"/>
      <c r="Q158" s="220"/>
      <c r="R158" s="220"/>
      <c r="S158" s="220"/>
      <c r="T158" s="220"/>
      <c r="U158" s="220"/>
      <c r="V158" s="220"/>
      <c r="W158" s="220"/>
    </row>
    <row r="159" ht="15.75" customHeight="1" outlineLevel="1">
      <c r="A159" s="211"/>
      <c r="B159" s="212" t="s">
        <v>0</v>
      </c>
      <c r="C159" s="294"/>
      <c r="D159" s="214" t="str">
        <f>IFERROR(VLOOKUP($C159,'PORTIFÓLIO'!C:V,2,0),"")</f>
        <v/>
      </c>
      <c r="E159" s="211" t="str">
        <f>IFERROR(VLOOKUP($C159,'PORTIFÓLIO'!C:V,3,0),"")</f>
        <v/>
      </c>
      <c r="F159" s="211" t="str">
        <f>IFERROR(VLOOKUP($C159,'PORTIFÓLIO'!C:V,4,0),"")</f>
        <v/>
      </c>
      <c r="G159" s="215" t="str">
        <f>IFERROR(VLOOKUP($C159,'PORTIFÓLIO'!C:V,5,0),"")</f>
        <v/>
      </c>
      <c r="H159" s="254" t="str">
        <f t="array" ref="H159">IFERROR(INDEX('PORTIFÓLIO'!$H$4:$H$433,MATCH($C159,'PORTIFÓLIO'!$C$4:$C$433,0)),"")</f>
        <v/>
      </c>
      <c r="I159" s="256"/>
      <c r="J159" s="218">
        <f t="shared" si="18"/>
        <v>0</v>
      </c>
      <c r="K159" s="219" t="str">
        <f t="array" ref="K159">IFERROR(I159*INDEX('PORTIFÓLIO'!$S$4:$S$433,MATCH($C159,'PORTIFÓLIO'!$C$4:$C$433,0)),"")</f>
        <v/>
      </c>
      <c r="L159" s="219" t="str">
        <f t="array" ref="L159">IFERROR(J159*INDEX('PORTIFÓLIO'!$S$4:$S$433,MATCH($C159,'PORTIFÓLIO'!$C$4:$C$433,0)),"")</f>
        <v/>
      </c>
      <c r="M159" s="220"/>
      <c r="N159" s="220"/>
      <c r="O159" s="220"/>
      <c r="P159" s="220"/>
      <c r="Q159" s="220"/>
      <c r="R159" s="220"/>
      <c r="S159" s="220"/>
      <c r="T159" s="220"/>
      <c r="U159" s="220"/>
      <c r="V159" s="220"/>
      <c r="W159" s="220"/>
    </row>
    <row r="160" ht="15.75" customHeight="1" outlineLevel="1">
      <c r="A160" s="211"/>
      <c r="B160" s="212"/>
      <c r="C160" s="294"/>
      <c r="D160" s="214" t="str">
        <f>IFERROR(VLOOKUP($C160,'PORTIFÓLIO'!C:V,2,0),"")</f>
        <v/>
      </c>
      <c r="E160" s="211" t="str">
        <f>IFERROR(VLOOKUP($C160,'PORTIFÓLIO'!C:V,3,0),"")</f>
        <v/>
      </c>
      <c r="F160" s="211" t="str">
        <f>IFERROR(VLOOKUP($C160,'PORTIFÓLIO'!C:V,4,0),"")</f>
        <v/>
      </c>
      <c r="G160" s="215" t="str">
        <f>IFERROR(VLOOKUP($C160,'PORTIFÓLIO'!C:V,5,0),"")</f>
        <v/>
      </c>
      <c r="H160" s="254" t="str">
        <f t="array" ref="H160">IFERROR(INDEX('PORTIFÓLIO'!$H$4:$H$433,MATCH($C160,'PORTIFÓLIO'!$C$4:$C$433,0)),"")</f>
        <v/>
      </c>
      <c r="I160" s="256"/>
      <c r="J160" s="218">
        <f t="shared" si="18"/>
        <v>0</v>
      </c>
      <c r="K160" s="219" t="str">
        <f t="array" ref="K160">IFERROR(I160*INDEX('PORTIFÓLIO'!$S$4:$S$433,MATCH($C160,'PORTIFÓLIO'!$C$4:$C$433,0)),"")</f>
        <v/>
      </c>
      <c r="L160" s="219" t="str">
        <f t="array" ref="L160">IFERROR(J160*INDEX('PORTIFÓLIO'!$S$4:$S$433,MATCH($C160,'PORTIFÓLIO'!$C$4:$C$433,0)),"")</f>
        <v/>
      </c>
      <c r="M160" s="220"/>
      <c r="N160" s="220"/>
      <c r="O160" s="220"/>
      <c r="P160" s="220"/>
      <c r="Q160" s="220"/>
      <c r="R160" s="220"/>
      <c r="S160" s="220"/>
      <c r="T160" s="220"/>
      <c r="U160" s="220"/>
      <c r="V160" s="220"/>
      <c r="W160" s="220"/>
    </row>
    <row r="161" ht="15.75" customHeight="1" outlineLevel="1">
      <c r="A161" s="211"/>
      <c r="B161" s="212"/>
      <c r="C161" s="294"/>
      <c r="D161" s="214" t="str">
        <f>IFERROR(VLOOKUP($C161,'PORTIFÓLIO'!C:V,2,0),"")</f>
        <v/>
      </c>
      <c r="E161" s="211" t="str">
        <f>IFERROR(VLOOKUP($C161,'PORTIFÓLIO'!C:V,3,0),"")</f>
        <v/>
      </c>
      <c r="F161" s="211" t="str">
        <f>IFERROR(VLOOKUP($C161,'PORTIFÓLIO'!C:V,4,0),"")</f>
        <v/>
      </c>
      <c r="G161" s="215" t="str">
        <f>IFERROR(VLOOKUP($C161,'PORTIFÓLIO'!C:V,5,0),"")</f>
        <v/>
      </c>
      <c r="H161" s="254" t="str">
        <f t="array" ref="H161">IFERROR(INDEX('PORTIFÓLIO'!$H$4:$H$433,MATCH($C161,'PORTIFÓLIO'!$C$4:$C$433,0)),"")</f>
        <v/>
      </c>
      <c r="I161" s="256"/>
      <c r="J161" s="218">
        <f t="shared" si="18"/>
        <v>0</v>
      </c>
      <c r="K161" s="219" t="str">
        <f t="array" ref="K161">IFERROR(I161*INDEX('PORTIFÓLIO'!$S$4:$S$433,MATCH($C161,'PORTIFÓLIO'!$C$4:$C$433,0)),"")</f>
        <v/>
      </c>
      <c r="L161" s="219" t="str">
        <f t="array" ref="L161">IFERROR(J161*INDEX('PORTIFÓLIO'!$S$4:$S$433,MATCH($C161,'PORTIFÓLIO'!$C$4:$C$433,0)),"")</f>
        <v/>
      </c>
      <c r="M161" s="220"/>
      <c r="N161" s="220"/>
      <c r="O161" s="220"/>
      <c r="P161" s="220"/>
      <c r="Q161" s="220"/>
      <c r="R161" s="220"/>
      <c r="S161" s="220"/>
      <c r="T161" s="220"/>
      <c r="U161" s="220"/>
      <c r="V161" s="220"/>
      <c r="W161" s="220"/>
    </row>
    <row r="162" ht="15.75" customHeight="1" outlineLevel="1">
      <c r="A162" s="211"/>
      <c r="B162" s="212"/>
      <c r="C162" s="294"/>
      <c r="D162" s="214" t="str">
        <f>IFERROR(VLOOKUP($C162,'PORTIFÓLIO'!C:V,2,0),"")</f>
        <v/>
      </c>
      <c r="E162" s="211" t="str">
        <f>IFERROR(VLOOKUP($C162,'PORTIFÓLIO'!C:V,3,0),"")</f>
        <v/>
      </c>
      <c r="F162" s="211" t="str">
        <f>IFERROR(VLOOKUP($C162,'PORTIFÓLIO'!C:V,4,0),"")</f>
        <v/>
      </c>
      <c r="G162" s="215" t="str">
        <f>IFERROR(VLOOKUP($C162,'PORTIFÓLIO'!C:V,5,0),"")</f>
        <v/>
      </c>
      <c r="H162" s="254" t="str">
        <f t="array" ref="H162">IFERROR(INDEX('PORTIFÓLIO'!$H$4:$H$433,MATCH($C162,'PORTIFÓLIO'!$C$4:$C$433,0)),"")</f>
        <v/>
      </c>
      <c r="I162" s="256"/>
      <c r="J162" s="218">
        <f t="shared" si="18"/>
        <v>0</v>
      </c>
      <c r="K162" s="219" t="str">
        <f t="array" ref="K162">IFERROR(I162*INDEX('PORTIFÓLIO'!$S$4:$S$433,MATCH($C162,'PORTIFÓLIO'!$C$4:$C$433,0)),"")</f>
        <v/>
      </c>
      <c r="L162" s="219" t="str">
        <f t="array" ref="L162">IFERROR(J162*INDEX('PORTIFÓLIO'!$S$4:$S$433,MATCH($C162,'PORTIFÓLIO'!$C$4:$C$433,0)),"")</f>
        <v/>
      </c>
      <c r="M162" s="220"/>
      <c r="N162" s="220"/>
      <c r="O162" s="220"/>
      <c r="P162" s="220"/>
      <c r="Q162" s="220"/>
      <c r="R162" s="220"/>
      <c r="S162" s="220"/>
      <c r="T162" s="220"/>
      <c r="U162" s="220"/>
      <c r="V162" s="220"/>
      <c r="W162" s="220"/>
    </row>
    <row r="163" ht="15.75" customHeight="1" outlineLevel="1">
      <c r="A163" s="211"/>
      <c r="B163" s="212"/>
      <c r="C163" s="294"/>
      <c r="D163" s="214" t="str">
        <f>IFERROR(VLOOKUP($C163,'PORTIFÓLIO'!C:V,2,0),"")</f>
        <v/>
      </c>
      <c r="E163" s="211" t="str">
        <f>IFERROR(VLOOKUP($C163,'PORTIFÓLIO'!C:V,3,0),"")</f>
        <v/>
      </c>
      <c r="F163" s="211" t="str">
        <f>IFERROR(VLOOKUP($C163,'PORTIFÓLIO'!C:V,4,0),"")</f>
        <v/>
      </c>
      <c r="G163" s="215" t="str">
        <f>IFERROR(VLOOKUP($C163,'PORTIFÓLIO'!C:V,5,0),"")</f>
        <v/>
      </c>
      <c r="H163" s="254" t="str">
        <f t="array" ref="H163">IFERROR(INDEX('PORTIFÓLIO'!$H$4:$H$433,MATCH($C163,'PORTIFÓLIO'!$C$4:$C$433,0)),"")</f>
        <v/>
      </c>
      <c r="I163" s="256"/>
      <c r="J163" s="218">
        <f t="shared" si="18"/>
        <v>0</v>
      </c>
      <c r="K163" s="219" t="str">
        <f t="array" ref="K163">IFERROR(I163*INDEX('PORTIFÓLIO'!$S$4:$S$433,MATCH($C163,'PORTIFÓLIO'!$C$4:$C$433,0)),"")</f>
        <v/>
      </c>
      <c r="L163" s="219" t="str">
        <f t="array" ref="L163">IFERROR(J163*INDEX('PORTIFÓLIO'!$S$4:$S$433,MATCH($C163,'PORTIFÓLIO'!$C$4:$C$433,0)),"")</f>
        <v/>
      </c>
      <c r="M163" s="220"/>
      <c r="N163" s="220"/>
      <c r="O163" s="220"/>
      <c r="P163" s="220"/>
      <c r="Q163" s="220"/>
      <c r="R163" s="220"/>
      <c r="S163" s="220"/>
      <c r="T163" s="220"/>
      <c r="U163" s="220"/>
      <c r="V163" s="220"/>
      <c r="W163" s="220"/>
    </row>
    <row r="164" ht="15.75" customHeight="1" outlineLevel="1">
      <c r="A164" s="211"/>
      <c r="B164" s="212"/>
      <c r="C164" s="295"/>
      <c r="D164" s="214" t="str">
        <f>IFERROR(VLOOKUP($C164,'PORTIFÓLIO'!C:V,2,0),"")</f>
        <v/>
      </c>
      <c r="E164" s="211" t="str">
        <f>IFERROR(VLOOKUP($C164,'PORTIFÓLIO'!C:V,3,0),"")</f>
        <v/>
      </c>
      <c r="F164" s="211" t="str">
        <f>IFERROR(VLOOKUP($C164,'PORTIFÓLIO'!C:V,4,0),"")</f>
        <v/>
      </c>
      <c r="G164" s="215" t="str">
        <f>IFERROR(VLOOKUP($C164,'PORTIFÓLIO'!C:V,5,0),"")</f>
        <v/>
      </c>
      <c r="H164" s="254" t="str">
        <f t="array" ref="H164">IFERROR(INDEX('PORTIFÓLIO'!$H$4:$H$433,MATCH($C164,'PORTIFÓLIO'!$C$4:$C$433,0)),"")</f>
        <v/>
      </c>
      <c r="I164" s="256"/>
      <c r="J164" s="218"/>
      <c r="K164" s="219" t="str">
        <f t="array" ref="K164">IFERROR(I164*INDEX('PORTIFÓLIO'!$S$4:$S$433,MATCH($C164,'PORTIFÓLIO'!$C$4:$C$433,0)),"")</f>
        <v/>
      </c>
      <c r="L164" s="219" t="str">
        <f t="array" ref="L164">IFERROR(J164*INDEX('PORTIFÓLIO'!$S$4:$S$433,MATCH($C164,'PORTIFÓLIO'!$C$4:$C$433,0)),"")</f>
        <v/>
      </c>
      <c r="M164" s="220"/>
      <c r="N164" s="220"/>
      <c r="O164" s="220"/>
      <c r="P164" s="220"/>
      <c r="Q164" s="220"/>
      <c r="R164" s="220"/>
      <c r="S164" s="220"/>
      <c r="T164" s="220"/>
      <c r="U164" s="220"/>
      <c r="V164" s="220"/>
      <c r="W164" s="220"/>
    </row>
    <row r="165" ht="15.75" customHeight="1">
      <c r="A165" s="229" t="s">
        <v>1193</v>
      </c>
      <c r="B165" s="230"/>
      <c r="C165" s="231"/>
      <c r="D165" s="232"/>
      <c r="E165" s="231"/>
      <c r="F165" s="231"/>
      <c r="G165" s="233"/>
      <c r="H165" s="233"/>
      <c r="I165" s="258"/>
      <c r="J165" s="236"/>
      <c r="K165" s="237">
        <f t="shared" ref="K165:L165" si="19">SUBTOTAL(9,K166:K179)</f>
        <v>0</v>
      </c>
      <c r="L165" s="237">
        <f t="shared" si="19"/>
        <v>0</v>
      </c>
      <c r="M165" s="220"/>
      <c r="N165" s="220"/>
      <c r="O165" s="220"/>
      <c r="P165" s="220"/>
      <c r="Q165" s="220"/>
      <c r="R165" s="220"/>
      <c r="S165" s="220"/>
      <c r="T165" s="220"/>
      <c r="U165" s="220"/>
      <c r="V165" s="220"/>
      <c r="W165" s="220"/>
    </row>
    <row r="166" ht="15.75" customHeight="1" outlineLevel="1">
      <c r="A166" s="213"/>
      <c r="B166" s="212"/>
      <c r="C166" s="213"/>
      <c r="D166" s="214" t="str">
        <f>IFERROR(VLOOKUP($C166,'PORTIFÓLIO'!C:V,2,0),"")</f>
        <v/>
      </c>
      <c r="E166" s="211" t="str">
        <f>IFERROR(VLOOKUP($C166,'PORTIFÓLIO'!C:V,3,0),"")</f>
        <v/>
      </c>
      <c r="F166" s="211" t="str">
        <f>IFERROR(VLOOKUP($C166,'PORTIFÓLIO'!C:V,4,0),"")</f>
        <v/>
      </c>
      <c r="G166" s="215" t="str">
        <f>IFERROR(VLOOKUP($C166,'PORTIFÓLIO'!C:V,5,0),"")</f>
        <v/>
      </c>
      <c r="H166" s="254" t="str">
        <f t="array" ref="H166">IFERROR(INDEX('PORTIFÓLIO'!$H$4:$H$433,MATCH($C166,'PORTIFÓLIO'!$C$4:$C$433,0)),"")</f>
        <v/>
      </c>
      <c r="I166" s="255"/>
      <c r="J166" s="218">
        <f t="shared" ref="J166:J181" si="20">I166*$B$2</f>
        <v>0</v>
      </c>
      <c r="K166" s="219" t="str">
        <f t="array" ref="K166">IFERROR(I166*INDEX('PORTIFÓLIO'!$S$4:$S$433,MATCH($C166,'PORTIFÓLIO'!$C$4:$C$433,0)),"")</f>
        <v/>
      </c>
      <c r="L166" s="219" t="str">
        <f t="array" ref="L166">IFERROR(J166*INDEX('PORTIFÓLIO'!$S$4:$S$433,MATCH($C166,'PORTIFÓLIO'!$C$4:$C$433,0)),"")</f>
        <v/>
      </c>
      <c r="M166" s="220"/>
      <c r="N166" s="220"/>
      <c r="O166" s="220"/>
      <c r="P166" s="220"/>
      <c r="Q166" s="220"/>
      <c r="R166" s="220"/>
      <c r="S166" s="220"/>
      <c r="T166" s="220"/>
      <c r="U166" s="220"/>
      <c r="V166" s="220"/>
      <c r="W166" s="220"/>
    </row>
    <row r="167" ht="15.75" customHeight="1" outlineLevel="1">
      <c r="A167" s="211"/>
      <c r="B167" s="212"/>
      <c r="C167" s="213"/>
      <c r="D167" s="214" t="str">
        <f>IFERROR(VLOOKUP($C167,'PORTIFÓLIO'!C:V,2,0),"")</f>
        <v/>
      </c>
      <c r="E167" s="211" t="str">
        <f>IFERROR(VLOOKUP($C167,'PORTIFÓLIO'!C:V,3,0),"")</f>
        <v/>
      </c>
      <c r="F167" s="211" t="str">
        <f>IFERROR(VLOOKUP($C167,'PORTIFÓLIO'!C:V,4,0),"")</f>
        <v/>
      </c>
      <c r="G167" s="215" t="str">
        <f>IFERROR(VLOOKUP($C167,'PORTIFÓLIO'!C:V,5,0),"")</f>
        <v/>
      </c>
      <c r="H167" s="254" t="str">
        <f t="array" ref="H167">IFERROR(INDEX('PORTIFÓLIO'!$H$4:$H$433,MATCH($C167,'PORTIFÓLIO'!$C$4:$C$433,0)),"")</f>
        <v/>
      </c>
      <c r="I167" s="255"/>
      <c r="J167" s="218">
        <f t="shared" si="20"/>
        <v>0</v>
      </c>
      <c r="K167" s="219" t="str">
        <f t="array" ref="K167">IFERROR(I167*INDEX('PORTIFÓLIO'!$S$4:$S$433,MATCH($C167,'PORTIFÓLIO'!$C$4:$C$433,0)),"")</f>
        <v/>
      </c>
      <c r="L167" s="219" t="str">
        <f t="array" ref="L167">IFERROR(J167*INDEX('PORTIFÓLIO'!$S$4:$S$433,MATCH($C167,'PORTIFÓLIO'!$C$4:$C$433,0)),"")</f>
        <v/>
      </c>
      <c r="M167" s="220"/>
      <c r="N167" s="220"/>
      <c r="O167" s="220"/>
      <c r="P167" s="220"/>
      <c r="Q167" s="220"/>
      <c r="R167" s="220"/>
      <c r="S167" s="220"/>
      <c r="T167" s="220"/>
      <c r="U167" s="220"/>
      <c r="V167" s="220"/>
      <c r="W167" s="220"/>
    </row>
    <row r="168" ht="15.75" customHeight="1" outlineLevel="1">
      <c r="A168" s="211"/>
      <c r="B168" s="212"/>
      <c r="C168" s="213"/>
      <c r="D168" s="214" t="str">
        <f>IFERROR(VLOOKUP($C168,'PORTIFÓLIO'!C:V,2,0),"")</f>
        <v/>
      </c>
      <c r="E168" s="211" t="str">
        <f>IFERROR(VLOOKUP($C168,'PORTIFÓLIO'!C:V,3,0),"")</f>
        <v/>
      </c>
      <c r="F168" s="211" t="str">
        <f>IFERROR(VLOOKUP($C168,'PORTIFÓLIO'!C:V,4,0),"")</f>
        <v/>
      </c>
      <c r="G168" s="215" t="str">
        <f>IFERROR(VLOOKUP($C168,'PORTIFÓLIO'!C:V,5,0),"")</f>
        <v/>
      </c>
      <c r="H168" s="254" t="str">
        <f t="array" ref="H168">IFERROR(INDEX('PORTIFÓLIO'!$H$4:$H$433,MATCH($C168,'PORTIFÓLIO'!$C$4:$C$433,0)),"")</f>
        <v/>
      </c>
      <c r="I168" s="256"/>
      <c r="J168" s="218">
        <f t="shared" si="20"/>
        <v>0</v>
      </c>
      <c r="K168" s="219" t="str">
        <f t="array" ref="K168">IFERROR(I168*INDEX('PORTIFÓLIO'!$S$4:$S$433,MATCH($C168,'PORTIFÓLIO'!$C$4:$C$433,0)),"")</f>
        <v/>
      </c>
      <c r="L168" s="219" t="str">
        <f t="array" ref="L168">IFERROR(J168*INDEX('PORTIFÓLIO'!$S$4:$S$433,MATCH($C168,'PORTIFÓLIO'!$C$4:$C$433,0)),"")</f>
        <v/>
      </c>
      <c r="M168" s="220"/>
      <c r="N168" s="220"/>
      <c r="O168" s="220"/>
      <c r="P168" s="220"/>
      <c r="Q168" s="220"/>
      <c r="R168" s="220"/>
      <c r="S168" s="220"/>
      <c r="T168" s="220"/>
      <c r="U168" s="220"/>
      <c r="V168" s="220"/>
      <c r="W168" s="220"/>
    </row>
    <row r="169" ht="15.75" customHeight="1" outlineLevel="1">
      <c r="A169" s="211"/>
      <c r="B169" s="212"/>
      <c r="C169" s="213"/>
      <c r="D169" s="214" t="str">
        <f>IFERROR(VLOOKUP($C169,'PORTIFÓLIO'!C:V,2,0),"")</f>
        <v/>
      </c>
      <c r="E169" s="211" t="str">
        <f>IFERROR(VLOOKUP($C169,'PORTIFÓLIO'!C:V,3,0),"")</f>
        <v/>
      </c>
      <c r="F169" s="211" t="str">
        <f>IFERROR(VLOOKUP($C169,'PORTIFÓLIO'!C:V,4,0),"")</f>
        <v/>
      </c>
      <c r="G169" s="215" t="str">
        <f>IFERROR(VLOOKUP($C169,'PORTIFÓLIO'!C:V,5,0),"")</f>
        <v/>
      </c>
      <c r="H169" s="254" t="str">
        <f t="array" ref="H169">IFERROR(INDEX('PORTIFÓLIO'!$H$4:$H$433,MATCH($C169,'PORTIFÓLIO'!$C$4:$C$433,0)),"")</f>
        <v/>
      </c>
      <c r="I169" s="256"/>
      <c r="J169" s="218">
        <f t="shared" si="20"/>
        <v>0</v>
      </c>
      <c r="K169" s="219" t="str">
        <f t="array" ref="K169">IFERROR(I169*INDEX('PORTIFÓLIO'!$S$4:$S$433,MATCH($C169,'PORTIFÓLIO'!$C$4:$C$433,0)),"")</f>
        <v/>
      </c>
      <c r="L169" s="219" t="str">
        <f t="array" ref="L169">IFERROR(J169*INDEX('PORTIFÓLIO'!$S$4:$S$433,MATCH($C169,'PORTIFÓLIO'!$C$4:$C$433,0)),"")</f>
        <v/>
      </c>
      <c r="M169" s="220"/>
      <c r="N169" s="220"/>
      <c r="O169" s="220"/>
      <c r="P169" s="220"/>
      <c r="Q169" s="220"/>
      <c r="R169" s="220"/>
      <c r="S169" s="220"/>
      <c r="T169" s="220"/>
      <c r="U169" s="220"/>
      <c r="V169" s="220"/>
      <c r="W169" s="220"/>
    </row>
    <row r="170" ht="15.75" customHeight="1" outlineLevel="1">
      <c r="A170" s="211"/>
      <c r="B170" s="212"/>
      <c r="C170" s="213"/>
      <c r="D170" s="214" t="str">
        <f>IFERROR(VLOOKUP($C170,'PORTIFÓLIO'!C:V,2,0),"")</f>
        <v/>
      </c>
      <c r="E170" s="211" t="str">
        <f>IFERROR(VLOOKUP($C170,'PORTIFÓLIO'!C:V,3,0),"")</f>
        <v/>
      </c>
      <c r="F170" s="211" t="str">
        <f>IFERROR(VLOOKUP($C170,'PORTIFÓLIO'!C:V,4,0),"")</f>
        <v/>
      </c>
      <c r="G170" s="215" t="str">
        <f>IFERROR(VLOOKUP($C170,'PORTIFÓLIO'!C:V,5,0),"")</f>
        <v/>
      </c>
      <c r="H170" s="254" t="str">
        <f t="array" ref="H170">IFERROR(INDEX('PORTIFÓLIO'!$H$4:$H$433,MATCH($C170,'PORTIFÓLIO'!$C$4:$C$433,0)),"")</f>
        <v/>
      </c>
      <c r="I170" s="256"/>
      <c r="J170" s="218">
        <f t="shared" si="20"/>
        <v>0</v>
      </c>
      <c r="K170" s="219" t="str">
        <f t="array" ref="K170">IFERROR(I170*INDEX('PORTIFÓLIO'!$S$4:$S$433,MATCH($C170,'PORTIFÓLIO'!$C$4:$C$433,0)),"")</f>
        <v/>
      </c>
      <c r="L170" s="219" t="str">
        <f t="array" ref="L170">IFERROR(J170*INDEX('PORTIFÓLIO'!$S$4:$S$433,MATCH($C170,'PORTIFÓLIO'!$C$4:$C$433,0)),"")</f>
        <v/>
      </c>
      <c r="M170" s="220"/>
      <c r="N170" s="220"/>
      <c r="O170" s="220"/>
      <c r="P170" s="220"/>
      <c r="Q170" s="220"/>
      <c r="R170" s="220"/>
      <c r="S170" s="220"/>
      <c r="T170" s="220"/>
      <c r="U170" s="220"/>
      <c r="V170" s="220"/>
      <c r="W170" s="220"/>
    </row>
    <row r="171" ht="15.75" customHeight="1" outlineLevel="1">
      <c r="A171" s="211"/>
      <c r="B171" s="212"/>
      <c r="C171" s="213"/>
      <c r="D171" s="214" t="str">
        <f>IFERROR(VLOOKUP($C171,'PORTIFÓLIO'!C:V,2,0),"")</f>
        <v/>
      </c>
      <c r="E171" s="211" t="str">
        <f>IFERROR(VLOOKUP($C171,'PORTIFÓLIO'!C:V,3,0),"")</f>
        <v/>
      </c>
      <c r="F171" s="211" t="str">
        <f>IFERROR(VLOOKUP($C171,'PORTIFÓLIO'!C:V,4,0),"")</f>
        <v/>
      </c>
      <c r="G171" s="215" t="str">
        <f>IFERROR(VLOOKUP($C171,'PORTIFÓLIO'!C:V,5,0),"")</f>
        <v/>
      </c>
      <c r="H171" s="254" t="str">
        <f t="array" ref="H171">IFERROR(INDEX('PORTIFÓLIO'!$H$4:$H$433,MATCH($C171,'PORTIFÓLIO'!$C$4:$C$433,0)),"")</f>
        <v/>
      </c>
      <c r="I171" s="256"/>
      <c r="J171" s="218">
        <f t="shared" si="20"/>
        <v>0</v>
      </c>
      <c r="K171" s="219" t="str">
        <f t="array" ref="K171">IFERROR(I171*INDEX('PORTIFÓLIO'!$S$4:$S$433,MATCH($C171,'PORTIFÓLIO'!$C$4:$C$433,0)),"")</f>
        <v/>
      </c>
      <c r="L171" s="219" t="str">
        <f t="array" ref="L171">IFERROR(J171*INDEX('PORTIFÓLIO'!$S$4:$S$433,MATCH($C171,'PORTIFÓLIO'!$C$4:$C$433,0)),"")</f>
        <v/>
      </c>
      <c r="M171" s="220"/>
      <c r="N171" s="220"/>
      <c r="O171" s="220"/>
      <c r="P171" s="220"/>
      <c r="Q171" s="220"/>
      <c r="R171" s="220"/>
      <c r="S171" s="220"/>
      <c r="T171" s="220"/>
      <c r="U171" s="220"/>
      <c r="V171" s="220"/>
      <c r="W171" s="220"/>
    </row>
    <row r="172" ht="15.75" customHeight="1" outlineLevel="1">
      <c r="A172" s="211"/>
      <c r="B172" s="212"/>
      <c r="C172" s="213"/>
      <c r="D172" s="214" t="str">
        <f>IFERROR(VLOOKUP($C172,'PORTIFÓLIO'!C:V,2,0),"")</f>
        <v/>
      </c>
      <c r="E172" s="211" t="str">
        <f>IFERROR(VLOOKUP($C172,'PORTIFÓLIO'!C:V,3,0),"")</f>
        <v/>
      </c>
      <c r="F172" s="211" t="str">
        <f>IFERROR(VLOOKUP($C172,'PORTIFÓLIO'!C:V,4,0),"")</f>
        <v/>
      </c>
      <c r="G172" s="215" t="str">
        <f>IFERROR(VLOOKUP($C172,'PORTIFÓLIO'!C:V,5,0),"")</f>
        <v/>
      </c>
      <c r="H172" s="254" t="str">
        <f t="array" ref="H172">IFERROR(INDEX('PORTIFÓLIO'!$H$4:$H$433,MATCH($C172,'PORTIFÓLIO'!$C$4:$C$433,0)),"")</f>
        <v/>
      </c>
      <c r="I172" s="256"/>
      <c r="J172" s="218">
        <f t="shared" si="20"/>
        <v>0</v>
      </c>
      <c r="K172" s="219" t="str">
        <f t="array" ref="K172">IFERROR(I172*INDEX('PORTIFÓLIO'!$S$4:$S$433,MATCH($C172,'PORTIFÓLIO'!$C$4:$C$433,0)),"")</f>
        <v/>
      </c>
      <c r="L172" s="219" t="str">
        <f t="array" ref="L172">IFERROR(J172*INDEX('PORTIFÓLIO'!$S$4:$S$433,MATCH($C172,'PORTIFÓLIO'!$C$4:$C$433,0)),"")</f>
        <v/>
      </c>
      <c r="M172" s="220"/>
      <c r="N172" s="220"/>
      <c r="O172" s="220"/>
      <c r="P172" s="220"/>
      <c r="Q172" s="220"/>
      <c r="R172" s="220"/>
      <c r="S172" s="220"/>
      <c r="T172" s="220"/>
      <c r="U172" s="220"/>
      <c r="V172" s="220"/>
      <c r="W172" s="220"/>
    </row>
    <row r="173" ht="15.75" customHeight="1" outlineLevel="1">
      <c r="A173" s="211"/>
      <c r="B173" s="212"/>
      <c r="C173" s="213"/>
      <c r="D173" s="214" t="str">
        <f>IFERROR(VLOOKUP($C173,'PORTIFÓLIO'!C:V,2,0),"")</f>
        <v/>
      </c>
      <c r="E173" s="211" t="str">
        <f>IFERROR(VLOOKUP($C173,'PORTIFÓLIO'!C:V,3,0),"")</f>
        <v/>
      </c>
      <c r="F173" s="211" t="str">
        <f>IFERROR(VLOOKUP($C173,'PORTIFÓLIO'!C:V,4,0),"")</f>
        <v/>
      </c>
      <c r="G173" s="215" t="str">
        <f>IFERROR(VLOOKUP($C173,'PORTIFÓLIO'!C:V,5,0),"")</f>
        <v/>
      </c>
      <c r="H173" s="254" t="str">
        <f t="array" ref="H173">IFERROR(INDEX('PORTIFÓLIO'!$H$4:$H$433,MATCH($C173,'PORTIFÓLIO'!$C$4:$C$433,0)),"")</f>
        <v/>
      </c>
      <c r="I173" s="256"/>
      <c r="J173" s="218">
        <f t="shared" si="20"/>
        <v>0</v>
      </c>
      <c r="K173" s="219" t="str">
        <f t="array" ref="K173">IFERROR(I173*INDEX('PORTIFÓLIO'!$S$4:$S$433,MATCH($C173,'PORTIFÓLIO'!$C$4:$C$433,0)),"")</f>
        <v/>
      </c>
      <c r="L173" s="219" t="str">
        <f t="array" ref="L173">IFERROR(J173*INDEX('PORTIFÓLIO'!$S$4:$S$433,MATCH($C173,'PORTIFÓLIO'!$C$4:$C$433,0)),"")</f>
        <v/>
      </c>
      <c r="M173" s="220"/>
      <c r="N173" s="220"/>
      <c r="O173" s="220"/>
      <c r="P173" s="220"/>
      <c r="Q173" s="220"/>
      <c r="R173" s="220"/>
      <c r="S173" s="220"/>
      <c r="T173" s="220"/>
      <c r="U173" s="220"/>
      <c r="V173" s="220"/>
      <c r="W173" s="220"/>
    </row>
    <row r="174" ht="15.75" customHeight="1" outlineLevel="1">
      <c r="A174" s="211"/>
      <c r="B174" s="212"/>
      <c r="C174" s="213"/>
      <c r="D174" s="214" t="str">
        <f>IFERROR(VLOOKUP($C174,'PORTIFÓLIO'!C:V,2,0),"")</f>
        <v/>
      </c>
      <c r="E174" s="211" t="str">
        <f>IFERROR(VLOOKUP($C174,'PORTIFÓLIO'!C:V,3,0),"")</f>
        <v/>
      </c>
      <c r="F174" s="211" t="str">
        <f>IFERROR(VLOOKUP($C174,'PORTIFÓLIO'!C:V,4,0),"")</f>
        <v/>
      </c>
      <c r="G174" s="215" t="str">
        <f>IFERROR(VLOOKUP($C174,'PORTIFÓLIO'!C:V,5,0),"")</f>
        <v/>
      </c>
      <c r="H174" s="254" t="str">
        <f t="array" ref="H174">IFERROR(INDEX('PORTIFÓLIO'!$H$4:$H$433,MATCH($C174,'PORTIFÓLIO'!$C$4:$C$433,0)),"")</f>
        <v/>
      </c>
      <c r="I174" s="255"/>
      <c r="J174" s="218">
        <f t="shared" si="20"/>
        <v>0</v>
      </c>
      <c r="K174" s="219" t="str">
        <f t="array" ref="K174">IFERROR(I174*INDEX('PORTIFÓLIO'!$S$4:$S$433,MATCH($C174,'PORTIFÓLIO'!$C$4:$C$433,0)),"")</f>
        <v/>
      </c>
      <c r="L174" s="219" t="str">
        <f t="array" ref="L174">IFERROR(J174*INDEX('PORTIFÓLIO'!$S$4:$S$433,MATCH($C174,'PORTIFÓLIO'!$C$4:$C$433,0)),"")</f>
        <v/>
      </c>
      <c r="M174" s="220"/>
      <c r="N174" s="220"/>
      <c r="O174" s="220"/>
      <c r="P174" s="220"/>
      <c r="Q174" s="220"/>
      <c r="R174" s="220"/>
      <c r="S174" s="220"/>
      <c r="T174" s="220"/>
      <c r="U174" s="220"/>
      <c r="V174" s="220"/>
      <c r="W174" s="220"/>
    </row>
    <row r="175" ht="15.75" customHeight="1" outlineLevel="1">
      <c r="A175" s="211"/>
      <c r="B175" s="212"/>
      <c r="C175" s="213"/>
      <c r="D175" s="214" t="str">
        <f>IFERROR(VLOOKUP($C175,'PORTIFÓLIO'!C:V,2,0),"")</f>
        <v/>
      </c>
      <c r="E175" s="211" t="str">
        <f>IFERROR(VLOOKUP($C175,'PORTIFÓLIO'!C:V,3,0),"")</f>
        <v/>
      </c>
      <c r="F175" s="211" t="str">
        <f>IFERROR(VLOOKUP($C175,'PORTIFÓLIO'!C:V,4,0),"")</f>
        <v/>
      </c>
      <c r="G175" s="215" t="str">
        <f>IFERROR(VLOOKUP($C175,'PORTIFÓLIO'!C:V,5,0),"")</f>
        <v/>
      </c>
      <c r="H175" s="254" t="str">
        <f t="array" ref="H175">IFERROR(INDEX('PORTIFÓLIO'!$H$4:$H$433,MATCH($C175,'PORTIFÓLIO'!$C$4:$C$433,0)),"")</f>
        <v/>
      </c>
      <c r="I175" s="256"/>
      <c r="J175" s="218">
        <f t="shared" si="20"/>
        <v>0</v>
      </c>
      <c r="K175" s="219" t="str">
        <f t="array" ref="K175">IFERROR(I175*INDEX('PORTIFÓLIO'!$S$4:$S$433,MATCH($C175,'PORTIFÓLIO'!$C$4:$C$433,0)),"")</f>
        <v/>
      </c>
      <c r="L175" s="219" t="str">
        <f t="array" ref="L175">IFERROR(J175*INDEX('PORTIFÓLIO'!$S$4:$S$433,MATCH($C175,'PORTIFÓLIO'!$C$4:$C$433,0)),"")</f>
        <v/>
      </c>
      <c r="M175" s="220"/>
      <c r="N175" s="220"/>
      <c r="O175" s="220"/>
      <c r="P175" s="220"/>
      <c r="Q175" s="220"/>
      <c r="R175" s="220"/>
      <c r="S175" s="220"/>
      <c r="T175" s="220"/>
      <c r="U175" s="220"/>
      <c r="V175" s="220"/>
      <c r="W175" s="220"/>
    </row>
    <row r="176" ht="15.75" customHeight="1" outlineLevel="1">
      <c r="A176" s="211"/>
      <c r="B176" s="212"/>
      <c r="C176" s="213"/>
      <c r="D176" s="214" t="str">
        <f>IFERROR(VLOOKUP($C176,'PORTIFÓLIO'!C:V,2,0),"")</f>
        <v/>
      </c>
      <c r="E176" s="211" t="str">
        <f>IFERROR(VLOOKUP($C176,'PORTIFÓLIO'!C:V,3,0),"")</f>
        <v/>
      </c>
      <c r="F176" s="211" t="str">
        <f>IFERROR(VLOOKUP($C176,'PORTIFÓLIO'!C:V,4,0),"")</f>
        <v/>
      </c>
      <c r="G176" s="215" t="str">
        <f>IFERROR(VLOOKUP($C176,'PORTIFÓLIO'!C:V,5,0),"")</f>
        <v/>
      </c>
      <c r="H176" s="254" t="str">
        <f t="array" ref="H176">IFERROR(INDEX('PORTIFÓLIO'!$H$4:$H$433,MATCH($C176,'PORTIFÓLIO'!$C$4:$C$433,0)),"")</f>
        <v/>
      </c>
      <c r="I176" s="256"/>
      <c r="J176" s="218">
        <f t="shared" si="20"/>
        <v>0</v>
      </c>
      <c r="K176" s="219" t="str">
        <f t="array" ref="K176">IFERROR(I176*INDEX('PORTIFÓLIO'!$S$4:$S$433,MATCH($C176,'PORTIFÓLIO'!$C$4:$C$433,0)),"")</f>
        <v/>
      </c>
      <c r="L176" s="219" t="str">
        <f t="array" ref="L176">IFERROR(J176*INDEX('PORTIFÓLIO'!$S$4:$S$433,MATCH($C176,'PORTIFÓLIO'!$C$4:$C$433,0)),"")</f>
        <v/>
      </c>
      <c r="M176" s="220"/>
      <c r="N176" s="220"/>
      <c r="O176" s="220"/>
      <c r="P176" s="220"/>
      <c r="Q176" s="220"/>
      <c r="R176" s="220"/>
      <c r="S176" s="220"/>
      <c r="T176" s="220"/>
      <c r="U176" s="220"/>
      <c r="V176" s="220"/>
      <c r="W176" s="220"/>
    </row>
    <row r="177" ht="15.75" customHeight="1" outlineLevel="1">
      <c r="A177" s="211"/>
      <c r="B177" s="212"/>
      <c r="C177" s="213"/>
      <c r="D177" s="214" t="str">
        <f>IFERROR(VLOOKUP($C177,'PORTIFÓLIO'!C:V,2,0),"")</f>
        <v/>
      </c>
      <c r="E177" s="211" t="str">
        <f>IFERROR(VLOOKUP($C177,'PORTIFÓLIO'!C:V,3,0),"")</f>
        <v/>
      </c>
      <c r="F177" s="211" t="str">
        <f>IFERROR(VLOOKUP($C177,'PORTIFÓLIO'!C:V,4,0),"")</f>
        <v/>
      </c>
      <c r="G177" s="215" t="str">
        <f>IFERROR(VLOOKUP($C177,'PORTIFÓLIO'!C:V,5,0),"")</f>
        <v/>
      </c>
      <c r="H177" s="254" t="str">
        <f t="array" ref="H177">IFERROR(INDEX('PORTIFÓLIO'!$H$4:$H$433,MATCH($C177,'PORTIFÓLIO'!$C$4:$C$433,0)),"")</f>
        <v/>
      </c>
      <c r="I177" s="256"/>
      <c r="J177" s="218">
        <f t="shared" si="20"/>
        <v>0</v>
      </c>
      <c r="K177" s="219" t="str">
        <f t="array" ref="K177">IFERROR(I177*INDEX('PORTIFÓLIO'!$S$4:$S$433,MATCH($C177,'PORTIFÓLIO'!$C$4:$C$433,0)),"")</f>
        <v/>
      </c>
      <c r="L177" s="219" t="str">
        <f t="array" ref="L177">IFERROR(J177*INDEX('PORTIFÓLIO'!$S$4:$S$433,MATCH($C177,'PORTIFÓLIO'!$C$4:$C$433,0)),"")</f>
        <v/>
      </c>
      <c r="M177" s="220"/>
      <c r="N177" s="220"/>
      <c r="O177" s="220"/>
      <c r="P177" s="220"/>
      <c r="Q177" s="220"/>
      <c r="R177" s="220"/>
      <c r="S177" s="220"/>
      <c r="T177" s="220"/>
      <c r="U177" s="220"/>
      <c r="V177" s="220"/>
      <c r="W177" s="220"/>
    </row>
    <row r="178" ht="15.75" customHeight="1" outlineLevel="1">
      <c r="A178" s="211"/>
      <c r="B178" s="212"/>
      <c r="C178" s="213"/>
      <c r="D178" s="214" t="str">
        <f>IFERROR(VLOOKUP($C178,'PORTIFÓLIO'!C:V,2,0),"")</f>
        <v/>
      </c>
      <c r="E178" s="211" t="str">
        <f>IFERROR(VLOOKUP($C178,'PORTIFÓLIO'!C:V,3,0),"")</f>
        <v/>
      </c>
      <c r="F178" s="211" t="str">
        <f>IFERROR(VLOOKUP($C178,'PORTIFÓLIO'!C:V,4,0),"")</f>
        <v/>
      </c>
      <c r="G178" s="215" t="str">
        <f>IFERROR(VLOOKUP($C178,'PORTIFÓLIO'!C:V,5,0),"")</f>
        <v/>
      </c>
      <c r="H178" s="254" t="str">
        <f t="array" ref="H178">IFERROR(INDEX('PORTIFÓLIO'!$H$4:$H$433,MATCH($C178,'PORTIFÓLIO'!$C$4:$C$433,0)),"")</f>
        <v/>
      </c>
      <c r="I178" s="256"/>
      <c r="J178" s="218">
        <f t="shared" si="20"/>
        <v>0</v>
      </c>
      <c r="K178" s="219" t="str">
        <f t="array" ref="K178">IFERROR(I178*INDEX('PORTIFÓLIO'!$S$4:$S$433,MATCH($C178,'PORTIFÓLIO'!$C$4:$C$433,0)),"")</f>
        <v/>
      </c>
      <c r="L178" s="219" t="str">
        <f t="array" ref="L178">IFERROR(J178*INDEX('PORTIFÓLIO'!$S$4:$S$433,MATCH($C178,'PORTIFÓLIO'!$C$4:$C$433,0)),"")</f>
        <v/>
      </c>
      <c r="M178" s="220"/>
      <c r="N178" s="220"/>
      <c r="O178" s="220"/>
      <c r="P178" s="220"/>
      <c r="Q178" s="220"/>
      <c r="R178" s="220"/>
      <c r="S178" s="220"/>
      <c r="T178" s="220"/>
      <c r="U178" s="220"/>
      <c r="V178" s="220"/>
      <c r="W178" s="220"/>
    </row>
    <row r="179" ht="15.75" customHeight="1" outlineLevel="1">
      <c r="A179" s="211"/>
      <c r="B179" s="212"/>
      <c r="C179" s="213"/>
      <c r="D179" s="214" t="str">
        <f>IFERROR(VLOOKUP($C179,'PORTIFÓLIO'!C:V,2,0),"")</f>
        <v/>
      </c>
      <c r="E179" s="211" t="str">
        <f>IFERROR(VLOOKUP($C179,'PORTIFÓLIO'!C:V,3,0),"")</f>
        <v/>
      </c>
      <c r="F179" s="211" t="str">
        <f>IFERROR(VLOOKUP($C179,'PORTIFÓLIO'!C:V,4,0),"")</f>
        <v/>
      </c>
      <c r="G179" s="215" t="str">
        <f>IFERROR(VLOOKUP($C179,'PORTIFÓLIO'!C:V,5,0),"")</f>
        <v/>
      </c>
      <c r="H179" s="254" t="str">
        <f t="array" ref="H179">IFERROR(INDEX('PORTIFÓLIO'!$H$4:$H$433,MATCH($C179,'PORTIFÓLIO'!$C$4:$C$433,0)),"")</f>
        <v/>
      </c>
      <c r="I179" s="256"/>
      <c r="J179" s="218">
        <f t="shared" si="20"/>
        <v>0</v>
      </c>
      <c r="K179" s="219" t="str">
        <f t="array" ref="K179">IFERROR(I179*INDEX('PORTIFÓLIO'!$S$4:$S$433,MATCH($C179,'PORTIFÓLIO'!$C$4:$C$433,0)),"")</f>
        <v/>
      </c>
      <c r="L179" s="219" t="str">
        <f t="array" ref="L179">IFERROR(J179*INDEX('PORTIFÓLIO'!$S$4:$S$433,MATCH($C179,'PORTIFÓLIO'!$C$4:$C$433,0)),"")</f>
        <v/>
      </c>
      <c r="M179" s="220"/>
      <c r="N179" s="220"/>
      <c r="O179" s="220"/>
      <c r="P179" s="220"/>
      <c r="Q179" s="220"/>
      <c r="R179" s="220"/>
      <c r="S179" s="220"/>
      <c r="T179" s="220"/>
      <c r="U179" s="220"/>
      <c r="V179" s="220"/>
      <c r="W179" s="220"/>
    </row>
    <row r="180" ht="15.75" customHeight="1" outlineLevel="1">
      <c r="A180" s="211"/>
      <c r="B180" s="212"/>
      <c r="C180" s="213"/>
      <c r="D180" s="214" t="str">
        <f>IFERROR(VLOOKUP($C180,'PORTIFÓLIO'!C:V,2,0),"")</f>
        <v/>
      </c>
      <c r="E180" s="211" t="str">
        <f>IFERROR(VLOOKUP($C180,'PORTIFÓLIO'!C:V,3,0),"")</f>
        <v/>
      </c>
      <c r="F180" s="211" t="str">
        <f>IFERROR(VLOOKUP($C180,'PORTIFÓLIO'!C:V,4,0),"")</f>
        <v/>
      </c>
      <c r="G180" s="215" t="str">
        <f>IFERROR(VLOOKUP($C180,'PORTIFÓLIO'!C:V,5,0),"")</f>
        <v/>
      </c>
      <c r="H180" s="254" t="str">
        <f t="array" ref="H180">IFERROR(INDEX('PORTIFÓLIO'!$H$4:$H$433,MATCH($C180,'PORTIFÓLIO'!$C$4:$C$433,0)),"")</f>
        <v/>
      </c>
      <c r="I180" s="256"/>
      <c r="J180" s="218">
        <f t="shared" si="20"/>
        <v>0</v>
      </c>
      <c r="K180" s="219" t="str">
        <f t="array" ref="K180">IFERROR(I180*INDEX('PORTIFÓLIO'!$S$4:$S$433,MATCH($C180,'PORTIFÓLIO'!$C$4:$C$433,0)),"")</f>
        <v/>
      </c>
      <c r="L180" s="219" t="str">
        <f t="array" ref="L180">IFERROR(J180*INDEX('PORTIFÓLIO'!$S$4:$S$433,MATCH($C180,'PORTIFÓLIO'!$C$4:$C$433,0)),"")</f>
        <v/>
      </c>
      <c r="M180" s="220"/>
      <c r="N180" s="220"/>
      <c r="O180" s="220"/>
      <c r="P180" s="220"/>
      <c r="Q180" s="220"/>
      <c r="R180" s="220"/>
      <c r="S180" s="220"/>
      <c r="T180" s="220"/>
      <c r="U180" s="220"/>
      <c r="V180" s="220"/>
      <c r="W180" s="220"/>
    </row>
    <row r="181" ht="15.75" customHeight="1" outlineLevel="1">
      <c r="A181" s="211"/>
      <c r="B181" s="227"/>
      <c r="C181" s="211"/>
      <c r="D181" s="214" t="str">
        <f>IFERROR(VLOOKUP($C181,'PORTIFÓLIO'!C:V,2,0),"")</f>
        <v/>
      </c>
      <c r="E181" s="211" t="str">
        <f>IFERROR(VLOOKUP($C181,'PORTIFÓLIO'!C:V,3,0),"")</f>
        <v/>
      </c>
      <c r="F181" s="211" t="str">
        <f>IFERROR(VLOOKUP($C181,'PORTIFÓLIO'!C:V,4,0),"")</f>
        <v/>
      </c>
      <c r="G181" s="215" t="str">
        <f>IFERROR(VLOOKUP($C181,'PORTIFÓLIO'!C:V,5,0),"")</f>
        <v/>
      </c>
      <c r="H181" s="254" t="str">
        <f t="array" ref="H181">IFERROR(INDEX('PORTIFÓLIO'!$H$4:$H$433,MATCH($C181,'PORTIFÓLIO'!$C$4:$C$433,0)),"")</f>
        <v/>
      </c>
      <c r="I181" s="256"/>
      <c r="J181" s="218">
        <f t="shared" si="20"/>
        <v>0</v>
      </c>
      <c r="K181" s="219" t="str">
        <f t="array" ref="K181">IFERROR(I181*INDEX('PORTIFÓLIO'!$S$4:$S$433,MATCH($C181,'PORTIFÓLIO'!$C$4:$C$433,0)),"")</f>
        <v/>
      </c>
      <c r="L181" s="219" t="str">
        <f t="array" ref="L181">IFERROR(J181*INDEX('PORTIFÓLIO'!$S$4:$S$433,MATCH($C181,'PORTIFÓLIO'!$C$4:$C$433,0)),"")</f>
        <v/>
      </c>
      <c r="M181" s="220"/>
      <c r="N181" s="220"/>
      <c r="O181" s="220"/>
      <c r="P181" s="220"/>
      <c r="Q181" s="220"/>
      <c r="R181" s="220"/>
      <c r="S181" s="220"/>
      <c r="T181" s="220"/>
      <c r="U181" s="220"/>
      <c r="V181" s="220"/>
      <c r="W181" s="220"/>
    </row>
    <row r="182" ht="15.75" customHeight="1">
      <c r="A182" s="229" t="s">
        <v>1194</v>
      </c>
      <c r="B182" s="230"/>
      <c r="C182" s="231"/>
      <c r="D182" s="232"/>
      <c r="E182" s="231"/>
      <c r="F182" s="231"/>
      <c r="G182" s="233"/>
      <c r="H182" s="233"/>
      <c r="I182" s="258"/>
      <c r="J182" s="236"/>
      <c r="K182" s="237">
        <f t="shared" ref="K182:L182" si="21">SUBTOTAL(9,K183:K196)</f>
        <v>0</v>
      </c>
      <c r="L182" s="237">
        <f t="shared" si="21"/>
        <v>0</v>
      </c>
      <c r="M182" s="220"/>
      <c r="N182" s="220"/>
      <c r="O182" s="220"/>
      <c r="P182" s="220"/>
      <c r="Q182" s="220"/>
      <c r="R182" s="220"/>
      <c r="S182" s="220"/>
      <c r="T182" s="220"/>
      <c r="U182" s="220"/>
      <c r="V182" s="220"/>
      <c r="W182" s="220"/>
    </row>
    <row r="183" ht="15.75" customHeight="1" outlineLevel="1">
      <c r="A183" s="213"/>
      <c r="B183" s="212"/>
      <c r="C183" s="213"/>
      <c r="D183" s="214" t="str">
        <f>IFERROR(VLOOKUP($C183,'PORTIFÓLIO'!C:V,2,0),"")</f>
        <v/>
      </c>
      <c r="E183" s="211" t="str">
        <f>IFERROR(VLOOKUP($C183,'PORTIFÓLIO'!C:V,3,0),"")</f>
        <v/>
      </c>
      <c r="F183" s="211" t="str">
        <f>IFERROR(VLOOKUP($C183,'PORTIFÓLIO'!C:V,4,0),"")</f>
        <v/>
      </c>
      <c r="G183" s="215" t="str">
        <f t="array" ref="G183">IFERROR(INDEX('PORTIFÓLIO'!$H$4:$H$433,MATCH($C183,'PORTIFÓLIO'!$C$4:$C$433,0)),"")</f>
        <v/>
      </c>
      <c r="H183" s="254" t="str">
        <f t="array" ref="H183">IFERROR(INDEX('PORTIFÓLIO'!$H$4:$H$433,MATCH($C183,'PORTIFÓLIO'!$C$4:$C$433,0)),"")</f>
        <v/>
      </c>
      <c r="I183" s="255"/>
      <c r="J183" s="218">
        <f t="shared" ref="J183:J199" si="22">I183*$B$2</f>
        <v>0</v>
      </c>
      <c r="K183" s="219" t="str">
        <f t="array" ref="K183">IFERROR(I183*INDEX('PORTIFÓLIO'!$S$4:$S$433,MATCH($C183,'PORTIFÓLIO'!$C$4:$C$433,0)),"")</f>
        <v/>
      </c>
      <c r="L183" s="219" t="str">
        <f t="array" ref="L183">IFERROR(J183*INDEX('PORTIFÓLIO'!$S$4:$S$433,MATCH($C183,'PORTIFÓLIO'!$C$4:$C$433,0)),"")</f>
        <v/>
      </c>
      <c r="M183" s="220"/>
      <c r="N183" s="220"/>
      <c r="O183" s="220"/>
      <c r="P183" s="220"/>
      <c r="Q183" s="220"/>
      <c r="R183" s="220"/>
      <c r="S183" s="220"/>
      <c r="T183" s="220"/>
      <c r="U183" s="220"/>
      <c r="V183" s="220"/>
      <c r="W183" s="220"/>
    </row>
    <row r="184" ht="15.75" customHeight="1" outlineLevel="1">
      <c r="A184" s="211"/>
      <c r="B184" s="212"/>
      <c r="C184" s="213"/>
      <c r="D184" s="214" t="str">
        <f>IFERROR(VLOOKUP($C184,'PORTIFÓLIO'!C:V,2,0),"")</f>
        <v/>
      </c>
      <c r="E184" s="211" t="str">
        <f>IFERROR(VLOOKUP($C184,'PORTIFÓLIO'!C:V,3,0),"")</f>
        <v/>
      </c>
      <c r="F184" s="211" t="str">
        <f>IFERROR(VLOOKUP($C184,'PORTIFÓLIO'!C:V,4,0),"")</f>
        <v/>
      </c>
      <c r="G184" s="215" t="str">
        <f t="array" ref="G184">IFERROR(INDEX('PORTIFÓLIO'!$H$4:$H$433,MATCH($C184,'PORTIFÓLIO'!$C$4:$C$433,0)),"")</f>
        <v/>
      </c>
      <c r="H184" s="254" t="str">
        <f t="array" ref="H184">IFERROR(INDEX('PORTIFÓLIO'!$H$4:$H$433,MATCH($C184,'PORTIFÓLIO'!$C$4:$C$433,0)),"")</f>
        <v/>
      </c>
      <c r="I184" s="256"/>
      <c r="J184" s="218">
        <f t="shared" si="22"/>
        <v>0</v>
      </c>
      <c r="K184" s="219" t="str">
        <f t="array" ref="K184">IFERROR(I184*INDEX('PORTIFÓLIO'!$S$4:$S$433,MATCH($C184,'PORTIFÓLIO'!$C$4:$C$433,0)),"")</f>
        <v/>
      </c>
      <c r="L184" s="219" t="str">
        <f t="array" ref="L184">IFERROR(J184*INDEX('PORTIFÓLIO'!$S$4:$S$433,MATCH($C184,'PORTIFÓLIO'!$C$4:$C$433,0)),"")</f>
        <v/>
      </c>
      <c r="M184" s="220"/>
      <c r="N184" s="220"/>
      <c r="O184" s="220"/>
      <c r="P184" s="220"/>
      <c r="Q184" s="220"/>
      <c r="R184" s="220"/>
      <c r="S184" s="220"/>
      <c r="T184" s="220"/>
      <c r="U184" s="220"/>
      <c r="V184" s="220"/>
      <c r="W184" s="220"/>
    </row>
    <row r="185" ht="15.75" customHeight="1" outlineLevel="1">
      <c r="A185" s="211"/>
      <c r="B185" s="212"/>
      <c r="C185" s="213"/>
      <c r="D185" s="214" t="str">
        <f>IFERROR(VLOOKUP($C185,'PORTIFÓLIO'!C:V,2,0),"")</f>
        <v/>
      </c>
      <c r="E185" s="211" t="str">
        <f>IFERROR(VLOOKUP($C185,'PORTIFÓLIO'!C:V,3,0),"")</f>
        <v/>
      </c>
      <c r="F185" s="211" t="str">
        <f>IFERROR(VLOOKUP($C185,'PORTIFÓLIO'!C:V,4,0),"")</f>
        <v/>
      </c>
      <c r="G185" s="215" t="str">
        <f t="array" ref="G185">IFERROR(INDEX('PORTIFÓLIO'!$H$4:$H$433,MATCH($C185,'PORTIFÓLIO'!$C$4:$C$433,0)),"")</f>
        <v/>
      </c>
      <c r="H185" s="254" t="str">
        <f t="array" ref="H185">IFERROR(INDEX('PORTIFÓLIO'!$H$4:$H$433,MATCH($C185,'PORTIFÓLIO'!$C$4:$C$433,0)),"")</f>
        <v/>
      </c>
      <c r="I185" s="256"/>
      <c r="J185" s="218">
        <f t="shared" si="22"/>
        <v>0</v>
      </c>
      <c r="K185" s="219" t="str">
        <f t="array" ref="K185">IFERROR(I185*INDEX('PORTIFÓLIO'!$S$4:$S$433,MATCH($C185,'PORTIFÓLIO'!$C$4:$C$433,0)),"")</f>
        <v/>
      </c>
      <c r="L185" s="219" t="str">
        <f t="array" ref="L185">IFERROR(J185*INDEX('PORTIFÓLIO'!$S$4:$S$433,MATCH($C185,'PORTIFÓLIO'!$C$4:$C$433,0)),"")</f>
        <v/>
      </c>
      <c r="M185" s="220"/>
      <c r="N185" s="220"/>
      <c r="O185" s="220"/>
      <c r="P185" s="220"/>
      <c r="Q185" s="220"/>
      <c r="R185" s="220"/>
      <c r="S185" s="220"/>
      <c r="T185" s="220"/>
      <c r="U185" s="220"/>
      <c r="V185" s="220"/>
      <c r="W185" s="220"/>
    </row>
    <row r="186" ht="15.75" customHeight="1" outlineLevel="1">
      <c r="A186" s="211"/>
      <c r="B186" s="212"/>
      <c r="C186" s="213"/>
      <c r="D186" s="214" t="str">
        <f>IFERROR(VLOOKUP($C186,'PORTIFÓLIO'!C:V,2,0),"")</f>
        <v/>
      </c>
      <c r="E186" s="211" t="str">
        <f>IFERROR(VLOOKUP($C186,'PORTIFÓLIO'!C:V,3,0),"")</f>
        <v/>
      </c>
      <c r="F186" s="211" t="str">
        <f>IFERROR(VLOOKUP($C186,'PORTIFÓLIO'!C:V,4,0),"")</f>
        <v/>
      </c>
      <c r="G186" s="215" t="str">
        <f t="array" ref="G186">IFERROR(INDEX('PORTIFÓLIO'!$H$4:$H$433,MATCH($C186,'PORTIFÓLIO'!$C$4:$C$433,0)),"")</f>
        <v/>
      </c>
      <c r="H186" s="254" t="str">
        <f t="array" ref="H186">IFERROR(INDEX('PORTIFÓLIO'!$H$4:$H$433,MATCH($C186,'PORTIFÓLIO'!$C$4:$C$433,0)),"")</f>
        <v/>
      </c>
      <c r="I186" s="256"/>
      <c r="J186" s="218">
        <f t="shared" si="22"/>
        <v>0</v>
      </c>
      <c r="K186" s="219" t="str">
        <f t="array" ref="K186">IFERROR(I186*INDEX('PORTIFÓLIO'!$S$4:$S$433,MATCH($C186,'PORTIFÓLIO'!$C$4:$C$433,0)),"")</f>
        <v/>
      </c>
      <c r="L186" s="219" t="str">
        <f t="array" ref="L186">IFERROR(J186*INDEX('PORTIFÓLIO'!$S$4:$S$433,MATCH($C186,'PORTIFÓLIO'!$C$4:$C$433,0)),"")</f>
        <v/>
      </c>
      <c r="M186" s="220"/>
      <c r="N186" s="220"/>
      <c r="O186" s="220"/>
      <c r="P186" s="220"/>
      <c r="Q186" s="220"/>
      <c r="R186" s="220"/>
      <c r="S186" s="220"/>
      <c r="T186" s="220"/>
      <c r="U186" s="220"/>
      <c r="V186" s="220"/>
      <c r="W186" s="220"/>
    </row>
    <row r="187" ht="15.75" customHeight="1" outlineLevel="1">
      <c r="A187" s="211"/>
      <c r="B187" s="212"/>
      <c r="C187" s="213"/>
      <c r="D187" s="214" t="str">
        <f>IFERROR(VLOOKUP($C187,'PORTIFÓLIO'!C:V,2,0),"")</f>
        <v/>
      </c>
      <c r="E187" s="211" t="str">
        <f>IFERROR(VLOOKUP($C187,'PORTIFÓLIO'!C:V,3,0),"")</f>
        <v/>
      </c>
      <c r="F187" s="211" t="str">
        <f>IFERROR(VLOOKUP($C187,'PORTIFÓLIO'!C:V,4,0),"")</f>
        <v/>
      </c>
      <c r="G187" s="215" t="str">
        <f t="array" ref="G187">IFERROR(INDEX('PORTIFÓLIO'!$H$4:$H$433,MATCH($C187,'PORTIFÓLIO'!$C$4:$C$433,0)),"")</f>
        <v/>
      </c>
      <c r="H187" s="254" t="str">
        <f t="array" ref="H187">IFERROR(INDEX('PORTIFÓLIO'!$H$4:$H$433,MATCH($C187,'PORTIFÓLIO'!$C$4:$C$433,0)),"")</f>
        <v/>
      </c>
      <c r="I187" s="256"/>
      <c r="J187" s="218">
        <f t="shared" si="22"/>
        <v>0</v>
      </c>
      <c r="K187" s="219" t="str">
        <f t="array" ref="K187">IFERROR(I187*INDEX('PORTIFÓLIO'!$S$4:$S$433,MATCH($C187,'PORTIFÓLIO'!$C$4:$C$433,0)),"")</f>
        <v/>
      </c>
      <c r="L187" s="219" t="str">
        <f t="array" ref="L187">IFERROR(J187*INDEX('PORTIFÓLIO'!$S$4:$S$433,MATCH($C187,'PORTIFÓLIO'!$C$4:$C$433,0)),"")</f>
        <v/>
      </c>
      <c r="M187" s="220"/>
      <c r="N187" s="220"/>
      <c r="O187" s="220"/>
      <c r="P187" s="220"/>
      <c r="Q187" s="220"/>
      <c r="R187" s="220"/>
      <c r="S187" s="220"/>
      <c r="T187" s="220"/>
      <c r="U187" s="220"/>
      <c r="V187" s="220"/>
      <c r="W187" s="220"/>
    </row>
    <row r="188" ht="15.75" customHeight="1" outlineLevel="1">
      <c r="A188" s="211"/>
      <c r="B188" s="212"/>
      <c r="C188" s="213"/>
      <c r="D188" s="214" t="str">
        <f>IFERROR(VLOOKUP($C188,'PORTIFÓLIO'!C:V,2,0),"")</f>
        <v/>
      </c>
      <c r="E188" s="211" t="str">
        <f>IFERROR(VLOOKUP($C188,'PORTIFÓLIO'!C:V,3,0),"")</f>
        <v/>
      </c>
      <c r="F188" s="211" t="str">
        <f>IFERROR(VLOOKUP($C188,'PORTIFÓLIO'!C:V,4,0),"")</f>
        <v/>
      </c>
      <c r="G188" s="215" t="str">
        <f t="array" ref="G188">IFERROR(INDEX('PORTIFÓLIO'!$H$4:$H$433,MATCH($C188,'PORTIFÓLIO'!$C$4:$C$433,0)),"")</f>
        <v/>
      </c>
      <c r="H188" s="254" t="str">
        <f t="array" ref="H188">IFERROR(INDEX('PORTIFÓLIO'!$H$4:$H$433,MATCH($C188,'PORTIFÓLIO'!$C$4:$C$433,0)),"")</f>
        <v/>
      </c>
      <c r="I188" s="256"/>
      <c r="J188" s="218">
        <f t="shared" si="22"/>
        <v>0</v>
      </c>
      <c r="K188" s="219" t="str">
        <f t="array" ref="K188">IFERROR(I188*INDEX('PORTIFÓLIO'!$S$4:$S$433,MATCH($C188,'PORTIFÓLIO'!$C$4:$C$433,0)),"")</f>
        <v/>
      </c>
      <c r="L188" s="219" t="str">
        <f t="array" ref="L188">IFERROR(J188*INDEX('PORTIFÓLIO'!$S$4:$S$433,MATCH($C188,'PORTIFÓLIO'!$C$4:$C$433,0)),"")</f>
        <v/>
      </c>
      <c r="M188" s="220"/>
      <c r="N188" s="220"/>
      <c r="O188" s="220"/>
      <c r="P188" s="220"/>
      <c r="Q188" s="220"/>
      <c r="R188" s="220"/>
      <c r="S188" s="220"/>
      <c r="T188" s="220"/>
      <c r="U188" s="220"/>
      <c r="V188" s="220"/>
      <c r="W188" s="220"/>
    </row>
    <row r="189" ht="15.75" customHeight="1" outlineLevel="1">
      <c r="A189" s="211"/>
      <c r="B189" s="212"/>
      <c r="C189" s="213"/>
      <c r="D189" s="214" t="str">
        <f>IFERROR(VLOOKUP($C189,'PORTIFÓLIO'!C:V,2,0),"")</f>
        <v/>
      </c>
      <c r="E189" s="211" t="str">
        <f>IFERROR(VLOOKUP($C189,'PORTIFÓLIO'!C:V,3,0),"")</f>
        <v/>
      </c>
      <c r="F189" s="211" t="str">
        <f>IFERROR(VLOOKUP($C189,'PORTIFÓLIO'!C:V,4,0),"")</f>
        <v/>
      </c>
      <c r="G189" s="215" t="str">
        <f t="array" ref="G189">IFERROR(INDEX('PORTIFÓLIO'!$H$4:$H$433,MATCH($C189,'PORTIFÓLIO'!$C$4:$C$433,0)),"")</f>
        <v/>
      </c>
      <c r="H189" s="254" t="str">
        <f t="array" ref="H189">IFERROR(INDEX('PORTIFÓLIO'!$H$4:$H$433,MATCH($C189,'PORTIFÓLIO'!$C$4:$C$433,0)),"")</f>
        <v/>
      </c>
      <c r="I189" s="256"/>
      <c r="J189" s="218">
        <f t="shared" si="22"/>
        <v>0</v>
      </c>
      <c r="K189" s="219" t="str">
        <f t="array" ref="K189">IFERROR(I189*INDEX('PORTIFÓLIO'!$S$4:$S$433,MATCH($C189,'PORTIFÓLIO'!$C$4:$C$433,0)),"")</f>
        <v/>
      </c>
      <c r="L189" s="219" t="str">
        <f t="array" ref="L189">IFERROR(J189*INDEX('PORTIFÓLIO'!$S$4:$S$433,MATCH($C189,'PORTIFÓLIO'!$C$4:$C$433,0)),"")</f>
        <v/>
      </c>
      <c r="M189" s="220"/>
      <c r="N189" s="220"/>
      <c r="O189" s="220"/>
      <c r="P189" s="220"/>
      <c r="Q189" s="220"/>
      <c r="R189" s="220"/>
      <c r="S189" s="220"/>
      <c r="T189" s="220"/>
      <c r="U189" s="220"/>
      <c r="V189" s="220"/>
      <c r="W189" s="220"/>
    </row>
    <row r="190" ht="15.75" customHeight="1" outlineLevel="1">
      <c r="A190" s="211"/>
      <c r="B190" s="212"/>
      <c r="C190" s="213"/>
      <c r="D190" s="214" t="str">
        <f>IFERROR(VLOOKUP($C190,'PORTIFÓLIO'!C:V,2,0),"")</f>
        <v/>
      </c>
      <c r="E190" s="211" t="str">
        <f>IFERROR(VLOOKUP($C190,'PORTIFÓLIO'!C:V,3,0),"")</f>
        <v/>
      </c>
      <c r="F190" s="211" t="str">
        <f>IFERROR(VLOOKUP($C190,'PORTIFÓLIO'!C:V,4,0),"")</f>
        <v/>
      </c>
      <c r="G190" s="215" t="str">
        <f>IFERROR(VLOOKUP($C190,'PORTIFÓLIO'!C:V,5,0),"")</f>
        <v/>
      </c>
      <c r="H190" s="254" t="str">
        <f t="array" ref="H190">IFERROR(INDEX('PORTIFÓLIO'!$H$4:$H$433,MATCH($C190,'PORTIFÓLIO'!$C$4:$C$433,0)),"")</f>
        <v/>
      </c>
      <c r="I190" s="256"/>
      <c r="J190" s="218">
        <f t="shared" si="22"/>
        <v>0</v>
      </c>
      <c r="K190" s="219" t="str">
        <f t="array" ref="K190">IFERROR(I190*INDEX('PORTIFÓLIO'!$S$4:$S$433,MATCH($C190,'PORTIFÓLIO'!$C$4:$C$433,0)),"")</f>
        <v/>
      </c>
      <c r="L190" s="219" t="str">
        <f t="array" ref="L190">IFERROR(J190*INDEX('PORTIFÓLIO'!$S$4:$S$433,MATCH($C190,'PORTIFÓLIO'!$C$4:$C$433,0)),"")</f>
        <v/>
      </c>
      <c r="M190" s="220"/>
      <c r="N190" s="220"/>
      <c r="O190" s="220"/>
      <c r="P190" s="220"/>
      <c r="Q190" s="220"/>
      <c r="R190" s="220"/>
      <c r="S190" s="220"/>
      <c r="T190" s="220"/>
      <c r="U190" s="220"/>
      <c r="V190" s="220"/>
      <c r="W190" s="220"/>
    </row>
    <row r="191" ht="15.75" customHeight="1" outlineLevel="1">
      <c r="A191" s="211"/>
      <c r="B191" s="212"/>
      <c r="C191" s="213"/>
      <c r="D191" s="214" t="str">
        <f>IFERROR(VLOOKUP($C191,'PORTIFÓLIO'!C:V,2,0),"")</f>
        <v/>
      </c>
      <c r="E191" s="211" t="str">
        <f>IFERROR(VLOOKUP($C191,'PORTIFÓLIO'!C:V,3,0),"")</f>
        <v/>
      </c>
      <c r="F191" s="211" t="str">
        <f>IFERROR(VLOOKUP($C191,'PORTIFÓLIO'!C:V,4,0),"")</f>
        <v/>
      </c>
      <c r="G191" s="215" t="str">
        <f>IFERROR(VLOOKUP($C191,'PORTIFÓLIO'!C:V,5,0),"")</f>
        <v/>
      </c>
      <c r="H191" s="254" t="str">
        <f t="array" ref="H191">IFERROR(INDEX('PORTIFÓLIO'!$H$4:$H$433,MATCH($C191,'PORTIFÓLIO'!$C$4:$C$433,0)),"")</f>
        <v/>
      </c>
      <c r="I191" s="255"/>
      <c r="J191" s="218">
        <f t="shared" si="22"/>
        <v>0</v>
      </c>
      <c r="K191" s="219" t="str">
        <f t="array" ref="K191">IFERROR(I191*INDEX('PORTIFÓLIO'!$S$4:$S$433,MATCH($C191,'PORTIFÓLIO'!$C$4:$C$433,0)),"")</f>
        <v/>
      </c>
      <c r="L191" s="219" t="str">
        <f t="array" ref="L191">IFERROR(J191*INDEX('PORTIFÓLIO'!$S$4:$S$433,MATCH($C191,'PORTIFÓLIO'!$C$4:$C$433,0)),"")</f>
        <v/>
      </c>
      <c r="M191" s="220"/>
      <c r="N191" s="220"/>
      <c r="O191" s="220"/>
      <c r="P191" s="220"/>
      <c r="Q191" s="220"/>
      <c r="R191" s="220"/>
      <c r="S191" s="220"/>
      <c r="T191" s="220"/>
      <c r="U191" s="220"/>
      <c r="V191" s="220"/>
      <c r="W191" s="220"/>
    </row>
    <row r="192" ht="15.75" customHeight="1" outlineLevel="1">
      <c r="A192" s="211"/>
      <c r="B192" s="212"/>
      <c r="C192" s="213"/>
      <c r="D192" s="214" t="str">
        <f>IFERROR(VLOOKUP($C192,'PORTIFÓLIO'!C:V,2,0),"")</f>
        <v/>
      </c>
      <c r="E192" s="211" t="str">
        <f>IFERROR(VLOOKUP($C192,'PORTIFÓLIO'!C:V,3,0),"")</f>
        <v/>
      </c>
      <c r="F192" s="211" t="str">
        <f>IFERROR(VLOOKUP($C192,'PORTIFÓLIO'!C:V,4,0),"")</f>
        <v/>
      </c>
      <c r="G192" s="215" t="str">
        <f>IFERROR(VLOOKUP($C192,'PORTIFÓLIO'!C:V,5,0),"")</f>
        <v/>
      </c>
      <c r="H192" s="254" t="str">
        <f t="array" ref="H192">IFERROR(INDEX('PORTIFÓLIO'!$H$4:$H$433,MATCH($C192,'PORTIFÓLIO'!$C$4:$C$433,0)),"")</f>
        <v/>
      </c>
      <c r="I192" s="256"/>
      <c r="J192" s="218">
        <f t="shared" si="22"/>
        <v>0</v>
      </c>
      <c r="K192" s="219" t="str">
        <f t="array" ref="K192">IFERROR(I192*INDEX('PORTIFÓLIO'!$S$4:$S$433,MATCH($C192,'PORTIFÓLIO'!$C$4:$C$433,0)),"")</f>
        <v/>
      </c>
      <c r="L192" s="219" t="str">
        <f t="array" ref="L192">IFERROR(J192*INDEX('PORTIFÓLIO'!$S$4:$S$433,MATCH($C192,'PORTIFÓLIO'!$C$4:$C$433,0)),"")</f>
        <v/>
      </c>
      <c r="M192" s="220"/>
      <c r="N192" s="220"/>
      <c r="O192" s="220"/>
      <c r="P192" s="220"/>
      <c r="Q192" s="220"/>
      <c r="R192" s="220"/>
      <c r="S192" s="220"/>
      <c r="T192" s="220"/>
      <c r="U192" s="220"/>
      <c r="V192" s="220"/>
      <c r="W192" s="220"/>
    </row>
    <row r="193" ht="15.75" customHeight="1" outlineLevel="1">
      <c r="A193" s="211"/>
      <c r="B193" s="212"/>
      <c r="C193" s="213"/>
      <c r="D193" s="214" t="str">
        <f>IFERROR(VLOOKUP($C193,'PORTIFÓLIO'!C:V,2,0),"")</f>
        <v/>
      </c>
      <c r="E193" s="211" t="str">
        <f>IFERROR(VLOOKUP($C193,'PORTIFÓLIO'!C:V,3,0),"")</f>
        <v/>
      </c>
      <c r="F193" s="211" t="str">
        <f>IFERROR(VLOOKUP($C193,'PORTIFÓLIO'!C:V,4,0),"")</f>
        <v/>
      </c>
      <c r="G193" s="215" t="str">
        <f>IFERROR(VLOOKUP($C193,'PORTIFÓLIO'!C:V,5,0),"")</f>
        <v/>
      </c>
      <c r="H193" s="254" t="str">
        <f t="array" ref="H193">IFERROR(INDEX('PORTIFÓLIO'!$H$4:$H$433,MATCH($C193,'PORTIFÓLIO'!$C$4:$C$433,0)),"")</f>
        <v/>
      </c>
      <c r="I193" s="256"/>
      <c r="J193" s="218">
        <f t="shared" si="22"/>
        <v>0</v>
      </c>
      <c r="K193" s="219" t="str">
        <f t="array" ref="K193">IFERROR(I193*INDEX('PORTIFÓLIO'!$S$4:$S$433,MATCH($C193,'PORTIFÓLIO'!$C$4:$C$433,0)),"")</f>
        <v/>
      </c>
      <c r="L193" s="219" t="str">
        <f t="array" ref="L193">IFERROR(J193*INDEX('PORTIFÓLIO'!$S$4:$S$433,MATCH($C193,'PORTIFÓLIO'!$C$4:$C$433,0)),"")</f>
        <v/>
      </c>
      <c r="M193" s="220"/>
      <c r="N193" s="220"/>
      <c r="O193" s="220"/>
      <c r="P193" s="220"/>
      <c r="Q193" s="220"/>
      <c r="R193" s="220"/>
      <c r="S193" s="220"/>
      <c r="T193" s="220"/>
      <c r="U193" s="220"/>
      <c r="V193" s="220"/>
      <c r="W193" s="220"/>
    </row>
    <row r="194" ht="15.75" customHeight="1" outlineLevel="1">
      <c r="A194" s="211"/>
      <c r="B194" s="212"/>
      <c r="C194" s="213"/>
      <c r="D194" s="214" t="str">
        <f>IFERROR(VLOOKUP($C194,'PORTIFÓLIO'!C:V,2,0),"")</f>
        <v/>
      </c>
      <c r="E194" s="211" t="str">
        <f>IFERROR(VLOOKUP($C194,'PORTIFÓLIO'!C:V,3,0),"")</f>
        <v/>
      </c>
      <c r="F194" s="211" t="str">
        <f>IFERROR(VLOOKUP($C194,'PORTIFÓLIO'!C:V,4,0),"")</f>
        <v/>
      </c>
      <c r="G194" s="215" t="str">
        <f>IFERROR(VLOOKUP($C194,'PORTIFÓLIO'!C:V,5,0),"")</f>
        <v/>
      </c>
      <c r="H194" s="254" t="str">
        <f t="array" ref="H194">IFERROR(INDEX('PORTIFÓLIO'!$H$4:$H$433,MATCH($C194,'PORTIFÓLIO'!$C$4:$C$433,0)),"")</f>
        <v/>
      </c>
      <c r="I194" s="256"/>
      <c r="J194" s="218">
        <f t="shared" si="22"/>
        <v>0</v>
      </c>
      <c r="K194" s="219" t="str">
        <f t="array" ref="K194">IFERROR(I194*INDEX('PORTIFÓLIO'!$S$4:$S$433,MATCH($C194,'PORTIFÓLIO'!$C$4:$C$433,0)),"")</f>
        <v/>
      </c>
      <c r="L194" s="219" t="str">
        <f t="array" ref="L194">IFERROR(J194*INDEX('PORTIFÓLIO'!$S$4:$S$433,MATCH($C194,'PORTIFÓLIO'!$C$4:$C$433,0)),"")</f>
        <v/>
      </c>
      <c r="M194" s="220"/>
      <c r="N194" s="220"/>
      <c r="O194" s="220"/>
      <c r="P194" s="220"/>
      <c r="Q194" s="220"/>
      <c r="R194" s="220"/>
      <c r="S194" s="220"/>
      <c r="T194" s="220"/>
      <c r="U194" s="220"/>
      <c r="V194" s="220"/>
      <c r="W194" s="220"/>
    </row>
    <row r="195" ht="15.75" customHeight="1" outlineLevel="1">
      <c r="A195" s="211"/>
      <c r="B195" s="212"/>
      <c r="C195" s="213"/>
      <c r="D195" s="214" t="str">
        <f>IFERROR(VLOOKUP($C195,'PORTIFÓLIO'!C:V,2,0),"")</f>
        <v/>
      </c>
      <c r="E195" s="211" t="str">
        <f>IFERROR(VLOOKUP($C195,'PORTIFÓLIO'!C:V,3,0),"")</f>
        <v/>
      </c>
      <c r="F195" s="211" t="str">
        <f>IFERROR(VLOOKUP($C195,'PORTIFÓLIO'!C:V,4,0),"")</f>
        <v/>
      </c>
      <c r="G195" s="215" t="str">
        <f>IFERROR(VLOOKUP($C195,'PORTIFÓLIO'!C:V,5,0),"")</f>
        <v/>
      </c>
      <c r="H195" s="254" t="str">
        <f t="array" ref="H195">IFERROR(INDEX('PORTIFÓLIO'!$H$4:$H$433,MATCH($C195,'PORTIFÓLIO'!$C$4:$C$433,0)),"")</f>
        <v/>
      </c>
      <c r="I195" s="256"/>
      <c r="J195" s="218">
        <f t="shared" si="22"/>
        <v>0</v>
      </c>
      <c r="K195" s="219" t="str">
        <f t="array" ref="K195">IFERROR(I195*INDEX('PORTIFÓLIO'!$S$4:$S$433,MATCH($C195,'PORTIFÓLIO'!$C$4:$C$433,0)),"")</f>
        <v/>
      </c>
      <c r="L195" s="219" t="str">
        <f t="array" ref="L195">IFERROR(J195*INDEX('PORTIFÓLIO'!$S$4:$S$433,MATCH($C195,'PORTIFÓLIO'!$C$4:$C$433,0)),"")</f>
        <v/>
      </c>
      <c r="M195" s="220"/>
      <c r="N195" s="220"/>
      <c r="O195" s="220"/>
      <c r="P195" s="220"/>
      <c r="Q195" s="220"/>
      <c r="R195" s="220"/>
      <c r="S195" s="220"/>
      <c r="T195" s="220"/>
      <c r="U195" s="220"/>
      <c r="V195" s="220"/>
      <c r="W195" s="220"/>
    </row>
    <row r="196" ht="15.75" customHeight="1" outlineLevel="1">
      <c r="A196" s="211"/>
      <c r="B196" s="212"/>
      <c r="C196" s="213"/>
      <c r="D196" s="214" t="str">
        <f>IFERROR(VLOOKUP($C196,'PORTIFÓLIO'!C:V,2,0),"")</f>
        <v/>
      </c>
      <c r="E196" s="211" t="str">
        <f>IFERROR(VLOOKUP($C196,'PORTIFÓLIO'!C:V,3,0),"")</f>
        <v/>
      </c>
      <c r="F196" s="211" t="str">
        <f>IFERROR(VLOOKUP($C196,'PORTIFÓLIO'!C:V,4,0),"")</f>
        <v/>
      </c>
      <c r="G196" s="215" t="str">
        <f>IFERROR(VLOOKUP($C196,'PORTIFÓLIO'!C:V,5,0),"")</f>
        <v/>
      </c>
      <c r="H196" s="254" t="str">
        <f t="array" ref="H196">IFERROR(INDEX('PORTIFÓLIO'!$H$4:$H$433,MATCH($C196,'PORTIFÓLIO'!$C$4:$C$433,0)),"")</f>
        <v/>
      </c>
      <c r="I196" s="256"/>
      <c r="J196" s="218">
        <f t="shared" si="22"/>
        <v>0</v>
      </c>
      <c r="K196" s="219" t="str">
        <f t="array" ref="K196">IFERROR(I196*INDEX('PORTIFÓLIO'!$S$4:$S$433,MATCH($C196,'PORTIFÓLIO'!$C$4:$C$433,0)),"")</f>
        <v/>
      </c>
      <c r="L196" s="219" t="str">
        <f t="array" ref="L196">IFERROR(J196*INDEX('PORTIFÓLIO'!$S$4:$S$433,MATCH($C196,'PORTIFÓLIO'!$C$4:$C$433,0)),"")</f>
        <v/>
      </c>
      <c r="M196" s="220"/>
      <c r="N196" s="220"/>
      <c r="O196" s="220"/>
      <c r="P196" s="220"/>
      <c r="Q196" s="220"/>
      <c r="R196" s="220"/>
      <c r="S196" s="220"/>
      <c r="T196" s="220"/>
      <c r="U196" s="220"/>
      <c r="V196" s="220"/>
      <c r="W196" s="220"/>
    </row>
    <row r="197" ht="15.75" customHeight="1" outlineLevel="1">
      <c r="A197" s="211"/>
      <c r="B197" s="212"/>
      <c r="C197" s="213"/>
      <c r="D197" s="214" t="str">
        <f>IFERROR(VLOOKUP($C197,'PORTIFÓLIO'!C:V,2,0),"")</f>
        <v/>
      </c>
      <c r="E197" s="211" t="str">
        <f>IFERROR(VLOOKUP($C197,'PORTIFÓLIO'!C:V,3,0),"")</f>
        <v/>
      </c>
      <c r="F197" s="211" t="str">
        <f>IFERROR(VLOOKUP($C197,'PORTIFÓLIO'!C:V,4,0),"")</f>
        <v/>
      </c>
      <c r="G197" s="215" t="str">
        <f>IFERROR(VLOOKUP($C197,'PORTIFÓLIO'!C:V,5,0),"")</f>
        <v/>
      </c>
      <c r="H197" s="254" t="str">
        <f t="array" ref="H197">IFERROR(INDEX('PORTIFÓLIO'!$H$4:$H$433,MATCH($C197,'PORTIFÓLIO'!$C$4:$C$433,0)),"")</f>
        <v/>
      </c>
      <c r="I197" s="256"/>
      <c r="J197" s="218">
        <f t="shared" si="22"/>
        <v>0</v>
      </c>
      <c r="K197" s="219" t="str">
        <f t="array" ref="K197">IFERROR(I197*INDEX('PORTIFÓLIO'!$S$4:$S$433,MATCH($C197,'PORTIFÓLIO'!$C$4:$C$433,0)),"")</f>
        <v/>
      </c>
      <c r="L197" s="219" t="str">
        <f t="array" ref="L197">IFERROR(J197*INDEX('PORTIFÓLIO'!$S$4:$S$433,MATCH($C197,'PORTIFÓLIO'!$C$4:$C$433,0)),"")</f>
        <v/>
      </c>
      <c r="M197" s="220"/>
      <c r="N197" s="220"/>
      <c r="O197" s="220"/>
      <c r="P197" s="220"/>
      <c r="Q197" s="220"/>
      <c r="R197" s="220"/>
      <c r="S197" s="220"/>
      <c r="T197" s="220"/>
      <c r="U197" s="220"/>
      <c r="V197" s="220"/>
      <c r="W197" s="220"/>
    </row>
    <row r="198" ht="15.75" customHeight="1" outlineLevel="1">
      <c r="A198" s="211"/>
      <c r="B198" s="227"/>
      <c r="C198" s="211"/>
      <c r="D198" s="214" t="str">
        <f>IFERROR(VLOOKUP($C198,'PORTIFÓLIO'!C:V,2,0),"")</f>
        <v/>
      </c>
      <c r="E198" s="211" t="str">
        <f>IFERROR(VLOOKUP($C198,'PORTIFÓLIO'!C:V,3,0),"")</f>
        <v/>
      </c>
      <c r="F198" s="211" t="str">
        <f>IFERROR(VLOOKUP($C198,'PORTIFÓLIO'!C:V,4,0),"")</f>
        <v/>
      </c>
      <c r="G198" s="215" t="str">
        <f>IFERROR(VLOOKUP($C198,'PORTIFÓLIO'!C:V,5,0),"")</f>
        <v/>
      </c>
      <c r="H198" s="254" t="str">
        <f t="array" ref="H198">IFERROR(INDEX('PORTIFÓLIO'!$H$4:$H$433,MATCH($C198,'PORTIFÓLIO'!$C$4:$C$433,0)),"")</f>
        <v/>
      </c>
      <c r="I198" s="256"/>
      <c r="J198" s="218">
        <f t="shared" si="22"/>
        <v>0</v>
      </c>
      <c r="K198" s="219" t="str">
        <f t="array" ref="K198">IFERROR(I198*INDEX('PORTIFÓLIO'!$S$4:$S$433,MATCH($C198,'PORTIFÓLIO'!$C$4:$C$433,0)),"")</f>
        <v/>
      </c>
      <c r="L198" s="219" t="str">
        <f t="array" ref="L198">IFERROR(J198*INDEX('PORTIFÓLIO'!$S$4:$S$433,MATCH($C198,'PORTIFÓLIO'!$C$4:$C$433,0)),"")</f>
        <v/>
      </c>
      <c r="M198" s="220"/>
      <c r="N198" s="220"/>
      <c r="O198" s="220"/>
      <c r="P198" s="220"/>
      <c r="Q198" s="220"/>
      <c r="R198" s="220"/>
      <c r="S198" s="220"/>
      <c r="T198" s="220"/>
      <c r="U198" s="220"/>
      <c r="V198" s="220"/>
      <c r="W198" s="220"/>
    </row>
    <row r="199" ht="15.75" customHeight="1" outlineLevel="1">
      <c r="A199" s="211"/>
      <c r="B199" s="227"/>
      <c r="C199" s="211"/>
      <c r="D199" s="214" t="str">
        <f>IFERROR(VLOOKUP($C199,'PORTIFÓLIO'!C:V,2,0),"")</f>
        <v/>
      </c>
      <c r="E199" s="211" t="str">
        <f>IFERROR(VLOOKUP($C199,'PORTIFÓLIO'!C:V,3,0),"")</f>
        <v/>
      </c>
      <c r="F199" s="211" t="str">
        <f>IFERROR(VLOOKUP($C199,'PORTIFÓLIO'!C:V,4,0),"")</f>
        <v/>
      </c>
      <c r="G199" s="215" t="str">
        <f>IFERROR(VLOOKUP($C199,'PORTIFÓLIO'!C:V,5,0),"")</f>
        <v/>
      </c>
      <c r="H199" s="254" t="str">
        <f t="array" ref="H199">IFERROR(INDEX('PORTIFÓLIO'!$H$4:$H$433,MATCH($C199,'PORTIFÓLIO'!$C$4:$C$433,0)),"")</f>
        <v/>
      </c>
      <c r="I199" s="256"/>
      <c r="J199" s="218">
        <f t="shared" si="22"/>
        <v>0</v>
      </c>
      <c r="K199" s="219" t="str">
        <f t="array" ref="K199">IFERROR(I199*INDEX('PORTIFÓLIO'!$S$4:$S$433,MATCH($C199,'PORTIFÓLIO'!$C$4:$C$433,0)),"")</f>
        <v/>
      </c>
      <c r="L199" s="219" t="str">
        <f t="array" ref="L199">IFERROR(J199*INDEX('PORTIFÓLIO'!$S$4:$S$433,MATCH($C199,'PORTIFÓLIO'!$C$4:$C$433,0)),"")</f>
        <v/>
      </c>
      <c r="M199" s="220"/>
      <c r="N199" s="220"/>
      <c r="O199" s="220"/>
      <c r="P199" s="220"/>
      <c r="Q199" s="220"/>
      <c r="R199" s="220"/>
      <c r="S199" s="220"/>
      <c r="T199" s="220"/>
      <c r="U199" s="220"/>
      <c r="V199" s="220"/>
      <c r="W199" s="220"/>
    </row>
    <row r="200" ht="15.75" customHeight="1">
      <c r="A200" s="229" t="s">
        <v>1202</v>
      </c>
      <c r="B200" s="230"/>
      <c r="C200" s="231"/>
      <c r="D200" s="232"/>
      <c r="E200" s="231"/>
      <c r="F200" s="231"/>
      <c r="G200" s="233"/>
      <c r="H200" s="233"/>
      <c r="I200" s="258"/>
      <c r="J200" s="236"/>
      <c r="K200" s="237">
        <f t="shared" ref="K200:L200" si="23">SUBTOTAL(9,K201:K214)</f>
        <v>0</v>
      </c>
      <c r="L200" s="237">
        <f t="shared" si="23"/>
        <v>0</v>
      </c>
      <c r="M200" s="220"/>
      <c r="N200" s="220"/>
      <c r="O200" s="220"/>
      <c r="P200" s="220"/>
      <c r="Q200" s="220"/>
      <c r="R200" s="220"/>
      <c r="S200" s="220"/>
      <c r="T200" s="220"/>
      <c r="U200" s="220"/>
      <c r="V200" s="220"/>
      <c r="W200" s="220"/>
    </row>
    <row r="201" ht="15.75" customHeight="1" outlineLevel="1">
      <c r="A201" s="213"/>
      <c r="B201" s="212"/>
      <c r="C201" s="213"/>
      <c r="D201" s="214" t="str">
        <f>IFERROR(VLOOKUP($C201,'PORTIFÓLIO'!C:V,2,0),"")</f>
        <v/>
      </c>
      <c r="E201" s="211" t="str">
        <f>IFERROR(VLOOKUP($C201,'PORTIFÓLIO'!C:V,3,0),"")</f>
        <v/>
      </c>
      <c r="F201" s="211" t="str">
        <f>IFERROR(VLOOKUP($C201,'PORTIFÓLIO'!C:V,4,0),"")</f>
        <v/>
      </c>
      <c r="G201" s="215" t="str">
        <f>IFERROR(VLOOKUP($C201,'PORTIFÓLIO'!C:V,5,0),"")</f>
        <v/>
      </c>
      <c r="H201" s="254" t="str">
        <f t="array" ref="H201">IFERROR(INDEX('PORTIFÓLIO'!$H$4:$H$433,MATCH($C201,'PORTIFÓLIO'!$C$4:$C$433,0)),"")</f>
        <v/>
      </c>
      <c r="I201" s="256"/>
      <c r="J201" s="218">
        <f t="shared" ref="J201:J224" si="24">I201*$B$2</f>
        <v>0</v>
      </c>
      <c r="K201" s="219" t="str">
        <f>IFERROR(I201* VLOOKUP($C201,'PORTIFÓLIO'!C:V,10,0),"")</f>
        <v/>
      </c>
      <c r="L201" s="219" t="str">
        <f>IFERROR(J201* VLOOKUP($C201,'PORTIFÓLIO'!C:V,10,0),"")</f>
        <v/>
      </c>
      <c r="M201" s="220"/>
      <c r="N201" s="220"/>
      <c r="O201" s="220"/>
      <c r="P201" s="220"/>
      <c r="Q201" s="220"/>
      <c r="R201" s="220"/>
      <c r="S201" s="220"/>
      <c r="T201" s="220"/>
      <c r="U201" s="220"/>
      <c r="V201" s="220"/>
      <c r="W201" s="220"/>
    </row>
    <row r="202" ht="15.75" customHeight="1" outlineLevel="1">
      <c r="A202" s="211"/>
      <c r="B202" s="212"/>
      <c r="C202" s="213"/>
      <c r="D202" s="214" t="str">
        <f>IFERROR(VLOOKUP($C202,'PORTIFÓLIO'!C:V,2,0),"")</f>
        <v/>
      </c>
      <c r="E202" s="211" t="str">
        <f>IFERROR(VLOOKUP($C202,'PORTIFÓLIO'!C:V,3,0),"")</f>
        <v/>
      </c>
      <c r="F202" s="211" t="str">
        <f>IFERROR(VLOOKUP($C202,'PORTIFÓLIO'!C:V,4,0),"")</f>
        <v/>
      </c>
      <c r="G202" s="215" t="str">
        <f>IFERROR(VLOOKUP($C202,'PORTIFÓLIO'!C:V,5,0),"")</f>
        <v/>
      </c>
      <c r="H202" s="254" t="str">
        <f t="array" ref="H202">IFERROR(INDEX('PORTIFÓLIO'!$H$4:$H$433,MATCH($C202,'PORTIFÓLIO'!$C$4:$C$433,0)),"")</f>
        <v/>
      </c>
      <c r="I202" s="256"/>
      <c r="J202" s="218">
        <f t="shared" si="24"/>
        <v>0</v>
      </c>
      <c r="K202" s="219" t="str">
        <f>IFERROR(I202* VLOOKUP($C202,'PORTIFÓLIO'!C:V,10,0),"")</f>
        <v/>
      </c>
      <c r="L202" s="219" t="str">
        <f>IFERROR(J202* VLOOKUP($C202,'PORTIFÓLIO'!C:V,10,0),"")</f>
        <v/>
      </c>
      <c r="M202" s="220"/>
      <c r="N202" s="220"/>
      <c r="O202" s="220"/>
      <c r="P202" s="220"/>
      <c r="Q202" s="220"/>
      <c r="R202" s="220"/>
      <c r="S202" s="220"/>
      <c r="T202" s="220"/>
      <c r="U202" s="220"/>
      <c r="V202" s="220"/>
      <c r="W202" s="220"/>
    </row>
    <row r="203" ht="15.75" customHeight="1" outlineLevel="1">
      <c r="A203" s="211"/>
      <c r="B203" s="212"/>
      <c r="C203" s="213"/>
      <c r="D203" s="214" t="str">
        <f>IFERROR(VLOOKUP($C203,'PORTIFÓLIO'!C:V,2,0),"")</f>
        <v/>
      </c>
      <c r="E203" s="211" t="str">
        <f>IFERROR(VLOOKUP($C203,'PORTIFÓLIO'!C:V,3,0),"")</f>
        <v/>
      </c>
      <c r="F203" s="211" t="str">
        <f>IFERROR(VLOOKUP($C203,'PORTIFÓLIO'!C:V,4,0),"")</f>
        <v/>
      </c>
      <c r="G203" s="215" t="str">
        <f>IFERROR(VLOOKUP($C203,'PORTIFÓLIO'!C:V,5,0),"")</f>
        <v/>
      </c>
      <c r="H203" s="254" t="str">
        <f t="array" ref="H203">IFERROR(INDEX('PORTIFÓLIO'!$H$4:$H$433,MATCH($C203,'PORTIFÓLIO'!$C$4:$C$433,0)),"")</f>
        <v/>
      </c>
      <c r="I203" s="256"/>
      <c r="J203" s="218">
        <f t="shared" si="24"/>
        <v>0</v>
      </c>
      <c r="K203" s="219" t="str">
        <f>IFERROR(I203* VLOOKUP($C203,'PORTIFÓLIO'!C:V,10,0),"")</f>
        <v/>
      </c>
      <c r="L203" s="219" t="str">
        <f>IFERROR(J203* VLOOKUP($C203,'PORTIFÓLIO'!C:V,10,0),"")</f>
        <v/>
      </c>
      <c r="M203" s="220"/>
      <c r="N203" s="220"/>
      <c r="O203" s="220"/>
      <c r="P203" s="220"/>
      <c r="Q203" s="220"/>
      <c r="R203" s="220"/>
      <c r="S203" s="220"/>
      <c r="T203" s="220"/>
      <c r="U203" s="220"/>
      <c r="V203" s="220"/>
      <c r="W203" s="220"/>
    </row>
    <row r="204" ht="15.75" customHeight="1" outlineLevel="1">
      <c r="A204" s="211"/>
      <c r="B204" s="212"/>
      <c r="C204" s="213"/>
      <c r="D204" s="214" t="str">
        <f>IFERROR(VLOOKUP($C204,'PORTIFÓLIO'!C:V,2,0),"")</f>
        <v/>
      </c>
      <c r="E204" s="211" t="str">
        <f>IFERROR(VLOOKUP($C204,'PORTIFÓLIO'!C:V,3,0),"")</f>
        <v/>
      </c>
      <c r="F204" s="211" t="str">
        <f>IFERROR(VLOOKUP($C204,'PORTIFÓLIO'!C:V,4,0),"")</f>
        <v/>
      </c>
      <c r="G204" s="215" t="str">
        <f>IFERROR(VLOOKUP($C204,'PORTIFÓLIO'!C:V,5,0),"")</f>
        <v/>
      </c>
      <c r="H204" s="254" t="str">
        <f t="array" ref="H204">IFERROR(INDEX('PORTIFÓLIO'!$H$4:$H$433,MATCH($C204,'PORTIFÓLIO'!$C$4:$C$433,0)),"")</f>
        <v/>
      </c>
      <c r="I204" s="256"/>
      <c r="J204" s="218">
        <f t="shared" si="24"/>
        <v>0</v>
      </c>
      <c r="K204" s="219" t="str">
        <f>IFERROR(I204* VLOOKUP($C204,'PORTIFÓLIO'!C:V,10,0),"")</f>
        <v/>
      </c>
      <c r="L204" s="219" t="str">
        <f>IFERROR(J204* VLOOKUP($C204,'PORTIFÓLIO'!C:V,10,0),"")</f>
        <v/>
      </c>
      <c r="M204" s="220"/>
      <c r="N204" s="220"/>
      <c r="O204" s="220"/>
      <c r="P204" s="220"/>
      <c r="Q204" s="220"/>
      <c r="R204" s="220"/>
      <c r="S204" s="220"/>
      <c r="T204" s="220"/>
      <c r="U204" s="220"/>
      <c r="V204" s="220"/>
      <c r="W204" s="220"/>
    </row>
    <row r="205" ht="15.75" customHeight="1" outlineLevel="1">
      <c r="A205" s="211"/>
      <c r="B205" s="212"/>
      <c r="C205" s="213"/>
      <c r="D205" s="214" t="str">
        <f>IFERROR(VLOOKUP($C205,'PORTIFÓLIO'!C:V,2,0),"")</f>
        <v/>
      </c>
      <c r="E205" s="211" t="str">
        <f>IFERROR(VLOOKUP($C205,'PORTIFÓLIO'!C:V,3,0),"")</f>
        <v/>
      </c>
      <c r="F205" s="211" t="str">
        <f>IFERROR(VLOOKUP($C205,'PORTIFÓLIO'!C:V,4,0),"")</f>
        <v/>
      </c>
      <c r="G205" s="215" t="str">
        <f>IFERROR(VLOOKUP($C205,'PORTIFÓLIO'!C:V,5,0),"")</f>
        <v/>
      </c>
      <c r="H205" s="254" t="str">
        <f t="array" ref="H205">IFERROR(INDEX('PORTIFÓLIO'!$H$4:$H$433,MATCH($C205,'PORTIFÓLIO'!$C$4:$C$433,0)),"")</f>
        <v/>
      </c>
      <c r="I205" s="256"/>
      <c r="J205" s="218">
        <f t="shared" si="24"/>
        <v>0</v>
      </c>
      <c r="K205" s="219" t="str">
        <f>IFERROR(I205* VLOOKUP($C205,'PORTIFÓLIO'!C:V,10,0),"")</f>
        <v/>
      </c>
      <c r="L205" s="219" t="str">
        <f>IFERROR(J205* VLOOKUP($C205,'PORTIFÓLIO'!C:V,10,0),"")</f>
        <v/>
      </c>
      <c r="M205" s="220"/>
      <c r="N205" s="220"/>
      <c r="O205" s="220"/>
      <c r="P205" s="220"/>
      <c r="Q205" s="220"/>
      <c r="R205" s="220"/>
      <c r="S205" s="220"/>
      <c r="T205" s="220"/>
      <c r="U205" s="220"/>
      <c r="V205" s="220"/>
      <c r="W205" s="220"/>
    </row>
    <row r="206" ht="15.75" customHeight="1" outlineLevel="1">
      <c r="A206" s="211"/>
      <c r="B206" s="212"/>
      <c r="C206" s="213"/>
      <c r="D206" s="214" t="str">
        <f>IFERROR(VLOOKUP($C206,'PORTIFÓLIO'!C:V,2,0),"")</f>
        <v/>
      </c>
      <c r="E206" s="211" t="str">
        <f>IFERROR(VLOOKUP($C206,'PORTIFÓLIO'!C:V,3,0),"")</f>
        <v/>
      </c>
      <c r="F206" s="211" t="str">
        <f>IFERROR(VLOOKUP($C206,'PORTIFÓLIO'!C:V,4,0),"")</f>
        <v/>
      </c>
      <c r="G206" s="215" t="str">
        <f>IFERROR(VLOOKUP($C206,'PORTIFÓLIO'!C:V,5,0),"")</f>
        <v/>
      </c>
      <c r="H206" s="254" t="str">
        <f t="array" ref="H206">IFERROR(INDEX('PORTIFÓLIO'!$H$4:$H$433,MATCH($C206,'PORTIFÓLIO'!$C$4:$C$433,0)),"")</f>
        <v/>
      </c>
      <c r="I206" s="256"/>
      <c r="J206" s="218">
        <f t="shared" si="24"/>
        <v>0</v>
      </c>
      <c r="K206" s="219" t="str">
        <f>IFERROR(I206* VLOOKUP($C206,'PORTIFÓLIO'!C:V,10,0),"")</f>
        <v/>
      </c>
      <c r="L206" s="219" t="str">
        <f>IFERROR(J206* VLOOKUP($C206,'PORTIFÓLIO'!C:V,10,0),"")</f>
        <v/>
      </c>
      <c r="M206" s="220"/>
      <c r="N206" s="220"/>
      <c r="O206" s="220"/>
      <c r="P206" s="220"/>
      <c r="Q206" s="220"/>
      <c r="R206" s="220"/>
      <c r="S206" s="220"/>
      <c r="T206" s="220"/>
      <c r="U206" s="220"/>
      <c r="V206" s="220"/>
      <c r="W206" s="220"/>
    </row>
    <row r="207" ht="15.75" customHeight="1" outlineLevel="1">
      <c r="A207" s="211"/>
      <c r="B207" s="212"/>
      <c r="C207" s="213"/>
      <c r="D207" s="214" t="str">
        <f>IFERROR(VLOOKUP($C207,'PORTIFÓLIO'!C:V,2,0),"")</f>
        <v/>
      </c>
      <c r="E207" s="211" t="str">
        <f>IFERROR(VLOOKUP($C207,'PORTIFÓLIO'!C:V,3,0),"")</f>
        <v/>
      </c>
      <c r="F207" s="211" t="str">
        <f>IFERROR(VLOOKUP($C207,'PORTIFÓLIO'!C:V,4,0),"")</f>
        <v/>
      </c>
      <c r="G207" s="215" t="str">
        <f>IFERROR(VLOOKUP($C207,'PORTIFÓLIO'!C:V,5,0),"")</f>
        <v/>
      </c>
      <c r="H207" s="254" t="str">
        <f t="array" ref="H207">IFERROR(INDEX('PORTIFÓLIO'!$H$4:$H$433,MATCH($C207,'PORTIFÓLIO'!$C$4:$C$433,0)),"")</f>
        <v/>
      </c>
      <c r="I207" s="256"/>
      <c r="J207" s="218">
        <f t="shared" si="24"/>
        <v>0</v>
      </c>
      <c r="K207" s="219" t="str">
        <f>IFERROR(I207* VLOOKUP($C207,'PORTIFÓLIO'!C:V,10,0),"")</f>
        <v/>
      </c>
      <c r="L207" s="219" t="str">
        <f>IFERROR(J207* VLOOKUP($C207,'PORTIFÓLIO'!C:V,10,0),"")</f>
        <v/>
      </c>
      <c r="M207" s="220"/>
      <c r="N207" s="220"/>
      <c r="O207" s="220"/>
      <c r="P207" s="220"/>
      <c r="Q207" s="220"/>
      <c r="R207" s="220"/>
      <c r="S207" s="220"/>
      <c r="T207" s="220"/>
      <c r="U207" s="220"/>
      <c r="V207" s="220"/>
      <c r="W207" s="220"/>
    </row>
    <row r="208" ht="15.75" customHeight="1" outlineLevel="1">
      <c r="A208" s="211"/>
      <c r="B208" s="212"/>
      <c r="C208" s="213"/>
      <c r="D208" s="214" t="str">
        <f>IFERROR(VLOOKUP($C208,'PORTIFÓLIO'!C:V,2,0),"")</f>
        <v/>
      </c>
      <c r="E208" s="211" t="str">
        <f>IFERROR(VLOOKUP($C208,'PORTIFÓLIO'!C:V,3,0),"")</f>
        <v/>
      </c>
      <c r="F208" s="211" t="str">
        <f>IFERROR(VLOOKUP($C208,'PORTIFÓLIO'!C:V,4,0),"")</f>
        <v/>
      </c>
      <c r="G208" s="215" t="str">
        <f>IFERROR(VLOOKUP($C208,'PORTIFÓLIO'!C:V,5,0),"")</f>
        <v/>
      </c>
      <c r="H208" s="254" t="str">
        <f t="array" ref="H208">IFERROR(INDEX('PORTIFÓLIO'!$H$4:$H$433,MATCH($C208,'PORTIFÓLIO'!$C$4:$C$433,0)),"")</f>
        <v/>
      </c>
      <c r="I208" s="256"/>
      <c r="J208" s="218">
        <f t="shared" si="24"/>
        <v>0</v>
      </c>
      <c r="K208" s="219" t="str">
        <f>IFERROR(I208* VLOOKUP($C208,'PORTIFÓLIO'!C:V,10,0),"")</f>
        <v/>
      </c>
      <c r="L208" s="219" t="str">
        <f>IFERROR(J208* VLOOKUP($C208,'PORTIFÓLIO'!C:V,10,0),"")</f>
        <v/>
      </c>
      <c r="M208" s="220"/>
      <c r="N208" s="220"/>
      <c r="O208" s="220"/>
      <c r="P208" s="220"/>
      <c r="Q208" s="220"/>
      <c r="R208" s="220"/>
      <c r="S208" s="220"/>
      <c r="T208" s="220"/>
      <c r="U208" s="220"/>
      <c r="V208" s="220"/>
      <c r="W208" s="220"/>
    </row>
    <row r="209" ht="15.75" customHeight="1" outlineLevel="1">
      <c r="A209" s="211"/>
      <c r="B209" s="212"/>
      <c r="C209" s="213"/>
      <c r="D209" s="214" t="str">
        <f>IFERROR(VLOOKUP($C209,'PORTIFÓLIO'!C:V,2,0),"")</f>
        <v/>
      </c>
      <c r="E209" s="211" t="str">
        <f>IFERROR(VLOOKUP($C209,'PORTIFÓLIO'!C:V,3,0),"")</f>
        <v/>
      </c>
      <c r="F209" s="211" t="str">
        <f>IFERROR(VLOOKUP($C209,'PORTIFÓLIO'!C:V,4,0),"")</f>
        <v/>
      </c>
      <c r="G209" s="215" t="str">
        <f>IFERROR(VLOOKUP($C209,'PORTIFÓLIO'!C:V,5,0),"")</f>
        <v/>
      </c>
      <c r="H209" s="254" t="str">
        <f t="array" ref="H209">IFERROR(INDEX('PORTIFÓLIO'!$H$4:$H$433,MATCH($C209,'PORTIFÓLIO'!$C$4:$C$433,0)),"")</f>
        <v/>
      </c>
      <c r="I209" s="256"/>
      <c r="J209" s="218">
        <f t="shared" si="24"/>
        <v>0</v>
      </c>
      <c r="K209" s="219" t="str">
        <f>IFERROR(I209* VLOOKUP($C209,'PORTIFÓLIO'!C:V,10,0),"")</f>
        <v/>
      </c>
      <c r="L209" s="219" t="str">
        <f>IFERROR(J209* VLOOKUP($C209,'PORTIFÓLIO'!C:V,10,0),"")</f>
        <v/>
      </c>
      <c r="M209" s="220"/>
      <c r="N209" s="220"/>
      <c r="O209" s="220"/>
      <c r="P209" s="220"/>
      <c r="Q209" s="220"/>
      <c r="R209" s="220"/>
      <c r="S209" s="220"/>
      <c r="T209" s="220"/>
      <c r="U209" s="220"/>
      <c r="V209" s="220"/>
      <c r="W209" s="220"/>
    </row>
    <row r="210" ht="15.75" customHeight="1" outlineLevel="1">
      <c r="A210" s="211"/>
      <c r="B210" s="212"/>
      <c r="C210" s="213"/>
      <c r="D210" s="214" t="str">
        <f>IFERROR(VLOOKUP($C210,'PORTIFÓLIO'!C:V,2,0),"")</f>
        <v/>
      </c>
      <c r="E210" s="211" t="str">
        <f>IFERROR(VLOOKUP($C210,'PORTIFÓLIO'!C:V,3,0),"")</f>
        <v/>
      </c>
      <c r="F210" s="211" t="str">
        <f>IFERROR(VLOOKUP($C210,'PORTIFÓLIO'!C:V,4,0),"")</f>
        <v/>
      </c>
      <c r="G210" s="215" t="str">
        <f>IFERROR(VLOOKUP($C210,'PORTIFÓLIO'!C:V,5,0),"")</f>
        <v/>
      </c>
      <c r="H210" s="254" t="str">
        <f t="array" ref="H210">IFERROR(INDEX('PORTIFÓLIO'!$H$4:$H$433,MATCH($C210,'PORTIFÓLIO'!$C$4:$C$433,0)),"")</f>
        <v/>
      </c>
      <c r="I210" s="256"/>
      <c r="J210" s="218">
        <f t="shared" si="24"/>
        <v>0</v>
      </c>
      <c r="K210" s="219" t="str">
        <f>IFERROR(I210* VLOOKUP($C210,'PORTIFÓLIO'!C:V,10,0),"")</f>
        <v/>
      </c>
      <c r="L210" s="219" t="str">
        <f>IFERROR(J210* VLOOKUP($C210,'PORTIFÓLIO'!C:V,10,0),"")</f>
        <v/>
      </c>
      <c r="M210" s="220"/>
      <c r="N210" s="220"/>
      <c r="O210" s="220"/>
      <c r="P210" s="220"/>
      <c r="Q210" s="220"/>
      <c r="R210" s="220"/>
      <c r="S210" s="220"/>
      <c r="T210" s="220"/>
      <c r="U210" s="220"/>
      <c r="V210" s="220"/>
      <c r="W210" s="220"/>
    </row>
    <row r="211" ht="15.75" customHeight="1" outlineLevel="1">
      <c r="A211" s="211"/>
      <c r="B211" s="212"/>
      <c r="C211" s="213"/>
      <c r="D211" s="214" t="str">
        <f>IFERROR(VLOOKUP($C211,'PORTIFÓLIO'!C:V,2,0),"")</f>
        <v/>
      </c>
      <c r="E211" s="211" t="str">
        <f>IFERROR(VLOOKUP($C211,'PORTIFÓLIO'!C:V,3,0),"")</f>
        <v/>
      </c>
      <c r="F211" s="211" t="str">
        <f>IFERROR(VLOOKUP($C211,'PORTIFÓLIO'!C:V,4,0),"")</f>
        <v/>
      </c>
      <c r="G211" s="215" t="str">
        <f>IFERROR(VLOOKUP($C211,'PORTIFÓLIO'!C:V,5,0),"")</f>
        <v/>
      </c>
      <c r="H211" s="254" t="str">
        <f t="array" ref="H211">IFERROR(INDEX('PORTIFÓLIO'!$H$4:$H$433,MATCH($C211,'PORTIFÓLIO'!$C$4:$C$433,0)),"")</f>
        <v/>
      </c>
      <c r="I211" s="256"/>
      <c r="J211" s="218">
        <f t="shared" si="24"/>
        <v>0</v>
      </c>
      <c r="K211" s="219" t="str">
        <f>IFERROR(I211* VLOOKUP($C211,'PORTIFÓLIO'!C:V,10,0),"")</f>
        <v/>
      </c>
      <c r="L211" s="219" t="str">
        <f>IFERROR(J211* VLOOKUP($C211,'PORTIFÓLIO'!C:V,10,0),"")</f>
        <v/>
      </c>
      <c r="M211" s="220"/>
      <c r="N211" s="220"/>
      <c r="O211" s="220"/>
      <c r="P211" s="220"/>
      <c r="Q211" s="220"/>
      <c r="R211" s="220"/>
      <c r="S211" s="220"/>
      <c r="T211" s="220"/>
      <c r="U211" s="220"/>
      <c r="V211" s="220"/>
      <c r="W211" s="220"/>
    </row>
    <row r="212" ht="15.75" customHeight="1" outlineLevel="1">
      <c r="A212" s="211"/>
      <c r="B212" s="212"/>
      <c r="C212" s="213"/>
      <c r="D212" s="214" t="str">
        <f>IFERROR(VLOOKUP($C212,'PORTIFÓLIO'!C:V,2,0),"")</f>
        <v/>
      </c>
      <c r="E212" s="211" t="str">
        <f>IFERROR(VLOOKUP($C212,'PORTIFÓLIO'!C:V,3,0),"")</f>
        <v/>
      </c>
      <c r="F212" s="211" t="str">
        <f>IFERROR(VLOOKUP($C212,'PORTIFÓLIO'!C:V,4,0),"")</f>
        <v/>
      </c>
      <c r="G212" s="215" t="str">
        <f>IFERROR(VLOOKUP($C212,'PORTIFÓLIO'!C:V,5,0),"")</f>
        <v/>
      </c>
      <c r="H212" s="254" t="str">
        <f t="array" ref="H212">IFERROR(INDEX('PORTIFÓLIO'!$H$4:$H$433,MATCH($C212,'PORTIFÓLIO'!$C$4:$C$433,0)),"")</f>
        <v/>
      </c>
      <c r="I212" s="256"/>
      <c r="J212" s="218">
        <f t="shared" si="24"/>
        <v>0</v>
      </c>
      <c r="K212" s="219" t="str">
        <f>IFERROR(I212* VLOOKUP($C212,'PORTIFÓLIO'!C:V,10,0),"")</f>
        <v/>
      </c>
      <c r="L212" s="219" t="str">
        <f>IFERROR(J212* VLOOKUP($C212,'PORTIFÓLIO'!C:V,10,0),"")</f>
        <v/>
      </c>
      <c r="M212" s="220"/>
      <c r="N212" s="220"/>
      <c r="O212" s="220"/>
      <c r="P212" s="220"/>
      <c r="Q212" s="220"/>
      <c r="R212" s="220"/>
      <c r="S212" s="220"/>
      <c r="T212" s="220"/>
      <c r="U212" s="220"/>
      <c r="V212" s="220"/>
      <c r="W212" s="220"/>
    </row>
    <row r="213" ht="15.75" customHeight="1" outlineLevel="1">
      <c r="A213" s="211"/>
      <c r="B213" s="212"/>
      <c r="C213" s="213"/>
      <c r="D213" s="214" t="str">
        <f>IFERROR(VLOOKUP($C213,'PORTIFÓLIO'!C:V,2,0),"")</f>
        <v/>
      </c>
      <c r="E213" s="211" t="str">
        <f>IFERROR(VLOOKUP($C213,'PORTIFÓLIO'!C:V,3,0),"")</f>
        <v/>
      </c>
      <c r="F213" s="211" t="str">
        <f>IFERROR(VLOOKUP($C213,'PORTIFÓLIO'!C:V,4,0),"")</f>
        <v/>
      </c>
      <c r="G213" s="215" t="str">
        <f>IFERROR(VLOOKUP($C213,'PORTIFÓLIO'!C:V,5,0),"")</f>
        <v/>
      </c>
      <c r="H213" s="254" t="str">
        <f t="array" ref="H213">IFERROR(INDEX('PORTIFÓLIO'!$H$4:$H$433,MATCH($C213,'PORTIFÓLIO'!$C$4:$C$433,0)),"")</f>
        <v/>
      </c>
      <c r="I213" s="256"/>
      <c r="J213" s="218">
        <f t="shared" si="24"/>
        <v>0</v>
      </c>
      <c r="K213" s="219" t="str">
        <f>IFERROR(I213* VLOOKUP($C213,'PORTIFÓLIO'!C:V,10,0),"")</f>
        <v/>
      </c>
      <c r="L213" s="219" t="str">
        <f>IFERROR(J213* VLOOKUP($C213,'PORTIFÓLIO'!C:V,10,0),"")</f>
        <v/>
      </c>
      <c r="M213" s="220"/>
      <c r="N213" s="220"/>
      <c r="O213" s="220"/>
      <c r="P213" s="220"/>
      <c r="Q213" s="220"/>
      <c r="R213" s="220"/>
      <c r="S213" s="220"/>
      <c r="T213" s="220"/>
      <c r="U213" s="220"/>
      <c r="V213" s="220"/>
      <c r="W213" s="220"/>
    </row>
    <row r="214" ht="15.75" customHeight="1" outlineLevel="1">
      <c r="A214" s="211"/>
      <c r="B214" s="212"/>
      <c r="C214" s="213"/>
      <c r="D214" s="214" t="str">
        <f>IFERROR(VLOOKUP($C214,'PORTIFÓLIO'!C:V,2,0),"")</f>
        <v/>
      </c>
      <c r="E214" s="211" t="str">
        <f>IFERROR(VLOOKUP($C214,'PORTIFÓLIO'!C:V,3,0),"")</f>
        <v/>
      </c>
      <c r="F214" s="211" t="str">
        <f>IFERROR(VLOOKUP($C214,'PORTIFÓLIO'!C:V,4,0),"")</f>
        <v/>
      </c>
      <c r="G214" s="215" t="str">
        <f>IFERROR(VLOOKUP($C214,'PORTIFÓLIO'!C:V,5,0),"")</f>
        <v/>
      </c>
      <c r="H214" s="254" t="str">
        <f t="array" ref="H214">IFERROR(INDEX('PORTIFÓLIO'!$H$4:$H$433,MATCH($C214,'PORTIFÓLIO'!$C$4:$C$433,0)),"")</f>
        <v/>
      </c>
      <c r="I214" s="256"/>
      <c r="J214" s="218">
        <f t="shared" si="24"/>
        <v>0</v>
      </c>
      <c r="K214" s="219" t="str">
        <f>IFERROR(I214* VLOOKUP($C214,'PORTIFÓLIO'!C:V,10,0),"")</f>
        <v/>
      </c>
      <c r="L214" s="219" t="str">
        <f>IFERROR(J214* VLOOKUP($C214,'PORTIFÓLIO'!C:V,10,0),"")</f>
        <v/>
      </c>
      <c r="M214" s="220"/>
      <c r="N214" s="220"/>
      <c r="O214" s="220"/>
      <c r="P214" s="220"/>
      <c r="Q214" s="220"/>
      <c r="R214" s="220"/>
      <c r="S214" s="220"/>
      <c r="T214" s="220"/>
      <c r="U214" s="220"/>
      <c r="V214" s="220"/>
      <c r="W214" s="220"/>
    </row>
    <row r="215" ht="15.75" customHeight="1" outlineLevel="1">
      <c r="A215" s="211"/>
      <c r="B215" s="212"/>
      <c r="C215" s="213"/>
      <c r="D215" s="214" t="str">
        <f>IFERROR(VLOOKUP($C215,'PORTIFÓLIO'!C:V,2,0),"")</f>
        <v/>
      </c>
      <c r="E215" s="211" t="str">
        <f>IFERROR(VLOOKUP($C215,'PORTIFÓLIO'!C:V,3,0),"")</f>
        <v/>
      </c>
      <c r="F215" s="211" t="str">
        <f>IFERROR(VLOOKUP($C215,'PORTIFÓLIO'!C:V,4,0),"")</f>
        <v/>
      </c>
      <c r="G215" s="215" t="str">
        <f>IFERROR(VLOOKUP($C215,'PORTIFÓLIO'!C:V,5,0),"")</f>
        <v/>
      </c>
      <c r="H215" s="254" t="str">
        <f t="array" ref="H215">IFERROR(INDEX('PORTIFÓLIO'!$H$4:$H$433,MATCH($C215,'PORTIFÓLIO'!$C$4:$C$433,0)),"")</f>
        <v/>
      </c>
      <c r="I215" s="256"/>
      <c r="J215" s="218">
        <f t="shared" si="24"/>
        <v>0</v>
      </c>
      <c r="K215" s="219" t="str">
        <f>IFERROR(I215* VLOOKUP($C215,'PORTIFÓLIO'!C:V,10,0),"")</f>
        <v/>
      </c>
      <c r="L215" s="219" t="str">
        <f>IFERROR(J215* VLOOKUP($C215,'PORTIFÓLIO'!C:V,10,0),"")</f>
        <v/>
      </c>
      <c r="M215" s="220"/>
      <c r="N215" s="220"/>
      <c r="O215" s="220"/>
      <c r="P215" s="220"/>
      <c r="Q215" s="220"/>
      <c r="R215" s="220"/>
      <c r="S215" s="220"/>
      <c r="T215" s="220"/>
      <c r="U215" s="220"/>
      <c r="V215" s="220"/>
      <c r="W215" s="220"/>
    </row>
    <row r="216" ht="15.75" customHeight="1" outlineLevel="1">
      <c r="A216" s="211"/>
      <c r="B216" s="227"/>
      <c r="C216" s="211"/>
      <c r="D216" s="214" t="str">
        <f>IFERROR(VLOOKUP($C216,'PORTIFÓLIO'!C:V,2,0),"")</f>
        <v/>
      </c>
      <c r="E216" s="211" t="str">
        <f>IFERROR(VLOOKUP($C216,'PORTIFÓLIO'!C:V,3,0),"")</f>
        <v/>
      </c>
      <c r="F216" s="211" t="str">
        <f>IFERROR(VLOOKUP($C216,'PORTIFÓLIO'!C:V,4,0),"")</f>
        <v/>
      </c>
      <c r="G216" s="215" t="str">
        <f>IFERROR(VLOOKUP($C216,'PORTIFÓLIO'!C:V,5,0),"")</f>
        <v/>
      </c>
      <c r="H216" s="254" t="str">
        <f t="array" ref="H216">IFERROR(INDEX('PORTIFÓLIO'!$H$4:$H$433,MATCH($C216,'PORTIFÓLIO'!$C$4:$C$433,0)),"")</f>
        <v/>
      </c>
      <c r="I216" s="256"/>
      <c r="J216" s="218">
        <f t="shared" si="24"/>
        <v>0</v>
      </c>
      <c r="K216" s="219" t="str">
        <f>IFERROR(I216* VLOOKUP($C216,'PORTIFÓLIO'!C:V,10,0),"")</f>
        <v/>
      </c>
      <c r="L216" s="219" t="str">
        <f>IFERROR(J216* VLOOKUP($C216,'PORTIFÓLIO'!C:V,10,0),"")</f>
        <v/>
      </c>
      <c r="M216" s="220"/>
      <c r="N216" s="220"/>
      <c r="O216" s="220"/>
      <c r="P216" s="220"/>
      <c r="Q216" s="220"/>
      <c r="R216" s="220"/>
      <c r="S216" s="220"/>
      <c r="T216" s="220"/>
      <c r="U216" s="220"/>
      <c r="V216" s="220"/>
      <c r="W216" s="220"/>
    </row>
    <row r="217" ht="15.75" customHeight="1" outlineLevel="1">
      <c r="A217" s="211"/>
      <c r="B217" s="227"/>
      <c r="C217" s="211"/>
      <c r="D217" s="214" t="str">
        <f>IFERROR(VLOOKUP($C217,'PORTIFÓLIO'!C:V,2,0),"")</f>
        <v/>
      </c>
      <c r="E217" s="211" t="str">
        <f>IFERROR(VLOOKUP($C217,'PORTIFÓLIO'!C:V,3,0),"")</f>
        <v/>
      </c>
      <c r="F217" s="211" t="str">
        <f>IFERROR(VLOOKUP($C217,'PORTIFÓLIO'!C:V,4,0),"")</f>
        <v/>
      </c>
      <c r="G217" s="215" t="str">
        <f>IFERROR(VLOOKUP($C217,'PORTIFÓLIO'!C:V,5,0),"")</f>
        <v/>
      </c>
      <c r="H217" s="254" t="str">
        <f t="array" ref="H217">IFERROR(INDEX('PORTIFÓLIO'!$H$4:$H$433,MATCH($C217,'PORTIFÓLIO'!$C$4:$C$433,0)),"")</f>
        <v/>
      </c>
      <c r="I217" s="256"/>
      <c r="J217" s="218">
        <f t="shared" si="24"/>
        <v>0</v>
      </c>
      <c r="K217" s="219" t="str">
        <f>IFERROR(I217* VLOOKUP($C217,'PORTIFÓLIO'!C:V,10,0),"")</f>
        <v/>
      </c>
      <c r="L217" s="219" t="str">
        <f>IFERROR(J217* VLOOKUP($C217,'PORTIFÓLIO'!C:V,10,0),"")</f>
        <v/>
      </c>
      <c r="M217" s="220"/>
      <c r="N217" s="220"/>
      <c r="O217" s="220"/>
      <c r="P217" s="220"/>
      <c r="Q217" s="220"/>
      <c r="R217" s="220"/>
      <c r="S217" s="220"/>
      <c r="T217" s="220"/>
      <c r="U217" s="220"/>
      <c r="V217" s="220"/>
      <c r="W217" s="220"/>
    </row>
    <row r="218" ht="15.75" customHeight="1" outlineLevel="1">
      <c r="A218" s="211"/>
      <c r="B218" s="227"/>
      <c r="C218" s="211"/>
      <c r="D218" s="214" t="str">
        <f>IFERROR(VLOOKUP($C218,'PORTIFÓLIO'!C:V,2,0),"")</f>
        <v/>
      </c>
      <c r="E218" s="211" t="str">
        <f>IFERROR(VLOOKUP($C218,'PORTIFÓLIO'!C:V,3,0),"")</f>
        <v/>
      </c>
      <c r="F218" s="211" t="str">
        <f>IFERROR(VLOOKUP($C218,'PORTIFÓLIO'!C:V,4,0),"")</f>
        <v/>
      </c>
      <c r="G218" s="215" t="str">
        <f>IFERROR(VLOOKUP($C218,'PORTIFÓLIO'!C:V,5,0),"")</f>
        <v/>
      </c>
      <c r="H218" s="254" t="str">
        <f t="array" ref="H218">IFERROR(INDEX('PORTIFÓLIO'!$H$4:$H$433,MATCH($C218,'PORTIFÓLIO'!$C$4:$C$433,0)),"")</f>
        <v/>
      </c>
      <c r="I218" s="256"/>
      <c r="J218" s="218">
        <f t="shared" si="24"/>
        <v>0</v>
      </c>
      <c r="K218" s="219" t="str">
        <f>IFERROR(I218* VLOOKUP($C218,'PORTIFÓLIO'!C:V,10,0),"")</f>
        <v/>
      </c>
      <c r="L218" s="219" t="str">
        <f>IFERROR(J218* VLOOKUP($C218,'PORTIFÓLIO'!C:V,10,0),"")</f>
        <v/>
      </c>
      <c r="M218" s="220"/>
      <c r="N218" s="220"/>
      <c r="O218" s="220"/>
      <c r="P218" s="220"/>
      <c r="Q218" s="220"/>
      <c r="R218" s="220"/>
      <c r="S218" s="220"/>
      <c r="T218" s="220"/>
      <c r="U218" s="220"/>
      <c r="V218" s="220"/>
      <c r="W218" s="220"/>
    </row>
    <row r="219" ht="15.75" customHeight="1" outlineLevel="1">
      <c r="A219" s="211"/>
      <c r="B219" s="227"/>
      <c r="C219" s="211"/>
      <c r="D219" s="214" t="str">
        <f>IFERROR(VLOOKUP($C219,'PORTIFÓLIO'!C:V,2,0),"")</f>
        <v/>
      </c>
      <c r="E219" s="211" t="str">
        <f>IFERROR(VLOOKUP($C219,'PORTIFÓLIO'!C:V,3,0),"")</f>
        <v/>
      </c>
      <c r="F219" s="211" t="str">
        <f>IFERROR(VLOOKUP($C219,'PORTIFÓLIO'!C:V,4,0),"")</f>
        <v/>
      </c>
      <c r="G219" s="215" t="str">
        <f>IFERROR(VLOOKUP($C219,'PORTIFÓLIO'!C:V,5,0),"")</f>
        <v/>
      </c>
      <c r="H219" s="254" t="str">
        <f t="array" ref="H219">IFERROR(INDEX('PORTIFÓLIO'!$H$4:$H$433,MATCH($C219,'PORTIFÓLIO'!$C$4:$C$433,0)),"")</f>
        <v/>
      </c>
      <c r="I219" s="256"/>
      <c r="J219" s="218">
        <f t="shared" si="24"/>
        <v>0</v>
      </c>
      <c r="K219" s="219" t="str">
        <f>IFERROR(I219* VLOOKUP($C219,'PORTIFÓLIO'!C:V,10,0),"")</f>
        <v/>
      </c>
      <c r="L219" s="219" t="str">
        <f>IFERROR(J219* VLOOKUP($C219,'PORTIFÓLIO'!C:V,10,0),"")</f>
        <v/>
      </c>
      <c r="M219" s="220"/>
      <c r="N219" s="220"/>
      <c r="O219" s="220"/>
      <c r="P219" s="220"/>
      <c r="Q219" s="220"/>
      <c r="R219" s="220"/>
      <c r="S219" s="220"/>
      <c r="T219" s="220"/>
      <c r="U219" s="220"/>
      <c r="V219" s="220"/>
      <c r="W219" s="220"/>
    </row>
    <row r="220" ht="15.75" customHeight="1" outlineLevel="1">
      <c r="A220" s="211"/>
      <c r="B220" s="227"/>
      <c r="C220" s="211"/>
      <c r="D220" s="214" t="str">
        <f>IFERROR(VLOOKUP($C220,'PORTIFÓLIO'!C:V,2,0),"")</f>
        <v/>
      </c>
      <c r="E220" s="211" t="str">
        <f>IFERROR(VLOOKUP($C220,'PORTIFÓLIO'!C:V,3,0),"")</f>
        <v/>
      </c>
      <c r="F220" s="211" t="str">
        <f>IFERROR(VLOOKUP($C220,'PORTIFÓLIO'!C:V,4,0),"")</f>
        <v/>
      </c>
      <c r="G220" s="215" t="str">
        <f>IFERROR(VLOOKUP($C220,'PORTIFÓLIO'!C:V,5,0),"")</f>
        <v/>
      </c>
      <c r="H220" s="254" t="str">
        <f t="array" ref="H220">IFERROR(INDEX('PORTIFÓLIO'!$H$4:$H$433,MATCH($C220,'PORTIFÓLIO'!$C$4:$C$433,0)),"")</f>
        <v/>
      </c>
      <c r="I220" s="256"/>
      <c r="J220" s="218">
        <f t="shared" si="24"/>
        <v>0</v>
      </c>
      <c r="K220" s="219" t="str">
        <f>IFERROR(I220* VLOOKUP($C220,'PORTIFÓLIO'!C:V,10,0),"")</f>
        <v/>
      </c>
      <c r="L220" s="219" t="str">
        <f>IFERROR(J220* VLOOKUP($C220,'PORTIFÓLIO'!C:V,10,0),"")</f>
        <v/>
      </c>
      <c r="M220" s="220"/>
      <c r="N220" s="220"/>
      <c r="O220" s="220"/>
      <c r="P220" s="220"/>
      <c r="Q220" s="220"/>
      <c r="R220" s="220"/>
      <c r="S220" s="220"/>
      <c r="T220" s="220"/>
      <c r="U220" s="220"/>
      <c r="V220" s="220"/>
      <c r="W220" s="220"/>
    </row>
    <row r="221" ht="15.75" customHeight="1" outlineLevel="1">
      <c r="A221" s="211"/>
      <c r="B221" s="227"/>
      <c r="C221" s="211"/>
      <c r="D221" s="214" t="str">
        <f>IFERROR(VLOOKUP($C221,'PORTIFÓLIO'!C:V,2,0),"")</f>
        <v/>
      </c>
      <c r="E221" s="211" t="str">
        <f>IFERROR(VLOOKUP($C221,'PORTIFÓLIO'!C:V,3,0),"")</f>
        <v/>
      </c>
      <c r="F221" s="211" t="str">
        <f>IFERROR(VLOOKUP($C221,'PORTIFÓLIO'!C:V,4,0),"")</f>
        <v/>
      </c>
      <c r="G221" s="215" t="str">
        <f>IFERROR(VLOOKUP($C221,'PORTIFÓLIO'!C:V,5,0),"")</f>
        <v/>
      </c>
      <c r="H221" s="254" t="str">
        <f t="array" ref="H221">IFERROR(INDEX('PORTIFÓLIO'!$H$4:$H$433,MATCH($C221,'PORTIFÓLIO'!$C$4:$C$433,0)),"")</f>
        <v/>
      </c>
      <c r="I221" s="256"/>
      <c r="J221" s="218">
        <f t="shared" si="24"/>
        <v>0</v>
      </c>
      <c r="K221" s="219" t="str">
        <f>IFERROR(I221* VLOOKUP($C221,'PORTIFÓLIO'!C:V,10,0),"")</f>
        <v/>
      </c>
      <c r="L221" s="219" t="str">
        <f>IFERROR(J221* VLOOKUP($C221,'PORTIFÓLIO'!C:V,10,0),"")</f>
        <v/>
      </c>
      <c r="M221" s="220"/>
      <c r="N221" s="220"/>
      <c r="O221" s="220"/>
      <c r="P221" s="220"/>
      <c r="Q221" s="220"/>
      <c r="R221" s="220"/>
      <c r="S221" s="220"/>
      <c r="T221" s="220"/>
      <c r="U221" s="220"/>
      <c r="V221" s="220"/>
      <c r="W221" s="220"/>
    </row>
    <row r="222" ht="15.75" customHeight="1" outlineLevel="1">
      <c r="A222" s="211"/>
      <c r="B222" s="227"/>
      <c r="C222" s="211"/>
      <c r="D222" s="214" t="str">
        <f>IFERROR(VLOOKUP($C222,'PORTIFÓLIO'!C:V,2,0),"")</f>
        <v/>
      </c>
      <c r="E222" s="211" t="str">
        <f>IFERROR(VLOOKUP($C222,'PORTIFÓLIO'!C:V,3,0),"")</f>
        <v/>
      </c>
      <c r="F222" s="211" t="str">
        <f>IFERROR(VLOOKUP($C222,'PORTIFÓLIO'!C:V,4,0),"")</f>
        <v/>
      </c>
      <c r="G222" s="215" t="str">
        <f>IFERROR(VLOOKUP($C222,'PORTIFÓLIO'!C:V,5,0),"")</f>
        <v/>
      </c>
      <c r="H222" s="254" t="str">
        <f t="array" ref="H222">IFERROR(INDEX('PORTIFÓLIO'!$H$4:$H$433,MATCH($C222,'PORTIFÓLIO'!$C$4:$C$433,0)),"")</f>
        <v/>
      </c>
      <c r="I222" s="256"/>
      <c r="J222" s="218">
        <f t="shared" si="24"/>
        <v>0</v>
      </c>
      <c r="K222" s="219" t="str">
        <f>IFERROR(I222* VLOOKUP($C222,'PORTIFÓLIO'!C:V,10,0),"")</f>
        <v/>
      </c>
      <c r="L222" s="219" t="str">
        <f>IFERROR(J222* VLOOKUP($C222,'PORTIFÓLIO'!C:V,10,0),"")</f>
        <v/>
      </c>
      <c r="M222" s="220"/>
      <c r="N222" s="220"/>
      <c r="O222" s="220"/>
      <c r="P222" s="220"/>
      <c r="Q222" s="220"/>
      <c r="R222" s="220"/>
      <c r="S222" s="220"/>
      <c r="T222" s="220"/>
      <c r="U222" s="220"/>
      <c r="V222" s="220"/>
      <c r="W222" s="220"/>
    </row>
    <row r="223" ht="15.75" customHeight="1" outlineLevel="1">
      <c r="A223" s="211"/>
      <c r="B223" s="227"/>
      <c r="C223" s="211"/>
      <c r="D223" s="214" t="str">
        <f>IFERROR(VLOOKUP($C223,'PORTIFÓLIO'!C:V,2,0),"")</f>
        <v/>
      </c>
      <c r="E223" s="211" t="str">
        <f>IFERROR(VLOOKUP($C223,'PORTIFÓLIO'!C:V,3,0),"")</f>
        <v/>
      </c>
      <c r="F223" s="211" t="str">
        <f>IFERROR(VLOOKUP($C223,'PORTIFÓLIO'!C:V,4,0),"")</f>
        <v/>
      </c>
      <c r="G223" s="215" t="str">
        <f>IFERROR(VLOOKUP($C223,'PORTIFÓLIO'!C:V,5,0),"")</f>
        <v/>
      </c>
      <c r="H223" s="254" t="str">
        <f t="array" ref="H223">IFERROR(INDEX('PORTIFÓLIO'!$H$4:$H$433,MATCH($C223,'PORTIFÓLIO'!$C$4:$C$433,0)),"")</f>
        <v/>
      </c>
      <c r="I223" s="256"/>
      <c r="J223" s="218">
        <f t="shared" si="24"/>
        <v>0</v>
      </c>
      <c r="K223" s="219" t="str">
        <f>IFERROR(I223* VLOOKUP($C223,'PORTIFÓLIO'!C:V,10,0),"")</f>
        <v/>
      </c>
      <c r="L223" s="219" t="str">
        <f>IFERROR(J223* VLOOKUP($C223,'PORTIFÓLIO'!C:V,10,0),"")</f>
        <v/>
      </c>
      <c r="M223" s="220"/>
      <c r="N223" s="220"/>
      <c r="O223" s="220"/>
      <c r="P223" s="220"/>
      <c r="Q223" s="220"/>
      <c r="R223" s="220"/>
      <c r="S223" s="220"/>
      <c r="T223" s="220"/>
      <c r="U223" s="220"/>
      <c r="V223" s="220"/>
      <c r="W223" s="220"/>
    </row>
    <row r="224" ht="15.75" customHeight="1" outlineLevel="1">
      <c r="A224" s="211"/>
      <c r="B224" s="227"/>
      <c r="C224" s="211"/>
      <c r="D224" s="214" t="str">
        <f>IFERROR(VLOOKUP($C224,'PORTIFÓLIO'!C:V,2,0),"")</f>
        <v/>
      </c>
      <c r="E224" s="211" t="str">
        <f>IFERROR(VLOOKUP($C224,'PORTIFÓLIO'!C:V,3,0),"")</f>
        <v/>
      </c>
      <c r="F224" s="211" t="str">
        <f>IFERROR(VLOOKUP($C224,'PORTIFÓLIO'!C:V,4,0),"")</f>
        <v/>
      </c>
      <c r="G224" s="215" t="str">
        <f>IFERROR(VLOOKUP($C224,'PORTIFÓLIO'!C:V,5,0),"")</f>
        <v/>
      </c>
      <c r="H224" s="254" t="str">
        <f t="array" ref="H224">IFERROR(INDEX('PORTIFÓLIO'!$H$4:$H$433,MATCH($C224,'PORTIFÓLIO'!$C$4:$C$433,0)),"")</f>
        <v/>
      </c>
      <c r="I224" s="256"/>
      <c r="J224" s="218">
        <f t="shared" si="24"/>
        <v>0</v>
      </c>
      <c r="K224" s="219" t="str">
        <f>IFERROR(I224* VLOOKUP($C224,'PORTIFÓLIO'!C:V,10,0),"")</f>
        <v/>
      </c>
      <c r="L224" s="219" t="str">
        <f>IFERROR(J224* VLOOKUP($C224,'PORTIFÓLIO'!C:V,10,0),"")</f>
        <v/>
      </c>
      <c r="M224" s="220"/>
      <c r="N224" s="220"/>
      <c r="O224" s="220"/>
      <c r="P224" s="220"/>
      <c r="Q224" s="220"/>
      <c r="R224" s="220"/>
      <c r="S224" s="220"/>
      <c r="T224" s="220"/>
      <c r="U224" s="220"/>
      <c r="V224" s="220"/>
      <c r="W224" s="220"/>
    </row>
    <row r="225" ht="15.75" customHeight="1">
      <c r="A225" s="227"/>
      <c r="B225" s="227"/>
      <c r="C225" s="227"/>
      <c r="D225" s="227"/>
      <c r="E225" s="227"/>
      <c r="F225" s="227"/>
      <c r="G225" s="215"/>
      <c r="H225" s="278" t="str">
        <f t="array" ref="H225">IFERROR(INDEX('PORTIFÓLIO'!$H$4:$H$433,MATCH($C225,'PORTIFÓLIO'!$C$4:$C$433,0)),"")</f>
        <v/>
      </c>
      <c r="I225" s="227"/>
      <c r="J225" s="227"/>
      <c r="K225" s="284">
        <f t="shared" ref="K225:L225" si="25">SUBTOTAL(9,K10:K200)</f>
        <v>1372.64086</v>
      </c>
      <c r="L225" s="284">
        <f t="shared" si="25"/>
        <v>301980.9891</v>
      </c>
      <c r="M225" s="220"/>
      <c r="N225" s="220"/>
      <c r="O225" s="220"/>
      <c r="P225" s="220"/>
      <c r="Q225" s="220"/>
      <c r="R225" s="220"/>
      <c r="S225" s="220"/>
      <c r="T225" s="220"/>
      <c r="U225" s="220"/>
      <c r="V225" s="220"/>
      <c r="W225" s="220"/>
    </row>
    <row r="226" ht="15.75" customHeight="1">
      <c r="A226" s="285"/>
      <c r="B226" s="285"/>
      <c r="C226" s="285"/>
      <c r="D226" s="285"/>
      <c r="E226" s="285"/>
      <c r="F226" s="285"/>
      <c r="G226" s="286"/>
      <c r="H226" s="286"/>
      <c r="I226" s="285"/>
      <c r="J226" s="285"/>
      <c r="K226" s="285"/>
      <c r="L226" s="285"/>
      <c r="M226" s="285"/>
      <c r="N226" s="285"/>
      <c r="O226" s="285"/>
      <c r="P226" s="285"/>
      <c r="Q226" s="285"/>
      <c r="R226" s="285"/>
      <c r="S226" s="285"/>
      <c r="T226" s="285"/>
      <c r="U226" s="285"/>
      <c r="V226" s="285"/>
      <c r="W226" s="285"/>
    </row>
    <row r="227" ht="15.75" customHeight="1">
      <c r="A227" s="260" t="s">
        <v>1203</v>
      </c>
      <c r="B227" s="261" t="str">
        <f>'ÁREA PLANTIO'!B9</f>
        <v>BARRO BRANCO</v>
      </c>
      <c r="C227" s="262" t="s">
        <v>1166</v>
      </c>
      <c r="D227" s="263">
        <f>$K$452</f>
        <v>0</v>
      </c>
      <c r="E227" s="264"/>
      <c r="F227" s="265" t="s">
        <v>1167</v>
      </c>
      <c r="G227" s="266"/>
      <c r="H227" s="287" t="str">
        <f t="array" ref="H227">IFERROR(INDEX('PORTIFÓLIO'!$H$4:$H$433,MATCH($C227,'PORTIFÓLIO'!$C$4:$C$433,0)),"")</f>
        <v/>
      </c>
      <c r="I227" s="267"/>
      <c r="J227" s="267"/>
      <c r="K227" s="266"/>
      <c r="L227" s="220"/>
      <c r="M227" s="220"/>
      <c r="N227" s="220"/>
      <c r="O227" s="220"/>
      <c r="P227" s="220"/>
      <c r="Q227" s="220"/>
      <c r="R227" s="220"/>
      <c r="S227" s="220"/>
      <c r="T227" s="220"/>
      <c r="U227" s="220"/>
      <c r="V227" s="220"/>
      <c r="W227" s="220"/>
    </row>
    <row r="228" ht="15.75" customHeight="1">
      <c r="A228" s="260" t="s">
        <v>1168</v>
      </c>
      <c r="B228" s="268">
        <f>'ÁREA PLANTIO'!E9</f>
        <v>220</v>
      </c>
      <c r="C228" s="269" t="s">
        <v>1169</v>
      </c>
      <c r="D228" s="270" t="str">
        <f>'ÁREA PLANTIO'!I9</f>
        <v/>
      </c>
      <c r="E228" s="264"/>
      <c r="F228" s="264"/>
      <c r="G228" s="266"/>
      <c r="H228" s="287" t="str">
        <f t="array" ref="H228">IFERROR(INDEX('PORTIFÓLIO'!$H$4:$H$433,MATCH($C228,'PORTIFÓLIO'!$C$4:$C$433,0)),"")</f>
        <v/>
      </c>
      <c r="I228" s="267"/>
      <c r="J228" s="267"/>
      <c r="K228" s="266"/>
      <c r="L228" s="220"/>
      <c r="M228" s="220"/>
      <c r="N228" s="220"/>
      <c r="O228" s="220"/>
      <c r="P228" s="220"/>
      <c r="Q228" s="220"/>
      <c r="R228" s="220"/>
      <c r="S228" s="220"/>
      <c r="T228" s="220"/>
      <c r="U228" s="220"/>
      <c r="V228" s="220"/>
      <c r="W228" s="220"/>
    </row>
    <row r="229" ht="15.75" customHeight="1">
      <c r="A229" s="260" t="s">
        <v>1170</v>
      </c>
      <c r="B229" s="267" t="str">
        <f>'ÁREA PLANTIO'!H9</f>
        <v/>
      </c>
      <c r="C229" s="269" t="s">
        <v>1171</v>
      </c>
      <c r="D229" s="271" t="str">
        <f>D227/D228</f>
        <v>#DIV/0!</v>
      </c>
      <c r="E229" s="264"/>
      <c r="F229" s="264"/>
      <c r="G229" s="266"/>
      <c r="H229" s="287" t="str">
        <f t="array" ref="H229">IFERROR(INDEX('PORTIFÓLIO'!$H$4:$H$433,MATCH($C229,'PORTIFÓLIO'!$C$4:$C$433,0)),"")</f>
        <v/>
      </c>
      <c r="I229" s="267"/>
      <c r="J229" s="267"/>
      <c r="K229" s="266"/>
      <c r="L229" s="220"/>
      <c r="M229" s="220"/>
      <c r="N229" s="220"/>
      <c r="O229" s="220"/>
      <c r="P229" s="220"/>
      <c r="Q229" s="220"/>
      <c r="R229" s="220"/>
      <c r="S229" s="220"/>
      <c r="T229" s="220"/>
      <c r="U229" s="220"/>
      <c r="V229" s="220"/>
      <c r="W229" s="220"/>
    </row>
    <row r="230" ht="15.75" customHeight="1">
      <c r="A230" s="272" t="s">
        <v>1172</v>
      </c>
      <c r="B230" s="273">
        <v>45606.0</v>
      </c>
      <c r="C230" s="274"/>
      <c r="D230" s="275"/>
      <c r="E230" s="276"/>
      <c r="F230" s="264"/>
      <c r="G230" s="266"/>
      <c r="H230" s="287" t="str">
        <f t="array" ref="H230">IFERROR(INDEX('PORTIFÓLIO'!$H$4:$H$433,MATCH($C230,'PORTIFÓLIO'!$C$4:$C$433,0)),"")</f>
        <v/>
      </c>
      <c r="I230" s="267"/>
      <c r="J230" s="267"/>
      <c r="K230" s="266"/>
      <c r="L230" s="220"/>
      <c r="M230" s="220"/>
      <c r="N230" s="220"/>
      <c r="O230" s="220"/>
      <c r="P230" s="220"/>
      <c r="Q230" s="220"/>
      <c r="R230" s="220"/>
      <c r="S230" s="220"/>
      <c r="T230" s="220"/>
      <c r="U230" s="220"/>
      <c r="V230" s="220"/>
      <c r="W230" s="220"/>
    </row>
    <row r="231" ht="15.75" customHeight="1">
      <c r="E231" s="277"/>
      <c r="F231" s="264"/>
      <c r="G231" s="266"/>
      <c r="H231" s="287" t="str">
        <f t="array" ref="H231">IFERROR(INDEX('PORTIFÓLIO'!$H$4:$H$433,MATCH($C231,'PORTIFÓLIO'!$C$4:$C$433,0)),"")</f>
        <v/>
      </c>
      <c r="I231" s="267"/>
      <c r="J231" s="267"/>
      <c r="K231" s="266"/>
      <c r="L231" s="220"/>
      <c r="M231" s="220"/>
      <c r="N231" s="220"/>
      <c r="O231" s="220"/>
      <c r="P231" s="220"/>
      <c r="Q231" s="220"/>
      <c r="R231" s="220"/>
      <c r="S231" s="220"/>
      <c r="T231" s="220"/>
      <c r="U231" s="220"/>
      <c r="V231" s="220"/>
      <c r="W231" s="220"/>
    </row>
    <row r="232" ht="15.75" customHeight="1">
      <c r="A232" s="260"/>
      <c r="B232" s="267"/>
      <c r="C232" s="264"/>
      <c r="D232" s="264"/>
      <c r="E232" s="264"/>
      <c r="F232" s="264"/>
      <c r="G232" s="266"/>
      <c r="H232" s="287" t="str">
        <f t="array" ref="H232">IFERROR(INDEX('PORTIFÓLIO'!$H$4:$H$433,MATCH($C232,'PORTIFÓLIO'!$C$4:$C$433,0)),"")</f>
        <v/>
      </c>
      <c r="I232" s="267"/>
      <c r="J232" s="267"/>
      <c r="K232" s="266"/>
      <c r="L232" s="220"/>
      <c r="M232" s="220"/>
      <c r="N232" s="220"/>
      <c r="O232" s="220"/>
      <c r="P232" s="220"/>
      <c r="Q232" s="220"/>
      <c r="R232" s="220"/>
      <c r="S232" s="220"/>
      <c r="T232" s="220"/>
      <c r="U232" s="220"/>
      <c r="V232" s="220"/>
      <c r="W232" s="220"/>
    </row>
    <row r="233" ht="15.75" customHeight="1">
      <c r="A233" s="267"/>
      <c r="B233" s="267"/>
      <c r="C233" s="264"/>
      <c r="D233" s="264"/>
      <c r="E233" s="264"/>
      <c r="F233" s="264"/>
      <c r="G233" s="266"/>
      <c r="H233" s="287" t="str">
        <f t="array" ref="H233">IFERROR(INDEX('PORTIFÓLIO'!$H$4:$H$433,MATCH($C233,'PORTIFÓLIO'!$C$4:$C$433,0)),"")</f>
        <v/>
      </c>
      <c r="I233" s="267"/>
      <c r="J233" s="267"/>
      <c r="K233" s="266"/>
      <c r="L233" s="220"/>
      <c r="M233" s="220"/>
      <c r="N233" s="220"/>
      <c r="O233" s="220"/>
      <c r="P233" s="220"/>
      <c r="Q233" s="220"/>
      <c r="R233" s="220"/>
      <c r="S233" s="220"/>
      <c r="T233" s="220"/>
      <c r="U233" s="220"/>
      <c r="V233" s="220"/>
      <c r="W233" s="220"/>
    </row>
    <row r="234" ht="15.75" customHeight="1">
      <c r="A234" s="267"/>
      <c r="B234" s="267"/>
      <c r="C234" s="267"/>
      <c r="D234" s="267"/>
      <c r="E234" s="264"/>
      <c r="F234" s="264"/>
      <c r="G234" s="266"/>
      <c r="H234" s="287" t="str">
        <f t="array" ref="H234">IFERROR(INDEX('PORTIFÓLIO'!$H$4:$H$433,MATCH($C234,'PORTIFÓLIO'!$C$4:$C$433,0)),"")</f>
        <v/>
      </c>
      <c r="I234" s="267"/>
      <c r="J234" s="267"/>
      <c r="K234" s="266"/>
      <c r="L234" s="220"/>
      <c r="M234" s="220"/>
      <c r="N234" s="220"/>
      <c r="O234" s="220"/>
      <c r="P234" s="220"/>
      <c r="Q234" s="220"/>
      <c r="R234" s="220"/>
      <c r="S234" s="220"/>
      <c r="T234" s="220"/>
      <c r="U234" s="220"/>
      <c r="V234" s="220"/>
      <c r="W234" s="220"/>
    </row>
    <row r="235" ht="15.75" customHeight="1">
      <c r="A235" s="267"/>
      <c r="B235" s="267"/>
      <c r="C235" s="267"/>
      <c r="D235" s="267"/>
      <c r="E235" s="267"/>
      <c r="F235" s="267"/>
      <c r="G235" s="266"/>
      <c r="H235" s="287"/>
      <c r="I235" s="287"/>
      <c r="J235" s="288"/>
      <c r="K235" s="289"/>
      <c r="L235" s="290"/>
      <c r="M235" s="220"/>
      <c r="N235" s="220"/>
      <c r="O235" s="220"/>
      <c r="P235" s="220"/>
      <c r="Q235" s="220"/>
      <c r="R235" s="220"/>
      <c r="S235" s="220"/>
      <c r="T235" s="220"/>
      <c r="U235" s="220"/>
      <c r="V235" s="220"/>
      <c r="W235" s="220"/>
    </row>
    <row r="236" ht="15.75" customHeight="1">
      <c r="A236" s="211" t="s">
        <v>1173</v>
      </c>
      <c r="B236" s="213" t="s">
        <v>1174</v>
      </c>
      <c r="C236" s="213" t="s">
        <v>1175</v>
      </c>
      <c r="D236" s="211" t="s">
        <v>1176</v>
      </c>
      <c r="E236" s="211" t="s">
        <v>1177</v>
      </c>
      <c r="F236" s="211" t="s">
        <v>1178</v>
      </c>
      <c r="G236" s="291" t="s">
        <v>1180</v>
      </c>
      <c r="H236" s="278" t="s">
        <v>1179</v>
      </c>
      <c r="I236" s="278" t="s">
        <v>1181</v>
      </c>
      <c r="J236" s="279" t="s">
        <v>1134</v>
      </c>
      <c r="K236" s="280" t="s">
        <v>1182</v>
      </c>
      <c r="L236" s="281" t="s">
        <v>339</v>
      </c>
      <c r="M236" s="220"/>
      <c r="N236" s="220"/>
      <c r="O236" s="220"/>
      <c r="P236" s="220"/>
      <c r="Q236" s="220"/>
      <c r="R236" s="220"/>
      <c r="S236" s="220"/>
      <c r="T236" s="220"/>
      <c r="U236" s="220"/>
      <c r="V236" s="220"/>
      <c r="W236" s="220"/>
    </row>
    <row r="237" ht="15.75" customHeight="1">
      <c r="A237" s="231" t="s">
        <v>1183</v>
      </c>
      <c r="B237" s="230"/>
      <c r="C237" s="231"/>
      <c r="D237" s="232"/>
      <c r="E237" s="231"/>
      <c r="F237" s="231"/>
      <c r="G237" s="233"/>
      <c r="H237" s="233"/>
      <c r="I237" s="258"/>
      <c r="J237" s="236"/>
      <c r="K237" s="237">
        <f t="shared" ref="K237:L237" si="26">SUBTOTAL(9,K238:K251)</f>
        <v>0</v>
      </c>
      <c r="L237" s="237">
        <f t="shared" si="26"/>
        <v>0</v>
      </c>
      <c r="M237" s="220"/>
      <c r="N237" s="220"/>
      <c r="O237" s="220"/>
      <c r="P237" s="220"/>
      <c r="Q237" s="220"/>
      <c r="R237" s="220"/>
      <c r="S237" s="220"/>
      <c r="T237" s="220"/>
      <c r="U237" s="220"/>
      <c r="V237" s="220"/>
      <c r="W237" s="220"/>
    </row>
    <row r="238" ht="15.75" customHeight="1" outlineLevel="1">
      <c r="A238" s="211"/>
      <c r="B238" s="212"/>
      <c r="C238" s="213"/>
      <c r="D238" s="214" t="str">
        <f>IFERROR(VLOOKUP($C238,'PORTIFÓLIO'!C:V,2,0),"")</f>
        <v/>
      </c>
      <c r="E238" s="211" t="str">
        <f>IFERROR(VLOOKUP($C238,'PORTIFÓLIO'!C:V,3,0),"")</f>
        <v/>
      </c>
      <c r="F238" s="211" t="str">
        <f>IFERROR(VLOOKUP($C238,'PORTIFÓLIO'!C:V,4,0),"")</f>
        <v/>
      </c>
      <c r="G238" s="215" t="str">
        <f>IFERROR(VLOOKUP($C238,'PORTIFÓLIO'!C:V,5,0),"")</f>
        <v/>
      </c>
      <c r="H238" s="254" t="str">
        <f t="array" ref="H238">IFERROR(INDEX('PORTIFÓLIO'!$H$4:$H$433,MATCH($C238,'PORTIFÓLIO'!$C$4:$C$433,0)),"")</f>
        <v/>
      </c>
      <c r="I238" s="255"/>
      <c r="J238" s="218">
        <f t="shared" ref="J238:J251" si="27">I238*$B$2</f>
        <v>0</v>
      </c>
      <c r="K238" s="219" t="str">
        <f t="array" ref="K238">IFERROR(I238*INDEX('PORTIFÓLIO'!$S$4:$S$433,MATCH($C238,'PORTIFÓLIO'!$C$4:$C$433,0)),"")</f>
        <v/>
      </c>
      <c r="L238" s="219" t="str">
        <f t="array" ref="L238">IFERROR(J238*INDEX('PORTIFÓLIO'!$S$4:$S$433,MATCH($C238,'PORTIFÓLIO'!$C$4:$C$433,0)),"")</f>
        <v/>
      </c>
      <c r="M238" s="220"/>
      <c r="N238" s="220"/>
      <c r="O238" s="220"/>
      <c r="P238" s="220"/>
      <c r="Q238" s="220"/>
      <c r="R238" s="220"/>
      <c r="S238" s="220"/>
      <c r="T238" s="220"/>
      <c r="U238" s="220"/>
      <c r="V238" s="220"/>
      <c r="W238" s="220"/>
    </row>
    <row r="239" ht="15.75" customHeight="1" outlineLevel="1">
      <c r="A239" s="211"/>
      <c r="B239" s="212"/>
      <c r="C239" s="213"/>
      <c r="D239" s="214" t="str">
        <f>IFERROR(VLOOKUP($C239,'PORTIFÓLIO'!C:V,2,0),"")</f>
        <v/>
      </c>
      <c r="E239" s="211" t="str">
        <f>IFERROR(VLOOKUP($C239,'PORTIFÓLIO'!C:V,3,0),"")</f>
        <v/>
      </c>
      <c r="F239" s="211" t="str">
        <f>IFERROR(VLOOKUP($C239,'PORTIFÓLIO'!C:V,4,0),"")</f>
        <v/>
      </c>
      <c r="G239" s="215" t="str">
        <f>IFERROR(VLOOKUP($C239,'PORTIFÓLIO'!C:V,5,0),"")</f>
        <v/>
      </c>
      <c r="H239" s="254" t="str">
        <f t="array" ref="H239">IFERROR(INDEX('PORTIFÓLIO'!$H$4:$H$433,MATCH($C239,'PORTIFÓLIO'!$C$4:$C$433,0)),"")</f>
        <v/>
      </c>
      <c r="I239" s="255"/>
      <c r="J239" s="218">
        <f t="shared" si="27"/>
        <v>0</v>
      </c>
      <c r="K239" s="219" t="str">
        <f t="array" ref="K239">IFERROR(I239*INDEX('PORTIFÓLIO'!$S$4:$S$433,MATCH($C239,'PORTIFÓLIO'!$C$4:$C$433,0)),"")</f>
        <v/>
      </c>
      <c r="L239" s="219" t="str">
        <f t="array" ref="L239">IFERROR(J239*INDEX('PORTIFÓLIO'!$S$4:$S$433,MATCH($C239,'PORTIFÓLIO'!$C$4:$C$433,0)),"")</f>
        <v/>
      </c>
      <c r="M239" s="220"/>
      <c r="N239" s="220"/>
      <c r="O239" s="220"/>
      <c r="P239" s="220"/>
      <c r="Q239" s="220"/>
      <c r="R239" s="220"/>
      <c r="S239" s="220"/>
      <c r="T239" s="220"/>
      <c r="U239" s="220"/>
      <c r="V239" s="220"/>
      <c r="W239" s="220"/>
    </row>
    <row r="240" ht="15.75" customHeight="1" outlineLevel="1">
      <c r="A240" s="211"/>
      <c r="B240" s="212"/>
      <c r="C240" s="213"/>
      <c r="D240" s="214" t="str">
        <f>IFERROR(VLOOKUP($C240,'PORTIFÓLIO'!C:V,2,0),"")</f>
        <v/>
      </c>
      <c r="E240" s="211" t="str">
        <f>IFERROR(VLOOKUP($C240,'PORTIFÓLIO'!C:V,3,0),"")</f>
        <v/>
      </c>
      <c r="F240" s="211" t="str">
        <f>IFERROR(VLOOKUP($C240,'PORTIFÓLIO'!C:V,4,0),"")</f>
        <v/>
      </c>
      <c r="G240" s="215" t="str">
        <f>IFERROR(VLOOKUP($C240,'PORTIFÓLIO'!C:V,5,0),"")</f>
        <v/>
      </c>
      <c r="H240" s="254" t="str">
        <f t="array" ref="H240">IFERROR(INDEX('PORTIFÓLIO'!$H$4:$H$433,MATCH($C240,'PORTIFÓLIO'!$C$4:$C$433,0)),"")</f>
        <v/>
      </c>
      <c r="I240" s="256"/>
      <c r="J240" s="218">
        <f t="shared" si="27"/>
        <v>0</v>
      </c>
      <c r="K240" s="219" t="str">
        <f t="array" ref="K240">IFERROR(I240*INDEX('PORTIFÓLIO'!$S$4:$S$433,MATCH($C240,'PORTIFÓLIO'!$C$4:$C$433,0)),"")</f>
        <v/>
      </c>
      <c r="L240" s="219" t="str">
        <f t="array" ref="L240">IFERROR(J240*INDEX('PORTIFÓLIO'!$S$4:$S$433,MATCH($C240,'PORTIFÓLIO'!$C$4:$C$433,0)),"")</f>
        <v/>
      </c>
      <c r="M240" s="220"/>
      <c r="N240" s="220"/>
      <c r="O240" s="220"/>
      <c r="P240" s="220"/>
      <c r="Q240" s="220"/>
      <c r="R240" s="220"/>
      <c r="S240" s="220"/>
      <c r="T240" s="220"/>
      <c r="U240" s="220"/>
      <c r="V240" s="220"/>
      <c r="W240" s="220"/>
    </row>
    <row r="241" ht="15.75" customHeight="1" outlineLevel="1">
      <c r="A241" s="211"/>
      <c r="B241" s="212"/>
      <c r="C241" s="213"/>
      <c r="D241" s="214" t="str">
        <f>IFERROR(VLOOKUP($C241,'PORTIFÓLIO'!C:V,2,0),"")</f>
        <v/>
      </c>
      <c r="E241" s="211" t="str">
        <f>IFERROR(VLOOKUP($C241,'PORTIFÓLIO'!C:V,3,0),"")</f>
        <v/>
      </c>
      <c r="F241" s="211" t="str">
        <f>IFERROR(VLOOKUP($C241,'PORTIFÓLIO'!C:V,4,0),"")</f>
        <v/>
      </c>
      <c r="G241" s="215" t="str">
        <f>IFERROR(VLOOKUP($C241,'PORTIFÓLIO'!C:V,5,0),"")</f>
        <v/>
      </c>
      <c r="H241" s="254" t="str">
        <f t="array" ref="H241">IFERROR(INDEX('PORTIFÓLIO'!$H$4:$H$433,MATCH($C241,'PORTIFÓLIO'!$C$4:$C$433,0)),"")</f>
        <v/>
      </c>
      <c r="I241" s="256"/>
      <c r="J241" s="218">
        <f t="shared" si="27"/>
        <v>0</v>
      </c>
      <c r="K241" s="219" t="str">
        <f t="array" ref="K241">IFERROR(I241*INDEX('PORTIFÓLIO'!$S$4:$S$433,MATCH($C241,'PORTIFÓLIO'!$C$4:$C$433,0)),"")</f>
        <v/>
      </c>
      <c r="L241" s="219" t="str">
        <f t="array" ref="L241">IFERROR(J241*INDEX('PORTIFÓLIO'!$S$4:$S$433,MATCH($C241,'PORTIFÓLIO'!$C$4:$C$433,0)),"")</f>
        <v/>
      </c>
      <c r="M241" s="220"/>
      <c r="N241" s="220"/>
      <c r="O241" s="220"/>
      <c r="P241" s="220"/>
      <c r="Q241" s="220"/>
      <c r="R241" s="220"/>
      <c r="S241" s="220"/>
      <c r="T241" s="220"/>
      <c r="U241" s="220"/>
      <c r="V241" s="220"/>
      <c r="W241" s="220"/>
    </row>
    <row r="242" ht="15.75" customHeight="1" outlineLevel="1">
      <c r="A242" s="211"/>
      <c r="B242" s="212"/>
      <c r="C242" s="213"/>
      <c r="D242" s="214" t="str">
        <f>IFERROR(VLOOKUP($C242,'PORTIFÓLIO'!C:V,2,0),"")</f>
        <v/>
      </c>
      <c r="E242" s="211" t="str">
        <f>IFERROR(VLOOKUP($C242,'PORTIFÓLIO'!C:V,3,0),"")</f>
        <v/>
      </c>
      <c r="F242" s="211" t="str">
        <f>IFERROR(VLOOKUP($C242,'PORTIFÓLIO'!C:V,4,0),"")</f>
        <v/>
      </c>
      <c r="G242" s="215" t="str">
        <f>IFERROR(VLOOKUP($C242,'PORTIFÓLIO'!C:V,5,0),"")</f>
        <v/>
      </c>
      <c r="H242" s="254" t="str">
        <f t="array" ref="H242">IFERROR(INDEX('PORTIFÓLIO'!$H$4:$H$433,MATCH($C242,'PORTIFÓLIO'!$C$4:$C$433,0)),"")</f>
        <v/>
      </c>
      <c r="I242" s="255"/>
      <c r="J242" s="218">
        <f t="shared" si="27"/>
        <v>0</v>
      </c>
      <c r="K242" s="219" t="str">
        <f t="array" ref="K242">IFERROR(I242*INDEX('PORTIFÓLIO'!$S$4:$S$433,MATCH($C242,'PORTIFÓLIO'!$C$4:$C$433,0)),"")</f>
        <v/>
      </c>
      <c r="L242" s="219" t="str">
        <f t="array" ref="L242">IFERROR(J242*INDEX('PORTIFÓLIO'!$S$4:$S$433,MATCH($C242,'PORTIFÓLIO'!$C$4:$C$433,0)),"")</f>
        <v/>
      </c>
      <c r="M242" s="220"/>
      <c r="N242" s="220"/>
      <c r="O242" s="220"/>
      <c r="P242" s="220"/>
      <c r="Q242" s="220"/>
      <c r="R242" s="220"/>
      <c r="S242" s="220"/>
      <c r="T242" s="220"/>
      <c r="U242" s="220"/>
      <c r="V242" s="220"/>
      <c r="W242" s="220"/>
    </row>
    <row r="243" ht="15.75" customHeight="1" outlineLevel="1">
      <c r="A243" s="211"/>
      <c r="B243" s="212"/>
      <c r="C243" s="213"/>
      <c r="D243" s="214" t="str">
        <f>IFERROR(VLOOKUP($C243,'PORTIFÓLIO'!C:V,2,0),"")</f>
        <v/>
      </c>
      <c r="E243" s="211" t="str">
        <f>IFERROR(VLOOKUP($C243,'PORTIFÓLIO'!C:V,3,0),"")</f>
        <v/>
      </c>
      <c r="F243" s="211" t="str">
        <f>IFERROR(VLOOKUP($C243,'PORTIFÓLIO'!C:V,4,0),"")</f>
        <v/>
      </c>
      <c r="G243" s="215" t="str">
        <f>IFERROR(VLOOKUP($C243,'PORTIFÓLIO'!C:V,5,0),"")</f>
        <v/>
      </c>
      <c r="H243" s="254" t="str">
        <f t="array" ref="H243">IFERROR(INDEX('PORTIFÓLIO'!$H$4:$H$433,MATCH($C243,'PORTIFÓLIO'!$C$4:$C$433,0)),"")</f>
        <v/>
      </c>
      <c r="I243" s="256"/>
      <c r="J243" s="218">
        <f t="shared" si="27"/>
        <v>0</v>
      </c>
      <c r="K243" s="219" t="str">
        <f t="array" ref="K243">IFERROR(I243*INDEX('PORTIFÓLIO'!$S$4:$S$433,MATCH($C243,'PORTIFÓLIO'!$C$4:$C$433,0)),"")</f>
        <v/>
      </c>
      <c r="L243" s="219" t="str">
        <f t="array" ref="L243">IFERROR(J243*INDEX('PORTIFÓLIO'!$S$4:$S$433,MATCH($C243,'PORTIFÓLIO'!$C$4:$C$433,0)),"")</f>
        <v/>
      </c>
      <c r="M243" s="220"/>
      <c r="N243" s="220"/>
      <c r="O243" s="220"/>
      <c r="P243" s="220"/>
      <c r="Q243" s="220"/>
      <c r="R243" s="220"/>
      <c r="S243" s="220"/>
      <c r="T243" s="220"/>
      <c r="U243" s="220"/>
      <c r="V243" s="220"/>
      <c r="W243" s="220"/>
    </row>
    <row r="244" ht="15.75" customHeight="1" outlineLevel="1">
      <c r="A244" s="211"/>
      <c r="B244" s="212"/>
      <c r="C244" s="213"/>
      <c r="D244" s="214" t="str">
        <f>IFERROR(VLOOKUP($C244,'PORTIFÓLIO'!C:V,2,0),"")</f>
        <v/>
      </c>
      <c r="E244" s="211" t="str">
        <f>IFERROR(VLOOKUP($C244,'PORTIFÓLIO'!C:V,3,0),"")</f>
        <v/>
      </c>
      <c r="F244" s="211" t="str">
        <f>IFERROR(VLOOKUP($C244,'PORTIFÓLIO'!C:V,4,0),"")</f>
        <v/>
      </c>
      <c r="G244" s="215" t="str">
        <f>IFERROR(VLOOKUP($C244,'PORTIFÓLIO'!C:V,5,0),"")</f>
        <v/>
      </c>
      <c r="H244" s="254" t="str">
        <f t="array" ref="H244">IFERROR(INDEX('PORTIFÓLIO'!$H$4:$H$433,MATCH($C244,'PORTIFÓLIO'!$C$4:$C$433,0)),"")</f>
        <v/>
      </c>
      <c r="I244" s="256"/>
      <c r="J244" s="218">
        <f t="shared" si="27"/>
        <v>0</v>
      </c>
      <c r="K244" s="219" t="str">
        <f t="array" ref="K244">IFERROR(I244*INDEX('PORTIFÓLIO'!$S$4:$S$433,MATCH($C244,'PORTIFÓLIO'!$C$4:$C$433,0)),"")</f>
        <v/>
      </c>
      <c r="L244" s="219" t="str">
        <f t="array" ref="L244">IFERROR(J244*INDEX('PORTIFÓLIO'!$S$4:$S$433,MATCH($C244,'PORTIFÓLIO'!$C$4:$C$433,0)),"")</f>
        <v/>
      </c>
      <c r="M244" s="220"/>
      <c r="N244" s="220"/>
      <c r="O244" s="220"/>
      <c r="P244" s="220"/>
      <c r="Q244" s="220"/>
      <c r="R244" s="220"/>
      <c r="S244" s="220"/>
      <c r="T244" s="220"/>
      <c r="U244" s="220"/>
      <c r="V244" s="220"/>
      <c r="W244" s="220"/>
    </row>
    <row r="245" ht="15.75" customHeight="1" outlineLevel="1">
      <c r="A245" s="211"/>
      <c r="B245" s="212"/>
      <c r="C245" s="213"/>
      <c r="D245" s="214" t="str">
        <f>IFERROR(VLOOKUP($C245,'PORTIFÓLIO'!C:V,2,0),"")</f>
        <v/>
      </c>
      <c r="E245" s="211" t="str">
        <f>IFERROR(VLOOKUP($C245,'PORTIFÓLIO'!C:V,3,0),"")</f>
        <v/>
      </c>
      <c r="F245" s="211" t="str">
        <f>IFERROR(VLOOKUP($C245,'PORTIFÓLIO'!C:V,4,0),"")</f>
        <v/>
      </c>
      <c r="G245" s="215" t="str">
        <f>IFERROR(VLOOKUP($C245,'PORTIFÓLIO'!C:V,5,0),"")</f>
        <v/>
      </c>
      <c r="H245" s="254" t="str">
        <f t="array" ref="H245">IFERROR(INDEX('PORTIFÓLIO'!$H$4:$H$433,MATCH($C245,'PORTIFÓLIO'!$C$4:$C$433,0)),"")</f>
        <v/>
      </c>
      <c r="I245" s="256"/>
      <c r="J245" s="218">
        <f t="shared" si="27"/>
        <v>0</v>
      </c>
      <c r="K245" s="219" t="str">
        <f t="array" ref="K245">IFERROR(I245*INDEX('PORTIFÓLIO'!$S$4:$S$433,MATCH($C245,'PORTIFÓLIO'!$C$4:$C$433,0)),"")</f>
        <v/>
      </c>
      <c r="L245" s="219" t="str">
        <f t="array" ref="L245">IFERROR(J245*INDEX('PORTIFÓLIO'!$S$4:$S$433,MATCH($C245,'PORTIFÓLIO'!$C$4:$C$433,0)),"")</f>
        <v/>
      </c>
      <c r="M245" s="220"/>
      <c r="N245" s="220"/>
      <c r="O245" s="220"/>
      <c r="P245" s="220"/>
      <c r="Q245" s="220"/>
      <c r="R245" s="220"/>
      <c r="S245" s="220"/>
      <c r="T245" s="220"/>
      <c r="U245" s="220"/>
      <c r="V245" s="220"/>
      <c r="W245" s="220"/>
    </row>
    <row r="246" ht="15.75" customHeight="1" outlineLevel="1">
      <c r="A246" s="211"/>
      <c r="B246" s="212"/>
      <c r="C246" s="213"/>
      <c r="D246" s="214" t="str">
        <f>IFERROR(VLOOKUP($C246,'PORTIFÓLIO'!C:V,2,0),"")</f>
        <v/>
      </c>
      <c r="E246" s="211" t="str">
        <f>IFERROR(VLOOKUP($C246,'PORTIFÓLIO'!C:V,3,0),"")</f>
        <v/>
      </c>
      <c r="F246" s="211" t="str">
        <f>IFERROR(VLOOKUP($C246,'PORTIFÓLIO'!C:V,4,0),"")</f>
        <v/>
      </c>
      <c r="G246" s="215" t="str">
        <f>IFERROR(VLOOKUP($C246,'PORTIFÓLIO'!C:V,5,0),"")</f>
        <v/>
      </c>
      <c r="H246" s="254" t="str">
        <f t="array" ref="H246">IFERROR(INDEX('PORTIFÓLIO'!$H$4:$H$433,MATCH($C246,'PORTIFÓLIO'!$C$4:$C$433,0)),"")</f>
        <v/>
      </c>
      <c r="I246" s="255"/>
      <c r="J246" s="218">
        <f t="shared" si="27"/>
        <v>0</v>
      </c>
      <c r="K246" s="219" t="str">
        <f t="array" ref="K246">IFERROR(I246*INDEX('PORTIFÓLIO'!$S$4:$S$433,MATCH($C246,'PORTIFÓLIO'!$C$4:$C$433,0)),"")</f>
        <v/>
      </c>
      <c r="L246" s="219" t="str">
        <f t="array" ref="L246">IFERROR(J246*INDEX('PORTIFÓLIO'!$S$4:$S$433,MATCH($C246,'PORTIFÓLIO'!$C$4:$C$433,0)),"")</f>
        <v/>
      </c>
      <c r="M246" s="220"/>
      <c r="N246" s="220"/>
      <c r="O246" s="220"/>
      <c r="P246" s="220"/>
      <c r="Q246" s="220"/>
      <c r="R246" s="220"/>
      <c r="S246" s="220"/>
      <c r="T246" s="220"/>
      <c r="U246" s="220"/>
      <c r="V246" s="220"/>
      <c r="W246" s="220"/>
    </row>
    <row r="247" ht="15.75" customHeight="1" outlineLevel="1">
      <c r="A247" s="211"/>
      <c r="B247" s="212"/>
      <c r="C247" s="213"/>
      <c r="D247" s="214" t="str">
        <f>IFERROR(VLOOKUP($C247,'PORTIFÓLIO'!C:V,2,0),"")</f>
        <v/>
      </c>
      <c r="E247" s="211" t="str">
        <f>IFERROR(VLOOKUP($C247,'PORTIFÓLIO'!C:V,3,0),"")</f>
        <v/>
      </c>
      <c r="F247" s="211" t="str">
        <f>IFERROR(VLOOKUP($C247,'PORTIFÓLIO'!C:V,4,0),"")</f>
        <v/>
      </c>
      <c r="G247" s="215" t="str">
        <f>IFERROR(VLOOKUP($C247,'PORTIFÓLIO'!C:V,5,0),"")</f>
        <v/>
      </c>
      <c r="H247" s="254" t="str">
        <f t="array" ref="H247">IFERROR(INDEX('PORTIFÓLIO'!$H$4:$H$433,MATCH($C247,'PORTIFÓLIO'!$C$4:$C$433,0)),"")</f>
        <v/>
      </c>
      <c r="I247" s="255"/>
      <c r="J247" s="218">
        <f t="shared" si="27"/>
        <v>0</v>
      </c>
      <c r="K247" s="219" t="str">
        <f t="array" ref="K247">IFERROR(I247*INDEX('PORTIFÓLIO'!$S$4:$S$433,MATCH($C247,'PORTIFÓLIO'!$C$4:$C$433,0)),"")</f>
        <v/>
      </c>
      <c r="L247" s="219" t="str">
        <f t="array" ref="L247">IFERROR(J247*INDEX('PORTIFÓLIO'!$S$4:$S$433,MATCH($C247,'PORTIFÓLIO'!$C$4:$C$433,0)),"")</f>
        <v/>
      </c>
      <c r="M247" s="220"/>
      <c r="N247" s="220"/>
      <c r="O247" s="220"/>
      <c r="P247" s="220"/>
      <c r="Q247" s="220"/>
      <c r="R247" s="220"/>
      <c r="S247" s="220"/>
      <c r="T247" s="220"/>
      <c r="U247" s="220"/>
      <c r="V247" s="220"/>
      <c r="W247" s="220"/>
    </row>
    <row r="248" ht="15.75" customHeight="1" outlineLevel="1">
      <c r="A248" s="211"/>
      <c r="B248" s="212"/>
      <c r="C248" s="213"/>
      <c r="D248" s="214" t="str">
        <f>IFERROR(VLOOKUP($C248,'PORTIFÓLIO'!C:V,2,0),"")</f>
        <v/>
      </c>
      <c r="E248" s="211" t="str">
        <f>IFERROR(VLOOKUP($C248,'PORTIFÓLIO'!C:V,3,0),"")</f>
        <v/>
      </c>
      <c r="F248" s="211" t="str">
        <f>IFERROR(VLOOKUP($C248,'PORTIFÓLIO'!C:V,4,0),"")</f>
        <v/>
      </c>
      <c r="G248" s="215" t="str">
        <f>IFERROR(VLOOKUP($C248,'PORTIFÓLIO'!C:V,5,0),"")</f>
        <v/>
      </c>
      <c r="H248" s="254" t="str">
        <f t="array" ref="H248">IFERROR(INDEX('PORTIFÓLIO'!$H$4:$H$433,MATCH($C248,'PORTIFÓLIO'!$C$4:$C$433,0)),"")</f>
        <v/>
      </c>
      <c r="I248" s="255"/>
      <c r="J248" s="218">
        <f t="shared" si="27"/>
        <v>0</v>
      </c>
      <c r="K248" s="219" t="str">
        <f t="array" ref="K248">IFERROR(I248*INDEX('PORTIFÓLIO'!$S$4:$S$433,MATCH($C248,'PORTIFÓLIO'!$C$4:$C$433,0)),"")</f>
        <v/>
      </c>
      <c r="L248" s="219" t="str">
        <f t="array" ref="L248">IFERROR(J248*INDEX('PORTIFÓLIO'!$S$4:$S$433,MATCH($C248,'PORTIFÓLIO'!$C$4:$C$433,0)),"")</f>
        <v/>
      </c>
      <c r="M248" s="220"/>
      <c r="N248" s="220"/>
      <c r="O248" s="220"/>
      <c r="P248" s="220"/>
      <c r="Q248" s="220"/>
      <c r="R248" s="220"/>
      <c r="S248" s="220"/>
      <c r="T248" s="220"/>
      <c r="U248" s="220"/>
      <c r="V248" s="220"/>
      <c r="W248" s="220"/>
    </row>
    <row r="249" ht="15.75" customHeight="1" outlineLevel="1">
      <c r="A249" s="211"/>
      <c r="B249" s="212"/>
      <c r="C249" s="213"/>
      <c r="D249" s="214" t="str">
        <f>IFERROR(VLOOKUP($C249,'PORTIFÓLIO'!C:V,2,0),"")</f>
        <v/>
      </c>
      <c r="E249" s="211" t="str">
        <f>IFERROR(VLOOKUP($C249,'PORTIFÓLIO'!C:V,3,0),"")</f>
        <v/>
      </c>
      <c r="F249" s="211" t="str">
        <f>IFERROR(VLOOKUP($C249,'PORTIFÓLIO'!C:V,4,0),"")</f>
        <v/>
      </c>
      <c r="G249" s="215" t="str">
        <f>IFERROR(VLOOKUP($C249,'PORTIFÓLIO'!C:V,5,0),"")</f>
        <v/>
      </c>
      <c r="H249" s="254" t="str">
        <f t="array" ref="H249">IFERROR(INDEX('PORTIFÓLIO'!$H$4:$H$433,MATCH($C249,'PORTIFÓLIO'!$C$4:$C$433,0)),"")</f>
        <v/>
      </c>
      <c r="I249" s="255"/>
      <c r="J249" s="218">
        <f t="shared" si="27"/>
        <v>0</v>
      </c>
      <c r="K249" s="219" t="str">
        <f t="array" ref="K249">IFERROR(I249*INDEX('PORTIFÓLIO'!$S$4:$S$433,MATCH($C249,'PORTIFÓLIO'!$C$4:$C$433,0)),"")</f>
        <v/>
      </c>
      <c r="L249" s="219" t="str">
        <f t="array" ref="L249">IFERROR(J249*INDEX('PORTIFÓLIO'!$S$4:$S$433,MATCH($C249,'PORTIFÓLIO'!$C$4:$C$433,0)),"")</f>
        <v/>
      </c>
      <c r="M249" s="220"/>
      <c r="N249" s="220"/>
      <c r="O249" s="220"/>
      <c r="P249" s="220"/>
      <c r="Q249" s="220"/>
      <c r="R249" s="220"/>
      <c r="S249" s="220"/>
      <c r="T249" s="220"/>
      <c r="U249" s="220"/>
      <c r="V249" s="220"/>
      <c r="W249" s="220"/>
    </row>
    <row r="250" ht="15.75" customHeight="1" outlineLevel="1">
      <c r="A250" s="211"/>
      <c r="B250" s="212"/>
      <c r="C250" s="213"/>
      <c r="D250" s="214" t="str">
        <f>IFERROR(VLOOKUP($C250,'PORTIFÓLIO'!C:V,2,0),"")</f>
        <v/>
      </c>
      <c r="E250" s="211" t="str">
        <f>IFERROR(VLOOKUP($C250,'PORTIFÓLIO'!C:V,3,0),"")</f>
        <v/>
      </c>
      <c r="F250" s="211" t="str">
        <f>IFERROR(VLOOKUP($C250,'PORTIFÓLIO'!C:V,4,0),"")</f>
        <v/>
      </c>
      <c r="G250" s="215" t="str">
        <f>IFERROR(VLOOKUP($C250,'PORTIFÓLIO'!C:V,5,0),"")</f>
        <v/>
      </c>
      <c r="H250" s="254" t="str">
        <f t="array" ref="H250">IFERROR(INDEX('PORTIFÓLIO'!$H$4:$H$433,MATCH($C250,'PORTIFÓLIO'!$C$4:$C$433,0)),"")</f>
        <v/>
      </c>
      <c r="I250" s="255"/>
      <c r="J250" s="218">
        <f t="shared" si="27"/>
        <v>0</v>
      </c>
      <c r="K250" s="219" t="str">
        <f t="array" ref="K250">IFERROR(I250*INDEX('PORTIFÓLIO'!$S$4:$S$433,MATCH($C250,'PORTIFÓLIO'!$C$4:$C$433,0)),"")</f>
        <v/>
      </c>
      <c r="L250" s="219" t="str">
        <f t="array" ref="L250">IFERROR(J250*INDEX('PORTIFÓLIO'!$S$4:$S$433,MATCH($C250,'PORTIFÓLIO'!$C$4:$C$433,0)),"")</f>
        <v/>
      </c>
      <c r="M250" s="220"/>
      <c r="N250" s="220"/>
      <c r="O250" s="220"/>
      <c r="P250" s="220"/>
      <c r="Q250" s="220"/>
      <c r="R250" s="220"/>
      <c r="S250" s="220"/>
      <c r="T250" s="220"/>
      <c r="U250" s="220"/>
      <c r="V250" s="220"/>
      <c r="W250" s="220"/>
    </row>
    <row r="251" ht="15.75" customHeight="1" outlineLevel="1">
      <c r="A251" s="211"/>
      <c r="B251" s="212"/>
      <c r="C251" s="213"/>
      <c r="D251" s="214" t="str">
        <f>IFERROR(VLOOKUP($C251,'PORTIFÓLIO'!C:V,2,0),"")</f>
        <v/>
      </c>
      <c r="E251" s="211" t="str">
        <f>IFERROR(VLOOKUP($C251,'PORTIFÓLIO'!C:V,3,0),"")</f>
        <v/>
      </c>
      <c r="F251" s="211" t="str">
        <f>IFERROR(VLOOKUP($C251,'PORTIFÓLIO'!C:V,4,0),"")</f>
        <v/>
      </c>
      <c r="G251" s="215" t="str">
        <f>IFERROR(VLOOKUP($C251,'PORTIFÓLIO'!C:V,5,0),"")</f>
        <v/>
      </c>
      <c r="H251" s="254" t="str">
        <f t="array" ref="H251">IFERROR(INDEX('PORTIFÓLIO'!$H$4:$H$433,MATCH($C251,'PORTIFÓLIO'!$C$4:$C$433,0)),"")</f>
        <v/>
      </c>
      <c r="I251" s="255"/>
      <c r="J251" s="218">
        <f t="shared" si="27"/>
        <v>0</v>
      </c>
      <c r="K251" s="219" t="str">
        <f t="array" ref="K251">IFERROR(I251*INDEX('PORTIFÓLIO'!$S$4:$S$433,MATCH($C251,'PORTIFÓLIO'!$C$4:$C$433,0)),"")</f>
        <v/>
      </c>
      <c r="L251" s="219" t="str">
        <f t="array" ref="L251">IFERROR(J251*INDEX('PORTIFÓLIO'!$S$4:$S$433,MATCH($C251,'PORTIFÓLIO'!$C$4:$C$433,0)),"")</f>
        <v/>
      </c>
      <c r="M251" s="220"/>
      <c r="N251" s="220"/>
      <c r="O251" s="220"/>
      <c r="P251" s="220"/>
      <c r="Q251" s="220"/>
      <c r="R251" s="220"/>
      <c r="S251" s="220"/>
      <c r="T251" s="220"/>
      <c r="U251" s="220"/>
      <c r="V251" s="220"/>
      <c r="W251" s="220"/>
    </row>
    <row r="252" ht="15.75" customHeight="1">
      <c r="A252" s="229" t="s">
        <v>1184</v>
      </c>
      <c r="B252" s="230"/>
      <c r="C252" s="231"/>
      <c r="D252" s="232"/>
      <c r="E252" s="231"/>
      <c r="F252" s="231"/>
      <c r="G252" s="233"/>
      <c r="H252" s="233"/>
      <c r="I252" s="258"/>
      <c r="J252" s="236"/>
      <c r="K252" s="237">
        <f t="shared" ref="K252:L252" si="28">SUBTOTAL(9,K253:K266)</f>
        <v>0</v>
      </c>
      <c r="L252" s="237">
        <f t="shared" si="28"/>
        <v>0</v>
      </c>
      <c r="M252" s="220"/>
      <c r="N252" s="220"/>
      <c r="O252" s="220"/>
      <c r="P252" s="220"/>
      <c r="Q252" s="220"/>
      <c r="R252" s="220"/>
      <c r="S252" s="220"/>
      <c r="T252" s="220"/>
      <c r="U252" s="220"/>
      <c r="V252" s="220"/>
      <c r="W252" s="220"/>
    </row>
    <row r="253" ht="15.75" customHeight="1" outlineLevel="1">
      <c r="A253" s="213"/>
      <c r="B253" s="212"/>
      <c r="C253" s="213"/>
      <c r="D253" s="214" t="str">
        <f>IFERROR(VLOOKUP($C253,'PORTIFÓLIO'!C:V,2,0),"")</f>
        <v/>
      </c>
      <c r="E253" s="211" t="str">
        <f>IFERROR(VLOOKUP($C253,'PORTIFÓLIO'!C:V,3,0),"")</f>
        <v/>
      </c>
      <c r="F253" s="211" t="str">
        <f>IFERROR(VLOOKUP($C253,'PORTIFÓLIO'!C:V,4,0),"")</f>
        <v/>
      </c>
      <c r="G253" s="215" t="str">
        <f>IFERROR(VLOOKUP($C253,'PORTIFÓLIO'!C:V,5,0),"")</f>
        <v/>
      </c>
      <c r="H253" s="254" t="str">
        <f t="array" ref="H253">IFERROR(INDEX('PORTIFÓLIO'!$H$4:$H$433,MATCH($C253,'PORTIFÓLIO'!$C$4:$C$433,0)),"")</f>
        <v/>
      </c>
      <c r="I253" s="255"/>
      <c r="J253" s="218">
        <f t="shared" ref="J253:J270" si="29">I253*$B$2</f>
        <v>0</v>
      </c>
      <c r="K253" s="292" t="str">
        <f t="array" ref="K253">IFERROR(I253*INDEX('PORTIFÓLIO'!$S$4:$S$433,MATCH($C253,'PORTIFÓLIO'!$C$4:$C$433,0)),"")</f>
        <v/>
      </c>
      <c r="L253" s="292" t="str">
        <f t="array" ref="L253">IFERROR(J253*INDEX('PORTIFÓLIO'!$S$4:$S$433,MATCH($C253,'PORTIFÓLIO'!$C$4:$C$433,0)),"")</f>
        <v/>
      </c>
      <c r="M253" s="220"/>
      <c r="N253" s="220"/>
      <c r="O253" s="220"/>
      <c r="P253" s="220"/>
      <c r="Q253" s="220"/>
      <c r="R253" s="220"/>
      <c r="S253" s="220"/>
      <c r="T253" s="220"/>
      <c r="U253" s="220"/>
      <c r="V253" s="220"/>
      <c r="W253" s="220"/>
    </row>
    <row r="254" ht="15.75" customHeight="1" outlineLevel="1">
      <c r="A254" s="211"/>
      <c r="B254" s="212"/>
      <c r="C254" s="213"/>
      <c r="D254" s="214" t="str">
        <f>IFERROR(VLOOKUP($C254,'PORTIFÓLIO'!C:V,2,0),"")</f>
        <v/>
      </c>
      <c r="E254" s="211" t="str">
        <f>IFERROR(VLOOKUP($C254,'PORTIFÓLIO'!C:V,3,0),"")</f>
        <v/>
      </c>
      <c r="F254" s="211" t="str">
        <f>IFERROR(VLOOKUP($C254,'PORTIFÓLIO'!C:V,4,0),"")</f>
        <v/>
      </c>
      <c r="G254" s="215" t="str">
        <f>IFERROR(VLOOKUP($C254,'PORTIFÓLIO'!C:V,5,0),"")</f>
        <v/>
      </c>
      <c r="H254" s="254" t="str">
        <f t="array" ref="H254">IFERROR(INDEX('PORTIFÓLIO'!$H$4:$H$433,MATCH($C254,'PORTIFÓLIO'!$C$4:$C$433,0)),"")</f>
        <v/>
      </c>
      <c r="I254" s="255"/>
      <c r="J254" s="218">
        <f t="shared" si="29"/>
        <v>0</v>
      </c>
      <c r="K254" s="292" t="str">
        <f t="array" ref="K254">IFERROR(I254*INDEX('PORTIFÓLIO'!$S$4:$S$433,MATCH($C254,'PORTIFÓLIO'!$C$4:$C$433,0)),"")</f>
        <v/>
      </c>
      <c r="L254" s="292" t="str">
        <f t="array" ref="L254">IFERROR(J254*INDEX('PORTIFÓLIO'!$S$4:$S$433,MATCH($C254,'PORTIFÓLIO'!$C$4:$C$433,0)),"")</f>
        <v/>
      </c>
      <c r="M254" s="220"/>
      <c r="N254" s="220"/>
      <c r="O254" s="220"/>
      <c r="P254" s="220"/>
      <c r="Q254" s="220"/>
      <c r="R254" s="220"/>
      <c r="S254" s="220"/>
      <c r="T254" s="220"/>
      <c r="U254" s="220"/>
      <c r="V254" s="220"/>
      <c r="W254" s="220"/>
    </row>
    <row r="255" ht="15.75" customHeight="1" outlineLevel="1">
      <c r="A255" s="211"/>
      <c r="B255" s="212"/>
      <c r="C255" s="213"/>
      <c r="D255" s="214" t="str">
        <f>IFERROR(VLOOKUP($C255,'PORTIFÓLIO'!C:V,2,0),"")</f>
        <v/>
      </c>
      <c r="E255" s="211" t="str">
        <f>IFERROR(VLOOKUP($C255,'PORTIFÓLIO'!C:V,3,0),"")</f>
        <v/>
      </c>
      <c r="F255" s="211" t="str">
        <f>IFERROR(VLOOKUP($C255,'PORTIFÓLIO'!C:V,4,0),"")</f>
        <v/>
      </c>
      <c r="G255" s="215" t="str">
        <f>IFERROR(VLOOKUP($C255,'PORTIFÓLIO'!C:V,5,0),"")</f>
        <v/>
      </c>
      <c r="H255" s="254" t="str">
        <f t="array" ref="H255">IFERROR(INDEX('PORTIFÓLIO'!$H$4:$H$433,MATCH($C255,'PORTIFÓLIO'!$C$4:$C$433,0)),"")</f>
        <v/>
      </c>
      <c r="I255" s="256"/>
      <c r="J255" s="218">
        <f t="shared" si="29"/>
        <v>0</v>
      </c>
      <c r="K255" s="292" t="str">
        <f t="array" ref="K255">IFERROR(I255*INDEX('PORTIFÓLIO'!$S$4:$S$433,MATCH($C255,'PORTIFÓLIO'!$C$4:$C$433,0)),"")</f>
        <v/>
      </c>
      <c r="L255" s="292" t="str">
        <f t="array" ref="L255">IFERROR(J255*INDEX('PORTIFÓLIO'!$S$4:$S$433,MATCH($C255,'PORTIFÓLIO'!$C$4:$C$433,0)),"")</f>
        <v/>
      </c>
      <c r="M255" s="220"/>
      <c r="N255" s="220"/>
      <c r="O255" s="220"/>
      <c r="P255" s="220"/>
      <c r="Q255" s="220"/>
      <c r="R255" s="220"/>
      <c r="S255" s="220"/>
      <c r="T255" s="220"/>
      <c r="U255" s="220"/>
      <c r="V255" s="220"/>
      <c r="W255" s="220"/>
    </row>
    <row r="256" ht="15.75" customHeight="1" outlineLevel="1">
      <c r="A256" s="211"/>
      <c r="B256" s="212"/>
      <c r="C256" s="213"/>
      <c r="D256" s="214" t="str">
        <f>IFERROR(VLOOKUP($C256,'PORTIFÓLIO'!C:V,2,0),"")</f>
        <v/>
      </c>
      <c r="E256" s="211" t="str">
        <f>IFERROR(VLOOKUP($C256,'PORTIFÓLIO'!C:V,3,0),"")</f>
        <v/>
      </c>
      <c r="F256" s="211" t="str">
        <f>IFERROR(VLOOKUP($C256,'PORTIFÓLIO'!C:V,4,0),"")</f>
        <v/>
      </c>
      <c r="G256" s="215" t="str">
        <f>IFERROR(VLOOKUP($C256,'PORTIFÓLIO'!C:V,5,0),"")</f>
        <v/>
      </c>
      <c r="H256" s="254" t="str">
        <f t="array" ref="H256">IFERROR(INDEX('PORTIFÓLIO'!$H$4:$H$433,MATCH($C256,'PORTIFÓLIO'!$C$4:$C$433,0)),"")</f>
        <v/>
      </c>
      <c r="I256" s="255"/>
      <c r="J256" s="218">
        <f t="shared" si="29"/>
        <v>0</v>
      </c>
      <c r="K256" s="292" t="str">
        <f t="array" ref="K256">IFERROR(I256*INDEX('PORTIFÓLIO'!$S$4:$S$433,MATCH($C256,'PORTIFÓLIO'!$C$4:$C$433,0)),"")</f>
        <v/>
      </c>
      <c r="L256" s="292" t="str">
        <f t="array" ref="L256">IFERROR(J256*INDEX('PORTIFÓLIO'!$S$4:$S$433,MATCH($C256,'PORTIFÓLIO'!$C$4:$C$433,0)),"")</f>
        <v/>
      </c>
      <c r="M256" s="220"/>
      <c r="N256" s="220"/>
      <c r="O256" s="220"/>
      <c r="P256" s="220"/>
      <c r="Q256" s="220"/>
      <c r="R256" s="220"/>
      <c r="S256" s="220"/>
      <c r="T256" s="220"/>
      <c r="U256" s="220"/>
      <c r="V256" s="220"/>
      <c r="W256" s="220"/>
    </row>
    <row r="257" ht="15.75" customHeight="1" outlineLevel="1">
      <c r="A257" s="211"/>
      <c r="B257" s="212"/>
      <c r="C257" s="213"/>
      <c r="D257" s="214" t="str">
        <f>IFERROR(VLOOKUP($C257,'PORTIFÓLIO'!C:V,2,0),"")</f>
        <v/>
      </c>
      <c r="E257" s="211" t="str">
        <f>IFERROR(VLOOKUP($C257,'PORTIFÓLIO'!C:V,3,0),"")</f>
        <v/>
      </c>
      <c r="F257" s="211" t="str">
        <f>IFERROR(VLOOKUP($C257,'PORTIFÓLIO'!C:V,4,0),"")</f>
        <v/>
      </c>
      <c r="G257" s="215" t="str">
        <f>IFERROR(VLOOKUP($C257,'PORTIFÓLIO'!C:V,5,0),"")</f>
        <v/>
      </c>
      <c r="H257" s="254" t="str">
        <f t="array" ref="H257">IFERROR(INDEX('PORTIFÓLIO'!$H$4:$H$433,MATCH($C257,'PORTIFÓLIO'!$C$4:$C$433,0)),"")</f>
        <v/>
      </c>
      <c r="I257" s="256"/>
      <c r="J257" s="218">
        <f t="shared" si="29"/>
        <v>0</v>
      </c>
      <c r="K257" s="292" t="str">
        <f t="array" ref="K257">IFERROR(I257*INDEX('PORTIFÓLIO'!$S$4:$S$433,MATCH($C257,'PORTIFÓLIO'!$C$4:$C$433,0)),"")</f>
        <v/>
      </c>
      <c r="L257" s="292" t="str">
        <f t="array" ref="L257">IFERROR(J257*INDEX('PORTIFÓLIO'!$S$4:$S$433,MATCH($C257,'PORTIFÓLIO'!$C$4:$C$433,0)),"")</f>
        <v/>
      </c>
      <c r="M257" s="220"/>
      <c r="N257" s="220"/>
      <c r="O257" s="220"/>
      <c r="P257" s="220"/>
      <c r="Q257" s="220"/>
      <c r="R257" s="220"/>
      <c r="S257" s="220"/>
      <c r="T257" s="220"/>
      <c r="U257" s="220"/>
      <c r="V257" s="220"/>
      <c r="W257" s="220"/>
    </row>
    <row r="258" ht="15.75" customHeight="1" outlineLevel="1">
      <c r="A258" s="211"/>
      <c r="B258" s="212"/>
      <c r="C258" s="213"/>
      <c r="D258" s="214" t="str">
        <f>IFERROR(VLOOKUP($C258,'PORTIFÓLIO'!C:V,2,0),"")</f>
        <v/>
      </c>
      <c r="E258" s="211" t="str">
        <f>IFERROR(VLOOKUP($C258,'PORTIFÓLIO'!C:V,3,0),"")</f>
        <v/>
      </c>
      <c r="F258" s="211" t="str">
        <f>IFERROR(VLOOKUP($C258,'PORTIFÓLIO'!C:V,4,0),"")</f>
        <v/>
      </c>
      <c r="G258" s="215" t="str">
        <f>IFERROR(VLOOKUP($C258,'PORTIFÓLIO'!C:V,5,0),"")</f>
        <v/>
      </c>
      <c r="H258" s="254" t="str">
        <f t="array" ref="H258">IFERROR(INDEX('PORTIFÓLIO'!$H$4:$H$433,MATCH($C258,'PORTIFÓLIO'!$C$4:$C$433,0)),"")</f>
        <v/>
      </c>
      <c r="I258" s="256"/>
      <c r="J258" s="218">
        <f t="shared" si="29"/>
        <v>0</v>
      </c>
      <c r="K258" s="292" t="str">
        <f t="array" ref="K258">IFERROR(I258*INDEX('PORTIFÓLIO'!$S$4:$S$433,MATCH($C258,'PORTIFÓLIO'!$C$4:$C$433,0)),"")</f>
        <v/>
      </c>
      <c r="L258" s="292" t="str">
        <f t="array" ref="L258">IFERROR(J258*INDEX('PORTIFÓLIO'!$S$4:$S$433,MATCH($C258,'PORTIFÓLIO'!$C$4:$C$433,0)),"")</f>
        <v/>
      </c>
      <c r="M258" s="220"/>
      <c r="N258" s="220"/>
      <c r="O258" s="220"/>
      <c r="P258" s="220"/>
      <c r="Q258" s="220"/>
      <c r="R258" s="220"/>
      <c r="S258" s="220"/>
      <c r="T258" s="220"/>
      <c r="U258" s="220"/>
      <c r="V258" s="220"/>
      <c r="W258" s="220"/>
    </row>
    <row r="259" ht="15.75" customHeight="1" outlineLevel="1">
      <c r="A259" s="211"/>
      <c r="B259" s="212"/>
      <c r="C259" s="213"/>
      <c r="D259" s="214" t="str">
        <f>IFERROR(VLOOKUP($C259,'PORTIFÓLIO'!C:V,2,0),"")</f>
        <v/>
      </c>
      <c r="E259" s="211" t="str">
        <f>IFERROR(VLOOKUP($C259,'PORTIFÓLIO'!C:V,3,0),"")</f>
        <v/>
      </c>
      <c r="F259" s="211" t="str">
        <f>IFERROR(VLOOKUP($C259,'PORTIFÓLIO'!C:V,4,0),"")</f>
        <v/>
      </c>
      <c r="G259" s="215" t="str">
        <f>IFERROR(VLOOKUP($C259,'PORTIFÓLIO'!C:V,5,0),"")</f>
        <v/>
      </c>
      <c r="H259" s="254" t="str">
        <f t="array" ref="H259">IFERROR(INDEX('PORTIFÓLIO'!$H$4:$H$433,MATCH($C259,'PORTIFÓLIO'!$C$4:$C$433,0)),"")</f>
        <v/>
      </c>
      <c r="I259" s="256"/>
      <c r="J259" s="218">
        <f t="shared" si="29"/>
        <v>0</v>
      </c>
      <c r="K259" s="292" t="str">
        <f t="array" ref="K259">IFERROR(I259*INDEX('PORTIFÓLIO'!$S$4:$S$433,MATCH($C259,'PORTIFÓLIO'!$C$4:$C$433,0)),"")</f>
        <v/>
      </c>
      <c r="L259" s="292" t="str">
        <f t="array" ref="L259">IFERROR(J259*INDEX('PORTIFÓLIO'!$S$4:$S$433,MATCH($C259,'PORTIFÓLIO'!$C$4:$C$433,0)),"")</f>
        <v/>
      </c>
      <c r="M259" s="220"/>
      <c r="N259" s="220"/>
      <c r="O259" s="220"/>
      <c r="P259" s="220"/>
      <c r="Q259" s="220"/>
      <c r="R259" s="220"/>
      <c r="S259" s="220"/>
      <c r="T259" s="220"/>
      <c r="U259" s="220"/>
      <c r="V259" s="220"/>
      <c r="W259" s="220"/>
    </row>
    <row r="260" ht="15.75" customHeight="1" outlineLevel="1">
      <c r="A260" s="211"/>
      <c r="B260" s="212"/>
      <c r="C260" s="213"/>
      <c r="D260" s="214" t="str">
        <f>IFERROR(VLOOKUP($C260,'PORTIFÓLIO'!C:V,2,0),"")</f>
        <v/>
      </c>
      <c r="E260" s="211" t="str">
        <f>IFERROR(VLOOKUP($C260,'PORTIFÓLIO'!C:V,3,0),"")</f>
        <v/>
      </c>
      <c r="F260" s="211" t="str">
        <f>IFERROR(VLOOKUP($C260,'PORTIFÓLIO'!C:V,4,0),"")</f>
        <v/>
      </c>
      <c r="G260" s="215" t="str">
        <f>IFERROR(VLOOKUP($C260,'PORTIFÓLIO'!C:V,5,0),"")</f>
        <v/>
      </c>
      <c r="H260" s="254" t="str">
        <f t="array" ref="H260">IFERROR(INDEX('PORTIFÓLIO'!$H$4:$H$433,MATCH($C260,'PORTIFÓLIO'!$C$4:$C$433,0)),"")</f>
        <v/>
      </c>
      <c r="I260" s="256"/>
      <c r="J260" s="218">
        <f t="shared" si="29"/>
        <v>0</v>
      </c>
      <c r="K260" s="292" t="str">
        <f t="array" ref="K260">IFERROR(I260*INDEX('PORTIFÓLIO'!$S$4:$S$433,MATCH($C260,'PORTIFÓLIO'!$C$4:$C$433,0)),"")</f>
        <v/>
      </c>
      <c r="L260" s="292" t="str">
        <f t="array" ref="L260">IFERROR(J260*INDEX('PORTIFÓLIO'!$S$4:$S$433,MATCH($C260,'PORTIFÓLIO'!$C$4:$C$433,0)),"")</f>
        <v/>
      </c>
      <c r="M260" s="220"/>
      <c r="N260" s="220"/>
      <c r="O260" s="220"/>
      <c r="P260" s="220"/>
      <c r="Q260" s="220"/>
      <c r="R260" s="220"/>
      <c r="S260" s="220"/>
      <c r="T260" s="220"/>
      <c r="U260" s="220"/>
      <c r="V260" s="220"/>
      <c r="W260" s="220"/>
    </row>
    <row r="261" ht="15.75" customHeight="1" outlineLevel="1">
      <c r="A261" s="211"/>
      <c r="B261" s="212"/>
      <c r="C261" s="213"/>
      <c r="D261" s="214" t="str">
        <f>IFERROR(VLOOKUP($C261,'PORTIFÓLIO'!C:V,2,0),"")</f>
        <v/>
      </c>
      <c r="E261" s="211" t="str">
        <f>IFERROR(VLOOKUP($C261,'PORTIFÓLIO'!C:V,3,0),"")</f>
        <v/>
      </c>
      <c r="F261" s="211" t="str">
        <f>IFERROR(VLOOKUP($C261,'PORTIFÓLIO'!C:V,4,0),"")</f>
        <v/>
      </c>
      <c r="G261" s="215" t="str">
        <f>IFERROR(VLOOKUP($C261,'PORTIFÓLIO'!C:V,5,0),"")</f>
        <v/>
      </c>
      <c r="H261" s="254" t="str">
        <f t="array" ref="H261">IFERROR(INDEX('PORTIFÓLIO'!$H$4:$H$433,MATCH($C261,'PORTIFÓLIO'!$C$4:$C$433,0)),"")</f>
        <v/>
      </c>
      <c r="I261" s="255"/>
      <c r="J261" s="218">
        <f t="shared" si="29"/>
        <v>0</v>
      </c>
      <c r="K261" s="292" t="str">
        <f t="array" ref="K261">IFERROR(I261*INDEX('PORTIFÓLIO'!$S$4:$S$433,MATCH($C261,'PORTIFÓLIO'!$C$4:$C$433,0)),"")</f>
        <v/>
      </c>
      <c r="L261" s="292" t="str">
        <f t="array" ref="L261">IFERROR(J261*INDEX('PORTIFÓLIO'!$S$4:$S$433,MATCH($C261,'PORTIFÓLIO'!$C$4:$C$433,0)),"")</f>
        <v/>
      </c>
      <c r="M261" s="220"/>
      <c r="N261" s="220"/>
      <c r="O261" s="220"/>
      <c r="P261" s="220"/>
      <c r="Q261" s="220"/>
      <c r="R261" s="220"/>
      <c r="S261" s="220"/>
      <c r="T261" s="220"/>
      <c r="U261" s="220"/>
      <c r="V261" s="220"/>
      <c r="W261" s="220"/>
    </row>
    <row r="262" ht="15.75" customHeight="1" outlineLevel="1">
      <c r="A262" s="211"/>
      <c r="B262" s="212"/>
      <c r="C262" s="213"/>
      <c r="D262" s="214" t="str">
        <f>IFERROR(VLOOKUP($C262,'PORTIFÓLIO'!C:V,2,0),"")</f>
        <v/>
      </c>
      <c r="E262" s="211" t="str">
        <f>IFERROR(VLOOKUP($C262,'PORTIFÓLIO'!C:V,3,0),"")</f>
        <v/>
      </c>
      <c r="F262" s="211" t="str">
        <f>IFERROR(VLOOKUP($C262,'PORTIFÓLIO'!C:V,4,0),"")</f>
        <v/>
      </c>
      <c r="G262" s="215" t="str">
        <f>IFERROR(VLOOKUP($C262,'PORTIFÓLIO'!C:V,5,0),"")</f>
        <v/>
      </c>
      <c r="H262" s="254" t="str">
        <f t="array" ref="H262">IFERROR(INDEX('PORTIFÓLIO'!$H$4:$H$433,MATCH($C262,'PORTIFÓLIO'!$C$4:$C$433,0)),"")</f>
        <v/>
      </c>
      <c r="I262" s="256"/>
      <c r="J262" s="218">
        <f t="shared" si="29"/>
        <v>0</v>
      </c>
      <c r="K262" s="292" t="str">
        <f t="array" ref="K262">IFERROR(I262*INDEX('PORTIFÓLIO'!$S$4:$S$433,MATCH($C262,'PORTIFÓLIO'!$C$4:$C$433,0)),"")</f>
        <v/>
      </c>
      <c r="L262" s="292" t="str">
        <f t="array" ref="L262">IFERROR(J262*INDEX('PORTIFÓLIO'!$S$4:$S$433,MATCH($C262,'PORTIFÓLIO'!$C$4:$C$433,0)),"")</f>
        <v/>
      </c>
      <c r="M262" s="220"/>
      <c r="N262" s="220"/>
      <c r="O262" s="220"/>
      <c r="P262" s="220"/>
      <c r="Q262" s="220"/>
      <c r="R262" s="220"/>
      <c r="S262" s="220"/>
      <c r="T262" s="220"/>
      <c r="U262" s="220"/>
      <c r="V262" s="220"/>
      <c r="W262" s="220"/>
    </row>
    <row r="263" ht="15.75" customHeight="1" outlineLevel="1">
      <c r="A263" s="211"/>
      <c r="B263" s="212"/>
      <c r="C263" s="213"/>
      <c r="D263" s="214" t="str">
        <f>IFERROR(VLOOKUP($C263,'PORTIFÓLIO'!C:V,2,0),"")</f>
        <v/>
      </c>
      <c r="E263" s="211" t="str">
        <f>IFERROR(VLOOKUP($C263,'PORTIFÓLIO'!C:V,3,0),"")</f>
        <v/>
      </c>
      <c r="F263" s="211" t="str">
        <f>IFERROR(VLOOKUP($C263,'PORTIFÓLIO'!C:V,4,0),"")</f>
        <v/>
      </c>
      <c r="G263" s="215" t="str">
        <f>IFERROR(VLOOKUP($C263,'PORTIFÓLIO'!C:V,5,0),"")</f>
        <v/>
      </c>
      <c r="H263" s="254" t="str">
        <f t="array" ref="H263">IFERROR(INDEX('PORTIFÓLIO'!$H$4:$H$433,MATCH($C263,'PORTIFÓLIO'!$C$4:$C$433,0)),"")</f>
        <v/>
      </c>
      <c r="I263" s="256"/>
      <c r="J263" s="218">
        <f t="shared" si="29"/>
        <v>0</v>
      </c>
      <c r="K263" s="292" t="str">
        <f t="array" ref="K263">IFERROR(I263*INDEX('PORTIFÓLIO'!$S$4:$S$433,MATCH($C263,'PORTIFÓLIO'!$C$4:$C$433,0)),"")</f>
        <v/>
      </c>
      <c r="L263" s="292" t="str">
        <f t="array" ref="L263">IFERROR(J263*INDEX('PORTIFÓLIO'!$S$4:$S$433,MATCH($C263,'PORTIFÓLIO'!$C$4:$C$433,0)),"")</f>
        <v/>
      </c>
      <c r="M263" s="220"/>
      <c r="N263" s="220"/>
      <c r="O263" s="220"/>
      <c r="P263" s="220"/>
      <c r="Q263" s="220"/>
      <c r="R263" s="220"/>
      <c r="S263" s="220"/>
      <c r="T263" s="220"/>
      <c r="U263" s="220"/>
      <c r="V263" s="220"/>
      <c r="W263" s="220"/>
    </row>
    <row r="264" ht="15.75" customHeight="1" outlineLevel="1">
      <c r="A264" s="211"/>
      <c r="B264" s="212"/>
      <c r="C264" s="213"/>
      <c r="D264" s="214" t="str">
        <f>IFERROR(VLOOKUP($C264,'PORTIFÓLIO'!C:V,2,0),"")</f>
        <v/>
      </c>
      <c r="E264" s="211" t="str">
        <f>IFERROR(VLOOKUP($C264,'PORTIFÓLIO'!C:V,3,0),"")</f>
        <v/>
      </c>
      <c r="F264" s="211" t="str">
        <f>IFERROR(VLOOKUP($C264,'PORTIFÓLIO'!C:V,4,0),"")</f>
        <v/>
      </c>
      <c r="G264" s="215" t="str">
        <f>IFERROR(VLOOKUP($C264,'PORTIFÓLIO'!C:V,5,0),"")</f>
        <v/>
      </c>
      <c r="H264" s="254" t="str">
        <f t="array" ref="H264">IFERROR(INDEX('PORTIFÓLIO'!$H$4:$H$433,MATCH($C264,'PORTIFÓLIO'!$C$4:$C$433,0)),"")</f>
        <v/>
      </c>
      <c r="I264" s="256"/>
      <c r="J264" s="218">
        <f t="shared" si="29"/>
        <v>0</v>
      </c>
      <c r="K264" s="292" t="str">
        <f t="array" ref="K264">IFERROR(I264*INDEX('PORTIFÓLIO'!$S$4:$S$433,MATCH($C264,'PORTIFÓLIO'!$C$4:$C$433,0)),"")</f>
        <v/>
      </c>
      <c r="L264" s="292" t="str">
        <f t="array" ref="L264">IFERROR(J264*INDEX('PORTIFÓLIO'!$S$4:$S$433,MATCH($C264,'PORTIFÓLIO'!$C$4:$C$433,0)),"")</f>
        <v/>
      </c>
      <c r="M264" s="220"/>
      <c r="N264" s="220"/>
      <c r="O264" s="220"/>
      <c r="P264" s="220"/>
      <c r="Q264" s="220"/>
      <c r="R264" s="220"/>
      <c r="S264" s="220"/>
      <c r="T264" s="220"/>
      <c r="U264" s="220"/>
      <c r="V264" s="220"/>
      <c r="W264" s="220"/>
    </row>
    <row r="265" ht="15.75" customHeight="1" outlineLevel="1">
      <c r="A265" s="211"/>
      <c r="B265" s="212"/>
      <c r="C265" s="213"/>
      <c r="D265" s="214" t="str">
        <f>IFERROR(VLOOKUP($C265,'PORTIFÓLIO'!C:V,2,0),"")</f>
        <v/>
      </c>
      <c r="E265" s="211" t="str">
        <f>IFERROR(VLOOKUP($C265,'PORTIFÓLIO'!C:V,3,0),"")</f>
        <v/>
      </c>
      <c r="F265" s="211" t="str">
        <f>IFERROR(VLOOKUP($C265,'PORTIFÓLIO'!C:V,4,0),"")</f>
        <v/>
      </c>
      <c r="G265" s="215" t="str">
        <f>IFERROR(VLOOKUP($C265,'PORTIFÓLIO'!C:V,5,0),"")</f>
        <v/>
      </c>
      <c r="H265" s="254" t="str">
        <f t="array" ref="H265">IFERROR(INDEX('PORTIFÓLIO'!$H$4:$H$433,MATCH($C265,'PORTIFÓLIO'!$C$4:$C$433,0)),"")</f>
        <v/>
      </c>
      <c r="I265" s="256"/>
      <c r="J265" s="218">
        <f t="shared" si="29"/>
        <v>0</v>
      </c>
      <c r="K265" s="292" t="str">
        <f t="array" ref="K265">IFERROR(I265*INDEX('PORTIFÓLIO'!$S$4:$S$433,MATCH($C265,'PORTIFÓLIO'!$C$4:$C$433,0)),"")</f>
        <v/>
      </c>
      <c r="L265" s="292" t="str">
        <f t="array" ref="L265">IFERROR(J265*INDEX('PORTIFÓLIO'!$S$4:$S$433,MATCH($C265,'PORTIFÓLIO'!$C$4:$C$433,0)),"")</f>
        <v/>
      </c>
      <c r="M265" s="220"/>
      <c r="N265" s="220"/>
      <c r="O265" s="220"/>
      <c r="P265" s="220"/>
      <c r="Q265" s="220"/>
      <c r="R265" s="220"/>
      <c r="S265" s="220"/>
      <c r="T265" s="220"/>
      <c r="U265" s="220"/>
      <c r="V265" s="220"/>
      <c r="W265" s="220"/>
    </row>
    <row r="266" ht="15.75" customHeight="1" outlineLevel="1">
      <c r="A266" s="211"/>
      <c r="B266" s="212"/>
      <c r="C266" s="213"/>
      <c r="D266" s="214" t="str">
        <f>IFERROR(VLOOKUP($C266,'PORTIFÓLIO'!C:V,2,0),"")</f>
        <v/>
      </c>
      <c r="E266" s="211" t="str">
        <f>IFERROR(VLOOKUP($C266,'PORTIFÓLIO'!C:V,3,0),"")</f>
        <v/>
      </c>
      <c r="F266" s="211" t="str">
        <f>IFERROR(VLOOKUP($C266,'PORTIFÓLIO'!C:V,4,0),"")</f>
        <v/>
      </c>
      <c r="G266" s="215" t="str">
        <f>IFERROR(VLOOKUP($C266,'PORTIFÓLIO'!C:V,5,0),"")</f>
        <v/>
      </c>
      <c r="H266" s="254" t="str">
        <f t="array" ref="H266">IFERROR(INDEX('PORTIFÓLIO'!$H$4:$H$433,MATCH($C266,'PORTIFÓLIO'!$C$4:$C$433,0)),"")</f>
        <v/>
      </c>
      <c r="I266" s="256"/>
      <c r="J266" s="218">
        <f t="shared" si="29"/>
        <v>0</v>
      </c>
      <c r="K266" s="292" t="str">
        <f t="array" ref="K266">IFERROR(I266*INDEX('PORTIFÓLIO'!$S$4:$S$433,MATCH($C266,'PORTIFÓLIO'!$C$4:$C$433,0)),"")</f>
        <v/>
      </c>
      <c r="L266" s="292" t="str">
        <f t="array" ref="L266">IFERROR(J266*INDEX('PORTIFÓLIO'!$S$4:$S$433,MATCH($C266,'PORTIFÓLIO'!$C$4:$C$433,0)),"")</f>
        <v/>
      </c>
      <c r="M266" s="220"/>
      <c r="N266" s="220"/>
      <c r="O266" s="220"/>
      <c r="P266" s="220"/>
      <c r="Q266" s="220"/>
      <c r="R266" s="220"/>
      <c r="S266" s="220"/>
      <c r="T266" s="220"/>
      <c r="U266" s="220"/>
      <c r="V266" s="220"/>
      <c r="W266" s="220"/>
    </row>
    <row r="267" ht="15.75" customHeight="1" outlineLevel="1">
      <c r="A267" s="211"/>
      <c r="B267" s="212"/>
      <c r="C267" s="213"/>
      <c r="D267" s="214" t="str">
        <f>IFERROR(VLOOKUP($C267,'PORTIFÓLIO'!C:V,2,0),"")</f>
        <v/>
      </c>
      <c r="E267" s="211" t="str">
        <f>IFERROR(VLOOKUP($C267,'PORTIFÓLIO'!C:V,3,0),"")</f>
        <v/>
      </c>
      <c r="F267" s="211" t="str">
        <f>IFERROR(VLOOKUP($C267,'PORTIFÓLIO'!C:V,4,0),"")</f>
        <v/>
      </c>
      <c r="G267" s="215" t="str">
        <f>IFERROR(VLOOKUP($C267,'PORTIFÓLIO'!C:V,5,0),"")</f>
        <v/>
      </c>
      <c r="H267" s="254" t="str">
        <f t="array" ref="H267">IFERROR(INDEX('PORTIFÓLIO'!$H$4:$H$433,MATCH($C267,'PORTIFÓLIO'!$C$4:$C$433,0)),"")</f>
        <v/>
      </c>
      <c r="I267" s="256"/>
      <c r="J267" s="218">
        <f t="shared" si="29"/>
        <v>0</v>
      </c>
      <c r="K267" s="292" t="str">
        <f t="array" ref="K267">IFERROR(I267*INDEX('PORTIFÓLIO'!$S$4:$S$433,MATCH($C267,'PORTIFÓLIO'!$C$4:$C$433,0)),"")</f>
        <v/>
      </c>
      <c r="L267" s="292" t="str">
        <f t="array" ref="L267">IFERROR(J267*INDEX('PORTIFÓLIO'!$S$4:$S$433,MATCH($C267,'PORTIFÓLIO'!$C$4:$C$433,0)),"")</f>
        <v/>
      </c>
      <c r="M267" s="220"/>
      <c r="N267" s="220"/>
      <c r="O267" s="220"/>
      <c r="P267" s="220"/>
      <c r="Q267" s="220"/>
      <c r="R267" s="220"/>
      <c r="S267" s="220"/>
      <c r="T267" s="220"/>
      <c r="U267" s="220"/>
      <c r="V267" s="220"/>
      <c r="W267" s="220"/>
    </row>
    <row r="268" ht="15.75" customHeight="1" outlineLevel="1">
      <c r="A268" s="211"/>
      <c r="B268" s="212"/>
      <c r="C268" s="213"/>
      <c r="D268" s="214" t="str">
        <f>IFERROR(VLOOKUP($C268,'PORTIFÓLIO'!C:V,2,0),"")</f>
        <v/>
      </c>
      <c r="E268" s="211" t="str">
        <f>IFERROR(VLOOKUP($C268,'PORTIFÓLIO'!C:V,3,0),"")</f>
        <v/>
      </c>
      <c r="F268" s="211" t="str">
        <f>IFERROR(VLOOKUP($C268,'PORTIFÓLIO'!C:V,4,0),"")</f>
        <v/>
      </c>
      <c r="G268" s="215" t="str">
        <f>IFERROR(VLOOKUP($C268,'PORTIFÓLIO'!C:V,5,0),"")</f>
        <v/>
      </c>
      <c r="H268" s="254" t="str">
        <f t="array" ref="H268">IFERROR(INDEX('PORTIFÓLIO'!$H$4:$H$433,MATCH($C268,'PORTIFÓLIO'!$C$4:$C$433,0)),"")</f>
        <v/>
      </c>
      <c r="I268" s="256"/>
      <c r="J268" s="218">
        <f t="shared" si="29"/>
        <v>0</v>
      </c>
      <c r="K268" s="292" t="str">
        <f t="array" ref="K268">IFERROR(I268*INDEX('PORTIFÓLIO'!$S$4:$S$433,MATCH($C268,'PORTIFÓLIO'!$C$4:$C$433,0)),"")</f>
        <v/>
      </c>
      <c r="L268" s="292" t="str">
        <f t="array" ref="L268">IFERROR(J268*INDEX('PORTIFÓLIO'!$S$4:$S$433,MATCH($C268,'PORTIFÓLIO'!$C$4:$C$433,0)),"")</f>
        <v/>
      </c>
      <c r="M268" s="220"/>
      <c r="N268" s="220"/>
      <c r="O268" s="220"/>
      <c r="P268" s="220"/>
      <c r="Q268" s="220"/>
      <c r="R268" s="220"/>
      <c r="S268" s="220"/>
      <c r="T268" s="220"/>
      <c r="U268" s="220"/>
      <c r="V268" s="220"/>
      <c r="W268" s="220"/>
    </row>
    <row r="269" ht="15.75" customHeight="1" outlineLevel="1">
      <c r="A269" s="211"/>
      <c r="B269" s="212"/>
      <c r="C269" s="213"/>
      <c r="D269" s="214" t="str">
        <f>IFERROR(VLOOKUP($C269,'PORTIFÓLIO'!C:V,2,0),"")</f>
        <v/>
      </c>
      <c r="E269" s="211" t="str">
        <f>IFERROR(VLOOKUP($C269,'PORTIFÓLIO'!C:V,3,0),"")</f>
        <v/>
      </c>
      <c r="F269" s="211" t="str">
        <f>IFERROR(VLOOKUP($C269,'PORTIFÓLIO'!C:V,4,0),"")</f>
        <v/>
      </c>
      <c r="G269" s="215" t="str">
        <f>IFERROR(VLOOKUP($C269,'PORTIFÓLIO'!C:V,5,0),"")</f>
        <v/>
      </c>
      <c r="H269" s="254" t="str">
        <f t="array" ref="H269">IFERROR(INDEX('PORTIFÓLIO'!$H$4:$H$433,MATCH($C269,'PORTIFÓLIO'!$C$4:$C$433,0)),"")</f>
        <v/>
      </c>
      <c r="I269" s="256"/>
      <c r="J269" s="218">
        <f t="shared" si="29"/>
        <v>0</v>
      </c>
      <c r="K269" s="292" t="str">
        <f t="array" ref="K269">IFERROR(I269*INDEX('PORTIFÓLIO'!$S$4:$S$433,MATCH($C269,'PORTIFÓLIO'!$C$4:$C$433,0)),"")</f>
        <v/>
      </c>
      <c r="L269" s="292" t="str">
        <f t="array" ref="L269">IFERROR(J269*INDEX('PORTIFÓLIO'!$S$4:$S$433,MATCH($C269,'PORTIFÓLIO'!$C$4:$C$433,0)),"")</f>
        <v/>
      </c>
      <c r="M269" s="220"/>
      <c r="N269" s="220"/>
      <c r="O269" s="220"/>
      <c r="P269" s="220"/>
      <c r="Q269" s="220"/>
      <c r="R269" s="220"/>
      <c r="S269" s="220"/>
      <c r="T269" s="220"/>
      <c r="U269" s="220"/>
      <c r="V269" s="220"/>
      <c r="W269" s="220"/>
    </row>
    <row r="270" ht="15.75" customHeight="1" outlineLevel="1">
      <c r="A270" s="211"/>
      <c r="B270" s="212"/>
      <c r="C270" s="213"/>
      <c r="D270" s="214" t="str">
        <f>IFERROR(VLOOKUP($C270,'PORTIFÓLIO'!C:V,2,0),"")</f>
        <v/>
      </c>
      <c r="E270" s="211" t="str">
        <f>IFERROR(VLOOKUP($C270,'PORTIFÓLIO'!C:V,3,0),"")</f>
        <v/>
      </c>
      <c r="F270" s="211" t="str">
        <f>IFERROR(VLOOKUP($C270,'PORTIFÓLIO'!C:V,4,0),"")</f>
        <v/>
      </c>
      <c r="G270" s="215" t="str">
        <f>IFERROR(VLOOKUP($C270,'PORTIFÓLIO'!C:V,5,0),"")</f>
        <v/>
      </c>
      <c r="H270" s="254" t="str">
        <f t="array" ref="H270">IFERROR(INDEX('PORTIFÓLIO'!$H$4:$H$433,MATCH($C270,'PORTIFÓLIO'!$C$4:$C$433,0)),"")</f>
        <v/>
      </c>
      <c r="I270" s="256"/>
      <c r="J270" s="218">
        <f t="shared" si="29"/>
        <v>0</v>
      </c>
      <c r="K270" s="292" t="str">
        <f t="array" ref="K270">IFERROR(I270*INDEX('PORTIFÓLIO'!$S$4:$S$433,MATCH($C270,'PORTIFÓLIO'!$C$4:$C$433,0)),"")</f>
        <v/>
      </c>
      <c r="L270" s="292" t="str">
        <f t="array" ref="L270">IFERROR(J270*INDEX('PORTIFÓLIO'!$S$4:$S$433,MATCH($C270,'PORTIFÓLIO'!$C$4:$C$433,0)),"")</f>
        <v/>
      </c>
      <c r="M270" s="220"/>
      <c r="N270" s="220"/>
      <c r="O270" s="220"/>
      <c r="P270" s="220"/>
      <c r="Q270" s="220"/>
      <c r="R270" s="220"/>
      <c r="S270" s="220"/>
      <c r="T270" s="220"/>
      <c r="U270" s="220"/>
      <c r="V270" s="220"/>
      <c r="W270" s="220"/>
    </row>
    <row r="271" ht="15.75" customHeight="1">
      <c r="A271" s="229" t="s">
        <v>1185</v>
      </c>
      <c r="B271" s="230"/>
      <c r="C271" s="231"/>
      <c r="D271" s="232"/>
      <c r="E271" s="231"/>
      <c r="F271" s="231"/>
      <c r="G271" s="233"/>
      <c r="H271" s="233"/>
      <c r="I271" s="258"/>
      <c r="J271" s="236"/>
      <c r="K271" s="237">
        <f t="shared" ref="K271:L271" si="30">SUBTOTAL(9,K272:K285)</f>
        <v>0</v>
      </c>
      <c r="L271" s="237">
        <f t="shared" si="30"/>
        <v>0</v>
      </c>
      <c r="M271" s="220"/>
      <c r="N271" s="220"/>
      <c r="O271" s="220"/>
      <c r="P271" s="220"/>
      <c r="Q271" s="220"/>
      <c r="R271" s="220"/>
      <c r="S271" s="220"/>
      <c r="T271" s="220"/>
      <c r="U271" s="220"/>
      <c r="V271" s="220"/>
      <c r="W271" s="220"/>
    </row>
    <row r="272" ht="15.75" customHeight="1" outlineLevel="1">
      <c r="A272" s="213"/>
      <c r="B272" s="212"/>
      <c r="C272" s="213"/>
      <c r="D272" s="214" t="str">
        <f>IFERROR(VLOOKUP($C272,'PORTIFÓLIO'!C:V,2,0),"")</f>
        <v/>
      </c>
      <c r="E272" s="211" t="str">
        <f>IFERROR(VLOOKUP($C272,'PORTIFÓLIO'!C:V,3,0),"")</f>
        <v/>
      </c>
      <c r="F272" s="211" t="str">
        <f>IFERROR(VLOOKUP($C272,'PORTIFÓLIO'!C:V,4,0),"")</f>
        <v/>
      </c>
      <c r="G272" s="215" t="str">
        <f>IFERROR(VLOOKUP($C272,'PORTIFÓLIO'!C:V,5,0),"")</f>
        <v/>
      </c>
      <c r="H272" s="254" t="str">
        <f t="array" ref="H272">IFERROR(INDEX('PORTIFÓLIO'!$H$4:$H$433,MATCH($C272,'PORTIFÓLIO'!$C$4:$C$433,0)),"")</f>
        <v/>
      </c>
      <c r="I272" s="255"/>
      <c r="J272" s="218">
        <f t="shared" ref="J272:J289" si="31">I272*$B$2</f>
        <v>0</v>
      </c>
      <c r="K272" s="292" t="str">
        <f t="array" ref="K272">IFERROR(I272*INDEX('PORTIFÓLIO'!$S$4:$S$433,MATCH($C272,'PORTIFÓLIO'!$C$4:$C$433,0)),"")</f>
        <v/>
      </c>
      <c r="L272" s="292" t="str">
        <f t="array" ref="L272">IFERROR(J272*INDEX('PORTIFÓLIO'!$S$4:$S$433,MATCH($C272,'PORTIFÓLIO'!$C$4:$C$433,0)),"")</f>
        <v/>
      </c>
      <c r="M272" s="220"/>
      <c r="N272" s="220"/>
      <c r="O272" s="220"/>
      <c r="P272" s="220"/>
      <c r="Q272" s="220"/>
      <c r="R272" s="220"/>
      <c r="S272" s="220"/>
      <c r="T272" s="220"/>
      <c r="U272" s="220"/>
      <c r="V272" s="220"/>
      <c r="W272" s="220"/>
    </row>
    <row r="273" ht="15.75" customHeight="1" outlineLevel="1">
      <c r="A273" s="211"/>
      <c r="B273" s="212"/>
      <c r="C273" s="213"/>
      <c r="D273" s="214" t="str">
        <f>IFERROR(VLOOKUP($C273,'PORTIFÓLIO'!C:V,2,0),"")</f>
        <v/>
      </c>
      <c r="E273" s="211" t="str">
        <f>IFERROR(VLOOKUP($C273,'PORTIFÓLIO'!C:V,3,0),"")</f>
        <v/>
      </c>
      <c r="F273" s="211" t="str">
        <f>IFERROR(VLOOKUP($C273,'PORTIFÓLIO'!C:V,4,0),"")</f>
        <v/>
      </c>
      <c r="G273" s="215" t="str">
        <f>IFERROR(VLOOKUP($C273,'PORTIFÓLIO'!C:V,5,0),"")</f>
        <v/>
      </c>
      <c r="H273" s="254" t="str">
        <f t="array" ref="H273">IFERROR(INDEX('PORTIFÓLIO'!$H$4:$H$433,MATCH($C273,'PORTIFÓLIO'!$C$4:$C$433,0)),"")</f>
        <v/>
      </c>
      <c r="I273" s="256"/>
      <c r="J273" s="218">
        <f t="shared" si="31"/>
        <v>0</v>
      </c>
      <c r="K273" s="292" t="str">
        <f t="array" ref="K273">IFERROR(I273*INDEX('PORTIFÓLIO'!$S$4:$S$433,MATCH($C273,'PORTIFÓLIO'!$C$4:$C$433,0)),"")</f>
        <v/>
      </c>
      <c r="L273" s="292" t="str">
        <f t="array" ref="L273">IFERROR(J273*INDEX('PORTIFÓLIO'!$S$4:$S$433,MATCH($C273,'PORTIFÓLIO'!$C$4:$C$433,0)),"")</f>
        <v/>
      </c>
      <c r="M273" s="220"/>
      <c r="N273" s="220"/>
      <c r="O273" s="220"/>
      <c r="P273" s="220"/>
      <c r="Q273" s="220"/>
      <c r="R273" s="220"/>
      <c r="S273" s="220"/>
      <c r="T273" s="220"/>
      <c r="U273" s="220"/>
      <c r="V273" s="220"/>
      <c r="W273" s="220"/>
    </row>
    <row r="274" ht="15.75" customHeight="1" outlineLevel="1">
      <c r="A274" s="211"/>
      <c r="B274" s="212"/>
      <c r="C274" s="213"/>
      <c r="D274" s="214" t="str">
        <f>IFERROR(VLOOKUP($C274,'PORTIFÓLIO'!C:V,2,0),"")</f>
        <v/>
      </c>
      <c r="E274" s="211" t="str">
        <f>IFERROR(VLOOKUP($C274,'PORTIFÓLIO'!C:V,3,0),"")</f>
        <v/>
      </c>
      <c r="F274" s="211" t="str">
        <f>IFERROR(VLOOKUP($C274,'PORTIFÓLIO'!C:V,4,0),"")</f>
        <v/>
      </c>
      <c r="G274" s="215" t="str">
        <f>IFERROR(VLOOKUP($C274,'PORTIFÓLIO'!C:V,5,0),"")</f>
        <v/>
      </c>
      <c r="H274" s="254" t="str">
        <f t="array" ref="H274">IFERROR(INDEX('PORTIFÓLIO'!$H$4:$H$433,MATCH($C274,'PORTIFÓLIO'!$C$4:$C$433,0)),"")</f>
        <v/>
      </c>
      <c r="I274" s="256"/>
      <c r="J274" s="218">
        <f t="shared" si="31"/>
        <v>0</v>
      </c>
      <c r="K274" s="292" t="str">
        <f t="array" ref="K274">IFERROR(I274*INDEX('PORTIFÓLIO'!$S$4:$S$433,MATCH($C274,'PORTIFÓLIO'!$C$4:$C$433,0)),"")</f>
        <v/>
      </c>
      <c r="L274" s="292" t="str">
        <f t="array" ref="L274">IFERROR(J274*INDEX('PORTIFÓLIO'!$S$4:$S$433,MATCH($C274,'PORTIFÓLIO'!$C$4:$C$433,0)),"")</f>
        <v/>
      </c>
      <c r="M274" s="220"/>
      <c r="N274" s="220"/>
      <c r="O274" s="220"/>
      <c r="P274" s="220"/>
      <c r="Q274" s="220"/>
      <c r="R274" s="220"/>
      <c r="S274" s="220"/>
      <c r="T274" s="220"/>
      <c r="U274" s="220"/>
      <c r="V274" s="220"/>
      <c r="W274" s="220"/>
    </row>
    <row r="275" ht="15.75" customHeight="1" outlineLevel="1">
      <c r="A275" s="211"/>
      <c r="B275" s="212"/>
      <c r="C275" s="213"/>
      <c r="D275" s="214" t="str">
        <f>IFERROR(VLOOKUP($C275,'PORTIFÓLIO'!C:V,2,0),"")</f>
        <v/>
      </c>
      <c r="E275" s="211" t="str">
        <f>IFERROR(VLOOKUP($C275,'PORTIFÓLIO'!C:V,3,0),"")</f>
        <v/>
      </c>
      <c r="F275" s="211" t="str">
        <f>IFERROR(VLOOKUP($C275,'PORTIFÓLIO'!C:V,4,0),"")</f>
        <v/>
      </c>
      <c r="G275" s="215" t="str">
        <f>IFERROR(VLOOKUP($C275,'PORTIFÓLIO'!C:V,5,0),"")</f>
        <v/>
      </c>
      <c r="H275" s="254" t="str">
        <f t="array" ref="H275">IFERROR(INDEX('PORTIFÓLIO'!$H$4:$H$433,MATCH($C275,'PORTIFÓLIO'!$C$4:$C$433,0)),"")</f>
        <v/>
      </c>
      <c r="I275" s="256"/>
      <c r="J275" s="218">
        <f t="shared" si="31"/>
        <v>0</v>
      </c>
      <c r="K275" s="292" t="str">
        <f t="array" ref="K275">IFERROR(I275*INDEX('PORTIFÓLIO'!$S$4:$S$433,MATCH($C275,'PORTIFÓLIO'!$C$4:$C$433,0)),"")</f>
        <v/>
      </c>
      <c r="L275" s="292" t="str">
        <f t="array" ref="L275">IFERROR(J275*INDEX('PORTIFÓLIO'!$S$4:$S$433,MATCH($C275,'PORTIFÓLIO'!$C$4:$C$433,0)),"")</f>
        <v/>
      </c>
      <c r="M275" s="220"/>
      <c r="N275" s="220"/>
      <c r="O275" s="220"/>
      <c r="P275" s="220"/>
      <c r="Q275" s="220"/>
      <c r="R275" s="220"/>
      <c r="S275" s="220"/>
      <c r="T275" s="220"/>
      <c r="U275" s="220"/>
      <c r="V275" s="220"/>
      <c r="W275" s="220"/>
    </row>
    <row r="276" ht="15.75" customHeight="1" outlineLevel="1">
      <c r="A276" s="211"/>
      <c r="B276" s="212"/>
      <c r="C276" s="213"/>
      <c r="D276" s="214" t="str">
        <f>IFERROR(VLOOKUP($C276,'PORTIFÓLIO'!C:V,2,0),"")</f>
        <v/>
      </c>
      <c r="E276" s="211" t="str">
        <f>IFERROR(VLOOKUP($C276,'PORTIFÓLIO'!C:V,3,0),"")</f>
        <v/>
      </c>
      <c r="F276" s="211" t="str">
        <f>IFERROR(VLOOKUP($C276,'PORTIFÓLIO'!C:V,4,0),"")</f>
        <v/>
      </c>
      <c r="G276" s="215" t="str">
        <f>IFERROR(VLOOKUP($C276,'PORTIFÓLIO'!C:V,5,0),"")</f>
        <v/>
      </c>
      <c r="H276" s="254" t="str">
        <f t="array" ref="H276">IFERROR(INDEX('PORTIFÓLIO'!$H$4:$H$433,MATCH($C276,'PORTIFÓLIO'!$C$4:$C$433,0)),"")</f>
        <v/>
      </c>
      <c r="I276" s="256"/>
      <c r="J276" s="218">
        <f t="shared" si="31"/>
        <v>0</v>
      </c>
      <c r="K276" s="292" t="str">
        <f t="array" ref="K276">IFERROR(I276*INDEX('PORTIFÓLIO'!$S$4:$S$433,MATCH($C276,'PORTIFÓLIO'!$C$4:$C$433,0)),"")</f>
        <v/>
      </c>
      <c r="L276" s="292" t="str">
        <f t="array" ref="L276">IFERROR(J276*INDEX('PORTIFÓLIO'!$S$4:$S$433,MATCH($C276,'PORTIFÓLIO'!$C$4:$C$433,0)),"")</f>
        <v/>
      </c>
      <c r="M276" s="220"/>
      <c r="N276" s="220"/>
      <c r="O276" s="220"/>
      <c r="P276" s="220"/>
      <c r="Q276" s="220"/>
      <c r="R276" s="220"/>
      <c r="S276" s="220"/>
      <c r="T276" s="220"/>
      <c r="U276" s="220"/>
      <c r="V276" s="220"/>
      <c r="W276" s="220"/>
    </row>
    <row r="277" ht="15.75" customHeight="1" outlineLevel="1">
      <c r="A277" s="211"/>
      <c r="B277" s="212"/>
      <c r="C277" s="213"/>
      <c r="D277" s="214" t="str">
        <f>IFERROR(VLOOKUP($C277,'PORTIFÓLIO'!C:V,2,0),"")</f>
        <v/>
      </c>
      <c r="E277" s="211" t="str">
        <f>IFERROR(VLOOKUP($C277,'PORTIFÓLIO'!C:V,3,0),"")</f>
        <v/>
      </c>
      <c r="F277" s="211" t="str">
        <f>IFERROR(VLOOKUP($C277,'PORTIFÓLIO'!C:V,4,0),"")</f>
        <v/>
      </c>
      <c r="G277" s="215" t="str">
        <f>IFERROR(VLOOKUP($C277,'PORTIFÓLIO'!C:V,5,0),"")</f>
        <v/>
      </c>
      <c r="H277" s="254" t="str">
        <f t="array" ref="H277">IFERROR(INDEX('PORTIFÓLIO'!$H$4:$H$433,MATCH($C277,'PORTIFÓLIO'!$C$4:$C$433,0)),"")</f>
        <v/>
      </c>
      <c r="I277" s="256"/>
      <c r="J277" s="218">
        <f t="shared" si="31"/>
        <v>0</v>
      </c>
      <c r="K277" s="292" t="str">
        <f t="array" ref="K277">IFERROR(I277*INDEX('PORTIFÓLIO'!$S$4:$S$433,MATCH($C277,'PORTIFÓLIO'!$C$4:$C$433,0)),"")</f>
        <v/>
      </c>
      <c r="L277" s="292" t="str">
        <f t="array" ref="L277">IFERROR(J277*INDEX('PORTIFÓLIO'!$S$4:$S$433,MATCH($C277,'PORTIFÓLIO'!$C$4:$C$433,0)),"")</f>
        <v/>
      </c>
      <c r="M277" s="220"/>
      <c r="N277" s="220"/>
      <c r="O277" s="220"/>
      <c r="P277" s="220"/>
      <c r="Q277" s="220"/>
      <c r="R277" s="220"/>
      <c r="S277" s="220"/>
      <c r="T277" s="220"/>
      <c r="U277" s="220"/>
      <c r="V277" s="220"/>
      <c r="W277" s="220"/>
    </row>
    <row r="278" ht="15.75" customHeight="1" outlineLevel="1">
      <c r="A278" s="211"/>
      <c r="B278" s="212"/>
      <c r="C278" s="213"/>
      <c r="D278" s="214" t="str">
        <f>IFERROR(VLOOKUP($C278,'PORTIFÓLIO'!C:V,2,0),"")</f>
        <v/>
      </c>
      <c r="E278" s="211" t="str">
        <f>IFERROR(VLOOKUP($C278,'PORTIFÓLIO'!C:V,3,0),"")</f>
        <v/>
      </c>
      <c r="F278" s="211" t="str">
        <f>IFERROR(VLOOKUP($C278,'PORTIFÓLIO'!C:V,4,0),"")</f>
        <v/>
      </c>
      <c r="G278" s="215" t="str">
        <f>IFERROR(VLOOKUP($C278,'PORTIFÓLIO'!C:V,5,0),"")</f>
        <v/>
      </c>
      <c r="H278" s="254" t="str">
        <f t="array" ref="H278">IFERROR(INDEX('PORTIFÓLIO'!$H$4:$H$433,MATCH($C278,'PORTIFÓLIO'!$C$4:$C$433,0)),"")</f>
        <v/>
      </c>
      <c r="I278" s="256"/>
      <c r="J278" s="218">
        <f t="shared" si="31"/>
        <v>0</v>
      </c>
      <c r="K278" s="292" t="str">
        <f t="array" ref="K278">IFERROR(I278*INDEX('PORTIFÓLIO'!$S$4:$S$433,MATCH($C278,'PORTIFÓLIO'!$C$4:$C$433,0)),"")</f>
        <v/>
      </c>
      <c r="L278" s="292" t="str">
        <f t="array" ref="L278">IFERROR(J278*INDEX('PORTIFÓLIO'!$S$4:$S$433,MATCH($C278,'PORTIFÓLIO'!$C$4:$C$433,0)),"")</f>
        <v/>
      </c>
      <c r="M278" s="220"/>
      <c r="N278" s="220"/>
      <c r="O278" s="220"/>
      <c r="P278" s="220"/>
      <c r="Q278" s="220"/>
      <c r="R278" s="220"/>
      <c r="S278" s="220"/>
      <c r="T278" s="220"/>
      <c r="U278" s="220"/>
      <c r="V278" s="220"/>
      <c r="W278" s="220"/>
    </row>
    <row r="279" ht="15.75" customHeight="1" outlineLevel="1">
      <c r="A279" s="211"/>
      <c r="B279" s="212"/>
      <c r="C279" s="213"/>
      <c r="D279" s="214" t="str">
        <f>IFERROR(VLOOKUP($C279,'PORTIFÓLIO'!C:V,2,0),"")</f>
        <v/>
      </c>
      <c r="E279" s="211" t="str">
        <f>IFERROR(VLOOKUP($C279,'PORTIFÓLIO'!C:V,3,0),"")</f>
        <v/>
      </c>
      <c r="F279" s="211" t="str">
        <f>IFERROR(VLOOKUP($C279,'PORTIFÓLIO'!C:V,4,0),"")</f>
        <v/>
      </c>
      <c r="G279" s="215" t="str">
        <f>IFERROR(VLOOKUP($C279,'PORTIFÓLIO'!C:V,5,0),"")</f>
        <v/>
      </c>
      <c r="H279" s="254" t="str">
        <f t="array" ref="H279">IFERROR(INDEX('PORTIFÓLIO'!$H$4:$H$433,MATCH($C279,'PORTIFÓLIO'!$C$4:$C$433,0)),"")</f>
        <v/>
      </c>
      <c r="I279" s="256"/>
      <c r="J279" s="218">
        <f t="shared" si="31"/>
        <v>0</v>
      </c>
      <c r="K279" s="292" t="str">
        <f t="array" ref="K279">IFERROR(I279*INDEX('PORTIFÓLIO'!$S$4:$S$433,MATCH($C279,'PORTIFÓLIO'!$C$4:$C$433,0)),"")</f>
        <v/>
      </c>
      <c r="L279" s="292" t="str">
        <f t="array" ref="L279">IFERROR(J279*INDEX('PORTIFÓLIO'!$S$4:$S$433,MATCH($C279,'PORTIFÓLIO'!$C$4:$C$433,0)),"")</f>
        <v/>
      </c>
      <c r="M279" s="220"/>
      <c r="N279" s="220"/>
      <c r="O279" s="220"/>
      <c r="P279" s="220"/>
      <c r="Q279" s="220"/>
      <c r="R279" s="220"/>
      <c r="S279" s="220"/>
      <c r="T279" s="220"/>
      <c r="U279" s="220"/>
      <c r="V279" s="220"/>
      <c r="W279" s="220"/>
    </row>
    <row r="280" ht="15.75" customHeight="1" outlineLevel="1">
      <c r="A280" s="211"/>
      <c r="B280" s="212"/>
      <c r="C280" s="213"/>
      <c r="D280" s="214" t="str">
        <f>IFERROR(VLOOKUP($C280,'PORTIFÓLIO'!C:V,2,0),"")</f>
        <v/>
      </c>
      <c r="E280" s="211" t="str">
        <f>IFERROR(VLOOKUP($C280,'PORTIFÓLIO'!C:V,3,0),"")</f>
        <v/>
      </c>
      <c r="F280" s="211" t="str">
        <f>IFERROR(VLOOKUP($C280,'PORTIFÓLIO'!C:V,4,0),"")</f>
        <v/>
      </c>
      <c r="G280" s="215" t="str">
        <f>IFERROR(VLOOKUP($C280,'PORTIFÓLIO'!C:V,5,0),"")</f>
        <v/>
      </c>
      <c r="H280" s="254" t="str">
        <f t="array" ref="H280">IFERROR(INDEX('PORTIFÓLIO'!$H$4:$H$433,MATCH($C280,'PORTIFÓLIO'!$C$4:$C$433,0)),"")</f>
        <v/>
      </c>
      <c r="I280" s="255"/>
      <c r="J280" s="218">
        <f t="shared" si="31"/>
        <v>0</v>
      </c>
      <c r="K280" s="292" t="str">
        <f t="array" ref="K280">IFERROR(I280*INDEX('PORTIFÓLIO'!$S$4:$S$433,MATCH($C280,'PORTIFÓLIO'!$C$4:$C$433,0)),"")</f>
        <v/>
      </c>
      <c r="L280" s="292" t="str">
        <f t="array" ref="L280">IFERROR(J280*INDEX('PORTIFÓLIO'!$S$4:$S$433,MATCH($C280,'PORTIFÓLIO'!$C$4:$C$433,0)),"")</f>
        <v/>
      </c>
      <c r="M280" s="220"/>
      <c r="N280" s="220"/>
      <c r="O280" s="220"/>
      <c r="P280" s="220"/>
      <c r="Q280" s="220"/>
      <c r="R280" s="220"/>
      <c r="S280" s="220"/>
      <c r="T280" s="220"/>
      <c r="U280" s="220"/>
      <c r="V280" s="220"/>
      <c r="W280" s="220"/>
    </row>
    <row r="281" ht="15.75" customHeight="1" outlineLevel="1">
      <c r="A281" s="211"/>
      <c r="B281" s="212"/>
      <c r="C281" s="213"/>
      <c r="D281" s="214" t="str">
        <f>IFERROR(VLOOKUP($C281,'PORTIFÓLIO'!C:V,2,0),"")</f>
        <v/>
      </c>
      <c r="E281" s="211" t="str">
        <f>IFERROR(VLOOKUP($C281,'PORTIFÓLIO'!C:V,3,0),"")</f>
        <v/>
      </c>
      <c r="F281" s="211" t="str">
        <f>IFERROR(VLOOKUP($C281,'PORTIFÓLIO'!C:V,4,0),"")</f>
        <v/>
      </c>
      <c r="G281" s="215" t="str">
        <f>IFERROR(VLOOKUP($C281,'PORTIFÓLIO'!C:V,5,0),"")</f>
        <v/>
      </c>
      <c r="H281" s="254" t="str">
        <f t="array" ref="H281">IFERROR(INDEX('PORTIFÓLIO'!$H$4:$H$433,MATCH($C281,'PORTIFÓLIO'!$C$4:$C$433,0)),"")</f>
        <v/>
      </c>
      <c r="I281" s="256"/>
      <c r="J281" s="218">
        <f t="shared" si="31"/>
        <v>0</v>
      </c>
      <c r="K281" s="292" t="str">
        <f t="array" ref="K281">IFERROR(I281*INDEX('PORTIFÓLIO'!$S$4:$S$433,MATCH($C281,'PORTIFÓLIO'!$C$4:$C$433,0)),"")</f>
        <v/>
      </c>
      <c r="L281" s="292" t="str">
        <f t="array" ref="L281">IFERROR(J281*INDEX('PORTIFÓLIO'!$S$4:$S$433,MATCH($C281,'PORTIFÓLIO'!$C$4:$C$433,0)),"")</f>
        <v/>
      </c>
      <c r="M281" s="220"/>
      <c r="N281" s="220"/>
      <c r="O281" s="220"/>
      <c r="P281" s="220"/>
      <c r="Q281" s="220"/>
      <c r="R281" s="220"/>
      <c r="S281" s="220"/>
      <c r="T281" s="220"/>
      <c r="U281" s="220"/>
      <c r="V281" s="220"/>
      <c r="W281" s="220"/>
    </row>
    <row r="282" ht="15.75" customHeight="1" outlineLevel="1">
      <c r="A282" s="211"/>
      <c r="B282" s="212"/>
      <c r="C282" s="213"/>
      <c r="D282" s="214" t="str">
        <f>IFERROR(VLOOKUP($C282,'PORTIFÓLIO'!C:V,2,0),"")</f>
        <v/>
      </c>
      <c r="E282" s="211" t="str">
        <f>IFERROR(VLOOKUP($C282,'PORTIFÓLIO'!C:V,3,0),"")</f>
        <v/>
      </c>
      <c r="F282" s="211" t="str">
        <f>IFERROR(VLOOKUP($C282,'PORTIFÓLIO'!C:V,4,0),"")</f>
        <v/>
      </c>
      <c r="G282" s="215" t="str">
        <f>IFERROR(VLOOKUP($C282,'PORTIFÓLIO'!C:V,5,0),"")</f>
        <v/>
      </c>
      <c r="H282" s="254" t="str">
        <f t="array" ref="H282">IFERROR(INDEX('PORTIFÓLIO'!$H$4:$H$433,MATCH($C282,'PORTIFÓLIO'!$C$4:$C$433,0)),"")</f>
        <v/>
      </c>
      <c r="I282" s="256"/>
      <c r="J282" s="218">
        <f t="shared" si="31"/>
        <v>0</v>
      </c>
      <c r="K282" s="292" t="str">
        <f t="array" ref="K282">IFERROR(I282*INDEX('PORTIFÓLIO'!$S$4:$S$433,MATCH($C282,'PORTIFÓLIO'!$C$4:$C$433,0)),"")</f>
        <v/>
      </c>
      <c r="L282" s="292" t="str">
        <f t="array" ref="L282">IFERROR(J282*INDEX('PORTIFÓLIO'!$S$4:$S$433,MATCH($C282,'PORTIFÓLIO'!$C$4:$C$433,0)),"")</f>
        <v/>
      </c>
      <c r="M282" s="220"/>
      <c r="N282" s="220"/>
      <c r="O282" s="220"/>
      <c r="P282" s="220"/>
      <c r="Q282" s="220"/>
      <c r="R282" s="220"/>
      <c r="S282" s="220"/>
      <c r="T282" s="220"/>
      <c r="U282" s="220"/>
      <c r="V282" s="220"/>
      <c r="W282" s="220"/>
    </row>
    <row r="283" ht="15.75" customHeight="1" outlineLevel="1">
      <c r="A283" s="211"/>
      <c r="B283" s="212"/>
      <c r="C283" s="213"/>
      <c r="D283" s="214" t="str">
        <f>IFERROR(VLOOKUP($C283,'PORTIFÓLIO'!C:V,2,0),"")</f>
        <v/>
      </c>
      <c r="E283" s="211" t="str">
        <f>IFERROR(VLOOKUP($C283,'PORTIFÓLIO'!C:V,3,0),"")</f>
        <v/>
      </c>
      <c r="F283" s="211" t="str">
        <f>IFERROR(VLOOKUP($C283,'PORTIFÓLIO'!C:V,4,0),"")</f>
        <v/>
      </c>
      <c r="G283" s="215" t="str">
        <f>IFERROR(VLOOKUP($C283,'PORTIFÓLIO'!C:V,5,0),"")</f>
        <v/>
      </c>
      <c r="H283" s="254" t="str">
        <f t="array" ref="H283">IFERROR(INDEX('PORTIFÓLIO'!$H$4:$H$433,MATCH($C283,'PORTIFÓLIO'!$C$4:$C$433,0)),"")</f>
        <v/>
      </c>
      <c r="I283" s="256"/>
      <c r="J283" s="218">
        <f t="shared" si="31"/>
        <v>0</v>
      </c>
      <c r="K283" s="292" t="str">
        <f t="array" ref="K283">IFERROR(I283*INDEX('PORTIFÓLIO'!$S$4:$S$433,MATCH($C283,'PORTIFÓLIO'!$C$4:$C$433,0)),"")</f>
        <v/>
      </c>
      <c r="L283" s="292" t="str">
        <f t="array" ref="L283">IFERROR(J283*INDEX('PORTIFÓLIO'!$S$4:$S$433,MATCH($C283,'PORTIFÓLIO'!$C$4:$C$433,0)),"")</f>
        <v/>
      </c>
      <c r="M283" s="220"/>
      <c r="N283" s="220"/>
      <c r="O283" s="220"/>
      <c r="P283" s="220"/>
      <c r="Q283" s="220"/>
      <c r="R283" s="220"/>
      <c r="S283" s="220"/>
      <c r="T283" s="220"/>
      <c r="U283" s="220"/>
      <c r="V283" s="220"/>
      <c r="W283" s="220"/>
    </row>
    <row r="284" ht="15.75" customHeight="1" outlineLevel="1">
      <c r="A284" s="211"/>
      <c r="B284" s="212"/>
      <c r="C284" s="213"/>
      <c r="D284" s="214" t="str">
        <f>IFERROR(VLOOKUP($C284,'PORTIFÓLIO'!C:V,2,0),"")</f>
        <v/>
      </c>
      <c r="E284" s="211" t="str">
        <f>IFERROR(VLOOKUP($C284,'PORTIFÓLIO'!C:V,3,0),"")</f>
        <v/>
      </c>
      <c r="F284" s="211" t="str">
        <f>IFERROR(VLOOKUP($C284,'PORTIFÓLIO'!C:V,4,0),"")</f>
        <v/>
      </c>
      <c r="G284" s="215" t="str">
        <f>IFERROR(VLOOKUP($C284,'PORTIFÓLIO'!C:V,5,0),"")</f>
        <v/>
      </c>
      <c r="H284" s="254" t="str">
        <f t="array" ref="H284">IFERROR(INDEX('PORTIFÓLIO'!$H$4:$H$433,MATCH($C284,'PORTIFÓLIO'!$C$4:$C$433,0)),"")</f>
        <v/>
      </c>
      <c r="I284" s="256"/>
      <c r="J284" s="218">
        <f t="shared" si="31"/>
        <v>0</v>
      </c>
      <c r="K284" s="292" t="str">
        <f t="array" ref="K284">IFERROR(I284*INDEX('PORTIFÓLIO'!$S$4:$S$433,MATCH($C284,'PORTIFÓLIO'!$C$4:$C$433,0)),"")</f>
        <v/>
      </c>
      <c r="L284" s="292" t="str">
        <f t="array" ref="L284">IFERROR(J284*INDEX('PORTIFÓLIO'!$S$4:$S$433,MATCH($C284,'PORTIFÓLIO'!$C$4:$C$433,0)),"")</f>
        <v/>
      </c>
      <c r="M284" s="220"/>
      <c r="N284" s="220"/>
      <c r="O284" s="220"/>
      <c r="P284" s="220"/>
      <c r="Q284" s="220"/>
      <c r="R284" s="220"/>
      <c r="S284" s="220"/>
      <c r="T284" s="220"/>
      <c r="U284" s="220"/>
      <c r="V284" s="220"/>
      <c r="W284" s="220"/>
    </row>
    <row r="285" ht="15.75" customHeight="1" outlineLevel="1">
      <c r="A285" s="211"/>
      <c r="B285" s="212"/>
      <c r="C285" s="213"/>
      <c r="D285" s="214" t="str">
        <f>IFERROR(VLOOKUP($C285,'PORTIFÓLIO'!C:V,2,0),"")</f>
        <v/>
      </c>
      <c r="E285" s="211" t="str">
        <f>IFERROR(VLOOKUP($C285,'PORTIFÓLIO'!C:V,3,0),"")</f>
        <v/>
      </c>
      <c r="F285" s="211" t="str">
        <f>IFERROR(VLOOKUP($C285,'PORTIFÓLIO'!C:V,4,0),"")</f>
        <v/>
      </c>
      <c r="G285" s="215" t="str">
        <f>IFERROR(VLOOKUP($C285,'PORTIFÓLIO'!C:V,5,0),"")</f>
        <v/>
      </c>
      <c r="H285" s="254" t="str">
        <f t="array" ref="H285">IFERROR(INDEX('PORTIFÓLIO'!$H$4:$H$433,MATCH($C285,'PORTIFÓLIO'!$C$4:$C$433,0)),"")</f>
        <v/>
      </c>
      <c r="I285" s="256"/>
      <c r="J285" s="218">
        <f t="shared" si="31"/>
        <v>0</v>
      </c>
      <c r="K285" s="292" t="str">
        <f t="array" ref="K285">IFERROR(I285*INDEX('PORTIFÓLIO'!$S$4:$S$433,MATCH($C285,'PORTIFÓLIO'!$C$4:$C$433,0)),"")</f>
        <v/>
      </c>
      <c r="L285" s="292" t="str">
        <f t="array" ref="L285">IFERROR(J285*INDEX('PORTIFÓLIO'!$S$4:$S$433,MATCH($C285,'PORTIFÓLIO'!$C$4:$C$433,0)),"")</f>
        <v/>
      </c>
      <c r="M285" s="220"/>
      <c r="N285" s="220"/>
      <c r="O285" s="220"/>
      <c r="P285" s="220"/>
      <c r="Q285" s="220"/>
      <c r="R285" s="220"/>
      <c r="S285" s="220"/>
      <c r="T285" s="220"/>
      <c r="U285" s="220"/>
      <c r="V285" s="220"/>
      <c r="W285" s="220"/>
    </row>
    <row r="286" ht="15.75" customHeight="1" outlineLevel="1">
      <c r="A286" s="211"/>
      <c r="B286" s="212"/>
      <c r="C286" s="213"/>
      <c r="D286" s="214" t="str">
        <f>IFERROR(VLOOKUP($C286,'PORTIFÓLIO'!C:V,2,0),"")</f>
        <v/>
      </c>
      <c r="E286" s="211" t="str">
        <f>IFERROR(VLOOKUP($C286,'PORTIFÓLIO'!C:V,3,0),"")</f>
        <v/>
      </c>
      <c r="F286" s="211" t="str">
        <f>IFERROR(VLOOKUP($C286,'PORTIFÓLIO'!C:V,4,0),"")</f>
        <v/>
      </c>
      <c r="G286" s="215" t="str">
        <f>IFERROR(VLOOKUP($C286,'PORTIFÓLIO'!C:V,5,0),"")</f>
        <v/>
      </c>
      <c r="H286" s="254" t="str">
        <f t="array" ref="H286">IFERROR(INDEX('PORTIFÓLIO'!$H$4:$H$433,MATCH($C286,'PORTIFÓLIO'!$C$4:$C$433,0)),"")</f>
        <v/>
      </c>
      <c r="I286" s="256"/>
      <c r="J286" s="218">
        <f t="shared" si="31"/>
        <v>0</v>
      </c>
      <c r="K286" s="292" t="str">
        <f t="array" ref="K286">IFERROR(I286*INDEX('PORTIFÓLIO'!$S$4:$S$433,MATCH($C286,'PORTIFÓLIO'!$C$4:$C$433,0)),"")</f>
        <v/>
      </c>
      <c r="L286" s="292" t="str">
        <f t="array" ref="L286">IFERROR(J286*INDEX('PORTIFÓLIO'!$S$4:$S$433,MATCH($C286,'PORTIFÓLIO'!$C$4:$C$433,0)),"")</f>
        <v/>
      </c>
      <c r="M286" s="220"/>
      <c r="N286" s="220"/>
      <c r="O286" s="220"/>
      <c r="P286" s="220"/>
      <c r="Q286" s="220"/>
      <c r="R286" s="220"/>
      <c r="S286" s="220"/>
      <c r="T286" s="220"/>
      <c r="U286" s="220"/>
      <c r="V286" s="220"/>
      <c r="W286" s="220"/>
    </row>
    <row r="287" ht="15.75" customHeight="1" outlineLevel="1">
      <c r="A287" s="211"/>
      <c r="B287" s="212"/>
      <c r="C287" s="213"/>
      <c r="D287" s="214" t="str">
        <f>IFERROR(VLOOKUP($C287,'PORTIFÓLIO'!C:V,2,0),"")</f>
        <v/>
      </c>
      <c r="E287" s="211" t="str">
        <f>IFERROR(VLOOKUP($C287,'PORTIFÓLIO'!C:V,3,0),"")</f>
        <v/>
      </c>
      <c r="F287" s="211" t="str">
        <f>IFERROR(VLOOKUP($C287,'PORTIFÓLIO'!C:V,4,0),"")</f>
        <v/>
      </c>
      <c r="G287" s="215" t="str">
        <f>IFERROR(VLOOKUP($C287,'PORTIFÓLIO'!C:V,5,0),"")</f>
        <v/>
      </c>
      <c r="H287" s="254" t="str">
        <f t="array" ref="H287">IFERROR(INDEX('PORTIFÓLIO'!$H$4:$H$433,MATCH($C287,'PORTIFÓLIO'!$C$4:$C$433,0)),"")</f>
        <v/>
      </c>
      <c r="I287" s="256"/>
      <c r="J287" s="218">
        <f t="shared" si="31"/>
        <v>0</v>
      </c>
      <c r="K287" s="292" t="str">
        <f t="array" ref="K287">IFERROR(I287*INDEX('PORTIFÓLIO'!$S$4:$S$433,MATCH($C287,'PORTIFÓLIO'!$C$4:$C$433,0)),"")</f>
        <v/>
      </c>
      <c r="L287" s="292" t="str">
        <f t="array" ref="L287">IFERROR(J287*INDEX('PORTIFÓLIO'!$S$4:$S$433,MATCH($C287,'PORTIFÓLIO'!$C$4:$C$433,0)),"")</f>
        <v/>
      </c>
      <c r="M287" s="220"/>
      <c r="N287" s="220"/>
      <c r="O287" s="220"/>
      <c r="P287" s="220"/>
      <c r="Q287" s="220"/>
      <c r="R287" s="220"/>
      <c r="S287" s="220"/>
      <c r="T287" s="220"/>
      <c r="U287" s="220"/>
      <c r="V287" s="220"/>
      <c r="W287" s="220"/>
    </row>
    <row r="288" ht="15.75" customHeight="1" outlineLevel="1">
      <c r="A288" s="211"/>
      <c r="B288" s="212"/>
      <c r="C288" s="213"/>
      <c r="D288" s="214" t="str">
        <f>IFERROR(VLOOKUP($C288,'PORTIFÓLIO'!C:V,2,0),"")</f>
        <v/>
      </c>
      <c r="E288" s="211" t="str">
        <f>IFERROR(VLOOKUP($C288,'PORTIFÓLIO'!C:V,3,0),"")</f>
        <v/>
      </c>
      <c r="F288" s="211" t="str">
        <f>IFERROR(VLOOKUP($C288,'PORTIFÓLIO'!C:V,4,0),"")</f>
        <v/>
      </c>
      <c r="G288" s="215" t="str">
        <f>IFERROR(VLOOKUP($C288,'PORTIFÓLIO'!C:V,5,0),"")</f>
        <v/>
      </c>
      <c r="H288" s="254" t="str">
        <f t="array" ref="H288">IFERROR(INDEX('PORTIFÓLIO'!$H$4:$H$433,MATCH($C288,'PORTIFÓLIO'!$C$4:$C$433,0)),"")</f>
        <v/>
      </c>
      <c r="I288" s="256"/>
      <c r="J288" s="218">
        <f t="shared" si="31"/>
        <v>0</v>
      </c>
      <c r="K288" s="292" t="str">
        <f t="array" ref="K288">IFERROR(I288*INDEX('PORTIFÓLIO'!$S$4:$S$433,MATCH($C288,'PORTIFÓLIO'!$C$4:$C$433,0)),"")</f>
        <v/>
      </c>
      <c r="L288" s="292" t="str">
        <f t="array" ref="L288">IFERROR(J288*INDEX('PORTIFÓLIO'!$S$4:$S$433,MATCH($C288,'PORTIFÓLIO'!$C$4:$C$433,0)),"")</f>
        <v/>
      </c>
      <c r="M288" s="220"/>
      <c r="N288" s="220"/>
      <c r="O288" s="220"/>
      <c r="P288" s="220"/>
      <c r="Q288" s="220"/>
      <c r="R288" s="220"/>
      <c r="S288" s="220"/>
      <c r="T288" s="220"/>
      <c r="U288" s="220"/>
      <c r="V288" s="220"/>
      <c r="W288" s="220"/>
    </row>
    <row r="289" ht="15.75" customHeight="1" outlineLevel="1">
      <c r="A289" s="211"/>
      <c r="B289" s="212"/>
      <c r="C289" s="213"/>
      <c r="D289" s="214" t="str">
        <f>IFERROR(VLOOKUP($C289,'PORTIFÓLIO'!C:V,2,0),"")</f>
        <v/>
      </c>
      <c r="E289" s="211" t="str">
        <f>IFERROR(VLOOKUP($C289,'PORTIFÓLIO'!C:V,3,0),"")</f>
        <v/>
      </c>
      <c r="F289" s="211" t="str">
        <f>IFERROR(VLOOKUP($C289,'PORTIFÓLIO'!C:V,4,0),"")</f>
        <v/>
      </c>
      <c r="G289" s="215" t="str">
        <f>IFERROR(VLOOKUP($C289,'PORTIFÓLIO'!C:V,5,0),"")</f>
        <v/>
      </c>
      <c r="H289" s="254" t="str">
        <f t="array" ref="H289">IFERROR(INDEX('PORTIFÓLIO'!$H$4:$H$433,MATCH($C289,'PORTIFÓLIO'!$C$4:$C$433,0)),"")</f>
        <v/>
      </c>
      <c r="I289" s="256"/>
      <c r="J289" s="218">
        <f t="shared" si="31"/>
        <v>0</v>
      </c>
      <c r="K289" s="292" t="str">
        <f t="array" ref="K289">IFERROR(I289*INDEX('PORTIFÓLIO'!$S$4:$S$433,MATCH($C289,'PORTIFÓLIO'!$C$4:$C$433,0)),"")</f>
        <v/>
      </c>
      <c r="L289" s="292" t="str">
        <f t="array" ref="L289">IFERROR(J289*INDEX('PORTIFÓLIO'!$S$4:$S$433,MATCH($C289,'PORTIFÓLIO'!$C$4:$C$433,0)),"")</f>
        <v/>
      </c>
      <c r="M289" s="220"/>
      <c r="N289" s="220"/>
      <c r="O289" s="220"/>
      <c r="P289" s="220"/>
      <c r="Q289" s="220"/>
      <c r="R289" s="220"/>
      <c r="S289" s="220"/>
      <c r="T289" s="220"/>
      <c r="U289" s="220"/>
      <c r="V289" s="220"/>
      <c r="W289" s="220"/>
    </row>
    <row r="290" ht="15.75" customHeight="1">
      <c r="A290" s="229" t="s">
        <v>1186</v>
      </c>
      <c r="B290" s="230"/>
      <c r="C290" s="231"/>
      <c r="D290" s="232"/>
      <c r="E290" s="231"/>
      <c r="F290" s="231"/>
      <c r="G290" s="233"/>
      <c r="H290" s="233"/>
      <c r="I290" s="258"/>
      <c r="J290" s="236"/>
      <c r="K290" s="237">
        <f t="shared" ref="K290:L290" si="32">SUBTOTAL(9,K291:K304)</f>
        <v>0</v>
      </c>
      <c r="L290" s="237">
        <f t="shared" si="32"/>
        <v>0</v>
      </c>
      <c r="M290" s="220"/>
      <c r="N290" s="220"/>
      <c r="O290" s="220"/>
      <c r="P290" s="220"/>
      <c r="Q290" s="220"/>
      <c r="R290" s="220"/>
      <c r="S290" s="220"/>
      <c r="T290" s="220"/>
      <c r="U290" s="220"/>
      <c r="V290" s="220"/>
      <c r="W290" s="220"/>
    </row>
    <row r="291" ht="15.75" customHeight="1" outlineLevel="1">
      <c r="A291" s="213"/>
      <c r="B291" s="212"/>
      <c r="C291" s="213"/>
      <c r="D291" s="214" t="str">
        <f>IFERROR(VLOOKUP($C291,'PORTIFÓLIO'!C:V,2,0),"")</f>
        <v/>
      </c>
      <c r="E291" s="211" t="str">
        <f>IFERROR(VLOOKUP($C291,'PORTIFÓLIO'!C:V,3,0),"")</f>
        <v/>
      </c>
      <c r="F291" s="211" t="str">
        <f>IFERROR(VLOOKUP($C291,'PORTIFÓLIO'!C:V,4,0),"")</f>
        <v/>
      </c>
      <c r="G291" s="215" t="str">
        <f>IFERROR(VLOOKUP($C291,'PORTIFÓLIO'!C:V,5,0),"")</f>
        <v/>
      </c>
      <c r="H291" s="254" t="str">
        <f t="array" ref="H291">IFERROR(INDEX('PORTIFÓLIO'!$H$4:$H$433,MATCH($C291,'PORTIFÓLIO'!$C$4:$C$433,0)),"")</f>
        <v/>
      </c>
      <c r="I291" s="255"/>
      <c r="J291" s="218">
        <f t="shared" ref="J291:J307" si="33">I291*$B$2</f>
        <v>0</v>
      </c>
      <c r="K291" s="292" t="str">
        <f t="array" ref="K291">IFERROR(I291*INDEX('PORTIFÓLIO'!$S$4:$S$433,MATCH($C291,'PORTIFÓLIO'!$C$4:$C$433,0)),"")</f>
        <v/>
      </c>
      <c r="L291" s="292" t="str">
        <f t="array" ref="L291">IFERROR(J291*INDEX('PORTIFÓLIO'!$S$4:$S$433,MATCH($C291,'PORTIFÓLIO'!$C$4:$C$433,0)),"")</f>
        <v/>
      </c>
      <c r="M291" s="220"/>
      <c r="N291" s="220"/>
      <c r="O291" s="220"/>
      <c r="P291" s="220"/>
      <c r="Q291" s="220"/>
      <c r="R291" s="220"/>
      <c r="S291" s="220"/>
      <c r="T291" s="220"/>
      <c r="U291" s="220"/>
      <c r="V291" s="220"/>
      <c r="W291" s="220"/>
    </row>
    <row r="292" ht="15.75" customHeight="1" outlineLevel="1">
      <c r="A292" s="211"/>
      <c r="B292" s="212"/>
      <c r="C292" s="213"/>
      <c r="D292" s="214" t="str">
        <f>IFERROR(VLOOKUP($C292,'PORTIFÓLIO'!C:V,2,0),"")</f>
        <v/>
      </c>
      <c r="E292" s="211" t="str">
        <f>IFERROR(VLOOKUP($C292,'PORTIFÓLIO'!C:V,3,0),"")</f>
        <v/>
      </c>
      <c r="F292" s="211" t="str">
        <f>IFERROR(VLOOKUP($C292,'PORTIFÓLIO'!C:V,4,0),"")</f>
        <v/>
      </c>
      <c r="G292" s="215" t="str">
        <f>IFERROR(VLOOKUP($C292,'PORTIFÓLIO'!C:V,5,0),"")</f>
        <v/>
      </c>
      <c r="H292" s="254" t="str">
        <f t="array" ref="H292">IFERROR(INDEX('PORTIFÓLIO'!$H$4:$H$433,MATCH($C292,'PORTIFÓLIO'!$C$4:$C$433,0)),"")</f>
        <v/>
      </c>
      <c r="I292" s="256"/>
      <c r="J292" s="218">
        <f t="shared" si="33"/>
        <v>0</v>
      </c>
      <c r="K292" s="292" t="str">
        <f t="array" ref="K292">IFERROR(I292*INDEX('PORTIFÓLIO'!$S$4:$S$433,MATCH($C292,'PORTIFÓLIO'!$C$4:$C$433,0)),"")</f>
        <v/>
      </c>
      <c r="L292" s="292" t="str">
        <f t="array" ref="L292">IFERROR(J292*INDEX('PORTIFÓLIO'!$S$4:$S$433,MATCH($C292,'PORTIFÓLIO'!$C$4:$C$433,0)),"")</f>
        <v/>
      </c>
      <c r="M292" s="220"/>
      <c r="N292" s="220"/>
      <c r="O292" s="220"/>
      <c r="P292" s="220"/>
      <c r="Q292" s="220"/>
      <c r="R292" s="220"/>
      <c r="S292" s="220"/>
      <c r="T292" s="220"/>
      <c r="U292" s="220"/>
      <c r="V292" s="220"/>
      <c r="W292" s="220"/>
    </row>
    <row r="293" ht="15.75" customHeight="1" outlineLevel="1">
      <c r="A293" s="211"/>
      <c r="B293" s="212"/>
      <c r="C293" s="213"/>
      <c r="D293" s="214" t="str">
        <f>IFERROR(VLOOKUP($C293,'PORTIFÓLIO'!C:V,2,0),"")</f>
        <v/>
      </c>
      <c r="E293" s="211" t="str">
        <f>IFERROR(VLOOKUP($C293,'PORTIFÓLIO'!C:V,3,0),"")</f>
        <v/>
      </c>
      <c r="F293" s="211" t="str">
        <f>IFERROR(VLOOKUP($C293,'PORTIFÓLIO'!C:V,4,0),"")</f>
        <v/>
      </c>
      <c r="G293" s="215" t="str">
        <f>IFERROR(VLOOKUP($C293,'PORTIFÓLIO'!C:V,5,0),"")</f>
        <v/>
      </c>
      <c r="H293" s="254" t="str">
        <f t="array" ref="H293">IFERROR(INDEX('PORTIFÓLIO'!$H$4:$H$433,MATCH($C293,'PORTIFÓLIO'!$C$4:$C$433,0)),"")</f>
        <v/>
      </c>
      <c r="I293" s="256"/>
      <c r="J293" s="218">
        <f t="shared" si="33"/>
        <v>0</v>
      </c>
      <c r="K293" s="292" t="str">
        <f t="array" ref="K293">IFERROR(I293*INDEX('PORTIFÓLIO'!$S$4:$S$433,MATCH($C293,'PORTIFÓLIO'!$C$4:$C$433,0)),"")</f>
        <v/>
      </c>
      <c r="L293" s="292" t="str">
        <f t="array" ref="L293">IFERROR(J293*INDEX('PORTIFÓLIO'!$S$4:$S$433,MATCH($C293,'PORTIFÓLIO'!$C$4:$C$433,0)),"")</f>
        <v/>
      </c>
      <c r="M293" s="220"/>
      <c r="N293" s="220"/>
      <c r="O293" s="220"/>
      <c r="P293" s="220"/>
      <c r="Q293" s="220"/>
      <c r="R293" s="220"/>
      <c r="S293" s="220"/>
      <c r="T293" s="220"/>
      <c r="U293" s="220"/>
      <c r="V293" s="220"/>
      <c r="W293" s="220"/>
    </row>
    <row r="294" ht="15.75" customHeight="1" outlineLevel="1">
      <c r="A294" s="211"/>
      <c r="B294" s="212"/>
      <c r="C294" s="213"/>
      <c r="D294" s="214" t="str">
        <f>IFERROR(VLOOKUP($C294,'PORTIFÓLIO'!C:V,2,0),"")</f>
        <v/>
      </c>
      <c r="E294" s="211" t="str">
        <f>IFERROR(VLOOKUP($C294,'PORTIFÓLIO'!C:V,3,0),"")</f>
        <v/>
      </c>
      <c r="F294" s="211" t="str">
        <f>IFERROR(VLOOKUP($C294,'PORTIFÓLIO'!C:V,4,0),"")</f>
        <v/>
      </c>
      <c r="G294" s="215" t="str">
        <f>IFERROR(VLOOKUP($C294,'PORTIFÓLIO'!C:V,5,0),"")</f>
        <v/>
      </c>
      <c r="H294" s="254" t="str">
        <f t="array" ref="H294">IFERROR(INDEX('PORTIFÓLIO'!$H$4:$H$433,MATCH($C294,'PORTIFÓLIO'!$C$4:$C$433,0)),"")</f>
        <v/>
      </c>
      <c r="I294" s="256"/>
      <c r="J294" s="218">
        <f t="shared" si="33"/>
        <v>0</v>
      </c>
      <c r="K294" s="292" t="str">
        <f t="array" ref="K294">IFERROR(I294*INDEX('PORTIFÓLIO'!$S$4:$S$433,MATCH($C294,'PORTIFÓLIO'!$C$4:$C$433,0)),"")</f>
        <v/>
      </c>
      <c r="L294" s="292" t="str">
        <f t="array" ref="L294">IFERROR(J294*INDEX('PORTIFÓLIO'!$S$4:$S$433,MATCH($C294,'PORTIFÓLIO'!$C$4:$C$433,0)),"")</f>
        <v/>
      </c>
      <c r="M294" s="220"/>
      <c r="N294" s="220"/>
      <c r="O294" s="220"/>
      <c r="P294" s="220"/>
      <c r="Q294" s="220"/>
      <c r="R294" s="220"/>
      <c r="S294" s="220"/>
      <c r="T294" s="220"/>
      <c r="U294" s="220"/>
      <c r="V294" s="220"/>
      <c r="W294" s="220"/>
    </row>
    <row r="295" ht="15.75" customHeight="1" outlineLevel="1">
      <c r="A295" s="211"/>
      <c r="B295" s="212"/>
      <c r="C295" s="213"/>
      <c r="D295" s="214" t="str">
        <f>IFERROR(VLOOKUP($C295,'PORTIFÓLIO'!C:V,2,0),"")</f>
        <v/>
      </c>
      <c r="E295" s="211" t="str">
        <f>IFERROR(VLOOKUP($C295,'PORTIFÓLIO'!C:V,3,0),"")</f>
        <v/>
      </c>
      <c r="F295" s="211" t="str">
        <f>IFERROR(VLOOKUP($C295,'PORTIFÓLIO'!C:V,4,0),"")</f>
        <v/>
      </c>
      <c r="G295" s="215" t="str">
        <f>IFERROR(VLOOKUP($C295,'PORTIFÓLIO'!C:V,5,0),"")</f>
        <v/>
      </c>
      <c r="H295" s="254" t="str">
        <f t="array" ref="H295">IFERROR(INDEX('PORTIFÓLIO'!$H$4:$H$433,MATCH($C295,'PORTIFÓLIO'!$C$4:$C$433,0)),"")</f>
        <v/>
      </c>
      <c r="I295" s="256"/>
      <c r="J295" s="218">
        <f t="shared" si="33"/>
        <v>0</v>
      </c>
      <c r="K295" s="292" t="str">
        <f t="array" ref="K295">IFERROR(I295*INDEX('PORTIFÓLIO'!$S$4:$S$433,MATCH($C295,'PORTIFÓLIO'!$C$4:$C$433,0)),"")</f>
        <v/>
      </c>
      <c r="L295" s="292" t="str">
        <f t="array" ref="L295">IFERROR(J295*INDEX('PORTIFÓLIO'!$S$4:$S$433,MATCH($C295,'PORTIFÓLIO'!$C$4:$C$433,0)),"")</f>
        <v/>
      </c>
      <c r="M295" s="220"/>
      <c r="N295" s="220"/>
      <c r="O295" s="220"/>
      <c r="P295" s="220"/>
      <c r="Q295" s="220"/>
      <c r="R295" s="220"/>
      <c r="S295" s="220"/>
      <c r="T295" s="220"/>
      <c r="U295" s="220"/>
      <c r="V295" s="220"/>
      <c r="W295" s="220"/>
    </row>
    <row r="296" ht="15.75" customHeight="1" outlineLevel="1">
      <c r="A296" s="211"/>
      <c r="B296" s="212"/>
      <c r="C296" s="213"/>
      <c r="D296" s="214" t="str">
        <f>IFERROR(VLOOKUP($C296,'PORTIFÓLIO'!C:V,2,0),"")</f>
        <v/>
      </c>
      <c r="E296" s="211" t="str">
        <f>IFERROR(VLOOKUP($C296,'PORTIFÓLIO'!C:V,3,0),"")</f>
        <v/>
      </c>
      <c r="F296" s="211" t="str">
        <f>IFERROR(VLOOKUP($C296,'PORTIFÓLIO'!C:V,4,0),"")</f>
        <v/>
      </c>
      <c r="G296" s="215" t="str">
        <f>IFERROR(VLOOKUP($C296,'PORTIFÓLIO'!C:V,5,0),"")</f>
        <v/>
      </c>
      <c r="H296" s="254" t="str">
        <f t="array" ref="H296">IFERROR(INDEX('PORTIFÓLIO'!$H$4:$H$433,MATCH($C296,'PORTIFÓLIO'!$C$4:$C$433,0)),"")</f>
        <v/>
      </c>
      <c r="I296" s="256"/>
      <c r="J296" s="218">
        <f t="shared" si="33"/>
        <v>0</v>
      </c>
      <c r="K296" s="292" t="str">
        <f t="array" ref="K296">IFERROR(I296*INDEX('PORTIFÓLIO'!$S$4:$S$433,MATCH($C296,'PORTIFÓLIO'!$C$4:$C$433,0)),"")</f>
        <v/>
      </c>
      <c r="L296" s="292" t="str">
        <f t="array" ref="L296">IFERROR(J296*INDEX('PORTIFÓLIO'!$S$4:$S$433,MATCH($C296,'PORTIFÓLIO'!$C$4:$C$433,0)),"")</f>
        <v/>
      </c>
      <c r="M296" s="220"/>
      <c r="N296" s="220"/>
      <c r="O296" s="220"/>
      <c r="P296" s="220"/>
      <c r="Q296" s="220"/>
      <c r="R296" s="220"/>
      <c r="S296" s="220"/>
      <c r="T296" s="220"/>
      <c r="U296" s="220"/>
      <c r="V296" s="220"/>
      <c r="W296" s="220"/>
    </row>
    <row r="297" ht="15.75" customHeight="1" outlineLevel="1">
      <c r="A297" s="211"/>
      <c r="B297" s="212"/>
      <c r="C297" s="213"/>
      <c r="D297" s="214" t="str">
        <f>IFERROR(VLOOKUP($C297,'PORTIFÓLIO'!C:V,2,0),"")</f>
        <v/>
      </c>
      <c r="E297" s="211" t="str">
        <f>IFERROR(VLOOKUP($C297,'PORTIFÓLIO'!C:V,3,0),"")</f>
        <v/>
      </c>
      <c r="F297" s="211" t="str">
        <f>IFERROR(VLOOKUP($C297,'PORTIFÓLIO'!C:V,4,0),"")</f>
        <v/>
      </c>
      <c r="G297" s="215" t="str">
        <f>IFERROR(VLOOKUP($C297,'PORTIFÓLIO'!C:V,5,0),"")</f>
        <v/>
      </c>
      <c r="H297" s="254" t="str">
        <f t="array" ref="H297">IFERROR(INDEX('PORTIFÓLIO'!$H$4:$H$433,MATCH($C297,'PORTIFÓLIO'!$C$4:$C$433,0)),"")</f>
        <v/>
      </c>
      <c r="I297" s="256"/>
      <c r="J297" s="218">
        <f t="shared" si="33"/>
        <v>0</v>
      </c>
      <c r="K297" s="292" t="str">
        <f t="array" ref="K297">IFERROR(I297*INDEX('PORTIFÓLIO'!$S$4:$S$433,MATCH($C297,'PORTIFÓLIO'!$C$4:$C$433,0)),"")</f>
        <v/>
      </c>
      <c r="L297" s="292" t="str">
        <f t="array" ref="L297">IFERROR(J297*INDEX('PORTIFÓLIO'!$S$4:$S$433,MATCH($C297,'PORTIFÓLIO'!$C$4:$C$433,0)),"")</f>
        <v/>
      </c>
      <c r="M297" s="220"/>
      <c r="N297" s="220"/>
      <c r="O297" s="220"/>
      <c r="P297" s="220"/>
      <c r="Q297" s="220"/>
      <c r="R297" s="220"/>
      <c r="S297" s="220"/>
      <c r="T297" s="220"/>
      <c r="U297" s="220"/>
      <c r="V297" s="220"/>
      <c r="W297" s="220"/>
    </row>
    <row r="298" ht="15.75" customHeight="1" outlineLevel="1">
      <c r="A298" s="211"/>
      <c r="B298" s="212"/>
      <c r="C298" s="213"/>
      <c r="D298" s="214" t="str">
        <f>IFERROR(VLOOKUP($C298,'PORTIFÓLIO'!C:V,2,0),"")</f>
        <v/>
      </c>
      <c r="E298" s="211" t="str">
        <f>IFERROR(VLOOKUP($C298,'PORTIFÓLIO'!C:V,3,0),"")</f>
        <v/>
      </c>
      <c r="F298" s="211" t="str">
        <f>IFERROR(VLOOKUP($C298,'PORTIFÓLIO'!C:V,4,0),"")</f>
        <v/>
      </c>
      <c r="G298" s="215" t="str">
        <f>IFERROR(VLOOKUP($C298,'PORTIFÓLIO'!C:V,5,0),"")</f>
        <v/>
      </c>
      <c r="H298" s="254" t="str">
        <f t="array" ref="H298">IFERROR(INDEX('PORTIFÓLIO'!$H$4:$H$433,MATCH($C298,'PORTIFÓLIO'!$C$4:$C$433,0)),"")</f>
        <v/>
      </c>
      <c r="I298" s="256"/>
      <c r="J298" s="218">
        <f t="shared" si="33"/>
        <v>0</v>
      </c>
      <c r="K298" s="292" t="str">
        <f t="array" ref="K298">IFERROR(I298*INDEX('PORTIFÓLIO'!$S$4:$S$433,MATCH($C298,'PORTIFÓLIO'!$C$4:$C$433,0)),"")</f>
        <v/>
      </c>
      <c r="L298" s="292" t="str">
        <f t="array" ref="L298">IFERROR(J298*INDEX('PORTIFÓLIO'!$S$4:$S$433,MATCH($C298,'PORTIFÓLIO'!$C$4:$C$433,0)),"")</f>
        <v/>
      </c>
      <c r="M298" s="220"/>
      <c r="N298" s="220"/>
      <c r="O298" s="220"/>
      <c r="P298" s="220"/>
      <c r="Q298" s="220"/>
      <c r="R298" s="220"/>
      <c r="S298" s="220"/>
      <c r="T298" s="220"/>
      <c r="U298" s="220"/>
      <c r="V298" s="220"/>
      <c r="W298" s="220"/>
    </row>
    <row r="299" ht="15.75" customHeight="1" outlineLevel="1">
      <c r="A299" s="211"/>
      <c r="B299" s="212"/>
      <c r="C299" s="213"/>
      <c r="D299" s="214" t="str">
        <f>IFERROR(VLOOKUP($C299,'PORTIFÓLIO'!C:V,2,0),"")</f>
        <v/>
      </c>
      <c r="E299" s="211" t="str">
        <f>IFERROR(VLOOKUP($C299,'PORTIFÓLIO'!C:V,3,0),"")</f>
        <v/>
      </c>
      <c r="F299" s="211" t="str">
        <f>IFERROR(VLOOKUP($C299,'PORTIFÓLIO'!C:V,4,0),"")</f>
        <v/>
      </c>
      <c r="G299" s="215" t="str">
        <f>IFERROR(VLOOKUP($C299,'PORTIFÓLIO'!C:V,5,0),"")</f>
        <v/>
      </c>
      <c r="H299" s="254" t="str">
        <f t="array" ref="H299">IFERROR(INDEX('PORTIFÓLIO'!$H$4:$H$433,MATCH($C299,'PORTIFÓLIO'!$C$4:$C$433,0)),"")</f>
        <v/>
      </c>
      <c r="I299" s="255"/>
      <c r="J299" s="218">
        <f t="shared" si="33"/>
        <v>0</v>
      </c>
      <c r="K299" s="292" t="str">
        <f t="array" ref="K299">IFERROR(I299*INDEX('PORTIFÓLIO'!$S$4:$S$433,MATCH($C299,'PORTIFÓLIO'!$C$4:$C$433,0)),"")</f>
        <v/>
      </c>
      <c r="L299" s="292" t="str">
        <f t="array" ref="L299">IFERROR(J299*INDEX('PORTIFÓLIO'!$S$4:$S$433,MATCH($C299,'PORTIFÓLIO'!$C$4:$C$433,0)),"")</f>
        <v/>
      </c>
      <c r="M299" s="220"/>
      <c r="N299" s="220"/>
      <c r="O299" s="220"/>
      <c r="P299" s="220"/>
      <c r="Q299" s="220"/>
      <c r="R299" s="220"/>
      <c r="S299" s="220"/>
      <c r="T299" s="220"/>
      <c r="U299" s="220"/>
      <c r="V299" s="220"/>
      <c r="W299" s="220"/>
    </row>
    <row r="300" ht="15.75" customHeight="1" outlineLevel="1">
      <c r="A300" s="211"/>
      <c r="B300" s="212"/>
      <c r="C300" s="213"/>
      <c r="D300" s="214" t="str">
        <f>IFERROR(VLOOKUP($C300,'PORTIFÓLIO'!C:V,2,0),"")</f>
        <v/>
      </c>
      <c r="E300" s="211" t="str">
        <f>IFERROR(VLOOKUP($C300,'PORTIFÓLIO'!C:V,3,0),"")</f>
        <v/>
      </c>
      <c r="F300" s="211" t="str">
        <f>IFERROR(VLOOKUP($C300,'PORTIFÓLIO'!C:V,4,0),"")</f>
        <v/>
      </c>
      <c r="G300" s="215" t="str">
        <f>IFERROR(VLOOKUP($C300,'PORTIFÓLIO'!C:V,5,0),"")</f>
        <v/>
      </c>
      <c r="H300" s="254" t="str">
        <f t="array" ref="H300">IFERROR(INDEX('PORTIFÓLIO'!$H$4:$H$433,MATCH($C300,'PORTIFÓLIO'!$C$4:$C$433,0)),"")</f>
        <v/>
      </c>
      <c r="I300" s="256"/>
      <c r="J300" s="218">
        <f t="shared" si="33"/>
        <v>0</v>
      </c>
      <c r="K300" s="292" t="str">
        <f t="array" ref="K300">IFERROR(I300*INDEX('PORTIFÓLIO'!$S$4:$S$433,MATCH($C300,'PORTIFÓLIO'!$C$4:$C$433,0)),"")</f>
        <v/>
      </c>
      <c r="L300" s="292" t="str">
        <f t="array" ref="L300">IFERROR(J300*INDEX('PORTIFÓLIO'!$S$4:$S$433,MATCH($C300,'PORTIFÓLIO'!$C$4:$C$433,0)),"")</f>
        <v/>
      </c>
      <c r="M300" s="220"/>
      <c r="N300" s="220"/>
      <c r="O300" s="220"/>
      <c r="P300" s="220"/>
      <c r="Q300" s="220"/>
      <c r="R300" s="220"/>
      <c r="S300" s="220"/>
      <c r="T300" s="220"/>
      <c r="U300" s="220"/>
      <c r="V300" s="220"/>
      <c r="W300" s="220"/>
    </row>
    <row r="301" ht="15.75" customHeight="1" outlineLevel="1">
      <c r="A301" s="211"/>
      <c r="B301" s="212"/>
      <c r="C301" s="213"/>
      <c r="D301" s="214" t="str">
        <f>IFERROR(VLOOKUP($C301,'PORTIFÓLIO'!C:V,2,0),"")</f>
        <v/>
      </c>
      <c r="E301" s="211" t="str">
        <f>IFERROR(VLOOKUP($C301,'PORTIFÓLIO'!C:V,3,0),"")</f>
        <v/>
      </c>
      <c r="F301" s="211" t="str">
        <f>IFERROR(VLOOKUP($C301,'PORTIFÓLIO'!C:V,4,0),"")</f>
        <v/>
      </c>
      <c r="G301" s="215" t="str">
        <f>IFERROR(VLOOKUP($C301,'PORTIFÓLIO'!C:V,5,0),"")</f>
        <v/>
      </c>
      <c r="H301" s="254" t="str">
        <f t="array" ref="H301">IFERROR(INDEX('PORTIFÓLIO'!$H$4:$H$433,MATCH($C301,'PORTIFÓLIO'!$C$4:$C$433,0)),"")</f>
        <v/>
      </c>
      <c r="I301" s="256"/>
      <c r="J301" s="218">
        <f t="shared" si="33"/>
        <v>0</v>
      </c>
      <c r="K301" s="292" t="str">
        <f t="array" ref="K301">IFERROR(I301*INDEX('PORTIFÓLIO'!$S$4:$S$433,MATCH($C301,'PORTIFÓLIO'!$C$4:$C$433,0)),"")</f>
        <v/>
      </c>
      <c r="L301" s="292" t="str">
        <f t="array" ref="L301">IFERROR(J301*INDEX('PORTIFÓLIO'!$S$4:$S$433,MATCH($C301,'PORTIFÓLIO'!$C$4:$C$433,0)),"")</f>
        <v/>
      </c>
      <c r="M301" s="220"/>
      <c r="N301" s="220"/>
      <c r="O301" s="220"/>
      <c r="P301" s="220"/>
      <c r="Q301" s="220"/>
      <c r="R301" s="220"/>
      <c r="S301" s="220"/>
      <c r="T301" s="220"/>
      <c r="U301" s="220"/>
      <c r="V301" s="220"/>
      <c r="W301" s="220"/>
    </row>
    <row r="302" ht="15.75" customHeight="1" outlineLevel="1">
      <c r="A302" s="211"/>
      <c r="B302" s="212"/>
      <c r="C302" s="213"/>
      <c r="D302" s="214" t="str">
        <f>IFERROR(VLOOKUP($C302,'PORTIFÓLIO'!C:V,2,0),"")</f>
        <v/>
      </c>
      <c r="E302" s="211" t="str">
        <f>IFERROR(VLOOKUP($C302,'PORTIFÓLIO'!C:V,3,0),"")</f>
        <v/>
      </c>
      <c r="F302" s="211" t="str">
        <f>IFERROR(VLOOKUP($C302,'PORTIFÓLIO'!C:V,4,0),"")</f>
        <v/>
      </c>
      <c r="G302" s="215" t="str">
        <f>IFERROR(VLOOKUP($C302,'PORTIFÓLIO'!C:V,5,0),"")</f>
        <v/>
      </c>
      <c r="H302" s="254" t="str">
        <f t="array" ref="H302">IFERROR(INDEX('PORTIFÓLIO'!$H$4:$H$433,MATCH($C302,'PORTIFÓLIO'!$C$4:$C$433,0)),"")</f>
        <v/>
      </c>
      <c r="I302" s="256"/>
      <c r="J302" s="218">
        <f t="shared" si="33"/>
        <v>0</v>
      </c>
      <c r="K302" s="292" t="str">
        <f t="array" ref="K302">IFERROR(I302*INDEX('PORTIFÓLIO'!$S$4:$S$433,MATCH($C302,'PORTIFÓLIO'!$C$4:$C$433,0)),"")</f>
        <v/>
      </c>
      <c r="L302" s="292" t="str">
        <f t="array" ref="L302">IFERROR(J302*INDEX('PORTIFÓLIO'!$S$4:$S$433,MATCH($C302,'PORTIFÓLIO'!$C$4:$C$433,0)),"")</f>
        <v/>
      </c>
      <c r="M302" s="220"/>
      <c r="N302" s="220"/>
      <c r="O302" s="220"/>
      <c r="P302" s="220"/>
      <c r="Q302" s="220"/>
      <c r="R302" s="220"/>
      <c r="S302" s="220"/>
      <c r="T302" s="220"/>
      <c r="U302" s="220"/>
      <c r="V302" s="220"/>
      <c r="W302" s="220"/>
    </row>
    <row r="303" ht="15.75" customHeight="1" outlineLevel="1">
      <c r="A303" s="211"/>
      <c r="B303" s="212"/>
      <c r="C303" s="213"/>
      <c r="D303" s="214" t="str">
        <f>IFERROR(VLOOKUP($C303,'PORTIFÓLIO'!C:V,2,0),"")</f>
        <v/>
      </c>
      <c r="E303" s="211" t="str">
        <f>IFERROR(VLOOKUP($C303,'PORTIFÓLIO'!C:V,3,0),"")</f>
        <v/>
      </c>
      <c r="F303" s="211" t="str">
        <f>IFERROR(VLOOKUP($C303,'PORTIFÓLIO'!C:V,4,0),"")</f>
        <v/>
      </c>
      <c r="G303" s="215" t="str">
        <f>IFERROR(VLOOKUP($C303,'PORTIFÓLIO'!C:V,5,0),"")</f>
        <v/>
      </c>
      <c r="H303" s="254" t="str">
        <f t="array" ref="H303">IFERROR(INDEX('PORTIFÓLIO'!$H$4:$H$433,MATCH($C303,'PORTIFÓLIO'!$C$4:$C$433,0)),"")</f>
        <v/>
      </c>
      <c r="I303" s="256"/>
      <c r="J303" s="218">
        <f t="shared" si="33"/>
        <v>0</v>
      </c>
      <c r="K303" s="292" t="str">
        <f t="array" ref="K303">IFERROR(I303*INDEX('PORTIFÓLIO'!$S$4:$S$433,MATCH($C303,'PORTIFÓLIO'!$C$4:$C$433,0)),"")</f>
        <v/>
      </c>
      <c r="L303" s="292" t="str">
        <f t="array" ref="L303">IFERROR(J303*INDEX('PORTIFÓLIO'!$S$4:$S$433,MATCH($C303,'PORTIFÓLIO'!$C$4:$C$433,0)),"")</f>
        <v/>
      </c>
      <c r="M303" s="220"/>
      <c r="N303" s="220"/>
      <c r="O303" s="220"/>
      <c r="P303" s="220"/>
      <c r="Q303" s="220"/>
      <c r="R303" s="220"/>
      <c r="S303" s="220"/>
      <c r="T303" s="220"/>
      <c r="U303" s="220"/>
      <c r="V303" s="220"/>
      <c r="W303" s="220"/>
    </row>
    <row r="304" ht="15.75" customHeight="1" outlineLevel="1">
      <c r="A304" s="211"/>
      <c r="B304" s="212"/>
      <c r="C304" s="213"/>
      <c r="D304" s="214" t="str">
        <f>IFERROR(VLOOKUP($C304,'PORTIFÓLIO'!C:V,2,0),"")</f>
        <v/>
      </c>
      <c r="E304" s="211" t="str">
        <f>IFERROR(VLOOKUP($C304,'PORTIFÓLIO'!C:V,3,0),"")</f>
        <v/>
      </c>
      <c r="F304" s="211" t="str">
        <f>IFERROR(VLOOKUP($C304,'PORTIFÓLIO'!C:V,4,0),"")</f>
        <v/>
      </c>
      <c r="G304" s="215" t="str">
        <f>IFERROR(VLOOKUP($C304,'PORTIFÓLIO'!C:V,5,0),"")</f>
        <v/>
      </c>
      <c r="H304" s="254" t="str">
        <f t="array" ref="H304">IFERROR(INDEX('PORTIFÓLIO'!$H$4:$H$433,MATCH($C304,'PORTIFÓLIO'!$C$4:$C$433,0)),"")</f>
        <v/>
      </c>
      <c r="I304" s="256"/>
      <c r="J304" s="218">
        <f t="shared" si="33"/>
        <v>0</v>
      </c>
      <c r="K304" s="292" t="str">
        <f t="array" ref="K304">IFERROR(I304*INDEX('PORTIFÓLIO'!$S$4:$S$433,MATCH($C304,'PORTIFÓLIO'!$C$4:$C$433,0)),"")</f>
        <v/>
      </c>
      <c r="L304" s="292" t="str">
        <f t="array" ref="L304">IFERROR(J304*INDEX('PORTIFÓLIO'!$S$4:$S$433,MATCH($C304,'PORTIFÓLIO'!$C$4:$C$433,0)),"")</f>
        <v/>
      </c>
      <c r="M304" s="220"/>
      <c r="N304" s="220"/>
      <c r="O304" s="220"/>
      <c r="P304" s="220"/>
      <c r="Q304" s="220"/>
      <c r="R304" s="220"/>
      <c r="S304" s="220"/>
      <c r="T304" s="220"/>
      <c r="U304" s="220"/>
      <c r="V304" s="220"/>
      <c r="W304" s="220"/>
    </row>
    <row r="305" ht="15.75" customHeight="1" outlineLevel="1">
      <c r="A305" s="211"/>
      <c r="B305" s="212"/>
      <c r="C305" s="213"/>
      <c r="D305" s="214" t="str">
        <f>IFERROR(VLOOKUP($C305,'PORTIFÓLIO'!C:V,2,0),"")</f>
        <v/>
      </c>
      <c r="E305" s="211" t="str">
        <f>IFERROR(VLOOKUP($C305,'PORTIFÓLIO'!C:V,3,0),"")</f>
        <v/>
      </c>
      <c r="F305" s="211" t="str">
        <f>IFERROR(VLOOKUP($C305,'PORTIFÓLIO'!C:V,4,0),"")</f>
        <v/>
      </c>
      <c r="G305" s="215" t="str">
        <f>IFERROR(VLOOKUP($C305,'PORTIFÓLIO'!C:V,5,0),"")</f>
        <v/>
      </c>
      <c r="H305" s="254" t="str">
        <f t="array" ref="H305">IFERROR(INDEX('PORTIFÓLIO'!$H$4:$H$433,MATCH($C305,'PORTIFÓLIO'!$C$4:$C$433,0)),"")</f>
        <v/>
      </c>
      <c r="I305" s="256"/>
      <c r="J305" s="218">
        <f t="shared" si="33"/>
        <v>0</v>
      </c>
      <c r="K305" s="292" t="str">
        <f t="array" ref="K305">IFERROR(I305*INDEX('PORTIFÓLIO'!$S$4:$S$433,MATCH($C305,'PORTIFÓLIO'!$C$4:$C$433,0)),"")</f>
        <v/>
      </c>
      <c r="L305" s="292" t="str">
        <f t="array" ref="L305">IFERROR(J305*INDEX('PORTIFÓLIO'!$S$4:$S$433,MATCH($C305,'PORTIFÓLIO'!$C$4:$C$433,0)),"")</f>
        <v/>
      </c>
      <c r="M305" s="220"/>
      <c r="N305" s="220"/>
      <c r="O305" s="220"/>
      <c r="P305" s="220"/>
      <c r="Q305" s="220"/>
      <c r="R305" s="220"/>
      <c r="S305" s="220"/>
      <c r="T305" s="220"/>
      <c r="U305" s="220"/>
      <c r="V305" s="220"/>
      <c r="W305" s="220"/>
    </row>
    <row r="306" ht="15.75" customHeight="1" outlineLevel="1">
      <c r="A306" s="211"/>
      <c r="B306" s="212"/>
      <c r="C306" s="213"/>
      <c r="D306" s="214" t="str">
        <f>IFERROR(VLOOKUP($C306,'PORTIFÓLIO'!C:V,2,0),"")</f>
        <v/>
      </c>
      <c r="E306" s="211" t="str">
        <f>IFERROR(VLOOKUP($C306,'PORTIFÓLIO'!C:V,3,0),"")</f>
        <v/>
      </c>
      <c r="F306" s="211" t="str">
        <f>IFERROR(VLOOKUP($C306,'PORTIFÓLIO'!C:V,4,0),"")</f>
        <v/>
      </c>
      <c r="G306" s="215" t="str">
        <f>IFERROR(VLOOKUP($C306,'PORTIFÓLIO'!C:V,5,0),"")</f>
        <v/>
      </c>
      <c r="H306" s="254" t="str">
        <f t="array" ref="H306">IFERROR(INDEX('PORTIFÓLIO'!$H$4:$H$433,MATCH($C306,'PORTIFÓLIO'!$C$4:$C$433,0)),"")</f>
        <v/>
      </c>
      <c r="I306" s="256"/>
      <c r="J306" s="218">
        <f t="shared" si="33"/>
        <v>0</v>
      </c>
      <c r="K306" s="292" t="str">
        <f t="array" ref="K306">IFERROR(I306*INDEX('PORTIFÓLIO'!$S$4:$S$433,MATCH($C306,'PORTIFÓLIO'!$C$4:$C$433,0)),"")</f>
        <v/>
      </c>
      <c r="L306" s="292" t="str">
        <f t="array" ref="L306">IFERROR(J306*INDEX('PORTIFÓLIO'!$S$4:$S$433,MATCH($C306,'PORTIFÓLIO'!$C$4:$C$433,0)),"")</f>
        <v/>
      </c>
      <c r="M306" s="220"/>
      <c r="N306" s="220"/>
      <c r="O306" s="220"/>
      <c r="P306" s="220"/>
      <c r="Q306" s="220"/>
      <c r="R306" s="220"/>
      <c r="S306" s="220"/>
      <c r="T306" s="220"/>
      <c r="U306" s="220"/>
      <c r="V306" s="220"/>
      <c r="W306" s="220"/>
    </row>
    <row r="307" ht="15.75" customHeight="1" outlineLevel="1">
      <c r="A307" s="211"/>
      <c r="B307" s="212"/>
      <c r="C307" s="213"/>
      <c r="D307" s="214" t="str">
        <f>IFERROR(VLOOKUP($C307,'PORTIFÓLIO'!C:V,2,0),"")</f>
        <v/>
      </c>
      <c r="E307" s="211" t="str">
        <f>IFERROR(VLOOKUP($C307,'PORTIFÓLIO'!C:V,3,0),"")</f>
        <v/>
      </c>
      <c r="F307" s="211" t="str">
        <f>IFERROR(VLOOKUP($C307,'PORTIFÓLIO'!C:V,4,0),"")</f>
        <v/>
      </c>
      <c r="G307" s="215" t="str">
        <f>IFERROR(VLOOKUP($C307,'PORTIFÓLIO'!C:V,5,0),"")</f>
        <v/>
      </c>
      <c r="H307" s="254" t="str">
        <f t="array" ref="H307">IFERROR(INDEX('PORTIFÓLIO'!$H$4:$H$433,MATCH($C307,'PORTIFÓLIO'!$C$4:$C$433,0)),"")</f>
        <v/>
      </c>
      <c r="I307" s="256"/>
      <c r="J307" s="218">
        <f t="shared" si="33"/>
        <v>0</v>
      </c>
      <c r="K307" s="292" t="str">
        <f t="array" ref="K307">IFERROR(I307*INDEX('PORTIFÓLIO'!$S$4:$S$433,MATCH($C307,'PORTIFÓLIO'!$C$4:$C$433,0)),"")</f>
        <v/>
      </c>
      <c r="L307" s="292" t="str">
        <f t="array" ref="L307">IFERROR(J307*INDEX('PORTIFÓLIO'!$S$4:$S$433,MATCH($C307,'PORTIFÓLIO'!$C$4:$C$433,0)),"")</f>
        <v/>
      </c>
      <c r="M307" s="220"/>
      <c r="N307" s="220"/>
      <c r="O307" s="220"/>
      <c r="P307" s="220"/>
      <c r="Q307" s="220"/>
      <c r="R307" s="220"/>
      <c r="S307" s="220"/>
      <c r="T307" s="220"/>
      <c r="U307" s="220"/>
      <c r="V307" s="220"/>
      <c r="W307" s="220"/>
    </row>
    <row r="308" ht="15.75" customHeight="1">
      <c r="A308" s="229" t="s">
        <v>1188</v>
      </c>
      <c r="B308" s="230"/>
      <c r="C308" s="231"/>
      <c r="D308" s="232"/>
      <c r="E308" s="231"/>
      <c r="F308" s="231"/>
      <c r="G308" s="233"/>
      <c r="H308" s="233"/>
      <c r="I308" s="258"/>
      <c r="J308" s="236"/>
      <c r="K308" s="237">
        <f t="shared" ref="K308:L308" si="34">SUBTOTAL(9,K309:K322)</f>
        <v>0</v>
      </c>
      <c r="L308" s="237">
        <f t="shared" si="34"/>
        <v>0</v>
      </c>
      <c r="M308" s="220"/>
      <c r="N308" s="220"/>
      <c r="O308" s="220"/>
      <c r="P308" s="220"/>
      <c r="Q308" s="220"/>
      <c r="R308" s="220"/>
      <c r="S308" s="220"/>
      <c r="T308" s="220"/>
      <c r="U308" s="220"/>
      <c r="V308" s="220"/>
      <c r="W308" s="220"/>
    </row>
    <row r="309" ht="15.75" customHeight="1" outlineLevel="1">
      <c r="A309" s="213"/>
      <c r="B309" s="212"/>
      <c r="C309" s="213"/>
      <c r="D309" s="214" t="str">
        <f>IFERROR(VLOOKUP($C309,'PORTIFÓLIO'!C:V,2,0),"")</f>
        <v/>
      </c>
      <c r="E309" s="211" t="str">
        <f>IFERROR(VLOOKUP($C309,'PORTIFÓLIO'!C:V,3,0),"")</f>
        <v/>
      </c>
      <c r="F309" s="211" t="str">
        <f>IFERROR(VLOOKUP($C309,'PORTIFÓLIO'!C:V,4,0),"")</f>
        <v/>
      </c>
      <c r="G309" s="215" t="str">
        <f>IFERROR(VLOOKUP($C309,'PORTIFÓLIO'!C:V,5,0),"")</f>
        <v/>
      </c>
      <c r="H309" s="254" t="str">
        <f t="array" ref="H309">IFERROR(INDEX('PORTIFÓLIO'!$H$4:$H$433,MATCH($C309,'PORTIFÓLIO'!$C$4:$C$433,0)),"")</f>
        <v/>
      </c>
      <c r="I309" s="255"/>
      <c r="J309" s="218">
        <f t="shared" ref="J309:J323" si="35">I309*$B$2</f>
        <v>0</v>
      </c>
      <c r="K309" s="292" t="str">
        <f t="array" ref="K309">IFERROR(I309*INDEX('PORTIFÓLIO'!$S$4:$S$433,MATCH($C309,'PORTIFÓLIO'!$C$4:$C$433,0)),"")</f>
        <v/>
      </c>
      <c r="L309" s="292" t="str">
        <f t="array" ref="L309">IFERROR(J309*INDEX('PORTIFÓLIO'!$S$4:$S$433,MATCH($C309,'PORTIFÓLIO'!$C$4:$C$433,0)),"")</f>
        <v/>
      </c>
      <c r="M309" s="220"/>
      <c r="N309" s="220"/>
      <c r="O309" s="220"/>
      <c r="P309" s="220"/>
      <c r="Q309" s="220"/>
      <c r="R309" s="220"/>
      <c r="S309" s="220"/>
      <c r="T309" s="220"/>
      <c r="U309" s="220"/>
      <c r="V309" s="220"/>
      <c r="W309" s="220"/>
    </row>
    <row r="310" ht="15.75" customHeight="1" outlineLevel="1">
      <c r="A310" s="211"/>
      <c r="B310" s="212"/>
      <c r="C310" s="213"/>
      <c r="D310" s="214" t="str">
        <f>IFERROR(VLOOKUP($C310,'PORTIFÓLIO'!C:V,2,0),"")</f>
        <v/>
      </c>
      <c r="E310" s="211" t="str">
        <f>IFERROR(VLOOKUP($C310,'PORTIFÓLIO'!C:V,3,0),"")</f>
        <v/>
      </c>
      <c r="F310" s="211" t="str">
        <f>IFERROR(VLOOKUP($C310,'PORTIFÓLIO'!C:V,4,0),"")</f>
        <v/>
      </c>
      <c r="G310" s="215" t="str">
        <f>IFERROR(VLOOKUP($C310,'PORTIFÓLIO'!C:V,5,0),"")</f>
        <v/>
      </c>
      <c r="H310" s="254" t="str">
        <f t="array" ref="H310">IFERROR(INDEX('PORTIFÓLIO'!$H$4:$H$433,MATCH($C310,'PORTIFÓLIO'!$C$4:$C$433,0)),"")</f>
        <v/>
      </c>
      <c r="I310" s="256"/>
      <c r="J310" s="218">
        <f t="shared" si="35"/>
        <v>0</v>
      </c>
      <c r="K310" s="292" t="str">
        <f t="array" ref="K310">IFERROR(I310*INDEX('PORTIFÓLIO'!$S$4:$S$433,MATCH($C310,'PORTIFÓLIO'!$C$4:$C$433,0)),"")</f>
        <v/>
      </c>
      <c r="L310" s="292" t="str">
        <f t="array" ref="L310">IFERROR(J310*INDEX('PORTIFÓLIO'!$S$4:$S$433,MATCH($C310,'PORTIFÓLIO'!$C$4:$C$433,0)),"")</f>
        <v/>
      </c>
      <c r="M310" s="220"/>
      <c r="N310" s="220"/>
      <c r="O310" s="220"/>
      <c r="P310" s="220"/>
      <c r="Q310" s="220"/>
      <c r="R310" s="220"/>
      <c r="S310" s="220"/>
      <c r="T310" s="220"/>
      <c r="U310" s="220"/>
      <c r="V310" s="220"/>
      <c r="W310" s="220"/>
    </row>
    <row r="311" ht="15.75" customHeight="1" outlineLevel="1">
      <c r="A311" s="211"/>
      <c r="B311" s="212"/>
      <c r="C311" s="213"/>
      <c r="D311" s="214" t="str">
        <f>IFERROR(VLOOKUP($C311,'PORTIFÓLIO'!C:V,2,0),"")</f>
        <v/>
      </c>
      <c r="E311" s="211" t="str">
        <f>IFERROR(VLOOKUP($C311,'PORTIFÓLIO'!C:V,3,0),"")</f>
        <v/>
      </c>
      <c r="F311" s="211" t="str">
        <f>IFERROR(VLOOKUP($C311,'PORTIFÓLIO'!C:V,4,0),"")</f>
        <v/>
      </c>
      <c r="G311" s="215" t="str">
        <f>IFERROR(VLOOKUP($C311,'PORTIFÓLIO'!C:V,5,0),"")</f>
        <v/>
      </c>
      <c r="H311" s="254" t="str">
        <f t="array" ref="H311">IFERROR(INDEX('PORTIFÓLIO'!$H$4:$H$433,MATCH($C311,'PORTIFÓLIO'!$C$4:$C$433,0)),"")</f>
        <v/>
      </c>
      <c r="I311" s="256"/>
      <c r="J311" s="218">
        <f t="shared" si="35"/>
        <v>0</v>
      </c>
      <c r="K311" s="292" t="str">
        <f t="array" ref="K311">IFERROR(I311*INDEX('PORTIFÓLIO'!$S$4:$S$433,MATCH($C311,'PORTIFÓLIO'!$C$4:$C$433,0)),"")</f>
        <v/>
      </c>
      <c r="L311" s="292" t="str">
        <f t="array" ref="L311">IFERROR(J311*INDEX('PORTIFÓLIO'!$S$4:$S$433,MATCH($C311,'PORTIFÓLIO'!$C$4:$C$433,0)),"")</f>
        <v/>
      </c>
      <c r="M311" s="220"/>
      <c r="N311" s="220"/>
      <c r="O311" s="220"/>
      <c r="P311" s="220"/>
      <c r="Q311" s="220"/>
      <c r="R311" s="220"/>
      <c r="S311" s="220"/>
      <c r="T311" s="220"/>
      <c r="U311" s="220"/>
      <c r="V311" s="220"/>
      <c r="W311" s="220"/>
    </row>
    <row r="312" ht="15.75" customHeight="1" outlineLevel="1">
      <c r="A312" s="211"/>
      <c r="B312" s="212"/>
      <c r="C312" s="213"/>
      <c r="D312" s="214" t="str">
        <f>IFERROR(VLOOKUP($C312,'PORTIFÓLIO'!C:V,2,0),"")</f>
        <v/>
      </c>
      <c r="E312" s="211" t="str">
        <f>IFERROR(VLOOKUP($C312,'PORTIFÓLIO'!C:V,3,0),"")</f>
        <v/>
      </c>
      <c r="F312" s="211" t="str">
        <f>IFERROR(VLOOKUP($C312,'PORTIFÓLIO'!C:V,4,0),"")</f>
        <v/>
      </c>
      <c r="G312" s="215" t="str">
        <f>IFERROR(VLOOKUP($C312,'PORTIFÓLIO'!C:V,5,0),"")</f>
        <v/>
      </c>
      <c r="H312" s="254" t="str">
        <f t="array" ref="H312">IFERROR(INDEX('PORTIFÓLIO'!$H$4:$H$433,MATCH($C312,'PORTIFÓLIO'!$C$4:$C$433,0)),"")</f>
        <v/>
      </c>
      <c r="I312" s="256"/>
      <c r="J312" s="218">
        <f t="shared" si="35"/>
        <v>0</v>
      </c>
      <c r="K312" s="292" t="str">
        <f t="array" ref="K312">IFERROR(I312*INDEX('PORTIFÓLIO'!$S$4:$S$433,MATCH($C312,'PORTIFÓLIO'!$C$4:$C$433,0)),"")</f>
        <v/>
      </c>
      <c r="L312" s="292" t="str">
        <f t="array" ref="L312">IFERROR(J312*INDEX('PORTIFÓLIO'!$S$4:$S$433,MATCH($C312,'PORTIFÓLIO'!$C$4:$C$433,0)),"")</f>
        <v/>
      </c>
      <c r="M312" s="220"/>
      <c r="N312" s="220"/>
      <c r="O312" s="220"/>
      <c r="P312" s="220"/>
      <c r="Q312" s="220"/>
      <c r="R312" s="220"/>
      <c r="S312" s="220"/>
      <c r="T312" s="220"/>
      <c r="U312" s="220"/>
      <c r="V312" s="220"/>
      <c r="W312" s="220"/>
    </row>
    <row r="313" ht="15.75" customHeight="1" outlineLevel="1">
      <c r="A313" s="211"/>
      <c r="B313" s="212"/>
      <c r="C313" s="213"/>
      <c r="D313" s="214" t="str">
        <f>IFERROR(VLOOKUP($C313,'PORTIFÓLIO'!C:V,2,0),"")</f>
        <v/>
      </c>
      <c r="E313" s="211" t="str">
        <f>IFERROR(VLOOKUP($C313,'PORTIFÓLIO'!C:V,3,0),"")</f>
        <v/>
      </c>
      <c r="F313" s="211" t="str">
        <f>IFERROR(VLOOKUP($C313,'PORTIFÓLIO'!C:V,4,0),"")</f>
        <v/>
      </c>
      <c r="G313" s="215" t="str">
        <f>IFERROR(VLOOKUP($C313,'PORTIFÓLIO'!C:V,5,0),"")</f>
        <v/>
      </c>
      <c r="H313" s="254" t="str">
        <f t="array" ref="H313">IFERROR(INDEX('PORTIFÓLIO'!$H$4:$H$433,MATCH($C313,'PORTIFÓLIO'!$C$4:$C$433,0)),"")</f>
        <v/>
      </c>
      <c r="I313" s="256"/>
      <c r="J313" s="218">
        <f t="shared" si="35"/>
        <v>0</v>
      </c>
      <c r="K313" s="292" t="str">
        <f t="array" ref="K313">IFERROR(I313*INDEX('PORTIFÓLIO'!$S$4:$S$433,MATCH($C313,'PORTIFÓLIO'!$C$4:$C$433,0)),"")</f>
        <v/>
      </c>
      <c r="L313" s="292" t="str">
        <f t="array" ref="L313">IFERROR(J313*INDEX('PORTIFÓLIO'!$S$4:$S$433,MATCH($C313,'PORTIFÓLIO'!$C$4:$C$433,0)),"")</f>
        <v/>
      </c>
      <c r="M313" s="220"/>
      <c r="N313" s="220"/>
      <c r="O313" s="220"/>
      <c r="P313" s="220"/>
      <c r="Q313" s="220"/>
      <c r="R313" s="220"/>
      <c r="S313" s="220"/>
      <c r="T313" s="220"/>
      <c r="U313" s="220"/>
      <c r="V313" s="220"/>
      <c r="W313" s="220"/>
    </row>
    <row r="314" ht="15.75" customHeight="1" outlineLevel="1">
      <c r="A314" s="211"/>
      <c r="B314" s="212"/>
      <c r="C314" s="213"/>
      <c r="D314" s="214" t="str">
        <f>IFERROR(VLOOKUP($C314,'PORTIFÓLIO'!C:V,2,0),"")</f>
        <v/>
      </c>
      <c r="E314" s="211" t="str">
        <f>IFERROR(VLOOKUP($C314,'PORTIFÓLIO'!C:V,3,0),"")</f>
        <v/>
      </c>
      <c r="F314" s="211" t="str">
        <f>IFERROR(VLOOKUP($C314,'PORTIFÓLIO'!C:V,4,0),"")</f>
        <v/>
      </c>
      <c r="G314" s="215" t="str">
        <f>IFERROR(VLOOKUP($C314,'PORTIFÓLIO'!C:V,5,0),"")</f>
        <v/>
      </c>
      <c r="H314" s="254" t="str">
        <f t="array" ref="H314">IFERROR(INDEX('PORTIFÓLIO'!$H$4:$H$433,MATCH($C314,'PORTIFÓLIO'!$C$4:$C$433,0)),"")</f>
        <v/>
      </c>
      <c r="I314" s="256"/>
      <c r="J314" s="218">
        <f t="shared" si="35"/>
        <v>0</v>
      </c>
      <c r="K314" s="292" t="str">
        <f t="array" ref="K314">IFERROR(I314*INDEX('PORTIFÓLIO'!$S$4:$S$433,MATCH($C314,'PORTIFÓLIO'!$C$4:$C$433,0)),"")</f>
        <v/>
      </c>
      <c r="L314" s="292" t="str">
        <f t="array" ref="L314">IFERROR(J314*INDEX('PORTIFÓLIO'!$S$4:$S$433,MATCH($C314,'PORTIFÓLIO'!$C$4:$C$433,0)),"")</f>
        <v/>
      </c>
      <c r="M314" s="220"/>
      <c r="N314" s="220"/>
      <c r="O314" s="220"/>
      <c r="P314" s="220"/>
      <c r="Q314" s="220"/>
      <c r="R314" s="220"/>
      <c r="S314" s="220"/>
      <c r="T314" s="220"/>
      <c r="U314" s="220"/>
      <c r="V314" s="220"/>
      <c r="W314" s="220"/>
    </row>
    <row r="315" ht="15.75" customHeight="1" outlineLevel="1">
      <c r="A315" s="211"/>
      <c r="B315" s="212"/>
      <c r="C315" s="213"/>
      <c r="D315" s="214" t="str">
        <f>IFERROR(VLOOKUP($C315,'PORTIFÓLIO'!C:V,2,0),"")</f>
        <v/>
      </c>
      <c r="E315" s="211" t="str">
        <f>IFERROR(VLOOKUP($C315,'PORTIFÓLIO'!C:V,3,0),"")</f>
        <v/>
      </c>
      <c r="F315" s="211" t="str">
        <f>IFERROR(VLOOKUP($C315,'PORTIFÓLIO'!C:V,4,0),"")</f>
        <v/>
      </c>
      <c r="G315" s="215" t="str">
        <f>IFERROR(VLOOKUP($C315,'PORTIFÓLIO'!C:V,5,0),"")</f>
        <v/>
      </c>
      <c r="H315" s="254" t="str">
        <f t="array" ref="H315">IFERROR(INDEX('PORTIFÓLIO'!$H$4:$H$433,MATCH($C315,'PORTIFÓLIO'!$C$4:$C$433,0)),"")</f>
        <v/>
      </c>
      <c r="I315" s="256"/>
      <c r="J315" s="218">
        <f t="shared" si="35"/>
        <v>0</v>
      </c>
      <c r="K315" s="292" t="str">
        <f t="array" ref="K315">IFERROR(I315*INDEX('PORTIFÓLIO'!$S$4:$S$433,MATCH($C315,'PORTIFÓLIO'!$C$4:$C$433,0)),"")</f>
        <v/>
      </c>
      <c r="L315" s="292" t="str">
        <f t="array" ref="L315">IFERROR(J315*INDEX('PORTIFÓLIO'!$S$4:$S$433,MATCH($C315,'PORTIFÓLIO'!$C$4:$C$433,0)),"")</f>
        <v/>
      </c>
      <c r="M315" s="220"/>
      <c r="N315" s="220"/>
      <c r="O315" s="220"/>
      <c r="P315" s="220"/>
      <c r="Q315" s="220"/>
      <c r="R315" s="220"/>
      <c r="S315" s="220"/>
      <c r="T315" s="220"/>
      <c r="U315" s="220"/>
      <c r="V315" s="220"/>
      <c r="W315" s="220"/>
    </row>
    <row r="316" ht="15.75" customHeight="1" outlineLevel="1">
      <c r="A316" s="211"/>
      <c r="B316" s="212"/>
      <c r="C316" s="213"/>
      <c r="D316" s="214" t="str">
        <f>IFERROR(VLOOKUP($C316,'PORTIFÓLIO'!C:V,2,0),"")</f>
        <v/>
      </c>
      <c r="E316" s="211" t="str">
        <f>IFERROR(VLOOKUP($C316,'PORTIFÓLIO'!C:V,3,0),"")</f>
        <v/>
      </c>
      <c r="F316" s="211" t="str">
        <f>IFERROR(VLOOKUP($C316,'PORTIFÓLIO'!C:V,4,0),"")</f>
        <v/>
      </c>
      <c r="G316" s="215" t="str">
        <f>IFERROR(VLOOKUP($C316,'PORTIFÓLIO'!C:V,5,0),"")</f>
        <v/>
      </c>
      <c r="H316" s="254" t="str">
        <f t="array" ref="H316">IFERROR(INDEX('PORTIFÓLIO'!$H$4:$H$433,MATCH($C316,'PORTIFÓLIO'!$C$4:$C$433,0)),"")</f>
        <v/>
      </c>
      <c r="I316" s="256"/>
      <c r="J316" s="218">
        <f t="shared" si="35"/>
        <v>0</v>
      </c>
      <c r="K316" s="292" t="str">
        <f t="array" ref="K316">IFERROR(I316*INDEX('PORTIFÓLIO'!$S$4:$S$433,MATCH($C316,'PORTIFÓLIO'!$C$4:$C$433,0)),"")</f>
        <v/>
      </c>
      <c r="L316" s="292" t="str">
        <f t="array" ref="L316">IFERROR(J316*INDEX('PORTIFÓLIO'!$S$4:$S$433,MATCH($C316,'PORTIFÓLIO'!$C$4:$C$433,0)),"")</f>
        <v/>
      </c>
      <c r="M316" s="220"/>
      <c r="N316" s="220"/>
      <c r="O316" s="220"/>
      <c r="P316" s="220"/>
      <c r="Q316" s="220"/>
      <c r="R316" s="220"/>
      <c r="S316" s="220"/>
      <c r="T316" s="220"/>
      <c r="U316" s="220"/>
      <c r="V316" s="220"/>
      <c r="W316" s="220"/>
    </row>
    <row r="317" ht="15.75" customHeight="1" outlineLevel="1">
      <c r="A317" s="211"/>
      <c r="B317" s="212"/>
      <c r="C317" s="213"/>
      <c r="D317" s="214" t="str">
        <f>IFERROR(VLOOKUP($C317,'PORTIFÓLIO'!C:V,2,0),"")</f>
        <v/>
      </c>
      <c r="E317" s="211" t="str">
        <f>IFERROR(VLOOKUP($C317,'PORTIFÓLIO'!C:V,3,0),"")</f>
        <v/>
      </c>
      <c r="F317" s="211" t="str">
        <f>IFERROR(VLOOKUP($C317,'PORTIFÓLIO'!C:V,4,0),"")</f>
        <v/>
      </c>
      <c r="G317" s="215" t="str">
        <f>IFERROR(VLOOKUP($C317,'PORTIFÓLIO'!C:V,5,0),"")</f>
        <v/>
      </c>
      <c r="H317" s="254" t="str">
        <f t="array" ref="H317">IFERROR(INDEX('PORTIFÓLIO'!$H$4:$H$433,MATCH($C317,'PORTIFÓLIO'!$C$4:$C$433,0)),"")</f>
        <v/>
      </c>
      <c r="I317" s="255"/>
      <c r="J317" s="218">
        <f t="shared" si="35"/>
        <v>0</v>
      </c>
      <c r="K317" s="292" t="str">
        <f t="array" ref="K317">IFERROR(I317*INDEX('PORTIFÓLIO'!$S$4:$S$433,MATCH($C317,'PORTIFÓLIO'!$C$4:$C$433,0)),"")</f>
        <v/>
      </c>
      <c r="L317" s="292" t="str">
        <f t="array" ref="L317">IFERROR(J317*INDEX('PORTIFÓLIO'!$S$4:$S$433,MATCH($C317,'PORTIFÓLIO'!$C$4:$C$433,0)),"")</f>
        <v/>
      </c>
      <c r="M317" s="220"/>
      <c r="N317" s="220"/>
      <c r="O317" s="220"/>
      <c r="P317" s="220"/>
      <c r="Q317" s="220"/>
      <c r="R317" s="220"/>
      <c r="S317" s="220"/>
      <c r="T317" s="220"/>
      <c r="U317" s="220"/>
      <c r="V317" s="220"/>
      <c r="W317" s="220"/>
    </row>
    <row r="318" ht="15.75" customHeight="1" outlineLevel="1">
      <c r="A318" s="211"/>
      <c r="B318" s="212"/>
      <c r="C318" s="213"/>
      <c r="D318" s="214" t="str">
        <f>IFERROR(VLOOKUP($C318,'PORTIFÓLIO'!C:V,2,0),"")</f>
        <v/>
      </c>
      <c r="E318" s="211" t="str">
        <f>IFERROR(VLOOKUP($C318,'PORTIFÓLIO'!C:V,3,0),"")</f>
        <v/>
      </c>
      <c r="F318" s="211" t="str">
        <f>IFERROR(VLOOKUP($C318,'PORTIFÓLIO'!C:V,4,0),"")</f>
        <v/>
      </c>
      <c r="G318" s="215" t="str">
        <f>IFERROR(VLOOKUP($C318,'PORTIFÓLIO'!C:V,5,0),"")</f>
        <v/>
      </c>
      <c r="H318" s="254" t="str">
        <f t="array" ref="H318">IFERROR(INDEX('PORTIFÓLIO'!$H$4:$H$433,MATCH($C318,'PORTIFÓLIO'!$C$4:$C$433,0)),"")</f>
        <v/>
      </c>
      <c r="I318" s="256"/>
      <c r="J318" s="218">
        <f t="shared" si="35"/>
        <v>0</v>
      </c>
      <c r="K318" s="292" t="str">
        <f t="array" ref="K318">IFERROR(I318*INDEX('PORTIFÓLIO'!$S$4:$S$433,MATCH($C318,'PORTIFÓLIO'!$C$4:$C$433,0)),"")</f>
        <v/>
      </c>
      <c r="L318" s="292" t="str">
        <f t="array" ref="L318">IFERROR(J318*INDEX('PORTIFÓLIO'!$S$4:$S$433,MATCH($C318,'PORTIFÓLIO'!$C$4:$C$433,0)),"")</f>
        <v/>
      </c>
      <c r="M318" s="220"/>
      <c r="N318" s="220"/>
      <c r="O318" s="220"/>
      <c r="P318" s="220"/>
      <c r="Q318" s="220"/>
      <c r="R318" s="220"/>
      <c r="S318" s="220"/>
      <c r="T318" s="220"/>
      <c r="U318" s="220"/>
      <c r="V318" s="220"/>
      <c r="W318" s="220"/>
    </row>
    <row r="319" ht="15.75" customHeight="1" outlineLevel="1">
      <c r="A319" s="211"/>
      <c r="B319" s="212"/>
      <c r="C319" s="213"/>
      <c r="D319" s="214" t="str">
        <f>IFERROR(VLOOKUP($C319,'PORTIFÓLIO'!C:V,2,0),"")</f>
        <v/>
      </c>
      <c r="E319" s="211" t="str">
        <f>IFERROR(VLOOKUP($C319,'PORTIFÓLIO'!C:V,3,0),"")</f>
        <v/>
      </c>
      <c r="F319" s="211" t="str">
        <f>IFERROR(VLOOKUP($C319,'PORTIFÓLIO'!C:V,4,0),"")</f>
        <v/>
      </c>
      <c r="G319" s="215" t="str">
        <f>IFERROR(VLOOKUP($C319,'PORTIFÓLIO'!C:V,5,0),"")</f>
        <v/>
      </c>
      <c r="H319" s="254" t="str">
        <f t="array" ref="H319">IFERROR(INDEX('PORTIFÓLIO'!$H$4:$H$433,MATCH($C319,'PORTIFÓLIO'!$C$4:$C$433,0)),"")</f>
        <v/>
      </c>
      <c r="I319" s="256"/>
      <c r="J319" s="218">
        <f t="shared" si="35"/>
        <v>0</v>
      </c>
      <c r="K319" s="292" t="str">
        <f t="array" ref="K319">IFERROR(I319*INDEX('PORTIFÓLIO'!$S$4:$S$433,MATCH($C319,'PORTIFÓLIO'!$C$4:$C$433,0)),"")</f>
        <v/>
      </c>
      <c r="L319" s="292" t="str">
        <f t="array" ref="L319">IFERROR(J319*INDEX('PORTIFÓLIO'!$S$4:$S$433,MATCH($C319,'PORTIFÓLIO'!$C$4:$C$433,0)),"")</f>
        <v/>
      </c>
      <c r="M319" s="220"/>
      <c r="N319" s="220"/>
      <c r="O319" s="220"/>
      <c r="P319" s="220"/>
      <c r="Q319" s="220"/>
      <c r="R319" s="220"/>
      <c r="S319" s="220"/>
      <c r="T319" s="220"/>
      <c r="U319" s="220"/>
      <c r="V319" s="220"/>
      <c r="W319" s="220"/>
    </row>
    <row r="320" ht="15.75" customHeight="1" outlineLevel="1">
      <c r="A320" s="211"/>
      <c r="B320" s="212"/>
      <c r="C320" s="213"/>
      <c r="D320" s="214" t="str">
        <f>IFERROR(VLOOKUP($C320,'PORTIFÓLIO'!C:V,2,0),"")</f>
        <v/>
      </c>
      <c r="E320" s="211" t="str">
        <f>IFERROR(VLOOKUP($C320,'PORTIFÓLIO'!C:V,3,0),"")</f>
        <v/>
      </c>
      <c r="F320" s="211" t="str">
        <f>IFERROR(VLOOKUP($C320,'PORTIFÓLIO'!C:V,4,0),"")</f>
        <v/>
      </c>
      <c r="G320" s="215" t="str">
        <f>IFERROR(VLOOKUP($C320,'PORTIFÓLIO'!C:V,5,0),"")</f>
        <v/>
      </c>
      <c r="H320" s="254" t="str">
        <f t="array" ref="H320">IFERROR(INDEX('PORTIFÓLIO'!$H$4:$H$433,MATCH($C320,'PORTIFÓLIO'!$C$4:$C$433,0)),"")</f>
        <v/>
      </c>
      <c r="I320" s="256"/>
      <c r="J320" s="218">
        <f t="shared" si="35"/>
        <v>0</v>
      </c>
      <c r="K320" s="292" t="str">
        <f t="array" ref="K320">IFERROR(I320*INDEX('PORTIFÓLIO'!$S$4:$S$433,MATCH($C320,'PORTIFÓLIO'!$C$4:$C$433,0)),"")</f>
        <v/>
      </c>
      <c r="L320" s="292" t="str">
        <f t="array" ref="L320">IFERROR(J320*INDEX('PORTIFÓLIO'!$S$4:$S$433,MATCH($C320,'PORTIFÓLIO'!$C$4:$C$433,0)),"")</f>
        <v/>
      </c>
      <c r="M320" s="220"/>
      <c r="N320" s="220"/>
      <c r="O320" s="220"/>
      <c r="P320" s="220"/>
      <c r="Q320" s="220"/>
      <c r="R320" s="220"/>
      <c r="S320" s="220"/>
      <c r="T320" s="220"/>
      <c r="U320" s="220"/>
      <c r="V320" s="220"/>
      <c r="W320" s="220"/>
    </row>
    <row r="321" ht="15.75" customHeight="1" outlineLevel="1">
      <c r="A321" s="211"/>
      <c r="B321" s="212"/>
      <c r="C321" s="213"/>
      <c r="D321" s="214" t="str">
        <f>IFERROR(VLOOKUP($C321,'PORTIFÓLIO'!C:V,2,0),"")</f>
        <v/>
      </c>
      <c r="E321" s="211" t="str">
        <f>IFERROR(VLOOKUP($C321,'PORTIFÓLIO'!C:V,3,0),"")</f>
        <v/>
      </c>
      <c r="F321" s="211" t="str">
        <f>IFERROR(VLOOKUP($C321,'PORTIFÓLIO'!C:V,4,0),"")</f>
        <v/>
      </c>
      <c r="G321" s="215" t="str">
        <f>IFERROR(VLOOKUP($C321,'PORTIFÓLIO'!C:V,5,0),"")</f>
        <v/>
      </c>
      <c r="H321" s="254" t="str">
        <f t="array" ref="H321">IFERROR(INDEX('PORTIFÓLIO'!$H$4:$H$433,MATCH($C321,'PORTIFÓLIO'!$C$4:$C$433,0)),"")</f>
        <v/>
      </c>
      <c r="I321" s="256"/>
      <c r="J321" s="218">
        <f t="shared" si="35"/>
        <v>0</v>
      </c>
      <c r="K321" s="292" t="str">
        <f t="array" ref="K321">IFERROR(I321*INDEX('PORTIFÓLIO'!$S$4:$S$433,MATCH($C321,'PORTIFÓLIO'!$C$4:$C$433,0)),"")</f>
        <v/>
      </c>
      <c r="L321" s="292" t="str">
        <f t="array" ref="L321">IFERROR(J321*INDEX('PORTIFÓLIO'!$S$4:$S$433,MATCH($C321,'PORTIFÓLIO'!$C$4:$C$433,0)),"")</f>
        <v/>
      </c>
      <c r="M321" s="220"/>
      <c r="N321" s="220"/>
      <c r="O321" s="220"/>
      <c r="P321" s="220"/>
      <c r="Q321" s="220"/>
      <c r="R321" s="220"/>
      <c r="S321" s="220"/>
      <c r="T321" s="220"/>
      <c r="U321" s="220"/>
      <c r="V321" s="220"/>
      <c r="W321" s="220"/>
    </row>
    <row r="322" ht="15.75" customHeight="1" outlineLevel="1">
      <c r="A322" s="211"/>
      <c r="B322" s="212"/>
      <c r="C322" s="213"/>
      <c r="D322" s="214" t="str">
        <f>IFERROR(VLOOKUP($C322,'PORTIFÓLIO'!C:V,2,0),"")</f>
        <v/>
      </c>
      <c r="E322" s="211" t="str">
        <f>IFERROR(VLOOKUP($C322,'PORTIFÓLIO'!C:V,3,0),"")</f>
        <v/>
      </c>
      <c r="F322" s="211" t="str">
        <f>IFERROR(VLOOKUP($C322,'PORTIFÓLIO'!C:V,4,0),"")</f>
        <v/>
      </c>
      <c r="G322" s="215" t="str">
        <f>IFERROR(VLOOKUP($C322,'PORTIFÓLIO'!C:V,5,0),"")</f>
        <v/>
      </c>
      <c r="H322" s="254" t="str">
        <f t="array" ref="H322">IFERROR(INDEX('PORTIFÓLIO'!$H$4:$H$433,MATCH($C322,'PORTIFÓLIO'!$C$4:$C$433,0)),"")</f>
        <v/>
      </c>
      <c r="I322" s="256"/>
      <c r="J322" s="218">
        <f t="shared" si="35"/>
        <v>0</v>
      </c>
      <c r="K322" s="292" t="str">
        <f t="array" ref="K322">IFERROR(I322*INDEX('PORTIFÓLIO'!$S$4:$S$433,MATCH($C322,'PORTIFÓLIO'!$C$4:$C$433,0)),"")</f>
        <v/>
      </c>
      <c r="L322" s="292" t="str">
        <f t="array" ref="L322">IFERROR(J322*INDEX('PORTIFÓLIO'!$S$4:$S$433,MATCH($C322,'PORTIFÓLIO'!$C$4:$C$433,0)),"")</f>
        <v/>
      </c>
      <c r="M322" s="220"/>
      <c r="N322" s="220"/>
      <c r="O322" s="220"/>
      <c r="P322" s="220"/>
      <c r="Q322" s="220"/>
      <c r="R322" s="220"/>
      <c r="S322" s="220"/>
      <c r="T322" s="220"/>
      <c r="U322" s="220"/>
      <c r="V322" s="220"/>
      <c r="W322" s="220"/>
    </row>
    <row r="323" ht="15.75" customHeight="1" outlineLevel="1">
      <c r="A323" s="211"/>
      <c r="B323" s="212"/>
      <c r="C323" s="213"/>
      <c r="D323" s="214" t="str">
        <f>IFERROR(VLOOKUP($C323,'PORTIFÓLIO'!C:V,2,0),"")</f>
        <v/>
      </c>
      <c r="E323" s="211" t="str">
        <f>IFERROR(VLOOKUP($C323,'PORTIFÓLIO'!C:V,3,0),"")</f>
        <v/>
      </c>
      <c r="F323" s="211" t="str">
        <f>IFERROR(VLOOKUP($C323,'PORTIFÓLIO'!C:V,4,0),"")</f>
        <v/>
      </c>
      <c r="G323" s="215" t="str">
        <f>IFERROR(VLOOKUP($C323,'PORTIFÓLIO'!C:V,5,0),"")</f>
        <v/>
      </c>
      <c r="H323" s="254" t="str">
        <f t="array" ref="H323">IFERROR(INDEX('PORTIFÓLIO'!$H$4:$H$433,MATCH($C323,'PORTIFÓLIO'!$C$4:$C$433,0)),"")</f>
        <v/>
      </c>
      <c r="I323" s="256"/>
      <c r="J323" s="218">
        <f t="shared" si="35"/>
        <v>0</v>
      </c>
      <c r="K323" s="292" t="str">
        <f t="array" ref="K323">IFERROR(I323*INDEX('PORTIFÓLIO'!$S$4:$S$433,MATCH($C323,'PORTIFÓLIO'!$C$4:$C$433,0)),"")</f>
        <v/>
      </c>
      <c r="L323" s="292" t="str">
        <f t="array" ref="L323">IFERROR(J323*INDEX('PORTIFÓLIO'!$S$4:$S$433,MATCH($C323,'PORTIFÓLIO'!$C$4:$C$433,0)),"")</f>
        <v/>
      </c>
      <c r="M323" s="220"/>
      <c r="N323" s="220"/>
      <c r="O323" s="220"/>
      <c r="P323" s="220"/>
      <c r="Q323" s="220"/>
      <c r="R323" s="220"/>
      <c r="S323" s="220"/>
      <c r="T323" s="220"/>
      <c r="U323" s="220"/>
      <c r="V323" s="220"/>
      <c r="W323" s="220"/>
    </row>
    <row r="324" ht="15.75" customHeight="1">
      <c r="A324" s="229" t="s">
        <v>1189</v>
      </c>
      <c r="B324" s="230"/>
      <c r="C324" s="231"/>
      <c r="D324" s="232"/>
      <c r="E324" s="231"/>
      <c r="F324" s="231"/>
      <c r="G324" s="233"/>
      <c r="H324" s="233"/>
      <c r="I324" s="258"/>
      <c r="J324" s="236"/>
      <c r="K324" s="237">
        <f t="shared" ref="K324:L324" si="36">SUBTOTAL(9,K325:K338)</f>
        <v>0</v>
      </c>
      <c r="L324" s="237">
        <f t="shared" si="36"/>
        <v>0</v>
      </c>
      <c r="M324" s="220"/>
      <c r="N324" s="220"/>
      <c r="O324" s="220"/>
      <c r="P324" s="220"/>
      <c r="Q324" s="220"/>
      <c r="R324" s="220"/>
      <c r="S324" s="220"/>
      <c r="T324" s="220"/>
      <c r="U324" s="220"/>
      <c r="V324" s="220"/>
      <c r="W324" s="220"/>
    </row>
    <row r="325" ht="15.75" customHeight="1" outlineLevel="1">
      <c r="A325" s="213"/>
      <c r="B325" s="212"/>
      <c r="C325" s="213"/>
      <c r="D325" s="214" t="str">
        <f>IFERROR(VLOOKUP($C325,'PORTIFÓLIO'!C:V,2,0),"")</f>
        <v/>
      </c>
      <c r="E325" s="211" t="str">
        <f>IFERROR(VLOOKUP($C325,'PORTIFÓLIO'!C:V,3,0),"")</f>
        <v/>
      </c>
      <c r="F325" s="211" t="str">
        <f>IFERROR(VLOOKUP($C325,'PORTIFÓLIO'!C:V,4,0),"")</f>
        <v/>
      </c>
      <c r="G325" s="215" t="str">
        <f>IFERROR(VLOOKUP($C325,'PORTIFÓLIO'!C:V,5,0),"")</f>
        <v/>
      </c>
      <c r="H325" s="254" t="str">
        <f t="array" ref="H325">IFERROR(INDEX('PORTIFÓLIO'!$H$4:$H$433,MATCH($C325,'PORTIFÓLIO'!$C$4:$C$433,0)),"")</f>
        <v/>
      </c>
      <c r="I325" s="255"/>
      <c r="J325" s="218">
        <f t="shared" ref="J325:J339" si="37">I325*$B$2</f>
        <v>0</v>
      </c>
      <c r="K325" s="292" t="str">
        <f t="array" ref="K325">IFERROR(I325*INDEX('PORTIFÓLIO'!$S$4:$S$433,MATCH($C325,'PORTIFÓLIO'!$C$4:$C$433,0)),"")</f>
        <v/>
      </c>
      <c r="L325" s="292" t="str">
        <f t="array" ref="L325">IFERROR(J325*INDEX('PORTIFÓLIO'!$S$4:$S$433,MATCH($C325,'PORTIFÓLIO'!$C$4:$C$433,0)),"")</f>
        <v/>
      </c>
      <c r="M325" s="220"/>
      <c r="N325" s="220"/>
      <c r="O325" s="220"/>
      <c r="P325" s="220"/>
      <c r="Q325" s="220"/>
      <c r="R325" s="220"/>
      <c r="S325" s="220"/>
      <c r="T325" s="220"/>
      <c r="U325" s="220"/>
      <c r="V325" s="220"/>
      <c r="W325" s="220"/>
    </row>
    <row r="326" ht="15.75" customHeight="1" outlineLevel="1">
      <c r="A326" s="211"/>
      <c r="B326" s="212"/>
      <c r="C326" s="213"/>
      <c r="D326" s="214" t="str">
        <f>IFERROR(VLOOKUP($C326,'PORTIFÓLIO'!C:V,2,0),"")</f>
        <v/>
      </c>
      <c r="E326" s="211" t="str">
        <f>IFERROR(VLOOKUP($C326,'PORTIFÓLIO'!C:V,3,0),"")</f>
        <v/>
      </c>
      <c r="F326" s="211" t="str">
        <f>IFERROR(VLOOKUP($C326,'PORTIFÓLIO'!C:V,4,0),"")</f>
        <v/>
      </c>
      <c r="G326" s="215" t="str">
        <f>IFERROR(VLOOKUP($C326,'PORTIFÓLIO'!C:V,5,0),"")</f>
        <v/>
      </c>
      <c r="H326" s="254" t="str">
        <f t="array" ref="H326">IFERROR(INDEX('PORTIFÓLIO'!$H$4:$H$433,MATCH($C326,'PORTIFÓLIO'!$C$4:$C$433,0)),"")</f>
        <v/>
      </c>
      <c r="I326" s="256"/>
      <c r="J326" s="218">
        <f t="shared" si="37"/>
        <v>0</v>
      </c>
      <c r="K326" s="292" t="str">
        <f t="array" ref="K326">IFERROR(I326*INDEX('PORTIFÓLIO'!$S$4:$S$433,MATCH($C326,'PORTIFÓLIO'!$C$4:$C$433,0)),"")</f>
        <v/>
      </c>
      <c r="L326" s="292" t="str">
        <f t="array" ref="L326">IFERROR(J326*INDEX('PORTIFÓLIO'!$S$4:$S$433,MATCH($C326,'PORTIFÓLIO'!$C$4:$C$433,0)),"")</f>
        <v/>
      </c>
      <c r="M326" s="220"/>
      <c r="N326" s="220"/>
      <c r="O326" s="220"/>
      <c r="P326" s="220"/>
      <c r="Q326" s="220"/>
      <c r="R326" s="220"/>
      <c r="S326" s="220"/>
      <c r="T326" s="220"/>
      <c r="U326" s="220"/>
      <c r="V326" s="220"/>
      <c r="W326" s="220"/>
    </row>
    <row r="327" ht="15.75" customHeight="1" outlineLevel="1">
      <c r="A327" s="211"/>
      <c r="B327" s="212"/>
      <c r="C327" s="213"/>
      <c r="D327" s="214" t="str">
        <f>IFERROR(VLOOKUP($C327,'PORTIFÓLIO'!C:V,2,0),"")</f>
        <v/>
      </c>
      <c r="E327" s="211" t="str">
        <f>IFERROR(VLOOKUP($C327,'PORTIFÓLIO'!C:V,3,0),"")</f>
        <v/>
      </c>
      <c r="F327" s="211" t="str">
        <f>IFERROR(VLOOKUP($C327,'PORTIFÓLIO'!C:V,4,0),"")</f>
        <v/>
      </c>
      <c r="G327" s="215" t="str">
        <f>IFERROR(VLOOKUP($C327,'PORTIFÓLIO'!C:V,5,0),"")</f>
        <v/>
      </c>
      <c r="H327" s="254" t="str">
        <f t="array" ref="H327">IFERROR(INDEX('PORTIFÓLIO'!$H$4:$H$433,MATCH($C327,'PORTIFÓLIO'!$C$4:$C$433,0)),"")</f>
        <v/>
      </c>
      <c r="I327" s="256"/>
      <c r="J327" s="218">
        <f t="shared" si="37"/>
        <v>0</v>
      </c>
      <c r="K327" s="292" t="str">
        <f t="array" ref="K327">IFERROR(I327*INDEX('PORTIFÓLIO'!$S$4:$S$433,MATCH($C327,'PORTIFÓLIO'!$C$4:$C$433,0)),"")</f>
        <v/>
      </c>
      <c r="L327" s="292" t="str">
        <f t="array" ref="L327">IFERROR(J327*INDEX('PORTIFÓLIO'!$S$4:$S$433,MATCH($C327,'PORTIFÓLIO'!$C$4:$C$433,0)),"")</f>
        <v/>
      </c>
      <c r="M327" s="220"/>
      <c r="N327" s="220"/>
      <c r="O327" s="220"/>
      <c r="P327" s="220"/>
      <c r="Q327" s="220"/>
      <c r="R327" s="220"/>
      <c r="S327" s="220"/>
      <c r="T327" s="220"/>
      <c r="U327" s="220"/>
      <c r="V327" s="220"/>
      <c r="W327" s="220"/>
    </row>
    <row r="328" ht="15.75" customHeight="1" outlineLevel="1">
      <c r="A328" s="211"/>
      <c r="B328" s="212"/>
      <c r="C328" s="213"/>
      <c r="D328" s="214" t="str">
        <f>IFERROR(VLOOKUP($C328,'PORTIFÓLIO'!C:V,2,0),"")</f>
        <v/>
      </c>
      <c r="E328" s="211" t="str">
        <f>IFERROR(VLOOKUP($C328,'PORTIFÓLIO'!C:V,3,0),"")</f>
        <v/>
      </c>
      <c r="F328" s="211" t="str">
        <f>IFERROR(VLOOKUP($C328,'PORTIFÓLIO'!C:V,4,0),"")</f>
        <v/>
      </c>
      <c r="G328" s="215" t="str">
        <f>IFERROR(VLOOKUP($C328,'PORTIFÓLIO'!C:V,5,0),"")</f>
        <v/>
      </c>
      <c r="H328" s="254" t="str">
        <f t="array" ref="H328">IFERROR(INDEX('PORTIFÓLIO'!$H$4:$H$433,MATCH($C328,'PORTIFÓLIO'!$C$4:$C$433,0)),"")</f>
        <v/>
      </c>
      <c r="I328" s="256"/>
      <c r="J328" s="218">
        <f t="shared" si="37"/>
        <v>0</v>
      </c>
      <c r="K328" s="292" t="str">
        <f t="array" ref="K328">IFERROR(I328*INDEX('PORTIFÓLIO'!$S$4:$S$433,MATCH($C328,'PORTIFÓLIO'!$C$4:$C$433,0)),"")</f>
        <v/>
      </c>
      <c r="L328" s="292" t="str">
        <f t="array" ref="L328">IFERROR(J328*INDEX('PORTIFÓLIO'!$S$4:$S$433,MATCH($C328,'PORTIFÓLIO'!$C$4:$C$433,0)),"")</f>
        <v/>
      </c>
      <c r="M328" s="220"/>
      <c r="N328" s="220"/>
      <c r="O328" s="220"/>
      <c r="P328" s="220"/>
      <c r="Q328" s="220"/>
      <c r="R328" s="220"/>
      <c r="S328" s="220"/>
      <c r="T328" s="220"/>
      <c r="U328" s="220"/>
      <c r="V328" s="220"/>
      <c r="W328" s="220"/>
    </row>
    <row r="329" ht="15.75" customHeight="1" outlineLevel="1">
      <c r="A329" s="211"/>
      <c r="B329" s="212"/>
      <c r="C329" s="213"/>
      <c r="D329" s="214" t="str">
        <f>IFERROR(VLOOKUP($C329,'PORTIFÓLIO'!C:V,2,0),"")</f>
        <v/>
      </c>
      <c r="E329" s="211" t="str">
        <f>IFERROR(VLOOKUP($C329,'PORTIFÓLIO'!C:V,3,0),"")</f>
        <v/>
      </c>
      <c r="F329" s="211" t="str">
        <f>IFERROR(VLOOKUP($C329,'PORTIFÓLIO'!C:V,4,0),"")</f>
        <v/>
      </c>
      <c r="G329" s="215" t="str">
        <f>IFERROR(VLOOKUP($C329,'PORTIFÓLIO'!C:V,5,0),"")</f>
        <v/>
      </c>
      <c r="H329" s="254" t="str">
        <f t="array" ref="H329">IFERROR(INDEX('PORTIFÓLIO'!$H$4:$H$433,MATCH($C329,'PORTIFÓLIO'!$C$4:$C$433,0)),"")</f>
        <v/>
      </c>
      <c r="I329" s="256"/>
      <c r="J329" s="218">
        <f t="shared" si="37"/>
        <v>0</v>
      </c>
      <c r="K329" s="292" t="str">
        <f t="array" ref="K329">IFERROR(I329*INDEX('PORTIFÓLIO'!$S$4:$S$433,MATCH($C329,'PORTIFÓLIO'!$C$4:$C$433,0)),"")</f>
        <v/>
      </c>
      <c r="L329" s="292" t="str">
        <f t="array" ref="L329">IFERROR(J329*INDEX('PORTIFÓLIO'!$S$4:$S$433,MATCH($C329,'PORTIFÓLIO'!$C$4:$C$433,0)),"")</f>
        <v/>
      </c>
      <c r="M329" s="220"/>
      <c r="N329" s="220"/>
      <c r="O329" s="220"/>
      <c r="P329" s="220"/>
      <c r="Q329" s="220"/>
      <c r="R329" s="220"/>
      <c r="S329" s="220"/>
      <c r="T329" s="220"/>
      <c r="U329" s="220"/>
      <c r="V329" s="220"/>
      <c r="W329" s="220"/>
    </row>
    <row r="330" ht="15.75" customHeight="1" outlineLevel="1">
      <c r="A330" s="211"/>
      <c r="B330" s="212"/>
      <c r="C330" s="213"/>
      <c r="D330" s="214" t="str">
        <f>IFERROR(VLOOKUP($C330,'PORTIFÓLIO'!C:V,2,0),"")</f>
        <v/>
      </c>
      <c r="E330" s="211" t="str">
        <f>IFERROR(VLOOKUP($C330,'PORTIFÓLIO'!C:V,3,0),"")</f>
        <v/>
      </c>
      <c r="F330" s="211" t="str">
        <f>IFERROR(VLOOKUP($C330,'PORTIFÓLIO'!C:V,4,0),"")</f>
        <v/>
      </c>
      <c r="G330" s="215" t="str">
        <f>IFERROR(VLOOKUP($C330,'PORTIFÓLIO'!C:V,5,0),"")</f>
        <v/>
      </c>
      <c r="H330" s="254" t="str">
        <f t="array" ref="H330">IFERROR(INDEX('PORTIFÓLIO'!$H$4:$H$433,MATCH($C330,'PORTIFÓLIO'!$C$4:$C$433,0)),"")</f>
        <v/>
      </c>
      <c r="I330" s="256"/>
      <c r="J330" s="218">
        <f t="shared" si="37"/>
        <v>0</v>
      </c>
      <c r="K330" s="292" t="str">
        <f t="array" ref="K330">IFERROR(I330*INDEX('PORTIFÓLIO'!$S$4:$S$433,MATCH($C330,'PORTIFÓLIO'!$C$4:$C$433,0)),"")</f>
        <v/>
      </c>
      <c r="L330" s="292" t="str">
        <f t="array" ref="L330">IFERROR(J330*INDEX('PORTIFÓLIO'!$S$4:$S$433,MATCH($C330,'PORTIFÓLIO'!$C$4:$C$433,0)),"")</f>
        <v/>
      </c>
      <c r="M330" s="220"/>
      <c r="N330" s="220"/>
      <c r="O330" s="220"/>
      <c r="P330" s="220"/>
      <c r="Q330" s="220"/>
      <c r="R330" s="220"/>
      <c r="S330" s="220"/>
      <c r="T330" s="220"/>
      <c r="U330" s="220"/>
      <c r="V330" s="220"/>
      <c r="W330" s="220"/>
    </row>
    <row r="331" ht="15.75" customHeight="1" outlineLevel="1">
      <c r="A331" s="211"/>
      <c r="B331" s="212"/>
      <c r="C331" s="213"/>
      <c r="D331" s="214" t="str">
        <f>IFERROR(VLOOKUP($C331,'PORTIFÓLIO'!C:V,2,0),"")</f>
        <v/>
      </c>
      <c r="E331" s="211" t="str">
        <f>IFERROR(VLOOKUP($C331,'PORTIFÓLIO'!C:V,3,0),"")</f>
        <v/>
      </c>
      <c r="F331" s="211" t="str">
        <f>IFERROR(VLOOKUP($C331,'PORTIFÓLIO'!C:V,4,0),"")</f>
        <v/>
      </c>
      <c r="G331" s="215" t="str">
        <f>IFERROR(VLOOKUP($C331,'PORTIFÓLIO'!C:V,5,0),"")</f>
        <v/>
      </c>
      <c r="H331" s="254" t="str">
        <f t="array" ref="H331">IFERROR(INDEX('PORTIFÓLIO'!$H$4:$H$433,MATCH($C331,'PORTIFÓLIO'!$C$4:$C$433,0)),"")</f>
        <v/>
      </c>
      <c r="I331" s="256"/>
      <c r="J331" s="218">
        <f t="shared" si="37"/>
        <v>0</v>
      </c>
      <c r="K331" s="292" t="str">
        <f t="array" ref="K331">IFERROR(I331*INDEX('PORTIFÓLIO'!$S$4:$S$433,MATCH($C331,'PORTIFÓLIO'!$C$4:$C$433,0)),"")</f>
        <v/>
      </c>
      <c r="L331" s="292" t="str">
        <f t="array" ref="L331">IFERROR(J331*INDEX('PORTIFÓLIO'!$S$4:$S$433,MATCH($C331,'PORTIFÓLIO'!$C$4:$C$433,0)),"")</f>
        <v/>
      </c>
      <c r="M331" s="220"/>
      <c r="N331" s="220"/>
      <c r="O331" s="220"/>
      <c r="P331" s="220"/>
      <c r="Q331" s="220"/>
      <c r="R331" s="220"/>
      <c r="S331" s="220"/>
      <c r="T331" s="220"/>
      <c r="U331" s="220"/>
      <c r="V331" s="220"/>
      <c r="W331" s="220"/>
    </row>
    <row r="332" ht="15.75" customHeight="1" outlineLevel="1">
      <c r="A332" s="211"/>
      <c r="B332" s="212"/>
      <c r="C332" s="213"/>
      <c r="D332" s="214" t="str">
        <f>IFERROR(VLOOKUP($C332,'PORTIFÓLIO'!C:V,2,0),"")</f>
        <v/>
      </c>
      <c r="E332" s="211" t="str">
        <f>IFERROR(VLOOKUP($C332,'PORTIFÓLIO'!C:V,3,0),"")</f>
        <v/>
      </c>
      <c r="F332" s="211" t="str">
        <f>IFERROR(VLOOKUP($C332,'PORTIFÓLIO'!C:V,4,0),"")</f>
        <v/>
      </c>
      <c r="G332" s="215" t="str">
        <f>IFERROR(VLOOKUP($C332,'PORTIFÓLIO'!C:V,5,0),"")</f>
        <v/>
      </c>
      <c r="H332" s="254" t="str">
        <f t="array" ref="H332">IFERROR(INDEX('PORTIFÓLIO'!$H$4:$H$433,MATCH($C332,'PORTIFÓLIO'!$C$4:$C$433,0)),"")</f>
        <v/>
      </c>
      <c r="I332" s="256"/>
      <c r="J332" s="218">
        <f t="shared" si="37"/>
        <v>0</v>
      </c>
      <c r="K332" s="292" t="str">
        <f t="array" ref="K332">IFERROR(I332*INDEX('PORTIFÓLIO'!$S$4:$S$433,MATCH($C332,'PORTIFÓLIO'!$C$4:$C$433,0)),"")</f>
        <v/>
      </c>
      <c r="L332" s="292" t="str">
        <f t="array" ref="L332">IFERROR(J332*INDEX('PORTIFÓLIO'!$S$4:$S$433,MATCH($C332,'PORTIFÓLIO'!$C$4:$C$433,0)),"")</f>
        <v/>
      </c>
      <c r="M332" s="220"/>
      <c r="N332" s="220"/>
      <c r="O332" s="220"/>
      <c r="P332" s="220"/>
      <c r="Q332" s="220"/>
      <c r="R332" s="220"/>
      <c r="S332" s="220"/>
      <c r="T332" s="220"/>
      <c r="U332" s="220"/>
      <c r="V332" s="220"/>
      <c r="W332" s="220"/>
    </row>
    <row r="333" ht="15.75" customHeight="1" outlineLevel="1">
      <c r="A333" s="211"/>
      <c r="B333" s="212"/>
      <c r="C333" s="213"/>
      <c r="D333" s="214" t="str">
        <f>IFERROR(VLOOKUP($C333,'PORTIFÓLIO'!C:V,2,0),"")</f>
        <v/>
      </c>
      <c r="E333" s="211" t="str">
        <f>IFERROR(VLOOKUP($C333,'PORTIFÓLIO'!C:V,3,0),"")</f>
        <v/>
      </c>
      <c r="F333" s="211" t="str">
        <f>IFERROR(VLOOKUP($C333,'PORTIFÓLIO'!C:V,4,0),"")</f>
        <v/>
      </c>
      <c r="G333" s="215" t="str">
        <f>IFERROR(VLOOKUP($C333,'PORTIFÓLIO'!C:V,5,0),"")</f>
        <v/>
      </c>
      <c r="H333" s="254" t="str">
        <f t="array" ref="H333">IFERROR(INDEX('PORTIFÓLIO'!$H$4:$H$433,MATCH($C333,'PORTIFÓLIO'!$C$4:$C$433,0)),"")</f>
        <v/>
      </c>
      <c r="I333" s="255"/>
      <c r="J333" s="218">
        <f t="shared" si="37"/>
        <v>0</v>
      </c>
      <c r="K333" s="292" t="str">
        <f t="array" ref="K333">IFERROR(I333*INDEX('PORTIFÓLIO'!$S$4:$S$433,MATCH($C333,'PORTIFÓLIO'!$C$4:$C$433,0)),"")</f>
        <v/>
      </c>
      <c r="L333" s="292" t="str">
        <f t="array" ref="L333">IFERROR(J333*INDEX('PORTIFÓLIO'!$S$4:$S$433,MATCH($C333,'PORTIFÓLIO'!$C$4:$C$433,0)),"")</f>
        <v/>
      </c>
      <c r="M333" s="220"/>
      <c r="N333" s="220"/>
      <c r="O333" s="220"/>
      <c r="P333" s="220"/>
      <c r="Q333" s="220"/>
      <c r="R333" s="220"/>
      <c r="S333" s="220"/>
      <c r="T333" s="220"/>
      <c r="U333" s="220"/>
      <c r="V333" s="220"/>
      <c r="W333" s="220"/>
    </row>
    <row r="334" ht="15.75" customHeight="1" outlineLevel="1">
      <c r="A334" s="211"/>
      <c r="B334" s="212"/>
      <c r="C334" s="213"/>
      <c r="D334" s="214" t="str">
        <f>IFERROR(VLOOKUP($C334,'PORTIFÓLIO'!C:V,2,0),"")</f>
        <v/>
      </c>
      <c r="E334" s="211" t="str">
        <f>IFERROR(VLOOKUP($C334,'PORTIFÓLIO'!C:V,3,0),"")</f>
        <v/>
      </c>
      <c r="F334" s="211" t="str">
        <f>IFERROR(VLOOKUP($C334,'PORTIFÓLIO'!C:V,4,0),"")</f>
        <v/>
      </c>
      <c r="G334" s="215" t="str">
        <f>IFERROR(VLOOKUP($C334,'PORTIFÓLIO'!C:V,5,0),"")</f>
        <v/>
      </c>
      <c r="H334" s="254" t="str">
        <f t="array" ref="H334">IFERROR(INDEX('PORTIFÓLIO'!$H$4:$H$433,MATCH($C334,'PORTIFÓLIO'!$C$4:$C$433,0)),"")</f>
        <v/>
      </c>
      <c r="I334" s="256"/>
      <c r="J334" s="218">
        <f t="shared" si="37"/>
        <v>0</v>
      </c>
      <c r="K334" s="292" t="str">
        <f t="array" ref="K334">IFERROR(I334*INDEX('PORTIFÓLIO'!$S$4:$S$433,MATCH($C334,'PORTIFÓLIO'!$C$4:$C$433,0)),"")</f>
        <v/>
      </c>
      <c r="L334" s="292" t="str">
        <f t="array" ref="L334">IFERROR(J334*INDEX('PORTIFÓLIO'!$S$4:$S$433,MATCH($C334,'PORTIFÓLIO'!$C$4:$C$433,0)),"")</f>
        <v/>
      </c>
      <c r="M334" s="220"/>
      <c r="N334" s="220"/>
      <c r="O334" s="220"/>
      <c r="P334" s="220"/>
      <c r="Q334" s="220"/>
      <c r="R334" s="220"/>
      <c r="S334" s="220"/>
      <c r="T334" s="220"/>
      <c r="U334" s="220"/>
      <c r="V334" s="220"/>
      <c r="W334" s="220"/>
    </row>
    <row r="335" ht="15.75" customHeight="1" outlineLevel="1">
      <c r="A335" s="211"/>
      <c r="B335" s="212"/>
      <c r="C335" s="213"/>
      <c r="D335" s="214" t="str">
        <f>IFERROR(VLOOKUP($C335,'PORTIFÓLIO'!C:V,2,0),"")</f>
        <v/>
      </c>
      <c r="E335" s="211" t="str">
        <f>IFERROR(VLOOKUP($C335,'PORTIFÓLIO'!C:V,3,0),"")</f>
        <v/>
      </c>
      <c r="F335" s="211" t="str">
        <f>IFERROR(VLOOKUP($C335,'PORTIFÓLIO'!C:V,4,0),"")</f>
        <v/>
      </c>
      <c r="G335" s="215" t="str">
        <f>IFERROR(VLOOKUP($C335,'PORTIFÓLIO'!C:V,5,0),"")</f>
        <v/>
      </c>
      <c r="H335" s="254" t="str">
        <f t="array" ref="H335">IFERROR(INDEX('PORTIFÓLIO'!$H$4:$H$433,MATCH($C335,'PORTIFÓLIO'!$C$4:$C$433,0)),"")</f>
        <v/>
      </c>
      <c r="I335" s="256"/>
      <c r="J335" s="218">
        <f t="shared" si="37"/>
        <v>0</v>
      </c>
      <c r="K335" s="292" t="str">
        <f t="array" ref="K335">IFERROR(I335*INDEX('PORTIFÓLIO'!$S$4:$S$433,MATCH($C335,'PORTIFÓLIO'!$C$4:$C$433,0)),"")</f>
        <v/>
      </c>
      <c r="L335" s="292" t="str">
        <f t="array" ref="L335">IFERROR(J335*INDEX('PORTIFÓLIO'!$S$4:$S$433,MATCH($C335,'PORTIFÓLIO'!$C$4:$C$433,0)),"")</f>
        <v/>
      </c>
      <c r="M335" s="220"/>
      <c r="N335" s="220"/>
      <c r="O335" s="220"/>
      <c r="P335" s="220"/>
      <c r="Q335" s="220"/>
      <c r="R335" s="220"/>
      <c r="S335" s="220"/>
      <c r="T335" s="220"/>
      <c r="U335" s="220"/>
      <c r="V335" s="220"/>
      <c r="W335" s="220"/>
    </row>
    <row r="336" ht="15.75" customHeight="1" outlineLevel="1">
      <c r="A336" s="211"/>
      <c r="B336" s="212"/>
      <c r="C336" s="213"/>
      <c r="D336" s="214" t="str">
        <f>IFERROR(VLOOKUP($C336,'PORTIFÓLIO'!C:V,2,0),"")</f>
        <v/>
      </c>
      <c r="E336" s="211" t="str">
        <f>IFERROR(VLOOKUP($C336,'PORTIFÓLIO'!C:V,3,0),"")</f>
        <v/>
      </c>
      <c r="F336" s="211" t="str">
        <f>IFERROR(VLOOKUP($C336,'PORTIFÓLIO'!C:V,4,0),"")</f>
        <v/>
      </c>
      <c r="G336" s="215" t="str">
        <f>IFERROR(VLOOKUP($C336,'PORTIFÓLIO'!C:V,5,0),"")</f>
        <v/>
      </c>
      <c r="H336" s="254" t="str">
        <f t="array" ref="H336">IFERROR(INDEX('PORTIFÓLIO'!$H$4:$H$433,MATCH($C336,'PORTIFÓLIO'!$C$4:$C$433,0)),"")</f>
        <v/>
      </c>
      <c r="I336" s="256"/>
      <c r="J336" s="218">
        <f t="shared" si="37"/>
        <v>0</v>
      </c>
      <c r="K336" s="292" t="str">
        <f t="array" ref="K336">IFERROR(I336*INDEX('PORTIFÓLIO'!$S$4:$S$433,MATCH($C336,'PORTIFÓLIO'!$C$4:$C$433,0)),"")</f>
        <v/>
      </c>
      <c r="L336" s="292" t="str">
        <f t="array" ref="L336">IFERROR(J336*INDEX('PORTIFÓLIO'!$S$4:$S$433,MATCH($C336,'PORTIFÓLIO'!$C$4:$C$433,0)),"")</f>
        <v/>
      </c>
      <c r="M336" s="220"/>
      <c r="N336" s="220"/>
      <c r="O336" s="220"/>
      <c r="P336" s="220"/>
      <c r="Q336" s="220"/>
      <c r="R336" s="220"/>
      <c r="S336" s="220"/>
      <c r="T336" s="220"/>
      <c r="U336" s="220"/>
      <c r="V336" s="220"/>
      <c r="W336" s="220"/>
    </row>
    <row r="337" ht="15.75" customHeight="1" outlineLevel="1">
      <c r="A337" s="211"/>
      <c r="B337" s="212"/>
      <c r="C337" s="213"/>
      <c r="D337" s="214" t="str">
        <f>IFERROR(VLOOKUP($C337,'PORTIFÓLIO'!C:V,2,0),"")</f>
        <v/>
      </c>
      <c r="E337" s="211" t="str">
        <f>IFERROR(VLOOKUP($C337,'PORTIFÓLIO'!C:V,3,0),"")</f>
        <v/>
      </c>
      <c r="F337" s="211" t="str">
        <f>IFERROR(VLOOKUP($C337,'PORTIFÓLIO'!C:V,4,0),"")</f>
        <v/>
      </c>
      <c r="G337" s="215" t="str">
        <f>IFERROR(VLOOKUP($C337,'PORTIFÓLIO'!C:V,5,0),"")</f>
        <v/>
      </c>
      <c r="H337" s="254" t="str">
        <f t="array" ref="H337">IFERROR(INDEX('PORTIFÓLIO'!$H$4:$H$433,MATCH($C337,'PORTIFÓLIO'!$C$4:$C$433,0)),"")</f>
        <v/>
      </c>
      <c r="I337" s="256"/>
      <c r="J337" s="218">
        <f t="shared" si="37"/>
        <v>0</v>
      </c>
      <c r="K337" s="292" t="str">
        <f t="array" ref="K337">IFERROR(I337*INDEX('PORTIFÓLIO'!$S$4:$S$433,MATCH($C337,'PORTIFÓLIO'!$C$4:$C$433,0)),"")</f>
        <v/>
      </c>
      <c r="L337" s="292" t="str">
        <f t="array" ref="L337">IFERROR(J337*INDEX('PORTIFÓLIO'!$S$4:$S$433,MATCH($C337,'PORTIFÓLIO'!$C$4:$C$433,0)),"")</f>
        <v/>
      </c>
      <c r="M337" s="220"/>
      <c r="N337" s="220"/>
      <c r="O337" s="220"/>
      <c r="P337" s="220"/>
      <c r="Q337" s="220"/>
      <c r="R337" s="220"/>
      <c r="S337" s="220"/>
      <c r="T337" s="220"/>
      <c r="U337" s="220"/>
      <c r="V337" s="220"/>
      <c r="W337" s="220"/>
    </row>
    <row r="338" ht="15.75" customHeight="1" outlineLevel="1">
      <c r="A338" s="211"/>
      <c r="B338" s="212"/>
      <c r="C338" s="213"/>
      <c r="D338" s="214" t="str">
        <f>IFERROR(VLOOKUP($C338,'PORTIFÓLIO'!C:V,2,0),"")</f>
        <v/>
      </c>
      <c r="E338" s="211" t="str">
        <f>IFERROR(VLOOKUP($C338,'PORTIFÓLIO'!C:V,3,0),"")</f>
        <v/>
      </c>
      <c r="F338" s="211" t="str">
        <f>IFERROR(VLOOKUP($C338,'PORTIFÓLIO'!C:V,4,0),"")</f>
        <v/>
      </c>
      <c r="G338" s="215" t="str">
        <f>IFERROR(VLOOKUP($C338,'PORTIFÓLIO'!C:V,5,0),"")</f>
        <v/>
      </c>
      <c r="H338" s="254" t="str">
        <f t="array" ref="H338">IFERROR(INDEX('PORTIFÓLIO'!$H$4:$H$433,MATCH($C338,'PORTIFÓLIO'!$C$4:$C$433,0)),"")</f>
        <v/>
      </c>
      <c r="I338" s="256"/>
      <c r="J338" s="218">
        <f t="shared" si="37"/>
        <v>0</v>
      </c>
      <c r="K338" s="292" t="str">
        <f t="array" ref="K338">IFERROR(I338*INDEX('PORTIFÓLIO'!$S$4:$S$433,MATCH($C338,'PORTIFÓLIO'!$C$4:$C$433,0)),"")</f>
        <v/>
      </c>
      <c r="L338" s="292" t="str">
        <f t="array" ref="L338">IFERROR(J338*INDEX('PORTIFÓLIO'!$S$4:$S$433,MATCH($C338,'PORTIFÓLIO'!$C$4:$C$433,0)),"")</f>
        <v/>
      </c>
      <c r="M338" s="220"/>
      <c r="N338" s="220"/>
      <c r="O338" s="220"/>
      <c r="P338" s="220"/>
      <c r="Q338" s="220"/>
      <c r="R338" s="220"/>
      <c r="S338" s="220"/>
      <c r="T338" s="220"/>
      <c r="U338" s="220"/>
      <c r="V338" s="220"/>
      <c r="W338" s="220"/>
    </row>
    <row r="339" ht="15.75" customHeight="1" outlineLevel="1">
      <c r="A339" s="211"/>
      <c r="B339" s="212"/>
      <c r="C339" s="213"/>
      <c r="D339" s="214" t="str">
        <f>IFERROR(VLOOKUP($C339,'PORTIFÓLIO'!C:V,2,0),"")</f>
        <v/>
      </c>
      <c r="E339" s="211" t="str">
        <f>IFERROR(VLOOKUP($C339,'PORTIFÓLIO'!C:V,3,0),"")</f>
        <v/>
      </c>
      <c r="F339" s="211" t="str">
        <f>IFERROR(VLOOKUP($C339,'PORTIFÓLIO'!C:V,4,0),"")</f>
        <v/>
      </c>
      <c r="G339" s="215" t="str">
        <f>IFERROR(VLOOKUP($C339,'PORTIFÓLIO'!C:V,5,0),"")</f>
        <v/>
      </c>
      <c r="H339" s="254" t="str">
        <f t="array" ref="H339">IFERROR(INDEX('PORTIFÓLIO'!$H$4:$H$433,MATCH($C339,'PORTIFÓLIO'!$C$4:$C$433,0)),"")</f>
        <v/>
      </c>
      <c r="I339" s="256"/>
      <c r="J339" s="218">
        <f t="shared" si="37"/>
        <v>0</v>
      </c>
      <c r="K339" s="292" t="str">
        <f t="array" ref="K339">IFERROR(I339*INDEX('PORTIFÓLIO'!$S$4:$S$433,MATCH($C339,'PORTIFÓLIO'!$C$4:$C$433,0)),"")</f>
        <v/>
      </c>
      <c r="L339" s="292" t="str">
        <f t="array" ref="L339">IFERROR(J339*INDEX('PORTIFÓLIO'!$S$4:$S$433,MATCH($C339,'PORTIFÓLIO'!$C$4:$C$433,0)),"")</f>
        <v/>
      </c>
      <c r="M339" s="220"/>
      <c r="N339" s="220"/>
      <c r="O339" s="220"/>
      <c r="P339" s="220"/>
      <c r="Q339" s="220"/>
      <c r="R339" s="220"/>
      <c r="S339" s="220"/>
      <c r="T339" s="220"/>
      <c r="U339" s="220"/>
      <c r="V339" s="220"/>
      <c r="W339" s="220"/>
    </row>
    <row r="340" ht="15.75" customHeight="1" outlineLevel="1">
      <c r="A340" s="211"/>
      <c r="B340" s="227"/>
      <c r="C340" s="211"/>
      <c r="D340" s="214" t="str">
        <f>IFERROR(VLOOKUP($C340,'PORTIFÓLIO'!C:V,2,0),"")</f>
        <v/>
      </c>
      <c r="E340" s="211" t="str">
        <f>IFERROR(VLOOKUP($C340,'PORTIFÓLIO'!C:V,3,0),"")</f>
        <v/>
      </c>
      <c r="F340" s="211" t="str">
        <f>IFERROR(VLOOKUP($C340,'PORTIFÓLIO'!C:V,4,0),"")</f>
        <v/>
      </c>
      <c r="G340" s="215" t="str">
        <f>IFERROR(VLOOKUP($C340,'PORTIFÓLIO'!C:V,5,0),"")</f>
        <v/>
      </c>
      <c r="H340" s="254" t="str">
        <f t="array" ref="H340">IFERROR(INDEX('PORTIFÓLIO'!$H$4:$H$433,MATCH($C340,'PORTIFÓLIO'!$C$4:$C$433,0)),"")</f>
        <v/>
      </c>
      <c r="I340" s="256"/>
      <c r="J340" s="218"/>
      <c r="K340" s="292" t="str">
        <f t="array" ref="K340">IFERROR(I340*INDEX('PORTIFÓLIO'!$S$4:$S$433,MATCH($C340,'PORTIFÓLIO'!$C$4:$C$433,0)),"")</f>
        <v/>
      </c>
      <c r="L340" s="292" t="str">
        <f t="array" ref="L340">IFERROR(J340*INDEX('PORTIFÓLIO'!$S$4:$S$433,MATCH($C340,'PORTIFÓLIO'!$C$4:$C$433,0)),"")</f>
        <v/>
      </c>
      <c r="M340" s="220"/>
      <c r="N340" s="220"/>
      <c r="O340" s="220"/>
      <c r="P340" s="220"/>
      <c r="Q340" s="220"/>
      <c r="R340" s="220"/>
      <c r="S340" s="220"/>
      <c r="T340" s="220"/>
      <c r="U340" s="220"/>
      <c r="V340" s="220"/>
      <c r="W340" s="220"/>
    </row>
    <row r="341" ht="15.75" customHeight="1">
      <c r="A341" s="229" t="s">
        <v>1190</v>
      </c>
      <c r="B341" s="230"/>
      <c r="C341" s="231"/>
      <c r="D341" s="232"/>
      <c r="E341" s="231"/>
      <c r="F341" s="231"/>
      <c r="G341" s="233"/>
      <c r="H341" s="233"/>
      <c r="I341" s="258"/>
      <c r="J341" s="236"/>
      <c r="K341" s="237">
        <f t="shared" ref="K341:L341" si="38">SUBTOTAL(9,K342:K355)</f>
        <v>0</v>
      </c>
      <c r="L341" s="237">
        <f t="shared" si="38"/>
        <v>0</v>
      </c>
      <c r="M341" s="220"/>
      <c r="N341" s="220"/>
      <c r="O341" s="220"/>
      <c r="P341" s="220"/>
      <c r="Q341" s="220"/>
      <c r="R341" s="220"/>
      <c r="S341" s="220"/>
      <c r="T341" s="220"/>
      <c r="U341" s="220"/>
      <c r="V341" s="220"/>
      <c r="W341" s="220"/>
    </row>
    <row r="342" ht="15.75" customHeight="1" outlineLevel="1">
      <c r="A342" s="213"/>
      <c r="B342" s="212"/>
      <c r="C342" s="213"/>
      <c r="D342" s="214" t="str">
        <f>IFERROR(VLOOKUP($C342,'PORTIFÓLIO'!C:V,2,0),"")</f>
        <v/>
      </c>
      <c r="E342" s="211" t="str">
        <f>IFERROR(VLOOKUP($C342,'PORTIFÓLIO'!C:V,3,0),"")</f>
        <v/>
      </c>
      <c r="F342" s="211" t="str">
        <f>IFERROR(VLOOKUP($C342,'PORTIFÓLIO'!C:V,4,0),"")</f>
        <v/>
      </c>
      <c r="G342" s="215" t="str">
        <f>IFERROR(VLOOKUP($C342,'PORTIFÓLIO'!C:V,5,0),"")</f>
        <v/>
      </c>
      <c r="H342" s="254" t="str">
        <f t="array" ref="H342">IFERROR(INDEX('PORTIFÓLIO'!$H$4:$H$433,MATCH($C342,'PORTIFÓLIO'!$C$4:$C$433,0)),"")</f>
        <v/>
      </c>
      <c r="I342" s="255"/>
      <c r="J342" s="218">
        <f t="shared" ref="J342:J356" si="39">I342*$B$2</f>
        <v>0</v>
      </c>
      <c r="K342" s="292" t="str">
        <f t="array" ref="K342">IFERROR(I342*INDEX('PORTIFÓLIO'!$S$4:$S$433,MATCH($C342,'PORTIFÓLIO'!$C$4:$C$433,0)),"")</f>
        <v/>
      </c>
      <c r="L342" s="292" t="str">
        <f t="array" ref="L342">IFERROR(J342*INDEX('PORTIFÓLIO'!$S$4:$S$433,MATCH($C342,'PORTIFÓLIO'!$C$4:$C$433,0)),"")</f>
        <v/>
      </c>
      <c r="M342" s="220"/>
      <c r="N342" s="220"/>
      <c r="O342" s="220"/>
      <c r="P342" s="220"/>
      <c r="Q342" s="220"/>
      <c r="R342" s="220"/>
      <c r="S342" s="220"/>
      <c r="T342" s="220"/>
      <c r="U342" s="220"/>
      <c r="V342" s="220"/>
      <c r="W342" s="220"/>
    </row>
    <row r="343" ht="15.75" customHeight="1" outlineLevel="1">
      <c r="A343" s="211"/>
      <c r="B343" s="212"/>
      <c r="C343" s="213"/>
      <c r="D343" s="214" t="str">
        <f>IFERROR(VLOOKUP($C343,'PORTIFÓLIO'!C:V,2,0),"")</f>
        <v/>
      </c>
      <c r="E343" s="211" t="str">
        <f>IFERROR(VLOOKUP($C343,'PORTIFÓLIO'!C:V,3,0),"")</f>
        <v/>
      </c>
      <c r="F343" s="211" t="str">
        <f>IFERROR(VLOOKUP($C343,'PORTIFÓLIO'!C:V,4,0),"")</f>
        <v/>
      </c>
      <c r="G343" s="215" t="str">
        <f>IFERROR(VLOOKUP($C343,'PORTIFÓLIO'!C:V,5,0),"")</f>
        <v/>
      </c>
      <c r="H343" s="254" t="str">
        <f t="array" ref="H343">IFERROR(INDEX('PORTIFÓLIO'!$H$4:$H$433,MATCH($C343,'PORTIFÓLIO'!$C$4:$C$433,0)),"")</f>
        <v/>
      </c>
      <c r="I343" s="256"/>
      <c r="J343" s="218">
        <f t="shared" si="39"/>
        <v>0</v>
      </c>
      <c r="K343" s="292" t="str">
        <f t="array" ref="K343">IFERROR(I343*INDEX('PORTIFÓLIO'!$S$4:$S$433,MATCH($C343,'PORTIFÓLIO'!$C$4:$C$433,0)),"")</f>
        <v/>
      </c>
      <c r="L343" s="292" t="str">
        <f t="array" ref="L343">IFERROR(J343*INDEX('PORTIFÓLIO'!$S$4:$S$433,MATCH($C343,'PORTIFÓLIO'!$C$4:$C$433,0)),"")</f>
        <v/>
      </c>
      <c r="M343" s="220"/>
      <c r="N343" s="220"/>
      <c r="O343" s="220"/>
      <c r="P343" s="220"/>
      <c r="Q343" s="220"/>
      <c r="R343" s="220"/>
      <c r="S343" s="220"/>
      <c r="T343" s="220"/>
      <c r="U343" s="220"/>
      <c r="V343" s="220"/>
      <c r="W343" s="220"/>
    </row>
    <row r="344" ht="15.75" customHeight="1" outlineLevel="1">
      <c r="A344" s="211"/>
      <c r="B344" s="212"/>
      <c r="C344" s="213"/>
      <c r="D344" s="214" t="str">
        <f>IFERROR(VLOOKUP($C344,'PORTIFÓLIO'!C:V,2,0),"")</f>
        <v/>
      </c>
      <c r="E344" s="211" t="str">
        <f>IFERROR(VLOOKUP($C344,'PORTIFÓLIO'!C:V,3,0),"")</f>
        <v/>
      </c>
      <c r="F344" s="211" t="str">
        <f>IFERROR(VLOOKUP($C344,'PORTIFÓLIO'!C:V,4,0),"")</f>
        <v/>
      </c>
      <c r="G344" s="215" t="str">
        <f>IFERROR(VLOOKUP($C344,'PORTIFÓLIO'!C:V,5,0),"")</f>
        <v/>
      </c>
      <c r="H344" s="254" t="str">
        <f t="array" ref="H344">IFERROR(INDEX('PORTIFÓLIO'!$H$4:$H$433,MATCH($C344,'PORTIFÓLIO'!$C$4:$C$433,0)),"")</f>
        <v/>
      </c>
      <c r="I344" s="256"/>
      <c r="J344" s="218">
        <f t="shared" si="39"/>
        <v>0</v>
      </c>
      <c r="K344" s="292" t="str">
        <f t="array" ref="K344">IFERROR(I344*INDEX('PORTIFÓLIO'!$S$4:$S$433,MATCH($C344,'PORTIFÓLIO'!$C$4:$C$433,0)),"")</f>
        <v/>
      </c>
      <c r="L344" s="292" t="str">
        <f t="array" ref="L344">IFERROR(J344*INDEX('PORTIFÓLIO'!$S$4:$S$433,MATCH($C344,'PORTIFÓLIO'!$C$4:$C$433,0)),"")</f>
        <v/>
      </c>
      <c r="M344" s="220"/>
      <c r="N344" s="220"/>
      <c r="O344" s="220"/>
      <c r="P344" s="220"/>
      <c r="Q344" s="220"/>
      <c r="R344" s="220"/>
      <c r="S344" s="220"/>
      <c r="T344" s="220"/>
      <c r="U344" s="220"/>
      <c r="V344" s="220"/>
      <c r="W344" s="220"/>
    </row>
    <row r="345" ht="15.75" customHeight="1" outlineLevel="1">
      <c r="A345" s="211"/>
      <c r="B345" s="212"/>
      <c r="C345" s="213"/>
      <c r="D345" s="214" t="str">
        <f>IFERROR(VLOOKUP($C345,'PORTIFÓLIO'!C:V,2,0),"")</f>
        <v/>
      </c>
      <c r="E345" s="211" t="str">
        <f>IFERROR(VLOOKUP($C345,'PORTIFÓLIO'!C:V,3,0),"")</f>
        <v/>
      </c>
      <c r="F345" s="211" t="str">
        <f>IFERROR(VLOOKUP($C345,'PORTIFÓLIO'!C:V,4,0),"")</f>
        <v/>
      </c>
      <c r="G345" s="215" t="str">
        <f>IFERROR(VLOOKUP($C345,'PORTIFÓLIO'!C:V,5,0),"")</f>
        <v/>
      </c>
      <c r="H345" s="254" t="str">
        <f t="array" ref="H345">IFERROR(INDEX('PORTIFÓLIO'!$H$4:$H$433,MATCH($C345,'PORTIFÓLIO'!$C$4:$C$433,0)),"")</f>
        <v/>
      </c>
      <c r="I345" s="256"/>
      <c r="J345" s="218">
        <f t="shared" si="39"/>
        <v>0</v>
      </c>
      <c r="K345" s="292" t="str">
        <f t="array" ref="K345">IFERROR(I345*INDEX('PORTIFÓLIO'!$S$4:$S$433,MATCH($C345,'PORTIFÓLIO'!$C$4:$C$433,0)),"")</f>
        <v/>
      </c>
      <c r="L345" s="292" t="str">
        <f t="array" ref="L345">IFERROR(J345*INDEX('PORTIFÓLIO'!$S$4:$S$433,MATCH($C345,'PORTIFÓLIO'!$C$4:$C$433,0)),"")</f>
        <v/>
      </c>
      <c r="M345" s="220"/>
      <c r="N345" s="220"/>
      <c r="O345" s="220"/>
      <c r="P345" s="220"/>
      <c r="Q345" s="220"/>
      <c r="R345" s="220"/>
      <c r="S345" s="220"/>
      <c r="T345" s="220"/>
      <c r="U345" s="220"/>
      <c r="V345" s="220"/>
      <c r="W345" s="220"/>
    </row>
    <row r="346" ht="15.75" customHeight="1" outlineLevel="1">
      <c r="A346" s="211"/>
      <c r="B346" s="212"/>
      <c r="C346" s="213"/>
      <c r="D346" s="214" t="str">
        <f>IFERROR(VLOOKUP($C346,'PORTIFÓLIO'!C:V,2,0),"")</f>
        <v/>
      </c>
      <c r="E346" s="211" t="str">
        <f>IFERROR(VLOOKUP($C346,'PORTIFÓLIO'!C:V,3,0),"")</f>
        <v/>
      </c>
      <c r="F346" s="211" t="str">
        <f>IFERROR(VLOOKUP($C346,'PORTIFÓLIO'!C:V,4,0),"")</f>
        <v/>
      </c>
      <c r="G346" s="215" t="str">
        <f>IFERROR(VLOOKUP($C346,'PORTIFÓLIO'!C:V,5,0),"")</f>
        <v/>
      </c>
      <c r="H346" s="254" t="str">
        <f t="array" ref="H346">IFERROR(INDEX('PORTIFÓLIO'!$H$4:$H$433,MATCH($C346,'PORTIFÓLIO'!$C$4:$C$433,0)),"")</f>
        <v/>
      </c>
      <c r="I346" s="256"/>
      <c r="J346" s="218">
        <f t="shared" si="39"/>
        <v>0</v>
      </c>
      <c r="K346" s="292" t="str">
        <f t="array" ref="K346">IFERROR(I346*INDEX('PORTIFÓLIO'!$S$4:$S$433,MATCH($C346,'PORTIFÓLIO'!$C$4:$C$433,0)),"")</f>
        <v/>
      </c>
      <c r="L346" s="292" t="str">
        <f t="array" ref="L346">IFERROR(J346*INDEX('PORTIFÓLIO'!$S$4:$S$433,MATCH($C346,'PORTIFÓLIO'!$C$4:$C$433,0)),"")</f>
        <v/>
      </c>
      <c r="M346" s="220"/>
      <c r="N346" s="220"/>
      <c r="O346" s="220"/>
      <c r="P346" s="220"/>
      <c r="Q346" s="220"/>
      <c r="R346" s="220"/>
      <c r="S346" s="220"/>
      <c r="T346" s="220"/>
      <c r="U346" s="220"/>
      <c r="V346" s="220"/>
      <c r="W346" s="220"/>
    </row>
    <row r="347" ht="15.75" customHeight="1" outlineLevel="1">
      <c r="A347" s="211"/>
      <c r="B347" s="212"/>
      <c r="C347" s="213"/>
      <c r="D347" s="214" t="str">
        <f>IFERROR(VLOOKUP($C347,'PORTIFÓLIO'!C:V,2,0),"")</f>
        <v/>
      </c>
      <c r="E347" s="211" t="str">
        <f>IFERROR(VLOOKUP($C347,'PORTIFÓLIO'!C:V,3,0),"")</f>
        <v/>
      </c>
      <c r="F347" s="211" t="str">
        <f>IFERROR(VLOOKUP($C347,'PORTIFÓLIO'!C:V,4,0),"")</f>
        <v/>
      </c>
      <c r="G347" s="215" t="str">
        <f>IFERROR(VLOOKUP($C347,'PORTIFÓLIO'!C:V,5,0),"")</f>
        <v/>
      </c>
      <c r="H347" s="254" t="str">
        <f t="array" ref="H347">IFERROR(INDEX('PORTIFÓLIO'!$H$4:$H$433,MATCH($C347,'PORTIFÓLIO'!$C$4:$C$433,0)),"")</f>
        <v/>
      </c>
      <c r="I347" s="256"/>
      <c r="J347" s="218">
        <f t="shared" si="39"/>
        <v>0</v>
      </c>
      <c r="K347" s="292" t="str">
        <f t="array" ref="K347">IFERROR(I347*INDEX('PORTIFÓLIO'!$S$4:$S$433,MATCH($C347,'PORTIFÓLIO'!$C$4:$C$433,0)),"")</f>
        <v/>
      </c>
      <c r="L347" s="292" t="str">
        <f t="array" ref="L347">IFERROR(J347*INDEX('PORTIFÓLIO'!$S$4:$S$433,MATCH($C347,'PORTIFÓLIO'!$C$4:$C$433,0)),"")</f>
        <v/>
      </c>
      <c r="M347" s="220"/>
      <c r="N347" s="220"/>
      <c r="O347" s="220"/>
      <c r="P347" s="220"/>
      <c r="Q347" s="220"/>
      <c r="R347" s="220"/>
      <c r="S347" s="220"/>
      <c r="T347" s="220"/>
      <c r="U347" s="220"/>
      <c r="V347" s="220"/>
      <c r="W347" s="220"/>
    </row>
    <row r="348" ht="15.75" customHeight="1" outlineLevel="1">
      <c r="A348" s="211"/>
      <c r="B348" s="212"/>
      <c r="C348" s="213"/>
      <c r="D348" s="214" t="str">
        <f>IFERROR(VLOOKUP($C348,'PORTIFÓLIO'!C:V,2,0),"")</f>
        <v/>
      </c>
      <c r="E348" s="211" t="str">
        <f>IFERROR(VLOOKUP($C348,'PORTIFÓLIO'!C:V,3,0),"")</f>
        <v/>
      </c>
      <c r="F348" s="211" t="str">
        <f>IFERROR(VLOOKUP($C348,'PORTIFÓLIO'!C:V,4,0),"")</f>
        <v/>
      </c>
      <c r="G348" s="215" t="str">
        <f>IFERROR(VLOOKUP($C348,'PORTIFÓLIO'!C:V,5,0),"")</f>
        <v/>
      </c>
      <c r="H348" s="254" t="str">
        <f t="array" ref="H348">IFERROR(INDEX('PORTIFÓLIO'!$H$4:$H$433,MATCH($C348,'PORTIFÓLIO'!$C$4:$C$433,0)),"")</f>
        <v/>
      </c>
      <c r="I348" s="256"/>
      <c r="J348" s="218">
        <f t="shared" si="39"/>
        <v>0</v>
      </c>
      <c r="K348" s="292" t="str">
        <f t="array" ref="K348">IFERROR(I348*INDEX('PORTIFÓLIO'!$S$4:$S$433,MATCH($C348,'PORTIFÓLIO'!$C$4:$C$433,0)),"")</f>
        <v/>
      </c>
      <c r="L348" s="292" t="str">
        <f t="array" ref="L348">IFERROR(J348*INDEX('PORTIFÓLIO'!$S$4:$S$433,MATCH($C348,'PORTIFÓLIO'!$C$4:$C$433,0)),"")</f>
        <v/>
      </c>
      <c r="M348" s="220"/>
      <c r="N348" s="220"/>
      <c r="O348" s="220"/>
      <c r="P348" s="220"/>
      <c r="Q348" s="220"/>
      <c r="R348" s="220"/>
      <c r="S348" s="220"/>
      <c r="T348" s="220"/>
      <c r="U348" s="220"/>
      <c r="V348" s="220"/>
      <c r="W348" s="220"/>
    </row>
    <row r="349" ht="15.75" customHeight="1" outlineLevel="1">
      <c r="A349" s="211"/>
      <c r="B349" s="212"/>
      <c r="C349" s="213"/>
      <c r="D349" s="214" t="str">
        <f>IFERROR(VLOOKUP($C349,'PORTIFÓLIO'!C:V,2,0),"")</f>
        <v/>
      </c>
      <c r="E349" s="211" t="str">
        <f>IFERROR(VLOOKUP($C349,'PORTIFÓLIO'!C:V,3,0),"")</f>
        <v/>
      </c>
      <c r="F349" s="211" t="str">
        <f>IFERROR(VLOOKUP($C349,'PORTIFÓLIO'!C:V,4,0),"")</f>
        <v/>
      </c>
      <c r="G349" s="215" t="str">
        <f>IFERROR(VLOOKUP($C349,'PORTIFÓLIO'!C:V,5,0),"")</f>
        <v/>
      </c>
      <c r="H349" s="254" t="str">
        <f t="array" ref="H349">IFERROR(INDEX('PORTIFÓLIO'!$H$4:$H$433,MATCH($C349,'PORTIFÓLIO'!$C$4:$C$433,0)),"")</f>
        <v/>
      </c>
      <c r="I349" s="256"/>
      <c r="J349" s="218">
        <f t="shared" si="39"/>
        <v>0</v>
      </c>
      <c r="K349" s="292" t="str">
        <f t="array" ref="K349">IFERROR(I349*INDEX('PORTIFÓLIO'!$S$4:$S$433,MATCH($C349,'PORTIFÓLIO'!$C$4:$C$433,0)),"")</f>
        <v/>
      </c>
      <c r="L349" s="292" t="str">
        <f t="array" ref="L349">IFERROR(J349*INDEX('PORTIFÓLIO'!$S$4:$S$433,MATCH($C349,'PORTIFÓLIO'!$C$4:$C$433,0)),"")</f>
        <v/>
      </c>
      <c r="M349" s="220"/>
      <c r="N349" s="220"/>
      <c r="O349" s="220"/>
      <c r="P349" s="220"/>
      <c r="Q349" s="220"/>
      <c r="R349" s="220"/>
      <c r="S349" s="220"/>
      <c r="T349" s="220"/>
      <c r="U349" s="220"/>
      <c r="V349" s="220"/>
      <c r="W349" s="220"/>
    </row>
    <row r="350" ht="15.75" customHeight="1" outlineLevel="1">
      <c r="A350" s="211"/>
      <c r="B350" s="212"/>
      <c r="C350" s="213"/>
      <c r="D350" s="214" t="str">
        <f>IFERROR(VLOOKUP($C350,'PORTIFÓLIO'!C:V,2,0),"")</f>
        <v/>
      </c>
      <c r="E350" s="211" t="str">
        <f>IFERROR(VLOOKUP($C350,'PORTIFÓLIO'!C:V,3,0),"")</f>
        <v/>
      </c>
      <c r="F350" s="211" t="str">
        <f>IFERROR(VLOOKUP($C350,'PORTIFÓLIO'!C:V,4,0),"")</f>
        <v/>
      </c>
      <c r="G350" s="215" t="str">
        <f>IFERROR(VLOOKUP($C350,'PORTIFÓLIO'!C:V,5,0),"")</f>
        <v/>
      </c>
      <c r="H350" s="254" t="str">
        <f t="array" ref="H350">IFERROR(INDEX('PORTIFÓLIO'!$H$4:$H$433,MATCH($C350,'PORTIFÓLIO'!$C$4:$C$433,0)),"")</f>
        <v/>
      </c>
      <c r="I350" s="255"/>
      <c r="J350" s="218">
        <f t="shared" si="39"/>
        <v>0</v>
      </c>
      <c r="K350" s="292" t="str">
        <f t="array" ref="K350">IFERROR(I350*INDEX('PORTIFÓLIO'!$S$4:$S$433,MATCH($C350,'PORTIFÓLIO'!$C$4:$C$433,0)),"")</f>
        <v/>
      </c>
      <c r="L350" s="292" t="str">
        <f t="array" ref="L350">IFERROR(J350*INDEX('PORTIFÓLIO'!$S$4:$S$433,MATCH($C350,'PORTIFÓLIO'!$C$4:$C$433,0)),"")</f>
        <v/>
      </c>
      <c r="M350" s="220"/>
      <c r="N350" s="220"/>
      <c r="O350" s="220"/>
      <c r="P350" s="220"/>
      <c r="Q350" s="220"/>
      <c r="R350" s="220"/>
      <c r="S350" s="220"/>
      <c r="T350" s="220"/>
      <c r="U350" s="220"/>
      <c r="V350" s="220"/>
      <c r="W350" s="220"/>
    </row>
    <row r="351" ht="15.75" customHeight="1" outlineLevel="1">
      <c r="A351" s="211"/>
      <c r="B351" s="212"/>
      <c r="C351" s="213"/>
      <c r="D351" s="214" t="str">
        <f>IFERROR(VLOOKUP($C351,'PORTIFÓLIO'!C:V,2,0),"")</f>
        <v/>
      </c>
      <c r="E351" s="211" t="str">
        <f>IFERROR(VLOOKUP($C351,'PORTIFÓLIO'!C:V,3,0),"")</f>
        <v/>
      </c>
      <c r="F351" s="211" t="str">
        <f>IFERROR(VLOOKUP($C351,'PORTIFÓLIO'!C:V,4,0),"")</f>
        <v/>
      </c>
      <c r="G351" s="215" t="str">
        <f>IFERROR(VLOOKUP($C351,'PORTIFÓLIO'!C:V,5,0),"")</f>
        <v/>
      </c>
      <c r="H351" s="254" t="str">
        <f t="array" ref="H351">IFERROR(INDEX('PORTIFÓLIO'!$H$4:$H$433,MATCH($C351,'PORTIFÓLIO'!$C$4:$C$433,0)),"")</f>
        <v/>
      </c>
      <c r="I351" s="256"/>
      <c r="J351" s="218">
        <f t="shared" si="39"/>
        <v>0</v>
      </c>
      <c r="K351" s="292" t="str">
        <f t="array" ref="K351">IFERROR(I351*INDEX('PORTIFÓLIO'!$S$4:$S$433,MATCH($C351,'PORTIFÓLIO'!$C$4:$C$433,0)),"")</f>
        <v/>
      </c>
      <c r="L351" s="292" t="str">
        <f t="array" ref="L351">IFERROR(J351*INDEX('PORTIFÓLIO'!$S$4:$S$433,MATCH($C351,'PORTIFÓLIO'!$C$4:$C$433,0)),"")</f>
        <v/>
      </c>
      <c r="M351" s="220"/>
      <c r="N351" s="220"/>
      <c r="O351" s="220"/>
      <c r="P351" s="220"/>
      <c r="Q351" s="220"/>
      <c r="R351" s="220"/>
      <c r="S351" s="220"/>
      <c r="T351" s="220"/>
      <c r="U351" s="220"/>
      <c r="V351" s="220"/>
      <c r="W351" s="220"/>
    </row>
    <row r="352" ht="15.75" customHeight="1" outlineLevel="1">
      <c r="A352" s="211"/>
      <c r="B352" s="212"/>
      <c r="C352" s="213"/>
      <c r="D352" s="214" t="str">
        <f>IFERROR(VLOOKUP($C352,'PORTIFÓLIO'!C:V,2,0),"")</f>
        <v/>
      </c>
      <c r="E352" s="211" t="str">
        <f>IFERROR(VLOOKUP($C352,'PORTIFÓLIO'!C:V,3,0),"")</f>
        <v/>
      </c>
      <c r="F352" s="211" t="str">
        <f>IFERROR(VLOOKUP($C352,'PORTIFÓLIO'!C:V,4,0),"")</f>
        <v/>
      </c>
      <c r="G352" s="215" t="str">
        <f>IFERROR(VLOOKUP($C352,'PORTIFÓLIO'!C:V,5,0),"")</f>
        <v/>
      </c>
      <c r="H352" s="254" t="str">
        <f t="array" ref="H352">IFERROR(INDEX('PORTIFÓLIO'!$H$4:$H$433,MATCH($C352,'PORTIFÓLIO'!$C$4:$C$433,0)),"")</f>
        <v/>
      </c>
      <c r="I352" s="256"/>
      <c r="J352" s="218">
        <f t="shared" si="39"/>
        <v>0</v>
      </c>
      <c r="K352" s="292" t="str">
        <f t="array" ref="K352">IFERROR(I352*INDEX('PORTIFÓLIO'!$S$4:$S$433,MATCH($C352,'PORTIFÓLIO'!$C$4:$C$433,0)),"")</f>
        <v/>
      </c>
      <c r="L352" s="292" t="str">
        <f t="array" ref="L352">IFERROR(J352*INDEX('PORTIFÓLIO'!$S$4:$S$433,MATCH($C352,'PORTIFÓLIO'!$C$4:$C$433,0)),"")</f>
        <v/>
      </c>
      <c r="M352" s="220"/>
      <c r="N352" s="220"/>
      <c r="O352" s="220"/>
      <c r="P352" s="220"/>
      <c r="Q352" s="220"/>
      <c r="R352" s="220"/>
      <c r="S352" s="220"/>
      <c r="T352" s="220"/>
      <c r="U352" s="220"/>
      <c r="V352" s="220"/>
      <c r="W352" s="220"/>
    </row>
    <row r="353" ht="15.75" customHeight="1" outlineLevel="1">
      <c r="A353" s="211"/>
      <c r="B353" s="212"/>
      <c r="C353" s="213"/>
      <c r="D353" s="214" t="str">
        <f>IFERROR(VLOOKUP($C353,'PORTIFÓLIO'!C:V,2,0),"")</f>
        <v/>
      </c>
      <c r="E353" s="211" t="str">
        <f>IFERROR(VLOOKUP($C353,'PORTIFÓLIO'!C:V,3,0),"")</f>
        <v/>
      </c>
      <c r="F353" s="211" t="str">
        <f>IFERROR(VLOOKUP($C353,'PORTIFÓLIO'!C:V,4,0),"")</f>
        <v/>
      </c>
      <c r="G353" s="215" t="str">
        <f>IFERROR(VLOOKUP($C353,'PORTIFÓLIO'!C:V,5,0),"")</f>
        <v/>
      </c>
      <c r="H353" s="254" t="str">
        <f t="array" ref="H353">IFERROR(INDEX('PORTIFÓLIO'!$H$4:$H$433,MATCH($C353,'PORTIFÓLIO'!$C$4:$C$433,0)),"")</f>
        <v/>
      </c>
      <c r="I353" s="256"/>
      <c r="J353" s="218">
        <f t="shared" si="39"/>
        <v>0</v>
      </c>
      <c r="K353" s="292" t="str">
        <f t="array" ref="K353">IFERROR(I353*INDEX('PORTIFÓLIO'!$S$4:$S$433,MATCH($C353,'PORTIFÓLIO'!$C$4:$C$433,0)),"")</f>
        <v/>
      </c>
      <c r="L353" s="292" t="str">
        <f t="array" ref="L353">IFERROR(J353*INDEX('PORTIFÓLIO'!$S$4:$S$433,MATCH($C353,'PORTIFÓLIO'!$C$4:$C$433,0)),"")</f>
        <v/>
      </c>
      <c r="M353" s="220"/>
      <c r="N353" s="220"/>
      <c r="O353" s="220"/>
      <c r="P353" s="220"/>
      <c r="Q353" s="220"/>
      <c r="R353" s="220"/>
      <c r="S353" s="220"/>
      <c r="T353" s="220"/>
      <c r="U353" s="220"/>
      <c r="V353" s="220"/>
      <c r="W353" s="220"/>
    </row>
    <row r="354" ht="15.75" customHeight="1" outlineLevel="1">
      <c r="A354" s="211"/>
      <c r="B354" s="212"/>
      <c r="C354" s="213"/>
      <c r="D354" s="214" t="str">
        <f>IFERROR(VLOOKUP($C354,'PORTIFÓLIO'!C:V,2,0),"")</f>
        <v/>
      </c>
      <c r="E354" s="211" t="str">
        <f>IFERROR(VLOOKUP($C354,'PORTIFÓLIO'!C:V,3,0),"")</f>
        <v/>
      </c>
      <c r="F354" s="211" t="str">
        <f>IFERROR(VLOOKUP($C354,'PORTIFÓLIO'!C:V,4,0),"")</f>
        <v/>
      </c>
      <c r="G354" s="215" t="str">
        <f>IFERROR(VLOOKUP($C354,'PORTIFÓLIO'!C:V,5,0),"")</f>
        <v/>
      </c>
      <c r="H354" s="254" t="str">
        <f t="array" ref="H354">IFERROR(INDEX('PORTIFÓLIO'!$H$4:$H$433,MATCH($C354,'PORTIFÓLIO'!$C$4:$C$433,0)),"")</f>
        <v/>
      </c>
      <c r="I354" s="256"/>
      <c r="J354" s="218">
        <f t="shared" si="39"/>
        <v>0</v>
      </c>
      <c r="K354" s="292" t="str">
        <f t="array" ref="K354">IFERROR(I354*INDEX('PORTIFÓLIO'!$S$4:$S$433,MATCH($C354,'PORTIFÓLIO'!$C$4:$C$433,0)),"")</f>
        <v/>
      </c>
      <c r="L354" s="292" t="str">
        <f t="array" ref="L354">IFERROR(J354*INDEX('PORTIFÓLIO'!$S$4:$S$433,MATCH($C354,'PORTIFÓLIO'!$C$4:$C$433,0)),"")</f>
        <v/>
      </c>
      <c r="M354" s="220"/>
      <c r="N354" s="220"/>
      <c r="O354" s="220"/>
      <c r="P354" s="220"/>
      <c r="Q354" s="220"/>
      <c r="R354" s="220"/>
      <c r="S354" s="220"/>
      <c r="T354" s="220"/>
      <c r="U354" s="220"/>
      <c r="V354" s="220"/>
      <c r="W354" s="220"/>
    </row>
    <row r="355" ht="15.75" customHeight="1" outlineLevel="1">
      <c r="A355" s="211"/>
      <c r="B355" s="212"/>
      <c r="C355" s="213"/>
      <c r="D355" s="214" t="str">
        <f>IFERROR(VLOOKUP($C355,'PORTIFÓLIO'!C:V,2,0),"")</f>
        <v/>
      </c>
      <c r="E355" s="211" t="str">
        <f>IFERROR(VLOOKUP($C355,'PORTIFÓLIO'!C:V,3,0),"")</f>
        <v/>
      </c>
      <c r="F355" s="211" t="str">
        <f>IFERROR(VLOOKUP($C355,'PORTIFÓLIO'!C:V,4,0),"")</f>
        <v/>
      </c>
      <c r="G355" s="215" t="str">
        <f>IFERROR(VLOOKUP($C355,'PORTIFÓLIO'!C:V,5,0),"")</f>
        <v/>
      </c>
      <c r="H355" s="254" t="str">
        <f t="array" ref="H355">IFERROR(INDEX('PORTIFÓLIO'!$H$4:$H$433,MATCH($C355,'PORTIFÓLIO'!$C$4:$C$433,0)),"")</f>
        <v/>
      </c>
      <c r="I355" s="256"/>
      <c r="J355" s="218">
        <f t="shared" si="39"/>
        <v>0</v>
      </c>
      <c r="K355" s="292" t="str">
        <f t="array" ref="K355">IFERROR(I355*INDEX('PORTIFÓLIO'!$S$4:$S$433,MATCH($C355,'PORTIFÓLIO'!$C$4:$C$433,0)),"")</f>
        <v/>
      </c>
      <c r="L355" s="292" t="str">
        <f t="array" ref="L355">IFERROR(J355*INDEX('PORTIFÓLIO'!$S$4:$S$433,MATCH($C355,'PORTIFÓLIO'!$C$4:$C$433,0)),"")</f>
        <v/>
      </c>
      <c r="M355" s="220"/>
      <c r="N355" s="220"/>
      <c r="O355" s="220"/>
      <c r="P355" s="220"/>
      <c r="Q355" s="220"/>
      <c r="R355" s="220"/>
      <c r="S355" s="220"/>
      <c r="T355" s="220"/>
      <c r="U355" s="220"/>
      <c r="V355" s="220"/>
      <c r="W355" s="220"/>
    </row>
    <row r="356" ht="15.75" customHeight="1" outlineLevel="1">
      <c r="A356" s="211"/>
      <c r="B356" s="212"/>
      <c r="C356" s="213"/>
      <c r="D356" s="214" t="str">
        <f>IFERROR(VLOOKUP($C356,'PORTIFÓLIO'!C:V,2,0),"")</f>
        <v/>
      </c>
      <c r="E356" s="211" t="str">
        <f>IFERROR(VLOOKUP($C356,'PORTIFÓLIO'!C:V,3,0),"")</f>
        <v/>
      </c>
      <c r="F356" s="211" t="str">
        <f>IFERROR(VLOOKUP($C356,'PORTIFÓLIO'!C:V,4,0),"")</f>
        <v/>
      </c>
      <c r="G356" s="215" t="str">
        <f>IFERROR(VLOOKUP($C356,'PORTIFÓLIO'!C:V,5,0),"")</f>
        <v/>
      </c>
      <c r="H356" s="254" t="str">
        <f t="array" ref="H356">IFERROR(INDEX('PORTIFÓLIO'!$H$4:$H$433,MATCH($C356,'PORTIFÓLIO'!$C$4:$C$433,0)),"")</f>
        <v/>
      </c>
      <c r="I356" s="256"/>
      <c r="J356" s="218">
        <f t="shared" si="39"/>
        <v>0</v>
      </c>
      <c r="K356" s="292" t="str">
        <f t="array" ref="K356">IFERROR(I356*INDEX('PORTIFÓLIO'!$S$4:$S$433,MATCH($C356,'PORTIFÓLIO'!$C$4:$C$433,0)),"")</f>
        <v/>
      </c>
      <c r="L356" s="292" t="str">
        <f t="array" ref="L356">IFERROR(J356*INDEX('PORTIFÓLIO'!$S$4:$S$433,MATCH($C356,'PORTIFÓLIO'!$C$4:$C$433,0)),"")</f>
        <v/>
      </c>
      <c r="M356" s="220"/>
      <c r="N356" s="220"/>
      <c r="O356" s="220"/>
      <c r="P356" s="220"/>
      <c r="Q356" s="220"/>
      <c r="R356" s="220"/>
      <c r="S356" s="220"/>
      <c r="T356" s="220"/>
      <c r="U356" s="220"/>
      <c r="V356" s="220"/>
      <c r="W356" s="220"/>
    </row>
    <row r="357" ht="15.75" customHeight="1" outlineLevel="1">
      <c r="A357" s="211"/>
      <c r="B357" s="227"/>
      <c r="C357" s="211"/>
      <c r="D357" s="214" t="str">
        <f>IFERROR(VLOOKUP($C357,'PORTIFÓLIO'!C:V,2,0),"")</f>
        <v/>
      </c>
      <c r="E357" s="211" t="str">
        <f>IFERROR(VLOOKUP($C357,'PORTIFÓLIO'!C:V,3,0),"")</f>
        <v/>
      </c>
      <c r="F357" s="211" t="str">
        <f>IFERROR(VLOOKUP($C357,'PORTIFÓLIO'!C:V,4,0),"")</f>
        <v/>
      </c>
      <c r="G357" s="215" t="str">
        <f>IFERROR(VLOOKUP($C357,'PORTIFÓLIO'!C:V,5,0),"")</f>
        <v/>
      </c>
      <c r="H357" s="254" t="str">
        <f t="array" ref="H357">IFERROR(INDEX('PORTIFÓLIO'!$H$4:$H$433,MATCH($C357,'PORTIFÓLIO'!$C$4:$C$433,0)),"")</f>
        <v/>
      </c>
      <c r="I357" s="256"/>
      <c r="J357" s="218"/>
      <c r="K357" s="292" t="str">
        <f t="array" ref="K357">IFERROR(I357*INDEX('PORTIFÓLIO'!$S$4:$S$433,MATCH($C357,'PORTIFÓLIO'!$C$4:$C$433,0)),"")</f>
        <v/>
      </c>
      <c r="L357" s="292" t="str">
        <f t="array" ref="L357">IFERROR(J357*INDEX('PORTIFÓLIO'!$S$4:$S$433,MATCH($C357,'PORTIFÓLIO'!$C$4:$C$433,0)),"")</f>
        <v/>
      </c>
      <c r="M357" s="220"/>
      <c r="N357" s="220"/>
      <c r="O357" s="220"/>
      <c r="P357" s="220"/>
      <c r="Q357" s="220"/>
      <c r="R357" s="220"/>
      <c r="S357" s="220"/>
      <c r="T357" s="220"/>
      <c r="U357" s="220"/>
      <c r="V357" s="220"/>
      <c r="W357" s="220"/>
    </row>
    <row r="358" ht="15.75" customHeight="1">
      <c r="A358" s="229" t="s">
        <v>1191</v>
      </c>
      <c r="B358" s="230"/>
      <c r="C358" s="231"/>
      <c r="D358" s="232"/>
      <c r="E358" s="231"/>
      <c r="F358" s="231"/>
      <c r="G358" s="233"/>
      <c r="H358" s="233"/>
      <c r="I358" s="258"/>
      <c r="J358" s="236"/>
      <c r="K358" s="237">
        <f t="shared" ref="K358:L358" si="40">SUBTOTAL(9,K359:K372)</f>
        <v>0</v>
      </c>
      <c r="L358" s="237">
        <f t="shared" si="40"/>
        <v>0</v>
      </c>
      <c r="M358" s="220"/>
      <c r="N358" s="220"/>
      <c r="O358" s="220"/>
      <c r="P358" s="220"/>
      <c r="Q358" s="220"/>
      <c r="R358" s="220"/>
      <c r="S358" s="220"/>
      <c r="T358" s="220"/>
      <c r="U358" s="220"/>
      <c r="V358" s="220"/>
      <c r="W358" s="220"/>
    </row>
    <row r="359" ht="15.75" customHeight="1" outlineLevel="1">
      <c r="A359" s="213"/>
      <c r="B359" s="212"/>
      <c r="C359" s="213"/>
      <c r="D359" s="214" t="str">
        <f>IFERROR(VLOOKUP($C359,'PORTIFÓLIO'!C:V,2,0),"")</f>
        <v/>
      </c>
      <c r="E359" s="211" t="str">
        <f>IFERROR(VLOOKUP($C359,'PORTIFÓLIO'!C:V,3,0),"")</f>
        <v/>
      </c>
      <c r="F359" s="211" t="str">
        <f>IFERROR(VLOOKUP($C359,'PORTIFÓLIO'!C:V,4,0),"")</f>
        <v/>
      </c>
      <c r="G359" s="215" t="str">
        <f>IFERROR(VLOOKUP($C359,'PORTIFÓLIO'!C:V,5,0),"")</f>
        <v/>
      </c>
      <c r="H359" s="254" t="str">
        <f t="array" ref="H359">IFERROR(INDEX('PORTIFÓLIO'!$H$4:$H$433,MATCH($C359,'PORTIFÓLIO'!$C$4:$C$433,0)),"")</f>
        <v/>
      </c>
      <c r="I359" s="255"/>
      <c r="J359" s="218">
        <f t="shared" ref="J359:J373" si="41">I359*$B$2</f>
        <v>0</v>
      </c>
      <c r="K359" s="292" t="str">
        <f t="array" ref="K359">IFERROR(I359*INDEX('PORTIFÓLIO'!$S$4:$S$433,MATCH($C359,'PORTIFÓLIO'!$C$4:$C$433,0)),"")</f>
        <v/>
      </c>
      <c r="L359" s="292" t="str">
        <f t="array" ref="L359">IFERROR(J359*INDEX('PORTIFÓLIO'!$S$4:$S$433,MATCH($C359,'PORTIFÓLIO'!$C$4:$C$433,0)),"")</f>
        <v/>
      </c>
      <c r="M359" s="220"/>
      <c r="N359" s="220"/>
      <c r="O359" s="220"/>
      <c r="P359" s="220"/>
      <c r="Q359" s="220"/>
      <c r="R359" s="220"/>
      <c r="S359" s="220"/>
      <c r="T359" s="220"/>
      <c r="U359" s="220"/>
      <c r="V359" s="220"/>
      <c r="W359" s="220"/>
    </row>
    <row r="360" ht="15.75" customHeight="1" outlineLevel="1">
      <c r="A360" s="211"/>
      <c r="B360" s="212"/>
      <c r="C360" s="213"/>
      <c r="D360" s="214" t="str">
        <f>IFERROR(VLOOKUP($C360,'PORTIFÓLIO'!C:V,2,0),"")</f>
        <v/>
      </c>
      <c r="E360" s="211" t="str">
        <f>IFERROR(VLOOKUP($C360,'PORTIFÓLIO'!C:V,3,0),"")</f>
        <v/>
      </c>
      <c r="F360" s="211" t="str">
        <f>IFERROR(VLOOKUP($C360,'PORTIFÓLIO'!C:V,4,0),"")</f>
        <v/>
      </c>
      <c r="G360" s="215" t="str">
        <f>IFERROR(VLOOKUP($C360,'PORTIFÓLIO'!C:V,5,0),"")</f>
        <v/>
      </c>
      <c r="H360" s="254" t="str">
        <f t="array" ref="H360">IFERROR(INDEX('PORTIFÓLIO'!$H$4:$H$433,MATCH($C360,'PORTIFÓLIO'!$C$4:$C$433,0)),"")</f>
        <v/>
      </c>
      <c r="I360" s="256"/>
      <c r="J360" s="218">
        <f t="shared" si="41"/>
        <v>0</v>
      </c>
      <c r="K360" s="292" t="str">
        <f t="array" ref="K360">IFERROR(I360*INDEX('PORTIFÓLIO'!$S$4:$S$433,MATCH($C360,'PORTIFÓLIO'!$C$4:$C$433,0)),"")</f>
        <v/>
      </c>
      <c r="L360" s="292" t="str">
        <f t="array" ref="L360">IFERROR(J360*INDEX('PORTIFÓLIO'!$S$4:$S$433,MATCH($C360,'PORTIFÓLIO'!$C$4:$C$433,0)),"")</f>
        <v/>
      </c>
      <c r="M360" s="220"/>
      <c r="N360" s="220"/>
      <c r="O360" s="220"/>
      <c r="P360" s="220"/>
      <c r="Q360" s="220"/>
      <c r="R360" s="220"/>
      <c r="S360" s="220"/>
      <c r="T360" s="220"/>
      <c r="U360" s="220"/>
      <c r="V360" s="220"/>
      <c r="W360" s="220"/>
    </row>
    <row r="361" ht="15.75" customHeight="1" outlineLevel="1">
      <c r="A361" s="211"/>
      <c r="B361" s="212"/>
      <c r="C361" s="213"/>
      <c r="D361" s="214" t="str">
        <f>IFERROR(VLOOKUP($C361,'PORTIFÓLIO'!C:V,2,0),"")</f>
        <v/>
      </c>
      <c r="E361" s="211" t="str">
        <f>IFERROR(VLOOKUP($C361,'PORTIFÓLIO'!C:V,3,0),"")</f>
        <v/>
      </c>
      <c r="F361" s="211" t="str">
        <f>IFERROR(VLOOKUP($C361,'PORTIFÓLIO'!C:V,4,0),"")</f>
        <v/>
      </c>
      <c r="G361" s="215" t="str">
        <f>IFERROR(VLOOKUP($C361,'PORTIFÓLIO'!C:V,5,0),"")</f>
        <v/>
      </c>
      <c r="H361" s="254" t="str">
        <f t="array" ref="H361">IFERROR(INDEX('PORTIFÓLIO'!$H$4:$H$433,MATCH($C361,'PORTIFÓLIO'!$C$4:$C$433,0)),"")</f>
        <v/>
      </c>
      <c r="I361" s="256"/>
      <c r="J361" s="218">
        <f t="shared" si="41"/>
        <v>0</v>
      </c>
      <c r="K361" s="292" t="str">
        <f t="array" ref="K361">IFERROR(I361*INDEX('PORTIFÓLIO'!$S$4:$S$433,MATCH($C361,'PORTIFÓLIO'!$C$4:$C$433,0)),"")</f>
        <v/>
      </c>
      <c r="L361" s="292" t="str">
        <f t="array" ref="L361">IFERROR(J361*INDEX('PORTIFÓLIO'!$S$4:$S$433,MATCH($C361,'PORTIFÓLIO'!$C$4:$C$433,0)),"")</f>
        <v/>
      </c>
      <c r="M361" s="220"/>
      <c r="N361" s="220"/>
      <c r="O361" s="220"/>
      <c r="P361" s="220"/>
      <c r="Q361" s="220"/>
      <c r="R361" s="220"/>
      <c r="S361" s="220"/>
      <c r="T361" s="220"/>
      <c r="U361" s="220"/>
      <c r="V361" s="220"/>
      <c r="W361" s="220"/>
    </row>
    <row r="362" ht="15.75" customHeight="1" outlineLevel="1">
      <c r="A362" s="211"/>
      <c r="B362" s="212"/>
      <c r="C362" s="213"/>
      <c r="D362" s="214" t="str">
        <f>IFERROR(VLOOKUP($C362,'PORTIFÓLIO'!C:V,2,0),"")</f>
        <v/>
      </c>
      <c r="E362" s="211" t="str">
        <f>IFERROR(VLOOKUP($C362,'PORTIFÓLIO'!C:V,3,0),"")</f>
        <v/>
      </c>
      <c r="F362" s="211" t="str">
        <f>IFERROR(VLOOKUP($C362,'PORTIFÓLIO'!C:V,4,0),"")</f>
        <v/>
      </c>
      <c r="G362" s="215" t="str">
        <f>IFERROR(VLOOKUP($C362,'PORTIFÓLIO'!C:V,5,0),"")</f>
        <v/>
      </c>
      <c r="H362" s="254" t="str">
        <f t="array" ref="H362">IFERROR(INDEX('PORTIFÓLIO'!$H$4:$H$433,MATCH($C362,'PORTIFÓLIO'!$C$4:$C$433,0)),"")</f>
        <v/>
      </c>
      <c r="I362" s="256"/>
      <c r="J362" s="218">
        <f t="shared" si="41"/>
        <v>0</v>
      </c>
      <c r="K362" s="292" t="str">
        <f t="array" ref="K362">IFERROR(I362*INDEX('PORTIFÓLIO'!$S$4:$S$433,MATCH($C362,'PORTIFÓLIO'!$C$4:$C$433,0)),"")</f>
        <v/>
      </c>
      <c r="L362" s="292" t="str">
        <f t="array" ref="L362">IFERROR(J362*INDEX('PORTIFÓLIO'!$S$4:$S$433,MATCH($C362,'PORTIFÓLIO'!$C$4:$C$433,0)),"")</f>
        <v/>
      </c>
      <c r="M362" s="220"/>
      <c r="N362" s="220"/>
      <c r="O362" s="220"/>
      <c r="P362" s="220"/>
      <c r="Q362" s="220"/>
      <c r="R362" s="220"/>
      <c r="S362" s="220"/>
      <c r="T362" s="220"/>
      <c r="U362" s="220"/>
      <c r="V362" s="220"/>
      <c r="W362" s="220"/>
    </row>
    <row r="363" ht="15.75" customHeight="1" outlineLevel="1">
      <c r="A363" s="211"/>
      <c r="B363" s="212"/>
      <c r="C363" s="213"/>
      <c r="D363" s="214" t="str">
        <f>IFERROR(VLOOKUP($C363,'PORTIFÓLIO'!C:V,2,0),"")</f>
        <v/>
      </c>
      <c r="E363" s="211" t="str">
        <f>IFERROR(VLOOKUP($C363,'PORTIFÓLIO'!C:V,3,0),"")</f>
        <v/>
      </c>
      <c r="F363" s="211" t="str">
        <f>IFERROR(VLOOKUP($C363,'PORTIFÓLIO'!C:V,4,0),"")</f>
        <v/>
      </c>
      <c r="G363" s="215" t="str">
        <f>IFERROR(VLOOKUP($C363,'PORTIFÓLIO'!C:V,5,0),"")</f>
        <v/>
      </c>
      <c r="H363" s="254" t="str">
        <f t="array" ref="H363">IFERROR(INDEX('PORTIFÓLIO'!$H$4:$H$433,MATCH($C363,'PORTIFÓLIO'!$C$4:$C$433,0)),"")</f>
        <v/>
      </c>
      <c r="I363" s="256"/>
      <c r="J363" s="218">
        <f t="shared" si="41"/>
        <v>0</v>
      </c>
      <c r="K363" s="292" t="str">
        <f t="array" ref="K363">IFERROR(I363*INDEX('PORTIFÓLIO'!$S$4:$S$433,MATCH($C363,'PORTIFÓLIO'!$C$4:$C$433,0)),"")</f>
        <v/>
      </c>
      <c r="L363" s="292" t="str">
        <f t="array" ref="L363">IFERROR(J363*INDEX('PORTIFÓLIO'!$S$4:$S$433,MATCH($C363,'PORTIFÓLIO'!$C$4:$C$433,0)),"")</f>
        <v/>
      </c>
      <c r="M363" s="220"/>
      <c r="N363" s="220"/>
      <c r="O363" s="220"/>
      <c r="P363" s="220"/>
      <c r="Q363" s="220"/>
      <c r="R363" s="220"/>
      <c r="S363" s="220"/>
      <c r="T363" s="220"/>
      <c r="U363" s="220"/>
      <c r="V363" s="220"/>
      <c r="W363" s="220"/>
    </row>
    <row r="364" ht="15.75" customHeight="1" outlineLevel="1">
      <c r="A364" s="211"/>
      <c r="B364" s="212"/>
      <c r="C364" s="213"/>
      <c r="D364" s="214" t="str">
        <f>IFERROR(VLOOKUP($C364,'PORTIFÓLIO'!C:V,2,0),"")</f>
        <v/>
      </c>
      <c r="E364" s="211" t="str">
        <f>IFERROR(VLOOKUP($C364,'PORTIFÓLIO'!C:V,3,0),"")</f>
        <v/>
      </c>
      <c r="F364" s="211" t="str">
        <f>IFERROR(VLOOKUP($C364,'PORTIFÓLIO'!C:V,4,0),"")</f>
        <v/>
      </c>
      <c r="G364" s="215" t="str">
        <f>IFERROR(VLOOKUP($C364,'PORTIFÓLIO'!C:V,5,0),"")</f>
        <v/>
      </c>
      <c r="H364" s="254" t="str">
        <f t="array" ref="H364">IFERROR(INDEX('PORTIFÓLIO'!$H$4:$H$433,MATCH($C364,'PORTIFÓLIO'!$C$4:$C$433,0)),"")</f>
        <v/>
      </c>
      <c r="I364" s="256"/>
      <c r="J364" s="218">
        <f t="shared" si="41"/>
        <v>0</v>
      </c>
      <c r="K364" s="292" t="str">
        <f t="array" ref="K364">IFERROR(I364*INDEX('PORTIFÓLIO'!$S$4:$S$433,MATCH($C364,'PORTIFÓLIO'!$C$4:$C$433,0)),"")</f>
        <v/>
      </c>
      <c r="L364" s="292" t="str">
        <f t="array" ref="L364">IFERROR(J364*INDEX('PORTIFÓLIO'!$S$4:$S$433,MATCH($C364,'PORTIFÓLIO'!$C$4:$C$433,0)),"")</f>
        <v/>
      </c>
      <c r="M364" s="220"/>
      <c r="N364" s="220"/>
      <c r="O364" s="220"/>
      <c r="P364" s="220"/>
      <c r="Q364" s="220"/>
      <c r="R364" s="220"/>
      <c r="S364" s="220"/>
      <c r="T364" s="220"/>
      <c r="U364" s="220"/>
      <c r="V364" s="220"/>
      <c r="W364" s="220"/>
    </row>
    <row r="365" ht="15.75" customHeight="1" outlineLevel="1">
      <c r="A365" s="211"/>
      <c r="B365" s="212"/>
      <c r="C365" s="213"/>
      <c r="D365" s="214" t="str">
        <f>IFERROR(VLOOKUP($C365,'PORTIFÓLIO'!C:V,2,0),"")</f>
        <v/>
      </c>
      <c r="E365" s="211" t="str">
        <f>IFERROR(VLOOKUP($C365,'PORTIFÓLIO'!C:V,3,0),"")</f>
        <v/>
      </c>
      <c r="F365" s="211" t="str">
        <f>IFERROR(VLOOKUP($C365,'PORTIFÓLIO'!C:V,4,0),"")</f>
        <v/>
      </c>
      <c r="G365" s="215" t="str">
        <f>IFERROR(VLOOKUP($C365,'PORTIFÓLIO'!C:V,5,0),"")</f>
        <v/>
      </c>
      <c r="H365" s="254" t="str">
        <f t="array" ref="H365">IFERROR(INDEX('PORTIFÓLIO'!$H$4:$H$433,MATCH($C365,'PORTIFÓLIO'!$C$4:$C$433,0)),"")</f>
        <v/>
      </c>
      <c r="I365" s="256"/>
      <c r="J365" s="218">
        <f t="shared" si="41"/>
        <v>0</v>
      </c>
      <c r="K365" s="292" t="str">
        <f t="array" ref="K365">IFERROR(I365*INDEX('PORTIFÓLIO'!$S$4:$S$433,MATCH($C365,'PORTIFÓLIO'!$C$4:$C$433,0)),"")</f>
        <v/>
      </c>
      <c r="L365" s="292" t="str">
        <f t="array" ref="L365">IFERROR(J365*INDEX('PORTIFÓLIO'!$S$4:$S$433,MATCH($C365,'PORTIFÓLIO'!$C$4:$C$433,0)),"")</f>
        <v/>
      </c>
      <c r="M365" s="220"/>
      <c r="N365" s="220"/>
      <c r="O365" s="220"/>
      <c r="P365" s="220"/>
      <c r="Q365" s="220"/>
      <c r="R365" s="220"/>
      <c r="S365" s="220"/>
      <c r="T365" s="220"/>
      <c r="U365" s="220"/>
      <c r="V365" s="220"/>
      <c r="W365" s="220"/>
    </row>
    <row r="366" ht="15.75" customHeight="1" outlineLevel="1">
      <c r="A366" s="211"/>
      <c r="B366" s="212"/>
      <c r="C366" s="213"/>
      <c r="D366" s="214" t="str">
        <f>IFERROR(VLOOKUP($C366,'PORTIFÓLIO'!C:V,2,0),"")</f>
        <v/>
      </c>
      <c r="E366" s="211" t="str">
        <f>IFERROR(VLOOKUP($C366,'PORTIFÓLIO'!C:V,3,0),"")</f>
        <v/>
      </c>
      <c r="F366" s="211" t="str">
        <f>IFERROR(VLOOKUP($C366,'PORTIFÓLIO'!C:V,4,0),"")</f>
        <v/>
      </c>
      <c r="G366" s="215" t="str">
        <f>IFERROR(VLOOKUP($C366,'PORTIFÓLIO'!C:V,5,0),"")</f>
        <v/>
      </c>
      <c r="H366" s="254" t="str">
        <f t="array" ref="H366">IFERROR(INDEX('PORTIFÓLIO'!$H$4:$H$433,MATCH($C366,'PORTIFÓLIO'!$C$4:$C$433,0)),"")</f>
        <v/>
      </c>
      <c r="I366" s="256"/>
      <c r="J366" s="218">
        <f t="shared" si="41"/>
        <v>0</v>
      </c>
      <c r="K366" s="292" t="str">
        <f t="array" ref="K366">IFERROR(I366*INDEX('PORTIFÓLIO'!$S$4:$S$433,MATCH($C366,'PORTIFÓLIO'!$C$4:$C$433,0)),"")</f>
        <v/>
      </c>
      <c r="L366" s="292" t="str">
        <f t="array" ref="L366">IFERROR(J366*INDEX('PORTIFÓLIO'!$S$4:$S$433,MATCH($C366,'PORTIFÓLIO'!$C$4:$C$433,0)),"")</f>
        <v/>
      </c>
      <c r="M366" s="220"/>
      <c r="N366" s="220"/>
      <c r="O366" s="220"/>
      <c r="P366" s="220"/>
      <c r="Q366" s="220"/>
      <c r="R366" s="220"/>
      <c r="S366" s="220"/>
      <c r="T366" s="220"/>
      <c r="U366" s="220"/>
      <c r="V366" s="220"/>
      <c r="W366" s="220"/>
    </row>
    <row r="367" ht="15.75" customHeight="1" outlineLevel="1">
      <c r="A367" s="211"/>
      <c r="B367" s="212"/>
      <c r="C367" s="213"/>
      <c r="D367" s="214" t="str">
        <f>IFERROR(VLOOKUP($C367,'PORTIFÓLIO'!C:V,2,0),"")</f>
        <v/>
      </c>
      <c r="E367" s="211" t="str">
        <f>IFERROR(VLOOKUP($C367,'PORTIFÓLIO'!C:V,3,0),"")</f>
        <v/>
      </c>
      <c r="F367" s="211" t="str">
        <f>IFERROR(VLOOKUP($C367,'PORTIFÓLIO'!C:V,4,0),"")</f>
        <v/>
      </c>
      <c r="G367" s="215" t="str">
        <f>IFERROR(VLOOKUP($C367,'PORTIFÓLIO'!C:V,5,0),"")</f>
        <v/>
      </c>
      <c r="H367" s="254" t="str">
        <f t="array" ref="H367">IFERROR(INDEX('PORTIFÓLIO'!$H$4:$H$433,MATCH($C367,'PORTIFÓLIO'!$C$4:$C$433,0)),"")</f>
        <v/>
      </c>
      <c r="I367" s="255"/>
      <c r="J367" s="218">
        <f t="shared" si="41"/>
        <v>0</v>
      </c>
      <c r="K367" s="292" t="str">
        <f t="array" ref="K367">IFERROR(I367*INDEX('PORTIFÓLIO'!$S$4:$S$433,MATCH($C367,'PORTIFÓLIO'!$C$4:$C$433,0)),"")</f>
        <v/>
      </c>
      <c r="L367" s="292" t="str">
        <f t="array" ref="L367">IFERROR(J367*INDEX('PORTIFÓLIO'!$S$4:$S$433,MATCH($C367,'PORTIFÓLIO'!$C$4:$C$433,0)),"")</f>
        <v/>
      </c>
      <c r="M367" s="220"/>
      <c r="N367" s="220"/>
      <c r="O367" s="220"/>
      <c r="P367" s="220"/>
      <c r="Q367" s="220"/>
      <c r="R367" s="220"/>
      <c r="S367" s="220"/>
      <c r="T367" s="220"/>
      <c r="U367" s="220"/>
      <c r="V367" s="220"/>
      <c r="W367" s="220"/>
    </row>
    <row r="368" ht="15.75" customHeight="1" outlineLevel="1">
      <c r="A368" s="211"/>
      <c r="B368" s="212"/>
      <c r="C368" s="213"/>
      <c r="D368" s="214" t="str">
        <f>IFERROR(VLOOKUP($C368,'PORTIFÓLIO'!C:V,2,0),"")</f>
        <v/>
      </c>
      <c r="E368" s="211" t="str">
        <f>IFERROR(VLOOKUP($C368,'PORTIFÓLIO'!C:V,3,0),"")</f>
        <v/>
      </c>
      <c r="F368" s="211" t="str">
        <f>IFERROR(VLOOKUP($C368,'PORTIFÓLIO'!C:V,4,0),"")</f>
        <v/>
      </c>
      <c r="G368" s="215" t="str">
        <f>IFERROR(VLOOKUP($C368,'PORTIFÓLIO'!C:V,5,0),"")</f>
        <v/>
      </c>
      <c r="H368" s="254" t="str">
        <f t="array" ref="H368">IFERROR(INDEX('PORTIFÓLIO'!$H$4:$H$433,MATCH($C368,'PORTIFÓLIO'!$C$4:$C$433,0)),"")</f>
        <v/>
      </c>
      <c r="I368" s="256"/>
      <c r="J368" s="218">
        <f t="shared" si="41"/>
        <v>0</v>
      </c>
      <c r="K368" s="292" t="str">
        <f t="array" ref="K368">IFERROR(I368*INDEX('PORTIFÓLIO'!$S$4:$S$433,MATCH($C368,'PORTIFÓLIO'!$C$4:$C$433,0)),"")</f>
        <v/>
      </c>
      <c r="L368" s="292" t="str">
        <f t="array" ref="L368">IFERROR(J368*INDEX('PORTIFÓLIO'!$S$4:$S$433,MATCH($C368,'PORTIFÓLIO'!$C$4:$C$433,0)),"")</f>
        <v/>
      </c>
      <c r="M368" s="220"/>
      <c r="N368" s="220"/>
      <c r="O368" s="220"/>
      <c r="P368" s="220"/>
      <c r="Q368" s="220"/>
      <c r="R368" s="220"/>
      <c r="S368" s="220"/>
      <c r="T368" s="220"/>
      <c r="U368" s="220"/>
      <c r="V368" s="220"/>
      <c r="W368" s="220"/>
    </row>
    <row r="369" ht="15.75" customHeight="1" outlineLevel="1">
      <c r="A369" s="211"/>
      <c r="B369" s="212"/>
      <c r="C369" s="213"/>
      <c r="D369" s="214" t="str">
        <f>IFERROR(VLOOKUP($C369,'PORTIFÓLIO'!C:V,2,0),"")</f>
        <v/>
      </c>
      <c r="E369" s="211" t="str">
        <f>IFERROR(VLOOKUP($C369,'PORTIFÓLIO'!C:V,3,0),"")</f>
        <v/>
      </c>
      <c r="F369" s="211" t="str">
        <f>IFERROR(VLOOKUP($C369,'PORTIFÓLIO'!C:V,4,0),"")</f>
        <v/>
      </c>
      <c r="G369" s="215" t="str">
        <f>IFERROR(VLOOKUP($C369,'PORTIFÓLIO'!C:V,5,0),"")</f>
        <v/>
      </c>
      <c r="H369" s="254" t="str">
        <f t="array" ref="H369">IFERROR(INDEX('PORTIFÓLIO'!$H$4:$H$433,MATCH($C369,'PORTIFÓLIO'!$C$4:$C$433,0)),"")</f>
        <v/>
      </c>
      <c r="I369" s="256"/>
      <c r="J369" s="218">
        <f t="shared" si="41"/>
        <v>0</v>
      </c>
      <c r="K369" s="292" t="str">
        <f t="array" ref="K369">IFERROR(I369*INDEX('PORTIFÓLIO'!$S$4:$S$433,MATCH($C369,'PORTIFÓLIO'!$C$4:$C$433,0)),"")</f>
        <v/>
      </c>
      <c r="L369" s="292" t="str">
        <f t="array" ref="L369">IFERROR(J369*INDEX('PORTIFÓLIO'!$S$4:$S$433,MATCH($C369,'PORTIFÓLIO'!$C$4:$C$433,0)),"")</f>
        <v/>
      </c>
      <c r="M369" s="220"/>
      <c r="N369" s="220"/>
      <c r="O369" s="220"/>
      <c r="P369" s="220"/>
      <c r="Q369" s="220"/>
      <c r="R369" s="220"/>
      <c r="S369" s="220"/>
      <c r="T369" s="220"/>
      <c r="U369" s="220"/>
      <c r="V369" s="220"/>
      <c r="W369" s="220"/>
    </row>
    <row r="370" ht="15.75" customHeight="1" outlineLevel="1">
      <c r="A370" s="211"/>
      <c r="B370" s="212"/>
      <c r="C370" s="213"/>
      <c r="D370" s="214" t="str">
        <f>IFERROR(VLOOKUP($C370,'PORTIFÓLIO'!C:V,2,0),"")</f>
        <v/>
      </c>
      <c r="E370" s="211" t="str">
        <f>IFERROR(VLOOKUP($C370,'PORTIFÓLIO'!C:V,3,0),"")</f>
        <v/>
      </c>
      <c r="F370" s="211" t="str">
        <f>IFERROR(VLOOKUP($C370,'PORTIFÓLIO'!C:V,4,0),"")</f>
        <v/>
      </c>
      <c r="G370" s="215" t="str">
        <f>IFERROR(VLOOKUP($C370,'PORTIFÓLIO'!C:V,5,0),"")</f>
        <v/>
      </c>
      <c r="H370" s="254" t="str">
        <f t="array" ref="H370">IFERROR(INDEX('PORTIFÓLIO'!$H$4:$H$433,MATCH($C370,'PORTIFÓLIO'!$C$4:$C$433,0)),"")</f>
        <v/>
      </c>
      <c r="I370" s="256"/>
      <c r="J370" s="218">
        <f t="shared" si="41"/>
        <v>0</v>
      </c>
      <c r="K370" s="292" t="str">
        <f t="array" ref="K370">IFERROR(I370*INDEX('PORTIFÓLIO'!$S$4:$S$433,MATCH($C370,'PORTIFÓLIO'!$C$4:$C$433,0)),"")</f>
        <v/>
      </c>
      <c r="L370" s="292" t="str">
        <f t="array" ref="L370">IFERROR(J370*INDEX('PORTIFÓLIO'!$S$4:$S$433,MATCH($C370,'PORTIFÓLIO'!$C$4:$C$433,0)),"")</f>
        <v/>
      </c>
      <c r="M370" s="220"/>
      <c r="N370" s="220"/>
      <c r="O370" s="220"/>
      <c r="P370" s="220"/>
      <c r="Q370" s="220"/>
      <c r="R370" s="220"/>
      <c r="S370" s="220"/>
      <c r="T370" s="220"/>
      <c r="U370" s="220"/>
      <c r="V370" s="220"/>
      <c r="W370" s="220"/>
    </row>
    <row r="371" ht="15.75" customHeight="1" outlineLevel="1">
      <c r="A371" s="211"/>
      <c r="B371" s="212"/>
      <c r="C371" s="213"/>
      <c r="D371" s="214" t="str">
        <f>IFERROR(VLOOKUP($C371,'PORTIFÓLIO'!C:V,2,0),"")</f>
        <v/>
      </c>
      <c r="E371" s="211" t="str">
        <f>IFERROR(VLOOKUP($C371,'PORTIFÓLIO'!C:V,3,0),"")</f>
        <v/>
      </c>
      <c r="F371" s="211" t="str">
        <f>IFERROR(VLOOKUP($C371,'PORTIFÓLIO'!C:V,4,0),"")</f>
        <v/>
      </c>
      <c r="G371" s="215" t="str">
        <f>IFERROR(VLOOKUP($C371,'PORTIFÓLIO'!C:V,5,0),"")</f>
        <v/>
      </c>
      <c r="H371" s="254" t="str">
        <f t="array" ref="H371">IFERROR(INDEX('PORTIFÓLIO'!$H$4:$H$433,MATCH($C371,'PORTIFÓLIO'!$C$4:$C$433,0)),"")</f>
        <v/>
      </c>
      <c r="I371" s="256"/>
      <c r="J371" s="218">
        <f t="shared" si="41"/>
        <v>0</v>
      </c>
      <c r="K371" s="292" t="str">
        <f t="array" ref="K371">IFERROR(I371*INDEX('PORTIFÓLIO'!$S$4:$S$433,MATCH($C371,'PORTIFÓLIO'!$C$4:$C$433,0)),"")</f>
        <v/>
      </c>
      <c r="L371" s="292" t="str">
        <f t="array" ref="L371">IFERROR(J371*INDEX('PORTIFÓLIO'!$S$4:$S$433,MATCH($C371,'PORTIFÓLIO'!$C$4:$C$433,0)),"")</f>
        <v/>
      </c>
      <c r="M371" s="220"/>
      <c r="N371" s="220"/>
      <c r="O371" s="220"/>
      <c r="P371" s="220"/>
      <c r="Q371" s="220"/>
      <c r="R371" s="220"/>
      <c r="S371" s="220"/>
      <c r="T371" s="220"/>
      <c r="U371" s="220"/>
      <c r="V371" s="220"/>
      <c r="W371" s="220"/>
    </row>
    <row r="372" ht="15.75" customHeight="1" outlineLevel="1">
      <c r="A372" s="211"/>
      <c r="B372" s="212"/>
      <c r="C372" s="213"/>
      <c r="D372" s="214" t="str">
        <f>IFERROR(VLOOKUP($C372,'PORTIFÓLIO'!C:V,2,0),"")</f>
        <v/>
      </c>
      <c r="E372" s="211" t="str">
        <f>IFERROR(VLOOKUP($C372,'PORTIFÓLIO'!C:V,3,0),"")</f>
        <v/>
      </c>
      <c r="F372" s="211" t="str">
        <f>IFERROR(VLOOKUP($C372,'PORTIFÓLIO'!C:V,4,0),"")</f>
        <v/>
      </c>
      <c r="G372" s="215" t="str">
        <f>IFERROR(VLOOKUP($C372,'PORTIFÓLIO'!C:V,5,0),"")</f>
        <v/>
      </c>
      <c r="H372" s="254" t="str">
        <f t="array" ref="H372">IFERROR(INDEX('PORTIFÓLIO'!$H$4:$H$433,MATCH($C372,'PORTIFÓLIO'!$C$4:$C$433,0)),"")</f>
        <v/>
      </c>
      <c r="I372" s="256"/>
      <c r="J372" s="218">
        <f t="shared" si="41"/>
        <v>0</v>
      </c>
      <c r="K372" s="292" t="str">
        <f t="array" ref="K372">IFERROR(I372*INDEX('PORTIFÓLIO'!$S$4:$S$433,MATCH($C372,'PORTIFÓLIO'!$C$4:$C$433,0)),"")</f>
        <v/>
      </c>
      <c r="L372" s="292" t="str">
        <f t="array" ref="L372">IFERROR(J372*INDEX('PORTIFÓLIO'!$S$4:$S$433,MATCH($C372,'PORTIFÓLIO'!$C$4:$C$433,0)),"")</f>
        <v/>
      </c>
      <c r="M372" s="220"/>
      <c r="N372" s="220"/>
      <c r="O372" s="220"/>
      <c r="P372" s="220"/>
      <c r="Q372" s="220"/>
      <c r="R372" s="220"/>
      <c r="S372" s="220"/>
      <c r="T372" s="220"/>
      <c r="U372" s="220"/>
      <c r="V372" s="220"/>
      <c r="W372" s="220"/>
    </row>
    <row r="373" ht="15.75" customHeight="1" outlineLevel="1">
      <c r="A373" s="211"/>
      <c r="B373" s="212"/>
      <c r="C373" s="213"/>
      <c r="D373" s="214" t="str">
        <f>IFERROR(VLOOKUP($C373,'PORTIFÓLIO'!C:V,2,0),"")</f>
        <v/>
      </c>
      <c r="E373" s="211" t="str">
        <f>IFERROR(VLOOKUP($C373,'PORTIFÓLIO'!C:V,3,0),"")</f>
        <v/>
      </c>
      <c r="F373" s="211" t="str">
        <f>IFERROR(VLOOKUP($C373,'PORTIFÓLIO'!C:V,4,0),"")</f>
        <v/>
      </c>
      <c r="G373" s="215" t="str">
        <f>IFERROR(VLOOKUP($C373,'PORTIFÓLIO'!C:V,5,0),"")</f>
        <v/>
      </c>
      <c r="H373" s="254" t="str">
        <f t="array" ref="H373">IFERROR(INDEX('PORTIFÓLIO'!$H$4:$H$433,MATCH($C373,'PORTIFÓLIO'!$C$4:$C$433,0)),"")</f>
        <v/>
      </c>
      <c r="I373" s="256"/>
      <c r="J373" s="218">
        <f t="shared" si="41"/>
        <v>0</v>
      </c>
      <c r="K373" s="292" t="str">
        <f t="array" ref="K373">IFERROR(I373*INDEX('PORTIFÓLIO'!$S$4:$S$433,MATCH($C373,'PORTIFÓLIO'!$C$4:$C$433,0)),"")</f>
        <v/>
      </c>
      <c r="L373" s="292" t="str">
        <f t="array" ref="L373">IFERROR(J373*INDEX('PORTIFÓLIO'!$S$4:$S$433,MATCH($C373,'PORTIFÓLIO'!$C$4:$C$433,0)),"")</f>
        <v/>
      </c>
      <c r="M373" s="220"/>
      <c r="N373" s="220"/>
      <c r="O373" s="220"/>
      <c r="P373" s="220"/>
      <c r="Q373" s="220"/>
      <c r="R373" s="220"/>
      <c r="S373" s="220"/>
      <c r="T373" s="220"/>
      <c r="U373" s="220"/>
      <c r="V373" s="220"/>
      <c r="W373" s="220"/>
    </row>
    <row r="374" ht="15.75" customHeight="1" outlineLevel="1">
      <c r="A374" s="211"/>
      <c r="B374" s="227"/>
      <c r="C374" s="211"/>
      <c r="D374" s="214" t="str">
        <f>IFERROR(VLOOKUP($C374,'PORTIFÓLIO'!C:V,2,0),"")</f>
        <v/>
      </c>
      <c r="E374" s="211" t="str">
        <f>IFERROR(VLOOKUP($C374,'PORTIFÓLIO'!C:V,3,0),"")</f>
        <v/>
      </c>
      <c r="F374" s="211" t="str">
        <f>IFERROR(VLOOKUP($C374,'PORTIFÓLIO'!C:V,4,0),"")</f>
        <v/>
      </c>
      <c r="G374" s="215" t="str">
        <f>IFERROR(VLOOKUP($C374,'PORTIFÓLIO'!C:V,5,0),"")</f>
        <v/>
      </c>
      <c r="H374" s="254" t="str">
        <f t="array" ref="H374">IFERROR(INDEX('PORTIFÓLIO'!$H$4:$H$433,MATCH($C374,'PORTIFÓLIO'!$C$4:$C$433,0)),"")</f>
        <v/>
      </c>
      <c r="I374" s="256"/>
      <c r="J374" s="218"/>
      <c r="K374" s="292" t="str">
        <f t="array" ref="K374">IFERROR(I374*INDEX('PORTIFÓLIO'!$S$4:$S$433,MATCH($C374,'PORTIFÓLIO'!$C$4:$C$433,0)),"")</f>
        <v/>
      </c>
      <c r="L374" s="292" t="str">
        <f t="array" ref="L374">IFERROR(J374*INDEX('PORTIFÓLIO'!$S$4:$S$433,MATCH($C374,'PORTIFÓLIO'!$C$4:$C$433,0)),"")</f>
        <v/>
      </c>
      <c r="M374" s="220"/>
      <c r="N374" s="220"/>
      <c r="O374" s="220"/>
      <c r="P374" s="220"/>
      <c r="Q374" s="220"/>
      <c r="R374" s="220"/>
      <c r="S374" s="220"/>
      <c r="T374" s="220"/>
      <c r="U374" s="220"/>
      <c r="V374" s="220"/>
      <c r="W374" s="220"/>
    </row>
    <row r="375" ht="15.75" customHeight="1">
      <c r="A375" s="229" t="s">
        <v>1192</v>
      </c>
      <c r="B375" s="230"/>
      <c r="C375" s="231"/>
      <c r="D375" s="232"/>
      <c r="E375" s="231"/>
      <c r="F375" s="231"/>
      <c r="G375" s="233"/>
      <c r="H375" s="233"/>
      <c r="I375" s="258"/>
      <c r="J375" s="236"/>
      <c r="K375" s="237">
        <f t="shared" ref="K375:L375" si="42">SUBTOTAL(9,K376:K389)</f>
        <v>0</v>
      </c>
      <c r="L375" s="237">
        <f t="shared" si="42"/>
        <v>0</v>
      </c>
      <c r="M375" s="220"/>
      <c r="N375" s="220"/>
      <c r="O375" s="220"/>
      <c r="P375" s="220"/>
      <c r="Q375" s="220"/>
      <c r="R375" s="220"/>
      <c r="S375" s="220"/>
      <c r="T375" s="220"/>
      <c r="U375" s="220"/>
      <c r="V375" s="220"/>
      <c r="W375" s="220"/>
    </row>
    <row r="376" ht="15.75" customHeight="1" outlineLevel="1">
      <c r="A376" s="213"/>
      <c r="B376" s="212"/>
      <c r="C376" s="213"/>
      <c r="D376" s="214" t="str">
        <f>IFERROR(VLOOKUP($C376,'PORTIFÓLIO'!C:V,2,0),"")</f>
        <v/>
      </c>
      <c r="E376" s="211" t="str">
        <f>IFERROR(VLOOKUP($C376,'PORTIFÓLIO'!C:V,3,0),"")</f>
        <v/>
      </c>
      <c r="F376" s="211" t="str">
        <f>IFERROR(VLOOKUP($C376,'PORTIFÓLIO'!C:V,4,0),"")</f>
        <v/>
      </c>
      <c r="G376" s="215" t="str">
        <f>IFERROR(VLOOKUP($C376,'PORTIFÓLIO'!C:V,5,0),"")</f>
        <v/>
      </c>
      <c r="H376" s="254" t="str">
        <f t="array" ref="H376">IFERROR(INDEX('PORTIFÓLIO'!$H$4:$H$433,MATCH($C376,'PORTIFÓLIO'!$C$4:$C$433,0)),"")</f>
        <v/>
      </c>
      <c r="I376" s="255"/>
      <c r="J376" s="218">
        <f t="shared" ref="J376:J390" si="43">I376*$B$2</f>
        <v>0</v>
      </c>
      <c r="K376" s="292" t="str">
        <f t="array" ref="K376">IFERROR(I376*INDEX('PORTIFÓLIO'!$S$4:$S$433,MATCH($C376,'PORTIFÓLIO'!$C$4:$C$433,0)),"")</f>
        <v/>
      </c>
      <c r="L376" s="292" t="str">
        <f t="array" ref="L376">IFERROR(J376*INDEX('PORTIFÓLIO'!$S$4:$S$433,MATCH($C376,'PORTIFÓLIO'!$C$4:$C$433,0)),"")</f>
        <v/>
      </c>
      <c r="M376" s="220"/>
      <c r="N376" s="220"/>
      <c r="O376" s="220"/>
      <c r="P376" s="220"/>
      <c r="Q376" s="220"/>
      <c r="R376" s="220"/>
      <c r="S376" s="220"/>
      <c r="T376" s="220"/>
      <c r="U376" s="220"/>
      <c r="V376" s="220"/>
      <c r="W376" s="220"/>
    </row>
    <row r="377" ht="15.75" customHeight="1" outlineLevel="1">
      <c r="A377" s="211"/>
      <c r="B377" s="212"/>
      <c r="C377" s="213"/>
      <c r="D377" s="214" t="str">
        <f>IFERROR(VLOOKUP($C377,'PORTIFÓLIO'!C:V,2,0),"")</f>
        <v/>
      </c>
      <c r="E377" s="211" t="str">
        <f>IFERROR(VLOOKUP($C377,'PORTIFÓLIO'!C:V,3,0),"")</f>
        <v/>
      </c>
      <c r="F377" s="211" t="str">
        <f>IFERROR(VLOOKUP($C377,'PORTIFÓLIO'!C:V,4,0),"")</f>
        <v/>
      </c>
      <c r="G377" s="215" t="str">
        <f>IFERROR(VLOOKUP($C377,'PORTIFÓLIO'!C:V,5,0),"")</f>
        <v/>
      </c>
      <c r="H377" s="254" t="str">
        <f t="array" ref="H377">IFERROR(INDEX('PORTIFÓLIO'!$H$4:$H$433,MATCH($C377,'PORTIFÓLIO'!$C$4:$C$433,0)),"")</f>
        <v/>
      </c>
      <c r="I377" s="256"/>
      <c r="J377" s="218">
        <f t="shared" si="43"/>
        <v>0</v>
      </c>
      <c r="K377" s="292" t="str">
        <f t="array" ref="K377">IFERROR(I377*INDEX('PORTIFÓLIO'!$S$4:$S$433,MATCH($C377,'PORTIFÓLIO'!$C$4:$C$433,0)),"")</f>
        <v/>
      </c>
      <c r="L377" s="292" t="str">
        <f t="array" ref="L377">IFERROR(J377*INDEX('PORTIFÓLIO'!$S$4:$S$433,MATCH($C377,'PORTIFÓLIO'!$C$4:$C$433,0)),"")</f>
        <v/>
      </c>
      <c r="M377" s="220"/>
      <c r="N377" s="220"/>
      <c r="O377" s="220"/>
      <c r="P377" s="220"/>
      <c r="Q377" s="220"/>
      <c r="R377" s="220"/>
      <c r="S377" s="220"/>
      <c r="T377" s="220"/>
      <c r="U377" s="220"/>
      <c r="V377" s="220"/>
      <c r="W377" s="220"/>
    </row>
    <row r="378" ht="15.75" customHeight="1" outlineLevel="1">
      <c r="A378" s="211"/>
      <c r="B378" s="212"/>
      <c r="C378" s="213"/>
      <c r="D378" s="214" t="str">
        <f>IFERROR(VLOOKUP($C378,'PORTIFÓLIO'!C:V,2,0),"")</f>
        <v/>
      </c>
      <c r="E378" s="211" t="str">
        <f>IFERROR(VLOOKUP($C378,'PORTIFÓLIO'!C:V,3,0),"")</f>
        <v/>
      </c>
      <c r="F378" s="211" t="str">
        <f>IFERROR(VLOOKUP($C378,'PORTIFÓLIO'!C:V,4,0),"")</f>
        <v/>
      </c>
      <c r="G378" s="215" t="str">
        <f>IFERROR(VLOOKUP($C378,'PORTIFÓLIO'!C:V,5,0),"")</f>
        <v/>
      </c>
      <c r="H378" s="254" t="str">
        <f t="array" ref="H378">IFERROR(INDEX('PORTIFÓLIO'!$H$4:$H$433,MATCH($C378,'PORTIFÓLIO'!$C$4:$C$433,0)),"")</f>
        <v/>
      </c>
      <c r="I378" s="256"/>
      <c r="J378" s="218">
        <f t="shared" si="43"/>
        <v>0</v>
      </c>
      <c r="K378" s="292" t="str">
        <f t="array" ref="K378">IFERROR(I378*INDEX('PORTIFÓLIO'!$S$4:$S$433,MATCH($C378,'PORTIFÓLIO'!$C$4:$C$433,0)),"")</f>
        <v/>
      </c>
      <c r="L378" s="292" t="str">
        <f t="array" ref="L378">IFERROR(J378*INDEX('PORTIFÓLIO'!$S$4:$S$433,MATCH($C378,'PORTIFÓLIO'!$C$4:$C$433,0)),"")</f>
        <v/>
      </c>
      <c r="M378" s="220"/>
      <c r="N378" s="220"/>
      <c r="O378" s="220"/>
      <c r="P378" s="220"/>
      <c r="Q378" s="220"/>
      <c r="R378" s="220"/>
      <c r="S378" s="220"/>
      <c r="T378" s="220"/>
      <c r="U378" s="220"/>
      <c r="V378" s="220"/>
      <c r="W378" s="220"/>
    </row>
    <row r="379" ht="15.75" customHeight="1" outlineLevel="1">
      <c r="A379" s="211"/>
      <c r="B379" s="212"/>
      <c r="C379" s="213"/>
      <c r="D379" s="214" t="str">
        <f>IFERROR(VLOOKUP($C379,'PORTIFÓLIO'!C:V,2,0),"")</f>
        <v/>
      </c>
      <c r="E379" s="211" t="str">
        <f>IFERROR(VLOOKUP($C379,'PORTIFÓLIO'!C:V,3,0),"")</f>
        <v/>
      </c>
      <c r="F379" s="211" t="str">
        <f>IFERROR(VLOOKUP($C379,'PORTIFÓLIO'!C:V,4,0),"")</f>
        <v/>
      </c>
      <c r="G379" s="215" t="str">
        <f>IFERROR(VLOOKUP($C379,'PORTIFÓLIO'!C:V,5,0),"")</f>
        <v/>
      </c>
      <c r="H379" s="254" t="str">
        <f t="array" ref="H379">IFERROR(INDEX('PORTIFÓLIO'!$H$4:$H$433,MATCH($C379,'PORTIFÓLIO'!$C$4:$C$433,0)),"")</f>
        <v/>
      </c>
      <c r="I379" s="256"/>
      <c r="J379" s="218">
        <f t="shared" si="43"/>
        <v>0</v>
      </c>
      <c r="K379" s="292" t="str">
        <f t="array" ref="K379">IFERROR(I379*INDEX('PORTIFÓLIO'!$S$4:$S$433,MATCH($C379,'PORTIFÓLIO'!$C$4:$C$433,0)),"")</f>
        <v/>
      </c>
      <c r="L379" s="292" t="str">
        <f t="array" ref="L379">IFERROR(J379*INDEX('PORTIFÓLIO'!$S$4:$S$433,MATCH($C379,'PORTIFÓLIO'!$C$4:$C$433,0)),"")</f>
        <v/>
      </c>
      <c r="M379" s="220"/>
      <c r="N379" s="220"/>
      <c r="O379" s="220"/>
      <c r="P379" s="220"/>
      <c r="Q379" s="220"/>
      <c r="R379" s="220"/>
      <c r="S379" s="220"/>
      <c r="T379" s="220"/>
      <c r="U379" s="220"/>
      <c r="V379" s="220"/>
      <c r="W379" s="220"/>
    </row>
    <row r="380" ht="15.75" customHeight="1" outlineLevel="1">
      <c r="A380" s="211"/>
      <c r="B380" s="212"/>
      <c r="C380" s="213"/>
      <c r="D380" s="214" t="str">
        <f>IFERROR(VLOOKUP($C380,'PORTIFÓLIO'!C:V,2,0),"")</f>
        <v/>
      </c>
      <c r="E380" s="211" t="str">
        <f>IFERROR(VLOOKUP($C380,'PORTIFÓLIO'!C:V,3,0),"")</f>
        <v/>
      </c>
      <c r="F380" s="211" t="str">
        <f>IFERROR(VLOOKUP($C380,'PORTIFÓLIO'!C:V,4,0),"")</f>
        <v/>
      </c>
      <c r="G380" s="215" t="str">
        <f>IFERROR(VLOOKUP($C380,'PORTIFÓLIO'!C:V,5,0),"")</f>
        <v/>
      </c>
      <c r="H380" s="254" t="str">
        <f t="array" ref="H380">IFERROR(INDEX('PORTIFÓLIO'!$H$4:$H$433,MATCH($C380,'PORTIFÓLIO'!$C$4:$C$433,0)),"")</f>
        <v/>
      </c>
      <c r="I380" s="256"/>
      <c r="J380" s="218">
        <f t="shared" si="43"/>
        <v>0</v>
      </c>
      <c r="K380" s="292" t="str">
        <f t="array" ref="K380">IFERROR(I380*INDEX('PORTIFÓLIO'!$S$4:$S$433,MATCH($C380,'PORTIFÓLIO'!$C$4:$C$433,0)),"")</f>
        <v/>
      </c>
      <c r="L380" s="292" t="str">
        <f t="array" ref="L380">IFERROR(J380*INDEX('PORTIFÓLIO'!$S$4:$S$433,MATCH($C380,'PORTIFÓLIO'!$C$4:$C$433,0)),"")</f>
        <v/>
      </c>
      <c r="M380" s="220"/>
      <c r="N380" s="220"/>
      <c r="O380" s="220"/>
      <c r="P380" s="220"/>
      <c r="Q380" s="220"/>
      <c r="R380" s="220"/>
      <c r="S380" s="220"/>
      <c r="T380" s="220"/>
      <c r="U380" s="220"/>
      <c r="V380" s="220"/>
      <c r="W380" s="220"/>
    </row>
    <row r="381" ht="15.75" customHeight="1" outlineLevel="1">
      <c r="A381" s="211"/>
      <c r="B381" s="212"/>
      <c r="C381" s="213"/>
      <c r="D381" s="214" t="str">
        <f>IFERROR(VLOOKUP($C381,'PORTIFÓLIO'!C:V,2,0),"")</f>
        <v/>
      </c>
      <c r="E381" s="211" t="str">
        <f>IFERROR(VLOOKUP($C381,'PORTIFÓLIO'!C:V,3,0),"")</f>
        <v/>
      </c>
      <c r="F381" s="211" t="str">
        <f>IFERROR(VLOOKUP($C381,'PORTIFÓLIO'!C:V,4,0),"")</f>
        <v/>
      </c>
      <c r="G381" s="215" t="str">
        <f>IFERROR(VLOOKUP($C381,'PORTIFÓLIO'!C:V,5,0),"")</f>
        <v/>
      </c>
      <c r="H381" s="254" t="str">
        <f t="array" ref="H381">IFERROR(INDEX('PORTIFÓLIO'!$H$4:$H$433,MATCH($C381,'PORTIFÓLIO'!$C$4:$C$433,0)),"")</f>
        <v/>
      </c>
      <c r="I381" s="256"/>
      <c r="J381" s="218">
        <f t="shared" si="43"/>
        <v>0</v>
      </c>
      <c r="K381" s="292" t="str">
        <f t="array" ref="K381">IFERROR(I381*INDEX('PORTIFÓLIO'!$S$4:$S$433,MATCH($C381,'PORTIFÓLIO'!$C$4:$C$433,0)),"")</f>
        <v/>
      </c>
      <c r="L381" s="292" t="str">
        <f t="array" ref="L381">IFERROR(J381*INDEX('PORTIFÓLIO'!$S$4:$S$433,MATCH($C381,'PORTIFÓLIO'!$C$4:$C$433,0)),"")</f>
        <v/>
      </c>
      <c r="M381" s="220"/>
      <c r="N381" s="220"/>
      <c r="O381" s="220"/>
      <c r="P381" s="220"/>
      <c r="Q381" s="220"/>
      <c r="R381" s="220"/>
      <c r="S381" s="220"/>
      <c r="T381" s="220"/>
      <c r="U381" s="220"/>
      <c r="V381" s="220"/>
      <c r="W381" s="220"/>
    </row>
    <row r="382" ht="15.75" customHeight="1" outlineLevel="1">
      <c r="A382" s="211"/>
      <c r="B382" s="212"/>
      <c r="C382" s="213"/>
      <c r="D382" s="214" t="str">
        <f>IFERROR(VLOOKUP($C382,'PORTIFÓLIO'!C:V,2,0),"")</f>
        <v/>
      </c>
      <c r="E382" s="211" t="str">
        <f>IFERROR(VLOOKUP($C382,'PORTIFÓLIO'!C:V,3,0),"")</f>
        <v/>
      </c>
      <c r="F382" s="211" t="str">
        <f>IFERROR(VLOOKUP($C382,'PORTIFÓLIO'!C:V,4,0),"")</f>
        <v/>
      </c>
      <c r="G382" s="215" t="str">
        <f>IFERROR(VLOOKUP($C382,'PORTIFÓLIO'!C:V,5,0),"")</f>
        <v/>
      </c>
      <c r="H382" s="254" t="str">
        <f t="array" ref="H382">IFERROR(INDEX('PORTIFÓLIO'!$H$4:$H$433,MATCH($C382,'PORTIFÓLIO'!$C$4:$C$433,0)),"")</f>
        <v/>
      </c>
      <c r="I382" s="256"/>
      <c r="J382" s="218">
        <f t="shared" si="43"/>
        <v>0</v>
      </c>
      <c r="K382" s="292" t="str">
        <f t="array" ref="K382">IFERROR(I382*INDEX('PORTIFÓLIO'!$S$4:$S$433,MATCH($C382,'PORTIFÓLIO'!$C$4:$C$433,0)),"")</f>
        <v/>
      </c>
      <c r="L382" s="292" t="str">
        <f t="array" ref="L382">IFERROR(J382*INDEX('PORTIFÓLIO'!$S$4:$S$433,MATCH($C382,'PORTIFÓLIO'!$C$4:$C$433,0)),"")</f>
        <v/>
      </c>
      <c r="M382" s="220"/>
      <c r="N382" s="220"/>
      <c r="O382" s="220"/>
      <c r="P382" s="220"/>
      <c r="Q382" s="220"/>
      <c r="R382" s="220"/>
      <c r="S382" s="220"/>
      <c r="T382" s="220"/>
      <c r="U382" s="220"/>
      <c r="V382" s="220"/>
      <c r="W382" s="220"/>
    </row>
    <row r="383" ht="15.75" customHeight="1" outlineLevel="1">
      <c r="A383" s="211"/>
      <c r="B383" s="212"/>
      <c r="C383" s="213"/>
      <c r="D383" s="214" t="str">
        <f>IFERROR(VLOOKUP($C383,'PORTIFÓLIO'!C:V,2,0),"")</f>
        <v/>
      </c>
      <c r="E383" s="211" t="str">
        <f>IFERROR(VLOOKUP($C383,'PORTIFÓLIO'!C:V,3,0),"")</f>
        <v/>
      </c>
      <c r="F383" s="211" t="str">
        <f>IFERROR(VLOOKUP($C383,'PORTIFÓLIO'!C:V,4,0),"")</f>
        <v/>
      </c>
      <c r="G383" s="215" t="str">
        <f>IFERROR(VLOOKUP($C383,'PORTIFÓLIO'!C:V,5,0),"")</f>
        <v/>
      </c>
      <c r="H383" s="254" t="str">
        <f t="array" ref="H383">IFERROR(INDEX('PORTIFÓLIO'!$H$4:$H$433,MATCH($C383,'PORTIFÓLIO'!$C$4:$C$433,0)),"")</f>
        <v/>
      </c>
      <c r="I383" s="256"/>
      <c r="J383" s="218">
        <f t="shared" si="43"/>
        <v>0</v>
      </c>
      <c r="K383" s="292" t="str">
        <f t="array" ref="K383">IFERROR(I383*INDEX('PORTIFÓLIO'!$S$4:$S$433,MATCH($C383,'PORTIFÓLIO'!$C$4:$C$433,0)),"")</f>
        <v/>
      </c>
      <c r="L383" s="292" t="str">
        <f t="array" ref="L383">IFERROR(J383*INDEX('PORTIFÓLIO'!$S$4:$S$433,MATCH($C383,'PORTIFÓLIO'!$C$4:$C$433,0)),"")</f>
        <v/>
      </c>
      <c r="M383" s="220"/>
      <c r="N383" s="220"/>
      <c r="O383" s="220"/>
      <c r="P383" s="220"/>
      <c r="Q383" s="220"/>
      <c r="R383" s="220"/>
      <c r="S383" s="220"/>
      <c r="T383" s="220"/>
      <c r="U383" s="220"/>
      <c r="V383" s="220"/>
      <c r="W383" s="220"/>
    </row>
    <row r="384" ht="15.75" customHeight="1" outlineLevel="1">
      <c r="A384" s="211"/>
      <c r="B384" s="212"/>
      <c r="C384" s="213"/>
      <c r="D384" s="214" t="str">
        <f>IFERROR(VLOOKUP($C384,'PORTIFÓLIO'!C:V,2,0),"")</f>
        <v/>
      </c>
      <c r="E384" s="211" t="str">
        <f>IFERROR(VLOOKUP($C384,'PORTIFÓLIO'!C:V,3,0),"")</f>
        <v/>
      </c>
      <c r="F384" s="211" t="str">
        <f>IFERROR(VLOOKUP($C384,'PORTIFÓLIO'!C:V,4,0),"")</f>
        <v/>
      </c>
      <c r="G384" s="215" t="str">
        <f>IFERROR(VLOOKUP($C384,'PORTIFÓLIO'!C:V,5,0),"")</f>
        <v/>
      </c>
      <c r="H384" s="254" t="str">
        <f t="array" ref="H384">IFERROR(INDEX('PORTIFÓLIO'!$H$4:$H$433,MATCH($C384,'PORTIFÓLIO'!$C$4:$C$433,0)),"")</f>
        <v/>
      </c>
      <c r="I384" s="255"/>
      <c r="J384" s="218">
        <f t="shared" si="43"/>
        <v>0</v>
      </c>
      <c r="K384" s="292" t="str">
        <f t="array" ref="K384">IFERROR(I384*INDEX('PORTIFÓLIO'!$S$4:$S$433,MATCH($C384,'PORTIFÓLIO'!$C$4:$C$433,0)),"")</f>
        <v/>
      </c>
      <c r="L384" s="292" t="str">
        <f t="array" ref="L384">IFERROR(J384*INDEX('PORTIFÓLIO'!$S$4:$S$433,MATCH($C384,'PORTIFÓLIO'!$C$4:$C$433,0)),"")</f>
        <v/>
      </c>
      <c r="M384" s="220"/>
      <c r="N384" s="220"/>
      <c r="O384" s="220"/>
      <c r="P384" s="220"/>
      <c r="Q384" s="220"/>
      <c r="R384" s="220"/>
      <c r="S384" s="220"/>
      <c r="T384" s="220"/>
      <c r="U384" s="220"/>
      <c r="V384" s="220"/>
      <c r="W384" s="220"/>
    </row>
    <row r="385" ht="15.75" customHeight="1" outlineLevel="1">
      <c r="A385" s="211"/>
      <c r="B385" s="212"/>
      <c r="C385" s="213"/>
      <c r="D385" s="214" t="str">
        <f>IFERROR(VLOOKUP($C385,'PORTIFÓLIO'!C:V,2,0),"")</f>
        <v/>
      </c>
      <c r="E385" s="211" t="str">
        <f>IFERROR(VLOOKUP($C385,'PORTIFÓLIO'!C:V,3,0),"")</f>
        <v/>
      </c>
      <c r="F385" s="211" t="str">
        <f>IFERROR(VLOOKUP($C385,'PORTIFÓLIO'!C:V,4,0),"")</f>
        <v/>
      </c>
      <c r="G385" s="215" t="str">
        <f>IFERROR(VLOOKUP($C385,'PORTIFÓLIO'!C:V,5,0),"")</f>
        <v/>
      </c>
      <c r="H385" s="254" t="str">
        <f t="array" ref="H385">IFERROR(INDEX('PORTIFÓLIO'!$H$4:$H$433,MATCH($C385,'PORTIFÓLIO'!$C$4:$C$433,0)),"")</f>
        <v/>
      </c>
      <c r="I385" s="256"/>
      <c r="J385" s="218">
        <f t="shared" si="43"/>
        <v>0</v>
      </c>
      <c r="K385" s="292" t="str">
        <f t="array" ref="K385">IFERROR(I385*INDEX('PORTIFÓLIO'!$S$4:$S$433,MATCH($C385,'PORTIFÓLIO'!$C$4:$C$433,0)),"")</f>
        <v/>
      </c>
      <c r="L385" s="292" t="str">
        <f t="array" ref="L385">IFERROR(J385*INDEX('PORTIFÓLIO'!$S$4:$S$433,MATCH($C385,'PORTIFÓLIO'!$C$4:$C$433,0)),"")</f>
        <v/>
      </c>
      <c r="M385" s="220"/>
      <c r="N385" s="220"/>
      <c r="O385" s="220"/>
      <c r="P385" s="220"/>
      <c r="Q385" s="220"/>
      <c r="R385" s="220"/>
      <c r="S385" s="220"/>
      <c r="T385" s="220"/>
      <c r="U385" s="220"/>
      <c r="V385" s="220"/>
      <c r="W385" s="220"/>
    </row>
    <row r="386" ht="15.75" customHeight="1" outlineLevel="1">
      <c r="A386" s="211"/>
      <c r="B386" s="212"/>
      <c r="C386" s="213"/>
      <c r="D386" s="214" t="str">
        <f>IFERROR(VLOOKUP($C386,'PORTIFÓLIO'!C:V,2,0),"")</f>
        <v/>
      </c>
      <c r="E386" s="211" t="str">
        <f>IFERROR(VLOOKUP($C386,'PORTIFÓLIO'!C:V,3,0),"")</f>
        <v/>
      </c>
      <c r="F386" s="211" t="str">
        <f>IFERROR(VLOOKUP($C386,'PORTIFÓLIO'!C:V,4,0),"")</f>
        <v/>
      </c>
      <c r="G386" s="215" t="str">
        <f>IFERROR(VLOOKUP($C386,'PORTIFÓLIO'!C:V,5,0),"")</f>
        <v/>
      </c>
      <c r="H386" s="254" t="str">
        <f t="array" ref="H386">IFERROR(INDEX('PORTIFÓLIO'!$H$4:$H$433,MATCH($C386,'PORTIFÓLIO'!$C$4:$C$433,0)),"")</f>
        <v/>
      </c>
      <c r="I386" s="256"/>
      <c r="J386" s="218">
        <f t="shared" si="43"/>
        <v>0</v>
      </c>
      <c r="K386" s="292" t="str">
        <f t="array" ref="K386">IFERROR(I386*INDEX('PORTIFÓLIO'!$S$4:$S$433,MATCH($C386,'PORTIFÓLIO'!$C$4:$C$433,0)),"")</f>
        <v/>
      </c>
      <c r="L386" s="292" t="str">
        <f t="array" ref="L386">IFERROR(J386*INDEX('PORTIFÓLIO'!$S$4:$S$433,MATCH($C386,'PORTIFÓLIO'!$C$4:$C$433,0)),"")</f>
        <v/>
      </c>
      <c r="M386" s="220"/>
      <c r="N386" s="220"/>
      <c r="O386" s="220"/>
      <c r="P386" s="220"/>
      <c r="Q386" s="220"/>
      <c r="R386" s="220"/>
      <c r="S386" s="220"/>
      <c r="T386" s="220"/>
      <c r="U386" s="220"/>
      <c r="V386" s="220"/>
      <c r="W386" s="220"/>
    </row>
    <row r="387" ht="15.75" customHeight="1" outlineLevel="1">
      <c r="A387" s="211"/>
      <c r="B387" s="212"/>
      <c r="C387" s="213"/>
      <c r="D387" s="214" t="str">
        <f>IFERROR(VLOOKUP($C387,'PORTIFÓLIO'!C:V,2,0),"")</f>
        <v/>
      </c>
      <c r="E387" s="211" t="str">
        <f>IFERROR(VLOOKUP($C387,'PORTIFÓLIO'!C:V,3,0),"")</f>
        <v/>
      </c>
      <c r="F387" s="211" t="str">
        <f>IFERROR(VLOOKUP($C387,'PORTIFÓLIO'!C:V,4,0),"")</f>
        <v/>
      </c>
      <c r="G387" s="215" t="str">
        <f>IFERROR(VLOOKUP($C387,'PORTIFÓLIO'!C:V,5,0),"")</f>
        <v/>
      </c>
      <c r="H387" s="254" t="str">
        <f t="array" ref="H387">IFERROR(INDEX('PORTIFÓLIO'!$H$4:$H$433,MATCH($C387,'PORTIFÓLIO'!$C$4:$C$433,0)),"")</f>
        <v/>
      </c>
      <c r="I387" s="256"/>
      <c r="J387" s="218">
        <f t="shared" si="43"/>
        <v>0</v>
      </c>
      <c r="K387" s="292" t="str">
        <f t="array" ref="K387">IFERROR(I387*INDEX('PORTIFÓLIO'!$S$4:$S$433,MATCH($C387,'PORTIFÓLIO'!$C$4:$C$433,0)),"")</f>
        <v/>
      </c>
      <c r="L387" s="292" t="str">
        <f t="array" ref="L387">IFERROR(J387*INDEX('PORTIFÓLIO'!$S$4:$S$433,MATCH($C387,'PORTIFÓLIO'!$C$4:$C$433,0)),"")</f>
        <v/>
      </c>
      <c r="M387" s="220"/>
      <c r="N387" s="220"/>
      <c r="O387" s="220"/>
      <c r="P387" s="220"/>
      <c r="Q387" s="220"/>
      <c r="R387" s="220"/>
      <c r="S387" s="220"/>
      <c r="T387" s="220"/>
      <c r="U387" s="220"/>
      <c r="V387" s="220"/>
      <c r="W387" s="220"/>
    </row>
    <row r="388" ht="15.75" customHeight="1" outlineLevel="1">
      <c r="A388" s="211"/>
      <c r="B388" s="212"/>
      <c r="C388" s="213"/>
      <c r="D388" s="214" t="str">
        <f>IFERROR(VLOOKUP($C388,'PORTIFÓLIO'!C:V,2,0),"")</f>
        <v/>
      </c>
      <c r="E388" s="211" t="str">
        <f>IFERROR(VLOOKUP($C388,'PORTIFÓLIO'!C:V,3,0),"")</f>
        <v/>
      </c>
      <c r="F388" s="211" t="str">
        <f>IFERROR(VLOOKUP($C388,'PORTIFÓLIO'!C:V,4,0),"")</f>
        <v/>
      </c>
      <c r="G388" s="215" t="str">
        <f>IFERROR(VLOOKUP($C388,'PORTIFÓLIO'!C:V,5,0),"")</f>
        <v/>
      </c>
      <c r="H388" s="254" t="str">
        <f t="array" ref="H388">IFERROR(INDEX('PORTIFÓLIO'!$H$4:$H$433,MATCH($C388,'PORTIFÓLIO'!$C$4:$C$433,0)),"")</f>
        <v/>
      </c>
      <c r="I388" s="256"/>
      <c r="J388" s="218">
        <f t="shared" si="43"/>
        <v>0</v>
      </c>
      <c r="K388" s="292" t="str">
        <f t="array" ref="K388">IFERROR(I388*INDEX('PORTIFÓLIO'!$S$4:$S$433,MATCH($C388,'PORTIFÓLIO'!$C$4:$C$433,0)),"")</f>
        <v/>
      </c>
      <c r="L388" s="292" t="str">
        <f t="array" ref="L388">IFERROR(J388*INDEX('PORTIFÓLIO'!$S$4:$S$433,MATCH($C388,'PORTIFÓLIO'!$C$4:$C$433,0)),"")</f>
        <v/>
      </c>
      <c r="M388" s="220"/>
      <c r="N388" s="220"/>
      <c r="O388" s="220"/>
      <c r="P388" s="220"/>
      <c r="Q388" s="220"/>
      <c r="R388" s="220"/>
      <c r="S388" s="220"/>
      <c r="T388" s="220"/>
      <c r="U388" s="220"/>
      <c r="V388" s="220"/>
      <c r="W388" s="220"/>
    </row>
    <row r="389" ht="15.75" customHeight="1" outlineLevel="1">
      <c r="A389" s="211"/>
      <c r="B389" s="212"/>
      <c r="C389" s="213"/>
      <c r="D389" s="214" t="str">
        <f>IFERROR(VLOOKUP($C389,'PORTIFÓLIO'!C:V,2,0),"")</f>
        <v/>
      </c>
      <c r="E389" s="211" t="str">
        <f>IFERROR(VLOOKUP($C389,'PORTIFÓLIO'!C:V,3,0),"")</f>
        <v/>
      </c>
      <c r="F389" s="211" t="str">
        <f>IFERROR(VLOOKUP($C389,'PORTIFÓLIO'!C:V,4,0),"")</f>
        <v/>
      </c>
      <c r="G389" s="215" t="str">
        <f>IFERROR(VLOOKUP($C389,'PORTIFÓLIO'!C:V,5,0),"")</f>
        <v/>
      </c>
      <c r="H389" s="254" t="str">
        <f t="array" ref="H389">IFERROR(INDEX('PORTIFÓLIO'!$H$4:$H$433,MATCH($C389,'PORTIFÓLIO'!$C$4:$C$433,0)),"")</f>
        <v/>
      </c>
      <c r="I389" s="256"/>
      <c r="J389" s="218">
        <f t="shared" si="43"/>
        <v>0</v>
      </c>
      <c r="K389" s="292" t="str">
        <f t="array" ref="K389">IFERROR(I389*INDEX('PORTIFÓLIO'!$S$4:$S$433,MATCH($C389,'PORTIFÓLIO'!$C$4:$C$433,0)),"")</f>
        <v/>
      </c>
      <c r="L389" s="292" t="str">
        <f t="array" ref="L389">IFERROR(J389*INDEX('PORTIFÓLIO'!$S$4:$S$433,MATCH($C389,'PORTIFÓLIO'!$C$4:$C$433,0)),"")</f>
        <v/>
      </c>
      <c r="M389" s="220"/>
      <c r="N389" s="220"/>
      <c r="O389" s="220"/>
      <c r="P389" s="220"/>
      <c r="Q389" s="220"/>
      <c r="R389" s="220"/>
      <c r="S389" s="220"/>
      <c r="T389" s="220"/>
      <c r="U389" s="220"/>
      <c r="V389" s="220"/>
      <c r="W389" s="220"/>
    </row>
    <row r="390" ht="15.75" customHeight="1" outlineLevel="1">
      <c r="A390" s="211"/>
      <c r="B390" s="212"/>
      <c r="C390" s="213"/>
      <c r="D390" s="214" t="str">
        <f>IFERROR(VLOOKUP($C390,'PORTIFÓLIO'!C:V,2,0),"")</f>
        <v/>
      </c>
      <c r="E390" s="211" t="str">
        <f>IFERROR(VLOOKUP($C390,'PORTIFÓLIO'!C:V,3,0),"")</f>
        <v/>
      </c>
      <c r="F390" s="211" t="str">
        <f>IFERROR(VLOOKUP($C390,'PORTIFÓLIO'!C:V,4,0),"")</f>
        <v/>
      </c>
      <c r="G390" s="215" t="str">
        <f>IFERROR(VLOOKUP($C390,'PORTIFÓLIO'!C:V,5,0),"")</f>
        <v/>
      </c>
      <c r="H390" s="254" t="str">
        <f t="array" ref="H390">IFERROR(INDEX('PORTIFÓLIO'!$H$4:$H$433,MATCH($C390,'PORTIFÓLIO'!$C$4:$C$433,0)),"")</f>
        <v/>
      </c>
      <c r="I390" s="256"/>
      <c r="J390" s="218">
        <f t="shared" si="43"/>
        <v>0</v>
      </c>
      <c r="K390" s="292" t="str">
        <f t="array" ref="K390">IFERROR(I390*INDEX('PORTIFÓLIO'!$S$4:$S$433,MATCH($C390,'PORTIFÓLIO'!$C$4:$C$433,0)),"")</f>
        <v/>
      </c>
      <c r="L390" s="292" t="str">
        <f t="array" ref="L390">IFERROR(J390*INDEX('PORTIFÓLIO'!$S$4:$S$433,MATCH($C390,'PORTIFÓLIO'!$C$4:$C$433,0)),"")</f>
        <v/>
      </c>
      <c r="M390" s="220"/>
      <c r="N390" s="220"/>
      <c r="O390" s="220"/>
      <c r="P390" s="220"/>
      <c r="Q390" s="220"/>
      <c r="R390" s="220"/>
      <c r="S390" s="220"/>
      <c r="T390" s="220"/>
      <c r="U390" s="220"/>
      <c r="V390" s="220"/>
      <c r="W390" s="220"/>
    </row>
    <row r="391" ht="15.75" customHeight="1" outlineLevel="1">
      <c r="A391" s="211"/>
      <c r="B391" s="227"/>
      <c r="C391" s="211"/>
      <c r="D391" s="214" t="str">
        <f>IFERROR(VLOOKUP($C391,'PORTIFÓLIO'!C:V,2,0),"")</f>
        <v/>
      </c>
      <c r="E391" s="211" t="str">
        <f>IFERROR(VLOOKUP($C391,'PORTIFÓLIO'!C:V,3,0),"")</f>
        <v/>
      </c>
      <c r="F391" s="211" t="str">
        <f>IFERROR(VLOOKUP($C391,'PORTIFÓLIO'!C:V,4,0),"")</f>
        <v/>
      </c>
      <c r="G391" s="215" t="str">
        <f>IFERROR(VLOOKUP($C391,'PORTIFÓLIO'!C:V,5,0),"")</f>
        <v/>
      </c>
      <c r="H391" s="254" t="str">
        <f t="array" ref="H391">IFERROR(INDEX('PORTIFÓLIO'!$H$4:$H$433,MATCH($C391,'PORTIFÓLIO'!$C$4:$C$433,0)),"")</f>
        <v/>
      </c>
      <c r="I391" s="256"/>
      <c r="J391" s="218"/>
      <c r="K391" s="292" t="str">
        <f t="array" ref="K391">IFERROR(I391*INDEX('PORTIFÓLIO'!$S$4:$S$433,MATCH($C391,'PORTIFÓLIO'!$C$4:$C$433,0)),"")</f>
        <v/>
      </c>
      <c r="L391" s="292" t="str">
        <f t="array" ref="L391">IFERROR(J391*INDEX('PORTIFÓLIO'!$S$4:$S$433,MATCH($C391,'PORTIFÓLIO'!$C$4:$C$433,0)),"")</f>
        <v/>
      </c>
      <c r="M391" s="220"/>
      <c r="N391" s="220"/>
      <c r="O391" s="220"/>
      <c r="P391" s="220"/>
      <c r="Q391" s="220"/>
      <c r="R391" s="220"/>
      <c r="S391" s="220"/>
      <c r="T391" s="220"/>
      <c r="U391" s="220"/>
      <c r="V391" s="220"/>
      <c r="W391" s="220"/>
    </row>
    <row r="392" ht="15.75" customHeight="1">
      <c r="A392" s="229" t="s">
        <v>1193</v>
      </c>
      <c r="B392" s="230"/>
      <c r="C392" s="231"/>
      <c r="D392" s="232"/>
      <c r="E392" s="231"/>
      <c r="F392" s="231"/>
      <c r="G392" s="233"/>
      <c r="H392" s="233"/>
      <c r="I392" s="258"/>
      <c r="J392" s="236"/>
      <c r="K392" s="237">
        <f t="shared" ref="K392:L392" si="44">SUBTOTAL(9,K393:K406)</f>
        <v>0</v>
      </c>
      <c r="L392" s="237">
        <f t="shared" si="44"/>
        <v>0</v>
      </c>
      <c r="M392" s="220"/>
      <c r="N392" s="220"/>
      <c r="O392" s="220"/>
      <c r="P392" s="220"/>
      <c r="Q392" s="220"/>
      <c r="R392" s="220"/>
      <c r="S392" s="220"/>
      <c r="T392" s="220"/>
      <c r="U392" s="220"/>
      <c r="V392" s="220"/>
      <c r="W392" s="220"/>
    </row>
    <row r="393" ht="15.75" customHeight="1" outlineLevel="1">
      <c r="A393" s="213"/>
      <c r="B393" s="212"/>
      <c r="C393" s="213"/>
      <c r="D393" s="214" t="str">
        <f>IFERROR(VLOOKUP($C393,'PORTIFÓLIO'!C:V,2,0),"")</f>
        <v/>
      </c>
      <c r="E393" s="211" t="str">
        <f>IFERROR(VLOOKUP($C393,'PORTIFÓLIO'!C:V,3,0),"")</f>
        <v/>
      </c>
      <c r="F393" s="211" t="str">
        <f>IFERROR(VLOOKUP($C393,'PORTIFÓLIO'!C:V,4,0),"")</f>
        <v/>
      </c>
      <c r="G393" s="215" t="str">
        <f>IFERROR(VLOOKUP($C393,'PORTIFÓLIO'!C:V,5,0),"")</f>
        <v/>
      </c>
      <c r="H393" s="254" t="str">
        <f t="array" ref="H393">IFERROR(INDEX('PORTIFÓLIO'!$H$4:$H$433,MATCH($C393,'PORTIFÓLIO'!$C$4:$C$433,0)),"")</f>
        <v/>
      </c>
      <c r="I393" s="255"/>
      <c r="J393" s="218">
        <f t="shared" ref="J393:J408" si="45">I393*$B$2</f>
        <v>0</v>
      </c>
      <c r="K393" s="292" t="str">
        <f t="array" ref="K393">IFERROR(I393*INDEX('PORTIFÓLIO'!$S$4:$S$433,MATCH($C393,'PORTIFÓLIO'!$C$4:$C$433,0)),"")</f>
        <v/>
      </c>
      <c r="L393" s="292" t="str">
        <f t="array" ref="L393">IFERROR(J393*INDEX('PORTIFÓLIO'!$S$4:$S$433,MATCH($C393,'PORTIFÓLIO'!$C$4:$C$433,0)),"")</f>
        <v/>
      </c>
      <c r="M393" s="220"/>
      <c r="N393" s="220"/>
      <c r="O393" s="220"/>
      <c r="P393" s="220"/>
      <c r="Q393" s="220"/>
      <c r="R393" s="220"/>
      <c r="S393" s="220"/>
      <c r="T393" s="220"/>
      <c r="U393" s="220"/>
      <c r="V393" s="220"/>
      <c r="W393" s="220"/>
    </row>
    <row r="394" ht="15.75" customHeight="1" outlineLevel="1">
      <c r="A394" s="211"/>
      <c r="B394" s="212"/>
      <c r="C394" s="213"/>
      <c r="D394" s="214" t="str">
        <f>IFERROR(VLOOKUP($C394,'PORTIFÓLIO'!C:V,2,0),"")</f>
        <v/>
      </c>
      <c r="E394" s="211" t="str">
        <f>IFERROR(VLOOKUP($C394,'PORTIFÓLIO'!C:V,3,0),"")</f>
        <v/>
      </c>
      <c r="F394" s="211" t="str">
        <f>IFERROR(VLOOKUP($C394,'PORTIFÓLIO'!C:V,4,0),"")</f>
        <v/>
      </c>
      <c r="G394" s="215" t="str">
        <f>IFERROR(VLOOKUP($C394,'PORTIFÓLIO'!C:V,5,0),"")</f>
        <v/>
      </c>
      <c r="H394" s="254" t="str">
        <f t="array" ref="H394">IFERROR(INDEX('PORTIFÓLIO'!$H$4:$H$433,MATCH($C394,'PORTIFÓLIO'!$C$4:$C$433,0)),"")</f>
        <v/>
      </c>
      <c r="I394" s="256"/>
      <c r="J394" s="218">
        <f t="shared" si="45"/>
        <v>0</v>
      </c>
      <c r="K394" s="292" t="str">
        <f t="array" ref="K394">IFERROR(I394*INDEX('PORTIFÓLIO'!$S$4:$S$433,MATCH($C394,'PORTIFÓLIO'!$C$4:$C$433,0)),"")</f>
        <v/>
      </c>
      <c r="L394" s="292" t="str">
        <f t="array" ref="L394">IFERROR(J394*INDEX('PORTIFÓLIO'!$S$4:$S$433,MATCH($C394,'PORTIFÓLIO'!$C$4:$C$433,0)),"")</f>
        <v/>
      </c>
      <c r="M394" s="220"/>
      <c r="N394" s="220"/>
      <c r="O394" s="220"/>
      <c r="P394" s="220"/>
      <c r="Q394" s="220"/>
      <c r="R394" s="220"/>
      <c r="S394" s="220"/>
      <c r="T394" s="220"/>
      <c r="U394" s="220"/>
      <c r="V394" s="220"/>
      <c r="W394" s="220"/>
    </row>
    <row r="395" ht="15.75" customHeight="1" outlineLevel="1">
      <c r="A395" s="211"/>
      <c r="B395" s="212"/>
      <c r="C395" s="213"/>
      <c r="D395" s="214" t="str">
        <f>IFERROR(VLOOKUP($C395,'PORTIFÓLIO'!C:V,2,0),"")</f>
        <v/>
      </c>
      <c r="E395" s="211" t="str">
        <f>IFERROR(VLOOKUP($C395,'PORTIFÓLIO'!C:V,3,0),"")</f>
        <v/>
      </c>
      <c r="F395" s="211" t="str">
        <f>IFERROR(VLOOKUP($C395,'PORTIFÓLIO'!C:V,4,0),"")</f>
        <v/>
      </c>
      <c r="G395" s="215" t="str">
        <f>IFERROR(VLOOKUP($C395,'PORTIFÓLIO'!C:V,5,0),"")</f>
        <v/>
      </c>
      <c r="H395" s="254" t="str">
        <f t="array" ref="H395">IFERROR(INDEX('PORTIFÓLIO'!$H$4:$H$433,MATCH($C395,'PORTIFÓLIO'!$C$4:$C$433,0)),"")</f>
        <v/>
      </c>
      <c r="I395" s="256"/>
      <c r="J395" s="218">
        <f t="shared" si="45"/>
        <v>0</v>
      </c>
      <c r="K395" s="292" t="str">
        <f t="array" ref="K395">IFERROR(I395*INDEX('PORTIFÓLIO'!$S$4:$S$433,MATCH($C395,'PORTIFÓLIO'!$C$4:$C$433,0)),"")</f>
        <v/>
      </c>
      <c r="L395" s="292" t="str">
        <f t="array" ref="L395">IFERROR(J395*INDEX('PORTIFÓLIO'!$S$4:$S$433,MATCH($C395,'PORTIFÓLIO'!$C$4:$C$433,0)),"")</f>
        <v/>
      </c>
      <c r="M395" s="220"/>
      <c r="N395" s="220"/>
      <c r="O395" s="220"/>
      <c r="P395" s="220"/>
      <c r="Q395" s="220"/>
      <c r="R395" s="220"/>
      <c r="S395" s="220"/>
      <c r="T395" s="220"/>
      <c r="U395" s="220"/>
      <c r="V395" s="220"/>
      <c r="W395" s="220"/>
    </row>
    <row r="396" ht="15.75" customHeight="1" outlineLevel="1">
      <c r="A396" s="211"/>
      <c r="B396" s="212"/>
      <c r="C396" s="213"/>
      <c r="D396" s="214" t="str">
        <f>IFERROR(VLOOKUP($C396,'PORTIFÓLIO'!C:V,2,0),"")</f>
        <v/>
      </c>
      <c r="E396" s="211" t="str">
        <f>IFERROR(VLOOKUP($C396,'PORTIFÓLIO'!C:V,3,0),"")</f>
        <v/>
      </c>
      <c r="F396" s="211" t="str">
        <f>IFERROR(VLOOKUP($C396,'PORTIFÓLIO'!C:V,4,0),"")</f>
        <v/>
      </c>
      <c r="G396" s="215" t="str">
        <f>IFERROR(VLOOKUP($C396,'PORTIFÓLIO'!C:V,5,0),"")</f>
        <v/>
      </c>
      <c r="H396" s="254" t="str">
        <f t="array" ref="H396">IFERROR(INDEX('PORTIFÓLIO'!$H$4:$H$433,MATCH($C396,'PORTIFÓLIO'!$C$4:$C$433,0)),"")</f>
        <v/>
      </c>
      <c r="I396" s="256"/>
      <c r="J396" s="218">
        <f t="shared" si="45"/>
        <v>0</v>
      </c>
      <c r="K396" s="292" t="str">
        <f t="array" ref="K396">IFERROR(I396*INDEX('PORTIFÓLIO'!$S$4:$S$433,MATCH($C396,'PORTIFÓLIO'!$C$4:$C$433,0)),"")</f>
        <v/>
      </c>
      <c r="L396" s="292" t="str">
        <f t="array" ref="L396">IFERROR(J396*INDEX('PORTIFÓLIO'!$S$4:$S$433,MATCH($C396,'PORTIFÓLIO'!$C$4:$C$433,0)),"")</f>
        <v/>
      </c>
      <c r="M396" s="220"/>
      <c r="N396" s="220"/>
      <c r="O396" s="220"/>
      <c r="P396" s="220"/>
      <c r="Q396" s="220"/>
      <c r="R396" s="220"/>
      <c r="S396" s="220"/>
      <c r="T396" s="220"/>
      <c r="U396" s="220"/>
      <c r="V396" s="220"/>
      <c r="W396" s="220"/>
    </row>
    <row r="397" ht="15.75" customHeight="1" outlineLevel="1">
      <c r="A397" s="211"/>
      <c r="B397" s="212"/>
      <c r="C397" s="213"/>
      <c r="D397" s="214" t="str">
        <f>IFERROR(VLOOKUP($C397,'PORTIFÓLIO'!C:V,2,0),"")</f>
        <v/>
      </c>
      <c r="E397" s="211" t="str">
        <f>IFERROR(VLOOKUP($C397,'PORTIFÓLIO'!C:V,3,0),"")</f>
        <v/>
      </c>
      <c r="F397" s="211" t="str">
        <f>IFERROR(VLOOKUP($C397,'PORTIFÓLIO'!C:V,4,0),"")</f>
        <v/>
      </c>
      <c r="G397" s="215" t="str">
        <f>IFERROR(VLOOKUP($C397,'PORTIFÓLIO'!C:V,5,0),"")</f>
        <v/>
      </c>
      <c r="H397" s="254" t="str">
        <f t="array" ref="H397">IFERROR(INDEX('PORTIFÓLIO'!$H$4:$H$433,MATCH($C397,'PORTIFÓLIO'!$C$4:$C$433,0)),"")</f>
        <v/>
      </c>
      <c r="I397" s="256"/>
      <c r="J397" s="218">
        <f t="shared" si="45"/>
        <v>0</v>
      </c>
      <c r="K397" s="292" t="str">
        <f t="array" ref="K397">IFERROR(I397*INDEX('PORTIFÓLIO'!$S$4:$S$433,MATCH($C397,'PORTIFÓLIO'!$C$4:$C$433,0)),"")</f>
        <v/>
      </c>
      <c r="L397" s="292" t="str">
        <f t="array" ref="L397">IFERROR(J397*INDEX('PORTIFÓLIO'!$S$4:$S$433,MATCH($C397,'PORTIFÓLIO'!$C$4:$C$433,0)),"")</f>
        <v/>
      </c>
      <c r="M397" s="220"/>
      <c r="N397" s="220"/>
      <c r="O397" s="220"/>
      <c r="P397" s="220"/>
      <c r="Q397" s="220"/>
      <c r="R397" s="220"/>
      <c r="S397" s="220"/>
      <c r="T397" s="220"/>
      <c r="U397" s="220"/>
      <c r="V397" s="220"/>
      <c r="W397" s="220"/>
    </row>
    <row r="398" ht="15.75" customHeight="1" outlineLevel="1">
      <c r="A398" s="211"/>
      <c r="B398" s="212"/>
      <c r="C398" s="213"/>
      <c r="D398" s="214" t="str">
        <f>IFERROR(VLOOKUP($C398,'PORTIFÓLIO'!C:V,2,0),"")</f>
        <v/>
      </c>
      <c r="E398" s="211" t="str">
        <f>IFERROR(VLOOKUP($C398,'PORTIFÓLIO'!C:V,3,0),"")</f>
        <v/>
      </c>
      <c r="F398" s="211" t="str">
        <f>IFERROR(VLOOKUP($C398,'PORTIFÓLIO'!C:V,4,0),"")</f>
        <v/>
      </c>
      <c r="G398" s="215" t="str">
        <f>IFERROR(VLOOKUP($C398,'PORTIFÓLIO'!C:V,5,0),"")</f>
        <v/>
      </c>
      <c r="H398" s="254" t="str">
        <f t="array" ref="H398">IFERROR(INDEX('PORTIFÓLIO'!$H$4:$H$433,MATCH($C398,'PORTIFÓLIO'!$C$4:$C$433,0)),"")</f>
        <v/>
      </c>
      <c r="I398" s="256"/>
      <c r="J398" s="218">
        <f t="shared" si="45"/>
        <v>0</v>
      </c>
      <c r="K398" s="292" t="str">
        <f t="array" ref="K398">IFERROR(I398*INDEX('PORTIFÓLIO'!$S$4:$S$433,MATCH($C398,'PORTIFÓLIO'!$C$4:$C$433,0)),"")</f>
        <v/>
      </c>
      <c r="L398" s="292" t="str">
        <f t="array" ref="L398">IFERROR(J398*INDEX('PORTIFÓLIO'!$S$4:$S$433,MATCH($C398,'PORTIFÓLIO'!$C$4:$C$433,0)),"")</f>
        <v/>
      </c>
      <c r="M398" s="220"/>
      <c r="N398" s="220"/>
      <c r="O398" s="220"/>
      <c r="P398" s="220"/>
      <c r="Q398" s="220"/>
      <c r="R398" s="220"/>
      <c r="S398" s="220"/>
      <c r="T398" s="220"/>
      <c r="U398" s="220"/>
      <c r="V398" s="220"/>
      <c r="W398" s="220"/>
    </row>
    <row r="399" ht="15.75" customHeight="1" outlineLevel="1">
      <c r="A399" s="211"/>
      <c r="B399" s="212"/>
      <c r="C399" s="213"/>
      <c r="D399" s="214" t="str">
        <f>IFERROR(VLOOKUP($C399,'PORTIFÓLIO'!C:V,2,0),"")</f>
        <v/>
      </c>
      <c r="E399" s="211" t="str">
        <f>IFERROR(VLOOKUP($C399,'PORTIFÓLIO'!C:V,3,0),"")</f>
        <v/>
      </c>
      <c r="F399" s="211" t="str">
        <f>IFERROR(VLOOKUP($C399,'PORTIFÓLIO'!C:V,4,0),"")</f>
        <v/>
      </c>
      <c r="G399" s="215" t="str">
        <f>IFERROR(VLOOKUP($C399,'PORTIFÓLIO'!C:V,5,0),"")</f>
        <v/>
      </c>
      <c r="H399" s="254" t="str">
        <f t="array" ref="H399">IFERROR(INDEX('PORTIFÓLIO'!$H$4:$H$433,MATCH($C399,'PORTIFÓLIO'!$C$4:$C$433,0)),"")</f>
        <v/>
      </c>
      <c r="I399" s="256"/>
      <c r="J399" s="218">
        <f t="shared" si="45"/>
        <v>0</v>
      </c>
      <c r="K399" s="292" t="str">
        <f t="array" ref="K399">IFERROR(I399*INDEX('PORTIFÓLIO'!$S$4:$S$433,MATCH($C399,'PORTIFÓLIO'!$C$4:$C$433,0)),"")</f>
        <v/>
      </c>
      <c r="L399" s="292" t="str">
        <f t="array" ref="L399">IFERROR(J399*INDEX('PORTIFÓLIO'!$S$4:$S$433,MATCH($C399,'PORTIFÓLIO'!$C$4:$C$433,0)),"")</f>
        <v/>
      </c>
      <c r="M399" s="220"/>
      <c r="N399" s="220"/>
      <c r="O399" s="220"/>
      <c r="P399" s="220"/>
      <c r="Q399" s="220"/>
      <c r="R399" s="220"/>
      <c r="S399" s="220"/>
      <c r="T399" s="220"/>
      <c r="U399" s="220"/>
      <c r="V399" s="220"/>
      <c r="W399" s="220"/>
    </row>
    <row r="400" ht="15.75" customHeight="1" outlineLevel="1">
      <c r="A400" s="211"/>
      <c r="B400" s="212"/>
      <c r="C400" s="213"/>
      <c r="D400" s="214" t="str">
        <f>IFERROR(VLOOKUP($C400,'PORTIFÓLIO'!C:V,2,0),"")</f>
        <v/>
      </c>
      <c r="E400" s="211" t="str">
        <f>IFERROR(VLOOKUP($C400,'PORTIFÓLIO'!C:V,3,0),"")</f>
        <v/>
      </c>
      <c r="F400" s="211" t="str">
        <f>IFERROR(VLOOKUP($C400,'PORTIFÓLIO'!C:V,4,0),"")</f>
        <v/>
      </c>
      <c r="G400" s="215" t="str">
        <f>IFERROR(VLOOKUP($C400,'PORTIFÓLIO'!C:V,5,0),"")</f>
        <v/>
      </c>
      <c r="H400" s="254" t="str">
        <f t="array" ref="H400">IFERROR(INDEX('PORTIFÓLIO'!$H$4:$H$433,MATCH($C400,'PORTIFÓLIO'!$C$4:$C$433,0)),"")</f>
        <v/>
      </c>
      <c r="I400" s="256"/>
      <c r="J400" s="218">
        <f t="shared" si="45"/>
        <v>0</v>
      </c>
      <c r="K400" s="292" t="str">
        <f t="array" ref="K400">IFERROR(I400*INDEX('PORTIFÓLIO'!$S$4:$S$433,MATCH($C400,'PORTIFÓLIO'!$C$4:$C$433,0)),"")</f>
        <v/>
      </c>
      <c r="L400" s="292" t="str">
        <f t="array" ref="L400">IFERROR(J400*INDEX('PORTIFÓLIO'!$S$4:$S$433,MATCH($C400,'PORTIFÓLIO'!$C$4:$C$433,0)),"")</f>
        <v/>
      </c>
      <c r="M400" s="220"/>
      <c r="N400" s="220"/>
      <c r="O400" s="220"/>
      <c r="P400" s="220"/>
      <c r="Q400" s="220"/>
      <c r="R400" s="220"/>
      <c r="S400" s="220"/>
      <c r="T400" s="220"/>
      <c r="U400" s="220"/>
      <c r="V400" s="220"/>
      <c r="W400" s="220"/>
    </row>
    <row r="401" ht="15.75" customHeight="1" outlineLevel="1">
      <c r="A401" s="211"/>
      <c r="B401" s="212"/>
      <c r="C401" s="213"/>
      <c r="D401" s="214" t="str">
        <f>IFERROR(VLOOKUP($C401,'PORTIFÓLIO'!C:V,2,0),"")</f>
        <v/>
      </c>
      <c r="E401" s="211" t="str">
        <f>IFERROR(VLOOKUP($C401,'PORTIFÓLIO'!C:V,3,0),"")</f>
        <v/>
      </c>
      <c r="F401" s="211" t="str">
        <f>IFERROR(VLOOKUP($C401,'PORTIFÓLIO'!C:V,4,0),"")</f>
        <v/>
      </c>
      <c r="G401" s="215" t="str">
        <f>IFERROR(VLOOKUP($C401,'PORTIFÓLIO'!C:V,5,0),"")</f>
        <v/>
      </c>
      <c r="H401" s="254" t="str">
        <f t="array" ref="H401">IFERROR(INDEX('PORTIFÓLIO'!$H$4:$H$433,MATCH($C401,'PORTIFÓLIO'!$C$4:$C$433,0)),"")</f>
        <v/>
      </c>
      <c r="I401" s="255"/>
      <c r="J401" s="218">
        <f t="shared" si="45"/>
        <v>0</v>
      </c>
      <c r="K401" s="292" t="str">
        <f t="array" ref="K401">IFERROR(I401*INDEX('PORTIFÓLIO'!$S$4:$S$433,MATCH($C401,'PORTIFÓLIO'!$C$4:$C$433,0)),"")</f>
        <v/>
      </c>
      <c r="L401" s="292" t="str">
        <f t="array" ref="L401">IFERROR(J401*INDEX('PORTIFÓLIO'!$S$4:$S$433,MATCH($C401,'PORTIFÓLIO'!$C$4:$C$433,0)),"")</f>
        <v/>
      </c>
      <c r="M401" s="220"/>
      <c r="N401" s="220"/>
      <c r="O401" s="220"/>
      <c r="P401" s="220"/>
      <c r="Q401" s="220"/>
      <c r="R401" s="220"/>
      <c r="S401" s="220"/>
      <c r="T401" s="220"/>
      <c r="U401" s="220"/>
      <c r="V401" s="220"/>
      <c r="W401" s="220"/>
    </row>
    <row r="402" ht="15.75" customHeight="1" outlineLevel="1">
      <c r="A402" s="211"/>
      <c r="B402" s="212"/>
      <c r="C402" s="213"/>
      <c r="D402" s="214" t="str">
        <f>IFERROR(VLOOKUP($C402,'PORTIFÓLIO'!C:V,2,0),"")</f>
        <v/>
      </c>
      <c r="E402" s="211" t="str">
        <f>IFERROR(VLOOKUP($C402,'PORTIFÓLIO'!C:V,3,0),"")</f>
        <v/>
      </c>
      <c r="F402" s="211" t="str">
        <f>IFERROR(VLOOKUP($C402,'PORTIFÓLIO'!C:V,4,0),"")</f>
        <v/>
      </c>
      <c r="G402" s="215" t="str">
        <f>IFERROR(VLOOKUP($C402,'PORTIFÓLIO'!C:V,5,0),"")</f>
        <v/>
      </c>
      <c r="H402" s="254" t="str">
        <f t="array" ref="H402">IFERROR(INDEX('PORTIFÓLIO'!$H$4:$H$433,MATCH($C402,'PORTIFÓLIO'!$C$4:$C$433,0)),"")</f>
        <v/>
      </c>
      <c r="I402" s="256"/>
      <c r="J402" s="218">
        <f t="shared" si="45"/>
        <v>0</v>
      </c>
      <c r="K402" s="292" t="str">
        <f t="array" ref="K402">IFERROR(I402*INDEX('PORTIFÓLIO'!$S$4:$S$433,MATCH($C402,'PORTIFÓLIO'!$C$4:$C$433,0)),"")</f>
        <v/>
      </c>
      <c r="L402" s="292" t="str">
        <f t="array" ref="L402">IFERROR(J402*INDEX('PORTIFÓLIO'!$S$4:$S$433,MATCH($C402,'PORTIFÓLIO'!$C$4:$C$433,0)),"")</f>
        <v/>
      </c>
      <c r="M402" s="220"/>
      <c r="N402" s="220"/>
      <c r="O402" s="220"/>
      <c r="P402" s="220"/>
      <c r="Q402" s="220"/>
      <c r="R402" s="220"/>
      <c r="S402" s="220"/>
      <c r="T402" s="220"/>
      <c r="U402" s="220"/>
      <c r="V402" s="220"/>
      <c r="W402" s="220"/>
    </row>
    <row r="403" ht="15.75" customHeight="1" outlineLevel="1">
      <c r="A403" s="211"/>
      <c r="B403" s="212"/>
      <c r="C403" s="213"/>
      <c r="D403" s="214" t="str">
        <f>IFERROR(VLOOKUP($C403,'PORTIFÓLIO'!C:V,2,0),"")</f>
        <v/>
      </c>
      <c r="E403" s="211" t="str">
        <f>IFERROR(VLOOKUP($C403,'PORTIFÓLIO'!C:V,3,0),"")</f>
        <v/>
      </c>
      <c r="F403" s="211" t="str">
        <f>IFERROR(VLOOKUP($C403,'PORTIFÓLIO'!C:V,4,0),"")</f>
        <v/>
      </c>
      <c r="G403" s="215" t="str">
        <f>IFERROR(VLOOKUP($C403,'PORTIFÓLIO'!C:V,5,0),"")</f>
        <v/>
      </c>
      <c r="H403" s="254" t="str">
        <f t="array" ref="H403">IFERROR(INDEX('PORTIFÓLIO'!$H$4:$H$433,MATCH($C403,'PORTIFÓLIO'!$C$4:$C$433,0)),"")</f>
        <v/>
      </c>
      <c r="I403" s="256"/>
      <c r="J403" s="218">
        <f t="shared" si="45"/>
        <v>0</v>
      </c>
      <c r="K403" s="292" t="str">
        <f t="array" ref="K403">IFERROR(I403*INDEX('PORTIFÓLIO'!$S$4:$S$433,MATCH($C403,'PORTIFÓLIO'!$C$4:$C$433,0)),"")</f>
        <v/>
      </c>
      <c r="L403" s="292" t="str">
        <f t="array" ref="L403">IFERROR(J403*INDEX('PORTIFÓLIO'!$S$4:$S$433,MATCH($C403,'PORTIFÓLIO'!$C$4:$C$433,0)),"")</f>
        <v/>
      </c>
      <c r="M403" s="220"/>
      <c r="N403" s="220"/>
      <c r="O403" s="220"/>
      <c r="P403" s="220"/>
      <c r="Q403" s="220"/>
      <c r="R403" s="220"/>
      <c r="S403" s="220"/>
      <c r="T403" s="220"/>
      <c r="U403" s="220"/>
      <c r="V403" s="220"/>
      <c r="W403" s="220"/>
    </row>
    <row r="404" ht="15.75" customHeight="1" outlineLevel="1">
      <c r="A404" s="211"/>
      <c r="B404" s="212"/>
      <c r="C404" s="213"/>
      <c r="D404" s="214" t="str">
        <f>IFERROR(VLOOKUP($C404,'PORTIFÓLIO'!C:V,2,0),"")</f>
        <v/>
      </c>
      <c r="E404" s="211" t="str">
        <f>IFERROR(VLOOKUP($C404,'PORTIFÓLIO'!C:V,3,0),"")</f>
        <v/>
      </c>
      <c r="F404" s="211" t="str">
        <f>IFERROR(VLOOKUP($C404,'PORTIFÓLIO'!C:V,4,0),"")</f>
        <v/>
      </c>
      <c r="G404" s="215" t="str">
        <f>IFERROR(VLOOKUP($C404,'PORTIFÓLIO'!C:V,5,0),"")</f>
        <v/>
      </c>
      <c r="H404" s="254" t="str">
        <f t="array" ref="H404">IFERROR(INDEX('PORTIFÓLIO'!$H$4:$H$433,MATCH($C404,'PORTIFÓLIO'!$C$4:$C$433,0)),"")</f>
        <v/>
      </c>
      <c r="I404" s="256"/>
      <c r="J404" s="218">
        <f t="shared" si="45"/>
        <v>0</v>
      </c>
      <c r="K404" s="292" t="str">
        <f t="array" ref="K404">IFERROR(I404*INDEX('PORTIFÓLIO'!$S$4:$S$433,MATCH($C404,'PORTIFÓLIO'!$C$4:$C$433,0)),"")</f>
        <v/>
      </c>
      <c r="L404" s="292" t="str">
        <f t="array" ref="L404">IFERROR(J404*INDEX('PORTIFÓLIO'!$S$4:$S$433,MATCH($C404,'PORTIFÓLIO'!$C$4:$C$433,0)),"")</f>
        <v/>
      </c>
      <c r="M404" s="220"/>
      <c r="N404" s="220"/>
      <c r="O404" s="220"/>
      <c r="P404" s="220"/>
      <c r="Q404" s="220"/>
      <c r="R404" s="220"/>
      <c r="S404" s="220"/>
      <c r="T404" s="220"/>
      <c r="U404" s="220"/>
      <c r="V404" s="220"/>
      <c r="W404" s="220"/>
    </row>
    <row r="405" ht="15.75" customHeight="1" outlineLevel="1">
      <c r="A405" s="211"/>
      <c r="B405" s="212"/>
      <c r="C405" s="213"/>
      <c r="D405" s="214" t="str">
        <f>IFERROR(VLOOKUP($C405,'PORTIFÓLIO'!C:V,2,0),"")</f>
        <v/>
      </c>
      <c r="E405" s="211" t="str">
        <f>IFERROR(VLOOKUP($C405,'PORTIFÓLIO'!C:V,3,0),"")</f>
        <v/>
      </c>
      <c r="F405" s="211" t="str">
        <f>IFERROR(VLOOKUP($C405,'PORTIFÓLIO'!C:V,4,0),"")</f>
        <v/>
      </c>
      <c r="G405" s="215" t="str">
        <f>IFERROR(VLOOKUP($C405,'PORTIFÓLIO'!C:V,5,0),"")</f>
        <v/>
      </c>
      <c r="H405" s="254" t="str">
        <f t="array" ref="H405">IFERROR(INDEX('PORTIFÓLIO'!$H$4:$H$433,MATCH($C405,'PORTIFÓLIO'!$C$4:$C$433,0)),"")</f>
        <v/>
      </c>
      <c r="I405" s="256"/>
      <c r="J405" s="218">
        <f t="shared" si="45"/>
        <v>0</v>
      </c>
      <c r="K405" s="292" t="str">
        <f t="array" ref="K405">IFERROR(I405*INDEX('PORTIFÓLIO'!$S$4:$S$433,MATCH($C405,'PORTIFÓLIO'!$C$4:$C$433,0)),"")</f>
        <v/>
      </c>
      <c r="L405" s="292" t="str">
        <f t="array" ref="L405">IFERROR(J405*INDEX('PORTIFÓLIO'!$S$4:$S$433,MATCH($C405,'PORTIFÓLIO'!$C$4:$C$433,0)),"")</f>
        <v/>
      </c>
      <c r="M405" s="220"/>
      <c r="N405" s="220"/>
      <c r="O405" s="220"/>
      <c r="P405" s="220"/>
      <c r="Q405" s="220"/>
      <c r="R405" s="220"/>
      <c r="S405" s="220"/>
      <c r="T405" s="220"/>
      <c r="U405" s="220"/>
      <c r="V405" s="220"/>
      <c r="W405" s="220"/>
    </row>
    <row r="406" ht="15.75" customHeight="1" outlineLevel="1">
      <c r="A406" s="211"/>
      <c r="B406" s="212"/>
      <c r="C406" s="213"/>
      <c r="D406" s="214" t="str">
        <f>IFERROR(VLOOKUP($C406,'PORTIFÓLIO'!C:V,2,0),"")</f>
        <v/>
      </c>
      <c r="E406" s="211" t="str">
        <f>IFERROR(VLOOKUP($C406,'PORTIFÓLIO'!C:V,3,0),"")</f>
        <v/>
      </c>
      <c r="F406" s="211" t="str">
        <f>IFERROR(VLOOKUP($C406,'PORTIFÓLIO'!C:V,4,0),"")</f>
        <v/>
      </c>
      <c r="G406" s="215" t="str">
        <f>IFERROR(VLOOKUP($C406,'PORTIFÓLIO'!C:V,5,0),"")</f>
        <v/>
      </c>
      <c r="H406" s="254" t="str">
        <f t="array" ref="H406">IFERROR(INDEX('PORTIFÓLIO'!$H$4:$H$433,MATCH($C406,'PORTIFÓLIO'!$C$4:$C$433,0)),"")</f>
        <v/>
      </c>
      <c r="I406" s="256"/>
      <c r="J406" s="218">
        <f t="shared" si="45"/>
        <v>0</v>
      </c>
      <c r="K406" s="292" t="str">
        <f t="array" ref="K406">IFERROR(I406*INDEX('PORTIFÓLIO'!$S$4:$S$433,MATCH($C406,'PORTIFÓLIO'!$C$4:$C$433,0)),"")</f>
        <v/>
      </c>
      <c r="L406" s="292" t="str">
        <f t="array" ref="L406">IFERROR(J406*INDEX('PORTIFÓLIO'!$S$4:$S$433,MATCH($C406,'PORTIFÓLIO'!$C$4:$C$433,0)),"")</f>
        <v/>
      </c>
      <c r="M406" s="220"/>
      <c r="N406" s="220"/>
      <c r="O406" s="220"/>
      <c r="P406" s="220"/>
      <c r="Q406" s="220"/>
      <c r="R406" s="220"/>
      <c r="S406" s="220"/>
      <c r="T406" s="220"/>
      <c r="U406" s="220"/>
      <c r="V406" s="220"/>
      <c r="W406" s="220"/>
    </row>
    <row r="407" ht="15.75" customHeight="1" outlineLevel="1">
      <c r="A407" s="211"/>
      <c r="B407" s="212"/>
      <c r="C407" s="213"/>
      <c r="D407" s="214" t="str">
        <f>IFERROR(VLOOKUP($C407,'PORTIFÓLIO'!C:V,2,0),"")</f>
        <v/>
      </c>
      <c r="E407" s="211" t="str">
        <f>IFERROR(VLOOKUP($C407,'PORTIFÓLIO'!C:V,3,0),"")</f>
        <v/>
      </c>
      <c r="F407" s="211" t="str">
        <f>IFERROR(VLOOKUP($C407,'PORTIFÓLIO'!C:V,4,0),"")</f>
        <v/>
      </c>
      <c r="G407" s="215" t="str">
        <f>IFERROR(VLOOKUP($C407,'PORTIFÓLIO'!C:V,5,0),"")</f>
        <v/>
      </c>
      <c r="H407" s="254" t="str">
        <f t="array" ref="H407">IFERROR(INDEX('PORTIFÓLIO'!$H$4:$H$433,MATCH($C407,'PORTIFÓLIO'!$C$4:$C$433,0)),"")</f>
        <v/>
      </c>
      <c r="I407" s="256"/>
      <c r="J407" s="218">
        <f t="shared" si="45"/>
        <v>0</v>
      </c>
      <c r="K407" s="292" t="str">
        <f t="array" ref="K407">IFERROR(I407*INDEX('PORTIFÓLIO'!$S$4:$S$433,MATCH($C407,'PORTIFÓLIO'!$C$4:$C$433,0)),"")</f>
        <v/>
      </c>
      <c r="L407" s="292" t="str">
        <f t="array" ref="L407">IFERROR(J407*INDEX('PORTIFÓLIO'!$S$4:$S$433,MATCH($C407,'PORTIFÓLIO'!$C$4:$C$433,0)),"")</f>
        <v/>
      </c>
      <c r="M407" s="220"/>
      <c r="N407" s="220"/>
      <c r="O407" s="220"/>
      <c r="P407" s="220"/>
      <c r="Q407" s="220"/>
      <c r="R407" s="220"/>
      <c r="S407" s="220"/>
      <c r="T407" s="220"/>
      <c r="U407" s="220"/>
      <c r="V407" s="220"/>
      <c r="W407" s="220"/>
    </row>
    <row r="408" ht="15.75" customHeight="1" outlineLevel="1">
      <c r="A408" s="211"/>
      <c r="B408" s="227"/>
      <c r="C408" s="211"/>
      <c r="D408" s="214" t="str">
        <f>IFERROR(VLOOKUP($C408,'PORTIFÓLIO'!C:V,2,0),"")</f>
        <v/>
      </c>
      <c r="E408" s="211" t="str">
        <f>IFERROR(VLOOKUP($C408,'PORTIFÓLIO'!C:V,3,0),"")</f>
        <v/>
      </c>
      <c r="F408" s="211" t="str">
        <f>IFERROR(VLOOKUP($C408,'PORTIFÓLIO'!C:V,4,0),"")</f>
        <v/>
      </c>
      <c r="G408" s="215" t="str">
        <f>IFERROR(VLOOKUP($C408,'PORTIFÓLIO'!C:V,5,0),"")</f>
        <v/>
      </c>
      <c r="H408" s="254" t="str">
        <f t="array" ref="H408">IFERROR(INDEX('PORTIFÓLIO'!$H$4:$H$433,MATCH($C408,'PORTIFÓLIO'!$C$4:$C$433,0)),"")</f>
        <v/>
      </c>
      <c r="I408" s="256"/>
      <c r="J408" s="218">
        <f t="shared" si="45"/>
        <v>0</v>
      </c>
      <c r="K408" s="292" t="str">
        <f t="array" ref="K408">IFERROR(I408*INDEX('PORTIFÓLIO'!$S$4:$S$433,MATCH($C408,'PORTIFÓLIO'!$C$4:$C$433,0)),"")</f>
        <v/>
      </c>
      <c r="L408" s="292" t="str">
        <f t="array" ref="L408">IFERROR(J408*INDEX('PORTIFÓLIO'!$S$4:$S$433,MATCH($C408,'PORTIFÓLIO'!$C$4:$C$433,0)),"")</f>
        <v/>
      </c>
      <c r="M408" s="220"/>
      <c r="N408" s="220"/>
      <c r="O408" s="220"/>
      <c r="P408" s="220"/>
      <c r="Q408" s="220"/>
      <c r="R408" s="220"/>
      <c r="S408" s="220"/>
      <c r="T408" s="220"/>
      <c r="U408" s="220"/>
      <c r="V408" s="220"/>
      <c r="W408" s="220"/>
    </row>
    <row r="409" ht="15.75" customHeight="1">
      <c r="A409" s="229" t="s">
        <v>1194</v>
      </c>
      <c r="B409" s="230"/>
      <c r="C409" s="231"/>
      <c r="D409" s="232"/>
      <c r="E409" s="231"/>
      <c r="F409" s="231"/>
      <c r="G409" s="233"/>
      <c r="H409" s="233"/>
      <c r="I409" s="258"/>
      <c r="J409" s="236"/>
      <c r="K409" s="237">
        <f t="shared" ref="K409:L409" si="46">SUBTOTAL(9,K410:K423)</f>
        <v>0</v>
      </c>
      <c r="L409" s="237">
        <f t="shared" si="46"/>
        <v>0</v>
      </c>
      <c r="M409" s="220"/>
      <c r="N409" s="220"/>
      <c r="O409" s="220"/>
      <c r="P409" s="220"/>
      <c r="Q409" s="220"/>
      <c r="R409" s="220"/>
      <c r="S409" s="220"/>
      <c r="T409" s="220"/>
      <c r="U409" s="220"/>
      <c r="V409" s="220"/>
      <c r="W409" s="220"/>
    </row>
    <row r="410" ht="15.75" customHeight="1" outlineLevel="1">
      <c r="A410" s="213"/>
      <c r="B410" s="212"/>
      <c r="C410" s="213"/>
      <c r="D410" s="214" t="str">
        <f>IFERROR(VLOOKUP($C410,'PORTIFÓLIO'!C:V,2,0),"")</f>
        <v/>
      </c>
      <c r="E410" s="211" t="str">
        <f>IFERROR(VLOOKUP($C410,'PORTIFÓLIO'!C:V,3,0),"")</f>
        <v/>
      </c>
      <c r="F410" s="211" t="str">
        <f>IFERROR(VLOOKUP($C410,'PORTIFÓLIO'!C:V,4,0),"")</f>
        <v/>
      </c>
      <c r="G410" s="215" t="str">
        <f>IFERROR(VLOOKUP($C410,'PORTIFÓLIO'!C:V,5,0),"")</f>
        <v/>
      </c>
      <c r="H410" s="254" t="str">
        <f t="array" ref="H410">IFERROR(INDEX('PORTIFÓLIO'!$H$4:$H$433,MATCH($C410,'PORTIFÓLIO'!$C$4:$C$433,0)),"")</f>
        <v/>
      </c>
      <c r="I410" s="255"/>
      <c r="J410" s="218">
        <f t="shared" ref="J410:J426" si="47">I410*$B$2</f>
        <v>0</v>
      </c>
      <c r="K410" s="292" t="str">
        <f t="array" ref="K410">IFERROR(I410*INDEX('PORTIFÓLIO'!$S$4:$S$433,MATCH($C410,'PORTIFÓLIO'!$C$4:$C$433,0)),"")</f>
        <v/>
      </c>
      <c r="L410" s="292" t="str">
        <f t="array" ref="L410">IFERROR(J410*INDEX('PORTIFÓLIO'!$S$4:$S$433,MATCH($C410,'PORTIFÓLIO'!$C$4:$C$433,0)),"")</f>
        <v/>
      </c>
      <c r="M410" s="220"/>
      <c r="N410" s="220"/>
      <c r="O410" s="220"/>
      <c r="P410" s="220"/>
      <c r="Q410" s="220"/>
      <c r="R410" s="220"/>
      <c r="S410" s="220"/>
      <c r="T410" s="220"/>
      <c r="U410" s="220"/>
      <c r="V410" s="220"/>
      <c r="W410" s="220"/>
    </row>
    <row r="411" ht="15.75" customHeight="1" outlineLevel="1">
      <c r="A411" s="211"/>
      <c r="B411" s="212"/>
      <c r="C411" s="213"/>
      <c r="D411" s="214" t="str">
        <f>IFERROR(VLOOKUP($C411,'PORTIFÓLIO'!C:V,2,0),"")</f>
        <v/>
      </c>
      <c r="E411" s="211" t="str">
        <f>IFERROR(VLOOKUP($C411,'PORTIFÓLIO'!C:V,3,0),"")</f>
        <v/>
      </c>
      <c r="F411" s="211" t="str">
        <f>IFERROR(VLOOKUP($C411,'PORTIFÓLIO'!C:V,4,0),"")</f>
        <v/>
      </c>
      <c r="G411" s="215" t="str">
        <f>IFERROR(VLOOKUP($C411,'PORTIFÓLIO'!C:V,5,0),"")</f>
        <v/>
      </c>
      <c r="H411" s="254" t="str">
        <f t="array" ref="H411">IFERROR(INDEX('PORTIFÓLIO'!$H$4:$H$433,MATCH($C411,'PORTIFÓLIO'!$C$4:$C$433,0)),"")</f>
        <v/>
      </c>
      <c r="I411" s="256"/>
      <c r="J411" s="218">
        <f t="shared" si="47"/>
        <v>0</v>
      </c>
      <c r="K411" s="292" t="str">
        <f t="array" ref="K411">IFERROR(I411*INDEX('PORTIFÓLIO'!$S$4:$S$433,MATCH($C411,'PORTIFÓLIO'!$C$4:$C$433,0)),"")</f>
        <v/>
      </c>
      <c r="L411" s="292" t="str">
        <f t="array" ref="L411">IFERROR(J411*INDEX('PORTIFÓLIO'!$S$4:$S$433,MATCH($C411,'PORTIFÓLIO'!$C$4:$C$433,0)),"")</f>
        <v/>
      </c>
      <c r="M411" s="220"/>
      <c r="N411" s="220"/>
      <c r="O411" s="220"/>
      <c r="P411" s="220"/>
      <c r="Q411" s="220"/>
      <c r="R411" s="220"/>
      <c r="S411" s="220"/>
      <c r="T411" s="220"/>
      <c r="U411" s="220"/>
      <c r="V411" s="220"/>
      <c r="W411" s="220"/>
    </row>
    <row r="412" ht="15.75" customHeight="1" outlineLevel="1">
      <c r="A412" s="211"/>
      <c r="B412" s="212"/>
      <c r="C412" s="213"/>
      <c r="D412" s="214" t="str">
        <f>IFERROR(VLOOKUP($C412,'PORTIFÓLIO'!C:V,2,0),"")</f>
        <v/>
      </c>
      <c r="E412" s="211" t="str">
        <f>IFERROR(VLOOKUP($C412,'PORTIFÓLIO'!C:V,3,0),"")</f>
        <v/>
      </c>
      <c r="F412" s="211" t="str">
        <f>IFERROR(VLOOKUP($C412,'PORTIFÓLIO'!C:V,4,0),"")</f>
        <v/>
      </c>
      <c r="G412" s="215" t="str">
        <f>IFERROR(VLOOKUP($C412,'PORTIFÓLIO'!C:V,5,0),"")</f>
        <v/>
      </c>
      <c r="H412" s="254" t="str">
        <f t="array" ref="H412">IFERROR(INDEX('PORTIFÓLIO'!$H$4:$H$433,MATCH($C412,'PORTIFÓLIO'!$C$4:$C$433,0)),"")</f>
        <v/>
      </c>
      <c r="I412" s="256"/>
      <c r="J412" s="218">
        <f t="shared" si="47"/>
        <v>0</v>
      </c>
      <c r="K412" s="292" t="str">
        <f t="array" ref="K412">IFERROR(I412*INDEX('PORTIFÓLIO'!$S$4:$S$433,MATCH($C412,'PORTIFÓLIO'!$C$4:$C$433,0)),"")</f>
        <v/>
      </c>
      <c r="L412" s="292" t="str">
        <f t="array" ref="L412">IFERROR(J412*INDEX('PORTIFÓLIO'!$S$4:$S$433,MATCH($C412,'PORTIFÓLIO'!$C$4:$C$433,0)),"")</f>
        <v/>
      </c>
      <c r="M412" s="220"/>
      <c r="N412" s="220"/>
      <c r="O412" s="220"/>
      <c r="P412" s="220"/>
      <c r="Q412" s="220"/>
      <c r="R412" s="220"/>
      <c r="S412" s="220"/>
      <c r="T412" s="220"/>
      <c r="U412" s="220"/>
      <c r="V412" s="220"/>
      <c r="W412" s="220"/>
    </row>
    <row r="413" ht="15.75" customHeight="1" outlineLevel="1">
      <c r="A413" s="211"/>
      <c r="B413" s="212"/>
      <c r="C413" s="213"/>
      <c r="D413" s="214" t="str">
        <f>IFERROR(VLOOKUP($C413,'PORTIFÓLIO'!C:V,2,0),"")</f>
        <v/>
      </c>
      <c r="E413" s="211" t="str">
        <f>IFERROR(VLOOKUP($C413,'PORTIFÓLIO'!C:V,3,0),"")</f>
        <v/>
      </c>
      <c r="F413" s="211" t="str">
        <f>IFERROR(VLOOKUP($C413,'PORTIFÓLIO'!C:V,4,0),"")</f>
        <v/>
      </c>
      <c r="G413" s="215" t="str">
        <f>IFERROR(VLOOKUP($C413,'PORTIFÓLIO'!C:V,5,0),"")</f>
        <v/>
      </c>
      <c r="H413" s="254" t="str">
        <f t="array" ref="H413">IFERROR(INDEX('PORTIFÓLIO'!$H$4:$H$433,MATCH($C413,'PORTIFÓLIO'!$C$4:$C$433,0)),"")</f>
        <v/>
      </c>
      <c r="I413" s="256"/>
      <c r="J413" s="218">
        <f t="shared" si="47"/>
        <v>0</v>
      </c>
      <c r="K413" s="292" t="str">
        <f t="array" ref="K413">IFERROR(I413*INDEX('PORTIFÓLIO'!$S$4:$S$433,MATCH($C413,'PORTIFÓLIO'!$C$4:$C$433,0)),"")</f>
        <v/>
      </c>
      <c r="L413" s="292" t="str">
        <f t="array" ref="L413">IFERROR(J413*INDEX('PORTIFÓLIO'!$S$4:$S$433,MATCH($C413,'PORTIFÓLIO'!$C$4:$C$433,0)),"")</f>
        <v/>
      </c>
      <c r="M413" s="220"/>
      <c r="N413" s="220"/>
      <c r="O413" s="220"/>
      <c r="P413" s="220"/>
      <c r="Q413" s="220"/>
      <c r="R413" s="220"/>
      <c r="S413" s="220"/>
      <c r="T413" s="220"/>
      <c r="U413" s="220"/>
      <c r="V413" s="220"/>
      <c r="W413" s="220"/>
    </row>
    <row r="414" ht="15.75" customHeight="1" outlineLevel="1">
      <c r="A414" s="211"/>
      <c r="B414" s="212"/>
      <c r="C414" s="213"/>
      <c r="D414" s="214" t="str">
        <f>IFERROR(VLOOKUP($C414,'PORTIFÓLIO'!C:V,2,0),"")</f>
        <v/>
      </c>
      <c r="E414" s="211" t="str">
        <f>IFERROR(VLOOKUP($C414,'PORTIFÓLIO'!C:V,3,0),"")</f>
        <v/>
      </c>
      <c r="F414" s="211" t="str">
        <f>IFERROR(VLOOKUP($C414,'PORTIFÓLIO'!C:V,4,0),"")</f>
        <v/>
      </c>
      <c r="G414" s="215" t="str">
        <f>IFERROR(VLOOKUP($C414,'PORTIFÓLIO'!C:V,5,0),"")</f>
        <v/>
      </c>
      <c r="H414" s="254" t="str">
        <f t="array" ref="H414">IFERROR(INDEX('PORTIFÓLIO'!$H$4:$H$433,MATCH($C414,'PORTIFÓLIO'!$C$4:$C$433,0)),"")</f>
        <v/>
      </c>
      <c r="I414" s="256"/>
      <c r="J414" s="218">
        <f t="shared" si="47"/>
        <v>0</v>
      </c>
      <c r="K414" s="292" t="str">
        <f t="array" ref="K414">IFERROR(I414*INDEX('PORTIFÓLIO'!$S$4:$S$433,MATCH($C414,'PORTIFÓLIO'!$C$4:$C$433,0)),"")</f>
        <v/>
      </c>
      <c r="L414" s="292" t="str">
        <f t="array" ref="L414">IFERROR(J414*INDEX('PORTIFÓLIO'!$S$4:$S$433,MATCH($C414,'PORTIFÓLIO'!$C$4:$C$433,0)),"")</f>
        <v/>
      </c>
      <c r="M414" s="220"/>
      <c r="N414" s="220"/>
      <c r="O414" s="220"/>
      <c r="P414" s="220"/>
      <c r="Q414" s="220"/>
      <c r="R414" s="220"/>
      <c r="S414" s="220"/>
      <c r="T414" s="220"/>
      <c r="U414" s="220"/>
      <c r="V414" s="220"/>
      <c r="W414" s="220"/>
    </row>
    <row r="415" ht="15.75" customHeight="1" outlineLevel="1">
      <c r="A415" s="211"/>
      <c r="B415" s="212"/>
      <c r="C415" s="213"/>
      <c r="D415" s="214" t="str">
        <f>IFERROR(VLOOKUP($C415,'PORTIFÓLIO'!C:V,2,0),"")</f>
        <v/>
      </c>
      <c r="E415" s="211" t="str">
        <f>IFERROR(VLOOKUP($C415,'PORTIFÓLIO'!C:V,3,0),"")</f>
        <v/>
      </c>
      <c r="F415" s="211" t="str">
        <f>IFERROR(VLOOKUP($C415,'PORTIFÓLIO'!C:V,4,0),"")</f>
        <v/>
      </c>
      <c r="G415" s="215" t="str">
        <f>IFERROR(VLOOKUP($C415,'PORTIFÓLIO'!C:V,5,0),"")</f>
        <v/>
      </c>
      <c r="H415" s="254" t="str">
        <f t="array" ref="H415">IFERROR(INDEX('PORTIFÓLIO'!$H$4:$H$433,MATCH($C415,'PORTIFÓLIO'!$C$4:$C$433,0)),"")</f>
        <v/>
      </c>
      <c r="I415" s="256"/>
      <c r="J415" s="218">
        <f t="shared" si="47"/>
        <v>0</v>
      </c>
      <c r="K415" s="292" t="str">
        <f t="array" ref="K415">IFERROR(I415*INDEX('PORTIFÓLIO'!$S$4:$S$433,MATCH($C415,'PORTIFÓLIO'!$C$4:$C$433,0)),"")</f>
        <v/>
      </c>
      <c r="L415" s="292" t="str">
        <f t="array" ref="L415">IFERROR(J415*INDEX('PORTIFÓLIO'!$S$4:$S$433,MATCH($C415,'PORTIFÓLIO'!$C$4:$C$433,0)),"")</f>
        <v/>
      </c>
      <c r="M415" s="220"/>
      <c r="N415" s="220"/>
      <c r="O415" s="220"/>
      <c r="P415" s="220"/>
      <c r="Q415" s="220"/>
      <c r="R415" s="220"/>
      <c r="S415" s="220"/>
      <c r="T415" s="220"/>
      <c r="U415" s="220"/>
      <c r="V415" s="220"/>
      <c r="W415" s="220"/>
    </row>
    <row r="416" ht="15.75" customHeight="1" outlineLevel="1">
      <c r="A416" s="211"/>
      <c r="B416" s="212"/>
      <c r="C416" s="213"/>
      <c r="D416" s="214" t="str">
        <f>IFERROR(VLOOKUP($C416,'PORTIFÓLIO'!C:V,2,0),"")</f>
        <v/>
      </c>
      <c r="E416" s="211" t="str">
        <f>IFERROR(VLOOKUP($C416,'PORTIFÓLIO'!C:V,3,0),"")</f>
        <v/>
      </c>
      <c r="F416" s="211" t="str">
        <f>IFERROR(VLOOKUP($C416,'PORTIFÓLIO'!C:V,4,0),"")</f>
        <v/>
      </c>
      <c r="G416" s="215" t="str">
        <f>IFERROR(VLOOKUP($C416,'PORTIFÓLIO'!C:V,5,0),"")</f>
        <v/>
      </c>
      <c r="H416" s="254" t="str">
        <f t="array" ref="H416">IFERROR(INDEX('PORTIFÓLIO'!$H$4:$H$433,MATCH($C416,'PORTIFÓLIO'!$C$4:$C$433,0)),"")</f>
        <v/>
      </c>
      <c r="I416" s="256"/>
      <c r="J416" s="218">
        <f t="shared" si="47"/>
        <v>0</v>
      </c>
      <c r="K416" s="292" t="str">
        <f t="array" ref="K416">IFERROR(I416*INDEX('PORTIFÓLIO'!$S$4:$S$433,MATCH($C416,'PORTIFÓLIO'!$C$4:$C$433,0)),"")</f>
        <v/>
      </c>
      <c r="L416" s="292" t="str">
        <f t="array" ref="L416">IFERROR(J416*INDEX('PORTIFÓLIO'!$S$4:$S$433,MATCH($C416,'PORTIFÓLIO'!$C$4:$C$433,0)),"")</f>
        <v/>
      </c>
      <c r="M416" s="220"/>
      <c r="N416" s="220"/>
      <c r="O416" s="220"/>
      <c r="P416" s="220"/>
      <c r="Q416" s="220"/>
      <c r="R416" s="220"/>
      <c r="S416" s="220"/>
      <c r="T416" s="220"/>
      <c r="U416" s="220"/>
      <c r="V416" s="220"/>
      <c r="W416" s="220"/>
    </row>
    <row r="417" ht="15.75" customHeight="1" outlineLevel="1">
      <c r="A417" s="211"/>
      <c r="B417" s="212"/>
      <c r="C417" s="213"/>
      <c r="D417" s="214" t="str">
        <f>IFERROR(VLOOKUP($C417,'PORTIFÓLIO'!C:V,2,0),"")</f>
        <v/>
      </c>
      <c r="E417" s="211" t="str">
        <f>IFERROR(VLOOKUP($C417,'PORTIFÓLIO'!C:V,3,0),"")</f>
        <v/>
      </c>
      <c r="F417" s="211" t="str">
        <f>IFERROR(VLOOKUP($C417,'PORTIFÓLIO'!C:V,4,0),"")</f>
        <v/>
      </c>
      <c r="G417" s="215" t="str">
        <f>IFERROR(VLOOKUP($C417,'PORTIFÓLIO'!C:V,5,0),"")</f>
        <v/>
      </c>
      <c r="H417" s="254" t="str">
        <f t="array" ref="H417">IFERROR(INDEX('PORTIFÓLIO'!$H$4:$H$433,MATCH($C417,'PORTIFÓLIO'!$C$4:$C$433,0)),"")</f>
        <v/>
      </c>
      <c r="I417" s="256"/>
      <c r="J417" s="218">
        <f t="shared" si="47"/>
        <v>0</v>
      </c>
      <c r="K417" s="292" t="str">
        <f t="array" ref="K417">IFERROR(I417*INDEX('PORTIFÓLIO'!$S$4:$S$433,MATCH($C417,'PORTIFÓLIO'!$C$4:$C$433,0)),"")</f>
        <v/>
      </c>
      <c r="L417" s="292" t="str">
        <f t="array" ref="L417">IFERROR(J417*INDEX('PORTIFÓLIO'!$S$4:$S$433,MATCH($C417,'PORTIFÓLIO'!$C$4:$C$433,0)),"")</f>
        <v/>
      </c>
      <c r="M417" s="220"/>
      <c r="N417" s="220"/>
      <c r="O417" s="220"/>
      <c r="P417" s="220"/>
      <c r="Q417" s="220"/>
      <c r="R417" s="220"/>
      <c r="S417" s="220"/>
      <c r="T417" s="220"/>
      <c r="U417" s="220"/>
      <c r="V417" s="220"/>
      <c r="W417" s="220"/>
    </row>
    <row r="418" ht="15.75" customHeight="1" outlineLevel="1">
      <c r="A418" s="211"/>
      <c r="B418" s="212"/>
      <c r="C418" s="213"/>
      <c r="D418" s="214" t="str">
        <f>IFERROR(VLOOKUP($C418,'PORTIFÓLIO'!C:V,2,0),"")</f>
        <v/>
      </c>
      <c r="E418" s="211" t="str">
        <f>IFERROR(VLOOKUP($C418,'PORTIFÓLIO'!C:V,3,0),"")</f>
        <v/>
      </c>
      <c r="F418" s="211" t="str">
        <f>IFERROR(VLOOKUP($C418,'PORTIFÓLIO'!C:V,4,0),"")</f>
        <v/>
      </c>
      <c r="G418" s="215" t="str">
        <f>IFERROR(VLOOKUP($C418,'PORTIFÓLIO'!C:V,5,0),"")</f>
        <v/>
      </c>
      <c r="H418" s="254" t="str">
        <f t="array" ref="H418">IFERROR(INDEX('PORTIFÓLIO'!$H$4:$H$433,MATCH($C418,'PORTIFÓLIO'!$C$4:$C$433,0)),"")</f>
        <v/>
      </c>
      <c r="I418" s="255"/>
      <c r="J418" s="218">
        <f t="shared" si="47"/>
        <v>0</v>
      </c>
      <c r="K418" s="292" t="str">
        <f t="array" ref="K418">IFERROR(I418*INDEX('PORTIFÓLIO'!$S$4:$S$433,MATCH($C418,'PORTIFÓLIO'!$C$4:$C$433,0)),"")</f>
        <v/>
      </c>
      <c r="L418" s="292" t="str">
        <f t="array" ref="L418">IFERROR(J418*INDEX('PORTIFÓLIO'!$S$4:$S$433,MATCH($C418,'PORTIFÓLIO'!$C$4:$C$433,0)),"")</f>
        <v/>
      </c>
      <c r="M418" s="220"/>
      <c r="N418" s="220"/>
      <c r="O418" s="220"/>
      <c r="P418" s="220"/>
      <c r="Q418" s="220"/>
      <c r="R418" s="220"/>
      <c r="S418" s="220"/>
      <c r="T418" s="220"/>
      <c r="U418" s="220"/>
      <c r="V418" s="220"/>
      <c r="W418" s="220"/>
    </row>
    <row r="419" ht="15.75" customHeight="1" outlineLevel="1">
      <c r="A419" s="211"/>
      <c r="B419" s="212"/>
      <c r="C419" s="213"/>
      <c r="D419" s="214" t="str">
        <f>IFERROR(VLOOKUP($C419,'PORTIFÓLIO'!C:V,2,0),"")</f>
        <v/>
      </c>
      <c r="E419" s="211" t="str">
        <f>IFERROR(VLOOKUP($C419,'PORTIFÓLIO'!C:V,3,0),"")</f>
        <v/>
      </c>
      <c r="F419" s="211" t="str">
        <f>IFERROR(VLOOKUP($C419,'PORTIFÓLIO'!C:V,4,0),"")</f>
        <v/>
      </c>
      <c r="G419" s="215" t="str">
        <f>IFERROR(VLOOKUP($C419,'PORTIFÓLIO'!C:V,5,0),"")</f>
        <v/>
      </c>
      <c r="H419" s="254" t="str">
        <f t="array" ref="H419">IFERROR(INDEX('PORTIFÓLIO'!$H$4:$H$433,MATCH($C419,'PORTIFÓLIO'!$C$4:$C$433,0)),"")</f>
        <v/>
      </c>
      <c r="I419" s="256"/>
      <c r="J419" s="218">
        <f t="shared" si="47"/>
        <v>0</v>
      </c>
      <c r="K419" s="292" t="str">
        <f t="array" ref="K419">IFERROR(I419*INDEX('PORTIFÓLIO'!$S$4:$S$433,MATCH($C419,'PORTIFÓLIO'!$C$4:$C$433,0)),"")</f>
        <v/>
      </c>
      <c r="L419" s="292" t="str">
        <f t="array" ref="L419">IFERROR(J419*INDEX('PORTIFÓLIO'!$S$4:$S$433,MATCH($C419,'PORTIFÓLIO'!$C$4:$C$433,0)),"")</f>
        <v/>
      </c>
      <c r="M419" s="220"/>
      <c r="N419" s="220"/>
      <c r="O419" s="220"/>
      <c r="P419" s="220"/>
      <c r="Q419" s="220"/>
      <c r="R419" s="220"/>
      <c r="S419" s="220"/>
      <c r="T419" s="220"/>
      <c r="U419" s="220"/>
      <c r="V419" s="220"/>
      <c r="W419" s="220"/>
    </row>
    <row r="420" ht="15.75" customHeight="1" outlineLevel="1">
      <c r="A420" s="211"/>
      <c r="B420" s="212"/>
      <c r="C420" s="213"/>
      <c r="D420" s="214" t="str">
        <f>IFERROR(VLOOKUP($C420,'PORTIFÓLIO'!C:V,2,0),"")</f>
        <v/>
      </c>
      <c r="E420" s="211" t="str">
        <f>IFERROR(VLOOKUP($C420,'PORTIFÓLIO'!C:V,3,0),"")</f>
        <v/>
      </c>
      <c r="F420" s="211" t="str">
        <f>IFERROR(VLOOKUP($C420,'PORTIFÓLIO'!C:V,4,0),"")</f>
        <v/>
      </c>
      <c r="G420" s="215" t="str">
        <f>IFERROR(VLOOKUP($C420,'PORTIFÓLIO'!C:V,5,0),"")</f>
        <v/>
      </c>
      <c r="H420" s="254" t="str">
        <f t="array" ref="H420">IFERROR(INDEX('PORTIFÓLIO'!$H$4:$H$433,MATCH($C420,'PORTIFÓLIO'!$C$4:$C$433,0)),"")</f>
        <v/>
      </c>
      <c r="I420" s="256"/>
      <c r="J420" s="218">
        <f t="shared" si="47"/>
        <v>0</v>
      </c>
      <c r="K420" s="292" t="str">
        <f t="array" ref="K420">IFERROR(I420*INDEX('PORTIFÓLIO'!$S$4:$S$433,MATCH($C420,'PORTIFÓLIO'!$C$4:$C$433,0)),"")</f>
        <v/>
      </c>
      <c r="L420" s="292" t="str">
        <f t="array" ref="L420">IFERROR(J420*INDEX('PORTIFÓLIO'!$S$4:$S$433,MATCH($C420,'PORTIFÓLIO'!$C$4:$C$433,0)),"")</f>
        <v/>
      </c>
      <c r="M420" s="220"/>
      <c r="N420" s="220"/>
      <c r="O420" s="220"/>
      <c r="P420" s="220"/>
      <c r="Q420" s="220"/>
      <c r="R420" s="220"/>
      <c r="S420" s="220"/>
      <c r="T420" s="220"/>
      <c r="U420" s="220"/>
      <c r="V420" s="220"/>
      <c r="W420" s="220"/>
    </row>
    <row r="421" ht="15.75" customHeight="1" outlineLevel="1">
      <c r="A421" s="211"/>
      <c r="B421" s="212"/>
      <c r="C421" s="213"/>
      <c r="D421" s="214" t="str">
        <f>IFERROR(VLOOKUP($C421,'PORTIFÓLIO'!C:V,2,0),"")</f>
        <v/>
      </c>
      <c r="E421" s="211" t="str">
        <f>IFERROR(VLOOKUP($C421,'PORTIFÓLIO'!C:V,3,0),"")</f>
        <v/>
      </c>
      <c r="F421" s="211" t="str">
        <f>IFERROR(VLOOKUP($C421,'PORTIFÓLIO'!C:V,4,0),"")</f>
        <v/>
      </c>
      <c r="G421" s="215" t="str">
        <f>IFERROR(VLOOKUP($C421,'PORTIFÓLIO'!C:V,5,0),"")</f>
        <v/>
      </c>
      <c r="H421" s="254" t="str">
        <f t="array" ref="H421">IFERROR(INDEX('PORTIFÓLIO'!$H$4:$H$433,MATCH($C421,'PORTIFÓLIO'!$C$4:$C$433,0)),"")</f>
        <v/>
      </c>
      <c r="I421" s="256"/>
      <c r="J421" s="218">
        <f t="shared" si="47"/>
        <v>0</v>
      </c>
      <c r="K421" s="292" t="str">
        <f t="array" ref="K421">IFERROR(I421*INDEX('PORTIFÓLIO'!$S$4:$S$433,MATCH($C421,'PORTIFÓLIO'!$C$4:$C$433,0)),"")</f>
        <v/>
      </c>
      <c r="L421" s="292" t="str">
        <f t="array" ref="L421">IFERROR(J421*INDEX('PORTIFÓLIO'!$S$4:$S$433,MATCH($C421,'PORTIFÓLIO'!$C$4:$C$433,0)),"")</f>
        <v/>
      </c>
      <c r="M421" s="220"/>
      <c r="N421" s="220"/>
      <c r="O421" s="220"/>
      <c r="P421" s="220"/>
      <c r="Q421" s="220"/>
      <c r="R421" s="220"/>
      <c r="S421" s="220"/>
      <c r="T421" s="220"/>
      <c r="U421" s="220"/>
      <c r="V421" s="220"/>
      <c r="W421" s="220"/>
    </row>
    <row r="422" ht="15.75" customHeight="1" outlineLevel="1">
      <c r="A422" s="211"/>
      <c r="B422" s="212"/>
      <c r="C422" s="213"/>
      <c r="D422" s="214" t="str">
        <f>IFERROR(VLOOKUP($C422,'PORTIFÓLIO'!C:V,2,0),"")</f>
        <v/>
      </c>
      <c r="E422" s="211" t="str">
        <f>IFERROR(VLOOKUP($C422,'PORTIFÓLIO'!C:V,3,0),"")</f>
        <v/>
      </c>
      <c r="F422" s="211" t="str">
        <f>IFERROR(VLOOKUP($C422,'PORTIFÓLIO'!C:V,4,0),"")</f>
        <v/>
      </c>
      <c r="G422" s="215" t="str">
        <f>IFERROR(VLOOKUP($C422,'PORTIFÓLIO'!C:V,5,0),"")</f>
        <v/>
      </c>
      <c r="H422" s="254" t="str">
        <f t="array" ref="H422">IFERROR(INDEX('PORTIFÓLIO'!$H$4:$H$433,MATCH($C422,'PORTIFÓLIO'!$C$4:$C$433,0)),"")</f>
        <v/>
      </c>
      <c r="I422" s="256"/>
      <c r="J422" s="218">
        <f t="shared" si="47"/>
        <v>0</v>
      </c>
      <c r="K422" s="292" t="str">
        <f t="array" ref="K422">IFERROR(I422*INDEX('PORTIFÓLIO'!$S$4:$S$433,MATCH($C422,'PORTIFÓLIO'!$C$4:$C$433,0)),"")</f>
        <v/>
      </c>
      <c r="L422" s="292" t="str">
        <f t="array" ref="L422">IFERROR(J422*INDEX('PORTIFÓLIO'!$S$4:$S$433,MATCH($C422,'PORTIFÓLIO'!$C$4:$C$433,0)),"")</f>
        <v/>
      </c>
      <c r="M422" s="220"/>
      <c r="N422" s="220"/>
      <c r="O422" s="220"/>
      <c r="P422" s="220"/>
      <c r="Q422" s="220"/>
      <c r="R422" s="220"/>
      <c r="S422" s="220"/>
      <c r="T422" s="220"/>
      <c r="U422" s="220"/>
      <c r="V422" s="220"/>
      <c r="W422" s="220"/>
    </row>
    <row r="423" ht="15.75" customHeight="1" outlineLevel="1">
      <c r="A423" s="211"/>
      <c r="B423" s="212"/>
      <c r="C423" s="213"/>
      <c r="D423" s="214" t="str">
        <f>IFERROR(VLOOKUP($C423,'PORTIFÓLIO'!C:V,2,0),"")</f>
        <v/>
      </c>
      <c r="E423" s="211" t="str">
        <f>IFERROR(VLOOKUP($C423,'PORTIFÓLIO'!C:V,3,0),"")</f>
        <v/>
      </c>
      <c r="F423" s="211" t="str">
        <f>IFERROR(VLOOKUP($C423,'PORTIFÓLIO'!C:V,4,0),"")</f>
        <v/>
      </c>
      <c r="G423" s="215" t="str">
        <f>IFERROR(VLOOKUP($C423,'PORTIFÓLIO'!C:V,5,0),"")</f>
        <v/>
      </c>
      <c r="H423" s="254" t="str">
        <f t="array" ref="H423">IFERROR(INDEX('PORTIFÓLIO'!$H$4:$H$433,MATCH($C423,'PORTIFÓLIO'!$C$4:$C$433,0)),"")</f>
        <v/>
      </c>
      <c r="I423" s="256"/>
      <c r="J423" s="218">
        <f t="shared" si="47"/>
        <v>0</v>
      </c>
      <c r="K423" s="292" t="str">
        <f t="array" ref="K423">IFERROR(I423*INDEX('PORTIFÓLIO'!$S$4:$S$433,MATCH($C423,'PORTIFÓLIO'!$C$4:$C$433,0)),"")</f>
        <v/>
      </c>
      <c r="L423" s="292" t="str">
        <f t="array" ref="L423">IFERROR(J423*INDEX('PORTIFÓLIO'!$S$4:$S$433,MATCH($C423,'PORTIFÓLIO'!$C$4:$C$433,0)),"")</f>
        <v/>
      </c>
      <c r="M423" s="220"/>
      <c r="N423" s="220"/>
      <c r="O423" s="220"/>
      <c r="P423" s="220"/>
      <c r="Q423" s="220"/>
      <c r="R423" s="220"/>
      <c r="S423" s="220"/>
      <c r="T423" s="220"/>
      <c r="U423" s="220"/>
      <c r="V423" s="220"/>
      <c r="W423" s="220"/>
    </row>
    <row r="424" ht="15.75" customHeight="1" outlineLevel="1">
      <c r="A424" s="211"/>
      <c r="B424" s="212"/>
      <c r="C424" s="213"/>
      <c r="D424" s="214" t="str">
        <f>IFERROR(VLOOKUP($C424,'PORTIFÓLIO'!C:V,2,0),"")</f>
        <v/>
      </c>
      <c r="E424" s="211" t="str">
        <f>IFERROR(VLOOKUP($C424,'PORTIFÓLIO'!C:V,3,0),"")</f>
        <v/>
      </c>
      <c r="F424" s="211" t="str">
        <f>IFERROR(VLOOKUP($C424,'PORTIFÓLIO'!C:V,4,0),"")</f>
        <v/>
      </c>
      <c r="G424" s="215" t="str">
        <f>IFERROR(VLOOKUP($C424,'PORTIFÓLIO'!C:V,5,0),"")</f>
        <v/>
      </c>
      <c r="H424" s="254" t="str">
        <f t="array" ref="H424">IFERROR(INDEX('PORTIFÓLIO'!$H$4:$H$433,MATCH($C424,'PORTIFÓLIO'!$C$4:$C$433,0)),"")</f>
        <v/>
      </c>
      <c r="I424" s="256"/>
      <c r="J424" s="218">
        <f t="shared" si="47"/>
        <v>0</v>
      </c>
      <c r="K424" s="292" t="str">
        <f t="array" ref="K424">IFERROR(I424*INDEX('PORTIFÓLIO'!$S$4:$S$433,MATCH($C424,'PORTIFÓLIO'!$C$4:$C$433,0)),"")</f>
        <v/>
      </c>
      <c r="L424" s="292" t="str">
        <f t="array" ref="L424">IFERROR(J424*INDEX('PORTIFÓLIO'!$S$4:$S$433,MATCH($C424,'PORTIFÓLIO'!$C$4:$C$433,0)),"")</f>
        <v/>
      </c>
      <c r="M424" s="220"/>
      <c r="N424" s="220"/>
      <c r="O424" s="220"/>
      <c r="P424" s="220"/>
      <c r="Q424" s="220"/>
      <c r="R424" s="220"/>
      <c r="S424" s="220"/>
      <c r="T424" s="220"/>
      <c r="U424" s="220"/>
      <c r="V424" s="220"/>
      <c r="W424" s="220"/>
    </row>
    <row r="425" ht="15.75" customHeight="1" outlineLevel="1">
      <c r="A425" s="211"/>
      <c r="B425" s="227"/>
      <c r="C425" s="211"/>
      <c r="D425" s="214" t="str">
        <f>IFERROR(VLOOKUP($C425,'PORTIFÓLIO'!C:V,2,0),"")</f>
        <v/>
      </c>
      <c r="E425" s="211" t="str">
        <f>IFERROR(VLOOKUP($C425,'PORTIFÓLIO'!C:V,3,0),"")</f>
        <v/>
      </c>
      <c r="F425" s="211" t="str">
        <f>IFERROR(VLOOKUP($C425,'PORTIFÓLIO'!C:V,4,0),"")</f>
        <v/>
      </c>
      <c r="G425" s="215" t="str">
        <f>IFERROR(VLOOKUP($C425,'PORTIFÓLIO'!C:V,5,0),"")</f>
        <v/>
      </c>
      <c r="H425" s="254" t="str">
        <f t="array" ref="H425">IFERROR(INDEX('PORTIFÓLIO'!$H$4:$H$433,MATCH($C425,'PORTIFÓLIO'!$C$4:$C$433,0)),"")</f>
        <v/>
      </c>
      <c r="I425" s="256"/>
      <c r="J425" s="218">
        <f t="shared" si="47"/>
        <v>0</v>
      </c>
      <c r="K425" s="292" t="str">
        <f t="array" ref="K425">IFERROR(I425*INDEX('PORTIFÓLIO'!$S$4:$S$433,MATCH($C425,'PORTIFÓLIO'!$C$4:$C$433,0)),"")</f>
        <v/>
      </c>
      <c r="L425" s="292" t="str">
        <f t="array" ref="L425">IFERROR(J425*INDEX('PORTIFÓLIO'!$S$4:$S$433,MATCH($C425,'PORTIFÓLIO'!$C$4:$C$433,0)),"")</f>
        <v/>
      </c>
      <c r="M425" s="220"/>
      <c r="N425" s="220"/>
      <c r="O425" s="220"/>
      <c r="P425" s="220"/>
      <c r="Q425" s="220"/>
      <c r="R425" s="220"/>
      <c r="S425" s="220"/>
      <c r="T425" s="220"/>
      <c r="U425" s="220"/>
      <c r="V425" s="220"/>
      <c r="W425" s="220"/>
    </row>
    <row r="426" ht="15.75" customHeight="1" outlineLevel="1">
      <c r="A426" s="211"/>
      <c r="B426" s="227"/>
      <c r="C426" s="211"/>
      <c r="D426" s="214" t="str">
        <f>IFERROR(VLOOKUP($C426,'PORTIFÓLIO'!C:V,2,0),"")</f>
        <v/>
      </c>
      <c r="E426" s="211" t="str">
        <f>IFERROR(VLOOKUP($C426,'PORTIFÓLIO'!C:V,3,0),"")</f>
        <v/>
      </c>
      <c r="F426" s="211" t="str">
        <f>IFERROR(VLOOKUP($C426,'PORTIFÓLIO'!C:V,4,0),"")</f>
        <v/>
      </c>
      <c r="G426" s="215" t="str">
        <f>IFERROR(VLOOKUP($C426,'PORTIFÓLIO'!C:V,5,0),"")</f>
        <v/>
      </c>
      <c r="H426" s="254" t="str">
        <f t="array" ref="H426">IFERROR(INDEX('PORTIFÓLIO'!$H$4:$H$433,MATCH($C426,'PORTIFÓLIO'!$C$4:$C$433,0)),"")</f>
        <v/>
      </c>
      <c r="I426" s="256"/>
      <c r="J426" s="218">
        <f t="shared" si="47"/>
        <v>0</v>
      </c>
      <c r="K426" s="292" t="str">
        <f t="array" ref="K426">IFERROR(I426*INDEX('PORTIFÓLIO'!$S$4:$S$433,MATCH($C426,'PORTIFÓLIO'!$C$4:$C$433,0)),"")</f>
        <v/>
      </c>
      <c r="L426" s="292" t="str">
        <f t="array" ref="L426">IFERROR(J426*INDEX('PORTIFÓLIO'!$S$4:$S$433,MATCH($C426,'PORTIFÓLIO'!$C$4:$C$433,0)),"")</f>
        <v/>
      </c>
      <c r="U426" s="79"/>
    </row>
    <row r="427" ht="15.75" customHeight="1">
      <c r="A427" s="229" t="s">
        <v>1202</v>
      </c>
      <c r="B427" s="230"/>
      <c r="C427" s="231"/>
      <c r="D427" s="232"/>
      <c r="E427" s="231"/>
      <c r="F427" s="231"/>
      <c r="G427" s="233"/>
      <c r="H427" s="233"/>
      <c r="I427" s="258"/>
      <c r="J427" s="236"/>
      <c r="K427" s="237">
        <f t="shared" ref="K427:L427" si="48">SUBTOTAL(9,K428:K441)</f>
        <v>0</v>
      </c>
      <c r="L427" s="237">
        <f t="shared" si="48"/>
        <v>0</v>
      </c>
      <c r="U427" s="79"/>
    </row>
    <row r="428" ht="15.75" customHeight="1" outlineLevel="1">
      <c r="A428" s="213"/>
      <c r="B428" s="212"/>
      <c r="C428" s="213"/>
      <c r="D428" s="214" t="str">
        <f>IFERROR(VLOOKUP($C428,'PORTIFÓLIO'!C:V,2,0),"")</f>
        <v/>
      </c>
      <c r="E428" s="211" t="str">
        <f>IFERROR(VLOOKUP($C428,'PORTIFÓLIO'!C:V,3,0),"")</f>
        <v/>
      </c>
      <c r="F428" s="211" t="str">
        <f>IFERROR(VLOOKUP($C428,'PORTIFÓLIO'!C:V,4,0),"")</f>
        <v/>
      </c>
      <c r="G428" s="215" t="str">
        <f>IFERROR(VLOOKUP($C428,'PORTIFÓLIO'!C:V,5,0),"")</f>
        <v/>
      </c>
      <c r="H428" s="254" t="str">
        <f t="array" ref="H428">IFERROR(INDEX('PORTIFÓLIO'!$H$4:$H$433,MATCH($C428,'PORTIFÓLIO'!$C$4:$C$433,0)),"")</f>
        <v/>
      </c>
      <c r="I428" s="256"/>
      <c r="J428" s="218">
        <f t="shared" ref="J428:J451" si="49">I428*$B$2</f>
        <v>0</v>
      </c>
      <c r="K428" s="292" t="str">
        <f t="array" ref="K428">IFERROR(I428*INDEX('PORTIFÓLIO'!$S$4:$S$433,MATCH($C428,'PORTIFÓLIO'!$C$4:$C$433,0)),"")</f>
        <v/>
      </c>
      <c r="L428" s="292" t="str">
        <f t="array" ref="L428">IFERROR(J428*INDEX('PORTIFÓLIO'!$S$4:$S$433,MATCH($C428,'PORTIFÓLIO'!$C$4:$C$433,0)),"")</f>
        <v/>
      </c>
      <c r="U428" s="79"/>
    </row>
    <row r="429" ht="15.75" customHeight="1" outlineLevel="1">
      <c r="A429" s="211"/>
      <c r="B429" s="212"/>
      <c r="C429" s="213"/>
      <c r="D429" s="214" t="str">
        <f>IFERROR(VLOOKUP($C429,'PORTIFÓLIO'!C:V,2,0),"")</f>
        <v/>
      </c>
      <c r="E429" s="211" t="str">
        <f>IFERROR(VLOOKUP($C429,'PORTIFÓLIO'!C:V,3,0),"")</f>
        <v/>
      </c>
      <c r="F429" s="211" t="str">
        <f>IFERROR(VLOOKUP($C429,'PORTIFÓLIO'!C:V,4,0),"")</f>
        <v/>
      </c>
      <c r="G429" s="215" t="str">
        <f>IFERROR(VLOOKUP($C429,'PORTIFÓLIO'!C:V,5,0),"")</f>
        <v/>
      </c>
      <c r="H429" s="254" t="str">
        <f t="array" ref="H429">IFERROR(INDEX('PORTIFÓLIO'!$H$4:$H$433,MATCH($C429,'PORTIFÓLIO'!$C$4:$C$433,0)),"")</f>
        <v/>
      </c>
      <c r="I429" s="256"/>
      <c r="J429" s="218">
        <f t="shared" si="49"/>
        <v>0</v>
      </c>
      <c r="K429" s="292" t="str">
        <f t="array" ref="K429">IFERROR(I429*INDEX('PORTIFÓLIO'!$S$4:$S$433,MATCH($C429,'PORTIFÓLIO'!$C$4:$C$433,0)),"")</f>
        <v/>
      </c>
      <c r="L429" s="292" t="str">
        <f t="array" ref="L429">IFERROR(J429*INDEX('PORTIFÓLIO'!$S$4:$S$433,MATCH($C429,'PORTIFÓLIO'!$C$4:$C$433,0)),"")</f>
        <v/>
      </c>
      <c r="U429" s="79"/>
    </row>
    <row r="430" ht="15.75" customHeight="1" outlineLevel="1">
      <c r="A430" s="211"/>
      <c r="B430" s="212"/>
      <c r="C430" s="213"/>
      <c r="D430" s="214" t="str">
        <f>IFERROR(VLOOKUP($C430,'PORTIFÓLIO'!C:V,2,0),"")</f>
        <v/>
      </c>
      <c r="E430" s="211" t="str">
        <f>IFERROR(VLOOKUP($C430,'PORTIFÓLIO'!C:V,3,0),"")</f>
        <v/>
      </c>
      <c r="F430" s="211" t="str">
        <f>IFERROR(VLOOKUP($C430,'PORTIFÓLIO'!C:V,4,0),"")</f>
        <v/>
      </c>
      <c r="G430" s="215" t="str">
        <f>IFERROR(VLOOKUP($C430,'PORTIFÓLIO'!C:V,5,0),"")</f>
        <v/>
      </c>
      <c r="H430" s="254" t="str">
        <f t="array" ref="H430">IFERROR(INDEX('PORTIFÓLIO'!$H$4:$H$433,MATCH($C430,'PORTIFÓLIO'!$C$4:$C$433,0)),"")</f>
        <v/>
      </c>
      <c r="I430" s="256"/>
      <c r="J430" s="218">
        <f t="shared" si="49"/>
        <v>0</v>
      </c>
      <c r="K430" s="292" t="str">
        <f t="array" ref="K430">IFERROR(I430*INDEX('PORTIFÓLIO'!$S$4:$S$433,MATCH($C430,'PORTIFÓLIO'!$C$4:$C$433,0)),"")</f>
        <v/>
      </c>
      <c r="L430" s="292" t="str">
        <f t="array" ref="L430">IFERROR(J430*INDEX('PORTIFÓLIO'!$S$4:$S$433,MATCH($C430,'PORTIFÓLIO'!$C$4:$C$433,0)),"")</f>
        <v/>
      </c>
      <c r="U430" s="79"/>
    </row>
    <row r="431" ht="15.75" customHeight="1" outlineLevel="1">
      <c r="A431" s="211"/>
      <c r="B431" s="212"/>
      <c r="C431" s="213"/>
      <c r="D431" s="214" t="str">
        <f>IFERROR(VLOOKUP($C431,'PORTIFÓLIO'!C:V,2,0),"")</f>
        <v/>
      </c>
      <c r="E431" s="211" t="str">
        <f>IFERROR(VLOOKUP($C431,'PORTIFÓLIO'!C:V,3,0),"")</f>
        <v/>
      </c>
      <c r="F431" s="211" t="str">
        <f>IFERROR(VLOOKUP($C431,'PORTIFÓLIO'!C:V,4,0),"")</f>
        <v/>
      </c>
      <c r="G431" s="215" t="str">
        <f>IFERROR(VLOOKUP($C431,'PORTIFÓLIO'!C:V,5,0),"")</f>
        <v/>
      </c>
      <c r="H431" s="254" t="str">
        <f t="array" ref="H431">IFERROR(INDEX('PORTIFÓLIO'!$H$4:$H$433,MATCH($C431,'PORTIFÓLIO'!$C$4:$C$433,0)),"")</f>
        <v/>
      </c>
      <c r="I431" s="256"/>
      <c r="J431" s="218">
        <f t="shared" si="49"/>
        <v>0</v>
      </c>
      <c r="K431" s="292" t="str">
        <f t="array" ref="K431">IFERROR(I431*INDEX('PORTIFÓLIO'!$S$4:$S$433,MATCH($C431,'PORTIFÓLIO'!$C$4:$C$433,0)),"")</f>
        <v/>
      </c>
      <c r="L431" s="292" t="str">
        <f t="array" ref="L431">IFERROR(J431*INDEX('PORTIFÓLIO'!$S$4:$S$433,MATCH($C431,'PORTIFÓLIO'!$C$4:$C$433,0)),"")</f>
        <v/>
      </c>
      <c r="U431" s="79"/>
    </row>
    <row r="432" ht="15.75" customHeight="1" outlineLevel="1">
      <c r="A432" s="211"/>
      <c r="B432" s="212"/>
      <c r="C432" s="213"/>
      <c r="D432" s="214" t="str">
        <f>IFERROR(VLOOKUP($C432,'PORTIFÓLIO'!C:V,2,0),"")</f>
        <v/>
      </c>
      <c r="E432" s="211" t="str">
        <f>IFERROR(VLOOKUP($C432,'PORTIFÓLIO'!C:V,3,0),"")</f>
        <v/>
      </c>
      <c r="F432" s="211" t="str">
        <f>IFERROR(VLOOKUP($C432,'PORTIFÓLIO'!C:V,4,0),"")</f>
        <v/>
      </c>
      <c r="G432" s="215" t="str">
        <f>IFERROR(VLOOKUP($C432,'PORTIFÓLIO'!C:V,5,0),"")</f>
        <v/>
      </c>
      <c r="H432" s="254" t="str">
        <f t="array" ref="H432">IFERROR(INDEX('PORTIFÓLIO'!$H$4:$H$433,MATCH($C432,'PORTIFÓLIO'!$C$4:$C$433,0)),"")</f>
        <v/>
      </c>
      <c r="I432" s="256"/>
      <c r="J432" s="218">
        <f t="shared" si="49"/>
        <v>0</v>
      </c>
      <c r="K432" s="292" t="str">
        <f t="array" ref="K432">IFERROR(I432*INDEX('PORTIFÓLIO'!$S$4:$S$433,MATCH($C432,'PORTIFÓLIO'!$C$4:$C$433,0)),"")</f>
        <v/>
      </c>
      <c r="L432" s="292" t="str">
        <f t="array" ref="L432">IFERROR(J432*INDEX('PORTIFÓLIO'!$S$4:$S$433,MATCH($C432,'PORTIFÓLIO'!$C$4:$C$433,0)),"")</f>
        <v/>
      </c>
      <c r="U432" s="79"/>
    </row>
    <row r="433" ht="15.75" customHeight="1" outlineLevel="1">
      <c r="A433" s="211"/>
      <c r="B433" s="212"/>
      <c r="C433" s="213"/>
      <c r="D433" s="214" t="str">
        <f>IFERROR(VLOOKUP($C433,'PORTIFÓLIO'!C:V,2,0),"")</f>
        <v/>
      </c>
      <c r="E433" s="211" t="str">
        <f>IFERROR(VLOOKUP($C433,'PORTIFÓLIO'!C:V,3,0),"")</f>
        <v/>
      </c>
      <c r="F433" s="211" t="str">
        <f>IFERROR(VLOOKUP($C433,'PORTIFÓLIO'!C:V,4,0),"")</f>
        <v/>
      </c>
      <c r="G433" s="215" t="str">
        <f>IFERROR(VLOOKUP($C433,'PORTIFÓLIO'!C:V,5,0),"")</f>
        <v/>
      </c>
      <c r="H433" s="254" t="str">
        <f t="array" ref="H433">IFERROR(INDEX('PORTIFÓLIO'!$H$4:$H$433,MATCH($C433,'PORTIFÓLIO'!$C$4:$C$433,0)),"")</f>
        <v/>
      </c>
      <c r="I433" s="256"/>
      <c r="J433" s="218">
        <f t="shared" si="49"/>
        <v>0</v>
      </c>
      <c r="K433" s="292" t="str">
        <f t="array" ref="K433">IFERROR(I433*INDEX('PORTIFÓLIO'!$S$4:$S$433,MATCH($C433,'PORTIFÓLIO'!$C$4:$C$433,0)),"")</f>
        <v/>
      </c>
      <c r="L433" s="292" t="str">
        <f t="array" ref="L433">IFERROR(J433*INDEX('PORTIFÓLIO'!$S$4:$S$433,MATCH($C433,'PORTIFÓLIO'!$C$4:$C$433,0)),"")</f>
        <v/>
      </c>
      <c r="U433" s="79"/>
    </row>
    <row r="434" ht="15.75" customHeight="1" outlineLevel="1">
      <c r="A434" s="211"/>
      <c r="B434" s="212"/>
      <c r="C434" s="213"/>
      <c r="D434" s="214" t="str">
        <f>IFERROR(VLOOKUP($C434,'PORTIFÓLIO'!C:V,2,0),"")</f>
        <v/>
      </c>
      <c r="E434" s="211" t="str">
        <f>IFERROR(VLOOKUP($C434,'PORTIFÓLIO'!C:V,3,0),"")</f>
        <v/>
      </c>
      <c r="F434" s="211" t="str">
        <f>IFERROR(VLOOKUP($C434,'PORTIFÓLIO'!C:V,4,0),"")</f>
        <v/>
      </c>
      <c r="G434" s="215" t="str">
        <f>IFERROR(VLOOKUP($C434,'PORTIFÓLIO'!C:V,5,0),"")</f>
        <v/>
      </c>
      <c r="H434" s="254" t="str">
        <f t="array" ref="H434">IFERROR(INDEX('PORTIFÓLIO'!$H$4:$H$433,MATCH($C434,'PORTIFÓLIO'!$C$4:$C$433,0)),"")</f>
        <v/>
      </c>
      <c r="I434" s="256"/>
      <c r="J434" s="218">
        <f t="shared" si="49"/>
        <v>0</v>
      </c>
      <c r="K434" s="292" t="str">
        <f t="array" ref="K434">IFERROR(I434*INDEX('PORTIFÓLIO'!$S$4:$S$433,MATCH($C434,'PORTIFÓLIO'!$C$4:$C$433,0)),"")</f>
        <v/>
      </c>
      <c r="L434" s="292" t="str">
        <f t="array" ref="L434">IFERROR(J434*INDEX('PORTIFÓLIO'!$S$4:$S$433,MATCH($C434,'PORTIFÓLIO'!$C$4:$C$433,0)),"")</f>
        <v/>
      </c>
      <c r="U434" s="79"/>
    </row>
    <row r="435" ht="15.75" customHeight="1" outlineLevel="1">
      <c r="A435" s="211"/>
      <c r="B435" s="212"/>
      <c r="C435" s="213"/>
      <c r="D435" s="214" t="str">
        <f>IFERROR(VLOOKUP($C435,'PORTIFÓLIO'!C:V,2,0),"")</f>
        <v/>
      </c>
      <c r="E435" s="211" t="str">
        <f>IFERROR(VLOOKUP($C435,'PORTIFÓLIO'!C:V,3,0),"")</f>
        <v/>
      </c>
      <c r="F435" s="211" t="str">
        <f>IFERROR(VLOOKUP($C435,'PORTIFÓLIO'!C:V,4,0),"")</f>
        <v/>
      </c>
      <c r="G435" s="215" t="str">
        <f>IFERROR(VLOOKUP($C435,'PORTIFÓLIO'!C:V,5,0),"")</f>
        <v/>
      </c>
      <c r="H435" s="254" t="str">
        <f t="array" ref="H435">IFERROR(INDEX('PORTIFÓLIO'!$H$4:$H$433,MATCH($C435,'PORTIFÓLIO'!$C$4:$C$433,0)),"")</f>
        <v/>
      </c>
      <c r="I435" s="256"/>
      <c r="J435" s="218">
        <f t="shared" si="49"/>
        <v>0</v>
      </c>
      <c r="K435" s="292" t="str">
        <f t="array" ref="K435">IFERROR(I435*INDEX('PORTIFÓLIO'!$S$4:$S$433,MATCH($C435,'PORTIFÓLIO'!$C$4:$C$433,0)),"")</f>
        <v/>
      </c>
      <c r="L435" s="292" t="str">
        <f t="array" ref="L435">IFERROR(J435*INDEX('PORTIFÓLIO'!$S$4:$S$433,MATCH($C435,'PORTIFÓLIO'!$C$4:$C$433,0)),"")</f>
        <v/>
      </c>
      <c r="U435" s="79"/>
    </row>
    <row r="436" ht="15.75" customHeight="1" outlineLevel="1">
      <c r="A436" s="211"/>
      <c r="B436" s="212"/>
      <c r="C436" s="213"/>
      <c r="D436" s="214" t="str">
        <f>IFERROR(VLOOKUP($C436,'PORTIFÓLIO'!C:V,2,0),"")</f>
        <v/>
      </c>
      <c r="E436" s="211" t="str">
        <f>IFERROR(VLOOKUP($C436,'PORTIFÓLIO'!C:V,3,0),"")</f>
        <v/>
      </c>
      <c r="F436" s="211" t="str">
        <f>IFERROR(VLOOKUP($C436,'PORTIFÓLIO'!C:V,4,0),"")</f>
        <v/>
      </c>
      <c r="G436" s="215" t="str">
        <f>IFERROR(VLOOKUP($C436,'PORTIFÓLIO'!C:V,5,0),"")</f>
        <v/>
      </c>
      <c r="H436" s="254" t="str">
        <f t="array" ref="H436">IFERROR(INDEX('PORTIFÓLIO'!$H$4:$H$433,MATCH($C436,'PORTIFÓLIO'!$C$4:$C$433,0)),"")</f>
        <v/>
      </c>
      <c r="I436" s="256"/>
      <c r="J436" s="218">
        <f t="shared" si="49"/>
        <v>0</v>
      </c>
      <c r="K436" s="292" t="str">
        <f t="array" ref="K436">IFERROR(I436*INDEX('PORTIFÓLIO'!$S$4:$S$433,MATCH($C436,'PORTIFÓLIO'!$C$4:$C$433,0)),"")</f>
        <v/>
      </c>
      <c r="L436" s="292" t="str">
        <f t="array" ref="L436">IFERROR(J436*INDEX('PORTIFÓLIO'!$S$4:$S$433,MATCH($C436,'PORTIFÓLIO'!$C$4:$C$433,0)),"")</f>
        <v/>
      </c>
      <c r="U436" s="79"/>
    </row>
    <row r="437" ht="15.75" customHeight="1" outlineLevel="1">
      <c r="A437" s="211"/>
      <c r="B437" s="212"/>
      <c r="C437" s="213"/>
      <c r="D437" s="214" t="str">
        <f>IFERROR(VLOOKUP($C437,'PORTIFÓLIO'!C:V,2,0),"")</f>
        <v/>
      </c>
      <c r="E437" s="211" t="str">
        <f>IFERROR(VLOOKUP($C437,'PORTIFÓLIO'!C:V,3,0),"")</f>
        <v/>
      </c>
      <c r="F437" s="211" t="str">
        <f>IFERROR(VLOOKUP($C437,'PORTIFÓLIO'!C:V,4,0),"")</f>
        <v/>
      </c>
      <c r="G437" s="215" t="str">
        <f>IFERROR(VLOOKUP($C437,'PORTIFÓLIO'!C:V,5,0),"")</f>
        <v/>
      </c>
      <c r="H437" s="254" t="str">
        <f t="array" ref="H437">IFERROR(INDEX('PORTIFÓLIO'!$H$4:$H$433,MATCH($C437,'PORTIFÓLIO'!$C$4:$C$433,0)),"")</f>
        <v/>
      </c>
      <c r="I437" s="256"/>
      <c r="J437" s="218">
        <f t="shared" si="49"/>
        <v>0</v>
      </c>
      <c r="K437" s="292" t="str">
        <f t="array" ref="K437">IFERROR(I437*INDEX('PORTIFÓLIO'!$S$4:$S$433,MATCH($C437,'PORTIFÓLIO'!$C$4:$C$433,0)),"")</f>
        <v/>
      </c>
      <c r="L437" s="292" t="str">
        <f t="array" ref="L437">IFERROR(J437*INDEX('PORTIFÓLIO'!$S$4:$S$433,MATCH($C437,'PORTIFÓLIO'!$C$4:$C$433,0)),"")</f>
        <v/>
      </c>
      <c r="U437" s="79"/>
    </row>
    <row r="438" ht="15.75" customHeight="1" outlineLevel="1">
      <c r="A438" s="211"/>
      <c r="B438" s="212"/>
      <c r="C438" s="213"/>
      <c r="D438" s="214" t="str">
        <f>IFERROR(VLOOKUP($C438,'PORTIFÓLIO'!C:V,2,0),"")</f>
        <v/>
      </c>
      <c r="E438" s="211" t="str">
        <f>IFERROR(VLOOKUP($C438,'PORTIFÓLIO'!C:V,3,0),"")</f>
        <v/>
      </c>
      <c r="F438" s="211" t="str">
        <f>IFERROR(VLOOKUP($C438,'PORTIFÓLIO'!C:V,4,0),"")</f>
        <v/>
      </c>
      <c r="G438" s="215" t="str">
        <f>IFERROR(VLOOKUP($C438,'PORTIFÓLIO'!C:V,5,0),"")</f>
        <v/>
      </c>
      <c r="H438" s="254" t="str">
        <f t="array" ref="H438">IFERROR(INDEX('PORTIFÓLIO'!$H$4:$H$433,MATCH($C438,'PORTIFÓLIO'!$C$4:$C$433,0)),"")</f>
        <v/>
      </c>
      <c r="I438" s="256"/>
      <c r="J438" s="218">
        <f t="shared" si="49"/>
        <v>0</v>
      </c>
      <c r="K438" s="292" t="str">
        <f t="array" ref="K438">IFERROR(I438*INDEX('PORTIFÓLIO'!$S$4:$S$433,MATCH($C438,'PORTIFÓLIO'!$C$4:$C$433,0)),"")</f>
        <v/>
      </c>
      <c r="L438" s="292" t="str">
        <f t="array" ref="L438">IFERROR(J438*INDEX('PORTIFÓLIO'!$S$4:$S$433,MATCH($C438,'PORTIFÓLIO'!$C$4:$C$433,0)),"")</f>
        <v/>
      </c>
      <c r="U438" s="79"/>
    </row>
    <row r="439" ht="15.75" customHeight="1" outlineLevel="1">
      <c r="A439" s="211"/>
      <c r="B439" s="212"/>
      <c r="C439" s="213"/>
      <c r="D439" s="214" t="str">
        <f>IFERROR(VLOOKUP($C439,'PORTIFÓLIO'!C:V,2,0),"")</f>
        <v/>
      </c>
      <c r="E439" s="211" t="str">
        <f>IFERROR(VLOOKUP($C439,'PORTIFÓLIO'!C:V,3,0),"")</f>
        <v/>
      </c>
      <c r="F439" s="211" t="str">
        <f>IFERROR(VLOOKUP($C439,'PORTIFÓLIO'!C:V,4,0),"")</f>
        <v/>
      </c>
      <c r="G439" s="215" t="str">
        <f>IFERROR(VLOOKUP($C439,'PORTIFÓLIO'!C:V,5,0),"")</f>
        <v/>
      </c>
      <c r="H439" s="254" t="str">
        <f t="array" ref="H439">IFERROR(INDEX('PORTIFÓLIO'!$H$4:$H$433,MATCH($C439,'PORTIFÓLIO'!$C$4:$C$433,0)),"")</f>
        <v/>
      </c>
      <c r="I439" s="256"/>
      <c r="J439" s="218">
        <f t="shared" si="49"/>
        <v>0</v>
      </c>
      <c r="K439" s="292" t="str">
        <f t="array" ref="K439">IFERROR(I439*INDEX('PORTIFÓLIO'!$S$4:$S$433,MATCH($C439,'PORTIFÓLIO'!$C$4:$C$433,0)),"")</f>
        <v/>
      </c>
      <c r="L439" s="292" t="str">
        <f t="array" ref="L439">IFERROR(J439*INDEX('PORTIFÓLIO'!$S$4:$S$433,MATCH($C439,'PORTIFÓLIO'!$C$4:$C$433,0)),"")</f>
        <v/>
      </c>
      <c r="U439" s="79"/>
    </row>
    <row r="440" ht="15.75" customHeight="1" outlineLevel="1">
      <c r="A440" s="211"/>
      <c r="B440" s="212"/>
      <c r="C440" s="213"/>
      <c r="D440" s="214" t="str">
        <f>IFERROR(VLOOKUP($C440,'PORTIFÓLIO'!C:V,2,0),"")</f>
        <v/>
      </c>
      <c r="E440" s="211" t="str">
        <f>IFERROR(VLOOKUP($C440,'PORTIFÓLIO'!C:V,3,0),"")</f>
        <v/>
      </c>
      <c r="F440" s="211" t="str">
        <f>IFERROR(VLOOKUP($C440,'PORTIFÓLIO'!C:V,4,0),"")</f>
        <v/>
      </c>
      <c r="G440" s="215" t="str">
        <f>IFERROR(VLOOKUP($C440,'PORTIFÓLIO'!C:V,5,0),"")</f>
        <v/>
      </c>
      <c r="H440" s="254" t="str">
        <f t="array" ref="H440">IFERROR(INDEX('PORTIFÓLIO'!$H$4:$H$433,MATCH($C440,'PORTIFÓLIO'!$C$4:$C$433,0)),"")</f>
        <v/>
      </c>
      <c r="I440" s="256"/>
      <c r="J440" s="218">
        <f t="shared" si="49"/>
        <v>0</v>
      </c>
      <c r="K440" s="292" t="str">
        <f t="array" ref="K440">IFERROR(I440*INDEX('PORTIFÓLIO'!$S$4:$S$433,MATCH($C440,'PORTIFÓLIO'!$C$4:$C$433,0)),"")</f>
        <v/>
      </c>
      <c r="L440" s="292" t="str">
        <f t="array" ref="L440">IFERROR(J440*INDEX('PORTIFÓLIO'!$S$4:$S$433,MATCH($C440,'PORTIFÓLIO'!$C$4:$C$433,0)),"")</f>
        <v/>
      </c>
      <c r="U440" s="79"/>
    </row>
    <row r="441" ht="15.75" customHeight="1" outlineLevel="1">
      <c r="A441" s="211"/>
      <c r="B441" s="212"/>
      <c r="C441" s="213"/>
      <c r="D441" s="214" t="str">
        <f>IFERROR(VLOOKUP($C441,'PORTIFÓLIO'!C:V,2,0),"")</f>
        <v/>
      </c>
      <c r="E441" s="211" t="str">
        <f>IFERROR(VLOOKUP($C441,'PORTIFÓLIO'!C:V,3,0),"")</f>
        <v/>
      </c>
      <c r="F441" s="211" t="str">
        <f>IFERROR(VLOOKUP($C441,'PORTIFÓLIO'!C:V,4,0),"")</f>
        <v/>
      </c>
      <c r="G441" s="215" t="str">
        <f>IFERROR(VLOOKUP($C441,'PORTIFÓLIO'!C:V,5,0),"")</f>
        <v/>
      </c>
      <c r="H441" s="254" t="str">
        <f t="array" ref="H441">IFERROR(INDEX('PORTIFÓLIO'!$H$4:$H$433,MATCH($C441,'PORTIFÓLIO'!$C$4:$C$433,0)),"")</f>
        <v/>
      </c>
      <c r="I441" s="256"/>
      <c r="J441" s="218">
        <f t="shared" si="49"/>
        <v>0</v>
      </c>
      <c r="K441" s="292" t="str">
        <f t="array" ref="K441">IFERROR(I441*INDEX('PORTIFÓLIO'!$S$4:$S$433,MATCH($C441,'PORTIFÓLIO'!$C$4:$C$433,0)),"")</f>
        <v/>
      </c>
      <c r="L441" s="292" t="str">
        <f t="array" ref="L441">IFERROR(J441*INDEX('PORTIFÓLIO'!$S$4:$S$433,MATCH($C441,'PORTIFÓLIO'!$C$4:$C$433,0)),"")</f>
        <v/>
      </c>
      <c r="U441" s="79"/>
    </row>
    <row r="442" ht="15.75" customHeight="1" outlineLevel="1">
      <c r="A442" s="211"/>
      <c r="B442" s="212"/>
      <c r="C442" s="213"/>
      <c r="D442" s="214" t="str">
        <f>IFERROR(VLOOKUP($C442,'PORTIFÓLIO'!C:V,2,0),"")</f>
        <v/>
      </c>
      <c r="E442" s="211" t="str">
        <f>IFERROR(VLOOKUP($C442,'PORTIFÓLIO'!C:V,3,0),"")</f>
        <v/>
      </c>
      <c r="F442" s="211" t="str">
        <f>IFERROR(VLOOKUP($C442,'PORTIFÓLIO'!C:V,4,0),"")</f>
        <v/>
      </c>
      <c r="G442" s="215" t="str">
        <f>IFERROR(VLOOKUP($C442,'PORTIFÓLIO'!C:V,5,0),"")</f>
        <v/>
      </c>
      <c r="H442" s="254" t="str">
        <f t="array" ref="H442">IFERROR(INDEX('PORTIFÓLIO'!$H$4:$H$433,MATCH($C442,'PORTIFÓLIO'!$C$4:$C$433,0)),"")</f>
        <v/>
      </c>
      <c r="I442" s="256"/>
      <c r="J442" s="218">
        <f t="shared" si="49"/>
        <v>0</v>
      </c>
      <c r="K442" s="292" t="str">
        <f t="array" ref="K442">IFERROR(I442*INDEX('PORTIFÓLIO'!$S$4:$S$433,MATCH($C442,'PORTIFÓLIO'!$C$4:$C$433,0)),"")</f>
        <v/>
      </c>
      <c r="L442" s="292" t="str">
        <f t="array" ref="L442">IFERROR(J442*INDEX('PORTIFÓLIO'!$S$4:$S$433,MATCH($C442,'PORTIFÓLIO'!$C$4:$C$433,0)),"")</f>
        <v/>
      </c>
      <c r="U442" s="79"/>
    </row>
    <row r="443" ht="15.75" customHeight="1" outlineLevel="1">
      <c r="A443" s="211"/>
      <c r="B443" s="227"/>
      <c r="C443" s="211"/>
      <c r="D443" s="214" t="str">
        <f>IFERROR(VLOOKUP($C443,'PORTIFÓLIO'!C:V,2,0),"")</f>
        <v/>
      </c>
      <c r="E443" s="211" t="str">
        <f>IFERROR(VLOOKUP($C443,'PORTIFÓLIO'!C:V,3,0),"")</f>
        <v/>
      </c>
      <c r="F443" s="211" t="str">
        <f>IFERROR(VLOOKUP($C443,'PORTIFÓLIO'!C:V,4,0),"")</f>
        <v/>
      </c>
      <c r="G443" s="215" t="str">
        <f>IFERROR(VLOOKUP($C443,'PORTIFÓLIO'!C:V,5,0),"")</f>
        <v/>
      </c>
      <c r="H443" s="254" t="str">
        <f t="array" ref="H443">IFERROR(INDEX('PORTIFÓLIO'!$H$4:$H$433,MATCH($C443,'PORTIFÓLIO'!$C$4:$C$433,0)),"")</f>
        <v/>
      </c>
      <c r="I443" s="256"/>
      <c r="J443" s="218">
        <f t="shared" si="49"/>
        <v>0</v>
      </c>
      <c r="K443" s="292" t="str">
        <f t="array" ref="K443">IFERROR(I443*INDEX('PORTIFÓLIO'!$S$4:$S$433,MATCH($C443,'PORTIFÓLIO'!$C$4:$C$433,0)),"")</f>
        <v/>
      </c>
      <c r="L443" s="292" t="str">
        <f t="array" ref="L443">IFERROR(J443*INDEX('PORTIFÓLIO'!$S$4:$S$433,MATCH($C443,'PORTIFÓLIO'!$C$4:$C$433,0)),"")</f>
        <v/>
      </c>
      <c r="U443" s="79"/>
    </row>
    <row r="444" ht="15.75" customHeight="1" outlineLevel="1">
      <c r="A444" s="211"/>
      <c r="B444" s="227"/>
      <c r="C444" s="211"/>
      <c r="D444" s="214" t="str">
        <f>IFERROR(VLOOKUP($C444,'PORTIFÓLIO'!C:V,2,0),"")</f>
        <v/>
      </c>
      <c r="E444" s="211" t="str">
        <f>IFERROR(VLOOKUP($C444,'PORTIFÓLIO'!C:V,3,0),"")</f>
        <v/>
      </c>
      <c r="F444" s="211" t="str">
        <f>IFERROR(VLOOKUP($C444,'PORTIFÓLIO'!C:V,4,0),"")</f>
        <v/>
      </c>
      <c r="G444" s="215" t="str">
        <f>IFERROR(VLOOKUP($C444,'PORTIFÓLIO'!C:V,5,0),"")</f>
        <v/>
      </c>
      <c r="H444" s="254" t="str">
        <f t="array" ref="H444">IFERROR(INDEX('PORTIFÓLIO'!$H$4:$H$433,MATCH($C444,'PORTIFÓLIO'!$C$4:$C$433,0)),"")</f>
        <v/>
      </c>
      <c r="I444" s="256"/>
      <c r="J444" s="218">
        <f t="shared" si="49"/>
        <v>0</v>
      </c>
      <c r="K444" s="292" t="str">
        <f t="array" ref="K444">IFERROR(I444*INDEX('PORTIFÓLIO'!$S$4:$S$433,MATCH($C444,'PORTIFÓLIO'!$C$4:$C$433,0)),"")</f>
        <v/>
      </c>
      <c r="L444" s="292" t="str">
        <f t="array" ref="L444">IFERROR(J444*INDEX('PORTIFÓLIO'!$S$4:$S$433,MATCH($C444,'PORTIFÓLIO'!$C$4:$C$433,0)),"")</f>
        <v/>
      </c>
      <c r="U444" s="79"/>
    </row>
    <row r="445" ht="15.75" customHeight="1" outlineLevel="1">
      <c r="A445" s="211"/>
      <c r="B445" s="227"/>
      <c r="C445" s="211"/>
      <c r="D445" s="214" t="str">
        <f>IFERROR(VLOOKUP($C445,'PORTIFÓLIO'!C:V,2,0),"")</f>
        <v/>
      </c>
      <c r="E445" s="211" t="str">
        <f>IFERROR(VLOOKUP($C445,'PORTIFÓLIO'!C:V,3,0),"")</f>
        <v/>
      </c>
      <c r="F445" s="211" t="str">
        <f>IFERROR(VLOOKUP($C445,'PORTIFÓLIO'!C:V,4,0),"")</f>
        <v/>
      </c>
      <c r="G445" s="215" t="str">
        <f>IFERROR(VLOOKUP($C445,'PORTIFÓLIO'!C:V,5,0),"")</f>
        <v/>
      </c>
      <c r="H445" s="254" t="str">
        <f t="array" ref="H445">IFERROR(INDEX('PORTIFÓLIO'!$H$4:$H$433,MATCH($C445,'PORTIFÓLIO'!$C$4:$C$433,0)),"")</f>
        <v/>
      </c>
      <c r="I445" s="256"/>
      <c r="J445" s="218">
        <f t="shared" si="49"/>
        <v>0</v>
      </c>
      <c r="K445" s="292" t="str">
        <f t="array" ref="K445">IFERROR(I445*INDEX('PORTIFÓLIO'!$S$4:$S$433,MATCH($C445,'PORTIFÓLIO'!$C$4:$C$433,0)),"")</f>
        <v/>
      </c>
      <c r="L445" s="292" t="str">
        <f t="array" ref="L445">IFERROR(J445*INDEX('PORTIFÓLIO'!$S$4:$S$433,MATCH($C445,'PORTIFÓLIO'!$C$4:$C$433,0)),"")</f>
        <v/>
      </c>
      <c r="U445" s="79"/>
    </row>
    <row r="446" ht="15.75" customHeight="1" outlineLevel="1">
      <c r="A446" s="211"/>
      <c r="B446" s="227"/>
      <c r="C446" s="211"/>
      <c r="D446" s="214" t="str">
        <f>IFERROR(VLOOKUP($C446,'PORTIFÓLIO'!C:V,2,0),"")</f>
        <v/>
      </c>
      <c r="E446" s="211" t="str">
        <f>IFERROR(VLOOKUP($C446,'PORTIFÓLIO'!C:V,3,0),"")</f>
        <v/>
      </c>
      <c r="F446" s="211" t="str">
        <f>IFERROR(VLOOKUP($C446,'PORTIFÓLIO'!C:V,4,0),"")</f>
        <v/>
      </c>
      <c r="G446" s="215" t="str">
        <f>IFERROR(VLOOKUP($C446,'PORTIFÓLIO'!C:V,5,0),"")</f>
        <v/>
      </c>
      <c r="H446" s="254" t="str">
        <f t="array" ref="H446">IFERROR(INDEX('PORTIFÓLIO'!$H$4:$H$433,MATCH($C446,'PORTIFÓLIO'!$C$4:$C$433,0)),"")</f>
        <v/>
      </c>
      <c r="I446" s="256"/>
      <c r="J446" s="218">
        <f t="shared" si="49"/>
        <v>0</v>
      </c>
      <c r="K446" s="292" t="str">
        <f t="array" ref="K446">IFERROR(I446*INDEX('PORTIFÓLIO'!$S$4:$S$433,MATCH($C446,'PORTIFÓLIO'!$C$4:$C$433,0)),"")</f>
        <v/>
      </c>
      <c r="L446" s="292" t="str">
        <f t="array" ref="L446">IFERROR(J446*INDEX('PORTIFÓLIO'!$S$4:$S$433,MATCH($C446,'PORTIFÓLIO'!$C$4:$C$433,0)),"")</f>
        <v/>
      </c>
      <c r="U446" s="79"/>
    </row>
    <row r="447" ht="15.75" customHeight="1" outlineLevel="1">
      <c r="A447" s="211"/>
      <c r="B447" s="227"/>
      <c r="C447" s="211"/>
      <c r="D447" s="214" t="str">
        <f>IFERROR(VLOOKUP($C447,'PORTIFÓLIO'!C:V,2,0),"")</f>
        <v/>
      </c>
      <c r="E447" s="211" t="str">
        <f>IFERROR(VLOOKUP($C447,'PORTIFÓLIO'!C:V,3,0),"")</f>
        <v/>
      </c>
      <c r="F447" s="211" t="str">
        <f>IFERROR(VLOOKUP($C447,'PORTIFÓLIO'!C:V,4,0),"")</f>
        <v/>
      </c>
      <c r="G447" s="215" t="str">
        <f>IFERROR(VLOOKUP($C447,'PORTIFÓLIO'!C:V,5,0),"")</f>
        <v/>
      </c>
      <c r="H447" s="254" t="str">
        <f t="array" ref="H447">IFERROR(INDEX('PORTIFÓLIO'!$H$4:$H$433,MATCH($C447,'PORTIFÓLIO'!$C$4:$C$433,0)),"")</f>
        <v/>
      </c>
      <c r="I447" s="256"/>
      <c r="J447" s="218">
        <f t="shared" si="49"/>
        <v>0</v>
      </c>
      <c r="K447" s="292" t="str">
        <f t="array" ref="K447">IFERROR(I447*INDEX('PORTIFÓLIO'!$S$4:$S$433,MATCH($C447,'PORTIFÓLIO'!$C$4:$C$433,0)),"")</f>
        <v/>
      </c>
      <c r="L447" s="292" t="str">
        <f t="array" ref="L447">IFERROR(J447*INDEX('PORTIFÓLIO'!$S$4:$S$433,MATCH($C447,'PORTIFÓLIO'!$C$4:$C$433,0)),"")</f>
        <v/>
      </c>
      <c r="U447" s="79"/>
    </row>
    <row r="448" ht="15.75" customHeight="1" outlineLevel="1">
      <c r="A448" s="211"/>
      <c r="B448" s="227"/>
      <c r="C448" s="211"/>
      <c r="D448" s="214" t="str">
        <f>IFERROR(VLOOKUP($C448,'PORTIFÓLIO'!C:V,2,0),"")</f>
        <v/>
      </c>
      <c r="E448" s="211" t="str">
        <f>IFERROR(VLOOKUP($C448,'PORTIFÓLIO'!C:V,3,0),"")</f>
        <v/>
      </c>
      <c r="F448" s="211" t="str">
        <f>IFERROR(VLOOKUP($C448,'PORTIFÓLIO'!C:V,4,0),"")</f>
        <v/>
      </c>
      <c r="G448" s="215" t="str">
        <f>IFERROR(VLOOKUP($C448,'PORTIFÓLIO'!C:V,5,0),"")</f>
        <v/>
      </c>
      <c r="H448" s="254" t="str">
        <f t="array" ref="H448">IFERROR(INDEX('PORTIFÓLIO'!$H$4:$H$433,MATCH($C448,'PORTIFÓLIO'!$C$4:$C$433,0)),"")</f>
        <v/>
      </c>
      <c r="I448" s="256"/>
      <c r="J448" s="218">
        <f t="shared" si="49"/>
        <v>0</v>
      </c>
      <c r="K448" s="292" t="str">
        <f t="array" ref="K448">IFERROR(I448*INDEX('PORTIFÓLIO'!$S$4:$S$433,MATCH($C448,'PORTIFÓLIO'!$C$4:$C$433,0)),"")</f>
        <v/>
      </c>
      <c r="L448" s="292" t="str">
        <f t="array" ref="L448">IFERROR(J448*INDEX('PORTIFÓLIO'!$S$4:$S$433,MATCH($C448,'PORTIFÓLIO'!$C$4:$C$433,0)),"")</f>
        <v/>
      </c>
      <c r="U448" s="79"/>
    </row>
    <row r="449" ht="15.75" customHeight="1" outlineLevel="1">
      <c r="A449" s="211"/>
      <c r="B449" s="227"/>
      <c r="C449" s="211"/>
      <c r="D449" s="214" t="str">
        <f>IFERROR(VLOOKUP($C449,'PORTIFÓLIO'!C:V,2,0),"")</f>
        <v/>
      </c>
      <c r="E449" s="211" t="str">
        <f>IFERROR(VLOOKUP($C449,'PORTIFÓLIO'!C:V,3,0),"")</f>
        <v/>
      </c>
      <c r="F449" s="211" t="str">
        <f>IFERROR(VLOOKUP($C449,'PORTIFÓLIO'!C:V,4,0),"")</f>
        <v/>
      </c>
      <c r="G449" s="215" t="str">
        <f>IFERROR(VLOOKUP($C449,'PORTIFÓLIO'!C:V,5,0),"")</f>
        <v/>
      </c>
      <c r="H449" s="254" t="str">
        <f t="array" ref="H449">IFERROR(INDEX('PORTIFÓLIO'!$H$4:$H$433,MATCH($C449,'PORTIFÓLIO'!$C$4:$C$433,0)),"")</f>
        <v/>
      </c>
      <c r="I449" s="256"/>
      <c r="J449" s="218">
        <f t="shared" si="49"/>
        <v>0</v>
      </c>
      <c r="K449" s="292" t="str">
        <f t="array" ref="K449">IFERROR(I449*INDEX('PORTIFÓLIO'!$S$4:$S$433,MATCH($C449,'PORTIFÓLIO'!$C$4:$C$433,0)),"")</f>
        <v/>
      </c>
      <c r="L449" s="292" t="str">
        <f t="array" ref="L449">IFERROR(J449*INDEX('PORTIFÓLIO'!$S$4:$S$433,MATCH($C449,'PORTIFÓLIO'!$C$4:$C$433,0)),"")</f>
        <v/>
      </c>
      <c r="U449" s="79"/>
    </row>
    <row r="450" ht="15.75" customHeight="1" outlineLevel="1">
      <c r="A450" s="211"/>
      <c r="B450" s="227"/>
      <c r="C450" s="211"/>
      <c r="D450" s="214" t="str">
        <f>IFERROR(VLOOKUP($C450,'PORTIFÓLIO'!C:V,2,0),"")</f>
        <v/>
      </c>
      <c r="E450" s="211" t="str">
        <f>IFERROR(VLOOKUP($C450,'PORTIFÓLIO'!C:V,3,0),"")</f>
        <v/>
      </c>
      <c r="F450" s="211" t="str">
        <f>IFERROR(VLOOKUP($C450,'PORTIFÓLIO'!C:V,4,0),"")</f>
        <v/>
      </c>
      <c r="G450" s="215" t="str">
        <f>IFERROR(VLOOKUP($C450,'PORTIFÓLIO'!C:V,5,0),"")</f>
        <v/>
      </c>
      <c r="H450" s="254" t="str">
        <f t="array" ref="H450">IFERROR(INDEX('PORTIFÓLIO'!$H$4:$H$433,MATCH($C450,'PORTIFÓLIO'!$C$4:$C$433,0)),"")</f>
        <v/>
      </c>
      <c r="I450" s="256"/>
      <c r="J450" s="218">
        <f t="shared" si="49"/>
        <v>0</v>
      </c>
      <c r="K450" s="292" t="str">
        <f t="array" ref="K450">IFERROR(I450*INDEX('PORTIFÓLIO'!$S$4:$S$433,MATCH($C450,'PORTIFÓLIO'!$C$4:$C$433,0)),"")</f>
        <v/>
      </c>
      <c r="L450" s="292" t="str">
        <f t="array" ref="L450">IFERROR(J450*INDEX('PORTIFÓLIO'!$S$4:$S$433,MATCH($C450,'PORTIFÓLIO'!$C$4:$C$433,0)),"")</f>
        <v/>
      </c>
      <c r="U450" s="79"/>
    </row>
    <row r="451" ht="15.75" customHeight="1" outlineLevel="1">
      <c r="A451" s="211"/>
      <c r="B451" s="227"/>
      <c r="C451" s="211"/>
      <c r="D451" s="214" t="str">
        <f>IFERROR(VLOOKUP($C451,'PORTIFÓLIO'!C:V,2,0),"")</f>
        <v/>
      </c>
      <c r="E451" s="211" t="str">
        <f>IFERROR(VLOOKUP($C451,'PORTIFÓLIO'!C:V,3,0),"")</f>
        <v/>
      </c>
      <c r="F451" s="211" t="str">
        <f>IFERROR(VLOOKUP($C451,'PORTIFÓLIO'!C:V,4,0),"")</f>
        <v/>
      </c>
      <c r="G451" s="215" t="str">
        <f>IFERROR(VLOOKUP($C451,'PORTIFÓLIO'!C:V,5,0),"")</f>
        <v/>
      </c>
      <c r="H451" s="254" t="str">
        <f t="array" ref="H451">IFERROR(INDEX('PORTIFÓLIO'!$H$4:$H$433,MATCH($C451,'PORTIFÓLIO'!$C$4:$C$433,0)),"")</f>
        <v/>
      </c>
      <c r="I451" s="256"/>
      <c r="J451" s="218">
        <f t="shared" si="49"/>
        <v>0</v>
      </c>
      <c r="K451" s="292" t="str">
        <f t="array" ref="K451">IFERROR(I451*INDEX('PORTIFÓLIO'!$S$4:$S$433,MATCH($C451,'PORTIFÓLIO'!$C$4:$C$433,0)),"")</f>
        <v/>
      </c>
      <c r="L451" s="292" t="str">
        <f t="array" ref="L451">IFERROR(J451*INDEX('PORTIFÓLIO'!$S$4:$S$433,MATCH($C451,'PORTIFÓLIO'!$C$4:$C$433,0)),"")</f>
        <v/>
      </c>
      <c r="U451" s="79"/>
    </row>
    <row r="452" ht="15.75" customHeight="1">
      <c r="A452" s="227"/>
      <c r="B452" s="227"/>
      <c r="C452" s="227"/>
      <c r="D452" s="227"/>
      <c r="E452" s="227"/>
      <c r="F452" s="227"/>
      <c r="G452" s="215"/>
      <c r="H452" s="227"/>
      <c r="I452" s="227"/>
      <c r="J452" s="227"/>
      <c r="K452" s="293">
        <f t="shared" ref="K452:L452" si="50">SUBTOTAL(9,K237:K427)</f>
        <v>0</v>
      </c>
      <c r="L452" s="293">
        <f t="shared" si="50"/>
        <v>0</v>
      </c>
      <c r="U452" s="79"/>
    </row>
    <row r="453" ht="15.75" customHeight="1">
      <c r="U453" s="79"/>
    </row>
    <row r="454" ht="15.75" customHeight="1">
      <c r="U454" s="79"/>
    </row>
    <row r="455" ht="15.75" customHeight="1">
      <c r="U455" s="79"/>
    </row>
    <row r="456" ht="15.75" customHeight="1">
      <c r="U456" s="79"/>
    </row>
    <row r="457" ht="15.75" customHeight="1">
      <c r="U457" s="79"/>
    </row>
    <row r="458" ht="15.75" customHeight="1">
      <c r="U458" s="79"/>
    </row>
    <row r="459" ht="15.75" customHeight="1">
      <c r="U459" s="79"/>
    </row>
    <row r="460" ht="15.75" customHeight="1">
      <c r="U460" s="79"/>
    </row>
    <row r="461" ht="15.75" customHeight="1">
      <c r="U461" s="79"/>
    </row>
    <row r="462" ht="15.75" customHeight="1">
      <c r="U462" s="79"/>
    </row>
    <row r="463" ht="15.75" customHeight="1">
      <c r="U463" s="79"/>
    </row>
    <row r="464" ht="15.75" customHeight="1">
      <c r="U464" s="79"/>
    </row>
    <row r="465" ht="15.75" customHeight="1">
      <c r="U465" s="79"/>
    </row>
    <row r="466" ht="15.75" customHeight="1">
      <c r="U466" s="79"/>
    </row>
    <row r="467" ht="15.75" customHeight="1">
      <c r="U467" s="79"/>
    </row>
    <row r="468" ht="15.75" customHeight="1">
      <c r="U468" s="79"/>
    </row>
    <row r="469" ht="15.75" customHeight="1">
      <c r="U469" s="79"/>
    </row>
    <row r="470" ht="15.75" customHeight="1">
      <c r="U470" s="79"/>
    </row>
    <row r="471" ht="15.75" customHeight="1">
      <c r="U471" s="79"/>
    </row>
    <row r="472" ht="15.75" customHeight="1">
      <c r="U472" s="79"/>
    </row>
    <row r="473" ht="15.75" customHeight="1">
      <c r="U473" s="79"/>
    </row>
    <row r="474" ht="15.75" customHeight="1">
      <c r="U474" s="79"/>
    </row>
    <row r="475" ht="15.75" customHeight="1">
      <c r="U475" s="79"/>
    </row>
    <row r="476" ht="15.75" customHeight="1">
      <c r="U476" s="79"/>
    </row>
    <row r="477" ht="15.75" customHeight="1">
      <c r="U477" s="79"/>
    </row>
    <row r="478" ht="15.75" customHeight="1">
      <c r="U478" s="79"/>
    </row>
    <row r="479" ht="15.75" customHeight="1">
      <c r="U479" s="79"/>
    </row>
    <row r="480" ht="15.75" customHeight="1">
      <c r="U480" s="79"/>
    </row>
    <row r="481" ht="15.75" customHeight="1">
      <c r="U481" s="79"/>
    </row>
    <row r="482" ht="15.75" customHeight="1">
      <c r="U482" s="79"/>
    </row>
    <row r="483" ht="15.75" customHeight="1">
      <c r="U483" s="79"/>
    </row>
    <row r="484" ht="15.75" customHeight="1">
      <c r="U484" s="79"/>
    </row>
    <row r="485" ht="15.75" customHeight="1">
      <c r="U485" s="79"/>
    </row>
    <row r="486" ht="15.75" customHeight="1">
      <c r="U486" s="79"/>
    </row>
    <row r="487" ht="15.75" customHeight="1">
      <c r="U487" s="79"/>
    </row>
    <row r="488" ht="15.75" customHeight="1">
      <c r="U488" s="79"/>
    </row>
    <row r="489" ht="15.75" customHeight="1">
      <c r="U489" s="79"/>
    </row>
    <row r="490" ht="15.75" customHeight="1">
      <c r="U490" s="79"/>
    </row>
    <row r="491" ht="15.75" customHeight="1">
      <c r="U491" s="79"/>
    </row>
    <row r="492" ht="15.75" customHeight="1">
      <c r="U492" s="79"/>
    </row>
    <row r="493" ht="15.75" customHeight="1">
      <c r="U493" s="79"/>
    </row>
    <row r="494" ht="15.75" customHeight="1">
      <c r="U494" s="79"/>
    </row>
    <row r="495" ht="15.75" customHeight="1">
      <c r="U495" s="79"/>
    </row>
    <row r="496" ht="15.75" customHeight="1">
      <c r="U496" s="79"/>
    </row>
    <row r="497" ht="15.75" customHeight="1">
      <c r="U497" s="79"/>
    </row>
    <row r="498" ht="15.75" customHeight="1">
      <c r="U498" s="79"/>
    </row>
    <row r="499" ht="15.75" customHeight="1">
      <c r="U499" s="79"/>
    </row>
    <row r="500" ht="15.75" customHeight="1">
      <c r="U500" s="79"/>
    </row>
    <row r="501" ht="15.75" customHeight="1">
      <c r="U501" s="79"/>
    </row>
    <row r="502" ht="15.75" customHeight="1">
      <c r="U502" s="79"/>
    </row>
    <row r="503" ht="15.75" customHeight="1">
      <c r="U503" s="79"/>
    </row>
    <row r="504" ht="15.75" customHeight="1">
      <c r="U504" s="79"/>
    </row>
    <row r="505" ht="15.75" customHeight="1">
      <c r="U505" s="79"/>
    </row>
    <row r="506" ht="15.75" customHeight="1">
      <c r="U506" s="79"/>
    </row>
    <row r="507" ht="15.75" customHeight="1">
      <c r="U507" s="79"/>
    </row>
    <row r="508" ht="15.75" customHeight="1">
      <c r="U508" s="79"/>
    </row>
    <row r="509" ht="15.75" customHeight="1">
      <c r="U509" s="79"/>
    </row>
    <row r="510" ht="15.75" customHeight="1">
      <c r="U510" s="79"/>
    </row>
    <row r="511" ht="15.75" customHeight="1">
      <c r="U511" s="79"/>
    </row>
    <row r="512" ht="15.75" customHeight="1">
      <c r="U512" s="79"/>
    </row>
    <row r="513" ht="15.75" customHeight="1">
      <c r="U513" s="79"/>
    </row>
    <row r="514" ht="15.75" customHeight="1">
      <c r="U514" s="79"/>
    </row>
    <row r="515" ht="15.75" customHeight="1">
      <c r="U515" s="79"/>
    </row>
    <row r="516" ht="15.75" customHeight="1">
      <c r="U516" s="79"/>
    </row>
    <row r="517" ht="15.75" customHeight="1">
      <c r="U517" s="79"/>
    </row>
    <row r="518" ht="15.75" customHeight="1">
      <c r="U518" s="79"/>
    </row>
    <row r="519" ht="15.75" customHeight="1">
      <c r="U519" s="79"/>
    </row>
    <row r="520" ht="15.75" customHeight="1">
      <c r="U520" s="79"/>
    </row>
    <row r="521" ht="15.75" customHeight="1">
      <c r="U521" s="79"/>
    </row>
    <row r="522" ht="15.75" customHeight="1">
      <c r="U522" s="79"/>
    </row>
    <row r="523" ht="15.75" customHeight="1">
      <c r="U523" s="79"/>
    </row>
    <row r="524" ht="15.75" customHeight="1">
      <c r="U524" s="79"/>
    </row>
    <row r="525" ht="15.75" customHeight="1">
      <c r="U525" s="79"/>
    </row>
    <row r="526" ht="15.75" customHeight="1">
      <c r="U526" s="79"/>
    </row>
    <row r="527" ht="15.75" customHeight="1">
      <c r="U527" s="79"/>
    </row>
    <row r="528" ht="15.75" customHeight="1">
      <c r="U528" s="79"/>
    </row>
    <row r="529" ht="15.75" customHeight="1">
      <c r="U529" s="79"/>
    </row>
    <row r="530" ht="15.75" customHeight="1">
      <c r="U530" s="79"/>
    </row>
    <row r="531" ht="15.75" customHeight="1">
      <c r="U531" s="79"/>
    </row>
    <row r="532" ht="15.75" customHeight="1">
      <c r="U532" s="79"/>
    </row>
    <row r="533" ht="15.75" customHeight="1">
      <c r="U533" s="79"/>
    </row>
    <row r="534" ht="15.75" customHeight="1">
      <c r="U534" s="79"/>
    </row>
    <row r="535" ht="15.75" customHeight="1">
      <c r="U535" s="79"/>
    </row>
    <row r="536" ht="15.75" customHeight="1">
      <c r="U536" s="79"/>
    </row>
    <row r="537" ht="15.75" customHeight="1">
      <c r="U537" s="79"/>
    </row>
    <row r="538" ht="15.75" customHeight="1">
      <c r="U538" s="79"/>
    </row>
    <row r="539" ht="15.75" customHeight="1">
      <c r="U539" s="79"/>
    </row>
    <row r="540" ht="15.75" customHeight="1">
      <c r="U540" s="79"/>
    </row>
    <row r="541" ht="15.75" customHeight="1">
      <c r="U541" s="79"/>
    </row>
    <row r="542" ht="15.75" customHeight="1">
      <c r="U542" s="79"/>
    </row>
    <row r="543" ht="15.75" customHeight="1">
      <c r="U543" s="79"/>
    </row>
    <row r="544" ht="15.75" customHeight="1">
      <c r="U544" s="79"/>
    </row>
    <row r="545" ht="15.75" customHeight="1">
      <c r="U545" s="79"/>
    </row>
    <row r="546" ht="15.75" customHeight="1">
      <c r="U546" s="79"/>
    </row>
    <row r="547" ht="15.75" customHeight="1">
      <c r="U547" s="79"/>
    </row>
    <row r="548" ht="15.75" customHeight="1">
      <c r="U548" s="79"/>
    </row>
    <row r="549" ht="15.75" customHeight="1">
      <c r="U549" s="79"/>
    </row>
    <row r="550" ht="15.75" customHeight="1">
      <c r="U550" s="79"/>
    </row>
    <row r="551" ht="15.75" customHeight="1">
      <c r="U551" s="79"/>
    </row>
    <row r="552" ht="15.75" customHeight="1">
      <c r="U552" s="79"/>
    </row>
    <row r="553" ht="15.75" customHeight="1">
      <c r="U553" s="79"/>
    </row>
    <row r="554" ht="15.75" customHeight="1">
      <c r="U554" s="79"/>
    </row>
    <row r="555" ht="15.75" customHeight="1">
      <c r="U555" s="79"/>
    </row>
    <row r="556" ht="15.75" customHeight="1">
      <c r="U556" s="79"/>
    </row>
    <row r="557" ht="15.75" customHeight="1">
      <c r="U557" s="79"/>
    </row>
    <row r="558" ht="15.75" customHeight="1">
      <c r="U558" s="79"/>
    </row>
    <row r="559" ht="15.75" customHeight="1">
      <c r="U559" s="79"/>
    </row>
    <row r="560" ht="15.75" customHeight="1">
      <c r="U560" s="79"/>
    </row>
    <row r="561" ht="15.75" customHeight="1">
      <c r="U561" s="79"/>
    </row>
    <row r="562" ht="15.75" customHeight="1">
      <c r="U562" s="79"/>
    </row>
    <row r="563" ht="15.75" customHeight="1">
      <c r="U563" s="79"/>
    </row>
    <row r="564" ht="15.75" customHeight="1">
      <c r="U564" s="79"/>
    </row>
    <row r="565" ht="15.75" customHeight="1">
      <c r="U565" s="79"/>
    </row>
    <row r="566" ht="15.75" customHeight="1">
      <c r="U566" s="79"/>
    </row>
    <row r="567" ht="15.75" customHeight="1">
      <c r="U567" s="79"/>
    </row>
    <row r="568" ht="15.75" customHeight="1">
      <c r="U568" s="79"/>
    </row>
    <row r="569" ht="15.75" customHeight="1">
      <c r="U569" s="79"/>
    </row>
    <row r="570" ht="15.75" customHeight="1">
      <c r="U570" s="79"/>
    </row>
    <row r="571" ht="15.75" customHeight="1">
      <c r="U571" s="79"/>
    </row>
    <row r="572" ht="15.75" customHeight="1">
      <c r="U572" s="79"/>
    </row>
    <row r="573" ht="15.75" customHeight="1">
      <c r="U573" s="79"/>
    </row>
    <row r="574" ht="15.75" customHeight="1">
      <c r="U574" s="79"/>
    </row>
    <row r="575" ht="15.75" customHeight="1">
      <c r="U575" s="79"/>
    </row>
    <row r="576" ht="15.75" customHeight="1">
      <c r="U576" s="79"/>
    </row>
    <row r="577" ht="15.75" customHeight="1">
      <c r="U577" s="79"/>
    </row>
    <row r="578" ht="15.75" customHeight="1">
      <c r="U578" s="79"/>
    </row>
    <row r="579" ht="15.75" customHeight="1">
      <c r="U579" s="79"/>
    </row>
    <row r="580" ht="15.75" customHeight="1">
      <c r="U580" s="79"/>
    </row>
    <row r="581" ht="15.75" customHeight="1">
      <c r="U581" s="79"/>
    </row>
    <row r="582" ht="15.75" customHeight="1">
      <c r="U582" s="79"/>
    </row>
    <row r="583" ht="15.75" customHeight="1">
      <c r="U583" s="79"/>
    </row>
    <row r="584" ht="15.75" customHeight="1">
      <c r="U584" s="79"/>
    </row>
    <row r="585" ht="15.75" customHeight="1">
      <c r="U585" s="79"/>
    </row>
    <row r="586" ht="15.75" customHeight="1">
      <c r="U586" s="79"/>
    </row>
    <row r="587" ht="15.75" customHeight="1">
      <c r="U587" s="79"/>
    </row>
    <row r="588" ht="15.75" customHeight="1">
      <c r="U588" s="79"/>
    </row>
    <row r="589" ht="15.75" customHeight="1">
      <c r="U589" s="79"/>
    </row>
    <row r="590" ht="15.75" customHeight="1">
      <c r="U590" s="79"/>
    </row>
    <row r="591" ht="15.75" customHeight="1">
      <c r="U591" s="79"/>
    </row>
    <row r="592" ht="15.75" customHeight="1">
      <c r="U592" s="79"/>
    </row>
    <row r="593" ht="15.75" customHeight="1">
      <c r="U593" s="79"/>
    </row>
    <row r="594" ht="15.75" customHeight="1">
      <c r="U594" s="79"/>
    </row>
    <row r="595" ht="15.75" customHeight="1">
      <c r="U595" s="79"/>
    </row>
    <row r="596" ht="15.75" customHeight="1">
      <c r="U596" s="79"/>
    </row>
    <row r="597" ht="15.75" customHeight="1">
      <c r="U597" s="79"/>
    </row>
    <row r="598" ht="15.75" customHeight="1">
      <c r="U598" s="79"/>
    </row>
    <row r="599" ht="15.75" customHeight="1">
      <c r="U599" s="79"/>
    </row>
    <row r="600" ht="15.75" customHeight="1">
      <c r="U600" s="79"/>
    </row>
    <row r="601" ht="15.75" customHeight="1">
      <c r="U601" s="79"/>
    </row>
    <row r="602" ht="15.75" customHeight="1">
      <c r="U602" s="79"/>
    </row>
    <row r="603" ht="15.75" customHeight="1">
      <c r="U603" s="79"/>
    </row>
    <row r="604" ht="15.75" customHeight="1">
      <c r="U604" s="79"/>
    </row>
    <row r="605" ht="15.75" customHeight="1">
      <c r="U605" s="79"/>
    </row>
    <row r="606" ht="15.75" customHeight="1">
      <c r="U606" s="79"/>
    </row>
    <row r="607" ht="15.75" customHeight="1">
      <c r="U607" s="79"/>
    </row>
    <row r="608" ht="15.75" customHeight="1">
      <c r="U608" s="79"/>
    </row>
    <row r="609" ht="15.75" customHeight="1">
      <c r="U609" s="79"/>
    </row>
    <row r="610" ht="15.75" customHeight="1">
      <c r="U610" s="79"/>
    </row>
    <row r="611" ht="15.75" customHeight="1">
      <c r="U611" s="79"/>
    </row>
    <row r="612" ht="15.75" customHeight="1">
      <c r="U612" s="79"/>
    </row>
    <row r="613" ht="15.75" customHeight="1">
      <c r="U613" s="79"/>
    </row>
    <row r="614" ht="15.75" customHeight="1">
      <c r="U614" s="79"/>
    </row>
    <row r="615" ht="15.75" customHeight="1">
      <c r="U615" s="79"/>
    </row>
    <row r="616" ht="15.75" customHeight="1">
      <c r="U616" s="79"/>
    </row>
    <row r="617" ht="15.75" customHeight="1">
      <c r="U617" s="79"/>
    </row>
    <row r="618" ht="15.75" customHeight="1">
      <c r="U618" s="79"/>
    </row>
    <row r="619" ht="15.75" customHeight="1">
      <c r="U619" s="79"/>
    </row>
    <row r="620" ht="15.75" customHeight="1">
      <c r="U620" s="79"/>
    </row>
    <row r="621" ht="15.75" customHeight="1">
      <c r="U621" s="79"/>
    </row>
    <row r="622" ht="15.75" customHeight="1">
      <c r="U622" s="79"/>
    </row>
    <row r="623" ht="15.75" customHeight="1">
      <c r="U623" s="79"/>
    </row>
    <row r="624" ht="15.75" customHeight="1">
      <c r="U624" s="79"/>
    </row>
    <row r="625" ht="15.75" customHeight="1">
      <c r="U625" s="79"/>
    </row>
    <row r="626" ht="15.75" customHeight="1">
      <c r="U626" s="79"/>
    </row>
    <row r="627" ht="15.75" customHeight="1">
      <c r="U627" s="79"/>
    </row>
    <row r="628" ht="15.75" customHeight="1">
      <c r="U628" s="79"/>
    </row>
    <row r="629" ht="15.75" customHeight="1">
      <c r="U629" s="79"/>
    </row>
    <row r="630" ht="15.75" customHeight="1">
      <c r="U630" s="79"/>
    </row>
    <row r="631" ht="15.75" customHeight="1">
      <c r="U631" s="79"/>
    </row>
    <row r="632" ht="15.75" customHeight="1">
      <c r="U632" s="79"/>
    </row>
    <row r="633" ht="15.75" customHeight="1">
      <c r="U633" s="79"/>
    </row>
    <row r="634" ht="15.75" customHeight="1">
      <c r="U634" s="79"/>
    </row>
    <row r="635" ht="15.75" customHeight="1">
      <c r="U635" s="79"/>
    </row>
    <row r="636" ht="15.75" customHeight="1">
      <c r="U636" s="79"/>
    </row>
    <row r="637" ht="15.75" customHeight="1">
      <c r="U637" s="79"/>
    </row>
    <row r="638" ht="15.75" customHeight="1">
      <c r="U638" s="79"/>
    </row>
    <row r="639" ht="15.75" customHeight="1">
      <c r="U639" s="79"/>
    </row>
    <row r="640" ht="15.75" customHeight="1">
      <c r="U640" s="79"/>
    </row>
    <row r="641" ht="15.75" customHeight="1">
      <c r="U641" s="79"/>
    </row>
    <row r="642" ht="15.75" customHeight="1">
      <c r="U642" s="79"/>
    </row>
    <row r="643" ht="15.75" customHeight="1">
      <c r="U643" s="79"/>
    </row>
    <row r="644" ht="15.75" customHeight="1">
      <c r="U644" s="79"/>
    </row>
    <row r="645" ht="15.75" customHeight="1">
      <c r="U645" s="79"/>
    </row>
    <row r="646" ht="15.75" customHeight="1">
      <c r="U646" s="79"/>
    </row>
    <row r="647" ht="15.75" customHeight="1">
      <c r="U647" s="79"/>
    </row>
    <row r="648" ht="15.75" customHeight="1">
      <c r="U648" s="79"/>
    </row>
    <row r="649" ht="15.75" customHeight="1">
      <c r="U649" s="79"/>
    </row>
    <row r="650" ht="15.75" customHeight="1">
      <c r="U650" s="79"/>
    </row>
    <row r="651" ht="15.75" customHeight="1">
      <c r="U651" s="79"/>
    </row>
    <row r="652" ht="15.75" customHeight="1">
      <c r="U652" s="79"/>
    </row>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149:C164">
    <cfRule type="notContainsBlanks" dxfId="10" priority="1">
      <formula>LEN(TRIM(C149))&gt;0</formula>
    </cfRule>
  </conditionalFormatting>
  <conditionalFormatting sqref="K10:L224 K237:L451">
    <cfRule type="cellIs" dxfId="9" priority="2" operator="equal">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3">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4">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5">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6">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7">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8">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9">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10">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1">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2">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3">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4">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5">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6">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7">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8">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9">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20">
      <colorScale>
        <cfvo type="min"/>
        <cfvo type="percentile" val="50"/>
        <cfvo type="max"/>
        <color rgb="FF63BE7B"/>
        <color rgb="FFFCFCFF"/>
        <color rgb="FFF8696B"/>
      </colorScale>
    </cfRule>
  </conditionalFormatting>
  <conditionalFormatting sqref="A64:A67 A82:A85 A98:A101 A115:A118 A132:A135 A149:A152 A166:A169 A183:A186 A201:A204 A290:A294 A309:A312 A325:A328 A342:A345 A359:A362 A376:A379 A393:A396 A410:A413 A428:A431">
    <cfRule type="colorScale" priority="21">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2">
      <colorScale>
        <cfvo type="min"/>
        <cfvo type="percentile" val="50"/>
        <cfvo type="max"/>
        <color rgb="FF63BE7B"/>
        <color rgb="FFFCFCFF"/>
        <color rgb="FFF8696B"/>
      </colorScale>
    </cfRule>
  </conditionalFormatting>
  <conditionalFormatting sqref="A67:A68 A86 A102 A119 A136 A153 A170 A187 A205 A294:A295 A313 A329 A346 A363 A380 A397 A414 A432">
    <cfRule type="colorScale" priority="23">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4">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5">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6">
      <colorScale>
        <cfvo type="min"/>
        <cfvo type="percentile" val="50"/>
        <cfvo type="max"/>
        <color rgb="FF63BE7B"/>
        <color rgb="FFFCFCFF"/>
        <color rgb="FFF8696B"/>
      </colorScale>
    </cfRule>
  </conditionalFormatting>
  <conditionalFormatting sqref="A82:A86 A98:A102 A115:A119 A132:A136 A149:A153 A166:A170 A183:A187 A201:A205 A290 A309:A313 A325:A329 A342:A346 A359:A363 A376:A380 A393:A397 A410:A414 A428:A432">
    <cfRule type="colorScale" priority="27">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8">
      <colorScale>
        <cfvo type="min"/>
        <cfvo type="percentile" val="50"/>
        <cfvo type="max"/>
        <color rgb="FF63BE7B"/>
        <color rgb="FFFCFCFF"/>
        <color rgb="FFF8696B"/>
      </colorScale>
    </cfRule>
  </conditionalFormatting>
  <conditionalFormatting sqref="A87 A103 A120 A137 A154 A171 A188 A206 A314 A330 A347 A364 A381 A398 A415 A433">
    <cfRule type="colorScale" priority="29">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30">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1">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2">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3">
      <colorScale>
        <cfvo type="min"/>
        <cfvo type="percentile" val="50"/>
        <cfvo type="max"/>
        <color rgb="FF63BE7B"/>
        <color rgb="FFFCFCFF"/>
        <color rgb="FFF8696B"/>
      </colorScale>
    </cfRule>
  </conditionalFormatting>
  <conditionalFormatting sqref="A81:A84 A97:A100 A114:A117 A131:A134 A148:A151 A165:A168 A182:A185 A200:A203 A308:A311 A324:A327 A341:A344 A358:A361 A375:A378 A392:A395 A409:A412 A427:A430">
    <cfRule type="colorScale" priority="34">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5">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6">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7">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8">
      <colorScale>
        <cfvo type="min"/>
        <cfvo type="percentile" val="50"/>
        <cfvo type="max"/>
        <color rgb="FF63BE7B"/>
        <color rgb="FFFCFCFF"/>
        <color rgb="FFF8696B"/>
      </colorScale>
    </cfRule>
  </conditionalFormatting>
  <conditionalFormatting sqref="A82:A84 A98:A100 A115:A117 A132:A134 A149:A151 A166:A168 A183:A185 A201:A203 A309:A311 A325:A327 A342:A344 A359:A361 A376:A378 A393:A395 A410:A412 A428:A430">
    <cfRule type="colorScale" priority="39">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40">
      <colorScale>
        <cfvo type="min"/>
        <cfvo type="percentile" val="50"/>
        <cfvo type="max"/>
        <color rgb="FF63BE7B"/>
        <color rgb="FFFCFCFF"/>
        <color rgb="FFF8696B"/>
      </colorScale>
    </cfRule>
  </conditionalFormatting>
  <conditionalFormatting sqref="A85 A101 A118 A135 A152 A169 A186 A204 A312 A328 A345 A362 A379 A396 A413 A431">
    <cfRule type="colorScale" priority="41">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2">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43">
      <colorScale>
        <cfvo type="min"/>
        <cfvo type="percentile" val="50"/>
        <cfvo type="max"/>
        <color rgb="FF63BE7B"/>
        <color rgb="FFFFEB84"/>
        <color rgb="FFF8696B"/>
      </colorScale>
    </cfRule>
  </conditionalFormatting>
  <conditionalFormatting sqref="A98 A325">
    <cfRule type="colorScale" priority="44">
      <colorScale>
        <cfvo type="min"/>
        <cfvo type="percentile" val="50"/>
        <cfvo type="max"/>
        <color rgb="FF63BE7B"/>
        <color rgb="FFFCFCFF"/>
        <color rgb="FFF8696B"/>
      </colorScale>
    </cfRule>
  </conditionalFormatting>
  <conditionalFormatting sqref="A98 A325">
    <cfRule type="colorScale" priority="45">
      <colorScale>
        <cfvo type="min"/>
        <cfvo type="percentile" val="50"/>
        <cfvo type="max"/>
        <color rgb="FF63BE7B"/>
        <color rgb="FFFFEB84"/>
        <color rgb="FFF8696B"/>
      </colorScale>
    </cfRule>
  </conditionalFormatting>
  <conditionalFormatting sqref="A99 A326">
    <cfRule type="colorScale" priority="46">
      <colorScale>
        <cfvo type="min"/>
        <cfvo type="percentile" val="50"/>
        <cfvo type="max"/>
        <color rgb="FF63BE7B"/>
        <color rgb="FFFFEB84"/>
        <color rgb="FFF8696B"/>
      </colorScale>
    </cfRule>
  </conditionalFormatting>
  <conditionalFormatting sqref="A100:A104 A327:A331">
    <cfRule type="colorScale" priority="47">
      <colorScale>
        <cfvo type="min"/>
        <cfvo type="percentile" val="50"/>
        <cfvo type="max"/>
        <color rgb="FF63BE7B"/>
        <color rgb="FFFFEB84"/>
        <color rgb="FFF8696B"/>
      </colorScale>
    </cfRule>
  </conditionalFormatting>
  <conditionalFormatting sqref="A115 A342">
    <cfRule type="colorScale" priority="48">
      <colorScale>
        <cfvo type="min"/>
        <cfvo type="percentile" val="50"/>
        <cfvo type="max"/>
        <color rgb="FF63BE7B"/>
        <color rgb="FFFCFCFF"/>
        <color rgb="FFF8696B"/>
      </colorScale>
    </cfRule>
  </conditionalFormatting>
  <conditionalFormatting sqref="A115 A342">
    <cfRule type="colorScale" priority="49">
      <colorScale>
        <cfvo type="min"/>
        <cfvo type="percentile" val="50"/>
        <cfvo type="max"/>
        <color rgb="FF63BE7B"/>
        <color rgb="FFFFEB84"/>
        <color rgb="FFF8696B"/>
      </colorScale>
    </cfRule>
  </conditionalFormatting>
  <conditionalFormatting sqref="A116:A129 A343:A356">
    <cfRule type="colorScale" priority="50">
      <colorScale>
        <cfvo type="min"/>
        <cfvo type="percentile" val="50"/>
        <cfvo type="max"/>
        <color rgb="FF63BE7B"/>
        <color rgb="FFFFEB84"/>
        <color rgb="FFF8696B"/>
      </colorScale>
    </cfRule>
  </conditionalFormatting>
  <conditionalFormatting sqref="A132:A133 A359:A360">
    <cfRule type="colorScale" priority="51">
      <colorScale>
        <cfvo type="min"/>
        <cfvo type="percentile" val="50"/>
        <cfvo type="max"/>
        <color rgb="FF63BE7B"/>
        <color rgb="FFFFEB84"/>
        <color rgb="FFF8696B"/>
      </colorScale>
    </cfRule>
  </conditionalFormatting>
  <conditionalFormatting sqref="A149:A163 A376:A390">
    <cfRule type="colorScale" priority="52">
      <colorScale>
        <cfvo type="min"/>
        <cfvo type="percentile" val="50"/>
        <cfvo type="max"/>
        <color rgb="FF63BE7B"/>
        <color rgb="FFFFEB84"/>
        <color rgb="FFF8696B"/>
      </colorScale>
    </cfRule>
  </conditionalFormatting>
  <conditionalFormatting sqref="A166:A180 A393:A407">
    <cfRule type="colorScale" priority="53">
      <colorScale>
        <cfvo type="min"/>
        <cfvo type="percentile" val="50"/>
        <cfvo type="max"/>
        <color rgb="FF63BE7B"/>
        <color rgb="FFFFEB84"/>
        <color rgb="FFF8696B"/>
      </colorScale>
    </cfRule>
  </conditionalFormatting>
  <conditionalFormatting sqref="A183:A185 A410:A412">
    <cfRule type="colorScale" priority="54">
      <colorScale>
        <cfvo type="min"/>
        <cfvo type="percentile" val="50"/>
        <cfvo type="max"/>
        <color rgb="FF63BE7B"/>
        <color rgb="FFFFEB84"/>
        <color rgb="FFF8696B"/>
      </colorScale>
    </cfRule>
  </conditionalFormatting>
  <conditionalFormatting sqref="A201:A203 A428:A430">
    <cfRule type="colorScale" priority="55">
      <colorScale>
        <cfvo type="min"/>
        <cfvo type="percentile" val="50"/>
        <cfvo type="max"/>
        <color rgb="FF63BE7B"/>
        <color rgb="FFFFEB84"/>
        <color rgb="FFF8696B"/>
      </colorScale>
    </cfRule>
  </conditionalFormatting>
  <conditionalFormatting sqref="A208:A210 A435:A437">
    <cfRule type="colorScale" priority="56">
      <colorScale>
        <cfvo type="min"/>
        <cfvo type="percentile" val="50"/>
        <cfvo type="max"/>
        <color rgb="FF63BE7B"/>
        <color rgb="FFFFEB84"/>
        <color rgb="FFF8696B"/>
      </colorScale>
    </cfRule>
  </conditionalFormatting>
  <conditionalFormatting sqref="A211:A224 A438:A451">
    <cfRule type="colorScale" priority="57">
      <colorScale>
        <cfvo type="min"/>
        <cfvo type="percentile" val="50"/>
        <cfvo type="max"/>
        <color rgb="FF63BE7B"/>
        <color rgb="FFFFEB84"/>
        <color rgb="FFF8696B"/>
      </colorScale>
    </cfRule>
  </conditionalFormatting>
  <conditionalFormatting sqref="J10:L224 J237:L451">
    <cfRule type="cellIs" dxfId="8" priority="58" operator="equal">
      <formula>0</formula>
    </cfRule>
  </conditionalFormatting>
  <dataValidations>
    <dataValidation type="list" allowBlank="1" sqref="C12:C16 C46 C50 C67 C69 C103 C137 C169 C171 C186 C188 C204 C206 C241 C243 C256 C258 C275 C277 C294 C296 C312 C314 C328 C330 C345 C347 C362 C364 C379 C381 C396 C398 C413 C415 C431 C433">
      <formula1>"I-ACTIVE,MAP,KCL 60%,05-37-00,10-46-00 + S,08-42-00,SSP 21,03-15-07 +14%CO,URÉIA,SULFATO DE AMÔNIO,BOROGRAN,SUPER DUO,08-40-00 - 100M,AURUS 500,00-01-00+Cu2 Mn8 Zn7"</formula1>
    </dataValidation>
    <dataValidation type="list" allowBlank="1" sqref="C160:C161">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430SC,TRATOR - CASE MAGNUM 340+SUBSOLADOR 11 ASTES,+"</formula1>
    </dataValidation>
    <dataValidation type="list" allowBlank="1" sqref="C27:C28 C87">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type="custom" allowBlank="1" showDropDown="1" sqref="G10:L224 G237:L451">
      <formula1>AND(ISNUMBER(G10),(NOT(OR(NOT(ISERROR(DATEVALUE(G10))), AND(ISNUMBER(G10), LEFT(CELL("format", G10))="D")))))</formula1>
    </dataValidation>
    <dataValidation type="list" allowBlank="1" sqref="C149">
      <formula1>"CASE STEIGER 420 + HORSCH MAESTRO DUO 36.50,CASE MAGNUM 340 + - CASE ASM 1213,CR 8.90 NEW HOLLAND + 880 CF45,COLHETADEIRA - NH-CR9060 + 740 CF30 AGRIDREPER,COLHETADEIRA CR7.80 + MACDON 35F,TRATOR-JD 7500 + BRUTUS 12000 C/TOPPER,TRATOR-JD 7500 + ADUBADORA "&amp;"HERCULES 10000,VOLVO NH380 + CAÇAMBA 430SC,CASE MAGNUM 340 + SUBSOLADOR 11 ASTES,PULVERIZADOR- JD4730 + PULVERIZADOR- JD4730,AIR TRATOR AT-502B + AIR TRATOR AT-502B,+"</formula1>
    </dataValidation>
    <dataValidation type="list" allowBlank="1" sqref="C30 C133">
      <formula1>"RUMBA,ASSIST,MEES,AUREO,JOINT ULTRA,ADGREEN,ENERGIC,EXTRAVON,OCHIMA"</formula1>
    </dataValidation>
    <dataValidation type="list" allowBlank="1" sqref="C26 C33 C52 C71 C82 C85 C89 C105 C122 C139 C166 C173 C184 C190 C202 C208 C245 C254 C260 C273 C279 C292 C298 C310 C316 C326 C332 C343 C349 C360 C366 C377 C383 C394 C400 C411 C417 C429 C435">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type="list" allowBlank="1" sqref="C29 C65 C84">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type="list" allowBlank="1" sqref="C20:C24 C43 C62 C80 C98 C115 C120 C159 C247:C251 C270 C289 C307">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type="list" allowBlank="1" sqref="C11 C51 C70 C88 C104 C121 C138 C172 C189 C207 C244 C259 C278 C297 C315 C331 C348 C365 C382 C399 C416 C434">
      <formula1>"CALCÁRIO DOLOMITICO,GESSO AGRICOLA"</formula1>
    </dataValidation>
    <dataValidation type="list" allowBlank="1" sqref="C45 C49 C68 C136 C170 C183 C187 C205 C242 C257 C272 C276 C291 C295 C309 C313 C325 C329 C342 C346 C359 C363 C376 C380 C393 C397 C410 C414 C432">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type="list" allowBlank="1" sqref="C162:C164">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430SC,TRATOR - CASE MAGNUM 340+SUBSOLADOR 11 ASTES,PULVERIZADOR- JD4730+,+"</formula1>
    </dataValidation>
    <dataValidation type="list" allowBlank="1" sqref="C31">
      <formula1>"RADIFARM,MEGAFOL,OCTABORATO,BOP,METAL NUTRE,MONIC,AP MAGNÉSIO,GRANO KMG,AP MANGANÊS,AMINOS Mn,MICROBOX,ACRESECENT ALGA,RAIZ F,ACRESCENTE SOLUS F,SALUT,MATRIZ D,BRAVERO,Glyfort,Fergsum,Spander,Halattus,Sallvare Complex,Zinctaus Complex,Emezine Complex,Bora"&amp;"tus Complex,Magmill Complex,Brave K,Brave Max Up,MAX RAIZ,Polyamine,Sulfato de Magnésio,Map Purificado,MANGAN 10,NHT ZINCO,KELLUS CUPPER,MOLIBIDENIO 16,ZINCO 10,Potenza NiCoMo"</formula1>
    </dataValidation>
    <dataValidation type="list" allowBlank="1" sqref="C47 C86 C101 C118 C167">
      <formula1>"RUMBA,ASSIST,MEES,AUREO EC,JOINT ULTRA,ENERGIC,EXTRAVON,OCHIMA,STRIDES"</formula1>
    </dataValidation>
    <dataValidation type="list" allowBlank="1" sqref="C102 C119 C132">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type="list" allowBlank="1" sqref="C155 C158">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430SC,TRATOR - CASE MAGNUM 340+SUBSOLADOR 11 ASTES,PULVERIZADOR- JD4730+PULVERIZADOR- JD4730,AIR TRATOR AT-502"&amp;"B+AIR TRATOR AT-502B,+"</formula1>
    </dataValidation>
    <dataValidation type="list" allowBlank="1" showErrorMessage="1" sqref="B237:B451">
      <formula1>#REF!</formula1>
    </dataValidation>
    <dataValidation type="list" allowBlank="1" sqref="C66 C168 C185 C203 C240 C255 C274 C293 C311 C327 C344 C361 C378 C395 C412 C430">
      <formula1>"SOMBRERO,STANDAK TOP,CROPSTAR,DERMACOR,PERMIT STAR,PRESENCE FULL,PLUST,CRUISER 350 FS,CRUISER ADVANCED,FORTENZA 600 FS,MAXIM ADVANCED,MAXIM XL,SPECTRO,BIOZYME,NIMAXXA,VITAVAX-THIRAM 200 SC"</formula1>
    </dataValidation>
    <dataValidation type="list" allowBlank="1" sqref="C156:C157">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430SC,TRATOR - CASE MAGNUM 340+SUBSOLADOR 11 ASTES,PULVERIZADOR- JD4730+PULVERIZADOR- JD4730,+"</formula1>
    </dataValidation>
    <dataValidation type="list" allowBlank="1" sqref="C153">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formula1>
    </dataValidation>
    <dataValidation type="list" allowBlank="1" sqref="B10:B224">
      <formula1>#REF!</formula1>
    </dataValidation>
    <dataValidation type="list" allowBlank="1" sqref="C150:C152 C154">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formula1>
    </dataValidation>
    <dataValidation type="list" allowBlank="1" sqref="C19 C34 C48 C53:C54 C59 C64 C72:C73 C83 C90:C91 C96 C99:C100 C106:C107 C112 C116:C117 C123:C124 C129 C140:C141 C146 C174:C175 C180 C191:C192 C197 C209:C210 C215 C246 C253 C261:C262 C267 C280:C281 C286 C299:C300 C317:C318 C323 C333:C334 C339 C350:C351 C356 C367:C368 C373 C384:C385 C390 C401:C402 C407 C418:C419 C424 C436:C437 C442">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display="ÁREA PLANTIO" location="'ÁREA PLANTIO'!A1" ref="F1"/>
    <hyperlink display="ÁREA PLANTIO" location="'ÁREA PLANTIO'!A1" ref="F227"/>
  </hyperlinks>
  <printOptions/>
  <pageMargins bottom="0.787401575" footer="0.0" header="0.0" left="0.511811024" right="0.511811024" top="0.787401575"/>
  <pageSetup orientation="landscape"/>
  <drawing r:id="rId1"/>
  <tableParts count="2">
    <tablePart r:id="rId4"/>
    <tablePart r:id="rId5"/>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13.88"/>
    <col customWidth="1" min="2" max="2" width="22.75"/>
    <col customWidth="1" min="3" max="3" width="33.63"/>
    <col customWidth="1" min="4" max="4" width="40.25"/>
    <col customWidth="1" min="5" max="5" width="20.13"/>
    <col customWidth="1" min="6" max="6" width="13.13"/>
    <col customWidth="1" min="7" max="7" width="13.75"/>
    <col customWidth="1" min="8" max="9" width="10.38"/>
    <col customWidth="1" min="10" max="10" width="14.0"/>
    <col customWidth="1" min="11" max="23" width="14.38"/>
  </cols>
  <sheetData>
    <row r="1" ht="15.75" customHeight="1">
      <c r="A1" s="260" t="s">
        <v>1203</v>
      </c>
      <c r="B1" s="261" t="str">
        <f>'ÁREA PLANTIO'!B10</f>
        <v/>
      </c>
      <c r="C1" s="262" t="s">
        <v>1166</v>
      </c>
      <c r="D1" s="263">
        <f>$K$225</f>
        <v>0</v>
      </c>
      <c r="E1" s="264"/>
      <c r="F1" s="265" t="s">
        <v>1167</v>
      </c>
      <c r="G1" s="266"/>
      <c r="H1" s="267"/>
      <c r="I1" s="267"/>
      <c r="J1" s="267"/>
      <c r="K1" s="266"/>
      <c r="L1" s="220"/>
      <c r="M1" s="220"/>
      <c r="N1" s="220"/>
      <c r="O1" s="220"/>
      <c r="P1" s="220"/>
      <c r="Q1" s="220"/>
      <c r="R1" s="220"/>
      <c r="S1" s="220"/>
      <c r="T1" s="220"/>
      <c r="U1" s="220"/>
      <c r="V1" s="220"/>
      <c r="W1" s="220"/>
    </row>
    <row r="2" ht="15.75" customHeight="1">
      <c r="A2" s="260" t="s">
        <v>1168</v>
      </c>
      <c r="B2" s="268" t="str">
        <f>'ÁREA PLANTIO'!E10</f>
        <v/>
      </c>
      <c r="C2" s="269" t="s">
        <v>1169</v>
      </c>
      <c r="D2" s="270" t="str">
        <f>'ÁREA PLANTIO'!D10</f>
        <v/>
      </c>
      <c r="E2" s="264"/>
      <c r="F2" s="264"/>
      <c r="G2" s="266"/>
      <c r="H2" s="267"/>
      <c r="I2" s="267"/>
      <c r="J2" s="267"/>
      <c r="K2" s="266"/>
      <c r="L2" s="220"/>
      <c r="M2" s="220"/>
      <c r="N2" s="220"/>
      <c r="O2" s="220"/>
      <c r="P2" s="220"/>
      <c r="Q2" s="220"/>
      <c r="R2" s="220"/>
      <c r="S2" s="220"/>
      <c r="T2" s="220"/>
      <c r="U2" s="220"/>
      <c r="V2" s="220"/>
      <c r="W2" s="220"/>
    </row>
    <row r="3" ht="15.75" customHeight="1">
      <c r="A3" s="260" t="s">
        <v>1170</v>
      </c>
      <c r="B3" s="267" t="str">
        <f>'ÁREA PLANTIO'!C10</f>
        <v/>
      </c>
      <c r="C3" s="269" t="s">
        <v>1171</v>
      </c>
      <c r="D3" s="271" t="str">
        <f>D1/D2</f>
        <v>#DIV/0!</v>
      </c>
      <c r="E3" s="264"/>
      <c r="F3" s="264"/>
      <c r="G3" s="266"/>
      <c r="H3" s="267"/>
      <c r="I3" s="267"/>
      <c r="J3" s="267"/>
      <c r="K3" s="266"/>
      <c r="L3" s="220"/>
      <c r="M3" s="220"/>
      <c r="N3" s="220"/>
      <c r="O3" s="220"/>
      <c r="P3" s="220"/>
      <c r="Q3" s="220"/>
      <c r="R3" s="220"/>
      <c r="S3" s="220"/>
      <c r="T3" s="220"/>
      <c r="U3" s="220"/>
      <c r="V3" s="220"/>
      <c r="W3" s="220"/>
    </row>
    <row r="4" ht="15.75" customHeight="1">
      <c r="A4" s="272" t="s">
        <v>1172</v>
      </c>
      <c r="B4" s="273">
        <v>45606.0</v>
      </c>
      <c r="C4" s="274"/>
      <c r="D4" s="275"/>
      <c r="E4" s="276"/>
      <c r="F4" s="264"/>
      <c r="G4" s="266"/>
      <c r="H4" s="267"/>
      <c r="I4" s="267"/>
      <c r="J4" s="267"/>
      <c r="K4" s="266"/>
      <c r="L4" s="220"/>
      <c r="M4" s="220"/>
      <c r="N4" s="220"/>
      <c r="O4" s="220"/>
      <c r="P4" s="220"/>
      <c r="Q4" s="220"/>
      <c r="R4" s="220"/>
      <c r="S4" s="220"/>
      <c r="T4" s="220"/>
      <c r="U4" s="220"/>
      <c r="V4" s="220"/>
      <c r="W4" s="220"/>
    </row>
    <row r="5" ht="15.75" customHeight="1">
      <c r="E5" s="277"/>
      <c r="F5" s="264"/>
      <c r="G5" s="266"/>
      <c r="H5" s="267"/>
      <c r="I5" s="267"/>
      <c r="J5" s="267"/>
      <c r="K5" s="266"/>
      <c r="L5" s="220"/>
      <c r="M5" s="220"/>
      <c r="N5" s="220"/>
      <c r="O5" s="220"/>
      <c r="P5" s="220"/>
      <c r="Q5" s="220"/>
      <c r="R5" s="220"/>
      <c r="S5" s="220"/>
      <c r="T5" s="220"/>
      <c r="U5" s="220"/>
      <c r="V5" s="220"/>
      <c r="W5" s="220"/>
    </row>
    <row r="6" ht="15.75" customHeight="1">
      <c r="A6" s="260"/>
      <c r="B6" s="267"/>
      <c r="C6" s="264"/>
      <c r="D6" s="264"/>
      <c r="E6" s="264"/>
      <c r="F6" s="264"/>
      <c r="G6" s="266"/>
      <c r="H6" s="267"/>
      <c r="I6" s="267"/>
      <c r="J6" s="267"/>
      <c r="K6" s="266"/>
      <c r="L6" s="220"/>
      <c r="M6" s="220"/>
      <c r="N6" s="220"/>
      <c r="O6" s="220"/>
      <c r="P6" s="220"/>
      <c r="Q6" s="220"/>
      <c r="R6" s="220"/>
      <c r="S6" s="220"/>
      <c r="T6" s="220"/>
      <c r="U6" s="220"/>
      <c r="V6" s="220"/>
      <c r="W6" s="220"/>
    </row>
    <row r="7" ht="15.75" customHeight="1">
      <c r="A7" s="267"/>
      <c r="B7" s="267"/>
      <c r="C7" s="264"/>
      <c r="D7" s="264"/>
      <c r="E7" s="264"/>
      <c r="F7" s="264"/>
      <c r="G7" s="266"/>
      <c r="H7" s="267"/>
      <c r="I7" s="267"/>
      <c r="J7" s="267"/>
      <c r="K7" s="266"/>
      <c r="L7" s="220"/>
      <c r="M7" s="220"/>
      <c r="N7" s="220"/>
      <c r="O7" s="220"/>
      <c r="P7" s="220"/>
      <c r="Q7" s="220"/>
      <c r="R7" s="220"/>
      <c r="S7" s="220"/>
      <c r="T7" s="220"/>
      <c r="U7" s="220"/>
      <c r="V7" s="220"/>
      <c r="W7" s="220"/>
    </row>
    <row r="8" ht="15.75" customHeight="1">
      <c r="A8" s="267"/>
      <c r="B8" s="267"/>
      <c r="C8" s="267"/>
      <c r="D8" s="267"/>
      <c r="E8" s="264"/>
      <c r="F8" s="264"/>
      <c r="G8" s="266"/>
      <c r="H8" s="267"/>
      <c r="I8" s="267"/>
      <c r="J8" s="267"/>
      <c r="K8" s="266"/>
      <c r="L8" s="220"/>
      <c r="M8" s="220"/>
      <c r="N8" s="220"/>
      <c r="O8" s="220"/>
      <c r="P8" s="220"/>
      <c r="Q8" s="220"/>
      <c r="R8" s="220"/>
      <c r="S8" s="220"/>
      <c r="T8" s="220"/>
      <c r="U8" s="220"/>
      <c r="V8" s="220"/>
      <c r="W8" s="220"/>
    </row>
    <row r="9" ht="15.75" customHeight="1">
      <c r="A9" s="211" t="s">
        <v>1173</v>
      </c>
      <c r="B9" s="213" t="s">
        <v>1174</v>
      </c>
      <c r="C9" s="213" t="s">
        <v>1175</v>
      </c>
      <c r="D9" s="211" t="s">
        <v>1176</v>
      </c>
      <c r="E9" s="211" t="s">
        <v>1177</v>
      </c>
      <c r="F9" s="211" t="s">
        <v>1178</v>
      </c>
      <c r="G9" s="278" t="s">
        <v>1179</v>
      </c>
      <c r="H9" s="278" t="s">
        <v>1180</v>
      </c>
      <c r="I9" s="278" t="s">
        <v>1181</v>
      </c>
      <c r="J9" s="279" t="s">
        <v>1134</v>
      </c>
      <c r="K9" s="280" t="s">
        <v>1182</v>
      </c>
      <c r="L9" s="281" t="s">
        <v>339</v>
      </c>
      <c r="M9" s="220"/>
      <c r="N9" s="220"/>
      <c r="O9" s="220"/>
      <c r="P9" s="220"/>
      <c r="Q9" s="220"/>
      <c r="R9" s="220"/>
      <c r="S9" s="220"/>
      <c r="T9" s="220"/>
      <c r="U9" s="220"/>
      <c r="V9" s="220"/>
      <c r="W9" s="220"/>
    </row>
    <row r="10" ht="15.75" customHeight="1">
      <c r="A10" s="231" t="s">
        <v>1183</v>
      </c>
      <c r="B10" s="230"/>
      <c r="C10" s="231"/>
      <c r="D10" s="232" t="s">
        <v>216</v>
      </c>
      <c r="E10" s="231"/>
      <c r="F10" s="231"/>
      <c r="G10" s="233"/>
      <c r="H10" s="282"/>
      <c r="I10" s="258"/>
      <c r="J10" s="236"/>
      <c r="K10" s="237">
        <f t="shared" ref="K10:L10" si="1">SUBTOTAL(9,K11:K24)</f>
        <v>0</v>
      </c>
      <c r="L10" s="237">
        <f t="shared" si="1"/>
        <v>0</v>
      </c>
      <c r="M10" s="220"/>
      <c r="N10" s="220"/>
      <c r="O10" s="220"/>
      <c r="P10" s="220"/>
      <c r="Q10" s="220"/>
      <c r="R10" s="220"/>
      <c r="S10" s="220"/>
      <c r="T10" s="220"/>
      <c r="U10" s="220"/>
      <c r="V10" s="220"/>
      <c r="W10" s="220"/>
    </row>
    <row r="11" outlineLevel="1">
      <c r="A11" s="213"/>
      <c r="B11" s="212"/>
      <c r="C11" s="213"/>
      <c r="D11" s="214" t="str">
        <f>IFERROR(VLOOKUP($C11,'PORTIFÓLIO'!C:V,2,0),"")</f>
        <v/>
      </c>
      <c r="E11" s="211" t="str">
        <f>IFERROR(VLOOKUP($C11,'PORTIFÓLIO'!C:V,3,0),"")</f>
        <v/>
      </c>
      <c r="F11" s="211" t="str">
        <f>IFERROR(VLOOKUP($C11,'PORTIFÓLIO'!C:V,4,0),"")</f>
        <v/>
      </c>
      <c r="G11" s="215" t="str">
        <f>IFERROR(VLOOKUP($C11,'PORTIFÓLIO'!C:V,5,0),"")</f>
        <v/>
      </c>
      <c r="H11" s="254" t="str">
        <f t="array" ref="H11">IFERROR(INDEX('PORTIFÓLIO'!$H$4:$H$433,MATCH($C11,'PORTIFÓLIO'!$C$4:$C$433,0)),"")</f>
        <v/>
      </c>
      <c r="I11" s="255"/>
      <c r="J11" s="218">
        <f t="shared" ref="J11:J24" si="2">I11*$B$2</f>
        <v>0</v>
      </c>
      <c r="K11" s="219" t="str">
        <f t="array" ref="K11">IFERROR(I11*INDEX('PORTIFÓLIO'!$S$4:$S$433,MATCH($C11,'PORTIFÓLIO'!$C$4:$C$433,0)),"")</f>
        <v/>
      </c>
      <c r="L11" s="219" t="str">
        <f t="array" ref="L11">IFERROR(J11*INDEX('PORTIFÓLIO'!$S$4:$S$433,MATCH($C11,'PORTIFÓLIO'!$C$4:$C$433,0)),"")</f>
        <v/>
      </c>
      <c r="M11" s="220"/>
      <c r="N11" s="220"/>
      <c r="O11" s="220"/>
      <c r="P11" s="220"/>
      <c r="Q11" s="220"/>
      <c r="R11" s="220"/>
      <c r="S11" s="220"/>
      <c r="T11" s="220"/>
      <c r="U11" s="220" t="str">
        <f>IFERROR(__xludf.DUMMYFUNCTION("FILTER('PORTIFÓLIO'!C:C, 'PORTIFÓLIO'!B:B=B11)"),"#REF!")</f>
        <v>#REF!</v>
      </c>
      <c r="V11" s="220"/>
      <c r="W11" s="220"/>
    </row>
    <row r="12" outlineLevel="1">
      <c r="A12" s="213"/>
      <c r="B12" s="212"/>
      <c r="C12" s="213"/>
      <c r="D12" s="214" t="str">
        <f>IFERROR(VLOOKUP($C12,'PORTIFÓLIO'!C:V,2,0),"")</f>
        <v/>
      </c>
      <c r="E12" s="211" t="str">
        <f>IFERROR(VLOOKUP($C12,'PORTIFÓLIO'!C:V,3,0),"")</f>
        <v/>
      </c>
      <c r="F12" s="211" t="str">
        <f>IFERROR(VLOOKUP($C12,'PORTIFÓLIO'!C:V,4,0),"")</f>
        <v/>
      </c>
      <c r="G12" s="215" t="str">
        <f>IFERROR(VLOOKUP($C12,'PORTIFÓLIO'!C:V,5,0),"")</f>
        <v/>
      </c>
      <c r="H12" s="254" t="str">
        <f t="array" ref="H12">IFERROR(INDEX('PORTIFÓLIO'!$H$4:$H$433,MATCH($C12,'PORTIFÓLIO'!$C$4:$C$433,0)),"")</f>
        <v/>
      </c>
      <c r="I12" s="255"/>
      <c r="J12" s="218">
        <f t="shared" si="2"/>
        <v>0</v>
      </c>
      <c r="K12" s="219" t="str">
        <f t="array" ref="K12">IFERROR(I12*INDEX('PORTIFÓLIO'!$S$4:$S$433,MATCH($C12,'PORTIFÓLIO'!$C$4:$C$433,0)),"")</f>
        <v/>
      </c>
      <c r="L12" s="219" t="str">
        <f t="array" ref="L12">IFERROR(J12*INDEX('PORTIFÓLIO'!$S$4:$S$433,MATCH($C12,'PORTIFÓLIO'!$C$4:$C$433,0)),"")</f>
        <v/>
      </c>
      <c r="M12" s="220"/>
      <c r="N12" s="220"/>
      <c r="O12" s="220"/>
      <c r="P12" s="220"/>
      <c r="Q12" s="220"/>
      <c r="R12" s="220"/>
      <c r="S12" s="220"/>
      <c r="T12" s="220"/>
      <c r="U12" s="220" t="str">
        <f>IFERROR(__xludf.DUMMYFUNCTION("FILTER('PORTIFÓLIO'!C:C, 'PORTIFÓLIO'!B:B=B12)"),"#REF!")</f>
        <v>#REF!</v>
      </c>
      <c r="V12" s="220"/>
      <c r="W12" s="220"/>
    </row>
    <row r="13" outlineLevel="1">
      <c r="A13" s="213"/>
      <c r="B13" s="212"/>
      <c r="C13" s="213"/>
      <c r="D13" s="214" t="str">
        <f>IFERROR(VLOOKUP($C13,'PORTIFÓLIO'!C:V,2,0),"")</f>
        <v/>
      </c>
      <c r="E13" s="211" t="str">
        <f>IFERROR(VLOOKUP($C13,'PORTIFÓLIO'!C:V,3,0),"")</f>
        <v/>
      </c>
      <c r="F13" s="211" t="str">
        <f>IFERROR(VLOOKUP($C13,'PORTIFÓLIO'!C:V,4,0),"")</f>
        <v/>
      </c>
      <c r="G13" s="215" t="str">
        <f>IFERROR(VLOOKUP($C13,'PORTIFÓLIO'!C:V,5,0),"")</f>
        <v/>
      </c>
      <c r="H13" s="254" t="str">
        <f t="array" ref="H13">IFERROR(INDEX('PORTIFÓLIO'!$H$4:$H$433,MATCH($C13,'PORTIFÓLIO'!$C$4:$C$433,0)),"")</f>
        <v/>
      </c>
      <c r="I13" s="255"/>
      <c r="J13" s="218">
        <f t="shared" si="2"/>
        <v>0</v>
      </c>
      <c r="K13" s="219" t="str">
        <f t="array" ref="K13">IFERROR(I13*INDEX('PORTIFÓLIO'!$S$4:$S$433,MATCH($C13,'PORTIFÓLIO'!$C$4:$C$433,0)),"")</f>
        <v/>
      </c>
      <c r="L13" s="219" t="str">
        <f t="array" ref="L13">IFERROR(J13*INDEX('PORTIFÓLIO'!$S$4:$S$433,MATCH($C13,'PORTIFÓLIO'!$C$4:$C$433,0)),"")</f>
        <v/>
      </c>
      <c r="M13" s="220"/>
      <c r="N13" s="220"/>
      <c r="O13" s="220"/>
      <c r="P13" s="220"/>
      <c r="Q13" s="220"/>
      <c r="R13" s="220"/>
      <c r="S13" s="220"/>
      <c r="T13" s="220"/>
      <c r="U13" s="220" t="str">
        <f>IFERROR(__xludf.DUMMYFUNCTION("FILTER('PORTIFÓLIO'!C:C, 'PORTIFÓLIO'!B:B=B13)"),"#REF!")</f>
        <v>#REF!</v>
      </c>
      <c r="V13" s="220"/>
      <c r="W13" s="220"/>
    </row>
    <row r="14" outlineLevel="1">
      <c r="A14" s="211"/>
      <c r="B14" s="212"/>
      <c r="C14" s="213"/>
      <c r="D14" s="214" t="str">
        <f>IFERROR(VLOOKUP($C14,'PORTIFÓLIO'!C:V,2,0),"")</f>
        <v/>
      </c>
      <c r="E14" s="211" t="str">
        <f>IFERROR(VLOOKUP($C14,'PORTIFÓLIO'!C:V,3,0),"")</f>
        <v/>
      </c>
      <c r="F14" s="211" t="str">
        <f>IFERROR(VLOOKUP($C14,'PORTIFÓLIO'!C:V,4,0),"")</f>
        <v/>
      </c>
      <c r="G14" s="215" t="str">
        <f>IFERROR(VLOOKUP($C14,'PORTIFÓLIO'!C:V,5,0),"")</f>
        <v/>
      </c>
      <c r="H14" s="254" t="str">
        <f t="array" ref="H14">IFERROR(INDEX('PORTIFÓLIO'!$H$4:$H$433,MATCH($C14,'PORTIFÓLIO'!$C$4:$C$433,0)),"")</f>
        <v/>
      </c>
      <c r="I14" s="255"/>
      <c r="J14" s="218">
        <f t="shared" si="2"/>
        <v>0</v>
      </c>
      <c r="K14" s="219" t="str">
        <f t="array" ref="K14">IFERROR(I14*INDEX('PORTIFÓLIO'!$S$4:$S$433,MATCH($C14,'PORTIFÓLIO'!$C$4:$C$433,0)),"")</f>
        <v/>
      </c>
      <c r="L14" s="219" t="str">
        <f t="array" ref="L14">IFERROR(J14*INDEX('PORTIFÓLIO'!$S$4:$S$433,MATCH($C14,'PORTIFÓLIO'!$C$4:$C$433,0)),"")</f>
        <v/>
      </c>
      <c r="M14" s="220"/>
      <c r="N14" s="220"/>
      <c r="O14" s="220"/>
      <c r="P14" s="220"/>
      <c r="Q14" s="220"/>
      <c r="R14" s="220"/>
      <c r="S14" s="220"/>
      <c r="T14" s="220"/>
      <c r="U14" s="220" t="str">
        <f>IFERROR(__xludf.DUMMYFUNCTION("FILTER('PORTIFÓLIO'!C:C, 'PORTIFÓLIO'!B:B=B14)"),"#REF!")</f>
        <v>#REF!</v>
      </c>
      <c r="V14" s="220"/>
      <c r="W14" s="220"/>
    </row>
    <row r="15" outlineLevel="1">
      <c r="A15" s="211"/>
      <c r="B15" s="212"/>
      <c r="C15" s="213"/>
      <c r="D15" s="214" t="str">
        <f>IFERROR(VLOOKUP($C15,'PORTIFÓLIO'!C:V,2,0),"")</f>
        <v/>
      </c>
      <c r="E15" s="211" t="str">
        <f>IFERROR(VLOOKUP($C15,'PORTIFÓLIO'!C:V,3,0),"")</f>
        <v/>
      </c>
      <c r="F15" s="211" t="str">
        <f>IFERROR(VLOOKUP($C15,'PORTIFÓLIO'!C:V,4,0),"")</f>
        <v/>
      </c>
      <c r="G15" s="215" t="str">
        <f>IFERROR(VLOOKUP($C15,'PORTIFÓLIO'!C:V,5,0),"")</f>
        <v/>
      </c>
      <c r="H15" s="254" t="str">
        <f t="array" ref="H15">IFERROR(INDEX('PORTIFÓLIO'!$H$4:$H$433,MATCH($C15,'PORTIFÓLIO'!$C$4:$C$433,0)),"")</f>
        <v/>
      </c>
      <c r="I15" s="255"/>
      <c r="J15" s="218">
        <f t="shared" si="2"/>
        <v>0</v>
      </c>
      <c r="K15" s="219" t="str">
        <f t="array" ref="K15">IFERROR(I15*INDEX('PORTIFÓLIO'!$S$4:$S$433,MATCH($C15,'PORTIFÓLIO'!$C$4:$C$433,0)),"")</f>
        <v/>
      </c>
      <c r="L15" s="219" t="str">
        <f t="array" ref="L15">IFERROR(J15*INDEX('PORTIFÓLIO'!$S$4:$S$433,MATCH($C15,'PORTIFÓLIO'!$C$4:$C$433,0)),"")</f>
        <v/>
      </c>
      <c r="M15" s="220"/>
      <c r="N15" s="220"/>
      <c r="O15" s="220"/>
      <c r="P15" s="220"/>
      <c r="Q15" s="220"/>
      <c r="R15" s="220"/>
      <c r="S15" s="220"/>
      <c r="T15" s="220"/>
      <c r="U15" s="220" t="str">
        <f>IFERROR(__xludf.DUMMYFUNCTION("FILTER('PORTIFÓLIO'!C:C, 'PORTIFÓLIO'!B:B=B15)"),"#REF!")</f>
        <v>#REF!</v>
      </c>
      <c r="V15" s="220"/>
      <c r="W15" s="220"/>
    </row>
    <row r="16" outlineLevel="1">
      <c r="A16" s="211"/>
      <c r="B16" s="212"/>
      <c r="C16" s="213"/>
      <c r="D16" s="214" t="str">
        <f>IFERROR(VLOOKUP($C16,'PORTIFÓLIO'!C:V,2,0),"")</f>
        <v/>
      </c>
      <c r="E16" s="211" t="str">
        <f>IFERROR(VLOOKUP($C16,'PORTIFÓLIO'!C:V,3,0),"")</f>
        <v/>
      </c>
      <c r="F16" s="211" t="str">
        <f>IFERROR(VLOOKUP($C16,'PORTIFÓLIO'!C:V,4,0),"")</f>
        <v/>
      </c>
      <c r="G16" s="215" t="str">
        <f>IFERROR(VLOOKUP($C16,'PORTIFÓLIO'!C:V,5,0),"")</f>
        <v/>
      </c>
      <c r="H16" s="254" t="str">
        <f t="array" ref="H16">IFERROR(INDEX('PORTIFÓLIO'!$H$4:$H$433,MATCH($C16,'PORTIFÓLIO'!$C$4:$C$433,0)),"")</f>
        <v/>
      </c>
      <c r="I16" s="255"/>
      <c r="J16" s="218">
        <f t="shared" si="2"/>
        <v>0</v>
      </c>
      <c r="K16" s="219" t="str">
        <f t="array" ref="K16">IFERROR(I16*INDEX('PORTIFÓLIO'!$S$4:$S$433,MATCH($C16,'PORTIFÓLIO'!$C$4:$C$433,0)),"")</f>
        <v/>
      </c>
      <c r="L16" s="219" t="str">
        <f t="array" ref="L16">IFERROR(J16*INDEX('PORTIFÓLIO'!$S$4:$S$433,MATCH($C16,'PORTIFÓLIO'!$C$4:$C$433,0)),"")</f>
        <v/>
      </c>
      <c r="M16" s="220"/>
      <c r="N16" s="220"/>
      <c r="O16" s="220"/>
      <c r="P16" s="220"/>
      <c r="Q16" s="220"/>
      <c r="R16" s="220"/>
      <c r="S16" s="220"/>
      <c r="T16" s="220"/>
      <c r="U16" s="220" t="str">
        <f>IFERROR(__xludf.DUMMYFUNCTION("FILTER('PORTIFÓLIO'!C:C, 'PORTIFÓLIO'!B:B=B16)"),"#REF!")</f>
        <v>#REF!</v>
      </c>
      <c r="V16" s="220"/>
      <c r="W16" s="220"/>
    </row>
    <row r="17" outlineLevel="1">
      <c r="A17" s="211"/>
      <c r="B17" s="212"/>
      <c r="C17" s="213"/>
      <c r="D17" s="214" t="str">
        <f>IFERROR(VLOOKUP($C17,'PORTIFÓLIO'!C:V,2,0),"")</f>
        <v/>
      </c>
      <c r="E17" s="211" t="str">
        <f>IFERROR(VLOOKUP($C17,'PORTIFÓLIO'!C:V,3,0),"")</f>
        <v/>
      </c>
      <c r="F17" s="211" t="str">
        <f>IFERROR(VLOOKUP($C17,'PORTIFÓLIO'!C:V,4,0),"")</f>
        <v/>
      </c>
      <c r="G17" s="215" t="str">
        <f>IFERROR(VLOOKUP($C17,'PORTIFÓLIO'!C:V,5,0),"")</f>
        <v/>
      </c>
      <c r="H17" s="254" t="str">
        <f t="array" ref="H17">IFERROR(INDEX('PORTIFÓLIO'!$H$4:$H$433,MATCH($C17,'PORTIFÓLIO'!$C$4:$C$433,0)),"")</f>
        <v/>
      </c>
      <c r="I17" s="255"/>
      <c r="J17" s="218">
        <f t="shared" si="2"/>
        <v>0</v>
      </c>
      <c r="K17" s="219" t="str">
        <f t="array" ref="K17">IFERROR(I17*INDEX('PORTIFÓLIO'!$S$4:$S$433,MATCH($C17,'PORTIFÓLIO'!$C$4:$C$433,0)),"")</f>
        <v/>
      </c>
      <c r="L17" s="219" t="str">
        <f t="array" ref="L17">IFERROR(J17*INDEX('PORTIFÓLIO'!$S$4:$S$433,MATCH($C17,'PORTIFÓLIO'!$C$4:$C$433,0)),"")</f>
        <v/>
      </c>
      <c r="M17" s="220"/>
      <c r="N17" s="220"/>
      <c r="O17" s="220"/>
      <c r="P17" s="220"/>
      <c r="Q17" s="220"/>
      <c r="R17" s="220"/>
      <c r="S17" s="220"/>
      <c r="T17" s="220"/>
      <c r="U17" s="220" t="str">
        <f>IFERROR(__xludf.DUMMYFUNCTION("FILTER('PORTIFÓLIO'!C:C, 'PORTIFÓLIO'!B:B=B17)"),"#REF!")</f>
        <v>#REF!</v>
      </c>
      <c r="V17" s="220"/>
      <c r="W17" s="220"/>
    </row>
    <row r="18" outlineLevel="1">
      <c r="A18" s="211"/>
      <c r="B18" s="212"/>
      <c r="C18" s="213"/>
      <c r="D18" s="214" t="str">
        <f>IFERROR(VLOOKUP($C18,'PORTIFÓLIO'!C:V,2,0),"")</f>
        <v/>
      </c>
      <c r="E18" s="211" t="str">
        <f>IFERROR(VLOOKUP($C18,'PORTIFÓLIO'!C:V,3,0),"")</f>
        <v/>
      </c>
      <c r="F18" s="211" t="str">
        <f>IFERROR(VLOOKUP($C18,'PORTIFÓLIO'!C:V,4,0),"")</f>
        <v/>
      </c>
      <c r="G18" s="215" t="str">
        <f>IFERROR(VLOOKUP($C18,'PORTIFÓLIO'!C:V,5,0),"")</f>
        <v/>
      </c>
      <c r="H18" s="254" t="str">
        <f t="array" ref="H18">IFERROR(INDEX('PORTIFÓLIO'!$H$4:$H$433,MATCH($C18,'PORTIFÓLIO'!$C$4:$C$433,0)),"")</f>
        <v/>
      </c>
      <c r="I18" s="255"/>
      <c r="J18" s="218">
        <f t="shared" si="2"/>
        <v>0</v>
      </c>
      <c r="K18" s="219" t="str">
        <f t="array" ref="K18">IFERROR(I18*INDEX('PORTIFÓLIO'!$S$4:$S$433,MATCH($C18,'PORTIFÓLIO'!$C$4:$C$433,0)),"")</f>
        <v/>
      </c>
      <c r="L18" s="219" t="str">
        <f t="array" ref="L18">IFERROR(J18*INDEX('PORTIFÓLIO'!$S$4:$S$433,MATCH($C18,'PORTIFÓLIO'!$C$4:$C$433,0)),"")</f>
        <v/>
      </c>
      <c r="M18" s="220"/>
      <c r="N18" s="220"/>
      <c r="O18" s="220"/>
      <c r="P18" s="220"/>
      <c r="Q18" s="220"/>
      <c r="R18" s="220"/>
      <c r="S18" s="220"/>
      <c r="T18" s="220"/>
      <c r="U18" s="220" t="str">
        <f>IFERROR(__xludf.DUMMYFUNCTION("FILTER('PORTIFÓLIO'!C:C, 'PORTIFÓLIO'!B:B=B18)"),"#REF!")</f>
        <v>#REF!</v>
      </c>
      <c r="V18" s="220"/>
      <c r="W18" s="220"/>
    </row>
    <row r="19" outlineLevel="1">
      <c r="A19" s="211"/>
      <c r="B19" s="212"/>
      <c r="C19" s="213"/>
      <c r="D19" s="214" t="str">
        <f>IFERROR(VLOOKUP($C19,'PORTIFÓLIO'!C:V,2,0),"")</f>
        <v/>
      </c>
      <c r="E19" s="211" t="str">
        <f>IFERROR(VLOOKUP($C19,'PORTIFÓLIO'!C:V,3,0),"")</f>
        <v/>
      </c>
      <c r="F19" s="211" t="str">
        <f>IFERROR(VLOOKUP($C19,'PORTIFÓLIO'!C:V,4,0),"")</f>
        <v/>
      </c>
      <c r="G19" s="215" t="str">
        <f>IFERROR(VLOOKUP($C19,'PORTIFÓLIO'!C:V,5,0),"")</f>
        <v/>
      </c>
      <c r="H19" s="254" t="str">
        <f t="array" ref="H19">IFERROR(INDEX('PORTIFÓLIO'!$H$4:$H$433,MATCH($C19,'PORTIFÓLIO'!$C$4:$C$433,0)),"")</f>
        <v/>
      </c>
      <c r="I19" s="255"/>
      <c r="J19" s="218">
        <f t="shared" si="2"/>
        <v>0</v>
      </c>
      <c r="K19" s="219" t="str">
        <f t="array" ref="K19">IFERROR(I19*INDEX('PORTIFÓLIO'!$S$4:$S$433,MATCH($C19,'PORTIFÓLIO'!$C$4:$C$433,0)),"")</f>
        <v/>
      </c>
      <c r="L19" s="219" t="str">
        <f t="array" ref="L19">IFERROR(J19*INDEX('PORTIFÓLIO'!$S$4:$S$433,MATCH($C19,'PORTIFÓLIO'!$C$4:$C$433,0)),"")</f>
        <v/>
      </c>
      <c r="M19" s="220"/>
      <c r="N19" s="220"/>
      <c r="O19" s="220"/>
      <c r="P19" s="220"/>
      <c r="Q19" s="220"/>
      <c r="R19" s="220"/>
      <c r="S19" s="220"/>
      <c r="T19" s="220"/>
      <c r="U19" s="220" t="str">
        <f>IFERROR(__xludf.DUMMYFUNCTION("FILTER('PORTIFÓLIO'!C:C, 'PORTIFÓLIO'!B:B=B19)"),"")</f>
        <v/>
      </c>
      <c r="V19" s="220"/>
      <c r="W19" s="220"/>
    </row>
    <row r="20" outlineLevel="1">
      <c r="A20" s="211"/>
      <c r="B20" s="212"/>
      <c r="C20" s="213"/>
      <c r="D20" s="214" t="str">
        <f>IFERROR(VLOOKUP($C20,'PORTIFÓLIO'!C:V,2,0),"")</f>
        <v/>
      </c>
      <c r="E20" s="211" t="str">
        <f>IFERROR(VLOOKUP($C20,'PORTIFÓLIO'!C:V,3,0),"")</f>
        <v/>
      </c>
      <c r="F20" s="211" t="str">
        <f>IFERROR(VLOOKUP($C20,'PORTIFÓLIO'!C:V,4,0),"")</f>
        <v/>
      </c>
      <c r="G20" s="215" t="str">
        <f>IFERROR(VLOOKUP($C20,'PORTIFÓLIO'!C:V,5,0),"")</f>
        <v/>
      </c>
      <c r="H20" s="254" t="str">
        <f t="array" ref="H20">IFERROR(INDEX('PORTIFÓLIO'!$H$4:$H$433,MATCH($C20,'PORTIFÓLIO'!$C$4:$C$433,0)),"")</f>
        <v/>
      </c>
      <c r="I20" s="255"/>
      <c r="J20" s="218">
        <f t="shared" si="2"/>
        <v>0</v>
      </c>
      <c r="K20" s="219" t="str">
        <f t="array" ref="K20">IFERROR(I20*INDEX('PORTIFÓLIO'!$S$4:$S$433,MATCH($C20,'PORTIFÓLIO'!$C$4:$C$433,0)),"")</f>
        <v/>
      </c>
      <c r="L20" s="219" t="str">
        <f t="array" ref="L20">IFERROR(J20*INDEX('PORTIFÓLIO'!$S$4:$S$433,MATCH($C20,'PORTIFÓLIO'!$C$4:$C$433,0)),"")</f>
        <v/>
      </c>
      <c r="M20" s="220"/>
      <c r="N20" s="220"/>
      <c r="O20" s="220"/>
      <c r="P20" s="220"/>
      <c r="Q20" s="220"/>
      <c r="R20" s="220"/>
      <c r="S20" s="220"/>
      <c r="T20" s="220"/>
      <c r="U20" s="220"/>
      <c r="V20" s="220"/>
      <c r="W20" s="220"/>
    </row>
    <row r="21" ht="15.75" customHeight="1" outlineLevel="1">
      <c r="A21" s="211"/>
      <c r="B21" s="212"/>
      <c r="C21" s="213"/>
      <c r="D21" s="214" t="str">
        <f>IFERROR(VLOOKUP($C21,'PORTIFÓLIO'!C:V,2,0),"")</f>
        <v/>
      </c>
      <c r="E21" s="211" t="str">
        <f>IFERROR(VLOOKUP($C21,'PORTIFÓLIO'!C:V,3,0),"")</f>
        <v/>
      </c>
      <c r="F21" s="211" t="str">
        <f>IFERROR(VLOOKUP($C21,'PORTIFÓLIO'!C:V,4,0),"")</f>
        <v/>
      </c>
      <c r="G21" s="215" t="str">
        <f>IFERROR(VLOOKUP($C21,'PORTIFÓLIO'!C:V,5,0),"")</f>
        <v/>
      </c>
      <c r="H21" s="254" t="str">
        <f t="array" ref="H21">IFERROR(INDEX('PORTIFÓLIO'!$H$4:$H$433,MATCH($C21,'PORTIFÓLIO'!$C$4:$C$433,0)),"")</f>
        <v/>
      </c>
      <c r="I21" s="255"/>
      <c r="J21" s="218">
        <f t="shared" si="2"/>
        <v>0</v>
      </c>
      <c r="K21" s="219" t="str">
        <f t="array" ref="K21">IFERROR(I21*INDEX('PORTIFÓLIO'!$S$4:$S$433,MATCH($C21,'PORTIFÓLIO'!$C$4:$C$433,0)),"")</f>
        <v/>
      </c>
      <c r="L21" s="219" t="str">
        <f t="array" ref="L21">IFERROR(J21*INDEX('PORTIFÓLIO'!$S$4:$S$433,MATCH($C21,'PORTIFÓLIO'!$C$4:$C$433,0)),"")</f>
        <v/>
      </c>
      <c r="M21" s="220"/>
      <c r="N21" s="220"/>
      <c r="O21" s="220"/>
      <c r="P21" s="220"/>
      <c r="Q21" s="220"/>
      <c r="R21" s="220"/>
      <c r="S21" s="220"/>
      <c r="T21" s="220"/>
      <c r="U21" s="220"/>
      <c r="V21" s="220"/>
      <c r="W21" s="220"/>
    </row>
    <row r="22" ht="15.75" customHeight="1" outlineLevel="1">
      <c r="A22" s="211"/>
      <c r="B22" s="212"/>
      <c r="C22" s="213"/>
      <c r="D22" s="214" t="str">
        <f>IFERROR(VLOOKUP($C22,'PORTIFÓLIO'!C:V,2,0),"")</f>
        <v/>
      </c>
      <c r="E22" s="211" t="str">
        <f>IFERROR(VLOOKUP($C22,'PORTIFÓLIO'!C:V,3,0),"")</f>
        <v/>
      </c>
      <c r="F22" s="211" t="str">
        <f>IFERROR(VLOOKUP($C22,'PORTIFÓLIO'!C:V,4,0),"")</f>
        <v/>
      </c>
      <c r="G22" s="215" t="str">
        <f>IFERROR(VLOOKUP($C22,'PORTIFÓLIO'!C:V,5,0),"")</f>
        <v/>
      </c>
      <c r="H22" s="254" t="str">
        <f t="array" ref="H22">IFERROR(INDEX('PORTIFÓLIO'!$H$4:$H$433,MATCH($C22,'PORTIFÓLIO'!$C$4:$C$433,0)),"")</f>
        <v/>
      </c>
      <c r="I22" s="255"/>
      <c r="J22" s="218">
        <f t="shared" si="2"/>
        <v>0</v>
      </c>
      <c r="K22" s="219" t="str">
        <f t="array" ref="K22">IFERROR(I22*INDEX('PORTIFÓLIO'!$S$4:$S$433,MATCH($C22,'PORTIFÓLIO'!$C$4:$C$433,0)),"")</f>
        <v/>
      </c>
      <c r="L22" s="219" t="str">
        <f t="array" ref="L22">IFERROR(J22*INDEX('PORTIFÓLIO'!$S$4:$S$433,MATCH($C22,'PORTIFÓLIO'!$C$4:$C$433,0)),"")</f>
        <v/>
      </c>
      <c r="M22" s="220"/>
      <c r="N22" s="220"/>
      <c r="O22" s="220"/>
      <c r="P22" s="220"/>
      <c r="Q22" s="220"/>
      <c r="R22" s="220"/>
      <c r="S22" s="220"/>
      <c r="T22" s="220"/>
      <c r="U22" s="220"/>
      <c r="V22" s="220"/>
      <c r="W22" s="220"/>
    </row>
    <row r="23" ht="15.75" customHeight="1" outlineLevel="1">
      <c r="A23" s="211"/>
      <c r="B23" s="212"/>
      <c r="C23" s="213"/>
      <c r="D23" s="214" t="str">
        <f>IFERROR(VLOOKUP($C23,'PORTIFÓLIO'!C:V,2,0),"")</f>
        <v/>
      </c>
      <c r="E23" s="211" t="str">
        <f>IFERROR(VLOOKUP($C23,'PORTIFÓLIO'!C:V,3,0),"")</f>
        <v/>
      </c>
      <c r="F23" s="211" t="str">
        <f>IFERROR(VLOOKUP($C23,'PORTIFÓLIO'!C:V,4,0),"")</f>
        <v/>
      </c>
      <c r="G23" s="215" t="str">
        <f>IFERROR(VLOOKUP($C23,'PORTIFÓLIO'!C:V,5,0),"")</f>
        <v/>
      </c>
      <c r="H23" s="254" t="str">
        <f t="array" ref="H23">IFERROR(INDEX('PORTIFÓLIO'!$H$4:$H$433,MATCH($C23,'PORTIFÓLIO'!$C$4:$C$433,0)),"")</f>
        <v/>
      </c>
      <c r="I23" s="255"/>
      <c r="J23" s="218">
        <f t="shared" si="2"/>
        <v>0</v>
      </c>
      <c r="K23" s="219" t="str">
        <f t="array" ref="K23">IFERROR(I23*INDEX('PORTIFÓLIO'!$S$4:$S$433,MATCH($C23,'PORTIFÓLIO'!$C$4:$C$433,0)),"")</f>
        <v/>
      </c>
      <c r="L23" s="219" t="str">
        <f t="array" ref="L23">IFERROR(J23*INDEX('PORTIFÓLIO'!$S$4:$S$433,MATCH($C23,'PORTIFÓLIO'!$C$4:$C$433,0)),"")</f>
        <v/>
      </c>
      <c r="M23" s="220"/>
      <c r="N23" s="220"/>
      <c r="O23" s="220"/>
      <c r="P23" s="220"/>
      <c r="Q23" s="220"/>
      <c r="R23" s="220"/>
      <c r="S23" s="220"/>
      <c r="T23" s="220"/>
      <c r="U23" s="220"/>
      <c r="V23" s="220"/>
      <c r="W23" s="220"/>
    </row>
    <row r="24" ht="15.75" customHeight="1" outlineLevel="1">
      <c r="A24" s="211"/>
      <c r="B24" s="212"/>
      <c r="C24" s="213"/>
      <c r="D24" s="214" t="str">
        <f>IFERROR(VLOOKUP($C24,'PORTIFÓLIO'!C:V,2,0),"")</f>
        <v/>
      </c>
      <c r="E24" s="211" t="str">
        <f>IFERROR(VLOOKUP($C24,'PORTIFÓLIO'!C:V,3,0),"")</f>
        <v/>
      </c>
      <c r="F24" s="211" t="str">
        <f>IFERROR(VLOOKUP($C24,'PORTIFÓLIO'!C:V,4,0),"")</f>
        <v/>
      </c>
      <c r="G24" s="215" t="str">
        <f>IFERROR(VLOOKUP($C24,'PORTIFÓLIO'!C:V,5,0),"")</f>
        <v/>
      </c>
      <c r="H24" s="254" t="str">
        <f t="array" ref="H24">IFERROR(INDEX('PORTIFÓLIO'!$H$4:$H$433,MATCH($C24,'PORTIFÓLIO'!$C$4:$C$433,0)),"")</f>
        <v/>
      </c>
      <c r="I24" s="255"/>
      <c r="J24" s="218">
        <f t="shared" si="2"/>
        <v>0</v>
      </c>
      <c r="K24" s="219" t="str">
        <f t="array" ref="K24">IFERROR(I24*INDEX('PORTIFÓLIO'!$S$4:$S$433,MATCH($C24,'PORTIFÓLIO'!$C$4:$C$433,0)),"")</f>
        <v/>
      </c>
      <c r="L24" s="219" t="str">
        <f t="array" ref="L24">IFERROR(J24*INDEX('PORTIFÓLIO'!$S$4:$S$433,MATCH($C24,'PORTIFÓLIO'!$C$4:$C$433,0)),"")</f>
        <v/>
      </c>
      <c r="M24" s="220"/>
      <c r="N24" s="220"/>
      <c r="O24" s="220"/>
      <c r="P24" s="220"/>
      <c r="Q24" s="220"/>
      <c r="R24" s="220"/>
      <c r="S24" s="220"/>
      <c r="T24" s="220"/>
      <c r="U24" s="220"/>
      <c r="V24" s="220"/>
      <c r="W24" s="220"/>
    </row>
    <row r="25" ht="15.75" customHeight="1">
      <c r="A25" s="229" t="s">
        <v>1184</v>
      </c>
      <c r="B25" s="230"/>
      <c r="C25" s="231"/>
      <c r="D25" s="232"/>
      <c r="E25" s="231"/>
      <c r="F25" s="231"/>
      <c r="G25" s="233"/>
      <c r="H25" s="233"/>
      <c r="I25" s="258"/>
      <c r="J25" s="236"/>
      <c r="K25" s="237">
        <f t="shared" ref="K25:L25" si="3">SUBTOTAL(9,K26:K39)</f>
        <v>0</v>
      </c>
      <c r="L25" s="237">
        <f t="shared" si="3"/>
        <v>0</v>
      </c>
      <c r="M25" s="220"/>
      <c r="N25" s="220"/>
      <c r="O25" s="220"/>
      <c r="P25" s="220"/>
      <c r="Q25" s="220"/>
      <c r="R25" s="220"/>
      <c r="S25" s="220"/>
      <c r="T25" s="220"/>
      <c r="U25" s="220"/>
      <c r="V25" s="220"/>
      <c r="W25" s="220"/>
    </row>
    <row r="26" ht="15.75" customHeight="1" outlineLevel="1">
      <c r="A26" s="213"/>
      <c r="B26" s="212"/>
      <c r="C26" s="213"/>
      <c r="D26" s="214" t="str">
        <f>IFERROR(VLOOKUP($C26,'PORTIFÓLIO'!C:V,2,0),"")</f>
        <v/>
      </c>
      <c r="E26" s="211" t="str">
        <f>IFERROR(VLOOKUP($C26,'PORTIFÓLIO'!C:V,3,0),"")</f>
        <v/>
      </c>
      <c r="F26" s="211" t="str">
        <f>IFERROR(VLOOKUP($C26,'PORTIFÓLIO'!C:V,4,0),"")</f>
        <v/>
      </c>
      <c r="G26" s="215" t="str">
        <f>IFERROR(VLOOKUP($C26,'PORTIFÓLIO'!C:V,5,0),"")</f>
        <v/>
      </c>
      <c r="H26" s="254" t="str">
        <f t="array" ref="H26">IFERROR(INDEX('PORTIFÓLIO'!$H$4:$H$433,MATCH($C26,'PORTIFÓLIO'!$C$4:$C$433,0)),"")</f>
        <v/>
      </c>
      <c r="I26" s="255"/>
      <c r="J26" s="218">
        <f t="shared" ref="J26:J43" si="4">I26*$B$2</f>
        <v>0</v>
      </c>
      <c r="K26" s="219" t="str">
        <f t="array" ref="K26">IFERROR(I26*INDEX('PORTIFÓLIO'!$S$4:$S$433,MATCH($C26,'PORTIFÓLIO'!$C$4:$C$433,0)),"")</f>
        <v/>
      </c>
      <c r="L26" s="219" t="str">
        <f t="array" ref="L26">IFERROR(J26*INDEX('PORTIFÓLIO'!$S$4:$S$433,MATCH($C26,'PORTIFÓLIO'!$C$4:$C$433,0)),"")</f>
        <v/>
      </c>
      <c r="M26" s="220"/>
      <c r="N26" s="220"/>
      <c r="O26" s="220"/>
      <c r="P26" s="220"/>
      <c r="Q26" s="220"/>
      <c r="R26" s="220"/>
      <c r="S26" s="220"/>
      <c r="T26" s="220"/>
      <c r="U26" s="220"/>
      <c r="V26" s="220"/>
      <c r="W26" s="220"/>
    </row>
    <row r="27" ht="15.75" customHeight="1" outlineLevel="1">
      <c r="A27" s="211"/>
      <c r="B27" s="212"/>
      <c r="C27" s="213"/>
      <c r="D27" s="214" t="str">
        <f>IFERROR(VLOOKUP($C27,'PORTIFÓLIO'!C:V,2,0),"")</f>
        <v/>
      </c>
      <c r="E27" s="211" t="str">
        <f>IFERROR(VLOOKUP($C27,'PORTIFÓLIO'!C:V,3,0),"")</f>
        <v/>
      </c>
      <c r="F27" s="211" t="str">
        <f>IFERROR(VLOOKUP($C27,'PORTIFÓLIO'!C:V,4,0),"")</f>
        <v/>
      </c>
      <c r="G27" s="215" t="str">
        <f>IFERROR(VLOOKUP($C27,'PORTIFÓLIO'!C:V,5,0),"")</f>
        <v/>
      </c>
      <c r="H27" s="254" t="str">
        <f t="array" ref="H27">IFERROR(INDEX('PORTIFÓLIO'!$H$4:$H$433,MATCH($C27,'PORTIFÓLIO'!$C$4:$C$433,0)),"")</f>
        <v/>
      </c>
      <c r="I27" s="255"/>
      <c r="J27" s="218">
        <f t="shared" si="4"/>
        <v>0</v>
      </c>
      <c r="K27" s="219" t="str">
        <f t="array" ref="K27">IFERROR(I27*INDEX('PORTIFÓLIO'!$S$4:$S$433,MATCH($C27,'PORTIFÓLIO'!$C$4:$C$433,0)),"")</f>
        <v/>
      </c>
      <c r="L27" s="219" t="str">
        <f t="array" ref="L27">IFERROR(J27*INDEX('PORTIFÓLIO'!$S$4:$S$433,MATCH($C27,'PORTIFÓLIO'!$C$4:$C$433,0)),"")</f>
        <v/>
      </c>
      <c r="M27" s="220"/>
      <c r="N27" s="220"/>
      <c r="O27" s="220"/>
      <c r="P27" s="220"/>
      <c r="Q27" s="220"/>
      <c r="R27" s="220"/>
      <c r="S27" s="220"/>
      <c r="T27" s="220"/>
      <c r="U27" s="220"/>
      <c r="V27" s="220"/>
      <c r="W27" s="220"/>
    </row>
    <row r="28" ht="15.75" customHeight="1" outlineLevel="1">
      <c r="A28" s="211"/>
      <c r="B28" s="212"/>
      <c r="C28" s="213"/>
      <c r="D28" s="214" t="str">
        <f>IFERROR(VLOOKUP($C28,'PORTIFÓLIO'!C:V,2,0),"")</f>
        <v/>
      </c>
      <c r="E28" s="211" t="str">
        <f>IFERROR(VLOOKUP($C28,'PORTIFÓLIO'!C:V,3,0),"")</f>
        <v/>
      </c>
      <c r="F28" s="211" t="str">
        <f>IFERROR(VLOOKUP($C28,'PORTIFÓLIO'!C:V,4,0),"")</f>
        <v/>
      </c>
      <c r="G28" s="215" t="str">
        <f>IFERROR(VLOOKUP($C28,'PORTIFÓLIO'!C:V,5,0),"")</f>
        <v/>
      </c>
      <c r="H28" s="254" t="str">
        <f t="array" ref="H28">IFERROR(INDEX('PORTIFÓLIO'!$H$4:$H$433,MATCH($C28,'PORTIFÓLIO'!$C$4:$C$433,0)),"")</f>
        <v/>
      </c>
      <c r="I28" s="255"/>
      <c r="J28" s="218">
        <f t="shared" si="4"/>
        <v>0</v>
      </c>
      <c r="K28" s="219" t="str">
        <f t="array" ref="K28">IFERROR(I28*INDEX('PORTIFÓLIO'!$S$4:$S$433,MATCH($C28,'PORTIFÓLIO'!$C$4:$C$433,0)),"")</f>
        <v/>
      </c>
      <c r="L28" s="219" t="str">
        <f t="array" ref="L28">IFERROR(J28*INDEX('PORTIFÓLIO'!$S$4:$S$433,MATCH($C28,'PORTIFÓLIO'!$C$4:$C$433,0)),"")</f>
        <v/>
      </c>
      <c r="M28" s="220"/>
      <c r="N28" s="220"/>
      <c r="O28" s="220"/>
      <c r="P28" s="220"/>
      <c r="Q28" s="220"/>
      <c r="R28" s="220"/>
      <c r="S28" s="220"/>
      <c r="T28" s="220"/>
      <c r="U28" s="220"/>
      <c r="V28" s="220"/>
      <c r="W28" s="220"/>
    </row>
    <row r="29" ht="15.75" customHeight="1" outlineLevel="1">
      <c r="A29" s="211"/>
      <c r="B29" s="212"/>
      <c r="C29" s="213"/>
      <c r="D29" s="214" t="str">
        <f>IFERROR(VLOOKUP($C29,'PORTIFÓLIO'!C:V,2,0),"")</f>
        <v/>
      </c>
      <c r="E29" s="211" t="str">
        <f>IFERROR(VLOOKUP($C29,'PORTIFÓLIO'!C:V,3,0),"")</f>
        <v/>
      </c>
      <c r="F29" s="211" t="str">
        <f>IFERROR(VLOOKUP($C29,'PORTIFÓLIO'!C:V,4,0),"")</f>
        <v/>
      </c>
      <c r="G29" s="215" t="str">
        <f>IFERROR(VLOOKUP($C29,'PORTIFÓLIO'!C:V,5,0),"")</f>
        <v/>
      </c>
      <c r="H29" s="254" t="str">
        <f t="array" ref="H29">IFERROR(INDEX('PORTIFÓLIO'!$H$4:$H$433,MATCH($C29,'PORTIFÓLIO'!$C$4:$C$433,0)),"")</f>
        <v/>
      </c>
      <c r="I29" s="255"/>
      <c r="J29" s="218">
        <f t="shared" si="4"/>
        <v>0</v>
      </c>
      <c r="K29" s="219" t="str">
        <f t="array" ref="K29">IFERROR(I29*INDEX('PORTIFÓLIO'!$S$4:$S$433,MATCH($C29,'PORTIFÓLIO'!$C$4:$C$433,0)),"")</f>
        <v/>
      </c>
      <c r="L29" s="219" t="str">
        <f t="array" ref="L29">IFERROR(J29*INDEX('PORTIFÓLIO'!$S$4:$S$433,MATCH($C29,'PORTIFÓLIO'!$C$4:$C$433,0)),"")</f>
        <v/>
      </c>
      <c r="M29" s="220"/>
      <c r="N29" s="220"/>
      <c r="O29" s="220"/>
      <c r="P29" s="220"/>
      <c r="Q29" s="220"/>
      <c r="R29" s="220"/>
      <c r="S29" s="220"/>
      <c r="T29" s="220"/>
      <c r="U29" s="220"/>
      <c r="V29" s="220"/>
      <c r="W29" s="220"/>
    </row>
    <row r="30" ht="15.75" customHeight="1" outlineLevel="1">
      <c r="A30" s="211"/>
      <c r="B30" s="212"/>
      <c r="C30" s="213"/>
      <c r="D30" s="214" t="str">
        <f>IFERROR(VLOOKUP($C30,'PORTIFÓLIO'!C:V,2,0),"")</f>
        <v/>
      </c>
      <c r="E30" s="211" t="str">
        <f>IFERROR(VLOOKUP($C30,'PORTIFÓLIO'!C:V,3,0),"")</f>
        <v/>
      </c>
      <c r="F30" s="211" t="str">
        <f>IFERROR(VLOOKUP($C30,'PORTIFÓLIO'!C:V,4,0),"")</f>
        <v/>
      </c>
      <c r="G30" s="215" t="str">
        <f>IFERROR(VLOOKUP($C30,'PORTIFÓLIO'!C:V,5,0),"")</f>
        <v/>
      </c>
      <c r="H30" s="254" t="str">
        <f t="array" ref="H30">IFERROR(INDEX('PORTIFÓLIO'!$H$4:$H$433,MATCH($C30,'PORTIFÓLIO'!$C$4:$C$433,0)),"")</f>
        <v/>
      </c>
      <c r="I30" s="255"/>
      <c r="J30" s="218">
        <f t="shared" si="4"/>
        <v>0</v>
      </c>
      <c r="K30" s="219" t="str">
        <f t="array" ref="K30">IFERROR(I30*INDEX('PORTIFÓLIO'!$S$4:$S$433,MATCH($C30,'PORTIFÓLIO'!$C$4:$C$433,0)),"")</f>
        <v/>
      </c>
      <c r="L30" s="219" t="str">
        <f t="array" ref="L30">IFERROR(J30*INDEX('PORTIFÓLIO'!$S$4:$S$433,MATCH($C30,'PORTIFÓLIO'!$C$4:$C$433,0)),"")</f>
        <v/>
      </c>
      <c r="M30" s="220"/>
      <c r="N30" s="220"/>
      <c r="O30" s="220"/>
      <c r="P30" s="220"/>
      <c r="Q30" s="220"/>
      <c r="R30" s="220"/>
      <c r="S30" s="220"/>
      <c r="T30" s="220"/>
      <c r="U30" s="220"/>
      <c r="V30" s="220"/>
      <c r="W30" s="220"/>
    </row>
    <row r="31" ht="15.75" customHeight="1" outlineLevel="1">
      <c r="A31" s="211"/>
      <c r="B31" s="212"/>
      <c r="C31" s="213"/>
      <c r="D31" s="214" t="str">
        <f>IFERROR(VLOOKUP($C31,'PORTIFÓLIO'!C:V,2,0),"")</f>
        <v/>
      </c>
      <c r="E31" s="211" t="str">
        <f>IFERROR(VLOOKUP($C31,'PORTIFÓLIO'!C:V,3,0),"")</f>
        <v/>
      </c>
      <c r="F31" s="211" t="str">
        <f>IFERROR(VLOOKUP($C31,'PORTIFÓLIO'!C:V,4,0),"")</f>
        <v/>
      </c>
      <c r="G31" s="215" t="str">
        <f>IFERROR(VLOOKUP($C31,'PORTIFÓLIO'!C:V,5,0),"")</f>
        <v/>
      </c>
      <c r="H31" s="254" t="str">
        <f t="array" ref="H31">IFERROR(INDEX('PORTIFÓLIO'!$H$4:$H$433,MATCH($C31,'PORTIFÓLIO'!$C$4:$C$433,0)),"")</f>
        <v/>
      </c>
      <c r="I31" s="255"/>
      <c r="J31" s="218">
        <f t="shared" si="4"/>
        <v>0</v>
      </c>
      <c r="K31" s="219" t="str">
        <f t="array" ref="K31">IFERROR(I31*INDEX('PORTIFÓLIO'!$S$4:$S$433,MATCH($C31,'PORTIFÓLIO'!$C$4:$C$433,0)),"")</f>
        <v/>
      </c>
      <c r="L31" s="219" t="str">
        <f t="array" ref="L31">IFERROR(J31*INDEX('PORTIFÓLIO'!$S$4:$S$433,MATCH($C31,'PORTIFÓLIO'!$C$4:$C$433,0)),"")</f>
        <v/>
      </c>
      <c r="M31" s="220"/>
      <c r="N31" s="220"/>
      <c r="O31" s="220"/>
      <c r="P31" s="220"/>
      <c r="Q31" s="220"/>
      <c r="R31" s="220"/>
      <c r="S31" s="220"/>
      <c r="T31" s="220"/>
      <c r="U31" s="220"/>
      <c r="V31" s="220"/>
      <c r="W31" s="220"/>
    </row>
    <row r="32" ht="15.75" customHeight="1" outlineLevel="1">
      <c r="A32" s="211"/>
      <c r="B32" s="212"/>
      <c r="C32" s="213"/>
      <c r="D32" s="214" t="str">
        <f>IFERROR(VLOOKUP($C32,'PORTIFÓLIO'!C:V,2,0),"")</f>
        <v/>
      </c>
      <c r="E32" s="211" t="str">
        <f>IFERROR(VLOOKUP($C32,'PORTIFÓLIO'!C:V,3,0),"")</f>
        <v/>
      </c>
      <c r="F32" s="211" t="str">
        <f>IFERROR(VLOOKUP($C32,'PORTIFÓLIO'!C:V,4,0),"")</f>
        <v/>
      </c>
      <c r="G32" s="215" t="str">
        <f>IFERROR(VLOOKUP($C32,'PORTIFÓLIO'!C:V,5,0),"")</f>
        <v/>
      </c>
      <c r="H32" s="254" t="str">
        <f t="array" ref="H32">IFERROR(INDEX('PORTIFÓLIO'!$H$4:$H$433,MATCH($C32,'PORTIFÓLIO'!$C$4:$C$433,0)),"")</f>
        <v/>
      </c>
      <c r="I32" s="256"/>
      <c r="J32" s="218">
        <f t="shared" si="4"/>
        <v>0</v>
      </c>
      <c r="K32" s="219" t="str">
        <f t="array" ref="K32">IFERROR(I32*INDEX('PORTIFÓLIO'!$S$4:$S$433,MATCH($C32,'PORTIFÓLIO'!$C$4:$C$433,0)),"")</f>
        <v/>
      </c>
      <c r="L32" s="219" t="str">
        <f t="array" ref="L32">IFERROR(J32*INDEX('PORTIFÓLIO'!$S$4:$S$433,MATCH($C32,'PORTIFÓLIO'!$C$4:$C$433,0)),"")</f>
        <v/>
      </c>
      <c r="M32" s="220"/>
      <c r="N32" s="220"/>
      <c r="O32" s="220"/>
      <c r="P32" s="220"/>
      <c r="Q32" s="220"/>
      <c r="R32" s="220"/>
      <c r="S32" s="220"/>
      <c r="T32" s="220"/>
      <c r="U32" s="220"/>
      <c r="V32" s="220"/>
      <c r="W32" s="220"/>
    </row>
    <row r="33" ht="15.75" customHeight="1" outlineLevel="1">
      <c r="A33" s="211"/>
      <c r="B33" s="212"/>
      <c r="C33" s="213"/>
      <c r="D33" s="214" t="str">
        <f>IFERROR(VLOOKUP($C33,'PORTIFÓLIO'!C:V,2,0),"")</f>
        <v/>
      </c>
      <c r="E33" s="211" t="str">
        <f>IFERROR(VLOOKUP($C33,'PORTIFÓLIO'!C:V,3,0),"")</f>
        <v/>
      </c>
      <c r="F33" s="211" t="str">
        <f>IFERROR(VLOOKUP($C33,'PORTIFÓLIO'!C:V,4,0),"")</f>
        <v/>
      </c>
      <c r="G33" s="215" t="str">
        <f>IFERROR(VLOOKUP($C33,'PORTIFÓLIO'!C:V,5,0),"")</f>
        <v/>
      </c>
      <c r="H33" s="254" t="str">
        <f t="array" ref="H33">IFERROR(INDEX('PORTIFÓLIO'!$H$4:$H$433,MATCH($C33,'PORTIFÓLIO'!$C$4:$C$433,0)),"")</f>
        <v/>
      </c>
      <c r="I33" s="256"/>
      <c r="J33" s="218">
        <f t="shared" si="4"/>
        <v>0</v>
      </c>
      <c r="K33" s="219" t="str">
        <f t="array" ref="K33">IFERROR(I33*INDEX('PORTIFÓLIO'!$S$4:$S$433,MATCH($C33,'PORTIFÓLIO'!$C$4:$C$433,0)),"")</f>
        <v/>
      </c>
      <c r="L33" s="219" t="str">
        <f t="array" ref="L33">IFERROR(J33*INDEX('PORTIFÓLIO'!$S$4:$S$433,MATCH($C33,'PORTIFÓLIO'!$C$4:$C$433,0)),"")</f>
        <v/>
      </c>
      <c r="M33" s="220"/>
      <c r="N33" s="220"/>
      <c r="O33" s="220"/>
      <c r="P33" s="220"/>
      <c r="Q33" s="220"/>
      <c r="R33" s="220"/>
      <c r="S33" s="220"/>
      <c r="T33" s="220"/>
      <c r="U33" s="220"/>
      <c r="V33" s="220"/>
      <c r="W33" s="220"/>
    </row>
    <row r="34" ht="15.75" customHeight="1" outlineLevel="1">
      <c r="A34" s="211"/>
      <c r="B34" s="212"/>
      <c r="C34" s="213"/>
      <c r="D34" s="214" t="str">
        <f>IFERROR(VLOOKUP($C34,'PORTIFÓLIO'!C:V,2,0),"")</f>
        <v/>
      </c>
      <c r="E34" s="211" t="str">
        <f>IFERROR(VLOOKUP($C34,'PORTIFÓLIO'!C:V,3,0),"")</f>
        <v/>
      </c>
      <c r="F34" s="211" t="str">
        <f>IFERROR(VLOOKUP($C34,'PORTIFÓLIO'!C:V,4,0),"")</f>
        <v/>
      </c>
      <c r="G34" s="215" t="str">
        <f>IFERROR(VLOOKUP($C34,'PORTIFÓLIO'!C:V,5,0),"")</f>
        <v/>
      </c>
      <c r="H34" s="254" t="str">
        <f t="array" ref="H34">IFERROR(INDEX('PORTIFÓLIO'!$H$4:$H$433,MATCH($C34,'PORTIFÓLIO'!$C$4:$C$433,0)),"")</f>
        <v/>
      </c>
      <c r="I34" s="255"/>
      <c r="J34" s="218">
        <f t="shared" si="4"/>
        <v>0</v>
      </c>
      <c r="K34" s="219" t="str">
        <f t="array" ref="K34">IFERROR(I34*INDEX('PORTIFÓLIO'!$S$4:$S$433,MATCH($C34,'PORTIFÓLIO'!$C$4:$C$433,0)),"")</f>
        <v/>
      </c>
      <c r="L34" s="219" t="str">
        <f t="array" ref="L34">IFERROR(J34*INDEX('PORTIFÓLIO'!$S$4:$S$433,MATCH($C34,'PORTIFÓLIO'!$C$4:$C$433,0)),"")</f>
        <v/>
      </c>
      <c r="M34" s="220"/>
      <c r="N34" s="220"/>
      <c r="O34" s="220"/>
      <c r="P34" s="220"/>
      <c r="Q34" s="220"/>
      <c r="R34" s="220"/>
      <c r="S34" s="220"/>
      <c r="T34" s="220"/>
      <c r="U34" s="220"/>
      <c r="V34" s="220"/>
      <c r="W34" s="220"/>
    </row>
    <row r="35" ht="15.75" customHeight="1" outlineLevel="1">
      <c r="A35" s="211"/>
      <c r="B35" s="212"/>
      <c r="C35" s="213"/>
      <c r="D35" s="214" t="str">
        <f>IFERROR(VLOOKUP($C35,'PORTIFÓLIO'!C:V,2,0),"")</f>
        <v/>
      </c>
      <c r="E35" s="211" t="str">
        <f>IFERROR(VLOOKUP($C35,'PORTIFÓLIO'!C:V,3,0),"")</f>
        <v/>
      </c>
      <c r="F35" s="211" t="str">
        <f>IFERROR(VLOOKUP($C35,'PORTIFÓLIO'!C:V,4,0),"")</f>
        <v/>
      </c>
      <c r="G35" s="215" t="str">
        <f>IFERROR(VLOOKUP($C35,'PORTIFÓLIO'!C:V,5,0),"")</f>
        <v/>
      </c>
      <c r="H35" s="254" t="str">
        <f t="array" ref="H35">IFERROR(INDEX('PORTIFÓLIO'!$H$4:$H$433,MATCH($C35,'PORTIFÓLIO'!$C$4:$C$433,0)),"")</f>
        <v/>
      </c>
      <c r="I35" s="256"/>
      <c r="J35" s="218">
        <f t="shared" si="4"/>
        <v>0</v>
      </c>
      <c r="K35" s="219" t="str">
        <f t="array" ref="K35">IFERROR(I35*INDEX('PORTIFÓLIO'!$S$4:$S$433,MATCH($C35,'PORTIFÓLIO'!$C$4:$C$433,0)),"")</f>
        <v/>
      </c>
      <c r="L35" s="219" t="str">
        <f t="array" ref="L35">IFERROR(J35*INDEX('PORTIFÓLIO'!$S$4:$S$433,MATCH($C35,'PORTIFÓLIO'!$C$4:$C$433,0)),"")</f>
        <v/>
      </c>
      <c r="M35" s="220"/>
      <c r="N35" s="220"/>
      <c r="O35" s="220"/>
      <c r="P35" s="220"/>
      <c r="Q35" s="220"/>
      <c r="R35" s="220"/>
      <c r="S35" s="220"/>
      <c r="T35" s="220"/>
      <c r="U35" s="220"/>
      <c r="V35" s="220"/>
      <c r="W35" s="220"/>
    </row>
    <row r="36" ht="15.75" customHeight="1" outlineLevel="1">
      <c r="A36" s="211"/>
      <c r="B36" s="212"/>
      <c r="C36" s="213"/>
      <c r="D36" s="214" t="str">
        <f>IFERROR(VLOOKUP($C36,'PORTIFÓLIO'!C:V,2,0),"")</f>
        <v/>
      </c>
      <c r="E36" s="211" t="str">
        <f>IFERROR(VLOOKUP($C36,'PORTIFÓLIO'!C:V,3,0),"")</f>
        <v/>
      </c>
      <c r="F36" s="211" t="str">
        <f>IFERROR(VLOOKUP($C36,'PORTIFÓLIO'!C:V,4,0),"")</f>
        <v/>
      </c>
      <c r="G36" s="215" t="str">
        <f>IFERROR(VLOOKUP($C36,'PORTIFÓLIO'!C:V,5,0),"")</f>
        <v/>
      </c>
      <c r="H36" s="254" t="str">
        <f t="array" ref="H36">IFERROR(INDEX('PORTIFÓLIO'!$H$4:$H$433,MATCH($C36,'PORTIFÓLIO'!$C$4:$C$433,0)),"")</f>
        <v/>
      </c>
      <c r="I36" s="256"/>
      <c r="J36" s="218">
        <f t="shared" si="4"/>
        <v>0</v>
      </c>
      <c r="K36" s="219" t="str">
        <f t="array" ref="K36">IFERROR(I36*INDEX('PORTIFÓLIO'!$S$4:$S$433,MATCH($C36,'PORTIFÓLIO'!$C$4:$C$433,0)),"")</f>
        <v/>
      </c>
      <c r="L36" s="219" t="str">
        <f t="array" ref="L36">IFERROR(J36*INDEX('PORTIFÓLIO'!$S$4:$S$433,MATCH($C36,'PORTIFÓLIO'!$C$4:$C$433,0)),"")</f>
        <v/>
      </c>
      <c r="M36" s="220"/>
      <c r="N36" s="220"/>
      <c r="O36" s="220"/>
      <c r="P36" s="220"/>
      <c r="Q36" s="220"/>
      <c r="R36" s="220"/>
      <c r="S36" s="220"/>
      <c r="T36" s="220"/>
      <c r="U36" s="220"/>
      <c r="V36" s="220"/>
      <c r="W36" s="220"/>
    </row>
    <row r="37" ht="15.75" customHeight="1" outlineLevel="1">
      <c r="A37" s="211"/>
      <c r="B37" s="212"/>
      <c r="C37" s="213"/>
      <c r="D37" s="214" t="str">
        <f>IFERROR(VLOOKUP($C37,'PORTIFÓLIO'!C:V,2,0),"")</f>
        <v/>
      </c>
      <c r="E37" s="211" t="str">
        <f>IFERROR(VLOOKUP($C37,'PORTIFÓLIO'!C:V,3,0),"")</f>
        <v/>
      </c>
      <c r="F37" s="211" t="str">
        <f>IFERROR(VLOOKUP($C37,'PORTIFÓLIO'!C:V,4,0),"")</f>
        <v/>
      </c>
      <c r="G37" s="215" t="str">
        <f>IFERROR(VLOOKUP($C37,'PORTIFÓLIO'!C:V,5,0),"")</f>
        <v/>
      </c>
      <c r="H37" s="254" t="str">
        <f t="array" ref="H37">IFERROR(INDEX('PORTIFÓLIO'!$H$4:$H$433,MATCH($C37,'PORTIFÓLIO'!$C$4:$C$433,0)),"")</f>
        <v/>
      </c>
      <c r="I37" s="256"/>
      <c r="J37" s="218">
        <f t="shared" si="4"/>
        <v>0</v>
      </c>
      <c r="K37" s="219" t="str">
        <f t="array" ref="K37">IFERROR(I37*INDEX('PORTIFÓLIO'!$S$4:$S$433,MATCH($C37,'PORTIFÓLIO'!$C$4:$C$433,0)),"")</f>
        <v/>
      </c>
      <c r="L37" s="219" t="str">
        <f t="array" ref="L37">IFERROR(J37*INDEX('PORTIFÓLIO'!$S$4:$S$433,MATCH($C37,'PORTIFÓLIO'!$C$4:$C$433,0)),"")</f>
        <v/>
      </c>
      <c r="M37" s="220"/>
      <c r="N37" s="220"/>
      <c r="O37" s="220"/>
      <c r="P37" s="220"/>
      <c r="Q37" s="220"/>
      <c r="R37" s="220"/>
      <c r="S37" s="220"/>
      <c r="T37" s="220"/>
      <c r="U37" s="220"/>
      <c r="V37" s="220"/>
      <c r="W37" s="220"/>
    </row>
    <row r="38" ht="15.75" customHeight="1" outlineLevel="1">
      <c r="A38" s="211"/>
      <c r="B38" s="212"/>
      <c r="C38" s="213"/>
      <c r="D38" s="214" t="str">
        <f>IFERROR(VLOOKUP($C38,'PORTIFÓLIO'!C:V,2,0),"")</f>
        <v/>
      </c>
      <c r="E38" s="211" t="str">
        <f>IFERROR(VLOOKUP($C38,'PORTIFÓLIO'!C:V,3,0),"")</f>
        <v/>
      </c>
      <c r="F38" s="211" t="str">
        <f>IFERROR(VLOOKUP($C38,'PORTIFÓLIO'!C:V,4,0),"")</f>
        <v/>
      </c>
      <c r="G38" s="215" t="str">
        <f>IFERROR(VLOOKUP($C38,'PORTIFÓLIO'!C:V,5,0),"")</f>
        <v/>
      </c>
      <c r="H38" s="254" t="str">
        <f t="array" ref="H38">IFERROR(INDEX('PORTIFÓLIO'!$H$4:$H$433,MATCH($C38,'PORTIFÓLIO'!$C$4:$C$433,0)),"")</f>
        <v/>
      </c>
      <c r="I38" s="256"/>
      <c r="J38" s="218">
        <f t="shared" si="4"/>
        <v>0</v>
      </c>
      <c r="K38" s="219" t="str">
        <f t="array" ref="K38">IFERROR(I38*INDEX('PORTIFÓLIO'!$S$4:$S$433,MATCH($C38,'PORTIFÓLIO'!$C$4:$C$433,0)),"")</f>
        <v/>
      </c>
      <c r="L38" s="219" t="str">
        <f t="array" ref="L38">IFERROR(J38*INDEX('PORTIFÓLIO'!$S$4:$S$433,MATCH($C38,'PORTIFÓLIO'!$C$4:$C$433,0)),"")</f>
        <v/>
      </c>
      <c r="M38" s="220"/>
      <c r="N38" s="220"/>
      <c r="O38" s="220"/>
      <c r="P38" s="220"/>
      <c r="Q38" s="220"/>
      <c r="R38" s="220"/>
      <c r="S38" s="220"/>
      <c r="T38" s="220"/>
      <c r="U38" s="220"/>
      <c r="V38" s="220"/>
      <c r="W38" s="220"/>
    </row>
    <row r="39" ht="15.75" customHeight="1" outlineLevel="1">
      <c r="A39" s="211"/>
      <c r="B39" s="212"/>
      <c r="C39" s="213"/>
      <c r="D39" s="214" t="str">
        <f>IFERROR(VLOOKUP($C39,'PORTIFÓLIO'!C:V,2,0),"")</f>
        <v/>
      </c>
      <c r="E39" s="211" t="str">
        <f>IFERROR(VLOOKUP($C39,'PORTIFÓLIO'!C:V,3,0),"")</f>
        <v/>
      </c>
      <c r="F39" s="211" t="str">
        <f>IFERROR(VLOOKUP($C39,'PORTIFÓLIO'!C:V,4,0),"")</f>
        <v/>
      </c>
      <c r="G39" s="215" t="str">
        <f>IFERROR(VLOOKUP($C39,'PORTIFÓLIO'!C:V,5,0),"")</f>
        <v/>
      </c>
      <c r="H39" s="254" t="str">
        <f t="array" ref="H39">IFERROR(INDEX('PORTIFÓLIO'!$H$4:$H$433,MATCH($C39,'PORTIFÓLIO'!$C$4:$C$433,0)),"")</f>
        <v/>
      </c>
      <c r="I39" s="256"/>
      <c r="J39" s="218">
        <f t="shared" si="4"/>
        <v>0</v>
      </c>
      <c r="K39" s="219" t="str">
        <f t="array" ref="K39">IFERROR(I39*INDEX('PORTIFÓLIO'!$S$4:$S$433,MATCH($C39,'PORTIFÓLIO'!$C$4:$C$433,0)),"")</f>
        <v/>
      </c>
      <c r="L39" s="219" t="str">
        <f t="array" ref="L39">IFERROR(J39*INDEX('PORTIFÓLIO'!$S$4:$S$433,MATCH($C39,'PORTIFÓLIO'!$C$4:$C$433,0)),"")</f>
        <v/>
      </c>
      <c r="M39" s="220"/>
      <c r="N39" s="220"/>
      <c r="O39" s="220"/>
      <c r="P39" s="220"/>
      <c r="Q39" s="220"/>
      <c r="R39" s="220"/>
      <c r="S39" s="220"/>
      <c r="T39" s="220"/>
      <c r="U39" s="220"/>
      <c r="V39" s="220"/>
      <c r="W39" s="220"/>
    </row>
    <row r="40" ht="15.75" customHeight="1" outlineLevel="1">
      <c r="A40" s="211"/>
      <c r="B40" s="212"/>
      <c r="C40" s="213"/>
      <c r="D40" s="214" t="str">
        <f>IFERROR(VLOOKUP($C40,'PORTIFÓLIO'!C:V,2,0),"")</f>
        <v/>
      </c>
      <c r="E40" s="211" t="str">
        <f>IFERROR(VLOOKUP($C40,'PORTIFÓLIO'!C:V,3,0),"")</f>
        <v/>
      </c>
      <c r="F40" s="211" t="str">
        <f>IFERROR(VLOOKUP($C40,'PORTIFÓLIO'!C:V,4,0),"")</f>
        <v/>
      </c>
      <c r="G40" s="215" t="str">
        <f>IFERROR(VLOOKUP($C40,'PORTIFÓLIO'!C:V,5,0),"")</f>
        <v/>
      </c>
      <c r="H40" s="254" t="str">
        <f t="array" ref="H40">IFERROR(INDEX('PORTIFÓLIO'!$H$4:$H$433,MATCH($C40,'PORTIFÓLIO'!$C$4:$C$433,0)),"")</f>
        <v/>
      </c>
      <c r="I40" s="256"/>
      <c r="J40" s="218">
        <f t="shared" si="4"/>
        <v>0</v>
      </c>
      <c r="K40" s="219" t="str">
        <f t="array" ref="K40">IFERROR(I40*INDEX('PORTIFÓLIO'!$S$4:$S$433,MATCH($C40,'PORTIFÓLIO'!$C$4:$C$433,0)),"")</f>
        <v/>
      </c>
      <c r="L40" s="219" t="str">
        <f t="array" ref="L40">IFERROR(J40*INDEX('PORTIFÓLIO'!$S$4:$S$433,MATCH($C40,'PORTIFÓLIO'!$C$4:$C$433,0)),"")</f>
        <v/>
      </c>
      <c r="M40" s="220"/>
      <c r="N40" s="220"/>
      <c r="O40" s="220"/>
      <c r="P40" s="220"/>
      <c r="Q40" s="220"/>
      <c r="R40" s="220"/>
      <c r="S40" s="220"/>
      <c r="T40" s="220"/>
      <c r="U40" s="220"/>
      <c r="V40" s="220"/>
      <c r="W40" s="220"/>
    </row>
    <row r="41" ht="15.75" customHeight="1" outlineLevel="1">
      <c r="A41" s="211"/>
      <c r="B41" s="212"/>
      <c r="C41" s="213"/>
      <c r="D41" s="214" t="str">
        <f>IFERROR(VLOOKUP($C41,'PORTIFÓLIO'!C:V,2,0),"")</f>
        <v/>
      </c>
      <c r="E41" s="211" t="str">
        <f>IFERROR(VLOOKUP($C41,'PORTIFÓLIO'!C:V,3,0),"")</f>
        <v/>
      </c>
      <c r="F41" s="211" t="str">
        <f>IFERROR(VLOOKUP($C41,'PORTIFÓLIO'!C:V,4,0),"")</f>
        <v/>
      </c>
      <c r="G41" s="215" t="str">
        <f>IFERROR(VLOOKUP($C41,'PORTIFÓLIO'!C:V,5,0),"")</f>
        <v/>
      </c>
      <c r="H41" s="254" t="str">
        <f t="array" ref="H41">IFERROR(INDEX('PORTIFÓLIO'!$H$4:$H$433,MATCH($C41,'PORTIFÓLIO'!$C$4:$C$433,0)),"")</f>
        <v/>
      </c>
      <c r="I41" s="256"/>
      <c r="J41" s="218">
        <f t="shared" si="4"/>
        <v>0</v>
      </c>
      <c r="K41" s="219" t="str">
        <f t="array" ref="K41">IFERROR(I41*INDEX('PORTIFÓLIO'!$S$4:$S$433,MATCH($C41,'PORTIFÓLIO'!$C$4:$C$433,0)),"")</f>
        <v/>
      </c>
      <c r="L41" s="219" t="str">
        <f t="array" ref="L41">IFERROR(J41*INDEX('PORTIFÓLIO'!$S$4:$S$433,MATCH($C41,'PORTIFÓLIO'!$C$4:$C$433,0)),"")</f>
        <v/>
      </c>
      <c r="M41" s="220"/>
      <c r="N41" s="220"/>
      <c r="O41" s="220"/>
      <c r="P41" s="220"/>
      <c r="Q41" s="220"/>
      <c r="R41" s="220"/>
      <c r="S41" s="220"/>
      <c r="T41" s="220"/>
      <c r="U41" s="220"/>
      <c r="V41" s="220"/>
      <c r="W41" s="220"/>
    </row>
    <row r="42" ht="15.75" customHeight="1" outlineLevel="1">
      <c r="A42" s="211"/>
      <c r="B42" s="212"/>
      <c r="C42" s="213"/>
      <c r="D42" s="214" t="str">
        <f>IFERROR(VLOOKUP($C42,'PORTIFÓLIO'!C:V,2,0),"")</f>
        <v/>
      </c>
      <c r="E42" s="211" t="str">
        <f>IFERROR(VLOOKUP($C42,'PORTIFÓLIO'!C:V,3,0),"")</f>
        <v/>
      </c>
      <c r="F42" s="211" t="str">
        <f>IFERROR(VLOOKUP($C42,'PORTIFÓLIO'!C:V,4,0),"")</f>
        <v/>
      </c>
      <c r="G42" s="215" t="str">
        <f>IFERROR(VLOOKUP($C42,'PORTIFÓLIO'!C:V,5,0),"")</f>
        <v/>
      </c>
      <c r="H42" s="254" t="str">
        <f t="array" ref="H42">IFERROR(INDEX('PORTIFÓLIO'!$H$4:$H$433,MATCH($C42,'PORTIFÓLIO'!$C$4:$C$433,0)),"")</f>
        <v/>
      </c>
      <c r="I42" s="256"/>
      <c r="J42" s="218">
        <f t="shared" si="4"/>
        <v>0</v>
      </c>
      <c r="K42" s="219" t="str">
        <f t="array" ref="K42">IFERROR(I42*INDEX('PORTIFÓLIO'!$S$4:$S$433,MATCH($C42,'PORTIFÓLIO'!$C$4:$C$433,0)),"")</f>
        <v/>
      </c>
      <c r="L42" s="219" t="str">
        <f t="array" ref="L42">IFERROR(J42*INDEX('PORTIFÓLIO'!$S$4:$S$433,MATCH($C42,'PORTIFÓLIO'!$C$4:$C$433,0)),"")</f>
        <v/>
      </c>
      <c r="M42" s="220"/>
      <c r="N42" s="220"/>
      <c r="O42" s="220"/>
      <c r="P42" s="220"/>
      <c r="Q42" s="220"/>
      <c r="R42" s="220"/>
      <c r="S42" s="220"/>
      <c r="T42" s="220"/>
      <c r="U42" s="220"/>
      <c r="V42" s="220"/>
      <c r="W42" s="220"/>
    </row>
    <row r="43" ht="15.75" customHeight="1" outlineLevel="1">
      <c r="A43" s="211"/>
      <c r="B43" s="212"/>
      <c r="C43" s="213"/>
      <c r="D43" s="214" t="str">
        <f>IFERROR(VLOOKUP($C43,'PORTIFÓLIO'!C:V,2,0),"")</f>
        <v/>
      </c>
      <c r="E43" s="211" t="str">
        <f>IFERROR(VLOOKUP($C43,'PORTIFÓLIO'!C:V,3,0),"")</f>
        <v/>
      </c>
      <c r="F43" s="211" t="str">
        <f>IFERROR(VLOOKUP($C43,'PORTIFÓLIO'!C:V,4,0),"")</f>
        <v/>
      </c>
      <c r="G43" s="215" t="str">
        <f>IFERROR(VLOOKUP($C43,'PORTIFÓLIO'!C:V,5,0),"")</f>
        <v/>
      </c>
      <c r="H43" s="254" t="str">
        <f t="array" ref="H43">IFERROR(INDEX('PORTIFÓLIO'!$H$4:$H$433,MATCH($C43,'PORTIFÓLIO'!$C$4:$C$433,0)),"")</f>
        <v/>
      </c>
      <c r="I43" s="256"/>
      <c r="J43" s="218">
        <f t="shared" si="4"/>
        <v>0</v>
      </c>
      <c r="K43" s="219" t="str">
        <f t="array" ref="K43">IFERROR(I43*INDEX('PORTIFÓLIO'!$S$4:$S$433,MATCH($C43,'PORTIFÓLIO'!$C$4:$C$433,0)),"")</f>
        <v/>
      </c>
      <c r="L43" s="219" t="str">
        <f t="array" ref="L43">IFERROR(J43*INDEX('PORTIFÓLIO'!$S$4:$S$433,MATCH($C43,'PORTIFÓLIO'!$C$4:$C$433,0)),"")</f>
        <v/>
      </c>
      <c r="M43" s="220"/>
      <c r="N43" s="220"/>
      <c r="O43" s="220"/>
      <c r="P43" s="220"/>
      <c r="Q43" s="220"/>
      <c r="R43" s="220"/>
      <c r="S43" s="220"/>
      <c r="T43" s="220"/>
      <c r="U43" s="220"/>
      <c r="V43" s="220"/>
      <c r="W43" s="220"/>
    </row>
    <row r="44" ht="15.75" customHeight="1">
      <c r="A44" s="229" t="s">
        <v>1185</v>
      </c>
      <c r="B44" s="230"/>
      <c r="C44" s="231"/>
      <c r="D44" s="232" t="s">
        <v>216</v>
      </c>
      <c r="E44" s="231"/>
      <c r="F44" s="231"/>
      <c r="G44" s="233"/>
      <c r="H44" s="233"/>
      <c r="I44" s="258"/>
      <c r="J44" s="236"/>
      <c r="K44" s="237">
        <f t="shared" ref="K44:L44" si="5">SUBTOTAL(9,K45:K58)</f>
        <v>0</v>
      </c>
      <c r="L44" s="237">
        <f t="shared" si="5"/>
        <v>0</v>
      </c>
      <c r="M44" s="220"/>
      <c r="N44" s="220"/>
      <c r="O44" s="220"/>
      <c r="P44" s="220"/>
      <c r="Q44" s="220"/>
      <c r="R44" s="220"/>
      <c r="S44" s="220"/>
      <c r="T44" s="220"/>
      <c r="U44" s="220"/>
      <c r="V44" s="220"/>
      <c r="W44" s="220"/>
    </row>
    <row r="45" ht="15.75" customHeight="1" outlineLevel="1">
      <c r="A45" s="213"/>
      <c r="B45" s="212"/>
      <c r="C45" s="213"/>
      <c r="D45" s="214" t="str">
        <f>IFERROR(VLOOKUP($C45,'PORTIFÓLIO'!C:V,2,0),"")</f>
        <v/>
      </c>
      <c r="E45" s="211" t="str">
        <f>IFERROR(VLOOKUP($C45,'PORTIFÓLIO'!C:V,3,0),"")</f>
        <v/>
      </c>
      <c r="F45" s="211" t="str">
        <f>IFERROR(VLOOKUP($C45,'PORTIFÓLIO'!C:V,4,0),"")</f>
        <v/>
      </c>
      <c r="G45" s="215" t="str">
        <f>IFERROR(VLOOKUP($C45,'PORTIFÓLIO'!C:V,5,0),"")</f>
        <v/>
      </c>
      <c r="H45" s="254" t="str">
        <f t="array" ref="H45">IFERROR(INDEX('PORTIFÓLIO'!$H$4:$H$433,MATCH($C45,'PORTIFÓLIO'!$C$4:$C$433,0)),"")</f>
        <v/>
      </c>
      <c r="I45" s="255"/>
      <c r="J45" s="218">
        <f t="shared" ref="J45:J62" si="6">I45*$B$2</f>
        <v>0</v>
      </c>
      <c r="K45" s="219" t="str">
        <f t="array" ref="K45">IFERROR(I45*INDEX('PORTIFÓLIO'!$S$4:$S$433,MATCH($C45,'PORTIFÓLIO'!$C$4:$C$433,0)),"")</f>
        <v/>
      </c>
      <c r="L45" s="219" t="str">
        <f t="array" ref="L45">IFERROR(J45*INDEX('PORTIFÓLIO'!$S$4:$S$433,MATCH($C45,'PORTIFÓLIO'!$C$4:$C$433,0)),"")</f>
        <v/>
      </c>
      <c r="M45" s="220"/>
      <c r="N45" s="220"/>
      <c r="O45" s="220"/>
      <c r="P45" s="220"/>
      <c r="Q45" s="220"/>
      <c r="R45" s="220"/>
      <c r="S45" s="220"/>
      <c r="T45" s="220"/>
      <c r="U45" s="220"/>
      <c r="V45" s="220"/>
      <c r="W45" s="220"/>
    </row>
    <row r="46" ht="15.75" customHeight="1" outlineLevel="1">
      <c r="A46" s="211"/>
      <c r="B46" s="212"/>
      <c r="C46" s="213"/>
      <c r="D46" s="214" t="str">
        <f>IFERROR(VLOOKUP($C46,'PORTIFÓLIO'!C:V,2,0),"")</f>
        <v/>
      </c>
      <c r="E46" s="211" t="str">
        <f>IFERROR(VLOOKUP($C46,'PORTIFÓLIO'!C:V,3,0),"")</f>
        <v/>
      </c>
      <c r="F46" s="211" t="str">
        <f>IFERROR(VLOOKUP($C46,'PORTIFÓLIO'!C:V,4,0),"")</f>
        <v/>
      </c>
      <c r="G46" s="215" t="str">
        <f>IFERROR(VLOOKUP($C46,'PORTIFÓLIO'!C:V,5,0),"")</f>
        <v/>
      </c>
      <c r="H46" s="254" t="str">
        <f t="array" ref="H46">IFERROR(INDEX('PORTIFÓLIO'!$H$4:$H$433,MATCH($C46,'PORTIFÓLIO'!$C$4:$C$433,0)),"")</f>
        <v/>
      </c>
      <c r="I46" s="255"/>
      <c r="J46" s="218">
        <f t="shared" si="6"/>
        <v>0</v>
      </c>
      <c r="K46" s="219" t="str">
        <f t="array" ref="K46">IFERROR(I46*INDEX('PORTIFÓLIO'!$S$4:$S$433,MATCH($C46,'PORTIFÓLIO'!$C$4:$C$433,0)),"")</f>
        <v/>
      </c>
      <c r="L46" s="219" t="str">
        <f t="array" ref="L46">IFERROR(J46*INDEX('PORTIFÓLIO'!$S$4:$S$433,MATCH($C46,'PORTIFÓLIO'!$C$4:$C$433,0)),"")</f>
        <v/>
      </c>
      <c r="M46" s="220"/>
      <c r="N46" s="220"/>
      <c r="O46" s="220"/>
      <c r="P46" s="220"/>
      <c r="Q46" s="220"/>
      <c r="R46" s="220"/>
      <c r="S46" s="220"/>
      <c r="T46" s="220"/>
      <c r="U46" s="220"/>
      <c r="V46" s="220"/>
      <c r="W46" s="220"/>
    </row>
    <row r="47" ht="15.75" customHeight="1" outlineLevel="1">
      <c r="A47" s="211"/>
      <c r="B47" s="212"/>
      <c r="C47" s="213"/>
      <c r="D47" s="214" t="str">
        <f>IFERROR(VLOOKUP($C47,'PORTIFÓLIO'!C:V,2,0),"")</f>
        <v/>
      </c>
      <c r="E47" s="211" t="str">
        <f>IFERROR(VLOOKUP($C47,'PORTIFÓLIO'!C:V,3,0),"")</f>
        <v/>
      </c>
      <c r="F47" s="211" t="str">
        <f>IFERROR(VLOOKUP($C47,'PORTIFÓLIO'!C:V,4,0),"")</f>
        <v/>
      </c>
      <c r="G47" s="215" t="str">
        <f>IFERROR(VLOOKUP($C47,'PORTIFÓLIO'!C:V,5,0),"")</f>
        <v/>
      </c>
      <c r="H47" s="254" t="str">
        <f t="array" ref="H47">IFERROR(INDEX('PORTIFÓLIO'!$H$4:$H$433,MATCH($C47,'PORTIFÓLIO'!$C$4:$C$433,0)),"")</f>
        <v/>
      </c>
      <c r="I47" s="255"/>
      <c r="J47" s="218">
        <f t="shared" si="6"/>
        <v>0</v>
      </c>
      <c r="K47" s="219" t="str">
        <f t="array" ref="K47">IFERROR(I47*INDEX('PORTIFÓLIO'!$S$4:$S$433,MATCH($C47,'PORTIFÓLIO'!$C$4:$C$433,0)),"")</f>
        <v/>
      </c>
      <c r="L47" s="219" t="str">
        <f t="array" ref="L47">IFERROR(J47*INDEX('PORTIFÓLIO'!$S$4:$S$433,MATCH($C47,'PORTIFÓLIO'!$C$4:$C$433,0)),"")</f>
        <v/>
      </c>
      <c r="M47" s="220"/>
      <c r="N47" s="220"/>
      <c r="O47" s="220"/>
      <c r="P47" s="220"/>
      <c r="Q47" s="220"/>
      <c r="R47" s="220"/>
      <c r="S47" s="220"/>
      <c r="T47" s="220"/>
      <c r="U47" s="220"/>
      <c r="V47" s="220"/>
      <c r="W47" s="220"/>
    </row>
    <row r="48" ht="15.75" customHeight="1" outlineLevel="1">
      <c r="A48" s="211"/>
      <c r="B48" s="212"/>
      <c r="C48" s="213"/>
      <c r="D48" s="214" t="str">
        <f>IFERROR(VLOOKUP($C48,'PORTIFÓLIO'!C:V,2,0),"")</f>
        <v/>
      </c>
      <c r="E48" s="211" t="str">
        <f>IFERROR(VLOOKUP($C48,'PORTIFÓLIO'!C:V,3,0),"")</f>
        <v/>
      </c>
      <c r="F48" s="211" t="str">
        <f>IFERROR(VLOOKUP($C48,'PORTIFÓLIO'!C:V,4,0),"")</f>
        <v/>
      </c>
      <c r="G48" s="215" t="str">
        <f>IFERROR(VLOOKUP($C48,'PORTIFÓLIO'!C:V,5,0),"")</f>
        <v/>
      </c>
      <c r="H48" s="254" t="str">
        <f t="array" ref="H48">IFERROR(INDEX('PORTIFÓLIO'!$H$4:$H$433,MATCH($C48,'PORTIFÓLIO'!$C$4:$C$433,0)),"")</f>
        <v/>
      </c>
      <c r="I48" s="255"/>
      <c r="J48" s="218">
        <f t="shared" si="6"/>
        <v>0</v>
      </c>
      <c r="K48" s="219" t="str">
        <f t="array" ref="K48">IFERROR(I48*INDEX('PORTIFÓLIO'!$S$4:$S$433,MATCH($C48,'PORTIFÓLIO'!$C$4:$C$433,0)),"")</f>
        <v/>
      </c>
      <c r="L48" s="219" t="str">
        <f t="array" ref="L48">IFERROR(J48*INDEX('PORTIFÓLIO'!$S$4:$S$433,MATCH($C48,'PORTIFÓLIO'!$C$4:$C$433,0)),"")</f>
        <v/>
      </c>
      <c r="M48" s="220"/>
      <c r="N48" s="220"/>
      <c r="O48" s="220"/>
      <c r="P48" s="220"/>
      <c r="Q48" s="220"/>
      <c r="R48" s="220"/>
      <c r="S48" s="220"/>
      <c r="T48" s="220"/>
      <c r="U48" s="220"/>
      <c r="V48" s="220"/>
      <c r="W48" s="220"/>
    </row>
    <row r="49" ht="15.75" customHeight="1" outlineLevel="1">
      <c r="A49" s="211"/>
      <c r="B49" s="212"/>
      <c r="C49" s="213"/>
      <c r="D49" s="214" t="str">
        <f>IFERROR(VLOOKUP($C49,'PORTIFÓLIO'!C:V,2,0),"")</f>
        <v/>
      </c>
      <c r="E49" s="211" t="str">
        <f>IFERROR(VLOOKUP($C49,'PORTIFÓLIO'!C:V,3,0),"")</f>
        <v/>
      </c>
      <c r="F49" s="211" t="str">
        <f>IFERROR(VLOOKUP($C49,'PORTIFÓLIO'!C:V,4,0),"")</f>
        <v/>
      </c>
      <c r="G49" s="215" t="str">
        <f>IFERROR(VLOOKUP($C49,'PORTIFÓLIO'!C:V,5,0),"")</f>
        <v/>
      </c>
      <c r="H49" s="254" t="str">
        <f t="array" ref="H49">IFERROR(INDEX('PORTIFÓLIO'!$H$4:$H$433,MATCH($C49,'PORTIFÓLIO'!$C$4:$C$433,0)),"")</f>
        <v/>
      </c>
      <c r="I49" s="255"/>
      <c r="J49" s="218">
        <f t="shared" si="6"/>
        <v>0</v>
      </c>
      <c r="K49" s="219" t="str">
        <f t="array" ref="K49">IFERROR(I49*INDEX('PORTIFÓLIO'!$S$4:$S$433,MATCH($C49,'PORTIFÓLIO'!$C$4:$C$433,0)),"")</f>
        <v/>
      </c>
      <c r="L49" s="219" t="str">
        <f t="array" ref="L49">IFERROR(J49*INDEX('PORTIFÓLIO'!$S$4:$S$433,MATCH($C49,'PORTIFÓLIO'!$C$4:$C$433,0)),"")</f>
        <v/>
      </c>
      <c r="M49" s="220"/>
      <c r="N49" s="220"/>
      <c r="O49" s="220"/>
      <c r="P49" s="220"/>
      <c r="Q49" s="220"/>
      <c r="R49" s="220"/>
      <c r="S49" s="220"/>
      <c r="T49" s="220"/>
      <c r="U49" s="220"/>
      <c r="V49" s="220"/>
      <c r="W49" s="220"/>
    </row>
    <row r="50" ht="15.75" customHeight="1" outlineLevel="1">
      <c r="A50" s="211"/>
      <c r="B50" s="212"/>
      <c r="C50" s="213"/>
      <c r="D50" s="214" t="str">
        <f>IFERROR(VLOOKUP($C50,'PORTIFÓLIO'!C:V,2,0),"")</f>
        <v/>
      </c>
      <c r="E50" s="211" t="str">
        <f>IFERROR(VLOOKUP($C50,'PORTIFÓLIO'!C:V,3,0),"")</f>
        <v/>
      </c>
      <c r="F50" s="211" t="str">
        <f>IFERROR(VLOOKUP($C50,'PORTIFÓLIO'!C:V,4,0),"")</f>
        <v/>
      </c>
      <c r="G50" s="215" t="str">
        <f>IFERROR(VLOOKUP($C50,'PORTIFÓLIO'!C:V,5,0),"")</f>
        <v/>
      </c>
      <c r="H50" s="254" t="str">
        <f t="array" ref="H50">IFERROR(INDEX('PORTIFÓLIO'!$H$4:$H$433,MATCH($C50,'PORTIFÓLIO'!$C$4:$C$433,0)),"")</f>
        <v/>
      </c>
      <c r="I50" s="255"/>
      <c r="J50" s="218">
        <f t="shared" si="6"/>
        <v>0</v>
      </c>
      <c r="K50" s="219" t="str">
        <f t="array" ref="K50">IFERROR(I50*INDEX('PORTIFÓLIO'!$S$4:$S$433,MATCH($C50,'PORTIFÓLIO'!$C$4:$C$433,0)),"")</f>
        <v/>
      </c>
      <c r="L50" s="219" t="str">
        <f t="array" ref="L50">IFERROR(J50*INDEX('PORTIFÓLIO'!$S$4:$S$433,MATCH($C50,'PORTIFÓLIO'!$C$4:$C$433,0)),"")</f>
        <v/>
      </c>
      <c r="M50" s="220"/>
      <c r="N50" s="220"/>
      <c r="O50" s="220"/>
      <c r="P50" s="220"/>
      <c r="Q50" s="220"/>
      <c r="R50" s="220"/>
      <c r="S50" s="220"/>
      <c r="T50" s="220"/>
      <c r="U50" s="220"/>
      <c r="V50" s="220"/>
      <c r="W50" s="220"/>
    </row>
    <row r="51" ht="15.75" customHeight="1" outlineLevel="1">
      <c r="A51" s="211"/>
      <c r="B51" s="212"/>
      <c r="C51" s="213"/>
      <c r="D51" s="214" t="str">
        <f>IFERROR(VLOOKUP($C51,'PORTIFÓLIO'!C:V,2,0),"")</f>
        <v/>
      </c>
      <c r="E51" s="211" t="str">
        <f>IFERROR(VLOOKUP($C51,'PORTIFÓLIO'!C:V,3,0),"")</f>
        <v/>
      </c>
      <c r="F51" s="211" t="str">
        <f>IFERROR(VLOOKUP($C51,'PORTIFÓLIO'!C:V,4,0),"")</f>
        <v/>
      </c>
      <c r="G51" s="215" t="str">
        <f>IFERROR(VLOOKUP($C51,'PORTIFÓLIO'!C:V,5,0),"")</f>
        <v/>
      </c>
      <c r="H51" s="254" t="str">
        <f t="array" ref="H51">IFERROR(INDEX('PORTIFÓLIO'!$H$4:$H$433,MATCH($C51,'PORTIFÓLIO'!$C$4:$C$433,0)),"")</f>
        <v/>
      </c>
      <c r="I51" s="255"/>
      <c r="J51" s="218">
        <f t="shared" si="6"/>
        <v>0</v>
      </c>
      <c r="K51" s="219" t="str">
        <f t="array" ref="K51">IFERROR(I51*INDEX('PORTIFÓLIO'!$S$4:$S$433,MATCH($C51,'PORTIFÓLIO'!$C$4:$C$433,0)),"")</f>
        <v/>
      </c>
      <c r="L51" s="219" t="str">
        <f t="array" ref="L51">IFERROR(J51*INDEX('PORTIFÓLIO'!$S$4:$S$433,MATCH($C51,'PORTIFÓLIO'!$C$4:$C$433,0)),"")</f>
        <v/>
      </c>
      <c r="M51" s="220"/>
      <c r="N51" s="220"/>
      <c r="O51" s="220"/>
      <c r="P51" s="220"/>
      <c r="Q51" s="220"/>
      <c r="R51" s="220"/>
      <c r="S51" s="220"/>
      <c r="T51" s="220"/>
      <c r="U51" s="220"/>
      <c r="V51" s="220"/>
      <c r="W51" s="220"/>
    </row>
    <row r="52" ht="15.75" customHeight="1" outlineLevel="1">
      <c r="A52" s="211"/>
      <c r="B52" s="212"/>
      <c r="C52" s="213"/>
      <c r="D52" s="214" t="str">
        <f>IFERROR(VLOOKUP($C52,'PORTIFÓLIO'!C:V,2,0),"")</f>
        <v/>
      </c>
      <c r="E52" s="211" t="str">
        <f>IFERROR(VLOOKUP($C52,'PORTIFÓLIO'!C:V,3,0),"")</f>
        <v/>
      </c>
      <c r="F52" s="211" t="str">
        <f>IFERROR(VLOOKUP($C52,'PORTIFÓLIO'!C:V,4,0),"")</f>
        <v/>
      </c>
      <c r="G52" s="215" t="str">
        <f>IFERROR(VLOOKUP($C52,'PORTIFÓLIO'!C:V,5,0),"")</f>
        <v/>
      </c>
      <c r="H52" s="254" t="str">
        <f t="array" ref="H52">IFERROR(INDEX('PORTIFÓLIO'!$H$4:$H$433,MATCH($C52,'PORTIFÓLIO'!$C$4:$C$433,0)),"")</f>
        <v/>
      </c>
      <c r="I52" s="256"/>
      <c r="J52" s="218">
        <f t="shared" si="6"/>
        <v>0</v>
      </c>
      <c r="K52" s="219" t="str">
        <f t="array" ref="K52">IFERROR(I52*INDEX('PORTIFÓLIO'!$S$4:$S$433,MATCH($C52,'PORTIFÓLIO'!$C$4:$C$433,0)),"")</f>
        <v/>
      </c>
      <c r="L52" s="219" t="str">
        <f t="array" ref="L52">IFERROR(J52*INDEX('PORTIFÓLIO'!$S$4:$S$433,MATCH($C52,'PORTIFÓLIO'!$C$4:$C$433,0)),"")</f>
        <v/>
      </c>
      <c r="M52" s="220"/>
      <c r="N52" s="220"/>
      <c r="O52" s="220"/>
      <c r="P52" s="220"/>
      <c r="Q52" s="220"/>
      <c r="R52" s="220"/>
      <c r="S52" s="220"/>
      <c r="T52" s="220"/>
      <c r="U52" s="220"/>
      <c r="V52" s="220"/>
      <c r="W52" s="220"/>
    </row>
    <row r="53" ht="15.75" customHeight="1" outlineLevel="1">
      <c r="A53" s="211"/>
      <c r="B53" s="212"/>
      <c r="C53" s="213"/>
      <c r="D53" s="214" t="str">
        <f>IFERROR(VLOOKUP($C53,'PORTIFÓLIO'!C:V,2,0),"")</f>
        <v/>
      </c>
      <c r="E53" s="211" t="str">
        <f>IFERROR(VLOOKUP($C53,'PORTIFÓLIO'!C:V,3,0),"")</f>
        <v/>
      </c>
      <c r="F53" s="211" t="str">
        <f>IFERROR(VLOOKUP($C53,'PORTIFÓLIO'!C:V,4,0),"")</f>
        <v/>
      </c>
      <c r="G53" s="215" t="str">
        <f>IFERROR(VLOOKUP($C53,'PORTIFÓLIO'!C:V,5,0),"")</f>
        <v/>
      </c>
      <c r="H53" s="254" t="str">
        <f t="array" ref="H53">IFERROR(INDEX('PORTIFÓLIO'!$H$4:$H$433,MATCH($C53,'PORTIFÓLIO'!$C$4:$C$433,0)),"")</f>
        <v/>
      </c>
      <c r="I53" s="255"/>
      <c r="J53" s="218">
        <f t="shared" si="6"/>
        <v>0</v>
      </c>
      <c r="K53" s="219" t="str">
        <f t="array" ref="K53">IFERROR(I53*INDEX('PORTIFÓLIO'!$S$4:$S$433,MATCH($C53,'PORTIFÓLIO'!$C$4:$C$433,0)),"")</f>
        <v/>
      </c>
      <c r="L53" s="219" t="str">
        <f t="array" ref="L53">IFERROR(J53*INDEX('PORTIFÓLIO'!$S$4:$S$433,MATCH($C53,'PORTIFÓLIO'!$C$4:$C$433,0)),"")</f>
        <v/>
      </c>
      <c r="M53" s="220"/>
      <c r="N53" s="220"/>
      <c r="O53" s="220"/>
      <c r="P53" s="220"/>
      <c r="Q53" s="220"/>
      <c r="R53" s="220"/>
      <c r="S53" s="220"/>
      <c r="T53" s="220"/>
      <c r="U53" s="220"/>
      <c r="V53" s="220"/>
      <c r="W53" s="220"/>
    </row>
    <row r="54" ht="15.75" customHeight="1" outlineLevel="1">
      <c r="A54" s="211"/>
      <c r="B54" s="212"/>
      <c r="C54" s="213"/>
      <c r="D54" s="214" t="str">
        <f>IFERROR(VLOOKUP($C54,'PORTIFÓLIO'!C:V,2,0),"")</f>
        <v/>
      </c>
      <c r="E54" s="211" t="str">
        <f>IFERROR(VLOOKUP($C54,'PORTIFÓLIO'!C:V,3,0),"")</f>
        <v/>
      </c>
      <c r="F54" s="211" t="str">
        <f>IFERROR(VLOOKUP($C54,'PORTIFÓLIO'!C:V,4,0),"")</f>
        <v/>
      </c>
      <c r="G54" s="215" t="str">
        <f>IFERROR(VLOOKUP($C54,'PORTIFÓLIO'!C:V,5,0),"")</f>
        <v/>
      </c>
      <c r="H54" s="254" t="str">
        <f t="array" ref="H54">IFERROR(INDEX('PORTIFÓLIO'!$H$4:$H$433,MATCH($C54,'PORTIFÓLIO'!$C$4:$C$433,0)),"")</f>
        <v/>
      </c>
      <c r="I54" s="256"/>
      <c r="J54" s="218">
        <f t="shared" si="6"/>
        <v>0</v>
      </c>
      <c r="K54" s="219" t="str">
        <f t="array" ref="K54">IFERROR(I54*INDEX('PORTIFÓLIO'!$S$4:$S$433,MATCH($C54,'PORTIFÓLIO'!$C$4:$C$433,0)),"")</f>
        <v/>
      </c>
      <c r="L54" s="219" t="str">
        <f t="array" ref="L54">IFERROR(J54*INDEX('PORTIFÓLIO'!$S$4:$S$433,MATCH($C54,'PORTIFÓLIO'!$C$4:$C$433,0)),"")</f>
        <v/>
      </c>
      <c r="M54" s="220"/>
      <c r="N54" s="220"/>
      <c r="O54" s="220"/>
      <c r="P54" s="220"/>
      <c r="Q54" s="220"/>
      <c r="R54" s="220"/>
      <c r="S54" s="220"/>
      <c r="T54" s="220"/>
      <c r="U54" s="220"/>
      <c r="V54" s="220"/>
      <c r="W54" s="220"/>
    </row>
    <row r="55" ht="15.75" customHeight="1" outlineLevel="1">
      <c r="A55" s="211"/>
      <c r="B55" s="212"/>
      <c r="C55" s="213"/>
      <c r="D55" s="214" t="str">
        <f>IFERROR(VLOOKUP($C55,'PORTIFÓLIO'!C:V,2,0),"")</f>
        <v/>
      </c>
      <c r="E55" s="211" t="str">
        <f>IFERROR(VLOOKUP($C55,'PORTIFÓLIO'!C:V,3,0),"")</f>
        <v/>
      </c>
      <c r="F55" s="211" t="str">
        <f>IFERROR(VLOOKUP($C55,'PORTIFÓLIO'!C:V,4,0),"")</f>
        <v/>
      </c>
      <c r="G55" s="215" t="str">
        <f>IFERROR(VLOOKUP($C55,'PORTIFÓLIO'!C:V,5,0),"")</f>
        <v/>
      </c>
      <c r="H55" s="254" t="str">
        <f t="array" ref="H55">IFERROR(INDEX('PORTIFÓLIO'!$H$4:$H$433,MATCH($C55,'PORTIFÓLIO'!$C$4:$C$433,0)),"")</f>
        <v/>
      </c>
      <c r="I55" s="256"/>
      <c r="J55" s="218">
        <f t="shared" si="6"/>
        <v>0</v>
      </c>
      <c r="K55" s="219" t="str">
        <f t="array" ref="K55">IFERROR(I55*INDEX('PORTIFÓLIO'!$S$4:$S$433,MATCH($C55,'PORTIFÓLIO'!$C$4:$C$433,0)),"")</f>
        <v/>
      </c>
      <c r="L55" s="219" t="str">
        <f t="array" ref="L55">IFERROR(J55*INDEX('PORTIFÓLIO'!$S$4:$S$433,MATCH($C55,'PORTIFÓLIO'!$C$4:$C$433,0)),"")</f>
        <v/>
      </c>
      <c r="M55" s="220"/>
      <c r="N55" s="220"/>
      <c r="O55" s="220"/>
      <c r="P55" s="220"/>
      <c r="Q55" s="220"/>
      <c r="R55" s="220"/>
      <c r="S55" s="220"/>
      <c r="T55" s="220"/>
      <c r="U55" s="220"/>
      <c r="V55" s="220"/>
      <c r="W55" s="220"/>
    </row>
    <row r="56" ht="15.75" customHeight="1" outlineLevel="1">
      <c r="A56" s="211"/>
      <c r="B56" s="212"/>
      <c r="C56" s="213"/>
      <c r="D56" s="214" t="str">
        <f>IFERROR(VLOOKUP($C56,'PORTIFÓLIO'!C:V,2,0),"")</f>
        <v/>
      </c>
      <c r="E56" s="211" t="str">
        <f>IFERROR(VLOOKUP($C56,'PORTIFÓLIO'!C:V,3,0),"")</f>
        <v/>
      </c>
      <c r="F56" s="211" t="str">
        <f>IFERROR(VLOOKUP($C56,'PORTIFÓLIO'!C:V,4,0),"")</f>
        <v/>
      </c>
      <c r="G56" s="215" t="str">
        <f>IFERROR(VLOOKUP($C56,'PORTIFÓLIO'!C:V,5,0),"")</f>
        <v/>
      </c>
      <c r="H56" s="254" t="str">
        <f t="array" ref="H56">IFERROR(INDEX('PORTIFÓLIO'!$H$4:$H$433,MATCH($C56,'PORTIFÓLIO'!$C$4:$C$433,0)),"")</f>
        <v/>
      </c>
      <c r="I56" s="256"/>
      <c r="J56" s="218">
        <f t="shared" si="6"/>
        <v>0</v>
      </c>
      <c r="K56" s="219" t="str">
        <f t="array" ref="K56">IFERROR(I56*INDEX('PORTIFÓLIO'!$S$4:$S$433,MATCH($C56,'PORTIFÓLIO'!$C$4:$C$433,0)),"")</f>
        <v/>
      </c>
      <c r="L56" s="219" t="str">
        <f t="array" ref="L56">IFERROR(J56*INDEX('PORTIFÓLIO'!$S$4:$S$433,MATCH($C56,'PORTIFÓLIO'!$C$4:$C$433,0)),"")</f>
        <v/>
      </c>
      <c r="M56" s="220"/>
      <c r="N56" s="220"/>
      <c r="O56" s="220"/>
      <c r="P56" s="220"/>
      <c r="Q56" s="220"/>
      <c r="R56" s="220"/>
      <c r="S56" s="220"/>
      <c r="T56" s="220"/>
      <c r="U56" s="220"/>
      <c r="V56" s="220"/>
      <c r="W56" s="220"/>
    </row>
    <row r="57" ht="15.75" customHeight="1" outlineLevel="1">
      <c r="A57" s="211"/>
      <c r="B57" s="212"/>
      <c r="C57" s="213"/>
      <c r="D57" s="214" t="str">
        <f>IFERROR(VLOOKUP($C57,'PORTIFÓLIO'!C:V,2,0),"")</f>
        <v/>
      </c>
      <c r="E57" s="211" t="str">
        <f>IFERROR(VLOOKUP($C57,'PORTIFÓLIO'!C:V,3,0),"")</f>
        <v/>
      </c>
      <c r="F57" s="211" t="str">
        <f>IFERROR(VLOOKUP($C57,'PORTIFÓLIO'!C:V,4,0),"")</f>
        <v/>
      </c>
      <c r="G57" s="215" t="str">
        <f>IFERROR(VLOOKUP($C57,'PORTIFÓLIO'!C:V,5,0),"")</f>
        <v/>
      </c>
      <c r="H57" s="254" t="str">
        <f t="array" ref="H57">IFERROR(INDEX('PORTIFÓLIO'!$H$4:$H$433,MATCH($C57,'PORTIFÓLIO'!$C$4:$C$433,0)),"")</f>
        <v/>
      </c>
      <c r="I57" s="256"/>
      <c r="J57" s="218">
        <f t="shared" si="6"/>
        <v>0</v>
      </c>
      <c r="K57" s="219" t="str">
        <f t="array" ref="K57">IFERROR(I57*INDEX('PORTIFÓLIO'!$S$4:$S$433,MATCH($C57,'PORTIFÓLIO'!$C$4:$C$433,0)),"")</f>
        <v/>
      </c>
      <c r="L57" s="219" t="str">
        <f t="array" ref="L57">IFERROR(J57*INDEX('PORTIFÓLIO'!$S$4:$S$433,MATCH($C57,'PORTIFÓLIO'!$C$4:$C$433,0)),"")</f>
        <v/>
      </c>
      <c r="M57" s="220"/>
      <c r="N57" s="220"/>
      <c r="O57" s="220"/>
      <c r="P57" s="220"/>
      <c r="Q57" s="220"/>
      <c r="R57" s="220"/>
      <c r="S57" s="220"/>
      <c r="T57" s="220"/>
      <c r="U57" s="220"/>
      <c r="V57" s="220"/>
      <c r="W57" s="220"/>
    </row>
    <row r="58" ht="15.75" customHeight="1" outlineLevel="1">
      <c r="A58" s="211"/>
      <c r="B58" s="212"/>
      <c r="C58" s="213"/>
      <c r="D58" s="214" t="str">
        <f>IFERROR(VLOOKUP($C58,'PORTIFÓLIO'!C:V,2,0),"")</f>
        <v/>
      </c>
      <c r="E58" s="211" t="str">
        <f>IFERROR(VLOOKUP($C58,'PORTIFÓLIO'!C:V,3,0),"")</f>
        <v/>
      </c>
      <c r="F58" s="211" t="str">
        <f>IFERROR(VLOOKUP($C58,'PORTIFÓLIO'!C:V,4,0),"")</f>
        <v/>
      </c>
      <c r="G58" s="215" t="str">
        <f>IFERROR(VLOOKUP($C58,'PORTIFÓLIO'!C:V,5,0),"")</f>
        <v/>
      </c>
      <c r="H58" s="254" t="str">
        <f t="array" ref="H58">IFERROR(INDEX('PORTIFÓLIO'!$H$4:$H$433,MATCH($C58,'PORTIFÓLIO'!$C$4:$C$433,0)),"")</f>
        <v/>
      </c>
      <c r="I58" s="256"/>
      <c r="J58" s="218">
        <f t="shared" si="6"/>
        <v>0</v>
      </c>
      <c r="K58" s="219" t="str">
        <f t="array" ref="K58">IFERROR(I58*INDEX('PORTIFÓLIO'!$S$4:$S$433,MATCH($C58,'PORTIFÓLIO'!$C$4:$C$433,0)),"")</f>
        <v/>
      </c>
      <c r="L58" s="219" t="str">
        <f t="array" ref="L58">IFERROR(J58*INDEX('PORTIFÓLIO'!$S$4:$S$433,MATCH($C58,'PORTIFÓLIO'!$C$4:$C$433,0)),"")</f>
        <v/>
      </c>
      <c r="M58" s="220"/>
      <c r="N58" s="220"/>
      <c r="O58" s="220"/>
      <c r="P58" s="220"/>
      <c r="Q58" s="220"/>
      <c r="R58" s="220"/>
      <c r="S58" s="220"/>
      <c r="T58" s="220"/>
      <c r="U58" s="220"/>
      <c r="V58" s="220"/>
      <c r="W58" s="220"/>
    </row>
    <row r="59" ht="15.75" customHeight="1" outlineLevel="1">
      <c r="A59" s="211"/>
      <c r="B59" s="212"/>
      <c r="C59" s="213"/>
      <c r="D59" s="214" t="str">
        <f>IFERROR(VLOOKUP($C59,'PORTIFÓLIO'!C:V,2,0),"")</f>
        <v/>
      </c>
      <c r="E59" s="211" t="str">
        <f>IFERROR(VLOOKUP($C59,'PORTIFÓLIO'!C:V,3,0),"")</f>
        <v/>
      </c>
      <c r="F59" s="211" t="str">
        <f>IFERROR(VLOOKUP($C59,'PORTIFÓLIO'!C:V,4,0),"")</f>
        <v/>
      </c>
      <c r="G59" s="215" t="str">
        <f>IFERROR(VLOOKUP($C59,'PORTIFÓLIO'!C:V,5,0),"")</f>
        <v/>
      </c>
      <c r="H59" s="254" t="str">
        <f t="array" ref="H59">IFERROR(INDEX('PORTIFÓLIO'!$H$4:$H$433,MATCH($C59,'PORTIFÓLIO'!$C$4:$C$433,0)),"")</f>
        <v/>
      </c>
      <c r="I59" s="256"/>
      <c r="J59" s="218">
        <f t="shared" si="6"/>
        <v>0</v>
      </c>
      <c r="K59" s="219" t="str">
        <f t="array" ref="K59">IFERROR(I59*INDEX('PORTIFÓLIO'!$S$4:$S$433,MATCH($C59,'PORTIFÓLIO'!$C$4:$C$433,0)),"")</f>
        <v/>
      </c>
      <c r="L59" s="219" t="str">
        <f t="array" ref="L59">IFERROR(J59*INDEX('PORTIFÓLIO'!$S$4:$S$433,MATCH($C59,'PORTIFÓLIO'!$C$4:$C$433,0)),"")</f>
        <v/>
      </c>
      <c r="M59" s="220"/>
      <c r="N59" s="220"/>
      <c r="O59" s="220"/>
      <c r="P59" s="220"/>
      <c r="Q59" s="220"/>
      <c r="R59" s="220"/>
      <c r="S59" s="220"/>
      <c r="T59" s="220"/>
      <c r="U59" s="220"/>
      <c r="V59" s="220"/>
      <c r="W59" s="220"/>
    </row>
    <row r="60" ht="15.75" customHeight="1" outlineLevel="1">
      <c r="A60" s="211"/>
      <c r="B60" s="212"/>
      <c r="C60" s="213"/>
      <c r="D60" s="214" t="str">
        <f>IFERROR(VLOOKUP($C60,'PORTIFÓLIO'!C:V,2,0),"")</f>
        <v/>
      </c>
      <c r="E60" s="211" t="str">
        <f>IFERROR(VLOOKUP($C60,'PORTIFÓLIO'!C:V,3,0),"")</f>
        <v/>
      </c>
      <c r="F60" s="211" t="str">
        <f>IFERROR(VLOOKUP($C60,'PORTIFÓLIO'!C:V,4,0),"")</f>
        <v/>
      </c>
      <c r="G60" s="215" t="str">
        <f>IFERROR(VLOOKUP($C60,'PORTIFÓLIO'!C:V,5,0),"")</f>
        <v/>
      </c>
      <c r="H60" s="254" t="str">
        <f t="array" ref="H60">IFERROR(INDEX('PORTIFÓLIO'!$H$4:$H$433,MATCH($C60,'PORTIFÓLIO'!$C$4:$C$433,0)),"")</f>
        <v/>
      </c>
      <c r="I60" s="256"/>
      <c r="J60" s="218">
        <f t="shared" si="6"/>
        <v>0</v>
      </c>
      <c r="K60" s="219" t="str">
        <f t="array" ref="K60">IFERROR(I60*INDEX('PORTIFÓLIO'!$S$4:$S$433,MATCH($C60,'PORTIFÓLIO'!$C$4:$C$433,0)),"")</f>
        <v/>
      </c>
      <c r="L60" s="219" t="str">
        <f t="array" ref="L60">IFERROR(J60*INDEX('PORTIFÓLIO'!$S$4:$S$433,MATCH($C60,'PORTIFÓLIO'!$C$4:$C$433,0)),"")</f>
        <v/>
      </c>
      <c r="M60" s="220"/>
      <c r="N60" s="220"/>
      <c r="O60" s="220"/>
      <c r="P60" s="220"/>
      <c r="Q60" s="220"/>
      <c r="R60" s="220"/>
      <c r="S60" s="220"/>
      <c r="T60" s="220"/>
      <c r="U60" s="220"/>
      <c r="V60" s="220"/>
      <c r="W60" s="220"/>
    </row>
    <row r="61" ht="15.75" customHeight="1" outlineLevel="1">
      <c r="A61" s="211"/>
      <c r="B61" s="212"/>
      <c r="C61" s="213"/>
      <c r="D61" s="214" t="str">
        <f>IFERROR(VLOOKUP($C61,'PORTIFÓLIO'!C:V,2,0),"")</f>
        <v/>
      </c>
      <c r="E61" s="211" t="str">
        <f>IFERROR(VLOOKUP($C61,'PORTIFÓLIO'!C:V,3,0),"")</f>
        <v/>
      </c>
      <c r="F61" s="211" t="str">
        <f>IFERROR(VLOOKUP($C61,'PORTIFÓLIO'!C:V,4,0),"")</f>
        <v/>
      </c>
      <c r="G61" s="215" t="str">
        <f>IFERROR(VLOOKUP($C61,'PORTIFÓLIO'!C:V,5,0),"")</f>
        <v/>
      </c>
      <c r="H61" s="254" t="str">
        <f t="array" ref="H61">IFERROR(INDEX('PORTIFÓLIO'!$H$4:$H$433,MATCH($C61,'PORTIFÓLIO'!$C$4:$C$433,0)),"")</f>
        <v/>
      </c>
      <c r="I61" s="256"/>
      <c r="J61" s="218">
        <f t="shared" si="6"/>
        <v>0</v>
      </c>
      <c r="K61" s="219" t="str">
        <f t="array" ref="K61">IFERROR(I61*INDEX('PORTIFÓLIO'!$S$4:$S$433,MATCH($C61,'PORTIFÓLIO'!$C$4:$C$433,0)),"")</f>
        <v/>
      </c>
      <c r="L61" s="219" t="str">
        <f t="array" ref="L61">IFERROR(J61*INDEX('PORTIFÓLIO'!$S$4:$S$433,MATCH($C61,'PORTIFÓLIO'!$C$4:$C$433,0)),"")</f>
        <v/>
      </c>
      <c r="M61" s="220"/>
      <c r="N61" s="220"/>
      <c r="O61" s="220"/>
      <c r="P61" s="220"/>
      <c r="Q61" s="220"/>
      <c r="R61" s="220"/>
      <c r="S61" s="220"/>
      <c r="T61" s="220"/>
      <c r="U61" s="220"/>
      <c r="V61" s="220"/>
      <c r="W61" s="220"/>
    </row>
    <row r="62" ht="15.75" customHeight="1" outlineLevel="1">
      <c r="A62" s="211"/>
      <c r="B62" s="212"/>
      <c r="C62" s="213"/>
      <c r="D62" s="214" t="str">
        <f>IFERROR(VLOOKUP($C62,'PORTIFÓLIO'!C:V,2,0),"")</f>
        <v/>
      </c>
      <c r="E62" s="211" t="str">
        <f>IFERROR(VLOOKUP($C62,'PORTIFÓLIO'!C:V,3,0),"")</f>
        <v/>
      </c>
      <c r="F62" s="211" t="str">
        <f>IFERROR(VLOOKUP($C62,'PORTIFÓLIO'!C:V,4,0),"")</f>
        <v/>
      </c>
      <c r="G62" s="215" t="str">
        <f>IFERROR(VLOOKUP($C62,'PORTIFÓLIO'!C:V,5,0),"")</f>
        <v/>
      </c>
      <c r="H62" s="254" t="str">
        <f t="array" ref="H62">IFERROR(INDEX('PORTIFÓLIO'!$H$4:$H$433,MATCH($C62,'PORTIFÓLIO'!$C$4:$C$433,0)),"")</f>
        <v/>
      </c>
      <c r="I62" s="256"/>
      <c r="J62" s="218">
        <f t="shared" si="6"/>
        <v>0</v>
      </c>
      <c r="K62" s="219" t="str">
        <f t="array" ref="K62">IFERROR(I62*INDEX('PORTIFÓLIO'!$S$4:$S$433,MATCH($C62,'PORTIFÓLIO'!$C$4:$C$433,0)),"")</f>
        <v/>
      </c>
      <c r="L62" s="219" t="str">
        <f t="array" ref="L62">IFERROR(J62*INDEX('PORTIFÓLIO'!$S$4:$S$433,MATCH($C62,'PORTIFÓLIO'!$C$4:$C$433,0)),"")</f>
        <v/>
      </c>
      <c r="M62" s="220"/>
      <c r="N62" s="220"/>
      <c r="O62" s="220"/>
      <c r="P62" s="220"/>
      <c r="Q62" s="220"/>
      <c r="R62" s="220"/>
      <c r="S62" s="220"/>
      <c r="T62" s="220"/>
      <c r="U62" s="220"/>
      <c r="V62" s="220"/>
      <c r="W62" s="220"/>
    </row>
    <row r="63" ht="15.75" customHeight="1">
      <c r="A63" s="229" t="s">
        <v>1186</v>
      </c>
      <c r="B63" s="230"/>
      <c r="C63" s="231"/>
      <c r="D63" s="232"/>
      <c r="E63" s="231"/>
      <c r="F63" s="231"/>
      <c r="G63" s="233"/>
      <c r="H63" s="233"/>
      <c r="I63" s="258"/>
      <c r="J63" s="236"/>
      <c r="K63" s="237">
        <f t="shared" ref="K63:L63" si="7">SUBTOTAL(9,K64:K76)</f>
        <v>0</v>
      </c>
      <c r="L63" s="237">
        <f t="shared" si="7"/>
        <v>0</v>
      </c>
      <c r="M63" s="220"/>
      <c r="N63" s="220"/>
      <c r="O63" s="220"/>
      <c r="P63" s="220"/>
      <c r="Q63" s="220"/>
      <c r="R63" s="220"/>
      <c r="S63" s="220"/>
      <c r="T63" s="220"/>
      <c r="U63" s="220"/>
      <c r="V63" s="220"/>
      <c r="W63" s="220"/>
    </row>
    <row r="64" ht="15.75" customHeight="1" outlineLevel="1">
      <c r="A64" s="213"/>
      <c r="B64" s="212"/>
      <c r="C64" s="213"/>
      <c r="D64" s="214" t="str">
        <f>IFERROR(VLOOKUP($C64,'PORTIFÓLIO'!C:V,2,0),"")</f>
        <v/>
      </c>
      <c r="E64" s="211" t="str">
        <f>IFERROR(VLOOKUP($C64,'PORTIFÓLIO'!C:V,3,0),"")</f>
        <v/>
      </c>
      <c r="F64" s="211" t="str">
        <f>IFERROR(VLOOKUP($C64,'PORTIFÓLIO'!C:V,4,0),"")</f>
        <v/>
      </c>
      <c r="G64" s="215" t="str">
        <f>IFERROR(VLOOKUP($C64,'PORTIFÓLIO'!C:V,5,0),"")</f>
        <v/>
      </c>
      <c r="H64" s="254" t="str">
        <f t="array" ref="H64">IFERROR(INDEX('PORTIFÓLIO'!$H$4:$H$433,MATCH($C64,'PORTIFÓLIO'!$C$4:$C$433,0)),"")</f>
        <v/>
      </c>
      <c r="I64" s="255"/>
      <c r="J64" s="218">
        <f t="shared" ref="J64:J80" si="8">I64*$B$2</f>
        <v>0</v>
      </c>
      <c r="K64" s="219" t="str">
        <f t="array" ref="K64">IFERROR(I64*INDEX('PORTIFÓLIO'!$S$4:$S$433,MATCH($C64,'PORTIFÓLIO'!$C$4:$C$433,0)),"")</f>
        <v/>
      </c>
      <c r="L64" s="219" t="str">
        <f t="array" ref="L64">IFERROR(J64*INDEX('PORTIFÓLIO'!$S$4:$S$433,MATCH($C64,'PORTIFÓLIO'!$C$4:$C$433,0)),"")</f>
        <v/>
      </c>
      <c r="M64" s="220"/>
      <c r="N64" s="220"/>
      <c r="O64" s="220"/>
      <c r="P64" s="220"/>
      <c r="Q64" s="220"/>
      <c r="R64" s="220"/>
      <c r="S64" s="220"/>
      <c r="T64" s="220"/>
      <c r="U64" s="220"/>
      <c r="V64" s="220"/>
      <c r="W64" s="220"/>
    </row>
    <row r="65" ht="15.75" customHeight="1" outlineLevel="1">
      <c r="A65" s="211"/>
      <c r="B65" s="212"/>
      <c r="C65" s="213"/>
      <c r="D65" s="214" t="str">
        <f>IFERROR(VLOOKUP($C65,'PORTIFÓLIO'!C:V,2,0),"")</f>
        <v/>
      </c>
      <c r="E65" s="211" t="str">
        <f>IFERROR(VLOOKUP($C65,'PORTIFÓLIO'!C:V,3,0),"")</f>
        <v/>
      </c>
      <c r="F65" s="211" t="str">
        <f>IFERROR(VLOOKUP($C65,'PORTIFÓLIO'!C:V,4,0),"")</f>
        <v/>
      </c>
      <c r="G65" s="215" t="str">
        <f>IFERROR(VLOOKUP($C65,'PORTIFÓLIO'!C:V,5,0),"")</f>
        <v/>
      </c>
      <c r="H65" s="254" t="str">
        <f t="array" ref="H65">IFERROR(INDEX('PORTIFÓLIO'!$H$4:$H$433,MATCH($C65,'PORTIFÓLIO'!$C$4:$C$433,0)),"")</f>
        <v/>
      </c>
      <c r="I65" s="255"/>
      <c r="J65" s="218">
        <f t="shared" si="8"/>
        <v>0</v>
      </c>
      <c r="K65" s="219" t="str">
        <f t="array" ref="K65">IFERROR(I65*INDEX('PORTIFÓLIO'!$S$4:$S$433,MATCH($C65,'PORTIFÓLIO'!$C$4:$C$433,0)),"")</f>
        <v/>
      </c>
      <c r="L65" s="219" t="str">
        <f t="array" ref="L65">IFERROR(J65*INDEX('PORTIFÓLIO'!$S$4:$S$433,MATCH($C65,'PORTIFÓLIO'!$C$4:$C$433,0)),"")</f>
        <v/>
      </c>
      <c r="M65" s="220"/>
      <c r="N65" s="220"/>
      <c r="O65" s="220"/>
      <c r="P65" s="220"/>
      <c r="Q65" s="220"/>
      <c r="R65" s="220"/>
      <c r="S65" s="220"/>
      <c r="T65" s="220"/>
      <c r="U65" s="220"/>
      <c r="V65" s="220"/>
      <c r="W65" s="220"/>
    </row>
    <row r="66" ht="15.75" customHeight="1" outlineLevel="1">
      <c r="A66" s="211"/>
      <c r="B66" s="212"/>
      <c r="C66" s="213"/>
      <c r="D66" s="214" t="str">
        <f>IFERROR(VLOOKUP($C66,'PORTIFÓLIO'!C:V,2,0),"")</f>
        <v/>
      </c>
      <c r="E66" s="211" t="str">
        <f>IFERROR(VLOOKUP($C66,'PORTIFÓLIO'!C:V,3,0),"")</f>
        <v/>
      </c>
      <c r="F66" s="211" t="str">
        <f>IFERROR(VLOOKUP($C66,'PORTIFÓLIO'!C:V,4,0),"")</f>
        <v/>
      </c>
      <c r="G66" s="215" t="str">
        <f>IFERROR(VLOOKUP($C66,'PORTIFÓLIO'!C:V,5,0),"")</f>
        <v/>
      </c>
      <c r="H66" s="254" t="str">
        <f t="array" ref="H66">IFERROR(INDEX('PORTIFÓLIO'!$H$4:$H$433,MATCH($C66,'PORTIFÓLIO'!$C$4:$C$433,0)),"")</f>
        <v/>
      </c>
      <c r="I66" s="255"/>
      <c r="J66" s="218">
        <f t="shared" si="8"/>
        <v>0</v>
      </c>
      <c r="K66" s="219" t="str">
        <f t="array" ref="K66">IFERROR(I66*INDEX('PORTIFÓLIO'!$S$4:$S$433,MATCH($C66,'PORTIFÓLIO'!$C$4:$C$433,0)),"")</f>
        <v/>
      </c>
      <c r="L66" s="219" t="str">
        <f t="array" ref="L66">IFERROR(J66*INDEX('PORTIFÓLIO'!$S$4:$S$433,MATCH($C66,'PORTIFÓLIO'!$C$4:$C$433,0)),"")</f>
        <v/>
      </c>
      <c r="M66" s="220"/>
      <c r="N66" s="220"/>
      <c r="O66" s="220"/>
      <c r="P66" s="220"/>
      <c r="Q66" s="220"/>
      <c r="R66" s="220"/>
      <c r="S66" s="220"/>
      <c r="T66" s="220"/>
      <c r="U66" s="220"/>
      <c r="V66" s="220"/>
      <c r="W66" s="220"/>
    </row>
    <row r="67" ht="15.75" customHeight="1" outlineLevel="1">
      <c r="A67" s="211"/>
      <c r="B67" s="212"/>
      <c r="C67" s="213"/>
      <c r="D67" s="214" t="str">
        <f>IFERROR(VLOOKUP($C67,'PORTIFÓLIO'!C:V,2,0),"")</f>
        <v/>
      </c>
      <c r="E67" s="211" t="str">
        <f>IFERROR(VLOOKUP($C67,'PORTIFÓLIO'!C:V,3,0),"")</f>
        <v/>
      </c>
      <c r="F67" s="211" t="str">
        <f>IFERROR(VLOOKUP($C67,'PORTIFÓLIO'!C:V,4,0),"")</f>
        <v/>
      </c>
      <c r="G67" s="215" t="str">
        <f>IFERROR(VLOOKUP($C67,'PORTIFÓLIO'!C:V,5,0),"")</f>
        <v/>
      </c>
      <c r="H67" s="254" t="str">
        <f t="array" ref="H67">IFERROR(INDEX('PORTIFÓLIO'!$H$4:$H$433,MATCH($C67,'PORTIFÓLIO'!$C$4:$C$433,0)),"")</f>
        <v/>
      </c>
      <c r="I67" s="255"/>
      <c r="J67" s="218">
        <f t="shared" si="8"/>
        <v>0</v>
      </c>
      <c r="K67" s="219" t="str">
        <f t="array" ref="K67">IFERROR(I67*INDEX('PORTIFÓLIO'!$S$4:$S$433,MATCH($C67,'PORTIFÓLIO'!$C$4:$C$433,0)),"")</f>
        <v/>
      </c>
      <c r="L67" s="219" t="str">
        <f t="array" ref="L67">IFERROR(J67*INDEX('PORTIFÓLIO'!$S$4:$S$433,MATCH($C67,'PORTIFÓLIO'!$C$4:$C$433,0)),"")</f>
        <v/>
      </c>
      <c r="M67" s="220"/>
      <c r="N67" s="220"/>
      <c r="O67" s="220"/>
      <c r="P67" s="220"/>
      <c r="Q67" s="220"/>
      <c r="R67" s="220"/>
      <c r="S67" s="220"/>
      <c r="T67" s="220"/>
      <c r="U67" s="220"/>
      <c r="V67" s="220"/>
      <c r="W67" s="220"/>
    </row>
    <row r="68" ht="15.75" customHeight="1" outlineLevel="1">
      <c r="A68" s="211"/>
      <c r="B68" s="212"/>
      <c r="C68" s="213"/>
      <c r="D68" s="214" t="str">
        <f>IFERROR(VLOOKUP($C68,'PORTIFÓLIO'!C:V,2,0),"")</f>
        <v/>
      </c>
      <c r="E68" s="211" t="str">
        <f>IFERROR(VLOOKUP($C68,'PORTIFÓLIO'!C:V,3,0),"")</f>
        <v/>
      </c>
      <c r="F68" s="211" t="str">
        <f>IFERROR(VLOOKUP($C68,'PORTIFÓLIO'!C:V,4,0),"")</f>
        <v/>
      </c>
      <c r="G68" s="215" t="str">
        <f>IFERROR(VLOOKUP($C68,'PORTIFÓLIO'!C:V,5,0),"")</f>
        <v/>
      </c>
      <c r="H68" s="254" t="str">
        <f t="array" ref="H68">IFERROR(INDEX('PORTIFÓLIO'!$H$4:$H$433,MATCH($C68,'PORTIFÓLIO'!$C$4:$C$433,0)),"")</f>
        <v/>
      </c>
      <c r="I68" s="255"/>
      <c r="J68" s="218">
        <f t="shared" si="8"/>
        <v>0</v>
      </c>
      <c r="K68" s="219" t="str">
        <f t="array" ref="K68">IFERROR(I68*INDEX('PORTIFÓLIO'!$S$4:$S$433,MATCH($C68,'PORTIFÓLIO'!$C$4:$C$433,0)),"")</f>
        <v/>
      </c>
      <c r="L68" s="219" t="str">
        <f t="array" ref="L68">IFERROR(J68*INDEX('PORTIFÓLIO'!$S$4:$S$433,MATCH($C68,'PORTIFÓLIO'!$C$4:$C$433,0)),"")</f>
        <v/>
      </c>
      <c r="M68" s="220"/>
      <c r="N68" s="220"/>
      <c r="O68" s="220"/>
      <c r="P68" s="220"/>
      <c r="Q68" s="220"/>
      <c r="R68" s="220"/>
      <c r="S68" s="220"/>
      <c r="T68" s="220"/>
      <c r="U68" s="220"/>
      <c r="V68" s="220"/>
      <c r="W68" s="220"/>
    </row>
    <row r="69" ht="15.75" customHeight="1" outlineLevel="1">
      <c r="A69" s="211"/>
      <c r="B69" s="212"/>
      <c r="C69" s="213"/>
      <c r="D69" s="214" t="str">
        <f>IFERROR(VLOOKUP($C69,'PORTIFÓLIO'!C:V,2,0),"")</f>
        <v/>
      </c>
      <c r="E69" s="211" t="str">
        <f>IFERROR(VLOOKUP($C69,'PORTIFÓLIO'!C:V,3,0),"")</f>
        <v/>
      </c>
      <c r="F69" s="211" t="str">
        <f>IFERROR(VLOOKUP($C69,'PORTIFÓLIO'!C:V,4,0),"")</f>
        <v/>
      </c>
      <c r="G69" s="215" t="str">
        <f>IFERROR(VLOOKUP($C69,'PORTIFÓLIO'!C:V,5,0),"")</f>
        <v/>
      </c>
      <c r="H69" s="254" t="str">
        <f t="array" ref="H69">IFERROR(INDEX('PORTIFÓLIO'!$H$4:$H$433,MATCH($C69,'PORTIFÓLIO'!$C$4:$C$433,0)),"")</f>
        <v/>
      </c>
      <c r="I69" s="255"/>
      <c r="J69" s="218">
        <f t="shared" si="8"/>
        <v>0</v>
      </c>
      <c r="K69" s="219" t="str">
        <f t="array" ref="K69">IFERROR(I69*INDEX('PORTIFÓLIO'!$S$4:$S$433,MATCH($C69,'PORTIFÓLIO'!$C$4:$C$433,0)),"")</f>
        <v/>
      </c>
      <c r="L69" s="219" t="str">
        <f t="array" ref="L69">IFERROR(J69*INDEX('PORTIFÓLIO'!$S$4:$S$433,MATCH($C69,'PORTIFÓLIO'!$C$4:$C$433,0)),"")</f>
        <v/>
      </c>
      <c r="M69" s="220"/>
      <c r="N69" s="220"/>
      <c r="O69" s="220"/>
      <c r="P69" s="220"/>
      <c r="Q69" s="220"/>
      <c r="R69" s="220"/>
      <c r="S69" s="220"/>
      <c r="T69" s="220"/>
      <c r="U69" s="220"/>
      <c r="V69" s="220"/>
      <c r="W69" s="220"/>
    </row>
    <row r="70" ht="15.75" customHeight="1" outlineLevel="1">
      <c r="A70" s="211"/>
      <c r="B70" s="212"/>
      <c r="C70" s="213"/>
      <c r="D70" s="214" t="str">
        <f>IFERROR(VLOOKUP($C70,'PORTIFÓLIO'!C:V,2,0),"")</f>
        <v/>
      </c>
      <c r="E70" s="211" t="str">
        <f>IFERROR(VLOOKUP($C70,'PORTIFÓLIO'!C:V,3,0),"")</f>
        <v/>
      </c>
      <c r="F70" s="211" t="str">
        <f>IFERROR(VLOOKUP($C70,'PORTIFÓLIO'!C:V,4,0),"")</f>
        <v/>
      </c>
      <c r="G70" s="215" t="str">
        <f>IFERROR(VLOOKUP($C70,'PORTIFÓLIO'!C:V,5,0),"")</f>
        <v/>
      </c>
      <c r="H70" s="254" t="str">
        <f t="array" ref="H70">IFERROR(INDEX('PORTIFÓLIO'!$H$4:$H$433,MATCH($C70,'PORTIFÓLIO'!$C$4:$C$433,0)),"")</f>
        <v/>
      </c>
      <c r="I70" s="256"/>
      <c r="J70" s="218">
        <f t="shared" si="8"/>
        <v>0</v>
      </c>
      <c r="K70" s="219" t="str">
        <f t="array" ref="K70">IFERROR(I70*INDEX('PORTIFÓLIO'!$S$4:$S$433,MATCH($C70,'PORTIFÓLIO'!$C$4:$C$433,0)),"")</f>
        <v/>
      </c>
      <c r="L70" s="219" t="str">
        <f t="array" ref="L70">IFERROR(J70*INDEX('PORTIFÓLIO'!$S$4:$S$433,MATCH($C70,'PORTIFÓLIO'!$C$4:$C$433,0)),"")</f>
        <v/>
      </c>
      <c r="M70" s="220"/>
      <c r="N70" s="220"/>
      <c r="O70" s="220"/>
      <c r="P70" s="220"/>
      <c r="Q70" s="220"/>
      <c r="R70" s="220"/>
      <c r="S70" s="220"/>
      <c r="T70" s="220"/>
      <c r="U70" s="220"/>
      <c r="V70" s="220"/>
      <c r="W70" s="220"/>
    </row>
    <row r="71" ht="15.75" customHeight="1" outlineLevel="1">
      <c r="A71" s="211"/>
      <c r="B71" s="212"/>
      <c r="C71" s="213"/>
      <c r="D71" s="214" t="str">
        <f>IFERROR(VLOOKUP($C71,'PORTIFÓLIO'!C:V,2,0),"")</f>
        <v/>
      </c>
      <c r="E71" s="211" t="str">
        <f>IFERROR(VLOOKUP($C71,'PORTIFÓLIO'!C:V,3,0),"")</f>
        <v/>
      </c>
      <c r="F71" s="211" t="str">
        <f>IFERROR(VLOOKUP($C71,'PORTIFÓLIO'!C:V,4,0),"")</f>
        <v/>
      </c>
      <c r="G71" s="215" t="str">
        <f>IFERROR(VLOOKUP($C71,'PORTIFÓLIO'!C:V,5,0),"")</f>
        <v/>
      </c>
      <c r="H71" s="254" t="str">
        <f t="array" ref="H71">IFERROR(INDEX('PORTIFÓLIO'!$H$4:$H$433,MATCH($C71,'PORTIFÓLIO'!$C$4:$C$433,0)),"")</f>
        <v/>
      </c>
      <c r="I71" s="256"/>
      <c r="J71" s="218">
        <f t="shared" si="8"/>
        <v>0</v>
      </c>
      <c r="K71" s="219" t="str">
        <f t="array" ref="K71">IFERROR(I71*INDEX('PORTIFÓLIO'!$S$4:$S$433,MATCH($C71,'PORTIFÓLIO'!$C$4:$C$433,0)),"")</f>
        <v/>
      </c>
      <c r="L71" s="219" t="str">
        <f t="array" ref="L71">IFERROR(J71*INDEX('PORTIFÓLIO'!$S$4:$S$433,MATCH($C71,'PORTIFÓLIO'!$C$4:$C$433,0)),"")</f>
        <v/>
      </c>
      <c r="M71" s="220"/>
      <c r="N71" s="220"/>
      <c r="O71" s="220"/>
      <c r="P71" s="220"/>
      <c r="Q71" s="220"/>
      <c r="R71" s="220"/>
      <c r="S71" s="220"/>
      <c r="T71" s="220"/>
      <c r="U71" s="220"/>
      <c r="V71" s="220"/>
      <c r="W71" s="220"/>
    </row>
    <row r="72" ht="15.75" customHeight="1" outlineLevel="1">
      <c r="A72" s="211"/>
      <c r="B72" s="212"/>
      <c r="C72" s="213"/>
      <c r="D72" s="214" t="str">
        <f>IFERROR(VLOOKUP($C72,'PORTIFÓLIO'!C:V,2,0),"")</f>
        <v/>
      </c>
      <c r="E72" s="211" t="str">
        <f>IFERROR(VLOOKUP($C72,'PORTIFÓLIO'!C:V,3,0),"")</f>
        <v/>
      </c>
      <c r="F72" s="211" t="str">
        <f>IFERROR(VLOOKUP($C72,'PORTIFÓLIO'!C:V,4,0),"")</f>
        <v/>
      </c>
      <c r="G72" s="215" t="str">
        <f>IFERROR(VLOOKUP($C72,'PORTIFÓLIO'!C:V,5,0),"")</f>
        <v/>
      </c>
      <c r="H72" s="254" t="str">
        <f t="array" ref="H72">IFERROR(INDEX('PORTIFÓLIO'!$H$4:$H$433,MATCH($C72,'PORTIFÓLIO'!$C$4:$C$433,0)),"")</f>
        <v/>
      </c>
      <c r="I72" s="255"/>
      <c r="J72" s="218">
        <f t="shared" si="8"/>
        <v>0</v>
      </c>
      <c r="K72" s="219" t="str">
        <f t="array" ref="K72">IFERROR(I72*INDEX('PORTIFÓLIO'!$S$4:$S$433,MATCH($C72,'PORTIFÓLIO'!$C$4:$C$433,0)),"")</f>
        <v/>
      </c>
      <c r="L72" s="219" t="str">
        <f t="array" ref="L72">IFERROR(J72*INDEX('PORTIFÓLIO'!$S$4:$S$433,MATCH($C72,'PORTIFÓLIO'!$C$4:$C$433,0)),"")</f>
        <v/>
      </c>
      <c r="M72" s="220"/>
      <c r="N72" s="220"/>
      <c r="O72" s="220"/>
      <c r="P72" s="220"/>
      <c r="Q72" s="220"/>
      <c r="R72" s="220"/>
      <c r="S72" s="220"/>
      <c r="T72" s="220"/>
      <c r="U72" s="220"/>
      <c r="V72" s="220"/>
      <c r="W72" s="220"/>
    </row>
    <row r="73" ht="15.75" customHeight="1" outlineLevel="1">
      <c r="A73" s="211"/>
      <c r="B73" s="212"/>
      <c r="C73" s="213"/>
      <c r="D73" s="214" t="str">
        <f>IFERROR(VLOOKUP($C73,'PORTIFÓLIO'!C:V,2,0),"")</f>
        <v/>
      </c>
      <c r="E73" s="211" t="str">
        <f>IFERROR(VLOOKUP($C73,'PORTIFÓLIO'!C:V,3,0),"")</f>
        <v/>
      </c>
      <c r="F73" s="211" t="str">
        <f>IFERROR(VLOOKUP($C73,'PORTIFÓLIO'!C:V,4,0),"")</f>
        <v/>
      </c>
      <c r="G73" s="215" t="str">
        <f>IFERROR(VLOOKUP($C73,'PORTIFÓLIO'!C:V,5,0),"")</f>
        <v/>
      </c>
      <c r="H73" s="254" t="str">
        <f t="array" ref="H73">IFERROR(INDEX('PORTIFÓLIO'!$H$4:$H$433,MATCH($C73,'PORTIFÓLIO'!$C$4:$C$433,0)),"")</f>
        <v/>
      </c>
      <c r="I73" s="256"/>
      <c r="J73" s="218">
        <f t="shared" si="8"/>
        <v>0</v>
      </c>
      <c r="K73" s="219" t="str">
        <f t="array" ref="K73">IFERROR(I73*INDEX('PORTIFÓLIO'!$S$4:$S$433,MATCH($C73,'PORTIFÓLIO'!$C$4:$C$433,0)),"")</f>
        <v/>
      </c>
      <c r="L73" s="219" t="str">
        <f t="array" ref="L73">IFERROR(J73*INDEX('PORTIFÓLIO'!$S$4:$S$433,MATCH($C73,'PORTIFÓLIO'!$C$4:$C$433,0)),"")</f>
        <v/>
      </c>
      <c r="M73" s="220"/>
      <c r="N73" s="220"/>
      <c r="O73" s="220"/>
      <c r="P73" s="220"/>
      <c r="Q73" s="220"/>
      <c r="R73" s="220"/>
      <c r="S73" s="220"/>
      <c r="T73" s="220"/>
      <c r="U73" s="220"/>
      <c r="V73" s="220"/>
      <c r="W73" s="220"/>
    </row>
    <row r="74" ht="15.75" customHeight="1" outlineLevel="1">
      <c r="A74" s="211"/>
      <c r="B74" s="212"/>
      <c r="C74" s="213"/>
      <c r="D74" s="214" t="str">
        <f>IFERROR(VLOOKUP($C74,'PORTIFÓLIO'!C:V,2,0),"")</f>
        <v/>
      </c>
      <c r="E74" s="211" t="str">
        <f>IFERROR(VLOOKUP($C74,'PORTIFÓLIO'!C:V,3,0),"")</f>
        <v/>
      </c>
      <c r="F74" s="211" t="str">
        <f>IFERROR(VLOOKUP($C74,'PORTIFÓLIO'!C:V,4,0),"")</f>
        <v/>
      </c>
      <c r="G74" s="215" t="str">
        <f>IFERROR(VLOOKUP($C74,'PORTIFÓLIO'!C:V,5,0),"")</f>
        <v/>
      </c>
      <c r="H74" s="254" t="str">
        <f t="array" ref="H74">IFERROR(INDEX('PORTIFÓLIO'!$H$4:$H$433,MATCH($C74,'PORTIFÓLIO'!$C$4:$C$433,0)),"")</f>
        <v/>
      </c>
      <c r="I74" s="256"/>
      <c r="J74" s="218">
        <f t="shared" si="8"/>
        <v>0</v>
      </c>
      <c r="K74" s="219" t="str">
        <f t="array" ref="K74">IFERROR(I74*INDEX('PORTIFÓLIO'!$S$4:$S$433,MATCH($C74,'PORTIFÓLIO'!$C$4:$C$433,0)),"")</f>
        <v/>
      </c>
      <c r="L74" s="219" t="str">
        <f t="array" ref="L74">IFERROR(J74*INDEX('PORTIFÓLIO'!$S$4:$S$433,MATCH($C74,'PORTIFÓLIO'!$C$4:$C$433,0)),"")</f>
        <v/>
      </c>
      <c r="M74" s="220"/>
      <c r="N74" s="220"/>
      <c r="O74" s="220"/>
      <c r="P74" s="220"/>
      <c r="Q74" s="220"/>
      <c r="R74" s="220"/>
      <c r="S74" s="220"/>
      <c r="T74" s="220"/>
      <c r="U74" s="220"/>
      <c r="V74" s="220"/>
      <c r="W74" s="220"/>
    </row>
    <row r="75" ht="15.75" customHeight="1" outlineLevel="1">
      <c r="A75" s="211"/>
      <c r="B75" s="212"/>
      <c r="C75" s="213"/>
      <c r="D75" s="214" t="str">
        <f>IFERROR(VLOOKUP($C75,'PORTIFÓLIO'!C:V,2,0),"")</f>
        <v/>
      </c>
      <c r="E75" s="211" t="str">
        <f>IFERROR(VLOOKUP($C75,'PORTIFÓLIO'!C:V,3,0),"")</f>
        <v/>
      </c>
      <c r="F75" s="211" t="str">
        <f>IFERROR(VLOOKUP($C75,'PORTIFÓLIO'!C:V,4,0),"")</f>
        <v/>
      </c>
      <c r="G75" s="215" t="str">
        <f>IFERROR(VLOOKUP($C75,'PORTIFÓLIO'!C:V,5,0),"")</f>
        <v/>
      </c>
      <c r="H75" s="254" t="str">
        <f t="array" ref="H75">IFERROR(INDEX('PORTIFÓLIO'!$H$4:$H$433,MATCH($C75,'PORTIFÓLIO'!$C$4:$C$433,0)),"")</f>
        <v/>
      </c>
      <c r="I75" s="256"/>
      <c r="J75" s="218">
        <f t="shared" si="8"/>
        <v>0</v>
      </c>
      <c r="K75" s="219" t="str">
        <f t="array" ref="K75">IFERROR(I75*INDEX('PORTIFÓLIO'!$S$4:$S$433,MATCH($C75,'PORTIFÓLIO'!$C$4:$C$433,0)),"")</f>
        <v/>
      </c>
      <c r="L75" s="219" t="str">
        <f t="array" ref="L75">IFERROR(J75*INDEX('PORTIFÓLIO'!$S$4:$S$433,MATCH($C75,'PORTIFÓLIO'!$C$4:$C$433,0)),"")</f>
        <v/>
      </c>
      <c r="M75" s="220"/>
      <c r="N75" s="220"/>
      <c r="O75" s="220"/>
      <c r="P75" s="220"/>
      <c r="Q75" s="220"/>
      <c r="R75" s="220"/>
      <c r="S75" s="220"/>
      <c r="T75" s="220"/>
      <c r="U75" s="220"/>
      <c r="V75" s="220"/>
      <c r="W75" s="220"/>
    </row>
    <row r="76" ht="15.75" customHeight="1" outlineLevel="1">
      <c r="A76" s="211"/>
      <c r="B76" s="212"/>
      <c r="C76" s="213"/>
      <c r="D76" s="214" t="str">
        <f>IFERROR(VLOOKUP($C76,'PORTIFÓLIO'!C:V,2,0),"")</f>
        <v/>
      </c>
      <c r="E76" s="211" t="str">
        <f>IFERROR(VLOOKUP($C76,'PORTIFÓLIO'!C:V,3,0),"")</f>
        <v/>
      </c>
      <c r="F76" s="211" t="str">
        <f>IFERROR(VLOOKUP($C76,'PORTIFÓLIO'!C:V,4,0),"")</f>
        <v/>
      </c>
      <c r="G76" s="215" t="str">
        <f>IFERROR(VLOOKUP($C76,'PORTIFÓLIO'!C:V,5,0),"")</f>
        <v/>
      </c>
      <c r="H76" s="254" t="str">
        <f t="array" ref="H76">IFERROR(INDEX('PORTIFÓLIO'!$H$4:$H$433,MATCH($C76,'PORTIFÓLIO'!$C$4:$C$433,0)),"")</f>
        <v/>
      </c>
      <c r="I76" s="256"/>
      <c r="J76" s="218">
        <f t="shared" si="8"/>
        <v>0</v>
      </c>
      <c r="K76" s="219" t="str">
        <f t="array" ref="K76">IFERROR(I76*INDEX('PORTIFÓLIO'!$S$4:$S$433,MATCH($C76,'PORTIFÓLIO'!$C$4:$C$433,0)),"")</f>
        <v/>
      </c>
      <c r="L76" s="219" t="str">
        <f t="array" ref="L76">IFERROR(J76*INDEX('PORTIFÓLIO'!$S$4:$S$433,MATCH($C76,'PORTIFÓLIO'!$C$4:$C$433,0)),"")</f>
        <v/>
      </c>
      <c r="M76" s="220"/>
      <c r="N76" s="220"/>
      <c r="O76" s="220"/>
      <c r="P76" s="220"/>
      <c r="Q76" s="220"/>
      <c r="R76" s="220"/>
      <c r="S76" s="220"/>
      <c r="T76" s="220"/>
      <c r="U76" s="220"/>
      <c r="V76" s="220"/>
      <c r="W76" s="220"/>
    </row>
    <row r="77" ht="15.75" customHeight="1" outlineLevel="1">
      <c r="A77" s="211"/>
      <c r="B77" s="212"/>
      <c r="C77" s="213"/>
      <c r="D77" s="214" t="str">
        <f>IFERROR(VLOOKUP($C77,'PORTIFÓLIO'!C:V,2,0),"")</f>
        <v/>
      </c>
      <c r="E77" s="211" t="str">
        <f>IFERROR(VLOOKUP($C77,'PORTIFÓLIO'!C:V,3,0),"")</f>
        <v/>
      </c>
      <c r="F77" s="211" t="str">
        <f>IFERROR(VLOOKUP($C77,'PORTIFÓLIO'!C:V,4,0),"")</f>
        <v/>
      </c>
      <c r="G77" s="215" t="str">
        <f>IFERROR(VLOOKUP($C77,'PORTIFÓLIO'!C:V,5,0),"")</f>
        <v/>
      </c>
      <c r="H77" s="254" t="str">
        <f t="array" ref="H77">IFERROR(INDEX('PORTIFÓLIO'!$H$4:$H$433,MATCH($C77,'PORTIFÓLIO'!$C$4:$C$433,0)),"")</f>
        <v/>
      </c>
      <c r="I77" s="256"/>
      <c r="J77" s="218">
        <f t="shared" si="8"/>
        <v>0</v>
      </c>
      <c r="K77" s="219" t="str">
        <f t="array" ref="K77">IFERROR(I77*INDEX('PORTIFÓLIO'!$S$4:$S$433,MATCH($C77,'PORTIFÓLIO'!$C$4:$C$433,0)),"")</f>
        <v/>
      </c>
      <c r="L77" s="219" t="str">
        <f t="array" ref="L77">IFERROR(J77*INDEX('PORTIFÓLIO'!$S$4:$S$433,MATCH($C77,'PORTIFÓLIO'!$C$4:$C$433,0)),"")</f>
        <v/>
      </c>
      <c r="M77" s="220"/>
      <c r="N77" s="220"/>
      <c r="O77" s="220"/>
      <c r="P77" s="220"/>
      <c r="Q77" s="220"/>
      <c r="R77" s="220"/>
      <c r="S77" s="220"/>
      <c r="T77" s="220"/>
      <c r="U77" s="220"/>
      <c r="V77" s="220"/>
      <c r="W77" s="220"/>
    </row>
    <row r="78" ht="15.75" customHeight="1" outlineLevel="1">
      <c r="A78" s="211"/>
      <c r="B78" s="212"/>
      <c r="C78" s="213"/>
      <c r="D78" s="214" t="str">
        <f>IFERROR(VLOOKUP($C78,'PORTIFÓLIO'!C:V,2,0),"")</f>
        <v/>
      </c>
      <c r="E78" s="211" t="str">
        <f>IFERROR(VLOOKUP($C78,'PORTIFÓLIO'!C:V,3,0),"")</f>
        <v/>
      </c>
      <c r="F78" s="211" t="str">
        <f>IFERROR(VLOOKUP($C78,'PORTIFÓLIO'!C:V,4,0),"")</f>
        <v/>
      </c>
      <c r="G78" s="215" t="str">
        <f>IFERROR(VLOOKUP($C78,'PORTIFÓLIO'!C:V,5,0),"")</f>
        <v/>
      </c>
      <c r="H78" s="254" t="str">
        <f t="array" ref="H78">IFERROR(INDEX('PORTIFÓLIO'!$H$4:$H$433,MATCH($C78,'PORTIFÓLIO'!$C$4:$C$433,0)),"")</f>
        <v/>
      </c>
      <c r="I78" s="256"/>
      <c r="J78" s="218">
        <f t="shared" si="8"/>
        <v>0</v>
      </c>
      <c r="K78" s="219" t="str">
        <f t="array" ref="K78">IFERROR(I78*INDEX('PORTIFÓLIO'!$S$4:$S$433,MATCH($C78,'PORTIFÓLIO'!$C$4:$C$433,0)),"")</f>
        <v/>
      </c>
      <c r="L78" s="219" t="str">
        <f t="array" ref="L78">IFERROR(J78*INDEX('PORTIFÓLIO'!$S$4:$S$433,MATCH($C78,'PORTIFÓLIO'!$C$4:$C$433,0)),"")</f>
        <v/>
      </c>
      <c r="M78" s="220"/>
      <c r="N78" s="220"/>
      <c r="O78" s="220"/>
      <c r="P78" s="220"/>
      <c r="Q78" s="220"/>
      <c r="R78" s="220"/>
      <c r="S78" s="220"/>
      <c r="T78" s="220"/>
      <c r="U78" s="220"/>
      <c r="V78" s="220"/>
      <c r="W78" s="220"/>
    </row>
    <row r="79" ht="15.75" customHeight="1" outlineLevel="1">
      <c r="A79" s="211"/>
      <c r="B79" s="212"/>
      <c r="C79" s="213"/>
      <c r="D79" s="214" t="str">
        <f>IFERROR(VLOOKUP($C79,'PORTIFÓLIO'!C:V,2,0),"")</f>
        <v/>
      </c>
      <c r="E79" s="211" t="str">
        <f>IFERROR(VLOOKUP($C79,'PORTIFÓLIO'!C:V,3,0),"")</f>
        <v/>
      </c>
      <c r="F79" s="211" t="str">
        <f>IFERROR(VLOOKUP($C79,'PORTIFÓLIO'!C:V,4,0),"")</f>
        <v/>
      </c>
      <c r="G79" s="215" t="str">
        <f>IFERROR(VLOOKUP($C79,'PORTIFÓLIO'!C:V,5,0),"")</f>
        <v/>
      </c>
      <c r="H79" s="254" t="str">
        <f t="array" ref="H79">IFERROR(INDEX('PORTIFÓLIO'!$H$4:$H$433,MATCH($C79,'PORTIFÓLIO'!$C$4:$C$433,0)),"")</f>
        <v/>
      </c>
      <c r="I79" s="256"/>
      <c r="J79" s="218">
        <f t="shared" si="8"/>
        <v>0</v>
      </c>
      <c r="K79" s="219" t="str">
        <f t="array" ref="K79">IFERROR(I79*INDEX('PORTIFÓLIO'!$S$4:$S$433,MATCH($C79,'PORTIFÓLIO'!$C$4:$C$433,0)),"")</f>
        <v/>
      </c>
      <c r="L79" s="219" t="str">
        <f t="array" ref="L79">IFERROR(J79*INDEX('PORTIFÓLIO'!$S$4:$S$433,MATCH($C79,'PORTIFÓLIO'!$C$4:$C$433,0)),"")</f>
        <v/>
      </c>
      <c r="M79" s="220"/>
      <c r="N79" s="220"/>
      <c r="O79" s="220"/>
      <c r="P79" s="220"/>
      <c r="Q79" s="220"/>
      <c r="R79" s="220"/>
      <c r="S79" s="220"/>
      <c r="T79" s="220"/>
      <c r="U79" s="220"/>
      <c r="V79" s="220"/>
      <c r="W79" s="220"/>
    </row>
    <row r="80" ht="15.75" customHeight="1" outlineLevel="1">
      <c r="A80" s="211"/>
      <c r="B80" s="212"/>
      <c r="C80" s="213"/>
      <c r="D80" s="214" t="str">
        <f>IFERROR(VLOOKUP($C80,'PORTIFÓLIO'!C:V,2,0),"")</f>
        <v/>
      </c>
      <c r="E80" s="211" t="str">
        <f>IFERROR(VLOOKUP($C80,'PORTIFÓLIO'!C:V,3,0),"")</f>
        <v/>
      </c>
      <c r="F80" s="211" t="str">
        <f>IFERROR(VLOOKUP($C80,'PORTIFÓLIO'!C:V,4,0),"")</f>
        <v/>
      </c>
      <c r="G80" s="215" t="str">
        <f>IFERROR(VLOOKUP($C80,'PORTIFÓLIO'!C:V,5,0),"")</f>
        <v/>
      </c>
      <c r="H80" s="254" t="str">
        <f t="array" ref="H80">IFERROR(INDEX('PORTIFÓLIO'!$H$4:$H$433,MATCH($C80,'PORTIFÓLIO'!$C$4:$C$433,0)),"")</f>
        <v/>
      </c>
      <c r="I80" s="256"/>
      <c r="J80" s="218">
        <f t="shared" si="8"/>
        <v>0</v>
      </c>
      <c r="K80" s="219" t="str">
        <f t="array" ref="K80">IFERROR(I80*INDEX('PORTIFÓLIO'!$S$4:$S$433,MATCH($C80,'PORTIFÓLIO'!$C$4:$C$433,0)),"")</f>
        <v/>
      </c>
      <c r="L80" s="219" t="str">
        <f t="array" ref="L80">IFERROR(J80*INDEX('PORTIFÓLIO'!$S$4:$S$433,MATCH($C80,'PORTIFÓLIO'!$C$4:$C$433,0)),"")</f>
        <v/>
      </c>
      <c r="M80" s="220"/>
      <c r="N80" s="220"/>
      <c r="O80" s="220"/>
      <c r="P80" s="220"/>
      <c r="Q80" s="220"/>
      <c r="R80" s="220"/>
      <c r="S80" s="220"/>
      <c r="T80" s="220"/>
      <c r="U80" s="220"/>
      <c r="V80" s="220"/>
      <c r="W80" s="220"/>
    </row>
    <row r="81" ht="15.75" customHeight="1">
      <c r="A81" s="229" t="s">
        <v>1188</v>
      </c>
      <c r="B81" s="230"/>
      <c r="C81" s="231"/>
      <c r="D81" s="232" t="s">
        <v>216</v>
      </c>
      <c r="E81" s="231"/>
      <c r="F81" s="231"/>
      <c r="G81" s="233"/>
      <c r="H81" s="233"/>
      <c r="I81" s="258"/>
      <c r="J81" s="236"/>
      <c r="K81" s="237">
        <f t="shared" ref="K81:L81" si="9">SUBTOTAL(9,K82:K95)</f>
        <v>0</v>
      </c>
      <c r="L81" s="237">
        <f t="shared" si="9"/>
        <v>0</v>
      </c>
      <c r="M81" s="220"/>
      <c r="N81" s="220"/>
      <c r="O81" s="220"/>
      <c r="P81" s="220"/>
      <c r="Q81" s="220"/>
      <c r="R81" s="220"/>
      <c r="S81" s="220"/>
      <c r="T81" s="220"/>
      <c r="U81" s="220"/>
      <c r="V81" s="220"/>
      <c r="W81" s="220"/>
    </row>
    <row r="82" ht="15.75" customHeight="1" outlineLevel="1">
      <c r="A82" s="213"/>
      <c r="B82" s="212"/>
      <c r="C82" s="213"/>
      <c r="D82" s="214" t="str">
        <f>IFERROR(VLOOKUP($C82,'PORTIFÓLIO'!C:V,2,0),"")</f>
        <v/>
      </c>
      <c r="E82" s="211" t="str">
        <f>IFERROR(VLOOKUP($C82,'PORTIFÓLIO'!C:V,3,0),"")</f>
        <v/>
      </c>
      <c r="F82" s="211" t="str">
        <f>IFERROR(VLOOKUP($C82,'PORTIFÓLIO'!C:V,4,0),"")</f>
        <v/>
      </c>
      <c r="G82" s="215" t="str">
        <f>IFERROR(VLOOKUP($C82,'PORTIFÓLIO'!C:V,5,0),"")</f>
        <v/>
      </c>
      <c r="H82" s="254" t="str">
        <f t="array" ref="H82">IFERROR(INDEX('PORTIFÓLIO'!$H$4:$H$433,MATCH($C82,'PORTIFÓLIO'!$C$4:$C$433,0)),"")</f>
        <v/>
      </c>
      <c r="I82" s="255"/>
      <c r="J82" s="218">
        <f t="shared" ref="J82:J96" si="10">I82*$B$2</f>
        <v>0</v>
      </c>
      <c r="K82" s="219" t="str">
        <f t="array" ref="K82">IFERROR(I82*INDEX('PORTIFÓLIO'!$S$4:$S$433,MATCH($C82,'PORTIFÓLIO'!$C$4:$C$433,0)),"")</f>
        <v/>
      </c>
      <c r="L82" s="219" t="str">
        <f t="array" ref="L82">IFERROR(J82*INDEX('PORTIFÓLIO'!$S$4:$S$433,MATCH($C82,'PORTIFÓLIO'!$C$4:$C$433,0)),"")</f>
        <v/>
      </c>
      <c r="M82" s="220"/>
      <c r="N82" s="220"/>
      <c r="O82" s="220"/>
      <c r="P82" s="220"/>
      <c r="Q82" s="220"/>
      <c r="R82" s="220"/>
      <c r="S82" s="220"/>
      <c r="T82" s="220"/>
      <c r="U82" s="220"/>
      <c r="V82" s="220"/>
      <c r="W82" s="220"/>
    </row>
    <row r="83" ht="15.75" customHeight="1" outlineLevel="1">
      <c r="A83" s="211"/>
      <c r="B83" s="212"/>
      <c r="C83" s="213"/>
      <c r="D83" s="214" t="str">
        <f>IFERROR(VLOOKUP($C83,'PORTIFÓLIO'!C:V,2,0),"")</f>
        <v/>
      </c>
      <c r="E83" s="211" t="str">
        <f>IFERROR(VLOOKUP($C83,'PORTIFÓLIO'!C:V,3,0),"")</f>
        <v/>
      </c>
      <c r="F83" s="211" t="str">
        <f>IFERROR(VLOOKUP($C83,'PORTIFÓLIO'!C:V,4,0),"")</f>
        <v/>
      </c>
      <c r="G83" s="215" t="str">
        <f>IFERROR(VLOOKUP($C83,'PORTIFÓLIO'!C:V,5,0),"")</f>
        <v/>
      </c>
      <c r="H83" s="254" t="str">
        <f t="array" ref="H83">IFERROR(INDEX('PORTIFÓLIO'!$H$4:$H$433,MATCH($C83,'PORTIFÓLIO'!$C$4:$C$433,0)),"")</f>
        <v/>
      </c>
      <c r="I83" s="255"/>
      <c r="J83" s="218">
        <f t="shared" si="10"/>
        <v>0</v>
      </c>
      <c r="K83" s="219" t="str">
        <f t="array" ref="K83">IFERROR(I83*INDEX('PORTIFÓLIO'!$S$4:$S$433,MATCH($C83,'PORTIFÓLIO'!$C$4:$C$433,0)),"")</f>
        <v/>
      </c>
      <c r="L83" s="219" t="str">
        <f t="array" ref="L83">IFERROR(J83*INDEX('PORTIFÓLIO'!$S$4:$S$433,MATCH($C83,'PORTIFÓLIO'!$C$4:$C$433,0)),"")</f>
        <v/>
      </c>
      <c r="M83" s="220"/>
      <c r="N83" s="220"/>
      <c r="O83" s="220"/>
      <c r="P83" s="220"/>
      <c r="Q83" s="220"/>
      <c r="R83" s="220"/>
      <c r="S83" s="220"/>
      <c r="T83" s="220"/>
      <c r="U83" s="220"/>
      <c r="V83" s="220"/>
      <c r="W83" s="220"/>
    </row>
    <row r="84" ht="15.75" customHeight="1" outlineLevel="1">
      <c r="A84" s="211"/>
      <c r="B84" s="212"/>
      <c r="C84" s="213"/>
      <c r="D84" s="214" t="str">
        <f>IFERROR(VLOOKUP($C84,'PORTIFÓLIO'!C:V,2,0),"")</f>
        <v/>
      </c>
      <c r="E84" s="211" t="str">
        <f>IFERROR(VLOOKUP($C84,'PORTIFÓLIO'!C:V,3,0),"")</f>
        <v/>
      </c>
      <c r="F84" s="211" t="str">
        <f>IFERROR(VLOOKUP($C84,'PORTIFÓLIO'!C:V,4,0),"")</f>
        <v/>
      </c>
      <c r="G84" s="215" t="str">
        <f>IFERROR(VLOOKUP($C84,'PORTIFÓLIO'!C:V,5,0),"")</f>
        <v/>
      </c>
      <c r="H84" s="254" t="str">
        <f t="array" ref="H84">IFERROR(INDEX('PORTIFÓLIO'!$H$4:$H$433,MATCH($C84,'PORTIFÓLIO'!$C$4:$C$433,0)),"")</f>
        <v/>
      </c>
      <c r="I84" s="255"/>
      <c r="J84" s="218">
        <f t="shared" si="10"/>
        <v>0</v>
      </c>
      <c r="K84" s="219" t="str">
        <f t="array" ref="K84">IFERROR(I84*INDEX('PORTIFÓLIO'!$S$4:$S$433,MATCH($C84,'PORTIFÓLIO'!$C$4:$C$433,0)),"")</f>
        <v/>
      </c>
      <c r="L84" s="219" t="str">
        <f t="array" ref="L84">IFERROR(J84*INDEX('PORTIFÓLIO'!$S$4:$S$433,MATCH($C84,'PORTIFÓLIO'!$C$4:$C$433,0)),"")</f>
        <v/>
      </c>
      <c r="M84" s="220"/>
      <c r="N84" s="220"/>
      <c r="O84" s="220"/>
      <c r="P84" s="220"/>
      <c r="Q84" s="220"/>
      <c r="R84" s="220"/>
      <c r="S84" s="220"/>
      <c r="T84" s="220"/>
      <c r="U84" s="220"/>
      <c r="V84" s="220"/>
      <c r="W84" s="220"/>
    </row>
    <row r="85" ht="15.75" customHeight="1" outlineLevel="1">
      <c r="A85" s="211"/>
      <c r="B85" s="212"/>
      <c r="C85" s="213"/>
      <c r="D85" s="214" t="str">
        <f>IFERROR(VLOOKUP($C85,'PORTIFÓLIO'!C:V,2,0),"")</f>
        <v/>
      </c>
      <c r="E85" s="211" t="str">
        <f>IFERROR(VLOOKUP($C85,'PORTIFÓLIO'!C:V,3,0),"")</f>
        <v/>
      </c>
      <c r="F85" s="211" t="str">
        <f>IFERROR(VLOOKUP($C85,'PORTIFÓLIO'!C:V,4,0),"")</f>
        <v/>
      </c>
      <c r="G85" s="215" t="str">
        <f>IFERROR(VLOOKUP($C85,'PORTIFÓLIO'!C:V,5,0),"")</f>
        <v/>
      </c>
      <c r="H85" s="254" t="str">
        <f t="array" ref="H85">IFERROR(INDEX('PORTIFÓLIO'!$H$4:$H$433,MATCH($C85,'PORTIFÓLIO'!$C$4:$C$433,0)),"")</f>
        <v/>
      </c>
      <c r="I85" s="255"/>
      <c r="J85" s="218">
        <f t="shared" si="10"/>
        <v>0</v>
      </c>
      <c r="K85" s="219" t="str">
        <f t="array" ref="K85">IFERROR(I85*INDEX('PORTIFÓLIO'!$S$4:$S$433,MATCH($C85,'PORTIFÓLIO'!$C$4:$C$433,0)),"")</f>
        <v/>
      </c>
      <c r="L85" s="219" t="str">
        <f t="array" ref="L85">IFERROR(J85*INDEX('PORTIFÓLIO'!$S$4:$S$433,MATCH($C85,'PORTIFÓLIO'!$C$4:$C$433,0)),"")</f>
        <v/>
      </c>
      <c r="M85" s="220"/>
      <c r="N85" s="220"/>
      <c r="O85" s="220"/>
      <c r="P85" s="220"/>
      <c r="Q85" s="220"/>
      <c r="R85" s="220"/>
      <c r="S85" s="220"/>
      <c r="T85" s="220"/>
      <c r="U85" s="220"/>
      <c r="V85" s="220"/>
      <c r="W85" s="220"/>
    </row>
    <row r="86" ht="15.75" customHeight="1" outlineLevel="1">
      <c r="A86" s="211"/>
      <c r="B86" s="212"/>
      <c r="C86" s="213"/>
      <c r="D86" s="214" t="str">
        <f>IFERROR(VLOOKUP($C86,'PORTIFÓLIO'!C:V,2,0),"")</f>
        <v/>
      </c>
      <c r="E86" s="211" t="str">
        <f>IFERROR(VLOOKUP($C86,'PORTIFÓLIO'!C:V,3,0),"")</f>
        <v/>
      </c>
      <c r="F86" s="211" t="str">
        <f>IFERROR(VLOOKUP($C86,'PORTIFÓLIO'!C:V,4,0),"")</f>
        <v/>
      </c>
      <c r="G86" s="215" t="str">
        <f>IFERROR(VLOOKUP($C86,'PORTIFÓLIO'!C:V,5,0),"")</f>
        <v/>
      </c>
      <c r="H86" s="254" t="str">
        <f t="array" ref="H86">IFERROR(INDEX('PORTIFÓLIO'!$H$4:$H$433,MATCH($C86,'PORTIFÓLIO'!$C$4:$C$433,0)),"")</f>
        <v/>
      </c>
      <c r="I86" s="256"/>
      <c r="J86" s="218">
        <f t="shared" si="10"/>
        <v>0</v>
      </c>
      <c r="K86" s="219" t="str">
        <f t="array" ref="K86">IFERROR(I86*INDEX('PORTIFÓLIO'!$S$4:$S$433,MATCH($C86,'PORTIFÓLIO'!$C$4:$C$433,0)),"")</f>
        <v/>
      </c>
      <c r="L86" s="219" t="str">
        <f t="array" ref="L86">IFERROR(J86*INDEX('PORTIFÓLIO'!$S$4:$S$433,MATCH($C86,'PORTIFÓLIO'!$C$4:$C$433,0)),"")</f>
        <v/>
      </c>
      <c r="M86" s="220"/>
      <c r="N86" s="220"/>
      <c r="O86" s="220"/>
      <c r="P86" s="220"/>
      <c r="Q86" s="220"/>
      <c r="R86" s="220"/>
      <c r="S86" s="220"/>
      <c r="T86" s="220"/>
      <c r="U86" s="220"/>
      <c r="V86" s="220"/>
      <c r="W86" s="220"/>
    </row>
    <row r="87" ht="15.75" customHeight="1" outlineLevel="1">
      <c r="A87" s="211"/>
      <c r="B87" s="212"/>
      <c r="C87" s="213"/>
      <c r="D87" s="214" t="str">
        <f>IFERROR(VLOOKUP($C87,'PORTIFÓLIO'!C:V,2,0),"")</f>
        <v/>
      </c>
      <c r="E87" s="211" t="str">
        <f>IFERROR(VLOOKUP($C87,'PORTIFÓLIO'!C:V,3,0),"")</f>
        <v/>
      </c>
      <c r="F87" s="211" t="str">
        <f>IFERROR(VLOOKUP($C87,'PORTIFÓLIO'!C:V,4,0),"")</f>
        <v/>
      </c>
      <c r="G87" s="215" t="str">
        <f>IFERROR(VLOOKUP($C87,'PORTIFÓLIO'!C:V,5,0),"")</f>
        <v/>
      </c>
      <c r="H87" s="254" t="str">
        <f t="array" ref="H87">IFERROR(INDEX('PORTIFÓLIO'!$H$4:$H$433,MATCH($C87,'PORTIFÓLIO'!$C$4:$C$433,0)),"")</f>
        <v/>
      </c>
      <c r="I87" s="256"/>
      <c r="J87" s="218">
        <f t="shared" si="10"/>
        <v>0</v>
      </c>
      <c r="K87" s="219" t="str">
        <f t="array" ref="K87">IFERROR(I87*INDEX('PORTIFÓLIO'!$S$4:$S$433,MATCH($C87,'PORTIFÓLIO'!$C$4:$C$433,0)),"")</f>
        <v/>
      </c>
      <c r="L87" s="219" t="str">
        <f t="array" ref="L87">IFERROR(J87*INDEX('PORTIFÓLIO'!$S$4:$S$433,MATCH($C87,'PORTIFÓLIO'!$C$4:$C$433,0)),"")</f>
        <v/>
      </c>
      <c r="M87" s="220"/>
      <c r="N87" s="220"/>
      <c r="O87" s="220"/>
      <c r="P87" s="220"/>
      <c r="Q87" s="220"/>
      <c r="R87" s="220"/>
      <c r="S87" s="220"/>
      <c r="T87" s="220"/>
      <c r="U87" s="220"/>
      <c r="V87" s="220"/>
      <c r="W87" s="220"/>
    </row>
    <row r="88" ht="15.75" customHeight="1" outlineLevel="1">
      <c r="A88" s="211"/>
      <c r="B88" s="212"/>
      <c r="C88" s="213"/>
      <c r="D88" s="214" t="str">
        <f>IFERROR(VLOOKUP($C88,'PORTIFÓLIO'!C:V,2,0),"")</f>
        <v/>
      </c>
      <c r="E88" s="211" t="str">
        <f>IFERROR(VLOOKUP($C88,'PORTIFÓLIO'!C:V,3,0),"")</f>
        <v/>
      </c>
      <c r="F88" s="211" t="str">
        <f>IFERROR(VLOOKUP($C88,'PORTIFÓLIO'!C:V,4,0),"")</f>
        <v/>
      </c>
      <c r="G88" s="215" t="str">
        <f>IFERROR(VLOOKUP($C88,'PORTIFÓLIO'!C:V,5,0),"")</f>
        <v/>
      </c>
      <c r="H88" s="254" t="str">
        <f t="array" ref="H88">IFERROR(INDEX('PORTIFÓLIO'!$H$4:$H$433,MATCH($C88,'PORTIFÓLIO'!$C$4:$C$433,0)),"")</f>
        <v/>
      </c>
      <c r="I88" s="256"/>
      <c r="J88" s="218">
        <f t="shared" si="10"/>
        <v>0</v>
      </c>
      <c r="K88" s="219" t="str">
        <f t="array" ref="K88">IFERROR(I88*INDEX('PORTIFÓLIO'!$S$4:$S$433,MATCH($C88,'PORTIFÓLIO'!$C$4:$C$433,0)),"")</f>
        <v/>
      </c>
      <c r="L88" s="219" t="str">
        <f t="array" ref="L88">IFERROR(J88*INDEX('PORTIFÓLIO'!$S$4:$S$433,MATCH($C88,'PORTIFÓLIO'!$C$4:$C$433,0)),"")</f>
        <v/>
      </c>
      <c r="M88" s="220"/>
      <c r="N88" s="220"/>
      <c r="O88" s="220"/>
      <c r="P88" s="220"/>
      <c r="Q88" s="220"/>
      <c r="R88" s="220"/>
      <c r="S88" s="220"/>
      <c r="T88" s="220"/>
      <c r="U88" s="220"/>
      <c r="V88" s="220"/>
      <c r="W88" s="220"/>
    </row>
    <row r="89" ht="15.75" customHeight="1" outlineLevel="1">
      <c r="A89" s="211"/>
      <c r="B89" s="212"/>
      <c r="C89" s="213"/>
      <c r="D89" s="214" t="str">
        <f>IFERROR(VLOOKUP($C89,'PORTIFÓLIO'!C:V,2,0),"")</f>
        <v/>
      </c>
      <c r="E89" s="211" t="str">
        <f>IFERROR(VLOOKUP($C89,'PORTIFÓLIO'!C:V,3,0),"")</f>
        <v/>
      </c>
      <c r="F89" s="211" t="str">
        <f>IFERROR(VLOOKUP($C89,'PORTIFÓLIO'!C:V,4,0),"")</f>
        <v/>
      </c>
      <c r="G89" s="215" t="str">
        <f>IFERROR(VLOOKUP($C89,'PORTIFÓLIO'!C:V,5,0),"")</f>
        <v/>
      </c>
      <c r="H89" s="254" t="str">
        <f t="array" ref="H89">IFERROR(INDEX('PORTIFÓLIO'!$H$4:$H$433,MATCH($C89,'PORTIFÓLIO'!$C$4:$C$433,0)),"")</f>
        <v/>
      </c>
      <c r="I89" s="256"/>
      <c r="J89" s="218">
        <f t="shared" si="10"/>
        <v>0</v>
      </c>
      <c r="K89" s="219" t="str">
        <f t="array" ref="K89">IFERROR(I89*INDEX('PORTIFÓLIO'!$S$4:$S$433,MATCH($C89,'PORTIFÓLIO'!$C$4:$C$433,0)),"")</f>
        <v/>
      </c>
      <c r="L89" s="219" t="str">
        <f t="array" ref="L89">IFERROR(J89*INDEX('PORTIFÓLIO'!$S$4:$S$433,MATCH($C89,'PORTIFÓLIO'!$C$4:$C$433,0)),"")</f>
        <v/>
      </c>
      <c r="M89" s="220"/>
      <c r="N89" s="220"/>
      <c r="O89" s="220"/>
      <c r="P89" s="220"/>
      <c r="Q89" s="220"/>
      <c r="R89" s="220"/>
      <c r="S89" s="220"/>
      <c r="T89" s="220"/>
      <c r="U89" s="220"/>
      <c r="V89" s="220"/>
      <c r="W89" s="220"/>
    </row>
    <row r="90" ht="15.75" customHeight="1" outlineLevel="1">
      <c r="A90" s="211"/>
      <c r="B90" s="212"/>
      <c r="C90" s="213"/>
      <c r="D90" s="214" t="str">
        <f>IFERROR(VLOOKUP($C90,'PORTIFÓLIO'!C:V,2,0),"")</f>
        <v/>
      </c>
      <c r="E90" s="211" t="str">
        <f>IFERROR(VLOOKUP($C90,'PORTIFÓLIO'!C:V,3,0),"")</f>
        <v/>
      </c>
      <c r="F90" s="211" t="str">
        <f>IFERROR(VLOOKUP($C90,'PORTIFÓLIO'!C:V,4,0),"")</f>
        <v/>
      </c>
      <c r="G90" s="215" t="str">
        <f>IFERROR(VLOOKUP($C90,'PORTIFÓLIO'!C:V,5,0),"")</f>
        <v/>
      </c>
      <c r="H90" s="254" t="str">
        <f t="array" ref="H90">IFERROR(INDEX('PORTIFÓLIO'!$H$4:$H$433,MATCH($C90,'PORTIFÓLIO'!$C$4:$C$433,0)),"")</f>
        <v/>
      </c>
      <c r="I90" s="255"/>
      <c r="J90" s="218">
        <f t="shared" si="10"/>
        <v>0</v>
      </c>
      <c r="K90" s="219" t="str">
        <f t="array" ref="K90">IFERROR(I90*INDEX('PORTIFÓLIO'!$S$4:$S$433,MATCH($C90,'PORTIFÓLIO'!$C$4:$C$433,0)),"")</f>
        <v/>
      </c>
      <c r="L90" s="219" t="str">
        <f t="array" ref="L90">IFERROR(J90*INDEX('PORTIFÓLIO'!$S$4:$S$433,MATCH($C90,'PORTIFÓLIO'!$C$4:$C$433,0)),"")</f>
        <v/>
      </c>
      <c r="M90" s="220"/>
      <c r="N90" s="220"/>
      <c r="O90" s="220"/>
      <c r="P90" s="220"/>
      <c r="Q90" s="220"/>
      <c r="R90" s="220"/>
      <c r="S90" s="220"/>
      <c r="T90" s="220"/>
      <c r="U90" s="220"/>
      <c r="V90" s="220"/>
      <c r="W90" s="220"/>
    </row>
    <row r="91" ht="15.75" customHeight="1" outlineLevel="1">
      <c r="A91" s="211"/>
      <c r="B91" s="212"/>
      <c r="C91" s="213"/>
      <c r="D91" s="214" t="str">
        <f>IFERROR(VLOOKUP($C91,'PORTIFÓLIO'!C:V,2,0),"")</f>
        <v/>
      </c>
      <c r="E91" s="211" t="str">
        <f>IFERROR(VLOOKUP($C91,'PORTIFÓLIO'!C:V,3,0),"")</f>
        <v/>
      </c>
      <c r="F91" s="211" t="str">
        <f>IFERROR(VLOOKUP($C91,'PORTIFÓLIO'!C:V,4,0),"")</f>
        <v/>
      </c>
      <c r="G91" s="215" t="str">
        <f>IFERROR(VLOOKUP($C91,'PORTIFÓLIO'!C:V,5,0),"")</f>
        <v/>
      </c>
      <c r="H91" s="254" t="str">
        <f t="array" ref="H91">IFERROR(INDEX('PORTIFÓLIO'!$H$4:$H$433,MATCH($C91,'PORTIFÓLIO'!$C$4:$C$433,0)),"")</f>
        <v/>
      </c>
      <c r="I91" s="256"/>
      <c r="J91" s="218">
        <f t="shared" si="10"/>
        <v>0</v>
      </c>
      <c r="K91" s="219" t="str">
        <f t="array" ref="K91">IFERROR(I91*INDEX('PORTIFÓLIO'!$S$4:$S$433,MATCH($C91,'PORTIFÓLIO'!$C$4:$C$433,0)),"")</f>
        <v/>
      </c>
      <c r="L91" s="219" t="str">
        <f t="array" ref="L91">IFERROR(J91*INDEX('PORTIFÓLIO'!$S$4:$S$433,MATCH($C91,'PORTIFÓLIO'!$C$4:$C$433,0)),"")</f>
        <v/>
      </c>
      <c r="M91" s="220"/>
      <c r="N91" s="220"/>
      <c r="O91" s="220"/>
      <c r="P91" s="220"/>
      <c r="Q91" s="220"/>
      <c r="R91" s="220"/>
      <c r="S91" s="220"/>
      <c r="T91" s="220"/>
      <c r="U91" s="220"/>
      <c r="V91" s="220"/>
      <c r="W91" s="220"/>
    </row>
    <row r="92" ht="15.75" customHeight="1" outlineLevel="1">
      <c r="A92" s="211"/>
      <c r="B92" s="212"/>
      <c r="C92" s="213"/>
      <c r="D92" s="214" t="str">
        <f>IFERROR(VLOOKUP($C92,'PORTIFÓLIO'!C:V,2,0),"")</f>
        <v/>
      </c>
      <c r="E92" s="211" t="str">
        <f>IFERROR(VLOOKUP($C92,'PORTIFÓLIO'!C:V,3,0),"")</f>
        <v/>
      </c>
      <c r="F92" s="211" t="str">
        <f>IFERROR(VLOOKUP($C92,'PORTIFÓLIO'!C:V,4,0),"")</f>
        <v/>
      </c>
      <c r="G92" s="215" t="str">
        <f>IFERROR(VLOOKUP($C92,'PORTIFÓLIO'!C:V,5,0),"")</f>
        <v/>
      </c>
      <c r="H92" s="254" t="str">
        <f t="array" ref="H92">IFERROR(INDEX('PORTIFÓLIO'!$H$4:$H$433,MATCH($C92,'PORTIFÓLIO'!$C$4:$C$433,0)),"")</f>
        <v/>
      </c>
      <c r="I92" s="256"/>
      <c r="J92" s="218">
        <f t="shared" si="10"/>
        <v>0</v>
      </c>
      <c r="K92" s="219" t="str">
        <f t="array" ref="K92">IFERROR(I92*INDEX('PORTIFÓLIO'!$S$4:$S$433,MATCH($C92,'PORTIFÓLIO'!$C$4:$C$433,0)),"")</f>
        <v/>
      </c>
      <c r="L92" s="219" t="str">
        <f t="array" ref="L92">IFERROR(J92*INDEX('PORTIFÓLIO'!$S$4:$S$433,MATCH($C92,'PORTIFÓLIO'!$C$4:$C$433,0)),"")</f>
        <v/>
      </c>
      <c r="M92" s="220"/>
      <c r="N92" s="220"/>
      <c r="O92" s="220"/>
      <c r="P92" s="220"/>
      <c r="Q92" s="220"/>
      <c r="R92" s="220"/>
      <c r="S92" s="220"/>
      <c r="T92" s="220"/>
      <c r="U92" s="220"/>
      <c r="V92" s="220"/>
      <c r="W92" s="220"/>
    </row>
    <row r="93" ht="15.75" customHeight="1" outlineLevel="1">
      <c r="A93" s="211"/>
      <c r="B93" s="212"/>
      <c r="C93" s="213"/>
      <c r="D93" s="214" t="str">
        <f>IFERROR(VLOOKUP($C93,'PORTIFÓLIO'!C:V,2,0),"")</f>
        <v/>
      </c>
      <c r="E93" s="211" t="str">
        <f>IFERROR(VLOOKUP($C93,'PORTIFÓLIO'!C:V,3,0),"")</f>
        <v/>
      </c>
      <c r="F93" s="211" t="str">
        <f>IFERROR(VLOOKUP($C93,'PORTIFÓLIO'!C:V,4,0),"")</f>
        <v/>
      </c>
      <c r="G93" s="215" t="str">
        <f>IFERROR(VLOOKUP($C93,'PORTIFÓLIO'!C:V,5,0),"")</f>
        <v/>
      </c>
      <c r="H93" s="254" t="str">
        <f t="array" ref="H93">IFERROR(INDEX('PORTIFÓLIO'!$H$4:$H$433,MATCH($C93,'PORTIFÓLIO'!$C$4:$C$433,0)),"")</f>
        <v/>
      </c>
      <c r="I93" s="256"/>
      <c r="J93" s="218">
        <f t="shared" si="10"/>
        <v>0</v>
      </c>
      <c r="K93" s="219" t="str">
        <f t="array" ref="K93">IFERROR(I93*INDEX('PORTIFÓLIO'!$S$4:$S$433,MATCH($C93,'PORTIFÓLIO'!$C$4:$C$433,0)),"")</f>
        <v/>
      </c>
      <c r="L93" s="219" t="str">
        <f t="array" ref="L93">IFERROR(J93*INDEX('PORTIFÓLIO'!$S$4:$S$433,MATCH($C93,'PORTIFÓLIO'!$C$4:$C$433,0)),"")</f>
        <v/>
      </c>
      <c r="M93" s="220"/>
      <c r="N93" s="220"/>
      <c r="O93" s="220"/>
      <c r="P93" s="220"/>
      <c r="Q93" s="220"/>
      <c r="R93" s="220"/>
      <c r="S93" s="220"/>
      <c r="T93" s="220"/>
      <c r="U93" s="220"/>
      <c r="V93" s="220"/>
      <c r="W93" s="220"/>
    </row>
    <row r="94" ht="15.75" customHeight="1" outlineLevel="1">
      <c r="A94" s="211"/>
      <c r="B94" s="212"/>
      <c r="C94" s="213"/>
      <c r="D94" s="214" t="str">
        <f>IFERROR(VLOOKUP($C94,'PORTIFÓLIO'!C:V,2,0),"")</f>
        <v/>
      </c>
      <c r="E94" s="211" t="str">
        <f>IFERROR(VLOOKUP($C94,'PORTIFÓLIO'!C:V,3,0),"")</f>
        <v/>
      </c>
      <c r="F94" s="211" t="str">
        <f>IFERROR(VLOOKUP($C94,'PORTIFÓLIO'!C:V,4,0),"")</f>
        <v/>
      </c>
      <c r="G94" s="215" t="str">
        <f>IFERROR(VLOOKUP($C94,'PORTIFÓLIO'!C:V,5,0),"")</f>
        <v/>
      </c>
      <c r="H94" s="254" t="str">
        <f t="array" ref="H94">IFERROR(INDEX('PORTIFÓLIO'!$H$4:$H$433,MATCH($C94,'PORTIFÓLIO'!$C$4:$C$433,0)),"")</f>
        <v/>
      </c>
      <c r="I94" s="256"/>
      <c r="J94" s="218">
        <f t="shared" si="10"/>
        <v>0</v>
      </c>
      <c r="K94" s="219" t="str">
        <f t="array" ref="K94">IFERROR(I94*INDEX('PORTIFÓLIO'!$S$4:$S$433,MATCH($C94,'PORTIFÓLIO'!$C$4:$C$433,0)),"")</f>
        <v/>
      </c>
      <c r="L94" s="219" t="str">
        <f t="array" ref="L94">IFERROR(J94*INDEX('PORTIFÓLIO'!$S$4:$S$433,MATCH($C94,'PORTIFÓLIO'!$C$4:$C$433,0)),"")</f>
        <v/>
      </c>
      <c r="M94" s="220"/>
      <c r="N94" s="220"/>
      <c r="O94" s="220"/>
      <c r="P94" s="220"/>
      <c r="Q94" s="220"/>
      <c r="R94" s="220"/>
      <c r="S94" s="220"/>
      <c r="T94" s="220"/>
      <c r="U94" s="220"/>
      <c r="V94" s="220"/>
      <c r="W94" s="220"/>
    </row>
    <row r="95" ht="15.75" customHeight="1" outlineLevel="1">
      <c r="A95" s="211"/>
      <c r="B95" s="212"/>
      <c r="C95" s="213"/>
      <c r="D95" s="214" t="str">
        <f>IFERROR(VLOOKUP($C95,'PORTIFÓLIO'!C:V,2,0),"")</f>
        <v/>
      </c>
      <c r="E95" s="211" t="str">
        <f>IFERROR(VLOOKUP($C95,'PORTIFÓLIO'!C:V,3,0),"")</f>
        <v/>
      </c>
      <c r="F95" s="211" t="str">
        <f>IFERROR(VLOOKUP($C95,'PORTIFÓLIO'!C:V,4,0),"")</f>
        <v/>
      </c>
      <c r="G95" s="215" t="str">
        <f>IFERROR(VLOOKUP($C95,'PORTIFÓLIO'!C:V,5,0),"")</f>
        <v/>
      </c>
      <c r="H95" s="254" t="str">
        <f t="array" ref="H95">IFERROR(INDEX('PORTIFÓLIO'!$H$4:$H$433,MATCH($C95,'PORTIFÓLIO'!$C$4:$C$433,0)),"")</f>
        <v/>
      </c>
      <c r="I95" s="256"/>
      <c r="J95" s="218">
        <f t="shared" si="10"/>
        <v>0</v>
      </c>
      <c r="K95" s="219" t="str">
        <f t="array" ref="K95">IFERROR(I95*INDEX('PORTIFÓLIO'!$S$4:$S$433,MATCH($C95,'PORTIFÓLIO'!$C$4:$C$433,0)),"")</f>
        <v/>
      </c>
      <c r="L95" s="219" t="str">
        <f t="array" ref="L95">IFERROR(J95*INDEX('PORTIFÓLIO'!$S$4:$S$433,MATCH($C95,'PORTIFÓLIO'!$C$4:$C$433,0)),"")</f>
        <v/>
      </c>
      <c r="M95" s="220"/>
      <c r="N95" s="220"/>
      <c r="O95" s="220"/>
      <c r="P95" s="220"/>
      <c r="Q95" s="220"/>
      <c r="R95" s="220"/>
      <c r="S95" s="220"/>
      <c r="T95" s="220"/>
      <c r="U95" s="220"/>
      <c r="V95" s="220"/>
      <c r="W95" s="220"/>
    </row>
    <row r="96" ht="15.75" customHeight="1" outlineLevel="1">
      <c r="A96" s="211"/>
      <c r="B96" s="212"/>
      <c r="C96" s="213"/>
      <c r="D96" s="214" t="str">
        <f>IFERROR(VLOOKUP($C96,'PORTIFÓLIO'!C:V,2,0),"")</f>
        <v/>
      </c>
      <c r="E96" s="211" t="str">
        <f>IFERROR(VLOOKUP($C96,'PORTIFÓLIO'!C:V,3,0),"")</f>
        <v/>
      </c>
      <c r="F96" s="211" t="str">
        <f>IFERROR(VLOOKUP($C96,'PORTIFÓLIO'!C:V,4,0),"")</f>
        <v/>
      </c>
      <c r="G96" s="215" t="str">
        <f>IFERROR(VLOOKUP($C96,'PORTIFÓLIO'!C:V,5,0),"")</f>
        <v/>
      </c>
      <c r="H96" s="254" t="str">
        <f t="array" ref="H96">IFERROR(INDEX('PORTIFÓLIO'!$H$4:$H$433,MATCH($C96,'PORTIFÓLIO'!$C$4:$C$433,0)),"")</f>
        <v/>
      </c>
      <c r="I96" s="256"/>
      <c r="J96" s="218">
        <f t="shared" si="10"/>
        <v>0</v>
      </c>
      <c r="K96" s="219" t="str">
        <f t="array" ref="K96">IFERROR(I96*INDEX('PORTIFÓLIO'!$S$4:$S$433,MATCH($C96,'PORTIFÓLIO'!$C$4:$C$433,0)),"")</f>
        <v/>
      </c>
      <c r="L96" s="219" t="str">
        <f t="array" ref="L96">IFERROR(J96*INDEX('PORTIFÓLIO'!$S$4:$S$433,MATCH($C96,'PORTIFÓLIO'!$C$4:$C$433,0)),"")</f>
        <v/>
      </c>
      <c r="M96" s="220"/>
      <c r="N96" s="220"/>
      <c r="O96" s="220"/>
      <c r="P96" s="220"/>
      <c r="Q96" s="220"/>
      <c r="R96" s="220"/>
      <c r="S96" s="220"/>
      <c r="T96" s="220"/>
      <c r="U96" s="220"/>
      <c r="V96" s="220"/>
      <c r="W96" s="220"/>
    </row>
    <row r="97" ht="15.75" customHeight="1">
      <c r="A97" s="229" t="s">
        <v>1189</v>
      </c>
      <c r="B97" s="230"/>
      <c r="C97" s="231"/>
      <c r="D97" s="232"/>
      <c r="E97" s="231"/>
      <c r="F97" s="231"/>
      <c r="G97" s="233"/>
      <c r="H97" s="233"/>
      <c r="I97" s="258"/>
      <c r="J97" s="236"/>
      <c r="K97" s="237">
        <f t="shared" ref="K97:L97" si="11">SUBTOTAL(9,K98:K111)</f>
        <v>0</v>
      </c>
      <c r="L97" s="237">
        <f t="shared" si="11"/>
        <v>0</v>
      </c>
      <c r="M97" s="220"/>
      <c r="N97" s="220"/>
      <c r="O97" s="220"/>
      <c r="P97" s="220"/>
      <c r="Q97" s="220"/>
      <c r="R97" s="220"/>
      <c r="S97" s="220"/>
      <c r="T97" s="220"/>
      <c r="U97" s="220"/>
      <c r="V97" s="220"/>
      <c r="W97" s="220"/>
    </row>
    <row r="98" ht="15.75" customHeight="1" outlineLevel="1">
      <c r="A98" s="213"/>
      <c r="B98" s="212"/>
      <c r="C98" s="213"/>
      <c r="D98" s="214" t="str">
        <f>IFERROR(VLOOKUP($C98,'PORTIFÓLIO'!C:V,2,0),"")</f>
        <v/>
      </c>
      <c r="E98" s="211" t="str">
        <f>IFERROR(VLOOKUP($C98,'PORTIFÓLIO'!C:V,3,0),"")</f>
        <v/>
      </c>
      <c r="F98" s="211" t="str">
        <f>IFERROR(VLOOKUP($C98,'PORTIFÓLIO'!C:V,4,0),"")</f>
        <v/>
      </c>
      <c r="G98" s="215" t="str">
        <f>IFERROR(VLOOKUP($C98,'PORTIFÓLIO'!C:V,5,0),"")</f>
        <v/>
      </c>
      <c r="H98" s="254" t="str">
        <f t="array" ref="H98">IFERROR(INDEX('PORTIFÓLIO'!$H$4:$H$433,MATCH($C98,'PORTIFÓLIO'!$C$4:$C$433,0)),"")</f>
        <v/>
      </c>
      <c r="I98" s="255"/>
      <c r="J98" s="218">
        <f t="shared" ref="J98:J112" si="12">I98*$B$2</f>
        <v>0</v>
      </c>
      <c r="K98" s="219" t="str">
        <f t="array" ref="K98">IFERROR(I98*INDEX('PORTIFÓLIO'!$S$4:$S$433,MATCH($C98,'PORTIFÓLIO'!$C$4:$C$433,0)),"")</f>
        <v/>
      </c>
      <c r="L98" s="219" t="str">
        <f t="array" ref="L98">IFERROR(J98*INDEX('PORTIFÓLIO'!$S$4:$S$433,MATCH($C98,'PORTIFÓLIO'!$C$4:$C$433,0)),"")</f>
        <v/>
      </c>
      <c r="M98" s="220"/>
      <c r="N98" s="220"/>
      <c r="O98" s="220"/>
      <c r="P98" s="220"/>
      <c r="Q98" s="220"/>
      <c r="R98" s="220"/>
      <c r="S98" s="220"/>
      <c r="T98" s="220"/>
      <c r="U98" s="220"/>
      <c r="V98" s="220"/>
      <c r="W98" s="220"/>
    </row>
    <row r="99" ht="15.75" customHeight="1" outlineLevel="1">
      <c r="A99" s="211"/>
      <c r="B99" s="212"/>
      <c r="C99" s="213"/>
      <c r="D99" s="214" t="str">
        <f>IFERROR(VLOOKUP($C99,'PORTIFÓLIO'!C:V,2,0),"")</f>
        <v/>
      </c>
      <c r="E99" s="211" t="str">
        <f>IFERROR(VLOOKUP($C99,'PORTIFÓLIO'!C:V,3,0),"")</f>
        <v/>
      </c>
      <c r="F99" s="211" t="str">
        <f>IFERROR(VLOOKUP($C99,'PORTIFÓLIO'!C:V,4,0),"")</f>
        <v/>
      </c>
      <c r="G99" s="215" t="str">
        <f>IFERROR(VLOOKUP($C99,'PORTIFÓLIO'!C:V,5,0),"")</f>
        <v/>
      </c>
      <c r="H99" s="254" t="str">
        <f t="array" ref="H99">IFERROR(INDEX('PORTIFÓLIO'!$H$4:$H$433,MATCH($C99,'PORTIFÓLIO'!$C$4:$C$433,0)),"")</f>
        <v/>
      </c>
      <c r="I99" s="255"/>
      <c r="J99" s="218">
        <f t="shared" si="12"/>
        <v>0</v>
      </c>
      <c r="K99" s="219" t="str">
        <f t="array" ref="K99">IFERROR(I99*INDEX('PORTIFÓLIO'!$S$4:$S$433,MATCH($C99,'PORTIFÓLIO'!$C$4:$C$433,0)),"")</f>
        <v/>
      </c>
      <c r="L99" s="219" t="str">
        <f t="array" ref="L99">IFERROR(J99*INDEX('PORTIFÓLIO'!$S$4:$S$433,MATCH($C99,'PORTIFÓLIO'!$C$4:$C$433,0)),"")</f>
        <v/>
      </c>
      <c r="M99" s="220"/>
      <c r="N99" s="220"/>
      <c r="O99" s="220"/>
      <c r="P99" s="220"/>
      <c r="Q99" s="220"/>
      <c r="R99" s="220"/>
      <c r="S99" s="220"/>
      <c r="T99" s="220"/>
      <c r="U99" s="220"/>
      <c r="V99" s="220"/>
      <c r="W99" s="220"/>
    </row>
    <row r="100" ht="15.75" customHeight="1" outlineLevel="1">
      <c r="A100" s="211"/>
      <c r="B100" s="212"/>
      <c r="C100" s="213"/>
      <c r="D100" s="214" t="str">
        <f>IFERROR(VLOOKUP($C100,'PORTIFÓLIO'!C:V,2,0),"")</f>
        <v/>
      </c>
      <c r="E100" s="211" t="str">
        <f>IFERROR(VLOOKUP($C100,'PORTIFÓLIO'!C:V,3,0),"")</f>
        <v/>
      </c>
      <c r="F100" s="211" t="str">
        <f>IFERROR(VLOOKUP($C100,'PORTIFÓLIO'!C:V,4,0),"")</f>
        <v/>
      </c>
      <c r="G100" s="215" t="str">
        <f>IFERROR(VLOOKUP($C100,'PORTIFÓLIO'!C:V,5,0),"")</f>
        <v/>
      </c>
      <c r="H100" s="254" t="str">
        <f t="array" ref="H100">IFERROR(INDEX('PORTIFÓLIO'!$H$4:$H$433,MATCH($C100,'PORTIFÓLIO'!$C$4:$C$433,0)),"")</f>
        <v/>
      </c>
      <c r="I100" s="255"/>
      <c r="J100" s="218">
        <f t="shared" si="12"/>
        <v>0</v>
      </c>
      <c r="K100" s="219" t="str">
        <f t="array" ref="K100">IFERROR(I100*INDEX('PORTIFÓLIO'!$S$4:$S$433,MATCH($C100,'PORTIFÓLIO'!$C$4:$C$433,0)),"")</f>
        <v/>
      </c>
      <c r="L100" s="219" t="str">
        <f t="array" ref="L100">IFERROR(J100*INDEX('PORTIFÓLIO'!$S$4:$S$433,MATCH($C100,'PORTIFÓLIO'!$C$4:$C$433,0)),"")</f>
        <v/>
      </c>
      <c r="M100" s="220"/>
      <c r="N100" s="220"/>
      <c r="O100" s="220"/>
      <c r="P100" s="220"/>
      <c r="Q100" s="220"/>
      <c r="R100" s="220"/>
      <c r="S100" s="220"/>
      <c r="T100" s="220"/>
      <c r="U100" s="220"/>
      <c r="V100" s="220"/>
      <c r="W100" s="220"/>
    </row>
    <row r="101" ht="15.75" customHeight="1" outlineLevel="1">
      <c r="A101" s="211"/>
      <c r="B101" s="212"/>
      <c r="C101" s="213"/>
      <c r="D101" s="214" t="str">
        <f>IFERROR(VLOOKUP($C101,'PORTIFÓLIO'!C:V,2,0),"")</f>
        <v/>
      </c>
      <c r="E101" s="211" t="str">
        <f>IFERROR(VLOOKUP($C101,'PORTIFÓLIO'!C:V,3,0),"")</f>
        <v/>
      </c>
      <c r="F101" s="211" t="str">
        <f>IFERROR(VLOOKUP($C101,'PORTIFÓLIO'!C:V,4,0),"")</f>
        <v/>
      </c>
      <c r="G101" s="215" t="str">
        <f>IFERROR(VLOOKUP($C101,'PORTIFÓLIO'!C:V,5,0),"")</f>
        <v/>
      </c>
      <c r="H101" s="254" t="str">
        <f t="array" ref="H101">IFERROR(INDEX('PORTIFÓLIO'!$H$4:$H$433,MATCH($C101,'PORTIFÓLIO'!$C$4:$C$433,0)),"")</f>
        <v/>
      </c>
      <c r="I101" s="255"/>
      <c r="J101" s="218">
        <f t="shared" si="12"/>
        <v>0</v>
      </c>
      <c r="K101" s="219" t="str">
        <f t="array" ref="K101">IFERROR(I101*INDEX('PORTIFÓLIO'!$S$4:$S$433,MATCH($C101,'PORTIFÓLIO'!$C$4:$C$433,0)),"")</f>
        <v/>
      </c>
      <c r="L101" s="219" t="str">
        <f t="array" ref="L101">IFERROR(J101*INDEX('PORTIFÓLIO'!$S$4:$S$433,MATCH($C101,'PORTIFÓLIO'!$C$4:$C$433,0)),"")</f>
        <v/>
      </c>
      <c r="M101" s="220"/>
      <c r="N101" s="220"/>
      <c r="O101" s="220"/>
      <c r="P101" s="220"/>
      <c r="Q101" s="220"/>
      <c r="R101" s="220"/>
      <c r="S101" s="220"/>
      <c r="T101" s="220"/>
      <c r="U101" s="220"/>
      <c r="V101" s="220"/>
      <c r="W101" s="220"/>
    </row>
    <row r="102" ht="15.75" customHeight="1" outlineLevel="1">
      <c r="A102" s="211"/>
      <c r="B102" s="212"/>
      <c r="C102" s="213"/>
      <c r="D102" s="214" t="str">
        <f>IFERROR(VLOOKUP($C102,'PORTIFÓLIO'!C:V,2,0),"")</f>
        <v/>
      </c>
      <c r="E102" s="211" t="str">
        <f>IFERROR(VLOOKUP($C102,'PORTIFÓLIO'!C:V,3,0),"")</f>
        <v/>
      </c>
      <c r="F102" s="211" t="str">
        <f>IFERROR(VLOOKUP($C102,'PORTIFÓLIO'!C:V,4,0),"")</f>
        <v/>
      </c>
      <c r="G102" s="215" t="str">
        <f>IFERROR(VLOOKUP($C102,'PORTIFÓLIO'!C:V,5,0),"")</f>
        <v/>
      </c>
      <c r="H102" s="254" t="str">
        <f t="array" ref="H102">IFERROR(INDEX('PORTIFÓLIO'!$H$4:$H$433,MATCH($C102,'PORTIFÓLIO'!$C$4:$C$433,0)),"")</f>
        <v/>
      </c>
      <c r="I102" s="255"/>
      <c r="J102" s="218">
        <f t="shared" si="12"/>
        <v>0</v>
      </c>
      <c r="K102" s="219" t="str">
        <f t="array" ref="K102">IFERROR(I102*INDEX('PORTIFÓLIO'!$S$4:$S$433,MATCH($C102,'PORTIFÓLIO'!$C$4:$C$433,0)),"")</f>
        <v/>
      </c>
      <c r="L102" s="219" t="str">
        <f t="array" ref="L102">IFERROR(J102*INDEX('PORTIFÓLIO'!$S$4:$S$433,MATCH($C102,'PORTIFÓLIO'!$C$4:$C$433,0)),"")</f>
        <v/>
      </c>
      <c r="M102" s="220"/>
      <c r="N102" s="220"/>
      <c r="O102" s="220"/>
      <c r="P102" s="220"/>
      <c r="Q102" s="220"/>
      <c r="R102" s="220"/>
      <c r="S102" s="220"/>
      <c r="T102" s="220"/>
      <c r="U102" s="220"/>
      <c r="V102" s="220"/>
      <c r="W102" s="220"/>
    </row>
    <row r="103" ht="15.75" customHeight="1" outlineLevel="1">
      <c r="A103" s="211"/>
      <c r="B103" s="212"/>
      <c r="C103" s="213"/>
      <c r="D103" s="214" t="str">
        <f>IFERROR(VLOOKUP($C103,'PORTIFÓLIO'!C:V,2,0),"")</f>
        <v/>
      </c>
      <c r="E103" s="211" t="str">
        <f>IFERROR(VLOOKUP($C103,'PORTIFÓLIO'!C:V,3,0),"")</f>
        <v/>
      </c>
      <c r="F103" s="211" t="str">
        <f>IFERROR(VLOOKUP($C103,'PORTIFÓLIO'!C:V,4,0),"")</f>
        <v/>
      </c>
      <c r="G103" s="215" t="str">
        <f>IFERROR(VLOOKUP($C103,'PORTIFÓLIO'!C:V,5,0),"")</f>
        <v/>
      </c>
      <c r="H103" s="254" t="str">
        <f t="array" ref="H103">IFERROR(INDEX('PORTIFÓLIO'!$H$4:$H$433,MATCH($C103,'PORTIFÓLIO'!$C$4:$C$433,0)),"")</f>
        <v/>
      </c>
      <c r="I103" s="255"/>
      <c r="J103" s="218">
        <f t="shared" si="12"/>
        <v>0</v>
      </c>
      <c r="K103" s="219" t="str">
        <f t="array" ref="K103">IFERROR(I103*INDEX('PORTIFÓLIO'!$S$4:$S$433,MATCH($C103,'PORTIFÓLIO'!$C$4:$C$433,0)),"")</f>
        <v/>
      </c>
      <c r="L103" s="219" t="str">
        <f t="array" ref="L103">IFERROR(J103*INDEX('PORTIFÓLIO'!$S$4:$S$433,MATCH($C103,'PORTIFÓLIO'!$C$4:$C$433,0)),"")</f>
        <v/>
      </c>
      <c r="M103" s="220"/>
      <c r="N103" s="220"/>
      <c r="O103" s="220"/>
      <c r="P103" s="220"/>
      <c r="Q103" s="220"/>
      <c r="R103" s="220"/>
      <c r="S103" s="220"/>
      <c r="T103" s="220"/>
      <c r="U103" s="220"/>
      <c r="V103" s="220"/>
      <c r="W103" s="220"/>
    </row>
    <row r="104" ht="15.75" customHeight="1" outlineLevel="1">
      <c r="A104" s="211"/>
      <c r="B104" s="212"/>
      <c r="C104" s="213"/>
      <c r="D104" s="214" t="str">
        <f>IFERROR(VLOOKUP($C104,'PORTIFÓLIO'!C:V,2,0),"")</f>
        <v/>
      </c>
      <c r="E104" s="211" t="str">
        <f>IFERROR(VLOOKUP($C104,'PORTIFÓLIO'!C:V,3,0),"")</f>
        <v/>
      </c>
      <c r="F104" s="211" t="str">
        <f>IFERROR(VLOOKUP($C104,'PORTIFÓLIO'!C:V,4,0),"")</f>
        <v/>
      </c>
      <c r="G104" s="215" t="str">
        <f>IFERROR(VLOOKUP($C104,'PORTIFÓLIO'!C:V,5,0),"")</f>
        <v/>
      </c>
      <c r="H104" s="254" t="str">
        <f t="array" ref="H104">IFERROR(INDEX('PORTIFÓLIO'!$H$4:$H$433,MATCH($C104,'PORTIFÓLIO'!$C$4:$C$433,0)),"")</f>
        <v/>
      </c>
      <c r="I104" s="256"/>
      <c r="J104" s="218">
        <f t="shared" si="12"/>
        <v>0</v>
      </c>
      <c r="K104" s="219" t="str">
        <f t="array" ref="K104">IFERROR(I104*INDEX('PORTIFÓLIO'!$S$4:$S$433,MATCH($C104,'PORTIFÓLIO'!$C$4:$C$433,0)),"")</f>
        <v/>
      </c>
      <c r="L104" s="219" t="str">
        <f t="array" ref="L104">IFERROR(J104*INDEX('PORTIFÓLIO'!$S$4:$S$433,MATCH($C104,'PORTIFÓLIO'!$C$4:$C$433,0)),"")</f>
        <v/>
      </c>
      <c r="M104" s="220"/>
      <c r="N104" s="220"/>
      <c r="O104" s="220"/>
      <c r="P104" s="220"/>
      <c r="Q104" s="220"/>
      <c r="R104" s="220"/>
      <c r="S104" s="220"/>
      <c r="T104" s="220"/>
      <c r="U104" s="220"/>
      <c r="V104" s="220"/>
      <c r="W104" s="220"/>
    </row>
    <row r="105" ht="15.75" customHeight="1" outlineLevel="1">
      <c r="A105" s="211"/>
      <c r="B105" s="212"/>
      <c r="C105" s="213"/>
      <c r="D105" s="214" t="str">
        <f>IFERROR(VLOOKUP($C105,'PORTIFÓLIO'!C:V,2,0),"")</f>
        <v/>
      </c>
      <c r="E105" s="211" t="str">
        <f>IFERROR(VLOOKUP($C105,'PORTIFÓLIO'!C:V,3,0),"")</f>
        <v/>
      </c>
      <c r="F105" s="211" t="str">
        <f>IFERROR(VLOOKUP($C105,'PORTIFÓLIO'!C:V,4,0),"")</f>
        <v/>
      </c>
      <c r="G105" s="215" t="str">
        <f>IFERROR(VLOOKUP($C105,'PORTIFÓLIO'!C:V,5,0),"")</f>
        <v/>
      </c>
      <c r="H105" s="254" t="str">
        <f t="array" ref="H105">IFERROR(INDEX('PORTIFÓLIO'!$H$4:$H$433,MATCH($C105,'PORTIFÓLIO'!$C$4:$C$433,0)),"")</f>
        <v/>
      </c>
      <c r="I105" s="256"/>
      <c r="J105" s="218">
        <f t="shared" si="12"/>
        <v>0</v>
      </c>
      <c r="K105" s="219" t="str">
        <f t="array" ref="K105">IFERROR(I105*INDEX('PORTIFÓLIO'!$S$4:$S$433,MATCH($C105,'PORTIFÓLIO'!$C$4:$C$433,0)),"")</f>
        <v/>
      </c>
      <c r="L105" s="219" t="str">
        <f t="array" ref="L105">IFERROR(J105*INDEX('PORTIFÓLIO'!$S$4:$S$433,MATCH($C105,'PORTIFÓLIO'!$C$4:$C$433,0)),"")</f>
        <v/>
      </c>
      <c r="M105" s="220"/>
      <c r="N105" s="220"/>
      <c r="O105" s="220"/>
      <c r="P105" s="220"/>
      <c r="Q105" s="220"/>
      <c r="R105" s="220"/>
      <c r="S105" s="220"/>
      <c r="T105" s="220"/>
      <c r="U105" s="220"/>
      <c r="V105" s="220"/>
      <c r="W105" s="220"/>
    </row>
    <row r="106" ht="15.75" customHeight="1" outlineLevel="1">
      <c r="A106" s="211"/>
      <c r="B106" s="212"/>
      <c r="C106" s="213"/>
      <c r="D106" s="214" t="str">
        <f>IFERROR(VLOOKUP($C106,'PORTIFÓLIO'!C:V,2,0),"")</f>
        <v/>
      </c>
      <c r="E106" s="211" t="str">
        <f>IFERROR(VLOOKUP($C106,'PORTIFÓLIO'!C:V,3,0),"")</f>
        <v/>
      </c>
      <c r="F106" s="211" t="str">
        <f>IFERROR(VLOOKUP($C106,'PORTIFÓLIO'!C:V,4,0),"")</f>
        <v/>
      </c>
      <c r="G106" s="215" t="str">
        <f>IFERROR(VLOOKUP($C106,'PORTIFÓLIO'!C:V,5,0),"")</f>
        <v/>
      </c>
      <c r="H106" s="254" t="str">
        <f t="array" ref="H106">IFERROR(INDEX('PORTIFÓLIO'!$H$4:$H$433,MATCH($C106,'PORTIFÓLIO'!$C$4:$C$433,0)),"")</f>
        <v/>
      </c>
      <c r="I106" s="255"/>
      <c r="J106" s="218">
        <f t="shared" si="12"/>
        <v>0</v>
      </c>
      <c r="K106" s="219" t="str">
        <f t="array" ref="K106">IFERROR(I106*INDEX('PORTIFÓLIO'!$S$4:$S$433,MATCH($C106,'PORTIFÓLIO'!$C$4:$C$433,0)),"")</f>
        <v/>
      </c>
      <c r="L106" s="219" t="str">
        <f t="array" ref="L106">IFERROR(J106*INDEX('PORTIFÓLIO'!$S$4:$S$433,MATCH($C106,'PORTIFÓLIO'!$C$4:$C$433,0)),"")</f>
        <v/>
      </c>
      <c r="M106" s="220"/>
      <c r="N106" s="220"/>
      <c r="O106" s="220"/>
      <c r="P106" s="220"/>
      <c r="Q106" s="220"/>
      <c r="R106" s="220"/>
      <c r="S106" s="220"/>
      <c r="T106" s="220"/>
      <c r="U106" s="220"/>
      <c r="V106" s="220"/>
      <c r="W106" s="220"/>
    </row>
    <row r="107" ht="15.75" customHeight="1" outlineLevel="1">
      <c r="A107" s="211"/>
      <c r="B107" s="212"/>
      <c r="C107" s="213"/>
      <c r="D107" s="214" t="str">
        <f>IFERROR(VLOOKUP($C107,'PORTIFÓLIO'!C:V,2,0),"")</f>
        <v/>
      </c>
      <c r="E107" s="211" t="str">
        <f>IFERROR(VLOOKUP($C107,'PORTIFÓLIO'!C:V,3,0),"")</f>
        <v/>
      </c>
      <c r="F107" s="211" t="str">
        <f>IFERROR(VLOOKUP($C107,'PORTIFÓLIO'!C:V,4,0),"")</f>
        <v/>
      </c>
      <c r="G107" s="215" t="str">
        <f>IFERROR(VLOOKUP($C107,'PORTIFÓLIO'!C:V,5,0),"")</f>
        <v/>
      </c>
      <c r="H107" s="254" t="str">
        <f t="array" ref="H107">IFERROR(INDEX('PORTIFÓLIO'!$H$4:$H$433,MATCH($C107,'PORTIFÓLIO'!$C$4:$C$433,0)),"")</f>
        <v/>
      </c>
      <c r="I107" s="256"/>
      <c r="J107" s="218">
        <f t="shared" si="12"/>
        <v>0</v>
      </c>
      <c r="K107" s="219" t="str">
        <f t="array" ref="K107">IFERROR(I107*INDEX('PORTIFÓLIO'!$S$4:$S$433,MATCH($C107,'PORTIFÓLIO'!$C$4:$C$433,0)),"")</f>
        <v/>
      </c>
      <c r="L107" s="219" t="str">
        <f t="array" ref="L107">IFERROR(J107*INDEX('PORTIFÓLIO'!$S$4:$S$433,MATCH($C107,'PORTIFÓLIO'!$C$4:$C$433,0)),"")</f>
        <v/>
      </c>
      <c r="M107" s="220"/>
      <c r="N107" s="220"/>
      <c r="O107" s="220"/>
      <c r="P107" s="220"/>
      <c r="Q107" s="220"/>
      <c r="R107" s="220"/>
      <c r="S107" s="220"/>
      <c r="T107" s="220"/>
      <c r="U107" s="220"/>
      <c r="V107" s="220"/>
      <c r="W107" s="220"/>
    </row>
    <row r="108" ht="15.75" customHeight="1" outlineLevel="1">
      <c r="A108" s="211"/>
      <c r="B108" s="212"/>
      <c r="C108" s="213"/>
      <c r="D108" s="214" t="str">
        <f>IFERROR(VLOOKUP($C108,'PORTIFÓLIO'!C:V,2,0),"")</f>
        <v/>
      </c>
      <c r="E108" s="211" t="str">
        <f>IFERROR(VLOOKUP($C108,'PORTIFÓLIO'!C:V,3,0),"")</f>
        <v/>
      </c>
      <c r="F108" s="211" t="str">
        <f>IFERROR(VLOOKUP($C108,'PORTIFÓLIO'!C:V,4,0),"")</f>
        <v/>
      </c>
      <c r="G108" s="215" t="str">
        <f>IFERROR(VLOOKUP($C108,'PORTIFÓLIO'!C:V,5,0),"")</f>
        <v/>
      </c>
      <c r="H108" s="254" t="str">
        <f t="array" ref="H108">IFERROR(INDEX('PORTIFÓLIO'!$H$4:$H$433,MATCH($C108,'PORTIFÓLIO'!$C$4:$C$433,0)),"")</f>
        <v/>
      </c>
      <c r="I108" s="256"/>
      <c r="J108" s="218">
        <f t="shared" si="12"/>
        <v>0</v>
      </c>
      <c r="K108" s="219" t="str">
        <f t="array" ref="K108">IFERROR(I108*INDEX('PORTIFÓLIO'!$S$4:$S$433,MATCH($C108,'PORTIFÓLIO'!$C$4:$C$433,0)),"")</f>
        <v/>
      </c>
      <c r="L108" s="219" t="str">
        <f t="array" ref="L108">IFERROR(J108*INDEX('PORTIFÓLIO'!$S$4:$S$433,MATCH($C108,'PORTIFÓLIO'!$C$4:$C$433,0)),"")</f>
        <v/>
      </c>
      <c r="M108" s="220"/>
      <c r="N108" s="220"/>
      <c r="O108" s="220"/>
      <c r="P108" s="220"/>
      <c r="Q108" s="220"/>
      <c r="R108" s="220"/>
      <c r="S108" s="220"/>
      <c r="T108" s="220"/>
      <c r="U108" s="220"/>
      <c r="V108" s="220"/>
      <c r="W108" s="220"/>
    </row>
    <row r="109" ht="15.75" customHeight="1" outlineLevel="1">
      <c r="A109" s="211"/>
      <c r="B109" s="212"/>
      <c r="C109" s="213"/>
      <c r="D109" s="214" t="str">
        <f>IFERROR(VLOOKUP($C109,'PORTIFÓLIO'!C:V,2,0),"")</f>
        <v/>
      </c>
      <c r="E109" s="211" t="str">
        <f>IFERROR(VLOOKUP($C109,'PORTIFÓLIO'!C:V,3,0),"")</f>
        <v/>
      </c>
      <c r="F109" s="211" t="str">
        <f>IFERROR(VLOOKUP($C109,'PORTIFÓLIO'!C:V,4,0),"")</f>
        <v/>
      </c>
      <c r="G109" s="215" t="str">
        <f>IFERROR(VLOOKUP($C109,'PORTIFÓLIO'!C:V,5,0),"")</f>
        <v/>
      </c>
      <c r="H109" s="254" t="str">
        <f t="array" ref="H109">IFERROR(INDEX('PORTIFÓLIO'!$H$4:$H$433,MATCH($C109,'PORTIFÓLIO'!$C$4:$C$433,0)),"")</f>
        <v/>
      </c>
      <c r="I109" s="256"/>
      <c r="J109" s="218">
        <f t="shared" si="12"/>
        <v>0</v>
      </c>
      <c r="K109" s="219" t="str">
        <f t="array" ref="K109">IFERROR(I109*INDEX('PORTIFÓLIO'!$S$4:$S$433,MATCH($C109,'PORTIFÓLIO'!$C$4:$C$433,0)),"")</f>
        <v/>
      </c>
      <c r="L109" s="219" t="str">
        <f t="array" ref="L109">IFERROR(J109*INDEX('PORTIFÓLIO'!$S$4:$S$433,MATCH($C109,'PORTIFÓLIO'!$C$4:$C$433,0)),"")</f>
        <v/>
      </c>
      <c r="M109" s="220"/>
      <c r="N109" s="220"/>
      <c r="O109" s="220"/>
      <c r="P109" s="220"/>
      <c r="Q109" s="220"/>
      <c r="R109" s="220"/>
      <c r="S109" s="220"/>
      <c r="T109" s="220"/>
      <c r="U109" s="220"/>
      <c r="V109" s="220"/>
      <c r="W109" s="220"/>
    </row>
    <row r="110" ht="15.75" customHeight="1" outlineLevel="1">
      <c r="A110" s="211"/>
      <c r="B110" s="212"/>
      <c r="C110" s="213"/>
      <c r="D110" s="214" t="str">
        <f>IFERROR(VLOOKUP($C110,'PORTIFÓLIO'!C:V,2,0),"")</f>
        <v/>
      </c>
      <c r="E110" s="211" t="str">
        <f>IFERROR(VLOOKUP($C110,'PORTIFÓLIO'!C:V,3,0),"")</f>
        <v/>
      </c>
      <c r="F110" s="211" t="str">
        <f>IFERROR(VLOOKUP($C110,'PORTIFÓLIO'!C:V,4,0),"")</f>
        <v/>
      </c>
      <c r="G110" s="215" t="str">
        <f>IFERROR(VLOOKUP($C110,'PORTIFÓLIO'!C:V,5,0),"")</f>
        <v/>
      </c>
      <c r="H110" s="254" t="str">
        <f t="array" ref="H110">IFERROR(INDEX('PORTIFÓLIO'!$H$4:$H$433,MATCH($C110,'PORTIFÓLIO'!$C$4:$C$433,0)),"")</f>
        <v/>
      </c>
      <c r="I110" s="256"/>
      <c r="J110" s="218">
        <f t="shared" si="12"/>
        <v>0</v>
      </c>
      <c r="K110" s="219" t="str">
        <f t="array" ref="K110">IFERROR(I110*INDEX('PORTIFÓLIO'!$S$4:$S$433,MATCH($C110,'PORTIFÓLIO'!$C$4:$C$433,0)),"")</f>
        <v/>
      </c>
      <c r="L110" s="219" t="str">
        <f t="array" ref="L110">IFERROR(J110*INDEX('PORTIFÓLIO'!$S$4:$S$433,MATCH($C110,'PORTIFÓLIO'!$C$4:$C$433,0)),"")</f>
        <v/>
      </c>
      <c r="M110" s="220"/>
      <c r="N110" s="220"/>
      <c r="O110" s="220"/>
      <c r="P110" s="220"/>
      <c r="Q110" s="220"/>
      <c r="R110" s="220"/>
      <c r="S110" s="220"/>
      <c r="T110" s="220"/>
      <c r="U110" s="220"/>
      <c r="V110" s="220"/>
      <c r="W110" s="220"/>
    </row>
    <row r="111" ht="15.75" customHeight="1" outlineLevel="1">
      <c r="A111" s="211"/>
      <c r="B111" s="212"/>
      <c r="C111" s="213"/>
      <c r="D111" s="214" t="str">
        <f>IFERROR(VLOOKUP($C111,'PORTIFÓLIO'!C:V,2,0),"")</f>
        <v/>
      </c>
      <c r="E111" s="211" t="str">
        <f>IFERROR(VLOOKUP($C111,'PORTIFÓLIO'!C:V,3,0),"")</f>
        <v/>
      </c>
      <c r="F111" s="211" t="str">
        <f>IFERROR(VLOOKUP($C111,'PORTIFÓLIO'!C:V,4,0),"")</f>
        <v/>
      </c>
      <c r="G111" s="215" t="str">
        <f>IFERROR(VLOOKUP($C111,'PORTIFÓLIO'!C:V,5,0),"")</f>
        <v/>
      </c>
      <c r="H111" s="254" t="str">
        <f t="array" ref="H111">IFERROR(INDEX('PORTIFÓLIO'!$H$4:$H$433,MATCH($C111,'PORTIFÓLIO'!$C$4:$C$433,0)),"")</f>
        <v/>
      </c>
      <c r="I111" s="256"/>
      <c r="J111" s="218">
        <f t="shared" si="12"/>
        <v>0</v>
      </c>
      <c r="K111" s="219" t="str">
        <f t="array" ref="K111">IFERROR(I111*INDEX('PORTIFÓLIO'!$S$4:$S$433,MATCH($C111,'PORTIFÓLIO'!$C$4:$C$433,0)),"")</f>
        <v/>
      </c>
      <c r="L111" s="219" t="str">
        <f t="array" ref="L111">IFERROR(J111*INDEX('PORTIFÓLIO'!$S$4:$S$433,MATCH($C111,'PORTIFÓLIO'!$C$4:$C$433,0)),"")</f>
        <v/>
      </c>
      <c r="M111" s="220"/>
      <c r="N111" s="220"/>
      <c r="O111" s="220"/>
      <c r="P111" s="220"/>
      <c r="Q111" s="220"/>
      <c r="R111" s="220"/>
      <c r="S111" s="220"/>
      <c r="T111" s="220"/>
      <c r="U111" s="220"/>
      <c r="V111" s="220"/>
      <c r="W111" s="220"/>
    </row>
    <row r="112" ht="15.75" customHeight="1" outlineLevel="1">
      <c r="A112" s="211"/>
      <c r="B112" s="212"/>
      <c r="C112" s="213"/>
      <c r="D112" s="214" t="str">
        <f>IFERROR(VLOOKUP($C112,'PORTIFÓLIO'!C:V,2,0),"")</f>
        <v/>
      </c>
      <c r="E112" s="211" t="str">
        <f>IFERROR(VLOOKUP($C112,'PORTIFÓLIO'!C:V,3,0),"")</f>
        <v/>
      </c>
      <c r="F112" s="211" t="str">
        <f>IFERROR(VLOOKUP($C112,'PORTIFÓLIO'!C:V,4,0),"")</f>
        <v/>
      </c>
      <c r="G112" s="215" t="str">
        <f>IFERROR(VLOOKUP($C112,'PORTIFÓLIO'!C:V,5,0),"")</f>
        <v/>
      </c>
      <c r="H112" s="254" t="str">
        <f t="array" ref="H112">IFERROR(INDEX('PORTIFÓLIO'!$H$4:$H$433,MATCH($C112,'PORTIFÓLIO'!$C$4:$C$433,0)),"")</f>
        <v/>
      </c>
      <c r="I112" s="256"/>
      <c r="J112" s="218">
        <f t="shared" si="12"/>
        <v>0</v>
      </c>
      <c r="K112" s="219" t="str">
        <f t="array" ref="K112">IFERROR(I112*INDEX('PORTIFÓLIO'!$S$4:$S$433,MATCH($C112,'PORTIFÓLIO'!$C$4:$C$433,0)),"")</f>
        <v/>
      </c>
      <c r="L112" s="219" t="str">
        <f t="array" ref="L112">IFERROR(J112*INDEX('PORTIFÓLIO'!$S$4:$S$433,MATCH($C112,'PORTIFÓLIO'!$C$4:$C$433,0)),"")</f>
        <v/>
      </c>
      <c r="M112" s="220"/>
      <c r="N112" s="220"/>
      <c r="O112" s="220"/>
      <c r="P112" s="220"/>
      <c r="Q112" s="220"/>
      <c r="R112" s="220"/>
      <c r="S112" s="220"/>
      <c r="T112" s="220"/>
      <c r="U112" s="220"/>
      <c r="V112" s="220"/>
      <c r="W112" s="220"/>
    </row>
    <row r="113" ht="15.75" customHeight="1" outlineLevel="1">
      <c r="A113" s="211"/>
      <c r="B113" s="212"/>
      <c r="C113" s="211"/>
      <c r="D113" s="214" t="str">
        <f>IFERROR(VLOOKUP($C113,'PORTIFÓLIO'!C:V,2,0),"")</f>
        <v/>
      </c>
      <c r="E113" s="211" t="str">
        <f>IFERROR(VLOOKUP($C113,'PORTIFÓLIO'!C:V,3,0),"")</f>
        <v/>
      </c>
      <c r="F113" s="211" t="str">
        <f>IFERROR(VLOOKUP($C113,'PORTIFÓLIO'!C:V,4,0),"")</f>
        <v/>
      </c>
      <c r="G113" s="215" t="str">
        <f>IFERROR(VLOOKUP($C113,'PORTIFÓLIO'!C:V,5,0),"")</f>
        <v/>
      </c>
      <c r="H113" s="254" t="str">
        <f t="array" ref="H113">IFERROR(INDEX('PORTIFÓLIO'!$H$4:$H$433,MATCH($C113,'PORTIFÓLIO'!$C$4:$C$433,0)),"")</f>
        <v/>
      </c>
      <c r="I113" s="256"/>
      <c r="J113" s="218"/>
      <c r="K113" s="219" t="str">
        <f t="array" ref="K113">IFERROR(I113*INDEX('PORTIFÓLIO'!$S$4:$S$433,MATCH($C113,'PORTIFÓLIO'!$C$4:$C$433,0)),"")</f>
        <v/>
      </c>
      <c r="L113" s="219" t="str">
        <f t="array" ref="L113">IFERROR(J113*INDEX('PORTIFÓLIO'!$S$4:$S$433,MATCH($C113,'PORTIFÓLIO'!$C$4:$C$433,0)),"")</f>
        <v/>
      </c>
      <c r="M113" s="220"/>
      <c r="N113" s="220"/>
      <c r="O113" s="220"/>
      <c r="P113" s="220"/>
      <c r="Q113" s="220"/>
      <c r="R113" s="220"/>
      <c r="S113" s="220"/>
      <c r="T113" s="220"/>
      <c r="U113" s="220"/>
      <c r="V113" s="220"/>
      <c r="W113" s="220"/>
    </row>
    <row r="114" ht="15.75" customHeight="1">
      <c r="A114" s="229" t="s">
        <v>1190</v>
      </c>
      <c r="B114" s="230"/>
      <c r="C114" s="231"/>
      <c r="D114" s="232"/>
      <c r="E114" s="231"/>
      <c r="F114" s="231"/>
      <c r="G114" s="233"/>
      <c r="H114" s="233"/>
      <c r="I114" s="258"/>
      <c r="J114" s="236"/>
      <c r="K114" s="237">
        <f t="shared" ref="K114:L114" si="13">SUBTOTAL(9,K115:K128)</f>
        <v>0</v>
      </c>
      <c r="L114" s="237">
        <f t="shared" si="13"/>
        <v>0</v>
      </c>
      <c r="M114" s="220"/>
      <c r="N114" s="220"/>
      <c r="O114" s="220"/>
      <c r="P114" s="220"/>
      <c r="Q114" s="220"/>
      <c r="R114" s="220"/>
      <c r="S114" s="220"/>
      <c r="T114" s="220"/>
      <c r="U114" s="220"/>
      <c r="V114" s="220"/>
      <c r="W114" s="220"/>
    </row>
    <row r="115" ht="15.75" customHeight="1" outlineLevel="1">
      <c r="A115" s="213"/>
      <c r="B115" s="212"/>
      <c r="C115" s="283"/>
      <c r="D115" s="214" t="str">
        <f>IFERROR(VLOOKUP($C115,'PORTIFÓLIO'!C:V,2,0),"")</f>
        <v/>
      </c>
      <c r="E115" s="211" t="str">
        <f>IFERROR(VLOOKUP($C115,'PORTIFÓLIO'!C:V,3,0),"")</f>
        <v/>
      </c>
      <c r="F115" s="211" t="str">
        <f>IFERROR(VLOOKUP($C115,'PORTIFÓLIO'!C:V,4,0),"")</f>
        <v/>
      </c>
      <c r="G115" s="215" t="str">
        <f>IFERROR(VLOOKUP($C115,'PORTIFÓLIO'!C:V,5,0),"")</f>
        <v/>
      </c>
      <c r="H115" s="254" t="str">
        <f t="array" ref="H115">IFERROR(INDEX('PORTIFÓLIO'!$H$4:$H$433,MATCH($C115,'PORTIFÓLIO'!$C$4:$C$433,0)),"")</f>
        <v/>
      </c>
      <c r="I115" s="255"/>
      <c r="J115" s="218">
        <f t="shared" ref="J115:J129" si="14">I115*$B$2</f>
        <v>0</v>
      </c>
      <c r="K115" s="219" t="str">
        <f t="array" ref="K115">IFERROR(I115*INDEX('PORTIFÓLIO'!$S$4:$S$433,MATCH($C115,'PORTIFÓLIO'!$C$4:$C$433,0)),"")</f>
        <v/>
      </c>
      <c r="L115" s="219" t="str">
        <f t="array" ref="L115">IFERROR(J115*INDEX('PORTIFÓLIO'!$S$4:$S$433,MATCH($C115,'PORTIFÓLIO'!$C$4:$C$433,0)),"")</f>
        <v/>
      </c>
      <c r="M115" s="220"/>
      <c r="N115" s="220"/>
      <c r="O115" s="220"/>
      <c r="P115" s="220"/>
      <c r="Q115" s="220"/>
      <c r="R115" s="220"/>
      <c r="S115" s="220"/>
      <c r="T115" s="220"/>
      <c r="U115" s="220"/>
      <c r="V115" s="220"/>
      <c r="W115" s="220"/>
    </row>
    <row r="116" ht="15.75" customHeight="1" outlineLevel="1">
      <c r="A116" s="211"/>
      <c r="B116" s="212"/>
      <c r="C116" s="283"/>
      <c r="D116" s="214" t="str">
        <f>IFERROR(VLOOKUP($C116,'PORTIFÓLIO'!C:V,2,0),"")</f>
        <v/>
      </c>
      <c r="E116" s="211" t="str">
        <f>IFERROR(VLOOKUP($C116,'PORTIFÓLIO'!C:V,3,0),"")</f>
        <v/>
      </c>
      <c r="F116" s="211" t="str">
        <f>IFERROR(VLOOKUP($C116,'PORTIFÓLIO'!C:V,4,0),"")</f>
        <v/>
      </c>
      <c r="G116" s="215" t="str">
        <f>IFERROR(VLOOKUP($C116,'PORTIFÓLIO'!C:V,5,0),"")</f>
        <v/>
      </c>
      <c r="H116" s="254" t="str">
        <f t="array" ref="H116">IFERROR(INDEX('PORTIFÓLIO'!$H$4:$H$433,MATCH($C116,'PORTIFÓLIO'!$C$4:$C$433,0)),"")</f>
        <v/>
      </c>
      <c r="I116" s="255"/>
      <c r="J116" s="218">
        <f t="shared" si="14"/>
        <v>0</v>
      </c>
      <c r="K116" s="219" t="str">
        <f t="array" ref="K116">IFERROR(I116*INDEX('PORTIFÓLIO'!$S$4:$S$433,MATCH($C116,'PORTIFÓLIO'!$C$4:$C$433,0)),"")</f>
        <v/>
      </c>
      <c r="L116" s="219" t="str">
        <f t="array" ref="L116">IFERROR(J116*INDEX('PORTIFÓLIO'!$S$4:$S$433,MATCH($C116,'PORTIFÓLIO'!$C$4:$C$433,0)),"")</f>
        <v/>
      </c>
      <c r="M116" s="220"/>
      <c r="N116" s="220"/>
      <c r="O116" s="220"/>
      <c r="P116" s="220"/>
      <c r="Q116" s="220"/>
      <c r="R116" s="220"/>
      <c r="S116" s="220"/>
      <c r="T116" s="220"/>
      <c r="U116" s="220"/>
      <c r="V116" s="220"/>
      <c r="W116" s="220"/>
    </row>
    <row r="117" ht="15.75" customHeight="1" outlineLevel="1">
      <c r="A117" s="211"/>
      <c r="B117" s="212"/>
      <c r="C117" s="283"/>
      <c r="D117" s="214" t="str">
        <f>IFERROR(VLOOKUP($C117,'PORTIFÓLIO'!C:V,2,0),"")</f>
        <v/>
      </c>
      <c r="E117" s="211" t="str">
        <f>IFERROR(VLOOKUP($C117,'PORTIFÓLIO'!C:V,3,0),"")</f>
        <v/>
      </c>
      <c r="F117" s="211" t="str">
        <f>IFERROR(VLOOKUP($C117,'PORTIFÓLIO'!C:V,4,0),"")</f>
        <v/>
      </c>
      <c r="G117" s="215" t="str">
        <f>IFERROR(VLOOKUP($C117,'PORTIFÓLIO'!C:V,5,0),"")</f>
        <v/>
      </c>
      <c r="H117" s="254" t="str">
        <f t="array" ref="H117">IFERROR(INDEX('PORTIFÓLIO'!$H$4:$H$433,MATCH($C117,'PORTIFÓLIO'!$C$4:$C$433,0)),"")</f>
        <v/>
      </c>
      <c r="I117" s="255"/>
      <c r="J117" s="218">
        <f t="shared" si="14"/>
        <v>0</v>
      </c>
      <c r="K117" s="219" t="str">
        <f t="array" ref="K117">IFERROR(I117*INDEX('PORTIFÓLIO'!$S$4:$S$433,MATCH($C117,'PORTIFÓLIO'!$C$4:$C$433,0)),"")</f>
        <v/>
      </c>
      <c r="L117" s="219" t="str">
        <f t="array" ref="L117">IFERROR(J117*INDEX('PORTIFÓLIO'!$S$4:$S$433,MATCH($C117,'PORTIFÓLIO'!$C$4:$C$433,0)),"")</f>
        <v/>
      </c>
      <c r="M117" s="220"/>
      <c r="N117" s="220"/>
      <c r="O117" s="220"/>
      <c r="P117" s="220"/>
      <c r="Q117" s="220"/>
      <c r="R117" s="220"/>
      <c r="S117" s="220"/>
      <c r="T117" s="220"/>
      <c r="U117" s="220"/>
      <c r="V117" s="220"/>
      <c r="W117" s="220"/>
    </row>
    <row r="118" ht="15.75" customHeight="1" outlineLevel="1">
      <c r="A118" s="211"/>
      <c r="B118" s="212"/>
      <c r="C118" s="283"/>
      <c r="D118" s="214" t="str">
        <f>IFERROR(VLOOKUP($C118,'PORTIFÓLIO'!C:V,2,0),"")</f>
        <v/>
      </c>
      <c r="E118" s="211" t="str">
        <f>IFERROR(VLOOKUP($C118,'PORTIFÓLIO'!C:V,3,0),"")</f>
        <v/>
      </c>
      <c r="F118" s="211" t="str">
        <f>IFERROR(VLOOKUP($C118,'PORTIFÓLIO'!C:V,4,0),"")</f>
        <v/>
      </c>
      <c r="G118" s="215" t="str">
        <f>IFERROR(VLOOKUP($C118,'PORTIFÓLIO'!C:V,5,0),"")</f>
        <v/>
      </c>
      <c r="H118" s="254" t="str">
        <f t="array" ref="H118">IFERROR(INDEX('PORTIFÓLIO'!$H$4:$H$433,MATCH($C118,'PORTIFÓLIO'!$C$4:$C$433,0)),"")</f>
        <v/>
      </c>
      <c r="I118" s="255"/>
      <c r="J118" s="218">
        <f t="shared" si="14"/>
        <v>0</v>
      </c>
      <c r="K118" s="219" t="str">
        <f t="array" ref="K118">IFERROR(I118*INDEX('PORTIFÓLIO'!$S$4:$S$433,MATCH($C118,'PORTIFÓLIO'!$C$4:$C$433,0)),"")</f>
        <v/>
      </c>
      <c r="L118" s="219" t="str">
        <f t="array" ref="L118">IFERROR(J118*INDEX('PORTIFÓLIO'!$S$4:$S$433,MATCH($C118,'PORTIFÓLIO'!$C$4:$C$433,0)),"")</f>
        <v/>
      </c>
      <c r="M118" s="220"/>
      <c r="N118" s="220"/>
      <c r="O118" s="220"/>
      <c r="P118" s="220"/>
      <c r="Q118" s="220"/>
      <c r="R118" s="220"/>
      <c r="S118" s="220"/>
      <c r="T118" s="220"/>
      <c r="U118" s="220"/>
      <c r="V118" s="220"/>
      <c r="W118" s="220"/>
    </row>
    <row r="119" ht="15.75" customHeight="1" outlineLevel="1">
      <c r="A119" s="211"/>
      <c r="B119" s="212"/>
      <c r="C119" s="283"/>
      <c r="D119" s="214" t="str">
        <f>IFERROR(VLOOKUP($C119,'PORTIFÓLIO'!C:V,2,0),"")</f>
        <v/>
      </c>
      <c r="E119" s="211" t="str">
        <f>IFERROR(VLOOKUP($C119,'PORTIFÓLIO'!C:V,3,0),"")</f>
        <v/>
      </c>
      <c r="F119" s="211" t="str">
        <f>IFERROR(VLOOKUP($C119,'PORTIFÓLIO'!C:V,4,0),"")</f>
        <v/>
      </c>
      <c r="G119" s="215" t="str">
        <f>IFERROR(VLOOKUP($C119,'PORTIFÓLIO'!C:V,5,0),"")</f>
        <v/>
      </c>
      <c r="H119" s="254" t="str">
        <f t="array" ref="H119">IFERROR(INDEX('PORTIFÓLIO'!$H$4:$H$433,MATCH($C119,'PORTIFÓLIO'!$C$4:$C$433,0)),"")</f>
        <v/>
      </c>
      <c r="I119" s="255"/>
      <c r="J119" s="218">
        <f t="shared" si="14"/>
        <v>0</v>
      </c>
      <c r="K119" s="219" t="str">
        <f t="array" ref="K119">IFERROR(I119*INDEX('PORTIFÓLIO'!$S$4:$S$433,MATCH($C119,'PORTIFÓLIO'!$C$4:$C$433,0)),"")</f>
        <v/>
      </c>
      <c r="L119" s="219" t="str">
        <f t="array" ref="L119">IFERROR(J119*INDEX('PORTIFÓLIO'!$S$4:$S$433,MATCH($C119,'PORTIFÓLIO'!$C$4:$C$433,0)),"")</f>
        <v/>
      </c>
      <c r="M119" s="220"/>
      <c r="N119" s="220"/>
      <c r="O119" s="220"/>
      <c r="P119" s="220"/>
      <c r="Q119" s="220"/>
      <c r="R119" s="220"/>
      <c r="S119" s="220"/>
      <c r="T119" s="220"/>
      <c r="U119" s="220"/>
      <c r="V119" s="220"/>
      <c r="W119" s="220"/>
    </row>
    <row r="120" ht="15.75" customHeight="1" outlineLevel="1">
      <c r="A120" s="211"/>
      <c r="B120" s="212"/>
      <c r="C120" s="213"/>
      <c r="D120" s="214" t="str">
        <f>IFERROR(VLOOKUP($C120,'PORTIFÓLIO'!C:V,2,0),"")</f>
        <v/>
      </c>
      <c r="E120" s="211" t="str">
        <f>IFERROR(VLOOKUP($C120,'PORTIFÓLIO'!C:V,3,0),"")</f>
        <v/>
      </c>
      <c r="F120" s="211" t="str">
        <f>IFERROR(VLOOKUP($C120,'PORTIFÓLIO'!C:V,4,0),"")</f>
        <v/>
      </c>
      <c r="G120" s="215" t="str">
        <f>IFERROR(VLOOKUP($C120,'PORTIFÓLIO'!C:V,5,0),"")</f>
        <v/>
      </c>
      <c r="H120" s="254" t="str">
        <f t="array" ref="H120">IFERROR(INDEX('PORTIFÓLIO'!$H$4:$H$433,MATCH($C120,'PORTIFÓLIO'!$C$4:$C$433,0)),"")</f>
        <v/>
      </c>
      <c r="I120" s="255"/>
      <c r="J120" s="218">
        <f t="shared" si="14"/>
        <v>0</v>
      </c>
      <c r="K120" s="219" t="str">
        <f t="array" ref="K120">IFERROR(I120*INDEX('PORTIFÓLIO'!$S$4:$S$433,MATCH($C120,'PORTIFÓLIO'!$C$4:$C$433,0)),"")</f>
        <v/>
      </c>
      <c r="L120" s="219" t="str">
        <f t="array" ref="L120">IFERROR(J120*INDEX('PORTIFÓLIO'!$S$4:$S$433,MATCH($C120,'PORTIFÓLIO'!$C$4:$C$433,0)),"")</f>
        <v/>
      </c>
      <c r="M120" s="220"/>
      <c r="N120" s="220"/>
      <c r="O120" s="220"/>
      <c r="P120" s="220"/>
      <c r="Q120" s="220"/>
      <c r="R120" s="220"/>
      <c r="S120" s="220"/>
      <c r="T120" s="220"/>
      <c r="U120" s="220"/>
      <c r="V120" s="220"/>
      <c r="W120" s="220"/>
    </row>
    <row r="121" ht="15.75" customHeight="1" outlineLevel="1">
      <c r="A121" s="211"/>
      <c r="B121" s="212"/>
      <c r="C121" s="213"/>
      <c r="D121" s="214" t="str">
        <f>IFERROR(VLOOKUP($C121,'PORTIFÓLIO'!C:V,2,0),"")</f>
        <v/>
      </c>
      <c r="E121" s="211" t="str">
        <f>IFERROR(VLOOKUP($C121,'PORTIFÓLIO'!C:V,3,0),"")</f>
        <v/>
      </c>
      <c r="F121" s="211" t="str">
        <f>IFERROR(VLOOKUP($C121,'PORTIFÓLIO'!C:V,4,0),"")</f>
        <v/>
      </c>
      <c r="G121" s="215" t="str">
        <f>IFERROR(VLOOKUP($C121,'PORTIFÓLIO'!C:V,5,0),"")</f>
        <v/>
      </c>
      <c r="H121" s="254" t="str">
        <f t="array" ref="H121">IFERROR(INDEX('PORTIFÓLIO'!$H$4:$H$433,MATCH($C121,'PORTIFÓLIO'!$C$4:$C$433,0)),"")</f>
        <v/>
      </c>
      <c r="I121" s="255"/>
      <c r="J121" s="218">
        <f t="shared" si="14"/>
        <v>0</v>
      </c>
      <c r="K121" s="219" t="str">
        <f t="array" ref="K121">IFERROR(I121*INDEX('PORTIFÓLIO'!$S$4:$S$433,MATCH($C121,'PORTIFÓLIO'!$C$4:$C$433,0)),"")</f>
        <v/>
      </c>
      <c r="L121" s="219" t="str">
        <f t="array" ref="L121">IFERROR(J121*INDEX('PORTIFÓLIO'!$S$4:$S$433,MATCH($C121,'PORTIFÓLIO'!$C$4:$C$433,0)),"")</f>
        <v/>
      </c>
      <c r="M121" s="220"/>
      <c r="N121" s="220"/>
      <c r="O121" s="220"/>
      <c r="P121" s="220"/>
      <c r="Q121" s="220"/>
      <c r="R121" s="220"/>
      <c r="S121" s="220"/>
      <c r="T121" s="220"/>
      <c r="U121" s="220"/>
      <c r="V121" s="220"/>
      <c r="W121" s="220"/>
    </row>
    <row r="122" ht="15.75" customHeight="1" outlineLevel="1">
      <c r="A122" s="211"/>
      <c r="B122" s="212"/>
      <c r="C122" s="213"/>
      <c r="D122" s="214" t="str">
        <f>IFERROR(VLOOKUP($C122,'PORTIFÓLIO'!C:V,2,0),"")</f>
        <v/>
      </c>
      <c r="E122" s="211" t="str">
        <f>IFERROR(VLOOKUP($C122,'PORTIFÓLIO'!C:V,3,0),"")</f>
        <v/>
      </c>
      <c r="F122" s="211" t="str">
        <f>IFERROR(VLOOKUP($C122,'PORTIFÓLIO'!C:V,4,0),"")</f>
        <v/>
      </c>
      <c r="G122" s="215" t="str">
        <f>IFERROR(VLOOKUP($C122,'PORTIFÓLIO'!C:V,5,0),"")</f>
        <v/>
      </c>
      <c r="H122" s="254" t="str">
        <f t="array" ref="H122">IFERROR(INDEX('PORTIFÓLIO'!$H$4:$H$433,MATCH($C122,'PORTIFÓLIO'!$C$4:$C$433,0)),"")</f>
        <v/>
      </c>
      <c r="I122" s="255"/>
      <c r="J122" s="218">
        <f t="shared" si="14"/>
        <v>0</v>
      </c>
      <c r="K122" s="219" t="str">
        <f t="array" ref="K122">IFERROR(I122*INDEX('PORTIFÓLIO'!$S$4:$S$433,MATCH($C122,'PORTIFÓLIO'!$C$4:$C$433,0)),"")</f>
        <v/>
      </c>
      <c r="L122" s="219" t="str">
        <f t="array" ref="L122">IFERROR(J122*INDEX('PORTIFÓLIO'!$S$4:$S$433,MATCH($C122,'PORTIFÓLIO'!$C$4:$C$433,0)),"")</f>
        <v/>
      </c>
      <c r="M122" s="220"/>
      <c r="N122" s="220"/>
      <c r="O122" s="220"/>
      <c r="P122" s="220"/>
      <c r="Q122" s="220"/>
      <c r="R122" s="220"/>
      <c r="S122" s="220"/>
      <c r="T122" s="220"/>
      <c r="U122" s="220"/>
      <c r="V122" s="220"/>
      <c r="W122" s="220"/>
    </row>
    <row r="123" ht="15.75" customHeight="1" outlineLevel="1">
      <c r="A123" s="211"/>
      <c r="B123" s="212"/>
      <c r="C123" s="213"/>
      <c r="D123" s="214" t="str">
        <f>IFERROR(VLOOKUP($C123,'PORTIFÓLIO'!C:V,2,0),"")</f>
        <v/>
      </c>
      <c r="E123" s="211" t="str">
        <f>IFERROR(VLOOKUP($C123,'PORTIFÓLIO'!C:V,3,0),"")</f>
        <v/>
      </c>
      <c r="F123" s="211" t="str">
        <f>IFERROR(VLOOKUP($C123,'PORTIFÓLIO'!C:V,4,0),"")</f>
        <v/>
      </c>
      <c r="G123" s="215" t="str">
        <f>IFERROR(VLOOKUP($C123,'PORTIFÓLIO'!C:V,5,0),"")</f>
        <v/>
      </c>
      <c r="H123" s="254" t="str">
        <f t="array" ref="H123">IFERROR(INDEX('PORTIFÓLIO'!$H$4:$H$433,MATCH($C123,'PORTIFÓLIO'!$C$4:$C$433,0)),"")</f>
        <v/>
      </c>
      <c r="I123" s="255"/>
      <c r="J123" s="218">
        <f t="shared" si="14"/>
        <v>0</v>
      </c>
      <c r="K123" s="219" t="str">
        <f t="array" ref="K123">IFERROR(I123*INDEX('PORTIFÓLIO'!$S$4:$S$433,MATCH($C123,'PORTIFÓLIO'!$C$4:$C$433,0)),"")</f>
        <v/>
      </c>
      <c r="L123" s="219" t="str">
        <f t="array" ref="L123">IFERROR(J123*INDEX('PORTIFÓLIO'!$S$4:$S$433,MATCH($C123,'PORTIFÓLIO'!$C$4:$C$433,0)),"")</f>
        <v/>
      </c>
      <c r="M123" s="220"/>
      <c r="N123" s="220"/>
      <c r="O123" s="220"/>
      <c r="P123" s="220"/>
      <c r="Q123" s="220"/>
      <c r="R123" s="220"/>
      <c r="S123" s="220"/>
      <c r="T123" s="220"/>
      <c r="U123" s="220"/>
      <c r="V123" s="220"/>
      <c r="W123" s="220"/>
    </row>
    <row r="124" ht="15.75" customHeight="1" outlineLevel="1">
      <c r="A124" s="211"/>
      <c r="B124" s="212"/>
      <c r="C124" s="213"/>
      <c r="D124" s="214" t="str">
        <f>IFERROR(VLOOKUP($C124,'PORTIFÓLIO'!C:V,2,0),"")</f>
        <v/>
      </c>
      <c r="E124" s="211" t="str">
        <f>IFERROR(VLOOKUP($C124,'PORTIFÓLIO'!C:V,3,0),"")</f>
        <v/>
      </c>
      <c r="F124" s="211" t="str">
        <f>IFERROR(VLOOKUP($C124,'PORTIFÓLIO'!C:V,4,0),"")</f>
        <v/>
      </c>
      <c r="G124" s="215" t="str">
        <f>IFERROR(VLOOKUP($C124,'PORTIFÓLIO'!C:V,5,0),"")</f>
        <v/>
      </c>
      <c r="H124" s="254" t="str">
        <f t="array" ref="H124">IFERROR(INDEX('PORTIFÓLIO'!$H$4:$H$433,MATCH($C124,'PORTIFÓLIO'!$C$4:$C$433,0)),"")</f>
        <v/>
      </c>
      <c r="I124" s="256"/>
      <c r="J124" s="218">
        <f t="shared" si="14"/>
        <v>0</v>
      </c>
      <c r="K124" s="219" t="str">
        <f t="array" ref="K124">IFERROR(I124*INDEX('PORTIFÓLIO'!$S$4:$S$433,MATCH($C124,'PORTIFÓLIO'!$C$4:$C$433,0)),"")</f>
        <v/>
      </c>
      <c r="L124" s="219" t="str">
        <f t="array" ref="L124">IFERROR(J124*INDEX('PORTIFÓLIO'!$S$4:$S$433,MATCH($C124,'PORTIFÓLIO'!$C$4:$C$433,0)),"")</f>
        <v/>
      </c>
      <c r="M124" s="220"/>
      <c r="N124" s="220"/>
      <c r="O124" s="220"/>
      <c r="P124" s="220"/>
      <c r="Q124" s="220"/>
      <c r="R124" s="220"/>
      <c r="S124" s="220"/>
      <c r="T124" s="220"/>
      <c r="U124" s="220"/>
      <c r="V124" s="220"/>
      <c r="W124" s="220"/>
    </row>
    <row r="125" ht="15.75" customHeight="1" outlineLevel="1">
      <c r="A125" s="211"/>
      <c r="B125" s="212"/>
      <c r="C125" s="213"/>
      <c r="D125" s="214" t="str">
        <f>IFERROR(VLOOKUP($C125,'PORTIFÓLIO'!C:V,2,0),"")</f>
        <v/>
      </c>
      <c r="E125" s="211" t="str">
        <f>IFERROR(VLOOKUP($C125,'PORTIFÓLIO'!C:V,3,0),"")</f>
        <v/>
      </c>
      <c r="F125" s="211" t="str">
        <f>IFERROR(VLOOKUP($C125,'PORTIFÓLIO'!C:V,4,0),"")</f>
        <v/>
      </c>
      <c r="G125" s="215" t="str">
        <f>IFERROR(VLOOKUP($C125,'PORTIFÓLIO'!C:V,5,0),"")</f>
        <v/>
      </c>
      <c r="H125" s="254" t="str">
        <f t="array" ref="H125">IFERROR(INDEX('PORTIFÓLIO'!$H$4:$H$433,MATCH($C125,'PORTIFÓLIO'!$C$4:$C$433,0)),"")</f>
        <v/>
      </c>
      <c r="I125" s="256"/>
      <c r="J125" s="218">
        <f t="shared" si="14"/>
        <v>0</v>
      </c>
      <c r="K125" s="219" t="str">
        <f t="array" ref="K125">IFERROR(I125*INDEX('PORTIFÓLIO'!$S$4:$S$433,MATCH($C125,'PORTIFÓLIO'!$C$4:$C$433,0)),"")</f>
        <v/>
      </c>
      <c r="L125" s="219" t="str">
        <f t="array" ref="L125">IFERROR(J125*INDEX('PORTIFÓLIO'!$S$4:$S$433,MATCH($C125,'PORTIFÓLIO'!$C$4:$C$433,0)),"")</f>
        <v/>
      </c>
      <c r="M125" s="220"/>
      <c r="N125" s="220"/>
      <c r="O125" s="220"/>
      <c r="P125" s="220"/>
      <c r="Q125" s="220"/>
      <c r="R125" s="220"/>
      <c r="S125" s="220"/>
      <c r="T125" s="220"/>
      <c r="U125" s="220"/>
      <c r="V125" s="220"/>
      <c r="W125" s="220"/>
    </row>
    <row r="126" ht="15.75" customHeight="1" outlineLevel="1">
      <c r="A126" s="211"/>
      <c r="B126" s="212"/>
      <c r="C126" s="213"/>
      <c r="D126" s="214" t="str">
        <f>IFERROR(VLOOKUP($C126,'PORTIFÓLIO'!C:V,2,0),"")</f>
        <v/>
      </c>
      <c r="E126" s="211" t="str">
        <f>IFERROR(VLOOKUP($C126,'PORTIFÓLIO'!C:V,3,0),"")</f>
        <v/>
      </c>
      <c r="F126" s="211" t="str">
        <f>IFERROR(VLOOKUP($C126,'PORTIFÓLIO'!C:V,4,0),"")</f>
        <v/>
      </c>
      <c r="G126" s="215" t="str">
        <f>IFERROR(VLOOKUP($C126,'PORTIFÓLIO'!C:V,5,0),"")</f>
        <v/>
      </c>
      <c r="H126" s="254" t="str">
        <f t="array" ref="H126">IFERROR(INDEX('PORTIFÓLIO'!$H$4:$H$433,MATCH($C126,'PORTIFÓLIO'!$C$4:$C$433,0)),"")</f>
        <v/>
      </c>
      <c r="I126" s="256"/>
      <c r="J126" s="218">
        <f t="shared" si="14"/>
        <v>0</v>
      </c>
      <c r="K126" s="219" t="str">
        <f t="array" ref="K126">IFERROR(I126*INDEX('PORTIFÓLIO'!$S$4:$S$433,MATCH($C126,'PORTIFÓLIO'!$C$4:$C$433,0)),"")</f>
        <v/>
      </c>
      <c r="L126" s="219" t="str">
        <f t="array" ref="L126">IFERROR(J126*INDEX('PORTIFÓLIO'!$S$4:$S$433,MATCH($C126,'PORTIFÓLIO'!$C$4:$C$433,0)),"")</f>
        <v/>
      </c>
      <c r="M126" s="220"/>
      <c r="N126" s="220"/>
      <c r="O126" s="220"/>
      <c r="P126" s="220"/>
      <c r="Q126" s="220"/>
      <c r="R126" s="220"/>
      <c r="S126" s="220"/>
      <c r="T126" s="220"/>
      <c r="U126" s="220"/>
      <c r="V126" s="220"/>
      <c r="W126" s="220"/>
    </row>
    <row r="127" ht="15.75" customHeight="1" outlineLevel="1">
      <c r="A127" s="211"/>
      <c r="B127" s="212"/>
      <c r="C127" s="213"/>
      <c r="D127" s="214" t="str">
        <f>IFERROR(VLOOKUP($C127,'PORTIFÓLIO'!C:V,2,0),"")</f>
        <v/>
      </c>
      <c r="E127" s="211" t="str">
        <f>IFERROR(VLOOKUP($C127,'PORTIFÓLIO'!C:V,3,0),"")</f>
        <v/>
      </c>
      <c r="F127" s="211" t="str">
        <f>IFERROR(VLOOKUP($C127,'PORTIFÓLIO'!C:V,4,0),"")</f>
        <v/>
      </c>
      <c r="G127" s="215" t="str">
        <f>IFERROR(VLOOKUP($C127,'PORTIFÓLIO'!C:V,5,0),"")</f>
        <v/>
      </c>
      <c r="H127" s="254" t="str">
        <f t="array" ref="H127">IFERROR(INDEX('PORTIFÓLIO'!$H$4:$H$433,MATCH($C127,'PORTIFÓLIO'!$C$4:$C$433,0)),"")</f>
        <v/>
      </c>
      <c r="I127" s="256"/>
      <c r="J127" s="218">
        <f t="shared" si="14"/>
        <v>0</v>
      </c>
      <c r="K127" s="219" t="str">
        <f t="array" ref="K127">IFERROR(I127*INDEX('PORTIFÓLIO'!$S$4:$S$433,MATCH($C127,'PORTIFÓLIO'!$C$4:$C$433,0)),"")</f>
        <v/>
      </c>
      <c r="L127" s="219" t="str">
        <f t="array" ref="L127">IFERROR(J127*INDEX('PORTIFÓLIO'!$S$4:$S$433,MATCH($C127,'PORTIFÓLIO'!$C$4:$C$433,0)),"")</f>
        <v/>
      </c>
      <c r="M127" s="220"/>
      <c r="N127" s="220"/>
      <c r="O127" s="220"/>
      <c r="P127" s="220"/>
      <c r="Q127" s="220"/>
      <c r="R127" s="220"/>
      <c r="S127" s="220"/>
      <c r="T127" s="220"/>
      <c r="U127" s="220"/>
      <c r="V127" s="220"/>
      <c r="W127" s="220"/>
    </row>
    <row r="128" ht="15.75" customHeight="1" outlineLevel="1">
      <c r="A128" s="211"/>
      <c r="B128" s="212"/>
      <c r="C128" s="213"/>
      <c r="D128" s="214" t="str">
        <f>IFERROR(VLOOKUP($C128,'PORTIFÓLIO'!C:V,2,0),"")</f>
        <v/>
      </c>
      <c r="E128" s="211" t="str">
        <f>IFERROR(VLOOKUP($C128,'PORTIFÓLIO'!C:V,3,0),"")</f>
        <v/>
      </c>
      <c r="F128" s="211" t="str">
        <f>IFERROR(VLOOKUP($C128,'PORTIFÓLIO'!C:V,4,0),"")</f>
        <v/>
      </c>
      <c r="G128" s="215" t="str">
        <f>IFERROR(VLOOKUP($C128,'PORTIFÓLIO'!C:V,5,0),"")</f>
        <v/>
      </c>
      <c r="H128" s="254" t="str">
        <f t="array" ref="H128">IFERROR(INDEX('PORTIFÓLIO'!$H$4:$H$433,MATCH($C128,'PORTIFÓLIO'!$C$4:$C$433,0)),"")</f>
        <v/>
      </c>
      <c r="I128" s="256"/>
      <c r="J128" s="218">
        <f t="shared" si="14"/>
        <v>0</v>
      </c>
      <c r="K128" s="219" t="str">
        <f t="array" ref="K128">IFERROR(I128*INDEX('PORTIFÓLIO'!$S$4:$S$433,MATCH($C128,'PORTIFÓLIO'!$C$4:$C$433,0)),"")</f>
        <v/>
      </c>
      <c r="L128" s="219" t="str">
        <f t="array" ref="L128">IFERROR(J128*INDEX('PORTIFÓLIO'!$S$4:$S$433,MATCH($C128,'PORTIFÓLIO'!$C$4:$C$433,0)),"")</f>
        <v/>
      </c>
      <c r="M128" s="220"/>
      <c r="N128" s="220"/>
      <c r="O128" s="220"/>
      <c r="P128" s="220"/>
      <c r="Q128" s="220"/>
      <c r="R128" s="220"/>
      <c r="S128" s="220"/>
      <c r="T128" s="220"/>
      <c r="U128" s="220"/>
      <c r="V128" s="220"/>
      <c r="W128" s="220"/>
    </row>
    <row r="129" ht="15.75" customHeight="1" outlineLevel="1">
      <c r="A129" s="211"/>
      <c r="B129" s="212"/>
      <c r="C129" s="213"/>
      <c r="D129" s="214" t="str">
        <f>IFERROR(VLOOKUP($C129,'PORTIFÓLIO'!C:V,2,0),"")</f>
        <v/>
      </c>
      <c r="E129" s="211" t="str">
        <f>IFERROR(VLOOKUP($C129,'PORTIFÓLIO'!C:V,3,0),"")</f>
        <v/>
      </c>
      <c r="F129" s="211" t="str">
        <f>IFERROR(VLOOKUP($C129,'PORTIFÓLIO'!C:V,4,0),"")</f>
        <v/>
      </c>
      <c r="G129" s="215" t="str">
        <f>IFERROR(VLOOKUP($C129,'PORTIFÓLIO'!C:V,5,0),"")</f>
        <v/>
      </c>
      <c r="H129" s="254" t="str">
        <f t="array" ref="H129">IFERROR(INDEX('PORTIFÓLIO'!$H$4:$H$433,MATCH($C129,'PORTIFÓLIO'!$C$4:$C$433,0)),"")</f>
        <v/>
      </c>
      <c r="I129" s="256"/>
      <c r="J129" s="218">
        <f t="shared" si="14"/>
        <v>0</v>
      </c>
      <c r="K129" s="219" t="str">
        <f t="array" ref="K129">IFERROR(I129*INDEX('PORTIFÓLIO'!$S$4:$S$433,MATCH($C129,'PORTIFÓLIO'!$C$4:$C$433,0)),"")</f>
        <v/>
      </c>
      <c r="L129" s="219" t="str">
        <f t="array" ref="L129">IFERROR(J129*INDEX('PORTIFÓLIO'!$S$4:$S$433,MATCH($C129,'PORTIFÓLIO'!$C$4:$C$433,0)),"")</f>
        <v/>
      </c>
      <c r="M129" s="220"/>
      <c r="N129" s="220"/>
      <c r="O129" s="220"/>
      <c r="P129" s="220"/>
      <c r="Q129" s="220"/>
      <c r="R129" s="220"/>
      <c r="S129" s="220"/>
      <c r="T129" s="220"/>
      <c r="U129" s="220"/>
      <c r="V129" s="220"/>
      <c r="W129" s="220"/>
    </row>
    <row r="130" ht="15.75" customHeight="1" outlineLevel="1">
      <c r="A130" s="211"/>
      <c r="B130" s="227"/>
      <c r="C130" s="211"/>
      <c r="D130" s="214" t="str">
        <f>IFERROR(VLOOKUP($C130,'PORTIFÓLIO'!C:V,2,0),"")</f>
        <v/>
      </c>
      <c r="E130" s="211" t="str">
        <f>IFERROR(VLOOKUP($C130,'PORTIFÓLIO'!C:V,3,0),"")</f>
        <v/>
      </c>
      <c r="F130" s="211" t="str">
        <f>IFERROR(VLOOKUP($C130,'PORTIFÓLIO'!C:V,4,0),"")</f>
        <v/>
      </c>
      <c r="G130" s="215" t="str">
        <f>IFERROR(VLOOKUP($C130,'PORTIFÓLIO'!C:V,5,0),"")</f>
        <v/>
      </c>
      <c r="H130" s="254" t="str">
        <f t="array" ref="H130">IFERROR(INDEX('PORTIFÓLIO'!$H$4:$H$433,MATCH($C130,'PORTIFÓLIO'!$C$4:$C$433,0)),"")</f>
        <v/>
      </c>
      <c r="I130" s="256"/>
      <c r="J130" s="218"/>
      <c r="K130" s="219" t="str">
        <f t="array" ref="K130">IFERROR(I130*INDEX('PORTIFÓLIO'!$S$4:$S$433,MATCH($C130,'PORTIFÓLIO'!$C$4:$C$433,0)),"")</f>
        <v/>
      </c>
      <c r="L130" s="219" t="str">
        <f t="array" ref="L130">IFERROR(J130*INDEX('PORTIFÓLIO'!$S$4:$S$433,MATCH($C130,'PORTIFÓLIO'!$C$4:$C$433,0)),"")</f>
        <v/>
      </c>
      <c r="M130" s="220"/>
      <c r="N130" s="220"/>
      <c r="O130" s="220"/>
      <c r="P130" s="220"/>
      <c r="Q130" s="220"/>
      <c r="R130" s="220"/>
      <c r="S130" s="220"/>
      <c r="T130" s="220"/>
      <c r="U130" s="220"/>
      <c r="V130" s="220"/>
      <c r="W130" s="220"/>
    </row>
    <row r="131" ht="15.75" customHeight="1">
      <c r="A131" s="229" t="s">
        <v>1191</v>
      </c>
      <c r="B131" s="230"/>
      <c r="C131" s="231"/>
      <c r="D131" s="232"/>
      <c r="E131" s="231"/>
      <c r="F131" s="231"/>
      <c r="G131" s="233"/>
      <c r="H131" s="233"/>
      <c r="I131" s="258"/>
      <c r="J131" s="236"/>
      <c r="K131" s="237">
        <f t="shared" ref="K131:L131" si="15">SUBTOTAL(9,K132:K145)</f>
        <v>0</v>
      </c>
      <c r="L131" s="237">
        <f t="shared" si="15"/>
        <v>0</v>
      </c>
      <c r="M131" s="220"/>
      <c r="N131" s="220"/>
      <c r="O131" s="220"/>
      <c r="P131" s="220"/>
      <c r="Q131" s="220"/>
      <c r="R131" s="220"/>
      <c r="S131" s="220"/>
      <c r="T131" s="220"/>
      <c r="U131" s="220"/>
      <c r="V131" s="220"/>
      <c r="W131" s="220"/>
    </row>
    <row r="132" ht="15.75" customHeight="1" outlineLevel="1">
      <c r="A132" s="213"/>
      <c r="B132" s="212"/>
      <c r="C132" s="213"/>
      <c r="D132" s="214" t="str">
        <f>IFERROR(VLOOKUP($C132,'PORTIFÓLIO'!C:V,2,0),"")</f>
        <v/>
      </c>
      <c r="E132" s="211" t="str">
        <f>IFERROR(VLOOKUP($C132,'PORTIFÓLIO'!C:V,3,0),"")</f>
        <v/>
      </c>
      <c r="F132" s="211" t="str">
        <f>IFERROR(VLOOKUP($C132,'PORTIFÓLIO'!C:V,4,0),"")</f>
        <v/>
      </c>
      <c r="G132" s="215" t="str">
        <f>IFERROR(VLOOKUP($C132,'PORTIFÓLIO'!C:V,5,0),"")</f>
        <v/>
      </c>
      <c r="H132" s="254" t="str">
        <f t="array" ref="H132">IFERROR(INDEX('PORTIFÓLIO'!$H$4:$H$433,MATCH($C132,'PORTIFÓLIO'!$C$4:$C$433,0)),"")</f>
        <v/>
      </c>
      <c r="I132" s="255"/>
      <c r="J132" s="218">
        <f t="shared" ref="J132:J146" si="16">I132*$B$2</f>
        <v>0</v>
      </c>
      <c r="K132" s="219" t="str">
        <f t="array" ref="K132">IFERROR(I132*INDEX('PORTIFÓLIO'!$S$4:$S$433,MATCH($C132,'PORTIFÓLIO'!$C$4:$C$433,0)),"")</f>
        <v/>
      </c>
      <c r="L132" s="219" t="str">
        <f t="array" ref="L132">IFERROR(J132*INDEX('PORTIFÓLIO'!$S$4:$S$433,MATCH($C132,'PORTIFÓLIO'!$C$4:$C$433,0)),"")</f>
        <v/>
      </c>
      <c r="M132" s="220"/>
      <c r="N132" s="220"/>
      <c r="O132" s="220"/>
      <c r="P132" s="220"/>
      <c r="Q132" s="220"/>
      <c r="R132" s="220"/>
      <c r="S132" s="220"/>
      <c r="T132" s="220"/>
      <c r="U132" s="220"/>
      <c r="V132" s="220"/>
      <c r="W132" s="220"/>
    </row>
    <row r="133" ht="15.75" customHeight="1" outlineLevel="1">
      <c r="A133" s="211"/>
      <c r="B133" s="212"/>
      <c r="C133" s="213"/>
      <c r="D133" s="214" t="str">
        <f>IFERROR(VLOOKUP($C133,'PORTIFÓLIO'!C:V,2,0),"")</f>
        <v/>
      </c>
      <c r="E133" s="211" t="str">
        <f>IFERROR(VLOOKUP($C133,'PORTIFÓLIO'!C:V,3,0),"")</f>
        <v/>
      </c>
      <c r="F133" s="211" t="str">
        <f>IFERROR(VLOOKUP($C133,'PORTIFÓLIO'!C:V,4,0),"")</f>
        <v/>
      </c>
      <c r="G133" s="215" t="str">
        <f>IFERROR(VLOOKUP($C133,'PORTIFÓLIO'!C:V,5,0),"")</f>
        <v/>
      </c>
      <c r="H133" s="254" t="str">
        <f t="array" ref="H133">IFERROR(INDEX('PORTIFÓLIO'!$H$4:$H$433,MATCH($C133,'PORTIFÓLIO'!$C$4:$C$433,0)),"")</f>
        <v/>
      </c>
      <c r="I133" s="255"/>
      <c r="J133" s="218">
        <f t="shared" si="16"/>
        <v>0</v>
      </c>
      <c r="K133" s="219" t="str">
        <f t="array" ref="K133">IFERROR(I133*INDEX('PORTIFÓLIO'!$S$4:$S$433,MATCH($C133,'PORTIFÓLIO'!$C$4:$C$433,0)),"")</f>
        <v/>
      </c>
      <c r="L133" s="219" t="str">
        <f t="array" ref="L133">IFERROR(J133*INDEX('PORTIFÓLIO'!$S$4:$S$433,MATCH($C133,'PORTIFÓLIO'!$C$4:$C$433,0)),"")</f>
        <v/>
      </c>
      <c r="M133" s="220"/>
      <c r="N133" s="220"/>
      <c r="O133" s="220"/>
      <c r="P133" s="220"/>
      <c r="Q133" s="220"/>
      <c r="R133" s="220"/>
      <c r="S133" s="220"/>
      <c r="T133" s="220"/>
      <c r="U133" s="220"/>
      <c r="V133" s="220"/>
      <c r="W133" s="220"/>
    </row>
    <row r="134" ht="15.75" customHeight="1" outlineLevel="1">
      <c r="A134" s="211"/>
      <c r="B134" s="212"/>
      <c r="C134" s="213"/>
      <c r="D134" s="214" t="str">
        <f>IFERROR(VLOOKUP($C134,'PORTIFÓLIO'!C:V,2,0),"")</f>
        <v/>
      </c>
      <c r="E134" s="211" t="str">
        <f>IFERROR(VLOOKUP($C134,'PORTIFÓLIO'!C:V,3,0),"")</f>
        <v/>
      </c>
      <c r="F134" s="211" t="str">
        <f>IFERROR(VLOOKUP($C134,'PORTIFÓLIO'!C:V,4,0),"")</f>
        <v/>
      </c>
      <c r="G134" s="215" t="str">
        <f>IFERROR(VLOOKUP($C134,'PORTIFÓLIO'!C:V,5,0),"")</f>
        <v/>
      </c>
      <c r="H134" s="254" t="str">
        <f t="array" ref="H134">IFERROR(INDEX('PORTIFÓLIO'!$H$4:$H$433,MATCH($C134,'PORTIFÓLIO'!$C$4:$C$433,0)),"")</f>
        <v/>
      </c>
      <c r="I134" s="255"/>
      <c r="J134" s="218">
        <f t="shared" si="16"/>
        <v>0</v>
      </c>
      <c r="K134" s="219" t="str">
        <f t="array" ref="K134">IFERROR(I134*INDEX('PORTIFÓLIO'!$S$4:$S$433,MATCH($C134,'PORTIFÓLIO'!$C$4:$C$433,0)),"")</f>
        <v/>
      </c>
      <c r="L134" s="219" t="str">
        <f t="array" ref="L134">IFERROR(J134*INDEX('PORTIFÓLIO'!$S$4:$S$433,MATCH($C134,'PORTIFÓLIO'!$C$4:$C$433,0)),"")</f>
        <v/>
      </c>
      <c r="M134" s="220"/>
      <c r="N134" s="220"/>
      <c r="O134" s="220"/>
      <c r="P134" s="220"/>
      <c r="Q134" s="220"/>
      <c r="R134" s="220"/>
      <c r="S134" s="220"/>
      <c r="T134" s="220"/>
      <c r="U134" s="220"/>
      <c r="V134" s="220"/>
      <c r="W134" s="220"/>
    </row>
    <row r="135" ht="15.75" customHeight="1" outlineLevel="1">
      <c r="A135" s="211"/>
      <c r="B135" s="212"/>
      <c r="C135" s="213"/>
      <c r="D135" s="214" t="str">
        <f>IFERROR(VLOOKUP($C135,'PORTIFÓLIO'!C:V,2,0),"")</f>
        <v/>
      </c>
      <c r="E135" s="211" t="str">
        <f>IFERROR(VLOOKUP($C135,'PORTIFÓLIO'!C:V,3,0),"")</f>
        <v/>
      </c>
      <c r="F135" s="211" t="str">
        <f>IFERROR(VLOOKUP($C135,'PORTIFÓLIO'!C:V,4,0),"")</f>
        <v/>
      </c>
      <c r="G135" s="215" t="str">
        <f>IFERROR(VLOOKUP($C135,'PORTIFÓLIO'!C:V,5,0),"")</f>
        <v/>
      </c>
      <c r="H135" s="254" t="str">
        <f t="array" ref="H135">IFERROR(INDEX('PORTIFÓLIO'!$H$4:$H$433,MATCH($C135,'PORTIFÓLIO'!$C$4:$C$433,0)),"")</f>
        <v/>
      </c>
      <c r="I135" s="255"/>
      <c r="J135" s="218">
        <f t="shared" si="16"/>
        <v>0</v>
      </c>
      <c r="K135" s="219" t="str">
        <f t="array" ref="K135">IFERROR(I135*INDEX('PORTIFÓLIO'!$S$4:$S$433,MATCH($C135,'PORTIFÓLIO'!$C$4:$C$433,0)),"")</f>
        <v/>
      </c>
      <c r="L135" s="219" t="str">
        <f t="array" ref="L135">IFERROR(J135*INDEX('PORTIFÓLIO'!$S$4:$S$433,MATCH($C135,'PORTIFÓLIO'!$C$4:$C$433,0)),"")</f>
        <v/>
      </c>
      <c r="M135" s="220"/>
      <c r="N135" s="220"/>
      <c r="O135" s="220"/>
      <c r="P135" s="220"/>
      <c r="Q135" s="220"/>
      <c r="R135" s="220"/>
      <c r="S135" s="220"/>
      <c r="T135" s="220"/>
      <c r="U135" s="220"/>
      <c r="V135" s="220"/>
      <c r="W135" s="220"/>
    </row>
    <row r="136" ht="15.75" customHeight="1" outlineLevel="1">
      <c r="A136" s="211"/>
      <c r="B136" s="212"/>
      <c r="C136" s="213"/>
      <c r="D136" s="214" t="str">
        <f>IFERROR(VLOOKUP($C136,'PORTIFÓLIO'!C:V,2,0),"")</f>
        <v/>
      </c>
      <c r="E136" s="211" t="str">
        <f>IFERROR(VLOOKUP($C136,'PORTIFÓLIO'!C:V,3,0),"")</f>
        <v/>
      </c>
      <c r="F136" s="211" t="str">
        <f>IFERROR(VLOOKUP($C136,'PORTIFÓLIO'!C:V,4,0),"")</f>
        <v/>
      </c>
      <c r="G136" s="215" t="str">
        <f>IFERROR(VLOOKUP($C136,'PORTIFÓLIO'!C:V,5,0),"")</f>
        <v/>
      </c>
      <c r="H136" s="254" t="str">
        <f t="array" ref="H136">IFERROR(INDEX('PORTIFÓLIO'!$H$4:$H$433,MATCH($C136,'PORTIFÓLIO'!$C$4:$C$433,0)),"")</f>
        <v/>
      </c>
      <c r="I136" s="256"/>
      <c r="J136" s="218">
        <f t="shared" si="16"/>
        <v>0</v>
      </c>
      <c r="K136" s="219" t="str">
        <f t="array" ref="K136">IFERROR(I136*INDEX('PORTIFÓLIO'!$S$4:$S$433,MATCH($C136,'PORTIFÓLIO'!$C$4:$C$433,0)),"")</f>
        <v/>
      </c>
      <c r="L136" s="219" t="str">
        <f t="array" ref="L136">IFERROR(J136*INDEX('PORTIFÓLIO'!$S$4:$S$433,MATCH($C136,'PORTIFÓLIO'!$C$4:$C$433,0)),"")</f>
        <v/>
      </c>
      <c r="M136" s="220"/>
      <c r="N136" s="220"/>
      <c r="O136" s="220"/>
      <c r="P136" s="220"/>
      <c r="Q136" s="220"/>
      <c r="R136" s="220"/>
      <c r="S136" s="220"/>
      <c r="T136" s="220"/>
      <c r="U136" s="220"/>
      <c r="V136" s="220"/>
      <c r="W136" s="220"/>
    </row>
    <row r="137" ht="15.75" customHeight="1" outlineLevel="1">
      <c r="A137" s="211"/>
      <c r="B137" s="212"/>
      <c r="C137" s="213"/>
      <c r="D137" s="214" t="str">
        <f>IFERROR(VLOOKUP($C137,'PORTIFÓLIO'!C:V,2,0),"")</f>
        <v/>
      </c>
      <c r="E137" s="211" t="str">
        <f>IFERROR(VLOOKUP($C137,'PORTIFÓLIO'!C:V,3,0),"")</f>
        <v/>
      </c>
      <c r="F137" s="211" t="str">
        <f>IFERROR(VLOOKUP($C137,'PORTIFÓLIO'!C:V,4,0),"")</f>
        <v/>
      </c>
      <c r="G137" s="215" t="str">
        <f>IFERROR(VLOOKUP($C137,'PORTIFÓLIO'!C:V,5,0),"")</f>
        <v/>
      </c>
      <c r="H137" s="254" t="str">
        <f t="array" ref="H137">IFERROR(INDEX('PORTIFÓLIO'!$H$4:$H$433,MATCH($C137,'PORTIFÓLIO'!$C$4:$C$433,0)),"")</f>
        <v/>
      </c>
      <c r="I137" s="256"/>
      <c r="J137" s="218">
        <f t="shared" si="16"/>
        <v>0</v>
      </c>
      <c r="K137" s="219" t="str">
        <f t="array" ref="K137">IFERROR(I137*INDEX('PORTIFÓLIO'!$S$4:$S$433,MATCH($C137,'PORTIFÓLIO'!$C$4:$C$433,0)),"")</f>
        <v/>
      </c>
      <c r="L137" s="219" t="str">
        <f t="array" ref="L137">IFERROR(J137*INDEX('PORTIFÓLIO'!$S$4:$S$433,MATCH($C137,'PORTIFÓLIO'!$C$4:$C$433,0)),"")</f>
        <v/>
      </c>
      <c r="M137" s="220"/>
      <c r="N137" s="220"/>
      <c r="O137" s="220"/>
      <c r="P137" s="220"/>
      <c r="Q137" s="220"/>
      <c r="R137" s="220"/>
      <c r="S137" s="220"/>
      <c r="T137" s="220"/>
      <c r="U137" s="220"/>
      <c r="V137" s="220"/>
      <c r="W137" s="220"/>
    </row>
    <row r="138" ht="15.75" customHeight="1" outlineLevel="1">
      <c r="A138" s="211"/>
      <c r="B138" s="212"/>
      <c r="C138" s="213"/>
      <c r="D138" s="214" t="str">
        <f>IFERROR(VLOOKUP($C138,'PORTIFÓLIO'!C:V,2,0),"")</f>
        <v/>
      </c>
      <c r="E138" s="211" t="str">
        <f>IFERROR(VLOOKUP($C138,'PORTIFÓLIO'!C:V,3,0),"")</f>
        <v/>
      </c>
      <c r="F138" s="211" t="str">
        <f>IFERROR(VLOOKUP($C138,'PORTIFÓLIO'!C:V,4,0),"")</f>
        <v/>
      </c>
      <c r="G138" s="215" t="str">
        <f>IFERROR(VLOOKUP($C138,'PORTIFÓLIO'!C:V,5,0),"")</f>
        <v/>
      </c>
      <c r="H138" s="254" t="str">
        <f t="array" ref="H138">IFERROR(INDEX('PORTIFÓLIO'!$H$4:$H$433,MATCH($C138,'PORTIFÓLIO'!$C$4:$C$433,0)),"")</f>
        <v/>
      </c>
      <c r="I138" s="256"/>
      <c r="J138" s="218">
        <f t="shared" si="16"/>
        <v>0</v>
      </c>
      <c r="K138" s="219" t="str">
        <f t="array" ref="K138">IFERROR(I138*INDEX('PORTIFÓLIO'!$S$4:$S$433,MATCH($C138,'PORTIFÓLIO'!$C$4:$C$433,0)),"")</f>
        <v/>
      </c>
      <c r="L138" s="219" t="str">
        <f t="array" ref="L138">IFERROR(J138*INDEX('PORTIFÓLIO'!$S$4:$S$433,MATCH($C138,'PORTIFÓLIO'!$C$4:$C$433,0)),"")</f>
        <v/>
      </c>
      <c r="M138" s="220"/>
      <c r="N138" s="220"/>
      <c r="O138" s="220"/>
      <c r="P138" s="220"/>
      <c r="Q138" s="220"/>
      <c r="R138" s="220"/>
      <c r="S138" s="220"/>
      <c r="T138" s="220"/>
      <c r="U138" s="220"/>
      <c r="V138" s="220"/>
      <c r="W138" s="220"/>
    </row>
    <row r="139" ht="15.75" customHeight="1" outlineLevel="1">
      <c r="A139" s="211"/>
      <c r="B139" s="212"/>
      <c r="C139" s="213"/>
      <c r="D139" s="214" t="str">
        <f>IFERROR(VLOOKUP($C139,'PORTIFÓLIO'!C:V,2,0),"")</f>
        <v/>
      </c>
      <c r="E139" s="211" t="str">
        <f>IFERROR(VLOOKUP($C139,'PORTIFÓLIO'!C:V,3,0),"")</f>
        <v/>
      </c>
      <c r="F139" s="211" t="str">
        <f>IFERROR(VLOOKUP($C139,'PORTIFÓLIO'!C:V,4,0),"")</f>
        <v/>
      </c>
      <c r="G139" s="215" t="str">
        <f>IFERROR(VLOOKUP($C139,'PORTIFÓLIO'!C:V,5,0),"")</f>
        <v/>
      </c>
      <c r="H139" s="254" t="str">
        <f t="array" ref="H139">IFERROR(INDEX('PORTIFÓLIO'!$H$4:$H$433,MATCH($C139,'PORTIFÓLIO'!$C$4:$C$433,0)),"")</f>
        <v/>
      </c>
      <c r="I139" s="256"/>
      <c r="J139" s="218">
        <f t="shared" si="16"/>
        <v>0</v>
      </c>
      <c r="K139" s="219" t="str">
        <f t="array" ref="K139">IFERROR(I139*INDEX('PORTIFÓLIO'!$S$4:$S$433,MATCH($C139,'PORTIFÓLIO'!$C$4:$C$433,0)),"")</f>
        <v/>
      </c>
      <c r="L139" s="219" t="str">
        <f t="array" ref="L139">IFERROR(J139*INDEX('PORTIFÓLIO'!$S$4:$S$433,MATCH($C139,'PORTIFÓLIO'!$C$4:$C$433,0)),"")</f>
        <v/>
      </c>
      <c r="M139" s="220"/>
      <c r="N139" s="220"/>
      <c r="O139" s="220"/>
      <c r="P139" s="220"/>
      <c r="Q139" s="220"/>
      <c r="R139" s="220"/>
      <c r="S139" s="220"/>
      <c r="T139" s="220"/>
      <c r="U139" s="220"/>
      <c r="V139" s="220"/>
      <c r="W139" s="220"/>
    </row>
    <row r="140" ht="15.75" customHeight="1" outlineLevel="1">
      <c r="A140" s="211"/>
      <c r="B140" s="212"/>
      <c r="C140" s="213"/>
      <c r="D140" s="214" t="str">
        <f>IFERROR(VLOOKUP($C140,'PORTIFÓLIO'!C:V,2,0),"")</f>
        <v/>
      </c>
      <c r="E140" s="211" t="str">
        <f>IFERROR(VLOOKUP($C140,'PORTIFÓLIO'!C:V,3,0),"")</f>
        <v/>
      </c>
      <c r="F140" s="211" t="str">
        <f>IFERROR(VLOOKUP($C140,'PORTIFÓLIO'!C:V,4,0),"")</f>
        <v/>
      </c>
      <c r="G140" s="215" t="str">
        <f>IFERROR(VLOOKUP($C140,'PORTIFÓLIO'!C:V,5,0),"")</f>
        <v/>
      </c>
      <c r="H140" s="254" t="str">
        <f t="array" ref="H140">IFERROR(INDEX('PORTIFÓLIO'!$H$4:$H$433,MATCH($C140,'PORTIFÓLIO'!$C$4:$C$433,0)),"")</f>
        <v/>
      </c>
      <c r="I140" s="255"/>
      <c r="J140" s="218">
        <f t="shared" si="16"/>
        <v>0</v>
      </c>
      <c r="K140" s="219" t="str">
        <f t="array" ref="K140">IFERROR(I140*INDEX('PORTIFÓLIO'!$S$4:$S$433,MATCH($C140,'PORTIFÓLIO'!$C$4:$C$433,0)),"")</f>
        <v/>
      </c>
      <c r="L140" s="219" t="str">
        <f t="array" ref="L140">IFERROR(J140*INDEX('PORTIFÓLIO'!$S$4:$S$433,MATCH($C140,'PORTIFÓLIO'!$C$4:$C$433,0)),"")</f>
        <v/>
      </c>
      <c r="M140" s="220"/>
      <c r="N140" s="220"/>
      <c r="O140" s="220"/>
      <c r="P140" s="220"/>
      <c r="Q140" s="220"/>
      <c r="R140" s="220"/>
      <c r="S140" s="220"/>
      <c r="T140" s="220"/>
      <c r="U140" s="220"/>
      <c r="V140" s="220"/>
      <c r="W140" s="220"/>
    </row>
    <row r="141" ht="15.75" customHeight="1" outlineLevel="1">
      <c r="A141" s="211"/>
      <c r="B141" s="212"/>
      <c r="C141" s="213"/>
      <c r="D141" s="214" t="str">
        <f>IFERROR(VLOOKUP($C141,'PORTIFÓLIO'!C:V,2,0),"")</f>
        <v/>
      </c>
      <c r="E141" s="211" t="str">
        <f>IFERROR(VLOOKUP($C141,'PORTIFÓLIO'!C:V,3,0),"")</f>
        <v/>
      </c>
      <c r="F141" s="211" t="str">
        <f>IFERROR(VLOOKUP($C141,'PORTIFÓLIO'!C:V,4,0),"")</f>
        <v/>
      </c>
      <c r="G141" s="215" t="str">
        <f>IFERROR(VLOOKUP($C141,'PORTIFÓLIO'!C:V,5,0),"")</f>
        <v/>
      </c>
      <c r="H141" s="254" t="str">
        <f t="array" ref="H141">IFERROR(INDEX('PORTIFÓLIO'!$H$4:$H$433,MATCH($C141,'PORTIFÓLIO'!$C$4:$C$433,0)),"")</f>
        <v/>
      </c>
      <c r="I141" s="256"/>
      <c r="J141" s="218">
        <f t="shared" si="16"/>
        <v>0</v>
      </c>
      <c r="K141" s="219" t="str">
        <f t="array" ref="K141">IFERROR(I141*INDEX('PORTIFÓLIO'!$S$4:$S$433,MATCH($C141,'PORTIFÓLIO'!$C$4:$C$433,0)),"")</f>
        <v/>
      </c>
      <c r="L141" s="219" t="str">
        <f t="array" ref="L141">IFERROR(J141*INDEX('PORTIFÓLIO'!$S$4:$S$433,MATCH($C141,'PORTIFÓLIO'!$C$4:$C$433,0)),"")</f>
        <v/>
      </c>
      <c r="M141" s="220"/>
      <c r="N141" s="220"/>
      <c r="O141" s="220"/>
      <c r="P141" s="220"/>
      <c r="Q141" s="220"/>
      <c r="R141" s="220"/>
      <c r="S141" s="220"/>
      <c r="T141" s="220"/>
      <c r="U141" s="220"/>
      <c r="V141" s="220"/>
      <c r="W141" s="220"/>
    </row>
    <row r="142" ht="15.75" customHeight="1" outlineLevel="1">
      <c r="A142" s="211"/>
      <c r="B142" s="212"/>
      <c r="C142" s="213"/>
      <c r="D142" s="214" t="str">
        <f>IFERROR(VLOOKUP($C142,'PORTIFÓLIO'!C:V,2,0),"")</f>
        <v/>
      </c>
      <c r="E142" s="211" t="str">
        <f>IFERROR(VLOOKUP($C142,'PORTIFÓLIO'!C:V,3,0),"")</f>
        <v/>
      </c>
      <c r="F142" s="211" t="str">
        <f>IFERROR(VLOOKUP($C142,'PORTIFÓLIO'!C:V,4,0),"")</f>
        <v/>
      </c>
      <c r="G142" s="215" t="str">
        <f>IFERROR(VLOOKUP($C142,'PORTIFÓLIO'!C:V,5,0),"")</f>
        <v/>
      </c>
      <c r="H142" s="254" t="str">
        <f t="array" ref="H142">IFERROR(INDEX('PORTIFÓLIO'!$H$4:$H$433,MATCH($C142,'PORTIFÓLIO'!$C$4:$C$433,0)),"")</f>
        <v/>
      </c>
      <c r="I142" s="256"/>
      <c r="J142" s="218">
        <f t="shared" si="16"/>
        <v>0</v>
      </c>
      <c r="K142" s="219" t="str">
        <f t="array" ref="K142">IFERROR(I142*INDEX('PORTIFÓLIO'!$S$4:$S$433,MATCH($C142,'PORTIFÓLIO'!$C$4:$C$433,0)),"")</f>
        <v/>
      </c>
      <c r="L142" s="219" t="str">
        <f t="array" ref="L142">IFERROR(J142*INDEX('PORTIFÓLIO'!$S$4:$S$433,MATCH($C142,'PORTIFÓLIO'!$C$4:$C$433,0)),"")</f>
        <v/>
      </c>
      <c r="M142" s="220"/>
      <c r="N142" s="220"/>
      <c r="O142" s="220"/>
      <c r="P142" s="220"/>
      <c r="Q142" s="220"/>
      <c r="R142" s="220"/>
      <c r="S142" s="220"/>
      <c r="T142" s="220"/>
      <c r="U142" s="220"/>
      <c r="V142" s="220"/>
      <c r="W142" s="220"/>
    </row>
    <row r="143" ht="15.75" customHeight="1" outlineLevel="1">
      <c r="A143" s="211"/>
      <c r="B143" s="212"/>
      <c r="C143" s="213"/>
      <c r="D143" s="214" t="str">
        <f>IFERROR(VLOOKUP($C143,'PORTIFÓLIO'!C:V,2,0),"")</f>
        <v/>
      </c>
      <c r="E143" s="211" t="str">
        <f>IFERROR(VLOOKUP($C143,'PORTIFÓLIO'!C:V,3,0),"")</f>
        <v/>
      </c>
      <c r="F143" s="211" t="str">
        <f>IFERROR(VLOOKUP($C143,'PORTIFÓLIO'!C:V,4,0),"")</f>
        <v/>
      </c>
      <c r="G143" s="215" t="str">
        <f>IFERROR(VLOOKUP($C143,'PORTIFÓLIO'!C:V,5,0),"")</f>
        <v/>
      </c>
      <c r="H143" s="254" t="str">
        <f t="array" ref="H143">IFERROR(INDEX('PORTIFÓLIO'!$H$4:$H$433,MATCH($C143,'PORTIFÓLIO'!$C$4:$C$433,0)),"")</f>
        <v/>
      </c>
      <c r="I143" s="256"/>
      <c r="J143" s="218">
        <f t="shared" si="16"/>
        <v>0</v>
      </c>
      <c r="K143" s="219" t="str">
        <f t="array" ref="K143">IFERROR(I143*INDEX('PORTIFÓLIO'!$S$4:$S$433,MATCH($C143,'PORTIFÓLIO'!$C$4:$C$433,0)),"")</f>
        <v/>
      </c>
      <c r="L143" s="219" t="str">
        <f t="array" ref="L143">IFERROR(J143*INDEX('PORTIFÓLIO'!$S$4:$S$433,MATCH($C143,'PORTIFÓLIO'!$C$4:$C$433,0)),"")</f>
        <v/>
      </c>
      <c r="M143" s="220"/>
      <c r="N143" s="220"/>
      <c r="O143" s="220"/>
      <c r="P143" s="220"/>
      <c r="Q143" s="220"/>
      <c r="R143" s="220"/>
      <c r="S143" s="220"/>
      <c r="T143" s="220"/>
      <c r="U143" s="220"/>
      <c r="V143" s="220"/>
      <c r="W143" s="220"/>
    </row>
    <row r="144" ht="15.75" customHeight="1" outlineLevel="1">
      <c r="A144" s="211"/>
      <c r="B144" s="212"/>
      <c r="C144" s="213"/>
      <c r="D144" s="214" t="str">
        <f>IFERROR(VLOOKUP($C144,'PORTIFÓLIO'!C:V,2,0),"")</f>
        <v/>
      </c>
      <c r="E144" s="211" t="str">
        <f>IFERROR(VLOOKUP($C144,'PORTIFÓLIO'!C:V,3,0),"")</f>
        <v/>
      </c>
      <c r="F144" s="211" t="str">
        <f>IFERROR(VLOOKUP($C144,'PORTIFÓLIO'!C:V,4,0),"")</f>
        <v/>
      </c>
      <c r="G144" s="215" t="str">
        <f>IFERROR(VLOOKUP($C144,'PORTIFÓLIO'!C:V,5,0),"")</f>
        <v/>
      </c>
      <c r="H144" s="254" t="str">
        <f t="array" ref="H144">IFERROR(INDEX('PORTIFÓLIO'!$H$4:$H$433,MATCH($C144,'PORTIFÓLIO'!$C$4:$C$433,0)),"")</f>
        <v/>
      </c>
      <c r="I144" s="256"/>
      <c r="J144" s="218">
        <f t="shared" si="16"/>
        <v>0</v>
      </c>
      <c r="K144" s="219" t="str">
        <f t="array" ref="K144">IFERROR(I144*INDEX('PORTIFÓLIO'!$S$4:$S$433,MATCH($C144,'PORTIFÓLIO'!$C$4:$C$433,0)),"")</f>
        <v/>
      </c>
      <c r="L144" s="219" t="str">
        <f t="array" ref="L144">IFERROR(J144*INDEX('PORTIFÓLIO'!$S$4:$S$433,MATCH($C144,'PORTIFÓLIO'!$C$4:$C$433,0)),"")</f>
        <v/>
      </c>
      <c r="M144" s="220"/>
      <c r="N144" s="220"/>
      <c r="O144" s="220"/>
      <c r="P144" s="220"/>
      <c r="Q144" s="220"/>
      <c r="R144" s="220"/>
      <c r="S144" s="220"/>
      <c r="T144" s="220"/>
      <c r="U144" s="220"/>
      <c r="V144" s="220"/>
      <c r="W144" s="220"/>
    </row>
    <row r="145" ht="15.75" customHeight="1" outlineLevel="1">
      <c r="A145" s="211"/>
      <c r="B145" s="212"/>
      <c r="C145" s="213"/>
      <c r="D145" s="214" t="str">
        <f>IFERROR(VLOOKUP($C145,'PORTIFÓLIO'!C:V,2,0),"")</f>
        <v/>
      </c>
      <c r="E145" s="211" t="str">
        <f>IFERROR(VLOOKUP($C145,'PORTIFÓLIO'!C:V,3,0),"")</f>
        <v/>
      </c>
      <c r="F145" s="211" t="str">
        <f>IFERROR(VLOOKUP($C145,'PORTIFÓLIO'!C:V,4,0),"")</f>
        <v/>
      </c>
      <c r="G145" s="215" t="str">
        <f>IFERROR(VLOOKUP($C145,'PORTIFÓLIO'!C:V,5,0),"")</f>
        <v/>
      </c>
      <c r="H145" s="254" t="str">
        <f t="array" ref="H145">IFERROR(INDEX('PORTIFÓLIO'!$H$4:$H$433,MATCH($C145,'PORTIFÓLIO'!$C$4:$C$433,0)),"")</f>
        <v/>
      </c>
      <c r="I145" s="256"/>
      <c r="J145" s="218">
        <f t="shared" si="16"/>
        <v>0</v>
      </c>
      <c r="K145" s="219" t="str">
        <f t="array" ref="K145">IFERROR(I145*INDEX('PORTIFÓLIO'!$S$4:$S$433,MATCH($C145,'PORTIFÓLIO'!$C$4:$C$433,0)),"")</f>
        <v/>
      </c>
      <c r="L145" s="219" t="str">
        <f t="array" ref="L145">IFERROR(J145*INDEX('PORTIFÓLIO'!$S$4:$S$433,MATCH($C145,'PORTIFÓLIO'!$C$4:$C$433,0)),"")</f>
        <v/>
      </c>
      <c r="M145" s="220"/>
      <c r="N145" s="220"/>
      <c r="O145" s="220"/>
      <c r="P145" s="220"/>
      <c r="Q145" s="220"/>
      <c r="R145" s="220"/>
      <c r="S145" s="220"/>
      <c r="T145" s="220"/>
      <c r="U145" s="220"/>
      <c r="V145" s="220"/>
      <c r="W145" s="220"/>
    </row>
    <row r="146" ht="15.75" customHeight="1" outlineLevel="1">
      <c r="A146" s="211"/>
      <c r="B146" s="212"/>
      <c r="C146" s="213"/>
      <c r="D146" s="214" t="str">
        <f>IFERROR(VLOOKUP($C146,'PORTIFÓLIO'!C:V,2,0),"")</f>
        <v/>
      </c>
      <c r="E146" s="211" t="str">
        <f>IFERROR(VLOOKUP($C146,'PORTIFÓLIO'!C:V,3,0),"")</f>
        <v/>
      </c>
      <c r="F146" s="211" t="str">
        <f>IFERROR(VLOOKUP($C146,'PORTIFÓLIO'!C:V,4,0),"")</f>
        <v/>
      </c>
      <c r="G146" s="215" t="str">
        <f>IFERROR(VLOOKUP($C146,'PORTIFÓLIO'!C:V,5,0),"")</f>
        <v/>
      </c>
      <c r="H146" s="254" t="str">
        <f t="array" ref="H146">IFERROR(INDEX('PORTIFÓLIO'!$H$4:$H$433,MATCH($C146,'PORTIFÓLIO'!$C$4:$C$433,0)),"")</f>
        <v/>
      </c>
      <c r="I146" s="256"/>
      <c r="J146" s="218">
        <f t="shared" si="16"/>
        <v>0</v>
      </c>
      <c r="K146" s="219" t="str">
        <f t="array" ref="K146">IFERROR(I146*INDEX('PORTIFÓLIO'!$S$4:$S$433,MATCH($C146,'PORTIFÓLIO'!$C$4:$C$433,0)),"")</f>
        <v/>
      </c>
      <c r="L146" s="219" t="str">
        <f t="array" ref="L146">IFERROR(J146*INDEX('PORTIFÓLIO'!$S$4:$S$433,MATCH($C146,'PORTIFÓLIO'!$C$4:$C$433,0)),"")</f>
        <v/>
      </c>
      <c r="M146" s="220"/>
      <c r="N146" s="220"/>
      <c r="O146" s="220"/>
      <c r="P146" s="220"/>
      <c r="Q146" s="220"/>
      <c r="R146" s="220"/>
      <c r="S146" s="220"/>
      <c r="T146" s="220"/>
      <c r="U146" s="220"/>
      <c r="V146" s="220"/>
      <c r="W146" s="220"/>
    </row>
    <row r="147" ht="15.75" customHeight="1" outlineLevel="1">
      <c r="A147" s="211"/>
      <c r="B147" s="227"/>
      <c r="C147" s="211"/>
      <c r="D147" s="214" t="str">
        <f>IFERROR(VLOOKUP($C147,'PORTIFÓLIO'!C:V,2,0),"")</f>
        <v/>
      </c>
      <c r="E147" s="211" t="str">
        <f>IFERROR(VLOOKUP($C147,'PORTIFÓLIO'!C:V,3,0),"")</f>
        <v/>
      </c>
      <c r="F147" s="211" t="str">
        <f>IFERROR(VLOOKUP($C147,'PORTIFÓLIO'!C:V,4,0),"")</f>
        <v/>
      </c>
      <c r="G147" s="215" t="str">
        <f>IFERROR(VLOOKUP($C147,'PORTIFÓLIO'!C:V,5,0),"")</f>
        <v/>
      </c>
      <c r="H147" s="254" t="str">
        <f t="array" ref="H147">IFERROR(INDEX('PORTIFÓLIO'!$H$4:$H$433,MATCH($C147,'PORTIFÓLIO'!$C$4:$C$433,0)),"")</f>
        <v/>
      </c>
      <c r="I147" s="256"/>
      <c r="J147" s="218"/>
      <c r="K147" s="219" t="str">
        <f t="array" ref="K147">IFERROR(I147*INDEX('PORTIFÓLIO'!$S$4:$S$433,MATCH($C147,'PORTIFÓLIO'!$C$4:$C$433,0)),"")</f>
        <v/>
      </c>
      <c r="L147" s="219" t="str">
        <f t="array" ref="L147">IFERROR(J147*INDEX('PORTIFÓLIO'!$S$4:$S$433,MATCH($C147,'PORTIFÓLIO'!$C$4:$C$433,0)),"")</f>
        <v/>
      </c>
      <c r="M147" s="220"/>
      <c r="N147" s="220"/>
      <c r="O147" s="220"/>
      <c r="P147" s="220"/>
      <c r="Q147" s="220"/>
      <c r="R147" s="220"/>
      <c r="S147" s="220"/>
      <c r="T147" s="220"/>
      <c r="U147" s="220"/>
      <c r="V147" s="220"/>
      <c r="W147" s="220"/>
    </row>
    <row r="148" ht="15.75" customHeight="1">
      <c r="A148" s="229" t="s">
        <v>1192</v>
      </c>
      <c r="B148" s="230"/>
      <c r="C148" s="231"/>
      <c r="D148" s="232"/>
      <c r="E148" s="231"/>
      <c r="F148" s="231"/>
      <c r="G148" s="233"/>
      <c r="H148" s="233"/>
      <c r="I148" s="258"/>
      <c r="J148" s="236"/>
      <c r="K148" s="237">
        <f t="shared" ref="K148:L148" si="17">SUBTOTAL(9,K149:K162)</f>
        <v>0</v>
      </c>
      <c r="L148" s="237">
        <f t="shared" si="17"/>
        <v>0</v>
      </c>
      <c r="M148" s="220"/>
      <c r="N148" s="220"/>
      <c r="O148" s="220"/>
      <c r="P148" s="220"/>
      <c r="Q148" s="220"/>
      <c r="R148" s="220"/>
      <c r="S148" s="220"/>
      <c r="T148" s="220"/>
      <c r="U148" s="220"/>
      <c r="V148" s="220"/>
      <c r="W148" s="220"/>
    </row>
    <row r="149" ht="15.75" customHeight="1" outlineLevel="1">
      <c r="A149" s="213"/>
      <c r="B149" s="212"/>
      <c r="C149" s="213"/>
      <c r="D149" s="214" t="str">
        <f>IFERROR(VLOOKUP($C149,'PORTIFÓLIO'!C:V,2,0),"")</f>
        <v/>
      </c>
      <c r="E149" s="211" t="str">
        <f>IFERROR(VLOOKUP($C149,'PORTIFÓLIO'!C:V,3,0),"")</f>
        <v/>
      </c>
      <c r="F149" s="211" t="str">
        <f>IFERROR(VLOOKUP($C149,'PORTIFÓLIO'!C:V,4,0),"")</f>
        <v/>
      </c>
      <c r="G149" s="215" t="str">
        <f>IFERROR(VLOOKUP($C149,'PORTIFÓLIO'!C:V,5,0),"")</f>
        <v/>
      </c>
      <c r="H149" s="254" t="str">
        <f t="array" ref="H149">IFERROR(INDEX('PORTIFÓLIO'!$H$4:$H$433,MATCH($C149,'PORTIFÓLIO'!$C$4:$C$433,0)),"")</f>
        <v/>
      </c>
      <c r="I149" s="255"/>
      <c r="J149" s="218">
        <f t="shared" ref="J149:J163" si="18">I149*$B$2</f>
        <v>0</v>
      </c>
      <c r="K149" s="219" t="str">
        <f t="array" ref="K149">IFERROR(I149*INDEX('PORTIFÓLIO'!$S$4:$S$433,MATCH($C149,'PORTIFÓLIO'!$C$4:$C$433,0)),"")</f>
        <v/>
      </c>
      <c r="L149" s="219" t="str">
        <f t="array" ref="L149">IFERROR(J149*INDEX('PORTIFÓLIO'!$S$4:$S$433,MATCH($C149,'PORTIFÓLIO'!$C$4:$C$433,0)),"")</f>
        <v/>
      </c>
      <c r="M149" s="220"/>
      <c r="N149" s="220"/>
      <c r="O149" s="220"/>
      <c r="P149" s="220"/>
      <c r="Q149" s="220"/>
      <c r="R149" s="220"/>
      <c r="S149" s="220"/>
      <c r="T149" s="220"/>
      <c r="U149" s="220"/>
      <c r="V149" s="220"/>
      <c r="W149" s="220"/>
    </row>
    <row r="150" ht="15.75" customHeight="1" outlineLevel="1">
      <c r="A150" s="211"/>
      <c r="B150" s="212"/>
      <c r="C150" s="213"/>
      <c r="D150" s="214" t="str">
        <f>IFERROR(VLOOKUP($C150,'PORTIFÓLIO'!C:V,2,0),"")</f>
        <v/>
      </c>
      <c r="E150" s="211" t="str">
        <f>IFERROR(VLOOKUP($C150,'PORTIFÓLIO'!C:V,3,0),"")</f>
        <v/>
      </c>
      <c r="F150" s="211" t="str">
        <f>IFERROR(VLOOKUP($C150,'PORTIFÓLIO'!C:V,4,0),"")</f>
        <v/>
      </c>
      <c r="G150" s="215" t="str">
        <f>IFERROR(VLOOKUP($C150,'PORTIFÓLIO'!C:V,5,0),"")</f>
        <v/>
      </c>
      <c r="H150" s="254" t="str">
        <f t="array" ref="H150">IFERROR(INDEX('PORTIFÓLIO'!$H$4:$H$433,MATCH($C150,'PORTIFÓLIO'!$C$4:$C$433,0)),"")</f>
        <v/>
      </c>
      <c r="I150" s="255"/>
      <c r="J150" s="218">
        <f t="shared" si="18"/>
        <v>0</v>
      </c>
      <c r="K150" s="219" t="str">
        <f t="array" ref="K150">IFERROR(I150*INDEX('PORTIFÓLIO'!$S$4:$S$433,MATCH($C150,'PORTIFÓLIO'!$C$4:$C$433,0)),"")</f>
        <v/>
      </c>
      <c r="L150" s="219" t="str">
        <f t="array" ref="L150">IFERROR(J150*INDEX('PORTIFÓLIO'!$S$4:$S$433,MATCH($C150,'PORTIFÓLIO'!$C$4:$C$433,0)),"")</f>
        <v/>
      </c>
      <c r="M150" s="220"/>
      <c r="N150" s="220"/>
      <c r="O150" s="220"/>
      <c r="P150" s="220"/>
      <c r="Q150" s="220"/>
      <c r="R150" s="220"/>
      <c r="S150" s="220"/>
      <c r="T150" s="220"/>
      <c r="U150" s="220"/>
      <c r="V150" s="220"/>
      <c r="W150" s="220"/>
    </row>
    <row r="151" ht="15.75" customHeight="1" outlineLevel="1">
      <c r="A151" s="211"/>
      <c r="B151" s="212"/>
      <c r="C151" s="213"/>
      <c r="D151" s="214" t="str">
        <f>IFERROR(VLOOKUP($C151,'PORTIFÓLIO'!C:V,2,0),"")</f>
        <v/>
      </c>
      <c r="E151" s="211" t="str">
        <f>IFERROR(VLOOKUP($C151,'PORTIFÓLIO'!C:V,3,0),"")</f>
        <v/>
      </c>
      <c r="F151" s="211" t="str">
        <f>IFERROR(VLOOKUP($C151,'PORTIFÓLIO'!C:V,4,0),"")</f>
        <v/>
      </c>
      <c r="G151" s="215" t="str">
        <f>IFERROR(VLOOKUP($C151,'PORTIFÓLIO'!C:V,5,0),"")</f>
        <v/>
      </c>
      <c r="H151" s="254" t="str">
        <f t="array" ref="H151">IFERROR(INDEX('PORTIFÓLIO'!$H$4:$H$433,MATCH($C151,'PORTIFÓLIO'!$C$4:$C$433,0)),"")</f>
        <v/>
      </c>
      <c r="I151" s="255"/>
      <c r="J151" s="218">
        <f t="shared" si="18"/>
        <v>0</v>
      </c>
      <c r="K151" s="219" t="str">
        <f t="array" ref="K151">IFERROR(I151*INDEX('PORTIFÓLIO'!$S$4:$S$433,MATCH($C151,'PORTIFÓLIO'!$C$4:$C$433,0)),"")</f>
        <v/>
      </c>
      <c r="L151" s="219" t="str">
        <f t="array" ref="L151">IFERROR(J151*INDEX('PORTIFÓLIO'!$S$4:$S$433,MATCH($C151,'PORTIFÓLIO'!$C$4:$C$433,0)),"")</f>
        <v/>
      </c>
      <c r="M151" s="220"/>
      <c r="N151" s="220"/>
      <c r="O151" s="220"/>
      <c r="P151" s="220"/>
      <c r="Q151" s="220"/>
      <c r="R151" s="220"/>
      <c r="S151" s="220"/>
      <c r="T151" s="220"/>
      <c r="U151" s="220"/>
      <c r="V151" s="220"/>
      <c r="W151" s="220"/>
    </row>
    <row r="152" ht="15.75" customHeight="1" outlineLevel="1">
      <c r="A152" s="211"/>
      <c r="B152" s="212"/>
      <c r="C152" s="213"/>
      <c r="D152" s="214" t="str">
        <f>IFERROR(VLOOKUP($C152,'PORTIFÓLIO'!C:V,2,0),"")</f>
        <v/>
      </c>
      <c r="E152" s="211" t="str">
        <f>IFERROR(VLOOKUP($C152,'PORTIFÓLIO'!C:V,3,0),"")</f>
        <v/>
      </c>
      <c r="F152" s="211" t="str">
        <f>IFERROR(VLOOKUP($C152,'PORTIFÓLIO'!C:V,4,0),"")</f>
        <v/>
      </c>
      <c r="G152" s="215" t="str">
        <f>IFERROR(VLOOKUP($C152,'PORTIFÓLIO'!C:V,5,0),"")</f>
        <v/>
      </c>
      <c r="H152" s="254" t="str">
        <f t="array" ref="H152">IFERROR(INDEX('PORTIFÓLIO'!$H$4:$H$433,MATCH($C152,'PORTIFÓLIO'!$C$4:$C$433,0)),"")</f>
        <v/>
      </c>
      <c r="I152" s="256"/>
      <c r="J152" s="218">
        <f t="shared" si="18"/>
        <v>0</v>
      </c>
      <c r="K152" s="219" t="str">
        <f t="array" ref="K152">IFERROR(I152*INDEX('PORTIFÓLIO'!$S$4:$S$433,MATCH($C152,'PORTIFÓLIO'!$C$4:$C$433,0)),"")</f>
        <v/>
      </c>
      <c r="L152" s="219" t="str">
        <f t="array" ref="L152">IFERROR(J152*INDEX('PORTIFÓLIO'!$S$4:$S$433,MATCH($C152,'PORTIFÓLIO'!$C$4:$C$433,0)),"")</f>
        <v/>
      </c>
      <c r="M152" s="220"/>
      <c r="N152" s="220"/>
      <c r="O152" s="220"/>
      <c r="P152" s="220"/>
      <c r="Q152" s="220"/>
      <c r="R152" s="220"/>
      <c r="S152" s="220"/>
      <c r="T152" s="220"/>
      <c r="U152" s="220"/>
      <c r="V152" s="220"/>
      <c r="W152" s="220"/>
    </row>
    <row r="153" ht="15.75" customHeight="1" outlineLevel="1">
      <c r="A153" s="211"/>
      <c r="B153" s="212"/>
      <c r="C153" s="213"/>
      <c r="D153" s="214" t="str">
        <f>IFERROR(VLOOKUP($C153,'PORTIFÓLIO'!C:V,2,0),"")</f>
        <v/>
      </c>
      <c r="E153" s="211" t="str">
        <f>IFERROR(VLOOKUP($C153,'PORTIFÓLIO'!C:V,3,0),"")</f>
        <v/>
      </c>
      <c r="F153" s="211" t="str">
        <f>IFERROR(VLOOKUP($C153,'PORTIFÓLIO'!C:V,4,0),"")</f>
        <v/>
      </c>
      <c r="G153" s="215" t="str">
        <f>IFERROR(VLOOKUP($C153,'PORTIFÓLIO'!C:V,5,0),"")</f>
        <v/>
      </c>
      <c r="H153" s="254" t="str">
        <f t="array" ref="H153">IFERROR(INDEX('PORTIFÓLIO'!$H$4:$H$433,MATCH($C153,'PORTIFÓLIO'!$C$4:$C$433,0)),"")</f>
        <v/>
      </c>
      <c r="I153" s="256"/>
      <c r="J153" s="218">
        <f t="shared" si="18"/>
        <v>0</v>
      </c>
      <c r="K153" s="219" t="str">
        <f t="array" ref="K153">IFERROR(I153*INDEX('PORTIFÓLIO'!$S$4:$S$433,MATCH($C153,'PORTIFÓLIO'!$C$4:$C$433,0)),"")</f>
        <v/>
      </c>
      <c r="L153" s="219" t="str">
        <f t="array" ref="L153">IFERROR(J153*INDEX('PORTIFÓLIO'!$S$4:$S$433,MATCH($C153,'PORTIFÓLIO'!$C$4:$C$433,0)),"")</f>
        <v/>
      </c>
      <c r="M153" s="220"/>
      <c r="N153" s="220"/>
      <c r="O153" s="220"/>
      <c r="P153" s="220"/>
      <c r="Q153" s="220"/>
      <c r="R153" s="220"/>
      <c r="S153" s="220"/>
      <c r="T153" s="220"/>
      <c r="U153" s="220"/>
      <c r="V153" s="220"/>
      <c r="W153" s="220"/>
    </row>
    <row r="154" ht="15.75" customHeight="1" outlineLevel="1">
      <c r="A154" s="211"/>
      <c r="B154" s="212"/>
      <c r="C154" s="213"/>
      <c r="D154" s="214" t="str">
        <f>IFERROR(VLOOKUP($C154,'PORTIFÓLIO'!C:V,2,0),"")</f>
        <v/>
      </c>
      <c r="E154" s="211" t="str">
        <f>IFERROR(VLOOKUP($C154,'PORTIFÓLIO'!C:V,3,0),"")</f>
        <v/>
      </c>
      <c r="F154" s="211" t="str">
        <f>IFERROR(VLOOKUP($C154,'PORTIFÓLIO'!C:V,4,0),"")</f>
        <v/>
      </c>
      <c r="G154" s="215" t="str">
        <f>IFERROR(VLOOKUP($C154,'PORTIFÓLIO'!C:V,5,0),"")</f>
        <v/>
      </c>
      <c r="H154" s="254" t="str">
        <f t="array" ref="H154">IFERROR(INDEX('PORTIFÓLIO'!$H$4:$H$433,MATCH($C154,'PORTIFÓLIO'!$C$4:$C$433,0)),"")</f>
        <v/>
      </c>
      <c r="I154" s="256"/>
      <c r="J154" s="218">
        <f t="shared" si="18"/>
        <v>0</v>
      </c>
      <c r="K154" s="219" t="str">
        <f t="array" ref="K154">IFERROR(I154*INDEX('PORTIFÓLIO'!$S$4:$S$433,MATCH($C154,'PORTIFÓLIO'!$C$4:$C$433,0)),"")</f>
        <v/>
      </c>
      <c r="L154" s="219" t="str">
        <f t="array" ref="L154">IFERROR(J154*INDEX('PORTIFÓLIO'!$S$4:$S$433,MATCH($C154,'PORTIFÓLIO'!$C$4:$C$433,0)),"")</f>
        <v/>
      </c>
      <c r="M154" s="220"/>
      <c r="N154" s="220"/>
      <c r="O154" s="220"/>
      <c r="P154" s="220"/>
      <c r="Q154" s="220"/>
      <c r="R154" s="220"/>
      <c r="S154" s="220"/>
      <c r="T154" s="220"/>
      <c r="U154" s="220"/>
      <c r="V154" s="220"/>
      <c r="W154" s="220"/>
    </row>
    <row r="155" ht="15.75" customHeight="1" outlineLevel="1">
      <c r="A155" s="211"/>
      <c r="B155" s="212"/>
      <c r="C155" s="213"/>
      <c r="D155" s="214" t="str">
        <f>IFERROR(VLOOKUP($C155,'PORTIFÓLIO'!C:V,2,0),"")</f>
        <v/>
      </c>
      <c r="E155" s="211" t="str">
        <f>IFERROR(VLOOKUP($C155,'PORTIFÓLIO'!C:V,3,0),"")</f>
        <v/>
      </c>
      <c r="F155" s="211" t="str">
        <f>IFERROR(VLOOKUP($C155,'PORTIFÓLIO'!C:V,4,0),"")</f>
        <v/>
      </c>
      <c r="G155" s="215" t="str">
        <f>IFERROR(VLOOKUP($C155,'PORTIFÓLIO'!C:V,5,0),"")</f>
        <v/>
      </c>
      <c r="H155" s="254" t="str">
        <f t="array" ref="H155">IFERROR(INDEX('PORTIFÓLIO'!$H$4:$H$433,MATCH($C155,'PORTIFÓLIO'!$C$4:$C$433,0)),"")</f>
        <v/>
      </c>
      <c r="I155" s="256"/>
      <c r="J155" s="218">
        <f t="shared" si="18"/>
        <v>0</v>
      </c>
      <c r="K155" s="219" t="str">
        <f t="array" ref="K155">IFERROR(I155*INDEX('PORTIFÓLIO'!$S$4:$S$433,MATCH($C155,'PORTIFÓLIO'!$C$4:$C$433,0)),"")</f>
        <v/>
      </c>
      <c r="L155" s="219" t="str">
        <f t="array" ref="L155">IFERROR(J155*INDEX('PORTIFÓLIO'!$S$4:$S$433,MATCH($C155,'PORTIFÓLIO'!$C$4:$C$433,0)),"")</f>
        <v/>
      </c>
      <c r="M155" s="220"/>
      <c r="N155" s="220"/>
      <c r="O155" s="220"/>
      <c r="P155" s="220"/>
      <c r="Q155" s="220"/>
      <c r="R155" s="220"/>
      <c r="S155" s="220"/>
      <c r="T155" s="220"/>
      <c r="U155" s="220"/>
      <c r="V155" s="220"/>
      <c r="W155" s="220"/>
    </row>
    <row r="156" ht="15.75" customHeight="1" outlineLevel="1">
      <c r="A156" s="211"/>
      <c r="B156" s="212"/>
      <c r="C156" s="213"/>
      <c r="D156" s="214" t="str">
        <f>IFERROR(VLOOKUP($C156,'PORTIFÓLIO'!C:V,2,0),"")</f>
        <v/>
      </c>
      <c r="E156" s="211" t="str">
        <f>IFERROR(VLOOKUP($C156,'PORTIFÓLIO'!C:V,3,0),"")</f>
        <v/>
      </c>
      <c r="F156" s="211" t="str">
        <f>IFERROR(VLOOKUP($C156,'PORTIFÓLIO'!C:V,4,0),"")</f>
        <v/>
      </c>
      <c r="G156" s="215" t="str">
        <f>IFERROR(VLOOKUP($C156,'PORTIFÓLIO'!C:V,5,0),"")</f>
        <v/>
      </c>
      <c r="H156" s="254" t="str">
        <f t="array" ref="H156">IFERROR(INDEX('PORTIFÓLIO'!$H$4:$H$433,MATCH($C156,'PORTIFÓLIO'!$C$4:$C$433,0)),"")</f>
        <v/>
      </c>
      <c r="I156" s="256"/>
      <c r="J156" s="218">
        <f t="shared" si="18"/>
        <v>0</v>
      </c>
      <c r="K156" s="219" t="str">
        <f t="array" ref="K156">IFERROR(I156*INDEX('PORTIFÓLIO'!$S$4:$S$433,MATCH($C156,'PORTIFÓLIO'!$C$4:$C$433,0)),"")</f>
        <v/>
      </c>
      <c r="L156" s="219" t="str">
        <f t="array" ref="L156">IFERROR(J156*INDEX('PORTIFÓLIO'!$S$4:$S$433,MATCH($C156,'PORTIFÓLIO'!$C$4:$C$433,0)),"")</f>
        <v/>
      </c>
      <c r="M156" s="220"/>
      <c r="N156" s="220"/>
      <c r="O156" s="220"/>
      <c r="P156" s="220"/>
      <c r="Q156" s="220"/>
      <c r="R156" s="220"/>
      <c r="S156" s="220"/>
      <c r="T156" s="220"/>
      <c r="U156" s="220"/>
      <c r="V156" s="220"/>
      <c r="W156" s="220"/>
    </row>
    <row r="157" ht="15.75" customHeight="1" outlineLevel="1">
      <c r="A157" s="211"/>
      <c r="B157" s="212"/>
      <c r="C157" s="213"/>
      <c r="D157" s="214" t="str">
        <f>IFERROR(VLOOKUP($C157,'PORTIFÓLIO'!C:V,2,0),"")</f>
        <v/>
      </c>
      <c r="E157" s="211" t="str">
        <f>IFERROR(VLOOKUP($C157,'PORTIFÓLIO'!C:V,3,0),"")</f>
        <v/>
      </c>
      <c r="F157" s="211" t="str">
        <f>IFERROR(VLOOKUP($C157,'PORTIFÓLIO'!C:V,4,0),"")</f>
        <v/>
      </c>
      <c r="G157" s="215" t="str">
        <f>IFERROR(VLOOKUP($C157,'PORTIFÓLIO'!C:V,5,0),"")</f>
        <v/>
      </c>
      <c r="H157" s="254" t="str">
        <f t="array" ref="H157">IFERROR(INDEX('PORTIFÓLIO'!$H$4:$H$433,MATCH($C157,'PORTIFÓLIO'!$C$4:$C$433,0)),"")</f>
        <v/>
      </c>
      <c r="I157" s="255"/>
      <c r="J157" s="218">
        <f t="shared" si="18"/>
        <v>0</v>
      </c>
      <c r="K157" s="219" t="str">
        <f t="array" ref="K157">IFERROR(I157*INDEX('PORTIFÓLIO'!$S$4:$S$433,MATCH($C157,'PORTIFÓLIO'!$C$4:$C$433,0)),"")</f>
        <v/>
      </c>
      <c r="L157" s="219" t="str">
        <f t="array" ref="L157">IFERROR(J157*INDEX('PORTIFÓLIO'!$S$4:$S$433,MATCH($C157,'PORTIFÓLIO'!$C$4:$C$433,0)),"")</f>
        <v/>
      </c>
      <c r="M157" s="220"/>
      <c r="N157" s="220"/>
      <c r="O157" s="220"/>
      <c r="P157" s="220"/>
      <c r="Q157" s="220"/>
      <c r="R157" s="220"/>
      <c r="S157" s="220"/>
      <c r="T157" s="220"/>
      <c r="U157" s="220"/>
      <c r="V157" s="220"/>
      <c r="W157" s="220"/>
    </row>
    <row r="158" ht="15.75" customHeight="1" outlineLevel="1">
      <c r="A158" s="211"/>
      <c r="B158" s="212"/>
      <c r="C158" s="213"/>
      <c r="D158" s="214" t="str">
        <f>IFERROR(VLOOKUP($C158,'PORTIFÓLIO'!C:V,2,0),"")</f>
        <v/>
      </c>
      <c r="E158" s="211" t="str">
        <f>IFERROR(VLOOKUP($C158,'PORTIFÓLIO'!C:V,3,0),"")</f>
        <v/>
      </c>
      <c r="F158" s="211" t="str">
        <f>IFERROR(VLOOKUP($C158,'PORTIFÓLIO'!C:V,4,0),"")</f>
        <v/>
      </c>
      <c r="G158" s="215" t="str">
        <f>IFERROR(VLOOKUP($C158,'PORTIFÓLIO'!C:V,5,0),"")</f>
        <v/>
      </c>
      <c r="H158" s="254" t="str">
        <f t="array" ref="H158">IFERROR(INDEX('PORTIFÓLIO'!$H$4:$H$433,MATCH($C158,'PORTIFÓLIO'!$C$4:$C$433,0)),"")</f>
        <v/>
      </c>
      <c r="I158" s="256"/>
      <c r="J158" s="218">
        <f t="shared" si="18"/>
        <v>0</v>
      </c>
      <c r="K158" s="219" t="str">
        <f t="array" ref="K158">IFERROR(I158*INDEX('PORTIFÓLIO'!$S$4:$S$433,MATCH($C158,'PORTIFÓLIO'!$C$4:$C$433,0)),"")</f>
        <v/>
      </c>
      <c r="L158" s="219" t="str">
        <f t="array" ref="L158">IFERROR(J158*INDEX('PORTIFÓLIO'!$S$4:$S$433,MATCH($C158,'PORTIFÓLIO'!$C$4:$C$433,0)),"")</f>
        <v/>
      </c>
      <c r="M158" s="220"/>
      <c r="N158" s="220"/>
      <c r="O158" s="220"/>
      <c r="P158" s="220"/>
      <c r="Q158" s="220"/>
      <c r="R158" s="220"/>
      <c r="S158" s="220"/>
      <c r="T158" s="220"/>
      <c r="U158" s="220"/>
      <c r="V158" s="220"/>
      <c r="W158" s="220"/>
    </row>
    <row r="159" ht="15.75" customHeight="1" outlineLevel="1">
      <c r="A159" s="211"/>
      <c r="B159" s="212"/>
      <c r="C159" s="213"/>
      <c r="D159" s="214" t="str">
        <f>IFERROR(VLOOKUP($C159,'PORTIFÓLIO'!C:V,2,0),"")</f>
        <v/>
      </c>
      <c r="E159" s="211" t="str">
        <f>IFERROR(VLOOKUP($C159,'PORTIFÓLIO'!C:V,3,0),"")</f>
        <v/>
      </c>
      <c r="F159" s="211" t="str">
        <f>IFERROR(VLOOKUP($C159,'PORTIFÓLIO'!C:V,4,0),"")</f>
        <v/>
      </c>
      <c r="G159" s="215" t="str">
        <f>IFERROR(VLOOKUP($C159,'PORTIFÓLIO'!C:V,5,0),"")</f>
        <v/>
      </c>
      <c r="H159" s="254" t="str">
        <f t="array" ref="H159">IFERROR(INDEX('PORTIFÓLIO'!$H$4:$H$433,MATCH($C159,'PORTIFÓLIO'!$C$4:$C$433,0)),"")</f>
        <v/>
      </c>
      <c r="I159" s="256"/>
      <c r="J159" s="218">
        <f t="shared" si="18"/>
        <v>0</v>
      </c>
      <c r="K159" s="219" t="str">
        <f t="array" ref="K159">IFERROR(I159*INDEX('PORTIFÓLIO'!$S$4:$S$433,MATCH($C159,'PORTIFÓLIO'!$C$4:$C$433,0)),"")</f>
        <v/>
      </c>
      <c r="L159" s="219" t="str">
        <f t="array" ref="L159">IFERROR(J159*INDEX('PORTIFÓLIO'!$S$4:$S$433,MATCH($C159,'PORTIFÓLIO'!$C$4:$C$433,0)),"")</f>
        <v/>
      </c>
      <c r="M159" s="220"/>
      <c r="N159" s="220"/>
      <c r="O159" s="220"/>
      <c r="P159" s="220"/>
      <c r="Q159" s="220"/>
      <c r="R159" s="220"/>
      <c r="S159" s="220"/>
      <c r="T159" s="220"/>
      <c r="U159" s="220"/>
      <c r="V159" s="220"/>
      <c r="W159" s="220"/>
    </row>
    <row r="160" ht="15.75" customHeight="1" outlineLevel="1">
      <c r="A160" s="211"/>
      <c r="B160" s="212"/>
      <c r="C160" s="213"/>
      <c r="D160" s="214" t="str">
        <f>IFERROR(VLOOKUP($C160,'PORTIFÓLIO'!C:V,2,0),"")</f>
        <v/>
      </c>
      <c r="E160" s="211" t="str">
        <f>IFERROR(VLOOKUP($C160,'PORTIFÓLIO'!C:V,3,0),"")</f>
        <v/>
      </c>
      <c r="F160" s="211" t="str">
        <f>IFERROR(VLOOKUP($C160,'PORTIFÓLIO'!C:V,4,0),"")</f>
        <v/>
      </c>
      <c r="G160" s="215" t="str">
        <f>IFERROR(VLOOKUP($C160,'PORTIFÓLIO'!C:V,5,0),"")</f>
        <v/>
      </c>
      <c r="H160" s="254" t="str">
        <f t="array" ref="H160">IFERROR(INDEX('PORTIFÓLIO'!$H$4:$H$433,MATCH($C160,'PORTIFÓLIO'!$C$4:$C$433,0)),"")</f>
        <v/>
      </c>
      <c r="I160" s="256"/>
      <c r="J160" s="218">
        <f t="shared" si="18"/>
        <v>0</v>
      </c>
      <c r="K160" s="219" t="str">
        <f t="array" ref="K160">IFERROR(I160*INDEX('PORTIFÓLIO'!$S$4:$S$433,MATCH($C160,'PORTIFÓLIO'!$C$4:$C$433,0)),"")</f>
        <v/>
      </c>
      <c r="L160" s="219" t="str">
        <f t="array" ref="L160">IFERROR(J160*INDEX('PORTIFÓLIO'!$S$4:$S$433,MATCH($C160,'PORTIFÓLIO'!$C$4:$C$433,0)),"")</f>
        <v/>
      </c>
      <c r="M160" s="220"/>
      <c r="N160" s="220"/>
      <c r="O160" s="220"/>
      <c r="P160" s="220"/>
      <c r="Q160" s="220"/>
      <c r="R160" s="220"/>
      <c r="S160" s="220"/>
      <c r="T160" s="220"/>
      <c r="U160" s="220"/>
      <c r="V160" s="220"/>
      <c r="W160" s="220"/>
    </row>
    <row r="161" ht="15.75" customHeight="1" outlineLevel="1">
      <c r="A161" s="211"/>
      <c r="B161" s="212"/>
      <c r="C161" s="213"/>
      <c r="D161" s="214" t="str">
        <f>IFERROR(VLOOKUP($C161,'PORTIFÓLIO'!C:V,2,0),"")</f>
        <v/>
      </c>
      <c r="E161" s="211" t="str">
        <f>IFERROR(VLOOKUP($C161,'PORTIFÓLIO'!C:V,3,0),"")</f>
        <v/>
      </c>
      <c r="F161" s="211" t="str">
        <f>IFERROR(VLOOKUP($C161,'PORTIFÓLIO'!C:V,4,0),"")</f>
        <v/>
      </c>
      <c r="G161" s="215" t="str">
        <f>IFERROR(VLOOKUP($C161,'PORTIFÓLIO'!C:V,5,0),"")</f>
        <v/>
      </c>
      <c r="H161" s="254" t="str">
        <f t="array" ref="H161">IFERROR(INDEX('PORTIFÓLIO'!$H$4:$H$433,MATCH($C161,'PORTIFÓLIO'!$C$4:$C$433,0)),"")</f>
        <v/>
      </c>
      <c r="I161" s="256"/>
      <c r="J161" s="218">
        <f t="shared" si="18"/>
        <v>0</v>
      </c>
      <c r="K161" s="219" t="str">
        <f t="array" ref="K161">IFERROR(I161*INDEX('PORTIFÓLIO'!$S$4:$S$433,MATCH($C161,'PORTIFÓLIO'!$C$4:$C$433,0)),"")</f>
        <v/>
      </c>
      <c r="L161" s="219" t="str">
        <f t="array" ref="L161">IFERROR(J161*INDEX('PORTIFÓLIO'!$S$4:$S$433,MATCH($C161,'PORTIFÓLIO'!$C$4:$C$433,0)),"")</f>
        <v/>
      </c>
      <c r="M161" s="220"/>
      <c r="N161" s="220"/>
      <c r="O161" s="220"/>
      <c r="P161" s="220"/>
      <c r="Q161" s="220"/>
      <c r="R161" s="220"/>
      <c r="S161" s="220"/>
      <c r="T161" s="220"/>
      <c r="U161" s="220"/>
      <c r="V161" s="220"/>
      <c r="W161" s="220"/>
    </row>
    <row r="162" ht="15.75" customHeight="1" outlineLevel="1">
      <c r="A162" s="211"/>
      <c r="B162" s="212"/>
      <c r="C162" s="213"/>
      <c r="D162" s="214" t="str">
        <f>IFERROR(VLOOKUP($C162,'PORTIFÓLIO'!C:V,2,0),"")</f>
        <v/>
      </c>
      <c r="E162" s="211" t="str">
        <f>IFERROR(VLOOKUP($C162,'PORTIFÓLIO'!C:V,3,0),"")</f>
        <v/>
      </c>
      <c r="F162" s="211" t="str">
        <f>IFERROR(VLOOKUP($C162,'PORTIFÓLIO'!C:V,4,0),"")</f>
        <v/>
      </c>
      <c r="G162" s="215" t="str">
        <f>IFERROR(VLOOKUP($C162,'PORTIFÓLIO'!C:V,5,0),"")</f>
        <v/>
      </c>
      <c r="H162" s="254" t="str">
        <f t="array" ref="H162">IFERROR(INDEX('PORTIFÓLIO'!$H$4:$H$433,MATCH($C162,'PORTIFÓLIO'!$C$4:$C$433,0)),"")</f>
        <v/>
      </c>
      <c r="I162" s="256"/>
      <c r="J162" s="218">
        <f t="shared" si="18"/>
        <v>0</v>
      </c>
      <c r="K162" s="219" t="str">
        <f t="array" ref="K162">IFERROR(I162*INDEX('PORTIFÓLIO'!$S$4:$S$433,MATCH($C162,'PORTIFÓLIO'!$C$4:$C$433,0)),"")</f>
        <v/>
      </c>
      <c r="L162" s="219" t="str">
        <f t="array" ref="L162">IFERROR(J162*INDEX('PORTIFÓLIO'!$S$4:$S$433,MATCH($C162,'PORTIFÓLIO'!$C$4:$C$433,0)),"")</f>
        <v/>
      </c>
      <c r="M162" s="220"/>
      <c r="N162" s="220"/>
      <c r="O162" s="220"/>
      <c r="P162" s="220"/>
      <c r="Q162" s="220"/>
      <c r="R162" s="220"/>
      <c r="S162" s="220"/>
      <c r="T162" s="220"/>
      <c r="U162" s="220"/>
      <c r="V162" s="220"/>
      <c r="W162" s="220"/>
    </row>
    <row r="163" ht="15.75" customHeight="1" outlineLevel="1">
      <c r="A163" s="211"/>
      <c r="B163" s="212"/>
      <c r="C163" s="213"/>
      <c r="D163" s="214" t="str">
        <f>IFERROR(VLOOKUP($C163,'PORTIFÓLIO'!C:V,2,0),"")</f>
        <v/>
      </c>
      <c r="E163" s="211" t="str">
        <f>IFERROR(VLOOKUP($C163,'PORTIFÓLIO'!C:V,3,0),"")</f>
        <v/>
      </c>
      <c r="F163" s="211" t="str">
        <f>IFERROR(VLOOKUP($C163,'PORTIFÓLIO'!C:V,4,0),"")</f>
        <v/>
      </c>
      <c r="G163" s="215" t="str">
        <f>IFERROR(VLOOKUP($C163,'PORTIFÓLIO'!C:V,5,0),"")</f>
        <v/>
      </c>
      <c r="H163" s="254" t="str">
        <f t="array" ref="H163">IFERROR(INDEX('PORTIFÓLIO'!$H$4:$H$433,MATCH($C163,'PORTIFÓLIO'!$C$4:$C$433,0)),"")</f>
        <v/>
      </c>
      <c r="I163" s="256"/>
      <c r="J163" s="218">
        <f t="shared" si="18"/>
        <v>0</v>
      </c>
      <c r="K163" s="219" t="str">
        <f t="array" ref="K163">IFERROR(I163*INDEX('PORTIFÓLIO'!$S$4:$S$433,MATCH($C163,'PORTIFÓLIO'!$C$4:$C$433,0)),"")</f>
        <v/>
      </c>
      <c r="L163" s="219" t="str">
        <f t="array" ref="L163">IFERROR(J163*INDEX('PORTIFÓLIO'!$S$4:$S$433,MATCH($C163,'PORTIFÓLIO'!$C$4:$C$433,0)),"")</f>
        <v/>
      </c>
      <c r="M163" s="220"/>
      <c r="N163" s="220"/>
      <c r="O163" s="220"/>
      <c r="P163" s="220"/>
      <c r="Q163" s="220"/>
      <c r="R163" s="220"/>
      <c r="S163" s="220"/>
      <c r="T163" s="220"/>
      <c r="U163" s="220"/>
      <c r="V163" s="220"/>
      <c r="W163" s="220"/>
    </row>
    <row r="164" ht="15.75" customHeight="1" outlineLevel="1">
      <c r="A164" s="211"/>
      <c r="B164" s="227"/>
      <c r="C164" s="211"/>
      <c r="D164" s="214" t="str">
        <f>IFERROR(VLOOKUP($C164,'PORTIFÓLIO'!C:V,2,0),"")</f>
        <v/>
      </c>
      <c r="E164" s="211" t="str">
        <f>IFERROR(VLOOKUP($C164,'PORTIFÓLIO'!C:V,3,0),"")</f>
        <v/>
      </c>
      <c r="F164" s="211" t="str">
        <f>IFERROR(VLOOKUP($C164,'PORTIFÓLIO'!C:V,4,0),"")</f>
        <v/>
      </c>
      <c r="G164" s="215" t="str">
        <f>IFERROR(VLOOKUP($C164,'PORTIFÓLIO'!C:V,5,0),"")</f>
        <v/>
      </c>
      <c r="H164" s="254" t="str">
        <f t="array" ref="H164">IFERROR(INDEX('PORTIFÓLIO'!$H$4:$H$433,MATCH($C164,'PORTIFÓLIO'!$C$4:$C$433,0)),"")</f>
        <v/>
      </c>
      <c r="I164" s="256"/>
      <c r="J164" s="218"/>
      <c r="K164" s="219" t="str">
        <f t="array" ref="K164">IFERROR(I164*INDEX('PORTIFÓLIO'!$S$4:$S$433,MATCH($C164,'PORTIFÓLIO'!$C$4:$C$433,0)),"")</f>
        <v/>
      </c>
      <c r="L164" s="219" t="str">
        <f t="array" ref="L164">IFERROR(J164*INDEX('PORTIFÓLIO'!$S$4:$S$433,MATCH($C164,'PORTIFÓLIO'!$C$4:$C$433,0)),"")</f>
        <v/>
      </c>
      <c r="M164" s="220"/>
      <c r="N164" s="220"/>
      <c r="O164" s="220"/>
      <c r="P164" s="220"/>
      <c r="Q164" s="220"/>
      <c r="R164" s="220"/>
      <c r="S164" s="220"/>
      <c r="T164" s="220"/>
      <c r="U164" s="220"/>
      <c r="V164" s="220"/>
      <c r="W164" s="220"/>
    </row>
    <row r="165" ht="15.75" customHeight="1">
      <c r="A165" s="229" t="s">
        <v>1193</v>
      </c>
      <c r="B165" s="230"/>
      <c r="C165" s="231"/>
      <c r="D165" s="232"/>
      <c r="E165" s="231"/>
      <c r="F165" s="231"/>
      <c r="G165" s="233"/>
      <c r="H165" s="233"/>
      <c r="I165" s="258"/>
      <c r="J165" s="236"/>
      <c r="K165" s="237">
        <f t="shared" ref="K165:L165" si="19">SUBTOTAL(9,K166:K179)</f>
        <v>0</v>
      </c>
      <c r="L165" s="237">
        <f t="shared" si="19"/>
        <v>0</v>
      </c>
      <c r="M165" s="220"/>
      <c r="N165" s="220"/>
      <c r="O165" s="220"/>
      <c r="P165" s="220"/>
      <c r="Q165" s="220"/>
      <c r="R165" s="220"/>
      <c r="S165" s="220"/>
      <c r="T165" s="220"/>
      <c r="U165" s="220"/>
      <c r="V165" s="220"/>
      <c r="W165" s="220"/>
    </row>
    <row r="166" ht="15.75" customHeight="1" outlineLevel="1">
      <c r="A166" s="213"/>
      <c r="B166" s="212"/>
      <c r="C166" s="213"/>
      <c r="D166" s="214" t="str">
        <f>IFERROR(VLOOKUP($C166,'PORTIFÓLIO'!C:V,2,0),"")</f>
        <v/>
      </c>
      <c r="E166" s="211" t="str">
        <f>IFERROR(VLOOKUP($C166,'PORTIFÓLIO'!C:V,3,0),"")</f>
        <v/>
      </c>
      <c r="F166" s="211" t="str">
        <f>IFERROR(VLOOKUP($C166,'PORTIFÓLIO'!C:V,4,0),"")</f>
        <v/>
      </c>
      <c r="G166" s="215" t="str">
        <f>IFERROR(VLOOKUP($C166,'PORTIFÓLIO'!C:V,5,0),"")</f>
        <v/>
      </c>
      <c r="H166" s="254" t="str">
        <f t="array" ref="H166">IFERROR(INDEX('PORTIFÓLIO'!$H$4:$H$433,MATCH($C166,'PORTIFÓLIO'!$C$4:$C$433,0)),"")</f>
        <v/>
      </c>
      <c r="I166" s="255"/>
      <c r="J166" s="218">
        <f t="shared" ref="J166:J181" si="20">I166*$B$2</f>
        <v>0</v>
      </c>
      <c r="K166" s="219" t="str">
        <f t="array" ref="K166">IFERROR(I166*INDEX('PORTIFÓLIO'!$S$4:$S$433,MATCH($C166,'PORTIFÓLIO'!$C$4:$C$433,0)),"")</f>
        <v/>
      </c>
      <c r="L166" s="219" t="str">
        <f t="array" ref="L166">IFERROR(J166*INDEX('PORTIFÓLIO'!$S$4:$S$433,MATCH($C166,'PORTIFÓLIO'!$C$4:$C$433,0)),"")</f>
        <v/>
      </c>
      <c r="M166" s="220"/>
      <c r="N166" s="220"/>
      <c r="O166" s="220"/>
      <c r="P166" s="220"/>
      <c r="Q166" s="220"/>
      <c r="R166" s="220"/>
      <c r="S166" s="220"/>
      <c r="T166" s="220"/>
      <c r="U166" s="220"/>
      <c r="V166" s="220"/>
      <c r="W166" s="220"/>
    </row>
    <row r="167" ht="15.75" customHeight="1" outlineLevel="1">
      <c r="A167" s="211"/>
      <c r="B167" s="212"/>
      <c r="C167" s="213"/>
      <c r="D167" s="214" t="str">
        <f>IFERROR(VLOOKUP($C167,'PORTIFÓLIO'!C:V,2,0),"")</f>
        <v/>
      </c>
      <c r="E167" s="211" t="str">
        <f>IFERROR(VLOOKUP($C167,'PORTIFÓLIO'!C:V,3,0),"")</f>
        <v/>
      </c>
      <c r="F167" s="211" t="str">
        <f>IFERROR(VLOOKUP($C167,'PORTIFÓLIO'!C:V,4,0),"")</f>
        <v/>
      </c>
      <c r="G167" s="215" t="str">
        <f>IFERROR(VLOOKUP($C167,'PORTIFÓLIO'!C:V,5,0),"")</f>
        <v/>
      </c>
      <c r="H167" s="254" t="str">
        <f t="array" ref="H167">IFERROR(INDEX('PORTIFÓLIO'!$H$4:$H$433,MATCH($C167,'PORTIFÓLIO'!$C$4:$C$433,0)),"")</f>
        <v/>
      </c>
      <c r="I167" s="255"/>
      <c r="J167" s="218">
        <f t="shared" si="20"/>
        <v>0</v>
      </c>
      <c r="K167" s="219" t="str">
        <f t="array" ref="K167">IFERROR(I167*INDEX('PORTIFÓLIO'!$S$4:$S$433,MATCH($C167,'PORTIFÓLIO'!$C$4:$C$433,0)),"")</f>
        <v/>
      </c>
      <c r="L167" s="219" t="str">
        <f t="array" ref="L167">IFERROR(J167*INDEX('PORTIFÓLIO'!$S$4:$S$433,MATCH($C167,'PORTIFÓLIO'!$C$4:$C$433,0)),"")</f>
        <v/>
      </c>
      <c r="M167" s="220"/>
      <c r="N167" s="220"/>
      <c r="O167" s="220"/>
      <c r="P167" s="220"/>
      <c r="Q167" s="220"/>
      <c r="R167" s="220"/>
      <c r="S167" s="220"/>
      <c r="T167" s="220"/>
      <c r="U167" s="220"/>
      <c r="V167" s="220"/>
      <c r="W167" s="220"/>
    </row>
    <row r="168" ht="15.75" customHeight="1" outlineLevel="1">
      <c r="A168" s="211"/>
      <c r="B168" s="212"/>
      <c r="C168" s="213"/>
      <c r="D168" s="214" t="str">
        <f>IFERROR(VLOOKUP($C168,'PORTIFÓLIO'!C:V,2,0),"")</f>
        <v/>
      </c>
      <c r="E168" s="211" t="str">
        <f>IFERROR(VLOOKUP($C168,'PORTIFÓLIO'!C:V,3,0),"")</f>
        <v/>
      </c>
      <c r="F168" s="211" t="str">
        <f>IFERROR(VLOOKUP($C168,'PORTIFÓLIO'!C:V,4,0),"")</f>
        <v/>
      </c>
      <c r="G168" s="215" t="str">
        <f>IFERROR(VLOOKUP($C168,'PORTIFÓLIO'!C:V,5,0),"")</f>
        <v/>
      </c>
      <c r="H168" s="254" t="str">
        <f t="array" ref="H168">IFERROR(INDEX('PORTIFÓLIO'!$H$4:$H$433,MATCH($C168,'PORTIFÓLIO'!$C$4:$C$433,0)),"")</f>
        <v/>
      </c>
      <c r="I168" s="256"/>
      <c r="J168" s="218">
        <f t="shared" si="20"/>
        <v>0</v>
      </c>
      <c r="K168" s="219" t="str">
        <f t="array" ref="K168">IFERROR(I168*INDEX('PORTIFÓLIO'!$S$4:$S$433,MATCH($C168,'PORTIFÓLIO'!$C$4:$C$433,0)),"")</f>
        <v/>
      </c>
      <c r="L168" s="219" t="str">
        <f t="array" ref="L168">IFERROR(J168*INDEX('PORTIFÓLIO'!$S$4:$S$433,MATCH($C168,'PORTIFÓLIO'!$C$4:$C$433,0)),"")</f>
        <v/>
      </c>
      <c r="M168" s="220"/>
      <c r="N168" s="220"/>
      <c r="O168" s="220"/>
      <c r="P168" s="220"/>
      <c r="Q168" s="220"/>
      <c r="R168" s="220"/>
      <c r="S168" s="220"/>
      <c r="T168" s="220"/>
      <c r="U168" s="220"/>
      <c r="V168" s="220"/>
      <c r="W168" s="220"/>
    </row>
    <row r="169" ht="15.75" customHeight="1" outlineLevel="1">
      <c r="A169" s="211"/>
      <c r="B169" s="212"/>
      <c r="C169" s="213"/>
      <c r="D169" s="214" t="str">
        <f>IFERROR(VLOOKUP($C169,'PORTIFÓLIO'!C:V,2,0),"")</f>
        <v/>
      </c>
      <c r="E169" s="211" t="str">
        <f>IFERROR(VLOOKUP($C169,'PORTIFÓLIO'!C:V,3,0),"")</f>
        <v/>
      </c>
      <c r="F169" s="211" t="str">
        <f>IFERROR(VLOOKUP($C169,'PORTIFÓLIO'!C:V,4,0),"")</f>
        <v/>
      </c>
      <c r="G169" s="215" t="str">
        <f>IFERROR(VLOOKUP($C169,'PORTIFÓLIO'!C:V,5,0),"")</f>
        <v/>
      </c>
      <c r="H169" s="254" t="str">
        <f t="array" ref="H169">IFERROR(INDEX('PORTIFÓLIO'!$H$4:$H$433,MATCH($C169,'PORTIFÓLIO'!$C$4:$C$433,0)),"")</f>
        <v/>
      </c>
      <c r="I169" s="256"/>
      <c r="J169" s="218">
        <f t="shared" si="20"/>
        <v>0</v>
      </c>
      <c r="K169" s="219" t="str">
        <f t="array" ref="K169">IFERROR(I169*INDEX('PORTIFÓLIO'!$S$4:$S$433,MATCH($C169,'PORTIFÓLIO'!$C$4:$C$433,0)),"")</f>
        <v/>
      </c>
      <c r="L169" s="219" t="str">
        <f t="array" ref="L169">IFERROR(J169*INDEX('PORTIFÓLIO'!$S$4:$S$433,MATCH($C169,'PORTIFÓLIO'!$C$4:$C$433,0)),"")</f>
        <v/>
      </c>
      <c r="M169" s="220"/>
      <c r="N169" s="220"/>
      <c r="O169" s="220"/>
      <c r="P169" s="220"/>
      <c r="Q169" s="220"/>
      <c r="R169" s="220"/>
      <c r="S169" s="220"/>
      <c r="T169" s="220"/>
      <c r="U169" s="220"/>
      <c r="V169" s="220"/>
      <c r="W169" s="220"/>
    </row>
    <row r="170" ht="15.75" customHeight="1" outlineLevel="1">
      <c r="A170" s="211"/>
      <c r="B170" s="212"/>
      <c r="C170" s="213"/>
      <c r="D170" s="214" t="str">
        <f>IFERROR(VLOOKUP($C170,'PORTIFÓLIO'!C:V,2,0),"")</f>
        <v/>
      </c>
      <c r="E170" s="211" t="str">
        <f>IFERROR(VLOOKUP($C170,'PORTIFÓLIO'!C:V,3,0),"")</f>
        <v/>
      </c>
      <c r="F170" s="211" t="str">
        <f>IFERROR(VLOOKUP($C170,'PORTIFÓLIO'!C:V,4,0),"")</f>
        <v/>
      </c>
      <c r="G170" s="215" t="str">
        <f>IFERROR(VLOOKUP($C170,'PORTIFÓLIO'!C:V,5,0),"")</f>
        <v/>
      </c>
      <c r="H170" s="254" t="str">
        <f t="array" ref="H170">IFERROR(INDEX('PORTIFÓLIO'!$H$4:$H$433,MATCH($C170,'PORTIFÓLIO'!$C$4:$C$433,0)),"")</f>
        <v/>
      </c>
      <c r="I170" s="256"/>
      <c r="J170" s="218">
        <f t="shared" si="20"/>
        <v>0</v>
      </c>
      <c r="K170" s="219" t="str">
        <f t="array" ref="K170">IFERROR(I170*INDEX('PORTIFÓLIO'!$S$4:$S$433,MATCH($C170,'PORTIFÓLIO'!$C$4:$C$433,0)),"")</f>
        <v/>
      </c>
      <c r="L170" s="219" t="str">
        <f t="array" ref="L170">IFERROR(J170*INDEX('PORTIFÓLIO'!$S$4:$S$433,MATCH($C170,'PORTIFÓLIO'!$C$4:$C$433,0)),"")</f>
        <v/>
      </c>
      <c r="M170" s="220"/>
      <c r="N170" s="220"/>
      <c r="O170" s="220"/>
      <c r="P170" s="220"/>
      <c r="Q170" s="220"/>
      <c r="R170" s="220"/>
      <c r="S170" s="220"/>
      <c r="T170" s="220"/>
      <c r="U170" s="220"/>
      <c r="V170" s="220"/>
      <c r="W170" s="220"/>
    </row>
    <row r="171" ht="15.75" customHeight="1" outlineLevel="1">
      <c r="A171" s="211"/>
      <c r="B171" s="212"/>
      <c r="C171" s="213"/>
      <c r="D171" s="214" t="str">
        <f>IFERROR(VLOOKUP($C171,'PORTIFÓLIO'!C:V,2,0),"")</f>
        <v/>
      </c>
      <c r="E171" s="211" t="str">
        <f>IFERROR(VLOOKUP($C171,'PORTIFÓLIO'!C:V,3,0),"")</f>
        <v/>
      </c>
      <c r="F171" s="211" t="str">
        <f>IFERROR(VLOOKUP($C171,'PORTIFÓLIO'!C:V,4,0),"")</f>
        <v/>
      </c>
      <c r="G171" s="215" t="str">
        <f>IFERROR(VLOOKUP($C171,'PORTIFÓLIO'!C:V,5,0),"")</f>
        <v/>
      </c>
      <c r="H171" s="254" t="str">
        <f t="array" ref="H171">IFERROR(INDEX('PORTIFÓLIO'!$H$4:$H$433,MATCH($C171,'PORTIFÓLIO'!$C$4:$C$433,0)),"")</f>
        <v/>
      </c>
      <c r="I171" s="256"/>
      <c r="J171" s="218">
        <f t="shared" si="20"/>
        <v>0</v>
      </c>
      <c r="K171" s="219" t="str">
        <f t="array" ref="K171">IFERROR(I171*INDEX('PORTIFÓLIO'!$S$4:$S$433,MATCH($C171,'PORTIFÓLIO'!$C$4:$C$433,0)),"")</f>
        <v/>
      </c>
      <c r="L171" s="219" t="str">
        <f t="array" ref="L171">IFERROR(J171*INDEX('PORTIFÓLIO'!$S$4:$S$433,MATCH($C171,'PORTIFÓLIO'!$C$4:$C$433,0)),"")</f>
        <v/>
      </c>
      <c r="M171" s="220"/>
      <c r="N171" s="220"/>
      <c r="O171" s="220"/>
      <c r="P171" s="220"/>
      <c r="Q171" s="220"/>
      <c r="R171" s="220"/>
      <c r="S171" s="220"/>
      <c r="T171" s="220"/>
      <c r="U171" s="220"/>
      <c r="V171" s="220"/>
      <c r="W171" s="220"/>
    </row>
    <row r="172" ht="15.75" customHeight="1" outlineLevel="1">
      <c r="A172" s="211"/>
      <c r="B172" s="212"/>
      <c r="C172" s="213"/>
      <c r="D172" s="214" t="str">
        <f>IFERROR(VLOOKUP($C172,'PORTIFÓLIO'!C:V,2,0),"")</f>
        <v/>
      </c>
      <c r="E172" s="211" t="str">
        <f>IFERROR(VLOOKUP($C172,'PORTIFÓLIO'!C:V,3,0),"")</f>
        <v/>
      </c>
      <c r="F172" s="211" t="str">
        <f>IFERROR(VLOOKUP($C172,'PORTIFÓLIO'!C:V,4,0),"")</f>
        <v/>
      </c>
      <c r="G172" s="215" t="str">
        <f>IFERROR(VLOOKUP($C172,'PORTIFÓLIO'!C:V,5,0),"")</f>
        <v/>
      </c>
      <c r="H172" s="254" t="str">
        <f t="array" ref="H172">IFERROR(INDEX('PORTIFÓLIO'!$H$4:$H$433,MATCH($C172,'PORTIFÓLIO'!$C$4:$C$433,0)),"")</f>
        <v/>
      </c>
      <c r="I172" s="256"/>
      <c r="J172" s="218">
        <f t="shared" si="20"/>
        <v>0</v>
      </c>
      <c r="K172" s="219" t="str">
        <f t="array" ref="K172">IFERROR(I172*INDEX('PORTIFÓLIO'!$S$4:$S$433,MATCH($C172,'PORTIFÓLIO'!$C$4:$C$433,0)),"")</f>
        <v/>
      </c>
      <c r="L172" s="219" t="str">
        <f t="array" ref="L172">IFERROR(J172*INDEX('PORTIFÓLIO'!$S$4:$S$433,MATCH($C172,'PORTIFÓLIO'!$C$4:$C$433,0)),"")</f>
        <v/>
      </c>
      <c r="M172" s="220"/>
      <c r="N172" s="220"/>
      <c r="O172" s="220"/>
      <c r="P172" s="220"/>
      <c r="Q172" s="220"/>
      <c r="R172" s="220"/>
      <c r="S172" s="220"/>
      <c r="T172" s="220"/>
      <c r="U172" s="220"/>
      <c r="V172" s="220"/>
      <c r="W172" s="220"/>
    </row>
    <row r="173" ht="15.75" customHeight="1" outlineLevel="1">
      <c r="A173" s="211"/>
      <c r="B173" s="212"/>
      <c r="C173" s="213"/>
      <c r="D173" s="214" t="str">
        <f>IFERROR(VLOOKUP($C173,'PORTIFÓLIO'!C:V,2,0),"")</f>
        <v/>
      </c>
      <c r="E173" s="211" t="str">
        <f>IFERROR(VLOOKUP($C173,'PORTIFÓLIO'!C:V,3,0),"")</f>
        <v/>
      </c>
      <c r="F173" s="211" t="str">
        <f>IFERROR(VLOOKUP($C173,'PORTIFÓLIO'!C:V,4,0),"")</f>
        <v/>
      </c>
      <c r="G173" s="215" t="str">
        <f>IFERROR(VLOOKUP($C173,'PORTIFÓLIO'!C:V,5,0),"")</f>
        <v/>
      </c>
      <c r="H173" s="254" t="str">
        <f t="array" ref="H173">IFERROR(INDEX('PORTIFÓLIO'!$H$4:$H$433,MATCH($C173,'PORTIFÓLIO'!$C$4:$C$433,0)),"")</f>
        <v/>
      </c>
      <c r="I173" s="256"/>
      <c r="J173" s="218">
        <f t="shared" si="20"/>
        <v>0</v>
      </c>
      <c r="K173" s="219" t="str">
        <f t="array" ref="K173">IFERROR(I173*INDEX('PORTIFÓLIO'!$S$4:$S$433,MATCH($C173,'PORTIFÓLIO'!$C$4:$C$433,0)),"")</f>
        <v/>
      </c>
      <c r="L173" s="219" t="str">
        <f t="array" ref="L173">IFERROR(J173*INDEX('PORTIFÓLIO'!$S$4:$S$433,MATCH($C173,'PORTIFÓLIO'!$C$4:$C$433,0)),"")</f>
        <v/>
      </c>
      <c r="M173" s="220"/>
      <c r="N173" s="220"/>
      <c r="O173" s="220"/>
      <c r="P173" s="220"/>
      <c r="Q173" s="220"/>
      <c r="R173" s="220"/>
      <c r="S173" s="220"/>
      <c r="T173" s="220"/>
      <c r="U173" s="220"/>
      <c r="V173" s="220"/>
      <c r="W173" s="220"/>
    </row>
    <row r="174" ht="15.75" customHeight="1" outlineLevel="1">
      <c r="A174" s="211"/>
      <c r="B174" s="212"/>
      <c r="C174" s="213"/>
      <c r="D174" s="214" t="str">
        <f>IFERROR(VLOOKUP($C174,'PORTIFÓLIO'!C:V,2,0),"")</f>
        <v/>
      </c>
      <c r="E174" s="211" t="str">
        <f>IFERROR(VLOOKUP($C174,'PORTIFÓLIO'!C:V,3,0),"")</f>
        <v/>
      </c>
      <c r="F174" s="211" t="str">
        <f>IFERROR(VLOOKUP($C174,'PORTIFÓLIO'!C:V,4,0),"")</f>
        <v/>
      </c>
      <c r="G174" s="215" t="str">
        <f>IFERROR(VLOOKUP($C174,'PORTIFÓLIO'!C:V,5,0),"")</f>
        <v/>
      </c>
      <c r="H174" s="254" t="str">
        <f t="array" ref="H174">IFERROR(INDEX('PORTIFÓLIO'!$H$4:$H$433,MATCH($C174,'PORTIFÓLIO'!$C$4:$C$433,0)),"")</f>
        <v/>
      </c>
      <c r="I174" s="255"/>
      <c r="J174" s="218">
        <f t="shared" si="20"/>
        <v>0</v>
      </c>
      <c r="K174" s="219" t="str">
        <f t="array" ref="K174">IFERROR(I174*INDEX('PORTIFÓLIO'!$S$4:$S$433,MATCH($C174,'PORTIFÓLIO'!$C$4:$C$433,0)),"")</f>
        <v/>
      </c>
      <c r="L174" s="219" t="str">
        <f t="array" ref="L174">IFERROR(J174*INDEX('PORTIFÓLIO'!$S$4:$S$433,MATCH($C174,'PORTIFÓLIO'!$C$4:$C$433,0)),"")</f>
        <v/>
      </c>
      <c r="M174" s="220"/>
      <c r="N174" s="220"/>
      <c r="O174" s="220"/>
      <c r="P174" s="220"/>
      <c r="Q174" s="220"/>
      <c r="R174" s="220"/>
      <c r="S174" s="220"/>
      <c r="T174" s="220"/>
      <c r="U174" s="220"/>
      <c r="V174" s="220"/>
      <c r="W174" s="220"/>
    </row>
    <row r="175" ht="15.75" customHeight="1" outlineLevel="1">
      <c r="A175" s="211"/>
      <c r="B175" s="212"/>
      <c r="C175" s="213"/>
      <c r="D175" s="214" t="str">
        <f>IFERROR(VLOOKUP($C175,'PORTIFÓLIO'!C:V,2,0),"")</f>
        <v/>
      </c>
      <c r="E175" s="211" t="str">
        <f>IFERROR(VLOOKUP($C175,'PORTIFÓLIO'!C:V,3,0),"")</f>
        <v/>
      </c>
      <c r="F175" s="211" t="str">
        <f>IFERROR(VLOOKUP($C175,'PORTIFÓLIO'!C:V,4,0),"")</f>
        <v/>
      </c>
      <c r="G175" s="215" t="str">
        <f>IFERROR(VLOOKUP($C175,'PORTIFÓLIO'!C:V,5,0),"")</f>
        <v/>
      </c>
      <c r="H175" s="254" t="str">
        <f t="array" ref="H175">IFERROR(INDEX('PORTIFÓLIO'!$H$4:$H$433,MATCH($C175,'PORTIFÓLIO'!$C$4:$C$433,0)),"")</f>
        <v/>
      </c>
      <c r="I175" s="256"/>
      <c r="J175" s="218">
        <f t="shared" si="20"/>
        <v>0</v>
      </c>
      <c r="K175" s="219" t="str">
        <f t="array" ref="K175">IFERROR(I175*INDEX('PORTIFÓLIO'!$S$4:$S$433,MATCH($C175,'PORTIFÓLIO'!$C$4:$C$433,0)),"")</f>
        <v/>
      </c>
      <c r="L175" s="219" t="str">
        <f t="array" ref="L175">IFERROR(J175*INDEX('PORTIFÓLIO'!$S$4:$S$433,MATCH($C175,'PORTIFÓLIO'!$C$4:$C$433,0)),"")</f>
        <v/>
      </c>
      <c r="M175" s="220"/>
      <c r="N175" s="220"/>
      <c r="O175" s="220"/>
      <c r="P175" s="220"/>
      <c r="Q175" s="220"/>
      <c r="R175" s="220"/>
      <c r="S175" s="220"/>
      <c r="T175" s="220"/>
      <c r="U175" s="220"/>
      <c r="V175" s="220"/>
      <c r="W175" s="220"/>
    </row>
    <row r="176" ht="15.75" customHeight="1" outlineLevel="1">
      <c r="A176" s="211"/>
      <c r="B176" s="212"/>
      <c r="C176" s="213"/>
      <c r="D176" s="214" t="str">
        <f>IFERROR(VLOOKUP($C176,'PORTIFÓLIO'!C:V,2,0),"")</f>
        <v/>
      </c>
      <c r="E176" s="211" t="str">
        <f>IFERROR(VLOOKUP($C176,'PORTIFÓLIO'!C:V,3,0),"")</f>
        <v/>
      </c>
      <c r="F176" s="211" t="str">
        <f>IFERROR(VLOOKUP($C176,'PORTIFÓLIO'!C:V,4,0),"")</f>
        <v/>
      </c>
      <c r="G176" s="215" t="str">
        <f>IFERROR(VLOOKUP($C176,'PORTIFÓLIO'!C:V,5,0),"")</f>
        <v/>
      </c>
      <c r="H176" s="254" t="str">
        <f t="array" ref="H176">IFERROR(INDEX('PORTIFÓLIO'!$H$4:$H$433,MATCH($C176,'PORTIFÓLIO'!$C$4:$C$433,0)),"")</f>
        <v/>
      </c>
      <c r="I176" s="256"/>
      <c r="J176" s="218">
        <f t="shared" si="20"/>
        <v>0</v>
      </c>
      <c r="K176" s="219" t="str">
        <f t="array" ref="K176">IFERROR(I176*INDEX('PORTIFÓLIO'!$S$4:$S$433,MATCH($C176,'PORTIFÓLIO'!$C$4:$C$433,0)),"")</f>
        <v/>
      </c>
      <c r="L176" s="219" t="str">
        <f t="array" ref="L176">IFERROR(J176*INDEX('PORTIFÓLIO'!$S$4:$S$433,MATCH($C176,'PORTIFÓLIO'!$C$4:$C$433,0)),"")</f>
        <v/>
      </c>
      <c r="M176" s="220"/>
      <c r="N176" s="220"/>
      <c r="O176" s="220"/>
      <c r="P176" s="220"/>
      <c r="Q176" s="220"/>
      <c r="R176" s="220"/>
      <c r="S176" s="220"/>
      <c r="T176" s="220"/>
      <c r="U176" s="220"/>
      <c r="V176" s="220"/>
      <c r="W176" s="220"/>
    </row>
    <row r="177" ht="15.75" customHeight="1" outlineLevel="1">
      <c r="A177" s="211"/>
      <c r="B177" s="212"/>
      <c r="C177" s="213"/>
      <c r="D177" s="214" t="str">
        <f>IFERROR(VLOOKUP($C177,'PORTIFÓLIO'!C:V,2,0),"")</f>
        <v/>
      </c>
      <c r="E177" s="211" t="str">
        <f>IFERROR(VLOOKUP($C177,'PORTIFÓLIO'!C:V,3,0),"")</f>
        <v/>
      </c>
      <c r="F177" s="211" t="str">
        <f>IFERROR(VLOOKUP($C177,'PORTIFÓLIO'!C:V,4,0),"")</f>
        <v/>
      </c>
      <c r="G177" s="215" t="str">
        <f>IFERROR(VLOOKUP($C177,'PORTIFÓLIO'!C:V,5,0),"")</f>
        <v/>
      </c>
      <c r="H177" s="254" t="str">
        <f t="array" ref="H177">IFERROR(INDEX('PORTIFÓLIO'!$H$4:$H$433,MATCH($C177,'PORTIFÓLIO'!$C$4:$C$433,0)),"")</f>
        <v/>
      </c>
      <c r="I177" s="256"/>
      <c r="J177" s="218">
        <f t="shared" si="20"/>
        <v>0</v>
      </c>
      <c r="K177" s="219" t="str">
        <f t="array" ref="K177">IFERROR(I177*INDEX('PORTIFÓLIO'!$S$4:$S$433,MATCH($C177,'PORTIFÓLIO'!$C$4:$C$433,0)),"")</f>
        <v/>
      </c>
      <c r="L177" s="219" t="str">
        <f t="array" ref="L177">IFERROR(J177*INDEX('PORTIFÓLIO'!$S$4:$S$433,MATCH($C177,'PORTIFÓLIO'!$C$4:$C$433,0)),"")</f>
        <v/>
      </c>
      <c r="M177" s="220"/>
      <c r="N177" s="220"/>
      <c r="O177" s="220"/>
      <c r="P177" s="220"/>
      <c r="Q177" s="220"/>
      <c r="R177" s="220"/>
      <c r="S177" s="220"/>
      <c r="T177" s="220"/>
      <c r="U177" s="220"/>
      <c r="V177" s="220"/>
      <c r="W177" s="220"/>
    </row>
    <row r="178" ht="15.75" customHeight="1" outlineLevel="1">
      <c r="A178" s="211"/>
      <c r="B178" s="212"/>
      <c r="C178" s="213"/>
      <c r="D178" s="214" t="str">
        <f>IFERROR(VLOOKUP($C178,'PORTIFÓLIO'!C:V,2,0),"")</f>
        <v/>
      </c>
      <c r="E178" s="211" t="str">
        <f>IFERROR(VLOOKUP($C178,'PORTIFÓLIO'!C:V,3,0),"")</f>
        <v/>
      </c>
      <c r="F178" s="211" t="str">
        <f>IFERROR(VLOOKUP($C178,'PORTIFÓLIO'!C:V,4,0),"")</f>
        <v/>
      </c>
      <c r="G178" s="215" t="str">
        <f>IFERROR(VLOOKUP($C178,'PORTIFÓLIO'!C:V,5,0),"")</f>
        <v/>
      </c>
      <c r="H178" s="254" t="str">
        <f t="array" ref="H178">IFERROR(INDEX('PORTIFÓLIO'!$H$4:$H$433,MATCH($C178,'PORTIFÓLIO'!$C$4:$C$433,0)),"")</f>
        <v/>
      </c>
      <c r="I178" s="256"/>
      <c r="J178" s="218">
        <f t="shared" si="20"/>
        <v>0</v>
      </c>
      <c r="K178" s="219" t="str">
        <f t="array" ref="K178">IFERROR(I178*INDEX('PORTIFÓLIO'!$S$4:$S$433,MATCH($C178,'PORTIFÓLIO'!$C$4:$C$433,0)),"")</f>
        <v/>
      </c>
      <c r="L178" s="219" t="str">
        <f t="array" ref="L178">IFERROR(J178*INDEX('PORTIFÓLIO'!$S$4:$S$433,MATCH($C178,'PORTIFÓLIO'!$C$4:$C$433,0)),"")</f>
        <v/>
      </c>
      <c r="M178" s="220"/>
      <c r="N178" s="220"/>
      <c r="O178" s="220"/>
      <c r="P178" s="220"/>
      <c r="Q178" s="220"/>
      <c r="R178" s="220"/>
      <c r="S178" s="220"/>
      <c r="T178" s="220"/>
      <c r="U178" s="220"/>
      <c r="V178" s="220"/>
      <c r="W178" s="220"/>
    </row>
    <row r="179" ht="15.75" customHeight="1" outlineLevel="1">
      <c r="A179" s="211"/>
      <c r="B179" s="212"/>
      <c r="C179" s="213"/>
      <c r="D179" s="214" t="str">
        <f>IFERROR(VLOOKUP($C179,'PORTIFÓLIO'!C:V,2,0),"")</f>
        <v/>
      </c>
      <c r="E179" s="211" t="str">
        <f>IFERROR(VLOOKUP($C179,'PORTIFÓLIO'!C:V,3,0),"")</f>
        <v/>
      </c>
      <c r="F179" s="211" t="str">
        <f>IFERROR(VLOOKUP($C179,'PORTIFÓLIO'!C:V,4,0),"")</f>
        <v/>
      </c>
      <c r="G179" s="215" t="str">
        <f>IFERROR(VLOOKUP($C179,'PORTIFÓLIO'!C:V,5,0),"")</f>
        <v/>
      </c>
      <c r="H179" s="254" t="str">
        <f t="array" ref="H179">IFERROR(INDEX('PORTIFÓLIO'!$H$4:$H$433,MATCH($C179,'PORTIFÓLIO'!$C$4:$C$433,0)),"")</f>
        <v/>
      </c>
      <c r="I179" s="256"/>
      <c r="J179" s="218">
        <f t="shared" si="20"/>
        <v>0</v>
      </c>
      <c r="K179" s="219" t="str">
        <f t="array" ref="K179">IFERROR(I179*INDEX('PORTIFÓLIO'!$S$4:$S$433,MATCH($C179,'PORTIFÓLIO'!$C$4:$C$433,0)),"")</f>
        <v/>
      </c>
      <c r="L179" s="219" t="str">
        <f t="array" ref="L179">IFERROR(J179*INDEX('PORTIFÓLIO'!$S$4:$S$433,MATCH($C179,'PORTIFÓLIO'!$C$4:$C$433,0)),"")</f>
        <v/>
      </c>
      <c r="M179" s="220"/>
      <c r="N179" s="220"/>
      <c r="O179" s="220"/>
      <c r="P179" s="220"/>
      <c r="Q179" s="220"/>
      <c r="R179" s="220"/>
      <c r="S179" s="220"/>
      <c r="T179" s="220"/>
      <c r="U179" s="220"/>
      <c r="V179" s="220"/>
      <c r="W179" s="220"/>
    </row>
    <row r="180" ht="15.75" customHeight="1" outlineLevel="1">
      <c r="A180" s="211"/>
      <c r="B180" s="212"/>
      <c r="C180" s="213"/>
      <c r="D180" s="214" t="str">
        <f>IFERROR(VLOOKUP($C180,'PORTIFÓLIO'!C:V,2,0),"")</f>
        <v/>
      </c>
      <c r="E180" s="211" t="str">
        <f>IFERROR(VLOOKUP($C180,'PORTIFÓLIO'!C:V,3,0),"")</f>
        <v/>
      </c>
      <c r="F180" s="211" t="str">
        <f>IFERROR(VLOOKUP($C180,'PORTIFÓLIO'!C:V,4,0),"")</f>
        <v/>
      </c>
      <c r="G180" s="215" t="str">
        <f>IFERROR(VLOOKUP($C180,'PORTIFÓLIO'!C:V,5,0),"")</f>
        <v/>
      </c>
      <c r="H180" s="254" t="str">
        <f t="array" ref="H180">IFERROR(INDEX('PORTIFÓLIO'!$H$4:$H$433,MATCH($C180,'PORTIFÓLIO'!$C$4:$C$433,0)),"")</f>
        <v/>
      </c>
      <c r="I180" s="256"/>
      <c r="J180" s="218">
        <f t="shared" si="20"/>
        <v>0</v>
      </c>
      <c r="K180" s="219" t="str">
        <f t="array" ref="K180">IFERROR(I180*INDEX('PORTIFÓLIO'!$S$4:$S$433,MATCH($C180,'PORTIFÓLIO'!$C$4:$C$433,0)),"")</f>
        <v/>
      </c>
      <c r="L180" s="219" t="str">
        <f t="array" ref="L180">IFERROR(J180*INDEX('PORTIFÓLIO'!$S$4:$S$433,MATCH($C180,'PORTIFÓLIO'!$C$4:$C$433,0)),"")</f>
        <v/>
      </c>
      <c r="M180" s="220"/>
      <c r="N180" s="220"/>
      <c r="O180" s="220"/>
      <c r="P180" s="220"/>
      <c r="Q180" s="220"/>
      <c r="R180" s="220"/>
      <c r="S180" s="220"/>
      <c r="T180" s="220"/>
      <c r="U180" s="220"/>
      <c r="V180" s="220"/>
      <c r="W180" s="220"/>
    </row>
    <row r="181" ht="15.75" customHeight="1" outlineLevel="1">
      <c r="A181" s="211"/>
      <c r="B181" s="227"/>
      <c r="C181" s="211"/>
      <c r="D181" s="214" t="str">
        <f>IFERROR(VLOOKUP($C181,'PORTIFÓLIO'!C:V,2,0),"")</f>
        <v/>
      </c>
      <c r="E181" s="211" t="str">
        <f>IFERROR(VLOOKUP($C181,'PORTIFÓLIO'!C:V,3,0),"")</f>
        <v/>
      </c>
      <c r="F181" s="211" t="str">
        <f>IFERROR(VLOOKUP($C181,'PORTIFÓLIO'!C:V,4,0),"")</f>
        <v/>
      </c>
      <c r="G181" s="215" t="str">
        <f>IFERROR(VLOOKUP($C181,'PORTIFÓLIO'!C:V,5,0),"")</f>
        <v/>
      </c>
      <c r="H181" s="254" t="str">
        <f t="array" ref="H181">IFERROR(INDEX('PORTIFÓLIO'!$H$4:$H$433,MATCH($C181,'PORTIFÓLIO'!$C$4:$C$433,0)),"")</f>
        <v/>
      </c>
      <c r="I181" s="256"/>
      <c r="J181" s="218">
        <f t="shared" si="20"/>
        <v>0</v>
      </c>
      <c r="K181" s="219" t="str">
        <f t="array" ref="K181">IFERROR(I181*INDEX('PORTIFÓLIO'!$S$4:$S$433,MATCH($C181,'PORTIFÓLIO'!$C$4:$C$433,0)),"")</f>
        <v/>
      </c>
      <c r="L181" s="219" t="str">
        <f t="array" ref="L181">IFERROR(J181*INDEX('PORTIFÓLIO'!$S$4:$S$433,MATCH($C181,'PORTIFÓLIO'!$C$4:$C$433,0)),"")</f>
        <v/>
      </c>
      <c r="M181" s="220"/>
      <c r="N181" s="220"/>
      <c r="O181" s="220"/>
      <c r="P181" s="220"/>
      <c r="Q181" s="220"/>
      <c r="R181" s="220"/>
      <c r="S181" s="220"/>
      <c r="T181" s="220"/>
      <c r="U181" s="220"/>
      <c r="V181" s="220"/>
      <c r="W181" s="220"/>
    </row>
    <row r="182" ht="15.75" customHeight="1">
      <c r="A182" s="229" t="s">
        <v>1194</v>
      </c>
      <c r="B182" s="230"/>
      <c r="C182" s="231"/>
      <c r="D182" s="232"/>
      <c r="E182" s="231"/>
      <c r="F182" s="231"/>
      <c r="G182" s="233"/>
      <c r="H182" s="233"/>
      <c r="I182" s="258"/>
      <c r="J182" s="236"/>
      <c r="K182" s="237">
        <f t="shared" ref="K182:L182" si="21">SUBTOTAL(9,K183:K196)</f>
        <v>0</v>
      </c>
      <c r="L182" s="237">
        <f t="shared" si="21"/>
        <v>0</v>
      </c>
      <c r="M182" s="220"/>
      <c r="N182" s="220"/>
      <c r="O182" s="220"/>
      <c r="P182" s="220"/>
      <c r="Q182" s="220"/>
      <c r="R182" s="220"/>
      <c r="S182" s="220"/>
      <c r="T182" s="220"/>
      <c r="U182" s="220"/>
      <c r="V182" s="220"/>
      <c r="W182" s="220"/>
    </row>
    <row r="183" ht="15.75" customHeight="1" outlineLevel="1">
      <c r="A183" s="213"/>
      <c r="B183" s="212"/>
      <c r="C183" s="213"/>
      <c r="D183" s="214" t="str">
        <f>IFERROR(VLOOKUP($C183,'PORTIFÓLIO'!C:V,2,0),"")</f>
        <v/>
      </c>
      <c r="E183" s="211" t="str">
        <f>IFERROR(VLOOKUP($C183,'PORTIFÓLIO'!C:V,3,0),"")</f>
        <v/>
      </c>
      <c r="F183" s="211" t="str">
        <f>IFERROR(VLOOKUP($C183,'PORTIFÓLIO'!C:V,4,0),"")</f>
        <v/>
      </c>
      <c r="G183" s="215" t="str">
        <f t="array" ref="G183">IFERROR(INDEX('PORTIFÓLIO'!$H$4:$H$433,MATCH($C183,'PORTIFÓLIO'!$C$4:$C$433,0)),"")</f>
        <v/>
      </c>
      <c r="H183" s="254" t="str">
        <f t="array" ref="H183">IFERROR(INDEX('PORTIFÓLIO'!$H$4:$H$433,MATCH($C183,'PORTIFÓLIO'!$C$4:$C$433,0)),"")</f>
        <v/>
      </c>
      <c r="I183" s="255"/>
      <c r="J183" s="218">
        <f t="shared" ref="J183:J199" si="22">I183*$B$2</f>
        <v>0</v>
      </c>
      <c r="K183" s="219" t="str">
        <f t="array" ref="K183">IFERROR(I183*INDEX('PORTIFÓLIO'!$S$4:$S$433,MATCH($C183,'PORTIFÓLIO'!$C$4:$C$433,0)),"")</f>
        <v/>
      </c>
      <c r="L183" s="219" t="str">
        <f t="array" ref="L183">IFERROR(J183*INDEX('PORTIFÓLIO'!$S$4:$S$433,MATCH($C183,'PORTIFÓLIO'!$C$4:$C$433,0)),"")</f>
        <v/>
      </c>
      <c r="M183" s="220"/>
      <c r="N183" s="220"/>
      <c r="O183" s="220"/>
      <c r="P183" s="220"/>
      <c r="Q183" s="220"/>
      <c r="R183" s="220"/>
      <c r="S183" s="220"/>
      <c r="T183" s="220"/>
      <c r="U183" s="220"/>
      <c r="V183" s="220"/>
      <c r="W183" s="220"/>
    </row>
    <row r="184" ht="15.75" customHeight="1" outlineLevel="1">
      <c r="A184" s="211"/>
      <c r="B184" s="212"/>
      <c r="C184" s="213"/>
      <c r="D184" s="214" t="str">
        <f>IFERROR(VLOOKUP($C184,'PORTIFÓLIO'!C:V,2,0),"")</f>
        <v/>
      </c>
      <c r="E184" s="211" t="str">
        <f>IFERROR(VLOOKUP($C184,'PORTIFÓLIO'!C:V,3,0),"")</f>
        <v/>
      </c>
      <c r="F184" s="211" t="str">
        <f>IFERROR(VLOOKUP($C184,'PORTIFÓLIO'!C:V,4,0),"")</f>
        <v/>
      </c>
      <c r="G184" s="215" t="str">
        <f t="array" ref="G184">IFERROR(INDEX('PORTIFÓLIO'!$H$4:$H$433,MATCH($C184,'PORTIFÓLIO'!$C$4:$C$433,0)),"")</f>
        <v/>
      </c>
      <c r="H184" s="254" t="str">
        <f t="array" ref="H184">IFERROR(INDEX('PORTIFÓLIO'!$H$4:$H$433,MATCH($C184,'PORTIFÓLIO'!$C$4:$C$433,0)),"")</f>
        <v/>
      </c>
      <c r="I184" s="256"/>
      <c r="J184" s="218">
        <f t="shared" si="22"/>
        <v>0</v>
      </c>
      <c r="K184" s="219" t="str">
        <f t="array" ref="K184">IFERROR(I184*INDEX('PORTIFÓLIO'!$S$4:$S$433,MATCH($C184,'PORTIFÓLIO'!$C$4:$C$433,0)),"")</f>
        <v/>
      </c>
      <c r="L184" s="219" t="str">
        <f t="array" ref="L184">IFERROR(J184*INDEX('PORTIFÓLIO'!$S$4:$S$433,MATCH($C184,'PORTIFÓLIO'!$C$4:$C$433,0)),"")</f>
        <v/>
      </c>
      <c r="M184" s="220"/>
      <c r="N184" s="220"/>
      <c r="O184" s="220"/>
      <c r="P184" s="220"/>
      <c r="Q184" s="220"/>
      <c r="R184" s="220"/>
      <c r="S184" s="220"/>
      <c r="T184" s="220"/>
      <c r="U184" s="220"/>
      <c r="V184" s="220"/>
      <c r="W184" s="220"/>
    </row>
    <row r="185" ht="15.75" customHeight="1" outlineLevel="1">
      <c r="A185" s="211"/>
      <c r="B185" s="212"/>
      <c r="C185" s="213"/>
      <c r="D185" s="214" t="str">
        <f>IFERROR(VLOOKUP($C185,'PORTIFÓLIO'!C:V,2,0),"")</f>
        <v/>
      </c>
      <c r="E185" s="211" t="str">
        <f>IFERROR(VLOOKUP($C185,'PORTIFÓLIO'!C:V,3,0),"")</f>
        <v/>
      </c>
      <c r="F185" s="211" t="str">
        <f>IFERROR(VLOOKUP($C185,'PORTIFÓLIO'!C:V,4,0),"")</f>
        <v/>
      </c>
      <c r="G185" s="215" t="str">
        <f t="array" ref="G185">IFERROR(INDEX('PORTIFÓLIO'!$H$4:$H$433,MATCH($C185,'PORTIFÓLIO'!$C$4:$C$433,0)),"")</f>
        <v/>
      </c>
      <c r="H185" s="254" t="str">
        <f t="array" ref="H185">IFERROR(INDEX('PORTIFÓLIO'!$H$4:$H$433,MATCH($C185,'PORTIFÓLIO'!$C$4:$C$433,0)),"")</f>
        <v/>
      </c>
      <c r="I185" s="256"/>
      <c r="J185" s="218">
        <f t="shared" si="22"/>
        <v>0</v>
      </c>
      <c r="K185" s="219" t="str">
        <f t="array" ref="K185">IFERROR(I185*INDEX('PORTIFÓLIO'!$S$4:$S$433,MATCH($C185,'PORTIFÓLIO'!$C$4:$C$433,0)),"")</f>
        <v/>
      </c>
      <c r="L185" s="219" t="str">
        <f t="array" ref="L185">IFERROR(J185*INDEX('PORTIFÓLIO'!$S$4:$S$433,MATCH($C185,'PORTIFÓLIO'!$C$4:$C$433,0)),"")</f>
        <v/>
      </c>
      <c r="M185" s="220"/>
      <c r="N185" s="220"/>
      <c r="O185" s="220"/>
      <c r="P185" s="220"/>
      <c r="Q185" s="220"/>
      <c r="R185" s="220"/>
      <c r="S185" s="220"/>
      <c r="T185" s="220"/>
      <c r="U185" s="220"/>
      <c r="V185" s="220"/>
      <c r="W185" s="220"/>
    </row>
    <row r="186" ht="15.75" customHeight="1" outlineLevel="1">
      <c r="A186" s="211"/>
      <c r="B186" s="212"/>
      <c r="C186" s="213"/>
      <c r="D186" s="214" t="str">
        <f>IFERROR(VLOOKUP($C186,'PORTIFÓLIO'!C:V,2,0),"")</f>
        <v/>
      </c>
      <c r="E186" s="211" t="str">
        <f>IFERROR(VLOOKUP($C186,'PORTIFÓLIO'!C:V,3,0),"")</f>
        <v/>
      </c>
      <c r="F186" s="211" t="str">
        <f>IFERROR(VLOOKUP($C186,'PORTIFÓLIO'!C:V,4,0),"")</f>
        <v/>
      </c>
      <c r="G186" s="215" t="str">
        <f t="array" ref="G186">IFERROR(INDEX('PORTIFÓLIO'!$H$4:$H$433,MATCH($C186,'PORTIFÓLIO'!$C$4:$C$433,0)),"")</f>
        <v/>
      </c>
      <c r="H186" s="254" t="str">
        <f t="array" ref="H186">IFERROR(INDEX('PORTIFÓLIO'!$H$4:$H$433,MATCH($C186,'PORTIFÓLIO'!$C$4:$C$433,0)),"")</f>
        <v/>
      </c>
      <c r="I186" s="256"/>
      <c r="J186" s="218">
        <f t="shared" si="22"/>
        <v>0</v>
      </c>
      <c r="K186" s="219" t="str">
        <f t="array" ref="K186">IFERROR(I186*INDEX('PORTIFÓLIO'!$S$4:$S$433,MATCH($C186,'PORTIFÓLIO'!$C$4:$C$433,0)),"")</f>
        <v/>
      </c>
      <c r="L186" s="219" t="str">
        <f t="array" ref="L186">IFERROR(J186*INDEX('PORTIFÓLIO'!$S$4:$S$433,MATCH($C186,'PORTIFÓLIO'!$C$4:$C$433,0)),"")</f>
        <v/>
      </c>
      <c r="M186" s="220"/>
      <c r="N186" s="220"/>
      <c r="O186" s="220"/>
      <c r="P186" s="220"/>
      <c r="Q186" s="220"/>
      <c r="R186" s="220"/>
      <c r="S186" s="220"/>
      <c r="T186" s="220"/>
      <c r="U186" s="220"/>
      <c r="V186" s="220"/>
      <c r="W186" s="220"/>
    </row>
    <row r="187" ht="15.75" customHeight="1" outlineLevel="1">
      <c r="A187" s="211"/>
      <c r="B187" s="212"/>
      <c r="C187" s="213"/>
      <c r="D187" s="214" t="str">
        <f>IFERROR(VLOOKUP($C187,'PORTIFÓLIO'!C:V,2,0),"")</f>
        <v/>
      </c>
      <c r="E187" s="211" t="str">
        <f>IFERROR(VLOOKUP($C187,'PORTIFÓLIO'!C:V,3,0),"")</f>
        <v/>
      </c>
      <c r="F187" s="211" t="str">
        <f>IFERROR(VLOOKUP($C187,'PORTIFÓLIO'!C:V,4,0),"")</f>
        <v/>
      </c>
      <c r="G187" s="215" t="str">
        <f t="array" ref="G187">IFERROR(INDEX('PORTIFÓLIO'!$H$4:$H$433,MATCH($C187,'PORTIFÓLIO'!$C$4:$C$433,0)),"")</f>
        <v/>
      </c>
      <c r="H187" s="254" t="str">
        <f t="array" ref="H187">IFERROR(INDEX('PORTIFÓLIO'!$H$4:$H$433,MATCH($C187,'PORTIFÓLIO'!$C$4:$C$433,0)),"")</f>
        <v/>
      </c>
      <c r="I187" s="255"/>
      <c r="J187" s="218">
        <f t="shared" si="22"/>
        <v>0</v>
      </c>
      <c r="K187" s="219" t="str">
        <f t="array" ref="K187">IFERROR(I187*INDEX('PORTIFÓLIO'!$S$4:$S$433,MATCH($C187,'PORTIFÓLIO'!$C$4:$C$433,0)),"")</f>
        <v/>
      </c>
      <c r="L187" s="219" t="str">
        <f t="array" ref="L187">IFERROR(J187*INDEX('PORTIFÓLIO'!$S$4:$S$433,MATCH($C187,'PORTIFÓLIO'!$C$4:$C$433,0)),"")</f>
        <v/>
      </c>
      <c r="M187" s="220"/>
      <c r="N187" s="220"/>
      <c r="O187" s="220"/>
      <c r="P187" s="220"/>
      <c r="Q187" s="220"/>
      <c r="R187" s="220"/>
      <c r="S187" s="220"/>
      <c r="T187" s="220"/>
      <c r="U187" s="220"/>
      <c r="V187" s="220"/>
      <c r="W187" s="220"/>
    </row>
    <row r="188" ht="15.75" customHeight="1" outlineLevel="1">
      <c r="A188" s="211"/>
      <c r="B188" s="212"/>
      <c r="C188" s="213"/>
      <c r="D188" s="214" t="str">
        <f>IFERROR(VLOOKUP($C188,'PORTIFÓLIO'!C:V,2,0),"")</f>
        <v/>
      </c>
      <c r="E188" s="211" t="str">
        <f>IFERROR(VLOOKUP($C188,'PORTIFÓLIO'!C:V,3,0),"")</f>
        <v/>
      </c>
      <c r="F188" s="211" t="str">
        <f>IFERROR(VLOOKUP($C188,'PORTIFÓLIO'!C:V,4,0),"")</f>
        <v/>
      </c>
      <c r="G188" s="215" t="str">
        <f t="array" ref="G188">IFERROR(INDEX('PORTIFÓLIO'!$H$4:$H$433,MATCH($C188,'PORTIFÓLIO'!$C$4:$C$433,0)),"")</f>
        <v/>
      </c>
      <c r="H188" s="254" t="str">
        <f t="array" ref="H188">IFERROR(INDEX('PORTIFÓLIO'!$H$4:$H$433,MATCH($C188,'PORTIFÓLIO'!$C$4:$C$433,0)),"")</f>
        <v/>
      </c>
      <c r="I188" s="255"/>
      <c r="J188" s="218">
        <f t="shared" si="22"/>
        <v>0</v>
      </c>
      <c r="K188" s="219" t="str">
        <f t="array" ref="K188">IFERROR(I188*INDEX('PORTIFÓLIO'!$S$4:$S$433,MATCH($C188,'PORTIFÓLIO'!$C$4:$C$433,0)),"")</f>
        <v/>
      </c>
      <c r="L188" s="219" t="str">
        <f t="array" ref="L188">IFERROR(J188*INDEX('PORTIFÓLIO'!$S$4:$S$433,MATCH($C188,'PORTIFÓLIO'!$C$4:$C$433,0)),"")</f>
        <v/>
      </c>
      <c r="M188" s="220"/>
      <c r="N188" s="220"/>
      <c r="O188" s="220"/>
      <c r="P188" s="220"/>
      <c r="Q188" s="220"/>
      <c r="R188" s="220"/>
      <c r="S188" s="220"/>
      <c r="T188" s="220"/>
      <c r="U188" s="220"/>
      <c r="V188" s="220"/>
      <c r="W188" s="220"/>
    </row>
    <row r="189" ht="15.75" customHeight="1" outlineLevel="1">
      <c r="A189" s="211"/>
      <c r="B189" s="212"/>
      <c r="C189" s="213"/>
      <c r="D189" s="214" t="str">
        <f>IFERROR(VLOOKUP($C189,'PORTIFÓLIO'!C:V,2,0),"")</f>
        <v/>
      </c>
      <c r="E189" s="211" t="str">
        <f>IFERROR(VLOOKUP($C189,'PORTIFÓLIO'!C:V,3,0),"")</f>
        <v/>
      </c>
      <c r="F189" s="211" t="str">
        <f>IFERROR(VLOOKUP($C189,'PORTIFÓLIO'!C:V,4,0),"")</f>
        <v/>
      </c>
      <c r="G189" s="215" t="str">
        <f t="array" ref="G189">IFERROR(INDEX('PORTIFÓLIO'!$H$4:$H$433,MATCH($C189,'PORTIFÓLIO'!$C$4:$C$433,0)),"")</f>
        <v/>
      </c>
      <c r="H189" s="254" t="str">
        <f t="array" ref="H189">IFERROR(INDEX('PORTIFÓLIO'!$H$4:$H$433,MATCH($C189,'PORTIFÓLIO'!$C$4:$C$433,0)),"")</f>
        <v/>
      </c>
      <c r="I189" s="255"/>
      <c r="J189" s="218">
        <f t="shared" si="22"/>
        <v>0</v>
      </c>
      <c r="K189" s="219" t="str">
        <f t="array" ref="K189">IFERROR(I189*INDEX('PORTIFÓLIO'!$S$4:$S$433,MATCH($C189,'PORTIFÓLIO'!$C$4:$C$433,0)),"")</f>
        <v/>
      </c>
      <c r="L189" s="219" t="str">
        <f t="array" ref="L189">IFERROR(J189*INDEX('PORTIFÓLIO'!$S$4:$S$433,MATCH($C189,'PORTIFÓLIO'!$C$4:$C$433,0)),"")</f>
        <v/>
      </c>
      <c r="M189" s="220"/>
      <c r="N189" s="220"/>
      <c r="O189" s="220"/>
      <c r="P189" s="220"/>
      <c r="Q189" s="220"/>
      <c r="R189" s="220"/>
      <c r="S189" s="220"/>
      <c r="T189" s="220"/>
      <c r="U189" s="220"/>
      <c r="V189" s="220"/>
      <c r="W189" s="220"/>
    </row>
    <row r="190" ht="15.75" customHeight="1" outlineLevel="1">
      <c r="A190" s="211"/>
      <c r="B190" s="212"/>
      <c r="C190" s="213"/>
      <c r="D190" s="214" t="str">
        <f>IFERROR(VLOOKUP($C190,'PORTIFÓLIO'!C:V,2,0),"")</f>
        <v/>
      </c>
      <c r="E190" s="211" t="str">
        <f>IFERROR(VLOOKUP($C190,'PORTIFÓLIO'!C:V,3,0),"")</f>
        <v/>
      </c>
      <c r="F190" s="211" t="str">
        <f>IFERROR(VLOOKUP($C190,'PORTIFÓLIO'!C:V,4,0),"")</f>
        <v/>
      </c>
      <c r="G190" s="215" t="str">
        <f>IFERROR(VLOOKUP($C190,'PORTIFÓLIO'!C:V,5,0),"")</f>
        <v/>
      </c>
      <c r="H190" s="254" t="str">
        <f t="array" ref="H190">IFERROR(INDEX('PORTIFÓLIO'!$H$4:$H$433,MATCH($C190,'PORTIFÓLIO'!$C$4:$C$433,0)),"")</f>
        <v/>
      </c>
      <c r="I190" s="256"/>
      <c r="J190" s="218">
        <f t="shared" si="22"/>
        <v>0</v>
      </c>
      <c r="K190" s="219" t="str">
        <f t="array" ref="K190">IFERROR(I190*INDEX('PORTIFÓLIO'!$S$4:$S$433,MATCH($C190,'PORTIFÓLIO'!$C$4:$C$433,0)),"")</f>
        <v/>
      </c>
      <c r="L190" s="219" t="str">
        <f t="array" ref="L190">IFERROR(J190*INDEX('PORTIFÓLIO'!$S$4:$S$433,MATCH($C190,'PORTIFÓLIO'!$C$4:$C$433,0)),"")</f>
        <v/>
      </c>
      <c r="M190" s="220"/>
      <c r="N190" s="220"/>
      <c r="O190" s="220"/>
      <c r="P190" s="220"/>
      <c r="Q190" s="220"/>
      <c r="R190" s="220"/>
      <c r="S190" s="220"/>
      <c r="T190" s="220"/>
      <c r="U190" s="220"/>
      <c r="V190" s="220"/>
      <c r="W190" s="220"/>
    </row>
    <row r="191" ht="15.75" customHeight="1" outlineLevel="1">
      <c r="A191" s="211"/>
      <c r="B191" s="212"/>
      <c r="C191" s="213"/>
      <c r="D191" s="214" t="str">
        <f>IFERROR(VLOOKUP($C191,'PORTIFÓLIO'!C:V,2,0),"")</f>
        <v/>
      </c>
      <c r="E191" s="211" t="str">
        <f>IFERROR(VLOOKUP($C191,'PORTIFÓLIO'!C:V,3,0),"")</f>
        <v/>
      </c>
      <c r="F191" s="211" t="str">
        <f>IFERROR(VLOOKUP($C191,'PORTIFÓLIO'!C:V,4,0),"")</f>
        <v/>
      </c>
      <c r="G191" s="215" t="str">
        <f>IFERROR(VLOOKUP($C191,'PORTIFÓLIO'!C:V,5,0),"")</f>
        <v/>
      </c>
      <c r="H191" s="254" t="str">
        <f t="array" ref="H191">IFERROR(INDEX('PORTIFÓLIO'!$H$4:$H$433,MATCH($C191,'PORTIFÓLIO'!$C$4:$C$433,0)),"")</f>
        <v/>
      </c>
      <c r="I191" s="255"/>
      <c r="J191" s="218">
        <f t="shared" si="22"/>
        <v>0</v>
      </c>
      <c r="K191" s="219" t="str">
        <f t="array" ref="K191">IFERROR(I191*INDEX('PORTIFÓLIO'!$S$4:$S$433,MATCH($C191,'PORTIFÓLIO'!$C$4:$C$433,0)),"")</f>
        <v/>
      </c>
      <c r="L191" s="219" t="str">
        <f t="array" ref="L191">IFERROR(J191*INDEX('PORTIFÓLIO'!$S$4:$S$433,MATCH($C191,'PORTIFÓLIO'!$C$4:$C$433,0)),"")</f>
        <v/>
      </c>
      <c r="M191" s="220"/>
      <c r="N191" s="220"/>
      <c r="O191" s="220"/>
      <c r="P191" s="220"/>
      <c r="Q191" s="220"/>
      <c r="R191" s="220"/>
      <c r="S191" s="220"/>
      <c r="T191" s="220"/>
      <c r="U191" s="220"/>
      <c r="V191" s="220"/>
      <c r="W191" s="220"/>
    </row>
    <row r="192" ht="15.75" customHeight="1" outlineLevel="1">
      <c r="A192" s="211"/>
      <c r="B192" s="212"/>
      <c r="C192" s="213"/>
      <c r="D192" s="214" t="str">
        <f>IFERROR(VLOOKUP($C192,'PORTIFÓLIO'!C:V,2,0),"")</f>
        <v/>
      </c>
      <c r="E192" s="211" t="str">
        <f>IFERROR(VLOOKUP($C192,'PORTIFÓLIO'!C:V,3,0),"")</f>
        <v/>
      </c>
      <c r="F192" s="211" t="str">
        <f>IFERROR(VLOOKUP($C192,'PORTIFÓLIO'!C:V,4,0),"")</f>
        <v/>
      </c>
      <c r="G192" s="215" t="str">
        <f>IFERROR(VLOOKUP($C192,'PORTIFÓLIO'!C:V,5,0),"")</f>
        <v/>
      </c>
      <c r="H192" s="254" t="str">
        <f t="array" ref="H192">IFERROR(INDEX('PORTIFÓLIO'!$H$4:$H$433,MATCH($C192,'PORTIFÓLIO'!$C$4:$C$433,0)),"")</f>
        <v/>
      </c>
      <c r="I192" s="256"/>
      <c r="J192" s="218">
        <f t="shared" si="22"/>
        <v>0</v>
      </c>
      <c r="K192" s="219" t="str">
        <f t="array" ref="K192">IFERROR(I192*INDEX('PORTIFÓLIO'!$S$4:$S$433,MATCH($C192,'PORTIFÓLIO'!$C$4:$C$433,0)),"")</f>
        <v/>
      </c>
      <c r="L192" s="219" t="str">
        <f t="array" ref="L192">IFERROR(J192*INDEX('PORTIFÓLIO'!$S$4:$S$433,MATCH($C192,'PORTIFÓLIO'!$C$4:$C$433,0)),"")</f>
        <v/>
      </c>
      <c r="M192" s="220"/>
      <c r="N192" s="220"/>
      <c r="O192" s="220"/>
      <c r="P192" s="220"/>
      <c r="Q192" s="220"/>
      <c r="R192" s="220"/>
      <c r="S192" s="220"/>
      <c r="T192" s="220"/>
      <c r="U192" s="220"/>
      <c r="V192" s="220"/>
      <c r="W192" s="220"/>
    </row>
    <row r="193" ht="15.75" customHeight="1" outlineLevel="1">
      <c r="A193" s="211"/>
      <c r="B193" s="212"/>
      <c r="C193" s="213"/>
      <c r="D193" s="214" t="str">
        <f>IFERROR(VLOOKUP($C193,'PORTIFÓLIO'!C:V,2,0),"")</f>
        <v/>
      </c>
      <c r="E193" s="211" t="str">
        <f>IFERROR(VLOOKUP($C193,'PORTIFÓLIO'!C:V,3,0),"")</f>
        <v/>
      </c>
      <c r="F193" s="211" t="str">
        <f>IFERROR(VLOOKUP($C193,'PORTIFÓLIO'!C:V,4,0),"")</f>
        <v/>
      </c>
      <c r="G193" s="215" t="str">
        <f>IFERROR(VLOOKUP($C193,'PORTIFÓLIO'!C:V,5,0),"")</f>
        <v/>
      </c>
      <c r="H193" s="254" t="str">
        <f t="array" ref="H193">IFERROR(INDEX('PORTIFÓLIO'!$H$4:$H$433,MATCH($C193,'PORTIFÓLIO'!$C$4:$C$433,0)),"")</f>
        <v/>
      </c>
      <c r="I193" s="256"/>
      <c r="J193" s="218">
        <f t="shared" si="22"/>
        <v>0</v>
      </c>
      <c r="K193" s="219" t="str">
        <f t="array" ref="K193">IFERROR(I193*INDEX('PORTIFÓLIO'!$S$4:$S$433,MATCH($C193,'PORTIFÓLIO'!$C$4:$C$433,0)),"")</f>
        <v/>
      </c>
      <c r="L193" s="219" t="str">
        <f t="array" ref="L193">IFERROR(J193*INDEX('PORTIFÓLIO'!$S$4:$S$433,MATCH($C193,'PORTIFÓLIO'!$C$4:$C$433,0)),"")</f>
        <v/>
      </c>
      <c r="M193" s="220"/>
      <c r="N193" s="220"/>
      <c r="O193" s="220"/>
      <c r="P193" s="220"/>
      <c r="Q193" s="220"/>
      <c r="R193" s="220"/>
      <c r="S193" s="220"/>
      <c r="T193" s="220"/>
      <c r="U193" s="220"/>
      <c r="V193" s="220"/>
      <c r="W193" s="220"/>
    </row>
    <row r="194" ht="15.75" customHeight="1" outlineLevel="1">
      <c r="A194" s="211"/>
      <c r="B194" s="212"/>
      <c r="C194" s="213"/>
      <c r="D194" s="214" t="str">
        <f>IFERROR(VLOOKUP($C194,'PORTIFÓLIO'!C:V,2,0),"")</f>
        <v/>
      </c>
      <c r="E194" s="211" t="str">
        <f>IFERROR(VLOOKUP($C194,'PORTIFÓLIO'!C:V,3,0),"")</f>
        <v/>
      </c>
      <c r="F194" s="211" t="str">
        <f>IFERROR(VLOOKUP($C194,'PORTIFÓLIO'!C:V,4,0),"")</f>
        <v/>
      </c>
      <c r="G194" s="215" t="str">
        <f>IFERROR(VLOOKUP($C194,'PORTIFÓLIO'!C:V,5,0),"")</f>
        <v/>
      </c>
      <c r="H194" s="254" t="str">
        <f t="array" ref="H194">IFERROR(INDEX('PORTIFÓLIO'!$H$4:$H$433,MATCH($C194,'PORTIFÓLIO'!$C$4:$C$433,0)),"")</f>
        <v/>
      </c>
      <c r="I194" s="256"/>
      <c r="J194" s="218">
        <f t="shared" si="22"/>
        <v>0</v>
      </c>
      <c r="K194" s="219" t="str">
        <f t="array" ref="K194">IFERROR(I194*INDEX('PORTIFÓLIO'!$S$4:$S$433,MATCH($C194,'PORTIFÓLIO'!$C$4:$C$433,0)),"")</f>
        <v/>
      </c>
      <c r="L194" s="219" t="str">
        <f t="array" ref="L194">IFERROR(J194*INDEX('PORTIFÓLIO'!$S$4:$S$433,MATCH($C194,'PORTIFÓLIO'!$C$4:$C$433,0)),"")</f>
        <v/>
      </c>
      <c r="M194" s="220"/>
      <c r="N194" s="220"/>
      <c r="O194" s="220"/>
      <c r="P194" s="220"/>
      <c r="Q194" s="220"/>
      <c r="R194" s="220"/>
      <c r="S194" s="220"/>
      <c r="T194" s="220"/>
      <c r="U194" s="220"/>
      <c r="V194" s="220"/>
      <c r="W194" s="220"/>
    </row>
    <row r="195" ht="15.75" customHeight="1" outlineLevel="1">
      <c r="A195" s="211"/>
      <c r="B195" s="212"/>
      <c r="C195" s="213"/>
      <c r="D195" s="214" t="str">
        <f>IFERROR(VLOOKUP($C195,'PORTIFÓLIO'!C:V,2,0),"")</f>
        <v/>
      </c>
      <c r="E195" s="211" t="str">
        <f>IFERROR(VLOOKUP($C195,'PORTIFÓLIO'!C:V,3,0),"")</f>
        <v/>
      </c>
      <c r="F195" s="211" t="str">
        <f>IFERROR(VLOOKUP($C195,'PORTIFÓLIO'!C:V,4,0),"")</f>
        <v/>
      </c>
      <c r="G195" s="215" t="str">
        <f>IFERROR(VLOOKUP($C195,'PORTIFÓLIO'!C:V,5,0),"")</f>
        <v/>
      </c>
      <c r="H195" s="254" t="str">
        <f t="array" ref="H195">IFERROR(INDEX('PORTIFÓLIO'!$H$4:$H$433,MATCH($C195,'PORTIFÓLIO'!$C$4:$C$433,0)),"")</f>
        <v/>
      </c>
      <c r="I195" s="256"/>
      <c r="J195" s="218">
        <f t="shared" si="22"/>
        <v>0</v>
      </c>
      <c r="K195" s="219" t="str">
        <f t="array" ref="K195">IFERROR(I195*INDEX('PORTIFÓLIO'!$S$4:$S$433,MATCH($C195,'PORTIFÓLIO'!$C$4:$C$433,0)),"")</f>
        <v/>
      </c>
      <c r="L195" s="219" t="str">
        <f t="array" ref="L195">IFERROR(J195*INDEX('PORTIFÓLIO'!$S$4:$S$433,MATCH($C195,'PORTIFÓLIO'!$C$4:$C$433,0)),"")</f>
        <v/>
      </c>
      <c r="M195" s="220"/>
      <c r="N195" s="220"/>
      <c r="O195" s="220"/>
      <c r="P195" s="220"/>
      <c r="Q195" s="220"/>
      <c r="R195" s="220"/>
      <c r="S195" s="220"/>
      <c r="T195" s="220"/>
      <c r="U195" s="220"/>
      <c r="V195" s="220"/>
      <c r="W195" s="220"/>
    </row>
    <row r="196" ht="15.75" customHeight="1" outlineLevel="1">
      <c r="A196" s="211"/>
      <c r="B196" s="212"/>
      <c r="C196" s="213"/>
      <c r="D196" s="214" t="str">
        <f>IFERROR(VLOOKUP($C196,'PORTIFÓLIO'!C:V,2,0),"")</f>
        <v/>
      </c>
      <c r="E196" s="211" t="str">
        <f>IFERROR(VLOOKUP($C196,'PORTIFÓLIO'!C:V,3,0),"")</f>
        <v/>
      </c>
      <c r="F196" s="211" t="str">
        <f>IFERROR(VLOOKUP($C196,'PORTIFÓLIO'!C:V,4,0),"")</f>
        <v/>
      </c>
      <c r="G196" s="215" t="str">
        <f>IFERROR(VLOOKUP($C196,'PORTIFÓLIO'!C:V,5,0),"")</f>
        <v/>
      </c>
      <c r="H196" s="254" t="str">
        <f t="array" ref="H196">IFERROR(INDEX('PORTIFÓLIO'!$H$4:$H$433,MATCH($C196,'PORTIFÓLIO'!$C$4:$C$433,0)),"")</f>
        <v/>
      </c>
      <c r="I196" s="256"/>
      <c r="J196" s="218">
        <f t="shared" si="22"/>
        <v>0</v>
      </c>
      <c r="K196" s="219" t="str">
        <f t="array" ref="K196">IFERROR(I196*INDEX('PORTIFÓLIO'!$S$4:$S$433,MATCH($C196,'PORTIFÓLIO'!$C$4:$C$433,0)),"")</f>
        <v/>
      </c>
      <c r="L196" s="219" t="str">
        <f t="array" ref="L196">IFERROR(J196*INDEX('PORTIFÓLIO'!$S$4:$S$433,MATCH($C196,'PORTIFÓLIO'!$C$4:$C$433,0)),"")</f>
        <v/>
      </c>
      <c r="M196" s="220"/>
      <c r="N196" s="220"/>
      <c r="O196" s="220"/>
      <c r="P196" s="220"/>
      <c r="Q196" s="220"/>
      <c r="R196" s="220"/>
      <c r="S196" s="220"/>
      <c r="T196" s="220"/>
      <c r="U196" s="220"/>
      <c r="V196" s="220"/>
      <c r="W196" s="220"/>
    </row>
    <row r="197" ht="15.75" customHeight="1" outlineLevel="1">
      <c r="A197" s="211"/>
      <c r="B197" s="212"/>
      <c r="C197" s="213"/>
      <c r="D197" s="214" t="str">
        <f>IFERROR(VLOOKUP($C197,'PORTIFÓLIO'!C:V,2,0),"")</f>
        <v/>
      </c>
      <c r="E197" s="211" t="str">
        <f>IFERROR(VLOOKUP($C197,'PORTIFÓLIO'!C:V,3,0),"")</f>
        <v/>
      </c>
      <c r="F197" s="211" t="str">
        <f>IFERROR(VLOOKUP($C197,'PORTIFÓLIO'!C:V,4,0),"")</f>
        <v/>
      </c>
      <c r="G197" s="215" t="str">
        <f>IFERROR(VLOOKUP($C197,'PORTIFÓLIO'!C:V,5,0),"")</f>
        <v/>
      </c>
      <c r="H197" s="254" t="str">
        <f t="array" ref="H197">IFERROR(INDEX('PORTIFÓLIO'!$H$4:$H$433,MATCH($C197,'PORTIFÓLIO'!$C$4:$C$433,0)),"")</f>
        <v/>
      </c>
      <c r="I197" s="256"/>
      <c r="J197" s="218">
        <f t="shared" si="22"/>
        <v>0</v>
      </c>
      <c r="K197" s="219" t="str">
        <f t="array" ref="K197">IFERROR(I197*INDEX('PORTIFÓLIO'!$S$4:$S$433,MATCH($C197,'PORTIFÓLIO'!$C$4:$C$433,0)),"")</f>
        <v/>
      </c>
      <c r="L197" s="219" t="str">
        <f t="array" ref="L197">IFERROR(J197*INDEX('PORTIFÓLIO'!$S$4:$S$433,MATCH($C197,'PORTIFÓLIO'!$C$4:$C$433,0)),"")</f>
        <v/>
      </c>
      <c r="M197" s="220"/>
      <c r="N197" s="220"/>
      <c r="O197" s="220"/>
      <c r="P197" s="220"/>
      <c r="Q197" s="220"/>
      <c r="R197" s="220"/>
      <c r="S197" s="220"/>
      <c r="T197" s="220"/>
      <c r="U197" s="220"/>
      <c r="V197" s="220"/>
      <c r="W197" s="220"/>
    </row>
    <row r="198" ht="15.75" customHeight="1" outlineLevel="1">
      <c r="A198" s="211"/>
      <c r="B198" s="227"/>
      <c r="C198" s="211"/>
      <c r="D198" s="214" t="str">
        <f>IFERROR(VLOOKUP($C198,'PORTIFÓLIO'!C:V,2,0),"")</f>
        <v/>
      </c>
      <c r="E198" s="211" t="str">
        <f>IFERROR(VLOOKUP($C198,'PORTIFÓLIO'!C:V,3,0),"")</f>
        <v/>
      </c>
      <c r="F198" s="211" t="str">
        <f>IFERROR(VLOOKUP($C198,'PORTIFÓLIO'!C:V,4,0),"")</f>
        <v/>
      </c>
      <c r="G198" s="215" t="str">
        <f>IFERROR(VLOOKUP($C198,'PORTIFÓLIO'!C:V,5,0),"")</f>
        <v/>
      </c>
      <c r="H198" s="254" t="str">
        <f t="array" ref="H198">IFERROR(INDEX('PORTIFÓLIO'!$H$4:$H$433,MATCH($C198,'PORTIFÓLIO'!$C$4:$C$433,0)),"")</f>
        <v/>
      </c>
      <c r="I198" s="256"/>
      <c r="J198" s="218">
        <f t="shared" si="22"/>
        <v>0</v>
      </c>
      <c r="K198" s="219" t="str">
        <f t="array" ref="K198">IFERROR(I198*INDEX('PORTIFÓLIO'!$S$4:$S$433,MATCH($C198,'PORTIFÓLIO'!$C$4:$C$433,0)),"")</f>
        <v/>
      </c>
      <c r="L198" s="219" t="str">
        <f t="array" ref="L198">IFERROR(J198*INDEX('PORTIFÓLIO'!$S$4:$S$433,MATCH($C198,'PORTIFÓLIO'!$C$4:$C$433,0)),"")</f>
        <v/>
      </c>
      <c r="M198" s="220"/>
      <c r="N198" s="220"/>
      <c r="O198" s="220"/>
      <c r="P198" s="220"/>
      <c r="Q198" s="220"/>
      <c r="R198" s="220"/>
      <c r="S198" s="220"/>
      <c r="T198" s="220"/>
      <c r="U198" s="220"/>
      <c r="V198" s="220"/>
      <c r="W198" s="220"/>
    </row>
    <row r="199" ht="15.75" customHeight="1" outlineLevel="1">
      <c r="A199" s="211"/>
      <c r="B199" s="227"/>
      <c r="C199" s="211"/>
      <c r="D199" s="214" t="str">
        <f>IFERROR(VLOOKUP($C199,'PORTIFÓLIO'!C:V,2,0),"")</f>
        <v/>
      </c>
      <c r="E199" s="211" t="str">
        <f>IFERROR(VLOOKUP($C199,'PORTIFÓLIO'!C:V,3,0),"")</f>
        <v/>
      </c>
      <c r="F199" s="211" t="str">
        <f>IFERROR(VLOOKUP($C199,'PORTIFÓLIO'!C:V,4,0),"")</f>
        <v/>
      </c>
      <c r="G199" s="215" t="str">
        <f>IFERROR(VLOOKUP($C199,'PORTIFÓLIO'!C:V,5,0),"")</f>
        <v/>
      </c>
      <c r="H199" s="254" t="str">
        <f t="array" ref="H199">IFERROR(INDEX('PORTIFÓLIO'!$H$4:$H$433,MATCH($C199,'PORTIFÓLIO'!$C$4:$C$433,0)),"")</f>
        <v/>
      </c>
      <c r="I199" s="256"/>
      <c r="J199" s="218">
        <f t="shared" si="22"/>
        <v>0</v>
      </c>
      <c r="K199" s="219" t="str">
        <f t="array" ref="K199">IFERROR(I199*INDEX('PORTIFÓLIO'!$S$4:$S$433,MATCH($C199,'PORTIFÓLIO'!$C$4:$C$433,0)),"")</f>
        <v/>
      </c>
      <c r="L199" s="219" t="str">
        <f t="array" ref="L199">IFERROR(J199*INDEX('PORTIFÓLIO'!$S$4:$S$433,MATCH($C199,'PORTIFÓLIO'!$C$4:$C$433,0)),"")</f>
        <v/>
      </c>
      <c r="M199" s="220"/>
      <c r="N199" s="220"/>
      <c r="O199" s="220"/>
      <c r="P199" s="220"/>
      <c r="Q199" s="220"/>
      <c r="R199" s="220"/>
      <c r="S199" s="220"/>
      <c r="T199" s="220"/>
      <c r="U199" s="220"/>
      <c r="V199" s="220"/>
      <c r="W199" s="220"/>
    </row>
    <row r="200" ht="15.75" customHeight="1">
      <c r="A200" s="229" t="s">
        <v>1202</v>
      </c>
      <c r="B200" s="230"/>
      <c r="C200" s="231"/>
      <c r="D200" s="232"/>
      <c r="E200" s="231"/>
      <c r="F200" s="231"/>
      <c r="G200" s="233"/>
      <c r="H200" s="233"/>
      <c r="I200" s="258"/>
      <c r="J200" s="236"/>
      <c r="K200" s="237">
        <f t="shared" ref="K200:L200" si="23">SUBTOTAL(9,K201:K214)</f>
        <v>0</v>
      </c>
      <c r="L200" s="237">
        <f t="shared" si="23"/>
        <v>0</v>
      </c>
      <c r="M200" s="220"/>
      <c r="N200" s="220"/>
      <c r="O200" s="220"/>
      <c r="P200" s="220"/>
      <c r="Q200" s="220"/>
      <c r="R200" s="220"/>
      <c r="S200" s="220"/>
      <c r="T200" s="220"/>
      <c r="U200" s="220"/>
      <c r="V200" s="220"/>
      <c r="W200" s="220"/>
    </row>
    <row r="201" ht="15.75" customHeight="1" outlineLevel="1">
      <c r="A201" s="213"/>
      <c r="B201" s="212"/>
      <c r="C201" s="213"/>
      <c r="D201" s="214" t="str">
        <f>IFERROR(VLOOKUP($C201,'PORTIFÓLIO'!C:V,2,0),"")</f>
        <v/>
      </c>
      <c r="E201" s="211" t="str">
        <f>IFERROR(VLOOKUP($C201,'PORTIFÓLIO'!C:V,3,0),"")</f>
        <v/>
      </c>
      <c r="F201" s="211" t="str">
        <f>IFERROR(VLOOKUP($C201,'PORTIFÓLIO'!C:V,4,0),"")</f>
        <v/>
      </c>
      <c r="G201" s="215" t="str">
        <f>IFERROR(VLOOKUP($C201,'PORTIFÓLIO'!C:V,5,0),"")</f>
        <v/>
      </c>
      <c r="H201" s="254" t="str">
        <f t="array" ref="H201">IFERROR(INDEX('PORTIFÓLIO'!$H$4:$H$433,MATCH($C201,'PORTIFÓLIO'!$C$4:$C$433,0)),"")</f>
        <v/>
      </c>
      <c r="I201" s="256"/>
      <c r="J201" s="218">
        <f t="shared" ref="J201:J224" si="24">I201*$B$2</f>
        <v>0</v>
      </c>
      <c r="K201" s="219" t="str">
        <f>IFERROR(I201* VLOOKUP($C201,'PORTIFÓLIO'!C:V,10,0),"")</f>
        <v/>
      </c>
      <c r="L201" s="219" t="str">
        <f>IFERROR(J201* VLOOKUP($C201,'PORTIFÓLIO'!C:V,10,0),"")</f>
        <v/>
      </c>
      <c r="M201" s="220"/>
      <c r="N201" s="220"/>
      <c r="O201" s="220"/>
      <c r="P201" s="220"/>
      <c r="Q201" s="220"/>
      <c r="R201" s="220"/>
      <c r="S201" s="220"/>
      <c r="T201" s="220"/>
      <c r="U201" s="220"/>
      <c r="V201" s="220"/>
      <c r="W201" s="220"/>
    </row>
    <row r="202" ht="15.75" customHeight="1" outlineLevel="1">
      <c r="A202" s="211"/>
      <c r="B202" s="212"/>
      <c r="C202" s="213"/>
      <c r="D202" s="214" t="str">
        <f>IFERROR(VLOOKUP($C202,'PORTIFÓLIO'!C:V,2,0),"")</f>
        <v/>
      </c>
      <c r="E202" s="211" t="str">
        <f>IFERROR(VLOOKUP($C202,'PORTIFÓLIO'!C:V,3,0),"")</f>
        <v/>
      </c>
      <c r="F202" s="211" t="str">
        <f>IFERROR(VLOOKUP($C202,'PORTIFÓLIO'!C:V,4,0),"")</f>
        <v/>
      </c>
      <c r="G202" s="215" t="str">
        <f>IFERROR(VLOOKUP($C202,'PORTIFÓLIO'!C:V,5,0),"")</f>
        <v/>
      </c>
      <c r="H202" s="254" t="str">
        <f t="array" ref="H202">IFERROR(INDEX('PORTIFÓLIO'!$H$4:$H$433,MATCH($C202,'PORTIFÓLIO'!$C$4:$C$433,0)),"")</f>
        <v/>
      </c>
      <c r="I202" s="256"/>
      <c r="J202" s="218">
        <f t="shared" si="24"/>
        <v>0</v>
      </c>
      <c r="K202" s="219" t="str">
        <f>IFERROR(I202* VLOOKUP($C202,'PORTIFÓLIO'!C:V,10,0),"")</f>
        <v/>
      </c>
      <c r="L202" s="219" t="str">
        <f>IFERROR(J202* VLOOKUP($C202,'PORTIFÓLIO'!C:V,10,0),"")</f>
        <v/>
      </c>
      <c r="M202" s="220"/>
      <c r="N202" s="220"/>
      <c r="O202" s="220"/>
      <c r="P202" s="220"/>
      <c r="Q202" s="220"/>
      <c r="R202" s="220"/>
      <c r="S202" s="220"/>
      <c r="T202" s="220"/>
      <c r="U202" s="220"/>
      <c r="V202" s="220"/>
      <c r="W202" s="220"/>
    </row>
    <row r="203" ht="15.75" customHeight="1" outlineLevel="1">
      <c r="A203" s="211"/>
      <c r="B203" s="212"/>
      <c r="C203" s="213"/>
      <c r="D203" s="214" t="str">
        <f>IFERROR(VLOOKUP($C203,'PORTIFÓLIO'!C:V,2,0),"")</f>
        <v/>
      </c>
      <c r="E203" s="211" t="str">
        <f>IFERROR(VLOOKUP($C203,'PORTIFÓLIO'!C:V,3,0),"")</f>
        <v/>
      </c>
      <c r="F203" s="211" t="str">
        <f>IFERROR(VLOOKUP($C203,'PORTIFÓLIO'!C:V,4,0),"")</f>
        <v/>
      </c>
      <c r="G203" s="215" t="str">
        <f>IFERROR(VLOOKUP($C203,'PORTIFÓLIO'!C:V,5,0),"")</f>
        <v/>
      </c>
      <c r="H203" s="254" t="str">
        <f t="array" ref="H203">IFERROR(INDEX('PORTIFÓLIO'!$H$4:$H$433,MATCH($C203,'PORTIFÓLIO'!$C$4:$C$433,0)),"")</f>
        <v/>
      </c>
      <c r="I203" s="256"/>
      <c r="J203" s="218">
        <f t="shared" si="24"/>
        <v>0</v>
      </c>
      <c r="K203" s="219" t="str">
        <f>IFERROR(I203* VLOOKUP($C203,'PORTIFÓLIO'!C:V,10,0),"")</f>
        <v/>
      </c>
      <c r="L203" s="219" t="str">
        <f>IFERROR(J203* VLOOKUP($C203,'PORTIFÓLIO'!C:V,10,0),"")</f>
        <v/>
      </c>
      <c r="M203" s="220"/>
      <c r="N203" s="220"/>
      <c r="O203" s="220"/>
      <c r="P203" s="220"/>
      <c r="Q203" s="220"/>
      <c r="R203" s="220"/>
      <c r="S203" s="220"/>
      <c r="T203" s="220"/>
      <c r="U203" s="220"/>
      <c r="V203" s="220"/>
      <c r="W203" s="220"/>
    </row>
    <row r="204" ht="15.75" customHeight="1" outlineLevel="1">
      <c r="A204" s="211"/>
      <c r="B204" s="212"/>
      <c r="C204" s="213"/>
      <c r="D204" s="214" t="str">
        <f>IFERROR(VLOOKUP($C204,'PORTIFÓLIO'!C:V,2,0),"")</f>
        <v/>
      </c>
      <c r="E204" s="211" t="str">
        <f>IFERROR(VLOOKUP($C204,'PORTIFÓLIO'!C:V,3,0),"")</f>
        <v/>
      </c>
      <c r="F204" s="211" t="str">
        <f>IFERROR(VLOOKUP($C204,'PORTIFÓLIO'!C:V,4,0),"")</f>
        <v/>
      </c>
      <c r="G204" s="215" t="str">
        <f>IFERROR(VLOOKUP($C204,'PORTIFÓLIO'!C:V,5,0),"")</f>
        <v/>
      </c>
      <c r="H204" s="254" t="str">
        <f t="array" ref="H204">IFERROR(INDEX('PORTIFÓLIO'!$H$4:$H$433,MATCH($C204,'PORTIFÓLIO'!$C$4:$C$433,0)),"")</f>
        <v/>
      </c>
      <c r="I204" s="256"/>
      <c r="J204" s="218">
        <f t="shared" si="24"/>
        <v>0</v>
      </c>
      <c r="K204" s="219" t="str">
        <f>IFERROR(I204* VLOOKUP($C204,'PORTIFÓLIO'!C:V,10,0),"")</f>
        <v/>
      </c>
      <c r="L204" s="219" t="str">
        <f>IFERROR(J204* VLOOKUP($C204,'PORTIFÓLIO'!C:V,10,0),"")</f>
        <v/>
      </c>
      <c r="M204" s="220"/>
      <c r="N204" s="220"/>
      <c r="O204" s="220"/>
      <c r="P204" s="220"/>
      <c r="Q204" s="220"/>
      <c r="R204" s="220"/>
      <c r="S204" s="220"/>
      <c r="T204" s="220"/>
      <c r="U204" s="220"/>
      <c r="V204" s="220"/>
      <c r="W204" s="220"/>
    </row>
    <row r="205" ht="15.75" customHeight="1" outlineLevel="1">
      <c r="A205" s="211"/>
      <c r="B205" s="212"/>
      <c r="C205" s="213"/>
      <c r="D205" s="214" t="str">
        <f>IFERROR(VLOOKUP($C205,'PORTIFÓLIO'!C:V,2,0),"")</f>
        <v/>
      </c>
      <c r="E205" s="211" t="str">
        <f>IFERROR(VLOOKUP($C205,'PORTIFÓLIO'!C:V,3,0),"")</f>
        <v/>
      </c>
      <c r="F205" s="211" t="str">
        <f>IFERROR(VLOOKUP($C205,'PORTIFÓLIO'!C:V,4,0),"")</f>
        <v/>
      </c>
      <c r="G205" s="215" t="str">
        <f>IFERROR(VLOOKUP($C205,'PORTIFÓLIO'!C:V,5,0),"")</f>
        <v/>
      </c>
      <c r="H205" s="254" t="str">
        <f t="array" ref="H205">IFERROR(INDEX('PORTIFÓLIO'!$H$4:$H$433,MATCH($C205,'PORTIFÓLIO'!$C$4:$C$433,0)),"")</f>
        <v/>
      </c>
      <c r="I205" s="256"/>
      <c r="J205" s="218">
        <f t="shared" si="24"/>
        <v>0</v>
      </c>
      <c r="K205" s="219" t="str">
        <f>IFERROR(I205* VLOOKUP($C205,'PORTIFÓLIO'!C:V,10,0),"")</f>
        <v/>
      </c>
      <c r="L205" s="219" t="str">
        <f>IFERROR(J205* VLOOKUP($C205,'PORTIFÓLIO'!C:V,10,0),"")</f>
        <v/>
      </c>
      <c r="M205" s="220"/>
      <c r="N205" s="220"/>
      <c r="O205" s="220"/>
      <c r="P205" s="220"/>
      <c r="Q205" s="220"/>
      <c r="R205" s="220"/>
      <c r="S205" s="220"/>
      <c r="T205" s="220"/>
      <c r="U205" s="220"/>
      <c r="V205" s="220"/>
      <c r="W205" s="220"/>
    </row>
    <row r="206" ht="15.75" customHeight="1" outlineLevel="1">
      <c r="A206" s="211"/>
      <c r="B206" s="212"/>
      <c r="C206" s="213"/>
      <c r="D206" s="214" t="str">
        <f>IFERROR(VLOOKUP($C206,'PORTIFÓLIO'!C:V,2,0),"")</f>
        <v/>
      </c>
      <c r="E206" s="211" t="str">
        <f>IFERROR(VLOOKUP($C206,'PORTIFÓLIO'!C:V,3,0),"")</f>
        <v/>
      </c>
      <c r="F206" s="211" t="str">
        <f>IFERROR(VLOOKUP($C206,'PORTIFÓLIO'!C:V,4,0),"")</f>
        <v/>
      </c>
      <c r="G206" s="215" t="str">
        <f>IFERROR(VLOOKUP($C206,'PORTIFÓLIO'!C:V,5,0),"")</f>
        <v/>
      </c>
      <c r="H206" s="254" t="str">
        <f t="array" ref="H206">IFERROR(INDEX('PORTIFÓLIO'!$H$4:$H$433,MATCH($C206,'PORTIFÓLIO'!$C$4:$C$433,0)),"")</f>
        <v/>
      </c>
      <c r="I206" s="256"/>
      <c r="J206" s="218">
        <f t="shared" si="24"/>
        <v>0</v>
      </c>
      <c r="K206" s="219" t="str">
        <f>IFERROR(I206* VLOOKUP($C206,'PORTIFÓLIO'!C:V,10,0),"")</f>
        <v/>
      </c>
      <c r="L206" s="219" t="str">
        <f>IFERROR(J206* VLOOKUP($C206,'PORTIFÓLIO'!C:V,10,0),"")</f>
        <v/>
      </c>
      <c r="M206" s="220"/>
      <c r="N206" s="220"/>
      <c r="O206" s="220"/>
      <c r="P206" s="220"/>
      <c r="Q206" s="220"/>
      <c r="R206" s="220"/>
      <c r="S206" s="220"/>
      <c r="T206" s="220"/>
      <c r="U206" s="220"/>
      <c r="V206" s="220"/>
      <c r="W206" s="220"/>
    </row>
    <row r="207" ht="15.75" customHeight="1" outlineLevel="1">
      <c r="A207" s="211"/>
      <c r="B207" s="212"/>
      <c r="C207" s="213"/>
      <c r="D207" s="214" t="str">
        <f>IFERROR(VLOOKUP($C207,'PORTIFÓLIO'!C:V,2,0),"")</f>
        <v/>
      </c>
      <c r="E207" s="211" t="str">
        <f>IFERROR(VLOOKUP($C207,'PORTIFÓLIO'!C:V,3,0),"")</f>
        <v/>
      </c>
      <c r="F207" s="211" t="str">
        <f>IFERROR(VLOOKUP($C207,'PORTIFÓLIO'!C:V,4,0),"")</f>
        <v/>
      </c>
      <c r="G207" s="215" t="str">
        <f>IFERROR(VLOOKUP($C207,'PORTIFÓLIO'!C:V,5,0),"")</f>
        <v/>
      </c>
      <c r="H207" s="254" t="str">
        <f t="array" ref="H207">IFERROR(INDEX('PORTIFÓLIO'!$H$4:$H$433,MATCH($C207,'PORTIFÓLIO'!$C$4:$C$433,0)),"")</f>
        <v/>
      </c>
      <c r="I207" s="256"/>
      <c r="J207" s="218">
        <f t="shared" si="24"/>
        <v>0</v>
      </c>
      <c r="K207" s="219" t="str">
        <f>IFERROR(I207* VLOOKUP($C207,'PORTIFÓLIO'!C:V,10,0),"")</f>
        <v/>
      </c>
      <c r="L207" s="219" t="str">
        <f>IFERROR(J207* VLOOKUP($C207,'PORTIFÓLIO'!C:V,10,0),"")</f>
        <v/>
      </c>
      <c r="M207" s="220"/>
      <c r="N207" s="220"/>
      <c r="O207" s="220"/>
      <c r="P207" s="220"/>
      <c r="Q207" s="220"/>
      <c r="R207" s="220"/>
      <c r="S207" s="220"/>
      <c r="T207" s="220"/>
      <c r="U207" s="220"/>
      <c r="V207" s="220"/>
      <c r="W207" s="220"/>
    </row>
    <row r="208" ht="15.75" customHeight="1" outlineLevel="1">
      <c r="A208" s="211"/>
      <c r="B208" s="212"/>
      <c r="C208" s="213"/>
      <c r="D208" s="214" t="str">
        <f>IFERROR(VLOOKUP($C208,'PORTIFÓLIO'!C:V,2,0),"")</f>
        <v/>
      </c>
      <c r="E208" s="211" t="str">
        <f>IFERROR(VLOOKUP($C208,'PORTIFÓLIO'!C:V,3,0),"")</f>
        <v/>
      </c>
      <c r="F208" s="211" t="str">
        <f>IFERROR(VLOOKUP($C208,'PORTIFÓLIO'!C:V,4,0),"")</f>
        <v/>
      </c>
      <c r="G208" s="215" t="str">
        <f>IFERROR(VLOOKUP($C208,'PORTIFÓLIO'!C:V,5,0),"")</f>
        <v/>
      </c>
      <c r="H208" s="254" t="str">
        <f t="array" ref="H208">IFERROR(INDEX('PORTIFÓLIO'!$H$4:$H$433,MATCH($C208,'PORTIFÓLIO'!$C$4:$C$433,0)),"")</f>
        <v/>
      </c>
      <c r="I208" s="256"/>
      <c r="J208" s="218">
        <f t="shared" si="24"/>
        <v>0</v>
      </c>
      <c r="K208" s="219" t="str">
        <f>IFERROR(I208* VLOOKUP($C208,'PORTIFÓLIO'!C:V,10,0),"")</f>
        <v/>
      </c>
      <c r="L208" s="219" t="str">
        <f>IFERROR(J208* VLOOKUP($C208,'PORTIFÓLIO'!C:V,10,0),"")</f>
        <v/>
      </c>
      <c r="M208" s="220"/>
      <c r="N208" s="220"/>
      <c r="O208" s="220"/>
      <c r="P208" s="220"/>
      <c r="Q208" s="220"/>
      <c r="R208" s="220"/>
      <c r="S208" s="220"/>
      <c r="T208" s="220"/>
      <c r="U208" s="220"/>
      <c r="V208" s="220"/>
      <c r="W208" s="220"/>
    </row>
    <row r="209" ht="15.75" customHeight="1" outlineLevel="1">
      <c r="A209" s="211"/>
      <c r="B209" s="212"/>
      <c r="C209" s="213"/>
      <c r="D209" s="214" t="str">
        <f>IFERROR(VLOOKUP($C209,'PORTIFÓLIO'!C:V,2,0),"")</f>
        <v/>
      </c>
      <c r="E209" s="211" t="str">
        <f>IFERROR(VLOOKUP($C209,'PORTIFÓLIO'!C:V,3,0),"")</f>
        <v/>
      </c>
      <c r="F209" s="211" t="str">
        <f>IFERROR(VLOOKUP($C209,'PORTIFÓLIO'!C:V,4,0),"")</f>
        <v/>
      </c>
      <c r="G209" s="215" t="str">
        <f>IFERROR(VLOOKUP($C209,'PORTIFÓLIO'!C:V,5,0),"")</f>
        <v/>
      </c>
      <c r="H209" s="254" t="str">
        <f t="array" ref="H209">IFERROR(INDEX('PORTIFÓLIO'!$H$4:$H$433,MATCH($C209,'PORTIFÓLIO'!$C$4:$C$433,0)),"")</f>
        <v/>
      </c>
      <c r="I209" s="256"/>
      <c r="J209" s="218">
        <f t="shared" si="24"/>
        <v>0</v>
      </c>
      <c r="K209" s="219" t="str">
        <f>IFERROR(I209* VLOOKUP($C209,'PORTIFÓLIO'!C:V,10,0),"")</f>
        <v/>
      </c>
      <c r="L209" s="219" t="str">
        <f>IFERROR(J209* VLOOKUP($C209,'PORTIFÓLIO'!C:V,10,0),"")</f>
        <v/>
      </c>
      <c r="M209" s="220"/>
      <c r="N209" s="220"/>
      <c r="O209" s="220"/>
      <c r="P209" s="220"/>
      <c r="Q209" s="220"/>
      <c r="R209" s="220"/>
      <c r="S209" s="220"/>
      <c r="T209" s="220"/>
      <c r="U209" s="220"/>
      <c r="V209" s="220"/>
      <c r="W209" s="220"/>
    </row>
    <row r="210" ht="15.75" customHeight="1" outlineLevel="1">
      <c r="A210" s="211"/>
      <c r="B210" s="212"/>
      <c r="C210" s="213"/>
      <c r="D210" s="214" t="str">
        <f>IFERROR(VLOOKUP($C210,'PORTIFÓLIO'!C:V,2,0),"")</f>
        <v/>
      </c>
      <c r="E210" s="211" t="str">
        <f>IFERROR(VLOOKUP($C210,'PORTIFÓLIO'!C:V,3,0),"")</f>
        <v/>
      </c>
      <c r="F210" s="211" t="str">
        <f>IFERROR(VLOOKUP($C210,'PORTIFÓLIO'!C:V,4,0),"")</f>
        <v/>
      </c>
      <c r="G210" s="215" t="str">
        <f>IFERROR(VLOOKUP($C210,'PORTIFÓLIO'!C:V,5,0),"")</f>
        <v/>
      </c>
      <c r="H210" s="254" t="str">
        <f t="array" ref="H210">IFERROR(INDEX('PORTIFÓLIO'!$H$4:$H$433,MATCH($C210,'PORTIFÓLIO'!$C$4:$C$433,0)),"")</f>
        <v/>
      </c>
      <c r="I210" s="256"/>
      <c r="J210" s="218">
        <f t="shared" si="24"/>
        <v>0</v>
      </c>
      <c r="K210" s="219" t="str">
        <f>IFERROR(I210* VLOOKUP($C210,'PORTIFÓLIO'!C:V,10,0),"")</f>
        <v/>
      </c>
      <c r="L210" s="219" t="str">
        <f>IFERROR(J210* VLOOKUP($C210,'PORTIFÓLIO'!C:V,10,0),"")</f>
        <v/>
      </c>
      <c r="M210" s="220"/>
      <c r="N210" s="220"/>
      <c r="O210" s="220"/>
      <c r="P210" s="220"/>
      <c r="Q210" s="220"/>
      <c r="R210" s="220"/>
      <c r="S210" s="220"/>
      <c r="T210" s="220"/>
      <c r="U210" s="220"/>
      <c r="V210" s="220"/>
      <c r="W210" s="220"/>
    </row>
    <row r="211" ht="15.75" customHeight="1" outlineLevel="1">
      <c r="A211" s="211"/>
      <c r="B211" s="212"/>
      <c r="C211" s="213"/>
      <c r="D211" s="214" t="str">
        <f>IFERROR(VLOOKUP($C211,'PORTIFÓLIO'!C:V,2,0),"")</f>
        <v/>
      </c>
      <c r="E211" s="211" t="str">
        <f>IFERROR(VLOOKUP($C211,'PORTIFÓLIO'!C:V,3,0),"")</f>
        <v/>
      </c>
      <c r="F211" s="211" t="str">
        <f>IFERROR(VLOOKUP($C211,'PORTIFÓLIO'!C:V,4,0),"")</f>
        <v/>
      </c>
      <c r="G211" s="215" t="str">
        <f>IFERROR(VLOOKUP($C211,'PORTIFÓLIO'!C:V,5,0),"")</f>
        <v/>
      </c>
      <c r="H211" s="254" t="str">
        <f t="array" ref="H211">IFERROR(INDEX('PORTIFÓLIO'!$H$4:$H$433,MATCH($C211,'PORTIFÓLIO'!$C$4:$C$433,0)),"")</f>
        <v/>
      </c>
      <c r="I211" s="256"/>
      <c r="J211" s="218">
        <f t="shared" si="24"/>
        <v>0</v>
      </c>
      <c r="K211" s="219" t="str">
        <f>IFERROR(I211* VLOOKUP($C211,'PORTIFÓLIO'!C:V,10,0),"")</f>
        <v/>
      </c>
      <c r="L211" s="219" t="str">
        <f>IFERROR(J211* VLOOKUP($C211,'PORTIFÓLIO'!C:V,10,0),"")</f>
        <v/>
      </c>
      <c r="M211" s="220"/>
      <c r="N211" s="220"/>
      <c r="O211" s="220"/>
      <c r="P211" s="220"/>
      <c r="Q211" s="220"/>
      <c r="R211" s="220"/>
      <c r="S211" s="220"/>
      <c r="T211" s="220"/>
      <c r="U211" s="220"/>
      <c r="V211" s="220"/>
      <c r="W211" s="220"/>
    </row>
    <row r="212" ht="15.75" customHeight="1" outlineLevel="1">
      <c r="A212" s="211"/>
      <c r="B212" s="212"/>
      <c r="C212" s="213"/>
      <c r="D212" s="214" t="str">
        <f>IFERROR(VLOOKUP($C212,'PORTIFÓLIO'!C:V,2,0),"")</f>
        <v/>
      </c>
      <c r="E212" s="211" t="str">
        <f>IFERROR(VLOOKUP($C212,'PORTIFÓLIO'!C:V,3,0),"")</f>
        <v/>
      </c>
      <c r="F212" s="211" t="str">
        <f>IFERROR(VLOOKUP($C212,'PORTIFÓLIO'!C:V,4,0),"")</f>
        <v/>
      </c>
      <c r="G212" s="215" t="str">
        <f>IFERROR(VLOOKUP($C212,'PORTIFÓLIO'!C:V,5,0),"")</f>
        <v/>
      </c>
      <c r="H212" s="254" t="str">
        <f t="array" ref="H212">IFERROR(INDEX('PORTIFÓLIO'!$H$4:$H$433,MATCH($C212,'PORTIFÓLIO'!$C$4:$C$433,0)),"")</f>
        <v/>
      </c>
      <c r="I212" s="256"/>
      <c r="J212" s="218">
        <f t="shared" si="24"/>
        <v>0</v>
      </c>
      <c r="K212" s="219" t="str">
        <f>IFERROR(I212* VLOOKUP($C212,'PORTIFÓLIO'!C:V,10,0),"")</f>
        <v/>
      </c>
      <c r="L212" s="219" t="str">
        <f>IFERROR(J212* VLOOKUP($C212,'PORTIFÓLIO'!C:V,10,0),"")</f>
        <v/>
      </c>
      <c r="M212" s="220"/>
      <c r="N212" s="220"/>
      <c r="O212" s="220"/>
      <c r="P212" s="220"/>
      <c r="Q212" s="220"/>
      <c r="R212" s="220"/>
      <c r="S212" s="220"/>
      <c r="T212" s="220"/>
      <c r="U212" s="220"/>
      <c r="V212" s="220"/>
      <c r="W212" s="220"/>
    </row>
    <row r="213" ht="15.75" customHeight="1" outlineLevel="1">
      <c r="A213" s="211"/>
      <c r="B213" s="212"/>
      <c r="C213" s="213"/>
      <c r="D213" s="214" t="str">
        <f>IFERROR(VLOOKUP($C213,'PORTIFÓLIO'!C:V,2,0),"")</f>
        <v/>
      </c>
      <c r="E213" s="211" t="str">
        <f>IFERROR(VLOOKUP($C213,'PORTIFÓLIO'!C:V,3,0),"")</f>
        <v/>
      </c>
      <c r="F213" s="211" t="str">
        <f>IFERROR(VLOOKUP($C213,'PORTIFÓLIO'!C:V,4,0),"")</f>
        <v/>
      </c>
      <c r="G213" s="215" t="str">
        <f>IFERROR(VLOOKUP($C213,'PORTIFÓLIO'!C:V,5,0),"")</f>
        <v/>
      </c>
      <c r="H213" s="254" t="str">
        <f t="array" ref="H213">IFERROR(INDEX('PORTIFÓLIO'!$H$4:$H$433,MATCH($C213,'PORTIFÓLIO'!$C$4:$C$433,0)),"")</f>
        <v/>
      </c>
      <c r="I213" s="256"/>
      <c r="J213" s="218">
        <f t="shared" si="24"/>
        <v>0</v>
      </c>
      <c r="K213" s="219" t="str">
        <f>IFERROR(I213* VLOOKUP($C213,'PORTIFÓLIO'!C:V,10,0),"")</f>
        <v/>
      </c>
      <c r="L213" s="219" t="str">
        <f>IFERROR(J213* VLOOKUP($C213,'PORTIFÓLIO'!C:V,10,0),"")</f>
        <v/>
      </c>
      <c r="M213" s="220"/>
      <c r="N213" s="220"/>
      <c r="O213" s="220"/>
      <c r="P213" s="220"/>
      <c r="Q213" s="220"/>
      <c r="R213" s="220"/>
      <c r="S213" s="220"/>
      <c r="T213" s="220"/>
      <c r="U213" s="220"/>
      <c r="V213" s="220"/>
      <c r="W213" s="220"/>
    </row>
    <row r="214" ht="15.75" customHeight="1" outlineLevel="1">
      <c r="A214" s="211"/>
      <c r="B214" s="212"/>
      <c r="C214" s="213"/>
      <c r="D214" s="214" t="str">
        <f>IFERROR(VLOOKUP($C214,'PORTIFÓLIO'!C:V,2,0),"")</f>
        <v/>
      </c>
      <c r="E214" s="211" t="str">
        <f>IFERROR(VLOOKUP($C214,'PORTIFÓLIO'!C:V,3,0),"")</f>
        <v/>
      </c>
      <c r="F214" s="211" t="str">
        <f>IFERROR(VLOOKUP($C214,'PORTIFÓLIO'!C:V,4,0),"")</f>
        <v/>
      </c>
      <c r="G214" s="215" t="str">
        <f>IFERROR(VLOOKUP($C214,'PORTIFÓLIO'!C:V,5,0),"")</f>
        <v/>
      </c>
      <c r="H214" s="254" t="str">
        <f t="array" ref="H214">IFERROR(INDEX('PORTIFÓLIO'!$H$4:$H$433,MATCH($C214,'PORTIFÓLIO'!$C$4:$C$433,0)),"")</f>
        <v/>
      </c>
      <c r="I214" s="256"/>
      <c r="J214" s="218">
        <f t="shared" si="24"/>
        <v>0</v>
      </c>
      <c r="K214" s="219" t="str">
        <f>IFERROR(I214* VLOOKUP($C214,'PORTIFÓLIO'!C:V,10,0),"")</f>
        <v/>
      </c>
      <c r="L214" s="219" t="str">
        <f>IFERROR(J214* VLOOKUP($C214,'PORTIFÓLIO'!C:V,10,0),"")</f>
        <v/>
      </c>
      <c r="M214" s="220"/>
      <c r="N214" s="220"/>
      <c r="O214" s="220"/>
      <c r="P214" s="220"/>
      <c r="Q214" s="220"/>
      <c r="R214" s="220"/>
      <c r="S214" s="220"/>
      <c r="T214" s="220"/>
      <c r="U214" s="220"/>
      <c r="V214" s="220"/>
      <c r="W214" s="220"/>
    </row>
    <row r="215" ht="15.75" customHeight="1" outlineLevel="1">
      <c r="A215" s="211"/>
      <c r="B215" s="212"/>
      <c r="C215" s="213"/>
      <c r="D215" s="214" t="str">
        <f>IFERROR(VLOOKUP($C215,'PORTIFÓLIO'!C:V,2,0),"")</f>
        <v/>
      </c>
      <c r="E215" s="211" t="str">
        <f>IFERROR(VLOOKUP($C215,'PORTIFÓLIO'!C:V,3,0),"")</f>
        <v/>
      </c>
      <c r="F215" s="211" t="str">
        <f>IFERROR(VLOOKUP($C215,'PORTIFÓLIO'!C:V,4,0),"")</f>
        <v/>
      </c>
      <c r="G215" s="215" t="str">
        <f>IFERROR(VLOOKUP($C215,'PORTIFÓLIO'!C:V,5,0),"")</f>
        <v/>
      </c>
      <c r="H215" s="254" t="str">
        <f t="array" ref="H215">IFERROR(INDEX('PORTIFÓLIO'!$H$4:$H$433,MATCH($C215,'PORTIFÓLIO'!$C$4:$C$433,0)),"")</f>
        <v/>
      </c>
      <c r="I215" s="256"/>
      <c r="J215" s="218">
        <f t="shared" si="24"/>
        <v>0</v>
      </c>
      <c r="K215" s="219" t="str">
        <f>IFERROR(I215* VLOOKUP($C215,'PORTIFÓLIO'!C:V,10,0),"")</f>
        <v/>
      </c>
      <c r="L215" s="219" t="str">
        <f>IFERROR(J215* VLOOKUP($C215,'PORTIFÓLIO'!C:V,10,0),"")</f>
        <v/>
      </c>
      <c r="M215" s="220"/>
      <c r="N215" s="220"/>
      <c r="O215" s="220"/>
      <c r="P215" s="220"/>
      <c r="Q215" s="220"/>
      <c r="R215" s="220"/>
      <c r="S215" s="220"/>
      <c r="T215" s="220"/>
      <c r="U215" s="220"/>
      <c r="V215" s="220"/>
      <c r="W215" s="220"/>
    </row>
    <row r="216" ht="15.75" customHeight="1" outlineLevel="1">
      <c r="A216" s="211"/>
      <c r="B216" s="227"/>
      <c r="C216" s="211"/>
      <c r="D216" s="214" t="str">
        <f>IFERROR(VLOOKUP($C216,'PORTIFÓLIO'!C:V,2,0),"")</f>
        <v/>
      </c>
      <c r="E216" s="211" t="str">
        <f>IFERROR(VLOOKUP($C216,'PORTIFÓLIO'!C:V,3,0),"")</f>
        <v/>
      </c>
      <c r="F216" s="211" t="str">
        <f>IFERROR(VLOOKUP($C216,'PORTIFÓLIO'!C:V,4,0),"")</f>
        <v/>
      </c>
      <c r="G216" s="215" t="str">
        <f>IFERROR(VLOOKUP($C216,'PORTIFÓLIO'!C:V,5,0),"")</f>
        <v/>
      </c>
      <c r="H216" s="254" t="str">
        <f t="array" ref="H216">IFERROR(INDEX('PORTIFÓLIO'!$H$4:$H$433,MATCH($C216,'PORTIFÓLIO'!$C$4:$C$433,0)),"")</f>
        <v/>
      </c>
      <c r="I216" s="256"/>
      <c r="J216" s="218">
        <f t="shared" si="24"/>
        <v>0</v>
      </c>
      <c r="K216" s="219" t="str">
        <f>IFERROR(I216* VLOOKUP($C216,'PORTIFÓLIO'!C:V,10,0),"")</f>
        <v/>
      </c>
      <c r="L216" s="219" t="str">
        <f>IFERROR(J216* VLOOKUP($C216,'PORTIFÓLIO'!C:V,10,0),"")</f>
        <v/>
      </c>
      <c r="M216" s="220"/>
      <c r="N216" s="220"/>
      <c r="O216" s="220"/>
      <c r="P216" s="220"/>
      <c r="Q216" s="220"/>
      <c r="R216" s="220"/>
      <c r="S216" s="220"/>
      <c r="T216" s="220"/>
      <c r="U216" s="220"/>
      <c r="V216" s="220"/>
      <c r="W216" s="220"/>
    </row>
    <row r="217" ht="15.75" customHeight="1" outlineLevel="1">
      <c r="A217" s="211"/>
      <c r="B217" s="227"/>
      <c r="C217" s="211"/>
      <c r="D217" s="214" t="str">
        <f>IFERROR(VLOOKUP($C217,'PORTIFÓLIO'!C:V,2,0),"")</f>
        <v/>
      </c>
      <c r="E217" s="211" t="str">
        <f>IFERROR(VLOOKUP($C217,'PORTIFÓLIO'!C:V,3,0),"")</f>
        <v/>
      </c>
      <c r="F217" s="211" t="str">
        <f>IFERROR(VLOOKUP($C217,'PORTIFÓLIO'!C:V,4,0),"")</f>
        <v/>
      </c>
      <c r="G217" s="215" t="str">
        <f>IFERROR(VLOOKUP($C217,'PORTIFÓLIO'!C:V,5,0),"")</f>
        <v/>
      </c>
      <c r="H217" s="254" t="str">
        <f t="array" ref="H217">IFERROR(INDEX('PORTIFÓLIO'!$H$4:$H$433,MATCH($C217,'PORTIFÓLIO'!$C$4:$C$433,0)),"")</f>
        <v/>
      </c>
      <c r="I217" s="256"/>
      <c r="J217" s="218">
        <f t="shared" si="24"/>
        <v>0</v>
      </c>
      <c r="K217" s="219" t="str">
        <f>IFERROR(I217* VLOOKUP($C217,'PORTIFÓLIO'!C:V,10,0),"")</f>
        <v/>
      </c>
      <c r="L217" s="219" t="str">
        <f>IFERROR(J217* VLOOKUP($C217,'PORTIFÓLIO'!C:V,10,0),"")</f>
        <v/>
      </c>
      <c r="M217" s="220"/>
      <c r="N217" s="220"/>
      <c r="O217" s="220"/>
      <c r="P217" s="220"/>
      <c r="Q217" s="220"/>
      <c r="R217" s="220"/>
      <c r="S217" s="220"/>
      <c r="T217" s="220"/>
      <c r="U217" s="220"/>
      <c r="V217" s="220"/>
      <c r="W217" s="220"/>
    </row>
    <row r="218" ht="15.75" customHeight="1" outlineLevel="1">
      <c r="A218" s="211"/>
      <c r="B218" s="227"/>
      <c r="C218" s="211"/>
      <c r="D218" s="214" t="str">
        <f>IFERROR(VLOOKUP($C218,'PORTIFÓLIO'!C:V,2,0),"")</f>
        <v/>
      </c>
      <c r="E218" s="211" t="str">
        <f>IFERROR(VLOOKUP($C218,'PORTIFÓLIO'!C:V,3,0),"")</f>
        <v/>
      </c>
      <c r="F218" s="211" t="str">
        <f>IFERROR(VLOOKUP($C218,'PORTIFÓLIO'!C:V,4,0),"")</f>
        <v/>
      </c>
      <c r="G218" s="215" t="str">
        <f>IFERROR(VLOOKUP($C218,'PORTIFÓLIO'!C:V,5,0),"")</f>
        <v/>
      </c>
      <c r="H218" s="254" t="str">
        <f t="array" ref="H218">IFERROR(INDEX('PORTIFÓLIO'!$H$4:$H$433,MATCH($C218,'PORTIFÓLIO'!$C$4:$C$433,0)),"")</f>
        <v/>
      </c>
      <c r="I218" s="256"/>
      <c r="J218" s="218">
        <f t="shared" si="24"/>
        <v>0</v>
      </c>
      <c r="K218" s="219" t="str">
        <f>IFERROR(I218* VLOOKUP($C218,'PORTIFÓLIO'!C:V,10,0),"")</f>
        <v/>
      </c>
      <c r="L218" s="219" t="str">
        <f>IFERROR(J218* VLOOKUP($C218,'PORTIFÓLIO'!C:V,10,0),"")</f>
        <v/>
      </c>
      <c r="M218" s="220"/>
      <c r="N218" s="220"/>
      <c r="O218" s="220"/>
      <c r="P218" s="220"/>
      <c r="Q218" s="220"/>
      <c r="R218" s="220"/>
      <c r="S218" s="220"/>
      <c r="T218" s="220"/>
      <c r="U218" s="220"/>
      <c r="V218" s="220"/>
      <c r="W218" s="220"/>
    </row>
    <row r="219" ht="15.75" customHeight="1" outlineLevel="1">
      <c r="A219" s="211"/>
      <c r="B219" s="227"/>
      <c r="C219" s="211"/>
      <c r="D219" s="214" t="str">
        <f>IFERROR(VLOOKUP($C219,'PORTIFÓLIO'!C:V,2,0),"")</f>
        <v/>
      </c>
      <c r="E219" s="211" t="str">
        <f>IFERROR(VLOOKUP($C219,'PORTIFÓLIO'!C:V,3,0),"")</f>
        <v/>
      </c>
      <c r="F219" s="211" t="str">
        <f>IFERROR(VLOOKUP($C219,'PORTIFÓLIO'!C:V,4,0),"")</f>
        <v/>
      </c>
      <c r="G219" s="215" t="str">
        <f>IFERROR(VLOOKUP($C219,'PORTIFÓLIO'!C:V,5,0),"")</f>
        <v/>
      </c>
      <c r="H219" s="254" t="str">
        <f t="array" ref="H219">IFERROR(INDEX('PORTIFÓLIO'!$H$4:$H$433,MATCH($C219,'PORTIFÓLIO'!$C$4:$C$433,0)),"")</f>
        <v/>
      </c>
      <c r="I219" s="256"/>
      <c r="J219" s="218">
        <f t="shared" si="24"/>
        <v>0</v>
      </c>
      <c r="K219" s="219" t="str">
        <f>IFERROR(I219* VLOOKUP($C219,'PORTIFÓLIO'!C:V,10,0),"")</f>
        <v/>
      </c>
      <c r="L219" s="219" t="str">
        <f>IFERROR(J219* VLOOKUP($C219,'PORTIFÓLIO'!C:V,10,0),"")</f>
        <v/>
      </c>
      <c r="M219" s="220"/>
      <c r="N219" s="220"/>
      <c r="O219" s="220"/>
      <c r="P219" s="220"/>
      <c r="Q219" s="220"/>
      <c r="R219" s="220"/>
      <c r="S219" s="220"/>
      <c r="T219" s="220"/>
      <c r="U219" s="220"/>
      <c r="V219" s="220"/>
      <c r="W219" s="220"/>
    </row>
    <row r="220" ht="15.75" customHeight="1" outlineLevel="1">
      <c r="A220" s="211"/>
      <c r="B220" s="227"/>
      <c r="C220" s="211"/>
      <c r="D220" s="214" t="str">
        <f>IFERROR(VLOOKUP($C220,'PORTIFÓLIO'!C:V,2,0),"")</f>
        <v/>
      </c>
      <c r="E220" s="211" t="str">
        <f>IFERROR(VLOOKUP($C220,'PORTIFÓLIO'!C:V,3,0),"")</f>
        <v/>
      </c>
      <c r="F220" s="211" t="str">
        <f>IFERROR(VLOOKUP($C220,'PORTIFÓLIO'!C:V,4,0),"")</f>
        <v/>
      </c>
      <c r="G220" s="215" t="str">
        <f>IFERROR(VLOOKUP($C220,'PORTIFÓLIO'!C:V,5,0),"")</f>
        <v/>
      </c>
      <c r="H220" s="254" t="str">
        <f t="array" ref="H220">IFERROR(INDEX('PORTIFÓLIO'!$H$4:$H$433,MATCH($C220,'PORTIFÓLIO'!$C$4:$C$433,0)),"")</f>
        <v/>
      </c>
      <c r="I220" s="256"/>
      <c r="J220" s="218">
        <f t="shared" si="24"/>
        <v>0</v>
      </c>
      <c r="K220" s="219" t="str">
        <f>IFERROR(I220* VLOOKUP($C220,'PORTIFÓLIO'!C:V,10,0),"")</f>
        <v/>
      </c>
      <c r="L220" s="219" t="str">
        <f>IFERROR(J220* VLOOKUP($C220,'PORTIFÓLIO'!C:V,10,0),"")</f>
        <v/>
      </c>
      <c r="M220" s="220"/>
      <c r="N220" s="220"/>
      <c r="O220" s="220"/>
      <c r="P220" s="220"/>
      <c r="Q220" s="220"/>
      <c r="R220" s="220"/>
      <c r="S220" s="220"/>
      <c r="T220" s="220"/>
      <c r="U220" s="220"/>
      <c r="V220" s="220"/>
      <c r="W220" s="220"/>
    </row>
    <row r="221" ht="15.75" customHeight="1" outlineLevel="1">
      <c r="A221" s="211"/>
      <c r="B221" s="227"/>
      <c r="C221" s="211"/>
      <c r="D221" s="214" t="str">
        <f>IFERROR(VLOOKUP($C221,'PORTIFÓLIO'!C:V,2,0),"")</f>
        <v/>
      </c>
      <c r="E221" s="211" t="str">
        <f>IFERROR(VLOOKUP($C221,'PORTIFÓLIO'!C:V,3,0),"")</f>
        <v/>
      </c>
      <c r="F221" s="211" t="str">
        <f>IFERROR(VLOOKUP($C221,'PORTIFÓLIO'!C:V,4,0),"")</f>
        <v/>
      </c>
      <c r="G221" s="215" t="str">
        <f>IFERROR(VLOOKUP($C221,'PORTIFÓLIO'!C:V,5,0),"")</f>
        <v/>
      </c>
      <c r="H221" s="254" t="str">
        <f t="array" ref="H221">IFERROR(INDEX('PORTIFÓLIO'!$H$4:$H$433,MATCH($C221,'PORTIFÓLIO'!$C$4:$C$433,0)),"")</f>
        <v/>
      </c>
      <c r="I221" s="256"/>
      <c r="J221" s="218">
        <f t="shared" si="24"/>
        <v>0</v>
      </c>
      <c r="K221" s="219" t="str">
        <f>IFERROR(I221* VLOOKUP($C221,'PORTIFÓLIO'!C:V,10,0),"")</f>
        <v/>
      </c>
      <c r="L221" s="219" t="str">
        <f>IFERROR(J221* VLOOKUP($C221,'PORTIFÓLIO'!C:V,10,0),"")</f>
        <v/>
      </c>
      <c r="M221" s="220"/>
      <c r="N221" s="220"/>
      <c r="O221" s="220"/>
      <c r="P221" s="220"/>
      <c r="Q221" s="220"/>
      <c r="R221" s="220"/>
      <c r="S221" s="220"/>
      <c r="T221" s="220"/>
      <c r="U221" s="220"/>
      <c r="V221" s="220"/>
      <c r="W221" s="220"/>
    </row>
    <row r="222" ht="15.75" customHeight="1" outlineLevel="1">
      <c r="A222" s="211"/>
      <c r="B222" s="227"/>
      <c r="C222" s="211"/>
      <c r="D222" s="214" t="str">
        <f>IFERROR(VLOOKUP($C222,'PORTIFÓLIO'!C:V,2,0),"")</f>
        <v/>
      </c>
      <c r="E222" s="211" t="str">
        <f>IFERROR(VLOOKUP($C222,'PORTIFÓLIO'!C:V,3,0),"")</f>
        <v/>
      </c>
      <c r="F222" s="211" t="str">
        <f>IFERROR(VLOOKUP($C222,'PORTIFÓLIO'!C:V,4,0),"")</f>
        <v/>
      </c>
      <c r="G222" s="215" t="str">
        <f>IFERROR(VLOOKUP($C222,'PORTIFÓLIO'!C:V,5,0),"")</f>
        <v/>
      </c>
      <c r="H222" s="254" t="str">
        <f t="array" ref="H222">IFERROR(INDEX('PORTIFÓLIO'!$H$4:$H$433,MATCH($C222,'PORTIFÓLIO'!$C$4:$C$433,0)),"")</f>
        <v/>
      </c>
      <c r="I222" s="256"/>
      <c r="J222" s="218">
        <f t="shared" si="24"/>
        <v>0</v>
      </c>
      <c r="K222" s="219" t="str">
        <f>IFERROR(I222* VLOOKUP($C222,'PORTIFÓLIO'!C:V,10,0),"")</f>
        <v/>
      </c>
      <c r="L222" s="219" t="str">
        <f>IFERROR(J222* VLOOKUP($C222,'PORTIFÓLIO'!C:V,10,0),"")</f>
        <v/>
      </c>
      <c r="M222" s="220"/>
      <c r="N222" s="220"/>
      <c r="O222" s="220"/>
      <c r="P222" s="220"/>
      <c r="Q222" s="220"/>
      <c r="R222" s="220"/>
      <c r="S222" s="220"/>
      <c r="T222" s="220"/>
      <c r="U222" s="220"/>
      <c r="V222" s="220"/>
      <c r="W222" s="220"/>
    </row>
    <row r="223" ht="15.75" customHeight="1" outlineLevel="1">
      <c r="A223" s="211"/>
      <c r="B223" s="227"/>
      <c r="C223" s="211"/>
      <c r="D223" s="214" t="str">
        <f>IFERROR(VLOOKUP($C223,'PORTIFÓLIO'!C:V,2,0),"")</f>
        <v/>
      </c>
      <c r="E223" s="211" t="str">
        <f>IFERROR(VLOOKUP($C223,'PORTIFÓLIO'!C:V,3,0),"")</f>
        <v/>
      </c>
      <c r="F223" s="211" t="str">
        <f>IFERROR(VLOOKUP($C223,'PORTIFÓLIO'!C:V,4,0),"")</f>
        <v/>
      </c>
      <c r="G223" s="215" t="str">
        <f>IFERROR(VLOOKUP($C223,'PORTIFÓLIO'!C:V,5,0),"")</f>
        <v/>
      </c>
      <c r="H223" s="254" t="str">
        <f t="array" ref="H223">IFERROR(INDEX('PORTIFÓLIO'!$H$4:$H$433,MATCH($C223,'PORTIFÓLIO'!$C$4:$C$433,0)),"")</f>
        <v/>
      </c>
      <c r="I223" s="256"/>
      <c r="J223" s="218">
        <f t="shared" si="24"/>
        <v>0</v>
      </c>
      <c r="K223" s="219" t="str">
        <f>IFERROR(I223* VLOOKUP($C223,'PORTIFÓLIO'!C:V,10,0),"")</f>
        <v/>
      </c>
      <c r="L223" s="219" t="str">
        <f>IFERROR(J223* VLOOKUP($C223,'PORTIFÓLIO'!C:V,10,0),"")</f>
        <v/>
      </c>
      <c r="M223" s="220"/>
      <c r="N223" s="220"/>
      <c r="O223" s="220"/>
      <c r="P223" s="220"/>
      <c r="Q223" s="220"/>
      <c r="R223" s="220"/>
      <c r="S223" s="220"/>
      <c r="T223" s="220"/>
      <c r="U223" s="220"/>
      <c r="V223" s="220"/>
      <c r="W223" s="220"/>
    </row>
    <row r="224" ht="15.75" customHeight="1" outlineLevel="1">
      <c r="A224" s="211"/>
      <c r="B224" s="227"/>
      <c r="C224" s="211"/>
      <c r="D224" s="214" t="str">
        <f>IFERROR(VLOOKUP($C224,'PORTIFÓLIO'!C:V,2,0),"")</f>
        <v/>
      </c>
      <c r="E224" s="211" t="str">
        <f>IFERROR(VLOOKUP($C224,'PORTIFÓLIO'!C:V,3,0),"")</f>
        <v/>
      </c>
      <c r="F224" s="211" t="str">
        <f>IFERROR(VLOOKUP($C224,'PORTIFÓLIO'!C:V,4,0),"")</f>
        <v/>
      </c>
      <c r="G224" s="215" t="str">
        <f>IFERROR(VLOOKUP($C224,'PORTIFÓLIO'!C:V,5,0),"")</f>
        <v/>
      </c>
      <c r="H224" s="254" t="str">
        <f t="array" ref="H224">IFERROR(INDEX('PORTIFÓLIO'!$H$4:$H$433,MATCH($C224,'PORTIFÓLIO'!$C$4:$C$433,0)),"")</f>
        <v/>
      </c>
      <c r="I224" s="256"/>
      <c r="J224" s="218">
        <f t="shared" si="24"/>
        <v>0</v>
      </c>
      <c r="K224" s="219" t="str">
        <f>IFERROR(I224* VLOOKUP($C224,'PORTIFÓLIO'!C:V,10,0),"")</f>
        <v/>
      </c>
      <c r="L224" s="219" t="str">
        <f>IFERROR(J224* VLOOKUP($C224,'PORTIFÓLIO'!C:V,10,0),"")</f>
        <v/>
      </c>
      <c r="M224" s="220"/>
      <c r="N224" s="220"/>
      <c r="O224" s="220"/>
      <c r="P224" s="220"/>
      <c r="Q224" s="220"/>
      <c r="R224" s="220"/>
      <c r="S224" s="220"/>
      <c r="T224" s="220"/>
      <c r="U224" s="220"/>
      <c r="V224" s="220"/>
      <c r="W224" s="220"/>
    </row>
    <row r="225" ht="15.75" customHeight="1">
      <c r="A225" s="227"/>
      <c r="B225" s="227"/>
      <c r="C225" s="227"/>
      <c r="D225" s="227"/>
      <c r="E225" s="227"/>
      <c r="F225" s="227"/>
      <c r="G225" s="215"/>
      <c r="H225" s="278" t="str">
        <f t="array" ref="H225">IFERROR(INDEX('PORTIFÓLIO'!$H$4:$H$433,MATCH($C225,'PORTIFÓLIO'!$C$4:$C$433,0)),"")</f>
        <v/>
      </c>
      <c r="I225" s="227"/>
      <c r="J225" s="227"/>
      <c r="K225" s="284">
        <f t="shared" ref="K225:L225" si="25">SUBTOTAL(9,K10:K200)</f>
        <v>0</v>
      </c>
      <c r="L225" s="284">
        <f t="shared" si="25"/>
        <v>0</v>
      </c>
      <c r="M225" s="220"/>
      <c r="N225" s="220"/>
      <c r="O225" s="220"/>
      <c r="P225" s="220"/>
      <c r="Q225" s="220"/>
      <c r="R225" s="220"/>
      <c r="S225" s="220"/>
      <c r="T225" s="220"/>
      <c r="U225" s="220"/>
      <c r="V225" s="220"/>
      <c r="W225" s="220"/>
    </row>
    <row r="226" ht="15.75" customHeight="1">
      <c r="A226" s="285"/>
      <c r="B226" s="285"/>
      <c r="C226" s="285"/>
      <c r="D226" s="285"/>
      <c r="E226" s="285"/>
      <c r="F226" s="285"/>
      <c r="G226" s="286"/>
      <c r="H226" s="286"/>
      <c r="I226" s="285"/>
      <c r="J226" s="285"/>
      <c r="K226" s="285"/>
      <c r="L226" s="285"/>
      <c r="M226" s="285"/>
      <c r="N226" s="285"/>
      <c r="O226" s="285"/>
      <c r="P226" s="285"/>
      <c r="Q226" s="285"/>
      <c r="R226" s="285"/>
      <c r="S226" s="285"/>
      <c r="T226" s="285"/>
      <c r="U226" s="285"/>
      <c r="V226" s="285"/>
      <c r="W226" s="285"/>
    </row>
    <row r="227" ht="15.75" customHeight="1">
      <c r="A227" s="260" t="s">
        <v>1203</v>
      </c>
      <c r="B227" s="261" t="str">
        <f>'ÁREA PLANTIO'!B10</f>
        <v/>
      </c>
      <c r="C227" s="262" t="s">
        <v>1166</v>
      </c>
      <c r="D227" s="263">
        <f>$K$452</f>
        <v>0</v>
      </c>
      <c r="E227" s="264"/>
      <c r="F227" s="265" t="s">
        <v>1167</v>
      </c>
      <c r="G227" s="266"/>
      <c r="H227" s="287" t="str">
        <f t="array" ref="H227">IFERROR(INDEX('PORTIFÓLIO'!$H$4:$H$433,MATCH($C227,'PORTIFÓLIO'!$C$4:$C$433,0)),"")</f>
        <v/>
      </c>
      <c r="I227" s="267"/>
      <c r="J227" s="267"/>
      <c r="K227" s="266"/>
      <c r="L227" s="220"/>
      <c r="M227" s="220"/>
      <c r="N227" s="220"/>
      <c r="O227" s="220"/>
      <c r="P227" s="220"/>
      <c r="Q227" s="220"/>
      <c r="R227" s="220"/>
      <c r="S227" s="220"/>
      <c r="T227" s="220"/>
      <c r="U227" s="220"/>
      <c r="V227" s="220"/>
      <c r="W227" s="220"/>
    </row>
    <row r="228" ht="15.75" customHeight="1">
      <c r="A228" s="260" t="s">
        <v>1168</v>
      </c>
      <c r="B228" s="268" t="str">
        <f>'ÁREA PLANTIO'!E10</f>
        <v/>
      </c>
      <c r="C228" s="269" t="s">
        <v>1169</v>
      </c>
      <c r="D228" s="270" t="str">
        <f>'ÁREA PLANTIO'!I10</f>
        <v/>
      </c>
      <c r="E228" s="264"/>
      <c r="F228" s="264"/>
      <c r="G228" s="266"/>
      <c r="H228" s="287" t="str">
        <f t="array" ref="H228">IFERROR(INDEX('PORTIFÓLIO'!$H$4:$H$433,MATCH($C228,'PORTIFÓLIO'!$C$4:$C$433,0)),"")</f>
        <v/>
      </c>
      <c r="I228" s="267"/>
      <c r="J228" s="267"/>
      <c r="K228" s="266"/>
      <c r="L228" s="220"/>
      <c r="M228" s="220"/>
      <c r="N228" s="220"/>
      <c r="O228" s="220"/>
      <c r="P228" s="220"/>
      <c r="Q228" s="220"/>
      <c r="R228" s="220"/>
      <c r="S228" s="220"/>
      <c r="T228" s="220"/>
      <c r="U228" s="220"/>
      <c r="V228" s="220"/>
      <c r="W228" s="220"/>
    </row>
    <row r="229" ht="15.75" customHeight="1">
      <c r="A229" s="260" t="s">
        <v>1170</v>
      </c>
      <c r="B229" s="267" t="str">
        <f>'ÁREA PLANTIO'!H8</f>
        <v/>
      </c>
      <c r="C229" s="269" t="s">
        <v>1171</v>
      </c>
      <c r="D229" s="271" t="str">
        <f>D227/D228</f>
        <v>#DIV/0!</v>
      </c>
      <c r="E229" s="264"/>
      <c r="F229" s="264"/>
      <c r="G229" s="266"/>
      <c r="H229" s="287" t="str">
        <f t="array" ref="H229">IFERROR(INDEX('PORTIFÓLIO'!$H$4:$H$433,MATCH($C229,'PORTIFÓLIO'!$C$4:$C$433,0)),"")</f>
        <v/>
      </c>
      <c r="I229" s="267"/>
      <c r="J229" s="267"/>
      <c r="K229" s="266"/>
      <c r="L229" s="220"/>
      <c r="M229" s="220"/>
      <c r="N229" s="220"/>
      <c r="O229" s="220"/>
      <c r="P229" s="220"/>
      <c r="Q229" s="220"/>
      <c r="R229" s="220"/>
      <c r="S229" s="220"/>
      <c r="T229" s="220"/>
      <c r="U229" s="220"/>
      <c r="V229" s="220"/>
      <c r="W229" s="220"/>
    </row>
    <row r="230" ht="15.75" customHeight="1">
      <c r="A230" s="272" t="s">
        <v>1172</v>
      </c>
      <c r="B230" s="273">
        <v>45606.0</v>
      </c>
      <c r="C230" s="274"/>
      <c r="D230" s="275"/>
      <c r="E230" s="276"/>
      <c r="F230" s="264"/>
      <c r="G230" s="266"/>
      <c r="H230" s="287" t="str">
        <f t="array" ref="H230">IFERROR(INDEX('PORTIFÓLIO'!$H$4:$H$433,MATCH($C230,'PORTIFÓLIO'!$C$4:$C$433,0)),"")</f>
        <v/>
      </c>
      <c r="I230" s="267"/>
      <c r="J230" s="267"/>
      <c r="K230" s="266"/>
      <c r="L230" s="220"/>
      <c r="M230" s="220"/>
      <c r="N230" s="220"/>
      <c r="O230" s="220"/>
      <c r="P230" s="220"/>
      <c r="Q230" s="220"/>
      <c r="R230" s="220"/>
      <c r="S230" s="220"/>
      <c r="T230" s="220"/>
      <c r="U230" s="220"/>
      <c r="V230" s="220"/>
      <c r="W230" s="220"/>
    </row>
    <row r="231" ht="15.75" customHeight="1">
      <c r="E231" s="277"/>
      <c r="F231" s="264"/>
      <c r="G231" s="266"/>
      <c r="H231" s="287" t="str">
        <f t="array" ref="H231">IFERROR(INDEX('PORTIFÓLIO'!$H$4:$H$433,MATCH($C231,'PORTIFÓLIO'!$C$4:$C$433,0)),"")</f>
        <v/>
      </c>
      <c r="I231" s="267"/>
      <c r="J231" s="267"/>
      <c r="K231" s="266"/>
      <c r="L231" s="220"/>
      <c r="M231" s="220"/>
      <c r="N231" s="220"/>
      <c r="O231" s="220"/>
      <c r="P231" s="220"/>
      <c r="Q231" s="220"/>
      <c r="R231" s="220"/>
      <c r="S231" s="220"/>
      <c r="T231" s="220"/>
      <c r="U231" s="220"/>
      <c r="V231" s="220"/>
      <c r="W231" s="220"/>
    </row>
    <row r="232" ht="15.75" customHeight="1">
      <c r="A232" s="260"/>
      <c r="B232" s="267"/>
      <c r="C232" s="264"/>
      <c r="D232" s="264"/>
      <c r="E232" s="264"/>
      <c r="F232" s="264"/>
      <c r="G232" s="266"/>
      <c r="H232" s="287" t="str">
        <f t="array" ref="H232">IFERROR(INDEX('PORTIFÓLIO'!$H$4:$H$433,MATCH($C232,'PORTIFÓLIO'!$C$4:$C$433,0)),"")</f>
        <v/>
      </c>
      <c r="I232" s="267"/>
      <c r="J232" s="267"/>
      <c r="K232" s="266"/>
      <c r="L232" s="220"/>
      <c r="M232" s="220"/>
      <c r="N232" s="220"/>
      <c r="O232" s="220"/>
      <c r="P232" s="220"/>
      <c r="Q232" s="220"/>
      <c r="R232" s="220"/>
      <c r="S232" s="220"/>
      <c r="T232" s="220"/>
      <c r="U232" s="220"/>
      <c r="V232" s="220"/>
      <c r="W232" s="220"/>
    </row>
    <row r="233" ht="15.75" customHeight="1">
      <c r="A233" s="267"/>
      <c r="B233" s="267"/>
      <c r="C233" s="264"/>
      <c r="D233" s="264"/>
      <c r="E233" s="264"/>
      <c r="F233" s="264"/>
      <c r="G233" s="266"/>
      <c r="H233" s="287" t="str">
        <f t="array" ref="H233">IFERROR(INDEX('PORTIFÓLIO'!$H$4:$H$433,MATCH($C233,'PORTIFÓLIO'!$C$4:$C$433,0)),"")</f>
        <v/>
      </c>
      <c r="I233" s="267"/>
      <c r="J233" s="267"/>
      <c r="K233" s="266"/>
      <c r="L233" s="220"/>
      <c r="M233" s="220"/>
      <c r="N233" s="220"/>
      <c r="O233" s="220"/>
      <c r="P233" s="220"/>
      <c r="Q233" s="220"/>
      <c r="R233" s="220"/>
      <c r="S233" s="220"/>
      <c r="T233" s="220"/>
      <c r="U233" s="220"/>
      <c r="V233" s="220"/>
      <c r="W233" s="220"/>
    </row>
    <row r="234" ht="15.75" customHeight="1">
      <c r="A234" s="267"/>
      <c r="B234" s="267"/>
      <c r="C234" s="267"/>
      <c r="D234" s="267"/>
      <c r="E234" s="264"/>
      <c r="F234" s="264"/>
      <c r="G234" s="266"/>
      <c r="H234" s="287" t="str">
        <f t="array" ref="H234">IFERROR(INDEX('PORTIFÓLIO'!$H$4:$H$433,MATCH($C234,'PORTIFÓLIO'!$C$4:$C$433,0)),"")</f>
        <v/>
      </c>
      <c r="I234" s="267"/>
      <c r="J234" s="267"/>
      <c r="K234" s="266"/>
      <c r="L234" s="220"/>
      <c r="M234" s="220"/>
      <c r="N234" s="220"/>
      <c r="O234" s="220"/>
      <c r="P234" s="220"/>
      <c r="Q234" s="220"/>
      <c r="R234" s="220"/>
      <c r="S234" s="220"/>
      <c r="T234" s="220"/>
      <c r="U234" s="220"/>
      <c r="V234" s="220"/>
      <c r="W234" s="220"/>
    </row>
    <row r="235" ht="15.75" customHeight="1">
      <c r="A235" s="267"/>
      <c r="B235" s="267"/>
      <c r="C235" s="267"/>
      <c r="D235" s="267"/>
      <c r="E235" s="267"/>
      <c r="F235" s="267"/>
      <c r="G235" s="266"/>
      <c r="H235" s="287"/>
      <c r="I235" s="287"/>
      <c r="J235" s="288"/>
      <c r="K235" s="289"/>
      <c r="L235" s="290"/>
      <c r="M235" s="220"/>
      <c r="N235" s="220"/>
      <c r="O235" s="220"/>
      <c r="P235" s="220"/>
      <c r="Q235" s="220"/>
      <c r="R235" s="220"/>
      <c r="S235" s="220"/>
      <c r="T235" s="220"/>
      <c r="U235" s="220"/>
      <c r="V235" s="220"/>
      <c r="W235" s="220"/>
    </row>
    <row r="236" ht="15.75" customHeight="1">
      <c r="A236" s="211" t="s">
        <v>1173</v>
      </c>
      <c r="B236" s="213" t="s">
        <v>1174</v>
      </c>
      <c r="C236" s="213" t="s">
        <v>1175</v>
      </c>
      <c r="D236" s="211" t="s">
        <v>1176</v>
      </c>
      <c r="E236" s="211" t="s">
        <v>1177</v>
      </c>
      <c r="F236" s="211" t="s">
        <v>1178</v>
      </c>
      <c r="G236" s="291" t="s">
        <v>1180</v>
      </c>
      <c r="H236" s="278" t="s">
        <v>1179</v>
      </c>
      <c r="I236" s="278" t="s">
        <v>1181</v>
      </c>
      <c r="J236" s="279" t="s">
        <v>1134</v>
      </c>
      <c r="K236" s="280" t="s">
        <v>1182</v>
      </c>
      <c r="L236" s="281" t="s">
        <v>339</v>
      </c>
      <c r="M236" s="220"/>
      <c r="N236" s="220"/>
      <c r="O236" s="220"/>
      <c r="P236" s="220"/>
      <c r="Q236" s="220"/>
      <c r="R236" s="220"/>
      <c r="S236" s="220"/>
      <c r="T236" s="220"/>
      <c r="U236" s="220"/>
      <c r="V236" s="220"/>
      <c r="W236" s="220"/>
    </row>
    <row r="237" ht="15.75" customHeight="1">
      <c r="A237" s="231" t="s">
        <v>1183</v>
      </c>
      <c r="B237" s="230"/>
      <c r="C237" s="231"/>
      <c r="D237" s="232"/>
      <c r="E237" s="231"/>
      <c r="F237" s="231"/>
      <c r="G237" s="233"/>
      <c r="H237" s="233"/>
      <c r="I237" s="258"/>
      <c r="J237" s="236"/>
      <c r="K237" s="237">
        <f t="shared" ref="K237:L237" si="26">SUBTOTAL(9,K238:K251)</f>
        <v>0</v>
      </c>
      <c r="L237" s="237">
        <f t="shared" si="26"/>
        <v>0</v>
      </c>
      <c r="M237" s="220"/>
      <c r="N237" s="220"/>
      <c r="O237" s="220"/>
      <c r="P237" s="220"/>
      <c r="Q237" s="220"/>
      <c r="R237" s="220"/>
      <c r="S237" s="220"/>
      <c r="T237" s="220"/>
      <c r="U237" s="220"/>
      <c r="V237" s="220"/>
      <c r="W237" s="220"/>
    </row>
    <row r="238" ht="15.75" customHeight="1" outlineLevel="1">
      <c r="A238" s="211"/>
      <c r="B238" s="212"/>
      <c r="C238" s="213"/>
      <c r="D238" s="214" t="str">
        <f>IFERROR(VLOOKUP($C238,'PORTIFÓLIO'!C:V,2,0),"")</f>
        <v/>
      </c>
      <c r="E238" s="211" t="str">
        <f>IFERROR(VLOOKUP($C238,'PORTIFÓLIO'!C:V,3,0),"")</f>
        <v/>
      </c>
      <c r="F238" s="211" t="str">
        <f>IFERROR(VLOOKUP($C238,'PORTIFÓLIO'!C:V,4,0),"")</f>
        <v/>
      </c>
      <c r="G238" s="215" t="str">
        <f>IFERROR(VLOOKUP($C238,'PORTIFÓLIO'!C:V,5,0),"")</f>
        <v/>
      </c>
      <c r="H238" s="254" t="str">
        <f t="array" ref="H238">IFERROR(INDEX('PORTIFÓLIO'!$H$4:$H$433,MATCH($C238,'PORTIFÓLIO'!$C$4:$C$433,0)),"")</f>
        <v/>
      </c>
      <c r="I238" s="255"/>
      <c r="J238" s="218">
        <f t="shared" ref="J238:J251" si="27">I238*$B$2</f>
        <v>0</v>
      </c>
      <c r="K238" s="219" t="str">
        <f t="array" ref="K238">IFERROR(I238*INDEX('PORTIFÓLIO'!$S$4:$S$433,MATCH($C238,'PORTIFÓLIO'!$C$4:$C$433,0)),"")</f>
        <v/>
      </c>
      <c r="L238" s="219" t="str">
        <f t="array" ref="L238">IFERROR(J238*INDEX('PORTIFÓLIO'!$S$4:$S$433,MATCH($C238,'PORTIFÓLIO'!$C$4:$C$433,0)),"")</f>
        <v/>
      </c>
      <c r="M238" s="220"/>
      <c r="N238" s="220"/>
      <c r="O238" s="220"/>
      <c r="P238" s="220"/>
      <c r="Q238" s="220"/>
      <c r="R238" s="220"/>
      <c r="S238" s="220"/>
      <c r="T238" s="220"/>
      <c r="U238" s="220"/>
      <c r="V238" s="220"/>
      <c r="W238" s="220"/>
    </row>
    <row r="239" ht="15.75" customHeight="1" outlineLevel="1">
      <c r="A239" s="211"/>
      <c r="B239" s="212"/>
      <c r="C239" s="213"/>
      <c r="D239" s="214" t="str">
        <f>IFERROR(VLOOKUP($C239,'PORTIFÓLIO'!C:V,2,0),"")</f>
        <v/>
      </c>
      <c r="E239" s="211" t="str">
        <f>IFERROR(VLOOKUP($C239,'PORTIFÓLIO'!C:V,3,0),"")</f>
        <v/>
      </c>
      <c r="F239" s="211" t="str">
        <f>IFERROR(VLOOKUP($C239,'PORTIFÓLIO'!C:V,4,0),"")</f>
        <v/>
      </c>
      <c r="G239" s="215" t="str">
        <f>IFERROR(VLOOKUP($C239,'PORTIFÓLIO'!C:V,5,0),"")</f>
        <v/>
      </c>
      <c r="H239" s="254" t="str">
        <f t="array" ref="H239">IFERROR(INDEX('PORTIFÓLIO'!$H$4:$H$433,MATCH($C239,'PORTIFÓLIO'!$C$4:$C$433,0)),"")</f>
        <v/>
      </c>
      <c r="I239" s="255"/>
      <c r="J239" s="218">
        <f t="shared" si="27"/>
        <v>0</v>
      </c>
      <c r="K239" s="219" t="str">
        <f t="array" ref="K239">IFERROR(I239*INDEX('PORTIFÓLIO'!$S$4:$S$433,MATCH($C239,'PORTIFÓLIO'!$C$4:$C$433,0)),"")</f>
        <v/>
      </c>
      <c r="L239" s="219" t="str">
        <f t="array" ref="L239">IFERROR(J239*INDEX('PORTIFÓLIO'!$S$4:$S$433,MATCH($C239,'PORTIFÓLIO'!$C$4:$C$433,0)),"")</f>
        <v/>
      </c>
      <c r="M239" s="220"/>
      <c r="N239" s="220"/>
      <c r="O239" s="220"/>
      <c r="P239" s="220"/>
      <c r="Q239" s="220"/>
      <c r="R239" s="220"/>
      <c r="S239" s="220"/>
      <c r="T239" s="220"/>
      <c r="U239" s="220"/>
      <c r="V239" s="220"/>
      <c r="W239" s="220"/>
    </row>
    <row r="240" ht="15.75" customHeight="1" outlineLevel="1">
      <c r="A240" s="211"/>
      <c r="B240" s="212"/>
      <c r="C240" s="213"/>
      <c r="D240" s="214" t="str">
        <f>IFERROR(VLOOKUP($C240,'PORTIFÓLIO'!C:V,2,0),"")</f>
        <v/>
      </c>
      <c r="E240" s="211" t="str">
        <f>IFERROR(VLOOKUP($C240,'PORTIFÓLIO'!C:V,3,0),"")</f>
        <v/>
      </c>
      <c r="F240" s="211" t="str">
        <f>IFERROR(VLOOKUP($C240,'PORTIFÓLIO'!C:V,4,0),"")</f>
        <v/>
      </c>
      <c r="G240" s="215" t="str">
        <f>IFERROR(VLOOKUP($C240,'PORTIFÓLIO'!C:V,5,0),"")</f>
        <v/>
      </c>
      <c r="H240" s="254" t="str">
        <f t="array" ref="H240">IFERROR(INDEX('PORTIFÓLIO'!$H$4:$H$433,MATCH($C240,'PORTIFÓLIO'!$C$4:$C$433,0)),"")</f>
        <v/>
      </c>
      <c r="I240" s="256"/>
      <c r="J240" s="218">
        <f t="shared" si="27"/>
        <v>0</v>
      </c>
      <c r="K240" s="219" t="str">
        <f t="array" ref="K240">IFERROR(I240*INDEX('PORTIFÓLIO'!$S$4:$S$433,MATCH($C240,'PORTIFÓLIO'!$C$4:$C$433,0)),"")</f>
        <v/>
      </c>
      <c r="L240" s="219" t="str">
        <f t="array" ref="L240">IFERROR(J240*INDEX('PORTIFÓLIO'!$S$4:$S$433,MATCH($C240,'PORTIFÓLIO'!$C$4:$C$433,0)),"")</f>
        <v/>
      </c>
      <c r="M240" s="220"/>
      <c r="N240" s="220"/>
      <c r="O240" s="220"/>
      <c r="P240" s="220"/>
      <c r="Q240" s="220"/>
      <c r="R240" s="220"/>
      <c r="S240" s="220"/>
      <c r="T240" s="220"/>
      <c r="U240" s="220"/>
      <c r="V240" s="220"/>
      <c r="W240" s="220"/>
    </row>
    <row r="241" ht="15.75" customHeight="1" outlineLevel="1">
      <c r="A241" s="211"/>
      <c r="B241" s="212"/>
      <c r="C241" s="213"/>
      <c r="D241" s="214" t="str">
        <f>IFERROR(VLOOKUP($C241,'PORTIFÓLIO'!C:V,2,0),"")</f>
        <v/>
      </c>
      <c r="E241" s="211" t="str">
        <f>IFERROR(VLOOKUP($C241,'PORTIFÓLIO'!C:V,3,0),"")</f>
        <v/>
      </c>
      <c r="F241" s="211" t="str">
        <f>IFERROR(VLOOKUP($C241,'PORTIFÓLIO'!C:V,4,0),"")</f>
        <v/>
      </c>
      <c r="G241" s="215" t="str">
        <f>IFERROR(VLOOKUP($C241,'PORTIFÓLIO'!C:V,5,0),"")</f>
        <v/>
      </c>
      <c r="H241" s="254" t="str">
        <f t="array" ref="H241">IFERROR(INDEX('PORTIFÓLIO'!$H$4:$H$433,MATCH($C241,'PORTIFÓLIO'!$C$4:$C$433,0)),"")</f>
        <v/>
      </c>
      <c r="I241" s="256"/>
      <c r="J241" s="218">
        <f t="shared" si="27"/>
        <v>0</v>
      </c>
      <c r="K241" s="219" t="str">
        <f t="array" ref="K241">IFERROR(I241*INDEX('PORTIFÓLIO'!$S$4:$S$433,MATCH($C241,'PORTIFÓLIO'!$C$4:$C$433,0)),"")</f>
        <v/>
      </c>
      <c r="L241" s="219" t="str">
        <f t="array" ref="L241">IFERROR(J241*INDEX('PORTIFÓLIO'!$S$4:$S$433,MATCH($C241,'PORTIFÓLIO'!$C$4:$C$433,0)),"")</f>
        <v/>
      </c>
      <c r="M241" s="220"/>
      <c r="N241" s="220"/>
      <c r="O241" s="220"/>
      <c r="P241" s="220"/>
      <c r="Q241" s="220"/>
      <c r="R241" s="220"/>
      <c r="S241" s="220"/>
      <c r="T241" s="220"/>
      <c r="U241" s="220"/>
      <c r="V241" s="220"/>
      <c r="W241" s="220"/>
    </row>
    <row r="242" ht="15.75" customHeight="1" outlineLevel="1">
      <c r="A242" s="211"/>
      <c r="B242" s="212"/>
      <c r="C242" s="213"/>
      <c r="D242" s="214" t="str">
        <f>IFERROR(VLOOKUP($C242,'PORTIFÓLIO'!C:V,2,0),"")</f>
        <v/>
      </c>
      <c r="E242" s="211" t="str">
        <f>IFERROR(VLOOKUP($C242,'PORTIFÓLIO'!C:V,3,0),"")</f>
        <v/>
      </c>
      <c r="F242" s="211" t="str">
        <f>IFERROR(VLOOKUP($C242,'PORTIFÓLIO'!C:V,4,0),"")</f>
        <v/>
      </c>
      <c r="G242" s="215" t="str">
        <f>IFERROR(VLOOKUP($C242,'PORTIFÓLIO'!C:V,5,0),"")</f>
        <v/>
      </c>
      <c r="H242" s="254" t="str">
        <f t="array" ref="H242">IFERROR(INDEX('PORTIFÓLIO'!$H$4:$H$433,MATCH($C242,'PORTIFÓLIO'!$C$4:$C$433,0)),"")</f>
        <v/>
      </c>
      <c r="I242" s="255"/>
      <c r="J242" s="218">
        <f t="shared" si="27"/>
        <v>0</v>
      </c>
      <c r="K242" s="219" t="str">
        <f t="array" ref="K242">IFERROR(I242*INDEX('PORTIFÓLIO'!$S$4:$S$433,MATCH($C242,'PORTIFÓLIO'!$C$4:$C$433,0)),"")</f>
        <v/>
      </c>
      <c r="L242" s="219" t="str">
        <f t="array" ref="L242">IFERROR(J242*INDEX('PORTIFÓLIO'!$S$4:$S$433,MATCH($C242,'PORTIFÓLIO'!$C$4:$C$433,0)),"")</f>
        <v/>
      </c>
      <c r="M242" s="220"/>
      <c r="N242" s="220"/>
      <c r="O242" s="220"/>
      <c r="P242" s="220"/>
      <c r="Q242" s="220"/>
      <c r="R242" s="220"/>
      <c r="S242" s="220"/>
      <c r="T242" s="220"/>
      <c r="U242" s="220"/>
      <c r="V242" s="220"/>
      <c r="W242" s="220"/>
    </row>
    <row r="243" ht="15.75" customHeight="1" outlineLevel="1">
      <c r="A243" s="211"/>
      <c r="B243" s="212"/>
      <c r="C243" s="213"/>
      <c r="D243" s="214" t="str">
        <f>IFERROR(VLOOKUP($C243,'PORTIFÓLIO'!C:V,2,0),"")</f>
        <v/>
      </c>
      <c r="E243" s="211" t="str">
        <f>IFERROR(VLOOKUP($C243,'PORTIFÓLIO'!C:V,3,0),"")</f>
        <v/>
      </c>
      <c r="F243" s="211" t="str">
        <f>IFERROR(VLOOKUP($C243,'PORTIFÓLIO'!C:V,4,0),"")</f>
        <v/>
      </c>
      <c r="G243" s="215" t="str">
        <f>IFERROR(VLOOKUP($C243,'PORTIFÓLIO'!C:V,5,0),"")</f>
        <v/>
      </c>
      <c r="H243" s="254" t="str">
        <f t="array" ref="H243">IFERROR(INDEX('PORTIFÓLIO'!$H$4:$H$433,MATCH($C243,'PORTIFÓLIO'!$C$4:$C$433,0)),"")</f>
        <v/>
      </c>
      <c r="I243" s="256"/>
      <c r="J243" s="218">
        <f t="shared" si="27"/>
        <v>0</v>
      </c>
      <c r="K243" s="219" t="str">
        <f t="array" ref="K243">IFERROR(I243*INDEX('PORTIFÓLIO'!$S$4:$S$433,MATCH($C243,'PORTIFÓLIO'!$C$4:$C$433,0)),"")</f>
        <v/>
      </c>
      <c r="L243" s="219" t="str">
        <f t="array" ref="L243">IFERROR(J243*INDEX('PORTIFÓLIO'!$S$4:$S$433,MATCH($C243,'PORTIFÓLIO'!$C$4:$C$433,0)),"")</f>
        <v/>
      </c>
      <c r="M243" s="220"/>
      <c r="N243" s="220"/>
      <c r="O243" s="220"/>
      <c r="P243" s="220"/>
      <c r="Q243" s="220"/>
      <c r="R243" s="220"/>
      <c r="S243" s="220"/>
      <c r="T243" s="220"/>
      <c r="U243" s="220"/>
      <c r="V243" s="220"/>
      <c r="W243" s="220"/>
    </row>
    <row r="244" ht="15.75" customHeight="1" outlineLevel="1">
      <c r="A244" s="211"/>
      <c r="B244" s="212"/>
      <c r="C244" s="213"/>
      <c r="D244" s="214" t="str">
        <f>IFERROR(VLOOKUP($C244,'PORTIFÓLIO'!C:V,2,0),"")</f>
        <v/>
      </c>
      <c r="E244" s="211" t="str">
        <f>IFERROR(VLOOKUP($C244,'PORTIFÓLIO'!C:V,3,0),"")</f>
        <v/>
      </c>
      <c r="F244" s="211" t="str">
        <f>IFERROR(VLOOKUP($C244,'PORTIFÓLIO'!C:V,4,0),"")</f>
        <v/>
      </c>
      <c r="G244" s="215" t="str">
        <f>IFERROR(VLOOKUP($C244,'PORTIFÓLIO'!C:V,5,0),"")</f>
        <v/>
      </c>
      <c r="H244" s="254" t="str">
        <f t="array" ref="H244">IFERROR(INDEX('PORTIFÓLIO'!$H$4:$H$433,MATCH($C244,'PORTIFÓLIO'!$C$4:$C$433,0)),"")</f>
        <v/>
      </c>
      <c r="I244" s="256"/>
      <c r="J244" s="218">
        <f t="shared" si="27"/>
        <v>0</v>
      </c>
      <c r="K244" s="219" t="str">
        <f t="array" ref="K244">IFERROR(I244*INDEX('PORTIFÓLIO'!$S$4:$S$433,MATCH($C244,'PORTIFÓLIO'!$C$4:$C$433,0)),"")</f>
        <v/>
      </c>
      <c r="L244" s="219" t="str">
        <f t="array" ref="L244">IFERROR(J244*INDEX('PORTIFÓLIO'!$S$4:$S$433,MATCH($C244,'PORTIFÓLIO'!$C$4:$C$433,0)),"")</f>
        <v/>
      </c>
      <c r="M244" s="220"/>
      <c r="N244" s="220"/>
      <c r="O244" s="220"/>
      <c r="P244" s="220"/>
      <c r="Q244" s="220"/>
      <c r="R244" s="220"/>
      <c r="S244" s="220"/>
      <c r="T244" s="220"/>
      <c r="U244" s="220"/>
      <c r="V244" s="220"/>
      <c r="W244" s="220"/>
    </row>
    <row r="245" ht="15.75" customHeight="1" outlineLevel="1">
      <c r="A245" s="211"/>
      <c r="B245" s="212"/>
      <c r="C245" s="213"/>
      <c r="D245" s="214" t="str">
        <f>IFERROR(VLOOKUP($C245,'PORTIFÓLIO'!C:V,2,0),"")</f>
        <v/>
      </c>
      <c r="E245" s="211" t="str">
        <f>IFERROR(VLOOKUP($C245,'PORTIFÓLIO'!C:V,3,0),"")</f>
        <v/>
      </c>
      <c r="F245" s="211" t="str">
        <f>IFERROR(VLOOKUP($C245,'PORTIFÓLIO'!C:V,4,0),"")</f>
        <v/>
      </c>
      <c r="G245" s="215" t="str">
        <f>IFERROR(VLOOKUP($C245,'PORTIFÓLIO'!C:V,5,0),"")</f>
        <v/>
      </c>
      <c r="H245" s="254" t="str">
        <f t="array" ref="H245">IFERROR(INDEX('PORTIFÓLIO'!$H$4:$H$433,MATCH($C245,'PORTIFÓLIO'!$C$4:$C$433,0)),"")</f>
        <v/>
      </c>
      <c r="I245" s="256"/>
      <c r="J245" s="218">
        <f t="shared" si="27"/>
        <v>0</v>
      </c>
      <c r="K245" s="219" t="str">
        <f t="array" ref="K245">IFERROR(I245*INDEX('PORTIFÓLIO'!$S$4:$S$433,MATCH($C245,'PORTIFÓLIO'!$C$4:$C$433,0)),"")</f>
        <v/>
      </c>
      <c r="L245" s="219" t="str">
        <f t="array" ref="L245">IFERROR(J245*INDEX('PORTIFÓLIO'!$S$4:$S$433,MATCH($C245,'PORTIFÓLIO'!$C$4:$C$433,0)),"")</f>
        <v/>
      </c>
      <c r="M245" s="220"/>
      <c r="N245" s="220"/>
      <c r="O245" s="220"/>
      <c r="P245" s="220"/>
      <c r="Q245" s="220"/>
      <c r="R245" s="220"/>
      <c r="S245" s="220"/>
      <c r="T245" s="220"/>
      <c r="U245" s="220"/>
      <c r="V245" s="220"/>
      <c r="W245" s="220"/>
    </row>
    <row r="246" ht="15.75" customHeight="1" outlineLevel="1">
      <c r="A246" s="211"/>
      <c r="B246" s="212"/>
      <c r="C246" s="213"/>
      <c r="D246" s="214" t="str">
        <f>IFERROR(VLOOKUP($C246,'PORTIFÓLIO'!C:V,2,0),"")</f>
        <v/>
      </c>
      <c r="E246" s="211" t="str">
        <f>IFERROR(VLOOKUP($C246,'PORTIFÓLIO'!C:V,3,0),"")</f>
        <v/>
      </c>
      <c r="F246" s="211" t="str">
        <f>IFERROR(VLOOKUP($C246,'PORTIFÓLIO'!C:V,4,0),"")</f>
        <v/>
      </c>
      <c r="G246" s="215" t="str">
        <f>IFERROR(VLOOKUP($C246,'PORTIFÓLIO'!C:V,5,0),"")</f>
        <v/>
      </c>
      <c r="H246" s="254" t="str">
        <f t="array" ref="H246">IFERROR(INDEX('PORTIFÓLIO'!$H$4:$H$433,MATCH($C246,'PORTIFÓLIO'!$C$4:$C$433,0)),"")</f>
        <v/>
      </c>
      <c r="I246" s="255"/>
      <c r="J246" s="218">
        <f t="shared" si="27"/>
        <v>0</v>
      </c>
      <c r="K246" s="219" t="str">
        <f t="array" ref="K246">IFERROR(I246*INDEX('PORTIFÓLIO'!$S$4:$S$433,MATCH($C246,'PORTIFÓLIO'!$C$4:$C$433,0)),"")</f>
        <v/>
      </c>
      <c r="L246" s="219" t="str">
        <f t="array" ref="L246">IFERROR(J246*INDEX('PORTIFÓLIO'!$S$4:$S$433,MATCH($C246,'PORTIFÓLIO'!$C$4:$C$433,0)),"")</f>
        <v/>
      </c>
      <c r="M246" s="220"/>
      <c r="N246" s="220"/>
      <c r="O246" s="220"/>
      <c r="P246" s="220"/>
      <c r="Q246" s="220"/>
      <c r="R246" s="220"/>
      <c r="S246" s="220"/>
      <c r="T246" s="220"/>
      <c r="U246" s="220"/>
      <c r="V246" s="220"/>
      <c r="W246" s="220"/>
    </row>
    <row r="247" ht="15.75" customHeight="1" outlineLevel="1">
      <c r="A247" s="211"/>
      <c r="B247" s="212"/>
      <c r="C247" s="213"/>
      <c r="D247" s="214" t="str">
        <f>IFERROR(VLOOKUP($C247,'PORTIFÓLIO'!C:V,2,0),"")</f>
        <v/>
      </c>
      <c r="E247" s="211" t="str">
        <f>IFERROR(VLOOKUP($C247,'PORTIFÓLIO'!C:V,3,0),"")</f>
        <v/>
      </c>
      <c r="F247" s="211" t="str">
        <f>IFERROR(VLOOKUP($C247,'PORTIFÓLIO'!C:V,4,0),"")</f>
        <v/>
      </c>
      <c r="G247" s="215" t="str">
        <f>IFERROR(VLOOKUP($C247,'PORTIFÓLIO'!C:V,5,0),"")</f>
        <v/>
      </c>
      <c r="H247" s="254" t="str">
        <f t="array" ref="H247">IFERROR(INDEX('PORTIFÓLIO'!$H$4:$H$433,MATCH($C247,'PORTIFÓLIO'!$C$4:$C$433,0)),"")</f>
        <v/>
      </c>
      <c r="I247" s="255"/>
      <c r="J247" s="218">
        <f t="shared" si="27"/>
        <v>0</v>
      </c>
      <c r="K247" s="219" t="str">
        <f t="array" ref="K247">IFERROR(I247*INDEX('PORTIFÓLIO'!$S$4:$S$433,MATCH($C247,'PORTIFÓLIO'!$C$4:$C$433,0)),"")</f>
        <v/>
      </c>
      <c r="L247" s="219" t="str">
        <f t="array" ref="L247">IFERROR(J247*INDEX('PORTIFÓLIO'!$S$4:$S$433,MATCH($C247,'PORTIFÓLIO'!$C$4:$C$433,0)),"")</f>
        <v/>
      </c>
      <c r="M247" s="220"/>
      <c r="N247" s="220"/>
      <c r="O247" s="220"/>
      <c r="P247" s="220"/>
      <c r="Q247" s="220"/>
      <c r="R247" s="220"/>
      <c r="S247" s="220"/>
      <c r="T247" s="220"/>
      <c r="U247" s="220"/>
      <c r="V247" s="220"/>
      <c r="W247" s="220"/>
    </row>
    <row r="248" ht="15.75" customHeight="1" outlineLevel="1">
      <c r="A248" s="211"/>
      <c r="B248" s="212"/>
      <c r="C248" s="213"/>
      <c r="D248" s="214" t="str">
        <f>IFERROR(VLOOKUP($C248,'PORTIFÓLIO'!C:V,2,0),"")</f>
        <v/>
      </c>
      <c r="E248" s="211" t="str">
        <f>IFERROR(VLOOKUP($C248,'PORTIFÓLIO'!C:V,3,0),"")</f>
        <v/>
      </c>
      <c r="F248" s="211" t="str">
        <f>IFERROR(VLOOKUP($C248,'PORTIFÓLIO'!C:V,4,0),"")</f>
        <v/>
      </c>
      <c r="G248" s="215" t="str">
        <f>IFERROR(VLOOKUP($C248,'PORTIFÓLIO'!C:V,5,0),"")</f>
        <v/>
      </c>
      <c r="H248" s="254" t="str">
        <f t="array" ref="H248">IFERROR(INDEX('PORTIFÓLIO'!$H$4:$H$433,MATCH($C248,'PORTIFÓLIO'!$C$4:$C$433,0)),"")</f>
        <v/>
      </c>
      <c r="I248" s="255"/>
      <c r="J248" s="218">
        <f t="shared" si="27"/>
        <v>0</v>
      </c>
      <c r="K248" s="219" t="str">
        <f t="array" ref="K248">IFERROR(I248*INDEX('PORTIFÓLIO'!$S$4:$S$433,MATCH($C248,'PORTIFÓLIO'!$C$4:$C$433,0)),"")</f>
        <v/>
      </c>
      <c r="L248" s="219" t="str">
        <f t="array" ref="L248">IFERROR(J248*INDEX('PORTIFÓLIO'!$S$4:$S$433,MATCH($C248,'PORTIFÓLIO'!$C$4:$C$433,0)),"")</f>
        <v/>
      </c>
      <c r="M248" s="220"/>
      <c r="N248" s="220"/>
      <c r="O248" s="220"/>
      <c r="P248" s="220"/>
      <c r="Q248" s="220"/>
      <c r="R248" s="220"/>
      <c r="S248" s="220"/>
      <c r="T248" s="220"/>
      <c r="U248" s="220"/>
      <c r="V248" s="220"/>
      <c r="W248" s="220"/>
    </row>
    <row r="249" ht="15.75" customHeight="1" outlineLevel="1">
      <c r="A249" s="211"/>
      <c r="B249" s="212"/>
      <c r="C249" s="213"/>
      <c r="D249" s="214" t="str">
        <f>IFERROR(VLOOKUP($C249,'PORTIFÓLIO'!C:V,2,0),"")</f>
        <v/>
      </c>
      <c r="E249" s="211" t="str">
        <f>IFERROR(VLOOKUP($C249,'PORTIFÓLIO'!C:V,3,0),"")</f>
        <v/>
      </c>
      <c r="F249" s="211" t="str">
        <f>IFERROR(VLOOKUP($C249,'PORTIFÓLIO'!C:V,4,0),"")</f>
        <v/>
      </c>
      <c r="G249" s="215" t="str">
        <f>IFERROR(VLOOKUP($C249,'PORTIFÓLIO'!C:V,5,0),"")</f>
        <v/>
      </c>
      <c r="H249" s="254" t="str">
        <f t="array" ref="H249">IFERROR(INDEX('PORTIFÓLIO'!$H$4:$H$433,MATCH($C249,'PORTIFÓLIO'!$C$4:$C$433,0)),"")</f>
        <v/>
      </c>
      <c r="I249" s="255"/>
      <c r="J249" s="218">
        <f t="shared" si="27"/>
        <v>0</v>
      </c>
      <c r="K249" s="219" t="str">
        <f t="array" ref="K249">IFERROR(I249*INDEX('PORTIFÓLIO'!$S$4:$S$433,MATCH($C249,'PORTIFÓLIO'!$C$4:$C$433,0)),"")</f>
        <v/>
      </c>
      <c r="L249" s="219" t="str">
        <f t="array" ref="L249">IFERROR(J249*INDEX('PORTIFÓLIO'!$S$4:$S$433,MATCH($C249,'PORTIFÓLIO'!$C$4:$C$433,0)),"")</f>
        <v/>
      </c>
      <c r="M249" s="220"/>
      <c r="N249" s="220"/>
      <c r="O249" s="220"/>
      <c r="P249" s="220"/>
      <c r="Q249" s="220"/>
      <c r="R249" s="220"/>
      <c r="S249" s="220"/>
      <c r="T249" s="220"/>
      <c r="U249" s="220"/>
      <c r="V249" s="220"/>
      <c r="W249" s="220"/>
    </row>
    <row r="250" ht="15.75" customHeight="1" outlineLevel="1">
      <c r="A250" s="211"/>
      <c r="B250" s="212"/>
      <c r="C250" s="213"/>
      <c r="D250" s="214" t="str">
        <f>IFERROR(VLOOKUP($C250,'PORTIFÓLIO'!C:V,2,0),"")</f>
        <v/>
      </c>
      <c r="E250" s="211" t="str">
        <f>IFERROR(VLOOKUP($C250,'PORTIFÓLIO'!C:V,3,0),"")</f>
        <v/>
      </c>
      <c r="F250" s="211" t="str">
        <f>IFERROR(VLOOKUP($C250,'PORTIFÓLIO'!C:V,4,0),"")</f>
        <v/>
      </c>
      <c r="G250" s="215" t="str">
        <f>IFERROR(VLOOKUP($C250,'PORTIFÓLIO'!C:V,5,0),"")</f>
        <v/>
      </c>
      <c r="H250" s="254" t="str">
        <f t="array" ref="H250">IFERROR(INDEX('PORTIFÓLIO'!$H$4:$H$433,MATCH($C250,'PORTIFÓLIO'!$C$4:$C$433,0)),"")</f>
        <v/>
      </c>
      <c r="I250" s="255"/>
      <c r="J250" s="218">
        <f t="shared" si="27"/>
        <v>0</v>
      </c>
      <c r="K250" s="219" t="str">
        <f t="array" ref="K250">IFERROR(I250*INDEX('PORTIFÓLIO'!$S$4:$S$433,MATCH($C250,'PORTIFÓLIO'!$C$4:$C$433,0)),"")</f>
        <v/>
      </c>
      <c r="L250" s="219" t="str">
        <f t="array" ref="L250">IFERROR(J250*INDEX('PORTIFÓLIO'!$S$4:$S$433,MATCH($C250,'PORTIFÓLIO'!$C$4:$C$433,0)),"")</f>
        <v/>
      </c>
      <c r="M250" s="220"/>
      <c r="N250" s="220"/>
      <c r="O250" s="220"/>
      <c r="P250" s="220"/>
      <c r="Q250" s="220"/>
      <c r="R250" s="220"/>
      <c r="S250" s="220"/>
      <c r="T250" s="220"/>
      <c r="U250" s="220"/>
      <c r="V250" s="220"/>
      <c r="W250" s="220"/>
    </row>
    <row r="251" ht="15.75" customHeight="1" outlineLevel="1">
      <c r="A251" s="211"/>
      <c r="B251" s="212"/>
      <c r="C251" s="213"/>
      <c r="D251" s="214" t="str">
        <f>IFERROR(VLOOKUP($C251,'PORTIFÓLIO'!C:V,2,0),"")</f>
        <v/>
      </c>
      <c r="E251" s="211" t="str">
        <f>IFERROR(VLOOKUP($C251,'PORTIFÓLIO'!C:V,3,0),"")</f>
        <v/>
      </c>
      <c r="F251" s="211" t="str">
        <f>IFERROR(VLOOKUP($C251,'PORTIFÓLIO'!C:V,4,0),"")</f>
        <v/>
      </c>
      <c r="G251" s="215" t="str">
        <f>IFERROR(VLOOKUP($C251,'PORTIFÓLIO'!C:V,5,0),"")</f>
        <v/>
      </c>
      <c r="H251" s="254" t="str">
        <f t="array" ref="H251">IFERROR(INDEX('PORTIFÓLIO'!$H$4:$H$433,MATCH($C251,'PORTIFÓLIO'!$C$4:$C$433,0)),"")</f>
        <v/>
      </c>
      <c r="I251" s="255"/>
      <c r="J251" s="218">
        <f t="shared" si="27"/>
        <v>0</v>
      </c>
      <c r="K251" s="219" t="str">
        <f t="array" ref="K251">IFERROR(I251*INDEX('PORTIFÓLIO'!$S$4:$S$433,MATCH($C251,'PORTIFÓLIO'!$C$4:$C$433,0)),"")</f>
        <v/>
      </c>
      <c r="L251" s="219" t="str">
        <f t="array" ref="L251">IFERROR(J251*INDEX('PORTIFÓLIO'!$S$4:$S$433,MATCH($C251,'PORTIFÓLIO'!$C$4:$C$433,0)),"")</f>
        <v/>
      </c>
      <c r="M251" s="220"/>
      <c r="N251" s="220"/>
      <c r="O251" s="220"/>
      <c r="P251" s="220"/>
      <c r="Q251" s="220"/>
      <c r="R251" s="220"/>
      <c r="S251" s="220"/>
      <c r="T251" s="220"/>
      <c r="U251" s="220"/>
      <c r="V251" s="220"/>
      <c r="W251" s="220"/>
    </row>
    <row r="252" ht="15.75" customHeight="1">
      <c r="A252" s="229" t="s">
        <v>1184</v>
      </c>
      <c r="B252" s="230"/>
      <c r="C252" s="231"/>
      <c r="D252" s="232"/>
      <c r="E252" s="231"/>
      <c r="F252" s="231"/>
      <c r="G252" s="233"/>
      <c r="H252" s="233"/>
      <c r="I252" s="258"/>
      <c r="J252" s="236"/>
      <c r="K252" s="237">
        <f t="shared" ref="K252:L252" si="28">SUBTOTAL(9,K253:K266)</f>
        <v>0</v>
      </c>
      <c r="L252" s="237">
        <f t="shared" si="28"/>
        <v>0</v>
      </c>
      <c r="M252" s="220"/>
      <c r="N252" s="220"/>
      <c r="O252" s="220"/>
      <c r="P252" s="220"/>
      <c r="Q252" s="220"/>
      <c r="R252" s="220"/>
      <c r="S252" s="220"/>
      <c r="T252" s="220"/>
      <c r="U252" s="220"/>
      <c r="V252" s="220"/>
      <c r="W252" s="220"/>
    </row>
    <row r="253" ht="15.75" customHeight="1" outlineLevel="1">
      <c r="A253" s="213"/>
      <c r="B253" s="212"/>
      <c r="C253" s="213"/>
      <c r="D253" s="214" t="str">
        <f>IFERROR(VLOOKUP($C253,'PORTIFÓLIO'!C:V,2,0),"")</f>
        <v/>
      </c>
      <c r="E253" s="211" t="str">
        <f>IFERROR(VLOOKUP($C253,'PORTIFÓLIO'!C:V,3,0),"")</f>
        <v/>
      </c>
      <c r="F253" s="211" t="str">
        <f>IFERROR(VLOOKUP($C253,'PORTIFÓLIO'!C:V,4,0),"")</f>
        <v/>
      </c>
      <c r="G253" s="215" t="str">
        <f>IFERROR(VLOOKUP($C253,'PORTIFÓLIO'!C:V,5,0),"")</f>
        <v/>
      </c>
      <c r="H253" s="254" t="str">
        <f t="array" ref="H253">IFERROR(INDEX('PORTIFÓLIO'!$H$4:$H$433,MATCH($C253,'PORTIFÓLIO'!$C$4:$C$433,0)),"")</f>
        <v/>
      </c>
      <c r="I253" s="255"/>
      <c r="J253" s="218">
        <f t="shared" ref="J253:J270" si="29">I253*$B$2</f>
        <v>0</v>
      </c>
      <c r="K253" s="292" t="str">
        <f t="array" ref="K253">IFERROR(I253*INDEX('PORTIFÓLIO'!$S$4:$S$433,MATCH($C253,'PORTIFÓLIO'!$C$4:$C$433,0)),"")</f>
        <v/>
      </c>
      <c r="L253" s="292" t="str">
        <f t="array" ref="L253">IFERROR(J253*INDEX('PORTIFÓLIO'!$S$4:$S$433,MATCH($C253,'PORTIFÓLIO'!$C$4:$C$433,0)),"")</f>
        <v/>
      </c>
      <c r="M253" s="220"/>
      <c r="N253" s="220"/>
      <c r="O253" s="220"/>
      <c r="P253" s="220"/>
      <c r="Q253" s="220"/>
      <c r="R253" s="220"/>
      <c r="S253" s="220"/>
      <c r="T253" s="220"/>
      <c r="U253" s="220"/>
      <c r="V253" s="220"/>
      <c r="W253" s="220"/>
    </row>
    <row r="254" ht="15.75" customHeight="1" outlineLevel="1">
      <c r="A254" s="211"/>
      <c r="B254" s="212"/>
      <c r="C254" s="213"/>
      <c r="D254" s="214" t="str">
        <f>IFERROR(VLOOKUP($C254,'PORTIFÓLIO'!C:V,2,0),"")</f>
        <v/>
      </c>
      <c r="E254" s="211" t="str">
        <f>IFERROR(VLOOKUP($C254,'PORTIFÓLIO'!C:V,3,0),"")</f>
        <v/>
      </c>
      <c r="F254" s="211" t="str">
        <f>IFERROR(VLOOKUP($C254,'PORTIFÓLIO'!C:V,4,0),"")</f>
        <v/>
      </c>
      <c r="G254" s="215" t="str">
        <f>IFERROR(VLOOKUP($C254,'PORTIFÓLIO'!C:V,5,0),"")</f>
        <v/>
      </c>
      <c r="H254" s="254" t="str">
        <f t="array" ref="H254">IFERROR(INDEX('PORTIFÓLIO'!$H$4:$H$433,MATCH($C254,'PORTIFÓLIO'!$C$4:$C$433,0)),"")</f>
        <v/>
      </c>
      <c r="I254" s="255"/>
      <c r="J254" s="218">
        <f t="shared" si="29"/>
        <v>0</v>
      </c>
      <c r="K254" s="292" t="str">
        <f t="array" ref="K254">IFERROR(I254*INDEX('PORTIFÓLIO'!$S$4:$S$433,MATCH($C254,'PORTIFÓLIO'!$C$4:$C$433,0)),"")</f>
        <v/>
      </c>
      <c r="L254" s="292" t="str">
        <f t="array" ref="L254">IFERROR(J254*INDEX('PORTIFÓLIO'!$S$4:$S$433,MATCH($C254,'PORTIFÓLIO'!$C$4:$C$433,0)),"")</f>
        <v/>
      </c>
      <c r="M254" s="220"/>
      <c r="N254" s="220"/>
      <c r="O254" s="220"/>
      <c r="P254" s="220"/>
      <c r="Q254" s="220"/>
      <c r="R254" s="220"/>
      <c r="S254" s="220"/>
      <c r="T254" s="220"/>
      <c r="U254" s="220"/>
      <c r="V254" s="220"/>
      <c r="W254" s="220"/>
    </row>
    <row r="255" ht="15.75" customHeight="1" outlineLevel="1">
      <c r="A255" s="211"/>
      <c r="B255" s="212"/>
      <c r="C255" s="213"/>
      <c r="D255" s="214" t="str">
        <f>IFERROR(VLOOKUP($C255,'PORTIFÓLIO'!C:V,2,0),"")</f>
        <v/>
      </c>
      <c r="E255" s="211" t="str">
        <f>IFERROR(VLOOKUP($C255,'PORTIFÓLIO'!C:V,3,0),"")</f>
        <v/>
      </c>
      <c r="F255" s="211" t="str">
        <f>IFERROR(VLOOKUP($C255,'PORTIFÓLIO'!C:V,4,0),"")</f>
        <v/>
      </c>
      <c r="G255" s="215" t="str">
        <f>IFERROR(VLOOKUP($C255,'PORTIFÓLIO'!C:V,5,0),"")</f>
        <v/>
      </c>
      <c r="H255" s="254" t="str">
        <f t="array" ref="H255">IFERROR(INDEX('PORTIFÓLIO'!$H$4:$H$433,MATCH($C255,'PORTIFÓLIO'!$C$4:$C$433,0)),"")</f>
        <v/>
      </c>
      <c r="I255" s="256"/>
      <c r="J255" s="218">
        <f t="shared" si="29"/>
        <v>0</v>
      </c>
      <c r="K255" s="292" t="str">
        <f t="array" ref="K255">IFERROR(I255*INDEX('PORTIFÓLIO'!$S$4:$S$433,MATCH($C255,'PORTIFÓLIO'!$C$4:$C$433,0)),"")</f>
        <v/>
      </c>
      <c r="L255" s="292" t="str">
        <f t="array" ref="L255">IFERROR(J255*INDEX('PORTIFÓLIO'!$S$4:$S$433,MATCH($C255,'PORTIFÓLIO'!$C$4:$C$433,0)),"")</f>
        <v/>
      </c>
      <c r="M255" s="220"/>
      <c r="N255" s="220"/>
      <c r="O255" s="220"/>
      <c r="P255" s="220"/>
      <c r="Q255" s="220"/>
      <c r="R255" s="220"/>
      <c r="S255" s="220"/>
      <c r="T255" s="220"/>
      <c r="U255" s="220"/>
      <c r="V255" s="220"/>
      <c r="W255" s="220"/>
    </row>
    <row r="256" ht="15.75" customHeight="1" outlineLevel="1">
      <c r="A256" s="211"/>
      <c r="B256" s="212"/>
      <c r="C256" s="213"/>
      <c r="D256" s="214" t="str">
        <f>IFERROR(VLOOKUP($C256,'PORTIFÓLIO'!C:V,2,0),"")</f>
        <v/>
      </c>
      <c r="E256" s="211" t="str">
        <f>IFERROR(VLOOKUP($C256,'PORTIFÓLIO'!C:V,3,0),"")</f>
        <v/>
      </c>
      <c r="F256" s="211" t="str">
        <f>IFERROR(VLOOKUP($C256,'PORTIFÓLIO'!C:V,4,0),"")</f>
        <v/>
      </c>
      <c r="G256" s="215" t="str">
        <f>IFERROR(VLOOKUP($C256,'PORTIFÓLIO'!C:V,5,0),"")</f>
        <v/>
      </c>
      <c r="H256" s="254" t="str">
        <f t="array" ref="H256">IFERROR(INDEX('PORTIFÓLIO'!$H$4:$H$433,MATCH($C256,'PORTIFÓLIO'!$C$4:$C$433,0)),"")</f>
        <v/>
      </c>
      <c r="I256" s="255"/>
      <c r="J256" s="218">
        <f t="shared" si="29"/>
        <v>0</v>
      </c>
      <c r="K256" s="292" t="str">
        <f t="array" ref="K256">IFERROR(I256*INDEX('PORTIFÓLIO'!$S$4:$S$433,MATCH($C256,'PORTIFÓLIO'!$C$4:$C$433,0)),"")</f>
        <v/>
      </c>
      <c r="L256" s="292" t="str">
        <f t="array" ref="L256">IFERROR(J256*INDEX('PORTIFÓLIO'!$S$4:$S$433,MATCH($C256,'PORTIFÓLIO'!$C$4:$C$433,0)),"")</f>
        <v/>
      </c>
      <c r="M256" s="220"/>
      <c r="N256" s="220"/>
      <c r="O256" s="220"/>
      <c r="P256" s="220"/>
      <c r="Q256" s="220"/>
      <c r="R256" s="220"/>
      <c r="S256" s="220"/>
      <c r="T256" s="220"/>
      <c r="U256" s="220"/>
      <c r="V256" s="220"/>
      <c r="W256" s="220"/>
    </row>
    <row r="257" ht="15.75" customHeight="1" outlineLevel="1">
      <c r="A257" s="211"/>
      <c r="B257" s="212"/>
      <c r="C257" s="213"/>
      <c r="D257" s="214" t="str">
        <f>IFERROR(VLOOKUP($C257,'PORTIFÓLIO'!C:V,2,0),"")</f>
        <v/>
      </c>
      <c r="E257" s="211" t="str">
        <f>IFERROR(VLOOKUP($C257,'PORTIFÓLIO'!C:V,3,0),"")</f>
        <v/>
      </c>
      <c r="F257" s="211" t="str">
        <f>IFERROR(VLOOKUP($C257,'PORTIFÓLIO'!C:V,4,0),"")</f>
        <v/>
      </c>
      <c r="G257" s="215" t="str">
        <f>IFERROR(VLOOKUP($C257,'PORTIFÓLIO'!C:V,5,0),"")</f>
        <v/>
      </c>
      <c r="H257" s="254" t="str">
        <f t="array" ref="H257">IFERROR(INDEX('PORTIFÓLIO'!$H$4:$H$433,MATCH($C257,'PORTIFÓLIO'!$C$4:$C$433,0)),"")</f>
        <v/>
      </c>
      <c r="I257" s="256"/>
      <c r="J257" s="218">
        <f t="shared" si="29"/>
        <v>0</v>
      </c>
      <c r="K257" s="292" t="str">
        <f t="array" ref="K257">IFERROR(I257*INDEX('PORTIFÓLIO'!$S$4:$S$433,MATCH($C257,'PORTIFÓLIO'!$C$4:$C$433,0)),"")</f>
        <v/>
      </c>
      <c r="L257" s="292" t="str">
        <f t="array" ref="L257">IFERROR(J257*INDEX('PORTIFÓLIO'!$S$4:$S$433,MATCH($C257,'PORTIFÓLIO'!$C$4:$C$433,0)),"")</f>
        <v/>
      </c>
      <c r="M257" s="220"/>
      <c r="N257" s="220"/>
      <c r="O257" s="220"/>
      <c r="P257" s="220"/>
      <c r="Q257" s="220"/>
      <c r="R257" s="220"/>
      <c r="S257" s="220"/>
      <c r="T257" s="220"/>
      <c r="U257" s="220"/>
      <c r="V257" s="220"/>
      <c r="W257" s="220"/>
    </row>
    <row r="258" ht="15.75" customHeight="1" outlineLevel="1">
      <c r="A258" s="211"/>
      <c r="B258" s="212"/>
      <c r="C258" s="213"/>
      <c r="D258" s="214" t="str">
        <f>IFERROR(VLOOKUP($C258,'PORTIFÓLIO'!C:V,2,0),"")</f>
        <v/>
      </c>
      <c r="E258" s="211" t="str">
        <f>IFERROR(VLOOKUP($C258,'PORTIFÓLIO'!C:V,3,0),"")</f>
        <v/>
      </c>
      <c r="F258" s="211" t="str">
        <f>IFERROR(VLOOKUP($C258,'PORTIFÓLIO'!C:V,4,0),"")</f>
        <v/>
      </c>
      <c r="G258" s="215" t="str">
        <f>IFERROR(VLOOKUP($C258,'PORTIFÓLIO'!C:V,5,0),"")</f>
        <v/>
      </c>
      <c r="H258" s="254" t="str">
        <f t="array" ref="H258">IFERROR(INDEX('PORTIFÓLIO'!$H$4:$H$433,MATCH($C258,'PORTIFÓLIO'!$C$4:$C$433,0)),"")</f>
        <v/>
      </c>
      <c r="I258" s="256"/>
      <c r="J258" s="218">
        <f t="shared" si="29"/>
        <v>0</v>
      </c>
      <c r="K258" s="292" t="str">
        <f t="array" ref="K258">IFERROR(I258*INDEX('PORTIFÓLIO'!$S$4:$S$433,MATCH($C258,'PORTIFÓLIO'!$C$4:$C$433,0)),"")</f>
        <v/>
      </c>
      <c r="L258" s="292" t="str">
        <f t="array" ref="L258">IFERROR(J258*INDEX('PORTIFÓLIO'!$S$4:$S$433,MATCH($C258,'PORTIFÓLIO'!$C$4:$C$433,0)),"")</f>
        <v/>
      </c>
      <c r="M258" s="220"/>
      <c r="N258" s="220"/>
      <c r="O258" s="220"/>
      <c r="P258" s="220"/>
      <c r="Q258" s="220"/>
      <c r="R258" s="220"/>
      <c r="S258" s="220"/>
      <c r="T258" s="220"/>
      <c r="U258" s="220"/>
      <c r="V258" s="220"/>
      <c r="W258" s="220"/>
    </row>
    <row r="259" ht="15.75" customHeight="1" outlineLevel="1">
      <c r="A259" s="211"/>
      <c r="B259" s="212"/>
      <c r="C259" s="213"/>
      <c r="D259" s="214" t="str">
        <f>IFERROR(VLOOKUP($C259,'PORTIFÓLIO'!C:V,2,0),"")</f>
        <v/>
      </c>
      <c r="E259" s="211" t="str">
        <f>IFERROR(VLOOKUP($C259,'PORTIFÓLIO'!C:V,3,0),"")</f>
        <v/>
      </c>
      <c r="F259" s="211" t="str">
        <f>IFERROR(VLOOKUP($C259,'PORTIFÓLIO'!C:V,4,0),"")</f>
        <v/>
      </c>
      <c r="G259" s="215" t="str">
        <f>IFERROR(VLOOKUP($C259,'PORTIFÓLIO'!C:V,5,0),"")</f>
        <v/>
      </c>
      <c r="H259" s="254" t="str">
        <f t="array" ref="H259">IFERROR(INDEX('PORTIFÓLIO'!$H$4:$H$433,MATCH($C259,'PORTIFÓLIO'!$C$4:$C$433,0)),"")</f>
        <v/>
      </c>
      <c r="I259" s="256"/>
      <c r="J259" s="218">
        <f t="shared" si="29"/>
        <v>0</v>
      </c>
      <c r="K259" s="292" t="str">
        <f t="array" ref="K259">IFERROR(I259*INDEX('PORTIFÓLIO'!$S$4:$S$433,MATCH($C259,'PORTIFÓLIO'!$C$4:$C$433,0)),"")</f>
        <v/>
      </c>
      <c r="L259" s="292" t="str">
        <f t="array" ref="L259">IFERROR(J259*INDEX('PORTIFÓLIO'!$S$4:$S$433,MATCH($C259,'PORTIFÓLIO'!$C$4:$C$433,0)),"")</f>
        <v/>
      </c>
      <c r="M259" s="220"/>
      <c r="N259" s="220"/>
      <c r="O259" s="220"/>
      <c r="P259" s="220"/>
      <c r="Q259" s="220"/>
      <c r="R259" s="220"/>
      <c r="S259" s="220"/>
      <c r="T259" s="220"/>
      <c r="U259" s="220"/>
      <c r="V259" s="220"/>
      <c r="W259" s="220"/>
    </row>
    <row r="260" ht="15.75" customHeight="1" outlineLevel="1">
      <c r="A260" s="211"/>
      <c r="B260" s="212"/>
      <c r="C260" s="213"/>
      <c r="D260" s="214" t="str">
        <f>IFERROR(VLOOKUP($C260,'PORTIFÓLIO'!C:V,2,0),"")</f>
        <v/>
      </c>
      <c r="E260" s="211" t="str">
        <f>IFERROR(VLOOKUP($C260,'PORTIFÓLIO'!C:V,3,0),"")</f>
        <v/>
      </c>
      <c r="F260" s="211" t="str">
        <f>IFERROR(VLOOKUP($C260,'PORTIFÓLIO'!C:V,4,0),"")</f>
        <v/>
      </c>
      <c r="G260" s="215" t="str">
        <f>IFERROR(VLOOKUP($C260,'PORTIFÓLIO'!C:V,5,0),"")</f>
        <v/>
      </c>
      <c r="H260" s="254" t="str">
        <f t="array" ref="H260">IFERROR(INDEX('PORTIFÓLIO'!$H$4:$H$433,MATCH($C260,'PORTIFÓLIO'!$C$4:$C$433,0)),"")</f>
        <v/>
      </c>
      <c r="I260" s="256"/>
      <c r="J260" s="218">
        <f t="shared" si="29"/>
        <v>0</v>
      </c>
      <c r="K260" s="292" t="str">
        <f t="array" ref="K260">IFERROR(I260*INDEX('PORTIFÓLIO'!$S$4:$S$433,MATCH($C260,'PORTIFÓLIO'!$C$4:$C$433,0)),"")</f>
        <v/>
      </c>
      <c r="L260" s="292" t="str">
        <f t="array" ref="L260">IFERROR(J260*INDEX('PORTIFÓLIO'!$S$4:$S$433,MATCH($C260,'PORTIFÓLIO'!$C$4:$C$433,0)),"")</f>
        <v/>
      </c>
      <c r="M260" s="220"/>
      <c r="N260" s="220"/>
      <c r="O260" s="220"/>
      <c r="P260" s="220"/>
      <c r="Q260" s="220"/>
      <c r="R260" s="220"/>
      <c r="S260" s="220"/>
      <c r="T260" s="220"/>
      <c r="U260" s="220"/>
      <c r="V260" s="220"/>
      <c r="W260" s="220"/>
    </row>
    <row r="261" ht="15.75" customHeight="1" outlineLevel="1">
      <c r="A261" s="211"/>
      <c r="B261" s="212"/>
      <c r="C261" s="213"/>
      <c r="D261" s="214" t="str">
        <f>IFERROR(VLOOKUP($C261,'PORTIFÓLIO'!C:V,2,0),"")</f>
        <v/>
      </c>
      <c r="E261" s="211" t="str">
        <f>IFERROR(VLOOKUP($C261,'PORTIFÓLIO'!C:V,3,0),"")</f>
        <v/>
      </c>
      <c r="F261" s="211" t="str">
        <f>IFERROR(VLOOKUP($C261,'PORTIFÓLIO'!C:V,4,0),"")</f>
        <v/>
      </c>
      <c r="G261" s="215" t="str">
        <f>IFERROR(VLOOKUP($C261,'PORTIFÓLIO'!C:V,5,0),"")</f>
        <v/>
      </c>
      <c r="H261" s="254" t="str">
        <f t="array" ref="H261">IFERROR(INDEX('PORTIFÓLIO'!$H$4:$H$433,MATCH($C261,'PORTIFÓLIO'!$C$4:$C$433,0)),"")</f>
        <v/>
      </c>
      <c r="I261" s="255"/>
      <c r="J261" s="218">
        <f t="shared" si="29"/>
        <v>0</v>
      </c>
      <c r="K261" s="292" t="str">
        <f t="array" ref="K261">IFERROR(I261*INDEX('PORTIFÓLIO'!$S$4:$S$433,MATCH($C261,'PORTIFÓLIO'!$C$4:$C$433,0)),"")</f>
        <v/>
      </c>
      <c r="L261" s="292" t="str">
        <f t="array" ref="L261">IFERROR(J261*INDEX('PORTIFÓLIO'!$S$4:$S$433,MATCH($C261,'PORTIFÓLIO'!$C$4:$C$433,0)),"")</f>
        <v/>
      </c>
      <c r="M261" s="220"/>
      <c r="N261" s="220"/>
      <c r="O261" s="220"/>
      <c r="P261" s="220"/>
      <c r="Q261" s="220"/>
      <c r="R261" s="220"/>
      <c r="S261" s="220"/>
      <c r="T261" s="220"/>
      <c r="U261" s="220"/>
      <c r="V261" s="220"/>
      <c r="W261" s="220"/>
    </row>
    <row r="262" ht="15.75" customHeight="1" outlineLevel="1">
      <c r="A262" s="211"/>
      <c r="B262" s="212"/>
      <c r="C262" s="213"/>
      <c r="D262" s="214" t="str">
        <f>IFERROR(VLOOKUP($C262,'PORTIFÓLIO'!C:V,2,0),"")</f>
        <v/>
      </c>
      <c r="E262" s="211" t="str">
        <f>IFERROR(VLOOKUP($C262,'PORTIFÓLIO'!C:V,3,0),"")</f>
        <v/>
      </c>
      <c r="F262" s="211" t="str">
        <f>IFERROR(VLOOKUP($C262,'PORTIFÓLIO'!C:V,4,0),"")</f>
        <v/>
      </c>
      <c r="G262" s="215" t="str">
        <f>IFERROR(VLOOKUP($C262,'PORTIFÓLIO'!C:V,5,0),"")</f>
        <v/>
      </c>
      <c r="H262" s="254" t="str">
        <f t="array" ref="H262">IFERROR(INDEX('PORTIFÓLIO'!$H$4:$H$433,MATCH($C262,'PORTIFÓLIO'!$C$4:$C$433,0)),"")</f>
        <v/>
      </c>
      <c r="I262" s="256"/>
      <c r="J262" s="218">
        <f t="shared" si="29"/>
        <v>0</v>
      </c>
      <c r="K262" s="292" t="str">
        <f t="array" ref="K262">IFERROR(I262*INDEX('PORTIFÓLIO'!$S$4:$S$433,MATCH($C262,'PORTIFÓLIO'!$C$4:$C$433,0)),"")</f>
        <v/>
      </c>
      <c r="L262" s="292" t="str">
        <f t="array" ref="L262">IFERROR(J262*INDEX('PORTIFÓLIO'!$S$4:$S$433,MATCH($C262,'PORTIFÓLIO'!$C$4:$C$433,0)),"")</f>
        <v/>
      </c>
      <c r="M262" s="220"/>
      <c r="N262" s="220"/>
      <c r="O262" s="220"/>
      <c r="P262" s="220"/>
      <c r="Q262" s="220"/>
      <c r="R262" s="220"/>
      <c r="S262" s="220"/>
      <c r="T262" s="220"/>
      <c r="U262" s="220"/>
      <c r="V262" s="220"/>
      <c r="W262" s="220"/>
    </row>
    <row r="263" ht="15.75" customHeight="1" outlineLevel="1">
      <c r="A263" s="211"/>
      <c r="B263" s="212"/>
      <c r="C263" s="213"/>
      <c r="D263" s="214" t="str">
        <f>IFERROR(VLOOKUP($C263,'PORTIFÓLIO'!C:V,2,0),"")</f>
        <v/>
      </c>
      <c r="E263" s="211" t="str">
        <f>IFERROR(VLOOKUP($C263,'PORTIFÓLIO'!C:V,3,0),"")</f>
        <v/>
      </c>
      <c r="F263" s="211" t="str">
        <f>IFERROR(VLOOKUP($C263,'PORTIFÓLIO'!C:V,4,0),"")</f>
        <v/>
      </c>
      <c r="G263" s="215" t="str">
        <f>IFERROR(VLOOKUP($C263,'PORTIFÓLIO'!C:V,5,0),"")</f>
        <v/>
      </c>
      <c r="H263" s="254" t="str">
        <f t="array" ref="H263">IFERROR(INDEX('PORTIFÓLIO'!$H$4:$H$433,MATCH($C263,'PORTIFÓLIO'!$C$4:$C$433,0)),"")</f>
        <v/>
      </c>
      <c r="I263" s="256"/>
      <c r="J263" s="218">
        <f t="shared" si="29"/>
        <v>0</v>
      </c>
      <c r="K263" s="292" t="str">
        <f t="array" ref="K263">IFERROR(I263*INDEX('PORTIFÓLIO'!$S$4:$S$433,MATCH($C263,'PORTIFÓLIO'!$C$4:$C$433,0)),"")</f>
        <v/>
      </c>
      <c r="L263" s="292" t="str">
        <f t="array" ref="L263">IFERROR(J263*INDEX('PORTIFÓLIO'!$S$4:$S$433,MATCH($C263,'PORTIFÓLIO'!$C$4:$C$433,0)),"")</f>
        <v/>
      </c>
      <c r="M263" s="220"/>
      <c r="N263" s="220"/>
      <c r="O263" s="220"/>
      <c r="P263" s="220"/>
      <c r="Q263" s="220"/>
      <c r="R263" s="220"/>
      <c r="S263" s="220"/>
      <c r="T263" s="220"/>
      <c r="U263" s="220"/>
      <c r="V263" s="220"/>
      <c r="W263" s="220"/>
    </row>
    <row r="264" ht="15.75" customHeight="1" outlineLevel="1">
      <c r="A264" s="211"/>
      <c r="B264" s="212"/>
      <c r="C264" s="213"/>
      <c r="D264" s="214" t="str">
        <f>IFERROR(VLOOKUP($C264,'PORTIFÓLIO'!C:V,2,0),"")</f>
        <v/>
      </c>
      <c r="E264" s="211" t="str">
        <f>IFERROR(VLOOKUP($C264,'PORTIFÓLIO'!C:V,3,0),"")</f>
        <v/>
      </c>
      <c r="F264" s="211" t="str">
        <f>IFERROR(VLOOKUP($C264,'PORTIFÓLIO'!C:V,4,0),"")</f>
        <v/>
      </c>
      <c r="G264" s="215" t="str">
        <f>IFERROR(VLOOKUP($C264,'PORTIFÓLIO'!C:V,5,0),"")</f>
        <v/>
      </c>
      <c r="H264" s="254" t="str">
        <f t="array" ref="H264">IFERROR(INDEX('PORTIFÓLIO'!$H$4:$H$433,MATCH($C264,'PORTIFÓLIO'!$C$4:$C$433,0)),"")</f>
        <v/>
      </c>
      <c r="I264" s="256"/>
      <c r="J264" s="218">
        <f t="shared" si="29"/>
        <v>0</v>
      </c>
      <c r="K264" s="292" t="str">
        <f t="array" ref="K264">IFERROR(I264*INDEX('PORTIFÓLIO'!$S$4:$S$433,MATCH($C264,'PORTIFÓLIO'!$C$4:$C$433,0)),"")</f>
        <v/>
      </c>
      <c r="L264" s="292" t="str">
        <f t="array" ref="L264">IFERROR(J264*INDEX('PORTIFÓLIO'!$S$4:$S$433,MATCH($C264,'PORTIFÓLIO'!$C$4:$C$433,0)),"")</f>
        <v/>
      </c>
      <c r="M264" s="220"/>
      <c r="N264" s="220"/>
      <c r="O264" s="220"/>
      <c r="P264" s="220"/>
      <c r="Q264" s="220"/>
      <c r="R264" s="220"/>
      <c r="S264" s="220"/>
      <c r="T264" s="220"/>
      <c r="U264" s="220"/>
      <c r="V264" s="220"/>
      <c r="W264" s="220"/>
    </row>
    <row r="265" ht="15.75" customHeight="1" outlineLevel="1">
      <c r="A265" s="211"/>
      <c r="B265" s="212"/>
      <c r="C265" s="213"/>
      <c r="D265" s="214" t="str">
        <f>IFERROR(VLOOKUP($C265,'PORTIFÓLIO'!C:V,2,0),"")</f>
        <v/>
      </c>
      <c r="E265" s="211" t="str">
        <f>IFERROR(VLOOKUP($C265,'PORTIFÓLIO'!C:V,3,0),"")</f>
        <v/>
      </c>
      <c r="F265" s="211" t="str">
        <f>IFERROR(VLOOKUP($C265,'PORTIFÓLIO'!C:V,4,0),"")</f>
        <v/>
      </c>
      <c r="G265" s="215" t="str">
        <f>IFERROR(VLOOKUP($C265,'PORTIFÓLIO'!C:V,5,0),"")</f>
        <v/>
      </c>
      <c r="H265" s="254" t="str">
        <f t="array" ref="H265">IFERROR(INDEX('PORTIFÓLIO'!$H$4:$H$433,MATCH($C265,'PORTIFÓLIO'!$C$4:$C$433,0)),"")</f>
        <v/>
      </c>
      <c r="I265" s="256"/>
      <c r="J265" s="218">
        <f t="shared" si="29"/>
        <v>0</v>
      </c>
      <c r="K265" s="292" t="str">
        <f t="array" ref="K265">IFERROR(I265*INDEX('PORTIFÓLIO'!$S$4:$S$433,MATCH($C265,'PORTIFÓLIO'!$C$4:$C$433,0)),"")</f>
        <v/>
      </c>
      <c r="L265" s="292" t="str">
        <f t="array" ref="L265">IFERROR(J265*INDEX('PORTIFÓLIO'!$S$4:$S$433,MATCH($C265,'PORTIFÓLIO'!$C$4:$C$433,0)),"")</f>
        <v/>
      </c>
      <c r="M265" s="220"/>
      <c r="N265" s="220"/>
      <c r="O265" s="220"/>
      <c r="P265" s="220"/>
      <c r="Q265" s="220"/>
      <c r="R265" s="220"/>
      <c r="S265" s="220"/>
      <c r="T265" s="220"/>
      <c r="U265" s="220"/>
      <c r="V265" s="220"/>
      <c r="W265" s="220"/>
    </row>
    <row r="266" ht="15.75" customHeight="1" outlineLevel="1">
      <c r="A266" s="211"/>
      <c r="B266" s="212"/>
      <c r="C266" s="213"/>
      <c r="D266" s="214" t="str">
        <f>IFERROR(VLOOKUP($C266,'PORTIFÓLIO'!C:V,2,0),"")</f>
        <v/>
      </c>
      <c r="E266" s="211" t="str">
        <f>IFERROR(VLOOKUP($C266,'PORTIFÓLIO'!C:V,3,0),"")</f>
        <v/>
      </c>
      <c r="F266" s="211" t="str">
        <f>IFERROR(VLOOKUP($C266,'PORTIFÓLIO'!C:V,4,0),"")</f>
        <v/>
      </c>
      <c r="G266" s="215" t="str">
        <f>IFERROR(VLOOKUP($C266,'PORTIFÓLIO'!C:V,5,0),"")</f>
        <v/>
      </c>
      <c r="H266" s="254" t="str">
        <f t="array" ref="H266">IFERROR(INDEX('PORTIFÓLIO'!$H$4:$H$433,MATCH($C266,'PORTIFÓLIO'!$C$4:$C$433,0)),"")</f>
        <v/>
      </c>
      <c r="I266" s="256"/>
      <c r="J266" s="218">
        <f t="shared" si="29"/>
        <v>0</v>
      </c>
      <c r="K266" s="292" t="str">
        <f t="array" ref="K266">IFERROR(I266*INDEX('PORTIFÓLIO'!$S$4:$S$433,MATCH($C266,'PORTIFÓLIO'!$C$4:$C$433,0)),"")</f>
        <v/>
      </c>
      <c r="L266" s="292" t="str">
        <f t="array" ref="L266">IFERROR(J266*INDEX('PORTIFÓLIO'!$S$4:$S$433,MATCH($C266,'PORTIFÓLIO'!$C$4:$C$433,0)),"")</f>
        <v/>
      </c>
      <c r="M266" s="220"/>
      <c r="N266" s="220"/>
      <c r="O266" s="220"/>
      <c r="P266" s="220"/>
      <c r="Q266" s="220"/>
      <c r="R266" s="220"/>
      <c r="S266" s="220"/>
      <c r="T266" s="220"/>
      <c r="U266" s="220"/>
      <c r="V266" s="220"/>
      <c r="W266" s="220"/>
    </row>
    <row r="267" ht="15.75" customHeight="1" outlineLevel="1">
      <c r="A267" s="211"/>
      <c r="B267" s="212"/>
      <c r="C267" s="213"/>
      <c r="D267" s="214" t="str">
        <f>IFERROR(VLOOKUP($C267,'PORTIFÓLIO'!C:V,2,0),"")</f>
        <v/>
      </c>
      <c r="E267" s="211" t="str">
        <f>IFERROR(VLOOKUP($C267,'PORTIFÓLIO'!C:V,3,0),"")</f>
        <v/>
      </c>
      <c r="F267" s="211" t="str">
        <f>IFERROR(VLOOKUP($C267,'PORTIFÓLIO'!C:V,4,0),"")</f>
        <v/>
      </c>
      <c r="G267" s="215" t="str">
        <f>IFERROR(VLOOKUP($C267,'PORTIFÓLIO'!C:V,5,0),"")</f>
        <v/>
      </c>
      <c r="H267" s="254" t="str">
        <f t="array" ref="H267">IFERROR(INDEX('PORTIFÓLIO'!$H$4:$H$433,MATCH($C267,'PORTIFÓLIO'!$C$4:$C$433,0)),"")</f>
        <v/>
      </c>
      <c r="I267" s="256"/>
      <c r="J267" s="218">
        <f t="shared" si="29"/>
        <v>0</v>
      </c>
      <c r="K267" s="292" t="str">
        <f t="array" ref="K267">IFERROR(I267*INDEX('PORTIFÓLIO'!$S$4:$S$433,MATCH($C267,'PORTIFÓLIO'!$C$4:$C$433,0)),"")</f>
        <v/>
      </c>
      <c r="L267" s="292" t="str">
        <f t="array" ref="L267">IFERROR(J267*INDEX('PORTIFÓLIO'!$S$4:$S$433,MATCH($C267,'PORTIFÓLIO'!$C$4:$C$433,0)),"")</f>
        <v/>
      </c>
      <c r="M267" s="220"/>
      <c r="N267" s="220"/>
      <c r="O267" s="220"/>
      <c r="P267" s="220"/>
      <c r="Q267" s="220"/>
      <c r="R267" s="220"/>
      <c r="S267" s="220"/>
      <c r="T267" s="220"/>
      <c r="U267" s="220"/>
      <c r="V267" s="220"/>
      <c r="W267" s="220"/>
    </row>
    <row r="268" ht="15.75" customHeight="1" outlineLevel="1">
      <c r="A268" s="211"/>
      <c r="B268" s="212"/>
      <c r="C268" s="213"/>
      <c r="D268" s="214" t="str">
        <f>IFERROR(VLOOKUP($C268,'PORTIFÓLIO'!C:V,2,0),"")</f>
        <v/>
      </c>
      <c r="E268" s="211" t="str">
        <f>IFERROR(VLOOKUP($C268,'PORTIFÓLIO'!C:V,3,0),"")</f>
        <v/>
      </c>
      <c r="F268" s="211" t="str">
        <f>IFERROR(VLOOKUP($C268,'PORTIFÓLIO'!C:V,4,0),"")</f>
        <v/>
      </c>
      <c r="G268" s="215" t="str">
        <f>IFERROR(VLOOKUP($C268,'PORTIFÓLIO'!C:V,5,0),"")</f>
        <v/>
      </c>
      <c r="H268" s="254" t="str">
        <f t="array" ref="H268">IFERROR(INDEX('PORTIFÓLIO'!$H$4:$H$433,MATCH($C268,'PORTIFÓLIO'!$C$4:$C$433,0)),"")</f>
        <v/>
      </c>
      <c r="I268" s="256"/>
      <c r="J268" s="218">
        <f t="shared" si="29"/>
        <v>0</v>
      </c>
      <c r="K268" s="292" t="str">
        <f t="array" ref="K268">IFERROR(I268*INDEX('PORTIFÓLIO'!$S$4:$S$433,MATCH($C268,'PORTIFÓLIO'!$C$4:$C$433,0)),"")</f>
        <v/>
      </c>
      <c r="L268" s="292" t="str">
        <f t="array" ref="L268">IFERROR(J268*INDEX('PORTIFÓLIO'!$S$4:$S$433,MATCH($C268,'PORTIFÓLIO'!$C$4:$C$433,0)),"")</f>
        <v/>
      </c>
      <c r="M268" s="220"/>
      <c r="N268" s="220"/>
      <c r="O268" s="220"/>
      <c r="P268" s="220"/>
      <c r="Q268" s="220"/>
      <c r="R268" s="220"/>
      <c r="S268" s="220"/>
      <c r="T268" s="220"/>
      <c r="U268" s="220"/>
      <c r="V268" s="220"/>
      <c r="W268" s="220"/>
    </row>
    <row r="269" ht="15.75" customHeight="1" outlineLevel="1">
      <c r="A269" s="211"/>
      <c r="B269" s="212"/>
      <c r="C269" s="213"/>
      <c r="D269" s="214" t="str">
        <f>IFERROR(VLOOKUP($C269,'PORTIFÓLIO'!C:V,2,0),"")</f>
        <v/>
      </c>
      <c r="E269" s="211" t="str">
        <f>IFERROR(VLOOKUP($C269,'PORTIFÓLIO'!C:V,3,0),"")</f>
        <v/>
      </c>
      <c r="F269" s="211" t="str">
        <f>IFERROR(VLOOKUP($C269,'PORTIFÓLIO'!C:V,4,0),"")</f>
        <v/>
      </c>
      <c r="G269" s="215" t="str">
        <f>IFERROR(VLOOKUP($C269,'PORTIFÓLIO'!C:V,5,0),"")</f>
        <v/>
      </c>
      <c r="H269" s="254" t="str">
        <f t="array" ref="H269">IFERROR(INDEX('PORTIFÓLIO'!$H$4:$H$433,MATCH($C269,'PORTIFÓLIO'!$C$4:$C$433,0)),"")</f>
        <v/>
      </c>
      <c r="I269" s="256"/>
      <c r="J269" s="218">
        <f t="shared" si="29"/>
        <v>0</v>
      </c>
      <c r="K269" s="292" t="str">
        <f t="array" ref="K269">IFERROR(I269*INDEX('PORTIFÓLIO'!$S$4:$S$433,MATCH($C269,'PORTIFÓLIO'!$C$4:$C$433,0)),"")</f>
        <v/>
      </c>
      <c r="L269" s="292" t="str">
        <f t="array" ref="L269">IFERROR(J269*INDEX('PORTIFÓLIO'!$S$4:$S$433,MATCH($C269,'PORTIFÓLIO'!$C$4:$C$433,0)),"")</f>
        <v/>
      </c>
      <c r="M269" s="220"/>
      <c r="N269" s="220"/>
      <c r="O269" s="220"/>
      <c r="P269" s="220"/>
      <c r="Q269" s="220"/>
      <c r="R269" s="220"/>
      <c r="S269" s="220"/>
      <c r="T269" s="220"/>
      <c r="U269" s="220"/>
      <c r="V269" s="220"/>
      <c r="W269" s="220"/>
    </row>
    <row r="270" ht="15.75" customHeight="1" outlineLevel="1">
      <c r="A270" s="211"/>
      <c r="B270" s="212"/>
      <c r="C270" s="213"/>
      <c r="D270" s="214" t="str">
        <f>IFERROR(VLOOKUP($C270,'PORTIFÓLIO'!C:V,2,0),"")</f>
        <v/>
      </c>
      <c r="E270" s="211" t="str">
        <f>IFERROR(VLOOKUP($C270,'PORTIFÓLIO'!C:V,3,0),"")</f>
        <v/>
      </c>
      <c r="F270" s="211" t="str">
        <f>IFERROR(VLOOKUP($C270,'PORTIFÓLIO'!C:V,4,0),"")</f>
        <v/>
      </c>
      <c r="G270" s="215" t="str">
        <f>IFERROR(VLOOKUP($C270,'PORTIFÓLIO'!C:V,5,0),"")</f>
        <v/>
      </c>
      <c r="H270" s="254" t="str">
        <f t="array" ref="H270">IFERROR(INDEX('PORTIFÓLIO'!$H$4:$H$433,MATCH($C270,'PORTIFÓLIO'!$C$4:$C$433,0)),"")</f>
        <v/>
      </c>
      <c r="I270" s="256"/>
      <c r="J270" s="218">
        <f t="shared" si="29"/>
        <v>0</v>
      </c>
      <c r="K270" s="292" t="str">
        <f t="array" ref="K270">IFERROR(I270*INDEX('PORTIFÓLIO'!$S$4:$S$433,MATCH($C270,'PORTIFÓLIO'!$C$4:$C$433,0)),"")</f>
        <v/>
      </c>
      <c r="L270" s="292" t="str">
        <f t="array" ref="L270">IFERROR(J270*INDEX('PORTIFÓLIO'!$S$4:$S$433,MATCH($C270,'PORTIFÓLIO'!$C$4:$C$433,0)),"")</f>
        <v/>
      </c>
      <c r="M270" s="220"/>
      <c r="N270" s="220"/>
      <c r="O270" s="220"/>
      <c r="P270" s="220"/>
      <c r="Q270" s="220"/>
      <c r="R270" s="220"/>
      <c r="S270" s="220"/>
      <c r="T270" s="220"/>
      <c r="U270" s="220"/>
      <c r="V270" s="220"/>
      <c r="W270" s="220"/>
    </row>
    <row r="271" ht="15.75" customHeight="1">
      <c r="A271" s="229" t="s">
        <v>1185</v>
      </c>
      <c r="B271" s="230"/>
      <c r="C271" s="231"/>
      <c r="D271" s="232"/>
      <c r="E271" s="231"/>
      <c r="F271" s="231"/>
      <c r="G271" s="233"/>
      <c r="H271" s="233"/>
      <c r="I271" s="258"/>
      <c r="J271" s="236"/>
      <c r="K271" s="237">
        <f t="shared" ref="K271:L271" si="30">SUBTOTAL(9,K272:K285)</f>
        <v>0</v>
      </c>
      <c r="L271" s="237">
        <f t="shared" si="30"/>
        <v>0</v>
      </c>
      <c r="M271" s="220"/>
      <c r="N271" s="220"/>
      <c r="O271" s="220"/>
      <c r="P271" s="220"/>
      <c r="Q271" s="220"/>
      <c r="R271" s="220"/>
      <c r="S271" s="220"/>
      <c r="T271" s="220"/>
      <c r="U271" s="220"/>
      <c r="V271" s="220"/>
      <c r="W271" s="220"/>
    </row>
    <row r="272" ht="15.75" customHeight="1" outlineLevel="1">
      <c r="A272" s="213"/>
      <c r="B272" s="212"/>
      <c r="C272" s="213"/>
      <c r="D272" s="214" t="str">
        <f>IFERROR(VLOOKUP($C272,'PORTIFÓLIO'!C:V,2,0),"")</f>
        <v/>
      </c>
      <c r="E272" s="211" t="str">
        <f>IFERROR(VLOOKUP($C272,'PORTIFÓLIO'!C:V,3,0),"")</f>
        <v/>
      </c>
      <c r="F272" s="211" t="str">
        <f>IFERROR(VLOOKUP($C272,'PORTIFÓLIO'!C:V,4,0),"")</f>
        <v/>
      </c>
      <c r="G272" s="215" t="str">
        <f>IFERROR(VLOOKUP($C272,'PORTIFÓLIO'!C:V,5,0),"")</f>
        <v/>
      </c>
      <c r="H272" s="254" t="str">
        <f t="array" ref="H272">IFERROR(INDEX('PORTIFÓLIO'!$H$4:$H$433,MATCH($C272,'PORTIFÓLIO'!$C$4:$C$433,0)),"")</f>
        <v/>
      </c>
      <c r="I272" s="255"/>
      <c r="J272" s="218">
        <f t="shared" ref="J272:J289" si="31">I272*$B$2</f>
        <v>0</v>
      </c>
      <c r="K272" s="292" t="str">
        <f t="array" ref="K272">IFERROR(I272*INDEX('PORTIFÓLIO'!$S$4:$S$433,MATCH($C272,'PORTIFÓLIO'!$C$4:$C$433,0)),"")</f>
        <v/>
      </c>
      <c r="L272" s="292" t="str">
        <f t="array" ref="L272">IFERROR(J272*INDEX('PORTIFÓLIO'!$S$4:$S$433,MATCH($C272,'PORTIFÓLIO'!$C$4:$C$433,0)),"")</f>
        <v/>
      </c>
      <c r="M272" s="220"/>
      <c r="N272" s="220"/>
      <c r="O272" s="220"/>
      <c r="P272" s="220"/>
      <c r="Q272" s="220"/>
      <c r="R272" s="220"/>
      <c r="S272" s="220"/>
      <c r="T272" s="220"/>
      <c r="U272" s="220"/>
      <c r="V272" s="220"/>
      <c r="W272" s="220"/>
    </row>
    <row r="273" ht="15.75" customHeight="1" outlineLevel="1">
      <c r="A273" s="211"/>
      <c r="B273" s="212"/>
      <c r="C273" s="213"/>
      <c r="D273" s="214" t="str">
        <f>IFERROR(VLOOKUP($C273,'PORTIFÓLIO'!C:V,2,0),"")</f>
        <v/>
      </c>
      <c r="E273" s="211" t="str">
        <f>IFERROR(VLOOKUP($C273,'PORTIFÓLIO'!C:V,3,0),"")</f>
        <v/>
      </c>
      <c r="F273" s="211" t="str">
        <f>IFERROR(VLOOKUP($C273,'PORTIFÓLIO'!C:V,4,0),"")</f>
        <v/>
      </c>
      <c r="G273" s="215" t="str">
        <f>IFERROR(VLOOKUP($C273,'PORTIFÓLIO'!C:V,5,0),"")</f>
        <v/>
      </c>
      <c r="H273" s="254" t="str">
        <f t="array" ref="H273">IFERROR(INDEX('PORTIFÓLIO'!$H$4:$H$433,MATCH($C273,'PORTIFÓLIO'!$C$4:$C$433,0)),"")</f>
        <v/>
      </c>
      <c r="I273" s="256"/>
      <c r="J273" s="218">
        <f t="shared" si="31"/>
        <v>0</v>
      </c>
      <c r="K273" s="292" t="str">
        <f t="array" ref="K273">IFERROR(I273*INDEX('PORTIFÓLIO'!$S$4:$S$433,MATCH($C273,'PORTIFÓLIO'!$C$4:$C$433,0)),"")</f>
        <v/>
      </c>
      <c r="L273" s="292" t="str">
        <f t="array" ref="L273">IFERROR(J273*INDEX('PORTIFÓLIO'!$S$4:$S$433,MATCH($C273,'PORTIFÓLIO'!$C$4:$C$433,0)),"")</f>
        <v/>
      </c>
      <c r="M273" s="220"/>
      <c r="N273" s="220"/>
      <c r="O273" s="220"/>
      <c r="P273" s="220"/>
      <c r="Q273" s="220"/>
      <c r="R273" s="220"/>
      <c r="S273" s="220"/>
      <c r="T273" s="220"/>
      <c r="U273" s="220"/>
      <c r="V273" s="220"/>
      <c r="W273" s="220"/>
    </row>
    <row r="274" ht="15.75" customHeight="1" outlineLevel="1">
      <c r="A274" s="211"/>
      <c r="B274" s="212"/>
      <c r="C274" s="213"/>
      <c r="D274" s="214" t="str">
        <f>IFERROR(VLOOKUP($C274,'PORTIFÓLIO'!C:V,2,0),"")</f>
        <v/>
      </c>
      <c r="E274" s="211" t="str">
        <f>IFERROR(VLOOKUP($C274,'PORTIFÓLIO'!C:V,3,0),"")</f>
        <v/>
      </c>
      <c r="F274" s="211" t="str">
        <f>IFERROR(VLOOKUP($C274,'PORTIFÓLIO'!C:V,4,0),"")</f>
        <v/>
      </c>
      <c r="G274" s="215" t="str">
        <f>IFERROR(VLOOKUP($C274,'PORTIFÓLIO'!C:V,5,0),"")</f>
        <v/>
      </c>
      <c r="H274" s="254" t="str">
        <f t="array" ref="H274">IFERROR(INDEX('PORTIFÓLIO'!$H$4:$H$433,MATCH($C274,'PORTIFÓLIO'!$C$4:$C$433,0)),"")</f>
        <v/>
      </c>
      <c r="I274" s="256"/>
      <c r="J274" s="218">
        <f t="shared" si="31"/>
        <v>0</v>
      </c>
      <c r="K274" s="292" t="str">
        <f t="array" ref="K274">IFERROR(I274*INDEX('PORTIFÓLIO'!$S$4:$S$433,MATCH($C274,'PORTIFÓLIO'!$C$4:$C$433,0)),"")</f>
        <v/>
      </c>
      <c r="L274" s="292" t="str">
        <f t="array" ref="L274">IFERROR(J274*INDEX('PORTIFÓLIO'!$S$4:$S$433,MATCH($C274,'PORTIFÓLIO'!$C$4:$C$433,0)),"")</f>
        <v/>
      </c>
      <c r="M274" s="220"/>
      <c r="N274" s="220"/>
      <c r="O274" s="220"/>
      <c r="P274" s="220"/>
      <c r="Q274" s="220"/>
      <c r="R274" s="220"/>
      <c r="S274" s="220"/>
      <c r="T274" s="220"/>
      <c r="U274" s="220"/>
      <c r="V274" s="220"/>
      <c r="W274" s="220"/>
    </row>
    <row r="275" ht="15.75" customHeight="1" outlineLevel="1">
      <c r="A275" s="211"/>
      <c r="B275" s="212"/>
      <c r="C275" s="213"/>
      <c r="D275" s="214" t="str">
        <f>IFERROR(VLOOKUP($C275,'PORTIFÓLIO'!C:V,2,0),"")</f>
        <v/>
      </c>
      <c r="E275" s="211" t="str">
        <f>IFERROR(VLOOKUP($C275,'PORTIFÓLIO'!C:V,3,0),"")</f>
        <v/>
      </c>
      <c r="F275" s="211" t="str">
        <f>IFERROR(VLOOKUP($C275,'PORTIFÓLIO'!C:V,4,0),"")</f>
        <v/>
      </c>
      <c r="G275" s="215" t="str">
        <f>IFERROR(VLOOKUP($C275,'PORTIFÓLIO'!C:V,5,0),"")</f>
        <v/>
      </c>
      <c r="H275" s="254" t="str">
        <f t="array" ref="H275">IFERROR(INDEX('PORTIFÓLIO'!$H$4:$H$433,MATCH($C275,'PORTIFÓLIO'!$C$4:$C$433,0)),"")</f>
        <v/>
      </c>
      <c r="I275" s="256"/>
      <c r="J275" s="218">
        <f t="shared" si="31"/>
        <v>0</v>
      </c>
      <c r="K275" s="292" t="str">
        <f t="array" ref="K275">IFERROR(I275*INDEX('PORTIFÓLIO'!$S$4:$S$433,MATCH($C275,'PORTIFÓLIO'!$C$4:$C$433,0)),"")</f>
        <v/>
      </c>
      <c r="L275" s="292" t="str">
        <f t="array" ref="L275">IFERROR(J275*INDEX('PORTIFÓLIO'!$S$4:$S$433,MATCH($C275,'PORTIFÓLIO'!$C$4:$C$433,0)),"")</f>
        <v/>
      </c>
      <c r="M275" s="220"/>
      <c r="N275" s="220"/>
      <c r="O275" s="220"/>
      <c r="P275" s="220"/>
      <c r="Q275" s="220"/>
      <c r="R275" s="220"/>
      <c r="S275" s="220"/>
      <c r="T275" s="220"/>
      <c r="U275" s="220"/>
      <c r="V275" s="220"/>
      <c r="W275" s="220"/>
    </row>
    <row r="276" ht="15.75" customHeight="1" outlineLevel="1">
      <c r="A276" s="211"/>
      <c r="B276" s="212"/>
      <c r="C276" s="213"/>
      <c r="D276" s="214" t="str">
        <f>IFERROR(VLOOKUP($C276,'PORTIFÓLIO'!C:V,2,0),"")</f>
        <v/>
      </c>
      <c r="E276" s="211" t="str">
        <f>IFERROR(VLOOKUP($C276,'PORTIFÓLIO'!C:V,3,0),"")</f>
        <v/>
      </c>
      <c r="F276" s="211" t="str">
        <f>IFERROR(VLOOKUP($C276,'PORTIFÓLIO'!C:V,4,0),"")</f>
        <v/>
      </c>
      <c r="G276" s="215" t="str">
        <f>IFERROR(VLOOKUP($C276,'PORTIFÓLIO'!C:V,5,0),"")</f>
        <v/>
      </c>
      <c r="H276" s="254" t="str">
        <f t="array" ref="H276">IFERROR(INDEX('PORTIFÓLIO'!$H$4:$H$433,MATCH($C276,'PORTIFÓLIO'!$C$4:$C$433,0)),"")</f>
        <v/>
      </c>
      <c r="I276" s="256"/>
      <c r="J276" s="218">
        <f t="shared" si="31"/>
        <v>0</v>
      </c>
      <c r="K276" s="292" t="str">
        <f t="array" ref="K276">IFERROR(I276*INDEX('PORTIFÓLIO'!$S$4:$S$433,MATCH($C276,'PORTIFÓLIO'!$C$4:$C$433,0)),"")</f>
        <v/>
      </c>
      <c r="L276" s="292" t="str">
        <f t="array" ref="L276">IFERROR(J276*INDEX('PORTIFÓLIO'!$S$4:$S$433,MATCH($C276,'PORTIFÓLIO'!$C$4:$C$433,0)),"")</f>
        <v/>
      </c>
      <c r="M276" s="220"/>
      <c r="N276" s="220"/>
      <c r="O276" s="220"/>
      <c r="P276" s="220"/>
      <c r="Q276" s="220"/>
      <c r="R276" s="220"/>
      <c r="S276" s="220"/>
      <c r="T276" s="220"/>
      <c r="U276" s="220"/>
      <c r="V276" s="220"/>
      <c r="W276" s="220"/>
    </row>
    <row r="277" ht="15.75" customHeight="1" outlineLevel="1">
      <c r="A277" s="211"/>
      <c r="B277" s="212"/>
      <c r="C277" s="213"/>
      <c r="D277" s="214" t="str">
        <f>IFERROR(VLOOKUP($C277,'PORTIFÓLIO'!C:V,2,0),"")</f>
        <v/>
      </c>
      <c r="E277" s="211" t="str">
        <f>IFERROR(VLOOKUP($C277,'PORTIFÓLIO'!C:V,3,0),"")</f>
        <v/>
      </c>
      <c r="F277" s="211" t="str">
        <f>IFERROR(VLOOKUP($C277,'PORTIFÓLIO'!C:V,4,0),"")</f>
        <v/>
      </c>
      <c r="G277" s="215" t="str">
        <f>IFERROR(VLOOKUP($C277,'PORTIFÓLIO'!C:V,5,0),"")</f>
        <v/>
      </c>
      <c r="H277" s="254" t="str">
        <f t="array" ref="H277">IFERROR(INDEX('PORTIFÓLIO'!$H$4:$H$433,MATCH($C277,'PORTIFÓLIO'!$C$4:$C$433,0)),"")</f>
        <v/>
      </c>
      <c r="I277" s="256"/>
      <c r="J277" s="218">
        <f t="shared" si="31"/>
        <v>0</v>
      </c>
      <c r="K277" s="292" t="str">
        <f t="array" ref="K277">IFERROR(I277*INDEX('PORTIFÓLIO'!$S$4:$S$433,MATCH($C277,'PORTIFÓLIO'!$C$4:$C$433,0)),"")</f>
        <v/>
      </c>
      <c r="L277" s="292" t="str">
        <f t="array" ref="L277">IFERROR(J277*INDEX('PORTIFÓLIO'!$S$4:$S$433,MATCH($C277,'PORTIFÓLIO'!$C$4:$C$433,0)),"")</f>
        <v/>
      </c>
      <c r="M277" s="220"/>
      <c r="N277" s="220"/>
      <c r="O277" s="220"/>
      <c r="P277" s="220"/>
      <c r="Q277" s="220"/>
      <c r="R277" s="220"/>
      <c r="S277" s="220"/>
      <c r="T277" s="220"/>
      <c r="U277" s="220"/>
      <c r="V277" s="220"/>
      <c r="W277" s="220"/>
    </row>
    <row r="278" ht="15.75" customHeight="1" outlineLevel="1">
      <c r="A278" s="211"/>
      <c r="B278" s="212"/>
      <c r="C278" s="213"/>
      <c r="D278" s="214" t="str">
        <f>IFERROR(VLOOKUP($C278,'PORTIFÓLIO'!C:V,2,0),"")</f>
        <v/>
      </c>
      <c r="E278" s="211" t="str">
        <f>IFERROR(VLOOKUP($C278,'PORTIFÓLIO'!C:V,3,0),"")</f>
        <v/>
      </c>
      <c r="F278" s="211" t="str">
        <f>IFERROR(VLOOKUP($C278,'PORTIFÓLIO'!C:V,4,0),"")</f>
        <v/>
      </c>
      <c r="G278" s="215" t="str">
        <f>IFERROR(VLOOKUP($C278,'PORTIFÓLIO'!C:V,5,0),"")</f>
        <v/>
      </c>
      <c r="H278" s="254" t="str">
        <f t="array" ref="H278">IFERROR(INDEX('PORTIFÓLIO'!$H$4:$H$433,MATCH($C278,'PORTIFÓLIO'!$C$4:$C$433,0)),"")</f>
        <v/>
      </c>
      <c r="I278" s="256"/>
      <c r="J278" s="218">
        <f t="shared" si="31"/>
        <v>0</v>
      </c>
      <c r="K278" s="292" t="str">
        <f t="array" ref="K278">IFERROR(I278*INDEX('PORTIFÓLIO'!$S$4:$S$433,MATCH($C278,'PORTIFÓLIO'!$C$4:$C$433,0)),"")</f>
        <v/>
      </c>
      <c r="L278" s="292" t="str">
        <f t="array" ref="L278">IFERROR(J278*INDEX('PORTIFÓLIO'!$S$4:$S$433,MATCH($C278,'PORTIFÓLIO'!$C$4:$C$433,0)),"")</f>
        <v/>
      </c>
      <c r="M278" s="220"/>
      <c r="N278" s="220"/>
      <c r="O278" s="220"/>
      <c r="P278" s="220"/>
      <c r="Q278" s="220"/>
      <c r="R278" s="220"/>
      <c r="S278" s="220"/>
      <c r="T278" s="220"/>
      <c r="U278" s="220"/>
      <c r="V278" s="220"/>
      <c r="W278" s="220"/>
    </row>
    <row r="279" ht="15.75" customHeight="1" outlineLevel="1">
      <c r="A279" s="211"/>
      <c r="B279" s="212"/>
      <c r="C279" s="213"/>
      <c r="D279" s="214" t="str">
        <f>IFERROR(VLOOKUP($C279,'PORTIFÓLIO'!C:V,2,0),"")</f>
        <v/>
      </c>
      <c r="E279" s="211" t="str">
        <f>IFERROR(VLOOKUP($C279,'PORTIFÓLIO'!C:V,3,0),"")</f>
        <v/>
      </c>
      <c r="F279" s="211" t="str">
        <f>IFERROR(VLOOKUP($C279,'PORTIFÓLIO'!C:V,4,0),"")</f>
        <v/>
      </c>
      <c r="G279" s="215" t="str">
        <f>IFERROR(VLOOKUP($C279,'PORTIFÓLIO'!C:V,5,0),"")</f>
        <v/>
      </c>
      <c r="H279" s="254" t="str">
        <f t="array" ref="H279">IFERROR(INDEX('PORTIFÓLIO'!$H$4:$H$433,MATCH($C279,'PORTIFÓLIO'!$C$4:$C$433,0)),"")</f>
        <v/>
      </c>
      <c r="I279" s="256"/>
      <c r="J279" s="218">
        <f t="shared" si="31"/>
        <v>0</v>
      </c>
      <c r="K279" s="292" t="str">
        <f t="array" ref="K279">IFERROR(I279*INDEX('PORTIFÓLIO'!$S$4:$S$433,MATCH($C279,'PORTIFÓLIO'!$C$4:$C$433,0)),"")</f>
        <v/>
      </c>
      <c r="L279" s="292" t="str">
        <f t="array" ref="L279">IFERROR(J279*INDEX('PORTIFÓLIO'!$S$4:$S$433,MATCH($C279,'PORTIFÓLIO'!$C$4:$C$433,0)),"")</f>
        <v/>
      </c>
      <c r="M279" s="220"/>
      <c r="N279" s="220"/>
      <c r="O279" s="220"/>
      <c r="P279" s="220"/>
      <c r="Q279" s="220"/>
      <c r="R279" s="220"/>
      <c r="S279" s="220"/>
      <c r="T279" s="220"/>
      <c r="U279" s="220"/>
      <c r="V279" s="220"/>
      <c r="W279" s="220"/>
    </row>
    <row r="280" ht="15.75" customHeight="1" outlineLevel="1">
      <c r="A280" s="211"/>
      <c r="B280" s="212"/>
      <c r="C280" s="213"/>
      <c r="D280" s="214" t="str">
        <f>IFERROR(VLOOKUP($C280,'PORTIFÓLIO'!C:V,2,0),"")</f>
        <v/>
      </c>
      <c r="E280" s="211" t="str">
        <f>IFERROR(VLOOKUP($C280,'PORTIFÓLIO'!C:V,3,0),"")</f>
        <v/>
      </c>
      <c r="F280" s="211" t="str">
        <f>IFERROR(VLOOKUP($C280,'PORTIFÓLIO'!C:V,4,0),"")</f>
        <v/>
      </c>
      <c r="G280" s="215" t="str">
        <f>IFERROR(VLOOKUP($C280,'PORTIFÓLIO'!C:V,5,0),"")</f>
        <v/>
      </c>
      <c r="H280" s="254" t="str">
        <f t="array" ref="H280">IFERROR(INDEX('PORTIFÓLIO'!$H$4:$H$433,MATCH($C280,'PORTIFÓLIO'!$C$4:$C$433,0)),"")</f>
        <v/>
      </c>
      <c r="I280" s="255"/>
      <c r="J280" s="218">
        <f t="shared" si="31"/>
        <v>0</v>
      </c>
      <c r="K280" s="292" t="str">
        <f t="array" ref="K280">IFERROR(I280*INDEX('PORTIFÓLIO'!$S$4:$S$433,MATCH($C280,'PORTIFÓLIO'!$C$4:$C$433,0)),"")</f>
        <v/>
      </c>
      <c r="L280" s="292" t="str">
        <f t="array" ref="L280">IFERROR(J280*INDEX('PORTIFÓLIO'!$S$4:$S$433,MATCH($C280,'PORTIFÓLIO'!$C$4:$C$433,0)),"")</f>
        <v/>
      </c>
      <c r="M280" s="220"/>
      <c r="N280" s="220"/>
      <c r="O280" s="220"/>
      <c r="P280" s="220"/>
      <c r="Q280" s="220"/>
      <c r="R280" s="220"/>
      <c r="S280" s="220"/>
      <c r="T280" s="220"/>
      <c r="U280" s="220"/>
      <c r="V280" s="220"/>
      <c r="W280" s="220"/>
    </row>
    <row r="281" ht="15.75" customHeight="1" outlineLevel="1">
      <c r="A281" s="211"/>
      <c r="B281" s="212"/>
      <c r="C281" s="213"/>
      <c r="D281" s="214" t="str">
        <f>IFERROR(VLOOKUP($C281,'PORTIFÓLIO'!C:V,2,0),"")</f>
        <v/>
      </c>
      <c r="E281" s="211" t="str">
        <f>IFERROR(VLOOKUP($C281,'PORTIFÓLIO'!C:V,3,0),"")</f>
        <v/>
      </c>
      <c r="F281" s="211" t="str">
        <f>IFERROR(VLOOKUP($C281,'PORTIFÓLIO'!C:V,4,0),"")</f>
        <v/>
      </c>
      <c r="G281" s="215" t="str">
        <f>IFERROR(VLOOKUP($C281,'PORTIFÓLIO'!C:V,5,0),"")</f>
        <v/>
      </c>
      <c r="H281" s="254" t="str">
        <f t="array" ref="H281">IFERROR(INDEX('PORTIFÓLIO'!$H$4:$H$433,MATCH($C281,'PORTIFÓLIO'!$C$4:$C$433,0)),"")</f>
        <v/>
      </c>
      <c r="I281" s="256"/>
      <c r="J281" s="218">
        <f t="shared" si="31"/>
        <v>0</v>
      </c>
      <c r="K281" s="292" t="str">
        <f t="array" ref="K281">IFERROR(I281*INDEX('PORTIFÓLIO'!$S$4:$S$433,MATCH($C281,'PORTIFÓLIO'!$C$4:$C$433,0)),"")</f>
        <v/>
      </c>
      <c r="L281" s="292" t="str">
        <f t="array" ref="L281">IFERROR(J281*INDEX('PORTIFÓLIO'!$S$4:$S$433,MATCH($C281,'PORTIFÓLIO'!$C$4:$C$433,0)),"")</f>
        <v/>
      </c>
      <c r="M281" s="220"/>
      <c r="N281" s="220"/>
      <c r="O281" s="220"/>
      <c r="P281" s="220"/>
      <c r="Q281" s="220"/>
      <c r="R281" s="220"/>
      <c r="S281" s="220"/>
      <c r="T281" s="220"/>
      <c r="U281" s="220"/>
      <c r="V281" s="220"/>
      <c r="W281" s="220"/>
    </row>
    <row r="282" ht="15.75" customHeight="1" outlineLevel="1">
      <c r="A282" s="211"/>
      <c r="B282" s="212"/>
      <c r="C282" s="213"/>
      <c r="D282" s="214" t="str">
        <f>IFERROR(VLOOKUP($C282,'PORTIFÓLIO'!C:V,2,0),"")</f>
        <v/>
      </c>
      <c r="E282" s="211" t="str">
        <f>IFERROR(VLOOKUP($C282,'PORTIFÓLIO'!C:V,3,0),"")</f>
        <v/>
      </c>
      <c r="F282" s="211" t="str">
        <f>IFERROR(VLOOKUP($C282,'PORTIFÓLIO'!C:V,4,0),"")</f>
        <v/>
      </c>
      <c r="G282" s="215" t="str">
        <f>IFERROR(VLOOKUP($C282,'PORTIFÓLIO'!C:V,5,0),"")</f>
        <v/>
      </c>
      <c r="H282" s="254" t="str">
        <f t="array" ref="H282">IFERROR(INDEX('PORTIFÓLIO'!$H$4:$H$433,MATCH($C282,'PORTIFÓLIO'!$C$4:$C$433,0)),"")</f>
        <v/>
      </c>
      <c r="I282" s="256"/>
      <c r="J282" s="218">
        <f t="shared" si="31"/>
        <v>0</v>
      </c>
      <c r="K282" s="292" t="str">
        <f t="array" ref="K282">IFERROR(I282*INDEX('PORTIFÓLIO'!$S$4:$S$433,MATCH($C282,'PORTIFÓLIO'!$C$4:$C$433,0)),"")</f>
        <v/>
      </c>
      <c r="L282" s="292" t="str">
        <f t="array" ref="L282">IFERROR(J282*INDEX('PORTIFÓLIO'!$S$4:$S$433,MATCH($C282,'PORTIFÓLIO'!$C$4:$C$433,0)),"")</f>
        <v/>
      </c>
      <c r="M282" s="220"/>
      <c r="N282" s="220"/>
      <c r="O282" s="220"/>
      <c r="P282" s="220"/>
      <c r="Q282" s="220"/>
      <c r="R282" s="220"/>
      <c r="S282" s="220"/>
      <c r="T282" s="220"/>
      <c r="U282" s="220"/>
      <c r="V282" s="220"/>
      <c r="W282" s="220"/>
    </row>
    <row r="283" ht="15.75" customHeight="1" outlineLevel="1">
      <c r="A283" s="211"/>
      <c r="B283" s="212"/>
      <c r="C283" s="213"/>
      <c r="D283" s="214" t="str">
        <f>IFERROR(VLOOKUP($C283,'PORTIFÓLIO'!C:V,2,0),"")</f>
        <v/>
      </c>
      <c r="E283" s="211" t="str">
        <f>IFERROR(VLOOKUP($C283,'PORTIFÓLIO'!C:V,3,0),"")</f>
        <v/>
      </c>
      <c r="F283" s="211" t="str">
        <f>IFERROR(VLOOKUP($C283,'PORTIFÓLIO'!C:V,4,0),"")</f>
        <v/>
      </c>
      <c r="G283" s="215" t="str">
        <f>IFERROR(VLOOKUP($C283,'PORTIFÓLIO'!C:V,5,0),"")</f>
        <v/>
      </c>
      <c r="H283" s="254" t="str">
        <f t="array" ref="H283">IFERROR(INDEX('PORTIFÓLIO'!$H$4:$H$433,MATCH($C283,'PORTIFÓLIO'!$C$4:$C$433,0)),"")</f>
        <v/>
      </c>
      <c r="I283" s="256"/>
      <c r="J283" s="218">
        <f t="shared" si="31"/>
        <v>0</v>
      </c>
      <c r="K283" s="292" t="str">
        <f t="array" ref="K283">IFERROR(I283*INDEX('PORTIFÓLIO'!$S$4:$S$433,MATCH($C283,'PORTIFÓLIO'!$C$4:$C$433,0)),"")</f>
        <v/>
      </c>
      <c r="L283" s="292" t="str">
        <f t="array" ref="L283">IFERROR(J283*INDEX('PORTIFÓLIO'!$S$4:$S$433,MATCH($C283,'PORTIFÓLIO'!$C$4:$C$433,0)),"")</f>
        <v/>
      </c>
      <c r="M283" s="220"/>
      <c r="N283" s="220"/>
      <c r="O283" s="220"/>
      <c r="P283" s="220"/>
      <c r="Q283" s="220"/>
      <c r="R283" s="220"/>
      <c r="S283" s="220"/>
      <c r="T283" s="220"/>
      <c r="U283" s="220"/>
      <c r="V283" s="220"/>
      <c r="W283" s="220"/>
    </row>
    <row r="284" ht="15.75" customHeight="1" outlineLevel="1">
      <c r="A284" s="211"/>
      <c r="B284" s="212"/>
      <c r="C284" s="213"/>
      <c r="D284" s="214" t="str">
        <f>IFERROR(VLOOKUP($C284,'PORTIFÓLIO'!C:V,2,0),"")</f>
        <v/>
      </c>
      <c r="E284" s="211" t="str">
        <f>IFERROR(VLOOKUP($C284,'PORTIFÓLIO'!C:V,3,0),"")</f>
        <v/>
      </c>
      <c r="F284" s="211" t="str">
        <f>IFERROR(VLOOKUP($C284,'PORTIFÓLIO'!C:V,4,0),"")</f>
        <v/>
      </c>
      <c r="G284" s="215" t="str">
        <f>IFERROR(VLOOKUP($C284,'PORTIFÓLIO'!C:V,5,0),"")</f>
        <v/>
      </c>
      <c r="H284" s="254" t="str">
        <f t="array" ref="H284">IFERROR(INDEX('PORTIFÓLIO'!$H$4:$H$433,MATCH($C284,'PORTIFÓLIO'!$C$4:$C$433,0)),"")</f>
        <v/>
      </c>
      <c r="I284" s="256"/>
      <c r="J284" s="218">
        <f t="shared" si="31"/>
        <v>0</v>
      </c>
      <c r="K284" s="292" t="str">
        <f t="array" ref="K284">IFERROR(I284*INDEX('PORTIFÓLIO'!$S$4:$S$433,MATCH($C284,'PORTIFÓLIO'!$C$4:$C$433,0)),"")</f>
        <v/>
      </c>
      <c r="L284" s="292" t="str">
        <f t="array" ref="L284">IFERROR(J284*INDEX('PORTIFÓLIO'!$S$4:$S$433,MATCH($C284,'PORTIFÓLIO'!$C$4:$C$433,0)),"")</f>
        <v/>
      </c>
      <c r="M284" s="220"/>
      <c r="N284" s="220"/>
      <c r="O284" s="220"/>
      <c r="P284" s="220"/>
      <c r="Q284" s="220"/>
      <c r="R284" s="220"/>
      <c r="S284" s="220"/>
      <c r="T284" s="220"/>
      <c r="U284" s="220"/>
      <c r="V284" s="220"/>
      <c r="W284" s="220"/>
    </row>
    <row r="285" ht="15.75" customHeight="1" outlineLevel="1">
      <c r="A285" s="211"/>
      <c r="B285" s="212"/>
      <c r="C285" s="213"/>
      <c r="D285" s="214" t="str">
        <f>IFERROR(VLOOKUP($C285,'PORTIFÓLIO'!C:V,2,0),"")</f>
        <v/>
      </c>
      <c r="E285" s="211" t="str">
        <f>IFERROR(VLOOKUP($C285,'PORTIFÓLIO'!C:V,3,0),"")</f>
        <v/>
      </c>
      <c r="F285" s="211" t="str">
        <f>IFERROR(VLOOKUP($C285,'PORTIFÓLIO'!C:V,4,0),"")</f>
        <v/>
      </c>
      <c r="G285" s="215" t="str">
        <f>IFERROR(VLOOKUP($C285,'PORTIFÓLIO'!C:V,5,0),"")</f>
        <v/>
      </c>
      <c r="H285" s="254" t="str">
        <f t="array" ref="H285">IFERROR(INDEX('PORTIFÓLIO'!$H$4:$H$433,MATCH($C285,'PORTIFÓLIO'!$C$4:$C$433,0)),"")</f>
        <v/>
      </c>
      <c r="I285" s="256"/>
      <c r="J285" s="218">
        <f t="shared" si="31"/>
        <v>0</v>
      </c>
      <c r="K285" s="292" t="str">
        <f t="array" ref="K285">IFERROR(I285*INDEX('PORTIFÓLIO'!$S$4:$S$433,MATCH($C285,'PORTIFÓLIO'!$C$4:$C$433,0)),"")</f>
        <v/>
      </c>
      <c r="L285" s="292" t="str">
        <f t="array" ref="L285">IFERROR(J285*INDEX('PORTIFÓLIO'!$S$4:$S$433,MATCH($C285,'PORTIFÓLIO'!$C$4:$C$433,0)),"")</f>
        <v/>
      </c>
      <c r="M285" s="220"/>
      <c r="N285" s="220"/>
      <c r="O285" s="220"/>
      <c r="P285" s="220"/>
      <c r="Q285" s="220"/>
      <c r="R285" s="220"/>
      <c r="S285" s="220"/>
      <c r="T285" s="220"/>
      <c r="U285" s="220"/>
      <c r="V285" s="220"/>
      <c r="W285" s="220"/>
    </row>
    <row r="286" ht="15.75" customHeight="1" outlineLevel="1">
      <c r="A286" s="211"/>
      <c r="B286" s="212"/>
      <c r="C286" s="213"/>
      <c r="D286" s="214" t="str">
        <f>IFERROR(VLOOKUP($C286,'PORTIFÓLIO'!C:V,2,0),"")</f>
        <v/>
      </c>
      <c r="E286" s="211" t="str">
        <f>IFERROR(VLOOKUP($C286,'PORTIFÓLIO'!C:V,3,0),"")</f>
        <v/>
      </c>
      <c r="F286" s="211" t="str">
        <f>IFERROR(VLOOKUP($C286,'PORTIFÓLIO'!C:V,4,0),"")</f>
        <v/>
      </c>
      <c r="G286" s="215" t="str">
        <f>IFERROR(VLOOKUP($C286,'PORTIFÓLIO'!C:V,5,0),"")</f>
        <v/>
      </c>
      <c r="H286" s="254" t="str">
        <f t="array" ref="H286">IFERROR(INDEX('PORTIFÓLIO'!$H$4:$H$433,MATCH($C286,'PORTIFÓLIO'!$C$4:$C$433,0)),"")</f>
        <v/>
      </c>
      <c r="I286" s="256"/>
      <c r="J286" s="218">
        <f t="shared" si="31"/>
        <v>0</v>
      </c>
      <c r="K286" s="292" t="str">
        <f t="array" ref="K286">IFERROR(I286*INDEX('PORTIFÓLIO'!$S$4:$S$433,MATCH($C286,'PORTIFÓLIO'!$C$4:$C$433,0)),"")</f>
        <v/>
      </c>
      <c r="L286" s="292" t="str">
        <f t="array" ref="L286">IFERROR(J286*INDEX('PORTIFÓLIO'!$S$4:$S$433,MATCH($C286,'PORTIFÓLIO'!$C$4:$C$433,0)),"")</f>
        <v/>
      </c>
      <c r="M286" s="220"/>
      <c r="N286" s="220"/>
      <c r="O286" s="220"/>
      <c r="P286" s="220"/>
      <c r="Q286" s="220"/>
      <c r="R286" s="220"/>
      <c r="S286" s="220"/>
      <c r="T286" s="220"/>
      <c r="U286" s="220"/>
      <c r="V286" s="220"/>
      <c r="W286" s="220"/>
    </row>
    <row r="287" ht="15.75" customHeight="1" outlineLevel="1">
      <c r="A287" s="211"/>
      <c r="B287" s="212"/>
      <c r="C287" s="213"/>
      <c r="D287" s="214" t="str">
        <f>IFERROR(VLOOKUP($C287,'PORTIFÓLIO'!C:V,2,0),"")</f>
        <v/>
      </c>
      <c r="E287" s="211" t="str">
        <f>IFERROR(VLOOKUP($C287,'PORTIFÓLIO'!C:V,3,0),"")</f>
        <v/>
      </c>
      <c r="F287" s="211" t="str">
        <f>IFERROR(VLOOKUP($C287,'PORTIFÓLIO'!C:V,4,0),"")</f>
        <v/>
      </c>
      <c r="G287" s="215" t="str">
        <f>IFERROR(VLOOKUP($C287,'PORTIFÓLIO'!C:V,5,0),"")</f>
        <v/>
      </c>
      <c r="H287" s="254" t="str">
        <f t="array" ref="H287">IFERROR(INDEX('PORTIFÓLIO'!$H$4:$H$433,MATCH($C287,'PORTIFÓLIO'!$C$4:$C$433,0)),"")</f>
        <v/>
      </c>
      <c r="I287" s="256"/>
      <c r="J287" s="218">
        <f t="shared" si="31"/>
        <v>0</v>
      </c>
      <c r="K287" s="292" t="str">
        <f t="array" ref="K287">IFERROR(I287*INDEX('PORTIFÓLIO'!$S$4:$S$433,MATCH($C287,'PORTIFÓLIO'!$C$4:$C$433,0)),"")</f>
        <v/>
      </c>
      <c r="L287" s="292" t="str">
        <f t="array" ref="L287">IFERROR(J287*INDEX('PORTIFÓLIO'!$S$4:$S$433,MATCH($C287,'PORTIFÓLIO'!$C$4:$C$433,0)),"")</f>
        <v/>
      </c>
      <c r="M287" s="220"/>
      <c r="N287" s="220"/>
      <c r="O287" s="220"/>
      <c r="P287" s="220"/>
      <c r="Q287" s="220"/>
      <c r="R287" s="220"/>
      <c r="S287" s="220"/>
      <c r="T287" s="220"/>
      <c r="U287" s="220"/>
      <c r="V287" s="220"/>
      <c r="W287" s="220"/>
    </row>
    <row r="288" ht="15.75" customHeight="1" outlineLevel="1">
      <c r="A288" s="211"/>
      <c r="B288" s="212"/>
      <c r="C288" s="213"/>
      <c r="D288" s="214" t="str">
        <f>IFERROR(VLOOKUP($C288,'PORTIFÓLIO'!C:V,2,0),"")</f>
        <v/>
      </c>
      <c r="E288" s="211" t="str">
        <f>IFERROR(VLOOKUP($C288,'PORTIFÓLIO'!C:V,3,0),"")</f>
        <v/>
      </c>
      <c r="F288" s="211" t="str">
        <f>IFERROR(VLOOKUP($C288,'PORTIFÓLIO'!C:V,4,0),"")</f>
        <v/>
      </c>
      <c r="G288" s="215" t="str">
        <f>IFERROR(VLOOKUP($C288,'PORTIFÓLIO'!C:V,5,0),"")</f>
        <v/>
      </c>
      <c r="H288" s="254" t="str">
        <f t="array" ref="H288">IFERROR(INDEX('PORTIFÓLIO'!$H$4:$H$433,MATCH($C288,'PORTIFÓLIO'!$C$4:$C$433,0)),"")</f>
        <v/>
      </c>
      <c r="I288" s="256"/>
      <c r="J288" s="218">
        <f t="shared" si="31"/>
        <v>0</v>
      </c>
      <c r="K288" s="292" t="str">
        <f t="array" ref="K288">IFERROR(I288*INDEX('PORTIFÓLIO'!$S$4:$S$433,MATCH($C288,'PORTIFÓLIO'!$C$4:$C$433,0)),"")</f>
        <v/>
      </c>
      <c r="L288" s="292" t="str">
        <f t="array" ref="L288">IFERROR(J288*INDEX('PORTIFÓLIO'!$S$4:$S$433,MATCH($C288,'PORTIFÓLIO'!$C$4:$C$433,0)),"")</f>
        <v/>
      </c>
      <c r="M288" s="220"/>
      <c r="N288" s="220"/>
      <c r="O288" s="220"/>
      <c r="P288" s="220"/>
      <c r="Q288" s="220"/>
      <c r="R288" s="220"/>
      <c r="S288" s="220"/>
      <c r="T288" s="220"/>
      <c r="U288" s="220"/>
      <c r="V288" s="220"/>
      <c r="W288" s="220"/>
    </row>
    <row r="289" ht="15.75" customHeight="1" outlineLevel="1">
      <c r="A289" s="211"/>
      <c r="B289" s="212"/>
      <c r="C289" s="213"/>
      <c r="D289" s="214" t="str">
        <f>IFERROR(VLOOKUP($C289,'PORTIFÓLIO'!C:V,2,0),"")</f>
        <v/>
      </c>
      <c r="E289" s="211" t="str">
        <f>IFERROR(VLOOKUP($C289,'PORTIFÓLIO'!C:V,3,0),"")</f>
        <v/>
      </c>
      <c r="F289" s="211" t="str">
        <f>IFERROR(VLOOKUP($C289,'PORTIFÓLIO'!C:V,4,0),"")</f>
        <v/>
      </c>
      <c r="G289" s="215" t="str">
        <f>IFERROR(VLOOKUP($C289,'PORTIFÓLIO'!C:V,5,0),"")</f>
        <v/>
      </c>
      <c r="H289" s="254" t="str">
        <f t="array" ref="H289">IFERROR(INDEX('PORTIFÓLIO'!$H$4:$H$433,MATCH($C289,'PORTIFÓLIO'!$C$4:$C$433,0)),"")</f>
        <v/>
      </c>
      <c r="I289" s="256"/>
      <c r="J289" s="218">
        <f t="shared" si="31"/>
        <v>0</v>
      </c>
      <c r="K289" s="292" t="str">
        <f t="array" ref="K289">IFERROR(I289*INDEX('PORTIFÓLIO'!$S$4:$S$433,MATCH($C289,'PORTIFÓLIO'!$C$4:$C$433,0)),"")</f>
        <v/>
      </c>
      <c r="L289" s="292" t="str">
        <f t="array" ref="L289">IFERROR(J289*INDEX('PORTIFÓLIO'!$S$4:$S$433,MATCH($C289,'PORTIFÓLIO'!$C$4:$C$433,0)),"")</f>
        <v/>
      </c>
      <c r="M289" s="220"/>
      <c r="N289" s="220"/>
      <c r="O289" s="220"/>
      <c r="P289" s="220"/>
      <c r="Q289" s="220"/>
      <c r="R289" s="220"/>
      <c r="S289" s="220"/>
      <c r="T289" s="220"/>
      <c r="U289" s="220"/>
      <c r="V289" s="220"/>
      <c r="W289" s="220"/>
    </row>
    <row r="290" ht="15.75" customHeight="1">
      <c r="A290" s="229" t="s">
        <v>1186</v>
      </c>
      <c r="B290" s="230"/>
      <c r="C290" s="231"/>
      <c r="D290" s="232"/>
      <c r="E290" s="231"/>
      <c r="F290" s="231"/>
      <c r="G290" s="233"/>
      <c r="H290" s="233"/>
      <c r="I290" s="258"/>
      <c r="J290" s="236"/>
      <c r="K290" s="237">
        <f t="shared" ref="K290:L290" si="32">SUBTOTAL(9,K291:K304)</f>
        <v>0</v>
      </c>
      <c r="L290" s="237">
        <f t="shared" si="32"/>
        <v>0</v>
      </c>
      <c r="M290" s="220"/>
      <c r="N290" s="220"/>
      <c r="O290" s="220"/>
      <c r="P290" s="220"/>
      <c r="Q290" s="220"/>
      <c r="R290" s="220"/>
      <c r="S290" s="220"/>
      <c r="T290" s="220"/>
      <c r="U290" s="220"/>
      <c r="V290" s="220"/>
      <c r="W290" s="220"/>
    </row>
    <row r="291" ht="15.75" customHeight="1" outlineLevel="1">
      <c r="A291" s="213"/>
      <c r="B291" s="212"/>
      <c r="C291" s="213"/>
      <c r="D291" s="214" t="str">
        <f>IFERROR(VLOOKUP($C291,'PORTIFÓLIO'!C:V,2,0),"")</f>
        <v/>
      </c>
      <c r="E291" s="211" t="str">
        <f>IFERROR(VLOOKUP($C291,'PORTIFÓLIO'!C:V,3,0),"")</f>
        <v/>
      </c>
      <c r="F291" s="211" t="str">
        <f>IFERROR(VLOOKUP($C291,'PORTIFÓLIO'!C:V,4,0),"")</f>
        <v/>
      </c>
      <c r="G291" s="215" t="str">
        <f>IFERROR(VLOOKUP($C291,'PORTIFÓLIO'!C:V,5,0),"")</f>
        <v/>
      </c>
      <c r="H291" s="254" t="str">
        <f t="array" ref="H291">IFERROR(INDEX('PORTIFÓLIO'!$H$4:$H$433,MATCH($C291,'PORTIFÓLIO'!$C$4:$C$433,0)),"")</f>
        <v/>
      </c>
      <c r="I291" s="255"/>
      <c r="J291" s="218">
        <f t="shared" ref="J291:J307" si="33">I291*$B$2</f>
        <v>0</v>
      </c>
      <c r="K291" s="292" t="str">
        <f t="array" ref="K291">IFERROR(I291*INDEX('PORTIFÓLIO'!$S$4:$S$433,MATCH($C291,'PORTIFÓLIO'!$C$4:$C$433,0)),"")</f>
        <v/>
      </c>
      <c r="L291" s="292" t="str">
        <f t="array" ref="L291">IFERROR(J291*INDEX('PORTIFÓLIO'!$S$4:$S$433,MATCH($C291,'PORTIFÓLIO'!$C$4:$C$433,0)),"")</f>
        <v/>
      </c>
      <c r="M291" s="220"/>
      <c r="N291" s="220"/>
      <c r="O291" s="220"/>
      <c r="P291" s="220"/>
      <c r="Q291" s="220"/>
      <c r="R291" s="220"/>
      <c r="S291" s="220"/>
      <c r="T291" s="220"/>
      <c r="U291" s="220"/>
      <c r="V291" s="220"/>
      <c r="W291" s="220"/>
    </row>
    <row r="292" ht="15.75" customHeight="1" outlineLevel="1">
      <c r="A292" s="211"/>
      <c r="B292" s="212"/>
      <c r="C292" s="213"/>
      <c r="D292" s="214" t="str">
        <f>IFERROR(VLOOKUP($C292,'PORTIFÓLIO'!C:V,2,0),"")</f>
        <v/>
      </c>
      <c r="E292" s="211" t="str">
        <f>IFERROR(VLOOKUP($C292,'PORTIFÓLIO'!C:V,3,0),"")</f>
        <v/>
      </c>
      <c r="F292" s="211" t="str">
        <f>IFERROR(VLOOKUP($C292,'PORTIFÓLIO'!C:V,4,0),"")</f>
        <v/>
      </c>
      <c r="G292" s="215" t="str">
        <f>IFERROR(VLOOKUP($C292,'PORTIFÓLIO'!C:V,5,0),"")</f>
        <v/>
      </c>
      <c r="H292" s="254" t="str">
        <f t="array" ref="H292">IFERROR(INDEX('PORTIFÓLIO'!$H$4:$H$433,MATCH($C292,'PORTIFÓLIO'!$C$4:$C$433,0)),"")</f>
        <v/>
      </c>
      <c r="I292" s="256"/>
      <c r="J292" s="218">
        <f t="shared" si="33"/>
        <v>0</v>
      </c>
      <c r="K292" s="292" t="str">
        <f t="array" ref="K292">IFERROR(I292*INDEX('PORTIFÓLIO'!$S$4:$S$433,MATCH($C292,'PORTIFÓLIO'!$C$4:$C$433,0)),"")</f>
        <v/>
      </c>
      <c r="L292" s="292" t="str">
        <f t="array" ref="L292">IFERROR(J292*INDEX('PORTIFÓLIO'!$S$4:$S$433,MATCH($C292,'PORTIFÓLIO'!$C$4:$C$433,0)),"")</f>
        <v/>
      </c>
      <c r="M292" s="220"/>
      <c r="N292" s="220"/>
      <c r="O292" s="220"/>
      <c r="P292" s="220"/>
      <c r="Q292" s="220"/>
      <c r="R292" s="220"/>
      <c r="S292" s="220"/>
      <c r="T292" s="220"/>
      <c r="U292" s="220"/>
      <c r="V292" s="220"/>
      <c r="W292" s="220"/>
    </row>
    <row r="293" ht="15.75" customHeight="1" outlineLevel="1">
      <c r="A293" s="211"/>
      <c r="B293" s="212"/>
      <c r="C293" s="213"/>
      <c r="D293" s="214" t="str">
        <f>IFERROR(VLOOKUP($C293,'PORTIFÓLIO'!C:V,2,0),"")</f>
        <v/>
      </c>
      <c r="E293" s="211" t="str">
        <f>IFERROR(VLOOKUP($C293,'PORTIFÓLIO'!C:V,3,0),"")</f>
        <v/>
      </c>
      <c r="F293" s="211" t="str">
        <f>IFERROR(VLOOKUP($C293,'PORTIFÓLIO'!C:V,4,0),"")</f>
        <v/>
      </c>
      <c r="G293" s="215" t="str">
        <f>IFERROR(VLOOKUP($C293,'PORTIFÓLIO'!C:V,5,0),"")</f>
        <v/>
      </c>
      <c r="H293" s="254" t="str">
        <f t="array" ref="H293">IFERROR(INDEX('PORTIFÓLIO'!$H$4:$H$433,MATCH($C293,'PORTIFÓLIO'!$C$4:$C$433,0)),"")</f>
        <v/>
      </c>
      <c r="I293" s="256"/>
      <c r="J293" s="218">
        <f t="shared" si="33"/>
        <v>0</v>
      </c>
      <c r="K293" s="292" t="str">
        <f t="array" ref="K293">IFERROR(I293*INDEX('PORTIFÓLIO'!$S$4:$S$433,MATCH($C293,'PORTIFÓLIO'!$C$4:$C$433,0)),"")</f>
        <v/>
      </c>
      <c r="L293" s="292" t="str">
        <f t="array" ref="L293">IFERROR(J293*INDEX('PORTIFÓLIO'!$S$4:$S$433,MATCH($C293,'PORTIFÓLIO'!$C$4:$C$433,0)),"")</f>
        <v/>
      </c>
      <c r="M293" s="220"/>
      <c r="N293" s="220"/>
      <c r="O293" s="220"/>
      <c r="P293" s="220"/>
      <c r="Q293" s="220"/>
      <c r="R293" s="220"/>
      <c r="S293" s="220"/>
      <c r="T293" s="220"/>
      <c r="U293" s="220"/>
      <c r="V293" s="220"/>
      <c r="W293" s="220"/>
    </row>
    <row r="294" ht="15.75" customHeight="1" outlineLevel="1">
      <c r="A294" s="211"/>
      <c r="B294" s="212"/>
      <c r="C294" s="213"/>
      <c r="D294" s="214" t="str">
        <f>IFERROR(VLOOKUP($C294,'PORTIFÓLIO'!C:V,2,0),"")</f>
        <v/>
      </c>
      <c r="E294" s="211" t="str">
        <f>IFERROR(VLOOKUP($C294,'PORTIFÓLIO'!C:V,3,0),"")</f>
        <v/>
      </c>
      <c r="F294" s="211" t="str">
        <f>IFERROR(VLOOKUP($C294,'PORTIFÓLIO'!C:V,4,0),"")</f>
        <v/>
      </c>
      <c r="G294" s="215" t="str">
        <f>IFERROR(VLOOKUP($C294,'PORTIFÓLIO'!C:V,5,0),"")</f>
        <v/>
      </c>
      <c r="H294" s="254" t="str">
        <f t="array" ref="H294">IFERROR(INDEX('PORTIFÓLIO'!$H$4:$H$433,MATCH($C294,'PORTIFÓLIO'!$C$4:$C$433,0)),"")</f>
        <v/>
      </c>
      <c r="I294" s="256"/>
      <c r="J294" s="218">
        <f t="shared" si="33"/>
        <v>0</v>
      </c>
      <c r="K294" s="292" t="str">
        <f t="array" ref="K294">IFERROR(I294*INDEX('PORTIFÓLIO'!$S$4:$S$433,MATCH($C294,'PORTIFÓLIO'!$C$4:$C$433,0)),"")</f>
        <v/>
      </c>
      <c r="L294" s="292" t="str">
        <f t="array" ref="L294">IFERROR(J294*INDEX('PORTIFÓLIO'!$S$4:$S$433,MATCH($C294,'PORTIFÓLIO'!$C$4:$C$433,0)),"")</f>
        <v/>
      </c>
      <c r="M294" s="220"/>
      <c r="N294" s="220"/>
      <c r="O294" s="220"/>
      <c r="P294" s="220"/>
      <c r="Q294" s="220"/>
      <c r="R294" s="220"/>
      <c r="S294" s="220"/>
      <c r="T294" s="220"/>
      <c r="U294" s="220"/>
      <c r="V294" s="220"/>
      <c r="W294" s="220"/>
    </row>
    <row r="295" ht="15.75" customHeight="1" outlineLevel="1">
      <c r="A295" s="211"/>
      <c r="B295" s="212"/>
      <c r="C295" s="213"/>
      <c r="D295" s="214" t="str">
        <f>IFERROR(VLOOKUP($C295,'PORTIFÓLIO'!C:V,2,0),"")</f>
        <v/>
      </c>
      <c r="E295" s="211" t="str">
        <f>IFERROR(VLOOKUP($C295,'PORTIFÓLIO'!C:V,3,0),"")</f>
        <v/>
      </c>
      <c r="F295" s="211" t="str">
        <f>IFERROR(VLOOKUP($C295,'PORTIFÓLIO'!C:V,4,0),"")</f>
        <v/>
      </c>
      <c r="G295" s="215" t="str">
        <f>IFERROR(VLOOKUP($C295,'PORTIFÓLIO'!C:V,5,0),"")</f>
        <v/>
      </c>
      <c r="H295" s="254" t="str">
        <f t="array" ref="H295">IFERROR(INDEX('PORTIFÓLIO'!$H$4:$H$433,MATCH($C295,'PORTIFÓLIO'!$C$4:$C$433,0)),"")</f>
        <v/>
      </c>
      <c r="I295" s="256"/>
      <c r="J295" s="218">
        <f t="shared" si="33"/>
        <v>0</v>
      </c>
      <c r="K295" s="292" t="str">
        <f t="array" ref="K295">IFERROR(I295*INDEX('PORTIFÓLIO'!$S$4:$S$433,MATCH($C295,'PORTIFÓLIO'!$C$4:$C$433,0)),"")</f>
        <v/>
      </c>
      <c r="L295" s="292" t="str">
        <f t="array" ref="L295">IFERROR(J295*INDEX('PORTIFÓLIO'!$S$4:$S$433,MATCH($C295,'PORTIFÓLIO'!$C$4:$C$433,0)),"")</f>
        <v/>
      </c>
      <c r="M295" s="220"/>
      <c r="N295" s="220"/>
      <c r="O295" s="220"/>
      <c r="P295" s="220"/>
      <c r="Q295" s="220"/>
      <c r="R295" s="220"/>
      <c r="S295" s="220"/>
      <c r="T295" s="220"/>
      <c r="U295" s="220"/>
      <c r="V295" s="220"/>
      <c r="W295" s="220"/>
    </row>
    <row r="296" ht="15.75" customHeight="1" outlineLevel="1">
      <c r="A296" s="211"/>
      <c r="B296" s="212"/>
      <c r="C296" s="213"/>
      <c r="D296" s="214" t="str">
        <f>IFERROR(VLOOKUP($C296,'PORTIFÓLIO'!C:V,2,0),"")</f>
        <v/>
      </c>
      <c r="E296" s="211" t="str">
        <f>IFERROR(VLOOKUP($C296,'PORTIFÓLIO'!C:V,3,0),"")</f>
        <v/>
      </c>
      <c r="F296" s="211" t="str">
        <f>IFERROR(VLOOKUP($C296,'PORTIFÓLIO'!C:V,4,0),"")</f>
        <v/>
      </c>
      <c r="G296" s="215" t="str">
        <f>IFERROR(VLOOKUP($C296,'PORTIFÓLIO'!C:V,5,0),"")</f>
        <v/>
      </c>
      <c r="H296" s="254" t="str">
        <f t="array" ref="H296">IFERROR(INDEX('PORTIFÓLIO'!$H$4:$H$433,MATCH($C296,'PORTIFÓLIO'!$C$4:$C$433,0)),"")</f>
        <v/>
      </c>
      <c r="I296" s="256"/>
      <c r="J296" s="218">
        <f t="shared" si="33"/>
        <v>0</v>
      </c>
      <c r="K296" s="292" t="str">
        <f t="array" ref="K296">IFERROR(I296*INDEX('PORTIFÓLIO'!$S$4:$S$433,MATCH($C296,'PORTIFÓLIO'!$C$4:$C$433,0)),"")</f>
        <v/>
      </c>
      <c r="L296" s="292" t="str">
        <f t="array" ref="L296">IFERROR(J296*INDEX('PORTIFÓLIO'!$S$4:$S$433,MATCH($C296,'PORTIFÓLIO'!$C$4:$C$433,0)),"")</f>
        <v/>
      </c>
      <c r="M296" s="220"/>
      <c r="N296" s="220"/>
      <c r="O296" s="220"/>
      <c r="P296" s="220"/>
      <c r="Q296" s="220"/>
      <c r="R296" s="220"/>
      <c r="S296" s="220"/>
      <c r="T296" s="220"/>
      <c r="U296" s="220"/>
      <c r="V296" s="220"/>
      <c r="W296" s="220"/>
    </row>
    <row r="297" ht="15.75" customHeight="1" outlineLevel="1">
      <c r="A297" s="211"/>
      <c r="B297" s="212"/>
      <c r="C297" s="213"/>
      <c r="D297" s="214" t="str">
        <f>IFERROR(VLOOKUP($C297,'PORTIFÓLIO'!C:V,2,0),"")</f>
        <v/>
      </c>
      <c r="E297" s="211" t="str">
        <f>IFERROR(VLOOKUP($C297,'PORTIFÓLIO'!C:V,3,0),"")</f>
        <v/>
      </c>
      <c r="F297" s="211" t="str">
        <f>IFERROR(VLOOKUP($C297,'PORTIFÓLIO'!C:V,4,0),"")</f>
        <v/>
      </c>
      <c r="G297" s="215" t="str">
        <f>IFERROR(VLOOKUP($C297,'PORTIFÓLIO'!C:V,5,0),"")</f>
        <v/>
      </c>
      <c r="H297" s="254" t="str">
        <f t="array" ref="H297">IFERROR(INDEX('PORTIFÓLIO'!$H$4:$H$433,MATCH($C297,'PORTIFÓLIO'!$C$4:$C$433,0)),"")</f>
        <v/>
      </c>
      <c r="I297" s="256"/>
      <c r="J297" s="218">
        <f t="shared" si="33"/>
        <v>0</v>
      </c>
      <c r="K297" s="292" t="str">
        <f t="array" ref="K297">IFERROR(I297*INDEX('PORTIFÓLIO'!$S$4:$S$433,MATCH($C297,'PORTIFÓLIO'!$C$4:$C$433,0)),"")</f>
        <v/>
      </c>
      <c r="L297" s="292" t="str">
        <f t="array" ref="L297">IFERROR(J297*INDEX('PORTIFÓLIO'!$S$4:$S$433,MATCH($C297,'PORTIFÓLIO'!$C$4:$C$433,0)),"")</f>
        <v/>
      </c>
      <c r="M297" s="220"/>
      <c r="N297" s="220"/>
      <c r="O297" s="220"/>
      <c r="P297" s="220"/>
      <c r="Q297" s="220"/>
      <c r="R297" s="220"/>
      <c r="S297" s="220"/>
      <c r="T297" s="220"/>
      <c r="U297" s="220"/>
      <c r="V297" s="220"/>
      <c r="W297" s="220"/>
    </row>
    <row r="298" ht="15.75" customHeight="1" outlineLevel="1">
      <c r="A298" s="211"/>
      <c r="B298" s="212"/>
      <c r="C298" s="213"/>
      <c r="D298" s="214" t="str">
        <f>IFERROR(VLOOKUP($C298,'PORTIFÓLIO'!C:V,2,0),"")</f>
        <v/>
      </c>
      <c r="E298" s="211" t="str">
        <f>IFERROR(VLOOKUP($C298,'PORTIFÓLIO'!C:V,3,0),"")</f>
        <v/>
      </c>
      <c r="F298" s="211" t="str">
        <f>IFERROR(VLOOKUP($C298,'PORTIFÓLIO'!C:V,4,0),"")</f>
        <v/>
      </c>
      <c r="G298" s="215" t="str">
        <f>IFERROR(VLOOKUP($C298,'PORTIFÓLIO'!C:V,5,0),"")</f>
        <v/>
      </c>
      <c r="H298" s="254" t="str">
        <f t="array" ref="H298">IFERROR(INDEX('PORTIFÓLIO'!$H$4:$H$433,MATCH($C298,'PORTIFÓLIO'!$C$4:$C$433,0)),"")</f>
        <v/>
      </c>
      <c r="I298" s="256"/>
      <c r="J298" s="218">
        <f t="shared" si="33"/>
        <v>0</v>
      </c>
      <c r="K298" s="292" t="str">
        <f t="array" ref="K298">IFERROR(I298*INDEX('PORTIFÓLIO'!$S$4:$S$433,MATCH($C298,'PORTIFÓLIO'!$C$4:$C$433,0)),"")</f>
        <v/>
      </c>
      <c r="L298" s="292" t="str">
        <f t="array" ref="L298">IFERROR(J298*INDEX('PORTIFÓLIO'!$S$4:$S$433,MATCH($C298,'PORTIFÓLIO'!$C$4:$C$433,0)),"")</f>
        <v/>
      </c>
      <c r="M298" s="220"/>
      <c r="N298" s="220"/>
      <c r="O298" s="220"/>
      <c r="P298" s="220"/>
      <c r="Q298" s="220"/>
      <c r="R298" s="220"/>
      <c r="S298" s="220"/>
      <c r="T298" s="220"/>
      <c r="U298" s="220"/>
      <c r="V298" s="220"/>
      <c r="W298" s="220"/>
    </row>
    <row r="299" ht="15.75" customHeight="1" outlineLevel="1">
      <c r="A299" s="211"/>
      <c r="B299" s="212"/>
      <c r="C299" s="213"/>
      <c r="D299" s="214" t="str">
        <f>IFERROR(VLOOKUP($C299,'PORTIFÓLIO'!C:V,2,0),"")</f>
        <v/>
      </c>
      <c r="E299" s="211" t="str">
        <f>IFERROR(VLOOKUP($C299,'PORTIFÓLIO'!C:V,3,0),"")</f>
        <v/>
      </c>
      <c r="F299" s="211" t="str">
        <f>IFERROR(VLOOKUP($C299,'PORTIFÓLIO'!C:V,4,0),"")</f>
        <v/>
      </c>
      <c r="G299" s="215" t="str">
        <f>IFERROR(VLOOKUP($C299,'PORTIFÓLIO'!C:V,5,0),"")</f>
        <v/>
      </c>
      <c r="H299" s="254" t="str">
        <f t="array" ref="H299">IFERROR(INDEX('PORTIFÓLIO'!$H$4:$H$433,MATCH($C299,'PORTIFÓLIO'!$C$4:$C$433,0)),"")</f>
        <v/>
      </c>
      <c r="I299" s="255"/>
      <c r="J299" s="218">
        <f t="shared" si="33"/>
        <v>0</v>
      </c>
      <c r="K299" s="292" t="str">
        <f t="array" ref="K299">IFERROR(I299*INDEX('PORTIFÓLIO'!$S$4:$S$433,MATCH($C299,'PORTIFÓLIO'!$C$4:$C$433,0)),"")</f>
        <v/>
      </c>
      <c r="L299" s="292" t="str">
        <f t="array" ref="L299">IFERROR(J299*INDEX('PORTIFÓLIO'!$S$4:$S$433,MATCH($C299,'PORTIFÓLIO'!$C$4:$C$433,0)),"")</f>
        <v/>
      </c>
      <c r="M299" s="220"/>
      <c r="N299" s="220"/>
      <c r="O299" s="220"/>
      <c r="P299" s="220"/>
      <c r="Q299" s="220"/>
      <c r="R299" s="220"/>
      <c r="S299" s="220"/>
      <c r="T299" s="220"/>
      <c r="U299" s="220"/>
      <c r="V299" s="220"/>
      <c r="W299" s="220"/>
    </row>
    <row r="300" ht="15.75" customHeight="1" outlineLevel="1">
      <c r="A300" s="211"/>
      <c r="B300" s="212"/>
      <c r="C300" s="213"/>
      <c r="D300" s="214" t="str">
        <f>IFERROR(VLOOKUP($C300,'PORTIFÓLIO'!C:V,2,0),"")</f>
        <v/>
      </c>
      <c r="E300" s="211" t="str">
        <f>IFERROR(VLOOKUP($C300,'PORTIFÓLIO'!C:V,3,0),"")</f>
        <v/>
      </c>
      <c r="F300" s="211" t="str">
        <f>IFERROR(VLOOKUP($C300,'PORTIFÓLIO'!C:V,4,0),"")</f>
        <v/>
      </c>
      <c r="G300" s="215" t="str">
        <f>IFERROR(VLOOKUP($C300,'PORTIFÓLIO'!C:V,5,0),"")</f>
        <v/>
      </c>
      <c r="H300" s="254" t="str">
        <f t="array" ref="H300">IFERROR(INDEX('PORTIFÓLIO'!$H$4:$H$433,MATCH($C300,'PORTIFÓLIO'!$C$4:$C$433,0)),"")</f>
        <v/>
      </c>
      <c r="I300" s="256"/>
      <c r="J300" s="218">
        <f t="shared" si="33"/>
        <v>0</v>
      </c>
      <c r="K300" s="292" t="str">
        <f t="array" ref="K300">IFERROR(I300*INDEX('PORTIFÓLIO'!$S$4:$S$433,MATCH($C300,'PORTIFÓLIO'!$C$4:$C$433,0)),"")</f>
        <v/>
      </c>
      <c r="L300" s="292" t="str">
        <f t="array" ref="L300">IFERROR(J300*INDEX('PORTIFÓLIO'!$S$4:$S$433,MATCH($C300,'PORTIFÓLIO'!$C$4:$C$433,0)),"")</f>
        <v/>
      </c>
      <c r="M300" s="220"/>
      <c r="N300" s="220"/>
      <c r="O300" s="220"/>
      <c r="P300" s="220"/>
      <c r="Q300" s="220"/>
      <c r="R300" s="220"/>
      <c r="S300" s="220"/>
      <c r="T300" s="220"/>
      <c r="U300" s="220"/>
      <c r="V300" s="220"/>
      <c r="W300" s="220"/>
    </row>
    <row r="301" ht="15.75" customHeight="1" outlineLevel="1">
      <c r="A301" s="211"/>
      <c r="B301" s="212"/>
      <c r="C301" s="213"/>
      <c r="D301" s="214" t="str">
        <f>IFERROR(VLOOKUP($C301,'PORTIFÓLIO'!C:V,2,0),"")</f>
        <v/>
      </c>
      <c r="E301" s="211" t="str">
        <f>IFERROR(VLOOKUP($C301,'PORTIFÓLIO'!C:V,3,0),"")</f>
        <v/>
      </c>
      <c r="F301" s="211" t="str">
        <f>IFERROR(VLOOKUP($C301,'PORTIFÓLIO'!C:V,4,0),"")</f>
        <v/>
      </c>
      <c r="G301" s="215" t="str">
        <f>IFERROR(VLOOKUP($C301,'PORTIFÓLIO'!C:V,5,0),"")</f>
        <v/>
      </c>
      <c r="H301" s="254" t="str">
        <f t="array" ref="H301">IFERROR(INDEX('PORTIFÓLIO'!$H$4:$H$433,MATCH($C301,'PORTIFÓLIO'!$C$4:$C$433,0)),"")</f>
        <v/>
      </c>
      <c r="I301" s="256"/>
      <c r="J301" s="218">
        <f t="shared" si="33"/>
        <v>0</v>
      </c>
      <c r="K301" s="292" t="str">
        <f t="array" ref="K301">IFERROR(I301*INDEX('PORTIFÓLIO'!$S$4:$S$433,MATCH($C301,'PORTIFÓLIO'!$C$4:$C$433,0)),"")</f>
        <v/>
      </c>
      <c r="L301" s="292" t="str">
        <f t="array" ref="L301">IFERROR(J301*INDEX('PORTIFÓLIO'!$S$4:$S$433,MATCH($C301,'PORTIFÓLIO'!$C$4:$C$433,0)),"")</f>
        <v/>
      </c>
      <c r="M301" s="220"/>
      <c r="N301" s="220"/>
      <c r="O301" s="220"/>
      <c r="P301" s="220"/>
      <c r="Q301" s="220"/>
      <c r="R301" s="220"/>
      <c r="S301" s="220"/>
      <c r="T301" s="220"/>
      <c r="U301" s="220"/>
      <c r="V301" s="220"/>
      <c r="W301" s="220"/>
    </row>
    <row r="302" ht="15.75" customHeight="1" outlineLevel="1">
      <c r="A302" s="211"/>
      <c r="B302" s="212"/>
      <c r="C302" s="213"/>
      <c r="D302" s="214" t="str">
        <f>IFERROR(VLOOKUP($C302,'PORTIFÓLIO'!C:V,2,0),"")</f>
        <v/>
      </c>
      <c r="E302" s="211" t="str">
        <f>IFERROR(VLOOKUP($C302,'PORTIFÓLIO'!C:V,3,0),"")</f>
        <v/>
      </c>
      <c r="F302" s="211" t="str">
        <f>IFERROR(VLOOKUP($C302,'PORTIFÓLIO'!C:V,4,0),"")</f>
        <v/>
      </c>
      <c r="G302" s="215" t="str">
        <f>IFERROR(VLOOKUP($C302,'PORTIFÓLIO'!C:V,5,0),"")</f>
        <v/>
      </c>
      <c r="H302" s="254" t="str">
        <f t="array" ref="H302">IFERROR(INDEX('PORTIFÓLIO'!$H$4:$H$433,MATCH($C302,'PORTIFÓLIO'!$C$4:$C$433,0)),"")</f>
        <v/>
      </c>
      <c r="I302" s="256"/>
      <c r="J302" s="218">
        <f t="shared" si="33"/>
        <v>0</v>
      </c>
      <c r="K302" s="292" t="str">
        <f t="array" ref="K302">IFERROR(I302*INDEX('PORTIFÓLIO'!$S$4:$S$433,MATCH($C302,'PORTIFÓLIO'!$C$4:$C$433,0)),"")</f>
        <v/>
      </c>
      <c r="L302" s="292" t="str">
        <f t="array" ref="L302">IFERROR(J302*INDEX('PORTIFÓLIO'!$S$4:$S$433,MATCH($C302,'PORTIFÓLIO'!$C$4:$C$433,0)),"")</f>
        <v/>
      </c>
      <c r="M302" s="220"/>
      <c r="N302" s="220"/>
      <c r="O302" s="220"/>
      <c r="P302" s="220"/>
      <c r="Q302" s="220"/>
      <c r="R302" s="220"/>
      <c r="S302" s="220"/>
      <c r="T302" s="220"/>
      <c r="U302" s="220"/>
      <c r="V302" s="220"/>
      <c r="W302" s="220"/>
    </row>
    <row r="303" ht="15.75" customHeight="1" outlineLevel="1">
      <c r="A303" s="211"/>
      <c r="B303" s="212"/>
      <c r="C303" s="213"/>
      <c r="D303" s="214" t="str">
        <f>IFERROR(VLOOKUP($C303,'PORTIFÓLIO'!C:V,2,0),"")</f>
        <v/>
      </c>
      <c r="E303" s="211" t="str">
        <f>IFERROR(VLOOKUP($C303,'PORTIFÓLIO'!C:V,3,0),"")</f>
        <v/>
      </c>
      <c r="F303" s="211" t="str">
        <f>IFERROR(VLOOKUP($C303,'PORTIFÓLIO'!C:V,4,0),"")</f>
        <v/>
      </c>
      <c r="G303" s="215" t="str">
        <f>IFERROR(VLOOKUP($C303,'PORTIFÓLIO'!C:V,5,0),"")</f>
        <v/>
      </c>
      <c r="H303" s="254" t="str">
        <f t="array" ref="H303">IFERROR(INDEX('PORTIFÓLIO'!$H$4:$H$433,MATCH($C303,'PORTIFÓLIO'!$C$4:$C$433,0)),"")</f>
        <v/>
      </c>
      <c r="I303" s="256"/>
      <c r="J303" s="218">
        <f t="shared" si="33"/>
        <v>0</v>
      </c>
      <c r="K303" s="292" t="str">
        <f t="array" ref="K303">IFERROR(I303*INDEX('PORTIFÓLIO'!$S$4:$S$433,MATCH($C303,'PORTIFÓLIO'!$C$4:$C$433,0)),"")</f>
        <v/>
      </c>
      <c r="L303" s="292" t="str">
        <f t="array" ref="L303">IFERROR(J303*INDEX('PORTIFÓLIO'!$S$4:$S$433,MATCH($C303,'PORTIFÓLIO'!$C$4:$C$433,0)),"")</f>
        <v/>
      </c>
      <c r="M303" s="220"/>
      <c r="N303" s="220"/>
      <c r="O303" s="220"/>
      <c r="P303" s="220"/>
      <c r="Q303" s="220"/>
      <c r="R303" s="220"/>
      <c r="S303" s="220"/>
      <c r="T303" s="220"/>
      <c r="U303" s="220"/>
      <c r="V303" s="220"/>
      <c r="W303" s="220"/>
    </row>
    <row r="304" ht="15.75" customHeight="1" outlineLevel="1">
      <c r="A304" s="211"/>
      <c r="B304" s="212"/>
      <c r="C304" s="213"/>
      <c r="D304" s="214" t="str">
        <f>IFERROR(VLOOKUP($C304,'PORTIFÓLIO'!C:V,2,0),"")</f>
        <v/>
      </c>
      <c r="E304" s="211" t="str">
        <f>IFERROR(VLOOKUP($C304,'PORTIFÓLIO'!C:V,3,0),"")</f>
        <v/>
      </c>
      <c r="F304" s="211" t="str">
        <f>IFERROR(VLOOKUP($C304,'PORTIFÓLIO'!C:V,4,0),"")</f>
        <v/>
      </c>
      <c r="G304" s="215" t="str">
        <f>IFERROR(VLOOKUP($C304,'PORTIFÓLIO'!C:V,5,0),"")</f>
        <v/>
      </c>
      <c r="H304" s="254" t="str">
        <f t="array" ref="H304">IFERROR(INDEX('PORTIFÓLIO'!$H$4:$H$433,MATCH($C304,'PORTIFÓLIO'!$C$4:$C$433,0)),"")</f>
        <v/>
      </c>
      <c r="I304" s="256"/>
      <c r="J304" s="218">
        <f t="shared" si="33"/>
        <v>0</v>
      </c>
      <c r="K304" s="292" t="str">
        <f t="array" ref="K304">IFERROR(I304*INDEX('PORTIFÓLIO'!$S$4:$S$433,MATCH($C304,'PORTIFÓLIO'!$C$4:$C$433,0)),"")</f>
        <v/>
      </c>
      <c r="L304" s="292" t="str">
        <f t="array" ref="L304">IFERROR(J304*INDEX('PORTIFÓLIO'!$S$4:$S$433,MATCH($C304,'PORTIFÓLIO'!$C$4:$C$433,0)),"")</f>
        <v/>
      </c>
      <c r="M304" s="220"/>
      <c r="N304" s="220"/>
      <c r="O304" s="220"/>
      <c r="P304" s="220"/>
      <c r="Q304" s="220"/>
      <c r="R304" s="220"/>
      <c r="S304" s="220"/>
      <c r="T304" s="220"/>
      <c r="U304" s="220"/>
      <c r="V304" s="220"/>
      <c r="W304" s="220"/>
    </row>
    <row r="305" ht="15.75" customHeight="1" outlineLevel="1">
      <c r="A305" s="211"/>
      <c r="B305" s="212"/>
      <c r="C305" s="213"/>
      <c r="D305" s="214" t="str">
        <f>IFERROR(VLOOKUP($C305,'PORTIFÓLIO'!C:V,2,0),"")</f>
        <v/>
      </c>
      <c r="E305" s="211" t="str">
        <f>IFERROR(VLOOKUP($C305,'PORTIFÓLIO'!C:V,3,0),"")</f>
        <v/>
      </c>
      <c r="F305" s="211" t="str">
        <f>IFERROR(VLOOKUP($C305,'PORTIFÓLIO'!C:V,4,0),"")</f>
        <v/>
      </c>
      <c r="G305" s="215" t="str">
        <f>IFERROR(VLOOKUP($C305,'PORTIFÓLIO'!C:V,5,0),"")</f>
        <v/>
      </c>
      <c r="H305" s="254" t="str">
        <f t="array" ref="H305">IFERROR(INDEX('PORTIFÓLIO'!$H$4:$H$433,MATCH($C305,'PORTIFÓLIO'!$C$4:$C$433,0)),"")</f>
        <v/>
      </c>
      <c r="I305" s="256"/>
      <c r="J305" s="218">
        <f t="shared" si="33"/>
        <v>0</v>
      </c>
      <c r="K305" s="292" t="str">
        <f t="array" ref="K305">IFERROR(I305*INDEX('PORTIFÓLIO'!$S$4:$S$433,MATCH($C305,'PORTIFÓLIO'!$C$4:$C$433,0)),"")</f>
        <v/>
      </c>
      <c r="L305" s="292" t="str">
        <f t="array" ref="L305">IFERROR(J305*INDEX('PORTIFÓLIO'!$S$4:$S$433,MATCH($C305,'PORTIFÓLIO'!$C$4:$C$433,0)),"")</f>
        <v/>
      </c>
      <c r="M305" s="220"/>
      <c r="N305" s="220"/>
      <c r="O305" s="220"/>
      <c r="P305" s="220"/>
      <c r="Q305" s="220"/>
      <c r="R305" s="220"/>
      <c r="S305" s="220"/>
      <c r="T305" s="220"/>
      <c r="U305" s="220"/>
      <c r="V305" s="220"/>
      <c r="W305" s="220"/>
    </row>
    <row r="306" ht="15.75" customHeight="1" outlineLevel="1">
      <c r="A306" s="211"/>
      <c r="B306" s="212"/>
      <c r="C306" s="213"/>
      <c r="D306" s="214" t="str">
        <f>IFERROR(VLOOKUP($C306,'PORTIFÓLIO'!C:V,2,0),"")</f>
        <v/>
      </c>
      <c r="E306" s="211" t="str">
        <f>IFERROR(VLOOKUP($C306,'PORTIFÓLIO'!C:V,3,0),"")</f>
        <v/>
      </c>
      <c r="F306" s="211" t="str">
        <f>IFERROR(VLOOKUP($C306,'PORTIFÓLIO'!C:V,4,0),"")</f>
        <v/>
      </c>
      <c r="G306" s="215" t="str">
        <f>IFERROR(VLOOKUP($C306,'PORTIFÓLIO'!C:V,5,0),"")</f>
        <v/>
      </c>
      <c r="H306" s="254" t="str">
        <f t="array" ref="H306">IFERROR(INDEX('PORTIFÓLIO'!$H$4:$H$433,MATCH($C306,'PORTIFÓLIO'!$C$4:$C$433,0)),"")</f>
        <v/>
      </c>
      <c r="I306" s="256"/>
      <c r="J306" s="218">
        <f t="shared" si="33"/>
        <v>0</v>
      </c>
      <c r="K306" s="292" t="str">
        <f t="array" ref="K306">IFERROR(I306*INDEX('PORTIFÓLIO'!$S$4:$S$433,MATCH($C306,'PORTIFÓLIO'!$C$4:$C$433,0)),"")</f>
        <v/>
      </c>
      <c r="L306" s="292" t="str">
        <f t="array" ref="L306">IFERROR(J306*INDEX('PORTIFÓLIO'!$S$4:$S$433,MATCH($C306,'PORTIFÓLIO'!$C$4:$C$433,0)),"")</f>
        <v/>
      </c>
      <c r="M306" s="220"/>
      <c r="N306" s="220"/>
      <c r="O306" s="220"/>
      <c r="P306" s="220"/>
      <c r="Q306" s="220"/>
      <c r="R306" s="220"/>
      <c r="S306" s="220"/>
      <c r="T306" s="220"/>
      <c r="U306" s="220"/>
      <c r="V306" s="220"/>
      <c r="W306" s="220"/>
    </row>
    <row r="307" ht="15.75" customHeight="1" outlineLevel="1">
      <c r="A307" s="211"/>
      <c r="B307" s="212"/>
      <c r="C307" s="213"/>
      <c r="D307" s="214" t="str">
        <f>IFERROR(VLOOKUP($C307,'PORTIFÓLIO'!C:V,2,0),"")</f>
        <v/>
      </c>
      <c r="E307" s="211" t="str">
        <f>IFERROR(VLOOKUP($C307,'PORTIFÓLIO'!C:V,3,0),"")</f>
        <v/>
      </c>
      <c r="F307" s="211" t="str">
        <f>IFERROR(VLOOKUP($C307,'PORTIFÓLIO'!C:V,4,0),"")</f>
        <v/>
      </c>
      <c r="G307" s="215" t="str">
        <f>IFERROR(VLOOKUP($C307,'PORTIFÓLIO'!C:V,5,0),"")</f>
        <v/>
      </c>
      <c r="H307" s="254" t="str">
        <f t="array" ref="H307">IFERROR(INDEX('PORTIFÓLIO'!$H$4:$H$433,MATCH($C307,'PORTIFÓLIO'!$C$4:$C$433,0)),"")</f>
        <v/>
      </c>
      <c r="I307" s="256"/>
      <c r="J307" s="218">
        <f t="shared" si="33"/>
        <v>0</v>
      </c>
      <c r="K307" s="292" t="str">
        <f t="array" ref="K307">IFERROR(I307*INDEX('PORTIFÓLIO'!$S$4:$S$433,MATCH($C307,'PORTIFÓLIO'!$C$4:$C$433,0)),"")</f>
        <v/>
      </c>
      <c r="L307" s="292" t="str">
        <f t="array" ref="L307">IFERROR(J307*INDEX('PORTIFÓLIO'!$S$4:$S$433,MATCH($C307,'PORTIFÓLIO'!$C$4:$C$433,0)),"")</f>
        <v/>
      </c>
      <c r="M307" s="220"/>
      <c r="N307" s="220"/>
      <c r="O307" s="220"/>
      <c r="P307" s="220"/>
      <c r="Q307" s="220"/>
      <c r="R307" s="220"/>
      <c r="S307" s="220"/>
      <c r="T307" s="220"/>
      <c r="U307" s="220"/>
      <c r="V307" s="220"/>
      <c r="W307" s="220"/>
    </row>
    <row r="308" ht="15.75" customHeight="1">
      <c r="A308" s="229" t="s">
        <v>1188</v>
      </c>
      <c r="B308" s="230"/>
      <c r="C308" s="231"/>
      <c r="D308" s="232"/>
      <c r="E308" s="231"/>
      <c r="F308" s="231"/>
      <c r="G308" s="233"/>
      <c r="H308" s="233"/>
      <c r="I308" s="258"/>
      <c r="J308" s="236"/>
      <c r="K308" s="237">
        <f t="shared" ref="K308:L308" si="34">SUBTOTAL(9,K309:K322)</f>
        <v>0</v>
      </c>
      <c r="L308" s="237">
        <f t="shared" si="34"/>
        <v>0</v>
      </c>
      <c r="M308" s="220"/>
      <c r="N308" s="220"/>
      <c r="O308" s="220"/>
      <c r="P308" s="220"/>
      <c r="Q308" s="220"/>
      <c r="R308" s="220"/>
      <c r="S308" s="220"/>
      <c r="T308" s="220"/>
      <c r="U308" s="220"/>
      <c r="V308" s="220"/>
      <c r="W308" s="220"/>
    </row>
    <row r="309" ht="15.75" customHeight="1" outlineLevel="1">
      <c r="A309" s="213"/>
      <c r="B309" s="212"/>
      <c r="C309" s="213"/>
      <c r="D309" s="214" t="str">
        <f>IFERROR(VLOOKUP($C309,'PORTIFÓLIO'!C:V,2,0),"")</f>
        <v/>
      </c>
      <c r="E309" s="211" t="str">
        <f>IFERROR(VLOOKUP($C309,'PORTIFÓLIO'!C:V,3,0),"")</f>
        <v/>
      </c>
      <c r="F309" s="211" t="str">
        <f>IFERROR(VLOOKUP($C309,'PORTIFÓLIO'!C:V,4,0),"")</f>
        <v/>
      </c>
      <c r="G309" s="215" t="str">
        <f>IFERROR(VLOOKUP($C309,'PORTIFÓLIO'!C:V,5,0),"")</f>
        <v/>
      </c>
      <c r="H309" s="254" t="str">
        <f t="array" ref="H309">IFERROR(INDEX('PORTIFÓLIO'!$H$4:$H$433,MATCH($C309,'PORTIFÓLIO'!$C$4:$C$433,0)),"")</f>
        <v/>
      </c>
      <c r="I309" s="255"/>
      <c r="J309" s="218">
        <f t="shared" ref="J309:J323" si="35">I309*$B$2</f>
        <v>0</v>
      </c>
      <c r="K309" s="292" t="str">
        <f t="array" ref="K309">IFERROR(I309*INDEX('PORTIFÓLIO'!$S$4:$S$433,MATCH($C309,'PORTIFÓLIO'!$C$4:$C$433,0)),"")</f>
        <v/>
      </c>
      <c r="L309" s="292" t="str">
        <f t="array" ref="L309">IFERROR(J309*INDEX('PORTIFÓLIO'!$S$4:$S$433,MATCH($C309,'PORTIFÓLIO'!$C$4:$C$433,0)),"")</f>
        <v/>
      </c>
      <c r="M309" s="220"/>
      <c r="N309" s="220"/>
      <c r="O309" s="220"/>
      <c r="P309" s="220"/>
      <c r="Q309" s="220"/>
      <c r="R309" s="220"/>
      <c r="S309" s="220"/>
      <c r="T309" s="220"/>
      <c r="U309" s="220"/>
      <c r="V309" s="220"/>
      <c r="W309" s="220"/>
    </row>
    <row r="310" ht="15.75" customHeight="1" outlineLevel="1">
      <c r="A310" s="211"/>
      <c r="B310" s="212"/>
      <c r="C310" s="213"/>
      <c r="D310" s="214" t="str">
        <f>IFERROR(VLOOKUP($C310,'PORTIFÓLIO'!C:V,2,0),"")</f>
        <v/>
      </c>
      <c r="E310" s="211" t="str">
        <f>IFERROR(VLOOKUP($C310,'PORTIFÓLIO'!C:V,3,0),"")</f>
        <v/>
      </c>
      <c r="F310" s="211" t="str">
        <f>IFERROR(VLOOKUP($C310,'PORTIFÓLIO'!C:V,4,0),"")</f>
        <v/>
      </c>
      <c r="G310" s="215" t="str">
        <f>IFERROR(VLOOKUP($C310,'PORTIFÓLIO'!C:V,5,0),"")</f>
        <v/>
      </c>
      <c r="H310" s="254" t="str">
        <f t="array" ref="H310">IFERROR(INDEX('PORTIFÓLIO'!$H$4:$H$433,MATCH($C310,'PORTIFÓLIO'!$C$4:$C$433,0)),"")</f>
        <v/>
      </c>
      <c r="I310" s="256"/>
      <c r="J310" s="218">
        <f t="shared" si="35"/>
        <v>0</v>
      </c>
      <c r="K310" s="292" t="str">
        <f t="array" ref="K310">IFERROR(I310*INDEX('PORTIFÓLIO'!$S$4:$S$433,MATCH($C310,'PORTIFÓLIO'!$C$4:$C$433,0)),"")</f>
        <v/>
      </c>
      <c r="L310" s="292" t="str">
        <f t="array" ref="L310">IFERROR(J310*INDEX('PORTIFÓLIO'!$S$4:$S$433,MATCH($C310,'PORTIFÓLIO'!$C$4:$C$433,0)),"")</f>
        <v/>
      </c>
      <c r="M310" s="220"/>
      <c r="N310" s="220"/>
      <c r="O310" s="220"/>
      <c r="P310" s="220"/>
      <c r="Q310" s="220"/>
      <c r="R310" s="220"/>
      <c r="S310" s="220"/>
      <c r="T310" s="220"/>
      <c r="U310" s="220"/>
      <c r="V310" s="220"/>
      <c r="W310" s="220"/>
    </row>
    <row r="311" ht="15.75" customHeight="1" outlineLevel="1">
      <c r="A311" s="211"/>
      <c r="B311" s="212"/>
      <c r="C311" s="213"/>
      <c r="D311" s="214" t="str">
        <f>IFERROR(VLOOKUP($C311,'PORTIFÓLIO'!C:V,2,0),"")</f>
        <v/>
      </c>
      <c r="E311" s="211" t="str">
        <f>IFERROR(VLOOKUP($C311,'PORTIFÓLIO'!C:V,3,0),"")</f>
        <v/>
      </c>
      <c r="F311" s="211" t="str">
        <f>IFERROR(VLOOKUP($C311,'PORTIFÓLIO'!C:V,4,0),"")</f>
        <v/>
      </c>
      <c r="G311" s="215" t="str">
        <f>IFERROR(VLOOKUP($C311,'PORTIFÓLIO'!C:V,5,0),"")</f>
        <v/>
      </c>
      <c r="H311" s="254" t="str">
        <f t="array" ref="H311">IFERROR(INDEX('PORTIFÓLIO'!$H$4:$H$433,MATCH($C311,'PORTIFÓLIO'!$C$4:$C$433,0)),"")</f>
        <v/>
      </c>
      <c r="I311" s="256"/>
      <c r="J311" s="218">
        <f t="shared" si="35"/>
        <v>0</v>
      </c>
      <c r="K311" s="292" t="str">
        <f t="array" ref="K311">IFERROR(I311*INDEX('PORTIFÓLIO'!$S$4:$S$433,MATCH($C311,'PORTIFÓLIO'!$C$4:$C$433,0)),"")</f>
        <v/>
      </c>
      <c r="L311" s="292" t="str">
        <f t="array" ref="L311">IFERROR(J311*INDEX('PORTIFÓLIO'!$S$4:$S$433,MATCH($C311,'PORTIFÓLIO'!$C$4:$C$433,0)),"")</f>
        <v/>
      </c>
      <c r="M311" s="220"/>
      <c r="N311" s="220"/>
      <c r="O311" s="220"/>
      <c r="P311" s="220"/>
      <c r="Q311" s="220"/>
      <c r="R311" s="220"/>
      <c r="S311" s="220"/>
      <c r="T311" s="220"/>
      <c r="U311" s="220"/>
      <c r="V311" s="220"/>
      <c r="W311" s="220"/>
    </row>
    <row r="312" ht="15.75" customHeight="1" outlineLevel="1">
      <c r="A312" s="211"/>
      <c r="B312" s="212"/>
      <c r="C312" s="213"/>
      <c r="D312" s="214" t="str">
        <f>IFERROR(VLOOKUP($C312,'PORTIFÓLIO'!C:V,2,0),"")</f>
        <v/>
      </c>
      <c r="E312" s="211" t="str">
        <f>IFERROR(VLOOKUP($C312,'PORTIFÓLIO'!C:V,3,0),"")</f>
        <v/>
      </c>
      <c r="F312" s="211" t="str">
        <f>IFERROR(VLOOKUP($C312,'PORTIFÓLIO'!C:V,4,0),"")</f>
        <v/>
      </c>
      <c r="G312" s="215" t="str">
        <f>IFERROR(VLOOKUP($C312,'PORTIFÓLIO'!C:V,5,0),"")</f>
        <v/>
      </c>
      <c r="H312" s="254" t="str">
        <f t="array" ref="H312">IFERROR(INDEX('PORTIFÓLIO'!$H$4:$H$433,MATCH($C312,'PORTIFÓLIO'!$C$4:$C$433,0)),"")</f>
        <v/>
      </c>
      <c r="I312" s="256"/>
      <c r="J312" s="218">
        <f t="shared" si="35"/>
        <v>0</v>
      </c>
      <c r="K312" s="292" t="str">
        <f t="array" ref="K312">IFERROR(I312*INDEX('PORTIFÓLIO'!$S$4:$S$433,MATCH($C312,'PORTIFÓLIO'!$C$4:$C$433,0)),"")</f>
        <v/>
      </c>
      <c r="L312" s="292" t="str">
        <f t="array" ref="L312">IFERROR(J312*INDEX('PORTIFÓLIO'!$S$4:$S$433,MATCH($C312,'PORTIFÓLIO'!$C$4:$C$433,0)),"")</f>
        <v/>
      </c>
      <c r="M312" s="220"/>
      <c r="N312" s="220"/>
      <c r="O312" s="220"/>
      <c r="P312" s="220"/>
      <c r="Q312" s="220"/>
      <c r="R312" s="220"/>
      <c r="S312" s="220"/>
      <c r="T312" s="220"/>
      <c r="U312" s="220"/>
      <c r="V312" s="220"/>
      <c r="W312" s="220"/>
    </row>
    <row r="313" ht="15.75" customHeight="1" outlineLevel="1">
      <c r="A313" s="211"/>
      <c r="B313" s="212"/>
      <c r="C313" s="213"/>
      <c r="D313" s="214" t="str">
        <f>IFERROR(VLOOKUP($C313,'PORTIFÓLIO'!C:V,2,0),"")</f>
        <v/>
      </c>
      <c r="E313" s="211" t="str">
        <f>IFERROR(VLOOKUP($C313,'PORTIFÓLIO'!C:V,3,0),"")</f>
        <v/>
      </c>
      <c r="F313" s="211" t="str">
        <f>IFERROR(VLOOKUP($C313,'PORTIFÓLIO'!C:V,4,0),"")</f>
        <v/>
      </c>
      <c r="G313" s="215" t="str">
        <f>IFERROR(VLOOKUP($C313,'PORTIFÓLIO'!C:V,5,0),"")</f>
        <v/>
      </c>
      <c r="H313" s="254" t="str">
        <f t="array" ref="H313">IFERROR(INDEX('PORTIFÓLIO'!$H$4:$H$433,MATCH($C313,'PORTIFÓLIO'!$C$4:$C$433,0)),"")</f>
        <v/>
      </c>
      <c r="I313" s="256"/>
      <c r="J313" s="218">
        <f t="shared" si="35"/>
        <v>0</v>
      </c>
      <c r="K313" s="292" t="str">
        <f t="array" ref="K313">IFERROR(I313*INDEX('PORTIFÓLIO'!$S$4:$S$433,MATCH($C313,'PORTIFÓLIO'!$C$4:$C$433,0)),"")</f>
        <v/>
      </c>
      <c r="L313" s="292" t="str">
        <f t="array" ref="L313">IFERROR(J313*INDEX('PORTIFÓLIO'!$S$4:$S$433,MATCH($C313,'PORTIFÓLIO'!$C$4:$C$433,0)),"")</f>
        <v/>
      </c>
      <c r="M313" s="220"/>
      <c r="N313" s="220"/>
      <c r="O313" s="220"/>
      <c r="P313" s="220"/>
      <c r="Q313" s="220"/>
      <c r="R313" s="220"/>
      <c r="S313" s="220"/>
      <c r="T313" s="220"/>
      <c r="U313" s="220"/>
      <c r="V313" s="220"/>
      <c r="W313" s="220"/>
    </row>
    <row r="314" ht="15.75" customHeight="1" outlineLevel="1">
      <c r="A314" s="211"/>
      <c r="B314" s="212"/>
      <c r="C314" s="213"/>
      <c r="D314" s="214" t="str">
        <f>IFERROR(VLOOKUP($C314,'PORTIFÓLIO'!C:V,2,0),"")</f>
        <v/>
      </c>
      <c r="E314" s="211" t="str">
        <f>IFERROR(VLOOKUP($C314,'PORTIFÓLIO'!C:V,3,0),"")</f>
        <v/>
      </c>
      <c r="F314" s="211" t="str">
        <f>IFERROR(VLOOKUP($C314,'PORTIFÓLIO'!C:V,4,0),"")</f>
        <v/>
      </c>
      <c r="G314" s="215" t="str">
        <f>IFERROR(VLOOKUP($C314,'PORTIFÓLIO'!C:V,5,0),"")</f>
        <v/>
      </c>
      <c r="H314" s="254" t="str">
        <f t="array" ref="H314">IFERROR(INDEX('PORTIFÓLIO'!$H$4:$H$433,MATCH($C314,'PORTIFÓLIO'!$C$4:$C$433,0)),"")</f>
        <v/>
      </c>
      <c r="I314" s="256"/>
      <c r="J314" s="218">
        <f t="shared" si="35"/>
        <v>0</v>
      </c>
      <c r="K314" s="292" t="str">
        <f t="array" ref="K314">IFERROR(I314*INDEX('PORTIFÓLIO'!$S$4:$S$433,MATCH($C314,'PORTIFÓLIO'!$C$4:$C$433,0)),"")</f>
        <v/>
      </c>
      <c r="L314" s="292" t="str">
        <f t="array" ref="L314">IFERROR(J314*INDEX('PORTIFÓLIO'!$S$4:$S$433,MATCH($C314,'PORTIFÓLIO'!$C$4:$C$433,0)),"")</f>
        <v/>
      </c>
      <c r="M314" s="220"/>
      <c r="N314" s="220"/>
      <c r="O314" s="220"/>
      <c r="P314" s="220"/>
      <c r="Q314" s="220"/>
      <c r="R314" s="220"/>
      <c r="S314" s="220"/>
      <c r="T314" s="220"/>
      <c r="U314" s="220"/>
      <c r="V314" s="220"/>
      <c r="W314" s="220"/>
    </row>
    <row r="315" ht="15.75" customHeight="1" outlineLevel="1">
      <c r="A315" s="211"/>
      <c r="B315" s="212"/>
      <c r="C315" s="213"/>
      <c r="D315" s="214" t="str">
        <f>IFERROR(VLOOKUP($C315,'PORTIFÓLIO'!C:V,2,0),"")</f>
        <v/>
      </c>
      <c r="E315" s="211" t="str">
        <f>IFERROR(VLOOKUP($C315,'PORTIFÓLIO'!C:V,3,0),"")</f>
        <v/>
      </c>
      <c r="F315" s="211" t="str">
        <f>IFERROR(VLOOKUP($C315,'PORTIFÓLIO'!C:V,4,0),"")</f>
        <v/>
      </c>
      <c r="G315" s="215" t="str">
        <f>IFERROR(VLOOKUP($C315,'PORTIFÓLIO'!C:V,5,0),"")</f>
        <v/>
      </c>
      <c r="H315" s="254" t="str">
        <f t="array" ref="H315">IFERROR(INDEX('PORTIFÓLIO'!$H$4:$H$433,MATCH($C315,'PORTIFÓLIO'!$C$4:$C$433,0)),"")</f>
        <v/>
      </c>
      <c r="I315" s="256"/>
      <c r="J315" s="218">
        <f t="shared" si="35"/>
        <v>0</v>
      </c>
      <c r="K315" s="292" t="str">
        <f t="array" ref="K315">IFERROR(I315*INDEX('PORTIFÓLIO'!$S$4:$S$433,MATCH($C315,'PORTIFÓLIO'!$C$4:$C$433,0)),"")</f>
        <v/>
      </c>
      <c r="L315" s="292" t="str">
        <f t="array" ref="L315">IFERROR(J315*INDEX('PORTIFÓLIO'!$S$4:$S$433,MATCH($C315,'PORTIFÓLIO'!$C$4:$C$433,0)),"")</f>
        <v/>
      </c>
      <c r="M315" s="220"/>
      <c r="N315" s="220"/>
      <c r="O315" s="220"/>
      <c r="P315" s="220"/>
      <c r="Q315" s="220"/>
      <c r="R315" s="220"/>
      <c r="S315" s="220"/>
      <c r="T315" s="220"/>
      <c r="U315" s="220"/>
      <c r="V315" s="220"/>
      <c r="W315" s="220"/>
    </row>
    <row r="316" ht="15.75" customHeight="1" outlineLevel="1">
      <c r="A316" s="211"/>
      <c r="B316" s="212"/>
      <c r="C316" s="213"/>
      <c r="D316" s="214" t="str">
        <f>IFERROR(VLOOKUP($C316,'PORTIFÓLIO'!C:V,2,0),"")</f>
        <v/>
      </c>
      <c r="E316" s="211" t="str">
        <f>IFERROR(VLOOKUP($C316,'PORTIFÓLIO'!C:V,3,0),"")</f>
        <v/>
      </c>
      <c r="F316" s="211" t="str">
        <f>IFERROR(VLOOKUP($C316,'PORTIFÓLIO'!C:V,4,0),"")</f>
        <v/>
      </c>
      <c r="G316" s="215" t="str">
        <f>IFERROR(VLOOKUP($C316,'PORTIFÓLIO'!C:V,5,0),"")</f>
        <v/>
      </c>
      <c r="H316" s="254" t="str">
        <f t="array" ref="H316">IFERROR(INDEX('PORTIFÓLIO'!$H$4:$H$433,MATCH($C316,'PORTIFÓLIO'!$C$4:$C$433,0)),"")</f>
        <v/>
      </c>
      <c r="I316" s="256"/>
      <c r="J316" s="218">
        <f t="shared" si="35"/>
        <v>0</v>
      </c>
      <c r="K316" s="292" t="str">
        <f t="array" ref="K316">IFERROR(I316*INDEX('PORTIFÓLIO'!$S$4:$S$433,MATCH($C316,'PORTIFÓLIO'!$C$4:$C$433,0)),"")</f>
        <v/>
      </c>
      <c r="L316" s="292" t="str">
        <f t="array" ref="L316">IFERROR(J316*INDEX('PORTIFÓLIO'!$S$4:$S$433,MATCH($C316,'PORTIFÓLIO'!$C$4:$C$433,0)),"")</f>
        <v/>
      </c>
      <c r="M316" s="220"/>
      <c r="N316" s="220"/>
      <c r="O316" s="220"/>
      <c r="P316" s="220"/>
      <c r="Q316" s="220"/>
      <c r="R316" s="220"/>
      <c r="S316" s="220"/>
      <c r="T316" s="220"/>
      <c r="U316" s="220"/>
      <c r="V316" s="220"/>
      <c r="W316" s="220"/>
    </row>
    <row r="317" ht="15.75" customHeight="1" outlineLevel="1">
      <c r="A317" s="211"/>
      <c r="B317" s="212"/>
      <c r="C317" s="213"/>
      <c r="D317" s="214" t="str">
        <f>IFERROR(VLOOKUP($C317,'PORTIFÓLIO'!C:V,2,0),"")</f>
        <v/>
      </c>
      <c r="E317" s="211" t="str">
        <f>IFERROR(VLOOKUP($C317,'PORTIFÓLIO'!C:V,3,0),"")</f>
        <v/>
      </c>
      <c r="F317" s="211" t="str">
        <f>IFERROR(VLOOKUP($C317,'PORTIFÓLIO'!C:V,4,0),"")</f>
        <v/>
      </c>
      <c r="G317" s="215" t="str">
        <f>IFERROR(VLOOKUP($C317,'PORTIFÓLIO'!C:V,5,0),"")</f>
        <v/>
      </c>
      <c r="H317" s="254" t="str">
        <f t="array" ref="H317">IFERROR(INDEX('PORTIFÓLIO'!$H$4:$H$433,MATCH($C317,'PORTIFÓLIO'!$C$4:$C$433,0)),"")</f>
        <v/>
      </c>
      <c r="I317" s="255"/>
      <c r="J317" s="218">
        <f t="shared" si="35"/>
        <v>0</v>
      </c>
      <c r="K317" s="292" t="str">
        <f t="array" ref="K317">IFERROR(I317*INDEX('PORTIFÓLIO'!$S$4:$S$433,MATCH($C317,'PORTIFÓLIO'!$C$4:$C$433,0)),"")</f>
        <v/>
      </c>
      <c r="L317" s="292" t="str">
        <f t="array" ref="L317">IFERROR(J317*INDEX('PORTIFÓLIO'!$S$4:$S$433,MATCH($C317,'PORTIFÓLIO'!$C$4:$C$433,0)),"")</f>
        <v/>
      </c>
      <c r="M317" s="220"/>
      <c r="N317" s="220"/>
      <c r="O317" s="220"/>
      <c r="P317" s="220"/>
      <c r="Q317" s="220"/>
      <c r="R317" s="220"/>
      <c r="S317" s="220"/>
      <c r="T317" s="220"/>
      <c r="U317" s="220"/>
      <c r="V317" s="220"/>
      <c r="W317" s="220"/>
    </row>
    <row r="318" ht="15.75" customHeight="1" outlineLevel="1">
      <c r="A318" s="211"/>
      <c r="B318" s="212"/>
      <c r="C318" s="213"/>
      <c r="D318" s="214" t="str">
        <f>IFERROR(VLOOKUP($C318,'PORTIFÓLIO'!C:V,2,0),"")</f>
        <v/>
      </c>
      <c r="E318" s="211" t="str">
        <f>IFERROR(VLOOKUP($C318,'PORTIFÓLIO'!C:V,3,0),"")</f>
        <v/>
      </c>
      <c r="F318" s="211" t="str">
        <f>IFERROR(VLOOKUP($C318,'PORTIFÓLIO'!C:V,4,0),"")</f>
        <v/>
      </c>
      <c r="G318" s="215" t="str">
        <f>IFERROR(VLOOKUP($C318,'PORTIFÓLIO'!C:V,5,0),"")</f>
        <v/>
      </c>
      <c r="H318" s="254" t="str">
        <f t="array" ref="H318">IFERROR(INDEX('PORTIFÓLIO'!$H$4:$H$433,MATCH($C318,'PORTIFÓLIO'!$C$4:$C$433,0)),"")</f>
        <v/>
      </c>
      <c r="I318" s="256"/>
      <c r="J318" s="218">
        <f t="shared" si="35"/>
        <v>0</v>
      </c>
      <c r="K318" s="292" t="str">
        <f t="array" ref="K318">IFERROR(I318*INDEX('PORTIFÓLIO'!$S$4:$S$433,MATCH($C318,'PORTIFÓLIO'!$C$4:$C$433,0)),"")</f>
        <v/>
      </c>
      <c r="L318" s="292" t="str">
        <f t="array" ref="L318">IFERROR(J318*INDEX('PORTIFÓLIO'!$S$4:$S$433,MATCH($C318,'PORTIFÓLIO'!$C$4:$C$433,0)),"")</f>
        <v/>
      </c>
      <c r="M318" s="220"/>
      <c r="N318" s="220"/>
      <c r="O318" s="220"/>
      <c r="P318" s="220"/>
      <c r="Q318" s="220"/>
      <c r="R318" s="220"/>
      <c r="S318" s="220"/>
      <c r="T318" s="220"/>
      <c r="U318" s="220"/>
      <c r="V318" s="220"/>
      <c r="W318" s="220"/>
    </row>
    <row r="319" ht="15.75" customHeight="1" outlineLevel="1">
      <c r="A319" s="211"/>
      <c r="B319" s="212"/>
      <c r="C319" s="213"/>
      <c r="D319" s="214" t="str">
        <f>IFERROR(VLOOKUP($C319,'PORTIFÓLIO'!C:V,2,0),"")</f>
        <v/>
      </c>
      <c r="E319" s="211" t="str">
        <f>IFERROR(VLOOKUP($C319,'PORTIFÓLIO'!C:V,3,0),"")</f>
        <v/>
      </c>
      <c r="F319" s="211" t="str">
        <f>IFERROR(VLOOKUP($C319,'PORTIFÓLIO'!C:V,4,0),"")</f>
        <v/>
      </c>
      <c r="G319" s="215" t="str">
        <f>IFERROR(VLOOKUP($C319,'PORTIFÓLIO'!C:V,5,0),"")</f>
        <v/>
      </c>
      <c r="H319" s="254" t="str">
        <f t="array" ref="H319">IFERROR(INDEX('PORTIFÓLIO'!$H$4:$H$433,MATCH($C319,'PORTIFÓLIO'!$C$4:$C$433,0)),"")</f>
        <v/>
      </c>
      <c r="I319" s="256"/>
      <c r="J319" s="218">
        <f t="shared" si="35"/>
        <v>0</v>
      </c>
      <c r="K319" s="292" t="str">
        <f t="array" ref="K319">IFERROR(I319*INDEX('PORTIFÓLIO'!$S$4:$S$433,MATCH($C319,'PORTIFÓLIO'!$C$4:$C$433,0)),"")</f>
        <v/>
      </c>
      <c r="L319" s="292" t="str">
        <f t="array" ref="L319">IFERROR(J319*INDEX('PORTIFÓLIO'!$S$4:$S$433,MATCH($C319,'PORTIFÓLIO'!$C$4:$C$433,0)),"")</f>
        <v/>
      </c>
      <c r="M319" s="220"/>
      <c r="N319" s="220"/>
      <c r="O319" s="220"/>
      <c r="P319" s="220"/>
      <c r="Q319" s="220"/>
      <c r="R319" s="220"/>
      <c r="S319" s="220"/>
      <c r="T319" s="220"/>
      <c r="U319" s="220"/>
      <c r="V319" s="220"/>
      <c r="W319" s="220"/>
    </row>
    <row r="320" ht="15.75" customHeight="1" outlineLevel="1">
      <c r="A320" s="211"/>
      <c r="B320" s="212"/>
      <c r="C320" s="213"/>
      <c r="D320" s="214" t="str">
        <f>IFERROR(VLOOKUP($C320,'PORTIFÓLIO'!C:V,2,0),"")</f>
        <v/>
      </c>
      <c r="E320" s="211" t="str">
        <f>IFERROR(VLOOKUP($C320,'PORTIFÓLIO'!C:V,3,0),"")</f>
        <v/>
      </c>
      <c r="F320" s="211" t="str">
        <f>IFERROR(VLOOKUP($C320,'PORTIFÓLIO'!C:V,4,0),"")</f>
        <v/>
      </c>
      <c r="G320" s="215" t="str">
        <f>IFERROR(VLOOKUP($C320,'PORTIFÓLIO'!C:V,5,0),"")</f>
        <v/>
      </c>
      <c r="H320" s="254" t="str">
        <f t="array" ref="H320">IFERROR(INDEX('PORTIFÓLIO'!$H$4:$H$433,MATCH($C320,'PORTIFÓLIO'!$C$4:$C$433,0)),"")</f>
        <v/>
      </c>
      <c r="I320" s="256"/>
      <c r="J320" s="218">
        <f t="shared" si="35"/>
        <v>0</v>
      </c>
      <c r="K320" s="292" t="str">
        <f t="array" ref="K320">IFERROR(I320*INDEX('PORTIFÓLIO'!$S$4:$S$433,MATCH($C320,'PORTIFÓLIO'!$C$4:$C$433,0)),"")</f>
        <v/>
      </c>
      <c r="L320" s="292" t="str">
        <f t="array" ref="L320">IFERROR(J320*INDEX('PORTIFÓLIO'!$S$4:$S$433,MATCH($C320,'PORTIFÓLIO'!$C$4:$C$433,0)),"")</f>
        <v/>
      </c>
      <c r="M320" s="220"/>
      <c r="N320" s="220"/>
      <c r="O320" s="220"/>
      <c r="P320" s="220"/>
      <c r="Q320" s="220"/>
      <c r="R320" s="220"/>
      <c r="S320" s="220"/>
      <c r="T320" s="220"/>
      <c r="U320" s="220"/>
      <c r="V320" s="220"/>
      <c r="W320" s="220"/>
    </row>
    <row r="321" ht="15.75" customHeight="1" outlineLevel="1">
      <c r="A321" s="211"/>
      <c r="B321" s="212"/>
      <c r="C321" s="213"/>
      <c r="D321" s="214" t="str">
        <f>IFERROR(VLOOKUP($C321,'PORTIFÓLIO'!C:V,2,0),"")</f>
        <v/>
      </c>
      <c r="E321" s="211" t="str">
        <f>IFERROR(VLOOKUP($C321,'PORTIFÓLIO'!C:V,3,0),"")</f>
        <v/>
      </c>
      <c r="F321" s="211" t="str">
        <f>IFERROR(VLOOKUP($C321,'PORTIFÓLIO'!C:V,4,0),"")</f>
        <v/>
      </c>
      <c r="G321" s="215" t="str">
        <f>IFERROR(VLOOKUP($C321,'PORTIFÓLIO'!C:V,5,0),"")</f>
        <v/>
      </c>
      <c r="H321" s="254" t="str">
        <f t="array" ref="H321">IFERROR(INDEX('PORTIFÓLIO'!$H$4:$H$433,MATCH($C321,'PORTIFÓLIO'!$C$4:$C$433,0)),"")</f>
        <v/>
      </c>
      <c r="I321" s="256"/>
      <c r="J321" s="218">
        <f t="shared" si="35"/>
        <v>0</v>
      </c>
      <c r="K321" s="292" t="str">
        <f t="array" ref="K321">IFERROR(I321*INDEX('PORTIFÓLIO'!$S$4:$S$433,MATCH($C321,'PORTIFÓLIO'!$C$4:$C$433,0)),"")</f>
        <v/>
      </c>
      <c r="L321" s="292" t="str">
        <f t="array" ref="L321">IFERROR(J321*INDEX('PORTIFÓLIO'!$S$4:$S$433,MATCH($C321,'PORTIFÓLIO'!$C$4:$C$433,0)),"")</f>
        <v/>
      </c>
      <c r="M321" s="220"/>
      <c r="N321" s="220"/>
      <c r="O321" s="220"/>
      <c r="P321" s="220"/>
      <c r="Q321" s="220"/>
      <c r="R321" s="220"/>
      <c r="S321" s="220"/>
      <c r="T321" s="220"/>
      <c r="U321" s="220"/>
      <c r="V321" s="220"/>
      <c r="W321" s="220"/>
    </row>
    <row r="322" ht="15.75" customHeight="1" outlineLevel="1">
      <c r="A322" s="211"/>
      <c r="B322" s="212"/>
      <c r="C322" s="213"/>
      <c r="D322" s="214" t="str">
        <f>IFERROR(VLOOKUP($C322,'PORTIFÓLIO'!C:V,2,0),"")</f>
        <v/>
      </c>
      <c r="E322" s="211" t="str">
        <f>IFERROR(VLOOKUP($C322,'PORTIFÓLIO'!C:V,3,0),"")</f>
        <v/>
      </c>
      <c r="F322" s="211" t="str">
        <f>IFERROR(VLOOKUP($C322,'PORTIFÓLIO'!C:V,4,0),"")</f>
        <v/>
      </c>
      <c r="G322" s="215" t="str">
        <f>IFERROR(VLOOKUP($C322,'PORTIFÓLIO'!C:V,5,0),"")</f>
        <v/>
      </c>
      <c r="H322" s="254" t="str">
        <f t="array" ref="H322">IFERROR(INDEX('PORTIFÓLIO'!$H$4:$H$433,MATCH($C322,'PORTIFÓLIO'!$C$4:$C$433,0)),"")</f>
        <v/>
      </c>
      <c r="I322" s="256"/>
      <c r="J322" s="218">
        <f t="shared" si="35"/>
        <v>0</v>
      </c>
      <c r="K322" s="292" t="str">
        <f t="array" ref="K322">IFERROR(I322*INDEX('PORTIFÓLIO'!$S$4:$S$433,MATCH($C322,'PORTIFÓLIO'!$C$4:$C$433,0)),"")</f>
        <v/>
      </c>
      <c r="L322" s="292" t="str">
        <f t="array" ref="L322">IFERROR(J322*INDEX('PORTIFÓLIO'!$S$4:$S$433,MATCH($C322,'PORTIFÓLIO'!$C$4:$C$433,0)),"")</f>
        <v/>
      </c>
      <c r="M322" s="220"/>
      <c r="N322" s="220"/>
      <c r="O322" s="220"/>
      <c r="P322" s="220"/>
      <c r="Q322" s="220"/>
      <c r="R322" s="220"/>
      <c r="S322" s="220"/>
      <c r="T322" s="220"/>
      <c r="U322" s="220"/>
      <c r="V322" s="220"/>
      <c r="W322" s="220"/>
    </row>
    <row r="323" ht="15.75" customHeight="1" outlineLevel="1">
      <c r="A323" s="211"/>
      <c r="B323" s="212"/>
      <c r="C323" s="213"/>
      <c r="D323" s="214" t="str">
        <f>IFERROR(VLOOKUP($C323,'PORTIFÓLIO'!C:V,2,0),"")</f>
        <v/>
      </c>
      <c r="E323" s="211" t="str">
        <f>IFERROR(VLOOKUP($C323,'PORTIFÓLIO'!C:V,3,0),"")</f>
        <v/>
      </c>
      <c r="F323" s="211" t="str">
        <f>IFERROR(VLOOKUP($C323,'PORTIFÓLIO'!C:V,4,0),"")</f>
        <v/>
      </c>
      <c r="G323" s="215" t="str">
        <f>IFERROR(VLOOKUP($C323,'PORTIFÓLIO'!C:V,5,0),"")</f>
        <v/>
      </c>
      <c r="H323" s="254" t="str">
        <f t="array" ref="H323">IFERROR(INDEX('PORTIFÓLIO'!$H$4:$H$433,MATCH($C323,'PORTIFÓLIO'!$C$4:$C$433,0)),"")</f>
        <v/>
      </c>
      <c r="I323" s="256"/>
      <c r="J323" s="218">
        <f t="shared" si="35"/>
        <v>0</v>
      </c>
      <c r="K323" s="292" t="str">
        <f t="array" ref="K323">IFERROR(I323*INDEX('PORTIFÓLIO'!$S$4:$S$433,MATCH($C323,'PORTIFÓLIO'!$C$4:$C$433,0)),"")</f>
        <v/>
      </c>
      <c r="L323" s="292" t="str">
        <f t="array" ref="L323">IFERROR(J323*INDEX('PORTIFÓLIO'!$S$4:$S$433,MATCH($C323,'PORTIFÓLIO'!$C$4:$C$433,0)),"")</f>
        <v/>
      </c>
      <c r="M323" s="220"/>
      <c r="N323" s="220"/>
      <c r="O323" s="220"/>
      <c r="P323" s="220"/>
      <c r="Q323" s="220"/>
      <c r="R323" s="220"/>
      <c r="S323" s="220"/>
      <c r="T323" s="220"/>
      <c r="U323" s="220"/>
      <c r="V323" s="220"/>
      <c r="W323" s="220"/>
    </row>
    <row r="324" ht="15.75" customHeight="1">
      <c r="A324" s="229" t="s">
        <v>1189</v>
      </c>
      <c r="B324" s="230"/>
      <c r="C324" s="231"/>
      <c r="D324" s="232"/>
      <c r="E324" s="231"/>
      <c r="F324" s="231"/>
      <c r="G324" s="233"/>
      <c r="H324" s="233"/>
      <c r="I324" s="258"/>
      <c r="J324" s="236"/>
      <c r="K324" s="237">
        <f t="shared" ref="K324:L324" si="36">SUBTOTAL(9,K325:K338)</f>
        <v>0</v>
      </c>
      <c r="L324" s="237">
        <f t="shared" si="36"/>
        <v>0</v>
      </c>
      <c r="M324" s="220"/>
      <c r="N324" s="220"/>
      <c r="O324" s="220"/>
      <c r="P324" s="220"/>
      <c r="Q324" s="220"/>
      <c r="R324" s="220"/>
      <c r="S324" s="220"/>
      <c r="T324" s="220"/>
      <c r="U324" s="220"/>
      <c r="V324" s="220"/>
      <c r="W324" s="220"/>
    </row>
    <row r="325" ht="15.75" customHeight="1" outlineLevel="1">
      <c r="A325" s="213"/>
      <c r="B325" s="212"/>
      <c r="C325" s="213"/>
      <c r="D325" s="214" t="str">
        <f>IFERROR(VLOOKUP($C325,'PORTIFÓLIO'!C:V,2,0),"")</f>
        <v/>
      </c>
      <c r="E325" s="211" t="str">
        <f>IFERROR(VLOOKUP($C325,'PORTIFÓLIO'!C:V,3,0),"")</f>
        <v/>
      </c>
      <c r="F325" s="211" t="str">
        <f>IFERROR(VLOOKUP($C325,'PORTIFÓLIO'!C:V,4,0),"")</f>
        <v/>
      </c>
      <c r="G325" s="215" t="str">
        <f>IFERROR(VLOOKUP($C325,'PORTIFÓLIO'!C:V,5,0),"")</f>
        <v/>
      </c>
      <c r="H325" s="254" t="str">
        <f t="array" ref="H325">IFERROR(INDEX('PORTIFÓLIO'!$H$4:$H$433,MATCH($C325,'PORTIFÓLIO'!$C$4:$C$433,0)),"")</f>
        <v/>
      </c>
      <c r="I325" s="255"/>
      <c r="J325" s="218">
        <f t="shared" ref="J325:J339" si="37">I325*$B$2</f>
        <v>0</v>
      </c>
      <c r="K325" s="292" t="str">
        <f t="array" ref="K325">IFERROR(I325*INDEX('PORTIFÓLIO'!$S$4:$S$433,MATCH($C325,'PORTIFÓLIO'!$C$4:$C$433,0)),"")</f>
        <v/>
      </c>
      <c r="L325" s="292" t="str">
        <f t="array" ref="L325">IFERROR(J325*INDEX('PORTIFÓLIO'!$S$4:$S$433,MATCH($C325,'PORTIFÓLIO'!$C$4:$C$433,0)),"")</f>
        <v/>
      </c>
      <c r="M325" s="220"/>
      <c r="N325" s="220"/>
      <c r="O325" s="220"/>
      <c r="P325" s="220"/>
      <c r="Q325" s="220"/>
      <c r="R325" s="220"/>
      <c r="S325" s="220"/>
      <c r="T325" s="220"/>
      <c r="U325" s="220"/>
      <c r="V325" s="220"/>
      <c r="W325" s="220"/>
    </row>
    <row r="326" ht="15.75" customHeight="1" outlineLevel="1">
      <c r="A326" s="211"/>
      <c r="B326" s="212"/>
      <c r="C326" s="213"/>
      <c r="D326" s="214" t="str">
        <f>IFERROR(VLOOKUP($C326,'PORTIFÓLIO'!C:V,2,0),"")</f>
        <v/>
      </c>
      <c r="E326" s="211" t="str">
        <f>IFERROR(VLOOKUP($C326,'PORTIFÓLIO'!C:V,3,0),"")</f>
        <v/>
      </c>
      <c r="F326" s="211" t="str">
        <f>IFERROR(VLOOKUP($C326,'PORTIFÓLIO'!C:V,4,0),"")</f>
        <v/>
      </c>
      <c r="G326" s="215" t="str">
        <f>IFERROR(VLOOKUP($C326,'PORTIFÓLIO'!C:V,5,0),"")</f>
        <v/>
      </c>
      <c r="H326" s="254" t="str">
        <f t="array" ref="H326">IFERROR(INDEX('PORTIFÓLIO'!$H$4:$H$433,MATCH($C326,'PORTIFÓLIO'!$C$4:$C$433,0)),"")</f>
        <v/>
      </c>
      <c r="I326" s="256"/>
      <c r="J326" s="218">
        <f t="shared" si="37"/>
        <v>0</v>
      </c>
      <c r="K326" s="292" t="str">
        <f t="array" ref="K326">IFERROR(I326*INDEX('PORTIFÓLIO'!$S$4:$S$433,MATCH($C326,'PORTIFÓLIO'!$C$4:$C$433,0)),"")</f>
        <v/>
      </c>
      <c r="L326" s="292" t="str">
        <f t="array" ref="L326">IFERROR(J326*INDEX('PORTIFÓLIO'!$S$4:$S$433,MATCH($C326,'PORTIFÓLIO'!$C$4:$C$433,0)),"")</f>
        <v/>
      </c>
      <c r="M326" s="220"/>
      <c r="N326" s="220"/>
      <c r="O326" s="220"/>
      <c r="P326" s="220"/>
      <c r="Q326" s="220"/>
      <c r="R326" s="220"/>
      <c r="S326" s="220"/>
      <c r="T326" s="220"/>
      <c r="U326" s="220"/>
      <c r="V326" s="220"/>
      <c r="W326" s="220"/>
    </row>
    <row r="327" ht="15.75" customHeight="1" outlineLevel="1">
      <c r="A327" s="211"/>
      <c r="B327" s="212"/>
      <c r="C327" s="213"/>
      <c r="D327" s="214" t="str">
        <f>IFERROR(VLOOKUP($C327,'PORTIFÓLIO'!C:V,2,0),"")</f>
        <v/>
      </c>
      <c r="E327" s="211" t="str">
        <f>IFERROR(VLOOKUP($C327,'PORTIFÓLIO'!C:V,3,0),"")</f>
        <v/>
      </c>
      <c r="F327" s="211" t="str">
        <f>IFERROR(VLOOKUP($C327,'PORTIFÓLIO'!C:V,4,0),"")</f>
        <v/>
      </c>
      <c r="G327" s="215" t="str">
        <f>IFERROR(VLOOKUP($C327,'PORTIFÓLIO'!C:V,5,0),"")</f>
        <v/>
      </c>
      <c r="H327" s="254" t="str">
        <f t="array" ref="H327">IFERROR(INDEX('PORTIFÓLIO'!$H$4:$H$433,MATCH($C327,'PORTIFÓLIO'!$C$4:$C$433,0)),"")</f>
        <v/>
      </c>
      <c r="I327" s="256"/>
      <c r="J327" s="218">
        <f t="shared" si="37"/>
        <v>0</v>
      </c>
      <c r="K327" s="292" t="str">
        <f t="array" ref="K327">IFERROR(I327*INDEX('PORTIFÓLIO'!$S$4:$S$433,MATCH($C327,'PORTIFÓLIO'!$C$4:$C$433,0)),"")</f>
        <v/>
      </c>
      <c r="L327" s="292" t="str">
        <f t="array" ref="L327">IFERROR(J327*INDEX('PORTIFÓLIO'!$S$4:$S$433,MATCH($C327,'PORTIFÓLIO'!$C$4:$C$433,0)),"")</f>
        <v/>
      </c>
      <c r="M327" s="220"/>
      <c r="N327" s="220"/>
      <c r="O327" s="220"/>
      <c r="P327" s="220"/>
      <c r="Q327" s="220"/>
      <c r="R327" s="220"/>
      <c r="S327" s="220"/>
      <c r="T327" s="220"/>
      <c r="U327" s="220"/>
      <c r="V327" s="220"/>
      <c r="W327" s="220"/>
    </row>
    <row r="328" ht="15.75" customHeight="1" outlineLevel="1">
      <c r="A328" s="211"/>
      <c r="B328" s="212"/>
      <c r="C328" s="213"/>
      <c r="D328" s="214" t="str">
        <f>IFERROR(VLOOKUP($C328,'PORTIFÓLIO'!C:V,2,0),"")</f>
        <v/>
      </c>
      <c r="E328" s="211" t="str">
        <f>IFERROR(VLOOKUP($C328,'PORTIFÓLIO'!C:V,3,0),"")</f>
        <v/>
      </c>
      <c r="F328" s="211" t="str">
        <f>IFERROR(VLOOKUP($C328,'PORTIFÓLIO'!C:V,4,0),"")</f>
        <v/>
      </c>
      <c r="G328" s="215" t="str">
        <f>IFERROR(VLOOKUP($C328,'PORTIFÓLIO'!C:V,5,0),"")</f>
        <v/>
      </c>
      <c r="H328" s="254" t="str">
        <f t="array" ref="H328">IFERROR(INDEX('PORTIFÓLIO'!$H$4:$H$433,MATCH($C328,'PORTIFÓLIO'!$C$4:$C$433,0)),"")</f>
        <v/>
      </c>
      <c r="I328" s="256"/>
      <c r="J328" s="218">
        <f t="shared" si="37"/>
        <v>0</v>
      </c>
      <c r="K328" s="292" t="str">
        <f t="array" ref="K328">IFERROR(I328*INDEX('PORTIFÓLIO'!$S$4:$S$433,MATCH($C328,'PORTIFÓLIO'!$C$4:$C$433,0)),"")</f>
        <v/>
      </c>
      <c r="L328" s="292" t="str">
        <f t="array" ref="L328">IFERROR(J328*INDEX('PORTIFÓLIO'!$S$4:$S$433,MATCH($C328,'PORTIFÓLIO'!$C$4:$C$433,0)),"")</f>
        <v/>
      </c>
      <c r="M328" s="220"/>
      <c r="N328" s="220"/>
      <c r="O328" s="220"/>
      <c r="P328" s="220"/>
      <c r="Q328" s="220"/>
      <c r="R328" s="220"/>
      <c r="S328" s="220"/>
      <c r="T328" s="220"/>
      <c r="U328" s="220"/>
      <c r="V328" s="220"/>
      <c r="W328" s="220"/>
    </row>
    <row r="329" ht="15.75" customHeight="1" outlineLevel="1">
      <c r="A329" s="211"/>
      <c r="B329" s="212"/>
      <c r="C329" s="213"/>
      <c r="D329" s="214" t="str">
        <f>IFERROR(VLOOKUP($C329,'PORTIFÓLIO'!C:V,2,0),"")</f>
        <v/>
      </c>
      <c r="E329" s="211" t="str">
        <f>IFERROR(VLOOKUP($C329,'PORTIFÓLIO'!C:V,3,0),"")</f>
        <v/>
      </c>
      <c r="F329" s="211" t="str">
        <f>IFERROR(VLOOKUP($C329,'PORTIFÓLIO'!C:V,4,0),"")</f>
        <v/>
      </c>
      <c r="G329" s="215" t="str">
        <f>IFERROR(VLOOKUP($C329,'PORTIFÓLIO'!C:V,5,0),"")</f>
        <v/>
      </c>
      <c r="H329" s="254" t="str">
        <f t="array" ref="H329">IFERROR(INDEX('PORTIFÓLIO'!$H$4:$H$433,MATCH($C329,'PORTIFÓLIO'!$C$4:$C$433,0)),"")</f>
        <v/>
      </c>
      <c r="I329" s="256"/>
      <c r="J329" s="218">
        <f t="shared" si="37"/>
        <v>0</v>
      </c>
      <c r="K329" s="292" t="str">
        <f t="array" ref="K329">IFERROR(I329*INDEX('PORTIFÓLIO'!$S$4:$S$433,MATCH($C329,'PORTIFÓLIO'!$C$4:$C$433,0)),"")</f>
        <v/>
      </c>
      <c r="L329" s="292" t="str">
        <f t="array" ref="L329">IFERROR(J329*INDEX('PORTIFÓLIO'!$S$4:$S$433,MATCH($C329,'PORTIFÓLIO'!$C$4:$C$433,0)),"")</f>
        <v/>
      </c>
      <c r="M329" s="220"/>
      <c r="N329" s="220"/>
      <c r="O329" s="220"/>
      <c r="P329" s="220"/>
      <c r="Q329" s="220"/>
      <c r="R329" s="220"/>
      <c r="S329" s="220"/>
      <c r="T329" s="220"/>
      <c r="U329" s="220"/>
      <c r="V329" s="220"/>
      <c r="W329" s="220"/>
    </row>
    <row r="330" ht="15.75" customHeight="1" outlineLevel="1">
      <c r="A330" s="211"/>
      <c r="B330" s="212"/>
      <c r="C330" s="213"/>
      <c r="D330" s="214" t="str">
        <f>IFERROR(VLOOKUP($C330,'PORTIFÓLIO'!C:V,2,0),"")</f>
        <v/>
      </c>
      <c r="E330" s="211" t="str">
        <f>IFERROR(VLOOKUP($C330,'PORTIFÓLIO'!C:V,3,0),"")</f>
        <v/>
      </c>
      <c r="F330" s="211" t="str">
        <f>IFERROR(VLOOKUP($C330,'PORTIFÓLIO'!C:V,4,0),"")</f>
        <v/>
      </c>
      <c r="G330" s="215" t="str">
        <f>IFERROR(VLOOKUP($C330,'PORTIFÓLIO'!C:V,5,0),"")</f>
        <v/>
      </c>
      <c r="H330" s="254" t="str">
        <f t="array" ref="H330">IFERROR(INDEX('PORTIFÓLIO'!$H$4:$H$433,MATCH($C330,'PORTIFÓLIO'!$C$4:$C$433,0)),"")</f>
        <v/>
      </c>
      <c r="I330" s="256"/>
      <c r="J330" s="218">
        <f t="shared" si="37"/>
        <v>0</v>
      </c>
      <c r="K330" s="292" t="str">
        <f t="array" ref="K330">IFERROR(I330*INDEX('PORTIFÓLIO'!$S$4:$S$433,MATCH($C330,'PORTIFÓLIO'!$C$4:$C$433,0)),"")</f>
        <v/>
      </c>
      <c r="L330" s="292" t="str">
        <f t="array" ref="L330">IFERROR(J330*INDEX('PORTIFÓLIO'!$S$4:$S$433,MATCH($C330,'PORTIFÓLIO'!$C$4:$C$433,0)),"")</f>
        <v/>
      </c>
      <c r="M330" s="220"/>
      <c r="N330" s="220"/>
      <c r="O330" s="220"/>
      <c r="P330" s="220"/>
      <c r="Q330" s="220"/>
      <c r="R330" s="220"/>
      <c r="S330" s="220"/>
      <c r="T330" s="220"/>
      <c r="U330" s="220"/>
      <c r="V330" s="220"/>
      <c r="W330" s="220"/>
    </row>
    <row r="331" ht="15.75" customHeight="1" outlineLevel="1">
      <c r="A331" s="211"/>
      <c r="B331" s="212"/>
      <c r="C331" s="213"/>
      <c r="D331" s="214" t="str">
        <f>IFERROR(VLOOKUP($C331,'PORTIFÓLIO'!C:V,2,0),"")</f>
        <v/>
      </c>
      <c r="E331" s="211" t="str">
        <f>IFERROR(VLOOKUP($C331,'PORTIFÓLIO'!C:V,3,0),"")</f>
        <v/>
      </c>
      <c r="F331" s="211" t="str">
        <f>IFERROR(VLOOKUP($C331,'PORTIFÓLIO'!C:V,4,0),"")</f>
        <v/>
      </c>
      <c r="G331" s="215" t="str">
        <f>IFERROR(VLOOKUP($C331,'PORTIFÓLIO'!C:V,5,0),"")</f>
        <v/>
      </c>
      <c r="H331" s="254" t="str">
        <f t="array" ref="H331">IFERROR(INDEX('PORTIFÓLIO'!$H$4:$H$433,MATCH($C331,'PORTIFÓLIO'!$C$4:$C$433,0)),"")</f>
        <v/>
      </c>
      <c r="I331" s="256"/>
      <c r="J331" s="218">
        <f t="shared" si="37"/>
        <v>0</v>
      </c>
      <c r="K331" s="292" t="str">
        <f t="array" ref="K331">IFERROR(I331*INDEX('PORTIFÓLIO'!$S$4:$S$433,MATCH($C331,'PORTIFÓLIO'!$C$4:$C$433,0)),"")</f>
        <v/>
      </c>
      <c r="L331" s="292" t="str">
        <f t="array" ref="L331">IFERROR(J331*INDEX('PORTIFÓLIO'!$S$4:$S$433,MATCH($C331,'PORTIFÓLIO'!$C$4:$C$433,0)),"")</f>
        <v/>
      </c>
      <c r="M331" s="220"/>
      <c r="N331" s="220"/>
      <c r="O331" s="220"/>
      <c r="P331" s="220"/>
      <c r="Q331" s="220"/>
      <c r="R331" s="220"/>
      <c r="S331" s="220"/>
      <c r="T331" s="220"/>
      <c r="U331" s="220"/>
      <c r="V331" s="220"/>
      <c r="W331" s="220"/>
    </row>
    <row r="332" ht="15.75" customHeight="1" outlineLevel="1">
      <c r="A332" s="211"/>
      <c r="B332" s="212"/>
      <c r="C332" s="213"/>
      <c r="D332" s="214" t="str">
        <f>IFERROR(VLOOKUP($C332,'PORTIFÓLIO'!C:V,2,0),"")</f>
        <v/>
      </c>
      <c r="E332" s="211" t="str">
        <f>IFERROR(VLOOKUP($C332,'PORTIFÓLIO'!C:V,3,0),"")</f>
        <v/>
      </c>
      <c r="F332" s="211" t="str">
        <f>IFERROR(VLOOKUP($C332,'PORTIFÓLIO'!C:V,4,0),"")</f>
        <v/>
      </c>
      <c r="G332" s="215" t="str">
        <f>IFERROR(VLOOKUP($C332,'PORTIFÓLIO'!C:V,5,0),"")</f>
        <v/>
      </c>
      <c r="H332" s="254" t="str">
        <f t="array" ref="H332">IFERROR(INDEX('PORTIFÓLIO'!$H$4:$H$433,MATCH($C332,'PORTIFÓLIO'!$C$4:$C$433,0)),"")</f>
        <v/>
      </c>
      <c r="I332" s="256"/>
      <c r="J332" s="218">
        <f t="shared" si="37"/>
        <v>0</v>
      </c>
      <c r="K332" s="292" t="str">
        <f t="array" ref="K332">IFERROR(I332*INDEX('PORTIFÓLIO'!$S$4:$S$433,MATCH($C332,'PORTIFÓLIO'!$C$4:$C$433,0)),"")</f>
        <v/>
      </c>
      <c r="L332" s="292" t="str">
        <f t="array" ref="L332">IFERROR(J332*INDEX('PORTIFÓLIO'!$S$4:$S$433,MATCH($C332,'PORTIFÓLIO'!$C$4:$C$433,0)),"")</f>
        <v/>
      </c>
      <c r="M332" s="220"/>
      <c r="N332" s="220"/>
      <c r="O332" s="220"/>
      <c r="P332" s="220"/>
      <c r="Q332" s="220"/>
      <c r="R332" s="220"/>
      <c r="S332" s="220"/>
      <c r="T332" s="220"/>
      <c r="U332" s="220"/>
      <c r="V332" s="220"/>
      <c r="W332" s="220"/>
    </row>
    <row r="333" ht="15.75" customHeight="1" outlineLevel="1">
      <c r="A333" s="211"/>
      <c r="B333" s="212"/>
      <c r="C333" s="213"/>
      <c r="D333" s="214" t="str">
        <f>IFERROR(VLOOKUP($C333,'PORTIFÓLIO'!C:V,2,0),"")</f>
        <v/>
      </c>
      <c r="E333" s="211" t="str">
        <f>IFERROR(VLOOKUP($C333,'PORTIFÓLIO'!C:V,3,0),"")</f>
        <v/>
      </c>
      <c r="F333" s="211" t="str">
        <f>IFERROR(VLOOKUP($C333,'PORTIFÓLIO'!C:V,4,0),"")</f>
        <v/>
      </c>
      <c r="G333" s="215" t="str">
        <f>IFERROR(VLOOKUP($C333,'PORTIFÓLIO'!C:V,5,0),"")</f>
        <v/>
      </c>
      <c r="H333" s="254" t="str">
        <f t="array" ref="H333">IFERROR(INDEX('PORTIFÓLIO'!$H$4:$H$433,MATCH($C333,'PORTIFÓLIO'!$C$4:$C$433,0)),"")</f>
        <v/>
      </c>
      <c r="I333" s="255"/>
      <c r="J333" s="218">
        <f t="shared" si="37"/>
        <v>0</v>
      </c>
      <c r="K333" s="292" t="str">
        <f t="array" ref="K333">IFERROR(I333*INDEX('PORTIFÓLIO'!$S$4:$S$433,MATCH($C333,'PORTIFÓLIO'!$C$4:$C$433,0)),"")</f>
        <v/>
      </c>
      <c r="L333" s="292" t="str">
        <f t="array" ref="L333">IFERROR(J333*INDEX('PORTIFÓLIO'!$S$4:$S$433,MATCH($C333,'PORTIFÓLIO'!$C$4:$C$433,0)),"")</f>
        <v/>
      </c>
      <c r="M333" s="220"/>
      <c r="N333" s="220"/>
      <c r="O333" s="220"/>
      <c r="P333" s="220"/>
      <c r="Q333" s="220"/>
      <c r="R333" s="220"/>
      <c r="S333" s="220"/>
      <c r="T333" s="220"/>
      <c r="U333" s="220"/>
      <c r="V333" s="220"/>
      <c r="W333" s="220"/>
    </row>
    <row r="334" ht="15.75" customHeight="1" outlineLevel="1">
      <c r="A334" s="211"/>
      <c r="B334" s="212"/>
      <c r="C334" s="213"/>
      <c r="D334" s="214" t="str">
        <f>IFERROR(VLOOKUP($C334,'PORTIFÓLIO'!C:V,2,0),"")</f>
        <v/>
      </c>
      <c r="E334" s="211" t="str">
        <f>IFERROR(VLOOKUP($C334,'PORTIFÓLIO'!C:V,3,0),"")</f>
        <v/>
      </c>
      <c r="F334" s="211" t="str">
        <f>IFERROR(VLOOKUP($C334,'PORTIFÓLIO'!C:V,4,0),"")</f>
        <v/>
      </c>
      <c r="G334" s="215" t="str">
        <f>IFERROR(VLOOKUP($C334,'PORTIFÓLIO'!C:V,5,0),"")</f>
        <v/>
      </c>
      <c r="H334" s="254" t="str">
        <f t="array" ref="H334">IFERROR(INDEX('PORTIFÓLIO'!$H$4:$H$433,MATCH($C334,'PORTIFÓLIO'!$C$4:$C$433,0)),"")</f>
        <v/>
      </c>
      <c r="I334" s="256"/>
      <c r="J334" s="218">
        <f t="shared" si="37"/>
        <v>0</v>
      </c>
      <c r="K334" s="292" t="str">
        <f t="array" ref="K334">IFERROR(I334*INDEX('PORTIFÓLIO'!$S$4:$S$433,MATCH($C334,'PORTIFÓLIO'!$C$4:$C$433,0)),"")</f>
        <v/>
      </c>
      <c r="L334" s="292" t="str">
        <f t="array" ref="L334">IFERROR(J334*INDEX('PORTIFÓLIO'!$S$4:$S$433,MATCH($C334,'PORTIFÓLIO'!$C$4:$C$433,0)),"")</f>
        <v/>
      </c>
      <c r="M334" s="220"/>
      <c r="N334" s="220"/>
      <c r="O334" s="220"/>
      <c r="P334" s="220"/>
      <c r="Q334" s="220"/>
      <c r="R334" s="220"/>
      <c r="S334" s="220"/>
      <c r="T334" s="220"/>
      <c r="U334" s="220"/>
      <c r="V334" s="220"/>
      <c r="W334" s="220"/>
    </row>
    <row r="335" ht="15.75" customHeight="1" outlineLevel="1">
      <c r="A335" s="211"/>
      <c r="B335" s="212"/>
      <c r="C335" s="213"/>
      <c r="D335" s="214" t="str">
        <f>IFERROR(VLOOKUP($C335,'PORTIFÓLIO'!C:V,2,0),"")</f>
        <v/>
      </c>
      <c r="E335" s="211" t="str">
        <f>IFERROR(VLOOKUP($C335,'PORTIFÓLIO'!C:V,3,0),"")</f>
        <v/>
      </c>
      <c r="F335" s="211" t="str">
        <f>IFERROR(VLOOKUP($C335,'PORTIFÓLIO'!C:V,4,0),"")</f>
        <v/>
      </c>
      <c r="G335" s="215" t="str">
        <f>IFERROR(VLOOKUP($C335,'PORTIFÓLIO'!C:V,5,0),"")</f>
        <v/>
      </c>
      <c r="H335" s="254" t="str">
        <f t="array" ref="H335">IFERROR(INDEX('PORTIFÓLIO'!$H$4:$H$433,MATCH($C335,'PORTIFÓLIO'!$C$4:$C$433,0)),"")</f>
        <v/>
      </c>
      <c r="I335" s="256"/>
      <c r="J335" s="218">
        <f t="shared" si="37"/>
        <v>0</v>
      </c>
      <c r="K335" s="292" t="str">
        <f t="array" ref="K335">IFERROR(I335*INDEX('PORTIFÓLIO'!$S$4:$S$433,MATCH($C335,'PORTIFÓLIO'!$C$4:$C$433,0)),"")</f>
        <v/>
      </c>
      <c r="L335" s="292" t="str">
        <f t="array" ref="L335">IFERROR(J335*INDEX('PORTIFÓLIO'!$S$4:$S$433,MATCH($C335,'PORTIFÓLIO'!$C$4:$C$433,0)),"")</f>
        <v/>
      </c>
      <c r="M335" s="220"/>
      <c r="N335" s="220"/>
      <c r="O335" s="220"/>
      <c r="P335" s="220"/>
      <c r="Q335" s="220"/>
      <c r="R335" s="220"/>
      <c r="S335" s="220"/>
      <c r="T335" s="220"/>
      <c r="U335" s="220"/>
      <c r="V335" s="220"/>
      <c r="W335" s="220"/>
    </row>
    <row r="336" ht="15.75" customHeight="1" outlineLevel="1">
      <c r="A336" s="211"/>
      <c r="B336" s="212"/>
      <c r="C336" s="213"/>
      <c r="D336" s="214" t="str">
        <f>IFERROR(VLOOKUP($C336,'PORTIFÓLIO'!C:V,2,0),"")</f>
        <v/>
      </c>
      <c r="E336" s="211" t="str">
        <f>IFERROR(VLOOKUP($C336,'PORTIFÓLIO'!C:V,3,0),"")</f>
        <v/>
      </c>
      <c r="F336" s="211" t="str">
        <f>IFERROR(VLOOKUP($C336,'PORTIFÓLIO'!C:V,4,0),"")</f>
        <v/>
      </c>
      <c r="G336" s="215" t="str">
        <f>IFERROR(VLOOKUP($C336,'PORTIFÓLIO'!C:V,5,0),"")</f>
        <v/>
      </c>
      <c r="H336" s="254" t="str">
        <f t="array" ref="H336">IFERROR(INDEX('PORTIFÓLIO'!$H$4:$H$433,MATCH($C336,'PORTIFÓLIO'!$C$4:$C$433,0)),"")</f>
        <v/>
      </c>
      <c r="I336" s="256"/>
      <c r="J336" s="218">
        <f t="shared" si="37"/>
        <v>0</v>
      </c>
      <c r="K336" s="292" t="str">
        <f t="array" ref="K336">IFERROR(I336*INDEX('PORTIFÓLIO'!$S$4:$S$433,MATCH($C336,'PORTIFÓLIO'!$C$4:$C$433,0)),"")</f>
        <v/>
      </c>
      <c r="L336" s="292" t="str">
        <f t="array" ref="L336">IFERROR(J336*INDEX('PORTIFÓLIO'!$S$4:$S$433,MATCH($C336,'PORTIFÓLIO'!$C$4:$C$433,0)),"")</f>
        <v/>
      </c>
      <c r="M336" s="220"/>
      <c r="N336" s="220"/>
      <c r="O336" s="220"/>
      <c r="P336" s="220"/>
      <c r="Q336" s="220"/>
      <c r="R336" s="220"/>
      <c r="S336" s="220"/>
      <c r="T336" s="220"/>
      <c r="U336" s="220"/>
      <c r="V336" s="220"/>
      <c r="W336" s="220"/>
    </row>
    <row r="337" ht="15.75" customHeight="1" outlineLevel="1">
      <c r="A337" s="211"/>
      <c r="B337" s="212"/>
      <c r="C337" s="213"/>
      <c r="D337" s="214" t="str">
        <f>IFERROR(VLOOKUP($C337,'PORTIFÓLIO'!C:V,2,0),"")</f>
        <v/>
      </c>
      <c r="E337" s="211" t="str">
        <f>IFERROR(VLOOKUP($C337,'PORTIFÓLIO'!C:V,3,0),"")</f>
        <v/>
      </c>
      <c r="F337" s="211" t="str">
        <f>IFERROR(VLOOKUP($C337,'PORTIFÓLIO'!C:V,4,0),"")</f>
        <v/>
      </c>
      <c r="G337" s="215" t="str">
        <f>IFERROR(VLOOKUP($C337,'PORTIFÓLIO'!C:V,5,0),"")</f>
        <v/>
      </c>
      <c r="H337" s="254" t="str">
        <f t="array" ref="H337">IFERROR(INDEX('PORTIFÓLIO'!$H$4:$H$433,MATCH($C337,'PORTIFÓLIO'!$C$4:$C$433,0)),"")</f>
        <v/>
      </c>
      <c r="I337" s="256"/>
      <c r="J337" s="218">
        <f t="shared" si="37"/>
        <v>0</v>
      </c>
      <c r="K337" s="292" t="str">
        <f t="array" ref="K337">IFERROR(I337*INDEX('PORTIFÓLIO'!$S$4:$S$433,MATCH($C337,'PORTIFÓLIO'!$C$4:$C$433,0)),"")</f>
        <v/>
      </c>
      <c r="L337" s="292" t="str">
        <f t="array" ref="L337">IFERROR(J337*INDEX('PORTIFÓLIO'!$S$4:$S$433,MATCH($C337,'PORTIFÓLIO'!$C$4:$C$433,0)),"")</f>
        <v/>
      </c>
      <c r="M337" s="220"/>
      <c r="N337" s="220"/>
      <c r="O337" s="220"/>
      <c r="P337" s="220"/>
      <c r="Q337" s="220"/>
      <c r="R337" s="220"/>
      <c r="S337" s="220"/>
      <c r="T337" s="220"/>
      <c r="U337" s="220"/>
      <c r="V337" s="220"/>
      <c r="W337" s="220"/>
    </row>
    <row r="338" ht="15.75" customHeight="1" outlineLevel="1">
      <c r="A338" s="211"/>
      <c r="B338" s="212"/>
      <c r="C338" s="213"/>
      <c r="D338" s="214" t="str">
        <f>IFERROR(VLOOKUP($C338,'PORTIFÓLIO'!C:V,2,0),"")</f>
        <v/>
      </c>
      <c r="E338" s="211" t="str">
        <f>IFERROR(VLOOKUP($C338,'PORTIFÓLIO'!C:V,3,0),"")</f>
        <v/>
      </c>
      <c r="F338" s="211" t="str">
        <f>IFERROR(VLOOKUP($C338,'PORTIFÓLIO'!C:V,4,0),"")</f>
        <v/>
      </c>
      <c r="G338" s="215" t="str">
        <f>IFERROR(VLOOKUP($C338,'PORTIFÓLIO'!C:V,5,0),"")</f>
        <v/>
      </c>
      <c r="H338" s="254" t="str">
        <f t="array" ref="H338">IFERROR(INDEX('PORTIFÓLIO'!$H$4:$H$433,MATCH($C338,'PORTIFÓLIO'!$C$4:$C$433,0)),"")</f>
        <v/>
      </c>
      <c r="I338" s="256"/>
      <c r="J338" s="218">
        <f t="shared" si="37"/>
        <v>0</v>
      </c>
      <c r="K338" s="292" t="str">
        <f t="array" ref="K338">IFERROR(I338*INDEX('PORTIFÓLIO'!$S$4:$S$433,MATCH($C338,'PORTIFÓLIO'!$C$4:$C$433,0)),"")</f>
        <v/>
      </c>
      <c r="L338" s="292" t="str">
        <f t="array" ref="L338">IFERROR(J338*INDEX('PORTIFÓLIO'!$S$4:$S$433,MATCH($C338,'PORTIFÓLIO'!$C$4:$C$433,0)),"")</f>
        <v/>
      </c>
      <c r="M338" s="220"/>
      <c r="N338" s="220"/>
      <c r="O338" s="220"/>
      <c r="P338" s="220"/>
      <c r="Q338" s="220"/>
      <c r="R338" s="220"/>
      <c r="S338" s="220"/>
      <c r="T338" s="220"/>
      <c r="U338" s="220"/>
      <c r="V338" s="220"/>
      <c r="W338" s="220"/>
    </row>
    <row r="339" ht="15.75" customHeight="1" outlineLevel="1">
      <c r="A339" s="211"/>
      <c r="B339" s="212"/>
      <c r="C339" s="213"/>
      <c r="D339" s="214" t="str">
        <f>IFERROR(VLOOKUP($C339,'PORTIFÓLIO'!C:V,2,0),"")</f>
        <v/>
      </c>
      <c r="E339" s="211" t="str">
        <f>IFERROR(VLOOKUP($C339,'PORTIFÓLIO'!C:V,3,0),"")</f>
        <v/>
      </c>
      <c r="F339" s="211" t="str">
        <f>IFERROR(VLOOKUP($C339,'PORTIFÓLIO'!C:V,4,0),"")</f>
        <v/>
      </c>
      <c r="G339" s="215" t="str">
        <f>IFERROR(VLOOKUP($C339,'PORTIFÓLIO'!C:V,5,0),"")</f>
        <v/>
      </c>
      <c r="H339" s="254" t="str">
        <f t="array" ref="H339">IFERROR(INDEX('PORTIFÓLIO'!$H$4:$H$433,MATCH($C339,'PORTIFÓLIO'!$C$4:$C$433,0)),"")</f>
        <v/>
      </c>
      <c r="I339" s="256"/>
      <c r="J339" s="218">
        <f t="shared" si="37"/>
        <v>0</v>
      </c>
      <c r="K339" s="292" t="str">
        <f t="array" ref="K339">IFERROR(I339*INDEX('PORTIFÓLIO'!$S$4:$S$433,MATCH($C339,'PORTIFÓLIO'!$C$4:$C$433,0)),"")</f>
        <v/>
      </c>
      <c r="L339" s="292" t="str">
        <f t="array" ref="L339">IFERROR(J339*INDEX('PORTIFÓLIO'!$S$4:$S$433,MATCH($C339,'PORTIFÓLIO'!$C$4:$C$433,0)),"")</f>
        <v/>
      </c>
      <c r="M339" s="220"/>
      <c r="N339" s="220"/>
      <c r="O339" s="220"/>
      <c r="P339" s="220"/>
      <c r="Q339" s="220"/>
      <c r="R339" s="220"/>
      <c r="S339" s="220"/>
      <c r="T339" s="220"/>
      <c r="U339" s="220"/>
      <c r="V339" s="220"/>
      <c r="W339" s="220"/>
    </row>
    <row r="340" ht="15.75" customHeight="1" outlineLevel="1">
      <c r="A340" s="211"/>
      <c r="B340" s="227"/>
      <c r="C340" s="211"/>
      <c r="D340" s="214" t="str">
        <f>IFERROR(VLOOKUP($C340,'PORTIFÓLIO'!C:V,2,0),"")</f>
        <v/>
      </c>
      <c r="E340" s="211" t="str">
        <f>IFERROR(VLOOKUP($C340,'PORTIFÓLIO'!C:V,3,0),"")</f>
        <v/>
      </c>
      <c r="F340" s="211" t="str">
        <f>IFERROR(VLOOKUP($C340,'PORTIFÓLIO'!C:V,4,0),"")</f>
        <v/>
      </c>
      <c r="G340" s="215" t="str">
        <f>IFERROR(VLOOKUP($C340,'PORTIFÓLIO'!C:V,5,0),"")</f>
        <v/>
      </c>
      <c r="H340" s="254" t="str">
        <f t="array" ref="H340">IFERROR(INDEX('PORTIFÓLIO'!$H$4:$H$433,MATCH($C340,'PORTIFÓLIO'!$C$4:$C$433,0)),"")</f>
        <v/>
      </c>
      <c r="I340" s="256"/>
      <c r="J340" s="218"/>
      <c r="K340" s="292" t="str">
        <f t="array" ref="K340">IFERROR(I340*INDEX('PORTIFÓLIO'!$S$4:$S$433,MATCH($C340,'PORTIFÓLIO'!$C$4:$C$433,0)),"")</f>
        <v/>
      </c>
      <c r="L340" s="292" t="str">
        <f t="array" ref="L340">IFERROR(J340*INDEX('PORTIFÓLIO'!$S$4:$S$433,MATCH($C340,'PORTIFÓLIO'!$C$4:$C$433,0)),"")</f>
        <v/>
      </c>
      <c r="M340" s="220"/>
      <c r="N340" s="220"/>
      <c r="O340" s="220"/>
      <c r="P340" s="220"/>
      <c r="Q340" s="220"/>
      <c r="R340" s="220"/>
      <c r="S340" s="220"/>
      <c r="T340" s="220"/>
      <c r="U340" s="220"/>
      <c r="V340" s="220"/>
      <c r="W340" s="220"/>
    </row>
    <row r="341" ht="15.75" customHeight="1">
      <c r="A341" s="229" t="s">
        <v>1190</v>
      </c>
      <c r="B341" s="230"/>
      <c r="C341" s="231"/>
      <c r="D341" s="232"/>
      <c r="E341" s="231"/>
      <c r="F341" s="231"/>
      <c r="G341" s="233"/>
      <c r="H341" s="233"/>
      <c r="I341" s="258"/>
      <c r="J341" s="236"/>
      <c r="K341" s="237">
        <f t="shared" ref="K341:L341" si="38">SUBTOTAL(9,K342:K355)</f>
        <v>0</v>
      </c>
      <c r="L341" s="237">
        <f t="shared" si="38"/>
        <v>0</v>
      </c>
      <c r="M341" s="220"/>
      <c r="N341" s="220"/>
      <c r="O341" s="220"/>
      <c r="P341" s="220"/>
      <c r="Q341" s="220"/>
      <c r="R341" s="220"/>
      <c r="S341" s="220"/>
      <c r="T341" s="220"/>
      <c r="U341" s="220"/>
      <c r="V341" s="220"/>
      <c r="W341" s="220"/>
    </row>
    <row r="342" ht="15.75" customHeight="1" outlineLevel="1">
      <c r="A342" s="213"/>
      <c r="B342" s="212"/>
      <c r="C342" s="213"/>
      <c r="D342" s="214" t="str">
        <f>IFERROR(VLOOKUP($C342,'PORTIFÓLIO'!C:V,2,0),"")</f>
        <v/>
      </c>
      <c r="E342" s="211" t="str">
        <f>IFERROR(VLOOKUP($C342,'PORTIFÓLIO'!C:V,3,0),"")</f>
        <v/>
      </c>
      <c r="F342" s="211" t="str">
        <f>IFERROR(VLOOKUP($C342,'PORTIFÓLIO'!C:V,4,0),"")</f>
        <v/>
      </c>
      <c r="G342" s="215" t="str">
        <f>IFERROR(VLOOKUP($C342,'PORTIFÓLIO'!C:V,5,0),"")</f>
        <v/>
      </c>
      <c r="H342" s="254" t="str">
        <f t="array" ref="H342">IFERROR(INDEX('PORTIFÓLIO'!$H$4:$H$433,MATCH($C342,'PORTIFÓLIO'!$C$4:$C$433,0)),"")</f>
        <v/>
      </c>
      <c r="I342" s="255"/>
      <c r="J342" s="218">
        <f t="shared" ref="J342:J356" si="39">I342*$B$2</f>
        <v>0</v>
      </c>
      <c r="K342" s="292" t="str">
        <f t="array" ref="K342">IFERROR(I342*INDEX('PORTIFÓLIO'!$S$4:$S$433,MATCH($C342,'PORTIFÓLIO'!$C$4:$C$433,0)),"")</f>
        <v/>
      </c>
      <c r="L342" s="292" t="str">
        <f t="array" ref="L342">IFERROR(J342*INDEX('PORTIFÓLIO'!$S$4:$S$433,MATCH($C342,'PORTIFÓLIO'!$C$4:$C$433,0)),"")</f>
        <v/>
      </c>
      <c r="M342" s="220"/>
      <c r="N342" s="220"/>
      <c r="O342" s="220"/>
      <c r="P342" s="220"/>
      <c r="Q342" s="220"/>
      <c r="R342" s="220"/>
      <c r="S342" s="220"/>
      <c r="T342" s="220"/>
      <c r="U342" s="220"/>
      <c r="V342" s="220"/>
      <c r="W342" s="220"/>
    </row>
    <row r="343" ht="15.75" customHeight="1" outlineLevel="1">
      <c r="A343" s="211"/>
      <c r="B343" s="212"/>
      <c r="C343" s="213"/>
      <c r="D343" s="214" t="str">
        <f>IFERROR(VLOOKUP($C343,'PORTIFÓLIO'!C:V,2,0),"")</f>
        <v/>
      </c>
      <c r="E343" s="211" t="str">
        <f>IFERROR(VLOOKUP($C343,'PORTIFÓLIO'!C:V,3,0),"")</f>
        <v/>
      </c>
      <c r="F343" s="211" t="str">
        <f>IFERROR(VLOOKUP($C343,'PORTIFÓLIO'!C:V,4,0),"")</f>
        <v/>
      </c>
      <c r="G343" s="215" t="str">
        <f>IFERROR(VLOOKUP($C343,'PORTIFÓLIO'!C:V,5,0),"")</f>
        <v/>
      </c>
      <c r="H343" s="254" t="str">
        <f t="array" ref="H343">IFERROR(INDEX('PORTIFÓLIO'!$H$4:$H$433,MATCH($C343,'PORTIFÓLIO'!$C$4:$C$433,0)),"")</f>
        <v/>
      </c>
      <c r="I343" s="256"/>
      <c r="J343" s="218">
        <f t="shared" si="39"/>
        <v>0</v>
      </c>
      <c r="K343" s="292" t="str">
        <f t="array" ref="K343">IFERROR(I343*INDEX('PORTIFÓLIO'!$S$4:$S$433,MATCH($C343,'PORTIFÓLIO'!$C$4:$C$433,0)),"")</f>
        <v/>
      </c>
      <c r="L343" s="292" t="str">
        <f t="array" ref="L343">IFERROR(J343*INDEX('PORTIFÓLIO'!$S$4:$S$433,MATCH($C343,'PORTIFÓLIO'!$C$4:$C$433,0)),"")</f>
        <v/>
      </c>
      <c r="M343" s="220"/>
      <c r="N343" s="220"/>
      <c r="O343" s="220"/>
      <c r="P343" s="220"/>
      <c r="Q343" s="220"/>
      <c r="R343" s="220"/>
      <c r="S343" s="220"/>
      <c r="T343" s="220"/>
      <c r="U343" s="220"/>
      <c r="V343" s="220"/>
      <c r="W343" s="220"/>
    </row>
    <row r="344" ht="15.75" customHeight="1" outlineLevel="1">
      <c r="A344" s="211"/>
      <c r="B344" s="212"/>
      <c r="C344" s="213"/>
      <c r="D344" s="214" t="str">
        <f>IFERROR(VLOOKUP($C344,'PORTIFÓLIO'!C:V,2,0),"")</f>
        <v/>
      </c>
      <c r="E344" s="211" t="str">
        <f>IFERROR(VLOOKUP($C344,'PORTIFÓLIO'!C:V,3,0),"")</f>
        <v/>
      </c>
      <c r="F344" s="211" t="str">
        <f>IFERROR(VLOOKUP($C344,'PORTIFÓLIO'!C:V,4,0),"")</f>
        <v/>
      </c>
      <c r="G344" s="215" t="str">
        <f>IFERROR(VLOOKUP($C344,'PORTIFÓLIO'!C:V,5,0),"")</f>
        <v/>
      </c>
      <c r="H344" s="254" t="str">
        <f t="array" ref="H344">IFERROR(INDEX('PORTIFÓLIO'!$H$4:$H$433,MATCH($C344,'PORTIFÓLIO'!$C$4:$C$433,0)),"")</f>
        <v/>
      </c>
      <c r="I344" s="256"/>
      <c r="J344" s="218">
        <f t="shared" si="39"/>
        <v>0</v>
      </c>
      <c r="K344" s="292" t="str">
        <f t="array" ref="K344">IFERROR(I344*INDEX('PORTIFÓLIO'!$S$4:$S$433,MATCH($C344,'PORTIFÓLIO'!$C$4:$C$433,0)),"")</f>
        <v/>
      </c>
      <c r="L344" s="292" t="str">
        <f t="array" ref="L344">IFERROR(J344*INDEX('PORTIFÓLIO'!$S$4:$S$433,MATCH($C344,'PORTIFÓLIO'!$C$4:$C$433,0)),"")</f>
        <v/>
      </c>
      <c r="M344" s="220"/>
      <c r="N344" s="220"/>
      <c r="O344" s="220"/>
      <c r="P344" s="220"/>
      <c r="Q344" s="220"/>
      <c r="R344" s="220"/>
      <c r="S344" s="220"/>
      <c r="T344" s="220"/>
      <c r="U344" s="220"/>
      <c r="V344" s="220"/>
      <c r="W344" s="220"/>
    </row>
    <row r="345" ht="15.75" customHeight="1" outlineLevel="1">
      <c r="A345" s="211"/>
      <c r="B345" s="212"/>
      <c r="C345" s="213"/>
      <c r="D345" s="214" t="str">
        <f>IFERROR(VLOOKUP($C345,'PORTIFÓLIO'!C:V,2,0),"")</f>
        <v/>
      </c>
      <c r="E345" s="211" t="str">
        <f>IFERROR(VLOOKUP($C345,'PORTIFÓLIO'!C:V,3,0),"")</f>
        <v/>
      </c>
      <c r="F345" s="211" t="str">
        <f>IFERROR(VLOOKUP($C345,'PORTIFÓLIO'!C:V,4,0),"")</f>
        <v/>
      </c>
      <c r="G345" s="215" t="str">
        <f>IFERROR(VLOOKUP($C345,'PORTIFÓLIO'!C:V,5,0),"")</f>
        <v/>
      </c>
      <c r="H345" s="254" t="str">
        <f t="array" ref="H345">IFERROR(INDEX('PORTIFÓLIO'!$H$4:$H$433,MATCH($C345,'PORTIFÓLIO'!$C$4:$C$433,0)),"")</f>
        <v/>
      </c>
      <c r="I345" s="256"/>
      <c r="J345" s="218">
        <f t="shared" si="39"/>
        <v>0</v>
      </c>
      <c r="K345" s="292" t="str">
        <f t="array" ref="K345">IFERROR(I345*INDEX('PORTIFÓLIO'!$S$4:$S$433,MATCH($C345,'PORTIFÓLIO'!$C$4:$C$433,0)),"")</f>
        <v/>
      </c>
      <c r="L345" s="292" t="str">
        <f t="array" ref="L345">IFERROR(J345*INDEX('PORTIFÓLIO'!$S$4:$S$433,MATCH($C345,'PORTIFÓLIO'!$C$4:$C$433,0)),"")</f>
        <v/>
      </c>
      <c r="M345" s="220"/>
      <c r="N345" s="220"/>
      <c r="O345" s="220"/>
      <c r="P345" s="220"/>
      <c r="Q345" s="220"/>
      <c r="R345" s="220"/>
      <c r="S345" s="220"/>
      <c r="T345" s="220"/>
      <c r="U345" s="220"/>
      <c r="V345" s="220"/>
      <c r="W345" s="220"/>
    </row>
    <row r="346" ht="15.75" customHeight="1" outlineLevel="1">
      <c r="A346" s="211"/>
      <c r="B346" s="212"/>
      <c r="C346" s="213"/>
      <c r="D346" s="214" t="str">
        <f>IFERROR(VLOOKUP($C346,'PORTIFÓLIO'!C:V,2,0),"")</f>
        <v/>
      </c>
      <c r="E346" s="211" t="str">
        <f>IFERROR(VLOOKUP($C346,'PORTIFÓLIO'!C:V,3,0),"")</f>
        <v/>
      </c>
      <c r="F346" s="211" t="str">
        <f>IFERROR(VLOOKUP($C346,'PORTIFÓLIO'!C:V,4,0),"")</f>
        <v/>
      </c>
      <c r="G346" s="215" t="str">
        <f>IFERROR(VLOOKUP($C346,'PORTIFÓLIO'!C:V,5,0),"")</f>
        <v/>
      </c>
      <c r="H346" s="254" t="str">
        <f t="array" ref="H346">IFERROR(INDEX('PORTIFÓLIO'!$H$4:$H$433,MATCH($C346,'PORTIFÓLIO'!$C$4:$C$433,0)),"")</f>
        <v/>
      </c>
      <c r="I346" s="256"/>
      <c r="J346" s="218">
        <f t="shared" si="39"/>
        <v>0</v>
      </c>
      <c r="K346" s="292" t="str">
        <f t="array" ref="K346">IFERROR(I346*INDEX('PORTIFÓLIO'!$S$4:$S$433,MATCH($C346,'PORTIFÓLIO'!$C$4:$C$433,0)),"")</f>
        <v/>
      </c>
      <c r="L346" s="292" t="str">
        <f t="array" ref="L346">IFERROR(J346*INDEX('PORTIFÓLIO'!$S$4:$S$433,MATCH($C346,'PORTIFÓLIO'!$C$4:$C$433,0)),"")</f>
        <v/>
      </c>
      <c r="M346" s="220"/>
      <c r="N346" s="220"/>
      <c r="O346" s="220"/>
      <c r="P346" s="220"/>
      <c r="Q346" s="220"/>
      <c r="R346" s="220"/>
      <c r="S346" s="220"/>
      <c r="T346" s="220"/>
      <c r="U346" s="220"/>
      <c r="V346" s="220"/>
      <c r="W346" s="220"/>
    </row>
    <row r="347" ht="15.75" customHeight="1" outlineLevel="1">
      <c r="A347" s="211"/>
      <c r="B347" s="212"/>
      <c r="C347" s="213"/>
      <c r="D347" s="214" t="str">
        <f>IFERROR(VLOOKUP($C347,'PORTIFÓLIO'!C:V,2,0),"")</f>
        <v/>
      </c>
      <c r="E347" s="211" t="str">
        <f>IFERROR(VLOOKUP($C347,'PORTIFÓLIO'!C:V,3,0),"")</f>
        <v/>
      </c>
      <c r="F347" s="211" t="str">
        <f>IFERROR(VLOOKUP($C347,'PORTIFÓLIO'!C:V,4,0),"")</f>
        <v/>
      </c>
      <c r="G347" s="215" t="str">
        <f>IFERROR(VLOOKUP($C347,'PORTIFÓLIO'!C:V,5,0),"")</f>
        <v/>
      </c>
      <c r="H347" s="254" t="str">
        <f t="array" ref="H347">IFERROR(INDEX('PORTIFÓLIO'!$H$4:$H$433,MATCH($C347,'PORTIFÓLIO'!$C$4:$C$433,0)),"")</f>
        <v/>
      </c>
      <c r="I347" s="256"/>
      <c r="J347" s="218">
        <f t="shared" si="39"/>
        <v>0</v>
      </c>
      <c r="K347" s="292" t="str">
        <f t="array" ref="K347">IFERROR(I347*INDEX('PORTIFÓLIO'!$S$4:$S$433,MATCH($C347,'PORTIFÓLIO'!$C$4:$C$433,0)),"")</f>
        <v/>
      </c>
      <c r="L347" s="292" t="str">
        <f t="array" ref="L347">IFERROR(J347*INDEX('PORTIFÓLIO'!$S$4:$S$433,MATCH($C347,'PORTIFÓLIO'!$C$4:$C$433,0)),"")</f>
        <v/>
      </c>
      <c r="M347" s="220"/>
      <c r="N347" s="220"/>
      <c r="O347" s="220"/>
      <c r="P347" s="220"/>
      <c r="Q347" s="220"/>
      <c r="R347" s="220"/>
      <c r="S347" s="220"/>
      <c r="T347" s="220"/>
      <c r="U347" s="220"/>
      <c r="V347" s="220"/>
      <c r="W347" s="220"/>
    </row>
    <row r="348" ht="15.75" customHeight="1" outlineLevel="1">
      <c r="A348" s="211"/>
      <c r="B348" s="212"/>
      <c r="C348" s="213"/>
      <c r="D348" s="214" t="str">
        <f>IFERROR(VLOOKUP($C348,'PORTIFÓLIO'!C:V,2,0),"")</f>
        <v/>
      </c>
      <c r="E348" s="211" t="str">
        <f>IFERROR(VLOOKUP($C348,'PORTIFÓLIO'!C:V,3,0),"")</f>
        <v/>
      </c>
      <c r="F348" s="211" t="str">
        <f>IFERROR(VLOOKUP($C348,'PORTIFÓLIO'!C:V,4,0),"")</f>
        <v/>
      </c>
      <c r="G348" s="215" t="str">
        <f>IFERROR(VLOOKUP($C348,'PORTIFÓLIO'!C:V,5,0),"")</f>
        <v/>
      </c>
      <c r="H348" s="254" t="str">
        <f t="array" ref="H348">IFERROR(INDEX('PORTIFÓLIO'!$H$4:$H$433,MATCH($C348,'PORTIFÓLIO'!$C$4:$C$433,0)),"")</f>
        <v/>
      </c>
      <c r="I348" s="256"/>
      <c r="J348" s="218">
        <f t="shared" si="39"/>
        <v>0</v>
      </c>
      <c r="K348" s="292" t="str">
        <f t="array" ref="K348">IFERROR(I348*INDEX('PORTIFÓLIO'!$S$4:$S$433,MATCH($C348,'PORTIFÓLIO'!$C$4:$C$433,0)),"")</f>
        <v/>
      </c>
      <c r="L348" s="292" t="str">
        <f t="array" ref="L348">IFERROR(J348*INDEX('PORTIFÓLIO'!$S$4:$S$433,MATCH($C348,'PORTIFÓLIO'!$C$4:$C$433,0)),"")</f>
        <v/>
      </c>
      <c r="M348" s="220"/>
      <c r="N348" s="220"/>
      <c r="O348" s="220"/>
      <c r="P348" s="220"/>
      <c r="Q348" s="220"/>
      <c r="R348" s="220"/>
      <c r="S348" s="220"/>
      <c r="T348" s="220"/>
      <c r="U348" s="220"/>
      <c r="V348" s="220"/>
      <c r="W348" s="220"/>
    </row>
    <row r="349" ht="15.75" customHeight="1" outlineLevel="1">
      <c r="A349" s="211"/>
      <c r="B349" s="212"/>
      <c r="C349" s="213"/>
      <c r="D349" s="214" t="str">
        <f>IFERROR(VLOOKUP($C349,'PORTIFÓLIO'!C:V,2,0),"")</f>
        <v/>
      </c>
      <c r="E349" s="211" t="str">
        <f>IFERROR(VLOOKUP($C349,'PORTIFÓLIO'!C:V,3,0),"")</f>
        <v/>
      </c>
      <c r="F349" s="211" t="str">
        <f>IFERROR(VLOOKUP($C349,'PORTIFÓLIO'!C:V,4,0),"")</f>
        <v/>
      </c>
      <c r="G349" s="215" t="str">
        <f>IFERROR(VLOOKUP($C349,'PORTIFÓLIO'!C:V,5,0),"")</f>
        <v/>
      </c>
      <c r="H349" s="254" t="str">
        <f t="array" ref="H349">IFERROR(INDEX('PORTIFÓLIO'!$H$4:$H$433,MATCH($C349,'PORTIFÓLIO'!$C$4:$C$433,0)),"")</f>
        <v/>
      </c>
      <c r="I349" s="256"/>
      <c r="J349" s="218">
        <f t="shared" si="39"/>
        <v>0</v>
      </c>
      <c r="K349" s="292" t="str">
        <f t="array" ref="K349">IFERROR(I349*INDEX('PORTIFÓLIO'!$S$4:$S$433,MATCH($C349,'PORTIFÓLIO'!$C$4:$C$433,0)),"")</f>
        <v/>
      </c>
      <c r="L349" s="292" t="str">
        <f t="array" ref="L349">IFERROR(J349*INDEX('PORTIFÓLIO'!$S$4:$S$433,MATCH($C349,'PORTIFÓLIO'!$C$4:$C$433,0)),"")</f>
        <v/>
      </c>
      <c r="M349" s="220"/>
      <c r="N349" s="220"/>
      <c r="O349" s="220"/>
      <c r="P349" s="220"/>
      <c r="Q349" s="220"/>
      <c r="R349" s="220"/>
      <c r="S349" s="220"/>
      <c r="T349" s="220"/>
      <c r="U349" s="220"/>
      <c r="V349" s="220"/>
      <c r="W349" s="220"/>
    </row>
    <row r="350" ht="15.75" customHeight="1" outlineLevel="1">
      <c r="A350" s="211"/>
      <c r="B350" s="212"/>
      <c r="C350" s="213"/>
      <c r="D350" s="214" t="str">
        <f>IFERROR(VLOOKUP($C350,'PORTIFÓLIO'!C:V,2,0),"")</f>
        <v/>
      </c>
      <c r="E350" s="211" t="str">
        <f>IFERROR(VLOOKUP($C350,'PORTIFÓLIO'!C:V,3,0),"")</f>
        <v/>
      </c>
      <c r="F350" s="211" t="str">
        <f>IFERROR(VLOOKUP($C350,'PORTIFÓLIO'!C:V,4,0),"")</f>
        <v/>
      </c>
      <c r="G350" s="215" t="str">
        <f>IFERROR(VLOOKUP($C350,'PORTIFÓLIO'!C:V,5,0),"")</f>
        <v/>
      </c>
      <c r="H350" s="254" t="str">
        <f t="array" ref="H350">IFERROR(INDEX('PORTIFÓLIO'!$H$4:$H$433,MATCH($C350,'PORTIFÓLIO'!$C$4:$C$433,0)),"")</f>
        <v/>
      </c>
      <c r="I350" s="255"/>
      <c r="J350" s="218">
        <f t="shared" si="39"/>
        <v>0</v>
      </c>
      <c r="K350" s="292" t="str">
        <f t="array" ref="K350">IFERROR(I350*INDEX('PORTIFÓLIO'!$S$4:$S$433,MATCH($C350,'PORTIFÓLIO'!$C$4:$C$433,0)),"")</f>
        <v/>
      </c>
      <c r="L350" s="292" t="str">
        <f t="array" ref="L350">IFERROR(J350*INDEX('PORTIFÓLIO'!$S$4:$S$433,MATCH($C350,'PORTIFÓLIO'!$C$4:$C$433,0)),"")</f>
        <v/>
      </c>
      <c r="M350" s="220"/>
      <c r="N350" s="220"/>
      <c r="O350" s="220"/>
      <c r="P350" s="220"/>
      <c r="Q350" s="220"/>
      <c r="R350" s="220"/>
      <c r="S350" s="220"/>
      <c r="T350" s="220"/>
      <c r="U350" s="220"/>
      <c r="V350" s="220"/>
      <c r="W350" s="220"/>
    </row>
    <row r="351" ht="15.75" customHeight="1" outlineLevel="1">
      <c r="A351" s="211"/>
      <c r="B351" s="212"/>
      <c r="C351" s="213"/>
      <c r="D351" s="214" t="str">
        <f>IFERROR(VLOOKUP($C351,'PORTIFÓLIO'!C:V,2,0),"")</f>
        <v/>
      </c>
      <c r="E351" s="211" t="str">
        <f>IFERROR(VLOOKUP($C351,'PORTIFÓLIO'!C:V,3,0),"")</f>
        <v/>
      </c>
      <c r="F351" s="211" t="str">
        <f>IFERROR(VLOOKUP($C351,'PORTIFÓLIO'!C:V,4,0),"")</f>
        <v/>
      </c>
      <c r="G351" s="215" t="str">
        <f>IFERROR(VLOOKUP($C351,'PORTIFÓLIO'!C:V,5,0),"")</f>
        <v/>
      </c>
      <c r="H351" s="254" t="str">
        <f t="array" ref="H351">IFERROR(INDEX('PORTIFÓLIO'!$H$4:$H$433,MATCH($C351,'PORTIFÓLIO'!$C$4:$C$433,0)),"")</f>
        <v/>
      </c>
      <c r="I351" s="256"/>
      <c r="J351" s="218">
        <f t="shared" si="39"/>
        <v>0</v>
      </c>
      <c r="K351" s="292" t="str">
        <f t="array" ref="K351">IFERROR(I351*INDEX('PORTIFÓLIO'!$S$4:$S$433,MATCH($C351,'PORTIFÓLIO'!$C$4:$C$433,0)),"")</f>
        <v/>
      </c>
      <c r="L351" s="292" t="str">
        <f t="array" ref="L351">IFERROR(J351*INDEX('PORTIFÓLIO'!$S$4:$S$433,MATCH($C351,'PORTIFÓLIO'!$C$4:$C$433,0)),"")</f>
        <v/>
      </c>
      <c r="M351" s="220"/>
      <c r="N351" s="220"/>
      <c r="O351" s="220"/>
      <c r="P351" s="220"/>
      <c r="Q351" s="220"/>
      <c r="R351" s="220"/>
      <c r="S351" s="220"/>
      <c r="T351" s="220"/>
      <c r="U351" s="220"/>
      <c r="V351" s="220"/>
      <c r="W351" s="220"/>
    </row>
    <row r="352" ht="15.75" customHeight="1" outlineLevel="1">
      <c r="A352" s="211"/>
      <c r="B352" s="212"/>
      <c r="C352" s="213"/>
      <c r="D352" s="214" t="str">
        <f>IFERROR(VLOOKUP($C352,'PORTIFÓLIO'!C:V,2,0),"")</f>
        <v/>
      </c>
      <c r="E352" s="211" t="str">
        <f>IFERROR(VLOOKUP($C352,'PORTIFÓLIO'!C:V,3,0),"")</f>
        <v/>
      </c>
      <c r="F352" s="211" t="str">
        <f>IFERROR(VLOOKUP($C352,'PORTIFÓLIO'!C:V,4,0),"")</f>
        <v/>
      </c>
      <c r="G352" s="215" t="str">
        <f>IFERROR(VLOOKUP($C352,'PORTIFÓLIO'!C:V,5,0),"")</f>
        <v/>
      </c>
      <c r="H352" s="254" t="str">
        <f t="array" ref="H352">IFERROR(INDEX('PORTIFÓLIO'!$H$4:$H$433,MATCH($C352,'PORTIFÓLIO'!$C$4:$C$433,0)),"")</f>
        <v/>
      </c>
      <c r="I352" s="256"/>
      <c r="J352" s="218">
        <f t="shared" si="39"/>
        <v>0</v>
      </c>
      <c r="K352" s="292" t="str">
        <f t="array" ref="K352">IFERROR(I352*INDEX('PORTIFÓLIO'!$S$4:$S$433,MATCH($C352,'PORTIFÓLIO'!$C$4:$C$433,0)),"")</f>
        <v/>
      </c>
      <c r="L352" s="292" t="str">
        <f t="array" ref="L352">IFERROR(J352*INDEX('PORTIFÓLIO'!$S$4:$S$433,MATCH($C352,'PORTIFÓLIO'!$C$4:$C$433,0)),"")</f>
        <v/>
      </c>
      <c r="M352" s="220"/>
      <c r="N352" s="220"/>
      <c r="O352" s="220"/>
      <c r="P352" s="220"/>
      <c r="Q352" s="220"/>
      <c r="R352" s="220"/>
      <c r="S352" s="220"/>
      <c r="T352" s="220"/>
      <c r="U352" s="220"/>
      <c r="V352" s="220"/>
      <c r="W352" s="220"/>
    </row>
    <row r="353" ht="15.75" customHeight="1" outlineLevel="1">
      <c r="A353" s="211"/>
      <c r="B353" s="212"/>
      <c r="C353" s="213"/>
      <c r="D353" s="214" t="str">
        <f>IFERROR(VLOOKUP($C353,'PORTIFÓLIO'!C:V,2,0),"")</f>
        <v/>
      </c>
      <c r="E353" s="211" t="str">
        <f>IFERROR(VLOOKUP($C353,'PORTIFÓLIO'!C:V,3,0),"")</f>
        <v/>
      </c>
      <c r="F353" s="211" t="str">
        <f>IFERROR(VLOOKUP($C353,'PORTIFÓLIO'!C:V,4,0),"")</f>
        <v/>
      </c>
      <c r="G353" s="215" t="str">
        <f>IFERROR(VLOOKUP($C353,'PORTIFÓLIO'!C:V,5,0),"")</f>
        <v/>
      </c>
      <c r="H353" s="254" t="str">
        <f t="array" ref="H353">IFERROR(INDEX('PORTIFÓLIO'!$H$4:$H$433,MATCH($C353,'PORTIFÓLIO'!$C$4:$C$433,0)),"")</f>
        <v/>
      </c>
      <c r="I353" s="256"/>
      <c r="J353" s="218">
        <f t="shared" si="39"/>
        <v>0</v>
      </c>
      <c r="K353" s="292" t="str">
        <f t="array" ref="K353">IFERROR(I353*INDEX('PORTIFÓLIO'!$S$4:$S$433,MATCH($C353,'PORTIFÓLIO'!$C$4:$C$433,0)),"")</f>
        <v/>
      </c>
      <c r="L353" s="292" t="str">
        <f t="array" ref="L353">IFERROR(J353*INDEX('PORTIFÓLIO'!$S$4:$S$433,MATCH($C353,'PORTIFÓLIO'!$C$4:$C$433,0)),"")</f>
        <v/>
      </c>
      <c r="M353" s="220"/>
      <c r="N353" s="220"/>
      <c r="O353" s="220"/>
      <c r="P353" s="220"/>
      <c r="Q353" s="220"/>
      <c r="R353" s="220"/>
      <c r="S353" s="220"/>
      <c r="T353" s="220"/>
      <c r="U353" s="220"/>
      <c r="V353" s="220"/>
      <c r="W353" s="220"/>
    </row>
    <row r="354" ht="15.75" customHeight="1" outlineLevel="1">
      <c r="A354" s="211"/>
      <c r="B354" s="212"/>
      <c r="C354" s="213"/>
      <c r="D354" s="214" t="str">
        <f>IFERROR(VLOOKUP($C354,'PORTIFÓLIO'!C:V,2,0),"")</f>
        <v/>
      </c>
      <c r="E354" s="211" t="str">
        <f>IFERROR(VLOOKUP($C354,'PORTIFÓLIO'!C:V,3,0),"")</f>
        <v/>
      </c>
      <c r="F354" s="211" t="str">
        <f>IFERROR(VLOOKUP($C354,'PORTIFÓLIO'!C:V,4,0),"")</f>
        <v/>
      </c>
      <c r="G354" s="215" t="str">
        <f>IFERROR(VLOOKUP($C354,'PORTIFÓLIO'!C:V,5,0),"")</f>
        <v/>
      </c>
      <c r="H354" s="254" t="str">
        <f t="array" ref="H354">IFERROR(INDEX('PORTIFÓLIO'!$H$4:$H$433,MATCH($C354,'PORTIFÓLIO'!$C$4:$C$433,0)),"")</f>
        <v/>
      </c>
      <c r="I354" s="256"/>
      <c r="J354" s="218">
        <f t="shared" si="39"/>
        <v>0</v>
      </c>
      <c r="K354" s="292" t="str">
        <f t="array" ref="K354">IFERROR(I354*INDEX('PORTIFÓLIO'!$S$4:$S$433,MATCH($C354,'PORTIFÓLIO'!$C$4:$C$433,0)),"")</f>
        <v/>
      </c>
      <c r="L354" s="292" t="str">
        <f t="array" ref="L354">IFERROR(J354*INDEX('PORTIFÓLIO'!$S$4:$S$433,MATCH($C354,'PORTIFÓLIO'!$C$4:$C$433,0)),"")</f>
        <v/>
      </c>
      <c r="M354" s="220"/>
      <c r="N354" s="220"/>
      <c r="O354" s="220"/>
      <c r="P354" s="220"/>
      <c r="Q354" s="220"/>
      <c r="R354" s="220"/>
      <c r="S354" s="220"/>
      <c r="T354" s="220"/>
      <c r="U354" s="220"/>
      <c r="V354" s="220"/>
      <c r="W354" s="220"/>
    </row>
    <row r="355" ht="15.75" customHeight="1" outlineLevel="1">
      <c r="A355" s="211"/>
      <c r="B355" s="212"/>
      <c r="C355" s="213"/>
      <c r="D355" s="214" t="str">
        <f>IFERROR(VLOOKUP($C355,'PORTIFÓLIO'!C:V,2,0),"")</f>
        <v/>
      </c>
      <c r="E355" s="211" t="str">
        <f>IFERROR(VLOOKUP($C355,'PORTIFÓLIO'!C:V,3,0),"")</f>
        <v/>
      </c>
      <c r="F355" s="211" t="str">
        <f>IFERROR(VLOOKUP($C355,'PORTIFÓLIO'!C:V,4,0),"")</f>
        <v/>
      </c>
      <c r="G355" s="215" t="str">
        <f>IFERROR(VLOOKUP($C355,'PORTIFÓLIO'!C:V,5,0),"")</f>
        <v/>
      </c>
      <c r="H355" s="254" t="str">
        <f t="array" ref="H355">IFERROR(INDEX('PORTIFÓLIO'!$H$4:$H$433,MATCH($C355,'PORTIFÓLIO'!$C$4:$C$433,0)),"")</f>
        <v/>
      </c>
      <c r="I355" s="256"/>
      <c r="J355" s="218">
        <f t="shared" si="39"/>
        <v>0</v>
      </c>
      <c r="K355" s="292" t="str">
        <f t="array" ref="K355">IFERROR(I355*INDEX('PORTIFÓLIO'!$S$4:$S$433,MATCH($C355,'PORTIFÓLIO'!$C$4:$C$433,0)),"")</f>
        <v/>
      </c>
      <c r="L355" s="292" t="str">
        <f t="array" ref="L355">IFERROR(J355*INDEX('PORTIFÓLIO'!$S$4:$S$433,MATCH($C355,'PORTIFÓLIO'!$C$4:$C$433,0)),"")</f>
        <v/>
      </c>
      <c r="M355" s="220"/>
      <c r="N355" s="220"/>
      <c r="O355" s="220"/>
      <c r="P355" s="220"/>
      <c r="Q355" s="220"/>
      <c r="R355" s="220"/>
      <c r="S355" s="220"/>
      <c r="T355" s="220"/>
      <c r="U355" s="220"/>
      <c r="V355" s="220"/>
      <c r="W355" s="220"/>
    </row>
    <row r="356" ht="15.75" customHeight="1" outlineLevel="1">
      <c r="A356" s="211"/>
      <c r="B356" s="212"/>
      <c r="C356" s="213"/>
      <c r="D356" s="214" t="str">
        <f>IFERROR(VLOOKUP($C356,'PORTIFÓLIO'!C:V,2,0),"")</f>
        <v/>
      </c>
      <c r="E356" s="211" t="str">
        <f>IFERROR(VLOOKUP($C356,'PORTIFÓLIO'!C:V,3,0),"")</f>
        <v/>
      </c>
      <c r="F356" s="211" t="str">
        <f>IFERROR(VLOOKUP($C356,'PORTIFÓLIO'!C:V,4,0),"")</f>
        <v/>
      </c>
      <c r="G356" s="215" t="str">
        <f>IFERROR(VLOOKUP($C356,'PORTIFÓLIO'!C:V,5,0),"")</f>
        <v/>
      </c>
      <c r="H356" s="254" t="str">
        <f t="array" ref="H356">IFERROR(INDEX('PORTIFÓLIO'!$H$4:$H$433,MATCH($C356,'PORTIFÓLIO'!$C$4:$C$433,0)),"")</f>
        <v/>
      </c>
      <c r="I356" s="256"/>
      <c r="J356" s="218">
        <f t="shared" si="39"/>
        <v>0</v>
      </c>
      <c r="K356" s="292" t="str">
        <f t="array" ref="K356">IFERROR(I356*INDEX('PORTIFÓLIO'!$S$4:$S$433,MATCH($C356,'PORTIFÓLIO'!$C$4:$C$433,0)),"")</f>
        <v/>
      </c>
      <c r="L356" s="292" t="str">
        <f t="array" ref="L356">IFERROR(J356*INDEX('PORTIFÓLIO'!$S$4:$S$433,MATCH($C356,'PORTIFÓLIO'!$C$4:$C$433,0)),"")</f>
        <v/>
      </c>
      <c r="M356" s="220"/>
      <c r="N356" s="220"/>
      <c r="O356" s="220"/>
      <c r="P356" s="220"/>
      <c r="Q356" s="220"/>
      <c r="R356" s="220"/>
      <c r="S356" s="220"/>
      <c r="T356" s="220"/>
      <c r="U356" s="220"/>
      <c r="V356" s="220"/>
      <c r="W356" s="220"/>
    </row>
    <row r="357" ht="15.75" customHeight="1" outlineLevel="1">
      <c r="A357" s="211"/>
      <c r="B357" s="227"/>
      <c r="C357" s="211"/>
      <c r="D357" s="214" t="str">
        <f>IFERROR(VLOOKUP($C357,'PORTIFÓLIO'!C:V,2,0),"")</f>
        <v/>
      </c>
      <c r="E357" s="211" t="str">
        <f>IFERROR(VLOOKUP($C357,'PORTIFÓLIO'!C:V,3,0),"")</f>
        <v/>
      </c>
      <c r="F357" s="211" t="str">
        <f>IFERROR(VLOOKUP($C357,'PORTIFÓLIO'!C:V,4,0),"")</f>
        <v/>
      </c>
      <c r="G357" s="215" t="str">
        <f>IFERROR(VLOOKUP($C357,'PORTIFÓLIO'!C:V,5,0),"")</f>
        <v/>
      </c>
      <c r="H357" s="254" t="str">
        <f t="array" ref="H357">IFERROR(INDEX('PORTIFÓLIO'!$H$4:$H$433,MATCH($C357,'PORTIFÓLIO'!$C$4:$C$433,0)),"")</f>
        <v/>
      </c>
      <c r="I357" s="256"/>
      <c r="J357" s="218"/>
      <c r="K357" s="292" t="str">
        <f t="array" ref="K357">IFERROR(I357*INDEX('PORTIFÓLIO'!$S$4:$S$433,MATCH($C357,'PORTIFÓLIO'!$C$4:$C$433,0)),"")</f>
        <v/>
      </c>
      <c r="L357" s="292" t="str">
        <f t="array" ref="L357">IFERROR(J357*INDEX('PORTIFÓLIO'!$S$4:$S$433,MATCH($C357,'PORTIFÓLIO'!$C$4:$C$433,0)),"")</f>
        <v/>
      </c>
      <c r="M357" s="220"/>
      <c r="N357" s="220"/>
      <c r="O357" s="220"/>
      <c r="P357" s="220"/>
      <c r="Q357" s="220"/>
      <c r="R357" s="220"/>
      <c r="S357" s="220"/>
      <c r="T357" s="220"/>
      <c r="U357" s="220"/>
      <c r="V357" s="220"/>
      <c r="W357" s="220"/>
    </row>
    <row r="358" ht="15.75" customHeight="1">
      <c r="A358" s="229" t="s">
        <v>1191</v>
      </c>
      <c r="B358" s="230"/>
      <c r="C358" s="231"/>
      <c r="D358" s="232"/>
      <c r="E358" s="231"/>
      <c r="F358" s="231"/>
      <c r="G358" s="233"/>
      <c r="H358" s="233"/>
      <c r="I358" s="258"/>
      <c r="J358" s="236"/>
      <c r="K358" s="237">
        <f t="shared" ref="K358:L358" si="40">SUBTOTAL(9,K359:K372)</f>
        <v>0</v>
      </c>
      <c r="L358" s="237">
        <f t="shared" si="40"/>
        <v>0</v>
      </c>
      <c r="M358" s="220"/>
      <c r="N358" s="220"/>
      <c r="O358" s="220"/>
      <c r="P358" s="220"/>
      <c r="Q358" s="220"/>
      <c r="R358" s="220"/>
      <c r="S358" s="220"/>
      <c r="T358" s="220"/>
      <c r="U358" s="220"/>
      <c r="V358" s="220"/>
      <c r="W358" s="220"/>
    </row>
    <row r="359" ht="15.75" customHeight="1" outlineLevel="1">
      <c r="A359" s="213"/>
      <c r="B359" s="212"/>
      <c r="C359" s="213"/>
      <c r="D359" s="214" t="str">
        <f>IFERROR(VLOOKUP($C359,'PORTIFÓLIO'!C:V,2,0),"")</f>
        <v/>
      </c>
      <c r="E359" s="211" t="str">
        <f>IFERROR(VLOOKUP($C359,'PORTIFÓLIO'!C:V,3,0),"")</f>
        <v/>
      </c>
      <c r="F359" s="211" t="str">
        <f>IFERROR(VLOOKUP($C359,'PORTIFÓLIO'!C:V,4,0),"")</f>
        <v/>
      </c>
      <c r="G359" s="215" t="str">
        <f>IFERROR(VLOOKUP($C359,'PORTIFÓLIO'!C:V,5,0),"")</f>
        <v/>
      </c>
      <c r="H359" s="254" t="str">
        <f t="array" ref="H359">IFERROR(INDEX('PORTIFÓLIO'!$H$4:$H$433,MATCH($C359,'PORTIFÓLIO'!$C$4:$C$433,0)),"")</f>
        <v/>
      </c>
      <c r="I359" s="255"/>
      <c r="J359" s="218">
        <f t="shared" ref="J359:J373" si="41">I359*$B$2</f>
        <v>0</v>
      </c>
      <c r="K359" s="292" t="str">
        <f t="array" ref="K359">IFERROR(I359*INDEX('PORTIFÓLIO'!$S$4:$S$433,MATCH($C359,'PORTIFÓLIO'!$C$4:$C$433,0)),"")</f>
        <v/>
      </c>
      <c r="L359" s="292" t="str">
        <f t="array" ref="L359">IFERROR(J359*INDEX('PORTIFÓLIO'!$S$4:$S$433,MATCH($C359,'PORTIFÓLIO'!$C$4:$C$433,0)),"")</f>
        <v/>
      </c>
      <c r="M359" s="220"/>
      <c r="N359" s="220"/>
      <c r="O359" s="220"/>
      <c r="P359" s="220"/>
      <c r="Q359" s="220"/>
      <c r="R359" s="220"/>
      <c r="S359" s="220"/>
      <c r="T359" s="220"/>
      <c r="U359" s="220"/>
      <c r="V359" s="220"/>
      <c r="W359" s="220"/>
    </row>
    <row r="360" ht="15.75" customHeight="1" outlineLevel="1">
      <c r="A360" s="211"/>
      <c r="B360" s="212"/>
      <c r="C360" s="213"/>
      <c r="D360" s="214" t="str">
        <f>IFERROR(VLOOKUP($C360,'PORTIFÓLIO'!C:V,2,0),"")</f>
        <v/>
      </c>
      <c r="E360" s="211" t="str">
        <f>IFERROR(VLOOKUP($C360,'PORTIFÓLIO'!C:V,3,0),"")</f>
        <v/>
      </c>
      <c r="F360" s="211" t="str">
        <f>IFERROR(VLOOKUP($C360,'PORTIFÓLIO'!C:V,4,0),"")</f>
        <v/>
      </c>
      <c r="G360" s="215" t="str">
        <f>IFERROR(VLOOKUP($C360,'PORTIFÓLIO'!C:V,5,0),"")</f>
        <v/>
      </c>
      <c r="H360" s="254" t="str">
        <f t="array" ref="H360">IFERROR(INDEX('PORTIFÓLIO'!$H$4:$H$433,MATCH($C360,'PORTIFÓLIO'!$C$4:$C$433,0)),"")</f>
        <v/>
      </c>
      <c r="I360" s="256"/>
      <c r="J360" s="218">
        <f t="shared" si="41"/>
        <v>0</v>
      </c>
      <c r="K360" s="292" t="str">
        <f t="array" ref="K360">IFERROR(I360*INDEX('PORTIFÓLIO'!$S$4:$S$433,MATCH($C360,'PORTIFÓLIO'!$C$4:$C$433,0)),"")</f>
        <v/>
      </c>
      <c r="L360" s="292" t="str">
        <f t="array" ref="L360">IFERROR(J360*INDEX('PORTIFÓLIO'!$S$4:$S$433,MATCH($C360,'PORTIFÓLIO'!$C$4:$C$433,0)),"")</f>
        <v/>
      </c>
      <c r="M360" s="220"/>
      <c r="N360" s="220"/>
      <c r="O360" s="220"/>
      <c r="P360" s="220"/>
      <c r="Q360" s="220"/>
      <c r="R360" s="220"/>
      <c r="S360" s="220"/>
      <c r="T360" s="220"/>
      <c r="U360" s="220"/>
      <c r="V360" s="220"/>
      <c r="W360" s="220"/>
    </row>
    <row r="361" ht="15.75" customHeight="1" outlineLevel="1">
      <c r="A361" s="211"/>
      <c r="B361" s="212"/>
      <c r="C361" s="213"/>
      <c r="D361" s="214" t="str">
        <f>IFERROR(VLOOKUP($C361,'PORTIFÓLIO'!C:V,2,0),"")</f>
        <v/>
      </c>
      <c r="E361" s="211" t="str">
        <f>IFERROR(VLOOKUP($C361,'PORTIFÓLIO'!C:V,3,0),"")</f>
        <v/>
      </c>
      <c r="F361" s="211" t="str">
        <f>IFERROR(VLOOKUP($C361,'PORTIFÓLIO'!C:V,4,0),"")</f>
        <v/>
      </c>
      <c r="G361" s="215" t="str">
        <f>IFERROR(VLOOKUP($C361,'PORTIFÓLIO'!C:V,5,0),"")</f>
        <v/>
      </c>
      <c r="H361" s="254" t="str">
        <f t="array" ref="H361">IFERROR(INDEX('PORTIFÓLIO'!$H$4:$H$433,MATCH($C361,'PORTIFÓLIO'!$C$4:$C$433,0)),"")</f>
        <v/>
      </c>
      <c r="I361" s="256"/>
      <c r="J361" s="218">
        <f t="shared" si="41"/>
        <v>0</v>
      </c>
      <c r="K361" s="292" t="str">
        <f t="array" ref="K361">IFERROR(I361*INDEX('PORTIFÓLIO'!$S$4:$S$433,MATCH($C361,'PORTIFÓLIO'!$C$4:$C$433,0)),"")</f>
        <v/>
      </c>
      <c r="L361" s="292" t="str">
        <f t="array" ref="L361">IFERROR(J361*INDEX('PORTIFÓLIO'!$S$4:$S$433,MATCH($C361,'PORTIFÓLIO'!$C$4:$C$433,0)),"")</f>
        <v/>
      </c>
      <c r="M361" s="220"/>
      <c r="N361" s="220"/>
      <c r="O361" s="220"/>
      <c r="P361" s="220"/>
      <c r="Q361" s="220"/>
      <c r="R361" s="220"/>
      <c r="S361" s="220"/>
      <c r="T361" s="220"/>
      <c r="U361" s="220"/>
      <c r="V361" s="220"/>
      <c r="W361" s="220"/>
    </row>
    <row r="362" ht="15.75" customHeight="1" outlineLevel="1">
      <c r="A362" s="211"/>
      <c r="B362" s="212"/>
      <c r="C362" s="213"/>
      <c r="D362" s="214" t="str">
        <f>IFERROR(VLOOKUP($C362,'PORTIFÓLIO'!C:V,2,0),"")</f>
        <v/>
      </c>
      <c r="E362" s="211" t="str">
        <f>IFERROR(VLOOKUP($C362,'PORTIFÓLIO'!C:V,3,0),"")</f>
        <v/>
      </c>
      <c r="F362" s="211" t="str">
        <f>IFERROR(VLOOKUP($C362,'PORTIFÓLIO'!C:V,4,0),"")</f>
        <v/>
      </c>
      <c r="G362" s="215" t="str">
        <f>IFERROR(VLOOKUP($C362,'PORTIFÓLIO'!C:V,5,0),"")</f>
        <v/>
      </c>
      <c r="H362" s="254" t="str">
        <f t="array" ref="H362">IFERROR(INDEX('PORTIFÓLIO'!$H$4:$H$433,MATCH($C362,'PORTIFÓLIO'!$C$4:$C$433,0)),"")</f>
        <v/>
      </c>
      <c r="I362" s="256"/>
      <c r="J362" s="218">
        <f t="shared" si="41"/>
        <v>0</v>
      </c>
      <c r="K362" s="292" t="str">
        <f t="array" ref="K362">IFERROR(I362*INDEX('PORTIFÓLIO'!$S$4:$S$433,MATCH($C362,'PORTIFÓLIO'!$C$4:$C$433,0)),"")</f>
        <v/>
      </c>
      <c r="L362" s="292" t="str">
        <f t="array" ref="L362">IFERROR(J362*INDEX('PORTIFÓLIO'!$S$4:$S$433,MATCH($C362,'PORTIFÓLIO'!$C$4:$C$433,0)),"")</f>
        <v/>
      </c>
      <c r="M362" s="220"/>
      <c r="N362" s="220"/>
      <c r="O362" s="220"/>
      <c r="P362" s="220"/>
      <c r="Q362" s="220"/>
      <c r="R362" s="220"/>
      <c r="S362" s="220"/>
      <c r="T362" s="220"/>
      <c r="U362" s="220"/>
      <c r="V362" s="220"/>
      <c r="W362" s="220"/>
    </row>
    <row r="363" ht="15.75" customHeight="1" outlineLevel="1">
      <c r="A363" s="211"/>
      <c r="B363" s="212"/>
      <c r="C363" s="213"/>
      <c r="D363" s="214" t="str">
        <f>IFERROR(VLOOKUP($C363,'PORTIFÓLIO'!C:V,2,0),"")</f>
        <v/>
      </c>
      <c r="E363" s="211" t="str">
        <f>IFERROR(VLOOKUP($C363,'PORTIFÓLIO'!C:V,3,0),"")</f>
        <v/>
      </c>
      <c r="F363" s="211" t="str">
        <f>IFERROR(VLOOKUP($C363,'PORTIFÓLIO'!C:V,4,0),"")</f>
        <v/>
      </c>
      <c r="G363" s="215" t="str">
        <f>IFERROR(VLOOKUP($C363,'PORTIFÓLIO'!C:V,5,0),"")</f>
        <v/>
      </c>
      <c r="H363" s="254" t="str">
        <f t="array" ref="H363">IFERROR(INDEX('PORTIFÓLIO'!$H$4:$H$433,MATCH($C363,'PORTIFÓLIO'!$C$4:$C$433,0)),"")</f>
        <v/>
      </c>
      <c r="I363" s="256"/>
      <c r="J363" s="218">
        <f t="shared" si="41"/>
        <v>0</v>
      </c>
      <c r="K363" s="292" t="str">
        <f t="array" ref="K363">IFERROR(I363*INDEX('PORTIFÓLIO'!$S$4:$S$433,MATCH($C363,'PORTIFÓLIO'!$C$4:$C$433,0)),"")</f>
        <v/>
      </c>
      <c r="L363" s="292" t="str">
        <f t="array" ref="L363">IFERROR(J363*INDEX('PORTIFÓLIO'!$S$4:$S$433,MATCH($C363,'PORTIFÓLIO'!$C$4:$C$433,0)),"")</f>
        <v/>
      </c>
      <c r="M363" s="220"/>
      <c r="N363" s="220"/>
      <c r="O363" s="220"/>
      <c r="P363" s="220"/>
      <c r="Q363" s="220"/>
      <c r="R363" s="220"/>
      <c r="S363" s="220"/>
      <c r="T363" s="220"/>
      <c r="U363" s="220"/>
      <c r="V363" s="220"/>
      <c r="W363" s="220"/>
    </row>
    <row r="364" ht="15.75" customHeight="1" outlineLevel="1">
      <c r="A364" s="211"/>
      <c r="B364" s="212"/>
      <c r="C364" s="213"/>
      <c r="D364" s="214" t="str">
        <f>IFERROR(VLOOKUP($C364,'PORTIFÓLIO'!C:V,2,0),"")</f>
        <v/>
      </c>
      <c r="E364" s="211" t="str">
        <f>IFERROR(VLOOKUP($C364,'PORTIFÓLIO'!C:V,3,0),"")</f>
        <v/>
      </c>
      <c r="F364" s="211" t="str">
        <f>IFERROR(VLOOKUP($C364,'PORTIFÓLIO'!C:V,4,0),"")</f>
        <v/>
      </c>
      <c r="G364" s="215" t="str">
        <f>IFERROR(VLOOKUP($C364,'PORTIFÓLIO'!C:V,5,0),"")</f>
        <v/>
      </c>
      <c r="H364" s="254" t="str">
        <f t="array" ref="H364">IFERROR(INDEX('PORTIFÓLIO'!$H$4:$H$433,MATCH($C364,'PORTIFÓLIO'!$C$4:$C$433,0)),"")</f>
        <v/>
      </c>
      <c r="I364" s="256"/>
      <c r="J364" s="218">
        <f t="shared" si="41"/>
        <v>0</v>
      </c>
      <c r="K364" s="292" t="str">
        <f t="array" ref="K364">IFERROR(I364*INDEX('PORTIFÓLIO'!$S$4:$S$433,MATCH($C364,'PORTIFÓLIO'!$C$4:$C$433,0)),"")</f>
        <v/>
      </c>
      <c r="L364" s="292" t="str">
        <f t="array" ref="L364">IFERROR(J364*INDEX('PORTIFÓLIO'!$S$4:$S$433,MATCH($C364,'PORTIFÓLIO'!$C$4:$C$433,0)),"")</f>
        <v/>
      </c>
      <c r="M364" s="220"/>
      <c r="N364" s="220"/>
      <c r="O364" s="220"/>
      <c r="P364" s="220"/>
      <c r="Q364" s="220"/>
      <c r="R364" s="220"/>
      <c r="S364" s="220"/>
      <c r="T364" s="220"/>
      <c r="U364" s="220"/>
      <c r="V364" s="220"/>
      <c r="W364" s="220"/>
    </row>
    <row r="365" ht="15.75" customHeight="1" outlineLevel="1">
      <c r="A365" s="211"/>
      <c r="B365" s="212"/>
      <c r="C365" s="213"/>
      <c r="D365" s="214" t="str">
        <f>IFERROR(VLOOKUP($C365,'PORTIFÓLIO'!C:V,2,0),"")</f>
        <v/>
      </c>
      <c r="E365" s="211" t="str">
        <f>IFERROR(VLOOKUP($C365,'PORTIFÓLIO'!C:V,3,0),"")</f>
        <v/>
      </c>
      <c r="F365" s="211" t="str">
        <f>IFERROR(VLOOKUP($C365,'PORTIFÓLIO'!C:V,4,0),"")</f>
        <v/>
      </c>
      <c r="G365" s="215" t="str">
        <f>IFERROR(VLOOKUP($C365,'PORTIFÓLIO'!C:V,5,0),"")</f>
        <v/>
      </c>
      <c r="H365" s="254" t="str">
        <f t="array" ref="H365">IFERROR(INDEX('PORTIFÓLIO'!$H$4:$H$433,MATCH($C365,'PORTIFÓLIO'!$C$4:$C$433,0)),"")</f>
        <v/>
      </c>
      <c r="I365" s="256"/>
      <c r="J365" s="218">
        <f t="shared" si="41"/>
        <v>0</v>
      </c>
      <c r="K365" s="292" t="str">
        <f t="array" ref="K365">IFERROR(I365*INDEX('PORTIFÓLIO'!$S$4:$S$433,MATCH($C365,'PORTIFÓLIO'!$C$4:$C$433,0)),"")</f>
        <v/>
      </c>
      <c r="L365" s="292" t="str">
        <f t="array" ref="L365">IFERROR(J365*INDEX('PORTIFÓLIO'!$S$4:$S$433,MATCH($C365,'PORTIFÓLIO'!$C$4:$C$433,0)),"")</f>
        <v/>
      </c>
      <c r="M365" s="220"/>
      <c r="N365" s="220"/>
      <c r="O365" s="220"/>
      <c r="P365" s="220"/>
      <c r="Q365" s="220"/>
      <c r="R365" s="220"/>
      <c r="S365" s="220"/>
      <c r="T365" s="220"/>
      <c r="U365" s="220"/>
      <c r="V365" s="220"/>
      <c r="W365" s="220"/>
    </row>
    <row r="366" ht="15.75" customHeight="1" outlineLevel="1">
      <c r="A366" s="211"/>
      <c r="B366" s="212"/>
      <c r="C366" s="213"/>
      <c r="D366" s="214" t="str">
        <f>IFERROR(VLOOKUP($C366,'PORTIFÓLIO'!C:V,2,0),"")</f>
        <v/>
      </c>
      <c r="E366" s="211" t="str">
        <f>IFERROR(VLOOKUP($C366,'PORTIFÓLIO'!C:V,3,0),"")</f>
        <v/>
      </c>
      <c r="F366" s="211" t="str">
        <f>IFERROR(VLOOKUP($C366,'PORTIFÓLIO'!C:V,4,0),"")</f>
        <v/>
      </c>
      <c r="G366" s="215" t="str">
        <f>IFERROR(VLOOKUP($C366,'PORTIFÓLIO'!C:V,5,0),"")</f>
        <v/>
      </c>
      <c r="H366" s="254" t="str">
        <f t="array" ref="H366">IFERROR(INDEX('PORTIFÓLIO'!$H$4:$H$433,MATCH($C366,'PORTIFÓLIO'!$C$4:$C$433,0)),"")</f>
        <v/>
      </c>
      <c r="I366" s="256"/>
      <c r="J366" s="218">
        <f t="shared" si="41"/>
        <v>0</v>
      </c>
      <c r="K366" s="292" t="str">
        <f t="array" ref="K366">IFERROR(I366*INDEX('PORTIFÓLIO'!$S$4:$S$433,MATCH($C366,'PORTIFÓLIO'!$C$4:$C$433,0)),"")</f>
        <v/>
      </c>
      <c r="L366" s="292" t="str">
        <f t="array" ref="L366">IFERROR(J366*INDEX('PORTIFÓLIO'!$S$4:$S$433,MATCH($C366,'PORTIFÓLIO'!$C$4:$C$433,0)),"")</f>
        <v/>
      </c>
      <c r="M366" s="220"/>
      <c r="N366" s="220"/>
      <c r="O366" s="220"/>
      <c r="P366" s="220"/>
      <c r="Q366" s="220"/>
      <c r="R366" s="220"/>
      <c r="S366" s="220"/>
      <c r="T366" s="220"/>
      <c r="U366" s="220"/>
      <c r="V366" s="220"/>
      <c r="W366" s="220"/>
    </row>
    <row r="367" ht="15.75" customHeight="1" outlineLevel="1">
      <c r="A367" s="211"/>
      <c r="B367" s="212"/>
      <c r="C367" s="213"/>
      <c r="D367" s="214" t="str">
        <f>IFERROR(VLOOKUP($C367,'PORTIFÓLIO'!C:V,2,0),"")</f>
        <v/>
      </c>
      <c r="E367" s="211" t="str">
        <f>IFERROR(VLOOKUP($C367,'PORTIFÓLIO'!C:V,3,0),"")</f>
        <v/>
      </c>
      <c r="F367" s="211" t="str">
        <f>IFERROR(VLOOKUP($C367,'PORTIFÓLIO'!C:V,4,0),"")</f>
        <v/>
      </c>
      <c r="G367" s="215" t="str">
        <f>IFERROR(VLOOKUP($C367,'PORTIFÓLIO'!C:V,5,0),"")</f>
        <v/>
      </c>
      <c r="H367" s="254" t="str">
        <f t="array" ref="H367">IFERROR(INDEX('PORTIFÓLIO'!$H$4:$H$433,MATCH($C367,'PORTIFÓLIO'!$C$4:$C$433,0)),"")</f>
        <v/>
      </c>
      <c r="I367" s="255"/>
      <c r="J367" s="218">
        <f t="shared" si="41"/>
        <v>0</v>
      </c>
      <c r="K367" s="292" t="str">
        <f t="array" ref="K367">IFERROR(I367*INDEX('PORTIFÓLIO'!$S$4:$S$433,MATCH($C367,'PORTIFÓLIO'!$C$4:$C$433,0)),"")</f>
        <v/>
      </c>
      <c r="L367" s="292" t="str">
        <f t="array" ref="L367">IFERROR(J367*INDEX('PORTIFÓLIO'!$S$4:$S$433,MATCH($C367,'PORTIFÓLIO'!$C$4:$C$433,0)),"")</f>
        <v/>
      </c>
      <c r="M367" s="220"/>
      <c r="N367" s="220"/>
      <c r="O367" s="220"/>
      <c r="P367" s="220"/>
      <c r="Q367" s="220"/>
      <c r="R367" s="220"/>
      <c r="S367" s="220"/>
      <c r="T367" s="220"/>
      <c r="U367" s="220"/>
      <c r="V367" s="220"/>
      <c r="W367" s="220"/>
    </row>
    <row r="368" ht="15.75" customHeight="1" outlineLevel="1">
      <c r="A368" s="211"/>
      <c r="B368" s="212"/>
      <c r="C368" s="213"/>
      <c r="D368" s="214" t="str">
        <f>IFERROR(VLOOKUP($C368,'PORTIFÓLIO'!C:V,2,0),"")</f>
        <v/>
      </c>
      <c r="E368" s="211" t="str">
        <f>IFERROR(VLOOKUP($C368,'PORTIFÓLIO'!C:V,3,0),"")</f>
        <v/>
      </c>
      <c r="F368" s="211" t="str">
        <f>IFERROR(VLOOKUP($C368,'PORTIFÓLIO'!C:V,4,0),"")</f>
        <v/>
      </c>
      <c r="G368" s="215" t="str">
        <f>IFERROR(VLOOKUP($C368,'PORTIFÓLIO'!C:V,5,0),"")</f>
        <v/>
      </c>
      <c r="H368" s="254" t="str">
        <f t="array" ref="H368">IFERROR(INDEX('PORTIFÓLIO'!$H$4:$H$433,MATCH($C368,'PORTIFÓLIO'!$C$4:$C$433,0)),"")</f>
        <v/>
      </c>
      <c r="I368" s="256"/>
      <c r="J368" s="218">
        <f t="shared" si="41"/>
        <v>0</v>
      </c>
      <c r="K368" s="292" t="str">
        <f t="array" ref="K368">IFERROR(I368*INDEX('PORTIFÓLIO'!$S$4:$S$433,MATCH($C368,'PORTIFÓLIO'!$C$4:$C$433,0)),"")</f>
        <v/>
      </c>
      <c r="L368" s="292" t="str">
        <f t="array" ref="L368">IFERROR(J368*INDEX('PORTIFÓLIO'!$S$4:$S$433,MATCH($C368,'PORTIFÓLIO'!$C$4:$C$433,0)),"")</f>
        <v/>
      </c>
      <c r="M368" s="220"/>
      <c r="N368" s="220"/>
      <c r="O368" s="220"/>
      <c r="P368" s="220"/>
      <c r="Q368" s="220"/>
      <c r="R368" s="220"/>
      <c r="S368" s="220"/>
      <c r="T368" s="220"/>
      <c r="U368" s="220"/>
      <c r="V368" s="220"/>
      <c r="W368" s="220"/>
    </row>
    <row r="369" ht="15.75" customHeight="1" outlineLevel="1">
      <c r="A369" s="211"/>
      <c r="B369" s="212"/>
      <c r="C369" s="213"/>
      <c r="D369" s="214" t="str">
        <f>IFERROR(VLOOKUP($C369,'PORTIFÓLIO'!C:V,2,0),"")</f>
        <v/>
      </c>
      <c r="E369" s="211" t="str">
        <f>IFERROR(VLOOKUP($C369,'PORTIFÓLIO'!C:V,3,0),"")</f>
        <v/>
      </c>
      <c r="F369" s="211" t="str">
        <f>IFERROR(VLOOKUP($C369,'PORTIFÓLIO'!C:V,4,0),"")</f>
        <v/>
      </c>
      <c r="G369" s="215" t="str">
        <f>IFERROR(VLOOKUP($C369,'PORTIFÓLIO'!C:V,5,0),"")</f>
        <v/>
      </c>
      <c r="H369" s="254" t="str">
        <f t="array" ref="H369">IFERROR(INDEX('PORTIFÓLIO'!$H$4:$H$433,MATCH($C369,'PORTIFÓLIO'!$C$4:$C$433,0)),"")</f>
        <v/>
      </c>
      <c r="I369" s="256"/>
      <c r="J369" s="218">
        <f t="shared" si="41"/>
        <v>0</v>
      </c>
      <c r="K369" s="292" t="str">
        <f t="array" ref="K369">IFERROR(I369*INDEX('PORTIFÓLIO'!$S$4:$S$433,MATCH($C369,'PORTIFÓLIO'!$C$4:$C$433,0)),"")</f>
        <v/>
      </c>
      <c r="L369" s="292" t="str">
        <f t="array" ref="L369">IFERROR(J369*INDEX('PORTIFÓLIO'!$S$4:$S$433,MATCH($C369,'PORTIFÓLIO'!$C$4:$C$433,0)),"")</f>
        <v/>
      </c>
      <c r="M369" s="220"/>
      <c r="N369" s="220"/>
      <c r="O369" s="220"/>
      <c r="P369" s="220"/>
      <c r="Q369" s="220"/>
      <c r="R369" s="220"/>
      <c r="S369" s="220"/>
      <c r="T369" s="220"/>
      <c r="U369" s="220"/>
      <c r="V369" s="220"/>
      <c r="W369" s="220"/>
    </row>
    <row r="370" ht="15.75" customHeight="1" outlineLevel="1">
      <c r="A370" s="211"/>
      <c r="B370" s="212"/>
      <c r="C370" s="213"/>
      <c r="D370" s="214" t="str">
        <f>IFERROR(VLOOKUP($C370,'PORTIFÓLIO'!C:V,2,0),"")</f>
        <v/>
      </c>
      <c r="E370" s="211" t="str">
        <f>IFERROR(VLOOKUP($C370,'PORTIFÓLIO'!C:V,3,0),"")</f>
        <v/>
      </c>
      <c r="F370" s="211" t="str">
        <f>IFERROR(VLOOKUP($C370,'PORTIFÓLIO'!C:V,4,0),"")</f>
        <v/>
      </c>
      <c r="G370" s="215" t="str">
        <f>IFERROR(VLOOKUP($C370,'PORTIFÓLIO'!C:V,5,0),"")</f>
        <v/>
      </c>
      <c r="H370" s="254" t="str">
        <f t="array" ref="H370">IFERROR(INDEX('PORTIFÓLIO'!$H$4:$H$433,MATCH($C370,'PORTIFÓLIO'!$C$4:$C$433,0)),"")</f>
        <v/>
      </c>
      <c r="I370" s="256"/>
      <c r="J370" s="218">
        <f t="shared" si="41"/>
        <v>0</v>
      </c>
      <c r="K370" s="292" t="str">
        <f t="array" ref="K370">IFERROR(I370*INDEX('PORTIFÓLIO'!$S$4:$S$433,MATCH($C370,'PORTIFÓLIO'!$C$4:$C$433,0)),"")</f>
        <v/>
      </c>
      <c r="L370" s="292" t="str">
        <f t="array" ref="L370">IFERROR(J370*INDEX('PORTIFÓLIO'!$S$4:$S$433,MATCH($C370,'PORTIFÓLIO'!$C$4:$C$433,0)),"")</f>
        <v/>
      </c>
      <c r="M370" s="220"/>
      <c r="N370" s="220"/>
      <c r="O370" s="220"/>
      <c r="P370" s="220"/>
      <c r="Q370" s="220"/>
      <c r="R370" s="220"/>
      <c r="S370" s="220"/>
      <c r="T370" s="220"/>
      <c r="U370" s="220"/>
      <c r="V370" s="220"/>
      <c r="W370" s="220"/>
    </row>
    <row r="371" ht="15.75" customHeight="1" outlineLevel="1">
      <c r="A371" s="211"/>
      <c r="B371" s="212"/>
      <c r="C371" s="213"/>
      <c r="D371" s="214" t="str">
        <f>IFERROR(VLOOKUP($C371,'PORTIFÓLIO'!C:V,2,0),"")</f>
        <v/>
      </c>
      <c r="E371" s="211" t="str">
        <f>IFERROR(VLOOKUP($C371,'PORTIFÓLIO'!C:V,3,0),"")</f>
        <v/>
      </c>
      <c r="F371" s="211" t="str">
        <f>IFERROR(VLOOKUP($C371,'PORTIFÓLIO'!C:V,4,0),"")</f>
        <v/>
      </c>
      <c r="G371" s="215" t="str">
        <f>IFERROR(VLOOKUP($C371,'PORTIFÓLIO'!C:V,5,0),"")</f>
        <v/>
      </c>
      <c r="H371" s="254" t="str">
        <f t="array" ref="H371">IFERROR(INDEX('PORTIFÓLIO'!$H$4:$H$433,MATCH($C371,'PORTIFÓLIO'!$C$4:$C$433,0)),"")</f>
        <v/>
      </c>
      <c r="I371" s="256"/>
      <c r="J371" s="218">
        <f t="shared" si="41"/>
        <v>0</v>
      </c>
      <c r="K371" s="292" t="str">
        <f t="array" ref="K371">IFERROR(I371*INDEX('PORTIFÓLIO'!$S$4:$S$433,MATCH($C371,'PORTIFÓLIO'!$C$4:$C$433,0)),"")</f>
        <v/>
      </c>
      <c r="L371" s="292" t="str">
        <f t="array" ref="L371">IFERROR(J371*INDEX('PORTIFÓLIO'!$S$4:$S$433,MATCH($C371,'PORTIFÓLIO'!$C$4:$C$433,0)),"")</f>
        <v/>
      </c>
      <c r="M371" s="220"/>
      <c r="N371" s="220"/>
      <c r="O371" s="220"/>
      <c r="P371" s="220"/>
      <c r="Q371" s="220"/>
      <c r="R371" s="220"/>
      <c r="S371" s="220"/>
      <c r="T371" s="220"/>
      <c r="U371" s="220"/>
      <c r="V371" s="220"/>
      <c r="W371" s="220"/>
    </row>
    <row r="372" ht="15.75" customHeight="1" outlineLevel="1">
      <c r="A372" s="211"/>
      <c r="B372" s="212"/>
      <c r="C372" s="213"/>
      <c r="D372" s="214" t="str">
        <f>IFERROR(VLOOKUP($C372,'PORTIFÓLIO'!C:V,2,0),"")</f>
        <v/>
      </c>
      <c r="E372" s="211" t="str">
        <f>IFERROR(VLOOKUP($C372,'PORTIFÓLIO'!C:V,3,0),"")</f>
        <v/>
      </c>
      <c r="F372" s="211" t="str">
        <f>IFERROR(VLOOKUP($C372,'PORTIFÓLIO'!C:V,4,0),"")</f>
        <v/>
      </c>
      <c r="G372" s="215" t="str">
        <f>IFERROR(VLOOKUP($C372,'PORTIFÓLIO'!C:V,5,0),"")</f>
        <v/>
      </c>
      <c r="H372" s="254" t="str">
        <f t="array" ref="H372">IFERROR(INDEX('PORTIFÓLIO'!$H$4:$H$433,MATCH($C372,'PORTIFÓLIO'!$C$4:$C$433,0)),"")</f>
        <v/>
      </c>
      <c r="I372" s="256"/>
      <c r="J372" s="218">
        <f t="shared" si="41"/>
        <v>0</v>
      </c>
      <c r="K372" s="292" t="str">
        <f t="array" ref="K372">IFERROR(I372*INDEX('PORTIFÓLIO'!$S$4:$S$433,MATCH($C372,'PORTIFÓLIO'!$C$4:$C$433,0)),"")</f>
        <v/>
      </c>
      <c r="L372" s="292" t="str">
        <f t="array" ref="L372">IFERROR(J372*INDEX('PORTIFÓLIO'!$S$4:$S$433,MATCH($C372,'PORTIFÓLIO'!$C$4:$C$433,0)),"")</f>
        <v/>
      </c>
      <c r="M372" s="220"/>
      <c r="N372" s="220"/>
      <c r="O372" s="220"/>
      <c r="P372" s="220"/>
      <c r="Q372" s="220"/>
      <c r="R372" s="220"/>
      <c r="S372" s="220"/>
      <c r="T372" s="220"/>
      <c r="U372" s="220"/>
      <c r="V372" s="220"/>
      <c r="W372" s="220"/>
    </row>
    <row r="373" ht="15.75" customHeight="1" outlineLevel="1">
      <c r="A373" s="211"/>
      <c r="B373" s="212"/>
      <c r="C373" s="213"/>
      <c r="D373" s="214" t="str">
        <f>IFERROR(VLOOKUP($C373,'PORTIFÓLIO'!C:V,2,0),"")</f>
        <v/>
      </c>
      <c r="E373" s="211" t="str">
        <f>IFERROR(VLOOKUP($C373,'PORTIFÓLIO'!C:V,3,0),"")</f>
        <v/>
      </c>
      <c r="F373" s="211" t="str">
        <f>IFERROR(VLOOKUP($C373,'PORTIFÓLIO'!C:V,4,0),"")</f>
        <v/>
      </c>
      <c r="G373" s="215" t="str">
        <f>IFERROR(VLOOKUP($C373,'PORTIFÓLIO'!C:V,5,0),"")</f>
        <v/>
      </c>
      <c r="H373" s="254" t="str">
        <f t="array" ref="H373">IFERROR(INDEX('PORTIFÓLIO'!$H$4:$H$433,MATCH($C373,'PORTIFÓLIO'!$C$4:$C$433,0)),"")</f>
        <v/>
      </c>
      <c r="I373" s="256"/>
      <c r="J373" s="218">
        <f t="shared" si="41"/>
        <v>0</v>
      </c>
      <c r="K373" s="292" t="str">
        <f t="array" ref="K373">IFERROR(I373*INDEX('PORTIFÓLIO'!$S$4:$S$433,MATCH($C373,'PORTIFÓLIO'!$C$4:$C$433,0)),"")</f>
        <v/>
      </c>
      <c r="L373" s="292" t="str">
        <f t="array" ref="L373">IFERROR(J373*INDEX('PORTIFÓLIO'!$S$4:$S$433,MATCH($C373,'PORTIFÓLIO'!$C$4:$C$433,0)),"")</f>
        <v/>
      </c>
      <c r="M373" s="220"/>
      <c r="N373" s="220"/>
      <c r="O373" s="220"/>
      <c r="P373" s="220"/>
      <c r="Q373" s="220"/>
      <c r="R373" s="220"/>
      <c r="S373" s="220"/>
      <c r="T373" s="220"/>
      <c r="U373" s="220"/>
      <c r="V373" s="220"/>
      <c r="W373" s="220"/>
    </row>
    <row r="374" ht="15.75" customHeight="1" outlineLevel="1">
      <c r="A374" s="211"/>
      <c r="B374" s="227"/>
      <c r="C374" s="211"/>
      <c r="D374" s="214" t="str">
        <f>IFERROR(VLOOKUP($C374,'PORTIFÓLIO'!C:V,2,0),"")</f>
        <v/>
      </c>
      <c r="E374" s="211" t="str">
        <f>IFERROR(VLOOKUP($C374,'PORTIFÓLIO'!C:V,3,0),"")</f>
        <v/>
      </c>
      <c r="F374" s="211" t="str">
        <f>IFERROR(VLOOKUP($C374,'PORTIFÓLIO'!C:V,4,0),"")</f>
        <v/>
      </c>
      <c r="G374" s="215" t="str">
        <f>IFERROR(VLOOKUP($C374,'PORTIFÓLIO'!C:V,5,0),"")</f>
        <v/>
      </c>
      <c r="H374" s="254" t="str">
        <f t="array" ref="H374">IFERROR(INDEX('PORTIFÓLIO'!$H$4:$H$433,MATCH($C374,'PORTIFÓLIO'!$C$4:$C$433,0)),"")</f>
        <v/>
      </c>
      <c r="I374" s="256"/>
      <c r="J374" s="218"/>
      <c r="K374" s="292" t="str">
        <f t="array" ref="K374">IFERROR(I374*INDEX('PORTIFÓLIO'!$S$4:$S$433,MATCH($C374,'PORTIFÓLIO'!$C$4:$C$433,0)),"")</f>
        <v/>
      </c>
      <c r="L374" s="292" t="str">
        <f t="array" ref="L374">IFERROR(J374*INDEX('PORTIFÓLIO'!$S$4:$S$433,MATCH($C374,'PORTIFÓLIO'!$C$4:$C$433,0)),"")</f>
        <v/>
      </c>
      <c r="M374" s="220"/>
      <c r="N374" s="220"/>
      <c r="O374" s="220"/>
      <c r="P374" s="220"/>
      <c r="Q374" s="220"/>
      <c r="R374" s="220"/>
      <c r="S374" s="220"/>
      <c r="T374" s="220"/>
      <c r="U374" s="220"/>
      <c r="V374" s="220"/>
      <c r="W374" s="220"/>
    </row>
    <row r="375" ht="15.75" customHeight="1">
      <c r="A375" s="229" t="s">
        <v>1192</v>
      </c>
      <c r="B375" s="230"/>
      <c r="C375" s="231"/>
      <c r="D375" s="232"/>
      <c r="E375" s="231"/>
      <c r="F375" s="231"/>
      <c r="G375" s="233"/>
      <c r="H375" s="233"/>
      <c r="I375" s="258"/>
      <c r="J375" s="236"/>
      <c r="K375" s="237">
        <f t="shared" ref="K375:L375" si="42">SUBTOTAL(9,K376:K389)</f>
        <v>0</v>
      </c>
      <c r="L375" s="237">
        <f t="shared" si="42"/>
        <v>0</v>
      </c>
      <c r="M375" s="220"/>
      <c r="N375" s="220"/>
      <c r="O375" s="220"/>
      <c r="P375" s="220"/>
      <c r="Q375" s="220"/>
      <c r="R375" s="220"/>
      <c r="S375" s="220"/>
      <c r="T375" s="220"/>
      <c r="U375" s="220"/>
      <c r="V375" s="220"/>
      <c r="W375" s="220"/>
    </row>
    <row r="376" ht="15.75" customHeight="1" outlineLevel="1">
      <c r="A376" s="213"/>
      <c r="B376" s="212"/>
      <c r="C376" s="213"/>
      <c r="D376" s="214" t="str">
        <f>IFERROR(VLOOKUP($C376,'PORTIFÓLIO'!C:V,2,0),"")</f>
        <v/>
      </c>
      <c r="E376" s="211" t="str">
        <f>IFERROR(VLOOKUP($C376,'PORTIFÓLIO'!C:V,3,0),"")</f>
        <v/>
      </c>
      <c r="F376" s="211" t="str">
        <f>IFERROR(VLOOKUP($C376,'PORTIFÓLIO'!C:V,4,0),"")</f>
        <v/>
      </c>
      <c r="G376" s="215" t="str">
        <f>IFERROR(VLOOKUP($C376,'PORTIFÓLIO'!C:V,5,0),"")</f>
        <v/>
      </c>
      <c r="H376" s="254" t="str">
        <f t="array" ref="H376">IFERROR(INDEX('PORTIFÓLIO'!$H$4:$H$433,MATCH($C376,'PORTIFÓLIO'!$C$4:$C$433,0)),"")</f>
        <v/>
      </c>
      <c r="I376" s="255"/>
      <c r="J376" s="218">
        <f t="shared" ref="J376:J390" si="43">I376*$B$2</f>
        <v>0</v>
      </c>
      <c r="K376" s="292" t="str">
        <f t="array" ref="K376">IFERROR(I376*INDEX('PORTIFÓLIO'!$S$4:$S$433,MATCH($C376,'PORTIFÓLIO'!$C$4:$C$433,0)),"")</f>
        <v/>
      </c>
      <c r="L376" s="292" t="str">
        <f t="array" ref="L376">IFERROR(J376*INDEX('PORTIFÓLIO'!$S$4:$S$433,MATCH($C376,'PORTIFÓLIO'!$C$4:$C$433,0)),"")</f>
        <v/>
      </c>
      <c r="M376" s="220"/>
      <c r="N376" s="220"/>
      <c r="O376" s="220"/>
      <c r="P376" s="220"/>
      <c r="Q376" s="220"/>
      <c r="R376" s="220"/>
      <c r="S376" s="220"/>
      <c r="T376" s="220"/>
      <c r="U376" s="220"/>
      <c r="V376" s="220"/>
      <c r="W376" s="220"/>
    </row>
    <row r="377" ht="15.75" customHeight="1" outlineLevel="1">
      <c r="A377" s="211"/>
      <c r="B377" s="212"/>
      <c r="C377" s="213"/>
      <c r="D377" s="214" t="str">
        <f>IFERROR(VLOOKUP($C377,'PORTIFÓLIO'!C:V,2,0),"")</f>
        <v/>
      </c>
      <c r="E377" s="211" t="str">
        <f>IFERROR(VLOOKUP($C377,'PORTIFÓLIO'!C:V,3,0),"")</f>
        <v/>
      </c>
      <c r="F377" s="211" t="str">
        <f>IFERROR(VLOOKUP($C377,'PORTIFÓLIO'!C:V,4,0),"")</f>
        <v/>
      </c>
      <c r="G377" s="215" t="str">
        <f>IFERROR(VLOOKUP($C377,'PORTIFÓLIO'!C:V,5,0),"")</f>
        <v/>
      </c>
      <c r="H377" s="254" t="str">
        <f t="array" ref="H377">IFERROR(INDEX('PORTIFÓLIO'!$H$4:$H$433,MATCH($C377,'PORTIFÓLIO'!$C$4:$C$433,0)),"")</f>
        <v/>
      </c>
      <c r="I377" s="256"/>
      <c r="J377" s="218">
        <f t="shared" si="43"/>
        <v>0</v>
      </c>
      <c r="K377" s="292" t="str">
        <f t="array" ref="K377">IFERROR(I377*INDEX('PORTIFÓLIO'!$S$4:$S$433,MATCH($C377,'PORTIFÓLIO'!$C$4:$C$433,0)),"")</f>
        <v/>
      </c>
      <c r="L377" s="292" t="str">
        <f t="array" ref="L377">IFERROR(J377*INDEX('PORTIFÓLIO'!$S$4:$S$433,MATCH($C377,'PORTIFÓLIO'!$C$4:$C$433,0)),"")</f>
        <v/>
      </c>
      <c r="M377" s="220"/>
      <c r="N377" s="220"/>
      <c r="O377" s="220"/>
      <c r="P377" s="220"/>
      <c r="Q377" s="220"/>
      <c r="R377" s="220"/>
      <c r="S377" s="220"/>
      <c r="T377" s="220"/>
      <c r="U377" s="220"/>
      <c r="V377" s="220"/>
      <c r="W377" s="220"/>
    </row>
    <row r="378" ht="15.75" customHeight="1" outlineLevel="1">
      <c r="A378" s="211"/>
      <c r="B378" s="212"/>
      <c r="C378" s="213"/>
      <c r="D378" s="214" t="str">
        <f>IFERROR(VLOOKUP($C378,'PORTIFÓLIO'!C:V,2,0),"")</f>
        <v/>
      </c>
      <c r="E378" s="211" t="str">
        <f>IFERROR(VLOOKUP($C378,'PORTIFÓLIO'!C:V,3,0),"")</f>
        <v/>
      </c>
      <c r="F378" s="211" t="str">
        <f>IFERROR(VLOOKUP($C378,'PORTIFÓLIO'!C:V,4,0),"")</f>
        <v/>
      </c>
      <c r="G378" s="215" t="str">
        <f>IFERROR(VLOOKUP($C378,'PORTIFÓLIO'!C:V,5,0),"")</f>
        <v/>
      </c>
      <c r="H378" s="254" t="str">
        <f t="array" ref="H378">IFERROR(INDEX('PORTIFÓLIO'!$H$4:$H$433,MATCH($C378,'PORTIFÓLIO'!$C$4:$C$433,0)),"")</f>
        <v/>
      </c>
      <c r="I378" s="256"/>
      <c r="J378" s="218">
        <f t="shared" si="43"/>
        <v>0</v>
      </c>
      <c r="K378" s="292" t="str">
        <f t="array" ref="K378">IFERROR(I378*INDEX('PORTIFÓLIO'!$S$4:$S$433,MATCH($C378,'PORTIFÓLIO'!$C$4:$C$433,0)),"")</f>
        <v/>
      </c>
      <c r="L378" s="292" t="str">
        <f t="array" ref="L378">IFERROR(J378*INDEX('PORTIFÓLIO'!$S$4:$S$433,MATCH($C378,'PORTIFÓLIO'!$C$4:$C$433,0)),"")</f>
        <v/>
      </c>
      <c r="M378" s="220"/>
      <c r="N378" s="220"/>
      <c r="O378" s="220"/>
      <c r="P378" s="220"/>
      <c r="Q378" s="220"/>
      <c r="R378" s="220"/>
      <c r="S378" s="220"/>
      <c r="T378" s="220"/>
      <c r="U378" s="220"/>
      <c r="V378" s="220"/>
      <c r="W378" s="220"/>
    </row>
    <row r="379" ht="15.75" customHeight="1" outlineLevel="1">
      <c r="A379" s="211"/>
      <c r="B379" s="212"/>
      <c r="C379" s="213"/>
      <c r="D379" s="214" t="str">
        <f>IFERROR(VLOOKUP($C379,'PORTIFÓLIO'!C:V,2,0),"")</f>
        <v/>
      </c>
      <c r="E379" s="211" t="str">
        <f>IFERROR(VLOOKUP($C379,'PORTIFÓLIO'!C:V,3,0),"")</f>
        <v/>
      </c>
      <c r="F379" s="211" t="str">
        <f>IFERROR(VLOOKUP($C379,'PORTIFÓLIO'!C:V,4,0),"")</f>
        <v/>
      </c>
      <c r="G379" s="215" t="str">
        <f>IFERROR(VLOOKUP($C379,'PORTIFÓLIO'!C:V,5,0),"")</f>
        <v/>
      </c>
      <c r="H379" s="254" t="str">
        <f t="array" ref="H379">IFERROR(INDEX('PORTIFÓLIO'!$H$4:$H$433,MATCH($C379,'PORTIFÓLIO'!$C$4:$C$433,0)),"")</f>
        <v/>
      </c>
      <c r="I379" s="256"/>
      <c r="J379" s="218">
        <f t="shared" si="43"/>
        <v>0</v>
      </c>
      <c r="K379" s="292" t="str">
        <f t="array" ref="K379">IFERROR(I379*INDEX('PORTIFÓLIO'!$S$4:$S$433,MATCH($C379,'PORTIFÓLIO'!$C$4:$C$433,0)),"")</f>
        <v/>
      </c>
      <c r="L379" s="292" t="str">
        <f t="array" ref="L379">IFERROR(J379*INDEX('PORTIFÓLIO'!$S$4:$S$433,MATCH($C379,'PORTIFÓLIO'!$C$4:$C$433,0)),"")</f>
        <v/>
      </c>
      <c r="M379" s="220"/>
      <c r="N379" s="220"/>
      <c r="O379" s="220"/>
      <c r="P379" s="220"/>
      <c r="Q379" s="220"/>
      <c r="R379" s="220"/>
      <c r="S379" s="220"/>
      <c r="T379" s="220"/>
      <c r="U379" s="220"/>
      <c r="V379" s="220"/>
      <c r="W379" s="220"/>
    </row>
    <row r="380" ht="15.75" customHeight="1" outlineLevel="1">
      <c r="A380" s="211"/>
      <c r="B380" s="212"/>
      <c r="C380" s="213"/>
      <c r="D380" s="214" t="str">
        <f>IFERROR(VLOOKUP($C380,'PORTIFÓLIO'!C:V,2,0),"")</f>
        <v/>
      </c>
      <c r="E380" s="211" t="str">
        <f>IFERROR(VLOOKUP($C380,'PORTIFÓLIO'!C:V,3,0),"")</f>
        <v/>
      </c>
      <c r="F380" s="211" t="str">
        <f>IFERROR(VLOOKUP($C380,'PORTIFÓLIO'!C:V,4,0),"")</f>
        <v/>
      </c>
      <c r="G380" s="215" t="str">
        <f>IFERROR(VLOOKUP($C380,'PORTIFÓLIO'!C:V,5,0),"")</f>
        <v/>
      </c>
      <c r="H380" s="254" t="str">
        <f t="array" ref="H380">IFERROR(INDEX('PORTIFÓLIO'!$H$4:$H$433,MATCH($C380,'PORTIFÓLIO'!$C$4:$C$433,0)),"")</f>
        <v/>
      </c>
      <c r="I380" s="256"/>
      <c r="J380" s="218">
        <f t="shared" si="43"/>
        <v>0</v>
      </c>
      <c r="K380" s="292" t="str">
        <f t="array" ref="K380">IFERROR(I380*INDEX('PORTIFÓLIO'!$S$4:$S$433,MATCH($C380,'PORTIFÓLIO'!$C$4:$C$433,0)),"")</f>
        <v/>
      </c>
      <c r="L380" s="292" t="str">
        <f t="array" ref="L380">IFERROR(J380*INDEX('PORTIFÓLIO'!$S$4:$S$433,MATCH($C380,'PORTIFÓLIO'!$C$4:$C$433,0)),"")</f>
        <v/>
      </c>
      <c r="M380" s="220"/>
      <c r="N380" s="220"/>
      <c r="O380" s="220"/>
      <c r="P380" s="220"/>
      <c r="Q380" s="220"/>
      <c r="R380" s="220"/>
      <c r="S380" s="220"/>
      <c r="T380" s="220"/>
      <c r="U380" s="220"/>
      <c r="V380" s="220"/>
      <c r="W380" s="220"/>
    </row>
    <row r="381" ht="15.75" customHeight="1" outlineLevel="1">
      <c r="A381" s="211"/>
      <c r="B381" s="212"/>
      <c r="C381" s="213"/>
      <c r="D381" s="214" t="str">
        <f>IFERROR(VLOOKUP($C381,'PORTIFÓLIO'!C:V,2,0),"")</f>
        <v/>
      </c>
      <c r="E381" s="211" t="str">
        <f>IFERROR(VLOOKUP($C381,'PORTIFÓLIO'!C:V,3,0),"")</f>
        <v/>
      </c>
      <c r="F381" s="211" t="str">
        <f>IFERROR(VLOOKUP($C381,'PORTIFÓLIO'!C:V,4,0),"")</f>
        <v/>
      </c>
      <c r="G381" s="215" t="str">
        <f>IFERROR(VLOOKUP($C381,'PORTIFÓLIO'!C:V,5,0),"")</f>
        <v/>
      </c>
      <c r="H381" s="254" t="str">
        <f t="array" ref="H381">IFERROR(INDEX('PORTIFÓLIO'!$H$4:$H$433,MATCH($C381,'PORTIFÓLIO'!$C$4:$C$433,0)),"")</f>
        <v/>
      </c>
      <c r="I381" s="256"/>
      <c r="J381" s="218">
        <f t="shared" si="43"/>
        <v>0</v>
      </c>
      <c r="K381" s="292" t="str">
        <f t="array" ref="K381">IFERROR(I381*INDEX('PORTIFÓLIO'!$S$4:$S$433,MATCH($C381,'PORTIFÓLIO'!$C$4:$C$433,0)),"")</f>
        <v/>
      </c>
      <c r="L381" s="292" t="str">
        <f t="array" ref="L381">IFERROR(J381*INDEX('PORTIFÓLIO'!$S$4:$S$433,MATCH($C381,'PORTIFÓLIO'!$C$4:$C$433,0)),"")</f>
        <v/>
      </c>
      <c r="M381" s="220"/>
      <c r="N381" s="220"/>
      <c r="O381" s="220"/>
      <c r="P381" s="220"/>
      <c r="Q381" s="220"/>
      <c r="R381" s="220"/>
      <c r="S381" s="220"/>
      <c r="T381" s="220"/>
      <c r="U381" s="220"/>
      <c r="V381" s="220"/>
      <c r="W381" s="220"/>
    </row>
    <row r="382" ht="15.75" customHeight="1" outlineLevel="1">
      <c r="A382" s="211"/>
      <c r="B382" s="212"/>
      <c r="C382" s="213"/>
      <c r="D382" s="214" t="str">
        <f>IFERROR(VLOOKUP($C382,'PORTIFÓLIO'!C:V,2,0),"")</f>
        <v/>
      </c>
      <c r="E382" s="211" t="str">
        <f>IFERROR(VLOOKUP($C382,'PORTIFÓLIO'!C:V,3,0),"")</f>
        <v/>
      </c>
      <c r="F382" s="211" t="str">
        <f>IFERROR(VLOOKUP($C382,'PORTIFÓLIO'!C:V,4,0),"")</f>
        <v/>
      </c>
      <c r="G382" s="215" t="str">
        <f>IFERROR(VLOOKUP($C382,'PORTIFÓLIO'!C:V,5,0),"")</f>
        <v/>
      </c>
      <c r="H382" s="254" t="str">
        <f t="array" ref="H382">IFERROR(INDEX('PORTIFÓLIO'!$H$4:$H$433,MATCH($C382,'PORTIFÓLIO'!$C$4:$C$433,0)),"")</f>
        <v/>
      </c>
      <c r="I382" s="256"/>
      <c r="J382" s="218">
        <f t="shared" si="43"/>
        <v>0</v>
      </c>
      <c r="K382" s="292" t="str">
        <f t="array" ref="K382">IFERROR(I382*INDEX('PORTIFÓLIO'!$S$4:$S$433,MATCH($C382,'PORTIFÓLIO'!$C$4:$C$433,0)),"")</f>
        <v/>
      </c>
      <c r="L382" s="292" t="str">
        <f t="array" ref="L382">IFERROR(J382*INDEX('PORTIFÓLIO'!$S$4:$S$433,MATCH($C382,'PORTIFÓLIO'!$C$4:$C$433,0)),"")</f>
        <v/>
      </c>
      <c r="M382" s="220"/>
      <c r="N382" s="220"/>
      <c r="O382" s="220"/>
      <c r="P382" s="220"/>
      <c r="Q382" s="220"/>
      <c r="R382" s="220"/>
      <c r="S382" s="220"/>
      <c r="T382" s="220"/>
      <c r="U382" s="220"/>
      <c r="V382" s="220"/>
      <c r="W382" s="220"/>
    </row>
    <row r="383" ht="15.75" customHeight="1" outlineLevel="1">
      <c r="A383" s="211"/>
      <c r="B383" s="212"/>
      <c r="C383" s="213"/>
      <c r="D383" s="214" t="str">
        <f>IFERROR(VLOOKUP($C383,'PORTIFÓLIO'!C:V,2,0),"")</f>
        <v/>
      </c>
      <c r="E383" s="211" t="str">
        <f>IFERROR(VLOOKUP($C383,'PORTIFÓLIO'!C:V,3,0),"")</f>
        <v/>
      </c>
      <c r="F383" s="211" t="str">
        <f>IFERROR(VLOOKUP($C383,'PORTIFÓLIO'!C:V,4,0),"")</f>
        <v/>
      </c>
      <c r="G383" s="215" t="str">
        <f>IFERROR(VLOOKUP($C383,'PORTIFÓLIO'!C:V,5,0),"")</f>
        <v/>
      </c>
      <c r="H383" s="254" t="str">
        <f t="array" ref="H383">IFERROR(INDEX('PORTIFÓLIO'!$H$4:$H$433,MATCH($C383,'PORTIFÓLIO'!$C$4:$C$433,0)),"")</f>
        <v/>
      </c>
      <c r="I383" s="256"/>
      <c r="J383" s="218">
        <f t="shared" si="43"/>
        <v>0</v>
      </c>
      <c r="K383" s="292" t="str">
        <f t="array" ref="K383">IFERROR(I383*INDEX('PORTIFÓLIO'!$S$4:$S$433,MATCH($C383,'PORTIFÓLIO'!$C$4:$C$433,0)),"")</f>
        <v/>
      </c>
      <c r="L383" s="292" t="str">
        <f t="array" ref="L383">IFERROR(J383*INDEX('PORTIFÓLIO'!$S$4:$S$433,MATCH($C383,'PORTIFÓLIO'!$C$4:$C$433,0)),"")</f>
        <v/>
      </c>
      <c r="M383" s="220"/>
      <c r="N383" s="220"/>
      <c r="O383" s="220"/>
      <c r="P383" s="220"/>
      <c r="Q383" s="220"/>
      <c r="R383" s="220"/>
      <c r="S383" s="220"/>
      <c r="T383" s="220"/>
      <c r="U383" s="220"/>
      <c r="V383" s="220"/>
      <c r="W383" s="220"/>
    </row>
    <row r="384" ht="15.75" customHeight="1" outlineLevel="1">
      <c r="A384" s="211"/>
      <c r="B384" s="212"/>
      <c r="C384" s="213"/>
      <c r="D384" s="214" t="str">
        <f>IFERROR(VLOOKUP($C384,'PORTIFÓLIO'!C:V,2,0),"")</f>
        <v/>
      </c>
      <c r="E384" s="211" t="str">
        <f>IFERROR(VLOOKUP($C384,'PORTIFÓLIO'!C:V,3,0),"")</f>
        <v/>
      </c>
      <c r="F384" s="211" t="str">
        <f>IFERROR(VLOOKUP($C384,'PORTIFÓLIO'!C:V,4,0),"")</f>
        <v/>
      </c>
      <c r="G384" s="215" t="str">
        <f>IFERROR(VLOOKUP($C384,'PORTIFÓLIO'!C:V,5,0),"")</f>
        <v/>
      </c>
      <c r="H384" s="254" t="str">
        <f t="array" ref="H384">IFERROR(INDEX('PORTIFÓLIO'!$H$4:$H$433,MATCH($C384,'PORTIFÓLIO'!$C$4:$C$433,0)),"")</f>
        <v/>
      </c>
      <c r="I384" s="255"/>
      <c r="J384" s="218">
        <f t="shared" si="43"/>
        <v>0</v>
      </c>
      <c r="K384" s="292" t="str">
        <f t="array" ref="K384">IFERROR(I384*INDEX('PORTIFÓLIO'!$S$4:$S$433,MATCH($C384,'PORTIFÓLIO'!$C$4:$C$433,0)),"")</f>
        <v/>
      </c>
      <c r="L384" s="292" t="str">
        <f t="array" ref="L384">IFERROR(J384*INDEX('PORTIFÓLIO'!$S$4:$S$433,MATCH($C384,'PORTIFÓLIO'!$C$4:$C$433,0)),"")</f>
        <v/>
      </c>
      <c r="M384" s="220"/>
      <c r="N384" s="220"/>
      <c r="O384" s="220"/>
      <c r="P384" s="220"/>
      <c r="Q384" s="220"/>
      <c r="R384" s="220"/>
      <c r="S384" s="220"/>
      <c r="T384" s="220"/>
      <c r="U384" s="220"/>
      <c r="V384" s="220"/>
      <c r="W384" s="220"/>
    </row>
    <row r="385" ht="15.75" customHeight="1" outlineLevel="1">
      <c r="A385" s="211"/>
      <c r="B385" s="212"/>
      <c r="C385" s="213"/>
      <c r="D385" s="214" t="str">
        <f>IFERROR(VLOOKUP($C385,'PORTIFÓLIO'!C:V,2,0),"")</f>
        <v/>
      </c>
      <c r="E385" s="211" t="str">
        <f>IFERROR(VLOOKUP($C385,'PORTIFÓLIO'!C:V,3,0),"")</f>
        <v/>
      </c>
      <c r="F385" s="211" t="str">
        <f>IFERROR(VLOOKUP($C385,'PORTIFÓLIO'!C:V,4,0),"")</f>
        <v/>
      </c>
      <c r="G385" s="215" t="str">
        <f>IFERROR(VLOOKUP($C385,'PORTIFÓLIO'!C:V,5,0),"")</f>
        <v/>
      </c>
      <c r="H385" s="254" t="str">
        <f t="array" ref="H385">IFERROR(INDEX('PORTIFÓLIO'!$H$4:$H$433,MATCH($C385,'PORTIFÓLIO'!$C$4:$C$433,0)),"")</f>
        <v/>
      </c>
      <c r="I385" s="256"/>
      <c r="J385" s="218">
        <f t="shared" si="43"/>
        <v>0</v>
      </c>
      <c r="K385" s="292" t="str">
        <f t="array" ref="K385">IFERROR(I385*INDEX('PORTIFÓLIO'!$S$4:$S$433,MATCH($C385,'PORTIFÓLIO'!$C$4:$C$433,0)),"")</f>
        <v/>
      </c>
      <c r="L385" s="292" t="str">
        <f t="array" ref="L385">IFERROR(J385*INDEX('PORTIFÓLIO'!$S$4:$S$433,MATCH($C385,'PORTIFÓLIO'!$C$4:$C$433,0)),"")</f>
        <v/>
      </c>
      <c r="M385" s="220"/>
      <c r="N385" s="220"/>
      <c r="O385" s="220"/>
      <c r="P385" s="220"/>
      <c r="Q385" s="220"/>
      <c r="R385" s="220"/>
      <c r="S385" s="220"/>
      <c r="T385" s="220"/>
      <c r="U385" s="220"/>
      <c r="V385" s="220"/>
      <c r="W385" s="220"/>
    </row>
    <row r="386" ht="15.75" customHeight="1" outlineLevel="1">
      <c r="A386" s="211"/>
      <c r="B386" s="212"/>
      <c r="C386" s="213"/>
      <c r="D386" s="214" t="str">
        <f>IFERROR(VLOOKUP($C386,'PORTIFÓLIO'!C:V,2,0),"")</f>
        <v/>
      </c>
      <c r="E386" s="211" t="str">
        <f>IFERROR(VLOOKUP($C386,'PORTIFÓLIO'!C:V,3,0),"")</f>
        <v/>
      </c>
      <c r="F386" s="211" t="str">
        <f>IFERROR(VLOOKUP($C386,'PORTIFÓLIO'!C:V,4,0),"")</f>
        <v/>
      </c>
      <c r="G386" s="215" t="str">
        <f>IFERROR(VLOOKUP($C386,'PORTIFÓLIO'!C:V,5,0),"")</f>
        <v/>
      </c>
      <c r="H386" s="254" t="str">
        <f t="array" ref="H386">IFERROR(INDEX('PORTIFÓLIO'!$H$4:$H$433,MATCH($C386,'PORTIFÓLIO'!$C$4:$C$433,0)),"")</f>
        <v/>
      </c>
      <c r="I386" s="256"/>
      <c r="J386" s="218">
        <f t="shared" si="43"/>
        <v>0</v>
      </c>
      <c r="K386" s="292" t="str">
        <f t="array" ref="K386">IFERROR(I386*INDEX('PORTIFÓLIO'!$S$4:$S$433,MATCH($C386,'PORTIFÓLIO'!$C$4:$C$433,0)),"")</f>
        <v/>
      </c>
      <c r="L386" s="292" t="str">
        <f t="array" ref="L386">IFERROR(J386*INDEX('PORTIFÓLIO'!$S$4:$S$433,MATCH($C386,'PORTIFÓLIO'!$C$4:$C$433,0)),"")</f>
        <v/>
      </c>
      <c r="M386" s="220"/>
      <c r="N386" s="220"/>
      <c r="O386" s="220"/>
      <c r="P386" s="220"/>
      <c r="Q386" s="220"/>
      <c r="R386" s="220"/>
      <c r="S386" s="220"/>
      <c r="T386" s="220"/>
      <c r="U386" s="220"/>
      <c r="V386" s="220"/>
      <c r="W386" s="220"/>
    </row>
    <row r="387" ht="15.75" customHeight="1" outlineLevel="1">
      <c r="A387" s="211"/>
      <c r="B387" s="212"/>
      <c r="C387" s="213"/>
      <c r="D387" s="214" t="str">
        <f>IFERROR(VLOOKUP($C387,'PORTIFÓLIO'!C:V,2,0),"")</f>
        <v/>
      </c>
      <c r="E387" s="211" t="str">
        <f>IFERROR(VLOOKUP($C387,'PORTIFÓLIO'!C:V,3,0),"")</f>
        <v/>
      </c>
      <c r="F387" s="211" t="str">
        <f>IFERROR(VLOOKUP($C387,'PORTIFÓLIO'!C:V,4,0),"")</f>
        <v/>
      </c>
      <c r="G387" s="215" t="str">
        <f>IFERROR(VLOOKUP($C387,'PORTIFÓLIO'!C:V,5,0),"")</f>
        <v/>
      </c>
      <c r="H387" s="254" t="str">
        <f t="array" ref="H387">IFERROR(INDEX('PORTIFÓLIO'!$H$4:$H$433,MATCH($C387,'PORTIFÓLIO'!$C$4:$C$433,0)),"")</f>
        <v/>
      </c>
      <c r="I387" s="256"/>
      <c r="J387" s="218">
        <f t="shared" si="43"/>
        <v>0</v>
      </c>
      <c r="K387" s="292" t="str">
        <f t="array" ref="K387">IFERROR(I387*INDEX('PORTIFÓLIO'!$S$4:$S$433,MATCH($C387,'PORTIFÓLIO'!$C$4:$C$433,0)),"")</f>
        <v/>
      </c>
      <c r="L387" s="292" t="str">
        <f t="array" ref="L387">IFERROR(J387*INDEX('PORTIFÓLIO'!$S$4:$S$433,MATCH($C387,'PORTIFÓLIO'!$C$4:$C$433,0)),"")</f>
        <v/>
      </c>
      <c r="M387" s="220"/>
      <c r="N387" s="220"/>
      <c r="O387" s="220"/>
      <c r="P387" s="220"/>
      <c r="Q387" s="220"/>
      <c r="R387" s="220"/>
      <c r="S387" s="220"/>
      <c r="T387" s="220"/>
      <c r="U387" s="220"/>
      <c r="V387" s="220"/>
      <c r="W387" s="220"/>
    </row>
    <row r="388" ht="15.75" customHeight="1" outlineLevel="1">
      <c r="A388" s="211"/>
      <c r="B388" s="212"/>
      <c r="C388" s="213"/>
      <c r="D388" s="214" t="str">
        <f>IFERROR(VLOOKUP($C388,'PORTIFÓLIO'!C:V,2,0),"")</f>
        <v/>
      </c>
      <c r="E388" s="211" t="str">
        <f>IFERROR(VLOOKUP($C388,'PORTIFÓLIO'!C:V,3,0),"")</f>
        <v/>
      </c>
      <c r="F388" s="211" t="str">
        <f>IFERROR(VLOOKUP($C388,'PORTIFÓLIO'!C:V,4,0),"")</f>
        <v/>
      </c>
      <c r="G388" s="215" t="str">
        <f>IFERROR(VLOOKUP($C388,'PORTIFÓLIO'!C:V,5,0),"")</f>
        <v/>
      </c>
      <c r="H388" s="254" t="str">
        <f t="array" ref="H388">IFERROR(INDEX('PORTIFÓLIO'!$H$4:$H$433,MATCH($C388,'PORTIFÓLIO'!$C$4:$C$433,0)),"")</f>
        <v/>
      </c>
      <c r="I388" s="256"/>
      <c r="J388" s="218">
        <f t="shared" si="43"/>
        <v>0</v>
      </c>
      <c r="K388" s="292" t="str">
        <f t="array" ref="K388">IFERROR(I388*INDEX('PORTIFÓLIO'!$S$4:$S$433,MATCH($C388,'PORTIFÓLIO'!$C$4:$C$433,0)),"")</f>
        <v/>
      </c>
      <c r="L388" s="292" t="str">
        <f t="array" ref="L388">IFERROR(J388*INDEX('PORTIFÓLIO'!$S$4:$S$433,MATCH($C388,'PORTIFÓLIO'!$C$4:$C$433,0)),"")</f>
        <v/>
      </c>
      <c r="M388" s="220"/>
      <c r="N388" s="220"/>
      <c r="O388" s="220"/>
      <c r="P388" s="220"/>
      <c r="Q388" s="220"/>
      <c r="R388" s="220"/>
      <c r="S388" s="220"/>
      <c r="T388" s="220"/>
      <c r="U388" s="220"/>
      <c r="V388" s="220"/>
      <c r="W388" s="220"/>
    </row>
    <row r="389" ht="15.75" customHeight="1" outlineLevel="1">
      <c r="A389" s="211"/>
      <c r="B389" s="212"/>
      <c r="C389" s="213"/>
      <c r="D389" s="214" t="str">
        <f>IFERROR(VLOOKUP($C389,'PORTIFÓLIO'!C:V,2,0),"")</f>
        <v/>
      </c>
      <c r="E389" s="211" t="str">
        <f>IFERROR(VLOOKUP($C389,'PORTIFÓLIO'!C:V,3,0),"")</f>
        <v/>
      </c>
      <c r="F389" s="211" t="str">
        <f>IFERROR(VLOOKUP($C389,'PORTIFÓLIO'!C:V,4,0),"")</f>
        <v/>
      </c>
      <c r="G389" s="215" t="str">
        <f>IFERROR(VLOOKUP($C389,'PORTIFÓLIO'!C:V,5,0),"")</f>
        <v/>
      </c>
      <c r="H389" s="254" t="str">
        <f t="array" ref="H389">IFERROR(INDEX('PORTIFÓLIO'!$H$4:$H$433,MATCH($C389,'PORTIFÓLIO'!$C$4:$C$433,0)),"")</f>
        <v/>
      </c>
      <c r="I389" s="256"/>
      <c r="J389" s="218">
        <f t="shared" si="43"/>
        <v>0</v>
      </c>
      <c r="K389" s="292" t="str">
        <f t="array" ref="K389">IFERROR(I389*INDEX('PORTIFÓLIO'!$S$4:$S$433,MATCH($C389,'PORTIFÓLIO'!$C$4:$C$433,0)),"")</f>
        <v/>
      </c>
      <c r="L389" s="292" t="str">
        <f t="array" ref="L389">IFERROR(J389*INDEX('PORTIFÓLIO'!$S$4:$S$433,MATCH($C389,'PORTIFÓLIO'!$C$4:$C$433,0)),"")</f>
        <v/>
      </c>
      <c r="M389" s="220"/>
      <c r="N389" s="220"/>
      <c r="O389" s="220"/>
      <c r="P389" s="220"/>
      <c r="Q389" s="220"/>
      <c r="R389" s="220"/>
      <c r="S389" s="220"/>
      <c r="T389" s="220"/>
      <c r="U389" s="220"/>
      <c r="V389" s="220"/>
      <c r="W389" s="220"/>
    </row>
    <row r="390" ht="15.75" customHeight="1" outlineLevel="1">
      <c r="A390" s="211"/>
      <c r="B390" s="212"/>
      <c r="C390" s="213"/>
      <c r="D390" s="214" t="str">
        <f>IFERROR(VLOOKUP($C390,'PORTIFÓLIO'!C:V,2,0),"")</f>
        <v/>
      </c>
      <c r="E390" s="211" t="str">
        <f>IFERROR(VLOOKUP($C390,'PORTIFÓLIO'!C:V,3,0),"")</f>
        <v/>
      </c>
      <c r="F390" s="211" t="str">
        <f>IFERROR(VLOOKUP($C390,'PORTIFÓLIO'!C:V,4,0),"")</f>
        <v/>
      </c>
      <c r="G390" s="215" t="str">
        <f>IFERROR(VLOOKUP($C390,'PORTIFÓLIO'!C:V,5,0),"")</f>
        <v/>
      </c>
      <c r="H390" s="254" t="str">
        <f t="array" ref="H390">IFERROR(INDEX('PORTIFÓLIO'!$H$4:$H$433,MATCH($C390,'PORTIFÓLIO'!$C$4:$C$433,0)),"")</f>
        <v/>
      </c>
      <c r="I390" s="256"/>
      <c r="J390" s="218">
        <f t="shared" si="43"/>
        <v>0</v>
      </c>
      <c r="K390" s="292" t="str">
        <f t="array" ref="K390">IFERROR(I390*INDEX('PORTIFÓLIO'!$S$4:$S$433,MATCH($C390,'PORTIFÓLIO'!$C$4:$C$433,0)),"")</f>
        <v/>
      </c>
      <c r="L390" s="292" t="str">
        <f t="array" ref="L390">IFERROR(J390*INDEX('PORTIFÓLIO'!$S$4:$S$433,MATCH($C390,'PORTIFÓLIO'!$C$4:$C$433,0)),"")</f>
        <v/>
      </c>
      <c r="M390" s="220"/>
      <c r="N390" s="220"/>
      <c r="O390" s="220"/>
      <c r="P390" s="220"/>
      <c r="Q390" s="220"/>
      <c r="R390" s="220"/>
      <c r="S390" s="220"/>
      <c r="T390" s="220"/>
      <c r="U390" s="220"/>
      <c r="V390" s="220"/>
      <c r="W390" s="220"/>
    </row>
    <row r="391" ht="15.75" customHeight="1" outlineLevel="1">
      <c r="A391" s="211"/>
      <c r="B391" s="227"/>
      <c r="C391" s="211"/>
      <c r="D391" s="214" t="str">
        <f>IFERROR(VLOOKUP($C391,'PORTIFÓLIO'!C:V,2,0),"")</f>
        <v/>
      </c>
      <c r="E391" s="211" t="str">
        <f>IFERROR(VLOOKUP($C391,'PORTIFÓLIO'!C:V,3,0),"")</f>
        <v/>
      </c>
      <c r="F391" s="211" t="str">
        <f>IFERROR(VLOOKUP($C391,'PORTIFÓLIO'!C:V,4,0),"")</f>
        <v/>
      </c>
      <c r="G391" s="215" t="str">
        <f>IFERROR(VLOOKUP($C391,'PORTIFÓLIO'!C:V,5,0),"")</f>
        <v/>
      </c>
      <c r="H391" s="254" t="str">
        <f t="array" ref="H391">IFERROR(INDEX('PORTIFÓLIO'!$H$4:$H$433,MATCH($C391,'PORTIFÓLIO'!$C$4:$C$433,0)),"")</f>
        <v/>
      </c>
      <c r="I391" s="256"/>
      <c r="J391" s="218"/>
      <c r="K391" s="292" t="str">
        <f t="array" ref="K391">IFERROR(I391*INDEX('PORTIFÓLIO'!$S$4:$S$433,MATCH($C391,'PORTIFÓLIO'!$C$4:$C$433,0)),"")</f>
        <v/>
      </c>
      <c r="L391" s="292" t="str">
        <f t="array" ref="L391">IFERROR(J391*INDEX('PORTIFÓLIO'!$S$4:$S$433,MATCH($C391,'PORTIFÓLIO'!$C$4:$C$433,0)),"")</f>
        <v/>
      </c>
      <c r="M391" s="220"/>
      <c r="N391" s="220"/>
      <c r="O391" s="220"/>
      <c r="P391" s="220"/>
      <c r="Q391" s="220"/>
      <c r="R391" s="220"/>
      <c r="S391" s="220"/>
      <c r="T391" s="220"/>
      <c r="U391" s="220"/>
      <c r="V391" s="220"/>
      <c r="W391" s="220"/>
    </row>
    <row r="392" ht="15.75" customHeight="1">
      <c r="A392" s="229" t="s">
        <v>1193</v>
      </c>
      <c r="B392" s="230"/>
      <c r="C392" s="231"/>
      <c r="D392" s="232"/>
      <c r="E392" s="231"/>
      <c r="F392" s="231"/>
      <c r="G392" s="233"/>
      <c r="H392" s="233"/>
      <c r="I392" s="258"/>
      <c r="J392" s="236"/>
      <c r="K392" s="237">
        <f t="shared" ref="K392:L392" si="44">SUBTOTAL(9,K393:K406)</f>
        <v>0</v>
      </c>
      <c r="L392" s="237">
        <f t="shared" si="44"/>
        <v>0</v>
      </c>
      <c r="M392" s="220"/>
      <c r="N392" s="220"/>
      <c r="O392" s="220"/>
      <c r="P392" s="220"/>
      <c r="Q392" s="220"/>
      <c r="R392" s="220"/>
      <c r="S392" s="220"/>
      <c r="T392" s="220"/>
      <c r="U392" s="220"/>
      <c r="V392" s="220"/>
      <c r="W392" s="220"/>
    </row>
    <row r="393" ht="15.75" customHeight="1" outlineLevel="1">
      <c r="A393" s="213"/>
      <c r="B393" s="212"/>
      <c r="C393" s="213"/>
      <c r="D393" s="214" t="str">
        <f>IFERROR(VLOOKUP($C393,'PORTIFÓLIO'!C:V,2,0),"")</f>
        <v/>
      </c>
      <c r="E393" s="211" t="str">
        <f>IFERROR(VLOOKUP($C393,'PORTIFÓLIO'!C:V,3,0),"")</f>
        <v/>
      </c>
      <c r="F393" s="211" t="str">
        <f>IFERROR(VLOOKUP($C393,'PORTIFÓLIO'!C:V,4,0),"")</f>
        <v/>
      </c>
      <c r="G393" s="215" t="str">
        <f>IFERROR(VLOOKUP($C393,'PORTIFÓLIO'!C:V,5,0),"")</f>
        <v/>
      </c>
      <c r="H393" s="254" t="str">
        <f t="array" ref="H393">IFERROR(INDEX('PORTIFÓLIO'!$H$4:$H$433,MATCH($C393,'PORTIFÓLIO'!$C$4:$C$433,0)),"")</f>
        <v/>
      </c>
      <c r="I393" s="255"/>
      <c r="J393" s="218">
        <f t="shared" ref="J393:J408" si="45">I393*$B$2</f>
        <v>0</v>
      </c>
      <c r="K393" s="292" t="str">
        <f t="array" ref="K393">IFERROR(I393*INDEX('PORTIFÓLIO'!$S$4:$S$433,MATCH($C393,'PORTIFÓLIO'!$C$4:$C$433,0)),"")</f>
        <v/>
      </c>
      <c r="L393" s="292" t="str">
        <f t="array" ref="L393">IFERROR(J393*INDEX('PORTIFÓLIO'!$S$4:$S$433,MATCH($C393,'PORTIFÓLIO'!$C$4:$C$433,0)),"")</f>
        <v/>
      </c>
      <c r="M393" s="220"/>
      <c r="N393" s="220"/>
      <c r="O393" s="220"/>
      <c r="P393" s="220"/>
      <c r="Q393" s="220"/>
      <c r="R393" s="220"/>
      <c r="S393" s="220"/>
      <c r="T393" s="220"/>
      <c r="U393" s="220"/>
      <c r="V393" s="220"/>
      <c r="W393" s="220"/>
    </row>
    <row r="394" ht="15.75" customHeight="1" outlineLevel="1">
      <c r="A394" s="211"/>
      <c r="B394" s="212"/>
      <c r="C394" s="213"/>
      <c r="D394" s="214" t="str">
        <f>IFERROR(VLOOKUP($C394,'PORTIFÓLIO'!C:V,2,0),"")</f>
        <v/>
      </c>
      <c r="E394" s="211" t="str">
        <f>IFERROR(VLOOKUP($C394,'PORTIFÓLIO'!C:V,3,0),"")</f>
        <v/>
      </c>
      <c r="F394" s="211" t="str">
        <f>IFERROR(VLOOKUP($C394,'PORTIFÓLIO'!C:V,4,0),"")</f>
        <v/>
      </c>
      <c r="G394" s="215" t="str">
        <f>IFERROR(VLOOKUP($C394,'PORTIFÓLIO'!C:V,5,0),"")</f>
        <v/>
      </c>
      <c r="H394" s="254" t="str">
        <f t="array" ref="H394">IFERROR(INDEX('PORTIFÓLIO'!$H$4:$H$433,MATCH($C394,'PORTIFÓLIO'!$C$4:$C$433,0)),"")</f>
        <v/>
      </c>
      <c r="I394" s="256"/>
      <c r="J394" s="218">
        <f t="shared" si="45"/>
        <v>0</v>
      </c>
      <c r="K394" s="292" t="str">
        <f t="array" ref="K394">IFERROR(I394*INDEX('PORTIFÓLIO'!$S$4:$S$433,MATCH($C394,'PORTIFÓLIO'!$C$4:$C$433,0)),"")</f>
        <v/>
      </c>
      <c r="L394" s="292" t="str">
        <f t="array" ref="L394">IFERROR(J394*INDEX('PORTIFÓLIO'!$S$4:$S$433,MATCH($C394,'PORTIFÓLIO'!$C$4:$C$433,0)),"")</f>
        <v/>
      </c>
      <c r="M394" s="220"/>
      <c r="N394" s="220"/>
      <c r="O394" s="220"/>
      <c r="P394" s="220"/>
      <c r="Q394" s="220"/>
      <c r="R394" s="220"/>
      <c r="S394" s="220"/>
      <c r="T394" s="220"/>
      <c r="U394" s="220"/>
      <c r="V394" s="220"/>
      <c r="W394" s="220"/>
    </row>
    <row r="395" ht="15.75" customHeight="1" outlineLevel="1">
      <c r="A395" s="211"/>
      <c r="B395" s="212"/>
      <c r="C395" s="213"/>
      <c r="D395" s="214" t="str">
        <f>IFERROR(VLOOKUP($C395,'PORTIFÓLIO'!C:V,2,0),"")</f>
        <v/>
      </c>
      <c r="E395" s="211" t="str">
        <f>IFERROR(VLOOKUP($C395,'PORTIFÓLIO'!C:V,3,0),"")</f>
        <v/>
      </c>
      <c r="F395" s="211" t="str">
        <f>IFERROR(VLOOKUP($C395,'PORTIFÓLIO'!C:V,4,0),"")</f>
        <v/>
      </c>
      <c r="G395" s="215" t="str">
        <f>IFERROR(VLOOKUP($C395,'PORTIFÓLIO'!C:V,5,0),"")</f>
        <v/>
      </c>
      <c r="H395" s="254" t="str">
        <f t="array" ref="H395">IFERROR(INDEX('PORTIFÓLIO'!$H$4:$H$433,MATCH($C395,'PORTIFÓLIO'!$C$4:$C$433,0)),"")</f>
        <v/>
      </c>
      <c r="I395" s="256"/>
      <c r="J395" s="218">
        <f t="shared" si="45"/>
        <v>0</v>
      </c>
      <c r="K395" s="292" t="str">
        <f t="array" ref="K395">IFERROR(I395*INDEX('PORTIFÓLIO'!$S$4:$S$433,MATCH($C395,'PORTIFÓLIO'!$C$4:$C$433,0)),"")</f>
        <v/>
      </c>
      <c r="L395" s="292" t="str">
        <f t="array" ref="L395">IFERROR(J395*INDEX('PORTIFÓLIO'!$S$4:$S$433,MATCH($C395,'PORTIFÓLIO'!$C$4:$C$433,0)),"")</f>
        <v/>
      </c>
      <c r="M395" s="220"/>
      <c r="N395" s="220"/>
      <c r="O395" s="220"/>
      <c r="P395" s="220"/>
      <c r="Q395" s="220"/>
      <c r="R395" s="220"/>
      <c r="S395" s="220"/>
      <c r="T395" s="220"/>
      <c r="U395" s="220"/>
      <c r="V395" s="220"/>
      <c r="W395" s="220"/>
    </row>
    <row r="396" ht="15.75" customHeight="1" outlineLevel="1">
      <c r="A396" s="211"/>
      <c r="B396" s="212"/>
      <c r="C396" s="213"/>
      <c r="D396" s="214" t="str">
        <f>IFERROR(VLOOKUP($C396,'PORTIFÓLIO'!C:V,2,0),"")</f>
        <v/>
      </c>
      <c r="E396" s="211" t="str">
        <f>IFERROR(VLOOKUP($C396,'PORTIFÓLIO'!C:V,3,0),"")</f>
        <v/>
      </c>
      <c r="F396" s="211" t="str">
        <f>IFERROR(VLOOKUP($C396,'PORTIFÓLIO'!C:V,4,0),"")</f>
        <v/>
      </c>
      <c r="G396" s="215" t="str">
        <f>IFERROR(VLOOKUP($C396,'PORTIFÓLIO'!C:V,5,0),"")</f>
        <v/>
      </c>
      <c r="H396" s="254" t="str">
        <f t="array" ref="H396">IFERROR(INDEX('PORTIFÓLIO'!$H$4:$H$433,MATCH($C396,'PORTIFÓLIO'!$C$4:$C$433,0)),"")</f>
        <v/>
      </c>
      <c r="I396" s="256"/>
      <c r="J396" s="218">
        <f t="shared" si="45"/>
        <v>0</v>
      </c>
      <c r="K396" s="292" t="str">
        <f t="array" ref="K396">IFERROR(I396*INDEX('PORTIFÓLIO'!$S$4:$S$433,MATCH($C396,'PORTIFÓLIO'!$C$4:$C$433,0)),"")</f>
        <v/>
      </c>
      <c r="L396" s="292" t="str">
        <f t="array" ref="L396">IFERROR(J396*INDEX('PORTIFÓLIO'!$S$4:$S$433,MATCH($C396,'PORTIFÓLIO'!$C$4:$C$433,0)),"")</f>
        <v/>
      </c>
      <c r="M396" s="220"/>
      <c r="N396" s="220"/>
      <c r="O396" s="220"/>
      <c r="P396" s="220"/>
      <c r="Q396" s="220"/>
      <c r="R396" s="220"/>
      <c r="S396" s="220"/>
      <c r="T396" s="220"/>
      <c r="U396" s="220"/>
      <c r="V396" s="220"/>
      <c r="W396" s="220"/>
    </row>
    <row r="397" ht="15.75" customHeight="1" outlineLevel="1">
      <c r="A397" s="211"/>
      <c r="B397" s="212"/>
      <c r="C397" s="213"/>
      <c r="D397" s="214" t="str">
        <f>IFERROR(VLOOKUP($C397,'PORTIFÓLIO'!C:V,2,0),"")</f>
        <v/>
      </c>
      <c r="E397" s="211" t="str">
        <f>IFERROR(VLOOKUP($C397,'PORTIFÓLIO'!C:V,3,0),"")</f>
        <v/>
      </c>
      <c r="F397" s="211" t="str">
        <f>IFERROR(VLOOKUP($C397,'PORTIFÓLIO'!C:V,4,0),"")</f>
        <v/>
      </c>
      <c r="G397" s="215" t="str">
        <f>IFERROR(VLOOKUP($C397,'PORTIFÓLIO'!C:V,5,0),"")</f>
        <v/>
      </c>
      <c r="H397" s="254" t="str">
        <f t="array" ref="H397">IFERROR(INDEX('PORTIFÓLIO'!$H$4:$H$433,MATCH($C397,'PORTIFÓLIO'!$C$4:$C$433,0)),"")</f>
        <v/>
      </c>
      <c r="I397" s="256"/>
      <c r="J397" s="218">
        <f t="shared" si="45"/>
        <v>0</v>
      </c>
      <c r="K397" s="292" t="str">
        <f t="array" ref="K397">IFERROR(I397*INDEX('PORTIFÓLIO'!$S$4:$S$433,MATCH($C397,'PORTIFÓLIO'!$C$4:$C$433,0)),"")</f>
        <v/>
      </c>
      <c r="L397" s="292" t="str">
        <f t="array" ref="L397">IFERROR(J397*INDEX('PORTIFÓLIO'!$S$4:$S$433,MATCH($C397,'PORTIFÓLIO'!$C$4:$C$433,0)),"")</f>
        <v/>
      </c>
      <c r="M397" s="220"/>
      <c r="N397" s="220"/>
      <c r="O397" s="220"/>
      <c r="P397" s="220"/>
      <c r="Q397" s="220"/>
      <c r="R397" s="220"/>
      <c r="S397" s="220"/>
      <c r="T397" s="220"/>
      <c r="U397" s="220"/>
      <c r="V397" s="220"/>
      <c r="W397" s="220"/>
    </row>
    <row r="398" ht="15.75" customHeight="1" outlineLevel="1">
      <c r="A398" s="211"/>
      <c r="B398" s="212"/>
      <c r="C398" s="213"/>
      <c r="D398" s="214" t="str">
        <f>IFERROR(VLOOKUP($C398,'PORTIFÓLIO'!C:V,2,0),"")</f>
        <v/>
      </c>
      <c r="E398" s="211" t="str">
        <f>IFERROR(VLOOKUP($C398,'PORTIFÓLIO'!C:V,3,0),"")</f>
        <v/>
      </c>
      <c r="F398" s="211" t="str">
        <f>IFERROR(VLOOKUP($C398,'PORTIFÓLIO'!C:V,4,0),"")</f>
        <v/>
      </c>
      <c r="G398" s="215" t="str">
        <f>IFERROR(VLOOKUP($C398,'PORTIFÓLIO'!C:V,5,0),"")</f>
        <v/>
      </c>
      <c r="H398" s="254" t="str">
        <f t="array" ref="H398">IFERROR(INDEX('PORTIFÓLIO'!$H$4:$H$433,MATCH($C398,'PORTIFÓLIO'!$C$4:$C$433,0)),"")</f>
        <v/>
      </c>
      <c r="I398" s="256"/>
      <c r="J398" s="218">
        <f t="shared" si="45"/>
        <v>0</v>
      </c>
      <c r="K398" s="292" t="str">
        <f t="array" ref="K398">IFERROR(I398*INDEX('PORTIFÓLIO'!$S$4:$S$433,MATCH($C398,'PORTIFÓLIO'!$C$4:$C$433,0)),"")</f>
        <v/>
      </c>
      <c r="L398" s="292" t="str">
        <f t="array" ref="L398">IFERROR(J398*INDEX('PORTIFÓLIO'!$S$4:$S$433,MATCH($C398,'PORTIFÓLIO'!$C$4:$C$433,0)),"")</f>
        <v/>
      </c>
      <c r="M398" s="220"/>
      <c r="N398" s="220"/>
      <c r="O398" s="220"/>
      <c r="P398" s="220"/>
      <c r="Q398" s="220"/>
      <c r="R398" s="220"/>
      <c r="S398" s="220"/>
      <c r="T398" s="220"/>
      <c r="U398" s="220"/>
      <c r="V398" s="220"/>
      <c r="W398" s="220"/>
    </row>
    <row r="399" ht="15.75" customHeight="1" outlineLevel="1">
      <c r="A399" s="211"/>
      <c r="B399" s="212"/>
      <c r="C399" s="213"/>
      <c r="D399" s="214" t="str">
        <f>IFERROR(VLOOKUP($C399,'PORTIFÓLIO'!C:V,2,0),"")</f>
        <v/>
      </c>
      <c r="E399" s="211" t="str">
        <f>IFERROR(VLOOKUP($C399,'PORTIFÓLIO'!C:V,3,0),"")</f>
        <v/>
      </c>
      <c r="F399" s="211" t="str">
        <f>IFERROR(VLOOKUP($C399,'PORTIFÓLIO'!C:V,4,0),"")</f>
        <v/>
      </c>
      <c r="G399" s="215" t="str">
        <f>IFERROR(VLOOKUP($C399,'PORTIFÓLIO'!C:V,5,0),"")</f>
        <v/>
      </c>
      <c r="H399" s="254" t="str">
        <f t="array" ref="H399">IFERROR(INDEX('PORTIFÓLIO'!$H$4:$H$433,MATCH($C399,'PORTIFÓLIO'!$C$4:$C$433,0)),"")</f>
        <v/>
      </c>
      <c r="I399" s="256"/>
      <c r="J399" s="218">
        <f t="shared" si="45"/>
        <v>0</v>
      </c>
      <c r="K399" s="292" t="str">
        <f t="array" ref="K399">IFERROR(I399*INDEX('PORTIFÓLIO'!$S$4:$S$433,MATCH($C399,'PORTIFÓLIO'!$C$4:$C$433,0)),"")</f>
        <v/>
      </c>
      <c r="L399" s="292" t="str">
        <f t="array" ref="L399">IFERROR(J399*INDEX('PORTIFÓLIO'!$S$4:$S$433,MATCH($C399,'PORTIFÓLIO'!$C$4:$C$433,0)),"")</f>
        <v/>
      </c>
      <c r="M399" s="220"/>
      <c r="N399" s="220"/>
      <c r="O399" s="220"/>
      <c r="P399" s="220"/>
      <c r="Q399" s="220"/>
      <c r="R399" s="220"/>
      <c r="S399" s="220"/>
      <c r="T399" s="220"/>
      <c r="U399" s="220"/>
      <c r="V399" s="220"/>
      <c r="W399" s="220"/>
    </row>
    <row r="400" ht="15.75" customHeight="1" outlineLevel="1">
      <c r="A400" s="211"/>
      <c r="B400" s="212"/>
      <c r="C400" s="213"/>
      <c r="D400" s="214" t="str">
        <f>IFERROR(VLOOKUP($C400,'PORTIFÓLIO'!C:V,2,0),"")</f>
        <v/>
      </c>
      <c r="E400" s="211" t="str">
        <f>IFERROR(VLOOKUP($C400,'PORTIFÓLIO'!C:V,3,0),"")</f>
        <v/>
      </c>
      <c r="F400" s="211" t="str">
        <f>IFERROR(VLOOKUP($C400,'PORTIFÓLIO'!C:V,4,0),"")</f>
        <v/>
      </c>
      <c r="G400" s="215" t="str">
        <f>IFERROR(VLOOKUP($C400,'PORTIFÓLIO'!C:V,5,0),"")</f>
        <v/>
      </c>
      <c r="H400" s="254" t="str">
        <f t="array" ref="H400">IFERROR(INDEX('PORTIFÓLIO'!$H$4:$H$433,MATCH($C400,'PORTIFÓLIO'!$C$4:$C$433,0)),"")</f>
        <v/>
      </c>
      <c r="I400" s="256"/>
      <c r="J400" s="218">
        <f t="shared" si="45"/>
        <v>0</v>
      </c>
      <c r="K400" s="292" t="str">
        <f t="array" ref="K400">IFERROR(I400*INDEX('PORTIFÓLIO'!$S$4:$S$433,MATCH($C400,'PORTIFÓLIO'!$C$4:$C$433,0)),"")</f>
        <v/>
      </c>
      <c r="L400" s="292" t="str">
        <f t="array" ref="L400">IFERROR(J400*INDEX('PORTIFÓLIO'!$S$4:$S$433,MATCH($C400,'PORTIFÓLIO'!$C$4:$C$433,0)),"")</f>
        <v/>
      </c>
      <c r="M400" s="220"/>
      <c r="N400" s="220"/>
      <c r="O400" s="220"/>
      <c r="P400" s="220"/>
      <c r="Q400" s="220"/>
      <c r="R400" s="220"/>
      <c r="S400" s="220"/>
      <c r="T400" s="220"/>
      <c r="U400" s="220"/>
      <c r="V400" s="220"/>
      <c r="W400" s="220"/>
    </row>
    <row r="401" ht="15.75" customHeight="1" outlineLevel="1">
      <c r="A401" s="211"/>
      <c r="B401" s="212"/>
      <c r="C401" s="213"/>
      <c r="D401" s="214" t="str">
        <f>IFERROR(VLOOKUP($C401,'PORTIFÓLIO'!C:V,2,0),"")</f>
        <v/>
      </c>
      <c r="E401" s="211" t="str">
        <f>IFERROR(VLOOKUP($C401,'PORTIFÓLIO'!C:V,3,0),"")</f>
        <v/>
      </c>
      <c r="F401" s="211" t="str">
        <f>IFERROR(VLOOKUP($C401,'PORTIFÓLIO'!C:V,4,0),"")</f>
        <v/>
      </c>
      <c r="G401" s="215" t="str">
        <f>IFERROR(VLOOKUP($C401,'PORTIFÓLIO'!C:V,5,0),"")</f>
        <v/>
      </c>
      <c r="H401" s="254" t="str">
        <f t="array" ref="H401">IFERROR(INDEX('PORTIFÓLIO'!$H$4:$H$433,MATCH($C401,'PORTIFÓLIO'!$C$4:$C$433,0)),"")</f>
        <v/>
      </c>
      <c r="I401" s="255"/>
      <c r="J401" s="218">
        <f t="shared" si="45"/>
        <v>0</v>
      </c>
      <c r="K401" s="292" t="str">
        <f t="array" ref="K401">IFERROR(I401*INDEX('PORTIFÓLIO'!$S$4:$S$433,MATCH($C401,'PORTIFÓLIO'!$C$4:$C$433,0)),"")</f>
        <v/>
      </c>
      <c r="L401" s="292" t="str">
        <f t="array" ref="L401">IFERROR(J401*INDEX('PORTIFÓLIO'!$S$4:$S$433,MATCH($C401,'PORTIFÓLIO'!$C$4:$C$433,0)),"")</f>
        <v/>
      </c>
      <c r="M401" s="220"/>
      <c r="N401" s="220"/>
      <c r="O401" s="220"/>
      <c r="P401" s="220"/>
      <c r="Q401" s="220"/>
      <c r="R401" s="220"/>
      <c r="S401" s="220"/>
      <c r="T401" s="220"/>
      <c r="U401" s="220"/>
      <c r="V401" s="220"/>
      <c r="W401" s="220"/>
    </row>
    <row r="402" ht="15.75" customHeight="1" outlineLevel="1">
      <c r="A402" s="211"/>
      <c r="B402" s="212"/>
      <c r="C402" s="213"/>
      <c r="D402" s="214" t="str">
        <f>IFERROR(VLOOKUP($C402,'PORTIFÓLIO'!C:V,2,0),"")</f>
        <v/>
      </c>
      <c r="E402" s="211" t="str">
        <f>IFERROR(VLOOKUP($C402,'PORTIFÓLIO'!C:V,3,0),"")</f>
        <v/>
      </c>
      <c r="F402" s="211" t="str">
        <f>IFERROR(VLOOKUP($C402,'PORTIFÓLIO'!C:V,4,0),"")</f>
        <v/>
      </c>
      <c r="G402" s="215" t="str">
        <f>IFERROR(VLOOKUP($C402,'PORTIFÓLIO'!C:V,5,0),"")</f>
        <v/>
      </c>
      <c r="H402" s="254" t="str">
        <f t="array" ref="H402">IFERROR(INDEX('PORTIFÓLIO'!$H$4:$H$433,MATCH($C402,'PORTIFÓLIO'!$C$4:$C$433,0)),"")</f>
        <v/>
      </c>
      <c r="I402" s="256"/>
      <c r="J402" s="218">
        <f t="shared" si="45"/>
        <v>0</v>
      </c>
      <c r="K402" s="292" t="str">
        <f t="array" ref="K402">IFERROR(I402*INDEX('PORTIFÓLIO'!$S$4:$S$433,MATCH($C402,'PORTIFÓLIO'!$C$4:$C$433,0)),"")</f>
        <v/>
      </c>
      <c r="L402" s="292" t="str">
        <f t="array" ref="L402">IFERROR(J402*INDEX('PORTIFÓLIO'!$S$4:$S$433,MATCH($C402,'PORTIFÓLIO'!$C$4:$C$433,0)),"")</f>
        <v/>
      </c>
      <c r="M402" s="220"/>
      <c r="N402" s="220"/>
      <c r="O402" s="220"/>
      <c r="P402" s="220"/>
      <c r="Q402" s="220"/>
      <c r="R402" s="220"/>
      <c r="S402" s="220"/>
      <c r="T402" s="220"/>
      <c r="U402" s="220"/>
      <c r="V402" s="220"/>
      <c r="W402" s="220"/>
    </row>
    <row r="403" ht="15.75" customHeight="1" outlineLevel="1">
      <c r="A403" s="211"/>
      <c r="B403" s="212"/>
      <c r="C403" s="213"/>
      <c r="D403" s="214" t="str">
        <f>IFERROR(VLOOKUP($C403,'PORTIFÓLIO'!C:V,2,0),"")</f>
        <v/>
      </c>
      <c r="E403" s="211" t="str">
        <f>IFERROR(VLOOKUP($C403,'PORTIFÓLIO'!C:V,3,0),"")</f>
        <v/>
      </c>
      <c r="F403" s="211" t="str">
        <f>IFERROR(VLOOKUP($C403,'PORTIFÓLIO'!C:V,4,0),"")</f>
        <v/>
      </c>
      <c r="G403" s="215" t="str">
        <f>IFERROR(VLOOKUP($C403,'PORTIFÓLIO'!C:V,5,0),"")</f>
        <v/>
      </c>
      <c r="H403" s="254" t="str">
        <f t="array" ref="H403">IFERROR(INDEX('PORTIFÓLIO'!$H$4:$H$433,MATCH($C403,'PORTIFÓLIO'!$C$4:$C$433,0)),"")</f>
        <v/>
      </c>
      <c r="I403" s="256"/>
      <c r="J403" s="218">
        <f t="shared" si="45"/>
        <v>0</v>
      </c>
      <c r="K403" s="292" t="str">
        <f t="array" ref="K403">IFERROR(I403*INDEX('PORTIFÓLIO'!$S$4:$S$433,MATCH($C403,'PORTIFÓLIO'!$C$4:$C$433,0)),"")</f>
        <v/>
      </c>
      <c r="L403" s="292" t="str">
        <f t="array" ref="L403">IFERROR(J403*INDEX('PORTIFÓLIO'!$S$4:$S$433,MATCH($C403,'PORTIFÓLIO'!$C$4:$C$433,0)),"")</f>
        <v/>
      </c>
      <c r="M403" s="220"/>
      <c r="N403" s="220"/>
      <c r="O403" s="220"/>
      <c r="P403" s="220"/>
      <c r="Q403" s="220"/>
      <c r="R403" s="220"/>
      <c r="S403" s="220"/>
      <c r="T403" s="220"/>
      <c r="U403" s="220"/>
      <c r="V403" s="220"/>
      <c r="W403" s="220"/>
    </row>
    <row r="404" ht="15.75" customHeight="1" outlineLevel="1">
      <c r="A404" s="211"/>
      <c r="B404" s="212"/>
      <c r="C404" s="213"/>
      <c r="D404" s="214" t="str">
        <f>IFERROR(VLOOKUP($C404,'PORTIFÓLIO'!C:V,2,0),"")</f>
        <v/>
      </c>
      <c r="E404" s="211" t="str">
        <f>IFERROR(VLOOKUP($C404,'PORTIFÓLIO'!C:V,3,0),"")</f>
        <v/>
      </c>
      <c r="F404" s="211" t="str">
        <f>IFERROR(VLOOKUP($C404,'PORTIFÓLIO'!C:V,4,0),"")</f>
        <v/>
      </c>
      <c r="G404" s="215" t="str">
        <f>IFERROR(VLOOKUP($C404,'PORTIFÓLIO'!C:V,5,0),"")</f>
        <v/>
      </c>
      <c r="H404" s="254" t="str">
        <f t="array" ref="H404">IFERROR(INDEX('PORTIFÓLIO'!$H$4:$H$433,MATCH($C404,'PORTIFÓLIO'!$C$4:$C$433,0)),"")</f>
        <v/>
      </c>
      <c r="I404" s="256"/>
      <c r="J404" s="218">
        <f t="shared" si="45"/>
        <v>0</v>
      </c>
      <c r="K404" s="292" t="str">
        <f t="array" ref="K404">IFERROR(I404*INDEX('PORTIFÓLIO'!$S$4:$S$433,MATCH($C404,'PORTIFÓLIO'!$C$4:$C$433,0)),"")</f>
        <v/>
      </c>
      <c r="L404" s="292" t="str">
        <f t="array" ref="L404">IFERROR(J404*INDEX('PORTIFÓLIO'!$S$4:$S$433,MATCH($C404,'PORTIFÓLIO'!$C$4:$C$433,0)),"")</f>
        <v/>
      </c>
      <c r="M404" s="220"/>
      <c r="N404" s="220"/>
      <c r="O404" s="220"/>
      <c r="P404" s="220"/>
      <c r="Q404" s="220"/>
      <c r="R404" s="220"/>
      <c r="S404" s="220"/>
      <c r="T404" s="220"/>
      <c r="U404" s="220"/>
      <c r="V404" s="220"/>
      <c r="W404" s="220"/>
    </row>
    <row r="405" ht="15.75" customHeight="1" outlineLevel="1">
      <c r="A405" s="211"/>
      <c r="B405" s="212"/>
      <c r="C405" s="213"/>
      <c r="D405" s="214" t="str">
        <f>IFERROR(VLOOKUP($C405,'PORTIFÓLIO'!C:V,2,0),"")</f>
        <v/>
      </c>
      <c r="E405" s="211" t="str">
        <f>IFERROR(VLOOKUP($C405,'PORTIFÓLIO'!C:V,3,0),"")</f>
        <v/>
      </c>
      <c r="F405" s="211" t="str">
        <f>IFERROR(VLOOKUP($C405,'PORTIFÓLIO'!C:V,4,0),"")</f>
        <v/>
      </c>
      <c r="G405" s="215" t="str">
        <f>IFERROR(VLOOKUP($C405,'PORTIFÓLIO'!C:V,5,0),"")</f>
        <v/>
      </c>
      <c r="H405" s="254" t="str">
        <f t="array" ref="H405">IFERROR(INDEX('PORTIFÓLIO'!$H$4:$H$433,MATCH($C405,'PORTIFÓLIO'!$C$4:$C$433,0)),"")</f>
        <v/>
      </c>
      <c r="I405" s="256"/>
      <c r="J405" s="218">
        <f t="shared" si="45"/>
        <v>0</v>
      </c>
      <c r="K405" s="292" t="str">
        <f t="array" ref="K405">IFERROR(I405*INDEX('PORTIFÓLIO'!$S$4:$S$433,MATCH($C405,'PORTIFÓLIO'!$C$4:$C$433,0)),"")</f>
        <v/>
      </c>
      <c r="L405" s="292" t="str">
        <f t="array" ref="L405">IFERROR(J405*INDEX('PORTIFÓLIO'!$S$4:$S$433,MATCH($C405,'PORTIFÓLIO'!$C$4:$C$433,0)),"")</f>
        <v/>
      </c>
      <c r="M405" s="220"/>
      <c r="N405" s="220"/>
      <c r="O405" s="220"/>
      <c r="P405" s="220"/>
      <c r="Q405" s="220"/>
      <c r="R405" s="220"/>
      <c r="S405" s="220"/>
      <c r="T405" s="220"/>
      <c r="U405" s="220"/>
      <c r="V405" s="220"/>
      <c r="W405" s="220"/>
    </row>
    <row r="406" ht="15.75" customHeight="1" outlineLevel="1">
      <c r="A406" s="211"/>
      <c r="B406" s="212"/>
      <c r="C406" s="213"/>
      <c r="D406" s="214" t="str">
        <f>IFERROR(VLOOKUP($C406,'PORTIFÓLIO'!C:V,2,0),"")</f>
        <v/>
      </c>
      <c r="E406" s="211" t="str">
        <f>IFERROR(VLOOKUP($C406,'PORTIFÓLIO'!C:V,3,0),"")</f>
        <v/>
      </c>
      <c r="F406" s="211" t="str">
        <f>IFERROR(VLOOKUP($C406,'PORTIFÓLIO'!C:V,4,0),"")</f>
        <v/>
      </c>
      <c r="G406" s="215" t="str">
        <f>IFERROR(VLOOKUP($C406,'PORTIFÓLIO'!C:V,5,0),"")</f>
        <v/>
      </c>
      <c r="H406" s="254" t="str">
        <f t="array" ref="H406">IFERROR(INDEX('PORTIFÓLIO'!$H$4:$H$433,MATCH($C406,'PORTIFÓLIO'!$C$4:$C$433,0)),"")</f>
        <v/>
      </c>
      <c r="I406" s="256"/>
      <c r="J406" s="218">
        <f t="shared" si="45"/>
        <v>0</v>
      </c>
      <c r="K406" s="292" t="str">
        <f t="array" ref="K406">IFERROR(I406*INDEX('PORTIFÓLIO'!$S$4:$S$433,MATCH($C406,'PORTIFÓLIO'!$C$4:$C$433,0)),"")</f>
        <v/>
      </c>
      <c r="L406" s="292" t="str">
        <f t="array" ref="L406">IFERROR(J406*INDEX('PORTIFÓLIO'!$S$4:$S$433,MATCH($C406,'PORTIFÓLIO'!$C$4:$C$433,0)),"")</f>
        <v/>
      </c>
      <c r="M406" s="220"/>
      <c r="N406" s="220"/>
      <c r="O406" s="220"/>
      <c r="P406" s="220"/>
      <c r="Q406" s="220"/>
      <c r="R406" s="220"/>
      <c r="S406" s="220"/>
      <c r="T406" s="220"/>
      <c r="U406" s="220"/>
      <c r="V406" s="220"/>
      <c r="W406" s="220"/>
    </row>
    <row r="407" ht="15.75" customHeight="1" outlineLevel="1">
      <c r="A407" s="211"/>
      <c r="B407" s="212"/>
      <c r="C407" s="213"/>
      <c r="D407" s="214" t="str">
        <f>IFERROR(VLOOKUP($C407,'PORTIFÓLIO'!C:V,2,0),"")</f>
        <v/>
      </c>
      <c r="E407" s="211" t="str">
        <f>IFERROR(VLOOKUP($C407,'PORTIFÓLIO'!C:V,3,0),"")</f>
        <v/>
      </c>
      <c r="F407" s="211" t="str">
        <f>IFERROR(VLOOKUP($C407,'PORTIFÓLIO'!C:V,4,0),"")</f>
        <v/>
      </c>
      <c r="G407" s="215" t="str">
        <f>IFERROR(VLOOKUP($C407,'PORTIFÓLIO'!C:V,5,0),"")</f>
        <v/>
      </c>
      <c r="H407" s="254" t="str">
        <f t="array" ref="H407">IFERROR(INDEX('PORTIFÓLIO'!$H$4:$H$433,MATCH($C407,'PORTIFÓLIO'!$C$4:$C$433,0)),"")</f>
        <v/>
      </c>
      <c r="I407" s="256"/>
      <c r="J407" s="218">
        <f t="shared" si="45"/>
        <v>0</v>
      </c>
      <c r="K407" s="292" t="str">
        <f t="array" ref="K407">IFERROR(I407*INDEX('PORTIFÓLIO'!$S$4:$S$433,MATCH($C407,'PORTIFÓLIO'!$C$4:$C$433,0)),"")</f>
        <v/>
      </c>
      <c r="L407" s="292" t="str">
        <f t="array" ref="L407">IFERROR(J407*INDEX('PORTIFÓLIO'!$S$4:$S$433,MATCH($C407,'PORTIFÓLIO'!$C$4:$C$433,0)),"")</f>
        <v/>
      </c>
      <c r="M407" s="220"/>
      <c r="N407" s="220"/>
      <c r="O407" s="220"/>
      <c r="P407" s="220"/>
      <c r="Q407" s="220"/>
      <c r="R407" s="220"/>
      <c r="S407" s="220"/>
      <c r="T407" s="220"/>
      <c r="U407" s="220"/>
      <c r="V407" s="220"/>
      <c r="W407" s="220"/>
    </row>
    <row r="408" ht="15.75" customHeight="1" outlineLevel="1">
      <c r="A408" s="211"/>
      <c r="B408" s="227"/>
      <c r="C408" s="211"/>
      <c r="D408" s="214" t="str">
        <f>IFERROR(VLOOKUP($C408,'PORTIFÓLIO'!C:V,2,0),"")</f>
        <v/>
      </c>
      <c r="E408" s="211" t="str">
        <f>IFERROR(VLOOKUP($C408,'PORTIFÓLIO'!C:V,3,0),"")</f>
        <v/>
      </c>
      <c r="F408" s="211" t="str">
        <f>IFERROR(VLOOKUP($C408,'PORTIFÓLIO'!C:V,4,0),"")</f>
        <v/>
      </c>
      <c r="G408" s="215" t="str">
        <f>IFERROR(VLOOKUP($C408,'PORTIFÓLIO'!C:V,5,0),"")</f>
        <v/>
      </c>
      <c r="H408" s="254" t="str">
        <f t="array" ref="H408">IFERROR(INDEX('PORTIFÓLIO'!$H$4:$H$433,MATCH($C408,'PORTIFÓLIO'!$C$4:$C$433,0)),"")</f>
        <v/>
      </c>
      <c r="I408" s="256"/>
      <c r="J408" s="218">
        <f t="shared" si="45"/>
        <v>0</v>
      </c>
      <c r="K408" s="292" t="str">
        <f t="array" ref="K408">IFERROR(I408*INDEX('PORTIFÓLIO'!$S$4:$S$433,MATCH($C408,'PORTIFÓLIO'!$C$4:$C$433,0)),"")</f>
        <v/>
      </c>
      <c r="L408" s="292" t="str">
        <f t="array" ref="L408">IFERROR(J408*INDEX('PORTIFÓLIO'!$S$4:$S$433,MATCH($C408,'PORTIFÓLIO'!$C$4:$C$433,0)),"")</f>
        <v/>
      </c>
      <c r="M408" s="220"/>
      <c r="N408" s="220"/>
      <c r="O408" s="220"/>
      <c r="P408" s="220"/>
      <c r="Q408" s="220"/>
      <c r="R408" s="220"/>
      <c r="S408" s="220"/>
      <c r="T408" s="220"/>
      <c r="U408" s="220"/>
      <c r="V408" s="220"/>
      <c r="W408" s="220"/>
    </row>
    <row r="409" ht="15.75" customHeight="1">
      <c r="A409" s="229" t="s">
        <v>1194</v>
      </c>
      <c r="B409" s="230"/>
      <c r="C409" s="231"/>
      <c r="D409" s="232"/>
      <c r="E409" s="231"/>
      <c r="F409" s="231"/>
      <c r="G409" s="233"/>
      <c r="H409" s="233"/>
      <c r="I409" s="258"/>
      <c r="J409" s="236"/>
      <c r="K409" s="237">
        <f t="shared" ref="K409:L409" si="46">SUBTOTAL(9,K410:K423)</f>
        <v>0</v>
      </c>
      <c r="L409" s="237">
        <f t="shared" si="46"/>
        <v>0</v>
      </c>
      <c r="M409" s="220"/>
      <c r="N409" s="220"/>
      <c r="O409" s="220"/>
      <c r="P409" s="220"/>
      <c r="Q409" s="220"/>
      <c r="R409" s="220"/>
      <c r="S409" s="220"/>
      <c r="T409" s="220"/>
      <c r="U409" s="220"/>
      <c r="V409" s="220"/>
      <c r="W409" s="220"/>
    </row>
    <row r="410" ht="15.75" customHeight="1" outlineLevel="1">
      <c r="A410" s="213"/>
      <c r="B410" s="212"/>
      <c r="C410" s="213"/>
      <c r="D410" s="214" t="str">
        <f>IFERROR(VLOOKUP($C410,'PORTIFÓLIO'!C:V,2,0),"")</f>
        <v/>
      </c>
      <c r="E410" s="211" t="str">
        <f>IFERROR(VLOOKUP($C410,'PORTIFÓLIO'!C:V,3,0),"")</f>
        <v/>
      </c>
      <c r="F410" s="211" t="str">
        <f>IFERROR(VLOOKUP($C410,'PORTIFÓLIO'!C:V,4,0),"")</f>
        <v/>
      </c>
      <c r="G410" s="215" t="str">
        <f>IFERROR(VLOOKUP($C410,'PORTIFÓLIO'!C:V,5,0),"")</f>
        <v/>
      </c>
      <c r="H410" s="254" t="str">
        <f t="array" ref="H410">IFERROR(INDEX('PORTIFÓLIO'!$H$4:$H$433,MATCH($C410,'PORTIFÓLIO'!$C$4:$C$433,0)),"")</f>
        <v/>
      </c>
      <c r="I410" s="255"/>
      <c r="J410" s="218">
        <f t="shared" ref="J410:J426" si="47">I410*$B$2</f>
        <v>0</v>
      </c>
      <c r="K410" s="292" t="str">
        <f t="array" ref="K410">IFERROR(I410*INDEX('PORTIFÓLIO'!$S$4:$S$433,MATCH($C410,'PORTIFÓLIO'!$C$4:$C$433,0)),"")</f>
        <v/>
      </c>
      <c r="L410" s="292" t="str">
        <f t="array" ref="L410">IFERROR(J410*INDEX('PORTIFÓLIO'!$S$4:$S$433,MATCH($C410,'PORTIFÓLIO'!$C$4:$C$433,0)),"")</f>
        <v/>
      </c>
      <c r="M410" s="220"/>
      <c r="N410" s="220"/>
      <c r="O410" s="220"/>
      <c r="P410" s="220"/>
      <c r="Q410" s="220"/>
      <c r="R410" s="220"/>
      <c r="S410" s="220"/>
      <c r="T410" s="220"/>
      <c r="U410" s="220"/>
      <c r="V410" s="220"/>
      <c r="W410" s="220"/>
    </row>
    <row r="411" ht="15.75" customHeight="1" outlineLevel="1">
      <c r="A411" s="211"/>
      <c r="B411" s="212"/>
      <c r="C411" s="213"/>
      <c r="D411" s="214" t="str">
        <f>IFERROR(VLOOKUP($C411,'PORTIFÓLIO'!C:V,2,0),"")</f>
        <v/>
      </c>
      <c r="E411" s="211" t="str">
        <f>IFERROR(VLOOKUP($C411,'PORTIFÓLIO'!C:V,3,0),"")</f>
        <v/>
      </c>
      <c r="F411" s="211" t="str">
        <f>IFERROR(VLOOKUP($C411,'PORTIFÓLIO'!C:V,4,0),"")</f>
        <v/>
      </c>
      <c r="G411" s="215" t="str">
        <f>IFERROR(VLOOKUP($C411,'PORTIFÓLIO'!C:V,5,0),"")</f>
        <v/>
      </c>
      <c r="H411" s="254" t="str">
        <f t="array" ref="H411">IFERROR(INDEX('PORTIFÓLIO'!$H$4:$H$433,MATCH($C411,'PORTIFÓLIO'!$C$4:$C$433,0)),"")</f>
        <v/>
      </c>
      <c r="I411" s="256"/>
      <c r="J411" s="218">
        <f t="shared" si="47"/>
        <v>0</v>
      </c>
      <c r="K411" s="292" t="str">
        <f t="array" ref="K411">IFERROR(I411*INDEX('PORTIFÓLIO'!$S$4:$S$433,MATCH($C411,'PORTIFÓLIO'!$C$4:$C$433,0)),"")</f>
        <v/>
      </c>
      <c r="L411" s="292" t="str">
        <f t="array" ref="L411">IFERROR(J411*INDEX('PORTIFÓLIO'!$S$4:$S$433,MATCH($C411,'PORTIFÓLIO'!$C$4:$C$433,0)),"")</f>
        <v/>
      </c>
      <c r="M411" s="220"/>
      <c r="N411" s="220"/>
      <c r="O411" s="220"/>
      <c r="P411" s="220"/>
      <c r="Q411" s="220"/>
      <c r="R411" s="220"/>
      <c r="S411" s="220"/>
      <c r="T411" s="220"/>
      <c r="U411" s="220"/>
      <c r="V411" s="220"/>
      <c r="W411" s="220"/>
    </row>
    <row r="412" ht="15.75" customHeight="1" outlineLevel="1">
      <c r="A412" s="211"/>
      <c r="B412" s="212"/>
      <c r="C412" s="213"/>
      <c r="D412" s="214" t="str">
        <f>IFERROR(VLOOKUP($C412,'PORTIFÓLIO'!C:V,2,0),"")</f>
        <v/>
      </c>
      <c r="E412" s="211" t="str">
        <f>IFERROR(VLOOKUP($C412,'PORTIFÓLIO'!C:V,3,0),"")</f>
        <v/>
      </c>
      <c r="F412" s="211" t="str">
        <f>IFERROR(VLOOKUP($C412,'PORTIFÓLIO'!C:V,4,0),"")</f>
        <v/>
      </c>
      <c r="G412" s="215" t="str">
        <f>IFERROR(VLOOKUP($C412,'PORTIFÓLIO'!C:V,5,0),"")</f>
        <v/>
      </c>
      <c r="H412" s="254" t="str">
        <f t="array" ref="H412">IFERROR(INDEX('PORTIFÓLIO'!$H$4:$H$433,MATCH($C412,'PORTIFÓLIO'!$C$4:$C$433,0)),"")</f>
        <v/>
      </c>
      <c r="I412" s="256"/>
      <c r="J412" s="218">
        <f t="shared" si="47"/>
        <v>0</v>
      </c>
      <c r="K412" s="292" t="str">
        <f t="array" ref="K412">IFERROR(I412*INDEX('PORTIFÓLIO'!$S$4:$S$433,MATCH($C412,'PORTIFÓLIO'!$C$4:$C$433,0)),"")</f>
        <v/>
      </c>
      <c r="L412" s="292" t="str">
        <f t="array" ref="L412">IFERROR(J412*INDEX('PORTIFÓLIO'!$S$4:$S$433,MATCH($C412,'PORTIFÓLIO'!$C$4:$C$433,0)),"")</f>
        <v/>
      </c>
      <c r="M412" s="220"/>
      <c r="N412" s="220"/>
      <c r="O412" s="220"/>
      <c r="P412" s="220"/>
      <c r="Q412" s="220"/>
      <c r="R412" s="220"/>
      <c r="S412" s="220"/>
      <c r="T412" s="220"/>
      <c r="U412" s="220"/>
      <c r="V412" s="220"/>
      <c r="W412" s="220"/>
    </row>
    <row r="413" ht="15.75" customHeight="1" outlineLevel="1">
      <c r="A413" s="211"/>
      <c r="B413" s="212"/>
      <c r="C413" s="213"/>
      <c r="D413" s="214" t="str">
        <f>IFERROR(VLOOKUP($C413,'PORTIFÓLIO'!C:V,2,0),"")</f>
        <v/>
      </c>
      <c r="E413" s="211" t="str">
        <f>IFERROR(VLOOKUP($C413,'PORTIFÓLIO'!C:V,3,0),"")</f>
        <v/>
      </c>
      <c r="F413" s="211" t="str">
        <f>IFERROR(VLOOKUP($C413,'PORTIFÓLIO'!C:V,4,0),"")</f>
        <v/>
      </c>
      <c r="G413" s="215" t="str">
        <f>IFERROR(VLOOKUP($C413,'PORTIFÓLIO'!C:V,5,0),"")</f>
        <v/>
      </c>
      <c r="H413" s="254" t="str">
        <f t="array" ref="H413">IFERROR(INDEX('PORTIFÓLIO'!$H$4:$H$433,MATCH($C413,'PORTIFÓLIO'!$C$4:$C$433,0)),"")</f>
        <v/>
      </c>
      <c r="I413" s="256"/>
      <c r="J413" s="218">
        <f t="shared" si="47"/>
        <v>0</v>
      </c>
      <c r="K413" s="292" t="str">
        <f t="array" ref="K413">IFERROR(I413*INDEX('PORTIFÓLIO'!$S$4:$S$433,MATCH($C413,'PORTIFÓLIO'!$C$4:$C$433,0)),"")</f>
        <v/>
      </c>
      <c r="L413" s="292" t="str">
        <f t="array" ref="L413">IFERROR(J413*INDEX('PORTIFÓLIO'!$S$4:$S$433,MATCH($C413,'PORTIFÓLIO'!$C$4:$C$433,0)),"")</f>
        <v/>
      </c>
      <c r="M413" s="220"/>
      <c r="N413" s="220"/>
      <c r="O413" s="220"/>
      <c r="P413" s="220"/>
      <c r="Q413" s="220"/>
      <c r="R413" s="220"/>
      <c r="S413" s="220"/>
      <c r="T413" s="220"/>
      <c r="U413" s="220"/>
      <c r="V413" s="220"/>
      <c r="W413" s="220"/>
    </row>
    <row r="414" ht="15.75" customHeight="1" outlineLevel="1">
      <c r="A414" s="211"/>
      <c r="B414" s="212"/>
      <c r="C414" s="213"/>
      <c r="D414" s="214" t="str">
        <f>IFERROR(VLOOKUP($C414,'PORTIFÓLIO'!C:V,2,0),"")</f>
        <v/>
      </c>
      <c r="E414" s="211" t="str">
        <f>IFERROR(VLOOKUP($C414,'PORTIFÓLIO'!C:V,3,0),"")</f>
        <v/>
      </c>
      <c r="F414" s="211" t="str">
        <f>IFERROR(VLOOKUP($C414,'PORTIFÓLIO'!C:V,4,0),"")</f>
        <v/>
      </c>
      <c r="G414" s="215" t="str">
        <f>IFERROR(VLOOKUP($C414,'PORTIFÓLIO'!C:V,5,0),"")</f>
        <v/>
      </c>
      <c r="H414" s="254" t="str">
        <f t="array" ref="H414">IFERROR(INDEX('PORTIFÓLIO'!$H$4:$H$433,MATCH($C414,'PORTIFÓLIO'!$C$4:$C$433,0)),"")</f>
        <v/>
      </c>
      <c r="I414" s="256"/>
      <c r="J414" s="218">
        <f t="shared" si="47"/>
        <v>0</v>
      </c>
      <c r="K414" s="292" t="str">
        <f t="array" ref="K414">IFERROR(I414*INDEX('PORTIFÓLIO'!$S$4:$S$433,MATCH($C414,'PORTIFÓLIO'!$C$4:$C$433,0)),"")</f>
        <v/>
      </c>
      <c r="L414" s="292" t="str">
        <f t="array" ref="L414">IFERROR(J414*INDEX('PORTIFÓLIO'!$S$4:$S$433,MATCH($C414,'PORTIFÓLIO'!$C$4:$C$433,0)),"")</f>
        <v/>
      </c>
      <c r="M414" s="220"/>
      <c r="N414" s="220"/>
      <c r="O414" s="220"/>
      <c r="P414" s="220"/>
      <c r="Q414" s="220"/>
      <c r="R414" s="220"/>
      <c r="S414" s="220"/>
      <c r="T414" s="220"/>
      <c r="U414" s="220"/>
      <c r="V414" s="220"/>
      <c r="W414" s="220"/>
    </row>
    <row r="415" ht="15.75" customHeight="1" outlineLevel="1">
      <c r="A415" s="211"/>
      <c r="B415" s="212"/>
      <c r="C415" s="213"/>
      <c r="D415" s="214" t="str">
        <f>IFERROR(VLOOKUP($C415,'PORTIFÓLIO'!C:V,2,0),"")</f>
        <v/>
      </c>
      <c r="E415" s="211" t="str">
        <f>IFERROR(VLOOKUP($C415,'PORTIFÓLIO'!C:V,3,0),"")</f>
        <v/>
      </c>
      <c r="F415" s="211" t="str">
        <f>IFERROR(VLOOKUP($C415,'PORTIFÓLIO'!C:V,4,0),"")</f>
        <v/>
      </c>
      <c r="G415" s="215" t="str">
        <f>IFERROR(VLOOKUP($C415,'PORTIFÓLIO'!C:V,5,0),"")</f>
        <v/>
      </c>
      <c r="H415" s="254" t="str">
        <f t="array" ref="H415">IFERROR(INDEX('PORTIFÓLIO'!$H$4:$H$433,MATCH($C415,'PORTIFÓLIO'!$C$4:$C$433,0)),"")</f>
        <v/>
      </c>
      <c r="I415" s="256"/>
      <c r="J415" s="218">
        <f t="shared" si="47"/>
        <v>0</v>
      </c>
      <c r="K415" s="292" t="str">
        <f t="array" ref="K415">IFERROR(I415*INDEX('PORTIFÓLIO'!$S$4:$S$433,MATCH($C415,'PORTIFÓLIO'!$C$4:$C$433,0)),"")</f>
        <v/>
      </c>
      <c r="L415" s="292" t="str">
        <f t="array" ref="L415">IFERROR(J415*INDEX('PORTIFÓLIO'!$S$4:$S$433,MATCH($C415,'PORTIFÓLIO'!$C$4:$C$433,0)),"")</f>
        <v/>
      </c>
      <c r="M415" s="220"/>
      <c r="N415" s="220"/>
      <c r="O415" s="220"/>
      <c r="P415" s="220"/>
      <c r="Q415" s="220"/>
      <c r="R415" s="220"/>
      <c r="S415" s="220"/>
      <c r="T415" s="220"/>
      <c r="U415" s="220"/>
      <c r="V415" s="220"/>
      <c r="W415" s="220"/>
    </row>
    <row r="416" ht="15.75" customHeight="1" outlineLevel="1">
      <c r="A416" s="211"/>
      <c r="B416" s="212"/>
      <c r="C416" s="213"/>
      <c r="D416" s="214" t="str">
        <f>IFERROR(VLOOKUP($C416,'PORTIFÓLIO'!C:V,2,0),"")</f>
        <v/>
      </c>
      <c r="E416" s="211" t="str">
        <f>IFERROR(VLOOKUP($C416,'PORTIFÓLIO'!C:V,3,0),"")</f>
        <v/>
      </c>
      <c r="F416" s="211" t="str">
        <f>IFERROR(VLOOKUP($C416,'PORTIFÓLIO'!C:V,4,0),"")</f>
        <v/>
      </c>
      <c r="G416" s="215" t="str">
        <f>IFERROR(VLOOKUP($C416,'PORTIFÓLIO'!C:V,5,0),"")</f>
        <v/>
      </c>
      <c r="H416" s="254" t="str">
        <f t="array" ref="H416">IFERROR(INDEX('PORTIFÓLIO'!$H$4:$H$433,MATCH($C416,'PORTIFÓLIO'!$C$4:$C$433,0)),"")</f>
        <v/>
      </c>
      <c r="I416" s="256"/>
      <c r="J416" s="218">
        <f t="shared" si="47"/>
        <v>0</v>
      </c>
      <c r="K416" s="292" t="str">
        <f t="array" ref="K416">IFERROR(I416*INDEX('PORTIFÓLIO'!$S$4:$S$433,MATCH($C416,'PORTIFÓLIO'!$C$4:$C$433,0)),"")</f>
        <v/>
      </c>
      <c r="L416" s="292" t="str">
        <f t="array" ref="L416">IFERROR(J416*INDEX('PORTIFÓLIO'!$S$4:$S$433,MATCH($C416,'PORTIFÓLIO'!$C$4:$C$433,0)),"")</f>
        <v/>
      </c>
      <c r="M416" s="220"/>
      <c r="N416" s="220"/>
      <c r="O416" s="220"/>
      <c r="P416" s="220"/>
      <c r="Q416" s="220"/>
      <c r="R416" s="220"/>
      <c r="S416" s="220"/>
      <c r="T416" s="220"/>
      <c r="U416" s="220"/>
      <c r="V416" s="220"/>
      <c r="W416" s="220"/>
    </row>
    <row r="417" ht="15.75" customHeight="1" outlineLevel="1">
      <c r="A417" s="211"/>
      <c r="B417" s="212"/>
      <c r="C417" s="213"/>
      <c r="D417" s="214" t="str">
        <f>IFERROR(VLOOKUP($C417,'PORTIFÓLIO'!C:V,2,0),"")</f>
        <v/>
      </c>
      <c r="E417" s="211" t="str">
        <f>IFERROR(VLOOKUP($C417,'PORTIFÓLIO'!C:V,3,0),"")</f>
        <v/>
      </c>
      <c r="F417" s="211" t="str">
        <f>IFERROR(VLOOKUP($C417,'PORTIFÓLIO'!C:V,4,0),"")</f>
        <v/>
      </c>
      <c r="G417" s="215" t="str">
        <f>IFERROR(VLOOKUP($C417,'PORTIFÓLIO'!C:V,5,0),"")</f>
        <v/>
      </c>
      <c r="H417" s="254" t="str">
        <f t="array" ref="H417">IFERROR(INDEX('PORTIFÓLIO'!$H$4:$H$433,MATCH($C417,'PORTIFÓLIO'!$C$4:$C$433,0)),"")</f>
        <v/>
      </c>
      <c r="I417" s="256"/>
      <c r="J417" s="218">
        <f t="shared" si="47"/>
        <v>0</v>
      </c>
      <c r="K417" s="292" t="str">
        <f t="array" ref="K417">IFERROR(I417*INDEX('PORTIFÓLIO'!$S$4:$S$433,MATCH($C417,'PORTIFÓLIO'!$C$4:$C$433,0)),"")</f>
        <v/>
      </c>
      <c r="L417" s="292" t="str">
        <f t="array" ref="L417">IFERROR(J417*INDEX('PORTIFÓLIO'!$S$4:$S$433,MATCH($C417,'PORTIFÓLIO'!$C$4:$C$433,0)),"")</f>
        <v/>
      </c>
      <c r="M417" s="220"/>
      <c r="N417" s="220"/>
      <c r="O417" s="220"/>
      <c r="P417" s="220"/>
      <c r="Q417" s="220"/>
      <c r="R417" s="220"/>
      <c r="S417" s="220"/>
      <c r="T417" s="220"/>
      <c r="U417" s="220"/>
      <c r="V417" s="220"/>
      <c r="W417" s="220"/>
    </row>
    <row r="418" ht="15.75" customHeight="1" outlineLevel="1">
      <c r="A418" s="211"/>
      <c r="B418" s="212"/>
      <c r="C418" s="213"/>
      <c r="D418" s="214" t="str">
        <f>IFERROR(VLOOKUP($C418,'PORTIFÓLIO'!C:V,2,0),"")</f>
        <v/>
      </c>
      <c r="E418" s="211" t="str">
        <f>IFERROR(VLOOKUP($C418,'PORTIFÓLIO'!C:V,3,0),"")</f>
        <v/>
      </c>
      <c r="F418" s="211" t="str">
        <f>IFERROR(VLOOKUP($C418,'PORTIFÓLIO'!C:V,4,0),"")</f>
        <v/>
      </c>
      <c r="G418" s="215" t="str">
        <f>IFERROR(VLOOKUP($C418,'PORTIFÓLIO'!C:V,5,0),"")</f>
        <v/>
      </c>
      <c r="H418" s="254" t="str">
        <f t="array" ref="H418">IFERROR(INDEX('PORTIFÓLIO'!$H$4:$H$433,MATCH($C418,'PORTIFÓLIO'!$C$4:$C$433,0)),"")</f>
        <v/>
      </c>
      <c r="I418" s="255"/>
      <c r="J418" s="218">
        <f t="shared" si="47"/>
        <v>0</v>
      </c>
      <c r="K418" s="292" t="str">
        <f t="array" ref="K418">IFERROR(I418*INDEX('PORTIFÓLIO'!$S$4:$S$433,MATCH($C418,'PORTIFÓLIO'!$C$4:$C$433,0)),"")</f>
        <v/>
      </c>
      <c r="L418" s="292" t="str">
        <f t="array" ref="L418">IFERROR(J418*INDEX('PORTIFÓLIO'!$S$4:$S$433,MATCH($C418,'PORTIFÓLIO'!$C$4:$C$433,0)),"")</f>
        <v/>
      </c>
      <c r="M418" s="220"/>
      <c r="N418" s="220"/>
      <c r="O418" s="220"/>
      <c r="P418" s="220"/>
      <c r="Q418" s="220"/>
      <c r="R418" s="220"/>
      <c r="S418" s="220"/>
      <c r="T418" s="220"/>
      <c r="U418" s="220"/>
      <c r="V418" s="220"/>
      <c r="W418" s="220"/>
    </row>
    <row r="419" ht="15.75" customHeight="1" outlineLevel="1">
      <c r="A419" s="211"/>
      <c r="B419" s="212"/>
      <c r="C419" s="213"/>
      <c r="D419" s="214" t="str">
        <f>IFERROR(VLOOKUP($C419,'PORTIFÓLIO'!C:V,2,0),"")</f>
        <v/>
      </c>
      <c r="E419" s="211" t="str">
        <f>IFERROR(VLOOKUP($C419,'PORTIFÓLIO'!C:V,3,0),"")</f>
        <v/>
      </c>
      <c r="F419" s="211" t="str">
        <f>IFERROR(VLOOKUP($C419,'PORTIFÓLIO'!C:V,4,0),"")</f>
        <v/>
      </c>
      <c r="G419" s="215" t="str">
        <f>IFERROR(VLOOKUP($C419,'PORTIFÓLIO'!C:V,5,0),"")</f>
        <v/>
      </c>
      <c r="H419" s="254" t="str">
        <f t="array" ref="H419">IFERROR(INDEX('PORTIFÓLIO'!$H$4:$H$433,MATCH($C419,'PORTIFÓLIO'!$C$4:$C$433,0)),"")</f>
        <v/>
      </c>
      <c r="I419" s="256"/>
      <c r="J419" s="218">
        <f t="shared" si="47"/>
        <v>0</v>
      </c>
      <c r="K419" s="292" t="str">
        <f t="array" ref="K419">IFERROR(I419*INDEX('PORTIFÓLIO'!$S$4:$S$433,MATCH($C419,'PORTIFÓLIO'!$C$4:$C$433,0)),"")</f>
        <v/>
      </c>
      <c r="L419" s="292" t="str">
        <f t="array" ref="L419">IFERROR(J419*INDEX('PORTIFÓLIO'!$S$4:$S$433,MATCH($C419,'PORTIFÓLIO'!$C$4:$C$433,0)),"")</f>
        <v/>
      </c>
      <c r="M419" s="220"/>
      <c r="N419" s="220"/>
      <c r="O419" s="220"/>
      <c r="P419" s="220"/>
      <c r="Q419" s="220"/>
      <c r="R419" s="220"/>
      <c r="S419" s="220"/>
      <c r="T419" s="220"/>
      <c r="U419" s="220"/>
      <c r="V419" s="220"/>
      <c r="W419" s="220"/>
    </row>
    <row r="420" ht="15.75" customHeight="1" outlineLevel="1">
      <c r="A420" s="211"/>
      <c r="B420" s="212"/>
      <c r="C420" s="213"/>
      <c r="D420" s="214" t="str">
        <f>IFERROR(VLOOKUP($C420,'PORTIFÓLIO'!C:V,2,0),"")</f>
        <v/>
      </c>
      <c r="E420" s="211" t="str">
        <f>IFERROR(VLOOKUP($C420,'PORTIFÓLIO'!C:V,3,0),"")</f>
        <v/>
      </c>
      <c r="F420" s="211" t="str">
        <f>IFERROR(VLOOKUP($C420,'PORTIFÓLIO'!C:V,4,0),"")</f>
        <v/>
      </c>
      <c r="G420" s="215" t="str">
        <f>IFERROR(VLOOKUP($C420,'PORTIFÓLIO'!C:V,5,0),"")</f>
        <v/>
      </c>
      <c r="H420" s="254" t="str">
        <f t="array" ref="H420">IFERROR(INDEX('PORTIFÓLIO'!$H$4:$H$433,MATCH($C420,'PORTIFÓLIO'!$C$4:$C$433,0)),"")</f>
        <v/>
      </c>
      <c r="I420" s="256"/>
      <c r="J420" s="218">
        <f t="shared" si="47"/>
        <v>0</v>
      </c>
      <c r="K420" s="292" t="str">
        <f t="array" ref="K420">IFERROR(I420*INDEX('PORTIFÓLIO'!$S$4:$S$433,MATCH($C420,'PORTIFÓLIO'!$C$4:$C$433,0)),"")</f>
        <v/>
      </c>
      <c r="L420" s="292" t="str">
        <f t="array" ref="L420">IFERROR(J420*INDEX('PORTIFÓLIO'!$S$4:$S$433,MATCH($C420,'PORTIFÓLIO'!$C$4:$C$433,0)),"")</f>
        <v/>
      </c>
      <c r="M420" s="220"/>
      <c r="N420" s="220"/>
      <c r="O420" s="220"/>
      <c r="P420" s="220"/>
      <c r="Q420" s="220"/>
      <c r="R420" s="220"/>
      <c r="S420" s="220"/>
      <c r="T420" s="220"/>
      <c r="U420" s="220"/>
      <c r="V420" s="220"/>
      <c r="W420" s="220"/>
    </row>
    <row r="421" ht="15.75" customHeight="1" outlineLevel="1">
      <c r="A421" s="211"/>
      <c r="B421" s="212"/>
      <c r="C421" s="213"/>
      <c r="D421" s="214" t="str">
        <f>IFERROR(VLOOKUP($C421,'PORTIFÓLIO'!C:V,2,0),"")</f>
        <v/>
      </c>
      <c r="E421" s="211" t="str">
        <f>IFERROR(VLOOKUP($C421,'PORTIFÓLIO'!C:V,3,0),"")</f>
        <v/>
      </c>
      <c r="F421" s="211" t="str">
        <f>IFERROR(VLOOKUP($C421,'PORTIFÓLIO'!C:V,4,0),"")</f>
        <v/>
      </c>
      <c r="G421" s="215" t="str">
        <f>IFERROR(VLOOKUP($C421,'PORTIFÓLIO'!C:V,5,0),"")</f>
        <v/>
      </c>
      <c r="H421" s="254" t="str">
        <f t="array" ref="H421">IFERROR(INDEX('PORTIFÓLIO'!$H$4:$H$433,MATCH($C421,'PORTIFÓLIO'!$C$4:$C$433,0)),"")</f>
        <v/>
      </c>
      <c r="I421" s="256"/>
      <c r="J421" s="218">
        <f t="shared" si="47"/>
        <v>0</v>
      </c>
      <c r="K421" s="292" t="str">
        <f t="array" ref="K421">IFERROR(I421*INDEX('PORTIFÓLIO'!$S$4:$S$433,MATCH($C421,'PORTIFÓLIO'!$C$4:$C$433,0)),"")</f>
        <v/>
      </c>
      <c r="L421" s="292" t="str">
        <f t="array" ref="L421">IFERROR(J421*INDEX('PORTIFÓLIO'!$S$4:$S$433,MATCH($C421,'PORTIFÓLIO'!$C$4:$C$433,0)),"")</f>
        <v/>
      </c>
      <c r="M421" s="220"/>
      <c r="N421" s="220"/>
      <c r="O421" s="220"/>
      <c r="P421" s="220"/>
      <c r="Q421" s="220"/>
      <c r="R421" s="220"/>
      <c r="S421" s="220"/>
      <c r="T421" s="220"/>
      <c r="U421" s="220"/>
      <c r="V421" s="220"/>
      <c r="W421" s="220"/>
    </row>
    <row r="422" ht="15.75" customHeight="1" outlineLevel="1">
      <c r="A422" s="211"/>
      <c r="B422" s="212"/>
      <c r="C422" s="213"/>
      <c r="D422" s="214" t="str">
        <f>IFERROR(VLOOKUP($C422,'PORTIFÓLIO'!C:V,2,0),"")</f>
        <v/>
      </c>
      <c r="E422" s="211" t="str">
        <f>IFERROR(VLOOKUP($C422,'PORTIFÓLIO'!C:V,3,0),"")</f>
        <v/>
      </c>
      <c r="F422" s="211" t="str">
        <f>IFERROR(VLOOKUP($C422,'PORTIFÓLIO'!C:V,4,0),"")</f>
        <v/>
      </c>
      <c r="G422" s="215" t="str">
        <f>IFERROR(VLOOKUP($C422,'PORTIFÓLIO'!C:V,5,0),"")</f>
        <v/>
      </c>
      <c r="H422" s="254" t="str">
        <f t="array" ref="H422">IFERROR(INDEX('PORTIFÓLIO'!$H$4:$H$433,MATCH($C422,'PORTIFÓLIO'!$C$4:$C$433,0)),"")</f>
        <v/>
      </c>
      <c r="I422" s="256"/>
      <c r="J422" s="218">
        <f t="shared" si="47"/>
        <v>0</v>
      </c>
      <c r="K422" s="292" t="str">
        <f t="array" ref="K422">IFERROR(I422*INDEX('PORTIFÓLIO'!$S$4:$S$433,MATCH($C422,'PORTIFÓLIO'!$C$4:$C$433,0)),"")</f>
        <v/>
      </c>
      <c r="L422" s="292" t="str">
        <f t="array" ref="L422">IFERROR(J422*INDEX('PORTIFÓLIO'!$S$4:$S$433,MATCH($C422,'PORTIFÓLIO'!$C$4:$C$433,0)),"")</f>
        <v/>
      </c>
      <c r="M422" s="220"/>
      <c r="N422" s="220"/>
      <c r="O422" s="220"/>
      <c r="P422" s="220"/>
      <c r="Q422" s="220"/>
      <c r="R422" s="220"/>
      <c r="S422" s="220"/>
      <c r="T422" s="220"/>
      <c r="U422" s="220"/>
      <c r="V422" s="220"/>
      <c r="W422" s="220"/>
    </row>
    <row r="423" ht="15.75" customHeight="1" outlineLevel="1">
      <c r="A423" s="211"/>
      <c r="B423" s="212"/>
      <c r="C423" s="213"/>
      <c r="D423" s="214" t="str">
        <f>IFERROR(VLOOKUP($C423,'PORTIFÓLIO'!C:V,2,0),"")</f>
        <v/>
      </c>
      <c r="E423" s="211" t="str">
        <f>IFERROR(VLOOKUP($C423,'PORTIFÓLIO'!C:V,3,0),"")</f>
        <v/>
      </c>
      <c r="F423" s="211" t="str">
        <f>IFERROR(VLOOKUP($C423,'PORTIFÓLIO'!C:V,4,0),"")</f>
        <v/>
      </c>
      <c r="G423" s="215" t="str">
        <f>IFERROR(VLOOKUP($C423,'PORTIFÓLIO'!C:V,5,0),"")</f>
        <v/>
      </c>
      <c r="H423" s="254" t="str">
        <f t="array" ref="H423">IFERROR(INDEX('PORTIFÓLIO'!$H$4:$H$433,MATCH($C423,'PORTIFÓLIO'!$C$4:$C$433,0)),"")</f>
        <v/>
      </c>
      <c r="I423" s="256"/>
      <c r="J423" s="218">
        <f t="shared" si="47"/>
        <v>0</v>
      </c>
      <c r="K423" s="292" t="str">
        <f t="array" ref="K423">IFERROR(I423*INDEX('PORTIFÓLIO'!$S$4:$S$433,MATCH($C423,'PORTIFÓLIO'!$C$4:$C$433,0)),"")</f>
        <v/>
      </c>
      <c r="L423" s="292" t="str">
        <f t="array" ref="L423">IFERROR(J423*INDEX('PORTIFÓLIO'!$S$4:$S$433,MATCH($C423,'PORTIFÓLIO'!$C$4:$C$433,0)),"")</f>
        <v/>
      </c>
      <c r="M423" s="220"/>
      <c r="N423" s="220"/>
      <c r="O423" s="220"/>
      <c r="P423" s="220"/>
      <c r="Q423" s="220"/>
      <c r="R423" s="220"/>
      <c r="S423" s="220"/>
      <c r="T423" s="220"/>
      <c r="U423" s="220"/>
      <c r="V423" s="220"/>
      <c r="W423" s="220"/>
    </row>
    <row r="424" ht="15.75" customHeight="1" outlineLevel="1">
      <c r="A424" s="211"/>
      <c r="B424" s="212"/>
      <c r="C424" s="213"/>
      <c r="D424" s="214" t="str">
        <f>IFERROR(VLOOKUP($C424,'PORTIFÓLIO'!C:V,2,0),"")</f>
        <v/>
      </c>
      <c r="E424" s="211" t="str">
        <f>IFERROR(VLOOKUP($C424,'PORTIFÓLIO'!C:V,3,0),"")</f>
        <v/>
      </c>
      <c r="F424" s="211" t="str">
        <f>IFERROR(VLOOKUP($C424,'PORTIFÓLIO'!C:V,4,0),"")</f>
        <v/>
      </c>
      <c r="G424" s="215" t="str">
        <f>IFERROR(VLOOKUP($C424,'PORTIFÓLIO'!C:V,5,0),"")</f>
        <v/>
      </c>
      <c r="H424" s="254" t="str">
        <f t="array" ref="H424">IFERROR(INDEX('PORTIFÓLIO'!$H$4:$H$433,MATCH($C424,'PORTIFÓLIO'!$C$4:$C$433,0)),"")</f>
        <v/>
      </c>
      <c r="I424" s="256"/>
      <c r="J424" s="218">
        <f t="shared" si="47"/>
        <v>0</v>
      </c>
      <c r="K424" s="292" t="str">
        <f t="array" ref="K424">IFERROR(I424*INDEX('PORTIFÓLIO'!$S$4:$S$433,MATCH($C424,'PORTIFÓLIO'!$C$4:$C$433,0)),"")</f>
        <v/>
      </c>
      <c r="L424" s="292" t="str">
        <f t="array" ref="L424">IFERROR(J424*INDEX('PORTIFÓLIO'!$S$4:$S$433,MATCH($C424,'PORTIFÓLIO'!$C$4:$C$433,0)),"")</f>
        <v/>
      </c>
      <c r="M424" s="220"/>
      <c r="N424" s="220"/>
      <c r="O424" s="220"/>
      <c r="P424" s="220"/>
      <c r="Q424" s="220"/>
      <c r="R424" s="220"/>
      <c r="S424" s="220"/>
      <c r="T424" s="220"/>
      <c r="U424" s="220"/>
      <c r="V424" s="220"/>
      <c r="W424" s="220"/>
    </row>
    <row r="425" ht="15.75" customHeight="1" outlineLevel="1">
      <c r="A425" s="211"/>
      <c r="B425" s="227"/>
      <c r="C425" s="211"/>
      <c r="D425" s="214" t="str">
        <f>IFERROR(VLOOKUP($C425,'PORTIFÓLIO'!C:V,2,0),"")</f>
        <v/>
      </c>
      <c r="E425" s="211" t="str">
        <f>IFERROR(VLOOKUP($C425,'PORTIFÓLIO'!C:V,3,0),"")</f>
        <v/>
      </c>
      <c r="F425" s="211" t="str">
        <f>IFERROR(VLOOKUP($C425,'PORTIFÓLIO'!C:V,4,0),"")</f>
        <v/>
      </c>
      <c r="G425" s="215" t="str">
        <f>IFERROR(VLOOKUP($C425,'PORTIFÓLIO'!C:V,5,0),"")</f>
        <v/>
      </c>
      <c r="H425" s="254" t="str">
        <f t="array" ref="H425">IFERROR(INDEX('PORTIFÓLIO'!$H$4:$H$433,MATCH($C425,'PORTIFÓLIO'!$C$4:$C$433,0)),"")</f>
        <v/>
      </c>
      <c r="I425" s="256"/>
      <c r="J425" s="218">
        <f t="shared" si="47"/>
        <v>0</v>
      </c>
      <c r="K425" s="292" t="str">
        <f t="array" ref="K425">IFERROR(I425*INDEX('PORTIFÓLIO'!$S$4:$S$433,MATCH($C425,'PORTIFÓLIO'!$C$4:$C$433,0)),"")</f>
        <v/>
      </c>
      <c r="L425" s="292" t="str">
        <f t="array" ref="L425">IFERROR(J425*INDEX('PORTIFÓLIO'!$S$4:$S$433,MATCH($C425,'PORTIFÓLIO'!$C$4:$C$433,0)),"")</f>
        <v/>
      </c>
      <c r="M425" s="220"/>
      <c r="N425" s="220"/>
      <c r="O425" s="220"/>
      <c r="P425" s="220"/>
      <c r="Q425" s="220"/>
      <c r="R425" s="220"/>
      <c r="S425" s="220"/>
      <c r="T425" s="220"/>
      <c r="U425" s="220"/>
      <c r="V425" s="220"/>
      <c r="W425" s="220"/>
    </row>
    <row r="426" ht="15.75" customHeight="1" outlineLevel="1">
      <c r="A426" s="211"/>
      <c r="B426" s="227"/>
      <c r="C426" s="211"/>
      <c r="D426" s="214" t="str">
        <f>IFERROR(VLOOKUP($C426,'PORTIFÓLIO'!C:V,2,0),"")</f>
        <v/>
      </c>
      <c r="E426" s="211" t="str">
        <f>IFERROR(VLOOKUP($C426,'PORTIFÓLIO'!C:V,3,0),"")</f>
        <v/>
      </c>
      <c r="F426" s="211" t="str">
        <f>IFERROR(VLOOKUP($C426,'PORTIFÓLIO'!C:V,4,0),"")</f>
        <v/>
      </c>
      <c r="G426" s="215" t="str">
        <f>IFERROR(VLOOKUP($C426,'PORTIFÓLIO'!C:V,5,0),"")</f>
        <v/>
      </c>
      <c r="H426" s="254" t="str">
        <f t="array" ref="H426">IFERROR(INDEX('PORTIFÓLIO'!$H$4:$H$433,MATCH($C426,'PORTIFÓLIO'!$C$4:$C$433,0)),"")</f>
        <v/>
      </c>
      <c r="I426" s="256"/>
      <c r="J426" s="218">
        <f t="shared" si="47"/>
        <v>0</v>
      </c>
      <c r="K426" s="292" t="str">
        <f t="array" ref="K426">IFERROR(I426*INDEX('PORTIFÓLIO'!$S$4:$S$433,MATCH($C426,'PORTIFÓLIO'!$C$4:$C$433,0)),"")</f>
        <v/>
      </c>
      <c r="L426" s="292" t="str">
        <f t="array" ref="L426">IFERROR(J426*INDEX('PORTIFÓLIO'!$S$4:$S$433,MATCH($C426,'PORTIFÓLIO'!$C$4:$C$433,0)),"")</f>
        <v/>
      </c>
      <c r="U426" s="79"/>
    </row>
    <row r="427" ht="15.75" customHeight="1">
      <c r="A427" s="229" t="s">
        <v>1202</v>
      </c>
      <c r="B427" s="230"/>
      <c r="C427" s="231"/>
      <c r="D427" s="232"/>
      <c r="E427" s="231"/>
      <c r="F427" s="231"/>
      <c r="G427" s="233"/>
      <c r="H427" s="233"/>
      <c r="I427" s="258"/>
      <c r="J427" s="236"/>
      <c r="K427" s="237">
        <f t="shared" ref="K427:L427" si="48">SUBTOTAL(9,K428:K441)</f>
        <v>0</v>
      </c>
      <c r="L427" s="237">
        <f t="shared" si="48"/>
        <v>0</v>
      </c>
      <c r="U427" s="79"/>
    </row>
    <row r="428" ht="15.75" customHeight="1" outlineLevel="1">
      <c r="A428" s="213"/>
      <c r="B428" s="212"/>
      <c r="C428" s="213"/>
      <c r="D428" s="214" t="str">
        <f>IFERROR(VLOOKUP($C428,'PORTIFÓLIO'!C:V,2,0),"")</f>
        <v/>
      </c>
      <c r="E428" s="211" t="str">
        <f>IFERROR(VLOOKUP($C428,'PORTIFÓLIO'!C:V,3,0),"")</f>
        <v/>
      </c>
      <c r="F428" s="211" t="str">
        <f>IFERROR(VLOOKUP($C428,'PORTIFÓLIO'!C:V,4,0),"")</f>
        <v/>
      </c>
      <c r="G428" s="215" t="str">
        <f>IFERROR(VLOOKUP($C428,'PORTIFÓLIO'!C:V,5,0),"")</f>
        <v/>
      </c>
      <c r="H428" s="254" t="str">
        <f t="array" ref="H428">IFERROR(INDEX('PORTIFÓLIO'!$H$4:$H$433,MATCH($C428,'PORTIFÓLIO'!$C$4:$C$433,0)),"")</f>
        <v/>
      </c>
      <c r="I428" s="256"/>
      <c r="J428" s="218">
        <f t="shared" ref="J428:J451" si="49">I428*$B$2</f>
        <v>0</v>
      </c>
      <c r="K428" s="292" t="str">
        <f t="array" ref="K428">IFERROR(I428*INDEX('PORTIFÓLIO'!$S$4:$S$433,MATCH($C428,'PORTIFÓLIO'!$C$4:$C$433,0)),"")</f>
        <v/>
      </c>
      <c r="L428" s="292" t="str">
        <f t="array" ref="L428">IFERROR(J428*INDEX('PORTIFÓLIO'!$S$4:$S$433,MATCH($C428,'PORTIFÓLIO'!$C$4:$C$433,0)),"")</f>
        <v/>
      </c>
      <c r="U428" s="79"/>
    </row>
    <row r="429" ht="15.75" customHeight="1" outlineLevel="1">
      <c r="A429" s="211"/>
      <c r="B429" s="212"/>
      <c r="C429" s="213"/>
      <c r="D429" s="214" t="str">
        <f>IFERROR(VLOOKUP($C429,'PORTIFÓLIO'!C:V,2,0),"")</f>
        <v/>
      </c>
      <c r="E429" s="211" t="str">
        <f>IFERROR(VLOOKUP($C429,'PORTIFÓLIO'!C:V,3,0),"")</f>
        <v/>
      </c>
      <c r="F429" s="211" t="str">
        <f>IFERROR(VLOOKUP($C429,'PORTIFÓLIO'!C:V,4,0),"")</f>
        <v/>
      </c>
      <c r="G429" s="215" t="str">
        <f>IFERROR(VLOOKUP($C429,'PORTIFÓLIO'!C:V,5,0),"")</f>
        <v/>
      </c>
      <c r="H429" s="254" t="str">
        <f t="array" ref="H429">IFERROR(INDEX('PORTIFÓLIO'!$H$4:$H$433,MATCH($C429,'PORTIFÓLIO'!$C$4:$C$433,0)),"")</f>
        <v/>
      </c>
      <c r="I429" s="256"/>
      <c r="J429" s="218">
        <f t="shared" si="49"/>
        <v>0</v>
      </c>
      <c r="K429" s="292" t="str">
        <f t="array" ref="K429">IFERROR(I429*INDEX('PORTIFÓLIO'!$S$4:$S$433,MATCH($C429,'PORTIFÓLIO'!$C$4:$C$433,0)),"")</f>
        <v/>
      </c>
      <c r="L429" s="292" t="str">
        <f t="array" ref="L429">IFERROR(J429*INDEX('PORTIFÓLIO'!$S$4:$S$433,MATCH($C429,'PORTIFÓLIO'!$C$4:$C$433,0)),"")</f>
        <v/>
      </c>
      <c r="U429" s="79"/>
    </row>
    <row r="430" ht="15.75" customHeight="1" outlineLevel="1">
      <c r="A430" s="211"/>
      <c r="B430" s="212"/>
      <c r="C430" s="213"/>
      <c r="D430" s="214" t="str">
        <f>IFERROR(VLOOKUP($C430,'PORTIFÓLIO'!C:V,2,0),"")</f>
        <v/>
      </c>
      <c r="E430" s="211" t="str">
        <f>IFERROR(VLOOKUP($C430,'PORTIFÓLIO'!C:V,3,0),"")</f>
        <v/>
      </c>
      <c r="F430" s="211" t="str">
        <f>IFERROR(VLOOKUP($C430,'PORTIFÓLIO'!C:V,4,0),"")</f>
        <v/>
      </c>
      <c r="G430" s="215" t="str">
        <f>IFERROR(VLOOKUP($C430,'PORTIFÓLIO'!C:V,5,0),"")</f>
        <v/>
      </c>
      <c r="H430" s="254" t="str">
        <f t="array" ref="H430">IFERROR(INDEX('PORTIFÓLIO'!$H$4:$H$433,MATCH($C430,'PORTIFÓLIO'!$C$4:$C$433,0)),"")</f>
        <v/>
      </c>
      <c r="I430" s="256"/>
      <c r="J430" s="218">
        <f t="shared" si="49"/>
        <v>0</v>
      </c>
      <c r="K430" s="292" t="str">
        <f t="array" ref="K430">IFERROR(I430*INDEX('PORTIFÓLIO'!$S$4:$S$433,MATCH($C430,'PORTIFÓLIO'!$C$4:$C$433,0)),"")</f>
        <v/>
      </c>
      <c r="L430" s="292" t="str">
        <f t="array" ref="L430">IFERROR(J430*INDEX('PORTIFÓLIO'!$S$4:$S$433,MATCH($C430,'PORTIFÓLIO'!$C$4:$C$433,0)),"")</f>
        <v/>
      </c>
      <c r="U430" s="79"/>
    </row>
    <row r="431" ht="15.75" customHeight="1" outlineLevel="1">
      <c r="A431" s="211"/>
      <c r="B431" s="212"/>
      <c r="C431" s="213"/>
      <c r="D431" s="214" t="str">
        <f>IFERROR(VLOOKUP($C431,'PORTIFÓLIO'!C:V,2,0),"")</f>
        <v/>
      </c>
      <c r="E431" s="211" t="str">
        <f>IFERROR(VLOOKUP($C431,'PORTIFÓLIO'!C:V,3,0),"")</f>
        <v/>
      </c>
      <c r="F431" s="211" t="str">
        <f>IFERROR(VLOOKUP($C431,'PORTIFÓLIO'!C:V,4,0),"")</f>
        <v/>
      </c>
      <c r="G431" s="215" t="str">
        <f>IFERROR(VLOOKUP($C431,'PORTIFÓLIO'!C:V,5,0),"")</f>
        <v/>
      </c>
      <c r="H431" s="254" t="str">
        <f t="array" ref="H431">IFERROR(INDEX('PORTIFÓLIO'!$H$4:$H$433,MATCH($C431,'PORTIFÓLIO'!$C$4:$C$433,0)),"")</f>
        <v/>
      </c>
      <c r="I431" s="256"/>
      <c r="J431" s="218">
        <f t="shared" si="49"/>
        <v>0</v>
      </c>
      <c r="K431" s="292" t="str">
        <f t="array" ref="K431">IFERROR(I431*INDEX('PORTIFÓLIO'!$S$4:$S$433,MATCH($C431,'PORTIFÓLIO'!$C$4:$C$433,0)),"")</f>
        <v/>
      </c>
      <c r="L431" s="292" t="str">
        <f t="array" ref="L431">IFERROR(J431*INDEX('PORTIFÓLIO'!$S$4:$S$433,MATCH($C431,'PORTIFÓLIO'!$C$4:$C$433,0)),"")</f>
        <v/>
      </c>
      <c r="U431" s="79"/>
    </row>
    <row r="432" ht="15.75" customHeight="1" outlineLevel="1">
      <c r="A432" s="211"/>
      <c r="B432" s="212"/>
      <c r="C432" s="213"/>
      <c r="D432" s="214" t="str">
        <f>IFERROR(VLOOKUP($C432,'PORTIFÓLIO'!C:V,2,0),"")</f>
        <v/>
      </c>
      <c r="E432" s="211" t="str">
        <f>IFERROR(VLOOKUP($C432,'PORTIFÓLIO'!C:V,3,0),"")</f>
        <v/>
      </c>
      <c r="F432" s="211" t="str">
        <f>IFERROR(VLOOKUP($C432,'PORTIFÓLIO'!C:V,4,0),"")</f>
        <v/>
      </c>
      <c r="G432" s="215" t="str">
        <f>IFERROR(VLOOKUP($C432,'PORTIFÓLIO'!C:V,5,0),"")</f>
        <v/>
      </c>
      <c r="H432" s="254" t="str">
        <f t="array" ref="H432">IFERROR(INDEX('PORTIFÓLIO'!$H$4:$H$433,MATCH($C432,'PORTIFÓLIO'!$C$4:$C$433,0)),"")</f>
        <v/>
      </c>
      <c r="I432" s="256"/>
      <c r="J432" s="218">
        <f t="shared" si="49"/>
        <v>0</v>
      </c>
      <c r="K432" s="292" t="str">
        <f t="array" ref="K432">IFERROR(I432*INDEX('PORTIFÓLIO'!$S$4:$S$433,MATCH($C432,'PORTIFÓLIO'!$C$4:$C$433,0)),"")</f>
        <v/>
      </c>
      <c r="L432" s="292" t="str">
        <f t="array" ref="L432">IFERROR(J432*INDEX('PORTIFÓLIO'!$S$4:$S$433,MATCH($C432,'PORTIFÓLIO'!$C$4:$C$433,0)),"")</f>
        <v/>
      </c>
      <c r="U432" s="79"/>
    </row>
    <row r="433" ht="15.75" customHeight="1" outlineLevel="1">
      <c r="A433" s="211"/>
      <c r="B433" s="212"/>
      <c r="C433" s="213"/>
      <c r="D433" s="214" t="str">
        <f>IFERROR(VLOOKUP($C433,'PORTIFÓLIO'!C:V,2,0),"")</f>
        <v/>
      </c>
      <c r="E433" s="211" t="str">
        <f>IFERROR(VLOOKUP($C433,'PORTIFÓLIO'!C:V,3,0),"")</f>
        <v/>
      </c>
      <c r="F433" s="211" t="str">
        <f>IFERROR(VLOOKUP($C433,'PORTIFÓLIO'!C:V,4,0),"")</f>
        <v/>
      </c>
      <c r="G433" s="215" t="str">
        <f>IFERROR(VLOOKUP($C433,'PORTIFÓLIO'!C:V,5,0),"")</f>
        <v/>
      </c>
      <c r="H433" s="254" t="str">
        <f t="array" ref="H433">IFERROR(INDEX('PORTIFÓLIO'!$H$4:$H$433,MATCH($C433,'PORTIFÓLIO'!$C$4:$C$433,0)),"")</f>
        <v/>
      </c>
      <c r="I433" s="256"/>
      <c r="J433" s="218">
        <f t="shared" si="49"/>
        <v>0</v>
      </c>
      <c r="K433" s="292" t="str">
        <f t="array" ref="K433">IFERROR(I433*INDEX('PORTIFÓLIO'!$S$4:$S$433,MATCH($C433,'PORTIFÓLIO'!$C$4:$C$433,0)),"")</f>
        <v/>
      </c>
      <c r="L433" s="292" t="str">
        <f t="array" ref="L433">IFERROR(J433*INDEX('PORTIFÓLIO'!$S$4:$S$433,MATCH($C433,'PORTIFÓLIO'!$C$4:$C$433,0)),"")</f>
        <v/>
      </c>
      <c r="U433" s="79"/>
    </row>
    <row r="434" ht="15.75" customHeight="1" outlineLevel="1">
      <c r="A434" s="211"/>
      <c r="B434" s="212"/>
      <c r="C434" s="213"/>
      <c r="D434" s="214" t="str">
        <f>IFERROR(VLOOKUP($C434,'PORTIFÓLIO'!C:V,2,0),"")</f>
        <v/>
      </c>
      <c r="E434" s="211" t="str">
        <f>IFERROR(VLOOKUP($C434,'PORTIFÓLIO'!C:V,3,0),"")</f>
        <v/>
      </c>
      <c r="F434" s="211" t="str">
        <f>IFERROR(VLOOKUP($C434,'PORTIFÓLIO'!C:V,4,0),"")</f>
        <v/>
      </c>
      <c r="G434" s="215" t="str">
        <f>IFERROR(VLOOKUP($C434,'PORTIFÓLIO'!C:V,5,0),"")</f>
        <v/>
      </c>
      <c r="H434" s="254" t="str">
        <f t="array" ref="H434">IFERROR(INDEX('PORTIFÓLIO'!$H$4:$H$433,MATCH($C434,'PORTIFÓLIO'!$C$4:$C$433,0)),"")</f>
        <v/>
      </c>
      <c r="I434" s="256"/>
      <c r="J434" s="218">
        <f t="shared" si="49"/>
        <v>0</v>
      </c>
      <c r="K434" s="292" t="str">
        <f t="array" ref="K434">IFERROR(I434*INDEX('PORTIFÓLIO'!$S$4:$S$433,MATCH($C434,'PORTIFÓLIO'!$C$4:$C$433,0)),"")</f>
        <v/>
      </c>
      <c r="L434" s="292" t="str">
        <f t="array" ref="L434">IFERROR(J434*INDEX('PORTIFÓLIO'!$S$4:$S$433,MATCH($C434,'PORTIFÓLIO'!$C$4:$C$433,0)),"")</f>
        <v/>
      </c>
      <c r="U434" s="79"/>
    </row>
    <row r="435" ht="15.75" customHeight="1" outlineLevel="1">
      <c r="A435" s="211"/>
      <c r="B435" s="212"/>
      <c r="C435" s="213"/>
      <c r="D435" s="214" t="str">
        <f>IFERROR(VLOOKUP($C435,'PORTIFÓLIO'!C:V,2,0),"")</f>
        <v/>
      </c>
      <c r="E435" s="211" t="str">
        <f>IFERROR(VLOOKUP($C435,'PORTIFÓLIO'!C:V,3,0),"")</f>
        <v/>
      </c>
      <c r="F435" s="211" t="str">
        <f>IFERROR(VLOOKUP($C435,'PORTIFÓLIO'!C:V,4,0),"")</f>
        <v/>
      </c>
      <c r="G435" s="215" t="str">
        <f>IFERROR(VLOOKUP($C435,'PORTIFÓLIO'!C:V,5,0),"")</f>
        <v/>
      </c>
      <c r="H435" s="254" t="str">
        <f t="array" ref="H435">IFERROR(INDEX('PORTIFÓLIO'!$H$4:$H$433,MATCH($C435,'PORTIFÓLIO'!$C$4:$C$433,0)),"")</f>
        <v/>
      </c>
      <c r="I435" s="256"/>
      <c r="J435" s="218">
        <f t="shared" si="49"/>
        <v>0</v>
      </c>
      <c r="K435" s="292" t="str">
        <f t="array" ref="K435">IFERROR(I435*INDEX('PORTIFÓLIO'!$S$4:$S$433,MATCH($C435,'PORTIFÓLIO'!$C$4:$C$433,0)),"")</f>
        <v/>
      </c>
      <c r="L435" s="292" t="str">
        <f t="array" ref="L435">IFERROR(J435*INDEX('PORTIFÓLIO'!$S$4:$S$433,MATCH($C435,'PORTIFÓLIO'!$C$4:$C$433,0)),"")</f>
        <v/>
      </c>
      <c r="U435" s="79"/>
    </row>
    <row r="436" ht="15.75" customHeight="1" outlineLevel="1">
      <c r="A436" s="211"/>
      <c r="B436" s="212"/>
      <c r="C436" s="213"/>
      <c r="D436" s="214" t="str">
        <f>IFERROR(VLOOKUP($C436,'PORTIFÓLIO'!C:V,2,0),"")</f>
        <v/>
      </c>
      <c r="E436" s="211" t="str">
        <f>IFERROR(VLOOKUP($C436,'PORTIFÓLIO'!C:V,3,0),"")</f>
        <v/>
      </c>
      <c r="F436" s="211" t="str">
        <f>IFERROR(VLOOKUP($C436,'PORTIFÓLIO'!C:V,4,0),"")</f>
        <v/>
      </c>
      <c r="G436" s="215" t="str">
        <f>IFERROR(VLOOKUP($C436,'PORTIFÓLIO'!C:V,5,0),"")</f>
        <v/>
      </c>
      <c r="H436" s="254" t="str">
        <f t="array" ref="H436">IFERROR(INDEX('PORTIFÓLIO'!$H$4:$H$433,MATCH($C436,'PORTIFÓLIO'!$C$4:$C$433,0)),"")</f>
        <v/>
      </c>
      <c r="I436" s="256"/>
      <c r="J436" s="218">
        <f t="shared" si="49"/>
        <v>0</v>
      </c>
      <c r="K436" s="292" t="str">
        <f t="array" ref="K436">IFERROR(I436*INDEX('PORTIFÓLIO'!$S$4:$S$433,MATCH($C436,'PORTIFÓLIO'!$C$4:$C$433,0)),"")</f>
        <v/>
      </c>
      <c r="L436" s="292" t="str">
        <f t="array" ref="L436">IFERROR(J436*INDEX('PORTIFÓLIO'!$S$4:$S$433,MATCH($C436,'PORTIFÓLIO'!$C$4:$C$433,0)),"")</f>
        <v/>
      </c>
      <c r="U436" s="79"/>
    </row>
    <row r="437" ht="15.75" customHeight="1" outlineLevel="1">
      <c r="A437" s="211"/>
      <c r="B437" s="212"/>
      <c r="C437" s="213"/>
      <c r="D437" s="214" t="str">
        <f>IFERROR(VLOOKUP($C437,'PORTIFÓLIO'!C:V,2,0),"")</f>
        <v/>
      </c>
      <c r="E437" s="211" t="str">
        <f>IFERROR(VLOOKUP($C437,'PORTIFÓLIO'!C:V,3,0),"")</f>
        <v/>
      </c>
      <c r="F437" s="211" t="str">
        <f>IFERROR(VLOOKUP($C437,'PORTIFÓLIO'!C:V,4,0),"")</f>
        <v/>
      </c>
      <c r="G437" s="215" t="str">
        <f>IFERROR(VLOOKUP($C437,'PORTIFÓLIO'!C:V,5,0),"")</f>
        <v/>
      </c>
      <c r="H437" s="254" t="str">
        <f t="array" ref="H437">IFERROR(INDEX('PORTIFÓLIO'!$H$4:$H$433,MATCH($C437,'PORTIFÓLIO'!$C$4:$C$433,0)),"")</f>
        <v/>
      </c>
      <c r="I437" s="256"/>
      <c r="J437" s="218">
        <f t="shared" si="49"/>
        <v>0</v>
      </c>
      <c r="K437" s="292" t="str">
        <f t="array" ref="K437">IFERROR(I437*INDEX('PORTIFÓLIO'!$S$4:$S$433,MATCH($C437,'PORTIFÓLIO'!$C$4:$C$433,0)),"")</f>
        <v/>
      </c>
      <c r="L437" s="292" t="str">
        <f t="array" ref="L437">IFERROR(J437*INDEX('PORTIFÓLIO'!$S$4:$S$433,MATCH($C437,'PORTIFÓLIO'!$C$4:$C$433,0)),"")</f>
        <v/>
      </c>
      <c r="U437" s="79"/>
    </row>
    <row r="438" ht="15.75" customHeight="1" outlineLevel="1">
      <c r="A438" s="211"/>
      <c r="B438" s="212"/>
      <c r="C438" s="213"/>
      <c r="D438" s="214" t="str">
        <f>IFERROR(VLOOKUP($C438,'PORTIFÓLIO'!C:V,2,0),"")</f>
        <v/>
      </c>
      <c r="E438" s="211" t="str">
        <f>IFERROR(VLOOKUP($C438,'PORTIFÓLIO'!C:V,3,0),"")</f>
        <v/>
      </c>
      <c r="F438" s="211" t="str">
        <f>IFERROR(VLOOKUP($C438,'PORTIFÓLIO'!C:V,4,0),"")</f>
        <v/>
      </c>
      <c r="G438" s="215" t="str">
        <f>IFERROR(VLOOKUP($C438,'PORTIFÓLIO'!C:V,5,0),"")</f>
        <v/>
      </c>
      <c r="H438" s="254" t="str">
        <f t="array" ref="H438">IFERROR(INDEX('PORTIFÓLIO'!$H$4:$H$433,MATCH($C438,'PORTIFÓLIO'!$C$4:$C$433,0)),"")</f>
        <v/>
      </c>
      <c r="I438" s="256"/>
      <c r="J438" s="218">
        <f t="shared" si="49"/>
        <v>0</v>
      </c>
      <c r="K438" s="292" t="str">
        <f t="array" ref="K438">IFERROR(I438*INDEX('PORTIFÓLIO'!$S$4:$S$433,MATCH($C438,'PORTIFÓLIO'!$C$4:$C$433,0)),"")</f>
        <v/>
      </c>
      <c r="L438" s="292" t="str">
        <f t="array" ref="L438">IFERROR(J438*INDEX('PORTIFÓLIO'!$S$4:$S$433,MATCH($C438,'PORTIFÓLIO'!$C$4:$C$433,0)),"")</f>
        <v/>
      </c>
      <c r="U438" s="79"/>
    </row>
    <row r="439" ht="15.75" customHeight="1" outlineLevel="1">
      <c r="A439" s="211"/>
      <c r="B439" s="212"/>
      <c r="C439" s="213"/>
      <c r="D439" s="214" t="str">
        <f>IFERROR(VLOOKUP($C439,'PORTIFÓLIO'!C:V,2,0),"")</f>
        <v/>
      </c>
      <c r="E439" s="211" t="str">
        <f>IFERROR(VLOOKUP($C439,'PORTIFÓLIO'!C:V,3,0),"")</f>
        <v/>
      </c>
      <c r="F439" s="211" t="str">
        <f>IFERROR(VLOOKUP($C439,'PORTIFÓLIO'!C:V,4,0),"")</f>
        <v/>
      </c>
      <c r="G439" s="215" t="str">
        <f>IFERROR(VLOOKUP($C439,'PORTIFÓLIO'!C:V,5,0),"")</f>
        <v/>
      </c>
      <c r="H439" s="254" t="str">
        <f t="array" ref="H439">IFERROR(INDEX('PORTIFÓLIO'!$H$4:$H$433,MATCH($C439,'PORTIFÓLIO'!$C$4:$C$433,0)),"")</f>
        <v/>
      </c>
      <c r="I439" s="256"/>
      <c r="J439" s="218">
        <f t="shared" si="49"/>
        <v>0</v>
      </c>
      <c r="K439" s="292" t="str">
        <f t="array" ref="K439">IFERROR(I439*INDEX('PORTIFÓLIO'!$S$4:$S$433,MATCH($C439,'PORTIFÓLIO'!$C$4:$C$433,0)),"")</f>
        <v/>
      </c>
      <c r="L439" s="292" t="str">
        <f t="array" ref="L439">IFERROR(J439*INDEX('PORTIFÓLIO'!$S$4:$S$433,MATCH($C439,'PORTIFÓLIO'!$C$4:$C$433,0)),"")</f>
        <v/>
      </c>
      <c r="U439" s="79"/>
    </row>
    <row r="440" ht="15.75" customHeight="1" outlineLevel="1">
      <c r="A440" s="211"/>
      <c r="B440" s="212"/>
      <c r="C440" s="213"/>
      <c r="D440" s="214" t="str">
        <f>IFERROR(VLOOKUP($C440,'PORTIFÓLIO'!C:V,2,0),"")</f>
        <v/>
      </c>
      <c r="E440" s="211" t="str">
        <f>IFERROR(VLOOKUP($C440,'PORTIFÓLIO'!C:V,3,0),"")</f>
        <v/>
      </c>
      <c r="F440" s="211" t="str">
        <f>IFERROR(VLOOKUP($C440,'PORTIFÓLIO'!C:V,4,0),"")</f>
        <v/>
      </c>
      <c r="G440" s="215" t="str">
        <f>IFERROR(VLOOKUP($C440,'PORTIFÓLIO'!C:V,5,0),"")</f>
        <v/>
      </c>
      <c r="H440" s="254" t="str">
        <f t="array" ref="H440">IFERROR(INDEX('PORTIFÓLIO'!$H$4:$H$433,MATCH($C440,'PORTIFÓLIO'!$C$4:$C$433,0)),"")</f>
        <v/>
      </c>
      <c r="I440" s="256"/>
      <c r="J440" s="218">
        <f t="shared" si="49"/>
        <v>0</v>
      </c>
      <c r="K440" s="292" t="str">
        <f t="array" ref="K440">IFERROR(I440*INDEX('PORTIFÓLIO'!$S$4:$S$433,MATCH($C440,'PORTIFÓLIO'!$C$4:$C$433,0)),"")</f>
        <v/>
      </c>
      <c r="L440" s="292" t="str">
        <f t="array" ref="L440">IFERROR(J440*INDEX('PORTIFÓLIO'!$S$4:$S$433,MATCH($C440,'PORTIFÓLIO'!$C$4:$C$433,0)),"")</f>
        <v/>
      </c>
      <c r="U440" s="79"/>
    </row>
    <row r="441" ht="15.75" customHeight="1" outlineLevel="1">
      <c r="A441" s="211"/>
      <c r="B441" s="212"/>
      <c r="C441" s="213"/>
      <c r="D441" s="214" t="str">
        <f>IFERROR(VLOOKUP($C441,'PORTIFÓLIO'!C:V,2,0),"")</f>
        <v/>
      </c>
      <c r="E441" s="211" t="str">
        <f>IFERROR(VLOOKUP($C441,'PORTIFÓLIO'!C:V,3,0),"")</f>
        <v/>
      </c>
      <c r="F441" s="211" t="str">
        <f>IFERROR(VLOOKUP($C441,'PORTIFÓLIO'!C:V,4,0),"")</f>
        <v/>
      </c>
      <c r="G441" s="215" t="str">
        <f>IFERROR(VLOOKUP($C441,'PORTIFÓLIO'!C:V,5,0),"")</f>
        <v/>
      </c>
      <c r="H441" s="254" t="str">
        <f t="array" ref="H441">IFERROR(INDEX('PORTIFÓLIO'!$H$4:$H$433,MATCH($C441,'PORTIFÓLIO'!$C$4:$C$433,0)),"")</f>
        <v/>
      </c>
      <c r="I441" s="256"/>
      <c r="J441" s="218">
        <f t="shared" si="49"/>
        <v>0</v>
      </c>
      <c r="K441" s="292" t="str">
        <f t="array" ref="K441">IFERROR(I441*INDEX('PORTIFÓLIO'!$S$4:$S$433,MATCH($C441,'PORTIFÓLIO'!$C$4:$C$433,0)),"")</f>
        <v/>
      </c>
      <c r="L441" s="292" t="str">
        <f t="array" ref="L441">IFERROR(J441*INDEX('PORTIFÓLIO'!$S$4:$S$433,MATCH($C441,'PORTIFÓLIO'!$C$4:$C$433,0)),"")</f>
        <v/>
      </c>
      <c r="U441" s="79"/>
    </row>
    <row r="442" ht="15.75" customHeight="1" outlineLevel="1">
      <c r="A442" s="211"/>
      <c r="B442" s="212"/>
      <c r="C442" s="213"/>
      <c r="D442" s="214" t="str">
        <f>IFERROR(VLOOKUP($C442,'PORTIFÓLIO'!C:V,2,0),"")</f>
        <v/>
      </c>
      <c r="E442" s="211" t="str">
        <f>IFERROR(VLOOKUP($C442,'PORTIFÓLIO'!C:V,3,0),"")</f>
        <v/>
      </c>
      <c r="F442" s="211" t="str">
        <f>IFERROR(VLOOKUP($C442,'PORTIFÓLIO'!C:V,4,0),"")</f>
        <v/>
      </c>
      <c r="G442" s="215" t="str">
        <f>IFERROR(VLOOKUP($C442,'PORTIFÓLIO'!C:V,5,0),"")</f>
        <v/>
      </c>
      <c r="H442" s="254" t="str">
        <f t="array" ref="H442">IFERROR(INDEX('PORTIFÓLIO'!$H$4:$H$433,MATCH($C442,'PORTIFÓLIO'!$C$4:$C$433,0)),"")</f>
        <v/>
      </c>
      <c r="I442" s="256"/>
      <c r="J442" s="218">
        <f t="shared" si="49"/>
        <v>0</v>
      </c>
      <c r="K442" s="292" t="str">
        <f t="array" ref="K442">IFERROR(I442*INDEX('PORTIFÓLIO'!$S$4:$S$433,MATCH($C442,'PORTIFÓLIO'!$C$4:$C$433,0)),"")</f>
        <v/>
      </c>
      <c r="L442" s="292" t="str">
        <f t="array" ref="L442">IFERROR(J442*INDEX('PORTIFÓLIO'!$S$4:$S$433,MATCH($C442,'PORTIFÓLIO'!$C$4:$C$433,0)),"")</f>
        <v/>
      </c>
      <c r="U442" s="79"/>
    </row>
    <row r="443" ht="15.75" customHeight="1" outlineLevel="1">
      <c r="A443" s="211"/>
      <c r="B443" s="227"/>
      <c r="C443" s="211"/>
      <c r="D443" s="214" t="str">
        <f>IFERROR(VLOOKUP($C443,'PORTIFÓLIO'!C:V,2,0),"")</f>
        <v/>
      </c>
      <c r="E443" s="211" t="str">
        <f>IFERROR(VLOOKUP($C443,'PORTIFÓLIO'!C:V,3,0),"")</f>
        <v/>
      </c>
      <c r="F443" s="211" t="str">
        <f>IFERROR(VLOOKUP($C443,'PORTIFÓLIO'!C:V,4,0),"")</f>
        <v/>
      </c>
      <c r="G443" s="215" t="str">
        <f>IFERROR(VLOOKUP($C443,'PORTIFÓLIO'!C:V,5,0),"")</f>
        <v/>
      </c>
      <c r="H443" s="254" t="str">
        <f t="array" ref="H443">IFERROR(INDEX('PORTIFÓLIO'!$H$4:$H$433,MATCH($C443,'PORTIFÓLIO'!$C$4:$C$433,0)),"")</f>
        <v/>
      </c>
      <c r="I443" s="256"/>
      <c r="J443" s="218">
        <f t="shared" si="49"/>
        <v>0</v>
      </c>
      <c r="K443" s="292" t="str">
        <f t="array" ref="K443">IFERROR(I443*INDEX('PORTIFÓLIO'!$S$4:$S$433,MATCH($C443,'PORTIFÓLIO'!$C$4:$C$433,0)),"")</f>
        <v/>
      </c>
      <c r="L443" s="292" t="str">
        <f t="array" ref="L443">IFERROR(J443*INDEX('PORTIFÓLIO'!$S$4:$S$433,MATCH($C443,'PORTIFÓLIO'!$C$4:$C$433,0)),"")</f>
        <v/>
      </c>
      <c r="U443" s="79"/>
    </row>
    <row r="444" ht="15.75" customHeight="1" outlineLevel="1">
      <c r="A444" s="211"/>
      <c r="B444" s="227"/>
      <c r="C444" s="211"/>
      <c r="D444" s="214" t="str">
        <f>IFERROR(VLOOKUP($C444,'PORTIFÓLIO'!C:V,2,0),"")</f>
        <v/>
      </c>
      <c r="E444" s="211" t="str">
        <f>IFERROR(VLOOKUP($C444,'PORTIFÓLIO'!C:V,3,0),"")</f>
        <v/>
      </c>
      <c r="F444" s="211" t="str">
        <f>IFERROR(VLOOKUP($C444,'PORTIFÓLIO'!C:V,4,0),"")</f>
        <v/>
      </c>
      <c r="G444" s="215" t="str">
        <f>IFERROR(VLOOKUP($C444,'PORTIFÓLIO'!C:V,5,0),"")</f>
        <v/>
      </c>
      <c r="H444" s="254" t="str">
        <f t="array" ref="H444">IFERROR(INDEX('PORTIFÓLIO'!$H$4:$H$433,MATCH($C444,'PORTIFÓLIO'!$C$4:$C$433,0)),"")</f>
        <v/>
      </c>
      <c r="I444" s="256"/>
      <c r="J444" s="218">
        <f t="shared" si="49"/>
        <v>0</v>
      </c>
      <c r="K444" s="292" t="str">
        <f t="array" ref="K444">IFERROR(I444*INDEX('PORTIFÓLIO'!$S$4:$S$433,MATCH($C444,'PORTIFÓLIO'!$C$4:$C$433,0)),"")</f>
        <v/>
      </c>
      <c r="L444" s="292" t="str">
        <f t="array" ref="L444">IFERROR(J444*INDEX('PORTIFÓLIO'!$S$4:$S$433,MATCH($C444,'PORTIFÓLIO'!$C$4:$C$433,0)),"")</f>
        <v/>
      </c>
      <c r="U444" s="79"/>
    </row>
    <row r="445" ht="15.75" customHeight="1" outlineLevel="1">
      <c r="A445" s="211"/>
      <c r="B445" s="227"/>
      <c r="C445" s="211"/>
      <c r="D445" s="214" t="str">
        <f>IFERROR(VLOOKUP($C445,'PORTIFÓLIO'!C:V,2,0),"")</f>
        <v/>
      </c>
      <c r="E445" s="211" t="str">
        <f>IFERROR(VLOOKUP($C445,'PORTIFÓLIO'!C:V,3,0),"")</f>
        <v/>
      </c>
      <c r="F445" s="211" t="str">
        <f>IFERROR(VLOOKUP($C445,'PORTIFÓLIO'!C:V,4,0),"")</f>
        <v/>
      </c>
      <c r="G445" s="215" t="str">
        <f>IFERROR(VLOOKUP($C445,'PORTIFÓLIO'!C:V,5,0),"")</f>
        <v/>
      </c>
      <c r="H445" s="254" t="str">
        <f t="array" ref="H445">IFERROR(INDEX('PORTIFÓLIO'!$H$4:$H$433,MATCH($C445,'PORTIFÓLIO'!$C$4:$C$433,0)),"")</f>
        <v/>
      </c>
      <c r="I445" s="256"/>
      <c r="J445" s="218">
        <f t="shared" si="49"/>
        <v>0</v>
      </c>
      <c r="K445" s="292" t="str">
        <f t="array" ref="K445">IFERROR(I445*INDEX('PORTIFÓLIO'!$S$4:$S$433,MATCH($C445,'PORTIFÓLIO'!$C$4:$C$433,0)),"")</f>
        <v/>
      </c>
      <c r="L445" s="292" t="str">
        <f t="array" ref="L445">IFERROR(J445*INDEX('PORTIFÓLIO'!$S$4:$S$433,MATCH($C445,'PORTIFÓLIO'!$C$4:$C$433,0)),"")</f>
        <v/>
      </c>
      <c r="U445" s="79"/>
    </row>
    <row r="446" ht="15.75" customHeight="1" outlineLevel="1">
      <c r="A446" s="211"/>
      <c r="B446" s="227"/>
      <c r="C446" s="211"/>
      <c r="D446" s="214" t="str">
        <f>IFERROR(VLOOKUP($C446,'PORTIFÓLIO'!C:V,2,0),"")</f>
        <v/>
      </c>
      <c r="E446" s="211" t="str">
        <f>IFERROR(VLOOKUP($C446,'PORTIFÓLIO'!C:V,3,0),"")</f>
        <v/>
      </c>
      <c r="F446" s="211" t="str">
        <f>IFERROR(VLOOKUP($C446,'PORTIFÓLIO'!C:V,4,0),"")</f>
        <v/>
      </c>
      <c r="G446" s="215" t="str">
        <f>IFERROR(VLOOKUP($C446,'PORTIFÓLIO'!C:V,5,0),"")</f>
        <v/>
      </c>
      <c r="H446" s="254" t="str">
        <f t="array" ref="H446">IFERROR(INDEX('PORTIFÓLIO'!$H$4:$H$433,MATCH($C446,'PORTIFÓLIO'!$C$4:$C$433,0)),"")</f>
        <v/>
      </c>
      <c r="I446" s="256"/>
      <c r="J446" s="218">
        <f t="shared" si="49"/>
        <v>0</v>
      </c>
      <c r="K446" s="292" t="str">
        <f t="array" ref="K446">IFERROR(I446*INDEX('PORTIFÓLIO'!$S$4:$S$433,MATCH($C446,'PORTIFÓLIO'!$C$4:$C$433,0)),"")</f>
        <v/>
      </c>
      <c r="L446" s="292" t="str">
        <f t="array" ref="L446">IFERROR(J446*INDEX('PORTIFÓLIO'!$S$4:$S$433,MATCH($C446,'PORTIFÓLIO'!$C$4:$C$433,0)),"")</f>
        <v/>
      </c>
      <c r="U446" s="79"/>
    </row>
    <row r="447" ht="15.75" customHeight="1" outlineLevel="1">
      <c r="A447" s="211"/>
      <c r="B447" s="227"/>
      <c r="C447" s="211"/>
      <c r="D447" s="214" t="str">
        <f>IFERROR(VLOOKUP($C447,'PORTIFÓLIO'!C:V,2,0),"")</f>
        <v/>
      </c>
      <c r="E447" s="211" t="str">
        <f>IFERROR(VLOOKUP($C447,'PORTIFÓLIO'!C:V,3,0),"")</f>
        <v/>
      </c>
      <c r="F447" s="211" t="str">
        <f>IFERROR(VLOOKUP($C447,'PORTIFÓLIO'!C:V,4,0),"")</f>
        <v/>
      </c>
      <c r="G447" s="215" t="str">
        <f>IFERROR(VLOOKUP($C447,'PORTIFÓLIO'!C:V,5,0),"")</f>
        <v/>
      </c>
      <c r="H447" s="254" t="str">
        <f t="array" ref="H447">IFERROR(INDEX('PORTIFÓLIO'!$H$4:$H$433,MATCH($C447,'PORTIFÓLIO'!$C$4:$C$433,0)),"")</f>
        <v/>
      </c>
      <c r="I447" s="256"/>
      <c r="J447" s="218">
        <f t="shared" si="49"/>
        <v>0</v>
      </c>
      <c r="K447" s="292" t="str">
        <f t="array" ref="K447">IFERROR(I447*INDEX('PORTIFÓLIO'!$S$4:$S$433,MATCH($C447,'PORTIFÓLIO'!$C$4:$C$433,0)),"")</f>
        <v/>
      </c>
      <c r="L447" s="292" t="str">
        <f t="array" ref="L447">IFERROR(J447*INDEX('PORTIFÓLIO'!$S$4:$S$433,MATCH($C447,'PORTIFÓLIO'!$C$4:$C$433,0)),"")</f>
        <v/>
      </c>
      <c r="U447" s="79"/>
    </row>
    <row r="448" ht="15.75" customHeight="1" outlineLevel="1">
      <c r="A448" s="211"/>
      <c r="B448" s="227"/>
      <c r="C448" s="211"/>
      <c r="D448" s="214" t="str">
        <f>IFERROR(VLOOKUP($C448,'PORTIFÓLIO'!C:V,2,0),"")</f>
        <v/>
      </c>
      <c r="E448" s="211" t="str">
        <f>IFERROR(VLOOKUP($C448,'PORTIFÓLIO'!C:V,3,0),"")</f>
        <v/>
      </c>
      <c r="F448" s="211" t="str">
        <f>IFERROR(VLOOKUP($C448,'PORTIFÓLIO'!C:V,4,0),"")</f>
        <v/>
      </c>
      <c r="G448" s="215" t="str">
        <f>IFERROR(VLOOKUP($C448,'PORTIFÓLIO'!C:V,5,0),"")</f>
        <v/>
      </c>
      <c r="H448" s="254" t="str">
        <f t="array" ref="H448">IFERROR(INDEX('PORTIFÓLIO'!$H$4:$H$433,MATCH($C448,'PORTIFÓLIO'!$C$4:$C$433,0)),"")</f>
        <v/>
      </c>
      <c r="I448" s="256"/>
      <c r="J448" s="218">
        <f t="shared" si="49"/>
        <v>0</v>
      </c>
      <c r="K448" s="292" t="str">
        <f t="array" ref="K448">IFERROR(I448*INDEX('PORTIFÓLIO'!$S$4:$S$433,MATCH($C448,'PORTIFÓLIO'!$C$4:$C$433,0)),"")</f>
        <v/>
      </c>
      <c r="L448" s="292" t="str">
        <f t="array" ref="L448">IFERROR(J448*INDEX('PORTIFÓLIO'!$S$4:$S$433,MATCH($C448,'PORTIFÓLIO'!$C$4:$C$433,0)),"")</f>
        <v/>
      </c>
      <c r="U448" s="79"/>
    </row>
    <row r="449" ht="15.75" customHeight="1" outlineLevel="1">
      <c r="A449" s="211"/>
      <c r="B449" s="227"/>
      <c r="C449" s="211"/>
      <c r="D449" s="214" t="str">
        <f>IFERROR(VLOOKUP($C449,'PORTIFÓLIO'!C:V,2,0),"")</f>
        <v/>
      </c>
      <c r="E449" s="211" t="str">
        <f>IFERROR(VLOOKUP($C449,'PORTIFÓLIO'!C:V,3,0),"")</f>
        <v/>
      </c>
      <c r="F449" s="211" t="str">
        <f>IFERROR(VLOOKUP($C449,'PORTIFÓLIO'!C:V,4,0),"")</f>
        <v/>
      </c>
      <c r="G449" s="215" t="str">
        <f>IFERROR(VLOOKUP($C449,'PORTIFÓLIO'!C:V,5,0),"")</f>
        <v/>
      </c>
      <c r="H449" s="254" t="str">
        <f t="array" ref="H449">IFERROR(INDEX('PORTIFÓLIO'!$H$4:$H$433,MATCH($C449,'PORTIFÓLIO'!$C$4:$C$433,0)),"")</f>
        <v/>
      </c>
      <c r="I449" s="256"/>
      <c r="J449" s="218">
        <f t="shared" si="49"/>
        <v>0</v>
      </c>
      <c r="K449" s="292" t="str">
        <f t="array" ref="K449">IFERROR(I449*INDEX('PORTIFÓLIO'!$S$4:$S$433,MATCH($C449,'PORTIFÓLIO'!$C$4:$C$433,0)),"")</f>
        <v/>
      </c>
      <c r="L449" s="292" t="str">
        <f t="array" ref="L449">IFERROR(J449*INDEX('PORTIFÓLIO'!$S$4:$S$433,MATCH($C449,'PORTIFÓLIO'!$C$4:$C$433,0)),"")</f>
        <v/>
      </c>
      <c r="U449" s="79"/>
    </row>
    <row r="450" ht="15.75" customHeight="1" outlineLevel="1">
      <c r="A450" s="211"/>
      <c r="B450" s="227"/>
      <c r="C450" s="211"/>
      <c r="D450" s="214" t="str">
        <f>IFERROR(VLOOKUP($C450,'PORTIFÓLIO'!C:V,2,0),"")</f>
        <v/>
      </c>
      <c r="E450" s="211" t="str">
        <f>IFERROR(VLOOKUP($C450,'PORTIFÓLIO'!C:V,3,0),"")</f>
        <v/>
      </c>
      <c r="F450" s="211" t="str">
        <f>IFERROR(VLOOKUP($C450,'PORTIFÓLIO'!C:V,4,0),"")</f>
        <v/>
      </c>
      <c r="G450" s="215" t="str">
        <f>IFERROR(VLOOKUP($C450,'PORTIFÓLIO'!C:V,5,0),"")</f>
        <v/>
      </c>
      <c r="H450" s="254" t="str">
        <f t="array" ref="H450">IFERROR(INDEX('PORTIFÓLIO'!$H$4:$H$433,MATCH($C450,'PORTIFÓLIO'!$C$4:$C$433,0)),"")</f>
        <v/>
      </c>
      <c r="I450" s="256"/>
      <c r="J450" s="218">
        <f t="shared" si="49"/>
        <v>0</v>
      </c>
      <c r="K450" s="292" t="str">
        <f t="array" ref="K450">IFERROR(I450*INDEX('PORTIFÓLIO'!$S$4:$S$433,MATCH($C450,'PORTIFÓLIO'!$C$4:$C$433,0)),"")</f>
        <v/>
      </c>
      <c r="L450" s="292" t="str">
        <f t="array" ref="L450">IFERROR(J450*INDEX('PORTIFÓLIO'!$S$4:$S$433,MATCH($C450,'PORTIFÓLIO'!$C$4:$C$433,0)),"")</f>
        <v/>
      </c>
      <c r="U450" s="79"/>
    </row>
    <row r="451" ht="15.75" customHeight="1" outlineLevel="1">
      <c r="A451" s="211"/>
      <c r="B451" s="227"/>
      <c r="C451" s="211"/>
      <c r="D451" s="214" t="str">
        <f>IFERROR(VLOOKUP($C451,'PORTIFÓLIO'!C:V,2,0),"")</f>
        <v/>
      </c>
      <c r="E451" s="211" t="str">
        <f>IFERROR(VLOOKUP($C451,'PORTIFÓLIO'!C:V,3,0),"")</f>
        <v/>
      </c>
      <c r="F451" s="211" t="str">
        <f>IFERROR(VLOOKUP($C451,'PORTIFÓLIO'!C:V,4,0),"")</f>
        <v/>
      </c>
      <c r="G451" s="215" t="str">
        <f>IFERROR(VLOOKUP($C451,'PORTIFÓLIO'!C:V,5,0),"")</f>
        <v/>
      </c>
      <c r="H451" s="254" t="str">
        <f t="array" ref="H451">IFERROR(INDEX('PORTIFÓLIO'!$H$4:$H$433,MATCH($C451,'PORTIFÓLIO'!$C$4:$C$433,0)),"")</f>
        <v/>
      </c>
      <c r="I451" s="256"/>
      <c r="J451" s="218">
        <f t="shared" si="49"/>
        <v>0</v>
      </c>
      <c r="K451" s="292" t="str">
        <f t="array" ref="K451">IFERROR(I451*INDEX('PORTIFÓLIO'!$S$4:$S$433,MATCH($C451,'PORTIFÓLIO'!$C$4:$C$433,0)),"")</f>
        <v/>
      </c>
      <c r="L451" s="292" t="str">
        <f t="array" ref="L451">IFERROR(J451*INDEX('PORTIFÓLIO'!$S$4:$S$433,MATCH($C451,'PORTIFÓLIO'!$C$4:$C$433,0)),"")</f>
        <v/>
      </c>
      <c r="U451" s="79"/>
    </row>
    <row r="452" ht="15.75" customHeight="1">
      <c r="A452" s="227"/>
      <c r="B452" s="227"/>
      <c r="C452" s="227"/>
      <c r="D452" s="227"/>
      <c r="E452" s="227"/>
      <c r="F452" s="227"/>
      <c r="G452" s="215"/>
      <c r="H452" s="227"/>
      <c r="I452" s="227"/>
      <c r="J452" s="227"/>
      <c r="K452" s="293">
        <f t="shared" ref="K452:L452" si="50">SUBTOTAL(9,K237:K427)</f>
        <v>0</v>
      </c>
      <c r="L452" s="293">
        <f t="shared" si="50"/>
        <v>0</v>
      </c>
      <c r="U452" s="79"/>
    </row>
    <row r="453" ht="15.75" customHeight="1">
      <c r="G453" s="296"/>
      <c r="U453" s="79"/>
    </row>
    <row r="454" ht="15.75" customHeight="1">
      <c r="G454" s="296"/>
      <c r="U454" s="79"/>
    </row>
    <row r="455" ht="15.75" customHeight="1">
      <c r="G455" s="296"/>
      <c r="U455" s="79"/>
    </row>
    <row r="456" ht="15.75" customHeight="1">
      <c r="G456" s="296"/>
      <c r="U456" s="79"/>
    </row>
    <row r="457" ht="15.75" customHeight="1">
      <c r="G457" s="296"/>
      <c r="U457" s="79"/>
    </row>
    <row r="458" ht="15.75" customHeight="1">
      <c r="G458" s="296"/>
      <c r="U458" s="79"/>
    </row>
    <row r="459" ht="15.75" customHeight="1">
      <c r="G459" s="296"/>
      <c r="U459" s="79"/>
    </row>
    <row r="460" ht="15.75" customHeight="1">
      <c r="G460" s="296"/>
      <c r="U460" s="79"/>
    </row>
    <row r="461" ht="15.75" customHeight="1">
      <c r="G461" s="296"/>
      <c r="U461" s="79"/>
    </row>
    <row r="462" ht="15.75" customHeight="1">
      <c r="G462" s="296"/>
      <c r="U462" s="79"/>
    </row>
    <row r="463" ht="15.75" customHeight="1">
      <c r="G463" s="296"/>
      <c r="U463" s="79"/>
    </row>
    <row r="464" ht="15.75" customHeight="1">
      <c r="G464" s="296"/>
      <c r="U464" s="79"/>
    </row>
    <row r="465" ht="15.75" customHeight="1">
      <c r="G465" s="296"/>
      <c r="U465" s="79"/>
    </row>
    <row r="466" ht="15.75" customHeight="1">
      <c r="G466" s="296"/>
      <c r="U466" s="79"/>
    </row>
    <row r="467" ht="15.75" customHeight="1">
      <c r="G467" s="296"/>
      <c r="U467" s="79"/>
    </row>
    <row r="468" ht="15.75" customHeight="1">
      <c r="G468" s="296"/>
      <c r="U468" s="79"/>
    </row>
    <row r="469" ht="15.75" customHeight="1">
      <c r="G469" s="296"/>
      <c r="U469" s="79"/>
    </row>
    <row r="470" ht="15.75" customHeight="1">
      <c r="G470" s="296"/>
      <c r="U470" s="79"/>
    </row>
    <row r="471" ht="15.75" customHeight="1">
      <c r="G471" s="296"/>
      <c r="U471" s="79"/>
    </row>
    <row r="472" ht="15.75" customHeight="1">
      <c r="G472" s="296"/>
      <c r="U472" s="79"/>
    </row>
    <row r="473" ht="15.75" customHeight="1">
      <c r="G473" s="296"/>
      <c r="U473" s="79"/>
    </row>
    <row r="474" ht="15.75" customHeight="1">
      <c r="G474" s="296"/>
      <c r="U474" s="79"/>
    </row>
    <row r="475" ht="15.75" customHeight="1">
      <c r="G475" s="296"/>
      <c r="U475" s="79"/>
    </row>
    <row r="476" ht="15.75" customHeight="1">
      <c r="G476" s="296"/>
      <c r="U476" s="79"/>
    </row>
    <row r="477" ht="15.75" customHeight="1">
      <c r="G477" s="296"/>
      <c r="U477" s="79"/>
    </row>
    <row r="478" ht="15.75" customHeight="1">
      <c r="G478" s="296"/>
      <c r="U478" s="79"/>
    </row>
    <row r="479" ht="15.75" customHeight="1">
      <c r="G479" s="296"/>
      <c r="U479" s="79"/>
    </row>
    <row r="480" ht="15.75" customHeight="1">
      <c r="G480" s="296"/>
      <c r="U480" s="79"/>
    </row>
    <row r="481" ht="15.75" customHeight="1">
      <c r="G481" s="296"/>
      <c r="U481" s="79"/>
    </row>
    <row r="482" ht="15.75" customHeight="1">
      <c r="G482" s="296"/>
      <c r="U482" s="79"/>
    </row>
    <row r="483" ht="15.75" customHeight="1">
      <c r="G483" s="296"/>
      <c r="U483" s="79"/>
    </row>
    <row r="484" ht="15.75" customHeight="1">
      <c r="G484" s="296"/>
      <c r="U484" s="79"/>
    </row>
    <row r="485" ht="15.75" customHeight="1">
      <c r="G485" s="296"/>
      <c r="U485" s="79"/>
    </row>
    <row r="486" ht="15.75" customHeight="1">
      <c r="G486" s="296"/>
      <c r="U486" s="79"/>
    </row>
    <row r="487" ht="15.75" customHeight="1">
      <c r="G487" s="296"/>
      <c r="U487" s="79"/>
    </row>
    <row r="488" ht="15.75" customHeight="1">
      <c r="G488" s="296"/>
      <c r="U488" s="79"/>
    </row>
    <row r="489" ht="15.75" customHeight="1">
      <c r="G489" s="296"/>
      <c r="U489" s="79"/>
    </row>
    <row r="490" ht="15.75" customHeight="1">
      <c r="G490" s="296"/>
      <c r="U490" s="79"/>
    </row>
    <row r="491" ht="15.75" customHeight="1">
      <c r="G491" s="296"/>
      <c r="U491" s="79"/>
    </row>
    <row r="492" ht="15.75" customHeight="1">
      <c r="G492" s="296"/>
      <c r="U492" s="79"/>
    </row>
    <row r="493" ht="15.75" customHeight="1">
      <c r="G493" s="296"/>
      <c r="U493" s="79"/>
    </row>
    <row r="494" ht="15.75" customHeight="1">
      <c r="G494" s="296"/>
      <c r="U494" s="79"/>
    </row>
    <row r="495" ht="15.75" customHeight="1">
      <c r="G495" s="296"/>
      <c r="U495" s="79"/>
    </row>
    <row r="496" ht="15.75" customHeight="1">
      <c r="G496" s="296"/>
      <c r="U496" s="79"/>
    </row>
    <row r="497" ht="15.75" customHeight="1">
      <c r="G497" s="296"/>
      <c r="U497" s="79"/>
    </row>
    <row r="498" ht="15.75" customHeight="1">
      <c r="G498" s="296"/>
      <c r="U498" s="79"/>
    </row>
    <row r="499" ht="15.75" customHeight="1">
      <c r="G499" s="296"/>
      <c r="U499" s="79"/>
    </row>
    <row r="500" ht="15.75" customHeight="1">
      <c r="G500" s="296"/>
      <c r="U500" s="79"/>
    </row>
    <row r="501" ht="15.75" customHeight="1">
      <c r="G501" s="296"/>
      <c r="U501" s="79"/>
    </row>
    <row r="502" ht="15.75" customHeight="1">
      <c r="G502" s="296"/>
      <c r="U502" s="79"/>
    </row>
    <row r="503" ht="15.75" customHeight="1">
      <c r="G503" s="296"/>
      <c r="U503" s="79"/>
    </row>
    <row r="504" ht="15.75" customHeight="1">
      <c r="G504" s="296"/>
      <c r="U504" s="79"/>
    </row>
    <row r="505" ht="15.75" customHeight="1">
      <c r="G505" s="296"/>
      <c r="U505" s="79"/>
    </row>
    <row r="506" ht="15.75" customHeight="1">
      <c r="G506" s="296"/>
      <c r="U506" s="79"/>
    </row>
    <row r="507" ht="15.75" customHeight="1">
      <c r="G507" s="296"/>
      <c r="U507" s="79"/>
    </row>
    <row r="508" ht="15.75" customHeight="1">
      <c r="G508" s="296"/>
      <c r="U508" s="79"/>
    </row>
    <row r="509" ht="15.75" customHeight="1">
      <c r="G509" s="296"/>
      <c r="U509" s="79"/>
    </row>
    <row r="510" ht="15.75" customHeight="1">
      <c r="G510" s="296"/>
      <c r="U510" s="79"/>
    </row>
    <row r="511" ht="15.75" customHeight="1">
      <c r="G511" s="296"/>
      <c r="U511" s="79"/>
    </row>
    <row r="512" ht="15.75" customHeight="1">
      <c r="G512" s="296"/>
      <c r="U512" s="79"/>
    </row>
    <row r="513" ht="15.75" customHeight="1">
      <c r="G513" s="296"/>
      <c r="U513" s="79"/>
    </row>
    <row r="514" ht="15.75" customHeight="1">
      <c r="G514" s="296"/>
      <c r="U514" s="79"/>
    </row>
    <row r="515" ht="15.75" customHeight="1">
      <c r="G515" s="296"/>
      <c r="U515" s="79"/>
    </row>
    <row r="516" ht="15.75" customHeight="1">
      <c r="G516" s="296"/>
      <c r="U516" s="79"/>
    </row>
    <row r="517" ht="15.75" customHeight="1">
      <c r="G517" s="296"/>
      <c r="U517" s="79"/>
    </row>
    <row r="518" ht="15.75" customHeight="1">
      <c r="G518" s="296"/>
      <c r="U518" s="79"/>
    </row>
    <row r="519" ht="15.75" customHeight="1">
      <c r="G519" s="296"/>
      <c r="U519" s="79"/>
    </row>
    <row r="520" ht="15.75" customHeight="1">
      <c r="G520" s="296"/>
      <c r="U520" s="79"/>
    </row>
    <row r="521" ht="15.75" customHeight="1">
      <c r="G521" s="296"/>
      <c r="U521" s="79"/>
    </row>
    <row r="522" ht="15.75" customHeight="1">
      <c r="G522" s="296"/>
      <c r="U522" s="79"/>
    </row>
    <row r="523" ht="15.75" customHeight="1">
      <c r="G523" s="296"/>
      <c r="U523" s="79"/>
    </row>
    <row r="524" ht="15.75" customHeight="1">
      <c r="G524" s="296"/>
      <c r="U524" s="79"/>
    </row>
    <row r="525" ht="15.75" customHeight="1">
      <c r="G525" s="296"/>
      <c r="U525" s="79"/>
    </row>
    <row r="526" ht="15.75" customHeight="1">
      <c r="G526" s="296"/>
      <c r="U526" s="79"/>
    </row>
    <row r="527" ht="15.75" customHeight="1">
      <c r="G527" s="296"/>
      <c r="U527" s="79"/>
    </row>
    <row r="528" ht="15.75" customHeight="1">
      <c r="G528" s="296"/>
      <c r="U528" s="79"/>
    </row>
    <row r="529" ht="15.75" customHeight="1">
      <c r="G529" s="296"/>
      <c r="U529" s="79"/>
    </row>
    <row r="530" ht="15.75" customHeight="1">
      <c r="G530" s="296"/>
      <c r="U530" s="79"/>
    </row>
    <row r="531" ht="15.75" customHeight="1">
      <c r="G531" s="296"/>
      <c r="U531" s="79"/>
    </row>
    <row r="532" ht="15.75" customHeight="1">
      <c r="G532" s="296"/>
      <c r="U532" s="79"/>
    </row>
    <row r="533" ht="15.75" customHeight="1">
      <c r="G533" s="296"/>
      <c r="U533" s="79"/>
    </row>
    <row r="534" ht="15.75" customHeight="1">
      <c r="G534" s="296"/>
      <c r="U534" s="79"/>
    </row>
    <row r="535" ht="15.75" customHeight="1">
      <c r="G535" s="296"/>
      <c r="U535" s="79"/>
    </row>
    <row r="536" ht="15.75" customHeight="1">
      <c r="G536" s="296"/>
      <c r="U536" s="79"/>
    </row>
    <row r="537" ht="15.75" customHeight="1">
      <c r="G537" s="296"/>
      <c r="U537" s="79"/>
    </row>
    <row r="538" ht="15.75" customHeight="1">
      <c r="G538" s="296"/>
      <c r="U538" s="79"/>
    </row>
    <row r="539" ht="15.75" customHeight="1">
      <c r="G539" s="296"/>
      <c r="U539" s="79"/>
    </row>
    <row r="540" ht="15.75" customHeight="1">
      <c r="G540" s="296"/>
      <c r="U540" s="79"/>
    </row>
    <row r="541" ht="15.75" customHeight="1">
      <c r="G541" s="296"/>
      <c r="U541" s="79"/>
    </row>
    <row r="542" ht="15.75" customHeight="1">
      <c r="G542" s="296"/>
      <c r="U542" s="79"/>
    </row>
    <row r="543" ht="15.75" customHeight="1">
      <c r="G543" s="296"/>
      <c r="U543" s="79"/>
    </row>
    <row r="544" ht="15.75" customHeight="1">
      <c r="G544" s="296"/>
      <c r="U544" s="79"/>
    </row>
    <row r="545" ht="15.75" customHeight="1">
      <c r="G545" s="296"/>
      <c r="U545" s="79"/>
    </row>
    <row r="546" ht="15.75" customHeight="1">
      <c r="G546" s="296"/>
      <c r="U546" s="79"/>
    </row>
    <row r="547" ht="15.75" customHeight="1">
      <c r="G547" s="296"/>
      <c r="U547" s="79"/>
    </row>
    <row r="548" ht="15.75" customHeight="1">
      <c r="G548" s="296"/>
      <c r="U548" s="79"/>
    </row>
    <row r="549" ht="15.75" customHeight="1">
      <c r="G549" s="296"/>
      <c r="U549" s="79"/>
    </row>
    <row r="550" ht="15.75" customHeight="1">
      <c r="G550" s="296"/>
      <c r="U550" s="79"/>
    </row>
    <row r="551" ht="15.75" customHeight="1">
      <c r="G551" s="296"/>
      <c r="U551" s="79"/>
    </row>
    <row r="552" ht="15.75" customHeight="1">
      <c r="G552" s="296"/>
      <c r="U552" s="79"/>
    </row>
    <row r="553" ht="15.75" customHeight="1">
      <c r="G553" s="296"/>
      <c r="U553" s="79"/>
    </row>
    <row r="554" ht="15.75" customHeight="1">
      <c r="G554" s="296"/>
      <c r="U554" s="79"/>
    </row>
    <row r="555" ht="15.75" customHeight="1">
      <c r="G555" s="296"/>
      <c r="U555" s="79"/>
    </row>
    <row r="556" ht="15.75" customHeight="1">
      <c r="G556" s="296"/>
      <c r="U556" s="79"/>
    </row>
    <row r="557" ht="15.75" customHeight="1">
      <c r="G557" s="296"/>
      <c r="U557" s="79"/>
    </row>
    <row r="558" ht="15.75" customHeight="1">
      <c r="G558" s="296"/>
      <c r="U558" s="79"/>
    </row>
    <row r="559" ht="15.75" customHeight="1">
      <c r="G559" s="296"/>
      <c r="U559" s="79"/>
    </row>
    <row r="560" ht="15.75" customHeight="1">
      <c r="G560" s="296"/>
      <c r="U560" s="79"/>
    </row>
    <row r="561" ht="15.75" customHeight="1">
      <c r="G561" s="296"/>
      <c r="U561" s="79"/>
    </row>
    <row r="562" ht="15.75" customHeight="1">
      <c r="G562" s="296"/>
      <c r="U562" s="79"/>
    </row>
    <row r="563" ht="15.75" customHeight="1">
      <c r="G563" s="296"/>
      <c r="U563" s="79"/>
    </row>
    <row r="564" ht="15.75" customHeight="1">
      <c r="G564" s="296"/>
      <c r="U564" s="79"/>
    </row>
    <row r="565" ht="15.75" customHeight="1">
      <c r="G565" s="296"/>
      <c r="U565" s="79"/>
    </row>
    <row r="566" ht="15.75" customHeight="1">
      <c r="G566" s="296"/>
      <c r="U566" s="79"/>
    </row>
    <row r="567" ht="15.75" customHeight="1">
      <c r="G567" s="296"/>
      <c r="U567" s="79"/>
    </row>
    <row r="568" ht="15.75" customHeight="1">
      <c r="G568" s="296"/>
      <c r="U568" s="79"/>
    </row>
    <row r="569" ht="15.75" customHeight="1">
      <c r="G569" s="296"/>
      <c r="U569" s="79"/>
    </row>
    <row r="570" ht="15.75" customHeight="1">
      <c r="G570" s="296"/>
      <c r="U570" s="79"/>
    </row>
    <row r="571" ht="15.75" customHeight="1">
      <c r="G571" s="296"/>
      <c r="U571" s="79"/>
    </row>
    <row r="572" ht="15.75" customHeight="1">
      <c r="G572" s="296"/>
      <c r="U572" s="79"/>
    </row>
    <row r="573" ht="15.75" customHeight="1">
      <c r="G573" s="296"/>
      <c r="U573" s="79"/>
    </row>
    <row r="574" ht="15.75" customHeight="1">
      <c r="G574" s="296"/>
      <c r="U574" s="79"/>
    </row>
    <row r="575" ht="15.75" customHeight="1">
      <c r="G575" s="296"/>
      <c r="U575" s="79"/>
    </row>
    <row r="576" ht="15.75" customHeight="1">
      <c r="G576" s="296"/>
      <c r="U576" s="79"/>
    </row>
    <row r="577" ht="15.75" customHeight="1">
      <c r="G577" s="296"/>
      <c r="U577" s="79"/>
    </row>
    <row r="578" ht="15.75" customHeight="1">
      <c r="G578" s="296"/>
      <c r="U578" s="79"/>
    </row>
    <row r="579" ht="15.75" customHeight="1">
      <c r="G579" s="296"/>
      <c r="U579" s="79"/>
    </row>
    <row r="580" ht="15.75" customHeight="1">
      <c r="G580" s="296"/>
      <c r="U580" s="79"/>
    </row>
    <row r="581" ht="15.75" customHeight="1">
      <c r="G581" s="296"/>
      <c r="U581" s="79"/>
    </row>
    <row r="582" ht="15.75" customHeight="1">
      <c r="G582" s="296"/>
      <c r="U582" s="79"/>
    </row>
    <row r="583" ht="15.75" customHeight="1">
      <c r="G583" s="296"/>
      <c r="U583" s="79"/>
    </row>
    <row r="584" ht="15.75" customHeight="1">
      <c r="G584" s="296"/>
      <c r="U584" s="79"/>
    </row>
    <row r="585" ht="15.75" customHeight="1">
      <c r="G585" s="296"/>
      <c r="U585" s="79"/>
    </row>
    <row r="586" ht="15.75" customHeight="1">
      <c r="G586" s="296"/>
      <c r="U586" s="79"/>
    </row>
    <row r="587" ht="15.75" customHeight="1">
      <c r="G587" s="296"/>
      <c r="U587" s="79"/>
    </row>
    <row r="588" ht="15.75" customHeight="1">
      <c r="G588" s="296"/>
      <c r="U588" s="79"/>
    </row>
    <row r="589" ht="15.75" customHeight="1">
      <c r="G589" s="296"/>
      <c r="U589" s="79"/>
    </row>
    <row r="590" ht="15.75" customHeight="1">
      <c r="G590" s="296"/>
      <c r="U590" s="79"/>
    </row>
    <row r="591" ht="15.75" customHeight="1">
      <c r="G591" s="296"/>
      <c r="U591" s="79"/>
    </row>
    <row r="592" ht="15.75" customHeight="1">
      <c r="G592" s="296"/>
      <c r="U592" s="79"/>
    </row>
    <row r="593" ht="15.75" customHeight="1">
      <c r="G593" s="296"/>
      <c r="U593" s="79"/>
    </row>
    <row r="594" ht="15.75" customHeight="1">
      <c r="G594" s="296"/>
      <c r="U594" s="79"/>
    </row>
    <row r="595" ht="15.75" customHeight="1">
      <c r="G595" s="296"/>
      <c r="U595" s="79"/>
    </row>
    <row r="596" ht="15.75" customHeight="1">
      <c r="G596" s="296"/>
      <c r="U596" s="79"/>
    </row>
    <row r="597" ht="15.75" customHeight="1">
      <c r="G597" s="296"/>
      <c r="U597" s="79"/>
    </row>
    <row r="598" ht="15.75" customHeight="1">
      <c r="G598" s="296"/>
      <c r="U598" s="79"/>
    </row>
    <row r="599" ht="15.75" customHeight="1">
      <c r="G599" s="296"/>
      <c r="U599" s="79"/>
    </row>
    <row r="600" ht="15.75" customHeight="1">
      <c r="G600" s="296"/>
      <c r="U600" s="79"/>
    </row>
    <row r="601" ht="15.75" customHeight="1">
      <c r="G601" s="296"/>
      <c r="U601" s="79"/>
    </row>
    <row r="602" ht="15.75" customHeight="1">
      <c r="G602" s="296"/>
      <c r="U602" s="79"/>
    </row>
    <row r="603" ht="15.75" customHeight="1">
      <c r="G603" s="296"/>
      <c r="U603" s="79"/>
    </row>
    <row r="604" ht="15.75" customHeight="1">
      <c r="G604" s="296"/>
      <c r="U604" s="79"/>
    </row>
    <row r="605" ht="15.75" customHeight="1">
      <c r="G605" s="296"/>
      <c r="U605" s="79"/>
    </row>
    <row r="606" ht="15.75" customHeight="1">
      <c r="G606" s="296"/>
      <c r="U606" s="79"/>
    </row>
    <row r="607" ht="15.75" customHeight="1">
      <c r="G607" s="296"/>
      <c r="U607" s="79"/>
    </row>
    <row r="608" ht="15.75" customHeight="1">
      <c r="G608" s="296"/>
      <c r="U608" s="79"/>
    </row>
    <row r="609" ht="15.75" customHeight="1">
      <c r="G609" s="296"/>
      <c r="U609" s="79"/>
    </row>
    <row r="610" ht="15.75" customHeight="1">
      <c r="G610" s="296"/>
      <c r="U610" s="79"/>
    </row>
    <row r="611" ht="15.75" customHeight="1">
      <c r="G611" s="296"/>
      <c r="U611" s="79"/>
    </row>
    <row r="612" ht="15.75" customHeight="1">
      <c r="G612" s="296"/>
      <c r="U612" s="79"/>
    </row>
    <row r="613" ht="15.75" customHeight="1">
      <c r="G613" s="296"/>
      <c r="U613" s="79"/>
    </row>
    <row r="614" ht="15.75" customHeight="1">
      <c r="G614" s="296"/>
      <c r="U614" s="79"/>
    </row>
    <row r="615" ht="15.75" customHeight="1">
      <c r="G615" s="296"/>
      <c r="U615" s="79"/>
    </row>
    <row r="616" ht="15.75" customHeight="1">
      <c r="G616" s="296"/>
      <c r="U616" s="79"/>
    </row>
    <row r="617" ht="15.75" customHeight="1">
      <c r="G617" s="296"/>
      <c r="U617" s="79"/>
    </row>
    <row r="618" ht="15.75" customHeight="1">
      <c r="G618" s="296"/>
      <c r="U618" s="79"/>
    </row>
    <row r="619" ht="15.75" customHeight="1">
      <c r="G619" s="296"/>
      <c r="U619" s="79"/>
    </row>
    <row r="620" ht="15.75" customHeight="1">
      <c r="G620" s="296"/>
      <c r="U620" s="79"/>
    </row>
    <row r="621" ht="15.75" customHeight="1">
      <c r="G621" s="296"/>
      <c r="U621" s="79"/>
    </row>
    <row r="622" ht="15.75" customHeight="1">
      <c r="G622" s="296"/>
      <c r="U622" s="79"/>
    </row>
    <row r="623" ht="15.75" customHeight="1">
      <c r="G623" s="296"/>
      <c r="U623" s="79"/>
    </row>
    <row r="624" ht="15.75" customHeight="1">
      <c r="G624" s="296"/>
      <c r="U624" s="79"/>
    </row>
    <row r="625" ht="15.75" customHeight="1">
      <c r="G625" s="296"/>
      <c r="U625" s="79"/>
    </row>
    <row r="626" ht="15.75" customHeight="1">
      <c r="G626" s="296"/>
      <c r="U626" s="79"/>
    </row>
    <row r="627" ht="15.75" customHeight="1">
      <c r="G627" s="296"/>
      <c r="U627" s="79"/>
    </row>
    <row r="628" ht="15.75" customHeight="1">
      <c r="G628" s="296"/>
      <c r="U628" s="79"/>
    </row>
    <row r="629" ht="15.75" customHeight="1">
      <c r="G629" s="296"/>
      <c r="U629" s="79"/>
    </row>
    <row r="630" ht="15.75" customHeight="1">
      <c r="G630" s="296"/>
      <c r="U630" s="79"/>
    </row>
    <row r="631" ht="15.75" customHeight="1">
      <c r="G631" s="296"/>
      <c r="U631" s="79"/>
    </row>
    <row r="632" ht="15.75" customHeight="1">
      <c r="G632" s="296"/>
      <c r="U632" s="79"/>
    </row>
    <row r="633" ht="15.75" customHeight="1">
      <c r="G633" s="296"/>
      <c r="U633" s="79"/>
    </row>
    <row r="634" ht="15.75" customHeight="1">
      <c r="G634" s="296"/>
      <c r="U634" s="79"/>
    </row>
    <row r="635" ht="15.75" customHeight="1">
      <c r="G635" s="296"/>
      <c r="U635" s="79"/>
    </row>
    <row r="636" ht="15.75" customHeight="1">
      <c r="G636" s="296"/>
      <c r="U636" s="79"/>
    </row>
    <row r="637" ht="15.75" customHeight="1">
      <c r="G637" s="296"/>
      <c r="U637" s="79"/>
    </row>
    <row r="638" ht="15.75" customHeight="1">
      <c r="G638" s="296"/>
      <c r="U638" s="79"/>
    </row>
    <row r="639" ht="15.75" customHeight="1">
      <c r="G639" s="296"/>
      <c r="U639" s="79"/>
    </row>
    <row r="640" ht="15.75" customHeight="1">
      <c r="G640" s="296"/>
      <c r="U640" s="79"/>
    </row>
    <row r="641" ht="15.75" customHeight="1">
      <c r="G641" s="296"/>
      <c r="U641" s="79"/>
    </row>
    <row r="642" ht="15.75" customHeight="1">
      <c r="G642" s="296"/>
      <c r="U642" s="79"/>
    </row>
    <row r="643" ht="15.75" customHeight="1">
      <c r="G643" s="296"/>
      <c r="U643" s="79"/>
    </row>
    <row r="644" ht="15.75" customHeight="1">
      <c r="G644" s="296"/>
      <c r="U644" s="79"/>
    </row>
    <row r="645" ht="15.75" customHeight="1">
      <c r="G645" s="296"/>
      <c r="U645" s="79"/>
    </row>
    <row r="646" ht="15.75" customHeight="1">
      <c r="G646" s="296"/>
      <c r="U646" s="79"/>
    </row>
    <row r="647" ht="15.75" customHeight="1">
      <c r="G647" s="296"/>
      <c r="U647" s="79"/>
    </row>
    <row r="648" ht="15.75" customHeight="1">
      <c r="G648" s="296"/>
      <c r="U648" s="79"/>
    </row>
    <row r="649" ht="15.75" customHeight="1">
      <c r="G649" s="296"/>
      <c r="U649" s="79"/>
    </row>
    <row r="650" ht="15.75" customHeight="1">
      <c r="G650" s="296"/>
      <c r="U650" s="79"/>
    </row>
    <row r="651" ht="15.75" customHeight="1">
      <c r="G651" s="296"/>
      <c r="U651" s="79"/>
    </row>
    <row r="652" ht="15.75" customHeight="1">
      <c r="G652" s="296"/>
      <c r="U652" s="79"/>
    </row>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K10:L224 K237:L451">
    <cfRule type="cellIs" dxfId="9" priority="1" operator="equal">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2">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3">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4">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5">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6">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7">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8">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9">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0">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1">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2">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3">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4">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5">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6">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7">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8">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9">
      <colorScale>
        <cfvo type="min"/>
        <cfvo type="percentile" val="50"/>
        <cfvo type="max"/>
        <color rgb="FF63BE7B"/>
        <color rgb="FFFCFCFF"/>
        <color rgb="FFF8696B"/>
      </colorScale>
    </cfRule>
  </conditionalFormatting>
  <conditionalFormatting sqref="A64:A67 A82:A85 A98:A101 A115:A118 A132:A135 A149:A152 A166:A169 A183:A186 A201:A204 A290:A294 A309:A312 A325:A328 A342:A345 A359:A362 A376:A379 A393:A396 A410:A413 A428:A431">
    <cfRule type="colorScale" priority="20">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1">
      <colorScale>
        <cfvo type="min"/>
        <cfvo type="percentile" val="50"/>
        <cfvo type="max"/>
        <color rgb="FF63BE7B"/>
        <color rgb="FFFCFCFF"/>
        <color rgb="FFF8696B"/>
      </colorScale>
    </cfRule>
  </conditionalFormatting>
  <conditionalFormatting sqref="A67:A68 A86 A102 A119 A136 A153 A170 A187 A205 A294:A295 A313 A329 A346 A363 A380 A397 A414 A432">
    <cfRule type="colorScale" priority="22">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3">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4">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5">
      <colorScale>
        <cfvo type="min"/>
        <cfvo type="percentile" val="50"/>
        <cfvo type="max"/>
        <color rgb="FF63BE7B"/>
        <color rgb="FFFCFCFF"/>
        <color rgb="FFF8696B"/>
      </colorScale>
    </cfRule>
  </conditionalFormatting>
  <conditionalFormatting sqref="A82:A86 A98:A102 A115:A119 A132:A136 A149:A153 A166:A170 A183:A187 A201:A205 A290 A309:A313 A325:A329 A342:A346 A359:A363 A376:A380 A393:A397 A410:A414 A428:A432">
    <cfRule type="colorScale" priority="26">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7">
      <colorScale>
        <cfvo type="min"/>
        <cfvo type="percentile" val="50"/>
        <cfvo type="max"/>
        <color rgb="FF63BE7B"/>
        <color rgb="FFFCFCFF"/>
        <color rgb="FFF8696B"/>
      </colorScale>
    </cfRule>
  </conditionalFormatting>
  <conditionalFormatting sqref="A87 A103 A120 A137 A154 A171 A188 A206 A314 A330 A347 A364 A381 A398 A415 A433">
    <cfRule type="colorScale" priority="28">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9">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0">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1">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2">
      <colorScale>
        <cfvo type="min"/>
        <cfvo type="percentile" val="50"/>
        <cfvo type="max"/>
        <color rgb="FF63BE7B"/>
        <color rgb="FFFCFCFF"/>
        <color rgb="FFF8696B"/>
      </colorScale>
    </cfRule>
  </conditionalFormatting>
  <conditionalFormatting sqref="A81:A84 A97:A100 A114:A117 A131:A134 A148:A151 A165:A168 A182:A185 A200:A203 A308:A311 A324:A327 A341:A344 A358:A361 A375:A378 A392:A395 A409:A412 A427:A430">
    <cfRule type="colorScale" priority="33">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4">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5">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6">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7">
      <colorScale>
        <cfvo type="min"/>
        <cfvo type="percentile" val="50"/>
        <cfvo type="max"/>
        <color rgb="FF63BE7B"/>
        <color rgb="FFFCFCFF"/>
        <color rgb="FFF8696B"/>
      </colorScale>
    </cfRule>
  </conditionalFormatting>
  <conditionalFormatting sqref="A82:A84 A98:A100 A115:A117 A132:A134 A149:A151 A166:A168 A183:A185 A201:A203 A309:A311 A325:A327 A342:A344 A359:A361 A376:A378 A393:A395 A410:A412 A428:A430">
    <cfRule type="colorScale" priority="38">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9">
      <colorScale>
        <cfvo type="min"/>
        <cfvo type="percentile" val="50"/>
        <cfvo type="max"/>
        <color rgb="FF63BE7B"/>
        <color rgb="FFFCFCFF"/>
        <color rgb="FFF8696B"/>
      </colorScale>
    </cfRule>
  </conditionalFormatting>
  <conditionalFormatting sqref="A85 A101 A118 A135 A152 A169 A186 A204 A312 A328 A345 A362 A379 A396 A413 A431">
    <cfRule type="colorScale" priority="40">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1">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42">
      <colorScale>
        <cfvo type="min"/>
        <cfvo type="percentile" val="50"/>
        <cfvo type="max"/>
        <color rgb="FF63BE7B"/>
        <color rgb="FFFFEB84"/>
        <color rgb="FFF8696B"/>
      </colorScale>
    </cfRule>
  </conditionalFormatting>
  <conditionalFormatting sqref="A98 A325">
    <cfRule type="colorScale" priority="43">
      <colorScale>
        <cfvo type="min"/>
        <cfvo type="percentile" val="50"/>
        <cfvo type="max"/>
        <color rgb="FF63BE7B"/>
        <color rgb="FFFCFCFF"/>
        <color rgb="FFF8696B"/>
      </colorScale>
    </cfRule>
  </conditionalFormatting>
  <conditionalFormatting sqref="A98 A325">
    <cfRule type="colorScale" priority="44">
      <colorScale>
        <cfvo type="min"/>
        <cfvo type="percentile" val="50"/>
        <cfvo type="max"/>
        <color rgb="FF63BE7B"/>
        <color rgb="FFFFEB84"/>
        <color rgb="FFF8696B"/>
      </colorScale>
    </cfRule>
  </conditionalFormatting>
  <conditionalFormatting sqref="A99 A326">
    <cfRule type="colorScale" priority="45">
      <colorScale>
        <cfvo type="min"/>
        <cfvo type="percentile" val="50"/>
        <cfvo type="max"/>
        <color rgb="FF63BE7B"/>
        <color rgb="FFFFEB84"/>
        <color rgb="FFF8696B"/>
      </colorScale>
    </cfRule>
  </conditionalFormatting>
  <conditionalFormatting sqref="A100:A104 A327:A331">
    <cfRule type="colorScale" priority="46">
      <colorScale>
        <cfvo type="min"/>
        <cfvo type="percentile" val="50"/>
        <cfvo type="max"/>
        <color rgb="FF63BE7B"/>
        <color rgb="FFFFEB84"/>
        <color rgb="FFF8696B"/>
      </colorScale>
    </cfRule>
  </conditionalFormatting>
  <conditionalFormatting sqref="A115 A342">
    <cfRule type="colorScale" priority="47">
      <colorScale>
        <cfvo type="min"/>
        <cfvo type="percentile" val="50"/>
        <cfvo type="max"/>
        <color rgb="FF63BE7B"/>
        <color rgb="FFFCFCFF"/>
        <color rgb="FFF8696B"/>
      </colorScale>
    </cfRule>
  </conditionalFormatting>
  <conditionalFormatting sqref="A115 A342">
    <cfRule type="colorScale" priority="48">
      <colorScale>
        <cfvo type="min"/>
        <cfvo type="percentile" val="50"/>
        <cfvo type="max"/>
        <color rgb="FF63BE7B"/>
        <color rgb="FFFFEB84"/>
        <color rgb="FFF8696B"/>
      </colorScale>
    </cfRule>
  </conditionalFormatting>
  <conditionalFormatting sqref="A116:A129 A343:A356">
    <cfRule type="colorScale" priority="49">
      <colorScale>
        <cfvo type="min"/>
        <cfvo type="percentile" val="50"/>
        <cfvo type="max"/>
        <color rgb="FF63BE7B"/>
        <color rgb="FFFFEB84"/>
        <color rgb="FFF8696B"/>
      </colorScale>
    </cfRule>
  </conditionalFormatting>
  <conditionalFormatting sqref="A132:A133 A359:A360">
    <cfRule type="colorScale" priority="50">
      <colorScale>
        <cfvo type="min"/>
        <cfvo type="percentile" val="50"/>
        <cfvo type="max"/>
        <color rgb="FF63BE7B"/>
        <color rgb="FFFFEB84"/>
        <color rgb="FFF8696B"/>
      </colorScale>
    </cfRule>
  </conditionalFormatting>
  <conditionalFormatting sqref="A149:A163 A376:A390">
    <cfRule type="colorScale" priority="51">
      <colorScale>
        <cfvo type="min"/>
        <cfvo type="percentile" val="50"/>
        <cfvo type="max"/>
        <color rgb="FF63BE7B"/>
        <color rgb="FFFFEB84"/>
        <color rgb="FFF8696B"/>
      </colorScale>
    </cfRule>
  </conditionalFormatting>
  <conditionalFormatting sqref="A166:A180 A393:A407">
    <cfRule type="colorScale" priority="52">
      <colorScale>
        <cfvo type="min"/>
        <cfvo type="percentile" val="50"/>
        <cfvo type="max"/>
        <color rgb="FF63BE7B"/>
        <color rgb="FFFFEB84"/>
        <color rgb="FFF8696B"/>
      </colorScale>
    </cfRule>
  </conditionalFormatting>
  <conditionalFormatting sqref="A183:A185 A410:A412">
    <cfRule type="colorScale" priority="53">
      <colorScale>
        <cfvo type="min"/>
        <cfvo type="percentile" val="50"/>
        <cfvo type="max"/>
        <color rgb="FF63BE7B"/>
        <color rgb="FFFFEB84"/>
        <color rgb="FFF8696B"/>
      </colorScale>
    </cfRule>
  </conditionalFormatting>
  <conditionalFormatting sqref="A201:A203 A428:A430">
    <cfRule type="colorScale" priority="54">
      <colorScale>
        <cfvo type="min"/>
        <cfvo type="percentile" val="50"/>
        <cfvo type="max"/>
        <color rgb="FF63BE7B"/>
        <color rgb="FFFFEB84"/>
        <color rgb="FFF8696B"/>
      </colorScale>
    </cfRule>
  </conditionalFormatting>
  <conditionalFormatting sqref="A208:A210 A435:A437">
    <cfRule type="colorScale" priority="55">
      <colorScale>
        <cfvo type="min"/>
        <cfvo type="percentile" val="50"/>
        <cfvo type="max"/>
        <color rgb="FF63BE7B"/>
        <color rgb="FFFFEB84"/>
        <color rgb="FFF8696B"/>
      </colorScale>
    </cfRule>
  </conditionalFormatting>
  <conditionalFormatting sqref="A211:A224 A438:A451">
    <cfRule type="colorScale" priority="56">
      <colorScale>
        <cfvo type="min"/>
        <cfvo type="percentile" val="50"/>
        <cfvo type="max"/>
        <color rgb="FF63BE7B"/>
        <color rgb="FFFFEB84"/>
        <color rgb="FFF8696B"/>
      </colorScale>
    </cfRule>
  </conditionalFormatting>
  <conditionalFormatting sqref="J10:L224 J237:L451">
    <cfRule type="cellIs" dxfId="8" priority="57" operator="equal">
      <formula>0</formula>
    </cfRule>
  </conditionalFormatting>
  <conditionalFormatting sqref="C149:C164">
    <cfRule type="notContainsBlanks" dxfId="10" priority="58">
      <formula>LEN(TRIM(C149))&gt;0</formula>
    </cfRule>
  </conditionalFormatting>
  <dataValidations>
    <dataValidation type="list" allowBlank="1" sqref="C12:C14 C87 C137 C152 C154 C169 C171 C204 C206 C241 C243 C256 C258 C275 C277 C294 C296 C312 C314 C328 C330 C345 C347 C362 C364 C379 C381 C396 C398 C413 C415 C431 C433">
      <formula1>"I-ACTIVE,MAP,KCL 60%,05-37-00,10-46-00 + S,08-42-00,SSP 21,03-15-07 +14%CO,URÉIA,SULFATO DE AMÔNIO,BOROGRAN,SUPER DUO,08-40-00 - 100M,AURUS 500,00-01-00+Cu2 Mn8 Zn7"</formula1>
    </dataValidation>
    <dataValidation type="list" allowBlank="1" sqref="C183">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formula1>
    </dataValidation>
    <dataValidation type="list" allowBlank="1" sqref="C26:C27 C45 C47:C48 C82:C83">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type="custom" allowBlank="1" showDropDown="1" sqref="G10:L224 G237:L451">
      <formula1>AND(ISNUMBER(G10),(NOT(OR(NOT(ISERROR(DATEVALUE(G10))), AND(ISNUMBER(G10), LEFT(CELL("format", G10))="D")))))</formula1>
    </dataValidation>
    <dataValidation type="list" allowBlank="1" sqref="C28 C49 C103 C121 C135 C151">
      <formula1>"RUMBA,ASSIST,MEES,AUREO,JOINT ULTRA,ADGREEN,ENERGIC,EXTRAVON,OCHIMA"</formula1>
    </dataValidation>
    <dataValidation type="list" allowBlank="1" sqref="C68:C69">
      <formula1>"ENDOFUSE,ENDOMAXX,RIZOLIQ LLI,PROVILAR,REVERB,ARVATICO,VERANGO PRIME,FIPRONIL NORTOX MAX,MAXIM ADVANCED,MAXIM XL,VICTRATO,SPECTRO,STANDAK TOP,CRUISER ADVANCED,PLUST,SOMBRERO,CROPSTAR,DERMACOR,OPTERASEED,AVICTA 500 FS,CRUISER 350 FS,FORTENZA 600 FS,ILEVO,P"&amp;"ERMIT STAR"</formula1>
    </dataValidation>
    <dataValidation type="list" allowBlank="1" sqref="C33 C46 C52 C71 C89 C105 C139 C156 C166 C173 C190 C202 C208 C245 C254 C260 C273 C279 C292 C298 C310 C316 C326 C332 C343 C349 C360 C366 C377 C383 C394 C400 C411 C417 C429 C435">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type="list" allowBlank="1" sqref="C17:C18">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formula1>
    </dataValidation>
    <dataValidation type="list" allowBlank="1" sqref="C29 C50 C100:C102 C118:C120 C122 C134">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type="list" allowBlank="1" sqref="C20:C24 C43 C62 C80 C98 C247:C251 C270 C289 C307">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type="list" allowBlank="1" sqref="C19">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formula1>
    </dataValidation>
    <dataValidation type="list" allowBlank="1" sqref="C70 C88 C104 C138 C155 C172 C207 C244 C259 C278 C297 C315 C331 C348 C365 C382 C399 C416 C434">
      <formula1>"CALCÁRIO DOLOMITICO,GESSO AGRICOLA"</formula1>
    </dataValidation>
    <dataValidation type="list" allowBlank="1" sqref="C64 C86 C136 C153 C170 C205 C242 C257 C272 C276 C291 C295 C309 C313 C325 C329 C342 C346 C359 C363 C376 C380 C393 C397 C410 C414 C432">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type="list" allowBlank="1" sqref="C31 C85 C167">
      <formula1>"RUMBA,ASSIST,MEES,AUREO EC,JOINT ULTRA,ENERGIC,EXTRAVON,OCHIMA,STRIDES"</formula1>
    </dataValidation>
    <dataValidation type="list" allowBlank="1" sqref="C84 C99 C115:C117 C132:C133 C149:C150">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type="list" allowBlank="1" showErrorMessage="1" sqref="B10:B224 B237:B451">
      <formula1>#REF!</formula1>
    </dataValidation>
    <dataValidation type="list" allowBlank="1" sqref="C65:C66 C168 C203 C240 C255 C274 C293 C311 C327 C344 C361 C378 C395 C412 C430">
      <formula1>"SOMBRERO,STANDAK TOP,CROPSTAR,DERMACOR,PERMIT STAR,PRESENCE FULL,PLUST,CRUISER 350 FS,CRUISER ADVANCED,FORTENZA 600 FS,MAXIM ADVANCED,MAXIM XL,SPECTRO,BIOZYME,NIMAXXA,VITAVAX-THIRAM 200 SC"</formula1>
    </dataValidation>
    <dataValidation type="list" allowBlank="1" sqref="C184:C189">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formula1>
    </dataValidation>
    <dataValidation type="list" allowBlank="1" sqref="C34 C53:C54 C59 C72:C73 C90:C91 C96 C106:C107 C112 C123:C124 C129 C140:C141 C146 C157:C158 C163 C174:C175 C180 C191:C192 C197 C209:C210 C215 C246 C253 C261:C262 C267 C280:C281 C286 C299:C300 C317:C318 C323 C333:C334 C339 C350:C351 C356 C367:C368 C373 C384:C385 C390 C401:C402 C407 C418:C419 C424 C436:C437 C442">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display="ÁREA PLANTIO" location="'ÁREA PLANTIO'!A1" ref="F1"/>
    <hyperlink display="ÁREA PLANTIO" location="'ÁREA PLANTIO'!A1" ref="F227"/>
  </hyperlinks>
  <printOptions/>
  <pageMargins bottom="0.787401575" footer="0.0" header="0.0" left="0.511811024" right="0.511811024" top="0.787401575"/>
  <pageSetup orientation="landscape"/>
  <drawing r:id="rId1"/>
  <tableParts count="2">
    <tablePart r:id="rId4"/>
    <tablePart r:id="rId5"/>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13.88"/>
    <col customWidth="1" min="2" max="2" width="22.75"/>
    <col customWidth="1" min="3" max="3" width="33.63"/>
    <col customWidth="1" min="4" max="4" width="40.25"/>
    <col customWidth="1" min="5" max="5" width="20.13"/>
    <col customWidth="1" min="6" max="6" width="13.13"/>
    <col customWidth="1" min="7" max="7" width="13.75"/>
    <col customWidth="1" min="8" max="9" width="10.38"/>
    <col customWidth="1" min="10" max="10" width="14.0"/>
    <col customWidth="1" min="11" max="23" width="14.38"/>
  </cols>
  <sheetData>
    <row r="1" ht="15.75" customHeight="1">
      <c r="A1" s="260" t="s">
        <v>1203</v>
      </c>
      <c r="B1" s="261" t="str">
        <f>'ÁREA PLANTIO'!B11</f>
        <v>P200</v>
      </c>
      <c r="C1" s="262" t="s">
        <v>1166</v>
      </c>
      <c r="D1" s="263">
        <f>$K$225</f>
        <v>1833.152189</v>
      </c>
      <c r="E1" s="264"/>
      <c r="F1" s="265" t="s">
        <v>1167</v>
      </c>
      <c r="G1" s="266"/>
      <c r="H1" s="267"/>
      <c r="I1" s="267"/>
      <c r="J1" s="267"/>
      <c r="K1" s="266"/>
      <c r="L1" s="220"/>
      <c r="M1" s="220"/>
      <c r="N1" s="220"/>
      <c r="O1" s="220"/>
      <c r="P1" s="220"/>
      <c r="Q1" s="220"/>
      <c r="R1" s="220"/>
      <c r="S1" s="220"/>
      <c r="T1" s="220"/>
      <c r="U1" s="220"/>
      <c r="V1" s="220"/>
      <c r="W1" s="220"/>
    </row>
    <row r="2" ht="15.75" customHeight="1">
      <c r="A2" s="260" t="s">
        <v>1168</v>
      </c>
      <c r="B2" s="268">
        <f>'ÁREA PLANTIO'!E11</f>
        <v>200</v>
      </c>
      <c r="C2" s="269" t="s">
        <v>1169</v>
      </c>
      <c r="D2" s="270">
        <f>'ÁREA PLANTIO'!D11</f>
        <v>70</v>
      </c>
      <c r="E2" s="264"/>
      <c r="F2" s="264"/>
      <c r="G2" s="266"/>
      <c r="H2" s="267"/>
      <c r="I2" s="267"/>
      <c r="J2" s="267"/>
      <c r="K2" s="266"/>
      <c r="L2" s="220"/>
      <c r="M2" s="220"/>
      <c r="N2" s="220"/>
      <c r="O2" s="220"/>
      <c r="P2" s="220"/>
      <c r="Q2" s="220"/>
      <c r="R2" s="220"/>
      <c r="S2" s="220"/>
      <c r="T2" s="220"/>
      <c r="U2" s="220"/>
      <c r="V2" s="220"/>
      <c r="W2" s="220"/>
    </row>
    <row r="3" ht="15.75" customHeight="1">
      <c r="A3" s="260" t="s">
        <v>1170</v>
      </c>
      <c r="B3" s="267" t="str">
        <f>'ÁREA PLANTIO'!C11</f>
        <v>FA-SOJA-IRRIGADO-26/27</v>
      </c>
      <c r="C3" s="269" t="s">
        <v>1171</v>
      </c>
      <c r="D3" s="271">
        <f>D1/D2</f>
        <v>26.18788841</v>
      </c>
      <c r="E3" s="264"/>
      <c r="F3" s="264"/>
      <c r="G3" s="266"/>
      <c r="H3" s="267"/>
      <c r="I3" s="267"/>
      <c r="J3" s="267"/>
      <c r="K3" s="266"/>
      <c r="L3" s="220"/>
      <c r="M3" s="220"/>
      <c r="N3" s="220"/>
      <c r="O3" s="220"/>
      <c r="P3" s="220"/>
      <c r="Q3" s="220"/>
      <c r="R3" s="220"/>
      <c r="S3" s="220"/>
      <c r="T3" s="220"/>
      <c r="U3" s="220"/>
      <c r="V3" s="220"/>
      <c r="W3" s="220"/>
    </row>
    <row r="4" ht="15.75" customHeight="1">
      <c r="A4" s="272" t="s">
        <v>1172</v>
      </c>
      <c r="B4" s="273">
        <v>45606.0</v>
      </c>
      <c r="C4" s="274"/>
      <c r="D4" s="275"/>
      <c r="E4" s="276"/>
      <c r="F4" s="264"/>
      <c r="G4" s="266"/>
      <c r="H4" s="267"/>
      <c r="I4" s="267"/>
      <c r="J4" s="267"/>
      <c r="K4" s="266"/>
      <c r="L4" s="220"/>
      <c r="M4" s="220"/>
      <c r="N4" s="220"/>
      <c r="O4" s="220"/>
      <c r="P4" s="220"/>
      <c r="Q4" s="220"/>
      <c r="R4" s="220"/>
      <c r="S4" s="220"/>
      <c r="T4" s="220"/>
      <c r="U4" s="220"/>
      <c r="V4" s="220"/>
      <c r="W4" s="220"/>
    </row>
    <row r="5" ht="15.75" customHeight="1">
      <c r="E5" s="277"/>
      <c r="F5" s="264"/>
      <c r="G5" s="266"/>
      <c r="H5" s="267"/>
      <c r="I5" s="267"/>
      <c r="J5" s="267"/>
      <c r="K5" s="266"/>
      <c r="L5" s="220"/>
      <c r="M5" s="220"/>
      <c r="N5" s="220"/>
      <c r="O5" s="220"/>
      <c r="P5" s="220"/>
      <c r="Q5" s="220"/>
      <c r="R5" s="220"/>
      <c r="S5" s="220"/>
      <c r="T5" s="220"/>
      <c r="U5" s="220"/>
      <c r="V5" s="220"/>
      <c r="W5" s="220"/>
    </row>
    <row r="6" ht="15.75" customHeight="1">
      <c r="A6" s="260"/>
      <c r="B6" s="267"/>
      <c r="C6" s="264"/>
      <c r="D6" s="264"/>
      <c r="E6" s="264"/>
      <c r="F6" s="264"/>
      <c r="G6" s="266"/>
      <c r="H6" s="267"/>
      <c r="I6" s="267"/>
      <c r="J6" s="267"/>
      <c r="K6" s="266"/>
      <c r="L6" s="220"/>
      <c r="M6" s="220"/>
      <c r="N6" s="220"/>
      <c r="O6" s="220"/>
      <c r="P6" s="220"/>
      <c r="Q6" s="220"/>
      <c r="R6" s="220"/>
      <c r="S6" s="220"/>
      <c r="T6" s="220"/>
      <c r="U6" s="220"/>
      <c r="V6" s="220"/>
      <c r="W6" s="220"/>
    </row>
    <row r="7" ht="15.75" customHeight="1">
      <c r="A7" s="267"/>
      <c r="B7" s="267"/>
      <c r="C7" s="264"/>
      <c r="D7" s="264"/>
      <c r="E7" s="264"/>
      <c r="F7" s="264"/>
      <c r="G7" s="266"/>
      <c r="H7" s="267"/>
      <c r="I7" s="267"/>
      <c r="J7" s="267"/>
      <c r="K7" s="266"/>
      <c r="L7" s="220"/>
      <c r="M7" s="220"/>
      <c r="N7" s="220"/>
      <c r="O7" s="220"/>
      <c r="P7" s="220"/>
      <c r="Q7" s="220"/>
      <c r="R7" s="220"/>
      <c r="S7" s="220"/>
      <c r="T7" s="220"/>
      <c r="U7" s="220"/>
      <c r="V7" s="220"/>
      <c r="W7" s="220"/>
    </row>
    <row r="8" ht="15.75" customHeight="1">
      <c r="A8" s="267"/>
      <c r="B8" s="267"/>
      <c r="C8" s="267"/>
      <c r="D8" s="267"/>
      <c r="E8" s="264"/>
      <c r="F8" s="264"/>
      <c r="G8" s="266"/>
      <c r="H8" s="267"/>
      <c r="I8" s="267"/>
      <c r="J8" s="267"/>
      <c r="K8" s="266"/>
      <c r="L8" s="220"/>
      <c r="M8" s="220"/>
      <c r="N8" s="220"/>
      <c r="O8" s="220"/>
      <c r="P8" s="220"/>
      <c r="Q8" s="220"/>
      <c r="R8" s="220"/>
      <c r="S8" s="220"/>
      <c r="T8" s="220"/>
      <c r="U8" s="220"/>
      <c r="V8" s="220"/>
      <c r="W8" s="220"/>
    </row>
    <row r="9" ht="15.75" customHeight="1">
      <c r="A9" s="211" t="s">
        <v>1173</v>
      </c>
      <c r="B9" s="213" t="s">
        <v>1174</v>
      </c>
      <c r="C9" s="213" t="s">
        <v>1175</v>
      </c>
      <c r="D9" s="211" t="s">
        <v>1176</v>
      </c>
      <c r="E9" s="211" t="s">
        <v>1177</v>
      </c>
      <c r="F9" s="211" t="s">
        <v>1178</v>
      </c>
      <c r="G9" s="278" t="s">
        <v>1179</v>
      </c>
      <c r="H9" s="278" t="s">
        <v>1180</v>
      </c>
      <c r="I9" s="278" t="s">
        <v>1181</v>
      </c>
      <c r="J9" s="279" t="s">
        <v>1134</v>
      </c>
      <c r="K9" s="280" t="s">
        <v>1182</v>
      </c>
      <c r="L9" s="281" t="s">
        <v>339</v>
      </c>
      <c r="M9" s="220"/>
      <c r="N9" s="220"/>
      <c r="O9" s="220"/>
      <c r="P9" s="220"/>
      <c r="Q9" s="220"/>
      <c r="R9" s="220"/>
      <c r="S9" s="220"/>
      <c r="T9" s="220"/>
      <c r="U9" s="220"/>
      <c r="V9" s="220"/>
      <c r="W9" s="220"/>
    </row>
    <row r="10" ht="15.75" customHeight="1">
      <c r="A10" s="231" t="s">
        <v>1183</v>
      </c>
      <c r="B10" s="230"/>
      <c r="C10" s="231"/>
      <c r="D10" s="232" t="s">
        <v>216</v>
      </c>
      <c r="E10" s="231"/>
      <c r="F10" s="231"/>
      <c r="G10" s="233"/>
      <c r="H10" s="282"/>
      <c r="I10" s="258"/>
      <c r="J10" s="236"/>
      <c r="K10" s="237">
        <f t="shared" ref="K10:L10" si="1">SUBTOTAL(9,K11:K24)</f>
        <v>0</v>
      </c>
      <c r="L10" s="237">
        <f t="shared" si="1"/>
        <v>0</v>
      </c>
      <c r="M10" s="220"/>
      <c r="N10" s="220"/>
      <c r="O10" s="220"/>
      <c r="P10" s="220"/>
      <c r="Q10" s="220"/>
      <c r="R10" s="220"/>
      <c r="S10" s="220"/>
      <c r="T10" s="220"/>
      <c r="U10" s="220"/>
      <c r="V10" s="220"/>
      <c r="W10" s="220"/>
    </row>
    <row r="11" outlineLevel="1">
      <c r="A11" s="213"/>
      <c r="B11" s="212" t="s">
        <v>8</v>
      </c>
      <c r="C11" s="213" t="s">
        <v>397</v>
      </c>
      <c r="D11" s="214" t="str">
        <f>IFERROR(VLOOKUP($C11,'PORTIFÓLIO'!C:V,2,0),"")</f>
        <v>CaO 38%  MgO 18%</v>
      </c>
      <c r="E11" s="211" t="str">
        <f>IFERROR(VLOOKUP($C11,'PORTIFÓLIO'!C:V,3,0),"")</f>
        <v/>
      </c>
      <c r="F11" s="211" t="str">
        <f>IFERROR(VLOOKUP($C11,'PORTIFÓLIO'!C:V,4,0),"")</f>
        <v>Ton</v>
      </c>
      <c r="G11" s="215" t="str">
        <f>IFERROR(VLOOKUP($C11,'PORTIFÓLIO'!C:V,5,0),"")</f>
        <v/>
      </c>
      <c r="H11" s="254" t="str">
        <f t="array" ref="H11">IFERROR(INDEX('PORTIFÓLIO'!$H$4:$H$433,MATCH($C11,'PORTIFÓLIO'!$C$4:$C$433,0)),"")</f>
        <v/>
      </c>
      <c r="I11" s="255">
        <v>3.0</v>
      </c>
      <c r="J11" s="218">
        <f t="shared" ref="J11:J24" si="2">I11*$B$2</f>
        <v>600</v>
      </c>
      <c r="K11" s="219">
        <f t="array" ref="K11">IFERROR(I11*INDEX('PORTIFÓLIO'!$S$4:$S$433,MATCH($C11,'PORTIFÓLIO'!$C$4:$C$433,0)),"")</f>
        <v>0</v>
      </c>
      <c r="L11" s="219">
        <f t="array" ref="L11">IFERROR(J11*INDEX('PORTIFÓLIO'!$S$4:$S$433,MATCH($C11,'PORTIFÓLIO'!$C$4:$C$433,0)),"")</f>
        <v>0</v>
      </c>
      <c r="M11" s="220"/>
      <c r="N11" s="220"/>
      <c r="O11" s="220"/>
      <c r="P11" s="220"/>
      <c r="Q11" s="220"/>
      <c r="R11" s="220"/>
      <c r="S11" s="220"/>
      <c r="T11" s="220"/>
      <c r="U11" s="220" t="str">
        <f>IFERROR(__xludf.DUMMYFUNCTION("FILTER('PORTIFÓLIO'!C:C, 'PORTIFÓLIO'!B:B=B11)"),"#REF!")</f>
        <v>#REF!</v>
      </c>
      <c r="V11" s="220"/>
      <c r="W11" s="220"/>
    </row>
    <row r="12" outlineLevel="1">
      <c r="A12" s="213"/>
      <c r="B12" s="212" t="s">
        <v>7</v>
      </c>
      <c r="C12" s="213" t="s">
        <v>423</v>
      </c>
      <c r="D12" s="214" t="str">
        <f>IFERROR(VLOOKUP($C12,'PORTIFÓLIO'!C:V,2,0),"")</f>
        <v>P2O5 14%</v>
      </c>
      <c r="E12" s="211" t="str">
        <f>IFERROR(VLOOKUP($C12,'PORTIFÓLIO'!C:V,3,0),"")</f>
        <v/>
      </c>
      <c r="F12" s="211" t="str">
        <f>IFERROR(VLOOKUP($C12,'PORTIFÓLIO'!C:V,4,0),"")</f>
        <v>Ton</v>
      </c>
      <c r="G12" s="215" t="str">
        <f>IFERROR(VLOOKUP($C12,'PORTIFÓLIO'!C:V,5,0),"")</f>
        <v/>
      </c>
      <c r="H12" s="254" t="str">
        <f t="array" ref="H12">IFERROR(INDEX('PORTIFÓLIO'!$H$4:$H$433,MATCH($C12,'PORTIFÓLIO'!$C$4:$C$433,0)),"")</f>
        <v/>
      </c>
      <c r="I12" s="255">
        <v>0.5</v>
      </c>
      <c r="J12" s="218">
        <f t="shared" si="2"/>
        <v>100</v>
      </c>
      <c r="K12" s="219">
        <f t="array" ref="K12">IFERROR(I12*INDEX('PORTIFÓLIO'!$S$4:$S$433,MATCH($C12,'PORTIFÓLIO'!$C$4:$C$433,0)),"")</f>
        <v>0</v>
      </c>
      <c r="L12" s="219">
        <f t="array" ref="L12">IFERROR(J12*INDEX('PORTIFÓLIO'!$S$4:$S$433,MATCH($C12,'PORTIFÓLIO'!$C$4:$C$433,0)),"")</f>
        <v>0</v>
      </c>
      <c r="M12" s="220"/>
      <c r="N12" s="220"/>
      <c r="O12" s="220"/>
      <c r="P12" s="220"/>
      <c r="Q12" s="220"/>
      <c r="R12" s="220"/>
      <c r="S12" s="220"/>
      <c r="T12" s="220"/>
      <c r="U12" s="220" t="str">
        <f>IFERROR(__xludf.DUMMYFUNCTION("FILTER('PORTIFÓLIO'!C:C, 'PORTIFÓLIO'!B:B=B12)"),"#REF!")</f>
        <v>#REF!</v>
      </c>
      <c r="V12" s="220"/>
      <c r="W12" s="220"/>
    </row>
    <row r="13" outlineLevel="1">
      <c r="A13" s="213"/>
      <c r="B13" s="212" t="s">
        <v>7</v>
      </c>
      <c r="C13" s="213" t="s">
        <v>405</v>
      </c>
      <c r="D13" s="214" t="str">
        <f>IFERROR(VLOOKUP($C13,'PORTIFÓLIO'!C:V,2,0),"")</f>
        <v>K2O 60%</v>
      </c>
      <c r="E13" s="211" t="str">
        <f>IFERROR(VLOOKUP($C13,'PORTIFÓLIO'!C:V,3,0),"")</f>
        <v/>
      </c>
      <c r="F13" s="211" t="str">
        <f>IFERROR(VLOOKUP($C13,'PORTIFÓLIO'!C:V,4,0),"")</f>
        <v>Ton</v>
      </c>
      <c r="G13" s="215" t="str">
        <f>IFERROR(VLOOKUP($C13,'PORTIFÓLIO'!C:V,5,0),"")</f>
        <v/>
      </c>
      <c r="H13" s="254" t="str">
        <f t="array" ref="H13">IFERROR(INDEX('PORTIFÓLIO'!$H$4:$H$433,MATCH($C13,'PORTIFÓLIO'!$C$4:$C$433,0)),"")</f>
        <v/>
      </c>
      <c r="I13" s="255">
        <v>0.2</v>
      </c>
      <c r="J13" s="218">
        <f t="shared" si="2"/>
        <v>40</v>
      </c>
      <c r="K13" s="219">
        <f t="array" ref="K13">IFERROR(I13*INDEX('PORTIFÓLIO'!$S$4:$S$433,MATCH($C13,'PORTIFÓLIO'!$C$4:$C$433,0)),"")</f>
        <v>0</v>
      </c>
      <c r="L13" s="219">
        <f t="array" ref="L13">IFERROR(J13*INDEX('PORTIFÓLIO'!$S$4:$S$433,MATCH($C13,'PORTIFÓLIO'!$C$4:$C$433,0)),"")</f>
        <v>0</v>
      </c>
      <c r="M13" s="220"/>
      <c r="N13" s="220"/>
      <c r="O13" s="220"/>
      <c r="P13" s="220"/>
      <c r="Q13" s="220"/>
      <c r="R13" s="220"/>
      <c r="S13" s="220"/>
      <c r="T13" s="220"/>
      <c r="U13" s="220" t="str">
        <f>IFERROR(__xludf.DUMMYFUNCTION("FILTER('PORTIFÓLIO'!C:C, 'PORTIFÓLIO'!B:B=B13)"),"#REF!")</f>
        <v>#REF!</v>
      </c>
      <c r="V13" s="220"/>
      <c r="W13" s="220"/>
    </row>
    <row r="14" outlineLevel="1">
      <c r="A14" s="211"/>
      <c r="B14" s="212" t="s">
        <v>7</v>
      </c>
      <c r="C14" s="213" t="s">
        <v>429</v>
      </c>
      <c r="D14" s="214" t="str">
        <f>IFERROR(VLOOKUP($C14,'PORTIFÓLIO'!C:V,2,0),"")</f>
        <v>Cu 2% Mn 8% Zn 7% </v>
      </c>
      <c r="E14" s="211" t="str">
        <f>IFERROR(VLOOKUP($C14,'PORTIFÓLIO'!C:V,3,0),"")</f>
        <v/>
      </c>
      <c r="F14" s="211" t="str">
        <f>IFERROR(VLOOKUP($C14,'PORTIFÓLIO'!C:V,4,0),"")</f>
        <v>Ton</v>
      </c>
      <c r="G14" s="215" t="str">
        <f>IFERROR(VLOOKUP($C14,'PORTIFÓLIO'!C:V,5,0),"")</f>
        <v/>
      </c>
      <c r="H14" s="254" t="str">
        <f t="array" ref="H14">IFERROR(INDEX('PORTIFÓLIO'!$H$4:$H$433,MATCH($C14,'PORTIFÓLIO'!$C$4:$C$433,0)),"")</f>
        <v/>
      </c>
      <c r="I14" s="255">
        <v>0.05</v>
      </c>
      <c r="J14" s="218">
        <f t="shared" si="2"/>
        <v>10</v>
      </c>
      <c r="K14" s="219">
        <f t="array" ref="K14">IFERROR(I14*INDEX('PORTIFÓLIO'!$S$4:$S$433,MATCH($C14,'PORTIFÓLIO'!$C$4:$C$433,0)),"")</f>
        <v>0</v>
      </c>
      <c r="L14" s="219">
        <f t="array" ref="L14">IFERROR(J14*INDEX('PORTIFÓLIO'!$S$4:$S$433,MATCH($C14,'PORTIFÓLIO'!$C$4:$C$433,0)),"")</f>
        <v>0</v>
      </c>
      <c r="M14" s="220"/>
      <c r="N14" s="220"/>
      <c r="O14" s="220"/>
      <c r="P14" s="220"/>
      <c r="Q14" s="220"/>
      <c r="R14" s="220"/>
      <c r="S14" s="220"/>
      <c r="T14" s="220"/>
      <c r="U14" s="220" t="str">
        <f>IFERROR(__xludf.DUMMYFUNCTION("FILTER('PORTIFÓLIO'!C:C, 'PORTIFÓLIO'!B:B=B14)"),"#REF!")</f>
        <v>#REF!</v>
      </c>
      <c r="V14" s="220"/>
      <c r="W14" s="220"/>
    </row>
    <row r="15" outlineLevel="1">
      <c r="A15" s="211"/>
      <c r="B15" s="212"/>
      <c r="C15" s="213"/>
      <c r="D15" s="214" t="str">
        <f>IFERROR(VLOOKUP($C15,'PORTIFÓLIO'!C:V,2,0),"")</f>
        <v/>
      </c>
      <c r="E15" s="211" t="str">
        <f>IFERROR(VLOOKUP($C15,'PORTIFÓLIO'!C:V,3,0),"")</f>
        <v/>
      </c>
      <c r="F15" s="211" t="str">
        <f>IFERROR(VLOOKUP($C15,'PORTIFÓLIO'!C:V,4,0),"")</f>
        <v/>
      </c>
      <c r="G15" s="215" t="str">
        <f>IFERROR(VLOOKUP($C15,'PORTIFÓLIO'!C:V,5,0),"")</f>
        <v/>
      </c>
      <c r="H15" s="254" t="str">
        <f t="array" ref="H15">IFERROR(INDEX('PORTIFÓLIO'!$H$4:$H$433,MATCH($C15,'PORTIFÓLIO'!$C$4:$C$433,0)),"")</f>
        <v/>
      </c>
      <c r="I15" s="255"/>
      <c r="J15" s="218">
        <f t="shared" si="2"/>
        <v>0</v>
      </c>
      <c r="K15" s="219" t="str">
        <f t="array" ref="K15">IFERROR(I15*INDEX('PORTIFÓLIO'!$S$4:$S$433,MATCH($C15,'PORTIFÓLIO'!$C$4:$C$433,0)),"")</f>
        <v/>
      </c>
      <c r="L15" s="219" t="str">
        <f t="array" ref="L15">IFERROR(J15*INDEX('PORTIFÓLIO'!$S$4:$S$433,MATCH($C15,'PORTIFÓLIO'!$C$4:$C$433,0)),"")</f>
        <v/>
      </c>
      <c r="M15" s="220"/>
      <c r="N15" s="220"/>
      <c r="O15" s="220"/>
      <c r="P15" s="220"/>
      <c r="Q15" s="220"/>
      <c r="R15" s="220"/>
      <c r="S15" s="220"/>
      <c r="T15" s="220"/>
      <c r="U15" s="220" t="str">
        <f>IFERROR(__xludf.DUMMYFUNCTION("FILTER('PORTIFÓLIO'!C:C, 'PORTIFÓLIO'!B:B=B15)"),"#REF!")</f>
        <v>#REF!</v>
      </c>
      <c r="V15" s="220"/>
      <c r="W15" s="220"/>
    </row>
    <row r="16" outlineLevel="1">
      <c r="A16" s="211"/>
      <c r="B16" s="212"/>
      <c r="C16" s="213"/>
      <c r="D16" s="214" t="str">
        <f>IFERROR(VLOOKUP($C16,'PORTIFÓLIO'!C:V,2,0),"")</f>
        <v/>
      </c>
      <c r="E16" s="211" t="str">
        <f>IFERROR(VLOOKUP($C16,'PORTIFÓLIO'!C:V,3,0),"")</f>
        <v/>
      </c>
      <c r="F16" s="211" t="str">
        <f>IFERROR(VLOOKUP($C16,'PORTIFÓLIO'!C:V,4,0),"")</f>
        <v/>
      </c>
      <c r="G16" s="215" t="str">
        <f>IFERROR(VLOOKUP($C16,'PORTIFÓLIO'!C:V,5,0),"")</f>
        <v/>
      </c>
      <c r="H16" s="254" t="str">
        <f t="array" ref="H16">IFERROR(INDEX('PORTIFÓLIO'!$H$4:$H$433,MATCH($C16,'PORTIFÓLIO'!$C$4:$C$433,0)),"")</f>
        <v/>
      </c>
      <c r="I16" s="255"/>
      <c r="J16" s="218">
        <f t="shared" si="2"/>
        <v>0</v>
      </c>
      <c r="K16" s="219" t="str">
        <f t="array" ref="K16">IFERROR(I16*INDEX('PORTIFÓLIO'!$S$4:$S$433,MATCH($C16,'PORTIFÓLIO'!$C$4:$C$433,0)),"")</f>
        <v/>
      </c>
      <c r="L16" s="219" t="str">
        <f t="array" ref="L16">IFERROR(J16*INDEX('PORTIFÓLIO'!$S$4:$S$433,MATCH($C16,'PORTIFÓLIO'!$C$4:$C$433,0)),"")</f>
        <v/>
      </c>
      <c r="M16" s="220"/>
      <c r="N16" s="220"/>
      <c r="O16" s="220"/>
      <c r="P16" s="220"/>
      <c r="Q16" s="220"/>
      <c r="R16" s="220"/>
      <c r="S16" s="220"/>
      <c r="T16" s="220"/>
      <c r="U16" s="220" t="str">
        <f>IFERROR(__xludf.DUMMYFUNCTION("FILTER('PORTIFÓLIO'!C:C, 'PORTIFÓLIO'!B:B=B16)"),"#REF!")</f>
        <v>#REF!</v>
      </c>
      <c r="V16" s="220"/>
      <c r="W16" s="220"/>
    </row>
    <row r="17" outlineLevel="1">
      <c r="A17" s="211"/>
      <c r="B17" s="212"/>
      <c r="C17" s="213"/>
      <c r="D17" s="214" t="str">
        <f>IFERROR(VLOOKUP($C17,'PORTIFÓLIO'!C:V,2,0),"")</f>
        <v/>
      </c>
      <c r="E17" s="211" t="str">
        <f>IFERROR(VLOOKUP($C17,'PORTIFÓLIO'!C:V,3,0),"")</f>
        <v/>
      </c>
      <c r="F17" s="211" t="str">
        <f>IFERROR(VLOOKUP($C17,'PORTIFÓLIO'!C:V,4,0),"")</f>
        <v/>
      </c>
      <c r="G17" s="215" t="str">
        <f>IFERROR(VLOOKUP($C17,'PORTIFÓLIO'!C:V,5,0),"")</f>
        <v/>
      </c>
      <c r="H17" s="254" t="str">
        <f t="array" ref="H17">IFERROR(INDEX('PORTIFÓLIO'!$H$4:$H$433,MATCH($C17,'PORTIFÓLIO'!$C$4:$C$433,0)),"")</f>
        <v/>
      </c>
      <c r="I17" s="255"/>
      <c r="J17" s="218">
        <f t="shared" si="2"/>
        <v>0</v>
      </c>
      <c r="K17" s="219" t="str">
        <f t="array" ref="K17">IFERROR(I17*INDEX('PORTIFÓLIO'!$S$4:$S$433,MATCH($C17,'PORTIFÓLIO'!$C$4:$C$433,0)),"")</f>
        <v/>
      </c>
      <c r="L17" s="219" t="str">
        <f t="array" ref="L17">IFERROR(J17*INDEX('PORTIFÓLIO'!$S$4:$S$433,MATCH($C17,'PORTIFÓLIO'!$C$4:$C$433,0)),"")</f>
        <v/>
      </c>
      <c r="M17" s="220"/>
      <c r="N17" s="220"/>
      <c r="O17" s="220"/>
      <c r="P17" s="220"/>
      <c r="Q17" s="220"/>
      <c r="R17" s="220"/>
      <c r="S17" s="220"/>
      <c r="T17" s="220"/>
      <c r="U17" s="220" t="str">
        <f>IFERROR(__xludf.DUMMYFUNCTION("FILTER('PORTIFÓLIO'!C:C, 'PORTIFÓLIO'!B:B=B17)"),"#REF!")</f>
        <v>#REF!</v>
      </c>
      <c r="V17" s="220"/>
      <c r="W17" s="220"/>
    </row>
    <row r="18" outlineLevel="1">
      <c r="A18" s="211"/>
      <c r="B18" s="212"/>
      <c r="C18" s="213"/>
      <c r="D18" s="214" t="str">
        <f>IFERROR(VLOOKUP($C18,'PORTIFÓLIO'!C:V,2,0),"")</f>
        <v/>
      </c>
      <c r="E18" s="211" t="str">
        <f>IFERROR(VLOOKUP($C18,'PORTIFÓLIO'!C:V,3,0),"")</f>
        <v/>
      </c>
      <c r="F18" s="211" t="str">
        <f>IFERROR(VLOOKUP($C18,'PORTIFÓLIO'!C:V,4,0),"")</f>
        <v/>
      </c>
      <c r="G18" s="215" t="str">
        <f>IFERROR(VLOOKUP($C18,'PORTIFÓLIO'!C:V,5,0),"")</f>
        <v/>
      </c>
      <c r="H18" s="254" t="str">
        <f t="array" ref="H18">IFERROR(INDEX('PORTIFÓLIO'!$H$4:$H$433,MATCH($C18,'PORTIFÓLIO'!$C$4:$C$433,0)),"")</f>
        <v/>
      </c>
      <c r="I18" s="255"/>
      <c r="J18" s="218">
        <f t="shared" si="2"/>
        <v>0</v>
      </c>
      <c r="K18" s="219" t="str">
        <f t="array" ref="K18">IFERROR(I18*INDEX('PORTIFÓLIO'!$S$4:$S$433,MATCH($C18,'PORTIFÓLIO'!$C$4:$C$433,0)),"")</f>
        <v/>
      </c>
      <c r="L18" s="219" t="str">
        <f t="array" ref="L18">IFERROR(J18*INDEX('PORTIFÓLIO'!$S$4:$S$433,MATCH($C18,'PORTIFÓLIO'!$C$4:$C$433,0)),"")</f>
        <v/>
      </c>
      <c r="M18" s="220"/>
      <c r="N18" s="220"/>
      <c r="O18" s="220"/>
      <c r="P18" s="220"/>
      <c r="Q18" s="220"/>
      <c r="R18" s="220"/>
      <c r="S18" s="220"/>
      <c r="T18" s="220"/>
      <c r="U18" s="220" t="str">
        <f>IFERROR(__xludf.DUMMYFUNCTION("FILTER('PORTIFÓLIO'!C:C, 'PORTIFÓLIO'!B:B=B18)"),"#REF!")</f>
        <v>#REF!</v>
      </c>
      <c r="V18" s="220"/>
      <c r="W18" s="220"/>
    </row>
    <row r="19" outlineLevel="1">
      <c r="A19" s="211"/>
      <c r="B19" s="212"/>
      <c r="C19" s="213"/>
      <c r="D19" s="214" t="str">
        <f>IFERROR(VLOOKUP($C19,'PORTIFÓLIO'!C:V,2,0),"")</f>
        <v/>
      </c>
      <c r="E19" s="211" t="str">
        <f>IFERROR(VLOOKUP($C19,'PORTIFÓLIO'!C:V,3,0),"")</f>
        <v/>
      </c>
      <c r="F19" s="211" t="str">
        <f>IFERROR(VLOOKUP($C19,'PORTIFÓLIO'!C:V,4,0),"")</f>
        <v/>
      </c>
      <c r="G19" s="215" t="str">
        <f>IFERROR(VLOOKUP($C19,'PORTIFÓLIO'!C:V,5,0),"")</f>
        <v/>
      </c>
      <c r="H19" s="254" t="str">
        <f t="array" ref="H19">IFERROR(INDEX('PORTIFÓLIO'!$H$4:$H$433,MATCH($C19,'PORTIFÓLIO'!$C$4:$C$433,0)),"")</f>
        <v/>
      </c>
      <c r="I19" s="255"/>
      <c r="J19" s="218">
        <f t="shared" si="2"/>
        <v>0</v>
      </c>
      <c r="K19" s="219" t="str">
        <f t="array" ref="K19">IFERROR(I19*INDEX('PORTIFÓLIO'!$S$4:$S$433,MATCH($C19,'PORTIFÓLIO'!$C$4:$C$433,0)),"")</f>
        <v/>
      </c>
      <c r="L19" s="219" t="str">
        <f t="array" ref="L19">IFERROR(J19*INDEX('PORTIFÓLIO'!$S$4:$S$433,MATCH($C19,'PORTIFÓLIO'!$C$4:$C$433,0)),"")</f>
        <v/>
      </c>
      <c r="M19" s="220"/>
      <c r="N19" s="220"/>
      <c r="O19" s="220"/>
      <c r="P19" s="220"/>
      <c r="Q19" s="220"/>
      <c r="R19" s="220"/>
      <c r="S19" s="220"/>
      <c r="T19" s="220"/>
      <c r="U19" s="220" t="str">
        <f>IFERROR(__xludf.DUMMYFUNCTION("FILTER('PORTIFÓLIO'!C:C, 'PORTIFÓLIO'!B:B=B19)"),"")</f>
        <v/>
      </c>
      <c r="V19" s="220"/>
      <c r="W19" s="220"/>
    </row>
    <row r="20" outlineLevel="1">
      <c r="A20" s="211"/>
      <c r="B20" s="212"/>
      <c r="C20" s="213"/>
      <c r="D20" s="214" t="str">
        <f>IFERROR(VLOOKUP($C20,'PORTIFÓLIO'!C:V,2,0),"")</f>
        <v/>
      </c>
      <c r="E20" s="211" t="str">
        <f>IFERROR(VLOOKUP($C20,'PORTIFÓLIO'!C:V,3,0),"")</f>
        <v/>
      </c>
      <c r="F20" s="211" t="str">
        <f>IFERROR(VLOOKUP($C20,'PORTIFÓLIO'!C:V,4,0),"")</f>
        <v/>
      </c>
      <c r="G20" s="215" t="str">
        <f>IFERROR(VLOOKUP($C20,'PORTIFÓLIO'!C:V,5,0),"")</f>
        <v/>
      </c>
      <c r="H20" s="254" t="str">
        <f t="array" ref="H20">IFERROR(INDEX('PORTIFÓLIO'!$H$4:$H$433,MATCH($C20,'PORTIFÓLIO'!$C$4:$C$433,0)),"")</f>
        <v/>
      </c>
      <c r="I20" s="255"/>
      <c r="J20" s="218">
        <f t="shared" si="2"/>
        <v>0</v>
      </c>
      <c r="K20" s="219" t="str">
        <f t="array" ref="K20">IFERROR(I20*INDEX('PORTIFÓLIO'!$S$4:$S$433,MATCH($C20,'PORTIFÓLIO'!$C$4:$C$433,0)),"")</f>
        <v/>
      </c>
      <c r="L20" s="219" t="str">
        <f t="array" ref="L20">IFERROR(J20*INDEX('PORTIFÓLIO'!$S$4:$S$433,MATCH($C20,'PORTIFÓLIO'!$C$4:$C$433,0)),"")</f>
        <v/>
      </c>
      <c r="M20" s="220"/>
      <c r="N20" s="220"/>
      <c r="O20" s="220"/>
      <c r="P20" s="220"/>
      <c r="Q20" s="220"/>
      <c r="R20" s="220"/>
      <c r="S20" s="220"/>
      <c r="T20" s="220"/>
      <c r="U20" s="220"/>
      <c r="V20" s="220"/>
      <c r="W20" s="220"/>
    </row>
    <row r="21" ht="15.75" customHeight="1" outlineLevel="1">
      <c r="A21" s="211"/>
      <c r="B21" s="212"/>
      <c r="C21" s="213"/>
      <c r="D21" s="214" t="str">
        <f>IFERROR(VLOOKUP($C21,'PORTIFÓLIO'!C:V,2,0),"")</f>
        <v/>
      </c>
      <c r="E21" s="211" t="str">
        <f>IFERROR(VLOOKUP($C21,'PORTIFÓLIO'!C:V,3,0),"")</f>
        <v/>
      </c>
      <c r="F21" s="211" t="str">
        <f>IFERROR(VLOOKUP($C21,'PORTIFÓLIO'!C:V,4,0),"")</f>
        <v/>
      </c>
      <c r="G21" s="215" t="str">
        <f>IFERROR(VLOOKUP($C21,'PORTIFÓLIO'!C:V,5,0),"")</f>
        <v/>
      </c>
      <c r="H21" s="254" t="str">
        <f t="array" ref="H21">IFERROR(INDEX('PORTIFÓLIO'!$H$4:$H$433,MATCH($C21,'PORTIFÓLIO'!$C$4:$C$433,0)),"")</f>
        <v/>
      </c>
      <c r="I21" s="255"/>
      <c r="J21" s="218">
        <f t="shared" si="2"/>
        <v>0</v>
      </c>
      <c r="K21" s="219" t="str">
        <f t="array" ref="K21">IFERROR(I21*INDEX('PORTIFÓLIO'!$S$4:$S$433,MATCH($C21,'PORTIFÓLIO'!$C$4:$C$433,0)),"")</f>
        <v/>
      </c>
      <c r="L21" s="219" t="str">
        <f t="array" ref="L21">IFERROR(J21*INDEX('PORTIFÓLIO'!$S$4:$S$433,MATCH($C21,'PORTIFÓLIO'!$C$4:$C$433,0)),"")</f>
        <v/>
      </c>
      <c r="M21" s="220"/>
      <c r="N21" s="220"/>
      <c r="O21" s="220"/>
      <c r="P21" s="220"/>
      <c r="Q21" s="220"/>
      <c r="R21" s="220"/>
      <c r="S21" s="220"/>
      <c r="T21" s="220"/>
      <c r="U21" s="220"/>
      <c r="V21" s="220"/>
      <c r="W21" s="220"/>
    </row>
    <row r="22" ht="15.75" customHeight="1" outlineLevel="1">
      <c r="A22" s="211"/>
      <c r="B22" s="212"/>
      <c r="C22" s="213"/>
      <c r="D22" s="214" t="str">
        <f>IFERROR(VLOOKUP($C22,'PORTIFÓLIO'!C:V,2,0),"")</f>
        <v/>
      </c>
      <c r="E22" s="211" t="str">
        <f>IFERROR(VLOOKUP($C22,'PORTIFÓLIO'!C:V,3,0),"")</f>
        <v/>
      </c>
      <c r="F22" s="211" t="str">
        <f>IFERROR(VLOOKUP($C22,'PORTIFÓLIO'!C:V,4,0),"")</f>
        <v/>
      </c>
      <c r="G22" s="215" t="str">
        <f>IFERROR(VLOOKUP($C22,'PORTIFÓLIO'!C:V,5,0),"")</f>
        <v/>
      </c>
      <c r="H22" s="254" t="str">
        <f t="array" ref="H22">IFERROR(INDEX('PORTIFÓLIO'!$H$4:$H$433,MATCH($C22,'PORTIFÓLIO'!$C$4:$C$433,0)),"")</f>
        <v/>
      </c>
      <c r="I22" s="255"/>
      <c r="J22" s="218">
        <f t="shared" si="2"/>
        <v>0</v>
      </c>
      <c r="K22" s="219" t="str">
        <f t="array" ref="K22">IFERROR(I22*INDEX('PORTIFÓLIO'!$S$4:$S$433,MATCH($C22,'PORTIFÓLIO'!$C$4:$C$433,0)),"")</f>
        <v/>
      </c>
      <c r="L22" s="219" t="str">
        <f t="array" ref="L22">IFERROR(J22*INDEX('PORTIFÓLIO'!$S$4:$S$433,MATCH($C22,'PORTIFÓLIO'!$C$4:$C$433,0)),"")</f>
        <v/>
      </c>
      <c r="M22" s="220"/>
      <c r="N22" s="220"/>
      <c r="O22" s="220"/>
      <c r="P22" s="220"/>
      <c r="Q22" s="220"/>
      <c r="R22" s="220"/>
      <c r="S22" s="220"/>
      <c r="T22" s="220"/>
      <c r="U22" s="220"/>
      <c r="V22" s="220"/>
      <c r="W22" s="220"/>
    </row>
    <row r="23" ht="15.75" customHeight="1" outlineLevel="1">
      <c r="A23" s="211"/>
      <c r="B23" s="212"/>
      <c r="C23" s="213"/>
      <c r="D23" s="214" t="str">
        <f>IFERROR(VLOOKUP($C23,'PORTIFÓLIO'!C:V,2,0),"")</f>
        <v/>
      </c>
      <c r="E23" s="211" t="str">
        <f>IFERROR(VLOOKUP($C23,'PORTIFÓLIO'!C:V,3,0),"")</f>
        <v/>
      </c>
      <c r="F23" s="211" t="str">
        <f>IFERROR(VLOOKUP($C23,'PORTIFÓLIO'!C:V,4,0),"")</f>
        <v/>
      </c>
      <c r="G23" s="215" t="str">
        <f>IFERROR(VLOOKUP($C23,'PORTIFÓLIO'!C:V,5,0),"")</f>
        <v/>
      </c>
      <c r="H23" s="254" t="str">
        <f t="array" ref="H23">IFERROR(INDEX('PORTIFÓLIO'!$H$4:$H$433,MATCH($C23,'PORTIFÓLIO'!$C$4:$C$433,0)),"")</f>
        <v/>
      </c>
      <c r="I23" s="255"/>
      <c r="J23" s="218">
        <f t="shared" si="2"/>
        <v>0</v>
      </c>
      <c r="K23" s="219" t="str">
        <f t="array" ref="K23">IFERROR(I23*INDEX('PORTIFÓLIO'!$S$4:$S$433,MATCH($C23,'PORTIFÓLIO'!$C$4:$C$433,0)),"")</f>
        <v/>
      </c>
      <c r="L23" s="219" t="str">
        <f t="array" ref="L23">IFERROR(J23*INDEX('PORTIFÓLIO'!$S$4:$S$433,MATCH($C23,'PORTIFÓLIO'!$C$4:$C$433,0)),"")</f>
        <v/>
      </c>
      <c r="M23" s="220"/>
      <c r="N23" s="220"/>
      <c r="O23" s="220"/>
      <c r="P23" s="220"/>
      <c r="Q23" s="220"/>
      <c r="R23" s="220"/>
      <c r="S23" s="220"/>
      <c r="T23" s="220"/>
      <c r="U23" s="220"/>
      <c r="V23" s="220"/>
      <c r="W23" s="220"/>
    </row>
    <row r="24" ht="15.75" customHeight="1" outlineLevel="1">
      <c r="A24" s="211"/>
      <c r="B24" s="212"/>
      <c r="C24" s="213"/>
      <c r="D24" s="214" t="str">
        <f>IFERROR(VLOOKUP($C24,'PORTIFÓLIO'!C:V,2,0),"")</f>
        <v/>
      </c>
      <c r="E24" s="211" t="str">
        <f>IFERROR(VLOOKUP($C24,'PORTIFÓLIO'!C:V,3,0),"")</f>
        <v/>
      </c>
      <c r="F24" s="211" t="str">
        <f>IFERROR(VLOOKUP($C24,'PORTIFÓLIO'!C:V,4,0),"")</f>
        <v/>
      </c>
      <c r="G24" s="215" t="str">
        <f>IFERROR(VLOOKUP($C24,'PORTIFÓLIO'!C:V,5,0),"")</f>
        <v/>
      </c>
      <c r="H24" s="254" t="str">
        <f t="array" ref="H24">IFERROR(INDEX('PORTIFÓLIO'!$H$4:$H$433,MATCH($C24,'PORTIFÓLIO'!$C$4:$C$433,0)),"")</f>
        <v/>
      </c>
      <c r="I24" s="255"/>
      <c r="J24" s="218">
        <f t="shared" si="2"/>
        <v>0</v>
      </c>
      <c r="K24" s="219" t="str">
        <f t="array" ref="K24">IFERROR(I24*INDEX('PORTIFÓLIO'!$S$4:$S$433,MATCH($C24,'PORTIFÓLIO'!$C$4:$C$433,0)),"")</f>
        <v/>
      </c>
      <c r="L24" s="219" t="str">
        <f t="array" ref="L24">IFERROR(J24*INDEX('PORTIFÓLIO'!$S$4:$S$433,MATCH($C24,'PORTIFÓLIO'!$C$4:$C$433,0)),"")</f>
        <v/>
      </c>
      <c r="M24" s="220"/>
      <c r="N24" s="220"/>
      <c r="O24" s="220"/>
      <c r="P24" s="220"/>
      <c r="Q24" s="220"/>
      <c r="R24" s="220"/>
      <c r="S24" s="220"/>
      <c r="T24" s="220"/>
      <c r="U24" s="220"/>
      <c r="V24" s="220"/>
      <c r="W24" s="220"/>
    </row>
    <row r="25" ht="15.75" customHeight="1">
      <c r="A25" s="229" t="s">
        <v>1184</v>
      </c>
      <c r="B25" s="230"/>
      <c r="C25" s="231"/>
      <c r="D25" s="232"/>
      <c r="E25" s="231"/>
      <c r="F25" s="231"/>
      <c r="G25" s="233"/>
      <c r="H25" s="233"/>
      <c r="I25" s="258"/>
      <c r="J25" s="236"/>
      <c r="K25" s="237">
        <f t="shared" ref="K25:L25" si="3">SUBTOTAL(9,K26:K39)</f>
        <v>165.511043</v>
      </c>
      <c r="L25" s="237">
        <f t="shared" si="3"/>
        <v>33102.2086</v>
      </c>
      <c r="M25" s="220"/>
      <c r="N25" s="220"/>
      <c r="O25" s="220"/>
      <c r="P25" s="220"/>
      <c r="Q25" s="220"/>
      <c r="R25" s="220"/>
      <c r="S25" s="220"/>
      <c r="T25" s="220"/>
      <c r="U25" s="220"/>
      <c r="V25" s="220"/>
      <c r="W25" s="220"/>
    </row>
    <row r="26" ht="15.75" customHeight="1" outlineLevel="1">
      <c r="A26" s="213"/>
      <c r="B26" s="212" t="s">
        <v>1</v>
      </c>
      <c r="C26" s="213" t="s">
        <v>637</v>
      </c>
      <c r="D26" s="214" t="str">
        <f>IFERROR(VLOOKUP($C26,'PORTIFÓLIO'!C:V,2,0),"")</f>
        <v>GLIFOSATO-SAL DE AMÔNIO</v>
      </c>
      <c r="E26" s="211">
        <f>IFERROR(VLOOKUP($C26,'PORTIFÓLIO'!C:V,3,0),"")</f>
        <v>720</v>
      </c>
      <c r="F26" s="211" t="str">
        <f>IFERROR(VLOOKUP($C26,'PORTIFÓLIO'!C:V,4,0),"")</f>
        <v>L</v>
      </c>
      <c r="G26" s="225" t="str">
        <f>IFERROR(VLOOKUP($C26,'PORTIFÓLIO'!C:V,5,0),"")</f>
        <v>📄 Ver bula</v>
      </c>
      <c r="H26" s="254">
        <f t="array" ref="H26">IFERROR(INDEX('PORTIFÓLIO'!$H$4:$H$433,MATCH($C26,'PORTIFÓLIO'!$C$4:$C$433,0)),"")</f>
        <v>2</v>
      </c>
      <c r="I26" s="255">
        <v>2.0</v>
      </c>
      <c r="J26" s="218">
        <f t="shared" ref="J26:J43" si="4">I26*$B$2</f>
        <v>400</v>
      </c>
      <c r="K26" s="219">
        <f t="array" ref="K26">IFERROR(I26*INDEX('PORTIFÓLIO'!$S$4:$S$433,MATCH($C26,'PORTIFÓLIO'!$C$4:$C$433,0)),"")</f>
        <v>49.16</v>
      </c>
      <c r="L26" s="219">
        <f t="array" ref="L26">IFERROR(J26*INDEX('PORTIFÓLIO'!$S$4:$S$433,MATCH($C26,'PORTIFÓLIO'!$C$4:$C$433,0)),"")</f>
        <v>9832</v>
      </c>
      <c r="M26" s="220"/>
      <c r="N26" s="220"/>
      <c r="O26" s="220"/>
      <c r="P26" s="220"/>
      <c r="Q26" s="220"/>
      <c r="R26" s="220"/>
      <c r="S26" s="220"/>
      <c r="T26" s="220"/>
      <c r="U26" s="220"/>
      <c r="V26" s="220"/>
      <c r="W26" s="220"/>
    </row>
    <row r="27" ht="15.75" customHeight="1" outlineLevel="1">
      <c r="A27" s="211"/>
      <c r="B27" s="212" t="s">
        <v>1</v>
      </c>
      <c r="C27" s="213" t="s">
        <v>610</v>
      </c>
      <c r="D27" s="214" t="str">
        <f>IFERROR(VLOOKUP($C27,'PORTIFÓLIO'!C:V,2,0),"")</f>
        <v>CLETODIM + FLUROXIPIR-MEPTÍLICO</v>
      </c>
      <c r="E27" s="211" t="str">
        <f>IFERROR(VLOOKUP($C27,'PORTIFÓLIO'!C:V,3,0),"")</f>
        <v>140 + 288</v>
      </c>
      <c r="F27" s="211" t="str">
        <f>IFERROR(VLOOKUP($C27,'PORTIFÓLIO'!C:V,4,0),"")</f>
        <v>L</v>
      </c>
      <c r="G27" s="225" t="str">
        <f>IFERROR(VLOOKUP($C27,'PORTIFÓLIO'!C:V,5,0),"")</f>
        <v>📄 Ver bula</v>
      </c>
      <c r="H27" s="254">
        <f t="array" ref="H27">IFERROR(INDEX('PORTIFÓLIO'!$H$4:$H$433,MATCH($C27,'PORTIFÓLIO'!$C$4:$C$433,0)),"")</f>
        <v>1</v>
      </c>
      <c r="I27" s="255">
        <v>0.95</v>
      </c>
      <c r="J27" s="218">
        <f t="shared" si="4"/>
        <v>190</v>
      </c>
      <c r="K27" s="219">
        <f t="array" ref="K27">IFERROR(I27*INDEX('PORTIFÓLIO'!$S$4:$S$433,MATCH($C27,'PORTIFÓLIO'!$C$4:$C$433,0)),"")</f>
        <v>57.046493</v>
      </c>
      <c r="L27" s="219">
        <f t="array" ref="L27">IFERROR(J27*INDEX('PORTIFÓLIO'!$S$4:$S$433,MATCH($C27,'PORTIFÓLIO'!$C$4:$C$433,0)),"")</f>
        <v>11409.2986</v>
      </c>
      <c r="M27" s="220"/>
      <c r="N27" s="220"/>
      <c r="O27" s="220"/>
      <c r="P27" s="220"/>
      <c r="Q27" s="220"/>
      <c r="R27" s="220"/>
      <c r="S27" s="220"/>
      <c r="T27" s="220"/>
      <c r="U27" s="220"/>
      <c r="V27" s="220"/>
      <c r="W27" s="220"/>
    </row>
    <row r="28" ht="15.75" customHeight="1" outlineLevel="1">
      <c r="A28" s="211"/>
      <c r="B28" s="212" t="s">
        <v>6</v>
      </c>
      <c r="C28" s="213" t="s">
        <v>354</v>
      </c>
      <c r="D28" s="214" t="str">
        <f>IFERROR(VLOOKUP($C28,'PORTIFÓLIO'!C:V,2,0),"")</f>
        <v>OLEO MINERAL</v>
      </c>
      <c r="E28" s="211">
        <f>IFERROR(VLOOKUP($C28,'PORTIFÓLIO'!C:V,3,0),"")</f>
        <v>761</v>
      </c>
      <c r="F28" s="211" t="str">
        <f>IFERROR(VLOOKUP($C28,'PORTIFÓLIO'!C:V,4,0),"")</f>
        <v>L</v>
      </c>
      <c r="G28" s="225" t="str">
        <f>IFERROR(VLOOKUP($C28,'PORTIFÓLIO'!C:V,5,0),"")</f>
        <v>📄 Ver bula</v>
      </c>
      <c r="H28" s="254">
        <f t="array" ref="H28">IFERROR(INDEX('PORTIFÓLIO'!$H$4:$H$433,MATCH($C28,'PORTIFÓLIO'!$C$4:$C$433,0)),"")</f>
        <v>0.2</v>
      </c>
      <c r="I28" s="255">
        <v>0.2</v>
      </c>
      <c r="J28" s="218">
        <f t="shared" si="4"/>
        <v>40</v>
      </c>
      <c r="K28" s="219">
        <f t="array" ref="K28">IFERROR(I28*INDEX('PORTIFÓLIO'!$S$4:$S$433,MATCH($C28,'PORTIFÓLIO'!$C$4:$C$433,0)),"")</f>
        <v>3.206</v>
      </c>
      <c r="L28" s="219">
        <f t="array" ref="L28">IFERROR(J28*INDEX('PORTIFÓLIO'!$S$4:$S$433,MATCH($C28,'PORTIFÓLIO'!$C$4:$C$433,0)),"")</f>
        <v>641.2</v>
      </c>
      <c r="M28" s="220"/>
      <c r="N28" s="220"/>
      <c r="O28" s="220"/>
      <c r="P28" s="220"/>
      <c r="Q28" s="220"/>
      <c r="R28" s="220"/>
      <c r="S28" s="220"/>
      <c r="T28" s="220"/>
      <c r="U28" s="220"/>
      <c r="V28" s="220"/>
      <c r="W28" s="220"/>
    </row>
    <row r="29" ht="15.75" customHeight="1" outlineLevel="1">
      <c r="A29" s="211"/>
      <c r="B29" s="212" t="s">
        <v>2</v>
      </c>
      <c r="C29" s="213" t="s">
        <v>824</v>
      </c>
      <c r="D29" s="214" t="str">
        <f>IFERROR(VLOOKUP($C29,'PORTIFÓLIO'!C:V,2,0),"")</f>
        <v>CLORANTRANILIPROLE</v>
      </c>
      <c r="E29" s="211">
        <f>IFERROR(VLOOKUP($C29,'PORTIFÓLIO'!C:V,3,0),"")</f>
        <v>200</v>
      </c>
      <c r="F29" s="211" t="str">
        <f>IFERROR(VLOOKUP($C29,'PORTIFÓLIO'!C:V,4,0),"")</f>
        <v>L</v>
      </c>
      <c r="G29" s="225" t="str">
        <f>IFERROR(VLOOKUP($C29,'PORTIFÓLIO'!C:V,5,0),"")</f>
        <v>📄 Ver bula</v>
      </c>
      <c r="H29" s="254">
        <f t="array" ref="H29">IFERROR(INDEX('PORTIFÓLIO'!$H$4:$H$433,MATCH($C29,'PORTIFÓLIO'!$C$4:$C$433,0)),"")</f>
        <v>0.1</v>
      </c>
      <c r="I29" s="255">
        <v>0.04</v>
      </c>
      <c r="J29" s="218">
        <f t="shared" si="4"/>
        <v>8</v>
      </c>
      <c r="K29" s="219">
        <f t="array" ref="K29">IFERROR(I29*INDEX('PORTIFÓLIO'!$S$4:$S$433,MATCH($C29,'PORTIFÓLIO'!$C$4:$C$433,0)),"")</f>
        <v>11.31855</v>
      </c>
      <c r="L29" s="219">
        <f t="array" ref="L29">IFERROR(J29*INDEX('PORTIFÓLIO'!$S$4:$S$433,MATCH($C29,'PORTIFÓLIO'!$C$4:$C$433,0)),"")</f>
        <v>2263.71</v>
      </c>
      <c r="M29" s="220"/>
      <c r="N29" s="220"/>
      <c r="O29" s="220"/>
      <c r="P29" s="220"/>
      <c r="Q29" s="220"/>
      <c r="R29" s="220"/>
      <c r="S29" s="220"/>
      <c r="T29" s="220"/>
      <c r="U29" s="220"/>
      <c r="V29" s="220"/>
      <c r="W29" s="220"/>
    </row>
    <row r="30" ht="15.75" customHeight="1" outlineLevel="1">
      <c r="A30" s="211"/>
      <c r="B30" s="212" t="s">
        <v>9</v>
      </c>
      <c r="C30" s="213" t="s">
        <v>933</v>
      </c>
      <c r="D30" s="214" t="str">
        <f>IFERROR(VLOOKUP($C30,'PORTIFÓLIO'!C:V,2,0),"")</f>
        <v>N1%;B9,5%</v>
      </c>
      <c r="E30" s="211" t="str">
        <f>IFERROR(VLOOKUP($C30,'PORTIFÓLIO'!C:V,3,0),"")</f>
        <v>13,8g/l + 131,1g/l</v>
      </c>
      <c r="F30" s="211" t="str">
        <f>IFERROR(VLOOKUP($C30,'PORTIFÓLIO'!C:V,4,0),"")</f>
        <v>L</v>
      </c>
      <c r="G30" s="215" t="str">
        <f>IFERROR(VLOOKUP($C30,'PORTIFÓLIO'!C:V,5,0),"")</f>
        <v/>
      </c>
      <c r="H30" s="254">
        <f t="array" ref="H30">IFERROR(INDEX('PORTIFÓLIO'!$H$4:$H$433,MATCH($C30,'PORTIFÓLIO'!$C$4:$C$433,0)),"")</f>
        <v>2</v>
      </c>
      <c r="I30" s="255">
        <v>1.0</v>
      </c>
      <c r="J30" s="218">
        <f t="shared" si="4"/>
        <v>200</v>
      </c>
      <c r="K30" s="219">
        <f t="array" ref="K30">IFERROR(I30*INDEX('PORTIFÓLIO'!$S$4:$S$433,MATCH($C30,'PORTIFÓLIO'!$C$4:$C$433,0)),"")</f>
        <v>44.78</v>
      </c>
      <c r="L30" s="219">
        <f t="array" ref="L30">IFERROR(J30*INDEX('PORTIFÓLIO'!$S$4:$S$433,MATCH($C30,'PORTIFÓLIO'!$C$4:$C$433,0)),"")</f>
        <v>8956</v>
      </c>
      <c r="M30" s="220"/>
      <c r="N30" s="220"/>
      <c r="O30" s="220"/>
      <c r="P30" s="220"/>
      <c r="Q30" s="220"/>
      <c r="R30" s="220"/>
      <c r="S30" s="220"/>
      <c r="T30" s="220"/>
      <c r="U30" s="220"/>
      <c r="V30" s="220"/>
      <c r="W30" s="220"/>
    </row>
    <row r="31" ht="15.75" customHeight="1" outlineLevel="1">
      <c r="A31" s="211"/>
      <c r="B31" s="212"/>
      <c r="C31" s="213"/>
      <c r="D31" s="214" t="str">
        <f>IFERROR(VLOOKUP($C31,'PORTIFÓLIO'!C:V,2,0),"")</f>
        <v/>
      </c>
      <c r="E31" s="211" t="str">
        <f>IFERROR(VLOOKUP($C31,'PORTIFÓLIO'!C:V,3,0),"")</f>
        <v/>
      </c>
      <c r="F31" s="211" t="str">
        <f>IFERROR(VLOOKUP($C31,'PORTIFÓLIO'!C:V,4,0),"")</f>
        <v/>
      </c>
      <c r="G31" s="215" t="str">
        <f>IFERROR(VLOOKUP($C31,'PORTIFÓLIO'!C:V,5,0),"")</f>
        <v/>
      </c>
      <c r="H31" s="254" t="str">
        <f t="array" ref="H31">IFERROR(INDEX('PORTIFÓLIO'!$H$4:$H$433,MATCH($C31,'PORTIFÓLIO'!$C$4:$C$433,0)),"")</f>
        <v/>
      </c>
      <c r="I31" s="255"/>
      <c r="J31" s="218">
        <f t="shared" si="4"/>
        <v>0</v>
      </c>
      <c r="K31" s="219" t="str">
        <f t="array" ref="K31">IFERROR(I31*INDEX('PORTIFÓLIO'!$S$4:$S$433,MATCH($C31,'PORTIFÓLIO'!$C$4:$C$433,0)),"")</f>
        <v/>
      </c>
      <c r="L31" s="219" t="str">
        <f t="array" ref="L31">IFERROR(J31*INDEX('PORTIFÓLIO'!$S$4:$S$433,MATCH($C31,'PORTIFÓLIO'!$C$4:$C$433,0)),"")</f>
        <v/>
      </c>
      <c r="M31" s="220"/>
      <c r="N31" s="220"/>
      <c r="O31" s="220"/>
      <c r="P31" s="220"/>
      <c r="Q31" s="220"/>
      <c r="R31" s="220"/>
      <c r="S31" s="220"/>
      <c r="T31" s="220"/>
      <c r="U31" s="220"/>
      <c r="V31" s="220"/>
      <c r="W31" s="220"/>
    </row>
    <row r="32" ht="15.75" customHeight="1" outlineLevel="1">
      <c r="A32" s="211"/>
      <c r="B32" s="212"/>
      <c r="C32" s="213"/>
      <c r="D32" s="214" t="str">
        <f>IFERROR(VLOOKUP($C32,'PORTIFÓLIO'!C:V,2,0),"")</f>
        <v/>
      </c>
      <c r="E32" s="211" t="str">
        <f>IFERROR(VLOOKUP($C32,'PORTIFÓLIO'!C:V,3,0),"")</f>
        <v/>
      </c>
      <c r="F32" s="211" t="str">
        <f>IFERROR(VLOOKUP($C32,'PORTIFÓLIO'!C:V,4,0),"")</f>
        <v/>
      </c>
      <c r="G32" s="215" t="str">
        <f>IFERROR(VLOOKUP($C32,'PORTIFÓLIO'!C:V,5,0),"")</f>
        <v/>
      </c>
      <c r="H32" s="254" t="str">
        <f t="array" ref="H32">IFERROR(INDEX('PORTIFÓLIO'!$H$4:$H$433,MATCH($C32,'PORTIFÓLIO'!$C$4:$C$433,0)),"")</f>
        <v/>
      </c>
      <c r="I32" s="256"/>
      <c r="J32" s="218">
        <f t="shared" si="4"/>
        <v>0</v>
      </c>
      <c r="K32" s="219" t="str">
        <f t="array" ref="K32">IFERROR(I32*INDEX('PORTIFÓLIO'!$S$4:$S$433,MATCH($C32,'PORTIFÓLIO'!$C$4:$C$433,0)),"")</f>
        <v/>
      </c>
      <c r="L32" s="219" t="str">
        <f t="array" ref="L32">IFERROR(J32*INDEX('PORTIFÓLIO'!$S$4:$S$433,MATCH($C32,'PORTIFÓLIO'!$C$4:$C$433,0)),"")</f>
        <v/>
      </c>
      <c r="M32" s="220"/>
      <c r="N32" s="220"/>
      <c r="O32" s="220"/>
      <c r="P32" s="220"/>
      <c r="Q32" s="220"/>
      <c r="R32" s="220"/>
      <c r="S32" s="220"/>
      <c r="T32" s="220"/>
      <c r="U32" s="220"/>
      <c r="V32" s="220"/>
      <c r="W32" s="220"/>
    </row>
    <row r="33" ht="15.75" customHeight="1" outlineLevel="1">
      <c r="A33" s="211"/>
      <c r="B33" s="212"/>
      <c r="C33" s="213"/>
      <c r="D33" s="214" t="str">
        <f>IFERROR(VLOOKUP($C33,'PORTIFÓLIO'!C:V,2,0),"")</f>
        <v/>
      </c>
      <c r="E33" s="211" t="str">
        <f>IFERROR(VLOOKUP($C33,'PORTIFÓLIO'!C:V,3,0),"")</f>
        <v/>
      </c>
      <c r="F33" s="211" t="str">
        <f>IFERROR(VLOOKUP($C33,'PORTIFÓLIO'!C:V,4,0),"")</f>
        <v/>
      </c>
      <c r="G33" s="215" t="str">
        <f>IFERROR(VLOOKUP($C33,'PORTIFÓLIO'!C:V,5,0),"")</f>
        <v/>
      </c>
      <c r="H33" s="254" t="str">
        <f t="array" ref="H33">IFERROR(INDEX('PORTIFÓLIO'!$H$4:$H$433,MATCH($C33,'PORTIFÓLIO'!$C$4:$C$433,0)),"")</f>
        <v/>
      </c>
      <c r="I33" s="256"/>
      <c r="J33" s="218">
        <f t="shared" si="4"/>
        <v>0</v>
      </c>
      <c r="K33" s="219" t="str">
        <f t="array" ref="K33">IFERROR(I33*INDEX('PORTIFÓLIO'!$S$4:$S$433,MATCH($C33,'PORTIFÓLIO'!$C$4:$C$433,0)),"")</f>
        <v/>
      </c>
      <c r="L33" s="219" t="str">
        <f t="array" ref="L33">IFERROR(J33*INDEX('PORTIFÓLIO'!$S$4:$S$433,MATCH($C33,'PORTIFÓLIO'!$C$4:$C$433,0)),"")</f>
        <v/>
      </c>
      <c r="M33" s="220"/>
      <c r="N33" s="220"/>
      <c r="O33" s="220"/>
      <c r="P33" s="220"/>
      <c r="Q33" s="220"/>
      <c r="R33" s="220"/>
      <c r="S33" s="220"/>
      <c r="T33" s="220"/>
      <c r="U33" s="220"/>
      <c r="V33" s="220"/>
      <c r="W33" s="220"/>
    </row>
    <row r="34" ht="15.75" customHeight="1" outlineLevel="1">
      <c r="A34" s="211"/>
      <c r="B34" s="212"/>
      <c r="C34" s="213"/>
      <c r="D34" s="214" t="str">
        <f>IFERROR(VLOOKUP($C34,'PORTIFÓLIO'!C:V,2,0),"")</f>
        <v/>
      </c>
      <c r="E34" s="211" t="str">
        <f>IFERROR(VLOOKUP($C34,'PORTIFÓLIO'!C:V,3,0),"")</f>
        <v/>
      </c>
      <c r="F34" s="211" t="str">
        <f>IFERROR(VLOOKUP($C34,'PORTIFÓLIO'!C:V,4,0),"")</f>
        <v/>
      </c>
      <c r="G34" s="215" t="str">
        <f>IFERROR(VLOOKUP($C34,'PORTIFÓLIO'!C:V,5,0),"")</f>
        <v/>
      </c>
      <c r="H34" s="254" t="str">
        <f t="array" ref="H34">IFERROR(INDEX('PORTIFÓLIO'!$H$4:$H$433,MATCH($C34,'PORTIFÓLIO'!$C$4:$C$433,0)),"")</f>
        <v/>
      </c>
      <c r="I34" s="255"/>
      <c r="J34" s="218">
        <f t="shared" si="4"/>
        <v>0</v>
      </c>
      <c r="K34" s="219" t="str">
        <f t="array" ref="K34">IFERROR(I34*INDEX('PORTIFÓLIO'!$S$4:$S$433,MATCH($C34,'PORTIFÓLIO'!$C$4:$C$433,0)),"")</f>
        <v/>
      </c>
      <c r="L34" s="219" t="str">
        <f t="array" ref="L34">IFERROR(J34*INDEX('PORTIFÓLIO'!$S$4:$S$433,MATCH($C34,'PORTIFÓLIO'!$C$4:$C$433,0)),"")</f>
        <v/>
      </c>
      <c r="M34" s="220"/>
      <c r="N34" s="220"/>
      <c r="O34" s="220"/>
      <c r="P34" s="220"/>
      <c r="Q34" s="220"/>
      <c r="R34" s="220"/>
      <c r="S34" s="220"/>
      <c r="T34" s="220"/>
      <c r="U34" s="220"/>
      <c r="V34" s="220"/>
      <c r="W34" s="220"/>
    </row>
    <row r="35" ht="15.75" customHeight="1" outlineLevel="1">
      <c r="A35" s="211"/>
      <c r="B35" s="212"/>
      <c r="C35" s="213"/>
      <c r="D35" s="214" t="str">
        <f>IFERROR(VLOOKUP($C35,'PORTIFÓLIO'!C:V,2,0),"")</f>
        <v/>
      </c>
      <c r="E35" s="211" t="str">
        <f>IFERROR(VLOOKUP($C35,'PORTIFÓLIO'!C:V,3,0),"")</f>
        <v/>
      </c>
      <c r="F35" s="211" t="str">
        <f>IFERROR(VLOOKUP($C35,'PORTIFÓLIO'!C:V,4,0),"")</f>
        <v/>
      </c>
      <c r="G35" s="215" t="str">
        <f>IFERROR(VLOOKUP($C35,'PORTIFÓLIO'!C:V,5,0),"")</f>
        <v/>
      </c>
      <c r="H35" s="254" t="str">
        <f t="array" ref="H35">IFERROR(INDEX('PORTIFÓLIO'!$H$4:$H$433,MATCH($C35,'PORTIFÓLIO'!$C$4:$C$433,0)),"")</f>
        <v/>
      </c>
      <c r="I35" s="256"/>
      <c r="J35" s="218">
        <f t="shared" si="4"/>
        <v>0</v>
      </c>
      <c r="K35" s="219" t="str">
        <f t="array" ref="K35">IFERROR(I35*INDEX('PORTIFÓLIO'!$S$4:$S$433,MATCH($C35,'PORTIFÓLIO'!$C$4:$C$433,0)),"")</f>
        <v/>
      </c>
      <c r="L35" s="219" t="str">
        <f t="array" ref="L35">IFERROR(J35*INDEX('PORTIFÓLIO'!$S$4:$S$433,MATCH($C35,'PORTIFÓLIO'!$C$4:$C$433,0)),"")</f>
        <v/>
      </c>
      <c r="M35" s="220"/>
      <c r="N35" s="220"/>
      <c r="O35" s="220"/>
      <c r="P35" s="220"/>
      <c r="Q35" s="220"/>
      <c r="R35" s="220"/>
      <c r="S35" s="220"/>
      <c r="T35" s="220"/>
      <c r="U35" s="220"/>
      <c r="V35" s="220"/>
      <c r="W35" s="220"/>
    </row>
    <row r="36" ht="15.75" customHeight="1" outlineLevel="1">
      <c r="A36" s="211"/>
      <c r="B36" s="212"/>
      <c r="C36" s="213"/>
      <c r="D36" s="214" t="str">
        <f>IFERROR(VLOOKUP($C36,'PORTIFÓLIO'!C:V,2,0),"")</f>
        <v/>
      </c>
      <c r="E36" s="211" t="str">
        <f>IFERROR(VLOOKUP($C36,'PORTIFÓLIO'!C:V,3,0),"")</f>
        <v/>
      </c>
      <c r="F36" s="211" t="str">
        <f>IFERROR(VLOOKUP($C36,'PORTIFÓLIO'!C:V,4,0),"")</f>
        <v/>
      </c>
      <c r="G36" s="215" t="str">
        <f>IFERROR(VLOOKUP($C36,'PORTIFÓLIO'!C:V,5,0),"")</f>
        <v/>
      </c>
      <c r="H36" s="254" t="str">
        <f t="array" ref="H36">IFERROR(INDEX('PORTIFÓLIO'!$H$4:$H$433,MATCH($C36,'PORTIFÓLIO'!$C$4:$C$433,0)),"")</f>
        <v/>
      </c>
      <c r="I36" s="256"/>
      <c r="J36" s="218">
        <f t="shared" si="4"/>
        <v>0</v>
      </c>
      <c r="K36" s="219" t="str">
        <f t="array" ref="K36">IFERROR(I36*INDEX('PORTIFÓLIO'!$S$4:$S$433,MATCH($C36,'PORTIFÓLIO'!$C$4:$C$433,0)),"")</f>
        <v/>
      </c>
      <c r="L36" s="219" t="str">
        <f t="array" ref="L36">IFERROR(J36*INDEX('PORTIFÓLIO'!$S$4:$S$433,MATCH($C36,'PORTIFÓLIO'!$C$4:$C$433,0)),"")</f>
        <v/>
      </c>
      <c r="M36" s="220"/>
      <c r="N36" s="220"/>
      <c r="O36" s="220"/>
      <c r="P36" s="220"/>
      <c r="Q36" s="220"/>
      <c r="R36" s="220"/>
      <c r="S36" s="220"/>
      <c r="T36" s="220"/>
      <c r="U36" s="220"/>
      <c r="V36" s="220"/>
      <c r="W36" s="220"/>
    </row>
    <row r="37" ht="15.75" customHeight="1" outlineLevel="1">
      <c r="A37" s="211"/>
      <c r="B37" s="212"/>
      <c r="C37" s="213"/>
      <c r="D37" s="214" t="str">
        <f>IFERROR(VLOOKUP($C37,'PORTIFÓLIO'!C:V,2,0),"")</f>
        <v/>
      </c>
      <c r="E37" s="211" t="str">
        <f>IFERROR(VLOOKUP($C37,'PORTIFÓLIO'!C:V,3,0),"")</f>
        <v/>
      </c>
      <c r="F37" s="211" t="str">
        <f>IFERROR(VLOOKUP($C37,'PORTIFÓLIO'!C:V,4,0),"")</f>
        <v/>
      </c>
      <c r="G37" s="215" t="str">
        <f>IFERROR(VLOOKUP($C37,'PORTIFÓLIO'!C:V,5,0),"")</f>
        <v/>
      </c>
      <c r="H37" s="254" t="str">
        <f t="array" ref="H37">IFERROR(INDEX('PORTIFÓLIO'!$H$4:$H$433,MATCH($C37,'PORTIFÓLIO'!$C$4:$C$433,0)),"")</f>
        <v/>
      </c>
      <c r="I37" s="256"/>
      <c r="J37" s="218">
        <f t="shared" si="4"/>
        <v>0</v>
      </c>
      <c r="K37" s="219" t="str">
        <f t="array" ref="K37">IFERROR(I37*INDEX('PORTIFÓLIO'!$S$4:$S$433,MATCH($C37,'PORTIFÓLIO'!$C$4:$C$433,0)),"")</f>
        <v/>
      </c>
      <c r="L37" s="219" t="str">
        <f t="array" ref="L37">IFERROR(J37*INDEX('PORTIFÓLIO'!$S$4:$S$433,MATCH($C37,'PORTIFÓLIO'!$C$4:$C$433,0)),"")</f>
        <v/>
      </c>
      <c r="M37" s="220"/>
      <c r="N37" s="220"/>
      <c r="O37" s="220"/>
      <c r="P37" s="220"/>
      <c r="Q37" s="220"/>
      <c r="R37" s="220"/>
      <c r="S37" s="220"/>
      <c r="T37" s="220"/>
      <c r="U37" s="220"/>
      <c r="V37" s="220"/>
      <c r="W37" s="220"/>
    </row>
    <row r="38" ht="15.75" customHeight="1" outlineLevel="1">
      <c r="A38" s="211"/>
      <c r="B38" s="212"/>
      <c r="C38" s="213"/>
      <c r="D38" s="214" t="str">
        <f>IFERROR(VLOOKUP($C38,'PORTIFÓLIO'!C:V,2,0),"")</f>
        <v/>
      </c>
      <c r="E38" s="211" t="str">
        <f>IFERROR(VLOOKUP($C38,'PORTIFÓLIO'!C:V,3,0),"")</f>
        <v/>
      </c>
      <c r="F38" s="211" t="str">
        <f>IFERROR(VLOOKUP($C38,'PORTIFÓLIO'!C:V,4,0),"")</f>
        <v/>
      </c>
      <c r="G38" s="215" t="str">
        <f>IFERROR(VLOOKUP($C38,'PORTIFÓLIO'!C:V,5,0),"")</f>
        <v/>
      </c>
      <c r="H38" s="254" t="str">
        <f t="array" ref="H38">IFERROR(INDEX('PORTIFÓLIO'!$H$4:$H$433,MATCH($C38,'PORTIFÓLIO'!$C$4:$C$433,0)),"")</f>
        <v/>
      </c>
      <c r="I38" s="256"/>
      <c r="J38" s="218">
        <f t="shared" si="4"/>
        <v>0</v>
      </c>
      <c r="K38" s="219" t="str">
        <f t="array" ref="K38">IFERROR(I38*INDEX('PORTIFÓLIO'!$S$4:$S$433,MATCH($C38,'PORTIFÓLIO'!$C$4:$C$433,0)),"")</f>
        <v/>
      </c>
      <c r="L38" s="219" t="str">
        <f t="array" ref="L38">IFERROR(J38*INDEX('PORTIFÓLIO'!$S$4:$S$433,MATCH($C38,'PORTIFÓLIO'!$C$4:$C$433,0)),"")</f>
        <v/>
      </c>
      <c r="M38" s="220"/>
      <c r="N38" s="220"/>
      <c r="O38" s="220"/>
      <c r="P38" s="220"/>
      <c r="Q38" s="220"/>
      <c r="R38" s="220"/>
      <c r="S38" s="220"/>
      <c r="T38" s="220"/>
      <c r="U38" s="220"/>
      <c r="V38" s="220"/>
      <c r="W38" s="220"/>
    </row>
    <row r="39" ht="15.75" customHeight="1" outlineLevel="1">
      <c r="A39" s="211"/>
      <c r="B39" s="212"/>
      <c r="C39" s="213"/>
      <c r="D39" s="214" t="str">
        <f>IFERROR(VLOOKUP($C39,'PORTIFÓLIO'!C:V,2,0),"")</f>
        <v/>
      </c>
      <c r="E39" s="211" t="str">
        <f>IFERROR(VLOOKUP($C39,'PORTIFÓLIO'!C:V,3,0),"")</f>
        <v/>
      </c>
      <c r="F39" s="211" t="str">
        <f>IFERROR(VLOOKUP($C39,'PORTIFÓLIO'!C:V,4,0),"")</f>
        <v/>
      </c>
      <c r="G39" s="215" t="str">
        <f>IFERROR(VLOOKUP($C39,'PORTIFÓLIO'!C:V,5,0),"")</f>
        <v/>
      </c>
      <c r="H39" s="254" t="str">
        <f t="array" ref="H39">IFERROR(INDEX('PORTIFÓLIO'!$H$4:$H$433,MATCH($C39,'PORTIFÓLIO'!$C$4:$C$433,0)),"")</f>
        <v/>
      </c>
      <c r="I39" s="256"/>
      <c r="J39" s="218">
        <f t="shared" si="4"/>
        <v>0</v>
      </c>
      <c r="K39" s="219" t="str">
        <f t="array" ref="K39">IFERROR(I39*INDEX('PORTIFÓLIO'!$S$4:$S$433,MATCH($C39,'PORTIFÓLIO'!$C$4:$C$433,0)),"")</f>
        <v/>
      </c>
      <c r="L39" s="219" t="str">
        <f t="array" ref="L39">IFERROR(J39*INDEX('PORTIFÓLIO'!$S$4:$S$433,MATCH($C39,'PORTIFÓLIO'!$C$4:$C$433,0)),"")</f>
        <v/>
      </c>
      <c r="M39" s="220"/>
      <c r="N39" s="220"/>
      <c r="O39" s="220"/>
      <c r="P39" s="220"/>
      <c r="Q39" s="220"/>
      <c r="R39" s="220"/>
      <c r="S39" s="220"/>
      <c r="T39" s="220"/>
      <c r="U39" s="220"/>
      <c r="V39" s="220"/>
      <c r="W39" s="220"/>
    </row>
    <row r="40" ht="15.75" customHeight="1" outlineLevel="1">
      <c r="A40" s="211"/>
      <c r="B40" s="212"/>
      <c r="C40" s="213"/>
      <c r="D40" s="214" t="str">
        <f>IFERROR(VLOOKUP($C40,'PORTIFÓLIO'!C:V,2,0),"")</f>
        <v/>
      </c>
      <c r="E40" s="211" t="str">
        <f>IFERROR(VLOOKUP($C40,'PORTIFÓLIO'!C:V,3,0),"")</f>
        <v/>
      </c>
      <c r="F40" s="211" t="str">
        <f>IFERROR(VLOOKUP($C40,'PORTIFÓLIO'!C:V,4,0),"")</f>
        <v/>
      </c>
      <c r="G40" s="215" t="str">
        <f>IFERROR(VLOOKUP($C40,'PORTIFÓLIO'!C:V,5,0),"")</f>
        <v/>
      </c>
      <c r="H40" s="254" t="str">
        <f t="array" ref="H40">IFERROR(INDEX('PORTIFÓLIO'!$H$4:$H$433,MATCH($C40,'PORTIFÓLIO'!$C$4:$C$433,0)),"")</f>
        <v/>
      </c>
      <c r="I40" s="256"/>
      <c r="J40" s="218">
        <f t="shared" si="4"/>
        <v>0</v>
      </c>
      <c r="K40" s="219" t="str">
        <f t="array" ref="K40">IFERROR(I40*INDEX('PORTIFÓLIO'!$S$4:$S$433,MATCH($C40,'PORTIFÓLIO'!$C$4:$C$433,0)),"")</f>
        <v/>
      </c>
      <c r="L40" s="219" t="str">
        <f t="array" ref="L40">IFERROR(J40*INDEX('PORTIFÓLIO'!$S$4:$S$433,MATCH($C40,'PORTIFÓLIO'!$C$4:$C$433,0)),"")</f>
        <v/>
      </c>
      <c r="M40" s="220"/>
      <c r="N40" s="220"/>
      <c r="O40" s="220"/>
      <c r="P40" s="220"/>
      <c r="Q40" s="220"/>
      <c r="R40" s="220"/>
      <c r="S40" s="220"/>
      <c r="T40" s="220"/>
      <c r="U40" s="220"/>
      <c r="V40" s="220"/>
      <c r="W40" s="220"/>
    </row>
    <row r="41" ht="15.75" customHeight="1" outlineLevel="1">
      <c r="A41" s="211"/>
      <c r="B41" s="212"/>
      <c r="C41" s="213"/>
      <c r="D41" s="214" t="str">
        <f>IFERROR(VLOOKUP($C41,'PORTIFÓLIO'!C:V,2,0),"")</f>
        <v/>
      </c>
      <c r="E41" s="211" t="str">
        <f>IFERROR(VLOOKUP($C41,'PORTIFÓLIO'!C:V,3,0),"")</f>
        <v/>
      </c>
      <c r="F41" s="211" t="str">
        <f>IFERROR(VLOOKUP($C41,'PORTIFÓLIO'!C:V,4,0),"")</f>
        <v/>
      </c>
      <c r="G41" s="215" t="str">
        <f>IFERROR(VLOOKUP($C41,'PORTIFÓLIO'!C:V,5,0),"")</f>
        <v/>
      </c>
      <c r="H41" s="254" t="str">
        <f t="array" ref="H41">IFERROR(INDEX('PORTIFÓLIO'!$H$4:$H$433,MATCH($C41,'PORTIFÓLIO'!$C$4:$C$433,0)),"")</f>
        <v/>
      </c>
      <c r="I41" s="256"/>
      <c r="J41" s="218">
        <f t="shared" si="4"/>
        <v>0</v>
      </c>
      <c r="K41" s="219" t="str">
        <f t="array" ref="K41">IFERROR(I41*INDEX('PORTIFÓLIO'!$S$4:$S$433,MATCH($C41,'PORTIFÓLIO'!$C$4:$C$433,0)),"")</f>
        <v/>
      </c>
      <c r="L41" s="219" t="str">
        <f t="array" ref="L41">IFERROR(J41*INDEX('PORTIFÓLIO'!$S$4:$S$433,MATCH($C41,'PORTIFÓLIO'!$C$4:$C$433,0)),"")</f>
        <v/>
      </c>
      <c r="M41" s="220"/>
      <c r="N41" s="220"/>
      <c r="O41" s="220"/>
      <c r="P41" s="220"/>
      <c r="Q41" s="220"/>
      <c r="R41" s="220"/>
      <c r="S41" s="220"/>
      <c r="T41" s="220"/>
      <c r="U41" s="220"/>
      <c r="V41" s="220"/>
      <c r="W41" s="220"/>
    </row>
    <row r="42" ht="15.75" customHeight="1" outlineLevel="1">
      <c r="A42" s="211"/>
      <c r="B42" s="212"/>
      <c r="C42" s="213"/>
      <c r="D42" s="214" t="str">
        <f>IFERROR(VLOOKUP($C42,'PORTIFÓLIO'!C:V,2,0),"")</f>
        <v/>
      </c>
      <c r="E42" s="211" t="str">
        <f>IFERROR(VLOOKUP($C42,'PORTIFÓLIO'!C:V,3,0),"")</f>
        <v/>
      </c>
      <c r="F42" s="211" t="str">
        <f>IFERROR(VLOOKUP($C42,'PORTIFÓLIO'!C:V,4,0),"")</f>
        <v/>
      </c>
      <c r="G42" s="215" t="str">
        <f>IFERROR(VLOOKUP($C42,'PORTIFÓLIO'!C:V,5,0),"")</f>
        <v/>
      </c>
      <c r="H42" s="254" t="str">
        <f t="array" ref="H42">IFERROR(INDEX('PORTIFÓLIO'!$H$4:$H$433,MATCH($C42,'PORTIFÓLIO'!$C$4:$C$433,0)),"")</f>
        <v/>
      </c>
      <c r="I42" s="256"/>
      <c r="J42" s="218">
        <f t="shared" si="4"/>
        <v>0</v>
      </c>
      <c r="K42" s="219" t="str">
        <f t="array" ref="K42">IFERROR(I42*INDEX('PORTIFÓLIO'!$S$4:$S$433,MATCH($C42,'PORTIFÓLIO'!$C$4:$C$433,0)),"")</f>
        <v/>
      </c>
      <c r="L42" s="219" t="str">
        <f t="array" ref="L42">IFERROR(J42*INDEX('PORTIFÓLIO'!$S$4:$S$433,MATCH($C42,'PORTIFÓLIO'!$C$4:$C$433,0)),"")</f>
        <v/>
      </c>
      <c r="M42" s="220"/>
      <c r="N42" s="220"/>
      <c r="O42" s="220"/>
      <c r="P42" s="220"/>
      <c r="Q42" s="220"/>
      <c r="R42" s="220"/>
      <c r="S42" s="220"/>
      <c r="T42" s="220"/>
      <c r="U42" s="220"/>
      <c r="V42" s="220"/>
      <c r="W42" s="220"/>
    </row>
    <row r="43" ht="15.75" customHeight="1" outlineLevel="1">
      <c r="A43" s="211"/>
      <c r="B43" s="212"/>
      <c r="C43" s="213"/>
      <c r="D43" s="214" t="str">
        <f>IFERROR(VLOOKUP($C43,'PORTIFÓLIO'!C:V,2,0),"")</f>
        <v/>
      </c>
      <c r="E43" s="211" t="str">
        <f>IFERROR(VLOOKUP($C43,'PORTIFÓLIO'!C:V,3,0),"")</f>
        <v/>
      </c>
      <c r="F43" s="211" t="str">
        <f>IFERROR(VLOOKUP($C43,'PORTIFÓLIO'!C:V,4,0),"")</f>
        <v/>
      </c>
      <c r="G43" s="215" t="str">
        <f>IFERROR(VLOOKUP($C43,'PORTIFÓLIO'!C:V,5,0),"")</f>
        <v/>
      </c>
      <c r="H43" s="254" t="str">
        <f t="array" ref="H43">IFERROR(INDEX('PORTIFÓLIO'!$H$4:$H$433,MATCH($C43,'PORTIFÓLIO'!$C$4:$C$433,0)),"")</f>
        <v/>
      </c>
      <c r="I43" s="256"/>
      <c r="J43" s="218">
        <f t="shared" si="4"/>
        <v>0</v>
      </c>
      <c r="K43" s="219" t="str">
        <f t="array" ref="K43">IFERROR(I43*INDEX('PORTIFÓLIO'!$S$4:$S$433,MATCH($C43,'PORTIFÓLIO'!$C$4:$C$433,0)),"")</f>
        <v/>
      </c>
      <c r="L43" s="219" t="str">
        <f t="array" ref="L43">IFERROR(J43*INDEX('PORTIFÓLIO'!$S$4:$S$433,MATCH($C43,'PORTIFÓLIO'!$C$4:$C$433,0)),"")</f>
        <v/>
      </c>
      <c r="M43" s="220"/>
      <c r="N43" s="220"/>
      <c r="O43" s="220"/>
      <c r="P43" s="220"/>
      <c r="Q43" s="220"/>
      <c r="R43" s="220"/>
      <c r="S43" s="220"/>
      <c r="T43" s="220"/>
      <c r="U43" s="220"/>
      <c r="V43" s="220"/>
      <c r="W43" s="220"/>
    </row>
    <row r="44" ht="15.75" customHeight="1">
      <c r="A44" s="229" t="s">
        <v>1185</v>
      </c>
      <c r="B44" s="230"/>
      <c r="C44" s="231"/>
      <c r="D44" s="232" t="s">
        <v>216</v>
      </c>
      <c r="E44" s="231"/>
      <c r="F44" s="231"/>
      <c r="G44" s="233"/>
      <c r="H44" s="233"/>
      <c r="I44" s="258"/>
      <c r="J44" s="236"/>
      <c r="K44" s="237">
        <f t="shared" ref="K44:L44" si="5">SUBTOTAL(9,K45:K58)</f>
        <v>110.47258</v>
      </c>
      <c r="L44" s="237">
        <f t="shared" si="5"/>
        <v>22094.516</v>
      </c>
      <c r="M44" s="220"/>
      <c r="N44" s="220"/>
      <c r="O44" s="220"/>
      <c r="P44" s="220"/>
      <c r="Q44" s="220"/>
      <c r="R44" s="220"/>
      <c r="S44" s="220"/>
      <c r="T44" s="220"/>
      <c r="U44" s="220"/>
      <c r="V44" s="220"/>
      <c r="W44" s="220"/>
    </row>
    <row r="45" ht="15.75" customHeight="1" outlineLevel="1">
      <c r="A45" s="213"/>
      <c r="B45" s="212" t="s">
        <v>1</v>
      </c>
      <c r="C45" s="213" t="s">
        <v>683</v>
      </c>
      <c r="D45" s="214" t="str">
        <f>IFERROR(VLOOKUP($C45,'PORTIFÓLIO'!C:V,2,0),"")</f>
        <v>GLUFOSINATO - SAL DE AMONIO</v>
      </c>
      <c r="E45" s="211">
        <f>IFERROR(VLOOKUP($C45,'PORTIFÓLIO'!C:V,3,0),"")</f>
        <v>880</v>
      </c>
      <c r="F45" s="211" t="str">
        <f>IFERROR(VLOOKUP($C45,'PORTIFÓLIO'!C:V,4,0),"")</f>
        <v>L</v>
      </c>
      <c r="G45" s="225" t="str">
        <f>IFERROR(VLOOKUP($C45,'PORTIFÓLIO'!C:V,5,0),"")</f>
        <v>📄 Ver bula</v>
      </c>
      <c r="H45" s="254">
        <f t="array" ref="H45">IFERROR(INDEX('PORTIFÓLIO'!$H$4:$H$433,MATCH($C45,'PORTIFÓLIO'!$C$4:$C$433,0)),"")</f>
        <v>0.5</v>
      </c>
      <c r="I45" s="255">
        <v>0.5</v>
      </c>
      <c r="J45" s="218">
        <f t="shared" ref="J45:J62" si="6">I45*$B$2</f>
        <v>100</v>
      </c>
      <c r="K45" s="219">
        <f t="array" ref="K45">IFERROR(I45*INDEX('PORTIFÓLIO'!$S$4:$S$433,MATCH($C45,'PORTIFÓLIO'!$C$4:$C$433,0)),"")</f>
        <v>23.01917</v>
      </c>
      <c r="L45" s="219">
        <f t="array" ref="L45">IFERROR(J45*INDEX('PORTIFÓLIO'!$S$4:$S$433,MATCH($C45,'PORTIFÓLIO'!$C$4:$C$433,0)),"")</f>
        <v>4603.834</v>
      </c>
      <c r="M45" s="220"/>
      <c r="N45" s="220"/>
      <c r="O45" s="220"/>
      <c r="P45" s="220"/>
      <c r="Q45" s="220"/>
      <c r="R45" s="220"/>
      <c r="S45" s="220"/>
      <c r="T45" s="220"/>
      <c r="U45" s="220"/>
      <c r="V45" s="220"/>
      <c r="W45" s="220"/>
    </row>
    <row r="46" ht="15.75" customHeight="1" outlineLevel="1">
      <c r="A46" s="211"/>
      <c r="B46" s="212" t="s">
        <v>1</v>
      </c>
      <c r="C46" s="213" t="s">
        <v>693</v>
      </c>
      <c r="D46" s="214" t="str">
        <f>IFERROR(VLOOKUP($C46,'PORTIFÓLIO'!C:V,2,0),"")</f>
        <v>CLOMAZONA</v>
      </c>
      <c r="E46" s="211">
        <f>IFERROR(VLOOKUP($C46,'PORTIFÓLIO'!C:V,3,0),"")</f>
        <v>360</v>
      </c>
      <c r="F46" s="211" t="str">
        <f>IFERROR(VLOOKUP($C46,'PORTIFÓLIO'!C:V,4,0),"")</f>
        <v>L</v>
      </c>
      <c r="G46" s="225" t="str">
        <f>IFERROR(VLOOKUP($C46,'PORTIFÓLIO'!C:V,5,0),"")</f>
        <v>📄 Ver bula</v>
      </c>
      <c r="H46" s="254">
        <f t="array" ref="H46">IFERROR(INDEX('PORTIFÓLIO'!$H$4:$H$433,MATCH($C46,'PORTIFÓLIO'!$C$4:$C$433,0)),"")</f>
        <v>1</v>
      </c>
      <c r="I46" s="255">
        <v>1.0</v>
      </c>
      <c r="J46" s="218">
        <f t="shared" si="6"/>
        <v>200</v>
      </c>
      <c r="K46" s="219">
        <f t="array" ref="K46">IFERROR(I46*INDEX('PORTIFÓLIO'!$S$4:$S$433,MATCH($C46,'PORTIFÓLIO'!$C$4:$C$433,0)),"")</f>
        <v>43.80156</v>
      </c>
      <c r="L46" s="219">
        <f t="array" ref="L46">IFERROR(J46*INDEX('PORTIFÓLIO'!$S$4:$S$433,MATCH($C46,'PORTIFÓLIO'!$C$4:$C$433,0)),"")</f>
        <v>8760.312</v>
      </c>
      <c r="M46" s="220"/>
      <c r="N46" s="220"/>
      <c r="O46" s="220"/>
      <c r="P46" s="220"/>
      <c r="Q46" s="220"/>
      <c r="R46" s="220"/>
      <c r="S46" s="220"/>
      <c r="T46" s="220"/>
      <c r="U46" s="220"/>
      <c r="V46" s="220"/>
      <c r="W46" s="220"/>
    </row>
    <row r="47" ht="15.75" customHeight="1" outlineLevel="1">
      <c r="A47" s="211"/>
      <c r="B47" s="212" t="s">
        <v>1</v>
      </c>
      <c r="C47" s="213" t="s">
        <v>728</v>
      </c>
      <c r="D47" s="214" t="str">
        <f>IFERROR(VLOOKUP($C47,'PORTIFÓLIO'!C:V,2,0),"")</f>
        <v>S-METOLACLORO</v>
      </c>
      <c r="E47" s="211">
        <f>IFERROR(VLOOKUP($C47,'PORTIFÓLIO'!C:V,3,0),"")</f>
        <v>960</v>
      </c>
      <c r="F47" s="211" t="str">
        <f>IFERROR(VLOOKUP($C47,'PORTIFÓLIO'!C:V,4,0),"")</f>
        <v>KG</v>
      </c>
      <c r="G47" s="225" t="str">
        <f>IFERROR(VLOOKUP($C47,'PORTIFÓLIO'!C:V,5,0),"")</f>
        <v>📄 Ver bula</v>
      </c>
      <c r="H47" s="254">
        <f t="array" ref="H47">IFERROR(INDEX('PORTIFÓLIO'!$H$4:$H$433,MATCH($C47,'PORTIFÓLIO'!$C$4:$C$433,0)),"")</f>
        <v>2</v>
      </c>
      <c r="I47" s="255">
        <v>1.0</v>
      </c>
      <c r="J47" s="218">
        <f t="shared" si="6"/>
        <v>200</v>
      </c>
      <c r="K47" s="219">
        <f t="array" ref="K47">IFERROR(I47*INDEX('PORTIFÓLIO'!$S$4:$S$433,MATCH($C47,'PORTIFÓLIO'!$C$4:$C$433,0)),"")</f>
        <v>29.1273</v>
      </c>
      <c r="L47" s="219">
        <f t="array" ref="L47">IFERROR(J47*INDEX('PORTIFÓLIO'!$S$4:$S$433,MATCH($C47,'PORTIFÓLIO'!$C$4:$C$433,0)),"")</f>
        <v>5825.46</v>
      </c>
      <c r="M47" s="220"/>
      <c r="N47" s="220"/>
      <c r="O47" s="220"/>
      <c r="P47" s="220"/>
      <c r="Q47" s="220"/>
      <c r="R47" s="220"/>
      <c r="S47" s="220"/>
      <c r="T47" s="220"/>
      <c r="U47" s="220"/>
      <c r="V47" s="220"/>
      <c r="W47" s="220"/>
    </row>
    <row r="48" ht="15.75" customHeight="1" outlineLevel="1">
      <c r="A48" s="211"/>
      <c r="B48" s="212" t="s">
        <v>6</v>
      </c>
      <c r="C48" s="213" t="s">
        <v>354</v>
      </c>
      <c r="D48" s="214" t="str">
        <f>IFERROR(VLOOKUP($C48,'PORTIFÓLIO'!C:V,2,0),"")</f>
        <v>OLEO MINERAL</v>
      </c>
      <c r="E48" s="211">
        <f>IFERROR(VLOOKUP($C48,'PORTIFÓLIO'!C:V,3,0),"")</f>
        <v>761</v>
      </c>
      <c r="F48" s="211" t="str">
        <f>IFERROR(VLOOKUP($C48,'PORTIFÓLIO'!C:V,4,0),"")</f>
        <v>L</v>
      </c>
      <c r="G48" s="225" t="str">
        <f>IFERROR(VLOOKUP($C48,'PORTIFÓLIO'!C:V,5,0),"")</f>
        <v>📄 Ver bula</v>
      </c>
      <c r="H48" s="254">
        <f t="array" ref="H48">IFERROR(INDEX('PORTIFÓLIO'!$H$4:$H$433,MATCH($C48,'PORTIFÓLIO'!$C$4:$C$433,0)),"")</f>
        <v>0.2</v>
      </c>
      <c r="I48" s="255">
        <v>0.2</v>
      </c>
      <c r="J48" s="218">
        <f t="shared" si="6"/>
        <v>40</v>
      </c>
      <c r="K48" s="219">
        <f t="array" ref="K48">IFERROR(I48*INDEX('PORTIFÓLIO'!$S$4:$S$433,MATCH($C48,'PORTIFÓLIO'!$C$4:$C$433,0)),"")</f>
        <v>3.206</v>
      </c>
      <c r="L48" s="219">
        <f t="array" ref="L48">IFERROR(J48*INDEX('PORTIFÓLIO'!$S$4:$S$433,MATCH($C48,'PORTIFÓLIO'!$C$4:$C$433,0)),"")</f>
        <v>641.2</v>
      </c>
      <c r="M48" s="220"/>
      <c r="N48" s="220"/>
      <c r="O48" s="220"/>
      <c r="P48" s="220"/>
      <c r="Q48" s="220"/>
      <c r="R48" s="220"/>
      <c r="S48" s="220"/>
      <c r="T48" s="220"/>
      <c r="U48" s="220"/>
      <c r="V48" s="220"/>
      <c r="W48" s="220"/>
    </row>
    <row r="49" ht="15.75" customHeight="1" outlineLevel="1">
      <c r="A49" s="211"/>
      <c r="B49" s="212" t="s">
        <v>2</v>
      </c>
      <c r="C49" s="213" t="s">
        <v>824</v>
      </c>
      <c r="D49" s="214" t="str">
        <f>IFERROR(VLOOKUP($C49,'PORTIFÓLIO'!C:V,2,0),"")</f>
        <v>CLORANTRANILIPROLE</v>
      </c>
      <c r="E49" s="211">
        <f>IFERROR(VLOOKUP($C49,'PORTIFÓLIO'!C:V,3,0),"")</f>
        <v>200</v>
      </c>
      <c r="F49" s="211" t="str">
        <f>IFERROR(VLOOKUP($C49,'PORTIFÓLIO'!C:V,4,0),"")</f>
        <v>L</v>
      </c>
      <c r="G49" s="225" t="str">
        <f>IFERROR(VLOOKUP($C49,'PORTIFÓLIO'!C:V,5,0),"")</f>
        <v>📄 Ver bula</v>
      </c>
      <c r="H49" s="254">
        <f t="array" ref="H49">IFERROR(INDEX('PORTIFÓLIO'!$H$4:$H$433,MATCH($C49,'PORTIFÓLIO'!$C$4:$C$433,0)),"")</f>
        <v>0.1</v>
      </c>
      <c r="I49" s="255">
        <v>0.04</v>
      </c>
      <c r="J49" s="218">
        <f t="shared" si="6"/>
        <v>8</v>
      </c>
      <c r="K49" s="219">
        <f t="array" ref="K49">IFERROR(I49*INDEX('PORTIFÓLIO'!$S$4:$S$433,MATCH($C49,'PORTIFÓLIO'!$C$4:$C$433,0)),"")</f>
        <v>11.31855</v>
      </c>
      <c r="L49" s="219">
        <f t="array" ref="L49">IFERROR(J49*INDEX('PORTIFÓLIO'!$S$4:$S$433,MATCH($C49,'PORTIFÓLIO'!$C$4:$C$433,0)),"")</f>
        <v>2263.71</v>
      </c>
      <c r="M49" s="220"/>
      <c r="N49" s="220"/>
      <c r="O49" s="220"/>
      <c r="P49" s="220"/>
      <c r="Q49" s="220"/>
      <c r="R49" s="220"/>
      <c r="S49" s="220"/>
      <c r="T49" s="220"/>
      <c r="U49" s="220"/>
      <c r="V49" s="220"/>
      <c r="W49" s="220"/>
    </row>
    <row r="50" ht="15.75" customHeight="1" outlineLevel="1">
      <c r="A50" s="211"/>
      <c r="B50" s="212"/>
      <c r="C50" s="213"/>
      <c r="D50" s="214" t="str">
        <f>IFERROR(VLOOKUP($C50,'PORTIFÓLIO'!C:V,2,0),"")</f>
        <v/>
      </c>
      <c r="E50" s="211" t="str">
        <f>IFERROR(VLOOKUP($C50,'PORTIFÓLIO'!C:V,3,0),"")</f>
        <v/>
      </c>
      <c r="F50" s="211" t="str">
        <f>IFERROR(VLOOKUP($C50,'PORTIFÓLIO'!C:V,4,0),"")</f>
        <v/>
      </c>
      <c r="G50" s="215" t="str">
        <f>IFERROR(VLOOKUP($C50,'PORTIFÓLIO'!C:V,5,0),"")</f>
        <v/>
      </c>
      <c r="H50" s="254" t="str">
        <f t="array" ref="H50">IFERROR(INDEX('PORTIFÓLIO'!$H$4:$H$433,MATCH($C50,'PORTIFÓLIO'!$C$4:$C$433,0)),"")</f>
        <v/>
      </c>
      <c r="I50" s="255"/>
      <c r="J50" s="218">
        <f t="shared" si="6"/>
        <v>0</v>
      </c>
      <c r="K50" s="219" t="str">
        <f t="array" ref="K50">IFERROR(I50*INDEX('PORTIFÓLIO'!$S$4:$S$433,MATCH($C50,'PORTIFÓLIO'!$C$4:$C$433,0)),"")</f>
        <v/>
      </c>
      <c r="L50" s="219" t="str">
        <f t="array" ref="L50">IFERROR(J50*INDEX('PORTIFÓLIO'!$S$4:$S$433,MATCH($C50,'PORTIFÓLIO'!$C$4:$C$433,0)),"")</f>
        <v/>
      </c>
      <c r="M50" s="220"/>
      <c r="N50" s="220"/>
      <c r="O50" s="220"/>
      <c r="P50" s="220"/>
      <c r="Q50" s="220"/>
      <c r="R50" s="220"/>
      <c r="S50" s="220"/>
      <c r="T50" s="220"/>
      <c r="U50" s="220"/>
      <c r="V50" s="220"/>
      <c r="W50" s="220"/>
    </row>
    <row r="51" ht="15.75" customHeight="1" outlineLevel="1">
      <c r="A51" s="211"/>
      <c r="B51" s="212"/>
      <c r="C51" s="213"/>
      <c r="D51" s="214" t="str">
        <f>IFERROR(VLOOKUP($C51,'PORTIFÓLIO'!C:V,2,0),"")</f>
        <v/>
      </c>
      <c r="E51" s="211" t="str">
        <f>IFERROR(VLOOKUP($C51,'PORTIFÓLIO'!C:V,3,0),"")</f>
        <v/>
      </c>
      <c r="F51" s="211" t="str">
        <f>IFERROR(VLOOKUP($C51,'PORTIFÓLIO'!C:V,4,0),"")</f>
        <v/>
      </c>
      <c r="G51" s="215" t="str">
        <f>IFERROR(VLOOKUP($C51,'PORTIFÓLIO'!C:V,5,0),"")</f>
        <v/>
      </c>
      <c r="H51" s="254" t="str">
        <f t="array" ref="H51">IFERROR(INDEX('PORTIFÓLIO'!$H$4:$H$433,MATCH($C51,'PORTIFÓLIO'!$C$4:$C$433,0)),"")</f>
        <v/>
      </c>
      <c r="I51" s="255"/>
      <c r="J51" s="218">
        <f t="shared" si="6"/>
        <v>0</v>
      </c>
      <c r="K51" s="219" t="str">
        <f t="array" ref="K51">IFERROR(I51*INDEX('PORTIFÓLIO'!$S$4:$S$433,MATCH($C51,'PORTIFÓLIO'!$C$4:$C$433,0)),"")</f>
        <v/>
      </c>
      <c r="L51" s="219" t="str">
        <f t="array" ref="L51">IFERROR(J51*INDEX('PORTIFÓLIO'!$S$4:$S$433,MATCH($C51,'PORTIFÓLIO'!$C$4:$C$433,0)),"")</f>
        <v/>
      </c>
      <c r="M51" s="220"/>
      <c r="N51" s="220"/>
      <c r="O51" s="220"/>
      <c r="P51" s="220"/>
      <c r="Q51" s="220"/>
      <c r="R51" s="220"/>
      <c r="S51" s="220"/>
      <c r="T51" s="220"/>
      <c r="U51" s="220"/>
      <c r="V51" s="220"/>
      <c r="W51" s="220"/>
    </row>
    <row r="52" ht="15.75" customHeight="1" outlineLevel="1">
      <c r="A52" s="211"/>
      <c r="B52" s="212"/>
      <c r="C52" s="213"/>
      <c r="D52" s="214" t="str">
        <f>IFERROR(VLOOKUP($C52,'PORTIFÓLIO'!C:V,2,0),"")</f>
        <v/>
      </c>
      <c r="E52" s="211" t="str">
        <f>IFERROR(VLOOKUP($C52,'PORTIFÓLIO'!C:V,3,0),"")</f>
        <v/>
      </c>
      <c r="F52" s="211" t="str">
        <f>IFERROR(VLOOKUP($C52,'PORTIFÓLIO'!C:V,4,0),"")</f>
        <v/>
      </c>
      <c r="G52" s="215" t="str">
        <f>IFERROR(VLOOKUP($C52,'PORTIFÓLIO'!C:V,5,0),"")</f>
        <v/>
      </c>
      <c r="H52" s="254" t="str">
        <f t="array" ref="H52">IFERROR(INDEX('PORTIFÓLIO'!$H$4:$H$433,MATCH($C52,'PORTIFÓLIO'!$C$4:$C$433,0)),"")</f>
        <v/>
      </c>
      <c r="I52" s="256"/>
      <c r="J52" s="218">
        <f t="shared" si="6"/>
        <v>0</v>
      </c>
      <c r="K52" s="219" t="str">
        <f t="array" ref="K52">IFERROR(I52*INDEX('PORTIFÓLIO'!$S$4:$S$433,MATCH($C52,'PORTIFÓLIO'!$C$4:$C$433,0)),"")</f>
        <v/>
      </c>
      <c r="L52" s="219" t="str">
        <f t="array" ref="L52">IFERROR(J52*INDEX('PORTIFÓLIO'!$S$4:$S$433,MATCH($C52,'PORTIFÓLIO'!$C$4:$C$433,0)),"")</f>
        <v/>
      </c>
      <c r="M52" s="220"/>
      <c r="N52" s="220"/>
      <c r="O52" s="220"/>
      <c r="P52" s="220"/>
      <c r="Q52" s="220"/>
      <c r="R52" s="220"/>
      <c r="S52" s="220"/>
      <c r="T52" s="220"/>
      <c r="U52" s="220"/>
      <c r="V52" s="220"/>
      <c r="W52" s="220"/>
    </row>
    <row r="53" ht="15.75" customHeight="1" outlineLevel="1">
      <c r="A53" s="211"/>
      <c r="B53" s="212"/>
      <c r="C53" s="213"/>
      <c r="D53" s="214" t="str">
        <f>IFERROR(VLOOKUP($C53,'PORTIFÓLIO'!C:V,2,0),"")</f>
        <v/>
      </c>
      <c r="E53" s="211" t="str">
        <f>IFERROR(VLOOKUP($C53,'PORTIFÓLIO'!C:V,3,0),"")</f>
        <v/>
      </c>
      <c r="F53" s="211" t="str">
        <f>IFERROR(VLOOKUP($C53,'PORTIFÓLIO'!C:V,4,0),"")</f>
        <v/>
      </c>
      <c r="G53" s="215" t="str">
        <f>IFERROR(VLOOKUP($C53,'PORTIFÓLIO'!C:V,5,0),"")</f>
        <v/>
      </c>
      <c r="H53" s="254" t="str">
        <f t="array" ref="H53">IFERROR(INDEX('PORTIFÓLIO'!$H$4:$H$433,MATCH($C53,'PORTIFÓLIO'!$C$4:$C$433,0)),"")</f>
        <v/>
      </c>
      <c r="I53" s="255"/>
      <c r="J53" s="218">
        <f t="shared" si="6"/>
        <v>0</v>
      </c>
      <c r="K53" s="219" t="str">
        <f t="array" ref="K53">IFERROR(I53*INDEX('PORTIFÓLIO'!$S$4:$S$433,MATCH($C53,'PORTIFÓLIO'!$C$4:$C$433,0)),"")</f>
        <v/>
      </c>
      <c r="L53" s="219" t="str">
        <f t="array" ref="L53">IFERROR(J53*INDEX('PORTIFÓLIO'!$S$4:$S$433,MATCH($C53,'PORTIFÓLIO'!$C$4:$C$433,0)),"")</f>
        <v/>
      </c>
      <c r="M53" s="220"/>
      <c r="N53" s="220"/>
      <c r="O53" s="220"/>
      <c r="P53" s="220"/>
      <c r="Q53" s="220"/>
      <c r="R53" s="220"/>
      <c r="S53" s="220"/>
      <c r="T53" s="220"/>
      <c r="U53" s="220"/>
      <c r="V53" s="220"/>
      <c r="W53" s="220"/>
    </row>
    <row r="54" ht="15.75" customHeight="1" outlineLevel="1">
      <c r="A54" s="211"/>
      <c r="B54" s="212"/>
      <c r="C54" s="213"/>
      <c r="D54" s="214" t="str">
        <f>IFERROR(VLOOKUP($C54,'PORTIFÓLIO'!C:V,2,0),"")</f>
        <v/>
      </c>
      <c r="E54" s="211" t="str">
        <f>IFERROR(VLOOKUP($C54,'PORTIFÓLIO'!C:V,3,0),"")</f>
        <v/>
      </c>
      <c r="F54" s="211" t="str">
        <f>IFERROR(VLOOKUP($C54,'PORTIFÓLIO'!C:V,4,0),"")</f>
        <v/>
      </c>
      <c r="G54" s="215" t="str">
        <f>IFERROR(VLOOKUP($C54,'PORTIFÓLIO'!C:V,5,0),"")</f>
        <v/>
      </c>
      <c r="H54" s="254" t="str">
        <f t="array" ref="H54">IFERROR(INDEX('PORTIFÓLIO'!$H$4:$H$433,MATCH($C54,'PORTIFÓLIO'!$C$4:$C$433,0)),"")</f>
        <v/>
      </c>
      <c r="I54" s="256"/>
      <c r="J54" s="218">
        <f t="shared" si="6"/>
        <v>0</v>
      </c>
      <c r="K54" s="219" t="str">
        <f t="array" ref="K54">IFERROR(I54*INDEX('PORTIFÓLIO'!$S$4:$S$433,MATCH($C54,'PORTIFÓLIO'!$C$4:$C$433,0)),"")</f>
        <v/>
      </c>
      <c r="L54" s="219" t="str">
        <f t="array" ref="L54">IFERROR(J54*INDEX('PORTIFÓLIO'!$S$4:$S$433,MATCH($C54,'PORTIFÓLIO'!$C$4:$C$433,0)),"")</f>
        <v/>
      </c>
      <c r="M54" s="220"/>
      <c r="N54" s="220"/>
      <c r="O54" s="220"/>
      <c r="P54" s="220"/>
      <c r="Q54" s="220"/>
      <c r="R54" s="220"/>
      <c r="S54" s="220"/>
      <c r="T54" s="220"/>
      <c r="U54" s="220"/>
      <c r="V54" s="220"/>
      <c r="W54" s="220"/>
    </row>
    <row r="55" ht="15.75" customHeight="1" outlineLevel="1">
      <c r="A55" s="211"/>
      <c r="B55" s="212"/>
      <c r="C55" s="213"/>
      <c r="D55" s="214" t="str">
        <f>IFERROR(VLOOKUP($C55,'PORTIFÓLIO'!C:V,2,0),"")</f>
        <v/>
      </c>
      <c r="E55" s="211" t="str">
        <f>IFERROR(VLOOKUP($C55,'PORTIFÓLIO'!C:V,3,0),"")</f>
        <v/>
      </c>
      <c r="F55" s="211" t="str">
        <f>IFERROR(VLOOKUP($C55,'PORTIFÓLIO'!C:V,4,0),"")</f>
        <v/>
      </c>
      <c r="G55" s="215" t="str">
        <f>IFERROR(VLOOKUP($C55,'PORTIFÓLIO'!C:V,5,0),"")</f>
        <v/>
      </c>
      <c r="H55" s="254" t="str">
        <f t="array" ref="H55">IFERROR(INDEX('PORTIFÓLIO'!$H$4:$H$433,MATCH($C55,'PORTIFÓLIO'!$C$4:$C$433,0)),"")</f>
        <v/>
      </c>
      <c r="I55" s="256"/>
      <c r="J55" s="218">
        <f t="shared" si="6"/>
        <v>0</v>
      </c>
      <c r="K55" s="219" t="str">
        <f t="array" ref="K55">IFERROR(I55*INDEX('PORTIFÓLIO'!$S$4:$S$433,MATCH($C55,'PORTIFÓLIO'!$C$4:$C$433,0)),"")</f>
        <v/>
      </c>
      <c r="L55" s="219" t="str">
        <f t="array" ref="L55">IFERROR(J55*INDEX('PORTIFÓLIO'!$S$4:$S$433,MATCH($C55,'PORTIFÓLIO'!$C$4:$C$433,0)),"")</f>
        <v/>
      </c>
      <c r="M55" s="220"/>
      <c r="N55" s="220"/>
      <c r="O55" s="220"/>
      <c r="P55" s="220"/>
      <c r="Q55" s="220"/>
      <c r="R55" s="220"/>
      <c r="S55" s="220"/>
      <c r="T55" s="220"/>
      <c r="U55" s="220"/>
      <c r="V55" s="220"/>
      <c r="W55" s="220"/>
    </row>
    <row r="56" ht="15.75" customHeight="1" outlineLevel="1">
      <c r="A56" s="211"/>
      <c r="B56" s="212"/>
      <c r="C56" s="213"/>
      <c r="D56" s="214" t="str">
        <f>IFERROR(VLOOKUP($C56,'PORTIFÓLIO'!C:V,2,0),"")</f>
        <v/>
      </c>
      <c r="E56" s="211" t="str">
        <f>IFERROR(VLOOKUP($C56,'PORTIFÓLIO'!C:V,3,0),"")</f>
        <v/>
      </c>
      <c r="F56" s="211" t="str">
        <f>IFERROR(VLOOKUP($C56,'PORTIFÓLIO'!C:V,4,0),"")</f>
        <v/>
      </c>
      <c r="G56" s="215" t="str">
        <f>IFERROR(VLOOKUP($C56,'PORTIFÓLIO'!C:V,5,0),"")</f>
        <v/>
      </c>
      <c r="H56" s="254" t="str">
        <f t="array" ref="H56">IFERROR(INDEX('PORTIFÓLIO'!$H$4:$H$433,MATCH($C56,'PORTIFÓLIO'!$C$4:$C$433,0)),"")</f>
        <v/>
      </c>
      <c r="I56" s="256"/>
      <c r="J56" s="218">
        <f t="shared" si="6"/>
        <v>0</v>
      </c>
      <c r="K56" s="219" t="str">
        <f t="array" ref="K56">IFERROR(I56*INDEX('PORTIFÓLIO'!$S$4:$S$433,MATCH($C56,'PORTIFÓLIO'!$C$4:$C$433,0)),"")</f>
        <v/>
      </c>
      <c r="L56" s="219" t="str">
        <f t="array" ref="L56">IFERROR(J56*INDEX('PORTIFÓLIO'!$S$4:$S$433,MATCH($C56,'PORTIFÓLIO'!$C$4:$C$433,0)),"")</f>
        <v/>
      </c>
      <c r="M56" s="220"/>
      <c r="N56" s="220"/>
      <c r="O56" s="220"/>
      <c r="P56" s="220"/>
      <c r="Q56" s="220"/>
      <c r="R56" s="220"/>
      <c r="S56" s="220"/>
      <c r="T56" s="220"/>
      <c r="U56" s="220"/>
      <c r="V56" s="220"/>
      <c r="W56" s="220"/>
    </row>
    <row r="57" ht="15.75" customHeight="1" outlineLevel="1">
      <c r="A57" s="211"/>
      <c r="B57" s="212"/>
      <c r="C57" s="213"/>
      <c r="D57" s="214" t="str">
        <f>IFERROR(VLOOKUP($C57,'PORTIFÓLIO'!C:V,2,0),"")</f>
        <v/>
      </c>
      <c r="E57" s="211" t="str">
        <f>IFERROR(VLOOKUP($C57,'PORTIFÓLIO'!C:V,3,0),"")</f>
        <v/>
      </c>
      <c r="F57" s="211" t="str">
        <f>IFERROR(VLOOKUP($C57,'PORTIFÓLIO'!C:V,4,0),"")</f>
        <v/>
      </c>
      <c r="G57" s="215" t="str">
        <f>IFERROR(VLOOKUP($C57,'PORTIFÓLIO'!C:V,5,0),"")</f>
        <v/>
      </c>
      <c r="H57" s="254" t="str">
        <f t="array" ref="H57">IFERROR(INDEX('PORTIFÓLIO'!$H$4:$H$433,MATCH($C57,'PORTIFÓLIO'!$C$4:$C$433,0)),"")</f>
        <v/>
      </c>
      <c r="I57" s="256"/>
      <c r="J57" s="218">
        <f t="shared" si="6"/>
        <v>0</v>
      </c>
      <c r="K57" s="219" t="str">
        <f t="array" ref="K57">IFERROR(I57*INDEX('PORTIFÓLIO'!$S$4:$S$433,MATCH($C57,'PORTIFÓLIO'!$C$4:$C$433,0)),"")</f>
        <v/>
      </c>
      <c r="L57" s="219" t="str">
        <f t="array" ref="L57">IFERROR(J57*INDEX('PORTIFÓLIO'!$S$4:$S$433,MATCH($C57,'PORTIFÓLIO'!$C$4:$C$433,0)),"")</f>
        <v/>
      </c>
      <c r="M57" s="220"/>
      <c r="N57" s="220"/>
      <c r="O57" s="220"/>
      <c r="P57" s="220"/>
      <c r="Q57" s="220"/>
      <c r="R57" s="220"/>
      <c r="S57" s="220"/>
      <c r="T57" s="220"/>
      <c r="U57" s="220"/>
      <c r="V57" s="220"/>
      <c r="W57" s="220"/>
    </row>
    <row r="58" ht="15.75" customHeight="1" outlineLevel="1">
      <c r="A58" s="211"/>
      <c r="B58" s="212"/>
      <c r="C58" s="213"/>
      <c r="D58" s="214" t="str">
        <f>IFERROR(VLOOKUP($C58,'PORTIFÓLIO'!C:V,2,0),"")</f>
        <v/>
      </c>
      <c r="E58" s="211" t="str">
        <f>IFERROR(VLOOKUP($C58,'PORTIFÓLIO'!C:V,3,0),"")</f>
        <v/>
      </c>
      <c r="F58" s="211" t="str">
        <f>IFERROR(VLOOKUP($C58,'PORTIFÓLIO'!C:V,4,0),"")</f>
        <v/>
      </c>
      <c r="G58" s="215" t="str">
        <f>IFERROR(VLOOKUP($C58,'PORTIFÓLIO'!C:V,5,0),"")</f>
        <v/>
      </c>
      <c r="H58" s="254" t="str">
        <f t="array" ref="H58">IFERROR(INDEX('PORTIFÓLIO'!$H$4:$H$433,MATCH($C58,'PORTIFÓLIO'!$C$4:$C$433,0)),"")</f>
        <v/>
      </c>
      <c r="I58" s="256"/>
      <c r="J58" s="218">
        <f t="shared" si="6"/>
        <v>0</v>
      </c>
      <c r="K58" s="219" t="str">
        <f t="array" ref="K58">IFERROR(I58*INDEX('PORTIFÓLIO'!$S$4:$S$433,MATCH($C58,'PORTIFÓLIO'!$C$4:$C$433,0)),"")</f>
        <v/>
      </c>
      <c r="L58" s="219" t="str">
        <f t="array" ref="L58">IFERROR(J58*INDEX('PORTIFÓLIO'!$S$4:$S$433,MATCH($C58,'PORTIFÓLIO'!$C$4:$C$433,0)),"")</f>
        <v/>
      </c>
      <c r="M58" s="220"/>
      <c r="N58" s="220"/>
      <c r="O58" s="220"/>
      <c r="P58" s="220"/>
      <c r="Q58" s="220"/>
      <c r="R58" s="220"/>
      <c r="S58" s="220"/>
      <c r="T58" s="220"/>
      <c r="U58" s="220"/>
      <c r="V58" s="220"/>
      <c r="W58" s="220"/>
    </row>
    <row r="59" ht="15.75" customHeight="1" outlineLevel="1">
      <c r="A59" s="211"/>
      <c r="B59" s="212"/>
      <c r="C59" s="213"/>
      <c r="D59" s="214" t="str">
        <f>IFERROR(VLOOKUP($C59,'PORTIFÓLIO'!C:V,2,0),"")</f>
        <v/>
      </c>
      <c r="E59" s="211" t="str">
        <f>IFERROR(VLOOKUP($C59,'PORTIFÓLIO'!C:V,3,0),"")</f>
        <v/>
      </c>
      <c r="F59" s="211" t="str">
        <f>IFERROR(VLOOKUP($C59,'PORTIFÓLIO'!C:V,4,0),"")</f>
        <v/>
      </c>
      <c r="G59" s="215" t="str">
        <f>IFERROR(VLOOKUP($C59,'PORTIFÓLIO'!C:V,5,0),"")</f>
        <v/>
      </c>
      <c r="H59" s="254" t="str">
        <f t="array" ref="H59">IFERROR(INDEX('PORTIFÓLIO'!$H$4:$H$433,MATCH($C59,'PORTIFÓLIO'!$C$4:$C$433,0)),"")</f>
        <v/>
      </c>
      <c r="I59" s="256"/>
      <c r="J59" s="218">
        <f t="shared" si="6"/>
        <v>0</v>
      </c>
      <c r="K59" s="219" t="str">
        <f t="array" ref="K59">IFERROR(I59*INDEX('PORTIFÓLIO'!$S$4:$S$433,MATCH($C59,'PORTIFÓLIO'!$C$4:$C$433,0)),"")</f>
        <v/>
      </c>
      <c r="L59" s="219" t="str">
        <f t="array" ref="L59">IFERROR(J59*INDEX('PORTIFÓLIO'!$S$4:$S$433,MATCH($C59,'PORTIFÓLIO'!$C$4:$C$433,0)),"")</f>
        <v/>
      </c>
      <c r="M59" s="220"/>
      <c r="N59" s="220"/>
      <c r="O59" s="220"/>
      <c r="P59" s="220"/>
      <c r="Q59" s="220"/>
      <c r="R59" s="220"/>
      <c r="S59" s="220"/>
      <c r="T59" s="220"/>
      <c r="U59" s="220"/>
      <c r="V59" s="220"/>
      <c r="W59" s="220"/>
    </row>
    <row r="60" ht="15.75" customHeight="1" outlineLevel="1">
      <c r="A60" s="211"/>
      <c r="B60" s="212"/>
      <c r="C60" s="213"/>
      <c r="D60" s="214" t="str">
        <f>IFERROR(VLOOKUP($C60,'PORTIFÓLIO'!C:V,2,0),"")</f>
        <v/>
      </c>
      <c r="E60" s="211" t="str">
        <f>IFERROR(VLOOKUP($C60,'PORTIFÓLIO'!C:V,3,0),"")</f>
        <v/>
      </c>
      <c r="F60" s="211" t="str">
        <f>IFERROR(VLOOKUP($C60,'PORTIFÓLIO'!C:V,4,0),"")</f>
        <v/>
      </c>
      <c r="G60" s="215" t="str">
        <f>IFERROR(VLOOKUP($C60,'PORTIFÓLIO'!C:V,5,0),"")</f>
        <v/>
      </c>
      <c r="H60" s="254" t="str">
        <f t="array" ref="H60">IFERROR(INDEX('PORTIFÓLIO'!$H$4:$H$433,MATCH($C60,'PORTIFÓLIO'!$C$4:$C$433,0)),"")</f>
        <v/>
      </c>
      <c r="I60" s="256"/>
      <c r="J60" s="218">
        <f t="shared" si="6"/>
        <v>0</v>
      </c>
      <c r="K60" s="219" t="str">
        <f t="array" ref="K60">IFERROR(I60*INDEX('PORTIFÓLIO'!$S$4:$S$433,MATCH($C60,'PORTIFÓLIO'!$C$4:$C$433,0)),"")</f>
        <v/>
      </c>
      <c r="L60" s="219" t="str">
        <f t="array" ref="L60">IFERROR(J60*INDEX('PORTIFÓLIO'!$S$4:$S$433,MATCH($C60,'PORTIFÓLIO'!$C$4:$C$433,0)),"")</f>
        <v/>
      </c>
      <c r="M60" s="220"/>
      <c r="N60" s="220"/>
      <c r="O60" s="220"/>
      <c r="P60" s="220"/>
      <c r="Q60" s="220"/>
      <c r="R60" s="220"/>
      <c r="S60" s="220"/>
      <c r="T60" s="220"/>
      <c r="U60" s="220"/>
      <c r="V60" s="220"/>
      <c r="W60" s="220"/>
    </row>
    <row r="61" ht="15.75" customHeight="1" outlineLevel="1">
      <c r="A61" s="211"/>
      <c r="B61" s="212"/>
      <c r="C61" s="213"/>
      <c r="D61" s="214" t="str">
        <f>IFERROR(VLOOKUP($C61,'PORTIFÓLIO'!C:V,2,0),"")</f>
        <v/>
      </c>
      <c r="E61" s="211" t="str">
        <f>IFERROR(VLOOKUP($C61,'PORTIFÓLIO'!C:V,3,0),"")</f>
        <v/>
      </c>
      <c r="F61" s="211" t="str">
        <f>IFERROR(VLOOKUP($C61,'PORTIFÓLIO'!C:V,4,0),"")</f>
        <v/>
      </c>
      <c r="G61" s="215" t="str">
        <f>IFERROR(VLOOKUP($C61,'PORTIFÓLIO'!C:V,5,0),"")</f>
        <v/>
      </c>
      <c r="H61" s="254" t="str">
        <f t="array" ref="H61">IFERROR(INDEX('PORTIFÓLIO'!$H$4:$H$433,MATCH($C61,'PORTIFÓLIO'!$C$4:$C$433,0)),"")</f>
        <v/>
      </c>
      <c r="I61" s="256"/>
      <c r="J61" s="218">
        <f t="shared" si="6"/>
        <v>0</v>
      </c>
      <c r="K61" s="219" t="str">
        <f t="array" ref="K61">IFERROR(I61*INDEX('PORTIFÓLIO'!$S$4:$S$433,MATCH($C61,'PORTIFÓLIO'!$C$4:$C$433,0)),"")</f>
        <v/>
      </c>
      <c r="L61" s="219" t="str">
        <f t="array" ref="L61">IFERROR(J61*INDEX('PORTIFÓLIO'!$S$4:$S$433,MATCH($C61,'PORTIFÓLIO'!$C$4:$C$433,0)),"")</f>
        <v/>
      </c>
      <c r="M61" s="220"/>
      <c r="N61" s="220"/>
      <c r="O61" s="220"/>
      <c r="P61" s="220"/>
      <c r="Q61" s="220"/>
      <c r="R61" s="220"/>
      <c r="S61" s="220"/>
      <c r="T61" s="220"/>
      <c r="U61" s="220"/>
      <c r="V61" s="220"/>
      <c r="W61" s="220"/>
    </row>
    <row r="62" ht="15.75" customHeight="1" outlineLevel="1">
      <c r="A62" s="211"/>
      <c r="B62" s="212"/>
      <c r="C62" s="213"/>
      <c r="D62" s="214" t="str">
        <f>IFERROR(VLOOKUP($C62,'PORTIFÓLIO'!C:V,2,0),"")</f>
        <v/>
      </c>
      <c r="E62" s="211" t="str">
        <f>IFERROR(VLOOKUP($C62,'PORTIFÓLIO'!C:V,3,0),"")</f>
        <v/>
      </c>
      <c r="F62" s="211" t="str">
        <f>IFERROR(VLOOKUP($C62,'PORTIFÓLIO'!C:V,4,0),"")</f>
        <v/>
      </c>
      <c r="G62" s="215" t="str">
        <f>IFERROR(VLOOKUP($C62,'PORTIFÓLIO'!C:V,5,0),"")</f>
        <v/>
      </c>
      <c r="H62" s="254" t="str">
        <f t="array" ref="H62">IFERROR(INDEX('PORTIFÓLIO'!$H$4:$H$433,MATCH($C62,'PORTIFÓLIO'!$C$4:$C$433,0)),"")</f>
        <v/>
      </c>
      <c r="I62" s="256"/>
      <c r="J62" s="218">
        <f t="shared" si="6"/>
        <v>0</v>
      </c>
      <c r="K62" s="219" t="str">
        <f t="array" ref="K62">IFERROR(I62*INDEX('PORTIFÓLIO'!$S$4:$S$433,MATCH($C62,'PORTIFÓLIO'!$C$4:$C$433,0)),"")</f>
        <v/>
      </c>
      <c r="L62" s="219" t="str">
        <f t="array" ref="L62">IFERROR(J62*INDEX('PORTIFÓLIO'!$S$4:$S$433,MATCH($C62,'PORTIFÓLIO'!$C$4:$C$433,0)),"")</f>
        <v/>
      </c>
      <c r="M62" s="220"/>
      <c r="N62" s="220"/>
      <c r="O62" s="220"/>
      <c r="P62" s="220"/>
      <c r="Q62" s="220"/>
      <c r="R62" s="220"/>
      <c r="S62" s="220"/>
      <c r="T62" s="220"/>
      <c r="U62" s="220"/>
      <c r="V62" s="220"/>
      <c r="W62" s="220"/>
    </row>
    <row r="63" ht="15.75" customHeight="1">
      <c r="A63" s="229" t="s">
        <v>1186</v>
      </c>
      <c r="B63" s="230"/>
      <c r="C63" s="231"/>
      <c r="D63" s="232"/>
      <c r="E63" s="231"/>
      <c r="F63" s="231"/>
      <c r="G63" s="233"/>
      <c r="H63" s="233"/>
      <c r="I63" s="258"/>
      <c r="J63" s="236"/>
      <c r="K63" s="237">
        <f t="shared" ref="K63:L63" si="7">SUBTOTAL(9,K64:K76)</f>
        <v>354.48304</v>
      </c>
      <c r="L63" s="237">
        <f t="shared" si="7"/>
        <v>70896.608</v>
      </c>
      <c r="M63" s="220"/>
      <c r="N63" s="220"/>
      <c r="O63" s="220"/>
      <c r="P63" s="220"/>
      <c r="Q63" s="220"/>
      <c r="R63" s="220"/>
      <c r="S63" s="220"/>
      <c r="T63" s="220"/>
      <c r="U63" s="220"/>
      <c r="V63" s="220"/>
      <c r="W63" s="220"/>
    </row>
    <row r="64" ht="15.75" customHeight="1" outlineLevel="1">
      <c r="A64" s="213"/>
      <c r="B64" s="212" t="s">
        <v>5</v>
      </c>
      <c r="C64" s="213" t="s">
        <v>1054</v>
      </c>
      <c r="D64" s="214" t="str">
        <f>IFERROR(VLOOKUP($C64,'PORTIFÓLIO'!C:V,2,0),"")</f>
        <v/>
      </c>
      <c r="E64" s="211" t="str">
        <f>IFERROR(VLOOKUP($C64,'PORTIFÓLIO'!C:V,3,0),"")</f>
        <v/>
      </c>
      <c r="F64" s="211" t="str">
        <f>IFERROR(VLOOKUP($C64,'PORTIFÓLIO'!C:V,4,0),"")</f>
        <v>5MM</v>
      </c>
      <c r="G64" s="225" t="str">
        <f>IFERROR(VLOOKUP($C64,'PORTIFÓLIO'!C:V,5,0),"")</f>
        <v>📄 Ver bula</v>
      </c>
      <c r="H64" s="254" t="str">
        <f t="array" ref="H64">IFERROR(INDEX('PORTIFÓLIO'!$H$4:$H$433,MATCH($C64,'PORTIFÓLIO'!$C$4:$C$433,0)),"")</f>
        <v/>
      </c>
      <c r="I64" s="255">
        <v>0.04</v>
      </c>
      <c r="J64" s="218">
        <f t="shared" ref="J64:J80" si="8">I64*$B$2</f>
        <v>8</v>
      </c>
      <c r="K64" s="219">
        <f t="array" ref="K64">IFERROR(I64*INDEX('PORTIFÓLIO'!$S$4:$S$433,MATCH($C64,'PORTIFÓLIO'!$C$4:$C$433,0)),"")</f>
        <v>0</v>
      </c>
      <c r="L64" s="219">
        <f t="array" ref="L64">IFERROR(J64*INDEX('PORTIFÓLIO'!$S$4:$S$433,MATCH($C64,'PORTIFÓLIO'!$C$4:$C$433,0)),"")</f>
        <v>0</v>
      </c>
      <c r="M64" s="220"/>
      <c r="N64" s="220"/>
      <c r="O64" s="220"/>
      <c r="P64" s="220"/>
      <c r="Q64" s="220"/>
      <c r="R64" s="220"/>
      <c r="S64" s="220"/>
      <c r="T64" s="220"/>
      <c r="U64" s="220"/>
      <c r="V64" s="220"/>
      <c r="W64" s="220"/>
    </row>
    <row r="65" ht="15.75" customHeight="1" outlineLevel="1">
      <c r="A65" s="211"/>
      <c r="B65" s="212" t="s">
        <v>3</v>
      </c>
      <c r="C65" s="213" t="s">
        <v>1011</v>
      </c>
      <c r="D65" s="214" t="str">
        <f>IFERROR(VLOOKUP($C65,'PORTIFÓLIO'!C:V,2,0),"")</f>
        <v>METALAXIL-M + TIABENDAZOL + FLUDIOXONIL +
 TIAMETOXAM</v>
      </c>
      <c r="E65" s="211" t="str">
        <f>IFERROR(VLOOKUP($C65,'PORTIFÓLIO'!C:V,3,0),"")</f>
        <v>20 + 150 + 25 + 350</v>
      </c>
      <c r="F65" s="211" t="str">
        <f>IFERROR(VLOOKUP($C65,'PORTIFÓLIO'!C:V,4,0),"")</f>
        <v/>
      </c>
      <c r="G65" s="225" t="str">
        <f>IFERROR(VLOOKUP($C65,'PORTIFÓLIO'!C:V,5,0),"")</f>
        <v>📄 Ver bula</v>
      </c>
      <c r="H65" s="254">
        <f t="array" ref="H65">IFERROR(INDEX('PORTIFÓLIO'!$H$4:$H$433,MATCH($C65,'PORTIFÓLIO'!$C$4:$C$433,0)),"")</f>
        <v>0.05</v>
      </c>
      <c r="I65" s="255">
        <v>0.05</v>
      </c>
      <c r="J65" s="218">
        <f t="shared" si="8"/>
        <v>10</v>
      </c>
      <c r="K65" s="219">
        <f t="array" ref="K65">IFERROR(I65*INDEX('PORTIFÓLIO'!$S$4:$S$433,MATCH($C65,'PORTIFÓLIO'!$C$4:$C$433,0)),"")</f>
        <v>25.27</v>
      </c>
      <c r="L65" s="219">
        <f t="array" ref="L65">IFERROR(J65*INDEX('PORTIFÓLIO'!$S$4:$S$433,MATCH($C65,'PORTIFÓLIO'!$C$4:$C$433,0)),"")</f>
        <v>5054</v>
      </c>
      <c r="M65" s="220"/>
      <c r="N65" s="220"/>
      <c r="O65" s="220"/>
      <c r="P65" s="220"/>
      <c r="Q65" s="220"/>
      <c r="R65" s="220"/>
      <c r="S65" s="220"/>
      <c r="T65" s="220"/>
      <c r="U65" s="220"/>
      <c r="V65" s="220"/>
      <c r="W65" s="220"/>
    </row>
    <row r="66" ht="15.75" customHeight="1" outlineLevel="1">
      <c r="A66" s="211"/>
      <c r="B66" s="212" t="s">
        <v>3</v>
      </c>
      <c r="C66" s="213" t="s">
        <v>1007</v>
      </c>
      <c r="D66" s="214" t="str">
        <f>IFERROR(VLOOKUP($C66,'PORTIFÓLIO'!C:V,2,0),"")</f>
        <v>DIFENOCONAZOL</v>
      </c>
      <c r="E66" s="211">
        <f>IFERROR(VLOOKUP($C66,'PORTIFÓLIO'!C:V,3,0),"")</f>
        <v>150</v>
      </c>
      <c r="F66" s="211" t="str">
        <f>IFERROR(VLOOKUP($C66,'PORTIFÓLIO'!C:V,4,0),"")</f>
        <v/>
      </c>
      <c r="G66" s="225" t="str">
        <f>IFERROR(VLOOKUP($C66,'PORTIFÓLIO'!C:V,5,0),"")</f>
        <v>📄 Ver bula</v>
      </c>
      <c r="H66" s="254">
        <f t="array" ref="H66">IFERROR(INDEX('PORTIFÓLIO'!$H$4:$H$433,MATCH($C66,'PORTIFÓLIO'!$C$4:$C$433,0)),"")</f>
        <v>0.015</v>
      </c>
      <c r="I66" s="255">
        <v>0.02</v>
      </c>
      <c r="J66" s="218">
        <f t="shared" si="8"/>
        <v>4</v>
      </c>
      <c r="K66" s="219">
        <f t="array" ref="K66">IFERROR(I66*INDEX('PORTIFÓLIO'!$S$4:$S$433,MATCH($C66,'PORTIFÓLIO'!$C$4:$C$433,0)),"")</f>
        <v>1.78486</v>
      </c>
      <c r="L66" s="219">
        <f t="array" ref="L66">IFERROR(J66*INDEX('PORTIFÓLIO'!$S$4:$S$433,MATCH($C66,'PORTIFÓLIO'!$C$4:$C$433,0)),"")</f>
        <v>356.972</v>
      </c>
      <c r="M66" s="220"/>
      <c r="N66" s="220"/>
      <c r="O66" s="220"/>
      <c r="P66" s="220"/>
      <c r="Q66" s="220"/>
      <c r="R66" s="220"/>
      <c r="S66" s="220"/>
      <c r="T66" s="220"/>
      <c r="U66" s="220"/>
      <c r="V66" s="220"/>
      <c r="W66" s="220"/>
    </row>
    <row r="67" ht="15.75" customHeight="1" outlineLevel="1">
      <c r="A67" s="211"/>
      <c r="B67" s="212" t="s">
        <v>3</v>
      </c>
      <c r="C67" s="213" t="s">
        <v>1005</v>
      </c>
      <c r="D67" s="214" t="str">
        <f>IFERROR(VLOOKUP($C67,'PORTIFÓLIO'!C:V,2,0),"")</f>
        <v>CICLOBUTRIFLURAM</v>
      </c>
      <c r="E67" s="211">
        <f>IFERROR(VLOOKUP($C67,'PORTIFÓLIO'!C:V,3,0),"")</f>
        <v>500</v>
      </c>
      <c r="F67" s="211" t="str">
        <f>IFERROR(VLOOKUP($C67,'PORTIFÓLIO'!C:V,4,0),"")</f>
        <v/>
      </c>
      <c r="G67" s="225" t="str">
        <f>IFERROR(VLOOKUP($C67,'PORTIFÓLIO'!C:V,5,0),"")</f>
        <v>📄 Ver bula</v>
      </c>
      <c r="H67" s="254">
        <f t="array" ref="H67">IFERROR(INDEX('PORTIFÓLIO'!$H$4:$H$433,MATCH($C67,'PORTIFÓLIO'!$C$4:$C$433,0)),"")</f>
        <v>0.02</v>
      </c>
      <c r="I67" s="255">
        <v>0.02</v>
      </c>
      <c r="J67" s="218">
        <f t="shared" si="8"/>
        <v>4</v>
      </c>
      <c r="K67" s="219">
        <f t="array" ref="K67">IFERROR(I67*INDEX('PORTIFÓLIO'!$S$4:$S$433,MATCH($C67,'PORTIFÓLIO'!$C$4:$C$433,0)),"")</f>
        <v>87.70818</v>
      </c>
      <c r="L67" s="219">
        <f t="array" ref="L67">IFERROR(J67*INDEX('PORTIFÓLIO'!$S$4:$S$433,MATCH($C67,'PORTIFÓLIO'!$C$4:$C$433,0)),"")</f>
        <v>17541.636</v>
      </c>
      <c r="M67" s="220"/>
      <c r="N67" s="220"/>
      <c r="O67" s="220"/>
      <c r="P67" s="220"/>
      <c r="Q67" s="220"/>
      <c r="R67" s="220"/>
      <c r="S67" s="220"/>
      <c r="T67" s="220"/>
      <c r="U67" s="220"/>
      <c r="V67" s="220"/>
      <c r="W67" s="220"/>
    </row>
    <row r="68" ht="15.75" customHeight="1" outlineLevel="1">
      <c r="A68" s="211"/>
      <c r="B68" s="212" t="s">
        <v>4</v>
      </c>
      <c r="C68" s="213" t="s">
        <v>1094</v>
      </c>
      <c r="D68" s="214" t="str">
        <f>IFERROR(VLOOKUP($C68,'PORTIFÓLIO'!C:V,2,0),"")</f>
        <v>Bradyrhizobium sp.</v>
      </c>
      <c r="E68" s="211" t="str">
        <f>IFERROR(VLOOKUP($C68,'PORTIFÓLIO'!C:V,3,0),"")</f>
        <v/>
      </c>
      <c r="F68" s="211" t="str">
        <f>IFERROR(VLOOKUP($C68,'PORTIFÓLIO'!C:V,4,0),"")</f>
        <v>L</v>
      </c>
      <c r="G68" s="225" t="str">
        <f>IFERROR(VLOOKUP($C68,'PORTIFÓLIO'!C:V,5,0),"")</f>
        <v>📄 Ver bula</v>
      </c>
      <c r="H68" s="254">
        <f t="array" ref="H68">IFERROR(INDEX('PORTIFÓLIO'!$H$4:$H$433,MATCH($C68,'PORTIFÓLIO'!$C$4:$C$433,0)),"")</f>
        <v>2</v>
      </c>
      <c r="I68" s="255">
        <v>4.0</v>
      </c>
      <c r="J68" s="218">
        <f t="shared" si="8"/>
        <v>800</v>
      </c>
      <c r="K68" s="219">
        <f t="array" ref="K68">IFERROR(I68*INDEX('PORTIFÓLIO'!$S$4:$S$433,MATCH($C68,'PORTIFÓLIO'!$C$4:$C$433,0)),"")</f>
        <v>104</v>
      </c>
      <c r="L68" s="219">
        <f t="array" ref="L68">IFERROR(J68*INDEX('PORTIFÓLIO'!$S$4:$S$433,MATCH($C68,'PORTIFÓLIO'!$C$4:$C$433,0)),"")</f>
        <v>20800</v>
      </c>
      <c r="M68" s="220"/>
      <c r="N68" s="220"/>
      <c r="O68" s="220"/>
      <c r="P68" s="220"/>
      <c r="Q68" s="220"/>
      <c r="R68" s="220"/>
      <c r="S68" s="220"/>
      <c r="T68" s="220"/>
      <c r="U68" s="220"/>
      <c r="V68" s="220"/>
      <c r="W68" s="220"/>
    </row>
    <row r="69" ht="15.75" customHeight="1" outlineLevel="1">
      <c r="A69" s="211"/>
      <c r="B69" s="212" t="s">
        <v>4</v>
      </c>
      <c r="C69" s="213" t="s">
        <v>1092</v>
      </c>
      <c r="D69" s="214" t="str">
        <f>IFERROR(VLOOKUP($C69,'PORTIFÓLIO'!C:V,2,0),"")</f>
        <v>Azospirillum brasiliense</v>
      </c>
      <c r="E69" s="211" t="str">
        <f>IFERROR(VLOOKUP($C69,'PORTIFÓLIO'!C:V,3,0),"")</f>
        <v/>
      </c>
      <c r="F69" s="211" t="str">
        <f>IFERROR(VLOOKUP($C69,'PORTIFÓLIO'!C:V,4,0),"")</f>
        <v>L</v>
      </c>
      <c r="G69" s="225" t="str">
        <f>IFERROR(VLOOKUP($C69,'PORTIFÓLIO'!C:V,5,0),"")</f>
        <v>📄 Ver bula</v>
      </c>
      <c r="H69" s="254">
        <f t="array" ref="H69">IFERROR(INDEX('PORTIFÓLIO'!$H$4:$H$433,MATCH($C69,'PORTIFÓLIO'!$C$4:$C$433,0)),"")</f>
        <v>2</v>
      </c>
      <c r="I69" s="255">
        <v>1.0</v>
      </c>
      <c r="J69" s="218">
        <f t="shared" si="8"/>
        <v>200</v>
      </c>
      <c r="K69" s="219">
        <f t="array" ref="K69">IFERROR(I69*INDEX('PORTIFÓLIO'!$S$4:$S$433,MATCH($C69,'PORTIFÓLIO'!$C$4:$C$433,0)),"")</f>
        <v>36.4</v>
      </c>
      <c r="L69" s="219">
        <f t="array" ref="L69">IFERROR(J69*INDEX('PORTIFÓLIO'!$S$4:$S$433,MATCH($C69,'PORTIFÓLIO'!$C$4:$C$433,0)),"")</f>
        <v>7280</v>
      </c>
      <c r="M69" s="220"/>
      <c r="N69" s="220"/>
      <c r="O69" s="220"/>
      <c r="P69" s="220"/>
      <c r="Q69" s="220"/>
      <c r="R69" s="220"/>
      <c r="S69" s="220"/>
      <c r="T69" s="220"/>
      <c r="U69" s="220"/>
      <c r="V69" s="220"/>
      <c r="W69" s="220"/>
    </row>
    <row r="70" ht="15.75" customHeight="1" outlineLevel="1">
      <c r="A70" s="211"/>
      <c r="B70" s="212" t="s">
        <v>4</v>
      </c>
      <c r="C70" s="213" t="s">
        <v>1107</v>
      </c>
      <c r="D70" s="214" t="str">
        <f>IFERROR(VLOOKUP($C70,'PORTIFÓLIO'!C:V,2,0),"")</f>
        <v>Priestia aryabhattai</v>
      </c>
      <c r="E70" s="211" t="str">
        <f>IFERROR(VLOOKUP($C70,'PORTIFÓLIO'!C:V,3,0),"")</f>
        <v/>
      </c>
      <c r="F70" s="211" t="str">
        <f>IFERROR(VLOOKUP($C70,'PORTIFÓLIO'!C:V,4,0),"")</f>
        <v/>
      </c>
      <c r="G70" s="225" t="str">
        <f>IFERROR(VLOOKUP($C70,'PORTIFÓLIO'!C:V,5,0),"")</f>
        <v>📄 Ver bula</v>
      </c>
      <c r="H70" s="254">
        <f t="array" ref="H70">IFERROR(INDEX('PORTIFÓLIO'!$H$4:$H$433,MATCH($C70,'PORTIFÓLIO'!$C$4:$C$433,0)),"")</f>
        <v>2</v>
      </c>
      <c r="I70" s="255">
        <v>1.0</v>
      </c>
      <c r="J70" s="218">
        <f t="shared" si="8"/>
        <v>200</v>
      </c>
      <c r="K70" s="219">
        <f t="array" ref="K70">IFERROR(I70*INDEX('PORTIFÓLIO'!$S$4:$S$433,MATCH($C70,'PORTIFÓLIO'!$C$4:$C$433,0)),"")</f>
        <v>81.12</v>
      </c>
      <c r="L70" s="219">
        <f t="array" ref="L70">IFERROR(J70*INDEX('PORTIFÓLIO'!$S$4:$S$433,MATCH($C70,'PORTIFÓLIO'!$C$4:$C$433,0)),"")</f>
        <v>16224</v>
      </c>
      <c r="M70" s="220"/>
      <c r="N70" s="220"/>
      <c r="O70" s="220"/>
      <c r="P70" s="220"/>
      <c r="Q70" s="220"/>
      <c r="R70" s="220"/>
      <c r="S70" s="220"/>
      <c r="T70" s="220"/>
      <c r="U70" s="220"/>
      <c r="V70" s="220"/>
      <c r="W70" s="220"/>
    </row>
    <row r="71" ht="15.75" customHeight="1" outlineLevel="1">
      <c r="A71" s="211"/>
      <c r="B71" s="212" t="s">
        <v>4</v>
      </c>
      <c r="C71" s="213" t="s">
        <v>1187</v>
      </c>
      <c r="D71" s="214" t="str">
        <f>IFERROR(VLOOKUP($C71,'PORTIFÓLIO'!C:V,2,0),"")</f>
        <v/>
      </c>
      <c r="E71" s="211" t="str">
        <f>IFERROR(VLOOKUP($C71,'PORTIFÓLIO'!C:V,3,0),"")</f>
        <v/>
      </c>
      <c r="F71" s="211" t="str">
        <f>IFERROR(VLOOKUP($C71,'PORTIFÓLIO'!C:V,4,0),"")</f>
        <v/>
      </c>
      <c r="G71" s="215" t="str">
        <f>IFERROR(VLOOKUP($C71,'PORTIFÓLIO'!C:V,5,0),"")</f>
        <v/>
      </c>
      <c r="H71" s="254" t="str">
        <f t="array" ref="H71">IFERROR(INDEX('PORTIFÓLIO'!$H$4:$H$433,MATCH($C71,'PORTIFÓLIO'!$C$4:$C$433,0)),"")</f>
        <v/>
      </c>
      <c r="I71" s="255">
        <v>1.0</v>
      </c>
      <c r="J71" s="218">
        <f t="shared" si="8"/>
        <v>200</v>
      </c>
      <c r="K71" s="219" t="str">
        <f t="array" ref="K71">IFERROR(I71*INDEX('PORTIFÓLIO'!$S$4:$S$433,MATCH($C71,'PORTIFÓLIO'!$C$4:$C$433,0)),"")</f>
        <v/>
      </c>
      <c r="L71" s="219" t="str">
        <f t="array" ref="L71">IFERROR(J71*INDEX('PORTIFÓLIO'!$S$4:$S$433,MATCH($C71,'PORTIFÓLIO'!$C$4:$C$433,0)),"")</f>
        <v/>
      </c>
      <c r="M71" s="220"/>
      <c r="N71" s="220"/>
      <c r="O71" s="220"/>
      <c r="P71" s="220"/>
      <c r="Q71" s="220"/>
      <c r="R71" s="220"/>
      <c r="S71" s="220"/>
      <c r="T71" s="220"/>
      <c r="U71" s="220"/>
      <c r="V71" s="220"/>
      <c r="W71" s="220"/>
    </row>
    <row r="72" ht="15.75" customHeight="1" outlineLevel="1">
      <c r="A72" s="211"/>
      <c r="B72" s="212" t="s">
        <v>9</v>
      </c>
      <c r="C72" s="213" t="s">
        <v>1115</v>
      </c>
      <c r="D72" s="214" t="str">
        <f>IFERROR(VLOOKUP($C72,'PORTIFÓLIO'!C:V,2,0),"")</f>
        <v>Nutrifarm</v>
      </c>
      <c r="E72" s="211" t="str">
        <f>IFERROR(VLOOKUP($C72,'PORTIFÓLIO'!C:V,3,0),"")</f>
        <v/>
      </c>
      <c r="F72" s="211" t="str">
        <f>IFERROR(VLOOKUP($C72,'PORTIFÓLIO'!C:V,4,0),"")</f>
        <v>L</v>
      </c>
      <c r="G72" s="225" t="str">
        <f>IFERROR(VLOOKUP($C72,'PORTIFÓLIO'!C:V,5,0),"")</f>
        <v>📄 Ver bula</v>
      </c>
      <c r="H72" s="254">
        <f t="array" ref="H72">IFERROR(INDEX('PORTIFÓLIO'!$H$4:$H$433,MATCH($C72,'PORTIFÓLIO'!$C$4:$C$433,0)),"")</f>
        <v>0.2</v>
      </c>
      <c r="I72" s="255">
        <v>0.1</v>
      </c>
      <c r="J72" s="218">
        <f t="shared" si="8"/>
        <v>20</v>
      </c>
      <c r="K72" s="219">
        <f t="array" ref="K72">IFERROR(I72*INDEX('PORTIFÓLIO'!$S$4:$S$433,MATCH($C72,'PORTIFÓLIO'!$C$4:$C$433,0)),"")</f>
        <v>18.2</v>
      </c>
      <c r="L72" s="219">
        <f t="array" ref="L72">IFERROR(J72*INDEX('PORTIFÓLIO'!$S$4:$S$433,MATCH($C72,'PORTIFÓLIO'!$C$4:$C$433,0)),"")</f>
        <v>3640</v>
      </c>
      <c r="M72" s="220"/>
      <c r="N72" s="220"/>
      <c r="O72" s="220"/>
      <c r="P72" s="220"/>
      <c r="Q72" s="220"/>
      <c r="R72" s="220"/>
      <c r="S72" s="220"/>
      <c r="T72" s="220"/>
      <c r="U72" s="220"/>
      <c r="V72" s="220"/>
      <c r="W72" s="220"/>
    </row>
    <row r="73" ht="15.75" customHeight="1" outlineLevel="1">
      <c r="A73" s="211"/>
      <c r="B73" s="212"/>
      <c r="C73" s="213"/>
      <c r="D73" s="214" t="str">
        <f>IFERROR(VLOOKUP($C73,'PORTIFÓLIO'!C:V,2,0),"")</f>
        <v/>
      </c>
      <c r="E73" s="211" t="str">
        <f>IFERROR(VLOOKUP($C73,'PORTIFÓLIO'!C:V,3,0),"")</f>
        <v/>
      </c>
      <c r="F73" s="211" t="str">
        <f>IFERROR(VLOOKUP($C73,'PORTIFÓLIO'!C:V,4,0),"")</f>
        <v/>
      </c>
      <c r="G73" s="215" t="str">
        <f>IFERROR(VLOOKUP($C73,'PORTIFÓLIO'!C:V,5,0),"")</f>
        <v/>
      </c>
      <c r="H73" s="254" t="str">
        <f t="array" ref="H73">IFERROR(INDEX('PORTIFÓLIO'!$H$4:$H$433,MATCH($C73,'PORTIFÓLIO'!$C$4:$C$433,0)),"")</f>
        <v/>
      </c>
      <c r="I73" s="256"/>
      <c r="J73" s="218">
        <f t="shared" si="8"/>
        <v>0</v>
      </c>
      <c r="K73" s="219" t="str">
        <f t="array" ref="K73">IFERROR(I73*INDEX('PORTIFÓLIO'!$S$4:$S$433,MATCH($C73,'PORTIFÓLIO'!$C$4:$C$433,0)),"")</f>
        <v/>
      </c>
      <c r="L73" s="219" t="str">
        <f t="array" ref="L73">IFERROR(J73*INDEX('PORTIFÓLIO'!$S$4:$S$433,MATCH($C73,'PORTIFÓLIO'!$C$4:$C$433,0)),"")</f>
        <v/>
      </c>
      <c r="M73" s="220"/>
      <c r="N73" s="220"/>
      <c r="O73" s="220"/>
      <c r="P73" s="220"/>
      <c r="Q73" s="220"/>
      <c r="R73" s="220"/>
      <c r="S73" s="220"/>
      <c r="T73" s="220"/>
      <c r="U73" s="220"/>
      <c r="V73" s="220"/>
      <c r="W73" s="220"/>
    </row>
    <row r="74" ht="15.75" customHeight="1" outlineLevel="1">
      <c r="A74" s="211"/>
      <c r="B74" s="212"/>
      <c r="C74" s="213"/>
      <c r="D74" s="214" t="str">
        <f>IFERROR(VLOOKUP($C74,'PORTIFÓLIO'!C:V,2,0),"")</f>
        <v/>
      </c>
      <c r="E74" s="211" t="str">
        <f>IFERROR(VLOOKUP($C74,'PORTIFÓLIO'!C:V,3,0),"")</f>
        <v/>
      </c>
      <c r="F74" s="211" t="str">
        <f>IFERROR(VLOOKUP($C74,'PORTIFÓLIO'!C:V,4,0),"")</f>
        <v/>
      </c>
      <c r="G74" s="215" t="str">
        <f>IFERROR(VLOOKUP($C74,'PORTIFÓLIO'!C:V,5,0),"")</f>
        <v/>
      </c>
      <c r="H74" s="254" t="str">
        <f t="array" ref="H74">IFERROR(INDEX('PORTIFÓLIO'!$H$4:$H$433,MATCH($C74,'PORTIFÓLIO'!$C$4:$C$433,0)),"")</f>
        <v/>
      </c>
      <c r="I74" s="256"/>
      <c r="J74" s="218">
        <f t="shared" si="8"/>
        <v>0</v>
      </c>
      <c r="K74" s="219" t="str">
        <f t="array" ref="K74">IFERROR(I74*INDEX('PORTIFÓLIO'!$S$4:$S$433,MATCH($C74,'PORTIFÓLIO'!$C$4:$C$433,0)),"")</f>
        <v/>
      </c>
      <c r="L74" s="219" t="str">
        <f t="array" ref="L74">IFERROR(J74*INDEX('PORTIFÓLIO'!$S$4:$S$433,MATCH($C74,'PORTIFÓLIO'!$C$4:$C$433,0)),"")</f>
        <v/>
      </c>
      <c r="M74" s="220"/>
      <c r="N74" s="220"/>
      <c r="O74" s="220"/>
      <c r="P74" s="220"/>
      <c r="Q74" s="220"/>
      <c r="R74" s="220"/>
      <c r="S74" s="220"/>
      <c r="T74" s="220"/>
      <c r="U74" s="220"/>
      <c r="V74" s="220"/>
      <c r="W74" s="220"/>
    </row>
    <row r="75" ht="15.75" customHeight="1" outlineLevel="1">
      <c r="A75" s="211"/>
      <c r="B75" s="212"/>
      <c r="C75" s="213"/>
      <c r="D75" s="214" t="str">
        <f>IFERROR(VLOOKUP($C75,'PORTIFÓLIO'!C:V,2,0),"")</f>
        <v/>
      </c>
      <c r="E75" s="211" t="str">
        <f>IFERROR(VLOOKUP($C75,'PORTIFÓLIO'!C:V,3,0),"")</f>
        <v/>
      </c>
      <c r="F75" s="211" t="str">
        <f>IFERROR(VLOOKUP($C75,'PORTIFÓLIO'!C:V,4,0),"")</f>
        <v/>
      </c>
      <c r="G75" s="215" t="str">
        <f>IFERROR(VLOOKUP($C75,'PORTIFÓLIO'!C:V,5,0),"")</f>
        <v/>
      </c>
      <c r="H75" s="254" t="str">
        <f t="array" ref="H75">IFERROR(INDEX('PORTIFÓLIO'!$H$4:$H$433,MATCH($C75,'PORTIFÓLIO'!$C$4:$C$433,0)),"")</f>
        <v/>
      </c>
      <c r="I75" s="256"/>
      <c r="J75" s="218">
        <f t="shared" si="8"/>
        <v>0</v>
      </c>
      <c r="K75" s="219" t="str">
        <f t="array" ref="K75">IFERROR(I75*INDEX('PORTIFÓLIO'!$S$4:$S$433,MATCH($C75,'PORTIFÓLIO'!$C$4:$C$433,0)),"")</f>
        <v/>
      </c>
      <c r="L75" s="219" t="str">
        <f t="array" ref="L75">IFERROR(J75*INDEX('PORTIFÓLIO'!$S$4:$S$433,MATCH($C75,'PORTIFÓLIO'!$C$4:$C$433,0)),"")</f>
        <v/>
      </c>
      <c r="M75" s="220"/>
      <c r="N75" s="220"/>
      <c r="O75" s="220"/>
      <c r="P75" s="220"/>
      <c r="Q75" s="220"/>
      <c r="R75" s="220"/>
      <c r="S75" s="220"/>
      <c r="T75" s="220"/>
      <c r="U75" s="220"/>
      <c r="V75" s="220"/>
      <c r="W75" s="220"/>
    </row>
    <row r="76" ht="15.75" customHeight="1" outlineLevel="1">
      <c r="A76" s="211"/>
      <c r="B76" s="212"/>
      <c r="C76" s="213"/>
      <c r="D76" s="214" t="str">
        <f>IFERROR(VLOOKUP($C76,'PORTIFÓLIO'!C:V,2,0),"")</f>
        <v/>
      </c>
      <c r="E76" s="211" t="str">
        <f>IFERROR(VLOOKUP($C76,'PORTIFÓLIO'!C:V,3,0),"")</f>
        <v/>
      </c>
      <c r="F76" s="211" t="str">
        <f>IFERROR(VLOOKUP($C76,'PORTIFÓLIO'!C:V,4,0),"")</f>
        <v/>
      </c>
      <c r="G76" s="215" t="str">
        <f>IFERROR(VLOOKUP($C76,'PORTIFÓLIO'!C:V,5,0),"")</f>
        <v/>
      </c>
      <c r="H76" s="254" t="str">
        <f t="array" ref="H76">IFERROR(INDEX('PORTIFÓLIO'!$H$4:$H$433,MATCH($C76,'PORTIFÓLIO'!$C$4:$C$433,0)),"")</f>
        <v/>
      </c>
      <c r="I76" s="256"/>
      <c r="J76" s="218">
        <f t="shared" si="8"/>
        <v>0</v>
      </c>
      <c r="K76" s="219" t="str">
        <f t="array" ref="K76">IFERROR(I76*INDEX('PORTIFÓLIO'!$S$4:$S$433,MATCH($C76,'PORTIFÓLIO'!$C$4:$C$433,0)),"")</f>
        <v/>
      </c>
      <c r="L76" s="219" t="str">
        <f t="array" ref="L76">IFERROR(J76*INDEX('PORTIFÓLIO'!$S$4:$S$433,MATCH($C76,'PORTIFÓLIO'!$C$4:$C$433,0)),"")</f>
        <v/>
      </c>
      <c r="M76" s="220"/>
      <c r="N76" s="220"/>
      <c r="O76" s="220"/>
      <c r="P76" s="220"/>
      <c r="Q76" s="220"/>
      <c r="R76" s="220"/>
      <c r="S76" s="220"/>
      <c r="T76" s="220"/>
      <c r="U76" s="220"/>
      <c r="V76" s="220"/>
      <c r="W76" s="220"/>
    </row>
    <row r="77" ht="15.75" customHeight="1" outlineLevel="1">
      <c r="A77" s="211"/>
      <c r="B77" s="212"/>
      <c r="C77" s="213"/>
      <c r="D77" s="214" t="str">
        <f>IFERROR(VLOOKUP($C77,'PORTIFÓLIO'!C:V,2,0),"")</f>
        <v/>
      </c>
      <c r="E77" s="211" t="str">
        <f>IFERROR(VLOOKUP($C77,'PORTIFÓLIO'!C:V,3,0),"")</f>
        <v/>
      </c>
      <c r="F77" s="211" t="str">
        <f>IFERROR(VLOOKUP($C77,'PORTIFÓLIO'!C:V,4,0),"")</f>
        <v/>
      </c>
      <c r="G77" s="215" t="str">
        <f>IFERROR(VLOOKUP($C77,'PORTIFÓLIO'!C:V,5,0),"")</f>
        <v/>
      </c>
      <c r="H77" s="254" t="str">
        <f t="array" ref="H77">IFERROR(INDEX('PORTIFÓLIO'!$H$4:$H$433,MATCH($C77,'PORTIFÓLIO'!$C$4:$C$433,0)),"")</f>
        <v/>
      </c>
      <c r="I77" s="256"/>
      <c r="J77" s="218">
        <f t="shared" si="8"/>
        <v>0</v>
      </c>
      <c r="K77" s="219" t="str">
        <f t="array" ref="K77">IFERROR(I77*INDEX('PORTIFÓLIO'!$S$4:$S$433,MATCH($C77,'PORTIFÓLIO'!$C$4:$C$433,0)),"")</f>
        <v/>
      </c>
      <c r="L77" s="219" t="str">
        <f t="array" ref="L77">IFERROR(J77*INDEX('PORTIFÓLIO'!$S$4:$S$433,MATCH($C77,'PORTIFÓLIO'!$C$4:$C$433,0)),"")</f>
        <v/>
      </c>
      <c r="M77" s="220"/>
      <c r="N77" s="220"/>
      <c r="O77" s="220"/>
      <c r="P77" s="220"/>
      <c r="Q77" s="220"/>
      <c r="R77" s="220"/>
      <c r="S77" s="220"/>
      <c r="T77" s="220"/>
      <c r="U77" s="220"/>
      <c r="V77" s="220"/>
      <c r="W77" s="220"/>
    </row>
    <row r="78" ht="15.75" customHeight="1" outlineLevel="1">
      <c r="A78" s="211"/>
      <c r="B78" s="212"/>
      <c r="C78" s="213"/>
      <c r="D78" s="214" t="str">
        <f>IFERROR(VLOOKUP($C78,'PORTIFÓLIO'!C:V,2,0),"")</f>
        <v/>
      </c>
      <c r="E78" s="211" t="str">
        <f>IFERROR(VLOOKUP($C78,'PORTIFÓLIO'!C:V,3,0),"")</f>
        <v/>
      </c>
      <c r="F78" s="211" t="str">
        <f>IFERROR(VLOOKUP($C78,'PORTIFÓLIO'!C:V,4,0),"")</f>
        <v/>
      </c>
      <c r="G78" s="215" t="str">
        <f>IFERROR(VLOOKUP($C78,'PORTIFÓLIO'!C:V,5,0),"")</f>
        <v/>
      </c>
      <c r="H78" s="254" t="str">
        <f t="array" ref="H78">IFERROR(INDEX('PORTIFÓLIO'!$H$4:$H$433,MATCH($C78,'PORTIFÓLIO'!$C$4:$C$433,0)),"")</f>
        <v/>
      </c>
      <c r="I78" s="256"/>
      <c r="J78" s="218">
        <f t="shared" si="8"/>
        <v>0</v>
      </c>
      <c r="K78" s="219" t="str">
        <f t="array" ref="K78">IFERROR(I78*INDEX('PORTIFÓLIO'!$S$4:$S$433,MATCH($C78,'PORTIFÓLIO'!$C$4:$C$433,0)),"")</f>
        <v/>
      </c>
      <c r="L78" s="219" t="str">
        <f t="array" ref="L78">IFERROR(J78*INDEX('PORTIFÓLIO'!$S$4:$S$433,MATCH($C78,'PORTIFÓLIO'!$C$4:$C$433,0)),"")</f>
        <v/>
      </c>
      <c r="M78" s="220"/>
      <c r="N78" s="220"/>
      <c r="O78" s="220"/>
      <c r="P78" s="220"/>
      <c r="Q78" s="220"/>
      <c r="R78" s="220"/>
      <c r="S78" s="220"/>
      <c r="T78" s="220"/>
      <c r="U78" s="220"/>
      <c r="V78" s="220"/>
      <c r="W78" s="220"/>
    </row>
    <row r="79" ht="15.75" customHeight="1" outlineLevel="1">
      <c r="A79" s="211"/>
      <c r="B79" s="212"/>
      <c r="C79" s="213"/>
      <c r="D79" s="214" t="str">
        <f>IFERROR(VLOOKUP($C79,'PORTIFÓLIO'!C:V,2,0),"")</f>
        <v/>
      </c>
      <c r="E79" s="211" t="str">
        <f>IFERROR(VLOOKUP($C79,'PORTIFÓLIO'!C:V,3,0),"")</f>
        <v/>
      </c>
      <c r="F79" s="211" t="str">
        <f>IFERROR(VLOOKUP($C79,'PORTIFÓLIO'!C:V,4,0),"")</f>
        <v/>
      </c>
      <c r="G79" s="215" t="str">
        <f>IFERROR(VLOOKUP($C79,'PORTIFÓLIO'!C:V,5,0),"")</f>
        <v/>
      </c>
      <c r="H79" s="254" t="str">
        <f t="array" ref="H79">IFERROR(INDEX('PORTIFÓLIO'!$H$4:$H$433,MATCH($C79,'PORTIFÓLIO'!$C$4:$C$433,0)),"")</f>
        <v/>
      </c>
      <c r="I79" s="256"/>
      <c r="J79" s="218">
        <f t="shared" si="8"/>
        <v>0</v>
      </c>
      <c r="K79" s="219" t="str">
        <f t="array" ref="K79">IFERROR(I79*INDEX('PORTIFÓLIO'!$S$4:$S$433,MATCH($C79,'PORTIFÓLIO'!$C$4:$C$433,0)),"")</f>
        <v/>
      </c>
      <c r="L79" s="219" t="str">
        <f t="array" ref="L79">IFERROR(J79*INDEX('PORTIFÓLIO'!$S$4:$S$433,MATCH($C79,'PORTIFÓLIO'!$C$4:$C$433,0)),"")</f>
        <v/>
      </c>
      <c r="M79" s="220"/>
      <c r="N79" s="220"/>
      <c r="O79" s="220"/>
      <c r="P79" s="220"/>
      <c r="Q79" s="220"/>
      <c r="R79" s="220"/>
      <c r="S79" s="220"/>
      <c r="T79" s="220"/>
      <c r="U79" s="220"/>
      <c r="V79" s="220"/>
      <c r="W79" s="220"/>
    </row>
    <row r="80" ht="15.75" customHeight="1" outlineLevel="1">
      <c r="A80" s="211"/>
      <c r="B80" s="212"/>
      <c r="C80" s="213"/>
      <c r="D80" s="214" t="str">
        <f>IFERROR(VLOOKUP($C80,'PORTIFÓLIO'!C:V,2,0),"")</f>
        <v/>
      </c>
      <c r="E80" s="211" t="str">
        <f>IFERROR(VLOOKUP($C80,'PORTIFÓLIO'!C:V,3,0),"")</f>
        <v/>
      </c>
      <c r="F80" s="211" t="str">
        <f>IFERROR(VLOOKUP($C80,'PORTIFÓLIO'!C:V,4,0),"")</f>
        <v/>
      </c>
      <c r="G80" s="215" t="str">
        <f>IFERROR(VLOOKUP($C80,'PORTIFÓLIO'!C:V,5,0),"")</f>
        <v/>
      </c>
      <c r="H80" s="254" t="str">
        <f t="array" ref="H80">IFERROR(INDEX('PORTIFÓLIO'!$H$4:$H$433,MATCH($C80,'PORTIFÓLIO'!$C$4:$C$433,0)),"")</f>
        <v/>
      </c>
      <c r="I80" s="256"/>
      <c r="J80" s="218">
        <f t="shared" si="8"/>
        <v>0</v>
      </c>
      <c r="K80" s="219" t="str">
        <f t="array" ref="K80">IFERROR(I80*INDEX('PORTIFÓLIO'!$S$4:$S$433,MATCH($C80,'PORTIFÓLIO'!$C$4:$C$433,0)),"")</f>
        <v/>
      </c>
      <c r="L80" s="219" t="str">
        <f t="array" ref="L80">IFERROR(J80*INDEX('PORTIFÓLIO'!$S$4:$S$433,MATCH($C80,'PORTIFÓLIO'!$C$4:$C$433,0)),"")</f>
        <v/>
      </c>
      <c r="M80" s="220"/>
      <c r="N80" s="220"/>
      <c r="O80" s="220"/>
      <c r="P80" s="220"/>
      <c r="Q80" s="220"/>
      <c r="R80" s="220"/>
      <c r="S80" s="220"/>
      <c r="T80" s="220"/>
      <c r="U80" s="220"/>
      <c r="V80" s="220"/>
      <c r="W80" s="220"/>
    </row>
    <row r="81" ht="15.75" customHeight="1">
      <c r="A81" s="229" t="s">
        <v>1188</v>
      </c>
      <c r="B81" s="230"/>
      <c r="C81" s="231"/>
      <c r="D81" s="232" t="s">
        <v>216</v>
      </c>
      <c r="E81" s="231"/>
      <c r="F81" s="231"/>
      <c r="G81" s="233"/>
      <c r="H81" s="233"/>
      <c r="I81" s="258"/>
      <c r="J81" s="236"/>
      <c r="K81" s="237">
        <f t="shared" ref="K81:L81" si="9">SUBTOTAL(9,K82:K95)</f>
        <v>83.05714</v>
      </c>
      <c r="L81" s="237">
        <f t="shared" si="9"/>
        <v>16611.428</v>
      </c>
      <c r="M81" s="220"/>
      <c r="N81" s="220"/>
      <c r="O81" s="220"/>
      <c r="P81" s="220"/>
      <c r="Q81" s="220"/>
      <c r="R81" s="220"/>
      <c r="S81" s="220"/>
      <c r="T81" s="220"/>
      <c r="U81" s="220"/>
      <c r="V81" s="220"/>
      <c r="W81" s="220"/>
    </row>
    <row r="82" ht="15.75" customHeight="1" outlineLevel="1">
      <c r="A82" s="213"/>
      <c r="B82" s="212" t="s">
        <v>1</v>
      </c>
      <c r="C82" s="213" t="s">
        <v>637</v>
      </c>
      <c r="D82" s="214" t="str">
        <f>IFERROR(VLOOKUP($C82,'PORTIFÓLIO'!C:V,2,0),"")</f>
        <v>GLIFOSATO-SAL DE AMÔNIO</v>
      </c>
      <c r="E82" s="211">
        <f>IFERROR(VLOOKUP($C82,'PORTIFÓLIO'!C:V,3,0),"")</f>
        <v>720</v>
      </c>
      <c r="F82" s="211" t="str">
        <f>IFERROR(VLOOKUP($C82,'PORTIFÓLIO'!C:V,4,0),"")</f>
        <v>L</v>
      </c>
      <c r="G82" s="225" t="str">
        <f>IFERROR(VLOOKUP($C82,'PORTIFÓLIO'!C:V,5,0),"")</f>
        <v>📄 Ver bula</v>
      </c>
      <c r="H82" s="254">
        <f t="array" ref="H82">IFERROR(INDEX('PORTIFÓLIO'!$H$4:$H$433,MATCH($C82,'PORTIFÓLIO'!$C$4:$C$433,0)),"")</f>
        <v>2</v>
      </c>
      <c r="I82" s="255">
        <v>2.0</v>
      </c>
      <c r="J82" s="218">
        <f t="shared" ref="J82:J96" si="10">I82*$B$2</f>
        <v>400</v>
      </c>
      <c r="K82" s="219">
        <f t="array" ref="K82">IFERROR(I82*INDEX('PORTIFÓLIO'!$S$4:$S$433,MATCH($C82,'PORTIFÓLIO'!$C$4:$C$433,0)),"")</f>
        <v>49.16</v>
      </c>
      <c r="L82" s="219">
        <f t="array" ref="L82">IFERROR(J82*INDEX('PORTIFÓLIO'!$S$4:$S$433,MATCH($C82,'PORTIFÓLIO'!$C$4:$C$433,0)),"")</f>
        <v>9832</v>
      </c>
      <c r="M82" s="220"/>
      <c r="N82" s="220"/>
      <c r="O82" s="220"/>
      <c r="P82" s="220"/>
      <c r="Q82" s="220"/>
      <c r="R82" s="220"/>
      <c r="S82" s="220"/>
      <c r="T82" s="220"/>
      <c r="U82" s="220"/>
      <c r="V82" s="220"/>
      <c r="W82" s="220"/>
    </row>
    <row r="83" ht="15.75" customHeight="1" outlineLevel="1">
      <c r="A83" s="211"/>
      <c r="B83" s="212" t="s">
        <v>1</v>
      </c>
      <c r="C83" s="213" t="s">
        <v>682</v>
      </c>
      <c r="D83" s="214" t="str">
        <f>IFERROR(VLOOKUP($C83,'PORTIFÓLIO'!C:V,2,0),"")</f>
        <v>CLETODIM</v>
      </c>
      <c r="E83" s="211">
        <f>IFERROR(VLOOKUP($C83,'PORTIFÓLIO'!C:V,3,0),"")</f>
        <v>240</v>
      </c>
      <c r="F83" s="211" t="str">
        <f>IFERROR(VLOOKUP($C83,'PORTIFÓLIO'!C:V,4,0),"")</f>
        <v>L</v>
      </c>
      <c r="G83" s="225" t="str">
        <f>IFERROR(VLOOKUP($C83,'PORTIFÓLIO'!C:V,5,0),"")</f>
        <v>📄 Ver bula</v>
      </c>
      <c r="H83" s="254">
        <f t="array" ref="H83">IFERROR(INDEX('PORTIFÓLIO'!$H$4:$H$433,MATCH($C83,'PORTIFÓLIO'!$C$4:$C$433,0)),"")</f>
        <v>0.4</v>
      </c>
      <c r="I83" s="255">
        <v>0.6</v>
      </c>
      <c r="J83" s="218">
        <f t="shared" si="10"/>
        <v>120</v>
      </c>
      <c r="K83" s="219">
        <f t="array" ref="K83">IFERROR(I83*INDEX('PORTIFÓLIO'!$S$4:$S$433,MATCH($C83,'PORTIFÓLIO'!$C$4:$C$433,0)),"")</f>
        <v>18.50874</v>
      </c>
      <c r="L83" s="219">
        <f t="array" ref="L83">IFERROR(J83*INDEX('PORTIFÓLIO'!$S$4:$S$433,MATCH($C83,'PORTIFÓLIO'!$C$4:$C$433,0)),"")</f>
        <v>3701.748</v>
      </c>
      <c r="M83" s="220"/>
      <c r="N83" s="220"/>
      <c r="O83" s="220"/>
      <c r="P83" s="220"/>
      <c r="Q83" s="220"/>
      <c r="R83" s="220"/>
      <c r="S83" s="220"/>
      <c r="T83" s="220"/>
      <c r="U83" s="220"/>
      <c r="V83" s="220"/>
      <c r="W83" s="220"/>
    </row>
    <row r="84" ht="15.75" customHeight="1" outlineLevel="1">
      <c r="A84" s="211"/>
      <c r="B84" s="212" t="s">
        <v>0</v>
      </c>
      <c r="C84" s="213" t="s">
        <v>505</v>
      </c>
      <c r="D84" s="214" t="str">
        <f>IFERROR(VLOOKUP($C84,'PORTIFÓLIO'!C:V,2,0),"")</f>
        <v>TEBUCONAZOL</v>
      </c>
      <c r="E84" s="211">
        <f>IFERROR(VLOOKUP($C84,'PORTIFÓLIO'!C:V,3,0),"")</f>
        <v>430</v>
      </c>
      <c r="F84" s="211" t="str">
        <f>IFERROR(VLOOKUP($C84,'PORTIFÓLIO'!C:V,4,0),"")</f>
        <v>L</v>
      </c>
      <c r="G84" s="225" t="str">
        <f>IFERROR(VLOOKUP($C84,'PORTIFÓLIO'!C:V,5,0),"")</f>
        <v>📄 Ver bula</v>
      </c>
      <c r="H84" s="254">
        <f t="array" ref="H84">IFERROR(INDEX('PORTIFÓLIO'!$H$4:$H$433,MATCH($C84,'PORTIFÓLIO'!$C$4:$C$433,0)),"")</f>
        <v>0.4</v>
      </c>
      <c r="I84" s="255">
        <v>0.4</v>
      </c>
      <c r="J84" s="218">
        <f t="shared" si="10"/>
        <v>80</v>
      </c>
      <c r="K84" s="219">
        <f t="array" ref="K84">IFERROR(I84*INDEX('PORTIFÓLIO'!$S$4:$S$433,MATCH($C84,'PORTIFÓLIO'!$C$4:$C$433,0)),"")</f>
        <v>12.1824</v>
      </c>
      <c r="L84" s="219">
        <f t="array" ref="L84">IFERROR(J84*INDEX('PORTIFÓLIO'!$S$4:$S$433,MATCH($C84,'PORTIFÓLIO'!$C$4:$C$433,0)),"")</f>
        <v>2436.48</v>
      </c>
      <c r="M84" s="220"/>
      <c r="N84" s="220"/>
      <c r="O84" s="220"/>
      <c r="P84" s="220"/>
      <c r="Q84" s="220"/>
      <c r="R84" s="220"/>
      <c r="S84" s="220"/>
      <c r="T84" s="220"/>
      <c r="U84" s="220"/>
      <c r="V84" s="220"/>
      <c r="W84" s="220"/>
    </row>
    <row r="85" ht="15.75" customHeight="1" outlineLevel="1">
      <c r="A85" s="211"/>
      <c r="B85" s="212" t="s">
        <v>6</v>
      </c>
      <c r="C85" s="213" t="s">
        <v>354</v>
      </c>
      <c r="D85" s="214" t="str">
        <f>IFERROR(VLOOKUP($C85,'PORTIFÓLIO'!C:V,2,0),"")</f>
        <v>OLEO MINERAL</v>
      </c>
      <c r="E85" s="211">
        <f>IFERROR(VLOOKUP($C85,'PORTIFÓLIO'!C:V,3,0),"")</f>
        <v>761</v>
      </c>
      <c r="F85" s="211" t="str">
        <f>IFERROR(VLOOKUP($C85,'PORTIFÓLIO'!C:V,4,0),"")</f>
        <v>L</v>
      </c>
      <c r="G85" s="225" t="str">
        <f>IFERROR(VLOOKUP($C85,'PORTIFÓLIO'!C:V,5,0),"")</f>
        <v>📄 Ver bula</v>
      </c>
      <c r="H85" s="254">
        <f t="array" ref="H85">IFERROR(INDEX('PORTIFÓLIO'!$H$4:$H$433,MATCH($C85,'PORTIFÓLIO'!$C$4:$C$433,0)),"")</f>
        <v>0.2</v>
      </c>
      <c r="I85" s="255">
        <v>0.2</v>
      </c>
      <c r="J85" s="218">
        <f t="shared" si="10"/>
        <v>40</v>
      </c>
      <c r="K85" s="219">
        <f t="array" ref="K85">IFERROR(I85*INDEX('PORTIFÓLIO'!$S$4:$S$433,MATCH($C85,'PORTIFÓLIO'!$C$4:$C$433,0)),"")</f>
        <v>3.206</v>
      </c>
      <c r="L85" s="219">
        <f t="array" ref="L85">IFERROR(J85*INDEX('PORTIFÓLIO'!$S$4:$S$433,MATCH($C85,'PORTIFÓLIO'!$C$4:$C$433,0)),"")</f>
        <v>641.2</v>
      </c>
      <c r="M85" s="220"/>
      <c r="N85" s="220"/>
      <c r="O85" s="220"/>
      <c r="P85" s="220"/>
      <c r="Q85" s="220"/>
      <c r="R85" s="220"/>
      <c r="S85" s="220"/>
      <c r="T85" s="220"/>
      <c r="U85" s="220"/>
      <c r="V85" s="220"/>
      <c r="W85" s="220"/>
    </row>
    <row r="86" ht="15.75" customHeight="1" outlineLevel="1">
      <c r="A86" s="211"/>
      <c r="B86" s="212"/>
      <c r="C86" s="213"/>
      <c r="D86" s="214" t="str">
        <f>IFERROR(VLOOKUP($C86,'PORTIFÓLIO'!C:V,2,0),"")</f>
        <v/>
      </c>
      <c r="E86" s="211" t="str">
        <f>IFERROR(VLOOKUP($C86,'PORTIFÓLIO'!C:V,3,0),"")</f>
        <v/>
      </c>
      <c r="F86" s="211" t="str">
        <f>IFERROR(VLOOKUP($C86,'PORTIFÓLIO'!C:V,4,0),"")</f>
        <v/>
      </c>
      <c r="G86" s="215" t="str">
        <f>IFERROR(VLOOKUP($C86,'PORTIFÓLIO'!C:V,5,0),"")</f>
        <v/>
      </c>
      <c r="H86" s="254" t="str">
        <f t="array" ref="H86">IFERROR(INDEX('PORTIFÓLIO'!$H$4:$H$433,MATCH($C86,'PORTIFÓLIO'!$C$4:$C$433,0)),"")</f>
        <v/>
      </c>
      <c r="I86" s="256"/>
      <c r="J86" s="218">
        <f t="shared" si="10"/>
        <v>0</v>
      </c>
      <c r="K86" s="219" t="str">
        <f t="array" ref="K86">IFERROR(I86*INDEX('PORTIFÓLIO'!$S$4:$S$433,MATCH($C86,'PORTIFÓLIO'!$C$4:$C$433,0)),"")</f>
        <v/>
      </c>
      <c r="L86" s="219" t="str">
        <f t="array" ref="L86">IFERROR(J86*INDEX('PORTIFÓLIO'!$S$4:$S$433,MATCH($C86,'PORTIFÓLIO'!$C$4:$C$433,0)),"")</f>
        <v/>
      </c>
      <c r="M86" s="220"/>
      <c r="N86" s="220"/>
      <c r="O86" s="220"/>
      <c r="P86" s="220"/>
      <c r="Q86" s="220"/>
      <c r="R86" s="220"/>
      <c r="S86" s="220"/>
      <c r="T86" s="220"/>
      <c r="U86" s="220"/>
      <c r="V86" s="220"/>
      <c r="W86" s="220"/>
    </row>
    <row r="87" ht="15.75" customHeight="1" outlineLevel="1">
      <c r="A87" s="211"/>
      <c r="B87" s="212"/>
      <c r="C87" s="213"/>
      <c r="D87" s="214" t="str">
        <f>IFERROR(VLOOKUP($C87,'PORTIFÓLIO'!C:V,2,0),"")</f>
        <v/>
      </c>
      <c r="E87" s="211" t="str">
        <f>IFERROR(VLOOKUP($C87,'PORTIFÓLIO'!C:V,3,0),"")</f>
        <v/>
      </c>
      <c r="F87" s="211" t="str">
        <f>IFERROR(VLOOKUP($C87,'PORTIFÓLIO'!C:V,4,0),"")</f>
        <v/>
      </c>
      <c r="G87" s="215" t="str">
        <f>IFERROR(VLOOKUP($C87,'PORTIFÓLIO'!C:V,5,0),"")</f>
        <v/>
      </c>
      <c r="H87" s="254" t="str">
        <f t="array" ref="H87">IFERROR(INDEX('PORTIFÓLIO'!$H$4:$H$433,MATCH($C87,'PORTIFÓLIO'!$C$4:$C$433,0)),"")</f>
        <v/>
      </c>
      <c r="I87" s="256"/>
      <c r="J87" s="218">
        <f t="shared" si="10"/>
        <v>0</v>
      </c>
      <c r="K87" s="219" t="str">
        <f t="array" ref="K87">IFERROR(I87*INDEX('PORTIFÓLIO'!$S$4:$S$433,MATCH($C87,'PORTIFÓLIO'!$C$4:$C$433,0)),"")</f>
        <v/>
      </c>
      <c r="L87" s="219" t="str">
        <f t="array" ref="L87">IFERROR(J87*INDEX('PORTIFÓLIO'!$S$4:$S$433,MATCH($C87,'PORTIFÓLIO'!$C$4:$C$433,0)),"")</f>
        <v/>
      </c>
      <c r="M87" s="220"/>
      <c r="N87" s="220"/>
      <c r="O87" s="220"/>
      <c r="P87" s="220"/>
      <c r="Q87" s="220"/>
      <c r="R87" s="220"/>
      <c r="S87" s="220"/>
      <c r="T87" s="220"/>
      <c r="U87" s="220"/>
      <c r="V87" s="220"/>
      <c r="W87" s="220"/>
    </row>
    <row r="88" ht="15.75" customHeight="1" outlineLevel="1">
      <c r="A88" s="211"/>
      <c r="B88" s="212"/>
      <c r="C88" s="213"/>
      <c r="D88" s="214" t="str">
        <f>IFERROR(VLOOKUP($C88,'PORTIFÓLIO'!C:V,2,0),"")</f>
        <v/>
      </c>
      <c r="E88" s="211" t="str">
        <f>IFERROR(VLOOKUP($C88,'PORTIFÓLIO'!C:V,3,0),"")</f>
        <v/>
      </c>
      <c r="F88" s="211" t="str">
        <f>IFERROR(VLOOKUP($C88,'PORTIFÓLIO'!C:V,4,0),"")</f>
        <v/>
      </c>
      <c r="G88" s="215" t="str">
        <f>IFERROR(VLOOKUP($C88,'PORTIFÓLIO'!C:V,5,0),"")</f>
        <v/>
      </c>
      <c r="H88" s="254" t="str">
        <f t="array" ref="H88">IFERROR(INDEX('PORTIFÓLIO'!$H$4:$H$433,MATCH($C88,'PORTIFÓLIO'!$C$4:$C$433,0)),"")</f>
        <v/>
      </c>
      <c r="I88" s="256"/>
      <c r="J88" s="218">
        <f t="shared" si="10"/>
        <v>0</v>
      </c>
      <c r="K88" s="219" t="str">
        <f t="array" ref="K88">IFERROR(I88*INDEX('PORTIFÓLIO'!$S$4:$S$433,MATCH($C88,'PORTIFÓLIO'!$C$4:$C$433,0)),"")</f>
        <v/>
      </c>
      <c r="L88" s="219" t="str">
        <f t="array" ref="L88">IFERROR(J88*INDEX('PORTIFÓLIO'!$S$4:$S$433,MATCH($C88,'PORTIFÓLIO'!$C$4:$C$433,0)),"")</f>
        <v/>
      </c>
      <c r="M88" s="220"/>
      <c r="N88" s="220"/>
      <c r="O88" s="220"/>
      <c r="P88" s="220"/>
      <c r="Q88" s="220"/>
      <c r="R88" s="220"/>
      <c r="S88" s="220"/>
      <c r="T88" s="220"/>
      <c r="U88" s="220"/>
      <c r="V88" s="220"/>
      <c r="W88" s="220"/>
    </row>
    <row r="89" ht="15.75" customHeight="1" outlineLevel="1">
      <c r="A89" s="211"/>
      <c r="B89" s="212"/>
      <c r="C89" s="213"/>
      <c r="D89" s="214" t="str">
        <f>IFERROR(VLOOKUP($C89,'PORTIFÓLIO'!C:V,2,0),"")</f>
        <v/>
      </c>
      <c r="E89" s="211" t="str">
        <f>IFERROR(VLOOKUP($C89,'PORTIFÓLIO'!C:V,3,0),"")</f>
        <v/>
      </c>
      <c r="F89" s="211" t="str">
        <f>IFERROR(VLOOKUP($C89,'PORTIFÓLIO'!C:V,4,0),"")</f>
        <v/>
      </c>
      <c r="G89" s="215" t="str">
        <f>IFERROR(VLOOKUP($C89,'PORTIFÓLIO'!C:V,5,0),"")</f>
        <v/>
      </c>
      <c r="H89" s="254" t="str">
        <f t="array" ref="H89">IFERROR(INDEX('PORTIFÓLIO'!$H$4:$H$433,MATCH($C89,'PORTIFÓLIO'!$C$4:$C$433,0)),"")</f>
        <v/>
      </c>
      <c r="I89" s="256"/>
      <c r="J89" s="218">
        <f t="shared" si="10"/>
        <v>0</v>
      </c>
      <c r="K89" s="219" t="str">
        <f t="array" ref="K89">IFERROR(I89*INDEX('PORTIFÓLIO'!$S$4:$S$433,MATCH($C89,'PORTIFÓLIO'!$C$4:$C$433,0)),"")</f>
        <v/>
      </c>
      <c r="L89" s="219" t="str">
        <f t="array" ref="L89">IFERROR(J89*INDEX('PORTIFÓLIO'!$S$4:$S$433,MATCH($C89,'PORTIFÓLIO'!$C$4:$C$433,0)),"")</f>
        <v/>
      </c>
      <c r="M89" s="220"/>
      <c r="N89" s="220"/>
      <c r="O89" s="220"/>
      <c r="P89" s="220"/>
      <c r="Q89" s="220"/>
      <c r="R89" s="220"/>
      <c r="S89" s="220"/>
      <c r="T89" s="220"/>
      <c r="U89" s="220"/>
      <c r="V89" s="220"/>
      <c r="W89" s="220"/>
    </row>
    <row r="90" ht="15.75" customHeight="1" outlineLevel="1">
      <c r="A90" s="211"/>
      <c r="B90" s="212"/>
      <c r="C90" s="213"/>
      <c r="D90" s="214" t="str">
        <f>IFERROR(VLOOKUP($C90,'PORTIFÓLIO'!C:V,2,0),"")</f>
        <v/>
      </c>
      <c r="E90" s="211" t="str">
        <f>IFERROR(VLOOKUP($C90,'PORTIFÓLIO'!C:V,3,0),"")</f>
        <v/>
      </c>
      <c r="F90" s="211" t="str">
        <f>IFERROR(VLOOKUP($C90,'PORTIFÓLIO'!C:V,4,0),"")</f>
        <v/>
      </c>
      <c r="G90" s="215" t="str">
        <f>IFERROR(VLOOKUP($C90,'PORTIFÓLIO'!C:V,5,0),"")</f>
        <v/>
      </c>
      <c r="H90" s="254" t="str">
        <f t="array" ref="H90">IFERROR(INDEX('PORTIFÓLIO'!$H$4:$H$433,MATCH($C90,'PORTIFÓLIO'!$C$4:$C$433,0)),"")</f>
        <v/>
      </c>
      <c r="I90" s="255"/>
      <c r="J90" s="218">
        <f t="shared" si="10"/>
        <v>0</v>
      </c>
      <c r="K90" s="219" t="str">
        <f t="array" ref="K90">IFERROR(I90*INDEX('PORTIFÓLIO'!$S$4:$S$433,MATCH($C90,'PORTIFÓLIO'!$C$4:$C$433,0)),"")</f>
        <v/>
      </c>
      <c r="L90" s="219" t="str">
        <f t="array" ref="L90">IFERROR(J90*INDEX('PORTIFÓLIO'!$S$4:$S$433,MATCH($C90,'PORTIFÓLIO'!$C$4:$C$433,0)),"")</f>
        <v/>
      </c>
      <c r="M90" s="220"/>
      <c r="N90" s="220"/>
      <c r="O90" s="220"/>
      <c r="P90" s="220"/>
      <c r="Q90" s="220"/>
      <c r="R90" s="220"/>
      <c r="S90" s="220"/>
      <c r="T90" s="220"/>
      <c r="U90" s="220"/>
      <c r="V90" s="220"/>
      <c r="W90" s="220"/>
    </row>
    <row r="91" ht="15.75" customHeight="1" outlineLevel="1">
      <c r="A91" s="211"/>
      <c r="B91" s="212"/>
      <c r="C91" s="213"/>
      <c r="D91" s="214" t="str">
        <f>IFERROR(VLOOKUP($C91,'PORTIFÓLIO'!C:V,2,0),"")</f>
        <v/>
      </c>
      <c r="E91" s="211" t="str">
        <f>IFERROR(VLOOKUP($C91,'PORTIFÓLIO'!C:V,3,0),"")</f>
        <v/>
      </c>
      <c r="F91" s="211" t="str">
        <f>IFERROR(VLOOKUP($C91,'PORTIFÓLIO'!C:V,4,0),"")</f>
        <v/>
      </c>
      <c r="G91" s="215" t="str">
        <f>IFERROR(VLOOKUP($C91,'PORTIFÓLIO'!C:V,5,0),"")</f>
        <v/>
      </c>
      <c r="H91" s="254" t="str">
        <f t="array" ref="H91">IFERROR(INDEX('PORTIFÓLIO'!$H$4:$H$433,MATCH($C91,'PORTIFÓLIO'!$C$4:$C$433,0)),"")</f>
        <v/>
      </c>
      <c r="I91" s="256"/>
      <c r="J91" s="218">
        <f t="shared" si="10"/>
        <v>0</v>
      </c>
      <c r="K91" s="219" t="str">
        <f t="array" ref="K91">IFERROR(I91*INDEX('PORTIFÓLIO'!$S$4:$S$433,MATCH($C91,'PORTIFÓLIO'!$C$4:$C$433,0)),"")</f>
        <v/>
      </c>
      <c r="L91" s="219" t="str">
        <f t="array" ref="L91">IFERROR(J91*INDEX('PORTIFÓLIO'!$S$4:$S$433,MATCH($C91,'PORTIFÓLIO'!$C$4:$C$433,0)),"")</f>
        <v/>
      </c>
      <c r="M91" s="220"/>
      <c r="N91" s="220"/>
      <c r="O91" s="220"/>
      <c r="P91" s="220"/>
      <c r="Q91" s="220"/>
      <c r="R91" s="220"/>
      <c r="S91" s="220"/>
      <c r="T91" s="220"/>
      <c r="U91" s="220"/>
      <c r="V91" s="220"/>
      <c r="W91" s="220"/>
    </row>
    <row r="92" ht="15.75" customHeight="1" outlineLevel="1">
      <c r="A92" s="211"/>
      <c r="B92" s="212"/>
      <c r="C92" s="213"/>
      <c r="D92" s="214" t="str">
        <f>IFERROR(VLOOKUP($C92,'PORTIFÓLIO'!C:V,2,0),"")</f>
        <v/>
      </c>
      <c r="E92" s="211" t="str">
        <f>IFERROR(VLOOKUP($C92,'PORTIFÓLIO'!C:V,3,0),"")</f>
        <v/>
      </c>
      <c r="F92" s="211" t="str">
        <f>IFERROR(VLOOKUP($C92,'PORTIFÓLIO'!C:V,4,0),"")</f>
        <v/>
      </c>
      <c r="G92" s="215" t="str">
        <f>IFERROR(VLOOKUP($C92,'PORTIFÓLIO'!C:V,5,0),"")</f>
        <v/>
      </c>
      <c r="H92" s="254" t="str">
        <f t="array" ref="H92">IFERROR(INDEX('PORTIFÓLIO'!$H$4:$H$433,MATCH($C92,'PORTIFÓLIO'!$C$4:$C$433,0)),"")</f>
        <v/>
      </c>
      <c r="I92" s="256"/>
      <c r="J92" s="218">
        <f t="shared" si="10"/>
        <v>0</v>
      </c>
      <c r="K92" s="219" t="str">
        <f t="array" ref="K92">IFERROR(I92*INDEX('PORTIFÓLIO'!$S$4:$S$433,MATCH($C92,'PORTIFÓLIO'!$C$4:$C$433,0)),"")</f>
        <v/>
      </c>
      <c r="L92" s="219" t="str">
        <f t="array" ref="L92">IFERROR(J92*INDEX('PORTIFÓLIO'!$S$4:$S$433,MATCH($C92,'PORTIFÓLIO'!$C$4:$C$433,0)),"")</f>
        <v/>
      </c>
      <c r="M92" s="220"/>
      <c r="N92" s="220"/>
      <c r="O92" s="220"/>
      <c r="P92" s="220"/>
      <c r="Q92" s="220"/>
      <c r="R92" s="220"/>
      <c r="S92" s="220"/>
      <c r="T92" s="220"/>
      <c r="U92" s="220"/>
      <c r="V92" s="220"/>
      <c r="W92" s="220"/>
    </row>
    <row r="93" ht="15.75" customHeight="1" outlineLevel="1">
      <c r="A93" s="211"/>
      <c r="B93" s="212"/>
      <c r="C93" s="213"/>
      <c r="D93" s="214" t="str">
        <f>IFERROR(VLOOKUP($C93,'PORTIFÓLIO'!C:V,2,0),"")</f>
        <v/>
      </c>
      <c r="E93" s="211" t="str">
        <f>IFERROR(VLOOKUP($C93,'PORTIFÓLIO'!C:V,3,0),"")</f>
        <v/>
      </c>
      <c r="F93" s="211" t="str">
        <f>IFERROR(VLOOKUP($C93,'PORTIFÓLIO'!C:V,4,0),"")</f>
        <v/>
      </c>
      <c r="G93" s="215" t="str">
        <f>IFERROR(VLOOKUP($C93,'PORTIFÓLIO'!C:V,5,0),"")</f>
        <v/>
      </c>
      <c r="H93" s="254" t="str">
        <f t="array" ref="H93">IFERROR(INDEX('PORTIFÓLIO'!$H$4:$H$433,MATCH($C93,'PORTIFÓLIO'!$C$4:$C$433,0)),"")</f>
        <v/>
      </c>
      <c r="I93" s="256"/>
      <c r="J93" s="218">
        <f t="shared" si="10"/>
        <v>0</v>
      </c>
      <c r="K93" s="219" t="str">
        <f t="array" ref="K93">IFERROR(I93*INDEX('PORTIFÓLIO'!$S$4:$S$433,MATCH($C93,'PORTIFÓLIO'!$C$4:$C$433,0)),"")</f>
        <v/>
      </c>
      <c r="L93" s="219" t="str">
        <f t="array" ref="L93">IFERROR(J93*INDEX('PORTIFÓLIO'!$S$4:$S$433,MATCH($C93,'PORTIFÓLIO'!$C$4:$C$433,0)),"")</f>
        <v/>
      </c>
      <c r="M93" s="220"/>
      <c r="N93" s="220"/>
      <c r="O93" s="220"/>
      <c r="P93" s="220"/>
      <c r="Q93" s="220"/>
      <c r="R93" s="220"/>
      <c r="S93" s="220"/>
      <c r="T93" s="220"/>
      <c r="U93" s="220"/>
      <c r="V93" s="220"/>
      <c r="W93" s="220"/>
    </row>
    <row r="94" ht="15.75" customHeight="1" outlineLevel="1">
      <c r="A94" s="211"/>
      <c r="B94" s="212"/>
      <c r="C94" s="213"/>
      <c r="D94" s="214" t="str">
        <f>IFERROR(VLOOKUP($C94,'PORTIFÓLIO'!C:V,2,0),"")</f>
        <v/>
      </c>
      <c r="E94" s="211" t="str">
        <f>IFERROR(VLOOKUP($C94,'PORTIFÓLIO'!C:V,3,0),"")</f>
        <v/>
      </c>
      <c r="F94" s="211" t="str">
        <f>IFERROR(VLOOKUP($C94,'PORTIFÓLIO'!C:V,4,0),"")</f>
        <v/>
      </c>
      <c r="G94" s="215" t="str">
        <f>IFERROR(VLOOKUP($C94,'PORTIFÓLIO'!C:V,5,0),"")</f>
        <v/>
      </c>
      <c r="H94" s="254" t="str">
        <f t="array" ref="H94">IFERROR(INDEX('PORTIFÓLIO'!$H$4:$H$433,MATCH($C94,'PORTIFÓLIO'!$C$4:$C$433,0)),"")</f>
        <v/>
      </c>
      <c r="I94" s="256"/>
      <c r="J94" s="218">
        <f t="shared" si="10"/>
        <v>0</v>
      </c>
      <c r="K94" s="219" t="str">
        <f t="array" ref="K94">IFERROR(I94*INDEX('PORTIFÓLIO'!$S$4:$S$433,MATCH($C94,'PORTIFÓLIO'!$C$4:$C$433,0)),"")</f>
        <v/>
      </c>
      <c r="L94" s="219" t="str">
        <f t="array" ref="L94">IFERROR(J94*INDEX('PORTIFÓLIO'!$S$4:$S$433,MATCH($C94,'PORTIFÓLIO'!$C$4:$C$433,0)),"")</f>
        <v/>
      </c>
      <c r="M94" s="220"/>
      <c r="N94" s="220"/>
      <c r="O94" s="220"/>
      <c r="P94" s="220"/>
      <c r="Q94" s="220"/>
      <c r="R94" s="220"/>
      <c r="S94" s="220"/>
      <c r="T94" s="220"/>
      <c r="U94" s="220"/>
      <c r="V94" s="220"/>
      <c r="W94" s="220"/>
    </row>
    <row r="95" ht="15.75" customHeight="1" outlineLevel="1">
      <c r="A95" s="211"/>
      <c r="B95" s="212"/>
      <c r="C95" s="213"/>
      <c r="D95" s="214" t="str">
        <f>IFERROR(VLOOKUP($C95,'PORTIFÓLIO'!C:V,2,0),"")</f>
        <v/>
      </c>
      <c r="E95" s="211" t="str">
        <f>IFERROR(VLOOKUP($C95,'PORTIFÓLIO'!C:V,3,0),"")</f>
        <v/>
      </c>
      <c r="F95" s="211" t="str">
        <f>IFERROR(VLOOKUP($C95,'PORTIFÓLIO'!C:V,4,0),"")</f>
        <v/>
      </c>
      <c r="G95" s="215" t="str">
        <f>IFERROR(VLOOKUP($C95,'PORTIFÓLIO'!C:V,5,0),"")</f>
        <v/>
      </c>
      <c r="H95" s="254" t="str">
        <f t="array" ref="H95">IFERROR(INDEX('PORTIFÓLIO'!$H$4:$H$433,MATCH($C95,'PORTIFÓLIO'!$C$4:$C$433,0)),"")</f>
        <v/>
      </c>
      <c r="I95" s="256"/>
      <c r="J95" s="218">
        <f t="shared" si="10"/>
        <v>0</v>
      </c>
      <c r="K95" s="219" t="str">
        <f t="array" ref="K95">IFERROR(I95*INDEX('PORTIFÓLIO'!$S$4:$S$433,MATCH($C95,'PORTIFÓLIO'!$C$4:$C$433,0)),"")</f>
        <v/>
      </c>
      <c r="L95" s="219" t="str">
        <f t="array" ref="L95">IFERROR(J95*INDEX('PORTIFÓLIO'!$S$4:$S$433,MATCH($C95,'PORTIFÓLIO'!$C$4:$C$433,0)),"")</f>
        <v/>
      </c>
      <c r="M95" s="220"/>
      <c r="N95" s="220"/>
      <c r="O95" s="220"/>
      <c r="P95" s="220"/>
      <c r="Q95" s="220"/>
      <c r="R95" s="220"/>
      <c r="S95" s="220"/>
      <c r="T95" s="220"/>
      <c r="U95" s="220"/>
      <c r="V95" s="220"/>
      <c r="W95" s="220"/>
    </row>
    <row r="96" ht="15.75" customHeight="1" outlineLevel="1">
      <c r="A96" s="211"/>
      <c r="B96" s="212"/>
      <c r="C96" s="213"/>
      <c r="D96" s="214" t="str">
        <f>IFERROR(VLOOKUP($C96,'PORTIFÓLIO'!C:V,2,0),"")</f>
        <v/>
      </c>
      <c r="E96" s="211" t="str">
        <f>IFERROR(VLOOKUP($C96,'PORTIFÓLIO'!C:V,3,0),"")</f>
        <v/>
      </c>
      <c r="F96" s="211" t="str">
        <f>IFERROR(VLOOKUP($C96,'PORTIFÓLIO'!C:V,4,0),"")</f>
        <v/>
      </c>
      <c r="G96" s="215" t="str">
        <f>IFERROR(VLOOKUP($C96,'PORTIFÓLIO'!C:V,5,0),"")</f>
        <v/>
      </c>
      <c r="H96" s="254" t="str">
        <f t="array" ref="H96">IFERROR(INDEX('PORTIFÓLIO'!$H$4:$H$433,MATCH($C96,'PORTIFÓLIO'!$C$4:$C$433,0)),"")</f>
        <v/>
      </c>
      <c r="I96" s="256"/>
      <c r="J96" s="218">
        <f t="shared" si="10"/>
        <v>0</v>
      </c>
      <c r="K96" s="219" t="str">
        <f t="array" ref="K96">IFERROR(I96*INDEX('PORTIFÓLIO'!$S$4:$S$433,MATCH($C96,'PORTIFÓLIO'!$C$4:$C$433,0)),"")</f>
        <v/>
      </c>
      <c r="L96" s="219" t="str">
        <f t="array" ref="L96">IFERROR(J96*INDEX('PORTIFÓLIO'!$S$4:$S$433,MATCH($C96,'PORTIFÓLIO'!$C$4:$C$433,0)),"")</f>
        <v/>
      </c>
      <c r="M96" s="220"/>
      <c r="N96" s="220"/>
      <c r="O96" s="220"/>
      <c r="P96" s="220"/>
      <c r="Q96" s="220"/>
      <c r="R96" s="220"/>
      <c r="S96" s="220"/>
      <c r="T96" s="220"/>
      <c r="U96" s="220"/>
      <c r="V96" s="220"/>
      <c r="W96" s="220"/>
    </row>
    <row r="97" ht="15.75" customHeight="1">
      <c r="A97" s="229" t="s">
        <v>1189</v>
      </c>
      <c r="B97" s="230"/>
      <c r="C97" s="231"/>
      <c r="D97" s="232"/>
      <c r="E97" s="231"/>
      <c r="F97" s="231"/>
      <c r="G97" s="233"/>
      <c r="H97" s="233"/>
      <c r="I97" s="258"/>
      <c r="J97" s="236"/>
      <c r="K97" s="237">
        <f t="shared" ref="K97:L97" si="11">SUBTOTAL(9,K98:K111)</f>
        <v>251.9479845</v>
      </c>
      <c r="L97" s="237">
        <f t="shared" si="11"/>
        <v>50389.5969</v>
      </c>
      <c r="M97" s="220"/>
      <c r="N97" s="220"/>
      <c r="O97" s="220"/>
      <c r="P97" s="220"/>
      <c r="Q97" s="220"/>
      <c r="R97" s="220"/>
      <c r="S97" s="220"/>
      <c r="T97" s="220"/>
      <c r="U97" s="220"/>
      <c r="V97" s="220"/>
      <c r="W97" s="220"/>
    </row>
    <row r="98" ht="15.75" customHeight="1" outlineLevel="1">
      <c r="A98" s="213"/>
      <c r="B98" s="212" t="s">
        <v>0</v>
      </c>
      <c r="C98" s="213" t="s">
        <v>443</v>
      </c>
      <c r="D98" s="214" t="str">
        <f>IFERROR(VLOOKUP($C98,'PORTIFÓLIO'!C:V,2,0),"")</f>
        <v>MEFENTRIFLUCONAZOL + PIRACLOSTROBINA +
 FLUXAPIROXADE</v>
      </c>
      <c r="E98" s="211" t="str">
        <f>IFERROR(VLOOKUP($C98,'PORTIFÓLIO'!C:V,3,0),"")</f>
        <v>133,3 + 177,8 + 88,9</v>
      </c>
      <c r="F98" s="211" t="str">
        <f>IFERROR(VLOOKUP($C98,'PORTIFÓLIO'!C:V,4,0),"")</f>
        <v>L</v>
      </c>
      <c r="G98" s="225" t="str">
        <f>IFERROR(VLOOKUP($C98,'PORTIFÓLIO'!C:V,5,0),"")</f>
        <v>📄 Ver bula</v>
      </c>
      <c r="H98" s="254">
        <f t="array" ref="H98">IFERROR(INDEX('PORTIFÓLIO'!$H$4:$H$433,MATCH($C98,'PORTIFÓLIO'!$C$4:$C$433,0)),"")</f>
        <v>0.7</v>
      </c>
      <c r="I98" s="255">
        <v>0.7</v>
      </c>
      <c r="J98" s="218">
        <f t="shared" ref="J98:J112" si="12">I98*$B$2</f>
        <v>140</v>
      </c>
      <c r="K98" s="219">
        <f t="array" ref="K98">IFERROR(I98*INDEX('PORTIFÓLIO'!$S$4:$S$433,MATCH($C98,'PORTIFÓLIO'!$C$4:$C$433,0)),"")</f>
        <v>119.38752</v>
      </c>
      <c r="L98" s="219">
        <f t="array" ref="L98">IFERROR(J98*INDEX('PORTIFÓLIO'!$S$4:$S$433,MATCH($C98,'PORTIFÓLIO'!$C$4:$C$433,0)),"")</f>
        <v>23877.504</v>
      </c>
      <c r="M98" s="220"/>
      <c r="N98" s="220"/>
      <c r="O98" s="220"/>
      <c r="P98" s="220"/>
      <c r="Q98" s="220"/>
      <c r="R98" s="220"/>
      <c r="S98" s="220"/>
      <c r="T98" s="220"/>
      <c r="U98" s="220"/>
      <c r="V98" s="220"/>
      <c r="W98" s="220"/>
    </row>
    <row r="99" ht="15.75" customHeight="1" outlineLevel="1">
      <c r="A99" s="211"/>
      <c r="B99" s="212" t="s">
        <v>0</v>
      </c>
      <c r="C99" s="213" t="s">
        <v>520</v>
      </c>
      <c r="D99" s="214" t="str">
        <f>IFERROR(VLOOKUP($C99,'PORTIFÓLIO'!C:V,2,0),"")</f>
        <v>FLUAZINAM</v>
      </c>
      <c r="E99" s="211">
        <f>IFERROR(VLOOKUP($C99,'PORTIFÓLIO'!C:V,3,0),"")</f>
        <v>500</v>
      </c>
      <c r="F99" s="211" t="str">
        <f>IFERROR(VLOOKUP($C99,'PORTIFÓLIO'!C:V,4,0),"")</f>
        <v>L</v>
      </c>
      <c r="G99" s="225" t="str">
        <f>IFERROR(VLOOKUP($C99,'PORTIFÓLIO'!C:V,5,0),"")</f>
        <v>📄 Ver bula</v>
      </c>
      <c r="H99" s="254">
        <f t="array" ref="H99">IFERROR(INDEX('PORTIFÓLIO'!$H$4:$H$433,MATCH($C99,'PORTIFÓLIO'!$C$4:$C$433,0)),"")</f>
        <v>1</v>
      </c>
      <c r="I99" s="255">
        <v>1.0</v>
      </c>
      <c r="J99" s="218">
        <f t="shared" si="12"/>
        <v>200</v>
      </c>
      <c r="K99" s="219">
        <f t="array" ref="K99">IFERROR(I99*INDEX('PORTIFÓLIO'!$S$4:$S$433,MATCH($C99,'PORTIFÓLIO'!$C$4:$C$433,0)),"")</f>
        <v>67.68</v>
      </c>
      <c r="L99" s="219">
        <f t="array" ref="L99">IFERROR(J99*INDEX('PORTIFÓLIO'!$S$4:$S$433,MATCH($C99,'PORTIFÓLIO'!$C$4:$C$433,0)),"")</f>
        <v>13536</v>
      </c>
      <c r="M99" s="220"/>
      <c r="N99" s="220"/>
      <c r="O99" s="220"/>
      <c r="P99" s="220"/>
      <c r="Q99" s="220"/>
      <c r="R99" s="220"/>
      <c r="S99" s="220"/>
      <c r="T99" s="220"/>
      <c r="U99" s="220"/>
      <c r="V99" s="220"/>
      <c r="W99" s="220"/>
    </row>
    <row r="100" ht="15.75" customHeight="1" outlineLevel="1">
      <c r="A100" s="211"/>
      <c r="B100" s="212" t="s">
        <v>2</v>
      </c>
      <c r="C100" s="213" t="s">
        <v>829</v>
      </c>
      <c r="D100" s="214" t="str">
        <f>IFERROR(VLOOKUP($C100,'PORTIFÓLIO'!C:V,2,0),"")</f>
        <v>BIFENTRINA</v>
      </c>
      <c r="E100" s="211">
        <f>IFERROR(VLOOKUP($C100,'PORTIFÓLIO'!C:V,3,0),"")</f>
        <v>400</v>
      </c>
      <c r="F100" s="211" t="str">
        <f>IFERROR(VLOOKUP($C100,'PORTIFÓLIO'!C:V,4,0),"")</f>
        <v>L</v>
      </c>
      <c r="G100" s="225" t="str">
        <f>IFERROR(VLOOKUP($C100,'PORTIFÓLIO'!C:V,5,0),"")</f>
        <v>📄 Ver bula</v>
      </c>
      <c r="H100" s="254">
        <f t="array" ref="H100">IFERROR(INDEX('PORTIFÓLIO'!$H$4:$H$433,MATCH($C100,'PORTIFÓLIO'!$C$4:$C$433,0)),"")</f>
        <v>0.05</v>
      </c>
      <c r="I100" s="255">
        <v>0.05</v>
      </c>
      <c r="J100" s="218">
        <f t="shared" si="12"/>
        <v>10</v>
      </c>
      <c r="K100" s="219">
        <f t="array" ref="K100">IFERROR(I100*INDEX('PORTIFÓLIO'!$S$4:$S$433,MATCH($C100,'PORTIFÓLIO'!$C$4:$C$433,0)),"")</f>
        <v>3.076419</v>
      </c>
      <c r="L100" s="219">
        <f t="array" ref="L100">IFERROR(J100*INDEX('PORTIFÓLIO'!$S$4:$S$433,MATCH($C100,'PORTIFÓLIO'!$C$4:$C$433,0)),"")</f>
        <v>615.2838</v>
      </c>
      <c r="M100" s="220"/>
      <c r="N100" s="220"/>
      <c r="O100" s="220"/>
      <c r="P100" s="220"/>
      <c r="Q100" s="220"/>
      <c r="R100" s="220"/>
      <c r="S100" s="220"/>
      <c r="T100" s="220"/>
      <c r="U100" s="220"/>
      <c r="V100" s="220"/>
      <c r="W100" s="220"/>
    </row>
    <row r="101" ht="15.75" customHeight="1" outlineLevel="1">
      <c r="A101" s="211"/>
      <c r="B101" s="212" t="s">
        <v>2</v>
      </c>
      <c r="C101" s="213" t="s">
        <v>842</v>
      </c>
      <c r="D101" s="214" t="str">
        <f>IFERROR(VLOOKUP($C101,'PORTIFÓLIO'!C:V,2,0),"")</f>
        <v>IMIDACLOPRIDO</v>
      </c>
      <c r="E101" s="211">
        <f>IFERROR(VLOOKUP($C101,'PORTIFÓLIO'!C:V,3,0),"")</f>
        <v>480</v>
      </c>
      <c r="F101" s="211" t="str">
        <f>IFERROR(VLOOKUP($C101,'PORTIFÓLIO'!C:V,4,0),"")</f>
        <v>L</v>
      </c>
      <c r="G101" s="225" t="str">
        <f>IFERROR(VLOOKUP($C101,'PORTIFÓLIO'!C:V,5,0),"")</f>
        <v>📄 Ver bula</v>
      </c>
      <c r="H101" s="254">
        <f t="array" ref="H101">IFERROR(INDEX('PORTIFÓLIO'!$H$4:$H$433,MATCH($C101,'PORTIFÓLIO'!$C$4:$C$433,0)),"")</f>
        <v>0.25</v>
      </c>
      <c r="I101" s="255">
        <v>0.25</v>
      </c>
      <c r="J101" s="218">
        <f t="shared" si="12"/>
        <v>50</v>
      </c>
      <c r="K101" s="219">
        <f t="array" ref="K101">IFERROR(I101*INDEX('PORTIFÓLIO'!$S$4:$S$433,MATCH($C101,'PORTIFÓLIO'!$C$4:$C$433,0)),"")</f>
        <v>14.0554125</v>
      </c>
      <c r="L101" s="219">
        <f t="array" ref="L101">IFERROR(J101*INDEX('PORTIFÓLIO'!$S$4:$S$433,MATCH($C101,'PORTIFÓLIO'!$C$4:$C$433,0)),"")</f>
        <v>2811.0825</v>
      </c>
      <c r="M101" s="220"/>
      <c r="N101" s="220"/>
      <c r="O101" s="220"/>
      <c r="P101" s="220"/>
      <c r="Q101" s="220"/>
      <c r="R101" s="220"/>
      <c r="S101" s="220"/>
      <c r="T101" s="220"/>
      <c r="U101" s="220"/>
      <c r="V101" s="220"/>
      <c r="W101" s="220"/>
    </row>
    <row r="102" ht="15.75" customHeight="1" outlineLevel="1">
      <c r="A102" s="211"/>
      <c r="B102" s="212" t="s">
        <v>2</v>
      </c>
      <c r="C102" s="213" t="s">
        <v>786</v>
      </c>
      <c r="D102" s="214" t="str">
        <f>IFERROR(VLOOKUP($C102,'PORTIFÓLIO'!C:V,2,0),"")</f>
        <v>DIFLUBENZUROM</v>
      </c>
      <c r="E102" s="211">
        <f>IFERROR(VLOOKUP($C102,'PORTIFÓLIO'!C:V,3,0),"")</f>
        <v>480</v>
      </c>
      <c r="F102" s="211" t="str">
        <f>IFERROR(VLOOKUP($C102,'PORTIFÓLIO'!C:V,4,0),"")</f>
        <v>KG</v>
      </c>
      <c r="G102" s="225" t="str">
        <f>IFERROR(VLOOKUP($C102,'PORTIFÓLIO'!C:V,5,0),"")</f>
        <v>📄 Ver bula</v>
      </c>
      <c r="H102" s="254">
        <f t="array" ref="H102">IFERROR(INDEX('PORTIFÓLIO'!$H$4:$H$433,MATCH($C102,'PORTIFÓLIO'!$C$4:$C$433,0)),"")</f>
        <v>0.04</v>
      </c>
      <c r="I102" s="255">
        <v>0.05</v>
      </c>
      <c r="J102" s="218">
        <f t="shared" si="12"/>
        <v>10</v>
      </c>
      <c r="K102" s="219">
        <f t="array" ref="K102">IFERROR(I102*INDEX('PORTIFÓLIO'!$S$4:$S$433,MATCH($C102,'PORTIFÓLIO'!$C$4:$C$433,0)),"")</f>
        <v>2.927979</v>
      </c>
      <c r="L102" s="219">
        <f t="array" ref="L102">IFERROR(J102*INDEX('PORTIFÓLIO'!$S$4:$S$433,MATCH($C102,'PORTIFÓLIO'!$C$4:$C$433,0)),"")</f>
        <v>585.5958</v>
      </c>
      <c r="M102" s="220"/>
      <c r="N102" s="220"/>
      <c r="O102" s="220"/>
      <c r="P102" s="220"/>
      <c r="Q102" s="220"/>
      <c r="R102" s="220"/>
      <c r="S102" s="220"/>
      <c r="T102" s="220"/>
      <c r="U102" s="220"/>
      <c r="V102" s="220"/>
      <c r="W102" s="220"/>
    </row>
    <row r="103" ht="15.75" customHeight="1" outlineLevel="1">
      <c r="A103" s="211"/>
      <c r="B103" s="212" t="s">
        <v>6</v>
      </c>
      <c r="C103" s="213" t="s">
        <v>341</v>
      </c>
      <c r="D103" s="214" t="str">
        <f>IFERROR(VLOOKUP($C103,'PORTIFÓLIO'!C:V,2,0),"")</f>
        <v>ESTER METILICO DE SOJA</v>
      </c>
      <c r="E103" s="211">
        <f>IFERROR(VLOOKUP($C103,'PORTIFÓLIO'!C:V,3,0),"")</f>
        <v>765</v>
      </c>
      <c r="F103" s="211" t="str">
        <f>IFERROR(VLOOKUP($C103,'PORTIFÓLIO'!C:V,4,0),"")</f>
        <v>L</v>
      </c>
      <c r="G103" s="225" t="str">
        <f>IFERROR(VLOOKUP($C103,'PORTIFÓLIO'!C:V,5,0),"")</f>
        <v>📄 Ver bula</v>
      </c>
      <c r="H103" s="254">
        <f t="array" ref="H103">IFERROR(INDEX('PORTIFÓLIO'!$H$4:$H$433,MATCH($C103,'PORTIFÓLIO'!$C$4:$C$433,0)),"")</f>
        <v>0.2</v>
      </c>
      <c r="I103" s="255">
        <v>0.2</v>
      </c>
      <c r="J103" s="218">
        <f t="shared" si="12"/>
        <v>40</v>
      </c>
      <c r="K103" s="219">
        <f t="array" ref="K103">IFERROR(I103*INDEX('PORTIFÓLIO'!$S$4:$S$433,MATCH($C103,'PORTIFÓLIO'!$C$4:$C$433,0)),"")</f>
        <v>3.298974</v>
      </c>
      <c r="L103" s="219">
        <f t="array" ref="L103">IFERROR(J103*INDEX('PORTIFÓLIO'!$S$4:$S$433,MATCH($C103,'PORTIFÓLIO'!$C$4:$C$433,0)),"")</f>
        <v>659.7948</v>
      </c>
      <c r="M103" s="220"/>
      <c r="N103" s="220"/>
      <c r="O103" s="220"/>
      <c r="P103" s="220"/>
      <c r="Q103" s="220"/>
      <c r="R103" s="220"/>
      <c r="S103" s="220"/>
      <c r="T103" s="220"/>
      <c r="U103" s="220"/>
      <c r="V103" s="220"/>
      <c r="W103" s="220"/>
    </row>
    <row r="104" ht="15.75" customHeight="1" outlineLevel="1">
      <c r="A104" s="211"/>
      <c r="B104" s="212" t="s">
        <v>0</v>
      </c>
      <c r="C104" s="213" t="s">
        <v>484</v>
      </c>
      <c r="D104" s="214" t="str">
        <f>IFERROR(VLOOKUP($C104,'PORTIFÓLIO'!C:V,2,0),"")</f>
        <v>MANCOZEBE</v>
      </c>
      <c r="E104" s="211">
        <f>IFERROR(VLOOKUP($C104,'PORTIFÓLIO'!C:V,3,0),"")</f>
        <v>750</v>
      </c>
      <c r="F104" s="211" t="str">
        <f>IFERROR(VLOOKUP($C104,'PORTIFÓLIO'!C:V,4,0),"")</f>
        <v>L</v>
      </c>
      <c r="G104" s="225" t="str">
        <f>IFERROR(VLOOKUP($C104,'PORTIFÓLIO'!C:V,5,0),"")</f>
        <v>📄 Ver bula</v>
      </c>
      <c r="H104" s="254">
        <f t="array" ref="H104">IFERROR(INDEX('PORTIFÓLIO'!$H$4:$H$433,MATCH($C104,'PORTIFÓLIO'!$C$4:$C$433,0)),"")</f>
        <v>1.5</v>
      </c>
      <c r="I104" s="255">
        <v>1.5</v>
      </c>
      <c r="J104" s="218">
        <f t="shared" si="12"/>
        <v>300</v>
      </c>
      <c r="K104" s="219">
        <f t="array" ref="K104">IFERROR(I104*INDEX('PORTIFÓLIO'!$S$4:$S$433,MATCH($C104,'PORTIFÓLIO'!$C$4:$C$433,0)),"")</f>
        <v>41.52168</v>
      </c>
      <c r="L104" s="219">
        <f t="array" ref="L104">IFERROR(J104*INDEX('PORTIFÓLIO'!$S$4:$S$433,MATCH($C104,'PORTIFÓLIO'!$C$4:$C$433,0)),"")</f>
        <v>8304.336</v>
      </c>
      <c r="M104" s="220"/>
      <c r="N104" s="220"/>
      <c r="O104" s="220"/>
      <c r="P104" s="220"/>
      <c r="Q104" s="220"/>
      <c r="R104" s="220"/>
      <c r="S104" s="220"/>
      <c r="T104" s="220"/>
      <c r="U104" s="220"/>
      <c r="V104" s="220"/>
      <c r="W104" s="220"/>
    </row>
    <row r="105" ht="15.75" customHeight="1" outlineLevel="1">
      <c r="A105" s="211"/>
      <c r="B105" s="212"/>
      <c r="C105" s="213"/>
      <c r="D105" s="214" t="str">
        <f>IFERROR(VLOOKUP($C105,'PORTIFÓLIO'!C:V,2,0),"")</f>
        <v/>
      </c>
      <c r="E105" s="211" t="str">
        <f>IFERROR(VLOOKUP($C105,'PORTIFÓLIO'!C:V,3,0),"")</f>
        <v/>
      </c>
      <c r="F105" s="211" t="str">
        <f>IFERROR(VLOOKUP($C105,'PORTIFÓLIO'!C:V,4,0),"")</f>
        <v/>
      </c>
      <c r="G105" s="215" t="str">
        <f>IFERROR(VLOOKUP($C105,'PORTIFÓLIO'!C:V,5,0),"")</f>
        <v/>
      </c>
      <c r="H105" s="254" t="str">
        <f t="array" ref="H105">IFERROR(INDEX('PORTIFÓLIO'!$H$4:$H$433,MATCH($C105,'PORTIFÓLIO'!$C$4:$C$433,0)),"")</f>
        <v/>
      </c>
      <c r="I105" s="256"/>
      <c r="J105" s="218">
        <f t="shared" si="12"/>
        <v>0</v>
      </c>
      <c r="K105" s="219" t="str">
        <f t="array" ref="K105">IFERROR(I105*INDEX('PORTIFÓLIO'!$S$4:$S$433,MATCH($C105,'PORTIFÓLIO'!$C$4:$C$433,0)),"")</f>
        <v/>
      </c>
      <c r="L105" s="219" t="str">
        <f t="array" ref="L105">IFERROR(J105*INDEX('PORTIFÓLIO'!$S$4:$S$433,MATCH($C105,'PORTIFÓLIO'!$C$4:$C$433,0)),"")</f>
        <v/>
      </c>
      <c r="M105" s="220"/>
      <c r="N105" s="220"/>
      <c r="O105" s="220"/>
      <c r="P105" s="220"/>
      <c r="Q105" s="220"/>
      <c r="R105" s="220"/>
      <c r="S105" s="220"/>
      <c r="T105" s="220"/>
      <c r="U105" s="220"/>
      <c r="V105" s="220"/>
      <c r="W105" s="220"/>
    </row>
    <row r="106" ht="15.75" customHeight="1" outlineLevel="1">
      <c r="A106" s="211"/>
      <c r="B106" s="212"/>
      <c r="C106" s="213"/>
      <c r="D106" s="214" t="str">
        <f>IFERROR(VLOOKUP($C106,'PORTIFÓLIO'!C:V,2,0),"")</f>
        <v/>
      </c>
      <c r="E106" s="211" t="str">
        <f>IFERROR(VLOOKUP($C106,'PORTIFÓLIO'!C:V,3,0),"")</f>
        <v/>
      </c>
      <c r="F106" s="211" t="str">
        <f>IFERROR(VLOOKUP($C106,'PORTIFÓLIO'!C:V,4,0),"")</f>
        <v/>
      </c>
      <c r="G106" s="215" t="str">
        <f>IFERROR(VLOOKUP($C106,'PORTIFÓLIO'!C:V,5,0),"")</f>
        <v/>
      </c>
      <c r="H106" s="254" t="str">
        <f t="array" ref="H106">IFERROR(INDEX('PORTIFÓLIO'!$H$4:$H$433,MATCH($C106,'PORTIFÓLIO'!$C$4:$C$433,0)),"")</f>
        <v/>
      </c>
      <c r="I106" s="255"/>
      <c r="J106" s="218">
        <f t="shared" si="12"/>
        <v>0</v>
      </c>
      <c r="K106" s="219" t="str">
        <f t="array" ref="K106">IFERROR(I106*INDEX('PORTIFÓLIO'!$S$4:$S$433,MATCH($C106,'PORTIFÓLIO'!$C$4:$C$433,0)),"")</f>
        <v/>
      </c>
      <c r="L106" s="219" t="str">
        <f t="array" ref="L106">IFERROR(J106*INDEX('PORTIFÓLIO'!$S$4:$S$433,MATCH($C106,'PORTIFÓLIO'!$C$4:$C$433,0)),"")</f>
        <v/>
      </c>
      <c r="M106" s="220"/>
      <c r="N106" s="220"/>
      <c r="O106" s="220"/>
      <c r="P106" s="220"/>
      <c r="Q106" s="220"/>
      <c r="R106" s="220"/>
      <c r="S106" s="220"/>
      <c r="T106" s="220"/>
      <c r="U106" s="220"/>
      <c r="V106" s="220"/>
      <c r="W106" s="220"/>
    </row>
    <row r="107" ht="15.75" customHeight="1" outlineLevel="1">
      <c r="A107" s="211"/>
      <c r="B107" s="212"/>
      <c r="C107" s="213"/>
      <c r="D107" s="214" t="str">
        <f>IFERROR(VLOOKUP($C107,'PORTIFÓLIO'!C:V,2,0),"")</f>
        <v/>
      </c>
      <c r="E107" s="211" t="str">
        <f>IFERROR(VLOOKUP($C107,'PORTIFÓLIO'!C:V,3,0),"")</f>
        <v/>
      </c>
      <c r="F107" s="211" t="str">
        <f>IFERROR(VLOOKUP($C107,'PORTIFÓLIO'!C:V,4,0),"")</f>
        <v/>
      </c>
      <c r="G107" s="215" t="str">
        <f>IFERROR(VLOOKUP($C107,'PORTIFÓLIO'!C:V,5,0),"")</f>
        <v/>
      </c>
      <c r="H107" s="254" t="str">
        <f t="array" ref="H107">IFERROR(INDEX('PORTIFÓLIO'!$H$4:$H$433,MATCH($C107,'PORTIFÓLIO'!$C$4:$C$433,0)),"")</f>
        <v/>
      </c>
      <c r="I107" s="256"/>
      <c r="J107" s="218">
        <f t="shared" si="12"/>
        <v>0</v>
      </c>
      <c r="K107" s="219" t="str">
        <f t="array" ref="K107">IFERROR(I107*INDEX('PORTIFÓLIO'!$S$4:$S$433,MATCH($C107,'PORTIFÓLIO'!$C$4:$C$433,0)),"")</f>
        <v/>
      </c>
      <c r="L107" s="219" t="str">
        <f t="array" ref="L107">IFERROR(J107*INDEX('PORTIFÓLIO'!$S$4:$S$433,MATCH($C107,'PORTIFÓLIO'!$C$4:$C$433,0)),"")</f>
        <v/>
      </c>
      <c r="M107" s="220"/>
      <c r="N107" s="220"/>
      <c r="O107" s="220"/>
      <c r="P107" s="220"/>
      <c r="Q107" s="220"/>
      <c r="R107" s="220"/>
      <c r="S107" s="220"/>
      <c r="T107" s="220"/>
      <c r="U107" s="220"/>
      <c r="V107" s="220"/>
      <c r="W107" s="220"/>
    </row>
    <row r="108" ht="15.75" customHeight="1" outlineLevel="1">
      <c r="A108" s="211"/>
      <c r="B108" s="212"/>
      <c r="C108" s="213"/>
      <c r="D108" s="214" t="str">
        <f>IFERROR(VLOOKUP($C108,'PORTIFÓLIO'!C:V,2,0),"")</f>
        <v/>
      </c>
      <c r="E108" s="211" t="str">
        <f>IFERROR(VLOOKUP($C108,'PORTIFÓLIO'!C:V,3,0),"")</f>
        <v/>
      </c>
      <c r="F108" s="211" t="str">
        <f>IFERROR(VLOOKUP($C108,'PORTIFÓLIO'!C:V,4,0),"")</f>
        <v/>
      </c>
      <c r="G108" s="215" t="str">
        <f>IFERROR(VLOOKUP($C108,'PORTIFÓLIO'!C:V,5,0),"")</f>
        <v/>
      </c>
      <c r="H108" s="254" t="str">
        <f t="array" ref="H108">IFERROR(INDEX('PORTIFÓLIO'!$H$4:$H$433,MATCH($C108,'PORTIFÓLIO'!$C$4:$C$433,0)),"")</f>
        <v/>
      </c>
      <c r="I108" s="256"/>
      <c r="J108" s="218">
        <f t="shared" si="12"/>
        <v>0</v>
      </c>
      <c r="K108" s="219" t="str">
        <f t="array" ref="K108">IFERROR(I108*INDEX('PORTIFÓLIO'!$S$4:$S$433,MATCH($C108,'PORTIFÓLIO'!$C$4:$C$433,0)),"")</f>
        <v/>
      </c>
      <c r="L108" s="219" t="str">
        <f t="array" ref="L108">IFERROR(J108*INDEX('PORTIFÓLIO'!$S$4:$S$433,MATCH($C108,'PORTIFÓLIO'!$C$4:$C$433,0)),"")</f>
        <v/>
      </c>
      <c r="M108" s="220"/>
      <c r="N108" s="220"/>
      <c r="O108" s="220"/>
      <c r="P108" s="220"/>
      <c r="Q108" s="220"/>
      <c r="R108" s="220"/>
      <c r="S108" s="220"/>
      <c r="T108" s="220"/>
      <c r="U108" s="220"/>
      <c r="V108" s="220"/>
      <c r="W108" s="220"/>
    </row>
    <row r="109" ht="15.75" customHeight="1" outlineLevel="1">
      <c r="A109" s="211"/>
      <c r="B109" s="212"/>
      <c r="C109" s="213"/>
      <c r="D109" s="214" t="str">
        <f>IFERROR(VLOOKUP($C109,'PORTIFÓLIO'!C:V,2,0),"")</f>
        <v/>
      </c>
      <c r="E109" s="211" t="str">
        <f>IFERROR(VLOOKUP($C109,'PORTIFÓLIO'!C:V,3,0),"")</f>
        <v/>
      </c>
      <c r="F109" s="211" t="str">
        <f>IFERROR(VLOOKUP($C109,'PORTIFÓLIO'!C:V,4,0),"")</f>
        <v/>
      </c>
      <c r="G109" s="215" t="str">
        <f>IFERROR(VLOOKUP($C109,'PORTIFÓLIO'!C:V,5,0),"")</f>
        <v/>
      </c>
      <c r="H109" s="254" t="str">
        <f t="array" ref="H109">IFERROR(INDEX('PORTIFÓLIO'!$H$4:$H$433,MATCH($C109,'PORTIFÓLIO'!$C$4:$C$433,0)),"")</f>
        <v/>
      </c>
      <c r="I109" s="256"/>
      <c r="J109" s="218">
        <f t="shared" si="12"/>
        <v>0</v>
      </c>
      <c r="K109" s="219" t="str">
        <f t="array" ref="K109">IFERROR(I109*INDEX('PORTIFÓLIO'!$S$4:$S$433,MATCH($C109,'PORTIFÓLIO'!$C$4:$C$433,0)),"")</f>
        <v/>
      </c>
      <c r="L109" s="219" t="str">
        <f t="array" ref="L109">IFERROR(J109*INDEX('PORTIFÓLIO'!$S$4:$S$433,MATCH($C109,'PORTIFÓLIO'!$C$4:$C$433,0)),"")</f>
        <v/>
      </c>
      <c r="M109" s="220"/>
      <c r="N109" s="220"/>
      <c r="O109" s="220"/>
      <c r="P109" s="220"/>
      <c r="Q109" s="220"/>
      <c r="R109" s="220"/>
      <c r="S109" s="220"/>
      <c r="T109" s="220"/>
      <c r="U109" s="220"/>
      <c r="V109" s="220"/>
      <c r="W109" s="220"/>
    </row>
    <row r="110" ht="15.75" customHeight="1" outlineLevel="1">
      <c r="A110" s="211"/>
      <c r="B110" s="212"/>
      <c r="C110" s="213"/>
      <c r="D110" s="214" t="str">
        <f>IFERROR(VLOOKUP($C110,'PORTIFÓLIO'!C:V,2,0),"")</f>
        <v/>
      </c>
      <c r="E110" s="211" t="str">
        <f>IFERROR(VLOOKUP($C110,'PORTIFÓLIO'!C:V,3,0),"")</f>
        <v/>
      </c>
      <c r="F110" s="211" t="str">
        <f>IFERROR(VLOOKUP($C110,'PORTIFÓLIO'!C:V,4,0),"")</f>
        <v/>
      </c>
      <c r="G110" s="215" t="str">
        <f>IFERROR(VLOOKUP($C110,'PORTIFÓLIO'!C:V,5,0),"")</f>
        <v/>
      </c>
      <c r="H110" s="254" t="str">
        <f t="array" ref="H110">IFERROR(INDEX('PORTIFÓLIO'!$H$4:$H$433,MATCH($C110,'PORTIFÓLIO'!$C$4:$C$433,0)),"")</f>
        <v/>
      </c>
      <c r="I110" s="256"/>
      <c r="J110" s="218">
        <f t="shared" si="12"/>
        <v>0</v>
      </c>
      <c r="K110" s="219" t="str">
        <f t="array" ref="K110">IFERROR(I110*INDEX('PORTIFÓLIO'!$S$4:$S$433,MATCH($C110,'PORTIFÓLIO'!$C$4:$C$433,0)),"")</f>
        <v/>
      </c>
      <c r="L110" s="219" t="str">
        <f t="array" ref="L110">IFERROR(J110*INDEX('PORTIFÓLIO'!$S$4:$S$433,MATCH($C110,'PORTIFÓLIO'!$C$4:$C$433,0)),"")</f>
        <v/>
      </c>
      <c r="M110" s="220"/>
      <c r="N110" s="220"/>
      <c r="O110" s="220"/>
      <c r="P110" s="220"/>
      <c r="Q110" s="220"/>
      <c r="R110" s="220"/>
      <c r="S110" s="220"/>
      <c r="T110" s="220"/>
      <c r="U110" s="220"/>
      <c r="V110" s="220"/>
      <c r="W110" s="220"/>
    </row>
    <row r="111" ht="15.75" customHeight="1" outlineLevel="1">
      <c r="A111" s="211"/>
      <c r="B111" s="212"/>
      <c r="C111" s="213"/>
      <c r="D111" s="214" t="str">
        <f>IFERROR(VLOOKUP($C111,'PORTIFÓLIO'!C:V,2,0),"")</f>
        <v/>
      </c>
      <c r="E111" s="211" t="str">
        <f>IFERROR(VLOOKUP($C111,'PORTIFÓLIO'!C:V,3,0),"")</f>
        <v/>
      </c>
      <c r="F111" s="211" t="str">
        <f>IFERROR(VLOOKUP($C111,'PORTIFÓLIO'!C:V,4,0),"")</f>
        <v/>
      </c>
      <c r="G111" s="215" t="str">
        <f>IFERROR(VLOOKUP($C111,'PORTIFÓLIO'!C:V,5,0),"")</f>
        <v/>
      </c>
      <c r="H111" s="254" t="str">
        <f t="array" ref="H111">IFERROR(INDEX('PORTIFÓLIO'!$H$4:$H$433,MATCH($C111,'PORTIFÓLIO'!$C$4:$C$433,0)),"")</f>
        <v/>
      </c>
      <c r="I111" s="256"/>
      <c r="J111" s="218">
        <f t="shared" si="12"/>
        <v>0</v>
      </c>
      <c r="K111" s="219" t="str">
        <f t="array" ref="K111">IFERROR(I111*INDEX('PORTIFÓLIO'!$S$4:$S$433,MATCH($C111,'PORTIFÓLIO'!$C$4:$C$433,0)),"")</f>
        <v/>
      </c>
      <c r="L111" s="219" t="str">
        <f t="array" ref="L111">IFERROR(J111*INDEX('PORTIFÓLIO'!$S$4:$S$433,MATCH($C111,'PORTIFÓLIO'!$C$4:$C$433,0)),"")</f>
        <v/>
      </c>
      <c r="M111" s="220"/>
      <c r="N111" s="220"/>
      <c r="O111" s="220"/>
      <c r="P111" s="220"/>
      <c r="Q111" s="220"/>
      <c r="R111" s="220"/>
      <c r="S111" s="220"/>
      <c r="T111" s="220"/>
      <c r="U111" s="220"/>
      <c r="V111" s="220"/>
      <c r="W111" s="220"/>
    </row>
    <row r="112" ht="15.75" customHeight="1" outlineLevel="1">
      <c r="A112" s="211"/>
      <c r="B112" s="212"/>
      <c r="C112" s="213"/>
      <c r="D112" s="214" t="str">
        <f>IFERROR(VLOOKUP($C112,'PORTIFÓLIO'!C:V,2,0),"")</f>
        <v/>
      </c>
      <c r="E112" s="211" t="str">
        <f>IFERROR(VLOOKUP($C112,'PORTIFÓLIO'!C:V,3,0),"")</f>
        <v/>
      </c>
      <c r="F112" s="211" t="str">
        <f>IFERROR(VLOOKUP($C112,'PORTIFÓLIO'!C:V,4,0),"")</f>
        <v/>
      </c>
      <c r="G112" s="215" t="str">
        <f>IFERROR(VLOOKUP($C112,'PORTIFÓLIO'!C:V,5,0),"")</f>
        <v/>
      </c>
      <c r="H112" s="254" t="str">
        <f t="array" ref="H112">IFERROR(INDEX('PORTIFÓLIO'!$H$4:$H$433,MATCH($C112,'PORTIFÓLIO'!$C$4:$C$433,0)),"")</f>
        <v/>
      </c>
      <c r="I112" s="256"/>
      <c r="J112" s="218">
        <f t="shared" si="12"/>
        <v>0</v>
      </c>
      <c r="K112" s="219" t="str">
        <f t="array" ref="K112">IFERROR(I112*INDEX('PORTIFÓLIO'!$S$4:$S$433,MATCH($C112,'PORTIFÓLIO'!$C$4:$C$433,0)),"")</f>
        <v/>
      </c>
      <c r="L112" s="219" t="str">
        <f t="array" ref="L112">IFERROR(J112*INDEX('PORTIFÓLIO'!$S$4:$S$433,MATCH($C112,'PORTIFÓLIO'!$C$4:$C$433,0)),"")</f>
        <v/>
      </c>
      <c r="M112" s="220"/>
      <c r="N112" s="220"/>
      <c r="O112" s="220"/>
      <c r="P112" s="220"/>
      <c r="Q112" s="220"/>
      <c r="R112" s="220"/>
      <c r="S112" s="220"/>
      <c r="T112" s="220"/>
      <c r="U112" s="220"/>
      <c r="V112" s="220"/>
      <c r="W112" s="220"/>
    </row>
    <row r="113" ht="15.75" customHeight="1" outlineLevel="1">
      <c r="A113" s="211"/>
      <c r="B113" s="212"/>
      <c r="C113" s="211"/>
      <c r="D113" s="214" t="str">
        <f>IFERROR(VLOOKUP($C113,'PORTIFÓLIO'!C:V,2,0),"")</f>
        <v/>
      </c>
      <c r="E113" s="211" t="str">
        <f>IFERROR(VLOOKUP($C113,'PORTIFÓLIO'!C:V,3,0),"")</f>
        <v/>
      </c>
      <c r="F113" s="211" t="str">
        <f>IFERROR(VLOOKUP($C113,'PORTIFÓLIO'!C:V,4,0),"")</f>
        <v/>
      </c>
      <c r="G113" s="215" t="str">
        <f>IFERROR(VLOOKUP($C113,'PORTIFÓLIO'!C:V,5,0),"")</f>
        <v/>
      </c>
      <c r="H113" s="254" t="str">
        <f t="array" ref="H113">IFERROR(INDEX('PORTIFÓLIO'!$H$4:$H$433,MATCH($C113,'PORTIFÓLIO'!$C$4:$C$433,0)),"")</f>
        <v/>
      </c>
      <c r="I113" s="256"/>
      <c r="J113" s="218"/>
      <c r="K113" s="219" t="str">
        <f t="array" ref="K113">IFERROR(I113*INDEX('PORTIFÓLIO'!$S$4:$S$433,MATCH($C113,'PORTIFÓLIO'!$C$4:$C$433,0)),"")</f>
        <v/>
      </c>
      <c r="L113" s="219" t="str">
        <f t="array" ref="L113">IFERROR(J113*INDEX('PORTIFÓLIO'!$S$4:$S$433,MATCH($C113,'PORTIFÓLIO'!$C$4:$C$433,0)),"")</f>
        <v/>
      </c>
      <c r="M113" s="220"/>
      <c r="N113" s="220"/>
      <c r="O113" s="220"/>
      <c r="P113" s="220"/>
      <c r="Q113" s="220"/>
      <c r="R113" s="220"/>
      <c r="S113" s="220"/>
      <c r="T113" s="220"/>
      <c r="U113" s="220"/>
      <c r="V113" s="220"/>
      <c r="W113" s="220"/>
    </row>
    <row r="114" ht="15.75" customHeight="1">
      <c r="A114" s="229" t="s">
        <v>1190</v>
      </c>
      <c r="B114" s="230"/>
      <c r="C114" s="231"/>
      <c r="D114" s="232"/>
      <c r="E114" s="231"/>
      <c r="F114" s="231"/>
      <c r="G114" s="233"/>
      <c r="H114" s="233"/>
      <c r="I114" s="258"/>
      <c r="J114" s="236"/>
      <c r="K114" s="237">
        <f t="shared" ref="K114:L114" si="13">SUBTOTAL(9,K115:K128)</f>
        <v>236.685179</v>
      </c>
      <c r="L114" s="237">
        <f t="shared" si="13"/>
        <v>47337.0358</v>
      </c>
      <c r="M114" s="220"/>
      <c r="N114" s="220"/>
      <c r="O114" s="220"/>
      <c r="P114" s="220"/>
      <c r="Q114" s="220"/>
      <c r="R114" s="220"/>
      <c r="S114" s="220"/>
      <c r="T114" s="220"/>
      <c r="U114" s="220"/>
      <c r="V114" s="220"/>
      <c r="W114" s="220"/>
    </row>
    <row r="115" ht="15.75" customHeight="1" outlineLevel="1">
      <c r="A115" s="213"/>
      <c r="B115" s="212" t="s">
        <v>0</v>
      </c>
      <c r="C115" s="283" t="s">
        <v>467</v>
      </c>
      <c r="D115" s="214" t="str">
        <f>IFERROR(VLOOKUP($C115,'PORTIFÓLIO'!C:V,2,0),"")</f>
        <v>BIXAFEM + PROTIOCONAZOL + TRIFLOXISTROBINA</v>
      </c>
      <c r="E115" s="211" t="str">
        <f>IFERROR(VLOOKUP($C115,'PORTIFÓLIO'!C:V,3,0),"")</f>
        <v>125 + 175 + 150</v>
      </c>
      <c r="F115" s="211" t="str">
        <f>IFERROR(VLOOKUP($C115,'PORTIFÓLIO'!C:V,4,0),"")</f>
        <v>L</v>
      </c>
      <c r="G115" s="225" t="str">
        <f>IFERROR(VLOOKUP($C115,'PORTIFÓLIO'!C:V,5,0),"")</f>
        <v>📄 Ver bula</v>
      </c>
      <c r="H115" s="254">
        <f t="array" ref="H115">IFERROR(INDEX('PORTIFÓLIO'!$H$4:$H$433,MATCH($C115,'PORTIFÓLIO'!$C$4:$C$433,0)),"")</f>
        <v>0.5</v>
      </c>
      <c r="I115" s="255">
        <v>0.5</v>
      </c>
      <c r="J115" s="218">
        <f t="shared" ref="J115:J129" si="14">I115*$B$2</f>
        <v>100</v>
      </c>
      <c r="K115" s="219">
        <f t="array" ref="K115">IFERROR(I115*INDEX('PORTIFÓLIO'!$S$4:$S$433,MATCH($C115,'PORTIFÓLIO'!$C$4:$C$433,0)),"")</f>
        <v>99.08352</v>
      </c>
      <c r="L115" s="219">
        <f t="array" ref="L115">IFERROR(J115*INDEX('PORTIFÓLIO'!$S$4:$S$433,MATCH($C115,'PORTIFÓLIO'!$C$4:$C$433,0)),"")</f>
        <v>19816.704</v>
      </c>
      <c r="M115" s="220"/>
      <c r="N115" s="220"/>
      <c r="O115" s="220"/>
      <c r="P115" s="220"/>
      <c r="Q115" s="220"/>
      <c r="R115" s="220"/>
      <c r="S115" s="220"/>
      <c r="T115" s="220"/>
      <c r="U115" s="220"/>
      <c r="V115" s="220"/>
      <c r="W115" s="220"/>
    </row>
    <row r="116" ht="15.75" customHeight="1" outlineLevel="1">
      <c r="A116" s="211"/>
      <c r="B116" s="212" t="s">
        <v>0</v>
      </c>
      <c r="C116" s="283" t="s">
        <v>520</v>
      </c>
      <c r="D116" s="214" t="str">
        <f>IFERROR(VLOOKUP($C116,'PORTIFÓLIO'!C:V,2,0),"")</f>
        <v>FLUAZINAM</v>
      </c>
      <c r="E116" s="211">
        <f>IFERROR(VLOOKUP($C116,'PORTIFÓLIO'!C:V,3,0),"")</f>
        <v>500</v>
      </c>
      <c r="F116" s="211" t="str">
        <f>IFERROR(VLOOKUP($C116,'PORTIFÓLIO'!C:V,4,0),"")</f>
        <v>L</v>
      </c>
      <c r="G116" s="225" t="str">
        <f>IFERROR(VLOOKUP($C116,'PORTIFÓLIO'!C:V,5,0),"")</f>
        <v>📄 Ver bula</v>
      </c>
      <c r="H116" s="254">
        <f t="array" ref="H116">IFERROR(INDEX('PORTIFÓLIO'!$H$4:$H$433,MATCH($C116,'PORTIFÓLIO'!$C$4:$C$433,0)),"")</f>
        <v>1</v>
      </c>
      <c r="I116" s="255">
        <v>1.0</v>
      </c>
      <c r="J116" s="218">
        <f t="shared" si="14"/>
        <v>200</v>
      </c>
      <c r="K116" s="219">
        <f t="array" ref="K116">IFERROR(I116*INDEX('PORTIFÓLIO'!$S$4:$S$433,MATCH($C116,'PORTIFÓLIO'!$C$4:$C$433,0)),"")</f>
        <v>67.68</v>
      </c>
      <c r="L116" s="219">
        <f t="array" ref="L116">IFERROR(J116*INDEX('PORTIFÓLIO'!$S$4:$S$433,MATCH($C116,'PORTIFÓLIO'!$C$4:$C$433,0)),"")</f>
        <v>13536</v>
      </c>
      <c r="M116" s="220"/>
      <c r="N116" s="220"/>
      <c r="O116" s="220"/>
      <c r="P116" s="220"/>
      <c r="Q116" s="220"/>
      <c r="R116" s="220"/>
      <c r="S116" s="220"/>
      <c r="T116" s="220"/>
      <c r="U116" s="220"/>
      <c r="V116" s="220"/>
      <c r="W116" s="220"/>
    </row>
    <row r="117" ht="15.75" customHeight="1" outlineLevel="1">
      <c r="A117" s="211"/>
      <c r="B117" s="212" t="s">
        <v>0</v>
      </c>
      <c r="C117" s="283" t="s">
        <v>484</v>
      </c>
      <c r="D117" s="214" t="str">
        <f>IFERROR(VLOOKUP($C117,'PORTIFÓLIO'!C:V,2,0),"")</f>
        <v>MANCOZEBE</v>
      </c>
      <c r="E117" s="211">
        <f>IFERROR(VLOOKUP($C117,'PORTIFÓLIO'!C:V,3,0),"")</f>
        <v>750</v>
      </c>
      <c r="F117" s="211" t="str">
        <f>IFERROR(VLOOKUP($C117,'PORTIFÓLIO'!C:V,4,0),"")</f>
        <v>L</v>
      </c>
      <c r="G117" s="225" t="str">
        <f>IFERROR(VLOOKUP($C117,'PORTIFÓLIO'!C:V,5,0),"")</f>
        <v>📄 Ver bula</v>
      </c>
      <c r="H117" s="254">
        <f t="array" ref="H117">IFERROR(INDEX('PORTIFÓLIO'!$H$4:$H$433,MATCH($C117,'PORTIFÓLIO'!$C$4:$C$433,0)),"")</f>
        <v>1.5</v>
      </c>
      <c r="I117" s="255">
        <v>1.5</v>
      </c>
      <c r="J117" s="218">
        <f t="shared" si="14"/>
        <v>300</v>
      </c>
      <c r="K117" s="219">
        <f t="array" ref="K117">IFERROR(I117*INDEX('PORTIFÓLIO'!$S$4:$S$433,MATCH($C117,'PORTIFÓLIO'!$C$4:$C$433,0)),"")</f>
        <v>41.52168</v>
      </c>
      <c r="L117" s="219">
        <f t="array" ref="L117">IFERROR(J117*INDEX('PORTIFÓLIO'!$S$4:$S$433,MATCH($C117,'PORTIFÓLIO'!$C$4:$C$433,0)),"")</f>
        <v>8304.336</v>
      </c>
      <c r="M117" s="220"/>
      <c r="N117" s="220"/>
      <c r="O117" s="220"/>
      <c r="P117" s="220"/>
      <c r="Q117" s="220"/>
      <c r="R117" s="220"/>
      <c r="S117" s="220"/>
      <c r="T117" s="220"/>
      <c r="U117" s="220"/>
      <c r="V117" s="220"/>
      <c r="W117" s="220"/>
    </row>
    <row r="118" ht="15.75" customHeight="1" outlineLevel="1">
      <c r="A118" s="211"/>
      <c r="B118" s="212" t="s">
        <v>2</v>
      </c>
      <c r="C118" s="283" t="s">
        <v>752</v>
      </c>
      <c r="D118" s="214" t="str">
        <f>IFERROR(VLOOKUP($C118,'PORTIFÓLIO'!C:V,2,0),"")</f>
        <v>ACEFATO</v>
      </c>
      <c r="E118" s="211">
        <f>IFERROR(VLOOKUP($C118,'PORTIFÓLIO'!C:V,3,0),"")</f>
        <v>970</v>
      </c>
      <c r="F118" s="211" t="str">
        <f>IFERROR(VLOOKUP($C118,'PORTIFÓLIO'!C:V,4,0),"")</f>
        <v>L</v>
      </c>
      <c r="G118" s="225" t="str">
        <f>IFERROR(VLOOKUP($C118,'PORTIFÓLIO'!C:V,5,0),"")</f>
        <v>📄 Ver bula</v>
      </c>
      <c r="H118" s="254">
        <f t="array" ref="H118">IFERROR(INDEX('PORTIFÓLIO'!$H$4:$H$433,MATCH($C118,'PORTIFÓLIO'!$C$4:$C$433,0)),"")</f>
        <v>0.6</v>
      </c>
      <c r="I118" s="255">
        <v>0.6</v>
      </c>
      <c r="J118" s="218">
        <f t="shared" si="14"/>
        <v>120</v>
      </c>
      <c r="K118" s="219">
        <f t="array" ref="K118">IFERROR(I118*INDEX('PORTIFÓLIO'!$S$4:$S$433,MATCH($C118,'PORTIFÓLIO'!$C$4:$C$433,0)),"")</f>
        <v>22.266</v>
      </c>
      <c r="L118" s="219">
        <f t="array" ref="L118">IFERROR(J118*INDEX('PORTIFÓLIO'!$S$4:$S$433,MATCH($C118,'PORTIFÓLIO'!$C$4:$C$433,0)),"")</f>
        <v>4453.2</v>
      </c>
      <c r="M118" s="220"/>
      <c r="N118" s="220"/>
      <c r="O118" s="220"/>
      <c r="P118" s="220"/>
      <c r="Q118" s="220"/>
      <c r="R118" s="220"/>
      <c r="S118" s="220"/>
      <c r="T118" s="220"/>
      <c r="U118" s="220"/>
      <c r="V118" s="220"/>
      <c r="W118" s="220"/>
    </row>
    <row r="119" ht="15.75" customHeight="1" outlineLevel="1">
      <c r="A119" s="211"/>
      <c r="B119" s="212" t="s">
        <v>2</v>
      </c>
      <c r="C119" s="283" t="s">
        <v>786</v>
      </c>
      <c r="D119" s="214" t="str">
        <f>IFERROR(VLOOKUP($C119,'PORTIFÓLIO'!C:V,2,0),"")</f>
        <v>DIFLUBENZUROM</v>
      </c>
      <c r="E119" s="211">
        <f>IFERROR(VLOOKUP($C119,'PORTIFÓLIO'!C:V,3,0),"")</f>
        <v>480</v>
      </c>
      <c r="F119" s="211" t="str">
        <f>IFERROR(VLOOKUP($C119,'PORTIFÓLIO'!C:V,4,0),"")</f>
        <v>KG</v>
      </c>
      <c r="G119" s="225" t="str">
        <f>IFERROR(VLOOKUP($C119,'PORTIFÓLIO'!C:V,5,0),"")</f>
        <v>📄 Ver bula</v>
      </c>
      <c r="H119" s="254">
        <f t="array" ref="H119">IFERROR(INDEX('PORTIFÓLIO'!$H$4:$H$433,MATCH($C119,'PORTIFÓLIO'!$C$4:$C$433,0)),"")</f>
        <v>0.04</v>
      </c>
      <c r="I119" s="255">
        <v>0.05</v>
      </c>
      <c r="J119" s="218">
        <f t="shared" si="14"/>
        <v>10</v>
      </c>
      <c r="K119" s="219">
        <f t="array" ref="K119">IFERROR(I119*INDEX('PORTIFÓLIO'!$S$4:$S$433,MATCH($C119,'PORTIFÓLIO'!$C$4:$C$433,0)),"")</f>
        <v>2.927979</v>
      </c>
      <c r="L119" s="219">
        <f t="array" ref="L119">IFERROR(J119*INDEX('PORTIFÓLIO'!$S$4:$S$433,MATCH($C119,'PORTIFÓLIO'!$C$4:$C$433,0)),"")</f>
        <v>585.5958</v>
      </c>
      <c r="M119" s="220"/>
      <c r="N119" s="220"/>
      <c r="O119" s="220"/>
      <c r="P119" s="220"/>
      <c r="Q119" s="220"/>
      <c r="R119" s="220"/>
      <c r="S119" s="220"/>
      <c r="T119" s="220"/>
      <c r="U119" s="220"/>
      <c r="V119" s="220"/>
      <c r="W119" s="220"/>
    </row>
    <row r="120" ht="15.75" customHeight="1" outlineLevel="1">
      <c r="A120" s="211"/>
      <c r="B120" s="212" t="s">
        <v>6</v>
      </c>
      <c r="C120" s="213" t="s">
        <v>354</v>
      </c>
      <c r="D120" s="214" t="str">
        <f>IFERROR(VLOOKUP($C120,'PORTIFÓLIO'!C:V,2,0),"")</f>
        <v>OLEO MINERAL</v>
      </c>
      <c r="E120" s="211">
        <f>IFERROR(VLOOKUP($C120,'PORTIFÓLIO'!C:V,3,0),"")</f>
        <v>761</v>
      </c>
      <c r="F120" s="211" t="str">
        <f>IFERROR(VLOOKUP($C120,'PORTIFÓLIO'!C:V,4,0),"")</f>
        <v>L</v>
      </c>
      <c r="G120" s="225" t="str">
        <f>IFERROR(VLOOKUP($C120,'PORTIFÓLIO'!C:V,5,0),"")</f>
        <v>📄 Ver bula</v>
      </c>
      <c r="H120" s="254">
        <f t="array" ref="H120">IFERROR(INDEX('PORTIFÓLIO'!$H$4:$H$433,MATCH($C120,'PORTIFÓLIO'!$C$4:$C$433,0)),"")</f>
        <v>0.2</v>
      </c>
      <c r="I120" s="255">
        <v>0.2</v>
      </c>
      <c r="J120" s="218">
        <f t="shared" si="14"/>
        <v>40</v>
      </c>
      <c r="K120" s="219">
        <f t="array" ref="K120">IFERROR(I120*INDEX('PORTIFÓLIO'!$S$4:$S$433,MATCH($C120,'PORTIFÓLIO'!$C$4:$C$433,0)),"")</f>
        <v>3.206</v>
      </c>
      <c r="L120" s="219">
        <f t="array" ref="L120">IFERROR(J120*INDEX('PORTIFÓLIO'!$S$4:$S$433,MATCH($C120,'PORTIFÓLIO'!$C$4:$C$433,0)),"")</f>
        <v>641.2</v>
      </c>
      <c r="M120" s="220"/>
      <c r="N120" s="220"/>
      <c r="O120" s="220"/>
      <c r="P120" s="220"/>
      <c r="Q120" s="220"/>
      <c r="R120" s="220"/>
      <c r="S120" s="220"/>
      <c r="T120" s="220"/>
      <c r="U120" s="220"/>
      <c r="V120" s="220"/>
      <c r="W120" s="220"/>
    </row>
    <row r="121" ht="15.75" customHeight="1" outlineLevel="1">
      <c r="A121" s="211"/>
      <c r="B121" s="212"/>
      <c r="C121" s="213"/>
      <c r="D121" s="214" t="str">
        <f>IFERROR(VLOOKUP($C121,'PORTIFÓLIO'!C:V,2,0),"")</f>
        <v/>
      </c>
      <c r="E121" s="211" t="str">
        <f>IFERROR(VLOOKUP($C121,'PORTIFÓLIO'!C:V,3,0),"")</f>
        <v/>
      </c>
      <c r="F121" s="211" t="str">
        <f>IFERROR(VLOOKUP($C121,'PORTIFÓLIO'!C:V,4,0),"")</f>
        <v/>
      </c>
      <c r="G121" s="215" t="str">
        <f>IFERROR(VLOOKUP($C121,'PORTIFÓLIO'!C:V,5,0),"")</f>
        <v/>
      </c>
      <c r="H121" s="254" t="str">
        <f t="array" ref="H121">IFERROR(INDEX('PORTIFÓLIO'!$H$4:$H$433,MATCH($C121,'PORTIFÓLIO'!$C$4:$C$433,0)),"")</f>
        <v/>
      </c>
      <c r="I121" s="255"/>
      <c r="J121" s="218">
        <f t="shared" si="14"/>
        <v>0</v>
      </c>
      <c r="K121" s="219" t="str">
        <f t="array" ref="K121">IFERROR(I121*INDEX('PORTIFÓLIO'!$S$4:$S$433,MATCH($C121,'PORTIFÓLIO'!$C$4:$C$433,0)),"")</f>
        <v/>
      </c>
      <c r="L121" s="219" t="str">
        <f t="array" ref="L121">IFERROR(J121*INDEX('PORTIFÓLIO'!$S$4:$S$433,MATCH($C121,'PORTIFÓLIO'!$C$4:$C$433,0)),"")</f>
        <v/>
      </c>
      <c r="M121" s="220"/>
      <c r="N121" s="220"/>
      <c r="O121" s="220"/>
      <c r="P121" s="220"/>
      <c r="Q121" s="220"/>
      <c r="R121" s="220"/>
      <c r="S121" s="220"/>
      <c r="T121" s="220"/>
      <c r="U121" s="220"/>
      <c r="V121" s="220"/>
      <c r="W121" s="220"/>
    </row>
    <row r="122" ht="15.75" customHeight="1" outlineLevel="1">
      <c r="A122" s="211"/>
      <c r="B122" s="212"/>
      <c r="C122" s="213"/>
      <c r="D122" s="214" t="str">
        <f>IFERROR(VLOOKUP($C122,'PORTIFÓLIO'!C:V,2,0),"")</f>
        <v/>
      </c>
      <c r="E122" s="211" t="str">
        <f>IFERROR(VLOOKUP($C122,'PORTIFÓLIO'!C:V,3,0),"")</f>
        <v/>
      </c>
      <c r="F122" s="211" t="str">
        <f>IFERROR(VLOOKUP($C122,'PORTIFÓLIO'!C:V,4,0),"")</f>
        <v/>
      </c>
      <c r="G122" s="215" t="str">
        <f>IFERROR(VLOOKUP($C122,'PORTIFÓLIO'!C:V,5,0),"")</f>
        <v/>
      </c>
      <c r="H122" s="254" t="str">
        <f t="array" ref="H122">IFERROR(INDEX('PORTIFÓLIO'!$H$4:$H$433,MATCH($C122,'PORTIFÓLIO'!$C$4:$C$433,0)),"")</f>
        <v/>
      </c>
      <c r="I122" s="255"/>
      <c r="J122" s="218">
        <f t="shared" si="14"/>
        <v>0</v>
      </c>
      <c r="K122" s="219" t="str">
        <f t="array" ref="K122">IFERROR(I122*INDEX('PORTIFÓLIO'!$S$4:$S$433,MATCH($C122,'PORTIFÓLIO'!$C$4:$C$433,0)),"")</f>
        <v/>
      </c>
      <c r="L122" s="219" t="str">
        <f t="array" ref="L122">IFERROR(J122*INDEX('PORTIFÓLIO'!$S$4:$S$433,MATCH($C122,'PORTIFÓLIO'!$C$4:$C$433,0)),"")</f>
        <v/>
      </c>
      <c r="M122" s="220"/>
      <c r="N122" s="220"/>
      <c r="O122" s="220"/>
      <c r="P122" s="220"/>
      <c r="Q122" s="220"/>
      <c r="R122" s="220"/>
      <c r="S122" s="220"/>
      <c r="T122" s="220"/>
      <c r="U122" s="220"/>
      <c r="V122" s="220"/>
      <c r="W122" s="220"/>
    </row>
    <row r="123" ht="15.75" customHeight="1" outlineLevel="1">
      <c r="A123" s="211"/>
      <c r="B123" s="212"/>
      <c r="C123" s="213"/>
      <c r="D123" s="214" t="str">
        <f>IFERROR(VLOOKUP($C123,'PORTIFÓLIO'!C:V,2,0),"")</f>
        <v/>
      </c>
      <c r="E123" s="211" t="str">
        <f>IFERROR(VLOOKUP($C123,'PORTIFÓLIO'!C:V,3,0),"")</f>
        <v/>
      </c>
      <c r="F123" s="211" t="str">
        <f>IFERROR(VLOOKUP($C123,'PORTIFÓLIO'!C:V,4,0),"")</f>
        <v/>
      </c>
      <c r="G123" s="215" t="str">
        <f>IFERROR(VLOOKUP($C123,'PORTIFÓLIO'!C:V,5,0),"")</f>
        <v/>
      </c>
      <c r="H123" s="254" t="str">
        <f t="array" ref="H123">IFERROR(INDEX('PORTIFÓLIO'!$H$4:$H$433,MATCH($C123,'PORTIFÓLIO'!$C$4:$C$433,0)),"")</f>
        <v/>
      </c>
      <c r="I123" s="255"/>
      <c r="J123" s="218">
        <f t="shared" si="14"/>
        <v>0</v>
      </c>
      <c r="K123" s="219" t="str">
        <f t="array" ref="K123">IFERROR(I123*INDEX('PORTIFÓLIO'!$S$4:$S$433,MATCH($C123,'PORTIFÓLIO'!$C$4:$C$433,0)),"")</f>
        <v/>
      </c>
      <c r="L123" s="219" t="str">
        <f t="array" ref="L123">IFERROR(J123*INDEX('PORTIFÓLIO'!$S$4:$S$433,MATCH($C123,'PORTIFÓLIO'!$C$4:$C$433,0)),"")</f>
        <v/>
      </c>
      <c r="M123" s="220"/>
      <c r="N123" s="220"/>
      <c r="O123" s="220"/>
      <c r="P123" s="220"/>
      <c r="Q123" s="220"/>
      <c r="R123" s="220"/>
      <c r="S123" s="220"/>
      <c r="T123" s="220"/>
      <c r="U123" s="220"/>
      <c r="V123" s="220"/>
      <c r="W123" s="220"/>
    </row>
    <row r="124" ht="15.75" customHeight="1" outlineLevel="1">
      <c r="A124" s="211"/>
      <c r="B124" s="212"/>
      <c r="C124" s="213"/>
      <c r="D124" s="214" t="str">
        <f>IFERROR(VLOOKUP($C124,'PORTIFÓLIO'!C:V,2,0),"")</f>
        <v/>
      </c>
      <c r="E124" s="211" t="str">
        <f>IFERROR(VLOOKUP($C124,'PORTIFÓLIO'!C:V,3,0),"")</f>
        <v/>
      </c>
      <c r="F124" s="211" t="str">
        <f>IFERROR(VLOOKUP($C124,'PORTIFÓLIO'!C:V,4,0),"")</f>
        <v/>
      </c>
      <c r="G124" s="215" t="str">
        <f>IFERROR(VLOOKUP($C124,'PORTIFÓLIO'!C:V,5,0),"")</f>
        <v/>
      </c>
      <c r="H124" s="254" t="str">
        <f t="array" ref="H124">IFERROR(INDEX('PORTIFÓLIO'!$H$4:$H$433,MATCH($C124,'PORTIFÓLIO'!$C$4:$C$433,0)),"")</f>
        <v/>
      </c>
      <c r="I124" s="256"/>
      <c r="J124" s="218">
        <f t="shared" si="14"/>
        <v>0</v>
      </c>
      <c r="K124" s="219" t="str">
        <f t="array" ref="K124">IFERROR(I124*INDEX('PORTIFÓLIO'!$S$4:$S$433,MATCH($C124,'PORTIFÓLIO'!$C$4:$C$433,0)),"")</f>
        <v/>
      </c>
      <c r="L124" s="219" t="str">
        <f t="array" ref="L124">IFERROR(J124*INDEX('PORTIFÓLIO'!$S$4:$S$433,MATCH($C124,'PORTIFÓLIO'!$C$4:$C$433,0)),"")</f>
        <v/>
      </c>
      <c r="M124" s="220"/>
      <c r="N124" s="220"/>
      <c r="O124" s="220"/>
      <c r="P124" s="220"/>
      <c r="Q124" s="220"/>
      <c r="R124" s="220"/>
      <c r="S124" s="220"/>
      <c r="T124" s="220"/>
      <c r="U124" s="220"/>
      <c r="V124" s="220"/>
      <c r="W124" s="220"/>
    </row>
    <row r="125" ht="15.75" customHeight="1" outlineLevel="1">
      <c r="A125" s="211"/>
      <c r="B125" s="212"/>
      <c r="C125" s="213"/>
      <c r="D125" s="214" t="str">
        <f>IFERROR(VLOOKUP($C125,'PORTIFÓLIO'!C:V,2,0),"")</f>
        <v/>
      </c>
      <c r="E125" s="211" t="str">
        <f>IFERROR(VLOOKUP($C125,'PORTIFÓLIO'!C:V,3,0),"")</f>
        <v/>
      </c>
      <c r="F125" s="211" t="str">
        <f>IFERROR(VLOOKUP($C125,'PORTIFÓLIO'!C:V,4,0),"")</f>
        <v/>
      </c>
      <c r="G125" s="215" t="str">
        <f>IFERROR(VLOOKUP($C125,'PORTIFÓLIO'!C:V,5,0),"")</f>
        <v/>
      </c>
      <c r="H125" s="254" t="str">
        <f t="array" ref="H125">IFERROR(INDEX('PORTIFÓLIO'!$H$4:$H$433,MATCH($C125,'PORTIFÓLIO'!$C$4:$C$433,0)),"")</f>
        <v/>
      </c>
      <c r="I125" s="256"/>
      <c r="J125" s="218">
        <f t="shared" si="14"/>
        <v>0</v>
      </c>
      <c r="K125" s="219" t="str">
        <f t="array" ref="K125">IFERROR(I125*INDEX('PORTIFÓLIO'!$S$4:$S$433,MATCH($C125,'PORTIFÓLIO'!$C$4:$C$433,0)),"")</f>
        <v/>
      </c>
      <c r="L125" s="219" t="str">
        <f t="array" ref="L125">IFERROR(J125*INDEX('PORTIFÓLIO'!$S$4:$S$433,MATCH($C125,'PORTIFÓLIO'!$C$4:$C$433,0)),"")</f>
        <v/>
      </c>
      <c r="M125" s="220"/>
      <c r="N125" s="220"/>
      <c r="O125" s="220"/>
      <c r="P125" s="220"/>
      <c r="Q125" s="220"/>
      <c r="R125" s="220"/>
      <c r="S125" s="220"/>
      <c r="T125" s="220"/>
      <c r="U125" s="220"/>
      <c r="V125" s="220"/>
      <c r="W125" s="220"/>
    </row>
    <row r="126" ht="15.75" customHeight="1" outlineLevel="1">
      <c r="A126" s="211"/>
      <c r="B126" s="212"/>
      <c r="C126" s="213"/>
      <c r="D126" s="214" t="str">
        <f>IFERROR(VLOOKUP($C126,'PORTIFÓLIO'!C:V,2,0),"")</f>
        <v/>
      </c>
      <c r="E126" s="211" t="str">
        <f>IFERROR(VLOOKUP($C126,'PORTIFÓLIO'!C:V,3,0),"")</f>
        <v/>
      </c>
      <c r="F126" s="211" t="str">
        <f>IFERROR(VLOOKUP($C126,'PORTIFÓLIO'!C:V,4,0),"")</f>
        <v/>
      </c>
      <c r="G126" s="215" t="str">
        <f>IFERROR(VLOOKUP($C126,'PORTIFÓLIO'!C:V,5,0),"")</f>
        <v/>
      </c>
      <c r="H126" s="254" t="str">
        <f t="array" ref="H126">IFERROR(INDEX('PORTIFÓLIO'!$H$4:$H$433,MATCH($C126,'PORTIFÓLIO'!$C$4:$C$433,0)),"")</f>
        <v/>
      </c>
      <c r="I126" s="256"/>
      <c r="J126" s="218">
        <f t="shared" si="14"/>
        <v>0</v>
      </c>
      <c r="K126" s="219" t="str">
        <f t="array" ref="K126">IFERROR(I126*INDEX('PORTIFÓLIO'!$S$4:$S$433,MATCH($C126,'PORTIFÓLIO'!$C$4:$C$433,0)),"")</f>
        <v/>
      </c>
      <c r="L126" s="219" t="str">
        <f t="array" ref="L126">IFERROR(J126*INDEX('PORTIFÓLIO'!$S$4:$S$433,MATCH($C126,'PORTIFÓLIO'!$C$4:$C$433,0)),"")</f>
        <v/>
      </c>
      <c r="M126" s="220"/>
      <c r="N126" s="220"/>
      <c r="O126" s="220"/>
      <c r="P126" s="220"/>
      <c r="Q126" s="220"/>
      <c r="R126" s="220"/>
      <c r="S126" s="220"/>
      <c r="T126" s="220"/>
      <c r="U126" s="220"/>
      <c r="V126" s="220"/>
      <c r="W126" s="220"/>
    </row>
    <row r="127" ht="15.75" customHeight="1" outlineLevel="1">
      <c r="A127" s="211"/>
      <c r="B127" s="212"/>
      <c r="C127" s="213"/>
      <c r="D127" s="214" t="str">
        <f>IFERROR(VLOOKUP($C127,'PORTIFÓLIO'!C:V,2,0),"")</f>
        <v/>
      </c>
      <c r="E127" s="211" t="str">
        <f>IFERROR(VLOOKUP($C127,'PORTIFÓLIO'!C:V,3,0),"")</f>
        <v/>
      </c>
      <c r="F127" s="211" t="str">
        <f>IFERROR(VLOOKUP($C127,'PORTIFÓLIO'!C:V,4,0),"")</f>
        <v/>
      </c>
      <c r="G127" s="215" t="str">
        <f>IFERROR(VLOOKUP($C127,'PORTIFÓLIO'!C:V,5,0),"")</f>
        <v/>
      </c>
      <c r="H127" s="254" t="str">
        <f t="array" ref="H127">IFERROR(INDEX('PORTIFÓLIO'!$H$4:$H$433,MATCH($C127,'PORTIFÓLIO'!$C$4:$C$433,0)),"")</f>
        <v/>
      </c>
      <c r="I127" s="256"/>
      <c r="J127" s="218">
        <f t="shared" si="14"/>
        <v>0</v>
      </c>
      <c r="K127" s="219" t="str">
        <f t="array" ref="K127">IFERROR(I127*INDEX('PORTIFÓLIO'!$S$4:$S$433,MATCH($C127,'PORTIFÓLIO'!$C$4:$C$433,0)),"")</f>
        <v/>
      </c>
      <c r="L127" s="219" t="str">
        <f t="array" ref="L127">IFERROR(J127*INDEX('PORTIFÓLIO'!$S$4:$S$433,MATCH($C127,'PORTIFÓLIO'!$C$4:$C$433,0)),"")</f>
        <v/>
      </c>
      <c r="M127" s="220"/>
      <c r="N127" s="220"/>
      <c r="O127" s="220"/>
      <c r="P127" s="220"/>
      <c r="Q127" s="220"/>
      <c r="R127" s="220"/>
      <c r="S127" s="220"/>
      <c r="T127" s="220"/>
      <c r="U127" s="220"/>
      <c r="V127" s="220"/>
      <c r="W127" s="220"/>
    </row>
    <row r="128" ht="15.75" customHeight="1" outlineLevel="1">
      <c r="A128" s="211"/>
      <c r="B128" s="212"/>
      <c r="C128" s="213"/>
      <c r="D128" s="214" t="str">
        <f>IFERROR(VLOOKUP($C128,'PORTIFÓLIO'!C:V,2,0),"")</f>
        <v/>
      </c>
      <c r="E128" s="211" t="str">
        <f>IFERROR(VLOOKUP($C128,'PORTIFÓLIO'!C:V,3,0),"")</f>
        <v/>
      </c>
      <c r="F128" s="211" t="str">
        <f>IFERROR(VLOOKUP($C128,'PORTIFÓLIO'!C:V,4,0),"")</f>
        <v/>
      </c>
      <c r="G128" s="215" t="str">
        <f>IFERROR(VLOOKUP($C128,'PORTIFÓLIO'!C:V,5,0),"")</f>
        <v/>
      </c>
      <c r="H128" s="254" t="str">
        <f t="array" ref="H128">IFERROR(INDEX('PORTIFÓLIO'!$H$4:$H$433,MATCH($C128,'PORTIFÓLIO'!$C$4:$C$433,0)),"")</f>
        <v/>
      </c>
      <c r="I128" s="256"/>
      <c r="J128" s="218">
        <f t="shared" si="14"/>
        <v>0</v>
      </c>
      <c r="K128" s="219" t="str">
        <f t="array" ref="K128">IFERROR(I128*INDEX('PORTIFÓLIO'!$S$4:$S$433,MATCH($C128,'PORTIFÓLIO'!$C$4:$C$433,0)),"")</f>
        <v/>
      </c>
      <c r="L128" s="219" t="str">
        <f t="array" ref="L128">IFERROR(J128*INDEX('PORTIFÓLIO'!$S$4:$S$433,MATCH($C128,'PORTIFÓLIO'!$C$4:$C$433,0)),"")</f>
        <v/>
      </c>
      <c r="M128" s="220"/>
      <c r="N128" s="220"/>
      <c r="O128" s="220"/>
      <c r="P128" s="220"/>
      <c r="Q128" s="220"/>
      <c r="R128" s="220"/>
      <c r="S128" s="220"/>
      <c r="T128" s="220"/>
      <c r="U128" s="220"/>
      <c r="V128" s="220"/>
      <c r="W128" s="220"/>
    </row>
    <row r="129" ht="15.75" customHeight="1" outlineLevel="1">
      <c r="A129" s="211"/>
      <c r="B129" s="212"/>
      <c r="C129" s="213"/>
      <c r="D129" s="214" t="str">
        <f>IFERROR(VLOOKUP($C129,'PORTIFÓLIO'!C:V,2,0),"")</f>
        <v/>
      </c>
      <c r="E129" s="211" t="str">
        <f>IFERROR(VLOOKUP($C129,'PORTIFÓLIO'!C:V,3,0),"")</f>
        <v/>
      </c>
      <c r="F129" s="211" t="str">
        <f>IFERROR(VLOOKUP($C129,'PORTIFÓLIO'!C:V,4,0),"")</f>
        <v/>
      </c>
      <c r="G129" s="215" t="str">
        <f>IFERROR(VLOOKUP($C129,'PORTIFÓLIO'!C:V,5,0),"")</f>
        <v/>
      </c>
      <c r="H129" s="254" t="str">
        <f t="array" ref="H129">IFERROR(INDEX('PORTIFÓLIO'!$H$4:$H$433,MATCH($C129,'PORTIFÓLIO'!$C$4:$C$433,0)),"")</f>
        <v/>
      </c>
      <c r="I129" s="256"/>
      <c r="J129" s="218">
        <f t="shared" si="14"/>
        <v>0</v>
      </c>
      <c r="K129" s="219" t="str">
        <f t="array" ref="K129">IFERROR(I129*INDEX('PORTIFÓLIO'!$S$4:$S$433,MATCH($C129,'PORTIFÓLIO'!$C$4:$C$433,0)),"")</f>
        <v/>
      </c>
      <c r="L129" s="219" t="str">
        <f t="array" ref="L129">IFERROR(J129*INDEX('PORTIFÓLIO'!$S$4:$S$433,MATCH($C129,'PORTIFÓLIO'!$C$4:$C$433,0)),"")</f>
        <v/>
      </c>
      <c r="M129" s="220"/>
      <c r="N129" s="220"/>
      <c r="O129" s="220"/>
      <c r="P129" s="220"/>
      <c r="Q129" s="220"/>
      <c r="R129" s="220"/>
      <c r="S129" s="220"/>
      <c r="T129" s="220"/>
      <c r="U129" s="220"/>
      <c r="V129" s="220"/>
      <c r="W129" s="220"/>
    </row>
    <row r="130" ht="15.75" customHeight="1" outlineLevel="1">
      <c r="A130" s="211"/>
      <c r="B130" s="227"/>
      <c r="C130" s="211"/>
      <c r="D130" s="214" t="str">
        <f>IFERROR(VLOOKUP($C130,'PORTIFÓLIO'!C:V,2,0),"")</f>
        <v/>
      </c>
      <c r="E130" s="211" t="str">
        <f>IFERROR(VLOOKUP($C130,'PORTIFÓLIO'!C:V,3,0),"")</f>
        <v/>
      </c>
      <c r="F130" s="211" t="str">
        <f>IFERROR(VLOOKUP($C130,'PORTIFÓLIO'!C:V,4,0),"")</f>
        <v/>
      </c>
      <c r="G130" s="215" t="str">
        <f>IFERROR(VLOOKUP($C130,'PORTIFÓLIO'!C:V,5,0),"")</f>
        <v/>
      </c>
      <c r="H130" s="254" t="str">
        <f t="array" ref="H130">IFERROR(INDEX('PORTIFÓLIO'!$H$4:$H$433,MATCH($C130,'PORTIFÓLIO'!$C$4:$C$433,0)),"")</f>
        <v/>
      </c>
      <c r="I130" s="256"/>
      <c r="J130" s="218"/>
      <c r="K130" s="219" t="str">
        <f t="array" ref="K130">IFERROR(I130*INDEX('PORTIFÓLIO'!$S$4:$S$433,MATCH($C130,'PORTIFÓLIO'!$C$4:$C$433,0)),"")</f>
        <v/>
      </c>
      <c r="L130" s="219" t="str">
        <f t="array" ref="L130">IFERROR(J130*INDEX('PORTIFÓLIO'!$S$4:$S$433,MATCH($C130,'PORTIFÓLIO'!$C$4:$C$433,0)),"")</f>
        <v/>
      </c>
      <c r="M130" s="220"/>
      <c r="N130" s="220"/>
      <c r="O130" s="220"/>
      <c r="P130" s="220"/>
      <c r="Q130" s="220"/>
      <c r="R130" s="220"/>
      <c r="S130" s="220"/>
      <c r="T130" s="220"/>
      <c r="U130" s="220"/>
      <c r="V130" s="220"/>
      <c r="W130" s="220"/>
    </row>
    <row r="131" ht="15.75" customHeight="1">
      <c r="A131" s="229" t="s">
        <v>1191</v>
      </c>
      <c r="B131" s="230"/>
      <c r="C131" s="231"/>
      <c r="D131" s="232"/>
      <c r="E131" s="231"/>
      <c r="F131" s="231"/>
      <c r="G131" s="233"/>
      <c r="H131" s="233"/>
      <c r="I131" s="258"/>
      <c r="J131" s="236"/>
      <c r="K131" s="237">
        <f t="shared" ref="K131:L131" si="15">SUBTOTAL(9,K132:K145)</f>
        <v>183.160532</v>
      </c>
      <c r="L131" s="237">
        <f t="shared" si="15"/>
        <v>36632.1064</v>
      </c>
      <c r="M131" s="220"/>
      <c r="N131" s="220"/>
      <c r="O131" s="220"/>
      <c r="P131" s="220"/>
      <c r="Q131" s="220"/>
      <c r="R131" s="220"/>
      <c r="S131" s="220"/>
      <c r="T131" s="220"/>
      <c r="U131" s="220"/>
      <c r="V131" s="220"/>
      <c r="W131" s="220"/>
    </row>
    <row r="132" ht="15.75" customHeight="1" outlineLevel="1">
      <c r="A132" s="213"/>
      <c r="B132" s="212" t="s">
        <v>0</v>
      </c>
      <c r="C132" s="213" t="s">
        <v>487</v>
      </c>
      <c r="D132" s="214" t="str">
        <f>IFERROR(VLOOKUP($C132,'PORTIFÓLIO'!C:V,2,0),"")</f>
        <v>PICOXISTROBINA + CIPROCONAZOL</v>
      </c>
      <c r="E132" s="211" t="str">
        <f>IFERROR(VLOOKUP($C132,'PORTIFÓLIO'!C:V,3,0),"")</f>
        <v>90 + 40</v>
      </c>
      <c r="F132" s="211" t="str">
        <f>IFERROR(VLOOKUP($C132,'PORTIFÓLIO'!C:V,4,0),"")</f>
        <v>L</v>
      </c>
      <c r="G132" s="225" t="str">
        <f>IFERROR(VLOOKUP($C132,'PORTIFÓLIO'!C:V,5,0),"")</f>
        <v>📄 Ver bula</v>
      </c>
      <c r="H132" s="254">
        <f t="array" ref="H132">IFERROR(INDEX('PORTIFÓLIO'!$H$4:$H$433,MATCH($C132,'PORTIFÓLIO'!$C$4:$C$433,0)),"")</f>
        <v>0.6</v>
      </c>
      <c r="I132" s="255">
        <v>0.6</v>
      </c>
      <c r="J132" s="218">
        <f t="shared" ref="J132:J146" si="16">I132*$B$2</f>
        <v>120</v>
      </c>
      <c r="K132" s="219">
        <f t="array" ref="K132">IFERROR(I132*INDEX('PORTIFÓLIO'!$S$4:$S$433,MATCH($C132,'PORTIFÓLIO'!$C$4:$C$433,0)),"")</f>
        <v>39.349152</v>
      </c>
      <c r="L132" s="219">
        <f t="array" ref="L132">IFERROR(J132*INDEX('PORTIFÓLIO'!$S$4:$S$433,MATCH($C132,'PORTIFÓLIO'!$C$4:$C$433,0)),"")</f>
        <v>7869.8304</v>
      </c>
      <c r="M132" s="220"/>
      <c r="N132" s="220"/>
      <c r="O132" s="220"/>
      <c r="P132" s="220"/>
      <c r="Q132" s="220"/>
      <c r="R132" s="220"/>
      <c r="S132" s="220"/>
      <c r="T132" s="220"/>
      <c r="U132" s="220"/>
      <c r="V132" s="220"/>
      <c r="W132" s="220"/>
    </row>
    <row r="133" ht="15.75" customHeight="1" outlineLevel="1">
      <c r="A133" s="211"/>
      <c r="B133" s="212" t="s">
        <v>0</v>
      </c>
      <c r="C133" s="213" t="s">
        <v>484</v>
      </c>
      <c r="D133" s="214" t="str">
        <f>IFERROR(VLOOKUP($C133,'PORTIFÓLIO'!C:V,2,0),"")</f>
        <v>MANCOZEBE</v>
      </c>
      <c r="E133" s="211">
        <f>IFERROR(VLOOKUP($C133,'PORTIFÓLIO'!C:V,3,0),"")</f>
        <v>750</v>
      </c>
      <c r="F133" s="211" t="str">
        <f>IFERROR(VLOOKUP($C133,'PORTIFÓLIO'!C:V,4,0),"")</f>
        <v>L</v>
      </c>
      <c r="G133" s="225" t="str">
        <f>IFERROR(VLOOKUP($C133,'PORTIFÓLIO'!C:V,5,0),"")</f>
        <v>📄 Ver bula</v>
      </c>
      <c r="H133" s="254">
        <f t="array" ref="H133">IFERROR(INDEX('PORTIFÓLIO'!$H$4:$H$433,MATCH($C133,'PORTIFÓLIO'!$C$4:$C$433,0)),"")</f>
        <v>1.5</v>
      </c>
      <c r="I133" s="255">
        <v>1.5</v>
      </c>
      <c r="J133" s="218">
        <f t="shared" si="16"/>
        <v>300</v>
      </c>
      <c r="K133" s="219">
        <f t="array" ref="K133">IFERROR(I133*INDEX('PORTIFÓLIO'!$S$4:$S$433,MATCH($C133,'PORTIFÓLIO'!$C$4:$C$433,0)),"")</f>
        <v>41.52168</v>
      </c>
      <c r="L133" s="219">
        <f t="array" ref="L133">IFERROR(J133*INDEX('PORTIFÓLIO'!$S$4:$S$433,MATCH($C133,'PORTIFÓLIO'!$C$4:$C$433,0)),"")</f>
        <v>8304.336</v>
      </c>
      <c r="M133" s="220"/>
      <c r="N133" s="220"/>
      <c r="O133" s="220"/>
      <c r="P133" s="220"/>
      <c r="Q133" s="220"/>
      <c r="R133" s="220"/>
      <c r="S133" s="220"/>
      <c r="T133" s="220"/>
      <c r="U133" s="220"/>
      <c r="V133" s="220"/>
      <c r="W133" s="220"/>
    </row>
    <row r="134" ht="15.75" customHeight="1" outlineLevel="1">
      <c r="A134" s="211"/>
      <c r="B134" s="212" t="s">
        <v>2</v>
      </c>
      <c r="C134" s="213" t="s">
        <v>897</v>
      </c>
      <c r="D134" s="214" t="str">
        <f>IFERROR(VLOOKUP($C134,'PORTIFÓLIO'!C:V,2,0),"")</f>
        <v>ISOCICLOSERAM + LAMBDA-CIALOTRINA</v>
      </c>
      <c r="E134" s="211" t="str">
        <f>IFERROR(VLOOKUP($C134,'PORTIFÓLIO'!C:V,3,0),"")</f>
        <v>100 + 150</v>
      </c>
      <c r="F134" s="211" t="str">
        <f>IFERROR(VLOOKUP($C134,'PORTIFÓLIO'!C:V,4,0),"")</f>
        <v>L</v>
      </c>
      <c r="G134" s="225" t="str">
        <f>IFERROR(VLOOKUP($C134,'PORTIFÓLIO'!C:V,5,0),"")</f>
        <v>📄 Ver bula</v>
      </c>
      <c r="H134" s="254">
        <f t="array" ref="H134">IFERROR(INDEX('PORTIFÓLIO'!$H$4:$H$433,MATCH($C134,'PORTIFÓLIO'!$C$4:$C$433,0)),"")</f>
        <v>0.25</v>
      </c>
      <c r="I134" s="255">
        <v>0.25</v>
      </c>
      <c r="J134" s="218">
        <f t="shared" si="16"/>
        <v>50</v>
      </c>
      <c r="K134" s="219">
        <f t="array" ref="K134">IFERROR(I134*INDEX('PORTIFÓLIO'!$S$4:$S$433,MATCH($C134,'PORTIFÓLIO'!$C$4:$C$433,0)),"")</f>
        <v>99.0837</v>
      </c>
      <c r="L134" s="219">
        <f t="array" ref="L134">IFERROR(J134*INDEX('PORTIFÓLIO'!$S$4:$S$433,MATCH($C134,'PORTIFÓLIO'!$C$4:$C$433,0)),"")</f>
        <v>19816.74</v>
      </c>
      <c r="M134" s="220"/>
      <c r="N134" s="220"/>
      <c r="O134" s="220"/>
      <c r="P134" s="220"/>
      <c r="Q134" s="220"/>
      <c r="R134" s="220"/>
      <c r="S134" s="220"/>
      <c r="T134" s="220"/>
      <c r="U134" s="220"/>
      <c r="V134" s="220"/>
      <c r="W134" s="220"/>
    </row>
    <row r="135" ht="15.75" customHeight="1" outlineLevel="1">
      <c r="A135" s="211"/>
      <c r="B135" s="212" t="s">
        <v>6</v>
      </c>
      <c r="C135" s="213" t="s">
        <v>354</v>
      </c>
      <c r="D135" s="214" t="str">
        <f>IFERROR(VLOOKUP($C135,'PORTIFÓLIO'!C:V,2,0),"")</f>
        <v>OLEO MINERAL</v>
      </c>
      <c r="E135" s="211">
        <f>IFERROR(VLOOKUP($C135,'PORTIFÓLIO'!C:V,3,0),"")</f>
        <v>761</v>
      </c>
      <c r="F135" s="211" t="str">
        <f>IFERROR(VLOOKUP($C135,'PORTIFÓLIO'!C:V,4,0),"")</f>
        <v>L</v>
      </c>
      <c r="G135" s="225" t="str">
        <f>IFERROR(VLOOKUP($C135,'PORTIFÓLIO'!C:V,5,0),"")</f>
        <v>📄 Ver bula</v>
      </c>
      <c r="H135" s="254">
        <f t="array" ref="H135">IFERROR(INDEX('PORTIFÓLIO'!$H$4:$H$433,MATCH($C135,'PORTIFÓLIO'!$C$4:$C$433,0)),"")</f>
        <v>0.2</v>
      </c>
      <c r="I135" s="255">
        <v>0.2</v>
      </c>
      <c r="J135" s="218">
        <f t="shared" si="16"/>
        <v>40</v>
      </c>
      <c r="K135" s="219">
        <f t="array" ref="K135">IFERROR(I135*INDEX('PORTIFÓLIO'!$S$4:$S$433,MATCH($C135,'PORTIFÓLIO'!$C$4:$C$433,0)),"")</f>
        <v>3.206</v>
      </c>
      <c r="L135" s="219">
        <f t="array" ref="L135">IFERROR(J135*INDEX('PORTIFÓLIO'!$S$4:$S$433,MATCH($C135,'PORTIFÓLIO'!$C$4:$C$433,0)),"")</f>
        <v>641.2</v>
      </c>
      <c r="M135" s="220"/>
      <c r="N135" s="220"/>
      <c r="O135" s="220"/>
      <c r="P135" s="220"/>
      <c r="Q135" s="220"/>
      <c r="R135" s="220"/>
      <c r="S135" s="220"/>
      <c r="T135" s="220"/>
      <c r="U135" s="220"/>
      <c r="V135" s="220"/>
      <c r="W135" s="220"/>
    </row>
    <row r="136" ht="15.75" customHeight="1" outlineLevel="1">
      <c r="A136" s="211"/>
      <c r="B136" s="212"/>
      <c r="C136" s="213"/>
      <c r="D136" s="214" t="str">
        <f>IFERROR(VLOOKUP($C136,'PORTIFÓLIO'!C:V,2,0),"")</f>
        <v/>
      </c>
      <c r="E136" s="211" t="str">
        <f>IFERROR(VLOOKUP($C136,'PORTIFÓLIO'!C:V,3,0),"")</f>
        <v/>
      </c>
      <c r="F136" s="211" t="str">
        <f>IFERROR(VLOOKUP($C136,'PORTIFÓLIO'!C:V,4,0),"")</f>
        <v/>
      </c>
      <c r="G136" s="215" t="str">
        <f>IFERROR(VLOOKUP($C136,'PORTIFÓLIO'!C:V,5,0),"")</f>
        <v/>
      </c>
      <c r="H136" s="254" t="str">
        <f t="array" ref="H136">IFERROR(INDEX('PORTIFÓLIO'!$H$4:$H$433,MATCH($C136,'PORTIFÓLIO'!$C$4:$C$433,0)),"")</f>
        <v/>
      </c>
      <c r="I136" s="256"/>
      <c r="J136" s="218">
        <f t="shared" si="16"/>
        <v>0</v>
      </c>
      <c r="K136" s="219" t="str">
        <f t="array" ref="K136">IFERROR(I136*INDEX('PORTIFÓLIO'!$S$4:$S$433,MATCH($C136,'PORTIFÓLIO'!$C$4:$C$433,0)),"")</f>
        <v/>
      </c>
      <c r="L136" s="219" t="str">
        <f t="array" ref="L136">IFERROR(J136*INDEX('PORTIFÓLIO'!$S$4:$S$433,MATCH($C136,'PORTIFÓLIO'!$C$4:$C$433,0)),"")</f>
        <v/>
      </c>
      <c r="M136" s="220"/>
      <c r="N136" s="220"/>
      <c r="O136" s="220"/>
      <c r="P136" s="220"/>
      <c r="Q136" s="220"/>
      <c r="R136" s="220"/>
      <c r="S136" s="220"/>
      <c r="T136" s="220"/>
      <c r="U136" s="220"/>
      <c r="V136" s="220"/>
      <c r="W136" s="220"/>
    </row>
    <row r="137" ht="15.75" customHeight="1" outlineLevel="1">
      <c r="A137" s="211"/>
      <c r="B137" s="212"/>
      <c r="C137" s="213"/>
      <c r="D137" s="214" t="str">
        <f>IFERROR(VLOOKUP($C137,'PORTIFÓLIO'!C:V,2,0),"")</f>
        <v/>
      </c>
      <c r="E137" s="211" t="str">
        <f>IFERROR(VLOOKUP($C137,'PORTIFÓLIO'!C:V,3,0),"")</f>
        <v/>
      </c>
      <c r="F137" s="211" t="str">
        <f>IFERROR(VLOOKUP($C137,'PORTIFÓLIO'!C:V,4,0),"")</f>
        <v/>
      </c>
      <c r="G137" s="215" t="str">
        <f>IFERROR(VLOOKUP($C137,'PORTIFÓLIO'!C:V,5,0),"")</f>
        <v/>
      </c>
      <c r="H137" s="254" t="str">
        <f t="array" ref="H137">IFERROR(INDEX('PORTIFÓLIO'!$H$4:$H$433,MATCH($C137,'PORTIFÓLIO'!$C$4:$C$433,0)),"")</f>
        <v/>
      </c>
      <c r="I137" s="256"/>
      <c r="J137" s="218">
        <f t="shared" si="16"/>
        <v>0</v>
      </c>
      <c r="K137" s="219" t="str">
        <f t="array" ref="K137">IFERROR(I137*INDEX('PORTIFÓLIO'!$S$4:$S$433,MATCH($C137,'PORTIFÓLIO'!$C$4:$C$433,0)),"")</f>
        <v/>
      </c>
      <c r="L137" s="219" t="str">
        <f t="array" ref="L137">IFERROR(J137*INDEX('PORTIFÓLIO'!$S$4:$S$433,MATCH($C137,'PORTIFÓLIO'!$C$4:$C$433,0)),"")</f>
        <v/>
      </c>
      <c r="M137" s="220"/>
      <c r="N137" s="220"/>
      <c r="O137" s="220"/>
      <c r="P137" s="220"/>
      <c r="Q137" s="220"/>
      <c r="R137" s="220"/>
      <c r="S137" s="220"/>
      <c r="T137" s="220"/>
      <c r="U137" s="220"/>
      <c r="V137" s="220"/>
      <c r="W137" s="220"/>
    </row>
    <row r="138" ht="15.75" customHeight="1" outlineLevel="1">
      <c r="A138" s="211"/>
      <c r="B138" s="212"/>
      <c r="C138" s="213"/>
      <c r="D138" s="214" t="str">
        <f>IFERROR(VLOOKUP($C138,'PORTIFÓLIO'!C:V,2,0),"")</f>
        <v/>
      </c>
      <c r="E138" s="211" t="str">
        <f>IFERROR(VLOOKUP($C138,'PORTIFÓLIO'!C:V,3,0),"")</f>
        <v/>
      </c>
      <c r="F138" s="211" t="str">
        <f>IFERROR(VLOOKUP($C138,'PORTIFÓLIO'!C:V,4,0),"")</f>
        <v/>
      </c>
      <c r="G138" s="215" t="str">
        <f>IFERROR(VLOOKUP($C138,'PORTIFÓLIO'!C:V,5,0),"")</f>
        <v/>
      </c>
      <c r="H138" s="254" t="str">
        <f t="array" ref="H138">IFERROR(INDEX('PORTIFÓLIO'!$H$4:$H$433,MATCH($C138,'PORTIFÓLIO'!$C$4:$C$433,0)),"")</f>
        <v/>
      </c>
      <c r="I138" s="256"/>
      <c r="J138" s="218">
        <f t="shared" si="16"/>
        <v>0</v>
      </c>
      <c r="K138" s="219" t="str">
        <f t="array" ref="K138">IFERROR(I138*INDEX('PORTIFÓLIO'!$S$4:$S$433,MATCH($C138,'PORTIFÓLIO'!$C$4:$C$433,0)),"")</f>
        <v/>
      </c>
      <c r="L138" s="219" t="str">
        <f t="array" ref="L138">IFERROR(J138*INDEX('PORTIFÓLIO'!$S$4:$S$433,MATCH($C138,'PORTIFÓLIO'!$C$4:$C$433,0)),"")</f>
        <v/>
      </c>
      <c r="M138" s="220"/>
      <c r="N138" s="220"/>
      <c r="O138" s="220"/>
      <c r="P138" s="220"/>
      <c r="Q138" s="220"/>
      <c r="R138" s="220"/>
      <c r="S138" s="220"/>
      <c r="T138" s="220"/>
      <c r="U138" s="220"/>
      <c r="V138" s="220"/>
      <c r="W138" s="220"/>
    </row>
    <row r="139" ht="15.75" customHeight="1" outlineLevel="1">
      <c r="A139" s="211"/>
      <c r="B139" s="212"/>
      <c r="C139" s="213"/>
      <c r="D139" s="214" t="str">
        <f>IFERROR(VLOOKUP($C139,'PORTIFÓLIO'!C:V,2,0),"")</f>
        <v/>
      </c>
      <c r="E139" s="211" t="str">
        <f>IFERROR(VLOOKUP($C139,'PORTIFÓLIO'!C:V,3,0),"")</f>
        <v/>
      </c>
      <c r="F139" s="211" t="str">
        <f>IFERROR(VLOOKUP($C139,'PORTIFÓLIO'!C:V,4,0),"")</f>
        <v/>
      </c>
      <c r="G139" s="215" t="str">
        <f>IFERROR(VLOOKUP($C139,'PORTIFÓLIO'!C:V,5,0),"")</f>
        <v/>
      </c>
      <c r="H139" s="254" t="str">
        <f t="array" ref="H139">IFERROR(INDEX('PORTIFÓLIO'!$H$4:$H$433,MATCH($C139,'PORTIFÓLIO'!$C$4:$C$433,0)),"")</f>
        <v/>
      </c>
      <c r="I139" s="256"/>
      <c r="J139" s="218">
        <f t="shared" si="16"/>
        <v>0</v>
      </c>
      <c r="K139" s="219" t="str">
        <f t="array" ref="K139">IFERROR(I139*INDEX('PORTIFÓLIO'!$S$4:$S$433,MATCH($C139,'PORTIFÓLIO'!$C$4:$C$433,0)),"")</f>
        <v/>
      </c>
      <c r="L139" s="219" t="str">
        <f t="array" ref="L139">IFERROR(J139*INDEX('PORTIFÓLIO'!$S$4:$S$433,MATCH($C139,'PORTIFÓLIO'!$C$4:$C$433,0)),"")</f>
        <v/>
      </c>
      <c r="M139" s="220"/>
      <c r="N139" s="220"/>
      <c r="O139" s="220"/>
      <c r="P139" s="220"/>
      <c r="Q139" s="220"/>
      <c r="R139" s="220"/>
      <c r="S139" s="220"/>
      <c r="T139" s="220"/>
      <c r="U139" s="220"/>
      <c r="V139" s="220"/>
      <c r="W139" s="220"/>
    </row>
    <row r="140" ht="15.75" customHeight="1" outlineLevel="1">
      <c r="A140" s="211"/>
      <c r="B140" s="212"/>
      <c r="C140" s="213"/>
      <c r="D140" s="214" t="str">
        <f>IFERROR(VLOOKUP($C140,'PORTIFÓLIO'!C:V,2,0),"")</f>
        <v/>
      </c>
      <c r="E140" s="211" t="str">
        <f>IFERROR(VLOOKUP($C140,'PORTIFÓLIO'!C:V,3,0),"")</f>
        <v/>
      </c>
      <c r="F140" s="211" t="str">
        <f>IFERROR(VLOOKUP($C140,'PORTIFÓLIO'!C:V,4,0),"")</f>
        <v/>
      </c>
      <c r="G140" s="215" t="str">
        <f>IFERROR(VLOOKUP($C140,'PORTIFÓLIO'!C:V,5,0),"")</f>
        <v/>
      </c>
      <c r="H140" s="254" t="str">
        <f t="array" ref="H140">IFERROR(INDEX('PORTIFÓLIO'!$H$4:$H$433,MATCH($C140,'PORTIFÓLIO'!$C$4:$C$433,0)),"")</f>
        <v/>
      </c>
      <c r="I140" s="255"/>
      <c r="J140" s="218">
        <f t="shared" si="16"/>
        <v>0</v>
      </c>
      <c r="K140" s="219" t="str">
        <f t="array" ref="K140">IFERROR(I140*INDEX('PORTIFÓLIO'!$S$4:$S$433,MATCH($C140,'PORTIFÓLIO'!$C$4:$C$433,0)),"")</f>
        <v/>
      </c>
      <c r="L140" s="219" t="str">
        <f t="array" ref="L140">IFERROR(J140*INDEX('PORTIFÓLIO'!$S$4:$S$433,MATCH($C140,'PORTIFÓLIO'!$C$4:$C$433,0)),"")</f>
        <v/>
      </c>
      <c r="M140" s="220"/>
      <c r="N140" s="220"/>
      <c r="O140" s="220"/>
      <c r="P140" s="220"/>
      <c r="Q140" s="220"/>
      <c r="R140" s="220"/>
      <c r="S140" s="220"/>
      <c r="T140" s="220"/>
      <c r="U140" s="220"/>
      <c r="V140" s="220"/>
      <c r="W140" s="220"/>
    </row>
    <row r="141" ht="15.75" customHeight="1" outlineLevel="1">
      <c r="A141" s="211"/>
      <c r="B141" s="212"/>
      <c r="C141" s="213"/>
      <c r="D141" s="214" t="str">
        <f>IFERROR(VLOOKUP($C141,'PORTIFÓLIO'!C:V,2,0),"")</f>
        <v/>
      </c>
      <c r="E141" s="211" t="str">
        <f>IFERROR(VLOOKUP($C141,'PORTIFÓLIO'!C:V,3,0),"")</f>
        <v/>
      </c>
      <c r="F141" s="211" t="str">
        <f>IFERROR(VLOOKUP($C141,'PORTIFÓLIO'!C:V,4,0),"")</f>
        <v/>
      </c>
      <c r="G141" s="215" t="str">
        <f>IFERROR(VLOOKUP($C141,'PORTIFÓLIO'!C:V,5,0),"")</f>
        <v/>
      </c>
      <c r="H141" s="254" t="str">
        <f t="array" ref="H141">IFERROR(INDEX('PORTIFÓLIO'!$H$4:$H$433,MATCH($C141,'PORTIFÓLIO'!$C$4:$C$433,0)),"")</f>
        <v/>
      </c>
      <c r="I141" s="256"/>
      <c r="J141" s="218">
        <f t="shared" si="16"/>
        <v>0</v>
      </c>
      <c r="K141" s="219" t="str">
        <f t="array" ref="K141">IFERROR(I141*INDEX('PORTIFÓLIO'!$S$4:$S$433,MATCH($C141,'PORTIFÓLIO'!$C$4:$C$433,0)),"")</f>
        <v/>
      </c>
      <c r="L141" s="219" t="str">
        <f t="array" ref="L141">IFERROR(J141*INDEX('PORTIFÓLIO'!$S$4:$S$433,MATCH($C141,'PORTIFÓLIO'!$C$4:$C$433,0)),"")</f>
        <v/>
      </c>
      <c r="M141" s="220"/>
      <c r="N141" s="220"/>
      <c r="O141" s="220"/>
      <c r="P141" s="220"/>
      <c r="Q141" s="220"/>
      <c r="R141" s="220"/>
      <c r="S141" s="220"/>
      <c r="T141" s="220"/>
      <c r="U141" s="220"/>
      <c r="V141" s="220"/>
      <c r="W141" s="220"/>
    </row>
    <row r="142" ht="15.75" customHeight="1" outlineLevel="1">
      <c r="A142" s="211"/>
      <c r="B142" s="212"/>
      <c r="C142" s="213"/>
      <c r="D142" s="214" t="str">
        <f>IFERROR(VLOOKUP($C142,'PORTIFÓLIO'!C:V,2,0),"")</f>
        <v/>
      </c>
      <c r="E142" s="211" t="str">
        <f>IFERROR(VLOOKUP($C142,'PORTIFÓLIO'!C:V,3,0),"")</f>
        <v/>
      </c>
      <c r="F142" s="211" t="str">
        <f>IFERROR(VLOOKUP($C142,'PORTIFÓLIO'!C:V,4,0),"")</f>
        <v/>
      </c>
      <c r="G142" s="215" t="str">
        <f>IFERROR(VLOOKUP($C142,'PORTIFÓLIO'!C:V,5,0),"")</f>
        <v/>
      </c>
      <c r="H142" s="254" t="str">
        <f t="array" ref="H142">IFERROR(INDEX('PORTIFÓLIO'!$H$4:$H$433,MATCH($C142,'PORTIFÓLIO'!$C$4:$C$433,0)),"")</f>
        <v/>
      </c>
      <c r="I142" s="256"/>
      <c r="J142" s="218">
        <f t="shared" si="16"/>
        <v>0</v>
      </c>
      <c r="K142" s="219" t="str">
        <f t="array" ref="K142">IFERROR(I142*INDEX('PORTIFÓLIO'!$S$4:$S$433,MATCH($C142,'PORTIFÓLIO'!$C$4:$C$433,0)),"")</f>
        <v/>
      </c>
      <c r="L142" s="219" t="str">
        <f t="array" ref="L142">IFERROR(J142*INDEX('PORTIFÓLIO'!$S$4:$S$433,MATCH($C142,'PORTIFÓLIO'!$C$4:$C$433,0)),"")</f>
        <v/>
      </c>
      <c r="M142" s="220"/>
      <c r="N142" s="220"/>
      <c r="O142" s="220"/>
      <c r="P142" s="220"/>
      <c r="Q142" s="220"/>
      <c r="R142" s="220"/>
      <c r="S142" s="220"/>
      <c r="T142" s="220"/>
      <c r="U142" s="220"/>
      <c r="V142" s="220"/>
      <c r="W142" s="220"/>
    </row>
    <row r="143" ht="15.75" customHeight="1" outlineLevel="1">
      <c r="A143" s="211"/>
      <c r="B143" s="212"/>
      <c r="C143" s="213"/>
      <c r="D143" s="214" t="str">
        <f>IFERROR(VLOOKUP($C143,'PORTIFÓLIO'!C:V,2,0),"")</f>
        <v/>
      </c>
      <c r="E143" s="211" t="str">
        <f>IFERROR(VLOOKUP($C143,'PORTIFÓLIO'!C:V,3,0),"")</f>
        <v/>
      </c>
      <c r="F143" s="211" t="str">
        <f>IFERROR(VLOOKUP($C143,'PORTIFÓLIO'!C:V,4,0),"")</f>
        <v/>
      </c>
      <c r="G143" s="215" t="str">
        <f>IFERROR(VLOOKUP($C143,'PORTIFÓLIO'!C:V,5,0),"")</f>
        <v/>
      </c>
      <c r="H143" s="254" t="str">
        <f t="array" ref="H143">IFERROR(INDEX('PORTIFÓLIO'!$H$4:$H$433,MATCH($C143,'PORTIFÓLIO'!$C$4:$C$433,0)),"")</f>
        <v/>
      </c>
      <c r="I143" s="256"/>
      <c r="J143" s="218">
        <f t="shared" si="16"/>
        <v>0</v>
      </c>
      <c r="K143" s="219" t="str">
        <f t="array" ref="K143">IFERROR(I143*INDEX('PORTIFÓLIO'!$S$4:$S$433,MATCH($C143,'PORTIFÓLIO'!$C$4:$C$433,0)),"")</f>
        <v/>
      </c>
      <c r="L143" s="219" t="str">
        <f t="array" ref="L143">IFERROR(J143*INDEX('PORTIFÓLIO'!$S$4:$S$433,MATCH($C143,'PORTIFÓLIO'!$C$4:$C$433,0)),"")</f>
        <v/>
      </c>
      <c r="M143" s="220"/>
      <c r="N143" s="220"/>
      <c r="O143" s="220"/>
      <c r="P143" s="220"/>
      <c r="Q143" s="220"/>
      <c r="R143" s="220"/>
      <c r="S143" s="220"/>
      <c r="T143" s="220"/>
      <c r="U143" s="220"/>
      <c r="V143" s="220"/>
      <c r="W143" s="220"/>
    </row>
    <row r="144" ht="15.75" customHeight="1" outlineLevel="1">
      <c r="A144" s="211"/>
      <c r="B144" s="212"/>
      <c r="C144" s="213"/>
      <c r="D144" s="214" t="str">
        <f>IFERROR(VLOOKUP($C144,'PORTIFÓLIO'!C:V,2,0),"")</f>
        <v/>
      </c>
      <c r="E144" s="211" t="str">
        <f>IFERROR(VLOOKUP($C144,'PORTIFÓLIO'!C:V,3,0),"")</f>
        <v/>
      </c>
      <c r="F144" s="211" t="str">
        <f>IFERROR(VLOOKUP($C144,'PORTIFÓLIO'!C:V,4,0),"")</f>
        <v/>
      </c>
      <c r="G144" s="215" t="str">
        <f>IFERROR(VLOOKUP($C144,'PORTIFÓLIO'!C:V,5,0),"")</f>
        <v/>
      </c>
      <c r="H144" s="254" t="str">
        <f t="array" ref="H144">IFERROR(INDEX('PORTIFÓLIO'!$H$4:$H$433,MATCH($C144,'PORTIFÓLIO'!$C$4:$C$433,0)),"")</f>
        <v/>
      </c>
      <c r="I144" s="256"/>
      <c r="J144" s="218">
        <f t="shared" si="16"/>
        <v>0</v>
      </c>
      <c r="K144" s="219" t="str">
        <f t="array" ref="K144">IFERROR(I144*INDEX('PORTIFÓLIO'!$S$4:$S$433,MATCH($C144,'PORTIFÓLIO'!$C$4:$C$433,0)),"")</f>
        <v/>
      </c>
      <c r="L144" s="219" t="str">
        <f t="array" ref="L144">IFERROR(J144*INDEX('PORTIFÓLIO'!$S$4:$S$433,MATCH($C144,'PORTIFÓLIO'!$C$4:$C$433,0)),"")</f>
        <v/>
      </c>
      <c r="M144" s="220"/>
      <c r="N144" s="220"/>
      <c r="O144" s="220"/>
      <c r="P144" s="220"/>
      <c r="Q144" s="220"/>
      <c r="R144" s="220"/>
      <c r="S144" s="220"/>
      <c r="T144" s="220"/>
      <c r="U144" s="220"/>
      <c r="V144" s="220"/>
      <c r="W144" s="220"/>
    </row>
    <row r="145" ht="15.75" customHeight="1" outlineLevel="1">
      <c r="A145" s="211"/>
      <c r="B145" s="212"/>
      <c r="C145" s="213"/>
      <c r="D145" s="214" t="str">
        <f>IFERROR(VLOOKUP($C145,'PORTIFÓLIO'!C:V,2,0),"")</f>
        <v/>
      </c>
      <c r="E145" s="211" t="str">
        <f>IFERROR(VLOOKUP($C145,'PORTIFÓLIO'!C:V,3,0),"")</f>
        <v/>
      </c>
      <c r="F145" s="211" t="str">
        <f>IFERROR(VLOOKUP($C145,'PORTIFÓLIO'!C:V,4,0),"")</f>
        <v/>
      </c>
      <c r="G145" s="215" t="str">
        <f>IFERROR(VLOOKUP($C145,'PORTIFÓLIO'!C:V,5,0),"")</f>
        <v/>
      </c>
      <c r="H145" s="254" t="str">
        <f t="array" ref="H145">IFERROR(INDEX('PORTIFÓLIO'!$H$4:$H$433,MATCH($C145,'PORTIFÓLIO'!$C$4:$C$433,0)),"")</f>
        <v/>
      </c>
      <c r="I145" s="256"/>
      <c r="J145" s="218">
        <f t="shared" si="16"/>
        <v>0</v>
      </c>
      <c r="K145" s="219" t="str">
        <f t="array" ref="K145">IFERROR(I145*INDEX('PORTIFÓLIO'!$S$4:$S$433,MATCH($C145,'PORTIFÓLIO'!$C$4:$C$433,0)),"")</f>
        <v/>
      </c>
      <c r="L145" s="219" t="str">
        <f t="array" ref="L145">IFERROR(J145*INDEX('PORTIFÓLIO'!$S$4:$S$433,MATCH($C145,'PORTIFÓLIO'!$C$4:$C$433,0)),"")</f>
        <v/>
      </c>
      <c r="M145" s="220"/>
      <c r="N145" s="220"/>
      <c r="O145" s="220"/>
      <c r="P145" s="220"/>
      <c r="Q145" s="220"/>
      <c r="R145" s="220"/>
      <c r="S145" s="220"/>
      <c r="T145" s="220"/>
      <c r="U145" s="220"/>
      <c r="V145" s="220"/>
      <c r="W145" s="220"/>
    </row>
    <row r="146" ht="15.75" customHeight="1" outlineLevel="1">
      <c r="A146" s="211"/>
      <c r="B146" s="212"/>
      <c r="C146" s="213"/>
      <c r="D146" s="214" t="str">
        <f>IFERROR(VLOOKUP($C146,'PORTIFÓLIO'!C:V,2,0),"")</f>
        <v/>
      </c>
      <c r="E146" s="211" t="str">
        <f>IFERROR(VLOOKUP($C146,'PORTIFÓLIO'!C:V,3,0),"")</f>
        <v/>
      </c>
      <c r="F146" s="211" t="str">
        <f>IFERROR(VLOOKUP($C146,'PORTIFÓLIO'!C:V,4,0),"")</f>
        <v/>
      </c>
      <c r="G146" s="215" t="str">
        <f>IFERROR(VLOOKUP($C146,'PORTIFÓLIO'!C:V,5,0),"")</f>
        <v/>
      </c>
      <c r="H146" s="254" t="str">
        <f t="array" ref="H146">IFERROR(INDEX('PORTIFÓLIO'!$H$4:$H$433,MATCH($C146,'PORTIFÓLIO'!$C$4:$C$433,0)),"")</f>
        <v/>
      </c>
      <c r="I146" s="256"/>
      <c r="J146" s="218">
        <f t="shared" si="16"/>
        <v>0</v>
      </c>
      <c r="K146" s="219" t="str">
        <f t="array" ref="K146">IFERROR(I146*INDEX('PORTIFÓLIO'!$S$4:$S$433,MATCH($C146,'PORTIFÓLIO'!$C$4:$C$433,0)),"")</f>
        <v/>
      </c>
      <c r="L146" s="219" t="str">
        <f t="array" ref="L146">IFERROR(J146*INDEX('PORTIFÓLIO'!$S$4:$S$433,MATCH($C146,'PORTIFÓLIO'!$C$4:$C$433,0)),"")</f>
        <v/>
      </c>
      <c r="M146" s="220"/>
      <c r="N146" s="220"/>
      <c r="O146" s="220"/>
      <c r="P146" s="220"/>
      <c r="Q146" s="220"/>
      <c r="R146" s="220"/>
      <c r="S146" s="220"/>
      <c r="T146" s="220"/>
      <c r="U146" s="220"/>
      <c r="V146" s="220"/>
      <c r="W146" s="220"/>
    </row>
    <row r="147" ht="15.75" customHeight="1" outlineLevel="1">
      <c r="A147" s="211"/>
      <c r="B147" s="227"/>
      <c r="C147" s="211"/>
      <c r="D147" s="214" t="str">
        <f>IFERROR(VLOOKUP($C147,'PORTIFÓLIO'!C:V,2,0),"")</f>
        <v/>
      </c>
      <c r="E147" s="211" t="str">
        <f>IFERROR(VLOOKUP($C147,'PORTIFÓLIO'!C:V,3,0),"")</f>
        <v/>
      </c>
      <c r="F147" s="211" t="str">
        <f>IFERROR(VLOOKUP($C147,'PORTIFÓLIO'!C:V,4,0),"")</f>
        <v/>
      </c>
      <c r="G147" s="215" t="str">
        <f>IFERROR(VLOOKUP($C147,'PORTIFÓLIO'!C:V,5,0),"")</f>
        <v/>
      </c>
      <c r="H147" s="254" t="str">
        <f t="array" ref="H147">IFERROR(INDEX('PORTIFÓLIO'!$H$4:$H$433,MATCH($C147,'PORTIFÓLIO'!$C$4:$C$433,0)),"")</f>
        <v/>
      </c>
      <c r="I147" s="256"/>
      <c r="J147" s="218"/>
      <c r="K147" s="219" t="str">
        <f t="array" ref="K147">IFERROR(I147*INDEX('PORTIFÓLIO'!$S$4:$S$433,MATCH($C147,'PORTIFÓLIO'!$C$4:$C$433,0)),"")</f>
        <v/>
      </c>
      <c r="L147" s="219" t="str">
        <f t="array" ref="L147">IFERROR(J147*INDEX('PORTIFÓLIO'!$S$4:$S$433,MATCH($C147,'PORTIFÓLIO'!$C$4:$C$433,0)),"")</f>
        <v/>
      </c>
      <c r="M147" s="220"/>
      <c r="N147" s="220"/>
      <c r="O147" s="220"/>
      <c r="P147" s="220"/>
      <c r="Q147" s="220"/>
      <c r="R147" s="220"/>
      <c r="S147" s="220"/>
      <c r="T147" s="220"/>
      <c r="U147" s="220"/>
      <c r="V147" s="220"/>
      <c r="W147" s="220"/>
    </row>
    <row r="148" ht="15.75" customHeight="1">
      <c r="A148" s="229" t="s">
        <v>1192</v>
      </c>
      <c r="B148" s="230"/>
      <c r="C148" s="231"/>
      <c r="D148" s="232"/>
      <c r="E148" s="231"/>
      <c r="F148" s="231"/>
      <c r="G148" s="233"/>
      <c r="H148" s="233"/>
      <c r="I148" s="258"/>
      <c r="J148" s="236"/>
      <c r="K148" s="237">
        <f t="shared" ref="K148:L148" si="17">SUBTOTAL(9,K149:K162)</f>
        <v>57.21464</v>
      </c>
      <c r="L148" s="237">
        <f t="shared" si="17"/>
        <v>11442.928</v>
      </c>
      <c r="M148" s="220"/>
      <c r="N148" s="220"/>
      <c r="O148" s="220"/>
      <c r="P148" s="220"/>
      <c r="Q148" s="220"/>
      <c r="R148" s="220"/>
      <c r="S148" s="220"/>
      <c r="T148" s="220"/>
      <c r="U148" s="220"/>
      <c r="V148" s="220"/>
      <c r="W148" s="220"/>
    </row>
    <row r="149" ht="15.75" customHeight="1" outlineLevel="1">
      <c r="A149" s="213"/>
      <c r="B149" s="212" t="s">
        <v>0</v>
      </c>
      <c r="C149" s="213" t="s">
        <v>434</v>
      </c>
      <c r="D149" s="214" t="str">
        <f>IFERROR(VLOOKUP($C149,'PORTIFÓLIO'!C:V,2,0),"")</f>
        <v>AZOXISTROBINA + TEBUCONAZOL</v>
      </c>
      <c r="E149" s="211" t="str">
        <f>IFERROR(VLOOKUP($C149,'PORTIFÓLIO'!C:V,3,0),"")</f>
        <v>120 + 200</v>
      </c>
      <c r="F149" s="211" t="str">
        <f>IFERROR(VLOOKUP($C149,'PORTIFÓLIO'!C:V,4,0),"")</f>
        <v>L</v>
      </c>
      <c r="G149" s="225" t="str">
        <f>IFERROR(VLOOKUP($C149,'PORTIFÓLIO'!C:V,5,0),"")</f>
        <v>📄 Ver bula</v>
      </c>
      <c r="H149" s="254">
        <f t="array" ref="H149">IFERROR(INDEX('PORTIFÓLIO'!$H$4:$H$433,MATCH($C149,'PORTIFÓLIO'!$C$4:$C$433,0)),"")</f>
        <v>0.5</v>
      </c>
      <c r="I149" s="255">
        <v>0.5</v>
      </c>
      <c r="J149" s="218">
        <f t="shared" ref="J149:J163" si="18">I149*$B$2</f>
        <v>100</v>
      </c>
      <c r="K149" s="219">
        <f t="array" ref="K149">IFERROR(I149*INDEX('PORTIFÓLIO'!$S$4:$S$433,MATCH($C149,'PORTIFÓLIO'!$C$4:$C$433,0)),"")</f>
        <v>17.66448</v>
      </c>
      <c r="L149" s="219">
        <f t="array" ref="L149">IFERROR(J149*INDEX('PORTIFÓLIO'!$S$4:$S$433,MATCH($C149,'PORTIFÓLIO'!$C$4:$C$433,0)),"")</f>
        <v>3532.896</v>
      </c>
      <c r="M149" s="220"/>
      <c r="N149" s="220"/>
      <c r="O149" s="220"/>
      <c r="P149" s="220"/>
      <c r="Q149" s="220"/>
      <c r="R149" s="220"/>
      <c r="S149" s="220"/>
      <c r="T149" s="220"/>
      <c r="U149" s="220"/>
      <c r="V149" s="220"/>
      <c r="W149" s="220"/>
    </row>
    <row r="150" ht="15.75" customHeight="1" outlineLevel="1">
      <c r="A150" s="211"/>
      <c r="B150" s="212" t="s">
        <v>0</v>
      </c>
      <c r="C150" s="213" t="s">
        <v>572</v>
      </c>
      <c r="D150" s="214" t="str">
        <f>IFERROR(VLOOKUP($C150,'PORTIFÓLIO'!C:V,2,0),"")</f>
        <v>CLOROTALONIL</v>
      </c>
      <c r="E150" s="211">
        <f>IFERROR(VLOOKUP($C150,'PORTIFÓLIO'!C:V,3,0),"")</f>
        <v>720</v>
      </c>
      <c r="F150" s="211" t="str">
        <f>IFERROR(VLOOKUP($C150,'PORTIFÓLIO'!C:V,4,0),"")</f>
        <v>KG</v>
      </c>
      <c r="G150" s="225" t="str">
        <f>IFERROR(VLOOKUP($C150,'PORTIFÓLIO'!C:V,5,0),"")</f>
        <v>📄 Ver bula</v>
      </c>
      <c r="H150" s="254">
        <f t="array" ref="H150">IFERROR(INDEX('PORTIFÓLIO'!$H$4:$H$433,MATCH($C150,'PORTIFÓLIO'!$C$4:$C$433,0)),"")</f>
        <v>1.5</v>
      </c>
      <c r="I150" s="255">
        <v>1.5</v>
      </c>
      <c r="J150" s="218">
        <f t="shared" si="18"/>
        <v>300</v>
      </c>
      <c r="K150" s="219">
        <f t="array" ref="K150">IFERROR(I150*INDEX('PORTIFÓLIO'!$S$4:$S$433,MATCH($C150,'PORTIFÓLIO'!$C$4:$C$433,0)),"")</f>
        <v>36.34416</v>
      </c>
      <c r="L150" s="219">
        <f t="array" ref="L150">IFERROR(J150*INDEX('PORTIFÓLIO'!$S$4:$S$433,MATCH($C150,'PORTIFÓLIO'!$C$4:$C$433,0)),"")</f>
        <v>7268.832</v>
      </c>
      <c r="M150" s="220"/>
      <c r="N150" s="220"/>
      <c r="O150" s="220"/>
      <c r="P150" s="220"/>
      <c r="Q150" s="220"/>
      <c r="R150" s="220"/>
      <c r="S150" s="220"/>
      <c r="T150" s="220"/>
      <c r="U150" s="220"/>
      <c r="V150" s="220"/>
      <c r="W150" s="220"/>
    </row>
    <row r="151" ht="15.75" customHeight="1" outlineLevel="1">
      <c r="A151" s="211"/>
      <c r="B151" s="212" t="s">
        <v>6</v>
      </c>
      <c r="C151" s="213" t="s">
        <v>354</v>
      </c>
      <c r="D151" s="214" t="str">
        <f>IFERROR(VLOOKUP($C151,'PORTIFÓLIO'!C:V,2,0),"")</f>
        <v>OLEO MINERAL</v>
      </c>
      <c r="E151" s="211">
        <f>IFERROR(VLOOKUP($C151,'PORTIFÓLIO'!C:V,3,0),"")</f>
        <v>761</v>
      </c>
      <c r="F151" s="211" t="str">
        <f>IFERROR(VLOOKUP($C151,'PORTIFÓLIO'!C:V,4,0),"")</f>
        <v>L</v>
      </c>
      <c r="G151" s="225" t="str">
        <f>IFERROR(VLOOKUP($C151,'PORTIFÓLIO'!C:V,5,0),"")</f>
        <v>📄 Ver bula</v>
      </c>
      <c r="H151" s="254">
        <f t="array" ref="H151">IFERROR(INDEX('PORTIFÓLIO'!$H$4:$H$433,MATCH($C151,'PORTIFÓLIO'!$C$4:$C$433,0)),"")</f>
        <v>0.2</v>
      </c>
      <c r="I151" s="255">
        <v>0.2</v>
      </c>
      <c r="J151" s="218">
        <f t="shared" si="18"/>
        <v>40</v>
      </c>
      <c r="K151" s="219">
        <f t="array" ref="K151">IFERROR(I151*INDEX('PORTIFÓLIO'!$S$4:$S$433,MATCH($C151,'PORTIFÓLIO'!$C$4:$C$433,0)),"")</f>
        <v>3.206</v>
      </c>
      <c r="L151" s="219">
        <f t="array" ref="L151">IFERROR(J151*INDEX('PORTIFÓLIO'!$S$4:$S$433,MATCH($C151,'PORTIFÓLIO'!$C$4:$C$433,0)),"")</f>
        <v>641.2</v>
      </c>
      <c r="M151" s="220"/>
      <c r="N151" s="220"/>
      <c r="O151" s="220"/>
      <c r="P151" s="220"/>
      <c r="Q151" s="220"/>
      <c r="R151" s="220"/>
      <c r="S151" s="220"/>
      <c r="T151" s="220"/>
      <c r="U151" s="220"/>
      <c r="V151" s="220"/>
      <c r="W151" s="220"/>
    </row>
    <row r="152" ht="15.75" customHeight="1" outlineLevel="1">
      <c r="A152" s="211"/>
      <c r="B152" s="212"/>
      <c r="C152" s="213"/>
      <c r="D152" s="214" t="str">
        <f>IFERROR(VLOOKUP($C152,'PORTIFÓLIO'!C:V,2,0),"")</f>
        <v/>
      </c>
      <c r="E152" s="211" t="str">
        <f>IFERROR(VLOOKUP($C152,'PORTIFÓLIO'!C:V,3,0),"")</f>
        <v/>
      </c>
      <c r="F152" s="211" t="str">
        <f>IFERROR(VLOOKUP($C152,'PORTIFÓLIO'!C:V,4,0),"")</f>
        <v/>
      </c>
      <c r="G152" s="215" t="str">
        <f>IFERROR(VLOOKUP($C152,'PORTIFÓLIO'!C:V,5,0),"")</f>
        <v/>
      </c>
      <c r="H152" s="254" t="str">
        <f t="array" ref="H152">IFERROR(INDEX('PORTIFÓLIO'!$H$4:$H$433,MATCH($C152,'PORTIFÓLIO'!$C$4:$C$433,0)),"")</f>
        <v/>
      </c>
      <c r="I152" s="256"/>
      <c r="J152" s="218">
        <f t="shared" si="18"/>
        <v>0</v>
      </c>
      <c r="K152" s="219" t="str">
        <f t="array" ref="K152">IFERROR(I152*INDEX('PORTIFÓLIO'!$S$4:$S$433,MATCH($C152,'PORTIFÓLIO'!$C$4:$C$433,0)),"")</f>
        <v/>
      </c>
      <c r="L152" s="219" t="str">
        <f t="array" ref="L152">IFERROR(J152*INDEX('PORTIFÓLIO'!$S$4:$S$433,MATCH($C152,'PORTIFÓLIO'!$C$4:$C$433,0)),"")</f>
        <v/>
      </c>
      <c r="M152" s="220"/>
      <c r="N152" s="220"/>
      <c r="O152" s="220"/>
      <c r="P152" s="220"/>
      <c r="Q152" s="220"/>
      <c r="R152" s="220"/>
      <c r="S152" s="220"/>
      <c r="T152" s="220"/>
      <c r="U152" s="220"/>
      <c r="V152" s="220"/>
      <c r="W152" s="220"/>
    </row>
    <row r="153" ht="15.75" customHeight="1" outlineLevel="1">
      <c r="A153" s="211"/>
      <c r="B153" s="212"/>
      <c r="C153" s="213"/>
      <c r="D153" s="214" t="str">
        <f>IFERROR(VLOOKUP($C153,'PORTIFÓLIO'!C:V,2,0),"")</f>
        <v/>
      </c>
      <c r="E153" s="211" t="str">
        <f>IFERROR(VLOOKUP($C153,'PORTIFÓLIO'!C:V,3,0),"")</f>
        <v/>
      </c>
      <c r="F153" s="211" t="str">
        <f>IFERROR(VLOOKUP($C153,'PORTIFÓLIO'!C:V,4,0),"")</f>
        <v/>
      </c>
      <c r="G153" s="215" t="str">
        <f>IFERROR(VLOOKUP($C153,'PORTIFÓLIO'!C:V,5,0),"")</f>
        <v/>
      </c>
      <c r="H153" s="254" t="str">
        <f t="array" ref="H153">IFERROR(INDEX('PORTIFÓLIO'!$H$4:$H$433,MATCH($C153,'PORTIFÓLIO'!$C$4:$C$433,0)),"")</f>
        <v/>
      </c>
      <c r="I153" s="256"/>
      <c r="J153" s="218">
        <f t="shared" si="18"/>
        <v>0</v>
      </c>
      <c r="K153" s="219" t="str">
        <f t="array" ref="K153">IFERROR(I153*INDEX('PORTIFÓLIO'!$S$4:$S$433,MATCH($C153,'PORTIFÓLIO'!$C$4:$C$433,0)),"")</f>
        <v/>
      </c>
      <c r="L153" s="219" t="str">
        <f t="array" ref="L153">IFERROR(J153*INDEX('PORTIFÓLIO'!$S$4:$S$433,MATCH($C153,'PORTIFÓLIO'!$C$4:$C$433,0)),"")</f>
        <v/>
      </c>
      <c r="M153" s="220"/>
      <c r="N153" s="220"/>
      <c r="O153" s="220"/>
      <c r="P153" s="220"/>
      <c r="Q153" s="220"/>
      <c r="R153" s="220"/>
      <c r="S153" s="220"/>
      <c r="T153" s="220"/>
      <c r="U153" s="220"/>
      <c r="V153" s="220"/>
      <c r="W153" s="220"/>
    </row>
    <row r="154" ht="15.75" customHeight="1" outlineLevel="1">
      <c r="A154" s="211"/>
      <c r="B154" s="212"/>
      <c r="C154" s="213"/>
      <c r="D154" s="214" t="str">
        <f>IFERROR(VLOOKUP($C154,'PORTIFÓLIO'!C:V,2,0),"")</f>
        <v/>
      </c>
      <c r="E154" s="211" t="str">
        <f>IFERROR(VLOOKUP($C154,'PORTIFÓLIO'!C:V,3,0),"")</f>
        <v/>
      </c>
      <c r="F154" s="211" t="str">
        <f>IFERROR(VLOOKUP($C154,'PORTIFÓLIO'!C:V,4,0),"")</f>
        <v/>
      </c>
      <c r="G154" s="215" t="str">
        <f>IFERROR(VLOOKUP($C154,'PORTIFÓLIO'!C:V,5,0),"")</f>
        <v/>
      </c>
      <c r="H154" s="254" t="str">
        <f t="array" ref="H154">IFERROR(INDEX('PORTIFÓLIO'!$H$4:$H$433,MATCH($C154,'PORTIFÓLIO'!$C$4:$C$433,0)),"")</f>
        <v/>
      </c>
      <c r="I154" s="256"/>
      <c r="J154" s="218">
        <f t="shared" si="18"/>
        <v>0</v>
      </c>
      <c r="K154" s="219" t="str">
        <f t="array" ref="K154">IFERROR(I154*INDEX('PORTIFÓLIO'!$S$4:$S$433,MATCH($C154,'PORTIFÓLIO'!$C$4:$C$433,0)),"")</f>
        <v/>
      </c>
      <c r="L154" s="219" t="str">
        <f t="array" ref="L154">IFERROR(J154*INDEX('PORTIFÓLIO'!$S$4:$S$433,MATCH($C154,'PORTIFÓLIO'!$C$4:$C$433,0)),"")</f>
        <v/>
      </c>
      <c r="M154" s="220"/>
      <c r="N154" s="220"/>
      <c r="O154" s="220"/>
      <c r="P154" s="220"/>
      <c r="Q154" s="220"/>
      <c r="R154" s="220"/>
      <c r="S154" s="220"/>
      <c r="T154" s="220"/>
      <c r="U154" s="220"/>
      <c r="V154" s="220"/>
      <c r="W154" s="220"/>
    </row>
    <row r="155" ht="15.75" customHeight="1" outlineLevel="1">
      <c r="A155" s="211"/>
      <c r="B155" s="212"/>
      <c r="C155" s="213"/>
      <c r="D155" s="214" t="str">
        <f>IFERROR(VLOOKUP($C155,'PORTIFÓLIO'!C:V,2,0),"")</f>
        <v/>
      </c>
      <c r="E155" s="211" t="str">
        <f>IFERROR(VLOOKUP($C155,'PORTIFÓLIO'!C:V,3,0),"")</f>
        <v/>
      </c>
      <c r="F155" s="211" t="str">
        <f>IFERROR(VLOOKUP($C155,'PORTIFÓLIO'!C:V,4,0),"")</f>
        <v/>
      </c>
      <c r="G155" s="215" t="str">
        <f>IFERROR(VLOOKUP($C155,'PORTIFÓLIO'!C:V,5,0),"")</f>
        <v/>
      </c>
      <c r="H155" s="254" t="str">
        <f t="array" ref="H155">IFERROR(INDEX('PORTIFÓLIO'!$H$4:$H$433,MATCH($C155,'PORTIFÓLIO'!$C$4:$C$433,0)),"")</f>
        <v/>
      </c>
      <c r="I155" s="256"/>
      <c r="J155" s="218">
        <f t="shared" si="18"/>
        <v>0</v>
      </c>
      <c r="K155" s="219" t="str">
        <f t="array" ref="K155">IFERROR(I155*INDEX('PORTIFÓLIO'!$S$4:$S$433,MATCH($C155,'PORTIFÓLIO'!$C$4:$C$433,0)),"")</f>
        <v/>
      </c>
      <c r="L155" s="219" t="str">
        <f t="array" ref="L155">IFERROR(J155*INDEX('PORTIFÓLIO'!$S$4:$S$433,MATCH($C155,'PORTIFÓLIO'!$C$4:$C$433,0)),"")</f>
        <v/>
      </c>
      <c r="M155" s="220"/>
      <c r="N155" s="220"/>
      <c r="O155" s="220"/>
      <c r="P155" s="220"/>
      <c r="Q155" s="220"/>
      <c r="R155" s="220"/>
      <c r="S155" s="220"/>
      <c r="T155" s="220"/>
      <c r="U155" s="220"/>
      <c r="V155" s="220"/>
      <c r="W155" s="220"/>
    </row>
    <row r="156" ht="15.75" customHeight="1" outlineLevel="1">
      <c r="A156" s="211"/>
      <c r="B156" s="212"/>
      <c r="C156" s="213"/>
      <c r="D156" s="214" t="str">
        <f>IFERROR(VLOOKUP($C156,'PORTIFÓLIO'!C:V,2,0),"")</f>
        <v/>
      </c>
      <c r="E156" s="211" t="str">
        <f>IFERROR(VLOOKUP($C156,'PORTIFÓLIO'!C:V,3,0),"")</f>
        <v/>
      </c>
      <c r="F156" s="211" t="str">
        <f>IFERROR(VLOOKUP($C156,'PORTIFÓLIO'!C:V,4,0),"")</f>
        <v/>
      </c>
      <c r="G156" s="215" t="str">
        <f>IFERROR(VLOOKUP($C156,'PORTIFÓLIO'!C:V,5,0),"")</f>
        <v/>
      </c>
      <c r="H156" s="254" t="str">
        <f t="array" ref="H156">IFERROR(INDEX('PORTIFÓLIO'!$H$4:$H$433,MATCH($C156,'PORTIFÓLIO'!$C$4:$C$433,0)),"")</f>
        <v/>
      </c>
      <c r="I156" s="256"/>
      <c r="J156" s="218">
        <f t="shared" si="18"/>
        <v>0</v>
      </c>
      <c r="K156" s="219" t="str">
        <f t="array" ref="K156">IFERROR(I156*INDEX('PORTIFÓLIO'!$S$4:$S$433,MATCH($C156,'PORTIFÓLIO'!$C$4:$C$433,0)),"")</f>
        <v/>
      </c>
      <c r="L156" s="219" t="str">
        <f t="array" ref="L156">IFERROR(J156*INDEX('PORTIFÓLIO'!$S$4:$S$433,MATCH($C156,'PORTIFÓLIO'!$C$4:$C$433,0)),"")</f>
        <v/>
      </c>
      <c r="M156" s="220"/>
      <c r="N156" s="220"/>
      <c r="O156" s="220"/>
      <c r="P156" s="220"/>
      <c r="Q156" s="220"/>
      <c r="R156" s="220"/>
      <c r="S156" s="220"/>
      <c r="T156" s="220"/>
      <c r="U156" s="220"/>
      <c r="V156" s="220"/>
      <c r="W156" s="220"/>
    </row>
    <row r="157" ht="15.75" customHeight="1" outlineLevel="1">
      <c r="A157" s="211"/>
      <c r="B157" s="212"/>
      <c r="C157" s="213"/>
      <c r="D157" s="214" t="str">
        <f>IFERROR(VLOOKUP($C157,'PORTIFÓLIO'!C:V,2,0),"")</f>
        <v/>
      </c>
      <c r="E157" s="211" t="str">
        <f>IFERROR(VLOOKUP($C157,'PORTIFÓLIO'!C:V,3,0),"")</f>
        <v/>
      </c>
      <c r="F157" s="211" t="str">
        <f>IFERROR(VLOOKUP($C157,'PORTIFÓLIO'!C:V,4,0),"")</f>
        <v/>
      </c>
      <c r="G157" s="215" t="str">
        <f>IFERROR(VLOOKUP($C157,'PORTIFÓLIO'!C:V,5,0),"")</f>
        <v/>
      </c>
      <c r="H157" s="254" t="str">
        <f t="array" ref="H157">IFERROR(INDEX('PORTIFÓLIO'!$H$4:$H$433,MATCH($C157,'PORTIFÓLIO'!$C$4:$C$433,0)),"")</f>
        <v/>
      </c>
      <c r="I157" s="255"/>
      <c r="J157" s="218">
        <f t="shared" si="18"/>
        <v>0</v>
      </c>
      <c r="K157" s="219" t="str">
        <f t="array" ref="K157">IFERROR(I157*INDEX('PORTIFÓLIO'!$S$4:$S$433,MATCH($C157,'PORTIFÓLIO'!$C$4:$C$433,0)),"")</f>
        <v/>
      </c>
      <c r="L157" s="219" t="str">
        <f t="array" ref="L157">IFERROR(J157*INDEX('PORTIFÓLIO'!$S$4:$S$433,MATCH($C157,'PORTIFÓLIO'!$C$4:$C$433,0)),"")</f>
        <v/>
      </c>
      <c r="M157" s="220"/>
      <c r="N157" s="220"/>
      <c r="O157" s="220"/>
      <c r="P157" s="220"/>
      <c r="Q157" s="220"/>
      <c r="R157" s="220"/>
      <c r="S157" s="220"/>
      <c r="T157" s="220"/>
      <c r="U157" s="220"/>
      <c r="V157" s="220"/>
      <c r="W157" s="220"/>
    </row>
    <row r="158" ht="15.75" customHeight="1" outlineLevel="1">
      <c r="A158" s="211"/>
      <c r="B158" s="212"/>
      <c r="C158" s="213"/>
      <c r="D158" s="214" t="str">
        <f>IFERROR(VLOOKUP($C158,'PORTIFÓLIO'!C:V,2,0),"")</f>
        <v/>
      </c>
      <c r="E158" s="211" t="str">
        <f>IFERROR(VLOOKUP($C158,'PORTIFÓLIO'!C:V,3,0),"")</f>
        <v/>
      </c>
      <c r="F158" s="211" t="str">
        <f>IFERROR(VLOOKUP($C158,'PORTIFÓLIO'!C:V,4,0),"")</f>
        <v/>
      </c>
      <c r="G158" s="215" t="str">
        <f>IFERROR(VLOOKUP($C158,'PORTIFÓLIO'!C:V,5,0),"")</f>
        <v/>
      </c>
      <c r="H158" s="254" t="str">
        <f t="array" ref="H158">IFERROR(INDEX('PORTIFÓLIO'!$H$4:$H$433,MATCH($C158,'PORTIFÓLIO'!$C$4:$C$433,0)),"")</f>
        <v/>
      </c>
      <c r="I158" s="256"/>
      <c r="J158" s="218">
        <f t="shared" si="18"/>
        <v>0</v>
      </c>
      <c r="K158" s="219" t="str">
        <f t="array" ref="K158">IFERROR(I158*INDEX('PORTIFÓLIO'!$S$4:$S$433,MATCH($C158,'PORTIFÓLIO'!$C$4:$C$433,0)),"")</f>
        <v/>
      </c>
      <c r="L158" s="219" t="str">
        <f t="array" ref="L158">IFERROR(J158*INDEX('PORTIFÓLIO'!$S$4:$S$433,MATCH($C158,'PORTIFÓLIO'!$C$4:$C$433,0)),"")</f>
        <v/>
      </c>
      <c r="M158" s="220"/>
      <c r="N158" s="220"/>
      <c r="O158" s="220"/>
      <c r="P158" s="220"/>
      <c r="Q158" s="220"/>
      <c r="R158" s="220"/>
      <c r="S158" s="220"/>
      <c r="T158" s="220"/>
      <c r="U158" s="220"/>
      <c r="V158" s="220"/>
      <c r="W158" s="220"/>
    </row>
    <row r="159" ht="15.75" customHeight="1" outlineLevel="1">
      <c r="A159" s="211"/>
      <c r="B159" s="212"/>
      <c r="C159" s="213"/>
      <c r="D159" s="214" t="str">
        <f>IFERROR(VLOOKUP($C159,'PORTIFÓLIO'!C:V,2,0),"")</f>
        <v/>
      </c>
      <c r="E159" s="211" t="str">
        <f>IFERROR(VLOOKUP($C159,'PORTIFÓLIO'!C:V,3,0),"")</f>
        <v/>
      </c>
      <c r="F159" s="211" t="str">
        <f>IFERROR(VLOOKUP($C159,'PORTIFÓLIO'!C:V,4,0),"")</f>
        <v/>
      </c>
      <c r="G159" s="215" t="str">
        <f>IFERROR(VLOOKUP($C159,'PORTIFÓLIO'!C:V,5,0),"")</f>
        <v/>
      </c>
      <c r="H159" s="254" t="str">
        <f t="array" ref="H159">IFERROR(INDEX('PORTIFÓLIO'!$H$4:$H$433,MATCH($C159,'PORTIFÓLIO'!$C$4:$C$433,0)),"")</f>
        <v/>
      </c>
      <c r="I159" s="256"/>
      <c r="J159" s="218">
        <f t="shared" si="18"/>
        <v>0</v>
      </c>
      <c r="K159" s="219" t="str">
        <f t="array" ref="K159">IFERROR(I159*INDEX('PORTIFÓLIO'!$S$4:$S$433,MATCH($C159,'PORTIFÓLIO'!$C$4:$C$433,0)),"")</f>
        <v/>
      </c>
      <c r="L159" s="219" t="str">
        <f t="array" ref="L159">IFERROR(J159*INDEX('PORTIFÓLIO'!$S$4:$S$433,MATCH($C159,'PORTIFÓLIO'!$C$4:$C$433,0)),"")</f>
        <v/>
      </c>
      <c r="M159" s="220"/>
      <c r="N159" s="220"/>
      <c r="O159" s="220"/>
      <c r="P159" s="220"/>
      <c r="Q159" s="220"/>
      <c r="R159" s="220"/>
      <c r="S159" s="220"/>
      <c r="T159" s="220"/>
      <c r="U159" s="220"/>
      <c r="V159" s="220"/>
      <c r="W159" s="220"/>
    </row>
    <row r="160" ht="15.75" customHeight="1" outlineLevel="1">
      <c r="A160" s="211"/>
      <c r="B160" s="212"/>
      <c r="C160" s="213"/>
      <c r="D160" s="214" t="str">
        <f>IFERROR(VLOOKUP($C160,'PORTIFÓLIO'!C:V,2,0),"")</f>
        <v/>
      </c>
      <c r="E160" s="211" t="str">
        <f>IFERROR(VLOOKUP($C160,'PORTIFÓLIO'!C:V,3,0),"")</f>
        <v/>
      </c>
      <c r="F160" s="211" t="str">
        <f>IFERROR(VLOOKUP($C160,'PORTIFÓLIO'!C:V,4,0),"")</f>
        <v/>
      </c>
      <c r="G160" s="215" t="str">
        <f>IFERROR(VLOOKUP($C160,'PORTIFÓLIO'!C:V,5,0),"")</f>
        <v/>
      </c>
      <c r="H160" s="254" t="str">
        <f t="array" ref="H160">IFERROR(INDEX('PORTIFÓLIO'!$H$4:$H$433,MATCH($C160,'PORTIFÓLIO'!$C$4:$C$433,0)),"")</f>
        <v/>
      </c>
      <c r="I160" s="256"/>
      <c r="J160" s="218">
        <f t="shared" si="18"/>
        <v>0</v>
      </c>
      <c r="K160" s="219" t="str">
        <f t="array" ref="K160">IFERROR(I160*INDEX('PORTIFÓLIO'!$S$4:$S$433,MATCH($C160,'PORTIFÓLIO'!$C$4:$C$433,0)),"")</f>
        <v/>
      </c>
      <c r="L160" s="219" t="str">
        <f t="array" ref="L160">IFERROR(J160*INDEX('PORTIFÓLIO'!$S$4:$S$433,MATCH($C160,'PORTIFÓLIO'!$C$4:$C$433,0)),"")</f>
        <v/>
      </c>
      <c r="M160" s="220"/>
      <c r="N160" s="220"/>
      <c r="O160" s="220"/>
      <c r="P160" s="220"/>
      <c r="Q160" s="220"/>
      <c r="R160" s="220"/>
      <c r="S160" s="220"/>
      <c r="T160" s="220"/>
      <c r="U160" s="220"/>
      <c r="V160" s="220"/>
      <c r="W160" s="220"/>
    </row>
    <row r="161" ht="15.75" customHeight="1" outlineLevel="1">
      <c r="A161" s="211"/>
      <c r="B161" s="212"/>
      <c r="C161" s="213"/>
      <c r="D161" s="214" t="str">
        <f>IFERROR(VLOOKUP($C161,'PORTIFÓLIO'!C:V,2,0),"")</f>
        <v/>
      </c>
      <c r="E161" s="211" t="str">
        <f>IFERROR(VLOOKUP($C161,'PORTIFÓLIO'!C:V,3,0),"")</f>
        <v/>
      </c>
      <c r="F161" s="211" t="str">
        <f>IFERROR(VLOOKUP($C161,'PORTIFÓLIO'!C:V,4,0),"")</f>
        <v/>
      </c>
      <c r="G161" s="215" t="str">
        <f>IFERROR(VLOOKUP($C161,'PORTIFÓLIO'!C:V,5,0),"")</f>
        <v/>
      </c>
      <c r="H161" s="254" t="str">
        <f t="array" ref="H161">IFERROR(INDEX('PORTIFÓLIO'!$H$4:$H$433,MATCH($C161,'PORTIFÓLIO'!$C$4:$C$433,0)),"")</f>
        <v/>
      </c>
      <c r="I161" s="256"/>
      <c r="J161" s="218">
        <f t="shared" si="18"/>
        <v>0</v>
      </c>
      <c r="K161" s="219" t="str">
        <f t="array" ref="K161">IFERROR(I161*INDEX('PORTIFÓLIO'!$S$4:$S$433,MATCH($C161,'PORTIFÓLIO'!$C$4:$C$433,0)),"")</f>
        <v/>
      </c>
      <c r="L161" s="219" t="str">
        <f t="array" ref="L161">IFERROR(J161*INDEX('PORTIFÓLIO'!$S$4:$S$433,MATCH($C161,'PORTIFÓLIO'!$C$4:$C$433,0)),"")</f>
        <v/>
      </c>
      <c r="M161" s="220"/>
      <c r="N161" s="220"/>
      <c r="O161" s="220"/>
      <c r="P161" s="220"/>
      <c r="Q161" s="220"/>
      <c r="R161" s="220"/>
      <c r="S161" s="220"/>
      <c r="T161" s="220"/>
      <c r="U161" s="220"/>
      <c r="V161" s="220"/>
      <c r="W161" s="220"/>
    </row>
    <row r="162" ht="15.75" customHeight="1" outlineLevel="1">
      <c r="A162" s="211"/>
      <c r="B162" s="212"/>
      <c r="C162" s="213"/>
      <c r="D162" s="214" t="str">
        <f>IFERROR(VLOOKUP($C162,'PORTIFÓLIO'!C:V,2,0),"")</f>
        <v/>
      </c>
      <c r="E162" s="211" t="str">
        <f>IFERROR(VLOOKUP($C162,'PORTIFÓLIO'!C:V,3,0),"")</f>
        <v/>
      </c>
      <c r="F162" s="211" t="str">
        <f>IFERROR(VLOOKUP($C162,'PORTIFÓLIO'!C:V,4,0),"")</f>
        <v/>
      </c>
      <c r="G162" s="215" t="str">
        <f>IFERROR(VLOOKUP($C162,'PORTIFÓLIO'!C:V,5,0),"")</f>
        <v/>
      </c>
      <c r="H162" s="254" t="str">
        <f t="array" ref="H162">IFERROR(INDEX('PORTIFÓLIO'!$H$4:$H$433,MATCH($C162,'PORTIFÓLIO'!$C$4:$C$433,0)),"")</f>
        <v/>
      </c>
      <c r="I162" s="256"/>
      <c r="J162" s="218">
        <f t="shared" si="18"/>
        <v>0</v>
      </c>
      <c r="K162" s="219" t="str">
        <f t="array" ref="K162">IFERROR(I162*INDEX('PORTIFÓLIO'!$S$4:$S$433,MATCH($C162,'PORTIFÓLIO'!$C$4:$C$433,0)),"")</f>
        <v/>
      </c>
      <c r="L162" s="219" t="str">
        <f t="array" ref="L162">IFERROR(J162*INDEX('PORTIFÓLIO'!$S$4:$S$433,MATCH($C162,'PORTIFÓLIO'!$C$4:$C$433,0)),"")</f>
        <v/>
      </c>
      <c r="M162" s="220"/>
      <c r="N162" s="220"/>
      <c r="O162" s="220"/>
      <c r="P162" s="220"/>
      <c r="Q162" s="220"/>
      <c r="R162" s="220"/>
      <c r="S162" s="220"/>
      <c r="T162" s="220"/>
      <c r="U162" s="220"/>
      <c r="V162" s="220"/>
      <c r="W162" s="220"/>
    </row>
    <row r="163" ht="15.75" customHeight="1" outlineLevel="1">
      <c r="A163" s="211"/>
      <c r="B163" s="212"/>
      <c r="C163" s="213"/>
      <c r="D163" s="214" t="str">
        <f>IFERROR(VLOOKUP($C163,'PORTIFÓLIO'!C:V,2,0),"")</f>
        <v/>
      </c>
      <c r="E163" s="211" t="str">
        <f>IFERROR(VLOOKUP($C163,'PORTIFÓLIO'!C:V,3,0),"")</f>
        <v/>
      </c>
      <c r="F163" s="211" t="str">
        <f>IFERROR(VLOOKUP($C163,'PORTIFÓLIO'!C:V,4,0),"")</f>
        <v/>
      </c>
      <c r="G163" s="215" t="str">
        <f>IFERROR(VLOOKUP($C163,'PORTIFÓLIO'!C:V,5,0),"")</f>
        <v/>
      </c>
      <c r="H163" s="254" t="str">
        <f t="array" ref="H163">IFERROR(INDEX('PORTIFÓLIO'!$H$4:$H$433,MATCH($C163,'PORTIFÓLIO'!$C$4:$C$433,0)),"")</f>
        <v/>
      </c>
      <c r="I163" s="256"/>
      <c r="J163" s="218">
        <f t="shared" si="18"/>
        <v>0</v>
      </c>
      <c r="K163" s="219" t="str">
        <f t="array" ref="K163">IFERROR(I163*INDEX('PORTIFÓLIO'!$S$4:$S$433,MATCH($C163,'PORTIFÓLIO'!$C$4:$C$433,0)),"")</f>
        <v/>
      </c>
      <c r="L163" s="219" t="str">
        <f t="array" ref="L163">IFERROR(J163*INDEX('PORTIFÓLIO'!$S$4:$S$433,MATCH($C163,'PORTIFÓLIO'!$C$4:$C$433,0)),"")</f>
        <v/>
      </c>
      <c r="M163" s="220"/>
      <c r="N163" s="220"/>
      <c r="O163" s="220"/>
      <c r="P163" s="220"/>
      <c r="Q163" s="220"/>
      <c r="R163" s="220"/>
      <c r="S163" s="220"/>
      <c r="T163" s="220"/>
      <c r="U163" s="220"/>
      <c r="V163" s="220"/>
      <c r="W163" s="220"/>
    </row>
    <row r="164" ht="15.75" customHeight="1" outlineLevel="1">
      <c r="A164" s="211"/>
      <c r="B164" s="227"/>
      <c r="C164" s="211"/>
      <c r="D164" s="214" t="str">
        <f>IFERROR(VLOOKUP($C164,'PORTIFÓLIO'!C:V,2,0),"")</f>
        <v/>
      </c>
      <c r="E164" s="211" t="str">
        <f>IFERROR(VLOOKUP($C164,'PORTIFÓLIO'!C:V,3,0),"")</f>
        <v/>
      </c>
      <c r="F164" s="211" t="str">
        <f>IFERROR(VLOOKUP($C164,'PORTIFÓLIO'!C:V,4,0),"")</f>
        <v/>
      </c>
      <c r="G164" s="215" t="str">
        <f>IFERROR(VLOOKUP($C164,'PORTIFÓLIO'!C:V,5,0),"")</f>
        <v/>
      </c>
      <c r="H164" s="254" t="str">
        <f t="array" ref="H164">IFERROR(INDEX('PORTIFÓLIO'!$H$4:$H$433,MATCH($C164,'PORTIFÓLIO'!$C$4:$C$433,0)),"")</f>
        <v/>
      </c>
      <c r="I164" s="256"/>
      <c r="J164" s="218"/>
      <c r="K164" s="219" t="str">
        <f t="array" ref="K164">IFERROR(I164*INDEX('PORTIFÓLIO'!$S$4:$S$433,MATCH($C164,'PORTIFÓLIO'!$C$4:$C$433,0)),"")</f>
        <v/>
      </c>
      <c r="L164" s="219" t="str">
        <f t="array" ref="L164">IFERROR(J164*INDEX('PORTIFÓLIO'!$S$4:$S$433,MATCH($C164,'PORTIFÓLIO'!$C$4:$C$433,0)),"")</f>
        <v/>
      </c>
      <c r="M164" s="220"/>
      <c r="N164" s="220"/>
      <c r="O164" s="220"/>
      <c r="P164" s="220"/>
      <c r="Q164" s="220"/>
      <c r="R164" s="220"/>
      <c r="S164" s="220"/>
      <c r="T164" s="220"/>
      <c r="U164" s="220"/>
      <c r="V164" s="220"/>
      <c r="W164" s="220"/>
    </row>
    <row r="165" ht="15.75" customHeight="1">
      <c r="A165" s="229" t="s">
        <v>1193</v>
      </c>
      <c r="B165" s="230"/>
      <c r="C165" s="231"/>
      <c r="D165" s="232"/>
      <c r="E165" s="231"/>
      <c r="F165" s="231"/>
      <c r="G165" s="233"/>
      <c r="H165" s="233"/>
      <c r="I165" s="258"/>
      <c r="J165" s="236"/>
      <c r="K165" s="237">
        <f t="shared" ref="K165:L165" si="19">SUBTOTAL(9,K166:K179)</f>
        <v>50.69456</v>
      </c>
      <c r="L165" s="237">
        <f t="shared" si="19"/>
        <v>10138.912</v>
      </c>
      <c r="M165" s="220"/>
      <c r="N165" s="220"/>
      <c r="O165" s="220"/>
      <c r="P165" s="220"/>
      <c r="Q165" s="220"/>
      <c r="R165" s="220"/>
      <c r="S165" s="220"/>
      <c r="T165" s="220"/>
      <c r="U165" s="220"/>
      <c r="V165" s="220"/>
      <c r="W165" s="220"/>
    </row>
    <row r="166" ht="15.75" customHeight="1" outlineLevel="1">
      <c r="A166" s="213"/>
      <c r="B166" s="212" t="s">
        <v>1</v>
      </c>
      <c r="C166" s="213" t="s">
        <v>742</v>
      </c>
      <c r="D166" s="214" t="str">
        <f>IFERROR(VLOOKUP($C166,'PORTIFÓLIO'!C:V,2,0),"")</f>
        <v>DIQUATE</v>
      </c>
      <c r="E166" s="211">
        <f>IFERROR(VLOOKUP($C166,'PORTIFÓLIO'!C:V,3,0),"")</f>
        <v>200</v>
      </c>
      <c r="F166" s="211" t="str">
        <f>IFERROR(VLOOKUP($C166,'PORTIFÓLIO'!C:V,4,0),"")</f>
        <v>L</v>
      </c>
      <c r="G166" s="225" t="str">
        <f>IFERROR(VLOOKUP($C166,'PORTIFÓLIO'!C:V,5,0),"")</f>
        <v>📄 Ver bula</v>
      </c>
      <c r="H166" s="254">
        <f t="array" ref="H166">IFERROR(INDEX('PORTIFÓLIO'!$H$4:$H$433,MATCH($C166,'PORTIFÓLIO'!$C$4:$C$433,0)),"")</f>
        <v>2</v>
      </c>
      <c r="I166" s="255">
        <v>2.0</v>
      </c>
      <c r="J166" s="218">
        <f t="shared" ref="J166:J181" si="20">I166*$B$2</f>
        <v>400</v>
      </c>
      <c r="K166" s="219">
        <f t="array" ref="K166">IFERROR(I166*INDEX('PORTIFÓLIO'!$S$4:$S$433,MATCH($C166,'PORTIFÓLIO'!$C$4:$C$433,0)),"")</f>
        <v>47.48856</v>
      </c>
      <c r="L166" s="219">
        <f t="array" ref="L166">IFERROR(J166*INDEX('PORTIFÓLIO'!$S$4:$S$433,MATCH($C166,'PORTIFÓLIO'!$C$4:$C$433,0)),"")</f>
        <v>9497.712</v>
      </c>
      <c r="M166" s="220"/>
      <c r="N166" s="220"/>
      <c r="O166" s="220"/>
      <c r="P166" s="220"/>
      <c r="Q166" s="220"/>
      <c r="R166" s="220"/>
      <c r="S166" s="220"/>
      <c r="T166" s="220"/>
      <c r="U166" s="220"/>
      <c r="V166" s="220"/>
      <c r="W166" s="220"/>
    </row>
    <row r="167" ht="15.75" customHeight="1" outlineLevel="1">
      <c r="A167" s="211"/>
      <c r="B167" s="212" t="s">
        <v>6</v>
      </c>
      <c r="C167" s="213" t="s">
        <v>354</v>
      </c>
      <c r="D167" s="214" t="str">
        <f>IFERROR(VLOOKUP($C167,'PORTIFÓLIO'!C:V,2,0),"")</f>
        <v>OLEO MINERAL</v>
      </c>
      <c r="E167" s="211">
        <f>IFERROR(VLOOKUP($C167,'PORTIFÓLIO'!C:V,3,0),"")</f>
        <v>761</v>
      </c>
      <c r="F167" s="211" t="str">
        <f>IFERROR(VLOOKUP($C167,'PORTIFÓLIO'!C:V,4,0),"")</f>
        <v>L</v>
      </c>
      <c r="G167" s="225" t="str">
        <f>IFERROR(VLOOKUP($C167,'PORTIFÓLIO'!C:V,5,0),"")</f>
        <v>📄 Ver bula</v>
      </c>
      <c r="H167" s="254">
        <f t="array" ref="H167">IFERROR(INDEX('PORTIFÓLIO'!$H$4:$H$433,MATCH($C167,'PORTIFÓLIO'!$C$4:$C$433,0)),"")</f>
        <v>0.2</v>
      </c>
      <c r="I167" s="255">
        <v>0.2</v>
      </c>
      <c r="J167" s="218">
        <f t="shared" si="20"/>
        <v>40</v>
      </c>
      <c r="K167" s="219">
        <f t="array" ref="K167">IFERROR(I167*INDEX('PORTIFÓLIO'!$S$4:$S$433,MATCH($C167,'PORTIFÓLIO'!$C$4:$C$433,0)),"")</f>
        <v>3.206</v>
      </c>
      <c r="L167" s="219">
        <f t="array" ref="L167">IFERROR(J167*INDEX('PORTIFÓLIO'!$S$4:$S$433,MATCH($C167,'PORTIFÓLIO'!$C$4:$C$433,0)),"")</f>
        <v>641.2</v>
      </c>
      <c r="M167" s="220"/>
      <c r="N167" s="220"/>
      <c r="O167" s="220"/>
      <c r="P167" s="220"/>
      <c r="Q167" s="220"/>
      <c r="R167" s="220"/>
      <c r="S167" s="220"/>
      <c r="T167" s="220"/>
      <c r="U167" s="220"/>
      <c r="V167" s="220"/>
      <c r="W167" s="220"/>
    </row>
    <row r="168" ht="15.75" customHeight="1" outlineLevel="1">
      <c r="A168" s="211"/>
      <c r="B168" s="212"/>
      <c r="C168" s="213"/>
      <c r="D168" s="214" t="str">
        <f>IFERROR(VLOOKUP($C168,'PORTIFÓLIO'!C:V,2,0),"")</f>
        <v/>
      </c>
      <c r="E168" s="211" t="str">
        <f>IFERROR(VLOOKUP($C168,'PORTIFÓLIO'!C:V,3,0),"")</f>
        <v/>
      </c>
      <c r="F168" s="211" t="str">
        <f>IFERROR(VLOOKUP($C168,'PORTIFÓLIO'!C:V,4,0),"")</f>
        <v/>
      </c>
      <c r="G168" s="215" t="str">
        <f>IFERROR(VLOOKUP($C168,'PORTIFÓLIO'!C:V,5,0),"")</f>
        <v/>
      </c>
      <c r="H168" s="254" t="str">
        <f t="array" ref="H168">IFERROR(INDEX('PORTIFÓLIO'!$H$4:$H$433,MATCH($C168,'PORTIFÓLIO'!$C$4:$C$433,0)),"")</f>
        <v/>
      </c>
      <c r="I168" s="256"/>
      <c r="J168" s="218">
        <f t="shared" si="20"/>
        <v>0</v>
      </c>
      <c r="K168" s="219" t="str">
        <f t="array" ref="K168">IFERROR(I168*INDEX('PORTIFÓLIO'!$S$4:$S$433,MATCH($C168,'PORTIFÓLIO'!$C$4:$C$433,0)),"")</f>
        <v/>
      </c>
      <c r="L168" s="219" t="str">
        <f t="array" ref="L168">IFERROR(J168*INDEX('PORTIFÓLIO'!$S$4:$S$433,MATCH($C168,'PORTIFÓLIO'!$C$4:$C$433,0)),"")</f>
        <v/>
      </c>
      <c r="M168" s="220"/>
      <c r="N168" s="220"/>
      <c r="O168" s="220"/>
      <c r="P168" s="220"/>
      <c r="Q168" s="220"/>
      <c r="R168" s="220"/>
      <c r="S168" s="220"/>
      <c r="T168" s="220"/>
      <c r="U168" s="220"/>
      <c r="V168" s="220"/>
      <c r="W168" s="220"/>
    </row>
    <row r="169" ht="15.75" customHeight="1" outlineLevel="1">
      <c r="A169" s="211"/>
      <c r="B169" s="212"/>
      <c r="C169" s="213"/>
      <c r="D169" s="214" t="str">
        <f>IFERROR(VLOOKUP($C169,'PORTIFÓLIO'!C:V,2,0),"")</f>
        <v/>
      </c>
      <c r="E169" s="211" t="str">
        <f>IFERROR(VLOOKUP($C169,'PORTIFÓLIO'!C:V,3,0),"")</f>
        <v/>
      </c>
      <c r="F169" s="211" t="str">
        <f>IFERROR(VLOOKUP($C169,'PORTIFÓLIO'!C:V,4,0),"")</f>
        <v/>
      </c>
      <c r="G169" s="215" t="str">
        <f>IFERROR(VLOOKUP($C169,'PORTIFÓLIO'!C:V,5,0),"")</f>
        <v/>
      </c>
      <c r="H169" s="254" t="str">
        <f t="array" ref="H169">IFERROR(INDEX('PORTIFÓLIO'!$H$4:$H$433,MATCH($C169,'PORTIFÓLIO'!$C$4:$C$433,0)),"")</f>
        <v/>
      </c>
      <c r="I169" s="256"/>
      <c r="J169" s="218">
        <f t="shared" si="20"/>
        <v>0</v>
      </c>
      <c r="K169" s="219" t="str">
        <f t="array" ref="K169">IFERROR(I169*INDEX('PORTIFÓLIO'!$S$4:$S$433,MATCH($C169,'PORTIFÓLIO'!$C$4:$C$433,0)),"")</f>
        <v/>
      </c>
      <c r="L169" s="219" t="str">
        <f t="array" ref="L169">IFERROR(J169*INDEX('PORTIFÓLIO'!$S$4:$S$433,MATCH($C169,'PORTIFÓLIO'!$C$4:$C$433,0)),"")</f>
        <v/>
      </c>
      <c r="M169" s="220"/>
      <c r="N169" s="220"/>
      <c r="O169" s="220"/>
      <c r="P169" s="220"/>
      <c r="Q169" s="220"/>
      <c r="R169" s="220"/>
      <c r="S169" s="220"/>
      <c r="T169" s="220"/>
      <c r="U169" s="220"/>
      <c r="V169" s="220"/>
      <c r="W169" s="220"/>
    </row>
    <row r="170" ht="15.75" customHeight="1" outlineLevel="1">
      <c r="A170" s="211"/>
      <c r="B170" s="212"/>
      <c r="C170" s="213"/>
      <c r="D170" s="214" t="str">
        <f>IFERROR(VLOOKUP($C170,'PORTIFÓLIO'!C:V,2,0),"")</f>
        <v/>
      </c>
      <c r="E170" s="211" t="str">
        <f>IFERROR(VLOOKUP($C170,'PORTIFÓLIO'!C:V,3,0),"")</f>
        <v/>
      </c>
      <c r="F170" s="211" t="str">
        <f>IFERROR(VLOOKUP($C170,'PORTIFÓLIO'!C:V,4,0),"")</f>
        <v/>
      </c>
      <c r="G170" s="215" t="str">
        <f>IFERROR(VLOOKUP($C170,'PORTIFÓLIO'!C:V,5,0),"")</f>
        <v/>
      </c>
      <c r="H170" s="254" t="str">
        <f t="array" ref="H170">IFERROR(INDEX('PORTIFÓLIO'!$H$4:$H$433,MATCH($C170,'PORTIFÓLIO'!$C$4:$C$433,0)),"")</f>
        <v/>
      </c>
      <c r="I170" s="256"/>
      <c r="J170" s="218">
        <f t="shared" si="20"/>
        <v>0</v>
      </c>
      <c r="K170" s="219" t="str">
        <f t="array" ref="K170">IFERROR(I170*INDEX('PORTIFÓLIO'!$S$4:$S$433,MATCH($C170,'PORTIFÓLIO'!$C$4:$C$433,0)),"")</f>
        <v/>
      </c>
      <c r="L170" s="219" t="str">
        <f t="array" ref="L170">IFERROR(J170*INDEX('PORTIFÓLIO'!$S$4:$S$433,MATCH($C170,'PORTIFÓLIO'!$C$4:$C$433,0)),"")</f>
        <v/>
      </c>
      <c r="M170" s="220"/>
      <c r="N170" s="220"/>
      <c r="O170" s="220"/>
      <c r="P170" s="220"/>
      <c r="Q170" s="220"/>
      <c r="R170" s="220"/>
      <c r="S170" s="220"/>
      <c r="T170" s="220"/>
      <c r="U170" s="220"/>
      <c r="V170" s="220"/>
      <c r="W170" s="220"/>
    </row>
    <row r="171" ht="15.75" customHeight="1" outlineLevel="1">
      <c r="A171" s="211"/>
      <c r="B171" s="212"/>
      <c r="C171" s="213"/>
      <c r="D171" s="214" t="str">
        <f>IFERROR(VLOOKUP($C171,'PORTIFÓLIO'!C:V,2,0),"")</f>
        <v/>
      </c>
      <c r="E171" s="211" t="str">
        <f>IFERROR(VLOOKUP($C171,'PORTIFÓLIO'!C:V,3,0),"")</f>
        <v/>
      </c>
      <c r="F171" s="211" t="str">
        <f>IFERROR(VLOOKUP($C171,'PORTIFÓLIO'!C:V,4,0),"")</f>
        <v/>
      </c>
      <c r="G171" s="215" t="str">
        <f>IFERROR(VLOOKUP($C171,'PORTIFÓLIO'!C:V,5,0),"")</f>
        <v/>
      </c>
      <c r="H171" s="254" t="str">
        <f t="array" ref="H171">IFERROR(INDEX('PORTIFÓLIO'!$H$4:$H$433,MATCH($C171,'PORTIFÓLIO'!$C$4:$C$433,0)),"")</f>
        <v/>
      </c>
      <c r="I171" s="256"/>
      <c r="J171" s="218">
        <f t="shared" si="20"/>
        <v>0</v>
      </c>
      <c r="K171" s="219" t="str">
        <f t="array" ref="K171">IFERROR(I171*INDEX('PORTIFÓLIO'!$S$4:$S$433,MATCH($C171,'PORTIFÓLIO'!$C$4:$C$433,0)),"")</f>
        <v/>
      </c>
      <c r="L171" s="219" t="str">
        <f t="array" ref="L171">IFERROR(J171*INDEX('PORTIFÓLIO'!$S$4:$S$433,MATCH($C171,'PORTIFÓLIO'!$C$4:$C$433,0)),"")</f>
        <v/>
      </c>
      <c r="M171" s="220"/>
      <c r="N171" s="220"/>
      <c r="O171" s="220"/>
      <c r="P171" s="220"/>
      <c r="Q171" s="220"/>
      <c r="R171" s="220"/>
      <c r="S171" s="220"/>
      <c r="T171" s="220"/>
      <c r="U171" s="220"/>
      <c r="V171" s="220"/>
      <c r="W171" s="220"/>
    </row>
    <row r="172" ht="15.75" customHeight="1" outlineLevel="1">
      <c r="A172" s="211"/>
      <c r="B172" s="212"/>
      <c r="C172" s="213"/>
      <c r="D172" s="214" t="str">
        <f>IFERROR(VLOOKUP($C172,'PORTIFÓLIO'!C:V,2,0),"")</f>
        <v/>
      </c>
      <c r="E172" s="211" t="str">
        <f>IFERROR(VLOOKUP($C172,'PORTIFÓLIO'!C:V,3,0),"")</f>
        <v/>
      </c>
      <c r="F172" s="211" t="str">
        <f>IFERROR(VLOOKUP($C172,'PORTIFÓLIO'!C:V,4,0),"")</f>
        <v/>
      </c>
      <c r="G172" s="215" t="str">
        <f>IFERROR(VLOOKUP($C172,'PORTIFÓLIO'!C:V,5,0),"")</f>
        <v/>
      </c>
      <c r="H172" s="254" t="str">
        <f t="array" ref="H172">IFERROR(INDEX('PORTIFÓLIO'!$H$4:$H$433,MATCH($C172,'PORTIFÓLIO'!$C$4:$C$433,0)),"")</f>
        <v/>
      </c>
      <c r="I172" s="256"/>
      <c r="J172" s="218">
        <f t="shared" si="20"/>
        <v>0</v>
      </c>
      <c r="K172" s="219" t="str">
        <f t="array" ref="K172">IFERROR(I172*INDEX('PORTIFÓLIO'!$S$4:$S$433,MATCH($C172,'PORTIFÓLIO'!$C$4:$C$433,0)),"")</f>
        <v/>
      </c>
      <c r="L172" s="219" t="str">
        <f t="array" ref="L172">IFERROR(J172*INDEX('PORTIFÓLIO'!$S$4:$S$433,MATCH($C172,'PORTIFÓLIO'!$C$4:$C$433,0)),"")</f>
        <v/>
      </c>
      <c r="M172" s="220"/>
      <c r="N172" s="220"/>
      <c r="O172" s="220"/>
      <c r="P172" s="220"/>
      <c r="Q172" s="220"/>
      <c r="R172" s="220"/>
      <c r="S172" s="220"/>
      <c r="T172" s="220"/>
      <c r="U172" s="220"/>
      <c r="V172" s="220"/>
      <c r="W172" s="220"/>
    </row>
    <row r="173" ht="15.75" customHeight="1" outlineLevel="1">
      <c r="A173" s="211"/>
      <c r="B173" s="212"/>
      <c r="C173" s="213"/>
      <c r="D173" s="214" t="str">
        <f>IFERROR(VLOOKUP($C173,'PORTIFÓLIO'!C:V,2,0),"")</f>
        <v/>
      </c>
      <c r="E173" s="211" t="str">
        <f>IFERROR(VLOOKUP($C173,'PORTIFÓLIO'!C:V,3,0),"")</f>
        <v/>
      </c>
      <c r="F173" s="211" t="str">
        <f>IFERROR(VLOOKUP($C173,'PORTIFÓLIO'!C:V,4,0),"")</f>
        <v/>
      </c>
      <c r="G173" s="215" t="str">
        <f>IFERROR(VLOOKUP($C173,'PORTIFÓLIO'!C:V,5,0),"")</f>
        <v/>
      </c>
      <c r="H173" s="254" t="str">
        <f t="array" ref="H173">IFERROR(INDEX('PORTIFÓLIO'!$H$4:$H$433,MATCH($C173,'PORTIFÓLIO'!$C$4:$C$433,0)),"")</f>
        <v/>
      </c>
      <c r="I173" s="256"/>
      <c r="J173" s="218">
        <f t="shared" si="20"/>
        <v>0</v>
      </c>
      <c r="K173" s="219" t="str">
        <f t="array" ref="K173">IFERROR(I173*INDEX('PORTIFÓLIO'!$S$4:$S$433,MATCH($C173,'PORTIFÓLIO'!$C$4:$C$433,0)),"")</f>
        <v/>
      </c>
      <c r="L173" s="219" t="str">
        <f t="array" ref="L173">IFERROR(J173*INDEX('PORTIFÓLIO'!$S$4:$S$433,MATCH($C173,'PORTIFÓLIO'!$C$4:$C$433,0)),"")</f>
        <v/>
      </c>
      <c r="M173" s="220"/>
      <c r="N173" s="220"/>
      <c r="O173" s="220"/>
      <c r="P173" s="220"/>
      <c r="Q173" s="220"/>
      <c r="R173" s="220"/>
      <c r="S173" s="220"/>
      <c r="T173" s="220"/>
      <c r="U173" s="220"/>
      <c r="V173" s="220"/>
      <c r="W173" s="220"/>
    </row>
    <row r="174" ht="15.75" customHeight="1" outlineLevel="1">
      <c r="A174" s="211"/>
      <c r="B174" s="212"/>
      <c r="C174" s="213"/>
      <c r="D174" s="214" t="str">
        <f>IFERROR(VLOOKUP($C174,'PORTIFÓLIO'!C:V,2,0),"")</f>
        <v/>
      </c>
      <c r="E174" s="211" t="str">
        <f>IFERROR(VLOOKUP($C174,'PORTIFÓLIO'!C:V,3,0),"")</f>
        <v/>
      </c>
      <c r="F174" s="211" t="str">
        <f>IFERROR(VLOOKUP($C174,'PORTIFÓLIO'!C:V,4,0),"")</f>
        <v/>
      </c>
      <c r="G174" s="215" t="str">
        <f>IFERROR(VLOOKUP($C174,'PORTIFÓLIO'!C:V,5,0),"")</f>
        <v/>
      </c>
      <c r="H174" s="254" t="str">
        <f t="array" ref="H174">IFERROR(INDEX('PORTIFÓLIO'!$H$4:$H$433,MATCH($C174,'PORTIFÓLIO'!$C$4:$C$433,0)),"")</f>
        <v/>
      </c>
      <c r="I174" s="255"/>
      <c r="J174" s="218">
        <f t="shared" si="20"/>
        <v>0</v>
      </c>
      <c r="K174" s="219" t="str">
        <f t="array" ref="K174">IFERROR(I174*INDEX('PORTIFÓLIO'!$S$4:$S$433,MATCH($C174,'PORTIFÓLIO'!$C$4:$C$433,0)),"")</f>
        <v/>
      </c>
      <c r="L174" s="219" t="str">
        <f t="array" ref="L174">IFERROR(J174*INDEX('PORTIFÓLIO'!$S$4:$S$433,MATCH($C174,'PORTIFÓLIO'!$C$4:$C$433,0)),"")</f>
        <v/>
      </c>
      <c r="M174" s="220"/>
      <c r="N174" s="220"/>
      <c r="O174" s="220"/>
      <c r="P174" s="220"/>
      <c r="Q174" s="220"/>
      <c r="R174" s="220"/>
      <c r="S174" s="220"/>
      <c r="T174" s="220"/>
      <c r="U174" s="220"/>
      <c r="V174" s="220"/>
      <c r="W174" s="220"/>
    </row>
    <row r="175" ht="15.75" customHeight="1" outlineLevel="1">
      <c r="A175" s="211"/>
      <c r="B175" s="212"/>
      <c r="C175" s="213"/>
      <c r="D175" s="214" t="str">
        <f>IFERROR(VLOOKUP($C175,'PORTIFÓLIO'!C:V,2,0),"")</f>
        <v/>
      </c>
      <c r="E175" s="211" t="str">
        <f>IFERROR(VLOOKUP($C175,'PORTIFÓLIO'!C:V,3,0),"")</f>
        <v/>
      </c>
      <c r="F175" s="211" t="str">
        <f>IFERROR(VLOOKUP($C175,'PORTIFÓLIO'!C:V,4,0),"")</f>
        <v/>
      </c>
      <c r="G175" s="215" t="str">
        <f>IFERROR(VLOOKUP($C175,'PORTIFÓLIO'!C:V,5,0),"")</f>
        <v/>
      </c>
      <c r="H175" s="254" t="str">
        <f t="array" ref="H175">IFERROR(INDEX('PORTIFÓLIO'!$H$4:$H$433,MATCH($C175,'PORTIFÓLIO'!$C$4:$C$433,0)),"")</f>
        <v/>
      </c>
      <c r="I175" s="256"/>
      <c r="J175" s="218">
        <f t="shared" si="20"/>
        <v>0</v>
      </c>
      <c r="K175" s="219" t="str">
        <f t="array" ref="K175">IFERROR(I175*INDEX('PORTIFÓLIO'!$S$4:$S$433,MATCH($C175,'PORTIFÓLIO'!$C$4:$C$433,0)),"")</f>
        <v/>
      </c>
      <c r="L175" s="219" t="str">
        <f t="array" ref="L175">IFERROR(J175*INDEX('PORTIFÓLIO'!$S$4:$S$433,MATCH($C175,'PORTIFÓLIO'!$C$4:$C$433,0)),"")</f>
        <v/>
      </c>
      <c r="M175" s="220"/>
      <c r="N175" s="220"/>
      <c r="O175" s="220"/>
      <c r="P175" s="220"/>
      <c r="Q175" s="220"/>
      <c r="R175" s="220"/>
      <c r="S175" s="220"/>
      <c r="T175" s="220"/>
      <c r="U175" s="220"/>
      <c r="V175" s="220"/>
      <c r="W175" s="220"/>
    </row>
    <row r="176" ht="15.75" customHeight="1" outlineLevel="1">
      <c r="A176" s="211"/>
      <c r="B176" s="212"/>
      <c r="C176" s="213"/>
      <c r="D176" s="214" t="str">
        <f>IFERROR(VLOOKUP($C176,'PORTIFÓLIO'!C:V,2,0),"")</f>
        <v/>
      </c>
      <c r="E176" s="211" t="str">
        <f>IFERROR(VLOOKUP($C176,'PORTIFÓLIO'!C:V,3,0),"")</f>
        <v/>
      </c>
      <c r="F176" s="211" t="str">
        <f>IFERROR(VLOOKUP($C176,'PORTIFÓLIO'!C:V,4,0),"")</f>
        <v/>
      </c>
      <c r="G176" s="215" t="str">
        <f>IFERROR(VLOOKUP($C176,'PORTIFÓLIO'!C:V,5,0),"")</f>
        <v/>
      </c>
      <c r="H176" s="254" t="str">
        <f t="array" ref="H176">IFERROR(INDEX('PORTIFÓLIO'!$H$4:$H$433,MATCH($C176,'PORTIFÓLIO'!$C$4:$C$433,0)),"")</f>
        <v/>
      </c>
      <c r="I176" s="256"/>
      <c r="J176" s="218">
        <f t="shared" si="20"/>
        <v>0</v>
      </c>
      <c r="K176" s="219" t="str">
        <f t="array" ref="K176">IFERROR(I176*INDEX('PORTIFÓLIO'!$S$4:$S$433,MATCH($C176,'PORTIFÓLIO'!$C$4:$C$433,0)),"")</f>
        <v/>
      </c>
      <c r="L176" s="219" t="str">
        <f t="array" ref="L176">IFERROR(J176*INDEX('PORTIFÓLIO'!$S$4:$S$433,MATCH($C176,'PORTIFÓLIO'!$C$4:$C$433,0)),"")</f>
        <v/>
      </c>
      <c r="M176" s="220"/>
      <c r="N176" s="220"/>
      <c r="O176" s="220"/>
      <c r="P176" s="220"/>
      <c r="Q176" s="220"/>
      <c r="R176" s="220"/>
      <c r="S176" s="220"/>
      <c r="T176" s="220"/>
      <c r="U176" s="220"/>
      <c r="V176" s="220"/>
      <c r="W176" s="220"/>
    </row>
    <row r="177" ht="15.75" customHeight="1" outlineLevel="1">
      <c r="A177" s="211"/>
      <c r="B177" s="212"/>
      <c r="C177" s="213"/>
      <c r="D177" s="214" t="str">
        <f>IFERROR(VLOOKUP($C177,'PORTIFÓLIO'!C:V,2,0),"")</f>
        <v/>
      </c>
      <c r="E177" s="211" t="str">
        <f>IFERROR(VLOOKUP($C177,'PORTIFÓLIO'!C:V,3,0),"")</f>
        <v/>
      </c>
      <c r="F177" s="211" t="str">
        <f>IFERROR(VLOOKUP($C177,'PORTIFÓLIO'!C:V,4,0),"")</f>
        <v/>
      </c>
      <c r="G177" s="215" t="str">
        <f>IFERROR(VLOOKUP($C177,'PORTIFÓLIO'!C:V,5,0),"")</f>
        <v/>
      </c>
      <c r="H177" s="254" t="str">
        <f t="array" ref="H177">IFERROR(INDEX('PORTIFÓLIO'!$H$4:$H$433,MATCH($C177,'PORTIFÓLIO'!$C$4:$C$433,0)),"")</f>
        <v/>
      </c>
      <c r="I177" s="256"/>
      <c r="J177" s="218">
        <f t="shared" si="20"/>
        <v>0</v>
      </c>
      <c r="K177" s="219" t="str">
        <f t="array" ref="K177">IFERROR(I177*INDEX('PORTIFÓLIO'!$S$4:$S$433,MATCH($C177,'PORTIFÓLIO'!$C$4:$C$433,0)),"")</f>
        <v/>
      </c>
      <c r="L177" s="219" t="str">
        <f t="array" ref="L177">IFERROR(J177*INDEX('PORTIFÓLIO'!$S$4:$S$433,MATCH($C177,'PORTIFÓLIO'!$C$4:$C$433,0)),"")</f>
        <v/>
      </c>
      <c r="M177" s="220"/>
      <c r="N177" s="220"/>
      <c r="O177" s="220"/>
      <c r="P177" s="220"/>
      <c r="Q177" s="220"/>
      <c r="R177" s="220"/>
      <c r="S177" s="220"/>
      <c r="T177" s="220"/>
      <c r="U177" s="220"/>
      <c r="V177" s="220"/>
      <c r="W177" s="220"/>
    </row>
    <row r="178" ht="15.75" customHeight="1" outlineLevel="1">
      <c r="A178" s="211"/>
      <c r="B178" s="212"/>
      <c r="C178" s="213"/>
      <c r="D178" s="214" t="str">
        <f>IFERROR(VLOOKUP($C178,'PORTIFÓLIO'!C:V,2,0),"")</f>
        <v/>
      </c>
      <c r="E178" s="211" t="str">
        <f>IFERROR(VLOOKUP($C178,'PORTIFÓLIO'!C:V,3,0),"")</f>
        <v/>
      </c>
      <c r="F178" s="211" t="str">
        <f>IFERROR(VLOOKUP($C178,'PORTIFÓLIO'!C:V,4,0),"")</f>
        <v/>
      </c>
      <c r="G178" s="215" t="str">
        <f>IFERROR(VLOOKUP($C178,'PORTIFÓLIO'!C:V,5,0),"")</f>
        <v/>
      </c>
      <c r="H178" s="254" t="str">
        <f t="array" ref="H178">IFERROR(INDEX('PORTIFÓLIO'!$H$4:$H$433,MATCH($C178,'PORTIFÓLIO'!$C$4:$C$433,0)),"")</f>
        <v/>
      </c>
      <c r="I178" s="256"/>
      <c r="J178" s="218">
        <f t="shared" si="20"/>
        <v>0</v>
      </c>
      <c r="K178" s="219" t="str">
        <f t="array" ref="K178">IFERROR(I178*INDEX('PORTIFÓLIO'!$S$4:$S$433,MATCH($C178,'PORTIFÓLIO'!$C$4:$C$433,0)),"")</f>
        <v/>
      </c>
      <c r="L178" s="219" t="str">
        <f t="array" ref="L178">IFERROR(J178*INDEX('PORTIFÓLIO'!$S$4:$S$433,MATCH($C178,'PORTIFÓLIO'!$C$4:$C$433,0)),"")</f>
        <v/>
      </c>
      <c r="M178" s="220"/>
      <c r="N178" s="220"/>
      <c r="O178" s="220"/>
      <c r="P178" s="220"/>
      <c r="Q178" s="220"/>
      <c r="R178" s="220"/>
      <c r="S178" s="220"/>
      <c r="T178" s="220"/>
      <c r="U178" s="220"/>
      <c r="V178" s="220"/>
      <c r="W178" s="220"/>
    </row>
    <row r="179" ht="15.75" customHeight="1" outlineLevel="1">
      <c r="A179" s="211"/>
      <c r="B179" s="212"/>
      <c r="C179" s="213"/>
      <c r="D179" s="214" t="str">
        <f>IFERROR(VLOOKUP($C179,'PORTIFÓLIO'!C:V,2,0),"")</f>
        <v/>
      </c>
      <c r="E179" s="211" t="str">
        <f>IFERROR(VLOOKUP($C179,'PORTIFÓLIO'!C:V,3,0),"")</f>
        <v/>
      </c>
      <c r="F179" s="211" t="str">
        <f>IFERROR(VLOOKUP($C179,'PORTIFÓLIO'!C:V,4,0),"")</f>
        <v/>
      </c>
      <c r="G179" s="215" t="str">
        <f>IFERROR(VLOOKUP($C179,'PORTIFÓLIO'!C:V,5,0),"")</f>
        <v/>
      </c>
      <c r="H179" s="254" t="str">
        <f t="array" ref="H179">IFERROR(INDEX('PORTIFÓLIO'!$H$4:$H$433,MATCH($C179,'PORTIFÓLIO'!$C$4:$C$433,0)),"")</f>
        <v/>
      </c>
      <c r="I179" s="256"/>
      <c r="J179" s="218">
        <f t="shared" si="20"/>
        <v>0</v>
      </c>
      <c r="K179" s="219" t="str">
        <f t="array" ref="K179">IFERROR(I179*INDEX('PORTIFÓLIO'!$S$4:$S$433,MATCH($C179,'PORTIFÓLIO'!$C$4:$C$433,0)),"")</f>
        <v/>
      </c>
      <c r="L179" s="219" t="str">
        <f t="array" ref="L179">IFERROR(J179*INDEX('PORTIFÓLIO'!$S$4:$S$433,MATCH($C179,'PORTIFÓLIO'!$C$4:$C$433,0)),"")</f>
        <v/>
      </c>
      <c r="M179" s="220"/>
      <c r="N179" s="220"/>
      <c r="O179" s="220"/>
      <c r="P179" s="220"/>
      <c r="Q179" s="220"/>
      <c r="R179" s="220"/>
      <c r="S179" s="220"/>
      <c r="T179" s="220"/>
      <c r="U179" s="220"/>
      <c r="V179" s="220"/>
      <c r="W179" s="220"/>
    </row>
    <row r="180" ht="15.75" customHeight="1" outlineLevel="1">
      <c r="A180" s="211"/>
      <c r="B180" s="212"/>
      <c r="C180" s="213"/>
      <c r="D180" s="214" t="str">
        <f>IFERROR(VLOOKUP($C180,'PORTIFÓLIO'!C:V,2,0),"")</f>
        <v/>
      </c>
      <c r="E180" s="211" t="str">
        <f>IFERROR(VLOOKUP($C180,'PORTIFÓLIO'!C:V,3,0),"")</f>
        <v/>
      </c>
      <c r="F180" s="211" t="str">
        <f>IFERROR(VLOOKUP($C180,'PORTIFÓLIO'!C:V,4,0),"")</f>
        <v/>
      </c>
      <c r="G180" s="215" t="str">
        <f>IFERROR(VLOOKUP($C180,'PORTIFÓLIO'!C:V,5,0),"")</f>
        <v/>
      </c>
      <c r="H180" s="254" t="str">
        <f t="array" ref="H180">IFERROR(INDEX('PORTIFÓLIO'!$H$4:$H$433,MATCH($C180,'PORTIFÓLIO'!$C$4:$C$433,0)),"")</f>
        <v/>
      </c>
      <c r="I180" s="256"/>
      <c r="J180" s="218">
        <f t="shared" si="20"/>
        <v>0</v>
      </c>
      <c r="K180" s="219" t="str">
        <f t="array" ref="K180">IFERROR(I180*INDEX('PORTIFÓLIO'!$S$4:$S$433,MATCH($C180,'PORTIFÓLIO'!$C$4:$C$433,0)),"")</f>
        <v/>
      </c>
      <c r="L180" s="219" t="str">
        <f t="array" ref="L180">IFERROR(J180*INDEX('PORTIFÓLIO'!$S$4:$S$433,MATCH($C180,'PORTIFÓLIO'!$C$4:$C$433,0)),"")</f>
        <v/>
      </c>
      <c r="M180" s="220"/>
      <c r="N180" s="220"/>
      <c r="O180" s="220"/>
      <c r="P180" s="220"/>
      <c r="Q180" s="220"/>
      <c r="R180" s="220"/>
      <c r="S180" s="220"/>
      <c r="T180" s="220"/>
      <c r="U180" s="220"/>
      <c r="V180" s="220"/>
      <c r="W180" s="220"/>
    </row>
    <row r="181" ht="15.75" customHeight="1" outlineLevel="1">
      <c r="A181" s="211"/>
      <c r="B181" s="227"/>
      <c r="C181" s="211"/>
      <c r="D181" s="214" t="str">
        <f>IFERROR(VLOOKUP($C181,'PORTIFÓLIO'!C:V,2,0),"")</f>
        <v/>
      </c>
      <c r="E181" s="211" t="str">
        <f>IFERROR(VLOOKUP($C181,'PORTIFÓLIO'!C:V,3,0),"")</f>
        <v/>
      </c>
      <c r="F181" s="211" t="str">
        <f>IFERROR(VLOOKUP($C181,'PORTIFÓLIO'!C:V,4,0),"")</f>
        <v/>
      </c>
      <c r="G181" s="215" t="str">
        <f>IFERROR(VLOOKUP($C181,'PORTIFÓLIO'!C:V,5,0),"")</f>
        <v/>
      </c>
      <c r="H181" s="254" t="str">
        <f t="array" ref="H181">IFERROR(INDEX('PORTIFÓLIO'!$H$4:$H$433,MATCH($C181,'PORTIFÓLIO'!$C$4:$C$433,0)),"")</f>
        <v/>
      </c>
      <c r="I181" s="256"/>
      <c r="J181" s="218">
        <f t="shared" si="20"/>
        <v>0</v>
      </c>
      <c r="K181" s="219" t="str">
        <f t="array" ref="K181">IFERROR(I181*INDEX('PORTIFÓLIO'!$S$4:$S$433,MATCH($C181,'PORTIFÓLIO'!$C$4:$C$433,0)),"")</f>
        <v/>
      </c>
      <c r="L181" s="219" t="str">
        <f t="array" ref="L181">IFERROR(J181*INDEX('PORTIFÓLIO'!$S$4:$S$433,MATCH($C181,'PORTIFÓLIO'!$C$4:$C$433,0)),"")</f>
        <v/>
      </c>
      <c r="M181" s="220"/>
      <c r="N181" s="220"/>
      <c r="O181" s="220"/>
      <c r="P181" s="220"/>
      <c r="Q181" s="220"/>
      <c r="R181" s="220"/>
      <c r="S181" s="220"/>
      <c r="T181" s="220"/>
      <c r="U181" s="220"/>
      <c r="V181" s="220"/>
      <c r="W181" s="220"/>
    </row>
    <row r="182" ht="15.75" customHeight="1">
      <c r="A182" s="229" t="s">
        <v>1194</v>
      </c>
      <c r="B182" s="230"/>
      <c r="C182" s="231"/>
      <c r="D182" s="232"/>
      <c r="E182" s="231"/>
      <c r="F182" s="231"/>
      <c r="G182" s="233"/>
      <c r="H182" s="233"/>
      <c r="I182" s="258"/>
      <c r="J182" s="236"/>
      <c r="K182" s="237">
        <f t="shared" ref="K182:L182" si="21">SUBTOTAL(9,K183:K196)</f>
        <v>339.9254902</v>
      </c>
      <c r="L182" s="237">
        <f t="shared" si="21"/>
        <v>67985.09804</v>
      </c>
      <c r="M182" s="220"/>
      <c r="N182" s="220"/>
      <c r="O182" s="220"/>
      <c r="P182" s="220"/>
      <c r="Q182" s="220"/>
      <c r="R182" s="220"/>
      <c r="S182" s="220"/>
      <c r="T182" s="220"/>
      <c r="U182" s="220"/>
      <c r="V182" s="220"/>
      <c r="W182" s="220"/>
    </row>
    <row r="183" ht="15.75" customHeight="1" outlineLevel="1">
      <c r="A183" s="213"/>
      <c r="B183" s="212" t="s">
        <v>10</v>
      </c>
      <c r="C183" s="213" t="s">
        <v>1195</v>
      </c>
      <c r="D183" s="214" t="str">
        <f>IFERROR(VLOOKUP($C183,'PORTIFÓLIO'!C:V,2,0),"")</f>
        <v/>
      </c>
      <c r="E183" s="211" t="str">
        <f>IFERROR(VLOOKUP($C183,'PORTIFÓLIO'!C:V,3,0),"")</f>
        <v/>
      </c>
      <c r="F183" s="211" t="str">
        <f>IFERROR(VLOOKUP($C183,'PORTIFÓLIO'!C:V,4,0),"")</f>
        <v>R$/Ha</v>
      </c>
      <c r="G183" s="215">
        <f t="array" ref="G183">IFERROR(INDEX('PORTIFÓLIO'!$H$4:$H$433,MATCH($C183,'PORTIFÓLIO'!$C$4:$C$433,0)),"")</f>
        <v>0.3267973856</v>
      </c>
      <c r="H183" s="254">
        <f t="array" ref="H183">IFERROR(INDEX('PORTIFÓLIO'!$H$4:$H$433,MATCH($C183,'PORTIFÓLIO'!$C$4:$C$433,0)),"")</f>
        <v>0.3267973856</v>
      </c>
      <c r="I183" s="255">
        <v>0.32</v>
      </c>
      <c r="J183" s="218">
        <f t="shared" ref="J183:J199" si="22">I183*$B$2</f>
        <v>64</v>
      </c>
      <c r="K183" s="219">
        <f t="array" ref="K183">IFERROR(I183*INDEX('PORTIFÓLIO'!$S$4:$S$433,MATCH($C183,'PORTIFÓLIO'!$C$4:$C$433,0)),"")</f>
        <v>36</v>
      </c>
      <c r="L183" s="219">
        <f t="array" ref="L183">IFERROR(J183*INDEX('PORTIFÓLIO'!$S$4:$S$433,MATCH($C183,'PORTIFÓLIO'!$C$4:$C$433,0)),"")</f>
        <v>7200</v>
      </c>
      <c r="M183" s="220"/>
      <c r="N183" s="220"/>
      <c r="O183" s="220"/>
      <c r="P183" s="220"/>
      <c r="Q183" s="220"/>
      <c r="R183" s="220"/>
      <c r="S183" s="220"/>
      <c r="T183" s="220"/>
      <c r="U183" s="220"/>
      <c r="V183" s="220"/>
      <c r="W183" s="220"/>
    </row>
    <row r="184" ht="15.75" customHeight="1" outlineLevel="1">
      <c r="A184" s="211"/>
      <c r="B184" s="212" t="s">
        <v>10</v>
      </c>
      <c r="C184" s="213" t="s">
        <v>1196</v>
      </c>
      <c r="D184" s="214" t="str">
        <f>IFERROR(VLOOKUP($C184,'PORTIFÓLIO'!C:V,2,0),"")</f>
        <v/>
      </c>
      <c r="E184" s="211" t="str">
        <f>IFERROR(VLOOKUP($C184,'PORTIFÓLIO'!C:V,3,0),"")</f>
        <v/>
      </c>
      <c r="F184" s="211" t="str">
        <f>IFERROR(VLOOKUP($C184,'PORTIFÓLIO'!C:V,4,0),"")</f>
        <v>R$/Ha</v>
      </c>
      <c r="G184" s="215">
        <f t="array" ref="G184">IFERROR(INDEX('PORTIFÓLIO'!$H$4:$H$433,MATCH($C184,'PORTIFÓLIO'!$C$4:$C$433,0)),"")</f>
        <v>0.04901960784</v>
      </c>
      <c r="H184" s="254">
        <f t="array" ref="H184">IFERROR(INDEX('PORTIFÓLIO'!$H$4:$H$433,MATCH($C184,'PORTIFÓLIO'!$C$4:$C$433,0)),"")</f>
        <v>0.04901960784</v>
      </c>
      <c r="I184" s="256">
        <f>G184*4</f>
        <v>0.1960784314</v>
      </c>
      <c r="J184" s="218">
        <f t="shared" si="22"/>
        <v>39.21568627</v>
      </c>
      <c r="K184" s="219">
        <f t="array" ref="K184">IFERROR(I184*INDEX('PORTIFÓLIO'!$S$4:$S$433,MATCH($C184,'PORTIFÓLIO'!$C$4:$C$433,0)),"")</f>
        <v>22.05882353</v>
      </c>
      <c r="L184" s="219">
        <f t="array" ref="L184">IFERROR(J184*INDEX('PORTIFÓLIO'!$S$4:$S$433,MATCH($C184,'PORTIFÓLIO'!$C$4:$C$433,0)),"")</f>
        <v>4411.764706</v>
      </c>
      <c r="M184" s="220"/>
      <c r="N184" s="220"/>
      <c r="O184" s="220"/>
      <c r="P184" s="220"/>
      <c r="Q184" s="220"/>
      <c r="R184" s="220"/>
      <c r="S184" s="220"/>
      <c r="T184" s="220"/>
      <c r="U184" s="220"/>
      <c r="V184" s="220"/>
      <c r="W184" s="220"/>
    </row>
    <row r="185" ht="15.75" customHeight="1" outlineLevel="1">
      <c r="A185" s="211"/>
      <c r="B185" s="212" t="s">
        <v>10</v>
      </c>
      <c r="C185" s="213" t="s">
        <v>1197</v>
      </c>
      <c r="D185" s="214" t="str">
        <f>IFERROR(VLOOKUP($C185,'PORTIFÓLIO'!C:V,2,0),"")</f>
        <v/>
      </c>
      <c r="E185" s="211" t="str">
        <f>IFERROR(VLOOKUP($C185,'PORTIFÓLIO'!C:V,3,0),"")</f>
        <v/>
      </c>
      <c r="F185" s="211" t="str">
        <f>IFERROR(VLOOKUP($C185,'PORTIFÓLIO'!C:V,4,0),"")</f>
        <v>R$/Ha</v>
      </c>
      <c r="G185" s="215">
        <f t="array" ref="G185">IFERROR(INDEX('PORTIFÓLIO'!$H$4:$H$433,MATCH($C185,'PORTIFÓLIO'!$C$4:$C$433,0)),"")</f>
        <v>0.01960784314</v>
      </c>
      <c r="H185" s="254">
        <f t="array" ref="H185">IFERROR(INDEX('PORTIFÓLIO'!$H$4:$H$433,MATCH($C185,'PORTIFÓLIO'!$C$4:$C$433,0)),"")</f>
        <v>0.01960784314</v>
      </c>
      <c r="I185" s="256">
        <f>G185*3</f>
        <v>0.05882352941</v>
      </c>
      <c r="J185" s="218">
        <f t="shared" si="22"/>
        <v>11.76470588</v>
      </c>
      <c r="K185" s="219">
        <f t="array" ref="K185">IFERROR(I185*INDEX('PORTIFÓLIO'!$S$4:$S$433,MATCH($C185,'PORTIFÓLIO'!$C$4:$C$433,0)),"")</f>
        <v>7.5</v>
      </c>
      <c r="L185" s="219">
        <f t="array" ref="L185">IFERROR(J185*INDEX('PORTIFÓLIO'!$S$4:$S$433,MATCH($C185,'PORTIFÓLIO'!$C$4:$C$433,0)),"")</f>
        <v>1500</v>
      </c>
      <c r="M185" s="220"/>
      <c r="N185" s="220"/>
      <c r="O185" s="220"/>
      <c r="P185" s="220"/>
      <c r="Q185" s="220"/>
      <c r="R185" s="220"/>
      <c r="S185" s="220"/>
      <c r="T185" s="220"/>
      <c r="U185" s="220"/>
      <c r="V185" s="220"/>
      <c r="W185" s="220"/>
    </row>
    <row r="186" ht="15.75" customHeight="1" outlineLevel="1">
      <c r="A186" s="211"/>
      <c r="B186" s="212" t="s">
        <v>10</v>
      </c>
      <c r="C186" s="213" t="s">
        <v>1198</v>
      </c>
      <c r="D186" s="214" t="str">
        <f>IFERROR(VLOOKUP($C186,'PORTIFÓLIO'!C:V,2,0),"")</f>
        <v/>
      </c>
      <c r="E186" s="211" t="str">
        <f>IFERROR(VLOOKUP($C186,'PORTIFÓLIO'!C:V,3,0),"")</f>
        <v/>
      </c>
      <c r="F186" s="211" t="str">
        <f>IFERROR(VLOOKUP($C186,'PORTIFÓLIO'!C:V,4,0),"")</f>
        <v>R$/Ha</v>
      </c>
      <c r="G186" s="215">
        <f t="array" ref="G186">IFERROR(INDEX('PORTIFÓLIO'!$H$4:$H$433,MATCH($C186,'PORTIFÓLIO'!$C$4:$C$433,0)),"")</f>
        <v>0.006666666667</v>
      </c>
      <c r="H186" s="254">
        <f t="array" ref="H186">IFERROR(INDEX('PORTIFÓLIO'!$H$4:$H$433,MATCH($C186,'PORTIFÓLIO'!$C$4:$C$433,0)),"")</f>
        <v>0.006666666667</v>
      </c>
      <c r="I186" s="256">
        <f>G186*5</f>
        <v>0.03333333333</v>
      </c>
      <c r="J186" s="218">
        <f t="shared" si="22"/>
        <v>6.666666667</v>
      </c>
      <c r="K186" s="219">
        <f t="array" ref="K186">IFERROR(I186*INDEX('PORTIFÓLIO'!$S$4:$S$433,MATCH($C186,'PORTIFÓLIO'!$C$4:$C$433,0)),"")</f>
        <v>166.6666667</v>
      </c>
      <c r="L186" s="219">
        <f t="array" ref="L186">IFERROR(J186*INDEX('PORTIFÓLIO'!$S$4:$S$433,MATCH($C186,'PORTIFÓLIO'!$C$4:$C$433,0)),"")</f>
        <v>33333.33333</v>
      </c>
      <c r="M186" s="220"/>
      <c r="N186" s="220"/>
      <c r="O186" s="220"/>
      <c r="P186" s="220"/>
      <c r="Q186" s="220"/>
      <c r="R186" s="220"/>
      <c r="S186" s="220"/>
      <c r="T186" s="220"/>
      <c r="U186" s="220"/>
      <c r="V186" s="220"/>
      <c r="W186" s="220"/>
    </row>
    <row r="187" ht="15.75" customHeight="1" outlineLevel="1">
      <c r="A187" s="211"/>
      <c r="B187" s="212" t="s">
        <v>10</v>
      </c>
      <c r="C187" s="213" t="s">
        <v>1199</v>
      </c>
      <c r="D187" s="214" t="str">
        <f>IFERROR(VLOOKUP($C187,'PORTIFÓLIO'!C:V,2,0),"")</f>
        <v/>
      </c>
      <c r="E187" s="211" t="str">
        <f>IFERROR(VLOOKUP($C187,'PORTIFÓLIO'!C:V,3,0),"")</f>
        <v/>
      </c>
      <c r="F187" s="211" t="str">
        <f>IFERROR(VLOOKUP($C187,'PORTIFÓLIO'!C:V,4,0),"")</f>
        <v>R$/Ha</v>
      </c>
      <c r="G187" s="215">
        <f t="array" ref="G187">IFERROR(INDEX('PORTIFÓLIO'!$H$4:$H$433,MATCH($C187,'PORTIFÓLIO'!$C$4:$C$433,0)),"")</f>
        <v>0.08169934641</v>
      </c>
      <c r="H187" s="254">
        <f t="array" ref="H187">IFERROR(INDEX('PORTIFÓLIO'!$H$4:$H$433,MATCH($C187,'PORTIFÓLIO'!$C$4:$C$433,0)),"")</f>
        <v>0.08169934641</v>
      </c>
      <c r="I187" s="255">
        <v>0.081</v>
      </c>
      <c r="J187" s="218">
        <f t="shared" si="22"/>
        <v>16.2</v>
      </c>
      <c r="K187" s="219">
        <f t="array" ref="K187">IFERROR(I187*INDEX('PORTIFÓLIO'!$S$4:$S$433,MATCH($C187,'PORTIFÓLIO'!$C$4:$C$433,0)),"")</f>
        <v>36.45</v>
      </c>
      <c r="L187" s="219">
        <f t="array" ref="L187">IFERROR(J187*INDEX('PORTIFÓLIO'!$S$4:$S$433,MATCH($C187,'PORTIFÓLIO'!$C$4:$C$433,0)),"")</f>
        <v>7290</v>
      </c>
      <c r="M187" s="220"/>
      <c r="N187" s="220"/>
      <c r="O187" s="220"/>
      <c r="P187" s="220"/>
      <c r="Q187" s="220"/>
      <c r="R187" s="220"/>
      <c r="S187" s="220"/>
      <c r="T187" s="220"/>
      <c r="U187" s="220"/>
      <c r="V187" s="220"/>
      <c r="W187" s="220"/>
    </row>
    <row r="188" ht="15.75" customHeight="1" outlineLevel="1">
      <c r="A188" s="211"/>
      <c r="B188" s="212" t="s">
        <v>10</v>
      </c>
      <c r="C188" s="213" t="s">
        <v>1200</v>
      </c>
      <c r="D188" s="214" t="str">
        <f>IFERROR(VLOOKUP($C188,'PORTIFÓLIO'!C:V,2,0),"")</f>
        <v/>
      </c>
      <c r="E188" s="211" t="str">
        <f>IFERROR(VLOOKUP($C188,'PORTIFÓLIO'!C:V,3,0),"")</f>
        <v/>
      </c>
      <c r="F188" s="211" t="str">
        <f>IFERROR(VLOOKUP($C188,'PORTIFÓLIO'!C:V,4,0),"")</f>
        <v>R$/Ha</v>
      </c>
      <c r="G188" s="215">
        <f t="array" ref="G188">IFERROR(INDEX('PORTIFÓLIO'!$H$4:$H$433,MATCH($C188,'PORTIFÓLIO'!$C$4:$C$433,0)),"")</f>
        <v>0.1508295626</v>
      </c>
      <c r="H188" s="254">
        <f t="array" ref="H188">IFERROR(INDEX('PORTIFÓLIO'!$H$4:$H$433,MATCH($C188,'PORTIFÓLIO'!$C$4:$C$433,0)),"")</f>
        <v>0.1508295626</v>
      </c>
      <c r="I188" s="255">
        <v>0.15</v>
      </c>
      <c r="J188" s="218">
        <f t="shared" si="22"/>
        <v>30</v>
      </c>
      <c r="K188" s="219">
        <f t="array" ref="K188">IFERROR(I188*INDEX('PORTIFÓLIO'!$S$4:$S$433,MATCH($C188,'PORTIFÓLIO'!$C$4:$C$433,0)),"")</f>
        <v>56.25</v>
      </c>
      <c r="L188" s="219">
        <f t="array" ref="L188">IFERROR(J188*INDEX('PORTIFÓLIO'!$S$4:$S$433,MATCH($C188,'PORTIFÓLIO'!$C$4:$C$433,0)),"")</f>
        <v>11250</v>
      </c>
      <c r="M188" s="220"/>
      <c r="N188" s="220"/>
      <c r="O188" s="220"/>
      <c r="P188" s="220"/>
      <c r="Q188" s="220"/>
      <c r="R188" s="220"/>
      <c r="S188" s="220"/>
      <c r="T188" s="220"/>
      <c r="U188" s="220"/>
      <c r="V188" s="220"/>
      <c r="W188" s="220"/>
    </row>
    <row r="189" ht="15.75" customHeight="1" outlineLevel="1">
      <c r="A189" s="211"/>
      <c r="B189" s="212" t="s">
        <v>10</v>
      </c>
      <c r="C189" s="213" t="s">
        <v>1201</v>
      </c>
      <c r="D189" s="214" t="str">
        <f>IFERROR(VLOOKUP($C189,'PORTIFÓLIO'!C:V,2,0),"")</f>
        <v/>
      </c>
      <c r="E189" s="211" t="str">
        <f>IFERROR(VLOOKUP($C189,'PORTIFÓLIO'!C:V,3,0),"")</f>
        <v/>
      </c>
      <c r="F189" s="211" t="str">
        <f>IFERROR(VLOOKUP($C189,'PORTIFÓLIO'!C:V,4,0),"")</f>
        <v>R$/Ha</v>
      </c>
      <c r="G189" s="215">
        <f t="array" ref="G189">IFERROR(INDEX('PORTIFÓLIO'!$H$4:$H$433,MATCH($C189,'PORTIFÓLIO'!$C$4:$C$433,0)),"")</f>
        <v>0.001367989056</v>
      </c>
      <c r="H189" s="254">
        <f t="array" ref="H189">IFERROR(INDEX('PORTIFÓLIO'!$H$4:$H$433,MATCH($C189,'PORTIFÓLIO'!$C$4:$C$433,0)),"")</f>
        <v>0.001367989056</v>
      </c>
      <c r="I189" s="255">
        <v>0.1</v>
      </c>
      <c r="J189" s="218">
        <f t="shared" si="22"/>
        <v>20</v>
      </c>
      <c r="K189" s="219">
        <f t="array" ref="K189">IFERROR(I189*INDEX('PORTIFÓLIO'!$S$4:$S$433,MATCH($C189,'PORTIFÓLIO'!$C$4:$C$433,0)),"")</f>
        <v>15</v>
      </c>
      <c r="L189" s="219">
        <f t="array" ref="L189">IFERROR(J189*INDEX('PORTIFÓLIO'!$S$4:$S$433,MATCH($C189,'PORTIFÓLIO'!$C$4:$C$433,0)),"")</f>
        <v>3000</v>
      </c>
      <c r="M189" s="220"/>
      <c r="N189" s="220"/>
      <c r="O189" s="220"/>
      <c r="P189" s="220"/>
      <c r="Q189" s="220"/>
      <c r="R189" s="220"/>
      <c r="S189" s="220"/>
      <c r="T189" s="220"/>
      <c r="U189" s="220"/>
      <c r="V189" s="220"/>
      <c r="W189" s="220"/>
    </row>
    <row r="190" ht="15.75" customHeight="1" outlineLevel="1">
      <c r="A190" s="211"/>
      <c r="B190" s="212"/>
      <c r="C190" s="213"/>
      <c r="D190" s="214" t="str">
        <f>IFERROR(VLOOKUP($C190,'PORTIFÓLIO'!C:V,2,0),"")</f>
        <v/>
      </c>
      <c r="E190" s="211" t="str">
        <f>IFERROR(VLOOKUP($C190,'PORTIFÓLIO'!C:V,3,0),"")</f>
        <v/>
      </c>
      <c r="F190" s="211" t="str">
        <f>IFERROR(VLOOKUP($C190,'PORTIFÓLIO'!C:V,4,0),"")</f>
        <v/>
      </c>
      <c r="G190" s="215" t="str">
        <f>IFERROR(VLOOKUP($C190,'PORTIFÓLIO'!C:V,5,0),"")</f>
        <v/>
      </c>
      <c r="H190" s="254" t="str">
        <f t="array" ref="H190">IFERROR(INDEX('PORTIFÓLIO'!$H$4:$H$433,MATCH($C190,'PORTIFÓLIO'!$C$4:$C$433,0)),"")</f>
        <v/>
      </c>
      <c r="I190" s="256"/>
      <c r="J190" s="218">
        <f t="shared" si="22"/>
        <v>0</v>
      </c>
      <c r="K190" s="219" t="str">
        <f t="array" ref="K190">IFERROR(I190*INDEX('PORTIFÓLIO'!$S$4:$S$433,MATCH($C190,'PORTIFÓLIO'!$C$4:$C$433,0)),"")</f>
        <v/>
      </c>
      <c r="L190" s="219" t="str">
        <f t="array" ref="L190">IFERROR(J190*INDEX('PORTIFÓLIO'!$S$4:$S$433,MATCH($C190,'PORTIFÓLIO'!$C$4:$C$433,0)),"")</f>
        <v/>
      </c>
      <c r="M190" s="220"/>
      <c r="N190" s="220"/>
      <c r="O190" s="220"/>
      <c r="P190" s="220"/>
      <c r="Q190" s="220"/>
      <c r="R190" s="220"/>
      <c r="S190" s="220"/>
      <c r="T190" s="220"/>
      <c r="U190" s="220"/>
      <c r="V190" s="220"/>
      <c r="W190" s="220"/>
    </row>
    <row r="191" ht="15.75" customHeight="1" outlineLevel="1">
      <c r="A191" s="211"/>
      <c r="B191" s="212"/>
      <c r="C191" s="213"/>
      <c r="D191" s="214" t="str">
        <f>IFERROR(VLOOKUP($C191,'PORTIFÓLIO'!C:V,2,0),"")</f>
        <v/>
      </c>
      <c r="E191" s="211" t="str">
        <f>IFERROR(VLOOKUP($C191,'PORTIFÓLIO'!C:V,3,0),"")</f>
        <v/>
      </c>
      <c r="F191" s="211" t="str">
        <f>IFERROR(VLOOKUP($C191,'PORTIFÓLIO'!C:V,4,0),"")</f>
        <v/>
      </c>
      <c r="G191" s="215" t="str">
        <f>IFERROR(VLOOKUP($C191,'PORTIFÓLIO'!C:V,5,0),"")</f>
        <v/>
      </c>
      <c r="H191" s="254" t="str">
        <f t="array" ref="H191">IFERROR(INDEX('PORTIFÓLIO'!$H$4:$H$433,MATCH($C191,'PORTIFÓLIO'!$C$4:$C$433,0)),"")</f>
        <v/>
      </c>
      <c r="I191" s="255"/>
      <c r="J191" s="218">
        <f t="shared" si="22"/>
        <v>0</v>
      </c>
      <c r="K191" s="219" t="str">
        <f t="array" ref="K191">IFERROR(I191*INDEX('PORTIFÓLIO'!$S$4:$S$433,MATCH($C191,'PORTIFÓLIO'!$C$4:$C$433,0)),"")</f>
        <v/>
      </c>
      <c r="L191" s="219" t="str">
        <f t="array" ref="L191">IFERROR(J191*INDEX('PORTIFÓLIO'!$S$4:$S$433,MATCH($C191,'PORTIFÓLIO'!$C$4:$C$433,0)),"")</f>
        <v/>
      </c>
      <c r="M191" s="220"/>
      <c r="N191" s="220"/>
      <c r="O191" s="220"/>
      <c r="P191" s="220"/>
      <c r="Q191" s="220"/>
      <c r="R191" s="220"/>
      <c r="S191" s="220"/>
      <c r="T191" s="220"/>
      <c r="U191" s="220"/>
      <c r="V191" s="220"/>
      <c r="W191" s="220"/>
    </row>
    <row r="192" ht="15.75" customHeight="1" outlineLevel="1">
      <c r="A192" s="211"/>
      <c r="B192" s="212"/>
      <c r="C192" s="213"/>
      <c r="D192" s="214" t="str">
        <f>IFERROR(VLOOKUP($C192,'PORTIFÓLIO'!C:V,2,0),"")</f>
        <v/>
      </c>
      <c r="E192" s="211" t="str">
        <f>IFERROR(VLOOKUP($C192,'PORTIFÓLIO'!C:V,3,0),"")</f>
        <v/>
      </c>
      <c r="F192" s="211" t="str">
        <f>IFERROR(VLOOKUP($C192,'PORTIFÓLIO'!C:V,4,0),"")</f>
        <v/>
      </c>
      <c r="G192" s="215" t="str">
        <f>IFERROR(VLOOKUP($C192,'PORTIFÓLIO'!C:V,5,0),"")</f>
        <v/>
      </c>
      <c r="H192" s="254" t="str">
        <f t="array" ref="H192">IFERROR(INDEX('PORTIFÓLIO'!$H$4:$H$433,MATCH($C192,'PORTIFÓLIO'!$C$4:$C$433,0)),"")</f>
        <v/>
      </c>
      <c r="I192" s="256"/>
      <c r="J192" s="218">
        <f t="shared" si="22"/>
        <v>0</v>
      </c>
      <c r="K192" s="219" t="str">
        <f t="array" ref="K192">IFERROR(I192*INDEX('PORTIFÓLIO'!$S$4:$S$433,MATCH($C192,'PORTIFÓLIO'!$C$4:$C$433,0)),"")</f>
        <v/>
      </c>
      <c r="L192" s="219" t="str">
        <f t="array" ref="L192">IFERROR(J192*INDEX('PORTIFÓLIO'!$S$4:$S$433,MATCH($C192,'PORTIFÓLIO'!$C$4:$C$433,0)),"")</f>
        <v/>
      </c>
      <c r="M192" s="220"/>
      <c r="N192" s="220"/>
      <c r="O192" s="220"/>
      <c r="P192" s="220"/>
      <c r="Q192" s="220"/>
      <c r="R192" s="220"/>
      <c r="S192" s="220"/>
      <c r="T192" s="220"/>
      <c r="U192" s="220"/>
      <c r="V192" s="220"/>
      <c r="W192" s="220"/>
    </row>
    <row r="193" ht="15.75" customHeight="1" outlineLevel="1">
      <c r="A193" s="211"/>
      <c r="B193" s="212"/>
      <c r="C193" s="213"/>
      <c r="D193" s="214" t="str">
        <f>IFERROR(VLOOKUP($C193,'PORTIFÓLIO'!C:V,2,0),"")</f>
        <v/>
      </c>
      <c r="E193" s="211" t="str">
        <f>IFERROR(VLOOKUP($C193,'PORTIFÓLIO'!C:V,3,0),"")</f>
        <v/>
      </c>
      <c r="F193" s="211" t="str">
        <f>IFERROR(VLOOKUP($C193,'PORTIFÓLIO'!C:V,4,0),"")</f>
        <v/>
      </c>
      <c r="G193" s="215" t="str">
        <f>IFERROR(VLOOKUP($C193,'PORTIFÓLIO'!C:V,5,0),"")</f>
        <v/>
      </c>
      <c r="H193" s="254" t="str">
        <f t="array" ref="H193">IFERROR(INDEX('PORTIFÓLIO'!$H$4:$H$433,MATCH($C193,'PORTIFÓLIO'!$C$4:$C$433,0)),"")</f>
        <v/>
      </c>
      <c r="I193" s="256"/>
      <c r="J193" s="218">
        <f t="shared" si="22"/>
        <v>0</v>
      </c>
      <c r="K193" s="219" t="str">
        <f t="array" ref="K193">IFERROR(I193*INDEX('PORTIFÓLIO'!$S$4:$S$433,MATCH($C193,'PORTIFÓLIO'!$C$4:$C$433,0)),"")</f>
        <v/>
      </c>
      <c r="L193" s="219" t="str">
        <f t="array" ref="L193">IFERROR(J193*INDEX('PORTIFÓLIO'!$S$4:$S$433,MATCH($C193,'PORTIFÓLIO'!$C$4:$C$433,0)),"")</f>
        <v/>
      </c>
      <c r="M193" s="220"/>
      <c r="N193" s="220"/>
      <c r="O193" s="220"/>
      <c r="P193" s="220"/>
      <c r="Q193" s="220"/>
      <c r="R193" s="220"/>
      <c r="S193" s="220"/>
      <c r="T193" s="220"/>
      <c r="U193" s="220"/>
      <c r="V193" s="220"/>
      <c r="W193" s="220"/>
    </row>
    <row r="194" ht="15.75" customHeight="1" outlineLevel="1">
      <c r="A194" s="211"/>
      <c r="B194" s="212"/>
      <c r="C194" s="213"/>
      <c r="D194" s="214" t="str">
        <f>IFERROR(VLOOKUP($C194,'PORTIFÓLIO'!C:V,2,0),"")</f>
        <v/>
      </c>
      <c r="E194" s="211" t="str">
        <f>IFERROR(VLOOKUP($C194,'PORTIFÓLIO'!C:V,3,0),"")</f>
        <v/>
      </c>
      <c r="F194" s="211" t="str">
        <f>IFERROR(VLOOKUP($C194,'PORTIFÓLIO'!C:V,4,0),"")</f>
        <v/>
      </c>
      <c r="G194" s="215" t="str">
        <f>IFERROR(VLOOKUP($C194,'PORTIFÓLIO'!C:V,5,0),"")</f>
        <v/>
      </c>
      <c r="H194" s="254" t="str">
        <f t="array" ref="H194">IFERROR(INDEX('PORTIFÓLIO'!$H$4:$H$433,MATCH($C194,'PORTIFÓLIO'!$C$4:$C$433,0)),"")</f>
        <v/>
      </c>
      <c r="I194" s="256"/>
      <c r="J194" s="218">
        <f t="shared" si="22"/>
        <v>0</v>
      </c>
      <c r="K194" s="219" t="str">
        <f t="array" ref="K194">IFERROR(I194*INDEX('PORTIFÓLIO'!$S$4:$S$433,MATCH($C194,'PORTIFÓLIO'!$C$4:$C$433,0)),"")</f>
        <v/>
      </c>
      <c r="L194" s="219" t="str">
        <f t="array" ref="L194">IFERROR(J194*INDEX('PORTIFÓLIO'!$S$4:$S$433,MATCH($C194,'PORTIFÓLIO'!$C$4:$C$433,0)),"")</f>
        <v/>
      </c>
      <c r="M194" s="220"/>
      <c r="N194" s="220"/>
      <c r="O194" s="220"/>
      <c r="P194" s="220"/>
      <c r="Q194" s="220"/>
      <c r="R194" s="220"/>
      <c r="S194" s="220"/>
      <c r="T194" s="220"/>
      <c r="U194" s="220"/>
      <c r="V194" s="220"/>
      <c r="W194" s="220"/>
    </row>
    <row r="195" ht="15.75" customHeight="1" outlineLevel="1">
      <c r="A195" s="211"/>
      <c r="B195" s="212"/>
      <c r="C195" s="213"/>
      <c r="D195" s="214" t="str">
        <f>IFERROR(VLOOKUP($C195,'PORTIFÓLIO'!C:V,2,0),"")</f>
        <v/>
      </c>
      <c r="E195" s="211" t="str">
        <f>IFERROR(VLOOKUP($C195,'PORTIFÓLIO'!C:V,3,0),"")</f>
        <v/>
      </c>
      <c r="F195" s="211" t="str">
        <f>IFERROR(VLOOKUP($C195,'PORTIFÓLIO'!C:V,4,0),"")</f>
        <v/>
      </c>
      <c r="G195" s="215" t="str">
        <f>IFERROR(VLOOKUP($C195,'PORTIFÓLIO'!C:V,5,0),"")</f>
        <v/>
      </c>
      <c r="H195" s="254" t="str">
        <f t="array" ref="H195">IFERROR(INDEX('PORTIFÓLIO'!$H$4:$H$433,MATCH($C195,'PORTIFÓLIO'!$C$4:$C$433,0)),"")</f>
        <v/>
      </c>
      <c r="I195" s="256"/>
      <c r="J195" s="218">
        <f t="shared" si="22"/>
        <v>0</v>
      </c>
      <c r="K195" s="219" t="str">
        <f t="array" ref="K195">IFERROR(I195*INDEX('PORTIFÓLIO'!$S$4:$S$433,MATCH($C195,'PORTIFÓLIO'!$C$4:$C$433,0)),"")</f>
        <v/>
      </c>
      <c r="L195" s="219" t="str">
        <f t="array" ref="L195">IFERROR(J195*INDEX('PORTIFÓLIO'!$S$4:$S$433,MATCH($C195,'PORTIFÓLIO'!$C$4:$C$433,0)),"")</f>
        <v/>
      </c>
      <c r="M195" s="220"/>
      <c r="N195" s="220"/>
      <c r="O195" s="220"/>
      <c r="P195" s="220"/>
      <c r="Q195" s="220"/>
      <c r="R195" s="220"/>
      <c r="S195" s="220"/>
      <c r="T195" s="220"/>
      <c r="U195" s="220"/>
      <c r="V195" s="220"/>
      <c r="W195" s="220"/>
    </row>
    <row r="196" ht="15.75" customHeight="1" outlineLevel="1">
      <c r="A196" s="211"/>
      <c r="B196" s="212"/>
      <c r="C196" s="213"/>
      <c r="D196" s="214" t="str">
        <f>IFERROR(VLOOKUP($C196,'PORTIFÓLIO'!C:V,2,0),"")</f>
        <v/>
      </c>
      <c r="E196" s="211" t="str">
        <f>IFERROR(VLOOKUP($C196,'PORTIFÓLIO'!C:V,3,0),"")</f>
        <v/>
      </c>
      <c r="F196" s="211" t="str">
        <f>IFERROR(VLOOKUP($C196,'PORTIFÓLIO'!C:V,4,0),"")</f>
        <v/>
      </c>
      <c r="G196" s="215" t="str">
        <f>IFERROR(VLOOKUP($C196,'PORTIFÓLIO'!C:V,5,0),"")</f>
        <v/>
      </c>
      <c r="H196" s="254" t="str">
        <f t="array" ref="H196">IFERROR(INDEX('PORTIFÓLIO'!$H$4:$H$433,MATCH($C196,'PORTIFÓLIO'!$C$4:$C$433,0)),"")</f>
        <v/>
      </c>
      <c r="I196" s="256"/>
      <c r="J196" s="218">
        <f t="shared" si="22"/>
        <v>0</v>
      </c>
      <c r="K196" s="219" t="str">
        <f t="array" ref="K196">IFERROR(I196*INDEX('PORTIFÓLIO'!$S$4:$S$433,MATCH($C196,'PORTIFÓLIO'!$C$4:$C$433,0)),"")</f>
        <v/>
      </c>
      <c r="L196" s="219" t="str">
        <f t="array" ref="L196">IFERROR(J196*INDEX('PORTIFÓLIO'!$S$4:$S$433,MATCH($C196,'PORTIFÓLIO'!$C$4:$C$433,0)),"")</f>
        <v/>
      </c>
      <c r="M196" s="220"/>
      <c r="N196" s="220"/>
      <c r="O196" s="220"/>
      <c r="P196" s="220"/>
      <c r="Q196" s="220"/>
      <c r="R196" s="220"/>
      <c r="S196" s="220"/>
      <c r="T196" s="220"/>
      <c r="U196" s="220"/>
      <c r="V196" s="220"/>
      <c r="W196" s="220"/>
    </row>
    <row r="197" ht="15.75" customHeight="1" outlineLevel="1">
      <c r="A197" s="211"/>
      <c r="B197" s="212"/>
      <c r="C197" s="213"/>
      <c r="D197" s="214" t="str">
        <f>IFERROR(VLOOKUP($C197,'PORTIFÓLIO'!C:V,2,0),"")</f>
        <v/>
      </c>
      <c r="E197" s="211" t="str">
        <f>IFERROR(VLOOKUP($C197,'PORTIFÓLIO'!C:V,3,0),"")</f>
        <v/>
      </c>
      <c r="F197" s="211" t="str">
        <f>IFERROR(VLOOKUP($C197,'PORTIFÓLIO'!C:V,4,0),"")</f>
        <v/>
      </c>
      <c r="G197" s="215" t="str">
        <f>IFERROR(VLOOKUP($C197,'PORTIFÓLIO'!C:V,5,0),"")</f>
        <v/>
      </c>
      <c r="H197" s="254" t="str">
        <f t="array" ref="H197">IFERROR(INDEX('PORTIFÓLIO'!$H$4:$H$433,MATCH($C197,'PORTIFÓLIO'!$C$4:$C$433,0)),"")</f>
        <v/>
      </c>
      <c r="I197" s="256"/>
      <c r="J197" s="218">
        <f t="shared" si="22"/>
        <v>0</v>
      </c>
      <c r="K197" s="219" t="str">
        <f t="array" ref="K197">IFERROR(I197*INDEX('PORTIFÓLIO'!$S$4:$S$433,MATCH($C197,'PORTIFÓLIO'!$C$4:$C$433,0)),"")</f>
        <v/>
      </c>
      <c r="L197" s="219" t="str">
        <f t="array" ref="L197">IFERROR(J197*INDEX('PORTIFÓLIO'!$S$4:$S$433,MATCH($C197,'PORTIFÓLIO'!$C$4:$C$433,0)),"")</f>
        <v/>
      </c>
      <c r="M197" s="220"/>
      <c r="N197" s="220"/>
      <c r="O197" s="220"/>
      <c r="P197" s="220"/>
      <c r="Q197" s="220"/>
      <c r="R197" s="220"/>
      <c r="S197" s="220"/>
      <c r="T197" s="220"/>
      <c r="U197" s="220"/>
      <c r="V197" s="220"/>
      <c r="W197" s="220"/>
    </row>
    <row r="198" ht="15.75" customHeight="1" outlineLevel="1">
      <c r="A198" s="211"/>
      <c r="B198" s="227"/>
      <c r="C198" s="211"/>
      <c r="D198" s="214" t="str">
        <f>IFERROR(VLOOKUP($C198,'PORTIFÓLIO'!C:V,2,0),"")</f>
        <v/>
      </c>
      <c r="E198" s="211" t="str">
        <f>IFERROR(VLOOKUP($C198,'PORTIFÓLIO'!C:V,3,0),"")</f>
        <v/>
      </c>
      <c r="F198" s="211" t="str">
        <f>IFERROR(VLOOKUP($C198,'PORTIFÓLIO'!C:V,4,0),"")</f>
        <v/>
      </c>
      <c r="G198" s="215" t="str">
        <f>IFERROR(VLOOKUP($C198,'PORTIFÓLIO'!C:V,5,0),"")</f>
        <v/>
      </c>
      <c r="H198" s="254" t="str">
        <f t="array" ref="H198">IFERROR(INDEX('PORTIFÓLIO'!$H$4:$H$433,MATCH($C198,'PORTIFÓLIO'!$C$4:$C$433,0)),"")</f>
        <v/>
      </c>
      <c r="I198" s="256"/>
      <c r="J198" s="218">
        <f t="shared" si="22"/>
        <v>0</v>
      </c>
      <c r="K198" s="219" t="str">
        <f t="array" ref="K198">IFERROR(I198*INDEX('PORTIFÓLIO'!$S$4:$S$433,MATCH($C198,'PORTIFÓLIO'!$C$4:$C$433,0)),"")</f>
        <v/>
      </c>
      <c r="L198" s="219" t="str">
        <f t="array" ref="L198">IFERROR(J198*INDEX('PORTIFÓLIO'!$S$4:$S$433,MATCH($C198,'PORTIFÓLIO'!$C$4:$C$433,0)),"")</f>
        <v/>
      </c>
      <c r="M198" s="220"/>
      <c r="N198" s="220"/>
      <c r="O198" s="220"/>
      <c r="P198" s="220"/>
      <c r="Q198" s="220"/>
      <c r="R198" s="220"/>
      <c r="S198" s="220"/>
      <c r="T198" s="220"/>
      <c r="U198" s="220"/>
      <c r="V198" s="220"/>
      <c r="W198" s="220"/>
    </row>
    <row r="199" ht="15.75" customHeight="1" outlineLevel="1">
      <c r="A199" s="211"/>
      <c r="B199" s="227"/>
      <c r="C199" s="211"/>
      <c r="D199" s="214" t="str">
        <f>IFERROR(VLOOKUP($C199,'PORTIFÓLIO'!C:V,2,0),"")</f>
        <v/>
      </c>
      <c r="E199" s="211" t="str">
        <f>IFERROR(VLOOKUP($C199,'PORTIFÓLIO'!C:V,3,0),"")</f>
        <v/>
      </c>
      <c r="F199" s="211" t="str">
        <f>IFERROR(VLOOKUP($C199,'PORTIFÓLIO'!C:V,4,0),"")</f>
        <v/>
      </c>
      <c r="G199" s="215" t="str">
        <f>IFERROR(VLOOKUP($C199,'PORTIFÓLIO'!C:V,5,0),"")</f>
        <v/>
      </c>
      <c r="H199" s="254" t="str">
        <f t="array" ref="H199">IFERROR(INDEX('PORTIFÓLIO'!$H$4:$H$433,MATCH($C199,'PORTIFÓLIO'!$C$4:$C$433,0)),"")</f>
        <v/>
      </c>
      <c r="I199" s="256"/>
      <c r="J199" s="218">
        <f t="shared" si="22"/>
        <v>0</v>
      </c>
      <c r="K199" s="219" t="str">
        <f t="array" ref="K199">IFERROR(I199*INDEX('PORTIFÓLIO'!$S$4:$S$433,MATCH($C199,'PORTIFÓLIO'!$C$4:$C$433,0)),"")</f>
        <v/>
      </c>
      <c r="L199" s="219" t="str">
        <f t="array" ref="L199">IFERROR(J199*INDEX('PORTIFÓLIO'!$S$4:$S$433,MATCH($C199,'PORTIFÓLIO'!$C$4:$C$433,0)),"")</f>
        <v/>
      </c>
      <c r="M199" s="220"/>
      <c r="N199" s="220"/>
      <c r="O199" s="220"/>
      <c r="P199" s="220"/>
      <c r="Q199" s="220"/>
      <c r="R199" s="220"/>
      <c r="S199" s="220"/>
      <c r="T199" s="220"/>
      <c r="U199" s="220"/>
      <c r="V199" s="220"/>
      <c r="W199" s="220"/>
    </row>
    <row r="200" ht="15.75" customHeight="1">
      <c r="A200" s="229" t="s">
        <v>1202</v>
      </c>
      <c r="B200" s="230"/>
      <c r="C200" s="231"/>
      <c r="D200" s="232"/>
      <c r="E200" s="231"/>
      <c r="F200" s="231"/>
      <c r="G200" s="233"/>
      <c r="H200" s="233"/>
      <c r="I200" s="258"/>
      <c r="J200" s="236"/>
      <c r="K200" s="237">
        <f t="shared" ref="K200:L200" si="23">SUBTOTAL(9,K201:K214)</f>
        <v>0</v>
      </c>
      <c r="L200" s="237">
        <f t="shared" si="23"/>
        <v>0</v>
      </c>
      <c r="M200" s="220"/>
      <c r="N200" s="220"/>
      <c r="O200" s="220"/>
      <c r="P200" s="220"/>
      <c r="Q200" s="220"/>
      <c r="R200" s="220"/>
      <c r="S200" s="220"/>
      <c r="T200" s="220"/>
      <c r="U200" s="220"/>
      <c r="V200" s="220"/>
      <c r="W200" s="220"/>
    </row>
    <row r="201" ht="15.75" customHeight="1" outlineLevel="1">
      <c r="A201" s="213"/>
      <c r="B201" s="212"/>
      <c r="C201" s="213"/>
      <c r="D201" s="214" t="str">
        <f>IFERROR(VLOOKUP($C201,'PORTIFÓLIO'!C:V,2,0),"")</f>
        <v/>
      </c>
      <c r="E201" s="211" t="str">
        <f>IFERROR(VLOOKUP($C201,'PORTIFÓLIO'!C:V,3,0),"")</f>
        <v/>
      </c>
      <c r="F201" s="211" t="str">
        <f>IFERROR(VLOOKUP($C201,'PORTIFÓLIO'!C:V,4,0),"")</f>
        <v/>
      </c>
      <c r="G201" s="215" t="str">
        <f>IFERROR(VLOOKUP($C201,'PORTIFÓLIO'!C:V,5,0),"")</f>
        <v/>
      </c>
      <c r="H201" s="254" t="str">
        <f t="array" ref="H201">IFERROR(INDEX('PORTIFÓLIO'!$H$4:$H$433,MATCH($C201,'PORTIFÓLIO'!$C$4:$C$433,0)),"")</f>
        <v/>
      </c>
      <c r="I201" s="256"/>
      <c r="J201" s="218">
        <f t="shared" ref="J201:J224" si="24">I201*$B$2</f>
        <v>0</v>
      </c>
      <c r="K201" s="219" t="str">
        <f>IFERROR(I201* VLOOKUP($C201,'PORTIFÓLIO'!C:V,10,0),"")</f>
        <v/>
      </c>
      <c r="L201" s="219" t="str">
        <f>IFERROR(J201* VLOOKUP($C201,'PORTIFÓLIO'!C:V,10,0),"")</f>
        <v/>
      </c>
      <c r="M201" s="220"/>
      <c r="N201" s="220"/>
      <c r="O201" s="220"/>
      <c r="P201" s="220"/>
      <c r="Q201" s="220"/>
      <c r="R201" s="220"/>
      <c r="S201" s="220"/>
      <c r="T201" s="220"/>
      <c r="U201" s="220"/>
      <c r="V201" s="220"/>
      <c r="W201" s="220"/>
    </row>
    <row r="202" ht="15.75" customHeight="1" outlineLevel="1">
      <c r="A202" s="211"/>
      <c r="B202" s="212"/>
      <c r="C202" s="213"/>
      <c r="D202" s="214" t="str">
        <f>IFERROR(VLOOKUP($C202,'PORTIFÓLIO'!C:V,2,0),"")</f>
        <v/>
      </c>
      <c r="E202" s="211" t="str">
        <f>IFERROR(VLOOKUP($C202,'PORTIFÓLIO'!C:V,3,0),"")</f>
        <v/>
      </c>
      <c r="F202" s="211" t="str">
        <f>IFERROR(VLOOKUP($C202,'PORTIFÓLIO'!C:V,4,0),"")</f>
        <v/>
      </c>
      <c r="G202" s="215" t="str">
        <f>IFERROR(VLOOKUP($C202,'PORTIFÓLIO'!C:V,5,0),"")</f>
        <v/>
      </c>
      <c r="H202" s="254" t="str">
        <f t="array" ref="H202">IFERROR(INDEX('PORTIFÓLIO'!$H$4:$H$433,MATCH($C202,'PORTIFÓLIO'!$C$4:$C$433,0)),"")</f>
        <v/>
      </c>
      <c r="I202" s="256"/>
      <c r="J202" s="218">
        <f t="shared" si="24"/>
        <v>0</v>
      </c>
      <c r="K202" s="219" t="str">
        <f>IFERROR(I202* VLOOKUP($C202,'PORTIFÓLIO'!C:V,10,0),"")</f>
        <v/>
      </c>
      <c r="L202" s="219" t="str">
        <f>IFERROR(J202* VLOOKUP($C202,'PORTIFÓLIO'!C:V,10,0),"")</f>
        <v/>
      </c>
      <c r="M202" s="220"/>
      <c r="N202" s="220"/>
      <c r="O202" s="220"/>
      <c r="P202" s="220"/>
      <c r="Q202" s="220"/>
      <c r="R202" s="220"/>
      <c r="S202" s="220"/>
      <c r="T202" s="220"/>
      <c r="U202" s="220"/>
      <c r="V202" s="220"/>
      <c r="W202" s="220"/>
    </row>
    <row r="203" ht="15.75" customHeight="1" outlineLevel="1">
      <c r="A203" s="211"/>
      <c r="B203" s="212"/>
      <c r="C203" s="213"/>
      <c r="D203" s="214" t="str">
        <f>IFERROR(VLOOKUP($C203,'PORTIFÓLIO'!C:V,2,0),"")</f>
        <v/>
      </c>
      <c r="E203" s="211" t="str">
        <f>IFERROR(VLOOKUP($C203,'PORTIFÓLIO'!C:V,3,0),"")</f>
        <v/>
      </c>
      <c r="F203" s="211" t="str">
        <f>IFERROR(VLOOKUP($C203,'PORTIFÓLIO'!C:V,4,0),"")</f>
        <v/>
      </c>
      <c r="G203" s="215" t="str">
        <f>IFERROR(VLOOKUP($C203,'PORTIFÓLIO'!C:V,5,0),"")</f>
        <v/>
      </c>
      <c r="H203" s="254" t="str">
        <f t="array" ref="H203">IFERROR(INDEX('PORTIFÓLIO'!$H$4:$H$433,MATCH($C203,'PORTIFÓLIO'!$C$4:$C$433,0)),"")</f>
        <v/>
      </c>
      <c r="I203" s="256"/>
      <c r="J203" s="218">
        <f t="shared" si="24"/>
        <v>0</v>
      </c>
      <c r="K203" s="219" t="str">
        <f>IFERROR(I203* VLOOKUP($C203,'PORTIFÓLIO'!C:V,10,0),"")</f>
        <v/>
      </c>
      <c r="L203" s="219" t="str">
        <f>IFERROR(J203* VLOOKUP($C203,'PORTIFÓLIO'!C:V,10,0),"")</f>
        <v/>
      </c>
      <c r="M203" s="220"/>
      <c r="N203" s="220"/>
      <c r="O203" s="220"/>
      <c r="P203" s="220"/>
      <c r="Q203" s="220"/>
      <c r="R203" s="220"/>
      <c r="S203" s="220"/>
      <c r="T203" s="220"/>
      <c r="U203" s="220"/>
      <c r="V203" s="220"/>
      <c r="W203" s="220"/>
    </row>
    <row r="204" ht="15.75" customHeight="1" outlineLevel="1">
      <c r="A204" s="211"/>
      <c r="B204" s="212"/>
      <c r="C204" s="213"/>
      <c r="D204" s="214" t="str">
        <f>IFERROR(VLOOKUP($C204,'PORTIFÓLIO'!C:V,2,0),"")</f>
        <v/>
      </c>
      <c r="E204" s="211" t="str">
        <f>IFERROR(VLOOKUP($C204,'PORTIFÓLIO'!C:V,3,0),"")</f>
        <v/>
      </c>
      <c r="F204" s="211" t="str">
        <f>IFERROR(VLOOKUP($C204,'PORTIFÓLIO'!C:V,4,0),"")</f>
        <v/>
      </c>
      <c r="G204" s="215" t="str">
        <f>IFERROR(VLOOKUP($C204,'PORTIFÓLIO'!C:V,5,0),"")</f>
        <v/>
      </c>
      <c r="H204" s="254" t="str">
        <f t="array" ref="H204">IFERROR(INDEX('PORTIFÓLIO'!$H$4:$H$433,MATCH($C204,'PORTIFÓLIO'!$C$4:$C$433,0)),"")</f>
        <v/>
      </c>
      <c r="I204" s="256"/>
      <c r="J204" s="218">
        <f t="shared" si="24"/>
        <v>0</v>
      </c>
      <c r="K204" s="219" t="str">
        <f>IFERROR(I204* VLOOKUP($C204,'PORTIFÓLIO'!C:V,10,0),"")</f>
        <v/>
      </c>
      <c r="L204" s="219" t="str">
        <f>IFERROR(J204* VLOOKUP($C204,'PORTIFÓLIO'!C:V,10,0),"")</f>
        <v/>
      </c>
      <c r="M204" s="220"/>
      <c r="N204" s="220"/>
      <c r="O204" s="220"/>
      <c r="P204" s="220"/>
      <c r="Q204" s="220"/>
      <c r="R204" s="220"/>
      <c r="S204" s="220"/>
      <c r="T204" s="220"/>
      <c r="U204" s="220"/>
      <c r="V204" s="220"/>
      <c r="W204" s="220"/>
    </row>
    <row r="205" ht="15.75" customHeight="1" outlineLevel="1">
      <c r="A205" s="211"/>
      <c r="B205" s="212"/>
      <c r="C205" s="213"/>
      <c r="D205" s="214" t="str">
        <f>IFERROR(VLOOKUP($C205,'PORTIFÓLIO'!C:V,2,0),"")</f>
        <v/>
      </c>
      <c r="E205" s="211" t="str">
        <f>IFERROR(VLOOKUP($C205,'PORTIFÓLIO'!C:V,3,0),"")</f>
        <v/>
      </c>
      <c r="F205" s="211" t="str">
        <f>IFERROR(VLOOKUP($C205,'PORTIFÓLIO'!C:V,4,0),"")</f>
        <v/>
      </c>
      <c r="G205" s="215" t="str">
        <f>IFERROR(VLOOKUP($C205,'PORTIFÓLIO'!C:V,5,0),"")</f>
        <v/>
      </c>
      <c r="H205" s="254" t="str">
        <f t="array" ref="H205">IFERROR(INDEX('PORTIFÓLIO'!$H$4:$H$433,MATCH($C205,'PORTIFÓLIO'!$C$4:$C$433,0)),"")</f>
        <v/>
      </c>
      <c r="I205" s="256"/>
      <c r="J205" s="218">
        <f t="shared" si="24"/>
        <v>0</v>
      </c>
      <c r="K205" s="219" t="str">
        <f>IFERROR(I205* VLOOKUP($C205,'PORTIFÓLIO'!C:V,10,0),"")</f>
        <v/>
      </c>
      <c r="L205" s="219" t="str">
        <f>IFERROR(J205* VLOOKUP($C205,'PORTIFÓLIO'!C:V,10,0),"")</f>
        <v/>
      </c>
      <c r="M205" s="220"/>
      <c r="N205" s="220"/>
      <c r="O205" s="220"/>
      <c r="P205" s="220"/>
      <c r="Q205" s="220"/>
      <c r="R205" s="220"/>
      <c r="S205" s="220"/>
      <c r="T205" s="220"/>
      <c r="U205" s="220"/>
      <c r="V205" s="220"/>
      <c r="W205" s="220"/>
    </row>
    <row r="206" ht="15.75" customHeight="1" outlineLevel="1">
      <c r="A206" s="211"/>
      <c r="B206" s="212"/>
      <c r="C206" s="213"/>
      <c r="D206" s="214" t="str">
        <f>IFERROR(VLOOKUP($C206,'PORTIFÓLIO'!C:V,2,0),"")</f>
        <v/>
      </c>
      <c r="E206" s="211" t="str">
        <f>IFERROR(VLOOKUP($C206,'PORTIFÓLIO'!C:V,3,0),"")</f>
        <v/>
      </c>
      <c r="F206" s="211" t="str">
        <f>IFERROR(VLOOKUP($C206,'PORTIFÓLIO'!C:V,4,0),"")</f>
        <v/>
      </c>
      <c r="G206" s="215" t="str">
        <f>IFERROR(VLOOKUP($C206,'PORTIFÓLIO'!C:V,5,0),"")</f>
        <v/>
      </c>
      <c r="H206" s="254" t="str">
        <f t="array" ref="H206">IFERROR(INDEX('PORTIFÓLIO'!$H$4:$H$433,MATCH($C206,'PORTIFÓLIO'!$C$4:$C$433,0)),"")</f>
        <v/>
      </c>
      <c r="I206" s="256"/>
      <c r="J206" s="218">
        <f t="shared" si="24"/>
        <v>0</v>
      </c>
      <c r="K206" s="219" t="str">
        <f>IFERROR(I206* VLOOKUP($C206,'PORTIFÓLIO'!C:V,10,0),"")</f>
        <v/>
      </c>
      <c r="L206" s="219" t="str">
        <f>IFERROR(J206* VLOOKUP($C206,'PORTIFÓLIO'!C:V,10,0),"")</f>
        <v/>
      </c>
      <c r="M206" s="220"/>
      <c r="N206" s="220"/>
      <c r="O206" s="220"/>
      <c r="P206" s="220"/>
      <c r="Q206" s="220"/>
      <c r="R206" s="220"/>
      <c r="S206" s="220"/>
      <c r="T206" s="220"/>
      <c r="U206" s="220"/>
      <c r="V206" s="220"/>
      <c r="W206" s="220"/>
    </row>
    <row r="207" ht="15.75" customHeight="1" outlineLevel="1">
      <c r="A207" s="211"/>
      <c r="B207" s="212"/>
      <c r="C207" s="213"/>
      <c r="D207" s="214" t="str">
        <f>IFERROR(VLOOKUP($C207,'PORTIFÓLIO'!C:V,2,0),"")</f>
        <v/>
      </c>
      <c r="E207" s="211" t="str">
        <f>IFERROR(VLOOKUP($C207,'PORTIFÓLIO'!C:V,3,0),"")</f>
        <v/>
      </c>
      <c r="F207" s="211" t="str">
        <f>IFERROR(VLOOKUP($C207,'PORTIFÓLIO'!C:V,4,0),"")</f>
        <v/>
      </c>
      <c r="G207" s="215" t="str">
        <f>IFERROR(VLOOKUP($C207,'PORTIFÓLIO'!C:V,5,0),"")</f>
        <v/>
      </c>
      <c r="H207" s="254" t="str">
        <f t="array" ref="H207">IFERROR(INDEX('PORTIFÓLIO'!$H$4:$H$433,MATCH($C207,'PORTIFÓLIO'!$C$4:$C$433,0)),"")</f>
        <v/>
      </c>
      <c r="I207" s="256"/>
      <c r="J207" s="218">
        <f t="shared" si="24"/>
        <v>0</v>
      </c>
      <c r="K207" s="219" t="str">
        <f>IFERROR(I207* VLOOKUP($C207,'PORTIFÓLIO'!C:V,10,0),"")</f>
        <v/>
      </c>
      <c r="L207" s="219" t="str">
        <f>IFERROR(J207* VLOOKUP($C207,'PORTIFÓLIO'!C:V,10,0),"")</f>
        <v/>
      </c>
      <c r="M207" s="220"/>
      <c r="N207" s="220"/>
      <c r="O207" s="220"/>
      <c r="P207" s="220"/>
      <c r="Q207" s="220"/>
      <c r="R207" s="220"/>
      <c r="S207" s="220"/>
      <c r="T207" s="220"/>
      <c r="U207" s="220"/>
      <c r="V207" s="220"/>
      <c r="W207" s="220"/>
    </row>
    <row r="208" ht="15.75" customHeight="1" outlineLevel="1">
      <c r="A208" s="211"/>
      <c r="B208" s="212"/>
      <c r="C208" s="213"/>
      <c r="D208" s="214" t="str">
        <f>IFERROR(VLOOKUP($C208,'PORTIFÓLIO'!C:V,2,0),"")</f>
        <v/>
      </c>
      <c r="E208" s="211" t="str">
        <f>IFERROR(VLOOKUP($C208,'PORTIFÓLIO'!C:V,3,0),"")</f>
        <v/>
      </c>
      <c r="F208" s="211" t="str">
        <f>IFERROR(VLOOKUP($C208,'PORTIFÓLIO'!C:V,4,0),"")</f>
        <v/>
      </c>
      <c r="G208" s="215" t="str">
        <f>IFERROR(VLOOKUP($C208,'PORTIFÓLIO'!C:V,5,0),"")</f>
        <v/>
      </c>
      <c r="H208" s="254" t="str">
        <f t="array" ref="H208">IFERROR(INDEX('PORTIFÓLIO'!$H$4:$H$433,MATCH($C208,'PORTIFÓLIO'!$C$4:$C$433,0)),"")</f>
        <v/>
      </c>
      <c r="I208" s="256"/>
      <c r="J208" s="218">
        <f t="shared" si="24"/>
        <v>0</v>
      </c>
      <c r="K208" s="219" t="str">
        <f>IFERROR(I208* VLOOKUP($C208,'PORTIFÓLIO'!C:V,10,0),"")</f>
        <v/>
      </c>
      <c r="L208" s="219" t="str">
        <f>IFERROR(J208* VLOOKUP($C208,'PORTIFÓLIO'!C:V,10,0),"")</f>
        <v/>
      </c>
      <c r="M208" s="220"/>
      <c r="N208" s="220"/>
      <c r="O208" s="220"/>
      <c r="P208" s="220"/>
      <c r="Q208" s="220"/>
      <c r="R208" s="220"/>
      <c r="S208" s="220"/>
      <c r="T208" s="220"/>
      <c r="U208" s="220"/>
      <c r="V208" s="220"/>
      <c r="W208" s="220"/>
    </row>
    <row r="209" ht="15.75" customHeight="1" outlineLevel="1">
      <c r="A209" s="211"/>
      <c r="B209" s="212"/>
      <c r="C209" s="213"/>
      <c r="D209" s="214" t="str">
        <f>IFERROR(VLOOKUP($C209,'PORTIFÓLIO'!C:V,2,0),"")</f>
        <v/>
      </c>
      <c r="E209" s="211" t="str">
        <f>IFERROR(VLOOKUP($C209,'PORTIFÓLIO'!C:V,3,0),"")</f>
        <v/>
      </c>
      <c r="F209" s="211" t="str">
        <f>IFERROR(VLOOKUP($C209,'PORTIFÓLIO'!C:V,4,0),"")</f>
        <v/>
      </c>
      <c r="G209" s="215" t="str">
        <f>IFERROR(VLOOKUP($C209,'PORTIFÓLIO'!C:V,5,0),"")</f>
        <v/>
      </c>
      <c r="H209" s="254" t="str">
        <f t="array" ref="H209">IFERROR(INDEX('PORTIFÓLIO'!$H$4:$H$433,MATCH($C209,'PORTIFÓLIO'!$C$4:$C$433,0)),"")</f>
        <v/>
      </c>
      <c r="I209" s="256"/>
      <c r="J209" s="218">
        <f t="shared" si="24"/>
        <v>0</v>
      </c>
      <c r="K209" s="219" t="str">
        <f>IFERROR(I209* VLOOKUP($C209,'PORTIFÓLIO'!C:V,10,0),"")</f>
        <v/>
      </c>
      <c r="L209" s="219" t="str">
        <f>IFERROR(J209* VLOOKUP($C209,'PORTIFÓLIO'!C:V,10,0),"")</f>
        <v/>
      </c>
      <c r="M209" s="220"/>
      <c r="N209" s="220"/>
      <c r="O209" s="220"/>
      <c r="P209" s="220"/>
      <c r="Q209" s="220"/>
      <c r="R209" s="220"/>
      <c r="S209" s="220"/>
      <c r="T209" s="220"/>
      <c r="U209" s="220"/>
      <c r="V209" s="220"/>
      <c r="W209" s="220"/>
    </row>
    <row r="210" ht="15.75" customHeight="1" outlineLevel="1">
      <c r="A210" s="211"/>
      <c r="B210" s="212"/>
      <c r="C210" s="213"/>
      <c r="D210" s="214" t="str">
        <f>IFERROR(VLOOKUP($C210,'PORTIFÓLIO'!C:V,2,0),"")</f>
        <v/>
      </c>
      <c r="E210" s="211" t="str">
        <f>IFERROR(VLOOKUP($C210,'PORTIFÓLIO'!C:V,3,0),"")</f>
        <v/>
      </c>
      <c r="F210" s="211" t="str">
        <f>IFERROR(VLOOKUP($C210,'PORTIFÓLIO'!C:V,4,0),"")</f>
        <v/>
      </c>
      <c r="G210" s="215" t="str">
        <f>IFERROR(VLOOKUP($C210,'PORTIFÓLIO'!C:V,5,0),"")</f>
        <v/>
      </c>
      <c r="H210" s="254" t="str">
        <f t="array" ref="H210">IFERROR(INDEX('PORTIFÓLIO'!$H$4:$H$433,MATCH($C210,'PORTIFÓLIO'!$C$4:$C$433,0)),"")</f>
        <v/>
      </c>
      <c r="I210" s="256"/>
      <c r="J210" s="218">
        <f t="shared" si="24"/>
        <v>0</v>
      </c>
      <c r="K210" s="219" t="str">
        <f>IFERROR(I210* VLOOKUP($C210,'PORTIFÓLIO'!C:V,10,0),"")</f>
        <v/>
      </c>
      <c r="L210" s="219" t="str">
        <f>IFERROR(J210* VLOOKUP($C210,'PORTIFÓLIO'!C:V,10,0),"")</f>
        <v/>
      </c>
      <c r="M210" s="220"/>
      <c r="N210" s="220"/>
      <c r="O210" s="220"/>
      <c r="P210" s="220"/>
      <c r="Q210" s="220"/>
      <c r="R210" s="220"/>
      <c r="S210" s="220"/>
      <c r="T210" s="220"/>
      <c r="U210" s="220"/>
      <c r="V210" s="220"/>
      <c r="W210" s="220"/>
    </row>
    <row r="211" ht="15.75" customHeight="1" outlineLevel="1">
      <c r="A211" s="211"/>
      <c r="B211" s="212"/>
      <c r="C211" s="213"/>
      <c r="D211" s="214" t="str">
        <f>IFERROR(VLOOKUP($C211,'PORTIFÓLIO'!C:V,2,0),"")</f>
        <v/>
      </c>
      <c r="E211" s="211" t="str">
        <f>IFERROR(VLOOKUP($C211,'PORTIFÓLIO'!C:V,3,0),"")</f>
        <v/>
      </c>
      <c r="F211" s="211" t="str">
        <f>IFERROR(VLOOKUP($C211,'PORTIFÓLIO'!C:V,4,0),"")</f>
        <v/>
      </c>
      <c r="G211" s="215" t="str">
        <f>IFERROR(VLOOKUP($C211,'PORTIFÓLIO'!C:V,5,0),"")</f>
        <v/>
      </c>
      <c r="H211" s="254" t="str">
        <f t="array" ref="H211">IFERROR(INDEX('PORTIFÓLIO'!$H$4:$H$433,MATCH($C211,'PORTIFÓLIO'!$C$4:$C$433,0)),"")</f>
        <v/>
      </c>
      <c r="I211" s="256"/>
      <c r="J211" s="218">
        <f t="shared" si="24"/>
        <v>0</v>
      </c>
      <c r="K211" s="219" t="str">
        <f>IFERROR(I211* VLOOKUP($C211,'PORTIFÓLIO'!C:V,10,0),"")</f>
        <v/>
      </c>
      <c r="L211" s="219" t="str">
        <f>IFERROR(J211* VLOOKUP($C211,'PORTIFÓLIO'!C:V,10,0),"")</f>
        <v/>
      </c>
      <c r="M211" s="220"/>
      <c r="N211" s="220"/>
      <c r="O211" s="220"/>
      <c r="P211" s="220"/>
      <c r="Q211" s="220"/>
      <c r="R211" s="220"/>
      <c r="S211" s="220"/>
      <c r="T211" s="220"/>
      <c r="U211" s="220"/>
      <c r="V211" s="220"/>
      <c r="W211" s="220"/>
    </row>
    <row r="212" ht="15.75" customHeight="1" outlineLevel="1">
      <c r="A212" s="211"/>
      <c r="B212" s="212"/>
      <c r="C212" s="213"/>
      <c r="D212" s="214" t="str">
        <f>IFERROR(VLOOKUP($C212,'PORTIFÓLIO'!C:V,2,0),"")</f>
        <v/>
      </c>
      <c r="E212" s="211" t="str">
        <f>IFERROR(VLOOKUP($C212,'PORTIFÓLIO'!C:V,3,0),"")</f>
        <v/>
      </c>
      <c r="F212" s="211" t="str">
        <f>IFERROR(VLOOKUP($C212,'PORTIFÓLIO'!C:V,4,0),"")</f>
        <v/>
      </c>
      <c r="G212" s="215" t="str">
        <f>IFERROR(VLOOKUP($C212,'PORTIFÓLIO'!C:V,5,0),"")</f>
        <v/>
      </c>
      <c r="H212" s="254" t="str">
        <f t="array" ref="H212">IFERROR(INDEX('PORTIFÓLIO'!$H$4:$H$433,MATCH($C212,'PORTIFÓLIO'!$C$4:$C$433,0)),"")</f>
        <v/>
      </c>
      <c r="I212" s="256"/>
      <c r="J212" s="218">
        <f t="shared" si="24"/>
        <v>0</v>
      </c>
      <c r="K212" s="219" t="str">
        <f>IFERROR(I212* VLOOKUP($C212,'PORTIFÓLIO'!C:V,10,0),"")</f>
        <v/>
      </c>
      <c r="L212" s="219" t="str">
        <f>IFERROR(J212* VLOOKUP($C212,'PORTIFÓLIO'!C:V,10,0),"")</f>
        <v/>
      </c>
      <c r="M212" s="220"/>
      <c r="N212" s="220"/>
      <c r="O212" s="220"/>
      <c r="P212" s="220"/>
      <c r="Q212" s="220"/>
      <c r="R212" s="220"/>
      <c r="S212" s="220"/>
      <c r="T212" s="220"/>
      <c r="U212" s="220"/>
      <c r="V212" s="220"/>
      <c r="W212" s="220"/>
    </row>
    <row r="213" ht="15.75" customHeight="1" outlineLevel="1">
      <c r="A213" s="211"/>
      <c r="B213" s="212"/>
      <c r="C213" s="213"/>
      <c r="D213" s="214" t="str">
        <f>IFERROR(VLOOKUP($C213,'PORTIFÓLIO'!C:V,2,0),"")</f>
        <v/>
      </c>
      <c r="E213" s="211" t="str">
        <f>IFERROR(VLOOKUP($C213,'PORTIFÓLIO'!C:V,3,0),"")</f>
        <v/>
      </c>
      <c r="F213" s="211" t="str">
        <f>IFERROR(VLOOKUP($C213,'PORTIFÓLIO'!C:V,4,0),"")</f>
        <v/>
      </c>
      <c r="G213" s="215" t="str">
        <f>IFERROR(VLOOKUP($C213,'PORTIFÓLIO'!C:V,5,0),"")</f>
        <v/>
      </c>
      <c r="H213" s="254" t="str">
        <f t="array" ref="H213">IFERROR(INDEX('PORTIFÓLIO'!$H$4:$H$433,MATCH($C213,'PORTIFÓLIO'!$C$4:$C$433,0)),"")</f>
        <v/>
      </c>
      <c r="I213" s="256"/>
      <c r="J213" s="218">
        <f t="shared" si="24"/>
        <v>0</v>
      </c>
      <c r="K213" s="219" t="str">
        <f>IFERROR(I213* VLOOKUP($C213,'PORTIFÓLIO'!C:V,10,0),"")</f>
        <v/>
      </c>
      <c r="L213" s="219" t="str">
        <f>IFERROR(J213* VLOOKUP($C213,'PORTIFÓLIO'!C:V,10,0),"")</f>
        <v/>
      </c>
      <c r="M213" s="220"/>
      <c r="N213" s="220"/>
      <c r="O213" s="220"/>
      <c r="P213" s="220"/>
      <c r="Q213" s="220"/>
      <c r="R213" s="220"/>
      <c r="S213" s="220"/>
      <c r="T213" s="220"/>
      <c r="U213" s="220"/>
      <c r="V213" s="220"/>
      <c r="W213" s="220"/>
    </row>
    <row r="214" ht="15.75" customHeight="1" outlineLevel="1">
      <c r="A214" s="211"/>
      <c r="B214" s="212"/>
      <c r="C214" s="213"/>
      <c r="D214" s="214" t="str">
        <f>IFERROR(VLOOKUP($C214,'PORTIFÓLIO'!C:V,2,0),"")</f>
        <v/>
      </c>
      <c r="E214" s="211" t="str">
        <f>IFERROR(VLOOKUP($C214,'PORTIFÓLIO'!C:V,3,0),"")</f>
        <v/>
      </c>
      <c r="F214" s="211" t="str">
        <f>IFERROR(VLOOKUP($C214,'PORTIFÓLIO'!C:V,4,0),"")</f>
        <v/>
      </c>
      <c r="G214" s="215" t="str">
        <f>IFERROR(VLOOKUP($C214,'PORTIFÓLIO'!C:V,5,0),"")</f>
        <v/>
      </c>
      <c r="H214" s="254" t="str">
        <f t="array" ref="H214">IFERROR(INDEX('PORTIFÓLIO'!$H$4:$H$433,MATCH($C214,'PORTIFÓLIO'!$C$4:$C$433,0)),"")</f>
        <v/>
      </c>
      <c r="I214" s="256"/>
      <c r="J214" s="218">
        <f t="shared" si="24"/>
        <v>0</v>
      </c>
      <c r="K214" s="219" t="str">
        <f>IFERROR(I214* VLOOKUP($C214,'PORTIFÓLIO'!C:V,10,0),"")</f>
        <v/>
      </c>
      <c r="L214" s="219" t="str">
        <f>IFERROR(J214* VLOOKUP($C214,'PORTIFÓLIO'!C:V,10,0),"")</f>
        <v/>
      </c>
      <c r="M214" s="220"/>
      <c r="N214" s="220"/>
      <c r="O214" s="220"/>
      <c r="P214" s="220"/>
      <c r="Q214" s="220"/>
      <c r="R214" s="220"/>
      <c r="S214" s="220"/>
      <c r="T214" s="220"/>
      <c r="U214" s="220"/>
      <c r="V214" s="220"/>
      <c r="W214" s="220"/>
    </row>
    <row r="215" ht="15.75" customHeight="1" outlineLevel="1">
      <c r="A215" s="211"/>
      <c r="B215" s="212"/>
      <c r="C215" s="213"/>
      <c r="D215" s="214" t="str">
        <f>IFERROR(VLOOKUP($C215,'PORTIFÓLIO'!C:V,2,0),"")</f>
        <v/>
      </c>
      <c r="E215" s="211" t="str">
        <f>IFERROR(VLOOKUP($C215,'PORTIFÓLIO'!C:V,3,0),"")</f>
        <v/>
      </c>
      <c r="F215" s="211" t="str">
        <f>IFERROR(VLOOKUP($C215,'PORTIFÓLIO'!C:V,4,0),"")</f>
        <v/>
      </c>
      <c r="G215" s="215" t="str">
        <f>IFERROR(VLOOKUP($C215,'PORTIFÓLIO'!C:V,5,0),"")</f>
        <v/>
      </c>
      <c r="H215" s="254" t="str">
        <f t="array" ref="H215">IFERROR(INDEX('PORTIFÓLIO'!$H$4:$H$433,MATCH($C215,'PORTIFÓLIO'!$C$4:$C$433,0)),"")</f>
        <v/>
      </c>
      <c r="I215" s="256"/>
      <c r="J215" s="218">
        <f t="shared" si="24"/>
        <v>0</v>
      </c>
      <c r="K215" s="219" t="str">
        <f>IFERROR(I215* VLOOKUP($C215,'PORTIFÓLIO'!C:V,10,0),"")</f>
        <v/>
      </c>
      <c r="L215" s="219" t="str">
        <f>IFERROR(J215* VLOOKUP($C215,'PORTIFÓLIO'!C:V,10,0),"")</f>
        <v/>
      </c>
      <c r="M215" s="220"/>
      <c r="N215" s="220"/>
      <c r="O215" s="220"/>
      <c r="P215" s="220"/>
      <c r="Q215" s="220"/>
      <c r="R215" s="220"/>
      <c r="S215" s="220"/>
      <c r="T215" s="220"/>
      <c r="U215" s="220"/>
      <c r="V215" s="220"/>
      <c r="W215" s="220"/>
    </row>
    <row r="216" ht="15.75" customHeight="1" outlineLevel="1">
      <c r="A216" s="211"/>
      <c r="B216" s="227"/>
      <c r="C216" s="211"/>
      <c r="D216" s="214" t="str">
        <f>IFERROR(VLOOKUP($C216,'PORTIFÓLIO'!C:V,2,0),"")</f>
        <v/>
      </c>
      <c r="E216" s="211" t="str">
        <f>IFERROR(VLOOKUP($C216,'PORTIFÓLIO'!C:V,3,0),"")</f>
        <v/>
      </c>
      <c r="F216" s="211" t="str">
        <f>IFERROR(VLOOKUP($C216,'PORTIFÓLIO'!C:V,4,0),"")</f>
        <v/>
      </c>
      <c r="G216" s="215" t="str">
        <f>IFERROR(VLOOKUP($C216,'PORTIFÓLIO'!C:V,5,0),"")</f>
        <v/>
      </c>
      <c r="H216" s="254" t="str">
        <f t="array" ref="H216">IFERROR(INDEX('PORTIFÓLIO'!$H$4:$H$433,MATCH($C216,'PORTIFÓLIO'!$C$4:$C$433,0)),"")</f>
        <v/>
      </c>
      <c r="I216" s="256"/>
      <c r="J216" s="218">
        <f t="shared" si="24"/>
        <v>0</v>
      </c>
      <c r="K216" s="219" t="str">
        <f>IFERROR(I216* VLOOKUP($C216,'PORTIFÓLIO'!C:V,10,0),"")</f>
        <v/>
      </c>
      <c r="L216" s="219" t="str">
        <f>IFERROR(J216* VLOOKUP($C216,'PORTIFÓLIO'!C:V,10,0),"")</f>
        <v/>
      </c>
      <c r="M216" s="220"/>
      <c r="N216" s="220"/>
      <c r="O216" s="220"/>
      <c r="P216" s="220"/>
      <c r="Q216" s="220"/>
      <c r="R216" s="220"/>
      <c r="S216" s="220"/>
      <c r="T216" s="220"/>
      <c r="U216" s="220"/>
      <c r="V216" s="220"/>
      <c r="W216" s="220"/>
    </row>
    <row r="217" ht="15.75" customHeight="1" outlineLevel="1">
      <c r="A217" s="211"/>
      <c r="B217" s="227"/>
      <c r="C217" s="211"/>
      <c r="D217" s="214" t="str">
        <f>IFERROR(VLOOKUP($C217,'PORTIFÓLIO'!C:V,2,0),"")</f>
        <v/>
      </c>
      <c r="E217" s="211" t="str">
        <f>IFERROR(VLOOKUP($C217,'PORTIFÓLIO'!C:V,3,0),"")</f>
        <v/>
      </c>
      <c r="F217" s="211" t="str">
        <f>IFERROR(VLOOKUP($C217,'PORTIFÓLIO'!C:V,4,0),"")</f>
        <v/>
      </c>
      <c r="G217" s="215" t="str">
        <f>IFERROR(VLOOKUP($C217,'PORTIFÓLIO'!C:V,5,0),"")</f>
        <v/>
      </c>
      <c r="H217" s="254" t="str">
        <f t="array" ref="H217">IFERROR(INDEX('PORTIFÓLIO'!$H$4:$H$433,MATCH($C217,'PORTIFÓLIO'!$C$4:$C$433,0)),"")</f>
        <v/>
      </c>
      <c r="I217" s="256"/>
      <c r="J217" s="218">
        <f t="shared" si="24"/>
        <v>0</v>
      </c>
      <c r="K217" s="219" t="str">
        <f>IFERROR(I217* VLOOKUP($C217,'PORTIFÓLIO'!C:V,10,0),"")</f>
        <v/>
      </c>
      <c r="L217" s="219" t="str">
        <f>IFERROR(J217* VLOOKUP($C217,'PORTIFÓLIO'!C:V,10,0),"")</f>
        <v/>
      </c>
      <c r="M217" s="220"/>
      <c r="N217" s="220"/>
      <c r="O217" s="220"/>
      <c r="P217" s="220"/>
      <c r="Q217" s="220"/>
      <c r="R217" s="220"/>
      <c r="S217" s="220"/>
      <c r="T217" s="220"/>
      <c r="U217" s="220"/>
      <c r="V217" s="220"/>
      <c r="W217" s="220"/>
    </row>
    <row r="218" ht="15.75" customHeight="1" outlineLevel="1">
      <c r="A218" s="211"/>
      <c r="B218" s="227"/>
      <c r="C218" s="211"/>
      <c r="D218" s="214" t="str">
        <f>IFERROR(VLOOKUP($C218,'PORTIFÓLIO'!C:V,2,0),"")</f>
        <v/>
      </c>
      <c r="E218" s="211" t="str">
        <f>IFERROR(VLOOKUP($C218,'PORTIFÓLIO'!C:V,3,0),"")</f>
        <v/>
      </c>
      <c r="F218" s="211" t="str">
        <f>IFERROR(VLOOKUP($C218,'PORTIFÓLIO'!C:V,4,0),"")</f>
        <v/>
      </c>
      <c r="G218" s="215" t="str">
        <f>IFERROR(VLOOKUP($C218,'PORTIFÓLIO'!C:V,5,0),"")</f>
        <v/>
      </c>
      <c r="H218" s="254" t="str">
        <f t="array" ref="H218">IFERROR(INDEX('PORTIFÓLIO'!$H$4:$H$433,MATCH($C218,'PORTIFÓLIO'!$C$4:$C$433,0)),"")</f>
        <v/>
      </c>
      <c r="I218" s="256"/>
      <c r="J218" s="218">
        <f t="shared" si="24"/>
        <v>0</v>
      </c>
      <c r="K218" s="219" t="str">
        <f>IFERROR(I218* VLOOKUP($C218,'PORTIFÓLIO'!C:V,10,0),"")</f>
        <v/>
      </c>
      <c r="L218" s="219" t="str">
        <f>IFERROR(J218* VLOOKUP($C218,'PORTIFÓLIO'!C:V,10,0),"")</f>
        <v/>
      </c>
      <c r="M218" s="220"/>
      <c r="N218" s="220"/>
      <c r="O218" s="220"/>
      <c r="P218" s="220"/>
      <c r="Q218" s="220"/>
      <c r="R218" s="220"/>
      <c r="S218" s="220"/>
      <c r="T218" s="220"/>
      <c r="U218" s="220"/>
      <c r="V218" s="220"/>
      <c r="W218" s="220"/>
    </row>
    <row r="219" ht="15.75" customHeight="1" outlineLevel="1">
      <c r="A219" s="211"/>
      <c r="B219" s="227"/>
      <c r="C219" s="211"/>
      <c r="D219" s="214" t="str">
        <f>IFERROR(VLOOKUP($C219,'PORTIFÓLIO'!C:V,2,0),"")</f>
        <v/>
      </c>
      <c r="E219" s="211" t="str">
        <f>IFERROR(VLOOKUP($C219,'PORTIFÓLIO'!C:V,3,0),"")</f>
        <v/>
      </c>
      <c r="F219" s="211" t="str">
        <f>IFERROR(VLOOKUP($C219,'PORTIFÓLIO'!C:V,4,0),"")</f>
        <v/>
      </c>
      <c r="G219" s="215" t="str">
        <f>IFERROR(VLOOKUP($C219,'PORTIFÓLIO'!C:V,5,0),"")</f>
        <v/>
      </c>
      <c r="H219" s="254" t="str">
        <f t="array" ref="H219">IFERROR(INDEX('PORTIFÓLIO'!$H$4:$H$433,MATCH($C219,'PORTIFÓLIO'!$C$4:$C$433,0)),"")</f>
        <v/>
      </c>
      <c r="I219" s="256"/>
      <c r="J219" s="218">
        <f t="shared" si="24"/>
        <v>0</v>
      </c>
      <c r="K219" s="219" t="str">
        <f>IFERROR(I219* VLOOKUP($C219,'PORTIFÓLIO'!C:V,10,0),"")</f>
        <v/>
      </c>
      <c r="L219" s="219" t="str">
        <f>IFERROR(J219* VLOOKUP($C219,'PORTIFÓLIO'!C:V,10,0),"")</f>
        <v/>
      </c>
      <c r="M219" s="220"/>
      <c r="N219" s="220"/>
      <c r="O219" s="220"/>
      <c r="P219" s="220"/>
      <c r="Q219" s="220"/>
      <c r="R219" s="220"/>
      <c r="S219" s="220"/>
      <c r="T219" s="220"/>
      <c r="U219" s="220"/>
      <c r="V219" s="220"/>
      <c r="W219" s="220"/>
    </row>
    <row r="220" ht="15.75" customHeight="1" outlineLevel="1">
      <c r="A220" s="211"/>
      <c r="B220" s="227"/>
      <c r="C220" s="211"/>
      <c r="D220" s="214" t="str">
        <f>IFERROR(VLOOKUP($C220,'PORTIFÓLIO'!C:V,2,0),"")</f>
        <v/>
      </c>
      <c r="E220" s="211" t="str">
        <f>IFERROR(VLOOKUP($C220,'PORTIFÓLIO'!C:V,3,0),"")</f>
        <v/>
      </c>
      <c r="F220" s="211" t="str">
        <f>IFERROR(VLOOKUP($C220,'PORTIFÓLIO'!C:V,4,0),"")</f>
        <v/>
      </c>
      <c r="G220" s="215" t="str">
        <f>IFERROR(VLOOKUP($C220,'PORTIFÓLIO'!C:V,5,0),"")</f>
        <v/>
      </c>
      <c r="H220" s="254" t="str">
        <f t="array" ref="H220">IFERROR(INDEX('PORTIFÓLIO'!$H$4:$H$433,MATCH($C220,'PORTIFÓLIO'!$C$4:$C$433,0)),"")</f>
        <v/>
      </c>
      <c r="I220" s="256"/>
      <c r="J220" s="218">
        <f t="shared" si="24"/>
        <v>0</v>
      </c>
      <c r="K220" s="219" t="str">
        <f>IFERROR(I220* VLOOKUP($C220,'PORTIFÓLIO'!C:V,10,0),"")</f>
        <v/>
      </c>
      <c r="L220" s="219" t="str">
        <f>IFERROR(J220* VLOOKUP($C220,'PORTIFÓLIO'!C:V,10,0),"")</f>
        <v/>
      </c>
      <c r="M220" s="220"/>
      <c r="N220" s="220"/>
      <c r="O220" s="220"/>
      <c r="P220" s="220"/>
      <c r="Q220" s="220"/>
      <c r="R220" s="220"/>
      <c r="S220" s="220"/>
      <c r="T220" s="220"/>
      <c r="U220" s="220"/>
      <c r="V220" s="220"/>
      <c r="W220" s="220"/>
    </row>
    <row r="221" ht="15.75" customHeight="1" outlineLevel="1">
      <c r="A221" s="211"/>
      <c r="B221" s="227"/>
      <c r="C221" s="211"/>
      <c r="D221" s="214" t="str">
        <f>IFERROR(VLOOKUP($C221,'PORTIFÓLIO'!C:V,2,0),"")</f>
        <v/>
      </c>
      <c r="E221" s="211" t="str">
        <f>IFERROR(VLOOKUP($C221,'PORTIFÓLIO'!C:V,3,0),"")</f>
        <v/>
      </c>
      <c r="F221" s="211" t="str">
        <f>IFERROR(VLOOKUP($C221,'PORTIFÓLIO'!C:V,4,0),"")</f>
        <v/>
      </c>
      <c r="G221" s="215" t="str">
        <f>IFERROR(VLOOKUP($C221,'PORTIFÓLIO'!C:V,5,0),"")</f>
        <v/>
      </c>
      <c r="H221" s="254" t="str">
        <f t="array" ref="H221">IFERROR(INDEX('PORTIFÓLIO'!$H$4:$H$433,MATCH($C221,'PORTIFÓLIO'!$C$4:$C$433,0)),"")</f>
        <v/>
      </c>
      <c r="I221" s="256"/>
      <c r="J221" s="218">
        <f t="shared" si="24"/>
        <v>0</v>
      </c>
      <c r="K221" s="219" t="str">
        <f>IFERROR(I221* VLOOKUP($C221,'PORTIFÓLIO'!C:V,10,0),"")</f>
        <v/>
      </c>
      <c r="L221" s="219" t="str">
        <f>IFERROR(J221* VLOOKUP($C221,'PORTIFÓLIO'!C:V,10,0),"")</f>
        <v/>
      </c>
      <c r="M221" s="220"/>
      <c r="N221" s="220"/>
      <c r="O221" s="220"/>
      <c r="P221" s="220"/>
      <c r="Q221" s="220"/>
      <c r="R221" s="220"/>
      <c r="S221" s="220"/>
      <c r="T221" s="220"/>
      <c r="U221" s="220"/>
      <c r="V221" s="220"/>
      <c r="W221" s="220"/>
    </row>
    <row r="222" ht="15.75" customHeight="1" outlineLevel="1">
      <c r="A222" s="211"/>
      <c r="B222" s="227"/>
      <c r="C222" s="211"/>
      <c r="D222" s="214" t="str">
        <f>IFERROR(VLOOKUP($C222,'PORTIFÓLIO'!C:V,2,0),"")</f>
        <v/>
      </c>
      <c r="E222" s="211" t="str">
        <f>IFERROR(VLOOKUP($C222,'PORTIFÓLIO'!C:V,3,0),"")</f>
        <v/>
      </c>
      <c r="F222" s="211" t="str">
        <f>IFERROR(VLOOKUP($C222,'PORTIFÓLIO'!C:V,4,0),"")</f>
        <v/>
      </c>
      <c r="G222" s="215" t="str">
        <f>IFERROR(VLOOKUP($C222,'PORTIFÓLIO'!C:V,5,0),"")</f>
        <v/>
      </c>
      <c r="H222" s="254" t="str">
        <f t="array" ref="H222">IFERROR(INDEX('PORTIFÓLIO'!$H$4:$H$433,MATCH($C222,'PORTIFÓLIO'!$C$4:$C$433,0)),"")</f>
        <v/>
      </c>
      <c r="I222" s="256"/>
      <c r="J222" s="218">
        <f t="shared" si="24"/>
        <v>0</v>
      </c>
      <c r="K222" s="219" t="str">
        <f>IFERROR(I222* VLOOKUP($C222,'PORTIFÓLIO'!C:V,10,0),"")</f>
        <v/>
      </c>
      <c r="L222" s="219" t="str">
        <f>IFERROR(J222* VLOOKUP($C222,'PORTIFÓLIO'!C:V,10,0),"")</f>
        <v/>
      </c>
      <c r="M222" s="220"/>
      <c r="N222" s="220"/>
      <c r="O222" s="220"/>
      <c r="P222" s="220"/>
      <c r="Q222" s="220"/>
      <c r="R222" s="220"/>
      <c r="S222" s="220"/>
      <c r="T222" s="220"/>
      <c r="U222" s="220"/>
      <c r="V222" s="220"/>
      <c r="W222" s="220"/>
    </row>
    <row r="223" ht="15.75" customHeight="1" outlineLevel="1">
      <c r="A223" s="211"/>
      <c r="B223" s="227"/>
      <c r="C223" s="211"/>
      <c r="D223" s="214" t="str">
        <f>IFERROR(VLOOKUP($C223,'PORTIFÓLIO'!C:V,2,0),"")</f>
        <v/>
      </c>
      <c r="E223" s="211" t="str">
        <f>IFERROR(VLOOKUP($C223,'PORTIFÓLIO'!C:V,3,0),"")</f>
        <v/>
      </c>
      <c r="F223" s="211" t="str">
        <f>IFERROR(VLOOKUP($C223,'PORTIFÓLIO'!C:V,4,0),"")</f>
        <v/>
      </c>
      <c r="G223" s="215" t="str">
        <f>IFERROR(VLOOKUP($C223,'PORTIFÓLIO'!C:V,5,0),"")</f>
        <v/>
      </c>
      <c r="H223" s="254" t="str">
        <f t="array" ref="H223">IFERROR(INDEX('PORTIFÓLIO'!$H$4:$H$433,MATCH($C223,'PORTIFÓLIO'!$C$4:$C$433,0)),"")</f>
        <v/>
      </c>
      <c r="I223" s="256"/>
      <c r="J223" s="218">
        <f t="shared" si="24"/>
        <v>0</v>
      </c>
      <c r="K223" s="219" t="str">
        <f>IFERROR(I223* VLOOKUP($C223,'PORTIFÓLIO'!C:V,10,0),"")</f>
        <v/>
      </c>
      <c r="L223" s="219" t="str">
        <f>IFERROR(J223* VLOOKUP($C223,'PORTIFÓLIO'!C:V,10,0),"")</f>
        <v/>
      </c>
      <c r="M223" s="220"/>
      <c r="N223" s="220"/>
      <c r="O223" s="220"/>
      <c r="P223" s="220"/>
      <c r="Q223" s="220"/>
      <c r="R223" s="220"/>
      <c r="S223" s="220"/>
      <c r="T223" s="220"/>
      <c r="U223" s="220"/>
      <c r="V223" s="220"/>
      <c r="W223" s="220"/>
    </row>
    <row r="224" ht="15.75" customHeight="1" outlineLevel="1">
      <c r="A224" s="211"/>
      <c r="B224" s="227"/>
      <c r="C224" s="211"/>
      <c r="D224" s="214" t="str">
        <f>IFERROR(VLOOKUP($C224,'PORTIFÓLIO'!C:V,2,0),"")</f>
        <v/>
      </c>
      <c r="E224" s="211" t="str">
        <f>IFERROR(VLOOKUP($C224,'PORTIFÓLIO'!C:V,3,0),"")</f>
        <v/>
      </c>
      <c r="F224" s="211" t="str">
        <f>IFERROR(VLOOKUP($C224,'PORTIFÓLIO'!C:V,4,0),"")</f>
        <v/>
      </c>
      <c r="G224" s="215" t="str">
        <f>IFERROR(VLOOKUP($C224,'PORTIFÓLIO'!C:V,5,0),"")</f>
        <v/>
      </c>
      <c r="H224" s="254" t="str">
        <f t="array" ref="H224">IFERROR(INDEX('PORTIFÓLIO'!$H$4:$H$433,MATCH($C224,'PORTIFÓLIO'!$C$4:$C$433,0)),"")</f>
        <v/>
      </c>
      <c r="I224" s="256"/>
      <c r="J224" s="218">
        <f t="shared" si="24"/>
        <v>0</v>
      </c>
      <c r="K224" s="219" t="str">
        <f>IFERROR(I224* VLOOKUP($C224,'PORTIFÓLIO'!C:V,10,0),"")</f>
        <v/>
      </c>
      <c r="L224" s="219" t="str">
        <f>IFERROR(J224* VLOOKUP($C224,'PORTIFÓLIO'!C:V,10,0),"")</f>
        <v/>
      </c>
      <c r="M224" s="220"/>
      <c r="N224" s="220"/>
      <c r="O224" s="220"/>
      <c r="P224" s="220"/>
      <c r="Q224" s="220"/>
      <c r="R224" s="220"/>
      <c r="S224" s="220"/>
      <c r="T224" s="220"/>
      <c r="U224" s="220"/>
      <c r="V224" s="220"/>
      <c r="W224" s="220"/>
    </row>
    <row r="225" ht="15.75" customHeight="1">
      <c r="A225" s="227"/>
      <c r="B225" s="227"/>
      <c r="C225" s="227"/>
      <c r="D225" s="227"/>
      <c r="E225" s="227"/>
      <c r="F225" s="227"/>
      <c r="G225" s="215"/>
      <c r="H225" s="278" t="str">
        <f t="array" ref="H225">IFERROR(INDEX('PORTIFÓLIO'!$H$4:$H$433,MATCH($C225,'PORTIFÓLIO'!$C$4:$C$433,0)),"")</f>
        <v/>
      </c>
      <c r="I225" s="227"/>
      <c r="J225" s="227"/>
      <c r="K225" s="284">
        <f t="shared" ref="K225:L225" si="25">SUBTOTAL(9,K10:K200)</f>
        <v>1833.152189</v>
      </c>
      <c r="L225" s="284">
        <f t="shared" si="25"/>
        <v>366630.4377</v>
      </c>
      <c r="M225" s="220"/>
      <c r="N225" s="220"/>
      <c r="O225" s="220"/>
      <c r="P225" s="220"/>
      <c r="Q225" s="220"/>
      <c r="R225" s="220"/>
      <c r="S225" s="220"/>
      <c r="T225" s="220"/>
      <c r="U225" s="220"/>
      <c r="V225" s="220"/>
      <c r="W225" s="220"/>
    </row>
    <row r="226" ht="15.75" customHeight="1">
      <c r="A226" s="285"/>
      <c r="B226" s="285"/>
      <c r="C226" s="285"/>
      <c r="D226" s="285"/>
      <c r="E226" s="285"/>
      <c r="F226" s="285"/>
      <c r="G226" s="286"/>
      <c r="H226" s="286"/>
      <c r="I226" s="285"/>
      <c r="J226" s="285"/>
      <c r="K226" s="285"/>
      <c r="L226" s="285"/>
      <c r="M226" s="285"/>
      <c r="N226" s="285"/>
      <c r="O226" s="285"/>
      <c r="P226" s="285"/>
      <c r="Q226" s="285"/>
      <c r="R226" s="285"/>
      <c r="S226" s="285"/>
      <c r="T226" s="285"/>
      <c r="U226" s="285"/>
      <c r="V226" s="285"/>
      <c r="W226" s="285"/>
    </row>
    <row r="227" ht="15.75" customHeight="1">
      <c r="A227" s="260" t="s">
        <v>1203</v>
      </c>
      <c r="B227" s="261" t="str">
        <f>'ÁREA PLANTIO'!B11</f>
        <v>P200</v>
      </c>
      <c r="C227" s="262" t="s">
        <v>1166</v>
      </c>
      <c r="D227" s="263">
        <f>$K$452</f>
        <v>214.627528</v>
      </c>
      <c r="E227" s="264"/>
      <c r="F227" s="265" t="s">
        <v>1167</v>
      </c>
      <c r="G227" s="266"/>
      <c r="H227" s="287" t="str">
        <f t="array" ref="H227">IFERROR(INDEX('PORTIFÓLIO'!$H$4:$H$433,MATCH($C227,'PORTIFÓLIO'!$C$4:$C$433,0)),"")</f>
        <v/>
      </c>
      <c r="I227" s="267"/>
      <c r="J227" s="267"/>
      <c r="K227" s="266"/>
      <c r="L227" s="220"/>
      <c r="M227" s="220"/>
      <c r="N227" s="220"/>
      <c r="O227" s="220"/>
      <c r="P227" s="220"/>
      <c r="Q227" s="220"/>
      <c r="R227" s="220"/>
      <c r="S227" s="220"/>
      <c r="T227" s="220"/>
      <c r="U227" s="220"/>
      <c r="V227" s="220"/>
      <c r="W227" s="220"/>
    </row>
    <row r="228" ht="15.75" customHeight="1">
      <c r="A228" s="260" t="s">
        <v>1168</v>
      </c>
      <c r="B228" s="268">
        <f>'ÁREA PLANTIO'!E11</f>
        <v>200</v>
      </c>
      <c r="C228" s="269" t="s">
        <v>1169</v>
      </c>
      <c r="D228" s="270">
        <f>'ÁREA PLANTIO'!I11</f>
        <v>200</v>
      </c>
      <c r="E228" s="264"/>
      <c r="F228" s="264"/>
      <c r="G228" s="266"/>
      <c r="H228" s="287" t="str">
        <f t="array" ref="H228">IFERROR(INDEX('PORTIFÓLIO'!$H$4:$H$433,MATCH($C228,'PORTIFÓLIO'!$C$4:$C$433,0)),"")</f>
        <v/>
      </c>
      <c r="I228" s="267"/>
      <c r="J228" s="267"/>
      <c r="K228" s="266"/>
      <c r="L228" s="220"/>
      <c r="M228" s="220"/>
      <c r="N228" s="220"/>
      <c r="O228" s="220"/>
      <c r="P228" s="220"/>
      <c r="Q228" s="220"/>
      <c r="R228" s="220"/>
      <c r="S228" s="220"/>
      <c r="T228" s="220"/>
      <c r="U228" s="220"/>
      <c r="V228" s="220"/>
      <c r="W228" s="220"/>
    </row>
    <row r="229" ht="15.75" customHeight="1">
      <c r="A229" s="260" t="s">
        <v>1170</v>
      </c>
      <c r="B229" s="267" t="str">
        <f>'ÁREA PLANTIO'!H11</f>
        <v>FA-MILHO SEMENTE-27/27</v>
      </c>
      <c r="C229" s="269" t="s">
        <v>1171</v>
      </c>
      <c r="D229" s="271">
        <f>D227/D228</f>
        <v>1.07313764</v>
      </c>
      <c r="E229" s="264"/>
      <c r="F229" s="264"/>
      <c r="G229" s="266"/>
      <c r="H229" s="287" t="str">
        <f t="array" ref="H229">IFERROR(INDEX('PORTIFÓLIO'!$H$4:$H$433,MATCH($C229,'PORTIFÓLIO'!$C$4:$C$433,0)),"")</f>
        <v/>
      </c>
      <c r="I229" s="267"/>
      <c r="J229" s="267"/>
      <c r="K229" s="266"/>
      <c r="L229" s="220"/>
      <c r="M229" s="220"/>
      <c r="N229" s="220"/>
      <c r="O229" s="220"/>
      <c r="P229" s="220"/>
      <c r="Q229" s="220"/>
      <c r="R229" s="220"/>
      <c r="S229" s="220"/>
      <c r="T229" s="220"/>
      <c r="U229" s="220"/>
      <c r="V229" s="220"/>
      <c r="W229" s="220"/>
    </row>
    <row r="230" ht="15.75" customHeight="1">
      <c r="A230" s="272" t="s">
        <v>1172</v>
      </c>
      <c r="B230" s="273">
        <v>45606.0</v>
      </c>
      <c r="C230" s="274"/>
      <c r="D230" s="275"/>
      <c r="E230" s="276"/>
      <c r="F230" s="264"/>
      <c r="G230" s="266"/>
      <c r="H230" s="287" t="str">
        <f t="array" ref="H230">IFERROR(INDEX('PORTIFÓLIO'!$H$4:$H$433,MATCH($C230,'PORTIFÓLIO'!$C$4:$C$433,0)),"")</f>
        <v/>
      </c>
      <c r="I230" s="267"/>
      <c r="J230" s="267"/>
      <c r="K230" s="266"/>
      <c r="L230" s="220"/>
      <c r="M230" s="220"/>
      <c r="N230" s="220"/>
      <c r="O230" s="220"/>
      <c r="P230" s="220"/>
      <c r="Q230" s="220"/>
      <c r="R230" s="220"/>
      <c r="S230" s="220"/>
      <c r="T230" s="220"/>
      <c r="U230" s="220"/>
      <c r="V230" s="220"/>
      <c r="W230" s="220"/>
    </row>
    <row r="231" ht="15.75" customHeight="1">
      <c r="E231" s="277"/>
      <c r="F231" s="264"/>
      <c r="G231" s="266"/>
      <c r="H231" s="287" t="str">
        <f t="array" ref="H231">IFERROR(INDEX('PORTIFÓLIO'!$H$4:$H$433,MATCH($C231,'PORTIFÓLIO'!$C$4:$C$433,0)),"")</f>
        <v/>
      </c>
      <c r="I231" s="267"/>
      <c r="J231" s="267"/>
      <c r="K231" s="266"/>
      <c r="L231" s="220"/>
      <c r="M231" s="220"/>
      <c r="N231" s="220"/>
      <c r="O231" s="220"/>
      <c r="P231" s="220"/>
      <c r="Q231" s="220"/>
      <c r="R231" s="220"/>
      <c r="S231" s="220"/>
      <c r="T231" s="220"/>
      <c r="U231" s="220"/>
      <c r="V231" s="220"/>
      <c r="W231" s="220"/>
    </row>
    <row r="232" ht="15.75" customHeight="1">
      <c r="A232" s="260"/>
      <c r="B232" s="267"/>
      <c r="C232" s="264"/>
      <c r="D232" s="264"/>
      <c r="E232" s="264"/>
      <c r="F232" s="264"/>
      <c r="G232" s="266"/>
      <c r="H232" s="287" t="str">
        <f t="array" ref="H232">IFERROR(INDEX('PORTIFÓLIO'!$H$4:$H$433,MATCH($C232,'PORTIFÓLIO'!$C$4:$C$433,0)),"")</f>
        <v/>
      </c>
      <c r="I232" s="267"/>
      <c r="J232" s="267"/>
      <c r="K232" s="266"/>
      <c r="L232" s="220"/>
      <c r="M232" s="220"/>
      <c r="N232" s="220"/>
      <c r="O232" s="220"/>
      <c r="P232" s="220"/>
      <c r="Q232" s="220"/>
      <c r="R232" s="220"/>
      <c r="S232" s="220"/>
      <c r="T232" s="220"/>
      <c r="U232" s="220"/>
      <c r="V232" s="220"/>
      <c r="W232" s="220"/>
    </row>
    <row r="233" ht="15.75" customHeight="1">
      <c r="A233" s="267"/>
      <c r="B233" s="267"/>
      <c r="C233" s="264"/>
      <c r="D233" s="264"/>
      <c r="E233" s="264"/>
      <c r="F233" s="264"/>
      <c r="G233" s="266"/>
      <c r="H233" s="287" t="str">
        <f t="array" ref="H233">IFERROR(INDEX('PORTIFÓLIO'!$H$4:$H$433,MATCH($C233,'PORTIFÓLIO'!$C$4:$C$433,0)),"")</f>
        <v/>
      </c>
      <c r="I233" s="267"/>
      <c r="J233" s="267"/>
      <c r="K233" s="266"/>
      <c r="L233" s="220"/>
      <c r="M233" s="220"/>
      <c r="N233" s="220"/>
      <c r="O233" s="220"/>
      <c r="P233" s="220"/>
      <c r="Q233" s="220"/>
      <c r="R233" s="220"/>
      <c r="S233" s="220"/>
      <c r="T233" s="220"/>
      <c r="U233" s="220"/>
      <c r="V233" s="220"/>
      <c r="W233" s="220"/>
    </row>
    <row r="234" ht="15.75" customHeight="1">
      <c r="A234" s="267"/>
      <c r="B234" s="267"/>
      <c r="C234" s="267"/>
      <c r="D234" s="267"/>
      <c r="E234" s="264"/>
      <c r="F234" s="264"/>
      <c r="G234" s="266"/>
      <c r="H234" s="287" t="str">
        <f t="array" ref="H234">IFERROR(INDEX('PORTIFÓLIO'!$H$4:$H$433,MATCH($C234,'PORTIFÓLIO'!$C$4:$C$433,0)),"")</f>
        <v/>
      </c>
      <c r="I234" s="267"/>
      <c r="J234" s="267"/>
      <c r="K234" s="266"/>
      <c r="L234" s="220"/>
      <c r="M234" s="220"/>
      <c r="N234" s="220"/>
      <c r="O234" s="220"/>
      <c r="P234" s="220"/>
      <c r="Q234" s="220"/>
      <c r="R234" s="220"/>
      <c r="S234" s="220"/>
      <c r="T234" s="220"/>
      <c r="U234" s="220"/>
      <c r="V234" s="220"/>
      <c r="W234" s="220"/>
    </row>
    <row r="235" ht="15.75" customHeight="1">
      <c r="A235" s="267"/>
      <c r="B235" s="267"/>
      <c r="C235" s="267"/>
      <c r="D235" s="267"/>
      <c r="E235" s="267"/>
      <c r="F235" s="267"/>
      <c r="G235" s="266"/>
      <c r="H235" s="287"/>
      <c r="I235" s="287"/>
      <c r="J235" s="288"/>
      <c r="K235" s="289"/>
      <c r="L235" s="290"/>
      <c r="M235" s="220"/>
      <c r="N235" s="220"/>
      <c r="O235" s="220"/>
      <c r="P235" s="220"/>
      <c r="Q235" s="220"/>
      <c r="R235" s="220"/>
      <c r="S235" s="220"/>
      <c r="T235" s="220"/>
      <c r="U235" s="220"/>
      <c r="V235" s="220"/>
      <c r="W235" s="220"/>
    </row>
    <row r="236" ht="15.75" customHeight="1">
      <c r="A236" s="211" t="s">
        <v>1173</v>
      </c>
      <c r="B236" s="213" t="s">
        <v>1174</v>
      </c>
      <c r="C236" s="213" t="s">
        <v>1175</v>
      </c>
      <c r="D236" s="211" t="s">
        <v>1176</v>
      </c>
      <c r="E236" s="211" t="s">
        <v>1177</v>
      </c>
      <c r="F236" s="211" t="s">
        <v>1178</v>
      </c>
      <c r="G236" s="291" t="s">
        <v>1180</v>
      </c>
      <c r="H236" s="278" t="s">
        <v>1179</v>
      </c>
      <c r="I236" s="278" t="s">
        <v>1181</v>
      </c>
      <c r="J236" s="279" t="s">
        <v>1134</v>
      </c>
      <c r="K236" s="280" t="s">
        <v>1182</v>
      </c>
      <c r="L236" s="281" t="s">
        <v>339</v>
      </c>
      <c r="M236" s="220"/>
      <c r="N236" s="220"/>
      <c r="O236" s="220"/>
      <c r="P236" s="220"/>
      <c r="Q236" s="220"/>
      <c r="R236" s="220"/>
      <c r="S236" s="220"/>
      <c r="T236" s="220"/>
      <c r="U236" s="220"/>
      <c r="V236" s="220"/>
      <c r="W236" s="220"/>
    </row>
    <row r="237" ht="15.75" customHeight="1">
      <c r="A237" s="231" t="s">
        <v>1183</v>
      </c>
      <c r="B237" s="230"/>
      <c r="C237" s="231"/>
      <c r="D237" s="232"/>
      <c r="E237" s="231"/>
      <c r="F237" s="231"/>
      <c r="G237" s="233"/>
      <c r="H237" s="233"/>
      <c r="I237" s="258"/>
      <c r="J237" s="236"/>
      <c r="K237" s="237">
        <f t="shared" ref="K237:L237" si="26">SUBTOTAL(9,K238:K251)</f>
        <v>214.627528</v>
      </c>
      <c r="L237" s="237">
        <f t="shared" si="26"/>
        <v>42925.5056</v>
      </c>
      <c r="M237" s="220"/>
      <c r="N237" s="220"/>
      <c r="O237" s="220"/>
      <c r="P237" s="220"/>
      <c r="Q237" s="220"/>
      <c r="R237" s="220"/>
      <c r="S237" s="220"/>
      <c r="T237" s="220"/>
      <c r="U237" s="220"/>
      <c r="V237" s="220"/>
      <c r="W237" s="220"/>
    </row>
    <row r="238" ht="15.75" customHeight="1" outlineLevel="1">
      <c r="A238" s="211"/>
      <c r="B238" s="212" t="s">
        <v>1</v>
      </c>
      <c r="C238" s="213" t="s">
        <v>637</v>
      </c>
      <c r="D238" s="214" t="str">
        <f>IFERROR(VLOOKUP($C238,'PORTIFÓLIO'!C:V,2,0),"")</f>
        <v>GLIFOSATO-SAL DE AMÔNIO</v>
      </c>
      <c r="E238" s="211">
        <f>IFERROR(VLOOKUP($C238,'PORTIFÓLIO'!C:V,3,0),"")</f>
        <v>720</v>
      </c>
      <c r="F238" s="211" t="str">
        <f>IFERROR(VLOOKUP($C238,'PORTIFÓLIO'!C:V,4,0),"")</f>
        <v>L</v>
      </c>
      <c r="G238" s="225" t="str">
        <f>IFERROR(VLOOKUP($C238,'PORTIFÓLIO'!C:V,5,0),"")</f>
        <v>📄 Ver bula</v>
      </c>
      <c r="H238" s="254">
        <f t="array" ref="H238">IFERROR(INDEX('PORTIFÓLIO'!$H$4:$H$433,MATCH($C238,'PORTIFÓLIO'!$C$4:$C$433,0)),"")</f>
        <v>2</v>
      </c>
      <c r="I238" s="255">
        <v>2.0</v>
      </c>
      <c r="J238" s="218">
        <f t="shared" ref="J238:J251" si="27">I238*$B$2</f>
        <v>400</v>
      </c>
      <c r="K238" s="219">
        <f t="array" ref="K238">IFERROR(I238*INDEX('PORTIFÓLIO'!$S$4:$S$433,MATCH($C238,'PORTIFÓLIO'!$C$4:$C$433,0)),"")</f>
        <v>49.16</v>
      </c>
      <c r="L238" s="219">
        <f t="array" ref="L238">IFERROR(J238*INDEX('PORTIFÓLIO'!$S$4:$S$433,MATCH($C238,'PORTIFÓLIO'!$C$4:$C$433,0)),"")</f>
        <v>9832</v>
      </c>
      <c r="M238" s="220"/>
      <c r="N238" s="220"/>
      <c r="O238" s="220"/>
      <c r="P238" s="220"/>
      <c r="Q238" s="220"/>
      <c r="R238" s="220"/>
      <c r="S238" s="220"/>
      <c r="T238" s="220"/>
      <c r="U238" s="220"/>
      <c r="V238" s="220"/>
      <c r="W238" s="220"/>
    </row>
    <row r="239" ht="15.75" customHeight="1" outlineLevel="1">
      <c r="A239" s="211"/>
      <c r="B239" s="212" t="s">
        <v>1</v>
      </c>
      <c r="C239" s="213" t="s">
        <v>706</v>
      </c>
      <c r="D239" s="214" t="str">
        <f>IFERROR(VLOOKUP($C239,'PORTIFÓLIO'!C:V,2,0),"")</f>
        <v>GLUFOSINATO - SAL DE AMONIO</v>
      </c>
      <c r="E239" s="211">
        <f>IFERROR(VLOOKUP($C239,'PORTIFÓLIO'!C:V,3,0),"")</f>
        <v>880</v>
      </c>
      <c r="F239" s="211" t="str">
        <f>IFERROR(VLOOKUP($C239,'PORTIFÓLIO'!C:V,4,0),"")</f>
        <v>L</v>
      </c>
      <c r="G239" s="225" t="str">
        <f>IFERROR(VLOOKUP($C239,'PORTIFÓLIO'!C:V,5,0),"")</f>
        <v>📄 Ver bula</v>
      </c>
      <c r="H239" s="254">
        <f t="array" ref="H239">IFERROR(INDEX('PORTIFÓLIO'!$H$4:$H$433,MATCH($C239,'PORTIFÓLIO'!$C$4:$C$433,0)),"")</f>
        <v>0.5</v>
      </c>
      <c r="I239" s="255">
        <v>0.8</v>
      </c>
      <c r="J239" s="218">
        <f t="shared" si="27"/>
        <v>160</v>
      </c>
      <c r="K239" s="219">
        <f t="array" ref="K239">IFERROR(I239*INDEX('PORTIFÓLIO'!$S$4:$S$433,MATCH($C239,'PORTIFÓLIO'!$C$4:$C$433,0)),"")</f>
        <v>37.597568</v>
      </c>
      <c r="L239" s="219">
        <f t="array" ref="L239">IFERROR(J239*INDEX('PORTIFÓLIO'!$S$4:$S$433,MATCH($C239,'PORTIFÓLIO'!$C$4:$C$433,0)),"")</f>
        <v>7519.5136</v>
      </c>
      <c r="M239" s="220"/>
      <c r="N239" s="220"/>
      <c r="O239" s="220"/>
      <c r="P239" s="220"/>
      <c r="Q239" s="220"/>
      <c r="R239" s="220"/>
      <c r="S239" s="220"/>
      <c r="T239" s="220"/>
      <c r="U239" s="220"/>
      <c r="V239" s="220"/>
      <c r="W239" s="220"/>
    </row>
    <row r="240" ht="15.75" customHeight="1" outlineLevel="1">
      <c r="A240" s="211"/>
      <c r="B240" s="212" t="s">
        <v>6</v>
      </c>
      <c r="C240" s="213" t="s">
        <v>354</v>
      </c>
      <c r="D240" s="214" t="str">
        <f>IFERROR(VLOOKUP($C240,'PORTIFÓLIO'!C:V,2,0),"")</f>
        <v>OLEO MINERAL</v>
      </c>
      <c r="E240" s="211">
        <f>IFERROR(VLOOKUP($C240,'PORTIFÓLIO'!C:V,3,0),"")</f>
        <v>761</v>
      </c>
      <c r="F240" s="211" t="str">
        <f>IFERROR(VLOOKUP($C240,'PORTIFÓLIO'!C:V,4,0),"")</f>
        <v>L</v>
      </c>
      <c r="G240" s="225" t="str">
        <f>IFERROR(VLOOKUP($C240,'PORTIFÓLIO'!C:V,5,0),"")</f>
        <v>📄 Ver bula</v>
      </c>
      <c r="H240" s="254">
        <f t="array" ref="H240">IFERROR(INDEX('PORTIFÓLIO'!$H$4:$H$433,MATCH($C240,'PORTIFÓLIO'!$C$4:$C$433,0)),"")</f>
        <v>0.2</v>
      </c>
      <c r="I240" s="255">
        <v>0.2</v>
      </c>
      <c r="J240" s="218">
        <f t="shared" si="27"/>
        <v>40</v>
      </c>
      <c r="K240" s="219">
        <f t="array" ref="K240">IFERROR(I240*INDEX('PORTIFÓLIO'!$S$4:$S$433,MATCH($C240,'PORTIFÓLIO'!$C$4:$C$433,0)),"")</f>
        <v>3.206</v>
      </c>
      <c r="L240" s="219">
        <f t="array" ref="L240">IFERROR(J240*INDEX('PORTIFÓLIO'!$S$4:$S$433,MATCH($C240,'PORTIFÓLIO'!$C$4:$C$433,0)),"")</f>
        <v>641.2</v>
      </c>
      <c r="M240" s="220"/>
      <c r="N240" s="220"/>
      <c r="O240" s="220"/>
      <c r="P240" s="220"/>
      <c r="Q240" s="220"/>
      <c r="R240" s="220"/>
      <c r="S240" s="220"/>
      <c r="T240" s="220"/>
      <c r="U240" s="220"/>
      <c r="V240" s="220"/>
      <c r="W240" s="220"/>
    </row>
    <row r="241" ht="15.75" customHeight="1" outlineLevel="1">
      <c r="A241" s="211"/>
      <c r="B241" s="212" t="s">
        <v>2</v>
      </c>
      <c r="C241" s="213" t="s">
        <v>752</v>
      </c>
      <c r="D241" s="214" t="str">
        <f>IFERROR(VLOOKUP($C241,'PORTIFÓLIO'!C:V,2,0),"")</f>
        <v>ACEFATO</v>
      </c>
      <c r="E241" s="211">
        <f>IFERROR(VLOOKUP($C241,'PORTIFÓLIO'!C:V,3,0),"")</f>
        <v>970</v>
      </c>
      <c r="F241" s="211" t="str">
        <f>IFERROR(VLOOKUP($C241,'PORTIFÓLIO'!C:V,4,0),"")</f>
        <v>L</v>
      </c>
      <c r="G241" s="225" t="str">
        <f>IFERROR(VLOOKUP($C241,'PORTIFÓLIO'!C:V,5,0),"")</f>
        <v>📄 Ver bula</v>
      </c>
      <c r="H241" s="254">
        <f t="array" ref="H241">IFERROR(INDEX('PORTIFÓLIO'!$H$4:$H$433,MATCH($C241,'PORTIFÓLIO'!$C$4:$C$433,0)),"")</f>
        <v>0.6</v>
      </c>
      <c r="I241" s="255">
        <v>1.0</v>
      </c>
      <c r="J241" s="218">
        <f t="shared" si="27"/>
        <v>200</v>
      </c>
      <c r="K241" s="219">
        <f t="array" ref="K241">IFERROR(I241*INDEX('PORTIFÓLIO'!$S$4:$S$433,MATCH($C241,'PORTIFÓLIO'!$C$4:$C$433,0)),"")</f>
        <v>37.11</v>
      </c>
      <c r="L241" s="219">
        <f t="array" ref="L241">IFERROR(J241*INDEX('PORTIFÓLIO'!$S$4:$S$433,MATCH($C241,'PORTIFÓLIO'!$C$4:$C$433,0)),"")</f>
        <v>7422</v>
      </c>
      <c r="M241" s="220"/>
      <c r="N241" s="220"/>
      <c r="O241" s="220"/>
      <c r="P241" s="220"/>
      <c r="Q241" s="220"/>
      <c r="R241" s="220"/>
      <c r="S241" s="220"/>
      <c r="T241" s="220"/>
      <c r="U241" s="220"/>
      <c r="V241" s="220"/>
      <c r="W241" s="220"/>
    </row>
    <row r="242" ht="15.75" customHeight="1" outlineLevel="1">
      <c r="A242" s="211"/>
      <c r="B242" s="212" t="s">
        <v>1</v>
      </c>
      <c r="C242" s="213" t="s">
        <v>728</v>
      </c>
      <c r="D242" s="214" t="str">
        <f>IFERROR(VLOOKUP($C242,'PORTIFÓLIO'!C:V,2,0),"")</f>
        <v>S-METOLACLORO</v>
      </c>
      <c r="E242" s="211">
        <f>IFERROR(VLOOKUP($C242,'PORTIFÓLIO'!C:V,3,0),"")</f>
        <v>960</v>
      </c>
      <c r="F242" s="211" t="str">
        <f>IFERROR(VLOOKUP($C242,'PORTIFÓLIO'!C:V,4,0),"")</f>
        <v>KG</v>
      </c>
      <c r="G242" s="225" t="str">
        <f>IFERROR(VLOOKUP($C242,'PORTIFÓLIO'!C:V,5,0),"")</f>
        <v>📄 Ver bula</v>
      </c>
      <c r="H242" s="254">
        <f t="array" ref="H242">IFERROR(INDEX('PORTIFÓLIO'!$H$4:$H$433,MATCH($C242,'PORTIFÓLIO'!$C$4:$C$433,0)),"")</f>
        <v>2</v>
      </c>
      <c r="I242" s="255">
        <v>1.2</v>
      </c>
      <c r="J242" s="218">
        <f t="shared" si="27"/>
        <v>240</v>
      </c>
      <c r="K242" s="219">
        <f t="array" ref="K242">IFERROR(I242*INDEX('PORTIFÓLIO'!$S$4:$S$433,MATCH($C242,'PORTIFÓLIO'!$C$4:$C$433,0)),"")</f>
        <v>34.95276</v>
      </c>
      <c r="L242" s="219">
        <f t="array" ref="L242">IFERROR(J242*INDEX('PORTIFÓLIO'!$S$4:$S$433,MATCH($C242,'PORTIFÓLIO'!$C$4:$C$433,0)),"")</f>
        <v>6990.552</v>
      </c>
      <c r="M242" s="220"/>
      <c r="N242" s="220"/>
      <c r="O242" s="220"/>
      <c r="P242" s="220"/>
      <c r="Q242" s="220"/>
      <c r="R242" s="220"/>
      <c r="S242" s="220"/>
      <c r="T242" s="220"/>
      <c r="U242" s="220"/>
      <c r="V242" s="220"/>
      <c r="W242" s="220"/>
    </row>
    <row r="243" ht="15.75" customHeight="1" outlineLevel="1">
      <c r="A243" s="211"/>
      <c r="B243" s="212" t="s">
        <v>1</v>
      </c>
      <c r="C243" s="213" t="s">
        <v>736</v>
      </c>
      <c r="D243" s="214" t="str">
        <f>IFERROR(VLOOKUP($C243,'PORTIFÓLIO'!C:V,2,0),"")</f>
        <v>ATRAZINA</v>
      </c>
      <c r="E243" s="211">
        <f>IFERROR(VLOOKUP($C243,'PORTIFÓLIO'!C:V,3,0),"")</f>
        <v>880</v>
      </c>
      <c r="F243" s="211" t="str">
        <f>IFERROR(VLOOKUP($C243,'PORTIFÓLIO'!C:V,4,0),"")</f>
        <v>L</v>
      </c>
      <c r="G243" s="225" t="str">
        <f>IFERROR(VLOOKUP($C243,'PORTIFÓLIO'!C:V,5,0),"")</f>
        <v>📄 Ver bula</v>
      </c>
      <c r="H243" s="254" t="str">
        <f t="array" ref="H243">IFERROR(INDEX('PORTIFÓLIO'!$H$4:$H$433,MATCH($C243,'PORTIFÓLIO'!$C$4:$C$433,0)),"")</f>
        <v/>
      </c>
      <c r="I243" s="255">
        <v>2.0</v>
      </c>
      <c r="J243" s="218">
        <f t="shared" si="27"/>
        <v>400</v>
      </c>
      <c r="K243" s="219">
        <f t="array" ref="K243">IFERROR(I243*INDEX('PORTIFÓLIO'!$S$4:$S$433,MATCH($C243,'PORTIFÓLIO'!$C$4:$C$433,0)),"")</f>
        <v>52.6012</v>
      </c>
      <c r="L243" s="219">
        <f t="array" ref="L243">IFERROR(J243*INDEX('PORTIFÓLIO'!$S$4:$S$433,MATCH($C243,'PORTIFÓLIO'!$C$4:$C$433,0)),"")</f>
        <v>10520.24</v>
      </c>
      <c r="M243" s="220"/>
      <c r="N243" s="220"/>
      <c r="O243" s="220"/>
      <c r="P243" s="220"/>
      <c r="Q243" s="220"/>
      <c r="R243" s="220"/>
      <c r="S243" s="220"/>
      <c r="T243" s="220"/>
      <c r="U243" s="220"/>
      <c r="V243" s="220"/>
      <c r="W243" s="220"/>
    </row>
    <row r="244" ht="15.75" customHeight="1" outlineLevel="1">
      <c r="A244" s="211"/>
      <c r="B244" s="212" t="s">
        <v>7</v>
      </c>
      <c r="C244" s="213" t="s">
        <v>409</v>
      </c>
      <c r="D244" s="214" t="str">
        <f>IFERROR(VLOOKUP($C244,'PORTIFÓLIO'!C:V,2,0),"")</f>
        <v>N 10 P46</v>
      </c>
      <c r="E244" s="211" t="str">
        <f>IFERROR(VLOOKUP($C244,'PORTIFÓLIO'!C:V,3,0),"")</f>
        <v/>
      </c>
      <c r="F244" s="211" t="str">
        <f>IFERROR(VLOOKUP($C244,'PORTIFÓLIO'!C:V,4,0),"")</f>
        <v>Ton</v>
      </c>
      <c r="G244" s="215" t="str">
        <f>IFERROR(VLOOKUP($C244,'PORTIFÓLIO'!C:V,5,0),"")</f>
        <v/>
      </c>
      <c r="H244" s="254" t="str">
        <f t="array" ref="H244">IFERROR(INDEX('PORTIFÓLIO'!$H$4:$H$433,MATCH($C244,'PORTIFÓLIO'!$C$4:$C$433,0)),"")</f>
        <v/>
      </c>
      <c r="I244" s="255">
        <v>0.2</v>
      </c>
      <c r="J244" s="218">
        <f t="shared" si="27"/>
        <v>40</v>
      </c>
      <c r="K244" s="219">
        <f t="array" ref="K244">IFERROR(I244*INDEX('PORTIFÓLIO'!$S$4:$S$433,MATCH($C244,'PORTIFÓLIO'!$C$4:$C$433,0)),"")</f>
        <v>0</v>
      </c>
      <c r="L244" s="219">
        <f t="array" ref="L244">IFERROR(J244*INDEX('PORTIFÓLIO'!$S$4:$S$433,MATCH($C244,'PORTIFÓLIO'!$C$4:$C$433,0)),"")</f>
        <v>0</v>
      </c>
      <c r="M244" s="220"/>
      <c r="N244" s="220"/>
      <c r="O244" s="220"/>
      <c r="P244" s="220"/>
      <c r="Q244" s="220"/>
      <c r="R244" s="220"/>
      <c r="S244" s="220"/>
      <c r="T244" s="220"/>
      <c r="U244" s="220"/>
      <c r="V244" s="220"/>
      <c r="W244" s="220"/>
    </row>
    <row r="245" ht="15.75" customHeight="1" outlineLevel="1">
      <c r="A245" s="211"/>
      <c r="B245" s="212" t="s">
        <v>7</v>
      </c>
      <c r="C245" s="213" t="s">
        <v>405</v>
      </c>
      <c r="D245" s="214" t="str">
        <f>IFERROR(VLOOKUP($C245,'PORTIFÓLIO'!C:V,2,0),"")</f>
        <v>K2O 60%</v>
      </c>
      <c r="E245" s="211" t="str">
        <f>IFERROR(VLOOKUP($C245,'PORTIFÓLIO'!C:V,3,0),"")</f>
        <v/>
      </c>
      <c r="F245" s="211" t="str">
        <f>IFERROR(VLOOKUP($C245,'PORTIFÓLIO'!C:V,4,0),"")</f>
        <v>Ton</v>
      </c>
      <c r="G245" s="215" t="str">
        <f>IFERROR(VLOOKUP($C245,'PORTIFÓLIO'!C:V,5,0),"")</f>
        <v/>
      </c>
      <c r="H245" s="254" t="str">
        <f t="array" ref="H245">IFERROR(INDEX('PORTIFÓLIO'!$H$4:$H$433,MATCH($C245,'PORTIFÓLIO'!$C$4:$C$433,0)),"")</f>
        <v/>
      </c>
      <c r="I245" s="255">
        <v>0.4</v>
      </c>
      <c r="J245" s="218">
        <f t="shared" si="27"/>
        <v>80</v>
      </c>
      <c r="K245" s="219">
        <f t="array" ref="K245">IFERROR(I245*INDEX('PORTIFÓLIO'!$S$4:$S$433,MATCH($C245,'PORTIFÓLIO'!$C$4:$C$433,0)),"")</f>
        <v>0</v>
      </c>
      <c r="L245" s="219">
        <f t="array" ref="L245">IFERROR(J245*INDEX('PORTIFÓLIO'!$S$4:$S$433,MATCH($C245,'PORTIFÓLIO'!$C$4:$C$433,0)),"")</f>
        <v>0</v>
      </c>
      <c r="M245" s="220"/>
      <c r="N245" s="220"/>
      <c r="O245" s="220"/>
      <c r="P245" s="220"/>
      <c r="Q245" s="220"/>
      <c r="R245" s="220"/>
      <c r="S245" s="220"/>
      <c r="T245" s="220"/>
      <c r="U245" s="220"/>
      <c r="V245" s="220"/>
      <c r="W245" s="220"/>
    </row>
    <row r="246" ht="15.75" customHeight="1" outlineLevel="1">
      <c r="A246" s="211"/>
      <c r="B246" s="212" t="s">
        <v>7</v>
      </c>
      <c r="C246" s="213" t="s">
        <v>419</v>
      </c>
      <c r="D246" s="214" t="str">
        <f>IFERROR(VLOOKUP($C246,'PORTIFÓLIO'!C:V,2,0),"")</f>
        <v>N 22</v>
      </c>
      <c r="E246" s="211" t="str">
        <f>IFERROR(VLOOKUP($C246,'PORTIFÓLIO'!C:V,3,0),"")</f>
        <v/>
      </c>
      <c r="F246" s="211" t="str">
        <f>IFERROR(VLOOKUP($C246,'PORTIFÓLIO'!C:V,4,0),"")</f>
        <v>Ton</v>
      </c>
      <c r="G246" s="215" t="str">
        <f>IFERROR(VLOOKUP($C246,'PORTIFÓLIO'!C:V,5,0),"")</f>
        <v/>
      </c>
      <c r="H246" s="254" t="str">
        <f t="array" ref="H246">IFERROR(INDEX('PORTIFÓLIO'!$H$4:$H$433,MATCH($C246,'PORTIFÓLIO'!$C$4:$C$433,0)),"")</f>
        <v/>
      </c>
      <c r="I246" s="255">
        <v>0.4</v>
      </c>
      <c r="J246" s="218">
        <f t="shared" si="27"/>
        <v>80</v>
      </c>
      <c r="K246" s="219">
        <f t="array" ref="K246">IFERROR(I246*INDEX('PORTIFÓLIO'!$S$4:$S$433,MATCH($C246,'PORTIFÓLIO'!$C$4:$C$433,0)),"")</f>
        <v>0</v>
      </c>
      <c r="L246" s="219">
        <f t="array" ref="L246">IFERROR(J246*INDEX('PORTIFÓLIO'!$S$4:$S$433,MATCH($C246,'PORTIFÓLIO'!$C$4:$C$433,0)),"")</f>
        <v>0</v>
      </c>
      <c r="M246" s="220"/>
      <c r="N246" s="220"/>
      <c r="O246" s="220"/>
      <c r="P246" s="220"/>
      <c r="Q246" s="220"/>
      <c r="R246" s="220"/>
      <c r="S246" s="220"/>
      <c r="T246" s="220"/>
      <c r="U246" s="220"/>
      <c r="V246" s="220"/>
      <c r="W246" s="220"/>
    </row>
    <row r="247" ht="15.75" customHeight="1" outlineLevel="1">
      <c r="A247" s="211"/>
      <c r="B247" s="212" t="s">
        <v>7</v>
      </c>
      <c r="C247" s="213" t="s">
        <v>417</v>
      </c>
      <c r="D247" s="214" t="str">
        <f>IFERROR(VLOOKUP($C247,'PORTIFÓLIO'!C:V,2,0),"")</f>
        <v>N 44</v>
      </c>
      <c r="E247" s="211" t="str">
        <f>IFERROR(VLOOKUP($C247,'PORTIFÓLIO'!C:V,3,0),"")</f>
        <v/>
      </c>
      <c r="F247" s="211" t="str">
        <f>IFERROR(VLOOKUP($C247,'PORTIFÓLIO'!C:V,4,0),"")</f>
        <v>Ton</v>
      </c>
      <c r="G247" s="215" t="str">
        <f>IFERROR(VLOOKUP($C247,'PORTIFÓLIO'!C:V,5,0),"")</f>
        <v/>
      </c>
      <c r="H247" s="254" t="str">
        <f t="array" ref="H247">IFERROR(INDEX('PORTIFÓLIO'!$H$4:$H$433,MATCH($C247,'PORTIFÓLIO'!$C$4:$C$433,0)),"")</f>
        <v/>
      </c>
      <c r="I247" s="255">
        <v>0.35</v>
      </c>
      <c r="J247" s="218">
        <f t="shared" si="27"/>
        <v>70</v>
      </c>
      <c r="K247" s="219">
        <f t="array" ref="K247">IFERROR(I247*INDEX('PORTIFÓLIO'!$S$4:$S$433,MATCH($C247,'PORTIFÓLIO'!$C$4:$C$433,0)),"")</f>
        <v>0</v>
      </c>
      <c r="L247" s="219">
        <f t="array" ref="L247">IFERROR(J247*INDEX('PORTIFÓLIO'!$S$4:$S$433,MATCH($C247,'PORTIFÓLIO'!$C$4:$C$433,0)),"")</f>
        <v>0</v>
      </c>
      <c r="M247" s="220"/>
      <c r="N247" s="220"/>
      <c r="O247" s="220"/>
      <c r="P247" s="220"/>
      <c r="Q247" s="220"/>
      <c r="R247" s="220"/>
      <c r="S247" s="220"/>
      <c r="T247" s="220"/>
      <c r="U247" s="220"/>
      <c r="V247" s="220"/>
      <c r="W247" s="220"/>
    </row>
    <row r="248" ht="15.75" customHeight="1" outlineLevel="1">
      <c r="A248" s="211"/>
      <c r="B248" s="212"/>
      <c r="C248" s="213"/>
      <c r="D248" s="214" t="str">
        <f>IFERROR(VLOOKUP($C248,'PORTIFÓLIO'!C:V,2,0),"")</f>
        <v/>
      </c>
      <c r="E248" s="211" t="str">
        <f>IFERROR(VLOOKUP($C248,'PORTIFÓLIO'!C:V,3,0),"")</f>
        <v/>
      </c>
      <c r="F248" s="211" t="str">
        <f>IFERROR(VLOOKUP($C248,'PORTIFÓLIO'!C:V,4,0),"")</f>
        <v/>
      </c>
      <c r="G248" s="215" t="str">
        <f>IFERROR(VLOOKUP($C248,'PORTIFÓLIO'!C:V,5,0),"")</f>
        <v/>
      </c>
      <c r="H248" s="254" t="str">
        <f t="array" ref="H248">IFERROR(INDEX('PORTIFÓLIO'!$H$4:$H$433,MATCH($C248,'PORTIFÓLIO'!$C$4:$C$433,0)),"")</f>
        <v/>
      </c>
      <c r="I248" s="255"/>
      <c r="J248" s="218">
        <f t="shared" si="27"/>
        <v>0</v>
      </c>
      <c r="K248" s="219" t="str">
        <f t="array" ref="K248">IFERROR(I248*INDEX('PORTIFÓLIO'!$S$4:$S$433,MATCH($C248,'PORTIFÓLIO'!$C$4:$C$433,0)),"")</f>
        <v/>
      </c>
      <c r="L248" s="219" t="str">
        <f t="array" ref="L248">IFERROR(J248*INDEX('PORTIFÓLIO'!$S$4:$S$433,MATCH($C248,'PORTIFÓLIO'!$C$4:$C$433,0)),"")</f>
        <v/>
      </c>
      <c r="M248" s="220"/>
      <c r="N248" s="220"/>
      <c r="O248" s="220"/>
      <c r="P248" s="220"/>
      <c r="Q248" s="220"/>
      <c r="R248" s="220"/>
      <c r="S248" s="220"/>
      <c r="T248" s="220"/>
      <c r="U248" s="220"/>
      <c r="V248" s="220"/>
      <c r="W248" s="220"/>
    </row>
    <row r="249" ht="15.75" customHeight="1" outlineLevel="1">
      <c r="A249" s="211"/>
      <c r="B249" s="212"/>
      <c r="C249" s="213"/>
      <c r="D249" s="214" t="str">
        <f>IFERROR(VLOOKUP($C249,'PORTIFÓLIO'!C:V,2,0),"")</f>
        <v/>
      </c>
      <c r="E249" s="211" t="str">
        <f>IFERROR(VLOOKUP($C249,'PORTIFÓLIO'!C:V,3,0),"")</f>
        <v/>
      </c>
      <c r="F249" s="211" t="str">
        <f>IFERROR(VLOOKUP($C249,'PORTIFÓLIO'!C:V,4,0),"")</f>
        <v/>
      </c>
      <c r="G249" s="215" t="str">
        <f>IFERROR(VLOOKUP($C249,'PORTIFÓLIO'!C:V,5,0),"")</f>
        <v/>
      </c>
      <c r="H249" s="254" t="str">
        <f t="array" ref="H249">IFERROR(INDEX('PORTIFÓLIO'!$H$4:$H$433,MATCH($C249,'PORTIFÓLIO'!$C$4:$C$433,0)),"")</f>
        <v/>
      </c>
      <c r="I249" s="255"/>
      <c r="J249" s="218">
        <f t="shared" si="27"/>
        <v>0</v>
      </c>
      <c r="K249" s="219" t="str">
        <f t="array" ref="K249">IFERROR(I249*INDEX('PORTIFÓLIO'!$S$4:$S$433,MATCH($C249,'PORTIFÓLIO'!$C$4:$C$433,0)),"")</f>
        <v/>
      </c>
      <c r="L249" s="219" t="str">
        <f t="array" ref="L249">IFERROR(J249*INDEX('PORTIFÓLIO'!$S$4:$S$433,MATCH($C249,'PORTIFÓLIO'!$C$4:$C$433,0)),"")</f>
        <v/>
      </c>
      <c r="M249" s="220"/>
      <c r="N249" s="220"/>
      <c r="O249" s="220"/>
      <c r="P249" s="220"/>
      <c r="Q249" s="220"/>
      <c r="R249" s="220"/>
      <c r="S249" s="220"/>
      <c r="T249" s="220"/>
      <c r="U249" s="220"/>
      <c r="V249" s="220"/>
      <c r="W249" s="220"/>
    </row>
    <row r="250" ht="15.75" customHeight="1" outlineLevel="1">
      <c r="A250" s="211"/>
      <c r="B250" s="212"/>
      <c r="C250" s="213"/>
      <c r="D250" s="214" t="str">
        <f>IFERROR(VLOOKUP($C250,'PORTIFÓLIO'!C:V,2,0),"")</f>
        <v/>
      </c>
      <c r="E250" s="211" t="str">
        <f>IFERROR(VLOOKUP($C250,'PORTIFÓLIO'!C:V,3,0),"")</f>
        <v/>
      </c>
      <c r="F250" s="211" t="str">
        <f>IFERROR(VLOOKUP($C250,'PORTIFÓLIO'!C:V,4,0),"")</f>
        <v/>
      </c>
      <c r="G250" s="215" t="str">
        <f>IFERROR(VLOOKUP($C250,'PORTIFÓLIO'!C:V,5,0),"")</f>
        <v/>
      </c>
      <c r="H250" s="254" t="str">
        <f t="array" ref="H250">IFERROR(INDEX('PORTIFÓLIO'!$H$4:$H$433,MATCH($C250,'PORTIFÓLIO'!$C$4:$C$433,0)),"")</f>
        <v/>
      </c>
      <c r="I250" s="255"/>
      <c r="J250" s="218">
        <f t="shared" si="27"/>
        <v>0</v>
      </c>
      <c r="K250" s="219" t="str">
        <f t="array" ref="K250">IFERROR(I250*INDEX('PORTIFÓLIO'!$S$4:$S$433,MATCH($C250,'PORTIFÓLIO'!$C$4:$C$433,0)),"")</f>
        <v/>
      </c>
      <c r="L250" s="219" t="str">
        <f t="array" ref="L250">IFERROR(J250*INDEX('PORTIFÓLIO'!$S$4:$S$433,MATCH($C250,'PORTIFÓLIO'!$C$4:$C$433,0)),"")</f>
        <v/>
      </c>
      <c r="M250" s="220"/>
      <c r="N250" s="220"/>
      <c r="O250" s="220"/>
      <c r="P250" s="220"/>
      <c r="Q250" s="220"/>
      <c r="R250" s="220"/>
      <c r="S250" s="220"/>
      <c r="T250" s="220"/>
      <c r="U250" s="220"/>
      <c r="V250" s="220"/>
      <c r="W250" s="220"/>
    </row>
    <row r="251" ht="15.75" customHeight="1" outlineLevel="1">
      <c r="A251" s="211"/>
      <c r="B251" s="212"/>
      <c r="C251" s="213"/>
      <c r="D251" s="214" t="str">
        <f>IFERROR(VLOOKUP($C251,'PORTIFÓLIO'!C:V,2,0),"")</f>
        <v/>
      </c>
      <c r="E251" s="211" t="str">
        <f>IFERROR(VLOOKUP($C251,'PORTIFÓLIO'!C:V,3,0),"")</f>
        <v/>
      </c>
      <c r="F251" s="211" t="str">
        <f>IFERROR(VLOOKUP($C251,'PORTIFÓLIO'!C:V,4,0),"")</f>
        <v/>
      </c>
      <c r="G251" s="215" t="str">
        <f>IFERROR(VLOOKUP($C251,'PORTIFÓLIO'!C:V,5,0),"")</f>
        <v/>
      </c>
      <c r="H251" s="254" t="str">
        <f t="array" ref="H251">IFERROR(INDEX('PORTIFÓLIO'!$H$4:$H$433,MATCH($C251,'PORTIFÓLIO'!$C$4:$C$433,0)),"")</f>
        <v/>
      </c>
      <c r="I251" s="255"/>
      <c r="J251" s="218">
        <f t="shared" si="27"/>
        <v>0</v>
      </c>
      <c r="K251" s="219" t="str">
        <f t="array" ref="K251">IFERROR(I251*INDEX('PORTIFÓLIO'!$S$4:$S$433,MATCH($C251,'PORTIFÓLIO'!$C$4:$C$433,0)),"")</f>
        <v/>
      </c>
      <c r="L251" s="219" t="str">
        <f t="array" ref="L251">IFERROR(J251*INDEX('PORTIFÓLIO'!$S$4:$S$433,MATCH($C251,'PORTIFÓLIO'!$C$4:$C$433,0)),"")</f>
        <v/>
      </c>
      <c r="M251" s="220"/>
      <c r="N251" s="220"/>
      <c r="O251" s="220"/>
      <c r="P251" s="220"/>
      <c r="Q251" s="220"/>
      <c r="R251" s="220"/>
      <c r="S251" s="220"/>
      <c r="T251" s="220"/>
      <c r="U251" s="220"/>
      <c r="V251" s="220"/>
      <c r="W251" s="220"/>
    </row>
    <row r="252" ht="15.75" customHeight="1">
      <c r="A252" s="229" t="s">
        <v>1184</v>
      </c>
      <c r="B252" s="230"/>
      <c r="C252" s="231"/>
      <c r="D252" s="232"/>
      <c r="E252" s="231"/>
      <c r="F252" s="231"/>
      <c r="G252" s="233"/>
      <c r="H252" s="233"/>
      <c r="I252" s="258"/>
      <c r="J252" s="236"/>
      <c r="K252" s="237">
        <f t="shared" ref="K252:L252" si="28">SUBTOTAL(9,K253:K266)</f>
        <v>0</v>
      </c>
      <c r="L252" s="237">
        <f t="shared" si="28"/>
        <v>0</v>
      </c>
      <c r="M252" s="220"/>
      <c r="N252" s="220"/>
      <c r="O252" s="220"/>
      <c r="P252" s="220"/>
      <c r="Q252" s="220"/>
      <c r="R252" s="220"/>
      <c r="S252" s="220"/>
      <c r="T252" s="220"/>
      <c r="U252" s="220"/>
      <c r="V252" s="220"/>
      <c r="W252" s="220"/>
    </row>
    <row r="253" ht="15.75" customHeight="1" outlineLevel="1">
      <c r="A253" s="213"/>
      <c r="B253" s="212"/>
      <c r="C253" s="213"/>
      <c r="D253" s="214" t="str">
        <f>IFERROR(VLOOKUP($C253,'PORTIFÓLIO'!C:V,2,0),"")</f>
        <v/>
      </c>
      <c r="E253" s="211" t="str">
        <f>IFERROR(VLOOKUP($C253,'PORTIFÓLIO'!C:V,3,0),"")</f>
        <v/>
      </c>
      <c r="F253" s="211" t="str">
        <f>IFERROR(VLOOKUP($C253,'PORTIFÓLIO'!C:V,4,0),"")</f>
        <v/>
      </c>
      <c r="G253" s="215" t="str">
        <f>IFERROR(VLOOKUP($C253,'PORTIFÓLIO'!C:V,5,0),"")</f>
        <v/>
      </c>
      <c r="H253" s="254" t="str">
        <f t="array" ref="H253">IFERROR(INDEX('PORTIFÓLIO'!$H$4:$H$433,MATCH($C253,'PORTIFÓLIO'!$C$4:$C$433,0)),"")</f>
        <v/>
      </c>
      <c r="I253" s="255"/>
      <c r="J253" s="218">
        <f t="shared" ref="J253:J270" si="29">I253*$B$2</f>
        <v>0</v>
      </c>
      <c r="K253" s="292" t="str">
        <f t="array" ref="K253">IFERROR(I253*INDEX('PORTIFÓLIO'!$S$4:$S$433,MATCH($C253,'PORTIFÓLIO'!$C$4:$C$433,0)),"")</f>
        <v/>
      </c>
      <c r="L253" s="292" t="str">
        <f t="array" ref="L253">IFERROR(J253*INDEX('PORTIFÓLIO'!$S$4:$S$433,MATCH($C253,'PORTIFÓLIO'!$C$4:$C$433,0)),"")</f>
        <v/>
      </c>
      <c r="M253" s="220"/>
      <c r="N253" s="220"/>
      <c r="O253" s="220"/>
      <c r="P253" s="220"/>
      <c r="Q253" s="220"/>
      <c r="R253" s="220"/>
      <c r="S253" s="220"/>
      <c r="T253" s="220"/>
      <c r="U253" s="220"/>
      <c r="V253" s="220"/>
      <c r="W253" s="220"/>
    </row>
    <row r="254" ht="15.75" customHeight="1" outlineLevel="1">
      <c r="A254" s="211"/>
      <c r="B254" s="212"/>
      <c r="C254" s="213"/>
      <c r="D254" s="214" t="str">
        <f>IFERROR(VLOOKUP($C254,'PORTIFÓLIO'!C:V,2,0),"")</f>
        <v/>
      </c>
      <c r="E254" s="211" t="str">
        <f>IFERROR(VLOOKUP($C254,'PORTIFÓLIO'!C:V,3,0),"")</f>
        <v/>
      </c>
      <c r="F254" s="211" t="str">
        <f>IFERROR(VLOOKUP($C254,'PORTIFÓLIO'!C:V,4,0),"")</f>
        <v/>
      </c>
      <c r="G254" s="215" t="str">
        <f>IFERROR(VLOOKUP($C254,'PORTIFÓLIO'!C:V,5,0),"")</f>
        <v/>
      </c>
      <c r="H254" s="254" t="str">
        <f t="array" ref="H254">IFERROR(INDEX('PORTIFÓLIO'!$H$4:$H$433,MATCH($C254,'PORTIFÓLIO'!$C$4:$C$433,0)),"")</f>
        <v/>
      </c>
      <c r="I254" s="255"/>
      <c r="J254" s="218">
        <f t="shared" si="29"/>
        <v>0</v>
      </c>
      <c r="K254" s="292" t="str">
        <f t="array" ref="K254">IFERROR(I254*INDEX('PORTIFÓLIO'!$S$4:$S$433,MATCH($C254,'PORTIFÓLIO'!$C$4:$C$433,0)),"")</f>
        <v/>
      </c>
      <c r="L254" s="292" t="str">
        <f t="array" ref="L254">IFERROR(J254*INDEX('PORTIFÓLIO'!$S$4:$S$433,MATCH($C254,'PORTIFÓLIO'!$C$4:$C$433,0)),"")</f>
        <v/>
      </c>
      <c r="M254" s="220"/>
      <c r="N254" s="220"/>
      <c r="O254" s="220"/>
      <c r="P254" s="220"/>
      <c r="Q254" s="220"/>
      <c r="R254" s="220"/>
      <c r="S254" s="220"/>
      <c r="T254" s="220"/>
      <c r="U254" s="220"/>
      <c r="V254" s="220"/>
      <c r="W254" s="220"/>
    </row>
    <row r="255" ht="15.75" customHeight="1" outlineLevel="1">
      <c r="A255" s="211"/>
      <c r="B255" s="212"/>
      <c r="C255" s="213"/>
      <c r="D255" s="214" t="str">
        <f>IFERROR(VLOOKUP($C255,'PORTIFÓLIO'!C:V,2,0),"")</f>
        <v/>
      </c>
      <c r="E255" s="211" t="str">
        <f>IFERROR(VLOOKUP($C255,'PORTIFÓLIO'!C:V,3,0),"")</f>
        <v/>
      </c>
      <c r="F255" s="211" t="str">
        <f>IFERROR(VLOOKUP($C255,'PORTIFÓLIO'!C:V,4,0),"")</f>
        <v/>
      </c>
      <c r="G255" s="215" t="str">
        <f>IFERROR(VLOOKUP($C255,'PORTIFÓLIO'!C:V,5,0),"")</f>
        <v/>
      </c>
      <c r="H255" s="254" t="str">
        <f t="array" ref="H255">IFERROR(INDEX('PORTIFÓLIO'!$H$4:$H$433,MATCH($C255,'PORTIFÓLIO'!$C$4:$C$433,0)),"")</f>
        <v/>
      </c>
      <c r="I255" s="256"/>
      <c r="J255" s="218">
        <f t="shared" si="29"/>
        <v>0</v>
      </c>
      <c r="K255" s="292" t="str">
        <f t="array" ref="K255">IFERROR(I255*INDEX('PORTIFÓLIO'!$S$4:$S$433,MATCH($C255,'PORTIFÓLIO'!$C$4:$C$433,0)),"")</f>
        <v/>
      </c>
      <c r="L255" s="292" t="str">
        <f t="array" ref="L255">IFERROR(J255*INDEX('PORTIFÓLIO'!$S$4:$S$433,MATCH($C255,'PORTIFÓLIO'!$C$4:$C$433,0)),"")</f>
        <v/>
      </c>
      <c r="M255" s="220"/>
      <c r="N255" s="220"/>
      <c r="O255" s="220"/>
      <c r="P255" s="220"/>
      <c r="Q255" s="220"/>
      <c r="R255" s="220"/>
      <c r="S255" s="220"/>
      <c r="T255" s="220"/>
      <c r="U255" s="220"/>
      <c r="V255" s="220"/>
      <c r="W255" s="220"/>
    </row>
    <row r="256" ht="15.75" customHeight="1" outlineLevel="1">
      <c r="A256" s="211"/>
      <c r="B256" s="212"/>
      <c r="C256" s="213"/>
      <c r="D256" s="214" t="str">
        <f>IFERROR(VLOOKUP($C256,'PORTIFÓLIO'!C:V,2,0),"")</f>
        <v/>
      </c>
      <c r="E256" s="211" t="str">
        <f>IFERROR(VLOOKUP($C256,'PORTIFÓLIO'!C:V,3,0),"")</f>
        <v/>
      </c>
      <c r="F256" s="211" t="str">
        <f>IFERROR(VLOOKUP($C256,'PORTIFÓLIO'!C:V,4,0),"")</f>
        <v/>
      </c>
      <c r="G256" s="215" t="str">
        <f>IFERROR(VLOOKUP($C256,'PORTIFÓLIO'!C:V,5,0),"")</f>
        <v/>
      </c>
      <c r="H256" s="254" t="str">
        <f t="array" ref="H256">IFERROR(INDEX('PORTIFÓLIO'!$H$4:$H$433,MATCH($C256,'PORTIFÓLIO'!$C$4:$C$433,0)),"")</f>
        <v/>
      </c>
      <c r="I256" s="255"/>
      <c r="J256" s="218">
        <f t="shared" si="29"/>
        <v>0</v>
      </c>
      <c r="K256" s="292" t="str">
        <f t="array" ref="K256">IFERROR(I256*INDEX('PORTIFÓLIO'!$S$4:$S$433,MATCH($C256,'PORTIFÓLIO'!$C$4:$C$433,0)),"")</f>
        <v/>
      </c>
      <c r="L256" s="292" t="str">
        <f t="array" ref="L256">IFERROR(J256*INDEX('PORTIFÓLIO'!$S$4:$S$433,MATCH($C256,'PORTIFÓLIO'!$C$4:$C$433,0)),"")</f>
        <v/>
      </c>
      <c r="M256" s="220"/>
      <c r="N256" s="220"/>
      <c r="O256" s="220"/>
      <c r="P256" s="220"/>
      <c r="Q256" s="220"/>
      <c r="R256" s="220"/>
      <c r="S256" s="220"/>
      <c r="T256" s="220"/>
      <c r="U256" s="220"/>
      <c r="V256" s="220"/>
      <c r="W256" s="220"/>
    </row>
    <row r="257" ht="15.75" customHeight="1" outlineLevel="1">
      <c r="A257" s="211"/>
      <c r="B257" s="212"/>
      <c r="C257" s="213"/>
      <c r="D257" s="214" t="str">
        <f>IFERROR(VLOOKUP($C257,'PORTIFÓLIO'!C:V,2,0),"")</f>
        <v/>
      </c>
      <c r="E257" s="211" t="str">
        <f>IFERROR(VLOOKUP($C257,'PORTIFÓLIO'!C:V,3,0),"")</f>
        <v/>
      </c>
      <c r="F257" s="211" t="str">
        <f>IFERROR(VLOOKUP($C257,'PORTIFÓLIO'!C:V,4,0),"")</f>
        <v/>
      </c>
      <c r="G257" s="215" t="str">
        <f>IFERROR(VLOOKUP($C257,'PORTIFÓLIO'!C:V,5,0),"")</f>
        <v/>
      </c>
      <c r="H257" s="254" t="str">
        <f t="array" ref="H257">IFERROR(INDEX('PORTIFÓLIO'!$H$4:$H$433,MATCH($C257,'PORTIFÓLIO'!$C$4:$C$433,0)),"")</f>
        <v/>
      </c>
      <c r="I257" s="256"/>
      <c r="J257" s="218">
        <f t="shared" si="29"/>
        <v>0</v>
      </c>
      <c r="K257" s="292" t="str">
        <f t="array" ref="K257">IFERROR(I257*INDEX('PORTIFÓLIO'!$S$4:$S$433,MATCH($C257,'PORTIFÓLIO'!$C$4:$C$433,0)),"")</f>
        <v/>
      </c>
      <c r="L257" s="292" t="str">
        <f t="array" ref="L257">IFERROR(J257*INDEX('PORTIFÓLIO'!$S$4:$S$433,MATCH($C257,'PORTIFÓLIO'!$C$4:$C$433,0)),"")</f>
        <v/>
      </c>
      <c r="M257" s="220"/>
      <c r="N257" s="220"/>
      <c r="O257" s="220"/>
      <c r="P257" s="220"/>
      <c r="Q257" s="220"/>
      <c r="R257" s="220"/>
      <c r="S257" s="220"/>
      <c r="T257" s="220"/>
      <c r="U257" s="220"/>
      <c r="V257" s="220"/>
      <c r="W257" s="220"/>
    </row>
    <row r="258" ht="15.75" customHeight="1" outlineLevel="1">
      <c r="A258" s="211"/>
      <c r="B258" s="212"/>
      <c r="C258" s="213"/>
      <c r="D258" s="214" t="str">
        <f>IFERROR(VLOOKUP($C258,'PORTIFÓLIO'!C:V,2,0),"")</f>
        <v/>
      </c>
      <c r="E258" s="211" t="str">
        <f>IFERROR(VLOOKUP($C258,'PORTIFÓLIO'!C:V,3,0),"")</f>
        <v/>
      </c>
      <c r="F258" s="211" t="str">
        <f>IFERROR(VLOOKUP($C258,'PORTIFÓLIO'!C:V,4,0),"")</f>
        <v/>
      </c>
      <c r="G258" s="215" t="str">
        <f>IFERROR(VLOOKUP($C258,'PORTIFÓLIO'!C:V,5,0),"")</f>
        <v/>
      </c>
      <c r="H258" s="254" t="str">
        <f t="array" ref="H258">IFERROR(INDEX('PORTIFÓLIO'!$H$4:$H$433,MATCH($C258,'PORTIFÓLIO'!$C$4:$C$433,0)),"")</f>
        <v/>
      </c>
      <c r="I258" s="256"/>
      <c r="J258" s="218">
        <f t="shared" si="29"/>
        <v>0</v>
      </c>
      <c r="K258" s="292" t="str">
        <f t="array" ref="K258">IFERROR(I258*INDEX('PORTIFÓLIO'!$S$4:$S$433,MATCH($C258,'PORTIFÓLIO'!$C$4:$C$433,0)),"")</f>
        <v/>
      </c>
      <c r="L258" s="292" t="str">
        <f t="array" ref="L258">IFERROR(J258*INDEX('PORTIFÓLIO'!$S$4:$S$433,MATCH($C258,'PORTIFÓLIO'!$C$4:$C$433,0)),"")</f>
        <v/>
      </c>
      <c r="M258" s="220"/>
      <c r="N258" s="220"/>
      <c r="O258" s="220"/>
      <c r="P258" s="220"/>
      <c r="Q258" s="220"/>
      <c r="R258" s="220"/>
      <c r="S258" s="220"/>
      <c r="T258" s="220"/>
      <c r="U258" s="220"/>
      <c r="V258" s="220"/>
      <c r="W258" s="220"/>
    </row>
    <row r="259" ht="15.75" customHeight="1" outlineLevel="1">
      <c r="A259" s="211"/>
      <c r="B259" s="212"/>
      <c r="C259" s="213"/>
      <c r="D259" s="214" t="str">
        <f>IFERROR(VLOOKUP($C259,'PORTIFÓLIO'!C:V,2,0),"")</f>
        <v/>
      </c>
      <c r="E259" s="211" t="str">
        <f>IFERROR(VLOOKUP($C259,'PORTIFÓLIO'!C:V,3,0),"")</f>
        <v/>
      </c>
      <c r="F259" s="211" t="str">
        <f>IFERROR(VLOOKUP($C259,'PORTIFÓLIO'!C:V,4,0),"")</f>
        <v/>
      </c>
      <c r="G259" s="215" t="str">
        <f>IFERROR(VLOOKUP($C259,'PORTIFÓLIO'!C:V,5,0),"")</f>
        <v/>
      </c>
      <c r="H259" s="254" t="str">
        <f t="array" ref="H259">IFERROR(INDEX('PORTIFÓLIO'!$H$4:$H$433,MATCH($C259,'PORTIFÓLIO'!$C$4:$C$433,0)),"")</f>
        <v/>
      </c>
      <c r="I259" s="256"/>
      <c r="J259" s="218">
        <f t="shared" si="29"/>
        <v>0</v>
      </c>
      <c r="K259" s="292" t="str">
        <f t="array" ref="K259">IFERROR(I259*INDEX('PORTIFÓLIO'!$S$4:$S$433,MATCH($C259,'PORTIFÓLIO'!$C$4:$C$433,0)),"")</f>
        <v/>
      </c>
      <c r="L259" s="292" t="str">
        <f t="array" ref="L259">IFERROR(J259*INDEX('PORTIFÓLIO'!$S$4:$S$433,MATCH($C259,'PORTIFÓLIO'!$C$4:$C$433,0)),"")</f>
        <v/>
      </c>
      <c r="M259" s="220"/>
      <c r="N259" s="220"/>
      <c r="O259" s="220"/>
      <c r="P259" s="220"/>
      <c r="Q259" s="220"/>
      <c r="R259" s="220"/>
      <c r="S259" s="220"/>
      <c r="T259" s="220"/>
      <c r="U259" s="220"/>
      <c r="V259" s="220"/>
      <c r="W259" s="220"/>
    </row>
    <row r="260" ht="15.75" customHeight="1" outlineLevel="1">
      <c r="A260" s="211"/>
      <c r="B260" s="212"/>
      <c r="C260" s="213"/>
      <c r="D260" s="214" t="str">
        <f>IFERROR(VLOOKUP($C260,'PORTIFÓLIO'!C:V,2,0),"")</f>
        <v/>
      </c>
      <c r="E260" s="211" t="str">
        <f>IFERROR(VLOOKUP($C260,'PORTIFÓLIO'!C:V,3,0),"")</f>
        <v/>
      </c>
      <c r="F260" s="211" t="str">
        <f>IFERROR(VLOOKUP($C260,'PORTIFÓLIO'!C:V,4,0),"")</f>
        <v/>
      </c>
      <c r="G260" s="215" t="str">
        <f>IFERROR(VLOOKUP($C260,'PORTIFÓLIO'!C:V,5,0),"")</f>
        <v/>
      </c>
      <c r="H260" s="254" t="str">
        <f t="array" ref="H260">IFERROR(INDEX('PORTIFÓLIO'!$H$4:$H$433,MATCH($C260,'PORTIFÓLIO'!$C$4:$C$433,0)),"")</f>
        <v/>
      </c>
      <c r="I260" s="256"/>
      <c r="J260" s="218">
        <f t="shared" si="29"/>
        <v>0</v>
      </c>
      <c r="K260" s="292" t="str">
        <f t="array" ref="K260">IFERROR(I260*INDEX('PORTIFÓLIO'!$S$4:$S$433,MATCH($C260,'PORTIFÓLIO'!$C$4:$C$433,0)),"")</f>
        <v/>
      </c>
      <c r="L260" s="292" t="str">
        <f t="array" ref="L260">IFERROR(J260*INDEX('PORTIFÓLIO'!$S$4:$S$433,MATCH($C260,'PORTIFÓLIO'!$C$4:$C$433,0)),"")</f>
        <v/>
      </c>
      <c r="M260" s="220"/>
      <c r="N260" s="220"/>
      <c r="O260" s="220"/>
      <c r="P260" s="220"/>
      <c r="Q260" s="220"/>
      <c r="R260" s="220"/>
      <c r="S260" s="220"/>
      <c r="T260" s="220"/>
      <c r="U260" s="220"/>
      <c r="V260" s="220"/>
      <c r="W260" s="220"/>
    </row>
    <row r="261" ht="15.75" customHeight="1" outlineLevel="1">
      <c r="A261" s="211"/>
      <c r="B261" s="212"/>
      <c r="C261" s="213"/>
      <c r="D261" s="214" t="str">
        <f>IFERROR(VLOOKUP($C261,'PORTIFÓLIO'!C:V,2,0),"")</f>
        <v/>
      </c>
      <c r="E261" s="211" t="str">
        <f>IFERROR(VLOOKUP($C261,'PORTIFÓLIO'!C:V,3,0),"")</f>
        <v/>
      </c>
      <c r="F261" s="211" t="str">
        <f>IFERROR(VLOOKUP($C261,'PORTIFÓLIO'!C:V,4,0),"")</f>
        <v/>
      </c>
      <c r="G261" s="215" t="str">
        <f>IFERROR(VLOOKUP($C261,'PORTIFÓLIO'!C:V,5,0),"")</f>
        <v/>
      </c>
      <c r="H261" s="254" t="str">
        <f t="array" ref="H261">IFERROR(INDEX('PORTIFÓLIO'!$H$4:$H$433,MATCH($C261,'PORTIFÓLIO'!$C$4:$C$433,0)),"")</f>
        <v/>
      </c>
      <c r="I261" s="255"/>
      <c r="J261" s="218">
        <f t="shared" si="29"/>
        <v>0</v>
      </c>
      <c r="K261" s="292" t="str">
        <f t="array" ref="K261">IFERROR(I261*INDEX('PORTIFÓLIO'!$S$4:$S$433,MATCH($C261,'PORTIFÓLIO'!$C$4:$C$433,0)),"")</f>
        <v/>
      </c>
      <c r="L261" s="292" t="str">
        <f t="array" ref="L261">IFERROR(J261*INDEX('PORTIFÓLIO'!$S$4:$S$433,MATCH($C261,'PORTIFÓLIO'!$C$4:$C$433,0)),"")</f>
        <v/>
      </c>
      <c r="M261" s="220"/>
      <c r="N261" s="220"/>
      <c r="O261" s="220"/>
      <c r="P261" s="220"/>
      <c r="Q261" s="220"/>
      <c r="R261" s="220"/>
      <c r="S261" s="220"/>
      <c r="T261" s="220"/>
      <c r="U261" s="220"/>
      <c r="V261" s="220"/>
      <c r="W261" s="220"/>
    </row>
    <row r="262" ht="15.75" customHeight="1" outlineLevel="1">
      <c r="A262" s="211"/>
      <c r="B262" s="212"/>
      <c r="C262" s="213"/>
      <c r="D262" s="214" t="str">
        <f>IFERROR(VLOOKUP($C262,'PORTIFÓLIO'!C:V,2,0),"")</f>
        <v/>
      </c>
      <c r="E262" s="211" t="str">
        <f>IFERROR(VLOOKUP($C262,'PORTIFÓLIO'!C:V,3,0),"")</f>
        <v/>
      </c>
      <c r="F262" s="211" t="str">
        <f>IFERROR(VLOOKUP($C262,'PORTIFÓLIO'!C:V,4,0),"")</f>
        <v/>
      </c>
      <c r="G262" s="215" t="str">
        <f>IFERROR(VLOOKUP($C262,'PORTIFÓLIO'!C:V,5,0),"")</f>
        <v/>
      </c>
      <c r="H262" s="254" t="str">
        <f t="array" ref="H262">IFERROR(INDEX('PORTIFÓLIO'!$H$4:$H$433,MATCH($C262,'PORTIFÓLIO'!$C$4:$C$433,0)),"")</f>
        <v/>
      </c>
      <c r="I262" s="256"/>
      <c r="J262" s="218">
        <f t="shared" si="29"/>
        <v>0</v>
      </c>
      <c r="K262" s="292" t="str">
        <f t="array" ref="K262">IFERROR(I262*INDEX('PORTIFÓLIO'!$S$4:$S$433,MATCH($C262,'PORTIFÓLIO'!$C$4:$C$433,0)),"")</f>
        <v/>
      </c>
      <c r="L262" s="292" t="str">
        <f t="array" ref="L262">IFERROR(J262*INDEX('PORTIFÓLIO'!$S$4:$S$433,MATCH($C262,'PORTIFÓLIO'!$C$4:$C$433,0)),"")</f>
        <v/>
      </c>
      <c r="M262" s="220"/>
      <c r="N262" s="220"/>
      <c r="O262" s="220"/>
      <c r="P262" s="220"/>
      <c r="Q262" s="220"/>
      <c r="R262" s="220"/>
      <c r="S262" s="220"/>
      <c r="T262" s="220"/>
      <c r="U262" s="220"/>
      <c r="V262" s="220"/>
      <c r="W262" s="220"/>
    </row>
    <row r="263" ht="15.75" customHeight="1" outlineLevel="1">
      <c r="A263" s="211"/>
      <c r="B263" s="212"/>
      <c r="C263" s="213"/>
      <c r="D263" s="214" t="str">
        <f>IFERROR(VLOOKUP($C263,'PORTIFÓLIO'!C:V,2,0),"")</f>
        <v/>
      </c>
      <c r="E263" s="211" t="str">
        <f>IFERROR(VLOOKUP($C263,'PORTIFÓLIO'!C:V,3,0),"")</f>
        <v/>
      </c>
      <c r="F263" s="211" t="str">
        <f>IFERROR(VLOOKUP($C263,'PORTIFÓLIO'!C:V,4,0),"")</f>
        <v/>
      </c>
      <c r="G263" s="215" t="str">
        <f>IFERROR(VLOOKUP($C263,'PORTIFÓLIO'!C:V,5,0),"")</f>
        <v/>
      </c>
      <c r="H263" s="254" t="str">
        <f t="array" ref="H263">IFERROR(INDEX('PORTIFÓLIO'!$H$4:$H$433,MATCH($C263,'PORTIFÓLIO'!$C$4:$C$433,0)),"")</f>
        <v/>
      </c>
      <c r="I263" s="256"/>
      <c r="J263" s="218">
        <f t="shared" si="29"/>
        <v>0</v>
      </c>
      <c r="K263" s="292" t="str">
        <f t="array" ref="K263">IFERROR(I263*INDEX('PORTIFÓLIO'!$S$4:$S$433,MATCH($C263,'PORTIFÓLIO'!$C$4:$C$433,0)),"")</f>
        <v/>
      </c>
      <c r="L263" s="292" t="str">
        <f t="array" ref="L263">IFERROR(J263*INDEX('PORTIFÓLIO'!$S$4:$S$433,MATCH($C263,'PORTIFÓLIO'!$C$4:$C$433,0)),"")</f>
        <v/>
      </c>
      <c r="M263" s="220"/>
      <c r="N263" s="220"/>
      <c r="O263" s="220"/>
      <c r="P263" s="220"/>
      <c r="Q263" s="220"/>
      <c r="R263" s="220"/>
      <c r="S263" s="220"/>
      <c r="T263" s="220"/>
      <c r="U263" s="220"/>
      <c r="V263" s="220"/>
      <c r="W263" s="220"/>
    </row>
    <row r="264" ht="15.75" customHeight="1" outlineLevel="1">
      <c r="A264" s="211"/>
      <c r="B264" s="212"/>
      <c r="C264" s="213"/>
      <c r="D264" s="214" t="str">
        <f>IFERROR(VLOOKUP($C264,'PORTIFÓLIO'!C:V,2,0),"")</f>
        <v/>
      </c>
      <c r="E264" s="211" t="str">
        <f>IFERROR(VLOOKUP($C264,'PORTIFÓLIO'!C:V,3,0),"")</f>
        <v/>
      </c>
      <c r="F264" s="211" t="str">
        <f>IFERROR(VLOOKUP($C264,'PORTIFÓLIO'!C:V,4,0),"")</f>
        <v/>
      </c>
      <c r="G264" s="215" t="str">
        <f>IFERROR(VLOOKUP($C264,'PORTIFÓLIO'!C:V,5,0),"")</f>
        <v/>
      </c>
      <c r="H264" s="254" t="str">
        <f t="array" ref="H264">IFERROR(INDEX('PORTIFÓLIO'!$H$4:$H$433,MATCH($C264,'PORTIFÓLIO'!$C$4:$C$433,0)),"")</f>
        <v/>
      </c>
      <c r="I264" s="256"/>
      <c r="J264" s="218">
        <f t="shared" si="29"/>
        <v>0</v>
      </c>
      <c r="K264" s="292" t="str">
        <f t="array" ref="K264">IFERROR(I264*INDEX('PORTIFÓLIO'!$S$4:$S$433,MATCH($C264,'PORTIFÓLIO'!$C$4:$C$433,0)),"")</f>
        <v/>
      </c>
      <c r="L264" s="292" t="str">
        <f t="array" ref="L264">IFERROR(J264*INDEX('PORTIFÓLIO'!$S$4:$S$433,MATCH($C264,'PORTIFÓLIO'!$C$4:$C$433,0)),"")</f>
        <v/>
      </c>
      <c r="M264" s="220"/>
      <c r="N264" s="220"/>
      <c r="O264" s="220"/>
      <c r="P264" s="220"/>
      <c r="Q264" s="220"/>
      <c r="R264" s="220"/>
      <c r="S264" s="220"/>
      <c r="T264" s="220"/>
      <c r="U264" s="220"/>
      <c r="V264" s="220"/>
      <c r="W264" s="220"/>
    </row>
    <row r="265" ht="15.75" customHeight="1" outlineLevel="1">
      <c r="A265" s="211"/>
      <c r="B265" s="212"/>
      <c r="C265" s="213"/>
      <c r="D265" s="214" t="str">
        <f>IFERROR(VLOOKUP($C265,'PORTIFÓLIO'!C:V,2,0),"")</f>
        <v/>
      </c>
      <c r="E265" s="211" t="str">
        <f>IFERROR(VLOOKUP($C265,'PORTIFÓLIO'!C:V,3,0),"")</f>
        <v/>
      </c>
      <c r="F265" s="211" t="str">
        <f>IFERROR(VLOOKUP($C265,'PORTIFÓLIO'!C:V,4,0),"")</f>
        <v/>
      </c>
      <c r="G265" s="215" t="str">
        <f>IFERROR(VLOOKUP($C265,'PORTIFÓLIO'!C:V,5,0),"")</f>
        <v/>
      </c>
      <c r="H265" s="254" t="str">
        <f t="array" ref="H265">IFERROR(INDEX('PORTIFÓLIO'!$H$4:$H$433,MATCH($C265,'PORTIFÓLIO'!$C$4:$C$433,0)),"")</f>
        <v/>
      </c>
      <c r="I265" s="256"/>
      <c r="J265" s="218">
        <f t="shared" si="29"/>
        <v>0</v>
      </c>
      <c r="K265" s="292" t="str">
        <f t="array" ref="K265">IFERROR(I265*INDEX('PORTIFÓLIO'!$S$4:$S$433,MATCH($C265,'PORTIFÓLIO'!$C$4:$C$433,0)),"")</f>
        <v/>
      </c>
      <c r="L265" s="292" t="str">
        <f t="array" ref="L265">IFERROR(J265*INDEX('PORTIFÓLIO'!$S$4:$S$433,MATCH($C265,'PORTIFÓLIO'!$C$4:$C$433,0)),"")</f>
        <v/>
      </c>
      <c r="M265" s="220"/>
      <c r="N265" s="220"/>
      <c r="O265" s="220"/>
      <c r="P265" s="220"/>
      <c r="Q265" s="220"/>
      <c r="R265" s="220"/>
      <c r="S265" s="220"/>
      <c r="T265" s="220"/>
      <c r="U265" s="220"/>
      <c r="V265" s="220"/>
      <c r="W265" s="220"/>
    </row>
    <row r="266" ht="15.75" customHeight="1" outlineLevel="1">
      <c r="A266" s="211"/>
      <c r="B266" s="212"/>
      <c r="C266" s="213"/>
      <c r="D266" s="214" t="str">
        <f>IFERROR(VLOOKUP($C266,'PORTIFÓLIO'!C:V,2,0),"")</f>
        <v/>
      </c>
      <c r="E266" s="211" t="str">
        <f>IFERROR(VLOOKUP($C266,'PORTIFÓLIO'!C:V,3,0),"")</f>
        <v/>
      </c>
      <c r="F266" s="211" t="str">
        <f>IFERROR(VLOOKUP($C266,'PORTIFÓLIO'!C:V,4,0),"")</f>
        <v/>
      </c>
      <c r="G266" s="215" t="str">
        <f>IFERROR(VLOOKUP($C266,'PORTIFÓLIO'!C:V,5,0),"")</f>
        <v/>
      </c>
      <c r="H266" s="254" t="str">
        <f t="array" ref="H266">IFERROR(INDEX('PORTIFÓLIO'!$H$4:$H$433,MATCH($C266,'PORTIFÓLIO'!$C$4:$C$433,0)),"")</f>
        <v/>
      </c>
      <c r="I266" s="256"/>
      <c r="J266" s="218">
        <f t="shared" si="29"/>
        <v>0</v>
      </c>
      <c r="K266" s="292" t="str">
        <f t="array" ref="K266">IFERROR(I266*INDEX('PORTIFÓLIO'!$S$4:$S$433,MATCH($C266,'PORTIFÓLIO'!$C$4:$C$433,0)),"")</f>
        <v/>
      </c>
      <c r="L266" s="292" t="str">
        <f t="array" ref="L266">IFERROR(J266*INDEX('PORTIFÓLIO'!$S$4:$S$433,MATCH($C266,'PORTIFÓLIO'!$C$4:$C$433,0)),"")</f>
        <v/>
      </c>
      <c r="M266" s="220"/>
      <c r="N266" s="220"/>
      <c r="O266" s="220"/>
      <c r="P266" s="220"/>
      <c r="Q266" s="220"/>
      <c r="R266" s="220"/>
      <c r="S266" s="220"/>
      <c r="T266" s="220"/>
      <c r="U266" s="220"/>
      <c r="V266" s="220"/>
      <c r="W266" s="220"/>
    </row>
    <row r="267" ht="15.75" customHeight="1" outlineLevel="1">
      <c r="A267" s="211"/>
      <c r="B267" s="212"/>
      <c r="C267" s="213"/>
      <c r="D267" s="214" t="str">
        <f>IFERROR(VLOOKUP($C267,'PORTIFÓLIO'!C:V,2,0),"")</f>
        <v/>
      </c>
      <c r="E267" s="211" t="str">
        <f>IFERROR(VLOOKUP($C267,'PORTIFÓLIO'!C:V,3,0),"")</f>
        <v/>
      </c>
      <c r="F267" s="211" t="str">
        <f>IFERROR(VLOOKUP($C267,'PORTIFÓLIO'!C:V,4,0),"")</f>
        <v/>
      </c>
      <c r="G267" s="215" t="str">
        <f>IFERROR(VLOOKUP($C267,'PORTIFÓLIO'!C:V,5,0),"")</f>
        <v/>
      </c>
      <c r="H267" s="254" t="str">
        <f t="array" ref="H267">IFERROR(INDEX('PORTIFÓLIO'!$H$4:$H$433,MATCH($C267,'PORTIFÓLIO'!$C$4:$C$433,0)),"")</f>
        <v/>
      </c>
      <c r="I267" s="256"/>
      <c r="J267" s="218">
        <f t="shared" si="29"/>
        <v>0</v>
      </c>
      <c r="K267" s="292" t="str">
        <f t="array" ref="K267">IFERROR(I267*INDEX('PORTIFÓLIO'!$S$4:$S$433,MATCH($C267,'PORTIFÓLIO'!$C$4:$C$433,0)),"")</f>
        <v/>
      </c>
      <c r="L267" s="292" t="str">
        <f t="array" ref="L267">IFERROR(J267*INDEX('PORTIFÓLIO'!$S$4:$S$433,MATCH($C267,'PORTIFÓLIO'!$C$4:$C$433,0)),"")</f>
        <v/>
      </c>
      <c r="M267" s="220"/>
      <c r="N267" s="220"/>
      <c r="O267" s="220"/>
      <c r="P267" s="220"/>
      <c r="Q267" s="220"/>
      <c r="R267" s="220"/>
      <c r="S267" s="220"/>
      <c r="T267" s="220"/>
      <c r="U267" s="220"/>
      <c r="V267" s="220"/>
      <c r="W267" s="220"/>
    </row>
    <row r="268" ht="15.75" customHeight="1" outlineLevel="1">
      <c r="A268" s="211"/>
      <c r="B268" s="212"/>
      <c r="C268" s="213"/>
      <c r="D268" s="214" t="str">
        <f>IFERROR(VLOOKUP($C268,'PORTIFÓLIO'!C:V,2,0),"")</f>
        <v/>
      </c>
      <c r="E268" s="211" t="str">
        <f>IFERROR(VLOOKUP($C268,'PORTIFÓLIO'!C:V,3,0),"")</f>
        <v/>
      </c>
      <c r="F268" s="211" t="str">
        <f>IFERROR(VLOOKUP($C268,'PORTIFÓLIO'!C:V,4,0),"")</f>
        <v/>
      </c>
      <c r="G268" s="215" t="str">
        <f>IFERROR(VLOOKUP($C268,'PORTIFÓLIO'!C:V,5,0),"")</f>
        <v/>
      </c>
      <c r="H268" s="254" t="str">
        <f t="array" ref="H268">IFERROR(INDEX('PORTIFÓLIO'!$H$4:$H$433,MATCH($C268,'PORTIFÓLIO'!$C$4:$C$433,0)),"")</f>
        <v/>
      </c>
      <c r="I268" s="256"/>
      <c r="J268" s="218">
        <f t="shared" si="29"/>
        <v>0</v>
      </c>
      <c r="K268" s="292" t="str">
        <f t="array" ref="K268">IFERROR(I268*INDEX('PORTIFÓLIO'!$S$4:$S$433,MATCH($C268,'PORTIFÓLIO'!$C$4:$C$433,0)),"")</f>
        <v/>
      </c>
      <c r="L268" s="292" t="str">
        <f t="array" ref="L268">IFERROR(J268*INDEX('PORTIFÓLIO'!$S$4:$S$433,MATCH($C268,'PORTIFÓLIO'!$C$4:$C$433,0)),"")</f>
        <v/>
      </c>
      <c r="M268" s="220"/>
      <c r="N268" s="220"/>
      <c r="O268" s="220"/>
      <c r="P268" s="220"/>
      <c r="Q268" s="220"/>
      <c r="R268" s="220"/>
      <c r="S268" s="220"/>
      <c r="T268" s="220"/>
      <c r="U268" s="220"/>
      <c r="V268" s="220"/>
      <c r="W268" s="220"/>
    </row>
    <row r="269" ht="15.75" customHeight="1" outlineLevel="1">
      <c r="A269" s="211"/>
      <c r="B269" s="212"/>
      <c r="C269" s="213"/>
      <c r="D269" s="214" t="str">
        <f>IFERROR(VLOOKUP($C269,'PORTIFÓLIO'!C:V,2,0),"")</f>
        <v/>
      </c>
      <c r="E269" s="211" t="str">
        <f>IFERROR(VLOOKUP($C269,'PORTIFÓLIO'!C:V,3,0),"")</f>
        <v/>
      </c>
      <c r="F269" s="211" t="str">
        <f>IFERROR(VLOOKUP($C269,'PORTIFÓLIO'!C:V,4,0),"")</f>
        <v/>
      </c>
      <c r="G269" s="215" t="str">
        <f>IFERROR(VLOOKUP($C269,'PORTIFÓLIO'!C:V,5,0),"")</f>
        <v/>
      </c>
      <c r="H269" s="254" t="str">
        <f t="array" ref="H269">IFERROR(INDEX('PORTIFÓLIO'!$H$4:$H$433,MATCH($C269,'PORTIFÓLIO'!$C$4:$C$433,0)),"")</f>
        <v/>
      </c>
      <c r="I269" s="256"/>
      <c r="J269" s="218">
        <f t="shared" si="29"/>
        <v>0</v>
      </c>
      <c r="K269" s="292" t="str">
        <f t="array" ref="K269">IFERROR(I269*INDEX('PORTIFÓLIO'!$S$4:$S$433,MATCH($C269,'PORTIFÓLIO'!$C$4:$C$433,0)),"")</f>
        <v/>
      </c>
      <c r="L269" s="292" t="str">
        <f t="array" ref="L269">IFERROR(J269*INDEX('PORTIFÓLIO'!$S$4:$S$433,MATCH($C269,'PORTIFÓLIO'!$C$4:$C$433,0)),"")</f>
        <v/>
      </c>
      <c r="M269" s="220"/>
      <c r="N269" s="220"/>
      <c r="O269" s="220"/>
      <c r="P269" s="220"/>
      <c r="Q269" s="220"/>
      <c r="R269" s="220"/>
      <c r="S269" s="220"/>
      <c r="T269" s="220"/>
      <c r="U269" s="220"/>
      <c r="V269" s="220"/>
      <c r="W269" s="220"/>
    </row>
    <row r="270" ht="15.75" customHeight="1" outlineLevel="1">
      <c r="A270" s="211"/>
      <c r="B270" s="212"/>
      <c r="C270" s="213"/>
      <c r="D270" s="214" t="str">
        <f>IFERROR(VLOOKUP($C270,'PORTIFÓLIO'!C:V,2,0),"")</f>
        <v/>
      </c>
      <c r="E270" s="211" t="str">
        <f>IFERROR(VLOOKUP($C270,'PORTIFÓLIO'!C:V,3,0),"")</f>
        <v/>
      </c>
      <c r="F270" s="211" t="str">
        <f>IFERROR(VLOOKUP($C270,'PORTIFÓLIO'!C:V,4,0),"")</f>
        <v/>
      </c>
      <c r="G270" s="215" t="str">
        <f>IFERROR(VLOOKUP($C270,'PORTIFÓLIO'!C:V,5,0),"")</f>
        <v/>
      </c>
      <c r="H270" s="254" t="str">
        <f t="array" ref="H270">IFERROR(INDEX('PORTIFÓLIO'!$H$4:$H$433,MATCH($C270,'PORTIFÓLIO'!$C$4:$C$433,0)),"")</f>
        <v/>
      </c>
      <c r="I270" s="256"/>
      <c r="J270" s="218">
        <f t="shared" si="29"/>
        <v>0</v>
      </c>
      <c r="K270" s="292" t="str">
        <f t="array" ref="K270">IFERROR(I270*INDEX('PORTIFÓLIO'!$S$4:$S$433,MATCH($C270,'PORTIFÓLIO'!$C$4:$C$433,0)),"")</f>
        <v/>
      </c>
      <c r="L270" s="292" t="str">
        <f t="array" ref="L270">IFERROR(J270*INDEX('PORTIFÓLIO'!$S$4:$S$433,MATCH($C270,'PORTIFÓLIO'!$C$4:$C$433,0)),"")</f>
        <v/>
      </c>
      <c r="M270" s="220"/>
      <c r="N270" s="220"/>
      <c r="O270" s="220"/>
      <c r="P270" s="220"/>
      <c r="Q270" s="220"/>
      <c r="R270" s="220"/>
      <c r="S270" s="220"/>
      <c r="T270" s="220"/>
      <c r="U270" s="220"/>
      <c r="V270" s="220"/>
      <c r="W270" s="220"/>
    </row>
    <row r="271" ht="15.75" customHeight="1">
      <c r="A271" s="229" t="s">
        <v>1185</v>
      </c>
      <c r="B271" s="230"/>
      <c r="C271" s="231"/>
      <c r="D271" s="232"/>
      <c r="E271" s="231"/>
      <c r="F271" s="231"/>
      <c r="G271" s="233"/>
      <c r="H271" s="233"/>
      <c r="I271" s="258"/>
      <c r="J271" s="236"/>
      <c r="K271" s="237">
        <f t="shared" ref="K271:L271" si="30">SUBTOTAL(9,K272:K285)</f>
        <v>0</v>
      </c>
      <c r="L271" s="237">
        <f t="shared" si="30"/>
        <v>0</v>
      </c>
      <c r="M271" s="220"/>
      <c r="N271" s="220"/>
      <c r="O271" s="220"/>
      <c r="P271" s="220"/>
      <c r="Q271" s="220"/>
      <c r="R271" s="220"/>
      <c r="S271" s="220"/>
      <c r="T271" s="220"/>
      <c r="U271" s="220"/>
      <c r="V271" s="220"/>
      <c r="W271" s="220"/>
    </row>
    <row r="272" ht="15.75" customHeight="1" outlineLevel="1">
      <c r="A272" s="213"/>
      <c r="B272" s="212"/>
      <c r="C272" s="213"/>
      <c r="D272" s="214" t="str">
        <f>IFERROR(VLOOKUP($C272,'PORTIFÓLIO'!C:V,2,0),"")</f>
        <v/>
      </c>
      <c r="E272" s="211" t="str">
        <f>IFERROR(VLOOKUP($C272,'PORTIFÓLIO'!C:V,3,0),"")</f>
        <v/>
      </c>
      <c r="F272" s="211" t="str">
        <f>IFERROR(VLOOKUP($C272,'PORTIFÓLIO'!C:V,4,0),"")</f>
        <v/>
      </c>
      <c r="G272" s="215" t="str">
        <f>IFERROR(VLOOKUP($C272,'PORTIFÓLIO'!C:V,5,0),"")</f>
        <v/>
      </c>
      <c r="H272" s="254" t="str">
        <f t="array" ref="H272">IFERROR(INDEX('PORTIFÓLIO'!$H$4:$H$433,MATCH($C272,'PORTIFÓLIO'!$C$4:$C$433,0)),"")</f>
        <v/>
      </c>
      <c r="I272" s="255"/>
      <c r="J272" s="218">
        <f t="shared" ref="J272:J289" si="31">I272*$B$2</f>
        <v>0</v>
      </c>
      <c r="K272" s="292" t="str">
        <f t="array" ref="K272">IFERROR(I272*INDEX('PORTIFÓLIO'!$S$4:$S$433,MATCH($C272,'PORTIFÓLIO'!$C$4:$C$433,0)),"")</f>
        <v/>
      </c>
      <c r="L272" s="292" t="str">
        <f t="array" ref="L272">IFERROR(J272*INDEX('PORTIFÓLIO'!$S$4:$S$433,MATCH($C272,'PORTIFÓLIO'!$C$4:$C$433,0)),"")</f>
        <v/>
      </c>
      <c r="M272" s="220"/>
      <c r="N272" s="220"/>
      <c r="O272" s="220"/>
      <c r="P272" s="220"/>
      <c r="Q272" s="220"/>
      <c r="R272" s="220"/>
      <c r="S272" s="220"/>
      <c r="T272" s="220"/>
      <c r="U272" s="220"/>
      <c r="V272" s="220"/>
      <c r="W272" s="220"/>
    </row>
    <row r="273" ht="15.75" customHeight="1" outlineLevel="1">
      <c r="A273" s="211"/>
      <c r="B273" s="212"/>
      <c r="C273" s="213"/>
      <c r="D273" s="214" t="str">
        <f>IFERROR(VLOOKUP($C273,'PORTIFÓLIO'!C:V,2,0),"")</f>
        <v/>
      </c>
      <c r="E273" s="211" t="str">
        <f>IFERROR(VLOOKUP($C273,'PORTIFÓLIO'!C:V,3,0),"")</f>
        <v/>
      </c>
      <c r="F273" s="211" t="str">
        <f>IFERROR(VLOOKUP($C273,'PORTIFÓLIO'!C:V,4,0),"")</f>
        <v/>
      </c>
      <c r="G273" s="215" t="str">
        <f>IFERROR(VLOOKUP($C273,'PORTIFÓLIO'!C:V,5,0),"")</f>
        <v/>
      </c>
      <c r="H273" s="254" t="str">
        <f t="array" ref="H273">IFERROR(INDEX('PORTIFÓLIO'!$H$4:$H$433,MATCH($C273,'PORTIFÓLIO'!$C$4:$C$433,0)),"")</f>
        <v/>
      </c>
      <c r="I273" s="256"/>
      <c r="J273" s="218">
        <f t="shared" si="31"/>
        <v>0</v>
      </c>
      <c r="K273" s="292" t="str">
        <f t="array" ref="K273">IFERROR(I273*INDEX('PORTIFÓLIO'!$S$4:$S$433,MATCH($C273,'PORTIFÓLIO'!$C$4:$C$433,0)),"")</f>
        <v/>
      </c>
      <c r="L273" s="292" t="str">
        <f t="array" ref="L273">IFERROR(J273*INDEX('PORTIFÓLIO'!$S$4:$S$433,MATCH($C273,'PORTIFÓLIO'!$C$4:$C$433,0)),"")</f>
        <v/>
      </c>
      <c r="M273" s="220"/>
      <c r="N273" s="220"/>
      <c r="O273" s="220"/>
      <c r="P273" s="220"/>
      <c r="Q273" s="220"/>
      <c r="R273" s="220"/>
      <c r="S273" s="220"/>
      <c r="T273" s="220"/>
      <c r="U273" s="220"/>
      <c r="V273" s="220"/>
      <c r="W273" s="220"/>
    </row>
    <row r="274" ht="15.75" customHeight="1" outlineLevel="1">
      <c r="A274" s="211"/>
      <c r="B274" s="212"/>
      <c r="C274" s="213"/>
      <c r="D274" s="214" t="str">
        <f>IFERROR(VLOOKUP($C274,'PORTIFÓLIO'!C:V,2,0),"")</f>
        <v/>
      </c>
      <c r="E274" s="211" t="str">
        <f>IFERROR(VLOOKUP($C274,'PORTIFÓLIO'!C:V,3,0),"")</f>
        <v/>
      </c>
      <c r="F274" s="211" t="str">
        <f>IFERROR(VLOOKUP($C274,'PORTIFÓLIO'!C:V,4,0),"")</f>
        <v/>
      </c>
      <c r="G274" s="215" t="str">
        <f>IFERROR(VLOOKUP($C274,'PORTIFÓLIO'!C:V,5,0),"")</f>
        <v/>
      </c>
      <c r="H274" s="254" t="str">
        <f t="array" ref="H274">IFERROR(INDEX('PORTIFÓLIO'!$H$4:$H$433,MATCH($C274,'PORTIFÓLIO'!$C$4:$C$433,0)),"")</f>
        <v/>
      </c>
      <c r="I274" s="256"/>
      <c r="J274" s="218">
        <f t="shared" si="31"/>
        <v>0</v>
      </c>
      <c r="K274" s="292" t="str">
        <f t="array" ref="K274">IFERROR(I274*INDEX('PORTIFÓLIO'!$S$4:$S$433,MATCH($C274,'PORTIFÓLIO'!$C$4:$C$433,0)),"")</f>
        <v/>
      </c>
      <c r="L274" s="292" t="str">
        <f t="array" ref="L274">IFERROR(J274*INDEX('PORTIFÓLIO'!$S$4:$S$433,MATCH($C274,'PORTIFÓLIO'!$C$4:$C$433,0)),"")</f>
        <v/>
      </c>
      <c r="M274" s="220"/>
      <c r="N274" s="220"/>
      <c r="O274" s="220"/>
      <c r="P274" s="220"/>
      <c r="Q274" s="220"/>
      <c r="R274" s="220"/>
      <c r="S274" s="220"/>
      <c r="T274" s="220"/>
      <c r="U274" s="220"/>
      <c r="V274" s="220"/>
      <c r="W274" s="220"/>
    </row>
    <row r="275" ht="15.75" customHeight="1" outlineLevel="1">
      <c r="A275" s="211"/>
      <c r="B275" s="212"/>
      <c r="C275" s="213"/>
      <c r="D275" s="214" t="str">
        <f>IFERROR(VLOOKUP($C275,'PORTIFÓLIO'!C:V,2,0),"")</f>
        <v/>
      </c>
      <c r="E275" s="211" t="str">
        <f>IFERROR(VLOOKUP($C275,'PORTIFÓLIO'!C:V,3,0),"")</f>
        <v/>
      </c>
      <c r="F275" s="211" t="str">
        <f>IFERROR(VLOOKUP($C275,'PORTIFÓLIO'!C:V,4,0),"")</f>
        <v/>
      </c>
      <c r="G275" s="215" t="str">
        <f>IFERROR(VLOOKUP($C275,'PORTIFÓLIO'!C:V,5,0),"")</f>
        <v/>
      </c>
      <c r="H275" s="254" t="str">
        <f t="array" ref="H275">IFERROR(INDEX('PORTIFÓLIO'!$H$4:$H$433,MATCH($C275,'PORTIFÓLIO'!$C$4:$C$433,0)),"")</f>
        <v/>
      </c>
      <c r="I275" s="256"/>
      <c r="J275" s="218">
        <f t="shared" si="31"/>
        <v>0</v>
      </c>
      <c r="K275" s="292" t="str">
        <f t="array" ref="K275">IFERROR(I275*INDEX('PORTIFÓLIO'!$S$4:$S$433,MATCH($C275,'PORTIFÓLIO'!$C$4:$C$433,0)),"")</f>
        <v/>
      </c>
      <c r="L275" s="292" t="str">
        <f t="array" ref="L275">IFERROR(J275*INDEX('PORTIFÓLIO'!$S$4:$S$433,MATCH($C275,'PORTIFÓLIO'!$C$4:$C$433,0)),"")</f>
        <v/>
      </c>
      <c r="M275" s="220"/>
      <c r="N275" s="220"/>
      <c r="O275" s="220"/>
      <c r="P275" s="220"/>
      <c r="Q275" s="220"/>
      <c r="R275" s="220"/>
      <c r="S275" s="220"/>
      <c r="T275" s="220"/>
      <c r="U275" s="220"/>
      <c r="V275" s="220"/>
      <c r="W275" s="220"/>
    </row>
    <row r="276" ht="15.75" customHeight="1" outlineLevel="1">
      <c r="A276" s="211"/>
      <c r="B276" s="212"/>
      <c r="C276" s="213"/>
      <c r="D276" s="214" t="str">
        <f>IFERROR(VLOOKUP($C276,'PORTIFÓLIO'!C:V,2,0),"")</f>
        <v/>
      </c>
      <c r="E276" s="211" t="str">
        <f>IFERROR(VLOOKUP($C276,'PORTIFÓLIO'!C:V,3,0),"")</f>
        <v/>
      </c>
      <c r="F276" s="211" t="str">
        <f>IFERROR(VLOOKUP($C276,'PORTIFÓLIO'!C:V,4,0),"")</f>
        <v/>
      </c>
      <c r="G276" s="215" t="str">
        <f>IFERROR(VLOOKUP($C276,'PORTIFÓLIO'!C:V,5,0),"")</f>
        <v/>
      </c>
      <c r="H276" s="254" t="str">
        <f t="array" ref="H276">IFERROR(INDEX('PORTIFÓLIO'!$H$4:$H$433,MATCH($C276,'PORTIFÓLIO'!$C$4:$C$433,0)),"")</f>
        <v/>
      </c>
      <c r="I276" s="256"/>
      <c r="J276" s="218">
        <f t="shared" si="31"/>
        <v>0</v>
      </c>
      <c r="K276" s="292" t="str">
        <f t="array" ref="K276">IFERROR(I276*INDEX('PORTIFÓLIO'!$S$4:$S$433,MATCH($C276,'PORTIFÓLIO'!$C$4:$C$433,0)),"")</f>
        <v/>
      </c>
      <c r="L276" s="292" t="str">
        <f t="array" ref="L276">IFERROR(J276*INDEX('PORTIFÓLIO'!$S$4:$S$433,MATCH($C276,'PORTIFÓLIO'!$C$4:$C$433,0)),"")</f>
        <v/>
      </c>
      <c r="M276" s="220"/>
      <c r="N276" s="220"/>
      <c r="O276" s="220"/>
      <c r="P276" s="220"/>
      <c r="Q276" s="220"/>
      <c r="R276" s="220"/>
      <c r="S276" s="220"/>
      <c r="T276" s="220"/>
      <c r="U276" s="220"/>
      <c r="V276" s="220"/>
      <c r="W276" s="220"/>
    </row>
    <row r="277" ht="15.75" customHeight="1" outlineLevel="1">
      <c r="A277" s="211"/>
      <c r="B277" s="212"/>
      <c r="C277" s="213"/>
      <c r="D277" s="214" t="str">
        <f>IFERROR(VLOOKUP($C277,'PORTIFÓLIO'!C:V,2,0),"")</f>
        <v/>
      </c>
      <c r="E277" s="211" t="str">
        <f>IFERROR(VLOOKUP($C277,'PORTIFÓLIO'!C:V,3,0),"")</f>
        <v/>
      </c>
      <c r="F277" s="211" t="str">
        <f>IFERROR(VLOOKUP($C277,'PORTIFÓLIO'!C:V,4,0),"")</f>
        <v/>
      </c>
      <c r="G277" s="215" t="str">
        <f>IFERROR(VLOOKUP($C277,'PORTIFÓLIO'!C:V,5,0),"")</f>
        <v/>
      </c>
      <c r="H277" s="254" t="str">
        <f t="array" ref="H277">IFERROR(INDEX('PORTIFÓLIO'!$H$4:$H$433,MATCH($C277,'PORTIFÓLIO'!$C$4:$C$433,0)),"")</f>
        <v/>
      </c>
      <c r="I277" s="256"/>
      <c r="J277" s="218">
        <f t="shared" si="31"/>
        <v>0</v>
      </c>
      <c r="K277" s="292" t="str">
        <f t="array" ref="K277">IFERROR(I277*INDEX('PORTIFÓLIO'!$S$4:$S$433,MATCH($C277,'PORTIFÓLIO'!$C$4:$C$433,0)),"")</f>
        <v/>
      </c>
      <c r="L277" s="292" t="str">
        <f t="array" ref="L277">IFERROR(J277*INDEX('PORTIFÓLIO'!$S$4:$S$433,MATCH($C277,'PORTIFÓLIO'!$C$4:$C$433,0)),"")</f>
        <v/>
      </c>
      <c r="M277" s="220"/>
      <c r="N277" s="220"/>
      <c r="O277" s="220"/>
      <c r="P277" s="220"/>
      <c r="Q277" s="220"/>
      <c r="R277" s="220"/>
      <c r="S277" s="220"/>
      <c r="T277" s="220"/>
      <c r="U277" s="220"/>
      <c r="V277" s="220"/>
      <c r="W277" s="220"/>
    </row>
    <row r="278" ht="15.75" customHeight="1" outlineLevel="1">
      <c r="A278" s="211"/>
      <c r="B278" s="212"/>
      <c r="C278" s="213"/>
      <c r="D278" s="214" t="str">
        <f>IFERROR(VLOOKUP($C278,'PORTIFÓLIO'!C:V,2,0),"")</f>
        <v/>
      </c>
      <c r="E278" s="211" t="str">
        <f>IFERROR(VLOOKUP($C278,'PORTIFÓLIO'!C:V,3,0),"")</f>
        <v/>
      </c>
      <c r="F278" s="211" t="str">
        <f>IFERROR(VLOOKUP($C278,'PORTIFÓLIO'!C:V,4,0),"")</f>
        <v/>
      </c>
      <c r="G278" s="215" t="str">
        <f>IFERROR(VLOOKUP($C278,'PORTIFÓLIO'!C:V,5,0),"")</f>
        <v/>
      </c>
      <c r="H278" s="254" t="str">
        <f t="array" ref="H278">IFERROR(INDEX('PORTIFÓLIO'!$H$4:$H$433,MATCH($C278,'PORTIFÓLIO'!$C$4:$C$433,0)),"")</f>
        <v/>
      </c>
      <c r="I278" s="256"/>
      <c r="J278" s="218">
        <f t="shared" si="31"/>
        <v>0</v>
      </c>
      <c r="K278" s="292" t="str">
        <f t="array" ref="K278">IFERROR(I278*INDEX('PORTIFÓLIO'!$S$4:$S$433,MATCH($C278,'PORTIFÓLIO'!$C$4:$C$433,0)),"")</f>
        <v/>
      </c>
      <c r="L278" s="292" t="str">
        <f t="array" ref="L278">IFERROR(J278*INDEX('PORTIFÓLIO'!$S$4:$S$433,MATCH($C278,'PORTIFÓLIO'!$C$4:$C$433,0)),"")</f>
        <v/>
      </c>
      <c r="M278" s="220"/>
      <c r="N278" s="220"/>
      <c r="O278" s="220"/>
      <c r="P278" s="220"/>
      <c r="Q278" s="220"/>
      <c r="R278" s="220"/>
      <c r="S278" s="220"/>
      <c r="T278" s="220"/>
      <c r="U278" s="220"/>
      <c r="V278" s="220"/>
      <c r="W278" s="220"/>
    </row>
    <row r="279" ht="15.75" customHeight="1" outlineLevel="1">
      <c r="A279" s="211"/>
      <c r="B279" s="212"/>
      <c r="C279" s="213"/>
      <c r="D279" s="214" t="str">
        <f>IFERROR(VLOOKUP($C279,'PORTIFÓLIO'!C:V,2,0),"")</f>
        <v/>
      </c>
      <c r="E279" s="211" t="str">
        <f>IFERROR(VLOOKUP($C279,'PORTIFÓLIO'!C:V,3,0),"")</f>
        <v/>
      </c>
      <c r="F279" s="211" t="str">
        <f>IFERROR(VLOOKUP($C279,'PORTIFÓLIO'!C:V,4,0),"")</f>
        <v/>
      </c>
      <c r="G279" s="215" t="str">
        <f>IFERROR(VLOOKUP($C279,'PORTIFÓLIO'!C:V,5,0),"")</f>
        <v/>
      </c>
      <c r="H279" s="254" t="str">
        <f t="array" ref="H279">IFERROR(INDEX('PORTIFÓLIO'!$H$4:$H$433,MATCH($C279,'PORTIFÓLIO'!$C$4:$C$433,0)),"")</f>
        <v/>
      </c>
      <c r="I279" s="256"/>
      <c r="J279" s="218">
        <f t="shared" si="31"/>
        <v>0</v>
      </c>
      <c r="K279" s="292" t="str">
        <f t="array" ref="K279">IFERROR(I279*INDEX('PORTIFÓLIO'!$S$4:$S$433,MATCH($C279,'PORTIFÓLIO'!$C$4:$C$433,0)),"")</f>
        <v/>
      </c>
      <c r="L279" s="292" t="str">
        <f t="array" ref="L279">IFERROR(J279*INDEX('PORTIFÓLIO'!$S$4:$S$433,MATCH($C279,'PORTIFÓLIO'!$C$4:$C$433,0)),"")</f>
        <v/>
      </c>
      <c r="M279" s="220"/>
      <c r="N279" s="220"/>
      <c r="O279" s="220"/>
      <c r="P279" s="220"/>
      <c r="Q279" s="220"/>
      <c r="R279" s="220"/>
      <c r="S279" s="220"/>
      <c r="T279" s="220"/>
      <c r="U279" s="220"/>
      <c r="V279" s="220"/>
      <c r="W279" s="220"/>
    </row>
    <row r="280" ht="15.75" customHeight="1" outlineLevel="1">
      <c r="A280" s="211"/>
      <c r="B280" s="212"/>
      <c r="C280" s="213"/>
      <c r="D280" s="214" t="str">
        <f>IFERROR(VLOOKUP($C280,'PORTIFÓLIO'!C:V,2,0),"")</f>
        <v/>
      </c>
      <c r="E280" s="211" t="str">
        <f>IFERROR(VLOOKUP($C280,'PORTIFÓLIO'!C:V,3,0),"")</f>
        <v/>
      </c>
      <c r="F280" s="211" t="str">
        <f>IFERROR(VLOOKUP($C280,'PORTIFÓLIO'!C:V,4,0),"")</f>
        <v/>
      </c>
      <c r="G280" s="215" t="str">
        <f>IFERROR(VLOOKUP($C280,'PORTIFÓLIO'!C:V,5,0),"")</f>
        <v/>
      </c>
      <c r="H280" s="254" t="str">
        <f t="array" ref="H280">IFERROR(INDEX('PORTIFÓLIO'!$H$4:$H$433,MATCH($C280,'PORTIFÓLIO'!$C$4:$C$433,0)),"")</f>
        <v/>
      </c>
      <c r="I280" s="255"/>
      <c r="J280" s="218">
        <f t="shared" si="31"/>
        <v>0</v>
      </c>
      <c r="K280" s="292" t="str">
        <f t="array" ref="K280">IFERROR(I280*INDEX('PORTIFÓLIO'!$S$4:$S$433,MATCH($C280,'PORTIFÓLIO'!$C$4:$C$433,0)),"")</f>
        <v/>
      </c>
      <c r="L280" s="292" t="str">
        <f t="array" ref="L280">IFERROR(J280*INDEX('PORTIFÓLIO'!$S$4:$S$433,MATCH($C280,'PORTIFÓLIO'!$C$4:$C$433,0)),"")</f>
        <v/>
      </c>
      <c r="M280" s="220"/>
      <c r="N280" s="220"/>
      <c r="O280" s="220"/>
      <c r="P280" s="220"/>
      <c r="Q280" s="220"/>
      <c r="R280" s="220"/>
      <c r="S280" s="220"/>
      <c r="T280" s="220"/>
      <c r="U280" s="220"/>
      <c r="V280" s="220"/>
      <c r="W280" s="220"/>
    </row>
    <row r="281" ht="15.75" customHeight="1" outlineLevel="1">
      <c r="A281" s="211"/>
      <c r="B281" s="212"/>
      <c r="C281" s="213"/>
      <c r="D281" s="214" t="str">
        <f>IFERROR(VLOOKUP($C281,'PORTIFÓLIO'!C:V,2,0),"")</f>
        <v/>
      </c>
      <c r="E281" s="211" t="str">
        <f>IFERROR(VLOOKUP($C281,'PORTIFÓLIO'!C:V,3,0),"")</f>
        <v/>
      </c>
      <c r="F281" s="211" t="str">
        <f>IFERROR(VLOOKUP($C281,'PORTIFÓLIO'!C:V,4,0),"")</f>
        <v/>
      </c>
      <c r="G281" s="215" t="str">
        <f>IFERROR(VLOOKUP($C281,'PORTIFÓLIO'!C:V,5,0),"")</f>
        <v/>
      </c>
      <c r="H281" s="254" t="str">
        <f t="array" ref="H281">IFERROR(INDEX('PORTIFÓLIO'!$H$4:$H$433,MATCH($C281,'PORTIFÓLIO'!$C$4:$C$433,0)),"")</f>
        <v/>
      </c>
      <c r="I281" s="256"/>
      <c r="J281" s="218">
        <f t="shared" si="31"/>
        <v>0</v>
      </c>
      <c r="K281" s="292" t="str">
        <f t="array" ref="K281">IFERROR(I281*INDEX('PORTIFÓLIO'!$S$4:$S$433,MATCH($C281,'PORTIFÓLIO'!$C$4:$C$433,0)),"")</f>
        <v/>
      </c>
      <c r="L281" s="292" t="str">
        <f t="array" ref="L281">IFERROR(J281*INDEX('PORTIFÓLIO'!$S$4:$S$433,MATCH($C281,'PORTIFÓLIO'!$C$4:$C$433,0)),"")</f>
        <v/>
      </c>
      <c r="M281" s="220"/>
      <c r="N281" s="220"/>
      <c r="O281" s="220"/>
      <c r="P281" s="220"/>
      <c r="Q281" s="220"/>
      <c r="R281" s="220"/>
      <c r="S281" s="220"/>
      <c r="T281" s="220"/>
      <c r="U281" s="220"/>
      <c r="V281" s="220"/>
      <c r="W281" s="220"/>
    </row>
    <row r="282" ht="15.75" customHeight="1" outlineLevel="1">
      <c r="A282" s="211"/>
      <c r="B282" s="212"/>
      <c r="C282" s="213"/>
      <c r="D282" s="214" t="str">
        <f>IFERROR(VLOOKUP($C282,'PORTIFÓLIO'!C:V,2,0),"")</f>
        <v/>
      </c>
      <c r="E282" s="211" t="str">
        <f>IFERROR(VLOOKUP($C282,'PORTIFÓLIO'!C:V,3,0),"")</f>
        <v/>
      </c>
      <c r="F282" s="211" t="str">
        <f>IFERROR(VLOOKUP($C282,'PORTIFÓLIO'!C:V,4,0),"")</f>
        <v/>
      </c>
      <c r="G282" s="215" t="str">
        <f>IFERROR(VLOOKUP($C282,'PORTIFÓLIO'!C:V,5,0),"")</f>
        <v/>
      </c>
      <c r="H282" s="254" t="str">
        <f t="array" ref="H282">IFERROR(INDEX('PORTIFÓLIO'!$H$4:$H$433,MATCH($C282,'PORTIFÓLIO'!$C$4:$C$433,0)),"")</f>
        <v/>
      </c>
      <c r="I282" s="256"/>
      <c r="J282" s="218">
        <f t="shared" si="31"/>
        <v>0</v>
      </c>
      <c r="K282" s="292" t="str">
        <f t="array" ref="K282">IFERROR(I282*INDEX('PORTIFÓLIO'!$S$4:$S$433,MATCH($C282,'PORTIFÓLIO'!$C$4:$C$433,0)),"")</f>
        <v/>
      </c>
      <c r="L282" s="292" t="str">
        <f t="array" ref="L282">IFERROR(J282*INDEX('PORTIFÓLIO'!$S$4:$S$433,MATCH($C282,'PORTIFÓLIO'!$C$4:$C$433,0)),"")</f>
        <v/>
      </c>
      <c r="M282" s="220"/>
      <c r="N282" s="220"/>
      <c r="O282" s="220"/>
      <c r="P282" s="220"/>
      <c r="Q282" s="220"/>
      <c r="R282" s="220"/>
      <c r="S282" s="220"/>
      <c r="T282" s="220"/>
      <c r="U282" s="220"/>
      <c r="V282" s="220"/>
      <c r="W282" s="220"/>
    </row>
    <row r="283" ht="15.75" customHeight="1" outlineLevel="1">
      <c r="A283" s="211"/>
      <c r="B283" s="212"/>
      <c r="C283" s="213"/>
      <c r="D283" s="214" t="str">
        <f>IFERROR(VLOOKUP($C283,'PORTIFÓLIO'!C:V,2,0),"")</f>
        <v/>
      </c>
      <c r="E283" s="211" t="str">
        <f>IFERROR(VLOOKUP($C283,'PORTIFÓLIO'!C:V,3,0),"")</f>
        <v/>
      </c>
      <c r="F283" s="211" t="str">
        <f>IFERROR(VLOOKUP($C283,'PORTIFÓLIO'!C:V,4,0),"")</f>
        <v/>
      </c>
      <c r="G283" s="215" t="str">
        <f>IFERROR(VLOOKUP($C283,'PORTIFÓLIO'!C:V,5,0),"")</f>
        <v/>
      </c>
      <c r="H283" s="254" t="str">
        <f t="array" ref="H283">IFERROR(INDEX('PORTIFÓLIO'!$H$4:$H$433,MATCH($C283,'PORTIFÓLIO'!$C$4:$C$433,0)),"")</f>
        <v/>
      </c>
      <c r="I283" s="256"/>
      <c r="J283" s="218">
        <f t="shared" si="31"/>
        <v>0</v>
      </c>
      <c r="K283" s="292" t="str">
        <f t="array" ref="K283">IFERROR(I283*INDEX('PORTIFÓLIO'!$S$4:$S$433,MATCH($C283,'PORTIFÓLIO'!$C$4:$C$433,0)),"")</f>
        <v/>
      </c>
      <c r="L283" s="292" t="str">
        <f t="array" ref="L283">IFERROR(J283*INDEX('PORTIFÓLIO'!$S$4:$S$433,MATCH($C283,'PORTIFÓLIO'!$C$4:$C$433,0)),"")</f>
        <v/>
      </c>
      <c r="M283" s="220"/>
      <c r="N283" s="220"/>
      <c r="O283" s="220"/>
      <c r="P283" s="220"/>
      <c r="Q283" s="220"/>
      <c r="R283" s="220"/>
      <c r="S283" s="220"/>
      <c r="T283" s="220"/>
      <c r="U283" s="220"/>
      <c r="V283" s="220"/>
      <c r="W283" s="220"/>
    </row>
    <row r="284" ht="15.75" customHeight="1" outlineLevel="1">
      <c r="A284" s="211"/>
      <c r="B284" s="212"/>
      <c r="C284" s="213"/>
      <c r="D284" s="214" t="str">
        <f>IFERROR(VLOOKUP($C284,'PORTIFÓLIO'!C:V,2,0),"")</f>
        <v/>
      </c>
      <c r="E284" s="211" t="str">
        <f>IFERROR(VLOOKUP($C284,'PORTIFÓLIO'!C:V,3,0),"")</f>
        <v/>
      </c>
      <c r="F284" s="211" t="str">
        <f>IFERROR(VLOOKUP($C284,'PORTIFÓLIO'!C:V,4,0),"")</f>
        <v/>
      </c>
      <c r="G284" s="215" t="str">
        <f>IFERROR(VLOOKUP($C284,'PORTIFÓLIO'!C:V,5,0),"")</f>
        <v/>
      </c>
      <c r="H284" s="254" t="str">
        <f t="array" ref="H284">IFERROR(INDEX('PORTIFÓLIO'!$H$4:$H$433,MATCH($C284,'PORTIFÓLIO'!$C$4:$C$433,0)),"")</f>
        <v/>
      </c>
      <c r="I284" s="256"/>
      <c r="J284" s="218">
        <f t="shared" si="31"/>
        <v>0</v>
      </c>
      <c r="K284" s="292" t="str">
        <f t="array" ref="K284">IFERROR(I284*INDEX('PORTIFÓLIO'!$S$4:$S$433,MATCH($C284,'PORTIFÓLIO'!$C$4:$C$433,0)),"")</f>
        <v/>
      </c>
      <c r="L284" s="292" t="str">
        <f t="array" ref="L284">IFERROR(J284*INDEX('PORTIFÓLIO'!$S$4:$S$433,MATCH($C284,'PORTIFÓLIO'!$C$4:$C$433,0)),"")</f>
        <v/>
      </c>
      <c r="M284" s="220"/>
      <c r="N284" s="220"/>
      <c r="O284" s="220"/>
      <c r="P284" s="220"/>
      <c r="Q284" s="220"/>
      <c r="R284" s="220"/>
      <c r="S284" s="220"/>
      <c r="T284" s="220"/>
      <c r="U284" s="220"/>
      <c r="V284" s="220"/>
      <c r="W284" s="220"/>
    </row>
    <row r="285" ht="15.75" customHeight="1" outlineLevel="1">
      <c r="A285" s="211"/>
      <c r="B285" s="212"/>
      <c r="C285" s="213"/>
      <c r="D285" s="214" t="str">
        <f>IFERROR(VLOOKUP($C285,'PORTIFÓLIO'!C:V,2,0),"")</f>
        <v/>
      </c>
      <c r="E285" s="211" t="str">
        <f>IFERROR(VLOOKUP($C285,'PORTIFÓLIO'!C:V,3,0),"")</f>
        <v/>
      </c>
      <c r="F285" s="211" t="str">
        <f>IFERROR(VLOOKUP($C285,'PORTIFÓLIO'!C:V,4,0),"")</f>
        <v/>
      </c>
      <c r="G285" s="215" t="str">
        <f>IFERROR(VLOOKUP($C285,'PORTIFÓLIO'!C:V,5,0),"")</f>
        <v/>
      </c>
      <c r="H285" s="254" t="str">
        <f t="array" ref="H285">IFERROR(INDEX('PORTIFÓLIO'!$H$4:$H$433,MATCH($C285,'PORTIFÓLIO'!$C$4:$C$433,0)),"")</f>
        <v/>
      </c>
      <c r="I285" s="256"/>
      <c r="J285" s="218">
        <f t="shared" si="31"/>
        <v>0</v>
      </c>
      <c r="K285" s="292" t="str">
        <f t="array" ref="K285">IFERROR(I285*INDEX('PORTIFÓLIO'!$S$4:$S$433,MATCH($C285,'PORTIFÓLIO'!$C$4:$C$433,0)),"")</f>
        <v/>
      </c>
      <c r="L285" s="292" t="str">
        <f t="array" ref="L285">IFERROR(J285*INDEX('PORTIFÓLIO'!$S$4:$S$433,MATCH($C285,'PORTIFÓLIO'!$C$4:$C$433,0)),"")</f>
        <v/>
      </c>
      <c r="M285" s="220"/>
      <c r="N285" s="220"/>
      <c r="O285" s="220"/>
      <c r="P285" s="220"/>
      <c r="Q285" s="220"/>
      <c r="R285" s="220"/>
      <c r="S285" s="220"/>
      <c r="T285" s="220"/>
      <c r="U285" s="220"/>
      <c r="V285" s="220"/>
      <c r="W285" s="220"/>
    </row>
    <row r="286" ht="15.75" customHeight="1" outlineLevel="1">
      <c r="A286" s="211"/>
      <c r="B286" s="212"/>
      <c r="C286" s="213"/>
      <c r="D286" s="214" t="str">
        <f>IFERROR(VLOOKUP($C286,'PORTIFÓLIO'!C:V,2,0),"")</f>
        <v/>
      </c>
      <c r="E286" s="211" t="str">
        <f>IFERROR(VLOOKUP($C286,'PORTIFÓLIO'!C:V,3,0),"")</f>
        <v/>
      </c>
      <c r="F286" s="211" t="str">
        <f>IFERROR(VLOOKUP($C286,'PORTIFÓLIO'!C:V,4,0),"")</f>
        <v/>
      </c>
      <c r="G286" s="215" t="str">
        <f>IFERROR(VLOOKUP($C286,'PORTIFÓLIO'!C:V,5,0),"")</f>
        <v/>
      </c>
      <c r="H286" s="254" t="str">
        <f t="array" ref="H286">IFERROR(INDEX('PORTIFÓLIO'!$H$4:$H$433,MATCH($C286,'PORTIFÓLIO'!$C$4:$C$433,0)),"")</f>
        <v/>
      </c>
      <c r="I286" s="256"/>
      <c r="J286" s="218">
        <f t="shared" si="31"/>
        <v>0</v>
      </c>
      <c r="K286" s="292" t="str">
        <f t="array" ref="K286">IFERROR(I286*INDEX('PORTIFÓLIO'!$S$4:$S$433,MATCH($C286,'PORTIFÓLIO'!$C$4:$C$433,0)),"")</f>
        <v/>
      </c>
      <c r="L286" s="292" t="str">
        <f t="array" ref="L286">IFERROR(J286*INDEX('PORTIFÓLIO'!$S$4:$S$433,MATCH($C286,'PORTIFÓLIO'!$C$4:$C$433,0)),"")</f>
        <v/>
      </c>
      <c r="M286" s="220"/>
      <c r="N286" s="220"/>
      <c r="O286" s="220"/>
      <c r="P286" s="220"/>
      <c r="Q286" s="220"/>
      <c r="R286" s="220"/>
      <c r="S286" s="220"/>
      <c r="T286" s="220"/>
      <c r="U286" s="220"/>
      <c r="V286" s="220"/>
      <c r="W286" s="220"/>
    </row>
    <row r="287" ht="15.75" customHeight="1" outlineLevel="1">
      <c r="A287" s="211"/>
      <c r="B287" s="212"/>
      <c r="C287" s="213"/>
      <c r="D287" s="214" t="str">
        <f>IFERROR(VLOOKUP($C287,'PORTIFÓLIO'!C:V,2,0),"")</f>
        <v/>
      </c>
      <c r="E287" s="211" t="str">
        <f>IFERROR(VLOOKUP($C287,'PORTIFÓLIO'!C:V,3,0),"")</f>
        <v/>
      </c>
      <c r="F287" s="211" t="str">
        <f>IFERROR(VLOOKUP($C287,'PORTIFÓLIO'!C:V,4,0),"")</f>
        <v/>
      </c>
      <c r="G287" s="215" t="str">
        <f>IFERROR(VLOOKUP($C287,'PORTIFÓLIO'!C:V,5,0),"")</f>
        <v/>
      </c>
      <c r="H287" s="254" t="str">
        <f t="array" ref="H287">IFERROR(INDEX('PORTIFÓLIO'!$H$4:$H$433,MATCH($C287,'PORTIFÓLIO'!$C$4:$C$433,0)),"")</f>
        <v/>
      </c>
      <c r="I287" s="256"/>
      <c r="J287" s="218">
        <f t="shared" si="31"/>
        <v>0</v>
      </c>
      <c r="K287" s="292" t="str">
        <f t="array" ref="K287">IFERROR(I287*INDEX('PORTIFÓLIO'!$S$4:$S$433,MATCH($C287,'PORTIFÓLIO'!$C$4:$C$433,0)),"")</f>
        <v/>
      </c>
      <c r="L287" s="292" t="str">
        <f t="array" ref="L287">IFERROR(J287*INDEX('PORTIFÓLIO'!$S$4:$S$433,MATCH($C287,'PORTIFÓLIO'!$C$4:$C$433,0)),"")</f>
        <v/>
      </c>
      <c r="M287" s="220"/>
      <c r="N287" s="220"/>
      <c r="O287" s="220"/>
      <c r="P287" s="220"/>
      <c r="Q287" s="220"/>
      <c r="R287" s="220"/>
      <c r="S287" s="220"/>
      <c r="T287" s="220"/>
      <c r="U287" s="220"/>
      <c r="V287" s="220"/>
      <c r="W287" s="220"/>
    </row>
    <row r="288" ht="15.75" customHeight="1" outlineLevel="1">
      <c r="A288" s="211"/>
      <c r="B288" s="212"/>
      <c r="C288" s="213"/>
      <c r="D288" s="214" t="str">
        <f>IFERROR(VLOOKUP($C288,'PORTIFÓLIO'!C:V,2,0),"")</f>
        <v/>
      </c>
      <c r="E288" s="211" t="str">
        <f>IFERROR(VLOOKUP($C288,'PORTIFÓLIO'!C:V,3,0),"")</f>
        <v/>
      </c>
      <c r="F288" s="211" t="str">
        <f>IFERROR(VLOOKUP($C288,'PORTIFÓLIO'!C:V,4,0),"")</f>
        <v/>
      </c>
      <c r="G288" s="215" t="str">
        <f>IFERROR(VLOOKUP($C288,'PORTIFÓLIO'!C:V,5,0),"")</f>
        <v/>
      </c>
      <c r="H288" s="254" t="str">
        <f t="array" ref="H288">IFERROR(INDEX('PORTIFÓLIO'!$H$4:$H$433,MATCH($C288,'PORTIFÓLIO'!$C$4:$C$433,0)),"")</f>
        <v/>
      </c>
      <c r="I288" s="256"/>
      <c r="J288" s="218">
        <f t="shared" si="31"/>
        <v>0</v>
      </c>
      <c r="K288" s="292" t="str">
        <f t="array" ref="K288">IFERROR(I288*INDEX('PORTIFÓLIO'!$S$4:$S$433,MATCH($C288,'PORTIFÓLIO'!$C$4:$C$433,0)),"")</f>
        <v/>
      </c>
      <c r="L288" s="292" t="str">
        <f t="array" ref="L288">IFERROR(J288*INDEX('PORTIFÓLIO'!$S$4:$S$433,MATCH($C288,'PORTIFÓLIO'!$C$4:$C$433,0)),"")</f>
        <v/>
      </c>
      <c r="M288" s="220"/>
      <c r="N288" s="220"/>
      <c r="O288" s="220"/>
      <c r="P288" s="220"/>
      <c r="Q288" s="220"/>
      <c r="R288" s="220"/>
      <c r="S288" s="220"/>
      <c r="T288" s="220"/>
      <c r="U288" s="220"/>
      <c r="V288" s="220"/>
      <c r="W288" s="220"/>
    </row>
    <row r="289" ht="15.75" customHeight="1" outlineLevel="1">
      <c r="A289" s="211"/>
      <c r="B289" s="212"/>
      <c r="C289" s="213"/>
      <c r="D289" s="214" t="str">
        <f>IFERROR(VLOOKUP($C289,'PORTIFÓLIO'!C:V,2,0),"")</f>
        <v/>
      </c>
      <c r="E289" s="211" t="str">
        <f>IFERROR(VLOOKUP($C289,'PORTIFÓLIO'!C:V,3,0),"")</f>
        <v/>
      </c>
      <c r="F289" s="211" t="str">
        <f>IFERROR(VLOOKUP($C289,'PORTIFÓLIO'!C:V,4,0),"")</f>
        <v/>
      </c>
      <c r="G289" s="215" t="str">
        <f>IFERROR(VLOOKUP($C289,'PORTIFÓLIO'!C:V,5,0),"")</f>
        <v/>
      </c>
      <c r="H289" s="254" t="str">
        <f t="array" ref="H289">IFERROR(INDEX('PORTIFÓLIO'!$H$4:$H$433,MATCH($C289,'PORTIFÓLIO'!$C$4:$C$433,0)),"")</f>
        <v/>
      </c>
      <c r="I289" s="256"/>
      <c r="J289" s="218">
        <f t="shared" si="31"/>
        <v>0</v>
      </c>
      <c r="K289" s="292" t="str">
        <f t="array" ref="K289">IFERROR(I289*INDEX('PORTIFÓLIO'!$S$4:$S$433,MATCH($C289,'PORTIFÓLIO'!$C$4:$C$433,0)),"")</f>
        <v/>
      </c>
      <c r="L289" s="292" t="str">
        <f t="array" ref="L289">IFERROR(J289*INDEX('PORTIFÓLIO'!$S$4:$S$433,MATCH($C289,'PORTIFÓLIO'!$C$4:$C$433,0)),"")</f>
        <v/>
      </c>
      <c r="M289" s="220"/>
      <c r="N289" s="220"/>
      <c r="O289" s="220"/>
      <c r="P289" s="220"/>
      <c r="Q289" s="220"/>
      <c r="R289" s="220"/>
      <c r="S289" s="220"/>
      <c r="T289" s="220"/>
      <c r="U289" s="220"/>
      <c r="V289" s="220"/>
      <c r="W289" s="220"/>
    </row>
    <row r="290" ht="15.75" customHeight="1">
      <c r="A290" s="229" t="s">
        <v>1186</v>
      </c>
      <c r="B290" s="230"/>
      <c r="C290" s="231"/>
      <c r="D290" s="232"/>
      <c r="E290" s="231"/>
      <c r="F290" s="231"/>
      <c r="G290" s="233"/>
      <c r="H290" s="233"/>
      <c r="I290" s="258"/>
      <c r="J290" s="236"/>
      <c r="K290" s="237">
        <f t="shared" ref="K290:L290" si="32">SUBTOTAL(9,K291:K304)</f>
        <v>0</v>
      </c>
      <c r="L290" s="237">
        <f t="shared" si="32"/>
        <v>0</v>
      </c>
      <c r="M290" s="220"/>
      <c r="N290" s="220"/>
      <c r="O290" s="220"/>
      <c r="P290" s="220"/>
      <c r="Q290" s="220"/>
      <c r="R290" s="220"/>
      <c r="S290" s="220"/>
      <c r="T290" s="220"/>
      <c r="U290" s="220"/>
      <c r="V290" s="220"/>
      <c r="W290" s="220"/>
    </row>
    <row r="291" ht="15.75" customHeight="1" outlineLevel="1">
      <c r="A291" s="213"/>
      <c r="B291" s="212"/>
      <c r="C291" s="213"/>
      <c r="D291" s="214" t="str">
        <f>IFERROR(VLOOKUP($C291,'PORTIFÓLIO'!C:V,2,0),"")</f>
        <v/>
      </c>
      <c r="E291" s="211" t="str">
        <f>IFERROR(VLOOKUP($C291,'PORTIFÓLIO'!C:V,3,0),"")</f>
        <v/>
      </c>
      <c r="F291" s="211" t="str">
        <f>IFERROR(VLOOKUP($C291,'PORTIFÓLIO'!C:V,4,0),"")</f>
        <v/>
      </c>
      <c r="G291" s="215" t="str">
        <f>IFERROR(VLOOKUP($C291,'PORTIFÓLIO'!C:V,5,0),"")</f>
        <v/>
      </c>
      <c r="H291" s="254" t="str">
        <f t="array" ref="H291">IFERROR(INDEX('PORTIFÓLIO'!$H$4:$H$433,MATCH($C291,'PORTIFÓLIO'!$C$4:$C$433,0)),"")</f>
        <v/>
      </c>
      <c r="I291" s="255"/>
      <c r="J291" s="218">
        <f t="shared" ref="J291:J307" si="33">I291*$B$2</f>
        <v>0</v>
      </c>
      <c r="K291" s="292" t="str">
        <f t="array" ref="K291">IFERROR(I291*INDEX('PORTIFÓLIO'!$S$4:$S$433,MATCH($C291,'PORTIFÓLIO'!$C$4:$C$433,0)),"")</f>
        <v/>
      </c>
      <c r="L291" s="292" t="str">
        <f t="array" ref="L291">IFERROR(J291*INDEX('PORTIFÓLIO'!$S$4:$S$433,MATCH($C291,'PORTIFÓLIO'!$C$4:$C$433,0)),"")</f>
        <v/>
      </c>
      <c r="M291" s="220"/>
      <c r="N291" s="220"/>
      <c r="O291" s="220"/>
      <c r="P291" s="220"/>
      <c r="Q291" s="220"/>
      <c r="R291" s="220"/>
      <c r="S291" s="220"/>
      <c r="T291" s="220"/>
      <c r="U291" s="220"/>
      <c r="V291" s="220"/>
      <c r="W291" s="220"/>
    </row>
    <row r="292" ht="15.75" customHeight="1" outlineLevel="1">
      <c r="A292" s="211"/>
      <c r="B292" s="212"/>
      <c r="C292" s="213"/>
      <c r="D292" s="214" t="str">
        <f>IFERROR(VLOOKUP($C292,'PORTIFÓLIO'!C:V,2,0),"")</f>
        <v/>
      </c>
      <c r="E292" s="211" t="str">
        <f>IFERROR(VLOOKUP($C292,'PORTIFÓLIO'!C:V,3,0),"")</f>
        <v/>
      </c>
      <c r="F292" s="211" t="str">
        <f>IFERROR(VLOOKUP($C292,'PORTIFÓLIO'!C:V,4,0),"")</f>
        <v/>
      </c>
      <c r="G292" s="215" t="str">
        <f>IFERROR(VLOOKUP($C292,'PORTIFÓLIO'!C:V,5,0),"")</f>
        <v/>
      </c>
      <c r="H292" s="254" t="str">
        <f t="array" ref="H292">IFERROR(INDEX('PORTIFÓLIO'!$H$4:$H$433,MATCH($C292,'PORTIFÓLIO'!$C$4:$C$433,0)),"")</f>
        <v/>
      </c>
      <c r="I292" s="256"/>
      <c r="J292" s="218">
        <f t="shared" si="33"/>
        <v>0</v>
      </c>
      <c r="K292" s="292" t="str">
        <f t="array" ref="K292">IFERROR(I292*INDEX('PORTIFÓLIO'!$S$4:$S$433,MATCH($C292,'PORTIFÓLIO'!$C$4:$C$433,0)),"")</f>
        <v/>
      </c>
      <c r="L292" s="292" t="str">
        <f t="array" ref="L292">IFERROR(J292*INDEX('PORTIFÓLIO'!$S$4:$S$433,MATCH($C292,'PORTIFÓLIO'!$C$4:$C$433,0)),"")</f>
        <v/>
      </c>
      <c r="M292" s="220"/>
      <c r="N292" s="220"/>
      <c r="O292" s="220"/>
      <c r="P292" s="220"/>
      <c r="Q292" s="220"/>
      <c r="R292" s="220"/>
      <c r="S292" s="220"/>
      <c r="T292" s="220"/>
      <c r="U292" s="220"/>
      <c r="V292" s="220"/>
      <c r="W292" s="220"/>
    </row>
    <row r="293" ht="15.75" customHeight="1" outlineLevel="1">
      <c r="A293" s="211"/>
      <c r="B293" s="212"/>
      <c r="C293" s="213"/>
      <c r="D293" s="214" t="str">
        <f>IFERROR(VLOOKUP($C293,'PORTIFÓLIO'!C:V,2,0),"")</f>
        <v/>
      </c>
      <c r="E293" s="211" t="str">
        <f>IFERROR(VLOOKUP($C293,'PORTIFÓLIO'!C:V,3,0),"")</f>
        <v/>
      </c>
      <c r="F293" s="211" t="str">
        <f>IFERROR(VLOOKUP($C293,'PORTIFÓLIO'!C:V,4,0),"")</f>
        <v/>
      </c>
      <c r="G293" s="215" t="str">
        <f>IFERROR(VLOOKUP($C293,'PORTIFÓLIO'!C:V,5,0),"")</f>
        <v/>
      </c>
      <c r="H293" s="254" t="str">
        <f t="array" ref="H293">IFERROR(INDEX('PORTIFÓLIO'!$H$4:$H$433,MATCH($C293,'PORTIFÓLIO'!$C$4:$C$433,0)),"")</f>
        <v/>
      </c>
      <c r="I293" s="256"/>
      <c r="J293" s="218">
        <f t="shared" si="33"/>
        <v>0</v>
      </c>
      <c r="K293" s="292" t="str">
        <f t="array" ref="K293">IFERROR(I293*INDEX('PORTIFÓLIO'!$S$4:$S$433,MATCH($C293,'PORTIFÓLIO'!$C$4:$C$433,0)),"")</f>
        <v/>
      </c>
      <c r="L293" s="292" t="str">
        <f t="array" ref="L293">IFERROR(J293*INDEX('PORTIFÓLIO'!$S$4:$S$433,MATCH($C293,'PORTIFÓLIO'!$C$4:$C$433,0)),"")</f>
        <v/>
      </c>
      <c r="M293" s="220"/>
      <c r="N293" s="220"/>
      <c r="O293" s="220"/>
      <c r="P293" s="220"/>
      <c r="Q293" s="220"/>
      <c r="R293" s="220"/>
      <c r="S293" s="220"/>
      <c r="T293" s="220"/>
      <c r="U293" s="220"/>
      <c r="V293" s="220"/>
      <c r="W293" s="220"/>
    </row>
    <row r="294" ht="15.75" customHeight="1" outlineLevel="1">
      <c r="A294" s="211"/>
      <c r="B294" s="212"/>
      <c r="C294" s="213"/>
      <c r="D294" s="214" t="str">
        <f>IFERROR(VLOOKUP($C294,'PORTIFÓLIO'!C:V,2,0),"")</f>
        <v/>
      </c>
      <c r="E294" s="211" t="str">
        <f>IFERROR(VLOOKUP($C294,'PORTIFÓLIO'!C:V,3,0),"")</f>
        <v/>
      </c>
      <c r="F294" s="211" t="str">
        <f>IFERROR(VLOOKUP($C294,'PORTIFÓLIO'!C:V,4,0),"")</f>
        <v/>
      </c>
      <c r="G294" s="215" t="str">
        <f>IFERROR(VLOOKUP($C294,'PORTIFÓLIO'!C:V,5,0),"")</f>
        <v/>
      </c>
      <c r="H294" s="254" t="str">
        <f t="array" ref="H294">IFERROR(INDEX('PORTIFÓLIO'!$H$4:$H$433,MATCH($C294,'PORTIFÓLIO'!$C$4:$C$433,0)),"")</f>
        <v/>
      </c>
      <c r="I294" s="256"/>
      <c r="J294" s="218">
        <f t="shared" si="33"/>
        <v>0</v>
      </c>
      <c r="K294" s="292" t="str">
        <f t="array" ref="K294">IFERROR(I294*INDEX('PORTIFÓLIO'!$S$4:$S$433,MATCH($C294,'PORTIFÓLIO'!$C$4:$C$433,0)),"")</f>
        <v/>
      </c>
      <c r="L294" s="292" t="str">
        <f t="array" ref="L294">IFERROR(J294*INDEX('PORTIFÓLIO'!$S$4:$S$433,MATCH($C294,'PORTIFÓLIO'!$C$4:$C$433,0)),"")</f>
        <v/>
      </c>
      <c r="M294" s="220"/>
      <c r="N294" s="220"/>
      <c r="O294" s="220"/>
      <c r="P294" s="220"/>
      <c r="Q294" s="220"/>
      <c r="R294" s="220"/>
      <c r="S294" s="220"/>
      <c r="T294" s="220"/>
      <c r="U294" s="220"/>
      <c r="V294" s="220"/>
      <c r="W294" s="220"/>
    </row>
    <row r="295" ht="15.75" customHeight="1" outlineLevel="1">
      <c r="A295" s="211"/>
      <c r="B295" s="212"/>
      <c r="C295" s="213"/>
      <c r="D295" s="214" t="str">
        <f>IFERROR(VLOOKUP($C295,'PORTIFÓLIO'!C:V,2,0),"")</f>
        <v/>
      </c>
      <c r="E295" s="211" t="str">
        <f>IFERROR(VLOOKUP($C295,'PORTIFÓLIO'!C:V,3,0),"")</f>
        <v/>
      </c>
      <c r="F295" s="211" t="str">
        <f>IFERROR(VLOOKUP($C295,'PORTIFÓLIO'!C:V,4,0),"")</f>
        <v/>
      </c>
      <c r="G295" s="215" t="str">
        <f>IFERROR(VLOOKUP($C295,'PORTIFÓLIO'!C:V,5,0),"")</f>
        <v/>
      </c>
      <c r="H295" s="254" t="str">
        <f t="array" ref="H295">IFERROR(INDEX('PORTIFÓLIO'!$H$4:$H$433,MATCH($C295,'PORTIFÓLIO'!$C$4:$C$433,0)),"")</f>
        <v/>
      </c>
      <c r="I295" s="256"/>
      <c r="J295" s="218">
        <f t="shared" si="33"/>
        <v>0</v>
      </c>
      <c r="K295" s="292" t="str">
        <f t="array" ref="K295">IFERROR(I295*INDEX('PORTIFÓLIO'!$S$4:$S$433,MATCH($C295,'PORTIFÓLIO'!$C$4:$C$433,0)),"")</f>
        <v/>
      </c>
      <c r="L295" s="292" t="str">
        <f t="array" ref="L295">IFERROR(J295*INDEX('PORTIFÓLIO'!$S$4:$S$433,MATCH($C295,'PORTIFÓLIO'!$C$4:$C$433,0)),"")</f>
        <v/>
      </c>
      <c r="M295" s="220"/>
      <c r="N295" s="220"/>
      <c r="O295" s="220"/>
      <c r="P295" s="220"/>
      <c r="Q295" s="220"/>
      <c r="R295" s="220"/>
      <c r="S295" s="220"/>
      <c r="T295" s="220"/>
      <c r="U295" s="220"/>
      <c r="V295" s="220"/>
      <c r="W295" s="220"/>
    </row>
    <row r="296" ht="15.75" customHeight="1" outlineLevel="1">
      <c r="A296" s="211"/>
      <c r="B296" s="212"/>
      <c r="C296" s="213"/>
      <c r="D296" s="214" t="str">
        <f>IFERROR(VLOOKUP($C296,'PORTIFÓLIO'!C:V,2,0),"")</f>
        <v/>
      </c>
      <c r="E296" s="211" t="str">
        <f>IFERROR(VLOOKUP($C296,'PORTIFÓLIO'!C:V,3,0),"")</f>
        <v/>
      </c>
      <c r="F296" s="211" t="str">
        <f>IFERROR(VLOOKUP($C296,'PORTIFÓLIO'!C:V,4,0),"")</f>
        <v/>
      </c>
      <c r="G296" s="215" t="str">
        <f>IFERROR(VLOOKUP($C296,'PORTIFÓLIO'!C:V,5,0),"")</f>
        <v/>
      </c>
      <c r="H296" s="254" t="str">
        <f t="array" ref="H296">IFERROR(INDEX('PORTIFÓLIO'!$H$4:$H$433,MATCH($C296,'PORTIFÓLIO'!$C$4:$C$433,0)),"")</f>
        <v/>
      </c>
      <c r="I296" s="256"/>
      <c r="J296" s="218">
        <f t="shared" si="33"/>
        <v>0</v>
      </c>
      <c r="K296" s="292" t="str">
        <f t="array" ref="K296">IFERROR(I296*INDEX('PORTIFÓLIO'!$S$4:$S$433,MATCH($C296,'PORTIFÓLIO'!$C$4:$C$433,0)),"")</f>
        <v/>
      </c>
      <c r="L296" s="292" t="str">
        <f t="array" ref="L296">IFERROR(J296*INDEX('PORTIFÓLIO'!$S$4:$S$433,MATCH($C296,'PORTIFÓLIO'!$C$4:$C$433,0)),"")</f>
        <v/>
      </c>
      <c r="M296" s="220"/>
      <c r="N296" s="220"/>
      <c r="O296" s="220"/>
      <c r="P296" s="220"/>
      <c r="Q296" s="220"/>
      <c r="R296" s="220"/>
      <c r="S296" s="220"/>
      <c r="T296" s="220"/>
      <c r="U296" s="220"/>
      <c r="V296" s="220"/>
      <c r="W296" s="220"/>
    </row>
    <row r="297" ht="15.75" customHeight="1" outlineLevel="1">
      <c r="A297" s="211"/>
      <c r="B297" s="212"/>
      <c r="C297" s="213"/>
      <c r="D297" s="214" t="str">
        <f>IFERROR(VLOOKUP($C297,'PORTIFÓLIO'!C:V,2,0),"")</f>
        <v/>
      </c>
      <c r="E297" s="211" t="str">
        <f>IFERROR(VLOOKUP($C297,'PORTIFÓLIO'!C:V,3,0),"")</f>
        <v/>
      </c>
      <c r="F297" s="211" t="str">
        <f>IFERROR(VLOOKUP($C297,'PORTIFÓLIO'!C:V,4,0),"")</f>
        <v/>
      </c>
      <c r="G297" s="215" t="str">
        <f>IFERROR(VLOOKUP($C297,'PORTIFÓLIO'!C:V,5,0),"")</f>
        <v/>
      </c>
      <c r="H297" s="254" t="str">
        <f t="array" ref="H297">IFERROR(INDEX('PORTIFÓLIO'!$H$4:$H$433,MATCH($C297,'PORTIFÓLIO'!$C$4:$C$433,0)),"")</f>
        <v/>
      </c>
      <c r="I297" s="256"/>
      <c r="J297" s="218">
        <f t="shared" si="33"/>
        <v>0</v>
      </c>
      <c r="K297" s="292" t="str">
        <f t="array" ref="K297">IFERROR(I297*INDEX('PORTIFÓLIO'!$S$4:$S$433,MATCH($C297,'PORTIFÓLIO'!$C$4:$C$433,0)),"")</f>
        <v/>
      </c>
      <c r="L297" s="292" t="str">
        <f t="array" ref="L297">IFERROR(J297*INDEX('PORTIFÓLIO'!$S$4:$S$433,MATCH($C297,'PORTIFÓLIO'!$C$4:$C$433,0)),"")</f>
        <v/>
      </c>
      <c r="M297" s="220"/>
      <c r="N297" s="220"/>
      <c r="O297" s="220"/>
      <c r="P297" s="220"/>
      <c r="Q297" s="220"/>
      <c r="R297" s="220"/>
      <c r="S297" s="220"/>
      <c r="T297" s="220"/>
      <c r="U297" s="220"/>
      <c r="V297" s="220"/>
      <c r="W297" s="220"/>
    </row>
    <row r="298" ht="15.75" customHeight="1" outlineLevel="1">
      <c r="A298" s="211"/>
      <c r="B298" s="212"/>
      <c r="C298" s="213"/>
      <c r="D298" s="214" t="str">
        <f>IFERROR(VLOOKUP($C298,'PORTIFÓLIO'!C:V,2,0),"")</f>
        <v/>
      </c>
      <c r="E298" s="211" t="str">
        <f>IFERROR(VLOOKUP($C298,'PORTIFÓLIO'!C:V,3,0),"")</f>
        <v/>
      </c>
      <c r="F298" s="211" t="str">
        <f>IFERROR(VLOOKUP($C298,'PORTIFÓLIO'!C:V,4,0),"")</f>
        <v/>
      </c>
      <c r="G298" s="215" t="str">
        <f>IFERROR(VLOOKUP($C298,'PORTIFÓLIO'!C:V,5,0),"")</f>
        <v/>
      </c>
      <c r="H298" s="254" t="str">
        <f t="array" ref="H298">IFERROR(INDEX('PORTIFÓLIO'!$H$4:$H$433,MATCH($C298,'PORTIFÓLIO'!$C$4:$C$433,0)),"")</f>
        <v/>
      </c>
      <c r="I298" s="256"/>
      <c r="J298" s="218">
        <f t="shared" si="33"/>
        <v>0</v>
      </c>
      <c r="K298" s="292" t="str">
        <f t="array" ref="K298">IFERROR(I298*INDEX('PORTIFÓLIO'!$S$4:$S$433,MATCH($C298,'PORTIFÓLIO'!$C$4:$C$433,0)),"")</f>
        <v/>
      </c>
      <c r="L298" s="292" t="str">
        <f t="array" ref="L298">IFERROR(J298*INDEX('PORTIFÓLIO'!$S$4:$S$433,MATCH($C298,'PORTIFÓLIO'!$C$4:$C$433,0)),"")</f>
        <v/>
      </c>
      <c r="M298" s="220"/>
      <c r="N298" s="220"/>
      <c r="O298" s="220"/>
      <c r="P298" s="220"/>
      <c r="Q298" s="220"/>
      <c r="R298" s="220"/>
      <c r="S298" s="220"/>
      <c r="T298" s="220"/>
      <c r="U298" s="220"/>
      <c r="V298" s="220"/>
      <c r="W298" s="220"/>
    </row>
    <row r="299" ht="15.75" customHeight="1" outlineLevel="1">
      <c r="A299" s="211"/>
      <c r="B299" s="212"/>
      <c r="C299" s="213"/>
      <c r="D299" s="214" t="str">
        <f>IFERROR(VLOOKUP($C299,'PORTIFÓLIO'!C:V,2,0),"")</f>
        <v/>
      </c>
      <c r="E299" s="211" t="str">
        <f>IFERROR(VLOOKUP($C299,'PORTIFÓLIO'!C:V,3,0),"")</f>
        <v/>
      </c>
      <c r="F299" s="211" t="str">
        <f>IFERROR(VLOOKUP($C299,'PORTIFÓLIO'!C:V,4,0),"")</f>
        <v/>
      </c>
      <c r="G299" s="215" t="str">
        <f>IFERROR(VLOOKUP($C299,'PORTIFÓLIO'!C:V,5,0),"")</f>
        <v/>
      </c>
      <c r="H299" s="254" t="str">
        <f t="array" ref="H299">IFERROR(INDEX('PORTIFÓLIO'!$H$4:$H$433,MATCH($C299,'PORTIFÓLIO'!$C$4:$C$433,0)),"")</f>
        <v/>
      </c>
      <c r="I299" s="255"/>
      <c r="J299" s="218">
        <f t="shared" si="33"/>
        <v>0</v>
      </c>
      <c r="K299" s="292" t="str">
        <f t="array" ref="K299">IFERROR(I299*INDEX('PORTIFÓLIO'!$S$4:$S$433,MATCH($C299,'PORTIFÓLIO'!$C$4:$C$433,0)),"")</f>
        <v/>
      </c>
      <c r="L299" s="292" t="str">
        <f t="array" ref="L299">IFERROR(J299*INDEX('PORTIFÓLIO'!$S$4:$S$433,MATCH($C299,'PORTIFÓLIO'!$C$4:$C$433,0)),"")</f>
        <v/>
      </c>
      <c r="M299" s="220"/>
      <c r="N299" s="220"/>
      <c r="O299" s="220"/>
      <c r="P299" s="220"/>
      <c r="Q299" s="220"/>
      <c r="R299" s="220"/>
      <c r="S299" s="220"/>
      <c r="T299" s="220"/>
      <c r="U299" s="220"/>
      <c r="V299" s="220"/>
      <c r="W299" s="220"/>
    </row>
    <row r="300" ht="15.75" customHeight="1" outlineLevel="1">
      <c r="A300" s="211"/>
      <c r="B300" s="212"/>
      <c r="C300" s="213"/>
      <c r="D300" s="214" t="str">
        <f>IFERROR(VLOOKUP($C300,'PORTIFÓLIO'!C:V,2,0),"")</f>
        <v/>
      </c>
      <c r="E300" s="211" t="str">
        <f>IFERROR(VLOOKUP($C300,'PORTIFÓLIO'!C:V,3,0),"")</f>
        <v/>
      </c>
      <c r="F300" s="211" t="str">
        <f>IFERROR(VLOOKUP($C300,'PORTIFÓLIO'!C:V,4,0),"")</f>
        <v/>
      </c>
      <c r="G300" s="215" t="str">
        <f>IFERROR(VLOOKUP($C300,'PORTIFÓLIO'!C:V,5,0),"")</f>
        <v/>
      </c>
      <c r="H300" s="254" t="str">
        <f t="array" ref="H300">IFERROR(INDEX('PORTIFÓLIO'!$H$4:$H$433,MATCH($C300,'PORTIFÓLIO'!$C$4:$C$433,0)),"")</f>
        <v/>
      </c>
      <c r="I300" s="256"/>
      <c r="J300" s="218">
        <f t="shared" si="33"/>
        <v>0</v>
      </c>
      <c r="K300" s="292" t="str">
        <f t="array" ref="K300">IFERROR(I300*INDEX('PORTIFÓLIO'!$S$4:$S$433,MATCH($C300,'PORTIFÓLIO'!$C$4:$C$433,0)),"")</f>
        <v/>
      </c>
      <c r="L300" s="292" t="str">
        <f t="array" ref="L300">IFERROR(J300*INDEX('PORTIFÓLIO'!$S$4:$S$433,MATCH($C300,'PORTIFÓLIO'!$C$4:$C$433,0)),"")</f>
        <v/>
      </c>
      <c r="M300" s="220"/>
      <c r="N300" s="220"/>
      <c r="O300" s="220"/>
      <c r="P300" s="220"/>
      <c r="Q300" s="220"/>
      <c r="R300" s="220"/>
      <c r="S300" s="220"/>
      <c r="T300" s="220"/>
      <c r="U300" s="220"/>
      <c r="V300" s="220"/>
      <c r="W300" s="220"/>
    </row>
    <row r="301" ht="15.75" customHeight="1" outlineLevel="1">
      <c r="A301" s="211"/>
      <c r="B301" s="212"/>
      <c r="C301" s="213"/>
      <c r="D301" s="214" t="str">
        <f>IFERROR(VLOOKUP($C301,'PORTIFÓLIO'!C:V,2,0),"")</f>
        <v/>
      </c>
      <c r="E301" s="211" t="str">
        <f>IFERROR(VLOOKUP($C301,'PORTIFÓLIO'!C:V,3,0),"")</f>
        <v/>
      </c>
      <c r="F301" s="211" t="str">
        <f>IFERROR(VLOOKUP($C301,'PORTIFÓLIO'!C:V,4,0),"")</f>
        <v/>
      </c>
      <c r="G301" s="215" t="str">
        <f>IFERROR(VLOOKUP($C301,'PORTIFÓLIO'!C:V,5,0),"")</f>
        <v/>
      </c>
      <c r="H301" s="254" t="str">
        <f t="array" ref="H301">IFERROR(INDEX('PORTIFÓLIO'!$H$4:$H$433,MATCH($C301,'PORTIFÓLIO'!$C$4:$C$433,0)),"")</f>
        <v/>
      </c>
      <c r="I301" s="256"/>
      <c r="J301" s="218">
        <f t="shared" si="33"/>
        <v>0</v>
      </c>
      <c r="K301" s="292" t="str">
        <f t="array" ref="K301">IFERROR(I301*INDEX('PORTIFÓLIO'!$S$4:$S$433,MATCH($C301,'PORTIFÓLIO'!$C$4:$C$433,0)),"")</f>
        <v/>
      </c>
      <c r="L301" s="292" t="str">
        <f t="array" ref="L301">IFERROR(J301*INDEX('PORTIFÓLIO'!$S$4:$S$433,MATCH($C301,'PORTIFÓLIO'!$C$4:$C$433,0)),"")</f>
        <v/>
      </c>
      <c r="M301" s="220"/>
      <c r="N301" s="220"/>
      <c r="O301" s="220"/>
      <c r="P301" s="220"/>
      <c r="Q301" s="220"/>
      <c r="R301" s="220"/>
      <c r="S301" s="220"/>
      <c r="T301" s="220"/>
      <c r="U301" s="220"/>
      <c r="V301" s="220"/>
      <c r="W301" s="220"/>
    </row>
    <row r="302" ht="15.75" customHeight="1" outlineLevel="1">
      <c r="A302" s="211"/>
      <c r="B302" s="212"/>
      <c r="C302" s="213"/>
      <c r="D302" s="214" t="str">
        <f>IFERROR(VLOOKUP($C302,'PORTIFÓLIO'!C:V,2,0),"")</f>
        <v/>
      </c>
      <c r="E302" s="211" t="str">
        <f>IFERROR(VLOOKUP($C302,'PORTIFÓLIO'!C:V,3,0),"")</f>
        <v/>
      </c>
      <c r="F302" s="211" t="str">
        <f>IFERROR(VLOOKUP($C302,'PORTIFÓLIO'!C:V,4,0),"")</f>
        <v/>
      </c>
      <c r="G302" s="215" t="str">
        <f>IFERROR(VLOOKUP($C302,'PORTIFÓLIO'!C:V,5,0),"")</f>
        <v/>
      </c>
      <c r="H302" s="254" t="str">
        <f t="array" ref="H302">IFERROR(INDEX('PORTIFÓLIO'!$H$4:$H$433,MATCH($C302,'PORTIFÓLIO'!$C$4:$C$433,0)),"")</f>
        <v/>
      </c>
      <c r="I302" s="256"/>
      <c r="J302" s="218">
        <f t="shared" si="33"/>
        <v>0</v>
      </c>
      <c r="K302" s="292" t="str">
        <f t="array" ref="K302">IFERROR(I302*INDEX('PORTIFÓLIO'!$S$4:$S$433,MATCH($C302,'PORTIFÓLIO'!$C$4:$C$433,0)),"")</f>
        <v/>
      </c>
      <c r="L302" s="292" t="str">
        <f t="array" ref="L302">IFERROR(J302*INDEX('PORTIFÓLIO'!$S$4:$S$433,MATCH($C302,'PORTIFÓLIO'!$C$4:$C$433,0)),"")</f>
        <v/>
      </c>
      <c r="M302" s="220"/>
      <c r="N302" s="220"/>
      <c r="O302" s="220"/>
      <c r="P302" s="220"/>
      <c r="Q302" s="220"/>
      <c r="R302" s="220"/>
      <c r="S302" s="220"/>
      <c r="T302" s="220"/>
      <c r="U302" s="220"/>
      <c r="V302" s="220"/>
      <c r="W302" s="220"/>
    </row>
    <row r="303" ht="15.75" customHeight="1" outlineLevel="1">
      <c r="A303" s="211"/>
      <c r="B303" s="212"/>
      <c r="C303" s="213"/>
      <c r="D303" s="214" t="str">
        <f>IFERROR(VLOOKUP($C303,'PORTIFÓLIO'!C:V,2,0),"")</f>
        <v/>
      </c>
      <c r="E303" s="211" t="str">
        <f>IFERROR(VLOOKUP($C303,'PORTIFÓLIO'!C:V,3,0),"")</f>
        <v/>
      </c>
      <c r="F303" s="211" t="str">
        <f>IFERROR(VLOOKUP($C303,'PORTIFÓLIO'!C:V,4,0),"")</f>
        <v/>
      </c>
      <c r="G303" s="215" t="str">
        <f>IFERROR(VLOOKUP($C303,'PORTIFÓLIO'!C:V,5,0),"")</f>
        <v/>
      </c>
      <c r="H303" s="254" t="str">
        <f t="array" ref="H303">IFERROR(INDEX('PORTIFÓLIO'!$H$4:$H$433,MATCH($C303,'PORTIFÓLIO'!$C$4:$C$433,0)),"")</f>
        <v/>
      </c>
      <c r="I303" s="256"/>
      <c r="J303" s="218">
        <f t="shared" si="33"/>
        <v>0</v>
      </c>
      <c r="K303" s="292" t="str">
        <f t="array" ref="K303">IFERROR(I303*INDEX('PORTIFÓLIO'!$S$4:$S$433,MATCH($C303,'PORTIFÓLIO'!$C$4:$C$433,0)),"")</f>
        <v/>
      </c>
      <c r="L303" s="292" t="str">
        <f t="array" ref="L303">IFERROR(J303*INDEX('PORTIFÓLIO'!$S$4:$S$433,MATCH($C303,'PORTIFÓLIO'!$C$4:$C$433,0)),"")</f>
        <v/>
      </c>
      <c r="M303" s="220"/>
      <c r="N303" s="220"/>
      <c r="O303" s="220"/>
      <c r="P303" s="220"/>
      <c r="Q303" s="220"/>
      <c r="R303" s="220"/>
      <c r="S303" s="220"/>
      <c r="T303" s="220"/>
      <c r="U303" s="220"/>
      <c r="V303" s="220"/>
      <c r="W303" s="220"/>
    </row>
    <row r="304" ht="15.75" customHeight="1" outlineLevel="1">
      <c r="A304" s="211"/>
      <c r="B304" s="212"/>
      <c r="C304" s="213"/>
      <c r="D304" s="214" t="str">
        <f>IFERROR(VLOOKUP($C304,'PORTIFÓLIO'!C:V,2,0),"")</f>
        <v/>
      </c>
      <c r="E304" s="211" t="str">
        <f>IFERROR(VLOOKUP($C304,'PORTIFÓLIO'!C:V,3,0),"")</f>
        <v/>
      </c>
      <c r="F304" s="211" t="str">
        <f>IFERROR(VLOOKUP($C304,'PORTIFÓLIO'!C:V,4,0),"")</f>
        <v/>
      </c>
      <c r="G304" s="215" t="str">
        <f>IFERROR(VLOOKUP($C304,'PORTIFÓLIO'!C:V,5,0),"")</f>
        <v/>
      </c>
      <c r="H304" s="254" t="str">
        <f t="array" ref="H304">IFERROR(INDEX('PORTIFÓLIO'!$H$4:$H$433,MATCH($C304,'PORTIFÓLIO'!$C$4:$C$433,0)),"")</f>
        <v/>
      </c>
      <c r="I304" s="256"/>
      <c r="J304" s="218">
        <f t="shared" si="33"/>
        <v>0</v>
      </c>
      <c r="K304" s="292" t="str">
        <f t="array" ref="K304">IFERROR(I304*INDEX('PORTIFÓLIO'!$S$4:$S$433,MATCH($C304,'PORTIFÓLIO'!$C$4:$C$433,0)),"")</f>
        <v/>
      </c>
      <c r="L304" s="292" t="str">
        <f t="array" ref="L304">IFERROR(J304*INDEX('PORTIFÓLIO'!$S$4:$S$433,MATCH($C304,'PORTIFÓLIO'!$C$4:$C$433,0)),"")</f>
        <v/>
      </c>
      <c r="M304" s="220"/>
      <c r="N304" s="220"/>
      <c r="O304" s="220"/>
      <c r="P304" s="220"/>
      <c r="Q304" s="220"/>
      <c r="R304" s="220"/>
      <c r="S304" s="220"/>
      <c r="T304" s="220"/>
      <c r="U304" s="220"/>
      <c r="V304" s="220"/>
      <c r="W304" s="220"/>
    </row>
    <row r="305" ht="15.75" customHeight="1" outlineLevel="1">
      <c r="A305" s="211"/>
      <c r="B305" s="212"/>
      <c r="C305" s="213"/>
      <c r="D305" s="214" t="str">
        <f>IFERROR(VLOOKUP($C305,'PORTIFÓLIO'!C:V,2,0),"")</f>
        <v/>
      </c>
      <c r="E305" s="211" t="str">
        <f>IFERROR(VLOOKUP($C305,'PORTIFÓLIO'!C:V,3,0),"")</f>
        <v/>
      </c>
      <c r="F305" s="211" t="str">
        <f>IFERROR(VLOOKUP($C305,'PORTIFÓLIO'!C:V,4,0),"")</f>
        <v/>
      </c>
      <c r="G305" s="215" t="str">
        <f>IFERROR(VLOOKUP($C305,'PORTIFÓLIO'!C:V,5,0),"")</f>
        <v/>
      </c>
      <c r="H305" s="254" t="str">
        <f t="array" ref="H305">IFERROR(INDEX('PORTIFÓLIO'!$H$4:$H$433,MATCH($C305,'PORTIFÓLIO'!$C$4:$C$433,0)),"")</f>
        <v/>
      </c>
      <c r="I305" s="256"/>
      <c r="J305" s="218">
        <f t="shared" si="33"/>
        <v>0</v>
      </c>
      <c r="K305" s="292" t="str">
        <f t="array" ref="K305">IFERROR(I305*INDEX('PORTIFÓLIO'!$S$4:$S$433,MATCH($C305,'PORTIFÓLIO'!$C$4:$C$433,0)),"")</f>
        <v/>
      </c>
      <c r="L305" s="292" t="str">
        <f t="array" ref="L305">IFERROR(J305*INDEX('PORTIFÓLIO'!$S$4:$S$433,MATCH($C305,'PORTIFÓLIO'!$C$4:$C$433,0)),"")</f>
        <v/>
      </c>
      <c r="M305" s="220"/>
      <c r="N305" s="220"/>
      <c r="O305" s="220"/>
      <c r="P305" s="220"/>
      <c r="Q305" s="220"/>
      <c r="R305" s="220"/>
      <c r="S305" s="220"/>
      <c r="T305" s="220"/>
      <c r="U305" s="220"/>
      <c r="V305" s="220"/>
      <c r="W305" s="220"/>
    </row>
    <row r="306" ht="15.75" customHeight="1" outlineLevel="1">
      <c r="A306" s="211"/>
      <c r="B306" s="212"/>
      <c r="C306" s="213"/>
      <c r="D306" s="214" t="str">
        <f>IFERROR(VLOOKUP($C306,'PORTIFÓLIO'!C:V,2,0),"")</f>
        <v/>
      </c>
      <c r="E306" s="211" t="str">
        <f>IFERROR(VLOOKUP($C306,'PORTIFÓLIO'!C:V,3,0),"")</f>
        <v/>
      </c>
      <c r="F306" s="211" t="str">
        <f>IFERROR(VLOOKUP($C306,'PORTIFÓLIO'!C:V,4,0),"")</f>
        <v/>
      </c>
      <c r="G306" s="215" t="str">
        <f>IFERROR(VLOOKUP($C306,'PORTIFÓLIO'!C:V,5,0),"")</f>
        <v/>
      </c>
      <c r="H306" s="254" t="str">
        <f t="array" ref="H306">IFERROR(INDEX('PORTIFÓLIO'!$H$4:$H$433,MATCH($C306,'PORTIFÓLIO'!$C$4:$C$433,0)),"")</f>
        <v/>
      </c>
      <c r="I306" s="256"/>
      <c r="J306" s="218">
        <f t="shared" si="33"/>
        <v>0</v>
      </c>
      <c r="K306" s="292" t="str">
        <f t="array" ref="K306">IFERROR(I306*INDEX('PORTIFÓLIO'!$S$4:$S$433,MATCH($C306,'PORTIFÓLIO'!$C$4:$C$433,0)),"")</f>
        <v/>
      </c>
      <c r="L306" s="292" t="str">
        <f t="array" ref="L306">IFERROR(J306*INDEX('PORTIFÓLIO'!$S$4:$S$433,MATCH($C306,'PORTIFÓLIO'!$C$4:$C$433,0)),"")</f>
        <v/>
      </c>
      <c r="M306" s="220"/>
      <c r="N306" s="220"/>
      <c r="O306" s="220"/>
      <c r="P306" s="220"/>
      <c r="Q306" s="220"/>
      <c r="R306" s="220"/>
      <c r="S306" s="220"/>
      <c r="T306" s="220"/>
      <c r="U306" s="220"/>
      <c r="V306" s="220"/>
      <c r="W306" s="220"/>
    </row>
    <row r="307" ht="15.75" customHeight="1" outlineLevel="1">
      <c r="A307" s="211"/>
      <c r="B307" s="212"/>
      <c r="C307" s="213"/>
      <c r="D307" s="214" t="str">
        <f>IFERROR(VLOOKUP($C307,'PORTIFÓLIO'!C:V,2,0),"")</f>
        <v/>
      </c>
      <c r="E307" s="211" t="str">
        <f>IFERROR(VLOOKUP($C307,'PORTIFÓLIO'!C:V,3,0),"")</f>
        <v/>
      </c>
      <c r="F307" s="211" t="str">
        <f>IFERROR(VLOOKUP($C307,'PORTIFÓLIO'!C:V,4,0),"")</f>
        <v/>
      </c>
      <c r="G307" s="215" t="str">
        <f>IFERROR(VLOOKUP($C307,'PORTIFÓLIO'!C:V,5,0),"")</f>
        <v/>
      </c>
      <c r="H307" s="254" t="str">
        <f t="array" ref="H307">IFERROR(INDEX('PORTIFÓLIO'!$H$4:$H$433,MATCH($C307,'PORTIFÓLIO'!$C$4:$C$433,0)),"")</f>
        <v/>
      </c>
      <c r="I307" s="256"/>
      <c r="J307" s="218">
        <f t="shared" si="33"/>
        <v>0</v>
      </c>
      <c r="K307" s="292" t="str">
        <f t="array" ref="K307">IFERROR(I307*INDEX('PORTIFÓLIO'!$S$4:$S$433,MATCH($C307,'PORTIFÓLIO'!$C$4:$C$433,0)),"")</f>
        <v/>
      </c>
      <c r="L307" s="292" t="str">
        <f t="array" ref="L307">IFERROR(J307*INDEX('PORTIFÓLIO'!$S$4:$S$433,MATCH($C307,'PORTIFÓLIO'!$C$4:$C$433,0)),"")</f>
        <v/>
      </c>
      <c r="M307" s="220"/>
      <c r="N307" s="220"/>
      <c r="O307" s="220"/>
      <c r="P307" s="220"/>
      <c r="Q307" s="220"/>
      <c r="R307" s="220"/>
      <c r="S307" s="220"/>
      <c r="T307" s="220"/>
      <c r="U307" s="220"/>
      <c r="V307" s="220"/>
      <c r="W307" s="220"/>
    </row>
    <row r="308" ht="15.75" customHeight="1">
      <c r="A308" s="229" t="s">
        <v>1188</v>
      </c>
      <c r="B308" s="230"/>
      <c r="C308" s="231"/>
      <c r="D308" s="232"/>
      <c r="E308" s="231"/>
      <c r="F308" s="231"/>
      <c r="G308" s="233"/>
      <c r="H308" s="233"/>
      <c r="I308" s="258"/>
      <c r="J308" s="236"/>
      <c r="K308" s="237">
        <f t="shared" ref="K308:L308" si="34">SUBTOTAL(9,K309:K322)</f>
        <v>0</v>
      </c>
      <c r="L308" s="237">
        <f t="shared" si="34"/>
        <v>0</v>
      </c>
      <c r="M308" s="220"/>
      <c r="N308" s="220"/>
      <c r="O308" s="220"/>
      <c r="P308" s="220"/>
      <c r="Q308" s="220"/>
      <c r="R308" s="220"/>
      <c r="S308" s="220"/>
      <c r="T308" s="220"/>
      <c r="U308" s="220"/>
      <c r="V308" s="220"/>
      <c r="W308" s="220"/>
    </row>
    <row r="309" ht="15.75" customHeight="1" outlineLevel="1">
      <c r="A309" s="213"/>
      <c r="B309" s="212"/>
      <c r="C309" s="213"/>
      <c r="D309" s="214" t="str">
        <f>IFERROR(VLOOKUP($C309,'PORTIFÓLIO'!C:V,2,0),"")</f>
        <v/>
      </c>
      <c r="E309" s="211" t="str">
        <f>IFERROR(VLOOKUP($C309,'PORTIFÓLIO'!C:V,3,0),"")</f>
        <v/>
      </c>
      <c r="F309" s="211" t="str">
        <f>IFERROR(VLOOKUP($C309,'PORTIFÓLIO'!C:V,4,0),"")</f>
        <v/>
      </c>
      <c r="G309" s="215" t="str">
        <f>IFERROR(VLOOKUP($C309,'PORTIFÓLIO'!C:V,5,0),"")</f>
        <v/>
      </c>
      <c r="H309" s="254" t="str">
        <f t="array" ref="H309">IFERROR(INDEX('PORTIFÓLIO'!$H$4:$H$433,MATCH($C309,'PORTIFÓLIO'!$C$4:$C$433,0)),"")</f>
        <v/>
      </c>
      <c r="I309" s="255"/>
      <c r="J309" s="218">
        <f t="shared" ref="J309:J323" si="35">I309*$B$2</f>
        <v>0</v>
      </c>
      <c r="K309" s="292" t="str">
        <f t="array" ref="K309">IFERROR(I309*INDEX('PORTIFÓLIO'!$S$4:$S$433,MATCH($C309,'PORTIFÓLIO'!$C$4:$C$433,0)),"")</f>
        <v/>
      </c>
      <c r="L309" s="292" t="str">
        <f t="array" ref="L309">IFERROR(J309*INDEX('PORTIFÓLIO'!$S$4:$S$433,MATCH($C309,'PORTIFÓLIO'!$C$4:$C$433,0)),"")</f>
        <v/>
      </c>
      <c r="M309" s="220"/>
      <c r="N309" s="220"/>
      <c r="O309" s="220"/>
      <c r="P309" s="220"/>
      <c r="Q309" s="220"/>
      <c r="R309" s="220"/>
      <c r="S309" s="220"/>
      <c r="T309" s="220"/>
      <c r="U309" s="220"/>
      <c r="V309" s="220"/>
      <c r="W309" s="220"/>
    </row>
    <row r="310" ht="15.75" customHeight="1" outlineLevel="1">
      <c r="A310" s="211"/>
      <c r="B310" s="212"/>
      <c r="C310" s="213"/>
      <c r="D310" s="214" t="str">
        <f>IFERROR(VLOOKUP($C310,'PORTIFÓLIO'!C:V,2,0),"")</f>
        <v/>
      </c>
      <c r="E310" s="211" t="str">
        <f>IFERROR(VLOOKUP($C310,'PORTIFÓLIO'!C:V,3,0),"")</f>
        <v/>
      </c>
      <c r="F310" s="211" t="str">
        <f>IFERROR(VLOOKUP($C310,'PORTIFÓLIO'!C:V,4,0),"")</f>
        <v/>
      </c>
      <c r="G310" s="215" t="str">
        <f>IFERROR(VLOOKUP($C310,'PORTIFÓLIO'!C:V,5,0),"")</f>
        <v/>
      </c>
      <c r="H310" s="254" t="str">
        <f t="array" ref="H310">IFERROR(INDEX('PORTIFÓLIO'!$H$4:$H$433,MATCH($C310,'PORTIFÓLIO'!$C$4:$C$433,0)),"")</f>
        <v/>
      </c>
      <c r="I310" s="256"/>
      <c r="J310" s="218">
        <f t="shared" si="35"/>
        <v>0</v>
      </c>
      <c r="K310" s="292" t="str">
        <f t="array" ref="K310">IFERROR(I310*INDEX('PORTIFÓLIO'!$S$4:$S$433,MATCH($C310,'PORTIFÓLIO'!$C$4:$C$433,0)),"")</f>
        <v/>
      </c>
      <c r="L310" s="292" t="str">
        <f t="array" ref="L310">IFERROR(J310*INDEX('PORTIFÓLIO'!$S$4:$S$433,MATCH($C310,'PORTIFÓLIO'!$C$4:$C$433,0)),"")</f>
        <v/>
      </c>
      <c r="M310" s="220"/>
      <c r="N310" s="220"/>
      <c r="O310" s="220"/>
      <c r="P310" s="220"/>
      <c r="Q310" s="220"/>
      <c r="R310" s="220"/>
      <c r="S310" s="220"/>
      <c r="T310" s="220"/>
      <c r="U310" s="220"/>
      <c r="V310" s="220"/>
      <c r="W310" s="220"/>
    </row>
    <row r="311" ht="15.75" customHeight="1" outlineLevel="1">
      <c r="A311" s="211"/>
      <c r="B311" s="212"/>
      <c r="C311" s="213"/>
      <c r="D311" s="214" t="str">
        <f>IFERROR(VLOOKUP($C311,'PORTIFÓLIO'!C:V,2,0),"")</f>
        <v/>
      </c>
      <c r="E311" s="211" t="str">
        <f>IFERROR(VLOOKUP($C311,'PORTIFÓLIO'!C:V,3,0),"")</f>
        <v/>
      </c>
      <c r="F311" s="211" t="str">
        <f>IFERROR(VLOOKUP($C311,'PORTIFÓLIO'!C:V,4,0),"")</f>
        <v/>
      </c>
      <c r="G311" s="215" t="str">
        <f>IFERROR(VLOOKUP($C311,'PORTIFÓLIO'!C:V,5,0),"")</f>
        <v/>
      </c>
      <c r="H311" s="254" t="str">
        <f t="array" ref="H311">IFERROR(INDEX('PORTIFÓLIO'!$H$4:$H$433,MATCH($C311,'PORTIFÓLIO'!$C$4:$C$433,0)),"")</f>
        <v/>
      </c>
      <c r="I311" s="256"/>
      <c r="J311" s="218">
        <f t="shared" si="35"/>
        <v>0</v>
      </c>
      <c r="K311" s="292" t="str">
        <f t="array" ref="K311">IFERROR(I311*INDEX('PORTIFÓLIO'!$S$4:$S$433,MATCH($C311,'PORTIFÓLIO'!$C$4:$C$433,0)),"")</f>
        <v/>
      </c>
      <c r="L311" s="292" t="str">
        <f t="array" ref="L311">IFERROR(J311*INDEX('PORTIFÓLIO'!$S$4:$S$433,MATCH($C311,'PORTIFÓLIO'!$C$4:$C$433,0)),"")</f>
        <v/>
      </c>
      <c r="M311" s="220"/>
      <c r="N311" s="220"/>
      <c r="O311" s="220"/>
      <c r="P311" s="220"/>
      <c r="Q311" s="220"/>
      <c r="R311" s="220"/>
      <c r="S311" s="220"/>
      <c r="T311" s="220"/>
      <c r="U311" s="220"/>
      <c r="V311" s="220"/>
      <c r="W311" s="220"/>
    </row>
    <row r="312" ht="15.75" customHeight="1" outlineLevel="1">
      <c r="A312" s="211"/>
      <c r="B312" s="212"/>
      <c r="C312" s="213"/>
      <c r="D312" s="214" t="str">
        <f>IFERROR(VLOOKUP($C312,'PORTIFÓLIO'!C:V,2,0),"")</f>
        <v/>
      </c>
      <c r="E312" s="211" t="str">
        <f>IFERROR(VLOOKUP($C312,'PORTIFÓLIO'!C:V,3,0),"")</f>
        <v/>
      </c>
      <c r="F312" s="211" t="str">
        <f>IFERROR(VLOOKUP($C312,'PORTIFÓLIO'!C:V,4,0),"")</f>
        <v/>
      </c>
      <c r="G312" s="215" t="str">
        <f>IFERROR(VLOOKUP($C312,'PORTIFÓLIO'!C:V,5,0),"")</f>
        <v/>
      </c>
      <c r="H312" s="254" t="str">
        <f t="array" ref="H312">IFERROR(INDEX('PORTIFÓLIO'!$H$4:$H$433,MATCH($C312,'PORTIFÓLIO'!$C$4:$C$433,0)),"")</f>
        <v/>
      </c>
      <c r="I312" s="256"/>
      <c r="J312" s="218">
        <f t="shared" si="35"/>
        <v>0</v>
      </c>
      <c r="K312" s="292" t="str">
        <f t="array" ref="K312">IFERROR(I312*INDEX('PORTIFÓLIO'!$S$4:$S$433,MATCH($C312,'PORTIFÓLIO'!$C$4:$C$433,0)),"")</f>
        <v/>
      </c>
      <c r="L312" s="292" t="str">
        <f t="array" ref="L312">IFERROR(J312*INDEX('PORTIFÓLIO'!$S$4:$S$433,MATCH($C312,'PORTIFÓLIO'!$C$4:$C$433,0)),"")</f>
        <v/>
      </c>
      <c r="M312" s="220"/>
      <c r="N312" s="220"/>
      <c r="O312" s="220"/>
      <c r="P312" s="220"/>
      <c r="Q312" s="220"/>
      <c r="R312" s="220"/>
      <c r="S312" s="220"/>
      <c r="T312" s="220"/>
      <c r="U312" s="220"/>
      <c r="V312" s="220"/>
      <c r="W312" s="220"/>
    </row>
    <row r="313" ht="15.75" customHeight="1" outlineLevel="1">
      <c r="A313" s="211"/>
      <c r="B313" s="212"/>
      <c r="C313" s="213"/>
      <c r="D313" s="214" t="str">
        <f>IFERROR(VLOOKUP($C313,'PORTIFÓLIO'!C:V,2,0),"")</f>
        <v/>
      </c>
      <c r="E313" s="211" t="str">
        <f>IFERROR(VLOOKUP($C313,'PORTIFÓLIO'!C:V,3,0),"")</f>
        <v/>
      </c>
      <c r="F313" s="211" t="str">
        <f>IFERROR(VLOOKUP($C313,'PORTIFÓLIO'!C:V,4,0),"")</f>
        <v/>
      </c>
      <c r="G313" s="215" t="str">
        <f>IFERROR(VLOOKUP($C313,'PORTIFÓLIO'!C:V,5,0),"")</f>
        <v/>
      </c>
      <c r="H313" s="254" t="str">
        <f t="array" ref="H313">IFERROR(INDEX('PORTIFÓLIO'!$H$4:$H$433,MATCH($C313,'PORTIFÓLIO'!$C$4:$C$433,0)),"")</f>
        <v/>
      </c>
      <c r="I313" s="256"/>
      <c r="J313" s="218">
        <f t="shared" si="35"/>
        <v>0</v>
      </c>
      <c r="K313" s="292" t="str">
        <f t="array" ref="K313">IFERROR(I313*INDEX('PORTIFÓLIO'!$S$4:$S$433,MATCH($C313,'PORTIFÓLIO'!$C$4:$C$433,0)),"")</f>
        <v/>
      </c>
      <c r="L313" s="292" t="str">
        <f t="array" ref="L313">IFERROR(J313*INDEX('PORTIFÓLIO'!$S$4:$S$433,MATCH($C313,'PORTIFÓLIO'!$C$4:$C$433,0)),"")</f>
        <v/>
      </c>
      <c r="M313" s="220"/>
      <c r="N313" s="220"/>
      <c r="O313" s="220"/>
      <c r="P313" s="220"/>
      <c r="Q313" s="220"/>
      <c r="R313" s="220"/>
      <c r="S313" s="220"/>
      <c r="T313" s="220"/>
      <c r="U313" s="220"/>
      <c r="V313" s="220"/>
      <c r="W313" s="220"/>
    </row>
    <row r="314" ht="15.75" customHeight="1" outlineLevel="1">
      <c r="A314" s="211"/>
      <c r="B314" s="212"/>
      <c r="C314" s="213"/>
      <c r="D314" s="214" t="str">
        <f>IFERROR(VLOOKUP($C314,'PORTIFÓLIO'!C:V,2,0),"")</f>
        <v/>
      </c>
      <c r="E314" s="211" t="str">
        <f>IFERROR(VLOOKUP($C314,'PORTIFÓLIO'!C:V,3,0),"")</f>
        <v/>
      </c>
      <c r="F314" s="211" t="str">
        <f>IFERROR(VLOOKUP($C314,'PORTIFÓLIO'!C:V,4,0),"")</f>
        <v/>
      </c>
      <c r="G314" s="215" t="str">
        <f>IFERROR(VLOOKUP($C314,'PORTIFÓLIO'!C:V,5,0),"")</f>
        <v/>
      </c>
      <c r="H314" s="254" t="str">
        <f t="array" ref="H314">IFERROR(INDEX('PORTIFÓLIO'!$H$4:$H$433,MATCH($C314,'PORTIFÓLIO'!$C$4:$C$433,0)),"")</f>
        <v/>
      </c>
      <c r="I314" s="256"/>
      <c r="J314" s="218">
        <f t="shared" si="35"/>
        <v>0</v>
      </c>
      <c r="K314" s="292" t="str">
        <f t="array" ref="K314">IFERROR(I314*INDEX('PORTIFÓLIO'!$S$4:$S$433,MATCH($C314,'PORTIFÓLIO'!$C$4:$C$433,0)),"")</f>
        <v/>
      </c>
      <c r="L314" s="292" t="str">
        <f t="array" ref="L314">IFERROR(J314*INDEX('PORTIFÓLIO'!$S$4:$S$433,MATCH($C314,'PORTIFÓLIO'!$C$4:$C$433,0)),"")</f>
        <v/>
      </c>
      <c r="M314" s="220"/>
      <c r="N314" s="220"/>
      <c r="O314" s="220"/>
      <c r="P314" s="220"/>
      <c r="Q314" s="220"/>
      <c r="R314" s="220"/>
      <c r="S314" s="220"/>
      <c r="T314" s="220"/>
      <c r="U314" s="220"/>
      <c r="V314" s="220"/>
      <c r="W314" s="220"/>
    </row>
    <row r="315" ht="15.75" customHeight="1" outlineLevel="1">
      <c r="A315" s="211"/>
      <c r="B315" s="212"/>
      <c r="C315" s="213"/>
      <c r="D315" s="214" t="str">
        <f>IFERROR(VLOOKUP($C315,'PORTIFÓLIO'!C:V,2,0),"")</f>
        <v/>
      </c>
      <c r="E315" s="211" t="str">
        <f>IFERROR(VLOOKUP($C315,'PORTIFÓLIO'!C:V,3,0),"")</f>
        <v/>
      </c>
      <c r="F315" s="211" t="str">
        <f>IFERROR(VLOOKUP($C315,'PORTIFÓLIO'!C:V,4,0),"")</f>
        <v/>
      </c>
      <c r="G315" s="215" t="str">
        <f>IFERROR(VLOOKUP($C315,'PORTIFÓLIO'!C:V,5,0),"")</f>
        <v/>
      </c>
      <c r="H315" s="254" t="str">
        <f t="array" ref="H315">IFERROR(INDEX('PORTIFÓLIO'!$H$4:$H$433,MATCH($C315,'PORTIFÓLIO'!$C$4:$C$433,0)),"")</f>
        <v/>
      </c>
      <c r="I315" s="256"/>
      <c r="J315" s="218">
        <f t="shared" si="35"/>
        <v>0</v>
      </c>
      <c r="K315" s="292" t="str">
        <f t="array" ref="K315">IFERROR(I315*INDEX('PORTIFÓLIO'!$S$4:$S$433,MATCH($C315,'PORTIFÓLIO'!$C$4:$C$433,0)),"")</f>
        <v/>
      </c>
      <c r="L315" s="292" t="str">
        <f t="array" ref="L315">IFERROR(J315*INDEX('PORTIFÓLIO'!$S$4:$S$433,MATCH($C315,'PORTIFÓLIO'!$C$4:$C$433,0)),"")</f>
        <v/>
      </c>
      <c r="M315" s="220"/>
      <c r="N315" s="220"/>
      <c r="O315" s="220"/>
      <c r="P315" s="220"/>
      <c r="Q315" s="220"/>
      <c r="R315" s="220"/>
      <c r="S315" s="220"/>
      <c r="T315" s="220"/>
      <c r="U315" s="220"/>
      <c r="V315" s="220"/>
      <c r="W315" s="220"/>
    </row>
    <row r="316" ht="15.75" customHeight="1" outlineLevel="1">
      <c r="A316" s="211"/>
      <c r="B316" s="212"/>
      <c r="C316" s="213"/>
      <c r="D316" s="214" t="str">
        <f>IFERROR(VLOOKUP($C316,'PORTIFÓLIO'!C:V,2,0),"")</f>
        <v/>
      </c>
      <c r="E316" s="211" t="str">
        <f>IFERROR(VLOOKUP($C316,'PORTIFÓLIO'!C:V,3,0),"")</f>
        <v/>
      </c>
      <c r="F316" s="211" t="str">
        <f>IFERROR(VLOOKUP($C316,'PORTIFÓLIO'!C:V,4,0),"")</f>
        <v/>
      </c>
      <c r="G316" s="215" t="str">
        <f>IFERROR(VLOOKUP($C316,'PORTIFÓLIO'!C:V,5,0),"")</f>
        <v/>
      </c>
      <c r="H316" s="254" t="str">
        <f t="array" ref="H316">IFERROR(INDEX('PORTIFÓLIO'!$H$4:$H$433,MATCH($C316,'PORTIFÓLIO'!$C$4:$C$433,0)),"")</f>
        <v/>
      </c>
      <c r="I316" s="256"/>
      <c r="J316" s="218">
        <f t="shared" si="35"/>
        <v>0</v>
      </c>
      <c r="K316" s="292" t="str">
        <f t="array" ref="K316">IFERROR(I316*INDEX('PORTIFÓLIO'!$S$4:$S$433,MATCH($C316,'PORTIFÓLIO'!$C$4:$C$433,0)),"")</f>
        <v/>
      </c>
      <c r="L316" s="292" t="str">
        <f t="array" ref="L316">IFERROR(J316*INDEX('PORTIFÓLIO'!$S$4:$S$433,MATCH($C316,'PORTIFÓLIO'!$C$4:$C$433,0)),"")</f>
        <v/>
      </c>
      <c r="M316" s="220"/>
      <c r="N316" s="220"/>
      <c r="O316" s="220"/>
      <c r="P316" s="220"/>
      <c r="Q316" s="220"/>
      <c r="R316" s="220"/>
      <c r="S316" s="220"/>
      <c r="T316" s="220"/>
      <c r="U316" s="220"/>
      <c r="V316" s="220"/>
      <c r="W316" s="220"/>
    </row>
    <row r="317" ht="15.75" customHeight="1" outlineLevel="1">
      <c r="A317" s="211"/>
      <c r="B317" s="212"/>
      <c r="C317" s="213"/>
      <c r="D317" s="214" t="str">
        <f>IFERROR(VLOOKUP($C317,'PORTIFÓLIO'!C:V,2,0),"")</f>
        <v/>
      </c>
      <c r="E317" s="211" t="str">
        <f>IFERROR(VLOOKUP($C317,'PORTIFÓLIO'!C:V,3,0),"")</f>
        <v/>
      </c>
      <c r="F317" s="211" t="str">
        <f>IFERROR(VLOOKUP($C317,'PORTIFÓLIO'!C:V,4,0),"")</f>
        <v/>
      </c>
      <c r="G317" s="215" t="str">
        <f>IFERROR(VLOOKUP($C317,'PORTIFÓLIO'!C:V,5,0),"")</f>
        <v/>
      </c>
      <c r="H317" s="254" t="str">
        <f t="array" ref="H317">IFERROR(INDEX('PORTIFÓLIO'!$H$4:$H$433,MATCH($C317,'PORTIFÓLIO'!$C$4:$C$433,0)),"")</f>
        <v/>
      </c>
      <c r="I317" s="255"/>
      <c r="J317" s="218">
        <f t="shared" si="35"/>
        <v>0</v>
      </c>
      <c r="K317" s="292" t="str">
        <f t="array" ref="K317">IFERROR(I317*INDEX('PORTIFÓLIO'!$S$4:$S$433,MATCH($C317,'PORTIFÓLIO'!$C$4:$C$433,0)),"")</f>
        <v/>
      </c>
      <c r="L317" s="292" t="str">
        <f t="array" ref="L317">IFERROR(J317*INDEX('PORTIFÓLIO'!$S$4:$S$433,MATCH($C317,'PORTIFÓLIO'!$C$4:$C$433,0)),"")</f>
        <v/>
      </c>
      <c r="M317" s="220"/>
      <c r="N317" s="220"/>
      <c r="O317" s="220"/>
      <c r="P317" s="220"/>
      <c r="Q317" s="220"/>
      <c r="R317" s="220"/>
      <c r="S317" s="220"/>
      <c r="T317" s="220"/>
      <c r="U317" s="220"/>
      <c r="V317" s="220"/>
      <c r="W317" s="220"/>
    </row>
    <row r="318" ht="15.75" customHeight="1" outlineLevel="1">
      <c r="A318" s="211"/>
      <c r="B318" s="212"/>
      <c r="C318" s="213"/>
      <c r="D318" s="214" t="str">
        <f>IFERROR(VLOOKUP($C318,'PORTIFÓLIO'!C:V,2,0),"")</f>
        <v/>
      </c>
      <c r="E318" s="211" t="str">
        <f>IFERROR(VLOOKUP($C318,'PORTIFÓLIO'!C:V,3,0),"")</f>
        <v/>
      </c>
      <c r="F318" s="211" t="str">
        <f>IFERROR(VLOOKUP($C318,'PORTIFÓLIO'!C:V,4,0),"")</f>
        <v/>
      </c>
      <c r="G318" s="215" t="str">
        <f>IFERROR(VLOOKUP($C318,'PORTIFÓLIO'!C:V,5,0),"")</f>
        <v/>
      </c>
      <c r="H318" s="254" t="str">
        <f t="array" ref="H318">IFERROR(INDEX('PORTIFÓLIO'!$H$4:$H$433,MATCH($C318,'PORTIFÓLIO'!$C$4:$C$433,0)),"")</f>
        <v/>
      </c>
      <c r="I318" s="256"/>
      <c r="J318" s="218">
        <f t="shared" si="35"/>
        <v>0</v>
      </c>
      <c r="K318" s="292" t="str">
        <f t="array" ref="K318">IFERROR(I318*INDEX('PORTIFÓLIO'!$S$4:$S$433,MATCH($C318,'PORTIFÓLIO'!$C$4:$C$433,0)),"")</f>
        <v/>
      </c>
      <c r="L318" s="292" t="str">
        <f t="array" ref="L318">IFERROR(J318*INDEX('PORTIFÓLIO'!$S$4:$S$433,MATCH($C318,'PORTIFÓLIO'!$C$4:$C$433,0)),"")</f>
        <v/>
      </c>
      <c r="M318" s="220"/>
      <c r="N318" s="220"/>
      <c r="O318" s="220"/>
      <c r="P318" s="220"/>
      <c r="Q318" s="220"/>
      <c r="R318" s="220"/>
      <c r="S318" s="220"/>
      <c r="T318" s="220"/>
      <c r="U318" s="220"/>
      <c r="V318" s="220"/>
      <c r="W318" s="220"/>
    </row>
    <row r="319" ht="15.75" customHeight="1" outlineLevel="1">
      <c r="A319" s="211"/>
      <c r="B319" s="212"/>
      <c r="C319" s="213"/>
      <c r="D319" s="214" t="str">
        <f>IFERROR(VLOOKUP($C319,'PORTIFÓLIO'!C:V,2,0),"")</f>
        <v/>
      </c>
      <c r="E319" s="211" t="str">
        <f>IFERROR(VLOOKUP($C319,'PORTIFÓLIO'!C:V,3,0),"")</f>
        <v/>
      </c>
      <c r="F319" s="211" t="str">
        <f>IFERROR(VLOOKUP($C319,'PORTIFÓLIO'!C:V,4,0),"")</f>
        <v/>
      </c>
      <c r="G319" s="215" t="str">
        <f>IFERROR(VLOOKUP($C319,'PORTIFÓLIO'!C:V,5,0),"")</f>
        <v/>
      </c>
      <c r="H319" s="254" t="str">
        <f t="array" ref="H319">IFERROR(INDEX('PORTIFÓLIO'!$H$4:$H$433,MATCH($C319,'PORTIFÓLIO'!$C$4:$C$433,0)),"")</f>
        <v/>
      </c>
      <c r="I319" s="256"/>
      <c r="J319" s="218">
        <f t="shared" si="35"/>
        <v>0</v>
      </c>
      <c r="K319" s="292" t="str">
        <f t="array" ref="K319">IFERROR(I319*INDEX('PORTIFÓLIO'!$S$4:$S$433,MATCH($C319,'PORTIFÓLIO'!$C$4:$C$433,0)),"")</f>
        <v/>
      </c>
      <c r="L319" s="292" t="str">
        <f t="array" ref="L319">IFERROR(J319*INDEX('PORTIFÓLIO'!$S$4:$S$433,MATCH($C319,'PORTIFÓLIO'!$C$4:$C$433,0)),"")</f>
        <v/>
      </c>
      <c r="M319" s="220"/>
      <c r="N319" s="220"/>
      <c r="O319" s="220"/>
      <c r="P319" s="220"/>
      <c r="Q319" s="220"/>
      <c r="R319" s="220"/>
      <c r="S319" s="220"/>
      <c r="T319" s="220"/>
      <c r="U319" s="220"/>
      <c r="V319" s="220"/>
      <c r="W319" s="220"/>
    </row>
    <row r="320" ht="15.75" customHeight="1" outlineLevel="1">
      <c r="A320" s="211"/>
      <c r="B320" s="212"/>
      <c r="C320" s="213"/>
      <c r="D320" s="214" t="str">
        <f>IFERROR(VLOOKUP($C320,'PORTIFÓLIO'!C:V,2,0),"")</f>
        <v/>
      </c>
      <c r="E320" s="211" t="str">
        <f>IFERROR(VLOOKUP($C320,'PORTIFÓLIO'!C:V,3,0),"")</f>
        <v/>
      </c>
      <c r="F320" s="211" t="str">
        <f>IFERROR(VLOOKUP($C320,'PORTIFÓLIO'!C:V,4,0),"")</f>
        <v/>
      </c>
      <c r="G320" s="215" t="str">
        <f>IFERROR(VLOOKUP($C320,'PORTIFÓLIO'!C:V,5,0),"")</f>
        <v/>
      </c>
      <c r="H320" s="254" t="str">
        <f t="array" ref="H320">IFERROR(INDEX('PORTIFÓLIO'!$H$4:$H$433,MATCH($C320,'PORTIFÓLIO'!$C$4:$C$433,0)),"")</f>
        <v/>
      </c>
      <c r="I320" s="256"/>
      <c r="J320" s="218">
        <f t="shared" si="35"/>
        <v>0</v>
      </c>
      <c r="K320" s="292" t="str">
        <f t="array" ref="K320">IFERROR(I320*INDEX('PORTIFÓLIO'!$S$4:$S$433,MATCH($C320,'PORTIFÓLIO'!$C$4:$C$433,0)),"")</f>
        <v/>
      </c>
      <c r="L320" s="292" t="str">
        <f t="array" ref="L320">IFERROR(J320*INDEX('PORTIFÓLIO'!$S$4:$S$433,MATCH($C320,'PORTIFÓLIO'!$C$4:$C$433,0)),"")</f>
        <v/>
      </c>
      <c r="M320" s="220"/>
      <c r="N320" s="220"/>
      <c r="O320" s="220"/>
      <c r="P320" s="220"/>
      <c r="Q320" s="220"/>
      <c r="R320" s="220"/>
      <c r="S320" s="220"/>
      <c r="T320" s="220"/>
      <c r="U320" s="220"/>
      <c r="V320" s="220"/>
      <c r="W320" s="220"/>
    </row>
    <row r="321" ht="15.75" customHeight="1" outlineLevel="1">
      <c r="A321" s="211"/>
      <c r="B321" s="212"/>
      <c r="C321" s="213"/>
      <c r="D321" s="214" t="str">
        <f>IFERROR(VLOOKUP($C321,'PORTIFÓLIO'!C:V,2,0),"")</f>
        <v/>
      </c>
      <c r="E321" s="211" t="str">
        <f>IFERROR(VLOOKUP($C321,'PORTIFÓLIO'!C:V,3,0),"")</f>
        <v/>
      </c>
      <c r="F321" s="211" t="str">
        <f>IFERROR(VLOOKUP($C321,'PORTIFÓLIO'!C:V,4,0),"")</f>
        <v/>
      </c>
      <c r="G321" s="215" t="str">
        <f>IFERROR(VLOOKUP($C321,'PORTIFÓLIO'!C:V,5,0),"")</f>
        <v/>
      </c>
      <c r="H321" s="254" t="str">
        <f t="array" ref="H321">IFERROR(INDEX('PORTIFÓLIO'!$H$4:$H$433,MATCH($C321,'PORTIFÓLIO'!$C$4:$C$433,0)),"")</f>
        <v/>
      </c>
      <c r="I321" s="256"/>
      <c r="J321" s="218">
        <f t="shared" si="35"/>
        <v>0</v>
      </c>
      <c r="K321" s="292" t="str">
        <f t="array" ref="K321">IFERROR(I321*INDEX('PORTIFÓLIO'!$S$4:$S$433,MATCH($C321,'PORTIFÓLIO'!$C$4:$C$433,0)),"")</f>
        <v/>
      </c>
      <c r="L321" s="292" t="str">
        <f t="array" ref="L321">IFERROR(J321*INDEX('PORTIFÓLIO'!$S$4:$S$433,MATCH($C321,'PORTIFÓLIO'!$C$4:$C$433,0)),"")</f>
        <v/>
      </c>
      <c r="M321" s="220"/>
      <c r="N321" s="220"/>
      <c r="O321" s="220"/>
      <c r="P321" s="220"/>
      <c r="Q321" s="220"/>
      <c r="R321" s="220"/>
      <c r="S321" s="220"/>
      <c r="T321" s="220"/>
      <c r="U321" s="220"/>
      <c r="V321" s="220"/>
      <c r="W321" s="220"/>
    </row>
    <row r="322" ht="15.75" customHeight="1" outlineLevel="1">
      <c r="A322" s="211"/>
      <c r="B322" s="212"/>
      <c r="C322" s="213"/>
      <c r="D322" s="214" t="str">
        <f>IFERROR(VLOOKUP($C322,'PORTIFÓLIO'!C:V,2,0),"")</f>
        <v/>
      </c>
      <c r="E322" s="211" t="str">
        <f>IFERROR(VLOOKUP($C322,'PORTIFÓLIO'!C:V,3,0),"")</f>
        <v/>
      </c>
      <c r="F322" s="211" t="str">
        <f>IFERROR(VLOOKUP($C322,'PORTIFÓLIO'!C:V,4,0),"")</f>
        <v/>
      </c>
      <c r="G322" s="215" t="str">
        <f>IFERROR(VLOOKUP($C322,'PORTIFÓLIO'!C:V,5,0),"")</f>
        <v/>
      </c>
      <c r="H322" s="254" t="str">
        <f t="array" ref="H322">IFERROR(INDEX('PORTIFÓLIO'!$H$4:$H$433,MATCH($C322,'PORTIFÓLIO'!$C$4:$C$433,0)),"")</f>
        <v/>
      </c>
      <c r="I322" s="256"/>
      <c r="J322" s="218">
        <f t="shared" si="35"/>
        <v>0</v>
      </c>
      <c r="K322" s="292" t="str">
        <f t="array" ref="K322">IFERROR(I322*INDEX('PORTIFÓLIO'!$S$4:$S$433,MATCH($C322,'PORTIFÓLIO'!$C$4:$C$433,0)),"")</f>
        <v/>
      </c>
      <c r="L322" s="292" t="str">
        <f t="array" ref="L322">IFERROR(J322*INDEX('PORTIFÓLIO'!$S$4:$S$433,MATCH($C322,'PORTIFÓLIO'!$C$4:$C$433,0)),"")</f>
        <v/>
      </c>
      <c r="M322" s="220"/>
      <c r="N322" s="220"/>
      <c r="O322" s="220"/>
      <c r="P322" s="220"/>
      <c r="Q322" s="220"/>
      <c r="R322" s="220"/>
      <c r="S322" s="220"/>
      <c r="T322" s="220"/>
      <c r="U322" s="220"/>
      <c r="V322" s="220"/>
      <c r="W322" s="220"/>
    </row>
    <row r="323" ht="15.75" customHeight="1" outlineLevel="1">
      <c r="A323" s="211"/>
      <c r="B323" s="212"/>
      <c r="C323" s="213"/>
      <c r="D323" s="214" t="str">
        <f>IFERROR(VLOOKUP($C323,'PORTIFÓLIO'!C:V,2,0),"")</f>
        <v/>
      </c>
      <c r="E323" s="211" t="str">
        <f>IFERROR(VLOOKUP($C323,'PORTIFÓLIO'!C:V,3,0),"")</f>
        <v/>
      </c>
      <c r="F323" s="211" t="str">
        <f>IFERROR(VLOOKUP($C323,'PORTIFÓLIO'!C:V,4,0),"")</f>
        <v/>
      </c>
      <c r="G323" s="215" t="str">
        <f>IFERROR(VLOOKUP($C323,'PORTIFÓLIO'!C:V,5,0),"")</f>
        <v/>
      </c>
      <c r="H323" s="254" t="str">
        <f t="array" ref="H323">IFERROR(INDEX('PORTIFÓLIO'!$H$4:$H$433,MATCH($C323,'PORTIFÓLIO'!$C$4:$C$433,0)),"")</f>
        <v/>
      </c>
      <c r="I323" s="256"/>
      <c r="J323" s="218">
        <f t="shared" si="35"/>
        <v>0</v>
      </c>
      <c r="K323" s="292" t="str">
        <f t="array" ref="K323">IFERROR(I323*INDEX('PORTIFÓLIO'!$S$4:$S$433,MATCH($C323,'PORTIFÓLIO'!$C$4:$C$433,0)),"")</f>
        <v/>
      </c>
      <c r="L323" s="292" t="str">
        <f t="array" ref="L323">IFERROR(J323*INDEX('PORTIFÓLIO'!$S$4:$S$433,MATCH($C323,'PORTIFÓLIO'!$C$4:$C$433,0)),"")</f>
        <v/>
      </c>
      <c r="M323" s="220"/>
      <c r="N323" s="220"/>
      <c r="O323" s="220"/>
      <c r="P323" s="220"/>
      <c r="Q323" s="220"/>
      <c r="R323" s="220"/>
      <c r="S323" s="220"/>
      <c r="T323" s="220"/>
      <c r="U323" s="220"/>
      <c r="V323" s="220"/>
      <c r="W323" s="220"/>
    </row>
    <row r="324" ht="15.75" customHeight="1">
      <c r="A324" s="229" t="s">
        <v>1189</v>
      </c>
      <c r="B324" s="230"/>
      <c r="C324" s="231"/>
      <c r="D324" s="232"/>
      <c r="E324" s="231"/>
      <c r="F324" s="231"/>
      <c r="G324" s="233"/>
      <c r="H324" s="233"/>
      <c r="I324" s="258"/>
      <c r="J324" s="236"/>
      <c r="K324" s="237">
        <f t="shared" ref="K324:L324" si="36">SUBTOTAL(9,K325:K338)</f>
        <v>0</v>
      </c>
      <c r="L324" s="237">
        <f t="shared" si="36"/>
        <v>0</v>
      </c>
      <c r="M324" s="220"/>
      <c r="N324" s="220"/>
      <c r="O324" s="220"/>
      <c r="P324" s="220"/>
      <c r="Q324" s="220"/>
      <c r="R324" s="220"/>
      <c r="S324" s="220"/>
      <c r="T324" s="220"/>
      <c r="U324" s="220"/>
      <c r="V324" s="220"/>
      <c r="W324" s="220"/>
    </row>
    <row r="325" ht="15.75" customHeight="1" outlineLevel="1">
      <c r="A325" s="213"/>
      <c r="B325" s="212"/>
      <c r="C325" s="213"/>
      <c r="D325" s="214" t="str">
        <f>IFERROR(VLOOKUP($C325,'PORTIFÓLIO'!C:V,2,0),"")</f>
        <v/>
      </c>
      <c r="E325" s="211" t="str">
        <f>IFERROR(VLOOKUP($C325,'PORTIFÓLIO'!C:V,3,0),"")</f>
        <v/>
      </c>
      <c r="F325" s="211" t="str">
        <f>IFERROR(VLOOKUP($C325,'PORTIFÓLIO'!C:V,4,0),"")</f>
        <v/>
      </c>
      <c r="G325" s="215" t="str">
        <f>IFERROR(VLOOKUP($C325,'PORTIFÓLIO'!C:V,5,0),"")</f>
        <v/>
      </c>
      <c r="H325" s="254" t="str">
        <f t="array" ref="H325">IFERROR(INDEX('PORTIFÓLIO'!$H$4:$H$433,MATCH($C325,'PORTIFÓLIO'!$C$4:$C$433,0)),"")</f>
        <v/>
      </c>
      <c r="I325" s="255"/>
      <c r="J325" s="218">
        <f t="shared" ref="J325:J339" si="37">I325*$B$2</f>
        <v>0</v>
      </c>
      <c r="K325" s="292" t="str">
        <f t="array" ref="K325">IFERROR(I325*INDEX('PORTIFÓLIO'!$S$4:$S$433,MATCH($C325,'PORTIFÓLIO'!$C$4:$C$433,0)),"")</f>
        <v/>
      </c>
      <c r="L325" s="292" t="str">
        <f t="array" ref="L325">IFERROR(J325*INDEX('PORTIFÓLIO'!$S$4:$S$433,MATCH($C325,'PORTIFÓLIO'!$C$4:$C$433,0)),"")</f>
        <v/>
      </c>
      <c r="M325" s="220"/>
      <c r="N325" s="220"/>
      <c r="O325" s="220"/>
      <c r="P325" s="220"/>
      <c r="Q325" s="220"/>
      <c r="R325" s="220"/>
      <c r="S325" s="220"/>
      <c r="T325" s="220"/>
      <c r="U325" s="220"/>
      <c r="V325" s="220"/>
      <c r="W325" s="220"/>
    </row>
    <row r="326" ht="15.75" customHeight="1" outlineLevel="1">
      <c r="A326" s="211"/>
      <c r="B326" s="212"/>
      <c r="C326" s="213"/>
      <c r="D326" s="214" t="str">
        <f>IFERROR(VLOOKUP($C326,'PORTIFÓLIO'!C:V,2,0),"")</f>
        <v/>
      </c>
      <c r="E326" s="211" t="str">
        <f>IFERROR(VLOOKUP($C326,'PORTIFÓLIO'!C:V,3,0),"")</f>
        <v/>
      </c>
      <c r="F326" s="211" t="str">
        <f>IFERROR(VLOOKUP($C326,'PORTIFÓLIO'!C:V,4,0),"")</f>
        <v/>
      </c>
      <c r="G326" s="215" t="str">
        <f>IFERROR(VLOOKUP($C326,'PORTIFÓLIO'!C:V,5,0),"")</f>
        <v/>
      </c>
      <c r="H326" s="254" t="str">
        <f t="array" ref="H326">IFERROR(INDEX('PORTIFÓLIO'!$H$4:$H$433,MATCH($C326,'PORTIFÓLIO'!$C$4:$C$433,0)),"")</f>
        <v/>
      </c>
      <c r="I326" s="256"/>
      <c r="J326" s="218">
        <f t="shared" si="37"/>
        <v>0</v>
      </c>
      <c r="K326" s="292" t="str">
        <f t="array" ref="K326">IFERROR(I326*INDEX('PORTIFÓLIO'!$S$4:$S$433,MATCH($C326,'PORTIFÓLIO'!$C$4:$C$433,0)),"")</f>
        <v/>
      </c>
      <c r="L326" s="292" t="str">
        <f t="array" ref="L326">IFERROR(J326*INDEX('PORTIFÓLIO'!$S$4:$S$433,MATCH($C326,'PORTIFÓLIO'!$C$4:$C$433,0)),"")</f>
        <v/>
      </c>
      <c r="M326" s="220"/>
      <c r="N326" s="220"/>
      <c r="O326" s="220"/>
      <c r="P326" s="220"/>
      <c r="Q326" s="220"/>
      <c r="R326" s="220"/>
      <c r="S326" s="220"/>
      <c r="T326" s="220"/>
      <c r="U326" s="220"/>
      <c r="V326" s="220"/>
      <c r="W326" s="220"/>
    </row>
    <row r="327" ht="15.75" customHeight="1" outlineLevel="1">
      <c r="A327" s="211"/>
      <c r="B327" s="212"/>
      <c r="C327" s="213"/>
      <c r="D327" s="214" t="str">
        <f>IFERROR(VLOOKUP($C327,'PORTIFÓLIO'!C:V,2,0),"")</f>
        <v/>
      </c>
      <c r="E327" s="211" t="str">
        <f>IFERROR(VLOOKUP($C327,'PORTIFÓLIO'!C:V,3,0),"")</f>
        <v/>
      </c>
      <c r="F327" s="211" t="str">
        <f>IFERROR(VLOOKUP($C327,'PORTIFÓLIO'!C:V,4,0),"")</f>
        <v/>
      </c>
      <c r="G327" s="215" t="str">
        <f>IFERROR(VLOOKUP($C327,'PORTIFÓLIO'!C:V,5,0),"")</f>
        <v/>
      </c>
      <c r="H327" s="254" t="str">
        <f t="array" ref="H327">IFERROR(INDEX('PORTIFÓLIO'!$H$4:$H$433,MATCH($C327,'PORTIFÓLIO'!$C$4:$C$433,0)),"")</f>
        <v/>
      </c>
      <c r="I327" s="256"/>
      <c r="J327" s="218">
        <f t="shared" si="37"/>
        <v>0</v>
      </c>
      <c r="K327" s="292" t="str">
        <f t="array" ref="K327">IFERROR(I327*INDEX('PORTIFÓLIO'!$S$4:$S$433,MATCH($C327,'PORTIFÓLIO'!$C$4:$C$433,0)),"")</f>
        <v/>
      </c>
      <c r="L327" s="292" t="str">
        <f t="array" ref="L327">IFERROR(J327*INDEX('PORTIFÓLIO'!$S$4:$S$433,MATCH($C327,'PORTIFÓLIO'!$C$4:$C$433,0)),"")</f>
        <v/>
      </c>
      <c r="M327" s="220"/>
      <c r="N327" s="220"/>
      <c r="O327" s="220"/>
      <c r="P327" s="220"/>
      <c r="Q327" s="220"/>
      <c r="R327" s="220"/>
      <c r="S327" s="220"/>
      <c r="T327" s="220"/>
      <c r="U327" s="220"/>
      <c r="V327" s="220"/>
      <c r="W327" s="220"/>
    </row>
    <row r="328" ht="15.75" customHeight="1" outlineLevel="1">
      <c r="A328" s="211"/>
      <c r="B328" s="212"/>
      <c r="C328" s="213"/>
      <c r="D328" s="214" t="str">
        <f>IFERROR(VLOOKUP($C328,'PORTIFÓLIO'!C:V,2,0),"")</f>
        <v/>
      </c>
      <c r="E328" s="211" t="str">
        <f>IFERROR(VLOOKUP($C328,'PORTIFÓLIO'!C:V,3,0),"")</f>
        <v/>
      </c>
      <c r="F328" s="211" t="str">
        <f>IFERROR(VLOOKUP($C328,'PORTIFÓLIO'!C:V,4,0),"")</f>
        <v/>
      </c>
      <c r="G328" s="215" t="str">
        <f>IFERROR(VLOOKUP($C328,'PORTIFÓLIO'!C:V,5,0),"")</f>
        <v/>
      </c>
      <c r="H328" s="254" t="str">
        <f t="array" ref="H328">IFERROR(INDEX('PORTIFÓLIO'!$H$4:$H$433,MATCH($C328,'PORTIFÓLIO'!$C$4:$C$433,0)),"")</f>
        <v/>
      </c>
      <c r="I328" s="256"/>
      <c r="J328" s="218">
        <f t="shared" si="37"/>
        <v>0</v>
      </c>
      <c r="K328" s="292" t="str">
        <f t="array" ref="K328">IFERROR(I328*INDEX('PORTIFÓLIO'!$S$4:$S$433,MATCH($C328,'PORTIFÓLIO'!$C$4:$C$433,0)),"")</f>
        <v/>
      </c>
      <c r="L328" s="292" t="str">
        <f t="array" ref="L328">IFERROR(J328*INDEX('PORTIFÓLIO'!$S$4:$S$433,MATCH($C328,'PORTIFÓLIO'!$C$4:$C$433,0)),"")</f>
        <v/>
      </c>
      <c r="M328" s="220"/>
      <c r="N328" s="220"/>
      <c r="O328" s="220"/>
      <c r="P328" s="220"/>
      <c r="Q328" s="220"/>
      <c r="R328" s="220"/>
      <c r="S328" s="220"/>
      <c r="T328" s="220"/>
      <c r="U328" s="220"/>
      <c r="V328" s="220"/>
      <c r="W328" s="220"/>
    </row>
    <row r="329" ht="15.75" customHeight="1" outlineLevel="1">
      <c r="A329" s="211"/>
      <c r="B329" s="212"/>
      <c r="C329" s="213"/>
      <c r="D329" s="214" t="str">
        <f>IFERROR(VLOOKUP($C329,'PORTIFÓLIO'!C:V,2,0),"")</f>
        <v/>
      </c>
      <c r="E329" s="211" t="str">
        <f>IFERROR(VLOOKUP($C329,'PORTIFÓLIO'!C:V,3,0),"")</f>
        <v/>
      </c>
      <c r="F329" s="211" t="str">
        <f>IFERROR(VLOOKUP($C329,'PORTIFÓLIO'!C:V,4,0),"")</f>
        <v/>
      </c>
      <c r="G329" s="215" t="str">
        <f>IFERROR(VLOOKUP($C329,'PORTIFÓLIO'!C:V,5,0),"")</f>
        <v/>
      </c>
      <c r="H329" s="254" t="str">
        <f t="array" ref="H329">IFERROR(INDEX('PORTIFÓLIO'!$H$4:$H$433,MATCH($C329,'PORTIFÓLIO'!$C$4:$C$433,0)),"")</f>
        <v/>
      </c>
      <c r="I329" s="256"/>
      <c r="J329" s="218">
        <f t="shared" si="37"/>
        <v>0</v>
      </c>
      <c r="K329" s="292" t="str">
        <f t="array" ref="K329">IFERROR(I329*INDEX('PORTIFÓLIO'!$S$4:$S$433,MATCH($C329,'PORTIFÓLIO'!$C$4:$C$433,0)),"")</f>
        <v/>
      </c>
      <c r="L329" s="292" t="str">
        <f t="array" ref="L329">IFERROR(J329*INDEX('PORTIFÓLIO'!$S$4:$S$433,MATCH($C329,'PORTIFÓLIO'!$C$4:$C$433,0)),"")</f>
        <v/>
      </c>
      <c r="M329" s="220"/>
      <c r="N329" s="220"/>
      <c r="O329" s="220"/>
      <c r="P329" s="220"/>
      <c r="Q329" s="220"/>
      <c r="R329" s="220"/>
      <c r="S329" s="220"/>
      <c r="T329" s="220"/>
      <c r="U329" s="220"/>
      <c r="V329" s="220"/>
      <c r="W329" s="220"/>
    </row>
    <row r="330" ht="15.75" customHeight="1" outlineLevel="1">
      <c r="A330" s="211"/>
      <c r="B330" s="212"/>
      <c r="C330" s="213"/>
      <c r="D330" s="214" t="str">
        <f>IFERROR(VLOOKUP($C330,'PORTIFÓLIO'!C:V,2,0),"")</f>
        <v/>
      </c>
      <c r="E330" s="211" t="str">
        <f>IFERROR(VLOOKUP($C330,'PORTIFÓLIO'!C:V,3,0),"")</f>
        <v/>
      </c>
      <c r="F330" s="211" t="str">
        <f>IFERROR(VLOOKUP($C330,'PORTIFÓLIO'!C:V,4,0),"")</f>
        <v/>
      </c>
      <c r="G330" s="215" t="str">
        <f>IFERROR(VLOOKUP($C330,'PORTIFÓLIO'!C:V,5,0),"")</f>
        <v/>
      </c>
      <c r="H330" s="254" t="str">
        <f t="array" ref="H330">IFERROR(INDEX('PORTIFÓLIO'!$H$4:$H$433,MATCH($C330,'PORTIFÓLIO'!$C$4:$C$433,0)),"")</f>
        <v/>
      </c>
      <c r="I330" s="256"/>
      <c r="J330" s="218">
        <f t="shared" si="37"/>
        <v>0</v>
      </c>
      <c r="K330" s="292" t="str">
        <f t="array" ref="K330">IFERROR(I330*INDEX('PORTIFÓLIO'!$S$4:$S$433,MATCH($C330,'PORTIFÓLIO'!$C$4:$C$433,0)),"")</f>
        <v/>
      </c>
      <c r="L330" s="292" t="str">
        <f t="array" ref="L330">IFERROR(J330*INDEX('PORTIFÓLIO'!$S$4:$S$433,MATCH($C330,'PORTIFÓLIO'!$C$4:$C$433,0)),"")</f>
        <v/>
      </c>
      <c r="M330" s="220"/>
      <c r="N330" s="220"/>
      <c r="O330" s="220"/>
      <c r="P330" s="220"/>
      <c r="Q330" s="220"/>
      <c r="R330" s="220"/>
      <c r="S330" s="220"/>
      <c r="T330" s="220"/>
      <c r="U330" s="220"/>
      <c r="V330" s="220"/>
      <c r="W330" s="220"/>
    </row>
    <row r="331" ht="15.75" customHeight="1" outlineLevel="1">
      <c r="A331" s="211"/>
      <c r="B331" s="212"/>
      <c r="C331" s="213"/>
      <c r="D331" s="214" t="str">
        <f>IFERROR(VLOOKUP($C331,'PORTIFÓLIO'!C:V,2,0),"")</f>
        <v/>
      </c>
      <c r="E331" s="211" t="str">
        <f>IFERROR(VLOOKUP($C331,'PORTIFÓLIO'!C:V,3,0),"")</f>
        <v/>
      </c>
      <c r="F331" s="211" t="str">
        <f>IFERROR(VLOOKUP($C331,'PORTIFÓLIO'!C:V,4,0),"")</f>
        <v/>
      </c>
      <c r="G331" s="215" t="str">
        <f>IFERROR(VLOOKUP($C331,'PORTIFÓLIO'!C:V,5,0),"")</f>
        <v/>
      </c>
      <c r="H331" s="254" t="str">
        <f t="array" ref="H331">IFERROR(INDEX('PORTIFÓLIO'!$H$4:$H$433,MATCH($C331,'PORTIFÓLIO'!$C$4:$C$433,0)),"")</f>
        <v/>
      </c>
      <c r="I331" s="256"/>
      <c r="J331" s="218">
        <f t="shared" si="37"/>
        <v>0</v>
      </c>
      <c r="K331" s="292" t="str">
        <f t="array" ref="K331">IFERROR(I331*INDEX('PORTIFÓLIO'!$S$4:$S$433,MATCH($C331,'PORTIFÓLIO'!$C$4:$C$433,0)),"")</f>
        <v/>
      </c>
      <c r="L331" s="292" t="str">
        <f t="array" ref="L331">IFERROR(J331*INDEX('PORTIFÓLIO'!$S$4:$S$433,MATCH($C331,'PORTIFÓLIO'!$C$4:$C$433,0)),"")</f>
        <v/>
      </c>
      <c r="M331" s="220"/>
      <c r="N331" s="220"/>
      <c r="O331" s="220"/>
      <c r="P331" s="220"/>
      <c r="Q331" s="220"/>
      <c r="R331" s="220"/>
      <c r="S331" s="220"/>
      <c r="T331" s="220"/>
      <c r="U331" s="220"/>
      <c r="V331" s="220"/>
      <c r="W331" s="220"/>
    </row>
    <row r="332" ht="15.75" customHeight="1" outlineLevel="1">
      <c r="A332" s="211"/>
      <c r="B332" s="212"/>
      <c r="C332" s="213"/>
      <c r="D332" s="214" t="str">
        <f>IFERROR(VLOOKUP($C332,'PORTIFÓLIO'!C:V,2,0),"")</f>
        <v/>
      </c>
      <c r="E332" s="211" t="str">
        <f>IFERROR(VLOOKUP($C332,'PORTIFÓLIO'!C:V,3,0),"")</f>
        <v/>
      </c>
      <c r="F332" s="211" t="str">
        <f>IFERROR(VLOOKUP($C332,'PORTIFÓLIO'!C:V,4,0),"")</f>
        <v/>
      </c>
      <c r="G332" s="215" t="str">
        <f>IFERROR(VLOOKUP($C332,'PORTIFÓLIO'!C:V,5,0),"")</f>
        <v/>
      </c>
      <c r="H332" s="254" t="str">
        <f t="array" ref="H332">IFERROR(INDEX('PORTIFÓLIO'!$H$4:$H$433,MATCH($C332,'PORTIFÓLIO'!$C$4:$C$433,0)),"")</f>
        <v/>
      </c>
      <c r="I332" s="256"/>
      <c r="J332" s="218">
        <f t="shared" si="37"/>
        <v>0</v>
      </c>
      <c r="K332" s="292" t="str">
        <f t="array" ref="K332">IFERROR(I332*INDEX('PORTIFÓLIO'!$S$4:$S$433,MATCH($C332,'PORTIFÓLIO'!$C$4:$C$433,0)),"")</f>
        <v/>
      </c>
      <c r="L332" s="292" t="str">
        <f t="array" ref="L332">IFERROR(J332*INDEX('PORTIFÓLIO'!$S$4:$S$433,MATCH($C332,'PORTIFÓLIO'!$C$4:$C$433,0)),"")</f>
        <v/>
      </c>
      <c r="M332" s="220"/>
      <c r="N332" s="220"/>
      <c r="O332" s="220"/>
      <c r="P332" s="220"/>
      <c r="Q332" s="220"/>
      <c r="R332" s="220"/>
      <c r="S332" s="220"/>
      <c r="T332" s="220"/>
      <c r="U332" s="220"/>
      <c r="V332" s="220"/>
      <c r="W332" s="220"/>
    </row>
    <row r="333" ht="15.75" customHeight="1" outlineLevel="1">
      <c r="A333" s="211"/>
      <c r="B333" s="212"/>
      <c r="C333" s="213"/>
      <c r="D333" s="214" t="str">
        <f>IFERROR(VLOOKUP($C333,'PORTIFÓLIO'!C:V,2,0),"")</f>
        <v/>
      </c>
      <c r="E333" s="211" t="str">
        <f>IFERROR(VLOOKUP($C333,'PORTIFÓLIO'!C:V,3,0),"")</f>
        <v/>
      </c>
      <c r="F333" s="211" t="str">
        <f>IFERROR(VLOOKUP($C333,'PORTIFÓLIO'!C:V,4,0),"")</f>
        <v/>
      </c>
      <c r="G333" s="215" t="str">
        <f>IFERROR(VLOOKUP($C333,'PORTIFÓLIO'!C:V,5,0),"")</f>
        <v/>
      </c>
      <c r="H333" s="254" t="str">
        <f t="array" ref="H333">IFERROR(INDEX('PORTIFÓLIO'!$H$4:$H$433,MATCH($C333,'PORTIFÓLIO'!$C$4:$C$433,0)),"")</f>
        <v/>
      </c>
      <c r="I333" s="255"/>
      <c r="J333" s="218">
        <f t="shared" si="37"/>
        <v>0</v>
      </c>
      <c r="K333" s="292" t="str">
        <f t="array" ref="K333">IFERROR(I333*INDEX('PORTIFÓLIO'!$S$4:$S$433,MATCH($C333,'PORTIFÓLIO'!$C$4:$C$433,0)),"")</f>
        <v/>
      </c>
      <c r="L333" s="292" t="str">
        <f t="array" ref="L333">IFERROR(J333*INDEX('PORTIFÓLIO'!$S$4:$S$433,MATCH($C333,'PORTIFÓLIO'!$C$4:$C$433,0)),"")</f>
        <v/>
      </c>
      <c r="M333" s="220"/>
      <c r="N333" s="220"/>
      <c r="O333" s="220"/>
      <c r="P333" s="220"/>
      <c r="Q333" s="220"/>
      <c r="R333" s="220"/>
      <c r="S333" s="220"/>
      <c r="T333" s="220"/>
      <c r="U333" s="220"/>
      <c r="V333" s="220"/>
      <c r="W333" s="220"/>
    </row>
    <row r="334" ht="15.75" customHeight="1" outlineLevel="1">
      <c r="A334" s="211"/>
      <c r="B334" s="212"/>
      <c r="C334" s="213"/>
      <c r="D334" s="214" t="str">
        <f>IFERROR(VLOOKUP($C334,'PORTIFÓLIO'!C:V,2,0),"")</f>
        <v/>
      </c>
      <c r="E334" s="211" t="str">
        <f>IFERROR(VLOOKUP($C334,'PORTIFÓLIO'!C:V,3,0),"")</f>
        <v/>
      </c>
      <c r="F334" s="211" t="str">
        <f>IFERROR(VLOOKUP($C334,'PORTIFÓLIO'!C:V,4,0),"")</f>
        <v/>
      </c>
      <c r="G334" s="215" t="str">
        <f>IFERROR(VLOOKUP($C334,'PORTIFÓLIO'!C:V,5,0),"")</f>
        <v/>
      </c>
      <c r="H334" s="254" t="str">
        <f t="array" ref="H334">IFERROR(INDEX('PORTIFÓLIO'!$H$4:$H$433,MATCH($C334,'PORTIFÓLIO'!$C$4:$C$433,0)),"")</f>
        <v/>
      </c>
      <c r="I334" s="256"/>
      <c r="J334" s="218">
        <f t="shared" si="37"/>
        <v>0</v>
      </c>
      <c r="K334" s="292" t="str">
        <f t="array" ref="K334">IFERROR(I334*INDEX('PORTIFÓLIO'!$S$4:$S$433,MATCH($C334,'PORTIFÓLIO'!$C$4:$C$433,0)),"")</f>
        <v/>
      </c>
      <c r="L334" s="292" t="str">
        <f t="array" ref="L334">IFERROR(J334*INDEX('PORTIFÓLIO'!$S$4:$S$433,MATCH($C334,'PORTIFÓLIO'!$C$4:$C$433,0)),"")</f>
        <v/>
      </c>
      <c r="M334" s="220"/>
      <c r="N334" s="220"/>
      <c r="O334" s="220"/>
      <c r="P334" s="220"/>
      <c r="Q334" s="220"/>
      <c r="R334" s="220"/>
      <c r="S334" s="220"/>
      <c r="T334" s="220"/>
      <c r="U334" s="220"/>
      <c r="V334" s="220"/>
      <c r="W334" s="220"/>
    </row>
    <row r="335" ht="15.75" customHeight="1" outlineLevel="1">
      <c r="A335" s="211"/>
      <c r="B335" s="212"/>
      <c r="C335" s="213"/>
      <c r="D335" s="214" t="str">
        <f>IFERROR(VLOOKUP($C335,'PORTIFÓLIO'!C:V,2,0),"")</f>
        <v/>
      </c>
      <c r="E335" s="211" t="str">
        <f>IFERROR(VLOOKUP($C335,'PORTIFÓLIO'!C:V,3,0),"")</f>
        <v/>
      </c>
      <c r="F335" s="211" t="str">
        <f>IFERROR(VLOOKUP($C335,'PORTIFÓLIO'!C:V,4,0),"")</f>
        <v/>
      </c>
      <c r="G335" s="215" t="str">
        <f>IFERROR(VLOOKUP($C335,'PORTIFÓLIO'!C:V,5,0),"")</f>
        <v/>
      </c>
      <c r="H335" s="254" t="str">
        <f t="array" ref="H335">IFERROR(INDEX('PORTIFÓLIO'!$H$4:$H$433,MATCH($C335,'PORTIFÓLIO'!$C$4:$C$433,0)),"")</f>
        <v/>
      </c>
      <c r="I335" s="256"/>
      <c r="J335" s="218">
        <f t="shared" si="37"/>
        <v>0</v>
      </c>
      <c r="K335" s="292" t="str">
        <f t="array" ref="K335">IFERROR(I335*INDEX('PORTIFÓLIO'!$S$4:$S$433,MATCH($C335,'PORTIFÓLIO'!$C$4:$C$433,0)),"")</f>
        <v/>
      </c>
      <c r="L335" s="292" t="str">
        <f t="array" ref="L335">IFERROR(J335*INDEX('PORTIFÓLIO'!$S$4:$S$433,MATCH($C335,'PORTIFÓLIO'!$C$4:$C$433,0)),"")</f>
        <v/>
      </c>
      <c r="M335" s="220"/>
      <c r="N335" s="220"/>
      <c r="O335" s="220"/>
      <c r="P335" s="220"/>
      <c r="Q335" s="220"/>
      <c r="R335" s="220"/>
      <c r="S335" s="220"/>
      <c r="T335" s="220"/>
      <c r="U335" s="220"/>
      <c r="V335" s="220"/>
      <c r="W335" s="220"/>
    </row>
    <row r="336" ht="15.75" customHeight="1" outlineLevel="1">
      <c r="A336" s="211"/>
      <c r="B336" s="212"/>
      <c r="C336" s="213"/>
      <c r="D336" s="214" t="str">
        <f>IFERROR(VLOOKUP($C336,'PORTIFÓLIO'!C:V,2,0),"")</f>
        <v/>
      </c>
      <c r="E336" s="211" t="str">
        <f>IFERROR(VLOOKUP($C336,'PORTIFÓLIO'!C:V,3,0),"")</f>
        <v/>
      </c>
      <c r="F336" s="211" t="str">
        <f>IFERROR(VLOOKUP($C336,'PORTIFÓLIO'!C:V,4,0),"")</f>
        <v/>
      </c>
      <c r="G336" s="215" t="str">
        <f>IFERROR(VLOOKUP($C336,'PORTIFÓLIO'!C:V,5,0),"")</f>
        <v/>
      </c>
      <c r="H336" s="254" t="str">
        <f t="array" ref="H336">IFERROR(INDEX('PORTIFÓLIO'!$H$4:$H$433,MATCH($C336,'PORTIFÓLIO'!$C$4:$C$433,0)),"")</f>
        <v/>
      </c>
      <c r="I336" s="256"/>
      <c r="J336" s="218">
        <f t="shared" si="37"/>
        <v>0</v>
      </c>
      <c r="K336" s="292" t="str">
        <f t="array" ref="K336">IFERROR(I336*INDEX('PORTIFÓLIO'!$S$4:$S$433,MATCH($C336,'PORTIFÓLIO'!$C$4:$C$433,0)),"")</f>
        <v/>
      </c>
      <c r="L336" s="292" t="str">
        <f t="array" ref="L336">IFERROR(J336*INDEX('PORTIFÓLIO'!$S$4:$S$433,MATCH($C336,'PORTIFÓLIO'!$C$4:$C$433,0)),"")</f>
        <v/>
      </c>
      <c r="M336" s="220"/>
      <c r="N336" s="220"/>
      <c r="O336" s="220"/>
      <c r="P336" s="220"/>
      <c r="Q336" s="220"/>
      <c r="R336" s="220"/>
      <c r="S336" s="220"/>
      <c r="T336" s="220"/>
      <c r="U336" s="220"/>
      <c r="V336" s="220"/>
      <c r="W336" s="220"/>
    </row>
    <row r="337" ht="15.75" customHeight="1" outlineLevel="1">
      <c r="A337" s="211"/>
      <c r="B337" s="212"/>
      <c r="C337" s="213"/>
      <c r="D337" s="214" t="str">
        <f>IFERROR(VLOOKUP($C337,'PORTIFÓLIO'!C:V,2,0),"")</f>
        <v/>
      </c>
      <c r="E337" s="211" t="str">
        <f>IFERROR(VLOOKUP($C337,'PORTIFÓLIO'!C:V,3,0),"")</f>
        <v/>
      </c>
      <c r="F337" s="211" t="str">
        <f>IFERROR(VLOOKUP($C337,'PORTIFÓLIO'!C:V,4,0),"")</f>
        <v/>
      </c>
      <c r="G337" s="215" t="str">
        <f>IFERROR(VLOOKUP($C337,'PORTIFÓLIO'!C:V,5,0),"")</f>
        <v/>
      </c>
      <c r="H337" s="254" t="str">
        <f t="array" ref="H337">IFERROR(INDEX('PORTIFÓLIO'!$H$4:$H$433,MATCH($C337,'PORTIFÓLIO'!$C$4:$C$433,0)),"")</f>
        <v/>
      </c>
      <c r="I337" s="256"/>
      <c r="J337" s="218">
        <f t="shared" si="37"/>
        <v>0</v>
      </c>
      <c r="K337" s="292" t="str">
        <f t="array" ref="K337">IFERROR(I337*INDEX('PORTIFÓLIO'!$S$4:$S$433,MATCH($C337,'PORTIFÓLIO'!$C$4:$C$433,0)),"")</f>
        <v/>
      </c>
      <c r="L337" s="292" t="str">
        <f t="array" ref="L337">IFERROR(J337*INDEX('PORTIFÓLIO'!$S$4:$S$433,MATCH($C337,'PORTIFÓLIO'!$C$4:$C$433,0)),"")</f>
        <v/>
      </c>
      <c r="M337" s="220"/>
      <c r="N337" s="220"/>
      <c r="O337" s="220"/>
      <c r="P337" s="220"/>
      <c r="Q337" s="220"/>
      <c r="R337" s="220"/>
      <c r="S337" s="220"/>
      <c r="T337" s="220"/>
      <c r="U337" s="220"/>
      <c r="V337" s="220"/>
      <c r="W337" s="220"/>
    </row>
    <row r="338" ht="15.75" customHeight="1" outlineLevel="1">
      <c r="A338" s="211"/>
      <c r="B338" s="212"/>
      <c r="C338" s="213"/>
      <c r="D338" s="214" t="str">
        <f>IFERROR(VLOOKUP($C338,'PORTIFÓLIO'!C:V,2,0),"")</f>
        <v/>
      </c>
      <c r="E338" s="211" t="str">
        <f>IFERROR(VLOOKUP($C338,'PORTIFÓLIO'!C:V,3,0),"")</f>
        <v/>
      </c>
      <c r="F338" s="211" t="str">
        <f>IFERROR(VLOOKUP($C338,'PORTIFÓLIO'!C:V,4,0),"")</f>
        <v/>
      </c>
      <c r="G338" s="215" t="str">
        <f>IFERROR(VLOOKUP($C338,'PORTIFÓLIO'!C:V,5,0),"")</f>
        <v/>
      </c>
      <c r="H338" s="254" t="str">
        <f t="array" ref="H338">IFERROR(INDEX('PORTIFÓLIO'!$H$4:$H$433,MATCH($C338,'PORTIFÓLIO'!$C$4:$C$433,0)),"")</f>
        <v/>
      </c>
      <c r="I338" s="256"/>
      <c r="J338" s="218">
        <f t="shared" si="37"/>
        <v>0</v>
      </c>
      <c r="K338" s="292" t="str">
        <f t="array" ref="K338">IFERROR(I338*INDEX('PORTIFÓLIO'!$S$4:$S$433,MATCH($C338,'PORTIFÓLIO'!$C$4:$C$433,0)),"")</f>
        <v/>
      </c>
      <c r="L338" s="292" t="str">
        <f t="array" ref="L338">IFERROR(J338*INDEX('PORTIFÓLIO'!$S$4:$S$433,MATCH($C338,'PORTIFÓLIO'!$C$4:$C$433,0)),"")</f>
        <v/>
      </c>
      <c r="M338" s="220"/>
      <c r="N338" s="220"/>
      <c r="O338" s="220"/>
      <c r="P338" s="220"/>
      <c r="Q338" s="220"/>
      <c r="R338" s="220"/>
      <c r="S338" s="220"/>
      <c r="T338" s="220"/>
      <c r="U338" s="220"/>
      <c r="V338" s="220"/>
      <c r="W338" s="220"/>
    </row>
    <row r="339" ht="15.75" customHeight="1" outlineLevel="1">
      <c r="A339" s="211"/>
      <c r="B339" s="212"/>
      <c r="C339" s="213"/>
      <c r="D339" s="214" t="str">
        <f>IFERROR(VLOOKUP($C339,'PORTIFÓLIO'!C:V,2,0),"")</f>
        <v/>
      </c>
      <c r="E339" s="211" t="str">
        <f>IFERROR(VLOOKUP($C339,'PORTIFÓLIO'!C:V,3,0),"")</f>
        <v/>
      </c>
      <c r="F339" s="211" t="str">
        <f>IFERROR(VLOOKUP($C339,'PORTIFÓLIO'!C:V,4,0),"")</f>
        <v/>
      </c>
      <c r="G339" s="215" t="str">
        <f>IFERROR(VLOOKUP($C339,'PORTIFÓLIO'!C:V,5,0),"")</f>
        <v/>
      </c>
      <c r="H339" s="254" t="str">
        <f t="array" ref="H339">IFERROR(INDEX('PORTIFÓLIO'!$H$4:$H$433,MATCH($C339,'PORTIFÓLIO'!$C$4:$C$433,0)),"")</f>
        <v/>
      </c>
      <c r="I339" s="256"/>
      <c r="J339" s="218">
        <f t="shared" si="37"/>
        <v>0</v>
      </c>
      <c r="K339" s="292" t="str">
        <f t="array" ref="K339">IFERROR(I339*INDEX('PORTIFÓLIO'!$S$4:$S$433,MATCH($C339,'PORTIFÓLIO'!$C$4:$C$433,0)),"")</f>
        <v/>
      </c>
      <c r="L339" s="292" t="str">
        <f t="array" ref="L339">IFERROR(J339*INDEX('PORTIFÓLIO'!$S$4:$S$433,MATCH($C339,'PORTIFÓLIO'!$C$4:$C$433,0)),"")</f>
        <v/>
      </c>
      <c r="M339" s="220"/>
      <c r="N339" s="220"/>
      <c r="O339" s="220"/>
      <c r="P339" s="220"/>
      <c r="Q339" s="220"/>
      <c r="R339" s="220"/>
      <c r="S339" s="220"/>
      <c r="T339" s="220"/>
      <c r="U339" s="220"/>
      <c r="V339" s="220"/>
      <c r="W339" s="220"/>
    </row>
    <row r="340" ht="15.75" customHeight="1" outlineLevel="1">
      <c r="A340" s="211"/>
      <c r="B340" s="227"/>
      <c r="C340" s="211"/>
      <c r="D340" s="214" t="str">
        <f>IFERROR(VLOOKUP($C340,'PORTIFÓLIO'!C:V,2,0),"")</f>
        <v/>
      </c>
      <c r="E340" s="211" t="str">
        <f>IFERROR(VLOOKUP($C340,'PORTIFÓLIO'!C:V,3,0),"")</f>
        <v/>
      </c>
      <c r="F340" s="211" t="str">
        <f>IFERROR(VLOOKUP($C340,'PORTIFÓLIO'!C:V,4,0),"")</f>
        <v/>
      </c>
      <c r="G340" s="215" t="str">
        <f>IFERROR(VLOOKUP($C340,'PORTIFÓLIO'!C:V,5,0),"")</f>
        <v/>
      </c>
      <c r="H340" s="254" t="str">
        <f t="array" ref="H340">IFERROR(INDEX('PORTIFÓLIO'!$H$4:$H$433,MATCH($C340,'PORTIFÓLIO'!$C$4:$C$433,0)),"")</f>
        <v/>
      </c>
      <c r="I340" s="256"/>
      <c r="J340" s="218"/>
      <c r="K340" s="292" t="str">
        <f t="array" ref="K340">IFERROR(I340*INDEX('PORTIFÓLIO'!$S$4:$S$433,MATCH($C340,'PORTIFÓLIO'!$C$4:$C$433,0)),"")</f>
        <v/>
      </c>
      <c r="L340" s="292" t="str">
        <f t="array" ref="L340">IFERROR(J340*INDEX('PORTIFÓLIO'!$S$4:$S$433,MATCH($C340,'PORTIFÓLIO'!$C$4:$C$433,0)),"")</f>
        <v/>
      </c>
      <c r="M340" s="220"/>
      <c r="N340" s="220"/>
      <c r="O340" s="220"/>
      <c r="P340" s="220"/>
      <c r="Q340" s="220"/>
      <c r="R340" s="220"/>
      <c r="S340" s="220"/>
      <c r="T340" s="220"/>
      <c r="U340" s="220"/>
      <c r="V340" s="220"/>
      <c r="W340" s="220"/>
    </row>
    <row r="341" ht="15.75" customHeight="1">
      <c r="A341" s="229" t="s">
        <v>1190</v>
      </c>
      <c r="B341" s="230"/>
      <c r="C341" s="231"/>
      <c r="D341" s="232"/>
      <c r="E341" s="231"/>
      <c r="F341" s="231"/>
      <c r="G341" s="233"/>
      <c r="H341" s="233"/>
      <c r="I341" s="258"/>
      <c r="J341" s="236"/>
      <c r="K341" s="237">
        <f t="shared" ref="K341:L341" si="38">SUBTOTAL(9,K342:K355)</f>
        <v>0</v>
      </c>
      <c r="L341" s="237">
        <f t="shared" si="38"/>
        <v>0</v>
      </c>
      <c r="M341" s="220"/>
      <c r="N341" s="220"/>
      <c r="O341" s="220"/>
      <c r="P341" s="220"/>
      <c r="Q341" s="220"/>
      <c r="R341" s="220"/>
      <c r="S341" s="220"/>
      <c r="T341" s="220"/>
      <c r="U341" s="220"/>
      <c r="V341" s="220"/>
      <c r="W341" s="220"/>
    </row>
    <row r="342" ht="15.75" customHeight="1" outlineLevel="1">
      <c r="A342" s="213"/>
      <c r="B342" s="212"/>
      <c r="C342" s="213"/>
      <c r="D342" s="214" t="str">
        <f>IFERROR(VLOOKUP($C342,'PORTIFÓLIO'!C:V,2,0),"")</f>
        <v/>
      </c>
      <c r="E342" s="211" t="str">
        <f>IFERROR(VLOOKUP($C342,'PORTIFÓLIO'!C:V,3,0),"")</f>
        <v/>
      </c>
      <c r="F342" s="211" t="str">
        <f>IFERROR(VLOOKUP($C342,'PORTIFÓLIO'!C:V,4,0),"")</f>
        <v/>
      </c>
      <c r="G342" s="215" t="str">
        <f>IFERROR(VLOOKUP($C342,'PORTIFÓLIO'!C:V,5,0),"")</f>
        <v/>
      </c>
      <c r="H342" s="254" t="str">
        <f t="array" ref="H342">IFERROR(INDEX('PORTIFÓLIO'!$H$4:$H$433,MATCH($C342,'PORTIFÓLIO'!$C$4:$C$433,0)),"")</f>
        <v/>
      </c>
      <c r="I342" s="255"/>
      <c r="J342" s="218">
        <f t="shared" ref="J342:J356" si="39">I342*$B$2</f>
        <v>0</v>
      </c>
      <c r="K342" s="292" t="str">
        <f t="array" ref="K342">IFERROR(I342*INDEX('PORTIFÓLIO'!$S$4:$S$433,MATCH($C342,'PORTIFÓLIO'!$C$4:$C$433,0)),"")</f>
        <v/>
      </c>
      <c r="L342" s="292" t="str">
        <f t="array" ref="L342">IFERROR(J342*INDEX('PORTIFÓLIO'!$S$4:$S$433,MATCH($C342,'PORTIFÓLIO'!$C$4:$C$433,0)),"")</f>
        <v/>
      </c>
      <c r="M342" s="220"/>
      <c r="N342" s="220"/>
      <c r="O342" s="220"/>
      <c r="P342" s="220"/>
      <c r="Q342" s="220"/>
      <c r="R342" s="220"/>
      <c r="S342" s="220"/>
      <c r="T342" s="220"/>
      <c r="U342" s="220"/>
      <c r="V342" s="220"/>
      <c r="W342" s="220"/>
    </row>
    <row r="343" ht="15.75" customHeight="1" outlineLevel="1">
      <c r="A343" s="211"/>
      <c r="B343" s="212"/>
      <c r="C343" s="213"/>
      <c r="D343" s="214" t="str">
        <f>IFERROR(VLOOKUP($C343,'PORTIFÓLIO'!C:V,2,0),"")</f>
        <v/>
      </c>
      <c r="E343" s="211" t="str">
        <f>IFERROR(VLOOKUP($C343,'PORTIFÓLIO'!C:V,3,0),"")</f>
        <v/>
      </c>
      <c r="F343" s="211" t="str">
        <f>IFERROR(VLOOKUP($C343,'PORTIFÓLIO'!C:V,4,0),"")</f>
        <v/>
      </c>
      <c r="G343" s="215" t="str">
        <f>IFERROR(VLOOKUP($C343,'PORTIFÓLIO'!C:V,5,0),"")</f>
        <v/>
      </c>
      <c r="H343" s="254" t="str">
        <f t="array" ref="H343">IFERROR(INDEX('PORTIFÓLIO'!$H$4:$H$433,MATCH($C343,'PORTIFÓLIO'!$C$4:$C$433,0)),"")</f>
        <v/>
      </c>
      <c r="I343" s="256"/>
      <c r="J343" s="218">
        <f t="shared" si="39"/>
        <v>0</v>
      </c>
      <c r="K343" s="292" t="str">
        <f t="array" ref="K343">IFERROR(I343*INDEX('PORTIFÓLIO'!$S$4:$S$433,MATCH($C343,'PORTIFÓLIO'!$C$4:$C$433,0)),"")</f>
        <v/>
      </c>
      <c r="L343" s="292" t="str">
        <f t="array" ref="L343">IFERROR(J343*INDEX('PORTIFÓLIO'!$S$4:$S$433,MATCH($C343,'PORTIFÓLIO'!$C$4:$C$433,0)),"")</f>
        <v/>
      </c>
      <c r="M343" s="220"/>
      <c r="N343" s="220"/>
      <c r="O343" s="220"/>
      <c r="P343" s="220"/>
      <c r="Q343" s="220"/>
      <c r="R343" s="220"/>
      <c r="S343" s="220"/>
      <c r="T343" s="220"/>
      <c r="U343" s="220"/>
      <c r="V343" s="220"/>
      <c r="W343" s="220"/>
    </row>
    <row r="344" ht="15.75" customHeight="1" outlineLevel="1">
      <c r="A344" s="211"/>
      <c r="B344" s="212"/>
      <c r="C344" s="213"/>
      <c r="D344" s="214" t="str">
        <f>IFERROR(VLOOKUP($C344,'PORTIFÓLIO'!C:V,2,0),"")</f>
        <v/>
      </c>
      <c r="E344" s="211" t="str">
        <f>IFERROR(VLOOKUP($C344,'PORTIFÓLIO'!C:V,3,0),"")</f>
        <v/>
      </c>
      <c r="F344" s="211" t="str">
        <f>IFERROR(VLOOKUP($C344,'PORTIFÓLIO'!C:V,4,0),"")</f>
        <v/>
      </c>
      <c r="G344" s="215" t="str">
        <f>IFERROR(VLOOKUP($C344,'PORTIFÓLIO'!C:V,5,0),"")</f>
        <v/>
      </c>
      <c r="H344" s="254" t="str">
        <f t="array" ref="H344">IFERROR(INDEX('PORTIFÓLIO'!$H$4:$H$433,MATCH($C344,'PORTIFÓLIO'!$C$4:$C$433,0)),"")</f>
        <v/>
      </c>
      <c r="I344" s="256"/>
      <c r="J344" s="218">
        <f t="shared" si="39"/>
        <v>0</v>
      </c>
      <c r="K344" s="292" t="str">
        <f t="array" ref="K344">IFERROR(I344*INDEX('PORTIFÓLIO'!$S$4:$S$433,MATCH($C344,'PORTIFÓLIO'!$C$4:$C$433,0)),"")</f>
        <v/>
      </c>
      <c r="L344" s="292" t="str">
        <f t="array" ref="L344">IFERROR(J344*INDEX('PORTIFÓLIO'!$S$4:$S$433,MATCH($C344,'PORTIFÓLIO'!$C$4:$C$433,0)),"")</f>
        <v/>
      </c>
      <c r="M344" s="220"/>
      <c r="N344" s="220"/>
      <c r="O344" s="220"/>
      <c r="P344" s="220"/>
      <c r="Q344" s="220"/>
      <c r="R344" s="220"/>
      <c r="S344" s="220"/>
      <c r="T344" s="220"/>
      <c r="U344" s="220"/>
      <c r="V344" s="220"/>
      <c r="W344" s="220"/>
    </row>
    <row r="345" ht="15.75" customHeight="1" outlineLevel="1">
      <c r="A345" s="211"/>
      <c r="B345" s="212"/>
      <c r="C345" s="213"/>
      <c r="D345" s="214" t="str">
        <f>IFERROR(VLOOKUP($C345,'PORTIFÓLIO'!C:V,2,0),"")</f>
        <v/>
      </c>
      <c r="E345" s="211" t="str">
        <f>IFERROR(VLOOKUP($C345,'PORTIFÓLIO'!C:V,3,0),"")</f>
        <v/>
      </c>
      <c r="F345" s="211" t="str">
        <f>IFERROR(VLOOKUP($C345,'PORTIFÓLIO'!C:V,4,0),"")</f>
        <v/>
      </c>
      <c r="G345" s="215" t="str">
        <f>IFERROR(VLOOKUP($C345,'PORTIFÓLIO'!C:V,5,0),"")</f>
        <v/>
      </c>
      <c r="H345" s="254" t="str">
        <f t="array" ref="H345">IFERROR(INDEX('PORTIFÓLIO'!$H$4:$H$433,MATCH($C345,'PORTIFÓLIO'!$C$4:$C$433,0)),"")</f>
        <v/>
      </c>
      <c r="I345" s="256"/>
      <c r="J345" s="218">
        <f t="shared" si="39"/>
        <v>0</v>
      </c>
      <c r="K345" s="292" t="str">
        <f t="array" ref="K345">IFERROR(I345*INDEX('PORTIFÓLIO'!$S$4:$S$433,MATCH($C345,'PORTIFÓLIO'!$C$4:$C$433,0)),"")</f>
        <v/>
      </c>
      <c r="L345" s="292" t="str">
        <f t="array" ref="L345">IFERROR(J345*INDEX('PORTIFÓLIO'!$S$4:$S$433,MATCH($C345,'PORTIFÓLIO'!$C$4:$C$433,0)),"")</f>
        <v/>
      </c>
      <c r="M345" s="220"/>
      <c r="N345" s="220"/>
      <c r="O345" s="220"/>
      <c r="P345" s="220"/>
      <c r="Q345" s="220"/>
      <c r="R345" s="220"/>
      <c r="S345" s="220"/>
      <c r="T345" s="220"/>
      <c r="U345" s="220"/>
      <c r="V345" s="220"/>
      <c r="W345" s="220"/>
    </row>
    <row r="346" ht="15.75" customHeight="1" outlineLevel="1">
      <c r="A346" s="211"/>
      <c r="B346" s="212"/>
      <c r="C346" s="213"/>
      <c r="D346" s="214" t="str">
        <f>IFERROR(VLOOKUP($C346,'PORTIFÓLIO'!C:V,2,0),"")</f>
        <v/>
      </c>
      <c r="E346" s="211" t="str">
        <f>IFERROR(VLOOKUP($C346,'PORTIFÓLIO'!C:V,3,0),"")</f>
        <v/>
      </c>
      <c r="F346" s="211" t="str">
        <f>IFERROR(VLOOKUP($C346,'PORTIFÓLIO'!C:V,4,0),"")</f>
        <v/>
      </c>
      <c r="G346" s="215" t="str">
        <f>IFERROR(VLOOKUP($C346,'PORTIFÓLIO'!C:V,5,0),"")</f>
        <v/>
      </c>
      <c r="H346" s="254" t="str">
        <f t="array" ref="H346">IFERROR(INDEX('PORTIFÓLIO'!$H$4:$H$433,MATCH($C346,'PORTIFÓLIO'!$C$4:$C$433,0)),"")</f>
        <v/>
      </c>
      <c r="I346" s="256"/>
      <c r="J346" s="218">
        <f t="shared" si="39"/>
        <v>0</v>
      </c>
      <c r="K346" s="292" t="str">
        <f t="array" ref="K346">IFERROR(I346*INDEX('PORTIFÓLIO'!$S$4:$S$433,MATCH($C346,'PORTIFÓLIO'!$C$4:$C$433,0)),"")</f>
        <v/>
      </c>
      <c r="L346" s="292" t="str">
        <f t="array" ref="L346">IFERROR(J346*INDEX('PORTIFÓLIO'!$S$4:$S$433,MATCH($C346,'PORTIFÓLIO'!$C$4:$C$433,0)),"")</f>
        <v/>
      </c>
      <c r="M346" s="220"/>
      <c r="N346" s="220"/>
      <c r="O346" s="220"/>
      <c r="P346" s="220"/>
      <c r="Q346" s="220"/>
      <c r="R346" s="220"/>
      <c r="S346" s="220"/>
      <c r="T346" s="220"/>
      <c r="U346" s="220"/>
      <c r="V346" s="220"/>
      <c r="W346" s="220"/>
    </row>
    <row r="347" ht="15.75" customHeight="1" outlineLevel="1">
      <c r="A347" s="211"/>
      <c r="B347" s="212"/>
      <c r="C347" s="213"/>
      <c r="D347" s="214" t="str">
        <f>IFERROR(VLOOKUP($C347,'PORTIFÓLIO'!C:V,2,0),"")</f>
        <v/>
      </c>
      <c r="E347" s="211" t="str">
        <f>IFERROR(VLOOKUP($C347,'PORTIFÓLIO'!C:V,3,0),"")</f>
        <v/>
      </c>
      <c r="F347" s="211" t="str">
        <f>IFERROR(VLOOKUP($C347,'PORTIFÓLIO'!C:V,4,0),"")</f>
        <v/>
      </c>
      <c r="G347" s="215" t="str">
        <f>IFERROR(VLOOKUP($C347,'PORTIFÓLIO'!C:V,5,0),"")</f>
        <v/>
      </c>
      <c r="H347" s="254" t="str">
        <f t="array" ref="H347">IFERROR(INDEX('PORTIFÓLIO'!$H$4:$H$433,MATCH($C347,'PORTIFÓLIO'!$C$4:$C$433,0)),"")</f>
        <v/>
      </c>
      <c r="I347" s="256"/>
      <c r="J347" s="218">
        <f t="shared" si="39"/>
        <v>0</v>
      </c>
      <c r="K347" s="292" t="str">
        <f t="array" ref="K347">IFERROR(I347*INDEX('PORTIFÓLIO'!$S$4:$S$433,MATCH($C347,'PORTIFÓLIO'!$C$4:$C$433,0)),"")</f>
        <v/>
      </c>
      <c r="L347" s="292" t="str">
        <f t="array" ref="L347">IFERROR(J347*INDEX('PORTIFÓLIO'!$S$4:$S$433,MATCH($C347,'PORTIFÓLIO'!$C$4:$C$433,0)),"")</f>
        <v/>
      </c>
      <c r="M347" s="220"/>
      <c r="N347" s="220"/>
      <c r="O347" s="220"/>
      <c r="P347" s="220"/>
      <c r="Q347" s="220"/>
      <c r="R347" s="220"/>
      <c r="S347" s="220"/>
      <c r="T347" s="220"/>
      <c r="U347" s="220"/>
      <c r="V347" s="220"/>
      <c r="W347" s="220"/>
    </row>
    <row r="348" ht="15.75" customHeight="1" outlineLevel="1">
      <c r="A348" s="211"/>
      <c r="B348" s="212"/>
      <c r="C348" s="213"/>
      <c r="D348" s="214" t="str">
        <f>IFERROR(VLOOKUP($C348,'PORTIFÓLIO'!C:V,2,0),"")</f>
        <v/>
      </c>
      <c r="E348" s="211" t="str">
        <f>IFERROR(VLOOKUP($C348,'PORTIFÓLIO'!C:V,3,0),"")</f>
        <v/>
      </c>
      <c r="F348" s="211" t="str">
        <f>IFERROR(VLOOKUP($C348,'PORTIFÓLIO'!C:V,4,0),"")</f>
        <v/>
      </c>
      <c r="G348" s="215" t="str">
        <f>IFERROR(VLOOKUP($C348,'PORTIFÓLIO'!C:V,5,0),"")</f>
        <v/>
      </c>
      <c r="H348" s="254" t="str">
        <f t="array" ref="H348">IFERROR(INDEX('PORTIFÓLIO'!$H$4:$H$433,MATCH($C348,'PORTIFÓLIO'!$C$4:$C$433,0)),"")</f>
        <v/>
      </c>
      <c r="I348" s="256"/>
      <c r="J348" s="218">
        <f t="shared" si="39"/>
        <v>0</v>
      </c>
      <c r="K348" s="292" t="str">
        <f t="array" ref="K348">IFERROR(I348*INDEX('PORTIFÓLIO'!$S$4:$S$433,MATCH($C348,'PORTIFÓLIO'!$C$4:$C$433,0)),"")</f>
        <v/>
      </c>
      <c r="L348" s="292" t="str">
        <f t="array" ref="L348">IFERROR(J348*INDEX('PORTIFÓLIO'!$S$4:$S$433,MATCH($C348,'PORTIFÓLIO'!$C$4:$C$433,0)),"")</f>
        <v/>
      </c>
      <c r="M348" s="220"/>
      <c r="N348" s="220"/>
      <c r="O348" s="220"/>
      <c r="P348" s="220"/>
      <c r="Q348" s="220"/>
      <c r="R348" s="220"/>
      <c r="S348" s="220"/>
      <c r="T348" s="220"/>
      <c r="U348" s="220"/>
      <c r="V348" s="220"/>
      <c r="W348" s="220"/>
    </row>
    <row r="349" ht="15.75" customHeight="1" outlineLevel="1">
      <c r="A349" s="211"/>
      <c r="B349" s="212"/>
      <c r="C349" s="213"/>
      <c r="D349" s="214" t="str">
        <f>IFERROR(VLOOKUP($C349,'PORTIFÓLIO'!C:V,2,0),"")</f>
        <v/>
      </c>
      <c r="E349" s="211" t="str">
        <f>IFERROR(VLOOKUP($C349,'PORTIFÓLIO'!C:V,3,0),"")</f>
        <v/>
      </c>
      <c r="F349" s="211" t="str">
        <f>IFERROR(VLOOKUP($C349,'PORTIFÓLIO'!C:V,4,0),"")</f>
        <v/>
      </c>
      <c r="G349" s="215" t="str">
        <f>IFERROR(VLOOKUP($C349,'PORTIFÓLIO'!C:V,5,0),"")</f>
        <v/>
      </c>
      <c r="H349" s="254" t="str">
        <f t="array" ref="H349">IFERROR(INDEX('PORTIFÓLIO'!$H$4:$H$433,MATCH($C349,'PORTIFÓLIO'!$C$4:$C$433,0)),"")</f>
        <v/>
      </c>
      <c r="I349" s="256"/>
      <c r="J349" s="218">
        <f t="shared" si="39"/>
        <v>0</v>
      </c>
      <c r="K349" s="292" t="str">
        <f t="array" ref="K349">IFERROR(I349*INDEX('PORTIFÓLIO'!$S$4:$S$433,MATCH($C349,'PORTIFÓLIO'!$C$4:$C$433,0)),"")</f>
        <v/>
      </c>
      <c r="L349" s="292" t="str">
        <f t="array" ref="L349">IFERROR(J349*INDEX('PORTIFÓLIO'!$S$4:$S$433,MATCH($C349,'PORTIFÓLIO'!$C$4:$C$433,0)),"")</f>
        <v/>
      </c>
      <c r="M349" s="220"/>
      <c r="N349" s="220"/>
      <c r="O349" s="220"/>
      <c r="P349" s="220"/>
      <c r="Q349" s="220"/>
      <c r="R349" s="220"/>
      <c r="S349" s="220"/>
      <c r="T349" s="220"/>
      <c r="U349" s="220"/>
      <c r="V349" s="220"/>
      <c r="W349" s="220"/>
    </row>
    <row r="350" ht="15.75" customHeight="1" outlineLevel="1">
      <c r="A350" s="211"/>
      <c r="B350" s="212"/>
      <c r="C350" s="213"/>
      <c r="D350" s="214" t="str">
        <f>IFERROR(VLOOKUP($C350,'PORTIFÓLIO'!C:V,2,0),"")</f>
        <v/>
      </c>
      <c r="E350" s="211" t="str">
        <f>IFERROR(VLOOKUP($C350,'PORTIFÓLIO'!C:V,3,0),"")</f>
        <v/>
      </c>
      <c r="F350" s="211" t="str">
        <f>IFERROR(VLOOKUP($C350,'PORTIFÓLIO'!C:V,4,0),"")</f>
        <v/>
      </c>
      <c r="G350" s="215" t="str">
        <f>IFERROR(VLOOKUP($C350,'PORTIFÓLIO'!C:V,5,0),"")</f>
        <v/>
      </c>
      <c r="H350" s="254" t="str">
        <f t="array" ref="H350">IFERROR(INDEX('PORTIFÓLIO'!$H$4:$H$433,MATCH($C350,'PORTIFÓLIO'!$C$4:$C$433,0)),"")</f>
        <v/>
      </c>
      <c r="I350" s="255"/>
      <c r="J350" s="218">
        <f t="shared" si="39"/>
        <v>0</v>
      </c>
      <c r="K350" s="292" t="str">
        <f t="array" ref="K350">IFERROR(I350*INDEX('PORTIFÓLIO'!$S$4:$S$433,MATCH($C350,'PORTIFÓLIO'!$C$4:$C$433,0)),"")</f>
        <v/>
      </c>
      <c r="L350" s="292" t="str">
        <f t="array" ref="L350">IFERROR(J350*INDEX('PORTIFÓLIO'!$S$4:$S$433,MATCH($C350,'PORTIFÓLIO'!$C$4:$C$433,0)),"")</f>
        <v/>
      </c>
      <c r="M350" s="220"/>
      <c r="N350" s="220"/>
      <c r="O350" s="220"/>
      <c r="P350" s="220"/>
      <c r="Q350" s="220"/>
      <c r="R350" s="220"/>
      <c r="S350" s="220"/>
      <c r="T350" s="220"/>
      <c r="U350" s="220"/>
      <c r="V350" s="220"/>
      <c r="W350" s="220"/>
    </row>
    <row r="351" ht="15.75" customHeight="1" outlineLevel="1">
      <c r="A351" s="211"/>
      <c r="B351" s="212"/>
      <c r="C351" s="213"/>
      <c r="D351" s="214" t="str">
        <f>IFERROR(VLOOKUP($C351,'PORTIFÓLIO'!C:V,2,0),"")</f>
        <v/>
      </c>
      <c r="E351" s="211" t="str">
        <f>IFERROR(VLOOKUP($C351,'PORTIFÓLIO'!C:V,3,0),"")</f>
        <v/>
      </c>
      <c r="F351" s="211" t="str">
        <f>IFERROR(VLOOKUP($C351,'PORTIFÓLIO'!C:V,4,0),"")</f>
        <v/>
      </c>
      <c r="G351" s="215" t="str">
        <f>IFERROR(VLOOKUP($C351,'PORTIFÓLIO'!C:V,5,0),"")</f>
        <v/>
      </c>
      <c r="H351" s="254" t="str">
        <f t="array" ref="H351">IFERROR(INDEX('PORTIFÓLIO'!$H$4:$H$433,MATCH($C351,'PORTIFÓLIO'!$C$4:$C$433,0)),"")</f>
        <v/>
      </c>
      <c r="I351" s="256"/>
      <c r="J351" s="218">
        <f t="shared" si="39"/>
        <v>0</v>
      </c>
      <c r="K351" s="292" t="str">
        <f t="array" ref="K351">IFERROR(I351*INDEX('PORTIFÓLIO'!$S$4:$S$433,MATCH($C351,'PORTIFÓLIO'!$C$4:$C$433,0)),"")</f>
        <v/>
      </c>
      <c r="L351" s="292" t="str">
        <f t="array" ref="L351">IFERROR(J351*INDEX('PORTIFÓLIO'!$S$4:$S$433,MATCH($C351,'PORTIFÓLIO'!$C$4:$C$433,0)),"")</f>
        <v/>
      </c>
      <c r="M351" s="220"/>
      <c r="N351" s="220"/>
      <c r="O351" s="220"/>
      <c r="P351" s="220"/>
      <c r="Q351" s="220"/>
      <c r="R351" s="220"/>
      <c r="S351" s="220"/>
      <c r="T351" s="220"/>
      <c r="U351" s="220"/>
      <c r="V351" s="220"/>
      <c r="W351" s="220"/>
    </row>
    <row r="352" ht="15.75" customHeight="1" outlineLevel="1">
      <c r="A352" s="211"/>
      <c r="B352" s="212"/>
      <c r="C352" s="213"/>
      <c r="D352" s="214" t="str">
        <f>IFERROR(VLOOKUP($C352,'PORTIFÓLIO'!C:V,2,0),"")</f>
        <v/>
      </c>
      <c r="E352" s="211" t="str">
        <f>IFERROR(VLOOKUP($C352,'PORTIFÓLIO'!C:V,3,0),"")</f>
        <v/>
      </c>
      <c r="F352" s="211" t="str">
        <f>IFERROR(VLOOKUP($C352,'PORTIFÓLIO'!C:V,4,0),"")</f>
        <v/>
      </c>
      <c r="G352" s="215" t="str">
        <f>IFERROR(VLOOKUP($C352,'PORTIFÓLIO'!C:V,5,0),"")</f>
        <v/>
      </c>
      <c r="H352" s="254" t="str">
        <f t="array" ref="H352">IFERROR(INDEX('PORTIFÓLIO'!$H$4:$H$433,MATCH($C352,'PORTIFÓLIO'!$C$4:$C$433,0)),"")</f>
        <v/>
      </c>
      <c r="I352" s="256"/>
      <c r="J352" s="218">
        <f t="shared" si="39"/>
        <v>0</v>
      </c>
      <c r="K352" s="292" t="str">
        <f t="array" ref="K352">IFERROR(I352*INDEX('PORTIFÓLIO'!$S$4:$S$433,MATCH($C352,'PORTIFÓLIO'!$C$4:$C$433,0)),"")</f>
        <v/>
      </c>
      <c r="L352" s="292" t="str">
        <f t="array" ref="L352">IFERROR(J352*INDEX('PORTIFÓLIO'!$S$4:$S$433,MATCH($C352,'PORTIFÓLIO'!$C$4:$C$433,0)),"")</f>
        <v/>
      </c>
      <c r="M352" s="220"/>
      <c r="N352" s="220"/>
      <c r="O352" s="220"/>
      <c r="P352" s="220"/>
      <c r="Q352" s="220"/>
      <c r="R352" s="220"/>
      <c r="S352" s="220"/>
      <c r="T352" s="220"/>
      <c r="U352" s="220"/>
      <c r="V352" s="220"/>
      <c r="W352" s="220"/>
    </row>
    <row r="353" ht="15.75" customHeight="1" outlineLevel="1">
      <c r="A353" s="211"/>
      <c r="B353" s="212"/>
      <c r="C353" s="213"/>
      <c r="D353" s="214" t="str">
        <f>IFERROR(VLOOKUP($C353,'PORTIFÓLIO'!C:V,2,0),"")</f>
        <v/>
      </c>
      <c r="E353" s="211" t="str">
        <f>IFERROR(VLOOKUP($C353,'PORTIFÓLIO'!C:V,3,0),"")</f>
        <v/>
      </c>
      <c r="F353" s="211" t="str">
        <f>IFERROR(VLOOKUP($C353,'PORTIFÓLIO'!C:V,4,0),"")</f>
        <v/>
      </c>
      <c r="G353" s="215" t="str">
        <f>IFERROR(VLOOKUP($C353,'PORTIFÓLIO'!C:V,5,0),"")</f>
        <v/>
      </c>
      <c r="H353" s="254" t="str">
        <f t="array" ref="H353">IFERROR(INDEX('PORTIFÓLIO'!$H$4:$H$433,MATCH($C353,'PORTIFÓLIO'!$C$4:$C$433,0)),"")</f>
        <v/>
      </c>
      <c r="I353" s="256"/>
      <c r="J353" s="218">
        <f t="shared" si="39"/>
        <v>0</v>
      </c>
      <c r="K353" s="292" t="str">
        <f t="array" ref="K353">IFERROR(I353*INDEX('PORTIFÓLIO'!$S$4:$S$433,MATCH($C353,'PORTIFÓLIO'!$C$4:$C$433,0)),"")</f>
        <v/>
      </c>
      <c r="L353" s="292" t="str">
        <f t="array" ref="L353">IFERROR(J353*INDEX('PORTIFÓLIO'!$S$4:$S$433,MATCH($C353,'PORTIFÓLIO'!$C$4:$C$433,0)),"")</f>
        <v/>
      </c>
      <c r="M353" s="220"/>
      <c r="N353" s="220"/>
      <c r="O353" s="220"/>
      <c r="P353" s="220"/>
      <c r="Q353" s="220"/>
      <c r="R353" s="220"/>
      <c r="S353" s="220"/>
      <c r="T353" s="220"/>
      <c r="U353" s="220"/>
      <c r="V353" s="220"/>
      <c r="W353" s="220"/>
    </row>
    <row r="354" ht="15.75" customHeight="1" outlineLevel="1">
      <c r="A354" s="211"/>
      <c r="B354" s="212"/>
      <c r="C354" s="213"/>
      <c r="D354" s="214" t="str">
        <f>IFERROR(VLOOKUP($C354,'PORTIFÓLIO'!C:V,2,0),"")</f>
        <v/>
      </c>
      <c r="E354" s="211" t="str">
        <f>IFERROR(VLOOKUP($C354,'PORTIFÓLIO'!C:V,3,0),"")</f>
        <v/>
      </c>
      <c r="F354" s="211" t="str">
        <f>IFERROR(VLOOKUP($C354,'PORTIFÓLIO'!C:V,4,0),"")</f>
        <v/>
      </c>
      <c r="G354" s="215" t="str">
        <f>IFERROR(VLOOKUP($C354,'PORTIFÓLIO'!C:V,5,0),"")</f>
        <v/>
      </c>
      <c r="H354" s="254" t="str">
        <f t="array" ref="H354">IFERROR(INDEX('PORTIFÓLIO'!$H$4:$H$433,MATCH($C354,'PORTIFÓLIO'!$C$4:$C$433,0)),"")</f>
        <v/>
      </c>
      <c r="I354" s="256"/>
      <c r="J354" s="218">
        <f t="shared" si="39"/>
        <v>0</v>
      </c>
      <c r="K354" s="292" t="str">
        <f t="array" ref="K354">IFERROR(I354*INDEX('PORTIFÓLIO'!$S$4:$S$433,MATCH($C354,'PORTIFÓLIO'!$C$4:$C$433,0)),"")</f>
        <v/>
      </c>
      <c r="L354" s="292" t="str">
        <f t="array" ref="L354">IFERROR(J354*INDEX('PORTIFÓLIO'!$S$4:$S$433,MATCH($C354,'PORTIFÓLIO'!$C$4:$C$433,0)),"")</f>
        <v/>
      </c>
      <c r="M354" s="220"/>
      <c r="N354" s="220"/>
      <c r="O354" s="220"/>
      <c r="P354" s="220"/>
      <c r="Q354" s="220"/>
      <c r="R354" s="220"/>
      <c r="S354" s="220"/>
      <c r="T354" s="220"/>
      <c r="U354" s="220"/>
      <c r="V354" s="220"/>
      <c r="W354" s="220"/>
    </row>
    <row r="355" ht="15.75" customHeight="1" outlineLevel="1">
      <c r="A355" s="211"/>
      <c r="B355" s="212"/>
      <c r="C355" s="213"/>
      <c r="D355" s="214" t="str">
        <f>IFERROR(VLOOKUP($C355,'PORTIFÓLIO'!C:V,2,0),"")</f>
        <v/>
      </c>
      <c r="E355" s="211" t="str">
        <f>IFERROR(VLOOKUP($C355,'PORTIFÓLIO'!C:V,3,0),"")</f>
        <v/>
      </c>
      <c r="F355" s="211" t="str">
        <f>IFERROR(VLOOKUP($C355,'PORTIFÓLIO'!C:V,4,0),"")</f>
        <v/>
      </c>
      <c r="G355" s="215" t="str">
        <f>IFERROR(VLOOKUP($C355,'PORTIFÓLIO'!C:V,5,0),"")</f>
        <v/>
      </c>
      <c r="H355" s="254" t="str">
        <f t="array" ref="H355">IFERROR(INDEX('PORTIFÓLIO'!$H$4:$H$433,MATCH($C355,'PORTIFÓLIO'!$C$4:$C$433,0)),"")</f>
        <v/>
      </c>
      <c r="I355" s="256"/>
      <c r="J355" s="218">
        <f t="shared" si="39"/>
        <v>0</v>
      </c>
      <c r="K355" s="292" t="str">
        <f t="array" ref="K355">IFERROR(I355*INDEX('PORTIFÓLIO'!$S$4:$S$433,MATCH($C355,'PORTIFÓLIO'!$C$4:$C$433,0)),"")</f>
        <v/>
      </c>
      <c r="L355" s="292" t="str">
        <f t="array" ref="L355">IFERROR(J355*INDEX('PORTIFÓLIO'!$S$4:$S$433,MATCH($C355,'PORTIFÓLIO'!$C$4:$C$433,0)),"")</f>
        <v/>
      </c>
      <c r="M355" s="220"/>
      <c r="N355" s="220"/>
      <c r="O355" s="220"/>
      <c r="P355" s="220"/>
      <c r="Q355" s="220"/>
      <c r="R355" s="220"/>
      <c r="S355" s="220"/>
      <c r="T355" s="220"/>
      <c r="U355" s="220"/>
      <c r="V355" s="220"/>
      <c r="W355" s="220"/>
    </row>
    <row r="356" ht="15.75" customHeight="1" outlineLevel="1">
      <c r="A356" s="211"/>
      <c r="B356" s="212"/>
      <c r="C356" s="213"/>
      <c r="D356" s="214" t="str">
        <f>IFERROR(VLOOKUP($C356,'PORTIFÓLIO'!C:V,2,0),"")</f>
        <v/>
      </c>
      <c r="E356" s="211" t="str">
        <f>IFERROR(VLOOKUP($C356,'PORTIFÓLIO'!C:V,3,0),"")</f>
        <v/>
      </c>
      <c r="F356" s="211" t="str">
        <f>IFERROR(VLOOKUP($C356,'PORTIFÓLIO'!C:V,4,0),"")</f>
        <v/>
      </c>
      <c r="G356" s="215" t="str">
        <f>IFERROR(VLOOKUP($C356,'PORTIFÓLIO'!C:V,5,0),"")</f>
        <v/>
      </c>
      <c r="H356" s="254" t="str">
        <f t="array" ref="H356">IFERROR(INDEX('PORTIFÓLIO'!$H$4:$H$433,MATCH($C356,'PORTIFÓLIO'!$C$4:$C$433,0)),"")</f>
        <v/>
      </c>
      <c r="I356" s="256"/>
      <c r="J356" s="218">
        <f t="shared" si="39"/>
        <v>0</v>
      </c>
      <c r="K356" s="292" t="str">
        <f t="array" ref="K356">IFERROR(I356*INDEX('PORTIFÓLIO'!$S$4:$S$433,MATCH($C356,'PORTIFÓLIO'!$C$4:$C$433,0)),"")</f>
        <v/>
      </c>
      <c r="L356" s="292" t="str">
        <f t="array" ref="L356">IFERROR(J356*INDEX('PORTIFÓLIO'!$S$4:$S$433,MATCH($C356,'PORTIFÓLIO'!$C$4:$C$433,0)),"")</f>
        <v/>
      </c>
      <c r="M356" s="220"/>
      <c r="N356" s="220"/>
      <c r="O356" s="220"/>
      <c r="P356" s="220"/>
      <c r="Q356" s="220"/>
      <c r="R356" s="220"/>
      <c r="S356" s="220"/>
      <c r="T356" s="220"/>
      <c r="U356" s="220"/>
      <c r="V356" s="220"/>
      <c r="W356" s="220"/>
    </row>
    <row r="357" ht="15.75" customHeight="1" outlineLevel="1">
      <c r="A357" s="211"/>
      <c r="B357" s="227"/>
      <c r="C357" s="211"/>
      <c r="D357" s="214" t="str">
        <f>IFERROR(VLOOKUP($C357,'PORTIFÓLIO'!C:V,2,0),"")</f>
        <v/>
      </c>
      <c r="E357" s="211" t="str">
        <f>IFERROR(VLOOKUP($C357,'PORTIFÓLIO'!C:V,3,0),"")</f>
        <v/>
      </c>
      <c r="F357" s="211" t="str">
        <f>IFERROR(VLOOKUP($C357,'PORTIFÓLIO'!C:V,4,0),"")</f>
        <v/>
      </c>
      <c r="G357" s="215" t="str">
        <f>IFERROR(VLOOKUP($C357,'PORTIFÓLIO'!C:V,5,0),"")</f>
        <v/>
      </c>
      <c r="H357" s="254" t="str">
        <f t="array" ref="H357">IFERROR(INDEX('PORTIFÓLIO'!$H$4:$H$433,MATCH($C357,'PORTIFÓLIO'!$C$4:$C$433,0)),"")</f>
        <v/>
      </c>
      <c r="I357" s="256"/>
      <c r="J357" s="218"/>
      <c r="K357" s="292" t="str">
        <f t="array" ref="K357">IFERROR(I357*INDEX('PORTIFÓLIO'!$S$4:$S$433,MATCH($C357,'PORTIFÓLIO'!$C$4:$C$433,0)),"")</f>
        <v/>
      </c>
      <c r="L357" s="292" t="str">
        <f t="array" ref="L357">IFERROR(J357*INDEX('PORTIFÓLIO'!$S$4:$S$433,MATCH($C357,'PORTIFÓLIO'!$C$4:$C$433,0)),"")</f>
        <v/>
      </c>
      <c r="M357" s="220"/>
      <c r="N357" s="220"/>
      <c r="O357" s="220"/>
      <c r="P357" s="220"/>
      <c r="Q357" s="220"/>
      <c r="R357" s="220"/>
      <c r="S357" s="220"/>
      <c r="T357" s="220"/>
      <c r="U357" s="220"/>
      <c r="V357" s="220"/>
      <c r="W357" s="220"/>
    </row>
    <row r="358" ht="15.75" customHeight="1">
      <c r="A358" s="229" t="s">
        <v>1191</v>
      </c>
      <c r="B358" s="230"/>
      <c r="C358" s="231"/>
      <c r="D358" s="232"/>
      <c r="E358" s="231"/>
      <c r="F358" s="231"/>
      <c r="G358" s="233"/>
      <c r="H358" s="233"/>
      <c r="I358" s="258"/>
      <c r="J358" s="236"/>
      <c r="K358" s="237">
        <f t="shared" ref="K358:L358" si="40">SUBTOTAL(9,K359:K372)</f>
        <v>0</v>
      </c>
      <c r="L358" s="237">
        <f t="shared" si="40"/>
        <v>0</v>
      </c>
      <c r="M358" s="220"/>
      <c r="N358" s="220"/>
      <c r="O358" s="220"/>
      <c r="P358" s="220"/>
      <c r="Q358" s="220"/>
      <c r="R358" s="220"/>
      <c r="S358" s="220"/>
      <c r="T358" s="220"/>
      <c r="U358" s="220"/>
      <c r="V358" s="220"/>
      <c r="W358" s="220"/>
    </row>
    <row r="359" ht="15.75" customHeight="1" outlineLevel="1">
      <c r="A359" s="213"/>
      <c r="B359" s="212"/>
      <c r="C359" s="213"/>
      <c r="D359" s="214" t="str">
        <f>IFERROR(VLOOKUP($C359,'PORTIFÓLIO'!C:V,2,0),"")</f>
        <v/>
      </c>
      <c r="E359" s="211" t="str">
        <f>IFERROR(VLOOKUP($C359,'PORTIFÓLIO'!C:V,3,0),"")</f>
        <v/>
      </c>
      <c r="F359" s="211" t="str">
        <f>IFERROR(VLOOKUP($C359,'PORTIFÓLIO'!C:V,4,0),"")</f>
        <v/>
      </c>
      <c r="G359" s="215" t="str">
        <f>IFERROR(VLOOKUP($C359,'PORTIFÓLIO'!C:V,5,0),"")</f>
        <v/>
      </c>
      <c r="H359" s="254" t="str">
        <f t="array" ref="H359">IFERROR(INDEX('PORTIFÓLIO'!$H$4:$H$433,MATCH($C359,'PORTIFÓLIO'!$C$4:$C$433,0)),"")</f>
        <v/>
      </c>
      <c r="I359" s="255"/>
      <c r="J359" s="218">
        <f t="shared" ref="J359:J373" si="41">I359*$B$2</f>
        <v>0</v>
      </c>
      <c r="K359" s="292" t="str">
        <f t="array" ref="K359">IFERROR(I359*INDEX('PORTIFÓLIO'!$S$4:$S$433,MATCH($C359,'PORTIFÓLIO'!$C$4:$C$433,0)),"")</f>
        <v/>
      </c>
      <c r="L359" s="292" t="str">
        <f t="array" ref="L359">IFERROR(J359*INDEX('PORTIFÓLIO'!$S$4:$S$433,MATCH($C359,'PORTIFÓLIO'!$C$4:$C$433,0)),"")</f>
        <v/>
      </c>
      <c r="M359" s="220"/>
      <c r="N359" s="220"/>
      <c r="O359" s="220"/>
      <c r="P359" s="220"/>
      <c r="Q359" s="220"/>
      <c r="R359" s="220"/>
      <c r="S359" s="220"/>
      <c r="T359" s="220"/>
      <c r="U359" s="220"/>
      <c r="V359" s="220"/>
      <c r="W359" s="220"/>
    </row>
    <row r="360" ht="15.75" customHeight="1" outlineLevel="1">
      <c r="A360" s="211"/>
      <c r="B360" s="212"/>
      <c r="C360" s="213"/>
      <c r="D360" s="214" t="str">
        <f>IFERROR(VLOOKUP($C360,'PORTIFÓLIO'!C:V,2,0),"")</f>
        <v/>
      </c>
      <c r="E360" s="211" t="str">
        <f>IFERROR(VLOOKUP($C360,'PORTIFÓLIO'!C:V,3,0),"")</f>
        <v/>
      </c>
      <c r="F360" s="211" t="str">
        <f>IFERROR(VLOOKUP($C360,'PORTIFÓLIO'!C:V,4,0),"")</f>
        <v/>
      </c>
      <c r="G360" s="215" t="str">
        <f>IFERROR(VLOOKUP($C360,'PORTIFÓLIO'!C:V,5,0),"")</f>
        <v/>
      </c>
      <c r="H360" s="254" t="str">
        <f t="array" ref="H360">IFERROR(INDEX('PORTIFÓLIO'!$H$4:$H$433,MATCH($C360,'PORTIFÓLIO'!$C$4:$C$433,0)),"")</f>
        <v/>
      </c>
      <c r="I360" s="256"/>
      <c r="J360" s="218">
        <f t="shared" si="41"/>
        <v>0</v>
      </c>
      <c r="K360" s="292" t="str">
        <f t="array" ref="K360">IFERROR(I360*INDEX('PORTIFÓLIO'!$S$4:$S$433,MATCH($C360,'PORTIFÓLIO'!$C$4:$C$433,0)),"")</f>
        <v/>
      </c>
      <c r="L360" s="292" t="str">
        <f t="array" ref="L360">IFERROR(J360*INDEX('PORTIFÓLIO'!$S$4:$S$433,MATCH($C360,'PORTIFÓLIO'!$C$4:$C$433,0)),"")</f>
        <v/>
      </c>
      <c r="M360" s="220"/>
      <c r="N360" s="220"/>
      <c r="O360" s="220"/>
      <c r="P360" s="220"/>
      <c r="Q360" s="220"/>
      <c r="R360" s="220"/>
      <c r="S360" s="220"/>
      <c r="T360" s="220"/>
      <c r="U360" s="220"/>
      <c r="V360" s="220"/>
      <c r="W360" s="220"/>
    </row>
    <row r="361" ht="15.75" customHeight="1" outlineLevel="1">
      <c r="A361" s="211"/>
      <c r="B361" s="212"/>
      <c r="C361" s="213"/>
      <c r="D361" s="214" t="str">
        <f>IFERROR(VLOOKUP($C361,'PORTIFÓLIO'!C:V,2,0),"")</f>
        <v/>
      </c>
      <c r="E361" s="211" t="str">
        <f>IFERROR(VLOOKUP($C361,'PORTIFÓLIO'!C:V,3,0),"")</f>
        <v/>
      </c>
      <c r="F361" s="211" t="str">
        <f>IFERROR(VLOOKUP($C361,'PORTIFÓLIO'!C:V,4,0),"")</f>
        <v/>
      </c>
      <c r="G361" s="215" t="str">
        <f>IFERROR(VLOOKUP($C361,'PORTIFÓLIO'!C:V,5,0),"")</f>
        <v/>
      </c>
      <c r="H361" s="254" t="str">
        <f t="array" ref="H361">IFERROR(INDEX('PORTIFÓLIO'!$H$4:$H$433,MATCH($C361,'PORTIFÓLIO'!$C$4:$C$433,0)),"")</f>
        <v/>
      </c>
      <c r="I361" s="256"/>
      <c r="J361" s="218">
        <f t="shared" si="41"/>
        <v>0</v>
      </c>
      <c r="K361" s="292" t="str">
        <f t="array" ref="K361">IFERROR(I361*INDEX('PORTIFÓLIO'!$S$4:$S$433,MATCH($C361,'PORTIFÓLIO'!$C$4:$C$433,0)),"")</f>
        <v/>
      </c>
      <c r="L361" s="292" t="str">
        <f t="array" ref="L361">IFERROR(J361*INDEX('PORTIFÓLIO'!$S$4:$S$433,MATCH($C361,'PORTIFÓLIO'!$C$4:$C$433,0)),"")</f>
        <v/>
      </c>
      <c r="M361" s="220"/>
      <c r="N361" s="220"/>
      <c r="O361" s="220"/>
      <c r="P361" s="220"/>
      <c r="Q361" s="220"/>
      <c r="R361" s="220"/>
      <c r="S361" s="220"/>
      <c r="T361" s="220"/>
      <c r="U361" s="220"/>
      <c r="V361" s="220"/>
      <c r="W361" s="220"/>
    </row>
    <row r="362" ht="15.75" customHeight="1" outlineLevel="1">
      <c r="A362" s="211"/>
      <c r="B362" s="212"/>
      <c r="C362" s="213"/>
      <c r="D362" s="214" t="str">
        <f>IFERROR(VLOOKUP($C362,'PORTIFÓLIO'!C:V,2,0),"")</f>
        <v/>
      </c>
      <c r="E362" s="211" t="str">
        <f>IFERROR(VLOOKUP($C362,'PORTIFÓLIO'!C:V,3,0),"")</f>
        <v/>
      </c>
      <c r="F362" s="211" t="str">
        <f>IFERROR(VLOOKUP($C362,'PORTIFÓLIO'!C:V,4,0),"")</f>
        <v/>
      </c>
      <c r="G362" s="215" t="str">
        <f>IFERROR(VLOOKUP($C362,'PORTIFÓLIO'!C:V,5,0),"")</f>
        <v/>
      </c>
      <c r="H362" s="254" t="str">
        <f t="array" ref="H362">IFERROR(INDEX('PORTIFÓLIO'!$H$4:$H$433,MATCH($C362,'PORTIFÓLIO'!$C$4:$C$433,0)),"")</f>
        <v/>
      </c>
      <c r="I362" s="256"/>
      <c r="J362" s="218">
        <f t="shared" si="41"/>
        <v>0</v>
      </c>
      <c r="K362" s="292" t="str">
        <f t="array" ref="K362">IFERROR(I362*INDEX('PORTIFÓLIO'!$S$4:$S$433,MATCH($C362,'PORTIFÓLIO'!$C$4:$C$433,0)),"")</f>
        <v/>
      </c>
      <c r="L362" s="292" t="str">
        <f t="array" ref="L362">IFERROR(J362*INDEX('PORTIFÓLIO'!$S$4:$S$433,MATCH($C362,'PORTIFÓLIO'!$C$4:$C$433,0)),"")</f>
        <v/>
      </c>
      <c r="M362" s="220"/>
      <c r="N362" s="220"/>
      <c r="O362" s="220"/>
      <c r="P362" s="220"/>
      <c r="Q362" s="220"/>
      <c r="R362" s="220"/>
      <c r="S362" s="220"/>
      <c r="T362" s="220"/>
      <c r="U362" s="220"/>
      <c r="V362" s="220"/>
      <c r="W362" s="220"/>
    </row>
    <row r="363" ht="15.75" customHeight="1" outlineLevel="1">
      <c r="A363" s="211"/>
      <c r="B363" s="212"/>
      <c r="C363" s="213"/>
      <c r="D363" s="214" t="str">
        <f>IFERROR(VLOOKUP($C363,'PORTIFÓLIO'!C:V,2,0),"")</f>
        <v/>
      </c>
      <c r="E363" s="211" t="str">
        <f>IFERROR(VLOOKUP($C363,'PORTIFÓLIO'!C:V,3,0),"")</f>
        <v/>
      </c>
      <c r="F363" s="211" t="str">
        <f>IFERROR(VLOOKUP($C363,'PORTIFÓLIO'!C:V,4,0),"")</f>
        <v/>
      </c>
      <c r="G363" s="215" t="str">
        <f>IFERROR(VLOOKUP($C363,'PORTIFÓLIO'!C:V,5,0),"")</f>
        <v/>
      </c>
      <c r="H363" s="254" t="str">
        <f t="array" ref="H363">IFERROR(INDEX('PORTIFÓLIO'!$H$4:$H$433,MATCH($C363,'PORTIFÓLIO'!$C$4:$C$433,0)),"")</f>
        <v/>
      </c>
      <c r="I363" s="256"/>
      <c r="J363" s="218">
        <f t="shared" si="41"/>
        <v>0</v>
      </c>
      <c r="K363" s="292" t="str">
        <f t="array" ref="K363">IFERROR(I363*INDEX('PORTIFÓLIO'!$S$4:$S$433,MATCH($C363,'PORTIFÓLIO'!$C$4:$C$433,0)),"")</f>
        <v/>
      </c>
      <c r="L363" s="292" t="str">
        <f t="array" ref="L363">IFERROR(J363*INDEX('PORTIFÓLIO'!$S$4:$S$433,MATCH($C363,'PORTIFÓLIO'!$C$4:$C$433,0)),"")</f>
        <v/>
      </c>
      <c r="M363" s="220"/>
      <c r="N363" s="220"/>
      <c r="O363" s="220"/>
      <c r="P363" s="220"/>
      <c r="Q363" s="220"/>
      <c r="R363" s="220"/>
      <c r="S363" s="220"/>
      <c r="T363" s="220"/>
      <c r="U363" s="220"/>
      <c r="V363" s="220"/>
      <c r="W363" s="220"/>
    </row>
    <row r="364" ht="15.75" customHeight="1" outlineLevel="1">
      <c r="A364" s="211"/>
      <c r="B364" s="212"/>
      <c r="C364" s="213"/>
      <c r="D364" s="214" t="str">
        <f>IFERROR(VLOOKUP($C364,'PORTIFÓLIO'!C:V,2,0),"")</f>
        <v/>
      </c>
      <c r="E364" s="211" t="str">
        <f>IFERROR(VLOOKUP($C364,'PORTIFÓLIO'!C:V,3,0),"")</f>
        <v/>
      </c>
      <c r="F364" s="211" t="str">
        <f>IFERROR(VLOOKUP($C364,'PORTIFÓLIO'!C:V,4,0),"")</f>
        <v/>
      </c>
      <c r="G364" s="215" t="str">
        <f>IFERROR(VLOOKUP($C364,'PORTIFÓLIO'!C:V,5,0),"")</f>
        <v/>
      </c>
      <c r="H364" s="254" t="str">
        <f t="array" ref="H364">IFERROR(INDEX('PORTIFÓLIO'!$H$4:$H$433,MATCH($C364,'PORTIFÓLIO'!$C$4:$C$433,0)),"")</f>
        <v/>
      </c>
      <c r="I364" s="256"/>
      <c r="J364" s="218">
        <f t="shared" si="41"/>
        <v>0</v>
      </c>
      <c r="K364" s="292" t="str">
        <f t="array" ref="K364">IFERROR(I364*INDEX('PORTIFÓLIO'!$S$4:$S$433,MATCH($C364,'PORTIFÓLIO'!$C$4:$C$433,0)),"")</f>
        <v/>
      </c>
      <c r="L364" s="292" t="str">
        <f t="array" ref="L364">IFERROR(J364*INDEX('PORTIFÓLIO'!$S$4:$S$433,MATCH($C364,'PORTIFÓLIO'!$C$4:$C$433,0)),"")</f>
        <v/>
      </c>
      <c r="M364" s="220"/>
      <c r="N364" s="220"/>
      <c r="O364" s="220"/>
      <c r="P364" s="220"/>
      <c r="Q364" s="220"/>
      <c r="R364" s="220"/>
      <c r="S364" s="220"/>
      <c r="T364" s="220"/>
      <c r="U364" s="220"/>
      <c r="V364" s="220"/>
      <c r="W364" s="220"/>
    </row>
    <row r="365" ht="15.75" customHeight="1" outlineLevel="1">
      <c r="A365" s="211"/>
      <c r="B365" s="212"/>
      <c r="C365" s="213"/>
      <c r="D365" s="214" t="str">
        <f>IFERROR(VLOOKUP($C365,'PORTIFÓLIO'!C:V,2,0),"")</f>
        <v/>
      </c>
      <c r="E365" s="211" t="str">
        <f>IFERROR(VLOOKUP($C365,'PORTIFÓLIO'!C:V,3,0),"")</f>
        <v/>
      </c>
      <c r="F365" s="211" t="str">
        <f>IFERROR(VLOOKUP($C365,'PORTIFÓLIO'!C:V,4,0),"")</f>
        <v/>
      </c>
      <c r="G365" s="215" t="str">
        <f>IFERROR(VLOOKUP($C365,'PORTIFÓLIO'!C:V,5,0),"")</f>
        <v/>
      </c>
      <c r="H365" s="254" t="str">
        <f t="array" ref="H365">IFERROR(INDEX('PORTIFÓLIO'!$H$4:$H$433,MATCH($C365,'PORTIFÓLIO'!$C$4:$C$433,0)),"")</f>
        <v/>
      </c>
      <c r="I365" s="256"/>
      <c r="J365" s="218">
        <f t="shared" si="41"/>
        <v>0</v>
      </c>
      <c r="K365" s="292" t="str">
        <f t="array" ref="K365">IFERROR(I365*INDEX('PORTIFÓLIO'!$S$4:$S$433,MATCH($C365,'PORTIFÓLIO'!$C$4:$C$433,0)),"")</f>
        <v/>
      </c>
      <c r="L365" s="292" t="str">
        <f t="array" ref="L365">IFERROR(J365*INDEX('PORTIFÓLIO'!$S$4:$S$433,MATCH($C365,'PORTIFÓLIO'!$C$4:$C$433,0)),"")</f>
        <v/>
      </c>
      <c r="M365" s="220"/>
      <c r="N365" s="220"/>
      <c r="O365" s="220"/>
      <c r="P365" s="220"/>
      <c r="Q365" s="220"/>
      <c r="R365" s="220"/>
      <c r="S365" s="220"/>
      <c r="T365" s="220"/>
      <c r="U365" s="220"/>
      <c r="V365" s="220"/>
      <c r="W365" s="220"/>
    </row>
    <row r="366" ht="15.75" customHeight="1" outlineLevel="1">
      <c r="A366" s="211"/>
      <c r="B366" s="212"/>
      <c r="C366" s="213"/>
      <c r="D366" s="214" t="str">
        <f>IFERROR(VLOOKUP($C366,'PORTIFÓLIO'!C:V,2,0),"")</f>
        <v/>
      </c>
      <c r="E366" s="211" t="str">
        <f>IFERROR(VLOOKUP($C366,'PORTIFÓLIO'!C:V,3,0),"")</f>
        <v/>
      </c>
      <c r="F366" s="211" t="str">
        <f>IFERROR(VLOOKUP($C366,'PORTIFÓLIO'!C:V,4,0),"")</f>
        <v/>
      </c>
      <c r="G366" s="215" t="str">
        <f>IFERROR(VLOOKUP($C366,'PORTIFÓLIO'!C:V,5,0),"")</f>
        <v/>
      </c>
      <c r="H366" s="254" t="str">
        <f t="array" ref="H366">IFERROR(INDEX('PORTIFÓLIO'!$H$4:$H$433,MATCH($C366,'PORTIFÓLIO'!$C$4:$C$433,0)),"")</f>
        <v/>
      </c>
      <c r="I366" s="256"/>
      <c r="J366" s="218">
        <f t="shared" si="41"/>
        <v>0</v>
      </c>
      <c r="K366" s="292" t="str">
        <f t="array" ref="K366">IFERROR(I366*INDEX('PORTIFÓLIO'!$S$4:$S$433,MATCH($C366,'PORTIFÓLIO'!$C$4:$C$433,0)),"")</f>
        <v/>
      </c>
      <c r="L366" s="292" t="str">
        <f t="array" ref="L366">IFERROR(J366*INDEX('PORTIFÓLIO'!$S$4:$S$433,MATCH($C366,'PORTIFÓLIO'!$C$4:$C$433,0)),"")</f>
        <v/>
      </c>
      <c r="M366" s="220"/>
      <c r="N366" s="220"/>
      <c r="O366" s="220"/>
      <c r="P366" s="220"/>
      <c r="Q366" s="220"/>
      <c r="R366" s="220"/>
      <c r="S366" s="220"/>
      <c r="T366" s="220"/>
      <c r="U366" s="220"/>
      <c r="V366" s="220"/>
      <c r="W366" s="220"/>
    </row>
    <row r="367" ht="15.75" customHeight="1" outlineLevel="1">
      <c r="A367" s="211"/>
      <c r="B367" s="212"/>
      <c r="C367" s="213"/>
      <c r="D367" s="214" t="str">
        <f>IFERROR(VLOOKUP($C367,'PORTIFÓLIO'!C:V,2,0),"")</f>
        <v/>
      </c>
      <c r="E367" s="211" t="str">
        <f>IFERROR(VLOOKUP($C367,'PORTIFÓLIO'!C:V,3,0),"")</f>
        <v/>
      </c>
      <c r="F367" s="211" t="str">
        <f>IFERROR(VLOOKUP($C367,'PORTIFÓLIO'!C:V,4,0),"")</f>
        <v/>
      </c>
      <c r="G367" s="215" t="str">
        <f>IFERROR(VLOOKUP($C367,'PORTIFÓLIO'!C:V,5,0),"")</f>
        <v/>
      </c>
      <c r="H367" s="254" t="str">
        <f t="array" ref="H367">IFERROR(INDEX('PORTIFÓLIO'!$H$4:$H$433,MATCH($C367,'PORTIFÓLIO'!$C$4:$C$433,0)),"")</f>
        <v/>
      </c>
      <c r="I367" s="255"/>
      <c r="J367" s="218">
        <f t="shared" si="41"/>
        <v>0</v>
      </c>
      <c r="K367" s="292" t="str">
        <f t="array" ref="K367">IFERROR(I367*INDEX('PORTIFÓLIO'!$S$4:$S$433,MATCH($C367,'PORTIFÓLIO'!$C$4:$C$433,0)),"")</f>
        <v/>
      </c>
      <c r="L367" s="292" t="str">
        <f t="array" ref="L367">IFERROR(J367*INDEX('PORTIFÓLIO'!$S$4:$S$433,MATCH($C367,'PORTIFÓLIO'!$C$4:$C$433,0)),"")</f>
        <v/>
      </c>
      <c r="M367" s="220"/>
      <c r="N367" s="220"/>
      <c r="O367" s="220"/>
      <c r="P367" s="220"/>
      <c r="Q367" s="220"/>
      <c r="R367" s="220"/>
      <c r="S367" s="220"/>
      <c r="T367" s="220"/>
      <c r="U367" s="220"/>
      <c r="V367" s="220"/>
      <c r="W367" s="220"/>
    </row>
    <row r="368" ht="15.75" customHeight="1" outlineLevel="1">
      <c r="A368" s="211"/>
      <c r="B368" s="212"/>
      <c r="C368" s="213"/>
      <c r="D368" s="214" t="str">
        <f>IFERROR(VLOOKUP($C368,'PORTIFÓLIO'!C:V,2,0),"")</f>
        <v/>
      </c>
      <c r="E368" s="211" t="str">
        <f>IFERROR(VLOOKUP($C368,'PORTIFÓLIO'!C:V,3,0),"")</f>
        <v/>
      </c>
      <c r="F368" s="211" t="str">
        <f>IFERROR(VLOOKUP($C368,'PORTIFÓLIO'!C:V,4,0),"")</f>
        <v/>
      </c>
      <c r="G368" s="215" t="str">
        <f>IFERROR(VLOOKUP($C368,'PORTIFÓLIO'!C:V,5,0),"")</f>
        <v/>
      </c>
      <c r="H368" s="254" t="str">
        <f t="array" ref="H368">IFERROR(INDEX('PORTIFÓLIO'!$H$4:$H$433,MATCH($C368,'PORTIFÓLIO'!$C$4:$C$433,0)),"")</f>
        <v/>
      </c>
      <c r="I368" s="256"/>
      <c r="J368" s="218">
        <f t="shared" si="41"/>
        <v>0</v>
      </c>
      <c r="K368" s="292" t="str">
        <f t="array" ref="K368">IFERROR(I368*INDEX('PORTIFÓLIO'!$S$4:$S$433,MATCH($C368,'PORTIFÓLIO'!$C$4:$C$433,0)),"")</f>
        <v/>
      </c>
      <c r="L368" s="292" t="str">
        <f t="array" ref="L368">IFERROR(J368*INDEX('PORTIFÓLIO'!$S$4:$S$433,MATCH($C368,'PORTIFÓLIO'!$C$4:$C$433,0)),"")</f>
        <v/>
      </c>
      <c r="M368" s="220"/>
      <c r="N368" s="220"/>
      <c r="O368" s="220"/>
      <c r="P368" s="220"/>
      <c r="Q368" s="220"/>
      <c r="R368" s="220"/>
      <c r="S368" s="220"/>
      <c r="T368" s="220"/>
      <c r="U368" s="220"/>
      <c r="V368" s="220"/>
      <c r="W368" s="220"/>
    </row>
    <row r="369" ht="15.75" customHeight="1" outlineLevel="1">
      <c r="A369" s="211"/>
      <c r="B369" s="212"/>
      <c r="C369" s="213"/>
      <c r="D369" s="214" t="str">
        <f>IFERROR(VLOOKUP($C369,'PORTIFÓLIO'!C:V,2,0),"")</f>
        <v/>
      </c>
      <c r="E369" s="211" t="str">
        <f>IFERROR(VLOOKUP($C369,'PORTIFÓLIO'!C:V,3,0),"")</f>
        <v/>
      </c>
      <c r="F369" s="211" t="str">
        <f>IFERROR(VLOOKUP($C369,'PORTIFÓLIO'!C:V,4,0),"")</f>
        <v/>
      </c>
      <c r="G369" s="215" t="str">
        <f>IFERROR(VLOOKUP($C369,'PORTIFÓLIO'!C:V,5,0),"")</f>
        <v/>
      </c>
      <c r="H369" s="254" t="str">
        <f t="array" ref="H369">IFERROR(INDEX('PORTIFÓLIO'!$H$4:$H$433,MATCH($C369,'PORTIFÓLIO'!$C$4:$C$433,0)),"")</f>
        <v/>
      </c>
      <c r="I369" s="256"/>
      <c r="J369" s="218">
        <f t="shared" si="41"/>
        <v>0</v>
      </c>
      <c r="K369" s="292" t="str">
        <f t="array" ref="K369">IFERROR(I369*INDEX('PORTIFÓLIO'!$S$4:$S$433,MATCH($C369,'PORTIFÓLIO'!$C$4:$C$433,0)),"")</f>
        <v/>
      </c>
      <c r="L369" s="292" t="str">
        <f t="array" ref="L369">IFERROR(J369*INDEX('PORTIFÓLIO'!$S$4:$S$433,MATCH($C369,'PORTIFÓLIO'!$C$4:$C$433,0)),"")</f>
        <v/>
      </c>
      <c r="M369" s="220"/>
      <c r="N369" s="220"/>
      <c r="O369" s="220"/>
      <c r="P369" s="220"/>
      <c r="Q369" s="220"/>
      <c r="R369" s="220"/>
      <c r="S369" s="220"/>
      <c r="T369" s="220"/>
      <c r="U369" s="220"/>
      <c r="V369" s="220"/>
      <c r="W369" s="220"/>
    </row>
    <row r="370" ht="15.75" customHeight="1" outlineLevel="1">
      <c r="A370" s="211"/>
      <c r="B370" s="212"/>
      <c r="C370" s="213"/>
      <c r="D370" s="214" t="str">
        <f>IFERROR(VLOOKUP($C370,'PORTIFÓLIO'!C:V,2,0),"")</f>
        <v/>
      </c>
      <c r="E370" s="211" t="str">
        <f>IFERROR(VLOOKUP($C370,'PORTIFÓLIO'!C:V,3,0),"")</f>
        <v/>
      </c>
      <c r="F370" s="211" t="str">
        <f>IFERROR(VLOOKUP($C370,'PORTIFÓLIO'!C:V,4,0),"")</f>
        <v/>
      </c>
      <c r="G370" s="215" t="str">
        <f>IFERROR(VLOOKUP($C370,'PORTIFÓLIO'!C:V,5,0),"")</f>
        <v/>
      </c>
      <c r="H370" s="254" t="str">
        <f t="array" ref="H370">IFERROR(INDEX('PORTIFÓLIO'!$H$4:$H$433,MATCH($C370,'PORTIFÓLIO'!$C$4:$C$433,0)),"")</f>
        <v/>
      </c>
      <c r="I370" s="256"/>
      <c r="J370" s="218">
        <f t="shared" si="41"/>
        <v>0</v>
      </c>
      <c r="K370" s="292" t="str">
        <f t="array" ref="K370">IFERROR(I370*INDEX('PORTIFÓLIO'!$S$4:$S$433,MATCH($C370,'PORTIFÓLIO'!$C$4:$C$433,0)),"")</f>
        <v/>
      </c>
      <c r="L370" s="292" t="str">
        <f t="array" ref="L370">IFERROR(J370*INDEX('PORTIFÓLIO'!$S$4:$S$433,MATCH($C370,'PORTIFÓLIO'!$C$4:$C$433,0)),"")</f>
        <v/>
      </c>
      <c r="M370" s="220"/>
      <c r="N370" s="220"/>
      <c r="O370" s="220"/>
      <c r="P370" s="220"/>
      <c r="Q370" s="220"/>
      <c r="R370" s="220"/>
      <c r="S370" s="220"/>
      <c r="T370" s="220"/>
      <c r="U370" s="220"/>
      <c r="V370" s="220"/>
      <c r="W370" s="220"/>
    </row>
    <row r="371" ht="15.75" customHeight="1" outlineLevel="1">
      <c r="A371" s="211"/>
      <c r="B371" s="212"/>
      <c r="C371" s="213"/>
      <c r="D371" s="214" t="str">
        <f>IFERROR(VLOOKUP($C371,'PORTIFÓLIO'!C:V,2,0),"")</f>
        <v/>
      </c>
      <c r="E371" s="211" t="str">
        <f>IFERROR(VLOOKUP($C371,'PORTIFÓLIO'!C:V,3,0),"")</f>
        <v/>
      </c>
      <c r="F371" s="211" t="str">
        <f>IFERROR(VLOOKUP($C371,'PORTIFÓLIO'!C:V,4,0),"")</f>
        <v/>
      </c>
      <c r="G371" s="215" t="str">
        <f>IFERROR(VLOOKUP($C371,'PORTIFÓLIO'!C:V,5,0),"")</f>
        <v/>
      </c>
      <c r="H371" s="254" t="str">
        <f t="array" ref="H371">IFERROR(INDEX('PORTIFÓLIO'!$H$4:$H$433,MATCH($C371,'PORTIFÓLIO'!$C$4:$C$433,0)),"")</f>
        <v/>
      </c>
      <c r="I371" s="256"/>
      <c r="J371" s="218">
        <f t="shared" si="41"/>
        <v>0</v>
      </c>
      <c r="K371" s="292" t="str">
        <f t="array" ref="K371">IFERROR(I371*INDEX('PORTIFÓLIO'!$S$4:$S$433,MATCH($C371,'PORTIFÓLIO'!$C$4:$C$433,0)),"")</f>
        <v/>
      </c>
      <c r="L371" s="292" t="str">
        <f t="array" ref="L371">IFERROR(J371*INDEX('PORTIFÓLIO'!$S$4:$S$433,MATCH($C371,'PORTIFÓLIO'!$C$4:$C$433,0)),"")</f>
        <v/>
      </c>
      <c r="M371" s="220"/>
      <c r="N371" s="220"/>
      <c r="O371" s="220"/>
      <c r="P371" s="220"/>
      <c r="Q371" s="220"/>
      <c r="R371" s="220"/>
      <c r="S371" s="220"/>
      <c r="T371" s="220"/>
      <c r="U371" s="220"/>
      <c r="V371" s="220"/>
      <c r="W371" s="220"/>
    </row>
    <row r="372" ht="15.75" customHeight="1" outlineLevel="1">
      <c r="A372" s="211"/>
      <c r="B372" s="212"/>
      <c r="C372" s="213"/>
      <c r="D372" s="214" t="str">
        <f>IFERROR(VLOOKUP($C372,'PORTIFÓLIO'!C:V,2,0),"")</f>
        <v/>
      </c>
      <c r="E372" s="211" t="str">
        <f>IFERROR(VLOOKUP($C372,'PORTIFÓLIO'!C:V,3,0),"")</f>
        <v/>
      </c>
      <c r="F372" s="211" t="str">
        <f>IFERROR(VLOOKUP($C372,'PORTIFÓLIO'!C:V,4,0),"")</f>
        <v/>
      </c>
      <c r="G372" s="215" t="str">
        <f>IFERROR(VLOOKUP($C372,'PORTIFÓLIO'!C:V,5,0),"")</f>
        <v/>
      </c>
      <c r="H372" s="254" t="str">
        <f t="array" ref="H372">IFERROR(INDEX('PORTIFÓLIO'!$H$4:$H$433,MATCH($C372,'PORTIFÓLIO'!$C$4:$C$433,0)),"")</f>
        <v/>
      </c>
      <c r="I372" s="256"/>
      <c r="J372" s="218">
        <f t="shared" si="41"/>
        <v>0</v>
      </c>
      <c r="K372" s="292" t="str">
        <f t="array" ref="K372">IFERROR(I372*INDEX('PORTIFÓLIO'!$S$4:$S$433,MATCH($C372,'PORTIFÓLIO'!$C$4:$C$433,0)),"")</f>
        <v/>
      </c>
      <c r="L372" s="292" t="str">
        <f t="array" ref="L372">IFERROR(J372*INDEX('PORTIFÓLIO'!$S$4:$S$433,MATCH($C372,'PORTIFÓLIO'!$C$4:$C$433,0)),"")</f>
        <v/>
      </c>
      <c r="M372" s="220"/>
      <c r="N372" s="220"/>
      <c r="O372" s="220"/>
      <c r="P372" s="220"/>
      <c r="Q372" s="220"/>
      <c r="R372" s="220"/>
      <c r="S372" s="220"/>
      <c r="T372" s="220"/>
      <c r="U372" s="220"/>
      <c r="V372" s="220"/>
      <c r="W372" s="220"/>
    </row>
    <row r="373" ht="15.75" customHeight="1" outlineLevel="1">
      <c r="A373" s="211"/>
      <c r="B373" s="212"/>
      <c r="C373" s="213"/>
      <c r="D373" s="214" t="str">
        <f>IFERROR(VLOOKUP($C373,'PORTIFÓLIO'!C:V,2,0),"")</f>
        <v/>
      </c>
      <c r="E373" s="211" t="str">
        <f>IFERROR(VLOOKUP($C373,'PORTIFÓLIO'!C:V,3,0),"")</f>
        <v/>
      </c>
      <c r="F373" s="211" t="str">
        <f>IFERROR(VLOOKUP($C373,'PORTIFÓLIO'!C:V,4,0),"")</f>
        <v/>
      </c>
      <c r="G373" s="215" t="str">
        <f>IFERROR(VLOOKUP($C373,'PORTIFÓLIO'!C:V,5,0),"")</f>
        <v/>
      </c>
      <c r="H373" s="254" t="str">
        <f t="array" ref="H373">IFERROR(INDEX('PORTIFÓLIO'!$H$4:$H$433,MATCH($C373,'PORTIFÓLIO'!$C$4:$C$433,0)),"")</f>
        <v/>
      </c>
      <c r="I373" s="256"/>
      <c r="J373" s="218">
        <f t="shared" si="41"/>
        <v>0</v>
      </c>
      <c r="K373" s="292" t="str">
        <f t="array" ref="K373">IFERROR(I373*INDEX('PORTIFÓLIO'!$S$4:$S$433,MATCH($C373,'PORTIFÓLIO'!$C$4:$C$433,0)),"")</f>
        <v/>
      </c>
      <c r="L373" s="292" t="str">
        <f t="array" ref="L373">IFERROR(J373*INDEX('PORTIFÓLIO'!$S$4:$S$433,MATCH($C373,'PORTIFÓLIO'!$C$4:$C$433,0)),"")</f>
        <v/>
      </c>
      <c r="M373" s="220"/>
      <c r="N373" s="220"/>
      <c r="O373" s="220"/>
      <c r="P373" s="220"/>
      <c r="Q373" s="220"/>
      <c r="R373" s="220"/>
      <c r="S373" s="220"/>
      <c r="T373" s="220"/>
      <c r="U373" s="220"/>
      <c r="V373" s="220"/>
      <c r="W373" s="220"/>
    </row>
    <row r="374" ht="15.75" customHeight="1" outlineLevel="1">
      <c r="A374" s="211"/>
      <c r="B374" s="227"/>
      <c r="C374" s="211"/>
      <c r="D374" s="214" t="str">
        <f>IFERROR(VLOOKUP($C374,'PORTIFÓLIO'!C:V,2,0),"")</f>
        <v/>
      </c>
      <c r="E374" s="211" t="str">
        <f>IFERROR(VLOOKUP($C374,'PORTIFÓLIO'!C:V,3,0),"")</f>
        <v/>
      </c>
      <c r="F374" s="211" t="str">
        <f>IFERROR(VLOOKUP($C374,'PORTIFÓLIO'!C:V,4,0),"")</f>
        <v/>
      </c>
      <c r="G374" s="215" t="str">
        <f>IFERROR(VLOOKUP($C374,'PORTIFÓLIO'!C:V,5,0),"")</f>
        <v/>
      </c>
      <c r="H374" s="254" t="str">
        <f t="array" ref="H374">IFERROR(INDEX('PORTIFÓLIO'!$H$4:$H$433,MATCH($C374,'PORTIFÓLIO'!$C$4:$C$433,0)),"")</f>
        <v/>
      </c>
      <c r="I374" s="256"/>
      <c r="J374" s="218"/>
      <c r="K374" s="292" t="str">
        <f t="array" ref="K374">IFERROR(I374*INDEX('PORTIFÓLIO'!$S$4:$S$433,MATCH($C374,'PORTIFÓLIO'!$C$4:$C$433,0)),"")</f>
        <v/>
      </c>
      <c r="L374" s="292" t="str">
        <f t="array" ref="L374">IFERROR(J374*INDEX('PORTIFÓLIO'!$S$4:$S$433,MATCH($C374,'PORTIFÓLIO'!$C$4:$C$433,0)),"")</f>
        <v/>
      </c>
      <c r="M374" s="220"/>
      <c r="N374" s="220"/>
      <c r="O374" s="220"/>
      <c r="P374" s="220"/>
      <c r="Q374" s="220"/>
      <c r="R374" s="220"/>
      <c r="S374" s="220"/>
      <c r="T374" s="220"/>
      <c r="U374" s="220"/>
      <c r="V374" s="220"/>
      <c r="W374" s="220"/>
    </row>
    <row r="375" ht="15.75" customHeight="1">
      <c r="A375" s="229" t="s">
        <v>1192</v>
      </c>
      <c r="B375" s="230"/>
      <c r="C375" s="231"/>
      <c r="D375" s="232"/>
      <c r="E375" s="231"/>
      <c r="F375" s="231"/>
      <c r="G375" s="233"/>
      <c r="H375" s="233"/>
      <c r="I375" s="258"/>
      <c r="J375" s="236"/>
      <c r="K375" s="237">
        <f t="shared" ref="K375:L375" si="42">SUBTOTAL(9,K376:K389)</f>
        <v>0</v>
      </c>
      <c r="L375" s="237">
        <f t="shared" si="42"/>
        <v>0</v>
      </c>
      <c r="M375" s="220"/>
      <c r="N375" s="220"/>
      <c r="O375" s="220"/>
      <c r="P375" s="220"/>
      <c r="Q375" s="220"/>
      <c r="R375" s="220"/>
      <c r="S375" s="220"/>
      <c r="T375" s="220"/>
      <c r="U375" s="220"/>
      <c r="V375" s="220"/>
      <c r="W375" s="220"/>
    </row>
    <row r="376" ht="15.75" customHeight="1" outlineLevel="1">
      <c r="A376" s="213"/>
      <c r="B376" s="212"/>
      <c r="C376" s="213"/>
      <c r="D376" s="214" t="str">
        <f>IFERROR(VLOOKUP($C376,'PORTIFÓLIO'!C:V,2,0),"")</f>
        <v/>
      </c>
      <c r="E376" s="211" t="str">
        <f>IFERROR(VLOOKUP($C376,'PORTIFÓLIO'!C:V,3,0),"")</f>
        <v/>
      </c>
      <c r="F376" s="211" t="str">
        <f>IFERROR(VLOOKUP($C376,'PORTIFÓLIO'!C:V,4,0),"")</f>
        <v/>
      </c>
      <c r="G376" s="215" t="str">
        <f>IFERROR(VLOOKUP($C376,'PORTIFÓLIO'!C:V,5,0),"")</f>
        <v/>
      </c>
      <c r="H376" s="254" t="str">
        <f t="array" ref="H376">IFERROR(INDEX('PORTIFÓLIO'!$H$4:$H$433,MATCH($C376,'PORTIFÓLIO'!$C$4:$C$433,0)),"")</f>
        <v/>
      </c>
      <c r="I376" s="255"/>
      <c r="J376" s="218">
        <f t="shared" ref="J376:J390" si="43">I376*$B$2</f>
        <v>0</v>
      </c>
      <c r="K376" s="292" t="str">
        <f t="array" ref="K376">IFERROR(I376*INDEX('PORTIFÓLIO'!$S$4:$S$433,MATCH($C376,'PORTIFÓLIO'!$C$4:$C$433,0)),"")</f>
        <v/>
      </c>
      <c r="L376" s="292" t="str">
        <f t="array" ref="L376">IFERROR(J376*INDEX('PORTIFÓLIO'!$S$4:$S$433,MATCH($C376,'PORTIFÓLIO'!$C$4:$C$433,0)),"")</f>
        <v/>
      </c>
      <c r="M376" s="220"/>
      <c r="N376" s="220"/>
      <c r="O376" s="220"/>
      <c r="P376" s="220"/>
      <c r="Q376" s="220"/>
      <c r="R376" s="220"/>
      <c r="S376" s="220"/>
      <c r="T376" s="220"/>
      <c r="U376" s="220"/>
      <c r="V376" s="220"/>
      <c r="W376" s="220"/>
    </row>
    <row r="377" ht="15.75" customHeight="1" outlineLevel="1">
      <c r="A377" s="211"/>
      <c r="B377" s="212"/>
      <c r="C377" s="213"/>
      <c r="D377" s="214" t="str">
        <f>IFERROR(VLOOKUP($C377,'PORTIFÓLIO'!C:V,2,0),"")</f>
        <v/>
      </c>
      <c r="E377" s="211" t="str">
        <f>IFERROR(VLOOKUP($C377,'PORTIFÓLIO'!C:V,3,0),"")</f>
        <v/>
      </c>
      <c r="F377" s="211" t="str">
        <f>IFERROR(VLOOKUP($C377,'PORTIFÓLIO'!C:V,4,0),"")</f>
        <v/>
      </c>
      <c r="G377" s="215" t="str">
        <f>IFERROR(VLOOKUP($C377,'PORTIFÓLIO'!C:V,5,0),"")</f>
        <v/>
      </c>
      <c r="H377" s="254" t="str">
        <f t="array" ref="H377">IFERROR(INDEX('PORTIFÓLIO'!$H$4:$H$433,MATCH($C377,'PORTIFÓLIO'!$C$4:$C$433,0)),"")</f>
        <v/>
      </c>
      <c r="I377" s="256"/>
      <c r="J377" s="218">
        <f t="shared" si="43"/>
        <v>0</v>
      </c>
      <c r="K377" s="292" t="str">
        <f t="array" ref="K377">IFERROR(I377*INDEX('PORTIFÓLIO'!$S$4:$S$433,MATCH($C377,'PORTIFÓLIO'!$C$4:$C$433,0)),"")</f>
        <v/>
      </c>
      <c r="L377" s="292" t="str">
        <f t="array" ref="L377">IFERROR(J377*INDEX('PORTIFÓLIO'!$S$4:$S$433,MATCH($C377,'PORTIFÓLIO'!$C$4:$C$433,0)),"")</f>
        <v/>
      </c>
      <c r="M377" s="220"/>
      <c r="N377" s="220"/>
      <c r="O377" s="220"/>
      <c r="P377" s="220"/>
      <c r="Q377" s="220"/>
      <c r="R377" s="220"/>
      <c r="S377" s="220"/>
      <c r="T377" s="220"/>
      <c r="U377" s="220"/>
      <c r="V377" s="220"/>
      <c r="W377" s="220"/>
    </row>
    <row r="378" ht="15.75" customHeight="1" outlineLevel="1">
      <c r="A378" s="211"/>
      <c r="B378" s="212"/>
      <c r="C378" s="213"/>
      <c r="D378" s="214" t="str">
        <f>IFERROR(VLOOKUP($C378,'PORTIFÓLIO'!C:V,2,0),"")</f>
        <v/>
      </c>
      <c r="E378" s="211" t="str">
        <f>IFERROR(VLOOKUP($C378,'PORTIFÓLIO'!C:V,3,0),"")</f>
        <v/>
      </c>
      <c r="F378" s="211" t="str">
        <f>IFERROR(VLOOKUP($C378,'PORTIFÓLIO'!C:V,4,0),"")</f>
        <v/>
      </c>
      <c r="G378" s="215" t="str">
        <f>IFERROR(VLOOKUP($C378,'PORTIFÓLIO'!C:V,5,0),"")</f>
        <v/>
      </c>
      <c r="H378" s="254" t="str">
        <f t="array" ref="H378">IFERROR(INDEX('PORTIFÓLIO'!$H$4:$H$433,MATCH($C378,'PORTIFÓLIO'!$C$4:$C$433,0)),"")</f>
        <v/>
      </c>
      <c r="I378" s="256"/>
      <c r="J378" s="218">
        <f t="shared" si="43"/>
        <v>0</v>
      </c>
      <c r="K378" s="292" t="str">
        <f t="array" ref="K378">IFERROR(I378*INDEX('PORTIFÓLIO'!$S$4:$S$433,MATCH($C378,'PORTIFÓLIO'!$C$4:$C$433,0)),"")</f>
        <v/>
      </c>
      <c r="L378" s="292" t="str">
        <f t="array" ref="L378">IFERROR(J378*INDEX('PORTIFÓLIO'!$S$4:$S$433,MATCH($C378,'PORTIFÓLIO'!$C$4:$C$433,0)),"")</f>
        <v/>
      </c>
      <c r="M378" s="220"/>
      <c r="N378" s="220"/>
      <c r="O378" s="220"/>
      <c r="P378" s="220"/>
      <c r="Q378" s="220"/>
      <c r="R378" s="220"/>
      <c r="S378" s="220"/>
      <c r="T378" s="220"/>
      <c r="U378" s="220"/>
      <c r="V378" s="220"/>
      <c r="W378" s="220"/>
    </row>
    <row r="379" ht="15.75" customHeight="1" outlineLevel="1">
      <c r="A379" s="211"/>
      <c r="B379" s="212"/>
      <c r="C379" s="213"/>
      <c r="D379" s="214" t="str">
        <f>IFERROR(VLOOKUP($C379,'PORTIFÓLIO'!C:V,2,0),"")</f>
        <v/>
      </c>
      <c r="E379" s="211" t="str">
        <f>IFERROR(VLOOKUP($C379,'PORTIFÓLIO'!C:V,3,0),"")</f>
        <v/>
      </c>
      <c r="F379" s="211" t="str">
        <f>IFERROR(VLOOKUP($C379,'PORTIFÓLIO'!C:V,4,0),"")</f>
        <v/>
      </c>
      <c r="G379" s="215" t="str">
        <f>IFERROR(VLOOKUP($C379,'PORTIFÓLIO'!C:V,5,0),"")</f>
        <v/>
      </c>
      <c r="H379" s="254" t="str">
        <f t="array" ref="H379">IFERROR(INDEX('PORTIFÓLIO'!$H$4:$H$433,MATCH($C379,'PORTIFÓLIO'!$C$4:$C$433,0)),"")</f>
        <v/>
      </c>
      <c r="I379" s="256"/>
      <c r="J379" s="218">
        <f t="shared" si="43"/>
        <v>0</v>
      </c>
      <c r="K379" s="292" t="str">
        <f t="array" ref="K379">IFERROR(I379*INDEX('PORTIFÓLIO'!$S$4:$S$433,MATCH($C379,'PORTIFÓLIO'!$C$4:$C$433,0)),"")</f>
        <v/>
      </c>
      <c r="L379" s="292" t="str">
        <f t="array" ref="L379">IFERROR(J379*INDEX('PORTIFÓLIO'!$S$4:$S$433,MATCH($C379,'PORTIFÓLIO'!$C$4:$C$433,0)),"")</f>
        <v/>
      </c>
      <c r="M379" s="220"/>
      <c r="N379" s="220"/>
      <c r="O379" s="220"/>
      <c r="P379" s="220"/>
      <c r="Q379" s="220"/>
      <c r="R379" s="220"/>
      <c r="S379" s="220"/>
      <c r="T379" s="220"/>
      <c r="U379" s="220"/>
      <c r="V379" s="220"/>
      <c r="W379" s="220"/>
    </row>
    <row r="380" ht="15.75" customHeight="1" outlineLevel="1">
      <c r="A380" s="211"/>
      <c r="B380" s="212"/>
      <c r="C380" s="213"/>
      <c r="D380" s="214" t="str">
        <f>IFERROR(VLOOKUP($C380,'PORTIFÓLIO'!C:V,2,0),"")</f>
        <v/>
      </c>
      <c r="E380" s="211" t="str">
        <f>IFERROR(VLOOKUP($C380,'PORTIFÓLIO'!C:V,3,0),"")</f>
        <v/>
      </c>
      <c r="F380" s="211" t="str">
        <f>IFERROR(VLOOKUP($C380,'PORTIFÓLIO'!C:V,4,0),"")</f>
        <v/>
      </c>
      <c r="G380" s="215" t="str">
        <f>IFERROR(VLOOKUP($C380,'PORTIFÓLIO'!C:V,5,0),"")</f>
        <v/>
      </c>
      <c r="H380" s="254" t="str">
        <f t="array" ref="H380">IFERROR(INDEX('PORTIFÓLIO'!$H$4:$H$433,MATCH($C380,'PORTIFÓLIO'!$C$4:$C$433,0)),"")</f>
        <v/>
      </c>
      <c r="I380" s="256"/>
      <c r="J380" s="218">
        <f t="shared" si="43"/>
        <v>0</v>
      </c>
      <c r="K380" s="292" t="str">
        <f t="array" ref="K380">IFERROR(I380*INDEX('PORTIFÓLIO'!$S$4:$S$433,MATCH($C380,'PORTIFÓLIO'!$C$4:$C$433,0)),"")</f>
        <v/>
      </c>
      <c r="L380" s="292" t="str">
        <f t="array" ref="L380">IFERROR(J380*INDEX('PORTIFÓLIO'!$S$4:$S$433,MATCH($C380,'PORTIFÓLIO'!$C$4:$C$433,0)),"")</f>
        <v/>
      </c>
      <c r="M380" s="220"/>
      <c r="N380" s="220"/>
      <c r="O380" s="220"/>
      <c r="P380" s="220"/>
      <c r="Q380" s="220"/>
      <c r="R380" s="220"/>
      <c r="S380" s="220"/>
      <c r="T380" s="220"/>
      <c r="U380" s="220"/>
      <c r="V380" s="220"/>
      <c r="W380" s="220"/>
    </row>
    <row r="381" ht="15.75" customHeight="1" outlineLevel="1">
      <c r="A381" s="211"/>
      <c r="B381" s="212"/>
      <c r="C381" s="213"/>
      <c r="D381" s="214" t="str">
        <f>IFERROR(VLOOKUP($C381,'PORTIFÓLIO'!C:V,2,0),"")</f>
        <v/>
      </c>
      <c r="E381" s="211" t="str">
        <f>IFERROR(VLOOKUP($C381,'PORTIFÓLIO'!C:V,3,0),"")</f>
        <v/>
      </c>
      <c r="F381" s="211" t="str">
        <f>IFERROR(VLOOKUP($C381,'PORTIFÓLIO'!C:V,4,0),"")</f>
        <v/>
      </c>
      <c r="G381" s="215" t="str">
        <f>IFERROR(VLOOKUP($C381,'PORTIFÓLIO'!C:V,5,0),"")</f>
        <v/>
      </c>
      <c r="H381" s="254" t="str">
        <f t="array" ref="H381">IFERROR(INDEX('PORTIFÓLIO'!$H$4:$H$433,MATCH($C381,'PORTIFÓLIO'!$C$4:$C$433,0)),"")</f>
        <v/>
      </c>
      <c r="I381" s="256"/>
      <c r="J381" s="218">
        <f t="shared" si="43"/>
        <v>0</v>
      </c>
      <c r="K381" s="292" t="str">
        <f t="array" ref="K381">IFERROR(I381*INDEX('PORTIFÓLIO'!$S$4:$S$433,MATCH($C381,'PORTIFÓLIO'!$C$4:$C$433,0)),"")</f>
        <v/>
      </c>
      <c r="L381" s="292" t="str">
        <f t="array" ref="L381">IFERROR(J381*INDEX('PORTIFÓLIO'!$S$4:$S$433,MATCH($C381,'PORTIFÓLIO'!$C$4:$C$433,0)),"")</f>
        <v/>
      </c>
      <c r="M381" s="220"/>
      <c r="N381" s="220"/>
      <c r="O381" s="220"/>
      <c r="P381" s="220"/>
      <c r="Q381" s="220"/>
      <c r="R381" s="220"/>
      <c r="S381" s="220"/>
      <c r="T381" s="220"/>
      <c r="U381" s="220"/>
      <c r="V381" s="220"/>
      <c r="W381" s="220"/>
    </row>
    <row r="382" ht="15.75" customHeight="1" outlineLevel="1">
      <c r="A382" s="211"/>
      <c r="B382" s="212"/>
      <c r="C382" s="213"/>
      <c r="D382" s="214" t="str">
        <f>IFERROR(VLOOKUP($C382,'PORTIFÓLIO'!C:V,2,0),"")</f>
        <v/>
      </c>
      <c r="E382" s="211" t="str">
        <f>IFERROR(VLOOKUP($C382,'PORTIFÓLIO'!C:V,3,0),"")</f>
        <v/>
      </c>
      <c r="F382" s="211" t="str">
        <f>IFERROR(VLOOKUP($C382,'PORTIFÓLIO'!C:V,4,0),"")</f>
        <v/>
      </c>
      <c r="G382" s="215" t="str">
        <f>IFERROR(VLOOKUP($C382,'PORTIFÓLIO'!C:V,5,0),"")</f>
        <v/>
      </c>
      <c r="H382" s="254" t="str">
        <f t="array" ref="H382">IFERROR(INDEX('PORTIFÓLIO'!$H$4:$H$433,MATCH($C382,'PORTIFÓLIO'!$C$4:$C$433,0)),"")</f>
        <v/>
      </c>
      <c r="I382" s="256"/>
      <c r="J382" s="218">
        <f t="shared" si="43"/>
        <v>0</v>
      </c>
      <c r="K382" s="292" t="str">
        <f t="array" ref="K382">IFERROR(I382*INDEX('PORTIFÓLIO'!$S$4:$S$433,MATCH($C382,'PORTIFÓLIO'!$C$4:$C$433,0)),"")</f>
        <v/>
      </c>
      <c r="L382" s="292" t="str">
        <f t="array" ref="L382">IFERROR(J382*INDEX('PORTIFÓLIO'!$S$4:$S$433,MATCH($C382,'PORTIFÓLIO'!$C$4:$C$433,0)),"")</f>
        <v/>
      </c>
      <c r="M382" s="220"/>
      <c r="N382" s="220"/>
      <c r="O382" s="220"/>
      <c r="P382" s="220"/>
      <c r="Q382" s="220"/>
      <c r="R382" s="220"/>
      <c r="S382" s="220"/>
      <c r="T382" s="220"/>
      <c r="U382" s="220"/>
      <c r="V382" s="220"/>
      <c r="W382" s="220"/>
    </row>
    <row r="383" ht="15.75" customHeight="1" outlineLevel="1">
      <c r="A383" s="211"/>
      <c r="B383" s="212"/>
      <c r="C383" s="213"/>
      <c r="D383" s="214" t="str">
        <f>IFERROR(VLOOKUP($C383,'PORTIFÓLIO'!C:V,2,0),"")</f>
        <v/>
      </c>
      <c r="E383" s="211" t="str">
        <f>IFERROR(VLOOKUP($C383,'PORTIFÓLIO'!C:V,3,0),"")</f>
        <v/>
      </c>
      <c r="F383" s="211" t="str">
        <f>IFERROR(VLOOKUP($C383,'PORTIFÓLIO'!C:V,4,0),"")</f>
        <v/>
      </c>
      <c r="G383" s="215" t="str">
        <f>IFERROR(VLOOKUP($C383,'PORTIFÓLIO'!C:V,5,0),"")</f>
        <v/>
      </c>
      <c r="H383" s="254" t="str">
        <f t="array" ref="H383">IFERROR(INDEX('PORTIFÓLIO'!$H$4:$H$433,MATCH($C383,'PORTIFÓLIO'!$C$4:$C$433,0)),"")</f>
        <v/>
      </c>
      <c r="I383" s="256"/>
      <c r="J383" s="218">
        <f t="shared" si="43"/>
        <v>0</v>
      </c>
      <c r="K383" s="292" t="str">
        <f t="array" ref="K383">IFERROR(I383*INDEX('PORTIFÓLIO'!$S$4:$S$433,MATCH($C383,'PORTIFÓLIO'!$C$4:$C$433,0)),"")</f>
        <v/>
      </c>
      <c r="L383" s="292" t="str">
        <f t="array" ref="L383">IFERROR(J383*INDEX('PORTIFÓLIO'!$S$4:$S$433,MATCH($C383,'PORTIFÓLIO'!$C$4:$C$433,0)),"")</f>
        <v/>
      </c>
      <c r="M383" s="220"/>
      <c r="N383" s="220"/>
      <c r="O383" s="220"/>
      <c r="P383" s="220"/>
      <c r="Q383" s="220"/>
      <c r="R383" s="220"/>
      <c r="S383" s="220"/>
      <c r="T383" s="220"/>
      <c r="U383" s="220"/>
      <c r="V383" s="220"/>
      <c r="W383" s="220"/>
    </row>
    <row r="384" ht="15.75" customHeight="1" outlineLevel="1">
      <c r="A384" s="211"/>
      <c r="B384" s="212"/>
      <c r="C384" s="213"/>
      <c r="D384" s="214" t="str">
        <f>IFERROR(VLOOKUP($C384,'PORTIFÓLIO'!C:V,2,0),"")</f>
        <v/>
      </c>
      <c r="E384" s="211" t="str">
        <f>IFERROR(VLOOKUP($C384,'PORTIFÓLIO'!C:V,3,0),"")</f>
        <v/>
      </c>
      <c r="F384" s="211" t="str">
        <f>IFERROR(VLOOKUP($C384,'PORTIFÓLIO'!C:V,4,0),"")</f>
        <v/>
      </c>
      <c r="G384" s="215" t="str">
        <f>IFERROR(VLOOKUP($C384,'PORTIFÓLIO'!C:V,5,0),"")</f>
        <v/>
      </c>
      <c r="H384" s="254" t="str">
        <f t="array" ref="H384">IFERROR(INDEX('PORTIFÓLIO'!$H$4:$H$433,MATCH($C384,'PORTIFÓLIO'!$C$4:$C$433,0)),"")</f>
        <v/>
      </c>
      <c r="I384" s="255"/>
      <c r="J384" s="218">
        <f t="shared" si="43"/>
        <v>0</v>
      </c>
      <c r="K384" s="292" t="str">
        <f t="array" ref="K384">IFERROR(I384*INDEX('PORTIFÓLIO'!$S$4:$S$433,MATCH($C384,'PORTIFÓLIO'!$C$4:$C$433,0)),"")</f>
        <v/>
      </c>
      <c r="L384" s="292" t="str">
        <f t="array" ref="L384">IFERROR(J384*INDEX('PORTIFÓLIO'!$S$4:$S$433,MATCH($C384,'PORTIFÓLIO'!$C$4:$C$433,0)),"")</f>
        <v/>
      </c>
      <c r="M384" s="220"/>
      <c r="N384" s="220"/>
      <c r="O384" s="220"/>
      <c r="P384" s="220"/>
      <c r="Q384" s="220"/>
      <c r="R384" s="220"/>
      <c r="S384" s="220"/>
      <c r="T384" s="220"/>
      <c r="U384" s="220"/>
      <c r="V384" s="220"/>
      <c r="W384" s="220"/>
    </row>
    <row r="385" ht="15.75" customHeight="1" outlineLevel="1">
      <c r="A385" s="211"/>
      <c r="B385" s="212"/>
      <c r="C385" s="213"/>
      <c r="D385" s="214" t="str">
        <f>IFERROR(VLOOKUP($C385,'PORTIFÓLIO'!C:V,2,0),"")</f>
        <v/>
      </c>
      <c r="E385" s="211" t="str">
        <f>IFERROR(VLOOKUP($C385,'PORTIFÓLIO'!C:V,3,0),"")</f>
        <v/>
      </c>
      <c r="F385" s="211" t="str">
        <f>IFERROR(VLOOKUP($C385,'PORTIFÓLIO'!C:V,4,0),"")</f>
        <v/>
      </c>
      <c r="G385" s="215" t="str">
        <f>IFERROR(VLOOKUP($C385,'PORTIFÓLIO'!C:V,5,0),"")</f>
        <v/>
      </c>
      <c r="H385" s="254" t="str">
        <f t="array" ref="H385">IFERROR(INDEX('PORTIFÓLIO'!$H$4:$H$433,MATCH($C385,'PORTIFÓLIO'!$C$4:$C$433,0)),"")</f>
        <v/>
      </c>
      <c r="I385" s="256"/>
      <c r="J385" s="218">
        <f t="shared" si="43"/>
        <v>0</v>
      </c>
      <c r="K385" s="292" t="str">
        <f t="array" ref="K385">IFERROR(I385*INDEX('PORTIFÓLIO'!$S$4:$S$433,MATCH($C385,'PORTIFÓLIO'!$C$4:$C$433,0)),"")</f>
        <v/>
      </c>
      <c r="L385" s="292" t="str">
        <f t="array" ref="L385">IFERROR(J385*INDEX('PORTIFÓLIO'!$S$4:$S$433,MATCH($C385,'PORTIFÓLIO'!$C$4:$C$433,0)),"")</f>
        <v/>
      </c>
      <c r="M385" s="220"/>
      <c r="N385" s="220"/>
      <c r="O385" s="220"/>
      <c r="P385" s="220"/>
      <c r="Q385" s="220"/>
      <c r="R385" s="220"/>
      <c r="S385" s="220"/>
      <c r="T385" s="220"/>
      <c r="U385" s="220"/>
      <c r="V385" s="220"/>
      <c r="W385" s="220"/>
    </row>
    <row r="386" ht="15.75" customHeight="1" outlineLevel="1">
      <c r="A386" s="211"/>
      <c r="B386" s="212"/>
      <c r="C386" s="213"/>
      <c r="D386" s="214" t="str">
        <f>IFERROR(VLOOKUP($C386,'PORTIFÓLIO'!C:V,2,0),"")</f>
        <v/>
      </c>
      <c r="E386" s="211" t="str">
        <f>IFERROR(VLOOKUP($C386,'PORTIFÓLIO'!C:V,3,0),"")</f>
        <v/>
      </c>
      <c r="F386" s="211" t="str">
        <f>IFERROR(VLOOKUP($C386,'PORTIFÓLIO'!C:V,4,0),"")</f>
        <v/>
      </c>
      <c r="G386" s="215" t="str">
        <f>IFERROR(VLOOKUP($C386,'PORTIFÓLIO'!C:V,5,0),"")</f>
        <v/>
      </c>
      <c r="H386" s="254" t="str">
        <f t="array" ref="H386">IFERROR(INDEX('PORTIFÓLIO'!$H$4:$H$433,MATCH($C386,'PORTIFÓLIO'!$C$4:$C$433,0)),"")</f>
        <v/>
      </c>
      <c r="I386" s="256"/>
      <c r="J386" s="218">
        <f t="shared" si="43"/>
        <v>0</v>
      </c>
      <c r="K386" s="292" t="str">
        <f t="array" ref="K386">IFERROR(I386*INDEX('PORTIFÓLIO'!$S$4:$S$433,MATCH($C386,'PORTIFÓLIO'!$C$4:$C$433,0)),"")</f>
        <v/>
      </c>
      <c r="L386" s="292" t="str">
        <f t="array" ref="L386">IFERROR(J386*INDEX('PORTIFÓLIO'!$S$4:$S$433,MATCH($C386,'PORTIFÓLIO'!$C$4:$C$433,0)),"")</f>
        <v/>
      </c>
      <c r="M386" s="220"/>
      <c r="N386" s="220"/>
      <c r="O386" s="220"/>
      <c r="P386" s="220"/>
      <c r="Q386" s="220"/>
      <c r="R386" s="220"/>
      <c r="S386" s="220"/>
      <c r="T386" s="220"/>
      <c r="U386" s="220"/>
      <c r="V386" s="220"/>
      <c r="W386" s="220"/>
    </row>
    <row r="387" ht="15.75" customHeight="1" outlineLevel="1">
      <c r="A387" s="211"/>
      <c r="B387" s="212"/>
      <c r="C387" s="213"/>
      <c r="D387" s="214" t="str">
        <f>IFERROR(VLOOKUP($C387,'PORTIFÓLIO'!C:V,2,0),"")</f>
        <v/>
      </c>
      <c r="E387" s="211" t="str">
        <f>IFERROR(VLOOKUP($C387,'PORTIFÓLIO'!C:V,3,0),"")</f>
        <v/>
      </c>
      <c r="F387" s="211" t="str">
        <f>IFERROR(VLOOKUP($C387,'PORTIFÓLIO'!C:V,4,0),"")</f>
        <v/>
      </c>
      <c r="G387" s="215" t="str">
        <f>IFERROR(VLOOKUP($C387,'PORTIFÓLIO'!C:V,5,0),"")</f>
        <v/>
      </c>
      <c r="H387" s="254" t="str">
        <f t="array" ref="H387">IFERROR(INDEX('PORTIFÓLIO'!$H$4:$H$433,MATCH($C387,'PORTIFÓLIO'!$C$4:$C$433,0)),"")</f>
        <v/>
      </c>
      <c r="I387" s="256"/>
      <c r="J387" s="218">
        <f t="shared" si="43"/>
        <v>0</v>
      </c>
      <c r="K387" s="292" t="str">
        <f t="array" ref="K387">IFERROR(I387*INDEX('PORTIFÓLIO'!$S$4:$S$433,MATCH($C387,'PORTIFÓLIO'!$C$4:$C$433,0)),"")</f>
        <v/>
      </c>
      <c r="L387" s="292" t="str">
        <f t="array" ref="L387">IFERROR(J387*INDEX('PORTIFÓLIO'!$S$4:$S$433,MATCH($C387,'PORTIFÓLIO'!$C$4:$C$433,0)),"")</f>
        <v/>
      </c>
      <c r="M387" s="220"/>
      <c r="N387" s="220"/>
      <c r="O387" s="220"/>
      <c r="P387" s="220"/>
      <c r="Q387" s="220"/>
      <c r="R387" s="220"/>
      <c r="S387" s="220"/>
      <c r="T387" s="220"/>
      <c r="U387" s="220"/>
      <c r="V387" s="220"/>
      <c r="W387" s="220"/>
    </row>
    <row r="388" ht="15.75" customHeight="1" outlineLevel="1">
      <c r="A388" s="211"/>
      <c r="B388" s="212"/>
      <c r="C388" s="213"/>
      <c r="D388" s="214" t="str">
        <f>IFERROR(VLOOKUP($C388,'PORTIFÓLIO'!C:V,2,0),"")</f>
        <v/>
      </c>
      <c r="E388" s="211" t="str">
        <f>IFERROR(VLOOKUP($C388,'PORTIFÓLIO'!C:V,3,0),"")</f>
        <v/>
      </c>
      <c r="F388" s="211" t="str">
        <f>IFERROR(VLOOKUP($C388,'PORTIFÓLIO'!C:V,4,0),"")</f>
        <v/>
      </c>
      <c r="G388" s="215" t="str">
        <f>IFERROR(VLOOKUP($C388,'PORTIFÓLIO'!C:V,5,0),"")</f>
        <v/>
      </c>
      <c r="H388" s="254" t="str">
        <f t="array" ref="H388">IFERROR(INDEX('PORTIFÓLIO'!$H$4:$H$433,MATCH($C388,'PORTIFÓLIO'!$C$4:$C$433,0)),"")</f>
        <v/>
      </c>
      <c r="I388" s="256"/>
      <c r="J388" s="218">
        <f t="shared" si="43"/>
        <v>0</v>
      </c>
      <c r="K388" s="292" t="str">
        <f t="array" ref="K388">IFERROR(I388*INDEX('PORTIFÓLIO'!$S$4:$S$433,MATCH($C388,'PORTIFÓLIO'!$C$4:$C$433,0)),"")</f>
        <v/>
      </c>
      <c r="L388" s="292" t="str">
        <f t="array" ref="L388">IFERROR(J388*INDEX('PORTIFÓLIO'!$S$4:$S$433,MATCH($C388,'PORTIFÓLIO'!$C$4:$C$433,0)),"")</f>
        <v/>
      </c>
      <c r="M388" s="220"/>
      <c r="N388" s="220"/>
      <c r="O388" s="220"/>
      <c r="P388" s="220"/>
      <c r="Q388" s="220"/>
      <c r="R388" s="220"/>
      <c r="S388" s="220"/>
      <c r="T388" s="220"/>
      <c r="U388" s="220"/>
      <c r="V388" s="220"/>
      <c r="W388" s="220"/>
    </row>
    <row r="389" ht="15.75" customHeight="1" outlineLevel="1">
      <c r="A389" s="211"/>
      <c r="B389" s="212"/>
      <c r="C389" s="213"/>
      <c r="D389" s="214" t="str">
        <f>IFERROR(VLOOKUP($C389,'PORTIFÓLIO'!C:V,2,0),"")</f>
        <v/>
      </c>
      <c r="E389" s="211" t="str">
        <f>IFERROR(VLOOKUP($C389,'PORTIFÓLIO'!C:V,3,0),"")</f>
        <v/>
      </c>
      <c r="F389" s="211" t="str">
        <f>IFERROR(VLOOKUP($C389,'PORTIFÓLIO'!C:V,4,0),"")</f>
        <v/>
      </c>
      <c r="G389" s="215" t="str">
        <f>IFERROR(VLOOKUP($C389,'PORTIFÓLIO'!C:V,5,0),"")</f>
        <v/>
      </c>
      <c r="H389" s="254" t="str">
        <f t="array" ref="H389">IFERROR(INDEX('PORTIFÓLIO'!$H$4:$H$433,MATCH($C389,'PORTIFÓLIO'!$C$4:$C$433,0)),"")</f>
        <v/>
      </c>
      <c r="I389" s="256"/>
      <c r="J389" s="218">
        <f t="shared" si="43"/>
        <v>0</v>
      </c>
      <c r="K389" s="292" t="str">
        <f t="array" ref="K389">IFERROR(I389*INDEX('PORTIFÓLIO'!$S$4:$S$433,MATCH($C389,'PORTIFÓLIO'!$C$4:$C$433,0)),"")</f>
        <v/>
      </c>
      <c r="L389" s="292" t="str">
        <f t="array" ref="L389">IFERROR(J389*INDEX('PORTIFÓLIO'!$S$4:$S$433,MATCH($C389,'PORTIFÓLIO'!$C$4:$C$433,0)),"")</f>
        <v/>
      </c>
      <c r="M389" s="220"/>
      <c r="N389" s="220"/>
      <c r="O389" s="220"/>
      <c r="P389" s="220"/>
      <c r="Q389" s="220"/>
      <c r="R389" s="220"/>
      <c r="S389" s="220"/>
      <c r="T389" s="220"/>
      <c r="U389" s="220"/>
      <c r="V389" s="220"/>
      <c r="W389" s="220"/>
    </row>
    <row r="390" ht="15.75" customHeight="1" outlineLevel="1">
      <c r="A390" s="211"/>
      <c r="B390" s="212"/>
      <c r="C390" s="213"/>
      <c r="D390" s="214" t="str">
        <f>IFERROR(VLOOKUP($C390,'PORTIFÓLIO'!C:V,2,0),"")</f>
        <v/>
      </c>
      <c r="E390" s="211" t="str">
        <f>IFERROR(VLOOKUP($C390,'PORTIFÓLIO'!C:V,3,0),"")</f>
        <v/>
      </c>
      <c r="F390" s="211" t="str">
        <f>IFERROR(VLOOKUP($C390,'PORTIFÓLIO'!C:V,4,0),"")</f>
        <v/>
      </c>
      <c r="G390" s="215" t="str">
        <f>IFERROR(VLOOKUP($C390,'PORTIFÓLIO'!C:V,5,0),"")</f>
        <v/>
      </c>
      <c r="H390" s="254" t="str">
        <f t="array" ref="H390">IFERROR(INDEX('PORTIFÓLIO'!$H$4:$H$433,MATCH($C390,'PORTIFÓLIO'!$C$4:$C$433,0)),"")</f>
        <v/>
      </c>
      <c r="I390" s="256"/>
      <c r="J390" s="218">
        <f t="shared" si="43"/>
        <v>0</v>
      </c>
      <c r="K390" s="292" t="str">
        <f t="array" ref="K390">IFERROR(I390*INDEX('PORTIFÓLIO'!$S$4:$S$433,MATCH($C390,'PORTIFÓLIO'!$C$4:$C$433,0)),"")</f>
        <v/>
      </c>
      <c r="L390" s="292" t="str">
        <f t="array" ref="L390">IFERROR(J390*INDEX('PORTIFÓLIO'!$S$4:$S$433,MATCH($C390,'PORTIFÓLIO'!$C$4:$C$433,0)),"")</f>
        <v/>
      </c>
      <c r="M390" s="220"/>
      <c r="N390" s="220"/>
      <c r="O390" s="220"/>
      <c r="P390" s="220"/>
      <c r="Q390" s="220"/>
      <c r="R390" s="220"/>
      <c r="S390" s="220"/>
      <c r="T390" s="220"/>
      <c r="U390" s="220"/>
      <c r="V390" s="220"/>
      <c r="W390" s="220"/>
    </row>
    <row r="391" ht="15.75" customHeight="1" outlineLevel="1">
      <c r="A391" s="211"/>
      <c r="B391" s="227"/>
      <c r="C391" s="211"/>
      <c r="D391" s="214" t="str">
        <f>IFERROR(VLOOKUP($C391,'PORTIFÓLIO'!C:V,2,0),"")</f>
        <v/>
      </c>
      <c r="E391" s="211" t="str">
        <f>IFERROR(VLOOKUP($C391,'PORTIFÓLIO'!C:V,3,0),"")</f>
        <v/>
      </c>
      <c r="F391" s="211" t="str">
        <f>IFERROR(VLOOKUP($C391,'PORTIFÓLIO'!C:V,4,0),"")</f>
        <v/>
      </c>
      <c r="G391" s="215" t="str">
        <f>IFERROR(VLOOKUP($C391,'PORTIFÓLIO'!C:V,5,0),"")</f>
        <v/>
      </c>
      <c r="H391" s="254" t="str">
        <f t="array" ref="H391">IFERROR(INDEX('PORTIFÓLIO'!$H$4:$H$433,MATCH($C391,'PORTIFÓLIO'!$C$4:$C$433,0)),"")</f>
        <v/>
      </c>
      <c r="I391" s="256"/>
      <c r="J391" s="218"/>
      <c r="K391" s="292" t="str">
        <f t="array" ref="K391">IFERROR(I391*INDEX('PORTIFÓLIO'!$S$4:$S$433,MATCH($C391,'PORTIFÓLIO'!$C$4:$C$433,0)),"")</f>
        <v/>
      </c>
      <c r="L391" s="292" t="str">
        <f t="array" ref="L391">IFERROR(J391*INDEX('PORTIFÓLIO'!$S$4:$S$433,MATCH($C391,'PORTIFÓLIO'!$C$4:$C$433,0)),"")</f>
        <v/>
      </c>
      <c r="M391" s="220"/>
      <c r="N391" s="220"/>
      <c r="O391" s="220"/>
      <c r="P391" s="220"/>
      <c r="Q391" s="220"/>
      <c r="R391" s="220"/>
      <c r="S391" s="220"/>
      <c r="T391" s="220"/>
      <c r="U391" s="220"/>
      <c r="V391" s="220"/>
      <c r="W391" s="220"/>
    </row>
    <row r="392" ht="15.75" customHeight="1">
      <c r="A392" s="229" t="s">
        <v>1193</v>
      </c>
      <c r="B392" s="230"/>
      <c r="C392" s="231"/>
      <c r="D392" s="232"/>
      <c r="E392" s="231"/>
      <c r="F392" s="231"/>
      <c r="G392" s="233"/>
      <c r="H392" s="233"/>
      <c r="I392" s="258"/>
      <c r="J392" s="236"/>
      <c r="K392" s="237">
        <f t="shared" ref="K392:L392" si="44">SUBTOTAL(9,K393:K406)</f>
        <v>0</v>
      </c>
      <c r="L392" s="237">
        <f t="shared" si="44"/>
        <v>0</v>
      </c>
      <c r="M392" s="220"/>
      <c r="N392" s="220"/>
      <c r="O392" s="220"/>
      <c r="P392" s="220"/>
      <c r="Q392" s="220"/>
      <c r="R392" s="220"/>
      <c r="S392" s="220"/>
      <c r="T392" s="220"/>
      <c r="U392" s="220"/>
      <c r="V392" s="220"/>
      <c r="W392" s="220"/>
    </row>
    <row r="393" ht="15.75" customHeight="1" outlineLevel="1">
      <c r="A393" s="213"/>
      <c r="B393" s="212"/>
      <c r="C393" s="213"/>
      <c r="D393" s="214" t="str">
        <f>IFERROR(VLOOKUP($C393,'PORTIFÓLIO'!C:V,2,0),"")</f>
        <v/>
      </c>
      <c r="E393" s="211" t="str">
        <f>IFERROR(VLOOKUP($C393,'PORTIFÓLIO'!C:V,3,0),"")</f>
        <v/>
      </c>
      <c r="F393" s="211" t="str">
        <f>IFERROR(VLOOKUP($C393,'PORTIFÓLIO'!C:V,4,0),"")</f>
        <v/>
      </c>
      <c r="G393" s="215" t="str">
        <f>IFERROR(VLOOKUP($C393,'PORTIFÓLIO'!C:V,5,0),"")</f>
        <v/>
      </c>
      <c r="H393" s="254" t="str">
        <f t="array" ref="H393">IFERROR(INDEX('PORTIFÓLIO'!$H$4:$H$433,MATCH($C393,'PORTIFÓLIO'!$C$4:$C$433,0)),"")</f>
        <v/>
      </c>
      <c r="I393" s="255"/>
      <c r="J393" s="218">
        <f t="shared" ref="J393:J408" si="45">I393*$B$2</f>
        <v>0</v>
      </c>
      <c r="K393" s="292" t="str">
        <f t="array" ref="K393">IFERROR(I393*INDEX('PORTIFÓLIO'!$S$4:$S$433,MATCH($C393,'PORTIFÓLIO'!$C$4:$C$433,0)),"")</f>
        <v/>
      </c>
      <c r="L393" s="292" t="str">
        <f t="array" ref="L393">IFERROR(J393*INDEX('PORTIFÓLIO'!$S$4:$S$433,MATCH($C393,'PORTIFÓLIO'!$C$4:$C$433,0)),"")</f>
        <v/>
      </c>
      <c r="M393" s="220"/>
      <c r="N393" s="220"/>
      <c r="O393" s="220"/>
      <c r="P393" s="220"/>
      <c r="Q393" s="220"/>
      <c r="R393" s="220"/>
      <c r="S393" s="220"/>
      <c r="T393" s="220"/>
      <c r="U393" s="220"/>
      <c r="V393" s="220"/>
      <c r="W393" s="220"/>
    </row>
    <row r="394" ht="15.75" customHeight="1" outlineLevel="1">
      <c r="A394" s="211"/>
      <c r="B394" s="212"/>
      <c r="C394" s="213"/>
      <c r="D394" s="214" t="str">
        <f>IFERROR(VLOOKUP($C394,'PORTIFÓLIO'!C:V,2,0),"")</f>
        <v/>
      </c>
      <c r="E394" s="211" t="str">
        <f>IFERROR(VLOOKUP($C394,'PORTIFÓLIO'!C:V,3,0),"")</f>
        <v/>
      </c>
      <c r="F394" s="211" t="str">
        <f>IFERROR(VLOOKUP($C394,'PORTIFÓLIO'!C:V,4,0),"")</f>
        <v/>
      </c>
      <c r="G394" s="215" t="str">
        <f>IFERROR(VLOOKUP($C394,'PORTIFÓLIO'!C:V,5,0),"")</f>
        <v/>
      </c>
      <c r="H394" s="254" t="str">
        <f t="array" ref="H394">IFERROR(INDEX('PORTIFÓLIO'!$H$4:$H$433,MATCH($C394,'PORTIFÓLIO'!$C$4:$C$433,0)),"")</f>
        <v/>
      </c>
      <c r="I394" s="256"/>
      <c r="J394" s="218">
        <f t="shared" si="45"/>
        <v>0</v>
      </c>
      <c r="K394" s="292" t="str">
        <f t="array" ref="K394">IFERROR(I394*INDEX('PORTIFÓLIO'!$S$4:$S$433,MATCH($C394,'PORTIFÓLIO'!$C$4:$C$433,0)),"")</f>
        <v/>
      </c>
      <c r="L394" s="292" t="str">
        <f t="array" ref="L394">IFERROR(J394*INDEX('PORTIFÓLIO'!$S$4:$S$433,MATCH($C394,'PORTIFÓLIO'!$C$4:$C$433,0)),"")</f>
        <v/>
      </c>
      <c r="M394" s="220"/>
      <c r="N394" s="220"/>
      <c r="O394" s="220"/>
      <c r="P394" s="220"/>
      <c r="Q394" s="220"/>
      <c r="R394" s="220"/>
      <c r="S394" s="220"/>
      <c r="T394" s="220"/>
      <c r="U394" s="220"/>
      <c r="V394" s="220"/>
      <c r="W394" s="220"/>
    </row>
    <row r="395" ht="15.75" customHeight="1" outlineLevel="1">
      <c r="A395" s="211"/>
      <c r="B395" s="212"/>
      <c r="C395" s="213"/>
      <c r="D395" s="214" t="str">
        <f>IFERROR(VLOOKUP($C395,'PORTIFÓLIO'!C:V,2,0),"")</f>
        <v/>
      </c>
      <c r="E395" s="211" t="str">
        <f>IFERROR(VLOOKUP($C395,'PORTIFÓLIO'!C:V,3,0),"")</f>
        <v/>
      </c>
      <c r="F395" s="211" t="str">
        <f>IFERROR(VLOOKUP($C395,'PORTIFÓLIO'!C:V,4,0),"")</f>
        <v/>
      </c>
      <c r="G395" s="215" t="str">
        <f>IFERROR(VLOOKUP($C395,'PORTIFÓLIO'!C:V,5,0),"")</f>
        <v/>
      </c>
      <c r="H395" s="254" t="str">
        <f t="array" ref="H395">IFERROR(INDEX('PORTIFÓLIO'!$H$4:$H$433,MATCH($C395,'PORTIFÓLIO'!$C$4:$C$433,0)),"")</f>
        <v/>
      </c>
      <c r="I395" s="256"/>
      <c r="J395" s="218">
        <f t="shared" si="45"/>
        <v>0</v>
      </c>
      <c r="K395" s="292" t="str">
        <f t="array" ref="K395">IFERROR(I395*INDEX('PORTIFÓLIO'!$S$4:$S$433,MATCH($C395,'PORTIFÓLIO'!$C$4:$C$433,0)),"")</f>
        <v/>
      </c>
      <c r="L395" s="292" t="str">
        <f t="array" ref="L395">IFERROR(J395*INDEX('PORTIFÓLIO'!$S$4:$S$433,MATCH($C395,'PORTIFÓLIO'!$C$4:$C$433,0)),"")</f>
        <v/>
      </c>
      <c r="M395" s="220"/>
      <c r="N395" s="220"/>
      <c r="O395" s="220"/>
      <c r="P395" s="220"/>
      <c r="Q395" s="220"/>
      <c r="R395" s="220"/>
      <c r="S395" s="220"/>
      <c r="T395" s="220"/>
      <c r="U395" s="220"/>
      <c r="V395" s="220"/>
      <c r="W395" s="220"/>
    </row>
    <row r="396" ht="15.75" customHeight="1" outlineLevel="1">
      <c r="A396" s="211"/>
      <c r="B396" s="212"/>
      <c r="C396" s="213"/>
      <c r="D396" s="214" t="str">
        <f>IFERROR(VLOOKUP($C396,'PORTIFÓLIO'!C:V,2,0),"")</f>
        <v/>
      </c>
      <c r="E396" s="211" t="str">
        <f>IFERROR(VLOOKUP($C396,'PORTIFÓLIO'!C:V,3,0),"")</f>
        <v/>
      </c>
      <c r="F396" s="211" t="str">
        <f>IFERROR(VLOOKUP($C396,'PORTIFÓLIO'!C:V,4,0),"")</f>
        <v/>
      </c>
      <c r="G396" s="215" t="str">
        <f>IFERROR(VLOOKUP($C396,'PORTIFÓLIO'!C:V,5,0),"")</f>
        <v/>
      </c>
      <c r="H396" s="254" t="str">
        <f t="array" ref="H396">IFERROR(INDEX('PORTIFÓLIO'!$H$4:$H$433,MATCH($C396,'PORTIFÓLIO'!$C$4:$C$433,0)),"")</f>
        <v/>
      </c>
      <c r="I396" s="256"/>
      <c r="J396" s="218">
        <f t="shared" si="45"/>
        <v>0</v>
      </c>
      <c r="K396" s="292" t="str">
        <f t="array" ref="K396">IFERROR(I396*INDEX('PORTIFÓLIO'!$S$4:$S$433,MATCH($C396,'PORTIFÓLIO'!$C$4:$C$433,0)),"")</f>
        <v/>
      </c>
      <c r="L396" s="292" t="str">
        <f t="array" ref="L396">IFERROR(J396*INDEX('PORTIFÓLIO'!$S$4:$S$433,MATCH($C396,'PORTIFÓLIO'!$C$4:$C$433,0)),"")</f>
        <v/>
      </c>
      <c r="M396" s="220"/>
      <c r="N396" s="220"/>
      <c r="O396" s="220"/>
      <c r="P396" s="220"/>
      <c r="Q396" s="220"/>
      <c r="R396" s="220"/>
      <c r="S396" s="220"/>
      <c r="T396" s="220"/>
      <c r="U396" s="220"/>
      <c r="V396" s="220"/>
      <c r="W396" s="220"/>
    </row>
    <row r="397" ht="15.75" customHeight="1" outlineLevel="1">
      <c r="A397" s="211"/>
      <c r="B397" s="212"/>
      <c r="C397" s="213"/>
      <c r="D397" s="214" t="str">
        <f>IFERROR(VLOOKUP($C397,'PORTIFÓLIO'!C:V,2,0),"")</f>
        <v/>
      </c>
      <c r="E397" s="211" t="str">
        <f>IFERROR(VLOOKUP($C397,'PORTIFÓLIO'!C:V,3,0),"")</f>
        <v/>
      </c>
      <c r="F397" s="211" t="str">
        <f>IFERROR(VLOOKUP($C397,'PORTIFÓLIO'!C:V,4,0),"")</f>
        <v/>
      </c>
      <c r="G397" s="215" t="str">
        <f>IFERROR(VLOOKUP($C397,'PORTIFÓLIO'!C:V,5,0),"")</f>
        <v/>
      </c>
      <c r="H397" s="254" t="str">
        <f t="array" ref="H397">IFERROR(INDEX('PORTIFÓLIO'!$H$4:$H$433,MATCH($C397,'PORTIFÓLIO'!$C$4:$C$433,0)),"")</f>
        <v/>
      </c>
      <c r="I397" s="256"/>
      <c r="J397" s="218">
        <f t="shared" si="45"/>
        <v>0</v>
      </c>
      <c r="K397" s="292" t="str">
        <f t="array" ref="K397">IFERROR(I397*INDEX('PORTIFÓLIO'!$S$4:$S$433,MATCH($C397,'PORTIFÓLIO'!$C$4:$C$433,0)),"")</f>
        <v/>
      </c>
      <c r="L397" s="292" t="str">
        <f t="array" ref="L397">IFERROR(J397*INDEX('PORTIFÓLIO'!$S$4:$S$433,MATCH($C397,'PORTIFÓLIO'!$C$4:$C$433,0)),"")</f>
        <v/>
      </c>
      <c r="M397" s="220"/>
      <c r="N397" s="220"/>
      <c r="O397" s="220"/>
      <c r="P397" s="220"/>
      <c r="Q397" s="220"/>
      <c r="R397" s="220"/>
      <c r="S397" s="220"/>
      <c r="T397" s="220"/>
      <c r="U397" s="220"/>
      <c r="V397" s="220"/>
      <c r="W397" s="220"/>
    </row>
    <row r="398" ht="15.75" customHeight="1" outlineLevel="1">
      <c r="A398" s="211"/>
      <c r="B398" s="212"/>
      <c r="C398" s="213"/>
      <c r="D398" s="214" t="str">
        <f>IFERROR(VLOOKUP($C398,'PORTIFÓLIO'!C:V,2,0),"")</f>
        <v/>
      </c>
      <c r="E398" s="211" t="str">
        <f>IFERROR(VLOOKUP($C398,'PORTIFÓLIO'!C:V,3,0),"")</f>
        <v/>
      </c>
      <c r="F398" s="211" t="str">
        <f>IFERROR(VLOOKUP($C398,'PORTIFÓLIO'!C:V,4,0),"")</f>
        <v/>
      </c>
      <c r="G398" s="215" t="str">
        <f>IFERROR(VLOOKUP($C398,'PORTIFÓLIO'!C:V,5,0),"")</f>
        <v/>
      </c>
      <c r="H398" s="254" t="str">
        <f t="array" ref="H398">IFERROR(INDEX('PORTIFÓLIO'!$H$4:$H$433,MATCH($C398,'PORTIFÓLIO'!$C$4:$C$433,0)),"")</f>
        <v/>
      </c>
      <c r="I398" s="256"/>
      <c r="J398" s="218">
        <f t="shared" si="45"/>
        <v>0</v>
      </c>
      <c r="K398" s="292" t="str">
        <f t="array" ref="K398">IFERROR(I398*INDEX('PORTIFÓLIO'!$S$4:$S$433,MATCH($C398,'PORTIFÓLIO'!$C$4:$C$433,0)),"")</f>
        <v/>
      </c>
      <c r="L398" s="292" t="str">
        <f t="array" ref="L398">IFERROR(J398*INDEX('PORTIFÓLIO'!$S$4:$S$433,MATCH($C398,'PORTIFÓLIO'!$C$4:$C$433,0)),"")</f>
        <v/>
      </c>
      <c r="M398" s="220"/>
      <c r="N398" s="220"/>
      <c r="O398" s="220"/>
      <c r="P398" s="220"/>
      <c r="Q398" s="220"/>
      <c r="R398" s="220"/>
      <c r="S398" s="220"/>
      <c r="T398" s="220"/>
      <c r="U398" s="220"/>
      <c r="V398" s="220"/>
      <c r="W398" s="220"/>
    </row>
    <row r="399" ht="15.75" customHeight="1" outlineLevel="1">
      <c r="A399" s="211"/>
      <c r="B399" s="212"/>
      <c r="C399" s="213"/>
      <c r="D399" s="214" t="str">
        <f>IFERROR(VLOOKUP($C399,'PORTIFÓLIO'!C:V,2,0),"")</f>
        <v/>
      </c>
      <c r="E399" s="211" t="str">
        <f>IFERROR(VLOOKUP($C399,'PORTIFÓLIO'!C:V,3,0),"")</f>
        <v/>
      </c>
      <c r="F399" s="211" t="str">
        <f>IFERROR(VLOOKUP($C399,'PORTIFÓLIO'!C:V,4,0),"")</f>
        <v/>
      </c>
      <c r="G399" s="215" t="str">
        <f>IFERROR(VLOOKUP($C399,'PORTIFÓLIO'!C:V,5,0),"")</f>
        <v/>
      </c>
      <c r="H399" s="254" t="str">
        <f t="array" ref="H399">IFERROR(INDEX('PORTIFÓLIO'!$H$4:$H$433,MATCH($C399,'PORTIFÓLIO'!$C$4:$C$433,0)),"")</f>
        <v/>
      </c>
      <c r="I399" s="256"/>
      <c r="J399" s="218">
        <f t="shared" si="45"/>
        <v>0</v>
      </c>
      <c r="K399" s="292" t="str">
        <f t="array" ref="K399">IFERROR(I399*INDEX('PORTIFÓLIO'!$S$4:$S$433,MATCH($C399,'PORTIFÓLIO'!$C$4:$C$433,0)),"")</f>
        <v/>
      </c>
      <c r="L399" s="292" t="str">
        <f t="array" ref="L399">IFERROR(J399*INDEX('PORTIFÓLIO'!$S$4:$S$433,MATCH($C399,'PORTIFÓLIO'!$C$4:$C$433,0)),"")</f>
        <v/>
      </c>
      <c r="M399" s="220"/>
      <c r="N399" s="220"/>
      <c r="O399" s="220"/>
      <c r="P399" s="220"/>
      <c r="Q399" s="220"/>
      <c r="R399" s="220"/>
      <c r="S399" s="220"/>
      <c r="T399" s="220"/>
      <c r="U399" s="220"/>
      <c r="V399" s="220"/>
      <c r="W399" s="220"/>
    </row>
    <row r="400" ht="15.75" customHeight="1" outlineLevel="1">
      <c r="A400" s="211"/>
      <c r="B400" s="212"/>
      <c r="C400" s="213"/>
      <c r="D400" s="214" t="str">
        <f>IFERROR(VLOOKUP($C400,'PORTIFÓLIO'!C:V,2,0),"")</f>
        <v/>
      </c>
      <c r="E400" s="211" t="str">
        <f>IFERROR(VLOOKUP($C400,'PORTIFÓLIO'!C:V,3,0),"")</f>
        <v/>
      </c>
      <c r="F400" s="211" t="str">
        <f>IFERROR(VLOOKUP($C400,'PORTIFÓLIO'!C:V,4,0),"")</f>
        <v/>
      </c>
      <c r="G400" s="215" t="str">
        <f>IFERROR(VLOOKUP($C400,'PORTIFÓLIO'!C:V,5,0),"")</f>
        <v/>
      </c>
      <c r="H400" s="254" t="str">
        <f t="array" ref="H400">IFERROR(INDEX('PORTIFÓLIO'!$H$4:$H$433,MATCH($C400,'PORTIFÓLIO'!$C$4:$C$433,0)),"")</f>
        <v/>
      </c>
      <c r="I400" s="256"/>
      <c r="J400" s="218">
        <f t="shared" si="45"/>
        <v>0</v>
      </c>
      <c r="K400" s="292" t="str">
        <f t="array" ref="K400">IFERROR(I400*INDEX('PORTIFÓLIO'!$S$4:$S$433,MATCH($C400,'PORTIFÓLIO'!$C$4:$C$433,0)),"")</f>
        <v/>
      </c>
      <c r="L400" s="292" t="str">
        <f t="array" ref="L400">IFERROR(J400*INDEX('PORTIFÓLIO'!$S$4:$S$433,MATCH($C400,'PORTIFÓLIO'!$C$4:$C$433,0)),"")</f>
        <v/>
      </c>
      <c r="M400" s="220"/>
      <c r="N400" s="220"/>
      <c r="O400" s="220"/>
      <c r="P400" s="220"/>
      <c r="Q400" s="220"/>
      <c r="R400" s="220"/>
      <c r="S400" s="220"/>
      <c r="T400" s="220"/>
      <c r="U400" s="220"/>
      <c r="V400" s="220"/>
      <c r="W400" s="220"/>
    </row>
    <row r="401" ht="15.75" customHeight="1" outlineLevel="1">
      <c r="A401" s="211"/>
      <c r="B401" s="212"/>
      <c r="C401" s="213"/>
      <c r="D401" s="214" t="str">
        <f>IFERROR(VLOOKUP($C401,'PORTIFÓLIO'!C:V,2,0),"")</f>
        <v/>
      </c>
      <c r="E401" s="211" t="str">
        <f>IFERROR(VLOOKUP($C401,'PORTIFÓLIO'!C:V,3,0),"")</f>
        <v/>
      </c>
      <c r="F401" s="211" t="str">
        <f>IFERROR(VLOOKUP($C401,'PORTIFÓLIO'!C:V,4,0),"")</f>
        <v/>
      </c>
      <c r="G401" s="215" t="str">
        <f>IFERROR(VLOOKUP($C401,'PORTIFÓLIO'!C:V,5,0),"")</f>
        <v/>
      </c>
      <c r="H401" s="254" t="str">
        <f t="array" ref="H401">IFERROR(INDEX('PORTIFÓLIO'!$H$4:$H$433,MATCH($C401,'PORTIFÓLIO'!$C$4:$C$433,0)),"")</f>
        <v/>
      </c>
      <c r="I401" s="255"/>
      <c r="J401" s="218">
        <f t="shared" si="45"/>
        <v>0</v>
      </c>
      <c r="K401" s="292" t="str">
        <f t="array" ref="K401">IFERROR(I401*INDEX('PORTIFÓLIO'!$S$4:$S$433,MATCH($C401,'PORTIFÓLIO'!$C$4:$C$433,0)),"")</f>
        <v/>
      </c>
      <c r="L401" s="292" t="str">
        <f t="array" ref="L401">IFERROR(J401*INDEX('PORTIFÓLIO'!$S$4:$S$433,MATCH($C401,'PORTIFÓLIO'!$C$4:$C$433,0)),"")</f>
        <v/>
      </c>
      <c r="M401" s="220"/>
      <c r="N401" s="220"/>
      <c r="O401" s="220"/>
      <c r="P401" s="220"/>
      <c r="Q401" s="220"/>
      <c r="R401" s="220"/>
      <c r="S401" s="220"/>
      <c r="T401" s="220"/>
      <c r="U401" s="220"/>
      <c r="V401" s="220"/>
      <c r="W401" s="220"/>
    </row>
    <row r="402" ht="15.75" customHeight="1" outlineLevel="1">
      <c r="A402" s="211"/>
      <c r="B402" s="212"/>
      <c r="C402" s="213"/>
      <c r="D402" s="214" t="str">
        <f>IFERROR(VLOOKUP($C402,'PORTIFÓLIO'!C:V,2,0),"")</f>
        <v/>
      </c>
      <c r="E402" s="211" t="str">
        <f>IFERROR(VLOOKUP($C402,'PORTIFÓLIO'!C:V,3,0),"")</f>
        <v/>
      </c>
      <c r="F402" s="211" t="str">
        <f>IFERROR(VLOOKUP($C402,'PORTIFÓLIO'!C:V,4,0),"")</f>
        <v/>
      </c>
      <c r="G402" s="215" t="str">
        <f>IFERROR(VLOOKUP($C402,'PORTIFÓLIO'!C:V,5,0),"")</f>
        <v/>
      </c>
      <c r="H402" s="254" t="str">
        <f t="array" ref="H402">IFERROR(INDEX('PORTIFÓLIO'!$H$4:$H$433,MATCH($C402,'PORTIFÓLIO'!$C$4:$C$433,0)),"")</f>
        <v/>
      </c>
      <c r="I402" s="256"/>
      <c r="J402" s="218">
        <f t="shared" si="45"/>
        <v>0</v>
      </c>
      <c r="K402" s="292" t="str">
        <f t="array" ref="K402">IFERROR(I402*INDEX('PORTIFÓLIO'!$S$4:$S$433,MATCH($C402,'PORTIFÓLIO'!$C$4:$C$433,0)),"")</f>
        <v/>
      </c>
      <c r="L402" s="292" t="str">
        <f t="array" ref="L402">IFERROR(J402*INDEX('PORTIFÓLIO'!$S$4:$S$433,MATCH($C402,'PORTIFÓLIO'!$C$4:$C$433,0)),"")</f>
        <v/>
      </c>
      <c r="M402" s="220"/>
      <c r="N402" s="220"/>
      <c r="O402" s="220"/>
      <c r="P402" s="220"/>
      <c r="Q402" s="220"/>
      <c r="R402" s="220"/>
      <c r="S402" s="220"/>
      <c r="T402" s="220"/>
      <c r="U402" s="220"/>
      <c r="V402" s="220"/>
      <c r="W402" s="220"/>
    </row>
    <row r="403" ht="15.75" customHeight="1" outlineLevel="1">
      <c r="A403" s="211"/>
      <c r="B403" s="212"/>
      <c r="C403" s="213"/>
      <c r="D403" s="214" t="str">
        <f>IFERROR(VLOOKUP($C403,'PORTIFÓLIO'!C:V,2,0),"")</f>
        <v/>
      </c>
      <c r="E403" s="211" t="str">
        <f>IFERROR(VLOOKUP($C403,'PORTIFÓLIO'!C:V,3,0),"")</f>
        <v/>
      </c>
      <c r="F403" s="211" t="str">
        <f>IFERROR(VLOOKUP($C403,'PORTIFÓLIO'!C:V,4,0),"")</f>
        <v/>
      </c>
      <c r="G403" s="215" t="str">
        <f>IFERROR(VLOOKUP($C403,'PORTIFÓLIO'!C:V,5,0),"")</f>
        <v/>
      </c>
      <c r="H403" s="254" t="str">
        <f t="array" ref="H403">IFERROR(INDEX('PORTIFÓLIO'!$H$4:$H$433,MATCH($C403,'PORTIFÓLIO'!$C$4:$C$433,0)),"")</f>
        <v/>
      </c>
      <c r="I403" s="256"/>
      <c r="J403" s="218">
        <f t="shared" si="45"/>
        <v>0</v>
      </c>
      <c r="K403" s="292" t="str">
        <f t="array" ref="K403">IFERROR(I403*INDEX('PORTIFÓLIO'!$S$4:$S$433,MATCH($C403,'PORTIFÓLIO'!$C$4:$C$433,0)),"")</f>
        <v/>
      </c>
      <c r="L403" s="292" t="str">
        <f t="array" ref="L403">IFERROR(J403*INDEX('PORTIFÓLIO'!$S$4:$S$433,MATCH($C403,'PORTIFÓLIO'!$C$4:$C$433,0)),"")</f>
        <v/>
      </c>
      <c r="M403" s="220"/>
      <c r="N403" s="220"/>
      <c r="O403" s="220"/>
      <c r="P403" s="220"/>
      <c r="Q403" s="220"/>
      <c r="R403" s="220"/>
      <c r="S403" s="220"/>
      <c r="T403" s="220"/>
      <c r="U403" s="220"/>
      <c r="V403" s="220"/>
      <c r="W403" s="220"/>
    </row>
    <row r="404" ht="15.75" customHeight="1" outlineLevel="1">
      <c r="A404" s="211"/>
      <c r="B404" s="212"/>
      <c r="C404" s="213"/>
      <c r="D404" s="214" t="str">
        <f>IFERROR(VLOOKUP($C404,'PORTIFÓLIO'!C:V,2,0),"")</f>
        <v/>
      </c>
      <c r="E404" s="211" t="str">
        <f>IFERROR(VLOOKUP($C404,'PORTIFÓLIO'!C:V,3,0),"")</f>
        <v/>
      </c>
      <c r="F404" s="211" t="str">
        <f>IFERROR(VLOOKUP($C404,'PORTIFÓLIO'!C:V,4,0),"")</f>
        <v/>
      </c>
      <c r="G404" s="215" t="str">
        <f>IFERROR(VLOOKUP($C404,'PORTIFÓLIO'!C:V,5,0),"")</f>
        <v/>
      </c>
      <c r="H404" s="254" t="str">
        <f t="array" ref="H404">IFERROR(INDEX('PORTIFÓLIO'!$H$4:$H$433,MATCH($C404,'PORTIFÓLIO'!$C$4:$C$433,0)),"")</f>
        <v/>
      </c>
      <c r="I404" s="256"/>
      <c r="J404" s="218">
        <f t="shared" si="45"/>
        <v>0</v>
      </c>
      <c r="K404" s="292" t="str">
        <f t="array" ref="K404">IFERROR(I404*INDEX('PORTIFÓLIO'!$S$4:$S$433,MATCH($C404,'PORTIFÓLIO'!$C$4:$C$433,0)),"")</f>
        <v/>
      </c>
      <c r="L404" s="292" t="str">
        <f t="array" ref="L404">IFERROR(J404*INDEX('PORTIFÓLIO'!$S$4:$S$433,MATCH($C404,'PORTIFÓLIO'!$C$4:$C$433,0)),"")</f>
        <v/>
      </c>
      <c r="M404" s="220"/>
      <c r="N404" s="220"/>
      <c r="O404" s="220"/>
      <c r="P404" s="220"/>
      <c r="Q404" s="220"/>
      <c r="R404" s="220"/>
      <c r="S404" s="220"/>
      <c r="T404" s="220"/>
      <c r="U404" s="220"/>
      <c r="V404" s="220"/>
      <c r="W404" s="220"/>
    </row>
    <row r="405" ht="15.75" customHeight="1" outlineLevel="1">
      <c r="A405" s="211"/>
      <c r="B405" s="212"/>
      <c r="C405" s="213"/>
      <c r="D405" s="214" t="str">
        <f>IFERROR(VLOOKUP($C405,'PORTIFÓLIO'!C:V,2,0),"")</f>
        <v/>
      </c>
      <c r="E405" s="211" t="str">
        <f>IFERROR(VLOOKUP($C405,'PORTIFÓLIO'!C:V,3,0),"")</f>
        <v/>
      </c>
      <c r="F405" s="211" t="str">
        <f>IFERROR(VLOOKUP($C405,'PORTIFÓLIO'!C:V,4,0),"")</f>
        <v/>
      </c>
      <c r="G405" s="215" t="str">
        <f>IFERROR(VLOOKUP($C405,'PORTIFÓLIO'!C:V,5,0),"")</f>
        <v/>
      </c>
      <c r="H405" s="254" t="str">
        <f t="array" ref="H405">IFERROR(INDEX('PORTIFÓLIO'!$H$4:$H$433,MATCH($C405,'PORTIFÓLIO'!$C$4:$C$433,0)),"")</f>
        <v/>
      </c>
      <c r="I405" s="256"/>
      <c r="J405" s="218">
        <f t="shared" si="45"/>
        <v>0</v>
      </c>
      <c r="K405" s="292" t="str">
        <f t="array" ref="K405">IFERROR(I405*INDEX('PORTIFÓLIO'!$S$4:$S$433,MATCH($C405,'PORTIFÓLIO'!$C$4:$C$433,0)),"")</f>
        <v/>
      </c>
      <c r="L405" s="292" t="str">
        <f t="array" ref="L405">IFERROR(J405*INDEX('PORTIFÓLIO'!$S$4:$S$433,MATCH($C405,'PORTIFÓLIO'!$C$4:$C$433,0)),"")</f>
        <v/>
      </c>
      <c r="M405" s="220"/>
      <c r="N405" s="220"/>
      <c r="O405" s="220"/>
      <c r="P405" s="220"/>
      <c r="Q405" s="220"/>
      <c r="R405" s="220"/>
      <c r="S405" s="220"/>
      <c r="T405" s="220"/>
      <c r="U405" s="220"/>
      <c r="V405" s="220"/>
      <c r="W405" s="220"/>
    </row>
    <row r="406" ht="15.75" customHeight="1" outlineLevel="1">
      <c r="A406" s="211"/>
      <c r="B406" s="212"/>
      <c r="C406" s="213"/>
      <c r="D406" s="214" t="str">
        <f>IFERROR(VLOOKUP($C406,'PORTIFÓLIO'!C:V,2,0),"")</f>
        <v/>
      </c>
      <c r="E406" s="211" t="str">
        <f>IFERROR(VLOOKUP($C406,'PORTIFÓLIO'!C:V,3,0),"")</f>
        <v/>
      </c>
      <c r="F406" s="211" t="str">
        <f>IFERROR(VLOOKUP($C406,'PORTIFÓLIO'!C:V,4,0),"")</f>
        <v/>
      </c>
      <c r="G406" s="215" t="str">
        <f>IFERROR(VLOOKUP($C406,'PORTIFÓLIO'!C:V,5,0),"")</f>
        <v/>
      </c>
      <c r="H406" s="254" t="str">
        <f t="array" ref="H406">IFERROR(INDEX('PORTIFÓLIO'!$H$4:$H$433,MATCH($C406,'PORTIFÓLIO'!$C$4:$C$433,0)),"")</f>
        <v/>
      </c>
      <c r="I406" s="256"/>
      <c r="J406" s="218">
        <f t="shared" si="45"/>
        <v>0</v>
      </c>
      <c r="K406" s="292" t="str">
        <f t="array" ref="K406">IFERROR(I406*INDEX('PORTIFÓLIO'!$S$4:$S$433,MATCH($C406,'PORTIFÓLIO'!$C$4:$C$433,0)),"")</f>
        <v/>
      </c>
      <c r="L406" s="292" t="str">
        <f t="array" ref="L406">IFERROR(J406*INDEX('PORTIFÓLIO'!$S$4:$S$433,MATCH($C406,'PORTIFÓLIO'!$C$4:$C$433,0)),"")</f>
        <v/>
      </c>
      <c r="M406" s="220"/>
      <c r="N406" s="220"/>
      <c r="O406" s="220"/>
      <c r="P406" s="220"/>
      <c r="Q406" s="220"/>
      <c r="R406" s="220"/>
      <c r="S406" s="220"/>
      <c r="T406" s="220"/>
      <c r="U406" s="220"/>
      <c r="V406" s="220"/>
      <c r="W406" s="220"/>
    </row>
    <row r="407" ht="15.75" customHeight="1" outlineLevel="1">
      <c r="A407" s="211"/>
      <c r="B407" s="212"/>
      <c r="C407" s="213"/>
      <c r="D407" s="214" t="str">
        <f>IFERROR(VLOOKUP($C407,'PORTIFÓLIO'!C:V,2,0),"")</f>
        <v/>
      </c>
      <c r="E407" s="211" t="str">
        <f>IFERROR(VLOOKUP($C407,'PORTIFÓLIO'!C:V,3,0),"")</f>
        <v/>
      </c>
      <c r="F407" s="211" t="str">
        <f>IFERROR(VLOOKUP($C407,'PORTIFÓLIO'!C:V,4,0),"")</f>
        <v/>
      </c>
      <c r="G407" s="215" t="str">
        <f>IFERROR(VLOOKUP($C407,'PORTIFÓLIO'!C:V,5,0),"")</f>
        <v/>
      </c>
      <c r="H407" s="254" t="str">
        <f t="array" ref="H407">IFERROR(INDEX('PORTIFÓLIO'!$H$4:$H$433,MATCH($C407,'PORTIFÓLIO'!$C$4:$C$433,0)),"")</f>
        <v/>
      </c>
      <c r="I407" s="256"/>
      <c r="J407" s="218">
        <f t="shared" si="45"/>
        <v>0</v>
      </c>
      <c r="K407" s="292" t="str">
        <f t="array" ref="K407">IFERROR(I407*INDEX('PORTIFÓLIO'!$S$4:$S$433,MATCH($C407,'PORTIFÓLIO'!$C$4:$C$433,0)),"")</f>
        <v/>
      </c>
      <c r="L407" s="292" t="str">
        <f t="array" ref="L407">IFERROR(J407*INDEX('PORTIFÓLIO'!$S$4:$S$433,MATCH($C407,'PORTIFÓLIO'!$C$4:$C$433,0)),"")</f>
        <v/>
      </c>
      <c r="M407" s="220"/>
      <c r="N407" s="220"/>
      <c r="O407" s="220"/>
      <c r="P407" s="220"/>
      <c r="Q407" s="220"/>
      <c r="R407" s="220"/>
      <c r="S407" s="220"/>
      <c r="T407" s="220"/>
      <c r="U407" s="220"/>
      <c r="V407" s="220"/>
      <c r="W407" s="220"/>
    </row>
    <row r="408" ht="15.75" customHeight="1" outlineLevel="1">
      <c r="A408" s="211"/>
      <c r="B408" s="227"/>
      <c r="C408" s="211"/>
      <c r="D408" s="214" t="str">
        <f>IFERROR(VLOOKUP($C408,'PORTIFÓLIO'!C:V,2,0),"")</f>
        <v/>
      </c>
      <c r="E408" s="211" t="str">
        <f>IFERROR(VLOOKUP($C408,'PORTIFÓLIO'!C:V,3,0),"")</f>
        <v/>
      </c>
      <c r="F408" s="211" t="str">
        <f>IFERROR(VLOOKUP($C408,'PORTIFÓLIO'!C:V,4,0),"")</f>
        <v/>
      </c>
      <c r="G408" s="215" t="str">
        <f>IFERROR(VLOOKUP($C408,'PORTIFÓLIO'!C:V,5,0),"")</f>
        <v/>
      </c>
      <c r="H408" s="254" t="str">
        <f t="array" ref="H408">IFERROR(INDEX('PORTIFÓLIO'!$H$4:$H$433,MATCH($C408,'PORTIFÓLIO'!$C$4:$C$433,0)),"")</f>
        <v/>
      </c>
      <c r="I408" s="256"/>
      <c r="J408" s="218">
        <f t="shared" si="45"/>
        <v>0</v>
      </c>
      <c r="K408" s="292" t="str">
        <f t="array" ref="K408">IFERROR(I408*INDEX('PORTIFÓLIO'!$S$4:$S$433,MATCH($C408,'PORTIFÓLIO'!$C$4:$C$433,0)),"")</f>
        <v/>
      </c>
      <c r="L408" s="292" t="str">
        <f t="array" ref="L408">IFERROR(J408*INDEX('PORTIFÓLIO'!$S$4:$S$433,MATCH($C408,'PORTIFÓLIO'!$C$4:$C$433,0)),"")</f>
        <v/>
      </c>
      <c r="M408" s="220"/>
      <c r="N408" s="220"/>
      <c r="O408" s="220"/>
      <c r="P408" s="220"/>
      <c r="Q408" s="220"/>
      <c r="R408" s="220"/>
      <c r="S408" s="220"/>
      <c r="T408" s="220"/>
      <c r="U408" s="220"/>
      <c r="V408" s="220"/>
      <c r="W408" s="220"/>
    </row>
    <row r="409" ht="15.75" customHeight="1">
      <c r="A409" s="229" t="s">
        <v>1194</v>
      </c>
      <c r="B409" s="230"/>
      <c r="C409" s="231"/>
      <c r="D409" s="232"/>
      <c r="E409" s="231"/>
      <c r="F409" s="231"/>
      <c r="G409" s="233"/>
      <c r="H409" s="233"/>
      <c r="I409" s="258"/>
      <c r="J409" s="236"/>
      <c r="K409" s="237">
        <f t="shared" ref="K409:L409" si="46">SUBTOTAL(9,K410:K423)</f>
        <v>0</v>
      </c>
      <c r="L409" s="237">
        <f t="shared" si="46"/>
        <v>0</v>
      </c>
      <c r="M409" s="220"/>
      <c r="N409" s="220"/>
      <c r="O409" s="220"/>
      <c r="P409" s="220"/>
      <c r="Q409" s="220"/>
      <c r="R409" s="220"/>
      <c r="S409" s="220"/>
      <c r="T409" s="220"/>
      <c r="U409" s="220"/>
      <c r="V409" s="220"/>
      <c r="W409" s="220"/>
    </row>
    <row r="410" ht="15.75" customHeight="1" outlineLevel="1">
      <c r="A410" s="213"/>
      <c r="B410" s="212"/>
      <c r="C410" s="213"/>
      <c r="D410" s="214" t="str">
        <f>IFERROR(VLOOKUP($C410,'PORTIFÓLIO'!C:V,2,0),"")</f>
        <v/>
      </c>
      <c r="E410" s="211" t="str">
        <f>IFERROR(VLOOKUP($C410,'PORTIFÓLIO'!C:V,3,0),"")</f>
        <v/>
      </c>
      <c r="F410" s="211" t="str">
        <f>IFERROR(VLOOKUP($C410,'PORTIFÓLIO'!C:V,4,0),"")</f>
        <v/>
      </c>
      <c r="G410" s="215" t="str">
        <f>IFERROR(VLOOKUP($C410,'PORTIFÓLIO'!C:V,5,0),"")</f>
        <v/>
      </c>
      <c r="H410" s="254" t="str">
        <f t="array" ref="H410">IFERROR(INDEX('PORTIFÓLIO'!$H$4:$H$433,MATCH($C410,'PORTIFÓLIO'!$C$4:$C$433,0)),"")</f>
        <v/>
      </c>
      <c r="I410" s="255"/>
      <c r="J410" s="218">
        <f t="shared" ref="J410:J426" si="47">I410*$B$2</f>
        <v>0</v>
      </c>
      <c r="K410" s="292" t="str">
        <f t="array" ref="K410">IFERROR(I410*INDEX('PORTIFÓLIO'!$S$4:$S$433,MATCH($C410,'PORTIFÓLIO'!$C$4:$C$433,0)),"")</f>
        <v/>
      </c>
      <c r="L410" s="292" t="str">
        <f t="array" ref="L410">IFERROR(J410*INDEX('PORTIFÓLIO'!$S$4:$S$433,MATCH($C410,'PORTIFÓLIO'!$C$4:$C$433,0)),"")</f>
        <v/>
      </c>
      <c r="M410" s="220"/>
      <c r="N410" s="220"/>
      <c r="O410" s="220"/>
      <c r="P410" s="220"/>
      <c r="Q410" s="220"/>
      <c r="R410" s="220"/>
      <c r="S410" s="220"/>
      <c r="T410" s="220"/>
      <c r="U410" s="220"/>
      <c r="V410" s="220"/>
      <c r="W410" s="220"/>
    </row>
    <row r="411" ht="15.75" customHeight="1" outlineLevel="1">
      <c r="A411" s="211"/>
      <c r="B411" s="212"/>
      <c r="C411" s="213"/>
      <c r="D411" s="214" t="str">
        <f>IFERROR(VLOOKUP($C411,'PORTIFÓLIO'!C:V,2,0),"")</f>
        <v/>
      </c>
      <c r="E411" s="211" t="str">
        <f>IFERROR(VLOOKUP($C411,'PORTIFÓLIO'!C:V,3,0),"")</f>
        <v/>
      </c>
      <c r="F411" s="211" t="str">
        <f>IFERROR(VLOOKUP($C411,'PORTIFÓLIO'!C:V,4,0),"")</f>
        <v/>
      </c>
      <c r="G411" s="215" t="str">
        <f>IFERROR(VLOOKUP($C411,'PORTIFÓLIO'!C:V,5,0),"")</f>
        <v/>
      </c>
      <c r="H411" s="254" t="str">
        <f t="array" ref="H411">IFERROR(INDEX('PORTIFÓLIO'!$H$4:$H$433,MATCH($C411,'PORTIFÓLIO'!$C$4:$C$433,0)),"")</f>
        <v/>
      </c>
      <c r="I411" s="256"/>
      <c r="J411" s="218">
        <f t="shared" si="47"/>
        <v>0</v>
      </c>
      <c r="K411" s="292" t="str">
        <f t="array" ref="K411">IFERROR(I411*INDEX('PORTIFÓLIO'!$S$4:$S$433,MATCH($C411,'PORTIFÓLIO'!$C$4:$C$433,0)),"")</f>
        <v/>
      </c>
      <c r="L411" s="292" t="str">
        <f t="array" ref="L411">IFERROR(J411*INDEX('PORTIFÓLIO'!$S$4:$S$433,MATCH($C411,'PORTIFÓLIO'!$C$4:$C$433,0)),"")</f>
        <v/>
      </c>
      <c r="M411" s="220"/>
      <c r="N411" s="220"/>
      <c r="O411" s="220"/>
      <c r="P411" s="220"/>
      <c r="Q411" s="220"/>
      <c r="R411" s="220"/>
      <c r="S411" s="220"/>
      <c r="T411" s="220"/>
      <c r="U411" s="220"/>
      <c r="V411" s="220"/>
      <c r="W411" s="220"/>
    </row>
    <row r="412" ht="15.75" customHeight="1" outlineLevel="1">
      <c r="A412" s="211"/>
      <c r="B412" s="212"/>
      <c r="C412" s="213"/>
      <c r="D412" s="214" t="str">
        <f>IFERROR(VLOOKUP($C412,'PORTIFÓLIO'!C:V,2,0),"")</f>
        <v/>
      </c>
      <c r="E412" s="211" t="str">
        <f>IFERROR(VLOOKUP($C412,'PORTIFÓLIO'!C:V,3,0),"")</f>
        <v/>
      </c>
      <c r="F412" s="211" t="str">
        <f>IFERROR(VLOOKUP($C412,'PORTIFÓLIO'!C:V,4,0),"")</f>
        <v/>
      </c>
      <c r="G412" s="215" t="str">
        <f>IFERROR(VLOOKUP($C412,'PORTIFÓLIO'!C:V,5,0),"")</f>
        <v/>
      </c>
      <c r="H412" s="254" t="str">
        <f t="array" ref="H412">IFERROR(INDEX('PORTIFÓLIO'!$H$4:$H$433,MATCH($C412,'PORTIFÓLIO'!$C$4:$C$433,0)),"")</f>
        <v/>
      </c>
      <c r="I412" s="256"/>
      <c r="J412" s="218">
        <f t="shared" si="47"/>
        <v>0</v>
      </c>
      <c r="K412" s="292" t="str">
        <f t="array" ref="K412">IFERROR(I412*INDEX('PORTIFÓLIO'!$S$4:$S$433,MATCH($C412,'PORTIFÓLIO'!$C$4:$C$433,0)),"")</f>
        <v/>
      </c>
      <c r="L412" s="292" t="str">
        <f t="array" ref="L412">IFERROR(J412*INDEX('PORTIFÓLIO'!$S$4:$S$433,MATCH($C412,'PORTIFÓLIO'!$C$4:$C$433,0)),"")</f>
        <v/>
      </c>
      <c r="M412" s="220"/>
      <c r="N412" s="220"/>
      <c r="O412" s="220"/>
      <c r="P412" s="220"/>
      <c r="Q412" s="220"/>
      <c r="R412" s="220"/>
      <c r="S412" s="220"/>
      <c r="T412" s="220"/>
      <c r="U412" s="220"/>
      <c r="V412" s="220"/>
      <c r="W412" s="220"/>
    </row>
    <row r="413" ht="15.75" customHeight="1" outlineLevel="1">
      <c r="A413" s="211"/>
      <c r="B413" s="212"/>
      <c r="C413" s="213"/>
      <c r="D413" s="214" t="str">
        <f>IFERROR(VLOOKUP($C413,'PORTIFÓLIO'!C:V,2,0),"")</f>
        <v/>
      </c>
      <c r="E413" s="211" t="str">
        <f>IFERROR(VLOOKUP($C413,'PORTIFÓLIO'!C:V,3,0),"")</f>
        <v/>
      </c>
      <c r="F413" s="211" t="str">
        <f>IFERROR(VLOOKUP($C413,'PORTIFÓLIO'!C:V,4,0),"")</f>
        <v/>
      </c>
      <c r="G413" s="215" t="str">
        <f>IFERROR(VLOOKUP($C413,'PORTIFÓLIO'!C:V,5,0),"")</f>
        <v/>
      </c>
      <c r="H413" s="254" t="str">
        <f t="array" ref="H413">IFERROR(INDEX('PORTIFÓLIO'!$H$4:$H$433,MATCH($C413,'PORTIFÓLIO'!$C$4:$C$433,0)),"")</f>
        <v/>
      </c>
      <c r="I413" s="256"/>
      <c r="J413" s="218">
        <f t="shared" si="47"/>
        <v>0</v>
      </c>
      <c r="K413" s="292" t="str">
        <f t="array" ref="K413">IFERROR(I413*INDEX('PORTIFÓLIO'!$S$4:$S$433,MATCH($C413,'PORTIFÓLIO'!$C$4:$C$433,0)),"")</f>
        <v/>
      </c>
      <c r="L413" s="292" t="str">
        <f t="array" ref="L413">IFERROR(J413*INDEX('PORTIFÓLIO'!$S$4:$S$433,MATCH($C413,'PORTIFÓLIO'!$C$4:$C$433,0)),"")</f>
        <v/>
      </c>
      <c r="M413" s="220"/>
      <c r="N413" s="220"/>
      <c r="O413" s="220"/>
      <c r="P413" s="220"/>
      <c r="Q413" s="220"/>
      <c r="R413" s="220"/>
      <c r="S413" s="220"/>
      <c r="T413" s="220"/>
      <c r="U413" s="220"/>
      <c r="V413" s="220"/>
      <c r="W413" s="220"/>
    </row>
    <row r="414" ht="15.75" customHeight="1" outlineLevel="1">
      <c r="A414" s="211"/>
      <c r="B414" s="212"/>
      <c r="C414" s="213"/>
      <c r="D414" s="214" t="str">
        <f>IFERROR(VLOOKUP($C414,'PORTIFÓLIO'!C:V,2,0),"")</f>
        <v/>
      </c>
      <c r="E414" s="211" t="str">
        <f>IFERROR(VLOOKUP($C414,'PORTIFÓLIO'!C:V,3,0),"")</f>
        <v/>
      </c>
      <c r="F414" s="211" t="str">
        <f>IFERROR(VLOOKUP($C414,'PORTIFÓLIO'!C:V,4,0),"")</f>
        <v/>
      </c>
      <c r="G414" s="215" t="str">
        <f>IFERROR(VLOOKUP($C414,'PORTIFÓLIO'!C:V,5,0),"")</f>
        <v/>
      </c>
      <c r="H414" s="254" t="str">
        <f t="array" ref="H414">IFERROR(INDEX('PORTIFÓLIO'!$H$4:$H$433,MATCH($C414,'PORTIFÓLIO'!$C$4:$C$433,0)),"")</f>
        <v/>
      </c>
      <c r="I414" s="256"/>
      <c r="J414" s="218">
        <f t="shared" si="47"/>
        <v>0</v>
      </c>
      <c r="K414" s="292" t="str">
        <f t="array" ref="K414">IFERROR(I414*INDEX('PORTIFÓLIO'!$S$4:$S$433,MATCH($C414,'PORTIFÓLIO'!$C$4:$C$433,0)),"")</f>
        <v/>
      </c>
      <c r="L414" s="292" t="str">
        <f t="array" ref="L414">IFERROR(J414*INDEX('PORTIFÓLIO'!$S$4:$S$433,MATCH($C414,'PORTIFÓLIO'!$C$4:$C$433,0)),"")</f>
        <v/>
      </c>
      <c r="M414" s="220"/>
      <c r="N414" s="220"/>
      <c r="O414" s="220"/>
      <c r="P414" s="220"/>
      <c r="Q414" s="220"/>
      <c r="R414" s="220"/>
      <c r="S414" s="220"/>
      <c r="T414" s="220"/>
      <c r="U414" s="220"/>
      <c r="V414" s="220"/>
      <c r="W414" s="220"/>
    </row>
    <row r="415" ht="15.75" customHeight="1" outlineLevel="1">
      <c r="A415" s="211"/>
      <c r="B415" s="212"/>
      <c r="C415" s="213"/>
      <c r="D415" s="214" t="str">
        <f>IFERROR(VLOOKUP($C415,'PORTIFÓLIO'!C:V,2,0),"")</f>
        <v/>
      </c>
      <c r="E415" s="211" t="str">
        <f>IFERROR(VLOOKUP($C415,'PORTIFÓLIO'!C:V,3,0),"")</f>
        <v/>
      </c>
      <c r="F415" s="211" t="str">
        <f>IFERROR(VLOOKUP($C415,'PORTIFÓLIO'!C:V,4,0),"")</f>
        <v/>
      </c>
      <c r="G415" s="215" t="str">
        <f>IFERROR(VLOOKUP($C415,'PORTIFÓLIO'!C:V,5,0),"")</f>
        <v/>
      </c>
      <c r="H415" s="254" t="str">
        <f t="array" ref="H415">IFERROR(INDEX('PORTIFÓLIO'!$H$4:$H$433,MATCH($C415,'PORTIFÓLIO'!$C$4:$C$433,0)),"")</f>
        <v/>
      </c>
      <c r="I415" s="256"/>
      <c r="J415" s="218">
        <f t="shared" si="47"/>
        <v>0</v>
      </c>
      <c r="K415" s="292" t="str">
        <f t="array" ref="K415">IFERROR(I415*INDEX('PORTIFÓLIO'!$S$4:$S$433,MATCH($C415,'PORTIFÓLIO'!$C$4:$C$433,0)),"")</f>
        <v/>
      </c>
      <c r="L415" s="292" t="str">
        <f t="array" ref="L415">IFERROR(J415*INDEX('PORTIFÓLIO'!$S$4:$S$433,MATCH($C415,'PORTIFÓLIO'!$C$4:$C$433,0)),"")</f>
        <v/>
      </c>
      <c r="M415" s="220"/>
      <c r="N415" s="220"/>
      <c r="O415" s="220"/>
      <c r="P415" s="220"/>
      <c r="Q415" s="220"/>
      <c r="R415" s="220"/>
      <c r="S415" s="220"/>
      <c r="T415" s="220"/>
      <c r="U415" s="220"/>
      <c r="V415" s="220"/>
      <c r="W415" s="220"/>
    </row>
    <row r="416" ht="15.75" customHeight="1" outlineLevel="1">
      <c r="A416" s="211"/>
      <c r="B416" s="212"/>
      <c r="C416" s="213"/>
      <c r="D416" s="214" t="str">
        <f>IFERROR(VLOOKUP($C416,'PORTIFÓLIO'!C:V,2,0),"")</f>
        <v/>
      </c>
      <c r="E416" s="211" t="str">
        <f>IFERROR(VLOOKUP($C416,'PORTIFÓLIO'!C:V,3,0),"")</f>
        <v/>
      </c>
      <c r="F416" s="211" t="str">
        <f>IFERROR(VLOOKUP($C416,'PORTIFÓLIO'!C:V,4,0),"")</f>
        <v/>
      </c>
      <c r="G416" s="215" t="str">
        <f>IFERROR(VLOOKUP($C416,'PORTIFÓLIO'!C:V,5,0),"")</f>
        <v/>
      </c>
      <c r="H416" s="254" t="str">
        <f t="array" ref="H416">IFERROR(INDEX('PORTIFÓLIO'!$H$4:$H$433,MATCH($C416,'PORTIFÓLIO'!$C$4:$C$433,0)),"")</f>
        <v/>
      </c>
      <c r="I416" s="256"/>
      <c r="J416" s="218">
        <f t="shared" si="47"/>
        <v>0</v>
      </c>
      <c r="K416" s="292" t="str">
        <f t="array" ref="K416">IFERROR(I416*INDEX('PORTIFÓLIO'!$S$4:$S$433,MATCH($C416,'PORTIFÓLIO'!$C$4:$C$433,0)),"")</f>
        <v/>
      </c>
      <c r="L416" s="292" t="str">
        <f t="array" ref="L416">IFERROR(J416*INDEX('PORTIFÓLIO'!$S$4:$S$433,MATCH($C416,'PORTIFÓLIO'!$C$4:$C$433,0)),"")</f>
        <v/>
      </c>
      <c r="M416" s="220"/>
      <c r="N416" s="220"/>
      <c r="O416" s="220"/>
      <c r="P416" s="220"/>
      <c r="Q416" s="220"/>
      <c r="R416" s="220"/>
      <c r="S416" s="220"/>
      <c r="T416" s="220"/>
      <c r="U416" s="220"/>
      <c r="V416" s="220"/>
      <c r="W416" s="220"/>
    </row>
    <row r="417" ht="15.75" customHeight="1" outlineLevel="1">
      <c r="A417" s="211"/>
      <c r="B417" s="212"/>
      <c r="C417" s="213"/>
      <c r="D417" s="214" t="str">
        <f>IFERROR(VLOOKUP($C417,'PORTIFÓLIO'!C:V,2,0),"")</f>
        <v/>
      </c>
      <c r="E417" s="211" t="str">
        <f>IFERROR(VLOOKUP($C417,'PORTIFÓLIO'!C:V,3,0),"")</f>
        <v/>
      </c>
      <c r="F417" s="211" t="str">
        <f>IFERROR(VLOOKUP($C417,'PORTIFÓLIO'!C:V,4,0),"")</f>
        <v/>
      </c>
      <c r="G417" s="215" t="str">
        <f>IFERROR(VLOOKUP($C417,'PORTIFÓLIO'!C:V,5,0),"")</f>
        <v/>
      </c>
      <c r="H417" s="254" t="str">
        <f t="array" ref="H417">IFERROR(INDEX('PORTIFÓLIO'!$H$4:$H$433,MATCH($C417,'PORTIFÓLIO'!$C$4:$C$433,0)),"")</f>
        <v/>
      </c>
      <c r="I417" s="256"/>
      <c r="J417" s="218">
        <f t="shared" si="47"/>
        <v>0</v>
      </c>
      <c r="K417" s="292" t="str">
        <f t="array" ref="K417">IFERROR(I417*INDEX('PORTIFÓLIO'!$S$4:$S$433,MATCH($C417,'PORTIFÓLIO'!$C$4:$C$433,0)),"")</f>
        <v/>
      </c>
      <c r="L417" s="292" t="str">
        <f t="array" ref="L417">IFERROR(J417*INDEX('PORTIFÓLIO'!$S$4:$S$433,MATCH($C417,'PORTIFÓLIO'!$C$4:$C$433,0)),"")</f>
        <v/>
      </c>
      <c r="M417" s="220"/>
      <c r="N417" s="220"/>
      <c r="O417" s="220"/>
      <c r="P417" s="220"/>
      <c r="Q417" s="220"/>
      <c r="R417" s="220"/>
      <c r="S417" s="220"/>
      <c r="T417" s="220"/>
      <c r="U417" s="220"/>
      <c r="V417" s="220"/>
      <c r="W417" s="220"/>
    </row>
    <row r="418" ht="15.75" customHeight="1" outlineLevel="1">
      <c r="A418" s="211"/>
      <c r="B418" s="212"/>
      <c r="C418" s="213"/>
      <c r="D418" s="214" t="str">
        <f>IFERROR(VLOOKUP($C418,'PORTIFÓLIO'!C:V,2,0),"")</f>
        <v/>
      </c>
      <c r="E418" s="211" t="str">
        <f>IFERROR(VLOOKUP($C418,'PORTIFÓLIO'!C:V,3,0),"")</f>
        <v/>
      </c>
      <c r="F418" s="211" t="str">
        <f>IFERROR(VLOOKUP($C418,'PORTIFÓLIO'!C:V,4,0),"")</f>
        <v/>
      </c>
      <c r="G418" s="215" t="str">
        <f>IFERROR(VLOOKUP($C418,'PORTIFÓLIO'!C:V,5,0),"")</f>
        <v/>
      </c>
      <c r="H418" s="254" t="str">
        <f t="array" ref="H418">IFERROR(INDEX('PORTIFÓLIO'!$H$4:$H$433,MATCH($C418,'PORTIFÓLIO'!$C$4:$C$433,0)),"")</f>
        <v/>
      </c>
      <c r="I418" s="255"/>
      <c r="J418" s="218">
        <f t="shared" si="47"/>
        <v>0</v>
      </c>
      <c r="K418" s="292" t="str">
        <f t="array" ref="K418">IFERROR(I418*INDEX('PORTIFÓLIO'!$S$4:$S$433,MATCH($C418,'PORTIFÓLIO'!$C$4:$C$433,0)),"")</f>
        <v/>
      </c>
      <c r="L418" s="292" t="str">
        <f t="array" ref="L418">IFERROR(J418*INDEX('PORTIFÓLIO'!$S$4:$S$433,MATCH($C418,'PORTIFÓLIO'!$C$4:$C$433,0)),"")</f>
        <v/>
      </c>
      <c r="M418" s="220"/>
      <c r="N418" s="220"/>
      <c r="O418" s="220"/>
      <c r="P418" s="220"/>
      <c r="Q418" s="220"/>
      <c r="R418" s="220"/>
      <c r="S418" s="220"/>
      <c r="T418" s="220"/>
      <c r="U418" s="220"/>
      <c r="V418" s="220"/>
      <c r="W418" s="220"/>
    </row>
    <row r="419" ht="15.75" customHeight="1" outlineLevel="1">
      <c r="A419" s="211"/>
      <c r="B419" s="212"/>
      <c r="C419" s="213"/>
      <c r="D419" s="214" t="str">
        <f>IFERROR(VLOOKUP($C419,'PORTIFÓLIO'!C:V,2,0),"")</f>
        <v/>
      </c>
      <c r="E419" s="211" t="str">
        <f>IFERROR(VLOOKUP($C419,'PORTIFÓLIO'!C:V,3,0),"")</f>
        <v/>
      </c>
      <c r="F419" s="211" t="str">
        <f>IFERROR(VLOOKUP($C419,'PORTIFÓLIO'!C:V,4,0),"")</f>
        <v/>
      </c>
      <c r="G419" s="215" t="str">
        <f>IFERROR(VLOOKUP($C419,'PORTIFÓLIO'!C:V,5,0),"")</f>
        <v/>
      </c>
      <c r="H419" s="254" t="str">
        <f t="array" ref="H419">IFERROR(INDEX('PORTIFÓLIO'!$H$4:$H$433,MATCH($C419,'PORTIFÓLIO'!$C$4:$C$433,0)),"")</f>
        <v/>
      </c>
      <c r="I419" s="256"/>
      <c r="J419" s="218">
        <f t="shared" si="47"/>
        <v>0</v>
      </c>
      <c r="K419" s="292" t="str">
        <f t="array" ref="K419">IFERROR(I419*INDEX('PORTIFÓLIO'!$S$4:$S$433,MATCH($C419,'PORTIFÓLIO'!$C$4:$C$433,0)),"")</f>
        <v/>
      </c>
      <c r="L419" s="292" t="str">
        <f t="array" ref="L419">IFERROR(J419*INDEX('PORTIFÓLIO'!$S$4:$S$433,MATCH($C419,'PORTIFÓLIO'!$C$4:$C$433,0)),"")</f>
        <v/>
      </c>
      <c r="M419" s="220"/>
      <c r="N419" s="220"/>
      <c r="O419" s="220"/>
      <c r="P419" s="220"/>
      <c r="Q419" s="220"/>
      <c r="R419" s="220"/>
      <c r="S419" s="220"/>
      <c r="T419" s="220"/>
      <c r="U419" s="220"/>
      <c r="V419" s="220"/>
      <c r="W419" s="220"/>
    </row>
    <row r="420" ht="15.75" customHeight="1" outlineLevel="1">
      <c r="A420" s="211"/>
      <c r="B420" s="212"/>
      <c r="C420" s="213"/>
      <c r="D420" s="214" t="str">
        <f>IFERROR(VLOOKUP($C420,'PORTIFÓLIO'!C:V,2,0),"")</f>
        <v/>
      </c>
      <c r="E420" s="211" t="str">
        <f>IFERROR(VLOOKUP($C420,'PORTIFÓLIO'!C:V,3,0),"")</f>
        <v/>
      </c>
      <c r="F420" s="211" t="str">
        <f>IFERROR(VLOOKUP($C420,'PORTIFÓLIO'!C:V,4,0),"")</f>
        <v/>
      </c>
      <c r="G420" s="215" t="str">
        <f>IFERROR(VLOOKUP($C420,'PORTIFÓLIO'!C:V,5,0),"")</f>
        <v/>
      </c>
      <c r="H420" s="254" t="str">
        <f t="array" ref="H420">IFERROR(INDEX('PORTIFÓLIO'!$H$4:$H$433,MATCH($C420,'PORTIFÓLIO'!$C$4:$C$433,0)),"")</f>
        <v/>
      </c>
      <c r="I420" s="256"/>
      <c r="J420" s="218">
        <f t="shared" si="47"/>
        <v>0</v>
      </c>
      <c r="K420" s="292" t="str">
        <f t="array" ref="K420">IFERROR(I420*INDEX('PORTIFÓLIO'!$S$4:$S$433,MATCH($C420,'PORTIFÓLIO'!$C$4:$C$433,0)),"")</f>
        <v/>
      </c>
      <c r="L420" s="292" t="str">
        <f t="array" ref="L420">IFERROR(J420*INDEX('PORTIFÓLIO'!$S$4:$S$433,MATCH($C420,'PORTIFÓLIO'!$C$4:$C$433,0)),"")</f>
        <v/>
      </c>
      <c r="M420" s="220"/>
      <c r="N420" s="220"/>
      <c r="O420" s="220"/>
      <c r="P420" s="220"/>
      <c r="Q420" s="220"/>
      <c r="R420" s="220"/>
      <c r="S420" s="220"/>
      <c r="T420" s="220"/>
      <c r="U420" s="220"/>
      <c r="V420" s="220"/>
      <c r="W420" s="220"/>
    </row>
    <row r="421" ht="15.75" customHeight="1" outlineLevel="1">
      <c r="A421" s="211"/>
      <c r="B421" s="212"/>
      <c r="C421" s="213"/>
      <c r="D421" s="214" t="str">
        <f>IFERROR(VLOOKUP($C421,'PORTIFÓLIO'!C:V,2,0),"")</f>
        <v/>
      </c>
      <c r="E421" s="211" t="str">
        <f>IFERROR(VLOOKUP($C421,'PORTIFÓLIO'!C:V,3,0),"")</f>
        <v/>
      </c>
      <c r="F421" s="211" t="str">
        <f>IFERROR(VLOOKUP($C421,'PORTIFÓLIO'!C:V,4,0),"")</f>
        <v/>
      </c>
      <c r="G421" s="215" t="str">
        <f>IFERROR(VLOOKUP($C421,'PORTIFÓLIO'!C:V,5,0),"")</f>
        <v/>
      </c>
      <c r="H421" s="254" t="str">
        <f t="array" ref="H421">IFERROR(INDEX('PORTIFÓLIO'!$H$4:$H$433,MATCH($C421,'PORTIFÓLIO'!$C$4:$C$433,0)),"")</f>
        <v/>
      </c>
      <c r="I421" s="256"/>
      <c r="J421" s="218">
        <f t="shared" si="47"/>
        <v>0</v>
      </c>
      <c r="K421" s="292" t="str">
        <f t="array" ref="K421">IFERROR(I421*INDEX('PORTIFÓLIO'!$S$4:$S$433,MATCH($C421,'PORTIFÓLIO'!$C$4:$C$433,0)),"")</f>
        <v/>
      </c>
      <c r="L421" s="292" t="str">
        <f t="array" ref="L421">IFERROR(J421*INDEX('PORTIFÓLIO'!$S$4:$S$433,MATCH($C421,'PORTIFÓLIO'!$C$4:$C$433,0)),"")</f>
        <v/>
      </c>
      <c r="M421" s="220"/>
      <c r="N421" s="220"/>
      <c r="O421" s="220"/>
      <c r="P421" s="220"/>
      <c r="Q421" s="220"/>
      <c r="R421" s="220"/>
      <c r="S421" s="220"/>
      <c r="T421" s="220"/>
      <c r="U421" s="220"/>
      <c r="V421" s="220"/>
      <c r="W421" s="220"/>
    </row>
    <row r="422" ht="15.75" customHeight="1" outlineLevel="1">
      <c r="A422" s="211"/>
      <c r="B422" s="212"/>
      <c r="C422" s="213"/>
      <c r="D422" s="214" t="str">
        <f>IFERROR(VLOOKUP($C422,'PORTIFÓLIO'!C:V,2,0),"")</f>
        <v/>
      </c>
      <c r="E422" s="211" t="str">
        <f>IFERROR(VLOOKUP($C422,'PORTIFÓLIO'!C:V,3,0),"")</f>
        <v/>
      </c>
      <c r="F422" s="211" t="str">
        <f>IFERROR(VLOOKUP($C422,'PORTIFÓLIO'!C:V,4,0),"")</f>
        <v/>
      </c>
      <c r="G422" s="215" t="str">
        <f>IFERROR(VLOOKUP($C422,'PORTIFÓLIO'!C:V,5,0),"")</f>
        <v/>
      </c>
      <c r="H422" s="254" t="str">
        <f t="array" ref="H422">IFERROR(INDEX('PORTIFÓLIO'!$H$4:$H$433,MATCH($C422,'PORTIFÓLIO'!$C$4:$C$433,0)),"")</f>
        <v/>
      </c>
      <c r="I422" s="256"/>
      <c r="J422" s="218">
        <f t="shared" si="47"/>
        <v>0</v>
      </c>
      <c r="K422" s="292" t="str">
        <f t="array" ref="K422">IFERROR(I422*INDEX('PORTIFÓLIO'!$S$4:$S$433,MATCH($C422,'PORTIFÓLIO'!$C$4:$C$433,0)),"")</f>
        <v/>
      </c>
      <c r="L422" s="292" t="str">
        <f t="array" ref="L422">IFERROR(J422*INDEX('PORTIFÓLIO'!$S$4:$S$433,MATCH($C422,'PORTIFÓLIO'!$C$4:$C$433,0)),"")</f>
        <v/>
      </c>
      <c r="M422" s="220"/>
      <c r="N422" s="220"/>
      <c r="O422" s="220"/>
      <c r="P422" s="220"/>
      <c r="Q422" s="220"/>
      <c r="R422" s="220"/>
      <c r="S422" s="220"/>
      <c r="T422" s="220"/>
      <c r="U422" s="220"/>
      <c r="V422" s="220"/>
      <c r="W422" s="220"/>
    </row>
    <row r="423" ht="15.75" customHeight="1" outlineLevel="1">
      <c r="A423" s="211"/>
      <c r="B423" s="212"/>
      <c r="C423" s="213"/>
      <c r="D423" s="214" t="str">
        <f>IFERROR(VLOOKUP($C423,'PORTIFÓLIO'!C:V,2,0),"")</f>
        <v/>
      </c>
      <c r="E423" s="211" t="str">
        <f>IFERROR(VLOOKUP($C423,'PORTIFÓLIO'!C:V,3,0),"")</f>
        <v/>
      </c>
      <c r="F423" s="211" t="str">
        <f>IFERROR(VLOOKUP($C423,'PORTIFÓLIO'!C:V,4,0),"")</f>
        <v/>
      </c>
      <c r="G423" s="215" t="str">
        <f>IFERROR(VLOOKUP($C423,'PORTIFÓLIO'!C:V,5,0),"")</f>
        <v/>
      </c>
      <c r="H423" s="254" t="str">
        <f t="array" ref="H423">IFERROR(INDEX('PORTIFÓLIO'!$H$4:$H$433,MATCH($C423,'PORTIFÓLIO'!$C$4:$C$433,0)),"")</f>
        <v/>
      </c>
      <c r="I423" s="256"/>
      <c r="J423" s="218">
        <f t="shared" si="47"/>
        <v>0</v>
      </c>
      <c r="K423" s="292" t="str">
        <f t="array" ref="K423">IFERROR(I423*INDEX('PORTIFÓLIO'!$S$4:$S$433,MATCH($C423,'PORTIFÓLIO'!$C$4:$C$433,0)),"")</f>
        <v/>
      </c>
      <c r="L423" s="292" t="str">
        <f t="array" ref="L423">IFERROR(J423*INDEX('PORTIFÓLIO'!$S$4:$S$433,MATCH($C423,'PORTIFÓLIO'!$C$4:$C$433,0)),"")</f>
        <v/>
      </c>
      <c r="M423" s="220"/>
      <c r="N423" s="220"/>
      <c r="O423" s="220"/>
      <c r="P423" s="220"/>
      <c r="Q423" s="220"/>
      <c r="R423" s="220"/>
      <c r="S423" s="220"/>
      <c r="T423" s="220"/>
      <c r="U423" s="220"/>
      <c r="V423" s="220"/>
      <c r="W423" s="220"/>
    </row>
    <row r="424" ht="15.75" customHeight="1" outlineLevel="1">
      <c r="A424" s="211"/>
      <c r="B424" s="212"/>
      <c r="C424" s="213"/>
      <c r="D424" s="214" t="str">
        <f>IFERROR(VLOOKUP($C424,'PORTIFÓLIO'!C:V,2,0),"")</f>
        <v/>
      </c>
      <c r="E424" s="211" t="str">
        <f>IFERROR(VLOOKUP($C424,'PORTIFÓLIO'!C:V,3,0),"")</f>
        <v/>
      </c>
      <c r="F424" s="211" t="str">
        <f>IFERROR(VLOOKUP($C424,'PORTIFÓLIO'!C:V,4,0),"")</f>
        <v/>
      </c>
      <c r="G424" s="215" t="str">
        <f>IFERROR(VLOOKUP($C424,'PORTIFÓLIO'!C:V,5,0),"")</f>
        <v/>
      </c>
      <c r="H424" s="254" t="str">
        <f t="array" ref="H424">IFERROR(INDEX('PORTIFÓLIO'!$H$4:$H$433,MATCH($C424,'PORTIFÓLIO'!$C$4:$C$433,0)),"")</f>
        <v/>
      </c>
      <c r="I424" s="256"/>
      <c r="J424" s="218">
        <f t="shared" si="47"/>
        <v>0</v>
      </c>
      <c r="K424" s="292" t="str">
        <f t="array" ref="K424">IFERROR(I424*INDEX('PORTIFÓLIO'!$S$4:$S$433,MATCH($C424,'PORTIFÓLIO'!$C$4:$C$433,0)),"")</f>
        <v/>
      </c>
      <c r="L424" s="292" t="str">
        <f t="array" ref="L424">IFERROR(J424*INDEX('PORTIFÓLIO'!$S$4:$S$433,MATCH($C424,'PORTIFÓLIO'!$C$4:$C$433,0)),"")</f>
        <v/>
      </c>
      <c r="M424" s="220"/>
      <c r="N424" s="220"/>
      <c r="O424" s="220"/>
      <c r="P424" s="220"/>
      <c r="Q424" s="220"/>
      <c r="R424" s="220"/>
      <c r="S424" s="220"/>
      <c r="T424" s="220"/>
      <c r="U424" s="220"/>
      <c r="V424" s="220"/>
      <c r="W424" s="220"/>
    </row>
    <row r="425" ht="15.75" customHeight="1" outlineLevel="1">
      <c r="A425" s="211"/>
      <c r="B425" s="227"/>
      <c r="C425" s="211"/>
      <c r="D425" s="214" t="str">
        <f>IFERROR(VLOOKUP($C425,'PORTIFÓLIO'!C:V,2,0),"")</f>
        <v/>
      </c>
      <c r="E425" s="211" t="str">
        <f>IFERROR(VLOOKUP($C425,'PORTIFÓLIO'!C:V,3,0),"")</f>
        <v/>
      </c>
      <c r="F425" s="211" t="str">
        <f>IFERROR(VLOOKUP($C425,'PORTIFÓLIO'!C:V,4,0),"")</f>
        <v/>
      </c>
      <c r="G425" s="215" t="str">
        <f>IFERROR(VLOOKUP($C425,'PORTIFÓLIO'!C:V,5,0),"")</f>
        <v/>
      </c>
      <c r="H425" s="254" t="str">
        <f t="array" ref="H425">IFERROR(INDEX('PORTIFÓLIO'!$H$4:$H$433,MATCH($C425,'PORTIFÓLIO'!$C$4:$C$433,0)),"")</f>
        <v/>
      </c>
      <c r="I425" s="256"/>
      <c r="J425" s="218">
        <f t="shared" si="47"/>
        <v>0</v>
      </c>
      <c r="K425" s="292" t="str">
        <f t="array" ref="K425">IFERROR(I425*INDEX('PORTIFÓLIO'!$S$4:$S$433,MATCH($C425,'PORTIFÓLIO'!$C$4:$C$433,0)),"")</f>
        <v/>
      </c>
      <c r="L425" s="292" t="str">
        <f t="array" ref="L425">IFERROR(J425*INDEX('PORTIFÓLIO'!$S$4:$S$433,MATCH($C425,'PORTIFÓLIO'!$C$4:$C$433,0)),"")</f>
        <v/>
      </c>
      <c r="M425" s="220"/>
      <c r="N425" s="220"/>
      <c r="O425" s="220"/>
      <c r="P425" s="220"/>
      <c r="Q425" s="220"/>
      <c r="R425" s="220"/>
      <c r="S425" s="220"/>
      <c r="T425" s="220"/>
      <c r="U425" s="220"/>
      <c r="V425" s="220"/>
      <c r="W425" s="220"/>
    </row>
    <row r="426" ht="15.75" customHeight="1" outlineLevel="1">
      <c r="A426" s="211"/>
      <c r="B426" s="227"/>
      <c r="C426" s="211"/>
      <c r="D426" s="214" t="str">
        <f>IFERROR(VLOOKUP($C426,'PORTIFÓLIO'!C:V,2,0),"")</f>
        <v/>
      </c>
      <c r="E426" s="211" t="str">
        <f>IFERROR(VLOOKUP($C426,'PORTIFÓLIO'!C:V,3,0),"")</f>
        <v/>
      </c>
      <c r="F426" s="211" t="str">
        <f>IFERROR(VLOOKUP($C426,'PORTIFÓLIO'!C:V,4,0),"")</f>
        <v/>
      </c>
      <c r="G426" s="215" t="str">
        <f>IFERROR(VLOOKUP($C426,'PORTIFÓLIO'!C:V,5,0),"")</f>
        <v/>
      </c>
      <c r="H426" s="254" t="str">
        <f t="array" ref="H426">IFERROR(INDEX('PORTIFÓLIO'!$H$4:$H$433,MATCH($C426,'PORTIFÓLIO'!$C$4:$C$433,0)),"")</f>
        <v/>
      </c>
      <c r="I426" s="256"/>
      <c r="J426" s="218">
        <f t="shared" si="47"/>
        <v>0</v>
      </c>
      <c r="K426" s="292" t="str">
        <f t="array" ref="K426">IFERROR(I426*INDEX('PORTIFÓLIO'!$S$4:$S$433,MATCH($C426,'PORTIFÓLIO'!$C$4:$C$433,0)),"")</f>
        <v/>
      </c>
      <c r="L426" s="292" t="str">
        <f t="array" ref="L426">IFERROR(J426*INDEX('PORTIFÓLIO'!$S$4:$S$433,MATCH($C426,'PORTIFÓLIO'!$C$4:$C$433,0)),"")</f>
        <v/>
      </c>
      <c r="U426" s="79"/>
    </row>
    <row r="427" ht="15.75" customHeight="1">
      <c r="A427" s="229" t="s">
        <v>1202</v>
      </c>
      <c r="B427" s="230"/>
      <c r="C427" s="231"/>
      <c r="D427" s="232"/>
      <c r="E427" s="231"/>
      <c r="F427" s="231"/>
      <c r="G427" s="233"/>
      <c r="H427" s="233"/>
      <c r="I427" s="258"/>
      <c r="J427" s="236"/>
      <c r="K427" s="237">
        <f t="shared" ref="K427:L427" si="48">SUBTOTAL(9,K428:K441)</f>
        <v>0</v>
      </c>
      <c r="L427" s="237">
        <f t="shared" si="48"/>
        <v>0</v>
      </c>
      <c r="U427" s="79"/>
    </row>
    <row r="428" ht="15.75" customHeight="1" outlineLevel="1">
      <c r="A428" s="213"/>
      <c r="B428" s="212"/>
      <c r="C428" s="213"/>
      <c r="D428" s="214" t="str">
        <f>IFERROR(VLOOKUP($C428,'PORTIFÓLIO'!C:V,2,0),"")</f>
        <v/>
      </c>
      <c r="E428" s="211" t="str">
        <f>IFERROR(VLOOKUP($C428,'PORTIFÓLIO'!C:V,3,0),"")</f>
        <v/>
      </c>
      <c r="F428" s="211" t="str">
        <f>IFERROR(VLOOKUP($C428,'PORTIFÓLIO'!C:V,4,0),"")</f>
        <v/>
      </c>
      <c r="G428" s="215" t="str">
        <f>IFERROR(VLOOKUP($C428,'PORTIFÓLIO'!C:V,5,0),"")</f>
        <v/>
      </c>
      <c r="H428" s="254" t="str">
        <f t="array" ref="H428">IFERROR(INDEX('PORTIFÓLIO'!$H$4:$H$433,MATCH($C428,'PORTIFÓLIO'!$C$4:$C$433,0)),"")</f>
        <v/>
      </c>
      <c r="I428" s="256"/>
      <c r="J428" s="218">
        <f t="shared" ref="J428:J451" si="49">I428*$B$2</f>
        <v>0</v>
      </c>
      <c r="K428" s="292" t="str">
        <f t="array" ref="K428">IFERROR(I428*INDEX('PORTIFÓLIO'!$S$4:$S$433,MATCH($C428,'PORTIFÓLIO'!$C$4:$C$433,0)),"")</f>
        <v/>
      </c>
      <c r="L428" s="292" t="str">
        <f t="array" ref="L428">IFERROR(J428*INDEX('PORTIFÓLIO'!$S$4:$S$433,MATCH($C428,'PORTIFÓLIO'!$C$4:$C$433,0)),"")</f>
        <v/>
      </c>
      <c r="U428" s="79"/>
    </row>
    <row r="429" ht="15.75" customHeight="1" outlineLevel="1">
      <c r="A429" s="211"/>
      <c r="B429" s="212"/>
      <c r="C429" s="213"/>
      <c r="D429" s="214" t="str">
        <f>IFERROR(VLOOKUP($C429,'PORTIFÓLIO'!C:V,2,0),"")</f>
        <v/>
      </c>
      <c r="E429" s="211" t="str">
        <f>IFERROR(VLOOKUP($C429,'PORTIFÓLIO'!C:V,3,0),"")</f>
        <v/>
      </c>
      <c r="F429" s="211" t="str">
        <f>IFERROR(VLOOKUP($C429,'PORTIFÓLIO'!C:V,4,0),"")</f>
        <v/>
      </c>
      <c r="G429" s="215" t="str">
        <f>IFERROR(VLOOKUP($C429,'PORTIFÓLIO'!C:V,5,0),"")</f>
        <v/>
      </c>
      <c r="H429" s="254" t="str">
        <f t="array" ref="H429">IFERROR(INDEX('PORTIFÓLIO'!$H$4:$H$433,MATCH($C429,'PORTIFÓLIO'!$C$4:$C$433,0)),"")</f>
        <v/>
      </c>
      <c r="I429" s="256"/>
      <c r="J429" s="218">
        <f t="shared" si="49"/>
        <v>0</v>
      </c>
      <c r="K429" s="292" t="str">
        <f t="array" ref="K429">IFERROR(I429*INDEX('PORTIFÓLIO'!$S$4:$S$433,MATCH($C429,'PORTIFÓLIO'!$C$4:$C$433,0)),"")</f>
        <v/>
      </c>
      <c r="L429" s="292" t="str">
        <f t="array" ref="L429">IFERROR(J429*INDEX('PORTIFÓLIO'!$S$4:$S$433,MATCH($C429,'PORTIFÓLIO'!$C$4:$C$433,0)),"")</f>
        <v/>
      </c>
      <c r="U429" s="79"/>
    </row>
    <row r="430" ht="15.75" customHeight="1" outlineLevel="1">
      <c r="A430" s="211"/>
      <c r="B430" s="212"/>
      <c r="C430" s="213"/>
      <c r="D430" s="214" t="str">
        <f>IFERROR(VLOOKUP($C430,'PORTIFÓLIO'!C:V,2,0),"")</f>
        <v/>
      </c>
      <c r="E430" s="211" t="str">
        <f>IFERROR(VLOOKUP($C430,'PORTIFÓLIO'!C:V,3,0),"")</f>
        <v/>
      </c>
      <c r="F430" s="211" t="str">
        <f>IFERROR(VLOOKUP($C430,'PORTIFÓLIO'!C:V,4,0),"")</f>
        <v/>
      </c>
      <c r="G430" s="215" t="str">
        <f>IFERROR(VLOOKUP($C430,'PORTIFÓLIO'!C:V,5,0),"")</f>
        <v/>
      </c>
      <c r="H430" s="254" t="str">
        <f t="array" ref="H430">IFERROR(INDEX('PORTIFÓLIO'!$H$4:$H$433,MATCH($C430,'PORTIFÓLIO'!$C$4:$C$433,0)),"")</f>
        <v/>
      </c>
      <c r="I430" s="256"/>
      <c r="J430" s="218">
        <f t="shared" si="49"/>
        <v>0</v>
      </c>
      <c r="K430" s="292" t="str">
        <f t="array" ref="K430">IFERROR(I430*INDEX('PORTIFÓLIO'!$S$4:$S$433,MATCH($C430,'PORTIFÓLIO'!$C$4:$C$433,0)),"")</f>
        <v/>
      </c>
      <c r="L430" s="292" t="str">
        <f t="array" ref="L430">IFERROR(J430*INDEX('PORTIFÓLIO'!$S$4:$S$433,MATCH($C430,'PORTIFÓLIO'!$C$4:$C$433,0)),"")</f>
        <v/>
      </c>
      <c r="U430" s="79"/>
    </row>
    <row r="431" ht="15.75" customHeight="1" outlineLevel="1">
      <c r="A431" s="211"/>
      <c r="B431" s="212"/>
      <c r="C431" s="213"/>
      <c r="D431" s="214" t="str">
        <f>IFERROR(VLOOKUP($C431,'PORTIFÓLIO'!C:V,2,0),"")</f>
        <v/>
      </c>
      <c r="E431" s="211" t="str">
        <f>IFERROR(VLOOKUP($C431,'PORTIFÓLIO'!C:V,3,0),"")</f>
        <v/>
      </c>
      <c r="F431" s="211" t="str">
        <f>IFERROR(VLOOKUP($C431,'PORTIFÓLIO'!C:V,4,0),"")</f>
        <v/>
      </c>
      <c r="G431" s="215" t="str">
        <f>IFERROR(VLOOKUP($C431,'PORTIFÓLIO'!C:V,5,0),"")</f>
        <v/>
      </c>
      <c r="H431" s="254" t="str">
        <f t="array" ref="H431">IFERROR(INDEX('PORTIFÓLIO'!$H$4:$H$433,MATCH($C431,'PORTIFÓLIO'!$C$4:$C$433,0)),"")</f>
        <v/>
      </c>
      <c r="I431" s="256"/>
      <c r="J431" s="218">
        <f t="shared" si="49"/>
        <v>0</v>
      </c>
      <c r="K431" s="292" t="str">
        <f t="array" ref="K431">IFERROR(I431*INDEX('PORTIFÓLIO'!$S$4:$S$433,MATCH($C431,'PORTIFÓLIO'!$C$4:$C$433,0)),"")</f>
        <v/>
      </c>
      <c r="L431" s="292" t="str">
        <f t="array" ref="L431">IFERROR(J431*INDEX('PORTIFÓLIO'!$S$4:$S$433,MATCH($C431,'PORTIFÓLIO'!$C$4:$C$433,0)),"")</f>
        <v/>
      </c>
      <c r="U431" s="79"/>
    </row>
    <row r="432" ht="15.75" customHeight="1" outlineLevel="1">
      <c r="A432" s="211"/>
      <c r="B432" s="212"/>
      <c r="C432" s="213"/>
      <c r="D432" s="214" t="str">
        <f>IFERROR(VLOOKUP($C432,'PORTIFÓLIO'!C:V,2,0),"")</f>
        <v/>
      </c>
      <c r="E432" s="211" t="str">
        <f>IFERROR(VLOOKUP($C432,'PORTIFÓLIO'!C:V,3,0),"")</f>
        <v/>
      </c>
      <c r="F432" s="211" t="str">
        <f>IFERROR(VLOOKUP($C432,'PORTIFÓLIO'!C:V,4,0),"")</f>
        <v/>
      </c>
      <c r="G432" s="215" t="str">
        <f>IFERROR(VLOOKUP($C432,'PORTIFÓLIO'!C:V,5,0),"")</f>
        <v/>
      </c>
      <c r="H432" s="254" t="str">
        <f t="array" ref="H432">IFERROR(INDEX('PORTIFÓLIO'!$H$4:$H$433,MATCH($C432,'PORTIFÓLIO'!$C$4:$C$433,0)),"")</f>
        <v/>
      </c>
      <c r="I432" s="256"/>
      <c r="J432" s="218">
        <f t="shared" si="49"/>
        <v>0</v>
      </c>
      <c r="K432" s="292" t="str">
        <f t="array" ref="K432">IFERROR(I432*INDEX('PORTIFÓLIO'!$S$4:$S$433,MATCH($C432,'PORTIFÓLIO'!$C$4:$C$433,0)),"")</f>
        <v/>
      </c>
      <c r="L432" s="292" t="str">
        <f t="array" ref="L432">IFERROR(J432*INDEX('PORTIFÓLIO'!$S$4:$S$433,MATCH($C432,'PORTIFÓLIO'!$C$4:$C$433,0)),"")</f>
        <v/>
      </c>
      <c r="U432" s="79"/>
    </row>
    <row r="433" ht="15.75" customHeight="1" outlineLevel="1">
      <c r="A433" s="211"/>
      <c r="B433" s="212"/>
      <c r="C433" s="213"/>
      <c r="D433" s="214" t="str">
        <f>IFERROR(VLOOKUP($C433,'PORTIFÓLIO'!C:V,2,0),"")</f>
        <v/>
      </c>
      <c r="E433" s="211" t="str">
        <f>IFERROR(VLOOKUP($C433,'PORTIFÓLIO'!C:V,3,0),"")</f>
        <v/>
      </c>
      <c r="F433" s="211" t="str">
        <f>IFERROR(VLOOKUP($C433,'PORTIFÓLIO'!C:V,4,0),"")</f>
        <v/>
      </c>
      <c r="G433" s="215" t="str">
        <f>IFERROR(VLOOKUP($C433,'PORTIFÓLIO'!C:V,5,0),"")</f>
        <v/>
      </c>
      <c r="H433" s="254" t="str">
        <f t="array" ref="H433">IFERROR(INDEX('PORTIFÓLIO'!$H$4:$H$433,MATCH($C433,'PORTIFÓLIO'!$C$4:$C$433,0)),"")</f>
        <v/>
      </c>
      <c r="I433" s="256"/>
      <c r="J433" s="218">
        <f t="shared" si="49"/>
        <v>0</v>
      </c>
      <c r="K433" s="292" t="str">
        <f t="array" ref="K433">IFERROR(I433*INDEX('PORTIFÓLIO'!$S$4:$S$433,MATCH($C433,'PORTIFÓLIO'!$C$4:$C$433,0)),"")</f>
        <v/>
      </c>
      <c r="L433" s="292" t="str">
        <f t="array" ref="L433">IFERROR(J433*INDEX('PORTIFÓLIO'!$S$4:$S$433,MATCH($C433,'PORTIFÓLIO'!$C$4:$C$433,0)),"")</f>
        <v/>
      </c>
      <c r="U433" s="79"/>
    </row>
    <row r="434" ht="15.75" customHeight="1" outlineLevel="1">
      <c r="A434" s="211"/>
      <c r="B434" s="212"/>
      <c r="C434" s="213"/>
      <c r="D434" s="214" t="str">
        <f>IFERROR(VLOOKUP($C434,'PORTIFÓLIO'!C:V,2,0),"")</f>
        <v/>
      </c>
      <c r="E434" s="211" t="str">
        <f>IFERROR(VLOOKUP($C434,'PORTIFÓLIO'!C:V,3,0),"")</f>
        <v/>
      </c>
      <c r="F434" s="211" t="str">
        <f>IFERROR(VLOOKUP($C434,'PORTIFÓLIO'!C:V,4,0),"")</f>
        <v/>
      </c>
      <c r="G434" s="215" t="str">
        <f>IFERROR(VLOOKUP($C434,'PORTIFÓLIO'!C:V,5,0),"")</f>
        <v/>
      </c>
      <c r="H434" s="254" t="str">
        <f t="array" ref="H434">IFERROR(INDEX('PORTIFÓLIO'!$H$4:$H$433,MATCH($C434,'PORTIFÓLIO'!$C$4:$C$433,0)),"")</f>
        <v/>
      </c>
      <c r="I434" s="256"/>
      <c r="J434" s="218">
        <f t="shared" si="49"/>
        <v>0</v>
      </c>
      <c r="K434" s="292" t="str">
        <f t="array" ref="K434">IFERROR(I434*INDEX('PORTIFÓLIO'!$S$4:$S$433,MATCH($C434,'PORTIFÓLIO'!$C$4:$C$433,0)),"")</f>
        <v/>
      </c>
      <c r="L434" s="292" t="str">
        <f t="array" ref="L434">IFERROR(J434*INDEX('PORTIFÓLIO'!$S$4:$S$433,MATCH($C434,'PORTIFÓLIO'!$C$4:$C$433,0)),"")</f>
        <v/>
      </c>
      <c r="U434" s="79"/>
    </row>
    <row r="435" ht="15.75" customHeight="1" outlineLevel="1">
      <c r="A435" s="211"/>
      <c r="B435" s="212"/>
      <c r="C435" s="213"/>
      <c r="D435" s="214" t="str">
        <f>IFERROR(VLOOKUP($C435,'PORTIFÓLIO'!C:V,2,0),"")</f>
        <v/>
      </c>
      <c r="E435" s="211" t="str">
        <f>IFERROR(VLOOKUP($C435,'PORTIFÓLIO'!C:V,3,0),"")</f>
        <v/>
      </c>
      <c r="F435" s="211" t="str">
        <f>IFERROR(VLOOKUP($C435,'PORTIFÓLIO'!C:V,4,0),"")</f>
        <v/>
      </c>
      <c r="G435" s="215" t="str">
        <f>IFERROR(VLOOKUP($C435,'PORTIFÓLIO'!C:V,5,0),"")</f>
        <v/>
      </c>
      <c r="H435" s="254" t="str">
        <f t="array" ref="H435">IFERROR(INDEX('PORTIFÓLIO'!$H$4:$H$433,MATCH($C435,'PORTIFÓLIO'!$C$4:$C$433,0)),"")</f>
        <v/>
      </c>
      <c r="I435" s="256"/>
      <c r="J435" s="218">
        <f t="shared" si="49"/>
        <v>0</v>
      </c>
      <c r="K435" s="292" t="str">
        <f t="array" ref="K435">IFERROR(I435*INDEX('PORTIFÓLIO'!$S$4:$S$433,MATCH($C435,'PORTIFÓLIO'!$C$4:$C$433,0)),"")</f>
        <v/>
      </c>
      <c r="L435" s="292" t="str">
        <f t="array" ref="L435">IFERROR(J435*INDEX('PORTIFÓLIO'!$S$4:$S$433,MATCH($C435,'PORTIFÓLIO'!$C$4:$C$433,0)),"")</f>
        <v/>
      </c>
      <c r="U435" s="79"/>
    </row>
    <row r="436" ht="15.75" customHeight="1" outlineLevel="1">
      <c r="A436" s="211"/>
      <c r="B436" s="212"/>
      <c r="C436" s="213"/>
      <c r="D436" s="214" t="str">
        <f>IFERROR(VLOOKUP($C436,'PORTIFÓLIO'!C:V,2,0),"")</f>
        <v/>
      </c>
      <c r="E436" s="211" t="str">
        <f>IFERROR(VLOOKUP($C436,'PORTIFÓLIO'!C:V,3,0),"")</f>
        <v/>
      </c>
      <c r="F436" s="211" t="str">
        <f>IFERROR(VLOOKUP($C436,'PORTIFÓLIO'!C:V,4,0),"")</f>
        <v/>
      </c>
      <c r="G436" s="215" t="str">
        <f>IFERROR(VLOOKUP($C436,'PORTIFÓLIO'!C:V,5,0),"")</f>
        <v/>
      </c>
      <c r="H436" s="254" t="str">
        <f t="array" ref="H436">IFERROR(INDEX('PORTIFÓLIO'!$H$4:$H$433,MATCH($C436,'PORTIFÓLIO'!$C$4:$C$433,0)),"")</f>
        <v/>
      </c>
      <c r="I436" s="256"/>
      <c r="J436" s="218">
        <f t="shared" si="49"/>
        <v>0</v>
      </c>
      <c r="K436" s="292" t="str">
        <f t="array" ref="K436">IFERROR(I436*INDEX('PORTIFÓLIO'!$S$4:$S$433,MATCH($C436,'PORTIFÓLIO'!$C$4:$C$433,0)),"")</f>
        <v/>
      </c>
      <c r="L436" s="292" t="str">
        <f t="array" ref="L436">IFERROR(J436*INDEX('PORTIFÓLIO'!$S$4:$S$433,MATCH($C436,'PORTIFÓLIO'!$C$4:$C$433,0)),"")</f>
        <v/>
      </c>
      <c r="U436" s="79"/>
    </row>
    <row r="437" ht="15.75" customHeight="1" outlineLevel="1">
      <c r="A437" s="211"/>
      <c r="B437" s="212"/>
      <c r="C437" s="213"/>
      <c r="D437" s="214" t="str">
        <f>IFERROR(VLOOKUP($C437,'PORTIFÓLIO'!C:V,2,0),"")</f>
        <v/>
      </c>
      <c r="E437" s="211" t="str">
        <f>IFERROR(VLOOKUP($C437,'PORTIFÓLIO'!C:V,3,0),"")</f>
        <v/>
      </c>
      <c r="F437" s="211" t="str">
        <f>IFERROR(VLOOKUP($C437,'PORTIFÓLIO'!C:V,4,0),"")</f>
        <v/>
      </c>
      <c r="G437" s="215" t="str">
        <f>IFERROR(VLOOKUP($C437,'PORTIFÓLIO'!C:V,5,0),"")</f>
        <v/>
      </c>
      <c r="H437" s="254" t="str">
        <f t="array" ref="H437">IFERROR(INDEX('PORTIFÓLIO'!$H$4:$H$433,MATCH($C437,'PORTIFÓLIO'!$C$4:$C$433,0)),"")</f>
        <v/>
      </c>
      <c r="I437" s="256"/>
      <c r="J437" s="218">
        <f t="shared" si="49"/>
        <v>0</v>
      </c>
      <c r="K437" s="292" t="str">
        <f t="array" ref="K437">IFERROR(I437*INDEX('PORTIFÓLIO'!$S$4:$S$433,MATCH($C437,'PORTIFÓLIO'!$C$4:$C$433,0)),"")</f>
        <v/>
      </c>
      <c r="L437" s="292" t="str">
        <f t="array" ref="L437">IFERROR(J437*INDEX('PORTIFÓLIO'!$S$4:$S$433,MATCH($C437,'PORTIFÓLIO'!$C$4:$C$433,0)),"")</f>
        <v/>
      </c>
      <c r="U437" s="79"/>
    </row>
    <row r="438" ht="15.75" customHeight="1" outlineLevel="1">
      <c r="A438" s="211"/>
      <c r="B438" s="212"/>
      <c r="C438" s="213"/>
      <c r="D438" s="214" t="str">
        <f>IFERROR(VLOOKUP($C438,'PORTIFÓLIO'!C:V,2,0),"")</f>
        <v/>
      </c>
      <c r="E438" s="211" t="str">
        <f>IFERROR(VLOOKUP($C438,'PORTIFÓLIO'!C:V,3,0),"")</f>
        <v/>
      </c>
      <c r="F438" s="211" t="str">
        <f>IFERROR(VLOOKUP($C438,'PORTIFÓLIO'!C:V,4,0),"")</f>
        <v/>
      </c>
      <c r="G438" s="215" t="str">
        <f>IFERROR(VLOOKUP($C438,'PORTIFÓLIO'!C:V,5,0),"")</f>
        <v/>
      </c>
      <c r="H438" s="254" t="str">
        <f t="array" ref="H438">IFERROR(INDEX('PORTIFÓLIO'!$H$4:$H$433,MATCH($C438,'PORTIFÓLIO'!$C$4:$C$433,0)),"")</f>
        <v/>
      </c>
      <c r="I438" s="256"/>
      <c r="J438" s="218">
        <f t="shared" si="49"/>
        <v>0</v>
      </c>
      <c r="K438" s="292" t="str">
        <f t="array" ref="K438">IFERROR(I438*INDEX('PORTIFÓLIO'!$S$4:$S$433,MATCH($C438,'PORTIFÓLIO'!$C$4:$C$433,0)),"")</f>
        <v/>
      </c>
      <c r="L438" s="292" t="str">
        <f t="array" ref="L438">IFERROR(J438*INDEX('PORTIFÓLIO'!$S$4:$S$433,MATCH($C438,'PORTIFÓLIO'!$C$4:$C$433,0)),"")</f>
        <v/>
      </c>
      <c r="U438" s="79"/>
    </row>
    <row r="439" ht="15.75" customHeight="1" outlineLevel="1">
      <c r="A439" s="211"/>
      <c r="B439" s="212"/>
      <c r="C439" s="213"/>
      <c r="D439" s="214" t="str">
        <f>IFERROR(VLOOKUP($C439,'PORTIFÓLIO'!C:V,2,0),"")</f>
        <v/>
      </c>
      <c r="E439" s="211" t="str">
        <f>IFERROR(VLOOKUP($C439,'PORTIFÓLIO'!C:V,3,0),"")</f>
        <v/>
      </c>
      <c r="F439" s="211" t="str">
        <f>IFERROR(VLOOKUP($C439,'PORTIFÓLIO'!C:V,4,0),"")</f>
        <v/>
      </c>
      <c r="G439" s="215" t="str">
        <f>IFERROR(VLOOKUP($C439,'PORTIFÓLIO'!C:V,5,0),"")</f>
        <v/>
      </c>
      <c r="H439" s="254" t="str">
        <f t="array" ref="H439">IFERROR(INDEX('PORTIFÓLIO'!$H$4:$H$433,MATCH($C439,'PORTIFÓLIO'!$C$4:$C$433,0)),"")</f>
        <v/>
      </c>
      <c r="I439" s="256"/>
      <c r="J439" s="218">
        <f t="shared" si="49"/>
        <v>0</v>
      </c>
      <c r="K439" s="292" t="str">
        <f t="array" ref="K439">IFERROR(I439*INDEX('PORTIFÓLIO'!$S$4:$S$433,MATCH($C439,'PORTIFÓLIO'!$C$4:$C$433,0)),"")</f>
        <v/>
      </c>
      <c r="L439" s="292" t="str">
        <f t="array" ref="L439">IFERROR(J439*INDEX('PORTIFÓLIO'!$S$4:$S$433,MATCH($C439,'PORTIFÓLIO'!$C$4:$C$433,0)),"")</f>
        <v/>
      </c>
      <c r="U439" s="79"/>
    </row>
    <row r="440" ht="15.75" customHeight="1" outlineLevel="1">
      <c r="A440" s="211"/>
      <c r="B440" s="212"/>
      <c r="C440" s="213"/>
      <c r="D440" s="214" t="str">
        <f>IFERROR(VLOOKUP($C440,'PORTIFÓLIO'!C:V,2,0),"")</f>
        <v/>
      </c>
      <c r="E440" s="211" t="str">
        <f>IFERROR(VLOOKUP($C440,'PORTIFÓLIO'!C:V,3,0),"")</f>
        <v/>
      </c>
      <c r="F440" s="211" t="str">
        <f>IFERROR(VLOOKUP($C440,'PORTIFÓLIO'!C:V,4,0),"")</f>
        <v/>
      </c>
      <c r="G440" s="215" t="str">
        <f>IFERROR(VLOOKUP($C440,'PORTIFÓLIO'!C:V,5,0),"")</f>
        <v/>
      </c>
      <c r="H440" s="254" t="str">
        <f t="array" ref="H440">IFERROR(INDEX('PORTIFÓLIO'!$H$4:$H$433,MATCH($C440,'PORTIFÓLIO'!$C$4:$C$433,0)),"")</f>
        <v/>
      </c>
      <c r="I440" s="256"/>
      <c r="J440" s="218">
        <f t="shared" si="49"/>
        <v>0</v>
      </c>
      <c r="K440" s="292" t="str">
        <f t="array" ref="K440">IFERROR(I440*INDEX('PORTIFÓLIO'!$S$4:$S$433,MATCH($C440,'PORTIFÓLIO'!$C$4:$C$433,0)),"")</f>
        <v/>
      </c>
      <c r="L440" s="292" t="str">
        <f t="array" ref="L440">IFERROR(J440*INDEX('PORTIFÓLIO'!$S$4:$S$433,MATCH($C440,'PORTIFÓLIO'!$C$4:$C$433,0)),"")</f>
        <v/>
      </c>
      <c r="U440" s="79"/>
    </row>
    <row r="441" ht="15.75" customHeight="1" outlineLevel="1">
      <c r="A441" s="211"/>
      <c r="B441" s="212"/>
      <c r="C441" s="213"/>
      <c r="D441" s="214" t="str">
        <f>IFERROR(VLOOKUP($C441,'PORTIFÓLIO'!C:V,2,0),"")</f>
        <v/>
      </c>
      <c r="E441" s="211" t="str">
        <f>IFERROR(VLOOKUP($C441,'PORTIFÓLIO'!C:V,3,0),"")</f>
        <v/>
      </c>
      <c r="F441" s="211" t="str">
        <f>IFERROR(VLOOKUP($C441,'PORTIFÓLIO'!C:V,4,0),"")</f>
        <v/>
      </c>
      <c r="G441" s="215" t="str">
        <f>IFERROR(VLOOKUP($C441,'PORTIFÓLIO'!C:V,5,0),"")</f>
        <v/>
      </c>
      <c r="H441" s="254" t="str">
        <f t="array" ref="H441">IFERROR(INDEX('PORTIFÓLIO'!$H$4:$H$433,MATCH($C441,'PORTIFÓLIO'!$C$4:$C$433,0)),"")</f>
        <v/>
      </c>
      <c r="I441" s="256"/>
      <c r="J441" s="218">
        <f t="shared" si="49"/>
        <v>0</v>
      </c>
      <c r="K441" s="292" t="str">
        <f t="array" ref="K441">IFERROR(I441*INDEX('PORTIFÓLIO'!$S$4:$S$433,MATCH($C441,'PORTIFÓLIO'!$C$4:$C$433,0)),"")</f>
        <v/>
      </c>
      <c r="L441" s="292" t="str">
        <f t="array" ref="L441">IFERROR(J441*INDEX('PORTIFÓLIO'!$S$4:$S$433,MATCH($C441,'PORTIFÓLIO'!$C$4:$C$433,0)),"")</f>
        <v/>
      </c>
      <c r="U441" s="79"/>
    </row>
    <row r="442" ht="15.75" customHeight="1" outlineLevel="1">
      <c r="A442" s="211"/>
      <c r="B442" s="212"/>
      <c r="C442" s="213"/>
      <c r="D442" s="214" t="str">
        <f>IFERROR(VLOOKUP($C442,'PORTIFÓLIO'!C:V,2,0),"")</f>
        <v/>
      </c>
      <c r="E442" s="211" t="str">
        <f>IFERROR(VLOOKUP($C442,'PORTIFÓLIO'!C:V,3,0),"")</f>
        <v/>
      </c>
      <c r="F442" s="211" t="str">
        <f>IFERROR(VLOOKUP($C442,'PORTIFÓLIO'!C:V,4,0),"")</f>
        <v/>
      </c>
      <c r="G442" s="215" t="str">
        <f>IFERROR(VLOOKUP($C442,'PORTIFÓLIO'!C:V,5,0),"")</f>
        <v/>
      </c>
      <c r="H442" s="254" t="str">
        <f t="array" ref="H442">IFERROR(INDEX('PORTIFÓLIO'!$H$4:$H$433,MATCH($C442,'PORTIFÓLIO'!$C$4:$C$433,0)),"")</f>
        <v/>
      </c>
      <c r="I442" s="256"/>
      <c r="J442" s="218">
        <f t="shared" si="49"/>
        <v>0</v>
      </c>
      <c r="K442" s="292" t="str">
        <f t="array" ref="K442">IFERROR(I442*INDEX('PORTIFÓLIO'!$S$4:$S$433,MATCH($C442,'PORTIFÓLIO'!$C$4:$C$433,0)),"")</f>
        <v/>
      </c>
      <c r="L442" s="292" t="str">
        <f t="array" ref="L442">IFERROR(J442*INDEX('PORTIFÓLIO'!$S$4:$S$433,MATCH($C442,'PORTIFÓLIO'!$C$4:$C$433,0)),"")</f>
        <v/>
      </c>
      <c r="U442" s="79"/>
    </row>
    <row r="443" ht="15.75" customHeight="1" outlineLevel="1">
      <c r="A443" s="211"/>
      <c r="B443" s="227"/>
      <c r="C443" s="211"/>
      <c r="D443" s="214" t="str">
        <f>IFERROR(VLOOKUP($C443,'PORTIFÓLIO'!C:V,2,0),"")</f>
        <v/>
      </c>
      <c r="E443" s="211" t="str">
        <f>IFERROR(VLOOKUP($C443,'PORTIFÓLIO'!C:V,3,0),"")</f>
        <v/>
      </c>
      <c r="F443" s="211" t="str">
        <f>IFERROR(VLOOKUP($C443,'PORTIFÓLIO'!C:V,4,0),"")</f>
        <v/>
      </c>
      <c r="G443" s="215" t="str">
        <f>IFERROR(VLOOKUP($C443,'PORTIFÓLIO'!C:V,5,0),"")</f>
        <v/>
      </c>
      <c r="H443" s="254" t="str">
        <f t="array" ref="H443">IFERROR(INDEX('PORTIFÓLIO'!$H$4:$H$433,MATCH($C443,'PORTIFÓLIO'!$C$4:$C$433,0)),"")</f>
        <v/>
      </c>
      <c r="I443" s="256"/>
      <c r="J443" s="218">
        <f t="shared" si="49"/>
        <v>0</v>
      </c>
      <c r="K443" s="292" t="str">
        <f t="array" ref="K443">IFERROR(I443*INDEX('PORTIFÓLIO'!$S$4:$S$433,MATCH($C443,'PORTIFÓLIO'!$C$4:$C$433,0)),"")</f>
        <v/>
      </c>
      <c r="L443" s="292" t="str">
        <f t="array" ref="L443">IFERROR(J443*INDEX('PORTIFÓLIO'!$S$4:$S$433,MATCH($C443,'PORTIFÓLIO'!$C$4:$C$433,0)),"")</f>
        <v/>
      </c>
      <c r="U443" s="79"/>
    </row>
    <row r="444" ht="15.75" customHeight="1" outlineLevel="1">
      <c r="A444" s="211"/>
      <c r="B444" s="227"/>
      <c r="C444" s="211"/>
      <c r="D444" s="214" t="str">
        <f>IFERROR(VLOOKUP($C444,'PORTIFÓLIO'!C:V,2,0),"")</f>
        <v/>
      </c>
      <c r="E444" s="211" t="str">
        <f>IFERROR(VLOOKUP($C444,'PORTIFÓLIO'!C:V,3,0),"")</f>
        <v/>
      </c>
      <c r="F444" s="211" t="str">
        <f>IFERROR(VLOOKUP($C444,'PORTIFÓLIO'!C:V,4,0),"")</f>
        <v/>
      </c>
      <c r="G444" s="215" t="str">
        <f>IFERROR(VLOOKUP($C444,'PORTIFÓLIO'!C:V,5,0),"")</f>
        <v/>
      </c>
      <c r="H444" s="254" t="str">
        <f t="array" ref="H444">IFERROR(INDEX('PORTIFÓLIO'!$H$4:$H$433,MATCH($C444,'PORTIFÓLIO'!$C$4:$C$433,0)),"")</f>
        <v/>
      </c>
      <c r="I444" s="256"/>
      <c r="J444" s="218">
        <f t="shared" si="49"/>
        <v>0</v>
      </c>
      <c r="K444" s="292" t="str">
        <f t="array" ref="K444">IFERROR(I444*INDEX('PORTIFÓLIO'!$S$4:$S$433,MATCH($C444,'PORTIFÓLIO'!$C$4:$C$433,0)),"")</f>
        <v/>
      </c>
      <c r="L444" s="292" t="str">
        <f t="array" ref="L444">IFERROR(J444*INDEX('PORTIFÓLIO'!$S$4:$S$433,MATCH($C444,'PORTIFÓLIO'!$C$4:$C$433,0)),"")</f>
        <v/>
      </c>
      <c r="U444" s="79"/>
    </row>
    <row r="445" ht="15.75" customHeight="1" outlineLevel="1">
      <c r="A445" s="211"/>
      <c r="B445" s="227"/>
      <c r="C445" s="211"/>
      <c r="D445" s="214" t="str">
        <f>IFERROR(VLOOKUP($C445,'PORTIFÓLIO'!C:V,2,0),"")</f>
        <v/>
      </c>
      <c r="E445" s="211" t="str">
        <f>IFERROR(VLOOKUP($C445,'PORTIFÓLIO'!C:V,3,0),"")</f>
        <v/>
      </c>
      <c r="F445" s="211" t="str">
        <f>IFERROR(VLOOKUP($C445,'PORTIFÓLIO'!C:V,4,0),"")</f>
        <v/>
      </c>
      <c r="G445" s="215" t="str">
        <f>IFERROR(VLOOKUP($C445,'PORTIFÓLIO'!C:V,5,0),"")</f>
        <v/>
      </c>
      <c r="H445" s="254" t="str">
        <f t="array" ref="H445">IFERROR(INDEX('PORTIFÓLIO'!$H$4:$H$433,MATCH($C445,'PORTIFÓLIO'!$C$4:$C$433,0)),"")</f>
        <v/>
      </c>
      <c r="I445" s="256"/>
      <c r="J445" s="218">
        <f t="shared" si="49"/>
        <v>0</v>
      </c>
      <c r="K445" s="292" t="str">
        <f t="array" ref="K445">IFERROR(I445*INDEX('PORTIFÓLIO'!$S$4:$S$433,MATCH($C445,'PORTIFÓLIO'!$C$4:$C$433,0)),"")</f>
        <v/>
      </c>
      <c r="L445" s="292" t="str">
        <f t="array" ref="L445">IFERROR(J445*INDEX('PORTIFÓLIO'!$S$4:$S$433,MATCH($C445,'PORTIFÓLIO'!$C$4:$C$433,0)),"")</f>
        <v/>
      </c>
      <c r="U445" s="79"/>
    </row>
    <row r="446" ht="15.75" customHeight="1" outlineLevel="1">
      <c r="A446" s="211"/>
      <c r="B446" s="227"/>
      <c r="C446" s="211"/>
      <c r="D446" s="214" t="str">
        <f>IFERROR(VLOOKUP($C446,'PORTIFÓLIO'!C:V,2,0),"")</f>
        <v/>
      </c>
      <c r="E446" s="211" t="str">
        <f>IFERROR(VLOOKUP($C446,'PORTIFÓLIO'!C:V,3,0),"")</f>
        <v/>
      </c>
      <c r="F446" s="211" t="str">
        <f>IFERROR(VLOOKUP($C446,'PORTIFÓLIO'!C:V,4,0),"")</f>
        <v/>
      </c>
      <c r="G446" s="215" t="str">
        <f>IFERROR(VLOOKUP($C446,'PORTIFÓLIO'!C:V,5,0),"")</f>
        <v/>
      </c>
      <c r="H446" s="254" t="str">
        <f t="array" ref="H446">IFERROR(INDEX('PORTIFÓLIO'!$H$4:$H$433,MATCH($C446,'PORTIFÓLIO'!$C$4:$C$433,0)),"")</f>
        <v/>
      </c>
      <c r="I446" s="256"/>
      <c r="J446" s="218">
        <f t="shared" si="49"/>
        <v>0</v>
      </c>
      <c r="K446" s="292" t="str">
        <f t="array" ref="K446">IFERROR(I446*INDEX('PORTIFÓLIO'!$S$4:$S$433,MATCH($C446,'PORTIFÓLIO'!$C$4:$C$433,0)),"")</f>
        <v/>
      </c>
      <c r="L446" s="292" t="str">
        <f t="array" ref="L446">IFERROR(J446*INDEX('PORTIFÓLIO'!$S$4:$S$433,MATCH($C446,'PORTIFÓLIO'!$C$4:$C$433,0)),"")</f>
        <v/>
      </c>
      <c r="U446" s="79"/>
    </row>
    <row r="447" ht="15.75" customHeight="1" outlineLevel="1">
      <c r="A447" s="211"/>
      <c r="B447" s="227"/>
      <c r="C447" s="211"/>
      <c r="D447" s="214" t="str">
        <f>IFERROR(VLOOKUP($C447,'PORTIFÓLIO'!C:V,2,0),"")</f>
        <v/>
      </c>
      <c r="E447" s="211" t="str">
        <f>IFERROR(VLOOKUP($C447,'PORTIFÓLIO'!C:V,3,0),"")</f>
        <v/>
      </c>
      <c r="F447" s="211" t="str">
        <f>IFERROR(VLOOKUP($C447,'PORTIFÓLIO'!C:V,4,0),"")</f>
        <v/>
      </c>
      <c r="G447" s="215" t="str">
        <f>IFERROR(VLOOKUP($C447,'PORTIFÓLIO'!C:V,5,0),"")</f>
        <v/>
      </c>
      <c r="H447" s="254" t="str">
        <f t="array" ref="H447">IFERROR(INDEX('PORTIFÓLIO'!$H$4:$H$433,MATCH($C447,'PORTIFÓLIO'!$C$4:$C$433,0)),"")</f>
        <v/>
      </c>
      <c r="I447" s="256"/>
      <c r="J447" s="218">
        <f t="shared" si="49"/>
        <v>0</v>
      </c>
      <c r="K447" s="292" t="str">
        <f t="array" ref="K447">IFERROR(I447*INDEX('PORTIFÓLIO'!$S$4:$S$433,MATCH($C447,'PORTIFÓLIO'!$C$4:$C$433,0)),"")</f>
        <v/>
      </c>
      <c r="L447" s="292" t="str">
        <f t="array" ref="L447">IFERROR(J447*INDEX('PORTIFÓLIO'!$S$4:$S$433,MATCH($C447,'PORTIFÓLIO'!$C$4:$C$433,0)),"")</f>
        <v/>
      </c>
      <c r="U447" s="79"/>
    </row>
    <row r="448" ht="15.75" customHeight="1" outlineLevel="1">
      <c r="A448" s="211"/>
      <c r="B448" s="227"/>
      <c r="C448" s="211"/>
      <c r="D448" s="214" t="str">
        <f>IFERROR(VLOOKUP($C448,'PORTIFÓLIO'!C:V,2,0),"")</f>
        <v/>
      </c>
      <c r="E448" s="211" t="str">
        <f>IFERROR(VLOOKUP($C448,'PORTIFÓLIO'!C:V,3,0),"")</f>
        <v/>
      </c>
      <c r="F448" s="211" t="str">
        <f>IFERROR(VLOOKUP($C448,'PORTIFÓLIO'!C:V,4,0),"")</f>
        <v/>
      </c>
      <c r="G448" s="215" t="str">
        <f>IFERROR(VLOOKUP($C448,'PORTIFÓLIO'!C:V,5,0),"")</f>
        <v/>
      </c>
      <c r="H448" s="254" t="str">
        <f t="array" ref="H448">IFERROR(INDEX('PORTIFÓLIO'!$H$4:$H$433,MATCH($C448,'PORTIFÓLIO'!$C$4:$C$433,0)),"")</f>
        <v/>
      </c>
      <c r="I448" s="256"/>
      <c r="J448" s="218">
        <f t="shared" si="49"/>
        <v>0</v>
      </c>
      <c r="K448" s="292" t="str">
        <f t="array" ref="K448">IFERROR(I448*INDEX('PORTIFÓLIO'!$S$4:$S$433,MATCH($C448,'PORTIFÓLIO'!$C$4:$C$433,0)),"")</f>
        <v/>
      </c>
      <c r="L448" s="292" t="str">
        <f t="array" ref="L448">IFERROR(J448*INDEX('PORTIFÓLIO'!$S$4:$S$433,MATCH($C448,'PORTIFÓLIO'!$C$4:$C$433,0)),"")</f>
        <v/>
      </c>
      <c r="U448" s="79"/>
    </row>
    <row r="449" ht="15.75" customHeight="1" outlineLevel="1">
      <c r="A449" s="211"/>
      <c r="B449" s="227"/>
      <c r="C449" s="211"/>
      <c r="D449" s="214" t="str">
        <f>IFERROR(VLOOKUP($C449,'PORTIFÓLIO'!C:V,2,0),"")</f>
        <v/>
      </c>
      <c r="E449" s="211" t="str">
        <f>IFERROR(VLOOKUP($C449,'PORTIFÓLIO'!C:V,3,0),"")</f>
        <v/>
      </c>
      <c r="F449" s="211" t="str">
        <f>IFERROR(VLOOKUP($C449,'PORTIFÓLIO'!C:V,4,0),"")</f>
        <v/>
      </c>
      <c r="G449" s="215" t="str">
        <f>IFERROR(VLOOKUP($C449,'PORTIFÓLIO'!C:V,5,0),"")</f>
        <v/>
      </c>
      <c r="H449" s="254" t="str">
        <f t="array" ref="H449">IFERROR(INDEX('PORTIFÓLIO'!$H$4:$H$433,MATCH($C449,'PORTIFÓLIO'!$C$4:$C$433,0)),"")</f>
        <v/>
      </c>
      <c r="I449" s="256"/>
      <c r="J449" s="218">
        <f t="shared" si="49"/>
        <v>0</v>
      </c>
      <c r="K449" s="292" t="str">
        <f t="array" ref="K449">IFERROR(I449*INDEX('PORTIFÓLIO'!$S$4:$S$433,MATCH($C449,'PORTIFÓLIO'!$C$4:$C$433,0)),"")</f>
        <v/>
      </c>
      <c r="L449" s="292" t="str">
        <f t="array" ref="L449">IFERROR(J449*INDEX('PORTIFÓLIO'!$S$4:$S$433,MATCH($C449,'PORTIFÓLIO'!$C$4:$C$433,0)),"")</f>
        <v/>
      </c>
      <c r="U449" s="79"/>
    </row>
    <row r="450" ht="15.75" customHeight="1" outlineLevel="1">
      <c r="A450" s="211"/>
      <c r="B450" s="227"/>
      <c r="C450" s="211"/>
      <c r="D450" s="214" t="str">
        <f>IFERROR(VLOOKUP($C450,'PORTIFÓLIO'!C:V,2,0),"")</f>
        <v/>
      </c>
      <c r="E450" s="211" t="str">
        <f>IFERROR(VLOOKUP($C450,'PORTIFÓLIO'!C:V,3,0),"")</f>
        <v/>
      </c>
      <c r="F450" s="211" t="str">
        <f>IFERROR(VLOOKUP($C450,'PORTIFÓLIO'!C:V,4,0),"")</f>
        <v/>
      </c>
      <c r="G450" s="215" t="str">
        <f>IFERROR(VLOOKUP($C450,'PORTIFÓLIO'!C:V,5,0),"")</f>
        <v/>
      </c>
      <c r="H450" s="254" t="str">
        <f t="array" ref="H450">IFERROR(INDEX('PORTIFÓLIO'!$H$4:$H$433,MATCH($C450,'PORTIFÓLIO'!$C$4:$C$433,0)),"")</f>
        <v/>
      </c>
      <c r="I450" s="256"/>
      <c r="J450" s="218">
        <f t="shared" si="49"/>
        <v>0</v>
      </c>
      <c r="K450" s="292" t="str">
        <f t="array" ref="K450">IFERROR(I450*INDEX('PORTIFÓLIO'!$S$4:$S$433,MATCH($C450,'PORTIFÓLIO'!$C$4:$C$433,0)),"")</f>
        <v/>
      </c>
      <c r="L450" s="292" t="str">
        <f t="array" ref="L450">IFERROR(J450*INDEX('PORTIFÓLIO'!$S$4:$S$433,MATCH($C450,'PORTIFÓLIO'!$C$4:$C$433,0)),"")</f>
        <v/>
      </c>
      <c r="U450" s="79"/>
    </row>
    <row r="451" ht="15.75" customHeight="1" outlineLevel="1">
      <c r="A451" s="211"/>
      <c r="B451" s="227"/>
      <c r="C451" s="211"/>
      <c r="D451" s="214" t="str">
        <f>IFERROR(VLOOKUP($C451,'PORTIFÓLIO'!C:V,2,0),"")</f>
        <v/>
      </c>
      <c r="E451" s="211" t="str">
        <f>IFERROR(VLOOKUP($C451,'PORTIFÓLIO'!C:V,3,0),"")</f>
        <v/>
      </c>
      <c r="F451" s="211" t="str">
        <f>IFERROR(VLOOKUP($C451,'PORTIFÓLIO'!C:V,4,0),"")</f>
        <v/>
      </c>
      <c r="G451" s="215" t="str">
        <f>IFERROR(VLOOKUP($C451,'PORTIFÓLIO'!C:V,5,0),"")</f>
        <v/>
      </c>
      <c r="H451" s="254" t="str">
        <f t="array" ref="H451">IFERROR(INDEX('PORTIFÓLIO'!$H$4:$H$433,MATCH($C451,'PORTIFÓLIO'!$C$4:$C$433,0)),"")</f>
        <v/>
      </c>
      <c r="I451" s="256"/>
      <c r="J451" s="218">
        <f t="shared" si="49"/>
        <v>0</v>
      </c>
      <c r="K451" s="292" t="str">
        <f t="array" ref="K451">IFERROR(I451*INDEX('PORTIFÓLIO'!$S$4:$S$433,MATCH($C451,'PORTIFÓLIO'!$C$4:$C$433,0)),"")</f>
        <v/>
      </c>
      <c r="L451" s="292" t="str">
        <f t="array" ref="L451">IFERROR(J451*INDEX('PORTIFÓLIO'!$S$4:$S$433,MATCH($C451,'PORTIFÓLIO'!$C$4:$C$433,0)),"")</f>
        <v/>
      </c>
      <c r="U451" s="79"/>
    </row>
    <row r="452" ht="15.75" customHeight="1">
      <c r="A452" s="227"/>
      <c r="B452" s="227"/>
      <c r="C452" s="227"/>
      <c r="D452" s="227"/>
      <c r="E452" s="227"/>
      <c r="F452" s="227"/>
      <c r="G452" s="215"/>
      <c r="H452" s="227"/>
      <c r="I452" s="227"/>
      <c r="J452" s="227"/>
      <c r="K452" s="293">
        <f t="shared" ref="K452:L452" si="50">SUBTOTAL(9,K237:K427)</f>
        <v>214.627528</v>
      </c>
      <c r="L452" s="293">
        <f t="shared" si="50"/>
        <v>42925.5056</v>
      </c>
      <c r="U452" s="79"/>
    </row>
    <row r="453" ht="15.75" customHeight="1">
      <c r="U453" s="79"/>
    </row>
    <row r="454" ht="15.75" customHeight="1">
      <c r="U454" s="79"/>
    </row>
    <row r="455" ht="15.75" customHeight="1">
      <c r="U455" s="79"/>
    </row>
    <row r="456" ht="15.75" customHeight="1">
      <c r="U456" s="79"/>
    </row>
    <row r="457" ht="15.75" customHeight="1">
      <c r="U457" s="79"/>
    </row>
    <row r="458" ht="15.75" customHeight="1">
      <c r="U458" s="79"/>
    </row>
    <row r="459" ht="15.75" customHeight="1">
      <c r="U459" s="79"/>
    </row>
    <row r="460" ht="15.75" customHeight="1">
      <c r="U460" s="79"/>
    </row>
    <row r="461" ht="15.75" customHeight="1">
      <c r="U461" s="79"/>
    </row>
    <row r="462" ht="15.75" customHeight="1">
      <c r="U462" s="79"/>
    </row>
    <row r="463" ht="15.75" customHeight="1">
      <c r="U463" s="79"/>
    </row>
    <row r="464" ht="15.75" customHeight="1">
      <c r="U464" s="79"/>
    </row>
    <row r="465" ht="15.75" customHeight="1">
      <c r="U465" s="79"/>
    </row>
    <row r="466" ht="15.75" customHeight="1">
      <c r="U466" s="79"/>
    </row>
    <row r="467" ht="15.75" customHeight="1">
      <c r="U467" s="79"/>
    </row>
    <row r="468" ht="15.75" customHeight="1">
      <c r="U468" s="79"/>
    </row>
    <row r="469" ht="15.75" customHeight="1">
      <c r="U469" s="79"/>
    </row>
    <row r="470" ht="15.75" customHeight="1">
      <c r="U470" s="79"/>
    </row>
    <row r="471" ht="15.75" customHeight="1">
      <c r="U471" s="79"/>
    </row>
    <row r="472" ht="15.75" customHeight="1">
      <c r="U472" s="79"/>
    </row>
    <row r="473" ht="15.75" customHeight="1">
      <c r="U473" s="79"/>
    </row>
    <row r="474" ht="15.75" customHeight="1">
      <c r="U474" s="79"/>
    </row>
    <row r="475" ht="15.75" customHeight="1">
      <c r="U475" s="79"/>
    </row>
    <row r="476" ht="15.75" customHeight="1">
      <c r="U476" s="79"/>
    </row>
    <row r="477" ht="15.75" customHeight="1">
      <c r="U477" s="79"/>
    </row>
    <row r="478" ht="15.75" customHeight="1">
      <c r="U478" s="79"/>
    </row>
    <row r="479" ht="15.75" customHeight="1">
      <c r="U479" s="79"/>
    </row>
    <row r="480" ht="15.75" customHeight="1">
      <c r="U480" s="79"/>
    </row>
    <row r="481" ht="15.75" customHeight="1">
      <c r="U481" s="79"/>
    </row>
    <row r="482" ht="15.75" customHeight="1">
      <c r="U482" s="79"/>
    </row>
    <row r="483" ht="15.75" customHeight="1">
      <c r="U483" s="79"/>
    </row>
    <row r="484" ht="15.75" customHeight="1">
      <c r="U484" s="79"/>
    </row>
    <row r="485" ht="15.75" customHeight="1">
      <c r="U485" s="79"/>
    </row>
    <row r="486" ht="15.75" customHeight="1">
      <c r="U486" s="79"/>
    </row>
    <row r="487" ht="15.75" customHeight="1">
      <c r="U487" s="79"/>
    </row>
    <row r="488" ht="15.75" customHeight="1">
      <c r="U488" s="79"/>
    </row>
    <row r="489" ht="15.75" customHeight="1">
      <c r="U489" s="79"/>
    </row>
    <row r="490" ht="15.75" customHeight="1">
      <c r="U490" s="79"/>
    </row>
    <row r="491" ht="15.75" customHeight="1">
      <c r="U491" s="79"/>
    </row>
    <row r="492" ht="15.75" customHeight="1">
      <c r="U492" s="79"/>
    </row>
    <row r="493" ht="15.75" customHeight="1">
      <c r="U493" s="79"/>
    </row>
    <row r="494" ht="15.75" customHeight="1">
      <c r="U494" s="79"/>
    </row>
    <row r="495" ht="15.75" customHeight="1">
      <c r="U495" s="79"/>
    </row>
    <row r="496" ht="15.75" customHeight="1">
      <c r="U496" s="79"/>
    </row>
    <row r="497" ht="15.75" customHeight="1">
      <c r="U497" s="79"/>
    </row>
    <row r="498" ht="15.75" customHeight="1">
      <c r="U498" s="79"/>
    </row>
    <row r="499" ht="15.75" customHeight="1">
      <c r="U499" s="79"/>
    </row>
    <row r="500" ht="15.75" customHeight="1">
      <c r="U500" s="79"/>
    </row>
    <row r="501" ht="15.75" customHeight="1">
      <c r="U501" s="79"/>
    </row>
    <row r="502" ht="15.75" customHeight="1">
      <c r="U502" s="79"/>
    </row>
    <row r="503" ht="15.75" customHeight="1">
      <c r="U503" s="79"/>
    </row>
    <row r="504" ht="15.75" customHeight="1">
      <c r="U504" s="79"/>
    </row>
    <row r="505" ht="15.75" customHeight="1">
      <c r="U505" s="79"/>
    </row>
    <row r="506" ht="15.75" customHeight="1">
      <c r="U506" s="79"/>
    </row>
    <row r="507" ht="15.75" customHeight="1">
      <c r="U507" s="79"/>
    </row>
    <row r="508" ht="15.75" customHeight="1">
      <c r="U508" s="79"/>
    </row>
    <row r="509" ht="15.75" customHeight="1">
      <c r="U509" s="79"/>
    </row>
    <row r="510" ht="15.75" customHeight="1">
      <c r="U510" s="79"/>
    </row>
    <row r="511" ht="15.75" customHeight="1">
      <c r="U511" s="79"/>
    </row>
    <row r="512" ht="15.75" customHeight="1">
      <c r="U512" s="79"/>
    </row>
    <row r="513" ht="15.75" customHeight="1">
      <c r="U513" s="79"/>
    </row>
    <row r="514" ht="15.75" customHeight="1">
      <c r="U514" s="79"/>
    </row>
    <row r="515" ht="15.75" customHeight="1">
      <c r="U515" s="79"/>
    </row>
    <row r="516" ht="15.75" customHeight="1">
      <c r="U516" s="79"/>
    </row>
    <row r="517" ht="15.75" customHeight="1">
      <c r="U517" s="79"/>
    </row>
    <row r="518" ht="15.75" customHeight="1">
      <c r="U518" s="79"/>
    </row>
    <row r="519" ht="15.75" customHeight="1">
      <c r="U519" s="79"/>
    </row>
    <row r="520" ht="15.75" customHeight="1">
      <c r="U520" s="79"/>
    </row>
    <row r="521" ht="15.75" customHeight="1">
      <c r="U521" s="79"/>
    </row>
    <row r="522" ht="15.75" customHeight="1">
      <c r="U522" s="79"/>
    </row>
    <row r="523" ht="15.75" customHeight="1">
      <c r="U523" s="79"/>
    </row>
    <row r="524" ht="15.75" customHeight="1">
      <c r="U524" s="79"/>
    </row>
    <row r="525" ht="15.75" customHeight="1">
      <c r="U525" s="79"/>
    </row>
    <row r="526" ht="15.75" customHeight="1">
      <c r="U526" s="79"/>
    </row>
    <row r="527" ht="15.75" customHeight="1">
      <c r="U527" s="79"/>
    </row>
    <row r="528" ht="15.75" customHeight="1">
      <c r="U528" s="79"/>
    </row>
    <row r="529" ht="15.75" customHeight="1">
      <c r="U529" s="79"/>
    </row>
    <row r="530" ht="15.75" customHeight="1">
      <c r="U530" s="79"/>
    </row>
    <row r="531" ht="15.75" customHeight="1">
      <c r="U531" s="79"/>
    </row>
    <row r="532" ht="15.75" customHeight="1">
      <c r="U532" s="79"/>
    </row>
    <row r="533" ht="15.75" customHeight="1">
      <c r="U533" s="79"/>
    </row>
    <row r="534" ht="15.75" customHeight="1">
      <c r="U534" s="79"/>
    </row>
    <row r="535" ht="15.75" customHeight="1">
      <c r="U535" s="79"/>
    </row>
    <row r="536" ht="15.75" customHeight="1">
      <c r="U536" s="79"/>
    </row>
    <row r="537" ht="15.75" customHeight="1">
      <c r="U537" s="79"/>
    </row>
    <row r="538" ht="15.75" customHeight="1">
      <c r="U538" s="79"/>
    </row>
    <row r="539" ht="15.75" customHeight="1">
      <c r="U539" s="79"/>
    </row>
    <row r="540" ht="15.75" customHeight="1">
      <c r="U540" s="79"/>
    </row>
    <row r="541" ht="15.75" customHeight="1">
      <c r="U541" s="79"/>
    </row>
    <row r="542" ht="15.75" customHeight="1">
      <c r="U542" s="79"/>
    </row>
    <row r="543" ht="15.75" customHeight="1">
      <c r="U543" s="79"/>
    </row>
    <row r="544" ht="15.75" customHeight="1">
      <c r="U544" s="79"/>
    </row>
    <row r="545" ht="15.75" customHeight="1">
      <c r="U545" s="79"/>
    </row>
    <row r="546" ht="15.75" customHeight="1">
      <c r="U546" s="79"/>
    </row>
    <row r="547" ht="15.75" customHeight="1">
      <c r="U547" s="79"/>
    </row>
    <row r="548" ht="15.75" customHeight="1">
      <c r="U548" s="79"/>
    </row>
    <row r="549" ht="15.75" customHeight="1">
      <c r="U549" s="79"/>
    </row>
    <row r="550" ht="15.75" customHeight="1">
      <c r="U550" s="79"/>
    </row>
    <row r="551" ht="15.75" customHeight="1">
      <c r="U551" s="79"/>
    </row>
    <row r="552" ht="15.75" customHeight="1">
      <c r="U552" s="79"/>
    </row>
    <row r="553" ht="15.75" customHeight="1">
      <c r="U553" s="79"/>
    </row>
    <row r="554" ht="15.75" customHeight="1">
      <c r="U554" s="79"/>
    </row>
    <row r="555" ht="15.75" customHeight="1">
      <c r="U555" s="79"/>
    </row>
    <row r="556" ht="15.75" customHeight="1">
      <c r="U556" s="79"/>
    </row>
    <row r="557" ht="15.75" customHeight="1">
      <c r="U557" s="79"/>
    </row>
    <row r="558" ht="15.75" customHeight="1">
      <c r="U558" s="79"/>
    </row>
    <row r="559" ht="15.75" customHeight="1">
      <c r="U559" s="79"/>
    </row>
    <row r="560" ht="15.75" customHeight="1">
      <c r="U560" s="79"/>
    </row>
    <row r="561" ht="15.75" customHeight="1">
      <c r="U561" s="79"/>
    </row>
    <row r="562" ht="15.75" customHeight="1">
      <c r="U562" s="79"/>
    </row>
    <row r="563" ht="15.75" customHeight="1">
      <c r="U563" s="79"/>
    </row>
    <row r="564" ht="15.75" customHeight="1">
      <c r="U564" s="79"/>
    </row>
    <row r="565" ht="15.75" customHeight="1">
      <c r="U565" s="79"/>
    </row>
    <row r="566" ht="15.75" customHeight="1">
      <c r="U566" s="79"/>
    </row>
    <row r="567" ht="15.75" customHeight="1">
      <c r="U567" s="79"/>
    </row>
    <row r="568" ht="15.75" customHeight="1">
      <c r="U568" s="79"/>
    </row>
    <row r="569" ht="15.75" customHeight="1">
      <c r="U569" s="79"/>
    </row>
    <row r="570" ht="15.75" customHeight="1">
      <c r="U570" s="79"/>
    </row>
    <row r="571" ht="15.75" customHeight="1">
      <c r="U571" s="79"/>
    </row>
    <row r="572" ht="15.75" customHeight="1">
      <c r="U572" s="79"/>
    </row>
    <row r="573" ht="15.75" customHeight="1">
      <c r="U573" s="79"/>
    </row>
    <row r="574" ht="15.75" customHeight="1">
      <c r="U574" s="79"/>
    </row>
    <row r="575" ht="15.75" customHeight="1">
      <c r="U575" s="79"/>
    </row>
    <row r="576" ht="15.75" customHeight="1">
      <c r="U576" s="79"/>
    </row>
    <row r="577" ht="15.75" customHeight="1">
      <c r="U577" s="79"/>
    </row>
    <row r="578" ht="15.75" customHeight="1">
      <c r="U578" s="79"/>
    </row>
    <row r="579" ht="15.75" customHeight="1">
      <c r="U579" s="79"/>
    </row>
    <row r="580" ht="15.75" customHeight="1">
      <c r="U580" s="79"/>
    </row>
    <row r="581" ht="15.75" customHeight="1">
      <c r="U581" s="79"/>
    </row>
    <row r="582" ht="15.75" customHeight="1">
      <c r="U582" s="79"/>
    </row>
    <row r="583" ht="15.75" customHeight="1">
      <c r="U583" s="79"/>
    </row>
    <row r="584" ht="15.75" customHeight="1">
      <c r="U584" s="79"/>
    </row>
    <row r="585" ht="15.75" customHeight="1">
      <c r="U585" s="79"/>
    </row>
    <row r="586" ht="15.75" customHeight="1">
      <c r="U586" s="79"/>
    </row>
    <row r="587" ht="15.75" customHeight="1">
      <c r="U587" s="79"/>
    </row>
    <row r="588" ht="15.75" customHeight="1">
      <c r="U588" s="79"/>
    </row>
    <row r="589" ht="15.75" customHeight="1">
      <c r="U589" s="79"/>
    </row>
    <row r="590" ht="15.75" customHeight="1">
      <c r="U590" s="79"/>
    </row>
    <row r="591" ht="15.75" customHeight="1">
      <c r="U591" s="79"/>
    </row>
    <row r="592" ht="15.75" customHeight="1">
      <c r="U592" s="79"/>
    </row>
    <row r="593" ht="15.75" customHeight="1">
      <c r="U593" s="79"/>
    </row>
    <row r="594" ht="15.75" customHeight="1">
      <c r="U594" s="79"/>
    </row>
    <row r="595" ht="15.75" customHeight="1">
      <c r="U595" s="79"/>
    </row>
    <row r="596" ht="15.75" customHeight="1">
      <c r="U596" s="79"/>
    </row>
    <row r="597" ht="15.75" customHeight="1">
      <c r="U597" s="79"/>
    </row>
    <row r="598" ht="15.75" customHeight="1">
      <c r="U598" s="79"/>
    </row>
    <row r="599" ht="15.75" customHeight="1">
      <c r="U599" s="79"/>
    </row>
    <row r="600" ht="15.75" customHeight="1">
      <c r="U600" s="79"/>
    </row>
    <row r="601" ht="15.75" customHeight="1">
      <c r="U601" s="79"/>
    </row>
    <row r="602" ht="15.75" customHeight="1">
      <c r="U602" s="79"/>
    </row>
    <row r="603" ht="15.75" customHeight="1">
      <c r="U603" s="79"/>
    </row>
    <row r="604" ht="15.75" customHeight="1">
      <c r="U604" s="79"/>
    </row>
    <row r="605" ht="15.75" customHeight="1">
      <c r="U605" s="79"/>
    </row>
    <row r="606" ht="15.75" customHeight="1">
      <c r="U606" s="79"/>
    </row>
    <row r="607" ht="15.75" customHeight="1">
      <c r="U607" s="79"/>
    </row>
    <row r="608" ht="15.75" customHeight="1">
      <c r="U608" s="79"/>
    </row>
    <row r="609" ht="15.75" customHeight="1">
      <c r="U609" s="79"/>
    </row>
    <row r="610" ht="15.75" customHeight="1">
      <c r="U610" s="79"/>
    </row>
    <row r="611" ht="15.75" customHeight="1">
      <c r="U611" s="79"/>
    </row>
    <row r="612" ht="15.75" customHeight="1">
      <c r="U612" s="79"/>
    </row>
    <row r="613" ht="15.75" customHeight="1">
      <c r="U613" s="79"/>
    </row>
    <row r="614" ht="15.75" customHeight="1">
      <c r="U614" s="79"/>
    </row>
    <row r="615" ht="15.75" customHeight="1">
      <c r="U615" s="79"/>
    </row>
    <row r="616" ht="15.75" customHeight="1">
      <c r="U616" s="79"/>
    </row>
    <row r="617" ht="15.75" customHeight="1">
      <c r="U617" s="79"/>
    </row>
    <row r="618" ht="15.75" customHeight="1">
      <c r="U618" s="79"/>
    </row>
    <row r="619" ht="15.75" customHeight="1">
      <c r="U619" s="79"/>
    </row>
    <row r="620" ht="15.75" customHeight="1">
      <c r="U620" s="79"/>
    </row>
    <row r="621" ht="15.75" customHeight="1">
      <c r="U621" s="79"/>
    </row>
    <row r="622" ht="15.75" customHeight="1">
      <c r="U622" s="79"/>
    </row>
    <row r="623" ht="15.75" customHeight="1">
      <c r="U623" s="79"/>
    </row>
    <row r="624" ht="15.75" customHeight="1">
      <c r="U624" s="79"/>
    </row>
    <row r="625" ht="15.75" customHeight="1">
      <c r="U625" s="79"/>
    </row>
    <row r="626" ht="15.75" customHeight="1">
      <c r="U626" s="79"/>
    </row>
    <row r="627" ht="15.75" customHeight="1">
      <c r="U627" s="79"/>
    </row>
    <row r="628" ht="15.75" customHeight="1">
      <c r="U628" s="79"/>
    </row>
    <row r="629" ht="15.75" customHeight="1">
      <c r="U629" s="79"/>
    </row>
    <row r="630" ht="15.75" customHeight="1">
      <c r="U630" s="79"/>
    </row>
    <row r="631" ht="15.75" customHeight="1">
      <c r="U631" s="79"/>
    </row>
    <row r="632" ht="15.75" customHeight="1">
      <c r="U632" s="79"/>
    </row>
    <row r="633" ht="15.75" customHeight="1">
      <c r="U633" s="79"/>
    </row>
    <row r="634" ht="15.75" customHeight="1">
      <c r="U634" s="79"/>
    </row>
    <row r="635" ht="15.75" customHeight="1">
      <c r="U635" s="79"/>
    </row>
    <row r="636" ht="15.75" customHeight="1">
      <c r="U636" s="79"/>
    </row>
    <row r="637" ht="15.75" customHeight="1">
      <c r="U637" s="79"/>
    </row>
    <row r="638" ht="15.75" customHeight="1">
      <c r="U638" s="79"/>
    </row>
    <row r="639" ht="15.75" customHeight="1">
      <c r="U639" s="79"/>
    </row>
    <row r="640" ht="15.75" customHeight="1">
      <c r="U640" s="79"/>
    </row>
    <row r="641" ht="15.75" customHeight="1">
      <c r="U641" s="79"/>
    </row>
    <row r="642" ht="15.75" customHeight="1">
      <c r="U642" s="79"/>
    </row>
    <row r="643" ht="15.75" customHeight="1">
      <c r="U643" s="79"/>
    </row>
    <row r="644" ht="15.75" customHeight="1">
      <c r="U644" s="79"/>
    </row>
    <row r="645" ht="15.75" customHeight="1">
      <c r="U645" s="79"/>
    </row>
    <row r="646" ht="15.75" customHeight="1">
      <c r="U646" s="79"/>
    </row>
    <row r="647" ht="15.75" customHeight="1">
      <c r="U647" s="79"/>
    </row>
    <row r="648" ht="15.75" customHeight="1">
      <c r="U648" s="79"/>
    </row>
    <row r="649" ht="15.75" customHeight="1">
      <c r="U649" s="79"/>
    </row>
    <row r="650" ht="15.75" customHeight="1">
      <c r="U650" s="79"/>
    </row>
    <row r="651" ht="15.75" customHeight="1">
      <c r="U651" s="79"/>
    </row>
    <row r="652" ht="15.75" customHeight="1">
      <c r="U652" s="79"/>
    </row>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K10:L224 K237:L451">
    <cfRule type="cellIs" dxfId="9" priority="1" operator="equal">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2">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3">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4">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5">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6">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7">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8">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9">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0">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1">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2">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3">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4">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5">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6">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7">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8">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9">
      <colorScale>
        <cfvo type="min"/>
        <cfvo type="percentile" val="50"/>
        <cfvo type="max"/>
        <color rgb="FF63BE7B"/>
        <color rgb="FFFCFCFF"/>
        <color rgb="FFF8696B"/>
      </colorScale>
    </cfRule>
  </conditionalFormatting>
  <conditionalFormatting sqref="A64:A67 A82:A85 A98:A101 A115:A118 A132:A135 A149:A152 A166:A169 A183:A186 A201:A204 A290:A294 A309:A312 A325:A328 A342:A345 A359:A362 A376:A379 A393:A396 A410:A413 A428:A431">
    <cfRule type="colorScale" priority="20">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1">
      <colorScale>
        <cfvo type="min"/>
        <cfvo type="percentile" val="50"/>
        <cfvo type="max"/>
        <color rgb="FF63BE7B"/>
        <color rgb="FFFCFCFF"/>
        <color rgb="FFF8696B"/>
      </colorScale>
    </cfRule>
  </conditionalFormatting>
  <conditionalFormatting sqref="A67:A68 A86 A102 A119 A136 A153 A170 A187 A205 A294:A295 A313 A329 A346 A363 A380 A397 A414 A432">
    <cfRule type="colorScale" priority="22">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3">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4">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5">
      <colorScale>
        <cfvo type="min"/>
        <cfvo type="percentile" val="50"/>
        <cfvo type="max"/>
        <color rgb="FF63BE7B"/>
        <color rgb="FFFCFCFF"/>
        <color rgb="FFF8696B"/>
      </colorScale>
    </cfRule>
  </conditionalFormatting>
  <conditionalFormatting sqref="A82:A86 A98:A102 A115:A119 A132:A136 A149:A153 A166:A170 A183:A187 A201:A205 A290 A309:A313 A325:A329 A342:A346 A359:A363 A376:A380 A393:A397 A410:A414 A428:A432">
    <cfRule type="colorScale" priority="26">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7">
      <colorScale>
        <cfvo type="min"/>
        <cfvo type="percentile" val="50"/>
        <cfvo type="max"/>
        <color rgb="FF63BE7B"/>
        <color rgb="FFFCFCFF"/>
        <color rgb="FFF8696B"/>
      </colorScale>
    </cfRule>
  </conditionalFormatting>
  <conditionalFormatting sqref="A87 A103 A120 A137 A154 A171 A188 A206 A314 A330 A347 A364 A381 A398 A415 A433">
    <cfRule type="colorScale" priority="28">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9">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0">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1">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2">
      <colorScale>
        <cfvo type="min"/>
        <cfvo type="percentile" val="50"/>
        <cfvo type="max"/>
        <color rgb="FF63BE7B"/>
        <color rgb="FFFCFCFF"/>
        <color rgb="FFF8696B"/>
      </colorScale>
    </cfRule>
  </conditionalFormatting>
  <conditionalFormatting sqref="A81:A84 A97:A100 A114:A117 A131:A134 A148:A151 A165:A168 A182:A185 A200:A203 A308:A311 A324:A327 A341:A344 A358:A361 A375:A378 A392:A395 A409:A412 A427:A430">
    <cfRule type="colorScale" priority="33">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4">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5">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6">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7">
      <colorScale>
        <cfvo type="min"/>
        <cfvo type="percentile" val="50"/>
        <cfvo type="max"/>
        <color rgb="FF63BE7B"/>
        <color rgb="FFFCFCFF"/>
        <color rgb="FFF8696B"/>
      </colorScale>
    </cfRule>
  </conditionalFormatting>
  <conditionalFormatting sqref="A82:A84 A98:A100 A115:A117 A132:A134 A149:A151 A166:A168 A183:A185 A201:A203 A309:A311 A325:A327 A342:A344 A359:A361 A376:A378 A393:A395 A410:A412 A428:A430">
    <cfRule type="colorScale" priority="38">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9">
      <colorScale>
        <cfvo type="min"/>
        <cfvo type="percentile" val="50"/>
        <cfvo type="max"/>
        <color rgb="FF63BE7B"/>
        <color rgb="FFFCFCFF"/>
        <color rgb="FFF8696B"/>
      </colorScale>
    </cfRule>
  </conditionalFormatting>
  <conditionalFormatting sqref="A85 A101 A118 A135 A152 A169 A186 A204 A312 A328 A345 A362 A379 A396 A413 A431">
    <cfRule type="colorScale" priority="40">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1">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42">
      <colorScale>
        <cfvo type="min"/>
        <cfvo type="percentile" val="50"/>
        <cfvo type="max"/>
        <color rgb="FF63BE7B"/>
        <color rgb="FFFFEB84"/>
        <color rgb="FFF8696B"/>
      </colorScale>
    </cfRule>
  </conditionalFormatting>
  <conditionalFormatting sqref="A98 A325">
    <cfRule type="colorScale" priority="43">
      <colorScale>
        <cfvo type="min"/>
        <cfvo type="percentile" val="50"/>
        <cfvo type="max"/>
        <color rgb="FF63BE7B"/>
        <color rgb="FFFCFCFF"/>
        <color rgb="FFF8696B"/>
      </colorScale>
    </cfRule>
  </conditionalFormatting>
  <conditionalFormatting sqref="A98 A325">
    <cfRule type="colorScale" priority="44">
      <colorScale>
        <cfvo type="min"/>
        <cfvo type="percentile" val="50"/>
        <cfvo type="max"/>
        <color rgb="FF63BE7B"/>
        <color rgb="FFFFEB84"/>
        <color rgb="FFF8696B"/>
      </colorScale>
    </cfRule>
  </conditionalFormatting>
  <conditionalFormatting sqref="A99 A326">
    <cfRule type="colorScale" priority="45">
      <colorScale>
        <cfvo type="min"/>
        <cfvo type="percentile" val="50"/>
        <cfvo type="max"/>
        <color rgb="FF63BE7B"/>
        <color rgb="FFFFEB84"/>
        <color rgb="FFF8696B"/>
      </colorScale>
    </cfRule>
  </conditionalFormatting>
  <conditionalFormatting sqref="A100:A104 A327:A331">
    <cfRule type="colorScale" priority="46">
      <colorScale>
        <cfvo type="min"/>
        <cfvo type="percentile" val="50"/>
        <cfvo type="max"/>
        <color rgb="FF63BE7B"/>
        <color rgb="FFFFEB84"/>
        <color rgb="FFF8696B"/>
      </colorScale>
    </cfRule>
  </conditionalFormatting>
  <conditionalFormatting sqref="A115 A342">
    <cfRule type="colorScale" priority="47">
      <colorScale>
        <cfvo type="min"/>
        <cfvo type="percentile" val="50"/>
        <cfvo type="max"/>
        <color rgb="FF63BE7B"/>
        <color rgb="FFFCFCFF"/>
        <color rgb="FFF8696B"/>
      </colorScale>
    </cfRule>
  </conditionalFormatting>
  <conditionalFormatting sqref="A115 A342">
    <cfRule type="colorScale" priority="48">
      <colorScale>
        <cfvo type="min"/>
        <cfvo type="percentile" val="50"/>
        <cfvo type="max"/>
        <color rgb="FF63BE7B"/>
        <color rgb="FFFFEB84"/>
        <color rgb="FFF8696B"/>
      </colorScale>
    </cfRule>
  </conditionalFormatting>
  <conditionalFormatting sqref="A116:A129 A343:A356">
    <cfRule type="colorScale" priority="49">
      <colorScale>
        <cfvo type="min"/>
        <cfvo type="percentile" val="50"/>
        <cfvo type="max"/>
        <color rgb="FF63BE7B"/>
        <color rgb="FFFFEB84"/>
        <color rgb="FFF8696B"/>
      </colorScale>
    </cfRule>
  </conditionalFormatting>
  <conditionalFormatting sqref="A132:A133 A359:A360">
    <cfRule type="colorScale" priority="50">
      <colorScale>
        <cfvo type="min"/>
        <cfvo type="percentile" val="50"/>
        <cfvo type="max"/>
        <color rgb="FF63BE7B"/>
        <color rgb="FFFFEB84"/>
        <color rgb="FFF8696B"/>
      </colorScale>
    </cfRule>
  </conditionalFormatting>
  <conditionalFormatting sqref="A149:A163 A376:A390">
    <cfRule type="colorScale" priority="51">
      <colorScale>
        <cfvo type="min"/>
        <cfvo type="percentile" val="50"/>
        <cfvo type="max"/>
        <color rgb="FF63BE7B"/>
        <color rgb="FFFFEB84"/>
        <color rgb="FFF8696B"/>
      </colorScale>
    </cfRule>
  </conditionalFormatting>
  <conditionalFormatting sqref="A166:A180 A393:A407">
    <cfRule type="colorScale" priority="52">
      <colorScale>
        <cfvo type="min"/>
        <cfvo type="percentile" val="50"/>
        <cfvo type="max"/>
        <color rgb="FF63BE7B"/>
        <color rgb="FFFFEB84"/>
        <color rgb="FFF8696B"/>
      </colorScale>
    </cfRule>
  </conditionalFormatting>
  <conditionalFormatting sqref="A183:A185 A410:A412">
    <cfRule type="colorScale" priority="53">
      <colorScale>
        <cfvo type="min"/>
        <cfvo type="percentile" val="50"/>
        <cfvo type="max"/>
        <color rgb="FF63BE7B"/>
        <color rgb="FFFFEB84"/>
        <color rgb="FFF8696B"/>
      </colorScale>
    </cfRule>
  </conditionalFormatting>
  <conditionalFormatting sqref="A201:A203 A428:A430">
    <cfRule type="colorScale" priority="54">
      <colorScale>
        <cfvo type="min"/>
        <cfvo type="percentile" val="50"/>
        <cfvo type="max"/>
        <color rgb="FF63BE7B"/>
        <color rgb="FFFFEB84"/>
        <color rgb="FFF8696B"/>
      </colorScale>
    </cfRule>
  </conditionalFormatting>
  <conditionalFormatting sqref="A208:A210 A435:A437">
    <cfRule type="colorScale" priority="55">
      <colorScale>
        <cfvo type="min"/>
        <cfvo type="percentile" val="50"/>
        <cfvo type="max"/>
        <color rgb="FF63BE7B"/>
        <color rgb="FFFFEB84"/>
        <color rgb="FFF8696B"/>
      </colorScale>
    </cfRule>
  </conditionalFormatting>
  <conditionalFormatting sqref="A211:A224 A438:A451">
    <cfRule type="colorScale" priority="56">
      <colorScale>
        <cfvo type="min"/>
        <cfvo type="percentile" val="50"/>
        <cfvo type="max"/>
        <color rgb="FF63BE7B"/>
        <color rgb="FFFFEB84"/>
        <color rgb="FFF8696B"/>
      </colorScale>
    </cfRule>
  </conditionalFormatting>
  <conditionalFormatting sqref="J10:L224 J237:L451">
    <cfRule type="cellIs" dxfId="8" priority="57" operator="equal">
      <formula>0</formula>
    </cfRule>
  </conditionalFormatting>
  <dataValidations>
    <dataValidation type="list" allowBlank="1" sqref="C12:C14 C87 C137 C152 C154 C169 C171 C204 C206 C244:C247 C256 C258 C275 C277 C294 C296 C312 C314 C328 C330 C345 C347 C362 C364 C379 C381 C396 C398 C413 C415 C431 C433">
      <formula1>"I-ACTIVE,MAP,KCL 60%,05-37-00,10-46-00 + S,08-42-00,SSP 21,03-15-07 +14%CO,URÉIA,SULFATO DE AMÔNIO,BOROGRAN,SUPER DUO,08-40-00 - 100M,AURUS 500,00-01-00+Cu2 Mn8 Zn7"</formula1>
    </dataValidation>
    <dataValidation type="list" allowBlank="1" sqref="C183">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formula1>
    </dataValidation>
    <dataValidation type="list" allowBlank="1" sqref="C68">
      <formula1>"UTRISHA N,PRESENCE FULL,Now Lock,Now Guard,Now Force,Now Raze,Now Bolt,Now Active,Now React,Now Cover,Now Pulse,Now Sprint,Bio Az,Bio ND,Tec Catp Pro,Bio Elipso,Tec Bug,Solu Shield,Solu Strong,Solu Leaf,Bio Hidric,Bio Bokashi,Bio Oil,Carbon Pro,Essencial "&amp;"Mg,Expelir,Primafert,Reserva,Tec Catp Pro Kit On-farm,Tec Bug Kit On-farm,Solu Shield Kit On-farm,Solu Strong Kit On-farm,Solu Leaf Kit On-farm,Bio Hidric Kit On-farm,Bio Bokashi Kit On-farm,Tec White Kit On-farm,Bio Solubilize Kit On-farm,Bio Release Kit"&amp;" On-farm,Bio Raiz Plus Kit On-farm,Bio Balance Kit On-farm,SoluBio Raiz Performance Kit On-farm,Tec Isaria Kit On-farm"</formula1>
    </dataValidation>
    <dataValidation type="list" allowBlank="1" sqref="C26:C27 C45:C47 C82:C83 C238:C239 C242:C243">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type="custom" allowBlank="1" showDropDown="1" sqref="G10:L224 G237:L451">
      <formula1>AND(ISNUMBER(G10),(NOT(OR(NOT(ISERROR(DATEVALUE(G10))), AND(ISNUMBER(G10), LEFT(CELL("format", G10))="D")))))</formula1>
    </dataValidation>
    <dataValidation type="list" allowBlank="1" sqref="C28 C48 C103 C120 C135 C151 C240">
      <formula1>"RUMBA,ASSIST,MEES,AUREO,JOINT ULTRA,ADGREEN,ENERGIC,EXTRAVON,OCHIMA"</formula1>
    </dataValidation>
    <dataValidation type="list" allowBlank="1" sqref="C67">
      <formula1>"ENDOFUSE,ENDOMAXX,RIZOLIQ LLI,PROVILAR,REVERB,ARVATICO,VERANGO PRIME,FIPRONIL NORTOX MAX,MAXIM ADVANCED,MAXIM XL,VICTRATO,SPECTRO,STANDAK TOP,CRUISER ADVANCED,PLUST,SOMBRERO,CROPSTAR,DERMACOR,OPTERASEED,AVICTA 500 FS,CRUISER 350 FS,FORTENZA 600 FS,ILEVO,P"&amp;"ERMIT STAR"</formula1>
    </dataValidation>
    <dataValidation type="list" allowBlank="1" sqref="C33 C52 C89 C105 C139 C156 C166 C173 C190 C202 C208 C254 C260 C273 C279 C292 C298 C310 C316 C326 C332 C343 C349 C360 C366 C377 C383 C394 C400 C411 C417 C429 C435">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type="list" allowBlank="1" sqref="C17:C18">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formula1>
    </dataValidation>
    <dataValidation type="list" allowBlank="1" sqref="C29 C49 C100:C102 C118:C119 C134 C241">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type="list" allowBlank="1" sqref="C20:C24 C43 C62 C80 C248:C251 C270 C289 C307">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type="list" allowBlank="1" sqref="C11 C88 C138 C155 C172 C207 C259 C278 C297 C315 C331 C348 C365 C382 C399 C416 C434">
      <formula1>"CALCÁRIO DOLOMITICO,GESSO AGRICOLA"</formula1>
    </dataValidation>
    <dataValidation type="list" allowBlank="1" sqref="C19">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formula1>
    </dataValidation>
    <dataValidation type="list" allowBlank="1" sqref="C86 C136 C153 C170 C205 C257 C272 C276 C291 C295 C309 C313 C325 C329 C342 C346 C359 C363 C376 C380 C393 C397 C410 C414 C432">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type="list" allowBlank="1" sqref="C64">
      <formula1>"FEIJÃO,SEMENTE TRIGO,SEMENTE MILHO,MG540PWU,MG711PWU,MG616PWU,P3707PWU,P39209PWU,P40537PWU,FS650PWU,SEMENTE SOJA CV,OLIMPO,M8349,CORDIUS C2795 CE,HERA I2X,SPARTA 8.0,CORDIUS C2795 CE 7.9,IMPETO,NEO 790,APORÉ 7.3,GUAPÓ 7.7,MITICA 7.7,TMG MURICI I2X 7.6,DOM"&amp;"ÍNIO 8.4,LENDA,BRASMAX HERA,BRASMAX OLIMPO,S6525 I2X,TMG ITAÚBA I2X,SEMENTE SOJA RR,BRACHIARIA RUZIZIENCES,CAPIM MIAGE,TMG INGÁ I2X 6.9,TMG 2383 IPRO 8.3,BRACHIARIA BASICA,GH 2478 IPRO 8.1,HO COCARI I2X 8.2,SEMENTE DE SORGO"</formula1>
    </dataValidation>
    <dataValidation type="list" allowBlank="1" sqref="C30 C72">
      <formula1>"RADIFARM,MEGAFOL,OCTABORATO,BOP,METAL NUTRE,MONIC,AP MAGNÉSIO,GRANO KMG,AP MANGANÊS,AMINOS Mn,MICROBOX,ACRESECENT ALGA,RAIZ F,ACRESCENTE SOLUS F,SALUT,MATRIZ D,BRAVERO,Glyfort,Fergsum,Spander,Halattus,Sallvare Complex,Zinctaus Complex,Emezine Complex,Bora"&amp;"tus Complex,Magmill Complex,Brave K,Brave Max Up,MAX RAIZ,Polyamine,Sulfato de Magnésio,Map Purificado,MANGAN 10,NHT ZINCO,KELLUS CUPPER,MOLIBIDENIO 16,ZINCO 10,Potenza NiCoMo"</formula1>
    </dataValidation>
    <dataValidation type="list" allowBlank="1" sqref="C31 C85 C167">
      <formula1>"RUMBA,ASSIST,MEES,AUREO EC,JOINT ULTRA,ENERGIC,EXTRAVON,OCHIMA,STRIDES"</formula1>
    </dataValidation>
    <dataValidation type="list" allowBlank="1" sqref="C84 C98:C99 C104 C115:C117 C132:C133 C149:C150">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type="list" allowBlank="1" sqref="C69:C71">
      <formula1>"UTRISHA N,PRESENCE FULL,Now Lock,Now Guard,Now Force,Now Raze,Now Bolt,Now Active,Now React,Now Cover,Now Pulse,Now Sprint,Bio Az,Bio ND,Tec Catp Pro,Bio Elipso,Tec Bug,Solu Shield,Solu Strong,Solu Leaf,Bio Hidric,Bio Bokashi,Bio Oil,Carbon Pro,Essencial "&amp;"Mg,Expelir,Potenza NiCoMo,Primafert,Reserva,Tec White,Bio Solubilize,Bio Release,Bio Raiz Plus,Bio Balance,SoluBio Raiz Performance,Tec Isaria"</formula1>
    </dataValidation>
    <dataValidation type="list" allowBlank="1" showErrorMessage="1" sqref="B10:B224 B237:B451">
      <formula1>#REF!</formula1>
    </dataValidation>
    <dataValidation type="list" allowBlank="1" sqref="C65:C66 C168 C203 C255 C274 C293 C311 C327 C344 C361 C378 C395 C412 C430">
      <formula1>"SOMBRERO,STANDAK TOP,CROPSTAR,DERMACOR,PERMIT STAR,PRESENCE FULL,PLUST,CRUISER 350 FS,CRUISER ADVANCED,FORTENZA 600 FS,MAXIM ADVANCED,MAXIM XL,SPECTRO,BIOZYME,NIMAXXA,VITAVAX-THIRAM 200 SC"</formula1>
    </dataValidation>
    <dataValidation type="list" allowBlank="1" sqref="C184:C189">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formula1>
    </dataValidation>
    <dataValidation type="list" allowBlank="1" sqref="C34 C53:C54 C59 C73 C90:C91 C96 C106:C107 C112 C123:C124 C129 C140:C141 C146 C157:C158 C163 C174:C175 C180 C191:C192 C197 C209:C210 C215 C253 C261:C262 C267 C280:C281 C286 C299:C300 C317:C318 C323 C333:C334 C339 C350:C351 C356 C367:C368 C373 C384:C385 C390 C401:C402 C407 C418:C419 C424 C436:C437 C442">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display="ÁREA PLANTIO" location="'ÁREA PLANTIO'!A1" ref="F1"/>
    <hyperlink display="ÁREA PLANTIO" location="'ÁREA PLANTIO'!A1" ref="F227"/>
  </hyperlinks>
  <printOptions/>
  <pageMargins bottom="0.787401575" footer="0.0" header="0.0" left="0.511811024" right="0.511811024" top="0.787401575"/>
  <pageSetup orientation="landscape"/>
  <drawing r:id="rId1"/>
  <tableParts count="2">
    <tablePart r:id="rId4"/>
    <tablePart r:id="rId5"/>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13.88"/>
    <col customWidth="1" min="2" max="2" width="22.75"/>
    <col customWidth="1" min="3" max="3" width="33.63"/>
    <col customWidth="1" min="4" max="4" width="40.25"/>
    <col customWidth="1" min="5" max="5" width="20.13"/>
    <col customWidth="1" min="6" max="6" width="13.13"/>
    <col customWidth="1" min="7" max="7" width="13.75"/>
    <col customWidth="1" min="8" max="9" width="10.38"/>
    <col customWidth="1" min="10" max="10" width="14.0"/>
    <col customWidth="1" min="11" max="23" width="14.38"/>
  </cols>
  <sheetData>
    <row r="1">
      <c r="A1" s="260" t="s">
        <v>1203</v>
      </c>
      <c r="B1" s="261" t="str">
        <f>'ÁREA PLANTIO'!B12</f>
        <v>P120</v>
      </c>
      <c r="C1" s="262" t="s">
        <v>1166</v>
      </c>
      <c r="D1" s="263">
        <f>$K$225</f>
        <v>1837.611492</v>
      </c>
      <c r="E1" s="264"/>
      <c r="F1" s="265" t="s">
        <v>1167</v>
      </c>
      <c r="G1" s="266"/>
      <c r="H1" s="267"/>
      <c r="I1" s="267"/>
      <c r="J1" s="267"/>
      <c r="K1" s="266"/>
      <c r="L1" s="220"/>
      <c r="M1" s="220"/>
      <c r="N1" s="220"/>
      <c r="O1" s="220"/>
      <c r="P1" s="220"/>
      <c r="Q1" s="220"/>
      <c r="R1" s="220"/>
      <c r="S1" s="220"/>
      <c r="T1" s="220"/>
      <c r="U1" s="220"/>
      <c r="V1" s="220"/>
      <c r="W1" s="220"/>
    </row>
    <row r="2" ht="15.75" customHeight="1">
      <c r="A2" s="260" t="s">
        <v>1168</v>
      </c>
      <c r="B2" s="268">
        <f>'ÁREA PLANTIO'!E12</f>
        <v>120</v>
      </c>
      <c r="C2" s="269" t="s">
        <v>1169</v>
      </c>
      <c r="D2" s="270">
        <f>'ÁREA PLANTIO'!D12</f>
        <v>70</v>
      </c>
      <c r="E2" s="264"/>
      <c r="F2" s="264"/>
      <c r="G2" s="266"/>
      <c r="H2" s="267"/>
      <c r="I2" s="267"/>
      <c r="J2" s="267"/>
      <c r="K2" s="266"/>
      <c r="L2" s="220"/>
      <c r="M2" s="220"/>
      <c r="N2" s="220"/>
      <c r="O2" s="220"/>
      <c r="P2" s="220"/>
      <c r="Q2" s="220"/>
      <c r="R2" s="220"/>
      <c r="S2" s="220"/>
      <c r="T2" s="220"/>
      <c r="U2" s="220"/>
      <c r="V2" s="220"/>
      <c r="W2" s="220"/>
    </row>
    <row r="3" ht="15.75" customHeight="1">
      <c r="A3" s="260" t="s">
        <v>1170</v>
      </c>
      <c r="B3" s="267" t="str">
        <f>'ÁREA PLANTIO'!C12</f>
        <v>FA-SOJA-IRRIGADO-26/27</v>
      </c>
      <c r="C3" s="269" t="s">
        <v>1171</v>
      </c>
      <c r="D3" s="271">
        <f>D1/D2</f>
        <v>26.25159275</v>
      </c>
      <c r="E3" s="264"/>
      <c r="F3" s="264"/>
      <c r="G3" s="266"/>
      <c r="H3" s="267"/>
      <c r="I3" s="267"/>
      <c r="J3" s="267"/>
      <c r="K3" s="266"/>
      <c r="L3" s="220"/>
      <c r="M3" s="220"/>
      <c r="N3" s="220"/>
      <c r="O3" s="220"/>
      <c r="P3" s="220"/>
      <c r="Q3" s="220"/>
      <c r="R3" s="220"/>
      <c r="S3" s="220"/>
      <c r="T3" s="220"/>
      <c r="U3" s="220"/>
      <c r="V3" s="220"/>
      <c r="W3" s="220"/>
    </row>
    <row r="4" ht="15.75" customHeight="1">
      <c r="A4" s="272" t="s">
        <v>1172</v>
      </c>
      <c r="B4" s="273">
        <v>45606.0</v>
      </c>
      <c r="C4" s="274"/>
      <c r="D4" s="275"/>
      <c r="E4" s="276"/>
      <c r="F4" s="264"/>
      <c r="G4" s="266"/>
      <c r="H4" s="267"/>
      <c r="I4" s="267"/>
      <c r="J4" s="267"/>
      <c r="K4" s="266"/>
      <c r="L4" s="220"/>
      <c r="M4" s="220"/>
      <c r="N4" s="220"/>
      <c r="O4" s="220"/>
      <c r="P4" s="220"/>
      <c r="Q4" s="220"/>
      <c r="R4" s="220"/>
      <c r="S4" s="220"/>
      <c r="T4" s="220"/>
      <c r="U4" s="220"/>
      <c r="V4" s="220"/>
      <c r="W4" s="220"/>
    </row>
    <row r="5" ht="15.75" customHeight="1">
      <c r="E5" s="277"/>
      <c r="F5" s="264"/>
      <c r="G5" s="266"/>
      <c r="H5" s="267"/>
      <c r="I5" s="267"/>
      <c r="J5" s="267"/>
      <c r="K5" s="266"/>
      <c r="L5" s="220"/>
      <c r="M5" s="220"/>
      <c r="N5" s="220"/>
      <c r="O5" s="220"/>
      <c r="P5" s="220"/>
      <c r="Q5" s="220"/>
      <c r="R5" s="220"/>
      <c r="S5" s="220"/>
      <c r="T5" s="220"/>
      <c r="U5" s="220"/>
      <c r="V5" s="220"/>
      <c r="W5" s="220"/>
    </row>
    <row r="6" ht="15.75" customHeight="1">
      <c r="A6" s="260"/>
      <c r="B6" s="267"/>
      <c r="C6" s="264"/>
      <c r="D6" s="264"/>
      <c r="E6" s="264"/>
      <c r="F6" s="264"/>
      <c r="G6" s="266"/>
      <c r="H6" s="267"/>
      <c r="I6" s="267"/>
      <c r="J6" s="267"/>
      <c r="K6" s="266"/>
      <c r="L6" s="220"/>
      <c r="M6" s="220"/>
      <c r="N6" s="220"/>
      <c r="O6" s="220"/>
      <c r="P6" s="220"/>
      <c r="Q6" s="220"/>
      <c r="R6" s="220"/>
      <c r="S6" s="220"/>
      <c r="T6" s="220"/>
      <c r="U6" s="220"/>
      <c r="V6" s="220"/>
      <c r="W6" s="220"/>
    </row>
    <row r="7" ht="15.75" customHeight="1">
      <c r="A7" s="267"/>
      <c r="B7" s="267"/>
      <c r="C7" s="264"/>
      <c r="D7" s="264"/>
      <c r="E7" s="264"/>
      <c r="F7" s="264"/>
      <c r="G7" s="266"/>
      <c r="H7" s="267"/>
      <c r="I7" s="267"/>
      <c r="J7" s="267"/>
      <c r="K7" s="266"/>
      <c r="L7" s="220"/>
      <c r="M7" s="220"/>
      <c r="N7" s="220"/>
      <c r="O7" s="220"/>
      <c r="P7" s="220"/>
      <c r="Q7" s="220"/>
      <c r="R7" s="220"/>
      <c r="S7" s="220"/>
      <c r="T7" s="220"/>
      <c r="U7" s="220"/>
      <c r="V7" s="220"/>
      <c r="W7" s="220"/>
    </row>
    <row r="8" ht="15.75" customHeight="1">
      <c r="A8" s="267"/>
      <c r="B8" s="267"/>
      <c r="C8" s="267"/>
      <c r="D8" s="267"/>
      <c r="E8" s="264"/>
      <c r="F8" s="264"/>
      <c r="G8" s="266"/>
      <c r="H8" s="267"/>
      <c r="I8" s="267"/>
      <c r="J8" s="267"/>
      <c r="K8" s="266"/>
      <c r="L8" s="220"/>
      <c r="M8" s="220"/>
      <c r="N8" s="220"/>
      <c r="O8" s="220"/>
      <c r="P8" s="220"/>
      <c r="Q8" s="220"/>
      <c r="R8" s="220"/>
      <c r="S8" s="220"/>
      <c r="T8" s="220"/>
      <c r="U8" s="220"/>
      <c r="V8" s="220"/>
      <c r="W8" s="220"/>
    </row>
    <row r="9" ht="15.75" customHeight="1">
      <c r="A9" s="211" t="s">
        <v>1173</v>
      </c>
      <c r="B9" s="213" t="s">
        <v>1174</v>
      </c>
      <c r="C9" s="213" t="s">
        <v>1175</v>
      </c>
      <c r="D9" s="211" t="s">
        <v>1176</v>
      </c>
      <c r="E9" s="211" t="s">
        <v>1177</v>
      </c>
      <c r="F9" s="211" t="s">
        <v>1178</v>
      </c>
      <c r="G9" s="278" t="s">
        <v>1179</v>
      </c>
      <c r="H9" s="278" t="s">
        <v>1180</v>
      </c>
      <c r="I9" s="278" t="s">
        <v>1181</v>
      </c>
      <c r="J9" s="279" t="s">
        <v>1134</v>
      </c>
      <c r="K9" s="280" t="s">
        <v>1182</v>
      </c>
      <c r="L9" s="281" t="s">
        <v>339</v>
      </c>
      <c r="M9" s="220"/>
      <c r="N9" s="220"/>
      <c r="O9" s="220"/>
      <c r="P9" s="220"/>
      <c r="Q9" s="220"/>
      <c r="R9" s="220"/>
      <c r="S9" s="220"/>
      <c r="T9" s="220"/>
      <c r="U9" s="220"/>
      <c r="V9" s="220"/>
      <c r="W9" s="220"/>
    </row>
    <row r="10" ht="15.75" customHeight="1">
      <c r="A10" s="231" t="s">
        <v>1183</v>
      </c>
      <c r="B10" s="230"/>
      <c r="C10" s="231"/>
      <c r="D10" s="232" t="s">
        <v>216</v>
      </c>
      <c r="E10" s="231"/>
      <c r="F10" s="231"/>
      <c r="G10" s="233"/>
      <c r="H10" s="282"/>
      <c r="I10" s="258"/>
      <c r="J10" s="236"/>
      <c r="K10" s="237">
        <f t="shared" ref="K10:L10" si="1">SUBTOTAL(9,K11:K24)</f>
        <v>0</v>
      </c>
      <c r="L10" s="237">
        <f t="shared" si="1"/>
        <v>0</v>
      </c>
      <c r="M10" s="220"/>
      <c r="N10" s="220"/>
      <c r="O10" s="220"/>
      <c r="P10" s="220"/>
      <c r="Q10" s="220"/>
      <c r="R10" s="220"/>
      <c r="S10" s="220"/>
      <c r="T10" s="220"/>
      <c r="U10" s="220"/>
      <c r="V10" s="220"/>
      <c r="W10" s="220"/>
    </row>
    <row r="11" outlineLevel="1">
      <c r="A11" s="213"/>
      <c r="B11" s="212" t="s">
        <v>8</v>
      </c>
      <c r="C11" s="213" t="s">
        <v>397</v>
      </c>
      <c r="D11" s="214" t="str">
        <f>IFERROR(VLOOKUP($C11,'PORTIFÓLIO'!C:V,2,0),"")</f>
        <v>CaO 38%  MgO 18%</v>
      </c>
      <c r="E11" s="211" t="str">
        <f>IFERROR(VLOOKUP($C11,'PORTIFÓLIO'!C:V,3,0),"")</f>
        <v/>
      </c>
      <c r="F11" s="211" t="str">
        <f>IFERROR(VLOOKUP($C11,'PORTIFÓLIO'!C:V,4,0),"")</f>
        <v>Ton</v>
      </c>
      <c r="G11" s="215" t="str">
        <f>IFERROR(VLOOKUP($C11,'PORTIFÓLIO'!C:V,5,0),"")</f>
        <v/>
      </c>
      <c r="H11" s="254" t="str">
        <f t="array" ref="H11">IFERROR(INDEX('PORTIFÓLIO'!$H$4:$H$433,MATCH($C11,'PORTIFÓLIO'!$C$4:$C$433,0)),"")</f>
        <v/>
      </c>
      <c r="I11" s="255">
        <v>3.0</v>
      </c>
      <c r="J11" s="218">
        <f t="shared" ref="J11:J24" si="2">I11*$B$2</f>
        <v>360</v>
      </c>
      <c r="K11" s="219">
        <f t="array" ref="K11">IFERROR(I11*INDEX('PORTIFÓLIO'!$S$4:$S$433,MATCH($C11,'PORTIFÓLIO'!$C$4:$C$433,0)),"")</f>
        <v>0</v>
      </c>
      <c r="L11" s="219">
        <f t="array" ref="L11">IFERROR(J11*INDEX('PORTIFÓLIO'!$S$4:$S$433,MATCH($C11,'PORTIFÓLIO'!$C$4:$C$433,0)),"")</f>
        <v>0</v>
      </c>
      <c r="M11" s="220"/>
      <c r="N11" s="220"/>
      <c r="O11" s="220"/>
      <c r="P11" s="220"/>
      <c r="Q11" s="220"/>
      <c r="R11" s="220"/>
      <c r="S11" s="220"/>
      <c r="T11" s="220"/>
      <c r="U11" s="220" t="str">
        <f>IFERROR(__xludf.DUMMYFUNCTION("FILTER('PORTIFÓLIO'!C:C, 'PORTIFÓLIO'!B:B=B11)"),"#REF!")</f>
        <v>#REF!</v>
      </c>
      <c r="V11" s="220"/>
      <c r="W11" s="220"/>
    </row>
    <row r="12" outlineLevel="1">
      <c r="A12" s="213"/>
      <c r="B12" s="212" t="s">
        <v>7</v>
      </c>
      <c r="C12" s="213" t="s">
        <v>423</v>
      </c>
      <c r="D12" s="214" t="str">
        <f>IFERROR(VLOOKUP($C12,'PORTIFÓLIO'!C:V,2,0),"")</f>
        <v>P2O5 14%</v>
      </c>
      <c r="E12" s="211" t="str">
        <f>IFERROR(VLOOKUP($C12,'PORTIFÓLIO'!C:V,3,0),"")</f>
        <v/>
      </c>
      <c r="F12" s="211" t="str">
        <f>IFERROR(VLOOKUP($C12,'PORTIFÓLIO'!C:V,4,0),"")</f>
        <v>Ton</v>
      </c>
      <c r="G12" s="215" t="str">
        <f>IFERROR(VLOOKUP($C12,'PORTIFÓLIO'!C:V,5,0),"")</f>
        <v/>
      </c>
      <c r="H12" s="254" t="str">
        <f t="array" ref="H12">IFERROR(INDEX('PORTIFÓLIO'!$H$4:$H$433,MATCH($C12,'PORTIFÓLIO'!$C$4:$C$433,0)),"")</f>
        <v/>
      </c>
      <c r="I12" s="255">
        <v>0.5</v>
      </c>
      <c r="J12" s="218">
        <f t="shared" si="2"/>
        <v>60</v>
      </c>
      <c r="K12" s="219">
        <f t="array" ref="K12">IFERROR(I12*INDEX('PORTIFÓLIO'!$S$4:$S$433,MATCH($C12,'PORTIFÓLIO'!$C$4:$C$433,0)),"")</f>
        <v>0</v>
      </c>
      <c r="L12" s="219">
        <f t="array" ref="L12">IFERROR(J12*INDEX('PORTIFÓLIO'!$S$4:$S$433,MATCH($C12,'PORTIFÓLIO'!$C$4:$C$433,0)),"")</f>
        <v>0</v>
      </c>
      <c r="M12" s="220"/>
      <c r="N12" s="220"/>
      <c r="O12" s="220"/>
      <c r="P12" s="220"/>
      <c r="Q12" s="220"/>
      <c r="R12" s="220"/>
      <c r="S12" s="220"/>
      <c r="T12" s="220"/>
      <c r="U12" s="220" t="str">
        <f>IFERROR(__xludf.DUMMYFUNCTION("FILTER('PORTIFÓLIO'!C:C, 'PORTIFÓLIO'!B:B=B12)"),"#REF!")</f>
        <v>#REF!</v>
      </c>
      <c r="V12" s="220"/>
      <c r="W12" s="220"/>
    </row>
    <row r="13" outlineLevel="1">
      <c r="A13" s="213"/>
      <c r="B13" s="212" t="s">
        <v>7</v>
      </c>
      <c r="C13" s="213" t="s">
        <v>405</v>
      </c>
      <c r="D13" s="214" t="str">
        <f>IFERROR(VLOOKUP($C13,'PORTIFÓLIO'!C:V,2,0),"")</f>
        <v>K2O 60%</v>
      </c>
      <c r="E13" s="211" t="str">
        <f>IFERROR(VLOOKUP($C13,'PORTIFÓLIO'!C:V,3,0),"")</f>
        <v/>
      </c>
      <c r="F13" s="211" t="str">
        <f>IFERROR(VLOOKUP($C13,'PORTIFÓLIO'!C:V,4,0),"")</f>
        <v>Ton</v>
      </c>
      <c r="G13" s="215" t="str">
        <f>IFERROR(VLOOKUP($C13,'PORTIFÓLIO'!C:V,5,0),"")</f>
        <v/>
      </c>
      <c r="H13" s="254" t="str">
        <f t="array" ref="H13">IFERROR(INDEX('PORTIFÓLIO'!$H$4:$H$433,MATCH($C13,'PORTIFÓLIO'!$C$4:$C$433,0)),"")</f>
        <v/>
      </c>
      <c r="I13" s="255">
        <v>0.2</v>
      </c>
      <c r="J13" s="218">
        <f t="shared" si="2"/>
        <v>24</v>
      </c>
      <c r="K13" s="219">
        <f t="array" ref="K13">IFERROR(I13*INDEX('PORTIFÓLIO'!$S$4:$S$433,MATCH($C13,'PORTIFÓLIO'!$C$4:$C$433,0)),"")</f>
        <v>0</v>
      </c>
      <c r="L13" s="219">
        <f t="array" ref="L13">IFERROR(J13*INDEX('PORTIFÓLIO'!$S$4:$S$433,MATCH($C13,'PORTIFÓLIO'!$C$4:$C$433,0)),"")</f>
        <v>0</v>
      </c>
      <c r="M13" s="220"/>
      <c r="N13" s="220"/>
      <c r="O13" s="220"/>
      <c r="P13" s="220"/>
      <c r="Q13" s="220"/>
      <c r="R13" s="220"/>
      <c r="S13" s="220"/>
      <c r="T13" s="220"/>
      <c r="U13" s="220" t="str">
        <f>IFERROR(__xludf.DUMMYFUNCTION("FILTER('PORTIFÓLIO'!C:C, 'PORTIFÓLIO'!B:B=B13)"),"#REF!")</f>
        <v>#REF!</v>
      </c>
      <c r="V13" s="220"/>
      <c r="W13" s="220"/>
    </row>
    <row r="14" outlineLevel="1">
      <c r="A14" s="211"/>
      <c r="B14" s="212" t="s">
        <v>7</v>
      </c>
      <c r="C14" s="213" t="s">
        <v>429</v>
      </c>
      <c r="D14" s="214" t="str">
        <f>IFERROR(VLOOKUP($C14,'PORTIFÓLIO'!C:V,2,0),"")</f>
        <v>Cu 2% Mn 8% Zn 7% </v>
      </c>
      <c r="E14" s="211" t="str">
        <f>IFERROR(VLOOKUP($C14,'PORTIFÓLIO'!C:V,3,0),"")</f>
        <v/>
      </c>
      <c r="F14" s="211" t="str">
        <f>IFERROR(VLOOKUP($C14,'PORTIFÓLIO'!C:V,4,0),"")</f>
        <v>Ton</v>
      </c>
      <c r="G14" s="215" t="str">
        <f>IFERROR(VLOOKUP($C14,'PORTIFÓLIO'!C:V,5,0),"")</f>
        <v/>
      </c>
      <c r="H14" s="254" t="str">
        <f t="array" ref="H14">IFERROR(INDEX('PORTIFÓLIO'!$H$4:$H$433,MATCH($C14,'PORTIFÓLIO'!$C$4:$C$433,0)),"")</f>
        <v/>
      </c>
      <c r="I14" s="255">
        <v>0.05</v>
      </c>
      <c r="J14" s="218">
        <f t="shared" si="2"/>
        <v>6</v>
      </c>
      <c r="K14" s="219">
        <f t="array" ref="K14">IFERROR(I14*INDEX('PORTIFÓLIO'!$S$4:$S$433,MATCH($C14,'PORTIFÓLIO'!$C$4:$C$433,0)),"")</f>
        <v>0</v>
      </c>
      <c r="L14" s="219">
        <f t="array" ref="L14">IFERROR(J14*INDEX('PORTIFÓLIO'!$S$4:$S$433,MATCH($C14,'PORTIFÓLIO'!$C$4:$C$433,0)),"")</f>
        <v>0</v>
      </c>
      <c r="M14" s="220"/>
      <c r="N14" s="220"/>
      <c r="O14" s="220"/>
      <c r="P14" s="220"/>
      <c r="Q14" s="220"/>
      <c r="R14" s="220"/>
      <c r="S14" s="220"/>
      <c r="T14" s="220"/>
      <c r="U14" s="220" t="str">
        <f>IFERROR(__xludf.DUMMYFUNCTION("FILTER('PORTIFÓLIO'!C:C, 'PORTIFÓLIO'!B:B=B14)"),"#REF!")</f>
        <v>#REF!</v>
      </c>
      <c r="V14" s="220"/>
      <c r="W14" s="220"/>
    </row>
    <row r="15" outlineLevel="1">
      <c r="A15" s="211"/>
      <c r="B15" s="212"/>
      <c r="C15" s="213"/>
      <c r="D15" s="214" t="str">
        <f>IFERROR(VLOOKUP($C15,'PORTIFÓLIO'!C:V,2,0),"")</f>
        <v/>
      </c>
      <c r="E15" s="211" t="str">
        <f>IFERROR(VLOOKUP($C15,'PORTIFÓLIO'!C:V,3,0),"")</f>
        <v/>
      </c>
      <c r="F15" s="211" t="str">
        <f>IFERROR(VLOOKUP($C15,'PORTIFÓLIO'!C:V,4,0),"")</f>
        <v/>
      </c>
      <c r="G15" s="215" t="str">
        <f>IFERROR(VLOOKUP($C15,'PORTIFÓLIO'!C:V,5,0),"")</f>
        <v/>
      </c>
      <c r="H15" s="254" t="str">
        <f t="array" ref="H15">IFERROR(INDEX('PORTIFÓLIO'!$H$4:$H$433,MATCH($C15,'PORTIFÓLIO'!$C$4:$C$433,0)),"")</f>
        <v/>
      </c>
      <c r="I15" s="255"/>
      <c r="J15" s="218">
        <f t="shared" si="2"/>
        <v>0</v>
      </c>
      <c r="K15" s="219" t="str">
        <f t="array" ref="K15">IFERROR(I15*INDEX('PORTIFÓLIO'!$S$4:$S$433,MATCH($C15,'PORTIFÓLIO'!$C$4:$C$433,0)),"")</f>
        <v/>
      </c>
      <c r="L15" s="219" t="str">
        <f t="array" ref="L15">IFERROR(J15*INDEX('PORTIFÓLIO'!$S$4:$S$433,MATCH($C15,'PORTIFÓLIO'!$C$4:$C$433,0)),"")</f>
        <v/>
      </c>
      <c r="M15" s="220"/>
      <c r="N15" s="220"/>
      <c r="O15" s="220"/>
      <c r="P15" s="220"/>
      <c r="Q15" s="220"/>
      <c r="R15" s="220"/>
      <c r="S15" s="220"/>
      <c r="T15" s="220"/>
      <c r="U15" s="220" t="str">
        <f>IFERROR(__xludf.DUMMYFUNCTION("FILTER('PORTIFÓLIO'!C:C, 'PORTIFÓLIO'!B:B=B15)"),"#REF!")</f>
        <v>#REF!</v>
      </c>
      <c r="V15" s="220"/>
      <c r="W15" s="220"/>
    </row>
    <row r="16" outlineLevel="1">
      <c r="A16" s="211"/>
      <c r="B16" s="212"/>
      <c r="C16" s="213"/>
      <c r="D16" s="214" t="str">
        <f>IFERROR(VLOOKUP($C16,'PORTIFÓLIO'!C:V,2,0),"")</f>
        <v/>
      </c>
      <c r="E16" s="211" t="str">
        <f>IFERROR(VLOOKUP($C16,'PORTIFÓLIO'!C:V,3,0),"")</f>
        <v/>
      </c>
      <c r="F16" s="211" t="str">
        <f>IFERROR(VLOOKUP($C16,'PORTIFÓLIO'!C:V,4,0),"")</f>
        <v/>
      </c>
      <c r="G16" s="215" t="str">
        <f>IFERROR(VLOOKUP($C16,'PORTIFÓLIO'!C:V,5,0),"")</f>
        <v/>
      </c>
      <c r="H16" s="254" t="str">
        <f t="array" ref="H16">IFERROR(INDEX('PORTIFÓLIO'!$H$4:$H$433,MATCH($C16,'PORTIFÓLIO'!$C$4:$C$433,0)),"")</f>
        <v/>
      </c>
      <c r="I16" s="255"/>
      <c r="J16" s="218">
        <f t="shared" si="2"/>
        <v>0</v>
      </c>
      <c r="K16" s="219" t="str">
        <f t="array" ref="K16">IFERROR(I16*INDEX('PORTIFÓLIO'!$S$4:$S$433,MATCH($C16,'PORTIFÓLIO'!$C$4:$C$433,0)),"")</f>
        <v/>
      </c>
      <c r="L16" s="219" t="str">
        <f t="array" ref="L16">IFERROR(J16*INDEX('PORTIFÓLIO'!$S$4:$S$433,MATCH($C16,'PORTIFÓLIO'!$C$4:$C$433,0)),"")</f>
        <v/>
      </c>
      <c r="M16" s="220"/>
      <c r="N16" s="220"/>
      <c r="O16" s="220"/>
      <c r="P16" s="220"/>
      <c r="Q16" s="220"/>
      <c r="R16" s="220"/>
      <c r="S16" s="220"/>
      <c r="T16" s="220"/>
      <c r="U16" s="220" t="str">
        <f>IFERROR(__xludf.DUMMYFUNCTION("FILTER('PORTIFÓLIO'!C:C, 'PORTIFÓLIO'!B:B=B16)"),"#REF!")</f>
        <v>#REF!</v>
      </c>
      <c r="V16" s="220"/>
      <c r="W16" s="220"/>
    </row>
    <row r="17" outlineLevel="1">
      <c r="A17" s="211"/>
      <c r="B17" s="212"/>
      <c r="C17" s="213"/>
      <c r="D17" s="214" t="str">
        <f>IFERROR(VLOOKUP($C17,'PORTIFÓLIO'!C:V,2,0),"")</f>
        <v/>
      </c>
      <c r="E17" s="211" t="str">
        <f>IFERROR(VLOOKUP($C17,'PORTIFÓLIO'!C:V,3,0),"")</f>
        <v/>
      </c>
      <c r="F17" s="211" t="str">
        <f>IFERROR(VLOOKUP($C17,'PORTIFÓLIO'!C:V,4,0),"")</f>
        <v/>
      </c>
      <c r="G17" s="215" t="str">
        <f>IFERROR(VLOOKUP($C17,'PORTIFÓLIO'!C:V,5,0),"")</f>
        <v/>
      </c>
      <c r="H17" s="254" t="str">
        <f t="array" ref="H17">IFERROR(INDEX('PORTIFÓLIO'!$H$4:$H$433,MATCH($C17,'PORTIFÓLIO'!$C$4:$C$433,0)),"")</f>
        <v/>
      </c>
      <c r="I17" s="255"/>
      <c r="J17" s="218">
        <f t="shared" si="2"/>
        <v>0</v>
      </c>
      <c r="K17" s="219" t="str">
        <f t="array" ref="K17">IFERROR(I17*INDEX('PORTIFÓLIO'!$S$4:$S$433,MATCH($C17,'PORTIFÓLIO'!$C$4:$C$433,0)),"")</f>
        <v/>
      </c>
      <c r="L17" s="219" t="str">
        <f t="array" ref="L17">IFERROR(J17*INDEX('PORTIFÓLIO'!$S$4:$S$433,MATCH($C17,'PORTIFÓLIO'!$C$4:$C$433,0)),"")</f>
        <v/>
      </c>
      <c r="M17" s="220"/>
      <c r="N17" s="220"/>
      <c r="O17" s="220"/>
      <c r="P17" s="220"/>
      <c r="Q17" s="220"/>
      <c r="R17" s="220"/>
      <c r="S17" s="220"/>
      <c r="T17" s="220"/>
      <c r="U17" s="220" t="str">
        <f>IFERROR(__xludf.DUMMYFUNCTION("FILTER('PORTIFÓLIO'!C:C, 'PORTIFÓLIO'!B:B=B17)"),"#REF!")</f>
        <v>#REF!</v>
      </c>
      <c r="V17" s="220"/>
      <c r="W17" s="220"/>
    </row>
    <row r="18" outlineLevel="1">
      <c r="A18" s="211"/>
      <c r="B18" s="212"/>
      <c r="C18" s="213"/>
      <c r="D18" s="214" t="str">
        <f>IFERROR(VLOOKUP($C18,'PORTIFÓLIO'!C:V,2,0),"")</f>
        <v/>
      </c>
      <c r="E18" s="211" t="str">
        <f>IFERROR(VLOOKUP($C18,'PORTIFÓLIO'!C:V,3,0),"")</f>
        <v/>
      </c>
      <c r="F18" s="211" t="str">
        <f>IFERROR(VLOOKUP($C18,'PORTIFÓLIO'!C:V,4,0),"")</f>
        <v/>
      </c>
      <c r="G18" s="215" t="str">
        <f>IFERROR(VLOOKUP($C18,'PORTIFÓLIO'!C:V,5,0),"")</f>
        <v/>
      </c>
      <c r="H18" s="254" t="str">
        <f t="array" ref="H18">IFERROR(INDEX('PORTIFÓLIO'!$H$4:$H$433,MATCH($C18,'PORTIFÓLIO'!$C$4:$C$433,0)),"")</f>
        <v/>
      </c>
      <c r="I18" s="255"/>
      <c r="J18" s="218">
        <f t="shared" si="2"/>
        <v>0</v>
      </c>
      <c r="K18" s="219" t="str">
        <f t="array" ref="K18">IFERROR(I18*INDEX('PORTIFÓLIO'!$S$4:$S$433,MATCH($C18,'PORTIFÓLIO'!$C$4:$C$433,0)),"")</f>
        <v/>
      </c>
      <c r="L18" s="219" t="str">
        <f t="array" ref="L18">IFERROR(J18*INDEX('PORTIFÓLIO'!$S$4:$S$433,MATCH($C18,'PORTIFÓLIO'!$C$4:$C$433,0)),"")</f>
        <v/>
      </c>
      <c r="M18" s="220"/>
      <c r="N18" s="220"/>
      <c r="O18" s="220"/>
      <c r="P18" s="220"/>
      <c r="Q18" s="220"/>
      <c r="R18" s="220"/>
      <c r="S18" s="220"/>
      <c r="T18" s="220"/>
      <c r="U18" s="220" t="str">
        <f>IFERROR(__xludf.DUMMYFUNCTION("FILTER('PORTIFÓLIO'!C:C, 'PORTIFÓLIO'!B:B=B18)"),"#REF!")</f>
        <v>#REF!</v>
      </c>
      <c r="V18" s="220"/>
      <c r="W18" s="220"/>
    </row>
    <row r="19" outlineLevel="1">
      <c r="A19" s="211"/>
      <c r="B19" s="212"/>
      <c r="C19" s="213"/>
      <c r="D19" s="214" t="str">
        <f>IFERROR(VLOOKUP($C19,'PORTIFÓLIO'!C:V,2,0),"")</f>
        <v/>
      </c>
      <c r="E19" s="211" t="str">
        <f>IFERROR(VLOOKUP($C19,'PORTIFÓLIO'!C:V,3,0),"")</f>
        <v/>
      </c>
      <c r="F19" s="211" t="str">
        <f>IFERROR(VLOOKUP($C19,'PORTIFÓLIO'!C:V,4,0),"")</f>
        <v/>
      </c>
      <c r="G19" s="215" t="str">
        <f>IFERROR(VLOOKUP($C19,'PORTIFÓLIO'!C:V,5,0),"")</f>
        <v/>
      </c>
      <c r="H19" s="254" t="str">
        <f t="array" ref="H19">IFERROR(INDEX('PORTIFÓLIO'!$H$4:$H$433,MATCH($C19,'PORTIFÓLIO'!$C$4:$C$433,0)),"")</f>
        <v/>
      </c>
      <c r="I19" s="255"/>
      <c r="J19" s="218">
        <f t="shared" si="2"/>
        <v>0</v>
      </c>
      <c r="K19" s="219" t="str">
        <f t="array" ref="K19">IFERROR(I19*INDEX('PORTIFÓLIO'!$S$4:$S$433,MATCH($C19,'PORTIFÓLIO'!$C$4:$C$433,0)),"")</f>
        <v/>
      </c>
      <c r="L19" s="219" t="str">
        <f t="array" ref="L19">IFERROR(J19*INDEX('PORTIFÓLIO'!$S$4:$S$433,MATCH($C19,'PORTIFÓLIO'!$C$4:$C$433,0)),"")</f>
        <v/>
      </c>
      <c r="M19" s="220"/>
      <c r="N19" s="220"/>
      <c r="O19" s="220"/>
      <c r="P19" s="220"/>
      <c r="Q19" s="220"/>
      <c r="R19" s="220"/>
      <c r="S19" s="220"/>
      <c r="T19" s="220"/>
      <c r="U19" s="220" t="str">
        <f>IFERROR(__xludf.DUMMYFUNCTION("FILTER('PORTIFÓLIO'!C:C, 'PORTIFÓLIO'!B:B=B19)"),"")</f>
        <v/>
      </c>
      <c r="V19" s="220"/>
      <c r="W19" s="220"/>
    </row>
    <row r="20" outlineLevel="1">
      <c r="A20" s="211"/>
      <c r="B20" s="212"/>
      <c r="C20" s="213"/>
      <c r="D20" s="214" t="str">
        <f>IFERROR(VLOOKUP($C20,'PORTIFÓLIO'!C:V,2,0),"")</f>
        <v/>
      </c>
      <c r="E20" s="211" t="str">
        <f>IFERROR(VLOOKUP($C20,'PORTIFÓLIO'!C:V,3,0),"")</f>
        <v/>
      </c>
      <c r="F20" s="211" t="str">
        <f>IFERROR(VLOOKUP($C20,'PORTIFÓLIO'!C:V,4,0),"")</f>
        <v/>
      </c>
      <c r="G20" s="215" t="str">
        <f>IFERROR(VLOOKUP($C20,'PORTIFÓLIO'!C:V,5,0),"")</f>
        <v/>
      </c>
      <c r="H20" s="254" t="str">
        <f t="array" ref="H20">IFERROR(INDEX('PORTIFÓLIO'!$H$4:$H$433,MATCH($C20,'PORTIFÓLIO'!$C$4:$C$433,0)),"")</f>
        <v/>
      </c>
      <c r="I20" s="255"/>
      <c r="J20" s="218">
        <f t="shared" si="2"/>
        <v>0</v>
      </c>
      <c r="K20" s="219" t="str">
        <f t="array" ref="K20">IFERROR(I20*INDEX('PORTIFÓLIO'!$S$4:$S$433,MATCH($C20,'PORTIFÓLIO'!$C$4:$C$433,0)),"")</f>
        <v/>
      </c>
      <c r="L20" s="219" t="str">
        <f t="array" ref="L20">IFERROR(J20*INDEX('PORTIFÓLIO'!$S$4:$S$433,MATCH($C20,'PORTIFÓLIO'!$C$4:$C$433,0)),"")</f>
        <v/>
      </c>
      <c r="M20" s="220"/>
      <c r="N20" s="220"/>
      <c r="O20" s="220"/>
      <c r="P20" s="220"/>
      <c r="Q20" s="220"/>
      <c r="R20" s="220"/>
      <c r="S20" s="220"/>
      <c r="T20" s="220"/>
      <c r="U20" s="220"/>
      <c r="V20" s="220"/>
      <c r="W20" s="220"/>
    </row>
    <row r="21" ht="15.75" customHeight="1" outlineLevel="1">
      <c r="A21" s="211"/>
      <c r="B21" s="212"/>
      <c r="C21" s="213"/>
      <c r="D21" s="214" t="str">
        <f>IFERROR(VLOOKUP($C21,'PORTIFÓLIO'!C:V,2,0),"")</f>
        <v/>
      </c>
      <c r="E21" s="211" t="str">
        <f>IFERROR(VLOOKUP($C21,'PORTIFÓLIO'!C:V,3,0),"")</f>
        <v/>
      </c>
      <c r="F21" s="211" t="str">
        <f>IFERROR(VLOOKUP($C21,'PORTIFÓLIO'!C:V,4,0),"")</f>
        <v/>
      </c>
      <c r="G21" s="215" t="str">
        <f>IFERROR(VLOOKUP($C21,'PORTIFÓLIO'!C:V,5,0),"")</f>
        <v/>
      </c>
      <c r="H21" s="254" t="str">
        <f t="array" ref="H21">IFERROR(INDEX('PORTIFÓLIO'!$H$4:$H$433,MATCH($C21,'PORTIFÓLIO'!$C$4:$C$433,0)),"")</f>
        <v/>
      </c>
      <c r="I21" s="255"/>
      <c r="J21" s="218">
        <f t="shared" si="2"/>
        <v>0</v>
      </c>
      <c r="K21" s="219" t="str">
        <f t="array" ref="K21">IFERROR(I21*INDEX('PORTIFÓLIO'!$S$4:$S$433,MATCH($C21,'PORTIFÓLIO'!$C$4:$C$433,0)),"")</f>
        <v/>
      </c>
      <c r="L21" s="219" t="str">
        <f t="array" ref="L21">IFERROR(J21*INDEX('PORTIFÓLIO'!$S$4:$S$433,MATCH($C21,'PORTIFÓLIO'!$C$4:$C$433,0)),"")</f>
        <v/>
      </c>
      <c r="M21" s="220"/>
      <c r="N21" s="220"/>
      <c r="O21" s="220"/>
      <c r="P21" s="220"/>
      <c r="Q21" s="220"/>
      <c r="R21" s="220"/>
      <c r="S21" s="220"/>
      <c r="T21" s="220"/>
      <c r="U21" s="220"/>
      <c r="V21" s="220"/>
      <c r="W21" s="220"/>
    </row>
    <row r="22" ht="15.75" customHeight="1" outlineLevel="1">
      <c r="A22" s="211"/>
      <c r="B22" s="212"/>
      <c r="C22" s="213"/>
      <c r="D22" s="214" t="str">
        <f>IFERROR(VLOOKUP($C22,'PORTIFÓLIO'!C:V,2,0),"")</f>
        <v/>
      </c>
      <c r="E22" s="211" t="str">
        <f>IFERROR(VLOOKUP($C22,'PORTIFÓLIO'!C:V,3,0),"")</f>
        <v/>
      </c>
      <c r="F22" s="211" t="str">
        <f>IFERROR(VLOOKUP($C22,'PORTIFÓLIO'!C:V,4,0),"")</f>
        <v/>
      </c>
      <c r="G22" s="215" t="str">
        <f>IFERROR(VLOOKUP($C22,'PORTIFÓLIO'!C:V,5,0),"")</f>
        <v/>
      </c>
      <c r="H22" s="254" t="str">
        <f t="array" ref="H22">IFERROR(INDEX('PORTIFÓLIO'!$H$4:$H$433,MATCH($C22,'PORTIFÓLIO'!$C$4:$C$433,0)),"")</f>
        <v/>
      </c>
      <c r="I22" s="255"/>
      <c r="J22" s="218">
        <f t="shared" si="2"/>
        <v>0</v>
      </c>
      <c r="K22" s="219" t="str">
        <f t="array" ref="K22">IFERROR(I22*INDEX('PORTIFÓLIO'!$S$4:$S$433,MATCH($C22,'PORTIFÓLIO'!$C$4:$C$433,0)),"")</f>
        <v/>
      </c>
      <c r="L22" s="219" t="str">
        <f t="array" ref="L22">IFERROR(J22*INDEX('PORTIFÓLIO'!$S$4:$S$433,MATCH($C22,'PORTIFÓLIO'!$C$4:$C$433,0)),"")</f>
        <v/>
      </c>
      <c r="M22" s="220"/>
      <c r="N22" s="220"/>
      <c r="O22" s="220"/>
      <c r="P22" s="220"/>
      <c r="Q22" s="220"/>
      <c r="R22" s="220"/>
      <c r="S22" s="220"/>
      <c r="T22" s="220"/>
      <c r="U22" s="220"/>
      <c r="V22" s="220"/>
      <c r="W22" s="220"/>
    </row>
    <row r="23" ht="15.75" customHeight="1" outlineLevel="1">
      <c r="A23" s="211"/>
      <c r="B23" s="212"/>
      <c r="C23" s="213"/>
      <c r="D23" s="214" t="str">
        <f>IFERROR(VLOOKUP($C23,'PORTIFÓLIO'!C:V,2,0),"")</f>
        <v/>
      </c>
      <c r="E23" s="211" t="str">
        <f>IFERROR(VLOOKUP($C23,'PORTIFÓLIO'!C:V,3,0),"")</f>
        <v/>
      </c>
      <c r="F23" s="211" t="str">
        <f>IFERROR(VLOOKUP($C23,'PORTIFÓLIO'!C:V,4,0),"")</f>
        <v/>
      </c>
      <c r="G23" s="215" t="str">
        <f>IFERROR(VLOOKUP($C23,'PORTIFÓLIO'!C:V,5,0),"")</f>
        <v/>
      </c>
      <c r="H23" s="254" t="str">
        <f t="array" ref="H23">IFERROR(INDEX('PORTIFÓLIO'!$H$4:$H$433,MATCH($C23,'PORTIFÓLIO'!$C$4:$C$433,0)),"")</f>
        <v/>
      </c>
      <c r="I23" s="255"/>
      <c r="J23" s="218">
        <f t="shared" si="2"/>
        <v>0</v>
      </c>
      <c r="K23" s="219" t="str">
        <f t="array" ref="K23">IFERROR(I23*INDEX('PORTIFÓLIO'!$S$4:$S$433,MATCH($C23,'PORTIFÓLIO'!$C$4:$C$433,0)),"")</f>
        <v/>
      </c>
      <c r="L23" s="219" t="str">
        <f t="array" ref="L23">IFERROR(J23*INDEX('PORTIFÓLIO'!$S$4:$S$433,MATCH($C23,'PORTIFÓLIO'!$C$4:$C$433,0)),"")</f>
        <v/>
      </c>
      <c r="M23" s="220"/>
      <c r="N23" s="220"/>
      <c r="O23" s="220"/>
      <c r="P23" s="220"/>
      <c r="Q23" s="220"/>
      <c r="R23" s="220"/>
      <c r="S23" s="220"/>
      <c r="T23" s="220"/>
      <c r="U23" s="220"/>
      <c r="V23" s="220"/>
      <c r="W23" s="220"/>
    </row>
    <row r="24" ht="15.75" customHeight="1" outlineLevel="1">
      <c r="A24" s="211"/>
      <c r="B24" s="212"/>
      <c r="C24" s="213"/>
      <c r="D24" s="214" t="str">
        <f>IFERROR(VLOOKUP($C24,'PORTIFÓLIO'!C:V,2,0),"")</f>
        <v/>
      </c>
      <c r="E24" s="211" t="str">
        <f>IFERROR(VLOOKUP($C24,'PORTIFÓLIO'!C:V,3,0),"")</f>
        <v/>
      </c>
      <c r="F24" s="211" t="str">
        <f>IFERROR(VLOOKUP($C24,'PORTIFÓLIO'!C:V,4,0),"")</f>
        <v/>
      </c>
      <c r="G24" s="215" t="str">
        <f>IFERROR(VLOOKUP($C24,'PORTIFÓLIO'!C:V,5,0),"")</f>
        <v/>
      </c>
      <c r="H24" s="254" t="str">
        <f t="array" ref="H24">IFERROR(INDEX('PORTIFÓLIO'!$H$4:$H$433,MATCH($C24,'PORTIFÓLIO'!$C$4:$C$433,0)),"")</f>
        <v/>
      </c>
      <c r="I24" s="255"/>
      <c r="J24" s="218">
        <f t="shared" si="2"/>
        <v>0</v>
      </c>
      <c r="K24" s="219" t="str">
        <f t="array" ref="K24">IFERROR(I24*INDEX('PORTIFÓLIO'!$S$4:$S$433,MATCH($C24,'PORTIFÓLIO'!$C$4:$C$433,0)),"")</f>
        <v/>
      </c>
      <c r="L24" s="219" t="str">
        <f t="array" ref="L24">IFERROR(J24*INDEX('PORTIFÓLIO'!$S$4:$S$433,MATCH($C24,'PORTIFÓLIO'!$C$4:$C$433,0)),"")</f>
        <v/>
      </c>
      <c r="M24" s="220"/>
      <c r="N24" s="220"/>
      <c r="O24" s="220"/>
      <c r="P24" s="220"/>
      <c r="Q24" s="220"/>
      <c r="R24" s="220"/>
      <c r="S24" s="220"/>
      <c r="T24" s="220"/>
      <c r="U24" s="220"/>
      <c r="V24" s="220"/>
      <c r="W24" s="220"/>
    </row>
    <row r="25" ht="15.75" customHeight="1">
      <c r="A25" s="229" t="s">
        <v>1184</v>
      </c>
      <c r="B25" s="230"/>
      <c r="C25" s="231"/>
      <c r="D25" s="232"/>
      <c r="E25" s="231"/>
      <c r="F25" s="231"/>
      <c r="G25" s="233"/>
      <c r="H25" s="233"/>
      <c r="I25" s="258"/>
      <c r="J25" s="236"/>
      <c r="K25" s="237">
        <f t="shared" ref="K25:L25" si="3">SUBTOTAL(9,K26:K39)</f>
        <v>168.51349</v>
      </c>
      <c r="L25" s="237">
        <f t="shared" si="3"/>
        <v>20221.6188</v>
      </c>
      <c r="M25" s="220"/>
      <c r="N25" s="220"/>
      <c r="O25" s="220"/>
      <c r="P25" s="220"/>
      <c r="Q25" s="220"/>
      <c r="R25" s="220"/>
      <c r="S25" s="220"/>
      <c r="T25" s="220"/>
      <c r="U25" s="220"/>
      <c r="V25" s="220"/>
      <c r="W25" s="220"/>
    </row>
    <row r="26" ht="15.75" customHeight="1" outlineLevel="1">
      <c r="A26" s="213"/>
      <c r="B26" s="212" t="s">
        <v>1</v>
      </c>
      <c r="C26" s="213" t="s">
        <v>637</v>
      </c>
      <c r="D26" s="214" t="str">
        <f>IFERROR(VLOOKUP($C26,'PORTIFÓLIO'!C:V,2,0),"")</f>
        <v>GLIFOSATO-SAL DE AMÔNIO</v>
      </c>
      <c r="E26" s="211">
        <f>IFERROR(VLOOKUP($C26,'PORTIFÓLIO'!C:V,3,0),"")</f>
        <v>720</v>
      </c>
      <c r="F26" s="211" t="str">
        <f>IFERROR(VLOOKUP($C26,'PORTIFÓLIO'!C:V,4,0),"")</f>
        <v>L</v>
      </c>
      <c r="G26" s="225" t="str">
        <f>IFERROR(VLOOKUP($C26,'PORTIFÓLIO'!C:V,5,0),"")</f>
        <v>📄 Ver bula</v>
      </c>
      <c r="H26" s="254">
        <f t="array" ref="H26">IFERROR(INDEX('PORTIFÓLIO'!$H$4:$H$433,MATCH($C26,'PORTIFÓLIO'!$C$4:$C$433,0)),"")</f>
        <v>2</v>
      </c>
      <c r="I26" s="255">
        <v>2.0</v>
      </c>
      <c r="J26" s="218">
        <f t="shared" ref="J26:J43" si="4">I26*$B$2</f>
        <v>240</v>
      </c>
      <c r="K26" s="219">
        <f t="array" ref="K26">IFERROR(I26*INDEX('PORTIFÓLIO'!$S$4:$S$433,MATCH($C26,'PORTIFÓLIO'!$C$4:$C$433,0)),"")</f>
        <v>49.16</v>
      </c>
      <c r="L26" s="219">
        <f t="array" ref="L26">IFERROR(J26*INDEX('PORTIFÓLIO'!$S$4:$S$433,MATCH($C26,'PORTIFÓLIO'!$C$4:$C$433,0)),"")</f>
        <v>5899.2</v>
      </c>
      <c r="M26" s="220"/>
      <c r="N26" s="220"/>
      <c r="O26" s="220"/>
      <c r="P26" s="220"/>
      <c r="Q26" s="220"/>
      <c r="R26" s="220"/>
      <c r="S26" s="220"/>
      <c r="T26" s="220"/>
      <c r="U26" s="220"/>
      <c r="V26" s="220"/>
      <c r="W26" s="220"/>
    </row>
    <row r="27" ht="15.75" customHeight="1" outlineLevel="1">
      <c r="A27" s="211"/>
      <c r="B27" s="212" t="s">
        <v>1</v>
      </c>
      <c r="C27" s="213" t="s">
        <v>610</v>
      </c>
      <c r="D27" s="214" t="str">
        <f>IFERROR(VLOOKUP($C27,'PORTIFÓLIO'!C:V,2,0),"")</f>
        <v>CLETODIM + FLUROXIPIR-MEPTÍLICO</v>
      </c>
      <c r="E27" s="211" t="str">
        <f>IFERROR(VLOOKUP($C27,'PORTIFÓLIO'!C:V,3,0),"")</f>
        <v>140 + 288</v>
      </c>
      <c r="F27" s="211" t="str">
        <f>IFERROR(VLOOKUP($C27,'PORTIFÓLIO'!C:V,4,0),"")</f>
        <v>L</v>
      </c>
      <c r="G27" s="225" t="str">
        <f>IFERROR(VLOOKUP($C27,'PORTIFÓLIO'!C:V,5,0),"")</f>
        <v>📄 Ver bula</v>
      </c>
      <c r="H27" s="254">
        <f t="array" ref="H27">IFERROR(INDEX('PORTIFÓLIO'!$H$4:$H$433,MATCH($C27,'PORTIFÓLIO'!$C$4:$C$433,0)),"")</f>
        <v>1</v>
      </c>
      <c r="I27" s="255">
        <v>1.0</v>
      </c>
      <c r="J27" s="218">
        <f t="shared" si="4"/>
        <v>120</v>
      </c>
      <c r="K27" s="219">
        <f t="array" ref="K27">IFERROR(I27*INDEX('PORTIFÓLIO'!$S$4:$S$433,MATCH($C27,'PORTIFÓLIO'!$C$4:$C$433,0)),"")</f>
        <v>60.04894</v>
      </c>
      <c r="L27" s="219">
        <f t="array" ref="L27">IFERROR(J27*INDEX('PORTIFÓLIO'!$S$4:$S$433,MATCH($C27,'PORTIFÓLIO'!$C$4:$C$433,0)),"")</f>
        <v>7205.8728</v>
      </c>
      <c r="M27" s="220"/>
      <c r="N27" s="220"/>
      <c r="O27" s="220"/>
      <c r="P27" s="220"/>
      <c r="Q27" s="220"/>
      <c r="R27" s="220"/>
      <c r="S27" s="220"/>
      <c r="T27" s="220"/>
      <c r="U27" s="220"/>
      <c r="V27" s="220"/>
      <c r="W27" s="220"/>
    </row>
    <row r="28" ht="15.75" customHeight="1" outlineLevel="1">
      <c r="A28" s="211"/>
      <c r="B28" s="212" t="s">
        <v>6</v>
      </c>
      <c r="C28" s="213" t="s">
        <v>354</v>
      </c>
      <c r="D28" s="214" t="str">
        <f>IFERROR(VLOOKUP($C28,'PORTIFÓLIO'!C:V,2,0),"")</f>
        <v>OLEO MINERAL</v>
      </c>
      <c r="E28" s="211">
        <f>IFERROR(VLOOKUP($C28,'PORTIFÓLIO'!C:V,3,0),"")</f>
        <v>761</v>
      </c>
      <c r="F28" s="211" t="str">
        <f>IFERROR(VLOOKUP($C28,'PORTIFÓLIO'!C:V,4,0),"")</f>
        <v>L</v>
      </c>
      <c r="G28" s="225" t="str">
        <f>IFERROR(VLOOKUP($C28,'PORTIFÓLIO'!C:V,5,0),"")</f>
        <v>📄 Ver bula</v>
      </c>
      <c r="H28" s="254">
        <f t="array" ref="H28">IFERROR(INDEX('PORTIFÓLIO'!$H$4:$H$433,MATCH($C28,'PORTIFÓLIO'!$C$4:$C$433,0)),"")</f>
        <v>0.2</v>
      </c>
      <c r="I28" s="255">
        <v>0.2</v>
      </c>
      <c r="J28" s="218">
        <f t="shared" si="4"/>
        <v>24</v>
      </c>
      <c r="K28" s="219">
        <f t="array" ref="K28">IFERROR(I28*INDEX('PORTIFÓLIO'!$S$4:$S$433,MATCH($C28,'PORTIFÓLIO'!$C$4:$C$433,0)),"")</f>
        <v>3.206</v>
      </c>
      <c r="L28" s="219">
        <f t="array" ref="L28">IFERROR(J28*INDEX('PORTIFÓLIO'!$S$4:$S$433,MATCH($C28,'PORTIFÓLIO'!$C$4:$C$433,0)),"")</f>
        <v>384.72</v>
      </c>
      <c r="M28" s="220"/>
      <c r="N28" s="220"/>
      <c r="O28" s="220"/>
      <c r="P28" s="220"/>
      <c r="Q28" s="220"/>
      <c r="R28" s="220"/>
      <c r="S28" s="220"/>
      <c r="T28" s="220"/>
      <c r="U28" s="220"/>
      <c r="V28" s="220"/>
      <c r="W28" s="220"/>
    </row>
    <row r="29" ht="15.75" customHeight="1" outlineLevel="1">
      <c r="A29" s="211"/>
      <c r="B29" s="212" t="s">
        <v>2</v>
      </c>
      <c r="C29" s="213" t="s">
        <v>824</v>
      </c>
      <c r="D29" s="214" t="str">
        <f>IFERROR(VLOOKUP($C29,'PORTIFÓLIO'!C:V,2,0),"")</f>
        <v>CLORANTRANILIPROLE</v>
      </c>
      <c r="E29" s="211">
        <f>IFERROR(VLOOKUP($C29,'PORTIFÓLIO'!C:V,3,0),"")</f>
        <v>200</v>
      </c>
      <c r="F29" s="211" t="str">
        <f>IFERROR(VLOOKUP($C29,'PORTIFÓLIO'!C:V,4,0),"")</f>
        <v>L</v>
      </c>
      <c r="G29" s="225" t="str">
        <f>IFERROR(VLOOKUP($C29,'PORTIFÓLIO'!C:V,5,0),"")</f>
        <v>📄 Ver bula</v>
      </c>
      <c r="H29" s="254">
        <f t="array" ref="H29">IFERROR(INDEX('PORTIFÓLIO'!$H$4:$H$433,MATCH($C29,'PORTIFÓLIO'!$C$4:$C$433,0)),"")</f>
        <v>0.1</v>
      </c>
      <c r="I29" s="255">
        <v>0.04</v>
      </c>
      <c r="J29" s="218">
        <f t="shared" si="4"/>
        <v>4.8</v>
      </c>
      <c r="K29" s="219">
        <f t="array" ref="K29">IFERROR(I29*INDEX('PORTIFÓLIO'!$S$4:$S$433,MATCH($C29,'PORTIFÓLIO'!$C$4:$C$433,0)),"")</f>
        <v>11.31855</v>
      </c>
      <c r="L29" s="219">
        <f t="array" ref="L29">IFERROR(J29*INDEX('PORTIFÓLIO'!$S$4:$S$433,MATCH($C29,'PORTIFÓLIO'!$C$4:$C$433,0)),"")</f>
        <v>1358.226</v>
      </c>
      <c r="M29" s="220"/>
      <c r="N29" s="220"/>
      <c r="O29" s="220"/>
      <c r="P29" s="220"/>
      <c r="Q29" s="220"/>
      <c r="R29" s="220"/>
      <c r="S29" s="220"/>
      <c r="T29" s="220"/>
      <c r="U29" s="220"/>
      <c r="V29" s="220"/>
      <c r="W29" s="220"/>
    </row>
    <row r="30" ht="15.75" customHeight="1" outlineLevel="1">
      <c r="A30" s="211"/>
      <c r="B30" s="212" t="s">
        <v>9</v>
      </c>
      <c r="C30" s="213" t="s">
        <v>933</v>
      </c>
      <c r="D30" s="214" t="str">
        <f>IFERROR(VLOOKUP($C30,'PORTIFÓLIO'!C:V,2,0),"")</f>
        <v>N1%;B9,5%</v>
      </c>
      <c r="E30" s="211" t="str">
        <f>IFERROR(VLOOKUP($C30,'PORTIFÓLIO'!C:V,3,0),"")</f>
        <v>13,8g/l + 131,1g/l</v>
      </c>
      <c r="F30" s="211" t="str">
        <f>IFERROR(VLOOKUP($C30,'PORTIFÓLIO'!C:V,4,0),"")</f>
        <v>L</v>
      </c>
      <c r="G30" s="215" t="str">
        <f>IFERROR(VLOOKUP($C30,'PORTIFÓLIO'!C:V,5,0),"")</f>
        <v/>
      </c>
      <c r="H30" s="254">
        <f t="array" ref="H30">IFERROR(INDEX('PORTIFÓLIO'!$H$4:$H$433,MATCH($C30,'PORTIFÓLIO'!$C$4:$C$433,0)),"")</f>
        <v>2</v>
      </c>
      <c r="I30" s="255">
        <v>1.0</v>
      </c>
      <c r="J30" s="218">
        <f t="shared" si="4"/>
        <v>120</v>
      </c>
      <c r="K30" s="219">
        <f t="array" ref="K30">IFERROR(I30*INDEX('PORTIFÓLIO'!$S$4:$S$433,MATCH($C30,'PORTIFÓLIO'!$C$4:$C$433,0)),"")</f>
        <v>44.78</v>
      </c>
      <c r="L30" s="219">
        <f t="array" ref="L30">IFERROR(J30*INDEX('PORTIFÓLIO'!$S$4:$S$433,MATCH($C30,'PORTIFÓLIO'!$C$4:$C$433,0)),"")</f>
        <v>5373.6</v>
      </c>
      <c r="M30" s="220"/>
      <c r="N30" s="220"/>
      <c r="O30" s="220"/>
      <c r="P30" s="220"/>
      <c r="Q30" s="220"/>
      <c r="R30" s="220"/>
      <c r="S30" s="220"/>
      <c r="T30" s="220"/>
      <c r="U30" s="220"/>
      <c r="V30" s="220"/>
      <c r="W30" s="220"/>
    </row>
    <row r="31" ht="15.75" customHeight="1" outlineLevel="1">
      <c r="A31" s="211"/>
      <c r="B31" s="212"/>
      <c r="C31" s="213"/>
      <c r="D31" s="214" t="str">
        <f>IFERROR(VLOOKUP($C31,'PORTIFÓLIO'!C:V,2,0),"")</f>
        <v/>
      </c>
      <c r="E31" s="211" t="str">
        <f>IFERROR(VLOOKUP($C31,'PORTIFÓLIO'!C:V,3,0),"")</f>
        <v/>
      </c>
      <c r="F31" s="211" t="str">
        <f>IFERROR(VLOOKUP($C31,'PORTIFÓLIO'!C:V,4,0),"")</f>
        <v/>
      </c>
      <c r="G31" s="215" t="str">
        <f>IFERROR(VLOOKUP($C31,'PORTIFÓLIO'!C:V,5,0),"")</f>
        <v/>
      </c>
      <c r="H31" s="254" t="str">
        <f t="array" ref="H31">IFERROR(INDEX('PORTIFÓLIO'!$H$4:$H$433,MATCH($C31,'PORTIFÓLIO'!$C$4:$C$433,0)),"")</f>
        <v/>
      </c>
      <c r="I31" s="255"/>
      <c r="J31" s="218">
        <f t="shared" si="4"/>
        <v>0</v>
      </c>
      <c r="K31" s="219" t="str">
        <f t="array" ref="K31">IFERROR(I31*INDEX('PORTIFÓLIO'!$S$4:$S$433,MATCH($C31,'PORTIFÓLIO'!$C$4:$C$433,0)),"")</f>
        <v/>
      </c>
      <c r="L31" s="219" t="str">
        <f t="array" ref="L31">IFERROR(J31*INDEX('PORTIFÓLIO'!$S$4:$S$433,MATCH($C31,'PORTIFÓLIO'!$C$4:$C$433,0)),"")</f>
        <v/>
      </c>
      <c r="M31" s="220"/>
      <c r="N31" s="220"/>
      <c r="O31" s="220"/>
      <c r="P31" s="220"/>
      <c r="Q31" s="220"/>
      <c r="R31" s="220"/>
      <c r="S31" s="220"/>
      <c r="T31" s="220"/>
      <c r="U31" s="220"/>
      <c r="V31" s="220"/>
      <c r="W31" s="220"/>
    </row>
    <row r="32" ht="15.75" customHeight="1" outlineLevel="1">
      <c r="A32" s="211"/>
      <c r="B32" s="212"/>
      <c r="C32" s="213"/>
      <c r="D32" s="214" t="str">
        <f>IFERROR(VLOOKUP($C32,'PORTIFÓLIO'!C:V,2,0),"")</f>
        <v/>
      </c>
      <c r="E32" s="211" t="str">
        <f>IFERROR(VLOOKUP($C32,'PORTIFÓLIO'!C:V,3,0),"")</f>
        <v/>
      </c>
      <c r="F32" s="211" t="str">
        <f>IFERROR(VLOOKUP($C32,'PORTIFÓLIO'!C:V,4,0),"")</f>
        <v/>
      </c>
      <c r="G32" s="215" t="str">
        <f>IFERROR(VLOOKUP($C32,'PORTIFÓLIO'!C:V,5,0),"")</f>
        <v/>
      </c>
      <c r="H32" s="254" t="str">
        <f t="array" ref="H32">IFERROR(INDEX('PORTIFÓLIO'!$H$4:$H$433,MATCH($C32,'PORTIFÓLIO'!$C$4:$C$433,0)),"")</f>
        <v/>
      </c>
      <c r="I32" s="256"/>
      <c r="J32" s="218">
        <f t="shared" si="4"/>
        <v>0</v>
      </c>
      <c r="K32" s="219" t="str">
        <f t="array" ref="K32">IFERROR(I32*INDEX('PORTIFÓLIO'!$S$4:$S$433,MATCH($C32,'PORTIFÓLIO'!$C$4:$C$433,0)),"")</f>
        <v/>
      </c>
      <c r="L32" s="219" t="str">
        <f t="array" ref="L32">IFERROR(J32*INDEX('PORTIFÓLIO'!$S$4:$S$433,MATCH($C32,'PORTIFÓLIO'!$C$4:$C$433,0)),"")</f>
        <v/>
      </c>
      <c r="M32" s="220"/>
      <c r="N32" s="220"/>
      <c r="O32" s="220"/>
      <c r="P32" s="220"/>
      <c r="Q32" s="220"/>
      <c r="R32" s="220"/>
      <c r="S32" s="220"/>
      <c r="T32" s="220"/>
      <c r="U32" s="220"/>
      <c r="V32" s="220"/>
      <c r="W32" s="220"/>
    </row>
    <row r="33" ht="15.75" customHeight="1" outlineLevel="1">
      <c r="A33" s="211"/>
      <c r="B33" s="212"/>
      <c r="C33" s="213"/>
      <c r="D33" s="214" t="str">
        <f>IFERROR(VLOOKUP($C33,'PORTIFÓLIO'!C:V,2,0),"")</f>
        <v/>
      </c>
      <c r="E33" s="211" t="str">
        <f>IFERROR(VLOOKUP($C33,'PORTIFÓLIO'!C:V,3,0),"")</f>
        <v/>
      </c>
      <c r="F33" s="211" t="str">
        <f>IFERROR(VLOOKUP($C33,'PORTIFÓLIO'!C:V,4,0),"")</f>
        <v/>
      </c>
      <c r="G33" s="215" t="str">
        <f>IFERROR(VLOOKUP($C33,'PORTIFÓLIO'!C:V,5,0),"")</f>
        <v/>
      </c>
      <c r="H33" s="254" t="str">
        <f t="array" ref="H33">IFERROR(INDEX('PORTIFÓLIO'!$H$4:$H$433,MATCH($C33,'PORTIFÓLIO'!$C$4:$C$433,0)),"")</f>
        <v/>
      </c>
      <c r="I33" s="256"/>
      <c r="J33" s="218">
        <f t="shared" si="4"/>
        <v>0</v>
      </c>
      <c r="K33" s="219" t="str">
        <f t="array" ref="K33">IFERROR(I33*INDEX('PORTIFÓLIO'!$S$4:$S$433,MATCH($C33,'PORTIFÓLIO'!$C$4:$C$433,0)),"")</f>
        <v/>
      </c>
      <c r="L33" s="219" t="str">
        <f t="array" ref="L33">IFERROR(J33*INDEX('PORTIFÓLIO'!$S$4:$S$433,MATCH($C33,'PORTIFÓLIO'!$C$4:$C$433,0)),"")</f>
        <v/>
      </c>
      <c r="M33" s="220"/>
      <c r="N33" s="220"/>
      <c r="O33" s="220"/>
      <c r="P33" s="220"/>
      <c r="Q33" s="220"/>
      <c r="R33" s="220"/>
      <c r="S33" s="220"/>
      <c r="T33" s="220"/>
      <c r="U33" s="220"/>
      <c r="V33" s="220"/>
      <c r="W33" s="220"/>
    </row>
    <row r="34" ht="15.75" customHeight="1" outlineLevel="1">
      <c r="A34" s="211"/>
      <c r="B34" s="212"/>
      <c r="C34" s="213"/>
      <c r="D34" s="214" t="str">
        <f>IFERROR(VLOOKUP($C34,'PORTIFÓLIO'!C:V,2,0),"")</f>
        <v/>
      </c>
      <c r="E34" s="211" t="str">
        <f>IFERROR(VLOOKUP($C34,'PORTIFÓLIO'!C:V,3,0),"")</f>
        <v/>
      </c>
      <c r="F34" s="211" t="str">
        <f>IFERROR(VLOOKUP($C34,'PORTIFÓLIO'!C:V,4,0),"")</f>
        <v/>
      </c>
      <c r="G34" s="215" t="str">
        <f>IFERROR(VLOOKUP($C34,'PORTIFÓLIO'!C:V,5,0),"")</f>
        <v/>
      </c>
      <c r="H34" s="254" t="str">
        <f t="array" ref="H34">IFERROR(INDEX('PORTIFÓLIO'!$H$4:$H$433,MATCH($C34,'PORTIFÓLIO'!$C$4:$C$433,0)),"")</f>
        <v/>
      </c>
      <c r="I34" s="255"/>
      <c r="J34" s="218">
        <f t="shared" si="4"/>
        <v>0</v>
      </c>
      <c r="K34" s="219" t="str">
        <f t="array" ref="K34">IFERROR(I34*INDEX('PORTIFÓLIO'!$S$4:$S$433,MATCH($C34,'PORTIFÓLIO'!$C$4:$C$433,0)),"")</f>
        <v/>
      </c>
      <c r="L34" s="219" t="str">
        <f t="array" ref="L34">IFERROR(J34*INDEX('PORTIFÓLIO'!$S$4:$S$433,MATCH($C34,'PORTIFÓLIO'!$C$4:$C$433,0)),"")</f>
        <v/>
      </c>
      <c r="M34" s="220"/>
      <c r="N34" s="220"/>
      <c r="O34" s="220"/>
      <c r="P34" s="220"/>
      <c r="Q34" s="220"/>
      <c r="R34" s="220"/>
      <c r="S34" s="220"/>
      <c r="T34" s="220"/>
      <c r="U34" s="220"/>
      <c r="V34" s="220"/>
      <c r="W34" s="220"/>
    </row>
    <row r="35" ht="15.75" customHeight="1" outlineLevel="1">
      <c r="A35" s="211"/>
      <c r="B35" s="212"/>
      <c r="C35" s="213"/>
      <c r="D35" s="214" t="str">
        <f>IFERROR(VLOOKUP($C35,'PORTIFÓLIO'!C:V,2,0),"")</f>
        <v/>
      </c>
      <c r="E35" s="211" t="str">
        <f>IFERROR(VLOOKUP($C35,'PORTIFÓLIO'!C:V,3,0),"")</f>
        <v/>
      </c>
      <c r="F35" s="211" t="str">
        <f>IFERROR(VLOOKUP($C35,'PORTIFÓLIO'!C:V,4,0),"")</f>
        <v/>
      </c>
      <c r="G35" s="215" t="str">
        <f>IFERROR(VLOOKUP($C35,'PORTIFÓLIO'!C:V,5,0),"")</f>
        <v/>
      </c>
      <c r="H35" s="254" t="str">
        <f t="array" ref="H35">IFERROR(INDEX('PORTIFÓLIO'!$H$4:$H$433,MATCH($C35,'PORTIFÓLIO'!$C$4:$C$433,0)),"")</f>
        <v/>
      </c>
      <c r="I35" s="256"/>
      <c r="J35" s="218">
        <f t="shared" si="4"/>
        <v>0</v>
      </c>
      <c r="K35" s="219" t="str">
        <f t="array" ref="K35">IFERROR(I35*INDEX('PORTIFÓLIO'!$S$4:$S$433,MATCH($C35,'PORTIFÓLIO'!$C$4:$C$433,0)),"")</f>
        <v/>
      </c>
      <c r="L35" s="219" t="str">
        <f t="array" ref="L35">IFERROR(J35*INDEX('PORTIFÓLIO'!$S$4:$S$433,MATCH($C35,'PORTIFÓLIO'!$C$4:$C$433,0)),"")</f>
        <v/>
      </c>
      <c r="M35" s="220"/>
      <c r="N35" s="220"/>
      <c r="O35" s="220"/>
      <c r="P35" s="220"/>
      <c r="Q35" s="220"/>
      <c r="R35" s="220"/>
      <c r="S35" s="220"/>
      <c r="T35" s="220"/>
      <c r="U35" s="220"/>
      <c r="V35" s="220"/>
      <c r="W35" s="220"/>
    </row>
    <row r="36" ht="15.75" customHeight="1" outlineLevel="1">
      <c r="A36" s="211"/>
      <c r="B36" s="212"/>
      <c r="C36" s="213"/>
      <c r="D36" s="214" t="str">
        <f>IFERROR(VLOOKUP($C36,'PORTIFÓLIO'!C:V,2,0),"")</f>
        <v/>
      </c>
      <c r="E36" s="211" t="str">
        <f>IFERROR(VLOOKUP($C36,'PORTIFÓLIO'!C:V,3,0),"")</f>
        <v/>
      </c>
      <c r="F36" s="211" t="str">
        <f>IFERROR(VLOOKUP($C36,'PORTIFÓLIO'!C:V,4,0),"")</f>
        <v/>
      </c>
      <c r="G36" s="215" t="str">
        <f>IFERROR(VLOOKUP($C36,'PORTIFÓLIO'!C:V,5,0),"")</f>
        <v/>
      </c>
      <c r="H36" s="254" t="str">
        <f t="array" ref="H36">IFERROR(INDEX('PORTIFÓLIO'!$H$4:$H$433,MATCH($C36,'PORTIFÓLIO'!$C$4:$C$433,0)),"")</f>
        <v/>
      </c>
      <c r="I36" s="256"/>
      <c r="J36" s="218">
        <f t="shared" si="4"/>
        <v>0</v>
      </c>
      <c r="K36" s="219" t="str">
        <f t="array" ref="K36">IFERROR(I36*INDEX('PORTIFÓLIO'!$S$4:$S$433,MATCH($C36,'PORTIFÓLIO'!$C$4:$C$433,0)),"")</f>
        <v/>
      </c>
      <c r="L36" s="219" t="str">
        <f t="array" ref="L36">IFERROR(J36*INDEX('PORTIFÓLIO'!$S$4:$S$433,MATCH($C36,'PORTIFÓLIO'!$C$4:$C$433,0)),"")</f>
        <v/>
      </c>
      <c r="M36" s="220"/>
      <c r="N36" s="220"/>
      <c r="O36" s="220"/>
      <c r="P36" s="220"/>
      <c r="Q36" s="220"/>
      <c r="R36" s="220"/>
      <c r="S36" s="220"/>
      <c r="T36" s="220"/>
      <c r="U36" s="220"/>
      <c r="V36" s="220"/>
      <c r="W36" s="220"/>
    </row>
    <row r="37" ht="15.75" customHeight="1" outlineLevel="1">
      <c r="A37" s="211"/>
      <c r="B37" s="212"/>
      <c r="C37" s="213"/>
      <c r="D37" s="214" t="str">
        <f>IFERROR(VLOOKUP($C37,'PORTIFÓLIO'!C:V,2,0),"")</f>
        <v/>
      </c>
      <c r="E37" s="211" t="str">
        <f>IFERROR(VLOOKUP($C37,'PORTIFÓLIO'!C:V,3,0),"")</f>
        <v/>
      </c>
      <c r="F37" s="211" t="str">
        <f>IFERROR(VLOOKUP($C37,'PORTIFÓLIO'!C:V,4,0),"")</f>
        <v/>
      </c>
      <c r="G37" s="215" t="str">
        <f>IFERROR(VLOOKUP($C37,'PORTIFÓLIO'!C:V,5,0),"")</f>
        <v/>
      </c>
      <c r="H37" s="254" t="str">
        <f t="array" ref="H37">IFERROR(INDEX('PORTIFÓLIO'!$H$4:$H$433,MATCH($C37,'PORTIFÓLIO'!$C$4:$C$433,0)),"")</f>
        <v/>
      </c>
      <c r="I37" s="256"/>
      <c r="J37" s="218">
        <f t="shared" si="4"/>
        <v>0</v>
      </c>
      <c r="K37" s="219" t="str">
        <f t="array" ref="K37">IFERROR(I37*INDEX('PORTIFÓLIO'!$S$4:$S$433,MATCH($C37,'PORTIFÓLIO'!$C$4:$C$433,0)),"")</f>
        <v/>
      </c>
      <c r="L37" s="219" t="str">
        <f t="array" ref="L37">IFERROR(J37*INDEX('PORTIFÓLIO'!$S$4:$S$433,MATCH($C37,'PORTIFÓLIO'!$C$4:$C$433,0)),"")</f>
        <v/>
      </c>
      <c r="M37" s="220"/>
      <c r="N37" s="220"/>
      <c r="O37" s="220"/>
      <c r="P37" s="220"/>
      <c r="Q37" s="220"/>
      <c r="R37" s="220"/>
      <c r="S37" s="220"/>
      <c r="T37" s="220"/>
      <c r="U37" s="220"/>
      <c r="V37" s="220"/>
      <c r="W37" s="220"/>
    </row>
    <row r="38" ht="15.75" customHeight="1" outlineLevel="1">
      <c r="A38" s="211"/>
      <c r="B38" s="212"/>
      <c r="C38" s="213"/>
      <c r="D38" s="214" t="str">
        <f>IFERROR(VLOOKUP($C38,'PORTIFÓLIO'!C:V,2,0),"")</f>
        <v/>
      </c>
      <c r="E38" s="211" t="str">
        <f>IFERROR(VLOOKUP($C38,'PORTIFÓLIO'!C:V,3,0),"")</f>
        <v/>
      </c>
      <c r="F38" s="211" t="str">
        <f>IFERROR(VLOOKUP($C38,'PORTIFÓLIO'!C:V,4,0),"")</f>
        <v/>
      </c>
      <c r="G38" s="215" t="str">
        <f>IFERROR(VLOOKUP($C38,'PORTIFÓLIO'!C:V,5,0),"")</f>
        <v/>
      </c>
      <c r="H38" s="254" t="str">
        <f t="array" ref="H38">IFERROR(INDEX('PORTIFÓLIO'!$H$4:$H$433,MATCH($C38,'PORTIFÓLIO'!$C$4:$C$433,0)),"")</f>
        <v/>
      </c>
      <c r="I38" s="256"/>
      <c r="J38" s="218">
        <f t="shared" si="4"/>
        <v>0</v>
      </c>
      <c r="K38" s="219" t="str">
        <f t="array" ref="K38">IFERROR(I38*INDEX('PORTIFÓLIO'!$S$4:$S$433,MATCH($C38,'PORTIFÓLIO'!$C$4:$C$433,0)),"")</f>
        <v/>
      </c>
      <c r="L38" s="219" t="str">
        <f t="array" ref="L38">IFERROR(J38*INDEX('PORTIFÓLIO'!$S$4:$S$433,MATCH($C38,'PORTIFÓLIO'!$C$4:$C$433,0)),"")</f>
        <v/>
      </c>
      <c r="M38" s="220"/>
      <c r="N38" s="220"/>
      <c r="O38" s="220"/>
      <c r="P38" s="220"/>
      <c r="Q38" s="220"/>
      <c r="R38" s="220"/>
      <c r="S38" s="220"/>
      <c r="T38" s="220"/>
      <c r="U38" s="220"/>
      <c r="V38" s="220"/>
      <c r="W38" s="220"/>
    </row>
    <row r="39" ht="15.75" customHeight="1" outlineLevel="1">
      <c r="A39" s="211"/>
      <c r="B39" s="212"/>
      <c r="C39" s="213"/>
      <c r="D39" s="214" t="str">
        <f>IFERROR(VLOOKUP($C39,'PORTIFÓLIO'!C:V,2,0),"")</f>
        <v/>
      </c>
      <c r="E39" s="211" t="str">
        <f>IFERROR(VLOOKUP($C39,'PORTIFÓLIO'!C:V,3,0),"")</f>
        <v/>
      </c>
      <c r="F39" s="211" t="str">
        <f>IFERROR(VLOOKUP($C39,'PORTIFÓLIO'!C:V,4,0),"")</f>
        <v/>
      </c>
      <c r="G39" s="215" t="str">
        <f>IFERROR(VLOOKUP($C39,'PORTIFÓLIO'!C:V,5,0),"")</f>
        <v/>
      </c>
      <c r="H39" s="254" t="str">
        <f t="array" ref="H39">IFERROR(INDEX('PORTIFÓLIO'!$H$4:$H$433,MATCH($C39,'PORTIFÓLIO'!$C$4:$C$433,0)),"")</f>
        <v/>
      </c>
      <c r="I39" s="256"/>
      <c r="J39" s="218">
        <f t="shared" si="4"/>
        <v>0</v>
      </c>
      <c r="K39" s="219" t="str">
        <f t="array" ref="K39">IFERROR(I39*INDEX('PORTIFÓLIO'!$S$4:$S$433,MATCH($C39,'PORTIFÓLIO'!$C$4:$C$433,0)),"")</f>
        <v/>
      </c>
      <c r="L39" s="219" t="str">
        <f t="array" ref="L39">IFERROR(J39*INDEX('PORTIFÓLIO'!$S$4:$S$433,MATCH($C39,'PORTIFÓLIO'!$C$4:$C$433,0)),"")</f>
        <v/>
      </c>
      <c r="M39" s="220"/>
      <c r="N39" s="220"/>
      <c r="O39" s="220"/>
      <c r="P39" s="220"/>
      <c r="Q39" s="220"/>
      <c r="R39" s="220"/>
      <c r="S39" s="220"/>
      <c r="T39" s="220"/>
      <c r="U39" s="220"/>
      <c r="V39" s="220"/>
      <c r="W39" s="220"/>
    </row>
    <row r="40" ht="15.75" customHeight="1" outlineLevel="1">
      <c r="A40" s="211"/>
      <c r="B40" s="212"/>
      <c r="C40" s="213"/>
      <c r="D40" s="214" t="str">
        <f>IFERROR(VLOOKUP($C40,'PORTIFÓLIO'!C:V,2,0),"")</f>
        <v/>
      </c>
      <c r="E40" s="211" t="str">
        <f>IFERROR(VLOOKUP($C40,'PORTIFÓLIO'!C:V,3,0),"")</f>
        <v/>
      </c>
      <c r="F40" s="211" t="str">
        <f>IFERROR(VLOOKUP($C40,'PORTIFÓLIO'!C:V,4,0),"")</f>
        <v/>
      </c>
      <c r="G40" s="215" t="str">
        <f>IFERROR(VLOOKUP($C40,'PORTIFÓLIO'!C:V,5,0),"")</f>
        <v/>
      </c>
      <c r="H40" s="254" t="str">
        <f t="array" ref="H40">IFERROR(INDEX('PORTIFÓLIO'!$H$4:$H$433,MATCH($C40,'PORTIFÓLIO'!$C$4:$C$433,0)),"")</f>
        <v/>
      </c>
      <c r="I40" s="256"/>
      <c r="J40" s="218">
        <f t="shared" si="4"/>
        <v>0</v>
      </c>
      <c r="K40" s="219" t="str">
        <f t="array" ref="K40">IFERROR(I40*INDEX('PORTIFÓLIO'!$S$4:$S$433,MATCH($C40,'PORTIFÓLIO'!$C$4:$C$433,0)),"")</f>
        <v/>
      </c>
      <c r="L40" s="219" t="str">
        <f t="array" ref="L40">IFERROR(J40*INDEX('PORTIFÓLIO'!$S$4:$S$433,MATCH($C40,'PORTIFÓLIO'!$C$4:$C$433,0)),"")</f>
        <v/>
      </c>
      <c r="M40" s="220"/>
      <c r="N40" s="220"/>
      <c r="O40" s="220"/>
      <c r="P40" s="220"/>
      <c r="Q40" s="220"/>
      <c r="R40" s="220"/>
      <c r="S40" s="220"/>
      <c r="T40" s="220"/>
      <c r="U40" s="220"/>
      <c r="V40" s="220"/>
      <c r="W40" s="220"/>
    </row>
    <row r="41" ht="15.75" customHeight="1" outlineLevel="1">
      <c r="A41" s="211"/>
      <c r="B41" s="212"/>
      <c r="C41" s="213"/>
      <c r="D41" s="214" t="str">
        <f>IFERROR(VLOOKUP($C41,'PORTIFÓLIO'!C:V,2,0),"")</f>
        <v/>
      </c>
      <c r="E41" s="211" t="str">
        <f>IFERROR(VLOOKUP($C41,'PORTIFÓLIO'!C:V,3,0),"")</f>
        <v/>
      </c>
      <c r="F41" s="211" t="str">
        <f>IFERROR(VLOOKUP($C41,'PORTIFÓLIO'!C:V,4,0),"")</f>
        <v/>
      </c>
      <c r="G41" s="215" t="str">
        <f>IFERROR(VLOOKUP($C41,'PORTIFÓLIO'!C:V,5,0),"")</f>
        <v/>
      </c>
      <c r="H41" s="254" t="str">
        <f t="array" ref="H41">IFERROR(INDEX('PORTIFÓLIO'!$H$4:$H$433,MATCH($C41,'PORTIFÓLIO'!$C$4:$C$433,0)),"")</f>
        <v/>
      </c>
      <c r="I41" s="256"/>
      <c r="J41" s="218">
        <f t="shared" si="4"/>
        <v>0</v>
      </c>
      <c r="K41" s="219" t="str">
        <f t="array" ref="K41">IFERROR(I41*INDEX('PORTIFÓLIO'!$S$4:$S$433,MATCH($C41,'PORTIFÓLIO'!$C$4:$C$433,0)),"")</f>
        <v/>
      </c>
      <c r="L41" s="219" t="str">
        <f t="array" ref="L41">IFERROR(J41*INDEX('PORTIFÓLIO'!$S$4:$S$433,MATCH($C41,'PORTIFÓLIO'!$C$4:$C$433,0)),"")</f>
        <v/>
      </c>
      <c r="M41" s="220"/>
      <c r="N41" s="220"/>
      <c r="O41" s="220"/>
      <c r="P41" s="220"/>
      <c r="Q41" s="220"/>
      <c r="R41" s="220"/>
      <c r="S41" s="220"/>
      <c r="T41" s="220"/>
      <c r="U41" s="220"/>
      <c r="V41" s="220"/>
      <c r="W41" s="220"/>
    </row>
    <row r="42" ht="15.75" customHeight="1" outlineLevel="1">
      <c r="A42" s="211"/>
      <c r="B42" s="212"/>
      <c r="C42" s="213"/>
      <c r="D42" s="214" t="str">
        <f>IFERROR(VLOOKUP($C42,'PORTIFÓLIO'!C:V,2,0),"")</f>
        <v/>
      </c>
      <c r="E42" s="211" t="str">
        <f>IFERROR(VLOOKUP($C42,'PORTIFÓLIO'!C:V,3,0),"")</f>
        <v/>
      </c>
      <c r="F42" s="211" t="str">
        <f>IFERROR(VLOOKUP($C42,'PORTIFÓLIO'!C:V,4,0),"")</f>
        <v/>
      </c>
      <c r="G42" s="215" t="str">
        <f>IFERROR(VLOOKUP($C42,'PORTIFÓLIO'!C:V,5,0),"")</f>
        <v/>
      </c>
      <c r="H42" s="254" t="str">
        <f t="array" ref="H42">IFERROR(INDEX('PORTIFÓLIO'!$H$4:$H$433,MATCH($C42,'PORTIFÓLIO'!$C$4:$C$433,0)),"")</f>
        <v/>
      </c>
      <c r="I42" s="256"/>
      <c r="J42" s="218">
        <f t="shared" si="4"/>
        <v>0</v>
      </c>
      <c r="K42" s="219" t="str">
        <f t="array" ref="K42">IFERROR(I42*INDEX('PORTIFÓLIO'!$S$4:$S$433,MATCH($C42,'PORTIFÓLIO'!$C$4:$C$433,0)),"")</f>
        <v/>
      </c>
      <c r="L42" s="219" t="str">
        <f t="array" ref="L42">IFERROR(J42*INDEX('PORTIFÓLIO'!$S$4:$S$433,MATCH($C42,'PORTIFÓLIO'!$C$4:$C$433,0)),"")</f>
        <v/>
      </c>
      <c r="M42" s="220"/>
      <c r="N42" s="220"/>
      <c r="O42" s="220"/>
      <c r="P42" s="220"/>
      <c r="Q42" s="220"/>
      <c r="R42" s="220"/>
      <c r="S42" s="220"/>
      <c r="T42" s="220"/>
      <c r="U42" s="220"/>
      <c r="V42" s="220"/>
      <c r="W42" s="220"/>
    </row>
    <row r="43" ht="15.75" customHeight="1" outlineLevel="1">
      <c r="A43" s="211"/>
      <c r="B43" s="212"/>
      <c r="C43" s="213"/>
      <c r="D43" s="214" t="str">
        <f>IFERROR(VLOOKUP($C43,'PORTIFÓLIO'!C:V,2,0),"")</f>
        <v/>
      </c>
      <c r="E43" s="211" t="str">
        <f>IFERROR(VLOOKUP($C43,'PORTIFÓLIO'!C:V,3,0),"")</f>
        <v/>
      </c>
      <c r="F43" s="211" t="str">
        <f>IFERROR(VLOOKUP($C43,'PORTIFÓLIO'!C:V,4,0),"")</f>
        <v/>
      </c>
      <c r="G43" s="215" t="str">
        <f>IFERROR(VLOOKUP($C43,'PORTIFÓLIO'!C:V,5,0),"")</f>
        <v/>
      </c>
      <c r="H43" s="254" t="str">
        <f t="array" ref="H43">IFERROR(INDEX('PORTIFÓLIO'!$H$4:$H$433,MATCH($C43,'PORTIFÓLIO'!$C$4:$C$433,0)),"")</f>
        <v/>
      </c>
      <c r="I43" s="256"/>
      <c r="J43" s="218">
        <f t="shared" si="4"/>
        <v>0</v>
      </c>
      <c r="K43" s="219" t="str">
        <f t="array" ref="K43">IFERROR(I43*INDEX('PORTIFÓLIO'!$S$4:$S$433,MATCH($C43,'PORTIFÓLIO'!$C$4:$C$433,0)),"")</f>
        <v/>
      </c>
      <c r="L43" s="219" t="str">
        <f t="array" ref="L43">IFERROR(J43*INDEX('PORTIFÓLIO'!$S$4:$S$433,MATCH($C43,'PORTIFÓLIO'!$C$4:$C$433,0)),"")</f>
        <v/>
      </c>
      <c r="M43" s="220"/>
      <c r="N43" s="220"/>
      <c r="O43" s="220"/>
      <c r="P43" s="220"/>
      <c r="Q43" s="220"/>
      <c r="R43" s="220"/>
      <c r="S43" s="220"/>
      <c r="T43" s="220"/>
      <c r="U43" s="220"/>
      <c r="V43" s="220"/>
      <c r="W43" s="220"/>
    </row>
    <row r="44" ht="15.75" customHeight="1">
      <c r="A44" s="229" t="s">
        <v>1185</v>
      </c>
      <c r="B44" s="230"/>
      <c r="C44" s="231"/>
      <c r="D44" s="232" t="s">
        <v>216</v>
      </c>
      <c r="E44" s="231"/>
      <c r="F44" s="231"/>
      <c r="G44" s="233"/>
      <c r="H44" s="233"/>
      <c r="I44" s="258"/>
      <c r="J44" s="236"/>
      <c r="K44" s="237">
        <f t="shared" ref="K44:L44" si="5">SUBTOTAL(9,K45:K58)</f>
        <v>120.8572912</v>
      </c>
      <c r="L44" s="237">
        <f t="shared" si="5"/>
        <v>14502.87494</v>
      </c>
      <c r="M44" s="220"/>
      <c r="N44" s="220"/>
      <c r="O44" s="220"/>
      <c r="P44" s="220"/>
      <c r="Q44" s="220"/>
      <c r="R44" s="220"/>
      <c r="S44" s="220"/>
      <c r="T44" s="220"/>
      <c r="U44" s="220"/>
      <c r="V44" s="220"/>
      <c r="W44" s="220"/>
    </row>
    <row r="45" ht="15.75" customHeight="1" outlineLevel="1">
      <c r="A45" s="213"/>
      <c r="B45" s="212" t="s">
        <v>1</v>
      </c>
      <c r="C45" s="213" t="s">
        <v>706</v>
      </c>
      <c r="D45" s="214" t="str">
        <f>IFERROR(VLOOKUP($C45,'PORTIFÓLIO'!C:V,2,0),"")</f>
        <v>GLUFOSINATO - SAL DE AMONIO</v>
      </c>
      <c r="E45" s="211">
        <f>IFERROR(VLOOKUP($C45,'PORTIFÓLIO'!C:V,3,0),"")</f>
        <v>880</v>
      </c>
      <c r="F45" s="211" t="str">
        <f>IFERROR(VLOOKUP($C45,'PORTIFÓLIO'!C:V,4,0),"")</f>
        <v>L</v>
      </c>
      <c r="G45" s="225" t="str">
        <f>IFERROR(VLOOKUP($C45,'PORTIFÓLIO'!C:V,5,0),"")</f>
        <v>📄 Ver bula</v>
      </c>
      <c r="H45" s="254">
        <f t="array" ref="H45">IFERROR(INDEX('PORTIFÓLIO'!$H$4:$H$433,MATCH($C45,'PORTIFÓLIO'!$C$4:$C$433,0)),"")</f>
        <v>0.5</v>
      </c>
      <c r="I45" s="255">
        <v>0.5</v>
      </c>
      <c r="J45" s="218">
        <f t="shared" ref="J45:J62" si="6">I45*$B$2</f>
        <v>60</v>
      </c>
      <c r="K45" s="219">
        <f t="array" ref="K45">IFERROR(I45*INDEX('PORTIFÓLIO'!$S$4:$S$433,MATCH($C45,'PORTIFÓLIO'!$C$4:$C$433,0)),"")</f>
        <v>23.49848</v>
      </c>
      <c r="L45" s="219">
        <f t="array" ref="L45">IFERROR(J45*INDEX('PORTIFÓLIO'!$S$4:$S$433,MATCH($C45,'PORTIFÓLIO'!$C$4:$C$433,0)),"")</f>
        <v>2819.8176</v>
      </c>
      <c r="M45" s="220"/>
      <c r="N45" s="220"/>
      <c r="O45" s="220"/>
      <c r="P45" s="220"/>
      <c r="Q45" s="220"/>
      <c r="R45" s="220"/>
      <c r="S45" s="220"/>
      <c r="T45" s="220"/>
      <c r="U45" s="220"/>
      <c r="V45" s="220"/>
      <c r="W45" s="220"/>
    </row>
    <row r="46" ht="15.75" customHeight="1" outlineLevel="1">
      <c r="A46" s="211"/>
      <c r="B46" s="212" t="s">
        <v>1</v>
      </c>
      <c r="C46" s="213" t="s">
        <v>693</v>
      </c>
      <c r="D46" s="214" t="str">
        <f>IFERROR(VLOOKUP($C46,'PORTIFÓLIO'!C:V,2,0),"")</f>
        <v>CLOMAZONA</v>
      </c>
      <c r="E46" s="211">
        <f>IFERROR(VLOOKUP($C46,'PORTIFÓLIO'!C:V,3,0),"")</f>
        <v>360</v>
      </c>
      <c r="F46" s="211" t="str">
        <f>IFERROR(VLOOKUP($C46,'PORTIFÓLIO'!C:V,4,0),"")</f>
        <v>L</v>
      </c>
      <c r="G46" s="225" t="str">
        <f>IFERROR(VLOOKUP($C46,'PORTIFÓLIO'!C:V,5,0),"")</f>
        <v>📄 Ver bula</v>
      </c>
      <c r="H46" s="254">
        <f t="array" ref="H46">IFERROR(INDEX('PORTIFÓLIO'!$H$4:$H$433,MATCH($C46,'PORTIFÓLIO'!$C$4:$C$433,0)),"")</f>
        <v>1</v>
      </c>
      <c r="I46" s="255">
        <v>1.0</v>
      </c>
      <c r="J46" s="218">
        <f t="shared" si="6"/>
        <v>120</v>
      </c>
      <c r="K46" s="219">
        <f t="array" ref="K46">IFERROR(I46*INDEX('PORTIFÓLIO'!$S$4:$S$433,MATCH($C46,'PORTIFÓLIO'!$C$4:$C$433,0)),"")</f>
        <v>43.80156</v>
      </c>
      <c r="L46" s="219">
        <f t="array" ref="L46">IFERROR(J46*INDEX('PORTIFÓLIO'!$S$4:$S$433,MATCH($C46,'PORTIFÓLIO'!$C$4:$C$433,0)),"")</f>
        <v>5256.1872</v>
      </c>
      <c r="M46" s="220"/>
      <c r="N46" s="220"/>
      <c r="O46" s="220"/>
      <c r="P46" s="220"/>
      <c r="Q46" s="220"/>
      <c r="R46" s="220"/>
      <c r="S46" s="220"/>
      <c r="T46" s="220"/>
      <c r="U46" s="220"/>
      <c r="V46" s="220"/>
      <c r="W46" s="220"/>
    </row>
    <row r="47" ht="15.75" customHeight="1" outlineLevel="1">
      <c r="A47" s="211"/>
      <c r="B47" s="212" t="s">
        <v>1</v>
      </c>
      <c r="C47" s="213" t="s">
        <v>728</v>
      </c>
      <c r="D47" s="214" t="str">
        <f>IFERROR(VLOOKUP($C47,'PORTIFÓLIO'!C:V,2,0),"")</f>
        <v>S-METOLACLORO</v>
      </c>
      <c r="E47" s="211">
        <f>IFERROR(VLOOKUP($C47,'PORTIFÓLIO'!C:V,3,0),"")</f>
        <v>960</v>
      </c>
      <c r="F47" s="211" t="str">
        <f>IFERROR(VLOOKUP($C47,'PORTIFÓLIO'!C:V,4,0),"")</f>
        <v>KG</v>
      </c>
      <c r="G47" s="225" t="str">
        <f>IFERROR(VLOOKUP($C47,'PORTIFÓLIO'!C:V,5,0),"")</f>
        <v>📄 Ver bula</v>
      </c>
      <c r="H47" s="254">
        <f t="array" ref="H47">IFERROR(INDEX('PORTIFÓLIO'!$H$4:$H$433,MATCH($C47,'PORTIFÓLIO'!$C$4:$C$433,0)),"")</f>
        <v>2</v>
      </c>
      <c r="I47" s="255">
        <v>1.0</v>
      </c>
      <c r="J47" s="218">
        <f t="shared" si="6"/>
        <v>120</v>
      </c>
      <c r="K47" s="219">
        <f t="array" ref="K47">IFERROR(I47*INDEX('PORTIFÓLIO'!$S$4:$S$433,MATCH($C47,'PORTIFÓLIO'!$C$4:$C$433,0)),"")</f>
        <v>29.1273</v>
      </c>
      <c r="L47" s="219">
        <f t="array" ref="L47">IFERROR(J47*INDEX('PORTIFÓLIO'!$S$4:$S$433,MATCH($C47,'PORTIFÓLIO'!$C$4:$C$433,0)),"")</f>
        <v>3495.276</v>
      </c>
      <c r="M47" s="220"/>
      <c r="N47" s="220"/>
      <c r="O47" s="220"/>
      <c r="P47" s="220"/>
      <c r="Q47" s="220"/>
      <c r="R47" s="220"/>
      <c r="S47" s="220"/>
      <c r="T47" s="220"/>
      <c r="U47" s="220"/>
      <c r="V47" s="220"/>
      <c r="W47" s="220"/>
    </row>
    <row r="48" ht="15.75" customHeight="1" outlineLevel="1">
      <c r="A48" s="211"/>
      <c r="B48" s="212" t="s">
        <v>6</v>
      </c>
      <c r="C48" s="213" t="s">
        <v>354</v>
      </c>
      <c r="D48" s="214" t="str">
        <f>IFERROR(VLOOKUP($C48,'PORTIFÓLIO'!C:V,2,0),"")</f>
        <v>OLEO MINERAL</v>
      </c>
      <c r="E48" s="211">
        <f>IFERROR(VLOOKUP($C48,'PORTIFÓLIO'!C:V,3,0),"")</f>
        <v>761</v>
      </c>
      <c r="F48" s="211" t="str">
        <f>IFERROR(VLOOKUP($C48,'PORTIFÓLIO'!C:V,4,0),"")</f>
        <v>L</v>
      </c>
      <c r="G48" s="225" t="str">
        <f>IFERROR(VLOOKUP($C48,'PORTIFÓLIO'!C:V,5,0),"")</f>
        <v>📄 Ver bula</v>
      </c>
      <c r="H48" s="254">
        <f t="array" ref="H48">IFERROR(INDEX('PORTIFÓLIO'!$H$4:$H$433,MATCH($C48,'PORTIFÓLIO'!$C$4:$C$433,0)),"")</f>
        <v>0.2</v>
      </c>
      <c r="I48" s="255">
        <v>0.2</v>
      </c>
      <c r="J48" s="218">
        <f t="shared" si="6"/>
        <v>24</v>
      </c>
      <c r="K48" s="219">
        <f t="array" ref="K48">IFERROR(I48*INDEX('PORTIFÓLIO'!$S$4:$S$433,MATCH($C48,'PORTIFÓLIO'!$C$4:$C$433,0)),"")</f>
        <v>3.206</v>
      </c>
      <c r="L48" s="219">
        <f t="array" ref="L48">IFERROR(J48*INDEX('PORTIFÓLIO'!$S$4:$S$433,MATCH($C48,'PORTIFÓLIO'!$C$4:$C$433,0)),"")</f>
        <v>384.72</v>
      </c>
      <c r="M48" s="220"/>
      <c r="N48" s="220"/>
      <c r="O48" s="220"/>
      <c r="P48" s="220"/>
      <c r="Q48" s="220"/>
      <c r="R48" s="220"/>
      <c r="S48" s="220"/>
      <c r="T48" s="220"/>
      <c r="U48" s="220"/>
      <c r="V48" s="220"/>
      <c r="W48" s="220"/>
    </row>
    <row r="49" ht="15.75" customHeight="1" outlineLevel="1">
      <c r="A49" s="211"/>
      <c r="B49" s="212" t="s">
        <v>2</v>
      </c>
      <c r="C49" s="213" t="s">
        <v>824</v>
      </c>
      <c r="D49" s="214" t="str">
        <f>IFERROR(VLOOKUP($C49,'PORTIFÓLIO'!C:V,2,0),"")</f>
        <v>CLORANTRANILIPROLE</v>
      </c>
      <c r="E49" s="211">
        <f>IFERROR(VLOOKUP($C49,'PORTIFÓLIO'!C:V,3,0),"")</f>
        <v>200</v>
      </c>
      <c r="F49" s="211" t="str">
        <f>IFERROR(VLOOKUP($C49,'PORTIFÓLIO'!C:V,4,0),"")</f>
        <v>L</v>
      </c>
      <c r="G49" s="225" t="str">
        <f>IFERROR(VLOOKUP($C49,'PORTIFÓLIO'!C:V,5,0),"")</f>
        <v>📄 Ver bula</v>
      </c>
      <c r="H49" s="254">
        <f t="array" ref="H49">IFERROR(INDEX('PORTIFÓLIO'!$H$4:$H$433,MATCH($C49,'PORTIFÓLIO'!$C$4:$C$433,0)),"")</f>
        <v>0.1</v>
      </c>
      <c r="I49" s="255">
        <v>0.04</v>
      </c>
      <c r="J49" s="218">
        <f t="shared" si="6"/>
        <v>4.8</v>
      </c>
      <c r="K49" s="219">
        <f t="array" ref="K49">IFERROR(I49*INDEX('PORTIFÓLIO'!$S$4:$S$433,MATCH($C49,'PORTIFÓLIO'!$C$4:$C$433,0)),"")</f>
        <v>11.31855</v>
      </c>
      <c r="L49" s="219">
        <f t="array" ref="L49">IFERROR(J49*INDEX('PORTIFÓLIO'!$S$4:$S$433,MATCH($C49,'PORTIFÓLIO'!$C$4:$C$433,0)),"")</f>
        <v>1358.226</v>
      </c>
      <c r="M49" s="220"/>
      <c r="N49" s="220"/>
      <c r="O49" s="220"/>
      <c r="P49" s="220"/>
      <c r="Q49" s="220"/>
      <c r="R49" s="220"/>
      <c r="S49" s="220"/>
      <c r="T49" s="220"/>
      <c r="U49" s="220"/>
      <c r="V49" s="220"/>
      <c r="W49" s="220"/>
    </row>
    <row r="50" ht="15.75" customHeight="1" outlineLevel="1">
      <c r="A50" s="211"/>
      <c r="B50" s="212" t="s">
        <v>2</v>
      </c>
      <c r="C50" s="213" t="s">
        <v>788</v>
      </c>
      <c r="D50" s="214" t="str">
        <f>IFERROR(VLOOKUP($C50,'PORTIFÓLIO'!C:V,2,0),"")</f>
        <v>FIPRONIL</v>
      </c>
      <c r="E50" s="211">
        <f>IFERROR(VLOOKUP($C50,'PORTIFÓLIO'!C:V,3,0),"")</f>
        <v>800</v>
      </c>
      <c r="F50" s="211" t="str">
        <f>IFERROR(VLOOKUP($C50,'PORTIFÓLIO'!C:V,4,0),"")</f>
        <v>L</v>
      </c>
      <c r="G50" s="225" t="str">
        <f>IFERROR(VLOOKUP($C50,'PORTIFÓLIO'!C:V,5,0),"")</f>
        <v>📄 Ver bula</v>
      </c>
      <c r="H50" s="254">
        <f t="array" ref="H50">IFERROR(INDEX('PORTIFÓLIO'!$H$4:$H$433,MATCH($C50,'PORTIFÓLIO'!$C$4:$C$433,0)),"")</f>
        <v>0.04</v>
      </c>
      <c r="I50" s="255">
        <v>0.04</v>
      </c>
      <c r="J50" s="218">
        <f t="shared" si="6"/>
        <v>4.8</v>
      </c>
      <c r="K50" s="219">
        <f t="array" ref="K50">IFERROR(I50*INDEX('PORTIFÓLIO'!$S$4:$S$433,MATCH($C50,'PORTIFÓLIO'!$C$4:$C$433,0)),"")</f>
        <v>9.9054012</v>
      </c>
      <c r="L50" s="219">
        <f t="array" ref="L50">IFERROR(J50*INDEX('PORTIFÓLIO'!$S$4:$S$433,MATCH($C50,'PORTIFÓLIO'!$C$4:$C$433,0)),"")</f>
        <v>1188.648144</v>
      </c>
      <c r="M50" s="220"/>
      <c r="N50" s="220"/>
      <c r="O50" s="220"/>
      <c r="P50" s="220"/>
      <c r="Q50" s="220"/>
      <c r="R50" s="220"/>
      <c r="S50" s="220"/>
      <c r="T50" s="220"/>
      <c r="U50" s="220"/>
      <c r="V50" s="220"/>
      <c r="W50" s="220"/>
    </row>
    <row r="51" ht="15.75" customHeight="1" outlineLevel="1">
      <c r="A51" s="211"/>
      <c r="B51" s="212"/>
      <c r="C51" s="213"/>
      <c r="D51" s="214" t="str">
        <f>IFERROR(VLOOKUP($C51,'PORTIFÓLIO'!C:V,2,0),"")</f>
        <v/>
      </c>
      <c r="E51" s="211" t="str">
        <f>IFERROR(VLOOKUP($C51,'PORTIFÓLIO'!C:V,3,0),"")</f>
        <v/>
      </c>
      <c r="F51" s="211" t="str">
        <f>IFERROR(VLOOKUP($C51,'PORTIFÓLIO'!C:V,4,0),"")</f>
        <v/>
      </c>
      <c r="G51" s="215" t="str">
        <f>IFERROR(VLOOKUP($C51,'PORTIFÓLIO'!C:V,5,0),"")</f>
        <v/>
      </c>
      <c r="H51" s="254" t="str">
        <f t="array" ref="H51">IFERROR(INDEX('PORTIFÓLIO'!$H$4:$H$433,MATCH($C51,'PORTIFÓLIO'!$C$4:$C$433,0)),"")</f>
        <v/>
      </c>
      <c r="I51" s="255"/>
      <c r="J51" s="218">
        <f t="shared" si="6"/>
        <v>0</v>
      </c>
      <c r="K51" s="219" t="str">
        <f t="array" ref="K51">IFERROR(I51*INDEX('PORTIFÓLIO'!$S$4:$S$433,MATCH($C51,'PORTIFÓLIO'!$C$4:$C$433,0)),"")</f>
        <v/>
      </c>
      <c r="L51" s="219" t="str">
        <f t="array" ref="L51">IFERROR(J51*INDEX('PORTIFÓLIO'!$S$4:$S$433,MATCH($C51,'PORTIFÓLIO'!$C$4:$C$433,0)),"")</f>
        <v/>
      </c>
      <c r="M51" s="220"/>
      <c r="N51" s="220"/>
      <c r="O51" s="220"/>
      <c r="P51" s="220"/>
      <c r="Q51" s="220"/>
      <c r="R51" s="220"/>
      <c r="S51" s="220"/>
      <c r="T51" s="220"/>
      <c r="U51" s="220"/>
      <c r="V51" s="220"/>
      <c r="W51" s="220"/>
    </row>
    <row r="52" ht="15.75" customHeight="1" outlineLevel="1">
      <c r="A52" s="211"/>
      <c r="B52" s="212"/>
      <c r="C52" s="213"/>
      <c r="D52" s="214" t="str">
        <f>IFERROR(VLOOKUP($C52,'PORTIFÓLIO'!C:V,2,0),"")</f>
        <v/>
      </c>
      <c r="E52" s="211" t="str">
        <f>IFERROR(VLOOKUP($C52,'PORTIFÓLIO'!C:V,3,0),"")</f>
        <v/>
      </c>
      <c r="F52" s="211" t="str">
        <f>IFERROR(VLOOKUP($C52,'PORTIFÓLIO'!C:V,4,0),"")</f>
        <v/>
      </c>
      <c r="G52" s="215" t="str">
        <f>IFERROR(VLOOKUP($C52,'PORTIFÓLIO'!C:V,5,0),"")</f>
        <v/>
      </c>
      <c r="H52" s="254" t="str">
        <f t="array" ref="H52">IFERROR(INDEX('PORTIFÓLIO'!$H$4:$H$433,MATCH($C52,'PORTIFÓLIO'!$C$4:$C$433,0)),"")</f>
        <v/>
      </c>
      <c r="I52" s="256"/>
      <c r="J52" s="218">
        <f t="shared" si="6"/>
        <v>0</v>
      </c>
      <c r="K52" s="219" t="str">
        <f t="array" ref="K52">IFERROR(I52*INDEX('PORTIFÓLIO'!$S$4:$S$433,MATCH($C52,'PORTIFÓLIO'!$C$4:$C$433,0)),"")</f>
        <v/>
      </c>
      <c r="L52" s="219" t="str">
        <f t="array" ref="L52">IFERROR(J52*INDEX('PORTIFÓLIO'!$S$4:$S$433,MATCH($C52,'PORTIFÓLIO'!$C$4:$C$433,0)),"")</f>
        <v/>
      </c>
      <c r="M52" s="220"/>
      <c r="N52" s="220"/>
      <c r="O52" s="220"/>
      <c r="P52" s="220"/>
      <c r="Q52" s="220"/>
      <c r="R52" s="220"/>
      <c r="S52" s="220"/>
      <c r="T52" s="220"/>
      <c r="U52" s="220"/>
      <c r="V52" s="220"/>
      <c r="W52" s="220"/>
    </row>
    <row r="53" ht="15.75" customHeight="1" outlineLevel="1">
      <c r="A53" s="211"/>
      <c r="B53" s="212"/>
      <c r="C53" s="213"/>
      <c r="D53" s="214" t="str">
        <f>IFERROR(VLOOKUP($C53,'PORTIFÓLIO'!C:V,2,0),"")</f>
        <v/>
      </c>
      <c r="E53" s="211" t="str">
        <f>IFERROR(VLOOKUP($C53,'PORTIFÓLIO'!C:V,3,0),"")</f>
        <v/>
      </c>
      <c r="F53" s="211" t="str">
        <f>IFERROR(VLOOKUP($C53,'PORTIFÓLIO'!C:V,4,0),"")</f>
        <v/>
      </c>
      <c r="G53" s="215" t="str">
        <f>IFERROR(VLOOKUP($C53,'PORTIFÓLIO'!C:V,5,0),"")</f>
        <v/>
      </c>
      <c r="H53" s="254" t="str">
        <f t="array" ref="H53">IFERROR(INDEX('PORTIFÓLIO'!$H$4:$H$433,MATCH($C53,'PORTIFÓLIO'!$C$4:$C$433,0)),"")</f>
        <v/>
      </c>
      <c r="I53" s="255"/>
      <c r="J53" s="218">
        <f t="shared" si="6"/>
        <v>0</v>
      </c>
      <c r="K53" s="219" t="str">
        <f t="array" ref="K53">IFERROR(I53*INDEX('PORTIFÓLIO'!$S$4:$S$433,MATCH($C53,'PORTIFÓLIO'!$C$4:$C$433,0)),"")</f>
        <v/>
      </c>
      <c r="L53" s="219" t="str">
        <f t="array" ref="L53">IFERROR(J53*INDEX('PORTIFÓLIO'!$S$4:$S$433,MATCH($C53,'PORTIFÓLIO'!$C$4:$C$433,0)),"")</f>
        <v/>
      </c>
      <c r="M53" s="220"/>
      <c r="N53" s="220"/>
      <c r="O53" s="220"/>
      <c r="P53" s="220"/>
      <c r="Q53" s="220"/>
      <c r="R53" s="220"/>
      <c r="S53" s="220"/>
      <c r="T53" s="220"/>
      <c r="U53" s="220"/>
      <c r="V53" s="220"/>
      <c r="W53" s="220"/>
    </row>
    <row r="54" ht="15.75" customHeight="1" outlineLevel="1">
      <c r="A54" s="211"/>
      <c r="B54" s="212"/>
      <c r="C54" s="213"/>
      <c r="D54" s="214" t="str">
        <f>IFERROR(VLOOKUP($C54,'PORTIFÓLIO'!C:V,2,0),"")</f>
        <v/>
      </c>
      <c r="E54" s="211" t="str">
        <f>IFERROR(VLOOKUP($C54,'PORTIFÓLIO'!C:V,3,0),"")</f>
        <v/>
      </c>
      <c r="F54" s="211" t="str">
        <f>IFERROR(VLOOKUP($C54,'PORTIFÓLIO'!C:V,4,0),"")</f>
        <v/>
      </c>
      <c r="G54" s="215" t="str">
        <f>IFERROR(VLOOKUP($C54,'PORTIFÓLIO'!C:V,5,0),"")</f>
        <v/>
      </c>
      <c r="H54" s="254" t="str">
        <f t="array" ref="H54">IFERROR(INDEX('PORTIFÓLIO'!$H$4:$H$433,MATCH($C54,'PORTIFÓLIO'!$C$4:$C$433,0)),"")</f>
        <v/>
      </c>
      <c r="I54" s="256"/>
      <c r="J54" s="218">
        <f t="shared" si="6"/>
        <v>0</v>
      </c>
      <c r="K54" s="219" t="str">
        <f t="array" ref="K54">IFERROR(I54*INDEX('PORTIFÓLIO'!$S$4:$S$433,MATCH($C54,'PORTIFÓLIO'!$C$4:$C$433,0)),"")</f>
        <v/>
      </c>
      <c r="L54" s="219" t="str">
        <f t="array" ref="L54">IFERROR(J54*INDEX('PORTIFÓLIO'!$S$4:$S$433,MATCH($C54,'PORTIFÓLIO'!$C$4:$C$433,0)),"")</f>
        <v/>
      </c>
      <c r="M54" s="220"/>
      <c r="N54" s="220"/>
      <c r="O54" s="220"/>
      <c r="P54" s="220"/>
      <c r="Q54" s="220"/>
      <c r="R54" s="220"/>
      <c r="S54" s="220"/>
      <c r="T54" s="220"/>
      <c r="U54" s="220"/>
      <c r="V54" s="220"/>
      <c r="W54" s="220"/>
    </row>
    <row r="55" ht="15.75" customHeight="1" outlineLevel="1">
      <c r="A55" s="211"/>
      <c r="B55" s="212"/>
      <c r="C55" s="213"/>
      <c r="D55" s="214" t="str">
        <f>IFERROR(VLOOKUP($C55,'PORTIFÓLIO'!C:V,2,0),"")</f>
        <v/>
      </c>
      <c r="E55" s="211" t="str">
        <f>IFERROR(VLOOKUP($C55,'PORTIFÓLIO'!C:V,3,0),"")</f>
        <v/>
      </c>
      <c r="F55" s="211" t="str">
        <f>IFERROR(VLOOKUP($C55,'PORTIFÓLIO'!C:V,4,0),"")</f>
        <v/>
      </c>
      <c r="G55" s="215" t="str">
        <f>IFERROR(VLOOKUP($C55,'PORTIFÓLIO'!C:V,5,0),"")</f>
        <v/>
      </c>
      <c r="H55" s="254" t="str">
        <f t="array" ref="H55">IFERROR(INDEX('PORTIFÓLIO'!$H$4:$H$433,MATCH($C55,'PORTIFÓLIO'!$C$4:$C$433,0)),"")</f>
        <v/>
      </c>
      <c r="I55" s="256"/>
      <c r="J55" s="218">
        <f t="shared" si="6"/>
        <v>0</v>
      </c>
      <c r="K55" s="219" t="str">
        <f t="array" ref="K55">IFERROR(I55*INDEX('PORTIFÓLIO'!$S$4:$S$433,MATCH($C55,'PORTIFÓLIO'!$C$4:$C$433,0)),"")</f>
        <v/>
      </c>
      <c r="L55" s="219" t="str">
        <f t="array" ref="L55">IFERROR(J55*INDEX('PORTIFÓLIO'!$S$4:$S$433,MATCH($C55,'PORTIFÓLIO'!$C$4:$C$433,0)),"")</f>
        <v/>
      </c>
      <c r="M55" s="220"/>
      <c r="N55" s="220"/>
      <c r="O55" s="220"/>
      <c r="P55" s="220"/>
      <c r="Q55" s="220"/>
      <c r="R55" s="220"/>
      <c r="S55" s="220"/>
      <c r="T55" s="220"/>
      <c r="U55" s="220"/>
      <c r="V55" s="220"/>
      <c r="W55" s="220"/>
    </row>
    <row r="56" ht="15.75" customHeight="1" outlineLevel="1">
      <c r="A56" s="211"/>
      <c r="B56" s="212"/>
      <c r="C56" s="213"/>
      <c r="D56" s="214" t="str">
        <f>IFERROR(VLOOKUP($C56,'PORTIFÓLIO'!C:V,2,0),"")</f>
        <v/>
      </c>
      <c r="E56" s="211" t="str">
        <f>IFERROR(VLOOKUP($C56,'PORTIFÓLIO'!C:V,3,0),"")</f>
        <v/>
      </c>
      <c r="F56" s="211" t="str">
        <f>IFERROR(VLOOKUP($C56,'PORTIFÓLIO'!C:V,4,0),"")</f>
        <v/>
      </c>
      <c r="G56" s="215" t="str">
        <f>IFERROR(VLOOKUP($C56,'PORTIFÓLIO'!C:V,5,0),"")</f>
        <v/>
      </c>
      <c r="H56" s="254" t="str">
        <f t="array" ref="H56">IFERROR(INDEX('PORTIFÓLIO'!$H$4:$H$433,MATCH($C56,'PORTIFÓLIO'!$C$4:$C$433,0)),"")</f>
        <v/>
      </c>
      <c r="I56" s="256"/>
      <c r="J56" s="218">
        <f t="shared" si="6"/>
        <v>0</v>
      </c>
      <c r="K56" s="219" t="str">
        <f t="array" ref="K56">IFERROR(I56*INDEX('PORTIFÓLIO'!$S$4:$S$433,MATCH($C56,'PORTIFÓLIO'!$C$4:$C$433,0)),"")</f>
        <v/>
      </c>
      <c r="L56" s="219" t="str">
        <f t="array" ref="L56">IFERROR(J56*INDEX('PORTIFÓLIO'!$S$4:$S$433,MATCH($C56,'PORTIFÓLIO'!$C$4:$C$433,0)),"")</f>
        <v/>
      </c>
      <c r="M56" s="220"/>
      <c r="N56" s="220"/>
      <c r="O56" s="220"/>
      <c r="P56" s="220"/>
      <c r="Q56" s="220"/>
      <c r="R56" s="220"/>
      <c r="S56" s="220"/>
      <c r="T56" s="220"/>
      <c r="U56" s="220"/>
      <c r="V56" s="220"/>
      <c r="W56" s="220"/>
    </row>
    <row r="57" ht="15.75" customHeight="1" outlineLevel="1">
      <c r="A57" s="211"/>
      <c r="B57" s="212"/>
      <c r="C57" s="213"/>
      <c r="D57" s="214" t="str">
        <f>IFERROR(VLOOKUP($C57,'PORTIFÓLIO'!C:V,2,0),"")</f>
        <v/>
      </c>
      <c r="E57" s="211" t="str">
        <f>IFERROR(VLOOKUP($C57,'PORTIFÓLIO'!C:V,3,0),"")</f>
        <v/>
      </c>
      <c r="F57" s="211" t="str">
        <f>IFERROR(VLOOKUP($C57,'PORTIFÓLIO'!C:V,4,0),"")</f>
        <v/>
      </c>
      <c r="G57" s="215" t="str">
        <f>IFERROR(VLOOKUP($C57,'PORTIFÓLIO'!C:V,5,0),"")</f>
        <v/>
      </c>
      <c r="H57" s="254" t="str">
        <f t="array" ref="H57">IFERROR(INDEX('PORTIFÓLIO'!$H$4:$H$433,MATCH($C57,'PORTIFÓLIO'!$C$4:$C$433,0)),"")</f>
        <v/>
      </c>
      <c r="I57" s="256"/>
      <c r="J57" s="218">
        <f t="shared" si="6"/>
        <v>0</v>
      </c>
      <c r="K57" s="219" t="str">
        <f t="array" ref="K57">IFERROR(I57*INDEX('PORTIFÓLIO'!$S$4:$S$433,MATCH($C57,'PORTIFÓLIO'!$C$4:$C$433,0)),"")</f>
        <v/>
      </c>
      <c r="L57" s="219" t="str">
        <f t="array" ref="L57">IFERROR(J57*INDEX('PORTIFÓLIO'!$S$4:$S$433,MATCH($C57,'PORTIFÓLIO'!$C$4:$C$433,0)),"")</f>
        <v/>
      </c>
      <c r="M57" s="220"/>
      <c r="N57" s="220"/>
      <c r="O57" s="220"/>
      <c r="P57" s="220"/>
      <c r="Q57" s="220"/>
      <c r="R57" s="220"/>
      <c r="S57" s="220"/>
      <c r="T57" s="220"/>
      <c r="U57" s="220"/>
      <c r="V57" s="220"/>
      <c r="W57" s="220"/>
    </row>
    <row r="58" ht="15.75" customHeight="1" outlineLevel="1">
      <c r="A58" s="211"/>
      <c r="B58" s="212"/>
      <c r="C58" s="213"/>
      <c r="D58" s="214" t="str">
        <f>IFERROR(VLOOKUP($C58,'PORTIFÓLIO'!C:V,2,0),"")</f>
        <v/>
      </c>
      <c r="E58" s="211" t="str">
        <f>IFERROR(VLOOKUP($C58,'PORTIFÓLIO'!C:V,3,0),"")</f>
        <v/>
      </c>
      <c r="F58" s="211" t="str">
        <f>IFERROR(VLOOKUP($C58,'PORTIFÓLIO'!C:V,4,0),"")</f>
        <v/>
      </c>
      <c r="G58" s="215" t="str">
        <f>IFERROR(VLOOKUP($C58,'PORTIFÓLIO'!C:V,5,0),"")</f>
        <v/>
      </c>
      <c r="H58" s="254" t="str">
        <f t="array" ref="H58">IFERROR(INDEX('PORTIFÓLIO'!$H$4:$H$433,MATCH($C58,'PORTIFÓLIO'!$C$4:$C$433,0)),"")</f>
        <v/>
      </c>
      <c r="I58" s="256"/>
      <c r="J58" s="218">
        <f t="shared" si="6"/>
        <v>0</v>
      </c>
      <c r="K58" s="219" t="str">
        <f t="array" ref="K58">IFERROR(I58*INDEX('PORTIFÓLIO'!$S$4:$S$433,MATCH($C58,'PORTIFÓLIO'!$C$4:$C$433,0)),"")</f>
        <v/>
      </c>
      <c r="L58" s="219" t="str">
        <f t="array" ref="L58">IFERROR(J58*INDEX('PORTIFÓLIO'!$S$4:$S$433,MATCH($C58,'PORTIFÓLIO'!$C$4:$C$433,0)),"")</f>
        <v/>
      </c>
      <c r="M58" s="220"/>
      <c r="N58" s="220"/>
      <c r="O58" s="220"/>
      <c r="P58" s="220"/>
      <c r="Q58" s="220"/>
      <c r="R58" s="220"/>
      <c r="S58" s="220"/>
      <c r="T58" s="220"/>
      <c r="U58" s="220"/>
      <c r="V58" s="220"/>
      <c r="W58" s="220"/>
    </row>
    <row r="59" ht="15.75" customHeight="1" outlineLevel="1">
      <c r="A59" s="211"/>
      <c r="B59" s="212"/>
      <c r="C59" s="213"/>
      <c r="D59" s="214" t="str">
        <f>IFERROR(VLOOKUP($C59,'PORTIFÓLIO'!C:V,2,0),"")</f>
        <v/>
      </c>
      <c r="E59" s="211" t="str">
        <f>IFERROR(VLOOKUP($C59,'PORTIFÓLIO'!C:V,3,0),"")</f>
        <v/>
      </c>
      <c r="F59" s="211" t="str">
        <f>IFERROR(VLOOKUP($C59,'PORTIFÓLIO'!C:V,4,0),"")</f>
        <v/>
      </c>
      <c r="G59" s="215" t="str">
        <f>IFERROR(VLOOKUP($C59,'PORTIFÓLIO'!C:V,5,0),"")</f>
        <v/>
      </c>
      <c r="H59" s="254" t="str">
        <f t="array" ref="H59">IFERROR(INDEX('PORTIFÓLIO'!$H$4:$H$433,MATCH($C59,'PORTIFÓLIO'!$C$4:$C$433,0)),"")</f>
        <v/>
      </c>
      <c r="I59" s="256"/>
      <c r="J59" s="218">
        <f t="shared" si="6"/>
        <v>0</v>
      </c>
      <c r="K59" s="219" t="str">
        <f t="array" ref="K59">IFERROR(I59*INDEX('PORTIFÓLIO'!$S$4:$S$433,MATCH($C59,'PORTIFÓLIO'!$C$4:$C$433,0)),"")</f>
        <v/>
      </c>
      <c r="L59" s="219" t="str">
        <f t="array" ref="L59">IFERROR(J59*INDEX('PORTIFÓLIO'!$S$4:$S$433,MATCH($C59,'PORTIFÓLIO'!$C$4:$C$433,0)),"")</f>
        <v/>
      </c>
      <c r="M59" s="220"/>
      <c r="N59" s="220"/>
      <c r="O59" s="220"/>
      <c r="P59" s="220"/>
      <c r="Q59" s="220"/>
      <c r="R59" s="220"/>
      <c r="S59" s="220"/>
      <c r="T59" s="220"/>
      <c r="U59" s="220"/>
      <c r="V59" s="220"/>
      <c r="W59" s="220"/>
    </row>
    <row r="60" ht="15.75" customHeight="1" outlineLevel="1">
      <c r="A60" s="211"/>
      <c r="B60" s="212"/>
      <c r="C60" s="213"/>
      <c r="D60" s="214" t="str">
        <f>IFERROR(VLOOKUP($C60,'PORTIFÓLIO'!C:V,2,0),"")</f>
        <v/>
      </c>
      <c r="E60" s="211" t="str">
        <f>IFERROR(VLOOKUP($C60,'PORTIFÓLIO'!C:V,3,0),"")</f>
        <v/>
      </c>
      <c r="F60" s="211" t="str">
        <f>IFERROR(VLOOKUP($C60,'PORTIFÓLIO'!C:V,4,0),"")</f>
        <v/>
      </c>
      <c r="G60" s="215" t="str">
        <f>IFERROR(VLOOKUP($C60,'PORTIFÓLIO'!C:V,5,0),"")</f>
        <v/>
      </c>
      <c r="H60" s="254" t="str">
        <f t="array" ref="H60">IFERROR(INDEX('PORTIFÓLIO'!$H$4:$H$433,MATCH($C60,'PORTIFÓLIO'!$C$4:$C$433,0)),"")</f>
        <v/>
      </c>
      <c r="I60" s="256"/>
      <c r="J60" s="218">
        <f t="shared" si="6"/>
        <v>0</v>
      </c>
      <c r="K60" s="219" t="str">
        <f t="array" ref="K60">IFERROR(I60*INDEX('PORTIFÓLIO'!$S$4:$S$433,MATCH($C60,'PORTIFÓLIO'!$C$4:$C$433,0)),"")</f>
        <v/>
      </c>
      <c r="L60" s="219" t="str">
        <f t="array" ref="L60">IFERROR(J60*INDEX('PORTIFÓLIO'!$S$4:$S$433,MATCH($C60,'PORTIFÓLIO'!$C$4:$C$433,0)),"")</f>
        <v/>
      </c>
      <c r="M60" s="220"/>
      <c r="N60" s="220"/>
      <c r="O60" s="220"/>
      <c r="P60" s="220"/>
      <c r="Q60" s="220"/>
      <c r="R60" s="220"/>
      <c r="S60" s="220"/>
      <c r="T60" s="220"/>
      <c r="U60" s="220"/>
      <c r="V60" s="220"/>
      <c r="W60" s="220"/>
    </row>
    <row r="61" ht="15.75" customHeight="1" outlineLevel="1">
      <c r="A61" s="211"/>
      <c r="B61" s="212"/>
      <c r="C61" s="213"/>
      <c r="D61" s="214" t="str">
        <f>IFERROR(VLOOKUP($C61,'PORTIFÓLIO'!C:V,2,0),"")</f>
        <v/>
      </c>
      <c r="E61" s="211" t="str">
        <f>IFERROR(VLOOKUP($C61,'PORTIFÓLIO'!C:V,3,0),"")</f>
        <v/>
      </c>
      <c r="F61" s="211" t="str">
        <f>IFERROR(VLOOKUP($C61,'PORTIFÓLIO'!C:V,4,0),"")</f>
        <v/>
      </c>
      <c r="G61" s="215" t="str">
        <f>IFERROR(VLOOKUP($C61,'PORTIFÓLIO'!C:V,5,0),"")</f>
        <v/>
      </c>
      <c r="H61" s="254" t="str">
        <f t="array" ref="H61">IFERROR(INDEX('PORTIFÓLIO'!$H$4:$H$433,MATCH($C61,'PORTIFÓLIO'!$C$4:$C$433,0)),"")</f>
        <v/>
      </c>
      <c r="I61" s="256"/>
      <c r="J61" s="218">
        <f t="shared" si="6"/>
        <v>0</v>
      </c>
      <c r="K61" s="219" t="str">
        <f t="array" ref="K61">IFERROR(I61*INDEX('PORTIFÓLIO'!$S$4:$S$433,MATCH($C61,'PORTIFÓLIO'!$C$4:$C$433,0)),"")</f>
        <v/>
      </c>
      <c r="L61" s="219" t="str">
        <f t="array" ref="L61">IFERROR(J61*INDEX('PORTIFÓLIO'!$S$4:$S$433,MATCH($C61,'PORTIFÓLIO'!$C$4:$C$433,0)),"")</f>
        <v/>
      </c>
      <c r="M61" s="220"/>
      <c r="N61" s="220"/>
      <c r="O61" s="220"/>
      <c r="P61" s="220"/>
      <c r="Q61" s="220"/>
      <c r="R61" s="220"/>
      <c r="S61" s="220"/>
      <c r="T61" s="220"/>
      <c r="U61" s="220"/>
      <c r="V61" s="220"/>
      <c r="W61" s="220"/>
    </row>
    <row r="62" ht="15.75" customHeight="1" outlineLevel="1">
      <c r="A62" s="211"/>
      <c r="B62" s="212"/>
      <c r="C62" s="213"/>
      <c r="D62" s="214" t="str">
        <f>IFERROR(VLOOKUP($C62,'PORTIFÓLIO'!C:V,2,0),"")</f>
        <v/>
      </c>
      <c r="E62" s="211" t="str">
        <f>IFERROR(VLOOKUP($C62,'PORTIFÓLIO'!C:V,3,0),"")</f>
        <v/>
      </c>
      <c r="F62" s="211" t="str">
        <f>IFERROR(VLOOKUP($C62,'PORTIFÓLIO'!C:V,4,0),"")</f>
        <v/>
      </c>
      <c r="G62" s="215" t="str">
        <f>IFERROR(VLOOKUP($C62,'PORTIFÓLIO'!C:V,5,0),"")</f>
        <v/>
      </c>
      <c r="H62" s="254" t="str">
        <f t="array" ref="H62">IFERROR(INDEX('PORTIFÓLIO'!$H$4:$H$433,MATCH($C62,'PORTIFÓLIO'!$C$4:$C$433,0)),"")</f>
        <v/>
      </c>
      <c r="I62" s="256"/>
      <c r="J62" s="218">
        <f t="shared" si="6"/>
        <v>0</v>
      </c>
      <c r="K62" s="219" t="str">
        <f t="array" ref="K62">IFERROR(I62*INDEX('PORTIFÓLIO'!$S$4:$S$433,MATCH($C62,'PORTIFÓLIO'!$C$4:$C$433,0)),"")</f>
        <v/>
      </c>
      <c r="L62" s="219" t="str">
        <f t="array" ref="L62">IFERROR(J62*INDEX('PORTIFÓLIO'!$S$4:$S$433,MATCH($C62,'PORTIFÓLIO'!$C$4:$C$433,0)),"")</f>
        <v/>
      </c>
      <c r="M62" s="220"/>
      <c r="N62" s="220"/>
      <c r="O62" s="220"/>
      <c r="P62" s="220"/>
      <c r="Q62" s="220"/>
      <c r="R62" s="220"/>
      <c r="S62" s="220"/>
      <c r="T62" s="220"/>
      <c r="U62" s="220"/>
      <c r="V62" s="220"/>
      <c r="W62" s="220"/>
    </row>
    <row r="63" ht="15.75" customHeight="1">
      <c r="A63" s="229" t="s">
        <v>1186</v>
      </c>
      <c r="B63" s="230"/>
      <c r="C63" s="231"/>
      <c r="D63" s="232"/>
      <c r="E63" s="231"/>
      <c r="F63" s="231"/>
      <c r="G63" s="233"/>
      <c r="H63" s="233"/>
      <c r="I63" s="258"/>
      <c r="J63" s="236"/>
      <c r="K63" s="237">
        <f t="shared" ref="K63:L63" si="7">SUBTOTAL(9,K64:K76)</f>
        <v>351.7247656</v>
      </c>
      <c r="L63" s="237">
        <f t="shared" si="7"/>
        <v>42206.97187</v>
      </c>
      <c r="M63" s="220"/>
      <c r="N63" s="220"/>
      <c r="O63" s="220"/>
      <c r="P63" s="220"/>
      <c r="Q63" s="220"/>
      <c r="R63" s="220"/>
      <c r="S63" s="220"/>
      <c r="T63" s="220"/>
      <c r="U63" s="220"/>
      <c r="V63" s="220"/>
      <c r="W63" s="220"/>
    </row>
    <row r="64" ht="15.75" customHeight="1" outlineLevel="1">
      <c r="A64" s="213"/>
      <c r="B64" s="212" t="s">
        <v>5</v>
      </c>
      <c r="C64" s="213" t="s">
        <v>1060</v>
      </c>
      <c r="D64" s="214" t="str">
        <f>IFERROR(VLOOKUP($C64,'PORTIFÓLIO'!C:V,2,0),"")</f>
        <v/>
      </c>
      <c r="E64" s="211" t="str">
        <f>IFERROR(VLOOKUP($C64,'PORTIFÓLIO'!C:V,3,0),"")</f>
        <v/>
      </c>
      <c r="F64" s="211" t="str">
        <f>IFERROR(VLOOKUP($C64,'PORTIFÓLIO'!C:V,4,0),"")</f>
        <v/>
      </c>
      <c r="G64" s="225" t="str">
        <f>IFERROR(VLOOKUP($C64,'PORTIFÓLIO'!C:V,5,0),"")</f>
        <v>📄 Ver bula</v>
      </c>
      <c r="H64" s="254" t="str">
        <f t="array" ref="H64">IFERROR(INDEX('PORTIFÓLIO'!$H$4:$H$433,MATCH($C64,'PORTIFÓLIO'!$C$4:$C$433,0)),"")</f>
        <v/>
      </c>
      <c r="I64" s="255">
        <v>0.04</v>
      </c>
      <c r="J64" s="218">
        <f t="shared" ref="J64:J80" si="8">I64*$B$2</f>
        <v>4.8</v>
      </c>
      <c r="K64" s="219">
        <f t="array" ref="K64">IFERROR(I64*INDEX('PORTIFÓLIO'!$S$4:$S$433,MATCH($C64,'PORTIFÓLIO'!$C$4:$C$433,0)),"")</f>
        <v>0</v>
      </c>
      <c r="L64" s="219">
        <f t="array" ref="L64">IFERROR(J64*INDEX('PORTIFÓLIO'!$S$4:$S$433,MATCH($C64,'PORTIFÓLIO'!$C$4:$C$433,0)),"")</f>
        <v>0</v>
      </c>
      <c r="M64" s="220"/>
      <c r="N64" s="220"/>
      <c r="O64" s="220"/>
      <c r="P64" s="220"/>
      <c r="Q64" s="220"/>
      <c r="R64" s="220"/>
      <c r="S64" s="220"/>
      <c r="T64" s="220"/>
      <c r="U64" s="220"/>
      <c r="V64" s="220"/>
      <c r="W64" s="220"/>
    </row>
    <row r="65" ht="15.75" customHeight="1" outlineLevel="1">
      <c r="A65" s="211"/>
      <c r="B65" s="212" t="s">
        <v>0</v>
      </c>
      <c r="C65" s="213" t="s">
        <v>1011</v>
      </c>
      <c r="D65" s="214" t="str">
        <f>IFERROR(VLOOKUP($C65,'PORTIFÓLIO'!C:V,2,0),"")</f>
        <v>METALAXIL-M + TIABENDAZOL + FLUDIOXONIL +
 TIAMETOXAM</v>
      </c>
      <c r="E65" s="211" t="str">
        <f>IFERROR(VLOOKUP($C65,'PORTIFÓLIO'!C:V,3,0),"")</f>
        <v>20 + 150 + 25 + 350</v>
      </c>
      <c r="F65" s="211" t="str">
        <f>IFERROR(VLOOKUP($C65,'PORTIFÓLIO'!C:V,4,0),"")</f>
        <v/>
      </c>
      <c r="G65" s="225" t="str">
        <f>IFERROR(VLOOKUP($C65,'PORTIFÓLIO'!C:V,5,0),"")</f>
        <v>📄 Ver bula</v>
      </c>
      <c r="H65" s="254">
        <f t="array" ref="H65">IFERROR(INDEX('PORTIFÓLIO'!$H$4:$H$433,MATCH($C65,'PORTIFÓLIO'!$C$4:$C$433,0)),"")</f>
        <v>0.05</v>
      </c>
      <c r="I65" s="255">
        <v>0.05</v>
      </c>
      <c r="J65" s="218">
        <f t="shared" si="8"/>
        <v>6</v>
      </c>
      <c r="K65" s="219">
        <f t="array" ref="K65">IFERROR(I65*INDEX('PORTIFÓLIO'!$S$4:$S$433,MATCH($C65,'PORTIFÓLIO'!$C$4:$C$433,0)),"")</f>
        <v>25.27</v>
      </c>
      <c r="L65" s="219">
        <f t="array" ref="L65">IFERROR(J65*INDEX('PORTIFÓLIO'!$S$4:$S$433,MATCH($C65,'PORTIFÓLIO'!$C$4:$C$433,0)),"")</f>
        <v>3032.4</v>
      </c>
      <c r="M65" s="220"/>
      <c r="N65" s="220"/>
      <c r="O65" s="220"/>
      <c r="P65" s="220"/>
      <c r="Q65" s="220"/>
      <c r="R65" s="220"/>
      <c r="S65" s="220"/>
      <c r="T65" s="220"/>
      <c r="U65" s="220"/>
      <c r="V65" s="220"/>
      <c r="W65" s="220"/>
    </row>
    <row r="66" ht="15.75" customHeight="1" outlineLevel="1">
      <c r="A66" s="211"/>
      <c r="B66" s="212" t="s">
        <v>3</v>
      </c>
      <c r="C66" s="213" t="s">
        <v>1007</v>
      </c>
      <c r="D66" s="214" t="str">
        <f>IFERROR(VLOOKUP($C66,'PORTIFÓLIO'!C:V,2,0),"")</f>
        <v>DIFENOCONAZOL</v>
      </c>
      <c r="E66" s="211">
        <f>IFERROR(VLOOKUP($C66,'PORTIFÓLIO'!C:V,3,0),"")</f>
        <v>150</v>
      </c>
      <c r="F66" s="211" t="str">
        <f>IFERROR(VLOOKUP($C66,'PORTIFÓLIO'!C:V,4,0),"")</f>
        <v/>
      </c>
      <c r="G66" s="225" t="str">
        <f>IFERROR(VLOOKUP($C66,'PORTIFÓLIO'!C:V,5,0),"")</f>
        <v>📄 Ver bula</v>
      </c>
      <c r="H66" s="254">
        <f t="array" ref="H66">IFERROR(INDEX('PORTIFÓLIO'!$H$4:$H$433,MATCH($C66,'PORTIFÓLIO'!$C$4:$C$433,0)),"")</f>
        <v>0.015</v>
      </c>
      <c r="I66" s="255">
        <v>0.02</v>
      </c>
      <c r="J66" s="218">
        <f t="shared" si="8"/>
        <v>2.4</v>
      </c>
      <c r="K66" s="219">
        <f t="array" ref="K66">IFERROR(I66*INDEX('PORTIFÓLIO'!$S$4:$S$433,MATCH($C66,'PORTIFÓLIO'!$C$4:$C$433,0)),"")</f>
        <v>1.78486</v>
      </c>
      <c r="L66" s="219">
        <f t="array" ref="L66">IFERROR(J66*INDEX('PORTIFÓLIO'!$S$4:$S$433,MATCH($C66,'PORTIFÓLIO'!$C$4:$C$433,0)),"")</f>
        <v>214.1832</v>
      </c>
      <c r="M66" s="220"/>
      <c r="N66" s="220"/>
      <c r="O66" s="220"/>
      <c r="P66" s="220"/>
      <c r="Q66" s="220"/>
      <c r="R66" s="220"/>
      <c r="S66" s="220"/>
      <c r="T66" s="220"/>
      <c r="U66" s="220"/>
      <c r="V66" s="220"/>
      <c r="W66" s="220"/>
    </row>
    <row r="67" ht="15.75" customHeight="1" outlineLevel="1">
      <c r="A67" s="211"/>
      <c r="B67" s="212" t="s">
        <v>3</v>
      </c>
      <c r="C67" s="213" t="s">
        <v>479</v>
      </c>
      <c r="D67" s="214" t="str">
        <f>IFERROR(VLOOKUP($C67,'PORTIFÓLIO'!C:V,2,0),"")</f>
        <v>FLUOPYRAM</v>
      </c>
      <c r="E67" s="211">
        <f>IFERROR(VLOOKUP($C67,'PORTIFÓLIO'!C:V,3,0),"")</f>
        <v>500</v>
      </c>
      <c r="F67" s="211" t="str">
        <f>IFERROR(VLOOKUP($C67,'PORTIFÓLIO'!C:V,4,0),"")</f>
        <v>L</v>
      </c>
      <c r="G67" s="225" t="str">
        <f>IFERROR(VLOOKUP($C67,'PORTIFÓLIO'!C:V,5,0),"")</f>
        <v>📄 Ver bula</v>
      </c>
      <c r="H67" s="254">
        <f t="array" ref="H67">IFERROR(INDEX('PORTIFÓLIO'!$H$4:$H$433,MATCH($C67,'PORTIFÓLIO'!$C$4:$C$433,0)),"")</f>
        <v>0.5</v>
      </c>
      <c r="I67" s="255">
        <v>0.21</v>
      </c>
      <c r="J67" s="218">
        <f t="shared" si="8"/>
        <v>25.2</v>
      </c>
      <c r="K67" s="219">
        <f t="array" ref="K67">IFERROR(I67*INDEX('PORTIFÓLIO'!$S$4:$S$433,MATCH($C67,'PORTIFÓLIO'!$C$4:$C$433,0)),"")</f>
        <v>84.9499056</v>
      </c>
      <c r="L67" s="219">
        <f t="array" ref="L67">IFERROR(J67*INDEX('PORTIFÓLIO'!$S$4:$S$433,MATCH($C67,'PORTIFÓLIO'!$C$4:$C$433,0)),"")</f>
        <v>10193.98867</v>
      </c>
      <c r="M67" s="220"/>
      <c r="N67" s="220"/>
      <c r="O67" s="220"/>
      <c r="P67" s="220"/>
      <c r="Q67" s="220"/>
      <c r="R67" s="220"/>
      <c r="S67" s="220"/>
      <c r="T67" s="220"/>
      <c r="U67" s="220"/>
      <c r="V67" s="220"/>
      <c r="W67" s="220"/>
    </row>
    <row r="68" ht="15.75" customHeight="1" outlineLevel="1">
      <c r="A68" s="211"/>
      <c r="B68" s="212" t="s">
        <v>4</v>
      </c>
      <c r="C68" s="213" t="s">
        <v>1094</v>
      </c>
      <c r="D68" s="214" t="str">
        <f>IFERROR(VLOOKUP($C68,'PORTIFÓLIO'!C:V,2,0),"")</f>
        <v>Bradyrhizobium sp.</v>
      </c>
      <c r="E68" s="211" t="str">
        <f>IFERROR(VLOOKUP($C68,'PORTIFÓLIO'!C:V,3,0),"")</f>
        <v/>
      </c>
      <c r="F68" s="211" t="str">
        <f>IFERROR(VLOOKUP($C68,'PORTIFÓLIO'!C:V,4,0),"")</f>
        <v>L</v>
      </c>
      <c r="G68" s="225" t="str">
        <f>IFERROR(VLOOKUP($C68,'PORTIFÓLIO'!C:V,5,0),"")</f>
        <v>📄 Ver bula</v>
      </c>
      <c r="H68" s="254">
        <f t="array" ref="H68">IFERROR(INDEX('PORTIFÓLIO'!$H$4:$H$433,MATCH($C68,'PORTIFÓLIO'!$C$4:$C$433,0)),"")</f>
        <v>2</v>
      </c>
      <c r="I68" s="255">
        <v>4.0</v>
      </c>
      <c r="J68" s="218">
        <f t="shared" si="8"/>
        <v>480</v>
      </c>
      <c r="K68" s="219">
        <f t="array" ref="K68">IFERROR(I68*INDEX('PORTIFÓLIO'!$S$4:$S$433,MATCH($C68,'PORTIFÓLIO'!$C$4:$C$433,0)),"")</f>
        <v>104</v>
      </c>
      <c r="L68" s="219">
        <f t="array" ref="L68">IFERROR(J68*INDEX('PORTIFÓLIO'!$S$4:$S$433,MATCH($C68,'PORTIFÓLIO'!$C$4:$C$433,0)),"")</f>
        <v>12480</v>
      </c>
      <c r="M68" s="220"/>
      <c r="N68" s="220"/>
      <c r="O68" s="220"/>
      <c r="P68" s="220"/>
      <c r="Q68" s="220"/>
      <c r="R68" s="220"/>
      <c r="S68" s="220"/>
      <c r="T68" s="220"/>
      <c r="U68" s="220"/>
      <c r="V68" s="220"/>
      <c r="W68" s="220"/>
    </row>
    <row r="69" ht="15.75" customHeight="1" outlineLevel="1">
      <c r="A69" s="211"/>
      <c r="B69" s="212" t="s">
        <v>4</v>
      </c>
      <c r="C69" s="213" t="s">
        <v>1092</v>
      </c>
      <c r="D69" s="214" t="str">
        <f>IFERROR(VLOOKUP($C69,'PORTIFÓLIO'!C:V,2,0),"")</f>
        <v>Azospirillum brasiliense</v>
      </c>
      <c r="E69" s="211" t="str">
        <f>IFERROR(VLOOKUP($C69,'PORTIFÓLIO'!C:V,3,0),"")</f>
        <v/>
      </c>
      <c r="F69" s="211" t="str">
        <f>IFERROR(VLOOKUP($C69,'PORTIFÓLIO'!C:V,4,0),"")</f>
        <v>L</v>
      </c>
      <c r="G69" s="225" t="str">
        <f>IFERROR(VLOOKUP($C69,'PORTIFÓLIO'!C:V,5,0),"")</f>
        <v>📄 Ver bula</v>
      </c>
      <c r="H69" s="254">
        <f t="array" ref="H69">IFERROR(INDEX('PORTIFÓLIO'!$H$4:$H$433,MATCH($C69,'PORTIFÓLIO'!$C$4:$C$433,0)),"")</f>
        <v>2</v>
      </c>
      <c r="I69" s="255">
        <v>1.0</v>
      </c>
      <c r="J69" s="218">
        <f t="shared" si="8"/>
        <v>120</v>
      </c>
      <c r="K69" s="219">
        <f t="array" ref="K69">IFERROR(I69*INDEX('PORTIFÓLIO'!$S$4:$S$433,MATCH($C69,'PORTIFÓLIO'!$C$4:$C$433,0)),"")</f>
        <v>36.4</v>
      </c>
      <c r="L69" s="219">
        <f t="array" ref="L69">IFERROR(J69*INDEX('PORTIFÓLIO'!$S$4:$S$433,MATCH($C69,'PORTIFÓLIO'!$C$4:$C$433,0)),"")</f>
        <v>4368</v>
      </c>
      <c r="M69" s="220"/>
      <c r="N69" s="220"/>
      <c r="O69" s="220"/>
      <c r="P69" s="220"/>
      <c r="Q69" s="220"/>
      <c r="R69" s="220"/>
      <c r="S69" s="220"/>
      <c r="T69" s="220"/>
      <c r="U69" s="220"/>
      <c r="V69" s="220"/>
      <c r="W69" s="220"/>
    </row>
    <row r="70" ht="15.75" customHeight="1" outlineLevel="1">
      <c r="A70" s="211"/>
      <c r="B70" s="212" t="s">
        <v>4</v>
      </c>
      <c r="C70" s="213" t="s">
        <v>1107</v>
      </c>
      <c r="D70" s="214" t="str">
        <f>IFERROR(VLOOKUP($C70,'PORTIFÓLIO'!C:V,2,0),"")</f>
        <v>Priestia aryabhattai</v>
      </c>
      <c r="E70" s="211" t="str">
        <f>IFERROR(VLOOKUP($C70,'PORTIFÓLIO'!C:V,3,0),"")</f>
        <v/>
      </c>
      <c r="F70" s="211" t="str">
        <f>IFERROR(VLOOKUP($C70,'PORTIFÓLIO'!C:V,4,0),"")</f>
        <v/>
      </c>
      <c r="G70" s="225" t="str">
        <f>IFERROR(VLOOKUP($C70,'PORTIFÓLIO'!C:V,5,0),"")</f>
        <v>📄 Ver bula</v>
      </c>
      <c r="H70" s="254">
        <f t="array" ref="H70">IFERROR(INDEX('PORTIFÓLIO'!$H$4:$H$433,MATCH($C70,'PORTIFÓLIO'!$C$4:$C$433,0)),"")</f>
        <v>2</v>
      </c>
      <c r="I70" s="255">
        <v>1.0</v>
      </c>
      <c r="J70" s="218">
        <f t="shared" si="8"/>
        <v>120</v>
      </c>
      <c r="K70" s="219">
        <f t="array" ref="K70">IFERROR(I70*INDEX('PORTIFÓLIO'!$S$4:$S$433,MATCH($C70,'PORTIFÓLIO'!$C$4:$C$433,0)),"")</f>
        <v>81.12</v>
      </c>
      <c r="L70" s="219">
        <f t="array" ref="L70">IFERROR(J70*INDEX('PORTIFÓLIO'!$S$4:$S$433,MATCH($C70,'PORTIFÓLIO'!$C$4:$C$433,0)),"")</f>
        <v>9734.4</v>
      </c>
      <c r="M70" s="220"/>
      <c r="N70" s="220"/>
      <c r="O70" s="220"/>
      <c r="P70" s="220"/>
      <c r="Q70" s="220"/>
      <c r="R70" s="220"/>
      <c r="S70" s="220"/>
      <c r="T70" s="220"/>
      <c r="U70" s="220"/>
      <c r="V70" s="220"/>
      <c r="W70" s="220"/>
    </row>
    <row r="71" ht="15.75" customHeight="1" outlineLevel="1">
      <c r="A71" s="211"/>
      <c r="B71" s="212" t="s">
        <v>4</v>
      </c>
      <c r="C71" s="213" t="s">
        <v>1187</v>
      </c>
      <c r="D71" s="214" t="str">
        <f>IFERROR(VLOOKUP($C71,'PORTIFÓLIO'!C:V,2,0),"")</f>
        <v/>
      </c>
      <c r="E71" s="211" t="str">
        <f>IFERROR(VLOOKUP($C71,'PORTIFÓLIO'!C:V,3,0),"")</f>
        <v/>
      </c>
      <c r="F71" s="211" t="str">
        <f>IFERROR(VLOOKUP($C71,'PORTIFÓLIO'!C:V,4,0),"")</f>
        <v/>
      </c>
      <c r="G71" s="215" t="str">
        <f>IFERROR(VLOOKUP($C71,'PORTIFÓLIO'!C:V,5,0),"")</f>
        <v/>
      </c>
      <c r="H71" s="254" t="str">
        <f t="array" ref="H71">IFERROR(INDEX('PORTIFÓLIO'!$H$4:$H$433,MATCH($C71,'PORTIFÓLIO'!$C$4:$C$433,0)),"")</f>
        <v/>
      </c>
      <c r="I71" s="255">
        <v>1.0</v>
      </c>
      <c r="J71" s="218">
        <f t="shared" si="8"/>
        <v>120</v>
      </c>
      <c r="K71" s="219" t="str">
        <f t="array" ref="K71">IFERROR(I71*INDEX('PORTIFÓLIO'!$S$4:$S$433,MATCH($C71,'PORTIFÓLIO'!$C$4:$C$433,0)),"")</f>
        <v/>
      </c>
      <c r="L71" s="219" t="str">
        <f t="array" ref="L71">IFERROR(J71*INDEX('PORTIFÓLIO'!$S$4:$S$433,MATCH($C71,'PORTIFÓLIO'!$C$4:$C$433,0)),"")</f>
        <v/>
      </c>
      <c r="M71" s="220"/>
      <c r="N71" s="220"/>
      <c r="O71" s="220"/>
      <c r="P71" s="220"/>
      <c r="Q71" s="220"/>
      <c r="R71" s="220"/>
      <c r="S71" s="220"/>
      <c r="T71" s="220"/>
      <c r="U71" s="220"/>
      <c r="V71" s="220"/>
      <c r="W71" s="220"/>
    </row>
    <row r="72" ht="15.75" customHeight="1" outlineLevel="1">
      <c r="A72" s="211"/>
      <c r="B72" s="212" t="s">
        <v>9</v>
      </c>
      <c r="C72" s="213" t="s">
        <v>1115</v>
      </c>
      <c r="D72" s="214" t="str">
        <f>IFERROR(VLOOKUP($C72,'PORTIFÓLIO'!C:V,2,0),"")</f>
        <v>Nutrifarm</v>
      </c>
      <c r="E72" s="211" t="str">
        <f>IFERROR(VLOOKUP($C72,'PORTIFÓLIO'!C:V,3,0),"")</f>
        <v/>
      </c>
      <c r="F72" s="211" t="str">
        <f>IFERROR(VLOOKUP($C72,'PORTIFÓLIO'!C:V,4,0),"")</f>
        <v>L</v>
      </c>
      <c r="G72" s="225" t="str">
        <f>IFERROR(VLOOKUP($C72,'PORTIFÓLIO'!C:V,5,0),"")</f>
        <v>📄 Ver bula</v>
      </c>
      <c r="H72" s="254">
        <f t="array" ref="H72">IFERROR(INDEX('PORTIFÓLIO'!$H$4:$H$433,MATCH($C72,'PORTIFÓLIO'!$C$4:$C$433,0)),"")</f>
        <v>0.2</v>
      </c>
      <c r="I72" s="255">
        <v>0.1</v>
      </c>
      <c r="J72" s="218">
        <f t="shared" si="8"/>
        <v>12</v>
      </c>
      <c r="K72" s="219">
        <f t="array" ref="K72">IFERROR(I72*INDEX('PORTIFÓLIO'!$S$4:$S$433,MATCH($C72,'PORTIFÓLIO'!$C$4:$C$433,0)),"")</f>
        <v>18.2</v>
      </c>
      <c r="L72" s="219">
        <f t="array" ref="L72">IFERROR(J72*INDEX('PORTIFÓLIO'!$S$4:$S$433,MATCH($C72,'PORTIFÓLIO'!$C$4:$C$433,0)),"")</f>
        <v>2184</v>
      </c>
      <c r="M72" s="220"/>
      <c r="N72" s="220"/>
      <c r="O72" s="220"/>
      <c r="P72" s="220"/>
      <c r="Q72" s="220"/>
      <c r="R72" s="220"/>
      <c r="S72" s="220"/>
      <c r="T72" s="220"/>
      <c r="U72" s="220"/>
      <c r="V72" s="220"/>
      <c r="W72" s="220"/>
    </row>
    <row r="73" ht="15.75" customHeight="1" outlineLevel="1">
      <c r="A73" s="211"/>
      <c r="B73" s="212"/>
      <c r="C73" s="213"/>
      <c r="D73" s="214" t="str">
        <f>IFERROR(VLOOKUP($C73,'PORTIFÓLIO'!C:V,2,0),"")</f>
        <v/>
      </c>
      <c r="E73" s="211" t="str">
        <f>IFERROR(VLOOKUP($C73,'PORTIFÓLIO'!C:V,3,0),"")</f>
        <v/>
      </c>
      <c r="F73" s="211" t="str">
        <f>IFERROR(VLOOKUP($C73,'PORTIFÓLIO'!C:V,4,0),"")</f>
        <v/>
      </c>
      <c r="G73" s="215" t="str">
        <f>IFERROR(VLOOKUP($C73,'PORTIFÓLIO'!C:V,5,0),"")</f>
        <v/>
      </c>
      <c r="H73" s="254" t="str">
        <f t="array" ref="H73">IFERROR(INDEX('PORTIFÓLIO'!$H$4:$H$433,MATCH($C73,'PORTIFÓLIO'!$C$4:$C$433,0)),"")</f>
        <v/>
      </c>
      <c r="I73" s="256"/>
      <c r="J73" s="218">
        <f t="shared" si="8"/>
        <v>0</v>
      </c>
      <c r="K73" s="219" t="str">
        <f t="array" ref="K73">IFERROR(I73*INDEX('PORTIFÓLIO'!$S$4:$S$433,MATCH($C73,'PORTIFÓLIO'!$C$4:$C$433,0)),"")</f>
        <v/>
      </c>
      <c r="L73" s="219" t="str">
        <f t="array" ref="L73">IFERROR(J73*INDEX('PORTIFÓLIO'!$S$4:$S$433,MATCH($C73,'PORTIFÓLIO'!$C$4:$C$433,0)),"")</f>
        <v/>
      </c>
      <c r="M73" s="220"/>
      <c r="N73" s="220"/>
      <c r="O73" s="220"/>
      <c r="P73" s="220"/>
      <c r="Q73" s="220"/>
      <c r="R73" s="220"/>
      <c r="S73" s="220"/>
      <c r="T73" s="220"/>
      <c r="U73" s="220"/>
      <c r="V73" s="220"/>
      <c r="W73" s="220"/>
    </row>
    <row r="74" ht="15.75" customHeight="1" outlineLevel="1">
      <c r="A74" s="211"/>
      <c r="B74" s="212"/>
      <c r="C74" s="213"/>
      <c r="D74" s="214" t="str">
        <f>IFERROR(VLOOKUP($C74,'PORTIFÓLIO'!C:V,2,0),"")</f>
        <v/>
      </c>
      <c r="E74" s="211" t="str">
        <f>IFERROR(VLOOKUP($C74,'PORTIFÓLIO'!C:V,3,0),"")</f>
        <v/>
      </c>
      <c r="F74" s="211" t="str">
        <f>IFERROR(VLOOKUP($C74,'PORTIFÓLIO'!C:V,4,0),"")</f>
        <v/>
      </c>
      <c r="G74" s="215" t="str">
        <f>IFERROR(VLOOKUP($C74,'PORTIFÓLIO'!C:V,5,0),"")</f>
        <v/>
      </c>
      <c r="H74" s="254" t="str">
        <f t="array" ref="H74">IFERROR(INDEX('PORTIFÓLIO'!$H$4:$H$433,MATCH($C74,'PORTIFÓLIO'!$C$4:$C$433,0)),"")</f>
        <v/>
      </c>
      <c r="I74" s="256"/>
      <c r="J74" s="218">
        <f t="shared" si="8"/>
        <v>0</v>
      </c>
      <c r="K74" s="219" t="str">
        <f t="array" ref="K74">IFERROR(I74*INDEX('PORTIFÓLIO'!$S$4:$S$433,MATCH($C74,'PORTIFÓLIO'!$C$4:$C$433,0)),"")</f>
        <v/>
      </c>
      <c r="L74" s="219" t="str">
        <f t="array" ref="L74">IFERROR(J74*INDEX('PORTIFÓLIO'!$S$4:$S$433,MATCH($C74,'PORTIFÓLIO'!$C$4:$C$433,0)),"")</f>
        <v/>
      </c>
      <c r="M74" s="220"/>
      <c r="N74" s="220"/>
      <c r="O74" s="220"/>
      <c r="P74" s="220"/>
      <c r="Q74" s="220"/>
      <c r="R74" s="220"/>
      <c r="S74" s="220"/>
      <c r="T74" s="220"/>
      <c r="U74" s="220"/>
      <c r="V74" s="220"/>
      <c r="W74" s="220"/>
    </row>
    <row r="75" ht="15.75" customHeight="1" outlineLevel="1">
      <c r="A75" s="211"/>
      <c r="B75" s="212"/>
      <c r="C75" s="213"/>
      <c r="D75" s="214" t="str">
        <f>IFERROR(VLOOKUP($C75,'PORTIFÓLIO'!C:V,2,0),"")</f>
        <v/>
      </c>
      <c r="E75" s="211" t="str">
        <f>IFERROR(VLOOKUP($C75,'PORTIFÓLIO'!C:V,3,0),"")</f>
        <v/>
      </c>
      <c r="F75" s="211" t="str">
        <f>IFERROR(VLOOKUP($C75,'PORTIFÓLIO'!C:V,4,0),"")</f>
        <v/>
      </c>
      <c r="G75" s="215" t="str">
        <f>IFERROR(VLOOKUP($C75,'PORTIFÓLIO'!C:V,5,0),"")</f>
        <v/>
      </c>
      <c r="H75" s="254" t="str">
        <f t="array" ref="H75">IFERROR(INDEX('PORTIFÓLIO'!$H$4:$H$433,MATCH($C75,'PORTIFÓLIO'!$C$4:$C$433,0)),"")</f>
        <v/>
      </c>
      <c r="I75" s="256"/>
      <c r="J75" s="218">
        <f t="shared" si="8"/>
        <v>0</v>
      </c>
      <c r="K75" s="219" t="str">
        <f t="array" ref="K75">IFERROR(I75*INDEX('PORTIFÓLIO'!$S$4:$S$433,MATCH($C75,'PORTIFÓLIO'!$C$4:$C$433,0)),"")</f>
        <v/>
      </c>
      <c r="L75" s="219" t="str">
        <f t="array" ref="L75">IFERROR(J75*INDEX('PORTIFÓLIO'!$S$4:$S$433,MATCH($C75,'PORTIFÓLIO'!$C$4:$C$433,0)),"")</f>
        <v/>
      </c>
      <c r="M75" s="220"/>
      <c r="N75" s="220"/>
      <c r="O75" s="220"/>
      <c r="P75" s="220"/>
      <c r="Q75" s="220"/>
      <c r="R75" s="220"/>
      <c r="S75" s="220"/>
      <c r="T75" s="220"/>
      <c r="U75" s="220"/>
      <c r="V75" s="220"/>
      <c r="W75" s="220"/>
    </row>
    <row r="76" ht="15.75" customHeight="1" outlineLevel="1">
      <c r="A76" s="211"/>
      <c r="B76" s="212"/>
      <c r="C76" s="213"/>
      <c r="D76" s="214" t="str">
        <f>IFERROR(VLOOKUP($C76,'PORTIFÓLIO'!C:V,2,0),"")</f>
        <v/>
      </c>
      <c r="E76" s="211" t="str">
        <f>IFERROR(VLOOKUP($C76,'PORTIFÓLIO'!C:V,3,0),"")</f>
        <v/>
      </c>
      <c r="F76" s="211" t="str">
        <f>IFERROR(VLOOKUP($C76,'PORTIFÓLIO'!C:V,4,0),"")</f>
        <v/>
      </c>
      <c r="G76" s="215" t="str">
        <f>IFERROR(VLOOKUP($C76,'PORTIFÓLIO'!C:V,5,0),"")</f>
        <v/>
      </c>
      <c r="H76" s="254" t="str">
        <f t="array" ref="H76">IFERROR(INDEX('PORTIFÓLIO'!$H$4:$H$433,MATCH($C76,'PORTIFÓLIO'!$C$4:$C$433,0)),"")</f>
        <v/>
      </c>
      <c r="I76" s="256"/>
      <c r="J76" s="218">
        <f t="shared" si="8"/>
        <v>0</v>
      </c>
      <c r="K76" s="219" t="str">
        <f t="array" ref="K76">IFERROR(I76*INDEX('PORTIFÓLIO'!$S$4:$S$433,MATCH($C76,'PORTIFÓLIO'!$C$4:$C$433,0)),"")</f>
        <v/>
      </c>
      <c r="L76" s="219" t="str">
        <f t="array" ref="L76">IFERROR(J76*INDEX('PORTIFÓLIO'!$S$4:$S$433,MATCH($C76,'PORTIFÓLIO'!$C$4:$C$433,0)),"")</f>
        <v/>
      </c>
      <c r="M76" s="220"/>
      <c r="N76" s="220"/>
      <c r="O76" s="220"/>
      <c r="P76" s="220"/>
      <c r="Q76" s="220"/>
      <c r="R76" s="220"/>
      <c r="S76" s="220"/>
      <c r="T76" s="220"/>
      <c r="U76" s="220"/>
      <c r="V76" s="220"/>
      <c r="W76" s="220"/>
    </row>
    <row r="77" ht="15.75" customHeight="1" outlineLevel="1">
      <c r="A77" s="211"/>
      <c r="B77" s="212"/>
      <c r="C77" s="213"/>
      <c r="D77" s="214" t="str">
        <f>IFERROR(VLOOKUP($C77,'PORTIFÓLIO'!C:V,2,0),"")</f>
        <v/>
      </c>
      <c r="E77" s="211" t="str">
        <f>IFERROR(VLOOKUP($C77,'PORTIFÓLIO'!C:V,3,0),"")</f>
        <v/>
      </c>
      <c r="F77" s="211" t="str">
        <f>IFERROR(VLOOKUP($C77,'PORTIFÓLIO'!C:V,4,0),"")</f>
        <v/>
      </c>
      <c r="G77" s="215" t="str">
        <f>IFERROR(VLOOKUP($C77,'PORTIFÓLIO'!C:V,5,0),"")</f>
        <v/>
      </c>
      <c r="H77" s="254" t="str">
        <f t="array" ref="H77">IFERROR(INDEX('PORTIFÓLIO'!$H$4:$H$433,MATCH($C77,'PORTIFÓLIO'!$C$4:$C$433,0)),"")</f>
        <v/>
      </c>
      <c r="I77" s="256"/>
      <c r="J77" s="218">
        <f t="shared" si="8"/>
        <v>0</v>
      </c>
      <c r="K77" s="219" t="str">
        <f t="array" ref="K77">IFERROR(I77*INDEX('PORTIFÓLIO'!$S$4:$S$433,MATCH($C77,'PORTIFÓLIO'!$C$4:$C$433,0)),"")</f>
        <v/>
      </c>
      <c r="L77" s="219" t="str">
        <f t="array" ref="L77">IFERROR(J77*INDEX('PORTIFÓLIO'!$S$4:$S$433,MATCH($C77,'PORTIFÓLIO'!$C$4:$C$433,0)),"")</f>
        <v/>
      </c>
      <c r="M77" s="220"/>
      <c r="N77" s="220"/>
      <c r="O77" s="220"/>
      <c r="P77" s="220"/>
      <c r="Q77" s="220"/>
      <c r="R77" s="220"/>
      <c r="S77" s="220"/>
      <c r="T77" s="220"/>
      <c r="U77" s="220"/>
      <c r="V77" s="220"/>
      <c r="W77" s="220"/>
    </row>
    <row r="78" ht="15.75" customHeight="1" outlineLevel="1">
      <c r="A78" s="211"/>
      <c r="B78" s="212"/>
      <c r="C78" s="213"/>
      <c r="D78" s="214" t="str">
        <f>IFERROR(VLOOKUP($C78,'PORTIFÓLIO'!C:V,2,0),"")</f>
        <v/>
      </c>
      <c r="E78" s="211" t="str">
        <f>IFERROR(VLOOKUP($C78,'PORTIFÓLIO'!C:V,3,0),"")</f>
        <v/>
      </c>
      <c r="F78" s="211" t="str">
        <f>IFERROR(VLOOKUP($C78,'PORTIFÓLIO'!C:V,4,0),"")</f>
        <v/>
      </c>
      <c r="G78" s="215" t="str">
        <f>IFERROR(VLOOKUP($C78,'PORTIFÓLIO'!C:V,5,0),"")</f>
        <v/>
      </c>
      <c r="H78" s="254" t="str">
        <f t="array" ref="H78">IFERROR(INDEX('PORTIFÓLIO'!$H$4:$H$433,MATCH($C78,'PORTIFÓLIO'!$C$4:$C$433,0)),"")</f>
        <v/>
      </c>
      <c r="I78" s="256"/>
      <c r="J78" s="218">
        <f t="shared" si="8"/>
        <v>0</v>
      </c>
      <c r="K78" s="219" t="str">
        <f t="array" ref="K78">IFERROR(I78*INDEX('PORTIFÓLIO'!$S$4:$S$433,MATCH($C78,'PORTIFÓLIO'!$C$4:$C$433,0)),"")</f>
        <v/>
      </c>
      <c r="L78" s="219" t="str">
        <f t="array" ref="L78">IFERROR(J78*INDEX('PORTIFÓLIO'!$S$4:$S$433,MATCH($C78,'PORTIFÓLIO'!$C$4:$C$433,0)),"")</f>
        <v/>
      </c>
      <c r="M78" s="220"/>
      <c r="N78" s="220"/>
      <c r="O78" s="220"/>
      <c r="P78" s="220"/>
      <c r="Q78" s="220"/>
      <c r="R78" s="220"/>
      <c r="S78" s="220"/>
      <c r="T78" s="220"/>
      <c r="U78" s="220"/>
      <c r="V78" s="220"/>
      <c r="W78" s="220"/>
    </row>
    <row r="79" ht="15.75" customHeight="1" outlineLevel="1">
      <c r="A79" s="211"/>
      <c r="B79" s="212"/>
      <c r="C79" s="213"/>
      <c r="D79" s="214" t="str">
        <f>IFERROR(VLOOKUP($C79,'PORTIFÓLIO'!C:V,2,0),"")</f>
        <v/>
      </c>
      <c r="E79" s="211" t="str">
        <f>IFERROR(VLOOKUP($C79,'PORTIFÓLIO'!C:V,3,0),"")</f>
        <v/>
      </c>
      <c r="F79" s="211" t="str">
        <f>IFERROR(VLOOKUP($C79,'PORTIFÓLIO'!C:V,4,0),"")</f>
        <v/>
      </c>
      <c r="G79" s="215" t="str">
        <f>IFERROR(VLOOKUP($C79,'PORTIFÓLIO'!C:V,5,0),"")</f>
        <v/>
      </c>
      <c r="H79" s="254" t="str">
        <f t="array" ref="H79">IFERROR(INDEX('PORTIFÓLIO'!$H$4:$H$433,MATCH($C79,'PORTIFÓLIO'!$C$4:$C$433,0)),"")</f>
        <v/>
      </c>
      <c r="I79" s="256"/>
      <c r="J79" s="218">
        <f t="shared" si="8"/>
        <v>0</v>
      </c>
      <c r="K79" s="219" t="str">
        <f t="array" ref="K79">IFERROR(I79*INDEX('PORTIFÓLIO'!$S$4:$S$433,MATCH($C79,'PORTIFÓLIO'!$C$4:$C$433,0)),"")</f>
        <v/>
      </c>
      <c r="L79" s="219" t="str">
        <f t="array" ref="L79">IFERROR(J79*INDEX('PORTIFÓLIO'!$S$4:$S$433,MATCH($C79,'PORTIFÓLIO'!$C$4:$C$433,0)),"")</f>
        <v/>
      </c>
      <c r="M79" s="220"/>
      <c r="N79" s="220"/>
      <c r="O79" s="220"/>
      <c r="P79" s="220"/>
      <c r="Q79" s="220"/>
      <c r="R79" s="220"/>
      <c r="S79" s="220"/>
      <c r="T79" s="220"/>
      <c r="U79" s="220"/>
      <c r="V79" s="220"/>
      <c r="W79" s="220"/>
    </row>
    <row r="80" ht="15.75" customHeight="1" outlineLevel="1">
      <c r="A80" s="211"/>
      <c r="B80" s="212"/>
      <c r="C80" s="213"/>
      <c r="D80" s="214" t="str">
        <f>IFERROR(VLOOKUP($C80,'PORTIFÓLIO'!C:V,2,0),"")</f>
        <v/>
      </c>
      <c r="E80" s="211" t="str">
        <f>IFERROR(VLOOKUP($C80,'PORTIFÓLIO'!C:V,3,0),"")</f>
        <v/>
      </c>
      <c r="F80" s="211" t="str">
        <f>IFERROR(VLOOKUP($C80,'PORTIFÓLIO'!C:V,4,0),"")</f>
        <v/>
      </c>
      <c r="G80" s="215" t="str">
        <f>IFERROR(VLOOKUP($C80,'PORTIFÓLIO'!C:V,5,0),"")</f>
        <v/>
      </c>
      <c r="H80" s="254" t="str">
        <f t="array" ref="H80">IFERROR(INDEX('PORTIFÓLIO'!$H$4:$H$433,MATCH($C80,'PORTIFÓLIO'!$C$4:$C$433,0)),"")</f>
        <v/>
      </c>
      <c r="I80" s="256"/>
      <c r="J80" s="218">
        <f t="shared" si="8"/>
        <v>0</v>
      </c>
      <c r="K80" s="219" t="str">
        <f t="array" ref="K80">IFERROR(I80*INDEX('PORTIFÓLIO'!$S$4:$S$433,MATCH($C80,'PORTIFÓLIO'!$C$4:$C$433,0)),"")</f>
        <v/>
      </c>
      <c r="L80" s="219" t="str">
        <f t="array" ref="L80">IFERROR(J80*INDEX('PORTIFÓLIO'!$S$4:$S$433,MATCH($C80,'PORTIFÓLIO'!$C$4:$C$433,0)),"")</f>
        <v/>
      </c>
      <c r="M80" s="220"/>
      <c r="N80" s="220"/>
      <c r="O80" s="220"/>
      <c r="P80" s="220"/>
      <c r="Q80" s="220"/>
      <c r="R80" s="220"/>
      <c r="S80" s="220"/>
      <c r="T80" s="220"/>
      <c r="U80" s="220"/>
      <c r="V80" s="220"/>
      <c r="W80" s="220"/>
    </row>
    <row r="81" ht="15.75" customHeight="1">
      <c r="A81" s="229" t="s">
        <v>1188</v>
      </c>
      <c r="B81" s="230"/>
      <c r="C81" s="231"/>
      <c r="D81" s="232" t="s">
        <v>216</v>
      </c>
      <c r="E81" s="231"/>
      <c r="F81" s="231"/>
      <c r="G81" s="233"/>
      <c r="H81" s="233"/>
      <c r="I81" s="258"/>
      <c r="J81" s="236"/>
      <c r="K81" s="237">
        <f t="shared" ref="K81:L81" si="9">SUBTOTAL(9,K82:K95)</f>
        <v>76.88756</v>
      </c>
      <c r="L81" s="237">
        <f t="shared" si="9"/>
        <v>9226.5072</v>
      </c>
      <c r="M81" s="220"/>
      <c r="N81" s="220"/>
      <c r="O81" s="220"/>
      <c r="P81" s="220"/>
      <c r="Q81" s="220"/>
      <c r="R81" s="220"/>
      <c r="S81" s="220"/>
      <c r="T81" s="220"/>
      <c r="U81" s="220"/>
      <c r="V81" s="220"/>
      <c r="W81" s="220"/>
    </row>
    <row r="82" ht="15.75" customHeight="1" outlineLevel="1">
      <c r="A82" s="213"/>
      <c r="B82" s="212" t="s">
        <v>1</v>
      </c>
      <c r="C82" s="213" t="s">
        <v>637</v>
      </c>
      <c r="D82" s="214" t="str">
        <f>IFERROR(VLOOKUP($C82,'PORTIFÓLIO'!C:V,2,0),"")</f>
        <v>GLIFOSATO-SAL DE AMÔNIO</v>
      </c>
      <c r="E82" s="211">
        <f>IFERROR(VLOOKUP($C82,'PORTIFÓLIO'!C:V,3,0),"")</f>
        <v>720</v>
      </c>
      <c r="F82" s="211" t="str">
        <f>IFERROR(VLOOKUP($C82,'PORTIFÓLIO'!C:V,4,0),"")</f>
        <v>L</v>
      </c>
      <c r="G82" s="225" t="str">
        <f>IFERROR(VLOOKUP($C82,'PORTIFÓLIO'!C:V,5,0),"")</f>
        <v>📄 Ver bula</v>
      </c>
      <c r="H82" s="254">
        <f t="array" ref="H82">IFERROR(INDEX('PORTIFÓLIO'!$H$4:$H$433,MATCH($C82,'PORTIFÓLIO'!$C$4:$C$433,0)),"")</f>
        <v>2</v>
      </c>
      <c r="I82" s="255">
        <v>2.0</v>
      </c>
      <c r="J82" s="218">
        <f t="shared" ref="J82:J96" si="10">I82*$B$2</f>
        <v>240</v>
      </c>
      <c r="K82" s="219">
        <f t="array" ref="K82">IFERROR(I82*INDEX('PORTIFÓLIO'!$S$4:$S$433,MATCH($C82,'PORTIFÓLIO'!$C$4:$C$433,0)),"")</f>
        <v>49.16</v>
      </c>
      <c r="L82" s="219">
        <f t="array" ref="L82">IFERROR(J82*INDEX('PORTIFÓLIO'!$S$4:$S$433,MATCH($C82,'PORTIFÓLIO'!$C$4:$C$433,0)),"")</f>
        <v>5899.2</v>
      </c>
      <c r="M82" s="220"/>
      <c r="N82" s="220"/>
      <c r="O82" s="220"/>
      <c r="P82" s="220"/>
      <c r="Q82" s="220"/>
      <c r="R82" s="220"/>
      <c r="S82" s="220"/>
      <c r="T82" s="220"/>
      <c r="U82" s="220"/>
      <c r="V82" s="220"/>
      <c r="W82" s="220"/>
    </row>
    <row r="83" ht="15.75" customHeight="1" outlineLevel="1">
      <c r="A83" s="211"/>
      <c r="B83" s="212" t="s">
        <v>1</v>
      </c>
      <c r="C83" s="213" t="s">
        <v>682</v>
      </c>
      <c r="D83" s="214" t="str">
        <f>IFERROR(VLOOKUP($C83,'PORTIFÓLIO'!C:V,2,0),"")</f>
        <v>CLETODIM</v>
      </c>
      <c r="E83" s="211">
        <f>IFERROR(VLOOKUP($C83,'PORTIFÓLIO'!C:V,3,0),"")</f>
        <v>240</v>
      </c>
      <c r="F83" s="211" t="str">
        <f>IFERROR(VLOOKUP($C83,'PORTIFÓLIO'!C:V,4,0),"")</f>
        <v>L</v>
      </c>
      <c r="G83" s="225" t="str">
        <f>IFERROR(VLOOKUP($C83,'PORTIFÓLIO'!C:V,5,0),"")</f>
        <v>📄 Ver bula</v>
      </c>
      <c r="H83" s="254">
        <f t="array" ref="H83">IFERROR(INDEX('PORTIFÓLIO'!$H$4:$H$433,MATCH($C83,'PORTIFÓLIO'!$C$4:$C$433,0)),"")</f>
        <v>0.4</v>
      </c>
      <c r="I83" s="255">
        <v>0.4</v>
      </c>
      <c r="J83" s="218">
        <f t="shared" si="10"/>
        <v>48</v>
      </c>
      <c r="K83" s="219">
        <f t="array" ref="K83">IFERROR(I83*INDEX('PORTIFÓLIO'!$S$4:$S$433,MATCH($C83,'PORTIFÓLIO'!$C$4:$C$433,0)),"")</f>
        <v>12.33916</v>
      </c>
      <c r="L83" s="219">
        <f t="array" ref="L83">IFERROR(J83*INDEX('PORTIFÓLIO'!$S$4:$S$433,MATCH($C83,'PORTIFÓLIO'!$C$4:$C$433,0)),"")</f>
        <v>1480.6992</v>
      </c>
      <c r="M83" s="220"/>
      <c r="N83" s="220"/>
      <c r="O83" s="220"/>
      <c r="P83" s="220"/>
      <c r="Q83" s="220"/>
      <c r="R83" s="220"/>
      <c r="S83" s="220"/>
      <c r="T83" s="220"/>
      <c r="U83" s="220"/>
      <c r="V83" s="220"/>
      <c r="W83" s="220"/>
    </row>
    <row r="84" ht="15.75" customHeight="1" outlineLevel="1">
      <c r="A84" s="211"/>
      <c r="B84" s="212" t="s">
        <v>0</v>
      </c>
      <c r="C84" s="213" t="s">
        <v>505</v>
      </c>
      <c r="D84" s="214" t="str">
        <f>IFERROR(VLOOKUP($C84,'PORTIFÓLIO'!C:V,2,0),"")</f>
        <v>TEBUCONAZOL</v>
      </c>
      <c r="E84" s="211">
        <f>IFERROR(VLOOKUP($C84,'PORTIFÓLIO'!C:V,3,0),"")</f>
        <v>430</v>
      </c>
      <c r="F84" s="211" t="str">
        <f>IFERROR(VLOOKUP($C84,'PORTIFÓLIO'!C:V,4,0),"")</f>
        <v>L</v>
      </c>
      <c r="G84" s="225" t="str">
        <f>IFERROR(VLOOKUP($C84,'PORTIFÓLIO'!C:V,5,0),"")</f>
        <v>📄 Ver bula</v>
      </c>
      <c r="H84" s="254">
        <f t="array" ref="H84">IFERROR(INDEX('PORTIFÓLIO'!$H$4:$H$433,MATCH($C84,'PORTIFÓLIO'!$C$4:$C$433,0)),"")</f>
        <v>0.4</v>
      </c>
      <c r="I84" s="255">
        <v>0.4</v>
      </c>
      <c r="J84" s="218">
        <f t="shared" si="10"/>
        <v>48</v>
      </c>
      <c r="K84" s="219">
        <f t="array" ref="K84">IFERROR(I84*INDEX('PORTIFÓLIO'!$S$4:$S$433,MATCH($C84,'PORTIFÓLIO'!$C$4:$C$433,0)),"")</f>
        <v>12.1824</v>
      </c>
      <c r="L84" s="219">
        <f t="array" ref="L84">IFERROR(J84*INDEX('PORTIFÓLIO'!$S$4:$S$433,MATCH($C84,'PORTIFÓLIO'!$C$4:$C$433,0)),"")</f>
        <v>1461.888</v>
      </c>
      <c r="M84" s="220"/>
      <c r="N84" s="220"/>
      <c r="O84" s="220"/>
      <c r="P84" s="220"/>
      <c r="Q84" s="220"/>
      <c r="R84" s="220"/>
      <c r="S84" s="220"/>
      <c r="T84" s="220"/>
      <c r="U84" s="220"/>
      <c r="V84" s="220"/>
      <c r="W84" s="220"/>
    </row>
    <row r="85" ht="15.75" customHeight="1" outlineLevel="1">
      <c r="A85" s="211"/>
      <c r="B85" s="212" t="s">
        <v>6</v>
      </c>
      <c r="C85" s="213" t="s">
        <v>354</v>
      </c>
      <c r="D85" s="214" t="str">
        <f>IFERROR(VLOOKUP($C85,'PORTIFÓLIO'!C:V,2,0),"")</f>
        <v>OLEO MINERAL</v>
      </c>
      <c r="E85" s="211">
        <f>IFERROR(VLOOKUP($C85,'PORTIFÓLIO'!C:V,3,0),"")</f>
        <v>761</v>
      </c>
      <c r="F85" s="211" t="str">
        <f>IFERROR(VLOOKUP($C85,'PORTIFÓLIO'!C:V,4,0),"")</f>
        <v>L</v>
      </c>
      <c r="G85" s="225" t="str">
        <f>IFERROR(VLOOKUP($C85,'PORTIFÓLIO'!C:V,5,0),"")</f>
        <v>📄 Ver bula</v>
      </c>
      <c r="H85" s="254">
        <f t="array" ref="H85">IFERROR(INDEX('PORTIFÓLIO'!$H$4:$H$433,MATCH($C85,'PORTIFÓLIO'!$C$4:$C$433,0)),"")</f>
        <v>0.2</v>
      </c>
      <c r="I85" s="255">
        <v>0.2</v>
      </c>
      <c r="J85" s="218">
        <f t="shared" si="10"/>
        <v>24</v>
      </c>
      <c r="K85" s="219">
        <f t="array" ref="K85">IFERROR(I85*INDEX('PORTIFÓLIO'!$S$4:$S$433,MATCH($C85,'PORTIFÓLIO'!$C$4:$C$433,0)),"")</f>
        <v>3.206</v>
      </c>
      <c r="L85" s="219">
        <f t="array" ref="L85">IFERROR(J85*INDEX('PORTIFÓLIO'!$S$4:$S$433,MATCH($C85,'PORTIFÓLIO'!$C$4:$C$433,0)),"")</f>
        <v>384.72</v>
      </c>
      <c r="M85" s="220"/>
      <c r="N85" s="220"/>
      <c r="O85" s="220"/>
      <c r="P85" s="220"/>
      <c r="Q85" s="220"/>
      <c r="R85" s="220"/>
      <c r="S85" s="220"/>
      <c r="T85" s="220"/>
      <c r="U85" s="220"/>
      <c r="V85" s="220"/>
      <c r="W85" s="220"/>
    </row>
    <row r="86" ht="15.75" customHeight="1" outlineLevel="1">
      <c r="A86" s="211"/>
      <c r="B86" s="212"/>
      <c r="C86" s="213"/>
      <c r="D86" s="214" t="str">
        <f>IFERROR(VLOOKUP($C86,'PORTIFÓLIO'!C:V,2,0),"")</f>
        <v/>
      </c>
      <c r="E86" s="211" t="str">
        <f>IFERROR(VLOOKUP($C86,'PORTIFÓLIO'!C:V,3,0),"")</f>
        <v/>
      </c>
      <c r="F86" s="211" t="str">
        <f>IFERROR(VLOOKUP($C86,'PORTIFÓLIO'!C:V,4,0),"")</f>
        <v/>
      </c>
      <c r="G86" s="215" t="str">
        <f>IFERROR(VLOOKUP($C86,'PORTIFÓLIO'!C:V,5,0),"")</f>
        <v/>
      </c>
      <c r="H86" s="254" t="str">
        <f t="array" ref="H86">IFERROR(INDEX('PORTIFÓLIO'!$H$4:$H$433,MATCH($C86,'PORTIFÓLIO'!$C$4:$C$433,0)),"")</f>
        <v/>
      </c>
      <c r="I86" s="256"/>
      <c r="J86" s="218">
        <f t="shared" si="10"/>
        <v>0</v>
      </c>
      <c r="K86" s="219" t="str">
        <f t="array" ref="K86">IFERROR(I86*INDEX('PORTIFÓLIO'!$S$4:$S$433,MATCH($C86,'PORTIFÓLIO'!$C$4:$C$433,0)),"")</f>
        <v/>
      </c>
      <c r="L86" s="219" t="str">
        <f t="array" ref="L86">IFERROR(J86*INDEX('PORTIFÓLIO'!$S$4:$S$433,MATCH($C86,'PORTIFÓLIO'!$C$4:$C$433,0)),"")</f>
        <v/>
      </c>
      <c r="M86" s="220"/>
      <c r="N86" s="220"/>
      <c r="O86" s="220"/>
      <c r="P86" s="220"/>
      <c r="Q86" s="220"/>
      <c r="R86" s="220"/>
      <c r="S86" s="220"/>
      <c r="T86" s="220"/>
      <c r="U86" s="220"/>
      <c r="V86" s="220"/>
      <c r="W86" s="220"/>
    </row>
    <row r="87" ht="15.75" customHeight="1" outlineLevel="1">
      <c r="A87" s="211"/>
      <c r="B87" s="212"/>
      <c r="C87" s="213"/>
      <c r="D87" s="214" t="str">
        <f>IFERROR(VLOOKUP($C87,'PORTIFÓLIO'!C:V,2,0),"")</f>
        <v/>
      </c>
      <c r="E87" s="211" t="str">
        <f>IFERROR(VLOOKUP($C87,'PORTIFÓLIO'!C:V,3,0),"")</f>
        <v/>
      </c>
      <c r="F87" s="211" t="str">
        <f>IFERROR(VLOOKUP($C87,'PORTIFÓLIO'!C:V,4,0),"")</f>
        <v/>
      </c>
      <c r="G87" s="215" t="str">
        <f>IFERROR(VLOOKUP($C87,'PORTIFÓLIO'!C:V,5,0),"")</f>
        <v/>
      </c>
      <c r="H87" s="254" t="str">
        <f t="array" ref="H87">IFERROR(INDEX('PORTIFÓLIO'!$H$4:$H$433,MATCH($C87,'PORTIFÓLIO'!$C$4:$C$433,0)),"")</f>
        <v/>
      </c>
      <c r="I87" s="256"/>
      <c r="J87" s="218">
        <f t="shared" si="10"/>
        <v>0</v>
      </c>
      <c r="K87" s="219" t="str">
        <f t="array" ref="K87">IFERROR(I87*INDEX('PORTIFÓLIO'!$S$4:$S$433,MATCH($C87,'PORTIFÓLIO'!$C$4:$C$433,0)),"")</f>
        <v/>
      </c>
      <c r="L87" s="219" t="str">
        <f t="array" ref="L87">IFERROR(J87*INDEX('PORTIFÓLIO'!$S$4:$S$433,MATCH($C87,'PORTIFÓLIO'!$C$4:$C$433,0)),"")</f>
        <v/>
      </c>
      <c r="M87" s="220"/>
      <c r="N87" s="220"/>
      <c r="O87" s="220"/>
      <c r="P87" s="220"/>
      <c r="Q87" s="220"/>
      <c r="R87" s="220"/>
      <c r="S87" s="220"/>
      <c r="T87" s="220"/>
      <c r="U87" s="220"/>
      <c r="V87" s="220"/>
      <c r="W87" s="220"/>
    </row>
    <row r="88" ht="15.75" customHeight="1" outlineLevel="1">
      <c r="A88" s="211"/>
      <c r="B88" s="212"/>
      <c r="C88" s="213"/>
      <c r="D88" s="214" t="str">
        <f>IFERROR(VLOOKUP($C88,'PORTIFÓLIO'!C:V,2,0),"")</f>
        <v/>
      </c>
      <c r="E88" s="211" t="str">
        <f>IFERROR(VLOOKUP($C88,'PORTIFÓLIO'!C:V,3,0),"")</f>
        <v/>
      </c>
      <c r="F88" s="211" t="str">
        <f>IFERROR(VLOOKUP($C88,'PORTIFÓLIO'!C:V,4,0),"")</f>
        <v/>
      </c>
      <c r="G88" s="215" t="str">
        <f>IFERROR(VLOOKUP($C88,'PORTIFÓLIO'!C:V,5,0),"")</f>
        <v/>
      </c>
      <c r="H88" s="254" t="str">
        <f t="array" ref="H88">IFERROR(INDEX('PORTIFÓLIO'!$H$4:$H$433,MATCH($C88,'PORTIFÓLIO'!$C$4:$C$433,0)),"")</f>
        <v/>
      </c>
      <c r="I88" s="256"/>
      <c r="J88" s="218">
        <f t="shared" si="10"/>
        <v>0</v>
      </c>
      <c r="K88" s="219" t="str">
        <f t="array" ref="K88">IFERROR(I88*INDEX('PORTIFÓLIO'!$S$4:$S$433,MATCH($C88,'PORTIFÓLIO'!$C$4:$C$433,0)),"")</f>
        <v/>
      </c>
      <c r="L88" s="219" t="str">
        <f t="array" ref="L88">IFERROR(J88*INDEX('PORTIFÓLIO'!$S$4:$S$433,MATCH($C88,'PORTIFÓLIO'!$C$4:$C$433,0)),"")</f>
        <v/>
      </c>
      <c r="M88" s="220"/>
      <c r="N88" s="220"/>
      <c r="O88" s="220"/>
      <c r="P88" s="220"/>
      <c r="Q88" s="220"/>
      <c r="R88" s="220"/>
      <c r="S88" s="220"/>
      <c r="T88" s="220"/>
      <c r="U88" s="220"/>
      <c r="V88" s="220"/>
      <c r="W88" s="220"/>
    </row>
    <row r="89" ht="15.75" customHeight="1" outlineLevel="1">
      <c r="A89" s="211"/>
      <c r="B89" s="212"/>
      <c r="C89" s="213"/>
      <c r="D89" s="214" t="str">
        <f>IFERROR(VLOOKUP($C89,'PORTIFÓLIO'!C:V,2,0),"")</f>
        <v/>
      </c>
      <c r="E89" s="211" t="str">
        <f>IFERROR(VLOOKUP($C89,'PORTIFÓLIO'!C:V,3,0),"")</f>
        <v/>
      </c>
      <c r="F89" s="211" t="str">
        <f>IFERROR(VLOOKUP($C89,'PORTIFÓLIO'!C:V,4,0),"")</f>
        <v/>
      </c>
      <c r="G89" s="215" t="str">
        <f>IFERROR(VLOOKUP($C89,'PORTIFÓLIO'!C:V,5,0),"")</f>
        <v/>
      </c>
      <c r="H89" s="254" t="str">
        <f t="array" ref="H89">IFERROR(INDEX('PORTIFÓLIO'!$H$4:$H$433,MATCH($C89,'PORTIFÓLIO'!$C$4:$C$433,0)),"")</f>
        <v/>
      </c>
      <c r="I89" s="256"/>
      <c r="J89" s="218">
        <f t="shared" si="10"/>
        <v>0</v>
      </c>
      <c r="K89" s="219" t="str">
        <f t="array" ref="K89">IFERROR(I89*INDEX('PORTIFÓLIO'!$S$4:$S$433,MATCH($C89,'PORTIFÓLIO'!$C$4:$C$433,0)),"")</f>
        <v/>
      </c>
      <c r="L89" s="219" t="str">
        <f t="array" ref="L89">IFERROR(J89*INDEX('PORTIFÓLIO'!$S$4:$S$433,MATCH($C89,'PORTIFÓLIO'!$C$4:$C$433,0)),"")</f>
        <v/>
      </c>
      <c r="M89" s="220"/>
      <c r="N89" s="220"/>
      <c r="O89" s="220"/>
      <c r="P89" s="220"/>
      <c r="Q89" s="220"/>
      <c r="R89" s="220"/>
      <c r="S89" s="220"/>
      <c r="T89" s="220"/>
      <c r="U89" s="220"/>
      <c r="V89" s="220"/>
      <c r="W89" s="220"/>
    </row>
    <row r="90" ht="15.75" customHeight="1" outlineLevel="1">
      <c r="A90" s="211"/>
      <c r="B90" s="212"/>
      <c r="C90" s="213"/>
      <c r="D90" s="214" t="str">
        <f>IFERROR(VLOOKUP($C90,'PORTIFÓLIO'!C:V,2,0),"")</f>
        <v/>
      </c>
      <c r="E90" s="211" t="str">
        <f>IFERROR(VLOOKUP($C90,'PORTIFÓLIO'!C:V,3,0),"")</f>
        <v/>
      </c>
      <c r="F90" s="211" t="str">
        <f>IFERROR(VLOOKUP($C90,'PORTIFÓLIO'!C:V,4,0),"")</f>
        <v/>
      </c>
      <c r="G90" s="215" t="str">
        <f>IFERROR(VLOOKUP($C90,'PORTIFÓLIO'!C:V,5,0),"")</f>
        <v/>
      </c>
      <c r="H90" s="254" t="str">
        <f t="array" ref="H90">IFERROR(INDEX('PORTIFÓLIO'!$H$4:$H$433,MATCH($C90,'PORTIFÓLIO'!$C$4:$C$433,0)),"")</f>
        <v/>
      </c>
      <c r="I90" s="255"/>
      <c r="J90" s="218">
        <f t="shared" si="10"/>
        <v>0</v>
      </c>
      <c r="K90" s="219" t="str">
        <f t="array" ref="K90">IFERROR(I90*INDEX('PORTIFÓLIO'!$S$4:$S$433,MATCH($C90,'PORTIFÓLIO'!$C$4:$C$433,0)),"")</f>
        <v/>
      </c>
      <c r="L90" s="219" t="str">
        <f t="array" ref="L90">IFERROR(J90*INDEX('PORTIFÓLIO'!$S$4:$S$433,MATCH($C90,'PORTIFÓLIO'!$C$4:$C$433,0)),"")</f>
        <v/>
      </c>
      <c r="M90" s="220"/>
      <c r="N90" s="220"/>
      <c r="O90" s="220"/>
      <c r="P90" s="220"/>
      <c r="Q90" s="220"/>
      <c r="R90" s="220"/>
      <c r="S90" s="220"/>
      <c r="T90" s="220"/>
      <c r="U90" s="220"/>
      <c r="V90" s="220"/>
      <c r="W90" s="220"/>
    </row>
    <row r="91" ht="15.75" customHeight="1" outlineLevel="1">
      <c r="A91" s="211"/>
      <c r="B91" s="212"/>
      <c r="C91" s="213"/>
      <c r="D91" s="214" t="str">
        <f>IFERROR(VLOOKUP($C91,'PORTIFÓLIO'!C:V,2,0),"")</f>
        <v/>
      </c>
      <c r="E91" s="211" t="str">
        <f>IFERROR(VLOOKUP($C91,'PORTIFÓLIO'!C:V,3,0),"")</f>
        <v/>
      </c>
      <c r="F91" s="211" t="str">
        <f>IFERROR(VLOOKUP($C91,'PORTIFÓLIO'!C:V,4,0),"")</f>
        <v/>
      </c>
      <c r="G91" s="215" t="str">
        <f>IFERROR(VLOOKUP($C91,'PORTIFÓLIO'!C:V,5,0),"")</f>
        <v/>
      </c>
      <c r="H91" s="254" t="str">
        <f t="array" ref="H91">IFERROR(INDEX('PORTIFÓLIO'!$H$4:$H$433,MATCH($C91,'PORTIFÓLIO'!$C$4:$C$433,0)),"")</f>
        <v/>
      </c>
      <c r="I91" s="256"/>
      <c r="J91" s="218">
        <f t="shared" si="10"/>
        <v>0</v>
      </c>
      <c r="K91" s="219" t="str">
        <f t="array" ref="K91">IFERROR(I91*INDEX('PORTIFÓLIO'!$S$4:$S$433,MATCH($C91,'PORTIFÓLIO'!$C$4:$C$433,0)),"")</f>
        <v/>
      </c>
      <c r="L91" s="219" t="str">
        <f t="array" ref="L91">IFERROR(J91*INDEX('PORTIFÓLIO'!$S$4:$S$433,MATCH($C91,'PORTIFÓLIO'!$C$4:$C$433,0)),"")</f>
        <v/>
      </c>
      <c r="M91" s="220"/>
      <c r="N91" s="220"/>
      <c r="O91" s="220"/>
      <c r="P91" s="220"/>
      <c r="Q91" s="220"/>
      <c r="R91" s="220"/>
      <c r="S91" s="220"/>
      <c r="T91" s="220"/>
      <c r="U91" s="220"/>
      <c r="V91" s="220"/>
      <c r="W91" s="220"/>
    </row>
    <row r="92" ht="15.75" customHeight="1" outlineLevel="1">
      <c r="A92" s="211"/>
      <c r="B92" s="212"/>
      <c r="C92" s="213"/>
      <c r="D92" s="214" t="str">
        <f>IFERROR(VLOOKUP($C92,'PORTIFÓLIO'!C:V,2,0),"")</f>
        <v/>
      </c>
      <c r="E92" s="211" t="str">
        <f>IFERROR(VLOOKUP($C92,'PORTIFÓLIO'!C:V,3,0),"")</f>
        <v/>
      </c>
      <c r="F92" s="211" t="str">
        <f>IFERROR(VLOOKUP($C92,'PORTIFÓLIO'!C:V,4,0),"")</f>
        <v/>
      </c>
      <c r="G92" s="215" t="str">
        <f>IFERROR(VLOOKUP($C92,'PORTIFÓLIO'!C:V,5,0),"")</f>
        <v/>
      </c>
      <c r="H92" s="254" t="str">
        <f t="array" ref="H92">IFERROR(INDEX('PORTIFÓLIO'!$H$4:$H$433,MATCH($C92,'PORTIFÓLIO'!$C$4:$C$433,0)),"")</f>
        <v/>
      </c>
      <c r="I92" s="256"/>
      <c r="J92" s="218">
        <f t="shared" si="10"/>
        <v>0</v>
      </c>
      <c r="K92" s="219" t="str">
        <f t="array" ref="K92">IFERROR(I92*INDEX('PORTIFÓLIO'!$S$4:$S$433,MATCH($C92,'PORTIFÓLIO'!$C$4:$C$433,0)),"")</f>
        <v/>
      </c>
      <c r="L92" s="219" t="str">
        <f t="array" ref="L92">IFERROR(J92*INDEX('PORTIFÓLIO'!$S$4:$S$433,MATCH($C92,'PORTIFÓLIO'!$C$4:$C$433,0)),"")</f>
        <v/>
      </c>
      <c r="M92" s="220"/>
      <c r="N92" s="220"/>
      <c r="O92" s="220"/>
      <c r="P92" s="220"/>
      <c r="Q92" s="220"/>
      <c r="R92" s="220"/>
      <c r="S92" s="220"/>
      <c r="T92" s="220"/>
      <c r="U92" s="220"/>
      <c r="V92" s="220"/>
      <c r="W92" s="220"/>
    </row>
    <row r="93" ht="15.75" customHeight="1" outlineLevel="1">
      <c r="A93" s="211"/>
      <c r="B93" s="212"/>
      <c r="C93" s="213"/>
      <c r="D93" s="214" t="str">
        <f>IFERROR(VLOOKUP($C93,'PORTIFÓLIO'!C:V,2,0),"")</f>
        <v/>
      </c>
      <c r="E93" s="211" t="str">
        <f>IFERROR(VLOOKUP($C93,'PORTIFÓLIO'!C:V,3,0),"")</f>
        <v/>
      </c>
      <c r="F93" s="211" t="str">
        <f>IFERROR(VLOOKUP($C93,'PORTIFÓLIO'!C:V,4,0),"")</f>
        <v/>
      </c>
      <c r="G93" s="215" t="str">
        <f>IFERROR(VLOOKUP($C93,'PORTIFÓLIO'!C:V,5,0),"")</f>
        <v/>
      </c>
      <c r="H93" s="254" t="str">
        <f t="array" ref="H93">IFERROR(INDEX('PORTIFÓLIO'!$H$4:$H$433,MATCH($C93,'PORTIFÓLIO'!$C$4:$C$433,0)),"")</f>
        <v/>
      </c>
      <c r="I93" s="256"/>
      <c r="J93" s="218">
        <f t="shared" si="10"/>
        <v>0</v>
      </c>
      <c r="K93" s="219" t="str">
        <f t="array" ref="K93">IFERROR(I93*INDEX('PORTIFÓLIO'!$S$4:$S$433,MATCH($C93,'PORTIFÓLIO'!$C$4:$C$433,0)),"")</f>
        <v/>
      </c>
      <c r="L93" s="219" t="str">
        <f t="array" ref="L93">IFERROR(J93*INDEX('PORTIFÓLIO'!$S$4:$S$433,MATCH($C93,'PORTIFÓLIO'!$C$4:$C$433,0)),"")</f>
        <v/>
      </c>
      <c r="M93" s="220"/>
      <c r="N93" s="220"/>
      <c r="O93" s="220"/>
      <c r="P93" s="220"/>
      <c r="Q93" s="220"/>
      <c r="R93" s="220"/>
      <c r="S93" s="220"/>
      <c r="T93" s="220"/>
      <c r="U93" s="220"/>
      <c r="V93" s="220"/>
      <c r="W93" s="220"/>
    </row>
    <row r="94" ht="15.75" customHeight="1" outlineLevel="1">
      <c r="A94" s="211"/>
      <c r="B94" s="212"/>
      <c r="C94" s="213"/>
      <c r="D94" s="214" t="str">
        <f>IFERROR(VLOOKUP($C94,'PORTIFÓLIO'!C:V,2,0),"")</f>
        <v/>
      </c>
      <c r="E94" s="211" t="str">
        <f>IFERROR(VLOOKUP($C94,'PORTIFÓLIO'!C:V,3,0),"")</f>
        <v/>
      </c>
      <c r="F94" s="211" t="str">
        <f>IFERROR(VLOOKUP($C94,'PORTIFÓLIO'!C:V,4,0),"")</f>
        <v/>
      </c>
      <c r="G94" s="215" t="str">
        <f>IFERROR(VLOOKUP($C94,'PORTIFÓLIO'!C:V,5,0),"")</f>
        <v/>
      </c>
      <c r="H94" s="254" t="str">
        <f t="array" ref="H94">IFERROR(INDEX('PORTIFÓLIO'!$H$4:$H$433,MATCH($C94,'PORTIFÓLIO'!$C$4:$C$433,0)),"")</f>
        <v/>
      </c>
      <c r="I94" s="256"/>
      <c r="J94" s="218">
        <f t="shared" si="10"/>
        <v>0</v>
      </c>
      <c r="K94" s="219" t="str">
        <f t="array" ref="K94">IFERROR(I94*INDEX('PORTIFÓLIO'!$S$4:$S$433,MATCH($C94,'PORTIFÓLIO'!$C$4:$C$433,0)),"")</f>
        <v/>
      </c>
      <c r="L94" s="219" t="str">
        <f t="array" ref="L94">IFERROR(J94*INDEX('PORTIFÓLIO'!$S$4:$S$433,MATCH($C94,'PORTIFÓLIO'!$C$4:$C$433,0)),"")</f>
        <v/>
      </c>
      <c r="M94" s="220"/>
      <c r="N94" s="220"/>
      <c r="O94" s="220"/>
      <c r="P94" s="220"/>
      <c r="Q94" s="220"/>
      <c r="R94" s="220"/>
      <c r="S94" s="220"/>
      <c r="T94" s="220"/>
      <c r="U94" s="220"/>
      <c r="V94" s="220"/>
      <c r="W94" s="220"/>
    </row>
    <row r="95" ht="15.75" customHeight="1" outlineLevel="1">
      <c r="A95" s="211"/>
      <c r="B95" s="212"/>
      <c r="C95" s="213"/>
      <c r="D95" s="214" t="str">
        <f>IFERROR(VLOOKUP($C95,'PORTIFÓLIO'!C:V,2,0),"")</f>
        <v/>
      </c>
      <c r="E95" s="211" t="str">
        <f>IFERROR(VLOOKUP($C95,'PORTIFÓLIO'!C:V,3,0),"")</f>
        <v/>
      </c>
      <c r="F95" s="211" t="str">
        <f>IFERROR(VLOOKUP($C95,'PORTIFÓLIO'!C:V,4,0),"")</f>
        <v/>
      </c>
      <c r="G95" s="215" t="str">
        <f>IFERROR(VLOOKUP($C95,'PORTIFÓLIO'!C:V,5,0),"")</f>
        <v/>
      </c>
      <c r="H95" s="254" t="str">
        <f t="array" ref="H95">IFERROR(INDEX('PORTIFÓLIO'!$H$4:$H$433,MATCH($C95,'PORTIFÓLIO'!$C$4:$C$433,0)),"")</f>
        <v/>
      </c>
      <c r="I95" s="256"/>
      <c r="J95" s="218">
        <f t="shared" si="10"/>
        <v>0</v>
      </c>
      <c r="K95" s="219" t="str">
        <f t="array" ref="K95">IFERROR(I95*INDEX('PORTIFÓLIO'!$S$4:$S$433,MATCH($C95,'PORTIFÓLIO'!$C$4:$C$433,0)),"")</f>
        <v/>
      </c>
      <c r="L95" s="219" t="str">
        <f t="array" ref="L95">IFERROR(J95*INDEX('PORTIFÓLIO'!$S$4:$S$433,MATCH($C95,'PORTIFÓLIO'!$C$4:$C$433,0)),"")</f>
        <v/>
      </c>
      <c r="M95" s="220"/>
      <c r="N95" s="220"/>
      <c r="O95" s="220"/>
      <c r="P95" s="220"/>
      <c r="Q95" s="220"/>
      <c r="R95" s="220"/>
      <c r="S95" s="220"/>
      <c r="T95" s="220"/>
      <c r="U95" s="220"/>
      <c r="V95" s="220"/>
      <c r="W95" s="220"/>
    </row>
    <row r="96" ht="15.75" customHeight="1" outlineLevel="1">
      <c r="A96" s="211"/>
      <c r="B96" s="212"/>
      <c r="C96" s="213"/>
      <c r="D96" s="214" t="str">
        <f>IFERROR(VLOOKUP($C96,'PORTIFÓLIO'!C:V,2,0),"")</f>
        <v/>
      </c>
      <c r="E96" s="211" t="str">
        <f>IFERROR(VLOOKUP($C96,'PORTIFÓLIO'!C:V,3,0),"")</f>
        <v/>
      </c>
      <c r="F96" s="211" t="str">
        <f>IFERROR(VLOOKUP($C96,'PORTIFÓLIO'!C:V,4,0),"")</f>
        <v/>
      </c>
      <c r="G96" s="215" t="str">
        <f>IFERROR(VLOOKUP($C96,'PORTIFÓLIO'!C:V,5,0),"")</f>
        <v/>
      </c>
      <c r="H96" s="254" t="str">
        <f t="array" ref="H96">IFERROR(INDEX('PORTIFÓLIO'!$H$4:$H$433,MATCH($C96,'PORTIFÓLIO'!$C$4:$C$433,0)),"")</f>
        <v/>
      </c>
      <c r="I96" s="256"/>
      <c r="J96" s="218">
        <f t="shared" si="10"/>
        <v>0</v>
      </c>
      <c r="K96" s="219" t="str">
        <f t="array" ref="K96">IFERROR(I96*INDEX('PORTIFÓLIO'!$S$4:$S$433,MATCH($C96,'PORTIFÓLIO'!$C$4:$C$433,0)),"")</f>
        <v/>
      </c>
      <c r="L96" s="219" t="str">
        <f t="array" ref="L96">IFERROR(J96*INDEX('PORTIFÓLIO'!$S$4:$S$433,MATCH($C96,'PORTIFÓLIO'!$C$4:$C$433,0)),"")</f>
        <v/>
      </c>
      <c r="M96" s="220"/>
      <c r="N96" s="220"/>
      <c r="O96" s="220"/>
      <c r="P96" s="220"/>
      <c r="Q96" s="220"/>
      <c r="R96" s="220"/>
      <c r="S96" s="220"/>
      <c r="T96" s="220"/>
      <c r="U96" s="220"/>
      <c r="V96" s="220"/>
      <c r="W96" s="220"/>
    </row>
    <row r="97" ht="15.75" customHeight="1">
      <c r="A97" s="229" t="s">
        <v>1189</v>
      </c>
      <c r="B97" s="230"/>
      <c r="C97" s="231"/>
      <c r="D97" s="232"/>
      <c r="E97" s="231"/>
      <c r="F97" s="231"/>
      <c r="G97" s="233"/>
      <c r="H97" s="233"/>
      <c r="I97" s="258"/>
      <c r="J97" s="236"/>
      <c r="K97" s="237">
        <f t="shared" ref="K97:L97" si="11">SUBTOTAL(9,K98:K111)</f>
        <v>251.9479845</v>
      </c>
      <c r="L97" s="237">
        <f t="shared" si="11"/>
        <v>30233.75814</v>
      </c>
      <c r="M97" s="220"/>
      <c r="N97" s="220"/>
      <c r="O97" s="220"/>
      <c r="P97" s="220"/>
      <c r="Q97" s="220"/>
      <c r="R97" s="220"/>
      <c r="S97" s="220"/>
      <c r="T97" s="220"/>
      <c r="U97" s="220"/>
      <c r="V97" s="220"/>
      <c r="W97" s="220"/>
    </row>
    <row r="98" ht="15.75" customHeight="1" outlineLevel="1">
      <c r="A98" s="213"/>
      <c r="B98" s="212" t="s">
        <v>0</v>
      </c>
      <c r="C98" s="213" t="s">
        <v>443</v>
      </c>
      <c r="D98" s="214" t="str">
        <f>IFERROR(VLOOKUP($C98,'PORTIFÓLIO'!C:V,2,0),"")</f>
        <v>MEFENTRIFLUCONAZOL + PIRACLOSTROBINA +
 FLUXAPIROXADE</v>
      </c>
      <c r="E98" s="211" t="str">
        <f>IFERROR(VLOOKUP($C98,'PORTIFÓLIO'!C:V,3,0),"")</f>
        <v>133,3 + 177,8 + 88,9</v>
      </c>
      <c r="F98" s="211" t="str">
        <f>IFERROR(VLOOKUP($C98,'PORTIFÓLIO'!C:V,4,0),"")</f>
        <v>L</v>
      </c>
      <c r="G98" s="225" t="str">
        <f>IFERROR(VLOOKUP($C98,'PORTIFÓLIO'!C:V,5,0),"")</f>
        <v>📄 Ver bula</v>
      </c>
      <c r="H98" s="254">
        <f t="array" ref="H98">IFERROR(INDEX('PORTIFÓLIO'!$H$4:$H$433,MATCH($C98,'PORTIFÓLIO'!$C$4:$C$433,0)),"")</f>
        <v>0.7</v>
      </c>
      <c r="I98" s="255">
        <v>0.7</v>
      </c>
      <c r="J98" s="218">
        <f t="shared" ref="J98:J112" si="12">I98*$B$2</f>
        <v>84</v>
      </c>
      <c r="K98" s="219">
        <f t="array" ref="K98">IFERROR(I98*INDEX('PORTIFÓLIO'!$S$4:$S$433,MATCH($C98,'PORTIFÓLIO'!$C$4:$C$433,0)),"")</f>
        <v>119.38752</v>
      </c>
      <c r="L98" s="219">
        <f t="array" ref="L98">IFERROR(J98*INDEX('PORTIFÓLIO'!$S$4:$S$433,MATCH($C98,'PORTIFÓLIO'!$C$4:$C$433,0)),"")</f>
        <v>14326.5024</v>
      </c>
      <c r="M98" s="220"/>
      <c r="N98" s="220"/>
      <c r="O98" s="220"/>
      <c r="P98" s="220"/>
      <c r="Q98" s="220"/>
      <c r="R98" s="220"/>
      <c r="S98" s="220"/>
      <c r="T98" s="220"/>
      <c r="U98" s="220"/>
      <c r="V98" s="220"/>
      <c r="W98" s="220"/>
    </row>
    <row r="99" ht="15.75" customHeight="1" outlineLevel="1">
      <c r="A99" s="211"/>
      <c r="B99" s="212" t="s">
        <v>0</v>
      </c>
      <c r="C99" s="213" t="s">
        <v>520</v>
      </c>
      <c r="D99" s="214" t="str">
        <f>IFERROR(VLOOKUP($C99,'PORTIFÓLIO'!C:V,2,0),"")</f>
        <v>FLUAZINAM</v>
      </c>
      <c r="E99" s="211">
        <f>IFERROR(VLOOKUP($C99,'PORTIFÓLIO'!C:V,3,0),"")</f>
        <v>500</v>
      </c>
      <c r="F99" s="211" t="str">
        <f>IFERROR(VLOOKUP($C99,'PORTIFÓLIO'!C:V,4,0),"")</f>
        <v>L</v>
      </c>
      <c r="G99" s="225" t="str">
        <f>IFERROR(VLOOKUP($C99,'PORTIFÓLIO'!C:V,5,0),"")</f>
        <v>📄 Ver bula</v>
      </c>
      <c r="H99" s="254">
        <f t="array" ref="H99">IFERROR(INDEX('PORTIFÓLIO'!$H$4:$H$433,MATCH($C99,'PORTIFÓLIO'!$C$4:$C$433,0)),"")</f>
        <v>1</v>
      </c>
      <c r="I99" s="255">
        <v>1.0</v>
      </c>
      <c r="J99" s="218">
        <f t="shared" si="12"/>
        <v>120</v>
      </c>
      <c r="K99" s="219">
        <f t="array" ref="K99">IFERROR(I99*INDEX('PORTIFÓLIO'!$S$4:$S$433,MATCH($C99,'PORTIFÓLIO'!$C$4:$C$433,0)),"")</f>
        <v>67.68</v>
      </c>
      <c r="L99" s="219">
        <f t="array" ref="L99">IFERROR(J99*INDEX('PORTIFÓLIO'!$S$4:$S$433,MATCH($C99,'PORTIFÓLIO'!$C$4:$C$433,0)),"")</f>
        <v>8121.6</v>
      </c>
      <c r="M99" s="220"/>
      <c r="N99" s="220"/>
      <c r="O99" s="220"/>
      <c r="P99" s="220"/>
      <c r="Q99" s="220"/>
      <c r="R99" s="220"/>
      <c r="S99" s="220"/>
      <c r="T99" s="220"/>
      <c r="U99" s="220"/>
      <c r="V99" s="220"/>
      <c r="W99" s="220"/>
    </row>
    <row r="100" ht="15.75" customHeight="1" outlineLevel="1">
      <c r="A100" s="211"/>
      <c r="B100" s="212" t="s">
        <v>2</v>
      </c>
      <c r="C100" s="213" t="s">
        <v>829</v>
      </c>
      <c r="D100" s="214" t="str">
        <f>IFERROR(VLOOKUP($C100,'PORTIFÓLIO'!C:V,2,0),"")</f>
        <v>BIFENTRINA</v>
      </c>
      <c r="E100" s="211">
        <f>IFERROR(VLOOKUP($C100,'PORTIFÓLIO'!C:V,3,0),"")</f>
        <v>400</v>
      </c>
      <c r="F100" s="211" t="str">
        <f>IFERROR(VLOOKUP($C100,'PORTIFÓLIO'!C:V,4,0),"")</f>
        <v>L</v>
      </c>
      <c r="G100" s="225" t="str">
        <f>IFERROR(VLOOKUP($C100,'PORTIFÓLIO'!C:V,5,0),"")</f>
        <v>📄 Ver bula</v>
      </c>
      <c r="H100" s="254">
        <f t="array" ref="H100">IFERROR(INDEX('PORTIFÓLIO'!$H$4:$H$433,MATCH($C100,'PORTIFÓLIO'!$C$4:$C$433,0)),"")</f>
        <v>0.05</v>
      </c>
      <c r="I100" s="255">
        <v>0.05</v>
      </c>
      <c r="J100" s="218">
        <f t="shared" si="12"/>
        <v>6</v>
      </c>
      <c r="K100" s="219">
        <f t="array" ref="K100">IFERROR(I100*INDEX('PORTIFÓLIO'!$S$4:$S$433,MATCH($C100,'PORTIFÓLIO'!$C$4:$C$433,0)),"")</f>
        <v>3.076419</v>
      </c>
      <c r="L100" s="219">
        <f t="array" ref="L100">IFERROR(J100*INDEX('PORTIFÓLIO'!$S$4:$S$433,MATCH($C100,'PORTIFÓLIO'!$C$4:$C$433,0)),"")</f>
        <v>369.17028</v>
      </c>
      <c r="M100" s="220"/>
      <c r="N100" s="220"/>
      <c r="O100" s="220"/>
      <c r="P100" s="220"/>
      <c r="Q100" s="220"/>
      <c r="R100" s="220"/>
      <c r="S100" s="220"/>
      <c r="T100" s="220"/>
      <c r="U100" s="220"/>
      <c r="V100" s="220"/>
      <c r="W100" s="220"/>
    </row>
    <row r="101" ht="15.75" customHeight="1" outlineLevel="1">
      <c r="A101" s="211"/>
      <c r="B101" s="212" t="s">
        <v>2</v>
      </c>
      <c r="C101" s="213" t="s">
        <v>842</v>
      </c>
      <c r="D101" s="214" t="str">
        <f>IFERROR(VLOOKUP($C101,'PORTIFÓLIO'!C:V,2,0),"")</f>
        <v>IMIDACLOPRIDO</v>
      </c>
      <c r="E101" s="211">
        <f>IFERROR(VLOOKUP($C101,'PORTIFÓLIO'!C:V,3,0),"")</f>
        <v>480</v>
      </c>
      <c r="F101" s="211" t="str">
        <f>IFERROR(VLOOKUP($C101,'PORTIFÓLIO'!C:V,4,0),"")</f>
        <v>L</v>
      </c>
      <c r="G101" s="225" t="str">
        <f>IFERROR(VLOOKUP($C101,'PORTIFÓLIO'!C:V,5,0),"")</f>
        <v>📄 Ver bula</v>
      </c>
      <c r="H101" s="254">
        <f t="array" ref="H101">IFERROR(INDEX('PORTIFÓLIO'!$H$4:$H$433,MATCH($C101,'PORTIFÓLIO'!$C$4:$C$433,0)),"")</f>
        <v>0.25</v>
      </c>
      <c r="I101" s="255">
        <v>0.25</v>
      </c>
      <c r="J101" s="218">
        <f t="shared" si="12"/>
        <v>30</v>
      </c>
      <c r="K101" s="219">
        <f t="array" ref="K101">IFERROR(I101*INDEX('PORTIFÓLIO'!$S$4:$S$433,MATCH($C101,'PORTIFÓLIO'!$C$4:$C$433,0)),"")</f>
        <v>14.0554125</v>
      </c>
      <c r="L101" s="219">
        <f t="array" ref="L101">IFERROR(J101*INDEX('PORTIFÓLIO'!$S$4:$S$433,MATCH($C101,'PORTIFÓLIO'!$C$4:$C$433,0)),"")</f>
        <v>1686.6495</v>
      </c>
      <c r="M101" s="220"/>
      <c r="N101" s="220"/>
      <c r="O101" s="220"/>
      <c r="P101" s="220"/>
      <c r="Q101" s="220"/>
      <c r="R101" s="220"/>
      <c r="S101" s="220"/>
      <c r="T101" s="220"/>
      <c r="U101" s="220"/>
      <c r="V101" s="220"/>
      <c r="W101" s="220"/>
    </row>
    <row r="102" ht="15.75" customHeight="1" outlineLevel="1">
      <c r="A102" s="211"/>
      <c r="B102" s="212" t="s">
        <v>2</v>
      </c>
      <c r="C102" s="213" t="s">
        <v>786</v>
      </c>
      <c r="D102" s="214" t="str">
        <f>IFERROR(VLOOKUP($C102,'PORTIFÓLIO'!C:V,2,0),"")</f>
        <v>DIFLUBENZUROM</v>
      </c>
      <c r="E102" s="211">
        <f>IFERROR(VLOOKUP($C102,'PORTIFÓLIO'!C:V,3,0),"")</f>
        <v>480</v>
      </c>
      <c r="F102" s="211" t="str">
        <f>IFERROR(VLOOKUP($C102,'PORTIFÓLIO'!C:V,4,0),"")</f>
        <v>KG</v>
      </c>
      <c r="G102" s="225" t="str">
        <f>IFERROR(VLOOKUP($C102,'PORTIFÓLIO'!C:V,5,0),"")</f>
        <v>📄 Ver bula</v>
      </c>
      <c r="H102" s="254">
        <f t="array" ref="H102">IFERROR(INDEX('PORTIFÓLIO'!$H$4:$H$433,MATCH($C102,'PORTIFÓLIO'!$C$4:$C$433,0)),"")</f>
        <v>0.04</v>
      </c>
      <c r="I102" s="255">
        <v>0.05</v>
      </c>
      <c r="J102" s="218">
        <f t="shared" si="12"/>
        <v>6</v>
      </c>
      <c r="K102" s="219">
        <f t="array" ref="K102">IFERROR(I102*INDEX('PORTIFÓLIO'!$S$4:$S$433,MATCH($C102,'PORTIFÓLIO'!$C$4:$C$433,0)),"")</f>
        <v>2.927979</v>
      </c>
      <c r="L102" s="219">
        <f t="array" ref="L102">IFERROR(J102*INDEX('PORTIFÓLIO'!$S$4:$S$433,MATCH($C102,'PORTIFÓLIO'!$C$4:$C$433,0)),"")</f>
        <v>351.35748</v>
      </c>
      <c r="M102" s="220"/>
      <c r="N102" s="220"/>
      <c r="O102" s="220"/>
      <c r="P102" s="220"/>
      <c r="Q102" s="220"/>
      <c r="R102" s="220"/>
      <c r="S102" s="220"/>
      <c r="T102" s="220"/>
      <c r="U102" s="220"/>
      <c r="V102" s="220"/>
      <c r="W102" s="220"/>
    </row>
    <row r="103" ht="15.75" customHeight="1" outlineLevel="1">
      <c r="A103" s="211"/>
      <c r="B103" s="212" t="s">
        <v>6</v>
      </c>
      <c r="C103" s="213" t="s">
        <v>341</v>
      </c>
      <c r="D103" s="214" t="str">
        <f>IFERROR(VLOOKUP($C103,'PORTIFÓLIO'!C:V,2,0),"")</f>
        <v>ESTER METILICO DE SOJA</v>
      </c>
      <c r="E103" s="211">
        <f>IFERROR(VLOOKUP($C103,'PORTIFÓLIO'!C:V,3,0),"")</f>
        <v>765</v>
      </c>
      <c r="F103" s="211" t="str">
        <f>IFERROR(VLOOKUP($C103,'PORTIFÓLIO'!C:V,4,0),"")</f>
        <v>L</v>
      </c>
      <c r="G103" s="225" t="str">
        <f>IFERROR(VLOOKUP($C103,'PORTIFÓLIO'!C:V,5,0),"")</f>
        <v>📄 Ver bula</v>
      </c>
      <c r="H103" s="254">
        <f t="array" ref="H103">IFERROR(INDEX('PORTIFÓLIO'!$H$4:$H$433,MATCH($C103,'PORTIFÓLIO'!$C$4:$C$433,0)),"")</f>
        <v>0.2</v>
      </c>
      <c r="I103" s="255">
        <v>0.2</v>
      </c>
      <c r="J103" s="218">
        <f t="shared" si="12"/>
        <v>24</v>
      </c>
      <c r="K103" s="219">
        <f t="array" ref="K103">IFERROR(I103*INDEX('PORTIFÓLIO'!$S$4:$S$433,MATCH($C103,'PORTIFÓLIO'!$C$4:$C$433,0)),"")</f>
        <v>3.298974</v>
      </c>
      <c r="L103" s="219">
        <f t="array" ref="L103">IFERROR(J103*INDEX('PORTIFÓLIO'!$S$4:$S$433,MATCH($C103,'PORTIFÓLIO'!$C$4:$C$433,0)),"")</f>
        <v>395.87688</v>
      </c>
      <c r="M103" s="220"/>
      <c r="N103" s="220"/>
      <c r="O103" s="220"/>
      <c r="P103" s="220"/>
      <c r="Q103" s="220"/>
      <c r="R103" s="220"/>
      <c r="S103" s="220"/>
      <c r="T103" s="220"/>
      <c r="U103" s="220"/>
      <c r="V103" s="220"/>
      <c r="W103" s="220"/>
    </row>
    <row r="104" ht="15.75" customHeight="1" outlineLevel="1">
      <c r="A104" s="211"/>
      <c r="B104" s="212" t="s">
        <v>0</v>
      </c>
      <c r="C104" s="213" t="s">
        <v>484</v>
      </c>
      <c r="D104" s="214" t="str">
        <f>IFERROR(VLOOKUP($C104,'PORTIFÓLIO'!C:V,2,0),"")</f>
        <v>MANCOZEBE</v>
      </c>
      <c r="E104" s="211">
        <f>IFERROR(VLOOKUP($C104,'PORTIFÓLIO'!C:V,3,0),"")</f>
        <v>750</v>
      </c>
      <c r="F104" s="211" t="str">
        <f>IFERROR(VLOOKUP($C104,'PORTIFÓLIO'!C:V,4,0),"")</f>
        <v>L</v>
      </c>
      <c r="G104" s="225" t="str">
        <f>IFERROR(VLOOKUP($C104,'PORTIFÓLIO'!C:V,5,0),"")</f>
        <v>📄 Ver bula</v>
      </c>
      <c r="H104" s="254">
        <f t="array" ref="H104">IFERROR(INDEX('PORTIFÓLIO'!$H$4:$H$433,MATCH($C104,'PORTIFÓLIO'!$C$4:$C$433,0)),"")</f>
        <v>1.5</v>
      </c>
      <c r="I104" s="255">
        <v>1.5</v>
      </c>
      <c r="J104" s="218">
        <f t="shared" si="12"/>
        <v>180</v>
      </c>
      <c r="K104" s="219">
        <f t="array" ref="K104">IFERROR(I104*INDEX('PORTIFÓLIO'!$S$4:$S$433,MATCH($C104,'PORTIFÓLIO'!$C$4:$C$433,0)),"")</f>
        <v>41.52168</v>
      </c>
      <c r="L104" s="219">
        <f t="array" ref="L104">IFERROR(J104*INDEX('PORTIFÓLIO'!$S$4:$S$433,MATCH($C104,'PORTIFÓLIO'!$C$4:$C$433,0)),"")</f>
        <v>4982.6016</v>
      </c>
      <c r="M104" s="220"/>
      <c r="N104" s="220"/>
      <c r="O104" s="220"/>
      <c r="P104" s="220"/>
      <c r="Q104" s="220"/>
      <c r="R104" s="220"/>
      <c r="S104" s="220"/>
      <c r="T104" s="220"/>
      <c r="U104" s="220"/>
      <c r="V104" s="220"/>
      <c r="W104" s="220"/>
    </row>
    <row r="105" ht="15.75" customHeight="1" outlineLevel="1">
      <c r="A105" s="211"/>
      <c r="B105" s="212"/>
      <c r="C105" s="213"/>
      <c r="D105" s="214" t="str">
        <f>IFERROR(VLOOKUP($C105,'PORTIFÓLIO'!C:V,2,0),"")</f>
        <v/>
      </c>
      <c r="E105" s="211" t="str">
        <f>IFERROR(VLOOKUP($C105,'PORTIFÓLIO'!C:V,3,0),"")</f>
        <v/>
      </c>
      <c r="F105" s="211" t="str">
        <f>IFERROR(VLOOKUP($C105,'PORTIFÓLIO'!C:V,4,0),"")</f>
        <v/>
      </c>
      <c r="G105" s="215" t="str">
        <f>IFERROR(VLOOKUP($C105,'PORTIFÓLIO'!C:V,5,0),"")</f>
        <v/>
      </c>
      <c r="H105" s="254" t="str">
        <f t="array" ref="H105">IFERROR(INDEX('PORTIFÓLIO'!$H$4:$H$433,MATCH($C105,'PORTIFÓLIO'!$C$4:$C$433,0)),"")</f>
        <v/>
      </c>
      <c r="I105" s="256"/>
      <c r="J105" s="218">
        <f t="shared" si="12"/>
        <v>0</v>
      </c>
      <c r="K105" s="219" t="str">
        <f t="array" ref="K105">IFERROR(I105*INDEX('PORTIFÓLIO'!$S$4:$S$433,MATCH($C105,'PORTIFÓLIO'!$C$4:$C$433,0)),"")</f>
        <v/>
      </c>
      <c r="L105" s="219" t="str">
        <f t="array" ref="L105">IFERROR(J105*INDEX('PORTIFÓLIO'!$S$4:$S$433,MATCH($C105,'PORTIFÓLIO'!$C$4:$C$433,0)),"")</f>
        <v/>
      </c>
      <c r="M105" s="220"/>
      <c r="N105" s="220"/>
      <c r="O105" s="220"/>
      <c r="P105" s="220"/>
      <c r="Q105" s="220"/>
      <c r="R105" s="220"/>
      <c r="S105" s="220"/>
      <c r="T105" s="220"/>
      <c r="U105" s="220"/>
      <c r="V105" s="220"/>
      <c r="W105" s="220"/>
    </row>
    <row r="106" ht="15.75" customHeight="1" outlineLevel="1">
      <c r="A106" s="211"/>
      <c r="B106" s="212"/>
      <c r="C106" s="213"/>
      <c r="D106" s="214" t="str">
        <f>IFERROR(VLOOKUP($C106,'PORTIFÓLIO'!C:V,2,0),"")</f>
        <v/>
      </c>
      <c r="E106" s="211" t="str">
        <f>IFERROR(VLOOKUP($C106,'PORTIFÓLIO'!C:V,3,0),"")</f>
        <v/>
      </c>
      <c r="F106" s="211" t="str">
        <f>IFERROR(VLOOKUP($C106,'PORTIFÓLIO'!C:V,4,0),"")</f>
        <v/>
      </c>
      <c r="G106" s="215" t="str">
        <f>IFERROR(VLOOKUP($C106,'PORTIFÓLIO'!C:V,5,0),"")</f>
        <v/>
      </c>
      <c r="H106" s="254" t="str">
        <f t="array" ref="H106">IFERROR(INDEX('PORTIFÓLIO'!$H$4:$H$433,MATCH($C106,'PORTIFÓLIO'!$C$4:$C$433,0)),"")</f>
        <v/>
      </c>
      <c r="I106" s="255"/>
      <c r="J106" s="218">
        <f t="shared" si="12"/>
        <v>0</v>
      </c>
      <c r="K106" s="219" t="str">
        <f t="array" ref="K106">IFERROR(I106*INDEX('PORTIFÓLIO'!$S$4:$S$433,MATCH($C106,'PORTIFÓLIO'!$C$4:$C$433,0)),"")</f>
        <v/>
      </c>
      <c r="L106" s="219" t="str">
        <f t="array" ref="L106">IFERROR(J106*INDEX('PORTIFÓLIO'!$S$4:$S$433,MATCH($C106,'PORTIFÓLIO'!$C$4:$C$433,0)),"")</f>
        <v/>
      </c>
      <c r="M106" s="220"/>
      <c r="N106" s="220"/>
      <c r="O106" s="220"/>
      <c r="P106" s="220"/>
      <c r="Q106" s="220"/>
      <c r="R106" s="220"/>
      <c r="S106" s="220"/>
      <c r="T106" s="220"/>
      <c r="U106" s="220"/>
      <c r="V106" s="220"/>
      <c r="W106" s="220"/>
    </row>
    <row r="107" ht="15.75" customHeight="1" outlineLevel="1">
      <c r="A107" s="211"/>
      <c r="B107" s="212"/>
      <c r="C107" s="213"/>
      <c r="D107" s="214" t="str">
        <f>IFERROR(VLOOKUP($C107,'PORTIFÓLIO'!C:V,2,0),"")</f>
        <v/>
      </c>
      <c r="E107" s="211" t="str">
        <f>IFERROR(VLOOKUP($C107,'PORTIFÓLIO'!C:V,3,0),"")</f>
        <v/>
      </c>
      <c r="F107" s="211" t="str">
        <f>IFERROR(VLOOKUP($C107,'PORTIFÓLIO'!C:V,4,0),"")</f>
        <v/>
      </c>
      <c r="G107" s="215" t="str">
        <f>IFERROR(VLOOKUP($C107,'PORTIFÓLIO'!C:V,5,0),"")</f>
        <v/>
      </c>
      <c r="H107" s="254" t="str">
        <f t="array" ref="H107">IFERROR(INDEX('PORTIFÓLIO'!$H$4:$H$433,MATCH($C107,'PORTIFÓLIO'!$C$4:$C$433,0)),"")</f>
        <v/>
      </c>
      <c r="I107" s="256"/>
      <c r="J107" s="218">
        <f t="shared" si="12"/>
        <v>0</v>
      </c>
      <c r="K107" s="219" t="str">
        <f t="array" ref="K107">IFERROR(I107*INDEX('PORTIFÓLIO'!$S$4:$S$433,MATCH($C107,'PORTIFÓLIO'!$C$4:$C$433,0)),"")</f>
        <v/>
      </c>
      <c r="L107" s="219" t="str">
        <f t="array" ref="L107">IFERROR(J107*INDEX('PORTIFÓLIO'!$S$4:$S$433,MATCH($C107,'PORTIFÓLIO'!$C$4:$C$433,0)),"")</f>
        <v/>
      </c>
      <c r="M107" s="220"/>
      <c r="N107" s="220"/>
      <c r="O107" s="220"/>
      <c r="P107" s="220"/>
      <c r="Q107" s="220"/>
      <c r="R107" s="220"/>
      <c r="S107" s="220"/>
      <c r="T107" s="220"/>
      <c r="U107" s="220"/>
      <c r="V107" s="220"/>
      <c r="W107" s="220"/>
    </row>
    <row r="108" ht="15.75" customHeight="1" outlineLevel="1">
      <c r="A108" s="211"/>
      <c r="B108" s="212"/>
      <c r="C108" s="213"/>
      <c r="D108" s="214" t="str">
        <f>IFERROR(VLOOKUP($C108,'PORTIFÓLIO'!C:V,2,0),"")</f>
        <v/>
      </c>
      <c r="E108" s="211" t="str">
        <f>IFERROR(VLOOKUP($C108,'PORTIFÓLIO'!C:V,3,0),"")</f>
        <v/>
      </c>
      <c r="F108" s="211" t="str">
        <f>IFERROR(VLOOKUP($C108,'PORTIFÓLIO'!C:V,4,0),"")</f>
        <v/>
      </c>
      <c r="G108" s="215" t="str">
        <f>IFERROR(VLOOKUP($C108,'PORTIFÓLIO'!C:V,5,0),"")</f>
        <v/>
      </c>
      <c r="H108" s="254" t="str">
        <f t="array" ref="H108">IFERROR(INDEX('PORTIFÓLIO'!$H$4:$H$433,MATCH($C108,'PORTIFÓLIO'!$C$4:$C$433,0)),"")</f>
        <v/>
      </c>
      <c r="I108" s="256"/>
      <c r="J108" s="218">
        <f t="shared" si="12"/>
        <v>0</v>
      </c>
      <c r="K108" s="219" t="str">
        <f t="array" ref="K108">IFERROR(I108*INDEX('PORTIFÓLIO'!$S$4:$S$433,MATCH($C108,'PORTIFÓLIO'!$C$4:$C$433,0)),"")</f>
        <v/>
      </c>
      <c r="L108" s="219" t="str">
        <f t="array" ref="L108">IFERROR(J108*INDEX('PORTIFÓLIO'!$S$4:$S$433,MATCH($C108,'PORTIFÓLIO'!$C$4:$C$433,0)),"")</f>
        <v/>
      </c>
      <c r="M108" s="220"/>
      <c r="N108" s="220"/>
      <c r="O108" s="220"/>
      <c r="P108" s="220"/>
      <c r="Q108" s="220"/>
      <c r="R108" s="220"/>
      <c r="S108" s="220"/>
      <c r="T108" s="220"/>
      <c r="U108" s="220"/>
      <c r="V108" s="220"/>
      <c r="W108" s="220"/>
    </row>
    <row r="109" ht="15.75" customHeight="1" outlineLevel="1">
      <c r="A109" s="211"/>
      <c r="B109" s="212"/>
      <c r="C109" s="213"/>
      <c r="D109" s="214" t="str">
        <f>IFERROR(VLOOKUP($C109,'PORTIFÓLIO'!C:V,2,0),"")</f>
        <v/>
      </c>
      <c r="E109" s="211" t="str">
        <f>IFERROR(VLOOKUP($C109,'PORTIFÓLIO'!C:V,3,0),"")</f>
        <v/>
      </c>
      <c r="F109" s="211" t="str">
        <f>IFERROR(VLOOKUP($C109,'PORTIFÓLIO'!C:V,4,0),"")</f>
        <v/>
      </c>
      <c r="G109" s="215" t="str">
        <f>IFERROR(VLOOKUP($C109,'PORTIFÓLIO'!C:V,5,0),"")</f>
        <v/>
      </c>
      <c r="H109" s="254" t="str">
        <f t="array" ref="H109">IFERROR(INDEX('PORTIFÓLIO'!$H$4:$H$433,MATCH($C109,'PORTIFÓLIO'!$C$4:$C$433,0)),"")</f>
        <v/>
      </c>
      <c r="I109" s="256"/>
      <c r="J109" s="218">
        <f t="shared" si="12"/>
        <v>0</v>
      </c>
      <c r="K109" s="219" t="str">
        <f t="array" ref="K109">IFERROR(I109*INDEX('PORTIFÓLIO'!$S$4:$S$433,MATCH($C109,'PORTIFÓLIO'!$C$4:$C$433,0)),"")</f>
        <v/>
      </c>
      <c r="L109" s="219" t="str">
        <f t="array" ref="L109">IFERROR(J109*INDEX('PORTIFÓLIO'!$S$4:$S$433,MATCH($C109,'PORTIFÓLIO'!$C$4:$C$433,0)),"")</f>
        <v/>
      </c>
      <c r="M109" s="220"/>
      <c r="N109" s="220"/>
      <c r="O109" s="220"/>
      <c r="P109" s="220"/>
      <c r="Q109" s="220"/>
      <c r="R109" s="220"/>
      <c r="S109" s="220"/>
      <c r="T109" s="220"/>
      <c r="U109" s="220"/>
      <c r="V109" s="220"/>
      <c r="W109" s="220"/>
    </row>
    <row r="110" ht="15.75" customHeight="1" outlineLevel="1">
      <c r="A110" s="211"/>
      <c r="B110" s="212"/>
      <c r="C110" s="213"/>
      <c r="D110" s="214" t="str">
        <f>IFERROR(VLOOKUP($C110,'PORTIFÓLIO'!C:V,2,0),"")</f>
        <v/>
      </c>
      <c r="E110" s="211" t="str">
        <f>IFERROR(VLOOKUP($C110,'PORTIFÓLIO'!C:V,3,0),"")</f>
        <v/>
      </c>
      <c r="F110" s="211" t="str">
        <f>IFERROR(VLOOKUP($C110,'PORTIFÓLIO'!C:V,4,0),"")</f>
        <v/>
      </c>
      <c r="G110" s="215" t="str">
        <f>IFERROR(VLOOKUP($C110,'PORTIFÓLIO'!C:V,5,0),"")</f>
        <v/>
      </c>
      <c r="H110" s="254" t="str">
        <f t="array" ref="H110">IFERROR(INDEX('PORTIFÓLIO'!$H$4:$H$433,MATCH($C110,'PORTIFÓLIO'!$C$4:$C$433,0)),"")</f>
        <v/>
      </c>
      <c r="I110" s="256"/>
      <c r="J110" s="218">
        <f t="shared" si="12"/>
        <v>0</v>
      </c>
      <c r="K110" s="219" t="str">
        <f t="array" ref="K110">IFERROR(I110*INDEX('PORTIFÓLIO'!$S$4:$S$433,MATCH($C110,'PORTIFÓLIO'!$C$4:$C$433,0)),"")</f>
        <v/>
      </c>
      <c r="L110" s="219" t="str">
        <f t="array" ref="L110">IFERROR(J110*INDEX('PORTIFÓLIO'!$S$4:$S$433,MATCH($C110,'PORTIFÓLIO'!$C$4:$C$433,0)),"")</f>
        <v/>
      </c>
      <c r="M110" s="220"/>
      <c r="N110" s="220"/>
      <c r="O110" s="220"/>
      <c r="P110" s="220"/>
      <c r="Q110" s="220"/>
      <c r="R110" s="220"/>
      <c r="S110" s="220"/>
      <c r="T110" s="220"/>
      <c r="U110" s="220"/>
      <c r="V110" s="220"/>
      <c r="W110" s="220"/>
    </row>
    <row r="111" ht="15.75" customHeight="1" outlineLevel="1">
      <c r="A111" s="211"/>
      <c r="B111" s="212"/>
      <c r="C111" s="213"/>
      <c r="D111" s="214" t="str">
        <f>IFERROR(VLOOKUP($C111,'PORTIFÓLIO'!C:V,2,0),"")</f>
        <v/>
      </c>
      <c r="E111" s="211" t="str">
        <f>IFERROR(VLOOKUP($C111,'PORTIFÓLIO'!C:V,3,0),"")</f>
        <v/>
      </c>
      <c r="F111" s="211" t="str">
        <f>IFERROR(VLOOKUP($C111,'PORTIFÓLIO'!C:V,4,0),"")</f>
        <v/>
      </c>
      <c r="G111" s="215" t="str">
        <f>IFERROR(VLOOKUP($C111,'PORTIFÓLIO'!C:V,5,0),"")</f>
        <v/>
      </c>
      <c r="H111" s="254" t="str">
        <f t="array" ref="H111">IFERROR(INDEX('PORTIFÓLIO'!$H$4:$H$433,MATCH($C111,'PORTIFÓLIO'!$C$4:$C$433,0)),"")</f>
        <v/>
      </c>
      <c r="I111" s="256"/>
      <c r="J111" s="218">
        <f t="shared" si="12"/>
        <v>0</v>
      </c>
      <c r="K111" s="219" t="str">
        <f t="array" ref="K111">IFERROR(I111*INDEX('PORTIFÓLIO'!$S$4:$S$433,MATCH($C111,'PORTIFÓLIO'!$C$4:$C$433,0)),"")</f>
        <v/>
      </c>
      <c r="L111" s="219" t="str">
        <f t="array" ref="L111">IFERROR(J111*INDEX('PORTIFÓLIO'!$S$4:$S$433,MATCH($C111,'PORTIFÓLIO'!$C$4:$C$433,0)),"")</f>
        <v/>
      </c>
      <c r="M111" s="220"/>
      <c r="N111" s="220"/>
      <c r="O111" s="220"/>
      <c r="P111" s="220"/>
      <c r="Q111" s="220"/>
      <c r="R111" s="220"/>
      <c r="S111" s="220"/>
      <c r="T111" s="220"/>
      <c r="U111" s="220"/>
      <c r="V111" s="220"/>
      <c r="W111" s="220"/>
    </row>
    <row r="112" ht="15.75" customHeight="1" outlineLevel="1">
      <c r="A112" s="211"/>
      <c r="B112" s="212"/>
      <c r="C112" s="213"/>
      <c r="D112" s="214" t="str">
        <f>IFERROR(VLOOKUP($C112,'PORTIFÓLIO'!C:V,2,0),"")</f>
        <v/>
      </c>
      <c r="E112" s="211" t="str">
        <f>IFERROR(VLOOKUP($C112,'PORTIFÓLIO'!C:V,3,0),"")</f>
        <v/>
      </c>
      <c r="F112" s="211" t="str">
        <f>IFERROR(VLOOKUP($C112,'PORTIFÓLIO'!C:V,4,0),"")</f>
        <v/>
      </c>
      <c r="G112" s="215" t="str">
        <f>IFERROR(VLOOKUP($C112,'PORTIFÓLIO'!C:V,5,0),"")</f>
        <v/>
      </c>
      <c r="H112" s="254" t="str">
        <f t="array" ref="H112">IFERROR(INDEX('PORTIFÓLIO'!$H$4:$H$433,MATCH($C112,'PORTIFÓLIO'!$C$4:$C$433,0)),"")</f>
        <v/>
      </c>
      <c r="I112" s="256"/>
      <c r="J112" s="218">
        <f t="shared" si="12"/>
        <v>0</v>
      </c>
      <c r="K112" s="219" t="str">
        <f t="array" ref="K112">IFERROR(I112*INDEX('PORTIFÓLIO'!$S$4:$S$433,MATCH($C112,'PORTIFÓLIO'!$C$4:$C$433,0)),"")</f>
        <v/>
      </c>
      <c r="L112" s="219" t="str">
        <f t="array" ref="L112">IFERROR(J112*INDEX('PORTIFÓLIO'!$S$4:$S$433,MATCH($C112,'PORTIFÓLIO'!$C$4:$C$433,0)),"")</f>
        <v/>
      </c>
      <c r="M112" s="220"/>
      <c r="N112" s="220"/>
      <c r="O112" s="220"/>
      <c r="P112" s="220"/>
      <c r="Q112" s="220"/>
      <c r="R112" s="220"/>
      <c r="S112" s="220"/>
      <c r="T112" s="220"/>
      <c r="U112" s="220"/>
      <c r="V112" s="220"/>
      <c r="W112" s="220"/>
    </row>
    <row r="113" ht="15.75" customHeight="1" outlineLevel="1">
      <c r="A113" s="211"/>
      <c r="B113" s="212"/>
      <c r="C113" s="211"/>
      <c r="D113" s="214" t="str">
        <f>IFERROR(VLOOKUP($C113,'PORTIFÓLIO'!C:V,2,0),"")</f>
        <v/>
      </c>
      <c r="E113" s="211" t="str">
        <f>IFERROR(VLOOKUP($C113,'PORTIFÓLIO'!C:V,3,0),"")</f>
        <v/>
      </c>
      <c r="F113" s="211" t="str">
        <f>IFERROR(VLOOKUP($C113,'PORTIFÓLIO'!C:V,4,0),"")</f>
        <v/>
      </c>
      <c r="G113" s="215" t="str">
        <f>IFERROR(VLOOKUP($C113,'PORTIFÓLIO'!C:V,5,0),"")</f>
        <v/>
      </c>
      <c r="H113" s="254" t="str">
        <f t="array" ref="H113">IFERROR(INDEX('PORTIFÓLIO'!$H$4:$H$433,MATCH($C113,'PORTIFÓLIO'!$C$4:$C$433,0)),"")</f>
        <v/>
      </c>
      <c r="I113" s="256"/>
      <c r="J113" s="218"/>
      <c r="K113" s="219" t="str">
        <f t="array" ref="K113">IFERROR(I113*INDEX('PORTIFÓLIO'!$S$4:$S$433,MATCH($C113,'PORTIFÓLIO'!$C$4:$C$433,0)),"")</f>
        <v/>
      </c>
      <c r="L113" s="219" t="str">
        <f t="array" ref="L113">IFERROR(J113*INDEX('PORTIFÓLIO'!$S$4:$S$433,MATCH($C113,'PORTIFÓLIO'!$C$4:$C$433,0)),"")</f>
        <v/>
      </c>
      <c r="M113" s="220"/>
      <c r="N113" s="220"/>
      <c r="O113" s="220"/>
      <c r="P113" s="220"/>
      <c r="Q113" s="220"/>
      <c r="R113" s="220"/>
      <c r="S113" s="220"/>
      <c r="T113" s="220"/>
      <c r="U113" s="220"/>
      <c r="V113" s="220"/>
      <c r="W113" s="220"/>
    </row>
    <row r="114" ht="15.75" customHeight="1">
      <c r="A114" s="229" t="s">
        <v>1190</v>
      </c>
      <c r="B114" s="230"/>
      <c r="C114" s="231"/>
      <c r="D114" s="232"/>
      <c r="E114" s="231"/>
      <c r="F114" s="231"/>
      <c r="G114" s="233"/>
      <c r="H114" s="233"/>
      <c r="I114" s="258"/>
      <c r="J114" s="236"/>
      <c r="K114" s="237">
        <f t="shared" ref="K114:L114" si="13">SUBTOTAL(9,K115:K128)</f>
        <v>236.685179</v>
      </c>
      <c r="L114" s="237">
        <f t="shared" si="13"/>
        <v>28402.22148</v>
      </c>
      <c r="M114" s="220"/>
      <c r="N114" s="220"/>
      <c r="O114" s="220"/>
      <c r="P114" s="220"/>
      <c r="Q114" s="220"/>
      <c r="R114" s="220"/>
      <c r="S114" s="220"/>
      <c r="T114" s="220"/>
      <c r="U114" s="220"/>
      <c r="V114" s="220"/>
      <c r="W114" s="220"/>
    </row>
    <row r="115" ht="15.75" customHeight="1" outlineLevel="1">
      <c r="A115" s="213"/>
      <c r="B115" s="212" t="s">
        <v>0</v>
      </c>
      <c r="C115" s="283" t="s">
        <v>467</v>
      </c>
      <c r="D115" s="214" t="str">
        <f>IFERROR(VLOOKUP($C115,'PORTIFÓLIO'!C:V,2,0),"")</f>
        <v>BIXAFEM + PROTIOCONAZOL + TRIFLOXISTROBINA</v>
      </c>
      <c r="E115" s="211" t="str">
        <f>IFERROR(VLOOKUP($C115,'PORTIFÓLIO'!C:V,3,0),"")</f>
        <v>125 + 175 + 150</v>
      </c>
      <c r="F115" s="211" t="str">
        <f>IFERROR(VLOOKUP($C115,'PORTIFÓLIO'!C:V,4,0),"")</f>
        <v>L</v>
      </c>
      <c r="G115" s="225" t="str">
        <f>IFERROR(VLOOKUP($C115,'PORTIFÓLIO'!C:V,5,0),"")</f>
        <v>📄 Ver bula</v>
      </c>
      <c r="H115" s="254">
        <f t="array" ref="H115">IFERROR(INDEX('PORTIFÓLIO'!$H$4:$H$433,MATCH($C115,'PORTIFÓLIO'!$C$4:$C$433,0)),"")</f>
        <v>0.5</v>
      </c>
      <c r="I115" s="255">
        <v>0.5</v>
      </c>
      <c r="J115" s="218">
        <f t="shared" ref="J115:J129" si="14">I115*$B$2</f>
        <v>60</v>
      </c>
      <c r="K115" s="219">
        <f t="array" ref="K115">IFERROR(I115*INDEX('PORTIFÓLIO'!$S$4:$S$433,MATCH($C115,'PORTIFÓLIO'!$C$4:$C$433,0)),"")</f>
        <v>99.08352</v>
      </c>
      <c r="L115" s="219">
        <f t="array" ref="L115">IFERROR(J115*INDEX('PORTIFÓLIO'!$S$4:$S$433,MATCH($C115,'PORTIFÓLIO'!$C$4:$C$433,0)),"")</f>
        <v>11890.0224</v>
      </c>
      <c r="M115" s="220"/>
      <c r="N115" s="220"/>
      <c r="O115" s="220"/>
      <c r="P115" s="220"/>
      <c r="Q115" s="220"/>
      <c r="R115" s="220"/>
      <c r="S115" s="220"/>
      <c r="T115" s="220"/>
      <c r="U115" s="220"/>
      <c r="V115" s="220"/>
      <c r="W115" s="220"/>
    </row>
    <row r="116" ht="15.75" customHeight="1" outlineLevel="1">
      <c r="A116" s="211"/>
      <c r="B116" s="212" t="s">
        <v>0</v>
      </c>
      <c r="C116" s="283" t="s">
        <v>520</v>
      </c>
      <c r="D116" s="214" t="str">
        <f>IFERROR(VLOOKUP($C116,'PORTIFÓLIO'!C:V,2,0),"")</f>
        <v>FLUAZINAM</v>
      </c>
      <c r="E116" s="211">
        <f>IFERROR(VLOOKUP($C116,'PORTIFÓLIO'!C:V,3,0),"")</f>
        <v>500</v>
      </c>
      <c r="F116" s="211" t="str">
        <f>IFERROR(VLOOKUP($C116,'PORTIFÓLIO'!C:V,4,0),"")</f>
        <v>L</v>
      </c>
      <c r="G116" s="225" t="str">
        <f>IFERROR(VLOOKUP($C116,'PORTIFÓLIO'!C:V,5,0),"")</f>
        <v>📄 Ver bula</v>
      </c>
      <c r="H116" s="254">
        <f t="array" ref="H116">IFERROR(INDEX('PORTIFÓLIO'!$H$4:$H$433,MATCH($C116,'PORTIFÓLIO'!$C$4:$C$433,0)),"")</f>
        <v>1</v>
      </c>
      <c r="I116" s="255">
        <v>1.0</v>
      </c>
      <c r="J116" s="218">
        <f t="shared" si="14"/>
        <v>120</v>
      </c>
      <c r="K116" s="219">
        <f t="array" ref="K116">IFERROR(I116*INDEX('PORTIFÓLIO'!$S$4:$S$433,MATCH($C116,'PORTIFÓLIO'!$C$4:$C$433,0)),"")</f>
        <v>67.68</v>
      </c>
      <c r="L116" s="219">
        <f t="array" ref="L116">IFERROR(J116*INDEX('PORTIFÓLIO'!$S$4:$S$433,MATCH($C116,'PORTIFÓLIO'!$C$4:$C$433,0)),"")</f>
        <v>8121.6</v>
      </c>
      <c r="M116" s="220"/>
      <c r="N116" s="220"/>
      <c r="O116" s="220"/>
      <c r="P116" s="220"/>
      <c r="Q116" s="220"/>
      <c r="R116" s="220"/>
      <c r="S116" s="220"/>
      <c r="T116" s="220"/>
      <c r="U116" s="220"/>
      <c r="V116" s="220"/>
      <c r="W116" s="220"/>
    </row>
    <row r="117" ht="15.75" customHeight="1" outlineLevel="1">
      <c r="A117" s="211"/>
      <c r="B117" s="212" t="s">
        <v>0</v>
      </c>
      <c r="C117" s="283" t="s">
        <v>484</v>
      </c>
      <c r="D117" s="214" t="str">
        <f>IFERROR(VLOOKUP($C117,'PORTIFÓLIO'!C:V,2,0),"")</f>
        <v>MANCOZEBE</v>
      </c>
      <c r="E117" s="211">
        <f>IFERROR(VLOOKUP($C117,'PORTIFÓLIO'!C:V,3,0),"")</f>
        <v>750</v>
      </c>
      <c r="F117" s="211" t="str">
        <f>IFERROR(VLOOKUP($C117,'PORTIFÓLIO'!C:V,4,0),"")</f>
        <v>L</v>
      </c>
      <c r="G117" s="225" t="str">
        <f>IFERROR(VLOOKUP($C117,'PORTIFÓLIO'!C:V,5,0),"")</f>
        <v>📄 Ver bula</v>
      </c>
      <c r="H117" s="254">
        <f t="array" ref="H117">IFERROR(INDEX('PORTIFÓLIO'!$H$4:$H$433,MATCH($C117,'PORTIFÓLIO'!$C$4:$C$433,0)),"")</f>
        <v>1.5</v>
      </c>
      <c r="I117" s="255">
        <v>1.5</v>
      </c>
      <c r="J117" s="218">
        <f t="shared" si="14"/>
        <v>180</v>
      </c>
      <c r="K117" s="219">
        <f t="array" ref="K117">IFERROR(I117*INDEX('PORTIFÓLIO'!$S$4:$S$433,MATCH($C117,'PORTIFÓLIO'!$C$4:$C$433,0)),"")</f>
        <v>41.52168</v>
      </c>
      <c r="L117" s="219">
        <f t="array" ref="L117">IFERROR(J117*INDEX('PORTIFÓLIO'!$S$4:$S$433,MATCH($C117,'PORTIFÓLIO'!$C$4:$C$433,0)),"")</f>
        <v>4982.6016</v>
      </c>
      <c r="M117" s="220"/>
      <c r="N117" s="220"/>
      <c r="O117" s="220"/>
      <c r="P117" s="220"/>
      <c r="Q117" s="220"/>
      <c r="R117" s="220"/>
      <c r="S117" s="220"/>
      <c r="T117" s="220"/>
      <c r="U117" s="220"/>
      <c r="V117" s="220"/>
      <c r="W117" s="220"/>
    </row>
    <row r="118" ht="15.75" customHeight="1" outlineLevel="1">
      <c r="A118" s="211"/>
      <c r="B118" s="212" t="s">
        <v>2</v>
      </c>
      <c r="C118" s="283" t="s">
        <v>752</v>
      </c>
      <c r="D118" s="214" t="str">
        <f>IFERROR(VLOOKUP($C118,'PORTIFÓLIO'!C:V,2,0),"")</f>
        <v>ACEFATO</v>
      </c>
      <c r="E118" s="211">
        <f>IFERROR(VLOOKUP($C118,'PORTIFÓLIO'!C:V,3,0),"")</f>
        <v>970</v>
      </c>
      <c r="F118" s="211" t="str">
        <f>IFERROR(VLOOKUP($C118,'PORTIFÓLIO'!C:V,4,0),"")</f>
        <v>L</v>
      </c>
      <c r="G118" s="225" t="str">
        <f>IFERROR(VLOOKUP($C118,'PORTIFÓLIO'!C:V,5,0),"")</f>
        <v>📄 Ver bula</v>
      </c>
      <c r="H118" s="254">
        <f t="array" ref="H118">IFERROR(INDEX('PORTIFÓLIO'!$H$4:$H$433,MATCH($C118,'PORTIFÓLIO'!$C$4:$C$433,0)),"")</f>
        <v>0.6</v>
      </c>
      <c r="I118" s="255">
        <v>0.6</v>
      </c>
      <c r="J118" s="218">
        <f t="shared" si="14"/>
        <v>72</v>
      </c>
      <c r="K118" s="219">
        <f t="array" ref="K118">IFERROR(I118*INDEX('PORTIFÓLIO'!$S$4:$S$433,MATCH($C118,'PORTIFÓLIO'!$C$4:$C$433,0)),"")</f>
        <v>22.266</v>
      </c>
      <c r="L118" s="219">
        <f t="array" ref="L118">IFERROR(J118*INDEX('PORTIFÓLIO'!$S$4:$S$433,MATCH($C118,'PORTIFÓLIO'!$C$4:$C$433,0)),"")</f>
        <v>2671.92</v>
      </c>
      <c r="M118" s="220"/>
      <c r="N118" s="220"/>
      <c r="O118" s="220"/>
      <c r="P118" s="220"/>
      <c r="Q118" s="220"/>
      <c r="R118" s="220"/>
      <c r="S118" s="220"/>
      <c r="T118" s="220"/>
      <c r="U118" s="220"/>
      <c r="V118" s="220"/>
      <c r="W118" s="220"/>
    </row>
    <row r="119" ht="15.75" customHeight="1" outlineLevel="1">
      <c r="A119" s="211"/>
      <c r="B119" s="212" t="s">
        <v>2</v>
      </c>
      <c r="C119" s="283" t="s">
        <v>786</v>
      </c>
      <c r="D119" s="214" t="str">
        <f>IFERROR(VLOOKUP($C119,'PORTIFÓLIO'!C:V,2,0),"")</f>
        <v>DIFLUBENZUROM</v>
      </c>
      <c r="E119" s="211">
        <f>IFERROR(VLOOKUP($C119,'PORTIFÓLIO'!C:V,3,0),"")</f>
        <v>480</v>
      </c>
      <c r="F119" s="211" t="str">
        <f>IFERROR(VLOOKUP($C119,'PORTIFÓLIO'!C:V,4,0),"")</f>
        <v>KG</v>
      </c>
      <c r="G119" s="225" t="str">
        <f>IFERROR(VLOOKUP($C119,'PORTIFÓLIO'!C:V,5,0),"")</f>
        <v>📄 Ver bula</v>
      </c>
      <c r="H119" s="254">
        <f t="array" ref="H119">IFERROR(INDEX('PORTIFÓLIO'!$H$4:$H$433,MATCH($C119,'PORTIFÓLIO'!$C$4:$C$433,0)),"")</f>
        <v>0.04</v>
      </c>
      <c r="I119" s="255">
        <v>0.05</v>
      </c>
      <c r="J119" s="218">
        <f t="shared" si="14"/>
        <v>6</v>
      </c>
      <c r="K119" s="219">
        <f t="array" ref="K119">IFERROR(I119*INDEX('PORTIFÓLIO'!$S$4:$S$433,MATCH($C119,'PORTIFÓLIO'!$C$4:$C$433,0)),"")</f>
        <v>2.927979</v>
      </c>
      <c r="L119" s="219">
        <f t="array" ref="L119">IFERROR(J119*INDEX('PORTIFÓLIO'!$S$4:$S$433,MATCH($C119,'PORTIFÓLIO'!$C$4:$C$433,0)),"")</f>
        <v>351.35748</v>
      </c>
      <c r="M119" s="220"/>
      <c r="N119" s="220"/>
      <c r="O119" s="220"/>
      <c r="P119" s="220"/>
      <c r="Q119" s="220"/>
      <c r="R119" s="220"/>
      <c r="S119" s="220"/>
      <c r="T119" s="220"/>
      <c r="U119" s="220"/>
      <c r="V119" s="220"/>
      <c r="W119" s="220"/>
    </row>
    <row r="120" ht="15.75" customHeight="1" outlineLevel="1">
      <c r="A120" s="211"/>
      <c r="B120" s="212" t="s">
        <v>6</v>
      </c>
      <c r="C120" s="213" t="s">
        <v>354</v>
      </c>
      <c r="D120" s="214" t="str">
        <f>IFERROR(VLOOKUP($C120,'PORTIFÓLIO'!C:V,2,0),"")</f>
        <v>OLEO MINERAL</v>
      </c>
      <c r="E120" s="211">
        <f>IFERROR(VLOOKUP($C120,'PORTIFÓLIO'!C:V,3,0),"")</f>
        <v>761</v>
      </c>
      <c r="F120" s="211" t="str">
        <f>IFERROR(VLOOKUP($C120,'PORTIFÓLIO'!C:V,4,0),"")</f>
        <v>L</v>
      </c>
      <c r="G120" s="225" t="str">
        <f>IFERROR(VLOOKUP($C120,'PORTIFÓLIO'!C:V,5,0),"")</f>
        <v>📄 Ver bula</v>
      </c>
      <c r="H120" s="254">
        <f t="array" ref="H120">IFERROR(INDEX('PORTIFÓLIO'!$H$4:$H$433,MATCH($C120,'PORTIFÓLIO'!$C$4:$C$433,0)),"")</f>
        <v>0.2</v>
      </c>
      <c r="I120" s="255">
        <v>0.2</v>
      </c>
      <c r="J120" s="218">
        <f t="shared" si="14"/>
        <v>24</v>
      </c>
      <c r="K120" s="219">
        <f t="array" ref="K120">IFERROR(I120*INDEX('PORTIFÓLIO'!$S$4:$S$433,MATCH($C120,'PORTIFÓLIO'!$C$4:$C$433,0)),"")</f>
        <v>3.206</v>
      </c>
      <c r="L120" s="219">
        <f t="array" ref="L120">IFERROR(J120*INDEX('PORTIFÓLIO'!$S$4:$S$433,MATCH($C120,'PORTIFÓLIO'!$C$4:$C$433,0)),"")</f>
        <v>384.72</v>
      </c>
      <c r="M120" s="220"/>
      <c r="N120" s="220"/>
      <c r="O120" s="220"/>
      <c r="P120" s="220"/>
      <c r="Q120" s="220"/>
      <c r="R120" s="220"/>
      <c r="S120" s="220"/>
      <c r="T120" s="220"/>
      <c r="U120" s="220"/>
      <c r="V120" s="220"/>
      <c r="W120" s="220"/>
    </row>
    <row r="121" ht="15.75" customHeight="1" outlineLevel="1">
      <c r="A121" s="211"/>
      <c r="B121" s="212"/>
      <c r="C121" s="213"/>
      <c r="D121" s="214" t="str">
        <f>IFERROR(VLOOKUP($C121,'PORTIFÓLIO'!C:V,2,0),"")</f>
        <v/>
      </c>
      <c r="E121" s="211" t="str">
        <f>IFERROR(VLOOKUP($C121,'PORTIFÓLIO'!C:V,3,0),"")</f>
        <v/>
      </c>
      <c r="F121" s="211" t="str">
        <f>IFERROR(VLOOKUP($C121,'PORTIFÓLIO'!C:V,4,0),"")</f>
        <v/>
      </c>
      <c r="G121" s="215" t="str">
        <f>IFERROR(VLOOKUP($C121,'PORTIFÓLIO'!C:V,5,0),"")</f>
        <v/>
      </c>
      <c r="H121" s="254" t="str">
        <f t="array" ref="H121">IFERROR(INDEX('PORTIFÓLIO'!$H$4:$H$433,MATCH($C121,'PORTIFÓLIO'!$C$4:$C$433,0)),"")</f>
        <v/>
      </c>
      <c r="I121" s="255"/>
      <c r="J121" s="218">
        <f t="shared" si="14"/>
        <v>0</v>
      </c>
      <c r="K121" s="219" t="str">
        <f t="array" ref="K121">IFERROR(I121*INDEX('PORTIFÓLIO'!$S$4:$S$433,MATCH($C121,'PORTIFÓLIO'!$C$4:$C$433,0)),"")</f>
        <v/>
      </c>
      <c r="L121" s="219" t="str">
        <f t="array" ref="L121">IFERROR(J121*INDEX('PORTIFÓLIO'!$S$4:$S$433,MATCH($C121,'PORTIFÓLIO'!$C$4:$C$433,0)),"")</f>
        <v/>
      </c>
      <c r="M121" s="220"/>
      <c r="N121" s="220"/>
      <c r="O121" s="220"/>
      <c r="P121" s="220"/>
      <c r="Q121" s="220"/>
      <c r="R121" s="220"/>
      <c r="S121" s="220"/>
      <c r="T121" s="220"/>
      <c r="U121" s="220"/>
      <c r="V121" s="220"/>
      <c r="W121" s="220"/>
    </row>
    <row r="122" ht="15.75" customHeight="1" outlineLevel="1">
      <c r="A122" s="211"/>
      <c r="B122" s="212"/>
      <c r="C122" s="213"/>
      <c r="D122" s="214" t="str">
        <f>IFERROR(VLOOKUP($C122,'PORTIFÓLIO'!C:V,2,0),"")</f>
        <v/>
      </c>
      <c r="E122" s="211" t="str">
        <f>IFERROR(VLOOKUP($C122,'PORTIFÓLIO'!C:V,3,0),"")</f>
        <v/>
      </c>
      <c r="F122" s="211" t="str">
        <f>IFERROR(VLOOKUP($C122,'PORTIFÓLIO'!C:V,4,0),"")</f>
        <v/>
      </c>
      <c r="G122" s="215" t="str">
        <f>IFERROR(VLOOKUP($C122,'PORTIFÓLIO'!C:V,5,0),"")</f>
        <v/>
      </c>
      <c r="H122" s="254" t="str">
        <f t="array" ref="H122">IFERROR(INDEX('PORTIFÓLIO'!$H$4:$H$433,MATCH($C122,'PORTIFÓLIO'!$C$4:$C$433,0)),"")</f>
        <v/>
      </c>
      <c r="I122" s="255"/>
      <c r="J122" s="218">
        <f t="shared" si="14"/>
        <v>0</v>
      </c>
      <c r="K122" s="219" t="str">
        <f t="array" ref="K122">IFERROR(I122*INDEX('PORTIFÓLIO'!$S$4:$S$433,MATCH($C122,'PORTIFÓLIO'!$C$4:$C$433,0)),"")</f>
        <v/>
      </c>
      <c r="L122" s="219" t="str">
        <f t="array" ref="L122">IFERROR(J122*INDEX('PORTIFÓLIO'!$S$4:$S$433,MATCH($C122,'PORTIFÓLIO'!$C$4:$C$433,0)),"")</f>
        <v/>
      </c>
      <c r="M122" s="220"/>
      <c r="N122" s="220"/>
      <c r="O122" s="220"/>
      <c r="P122" s="220"/>
      <c r="Q122" s="220"/>
      <c r="R122" s="220"/>
      <c r="S122" s="220"/>
      <c r="T122" s="220"/>
      <c r="U122" s="220"/>
      <c r="V122" s="220"/>
      <c r="W122" s="220"/>
    </row>
    <row r="123" ht="15.75" customHeight="1" outlineLevel="1">
      <c r="A123" s="211"/>
      <c r="B123" s="212"/>
      <c r="C123" s="213"/>
      <c r="D123" s="214" t="str">
        <f>IFERROR(VLOOKUP($C123,'PORTIFÓLIO'!C:V,2,0),"")</f>
        <v/>
      </c>
      <c r="E123" s="211" t="str">
        <f>IFERROR(VLOOKUP($C123,'PORTIFÓLIO'!C:V,3,0),"")</f>
        <v/>
      </c>
      <c r="F123" s="211" t="str">
        <f>IFERROR(VLOOKUP($C123,'PORTIFÓLIO'!C:V,4,0),"")</f>
        <v/>
      </c>
      <c r="G123" s="215" t="str">
        <f>IFERROR(VLOOKUP($C123,'PORTIFÓLIO'!C:V,5,0),"")</f>
        <v/>
      </c>
      <c r="H123" s="254" t="str">
        <f t="array" ref="H123">IFERROR(INDEX('PORTIFÓLIO'!$H$4:$H$433,MATCH($C123,'PORTIFÓLIO'!$C$4:$C$433,0)),"")</f>
        <v/>
      </c>
      <c r="I123" s="255"/>
      <c r="J123" s="218">
        <f t="shared" si="14"/>
        <v>0</v>
      </c>
      <c r="K123" s="219" t="str">
        <f t="array" ref="K123">IFERROR(I123*INDEX('PORTIFÓLIO'!$S$4:$S$433,MATCH($C123,'PORTIFÓLIO'!$C$4:$C$433,0)),"")</f>
        <v/>
      </c>
      <c r="L123" s="219" t="str">
        <f t="array" ref="L123">IFERROR(J123*INDEX('PORTIFÓLIO'!$S$4:$S$433,MATCH($C123,'PORTIFÓLIO'!$C$4:$C$433,0)),"")</f>
        <v/>
      </c>
      <c r="M123" s="220"/>
      <c r="N123" s="220"/>
      <c r="O123" s="220"/>
      <c r="P123" s="220"/>
      <c r="Q123" s="220"/>
      <c r="R123" s="220"/>
      <c r="S123" s="220"/>
      <c r="T123" s="220"/>
      <c r="U123" s="220"/>
      <c r="V123" s="220"/>
      <c r="W123" s="220"/>
    </row>
    <row r="124" ht="15.75" customHeight="1" outlineLevel="1">
      <c r="A124" s="211"/>
      <c r="B124" s="212"/>
      <c r="C124" s="213"/>
      <c r="D124" s="214" t="str">
        <f>IFERROR(VLOOKUP($C124,'PORTIFÓLIO'!C:V,2,0),"")</f>
        <v/>
      </c>
      <c r="E124" s="211" t="str">
        <f>IFERROR(VLOOKUP($C124,'PORTIFÓLIO'!C:V,3,0),"")</f>
        <v/>
      </c>
      <c r="F124" s="211" t="str">
        <f>IFERROR(VLOOKUP($C124,'PORTIFÓLIO'!C:V,4,0),"")</f>
        <v/>
      </c>
      <c r="G124" s="215" t="str">
        <f>IFERROR(VLOOKUP($C124,'PORTIFÓLIO'!C:V,5,0),"")</f>
        <v/>
      </c>
      <c r="H124" s="254" t="str">
        <f t="array" ref="H124">IFERROR(INDEX('PORTIFÓLIO'!$H$4:$H$433,MATCH($C124,'PORTIFÓLIO'!$C$4:$C$433,0)),"")</f>
        <v/>
      </c>
      <c r="I124" s="256"/>
      <c r="J124" s="218">
        <f t="shared" si="14"/>
        <v>0</v>
      </c>
      <c r="K124" s="219" t="str">
        <f t="array" ref="K124">IFERROR(I124*INDEX('PORTIFÓLIO'!$S$4:$S$433,MATCH($C124,'PORTIFÓLIO'!$C$4:$C$433,0)),"")</f>
        <v/>
      </c>
      <c r="L124" s="219" t="str">
        <f t="array" ref="L124">IFERROR(J124*INDEX('PORTIFÓLIO'!$S$4:$S$433,MATCH($C124,'PORTIFÓLIO'!$C$4:$C$433,0)),"")</f>
        <v/>
      </c>
      <c r="M124" s="220"/>
      <c r="N124" s="220"/>
      <c r="O124" s="220"/>
      <c r="P124" s="220"/>
      <c r="Q124" s="220"/>
      <c r="R124" s="220"/>
      <c r="S124" s="220"/>
      <c r="T124" s="220"/>
      <c r="U124" s="220"/>
      <c r="V124" s="220"/>
      <c r="W124" s="220"/>
    </row>
    <row r="125" ht="15.75" customHeight="1" outlineLevel="1">
      <c r="A125" s="211"/>
      <c r="B125" s="212"/>
      <c r="C125" s="213"/>
      <c r="D125" s="214" t="str">
        <f>IFERROR(VLOOKUP($C125,'PORTIFÓLIO'!C:V,2,0),"")</f>
        <v/>
      </c>
      <c r="E125" s="211" t="str">
        <f>IFERROR(VLOOKUP($C125,'PORTIFÓLIO'!C:V,3,0),"")</f>
        <v/>
      </c>
      <c r="F125" s="211" t="str">
        <f>IFERROR(VLOOKUP($C125,'PORTIFÓLIO'!C:V,4,0),"")</f>
        <v/>
      </c>
      <c r="G125" s="215" t="str">
        <f>IFERROR(VLOOKUP($C125,'PORTIFÓLIO'!C:V,5,0),"")</f>
        <v/>
      </c>
      <c r="H125" s="254" t="str">
        <f t="array" ref="H125">IFERROR(INDEX('PORTIFÓLIO'!$H$4:$H$433,MATCH($C125,'PORTIFÓLIO'!$C$4:$C$433,0)),"")</f>
        <v/>
      </c>
      <c r="I125" s="256"/>
      <c r="J125" s="218">
        <f t="shared" si="14"/>
        <v>0</v>
      </c>
      <c r="K125" s="219" t="str">
        <f t="array" ref="K125">IFERROR(I125*INDEX('PORTIFÓLIO'!$S$4:$S$433,MATCH($C125,'PORTIFÓLIO'!$C$4:$C$433,0)),"")</f>
        <v/>
      </c>
      <c r="L125" s="219" t="str">
        <f t="array" ref="L125">IFERROR(J125*INDEX('PORTIFÓLIO'!$S$4:$S$433,MATCH($C125,'PORTIFÓLIO'!$C$4:$C$433,0)),"")</f>
        <v/>
      </c>
      <c r="M125" s="220"/>
      <c r="N125" s="220"/>
      <c r="O125" s="220"/>
      <c r="P125" s="220"/>
      <c r="Q125" s="220"/>
      <c r="R125" s="220"/>
      <c r="S125" s="220"/>
      <c r="T125" s="220"/>
      <c r="U125" s="220"/>
      <c r="V125" s="220"/>
      <c r="W125" s="220"/>
    </row>
    <row r="126" ht="15.75" customHeight="1" outlineLevel="1">
      <c r="A126" s="211"/>
      <c r="B126" s="212"/>
      <c r="C126" s="213"/>
      <c r="D126" s="214" t="str">
        <f>IFERROR(VLOOKUP($C126,'PORTIFÓLIO'!C:V,2,0),"")</f>
        <v/>
      </c>
      <c r="E126" s="211" t="str">
        <f>IFERROR(VLOOKUP($C126,'PORTIFÓLIO'!C:V,3,0),"")</f>
        <v/>
      </c>
      <c r="F126" s="211" t="str">
        <f>IFERROR(VLOOKUP($C126,'PORTIFÓLIO'!C:V,4,0),"")</f>
        <v/>
      </c>
      <c r="G126" s="215" t="str">
        <f>IFERROR(VLOOKUP($C126,'PORTIFÓLIO'!C:V,5,0),"")</f>
        <v/>
      </c>
      <c r="H126" s="254" t="str">
        <f t="array" ref="H126">IFERROR(INDEX('PORTIFÓLIO'!$H$4:$H$433,MATCH($C126,'PORTIFÓLIO'!$C$4:$C$433,0)),"")</f>
        <v/>
      </c>
      <c r="I126" s="256"/>
      <c r="J126" s="218">
        <f t="shared" si="14"/>
        <v>0</v>
      </c>
      <c r="K126" s="219" t="str">
        <f t="array" ref="K126">IFERROR(I126*INDEX('PORTIFÓLIO'!$S$4:$S$433,MATCH($C126,'PORTIFÓLIO'!$C$4:$C$433,0)),"")</f>
        <v/>
      </c>
      <c r="L126" s="219" t="str">
        <f t="array" ref="L126">IFERROR(J126*INDEX('PORTIFÓLIO'!$S$4:$S$433,MATCH($C126,'PORTIFÓLIO'!$C$4:$C$433,0)),"")</f>
        <v/>
      </c>
      <c r="M126" s="220"/>
      <c r="N126" s="220"/>
      <c r="O126" s="220"/>
      <c r="P126" s="220"/>
      <c r="Q126" s="220"/>
      <c r="R126" s="220"/>
      <c r="S126" s="220"/>
      <c r="T126" s="220"/>
      <c r="U126" s="220"/>
      <c r="V126" s="220"/>
      <c r="W126" s="220"/>
    </row>
    <row r="127" ht="15.75" customHeight="1" outlineLevel="1">
      <c r="A127" s="211"/>
      <c r="B127" s="212"/>
      <c r="C127" s="213"/>
      <c r="D127" s="214" t="str">
        <f>IFERROR(VLOOKUP($C127,'PORTIFÓLIO'!C:V,2,0),"")</f>
        <v/>
      </c>
      <c r="E127" s="211" t="str">
        <f>IFERROR(VLOOKUP($C127,'PORTIFÓLIO'!C:V,3,0),"")</f>
        <v/>
      </c>
      <c r="F127" s="211" t="str">
        <f>IFERROR(VLOOKUP($C127,'PORTIFÓLIO'!C:V,4,0),"")</f>
        <v/>
      </c>
      <c r="G127" s="215" t="str">
        <f>IFERROR(VLOOKUP($C127,'PORTIFÓLIO'!C:V,5,0),"")</f>
        <v/>
      </c>
      <c r="H127" s="254" t="str">
        <f t="array" ref="H127">IFERROR(INDEX('PORTIFÓLIO'!$H$4:$H$433,MATCH($C127,'PORTIFÓLIO'!$C$4:$C$433,0)),"")</f>
        <v/>
      </c>
      <c r="I127" s="256"/>
      <c r="J127" s="218">
        <f t="shared" si="14"/>
        <v>0</v>
      </c>
      <c r="K127" s="219" t="str">
        <f t="array" ref="K127">IFERROR(I127*INDEX('PORTIFÓLIO'!$S$4:$S$433,MATCH($C127,'PORTIFÓLIO'!$C$4:$C$433,0)),"")</f>
        <v/>
      </c>
      <c r="L127" s="219" t="str">
        <f t="array" ref="L127">IFERROR(J127*INDEX('PORTIFÓLIO'!$S$4:$S$433,MATCH($C127,'PORTIFÓLIO'!$C$4:$C$433,0)),"")</f>
        <v/>
      </c>
      <c r="M127" s="220"/>
      <c r="N127" s="220"/>
      <c r="O127" s="220"/>
      <c r="P127" s="220"/>
      <c r="Q127" s="220"/>
      <c r="R127" s="220"/>
      <c r="S127" s="220"/>
      <c r="T127" s="220"/>
      <c r="U127" s="220"/>
      <c r="V127" s="220"/>
      <c r="W127" s="220"/>
    </row>
    <row r="128" ht="15.75" customHeight="1" outlineLevel="1">
      <c r="A128" s="211"/>
      <c r="B128" s="212"/>
      <c r="C128" s="213"/>
      <c r="D128" s="214" t="str">
        <f>IFERROR(VLOOKUP($C128,'PORTIFÓLIO'!C:V,2,0),"")</f>
        <v/>
      </c>
      <c r="E128" s="211" t="str">
        <f>IFERROR(VLOOKUP($C128,'PORTIFÓLIO'!C:V,3,0),"")</f>
        <v/>
      </c>
      <c r="F128" s="211" t="str">
        <f>IFERROR(VLOOKUP($C128,'PORTIFÓLIO'!C:V,4,0),"")</f>
        <v/>
      </c>
      <c r="G128" s="215" t="str">
        <f>IFERROR(VLOOKUP($C128,'PORTIFÓLIO'!C:V,5,0),"")</f>
        <v/>
      </c>
      <c r="H128" s="254" t="str">
        <f t="array" ref="H128">IFERROR(INDEX('PORTIFÓLIO'!$H$4:$H$433,MATCH($C128,'PORTIFÓLIO'!$C$4:$C$433,0)),"")</f>
        <v/>
      </c>
      <c r="I128" s="256"/>
      <c r="J128" s="218">
        <f t="shared" si="14"/>
        <v>0</v>
      </c>
      <c r="K128" s="219" t="str">
        <f t="array" ref="K128">IFERROR(I128*INDEX('PORTIFÓLIO'!$S$4:$S$433,MATCH($C128,'PORTIFÓLIO'!$C$4:$C$433,0)),"")</f>
        <v/>
      </c>
      <c r="L128" s="219" t="str">
        <f t="array" ref="L128">IFERROR(J128*INDEX('PORTIFÓLIO'!$S$4:$S$433,MATCH($C128,'PORTIFÓLIO'!$C$4:$C$433,0)),"")</f>
        <v/>
      </c>
      <c r="M128" s="220"/>
      <c r="N128" s="220"/>
      <c r="O128" s="220"/>
      <c r="P128" s="220"/>
      <c r="Q128" s="220"/>
      <c r="R128" s="220"/>
      <c r="S128" s="220"/>
      <c r="T128" s="220"/>
      <c r="U128" s="220"/>
      <c r="V128" s="220"/>
      <c r="W128" s="220"/>
    </row>
    <row r="129" ht="15.75" customHeight="1" outlineLevel="1">
      <c r="A129" s="211"/>
      <c r="B129" s="212"/>
      <c r="C129" s="213"/>
      <c r="D129" s="214" t="str">
        <f>IFERROR(VLOOKUP($C129,'PORTIFÓLIO'!C:V,2,0),"")</f>
        <v/>
      </c>
      <c r="E129" s="211" t="str">
        <f>IFERROR(VLOOKUP($C129,'PORTIFÓLIO'!C:V,3,0),"")</f>
        <v/>
      </c>
      <c r="F129" s="211" t="str">
        <f>IFERROR(VLOOKUP($C129,'PORTIFÓLIO'!C:V,4,0),"")</f>
        <v/>
      </c>
      <c r="G129" s="215" t="str">
        <f>IFERROR(VLOOKUP($C129,'PORTIFÓLIO'!C:V,5,0),"")</f>
        <v/>
      </c>
      <c r="H129" s="254" t="str">
        <f t="array" ref="H129">IFERROR(INDEX('PORTIFÓLIO'!$H$4:$H$433,MATCH($C129,'PORTIFÓLIO'!$C$4:$C$433,0)),"")</f>
        <v/>
      </c>
      <c r="I129" s="256"/>
      <c r="J129" s="218">
        <f t="shared" si="14"/>
        <v>0</v>
      </c>
      <c r="K129" s="219" t="str">
        <f t="array" ref="K129">IFERROR(I129*INDEX('PORTIFÓLIO'!$S$4:$S$433,MATCH($C129,'PORTIFÓLIO'!$C$4:$C$433,0)),"")</f>
        <v/>
      </c>
      <c r="L129" s="219" t="str">
        <f t="array" ref="L129">IFERROR(J129*INDEX('PORTIFÓLIO'!$S$4:$S$433,MATCH($C129,'PORTIFÓLIO'!$C$4:$C$433,0)),"")</f>
        <v/>
      </c>
      <c r="M129" s="220"/>
      <c r="N129" s="220"/>
      <c r="O129" s="220"/>
      <c r="P129" s="220"/>
      <c r="Q129" s="220"/>
      <c r="R129" s="220"/>
      <c r="S129" s="220"/>
      <c r="T129" s="220"/>
      <c r="U129" s="220"/>
      <c r="V129" s="220"/>
      <c r="W129" s="220"/>
    </row>
    <row r="130" ht="15.75" customHeight="1" outlineLevel="1">
      <c r="A130" s="211"/>
      <c r="B130" s="227"/>
      <c r="C130" s="211"/>
      <c r="D130" s="214" t="str">
        <f>IFERROR(VLOOKUP($C130,'PORTIFÓLIO'!C:V,2,0),"")</f>
        <v/>
      </c>
      <c r="E130" s="211" t="str">
        <f>IFERROR(VLOOKUP($C130,'PORTIFÓLIO'!C:V,3,0),"")</f>
        <v/>
      </c>
      <c r="F130" s="211" t="str">
        <f>IFERROR(VLOOKUP($C130,'PORTIFÓLIO'!C:V,4,0),"")</f>
        <v/>
      </c>
      <c r="G130" s="215" t="str">
        <f>IFERROR(VLOOKUP($C130,'PORTIFÓLIO'!C:V,5,0),"")</f>
        <v/>
      </c>
      <c r="H130" s="254" t="str">
        <f t="array" ref="H130">IFERROR(INDEX('PORTIFÓLIO'!$H$4:$H$433,MATCH($C130,'PORTIFÓLIO'!$C$4:$C$433,0)),"")</f>
        <v/>
      </c>
      <c r="I130" s="256"/>
      <c r="J130" s="218"/>
      <c r="K130" s="219" t="str">
        <f t="array" ref="K130">IFERROR(I130*INDEX('PORTIFÓLIO'!$S$4:$S$433,MATCH($C130,'PORTIFÓLIO'!$C$4:$C$433,0)),"")</f>
        <v/>
      </c>
      <c r="L130" s="219" t="str">
        <f t="array" ref="L130">IFERROR(J130*INDEX('PORTIFÓLIO'!$S$4:$S$433,MATCH($C130,'PORTIFÓLIO'!$C$4:$C$433,0)),"")</f>
        <v/>
      </c>
      <c r="M130" s="220"/>
      <c r="N130" s="220"/>
      <c r="O130" s="220"/>
      <c r="P130" s="220"/>
      <c r="Q130" s="220"/>
      <c r="R130" s="220"/>
      <c r="S130" s="220"/>
      <c r="T130" s="220"/>
      <c r="U130" s="220"/>
      <c r="V130" s="220"/>
      <c r="W130" s="220"/>
    </row>
    <row r="131" ht="15.75" customHeight="1">
      <c r="A131" s="229" t="s">
        <v>1191</v>
      </c>
      <c r="B131" s="230"/>
      <c r="C131" s="231"/>
      <c r="D131" s="232"/>
      <c r="E131" s="231"/>
      <c r="F131" s="231"/>
      <c r="G131" s="233"/>
      <c r="H131" s="233"/>
      <c r="I131" s="258"/>
      <c r="J131" s="236"/>
      <c r="K131" s="237">
        <f t="shared" ref="K131:L131" si="15">SUBTOTAL(9,K132:K145)</f>
        <v>183.160532</v>
      </c>
      <c r="L131" s="237">
        <f t="shared" si="15"/>
        <v>21979.26384</v>
      </c>
      <c r="M131" s="220"/>
      <c r="N131" s="220"/>
      <c r="O131" s="220"/>
      <c r="P131" s="220"/>
      <c r="Q131" s="220"/>
      <c r="R131" s="220"/>
      <c r="S131" s="220"/>
      <c r="T131" s="220"/>
      <c r="U131" s="220"/>
      <c r="V131" s="220"/>
      <c r="W131" s="220"/>
    </row>
    <row r="132" ht="15.75" customHeight="1" outlineLevel="1">
      <c r="A132" s="213"/>
      <c r="B132" s="212" t="s">
        <v>0</v>
      </c>
      <c r="C132" s="213" t="s">
        <v>487</v>
      </c>
      <c r="D132" s="214" t="str">
        <f>IFERROR(VLOOKUP($C132,'PORTIFÓLIO'!C:V,2,0),"")</f>
        <v>PICOXISTROBINA + CIPROCONAZOL</v>
      </c>
      <c r="E132" s="211" t="str">
        <f>IFERROR(VLOOKUP($C132,'PORTIFÓLIO'!C:V,3,0),"")</f>
        <v>90 + 40</v>
      </c>
      <c r="F132" s="211" t="str">
        <f>IFERROR(VLOOKUP($C132,'PORTIFÓLIO'!C:V,4,0),"")</f>
        <v>L</v>
      </c>
      <c r="G132" s="225" t="str">
        <f>IFERROR(VLOOKUP($C132,'PORTIFÓLIO'!C:V,5,0),"")</f>
        <v>📄 Ver bula</v>
      </c>
      <c r="H132" s="254">
        <f t="array" ref="H132">IFERROR(INDEX('PORTIFÓLIO'!$H$4:$H$433,MATCH($C132,'PORTIFÓLIO'!$C$4:$C$433,0)),"")</f>
        <v>0.6</v>
      </c>
      <c r="I132" s="255">
        <v>0.6</v>
      </c>
      <c r="J132" s="218">
        <f t="shared" ref="J132:J146" si="16">I132*$B$2</f>
        <v>72</v>
      </c>
      <c r="K132" s="219">
        <f t="array" ref="K132">IFERROR(I132*INDEX('PORTIFÓLIO'!$S$4:$S$433,MATCH($C132,'PORTIFÓLIO'!$C$4:$C$433,0)),"")</f>
        <v>39.349152</v>
      </c>
      <c r="L132" s="219">
        <f t="array" ref="L132">IFERROR(J132*INDEX('PORTIFÓLIO'!$S$4:$S$433,MATCH($C132,'PORTIFÓLIO'!$C$4:$C$433,0)),"")</f>
        <v>4721.89824</v>
      </c>
      <c r="M132" s="220"/>
      <c r="N132" s="220"/>
      <c r="O132" s="220"/>
      <c r="P132" s="220"/>
      <c r="Q132" s="220"/>
      <c r="R132" s="220"/>
      <c r="S132" s="220"/>
      <c r="T132" s="220"/>
      <c r="U132" s="220"/>
      <c r="V132" s="220"/>
      <c r="W132" s="220"/>
    </row>
    <row r="133" ht="15.75" customHeight="1" outlineLevel="1">
      <c r="A133" s="211"/>
      <c r="B133" s="212" t="s">
        <v>0</v>
      </c>
      <c r="C133" s="213" t="s">
        <v>484</v>
      </c>
      <c r="D133" s="214" t="str">
        <f>IFERROR(VLOOKUP($C133,'PORTIFÓLIO'!C:V,2,0),"")</f>
        <v>MANCOZEBE</v>
      </c>
      <c r="E133" s="211">
        <f>IFERROR(VLOOKUP($C133,'PORTIFÓLIO'!C:V,3,0),"")</f>
        <v>750</v>
      </c>
      <c r="F133" s="211" t="str">
        <f>IFERROR(VLOOKUP($C133,'PORTIFÓLIO'!C:V,4,0),"")</f>
        <v>L</v>
      </c>
      <c r="G133" s="225" t="str">
        <f>IFERROR(VLOOKUP($C133,'PORTIFÓLIO'!C:V,5,0),"")</f>
        <v>📄 Ver bula</v>
      </c>
      <c r="H133" s="254">
        <f t="array" ref="H133">IFERROR(INDEX('PORTIFÓLIO'!$H$4:$H$433,MATCH($C133,'PORTIFÓLIO'!$C$4:$C$433,0)),"")</f>
        <v>1.5</v>
      </c>
      <c r="I133" s="255">
        <v>1.5</v>
      </c>
      <c r="J133" s="218">
        <f t="shared" si="16"/>
        <v>180</v>
      </c>
      <c r="K133" s="219">
        <f t="array" ref="K133">IFERROR(I133*INDEX('PORTIFÓLIO'!$S$4:$S$433,MATCH($C133,'PORTIFÓLIO'!$C$4:$C$433,0)),"")</f>
        <v>41.52168</v>
      </c>
      <c r="L133" s="219">
        <f t="array" ref="L133">IFERROR(J133*INDEX('PORTIFÓLIO'!$S$4:$S$433,MATCH($C133,'PORTIFÓLIO'!$C$4:$C$433,0)),"")</f>
        <v>4982.6016</v>
      </c>
      <c r="M133" s="220"/>
      <c r="N133" s="220"/>
      <c r="O133" s="220"/>
      <c r="P133" s="220"/>
      <c r="Q133" s="220"/>
      <c r="R133" s="220"/>
      <c r="S133" s="220"/>
      <c r="T133" s="220"/>
      <c r="U133" s="220"/>
      <c r="V133" s="220"/>
      <c r="W133" s="220"/>
    </row>
    <row r="134" ht="15.75" customHeight="1" outlineLevel="1">
      <c r="A134" s="211"/>
      <c r="B134" s="212" t="s">
        <v>2</v>
      </c>
      <c r="C134" s="213" t="s">
        <v>897</v>
      </c>
      <c r="D134" s="214" t="str">
        <f>IFERROR(VLOOKUP($C134,'PORTIFÓLIO'!C:V,2,0),"")</f>
        <v>ISOCICLOSERAM + LAMBDA-CIALOTRINA</v>
      </c>
      <c r="E134" s="211" t="str">
        <f>IFERROR(VLOOKUP($C134,'PORTIFÓLIO'!C:V,3,0),"")</f>
        <v>100 + 150</v>
      </c>
      <c r="F134" s="211" t="str">
        <f>IFERROR(VLOOKUP($C134,'PORTIFÓLIO'!C:V,4,0),"")</f>
        <v>L</v>
      </c>
      <c r="G134" s="225" t="str">
        <f>IFERROR(VLOOKUP($C134,'PORTIFÓLIO'!C:V,5,0),"")</f>
        <v>📄 Ver bula</v>
      </c>
      <c r="H134" s="254">
        <f t="array" ref="H134">IFERROR(INDEX('PORTIFÓLIO'!$H$4:$H$433,MATCH($C134,'PORTIFÓLIO'!$C$4:$C$433,0)),"")</f>
        <v>0.25</v>
      </c>
      <c r="I134" s="255">
        <v>0.25</v>
      </c>
      <c r="J134" s="218">
        <f t="shared" si="16"/>
        <v>30</v>
      </c>
      <c r="K134" s="219">
        <f t="array" ref="K134">IFERROR(I134*INDEX('PORTIFÓLIO'!$S$4:$S$433,MATCH($C134,'PORTIFÓLIO'!$C$4:$C$433,0)),"")</f>
        <v>99.0837</v>
      </c>
      <c r="L134" s="219">
        <f t="array" ref="L134">IFERROR(J134*INDEX('PORTIFÓLIO'!$S$4:$S$433,MATCH($C134,'PORTIFÓLIO'!$C$4:$C$433,0)),"")</f>
        <v>11890.044</v>
      </c>
      <c r="M134" s="220"/>
      <c r="N134" s="220"/>
      <c r="O134" s="220"/>
      <c r="P134" s="220"/>
      <c r="Q134" s="220"/>
      <c r="R134" s="220"/>
      <c r="S134" s="220"/>
      <c r="T134" s="220"/>
      <c r="U134" s="220"/>
      <c r="V134" s="220"/>
      <c r="W134" s="220"/>
    </row>
    <row r="135" ht="15.75" customHeight="1" outlineLevel="1">
      <c r="A135" s="211"/>
      <c r="B135" s="212" t="s">
        <v>6</v>
      </c>
      <c r="C135" s="213" t="s">
        <v>354</v>
      </c>
      <c r="D135" s="214" t="str">
        <f>IFERROR(VLOOKUP($C135,'PORTIFÓLIO'!C:V,2,0),"")</f>
        <v>OLEO MINERAL</v>
      </c>
      <c r="E135" s="211">
        <f>IFERROR(VLOOKUP($C135,'PORTIFÓLIO'!C:V,3,0),"")</f>
        <v>761</v>
      </c>
      <c r="F135" s="211" t="str">
        <f>IFERROR(VLOOKUP($C135,'PORTIFÓLIO'!C:V,4,0),"")</f>
        <v>L</v>
      </c>
      <c r="G135" s="225" t="str">
        <f>IFERROR(VLOOKUP($C135,'PORTIFÓLIO'!C:V,5,0),"")</f>
        <v>📄 Ver bula</v>
      </c>
      <c r="H135" s="254">
        <f t="array" ref="H135">IFERROR(INDEX('PORTIFÓLIO'!$H$4:$H$433,MATCH($C135,'PORTIFÓLIO'!$C$4:$C$433,0)),"")</f>
        <v>0.2</v>
      </c>
      <c r="I135" s="255">
        <v>0.2</v>
      </c>
      <c r="J135" s="218">
        <f t="shared" si="16"/>
        <v>24</v>
      </c>
      <c r="K135" s="219">
        <f t="array" ref="K135">IFERROR(I135*INDEX('PORTIFÓLIO'!$S$4:$S$433,MATCH($C135,'PORTIFÓLIO'!$C$4:$C$433,0)),"")</f>
        <v>3.206</v>
      </c>
      <c r="L135" s="219">
        <f t="array" ref="L135">IFERROR(J135*INDEX('PORTIFÓLIO'!$S$4:$S$433,MATCH($C135,'PORTIFÓLIO'!$C$4:$C$433,0)),"")</f>
        <v>384.72</v>
      </c>
      <c r="M135" s="220"/>
      <c r="N135" s="220"/>
      <c r="O135" s="220"/>
      <c r="P135" s="220"/>
      <c r="Q135" s="220"/>
      <c r="R135" s="220"/>
      <c r="S135" s="220"/>
      <c r="T135" s="220"/>
      <c r="U135" s="220"/>
      <c r="V135" s="220"/>
      <c r="W135" s="220"/>
    </row>
    <row r="136" ht="15.75" customHeight="1" outlineLevel="1">
      <c r="A136" s="211"/>
      <c r="B136" s="212"/>
      <c r="C136" s="213"/>
      <c r="D136" s="214" t="str">
        <f>IFERROR(VLOOKUP($C136,'PORTIFÓLIO'!C:V,2,0),"")</f>
        <v/>
      </c>
      <c r="E136" s="211" t="str">
        <f>IFERROR(VLOOKUP($C136,'PORTIFÓLIO'!C:V,3,0),"")</f>
        <v/>
      </c>
      <c r="F136" s="211" t="str">
        <f>IFERROR(VLOOKUP($C136,'PORTIFÓLIO'!C:V,4,0),"")</f>
        <v/>
      </c>
      <c r="G136" s="215" t="str">
        <f>IFERROR(VLOOKUP($C136,'PORTIFÓLIO'!C:V,5,0),"")</f>
        <v/>
      </c>
      <c r="H136" s="254" t="str">
        <f t="array" ref="H136">IFERROR(INDEX('PORTIFÓLIO'!$H$4:$H$433,MATCH($C136,'PORTIFÓLIO'!$C$4:$C$433,0)),"")</f>
        <v/>
      </c>
      <c r="I136" s="256"/>
      <c r="J136" s="218">
        <f t="shared" si="16"/>
        <v>0</v>
      </c>
      <c r="K136" s="219" t="str">
        <f t="array" ref="K136">IFERROR(I136*INDEX('PORTIFÓLIO'!$S$4:$S$433,MATCH($C136,'PORTIFÓLIO'!$C$4:$C$433,0)),"")</f>
        <v/>
      </c>
      <c r="L136" s="219" t="str">
        <f t="array" ref="L136">IFERROR(J136*INDEX('PORTIFÓLIO'!$S$4:$S$433,MATCH($C136,'PORTIFÓLIO'!$C$4:$C$433,0)),"")</f>
        <v/>
      </c>
      <c r="M136" s="220"/>
      <c r="N136" s="220"/>
      <c r="O136" s="220"/>
      <c r="P136" s="220"/>
      <c r="Q136" s="220"/>
      <c r="R136" s="220"/>
      <c r="S136" s="220"/>
      <c r="T136" s="220"/>
      <c r="U136" s="220"/>
      <c r="V136" s="220"/>
      <c r="W136" s="220"/>
    </row>
    <row r="137" ht="15.75" customHeight="1" outlineLevel="1">
      <c r="A137" s="211"/>
      <c r="B137" s="212"/>
      <c r="C137" s="213"/>
      <c r="D137" s="214" t="str">
        <f>IFERROR(VLOOKUP($C137,'PORTIFÓLIO'!C:V,2,0),"")</f>
        <v/>
      </c>
      <c r="E137" s="211" t="str">
        <f>IFERROR(VLOOKUP($C137,'PORTIFÓLIO'!C:V,3,0),"")</f>
        <v/>
      </c>
      <c r="F137" s="211" t="str">
        <f>IFERROR(VLOOKUP($C137,'PORTIFÓLIO'!C:V,4,0),"")</f>
        <v/>
      </c>
      <c r="G137" s="215" t="str">
        <f>IFERROR(VLOOKUP($C137,'PORTIFÓLIO'!C:V,5,0),"")</f>
        <v/>
      </c>
      <c r="H137" s="254" t="str">
        <f t="array" ref="H137">IFERROR(INDEX('PORTIFÓLIO'!$H$4:$H$433,MATCH($C137,'PORTIFÓLIO'!$C$4:$C$433,0)),"")</f>
        <v/>
      </c>
      <c r="I137" s="256"/>
      <c r="J137" s="218">
        <f t="shared" si="16"/>
        <v>0</v>
      </c>
      <c r="K137" s="219" t="str">
        <f t="array" ref="K137">IFERROR(I137*INDEX('PORTIFÓLIO'!$S$4:$S$433,MATCH($C137,'PORTIFÓLIO'!$C$4:$C$433,0)),"")</f>
        <v/>
      </c>
      <c r="L137" s="219" t="str">
        <f t="array" ref="L137">IFERROR(J137*INDEX('PORTIFÓLIO'!$S$4:$S$433,MATCH($C137,'PORTIFÓLIO'!$C$4:$C$433,0)),"")</f>
        <v/>
      </c>
      <c r="M137" s="220"/>
      <c r="N137" s="220"/>
      <c r="O137" s="220"/>
      <c r="P137" s="220"/>
      <c r="Q137" s="220"/>
      <c r="R137" s="220"/>
      <c r="S137" s="220"/>
      <c r="T137" s="220"/>
      <c r="U137" s="220"/>
      <c r="V137" s="220"/>
      <c r="W137" s="220"/>
    </row>
    <row r="138" ht="15.75" customHeight="1" outlineLevel="1">
      <c r="A138" s="211"/>
      <c r="B138" s="212"/>
      <c r="C138" s="213"/>
      <c r="D138" s="214" t="str">
        <f>IFERROR(VLOOKUP($C138,'PORTIFÓLIO'!C:V,2,0),"")</f>
        <v/>
      </c>
      <c r="E138" s="211" t="str">
        <f>IFERROR(VLOOKUP($C138,'PORTIFÓLIO'!C:V,3,0),"")</f>
        <v/>
      </c>
      <c r="F138" s="211" t="str">
        <f>IFERROR(VLOOKUP($C138,'PORTIFÓLIO'!C:V,4,0),"")</f>
        <v/>
      </c>
      <c r="G138" s="215" t="str">
        <f>IFERROR(VLOOKUP($C138,'PORTIFÓLIO'!C:V,5,0),"")</f>
        <v/>
      </c>
      <c r="H138" s="254" t="str">
        <f t="array" ref="H138">IFERROR(INDEX('PORTIFÓLIO'!$H$4:$H$433,MATCH($C138,'PORTIFÓLIO'!$C$4:$C$433,0)),"")</f>
        <v/>
      </c>
      <c r="I138" s="256"/>
      <c r="J138" s="218">
        <f t="shared" si="16"/>
        <v>0</v>
      </c>
      <c r="K138" s="219" t="str">
        <f t="array" ref="K138">IFERROR(I138*INDEX('PORTIFÓLIO'!$S$4:$S$433,MATCH($C138,'PORTIFÓLIO'!$C$4:$C$433,0)),"")</f>
        <v/>
      </c>
      <c r="L138" s="219" t="str">
        <f t="array" ref="L138">IFERROR(J138*INDEX('PORTIFÓLIO'!$S$4:$S$433,MATCH($C138,'PORTIFÓLIO'!$C$4:$C$433,0)),"")</f>
        <v/>
      </c>
      <c r="M138" s="220"/>
      <c r="N138" s="220"/>
      <c r="O138" s="220"/>
      <c r="P138" s="220"/>
      <c r="Q138" s="220"/>
      <c r="R138" s="220"/>
      <c r="S138" s="220"/>
      <c r="T138" s="220"/>
      <c r="U138" s="220"/>
      <c r="V138" s="220"/>
      <c r="W138" s="220"/>
    </row>
    <row r="139" ht="15.75" customHeight="1" outlineLevel="1">
      <c r="A139" s="211"/>
      <c r="B139" s="212"/>
      <c r="C139" s="213"/>
      <c r="D139" s="214" t="str">
        <f>IFERROR(VLOOKUP($C139,'PORTIFÓLIO'!C:V,2,0),"")</f>
        <v/>
      </c>
      <c r="E139" s="211" t="str">
        <f>IFERROR(VLOOKUP($C139,'PORTIFÓLIO'!C:V,3,0),"")</f>
        <v/>
      </c>
      <c r="F139" s="211" t="str">
        <f>IFERROR(VLOOKUP($C139,'PORTIFÓLIO'!C:V,4,0),"")</f>
        <v/>
      </c>
      <c r="G139" s="215" t="str">
        <f>IFERROR(VLOOKUP($C139,'PORTIFÓLIO'!C:V,5,0),"")</f>
        <v/>
      </c>
      <c r="H139" s="254" t="str">
        <f t="array" ref="H139">IFERROR(INDEX('PORTIFÓLIO'!$H$4:$H$433,MATCH($C139,'PORTIFÓLIO'!$C$4:$C$433,0)),"")</f>
        <v/>
      </c>
      <c r="I139" s="256"/>
      <c r="J139" s="218">
        <f t="shared" si="16"/>
        <v>0</v>
      </c>
      <c r="K139" s="219" t="str">
        <f t="array" ref="K139">IFERROR(I139*INDEX('PORTIFÓLIO'!$S$4:$S$433,MATCH($C139,'PORTIFÓLIO'!$C$4:$C$433,0)),"")</f>
        <v/>
      </c>
      <c r="L139" s="219" t="str">
        <f t="array" ref="L139">IFERROR(J139*INDEX('PORTIFÓLIO'!$S$4:$S$433,MATCH($C139,'PORTIFÓLIO'!$C$4:$C$433,0)),"")</f>
        <v/>
      </c>
      <c r="M139" s="220"/>
      <c r="N139" s="220"/>
      <c r="O139" s="220"/>
      <c r="P139" s="220"/>
      <c r="Q139" s="220"/>
      <c r="R139" s="220"/>
      <c r="S139" s="220"/>
      <c r="T139" s="220"/>
      <c r="U139" s="220"/>
      <c r="V139" s="220"/>
      <c r="W139" s="220"/>
    </row>
    <row r="140" ht="15.75" customHeight="1" outlineLevel="1">
      <c r="A140" s="211"/>
      <c r="B140" s="212"/>
      <c r="C140" s="213"/>
      <c r="D140" s="214" t="str">
        <f>IFERROR(VLOOKUP($C140,'PORTIFÓLIO'!C:V,2,0),"")</f>
        <v/>
      </c>
      <c r="E140" s="211" t="str">
        <f>IFERROR(VLOOKUP($C140,'PORTIFÓLIO'!C:V,3,0),"")</f>
        <v/>
      </c>
      <c r="F140" s="211" t="str">
        <f>IFERROR(VLOOKUP($C140,'PORTIFÓLIO'!C:V,4,0),"")</f>
        <v/>
      </c>
      <c r="G140" s="215" t="str">
        <f>IFERROR(VLOOKUP($C140,'PORTIFÓLIO'!C:V,5,0),"")</f>
        <v/>
      </c>
      <c r="H140" s="254" t="str">
        <f t="array" ref="H140">IFERROR(INDEX('PORTIFÓLIO'!$H$4:$H$433,MATCH($C140,'PORTIFÓLIO'!$C$4:$C$433,0)),"")</f>
        <v/>
      </c>
      <c r="I140" s="255"/>
      <c r="J140" s="218">
        <f t="shared" si="16"/>
        <v>0</v>
      </c>
      <c r="K140" s="219" t="str">
        <f t="array" ref="K140">IFERROR(I140*INDEX('PORTIFÓLIO'!$S$4:$S$433,MATCH($C140,'PORTIFÓLIO'!$C$4:$C$433,0)),"")</f>
        <v/>
      </c>
      <c r="L140" s="219" t="str">
        <f t="array" ref="L140">IFERROR(J140*INDEX('PORTIFÓLIO'!$S$4:$S$433,MATCH($C140,'PORTIFÓLIO'!$C$4:$C$433,0)),"")</f>
        <v/>
      </c>
      <c r="M140" s="220"/>
      <c r="N140" s="220"/>
      <c r="O140" s="220"/>
      <c r="P140" s="220"/>
      <c r="Q140" s="220"/>
      <c r="R140" s="220"/>
      <c r="S140" s="220"/>
      <c r="T140" s="220"/>
      <c r="U140" s="220"/>
      <c r="V140" s="220"/>
      <c r="W140" s="220"/>
    </row>
    <row r="141" ht="15.75" customHeight="1" outlineLevel="1">
      <c r="A141" s="211"/>
      <c r="B141" s="212"/>
      <c r="C141" s="213"/>
      <c r="D141" s="214" t="str">
        <f>IFERROR(VLOOKUP($C141,'PORTIFÓLIO'!C:V,2,0),"")</f>
        <v/>
      </c>
      <c r="E141" s="211" t="str">
        <f>IFERROR(VLOOKUP($C141,'PORTIFÓLIO'!C:V,3,0),"")</f>
        <v/>
      </c>
      <c r="F141" s="211" t="str">
        <f>IFERROR(VLOOKUP($C141,'PORTIFÓLIO'!C:V,4,0),"")</f>
        <v/>
      </c>
      <c r="G141" s="215" t="str">
        <f>IFERROR(VLOOKUP($C141,'PORTIFÓLIO'!C:V,5,0),"")</f>
        <v/>
      </c>
      <c r="H141" s="254" t="str">
        <f t="array" ref="H141">IFERROR(INDEX('PORTIFÓLIO'!$H$4:$H$433,MATCH($C141,'PORTIFÓLIO'!$C$4:$C$433,0)),"")</f>
        <v/>
      </c>
      <c r="I141" s="256"/>
      <c r="J141" s="218">
        <f t="shared" si="16"/>
        <v>0</v>
      </c>
      <c r="K141" s="219" t="str">
        <f t="array" ref="K141">IFERROR(I141*INDEX('PORTIFÓLIO'!$S$4:$S$433,MATCH($C141,'PORTIFÓLIO'!$C$4:$C$433,0)),"")</f>
        <v/>
      </c>
      <c r="L141" s="219" t="str">
        <f t="array" ref="L141">IFERROR(J141*INDEX('PORTIFÓLIO'!$S$4:$S$433,MATCH($C141,'PORTIFÓLIO'!$C$4:$C$433,0)),"")</f>
        <v/>
      </c>
      <c r="M141" s="220"/>
      <c r="N141" s="220"/>
      <c r="O141" s="220"/>
      <c r="P141" s="220"/>
      <c r="Q141" s="220"/>
      <c r="R141" s="220"/>
      <c r="S141" s="220"/>
      <c r="T141" s="220"/>
      <c r="U141" s="220"/>
      <c r="V141" s="220"/>
      <c r="W141" s="220"/>
    </row>
    <row r="142" ht="15.75" customHeight="1" outlineLevel="1">
      <c r="A142" s="211"/>
      <c r="B142" s="212"/>
      <c r="C142" s="213"/>
      <c r="D142" s="214" t="str">
        <f>IFERROR(VLOOKUP($C142,'PORTIFÓLIO'!C:V,2,0),"")</f>
        <v/>
      </c>
      <c r="E142" s="211" t="str">
        <f>IFERROR(VLOOKUP($C142,'PORTIFÓLIO'!C:V,3,0),"")</f>
        <v/>
      </c>
      <c r="F142" s="211" t="str">
        <f>IFERROR(VLOOKUP($C142,'PORTIFÓLIO'!C:V,4,0),"")</f>
        <v/>
      </c>
      <c r="G142" s="215" t="str">
        <f>IFERROR(VLOOKUP($C142,'PORTIFÓLIO'!C:V,5,0),"")</f>
        <v/>
      </c>
      <c r="H142" s="254" t="str">
        <f t="array" ref="H142">IFERROR(INDEX('PORTIFÓLIO'!$H$4:$H$433,MATCH($C142,'PORTIFÓLIO'!$C$4:$C$433,0)),"")</f>
        <v/>
      </c>
      <c r="I142" s="256"/>
      <c r="J142" s="218">
        <f t="shared" si="16"/>
        <v>0</v>
      </c>
      <c r="K142" s="219" t="str">
        <f t="array" ref="K142">IFERROR(I142*INDEX('PORTIFÓLIO'!$S$4:$S$433,MATCH($C142,'PORTIFÓLIO'!$C$4:$C$433,0)),"")</f>
        <v/>
      </c>
      <c r="L142" s="219" t="str">
        <f t="array" ref="L142">IFERROR(J142*INDEX('PORTIFÓLIO'!$S$4:$S$433,MATCH($C142,'PORTIFÓLIO'!$C$4:$C$433,0)),"")</f>
        <v/>
      </c>
      <c r="M142" s="220"/>
      <c r="N142" s="220"/>
      <c r="O142" s="220"/>
      <c r="P142" s="220"/>
      <c r="Q142" s="220"/>
      <c r="R142" s="220"/>
      <c r="S142" s="220"/>
      <c r="T142" s="220"/>
      <c r="U142" s="220"/>
      <c r="V142" s="220"/>
      <c r="W142" s="220"/>
    </row>
    <row r="143" ht="15.75" customHeight="1" outlineLevel="1">
      <c r="A143" s="211"/>
      <c r="B143" s="212"/>
      <c r="C143" s="213"/>
      <c r="D143" s="214" t="str">
        <f>IFERROR(VLOOKUP($C143,'PORTIFÓLIO'!C:V,2,0),"")</f>
        <v/>
      </c>
      <c r="E143" s="211" t="str">
        <f>IFERROR(VLOOKUP($C143,'PORTIFÓLIO'!C:V,3,0),"")</f>
        <v/>
      </c>
      <c r="F143" s="211" t="str">
        <f>IFERROR(VLOOKUP($C143,'PORTIFÓLIO'!C:V,4,0),"")</f>
        <v/>
      </c>
      <c r="G143" s="215" t="str">
        <f>IFERROR(VLOOKUP($C143,'PORTIFÓLIO'!C:V,5,0),"")</f>
        <v/>
      </c>
      <c r="H143" s="254" t="str">
        <f t="array" ref="H143">IFERROR(INDEX('PORTIFÓLIO'!$H$4:$H$433,MATCH($C143,'PORTIFÓLIO'!$C$4:$C$433,0)),"")</f>
        <v/>
      </c>
      <c r="I143" s="256"/>
      <c r="J143" s="218">
        <f t="shared" si="16"/>
        <v>0</v>
      </c>
      <c r="K143" s="219" t="str">
        <f t="array" ref="K143">IFERROR(I143*INDEX('PORTIFÓLIO'!$S$4:$S$433,MATCH($C143,'PORTIFÓLIO'!$C$4:$C$433,0)),"")</f>
        <v/>
      </c>
      <c r="L143" s="219" t="str">
        <f t="array" ref="L143">IFERROR(J143*INDEX('PORTIFÓLIO'!$S$4:$S$433,MATCH($C143,'PORTIFÓLIO'!$C$4:$C$433,0)),"")</f>
        <v/>
      </c>
      <c r="M143" s="220"/>
      <c r="N143" s="220"/>
      <c r="O143" s="220"/>
      <c r="P143" s="220"/>
      <c r="Q143" s="220"/>
      <c r="R143" s="220"/>
      <c r="S143" s="220"/>
      <c r="T143" s="220"/>
      <c r="U143" s="220"/>
      <c r="V143" s="220"/>
      <c r="W143" s="220"/>
    </row>
    <row r="144" ht="15.75" customHeight="1" outlineLevel="1">
      <c r="A144" s="211"/>
      <c r="B144" s="212"/>
      <c r="C144" s="213"/>
      <c r="D144" s="214" t="str">
        <f>IFERROR(VLOOKUP($C144,'PORTIFÓLIO'!C:V,2,0),"")</f>
        <v/>
      </c>
      <c r="E144" s="211" t="str">
        <f>IFERROR(VLOOKUP($C144,'PORTIFÓLIO'!C:V,3,0),"")</f>
        <v/>
      </c>
      <c r="F144" s="211" t="str">
        <f>IFERROR(VLOOKUP($C144,'PORTIFÓLIO'!C:V,4,0),"")</f>
        <v/>
      </c>
      <c r="G144" s="215" t="str">
        <f>IFERROR(VLOOKUP($C144,'PORTIFÓLIO'!C:V,5,0),"")</f>
        <v/>
      </c>
      <c r="H144" s="254" t="str">
        <f t="array" ref="H144">IFERROR(INDEX('PORTIFÓLIO'!$H$4:$H$433,MATCH($C144,'PORTIFÓLIO'!$C$4:$C$433,0)),"")</f>
        <v/>
      </c>
      <c r="I144" s="256"/>
      <c r="J144" s="218">
        <f t="shared" si="16"/>
        <v>0</v>
      </c>
      <c r="K144" s="219" t="str">
        <f t="array" ref="K144">IFERROR(I144*INDEX('PORTIFÓLIO'!$S$4:$S$433,MATCH($C144,'PORTIFÓLIO'!$C$4:$C$433,0)),"")</f>
        <v/>
      </c>
      <c r="L144" s="219" t="str">
        <f t="array" ref="L144">IFERROR(J144*INDEX('PORTIFÓLIO'!$S$4:$S$433,MATCH($C144,'PORTIFÓLIO'!$C$4:$C$433,0)),"")</f>
        <v/>
      </c>
      <c r="M144" s="220"/>
      <c r="N144" s="220"/>
      <c r="O144" s="220"/>
      <c r="P144" s="220"/>
      <c r="Q144" s="220"/>
      <c r="R144" s="220"/>
      <c r="S144" s="220"/>
      <c r="T144" s="220"/>
      <c r="U144" s="220"/>
      <c r="V144" s="220"/>
      <c r="W144" s="220"/>
    </row>
    <row r="145" ht="15.75" customHeight="1" outlineLevel="1">
      <c r="A145" s="211"/>
      <c r="B145" s="212"/>
      <c r="C145" s="213"/>
      <c r="D145" s="214" t="str">
        <f>IFERROR(VLOOKUP($C145,'PORTIFÓLIO'!C:V,2,0),"")</f>
        <v/>
      </c>
      <c r="E145" s="211" t="str">
        <f>IFERROR(VLOOKUP($C145,'PORTIFÓLIO'!C:V,3,0),"")</f>
        <v/>
      </c>
      <c r="F145" s="211" t="str">
        <f>IFERROR(VLOOKUP($C145,'PORTIFÓLIO'!C:V,4,0),"")</f>
        <v/>
      </c>
      <c r="G145" s="215" t="str">
        <f>IFERROR(VLOOKUP($C145,'PORTIFÓLIO'!C:V,5,0),"")</f>
        <v/>
      </c>
      <c r="H145" s="254" t="str">
        <f t="array" ref="H145">IFERROR(INDEX('PORTIFÓLIO'!$H$4:$H$433,MATCH($C145,'PORTIFÓLIO'!$C$4:$C$433,0)),"")</f>
        <v/>
      </c>
      <c r="I145" s="256"/>
      <c r="J145" s="218">
        <f t="shared" si="16"/>
        <v>0</v>
      </c>
      <c r="K145" s="219" t="str">
        <f t="array" ref="K145">IFERROR(I145*INDEX('PORTIFÓLIO'!$S$4:$S$433,MATCH($C145,'PORTIFÓLIO'!$C$4:$C$433,0)),"")</f>
        <v/>
      </c>
      <c r="L145" s="219" t="str">
        <f t="array" ref="L145">IFERROR(J145*INDEX('PORTIFÓLIO'!$S$4:$S$433,MATCH($C145,'PORTIFÓLIO'!$C$4:$C$433,0)),"")</f>
        <v/>
      </c>
      <c r="M145" s="220"/>
      <c r="N145" s="220"/>
      <c r="O145" s="220"/>
      <c r="P145" s="220"/>
      <c r="Q145" s="220"/>
      <c r="R145" s="220"/>
      <c r="S145" s="220"/>
      <c r="T145" s="220"/>
      <c r="U145" s="220"/>
      <c r="V145" s="220"/>
      <c r="W145" s="220"/>
    </row>
    <row r="146" ht="15.75" customHeight="1" outlineLevel="1">
      <c r="A146" s="211"/>
      <c r="B146" s="212"/>
      <c r="C146" s="213"/>
      <c r="D146" s="214" t="str">
        <f>IFERROR(VLOOKUP($C146,'PORTIFÓLIO'!C:V,2,0),"")</f>
        <v/>
      </c>
      <c r="E146" s="211" t="str">
        <f>IFERROR(VLOOKUP($C146,'PORTIFÓLIO'!C:V,3,0),"")</f>
        <v/>
      </c>
      <c r="F146" s="211" t="str">
        <f>IFERROR(VLOOKUP($C146,'PORTIFÓLIO'!C:V,4,0),"")</f>
        <v/>
      </c>
      <c r="G146" s="215" t="str">
        <f>IFERROR(VLOOKUP($C146,'PORTIFÓLIO'!C:V,5,0),"")</f>
        <v/>
      </c>
      <c r="H146" s="254" t="str">
        <f t="array" ref="H146">IFERROR(INDEX('PORTIFÓLIO'!$H$4:$H$433,MATCH($C146,'PORTIFÓLIO'!$C$4:$C$433,0)),"")</f>
        <v/>
      </c>
      <c r="I146" s="256"/>
      <c r="J146" s="218">
        <f t="shared" si="16"/>
        <v>0</v>
      </c>
      <c r="K146" s="219" t="str">
        <f t="array" ref="K146">IFERROR(I146*INDEX('PORTIFÓLIO'!$S$4:$S$433,MATCH($C146,'PORTIFÓLIO'!$C$4:$C$433,0)),"")</f>
        <v/>
      </c>
      <c r="L146" s="219" t="str">
        <f t="array" ref="L146">IFERROR(J146*INDEX('PORTIFÓLIO'!$S$4:$S$433,MATCH($C146,'PORTIFÓLIO'!$C$4:$C$433,0)),"")</f>
        <v/>
      </c>
      <c r="M146" s="220"/>
      <c r="N146" s="220"/>
      <c r="O146" s="220"/>
      <c r="P146" s="220"/>
      <c r="Q146" s="220"/>
      <c r="R146" s="220"/>
      <c r="S146" s="220"/>
      <c r="T146" s="220"/>
      <c r="U146" s="220"/>
      <c r="V146" s="220"/>
      <c r="W146" s="220"/>
    </row>
    <row r="147" ht="15.75" customHeight="1" outlineLevel="1">
      <c r="A147" s="211"/>
      <c r="B147" s="227"/>
      <c r="C147" s="211"/>
      <c r="D147" s="214" t="str">
        <f>IFERROR(VLOOKUP($C147,'PORTIFÓLIO'!C:V,2,0),"")</f>
        <v/>
      </c>
      <c r="E147" s="211" t="str">
        <f>IFERROR(VLOOKUP($C147,'PORTIFÓLIO'!C:V,3,0),"")</f>
        <v/>
      </c>
      <c r="F147" s="211" t="str">
        <f>IFERROR(VLOOKUP($C147,'PORTIFÓLIO'!C:V,4,0),"")</f>
        <v/>
      </c>
      <c r="G147" s="215" t="str">
        <f>IFERROR(VLOOKUP($C147,'PORTIFÓLIO'!C:V,5,0),"")</f>
        <v/>
      </c>
      <c r="H147" s="254" t="str">
        <f t="array" ref="H147">IFERROR(INDEX('PORTIFÓLIO'!$H$4:$H$433,MATCH($C147,'PORTIFÓLIO'!$C$4:$C$433,0)),"")</f>
        <v/>
      </c>
      <c r="I147" s="256"/>
      <c r="J147" s="218"/>
      <c r="K147" s="219" t="str">
        <f t="array" ref="K147">IFERROR(I147*INDEX('PORTIFÓLIO'!$S$4:$S$433,MATCH($C147,'PORTIFÓLIO'!$C$4:$C$433,0)),"")</f>
        <v/>
      </c>
      <c r="L147" s="219" t="str">
        <f t="array" ref="L147">IFERROR(J147*INDEX('PORTIFÓLIO'!$S$4:$S$433,MATCH($C147,'PORTIFÓLIO'!$C$4:$C$433,0)),"")</f>
        <v/>
      </c>
      <c r="M147" s="220"/>
      <c r="N147" s="220"/>
      <c r="O147" s="220"/>
      <c r="P147" s="220"/>
      <c r="Q147" s="220"/>
      <c r="R147" s="220"/>
      <c r="S147" s="220"/>
      <c r="T147" s="220"/>
      <c r="U147" s="220"/>
      <c r="V147" s="220"/>
      <c r="W147" s="220"/>
    </row>
    <row r="148" ht="15.75" customHeight="1">
      <c r="A148" s="229" t="s">
        <v>1192</v>
      </c>
      <c r="B148" s="230"/>
      <c r="C148" s="231"/>
      <c r="D148" s="232"/>
      <c r="E148" s="231"/>
      <c r="F148" s="231"/>
      <c r="G148" s="233"/>
      <c r="H148" s="233"/>
      <c r="I148" s="258"/>
      <c r="J148" s="236"/>
      <c r="K148" s="237">
        <f t="shared" ref="K148:L148" si="17">SUBTOTAL(9,K149:K162)</f>
        <v>57.21464</v>
      </c>
      <c r="L148" s="237">
        <f t="shared" si="17"/>
        <v>6865.7568</v>
      </c>
      <c r="M148" s="220"/>
      <c r="N148" s="220"/>
      <c r="O148" s="220"/>
      <c r="P148" s="220"/>
      <c r="Q148" s="220"/>
      <c r="R148" s="220"/>
      <c r="S148" s="220"/>
      <c r="T148" s="220"/>
      <c r="U148" s="220"/>
      <c r="V148" s="220"/>
      <c r="W148" s="220"/>
    </row>
    <row r="149" ht="15.75" customHeight="1" outlineLevel="1">
      <c r="A149" s="213"/>
      <c r="B149" s="212" t="s">
        <v>0</v>
      </c>
      <c r="C149" s="213" t="s">
        <v>434</v>
      </c>
      <c r="D149" s="214" t="str">
        <f>IFERROR(VLOOKUP($C149,'PORTIFÓLIO'!C:V,2,0),"")</f>
        <v>AZOXISTROBINA + TEBUCONAZOL</v>
      </c>
      <c r="E149" s="211" t="str">
        <f>IFERROR(VLOOKUP($C149,'PORTIFÓLIO'!C:V,3,0),"")</f>
        <v>120 + 200</v>
      </c>
      <c r="F149" s="211" t="str">
        <f>IFERROR(VLOOKUP($C149,'PORTIFÓLIO'!C:V,4,0),"")</f>
        <v>L</v>
      </c>
      <c r="G149" s="225" t="str">
        <f>IFERROR(VLOOKUP($C149,'PORTIFÓLIO'!C:V,5,0),"")</f>
        <v>📄 Ver bula</v>
      </c>
      <c r="H149" s="254">
        <f t="array" ref="H149">IFERROR(INDEX('PORTIFÓLIO'!$H$4:$H$433,MATCH($C149,'PORTIFÓLIO'!$C$4:$C$433,0)),"")</f>
        <v>0.5</v>
      </c>
      <c r="I149" s="255">
        <v>0.5</v>
      </c>
      <c r="J149" s="218">
        <f t="shared" ref="J149:J163" si="18">I149*$B$2</f>
        <v>60</v>
      </c>
      <c r="K149" s="219">
        <f t="array" ref="K149">IFERROR(I149*INDEX('PORTIFÓLIO'!$S$4:$S$433,MATCH($C149,'PORTIFÓLIO'!$C$4:$C$433,0)),"")</f>
        <v>17.66448</v>
      </c>
      <c r="L149" s="219">
        <f t="array" ref="L149">IFERROR(J149*INDEX('PORTIFÓLIO'!$S$4:$S$433,MATCH($C149,'PORTIFÓLIO'!$C$4:$C$433,0)),"")</f>
        <v>2119.7376</v>
      </c>
      <c r="M149" s="220"/>
      <c r="N149" s="220"/>
      <c r="O149" s="220"/>
      <c r="P149" s="220"/>
      <c r="Q149" s="220"/>
      <c r="R149" s="220"/>
      <c r="S149" s="220"/>
      <c r="T149" s="220"/>
      <c r="U149" s="220"/>
      <c r="V149" s="220"/>
      <c r="W149" s="220"/>
    </row>
    <row r="150" ht="15.75" customHeight="1" outlineLevel="1">
      <c r="A150" s="211"/>
      <c r="B150" s="212" t="s">
        <v>0</v>
      </c>
      <c r="C150" s="213" t="s">
        <v>572</v>
      </c>
      <c r="D150" s="214" t="str">
        <f>IFERROR(VLOOKUP($C150,'PORTIFÓLIO'!C:V,2,0),"")</f>
        <v>CLOROTALONIL</v>
      </c>
      <c r="E150" s="211">
        <f>IFERROR(VLOOKUP($C150,'PORTIFÓLIO'!C:V,3,0),"")</f>
        <v>720</v>
      </c>
      <c r="F150" s="211" t="str">
        <f>IFERROR(VLOOKUP($C150,'PORTIFÓLIO'!C:V,4,0),"")</f>
        <v>KG</v>
      </c>
      <c r="G150" s="225" t="str">
        <f>IFERROR(VLOOKUP($C150,'PORTIFÓLIO'!C:V,5,0),"")</f>
        <v>📄 Ver bula</v>
      </c>
      <c r="H150" s="254">
        <f t="array" ref="H150">IFERROR(INDEX('PORTIFÓLIO'!$H$4:$H$433,MATCH($C150,'PORTIFÓLIO'!$C$4:$C$433,0)),"")</f>
        <v>1.5</v>
      </c>
      <c r="I150" s="255">
        <v>1.5</v>
      </c>
      <c r="J150" s="218">
        <f t="shared" si="18"/>
        <v>180</v>
      </c>
      <c r="K150" s="219">
        <f t="array" ref="K150">IFERROR(I150*INDEX('PORTIFÓLIO'!$S$4:$S$433,MATCH($C150,'PORTIFÓLIO'!$C$4:$C$433,0)),"")</f>
        <v>36.34416</v>
      </c>
      <c r="L150" s="219">
        <f t="array" ref="L150">IFERROR(J150*INDEX('PORTIFÓLIO'!$S$4:$S$433,MATCH($C150,'PORTIFÓLIO'!$C$4:$C$433,0)),"")</f>
        <v>4361.2992</v>
      </c>
      <c r="M150" s="220"/>
      <c r="N150" s="220"/>
      <c r="O150" s="220"/>
      <c r="P150" s="220"/>
      <c r="Q150" s="220"/>
      <c r="R150" s="220"/>
      <c r="S150" s="220"/>
      <c r="T150" s="220"/>
      <c r="U150" s="220"/>
      <c r="V150" s="220"/>
      <c r="W150" s="220"/>
    </row>
    <row r="151" ht="15.75" customHeight="1" outlineLevel="1">
      <c r="A151" s="211"/>
      <c r="B151" s="212" t="s">
        <v>6</v>
      </c>
      <c r="C151" s="213" t="s">
        <v>354</v>
      </c>
      <c r="D151" s="214" t="str">
        <f>IFERROR(VLOOKUP($C151,'PORTIFÓLIO'!C:V,2,0),"")</f>
        <v>OLEO MINERAL</v>
      </c>
      <c r="E151" s="211">
        <f>IFERROR(VLOOKUP($C151,'PORTIFÓLIO'!C:V,3,0),"")</f>
        <v>761</v>
      </c>
      <c r="F151" s="211" t="str">
        <f>IFERROR(VLOOKUP($C151,'PORTIFÓLIO'!C:V,4,0),"")</f>
        <v>L</v>
      </c>
      <c r="G151" s="225" t="str">
        <f>IFERROR(VLOOKUP($C151,'PORTIFÓLIO'!C:V,5,0),"")</f>
        <v>📄 Ver bula</v>
      </c>
      <c r="H151" s="254">
        <f t="array" ref="H151">IFERROR(INDEX('PORTIFÓLIO'!$H$4:$H$433,MATCH($C151,'PORTIFÓLIO'!$C$4:$C$433,0)),"")</f>
        <v>0.2</v>
      </c>
      <c r="I151" s="255">
        <v>0.2</v>
      </c>
      <c r="J151" s="218">
        <f t="shared" si="18"/>
        <v>24</v>
      </c>
      <c r="K151" s="219">
        <f t="array" ref="K151">IFERROR(I151*INDEX('PORTIFÓLIO'!$S$4:$S$433,MATCH($C151,'PORTIFÓLIO'!$C$4:$C$433,0)),"")</f>
        <v>3.206</v>
      </c>
      <c r="L151" s="219">
        <f t="array" ref="L151">IFERROR(J151*INDEX('PORTIFÓLIO'!$S$4:$S$433,MATCH($C151,'PORTIFÓLIO'!$C$4:$C$433,0)),"")</f>
        <v>384.72</v>
      </c>
      <c r="M151" s="220"/>
      <c r="N151" s="220"/>
      <c r="O151" s="220"/>
      <c r="P151" s="220"/>
      <c r="Q151" s="220"/>
      <c r="R151" s="220"/>
      <c r="S151" s="220"/>
      <c r="T151" s="220"/>
      <c r="U151" s="220"/>
      <c r="V151" s="220"/>
      <c r="W151" s="220"/>
    </row>
    <row r="152" ht="15.75" customHeight="1" outlineLevel="1">
      <c r="A152" s="211"/>
      <c r="B152" s="212"/>
      <c r="C152" s="213"/>
      <c r="D152" s="214" t="str">
        <f>IFERROR(VLOOKUP($C152,'PORTIFÓLIO'!C:V,2,0),"")</f>
        <v/>
      </c>
      <c r="E152" s="211" t="str">
        <f>IFERROR(VLOOKUP($C152,'PORTIFÓLIO'!C:V,3,0),"")</f>
        <v/>
      </c>
      <c r="F152" s="211" t="str">
        <f>IFERROR(VLOOKUP($C152,'PORTIFÓLIO'!C:V,4,0),"")</f>
        <v/>
      </c>
      <c r="G152" s="215" t="str">
        <f>IFERROR(VLOOKUP($C152,'PORTIFÓLIO'!C:V,5,0),"")</f>
        <v/>
      </c>
      <c r="H152" s="254" t="str">
        <f t="array" ref="H152">IFERROR(INDEX('PORTIFÓLIO'!$H$4:$H$433,MATCH($C152,'PORTIFÓLIO'!$C$4:$C$433,0)),"")</f>
        <v/>
      </c>
      <c r="I152" s="256"/>
      <c r="J152" s="218">
        <f t="shared" si="18"/>
        <v>0</v>
      </c>
      <c r="K152" s="219" t="str">
        <f t="array" ref="K152">IFERROR(I152*INDEX('PORTIFÓLIO'!$S$4:$S$433,MATCH($C152,'PORTIFÓLIO'!$C$4:$C$433,0)),"")</f>
        <v/>
      </c>
      <c r="L152" s="219" t="str">
        <f t="array" ref="L152">IFERROR(J152*INDEX('PORTIFÓLIO'!$S$4:$S$433,MATCH($C152,'PORTIFÓLIO'!$C$4:$C$433,0)),"")</f>
        <v/>
      </c>
      <c r="M152" s="220"/>
      <c r="N152" s="220"/>
      <c r="O152" s="220"/>
      <c r="P152" s="220"/>
      <c r="Q152" s="220"/>
      <c r="R152" s="220"/>
      <c r="S152" s="220"/>
      <c r="T152" s="220"/>
      <c r="U152" s="220"/>
      <c r="V152" s="220"/>
      <c r="W152" s="220"/>
    </row>
    <row r="153" ht="15.75" customHeight="1" outlineLevel="1">
      <c r="A153" s="211"/>
      <c r="B153" s="212"/>
      <c r="C153" s="213"/>
      <c r="D153" s="214" t="str">
        <f>IFERROR(VLOOKUP($C153,'PORTIFÓLIO'!C:V,2,0),"")</f>
        <v/>
      </c>
      <c r="E153" s="211" t="str">
        <f>IFERROR(VLOOKUP($C153,'PORTIFÓLIO'!C:V,3,0),"")</f>
        <v/>
      </c>
      <c r="F153" s="211" t="str">
        <f>IFERROR(VLOOKUP($C153,'PORTIFÓLIO'!C:V,4,0),"")</f>
        <v/>
      </c>
      <c r="G153" s="215" t="str">
        <f>IFERROR(VLOOKUP($C153,'PORTIFÓLIO'!C:V,5,0),"")</f>
        <v/>
      </c>
      <c r="H153" s="254" t="str">
        <f t="array" ref="H153">IFERROR(INDEX('PORTIFÓLIO'!$H$4:$H$433,MATCH($C153,'PORTIFÓLIO'!$C$4:$C$433,0)),"")</f>
        <v/>
      </c>
      <c r="I153" s="256"/>
      <c r="J153" s="218">
        <f t="shared" si="18"/>
        <v>0</v>
      </c>
      <c r="K153" s="219" t="str">
        <f t="array" ref="K153">IFERROR(I153*INDEX('PORTIFÓLIO'!$S$4:$S$433,MATCH($C153,'PORTIFÓLIO'!$C$4:$C$433,0)),"")</f>
        <v/>
      </c>
      <c r="L153" s="219" t="str">
        <f t="array" ref="L153">IFERROR(J153*INDEX('PORTIFÓLIO'!$S$4:$S$433,MATCH($C153,'PORTIFÓLIO'!$C$4:$C$433,0)),"")</f>
        <v/>
      </c>
      <c r="M153" s="220"/>
      <c r="N153" s="220"/>
      <c r="O153" s="220"/>
      <c r="P153" s="220"/>
      <c r="Q153" s="220"/>
      <c r="R153" s="220"/>
      <c r="S153" s="220"/>
      <c r="T153" s="220"/>
      <c r="U153" s="220"/>
      <c r="V153" s="220"/>
      <c r="W153" s="220"/>
    </row>
    <row r="154" ht="15.75" customHeight="1" outlineLevel="1">
      <c r="A154" s="211"/>
      <c r="B154" s="212"/>
      <c r="C154" s="213"/>
      <c r="D154" s="214" t="str">
        <f>IFERROR(VLOOKUP($C154,'PORTIFÓLIO'!C:V,2,0),"")</f>
        <v/>
      </c>
      <c r="E154" s="211" t="str">
        <f>IFERROR(VLOOKUP($C154,'PORTIFÓLIO'!C:V,3,0),"")</f>
        <v/>
      </c>
      <c r="F154" s="211" t="str">
        <f>IFERROR(VLOOKUP($C154,'PORTIFÓLIO'!C:V,4,0),"")</f>
        <v/>
      </c>
      <c r="G154" s="215" t="str">
        <f>IFERROR(VLOOKUP($C154,'PORTIFÓLIO'!C:V,5,0),"")</f>
        <v/>
      </c>
      <c r="H154" s="254" t="str">
        <f t="array" ref="H154">IFERROR(INDEX('PORTIFÓLIO'!$H$4:$H$433,MATCH($C154,'PORTIFÓLIO'!$C$4:$C$433,0)),"")</f>
        <v/>
      </c>
      <c r="I154" s="256"/>
      <c r="J154" s="218">
        <f t="shared" si="18"/>
        <v>0</v>
      </c>
      <c r="K154" s="219" t="str">
        <f t="array" ref="K154">IFERROR(I154*INDEX('PORTIFÓLIO'!$S$4:$S$433,MATCH($C154,'PORTIFÓLIO'!$C$4:$C$433,0)),"")</f>
        <v/>
      </c>
      <c r="L154" s="219" t="str">
        <f t="array" ref="L154">IFERROR(J154*INDEX('PORTIFÓLIO'!$S$4:$S$433,MATCH($C154,'PORTIFÓLIO'!$C$4:$C$433,0)),"")</f>
        <v/>
      </c>
      <c r="M154" s="220"/>
      <c r="N154" s="220"/>
      <c r="O154" s="220"/>
      <c r="P154" s="220"/>
      <c r="Q154" s="220"/>
      <c r="R154" s="220"/>
      <c r="S154" s="220"/>
      <c r="T154" s="220"/>
      <c r="U154" s="220"/>
      <c r="V154" s="220"/>
      <c r="W154" s="220"/>
    </row>
    <row r="155" ht="15.75" customHeight="1" outlineLevel="1">
      <c r="A155" s="211"/>
      <c r="B155" s="212"/>
      <c r="C155" s="213"/>
      <c r="D155" s="214" t="str">
        <f>IFERROR(VLOOKUP($C155,'PORTIFÓLIO'!C:V,2,0),"")</f>
        <v/>
      </c>
      <c r="E155" s="211" t="str">
        <f>IFERROR(VLOOKUP($C155,'PORTIFÓLIO'!C:V,3,0),"")</f>
        <v/>
      </c>
      <c r="F155" s="211" t="str">
        <f>IFERROR(VLOOKUP($C155,'PORTIFÓLIO'!C:V,4,0),"")</f>
        <v/>
      </c>
      <c r="G155" s="215" t="str">
        <f>IFERROR(VLOOKUP($C155,'PORTIFÓLIO'!C:V,5,0),"")</f>
        <v/>
      </c>
      <c r="H155" s="254" t="str">
        <f t="array" ref="H155">IFERROR(INDEX('PORTIFÓLIO'!$H$4:$H$433,MATCH($C155,'PORTIFÓLIO'!$C$4:$C$433,0)),"")</f>
        <v/>
      </c>
      <c r="I155" s="256"/>
      <c r="J155" s="218">
        <f t="shared" si="18"/>
        <v>0</v>
      </c>
      <c r="K155" s="219" t="str">
        <f t="array" ref="K155">IFERROR(I155*INDEX('PORTIFÓLIO'!$S$4:$S$433,MATCH($C155,'PORTIFÓLIO'!$C$4:$C$433,0)),"")</f>
        <v/>
      </c>
      <c r="L155" s="219" t="str">
        <f t="array" ref="L155">IFERROR(J155*INDEX('PORTIFÓLIO'!$S$4:$S$433,MATCH($C155,'PORTIFÓLIO'!$C$4:$C$433,0)),"")</f>
        <v/>
      </c>
      <c r="M155" s="220"/>
      <c r="N155" s="220"/>
      <c r="O155" s="220"/>
      <c r="P155" s="220"/>
      <c r="Q155" s="220"/>
      <c r="R155" s="220"/>
      <c r="S155" s="220"/>
      <c r="T155" s="220"/>
      <c r="U155" s="220"/>
      <c r="V155" s="220"/>
      <c r="W155" s="220"/>
    </row>
    <row r="156" ht="15.75" customHeight="1" outlineLevel="1">
      <c r="A156" s="211"/>
      <c r="B156" s="212"/>
      <c r="C156" s="213"/>
      <c r="D156" s="214" t="str">
        <f>IFERROR(VLOOKUP($C156,'PORTIFÓLIO'!C:V,2,0),"")</f>
        <v/>
      </c>
      <c r="E156" s="211" t="str">
        <f>IFERROR(VLOOKUP($C156,'PORTIFÓLIO'!C:V,3,0),"")</f>
        <v/>
      </c>
      <c r="F156" s="211" t="str">
        <f>IFERROR(VLOOKUP($C156,'PORTIFÓLIO'!C:V,4,0),"")</f>
        <v/>
      </c>
      <c r="G156" s="215" t="str">
        <f>IFERROR(VLOOKUP($C156,'PORTIFÓLIO'!C:V,5,0),"")</f>
        <v/>
      </c>
      <c r="H156" s="254" t="str">
        <f t="array" ref="H156">IFERROR(INDEX('PORTIFÓLIO'!$H$4:$H$433,MATCH($C156,'PORTIFÓLIO'!$C$4:$C$433,0)),"")</f>
        <v/>
      </c>
      <c r="I156" s="256"/>
      <c r="J156" s="218">
        <f t="shared" si="18"/>
        <v>0</v>
      </c>
      <c r="K156" s="219" t="str">
        <f t="array" ref="K156">IFERROR(I156*INDEX('PORTIFÓLIO'!$S$4:$S$433,MATCH($C156,'PORTIFÓLIO'!$C$4:$C$433,0)),"")</f>
        <v/>
      </c>
      <c r="L156" s="219" t="str">
        <f t="array" ref="L156">IFERROR(J156*INDEX('PORTIFÓLIO'!$S$4:$S$433,MATCH($C156,'PORTIFÓLIO'!$C$4:$C$433,0)),"")</f>
        <v/>
      </c>
      <c r="M156" s="220"/>
      <c r="N156" s="220"/>
      <c r="O156" s="220"/>
      <c r="P156" s="220"/>
      <c r="Q156" s="220"/>
      <c r="R156" s="220"/>
      <c r="S156" s="220"/>
      <c r="T156" s="220"/>
      <c r="U156" s="220"/>
      <c r="V156" s="220"/>
      <c r="W156" s="220"/>
    </row>
    <row r="157" ht="15.75" customHeight="1" outlineLevel="1">
      <c r="A157" s="211"/>
      <c r="B157" s="212"/>
      <c r="C157" s="213"/>
      <c r="D157" s="214" t="str">
        <f>IFERROR(VLOOKUP($C157,'PORTIFÓLIO'!C:V,2,0),"")</f>
        <v/>
      </c>
      <c r="E157" s="211" t="str">
        <f>IFERROR(VLOOKUP($C157,'PORTIFÓLIO'!C:V,3,0),"")</f>
        <v/>
      </c>
      <c r="F157" s="211" t="str">
        <f>IFERROR(VLOOKUP($C157,'PORTIFÓLIO'!C:V,4,0),"")</f>
        <v/>
      </c>
      <c r="G157" s="215" t="str">
        <f>IFERROR(VLOOKUP($C157,'PORTIFÓLIO'!C:V,5,0),"")</f>
        <v/>
      </c>
      <c r="H157" s="254" t="str">
        <f t="array" ref="H157">IFERROR(INDEX('PORTIFÓLIO'!$H$4:$H$433,MATCH($C157,'PORTIFÓLIO'!$C$4:$C$433,0)),"")</f>
        <v/>
      </c>
      <c r="I157" s="255"/>
      <c r="J157" s="218">
        <f t="shared" si="18"/>
        <v>0</v>
      </c>
      <c r="K157" s="219" t="str">
        <f t="array" ref="K157">IFERROR(I157*INDEX('PORTIFÓLIO'!$S$4:$S$433,MATCH($C157,'PORTIFÓLIO'!$C$4:$C$433,0)),"")</f>
        <v/>
      </c>
      <c r="L157" s="219" t="str">
        <f t="array" ref="L157">IFERROR(J157*INDEX('PORTIFÓLIO'!$S$4:$S$433,MATCH($C157,'PORTIFÓLIO'!$C$4:$C$433,0)),"")</f>
        <v/>
      </c>
      <c r="M157" s="220"/>
      <c r="N157" s="220"/>
      <c r="O157" s="220"/>
      <c r="P157" s="220"/>
      <c r="Q157" s="220"/>
      <c r="R157" s="220"/>
      <c r="S157" s="220"/>
      <c r="T157" s="220"/>
      <c r="U157" s="220"/>
      <c r="V157" s="220"/>
      <c r="W157" s="220"/>
    </row>
    <row r="158" ht="15.75" customHeight="1" outlineLevel="1">
      <c r="A158" s="211"/>
      <c r="B158" s="212"/>
      <c r="C158" s="213"/>
      <c r="D158" s="214" t="str">
        <f>IFERROR(VLOOKUP($C158,'PORTIFÓLIO'!C:V,2,0),"")</f>
        <v/>
      </c>
      <c r="E158" s="211" t="str">
        <f>IFERROR(VLOOKUP($C158,'PORTIFÓLIO'!C:V,3,0),"")</f>
        <v/>
      </c>
      <c r="F158" s="211" t="str">
        <f>IFERROR(VLOOKUP($C158,'PORTIFÓLIO'!C:V,4,0),"")</f>
        <v/>
      </c>
      <c r="G158" s="215" t="str">
        <f>IFERROR(VLOOKUP($C158,'PORTIFÓLIO'!C:V,5,0),"")</f>
        <v/>
      </c>
      <c r="H158" s="254" t="str">
        <f t="array" ref="H158">IFERROR(INDEX('PORTIFÓLIO'!$H$4:$H$433,MATCH($C158,'PORTIFÓLIO'!$C$4:$C$433,0)),"")</f>
        <v/>
      </c>
      <c r="I158" s="256"/>
      <c r="J158" s="218">
        <f t="shared" si="18"/>
        <v>0</v>
      </c>
      <c r="K158" s="219" t="str">
        <f t="array" ref="K158">IFERROR(I158*INDEX('PORTIFÓLIO'!$S$4:$S$433,MATCH($C158,'PORTIFÓLIO'!$C$4:$C$433,0)),"")</f>
        <v/>
      </c>
      <c r="L158" s="219" t="str">
        <f t="array" ref="L158">IFERROR(J158*INDEX('PORTIFÓLIO'!$S$4:$S$433,MATCH($C158,'PORTIFÓLIO'!$C$4:$C$433,0)),"")</f>
        <v/>
      </c>
      <c r="M158" s="220"/>
      <c r="N158" s="220"/>
      <c r="O158" s="220"/>
      <c r="P158" s="220"/>
      <c r="Q158" s="220"/>
      <c r="R158" s="220"/>
      <c r="S158" s="220"/>
      <c r="T158" s="220"/>
      <c r="U158" s="220"/>
      <c r="V158" s="220"/>
      <c r="W158" s="220"/>
    </row>
    <row r="159" ht="15.75" customHeight="1" outlineLevel="1">
      <c r="A159" s="211"/>
      <c r="B159" s="212"/>
      <c r="C159" s="213"/>
      <c r="D159" s="214" t="str">
        <f>IFERROR(VLOOKUP($C159,'PORTIFÓLIO'!C:V,2,0),"")</f>
        <v/>
      </c>
      <c r="E159" s="211" t="str">
        <f>IFERROR(VLOOKUP($C159,'PORTIFÓLIO'!C:V,3,0),"")</f>
        <v/>
      </c>
      <c r="F159" s="211" t="str">
        <f>IFERROR(VLOOKUP($C159,'PORTIFÓLIO'!C:V,4,0),"")</f>
        <v/>
      </c>
      <c r="G159" s="215" t="str">
        <f>IFERROR(VLOOKUP($C159,'PORTIFÓLIO'!C:V,5,0),"")</f>
        <v/>
      </c>
      <c r="H159" s="254" t="str">
        <f t="array" ref="H159">IFERROR(INDEX('PORTIFÓLIO'!$H$4:$H$433,MATCH($C159,'PORTIFÓLIO'!$C$4:$C$433,0)),"")</f>
        <v/>
      </c>
      <c r="I159" s="256"/>
      <c r="J159" s="218">
        <f t="shared" si="18"/>
        <v>0</v>
      </c>
      <c r="K159" s="219" t="str">
        <f t="array" ref="K159">IFERROR(I159*INDEX('PORTIFÓLIO'!$S$4:$S$433,MATCH($C159,'PORTIFÓLIO'!$C$4:$C$433,0)),"")</f>
        <v/>
      </c>
      <c r="L159" s="219" t="str">
        <f t="array" ref="L159">IFERROR(J159*INDEX('PORTIFÓLIO'!$S$4:$S$433,MATCH($C159,'PORTIFÓLIO'!$C$4:$C$433,0)),"")</f>
        <v/>
      </c>
      <c r="M159" s="220"/>
      <c r="N159" s="220"/>
      <c r="O159" s="220"/>
      <c r="P159" s="220"/>
      <c r="Q159" s="220"/>
      <c r="R159" s="220"/>
      <c r="S159" s="220"/>
      <c r="T159" s="220"/>
      <c r="U159" s="220"/>
      <c r="V159" s="220"/>
      <c r="W159" s="220"/>
    </row>
    <row r="160" ht="15.75" customHeight="1" outlineLevel="1">
      <c r="A160" s="211"/>
      <c r="B160" s="212"/>
      <c r="C160" s="213"/>
      <c r="D160" s="214" t="str">
        <f>IFERROR(VLOOKUP($C160,'PORTIFÓLIO'!C:V,2,0),"")</f>
        <v/>
      </c>
      <c r="E160" s="211" t="str">
        <f>IFERROR(VLOOKUP($C160,'PORTIFÓLIO'!C:V,3,0),"")</f>
        <v/>
      </c>
      <c r="F160" s="211" t="str">
        <f>IFERROR(VLOOKUP($C160,'PORTIFÓLIO'!C:V,4,0),"")</f>
        <v/>
      </c>
      <c r="G160" s="215" t="str">
        <f>IFERROR(VLOOKUP($C160,'PORTIFÓLIO'!C:V,5,0),"")</f>
        <v/>
      </c>
      <c r="H160" s="254" t="str">
        <f t="array" ref="H160">IFERROR(INDEX('PORTIFÓLIO'!$H$4:$H$433,MATCH($C160,'PORTIFÓLIO'!$C$4:$C$433,0)),"")</f>
        <v/>
      </c>
      <c r="I160" s="256"/>
      <c r="J160" s="218">
        <f t="shared" si="18"/>
        <v>0</v>
      </c>
      <c r="K160" s="219" t="str">
        <f t="array" ref="K160">IFERROR(I160*INDEX('PORTIFÓLIO'!$S$4:$S$433,MATCH($C160,'PORTIFÓLIO'!$C$4:$C$433,0)),"")</f>
        <v/>
      </c>
      <c r="L160" s="219" t="str">
        <f t="array" ref="L160">IFERROR(J160*INDEX('PORTIFÓLIO'!$S$4:$S$433,MATCH($C160,'PORTIFÓLIO'!$C$4:$C$433,0)),"")</f>
        <v/>
      </c>
      <c r="M160" s="220"/>
      <c r="N160" s="220"/>
      <c r="O160" s="220"/>
      <c r="P160" s="220"/>
      <c r="Q160" s="220"/>
      <c r="R160" s="220"/>
      <c r="S160" s="220"/>
      <c r="T160" s="220"/>
      <c r="U160" s="220"/>
      <c r="V160" s="220"/>
      <c r="W160" s="220"/>
    </row>
    <row r="161" ht="15.75" customHeight="1" outlineLevel="1">
      <c r="A161" s="211"/>
      <c r="B161" s="212"/>
      <c r="C161" s="213"/>
      <c r="D161" s="214" t="str">
        <f>IFERROR(VLOOKUP($C161,'PORTIFÓLIO'!C:V,2,0),"")</f>
        <v/>
      </c>
      <c r="E161" s="211" t="str">
        <f>IFERROR(VLOOKUP($C161,'PORTIFÓLIO'!C:V,3,0),"")</f>
        <v/>
      </c>
      <c r="F161" s="211" t="str">
        <f>IFERROR(VLOOKUP($C161,'PORTIFÓLIO'!C:V,4,0),"")</f>
        <v/>
      </c>
      <c r="G161" s="215" t="str">
        <f>IFERROR(VLOOKUP($C161,'PORTIFÓLIO'!C:V,5,0),"")</f>
        <v/>
      </c>
      <c r="H161" s="254" t="str">
        <f t="array" ref="H161">IFERROR(INDEX('PORTIFÓLIO'!$H$4:$H$433,MATCH($C161,'PORTIFÓLIO'!$C$4:$C$433,0)),"")</f>
        <v/>
      </c>
      <c r="I161" s="256"/>
      <c r="J161" s="218">
        <f t="shared" si="18"/>
        <v>0</v>
      </c>
      <c r="K161" s="219" t="str">
        <f t="array" ref="K161">IFERROR(I161*INDEX('PORTIFÓLIO'!$S$4:$S$433,MATCH($C161,'PORTIFÓLIO'!$C$4:$C$433,0)),"")</f>
        <v/>
      </c>
      <c r="L161" s="219" t="str">
        <f t="array" ref="L161">IFERROR(J161*INDEX('PORTIFÓLIO'!$S$4:$S$433,MATCH($C161,'PORTIFÓLIO'!$C$4:$C$433,0)),"")</f>
        <v/>
      </c>
      <c r="M161" s="220"/>
      <c r="N161" s="220"/>
      <c r="O161" s="220"/>
      <c r="P161" s="220"/>
      <c r="Q161" s="220"/>
      <c r="R161" s="220"/>
      <c r="S161" s="220"/>
      <c r="T161" s="220"/>
      <c r="U161" s="220"/>
      <c r="V161" s="220"/>
      <c r="W161" s="220"/>
    </row>
    <row r="162" ht="15.75" customHeight="1" outlineLevel="1">
      <c r="A162" s="211"/>
      <c r="B162" s="212"/>
      <c r="C162" s="213"/>
      <c r="D162" s="214" t="str">
        <f>IFERROR(VLOOKUP($C162,'PORTIFÓLIO'!C:V,2,0),"")</f>
        <v/>
      </c>
      <c r="E162" s="211" t="str">
        <f>IFERROR(VLOOKUP($C162,'PORTIFÓLIO'!C:V,3,0),"")</f>
        <v/>
      </c>
      <c r="F162" s="211" t="str">
        <f>IFERROR(VLOOKUP($C162,'PORTIFÓLIO'!C:V,4,0),"")</f>
        <v/>
      </c>
      <c r="G162" s="215" t="str">
        <f>IFERROR(VLOOKUP($C162,'PORTIFÓLIO'!C:V,5,0),"")</f>
        <v/>
      </c>
      <c r="H162" s="254" t="str">
        <f t="array" ref="H162">IFERROR(INDEX('PORTIFÓLIO'!$H$4:$H$433,MATCH($C162,'PORTIFÓLIO'!$C$4:$C$433,0)),"")</f>
        <v/>
      </c>
      <c r="I162" s="256"/>
      <c r="J162" s="218">
        <f t="shared" si="18"/>
        <v>0</v>
      </c>
      <c r="K162" s="219" t="str">
        <f t="array" ref="K162">IFERROR(I162*INDEX('PORTIFÓLIO'!$S$4:$S$433,MATCH($C162,'PORTIFÓLIO'!$C$4:$C$433,0)),"")</f>
        <v/>
      </c>
      <c r="L162" s="219" t="str">
        <f t="array" ref="L162">IFERROR(J162*INDEX('PORTIFÓLIO'!$S$4:$S$433,MATCH($C162,'PORTIFÓLIO'!$C$4:$C$433,0)),"")</f>
        <v/>
      </c>
      <c r="M162" s="220"/>
      <c r="N162" s="220"/>
      <c r="O162" s="220"/>
      <c r="P162" s="220"/>
      <c r="Q162" s="220"/>
      <c r="R162" s="220"/>
      <c r="S162" s="220"/>
      <c r="T162" s="220"/>
      <c r="U162" s="220"/>
      <c r="V162" s="220"/>
      <c r="W162" s="220"/>
    </row>
    <row r="163" ht="15.75" customHeight="1" outlineLevel="1">
      <c r="A163" s="211"/>
      <c r="B163" s="212"/>
      <c r="C163" s="213"/>
      <c r="D163" s="214" t="str">
        <f>IFERROR(VLOOKUP($C163,'PORTIFÓLIO'!C:V,2,0),"")</f>
        <v/>
      </c>
      <c r="E163" s="211" t="str">
        <f>IFERROR(VLOOKUP($C163,'PORTIFÓLIO'!C:V,3,0),"")</f>
        <v/>
      </c>
      <c r="F163" s="211" t="str">
        <f>IFERROR(VLOOKUP($C163,'PORTIFÓLIO'!C:V,4,0),"")</f>
        <v/>
      </c>
      <c r="G163" s="215" t="str">
        <f>IFERROR(VLOOKUP($C163,'PORTIFÓLIO'!C:V,5,0),"")</f>
        <v/>
      </c>
      <c r="H163" s="254" t="str">
        <f t="array" ref="H163">IFERROR(INDEX('PORTIFÓLIO'!$H$4:$H$433,MATCH($C163,'PORTIFÓLIO'!$C$4:$C$433,0)),"")</f>
        <v/>
      </c>
      <c r="I163" s="256"/>
      <c r="J163" s="218">
        <f t="shared" si="18"/>
        <v>0</v>
      </c>
      <c r="K163" s="219" t="str">
        <f t="array" ref="K163">IFERROR(I163*INDEX('PORTIFÓLIO'!$S$4:$S$433,MATCH($C163,'PORTIFÓLIO'!$C$4:$C$433,0)),"")</f>
        <v/>
      </c>
      <c r="L163" s="219" t="str">
        <f t="array" ref="L163">IFERROR(J163*INDEX('PORTIFÓLIO'!$S$4:$S$433,MATCH($C163,'PORTIFÓLIO'!$C$4:$C$433,0)),"")</f>
        <v/>
      </c>
      <c r="M163" s="220"/>
      <c r="N163" s="220"/>
      <c r="O163" s="220"/>
      <c r="P163" s="220"/>
      <c r="Q163" s="220"/>
      <c r="R163" s="220"/>
      <c r="S163" s="220"/>
      <c r="T163" s="220"/>
      <c r="U163" s="220"/>
      <c r="V163" s="220"/>
      <c r="W163" s="220"/>
    </row>
    <row r="164" ht="15.75" customHeight="1" outlineLevel="1">
      <c r="A164" s="211"/>
      <c r="B164" s="227"/>
      <c r="C164" s="211"/>
      <c r="D164" s="214" t="str">
        <f>IFERROR(VLOOKUP($C164,'PORTIFÓLIO'!C:V,2,0),"")</f>
        <v/>
      </c>
      <c r="E164" s="211" t="str">
        <f>IFERROR(VLOOKUP($C164,'PORTIFÓLIO'!C:V,3,0),"")</f>
        <v/>
      </c>
      <c r="F164" s="211" t="str">
        <f>IFERROR(VLOOKUP($C164,'PORTIFÓLIO'!C:V,4,0),"")</f>
        <v/>
      </c>
      <c r="G164" s="215" t="str">
        <f>IFERROR(VLOOKUP($C164,'PORTIFÓLIO'!C:V,5,0),"")</f>
        <v/>
      </c>
      <c r="H164" s="254" t="str">
        <f t="array" ref="H164">IFERROR(INDEX('PORTIFÓLIO'!$H$4:$H$433,MATCH($C164,'PORTIFÓLIO'!$C$4:$C$433,0)),"")</f>
        <v/>
      </c>
      <c r="I164" s="256"/>
      <c r="J164" s="218"/>
      <c r="K164" s="219" t="str">
        <f t="array" ref="K164">IFERROR(I164*INDEX('PORTIFÓLIO'!$S$4:$S$433,MATCH($C164,'PORTIFÓLIO'!$C$4:$C$433,0)),"")</f>
        <v/>
      </c>
      <c r="L164" s="219" t="str">
        <f t="array" ref="L164">IFERROR(J164*INDEX('PORTIFÓLIO'!$S$4:$S$433,MATCH($C164,'PORTIFÓLIO'!$C$4:$C$433,0)),"")</f>
        <v/>
      </c>
      <c r="M164" s="220"/>
      <c r="N164" s="220"/>
      <c r="O164" s="220"/>
      <c r="P164" s="220"/>
      <c r="Q164" s="220"/>
      <c r="R164" s="220"/>
      <c r="S164" s="220"/>
      <c r="T164" s="220"/>
      <c r="U164" s="220"/>
      <c r="V164" s="220"/>
      <c r="W164" s="220"/>
    </row>
    <row r="165" ht="15.75" customHeight="1">
      <c r="A165" s="229" t="s">
        <v>1193</v>
      </c>
      <c r="B165" s="230"/>
      <c r="C165" s="231"/>
      <c r="D165" s="232"/>
      <c r="E165" s="231"/>
      <c r="F165" s="231"/>
      <c r="G165" s="233"/>
      <c r="H165" s="233"/>
      <c r="I165" s="258"/>
      <c r="J165" s="236"/>
      <c r="K165" s="237">
        <f t="shared" ref="K165:L165" si="19">SUBTOTAL(9,K166:K179)</f>
        <v>50.69456</v>
      </c>
      <c r="L165" s="237">
        <f t="shared" si="19"/>
        <v>6083.3472</v>
      </c>
      <c r="M165" s="220"/>
      <c r="N165" s="220"/>
      <c r="O165" s="220"/>
      <c r="P165" s="220"/>
      <c r="Q165" s="220"/>
      <c r="R165" s="220"/>
      <c r="S165" s="220"/>
      <c r="T165" s="220"/>
      <c r="U165" s="220"/>
      <c r="V165" s="220"/>
      <c r="W165" s="220"/>
    </row>
    <row r="166" ht="15.75" customHeight="1" outlineLevel="1">
      <c r="A166" s="213"/>
      <c r="B166" s="212" t="s">
        <v>1</v>
      </c>
      <c r="C166" s="213" t="s">
        <v>742</v>
      </c>
      <c r="D166" s="214" t="str">
        <f>IFERROR(VLOOKUP($C166,'PORTIFÓLIO'!C:V,2,0),"")</f>
        <v>DIQUATE</v>
      </c>
      <c r="E166" s="211">
        <f>IFERROR(VLOOKUP($C166,'PORTIFÓLIO'!C:V,3,0),"")</f>
        <v>200</v>
      </c>
      <c r="F166" s="211" t="str">
        <f>IFERROR(VLOOKUP($C166,'PORTIFÓLIO'!C:V,4,0),"")</f>
        <v>L</v>
      </c>
      <c r="G166" s="225" t="str">
        <f>IFERROR(VLOOKUP($C166,'PORTIFÓLIO'!C:V,5,0),"")</f>
        <v>📄 Ver bula</v>
      </c>
      <c r="H166" s="254">
        <f t="array" ref="H166">IFERROR(INDEX('PORTIFÓLIO'!$H$4:$H$433,MATCH($C166,'PORTIFÓLIO'!$C$4:$C$433,0)),"")</f>
        <v>2</v>
      </c>
      <c r="I166" s="255">
        <v>2.0</v>
      </c>
      <c r="J166" s="218">
        <f t="shared" ref="J166:J181" si="20">I166*$B$2</f>
        <v>240</v>
      </c>
      <c r="K166" s="219">
        <f t="array" ref="K166">IFERROR(I166*INDEX('PORTIFÓLIO'!$S$4:$S$433,MATCH($C166,'PORTIFÓLIO'!$C$4:$C$433,0)),"")</f>
        <v>47.48856</v>
      </c>
      <c r="L166" s="219">
        <f t="array" ref="L166">IFERROR(J166*INDEX('PORTIFÓLIO'!$S$4:$S$433,MATCH($C166,'PORTIFÓLIO'!$C$4:$C$433,0)),"")</f>
        <v>5698.6272</v>
      </c>
      <c r="M166" s="220"/>
      <c r="N166" s="220"/>
      <c r="O166" s="220"/>
      <c r="P166" s="220"/>
      <c r="Q166" s="220"/>
      <c r="R166" s="220"/>
      <c r="S166" s="220"/>
      <c r="T166" s="220"/>
      <c r="U166" s="220"/>
      <c r="V166" s="220"/>
      <c r="W166" s="220"/>
    </row>
    <row r="167" ht="15.75" customHeight="1" outlineLevel="1">
      <c r="A167" s="211"/>
      <c r="B167" s="212" t="s">
        <v>6</v>
      </c>
      <c r="C167" s="213" t="s">
        <v>354</v>
      </c>
      <c r="D167" s="214" t="str">
        <f>IFERROR(VLOOKUP($C167,'PORTIFÓLIO'!C:V,2,0),"")</f>
        <v>OLEO MINERAL</v>
      </c>
      <c r="E167" s="211">
        <f>IFERROR(VLOOKUP($C167,'PORTIFÓLIO'!C:V,3,0),"")</f>
        <v>761</v>
      </c>
      <c r="F167" s="211" t="str">
        <f>IFERROR(VLOOKUP($C167,'PORTIFÓLIO'!C:V,4,0),"")</f>
        <v>L</v>
      </c>
      <c r="G167" s="225" t="str">
        <f>IFERROR(VLOOKUP($C167,'PORTIFÓLIO'!C:V,5,0),"")</f>
        <v>📄 Ver bula</v>
      </c>
      <c r="H167" s="254">
        <f t="array" ref="H167">IFERROR(INDEX('PORTIFÓLIO'!$H$4:$H$433,MATCH($C167,'PORTIFÓLIO'!$C$4:$C$433,0)),"")</f>
        <v>0.2</v>
      </c>
      <c r="I167" s="255">
        <v>0.2</v>
      </c>
      <c r="J167" s="218">
        <f t="shared" si="20"/>
        <v>24</v>
      </c>
      <c r="K167" s="219">
        <f t="array" ref="K167">IFERROR(I167*INDEX('PORTIFÓLIO'!$S$4:$S$433,MATCH($C167,'PORTIFÓLIO'!$C$4:$C$433,0)),"")</f>
        <v>3.206</v>
      </c>
      <c r="L167" s="219">
        <f t="array" ref="L167">IFERROR(J167*INDEX('PORTIFÓLIO'!$S$4:$S$433,MATCH($C167,'PORTIFÓLIO'!$C$4:$C$433,0)),"")</f>
        <v>384.72</v>
      </c>
      <c r="M167" s="220"/>
      <c r="N167" s="220"/>
      <c r="O167" s="220"/>
      <c r="P167" s="220"/>
      <c r="Q167" s="220"/>
      <c r="R167" s="220"/>
      <c r="S167" s="220"/>
      <c r="T167" s="220"/>
      <c r="U167" s="220"/>
      <c r="V167" s="220"/>
      <c r="W167" s="220"/>
    </row>
    <row r="168" ht="15.75" customHeight="1" outlineLevel="1">
      <c r="A168" s="211"/>
      <c r="B168" s="212"/>
      <c r="C168" s="213"/>
      <c r="D168" s="214" t="str">
        <f>IFERROR(VLOOKUP($C168,'PORTIFÓLIO'!C:V,2,0),"")</f>
        <v/>
      </c>
      <c r="E168" s="211" t="str">
        <f>IFERROR(VLOOKUP($C168,'PORTIFÓLIO'!C:V,3,0),"")</f>
        <v/>
      </c>
      <c r="F168" s="211" t="str">
        <f>IFERROR(VLOOKUP($C168,'PORTIFÓLIO'!C:V,4,0),"")</f>
        <v/>
      </c>
      <c r="G168" s="215" t="str">
        <f>IFERROR(VLOOKUP($C168,'PORTIFÓLIO'!C:V,5,0),"")</f>
        <v/>
      </c>
      <c r="H168" s="254" t="str">
        <f t="array" ref="H168">IFERROR(INDEX('PORTIFÓLIO'!$H$4:$H$433,MATCH($C168,'PORTIFÓLIO'!$C$4:$C$433,0)),"")</f>
        <v/>
      </c>
      <c r="I168" s="256"/>
      <c r="J168" s="218">
        <f t="shared" si="20"/>
        <v>0</v>
      </c>
      <c r="K168" s="219" t="str">
        <f t="array" ref="K168">IFERROR(I168*INDEX('PORTIFÓLIO'!$S$4:$S$433,MATCH($C168,'PORTIFÓLIO'!$C$4:$C$433,0)),"")</f>
        <v/>
      </c>
      <c r="L168" s="219" t="str">
        <f t="array" ref="L168">IFERROR(J168*INDEX('PORTIFÓLIO'!$S$4:$S$433,MATCH($C168,'PORTIFÓLIO'!$C$4:$C$433,0)),"")</f>
        <v/>
      </c>
      <c r="M168" s="220"/>
      <c r="N168" s="220"/>
      <c r="O168" s="220"/>
      <c r="P168" s="220"/>
      <c r="Q168" s="220"/>
      <c r="R168" s="220"/>
      <c r="S168" s="220"/>
      <c r="T168" s="220"/>
      <c r="U168" s="220"/>
      <c r="V168" s="220"/>
      <c r="W168" s="220"/>
    </row>
    <row r="169" ht="15.75" customHeight="1" outlineLevel="1">
      <c r="A169" s="211"/>
      <c r="B169" s="212"/>
      <c r="C169" s="213"/>
      <c r="D169" s="214" t="str">
        <f>IFERROR(VLOOKUP($C169,'PORTIFÓLIO'!C:V,2,0),"")</f>
        <v/>
      </c>
      <c r="E169" s="211" t="str">
        <f>IFERROR(VLOOKUP($C169,'PORTIFÓLIO'!C:V,3,0),"")</f>
        <v/>
      </c>
      <c r="F169" s="211" t="str">
        <f>IFERROR(VLOOKUP($C169,'PORTIFÓLIO'!C:V,4,0),"")</f>
        <v/>
      </c>
      <c r="G169" s="215" t="str">
        <f>IFERROR(VLOOKUP($C169,'PORTIFÓLIO'!C:V,5,0),"")</f>
        <v/>
      </c>
      <c r="H169" s="254" t="str">
        <f t="array" ref="H169">IFERROR(INDEX('PORTIFÓLIO'!$H$4:$H$433,MATCH($C169,'PORTIFÓLIO'!$C$4:$C$433,0)),"")</f>
        <v/>
      </c>
      <c r="I169" s="256"/>
      <c r="J169" s="218">
        <f t="shared" si="20"/>
        <v>0</v>
      </c>
      <c r="K169" s="219" t="str">
        <f t="array" ref="K169">IFERROR(I169*INDEX('PORTIFÓLIO'!$S$4:$S$433,MATCH($C169,'PORTIFÓLIO'!$C$4:$C$433,0)),"")</f>
        <v/>
      </c>
      <c r="L169" s="219" t="str">
        <f t="array" ref="L169">IFERROR(J169*INDEX('PORTIFÓLIO'!$S$4:$S$433,MATCH($C169,'PORTIFÓLIO'!$C$4:$C$433,0)),"")</f>
        <v/>
      </c>
      <c r="M169" s="220"/>
      <c r="N169" s="220"/>
      <c r="O169" s="220"/>
      <c r="P169" s="220"/>
      <c r="Q169" s="220"/>
      <c r="R169" s="220"/>
      <c r="S169" s="220"/>
      <c r="T169" s="220"/>
      <c r="U169" s="220"/>
      <c r="V169" s="220"/>
      <c r="W169" s="220"/>
    </row>
    <row r="170" ht="15.75" customHeight="1" outlineLevel="1">
      <c r="A170" s="211"/>
      <c r="B170" s="212"/>
      <c r="C170" s="213"/>
      <c r="D170" s="214" t="str">
        <f>IFERROR(VLOOKUP($C170,'PORTIFÓLIO'!C:V,2,0),"")</f>
        <v/>
      </c>
      <c r="E170" s="211" t="str">
        <f>IFERROR(VLOOKUP($C170,'PORTIFÓLIO'!C:V,3,0),"")</f>
        <v/>
      </c>
      <c r="F170" s="211" t="str">
        <f>IFERROR(VLOOKUP($C170,'PORTIFÓLIO'!C:V,4,0),"")</f>
        <v/>
      </c>
      <c r="G170" s="215" t="str">
        <f>IFERROR(VLOOKUP($C170,'PORTIFÓLIO'!C:V,5,0),"")</f>
        <v/>
      </c>
      <c r="H170" s="254" t="str">
        <f t="array" ref="H170">IFERROR(INDEX('PORTIFÓLIO'!$H$4:$H$433,MATCH($C170,'PORTIFÓLIO'!$C$4:$C$433,0)),"")</f>
        <v/>
      </c>
      <c r="I170" s="256"/>
      <c r="J170" s="218">
        <f t="shared" si="20"/>
        <v>0</v>
      </c>
      <c r="K170" s="219" t="str">
        <f t="array" ref="K170">IFERROR(I170*INDEX('PORTIFÓLIO'!$S$4:$S$433,MATCH($C170,'PORTIFÓLIO'!$C$4:$C$433,0)),"")</f>
        <v/>
      </c>
      <c r="L170" s="219" t="str">
        <f t="array" ref="L170">IFERROR(J170*INDEX('PORTIFÓLIO'!$S$4:$S$433,MATCH($C170,'PORTIFÓLIO'!$C$4:$C$433,0)),"")</f>
        <v/>
      </c>
      <c r="M170" s="220"/>
      <c r="N170" s="220"/>
      <c r="O170" s="220"/>
      <c r="P170" s="220"/>
      <c r="Q170" s="220"/>
      <c r="R170" s="220"/>
      <c r="S170" s="220"/>
      <c r="T170" s="220"/>
      <c r="U170" s="220"/>
      <c r="V170" s="220"/>
      <c r="W170" s="220"/>
    </row>
    <row r="171" ht="15.75" customHeight="1" outlineLevel="1">
      <c r="A171" s="211"/>
      <c r="B171" s="212"/>
      <c r="C171" s="213"/>
      <c r="D171" s="214" t="str">
        <f>IFERROR(VLOOKUP($C171,'PORTIFÓLIO'!C:V,2,0),"")</f>
        <v/>
      </c>
      <c r="E171" s="211" t="str">
        <f>IFERROR(VLOOKUP($C171,'PORTIFÓLIO'!C:V,3,0),"")</f>
        <v/>
      </c>
      <c r="F171" s="211" t="str">
        <f>IFERROR(VLOOKUP($C171,'PORTIFÓLIO'!C:V,4,0),"")</f>
        <v/>
      </c>
      <c r="G171" s="215" t="str">
        <f>IFERROR(VLOOKUP($C171,'PORTIFÓLIO'!C:V,5,0),"")</f>
        <v/>
      </c>
      <c r="H171" s="254" t="str">
        <f t="array" ref="H171">IFERROR(INDEX('PORTIFÓLIO'!$H$4:$H$433,MATCH($C171,'PORTIFÓLIO'!$C$4:$C$433,0)),"")</f>
        <v/>
      </c>
      <c r="I171" s="256"/>
      <c r="J171" s="218">
        <f t="shared" si="20"/>
        <v>0</v>
      </c>
      <c r="K171" s="219" t="str">
        <f t="array" ref="K171">IFERROR(I171*INDEX('PORTIFÓLIO'!$S$4:$S$433,MATCH($C171,'PORTIFÓLIO'!$C$4:$C$433,0)),"")</f>
        <v/>
      </c>
      <c r="L171" s="219" t="str">
        <f t="array" ref="L171">IFERROR(J171*INDEX('PORTIFÓLIO'!$S$4:$S$433,MATCH($C171,'PORTIFÓLIO'!$C$4:$C$433,0)),"")</f>
        <v/>
      </c>
      <c r="M171" s="220"/>
      <c r="N171" s="220"/>
      <c r="O171" s="220"/>
      <c r="P171" s="220"/>
      <c r="Q171" s="220"/>
      <c r="R171" s="220"/>
      <c r="S171" s="220"/>
      <c r="T171" s="220"/>
      <c r="U171" s="220"/>
      <c r="V171" s="220"/>
      <c r="W171" s="220"/>
    </row>
    <row r="172" ht="15.75" customHeight="1" outlineLevel="1">
      <c r="A172" s="211"/>
      <c r="B172" s="212"/>
      <c r="C172" s="213"/>
      <c r="D172" s="214" t="str">
        <f>IFERROR(VLOOKUP($C172,'PORTIFÓLIO'!C:V,2,0),"")</f>
        <v/>
      </c>
      <c r="E172" s="211" t="str">
        <f>IFERROR(VLOOKUP($C172,'PORTIFÓLIO'!C:V,3,0),"")</f>
        <v/>
      </c>
      <c r="F172" s="211" t="str">
        <f>IFERROR(VLOOKUP($C172,'PORTIFÓLIO'!C:V,4,0),"")</f>
        <v/>
      </c>
      <c r="G172" s="215" t="str">
        <f>IFERROR(VLOOKUP($C172,'PORTIFÓLIO'!C:V,5,0),"")</f>
        <v/>
      </c>
      <c r="H172" s="254" t="str">
        <f t="array" ref="H172">IFERROR(INDEX('PORTIFÓLIO'!$H$4:$H$433,MATCH($C172,'PORTIFÓLIO'!$C$4:$C$433,0)),"")</f>
        <v/>
      </c>
      <c r="I172" s="256"/>
      <c r="J172" s="218">
        <f t="shared" si="20"/>
        <v>0</v>
      </c>
      <c r="K172" s="219" t="str">
        <f t="array" ref="K172">IFERROR(I172*INDEX('PORTIFÓLIO'!$S$4:$S$433,MATCH($C172,'PORTIFÓLIO'!$C$4:$C$433,0)),"")</f>
        <v/>
      </c>
      <c r="L172" s="219" t="str">
        <f t="array" ref="L172">IFERROR(J172*INDEX('PORTIFÓLIO'!$S$4:$S$433,MATCH($C172,'PORTIFÓLIO'!$C$4:$C$433,0)),"")</f>
        <v/>
      </c>
      <c r="M172" s="220"/>
      <c r="N172" s="220"/>
      <c r="O172" s="220"/>
      <c r="P172" s="220"/>
      <c r="Q172" s="220"/>
      <c r="R172" s="220"/>
      <c r="S172" s="220"/>
      <c r="T172" s="220"/>
      <c r="U172" s="220"/>
      <c r="V172" s="220"/>
      <c r="W172" s="220"/>
    </row>
    <row r="173" ht="15.75" customHeight="1" outlineLevel="1">
      <c r="A173" s="211"/>
      <c r="B173" s="212"/>
      <c r="C173" s="213"/>
      <c r="D173" s="214" t="str">
        <f>IFERROR(VLOOKUP($C173,'PORTIFÓLIO'!C:V,2,0),"")</f>
        <v/>
      </c>
      <c r="E173" s="211" t="str">
        <f>IFERROR(VLOOKUP($C173,'PORTIFÓLIO'!C:V,3,0),"")</f>
        <v/>
      </c>
      <c r="F173" s="211" t="str">
        <f>IFERROR(VLOOKUP($C173,'PORTIFÓLIO'!C:V,4,0),"")</f>
        <v/>
      </c>
      <c r="G173" s="215" t="str">
        <f>IFERROR(VLOOKUP($C173,'PORTIFÓLIO'!C:V,5,0),"")</f>
        <v/>
      </c>
      <c r="H173" s="254" t="str">
        <f t="array" ref="H173">IFERROR(INDEX('PORTIFÓLIO'!$H$4:$H$433,MATCH($C173,'PORTIFÓLIO'!$C$4:$C$433,0)),"")</f>
        <v/>
      </c>
      <c r="I173" s="256"/>
      <c r="J173" s="218">
        <f t="shared" si="20"/>
        <v>0</v>
      </c>
      <c r="K173" s="219" t="str">
        <f t="array" ref="K173">IFERROR(I173*INDEX('PORTIFÓLIO'!$S$4:$S$433,MATCH($C173,'PORTIFÓLIO'!$C$4:$C$433,0)),"")</f>
        <v/>
      </c>
      <c r="L173" s="219" t="str">
        <f t="array" ref="L173">IFERROR(J173*INDEX('PORTIFÓLIO'!$S$4:$S$433,MATCH($C173,'PORTIFÓLIO'!$C$4:$C$433,0)),"")</f>
        <v/>
      </c>
      <c r="M173" s="220"/>
      <c r="N173" s="220"/>
      <c r="O173" s="220"/>
      <c r="P173" s="220"/>
      <c r="Q173" s="220"/>
      <c r="R173" s="220"/>
      <c r="S173" s="220"/>
      <c r="T173" s="220"/>
      <c r="U173" s="220"/>
      <c r="V173" s="220"/>
      <c r="W173" s="220"/>
    </row>
    <row r="174" ht="15.75" customHeight="1" outlineLevel="1">
      <c r="A174" s="211"/>
      <c r="B174" s="212"/>
      <c r="C174" s="213"/>
      <c r="D174" s="214" t="str">
        <f>IFERROR(VLOOKUP($C174,'PORTIFÓLIO'!C:V,2,0),"")</f>
        <v/>
      </c>
      <c r="E174" s="211" t="str">
        <f>IFERROR(VLOOKUP($C174,'PORTIFÓLIO'!C:V,3,0),"")</f>
        <v/>
      </c>
      <c r="F174" s="211" t="str">
        <f>IFERROR(VLOOKUP($C174,'PORTIFÓLIO'!C:V,4,0),"")</f>
        <v/>
      </c>
      <c r="G174" s="215" t="str">
        <f>IFERROR(VLOOKUP($C174,'PORTIFÓLIO'!C:V,5,0),"")</f>
        <v/>
      </c>
      <c r="H174" s="254" t="str">
        <f t="array" ref="H174">IFERROR(INDEX('PORTIFÓLIO'!$H$4:$H$433,MATCH($C174,'PORTIFÓLIO'!$C$4:$C$433,0)),"")</f>
        <v/>
      </c>
      <c r="I174" s="255"/>
      <c r="J174" s="218">
        <f t="shared" si="20"/>
        <v>0</v>
      </c>
      <c r="K174" s="219" t="str">
        <f t="array" ref="K174">IFERROR(I174*INDEX('PORTIFÓLIO'!$S$4:$S$433,MATCH($C174,'PORTIFÓLIO'!$C$4:$C$433,0)),"")</f>
        <v/>
      </c>
      <c r="L174" s="219" t="str">
        <f t="array" ref="L174">IFERROR(J174*INDEX('PORTIFÓLIO'!$S$4:$S$433,MATCH($C174,'PORTIFÓLIO'!$C$4:$C$433,0)),"")</f>
        <v/>
      </c>
      <c r="M174" s="220"/>
      <c r="N174" s="220"/>
      <c r="O174" s="220"/>
      <c r="P174" s="220"/>
      <c r="Q174" s="220"/>
      <c r="R174" s="220"/>
      <c r="S174" s="220"/>
      <c r="T174" s="220"/>
      <c r="U174" s="220"/>
      <c r="V174" s="220"/>
      <c r="W174" s="220"/>
    </row>
    <row r="175" ht="15.75" customHeight="1" outlineLevel="1">
      <c r="A175" s="211"/>
      <c r="B175" s="212"/>
      <c r="C175" s="213"/>
      <c r="D175" s="214" t="str">
        <f>IFERROR(VLOOKUP($C175,'PORTIFÓLIO'!C:V,2,0),"")</f>
        <v/>
      </c>
      <c r="E175" s="211" t="str">
        <f>IFERROR(VLOOKUP($C175,'PORTIFÓLIO'!C:V,3,0),"")</f>
        <v/>
      </c>
      <c r="F175" s="211" t="str">
        <f>IFERROR(VLOOKUP($C175,'PORTIFÓLIO'!C:V,4,0),"")</f>
        <v/>
      </c>
      <c r="G175" s="215" t="str">
        <f>IFERROR(VLOOKUP($C175,'PORTIFÓLIO'!C:V,5,0),"")</f>
        <v/>
      </c>
      <c r="H175" s="254" t="str">
        <f t="array" ref="H175">IFERROR(INDEX('PORTIFÓLIO'!$H$4:$H$433,MATCH($C175,'PORTIFÓLIO'!$C$4:$C$433,0)),"")</f>
        <v/>
      </c>
      <c r="I175" s="256"/>
      <c r="J175" s="218">
        <f t="shared" si="20"/>
        <v>0</v>
      </c>
      <c r="K175" s="219" t="str">
        <f t="array" ref="K175">IFERROR(I175*INDEX('PORTIFÓLIO'!$S$4:$S$433,MATCH($C175,'PORTIFÓLIO'!$C$4:$C$433,0)),"")</f>
        <v/>
      </c>
      <c r="L175" s="219" t="str">
        <f t="array" ref="L175">IFERROR(J175*INDEX('PORTIFÓLIO'!$S$4:$S$433,MATCH($C175,'PORTIFÓLIO'!$C$4:$C$433,0)),"")</f>
        <v/>
      </c>
      <c r="M175" s="220"/>
      <c r="N175" s="220"/>
      <c r="O175" s="220"/>
      <c r="P175" s="220"/>
      <c r="Q175" s="220"/>
      <c r="R175" s="220"/>
      <c r="S175" s="220"/>
      <c r="T175" s="220"/>
      <c r="U175" s="220"/>
      <c r="V175" s="220"/>
      <c r="W175" s="220"/>
    </row>
    <row r="176" ht="15.75" customHeight="1" outlineLevel="1">
      <c r="A176" s="211"/>
      <c r="B176" s="212"/>
      <c r="C176" s="213"/>
      <c r="D176" s="214" t="str">
        <f>IFERROR(VLOOKUP($C176,'PORTIFÓLIO'!C:V,2,0),"")</f>
        <v/>
      </c>
      <c r="E176" s="211" t="str">
        <f>IFERROR(VLOOKUP($C176,'PORTIFÓLIO'!C:V,3,0),"")</f>
        <v/>
      </c>
      <c r="F176" s="211" t="str">
        <f>IFERROR(VLOOKUP($C176,'PORTIFÓLIO'!C:V,4,0),"")</f>
        <v/>
      </c>
      <c r="G176" s="215" t="str">
        <f>IFERROR(VLOOKUP($C176,'PORTIFÓLIO'!C:V,5,0),"")</f>
        <v/>
      </c>
      <c r="H176" s="254" t="str">
        <f t="array" ref="H176">IFERROR(INDEX('PORTIFÓLIO'!$H$4:$H$433,MATCH($C176,'PORTIFÓLIO'!$C$4:$C$433,0)),"")</f>
        <v/>
      </c>
      <c r="I176" s="256"/>
      <c r="J176" s="218">
        <f t="shared" si="20"/>
        <v>0</v>
      </c>
      <c r="K176" s="219" t="str">
        <f t="array" ref="K176">IFERROR(I176*INDEX('PORTIFÓLIO'!$S$4:$S$433,MATCH($C176,'PORTIFÓLIO'!$C$4:$C$433,0)),"")</f>
        <v/>
      </c>
      <c r="L176" s="219" t="str">
        <f t="array" ref="L176">IFERROR(J176*INDEX('PORTIFÓLIO'!$S$4:$S$433,MATCH($C176,'PORTIFÓLIO'!$C$4:$C$433,0)),"")</f>
        <v/>
      </c>
      <c r="M176" s="220"/>
      <c r="N176" s="220"/>
      <c r="O176" s="220"/>
      <c r="P176" s="220"/>
      <c r="Q176" s="220"/>
      <c r="R176" s="220"/>
      <c r="S176" s="220"/>
      <c r="T176" s="220"/>
      <c r="U176" s="220"/>
      <c r="V176" s="220"/>
      <c r="W176" s="220"/>
    </row>
    <row r="177" ht="15.75" customHeight="1" outlineLevel="1">
      <c r="A177" s="211"/>
      <c r="B177" s="212"/>
      <c r="C177" s="213"/>
      <c r="D177" s="214" t="str">
        <f>IFERROR(VLOOKUP($C177,'PORTIFÓLIO'!C:V,2,0),"")</f>
        <v/>
      </c>
      <c r="E177" s="211" t="str">
        <f>IFERROR(VLOOKUP($C177,'PORTIFÓLIO'!C:V,3,0),"")</f>
        <v/>
      </c>
      <c r="F177" s="211" t="str">
        <f>IFERROR(VLOOKUP($C177,'PORTIFÓLIO'!C:V,4,0),"")</f>
        <v/>
      </c>
      <c r="G177" s="215" t="str">
        <f>IFERROR(VLOOKUP($C177,'PORTIFÓLIO'!C:V,5,0),"")</f>
        <v/>
      </c>
      <c r="H177" s="254" t="str">
        <f t="array" ref="H177">IFERROR(INDEX('PORTIFÓLIO'!$H$4:$H$433,MATCH($C177,'PORTIFÓLIO'!$C$4:$C$433,0)),"")</f>
        <v/>
      </c>
      <c r="I177" s="256"/>
      <c r="J177" s="218">
        <f t="shared" si="20"/>
        <v>0</v>
      </c>
      <c r="K177" s="219" t="str">
        <f t="array" ref="K177">IFERROR(I177*INDEX('PORTIFÓLIO'!$S$4:$S$433,MATCH($C177,'PORTIFÓLIO'!$C$4:$C$433,0)),"")</f>
        <v/>
      </c>
      <c r="L177" s="219" t="str">
        <f t="array" ref="L177">IFERROR(J177*INDEX('PORTIFÓLIO'!$S$4:$S$433,MATCH($C177,'PORTIFÓLIO'!$C$4:$C$433,0)),"")</f>
        <v/>
      </c>
      <c r="M177" s="220"/>
      <c r="N177" s="220"/>
      <c r="O177" s="220"/>
      <c r="P177" s="220"/>
      <c r="Q177" s="220"/>
      <c r="R177" s="220"/>
      <c r="S177" s="220"/>
      <c r="T177" s="220"/>
      <c r="U177" s="220"/>
      <c r="V177" s="220"/>
      <c r="W177" s="220"/>
    </row>
    <row r="178" ht="15.75" customHeight="1" outlineLevel="1">
      <c r="A178" s="211"/>
      <c r="B178" s="212"/>
      <c r="C178" s="213"/>
      <c r="D178" s="214" t="str">
        <f>IFERROR(VLOOKUP($C178,'PORTIFÓLIO'!C:V,2,0),"")</f>
        <v/>
      </c>
      <c r="E178" s="211" t="str">
        <f>IFERROR(VLOOKUP($C178,'PORTIFÓLIO'!C:V,3,0),"")</f>
        <v/>
      </c>
      <c r="F178" s="211" t="str">
        <f>IFERROR(VLOOKUP($C178,'PORTIFÓLIO'!C:V,4,0),"")</f>
        <v/>
      </c>
      <c r="G178" s="215" t="str">
        <f>IFERROR(VLOOKUP($C178,'PORTIFÓLIO'!C:V,5,0),"")</f>
        <v/>
      </c>
      <c r="H178" s="254" t="str">
        <f t="array" ref="H178">IFERROR(INDEX('PORTIFÓLIO'!$H$4:$H$433,MATCH($C178,'PORTIFÓLIO'!$C$4:$C$433,0)),"")</f>
        <v/>
      </c>
      <c r="I178" s="256"/>
      <c r="J178" s="218">
        <f t="shared" si="20"/>
        <v>0</v>
      </c>
      <c r="K178" s="219" t="str">
        <f t="array" ref="K178">IFERROR(I178*INDEX('PORTIFÓLIO'!$S$4:$S$433,MATCH($C178,'PORTIFÓLIO'!$C$4:$C$433,0)),"")</f>
        <v/>
      </c>
      <c r="L178" s="219" t="str">
        <f t="array" ref="L178">IFERROR(J178*INDEX('PORTIFÓLIO'!$S$4:$S$433,MATCH($C178,'PORTIFÓLIO'!$C$4:$C$433,0)),"")</f>
        <v/>
      </c>
      <c r="M178" s="220"/>
      <c r="N178" s="220"/>
      <c r="O178" s="220"/>
      <c r="P178" s="220"/>
      <c r="Q178" s="220"/>
      <c r="R178" s="220"/>
      <c r="S178" s="220"/>
      <c r="T178" s="220"/>
      <c r="U178" s="220"/>
      <c r="V178" s="220"/>
      <c r="W178" s="220"/>
    </row>
    <row r="179" ht="15.75" customHeight="1" outlineLevel="1">
      <c r="A179" s="211"/>
      <c r="B179" s="212"/>
      <c r="C179" s="213"/>
      <c r="D179" s="214" t="str">
        <f>IFERROR(VLOOKUP($C179,'PORTIFÓLIO'!C:V,2,0),"")</f>
        <v/>
      </c>
      <c r="E179" s="211" t="str">
        <f>IFERROR(VLOOKUP($C179,'PORTIFÓLIO'!C:V,3,0),"")</f>
        <v/>
      </c>
      <c r="F179" s="211" t="str">
        <f>IFERROR(VLOOKUP($C179,'PORTIFÓLIO'!C:V,4,0),"")</f>
        <v/>
      </c>
      <c r="G179" s="215" t="str">
        <f>IFERROR(VLOOKUP($C179,'PORTIFÓLIO'!C:V,5,0),"")</f>
        <v/>
      </c>
      <c r="H179" s="254" t="str">
        <f t="array" ref="H179">IFERROR(INDEX('PORTIFÓLIO'!$H$4:$H$433,MATCH($C179,'PORTIFÓLIO'!$C$4:$C$433,0)),"")</f>
        <v/>
      </c>
      <c r="I179" s="256"/>
      <c r="J179" s="218">
        <f t="shared" si="20"/>
        <v>0</v>
      </c>
      <c r="K179" s="219" t="str">
        <f t="array" ref="K179">IFERROR(I179*INDEX('PORTIFÓLIO'!$S$4:$S$433,MATCH($C179,'PORTIFÓLIO'!$C$4:$C$433,0)),"")</f>
        <v/>
      </c>
      <c r="L179" s="219" t="str">
        <f t="array" ref="L179">IFERROR(J179*INDEX('PORTIFÓLIO'!$S$4:$S$433,MATCH($C179,'PORTIFÓLIO'!$C$4:$C$433,0)),"")</f>
        <v/>
      </c>
      <c r="M179" s="220"/>
      <c r="N179" s="220"/>
      <c r="O179" s="220"/>
      <c r="P179" s="220"/>
      <c r="Q179" s="220"/>
      <c r="R179" s="220"/>
      <c r="S179" s="220"/>
      <c r="T179" s="220"/>
      <c r="U179" s="220"/>
      <c r="V179" s="220"/>
      <c r="W179" s="220"/>
    </row>
    <row r="180" ht="15.75" customHeight="1" outlineLevel="1">
      <c r="A180" s="211"/>
      <c r="B180" s="212"/>
      <c r="C180" s="213"/>
      <c r="D180" s="214" t="str">
        <f>IFERROR(VLOOKUP($C180,'PORTIFÓLIO'!C:V,2,0),"")</f>
        <v/>
      </c>
      <c r="E180" s="211" t="str">
        <f>IFERROR(VLOOKUP($C180,'PORTIFÓLIO'!C:V,3,0),"")</f>
        <v/>
      </c>
      <c r="F180" s="211" t="str">
        <f>IFERROR(VLOOKUP($C180,'PORTIFÓLIO'!C:V,4,0),"")</f>
        <v/>
      </c>
      <c r="G180" s="215" t="str">
        <f>IFERROR(VLOOKUP($C180,'PORTIFÓLIO'!C:V,5,0),"")</f>
        <v/>
      </c>
      <c r="H180" s="254" t="str">
        <f t="array" ref="H180">IFERROR(INDEX('PORTIFÓLIO'!$H$4:$H$433,MATCH($C180,'PORTIFÓLIO'!$C$4:$C$433,0)),"")</f>
        <v/>
      </c>
      <c r="I180" s="256"/>
      <c r="J180" s="218">
        <f t="shared" si="20"/>
        <v>0</v>
      </c>
      <c r="K180" s="219" t="str">
        <f t="array" ref="K180">IFERROR(I180*INDEX('PORTIFÓLIO'!$S$4:$S$433,MATCH($C180,'PORTIFÓLIO'!$C$4:$C$433,0)),"")</f>
        <v/>
      </c>
      <c r="L180" s="219" t="str">
        <f t="array" ref="L180">IFERROR(J180*INDEX('PORTIFÓLIO'!$S$4:$S$433,MATCH($C180,'PORTIFÓLIO'!$C$4:$C$433,0)),"")</f>
        <v/>
      </c>
      <c r="M180" s="220"/>
      <c r="N180" s="220"/>
      <c r="O180" s="220"/>
      <c r="P180" s="220"/>
      <c r="Q180" s="220"/>
      <c r="R180" s="220"/>
      <c r="S180" s="220"/>
      <c r="T180" s="220"/>
      <c r="U180" s="220"/>
      <c r="V180" s="220"/>
      <c r="W180" s="220"/>
    </row>
    <row r="181" ht="15.75" customHeight="1" outlineLevel="1">
      <c r="A181" s="211"/>
      <c r="B181" s="227"/>
      <c r="C181" s="211"/>
      <c r="D181" s="214" t="str">
        <f>IFERROR(VLOOKUP($C181,'PORTIFÓLIO'!C:V,2,0),"")</f>
        <v/>
      </c>
      <c r="E181" s="211" t="str">
        <f>IFERROR(VLOOKUP($C181,'PORTIFÓLIO'!C:V,3,0),"")</f>
        <v/>
      </c>
      <c r="F181" s="211" t="str">
        <f>IFERROR(VLOOKUP($C181,'PORTIFÓLIO'!C:V,4,0),"")</f>
        <v/>
      </c>
      <c r="G181" s="215" t="str">
        <f>IFERROR(VLOOKUP($C181,'PORTIFÓLIO'!C:V,5,0),"")</f>
        <v/>
      </c>
      <c r="H181" s="254" t="str">
        <f t="array" ref="H181">IFERROR(INDEX('PORTIFÓLIO'!$H$4:$H$433,MATCH($C181,'PORTIFÓLIO'!$C$4:$C$433,0)),"")</f>
        <v/>
      </c>
      <c r="I181" s="256"/>
      <c r="J181" s="218">
        <f t="shared" si="20"/>
        <v>0</v>
      </c>
      <c r="K181" s="219" t="str">
        <f t="array" ref="K181">IFERROR(I181*INDEX('PORTIFÓLIO'!$S$4:$S$433,MATCH($C181,'PORTIFÓLIO'!$C$4:$C$433,0)),"")</f>
        <v/>
      </c>
      <c r="L181" s="219" t="str">
        <f t="array" ref="L181">IFERROR(J181*INDEX('PORTIFÓLIO'!$S$4:$S$433,MATCH($C181,'PORTIFÓLIO'!$C$4:$C$433,0)),"")</f>
        <v/>
      </c>
      <c r="M181" s="220"/>
      <c r="N181" s="220"/>
      <c r="O181" s="220"/>
      <c r="P181" s="220"/>
      <c r="Q181" s="220"/>
      <c r="R181" s="220"/>
      <c r="S181" s="220"/>
      <c r="T181" s="220"/>
      <c r="U181" s="220"/>
      <c r="V181" s="220"/>
      <c r="W181" s="220"/>
    </row>
    <row r="182" ht="15.75" customHeight="1">
      <c r="A182" s="229" t="s">
        <v>1194</v>
      </c>
      <c r="B182" s="230"/>
      <c r="C182" s="231"/>
      <c r="D182" s="232"/>
      <c r="E182" s="231"/>
      <c r="F182" s="231"/>
      <c r="G182" s="233"/>
      <c r="H182" s="233"/>
      <c r="I182" s="258"/>
      <c r="J182" s="236"/>
      <c r="K182" s="237">
        <f t="shared" ref="K182:L182" si="21">SUBTOTAL(9,K183:K196)</f>
        <v>339.9254902</v>
      </c>
      <c r="L182" s="237">
        <f t="shared" si="21"/>
        <v>40791.05882</v>
      </c>
      <c r="M182" s="220"/>
      <c r="N182" s="220"/>
      <c r="O182" s="220"/>
      <c r="P182" s="220"/>
      <c r="Q182" s="220"/>
      <c r="R182" s="220"/>
      <c r="S182" s="220"/>
      <c r="T182" s="220"/>
      <c r="U182" s="220"/>
      <c r="V182" s="220"/>
      <c r="W182" s="220"/>
    </row>
    <row r="183" ht="15.75" customHeight="1" outlineLevel="1">
      <c r="A183" s="213"/>
      <c r="B183" s="212" t="s">
        <v>10</v>
      </c>
      <c r="C183" s="213" t="s">
        <v>1195</v>
      </c>
      <c r="D183" s="214" t="str">
        <f>IFERROR(VLOOKUP($C183,'PORTIFÓLIO'!C:V,2,0),"")</f>
        <v/>
      </c>
      <c r="E183" s="211" t="str">
        <f>IFERROR(VLOOKUP($C183,'PORTIFÓLIO'!C:V,3,0),"")</f>
        <v/>
      </c>
      <c r="F183" s="211" t="str">
        <f>IFERROR(VLOOKUP($C183,'PORTIFÓLIO'!C:V,4,0),"")</f>
        <v>R$/Ha</v>
      </c>
      <c r="G183" s="215">
        <f t="array" ref="G183">IFERROR(INDEX('PORTIFÓLIO'!$H$4:$H$433,MATCH($C183,'PORTIFÓLIO'!$C$4:$C$433,0)),"")</f>
        <v>0.3267973856</v>
      </c>
      <c r="H183" s="254">
        <f t="array" ref="H183">IFERROR(INDEX('PORTIFÓLIO'!$H$4:$H$433,MATCH($C183,'PORTIFÓLIO'!$C$4:$C$433,0)),"")</f>
        <v>0.3267973856</v>
      </c>
      <c r="I183" s="255">
        <v>0.32</v>
      </c>
      <c r="J183" s="218">
        <f t="shared" ref="J183:J199" si="22">I183*$B$2</f>
        <v>38.4</v>
      </c>
      <c r="K183" s="219">
        <f t="array" ref="K183">IFERROR(I183*INDEX('PORTIFÓLIO'!$S$4:$S$433,MATCH($C183,'PORTIFÓLIO'!$C$4:$C$433,0)),"")</f>
        <v>36</v>
      </c>
      <c r="L183" s="219">
        <f t="array" ref="L183">IFERROR(J183*INDEX('PORTIFÓLIO'!$S$4:$S$433,MATCH($C183,'PORTIFÓLIO'!$C$4:$C$433,0)),"")</f>
        <v>4320</v>
      </c>
      <c r="M183" s="220"/>
      <c r="N183" s="220"/>
      <c r="O183" s="220"/>
      <c r="P183" s="220"/>
      <c r="Q183" s="220"/>
      <c r="R183" s="220"/>
      <c r="S183" s="220"/>
      <c r="T183" s="220"/>
      <c r="U183" s="220"/>
      <c r="V183" s="220"/>
      <c r="W183" s="220"/>
    </row>
    <row r="184" ht="15.75" customHeight="1" outlineLevel="1">
      <c r="A184" s="211"/>
      <c r="B184" s="212" t="s">
        <v>10</v>
      </c>
      <c r="C184" s="213" t="s">
        <v>1196</v>
      </c>
      <c r="D184" s="214" t="str">
        <f>IFERROR(VLOOKUP($C184,'PORTIFÓLIO'!C:V,2,0),"")</f>
        <v/>
      </c>
      <c r="E184" s="211" t="str">
        <f>IFERROR(VLOOKUP($C184,'PORTIFÓLIO'!C:V,3,0),"")</f>
        <v/>
      </c>
      <c r="F184" s="211" t="str">
        <f>IFERROR(VLOOKUP($C184,'PORTIFÓLIO'!C:V,4,0),"")</f>
        <v>R$/Ha</v>
      </c>
      <c r="G184" s="215">
        <f t="array" ref="G184">IFERROR(INDEX('PORTIFÓLIO'!$H$4:$H$433,MATCH($C184,'PORTIFÓLIO'!$C$4:$C$433,0)),"")</f>
        <v>0.04901960784</v>
      </c>
      <c r="H184" s="254">
        <f t="array" ref="H184">IFERROR(INDEX('PORTIFÓLIO'!$H$4:$H$433,MATCH($C184,'PORTIFÓLIO'!$C$4:$C$433,0)),"")</f>
        <v>0.04901960784</v>
      </c>
      <c r="I184" s="256">
        <f>G184*4</f>
        <v>0.1960784314</v>
      </c>
      <c r="J184" s="218">
        <f t="shared" si="22"/>
        <v>23.52941176</v>
      </c>
      <c r="K184" s="219">
        <f t="array" ref="K184">IFERROR(I184*INDEX('PORTIFÓLIO'!$S$4:$S$433,MATCH($C184,'PORTIFÓLIO'!$C$4:$C$433,0)),"")</f>
        <v>22.05882353</v>
      </c>
      <c r="L184" s="219">
        <f t="array" ref="L184">IFERROR(J184*INDEX('PORTIFÓLIO'!$S$4:$S$433,MATCH($C184,'PORTIFÓLIO'!$C$4:$C$433,0)),"")</f>
        <v>2647.058824</v>
      </c>
      <c r="M184" s="220"/>
      <c r="N184" s="220"/>
      <c r="O184" s="220"/>
      <c r="P184" s="220"/>
      <c r="Q184" s="220"/>
      <c r="R184" s="220"/>
      <c r="S184" s="220"/>
      <c r="T184" s="220"/>
      <c r="U184" s="220"/>
      <c r="V184" s="220"/>
      <c r="W184" s="220"/>
    </row>
    <row r="185" ht="15.75" customHeight="1" outlineLevel="1">
      <c r="A185" s="211"/>
      <c r="B185" s="212" t="s">
        <v>10</v>
      </c>
      <c r="C185" s="213" t="s">
        <v>1197</v>
      </c>
      <c r="D185" s="214" t="str">
        <f>IFERROR(VLOOKUP($C185,'PORTIFÓLIO'!C:V,2,0),"")</f>
        <v/>
      </c>
      <c r="E185" s="211" t="str">
        <f>IFERROR(VLOOKUP($C185,'PORTIFÓLIO'!C:V,3,0),"")</f>
        <v/>
      </c>
      <c r="F185" s="211" t="str">
        <f>IFERROR(VLOOKUP($C185,'PORTIFÓLIO'!C:V,4,0),"")</f>
        <v>R$/Ha</v>
      </c>
      <c r="G185" s="215">
        <f t="array" ref="G185">IFERROR(INDEX('PORTIFÓLIO'!$H$4:$H$433,MATCH($C185,'PORTIFÓLIO'!$C$4:$C$433,0)),"")</f>
        <v>0.01960784314</v>
      </c>
      <c r="H185" s="254">
        <f t="array" ref="H185">IFERROR(INDEX('PORTIFÓLIO'!$H$4:$H$433,MATCH($C185,'PORTIFÓLIO'!$C$4:$C$433,0)),"")</f>
        <v>0.01960784314</v>
      </c>
      <c r="I185" s="256">
        <f>G185*3</f>
        <v>0.05882352941</v>
      </c>
      <c r="J185" s="218">
        <f t="shared" si="22"/>
        <v>7.058823529</v>
      </c>
      <c r="K185" s="219">
        <f t="array" ref="K185">IFERROR(I185*INDEX('PORTIFÓLIO'!$S$4:$S$433,MATCH($C185,'PORTIFÓLIO'!$C$4:$C$433,0)),"")</f>
        <v>7.5</v>
      </c>
      <c r="L185" s="219">
        <f t="array" ref="L185">IFERROR(J185*INDEX('PORTIFÓLIO'!$S$4:$S$433,MATCH($C185,'PORTIFÓLIO'!$C$4:$C$433,0)),"")</f>
        <v>900</v>
      </c>
      <c r="M185" s="220"/>
      <c r="N185" s="220"/>
      <c r="O185" s="220"/>
      <c r="P185" s="220"/>
      <c r="Q185" s="220"/>
      <c r="R185" s="220"/>
      <c r="S185" s="220"/>
      <c r="T185" s="220"/>
      <c r="U185" s="220"/>
      <c r="V185" s="220"/>
      <c r="W185" s="220"/>
    </row>
    <row r="186" ht="15.75" customHeight="1" outlineLevel="1">
      <c r="A186" s="211"/>
      <c r="B186" s="212" t="s">
        <v>10</v>
      </c>
      <c r="C186" s="213" t="s">
        <v>1198</v>
      </c>
      <c r="D186" s="214" t="str">
        <f>IFERROR(VLOOKUP($C186,'PORTIFÓLIO'!C:V,2,0),"")</f>
        <v/>
      </c>
      <c r="E186" s="211" t="str">
        <f>IFERROR(VLOOKUP($C186,'PORTIFÓLIO'!C:V,3,0),"")</f>
        <v/>
      </c>
      <c r="F186" s="211" t="str">
        <f>IFERROR(VLOOKUP($C186,'PORTIFÓLIO'!C:V,4,0),"")</f>
        <v>R$/Ha</v>
      </c>
      <c r="G186" s="215">
        <f t="array" ref="G186">IFERROR(INDEX('PORTIFÓLIO'!$H$4:$H$433,MATCH($C186,'PORTIFÓLIO'!$C$4:$C$433,0)),"")</f>
        <v>0.006666666667</v>
      </c>
      <c r="H186" s="254">
        <f t="array" ref="H186">IFERROR(INDEX('PORTIFÓLIO'!$H$4:$H$433,MATCH($C186,'PORTIFÓLIO'!$C$4:$C$433,0)),"")</f>
        <v>0.006666666667</v>
      </c>
      <c r="I186" s="256">
        <f>G186*5</f>
        <v>0.03333333333</v>
      </c>
      <c r="J186" s="218">
        <f t="shared" si="22"/>
        <v>4</v>
      </c>
      <c r="K186" s="219">
        <f t="array" ref="K186">IFERROR(I186*INDEX('PORTIFÓLIO'!$S$4:$S$433,MATCH($C186,'PORTIFÓLIO'!$C$4:$C$433,0)),"")</f>
        <v>166.6666667</v>
      </c>
      <c r="L186" s="219">
        <f t="array" ref="L186">IFERROR(J186*INDEX('PORTIFÓLIO'!$S$4:$S$433,MATCH($C186,'PORTIFÓLIO'!$C$4:$C$433,0)),"")</f>
        <v>20000</v>
      </c>
      <c r="M186" s="220"/>
      <c r="N186" s="220"/>
      <c r="O186" s="220"/>
      <c r="P186" s="220"/>
      <c r="Q186" s="220"/>
      <c r="R186" s="220"/>
      <c r="S186" s="220"/>
      <c r="T186" s="220"/>
      <c r="U186" s="220"/>
      <c r="V186" s="220"/>
      <c r="W186" s="220"/>
    </row>
    <row r="187" ht="15.75" customHeight="1" outlineLevel="1">
      <c r="A187" s="211"/>
      <c r="B187" s="212" t="s">
        <v>10</v>
      </c>
      <c r="C187" s="213" t="s">
        <v>1199</v>
      </c>
      <c r="D187" s="214" t="str">
        <f>IFERROR(VLOOKUP($C187,'PORTIFÓLIO'!C:V,2,0),"")</f>
        <v/>
      </c>
      <c r="E187" s="211" t="str">
        <f>IFERROR(VLOOKUP($C187,'PORTIFÓLIO'!C:V,3,0),"")</f>
        <v/>
      </c>
      <c r="F187" s="211" t="str">
        <f>IFERROR(VLOOKUP($C187,'PORTIFÓLIO'!C:V,4,0),"")</f>
        <v>R$/Ha</v>
      </c>
      <c r="G187" s="215">
        <f t="array" ref="G187">IFERROR(INDEX('PORTIFÓLIO'!$H$4:$H$433,MATCH($C187,'PORTIFÓLIO'!$C$4:$C$433,0)),"")</f>
        <v>0.08169934641</v>
      </c>
      <c r="H187" s="254">
        <f t="array" ref="H187">IFERROR(INDEX('PORTIFÓLIO'!$H$4:$H$433,MATCH($C187,'PORTIFÓLIO'!$C$4:$C$433,0)),"")</f>
        <v>0.08169934641</v>
      </c>
      <c r="I187" s="255">
        <v>0.081</v>
      </c>
      <c r="J187" s="218">
        <f t="shared" si="22"/>
        <v>9.72</v>
      </c>
      <c r="K187" s="219">
        <f t="array" ref="K187">IFERROR(I187*INDEX('PORTIFÓLIO'!$S$4:$S$433,MATCH($C187,'PORTIFÓLIO'!$C$4:$C$433,0)),"")</f>
        <v>36.45</v>
      </c>
      <c r="L187" s="219">
        <f t="array" ref="L187">IFERROR(J187*INDEX('PORTIFÓLIO'!$S$4:$S$433,MATCH($C187,'PORTIFÓLIO'!$C$4:$C$433,0)),"")</f>
        <v>4374</v>
      </c>
      <c r="M187" s="220"/>
      <c r="N187" s="220"/>
      <c r="O187" s="220"/>
      <c r="P187" s="220"/>
      <c r="Q187" s="220"/>
      <c r="R187" s="220"/>
      <c r="S187" s="220"/>
      <c r="T187" s="220"/>
      <c r="U187" s="220"/>
      <c r="V187" s="220"/>
      <c r="W187" s="220"/>
    </row>
    <row r="188" ht="15.75" customHeight="1" outlineLevel="1">
      <c r="A188" s="211"/>
      <c r="B188" s="212" t="s">
        <v>10</v>
      </c>
      <c r="C188" s="213" t="s">
        <v>1200</v>
      </c>
      <c r="D188" s="214" t="str">
        <f>IFERROR(VLOOKUP($C188,'PORTIFÓLIO'!C:V,2,0),"")</f>
        <v/>
      </c>
      <c r="E188" s="211" t="str">
        <f>IFERROR(VLOOKUP($C188,'PORTIFÓLIO'!C:V,3,0),"")</f>
        <v/>
      </c>
      <c r="F188" s="211" t="str">
        <f>IFERROR(VLOOKUP($C188,'PORTIFÓLIO'!C:V,4,0),"")</f>
        <v>R$/Ha</v>
      </c>
      <c r="G188" s="215">
        <f t="array" ref="G188">IFERROR(INDEX('PORTIFÓLIO'!$H$4:$H$433,MATCH($C188,'PORTIFÓLIO'!$C$4:$C$433,0)),"")</f>
        <v>0.1508295626</v>
      </c>
      <c r="H188" s="254">
        <f t="array" ref="H188">IFERROR(INDEX('PORTIFÓLIO'!$H$4:$H$433,MATCH($C188,'PORTIFÓLIO'!$C$4:$C$433,0)),"")</f>
        <v>0.1508295626</v>
      </c>
      <c r="I188" s="255">
        <v>0.15</v>
      </c>
      <c r="J188" s="218">
        <f t="shared" si="22"/>
        <v>18</v>
      </c>
      <c r="K188" s="219">
        <f t="array" ref="K188">IFERROR(I188*INDEX('PORTIFÓLIO'!$S$4:$S$433,MATCH($C188,'PORTIFÓLIO'!$C$4:$C$433,0)),"")</f>
        <v>56.25</v>
      </c>
      <c r="L188" s="219">
        <f t="array" ref="L188">IFERROR(J188*INDEX('PORTIFÓLIO'!$S$4:$S$433,MATCH($C188,'PORTIFÓLIO'!$C$4:$C$433,0)),"")</f>
        <v>6750</v>
      </c>
      <c r="M188" s="220"/>
      <c r="N188" s="220"/>
      <c r="O188" s="220"/>
      <c r="P188" s="220"/>
      <c r="Q188" s="220"/>
      <c r="R188" s="220"/>
      <c r="S188" s="220"/>
      <c r="T188" s="220"/>
      <c r="U188" s="220"/>
      <c r="V188" s="220"/>
      <c r="W188" s="220"/>
    </row>
    <row r="189" ht="15.75" customHeight="1" outlineLevel="1">
      <c r="A189" s="211"/>
      <c r="B189" s="212" t="s">
        <v>10</v>
      </c>
      <c r="C189" s="213" t="s">
        <v>1201</v>
      </c>
      <c r="D189" s="214" t="str">
        <f>IFERROR(VLOOKUP($C189,'PORTIFÓLIO'!C:V,2,0),"")</f>
        <v/>
      </c>
      <c r="E189" s="211" t="str">
        <f>IFERROR(VLOOKUP($C189,'PORTIFÓLIO'!C:V,3,0),"")</f>
        <v/>
      </c>
      <c r="F189" s="211" t="str">
        <f>IFERROR(VLOOKUP($C189,'PORTIFÓLIO'!C:V,4,0),"")</f>
        <v>R$/Ha</v>
      </c>
      <c r="G189" s="215">
        <f t="array" ref="G189">IFERROR(INDEX('PORTIFÓLIO'!$H$4:$H$433,MATCH($C189,'PORTIFÓLIO'!$C$4:$C$433,0)),"")</f>
        <v>0.001367989056</v>
      </c>
      <c r="H189" s="254">
        <f t="array" ref="H189">IFERROR(INDEX('PORTIFÓLIO'!$H$4:$H$433,MATCH($C189,'PORTIFÓLIO'!$C$4:$C$433,0)),"")</f>
        <v>0.001367989056</v>
      </c>
      <c r="I189" s="255">
        <v>0.1</v>
      </c>
      <c r="J189" s="218">
        <f t="shared" si="22"/>
        <v>12</v>
      </c>
      <c r="K189" s="219">
        <f t="array" ref="K189">IFERROR(I189*INDEX('PORTIFÓLIO'!$S$4:$S$433,MATCH($C189,'PORTIFÓLIO'!$C$4:$C$433,0)),"")</f>
        <v>15</v>
      </c>
      <c r="L189" s="219">
        <f t="array" ref="L189">IFERROR(J189*INDEX('PORTIFÓLIO'!$S$4:$S$433,MATCH($C189,'PORTIFÓLIO'!$C$4:$C$433,0)),"")</f>
        <v>1800</v>
      </c>
      <c r="M189" s="220"/>
      <c r="N189" s="220"/>
      <c r="O189" s="220"/>
      <c r="P189" s="220"/>
      <c r="Q189" s="220"/>
      <c r="R189" s="220"/>
      <c r="S189" s="220"/>
      <c r="T189" s="220"/>
      <c r="U189" s="220"/>
      <c r="V189" s="220"/>
      <c r="W189" s="220"/>
    </row>
    <row r="190" ht="15.75" customHeight="1" outlineLevel="1">
      <c r="A190" s="211"/>
      <c r="B190" s="212"/>
      <c r="C190" s="213"/>
      <c r="D190" s="214" t="str">
        <f>IFERROR(VLOOKUP($C190,'PORTIFÓLIO'!C:V,2,0),"")</f>
        <v/>
      </c>
      <c r="E190" s="211" t="str">
        <f>IFERROR(VLOOKUP($C190,'PORTIFÓLIO'!C:V,3,0),"")</f>
        <v/>
      </c>
      <c r="F190" s="211" t="str">
        <f>IFERROR(VLOOKUP($C190,'PORTIFÓLIO'!C:V,4,0),"")</f>
        <v/>
      </c>
      <c r="G190" s="215" t="str">
        <f>IFERROR(VLOOKUP($C190,'PORTIFÓLIO'!C:V,5,0),"")</f>
        <v/>
      </c>
      <c r="H190" s="254" t="str">
        <f t="array" ref="H190">IFERROR(INDEX('PORTIFÓLIO'!$H$4:$H$433,MATCH($C190,'PORTIFÓLIO'!$C$4:$C$433,0)),"")</f>
        <v/>
      </c>
      <c r="I190" s="256"/>
      <c r="J190" s="218">
        <f t="shared" si="22"/>
        <v>0</v>
      </c>
      <c r="K190" s="219" t="str">
        <f t="array" ref="K190">IFERROR(I190*INDEX('PORTIFÓLIO'!$S$4:$S$433,MATCH($C190,'PORTIFÓLIO'!$C$4:$C$433,0)),"")</f>
        <v/>
      </c>
      <c r="L190" s="219" t="str">
        <f t="array" ref="L190">IFERROR(J190*INDEX('PORTIFÓLIO'!$S$4:$S$433,MATCH($C190,'PORTIFÓLIO'!$C$4:$C$433,0)),"")</f>
        <v/>
      </c>
      <c r="M190" s="220"/>
      <c r="N190" s="220"/>
      <c r="O190" s="220"/>
      <c r="P190" s="220"/>
      <c r="Q190" s="220"/>
      <c r="R190" s="220"/>
      <c r="S190" s="220"/>
      <c r="T190" s="220"/>
      <c r="U190" s="220"/>
      <c r="V190" s="220"/>
      <c r="W190" s="220"/>
    </row>
    <row r="191" ht="15.75" customHeight="1" outlineLevel="1">
      <c r="A191" s="211"/>
      <c r="B191" s="212"/>
      <c r="C191" s="213"/>
      <c r="D191" s="214" t="str">
        <f>IFERROR(VLOOKUP($C191,'PORTIFÓLIO'!C:V,2,0),"")</f>
        <v/>
      </c>
      <c r="E191" s="211" t="str">
        <f>IFERROR(VLOOKUP($C191,'PORTIFÓLIO'!C:V,3,0),"")</f>
        <v/>
      </c>
      <c r="F191" s="211" t="str">
        <f>IFERROR(VLOOKUP($C191,'PORTIFÓLIO'!C:V,4,0),"")</f>
        <v/>
      </c>
      <c r="G191" s="215" t="str">
        <f>IFERROR(VLOOKUP($C191,'PORTIFÓLIO'!C:V,5,0),"")</f>
        <v/>
      </c>
      <c r="H191" s="254" t="str">
        <f t="array" ref="H191">IFERROR(INDEX('PORTIFÓLIO'!$H$4:$H$433,MATCH($C191,'PORTIFÓLIO'!$C$4:$C$433,0)),"")</f>
        <v/>
      </c>
      <c r="I191" s="255"/>
      <c r="J191" s="218">
        <f t="shared" si="22"/>
        <v>0</v>
      </c>
      <c r="K191" s="219" t="str">
        <f t="array" ref="K191">IFERROR(I191*INDEX('PORTIFÓLIO'!$S$4:$S$433,MATCH($C191,'PORTIFÓLIO'!$C$4:$C$433,0)),"")</f>
        <v/>
      </c>
      <c r="L191" s="219" t="str">
        <f t="array" ref="L191">IFERROR(J191*INDEX('PORTIFÓLIO'!$S$4:$S$433,MATCH($C191,'PORTIFÓLIO'!$C$4:$C$433,0)),"")</f>
        <v/>
      </c>
      <c r="M191" s="220"/>
      <c r="N191" s="220"/>
      <c r="O191" s="220"/>
      <c r="P191" s="220"/>
      <c r="Q191" s="220"/>
      <c r="R191" s="220"/>
      <c r="S191" s="220"/>
      <c r="T191" s="220"/>
      <c r="U191" s="220"/>
      <c r="V191" s="220"/>
      <c r="W191" s="220"/>
    </row>
    <row r="192" ht="15.75" customHeight="1" outlineLevel="1">
      <c r="A192" s="211"/>
      <c r="B192" s="212"/>
      <c r="C192" s="213"/>
      <c r="D192" s="214" t="str">
        <f>IFERROR(VLOOKUP($C192,'PORTIFÓLIO'!C:V,2,0),"")</f>
        <v/>
      </c>
      <c r="E192" s="211" t="str">
        <f>IFERROR(VLOOKUP($C192,'PORTIFÓLIO'!C:V,3,0),"")</f>
        <v/>
      </c>
      <c r="F192" s="211" t="str">
        <f>IFERROR(VLOOKUP($C192,'PORTIFÓLIO'!C:V,4,0),"")</f>
        <v/>
      </c>
      <c r="G192" s="215" t="str">
        <f>IFERROR(VLOOKUP($C192,'PORTIFÓLIO'!C:V,5,0),"")</f>
        <v/>
      </c>
      <c r="H192" s="254" t="str">
        <f t="array" ref="H192">IFERROR(INDEX('PORTIFÓLIO'!$H$4:$H$433,MATCH($C192,'PORTIFÓLIO'!$C$4:$C$433,0)),"")</f>
        <v/>
      </c>
      <c r="I192" s="256"/>
      <c r="J192" s="218">
        <f t="shared" si="22"/>
        <v>0</v>
      </c>
      <c r="K192" s="219" t="str">
        <f t="array" ref="K192">IFERROR(I192*INDEX('PORTIFÓLIO'!$S$4:$S$433,MATCH($C192,'PORTIFÓLIO'!$C$4:$C$433,0)),"")</f>
        <v/>
      </c>
      <c r="L192" s="219" t="str">
        <f t="array" ref="L192">IFERROR(J192*INDEX('PORTIFÓLIO'!$S$4:$S$433,MATCH($C192,'PORTIFÓLIO'!$C$4:$C$433,0)),"")</f>
        <v/>
      </c>
      <c r="M192" s="220"/>
      <c r="N192" s="220"/>
      <c r="O192" s="220"/>
      <c r="P192" s="220"/>
      <c r="Q192" s="220"/>
      <c r="R192" s="220"/>
      <c r="S192" s="220"/>
      <c r="T192" s="220"/>
      <c r="U192" s="220"/>
      <c r="V192" s="220"/>
      <c r="W192" s="220"/>
    </row>
    <row r="193" ht="15.75" customHeight="1" outlineLevel="1">
      <c r="A193" s="211"/>
      <c r="B193" s="212"/>
      <c r="C193" s="213"/>
      <c r="D193" s="214" t="str">
        <f>IFERROR(VLOOKUP($C193,'PORTIFÓLIO'!C:V,2,0),"")</f>
        <v/>
      </c>
      <c r="E193" s="211" t="str">
        <f>IFERROR(VLOOKUP($C193,'PORTIFÓLIO'!C:V,3,0),"")</f>
        <v/>
      </c>
      <c r="F193" s="211" t="str">
        <f>IFERROR(VLOOKUP($C193,'PORTIFÓLIO'!C:V,4,0),"")</f>
        <v/>
      </c>
      <c r="G193" s="215" t="str">
        <f>IFERROR(VLOOKUP($C193,'PORTIFÓLIO'!C:V,5,0),"")</f>
        <v/>
      </c>
      <c r="H193" s="254" t="str">
        <f t="array" ref="H193">IFERROR(INDEX('PORTIFÓLIO'!$H$4:$H$433,MATCH($C193,'PORTIFÓLIO'!$C$4:$C$433,0)),"")</f>
        <v/>
      </c>
      <c r="I193" s="256"/>
      <c r="J193" s="218">
        <f t="shared" si="22"/>
        <v>0</v>
      </c>
      <c r="K193" s="219" t="str">
        <f t="array" ref="K193">IFERROR(I193*INDEX('PORTIFÓLIO'!$S$4:$S$433,MATCH($C193,'PORTIFÓLIO'!$C$4:$C$433,0)),"")</f>
        <v/>
      </c>
      <c r="L193" s="219" t="str">
        <f t="array" ref="L193">IFERROR(J193*INDEX('PORTIFÓLIO'!$S$4:$S$433,MATCH($C193,'PORTIFÓLIO'!$C$4:$C$433,0)),"")</f>
        <v/>
      </c>
      <c r="M193" s="220"/>
      <c r="N193" s="220"/>
      <c r="O193" s="220"/>
      <c r="P193" s="220"/>
      <c r="Q193" s="220"/>
      <c r="R193" s="220"/>
      <c r="S193" s="220"/>
      <c r="T193" s="220"/>
      <c r="U193" s="220"/>
      <c r="V193" s="220"/>
      <c r="W193" s="220"/>
    </row>
    <row r="194" ht="15.75" customHeight="1" outlineLevel="1">
      <c r="A194" s="211"/>
      <c r="B194" s="212"/>
      <c r="C194" s="213"/>
      <c r="D194" s="214" t="str">
        <f>IFERROR(VLOOKUP($C194,'PORTIFÓLIO'!C:V,2,0),"")</f>
        <v/>
      </c>
      <c r="E194" s="211" t="str">
        <f>IFERROR(VLOOKUP($C194,'PORTIFÓLIO'!C:V,3,0),"")</f>
        <v/>
      </c>
      <c r="F194" s="211" t="str">
        <f>IFERROR(VLOOKUP($C194,'PORTIFÓLIO'!C:V,4,0),"")</f>
        <v/>
      </c>
      <c r="G194" s="215" t="str">
        <f>IFERROR(VLOOKUP($C194,'PORTIFÓLIO'!C:V,5,0),"")</f>
        <v/>
      </c>
      <c r="H194" s="254" t="str">
        <f t="array" ref="H194">IFERROR(INDEX('PORTIFÓLIO'!$H$4:$H$433,MATCH($C194,'PORTIFÓLIO'!$C$4:$C$433,0)),"")</f>
        <v/>
      </c>
      <c r="I194" s="256"/>
      <c r="J194" s="218">
        <f t="shared" si="22"/>
        <v>0</v>
      </c>
      <c r="K194" s="219" t="str">
        <f t="array" ref="K194">IFERROR(I194*INDEX('PORTIFÓLIO'!$S$4:$S$433,MATCH($C194,'PORTIFÓLIO'!$C$4:$C$433,0)),"")</f>
        <v/>
      </c>
      <c r="L194" s="219" t="str">
        <f t="array" ref="L194">IFERROR(J194*INDEX('PORTIFÓLIO'!$S$4:$S$433,MATCH($C194,'PORTIFÓLIO'!$C$4:$C$433,0)),"")</f>
        <v/>
      </c>
      <c r="M194" s="220"/>
      <c r="N194" s="220"/>
      <c r="O194" s="220"/>
      <c r="P194" s="220"/>
      <c r="Q194" s="220"/>
      <c r="R194" s="220"/>
      <c r="S194" s="220"/>
      <c r="T194" s="220"/>
      <c r="U194" s="220"/>
      <c r="V194" s="220"/>
      <c r="W194" s="220"/>
    </row>
    <row r="195" ht="15.75" customHeight="1" outlineLevel="1">
      <c r="A195" s="211"/>
      <c r="B195" s="212"/>
      <c r="C195" s="213"/>
      <c r="D195" s="214" t="str">
        <f>IFERROR(VLOOKUP($C195,'PORTIFÓLIO'!C:V,2,0),"")</f>
        <v/>
      </c>
      <c r="E195" s="211" t="str">
        <f>IFERROR(VLOOKUP($C195,'PORTIFÓLIO'!C:V,3,0),"")</f>
        <v/>
      </c>
      <c r="F195" s="211" t="str">
        <f>IFERROR(VLOOKUP($C195,'PORTIFÓLIO'!C:V,4,0),"")</f>
        <v/>
      </c>
      <c r="G195" s="215" t="str">
        <f>IFERROR(VLOOKUP($C195,'PORTIFÓLIO'!C:V,5,0),"")</f>
        <v/>
      </c>
      <c r="H195" s="254" t="str">
        <f t="array" ref="H195">IFERROR(INDEX('PORTIFÓLIO'!$H$4:$H$433,MATCH($C195,'PORTIFÓLIO'!$C$4:$C$433,0)),"")</f>
        <v/>
      </c>
      <c r="I195" s="256"/>
      <c r="J195" s="218">
        <f t="shared" si="22"/>
        <v>0</v>
      </c>
      <c r="K195" s="219" t="str">
        <f t="array" ref="K195">IFERROR(I195*INDEX('PORTIFÓLIO'!$S$4:$S$433,MATCH($C195,'PORTIFÓLIO'!$C$4:$C$433,0)),"")</f>
        <v/>
      </c>
      <c r="L195" s="219" t="str">
        <f t="array" ref="L195">IFERROR(J195*INDEX('PORTIFÓLIO'!$S$4:$S$433,MATCH($C195,'PORTIFÓLIO'!$C$4:$C$433,0)),"")</f>
        <v/>
      </c>
      <c r="M195" s="220"/>
      <c r="N195" s="220"/>
      <c r="O195" s="220"/>
      <c r="P195" s="220"/>
      <c r="Q195" s="220"/>
      <c r="R195" s="220"/>
      <c r="S195" s="220"/>
      <c r="T195" s="220"/>
      <c r="U195" s="220"/>
      <c r="V195" s="220"/>
      <c r="W195" s="220"/>
    </row>
    <row r="196" ht="15.75" customHeight="1" outlineLevel="1">
      <c r="A196" s="211"/>
      <c r="B196" s="212"/>
      <c r="C196" s="213"/>
      <c r="D196" s="214" t="str">
        <f>IFERROR(VLOOKUP($C196,'PORTIFÓLIO'!C:V,2,0),"")</f>
        <v/>
      </c>
      <c r="E196" s="211" t="str">
        <f>IFERROR(VLOOKUP($C196,'PORTIFÓLIO'!C:V,3,0),"")</f>
        <v/>
      </c>
      <c r="F196" s="211" t="str">
        <f>IFERROR(VLOOKUP($C196,'PORTIFÓLIO'!C:V,4,0),"")</f>
        <v/>
      </c>
      <c r="G196" s="215" t="str">
        <f>IFERROR(VLOOKUP($C196,'PORTIFÓLIO'!C:V,5,0),"")</f>
        <v/>
      </c>
      <c r="H196" s="254" t="str">
        <f t="array" ref="H196">IFERROR(INDEX('PORTIFÓLIO'!$H$4:$H$433,MATCH($C196,'PORTIFÓLIO'!$C$4:$C$433,0)),"")</f>
        <v/>
      </c>
      <c r="I196" s="256"/>
      <c r="J196" s="218">
        <f t="shared" si="22"/>
        <v>0</v>
      </c>
      <c r="K196" s="219" t="str">
        <f t="array" ref="K196">IFERROR(I196*INDEX('PORTIFÓLIO'!$S$4:$S$433,MATCH($C196,'PORTIFÓLIO'!$C$4:$C$433,0)),"")</f>
        <v/>
      </c>
      <c r="L196" s="219" t="str">
        <f t="array" ref="L196">IFERROR(J196*INDEX('PORTIFÓLIO'!$S$4:$S$433,MATCH($C196,'PORTIFÓLIO'!$C$4:$C$433,0)),"")</f>
        <v/>
      </c>
      <c r="M196" s="220"/>
      <c r="N196" s="220"/>
      <c r="O196" s="220"/>
      <c r="P196" s="220"/>
      <c r="Q196" s="220"/>
      <c r="R196" s="220"/>
      <c r="S196" s="220"/>
      <c r="T196" s="220"/>
      <c r="U196" s="220"/>
      <c r="V196" s="220"/>
      <c r="W196" s="220"/>
    </row>
    <row r="197" ht="15.75" customHeight="1" outlineLevel="1">
      <c r="A197" s="211"/>
      <c r="B197" s="212"/>
      <c r="C197" s="213"/>
      <c r="D197" s="214" t="str">
        <f>IFERROR(VLOOKUP($C197,'PORTIFÓLIO'!C:V,2,0),"")</f>
        <v/>
      </c>
      <c r="E197" s="211" t="str">
        <f>IFERROR(VLOOKUP($C197,'PORTIFÓLIO'!C:V,3,0),"")</f>
        <v/>
      </c>
      <c r="F197" s="211" t="str">
        <f>IFERROR(VLOOKUP($C197,'PORTIFÓLIO'!C:V,4,0),"")</f>
        <v/>
      </c>
      <c r="G197" s="215" t="str">
        <f>IFERROR(VLOOKUP($C197,'PORTIFÓLIO'!C:V,5,0),"")</f>
        <v/>
      </c>
      <c r="H197" s="254" t="str">
        <f t="array" ref="H197">IFERROR(INDEX('PORTIFÓLIO'!$H$4:$H$433,MATCH($C197,'PORTIFÓLIO'!$C$4:$C$433,0)),"")</f>
        <v/>
      </c>
      <c r="I197" s="256"/>
      <c r="J197" s="218">
        <f t="shared" si="22"/>
        <v>0</v>
      </c>
      <c r="K197" s="219" t="str">
        <f t="array" ref="K197">IFERROR(I197*INDEX('PORTIFÓLIO'!$S$4:$S$433,MATCH($C197,'PORTIFÓLIO'!$C$4:$C$433,0)),"")</f>
        <v/>
      </c>
      <c r="L197" s="219" t="str">
        <f t="array" ref="L197">IFERROR(J197*INDEX('PORTIFÓLIO'!$S$4:$S$433,MATCH($C197,'PORTIFÓLIO'!$C$4:$C$433,0)),"")</f>
        <v/>
      </c>
      <c r="M197" s="220"/>
      <c r="N197" s="220"/>
      <c r="O197" s="220"/>
      <c r="P197" s="220"/>
      <c r="Q197" s="220"/>
      <c r="R197" s="220"/>
      <c r="S197" s="220"/>
      <c r="T197" s="220"/>
      <c r="U197" s="220"/>
      <c r="V197" s="220"/>
      <c r="W197" s="220"/>
    </row>
    <row r="198" ht="15.75" customHeight="1" outlineLevel="1">
      <c r="A198" s="211"/>
      <c r="B198" s="227"/>
      <c r="C198" s="211"/>
      <c r="D198" s="214" t="str">
        <f>IFERROR(VLOOKUP($C198,'PORTIFÓLIO'!C:V,2,0),"")</f>
        <v/>
      </c>
      <c r="E198" s="211" t="str">
        <f>IFERROR(VLOOKUP($C198,'PORTIFÓLIO'!C:V,3,0),"")</f>
        <v/>
      </c>
      <c r="F198" s="211" t="str">
        <f>IFERROR(VLOOKUP($C198,'PORTIFÓLIO'!C:V,4,0),"")</f>
        <v/>
      </c>
      <c r="G198" s="215" t="str">
        <f>IFERROR(VLOOKUP($C198,'PORTIFÓLIO'!C:V,5,0),"")</f>
        <v/>
      </c>
      <c r="H198" s="254" t="str">
        <f t="array" ref="H198">IFERROR(INDEX('PORTIFÓLIO'!$H$4:$H$433,MATCH($C198,'PORTIFÓLIO'!$C$4:$C$433,0)),"")</f>
        <v/>
      </c>
      <c r="I198" s="256"/>
      <c r="J198" s="218">
        <f t="shared" si="22"/>
        <v>0</v>
      </c>
      <c r="K198" s="219" t="str">
        <f t="array" ref="K198">IFERROR(I198*INDEX('PORTIFÓLIO'!$S$4:$S$433,MATCH($C198,'PORTIFÓLIO'!$C$4:$C$433,0)),"")</f>
        <v/>
      </c>
      <c r="L198" s="219" t="str">
        <f t="array" ref="L198">IFERROR(J198*INDEX('PORTIFÓLIO'!$S$4:$S$433,MATCH($C198,'PORTIFÓLIO'!$C$4:$C$433,0)),"")</f>
        <v/>
      </c>
      <c r="M198" s="220"/>
      <c r="N198" s="220"/>
      <c r="O198" s="220"/>
      <c r="P198" s="220"/>
      <c r="Q198" s="220"/>
      <c r="R198" s="220"/>
      <c r="S198" s="220"/>
      <c r="T198" s="220"/>
      <c r="U198" s="220"/>
      <c r="V198" s="220"/>
      <c r="W198" s="220"/>
    </row>
    <row r="199" ht="15.75" customHeight="1" outlineLevel="1">
      <c r="A199" s="211"/>
      <c r="B199" s="227"/>
      <c r="C199" s="211"/>
      <c r="D199" s="214" t="str">
        <f>IFERROR(VLOOKUP($C199,'PORTIFÓLIO'!C:V,2,0),"")</f>
        <v/>
      </c>
      <c r="E199" s="211" t="str">
        <f>IFERROR(VLOOKUP($C199,'PORTIFÓLIO'!C:V,3,0),"")</f>
        <v/>
      </c>
      <c r="F199" s="211" t="str">
        <f>IFERROR(VLOOKUP($C199,'PORTIFÓLIO'!C:V,4,0),"")</f>
        <v/>
      </c>
      <c r="G199" s="215" t="str">
        <f>IFERROR(VLOOKUP($C199,'PORTIFÓLIO'!C:V,5,0),"")</f>
        <v/>
      </c>
      <c r="H199" s="254" t="str">
        <f t="array" ref="H199">IFERROR(INDEX('PORTIFÓLIO'!$H$4:$H$433,MATCH($C199,'PORTIFÓLIO'!$C$4:$C$433,0)),"")</f>
        <v/>
      </c>
      <c r="I199" s="256"/>
      <c r="J199" s="218">
        <f t="shared" si="22"/>
        <v>0</v>
      </c>
      <c r="K199" s="219" t="str">
        <f t="array" ref="K199">IFERROR(I199*INDEX('PORTIFÓLIO'!$S$4:$S$433,MATCH($C199,'PORTIFÓLIO'!$C$4:$C$433,0)),"")</f>
        <v/>
      </c>
      <c r="L199" s="219" t="str">
        <f t="array" ref="L199">IFERROR(J199*INDEX('PORTIFÓLIO'!$S$4:$S$433,MATCH($C199,'PORTIFÓLIO'!$C$4:$C$433,0)),"")</f>
        <v/>
      </c>
      <c r="M199" s="220"/>
      <c r="N199" s="220"/>
      <c r="O199" s="220"/>
      <c r="P199" s="220"/>
      <c r="Q199" s="220"/>
      <c r="R199" s="220"/>
      <c r="S199" s="220"/>
      <c r="T199" s="220"/>
      <c r="U199" s="220"/>
      <c r="V199" s="220"/>
      <c r="W199" s="220"/>
    </row>
    <row r="200" ht="15.75" customHeight="1">
      <c r="A200" s="229" t="s">
        <v>1202</v>
      </c>
      <c r="B200" s="230"/>
      <c r="C200" s="231"/>
      <c r="D200" s="232"/>
      <c r="E200" s="231"/>
      <c r="F200" s="231"/>
      <c r="G200" s="233"/>
      <c r="H200" s="233"/>
      <c r="I200" s="258"/>
      <c r="J200" s="236"/>
      <c r="K200" s="237">
        <f t="shared" ref="K200:L200" si="23">SUBTOTAL(9,K201:K214)</f>
        <v>0</v>
      </c>
      <c r="L200" s="237">
        <f t="shared" si="23"/>
        <v>0</v>
      </c>
      <c r="M200" s="220"/>
      <c r="N200" s="220"/>
      <c r="O200" s="220"/>
      <c r="P200" s="220"/>
      <c r="Q200" s="220"/>
      <c r="R200" s="220"/>
      <c r="S200" s="220"/>
      <c r="T200" s="220"/>
      <c r="U200" s="220"/>
      <c r="V200" s="220"/>
      <c r="W200" s="220"/>
    </row>
    <row r="201" ht="15.75" customHeight="1" outlineLevel="1">
      <c r="A201" s="213"/>
      <c r="B201" s="212"/>
      <c r="C201" s="213"/>
      <c r="D201" s="214" t="str">
        <f>IFERROR(VLOOKUP($C201,'PORTIFÓLIO'!C:V,2,0),"")</f>
        <v/>
      </c>
      <c r="E201" s="211" t="str">
        <f>IFERROR(VLOOKUP($C201,'PORTIFÓLIO'!C:V,3,0),"")</f>
        <v/>
      </c>
      <c r="F201" s="211" t="str">
        <f>IFERROR(VLOOKUP($C201,'PORTIFÓLIO'!C:V,4,0),"")</f>
        <v/>
      </c>
      <c r="G201" s="215" t="str">
        <f>IFERROR(VLOOKUP($C201,'PORTIFÓLIO'!C:V,5,0),"")</f>
        <v/>
      </c>
      <c r="H201" s="254" t="str">
        <f t="array" ref="H201">IFERROR(INDEX('PORTIFÓLIO'!$H$4:$H$433,MATCH($C201,'PORTIFÓLIO'!$C$4:$C$433,0)),"")</f>
        <v/>
      </c>
      <c r="I201" s="256"/>
      <c r="J201" s="218">
        <f t="shared" ref="J201:J224" si="24">I201*$B$2</f>
        <v>0</v>
      </c>
      <c r="K201" s="219" t="str">
        <f>IFERROR(I201* VLOOKUP($C201,'PORTIFÓLIO'!C:V,10,0),"")</f>
        <v/>
      </c>
      <c r="L201" s="219" t="str">
        <f>IFERROR(J201* VLOOKUP($C201,'PORTIFÓLIO'!C:V,10,0),"")</f>
        <v/>
      </c>
      <c r="M201" s="220"/>
      <c r="N201" s="220"/>
      <c r="O201" s="220"/>
      <c r="P201" s="220"/>
      <c r="Q201" s="220"/>
      <c r="R201" s="220"/>
      <c r="S201" s="220"/>
      <c r="T201" s="220"/>
      <c r="U201" s="220"/>
      <c r="V201" s="220"/>
      <c r="W201" s="220"/>
    </row>
    <row r="202" ht="15.75" customHeight="1" outlineLevel="1">
      <c r="A202" s="211"/>
      <c r="B202" s="212"/>
      <c r="C202" s="213"/>
      <c r="D202" s="214" t="str">
        <f>IFERROR(VLOOKUP($C202,'PORTIFÓLIO'!C:V,2,0),"")</f>
        <v/>
      </c>
      <c r="E202" s="211" t="str">
        <f>IFERROR(VLOOKUP($C202,'PORTIFÓLIO'!C:V,3,0),"")</f>
        <v/>
      </c>
      <c r="F202" s="211" t="str">
        <f>IFERROR(VLOOKUP($C202,'PORTIFÓLIO'!C:V,4,0),"")</f>
        <v/>
      </c>
      <c r="G202" s="215" t="str">
        <f>IFERROR(VLOOKUP($C202,'PORTIFÓLIO'!C:V,5,0),"")</f>
        <v/>
      </c>
      <c r="H202" s="254" t="str">
        <f t="array" ref="H202">IFERROR(INDEX('PORTIFÓLIO'!$H$4:$H$433,MATCH($C202,'PORTIFÓLIO'!$C$4:$C$433,0)),"")</f>
        <v/>
      </c>
      <c r="I202" s="256"/>
      <c r="J202" s="218">
        <f t="shared" si="24"/>
        <v>0</v>
      </c>
      <c r="K202" s="219" t="str">
        <f>IFERROR(I202* VLOOKUP($C202,'PORTIFÓLIO'!C:V,10,0),"")</f>
        <v/>
      </c>
      <c r="L202" s="219" t="str">
        <f>IFERROR(J202* VLOOKUP($C202,'PORTIFÓLIO'!C:V,10,0),"")</f>
        <v/>
      </c>
      <c r="M202" s="220"/>
      <c r="N202" s="220"/>
      <c r="O202" s="220"/>
      <c r="P202" s="220"/>
      <c r="Q202" s="220"/>
      <c r="R202" s="220"/>
      <c r="S202" s="220"/>
      <c r="T202" s="220"/>
      <c r="U202" s="220"/>
      <c r="V202" s="220"/>
      <c r="W202" s="220"/>
    </row>
    <row r="203" ht="15.75" customHeight="1" outlineLevel="1">
      <c r="A203" s="211"/>
      <c r="B203" s="212"/>
      <c r="C203" s="213"/>
      <c r="D203" s="214" t="str">
        <f>IFERROR(VLOOKUP($C203,'PORTIFÓLIO'!C:V,2,0),"")</f>
        <v/>
      </c>
      <c r="E203" s="211" t="str">
        <f>IFERROR(VLOOKUP($C203,'PORTIFÓLIO'!C:V,3,0),"")</f>
        <v/>
      </c>
      <c r="F203" s="211" t="str">
        <f>IFERROR(VLOOKUP($C203,'PORTIFÓLIO'!C:V,4,0),"")</f>
        <v/>
      </c>
      <c r="G203" s="215" t="str">
        <f>IFERROR(VLOOKUP($C203,'PORTIFÓLIO'!C:V,5,0),"")</f>
        <v/>
      </c>
      <c r="H203" s="254" t="str">
        <f t="array" ref="H203">IFERROR(INDEX('PORTIFÓLIO'!$H$4:$H$433,MATCH($C203,'PORTIFÓLIO'!$C$4:$C$433,0)),"")</f>
        <v/>
      </c>
      <c r="I203" s="256"/>
      <c r="J203" s="218">
        <f t="shared" si="24"/>
        <v>0</v>
      </c>
      <c r="K203" s="219" t="str">
        <f>IFERROR(I203* VLOOKUP($C203,'PORTIFÓLIO'!C:V,10,0),"")</f>
        <v/>
      </c>
      <c r="L203" s="219" t="str">
        <f>IFERROR(J203* VLOOKUP($C203,'PORTIFÓLIO'!C:V,10,0),"")</f>
        <v/>
      </c>
      <c r="M203" s="220"/>
      <c r="N203" s="220"/>
      <c r="O203" s="220"/>
      <c r="P203" s="220"/>
      <c r="Q203" s="220"/>
      <c r="R203" s="220"/>
      <c r="S203" s="220"/>
      <c r="T203" s="220"/>
      <c r="U203" s="220"/>
      <c r="V203" s="220"/>
      <c r="W203" s="220"/>
    </row>
    <row r="204" ht="15.75" customHeight="1" outlineLevel="1">
      <c r="A204" s="211"/>
      <c r="B204" s="212"/>
      <c r="C204" s="213"/>
      <c r="D204" s="214" t="str">
        <f>IFERROR(VLOOKUP($C204,'PORTIFÓLIO'!C:V,2,0),"")</f>
        <v/>
      </c>
      <c r="E204" s="211" t="str">
        <f>IFERROR(VLOOKUP($C204,'PORTIFÓLIO'!C:V,3,0),"")</f>
        <v/>
      </c>
      <c r="F204" s="211" t="str">
        <f>IFERROR(VLOOKUP($C204,'PORTIFÓLIO'!C:V,4,0),"")</f>
        <v/>
      </c>
      <c r="G204" s="215" t="str">
        <f>IFERROR(VLOOKUP($C204,'PORTIFÓLIO'!C:V,5,0),"")</f>
        <v/>
      </c>
      <c r="H204" s="254" t="str">
        <f t="array" ref="H204">IFERROR(INDEX('PORTIFÓLIO'!$H$4:$H$433,MATCH($C204,'PORTIFÓLIO'!$C$4:$C$433,0)),"")</f>
        <v/>
      </c>
      <c r="I204" s="256"/>
      <c r="J204" s="218">
        <f t="shared" si="24"/>
        <v>0</v>
      </c>
      <c r="K204" s="219" t="str">
        <f>IFERROR(I204* VLOOKUP($C204,'PORTIFÓLIO'!C:V,10,0),"")</f>
        <v/>
      </c>
      <c r="L204" s="219" t="str">
        <f>IFERROR(J204* VLOOKUP($C204,'PORTIFÓLIO'!C:V,10,0),"")</f>
        <v/>
      </c>
      <c r="M204" s="220"/>
      <c r="N204" s="220"/>
      <c r="O204" s="220"/>
      <c r="P204" s="220"/>
      <c r="Q204" s="220"/>
      <c r="R204" s="220"/>
      <c r="S204" s="220"/>
      <c r="T204" s="220"/>
      <c r="U204" s="220"/>
      <c r="V204" s="220"/>
      <c r="W204" s="220"/>
    </row>
    <row r="205" ht="15.75" customHeight="1" outlineLevel="1">
      <c r="A205" s="211"/>
      <c r="B205" s="212"/>
      <c r="C205" s="213"/>
      <c r="D205" s="214" t="str">
        <f>IFERROR(VLOOKUP($C205,'PORTIFÓLIO'!C:V,2,0),"")</f>
        <v/>
      </c>
      <c r="E205" s="211" t="str">
        <f>IFERROR(VLOOKUP($C205,'PORTIFÓLIO'!C:V,3,0),"")</f>
        <v/>
      </c>
      <c r="F205" s="211" t="str">
        <f>IFERROR(VLOOKUP($C205,'PORTIFÓLIO'!C:V,4,0),"")</f>
        <v/>
      </c>
      <c r="G205" s="215" t="str">
        <f>IFERROR(VLOOKUP($C205,'PORTIFÓLIO'!C:V,5,0),"")</f>
        <v/>
      </c>
      <c r="H205" s="254" t="str">
        <f t="array" ref="H205">IFERROR(INDEX('PORTIFÓLIO'!$H$4:$H$433,MATCH($C205,'PORTIFÓLIO'!$C$4:$C$433,0)),"")</f>
        <v/>
      </c>
      <c r="I205" s="256"/>
      <c r="J205" s="218">
        <f t="shared" si="24"/>
        <v>0</v>
      </c>
      <c r="K205" s="219" t="str">
        <f>IFERROR(I205* VLOOKUP($C205,'PORTIFÓLIO'!C:V,10,0),"")</f>
        <v/>
      </c>
      <c r="L205" s="219" t="str">
        <f>IFERROR(J205* VLOOKUP($C205,'PORTIFÓLIO'!C:V,10,0),"")</f>
        <v/>
      </c>
      <c r="M205" s="220"/>
      <c r="N205" s="220"/>
      <c r="O205" s="220"/>
      <c r="P205" s="220"/>
      <c r="Q205" s="220"/>
      <c r="R205" s="220"/>
      <c r="S205" s="220"/>
      <c r="T205" s="220"/>
      <c r="U205" s="220"/>
      <c r="V205" s="220"/>
      <c r="W205" s="220"/>
    </row>
    <row r="206" ht="15.75" customHeight="1" outlineLevel="1">
      <c r="A206" s="211"/>
      <c r="B206" s="212"/>
      <c r="C206" s="213"/>
      <c r="D206" s="214" t="str">
        <f>IFERROR(VLOOKUP($C206,'PORTIFÓLIO'!C:V,2,0),"")</f>
        <v/>
      </c>
      <c r="E206" s="211" t="str">
        <f>IFERROR(VLOOKUP($C206,'PORTIFÓLIO'!C:V,3,0),"")</f>
        <v/>
      </c>
      <c r="F206" s="211" t="str">
        <f>IFERROR(VLOOKUP($C206,'PORTIFÓLIO'!C:V,4,0),"")</f>
        <v/>
      </c>
      <c r="G206" s="215" t="str">
        <f>IFERROR(VLOOKUP($C206,'PORTIFÓLIO'!C:V,5,0),"")</f>
        <v/>
      </c>
      <c r="H206" s="254" t="str">
        <f t="array" ref="H206">IFERROR(INDEX('PORTIFÓLIO'!$H$4:$H$433,MATCH($C206,'PORTIFÓLIO'!$C$4:$C$433,0)),"")</f>
        <v/>
      </c>
      <c r="I206" s="256"/>
      <c r="J206" s="218">
        <f t="shared" si="24"/>
        <v>0</v>
      </c>
      <c r="K206" s="219" t="str">
        <f>IFERROR(I206* VLOOKUP($C206,'PORTIFÓLIO'!C:V,10,0),"")</f>
        <v/>
      </c>
      <c r="L206" s="219" t="str">
        <f>IFERROR(J206* VLOOKUP($C206,'PORTIFÓLIO'!C:V,10,0),"")</f>
        <v/>
      </c>
      <c r="M206" s="220"/>
      <c r="N206" s="220"/>
      <c r="O206" s="220"/>
      <c r="P206" s="220"/>
      <c r="Q206" s="220"/>
      <c r="R206" s="220"/>
      <c r="S206" s="220"/>
      <c r="T206" s="220"/>
      <c r="U206" s="220"/>
      <c r="V206" s="220"/>
      <c r="W206" s="220"/>
    </row>
    <row r="207" ht="15.75" customHeight="1" outlineLevel="1">
      <c r="A207" s="211"/>
      <c r="B207" s="212"/>
      <c r="C207" s="213"/>
      <c r="D207" s="214" t="str">
        <f>IFERROR(VLOOKUP($C207,'PORTIFÓLIO'!C:V,2,0),"")</f>
        <v/>
      </c>
      <c r="E207" s="211" t="str">
        <f>IFERROR(VLOOKUP($C207,'PORTIFÓLIO'!C:V,3,0),"")</f>
        <v/>
      </c>
      <c r="F207" s="211" t="str">
        <f>IFERROR(VLOOKUP($C207,'PORTIFÓLIO'!C:V,4,0),"")</f>
        <v/>
      </c>
      <c r="G207" s="215" t="str">
        <f>IFERROR(VLOOKUP($C207,'PORTIFÓLIO'!C:V,5,0),"")</f>
        <v/>
      </c>
      <c r="H207" s="254" t="str">
        <f t="array" ref="H207">IFERROR(INDEX('PORTIFÓLIO'!$H$4:$H$433,MATCH($C207,'PORTIFÓLIO'!$C$4:$C$433,0)),"")</f>
        <v/>
      </c>
      <c r="I207" s="256"/>
      <c r="J207" s="218">
        <f t="shared" si="24"/>
        <v>0</v>
      </c>
      <c r="K207" s="219" t="str">
        <f>IFERROR(I207* VLOOKUP($C207,'PORTIFÓLIO'!C:V,10,0),"")</f>
        <v/>
      </c>
      <c r="L207" s="219" t="str">
        <f>IFERROR(J207* VLOOKUP($C207,'PORTIFÓLIO'!C:V,10,0),"")</f>
        <v/>
      </c>
      <c r="M207" s="220"/>
      <c r="N207" s="220"/>
      <c r="O207" s="220"/>
      <c r="P207" s="220"/>
      <c r="Q207" s="220"/>
      <c r="R207" s="220"/>
      <c r="S207" s="220"/>
      <c r="T207" s="220"/>
      <c r="U207" s="220"/>
      <c r="V207" s="220"/>
      <c r="W207" s="220"/>
    </row>
    <row r="208" ht="15.75" customHeight="1" outlineLevel="1">
      <c r="A208" s="211"/>
      <c r="B208" s="212"/>
      <c r="C208" s="213"/>
      <c r="D208" s="214" t="str">
        <f>IFERROR(VLOOKUP($C208,'PORTIFÓLIO'!C:V,2,0),"")</f>
        <v/>
      </c>
      <c r="E208" s="211" t="str">
        <f>IFERROR(VLOOKUP($C208,'PORTIFÓLIO'!C:V,3,0),"")</f>
        <v/>
      </c>
      <c r="F208" s="211" t="str">
        <f>IFERROR(VLOOKUP($C208,'PORTIFÓLIO'!C:V,4,0),"")</f>
        <v/>
      </c>
      <c r="G208" s="215" t="str">
        <f>IFERROR(VLOOKUP($C208,'PORTIFÓLIO'!C:V,5,0),"")</f>
        <v/>
      </c>
      <c r="H208" s="254" t="str">
        <f t="array" ref="H208">IFERROR(INDEX('PORTIFÓLIO'!$H$4:$H$433,MATCH($C208,'PORTIFÓLIO'!$C$4:$C$433,0)),"")</f>
        <v/>
      </c>
      <c r="I208" s="256"/>
      <c r="J208" s="218">
        <f t="shared" si="24"/>
        <v>0</v>
      </c>
      <c r="K208" s="219" t="str">
        <f>IFERROR(I208* VLOOKUP($C208,'PORTIFÓLIO'!C:V,10,0),"")</f>
        <v/>
      </c>
      <c r="L208" s="219" t="str">
        <f>IFERROR(J208* VLOOKUP($C208,'PORTIFÓLIO'!C:V,10,0),"")</f>
        <v/>
      </c>
      <c r="M208" s="220"/>
      <c r="N208" s="220"/>
      <c r="O208" s="220"/>
      <c r="P208" s="220"/>
      <c r="Q208" s="220"/>
      <c r="R208" s="220"/>
      <c r="S208" s="220"/>
      <c r="T208" s="220"/>
      <c r="U208" s="220"/>
      <c r="V208" s="220"/>
      <c r="W208" s="220"/>
    </row>
    <row r="209" ht="15.75" customHeight="1" outlineLevel="1">
      <c r="A209" s="211"/>
      <c r="B209" s="212"/>
      <c r="C209" s="213"/>
      <c r="D209" s="214" t="str">
        <f>IFERROR(VLOOKUP($C209,'PORTIFÓLIO'!C:V,2,0),"")</f>
        <v/>
      </c>
      <c r="E209" s="211" t="str">
        <f>IFERROR(VLOOKUP($C209,'PORTIFÓLIO'!C:V,3,0),"")</f>
        <v/>
      </c>
      <c r="F209" s="211" t="str">
        <f>IFERROR(VLOOKUP($C209,'PORTIFÓLIO'!C:V,4,0),"")</f>
        <v/>
      </c>
      <c r="G209" s="215" t="str">
        <f>IFERROR(VLOOKUP($C209,'PORTIFÓLIO'!C:V,5,0),"")</f>
        <v/>
      </c>
      <c r="H209" s="254" t="str">
        <f t="array" ref="H209">IFERROR(INDEX('PORTIFÓLIO'!$H$4:$H$433,MATCH($C209,'PORTIFÓLIO'!$C$4:$C$433,0)),"")</f>
        <v/>
      </c>
      <c r="I209" s="256"/>
      <c r="J209" s="218">
        <f t="shared" si="24"/>
        <v>0</v>
      </c>
      <c r="K209" s="219" t="str">
        <f>IFERROR(I209* VLOOKUP($C209,'PORTIFÓLIO'!C:V,10,0),"")</f>
        <v/>
      </c>
      <c r="L209" s="219" t="str">
        <f>IFERROR(J209* VLOOKUP($C209,'PORTIFÓLIO'!C:V,10,0),"")</f>
        <v/>
      </c>
      <c r="M209" s="220"/>
      <c r="N209" s="220"/>
      <c r="O209" s="220"/>
      <c r="P209" s="220"/>
      <c r="Q209" s="220"/>
      <c r="R209" s="220"/>
      <c r="S209" s="220"/>
      <c r="T209" s="220"/>
      <c r="U209" s="220"/>
      <c r="V209" s="220"/>
      <c r="W209" s="220"/>
    </row>
    <row r="210" ht="15.75" customHeight="1" outlineLevel="1">
      <c r="A210" s="211"/>
      <c r="B210" s="212"/>
      <c r="C210" s="213"/>
      <c r="D210" s="214" t="str">
        <f>IFERROR(VLOOKUP($C210,'PORTIFÓLIO'!C:V,2,0),"")</f>
        <v/>
      </c>
      <c r="E210" s="211" t="str">
        <f>IFERROR(VLOOKUP($C210,'PORTIFÓLIO'!C:V,3,0),"")</f>
        <v/>
      </c>
      <c r="F210" s="211" t="str">
        <f>IFERROR(VLOOKUP($C210,'PORTIFÓLIO'!C:V,4,0),"")</f>
        <v/>
      </c>
      <c r="G210" s="215" t="str">
        <f>IFERROR(VLOOKUP($C210,'PORTIFÓLIO'!C:V,5,0),"")</f>
        <v/>
      </c>
      <c r="H210" s="254" t="str">
        <f t="array" ref="H210">IFERROR(INDEX('PORTIFÓLIO'!$H$4:$H$433,MATCH($C210,'PORTIFÓLIO'!$C$4:$C$433,0)),"")</f>
        <v/>
      </c>
      <c r="I210" s="256"/>
      <c r="J210" s="218">
        <f t="shared" si="24"/>
        <v>0</v>
      </c>
      <c r="K210" s="219" t="str">
        <f>IFERROR(I210* VLOOKUP($C210,'PORTIFÓLIO'!C:V,10,0),"")</f>
        <v/>
      </c>
      <c r="L210" s="219" t="str">
        <f>IFERROR(J210* VLOOKUP($C210,'PORTIFÓLIO'!C:V,10,0),"")</f>
        <v/>
      </c>
      <c r="M210" s="220"/>
      <c r="N210" s="220"/>
      <c r="O210" s="220"/>
      <c r="P210" s="220"/>
      <c r="Q210" s="220"/>
      <c r="R210" s="220"/>
      <c r="S210" s="220"/>
      <c r="T210" s="220"/>
      <c r="U210" s="220"/>
      <c r="V210" s="220"/>
      <c r="W210" s="220"/>
    </row>
    <row r="211" ht="15.75" customHeight="1" outlineLevel="1">
      <c r="A211" s="211"/>
      <c r="B211" s="212"/>
      <c r="C211" s="213"/>
      <c r="D211" s="214" t="str">
        <f>IFERROR(VLOOKUP($C211,'PORTIFÓLIO'!C:V,2,0),"")</f>
        <v/>
      </c>
      <c r="E211" s="211" t="str">
        <f>IFERROR(VLOOKUP($C211,'PORTIFÓLIO'!C:V,3,0),"")</f>
        <v/>
      </c>
      <c r="F211" s="211" t="str">
        <f>IFERROR(VLOOKUP($C211,'PORTIFÓLIO'!C:V,4,0),"")</f>
        <v/>
      </c>
      <c r="G211" s="215" t="str">
        <f>IFERROR(VLOOKUP($C211,'PORTIFÓLIO'!C:V,5,0),"")</f>
        <v/>
      </c>
      <c r="H211" s="254" t="str">
        <f t="array" ref="H211">IFERROR(INDEX('PORTIFÓLIO'!$H$4:$H$433,MATCH($C211,'PORTIFÓLIO'!$C$4:$C$433,0)),"")</f>
        <v/>
      </c>
      <c r="I211" s="256"/>
      <c r="J211" s="218">
        <f t="shared" si="24"/>
        <v>0</v>
      </c>
      <c r="K211" s="219" t="str">
        <f>IFERROR(I211* VLOOKUP($C211,'PORTIFÓLIO'!C:V,10,0),"")</f>
        <v/>
      </c>
      <c r="L211" s="219" t="str">
        <f>IFERROR(J211* VLOOKUP($C211,'PORTIFÓLIO'!C:V,10,0),"")</f>
        <v/>
      </c>
      <c r="M211" s="220"/>
      <c r="N211" s="220"/>
      <c r="O211" s="220"/>
      <c r="P211" s="220"/>
      <c r="Q211" s="220"/>
      <c r="R211" s="220"/>
      <c r="S211" s="220"/>
      <c r="T211" s="220"/>
      <c r="U211" s="220"/>
      <c r="V211" s="220"/>
      <c r="W211" s="220"/>
    </row>
    <row r="212" ht="15.75" customHeight="1" outlineLevel="1">
      <c r="A212" s="211"/>
      <c r="B212" s="212"/>
      <c r="C212" s="213"/>
      <c r="D212" s="214" t="str">
        <f>IFERROR(VLOOKUP($C212,'PORTIFÓLIO'!C:V,2,0),"")</f>
        <v/>
      </c>
      <c r="E212" s="211" t="str">
        <f>IFERROR(VLOOKUP($C212,'PORTIFÓLIO'!C:V,3,0),"")</f>
        <v/>
      </c>
      <c r="F212" s="211" t="str">
        <f>IFERROR(VLOOKUP($C212,'PORTIFÓLIO'!C:V,4,0),"")</f>
        <v/>
      </c>
      <c r="G212" s="215" t="str">
        <f>IFERROR(VLOOKUP($C212,'PORTIFÓLIO'!C:V,5,0),"")</f>
        <v/>
      </c>
      <c r="H212" s="254" t="str">
        <f t="array" ref="H212">IFERROR(INDEX('PORTIFÓLIO'!$H$4:$H$433,MATCH($C212,'PORTIFÓLIO'!$C$4:$C$433,0)),"")</f>
        <v/>
      </c>
      <c r="I212" s="256"/>
      <c r="J212" s="218">
        <f t="shared" si="24"/>
        <v>0</v>
      </c>
      <c r="K212" s="219" t="str">
        <f>IFERROR(I212* VLOOKUP($C212,'PORTIFÓLIO'!C:V,10,0),"")</f>
        <v/>
      </c>
      <c r="L212" s="219" t="str">
        <f>IFERROR(J212* VLOOKUP($C212,'PORTIFÓLIO'!C:V,10,0),"")</f>
        <v/>
      </c>
      <c r="M212" s="220"/>
      <c r="N212" s="220"/>
      <c r="O212" s="220"/>
      <c r="P212" s="220"/>
      <c r="Q212" s="220"/>
      <c r="R212" s="220"/>
      <c r="S212" s="220"/>
      <c r="T212" s="220"/>
      <c r="U212" s="220"/>
      <c r="V212" s="220"/>
      <c r="W212" s="220"/>
    </row>
    <row r="213" ht="15.75" customHeight="1" outlineLevel="1">
      <c r="A213" s="211"/>
      <c r="B213" s="212"/>
      <c r="C213" s="213"/>
      <c r="D213" s="214" t="str">
        <f>IFERROR(VLOOKUP($C213,'PORTIFÓLIO'!C:V,2,0),"")</f>
        <v/>
      </c>
      <c r="E213" s="211" t="str">
        <f>IFERROR(VLOOKUP($C213,'PORTIFÓLIO'!C:V,3,0),"")</f>
        <v/>
      </c>
      <c r="F213" s="211" t="str">
        <f>IFERROR(VLOOKUP($C213,'PORTIFÓLIO'!C:V,4,0),"")</f>
        <v/>
      </c>
      <c r="G213" s="215" t="str">
        <f>IFERROR(VLOOKUP($C213,'PORTIFÓLIO'!C:V,5,0),"")</f>
        <v/>
      </c>
      <c r="H213" s="254" t="str">
        <f t="array" ref="H213">IFERROR(INDEX('PORTIFÓLIO'!$H$4:$H$433,MATCH($C213,'PORTIFÓLIO'!$C$4:$C$433,0)),"")</f>
        <v/>
      </c>
      <c r="I213" s="256"/>
      <c r="J213" s="218">
        <f t="shared" si="24"/>
        <v>0</v>
      </c>
      <c r="K213" s="219" t="str">
        <f>IFERROR(I213* VLOOKUP($C213,'PORTIFÓLIO'!C:V,10,0),"")</f>
        <v/>
      </c>
      <c r="L213" s="219" t="str">
        <f>IFERROR(J213* VLOOKUP($C213,'PORTIFÓLIO'!C:V,10,0),"")</f>
        <v/>
      </c>
      <c r="M213" s="220"/>
      <c r="N213" s="220"/>
      <c r="O213" s="220"/>
      <c r="P213" s="220"/>
      <c r="Q213" s="220"/>
      <c r="R213" s="220"/>
      <c r="S213" s="220"/>
      <c r="T213" s="220"/>
      <c r="U213" s="220"/>
      <c r="V213" s="220"/>
      <c r="W213" s="220"/>
    </row>
    <row r="214" ht="15.75" customHeight="1" outlineLevel="1">
      <c r="A214" s="211"/>
      <c r="B214" s="212"/>
      <c r="C214" s="213"/>
      <c r="D214" s="214" t="str">
        <f>IFERROR(VLOOKUP($C214,'PORTIFÓLIO'!C:V,2,0),"")</f>
        <v/>
      </c>
      <c r="E214" s="211" t="str">
        <f>IFERROR(VLOOKUP($C214,'PORTIFÓLIO'!C:V,3,0),"")</f>
        <v/>
      </c>
      <c r="F214" s="211" t="str">
        <f>IFERROR(VLOOKUP($C214,'PORTIFÓLIO'!C:V,4,0),"")</f>
        <v/>
      </c>
      <c r="G214" s="215" t="str">
        <f>IFERROR(VLOOKUP($C214,'PORTIFÓLIO'!C:V,5,0),"")</f>
        <v/>
      </c>
      <c r="H214" s="254" t="str">
        <f t="array" ref="H214">IFERROR(INDEX('PORTIFÓLIO'!$H$4:$H$433,MATCH($C214,'PORTIFÓLIO'!$C$4:$C$433,0)),"")</f>
        <v/>
      </c>
      <c r="I214" s="256"/>
      <c r="J214" s="218">
        <f t="shared" si="24"/>
        <v>0</v>
      </c>
      <c r="K214" s="219" t="str">
        <f>IFERROR(I214* VLOOKUP($C214,'PORTIFÓLIO'!C:V,10,0),"")</f>
        <v/>
      </c>
      <c r="L214" s="219" t="str">
        <f>IFERROR(J214* VLOOKUP($C214,'PORTIFÓLIO'!C:V,10,0),"")</f>
        <v/>
      </c>
      <c r="M214" s="220"/>
      <c r="N214" s="220"/>
      <c r="O214" s="220"/>
      <c r="P214" s="220"/>
      <c r="Q214" s="220"/>
      <c r="R214" s="220"/>
      <c r="S214" s="220"/>
      <c r="T214" s="220"/>
      <c r="U214" s="220"/>
      <c r="V214" s="220"/>
      <c r="W214" s="220"/>
    </row>
    <row r="215" ht="15.75" customHeight="1" outlineLevel="1">
      <c r="A215" s="211"/>
      <c r="B215" s="212"/>
      <c r="C215" s="213"/>
      <c r="D215" s="214" t="str">
        <f>IFERROR(VLOOKUP($C215,'PORTIFÓLIO'!C:V,2,0),"")</f>
        <v/>
      </c>
      <c r="E215" s="211" t="str">
        <f>IFERROR(VLOOKUP($C215,'PORTIFÓLIO'!C:V,3,0),"")</f>
        <v/>
      </c>
      <c r="F215" s="211" t="str">
        <f>IFERROR(VLOOKUP($C215,'PORTIFÓLIO'!C:V,4,0),"")</f>
        <v/>
      </c>
      <c r="G215" s="215" t="str">
        <f>IFERROR(VLOOKUP($C215,'PORTIFÓLIO'!C:V,5,0),"")</f>
        <v/>
      </c>
      <c r="H215" s="254" t="str">
        <f t="array" ref="H215">IFERROR(INDEX('PORTIFÓLIO'!$H$4:$H$433,MATCH($C215,'PORTIFÓLIO'!$C$4:$C$433,0)),"")</f>
        <v/>
      </c>
      <c r="I215" s="256"/>
      <c r="J215" s="218">
        <f t="shared" si="24"/>
        <v>0</v>
      </c>
      <c r="K215" s="219" t="str">
        <f>IFERROR(I215* VLOOKUP($C215,'PORTIFÓLIO'!C:V,10,0),"")</f>
        <v/>
      </c>
      <c r="L215" s="219" t="str">
        <f>IFERROR(J215* VLOOKUP($C215,'PORTIFÓLIO'!C:V,10,0),"")</f>
        <v/>
      </c>
      <c r="M215" s="220"/>
      <c r="N215" s="220"/>
      <c r="O215" s="220"/>
      <c r="P215" s="220"/>
      <c r="Q215" s="220"/>
      <c r="R215" s="220"/>
      <c r="S215" s="220"/>
      <c r="T215" s="220"/>
      <c r="U215" s="220"/>
      <c r="V215" s="220"/>
      <c r="W215" s="220"/>
    </row>
    <row r="216" ht="15.75" customHeight="1" outlineLevel="1">
      <c r="A216" s="211"/>
      <c r="B216" s="227"/>
      <c r="C216" s="211"/>
      <c r="D216" s="214" t="str">
        <f>IFERROR(VLOOKUP($C216,'PORTIFÓLIO'!C:V,2,0),"")</f>
        <v/>
      </c>
      <c r="E216" s="211" t="str">
        <f>IFERROR(VLOOKUP($C216,'PORTIFÓLIO'!C:V,3,0),"")</f>
        <v/>
      </c>
      <c r="F216" s="211" t="str">
        <f>IFERROR(VLOOKUP($C216,'PORTIFÓLIO'!C:V,4,0),"")</f>
        <v/>
      </c>
      <c r="G216" s="215" t="str">
        <f>IFERROR(VLOOKUP($C216,'PORTIFÓLIO'!C:V,5,0),"")</f>
        <v/>
      </c>
      <c r="H216" s="254" t="str">
        <f t="array" ref="H216">IFERROR(INDEX('PORTIFÓLIO'!$H$4:$H$433,MATCH($C216,'PORTIFÓLIO'!$C$4:$C$433,0)),"")</f>
        <v/>
      </c>
      <c r="I216" s="256"/>
      <c r="J216" s="218">
        <f t="shared" si="24"/>
        <v>0</v>
      </c>
      <c r="K216" s="219" t="str">
        <f>IFERROR(I216* VLOOKUP($C216,'PORTIFÓLIO'!C:V,10,0),"")</f>
        <v/>
      </c>
      <c r="L216" s="219" t="str">
        <f>IFERROR(J216* VLOOKUP($C216,'PORTIFÓLIO'!C:V,10,0),"")</f>
        <v/>
      </c>
      <c r="M216" s="220"/>
      <c r="N216" s="220"/>
      <c r="O216" s="220"/>
      <c r="P216" s="220"/>
      <c r="Q216" s="220"/>
      <c r="R216" s="220"/>
      <c r="S216" s="220"/>
      <c r="T216" s="220"/>
      <c r="U216" s="220"/>
      <c r="V216" s="220"/>
      <c r="W216" s="220"/>
    </row>
    <row r="217" ht="15.75" customHeight="1" outlineLevel="1">
      <c r="A217" s="211"/>
      <c r="B217" s="227"/>
      <c r="C217" s="211"/>
      <c r="D217" s="214" t="str">
        <f>IFERROR(VLOOKUP($C217,'PORTIFÓLIO'!C:V,2,0),"")</f>
        <v/>
      </c>
      <c r="E217" s="211" t="str">
        <f>IFERROR(VLOOKUP($C217,'PORTIFÓLIO'!C:V,3,0),"")</f>
        <v/>
      </c>
      <c r="F217" s="211" t="str">
        <f>IFERROR(VLOOKUP($C217,'PORTIFÓLIO'!C:V,4,0),"")</f>
        <v/>
      </c>
      <c r="G217" s="215" t="str">
        <f>IFERROR(VLOOKUP($C217,'PORTIFÓLIO'!C:V,5,0),"")</f>
        <v/>
      </c>
      <c r="H217" s="254" t="str">
        <f t="array" ref="H217">IFERROR(INDEX('PORTIFÓLIO'!$H$4:$H$433,MATCH($C217,'PORTIFÓLIO'!$C$4:$C$433,0)),"")</f>
        <v/>
      </c>
      <c r="I217" s="256"/>
      <c r="J217" s="218">
        <f t="shared" si="24"/>
        <v>0</v>
      </c>
      <c r="K217" s="219" t="str">
        <f>IFERROR(I217* VLOOKUP($C217,'PORTIFÓLIO'!C:V,10,0),"")</f>
        <v/>
      </c>
      <c r="L217" s="219" t="str">
        <f>IFERROR(J217* VLOOKUP($C217,'PORTIFÓLIO'!C:V,10,0),"")</f>
        <v/>
      </c>
      <c r="M217" s="220"/>
      <c r="N217" s="220"/>
      <c r="O217" s="220"/>
      <c r="P217" s="220"/>
      <c r="Q217" s="220"/>
      <c r="R217" s="220"/>
      <c r="S217" s="220"/>
      <c r="T217" s="220"/>
      <c r="U217" s="220"/>
      <c r="V217" s="220"/>
      <c r="W217" s="220"/>
    </row>
    <row r="218" ht="15.75" customHeight="1" outlineLevel="1">
      <c r="A218" s="211"/>
      <c r="B218" s="227"/>
      <c r="C218" s="211"/>
      <c r="D218" s="214" t="str">
        <f>IFERROR(VLOOKUP($C218,'PORTIFÓLIO'!C:V,2,0),"")</f>
        <v/>
      </c>
      <c r="E218" s="211" t="str">
        <f>IFERROR(VLOOKUP($C218,'PORTIFÓLIO'!C:V,3,0),"")</f>
        <v/>
      </c>
      <c r="F218" s="211" t="str">
        <f>IFERROR(VLOOKUP($C218,'PORTIFÓLIO'!C:V,4,0),"")</f>
        <v/>
      </c>
      <c r="G218" s="215" t="str">
        <f>IFERROR(VLOOKUP($C218,'PORTIFÓLIO'!C:V,5,0),"")</f>
        <v/>
      </c>
      <c r="H218" s="254" t="str">
        <f t="array" ref="H218">IFERROR(INDEX('PORTIFÓLIO'!$H$4:$H$433,MATCH($C218,'PORTIFÓLIO'!$C$4:$C$433,0)),"")</f>
        <v/>
      </c>
      <c r="I218" s="256"/>
      <c r="J218" s="218">
        <f t="shared" si="24"/>
        <v>0</v>
      </c>
      <c r="K218" s="219" t="str">
        <f>IFERROR(I218* VLOOKUP($C218,'PORTIFÓLIO'!C:V,10,0),"")</f>
        <v/>
      </c>
      <c r="L218" s="219" t="str">
        <f>IFERROR(J218* VLOOKUP($C218,'PORTIFÓLIO'!C:V,10,0),"")</f>
        <v/>
      </c>
      <c r="M218" s="220"/>
      <c r="N218" s="220"/>
      <c r="O218" s="220"/>
      <c r="P218" s="220"/>
      <c r="Q218" s="220"/>
      <c r="R218" s="220"/>
      <c r="S218" s="220"/>
      <c r="T218" s="220"/>
      <c r="U218" s="220"/>
      <c r="V218" s="220"/>
      <c r="W218" s="220"/>
    </row>
    <row r="219" ht="15.75" customHeight="1" outlineLevel="1">
      <c r="A219" s="211"/>
      <c r="B219" s="227"/>
      <c r="C219" s="211"/>
      <c r="D219" s="214" t="str">
        <f>IFERROR(VLOOKUP($C219,'PORTIFÓLIO'!C:V,2,0),"")</f>
        <v/>
      </c>
      <c r="E219" s="211" t="str">
        <f>IFERROR(VLOOKUP($C219,'PORTIFÓLIO'!C:V,3,0),"")</f>
        <v/>
      </c>
      <c r="F219" s="211" t="str">
        <f>IFERROR(VLOOKUP($C219,'PORTIFÓLIO'!C:V,4,0),"")</f>
        <v/>
      </c>
      <c r="G219" s="215" t="str">
        <f>IFERROR(VLOOKUP($C219,'PORTIFÓLIO'!C:V,5,0),"")</f>
        <v/>
      </c>
      <c r="H219" s="254" t="str">
        <f t="array" ref="H219">IFERROR(INDEX('PORTIFÓLIO'!$H$4:$H$433,MATCH($C219,'PORTIFÓLIO'!$C$4:$C$433,0)),"")</f>
        <v/>
      </c>
      <c r="I219" s="256"/>
      <c r="J219" s="218">
        <f t="shared" si="24"/>
        <v>0</v>
      </c>
      <c r="K219" s="219" t="str">
        <f>IFERROR(I219* VLOOKUP($C219,'PORTIFÓLIO'!C:V,10,0),"")</f>
        <v/>
      </c>
      <c r="L219" s="219" t="str">
        <f>IFERROR(J219* VLOOKUP($C219,'PORTIFÓLIO'!C:V,10,0),"")</f>
        <v/>
      </c>
      <c r="M219" s="220"/>
      <c r="N219" s="220"/>
      <c r="O219" s="220"/>
      <c r="P219" s="220"/>
      <c r="Q219" s="220"/>
      <c r="R219" s="220"/>
      <c r="S219" s="220"/>
      <c r="T219" s="220"/>
      <c r="U219" s="220"/>
      <c r="V219" s="220"/>
      <c r="W219" s="220"/>
    </row>
    <row r="220" ht="15.75" customHeight="1" outlineLevel="1">
      <c r="A220" s="211"/>
      <c r="B220" s="227"/>
      <c r="C220" s="211"/>
      <c r="D220" s="214" t="str">
        <f>IFERROR(VLOOKUP($C220,'PORTIFÓLIO'!C:V,2,0),"")</f>
        <v/>
      </c>
      <c r="E220" s="211" t="str">
        <f>IFERROR(VLOOKUP($C220,'PORTIFÓLIO'!C:V,3,0),"")</f>
        <v/>
      </c>
      <c r="F220" s="211" t="str">
        <f>IFERROR(VLOOKUP($C220,'PORTIFÓLIO'!C:V,4,0),"")</f>
        <v/>
      </c>
      <c r="G220" s="215" t="str">
        <f>IFERROR(VLOOKUP($C220,'PORTIFÓLIO'!C:V,5,0),"")</f>
        <v/>
      </c>
      <c r="H220" s="254" t="str">
        <f t="array" ref="H220">IFERROR(INDEX('PORTIFÓLIO'!$H$4:$H$433,MATCH($C220,'PORTIFÓLIO'!$C$4:$C$433,0)),"")</f>
        <v/>
      </c>
      <c r="I220" s="256"/>
      <c r="J220" s="218">
        <f t="shared" si="24"/>
        <v>0</v>
      </c>
      <c r="K220" s="219" t="str">
        <f>IFERROR(I220* VLOOKUP($C220,'PORTIFÓLIO'!C:V,10,0),"")</f>
        <v/>
      </c>
      <c r="L220" s="219" t="str">
        <f>IFERROR(J220* VLOOKUP($C220,'PORTIFÓLIO'!C:V,10,0),"")</f>
        <v/>
      </c>
      <c r="M220" s="220"/>
      <c r="N220" s="220"/>
      <c r="O220" s="220"/>
      <c r="P220" s="220"/>
      <c r="Q220" s="220"/>
      <c r="R220" s="220"/>
      <c r="S220" s="220"/>
      <c r="T220" s="220"/>
      <c r="U220" s="220"/>
      <c r="V220" s="220"/>
      <c r="W220" s="220"/>
    </row>
    <row r="221" ht="15.75" customHeight="1" outlineLevel="1">
      <c r="A221" s="211"/>
      <c r="B221" s="227"/>
      <c r="C221" s="211"/>
      <c r="D221" s="214" t="str">
        <f>IFERROR(VLOOKUP($C221,'PORTIFÓLIO'!C:V,2,0),"")</f>
        <v/>
      </c>
      <c r="E221" s="211" t="str">
        <f>IFERROR(VLOOKUP($C221,'PORTIFÓLIO'!C:V,3,0),"")</f>
        <v/>
      </c>
      <c r="F221" s="211" t="str">
        <f>IFERROR(VLOOKUP($C221,'PORTIFÓLIO'!C:V,4,0),"")</f>
        <v/>
      </c>
      <c r="G221" s="215" t="str">
        <f>IFERROR(VLOOKUP($C221,'PORTIFÓLIO'!C:V,5,0),"")</f>
        <v/>
      </c>
      <c r="H221" s="254" t="str">
        <f t="array" ref="H221">IFERROR(INDEX('PORTIFÓLIO'!$H$4:$H$433,MATCH($C221,'PORTIFÓLIO'!$C$4:$C$433,0)),"")</f>
        <v/>
      </c>
      <c r="I221" s="256"/>
      <c r="J221" s="218">
        <f t="shared" si="24"/>
        <v>0</v>
      </c>
      <c r="K221" s="219" t="str">
        <f>IFERROR(I221* VLOOKUP($C221,'PORTIFÓLIO'!C:V,10,0),"")</f>
        <v/>
      </c>
      <c r="L221" s="219" t="str">
        <f>IFERROR(J221* VLOOKUP($C221,'PORTIFÓLIO'!C:V,10,0),"")</f>
        <v/>
      </c>
      <c r="M221" s="220"/>
      <c r="N221" s="220"/>
      <c r="O221" s="220"/>
      <c r="P221" s="220"/>
      <c r="Q221" s="220"/>
      <c r="R221" s="220"/>
      <c r="S221" s="220"/>
      <c r="T221" s="220"/>
      <c r="U221" s="220"/>
      <c r="V221" s="220"/>
      <c r="W221" s="220"/>
    </row>
    <row r="222" ht="15.75" customHeight="1" outlineLevel="1">
      <c r="A222" s="211"/>
      <c r="B222" s="227"/>
      <c r="C222" s="211"/>
      <c r="D222" s="214" t="str">
        <f>IFERROR(VLOOKUP($C222,'PORTIFÓLIO'!C:V,2,0),"")</f>
        <v/>
      </c>
      <c r="E222" s="211" t="str">
        <f>IFERROR(VLOOKUP($C222,'PORTIFÓLIO'!C:V,3,0),"")</f>
        <v/>
      </c>
      <c r="F222" s="211" t="str">
        <f>IFERROR(VLOOKUP($C222,'PORTIFÓLIO'!C:V,4,0),"")</f>
        <v/>
      </c>
      <c r="G222" s="215" t="str">
        <f>IFERROR(VLOOKUP($C222,'PORTIFÓLIO'!C:V,5,0),"")</f>
        <v/>
      </c>
      <c r="H222" s="254" t="str">
        <f t="array" ref="H222">IFERROR(INDEX('PORTIFÓLIO'!$H$4:$H$433,MATCH($C222,'PORTIFÓLIO'!$C$4:$C$433,0)),"")</f>
        <v/>
      </c>
      <c r="I222" s="256"/>
      <c r="J222" s="218">
        <f t="shared" si="24"/>
        <v>0</v>
      </c>
      <c r="K222" s="219" t="str">
        <f>IFERROR(I222* VLOOKUP($C222,'PORTIFÓLIO'!C:V,10,0),"")</f>
        <v/>
      </c>
      <c r="L222" s="219" t="str">
        <f>IFERROR(J222* VLOOKUP($C222,'PORTIFÓLIO'!C:V,10,0),"")</f>
        <v/>
      </c>
      <c r="M222" s="220"/>
      <c r="N222" s="220"/>
      <c r="O222" s="220"/>
      <c r="P222" s="220"/>
      <c r="Q222" s="220"/>
      <c r="R222" s="220"/>
      <c r="S222" s="220"/>
      <c r="T222" s="220"/>
      <c r="U222" s="220"/>
      <c r="V222" s="220"/>
      <c r="W222" s="220"/>
    </row>
    <row r="223" ht="15.75" customHeight="1" outlineLevel="1">
      <c r="A223" s="211"/>
      <c r="B223" s="227"/>
      <c r="C223" s="211"/>
      <c r="D223" s="214" t="str">
        <f>IFERROR(VLOOKUP($C223,'PORTIFÓLIO'!C:V,2,0),"")</f>
        <v/>
      </c>
      <c r="E223" s="211" t="str">
        <f>IFERROR(VLOOKUP($C223,'PORTIFÓLIO'!C:V,3,0),"")</f>
        <v/>
      </c>
      <c r="F223" s="211" t="str">
        <f>IFERROR(VLOOKUP($C223,'PORTIFÓLIO'!C:V,4,0),"")</f>
        <v/>
      </c>
      <c r="G223" s="215" t="str">
        <f>IFERROR(VLOOKUP($C223,'PORTIFÓLIO'!C:V,5,0),"")</f>
        <v/>
      </c>
      <c r="H223" s="254" t="str">
        <f t="array" ref="H223">IFERROR(INDEX('PORTIFÓLIO'!$H$4:$H$433,MATCH($C223,'PORTIFÓLIO'!$C$4:$C$433,0)),"")</f>
        <v/>
      </c>
      <c r="I223" s="256"/>
      <c r="J223" s="218">
        <f t="shared" si="24"/>
        <v>0</v>
      </c>
      <c r="K223" s="219" t="str">
        <f>IFERROR(I223* VLOOKUP($C223,'PORTIFÓLIO'!C:V,10,0),"")</f>
        <v/>
      </c>
      <c r="L223" s="219" t="str">
        <f>IFERROR(J223* VLOOKUP($C223,'PORTIFÓLIO'!C:V,10,0),"")</f>
        <v/>
      </c>
      <c r="M223" s="220"/>
      <c r="N223" s="220"/>
      <c r="O223" s="220"/>
      <c r="P223" s="220"/>
      <c r="Q223" s="220"/>
      <c r="R223" s="220"/>
      <c r="S223" s="220"/>
      <c r="T223" s="220"/>
      <c r="U223" s="220"/>
      <c r="V223" s="220"/>
      <c r="W223" s="220"/>
    </row>
    <row r="224" ht="15.75" customHeight="1" outlineLevel="1">
      <c r="A224" s="211"/>
      <c r="B224" s="227"/>
      <c r="C224" s="211"/>
      <c r="D224" s="214" t="str">
        <f>IFERROR(VLOOKUP($C224,'PORTIFÓLIO'!C:V,2,0),"")</f>
        <v/>
      </c>
      <c r="E224" s="211" t="str">
        <f>IFERROR(VLOOKUP($C224,'PORTIFÓLIO'!C:V,3,0),"")</f>
        <v/>
      </c>
      <c r="F224" s="211" t="str">
        <f>IFERROR(VLOOKUP($C224,'PORTIFÓLIO'!C:V,4,0),"")</f>
        <v/>
      </c>
      <c r="G224" s="215" t="str">
        <f>IFERROR(VLOOKUP($C224,'PORTIFÓLIO'!C:V,5,0),"")</f>
        <v/>
      </c>
      <c r="H224" s="254" t="str">
        <f t="array" ref="H224">IFERROR(INDEX('PORTIFÓLIO'!$H$4:$H$433,MATCH($C224,'PORTIFÓLIO'!$C$4:$C$433,0)),"")</f>
        <v/>
      </c>
      <c r="I224" s="256"/>
      <c r="J224" s="218">
        <f t="shared" si="24"/>
        <v>0</v>
      </c>
      <c r="K224" s="219" t="str">
        <f>IFERROR(I224* VLOOKUP($C224,'PORTIFÓLIO'!C:V,10,0),"")</f>
        <v/>
      </c>
      <c r="L224" s="219" t="str">
        <f>IFERROR(J224* VLOOKUP($C224,'PORTIFÓLIO'!C:V,10,0),"")</f>
        <v/>
      </c>
      <c r="M224" s="220"/>
      <c r="N224" s="220"/>
      <c r="O224" s="220"/>
      <c r="P224" s="220"/>
      <c r="Q224" s="220"/>
      <c r="R224" s="220"/>
      <c r="S224" s="220"/>
      <c r="T224" s="220"/>
      <c r="U224" s="220"/>
      <c r="V224" s="220"/>
      <c r="W224" s="220"/>
    </row>
    <row r="225" ht="15.75" customHeight="1">
      <c r="A225" s="227"/>
      <c r="B225" s="227"/>
      <c r="C225" s="227"/>
      <c r="D225" s="227"/>
      <c r="E225" s="227"/>
      <c r="F225" s="227"/>
      <c r="G225" s="215"/>
      <c r="H225" s="278" t="str">
        <f t="array" ref="H225">IFERROR(INDEX('PORTIFÓLIO'!$H$4:$H$433,MATCH($C225,'PORTIFÓLIO'!$C$4:$C$433,0)),"")</f>
        <v/>
      </c>
      <c r="I225" s="227"/>
      <c r="J225" s="227"/>
      <c r="K225" s="284">
        <f t="shared" ref="K225:L225" si="25">SUBTOTAL(9,K10:K200)</f>
        <v>1837.611492</v>
      </c>
      <c r="L225" s="284">
        <f t="shared" si="25"/>
        <v>220513.3791</v>
      </c>
      <c r="M225" s="220"/>
      <c r="N225" s="220"/>
      <c r="O225" s="220"/>
      <c r="P225" s="220"/>
      <c r="Q225" s="220"/>
      <c r="R225" s="220"/>
      <c r="S225" s="220"/>
      <c r="T225" s="220"/>
      <c r="U225" s="220"/>
      <c r="V225" s="220"/>
      <c r="W225" s="220"/>
    </row>
    <row r="226" ht="15.75" customHeight="1">
      <c r="A226" s="285"/>
      <c r="B226" s="285"/>
      <c r="C226" s="285"/>
      <c r="D226" s="285"/>
      <c r="E226" s="285"/>
      <c r="F226" s="285"/>
      <c r="G226" s="286"/>
      <c r="H226" s="286"/>
      <c r="I226" s="285"/>
      <c r="J226" s="285"/>
      <c r="K226" s="285"/>
      <c r="L226" s="285"/>
      <c r="M226" s="285"/>
      <c r="N226" s="285"/>
      <c r="O226" s="285"/>
      <c r="P226" s="285"/>
      <c r="Q226" s="285"/>
      <c r="R226" s="285"/>
      <c r="S226" s="285"/>
      <c r="T226" s="285"/>
      <c r="U226" s="285"/>
      <c r="V226" s="285"/>
      <c r="W226" s="285"/>
    </row>
    <row r="227" ht="15.75" customHeight="1">
      <c r="A227" s="260" t="s">
        <v>1203</v>
      </c>
      <c r="B227" s="261" t="str">
        <f>'ÁREA PLANTIO'!B12</f>
        <v>P120</v>
      </c>
      <c r="C227" s="262" t="s">
        <v>1166</v>
      </c>
      <c r="D227" s="263">
        <f>$K$452</f>
        <v>0</v>
      </c>
      <c r="E227" s="264"/>
      <c r="F227" s="265" t="s">
        <v>1167</v>
      </c>
      <c r="G227" s="266"/>
      <c r="H227" s="287" t="str">
        <f t="array" ref="H227">IFERROR(INDEX('PORTIFÓLIO'!$H$4:$H$433,MATCH($C227,'PORTIFÓLIO'!$C$4:$C$433,0)),"")</f>
        <v/>
      </c>
      <c r="I227" s="267"/>
      <c r="J227" s="267"/>
      <c r="K227" s="266"/>
      <c r="L227" s="220"/>
      <c r="M227" s="220"/>
      <c r="N227" s="220"/>
      <c r="O227" s="220"/>
      <c r="P227" s="220"/>
      <c r="Q227" s="220"/>
      <c r="R227" s="220"/>
      <c r="S227" s="220"/>
      <c r="T227" s="220"/>
      <c r="U227" s="220"/>
      <c r="V227" s="220"/>
      <c r="W227" s="220"/>
    </row>
    <row r="228" ht="15.75" customHeight="1">
      <c r="A228" s="260" t="s">
        <v>1168</v>
      </c>
      <c r="B228" s="268">
        <f>'ÁREA PLANTIO'!E12</f>
        <v>120</v>
      </c>
      <c r="C228" s="269" t="s">
        <v>1169</v>
      </c>
      <c r="D228" s="270" t="str">
        <f>'ÁREA PLANTIO'!I12</f>
        <v/>
      </c>
      <c r="E228" s="264"/>
      <c r="F228" s="264"/>
      <c r="G228" s="266"/>
      <c r="H228" s="287" t="str">
        <f t="array" ref="H228">IFERROR(INDEX('PORTIFÓLIO'!$H$4:$H$433,MATCH($C228,'PORTIFÓLIO'!$C$4:$C$433,0)),"")</f>
        <v/>
      </c>
      <c r="I228" s="267"/>
      <c r="J228" s="267"/>
      <c r="K228" s="266"/>
      <c r="L228" s="220"/>
      <c r="M228" s="220"/>
      <c r="N228" s="220"/>
      <c r="O228" s="220"/>
      <c r="P228" s="220"/>
      <c r="Q228" s="220"/>
      <c r="R228" s="220"/>
      <c r="S228" s="220"/>
      <c r="T228" s="220"/>
      <c r="U228" s="220"/>
      <c r="V228" s="220"/>
      <c r="W228" s="220"/>
    </row>
    <row r="229" ht="15.75" customHeight="1">
      <c r="A229" s="260" t="s">
        <v>1170</v>
      </c>
      <c r="B229" s="267" t="str">
        <f>'ÁREA PLANTIO'!H12</f>
        <v/>
      </c>
      <c r="C229" s="269" t="s">
        <v>1171</v>
      </c>
      <c r="D229" s="271" t="str">
        <f>D227/D228</f>
        <v>#DIV/0!</v>
      </c>
      <c r="E229" s="264"/>
      <c r="F229" s="264"/>
      <c r="G229" s="266"/>
      <c r="H229" s="287" t="str">
        <f t="array" ref="H229">IFERROR(INDEX('PORTIFÓLIO'!$H$4:$H$433,MATCH($C229,'PORTIFÓLIO'!$C$4:$C$433,0)),"")</f>
        <v/>
      </c>
      <c r="I229" s="267"/>
      <c r="J229" s="267"/>
      <c r="K229" s="266"/>
      <c r="L229" s="220"/>
      <c r="M229" s="220"/>
      <c r="N229" s="220"/>
      <c r="O229" s="220"/>
      <c r="P229" s="220"/>
      <c r="Q229" s="220"/>
      <c r="R229" s="220"/>
      <c r="S229" s="220"/>
      <c r="T229" s="220"/>
      <c r="U229" s="220"/>
      <c r="V229" s="220"/>
      <c r="W229" s="220"/>
    </row>
    <row r="230" ht="15.75" customHeight="1">
      <c r="A230" s="272" t="s">
        <v>1172</v>
      </c>
      <c r="B230" s="273">
        <v>45606.0</v>
      </c>
      <c r="C230" s="274"/>
      <c r="D230" s="275"/>
      <c r="E230" s="276"/>
      <c r="F230" s="264"/>
      <c r="G230" s="266"/>
      <c r="H230" s="287" t="str">
        <f t="array" ref="H230">IFERROR(INDEX('PORTIFÓLIO'!$H$4:$H$433,MATCH($C230,'PORTIFÓLIO'!$C$4:$C$433,0)),"")</f>
        <v/>
      </c>
      <c r="I230" s="267"/>
      <c r="J230" s="267"/>
      <c r="K230" s="266"/>
      <c r="L230" s="220"/>
      <c r="M230" s="220"/>
      <c r="N230" s="220"/>
      <c r="O230" s="220"/>
      <c r="P230" s="220"/>
      <c r="Q230" s="220"/>
      <c r="R230" s="220"/>
      <c r="S230" s="220"/>
      <c r="T230" s="220"/>
      <c r="U230" s="220"/>
      <c r="V230" s="220"/>
      <c r="W230" s="220"/>
    </row>
    <row r="231" ht="15.75" customHeight="1">
      <c r="E231" s="277"/>
      <c r="F231" s="264"/>
      <c r="G231" s="266"/>
      <c r="H231" s="287" t="str">
        <f t="array" ref="H231">IFERROR(INDEX('PORTIFÓLIO'!$H$4:$H$433,MATCH($C231,'PORTIFÓLIO'!$C$4:$C$433,0)),"")</f>
        <v/>
      </c>
      <c r="I231" s="267"/>
      <c r="J231" s="267"/>
      <c r="K231" s="266"/>
      <c r="L231" s="220"/>
      <c r="M231" s="220"/>
      <c r="N231" s="220"/>
      <c r="O231" s="220"/>
      <c r="P231" s="220"/>
      <c r="Q231" s="220"/>
      <c r="R231" s="220"/>
      <c r="S231" s="220"/>
      <c r="T231" s="220"/>
      <c r="U231" s="220"/>
      <c r="V231" s="220"/>
      <c r="W231" s="220"/>
    </row>
    <row r="232" ht="15.75" customHeight="1">
      <c r="A232" s="260"/>
      <c r="B232" s="267"/>
      <c r="C232" s="264"/>
      <c r="D232" s="264"/>
      <c r="E232" s="264"/>
      <c r="F232" s="264"/>
      <c r="G232" s="266"/>
      <c r="H232" s="287" t="str">
        <f t="array" ref="H232">IFERROR(INDEX('PORTIFÓLIO'!$H$4:$H$433,MATCH($C232,'PORTIFÓLIO'!$C$4:$C$433,0)),"")</f>
        <v/>
      </c>
      <c r="I232" s="267"/>
      <c r="J232" s="267"/>
      <c r="K232" s="266"/>
      <c r="L232" s="220"/>
      <c r="M232" s="220"/>
      <c r="N232" s="220"/>
      <c r="O232" s="220"/>
      <c r="P232" s="220"/>
      <c r="Q232" s="220"/>
      <c r="R232" s="220"/>
      <c r="S232" s="220"/>
      <c r="T232" s="220"/>
      <c r="U232" s="220"/>
      <c r="V232" s="220"/>
      <c r="W232" s="220"/>
    </row>
    <row r="233" ht="15.75" customHeight="1">
      <c r="A233" s="267"/>
      <c r="B233" s="267"/>
      <c r="C233" s="264"/>
      <c r="D233" s="264"/>
      <c r="E233" s="264"/>
      <c r="F233" s="264"/>
      <c r="G233" s="266"/>
      <c r="H233" s="287" t="str">
        <f t="array" ref="H233">IFERROR(INDEX('PORTIFÓLIO'!$H$4:$H$433,MATCH($C233,'PORTIFÓLIO'!$C$4:$C$433,0)),"")</f>
        <v/>
      </c>
      <c r="I233" s="267"/>
      <c r="J233" s="267"/>
      <c r="K233" s="266"/>
      <c r="L233" s="220"/>
      <c r="M233" s="220"/>
      <c r="N233" s="220"/>
      <c r="O233" s="220"/>
      <c r="P233" s="220"/>
      <c r="Q233" s="220"/>
      <c r="R233" s="220"/>
      <c r="S233" s="220"/>
      <c r="T233" s="220"/>
      <c r="U233" s="220"/>
      <c r="V233" s="220"/>
      <c r="W233" s="220"/>
    </row>
    <row r="234" ht="15.75" customHeight="1">
      <c r="A234" s="267"/>
      <c r="B234" s="267"/>
      <c r="C234" s="267"/>
      <c r="D234" s="267"/>
      <c r="E234" s="264"/>
      <c r="F234" s="264"/>
      <c r="G234" s="266"/>
      <c r="H234" s="287" t="str">
        <f t="array" ref="H234">IFERROR(INDEX('PORTIFÓLIO'!$H$4:$H$433,MATCH($C234,'PORTIFÓLIO'!$C$4:$C$433,0)),"")</f>
        <v/>
      </c>
      <c r="I234" s="267"/>
      <c r="J234" s="267"/>
      <c r="K234" s="266"/>
      <c r="L234" s="220"/>
      <c r="M234" s="220"/>
      <c r="N234" s="220"/>
      <c r="O234" s="220"/>
      <c r="P234" s="220"/>
      <c r="Q234" s="220"/>
      <c r="R234" s="220"/>
      <c r="S234" s="220"/>
      <c r="T234" s="220"/>
      <c r="U234" s="220"/>
      <c r="V234" s="220"/>
      <c r="W234" s="220"/>
    </row>
    <row r="235" ht="15.75" customHeight="1">
      <c r="A235" s="267"/>
      <c r="B235" s="267"/>
      <c r="C235" s="267"/>
      <c r="D235" s="267"/>
      <c r="E235" s="267"/>
      <c r="F235" s="267"/>
      <c r="G235" s="266"/>
      <c r="H235" s="287"/>
      <c r="I235" s="287"/>
      <c r="J235" s="288"/>
      <c r="K235" s="289"/>
      <c r="L235" s="290"/>
      <c r="M235" s="220"/>
      <c r="N235" s="220"/>
      <c r="O235" s="220"/>
      <c r="P235" s="220"/>
      <c r="Q235" s="220"/>
      <c r="R235" s="220"/>
      <c r="S235" s="220"/>
      <c r="T235" s="220"/>
      <c r="U235" s="220"/>
      <c r="V235" s="220"/>
      <c r="W235" s="220"/>
    </row>
    <row r="236" ht="15.75" customHeight="1">
      <c r="A236" s="211" t="s">
        <v>1173</v>
      </c>
      <c r="B236" s="213" t="s">
        <v>1174</v>
      </c>
      <c r="C236" s="213" t="s">
        <v>1175</v>
      </c>
      <c r="D236" s="211" t="s">
        <v>1176</v>
      </c>
      <c r="E236" s="211" t="s">
        <v>1177</v>
      </c>
      <c r="F236" s="211" t="s">
        <v>1178</v>
      </c>
      <c r="G236" s="291" t="s">
        <v>1180</v>
      </c>
      <c r="H236" s="278" t="s">
        <v>1179</v>
      </c>
      <c r="I236" s="278" t="s">
        <v>1181</v>
      </c>
      <c r="J236" s="279" t="s">
        <v>1134</v>
      </c>
      <c r="K236" s="280" t="s">
        <v>1182</v>
      </c>
      <c r="L236" s="281" t="s">
        <v>339</v>
      </c>
      <c r="M236" s="220"/>
      <c r="N236" s="220"/>
      <c r="O236" s="220"/>
      <c r="P236" s="220"/>
      <c r="Q236" s="220"/>
      <c r="R236" s="220"/>
      <c r="S236" s="220"/>
      <c r="T236" s="220"/>
      <c r="U236" s="220"/>
      <c r="V236" s="220"/>
      <c r="W236" s="220"/>
    </row>
    <row r="237" ht="15.75" customHeight="1">
      <c r="A237" s="231" t="s">
        <v>1183</v>
      </c>
      <c r="B237" s="230"/>
      <c r="C237" s="231"/>
      <c r="D237" s="232"/>
      <c r="E237" s="231"/>
      <c r="F237" s="231"/>
      <c r="G237" s="233"/>
      <c r="H237" s="233"/>
      <c r="I237" s="258"/>
      <c r="J237" s="236"/>
      <c r="K237" s="237">
        <f t="shared" ref="K237:L237" si="26">SUBTOTAL(9,K238:K251)</f>
        <v>0</v>
      </c>
      <c r="L237" s="237">
        <f t="shared" si="26"/>
        <v>0</v>
      </c>
      <c r="M237" s="220"/>
      <c r="N237" s="220"/>
      <c r="O237" s="220"/>
      <c r="P237" s="220"/>
      <c r="Q237" s="220"/>
      <c r="R237" s="220"/>
      <c r="S237" s="220"/>
      <c r="T237" s="220"/>
      <c r="U237" s="220"/>
      <c r="V237" s="220"/>
      <c r="W237" s="220"/>
    </row>
    <row r="238" ht="15.75" customHeight="1" outlineLevel="1">
      <c r="A238" s="211"/>
      <c r="B238" s="212"/>
      <c r="C238" s="213"/>
      <c r="D238" s="214" t="str">
        <f>IFERROR(VLOOKUP($C238,'PORTIFÓLIO'!C:V,2,0),"")</f>
        <v/>
      </c>
      <c r="E238" s="211" t="str">
        <f>IFERROR(VLOOKUP($C238,'PORTIFÓLIO'!C:V,3,0),"")</f>
        <v/>
      </c>
      <c r="F238" s="211" t="str">
        <f>IFERROR(VLOOKUP($C238,'PORTIFÓLIO'!C:V,4,0),"")</f>
        <v/>
      </c>
      <c r="G238" s="215" t="str">
        <f>IFERROR(VLOOKUP($C238,'PORTIFÓLIO'!C:V,5,0),"")</f>
        <v/>
      </c>
      <c r="H238" s="254" t="str">
        <f t="array" ref="H238">IFERROR(INDEX('PORTIFÓLIO'!$H$4:$H$433,MATCH($C238,'PORTIFÓLIO'!$C$4:$C$433,0)),"")</f>
        <v/>
      </c>
      <c r="I238" s="255"/>
      <c r="J238" s="218">
        <f t="shared" ref="J238:J251" si="27">I238*$B$2</f>
        <v>0</v>
      </c>
      <c r="K238" s="219" t="str">
        <f t="array" ref="K238">IFERROR(I238*INDEX('PORTIFÓLIO'!$S$4:$S$433,MATCH($C238,'PORTIFÓLIO'!$C$4:$C$433,0)),"")</f>
        <v/>
      </c>
      <c r="L238" s="219" t="str">
        <f t="array" ref="L238">IFERROR(J238*INDEX('PORTIFÓLIO'!$S$4:$S$433,MATCH($C238,'PORTIFÓLIO'!$C$4:$C$433,0)),"")</f>
        <v/>
      </c>
      <c r="M238" s="220"/>
      <c r="N238" s="220"/>
      <c r="O238" s="220"/>
      <c r="P238" s="220"/>
      <c r="Q238" s="220"/>
      <c r="R238" s="220"/>
      <c r="S238" s="220"/>
      <c r="T238" s="220"/>
      <c r="U238" s="220"/>
      <c r="V238" s="220"/>
      <c r="W238" s="220"/>
    </row>
    <row r="239" ht="15.75" customHeight="1" outlineLevel="1">
      <c r="A239" s="211"/>
      <c r="B239" s="212"/>
      <c r="C239" s="213"/>
      <c r="D239" s="214" t="str">
        <f>IFERROR(VLOOKUP($C239,'PORTIFÓLIO'!C:V,2,0),"")</f>
        <v/>
      </c>
      <c r="E239" s="211" t="str">
        <f>IFERROR(VLOOKUP($C239,'PORTIFÓLIO'!C:V,3,0),"")</f>
        <v/>
      </c>
      <c r="F239" s="211" t="str">
        <f>IFERROR(VLOOKUP($C239,'PORTIFÓLIO'!C:V,4,0),"")</f>
        <v/>
      </c>
      <c r="G239" s="215" t="str">
        <f>IFERROR(VLOOKUP($C239,'PORTIFÓLIO'!C:V,5,0),"")</f>
        <v/>
      </c>
      <c r="H239" s="254" t="str">
        <f t="array" ref="H239">IFERROR(INDEX('PORTIFÓLIO'!$H$4:$H$433,MATCH($C239,'PORTIFÓLIO'!$C$4:$C$433,0)),"")</f>
        <v/>
      </c>
      <c r="I239" s="255"/>
      <c r="J239" s="218">
        <f t="shared" si="27"/>
        <v>0</v>
      </c>
      <c r="K239" s="219" t="str">
        <f t="array" ref="K239">IFERROR(I239*INDEX('PORTIFÓLIO'!$S$4:$S$433,MATCH($C239,'PORTIFÓLIO'!$C$4:$C$433,0)),"")</f>
        <v/>
      </c>
      <c r="L239" s="219" t="str">
        <f t="array" ref="L239">IFERROR(J239*INDEX('PORTIFÓLIO'!$S$4:$S$433,MATCH($C239,'PORTIFÓLIO'!$C$4:$C$433,0)),"")</f>
        <v/>
      </c>
      <c r="M239" s="220"/>
      <c r="N239" s="220"/>
      <c r="O239" s="220"/>
      <c r="P239" s="220"/>
      <c r="Q239" s="220"/>
      <c r="R239" s="220"/>
      <c r="S239" s="220"/>
      <c r="T239" s="220"/>
      <c r="U239" s="220"/>
      <c r="V239" s="220"/>
      <c r="W239" s="220"/>
    </row>
    <row r="240" ht="15.75" customHeight="1" outlineLevel="1">
      <c r="A240" s="211"/>
      <c r="B240" s="212"/>
      <c r="C240" s="213"/>
      <c r="D240" s="214" t="str">
        <f>IFERROR(VLOOKUP($C240,'PORTIFÓLIO'!C:V,2,0),"")</f>
        <v/>
      </c>
      <c r="E240" s="211" t="str">
        <f>IFERROR(VLOOKUP($C240,'PORTIFÓLIO'!C:V,3,0),"")</f>
        <v/>
      </c>
      <c r="F240" s="211" t="str">
        <f>IFERROR(VLOOKUP($C240,'PORTIFÓLIO'!C:V,4,0),"")</f>
        <v/>
      </c>
      <c r="G240" s="215" t="str">
        <f>IFERROR(VLOOKUP($C240,'PORTIFÓLIO'!C:V,5,0),"")</f>
        <v/>
      </c>
      <c r="H240" s="254" t="str">
        <f t="array" ref="H240">IFERROR(INDEX('PORTIFÓLIO'!$H$4:$H$433,MATCH($C240,'PORTIFÓLIO'!$C$4:$C$433,0)),"")</f>
        <v/>
      </c>
      <c r="I240" s="256"/>
      <c r="J240" s="218">
        <f t="shared" si="27"/>
        <v>0</v>
      </c>
      <c r="K240" s="219" t="str">
        <f t="array" ref="K240">IFERROR(I240*INDEX('PORTIFÓLIO'!$S$4:$S$433,MATCH($C240,'PORTIFÓLIO'!$C$4:$C$433,0)),"")</f>
        <v/>
      </c>
      <c r="L240" s="219" t="str">
        <f t="array" ref="L240">IFERROR(J240*INDEX('PORTIFÓLIO'!$S$4:$S$433,MATCH($C240,'PORTIFÓLIO'!$C$4:$C$433,0)),"")</f>
        <v/>
      </c>
      <c r="M240" s="220"/>
      <c r="N240" s="220"/>
      <c r="O240" s="220"/>
      <c r="P240" s="220"/>
      <c r="Q240" s="220"/>
      <c r="R240" s="220"/>
      <c r="S240" s="220"/>
      <c r="T240" s="220"/>
      <c r="U240" s="220"/>
      <c r="V240" s="220"/>
      <c r="W240" s="220"/>
    </row>
    <row r="241" ht="15.75" customHeight="1" outlineLevel="1">
      <c r="A241" s="211"/>
      <c r="B241" s="212"/>
      <c r="C241" s="213"/>
      <c r="D241" s="214" t="str">
        <f>IFERROR(VLOOKUP($C241,'PORTIFÓLIO'!C:V,2,0),"")</f>
        <v/>
      </c>
      <c r="E241" s="211" t="str">
        <f>IFERROR(VLOOKUP($C241,'PORTIFÓLIO'!C:V,3,0),"")</f>
        <v/>
      </c>
      <c r="F241" s="211" t="str">
        <f>IFERROR(VLOOKUP($C241,'PORTIFÓLIO'!C:V,4,0),"")</f>
        <v/>
      </c>
      <c r="G241" s="215" t="str">
        <f>IFERROR(VLOOKUP($C241,'PORTIFÓLIO'!C:V,5,0),"")</f>
        <v/>
      </c>
      <c r="H241" s="254" t="str">
        <f t="array" ref="H241">IFERROR(INDEX('PORTIFÓLIO'!$H$4:$H$433,MATCH($C241,'PORTIFÓLIO'!$C$4:$C$433,0)),"")</f>
        <v/>
      </c>
      <c r="I241" s="256"/>
      <c r="J241" s="218">
        <f t="shared" si="27"/>
        <v>0</v>
      </c>
      <c r="K241" s="219" t="str">
        <f t="array" ref="K241">IFERROR(I241*INDEX('PORTIFÓLIO'!$S$4:$S$433,MATCH($C241,'PORTIFÓLIO'!$C$4:$C$433,0)),"")</f>
        <v/>
      </c>
      <c r="L241" s="219" t="str">
        <f t="array" ref="L241">IFERROR(J241*INDEX('PORTIFÓLIO'!$S$4:$S$433,MATCH($C241,'PORTIFÓLIO'!$C$4:$C$433,0)),"")</f>
        <v/>
      </c>
      <c r="M241" s="220"/>
      <c r="N241" s="220"/>
      <c r="O241" s="220"/>
      <c r="P241" s="220"/>
      <c r="Q241" s="220"/>
      <c r="R241" s="220"/>
      <c r="S241" s="220"/>
      <c r="T241" s="220"/>
      <c r="U241" s="220"/>
      <c r="V241" s="220"/>
      <c r="W241" s="220"/>
    </row>
    <row r="242" ht="15.75" customHeight="1" outlineLevel="1">
      <c r="A242" s="211"/>
      <c r="B242" s="212"/>
      <c r="C242" s="213"/>
      <c r="D242" s="214" t="str">
        <f>IFERROR(VLOOKUP($C242,'PORTIFÓLIO'!C:V,2,0),"")</f>
        <v/>
      </c>
      <c r="E242" s="211" t="str">
        <f>IFERROR(VLOOKUP($C242,'PORTIFÓLIO'!C:V,3,0),"")</f>
        <v/>
      </c>
      <c r="F242" s="211" t="str">
        <f>IFERROR(VLOOKUP($C242,'PORTIFÓLIO'!C:V,4,0),"")</f>
        <v/>
      </c>
      <c r="G242" s="215" t="str">
        <f>IFERROR(VLOOKUP($C242,'PORTIFÓLIO'!C:V,5,0),"")</f>
        <v/>
      </c>
      <c r="H242" s="254" t="str">
        <f t="array" ref="H242">IFERROR(INDEX('PORTIFÓLIO'!$H$4:$H$433,MATCH($C242,'PORTIFÓLIO'!$C$4:$C$433,0)),"")</f>
        <v/>
      </c>
      <c r="I242" s="255"/>
      <c r="J242" s="218">
        <f t="shared" si="27"/>
        <v>0</v>
      </c>
      <c r="K242" s="219" t="str">
        <f t="array" ref="K242">IFERROR(I242*INDEX('PORTIFÓLIO'!$S$4:$S$433,MATCH($C242,'PORTIFÓLIO'!$C$4:$C$433,0)),"")</f>
        <v/>
      </c>
      <c r="L242" s="219" t="str">
        <f t="array" ref="L242">IFERROR(J242*INDEX('PORTIFÓLIO'!$S$4:$S$433,MATCH($C242,'PORTIFÓLIO'!$C$4:$C$433,0)),"")</f>
        <v/>
      </c>
      <c r="M242" s="220"/>
      <c r="N242" s="220"/>
      <c r="O242" s="220"/>
      <c r="P242" s="220"/>
      <c r="Q242" s="220"/>
      <c r="R242" s="220"/>
      <c r="S242" s="220"/>
      <c r="T242" s="220"/>
      <c r="U242" s="220"/>
      <c r="V242" s="220"/>
      <c r="W242" s="220"/>
    </row>
    <row r="243" ht="15.75" customHeight="1" outlineLevel="1">
      <c r="A243" s="211"/>
      <c r="B243" s="212"/>
      <c r="C243" s="213"/>
      <c r="D243" s="214" t="str">
        <f>IFERROR(VLOOKUP($C243,'PORTIFÓLIO'!C:V,2,0),"")</f>
        <v/>
      </c>
      <c r="E243" s="211" t="str">
        <f>IFERROR(VLOOKUP($C243,'PORTIFÓLIO'!C:V,3,0),"")</f>
        <v/>
      </c>
      <c r="F243" s="211" t="str">
        <f>IFERROR(VLOOKUP($C243,'PORTIFÓLIO'!C:V,4,0),"")</f>
        <v/>
      </c>
      <c r="G243" s="215" t="str">
        <f>IFERROR(VLOOKUP($C243,'PORTIFÓLIO'!C:V,5,0),"")</f>
        <v/>
      </c>
      <c r="H243" s="254" t="str">
        <f t="array" ref="H243">IFERROR(INDEX('PORTIFÓLIO'!$H$4:$H$433,MATCH($C243,'PORTIFÓLIO'!$C$4:$C$433,0)),"")</f>
        <v/>
      </c>
      <c r="I243" s="256"/>
      <c r="J243" s="218">
        <f t="shared" si="27"/>
        <v>0</v>
      </c>
      <c r="K243" s="219" t="str">
        <f t="array" ref="K243">IFERROR(I243*INDEX('PORTIFÓLIO'!$S$4:$S$433,MATCH($C243,'PORTIFÓLIO'!$C$4:$C$433,0)),"")</f>
        <v/>
      </c>
      <c r="L243" s="219" t="str">
        <f t="array" ref="L243">IFERROR(J243*INDEX('PORTIFÓLIO'!$S$4:$S$433,MATCH($C243,'PORTIFÓLIO'!$C$4:$C$433,0)),"")</f>
        <v/>
      </c>
      <c r="M243" s="220"/>
      <c r="N243" s="220"/>
      <c r="O243" s="220"/>
      <c r="P243" s="220"/>
      <c r="Q243" s="220"/>
      <c r="R243" s="220"/>
      <c r="S243" s="220"/>
      <c r="T243" s="220"/>
      <c r="U243" s="220"/>
      <c r="V243" s="220"/>
      <c r="W243" s="220"/>
    </row>
    <row r="244" ht="15.75" customHeight="1" outlineLevel="1">
      <c r="A244" s="211"/>
      <c r="B244" s="212"/>
      <c r="C244" s="213"/>
      <c r="D244" s="214" t="str">
        <f>IFERROR(VLOOKUP($C244,'PORTIFÓLIO'!C:V,2,0),"")</f>
        <v/>
      </c>
      <c r="E244" s="211" t="str">
        <f>IFERROR(VLOOKUP($C244,'PORTIFÓLIO'!C:V,3,0),"")</f>
        <v/>
      </c>
      <c r="F244" s="211" t="str">
        <f>IFERROR(VLOOKUP($C244,'PORTIFÓLIO'!C:V,4,0),"")</f>
        <v/>
      </c>
      <c r="G244" s="215" t="str">
        <f>IFERROR(VLOOKUP($C244,'PORTIFÓLIO'!C:V,5,0),"")</f>
        <v/>
      </c>
      <c r="H244" s="254" t="str">
        <f t="array" ref="H244">IFERROR(INDEX('PORTIFÓLIO'!$H$4:$H$433,MATCH($C244,'PORTIFÓLIO'!$C$4:$C$433,0)),"")</f>
        <v/>
      </c>
      <c r="I244" s="256"/>
      <c r="J244" s="218">
        <f t="shared" si="27"/>
        <v>0</v>
      </c>
      <c r="K244" s="219" t="str">
        <f t="array" ref="K244">IFERROR(I244*INDEX('PORTIFÓLIO'!$S$4:$S$433,MATCH($C244,'PORTIFÓLIO'!$C$4:$C$433,0)),"")</f>
        <v/>
      </c>
      <c r="L244" s="219" t="str">
        <f t="array" ref="L244">IFERROR(J244*INDEX('PORTIFÓLIO'!$S$4:$S$433,MATCH($C244,'PORTIFÓLIO'!$C$4:$C$433,0)),"")</f>
        <v/>
      </c>
      <c r="M244" s="220"/>
      <c r="N244" s="220"/>
      <c r="O244" s="220"/>
      <c r="P244" s="220"/>
      <c r="Q244" s="220"/>
      <c r="R244" s="220"/>
      <c r="S244" s="220"/>
      <c r="T244" s="220"/>
      <c r="U244" s="220"/>
      <c r="V244" s="220"/>
      <c r="W244" s="220"/>
    </row>
    <row r="245" ht="15.75" customHeight="1" outlineLevel="1">
      <c r="A245" s="211"/>
      <c r="B245" s="212"/>
      <c r="C245" s="213"/>
      <c r="D245" s="214" t="str">
        <f>IFERROR(VLOOKUP($C245,'PORTIFÓLIO'!C:V,2,0),"")</f>
        <v/>
      </c>
      <c r="E245" s="211" t="str">
        <f>IFERROR(VLOOKUP($C245,'PORTIFÓLIO'!C:V,3,0),"")</f>
        <v/>
      </c>
      <c r="F245" s="211" t="str">
        <f>IFERROR(VLOOKUP($C245,'PORTIFÓLIO'!C:V,4,0),"")</f>
        <v/>
      </c>
      <c r="G245" s="215" t="str">
        <f>IFERROR(VLOOKUP($C245,'PORTIFÓLIO'!C:V,5,0),"")</f>
        <v/>
      </c>
      <c r="H245" s="254" t="str">
        <f t="array" ref="H245">IFERROR(INDEX('PORTIFÓLIO'!$H$4:$H$433,MATCH($C245,'PORTIFÓLIO'!$C$4:$C$433,0)),"")</f>
        <v/>
      </c>
      <c r="I245" s="256"/>
      <c r="J245" s="218">
        <f t="shared" si="27"/>
        <v>0</v>
      </c>
      <c r="K245" s="219" t="str">
        <f t="array" ref="K245">IFERROR(I245*INDEX('PORTIFÓLIO'!$S$4:$S$433,MATCH($C245,'PORTIFÓLIO'!$C$4:$C$433,0)),"")</f>
        <v/>
      </c>
      <c r="L245" s="219" t="str">
        <f t="array" ref="L245">IFERROR(J245*INDEX('PORTIFÓLIO'!$S$4:$S$433,MATCH($C245,'PORTIFÓLIO'!$C$4:$C$433,0)),"")</f>
        <v/>
      </c>
      <c r="M245" s="220"/>
      <c r="N245" s="220"/>
      <c r="O245" s="220"/>
      <c r="P245" s="220"/>
      <c r="Q245" s="220"/>
      <c r="R245" s="220"/>
      <c r="S245" s="220"/>
      <c r="T245" s="220"/>
      <c r="U245" s="220"/>
      <c r="V245" s="220"/>
      <c r="W245" s="220"/>
    </row>
    <row r="246" ht="15.75" customHeight="1" outlineLevel="1">
      <c r="A246" s="211"/>
      <c r="B246" s="212"/>
      <c r="C246" s="213"/>
      <c r="D246" s="214" t="str">
        <f>IFERROR(VLOOKUP($C246,'PORTIFÓLIO'!C:V,2,0),"")</f>
        <v/>
      </c>
      <c r="E246" s="211" t="str">
        <f>IFERROR(VLOOKUP($C246,'PORTIFÓLIO'!C:V,3,0),"")</f>
        <v/>
      </c>
      <c r="F246" s="211" t="str">
        <f>IFERROR(VLOOKUP($C246,'PORTIFÓLIO'!C:V,4,0),"")</f>
        <v/>
      </c>
      <c r="G246" s="215" t="str">
        <f>IFERROR(VLOOKUP($C246,'PORTIFÓLIO'!C:V,5,0),"")</f>
        <v/>
      </c>
      <c r="H246" s="254" t="str">
        <f t="array" ref="H246">IFERROR(INDEX('PORTIFÓLIO'!$H$4:$H$433,MATCH($C246,'PORTIFÓLIO'!$C$4:$C$433,0)),"")</f>
        <v/>
      </c>
      <c r="I246" s="255"/>
      <c r="J246" s="218">
        <f t="shared" si="27"/>
        <v>0</v>
      </c>
      <c r="K246" s="219" t="str">
        <f t="array" ref="K246">IFERROR(I246*INDEX('PORTIFÓLIO'!$S$4:$S$433,MATCH($C246,'PORTIFÓLIO'!$C$4:$C$433,0)),"")</f>
        <v/>
      </c>
      <c r="L246" s="219" t="str">
        <f t="array" ref="L246">IFERROR(J246*INDEX('PORTIFÓLIO'!$S$4:$S$433,MATCH($C246,'PORTIFÓLIO'!$C$4:$C$433,0)),"")</f>
        <v/>
      </c>
      <c r="M246" s="220"/>
      <c r="N246" s="220"/>
      <c r="O246" s="220"/>
      <c r="P246" s="220"/>
      <c r="Q246" s="220"/>
      <c r="R246" s="220"/>
      <c r="S246" s="220"/>
      <c r="T246" s="220"/>
      <c r="U246" s="220"/>
      <c r="V246" s="220"/>
      <c r="W246" s="220"/>
    </row>
    <row r="247" ht="15.75" customHeight="1" outlineLevel="1">
      <c r="A247" s="211"/>
      <c r="B247" s="212"/>
      <c r="C247" s="213"/>
      <c r="D247" s="214" t="str">
        <f>IFERROR(VLOOKUP($C247,'PORTIFÓLIO'!C:V,2,0),"")</f>
        <v/>
      </c>
      <c r="E247" s="211" t="str">
        <f>IFERROR(VLOOKUP($C247,'PORTIFÓLIO'!C:V,3,0),"")</f>
        <v/>
      </c>
      <c r="F247" s="211" t="str">
        <f>IFERROR(VLOOKUP($C247,'PORTIFÓLIO'!C:V,4,0),"")</f>
        <v/>
      </c>
      <c r="G247" s="215" t="str">
        <f>IFERROR(VLOOKUP($C247,'PORTIFÓLIO'!C:V,5,0),"")</f>
        <v/>
      </c>
      <c r="H247" s="254" t="str">
        <f t="array" ref="H247">IFERROR(INDEX('PORTIFÓLIO'!$H$4:$H$433,MATCH($C247,'PORTIFÓLIO'!$C$4:$C$433,0)),"")</f>
        <v/>
      </c>
      <c r="I247" s="255"/>
      <c r="J247" s="218">
        <f t="shared" si="27"/>
        <v>0</v>
      </c>
      <c r="K247" s="219" t="str">
        <f t="array" ref="K247">IFERROR(I247*INDEX('PORTIFÓLIO'!$S$4:$S$433,MATCH($C247,'PORTIFÓLIO'!$C$4:$C$433,0)),"")</f>
        <v/>
      </c>
      <c r="L247" s="219" t="str">
        <f t="array" ref="L247">IFERROR(J247*INDEX('PORTIFÓLIO'!$S$4:$S$433,MATCH($C247,'PORTIFÓLIO'!$C$4:$C$433,0)),"")</f>
        <v/>
      </c>
      <c r="M247" s="220"/>
      <c r="N247" s="220"/>
      <c r="O247" s="220"/>
      <c r="P247" s="220"/>
      <c r="Q247" s="220"/>
      <c r="R247" s="220"/>
      <c r="S247" s="220"/>
      <c r="T247" s="220"/>
      <c r="U247" s="220"/>
      <c r="V247" s="220"/>
      <c r="W247" s="220"/>
    </row>
    <row r="248" ht="15.75" customHeight="1" outlineLevel="1">
      <c r="A248" s="211"/>
      <c r="B248" s="212"/>
      <c r="C248" s="213"/>
      <c r="D248" s="214" t="str">
        <f>IFERROR(VLOOKUP($C248,'PORTIFÓLIO'!C:V,2,0),"")</f>
        <v/>
      </c>
      <c r="E248" s="211" t="str">
        <f>IFERROR(VLOOKUP($C248,'PORTIFÓLIO'!C:V,3,0),"")</f>
        <v/>
      </c>
      <c r="F248" s="211" t="str">
        <f>IFERROR(VLOOKUP($C248,'PORTIFÓLIO'!C:V,4,0),"")</f>
        <v/>
      </c>
      <c r="G248" s="215" t="str">
        <f>IFERROR(VLOOKUP($C248,'PORTIFÓLIO'!C:V,5,0),"")</f>
        <v/>
      </c>
      <c r="H248" s="254" t="str">
        <f t="array" ref="H248">IFERROR(INDEX('PORTIFÓLIO'!$H$4:$H$433,MATCH($C248,'PORTIFÓLIO'!$C$4:$C$433,0)),"")</f>
        <v/>
      </c>
      <c r="I248" s="255"/>
      <c r="J248" s="218">
        <f t="shared" si="27"/>
        <v>0</v>
      </c>
      <c r="K248" s="219" t="str">
        <f t="array" ref="K248">IFERROR(I248*INDEX('PORTIFÓLIO'!$S$4:$S$433,MATCH($C248,'PORTIFÓLIO'!$C$4:$C$433,0)),"")</f>
        <v/>
      </c>
      <c r="L248" s="219" t="str">
        <f t="array" ref="L248">IFERROR(J248*INDEX('PORTIFÓLIO'!$S$4:$S$433,MATCH($C248,'PORTIFÓLIO'!$C$4:$C$433,0)),"")</f>
        <v/>
      </c>
      <c r="M248" s="220"/>
      <c r="N248" s="220"/>
      <c r="O248" s="220"/>
      <c r="P248" s="220"/>
      <c r="Q248" s="220"/>
      <c r="R248" s="220"/>
      <c r="S248" s="220"/>
      <c r="T248" s="220"/>
      <c r="U248" s="220"/>
      <c r="V248" s="220"/>
      <c r="W248" s="220"/>
    </row>
    <row r="249" ht="15.75" customHeight="1" outlineLevel="1">
      <c r="A249" s="211"/>
      <c r="B249" s="212"/>
      <c r="C249" s="213"/>
      <c r="D249" s="214" t="str">
        <f>IFERROR(VLOOKUP($C249,'PORTIFÓLIO'!C:V,2,0),"")</f>
        <v/>
      </c>
      <c r="E249" s="211" t="str">
        <f>IFERROR(VLOOKUP($C249,'PORTIFÓLIO'!C:V,3,0),"")</f>
        <v/>
      </c>
      <c r="F249" s="211" t="str">
        <f>IFERROR(VLOOKUP($C249,'PORTIFÓLIO'!C:V,4,0),"")</f>
        <v/>
      </c>
      <c r="G249" s="215" t="str">
        <f>IFERROR(VLOOKUP($C249,'PORTIFÓLIO'!C:V,5,0),"")</f>
        <v/>
      </c>
      <c r="H249" s="254" t="str">
        <f t="array" ref="H249">IFERROR(INDEX('PORTIFÓLIO'!$H$4:$H$433,MATCH($C249,'PORTIFÓLIO'!$C$4:$C$433,0)),"")</f>
        <v/>
      </c>
      <c r="I249" s="255"/>
      <c r="J249" s="218">
        <f t="shared" si="27"/>
        <v>0</v>
      </c>
      <c r="K249" s="219" t="str">
        <f t="array" ref="K249">IFERROR(I249*INDEX('PORTIFÓLIO'!$S$4:$S$433,MATCH($C249,'PORTIFÓLIO'!$C$4:$C$433,0)),"")</f>
        <v/>
      </c>
      <c r="L249" s="219" t="str">
        <f t="array" ref="L249">IFERROR(J249*INDEX('PORTIFÓLIO'!$S$4:$S$433,MATCH($C249,'PORTIFÓLIO'!$C$4:$C$433,0)),"")</f>
        <v/>
      </c>
      <c r="M249" s="220"/>
      <c r="N249" s="220"/>
      <c r="O249" s="220"/>
      <c r="P249" s="220"/>
      <c r="Q249" s="220"/>
      <c r="R249" s="220"/>
      <c r="S249" s="220"/>
      <c r="T249" s="220"/>
      <c r="U249" s="220"/>
      <c r="V249" s="220"/>
      <c r="W249" s="220"/>
    </row>
    <row r="250" ht="15.75" customHeight="1" outlineLevel="1">
      <c r="A250" s="211"/>
      <c r="B250" s="212"/>
      <c r="C250" s="213"/>
      <c r="D250" s="214" t="str">
        <f>IFERROR(VLOOKUP($C250,'PORTIFÓLIO'!C:V,2,0),"")</f>
        <v/>
      </c>
      <c r="E250" s="211" t="str">
        <f>IFERROR(VLOOKUP($C250,'PORTIFÓLIO'!C:V,3,0),"")</f>
        <v/>
      </c>
      <c r="F250" s="211" t="str">
        <f>IFERROR(VLOOKUP($C250,'PORTIFÓLIO'!C:V,4,0),"")</f>
        <v/>
      </c>
      <c r="G250" s="215" t="str">
        <f>IFERROR(VLOOKUP($C250,'PORTIFÓLIO'!C:V,5,0),"")</f>
        <v/>
      </c>
      <c r="H250" s="254" t="str">
        <f t="array" ref="H250">IFERROR(INDEX('PORTIFÓLIO'!$H$4:$H$433,MATCH($C250,'PORTIFÓLIO'!$C$4:$C$433,0)),"")</f>
        <v/>
      </c>
      <c r="I250" s="255"/>
      <c r="J250" s="218">
        <f t="shared" si="27"/>
        <v>0</v>
      </c>
      <c r="K250" s="219" t="str">
        <f t="array" ref="K250">IFERROR(I250*INDEX('PORTIFÓLIO'!$S$4:$S$433,MATCH($C250,'PORTIFÓLIO'!$C$4:$C$433,0)),"")</f>
        <v/>
      </c>
      <c r="L250" s="219" t="str">
        <f t="array" ref="L250">IFERROR(J250*INDEX('PORTIFÓLIO'!$S$4:$S$433,MATCH($C250,'PORTIFÓLIO'!$C$4:$C$433,0)),"")</f>
        <v/>
      </c>
      <c r="M250" s="220"/>
      <c r="N250" s="220"/>
      <c r="O250" s="220"/>
      <c r="P250" s="220"/>
      <c r="Q250" s="220"/>
      <c r="R250" s="220"/>
      <c r="S250" s="220"/>
      <c r="T250" s="220"/>
      <c r="U250" s="220"/>
      <c r="V250" s="220"/>
      <c r="W250" s="220"/>
    </row>
    <row r="251" ht="15.75" customHeight="1" outlineLevel="1">
      <c r="A251" s="211"/>
      <c r="B251" s="212"/>
      <c r="C251" s="213"/>
      <c r="D251" s="214" t="str">
        <f>IFERROR(VLOOKUP($C251,'PORTIFÓLIO'!C:V,2,0),"")</f>
        <v/>
      </c>
      <c r="E251" s="211" t="str">
        <f>IFERROR(VLOOKUP($C251,'PORTIFÓLIO'!C:V,3,0),"")</f>
        <v/>
      </c>
      <c r="F251" s="211" t="str">
        <f>IFERROR(VLOOKUP($C251,'PORTIFÓLIO'!C:V,4,0),"")</f>
        <v/>
      </c>
      <c r="G251" s="215" t="str">
        <f>IFERROR(VLOOKUP($C251,'PORTIFÓLIO'!C:V,5,0),"")</f>
        <v/>
      </c>
      <c r="H251" s="254" t="str">
        <f t="array" ref="H251">IFERROR(INDEX('PORTIFÓLIO'!$H$4:$H$433,MATCH($C251,'PORTIFÓLIO'!$C$4:$C$433,0)),"")</f>
        <v/>
      </c>
      <c r="I251" s="255"/>
      <c r="J251" s="218">
        <f t="shared" si="27"/>
        <v>0</v>
      </c>
      <c r="K251" s="219" t="str">
        <f t="array" ref="K251">IFERROR(I251*INDEX('PORTIFÓLIO'!$S$4:$S$433,MATCH($C251,'PORTIFÓLIO'!$C$4:$C$433,0)),"")</f>
        <v/>
      </c>
      <c r="L251" s="219" t="str">
        <f t="array" ref="L251">IFERROR(J251*INDEX('PORTIFÓLIO'!$S$4:$S$433,MATCH($C251,'PORTIFÓLIO'!$C$4:$C$433,0)),"")</f>
        <v/>
      </c>
      <c r="M251" s="220"/>
      <c r="N251" s="220"/>
      <c r="O251" s="220"/>
      <c r="P251" s="220"/>
      <c r="Q251" s="220"/>
      <c r="R251" s="220"/>
      <c r="S251" s="220"/>
      <c r="T251" s="220"/>
      <c r="U251" s="220"/>
      <c r="V251" s="220"/>
      <c r="W251" s="220"/>
    </row>
    <row r="252" ht="15.75" customHeight="1">
      <c r="A252" s="229" t="s">
        <v>1184</v>
      </c>
      <c r="B252" s="230"/>
      <c r="C252" s="231"/>
      <c r="D252" s="232"/>
      <c r="E252" s="231"/>
      <c r="F252" s="231"/>
      <c r="G252" s="233"/>
      <c r="H252" s="233"/>
      <c r="I252" s="258"/>
      <c r="J252" s="236"/>
      <c r="K252" s="237">
        <f t="shared" ref="K252:L252" si="28">SUBTOTAL(9,K253:K266)</f>
        <v>0</v>
      </c>
      <c r="L252" s="237">
        <f t="shared" si="28"/>
        <v>0</v>
      </c>
      <c r="M252" s="220"/>
      <c r="N252" s="220"/>
      <c r="O252" s="220"/>
      <c r="P252" s="220"/>
      <c r="Q252" s="220"/>
      <c r="R252" s="220"/>
      <c r="S252" s="220"/>
      <c r="T252" s="220"/>
      <c r="U252" s="220"/>
      <c r="V252" s="220"/>
      <c r="W252" s="220"/>
    </row>
    <row r="253" ht="15.75" customHeight="1" outlineLevel="1">
      <c r="A253" s="213"/>
      <c r="B253" s="212"/>
      <c r="C253" s="213"/>
      <c r="D253" s="214" t="str">
        <f>IFERROR(VLOOKUP($C253,'PORTIFÓLIO'!C:V,2,0),"")</f>
        <v/>
      </c>
      <c r="E253" s="211" t="str">
        <f>IFERROR(VLOOKUP($C253,'PORTIFÓLIO'!C:V,3,0),"")</f>
        <v/>
      </c>
      <c r="F253" s="211" t="str">
        <f>IFERROR(VLOOKUP($C253,'PORTIFÓLIO'!C:V,4,0),"")</f>
        <v/>
      </c>
      <c r="G253" s="215" t="str">
        <f>IFERROR(VLOOKUP($C253,'PORTIFÓLIO'!C:V,5,0),"")</f>
        <v/>
      </c>
      <c r="H253" s="254" t="str">
        <f t="array" ref="H253">IFERROR(INDEX('PORTIFÓLIO'!$H$4:$H$433,MATCH($C253,'PORTIFÓLIO'!$C$4:$C$433,0)),"")</f>
        <v/>
      </c>
      <c r="I253" s="255"/>
      <c r="J253" s="218">
        <f t="shared" ref="J253:J270" si="29">I253*$B$2</f>
        <v>0</v>
      </c>
      <c r="K253" s="292" t="str">
        <f t="array" ref="K253">IFERROR(I253*INDEX('PORTIFÓLIO'!$S$4:$S$433,MATCH($C253,'PORTIFÓLIO'!$C$4:$C$433,0)),"")</f>
        <v/>
      </c>
      <c r="L253" s="292" t="str">
        <f t="array" ref="L253">IFERROR(J253*INDEX('PORTIFÓLIO'!$S$4:$S$433,MATCH($C253,'PORTIFÓLIO'!$C$4:$C$433,0)),"")</f>
        <v/>
      </c>
      <c r="M253" s="220"/>
      <c r="N253" s="220"/>
      <c r="O253" s="220"/>
      <c r="P253" s="220"/>
      <c r="Q253" s="220"/>
      <c r="R253" s="220"/>
      <c r="S253" s="220"/>
      <c r="T253" s="220"/>
      <c r="U253" s="220"/>
      <c r="V253" s="220"/>
      <c r="W253" s="220"/>
    </row>
    <row r="254" ht="15.75" customHeight="1" outlineLevel="1">
      <c r="A254" s="211"/>
      <c r="B254" s="212"/>
      <c r="C254" s="213"/>
      <c r="D254" s="214" t="str">
        <f>IFERROR(VLOOKUP($C254,'PORTIFÓLIO'!C:V,2,0),"")</f>
        <v/>
      </c>
      <c r="E254" s="211" t="str">
        <f>IFERROR(VLOOKUP($C254,'PORTIFÓLIO'!C:V,3,0),"")</f>
        <v/>
      </c>
      <c r="F254" s="211" t="str">
        <f>IFERROR(VLOOKUP($C254,'PORTIFÓLIO'!C:V,4,0),"")</f>
        <v/>
      </c>
      <c r="G254" s="215" t="str">
        <f>IFERROR(VLOOKUP($C254,'PORTIFÓLIO'!C:V,5,0),"")</f>
        <v/>
      </c>
      <c r="H254" s="254" t="str">
        <f t="array" ref="H254">IFERROR(INDEX('PORTIFÓLIO'!$H$4:$H$433,MATCH($C254,'PORTIFÓLIO'!$C$4:$C$433,0)),"")</f>
        <v/>
      </c>
      <c r="I254" s="255"/>
      <c r="J254" s="218">
        <f t="shared" si="29"/>
        <v>0</v>
      </c>
      <c r="K254" s="292" t="str">
        <f t="array" ref="K254">IFERROR(I254*INDEX('PORTIFÓLIO'!$S$4:$S$433,MATCH($C254,'PORTIFÓLIO'!$C$4:$C$433,0)),"")</f>
        <v/>
      </c>
      <c r="L254" s="292" t="str">
        <f t="array" ref="L254">IFERROR(J254*INDEX('PORTIFÓLIO'!$S$4:$S$433,MATCH($C254,'PORTIFÓLIO'!$C$4:$C$433,0)),"")</f>
        <v/>
      </c>
      <c r="M254" s="220"/>
      <c r="N254" s="220"/>
      <c r="O254" s="220"/>
      <c r="P254" s="220"/>
      <c r="Q254" s="220"/>
      <c r="R254" s="220"/>
      <c r="S254" s="220"/>
      <c r="T254" s="220"/>
      <c r="U254" s="220"/>
      <c r="V254" s="220"/>
      <c r="W254" s="220"/>
    </row>
    <row r="255" ht="15.75" customHeight="1" outlineLevel="1">
      <c r="A255" s="211"/>
      <c r="B255" s="212"/>
      <c r="C255" s="213"/>
      <c r="D255" s="214" t="str">
        <f>IFERROR(VLOOKUP($C255,'PORTIFÓLIO'!C:V,2,0),"")</f>
        <v/>
      </c>
      <c r="E255" s="211" t="str">
        <f>IFERROR(VLOOKUP($C255,'PORTIFÓLIO'!C:V,3,0),"")</f>
        <v/>
      </c>
      <c r="F255" s="211" t="str">
        <f>IFERROR(VLOOKUP($C255,'PORTIFÓLIO'!C:V,4,0),"")</f>
        <v/>
      </c>
      <c r="G255" s="215" t="str">
        <f>IFERROR(VLOOKUP($C255,'PORTIFÓLIO'!C:V,5,0),"")</f>
        <v/>
      </c>
      <c r="H255" s="254" t="str">
        <f t="array" ref="H255">IFERROR(INDEX('PORTIFÓLIO'!$H$4:$H$433,MATCH($C255,'PORTIFÓLIO'!$C$4:$C$433,0)),"")</f>
        <v/>
      </c>
      <c r="I255" s="256"/>
      <c r="J255" s="218">
        <f t="shared" si="29"/>
        <v>0</v>
      </c>
      <c r="K255" s="292" t="str">
        <f t="array" ref="K255">IFERROR(I255*INDEX('PORTIFÓLIO'!$S$4:$S$433,MATCH($C255,'PORTIFÓLIO'!$C$4:$C$433,0)),"")</f>
        <v/>
      </c>
      <c r="L255" s="292" t="str">
        <f t="array" ref="L255">IFERROR(J255*INDEX('PORTIFÓLIO'!$S$4:$S$433,MATCH($C255,'PORTIFÓLIO'!$C$4:$C$433,0)),"")</f>
        <v/>
      </c>
      <c r="M255" s="220"/>
      <c r="N255" s="220"/>
      <c r="O255" s="220"/>
      <c r="P255" s="220"/>
      <c r="Q255" s="220"/>
      <c r="R255" s="220"/>
      <c r="S255" s="220"/>
      <c r="T255" s="220"/>
      <c r="U255" s="220"/>
      <c r="V255" s="220"/>
      <c r="W255" s="220"/>
    </row>
    <row r="256" ht="15.75" customHeight="1" outlineLevel="1">
      <c r="A256" s="211"/>
      <c r="B256" s="212"/>
      <c r="C256" s="213"/>
      <c r="D256" s="214" t="str">
        <f>IFERROR(VLOOKUP($C256,'PORTIFÓLIO'!C:V,2,0),"")</f>
        <v/>
      </c>
      <c r="E256" s="211" t="str">
        <f>IFERROR(VLOOKUP($C256,'PORTIFÓLIO'!C:V,3,0),"")</f>
        <v/>
      </c>
      <c r="F256" s="211" t="str">
        <f>IFERROR(VLOOKUP($C256,'PORTIFÓLIO'!C:V,4,0),"")</f>
        <v/>
      </c>
      <c r="G256" s="215" t="str">
        <f>IFERROR(VLOOKUP($C256,'PORTIFÓLIO'!C:V,5,0),"")</f>
        <v/>
      </c>
      <c r="H256" s="254" t="str">
        <f t="array" ref="H256">IFERROR(INDEX('PORTIFÓLIO'!$H$4:$H$433,MATCH($C256,'PORTIFÓLIO'!$C$4:$C$433,0)),"")</f>
        <v/>
      </c>
      <c r="I256" s="255"/>
      <c r="J256" s="218">
        <f t="shared" si="29"/>
        <v>0</v>
      </c>
      <c r="K256" s="292" t="str">
        <f t="array" ref="K256">IFERROR(I256*INDEX('PORTIFÓLIO'!$S$4:$S$433,MATCH($C256,'PORTIFÓLIO'!$C$4:$C$433,0)),"")</f>
        <v/>
      </c>
      <c r="L256" s="292" t="str">
        <f t="array" ref="L256">IFERROR(J256*INDEX('PORTIFÓLIO'!$S$4:$S$433,MATCH($C256,'PORTIFÓLIO'!$C$4:$C$433,0)),"")</f>
        <v/>
      </c>
      <c r="M256" s="220"/>
      <c r="N256" s="220"/>
      <c r="O256" s="220"/>
      <c r="P256" s="220"/>
      <c r="Q256" s="220"/>
      <c r="R256" s="220"/>
      <c r="S256" s="220"/>
      <c r="T256" s="220"/>
      <c r="U256" s="220"/>
      <c r="V256" s="220"/>
      <c r="W256" s="220"/>
    </row>
    <row r="257" ht="15.75" customHeight="1" outlineLevel="1">
      <c r="A257" s="211"/>
      <c r="B257" s="212"/>
      <c r="C257" s="213"/>
      <c r="D257" s="214" t="str">
        <f>IFERROR(VLOOKUP($C257,'PORTIFÓLIO'!C:V,2,0),"")</f>
        <v/>
      </c>
      <c r="E257" s="211" t="str">
        <f>IFERROR(VLOOKUP($C257,'PORTIFÓLIO'!C:V,3,0),"")</f>
        <v/>
      </c>
      <c r="F257" s="211" t="str">
        <f>IFERROR(VLOOKUP($C257,'PORTIFÓLIO'!C:V,4,0),"")</f>
        <v/>
      </c>
      <c r="G257" s="215" t="str">
        <f>IFERROR(VLOOKUP($C257,'PORTIFÓLIO'!C:V,5,0),"")</f>
        <v/>
      </c>
      <c r="H257" s="254" t="str">
        <f t="array" ref="H257">IFERROR(INDEX('PORTIFÓLIO'!$H$4:$H$433,MATCH($C257,'PORTIFÓLIO'!$C$4:$C$433,0)),"")</f>
        <v/>
      </c>
      <c r="I257" s="256"/>
      <c r="J257" s="218">
        <f t="shared" si="29"/>
        <v>0</v>
      </c>
      <c r="K257" s="292" t="str">
        <f t="array" ref="K257">IFERROR(I257*INDEX('PORTIFÓLIO'!$S$4:$S$433,MATCH($C257,'PORTIFÓLIO'!$C$4:$C$433,0)),"")</f>
        <v/>
      </c>
      <c r="L257" s="292" t="str">
        <f t="array" ref="L257">IFERROR(J257*INDEX('PORTIFÓLIO'!$S$4:$S$433,MATCH($C257,'PORTIFÓLIO'!$C$4:$C$433,0)),"")</f>
        <v/>
      </c>
      <c r="M257" s="220"/>
      <c r="N257" s="220"/>
      <c r="O257" s="220"/>
      <c r="P257" s="220"/>
      <c r="Q257" s="220"/>
      <c r="R257" s="220"/>
      <c r="S257" s="220"/>
      <c r="T257" s="220"/>
      <c r="U257" s="220"/>
      <c r="V257" s="220"/>
      <c r="W257" s="220"/>
    </row>
    <row r="258" ht="15.75" customHeight="1" outlineLevel="1">
      <c r="A258" s="211"/>
      <c r="B258" s="212"/>
      <c r="C258" s="213"/>
      <c r="D258" s="214" t="str">
        <f>IFERROR(VLOOKUP($C258,'PORTIFÓLIO'!C:V,2,0),"")</f>
        <v/>
      </c>
      <c r="E258" s="211" t="str">
        <f>IFERROR(VLOOKUP($C258,'PORTIFÓLIO'!C:V,3,0),"")</f>
        <v/>
      </c>
      <c r="F258" s="211" t="str">
        <f>IFERROR(VLOOKUP($C258,'PORTIFÓLIO'!C:V,4,0),"")</f>
        <v/>
      </c>
      <c r="G258" s="215" t="str">
        <f>IFERROR(VLOOKUP($C258,'PORTIFÓLIO'!C:V,5,0),"")</f>
        <v/>
      </c>
      <c r="H258" s="254" t="str">
        <f t="array" ref="H258">IFERROR(INDEX('PORTIFÓLIO'!$H$4:$H$433,MATCH($C258,'PORTIFÓLIO'!$C$4:$C$433,0)),"")</f>
        <v/>
      </c>
      <c r="I258" s="256"/>
      <c r="J258" s="218">
        <f t="shared" si="29"/>
        <v>0</v>
      </c>
      <c r="K258" s="292" t="str">
        <f t="array" ref="K258">IFERROR(I258*INDEX('PORTIFÓLIO'!$S$4:$S$433,MATCH($C258,'PORTIFÓLIO'!$C$4:$C$433,0)),"")</f>
        <v/>
      </c>
      <c r="L258" s="292" t="str">
        <f t="array" ref="L258">IFERROR(J258*INDEX('PORTIFÓLIO'!$S$4:$S$433,MATCH($C258,'PORTIFÓLIO'!$C$4:$C$433,0)),"")</f>
        <v/>
      </c>
      <c r="M258" s="220"/>
      <c r="N258" s="220"/>
      <c r="O258" s="220"/>
      <c r="P258" s="220"/>
      <c r="Q258" s="220"/>
      <c r="R258" s="220"/>
      <c r="S258" s="220"/>
      <c r="T258" s="220"/>
      <c r="U258" s="220"/>
      <c r="V258" s="220"/>
      <c r="W258" s="220"/>
    </row>
    <row r="259" ht="15.75" customHeight="1" outlineLevel="1">
      <c r="A259" s="211"/>
      <c r="B259" s="212"/>
      <c r="C259" s="213"/>
      <c r="D259" s="214" t="str">
        <f>IFERROR(VLOOKUP($C259,'PORTIFÓLIO'!C:V,2,0),"")</f>
        <v/>
      </c>
      <c r="E259" s="211" t="str">
        <f>IFERROR(VLOOKUP($C259,'PORTIFÓLIO'!C:V,3,0),"")</f>
        <v/>
      </c>
      <c r="F259" s="211" t="str">
        <f>IFERROR(VLOOKUP($C259,'PORTIFÓLIO'!C:V,4,0),"")</f>
        <v/>
      </c>
      <c r="G259" s="215" t="str">
        <f>IFERROR(VLOOKUP($C259,'PORTIFÓLIO'!C:V,5,0),"")</f>
        <v/>
      </c>
      <c r="H259" s="254" t="str">
        <f t="array" ref="H259">IFERROR(INDEX('PORTIFÓLIO'!$H$4:$H$433,MATCH($C259,'PORTIFÓLIO'!$C$4:$C$433,0)),"")</f>
        <v/>
      </c>
      <c r="I259" s="256"/>
      <c r="J259" s="218">
        <f t="shared" si="29"/>
        <v>0</v>
      </c>
      <c r="K259" s="292" t="str">
        <f t="array" ref="K259">IFERROR(I259*INDEX('PORTIFÓLIO'!$S$4:$S$433,MATCH($C259,'PORTIFÓLIO'!$C$4:$C$433,0)),"")</f>
        <v/>
      </c>
      <c r="L259" s="292" t="str">
        <f t="array" ref="L259">IFERROR(J259*INDEX('PORTIFÓLIO'!$S$4:$S$433,MATCH($C259,'PORTIFÓLIO'!$C$4:$C$433,0)),"")</f>
        <v/>
      </c>
      <c r="M259" s="220"/>
      <c r="N259" s="220"/>
      <c r="O259" s="220"/>
      <c r="P259" s="220"/>
      <c r="Q259" s="220"/>
      <c r="R259" s="220"/>
      <c r="S259" s="220"/>
      <c r="T259" s="220"/>
      <c r="U259" s="220"/>
      <c r="V259" s="220"/>
      <c r="W259" s="220"/>
    </row>
    <row r="260" ht="15.75" customHeight="1" outlineLevel="1">
      <c r="A260" s="211"/>
      <c r="B260" s="212"/>
      <c r="C260" s="213"/>
      <c r="D260" s="214" t="str">
        <f>IFERROR(VLOOKUP($C260,'PORTIFÓLIO'!C:V,2,0),"")</f>
        <v/>
      </c>
      <c r="E260" s="211" t="str">
        <f>IFERROR(VLOOKUP($C260,'PORTIFÓLIO'!C:V,3,0),"")</f>
        <v/>
      </c>
      <c r="F260" s="211" t="str">
        <f>IFERROR(VLOOKUP($C260,'PORTIFÓLIO'!C:V,4,0),"")</f>
        <v/>
      </c>
      <c r="G260" s="215" t="str">
        <f>IFERROR(VLOOKUP($C260,'PORTIFÓLIO'!C:V,5,0),"")</f>
        <v/>
      </c>
      <c r="H260" s="254" t="str">
        <f t="array" ref="H260">IFERROR(INDEX('PORTIFÓLIO'!$H$4:$H$433,MATCH($C260,'PORTIFÓLIO'!$C$4:$C$433,0)),"")</f>
        <v/>
      </c>
      <c r="I260" s="256"/>
      <c r="J260" s="218">
        <f t="shared" si="29"/>
        <v>0</v>
      </c>
      <c r="K260" s="292" t="str">
        <f t="array" ref="K260">IFERROR(I260*INDEX('PORTIFÓLIO'!$S$4:$S$433,MATCH($C260,'PORTIFÓLIO'!$C$4:$C$433,0)),"")</f>
        <v/>
      </c>
      <c r="L260" s="292" t="str">
        <f t="array" ref="L260">IFERROR(J260*INDEX('PORTIFÓLIO'!$S$4:$S$433,MATCH($C260,'PORTIFÓLIO'!$C$4:$C$433,0)),"")</f>
        <v/>
      </c>
      <c r="M260" s="220"/>
      <c r="N260" s="220"/>
      <c r="O260" s="220"/>
      <c r="P260" s="220"/>
      <c r="Q260" s="220"/>
      <c r="R260" s="220"/>
      <c r="S260" s="220"/>
      <c r="T260" s="220"/>
      <c r="U260" s="220"/>
      <c r="V260" s="220"/>
      <c r="W260" s="220"/>
    </row>
    <row r="261" ht="15.75" customHeight="1" outlineLevel="1">
      <c r="A261" s="211"/>
      <c r="B261" s="212"/>
      <c r="C261" s="213"/>
      <c r="D261" s="214" t="str">
        <f>IFERROR(VLOOKUP($C261,'PORTIFÓLIO'!C:V,2,0),"")</f>
        <v/>
      </c>
      <c r="E261" s="211" t="str">
        <f>IFERROR(VLOOKUP($C261,'PORTIFÓLIO'!C:V,3,0),"")</f>
        <v/>
      </c>
      <c r="F261" s="211" t="str">
        <f>IFERROR(VLOOKUP($C261,'PORTIFÓLIO'!C:V,4,0),"")</f>
        <v/>
      </c>
      <c r="G261" s="215" t="str">
        <f>IFERROR(VLOOKUP($C261,'PORTIFÓLIO'!C:V,5,0),"")</f>
        <v/>
      </c>
      <c r="H261" s="254" t="str">
        <f t="array" ref="H261">IFERROR(INDEX('PORTIFÓLIO'!$H$4:$H$433,MATCH($C261,'PORTIFÓLIO'!$C$4:$C$433,0)),"")</f>
        <v/>
      </c>
      <c r="I261" s="255"/>
      <c r="J261" s="218">
        <f t="shared" si="29"/>
        <v>0</v>
      </c>
      <c r="K261" s="292" t="str">
        <f t="array" ref="K261">IFERROR(I261*INDEX('PORTIFÓLIO'!$S$4:$S$433,MATCH($C261,'PORTIFÓLIO'!$C$4:$C$433,0)),"")</f>
        <v/>
      </c>
      <c r="L261" s="292" t="str">
        <f t="array" ref="L261">IFERROR(J261*INDEX('PORTIFÓLIO'!$S$4:$S$433,MATCH($C261,'PORTIFÓLIO'!$C$4:$C$433,0)),"")</f>
        <v/>
      </c>
      <c r="M261" s="220"/>
      <c r="N261" s="220"/>
      <c r="O261" s="220"/>
      <c r="P261" s="220"/>
      <c r="Q261" s="220"/>
      <c r="R261" s="220"/>
      <c r="S261" s="220"/>
      <c r="T261" s="220"/>
      <c r="U261" s="220"/>
      <c r="V261" s="220"/>
      <c r="W261" s="220"/>
    </row>
    <row r="262" ht="15.75" customHeight="1" outlineLevel="1">
      <c r="A262" s="211"/>
      <c r="B262" s="212"/>
      <c r="C262" s="213"/>
      <c r="D262" s="214" t="str">
        <f>IFERROR(VLOOKUP($C262,'PORTIFÓLIO'!C:V,2,0),"")</f>
        <v/>
      </c>
      <c r="E262" s="211" t="str">
        <f>IFERROR(VLOOKUP($C262,'PORTIFÓLIO'!C:V,3,0),"")</f>
        <v/>
      </c>
      <c r="F262" s="211" t="str">
        <f>IFERROR(VLOOKUP($C262,'PORTIFÓLIO'!C:V,4,0),"")</f>
        <v/>
      </c>
      <c r="G262" s="215" t="str">
        <f>IFERROR(VLOOKUP($C262,'PORTIFÓLIO'!C:V,5,0),"")</f>
        <v/>
      </c>
      <c r="H262" s="254" t="str">
        <f t="array" ref="H262">IFERROR(INDEX('PORTIFÓLIO'!$H$4:$H$433,MATCH($C262,'PORTIFÓLIO'!$C$4:$C$433,0)),"")</f>
        <v/>
      </c>
      <c r="I262" s="256"/>
      <c r="J262" s="218">
        <f t="shared" si="29"/>
        <v>0</v>
      </c>
      <c r="K262" s="292" t="str">
        <f t="array" ref="K262">IFERROR(I262*INDEX('PORTIFÓLIO'!$S$4:$S$433,MATCH($C262,'PORTIFÓLIO'!$C$4:$C$433,0)),"")</f>
        <v/>
      </c>
      <c r="L262" s="292" t="str">
        <f t="array" ref="L262">IFERROR(J262*INDEX('PORTIFÓLIO'!$S$4:$S$433,MATCH($C262,'PORTIFÓLIO'!$C$4:$C$433,0)),"")</f>
        <v/>
      </c>
      <c r="M262" s="220"/>
      <c r="N262" s="220"/>
      <c r="O262" s="220"/>
      <c r="P262" s="220"/>
      <c r="Q262" s="220"/>
      <c r="R262" s="220"/>
      <c r="S262" s="220"/>
      <c r="T262" s="220"/>
      <c r="U262" s="220"/>
      <c r="V262" s="220"/>
      <c r="W262" s="220"/>
    </row>
    <row r="263" ht="15.75" customHeight="1" outlineLevel="1">
      <c r="A263" s="211"/>
      <c r="B263" s="212"/>
      <c r="C263" s="213"/>
      <c r="D263" s="214" t="str">
        <f>IFERROR(VLOOKUP($C263,'PORTIFÓLIO'!C:V,2,0),"")</f>
        <v/>
      </c>
      <c r="E263" s="211" t="str">
        <f>IFERROR(VLOOKUP($C263,'PORTIFÓLIO'!C:V,3,0),"")</f>
        <v/>
      </c>
      <c r="F263" s="211" t="str">
        <f>IFERROR(VLOOKUP($C263,'PORTIFÓLIO'!C:V,4,0),"")</f>
        <v/>
      </c>
      <c r="G263" s="215" t="str">
        <f>IFERROR(VLOOKUP($C263,'PORTIFÓLIO'!C:V,5,0),"")</f>
        <v/>
      </c>
      <c r="H263" s="254" t="str">
        <f t="array" ref="H263">IFERROR(INDEX('PORTIFÓLIO'!$H$4:$H$433,MATCH($C263,'PORTIFÓLIO'!$C$4:$C$433,0)),"")</f>
        <v/>
      </c>
      <c r="I263" s="256"/>
      <c r="J263" s="218">
        <f t="shared" si="29"/>
        <v>0</v>
      </c>
      <c r="K263" s="292" t="str">
        <f t="array" ref="K263">IFERROR(I263*INDEX('PORTIFÓLIO'!$S$4:$S$433,MATCH($C263,'PORTIFÓLIO'!$C$4:$C$433,0)),"")</f>
        <v/>
      </c>
      <c r="L263" s="292" t="str">
        <f t="array" ref="L263">IFERROR(J263*INDEX('PORTIFÓLIO'!$S$4:$S$433,MATCH($C263,'PORTIFÓLIO'!$C$4:$C$433,0)),"")</f>
        <v/>
      </c>
      <c r="M263" s="220"/>
      <c r="N263" s="220"/>
      <c r="O263" s="220"/>
      <c r="P263" s="220"/>
      <c r="Q263" s="220"/>
      <c r="R263" s="220"/>
      <c r="S263" s="220"/>
      <c r="T263" s="220"/>
      <c r="U263" s="220"/>
      <c r="V263" s="220"/>
      <c r="W263" s="220"/>
    </row>
    <row r="264" ht="15.75" customHeight="1" outlineLevel="1">
      <c r="A264" s="211"/>
      <c r="B264" s="212"/>
      <c r="C264" s="213"/>
      <c r="D264" s="214" t="str">
        <f>IFERROR(VLOOKUP($C264,'PORTIFÓLIO'!C:V,2,0),"")</f>
        <v/>
      </c>
      <c r="E264" s="211" t="str">
        <f>IFERROR(VLOOKUP($C264,'PORTIFÓLIO'!C:V,3,0),"")</f>
        <v/>
      </c>
      <c r="F264" s="211" t="str">
        <f>IFERROR(VLOOKUP($C264,'PORTIFÓLIO'!C:V,4,0),"")</f>
        <v/>
      </c>
      <c r="G264" s="215" t="str">
        <f>IFERROR(VLOOKUP($C264,'PORTIFÓLIO'!C:V,5,0),"")</f>
        <v/>
      </c>
      <c r="H264" s="254" t="str">
        <f t="array" ref="H264">IFERROR(INDEX('PORTIFÓLIO'!$H$4:$H$433,MATCH($C264,'PORTIFÓLIO'!$C$4:$C$433,0)),"")</f>
        <v/>
      </c>
      <c r="I264" s="256"/>
      <c r="J264" s="218">
        <f t="shared" si="29"/>
        <v>0</v>
      </c>
      <c r="K264" s="292" t="str">
        <f t="array" ref="K264">IFERROR(I264*INDEX('PORTIFÓLIO'!$S$4:$S$433,MATCH($C264,'PORTIFÓLIO'!$C$4:$C$433,0)),"")</f>
        <v/>
      </c>
      <c r="L264" s="292" t="str">
        <f t="array" ref="L264">IFERROR(J264*INDEX('PORTIFÓLIO'!$S$4:$S$433,MATCH($C264,'PORTIFÓLIO'!$C$4:$C$433,0)),"")</f>
        <v/>
      </c>
      <c r="M264" s="220"/>
      <c r="N264" s="220"/>
      <c r="O264" s="220"/>
      <c r="P264" s="220"/>
      <c r="Q264" s="220"/>
      <c r="R264" s="220"/>
      <c r="S264" s="220"/>
      <c r="T264" s="220"/>
      <c r="U264" s="220"/>
      <c r="V264" s="220"/>
      <c r="W264" s="220"/>
    </row>
    <row r="265" ht="15.75" customHeight="1" outlineLevel="1">
      <c r="A265" s="211"/>
      <c r="B265" s="212"/>
      <c r="C265" s="213"/>
      <c r="D265" s="214" t="str">
        <f>IFERROR(VLOOKUP($C265,'PORTIFÓLIO'!C:V,2,0),"")</f>
        <v/>
      </c>
      <c r="E265" s="211" t="str">
        <f>IFERROR(VLOOKUP($C265,'PORTIFÓLIO'!C:V,3,0),"")</f>
        <v/>
      </c>
      <c r="F265" s="211" t="str">
        <f>IFERROR(VLOOKUP($C265,'PORTIFÓLIO'!C:V,4,0),"")</f>
        <v/>
      </c>
      <c r="G265" s="215" t="str">
        <f>IFERROR(VLOOKUP($C265,'PORTIFÓLIO'!C:V,5,0),"")</f>
        <v/>
      </c>
      <c r="H265" s="254" t="str">
        <f t="array" ref="H265">IFERROR(INDEX('PORTIFÓLIO'!$H$4:$H$433,MATCH($C265,'PORTIFÓLIO'!$C$4:$C$433,0)),"")</f>
        <v/>
      </c>
      <c r="I265" s="256"/>
      <c r="J265" s="218">
        <f t="shared" si="29"/>
        <v>0</v>
      </c>
      <c r="K265" s="292" t="str">
        <f t="array" ref="K265">IFERROR(I265*INDEX('PORTIFÓLIO'!$S$4:$S$433,MATCH($C265,'PORTIFÓLIO'!$C$4:$C$433,0)),"")</f>
        <v/>
      </c>
      <c r="L265" s="292" t="str">
        <f t="array" ref="L265">IFERROR(J265*INDEX('PORTIFÓLIO'!$S$4:$S$433,MATCH($C265,'PORTIFÓLIO'!$C$4:$C$433,0)),"")</f>
        <v/>
      </c>
      <c r="M265" s="220"/>
      <c r="N265" s="220"/>
      <c r="O265" s="220"/>
      <c r="P265" s="220"/>
      <c r="Q265" s="220"/>
      <c r="R265" s="220"/>
      <c r="S265" s="220"/>
      <c r="T265" s="220"/>
      <c r="U265" s="220"/>
      <c r="V265" s="220"/>
      <c r="W265" s="220"/>
    </row>
    <row r="266" ht="15.75" customHeight="1" outlineLevel="1">
      <c r="A266" s="211"/>
      <c r="B266" s="212"/>
      <c r="C266" s="213"/>
      <c r="D266" s="214" t="str">
        <f>IFERROR(VLOOKUP($C266,'PORTIFÓLIO'!C:V,2,0),"")</f>
        <v/>
      </c>
      <c r="E266" s="211" t="str">
        <f>IFERROR(VLOOKUP($C266,'PORTIFÓLIO'!C:V,3,0),"")</f>
        <v/>
      </c>
      <c r="F266" s="211" t="str">
        <f>IFERROR(VLOOKUP($C266,'PORTIFÓLIO'!C:V,4,0),"")</f>
        <v/>
      </c>
      <c r="G266" s="215" t="str">
        <f>IFERROR(VLOOKUP($C266,'PORTIFÓLIO'!C:V,5,0),"")</f>
        <v/>
      </c>
      <c r="H266" s="254" t="str">
        <f t="array" ref="H266">IFERROR(INDEX('PORTIFÓLIO'!$H$4:$H$433,MATCH($C266,'PORTIFÓLIO'!$C$4:$C$433,0)),"")</f>
        <v/>
      </c>
      <c r="I266" s="256"/>
      <c r="J266" s="218">
        <f t="shared" si="29"/>
        <v>0</v>
      </c>
      <c r="K266" s="292" t="str">
        <f t="array" ref="K266">IFERROR(I266*INDEX('PORTIFÓLIO'!$S$4:$S$433,MATCH($C266,'PORTIFÓLIO'!$C$4:$C$433,0)),"")</f>
        <v/>
      </c>
      <c r="L266" s="292" t="str">
        <f t="array" ref="L266">IFERROR(J266*INDEX('PORTIFÓLIO'!$S$4:$S$433,MATCH($C266,'PORTIFÓLIO'!$C$4:$C$433,0)),"")</f>
        <v/>
      </c>
      <c r="M266" s="220"/>
      <c r="N266" s="220"/>
      <c r="O266" s="220"/>
      <c r="P266" s="220"/>
      <c r="Q266" s="220"/>
      <c r="R266" s="220"/>
      <c r="S266" s="220"/>
      <c r="T266" s="220"/>
      <c r="U266" s="220"/>
      <c r="V266" s="220"/>
      <c r="W266" s="220"/>
    </row>
    <row r="267" ht="15.75" customHeight="1" outlineLevel="1">
      <c r="A267" s="211"/>
      <c r="B267" s="212"/>
      <c r="C267" s="213"/>
      <c r="D267" s="214" t="str">
        <f>IFERROR(VLOOKUP($C267,'PORTIFÓLIO'!C:V,2,0),"")</f>
        <v/>
      </c>
      <c r="E267" s="211" t="str">
        <f>IFERROR(VLOOKUP($C267,'PORTIFÓLIO'!C:V,3,0),"")</f>
        <v/>
      </c>
      <c r="F267" s="211" t="str">
        <f>IFERROR(VLOOKUP($C267,'PORTIFÓLIO'!C:V,4,0),"")</f>
        <v/>
      </c>
      <c r="G267" s="215" t="str">
        <f>IFERROR(VLOOKUP($C267,'PORTIFÓLIO'!C:V,5,0),"")</f>
        <v/>
      </c>
      <c r="H267" s="254" t="str">
        <f t="array" ref="H267">IFERROR(INDEX('PORTIFÓLIO'!$H$4:$H$433,MATCH($C267,'PORTIFÓLIO'!$C$4:$C$433,0)),"")</f>
        <v/>
      </c>
      <c r="I267" s="256"/>
      <c r="J267" s="218">
        <f t="shared" si="29"/>
        <v>0</v>
      </c>
      <c r="K267" s="292" t="str">
        <f t="array" ref="K267">IFERROR(I267*INDEX('PORTIFÓLIO'!$S$4:$S$433,MATCH($C267,'PORTIFÓLIO'!$C$4:$C$433,0)),"")</f>
        <v/>
      </c>
      <c r="L267" s="292" t="str">
        <f t="array" ref="L267">IFERROR(J267*INDEX('PORTIFÓLIO'!$S$4:$S$433,MATCH($C267,'PORTIFÓLIO'!$C$4:$C$433,0)),"")</f>
        <v/>
      </c>
      <c r="M267" s="220"/>
      <c r="N267" s="220"/>
      <c r="O267" s="220"/>
      <c r="P267" s="220"/>
      <c r="Q267" s="220"/>
      <c r="R267" s="220"/>
      <c r="S267" s="220"/>
      <c r="T267" s="220"/>
      <c r="U267" s="220"/>
      <c r="V267" s="220"/>
      <c r="W267" s="220"/>
    </row>
    <row r="268" ht="15.75" customHeight="1" outlineLevel="1">
      <c r="A268" s="211"/>
      <c r="B268" s="212"/>
      <c r="C268" s="213"/>
      <c r="D268" s="214" t="str">
        <f>IFERROR(VLOOKUP($C268,'PORTIFÓLIO'!C:V,2,0),"")</f>
        <v/>
      </c>
      <c r="E268" s="211" t="str">
        <f>IFERROR(VLOOKUP($C268,'PORTIFÓLIO'!C:V,3,0),"")</f>
        <v/>
      </c>
      <c r="F268" s="211" t="str">
        <f>IFERROR(VLOOKUP($C268,'PORTIFÓLIO'!C:V,4,0),"")</f>
        <v/>
      </c>
      <c r="G268" s="215" t="str">
        <f>IFERROR(VLOOKUP($C268,'PORTIFÓLIO'!C:V,5,0),"")</f>
        <v/>
      </c>
      <c r="H268" s="254" t="str">
        <f t="array" ref="H268">IFERROR(INDEX('PORTIFÓLIO'!$H$4:$H$433,MATCH($C268,'PORTIFÓLIO'!$C$4:$C$433,0)),"")</f>
        <v/>
      </c>
      <c r="I268" s="256"/>
      <c r="J268" s="218">
        <f t="shared" si="29"/>
        <v>0</v>
      </c>
      <c r="K268" s="292" t="str">
        <f t="array" ref="K268">IFERROR(I268*INDEX('PORTIFÓLIO'!$S$4:$S$433,MATCH($C268,'PORTIFÓLIO'!$C$4:$C$433,0)),"")</f>
        <v/>
      </c>
      <c r="L268" s="292" t="str">
        <f t="array" ref="L268">IFERROR(J268*INDEX('PORTIFÓLIO'!$S$4:$S$433,MATCH($C268,'PORTIFÓLIO'!$C$4:$C$433,0)),"")</f>
        <v/>
      </c>
      <c r="M268" s="220"/>
      <c r="N268" s="220"/>
      <c r="O268" s="220"/>
      <c r="P268" s="220"/>
      <c r="Q268" s="220"/>
      <c r="R268" s="220"/>
      <c r="S268" s="220"/>
      <c r="T268" s="220"/>
      <c r="U268" s="220"/>
      <c r="V268" s="220"/>
      <c r="W268" s="220"/>
    </row>
    <row r="269" ht="15.75" customHeight="1" outlineLevel="1">
      <c r="A269" s="211"/>
      <c r="B269" s="212"/>
      <c r="C269" s="213"/>
      <c r="D269" s="214" t="str">
        <f>IFERROR(VLOOKUP($C269,'PORTIFÓLIO'!C:V,2,0),"")</f>
        <v/>
      </c>
      <c r="E269" s="211" t="str">
        <f>IFERROR(VLOOKUP($C269,'PORTIFÓLIO'!C:V,3,0),"")</f>
        <v/>
      </c>
      <c r="F269" s="211" t="str">
        <f>IFERROR(VLOOKUP($C269,'PORTIFÓLIO'!C:V,4,0),"")</f>
        <v/>
      </c>
      <c r="G269" s="215" t="str">
        <f>IFERROR(VLOOKUP($C269,'PORTIFÓLIO'!C:V,5,0),"")</f>
        <v/>
      </c>
      <c r="H269" s="254" t="str">
        <f t="array" ref="H269">IFERROR(INDEX('PORTIFÓLIO'!$H$4:$H$433,MATCH($C269,'PORTIFÓLIO'!$C$4:$C$433,0)),"")</f>
        <v/>
      </c>
      <c r="I269" s="256"/>
      <c r="J269" s="218">
        <f t="shared" si="29"/>
        <v>0</v>
      </c>
      <c r="K269" s="292" t="str">
        <f t="array" ref="K269">IFERROR(I269*INDEX('PORTIFÓLIO'!$S$4:$S$433,MATCH($C269,'PORTIFÓLIO'!$C$4:$C$433,0)),"")</f>
        <v/>
      </c>
      <c r="L269" s="292" t="str">
        <f t="array" ref="L269">IFERROR(J269*INDEX('PORTIFÓLIO'!$S$4:$S$433,MATCH($C269,'PORTIFÓLIO'!$C$4:$C$433,0)),"")</f>
        <v/>
      </c>
      <c r="M269" s="220"/>
      <c r="N269" s="220"/>
      <c r="O269" s="220"/>
      <c r="P269" s="220"/>
      <c r="Q269" s="220"/>
      <c r="R269" s="220"/>
      <c r="S269" s="220"/>
      <c r="T269" s="220"/>
      <c r="U269" s="220"/>
      <c r="V269" s="220"/>
      <c r="W269" s="220"/>
    </row>
    <row r="270" ht="15.75" customHeight="1" outlineLevel="1">
      <c r="A270" s="211"/>
      <c r="B270" s="212"/>
      <c r="C270" s="213"/>
      <c r="D270" s="214" t="str">
        <f>IFERROR(VLOOKUP($C270,'PORTIFÓLIO'!C:V,2,0),"")</f>
        <v/>
      </c>
      <c r="E270" s="211" t="str">
        <f>IFERROR(VLOOKUP($C270,'PORTIFÓLIO'!C:V,3,0),"")</f>
        <v/>
      </c>
      <c r="F270" s="211" t="str">
        <f>IFERROR(VLOOKUP($C270,'PORTIFÓLIO'!C:V,4,0),"")</f>
        <v/>
      </c>
      <c r="G270" s="215" t="str">
        <f>IFERROR(VLOOKUP($C270,'PORTIFÓLIO'!C:V,5,0),"")</f>
        <v/>
      </c>
      <c r="H270" s="254" t="str">
        <f t="array" ref="H270">IFERROR(INDEX('PORTIFÓLIO'!$H$4:$H$433,MATCH($C270,'PORTIFÓLIO'!$C$4:$C$433,0)),"")</f>
        <v/>
      </c>
      <c r="I270" s="256"/>
      <c r="J270" s="218">
        <f t="shared" si="29"/>
        <v>0</v>
      </c>
      <c r="K270" s="292" t="str">
        <f t="array" ref="K270">IFERROR(I270*INDEX('PORTIFÓLIO'!$S$4:$S$433,MATCH($C270,'PORTIFÓLIO'!$C$4:$C$433,0)),"")</f>
        <v/>
      </c>
      <c r="L270" s="292" t="str">
        <f t="array" ref="L270">IFERROR(J270*INDEX('PORTIFÓLIO'!$S$4:$S$433,MATCH($C270,'PORTIFÓLIO'!$C$4:$C$433,0)),"")</f>
        <v/>
      </c>
      <c r="M270" s="220"/>
      <c r="N270" s="220"/>
      <c r="O270" s="220"/>
      <c r="P270" s="220"/>
      <c r="Q270" s="220"/>
      <c r="R270" s="220"/>
      <c r="S270" s="220"/>
      <c r="T270" s="220"/>
      <c r="U270" s="220"/>
      <c r="V270" s="220"/>
      <c r="W270" s="220"/>
    </row>
    <row r="271" ht="15.75" customHeight="1">
      <c r="A271" s="229" t="s">
        <v>1185</v>
      </c>
      <c r="B271" s="230"/>
      <c r="C271" s="231"/>
      <c r="D271" s="232"/>
      <c r="E271" s="231"/>
      <c r="F271" s="231"/>
      <c r="G271" s="233"/>
      <c r="H271" s="233"/>
      <c r="I271" s="258"/>
      <c r="J271" s="236"/>
      <c r="K271" s="237">
        <f t="shared" ref="K271:L271" si="30">SUBTOTAL(9,K272:K285)</f>
        <v>0</v>
      </c>
      <c r="L271" s="237">
        <f t="shared" si="30"/>
        <v>0</v>
      </c>
      <c r="M271" s="220"/>
      <c r="N271" s="220"/>
      <c r="O271" s="220"/>
      <c r="P271" s="220"/>
      <c r="Q271" s="220"/>
      <c r="R271" s="220"/>
      <c r="S271" s="220"/>
      <c r="T271" s="220"/>
      <c r="U271" s="220"/>
      <c r="V271" s="220"/>
      <c r="W271" s="220"/>
    </row>
    <row r="272" ht="15.75" customHeight="1" outlineLevel="1">
      <c r="A272" s="213"/>
      <c r="B272" s="212"/>
      <c r="C272" s="213"/>
      <c r="D272" s="214" t="str">
        <f>IFERROR(VLOOKUP($C272,'PORTIFÓLIO'!C:V,2,0),"")</f>
        <v/>
      </c>
      <c r="E272" s="211" t="str">
        <f>IFERROR(VLOOKUP($C272,'PORTIFÓLIO'!C:V,3,0),"")</f>
        <v/>
      </c>
      <c r="F272" s="211" t="str">
        <f>IFERROR(VLOOKUP($C272,'PORTIFÓLIO'!C:V,4,0),"")</f>
        <v/>
      </c>
      <c r="G272" s="215" t="str">
        <f>IFERROR(VLOOKUP($C272,'PORTIFÓLIO'!C:V,5,0),"")</f>
        <v/>
      </c>
      <c r="H272" s="254" t="str">
        <f t="array" ref="H272">IFERROR(INDEX('PORTIFÓLIO'!$H$4:$H$433,MATCH($C272,'PORTIFÓLIO'!$C$4:$C$433,0)),"")</f>
        <v/>
      </c>
      <c r="I272" s="255"/>
      <c r="J272" s="218">
        <f t="shared" ref="J272:J289" si="31">I272*$B$2</f>
        <v>0</v>
      </c>
      <c r="K272" s="292" t="str">
        <f t="array" ref="K272">IFERROR(I272*INDEX('PORTIFÓLIO'!$S$4:$S$433,MATCH($C272,'PORTIFÓLIO'!$C$4:$C$433,0)),"")</f>
        <v/>
      </c>
      <c r="L272" s="292" t="str">
        <f t="array" ref="L272">IFERROR(J272*INDEX('PORTIFÓLIO'!$S$4:$S$433,MATCH($C272,'PORTIFÓLIO'!$C$4:$C$433,0)),"")</f>
        <v/>
      </c>
      <c r="M272" s="220"/>
      <c r="N272" s="220"/>
      <c r="O272" s="220"/>
      <c r="P272" s="220"/>
      <c r="Q272" s="220"/>
      <c r="R272" s="220"/>
      <c r="S272" s="220"/>
      <c r="T272" s="220"/>
      <c r="U272" s="220"/>
      <c r="V272" s="220"/>
      <c r="W272" s="220"/>
    </row>
    <row r="273" ht="15.75" customHeight="1" outlineLevel="1">
      <c r="A273" s="211"/>
      <c r="B273" s="212"/>
      <c r="C273" s="213"/>
      <c r="D273" s="214" t="str">
        <f>IFERROR(VLOOKUP($C273,'PORTIFÓLIO'!C:V,2,0),"")</f>
        <v/>
      </c>
      <c r="E273" s="211" t="str">
        <f>IFERROR(VLOOKUP($C273,'PORTIFÓLIO'!C:V,3,0),"")</f>
        <v/>
      </c>
      <c r="F273" s="211" t="str">
        <f>IFERROR(VLOOKUP($C273,'PORTIFÓLIO'!C:V,4,0),"")</f>
        <v/>
      </c>
      <c r="G273" s="215" t="str">
        <f>IFERROR(VLOOKUP($C273,'PORTIFÓLIO'!C:V,5,0),"")</f>
        <v/>
      </c>
      <c r="H273" s="254" t="str">
        <f t="array" ref="H273">IFERROR(INDEX('PORTIFÓLIO'!$H$4:$H$433,MATCH($C273,'PORTIFÓLIO'!$C$4:$C$433,0)),"")</f>
        <v/>
      </c>
      <c r="I273" s="256"/>
      <c r="J273" s="218">
        <f t="shared" si="31"/>
        <v>0</v>
      </c>
      <c r="K273" s="292" t="str">
        <f t="array" ref="K273">IFERROR(I273*INDEX('PORTIFÓLIO'!$S$4:$S$433,MATCH($C273,'PORTIFÓLIO'!$C$4:$C$433,0)),"")</f>
        <v/>
      </c>
      <c r="L273" s="292" t="str">
        <f t="array" ref="L273">IFERROR(J273*INDEX('PORTIFÓLIO'!$S$4:$S$433,MATCH($C273,'PORTIFÓLIO'!$C$4:$C$433,0)),"")</f>
        <v/>
      </c>
      <c r="M273" s="220"/>
      <c r="N273" s="220"/>
      <c r="O273" s="220"/>
      <c r="P273" s="220"/>
      <c r="Q273" s="220"/>
      <c r="R273" s="220"/>
      <c r="S273" s="220"/>
      <c r="T273" s="220"/>
      <c r="U273" s="220"/>
      <c r="V273" s="220"/>
      <c r="W273" s="220"/>
    </row>
    <row r="274" ht="15.75" customHeight="1" outlineLevel="1">
      <c r="A274" s="211"/>
      <c r="B274" s="212"/>
      <c r="C274" s="213"/>
      <c r="D274" s="214" t="str">
        <f>IFERROR(VLOOKUP($C274,'PORTIFÓLIO'!C:V,2,0),"")</f>
        <v/>
      </c>
      <c r="E274" s="211" t="str">
        <f>IFERROR(VLOOKUP($C274,'PORTIFÓLIO'!C:V,3,0),"")</f>
        <v/>
      </c>
      <c r="F274" s="211" t="str">
        <f>IFERROR(VLOOKUP($C274,'PORTIFÓLIO'!C:V,4,0),"")</f>
        <v/>
      </c>
      <c r="G274" s="215" t="str">
        <f>IFERROR(VLOOKUP($C274,'PORTIFÓLIO'!C:V,5,0),"")</f>
        <v/>
      </c>
      <c r="H274" s="254" t="str">
        <f t="array" ref="H274">IFERROR(INDEX('PORTIFÓLIO'!$H$4:$H$433,MATCH($C274,'PORTIFÓLIO'!$C$4:$C$433,0)),"")</f>
        <v/>
      </c>
      <c r="I274" s="256"/>
      <c r="J274" s="218">
        <f t="shared" si="31"/>
        <v>0</v>
      </c>
      <c r="K274" s="292" t="str">
        <f t="array" ref="K274">IFERROR(I274*INDEX('PORTIFÓLIO'!$S$4:$S$433,MATCH($C274,'PORTIFÓLIO'!$C$4:$C$433,0)),"")</f>
        <v/>
      </c>
      <c r="L274" s="292" t="str">
        <f t="array" ref="L274">IFERROR(J274*INDEX('PORTIFÓLIO'!$S$4:$S$433,MATCH($C274,'PORTIFÓLIO'!$C$4:$C$433,0)),"")</f>
        <v/>
      </c>
      <c r="M274" s="220"/>
      <c r="N274" s="220"/>
      <c r="O274" s="220"/>
      <c r="P274" s="220"/>
      <c r="Q274" s="220"/>
      <c r="R274" s="220"/>
      <c r="S274" s="220"/>
      <c r="T274" s="220"/>
      <c r="U274" s="220"/>
      <c r="V274" s="220"/>
      <c r="W274" s="220"/>
    </row>
    <row r="275" ht="15.75" customHeight="1" outlineLevel="1">
      <c r="A275" s="211"/>
      <c r="B275" s="212"/>
      <c r="C275" s="213"/>
      <c r="D275" s="214" t="str">
        <f>IFERROR(VLOOKUP($C275,'PORTIFÓLIO'!C:V,2,0),"")</f>
        <v/>
      </c>
      <c r="E275" s="211" t="str">
        <f>IFERROR(VLOOKUP($C275,'PORTIFÓLIO'!C:V,3,0),"")</f>
        <v/>
      </c>
      <c r="F275" s="211" t="str">
        <f>IFERROR(VLOOKUP($C275,'PORTIFÓLIO'!C:V,4,0),"")</f>
        <v/>
      </c>
      <c r="G275" s="215" t="str">
        <f>IFERROR(VLOOKUP($C275,'PORTIFÓLIO'!C:V,5,0),"")</f>
        <v/>
      </c>
      <c r="H275" s="254" t="str">
        <f t="array" ref="H275">IFERROR(INDEX('PORTIFÓLIO'!$H$4:$H$433,MATCH($C275,'PORTIFÓLIO'!$C$4:$C$433,0)),"")</f>
        <v/>
      </c>
      <c r="I275" s="256"/>
      <c r="J275" s="218">
        <f t="shared" si="31"/>
        <v>0</v>
      </c>
      <c r="K275" s="292" t="str">
        <f t="array" ref="K275">IFERROR(I275*INDEX('PORTIFÓLIO'!$S$4:$S$433,MATCH($C275,'PORTIFÓLIO'!$C$4:$C$433,0)),"")</f>
        <v/>
      </c>
      <c r="L275" s="292" t="str">
        <f t="array" ref="L275">IFERROR(J275*INDEX('PORTIFÓLIO'!$S$4:$S$433,MATCH($C275,'PORTIFÓLIO'!$C$4:$C$433,0)),"")</f>
        <v/>
      </c>
      <c r="M275" s="220"/>
      <c r="N275" s="220"/>
      <c r="O275" s="220"/>
      <c r="P275" s="220"/>
      <c r="Q275" s="220"/>
      <c r="R275" s="220"/>
      <c r="S275" s="220"/>
      <c r="T275" s="220"/>
      <c r="U275" s="220"/>
      <c r="V275" s="220"/>
      <c r="W275" s="220"/>
    </row>
    <row r="276" ht="15.75" customHeight="1" outlineLevel="1">
      <c r="A276" s="211"/>
      <c r="B276" s="212"/>
      <c r="C276" s="213"/>
      <c r="D276" s="214" t="str">
        <f>IFERROR(VLOOKUP($C276,'PORTIFÓLIO'!C:V,2,0),"")</f>
        <v/>
      </c>
      <c r="E276" s="211" t="str">
        <f>IFERROR(VLOOKUP($C276,'PORTIFÓLIO'!C:V,3,0),"")</f>
        <v/>
      </c>
      <c r="F276" s="211" t="str">
        <f>IFERROR(VLOOKUP($C276,'PORTIFÓLIO'!C:V,4,0),"")</f>
        <v/>
      </c>
      <c r="G276" s="215" t="str">
        <f>IFERROR(VLOOKUP($C276,'PORTIFÓLIO'!C:V,5,0),"")</f>
        <v/>
      </c>
      <c r="H276" s="254" t="str">
        <f t="array" ref="H276">IFERROR(INDEX('PORTIFÓLIO'!$H$4:$H$433,MATCH($C276,'PORTIFÓLIO'!$C$4:$C$433,0)),"")</f>
        <v/>
      </c>
      <c r="I276" s="256"/>
      <c r="J276" s="218">
        <f t="shared" si="31"/>
        <v>0</v>
      </c>
      <c r="K276" s="292" t="str">
        <f t="array" ref="K276">IFERROR(I276*INDEX('PORTIFÓLIO'!$S$4:$S$433,MATCH($C276,'PORTIFÓLIO'!$C$4:$C$433,0)),"")</f>
        <v/>
      </c>
      <c r="L276" s="292" t="str">
        <f t="array" ref="L276">IFERROR(J276*INDEX('PORTIFÓLIO'!$S$4:$S$433,MATCH($C276,'PORTIFÓLIO'!$C$4:$C$433,0)),"")</f>
        <v/>
      </c>
      <c r="M276" s="220"/>
      <c r="N276" s="220"/>
      <c r="O276" s="220"/>
      <c r="P276" s="220"/>
      <c r="Q276" s="220"/>
      <c r="R276" s="220"/>
      <c r="S276" s="220"/>
      <c r="T276" s="220"/>
      <c r="U276" s="220"/>
      <c r="V276" s="220"/>
      <c r="W276" s="220"/>
    </row>
    <row r="277" ht="15.75" customHeight="1" outlineLevel="1">
      <c r="A277" s="211"/>
      <c r="B277" s="212"/>
      <c r="C277" s="213"/>
      <c r="D277" s="214" t="str">
        <f>IFERROR(VLOOKUP($C277,'PORTIFÓLIO'!C:V,2,0),"")</f>
        <v/>
      </c>
      <c r="E277" s="211" t="str">
        <f>IFERROR(VLOOKUP($C277,'PORTIFÓLIO'!C:V,3,0),"")</f>
        <v/>
      </c>
      <c r="F277" s="211" t="str">
        <f>IFERROR(VLOOKUP($C277,'PORTIFÓLIO'!C:V,4,0),"")</f>
        <v/>
      </c>
      <c r="G277" s="215" t="str">
        <f>IFERROR(VLOOKUP($C277,'PORTIFÓLIO'!C:V,5,0),"")</f>
        <v/>
      </c>
      <c r="H277" s="254" t="str">
        <f t="array" ref="H277">IFERROR(INDEX('PORTIFÓLIO'!$H$4:$H$433,MATCH($C277,'PORTIFÓLIO'!$C$4:$C$433,0)),"")</f>
        <v/>
      </c>
      <c r="I277" s="256"/>
      <c r="J277" s="218">
        <f t="shared" si="31"/>
        <v>0</v>
      </c>
      <c r="K277" s="292" t="str">
        <f t="array" ref="K277">IFERROR(I277*INDEX('PORTIFÓLIO'!$S$4:$S$433,MATCH($C277,'PORTIFÓLIO'!$C$4:$C$433,0)),"")</f>
        <v/>
      </c>
      <c r="L277" s="292" t="str">
        <f t="array" ref="L277">IFERROR(J277*INDEX('PORTIFÓLIO'!$S$4:$S$433,MATCH($C277,'PORTIFÓLIO'!$C$4:$C$433,0)),"")</f>
        <v/>
      </c>
      <c r="M277" s="220"/>
      <c r="N277" s="220"/>
      <c r="O277" s="220"/>
      <c r="P277" s="220"/>
      <c r="Q277" s="220"/>
      <c r="R277" s="220"/>
      <c r="S277" s="220"/>
      <c r="T277" s="220"/>
      <c r="U277" s="220"/>
      <c r="V277" s="220"/>
      <c r="W277" s="220"/>
    </row>
    <row r="278" ht="15.75" customHeight="1" outlineLevel="1">
      <c r="A278" s="211"/>
      <c r="B278" s="212"/>
      <c r="C278" s="213"/>
      <c r="D278" s="214" t="str">
        <f>IFERROR(VLOOKUP($C278,'PORTIFÓLIO'!C:V,2,0),"")</f>
        <v/>
      </c>
      <c r="E278" s="211" t="str">
        <f>IFERROR(VLOOKUP($C278,'PORTIFÓLIO'!C:V,3,0),"")</f>
        <v/>
      </c>
      <c r="F278" s="211" t="str">
        <f>IFERROR(VLOOKUP($C278,'PORTIFÓLIO'!C:V,4,0),"")</f>
        <v/>
      </c>
      <c r="G278" s="215" t="str">
        <f>IFERROR(VLOOKUP($C278,'PORTIFÓLIO'!C:V,5,0),"")</f>
        <v/>
      </c>
      <c r="H278" s="254" t="str">
        <f t="array" ref="H278">IFERROR(INDEX('PORTIFÓLIO'!$H$4:$H$433,MATCH($C278,'PORTIFÓLIO'!$C$4:$C$433,0)),"")</f>
        <v/>
      </c>
      <c r="I278" s="256"/>
      <c r="J278" s="218">
        <f t="shared" si="31"/>
        <v>0</v>
      </c>
      <c r="K278" s="292" t="str">
        <f t="array" ref="K278">IFERROR(I278*INDEX('PORTIFÓLIO'!$S$4:$S$433,MATCH($C278,'PORTIFÓLIO'!$C$4:$C$433,0)),"")</f>
        <v/>
      </c>
      <c r="L278" s="292" t="str">
        <f t="array" ref="L278">IFERROR(J278*INDEX('PORTIFÓLIO'!$S$4:$S$433,MATCH($C278,'PORTIFÓLIO'!$C$4:$C$433,0)),"")</f>
        <v/>
      </c>
      <c r="M278" s="220"/>
      <c r="N278" s="220"/>
      <c r="O278" s="220"/>
      <c r="P278" s="220"/>
      <c r="Q278" s="220"/>
      <c r="R278" s="220"/>
      <c r="S278" s="220"/>
      <c r="T278" s="220"/>
      <c r="U278" s="220"/>
      <c r="V278" s="220"/>
      <c r="W278" s="220"/>
    </row>
    <row r="279" ht="15.75" customHeight="1" outlineLevel="1">
      <c r="A279" s="211"/>
      <c r="B279" s="212"/>
      <c r="C279" s="213"/>
      <c r="D279" s="214" t="str">
        <f>IFERROR(VLOOKUP($C279,'PORTIFÓLIO'!C:V,2,0),"")</f>
        <v/>
      </c>
      <c r="E279" s="211" t="str">
        <f>IFERROR(VLOOKUP($C279,'PORTIFÓLIO'!C:V,3,0),"")</f>
        <v/>
      </c>
      <c r="F279" s="211" t="str">
        <f>IFERROR(VLOOKUP($C279,'PORTIFÓLIO'!C:V,4,0),"")</f>
        <v/>
      </c>
      <c r="G279" s="215" t="str">
        <f>IFERROR(VLOOKUP($C279,'PORTIFÓLIO'!C:V,5,0),"")</f>
        <v/>
      </c>
      <c r="H279" s="254" t="str">
        <f t="array" ref="H279">IFERROR(INDEX('PORTIFÓLIO'!$H$4:$H$433,MATCH($C279,'PORTIFÓLIO'!$C$4:$C$433,0)),"")</f>
        <v/>
      </c>
      <c r="I279" s="256"/>
      <c r="J279" s="218">
        <f t="shared" si="31"/>
        <v>0</v>
      </c>
      <c r="K279" s="292" t="str">
        <f t="array" ref="K279">IFERROR(I279*INDEX('PORTIFÓLIO'!$S$4:$S$433,MATCH($C279,'PORTIFÓLIO'!$C$4:$C$433,0)),"")</f>
        <v/>
      </c>
      <c r="L279" s="292" t="str">
        <f t="array" ref="L279">IFERROR(J279*INDEX('PORTIFÓLIO'!$S$4:$S$433,MATCH($C279,'PORTIFÓLIO'!$C$4:$C$433,0)),"")</f>
        <v/>
      </c>
      <c r="M279" s="220"/>
      <c r="N279" s="220"/>
      <c r="O279" s="220"/>
      <c r="P279" s="220"/>
      <c r="Q279" s="220"/>
      <c r="R279" s="220"/>
      <c r="S279" s="220"/>
      <c r="T279" s="220"/>
      <c r="U279" s="220"/>
      <c r="V279" s="220"/>
      <c r="W279" s="220"/>
    </row>
    <row r="280" ht="15.75" customHeight="1" outlineLevel="1">
      <c r="A280" s="211"/>
      <c r="B280" s="212"/>
      <c r="C280" s="213"/>
      <c r="D280" s="214" t="str">
        <f>IFERROR(VLOOKUP($C280,'PORTIFÓLIO'!C:V,2,0),"")</f>
        <v/>
      </c>
      <c r="E280" s="211" t="str">
        <f>IFERROR(VLOOKUP($C280,'PORTIFÓLIO'!C:V,3,0),"")</f>
        <v/>
      </c>
      <c r="F280" s="211" t="str">
        <f>IFERROR(VLOOKUP($C280,'PORTIFÓLIO'!C:V,4,0),"")</f>
        <v/>
      </c>
      <c r="G280" s="215" t="str">
        <f>IFERROR(VLOOKUP($C280,'PORTIFÓLIO'!C:V,5,0),"")</f>
        <v/>
      </c>
      <c r="H280" s="254" t="str">
        <f t="array" ref="H280">IFERROR(INDEX('PORTIFÓLIO'!$H$4:$H$433,MATCH($C280,'PORTIFÓLIO'!$C$4:$C$433,0)),"")</f>
        <v/>
      </c>
      <c r="I280" s="255"/>
      <c r="J280" s="218">
        <f t="shared" si="31"/>
        <v>0</v>
      </c>
      <c r="K280" s="292" t="str">
        <f t="array" ref="K280">IFERROR(I280*INDEX('PORTIFÓLIO'!$S$4:$S$433,MATCH($C280,'PORTIFÓLIO'!$C$4:$C$433,0)),"")</f>
        <v/>
      </c>
      <c r="L280" s="292" t="str">
        <f t="array" ref="L280">IFERROR(J280*INDEX('PORTIFÓLIO'!$S$4:$S$433,MATCH($C280,'PORTIFÓLIO'!$C$4:$C$433,0)),"")</f>
        <v/>
      </c>
      <c r="M280" s="220"/>
      <c r="N280" s="220"/>
      <c r="O280" s="220"/>
      <c r="P280" s="220"/>
      <c r="Q280" s="220"/>
      <c r="R280" s="220"/>
      <c r="S280" s="220"/>
      <c r="T280" s="220"/>
      <c r="U280" s="220"/>
      <c r="V280" s="220"/>
      <c r="W280" s="220"/>
    </row>
    <row r="281" ht="15.75" customHeight="1" outlineLevel="1">
      <c r="A281" s="211"/>
      <c r="B281" s="212"/>
      <c r="C281" s="213"/>
      <c r="D281" s="214" t="str">
        <f>IFERROR(VLOOKUP($C281,'PORTIFÓLIO'!C:V,2,0),"")</f>
        <v/>
      </c>
      <c r="E281" s="211" t="str">
        <f>IFERROR(VLOOKUP($C281,'PORTIFÓLIO'!C:V,3,0),"")</f>
        <v/>
      </c>
      <c r="F281" s="211" t="str">
        <f>IFERROR(VLOOKUP($C281,'PORTIFÓLIO'!C:V,4,0),"")</f>
        <v/>
      </c>
      <c r="G281" s="215" t="str">
        <f>IFERROR(VLOOKUP($C281,'PORTIFÓLIO'!C:V,5,0),"")</f>
        <v/>
      </c>
      <c r="H281" s="254" t="str">
        <f t="array" ref="H281">IFERROR(INDEX('PORTIFÓLIO'!$H$4:$H$433,MATCH($C281,'PORTIFÓLIO'!$C$4:$C$433,0)),"")</f>
        <v/>
      </c>
      <c r="I281" s="256"/>
      <c r="J281" s="218">
        <f t="shared" si="31"/>
        <v>0</v>
      </c>
      <c r="K281" s="292" t="str">
        <f t="array" ref="K281">IFERROR(I281*INDEX('PORTIFÓLIO'!$S$4:$S$433,MATCH($C281,'PORTIFÓLIO'!$C$4:$C$433,0)),"")</f>
        <v/>
      </c>
      <c r="L281" s="292" t="str">
        <f t="array" ref="L281">IFERROR(J281*INDEX('PORTIFÓLIO'!$S$4:$S$433,MATCH($C281,'PORTIFÓLIO'!$C$4:$C$433,0)),"")</f>
        <v/>
      </c>
      <c r="M281" s="220"/>
      <c r="N281" s="220"/>
      <c r="O281" s="220"/>
      <c r="P281" s="220"/>
      <c r="Q281" s="220"/>
      <c r="R281" s="220"/>
      <c r="S281" s="220"/>
      <c r="T281" s="220"/>
      <c r="U281" s="220"/>
      <c r="V281" s="220"/>
      <c r="W281" s="220"/>
    </row>
    <row r="282" ht="15.75" customHeight="1" outlineLevel="1">
      <c r="A282" s="211"/>
      <c r="B282" s="212"/>
      <c r="C282" s="213"/>
      <c r="D282" s="214" t="str">
        <f>IFERROR(VLOOKUP($C282,'PORTIFÓLIO'!C:V,2,0),"")</f>
        <v/>
      </c>
      <c r="E282" s="211" t="str">
        <f>IFERROR(VLOOKUP($C282,'PORTIFÓLIO'!C:V,3,0),"")</f>
        <v/>
      </c>
      <c r="F282" s="211" t="str">
        <f>IFERROR(VLOOKUP($C282,'PORTIFÓLIO'!C:V,4,0),"")</f>
        <v/>
      </c>
      <c r="G282" s="215" t="str">
        <f>IFERROR(VLOOKUP($C282,'PORTIFÓLIO'!C:V,5,0),"")</f>
        <v/>
      </c>
      <c r="H282" s="254" t="str">
        <f t="array" ref="H282">IFERROR(INDEX('PORTIFÓLIO'!$H$4:$H$433,MATCH($C282,'PORTIFÓLIO'!$C$4:$C$433,0)),"")</f>
        <v/>
      </c>
      <c r="I282" s="256"/>
      <c r="J282" s="218">
        <f t="shared" si="31"/>
        <v>0</v>
      </c>
      <c r="K282" s="292" t="str">
        <f t="array" ref="K282">IFERROR(I282*INDEX('PORTIFÓLIO'!$S$4:$S$433,MATCH($C282,'PORTIFÓLIO'!$C$4:$C$433,0)),"")</f>
        <v/>
      </c>
      <c r="L282" s="292" t="str">
        <f t="array" ref="L282">IFERROR(J282*INDEX('PORTIFÓLIO'!$S$4:$S$433,MATCH($C282,'PORTIFÓLIO'!$C$4:$C$433,0)),"")</f>
        <v/>
      </c>
      <c r="M282" s="220"/>
      <c r="N282" s="220"/>
      <c r="O282" s="220"/>
      <c r="P282" s="220"/>
      <c r="Q282" s="220"/>
      <c r="R282" s="220"/>
      <c r="S282" s="220"/>
      <c r="T282" s="220"/>
      <c r="U282" s="220"/>
      <c r="V282" s="220"/>
      <c r="W282" s="220"/>
    </row>
    <row r="283" ht="15.75" customHeight="1" outlineLevel="1">
      <c r="A283" s="211"/>
      <c r="B283" s="212"/>
      <c r="C283" s="213"/>
      <c r="D283" s="214" t="str">
        <f>IFERROR(VLOOKUP($C283,'PORTIFÓLIO'!C:V,2,0),"")</f>
        <v/>
      </c>
      <c r="E283" s="211" t="str">
        <f>IFERROR(VLOOKUP($C283,'PORTIFÓLIO'!C:V,3,0),"")</f>
        <v/>
      </c>
      <c r="F283" s="211" t="str">
        <f>IFERROR(VLOOKUP($C283,'PORTIFÓLIO'!C:V,4,0),"")</f>
        <v/>
      </c>
      <c r="G283" s="215" t="str">
        <f>IFERROR(VLOOKUP($C283,'PORTIFÓLIO'!C:V,5,0),"")</f>
        <v/>
      </c>
      <c r="H283" s="254" t="str">
        <f t="array" ref="H283">IFERROR(INDEX('PORTIFÓLIO'!$H$4:$H$433,MATCH($C283,'PORTIFÓLIO'!$C$4:$C$433,0)),"")</f>
        <v/>
      </c>
      <c r="I283" s="256"/>
      <c r="J283" s="218">
        <f t="shared" si="31"/>
        <v>0</v>
      </c>
      <c r="K283" s="292" t="str">
        <f t="array" ref="K283">IFERROR(I283*INDEX('PORTIFÓLIO'!$S$4:$S$433,MATCH($C283,'PORTIFÓLIO'!$C$4:$C$433,0)),"")</f>
        <v/>
      </c>
      <c r="L283" s="292" t="str">
        <f t="array" ref="L283">IFERROR(J283*INDEX('PORTIFÓLIO'!$S$4:$S$433,MATCH($C283,'PORTIFÓLIO'!$C$4:$C$433,0)),"")</f>
        <v/>
      </c>
      <c r="M283" s="220"/>
      <c r="N283" s="220"/>
      <c r="O283" s="220"/>
      <c r="P283" s="220"/>
      <c r="Q283" s="220"/>
      <c r="R283" s="220"/>
      <c r="S283" s="220"/>
      <c r="T283" s="220"/>
      <c r="U283" s="220"/>
      <c r="V283" s="220"/>
      <c r="W283" s="220"/>
    </row>
    <row r="284" ht="15.75" customHeight="1" outlineLevel="1">
      <c r="A284" s="211"/>
      <c r="B284" s="212"/>
      <c r="C284" s="213"/>
      <c r="D284" s="214" t="str">
        <f>IFERROR(VLOOKUP($C284,'PORTIFÓLIO'!C:V,2,0),"")</f>
        <v/>
      </c>
      <c r="E284" s="211" t="str">
        <f>IFERROR(VLOOKUP($C284,'PORTIFÓLIO'!C:V,3,0),"")</f>
        <v/>
      </c>
      <c r="F284" s="211" t="str">
        <f>IFERROR(VLOOKUP($C284,'PORTIFÓLIO'!C:V,4,0),"")</f>
        <v/>
      </c>
      <c r="G284" s="215" t="str">
        <f>IFERROR(VLOOKUP($C284,'PORTIFÓLIO'!C:V,5,0),"")</f>
        <v/>
      </c>
      <c r="H284" s="254" t="str">
        <f t="array" ref="H284">IFERROR(INDEX('PORTIFÓLIO'!$H$4:$H$433,MATCH($C284,'PORTIFÓLIO'!$C$4:$C$433,0)),"")</f>
        <v/>
      </c>
      <c r="I284" s="256"/>
      <c r="J284" s="218">
        <f t="shared" si="31"/>
        <v>0</v>
      </c>
      <c r="K284" s="292" t="str">
        <f t="array" ref="K284">IFERROR(I284*INDEX('PORTIFÓLIO'!$S$4:$S$433,MATCH($C284,'PORTIFÓLIO'!$C$4:$C$433,0)),"")</f>
        <v/>
      </c>
      <c r="L284" s="292" t="str">
        <f t="array" ref="L284">IFERROR(J284*INDEX('PORTIFÓLIO'!$S$4:$S$433,MATCH($C284,'PORTIFÓLIO'!$C$4:$C$433,0)),"")</f>
        <v/>
      </c>
      <c r="M284" s="220"/>
      <c r="N284" s="220"/>
      <c r="O284" s="220"/>
      <c r="P284" s="220"/>
      <c r="Q284" s="220"/>
      <c r="R284" s="220"/>
      <c r="S284" s="220"/>
      <c r="T284" s="220"/>
      <c r="U284" s="220"/>
      <c r="V284" s="220"/>
      <c r="W284" s="220"/>
    </row>
    <row r="285" ht="15.75" customHeight="1" outlineLevel="1">
      <c r="A285" s="211"/>
      <c r="B285" s="212"/>
      <c r="C285" s="213"/>
      <c r="D285" s="214" t="str">
        <f>IFERROR(VLOOKUP($C285,'PORTIFÓLIO'!C:V,2,0),"")</f>
        <v/>
      </c>
      <c r="E285" s="211" t="str">
        <f>IFERROR(VLOOKUP($C285,'PORTIFÓLIO'!C:V,3,0),"")</f>
        <v/>
      </c>
      <c r="F285" s="211" t="str">
        <f>IFERROR(VLOOKUP($C285,'PORTIFÓLIO'!C:V,4,0),"")</f>
        <v/>
      </c>
      <c r="G285" s="215" t="str">
        <f>IFERROR(VLOOKUP($C285,'PORTIFÓLIO'!C:V,5,0),"")</f>
        <v/>
      </c>
      <c r="H285" s="254" t="str">
        <f t="array" ref="H285">IFERROR(INDEX('PORTIFÓLIO'!$H$4:$H$433,MATCH($C285,'PORTIFÓLIO'!$C$4:$C$433,0)),"")</f>
        <v/>
      </c>
      <c r="I285" s="256"/>
      <c r="J285" s="218">
        <f t="shared" si="31"/>
        <v>0</v>
      </c>
      <c r="K285" s="292" t="str">
        <f t="array" ref="K285">IFERROR(I285*INDEX('PORTIFÓLIO'!$S$4:$S$433,MATCH($C285,'PORTIFÓLIO'!$C$4:$C$433,0)),"")</f>
        <v/>
      </c>
      <c r="L285" s="292" t="str">
        <f t="array" ref="L285">IFERROR(J285*INDEX('PORTIFÓLIO'!$S$4:$S$433,MATCH($C285,'PORTIFÓLIO'!$C$4:$C$433,0)),"")</f>
        <v/>
      </c>
      <c r="M285" s="220"/>
      <c r="N285" s="220"/>
      <c r="O285" s="220"/>
      <c r="P285" s="220"/>
      <c r="Q285" s="220"/>
      <c r="R285" s="220"/>
      <c r="S285" s="220"/>
      <c r="T285" s="220"/>
      <c r="U285" s="220"/>
      <c r="V285" s="220"/>
      <c r="W285" s="220"/>
    </row>
    <row r="286" ht="15.75" customHeight="1" outlineLevel="1">
      <c r="A286" s="211"/>
      <c r="B286" s="212"/>
      <c r="C286" s="213"/>
      <c r="D286" s="214" t="str">
        <f>IFERROR(VLOOKUP($C286,'PORTIFÓLIO'!C:V,2,0),"")</f>
        <v/>
      </c>
      <c r="E286" s="211" t="str">
        <f>IFERROR(VLOOKUP($C286,'PORTIFÓLIO'!C:V,3,0),"")</f>
        <v/>
      </c>
      <c r="F286" s="211" t="str">
        <f>IFERROR(VLOOKUP($C286,'PORTIFÓLIO'!C:V,4,0),"")</f>
        <v/>
      </c>
      <c r="G286" s="215" t="str">
        <f>IFERROR(VLOOKUP($C286,'PORTIFÓLIO'!C:V,5,0),"")</f>
        <v/>
      </c>
      <c r="H286" s="254" t="str">
        <f t="array" ref="H286">IFERROR(INDEX('PORTIFÓLIO'!$H$4:$H$433,MATCH($C286,'PORTIFÓLIO'!$C$4:$C$433,0)),"")</f>
        <v/>
      </c>
      <c r="I286" s="256"/>
      <c r="J286" s="218">
        <f t="shared" si="31"/>
        <v>0</v>
      </c>
      <c r="K286" s="292" t="str">
        <f t="array" ref="K286">IFERROR(I286*INDEX('PORTIFÓLIO'!$S$4:$S$433,MATCH($C286,'PORTIFÓLIO'!$C$4:$C$433,0)),"")</f>
        <v/>
      </c>
      <c r="L286" s="292" t="str">
        <f t="array" ref="L286">IFERROR(J286*INDEX('PORTIFÓLIO'!$S$4:$S$433,MATCH($C286,'PORTIFÓLIO'!$C$4:$C$433,0)),"")</f>
        <v/>
      </c>
      <c r="M286" s="220"/>
      <c r="N286" s="220"/>
      <c r="O286" s="220"/>
      <c r="P286" s="220"/>
      <c r="Q286" s="220"/>
      <c r="R286" s="220"/>
      <c r="S286" s="220"/>
      <c r="T286" s="220"/>
      <c r="U286" s="220"/>
      <c r="V286" s="220"/>
      <c r="W286" s="220"/>
    </row>
    <row r="287" ht="15.75" customHeight="1" outlineLevel="1">
      <c r="A287" s="211"/>
      <c r="B287" s="212"/>
      <c r="C287" s="213"/>
      <c r="D287" s="214" t="str">
        <f>IFERROR(VLOOKUP($C287,'PORTIFÓLIO'!C:V,2,0),"")</f>
        <v/>
      </c>
      <c r="E287" s="211" t="str">
        <f>IFERROR(VLOOKUP($C287,'PORTIFÓLIO'!C:V,3,0),"")</f>
        <v/>
      </c>
      <c r="F287" s="211" t="str">
        <f>IFERROR(VLOOKUP($C287,'PORTIFÓLIO'!C:V,4,0),"")</f>
        <v/>
      </c>
      <c r="G287" s="215" t="str">
        <f>IFERROR(VLOOKUP($C287,'PORTIFÓLIO'!C:V,5,0),"")</f>
        <v/>
      </c>
      <c r="H287" s="254" t="str">
        <f t="array" ref="H287">IFERROR(INDEX('PORTIFÓLIO'!$H$4:$H$433,MATCH($C287,'PORTIFÓLIO'!$C$4:$C$433,0)),"")</f>
        <v/>
      </c>
      <c r="I287" s="256"/>
      <c r="J287" s="218">
        <f t="shared" si="31"/>
        <v>0</v>
      </c>
      <c r="K287" s="292" t="str">
        <f t="array" ref="K287">IFERROR(I287*INDEX('PORTIFÓLIO'!$S$4:$S$433,MATCH($C287,'PORTIFÓLIO'!$C$4:$C$433,0)),"")</f>
        <v/>
      </c>
      <c r="L287" s="292" t="str">
        <f t="array" ref="L287">IFERROR(J287*INDEX('PORTIFÓLIO'!$S$4:$S$433,MATCH($C287,'PORTIFÓLIO'!$C$4:$C$433,0)),"")</f>
        <v/>
      </c>
      <c r="M287" s="220"/>
      <c r="N287" s="220"/>
      <c r="O287" s="220"/>
      <c r="P287" s="220"/>
      <c r="Q287" s="220"/>
      <c r="R287" s="220"/>
      <c r="S287" s="220"/>
      <c r="T287" s="220"/>
      <c r="U287" s="220"/>
      <c r="V287" s="220"/>
      <c r="W287" s="220"/>
    </row>
    <row r="288" ht="15.75" customHeight="1" outlineLevel="1">
      <c r="A288" s="211"/>
      <c r="B288" s="212"/>
      <c r="C288" s="213"/>
      <c r="D288" s="214" t="str">
        <f>IFERROR(VLOOKUP($C288,'PORTIFÓLIO'!C:V,2,0),"")</f>
        <v/>
      </c>
      <c r="E288" s="211" t="str">
        <f>IFERROR(VLOOKUP($C288,'PORTIFÓLIO'!C:V,3,0),"")</f>
        <v/>
      </c>
      <c r="F288" s="211" t="str">
        <f>IFERROR(VLOOKUP($C288,'PORTIFÓLIO'!C:V,4,0),"")</f>
        <v/>
      </c>
      <c r="G288" s="215" t="str">
        <f>IFERROR(VLOOKUP($C288,'PORTIFÓLIO'!C:V,5,0),"")</f>
        <v/>
      </c>
      <c r="H288" s="254" t="str">
        <f t="array" ref="H288">IFERROR(INDEX('PORTIFÓLIO'!$H$4:$H$433,MATCH($C288,'PORTIFÓLIO'!$C$4:$C$433,0)),"")</f>
        <v/>
      </c>
      <c r="I288" s="256"/>
      <c r="J288" s="218">
        <f t="shared" si="31"/>
        <v>0</v>
      </c>
      <c r="K288" s="292" t="str">
        <f t="array" ref="K288">IFERROR(I288*INDEX('PORTIFÓLIO'!$S$4:$S$433,MATCH($C288,'PORTIFÓLIO'!$C$4:$C$433,0)),"")</f>
        <v/>
      </c>
      <c r="L288" s="292" t="str">
        <f t="array" ref="L288">IFERROR(J288*INDEX('PORTIFÓLIO'!$S$4:$S$433,MATCH($C288,'PORTIFÓLIO'!$C$4:$C$433,0)),"")</f>
        <v/>
      </c>
      <c r="M288" s="220"/>
      <c r="N288" s="220"/>
      <c r="O288" s="220"/>
      <c r="P288" s="220"/>
      <c r="Q288" s="220"/>
      <c r="R288" s="220"/>
      <c r="S288" s="220"/>
      <c r="T288" s="220"/>
      <c r="U288" s="220"/>
      <c r="V288" s="220"/>
      <c r="W288" s="220"/>
    </row>
    <row r="289" ht="15.75" customHeight="1" outlineLevel="1">
      <c r="A289" s="211"/>
      <c r="B289" s="212"/>
      <c r="C289" s="213"/>
      <c r="D289" s="214" t="str">
        <f>IFERROR(VLOOKUP($C289,'PORTIFÓLIO'!C:V,2,0),"")</f>
        <v/>
      </c>
      <c r="E289" s="211" t="str">
        <f>IFERROR(VLOOKUP($C289,'PORTIFÓLIO'!C:V,3,0),"")</f>
        <v/>
      </c>
      <c r="F289" s="211" t="str">
        <f>IFERROR(VLOOKUP($C289,'PORTIFÓLIO'!C:V,4,0),"")</f>
        <v/>
      </c>
      <c r="G289" s="215" t="str">
        <f>IFERROR(VLOOKUP($C289,'PORTIFÓLIO'!C:V,5,0),"")</f>
        <v/>
      </c>
      <c r="H289" s="254" t="str">
        <f t="array" ref="H289">IFERROR(INDEX('PORTIFÓLIO'!$H$4:$H$433,MATCH($C289,'PORTIFÓLIO'!$C$4:$C$433,0)),"")</f>
        <v/>
      </c>
      <c r="I289" s="256"/>
      <c r="J289" s="218">
        <f t="shared" si="31"/>
        <v>0</v>
      </c>
      <c r="K289" s="292" t="str">
        <f t="array" ref="K289">IFERROR(I289*INDEX('PORTIFÓLIO'!$S$4:$S$433,MATCH($C289,'PORTIFÓLIO'!$C$4:$C$433,0)),"")</f>
        <v/>
      </c>
      <c r="L289" s="292" t="str">
        <f t="array" ref="L289">IFERROR(J289*INDEX('PORTIFÓLIO'!$S$4:$S$433,MATCH($C289,'PORTIFÓLIO'!$C$4:$C$433,0)),"")</f>
        <v/>
      </c>
      <c r="M289" s="220"/>
      <c r="N289" s="220"/>
      <c r="O289" s="220"/>
      <c r="P289" s="220"/>
      <c r="Q289" s="220"/>
      <c r="R289" s="220"/>
      <c r="S289" s="220"/>
      <c r="T289" s="220"/>
      <c r="U289" s="220"/>
      <c r="V289" s="220"/>
      <c r="W289" s="220"/>
    </row>
    <row r="290" ht="15.75" customHeight="1">
      <c r="A290" s="229" t="s">
        <v>1186</v>
      </c>
      <c r="B290" s="230"/>
      <c r="C290" s="231"/>
      <c r="D290" s="232"/>
      <c r="E290" s="231"/>
      <c r="F290" s="231"/>
      <c r="G290" s="233"/>
      <c r="H290" s="233"/>
      <c r="I290" s="258"/>
      <c r="J290" s="236"/>
      <c r="K290" s="237">
        <f t="shared" ref="K290:L290" si="32">SUBTOTAL(9,K291:K304)</f>
        <v>0</v>
      </c>
      <c r="L290" s="237">
        <f t="shared" si="32"/>
        <v>0</v>
      </c>
      <c r="M290" s="220"/>
      <c r="N290" s="220"/>
      <c r="O290" s="220"/>
      <c r="P290" s="220"/>
      <c r="Q290" s="220"/>
      <c r="R290" s="220"/>
      <c r="S290" s="220"/>
      <c r="T290" s="220"/>
      <c r="U290" s="220"/>
      <c r="V290" s="220"/>
      <c r="W290" s="220"/>
    </row>
    <row r="291" ht="15.75" customHeight="1" outlineLevel="1">
      <c r="A291" s="213"/>
      <c r="B291" s="212"/>
      <c r="C291" s="213"/>
      <c r="D291" s="214" t="str">
        <f>IFERROR(VLOOKUP($C291,'PORTIFÓLIO'!C:V,2,0),"")</f>
        <v/>
      </c>
      <c r="E291" s="211" t="str">
        <f>IFERROR(VLOOKUP($C291,'PORTIFÓLIO'!C:V,3,0),"")</f>
        <v/>
      </c>
      <c r="F291" s="211" t="str">
        <f>IFERROR(VLOOKUP($C291,'PORTIFÓLIO'!C:V,4,0),"")</f>
        <v/>
      </c>
      <c r="G291" s="215" t="str">
        <f>IFERROR(VLOOKUP($C291,'PORTIFÓLIO'!C:V,5,0),"")</f>
        <v/>
      </c>
      <c r="H291" s="254" t="str">
        <f t="array" ref="H291">IFERROR(INDEX('PORTIFÓLIO'!$H$4:$H$433,MATCH($C291,'PORTIFÓLIO'!$C$4:$C$433,0)),"")</f>
        <v/>
      </c>
      <c r="I291" s="255"/>
      <c r="J291" s="218">
        <f t="shared" ref="J291:J307" si="33">I291*$B$2</f>
        <v>0</v>
      </c>
      <c r="K291" s="292" t="str">
        <f t="array" ref="K291">IFERROR(I291*INDEX('PORTIFÓLIO'!$S$4:$S$433,MATCH($C291,'PORTIFÓLIO'!$C$4:$C$433,0)),"")</f>
        <v/>
      </c>
      <c r="L291" s="292" t="str">
        <f t="array" ref="L291">IFERROR(J291*INDEX('PORTIFÓLIO'!$S$4:$S$433,MATCH($C291,'PORTIFÓLIO'!$C$4:$C$433,0)),"")</f>
        <v/>
      </c>
      <c r="M291" s="220"/>
      <c r="N291" s="220"/>
      <c r="O291" s="220"/>
      <c r="P291" s="220"/>
      <c r="Q291" s="220"/>
      <c r="R291" s="220"/>
      <c r="S291" s="220"/>
      <c r="T291" s="220"/>
      <c r="U291" s="220"/>
      <c r="V291" s="220"/>
      <c r="W291" s="220"/>
    </row>
    <row r="292" ht="15.75" customHeight="1" outlineLevel="1">
      <c r="A292" s="211"/>
      <c r="B292" s="212"/>
      <c r="C292" s="213"/>
      <c r="D292" s="214" t="str">
        <f>IFERROR(VLOOKUP($C292,'PORTIFÓLIO'!C:V,2,0),"")</f>
        <v/>
      </c>
      <c r="E292" s="211" t="str">
        <f>IFERROR(VLOOKUP($C292,'PORTIFÓLIO'!C:V,3,0),"")</f>
        <v/>
      </c>
      <c r="F292" s="211" t="str">
        <f>IFERROR(VLOOKUP($C292,'PORTIFÓLIO'!C:V,4,0),"")</f>
        <v/>
      </c>
      <c r="G292" s="215" t="str">
        <f>IFERROR(VLOOKUP($C292,'PORTIFÓLIO'!C:V,5,0),"")</f>
        <v/>
      </c>
      <c r="H292" s="254" t="str">
        <f t="array" ref="H292">IFERROR(INDEX('PORTIFÓLIO'!$H$4:$H$433,MATCH($C292,'PORTIFÓLIO'!$C$4:$C$433,0)),"")</f>
        <v/>
      </c>
      <c r="I292" s="256"/>
      <c r="J292" s="218">
        <f t="shared" si="33"/>
        <v>0</v>
      </c>
      <c r="K292" s="292" t="str">
        <f t="array" ref="K292">IFERROR(I292*INDEX('PORTIFÓLIO'!$S$4:$S$433,MATCH($C292,'PORTIFÓLIO'!$C$4:$C$433,0)),"")</f>
        <v/>
      </c>
      <c r="L292" s="292" t="str">
        <f t="array" ref="L292">IFERROR(J292*INDEX('PORTIFÓLIO'!$S$4:$S$433,MATCH($C292,'PORTIFÓLIO'!$C$4:$C$433,0)),"")</f>
        <v/>
      </c>
      <c r="M292" s="220"/>
      <c r="N292" s="220"/>
      <c r="O292" s="220"/>
      <c r="P292" s="220"/>
      <c r="Q292" s="220"/>
      <c r="R292" s="220"/>
      <c r="S292" s="220"/>
      <c r="T292" s="220"/>
      <c r="U292" s="220"/>
      <c r="V292" s="220"/>
      <c r="W292" s="220"/>
    </row>
    <row r="293" ht="15.75" customHeight="1" outlineLevel="1">
      <c r="A293" s="211"/>
      <c r="B293" s="212"/>
      <c r="C293" s="213"/>
      <c r="D293" s="214" t="str">
        <f>IFERROR(VLOOKUP($C293,'PORTIFÓLIO'!C:V,2,0),"")</f>
        <v/>
      </c>
      <c r="E293" s="211" t="str">
        <f>IFERROR(VLOOKUP($C293,'PORTIFÓLIO'!C:V,3,0),"")</f>
        <v/>
      </c>
      <c r="F293" s="211" t="str">
        <f>IFERROR(VLOOKUP($C293,'PORTIFÓLIO'!C:V,4,0),"")</f>
        <v/>
      </c>
      <c r="G293" s="215" t="str">
        <f>IFERROR(VLOOKUP($C293,'PORTIFÓLIO'!C:V,5,0),"")</f>
        <v/>
      </c>
      <c r="H293" s="254" t="str">
        <f t="array" ref="H293">IFERROR(INDEX('PORTIFÓLIO'!$H$4:$H$433,MATCH($C293,'PORTIFÓLIO'!$C$4:$C$433,0)),"")</f>
        <v/>
      </c>
      <c r="I293" s="256"/>
      <c r="J293" s="218">
        <f t="shared" si="33"/>
        <v>0</v>
      </c>
      <c r="K293" s="292" t="str">
        <f t="array" ref="K293">IFERROR(I293*INDEX('PORTIFÓLIO'!$S$4:$S$433,MATCH($C293,'PORTIFÓLIO'!$C$4:$C$433,0)),"")</f>
        <v/>
      </c>
      <c r="L293" s="292" t="str">
        <f t="array" ref="L293">IFERROR(J293*INDEX('PORTIFÓLIO'!$S$4:$S$433,MATCH($C293,'PORTIFÓLIO'!$C$4:$C$433,0)),"")</f>
        <v/>
      </c>
      <c r="M293" s="220"/>
      <c r="N293" s="220"/>
      <c r="O293" s="220"/>
      <c r="P293" s="220"/>
      <c r="Q293" s="220"/>
      <c r="R293" s="220"/>
      <c r="S293" s="220"/>
      <c r="T293" s="220"/>
      <c r="U293" s="220"/>
      <c r="V293" s="220"/>
      <c r="W293" s="220"/>
    </row>
    <row r="294" ht="15.75" customHeight="1" outlineLevel="1">
      <c r="A294" s="211"/>
      <c r="B294" s="212"/>
      <c r="C294" s="213"/>
      <c r="D294" s="214" t="str">
        <f>IFERROR(VLOOKUP($C294,'PORTIFÓLIO'!C:V,2,0),"")</f>
        <v/>
      </c>
      <c r="E294" s="211" t="str">
        <f>IFERROR(VLOOKUP($C294,'PORTIFÓLIO'!C:V,3,0),"")</f>
        <v/>
      </c>
      <c r="F294" s="211" t="str">
        <f>IFERROR(VLOOKUP($C294,'PORTIFÓLIO'!C:V,4,0),"")</f>
        <v/>
      </c>
      <c r="G294" s="215" t="str">
        <f>IFERROR(VLOOKUP($C294,'PORTIFÓLIO'!C:V,5,0),"")</f>
        <v/>
      </c>
      <c r="H294" s="254" t="str">
        <f t="array" ref="H294">IFERROR(INDEX('PORTIFÓLIO'!$H$4:$H$433,MATCH($C294,'PORTIFÓLIO'!$C$4:$C$433,0)),"")</f>
        <v/>
      </c>
      <c r="I294" s="256"/>
      <c r="J294" s="218">
        <f t="shared" si="33"/>
        <v>0</v>
      </c>
      <c r="K294" s="292" t="str">
        <f t="array" ref="K294">IFERROR(I294*INDEX('PORTIFÓLIO'!$S$4:$S$433,MATCH($C294,'PORTIFÓLIO'!$C$4:$C$433,0)),"")</f>
        <v/>
      </c>
      <c r="L294" s="292" t="str">
        <f t="array" ref="L294">IFERROR(J294*INDEX('PORTIFÓLIO'!$S$4:$S$433,MATCH($C294,'PORTIFÓLIO'!$C$4:$C$433,0)),"")</f>
        <v/>
      </c>
      <c r="M294" s="220"/>
      <c r="N294" s="220"/>
      <c r="O294" s="220"/>
      <c r="P294" s="220"/>
      <c r="Q294" s="220"/>
      <c r="R294" s="220"/>
      <c r="S294" s="220"/>
      <c r="T294" s="220"/>
      <c r="U294" s="220"/>
      <c r="V294" s="220"/>
      <c r="W294" s="220"/>
    </row>
    <row r="295" ht="15.75" customHeight="1" outlineLevel="1">
      <c r="A295" s="211"/>
      <c r="B295" s="212"/>
      <c r="C295" s="213"/>
      <c r="D295" s="214" t="str">
        <f>IFERROR(VLOOKUP($C295,'PORTIFÓLIO'!C:V,2,0),"")</f>
        <v/>
      </c>
      <c r="E295" s="211" t="str">
        <f>IFERROR(VLOOKUP($C295,'PORTIFÓLIO'!C:V,3,0),"")</f>
        <v/>
      </c>
      <c r="F295" s="211" t="str">
        <f>IFERROR(VLOOKUP($C295,'PORTIFÓLIO'!C:V,4,0),"")</f>
        <v/>
      </c>
      <c r="G295" s="215" t="str">
        <f>IFERROR(VLOOKUP($C295,'PORTIFÓLIO'!C:V,5,0),"")</f>
        <v/>
      </c>
      <c r="H295" s="254" t="str">
        <f t="array" ref="H295">IFERROR(INDEX('PORTIFÓLIO'!$H$4:$H$433,MATCH($C295,'PORTIFÓLIO'!$C$4:$C$433,0)),"")</f>
        <v/>
      </c>
      <c r="I295" s="256"/>
      <c r="J295" s="218">
        <f t="shared" si="33"/>
        <v>0</v>
      </c>
      <c r="K295" s="292" t="str">
        <f t="array" ref="K295">IFERROR(I295*INDEX('PORTIFÓLIO'!$S$4:$S$433,MATCH($C295,'PORTIFÓLIO'!$C$4:$C$433,0)),"")</f>
        <v/>
      </c>
      <c r="L295" s="292" t="str">
        <f t="array" ref="L295">IFERROR(J295*INDEX('PORTIFÓLIO'!$S$4:$S$433,MATCH($C295,'PORTIFÓLIO'!$C$4:$C$433,0)),"")</f>
        <v/>
      </c>
      <c r="M295" s="220"/>
      <c r="N295" s="220"/>
      <c r="O295" s="220"/>
      <c r="P295" s="220"/>
      <c r="Q295" s="220"/>
      <c r="R295" s="220"/>
      <c r="S295" s="220"/>
      <c r="T295" s="220"/>
      <c r="U295" s="220"/>
      <c r="V295" s="220"/>
      <c r="W295" s="220"/>
    </row>
    <row r="296" ht="15.75" customHeight="1" outlineLevel="1">
      <c r="A296" s="211"/>
      <c r="B296" s="212"/>
      <c r="C296" s="213"/>
      <c r="D296" s="214" t="str">
        <f>IFERROR(VLOOKUP($C296,'PORTIFÓLIO'!C:V,2,0),"")</f>
        <v/>
      </c>
      <c r="E296" s="211" t="str">
        <f>IFERROR(VLOOKUP($C296,'PORTIFÓLIO'!C:V,3,0),"")</f>
        <v/>
      </c>
      <c r="F296" s="211" t="str">
        <f>IFERROR(VLOOKUP($C296,'PORTIFÓLIO'!C:V,4,0),"")</f>
        <v/>
      </c>
      <c r="G296" s="215" t="str">
        <f>IFERROR(VLOOKUP($C296,'PORTIFÓLIO'!C:V,5,0),"")</f>
        <v/>
      </c>
      <c r="H296" s="254" t="str">
        <f t="array" ref="H296">IFERROR(INDEX('PORTIFÓLIO'!$H$4:$H$433,MATCH($C296,'PORTIFÓLIO'!$C$4:$C$433,0)),"")</f>
        <v/>
      </c>
      <c r="I296" s="256"/>
      <c r="J296" s="218">
        <f t="shared" si="33"/>
        <v>0</v>
      </c>
      <c r="K296" s="292" t="str">
        <f t="array" ref="K296">IFERROR(I296*INDEX('PORTIFÓLIO'!$S$4:$S$433,MATCH($C296,'PORTIFÓLIO'!$C$4:$C$433,0)),"")</f>
        <v/>
      </c>
      <c r="L296" s="292" t="str">
        <f t="array" ref="L296">IFERROR(J296*INDEX('PORTIFÓLIO'!$S$4:$S$433,MATCH($C296,'PORTIFÓLIO'!$C$4:$C$433,0)),"")</f>
        <v/>
      </c>
      <c r="M296" s="220"/>
      <c r="N296" s="220"/>
      <c r="O296" s="220"/>
      <c r="P296" s="220"/>
      <c r="Q296" s="220"/>
      <c r="R296" s="220"/>
      <c r="S296" s="220"/>
      <c r="T296" s="220"/>
      <c r="U296" s="220"/>
      <c r="V296" s="220"/>
      <c r="W296" s="220"/>
    </row>
    <row r="297" ht="15.75" customHeight="1" outlineLevel="1">
      <c r="A297" s="211"/>
      <c r="B297" s="212"/>
      <c r="C297" s="213"/>
      <c r="D297" s="214" t="str">
        <f>IFERROR(VLOOKUP($C297,'PORTIFÓLIO'!C:V,2,0),"")</f>
        <v/>
      </c>
      <c r="E297" s="211" t="str">
        <f>IFERROR(VLOOKUP($C297,'PORTIFÓLIO'!C:V,3,0),"")</f>
        <v/>
      </c>
      <c r="F297" s="211" t="str">
        <f>IFERROR(VLOOKUP($C297,'PORTIFÓLIO'!C:V,4,0),"")</f>
        <v/>
      </c>
      <c r="G297" s="215" t="str">
        <f>IFERROR(VLOOKUP($C297,'PORTIFÓLIO'!C:V,5,0),"")</f>
        <v/>
      </c>
      <c r="H297" s="254" t="str">
        <f t="array" ref="H297">IFERROR(INDEX('PORTIFÓLIO'!$H$4:$H$433,MATCH($C297,'PORTIFÓLIO'!$C$4:$C$433,0)),"")</f>
        <v/>
      </c>
      <c r="I297" s="256"/>
      <c r="J297" s="218">
        <f t="shared" si="33"/>
        <v>0</v>
      </c>
      <c r="K297" s="292" t="str">
        <f t="array" ref="K297">IFERROR(I297*INDEX('PORTIFÓLIO'!$S$4:$S$433,MATCH($C297,'PORTIFÓLIO'!$C$4:$C$433,0)),"")</f>
        <v/>
      </c>
      <c r="L297" s="292" t="str">
        <f t="array" ref="L297">IFERROR(J297*INDEX('PORTIFÓLIO'!$S$4:$S$433,MATCH($C297,'PORTIFÓLIO'!$C$4:$C$433,0)),"")</f>
        <v/>
      </c>
      <c r="M297" s="220"/>
      <c r="N297" s="220"/>
      <c r="O297" s="220"/>
      <c r="P297" s="220"/>
      <c r="Q297" s="220"/>
      <c r="R297" s="220"/>
      <c r="S297" s="220"/>
      <c r="T297" s="220"/>
      <c r="U297" s="220"/>
      <c r="V297" s="220"/>
      <c r="W297" s="220"/>
    </row>
    <row r="298" ht="15.75" customHeight="1" outlineLevel="1">
      <c r="A298" s="211"/>
      <c r="B298" s="212"/>
      <c r="C298" s="213"/>
      <c r="D298" s="214" t="str">
        <f>IFERROR(VLOOKUP($C298,'PORTIFÓLIO'!C:V,2,0),"")</f>
        <v/>
      </c>
      <c r="E298" s="211" t="str">
        <f>IFERROR(VLOOKUP($C298,'PORTIFÓLIO'!C:V,3,0),"")</f>
        <v/>
      </c>
      <c r="F298" s="211" t="str">
        <f>IFERROR(VLOOKUP($C298,'PORTIFÓLIO'!C:V,4,0),"")</f>
        <v/>
      </c>
      <c r="G298" s="215" t="str">
        <f>IFERROR(VLOOKUP($C298,'PORTIFÓLIO'!C:V,5,0),"")</f>
        <v/>
      </c>
      <c r="H298" s="254" t="str">
        <f t="array" ref="H298">IFERROR(INDEX('PORTIFÓLIO'!$H$4:$H$433,MATCH($C298,'PORTIFÓLIO'!$C$4:$C$433,0)),"")</f>
        <v/>
      </c>
      <c r="I298" s="256"/>
      <c r="J298" s="218">
        <f t="shared" si="33"/>
        <v>0</v>
      </c>
      <c r="K298" s="292" t="str">
        <f t="array" ref="K298">IFERROR(I298*INDEX('PORTIFÓLIO'!$S$4:$S$433,MATCH($C298,'PORTIFÓLIO'!$C$4:$C$433,0)),"")</f>
        <v/>
      </c>
      <c r="L298" s="292" t="str">
        <f t="array" ref="L298">IFERROR(J298*INDEX('PORTIFÓLIO'!$S$4:$S$433,MATCH($C298,'PORTIFÓLIO'!$C$4:$C$433,0)),"")</f>
        <v/>
      </c>
      <c r="M298" s="220"/>
      <c r="N298" s="220"/>
      <c r="O298" s="220"/>
      <c r="P298" s="220"/>
      <c r="Q298" s="220"/>
      <c r="R298" s="220"/>
      <c r="S298" s="220"/>
      <c r="T298" s="220"/>
      <c r="U298" s="220"/>
      <c r="V298" s="220"/>
      <c r="W298" s="220"/>
    </row>
    <row r="299" ht="15.75" customHeight="1" outlineLevel="1">
      <c r="A299" s="211"/>
      <c r="B299" s="212"/>
      <c r="C299" s="213"/>
      <c r="D299" s="214" t="str">
        <f>IFERROR(VLOOKUP($C299,'PORTIFÓLIO'!C:V,2,0),"")</f>
        <v/>
      </c>
      <c r="E299" s="211" t="str">
        <f>IFERROR(VLOOKUP($C299,'PORTIFÓLIO'!C:V,3,0),"")</f>
        <v/>
      </c>
      <c r="F299" s="211" t="str">
        <f>IFERROR(VLOOKUP($C299,'PORTIFÓLIO'!C:V,4,0),"")</f>
        <v/>
      </c>
      <c r="G299" s="215" t="str">
        <f>IFERROR(VLOOKUP($C299,'PORTIFÓLIO'!C:V,5,0),"")</f>
        <v/>
      </c>
      <c r="H299" s="254" t="str">
        <f t="array" ref="H299">IFERROR(INDEX('PORTIFÓLIO'!$H$4:$H$433,MATCH($C299,'PORTIFÓLIO'!$C$4:$C$433,0)),"")</f>
        <v/>
      </c>
      <c r="I299" s="255"/>
      <c r="J299" s="218">
        <f t="shared" si="33"/>
        <v>0</v>
      </c>
      <c r="K299" s="292" t="str">
        <f t="array" ref="K299">IFERROR(I299*INDEX('PORTIFÓLIO'!$S$4:$S$433,MATCH($C299,'PORTIFÓLIO'!$C$4:$C$433,0)),"")</f>
        <v/>
      </c>
      <c r="L299" s="292" t="str">
        <f t="array" ref="L299">IFERROR(J299*INDEX('PORTIFÓLIO'!$S$4:$S$433,MATCH($C299,'PORTIFÓLIO'!$C$4:$C$433,0)),"")</f>
        <v/>
      </c>
      <c r="M299" s="220"/>
      <c r="N299" s="220"/>
      <c r="O299" s="220"/>
      <c r="P299" s="220"/>
      <c r="Q299" s="220"/>
      <c r="R299" s="220"/>
      <c r="S299" s="220"/>
      <c r="T299" s="220"/>
      <c r="U299" s="220"/>
      <c r="V299" s="220"/>
      <c r="W299" s="220"/>
    </row>
    <row r="300" ht="15.75" customHeight="1" outlineLevel="1">
      <c r="A300" s="211"/>
      <c r="B300" s="212"/>
      <c r="C300" s="213"/>
      <c r="D300" s="214" t="str">
        <f>IFERROR(VLOOKUP($C300,'PORTIFÓLIO'!C:V,2,0),"")</f>
        <v/>
      </c>
      <c r="E300" s="211" t="str">
        <f>IFERROR(VLOOKUP($C300,'PORTIFÓLIO'!C:V,3,0),"")</f>
        <v/>
      </c>
      <c r="F300" s="211" t="str">
        <f>IFERROR(VLOOKUP($C300,'PORTIFÓLIO'!C:V,4,0),"")</f>
        <v/>
      </c>
      <c r="G300" s="215" t="str">
        <f>IFERROR(VLOOKUP($C300,'PORTIFÓLIO'!C:V,5,0),"")</f>
        <v/>
      </c>
      <c r="H300" s="254" t="str">
        <f t="array" ref="H300">IFERROR(INDEX('PORTIFÓLIO'!$H$4:$H$433,MATCH($C300,'PORTIFÓLIO'!$C$4:$C$433,0)),"")</f>
        <v/>
      </c>
      <c r="I300" s="256"/>
      <c r="J300" s="218">
        <f t="shared" si="33"/>
        <v>0</v>
      </c>
      <c r="K300" s="292" t="str">
        <f t="array" ref="K300">IFERROR(I300*INDEX('PORTIFÓLIO'!$S$4:$S$433,MATCH($C300,'PORTIFÓLIO'!$C$4:$C$433,0)),"")</f>
        <v/>
      </c>
      <c r="L300" s="292" t="str">
        <f t="array" ref="L300">IFERROR(J300*INDEX('PORTIFÓLIO'!$S$4:$S$433,MATCH($C300,'PORTIFÓLIO'!$C$4:$C$433,0)),"")</f>
        <v/>
      </c>
      <c r="M300" s="220"/>
      <c r="N300" s="220"/>
      <c r="O300" s="220"/>
      <c r="P300" s="220"/>
      <c r="Q300" s="220"/>
      <c r="R300" s="220"/>
      <c r="S300" s="220"/>
      <c r="T300" s="220"/>
      <c r="U300" s="220"/>
      <c r="V300" s="220"/>
      <c r="W300" s="220"/>
    </row>
    <row r="301" ht="15.75" customHeight="1" outlineLevel="1">
      <c r="A301" s="211"/>
      <c r="B301" s="212"/>
      <c r="C301" s="213"/>
      <c r="D301" s="214" t="str">
        <f>IFERROR(VLOOKUP($C301,'PORTIFÓLIO'!C:V,2,0),"")</f>
        <v/>
      </c>
      <c r="E301" s="211" t="str">
        <f>IFERROR(VLOOKUP($C301,'PORTIFÓLIO'!C:V,3,0),"")</f>
        <v/>
      </c>
      <c r="F301" s="211" t="str">
        <f>IFERROR(VLOOKUP($C301,'PORTIFÓLIO'!C:V,4,0),"")</f>
        <v/>
      </c>
      <c r="G301" s="215" t="str">
        <f>IFERROR(VLOOKUP($C301,'PORTIFÓLIO'!C:V,5,0),"")</f>
        <v/>
      </c>
      <c r="H301" s="254" t="str">
        <f t="array" ref="H301">IFERROR(INDEX('PORTIFÓLIO'!$H$4:$H$433,MATCH($C301,'PORTIFÓLIO'!$C$4:$C$433,0)),"")</f>
        <v/>
      </c>
      <c r="I301" s="256"/>
      <c r="J301" s="218">
        <f t="shared" si="33"/>
        <v>0</v>
      </c>
      <c r="K301" s="292" t="str">
        <f t="array" ref="K301">IFERROR(I301*INDEX('PORTIFÓLIO'!$S$4:$S$433,MATCH($C301,'PORTIFÓLIO'!$C$4:$C$433,0)),"")</f>
        <v/>
      </c>
      <c r="L301" s="292" t="str">
        <f t="array" ref="L301">IFERROR(J301*INDEX('PORTIFÓLIO'!$S$4:$S$433,MATCH($C301,'PORTIFÓLIO'!$C$4:$C$433,0)),"")</f>
        <v/>
      </c>
      <c r="M301" s="220"/>
      <c r="N301" s="220"/>
      <c r="O301" s="220"/>
      <c r="P301" s="220"/>
      <c r="Q301" s="220"/>
      <c r="R301" s="220"/>
      <c r="S301" s="220"/>
      <c r="T301" s="220"/>
      <c r="U301" s="220"/>
      <c r="V301" s="220"/>
      <c r="W301" s="220"/>
    </row>
    <row r="302" ht="15.75" customHeight="1" outlineLevel="1">
      <c r="A302" s="211"/>
      <c r="B302" s="212"/>
      <c r="C302" s="213"/>
      <c r="D302" s="214" t="str">
        <f>IFERROR(VLOOKUP($C302,'PORTIFÓLIO'!C:V,2,0),"")</f>
        <v/>
      </c>
      <c r="E302" s="211" t="str">
        <f>IFERROR(VLOOKUP($C302,'PORTIFÓLIO'!C:V,3,0),"")</f>
        <v/>
      </c>
      <c r="F302" s="211" t="str">
        <f>IFERROR(VLOOKUP($C302,'PORTIFÓLIO'!C:V,4,0),"")</f>
        <v/>
      </c>
      <c r="G302" s="215" t="str">
        <f>IFERROR(VLOOKUP($C302,'PORTIFÓLIO'!C:V,5,0),"")</f>
        <v/>
      </c>
      <c r="H302" s="254" t="str">
        <f t="array" ref="H302">IFERROR(INDEX('PORTIFÓLIO'!$H$4:$H$433,MATCH($C302,'PORTIFÓLIO'!$C$4:$C$433,0)),"")</f>
        <v/>
      </c>
      <c r="I302" s="256"/>
      <c r="J302" s="218">
        <f t="shared" si="33"/>
        <v>0</v>
      </c>
      <c r="K302" s="292" t="str">
        <f t="array" ref="K302">IFERROR(I302*INDEX('PORTIFÓLIO'!$S$4:$S$433,MATCH($C302,'PORTIFÓLIO'!$C$4:$C$433,0)),"")</f>
        <v/>
      </c>
      <c r="L302" s="292" t="str">
        <f t="array" ref="L302">IFERROR(J302*INDEX('PORTIFÓLIO'!$S$4:$S$433,MATCH($C302,'PORTIFÓLIO'!$C$4:$C$433,0)),"")</f>
        <v/>
      </c>
      <c r="M302" s="220"/>
      <c r="N302" s="220"/>
      <c r="O302" s="220"/>
      <c r="P302" s="220"/>
      <c r="Q302" s="220"/>
      <c r="R302" s="220"/>
      <c r="S302" s="220"/>
      <c r="T302" s="220"/>
      <c r="U302" s="220"/>
      <c r="V302" s="220"/>
      <c r="W302" s="220"/>
    </row>
    <row r="303" ht="15.75" customHeight="1" outlineLevel="1">
      <c r="A303" s="211"/>
      <c r="B303" s="212"/>
      <c r="C303" s="213"/>
      <c r="D303" s="214" t="str">
        <f>IFERROR(VLOOKUP($C303,'PORTIFÓLIO'!C:V,2,0),"")</f>
        <v/>
      </c>
      <c r="E303" s="211" t="str">
        <f>IFERROR(VLOOKUP($C303,'PORTIFÓLIO'!C:V,3,0),"")</f>
        <v/>
      </c>
      <c r="F303" s="211" t="str">
        <f>IFERROR(VLOOKUP($C303,'PORTIFÓLIO'!C:V,4,0),"")</f>
        <v/>
      </c>
      <c r="G303" s="215" t="str">
        <f>IFERROR(VLOOKUP($C303,'PORTIFÓLIO'!C:V,5,0),"")</f>
        <v/>
      </c>
      <c r="H303" s="254" t="str">
        <f t="array" ref="H303">IFERROR(INDEX('PORTIFÓLIO'!$H$4:$H$433,MATCH($C303,'PORTIFÓLIO'!$C$4:$C$433,0)),"")</f>
        <v/>
      </c>
      <c r="I303" s="256"/>
      <c r="J303" s="218">
        <f t="shared" si="33"/>
        <v>0</v>
      </c>
      <c r="K303" s="292" t="str">
        <f t="array" ref="K303">IFERROR(I303*INDEX('PORTIFÓLIO'!$S$4:$S$433,MATCH($C303,'PORTIFÓLIO'!$C$4:$C$433,0)),"")</f>
        <v/>
      </c>
      <c r="L303" s="292" t="str">
        <f t="array" ref="L303">IFERROR(J303*INDEX('PORTIFÓLIO'!$S$4:$S$433,MATCH($C303,'PORTIFÓLIO'!$C$4:$C$433,0)),"")</f>
        <v/>
      </c>
      <c r="M303" s="220"/>
      <c r="N303" s="220"/>
      <c r="O303" s="220"/>
      <c r="P303" s="220"/>
      <c r="Q303" s="220"/>
      <c r="R303" s="220"/>
      <c r="S303" s="220"/>
      <c r="T303" s="220"/>
      <c r="U303" s="220"/>
      <c r="V303" s="220"/>
      <c r="W303" s="220"/>
    </row>
    <row r="304" ht="15.75" customHeight="1" outlineLevel="1">
      <c r="A304" s="211"/>
      <c r="B304" s="212"/>
      <c r="C304" s="213"/>
      <c r="D304" s="214" t="str">
        <f>IFERROR(VLOOKUP($C304,'PORTIFÓLIO'!C:V,2,0),"")</f>
        <v/>
      </c>
      <c r="E304" s="211" t="str">
        <f>IFERROR(VLOOKUP($C304,'PORTIFÓLIO'!C:V,3,0),"")</f>
        <v/>
      </c>
      <c r="F304" s="211" t="str">
        <f>IFERROR(VLOOKUP($C304,'PORTIFÓLIO'!C:V,4,0),"")</f>
        <v/>
      </c>
      <c r="G304" s="215" t="str">
        <f>IFERROR(VLOOKUP($C304,'PORTIFÓLIO'!C:V,5,0),"")</f>
        <v/>
      </c>
      <c r="H304" s="254" t="str">
        <f t="array" ref="H304">IFERROR(INDEX('PORTIFÓLIO'!$H$4:$H$433,MATCH($C304,'PORTIFÓLIO'!$C$4:$C$433,0)),"")</f>
        <v/>
      </c>
      <c r="I304" s="256"/>
      <c r="J304" s="218">
        <f t="shared" si="33"/>
        <v>0</v>
      </c>
      <c r="K304" s="292" t="str">
        <f t="array" ref="K304">IFERROR(I304*INDEX('PORTIFÓLIO'!$S$4:$S$433,MATCH($C304,'PORTIFÓLIO'!$C$4:$C$433,0)),"")</f>
        <v/>
      </c>
      <c r="L304" s="292" t="str">
        <f t="array" ref="L304">IFERROR(J304*INDEX('PORTIFÓLIO'!$S$4:$S$433,MATCH($C304,'PORTIFÓLIO'!$C$4:$C$433,0)),"")</f>
        <v/>
      </c>
      <c r="M304" s="220"/>
      <c r="N304" s="220"/>
      <c r="O304" s="220"/>
      <c r="P304" s="220"/>
      <c r="Q304" s="220"/>
      <c r="R304" s="220"/>
      <c r="S304" s="220"/>
      <c r="T304" s="220"/>
      <c r="U304" s="220"/>
      <c r="V304" s="220"/>
      <c r="W304" s="220"/>
    </row>
    <row r="305" ht="15.75" customHeight="1" outlineLevel="1">
      <c r="A305" s="211"/>
      <c r="B305" s="212"/>
      <c r="C305" s="213"/>
      <c r="D305" s="214" t="str">
        <f>IFERROR(VLOOKUP($C305,'PORTIFÓLIO'!C:V,2,0),"")</f>
        <v/>
      </c>
      <c r="E305" s="211" t="str">
        <f>IFERROR(VLOOKUP($C305,'PORTIFÓLIO'!C:V,3,0),"")</f>
        <v/>
      </c>
      <c r="F305" s="211" t="str">
        <f>IFERROR(VLOOKUP($C305,'PORTIFÓLIO'!C:V,4,0),"")</f>
        <v/>
      </c>
      <c r="G305" s="215" t="str">
        <f>IFERROR(VLOOKUP($C305,'PORTIFÓLIO'!C:V,5,0),"")</f>
        <v/>
      </c>
      <c r="H305" s="254" t="str">
        <f t="array" ref="H305">IFERROR(INDEX('PORTIFÓLIO'!$H$4:$H$433,MATCH($C305,'PORTIFÓLIO'!$C$4:$C$433,0)),"")</f>
        <v/>
      </c>
      <c r="I305" s="256"/>
      <c r="J305" s="218">
        <f t="shared" si="33"/>
        <v>0</v>
      </c>
      <c r="K305" s="292" t="str">
        <f t="array" ref="K305">IFERROR(I305*INDEX('PORTIFÓLIO'!$S$4:$S$433,MATCH($C305,'PORTIFÓLIO'!$C$4:$C$433,0)),"")</f>
        <v/>
      </c>
      <c r="L305" s="292" t="str">
        <f t="array" ref="L305">IFERROR(J305*INDEX('PORTIFÓLIO'!$S$4:$S$433,MATCH($C305,'PORTIFÓLIO'!$C$4:$C$433,0)),"")</f>
        <v/>
      </c>
      <c r="M305" s="220"/>
      <c r="N305" s="220"/>
      <c r="O305" s="220"/>
      <c r="P305" s="220"/>
      <c r="Q305" s="220"/>
      <c r="R305" s="220"/>
      <c r="S305" s="220"/>
      <c r="T305" s="220"/>
      <c r="U305" s="220"/>
      <c r="V305" s="220"/>
      <c r="W305" s="220"/>
    </row>
    <row r="306" ht="15.75" customHeight="1" outlineLevel="1">
      <c r="A306" s="211"/>
      <c r="B306" s="212"/>
      <c r="C306" s="213"/>
      <c r="D306" s="214" t="str">
        <f>IFERROR(VLOOKUP($C306,'PORTIFÓLIO'!C:V,2,0),"")</f>
        <v/>
      </c>
      <c r="E306" s="211" t="str">
        <f>IFERROR(VLOOKUP($C306,'PORTIFÓLIO'!C:V,3,0),"")</f>
        <v/>
      </c>
      <c r="F306" s="211" t="str">
        <f>IFERROR(VLOOKUP($C306,'PORTIFÓLIO'!C:V,4,0),"")</f>
        <v/>
      </c>
      <c r="G306" s="215" t="str">
        <f>IFERROR(VLOOKUP($C306,'PORTIFÓLIO'!C:V,5,0),"")</f>
        <v/>
      </c>
      <c r="H306" s="254" t="str">
        <f t="array" ref="H306">IFERROR(INDEX('PORTIFÓLIO'!$H$4:$H$433,MATCH($C306,'PORTIFÓLIO'!$C$4:$C$433,0)),"")</f>
        <v/>
      </c>
      <c r="I306" s="256"/>
      <c r="J306" s="218">
        <f t="shared" si="33"/>
        <v>0</v>
      </c>
      <c r="K306" s="292" t="str">
        <f t="array" ref="K306">IFERROR(I306*INDEX('PORTIFÓLIO'!$S$4:$S$433,MATCH($C306,'PORTIFÓLIO'!$C$4:$C$433,0)),"")</f>
        <v/>
      </c>
      <c r="L306" s="292" t="str">
        <f t="array" ref="L306">IFERROR(J306*INDEX('PORTIFÓLIO'!$S$4:$S$433,MATCH($C306,'PORTIFÓLIO'!$C$4:$C$433,0)),"")</f>
        <v/>
      </c>
      <c r="M306" s="220"/>
      <c r="N306" s="220"/>
      <c r="O306" s="220"/>
      <c r="P306" s="220"/>
      <c r="Q306" s="220"/>
      <c r="R306" s="220"/>
      <c r="S306" s="220"/>
      <c r="T306" s="220"/>
      <c r="U306" s="220"/>
      <c r="V306" s="220"/>
      <c r="W306" s="220"/>
    </row>
    <row r="307" ht="15.75" customHeight="1" outlineLevel="1">
      <c r="A307" s="211"/>
      <c r="B307" s="212"/>
      <c r="C307" s="213"/>
      <c r="D307" s="214" t="str">
        <f>IFERROR(VLOOKUP($C307,'PORTIFÓLIO'!C:V,2,0),"")</f>
        <v/>
      </c>
      <c r="E307" s="211" t="str">
        <f>IFERROR(VLOOKUP($C307,'PORTIFÓLIO'!C:V,3,0),"")</f>
        <v/>
      </c>
      <c r="F307" s="211" t="str">
        <f>IFERROR(VLOOKUP($C307,'PORTIFÓLIO'!C:V,4,0),"")</f>
        <v/>
      </c>
      <c r="G307" s="215" t="str">
        <f>IFERROR(VLOOKUP($C307,'PORTIFÓLIO'!C:V,5,0),"")</f>
        <v/>
      </c>
      <c r="H307" s="254" t="str">
        <f t="array" ref="H307">IFERROR(INDEX('PORTIFÓLIO'!$H$4:$H$433,MATCH($C307,'PORTIFÓLIO'!$C$4:$C$433,0)),"")</f>
        <v/>
      </c>
      <c r="I307" s="256"/>
      <c r="J307" s="218">
        <f t="shared" si="33"/>
        <v>0</v>
      </c>
      <c r="K307" s="292" t="str">
        <f t="array" ref="K307">IFERROR(I307*INDEX('PORTIFÓLIO'!$S$4:$S$433,MATCH($C307,'PORTIFÓLIO'!$C$4:$C$433,0)),"")</f>
        <v/>
      </c>
      <c r="L307" s="292" t="str">
        <f t="array" ref="L307">IFERROR(J307*INDEX('PORTIFÓLIO'!$S$4:$S$433,MATCH($C307,'PORTIFÓLIO'!$C$4:$C$433,0)),"")</f>
        <v/>
      </c>
      <c r="M307" s="220"/>
      <c r="N307" s="220"/>
      <c r="O307" s="220"/>
      <c r="P307" s="220"/>
      <c r="Q307" s="220"/>
      <c r="R307" s="220"/>
      <c r="S307" s="220"/>
      <c r="T307" s="220"/>
      <c r="U307" s="220"/>
      <c r="V307" s="220"/>
      <c r="W307" s="220"/>
    </row>
    <row r="308" ht="15.75" customHeight="1">
      <c r="A308" s="229" t="s">
        <v>1188</v>
      </c>
      <c r="B308" s="230"/>
      <c r="C308" s="231"/>
      <c r="D308" s="232"/>
      <c r="E308" s="231"/>
      <c r="F308" s="231"/>
      <c r="G308" s="233"/>
      <c r="H308" s="233"/>
      <c r="I308" s="258"/>
      <c r="J308" s="236"/>
      <c r="K308" s="237">
        <f t="shared" ref="K308:L308" si="34">SUBTOTAL(9,K309:K322)</f>
        <v>0</v>
      </c>
      <c r="L308" s="237">
        <f t="shared" si="34"/>
        <v>0</v>
      </c>
      <c r="M308" s="220"/>
      <c r="N308" s="220"/>
      <c r="O308" s="220"/>
      <c r="P308" s="220"/>
      <c r="Q308" s="220"/>
      <c r="R308" s="220"/>
      <c r="S308" s="220"/>
      <c r="T308" s="220"/>
      <c r="U308" s="220"/>
      <c r="V308" s="220"/>
      <c r="W308" s="220"/>
    </row>
    <row r="309" ht="15.75" customHeight="1" outlineLevel="1">
      <c r="A309" s="213"/>
      <c r="B309" s="212"/>
      <c r="C309" s="213"/>
      <c r="D309" s="214" t="str">
        <f>IFERROR(VLOOKUP($C309,'PORTIFÓLIO'!C:V,2,0),"")</f>
        <v/>
      </c>
      <c r="E309" s="211" t="str">
        <f>IFERROR(VLOOKUP($C309,'PORTIFÓLIO'!C:V,3,0),"")</f>
        <v/>
      </c>
      <c r="F309" s="211" t="str">
        <f>IFERROR(VLOOKUP($C309,'PORTIFÓLIO'!C:V,4,0),"")</f>
        <v/>
      </c>
      <c r="G309" s="215" t="str">
        <f>IFERROR(VLOOKUP($C309,'PORTIFÓLIO'!C:V,5,0),"")</f>
        <v/>
      </c>
      <c r="H309" s="254" t="str">
        <f t="array" ref="H309">IFERROR(INDEX('PORTIFÓLIO'!$H$4:$H$433,MATCH($C309,'PORTIFÓLIO'!$C$4:$C$433,0)),"")</f>
        <v/>
      </c>
      <c r="I309" s="255"/>
      <c r="J309" s="218">
        <f t="shared" ref="J309:J323" si="35">I309*$B$2</f>
        <v>0</v>
      </c>
      <c r="K309" s="292" t="str">
        <f t="array" ref="K309">IFERROR(I309*INDEX('PORTIFÓLIO'!$S$4:$S$433,MATCH($C309,'PORTIFÓLIO'!$C$4:$C$433,0)),"")</f>
        <v/>
      </c>
      <c r="L309" s="292" t="str">
        <f t="array" ref="L309">IFERROR(J309*INDEX('PORTIFÓLIO'!$S$4:$S$433,MATCH($C309,'PORTIFÓLIO'!$C$4:$C$433,0)),"")</f>
        <v/>
      </c>
      <c r="M309" s="220"/>
      <c r="N309" s="220"/>
      <c r="O309" s="220"/>
      <c r="P309" s="220"/>
      <c r="Q309" s="220"/>
      <c r="R309" s="220"/>
      <c r="S309" s="220"/>
      <c r="T309" s="220"/>
      <c r="U309" s="220"/>
      <c r="V309" s="220"/>
      <c r="W309" s="220"/>
    </row>
    <row r="310" ht="15.75" customHeight="1" outlineLevel="1">
      <c r="A310" s="211"/>
      <c r="B310" s="212"/>
      <c r="C310" s="213"/>
      <c r="D310" s="214" t="str">
        <f>IFERROR(VLOOKUP($C310,'PORTIFÓLIO'!C:V,2,0),"")</f>
        <v/>
      </c>
      <c r="E310" s="211" t="str">
        <f>IFERROR(VLOOKUP($C310,'PORTIFÓLIO'!C:V,3,0),"")</f>
        <v/>
      </c>
      <c r="F310" s="211" t="str">
        <f>IFERROR(VLOOKUP($C310,'PORTIFÓLIO'!C:V,4,0),"")</f>
        <v/>
      </c>
      <c r="G310" s="215" t="str">
        <f>IFERROR(VLOOKUP($C310,'PORTIFÓLIO'!C:V,5,0),"")</f>
        <v/>
      </c>
      <c r="H310" s="254" t="str">
        <f t="array" ref="H310">IFERROR(INDEX('PORTIFÓLIO'!$H$4:$H$433,MATCH($C310,'PORTIFÓLIO'!$C$4:$C$433,0)),"")</f>
        <v/>
      </c>
      <c r="I310" s="256"/>
      <c r="J310" s="218">
        <f t="shared" si="35"/>
        <v>0</v>
      </c>
      <c r="K310" s="292" t="str">
        <f t="array" ref="K310">IFERROR(I310*INDEX('PORTIFÓLIO'!$S$4:$S$433,MATCH($C310,'PORTIFÓLIO'!$C$4:$C$433,0)),"")</f>
        <v/>
      </c>
      <c r="L310" s="292" t="str">
        <f t="array" ref="L310">IFERROR(J310*INDEX('PORTIFÓLIO'!$S$4:$S$433,MATCH($C310,'PORTIFÓLIO'!$C$4:$C$433,0)),"")</f>
        <v/>
      </c>
      <c r="M310" s="220"/>
      <c r="N310" s="220"/>
      <c r="O310" s="220"/>
      <c r="P310" s="220"/>
      <c r="Q310" s="220"/>
      <c r="R310" s="220"/>
      <c r="S310" s="220"/>
      <c r="T310" s="220"/>
      <c r="U310" s="220"/>
      <c r="V310" s="220"/>
      <c r="W310" s="220"/>
    </row>
    <row r="311" ht="15.75" customHeight="1" outlineLevel="1">
      <c r="A311" s="211"/>
      <c r="B311" s="212"/>
      <c r="C311" s="213"/>
      <c r="D311" s="214" t="str">
        <f>IFERROR(VLOOKUP($C311,'PORTIFÓLIO'!C:V,2,0),"")</f>
        <v/>
      </c>
      <c r="E311" s="211" t="str">
        <f>IFERROR(VLOOKUP($C311,'PORTIFÓLIO'!C:V,3,0),"")</f>
        <v/>
      </c>
      <c r="F311" s="211" t="str">
        <f>IFERROR(VLOOKUP($C311,'PORTIFÓLIO'!C:V,4,0),"")</f>
        <v/>
      </c>
      <c r="G311" s="215" t="str">
        <f>IFERROR(VLOOKUP($C311,'PORTIFÓLIO'!C:V,5,0),"")</f>
        <v/>
      </c>
      <c r="H311" s="254" t="str">
        <f t="array" ref="H311">IFERROR(INDEX('PORTIFÓLIO'!$H$4:$H$433,MATCH($C311,'PORTIFÓLIO'!$C$4:$C$433,0)),"")</f>
        <v/>
      </c>
      <c r="I311" s="256"/>
      <c r="J311" s="218">
        <f t="shared" si="35"/>
        <v>0</v>
      </c>
      <c r="K311" s="292" t="str">
        <f t="array" ref="K311">IFERROR(I311*INDEX('PORTIFÓLIO'!$S$4:$S$433,MATCH($C311,'PORTIFÓLIO'!$C$4:$C$433,0)),"")</f>
        <v/>
      </c>
      <c r="L311" s="292" t="str">
        <f t="array" ref="L311">IFERROR(J311*INDEX('PORTIFÓLIO'!$S$4:$S$433,MATCH($C311,'PORTIFÓLIO'!$C$4:$C$433,0)),"")</f>
        <v/>
      </c>
      <c r="M311" s="220"/>
      <c r="N311" s="220"/>
      <c r="O311" s="220"/>
      <c r="P311" s="220"/>
      <c r="Q311" s="220"/>
      <c r="R311" s="220"/>
      <c r="S311" s="220"/>
      <c r="T311" s="220"/>
      <c r="U311" s="220"/>
      <c r="V311" s="220"/>
      <c r="W311" s="220"/>
    </row>
    <row r="312" ht="15.75" customHeight="1" outlineLevel="1">
      <c r="A312" s="211"/>
      <c r="B312" s="212"/>
      <c r="C312" s="213"/>
      <c r="D312" s="214" t="str">
        <f>IFERROR(VLOOKUP($C312,'PORTIFÓLIO'!C:V,2,0),"")</f>
        <v/>
      </c>
      <c r="E312" s="211" t="str">
        <f>IFERROR(VLOOKUP($C312,'PORTIFÓLIO'!C:V,3,0),"")</f>
        <v/>
      </c>
      <c r="F312" s="211" t="str">
        <f>IFERROR(VLOOKUP($C312,'PORTIFÓLIO'!C:V,4,0),"")</f>
        <v/>
      </c>
      <c r="G312" s="215" t="str">
        <f>IFERROR(VLOOKUP($C312,'PORTIFÓLIO'!C:V,5,0),"")</f>
        <v/>
      </c>
      <c r="H312" s="254" t="str">
        <f t="array" ref="H312">IFERROR(INDEX('PORTIFÓLIO'!$H$4:$H$433,MATCH($C312,'PORTIFÓLIO'!$C$4:$C$433,0)),"")</f>
        <v/>
      </c>
      <c r="I312" s="256"/>
      <c r="J312" s="218">
        <f t="shared" si="35"/>
        <v>0</v>
      </c>
      <c r="K312" s="292" t="str">
        <f t="array" ref="K312">IFERROR(I312*INDEX('PORTIFÓLIO'!$S$4:$S$433,MATCH($C312,'PORTIFÓLIO'!$C$4:$C$433,0)),"")</f>
        <v/>
      </c>
      <c r="L312" s="292" t="str">
        <f t="array" ref="L312">IFERROR(J312*INDEX('PORTIFÓLIO'!$S$4:$S$433,MATCH($C312,'PORTIFÓLIO'!$C$4:$C$433,0)),"")</f>
        <v/>
      </c>
      <c r="M312" s="220"/>
      <c r="N312" s="220"/>
      <c r="O312" s="220"/>
      <c r="P312" s="220"/>
      <c r="Q312" s="220"/>
      <c r="R312" s="220"/>
      <c r="S312" s="220"/>
      <c r="T312" s="220"/>
      <c r="U312" s="220"/>
      <c r="V312" s="220"/>
      <c r="W312" s="220"/>
    </row>
    <row r="313" ht="15.75" customHeight="1" outlineLevel="1">
      <c r="A313" s="211"/>
      <c r="B313" s="212"/>
      <c r="C313" s="213"/>
      <c r="D313" s="214" t="str">
        <f>IFERROR(VLOOKUP($C313,'PORTIFÓLIO'!C:V,2,0),"")</f>
        <v/>
      </c>
      <c r="E313" s="211" t="str">
        <f>IFERROR(VLOOKUP($C313,'PORTIFÓLIO'!C:V,3,0),"")</f>
        <v/>
      </c>
      <c r="F313" s="211" t="str">
        <f>IFERROR(VLOOKUP($C313,'PORTIFÓLIO'!C:V,4,0),"")</f>
        <v/>
      </c>
      <c r="G313" s="215" t="str">
        <f>IFERROR(VLOOKUP($C313,'PORTIFÓLIO'!C:V,5,0),"")</f>
        <v/>
      </c>
      <c r="H313" s="254" t="str">
        <f t="array" ref="H313">IFERROR(INDEX('PORTIFÓLIO'!$H$4:$H$433,MATCH($C313,'PORTIFÓLIO'!$C$4:$C$433,0)),"")</f>
        <v/>
      </c>
      <c r="I313" s="256"/>
      <c r="J313" s="218">
        <f t="shared" si="35"/>
        <v>0</v>
      </c>
      <c r="K313" s="292" t="str">
        <f t="array" ref="K313">IFERROR(I313*INDEX('PORTIFÓLIO'!$S$4:$S$433,MATCH($C313,'PORTIFÓLIO'!$C$4:$C$433,0)),"")</f>
        <v/>
      </c>
      <c r="L313" s="292" t="str">
        <f t="array" ref="L313">IFERROR(J313*INDEX('PORTIFÓLIO'!$S$4:$S$433,MATCH($C313,'PORTIFÓLIO'!$C$4:$C$433,0)),"")</f>
        <v/>
      </c>
      <c r="M313" s="220"/>
      <c r="N313" s="220"/>
      <c r="O313" s="220"/>
      <c r="P313" s="220"/>
      <c r="Q313" s="220"/>
      <c r="R313" s="220"/>
      <c r="S313" s="220"/>
      <c r="T313" s="220"/>
      <c r="U313" s="220"/>
      <c r="V313" s="220"/>
      <c r="W313" s="220"/>
    </row>
    <row r="314" ht="15.75" customHeight="1" outlineLevel="1">
      <c r="A314" s="211"/>
      <c r="B314" s="212"/>
      <c r="C314" s="213"/>
      <c r="D314" s="214" t="str">
        <f>IFERROR(VLOOKUP($C314,'PORTIFÓLIO'!C:V,2,0),"")</f>
        <v/>
      </c>
      <c r="E314" s="211" t="str">
        <f>IFERROR(VLOOKUP($C314,'PORTIFÓLIO'!C:V,3,0),"")</f>
        <v/>
      </c>
      <c r="F314" s="211" t="str">
        <f>IFERROR(VLOOKUP($C314,'PORTIFÓLIO'!C:V,4,0),"")</f>
        <v/>
      </c>
      <c r="G314" s="215" t="str">
        <f>IFERROR(VLOOKUP($C314,'PORTIFÓLIO'!C:V,5,0),"")</f>
        <v/>
      </c>
      <c r="H314" s="254" t="str">
        <f t="array" ref="H314">IFERROR(INDEX('PORTIFÓLIO'!$H$4:$H$433,MATCH($C314,'PORTIFÓLIO'!$C$4:$C$433,0)),"")</f>
        <v/>
      </c>
      <c r="I314" s="256"/>
      <c r="J314" s="218">
        <f t="shared" si="35"/>
        <v>0</v>
      </c>
      <c r="K314" s="292" t="str">
        <f t="array" ref="K314">IFERROR(I314*INDEX('PORTIFÓLIO'!$S$4:$S$433,MATCH($C314,'PORTIFÓLIO'!$C$4:$C$433,0)),"")</f>
        <v/>
      </c>
      <c r="L314" s="292" t="str">
        <f t="array" ref="L314">IFERROR(J314*INDEX('PORTIFÓLIO'!$S$4:$S$433,MATCH($C314,'PORTIFÓLIO'!$C$4:$C$433,0)),"")</f>
        <v/>
      </c>
      <c r="M314" s="220"/>
      <c r="N314" s="220"/>
      <c r="O314" s="220"/>
      <c r="P314" s="220"/>
      <c r="Q314" s="220"/>
      <c r="R314" s="220"/>
      <c r="S314" s="220"/>
      <c r="T314" s="220"/>
      <c r="U314" s="220"/>
      <c r="V314" s="220"/>
      <c r="W314" s="220"/>
    </row>
    <row r="315" ht="15.75" customHeight="1" outlineLevel="1">
      <c r="A315" s="211"/>
      <c r="B315" s="212"/>
      <c r="C315" s="213"/>
      <c r="D315" s="214" t="str">
        <f>IFERROR(VLOOKUP($C315,'PORTIFÓLIO'!C:V,2,0),"")</f>
        <v/>
      </c>
      <c r="E315" s="211" t="str">
        <f>IFERROR(VLOOKUP($C315,'PORTIFÓLIO'!C:V,3,0),"")</f>
        <v/>
      </c>
      <c r="F315" s="211" t="str">
        <f>IFERROR(VLOOKUP($C315,'PORTIFÓLIO'!C:V,4,0),"")</f>
        <v/>
      </c>
      <c r="G315" s="215" t="str">
        <f>IFERROR(VLOOKUP($C315,'PORTIFÓLIO'!C:V,5,0),"")</f>
        <v/>
      </c>
      <c r="H315" s="254" t="str">
        <f t="array" ref="H315">IFERROR(INDEX('PORTIFÓLIO'!$H$4:$H$433,MATCH($C315,'PORTIFÓLIO'!$C$4:$C$433,0)),"")</f>
        <v/>
      </c>
      <c r="I315" s="256"/>
      <c r="J315" s="218">
        <f t="shared" si="35"/>
        <v>0</v>
      </c>
      <c r="K315" s="292" t="str">
        <f t="array" ref="K315">IFERROR(I315*INDEX('PORTIFÓLIO'!$S$4:$S$433,MATCH($C315,'PORTIFÓLIO'!$C$4:$C$433,0)),"")</f>
        <v/>
      </c>
      <c r="L315" s="292" t="str">
        <f t="array" ref="L315">IFERROR(J315*INDEX('PORTIFÓLIO'!$S$4:$S$433,MATCH($C315,'PORTIFÓLIO'!$C$4:$C$433,0)),"")</f>
        <v/>
      </c>
      <c r="M315" s="220"/>
      <c r="N315" s="220"/>
      <c r="O315" s="220"/>
      <c r="P315" s="220"/>
      <c r="Q315" s="220"/>
      <c r="R315" s="220"/>
      <c r="S315" s="220"/>
      <c r="T315" s="220"/>
      <c r="U315" s="220"/>
      <c r="V315" s="220"/>
      <c r="W315" s="220"/>
    </row>
    <row r="316" ht="15.75" customHeight="1" outlineLevel="1">
      <c r="A316" s="211"/>
      <c r="B316" s="212"/>
      <c r="C316" s="213"/>
      <c r="D316" s="214" t="str">
        <f>IFERROR(VLOOKUP($C316,'PORTIFÓLIO'!C:V,2,0),"")</f>
        <v/>
      </c>
      <c r="E316" s="211" t="str">
        <f>IFERROR(VLOOKUP($C316,'PORTIFÓLIO'!C:V,3,0),"")</f>
        <v/>
      </c>
      <c r="F316" s="211" t="str">
        <f>IFERROR(VLOOKUP($C316,'PORTIFÓLIO'!C:V,4,0),"")</f>
        <v/>
      </c>
      <c r="G316" s="215" t="str">
        <f>IFERROR(VLOOKUP($C316,'PORTIFÓLIO'!C:V,5,0),"")</f>
        <v/>
      </c>
      <c r="H316" s="254" t="str">
        <f t="array" ref="H316">IFERROR(INDEX('PORTIFÓLIO'!$H$4:$H$433,MATCH($C316,'PORTIFÓLIO'!$C$4:$C$433,0)),"")</f>
        <v/>
      </c>
      <c r="I316" s="256"/>
      <c r="J316" s="218">
        <f t="shared" si="35"/>
        <v>0</v>
      </c>
      <c r="K316" s="292" t="str">
        <f t="array" ref="K316">IFERROR(I316*INDEX('PORTIFÓLIO'!$S$4:$S$433,MATCH($C316,'PORTIFÓLIO'!$C$4:$C$433,0)),"")</f>
        <v/>
      </c>
      <c r="L316" s="292" t="str">
        <f t="array" ref="L316">IFERROR(J316*INDEX('PORTIFÓLIO'!$S$4:$S$433,MATCH($C316,'PORTIFÓLIO'!$C$4:$C$433,0)),"")</f>
        <v/>
      </c>
      <c r="M316" s="220"/>
      <c r="N316" s="220"/>
      <c r="O316" s="220"/>
      <c r="P316" s="220"/>
      <c r="Q316" s="220"/>
      <c r="R316" s="220"/>
      <c r="S316" s="220"/>
      <c r="T316" s="220"/>
      <c r="U316" s="220"/>
      <c r="V316" s="220"/>
      <c r="W316" s="220"/>
    </row>
    <row r="317" ht="15.75" customHeight="1" outlineLevel="1">
      <c r="A317" s="211"/>
      <c r="B317" s="212"/>
      <c r="C317" s="213"/>
      <c r="D317" s="214" t="str">
        <f>IFERROR(VLOOKUP($C317,'PORTIFÓLIO'!C:V,2,0),"")</f>
        <v/>
      </c>
      <c r="E317" s="211" t="str">
        <f>IFERROR(VLOOKUP($C317,'PORTIFÓLIO'!C:V,3,0),"")</f>
        <v/>
      </c>
      <c r="F317" s="211" t="str">
        <f>IFERROR(VLOOKUP($C317,'PORTIFÓLIO'!C:V,4,0),"")</f>
        <v/>
      </c>
      <c r="G317" s="215" t="str">
        <f>IFERROR(VLOOKUP($C317,'PORTIFÓLIO'!C:V,5,0),"")</f>
        <v/>
      </c>
      <c r="H317" s="254" t="str">
        <f t="array" ref="H317">IFERROR(INDEX('PORTIFÓLIO'!$H$4:$H$433,MATCH($C317,'PORTIFÓLIO'!$C$4:$C$433,0)),"")</f>
        <v/>
      </c>
      <c r="I317" s="255"/>
      <c r="J317" s="218">
        <f t="shared" si="35"/>
        <v>0</v>
      </c>
      <c r="K317" s="292" t="str">
        <f t="array" ref="K317">IFERROR(I317*INDEX('PORTIFÓLIO'!$S$4:$S$433,MATCH($C317,'PORTIFÓLIO'!$C$4:$C$433,0)),"")</f>
        <v/>
      </c>
      <c r="L317" s="292" t="str">
        <f t="array" ref="L317">IFERROR(J317*INDEX('PORTIFÓLIO'!$S$4:$S$433,MATCH($C317,'PORTIFÓLIO'!$C$4:$C$433,0)),"")</f>
        <v/>
      </c>
      <c r="M317" s="220"/>
      <c r="N317" s="220"/>
      <c r="O317" s="220"/>
      <c r="P317" s="220"/>
      <c r="Q317" s="220"/>
      <c r="R317" s="220"/>
      <c r="S317" s="220"/>
      <c r="T317" s="220"/>
      <c r="U317" s="220"/>
      <c r="V317" s="220"/>
      <c r="W317" s="220"/>
    </row>
    <row r="318" ht="15.75" customHeight="1" outlineLevel="1">
      <c r="A318" s="211"/>
      <c r="B318" s="212"/>
      <c r="C318" s="213"/>
      <c r="D318" s="214" t="str">
        <f>IFERROR(VLOOKUP($C318,'PORTIFÓLIO'!C:V,2,0),"")</f>
        <v/>
      </c>
      <c r="E318" s="211" t="str">
        <f>IFERROR(VLOOKUP($C318,'PORTIFÓLIO'!C:V,3,0),"")</f>
        <v/>
      </c>
      <c r="F318" s="211" t="str">
        <f>IFERROR(VLOOKUP($C318,'PORTIFÓLIO'!C:V,4,0),"")</f>
        <v/>
      </c>
      <c r="G318" s="215" t="str">
        <f>IFERROR(VLOOKUP($C318,'PORTIFÓLIO'!C:V,5,0),"")</f>
        <v/>
      </c>
      <c r="H318" s="254" t="str">
        <f t="array" ref="H318">IFERROR(INDEX('PORTIFÓLIO'!$H$4:$H$433,MATCH($C318,'PORTIFÓLIO'!$C$4:$C$433,0)),"")</f>
        <v/>
      </c>
      <c r="I318" s="256"/>
      <c r="J318" s="218">
        <f t="shared" si="35"/>
        <v>0</v>
      </c>
      <c r="K318" s="292" t="str">
        <f t="array" ref="K318">IFERROR(I318*INDEX('PORTIFÓLIO'!$S$4:$S$433,MATCH($C318,'PORTIFÓLIO'!$C$4:$C$433,0)),"")</f>
        <v/>
      </c>
      <c r="L318" s="292" t="str">
        <f t="array" ref="L318">IFERROR(J318*INDEX('PORTIFÓLIO'!$S$4:$S$433,MATCH($C318,'PORTIFÓLIO'!$C$4:$C$433,0)),"")</f>
        <v/>
      </c>
      <c r="M318" s="220"/>
      <c r="N318" s="220"/>
      <c r="O318" s="220"/>
      <c r="P318" s="220"/>
      <c r="Q318" s="220"/>
      <c r="R318" s="220"/>
      <c r="S318" s="220"/>
      <c r="T318" s="220"/>
      <c r="U318" s="220"/>
      <c r="V318" s="220"/>
      <c r="W318" s="220"/>
    </row>
    <row r="319" ht="15.75" customHeight="1" outlineLevel="1">
      <c r="A319" s="211"/>
      <c r="B319" s="212"/>
      <c r="C319" s="213"/>
      <c r="D319" s="214" t="str">
        <f>IFERROR(VLOOKUP($C319,'PORTIFÓLIO'!C:V,2,0),"")</f>
        <v/>
      </c>
      <c r="E319" s="211" t="str">
        <f>IFERROR(VLOOKUP($C319,'PORTIFÓLIO'!C:V,3,0),"")</f>
        <v/>
      </c>
      <c r="F319" s="211" t="str">
        <f>IFERROR(VLOOKUP($C319,'PORTIFÓLIO'!C:V,4,0),"")</f>
        <v/>
      </c>
      <c r="G319" s="215" t="str">
        <f>IFERROR(VLOOKUP($C319,'PORTIFÓLIO'!C:V,5,0),"")</f>
        <v/>
      </c>
      <c r="H319" s="254" t="str">
        <f t="array" ref="H319">IFERROR(INDEX('PORTIFÓLIO'!$H$4:$H$433,MATCH($C319,'PORTIFÓLIO'!$C$4:$C$433,0)),"")</f>
        <v/>
      </c>
      <c r="I319" s="256"/>
      <c r="J319" s="218">
        <f t="shared" si="35"/>
        <v>0</v>
      </c>
      <c r="K319" s="292" t="str">
        <f t="array" ref="K319">IFERROR(I319*INDEX('PORTIFÓLIO'!$S$4:$S$433,MATCH($C319,'PORTIFÓLIO'!$C$4:$C$433,0)),"")</f>
        <v/>
      </c>
      <c r="L319" s="292" t="str">
        <f t="array" ref="L319">IFERROR(J319*INDEX('PORTIFÓLIO'!$S$4:$S$433,MATCH($C319,'PORTIFÓLIO'!$C$4:$C$433,0)),"")</f>
        <v/>
      </c>
      <c r="M319" s="220"/>
      <c r="N319" s="220"/>
      <c r="O319" s="220"/>
      <c r="P319" s="220"/>
      <c r="Q319" s="220"/>
      <c r="R319" s="220"/>
      <c r="S319" s="220"/>
      <c r="T319" s="220"/>
      <c r="U319" s="220"/>
      <c r="V319" s="220"/>
      <c r="W319" s="220"/>
    </row>
    <row r="320" ht="15.75" customHeight="1" outlineLevel="1">
      <c r="A320" s="211"/>
      <c r="B320" s="212"/>
      <c r="C320" s="213"/>
      <c r="D320" s="214" t="str">
        <f>IFERROR(VLOOKUP($C320,'PORTIFÓLIO'!C:V,2,0),"")</f>
        <v/>
      </c>
      <c r="E320" s="211" t="str">
        <f>IFERROR(VLOOKUP($C320,'PORTIFÓLIO'!C:V,3,0),"")</f>
        <v/>
      </c>
      <c r="F320" s="211" t="str">
        <f>IFERROR(VLOOKUP($C320,'PORTIFÓLIO'!C:V,4,0),"")</f>
        <v/>
      </c>
      <c r="G320" s="215" t="str">
        <f>IFERROR(VLOOKUP($C320,'PORTIFÓLIO'!C:V,5,0),"")</f>
        <v/>
      </c>
      <c r="H320" s="254" t="str">
        <f t="array" ref="H320">IFERROR(INDEX('PORTIFÓLIO'!$H$4:$H$433,MATCH($C320,'PORTIFÓLIO'!$C$4:$C$433,0)),"")</f>
        <v/>
      </c>
      <c r="I320" s="256"/>
      <c r="J320" s="218">
        <f t="shared" si="35"/>
        <v>0</v>
      </c>
      <c r="K320" s="292" t="str">
        <f t="array" ref="K320">IFERROR(I320*INDEX('PORTIFÓLIO'!$S$4:$S$433,MATCH($C320,'PORTIFÓLIO'!$C$4:$C$433,0)),"")</f>
        <v/>
      </c>
      <c r="L320" s="292" t="str">
        <f t="array" ref="L320">IFERROR(J320*INDEX('PORTIFÓLIO'!$S$4:$S$433,MATCH($C320,'PORTIFÓLIO'!$C$4:$C$433,0)),"")</f>
        <v/>
      </c>
      <c r="M320" s="220"/>
      <c r="N320" s="220"/>
      <c r="O320" s="220"/>
      <c r="P320" s="220"/>
      <c r="Q320" s="220"/>
      <c r="R320" s="220"/>
      <c r="S320" s="220"/>
      <c r="T320" s="220"/>
      <c r="U320" s="220"/>
      <c r="V320" s="220"/>
      <c r="W320" s="220"/>
    </row>
    <row r="321" ht="15.75" customHeight="1" outlineLevel="1">
      <c r="A321" s="211"/>
      <c r="B321" s="212"/>
      <c r="C321" s="213"/>
      <c r="D321" s="214" t="str">
        <f>IFERROR(VLOOKUP($C321,'PORTIFÓLIO'!C:V,2,0),"")</f>
        <v/>
      </c>
      <c r="E321" s="211" t="str">
        <f>IFERROR(VLOOKUP($C321,'PORTIFÓLIO'!C:V,3,0),"")</f>
        <v/>
      </c>
      <c r="F321" s="211" t="str">
        <f>IFERROR(VLOOKUP($C321,'PORTIFÓLIO'!C:V,4,0),"")</f>
        <v/>
      </c>
      <c r="G321" s="215" t="str">
        <f>IFERROR(VLOOKUP($C321,'PORTIFÓLIO'!C:V,5,0),"")</f>
        <v/>
      </c>
      <c r="H321" s="254" t="str">
        <f t="array" ref="H321">IFERROR(INDEX('PORTIFÓLIO'!$H$4:$H$433,MATCH($C321,'PORTIFÓLIO'!$C$4:$C$433,0)),"")</f>
        <v/>
      </c>
      <c r="I321" s="256"/>
      <c r="J321" s="218">
        <f t="shared" si="35"/>
        <v>0</v>
      </c>
      <c r="K321" s="292" t="str">
        <f t="array" ref="K321">IFERROR(I321*INDEX('PORTIFÓLIO'!$S$4:$S$433,MATCH($C321,'PORTIFÓLIO'!$C$4:$C$433,0)),"")</f>
        <v/>
      </c>
      <c r="L321" s="292" t="str">
        <f t="array" ref="L321">IFERROR(J321*INDEX('PORTIFÓLIO'!$S$4:$S$433,MATCH($C321,'PORTIFÓLIO'!$C$4:$C$433,0)),"")</f>
        <v/>
      </c>
      <c r="M321" s="220"/>
      <c r="N321" s="220"/>
      <c r="O321" s="220"/>
      <c r="P321" s="220"/>
      <c r="Q321" s="220"/>
      <c r="R321" s="220"/>
      <c r="S321" s="220"/>
      <c r="T321" s="220"/>
      <c r="U321" s="220"/>
      <c r="V321" s="220"/>
      <c r="W321" s="220"/>
    </row>
    <row r="322" ht="15.75" customHeight="1" outlineLevel="1">
      <c r="A322" s="211"/>
      <c r="B322" s="212"/>
      <c r="C322" s="213"/>
      <c r="D322" s="214" t="str">
        <f>IFERROR(VLOOKUP($C322,'PORTIFÓLIO'!C:V,2,0),"")</f>
        <v/>
      </c>
      <c r="E322" s="211" t="str">
        <f>IFERROR(VLOOKUP($C322,'PORTIFÓLIO'!C:V,3,0),"")</f>
        <v/>
      </c>
      <c r="F322" s="211" t="str">
        <f>IFERROR(VLOOKUP($C322,'PORTIFÓLIO'!C:V,4,0),"")</f>
        <v/>
      </c>
      <c r="G322" s="215" t="str">
        <f>IFERROR(VLOOKUP($C322,'PORTIFÓLIO'!C:V,5,0),"")</f>
        <v/>
      </c>
      <c r="H322" s="254" t="str">
        <f t="array" ref="H322">IFERROR(INDEX('PORTIFÓLIO'!$H$4:$H$433,MATCH($C322,'PORTIFÓLIO'!$C$4:$C$433,0)),"")</f>
        <v/>
      </c>
      <c r="I322" s="256"/>
      <c r="J322" s="218">
        <f t="shared" si="35"/>
        <v>0</v>
      </c>
      <c r="K322" s="292" t="str">
        <f t="array" ref="K322">IFERROR(I322*INDEX('PORTIFÓLIO'!$S$4:$S$433,MATCH($C322,'PORTIFÓLIO'!$C$4:$C$433,0)),"")</f>
        <v/>
      </c>
      <c r="L322" s="292" t="str">
        <f t="array" ref="L322">IFERROR(J322*INDEX('PORTIFÓLIO'!$S$4:$S$433,MATCH($C322,'PORTIFÓLIO'!$C$4:$C$433,0)),"")</f>
        <v/>
      </c>
      <c r="M322" s="220"/>
      <c r="N322" s="220"/>
      <c r="O322" s="220"/>
      <c r="P322" s="220"/>
      <c r="Q322" s="220"/>
      <c r="R322" s="220"/>
      <c r="S322" s="220"/>
      <c r="T322" s="220"/>
      <c r="U322" s="220"/>
      <c r="V322" s="220"/>
      <c r="W322" s="220"/>
    </row>
    <row r="323" ht="15.75" customHeight="1" outlineLevel="1">
      <c r="A323" s="211"/>
      <c r="B323" s="212"/>
      <c r="C323" s="213"/>
      <c r="D323" s="214" t="str">
        <f>IFERROR(VLOOKUP($C323,'PORTIFÓLIO'!C:V,2,0),"")</f>
        <v/>
      </c>
      <c r="E323" s="211" t="str">
        <f>IFERROR(VLOOKUP($C323,'PORTIFÓLIO'!C:V,3,0),"")</f>
        <v/>
      </c>
      <c r="F323" s="211" t="str">
        <f>IFERROR(VLOOKUP($C323,'PORTIFÓLIO'!C:V,4,0),"")</f>
        <v/>
      </c>
      <c r="G323" s="215" t="str">
        <f>IFERROR(VLOOKUP($C323,'PORTIFÓLIO'!C:V,5,0),"")</f>
        <v/>
      </c>
      <c r="H323" s="254" t="str">
        <f t="array" ref="H323">IFERROR(INDEX('PORTIFÓLIO'!$H$4:$H$433,MATCH($C323,'PORTIFÓLIO'!$C$4:$C$433,0)),"")</f>
        <v/>
      </c>
      <c r="I323" s="256"/>
      <c r="J323" s="218">
        <f t="shared" si="35"/>
        <v>0</v>
      </c>
      <c r="K323" s="292" t="str">
        <f t="array" ref="K323">IFERROR(I323*INDEX('PORTIFÓLIO'!$S$4:$S$433,MATCH($C323,'PORTIFÓLIO'!$C$4:$C$433,0)),"")</f>
        <v/>
      </c>
      <c r="L323" s="292" t="str">
        <f t="array" ref="L323">IFERROR(J323*INDEX('PORTIFÓLIO'!$S$4:$S$433,MATCH($C323,'PORTIFÓLIO'!$C$4:$C$433,0)),"")</f>
        <v/>
      </c>
      <c r="M323" s="220"/>
      <c r="N323" s="220"/>
      <c r="O323" s="220"/>
      <c r="P323" s="220"/>
      <c r="Q323" s="220"/>
      <c r="R323" s="220"/>
      <c r="S323" s="220"/>
      <c r="T323" s="220"/>
      <c r="U323" s="220"/>
      <c r="V323" s="220"/>
      <c r="W323" s="220"/>
    </row>
    <row r="324" ht="15.75" customHeight="1">
      <c r="A324" s="229" t="s">
        <v>1189</v>
      </c>
      <c r="B324" s="230"/>
      <c r="C324" s="231"/>
      <c r="D324" s="232"/>
      <c r="E324" s="231"/>
      <c r="F324" s="231"/>
      <c r="G324" s="233"/>
      <c r="H324" s="233"/>
      <c r="I324" s="258"/>
      <c r="J324" s="236"/>
      <c r="K324" s="237">
        <f t="shared" ref="K324:L324" si="36">SUBTOTAL(9,K325:K338)</f>
        <v>0</v>
      </c>
      <c r="L324" s="237">
        <f t="shared" si="36"/>
        <v>0</v>
      </c>
      <c r="M324" s="220"/>
      <c r="N324" s="220"/>
      <c r="O324" s="220"/>
      <c r="P324" s="220"/>
      <c r="Q324" s="220"/>
      <c r="R324" s="220"/>
      <c r="S324" s="220"/>
      <c r="T324" s="220"/>
      <c r="U324" s="220"/>
      <c r="V324" s="220"/>
      <c r="W324" s="220"/>
    </row>
    <row r="325" ht="15.75" customHeight="1" outlineLevel="1">
      <c r="A325" s="213"/>
      <c r="B325" s="212"/>
      <c r="C325" s="213"/>
      <c r="D325" s="214" t="str">
        <f>IFERROR(VLOOKUP($C325,'PORTIFÓLIO'!C:V,2,0),"")</f>
        <v/>
      </c>
      <c r="E325" s="211" t="str">
        <f>IFERROR(VLOOKUP($C325,'PORTIFÓLIO'!C:V,3,0),"")</f>
        <v/>
      </c>
      <c r="F325" s="211" t="str">
        <f>IFERROR(VLOOKUP($C325,'PORTIFÓLIO'!C:V,4,0),"")</f>
        <v/>
      </c>
      <c r="G325" s="215" t="str">
        <f>IFERROR(VLOOKUP($C325,'PORTIFÓLIO'!C:V,5,0),"")</f>
        <v/>
      </c>
      <c r="H325" s="254" t="str">
        <f t="array" ref="H325">IFERROR(INDEX('PORTIFÓLIO'!$H$4:$H$433,MATCH($C325,'PORTIFÓLIO'!$C$4:$C$433,0)),"")</f>
        <v/>
      </c>
      <c r="I325" s="255"/>
      <c r="J325" s="218">
        <f t="shared" ref="J325:J339" si="37">I325*$B$2</f>
        <v>0</v>
      </c>
      <c r="K325" s="292" t="str">
        <f t="array" ref="K325">IFERROR(I325*INDEX('PORTIFÓLIO'!$S$4:$S$433,MATCH($C325,'PORTIFÓLIO'!$C$4:$C$433,0)),"")</f>
        <v/>
      </c>
      <c r="L325" s="292" t="str">
        <f t="array" ref="L325">IFERROR(J325*INDEX('PORTIFÓLIO'!$S$4:$S$433,MATCH($C325,'PORTIFÓLIO'!$C$4:$C$433,0)),"")</f>
        <v/>
      </c>
      <c r="M325" s="220"/>
      <c r="N325" s="220"/>
      <c r="O325" s="220"/>
      <c r="P325" s="220"/>
      <c r="Q325" s="220"/>
      <c r="R325" s="220"/>
      <c r="S325" s="220"/>
      <c r="T325" s="220"/>
      <c r="U325" s="220"/>
      <c r="V325" s="220"/>
      <c r="W325" s="220"/>
    </row>
    <row r="326" ht="15.75" customHeight="1" outlineLevel="1">
      <c r="A326" s="211"/>
      <c r="B326" s="212"/>
      <c r="C326" s="213"/>
      <c r="D326" s="214" t="str">
        <f>IFERROR(VLOOKUP($C326,'PORTIFÓLIO'!C:V,2,0),"")</f>
        <v/>
      </c>
      <c r="E326" s="211" t="str">
        <f>IFERROR(VLOOKUP($C326,'PORTIFÓLIO'!C:V,3,0),"")</f>
        <v/>
      </c>
      <c r="F326" s="211" t="str">
        <f>IFERROR(VLOOKUP($C326,'PORTIFÓLIO'!C:V,4,0),"")</f>
        <v/>
      </c>
      <c r="G326" s="215" t="str">
        <f>IFERROR(VLOOKUP($C326,'PORTIFÓLIO'!C:V,5,0),"")</f>
        <v/>
      </c>
      <c r="H326" s="254" t="str">
        <f t="array" ref="H326">IFERROR(INDEX('PORTIFÓLIO'!$H$4:$H$433,MATCH($C326,'PORTIFÓLIO'!$C$4:$C$433,0)),"")</f>
        <v/>
      </c>
      <c r="I326" s="256"/>
      <c r="J326" s="218">
        <f t="shared" si="37"/>
        <v>0</v>
      </c>
      <c r="K326" s="292" t="str">
        <f t="array" ref="K326">IFERROR(I326*INDEX('PORTIFÓLIO'!$S$4:$S$433,MATCH($C326,'PORTIFÓLIO'!$C$4:$C$433,0)),"")</f>
        <v/>
      </c>
      <c r="L326" s="292" t="str">
        <f t="array" ref="L326">IFERROR(J326*INDEX('PORTIFÓLIO'!$S$4:$S$433,MATCH($C326,'PORTIFÓLIO'!$C$4:$C$433,0)),"")</f>
        <v/>
      </c>
      <c r="M326" s="220"/>
      <c r="N326" s="220"/>
      <c r="O326" s="220"/>
      <c r="P326" s="220"/>
      <c r="Q326" s="220"/>
      <c r="R326" s="220"/>
      <c r="S326" s="220"/>
      <c r="T326" s="220"/>
      <c r="U326" s="220"/>
      <c r="V326" s="220"/>
      <c r="W326" s="220"/>
    </row>
    <row r="327" ht="15.75" customHeight="1" outlineLevel="1">
      <c r="A327" s="211"/>
      <c r="B327" s="212"/>
      <c r="C327" s="213"/>
      <c r="D327" s="214" t="str">
        <f>IFERROR(VLOOKUP($C327,'PORTIFÓLIO'!C:V,2,0),"")</f>
        <v/>
      </c>
      <c r="E327" s="211" t="str">
        <f>IFERROR(VLOOKUP($C327,'PORTIFÓLIO'!C:V,3,0),"")</f>
        <v/>
      </c>
      <c r="F327" s="211" t="str">
        <f>IFERROR(VLOOKUP($C327,'PORTIFÓLIO'!C:V,4,0),"")</f>
        <v/>
      </c>
      <c r="G327" s="215" t="str">
        <f>IFERROR(VLOOKUP($C327,'PORTIFÓLIO'!C:V,5,0),"")</f>
        <v/>
      </c>
      <c r="H327" s="254" t="str">
        <f t="array" ref="H327">IFERROR(INDEX('PORTIFÓLIO'!$H$4:$H$433,MATCH($C327,'PORTIFÓLIO'!$C$4:$C$433,0)),"")</f>
        <v/>
      </c>
      <c r="I327" s="256"/>
      <c r="J327" s="218">
        <f t="shared" si="37"/>
        <v>0</v>
      </c>
      <c r="K327" s="292" t="str">
        <f t="array" ref="K327">IFERROR(I327*INDEX('PORTIFÓLIO'!$S$4:$S$433,MATCH($C327,'PORTIFÓLIO'!$C$4:$C$433,0)),"")</f>
        <v/>
      </c>
      <c r="L327" s="292" t="str">
        <f t="array" ref="L327">IFERROR(J327*INDEX('PORTIFÓLIO'!$S$4:$S$433,MATCH($C327,'PORTIFÓLIO'!$C$4:$C$433,0)),"")</f>
        <v/>
      </c>
      <c r="M327" s="220"/>
      <c r="N327" s="220"/>
      <c r="O327" s="220"/>
      <c r="P327" s="220"/>
      <c r="Q327" s="220"/>
      <c r="R327" s="220"/>
      <c r="S327" s="220"/>
      <c r="T327" s="220"/>
      <c r="U327" s="220"/>
      <c r="V327" s="220"/>
      <c r="W327" s="220"/>
    </row>
    <row r="328" ht="15.75" customHeight="1" outlineLevel="1">
      <c r="A328" s="211"/>
      <c r="B328" s="212"/>
      <c r="C328" s="213"/>
      <c r="D328" s="214" t="str">
        <f>IFERROR(VLOOKUP($C328,'PORTIFÓLIO'!C:V,2,0),"")</f>
        <v/>
      </c>
      <c r="E328" s="211" t="str">
        <f>IFERROR(VLOOKUP($C328,'PORTIFÓLIO'!C:V,3,0),"")</f>
        <v/>
      </c>
      <c r="F328" s="211" t="str">
        <f>IFERROR(VLOOKUP($C328,'PORTIFÓLIO'!C:V,4,0),"")</f>
        <v/>
      </c>
      <c r="G328" s="215" t="str">
        <f>IFERROR(VLOOKUP($C328,'PORTIFÓLIO'!C:V,5,0),"")</f>
        <v/>
      </c>
      <c r="H328" s="254" t="str">
        <f t="array" ref="H328">IFERROR(INDEX('PORTIFÓLIO'!$H$4:$H$433,MATCH($C328,'PORTIFÓLIO'!$C$4:$C$433,0)),"")</f>
        <v/>
      </c>
      <c r="I328" s="256"/>
      <c r="J328" s="218">
        <f t="shared" si="37"/>
        <v>0</v>
      </c>
      <c r="K328" s="292" t="str">
        <f t="array" ref="K328">IFERROR(I328*INDEX('PORTIFÓLIO'!$S$4:$S$433,MATCH($C328,'PORTIFÓLIO'!$C$4:$C$433,0)),"")</f>
        <v/>
      </c>
      <c r="L328" s="292" t="str">
        <f t="array" ref="L328">IFERROR(J328*INDEX('PORTIFÓLIO'!$S$4:$S$433,MATCH($C328,'PORTIFÓLIO'!$C$4:$C$433,0)),"")</f>
        <v/>
      </c>
      <c r="M328" s="220"/>
      <c r="N328" s="220"/>
      <c r="O328" s="220"/>
      <c r="P328" s="220"/>
      <c r="Q328" s="220"/>
      <c r="R328" s="220"/>
      <c r="S328" s="220"/>
      <c r="T328" s="220"/>
      <c r="U328" s="220"/>
      <c r="V328" s="220"/>
      <c r="W328" s="220"/>
    </row>
    <row r="329" ht="15.75" customHeight="1" outlineLevel="1">
      <c r="A329" s="211"/>
      <c r="B329" s="212"/>
      <c r="C329" s="213"/>
      <c r="D329" s="214" t="str">
        <f>IFERROR(VLOOKUP($C329,'PORTIFÓLIO'!C:V,2,0),"")</f>
        <v/>
      </c>
      <c r="E329" s="211" t="str">
        <f>IFERROR(VLOOKUP($C329,'PORTIFÓLIO'!C:V,3,0),"")</f>
        <v/>
      </c>
      <c r="F329" s="211" t="str">
        <f>IFERROR(VLOOKUP($C329,'PORTIFÓLIO'!C:V,4,0),"")</f>
        <v/>
      </c>
      <c r="G329" s="215" t="str">
        <f>IFERROR(VLOOKUP($C329,'PORTIFÓLIO'!C:V,5,0),"")</f>
        <v/>
      </c>
      <c r="H329" s="254" t="str">
        <f t="array" ref="H329">IFERROR(INDEX('PORTIFÓLIO'!$H$4:$H$433,MATCH($C329,'PORTIFÓLIO'!$C$4:$C$433,0)),"")</f>
        <v/>
      </c>
      <c r="I329" s="256"/>
      <c r="J329" s="218">
        <f t="shared" si="37"/>
        <v>0</v>
      </c>
      <c r="K329" s="292" t="str">
        <f t="array" ref="K329">IFERROR(I329*INDEX('PORTIFÓLIO'!$S$4:$S$433,MATCH($C329,'PORTIFÓLIO'!$C$4:$C$433,0)),"")</f>
        <v/>
      </c>
      <c r="L329" s="292" t="str">
        <f t="array" ref="L329">IFERROR(J329*INDEX('PORTIFÓLIO'!$S$4:$S$433,MATCH($C329,'PORTIFÓLIO'!$C$4:$C$433,0)),"")</f>
        <v/>
      </c>
      <c r="M329" s="220"/>
      <c r="N329" s="220"/>
      <c r="O329" s="220"/>
      <c r="P329" s="220"/>
      <c r="Q329" s="220"/>
      <c r="R329" s="220"/>
      <c r="S329" s="220"/>
      <c r="T329" s="220"/>
      <c r="U329" s="220"/>
      <c r="V329" s="220"/>
      <c r="W329" s="220"/>
    </row>
    <row r="330" ht="15.75" customHeight="1" outlineLevel="1">
      <c r="A330" s="211"/>
      <c r="B330" s="212"/>
      <c r="C330" s="213"/>
      <c r="D330" s="214" t="str">
        <f>IFERROR(VLOOKUP($C330,'PORTIFÓLIO'!C:V,2,0),"")</f>
        <v/>
      </c>
      <c r="E330" s="211" t="str">
        <f>IFERROR(VLOOKUP($C330,'PORTIFÓLIO'!C:V,3,0),"")</f>
        <v/>
      </c>
      <c r="F330" s="211" t="str">
        <f>IFERROR(VLOOKUP($C330,'PORTIFÓLIO'!C:V,4,0),"")</f>
        <v/>
      </c>
      <c r="G330" s="215" t="str">
        <f>IFERROR(VLOOKUP($C330,'PORTIFÓLIO'!C:V,5,0),"")</f>
        <v/>
      </c>
      <c r="H330" s="254" t="str">
        <f t="array" ref="H330">IFERROR(INDEX('PORTIFÓLIO'!$H$4:$H$433,MATCH($C330,'PORTIFÓLIO'!$C$4:$C$433,0)),"")</f>
        <v/>
      </c>
      <c r="I330" s="256"/>
      <c r="J330" s="218">
        <f t="shared" si="37"/>
        <v>0</v>
      </c>
      <c r="K330" s="292" t="str">
        <f t="array" ref="K330">IFERROR(I330*INDEX('PORTIFÓLIO'!$S$4:$S$433,MATCH($C330,'PORTIFÓLIO'!$C$4:$C$433,0)),"")</f>
        <v/>
      </c>
      <c r="L330" s="292" t="str">
        <f t="array" ref="L330">IFERROR(J330*INDEX('PORTIFÓLIO'!$S$4:$S$433,MATCH($C330,'PORTIFÓLIO'!$C$4:$C$433,0)),"")</f>
        <v/>
      </c>
      <c r="M330" s="220"/>
      <c r="N330" s="220"/>
      <c r="O330" s="220"/>
      <c r="P330" s="220"/>
      <c r="Q330" s="220"/>
      <c r="R330" s="220"/>
      <c r="S330" s="220"/>
      <c r="T330" s="220"/>
      <c r="U330" s="220"/>
      <c r="V330" s="220"/>
      <c r="W330" s="220"/>
    </row>
    <row r="331" ht="15.75" customHeight="1" outlineLevel="1">
      <c r="A331" s="211"/>
      <c r="B331" s="212"/>
      <c r="C331" s="213"/>
      <c r="D331" s="214" t="str">
        <f>IFERROR(VLOOKUP($C331,'PORTIFÓLIO'!C:V,2,0),"")</f>
        <v/>
      </c>
      <c r="E331" s="211" t="str">
        <f>IFERROR(VLOOKUP($C331,'PORTIFÓLIO'!C:V,3,0),"")</f>
        <v/>
      </c>
      <c r="F331" s="211" t="str">
        <f>IFERROR(VLOOKUP($C331,'PORTIFÓLIO'!C:V,4,0),"")</f>
        <v/>
      </c>
      <c r="G331" s="215" t="str">
        <f>IFERROR(VLOOKUP($C331,'PORTIFÓLIO'!C:V,5,0),"")</f>
        <v/>
      </c>
      <c r="H331" s="254" t="str">
        <f t="array" ref="H331">IFERROR(INDEX('PORTIFÓLIO'!$H$4:$H$433,MATCH($C331,'PORTIFÓLIO'!$C$4:$C$433,0)),"")</f>
        <v/>
      </c>
      <c r="I331" s="256"/>
      <c r="J331" s="218">
        <f t="shared" si="37"/>
        <v>0</v>
      </c>
      <c r="K331" s="292" t="str">
        <f t="array" ref="K331">IFERROR(I331*INDEX('PORTIFÓLIO'!$S$4:$S$433,MATCH($C331,'PORTIFÓLIO'!$C$4:$C$433,0)),"")</f>
        <v/>
      </c>
      <c r="L331" s="292" t="str">
        <f t="array" ref="L331">IFERROR(J331*INDEX('PORTIFÓLIO'!$S$4:$S$433,MATCH($C331,'PORTIFÓLIO'!$C$4:$C$433,0)),"")</f>
        <v/>
      </c>
      <c r="M331" s="220"/>
      <c r="N331" s="220"/>
      <c r="O331" s="220"/>
      <c r="P331" s="220"/>
      <c r="Q331" s="220"/>
      <c r="R331" s="220"/>
      <c r="S331" s="220"/>
      <c r="T331" s="220"/>
      <c r="U331" s="220"/>
      <c r="V331" s="220"/>
      <c r="W331" s="220"/>
    </row>
    <row r="332" ht="15.75" customHeight="1" outlineLevel="1">
      <c r="A332" s="211"/>
      <c r="B332" s="212"/>
      <c r="C332" s="213"/>
      <c r="D332" s="214" t="str">
        <f>IFERROR(VLOOKUP($C332,'PORTIFÓLIO'!C:V,2,0),"")</f>
        <v/>
      </c>
      <c r="E332" s="211" t="str">
        <f>IFERROR(VLOOKUP($C332,'PORTIFÓLIO'!C:V,3,0),"")</f>
        <v/>
      </c>
      <c r="F332" s="211" t="str">
        <f>IFERROR(VLOOKUP($C332,'PORTIFÓLIO'!C:V,4,0),"")</f>
        <v/>
      </c>
      <c r="G332" s="215" t="str">
        <f>IFERROR(VLOOKUP($C332,'PORTIFÓLIO'!C:V,5,0),"")</f>
        <v/>
      </c>
      <c r="H332" s="254" t="str">
        <f t="array" ref="H332">IFERROR(INDEX('PORTIFÓLIO'!$H$4:$H$433,MATCH($C332,'PORTIFÓLIO'!$C$4:$C$433,0)),"")</f>
        <v/>
      </c>
      <c r="I332" s="256"/>
      <c r="J332" s="218">
        <f t="shared" si="37"/>
        <v>0</v>
      </c>
      <c r="K332" s="292" t="str">
        <f t="array" ref="K332">IFERROR(I332*INDEX('PORTIFÓLIO'!$S$4:$S$433,MATCH($C332,'PORTIFÓLIO'!$C$4:$C$433,0)),"")</f>
        <v/>
      </c>
      <c r="L332" s="292" t="str">
        <f t="array" ref="L332">IFERROR(J332*INDEX('PORTIFÓLIO'!$S$4:$S$433,MATCH($C332,'PORTIFÓLIO'!$C$4:$C$433,0)),"")</f>
        <v/>
      </c>
      <c r="M332" s="220"/>
      <c r="N332" s="220"/>
      <c r="O332" s="220"/>
      <c r="P332" s="220"/>
      <c r="Q332" s="220"/>
      <c r="R332" s="220"/>
      <c r="S332" s="220"/>
      <c r="T332" s="220"/>
      <c r="U332" s="220"/>
      <c r="V332" s="220"/>
      <c r="W332" s="220"/>
    </row>
    <row r="333" ht="15.75" customHeight="1" outlineLevel="1">
      <c r="A333" s="211"/>
      <c r="B333" s="212"/>
      <c r="C333" s="213"/>
      <c r="D333" s="214" t="str">
        <f>IFERROR(VLOOKUP($C333,'PORTIFÓLIO'!C:V,2,0),"")</f>
        <v/>
      </c>
      <c r="E333" s="211" t="str">
        <f>IFERROR(VLOOKUP($C333,'PORTIFÓLIO'!C:V,3,0),"")</f>
        <v/>
      </c>
      <c r="F333" s="211" t="str">
        <f>IFERROR(VLOOKUP($C333,'PORTIFÓLIO'!C:V,4,0),"")</f>
        <v/>
      </c>
      <c r="G333" s="215" t="str">
        <f>IFERROR(VLOOKUP($C333,'PORTIFÓLIO'!C:V,5,0),"")</f>
        <v/>
      </c>
      <c r="H333" s="254" t="str">
        <f t="array" ref="H333">IFERROR(INDEX('PORTIFÓLIO'!$H$4:$H$433,MATCH($C333,'PORTIFÓLIO'!$C$4:$C$433,0)),"")</f>
        <v/>
      </c>
      <c r="I333" s="255"/>
      <c r="J333" s="218">
        <f t="shared" si="37"/>
        <v>0</v>
      </c>
      <c r="K333" s="292" t="str">
        <f t="array" ref="K333">IFERROR(I333*INDEX('PORTIFÓLIO'!$S$4:$S$433,MATCH($C333,'PORTIFÓLIO'!$C$4:$C$433,0)),"")</f>
        <v/>
      </c>
      <c r="L333" s="292" t="str">
        <f t="array" ref="L333">IFERROR(J333*INDEX('PORTIFÓLIO'!$S$4:$S$433,MATCH($C333,'PORTIFÓLIO'!$C$4:$C$433,0)),"")</f>
        <v/>
      </c>
      <c r="M333" s="220"/>
      <c r="N333" s="220"/>
      <c r="O333" s="220"/>
      <c r="P333" s="220"/>
      <c r="Q333" s="220"/>
      <c r="R333" s="220"/>
      <c r="S333" s="220"/>
      <c r="T333" s="220"/>
      <c r="U333" s="220"/>
      <c r="V333" s="220"/>
      <c r="W333" s="220"/>
    </row>
    <row r="334" ht="15.75" customHeight="1" outlineLevel="1">
      <c r="A334" s="211"/>
      <c r="B334" s="212"/>
      <c r="C334" s="213"/>
      <c r="D334" s="214" t="str">
        <f>IFERROR(VLOOKUP($C334,'PORTIFÓLIO'!C:V,2,0),"")</f>
        <v/>
      </c>
      <c r="E334" s="211" t="str">
        <f>IFERROR(VLOOKUP($C334,'PORTIFÓLIO'!C:V,3,0),"")</f>
        <v/>
      </c>
      <c r="F334" s="211" t="str">
        <f>IFERROR(VLOOKUP($C334,'PORTIFÓLIO'!C:V,4,0),"")</f>
        <v/>
      </c>
      <c r="G334" s="215" t="str">
        <f>IFERROR(VLOOKUP($C334,'PORTIFÓLIO'!C:V,5,0),"")</f>
        <v/>
      </c>
      <c r="H334" s="254" t="str">
        <f t="array" ref="H334">IFERROR(INDEX('PORTIFÓLIO'!$H$4:$H$433,MATCH($C334,'PORTIFÓLIO'!$C$4:$C$433,0)),"")</f>
        <v/>
      </c>
      <c r="I334" s="256"/>
      <c r="J334" s="218">
        <f t="shared" si="37"/>
        <v>0</v>
      </c>
      <c r="K334" s="292" t="str">
        <f t="array" ref="K334">IFERROR(I334*INDEX('PORTIFÓLIO'!$S$4:$S$433,MATCH($C334,'PORTIFÓLIO'!$C$4:$C$433,0)),"")</f>
        <v/>
      </c>
      <c r="L334" s="292" t="str">
        <f t="array" ref="L334">IFERROR(J334*INDEX('PORTIFÓLIO'!$S$4:$S$433,MATCH($C334,'PORTIFÓLIO'!$C$4:$C$433,0)),"")</f>
        <v/>
      </c>
      <c r="M334" s="220"/>
      <c r="N334" s="220"/>
      <c r="O334" s="220"/>
      <c r="P334" s="220"/>
      <c r="Q334" s="220"/>
      <c r="R334" s="220"/>
      <c r="S334" s="220"/>
      <c r="T334" s="220"/>
      <c r="U334" s="220"/>
      <c r="V334" s="220"/>
      <c r="W334" s="220"/>
    </row>
    <row r="335" ht="15.75" customHeight="1" outlineLevel="1">
      <c r="A335" s="211"/>
      <c r="B335" s="212"/>
      <c r="C335" s="213"/>
      <c r="D335" s="214" t="str">
        <f>IFERROR(VLOOKUP($C335,'PORTIFÓLIO'!C:V,2,0),"")</f>
        <v/>
      </c>
      <c r="E335" s="211" t="str">
        <f>IFERROR(VLOOKUP($C335,'PORTIFÓLIO'!C:V,3,0),"")</f>
        <v/>
      </c>
      <c r="F335" s="211" t="str">
        <f>IFERROR(VLOOKUP($C335,'PORTIFÓLIO'!C:V,4,0),"")</f>
        <v/>
      </c>
      <c r="G335" s="215" t="str">
        <f>IFERROR(VLOOKUP($C335,'PORTIFÓLIO'!C:V,5,0),"")</f>
        <v/>
      </c>
      <c r="H335" s="254" t="str">
        <f t="array" ref="H335">IFERROR(INDEX('PORTIFÓLIO'!$H$4:$H$433,MATCH($C335,'PORTIFÓLIO'!$C$4:$C$433,0)),"")</f>
        <v/>
      </c>
      <c r="I335" s="256"/>
      <c r="J335" s="218">
        <f t="shared" si="37"/>
        <v>0</v>
      </c>
      <c r="K335" s="292" t="str">
        <f t="array" ref="K335">IFERROR(I335*INDEX('PORTIFÓLIO'!$S$4:$S$433,MATCH($C335,'PORTIFÓLIO'!$C$4:$C$433,0)),"")</f>
        <v/>
      </c>
      <c r="L335" s="292" t="str">
        <f t="array" ref="L335">IFERROR(J335*INDEX('PORTIFÓLIO'!$S$4:$S$433,MATCH($C335,'PORTIFÓLIO'!$C$4:$C$433,0)),"")</f>
        <v/>
      </c>
      <c r="M335" s="220"/>
      <c r="N335" s="220"/>
      <c r="O335" s="220"/>
      <c r="P335" s="220"/>
      <c r="Q335" s="220"/>
      <c r="R335" s="220"/>
      <c r="S335" s="220"/>
      <c r="T335" s="220"/>
      <c r="U335" s="220"/>
      <c r="V335" s="220"/>
      <c r="W335" s="220"/>
    </row>
    <row r="336" ht="15.75" customHeight="1" outlineLevel="1">
      <c r="A336" s="211"/>
      <c r="B336" s="212"/>
      <c r="C336" s="213"/>
      <c r="D336" s="214" t="str">
        <f>IFERROR(VLOOKUP($C336,'PORTIFÓLIO'!C:V,2,0),"")</f>
        <v/>
      </c>
      <c r="E336" s="211" t="str">
        <f>IFERROR(VLOOKUP($C336,'PORTIFÓLIO'!C:V,3,0),"")</f>
        <v/>
      </c>
      <c r="F336" s="211" t="str">
        <f>IFERROR(VLOOKUP($C336,'PORTIFÓLIO'!C:V,4,0),"")</f>
        <v/>
      </c>
      <c r="G336" s="215" t="str">
        <f>IFERROR(VLOOKUP($C336,'PORTIFÓLIO'!C:V,5,0),"")</f>
        <v/>
      </c>
      <c r="H336" s="254" t="str">
        <f t="array" ref="H336">IFERROR(INDEX('PORTIFÓLIO'!$H$4:$H$433,MATCH($C336,'PORTIFÓLIO'!$C$4:$C$433,0)),"")</f>
        <v/>
      </c>
      <c r="I336" s="256"/>
      <c r="J336" s="218">
        <f t="shared" si="37"/>
        <v>0</v>
      </c>
      <c r="K336" s="292" t="str">
        <f t="array" ref="K336">IFERROR(I336*INDEX('PORTIFÓLIO'!$S$4:$S$433,MATCH($C336,'PORTIFÓLIO'!$C$4:$C$433,0)),"")</f>
        <v/>
      </c>
      <c r="L336" s="292" t="str">
        <f t="array" ref="L336">IFERROR(J336*INDEX('PORTIFÓLIO'!$S$4:$S$433,MATCH($C336,'PORTIFÓLIO'!$C$4:$C$433,0)),"")</f>
        <v/>
      </c>
      <c r="M336" s="220"/>
      <c r="N336" s="220"/>
      <c r="O336" s="220"/>
      <c r="P336" s="220"/>
      <c r="Q336" s="220"/>
      <c r="R336" s="220"/>
      <c r="S336" s="220"/>
      <c r="T336" s="220"/>
      <c r="U336" s="220"/>
      <c r="V336" s="220"/>
      <c r="W336" s="220"/>
    </row>
    <row r="337" ht="15.75" customHeight="1" outlineLevel="1">
      <c r="A337" s="211"/>
      <c r="B337" s="212"/>
      <c r="C337" s="213"/>
      <c r="D337" s="214" t="str">
        <f>IFERROR(VLOOKUP($C337,'PORTIFÓLIO'!C:V,2,0),"")</f>
        <v/>
      </c>
      <c r="E337" s="211" t="str">
        <f>IFERROR(VLOOKUP($C337,'PORTIFÓLIO'!C:V,3,0),"")</f>
        <v/>
      </c>
      <c r="F337" s="211" t="str">
        <f>IFERROR(VLOOKUP($C337,'PORTIFÓLIO'!C:V,4,0),"")</f>
        <v/>
      </c>
      <c r="G337" s="215" t="str">
        <f>IFERROR(VLOOKUP($C337,'PORTIFÓLIO'!C:V,5,0),"")</f>
        <v/>
      </c>
      <c r="H337" s="254" t="str">
        <f t="array" ref="H337">IFERROR(INDEX('PORTIFÓLIO'!$H$4:$H$433,MATCH($C337,'PORTIFÓLIO'!$C$4:$C$433,0)),"")</f>
        <v/>
      </c>
      <c r="I337" s="256"/>
      <c r="J337" s="218">
        <f t="shared" si="37"/>
        <v>0</v>
      </c>
      <c r="K337" s="292" t="str">
        <f t="array" ref="K337">IFERROR(I337*INDEX('PORTIFÓLIO'!$S$4:$S$433,MATCH($C337,'PORTIFÓLIO'!$C$4:$C$433,0)),"")</f>
        <v/>
      </c>
      <c r="L337" s="292" t="str">
        <f t="array" ref="L337">IFERROR(J337*INDEX('PORTIFÓLIO'!$S$4:$S$433,MATCH($C337,'PORTIFÓLIO'!$C$4:$C$433,0)),"")</f>
        <v/>
      </c>
      <c r="M337" s="220"/>
      <c r="N337" s="220"/>
      <c r="O337" s="220"/>
      <c r="P337" s="220"/>
      <c r="Q337" s="220"/>
      <c r="R337" s="220"/>
      <c r="S337" s="220"/>
      <c r="T337" s="220"/>
      <c r="U337" s="220"/>
      <c r="V337" s="220"/>
      <c r="W337" s="220"/>
    </row>
    <row r="338" ht="15.75" customHeight="1" outlineLevel="1">
      <c r="A338" s="211"/>
      <c r="B338" s="212"/>
      <c r="C338" s="213"/>
      <c r="D338" s="214" t="str">
        <f>IFERROR(VLOOKUP($C338,'PORTIFÓLIO'!C:V,2,0),"")</f>
        <v/>
      </c>
      <c r="E338" s="211" t="str">
        <f>IFERROR(VLOOKUP($C338,'PORTIFÓLIO'!C:V,3,0),"")</f>
        <v/>
      </c>
      <c r="F338" s="211" t="str">
        <f>IFERROR(VLOOKUP($C338,'PORTIFÓLIO'!C:V,4,0),"")</f>
        <v/>
      </c>
      <c r="G338" s="215" t="str">
        <f>IFERROR(VLOOKUP($C338,'PORTIFÓLIO'!C:V,5,0),"")</f>
        <v/>
      </c>
      <c r="H338" s="254" t="str">
        <f t="array" ref="H338">IFERROR(INDEX('PORTIFÓLIO'!$H$4:$H$433,MATCH($C338,'PORTIFÓLIO'!$C$4:$C$433,0)),"")</f>
        <v/>
      </c>
      <c r="I338" s="256"/>
      <c r="J338" s="218">
        <f t="shared" si="37"/>
        <v>0</v>
      </c>
      <c r="K338" s="292" t="str">
        <f t="array" ref="K338">IFERROR(I338*INDEX('PORTIFÓLIO'!$S$4:$S$433,MATCH($C338,'PORTIFÓLIO'!$C$4:$C$433,0)),"")</f>
        <v/>
      </c>
      <c r="L338" s="292" t="str">
        <f t="array" ref="L338">IFERROR(J338*INDEX('PORTIFÓLIO'!$S$4:$S$433,MATCH($C338,'PORTIFÓLIO'!$C$4:$C$433,0)),"")</f>
        <v/>
      </c>
      <c r="M338" s="220"/>
      <c r="N338" s="220"/>
      <c r="O338" s="220"/>
      <c r="P338" s="220"/>
      <c r="Q338" s="220"/>
      <c r="R338" s="220"/>
      <c r="S338" s="220"/>
      <c r="T338" s="220"/>
      <c r="U338" s="220"/>
      <c r="V338" s="220"/>
      <c r="W338" s="220"/>
    </row>
    <row r="339" ht="15.75" customHeight="1" outlineLevel="1">
      <c r="A339" s="211"/>
      <c r="B339" s="212"/>
      <c r="C339" s="213"/>
      <c r="D339" s="214" t="str">
        <f>IFERROR(VLOOKUP($C339,'PORTIFÓLIO'!C:V,2,0),"")</f>
        <v/>
      </c>
      <c r="E339" s="211" t="str">
        <f>IFERROR(VLOOKUP($C339,'PORTIFÓLIO'!C:V,3,0),"")</f>
        <v/>
      </c>
      <c r="F339" s="211" t="str">
        <f>IFERROR(VLOOKUP($C339,'PORTIFÓLIO'!C:V,4,0),"")</f>
        <v/>
      </c>
      <c r="G339" s="215" t="str">
        <f>IFERROR(VLOOKUP($C339,'PORTIFÓLIO'!C:V,5,0),"")</f>
        <v/>
      </c>
      <c r="H339" s="254" t="str">
        <f t="array" ref="H339">IFERROR(INDEX('PORTIFÓLIO'!$H$4:$H$433,MATCH($C339,'PORTIFÓLIO'!$C$4:$C$433,0)),"")</f>
        <v/>
      </c>
      <c r="I339" s="256"/>
      <c r="J339" s="218">
        <f t="shared" si="37"/>
        <v>0</v>
      </c>
      <c r="K339" s="292" t="str">
        <f t="array" ref="K339">IFERROR(I339*INDEX('PORTIFÓLIO'!$S$4:$S$433,MATCH($C339,'PORTIFÓLIO'!$C$4:$C$433,0)),"")</f>
        <v/>
      </c>
      <c r="L339" s="292" t="str">
        <f t="array" ref="L339">IFERROR(J339*INDEX('PORTIFÓLIO'!$S$4:$S$433,MATCH($C339,'PORTIFÓLIO'!$C$4:$C$433,0)),"")</f>
        <v/>
      </c>
      <c r="M339" s="220"/>
      <c r="N339" s="220"/>
      <c r="O339" s="220"/>
      <c r="P339" s="220"/>
      <c r="Q339" s="220"/>
      <c r="R339" s="220"/>
      <c r="S339" s="220"/>
      <c r="T339" s="220"/>
      <c r="U339" s="220"/>
      <c r="V339" s="220"/>
      <c r="W339" s="220"/>
    </row>
    <row r="340" ht="15.75" customHeight="1" outlineLevel="1">
      <c r="A340" s="211"/>
      <c r="B340" s="227"/>
      <c r="C340" s="211"/>
      <c r="D340" s="214" t="str">
        <f>IFERROR(VLOOKUP($C340,'PORTIFÓLIO'!C:V,2,0),"")</f>
        <v/>
      </c>
      <c r="E340" s="211" t="str">
        <f>IFERROR(VLOOKUP($C340,'PORTIFÓLIO'!C:V,3,0),"")</f>
        <v/>
      </c>
      <c r="F340" s="211" t="str">
        <f>IFERROR(VLOOKUP($C340,'PORTIFÓLIO'!C:V,4,0),"")</f>
        <v/>
      </c>
      <c r="G340" s="215" t="str">
        <f>IFERROR(VLOOKUP($C340,'PORTIFÓLIO'!C:V,5,0),"")</f>
        <v/>
      </c>
      <c r="H340" s="254" t="str">
        <f t="array" ref="H340">IFERROR(INDEX('PORTIFÓLIO'!$H$4:$H$433,MATCH($C340,'PORTIFÓLIO'!$C$4:$C$433,0)),"")</f>
        <v/>
      </c>
      <c r="I340" s="256"/>
      <c r="J340" s="218"/>
      <c r="K340" s="292" t="str">
        <f t="array" ref="K340">IFERROR(I340*INDEX('PORTIFÓLIO'!$S$4:$S$433,MATCH($C340,'PORTIFÓLIO'!$C$4:$C$433,0)),"")</f>
        <v/>
      </c>
      <c r="L340" s="292" t="str">
        <f t="array" ref="L340">IFERROR(J340*INDEX('PORTIFÓLIO'!$S$4:$S$433,MATCH($C340,'PORTIFÓLIO'!$C$4:$C$433,0)),"")</f>
        <v/>
      </c>
      <c r="M340" s="220"/>
      <c r="N340" s="220"/>
      <c r="O340" s="220"/>
      <c r="P340" s="220"/>
      <c r="Q340" s="220"/>
      <c r="R340" s="220"/>
      <c r="S340" s="220"/>
      <c r="T340" s="220"/>
      <c r="U340" s="220"/>
      <c r="V340" s="220"/>
      <c r="W340" s="220"/>
    </row>
    <row r="341" ht="15.75" customHeight="1">
      <c r="A341" s="229" t="s">
        <v>1190</v>
      </c>
      <c r="B341" s="230"/>
      <c r="C341" s="231"/>
      <c r="D341" s="232"/>
      <c r="E341" s="231"/>
      <c r="F341" s="231"/>
      <c r="G341" s="233"/>
      <c r="H341" s="233"/>
      <c r="I341" s="258"/>
      <c r="J341" s="236"/>
      <c r="K341" s="237">
        <f t="shared" ref="K341:L341" si="38">SUBTOTAL(9,K342:K355)</f>
        <v>0</v>
      </c>
      <c r="L341" s="237">
        <f t="shared" si="38"/>
        <v>0</v>
      </c>
      <c r="M341" s="220"/>
      <c r="N341" s="220"/>
      <c r="O341" s="220"/>
      <c r="P341" s="220"/>
      <c r="Q341" s="220"/>
      <c r="R341" s="220"/>
      <c r="S341" s="220"/>
      <c r="T341" s="220"/>
      <c r="U341" s="220"/>
      <c r="V341" s="220"/>
      <c r="W341" s="220"/>
    </row>
    <row r="342" ht="15.75" customHeight="1" outlineLevel="1">
      <c r="A342" s="213"/>
      <c r="B342" s="212"/>
      <c r="C342" s="213"/>
      <c r="D342" s="214" t="str">
        <f>IFERROR(VLOOKUP($C342,'PORTIFÓLIO'!C:V,2,0),"")</f>
        <v/>
      </c>
      <c r="E342" s="211" t="str">
        <f>IFERROR(VLOOKUP($C342,'PORTIFÓLIO'!C:V,3,0),"")</f>
        <v/>
      </c>
      <c r="F342" s="211" t="str">
        <f>IFERROR(VLOOKUP($C342,'PORTIFÓLIO'!C:V,4,0),"")</f>
        <v/>
      </c>
      <c r="G342" s="215" t="str">
        <f>IFERROR(VLOOKUP($C342,'PORTIFÓLIO'!C:V,5,0),"")</f>
        <v/>
      </c>
      <c r="H342" s="254" t="str">
        <f t="array" ref="H342">IFERROR(INDEX('PORTIFÓLIO'!$H$4:$H$433,MATCH($C342,'PORTIFÓLIO'!$C$4:$C$433,0)),"")</f>
        <v/>
      </c>
      <c r="I342" s="255"/>
      <c r="J342" s="218">
        <f t="shared" ref="J342:J356" si="39">I342*$B$2</f>
        <v>0</v>
      </c>
      <c r="K342" s="292" t="str">
        <f t="array" ref="K342">IFERROR(I342*INDEX('PORTIFÓLIO'!$S$4:$S$433,MATCH($C342,'PORTIFÓLIO'!$C$4:$C$433,0)),"")</f>
        <v/>
      </c>
      <c r="L342" s="292" t="str">
        <f t="array" ref="L342">IFERROR(J342*INDEX('PORTIFÓLIO'!$S$4:$S$433,MATCH($C342,'PORTIFÓLIO'!$C$4:$C$433,0)),"")</f>
        <v/>
      </c>
      <c r="M342" s="220"/>
      <c r="N342" s="220"/>
      <c r="O342" s="220"/>
      <c r="P342" s="220"/>
      <c r="Q342" s="220"/>
      <c r="R342" s="220"/>
      <c r="S342" s="220"/>
      <c r="T342" s="220"/>
      <c r="U342" s="220"/>
      <c r="V342" s="220"/>
      <c r="W342" s="220"/>
    </row>
    <row r="343" ht="15.75" customHeight="1" outlineLevel="1">
      <c r="A343" s="211"/>
      <c r="B343" s="212"/>
      <c r="C343" s="213"/>
      <c r="D343" s="214" t="str">
        <f>IFERROR(VLOOKUP($C343,'PORTIFÓLIO'!C:V,2,0),"")</f>
        <v/>
      </c>
      <c r="E343" s="211" t="str">
        <f>IFERROR(VLOOKUP($C343,'PORTIFÓLIO'!C:V,3,0),"")</f>
        <v/>
      </c>
      <c r="F343" s="211" t="str">
        <f>IFERROR(VLOOKUP($C343,'PORTIFÓLIO'!C:V,4,0),"")</f>
        <v/>
      </c>
      <c r="G343" s="215" t="str">
        <f>IFERROR(VLOOKUP($C343,'PORTIFÓLIO'!C:V,5,0),"")</f>
        <v/>
      </c>
      <c r="H343" s="254" t="str">
        <f t="array" ref="H343">IFERROR(INDEX('PORTIFÓLIO'!$H$4:$H$433,MATCH($C343,'PORTIFÓLIO'!$C$4:$C$433,0)),"")</f>
        <v/>
      </c>
      <c r="I343" s="256"/>
      <c r="J343" s="218">
        <f t="shared" si="39"/>
        <v>0</v>
      </c>
      <c r="K343" s="292" t="str">
        <f t="array" ref="K343">IFERROR(I343*INDEX('PORTIFÓLIO'!$S$4:$S$433,MATCH($C343,'PORTIFÓLIO'!$C$4:$C$433,0)),"")</f>
        <v/>
      </c>
      <c r="L343" s="292" t="str">
        <f t="array" ref="L343">IFERROR(J343*INDEX('PORTIFÓLIO'!$S$4:$S$433,MATCH($C343,'PORTIFÓLIO'!$C$4:$C$433,0)),"")</f>
        <v/>
      </c>
      <c r="M343" s="220"/>
      <c r="N343" s="220"/>
      <c r="O343" s="220"/>
      <c r="P343" s="220"/>
      <c r="Q343" s="220"/>
      <c r="R343" s="220"/>
      <c r="S343" s="220"/>
      <c r="T343" s="220"/>
      <c r="U343" s="220"/>
      <c r="V343" s="220"/>
      <c r="W343" s="220"/>
    </row>
    <row r="344" ht="15.75" customHeight="1" outlineLevel="1">
      <c r="A344" s="211"/>
      <c r="B344" s="212"/>
      <c r="C344" s="213"/>
      <c r="D344" s="214" t="str">
        <f>IFERROR(VLOOKUP($C344,'PORTIFÓLIO'!C:V,2,0),"")</f>
        <v/>
      </c>
      <c r="E344" s="211" t="str">
        <f>IFERROR(VLOOKUP($C344,'PORTIFÓLIO'!C:V,3,0),"")</f>
        <v/>
      </c>
      <c r="F344" s="211" t="str">
        <f>IFERROR(VLOOKUP($C344,'PORTIFÓLIO'!C:V,4,0),"")</f>
        <v/>
      </c>
      <c r="G344" s="215" t="str">
        <f>IFERROR(VLOOKUP($C344,'PORTIFÓLIO'!C:V,5,0),"")</f>
        <v/>
      </c>
      <c r="H344" s="254" t="str">
        <f t="array" ref="H344">IFERROR(INDEX('PORTIFÓLIO'!$H$4:$H$433,MATCH($C344,'PORTIFÓLIO'!$C$4:$C$433,0)),"")</f>
        <v/>
      </c>
      <c r="I344" s="256"/>
      <c r="J344" s="218">
        <f t="shared" si="39"/>
        <v>0</v>
      </c>
      <c r="K344" s="292" t="str">
        <f t="array" ref="K344">IFERROR(I344*INDEX('PORTIFÓLIO'!$S$4:$S$433,MATCH($C344,'PORTIFÓLIO'!$C$4:$C$433,0)),"")</f>
        <v/>
      </c>
      <c r="L344" s="292" t="str">
        <f t="array" ref="L344">IFERROR(J344*INDEX('PORTIFÓLIO'!$S$4:$S$433,MATCH($C344,'PORTIFÓLIO'!$C$4:$C$433,0)),"")</f>
        <v/>
      </c>
      <c r="M344" s="220"/>
      <c r="N344" s="220"/>
      <c r="O344" s="220"/>
      <c r="P344" s="220"/>
      <c r="Q344" s="220"/>
      <c r="R344" s="220"/>
      <c r="S344" s="220"/>
      <c r="T344" s="220"/>
      <c r="U344" s="220"/>
      <c r="V344" s="220"/>
      <c r="W344" s="220"/>
    </row>
    <row r="345" ht="15.75" customHeight="1" outlineLevel="1">
      <c r="A345" s="211"/>
      <c r="B345" s="212"/>
      <c r="C345" s="213"/>
      <c r="D345" s="214" t="str">
        <f>IFERROR(VLOOKUP($C345,'PORTIFÓLIO'!C:V,2,0),"")</f>
        <v/>
      </c>
      <c r="E345" s="211" t="str">
        <f>IFERROR(VLOOKUP($C345,'PORTIFÓLIO'!C:V,3,0),"")</f>
        <v/>
      </c>
      <c r="F345" s="211" t="str">
        <f>IFERROR(VLOOKUP($C345,'PORTIFÓLIO'!C:V,4,0),"")</f>
        <v/>
      </c>
      <c r="G345" s="215" t="str">
        <f>IFERROR(VLOOKUP($C345,'PORTIFÓLIO'!C:V,5,0),"")</f>
        <v/>
      </c>
      <c r="H345" s="254" t="str">
        <f t="array" ref="H345">IFERROR(INDEX('PORTIFÓLIO'!$H$4:$H$433,MATCH($C345,'PORTIFÓLIO'!$C$4:$C$433,0)),"")</f>
        <v/>
      </c>
      <c r="I345" s="256"/>
      <c r="J345" s="218">
        <f t="shared" si="39"/>
        <v>0</v>
      </c>
      <c r="K345" s="292" t="str">
        <f t="array" ref="K345">IFERROR(I345*INDEX('PORTIFÓLIO'!$S$4:$S$433,MATCH($C345,'PORTIFÓLIO'!$C$4:$C$433,0)),"")</f>
        <v/>
      </c>
      <c r="L345" s="292" t="str">
        <f t="array" ref="L345">IFERROR(J345*INDEX('PORTIFÓLIO'!$S$4:$S$433,MATCH($C345,'PORTIFÓLIO'!$C$4:$C$433,0)),"")</f>
        <v/>
      </c>
      <c r="M345" s="220"/>
      <c r="N345" s="220"/>
      <c r="O345" s="220"/>
      <c r="P345" s="220"/>
      <c r="Q345" s="220"/>
      <c r="R345" s="220"/>
      <c r="S345" s="220"/>
      <c r="T345" s="220"/>
      <c r="U345" s="220"/>
      <c r="V345" s="220"/>
      <c r="W345" s="220"/>
    </row>
    <row r="346" ht="15.75" customHeight="1" outlineLevel="1">
      <c r="A346" s="211"/>
      <c r="B346" s="212"/>
      <c r="C346" s="213"/>
      <c r="D346" s="214" t="str">
        <f>IFERROR(VLOOKUP($C346,'PORTIFÓLIO'!C:V,2,0),"")</f>
        <v/>
      </c>
      <c r="E346" s="211" t="str">
        <f>IFERROR(VLOOKUP($C346,'PORTIFÓLIO'!C:V,3,0),"")</f>
        <v/>
      </c>
      <c r="F346" s="211" t="str">
        <f>IFERROR(VLOOKUP($C346,'PORTIFÓLIO'!C:V,4,0),"")</f>
        <v/>
      </c>
      <c r="G346" s="215" t="str">
        <f>IFERROR(VLOOKUP($C346,'PORTIFÓLIO'!C:V,5,0),"")</f>
        <v/>
      </c>
      <c r="H346" s="254" t="str">
        <f t="array" ref="H346">IFERROR(INDEX('PORTIFÓLIO'!$H$4:$H$433,MATCH($C346,'PORTIFÓLIO'!$C$4:$C$433,0)),"")</f>
        <v/>
      </c>
      <c r="I346" s="256"/>
      <c r="J346" s="218">
        <f t="shared" si="39"/>
        <v>0</v>
      </c>
      <c r="K346" s="292" t="str">
        <f t="array" ref="K346">IFERROR(I346*INDEX('PORTIFÓLIO'!$S$4:$S$433,MATCH($C346,'PORTIFÓLIO'!$C$4:$C$433,0)),"")</f>
        <v/>
      </c>
      <c r="L346" s="292" t="str">
        <f t="array" ref="L346">IFERROR(J346*INDEX('PORTIFÓLIO'!$S$4:$S$433,MATCH($C346,'PORTIFÓLIO'!$C$4:$C$433,0)),"")</f>
        <v/>
      </c>
      <c r="M346" s="220"/>
      <c r="N346" s="220"/>
      <c r="O346" s="220"/>
      <c r="P346" s="220"/>
      <c r="Q346" s="220"/>
      <c r="R346" s="220"/>
      <c r="S346" s="220"/>
      <c r="T346" s="220"/>
      <c r="U346" s="220"/>
      <c r="V346" s="220"/>
      <c r="W346" s="220"/>
    </row>
    <row r="347" ht="15.75" customHeight="1" outlineLevel="1">
      <c r="A347" s="211"/>
      <c r="B347" s="212"/>
      <c r="C347" s="213"/>
      <c r="D347" s="214" t="str">
        <f>IFERROR(VLOOKUP($C347,'PORTIFÓLIO'!C:V,2,0),"")</f>
        <v/>
      </c>
      <c r="E347" s="211" t="str">
        <f>IFERROR(VLOOKUP($C347,'PORTIFÓLIO'!C:V,3,0),"")</f>
        <v/>
      </c>
      <c r="F347" s="211" t="str">
        <f>IFERROR(VLOOKUP($C347,'PORTIFÓLIO'!C:V,4,0),"")</f>
        <v/>
      </c>
      <c r="G347" s="215" t="str">
        <f>IFERROR(VLOOKUP($C347,'PORTIFÓLIO'!C:V,5,0),"")</f>
        <v/>
      </c>
      <c r="H347" s="254" t="str">
        <f t="array" ref="H347">IFERROR(INDEX('PORTIFÓLIO'!$H$4:$H$433,MATCH($C347,'PORTIFÓLIO'!$C$4:$C$433,0)),"")</f>
        <v/>
      </c>
      <c r="I347" s="256"/>
      <c r="J347" s="218">
        <f t="shared" si="39"/>
        <v>0</v>
      </c>
      <c r="K347" s="292" t="str">
        <f t="array" ref="K347">IFERROR(I347*INDEX('PORTIFÓLIO'!$S$4:$S$433,MATCH($C347,'PORTIFÓLIO'!$C$4:$C$433,0)),"")</f>
        <v/>
      </c>
      <c r="L347" s="292" t="str">
        <f t="array" ref="L347">IFERROR(J347*INDEX('PORTIFÓLIO'!$S$4:$S$433,MATCH($C347,'PORTIFÓLIO'!$C$4:$C$433,0)),"")</f>
        <v/>
      </c>
      <c r="M347" s="220"/>
      <c r="N347" s="220"/>
      <c r="O347" s="220"/>
      <c r="P347" s="220"/>
      <c r="Q347" s="220"/>
      <c r="R347" s="220"/>
      <c r="S347" s="220"/>
      <c r="T347" s="220"/>
      <c r="U347" s="220"/>
      <c r="V347" s="220"/>
      <c r="W347" s="220"/>
    </row>
    <row r="348" ht="15.75" customHeight="1" outlineLevel="1">
      <c r="A348" s="211"/>
      <c r="B348" s="212"/>
      <c r="C348" s="213"/>
      <c r="D348" s="214" t="str">
        <f>IFERROR(VLOOKUP($C348,'PORTIFÓLIO'!C:V,2,0),"")</f>
        <v/>
      </c>
      <c r="E348" s="211" t="str">
        <f>IFERROR(VLOOKUP($C348,'PORTIFÓLIO'!C:V,3,0),"")</f>
        <v/>
      </c>
      <c r="F348" s="211" t="str">
        <f>IFERROR(VLOOKUP($C348,'PORTIFÓLIO'!C:V,4,0),"")</f>
        <v/>
      </c>
      <c r="G348" s="215" t="str">
        <f>IFERROR(VLOOKUP($C348,'PORTIFÓLIO'!C:V,5,0),"")</f>
        <v/>
      </c>
      <c r="H348" s="254" t="str">
        <f t="array" ref="H348">IFERROR(INDEX('PORTIFÓLIO'!$H$4:$H$433,MATCH($C348,'PORTIFÓLIO'!$C$4:$C$433,0)),"")</f>
        <v/>
      </c>
      <c r="I348" s="256"/>
      <c r="J348" s="218">
        <f t="shared" si="39"/>
        <v>0</v>
      </c>
      <c r="K348" s="292" t="str">
        <f t="array" ref="K348">IFERROR(I348*INDEX('PORTIFÓLIO'!$S$4:$S$433,MATCH($C348,'PORTIFÓLIO'!$C$4:$C$433,0)),"")</f>
        <v/>
      </c>
      <c r="L348" s="292" t="str">
        <f t="array" ref="L348">IFERROR(J348*INDEX('PORTIFÓLIO'!$S$4:$S$433,MATCH($C348,'PORTIFÓLIO'!$C$4:$C$433,0)),"")</f>
        <v/>
      </c>
      <c r="M348" s="220"/>
      <c r="N348" s="220"/>
      <c r="O348" s="220"/>
      <c r="P348" s="220"/>
      <c r="Q348" s="220"/>
      <c r="R348" s="220"/>
      <c r="S348" s="220"/>
      <c r="T348" s="220"/>
      <c r="U348" s="220"/>
      <c r="V348" s="220"/>
      <c r="W348" s="220"/>
    </row>
    <row r="349" ht="15.75" customHeight="1" outlineLevel="1">
      <c r="A349" s="211"/>
      <c r="B349" s="212"/>
      <c r="C349" s="213"/>
      <c r="D349" s="214" t="str">
        <f>IFERROR(VLOOKUP($C349,'PORTIFÓLIO'!C:V,2,0),"")</f>
        <v/>
      </c>
      <c r="E349" s="211" t="str">
        <f>IFERROR(VLOOKUP($C349,'PORTIFÓLIO'!C:V,3,0),"")</f>
        <v/>
      </c>
      <c r="F349" s="211" t="str">
        <f>IFERROR(VLOOKUP($C349,'PORTIFÓLIO'!C:V,4,0),"")</f>
        <v/>
      </c>
      <c r="G349" s="215" t="str">
        <f>IFERROR(VLOOKUP($C349,'PORTIFÓLIO'!C:V,5,0),"")</f>
        <v/>
      </c>
      <c r="H349" s="254" t="str">
        <f t="array" ref="H349">IFERROR(INDEX('PORTIFÓLIO'!$H$4:$H$433,MATCH($C349,'PORTIFÓLIO'!$C$4:$C$433,0)),"")</f>
        <v/>
      </c>
      <c r="I349" s="256"/>
      <c r="J349" s="218">
        <f t="shared" si="39"/>
        <v>0</v>
      </c>
      <c r="K349" s="292" t="str">
        <f t="array" ref="K349">IFERROR(I349*INDEX('PORTIFÓLIO'!$S$4:$S$433,MATCH($C349,'PORTIFÓLIO'!$C$4:$C$433,0)),"")</f>
        <v/>
      </c>
      <c r="L349" s="292" t="str">
        <f t="array" ref="L349">IFERROR(J349*INDEX('PORTIFÓLIO'!$S$4:$S$433,MATCH($C349,'PORTIFÓLIO'!$C$4:$C$433,0)),"")</f>
        <v/>
      </c>
      <c r="M349" s="220"/>
      <c r="N349" s="220"/>
      <c r="O349" s="220"/>
      <c r="P349" s="220"/>
      <c r="Q349" s="220"/>
      <c r="R349" s="220"/>
      <c r="S349" s="220"/>
      <c r="T349" s="220"/>
      <c r="U349" s="220"/>
      <c r="V349" s="220"/>
      <c r="W349" s="220"/>
    </row>
    <row r="350" ht="15.75" customHeight="1" outlineLevel="1">
      <c r="A350" s="211"/>
      <c r="B350" s="212"/>
      <c r="C350" s="213"/>
      <c r="D350" s="214" t="str">
        <f>IFERROR(VLOOKUP($C350,'PORTIFÓLIO'!C:V,2,0),"")</f>
        <v/>
      </c>
      <c r="E350" s="211" t="str">
        <f>IFERROR(VLOOKUP($C350,'PORTIFÓLIO'!C:V,3,0),"")</f>
        <v/>
      </c>
      <c r="F350" s="211" t="str">
        <f>IFERROR(VLOOKUP($C350,'PORTIFÓLIO'!C:V,4,0),"")</f>
        <v/>
      </c>
      <c r="G350" s="215" t="str">
        <f>IFERROR(VLOOKUP($C350,'PORTIFÓLIO'!C:V,5,0),"")</f>
        <v/>
      </c>
      <c r="H350" s="254" t="str">
        <f t="array" ref="H350">IFERROR(INDEX('PORTIFÓLIO'!$H$4:$H$433,MATCH($C350,'PORTIFÓLIO'!$C$4:$C$433,0)),"")</f>
        <v/>
      </c>
      <c r="I350" s="255"/>
      <c r="J350" s="218">
        <f t="shared" si="39"/>
        <v>0</v>
      </c>
      <c r="K350" s="292" t="str">
        <f t="array" ref="K350">IFERROR(I350*INDEX('PORTIFÓLIO'!$S$4:$S$433,MATCH($C350,'PORTIFÓLIO'!$C$4:$C$433,0)),"")</f>
        <v/>
      </c>
      <c r="L350" s="292" t="str">
        <f t="array" ref="L350">IFERROR(J350*INDEX('PORTIFÓLIO'!$S$4:$S$433,MATCH($C350,'PORTIFÓLIO'!$C$4:$C$433,0)),"")</f>
        <v/>
      </c>
      <c r="M350" s="220"/>
      <c r="N350" s="220"/>
      <c r="O350" s="220"/>
      <c r="P350" s="220"/>
      <c r="Q350" s="220"/>
      <c r="R350" s="220"/>
      <c r="S350" s="220"/>
      <c r="T350" s="220"/>
      <c r="U350" s="220"/>
      <c r="V350" s="220"/>
      <c r="W350" s="220"/>
    </row>
    <row r="351" ht="15.75" customHeight="1" outlineLevel="1">
      <c r="A351" s="211"/>
      <c r="B351" s="212"/>
      <c r="C351" s="213"/>
      <c r="D351" s="214" t="str">
        <f>IFERROR(VLOOKUP($C351,'PORTIFÓLIO'!C:V,2,0),"")</f>
        <v/>
      </c>
      <c r="E351" s="211" t="str">
        <f>IFERROR(VLOOKUP($C351,'PORTIFÓLIO'!C:V,3,0),"")</f>
        <v/>
      </c>
      <c r="F351" s="211" t="str">
        <f>IFERROR(VLOOKUP($C351,'PORTIFÓLIO'!C:V,4,0),"")</f>
        <v/>
      </c>
      <c r="G351" s="215" t="str">
        <f>IFERROR(VLOOKUP($C351,'PORTIFÓLIO'!C:V,5,0),"")</f>
        <v/>
      </c>
      <c r="H351" s="254" t="str">
        <f t="array" ref="H351">IFERROR(INDEX('PORTIFÓLIO'!$H$4:$H$433,MATCH($C351,'PORTIFÓLIO'!$C$4:$C$433,0)),"")</f>
        <v/>
      </c>
      <c r="I351" s="256"/>
      <c r="J351" s="218">
        <f t="shared" si="39"/>
        <v>0</v>
      </c>
      <c r="K351" s="292" t="str">
        <f t="array" ref="K351">IFERROR(I351*INDEX('PORTIFÓLIO'!$S$4:$S$433,MATCH($C351,'PORTIFÓLIO'!$C$4:$C$433,0)),"")</f>
        <v/>
      </c>
      <c r="L351" s="292" t="str">
        <f t="array" ref="L351">IFERROR(J351*INDEX('PORTIFÓLIO'!$S$4:$S$433,MATCH($C351,'PORTIFÓLIO'!$C$4:$C$433,0)),"")</f>
        <v/>
      </c>
      <c r="M351" s="220"/>
      <c r="N351" s="220"/>
      <c r="O351" s="220"/>
      <c r="P351" s="220"/>
      <c r="Q351" s="220"/>
      <c r="R351" s="220"/>
      <c r="S351" s="220"/>
      <c r="T351" s="220"/>
      <c r="U351" s="220"/>
      <c r="V351" s="220"/>
      <c r="W351" s="220"/>
    </row>
    <row r="352" ht="15.75" customHeight="1" outlineLevel="1">
      <c r="A352" s="211"/>
      <c r="B352" s="212"/>
      <c r="C352" s="213"/>
      <c r="D352" s="214" t="str">
        <f>IFERROR(VLOOKUP($C352,'PORTIFÓLIO'!C:V,2,0),"")</f>
        <v/>
      </c>
      <c r="E352" s="211" t="str">
        <f>IFERROR(VLOOKUP($C352,'PORTIFÓLIO'!C:V,3,0),"")</f>
        <v/>
      </c>
      <c r="F352" s="211" t="str">
        <f>IFERROR(VLOOKUP($C352,'PORTIFÓLIO'!C:V,4,0),"")</f>
        <v/>
      </c>
      <c r="G352" s="215" t="str">
        <f>IFERROR(VLOOKUP($C352,'PORTIFÓLIO'!C:V,5,0),"")</f>
        <v/>
      </c>
      <c r="H352" s="254" t="str">
        <f t="array" ref="H352">IFERROR(INDEX('PORTIFÓLIO'!$H$4:$H$433,MATCH($C352,'PORTIFÓLIO'!$C$4:$C$433,0)),"")</f>
        <v/>
      </c>
      <c r="I352" s="256"/>
      <c r="J352" s="218">
        <f t="shared" si="39"/>
        <v>0</v>
      </c>
      <c r="K352" s="292" t="str">
        <f t="array" ref="K352">IFERROR(I352*INDEX('PORTIFÓLIO'!$S$4:$S$433,MATCH($C352,'PORTIFÓLIO'!$C$4:$C$433,0)),"")</f>
        <v/>
      </c>
      <c r="L352" s="292" t="str">
        <f t="array" ref="L352">IFERROR(J352*INDEX('PORTIFÓLIO'!$S$4:$S$433,MATCH($C352,'PORTIFÓLIO'!$C$4:$C$433,0)),"")</f>
        <v/>
      </c>
      <c r="M352" s="220"/>
      <c r="N352" s="220"/>
      <c r="O352" s="220"/>
      <c r="P352" s="220"/>
      <c r="Q352" s="220"/>
      <c r="R352" s="220"/>
      <c r="S352" s="220"/>
      <c r="T352" s="220"/>
      <c r="U352" s="220"/>
      <c r="V352" s="220"/>
      <c r="W352" s="220"/>
    </row>
    <row r="353" ht="15.75" customHeight="1" outlineLevel="1">
      <c r="A353" s="211"/>
      <c r="B353" s="212"/>
      <c r="C353" s="213"/>
      <c r="D353" s="214" t="str">
        <f>IFERROR(VLOOKUP($C353,'PORTIFÓLIO'!C:V,2,0),"")</f>
        <v/>
      </c>
      <c r="E353" s="211" t="str">
        <f>IFERROR(VLOOKUP($C353,'PORTIFÓLIO'!C:V,3,0),"")</f>
        <v/>
      </c>
      <c r="F353" s="211" t="str">
        <f>IFERROR(VLOOKUP($C353,'PORTIFÓLIO'!C:V,4,0),"")</f>
        <v/>
      </c>
      <c r="G353" s="215" t="str">
        <f>IFERROR(VLOOKUP($C353,'PORTIFÓLIO'!C:V,5,0),"")</f>
        <v/>
      </c>
      <c r="H353" s="254" t="str">
        <f t="array" ref="H353">IFERROR(INDEX('PORTIFÓLIO'!$H$4:$H$433,MATCH($C353,'PORTIFÓLIO'!$C$4:$C$433,0)),"")</f>
        <v/>
      </c>
      <c r="I353" s="256"/>
      <c r="J353" s="218">
        <f t="shared" si="39"/>
        <v>0</v>
      </c>
      <c r="K353" s="292" t="str">
        <f t="array" ref="K353">IFERROR(I353*INDEX('PORTIFÓLIO'!$S$4:$S$433,MATCH($C353,'PORTIFÓLIO'!$C$4:$C$433,0)),"")</f>
        <v/>
      </c>
      <c r="L353" s="292" t="str">
        <f t="array" ref="L353">IFERROR(J353*INDEX('PORTIFÓLIO'!$S$4:$S$433,MATCH($C353,'PORTIFÓLIO'!$C$4:$C$433,0)),"")</f>
        <v/>
      </c>
      <c r="M353" s="220"/>
      <c r="N353" s="220"/>
      <c r="O353" s="220"/>
      <c r="P353" s="220"/>
      <c r="Q353" s="220"/>
      <c r="R353" s="220"/>
      <c r="S353" s="220"/>
      <c r="T353" s="220"/>
      <c r="U353" s="220"/>
      <c r="V353" s="220"/>
      <c r="W353" s="220"/>
    </row>
    <row r="354" ht="15.75" customHeight="1" outlineLevel="1">
      <c r="A354" s="211"/>
      <c r="B354" s="212"/>
      <c r="C354" s="213"/>
      <c r="D354" s="214" t="str">
        <f>IFERROR(VLOOKUP($C354,'PORTIFÓLIO'!C:V,2,0),"")</f>
        <v/>
      </c>
      <c r="E354" s="211" t="str">
        <f>IFERROR(VLOOKUP($C354,'PORTIFÓLIO'!C:V,3,0),"")</f>
        <v/>
      </c>
      <c r="F354" s="211" t="str">
        <f>IFERROR(VLOOKUP($C354,'PORTIFÓLIO'!C:V,4,0),"")</f>
        <v/>
      </c>
      <c r="G354" s="215" t="str">
        <f>IFERROR(VLOOKUP($C354,'PORTIFÓLIO'!C:V,5,0),"")</f>
        <v/>
      </c>
      <c r="H354" s="254" t="str">
        <f t="array" ref="H354">IFERROR(INDEX('PORTIFÓLIO'!$H$4:$H$433,MATCH($C354,'PORTIFÓLIO'!$C$4:$C$433,0)),"")</f>
        <v/>
      </c>
      <c r="I354" s="256"/>
      <c r="J354" s="218">
        <f t="shared" si="39"/>
        <v>0</v>
      </c>
      <c r="K354" s="292" t="str">
        <f t="array" ref="K354">IFERROR(I354*INDEX('PORTIFÓLIO'!$S$4:$S$433,MATCH($C354,'PORTIFÓLIO'!$C$4:$C$433,0)),"")</f>
        <v/>
      </c>
      <c r="L354" s="292" t="str">
        <f t="array" ref="L354">IFERROR(J354*INDEX('PORTIFÓLIO'!$S$4:$S$433,MATCH($C354,'PORTIFÓLIO'!$C$4:$C$433,0)),"")</f>
        <v/>
      </c>
      <c r="M354" s="220"/>
      <c r="N354" s="220"/>
      <c r="O354" s="220"/>
      <c r="P354" s="220"/>
      <c r="Q354" s="220"/>
      <c r="R354" s="220"/>
      <c r="S354" s="220"/>
      <c r="T354" s="220"/>
      <c r="U354" s="220"/>
      <c r="V354" s="220"/>
      <c r="W354" s="220"/>
    </row>
    <row r="355" ht="15.75" customHeight="1" outlineLevel="1">
      <c r="A355" s="211"/>
      <c r="B355" s="212"/>
      <c r="C355" s="213"/>
      <c r="D355" s="214" t="str">
        <f>IFERROR(VLOOKUP($C355,'PORTIFÓLIO'!C:V,2,0),"")</f>
        <v/>
      </c>
      <c r="E355" s="211" t="str">
        <f>IFERROR(VLOOKUP($C355,'PORTIFÓLIO'!C:V,3,0),"")</f>
        <v/>
      </c>
      <c r="F355" s="211" t="str">
        <f>IFERROR(VLOOKUP($C355,'PORTIFÓLIO'!C:V,4,0),"")</f>
        <v/>
      </c>
      <c r="G355" s="215" t="str">
        <f>IFERROR(VLOOKUP($C355,'PORTIFÓLIO'!C:V,5,0),"")</f>
        <v/>
      </c>
      <c r="H355" s="254" t="str">
        <f t="array" ref="H355">IFERROR(INDEX('PORTIFÓLIO'!$H$4:$H$433,MATCH($C355,'PORTIFÓLIO'!$C$4:$C$433,0)),"")</f>
        <v/>
      </c>
      <c r="I355" s="256"/>
      <c r="J355" s="218">
        <f t="shared" si="39"/>
        <v>0</v>
      </c>
      <c r="K355" s="292" t="str">
        <f t="array" ref="K355">IFERROR(I355*INDEX('PORTIFÓLIO'!$S$4:$S$433,MATCH($C355,'PORTIFÓLIO'!$C$4:$C$433,0)),"")</f>
        <v/>
      </c>
      <c r="L355" s="292" t="str">
        <f t="array" ref="L355">IFERROR(J355*INDEX('PORTIFÓLIO'!$S$4:$S$433,MATCH($C355,'PORTIFÓLIO'!$C$4:$C$433,0)),"")</f>
        <v/>
      </c>
      <c r="M355" s="220"/>
      <c r="N355" s="220"/>
      <c r="O355" s="220"/>
      <c r="P355" s="220"/>
      <c r="Q355" s="220"/>
      <c r="R355" s="220"/>
      <c r="S355" s="220"/>
      <c r="T355" s="220"/>
      <c r="U355" s="220"/>
      <c r="V355" s="220"/>
      <c r="W355" s="220"/>
    </row>
    <row r="356" ht="15.75" customHeight="1" outlineLevel="1">
      <c r="A356" s="211"/>
      <c r="B356" s="212"/>
      <c r="C356" s="213"/>
      <c r="D356" s="214" t="str">
        <f>IFERROR(VLOOKUP($C356,'PORTIFÓLIO'!C:V,2,0),"")</f>
        <v/>
      </c>
      <c r="E356" s="211" t="str">
        <f>IFERROR(VLOOKUP($C356,'PORTIFÓLIO'!C:V,3,0),"")</f>
        <v/>
      </c>
      <c r="F356" s="211" t="str">
        <f>IFERROR(VLOOKUP($C356,'PORTIFÓLIO'!C:V,4,0),"")</f>
        <v/>
      </c>
      <c r="G356" s="215" t="str">
        <f>IFERROR(VLOOKUP($C356,'PORTIFÓLIO'!C:V,5,0),"")</f>
        <v/>
      </c>
      <c r="H356" s="254" t="str">
        <f t="array" ref="H356">IFERROR(INDEX('PORTIFÓLIO'!$H$4:$H$433,MATCH($C356,'PORTIFÓLIO'!$C$4:$C$433,0)),"")</f>
        <v/>
      </c>
      <c r="I356" s="256"/>
      <c r="J356" s="218">
        <f t="shared" si="39"/>
        <v>0</v>
      </c>
      <c r="K356" s="292" t="str">
        <f t="array" ref="K356">IFERROR(I356*INDEX('PORTIFÓLIO'!$S$4:$S$433,MATCH($C356,'PORTIFÓLIO'!$C$4:$C$433,0)),"")</f>
        <v/>
      </c>
      <c r="L356" s="292" t="str">
        <f t="array" ref="L356">IFERROR(J356*INDEX('PORTIFÓLIO'!$S$4:$S$433,MATCH($C356,'PORTIFÓLIO'!$C$4:$C$433,0)),"")</f>
        <v/>
      </c>
      <c r="M356" s="220"/>
      <c r="N356" s="220"/>
      <c r="O356" s="220"/>
      <c r="P356" s="220"/>
      <c r="Q356" s="220"/>
      <c r="R356" s="220"/>
      <c r="S356" s="220"/>
      <c r="T356" s="220"/>
      <c r="U356" s="220"/>
      <c r="V356" s="220"/>
      <c r="W356" s="220"/>
    </row>
    <row r="357" ht="15.75" customHeight="1" outlineLevel="1">
      <c r="A357" s="211"/>
      <c r="B357" s="227"/>
      <c r="C357" s="211"/>
      <c r="D357" s="214" t="str">
        <f>IFERROR(VLOOKUP($C357,'PORTIFÓLIO'!C:V,2,0),"")</f>
        <v/>
      </c>
      <c r="E357" s="211" t="str">
        <f>IFERROR(VLOOKUP($C357,'PORTIFÓLIO'!C:V,3,0),"")</f>
        <v/>
      </c>
      <c r="F357" s="211" t="str">
        <f>IFERROR(VLOOKUP($C357,'PORTIFÓLIO'!C:V,4,0),"")</f>
        <v/>
      </c>
      <c r="G357" s="215" t="str">
        <f>IFERROR(VLOOKUP($C357,'PORTIFÓLIO'!C:V,5,0),"")</f>
        <v/>
      </c>
      <c r="H357" s="254" t="str">
        <f t="array" ref="H357">IFERROR(INDEX('PORTIFÓLIO'!$H$4:$H$433,MATCH($C357,'PORTIFÓLIO'!$C$4:$C$433,0)),"")</f>
        <v/>
      </c>
      <c r="I357" s="256"/>
      <c r="J357" s="218"/>
      <c r="K357" s="292" t="str">
        <f t="array" ref="K357">IFERROR(I357*INDEX('PORTIFÓLIO'!$S$4:$S$433,MATCH($C357,'PORTIFÓLIO'!$C$4:$C$433,0)),"")</f>
        <v/>
      </c>
      <c r="L357" s="292" t="str">
        <f t="array" ref="L357">IFERROR(J357*INDEX('PORTIFÓLIO'!$S$4:$S$433,MATCH($C357,'PORTIFÓLIO'!$C$4:$C$433,0)),"")</f>
        <v/>
      </c>
      <c r="M357" s="220"/>
      <c r="N357" s="220"/>
      <c r="O357" s="220"/>
      <c r="P357" s="220"/>
      <c r="Q357" s="220"/>
      <c r="R357" s="220"/>
      <c r="S357" s="220"/>
      <c r="T357" s="220"/>
      <c r="U357" s="220"/>
      <c r="V357" s="220"/>
      <c r="W357" s="220"/>
    </row>
    <row r="358" ht="15.75" customHeight="1">
      <c r="A358" s="229" t="s">
        <v>1191</v>
      </c>
      <c r="B358" s="230"/>
      <c r="C358" s="231"/>
      <c r="D358" s="232"/>
      <c r="E358" s="231"/>
      <c r="F358" s="231"/>
      <c r="G358" s="233"/>
      <c r="H358" s="233"/>
      <c r="I358" s="258"/>
      <c r="J358" s="236"/>
      <c r="K358" s="237">
        <f t="shared" ref="K358:L358" si="40">SUBTOTAL(9,K359:K372)</f>
        <v>0</v>
      </c>
      <c r="L358" s="237">
        <f t="shared" si="40"/>
        <v>0</v>
      </c>
      <c r="M358" s="220"/>
      <c r="N358" s="220"/>
      <c r="O358" s="220"/>
      <c r="P358" s="220"/>
      <c r="Q358" s="220"/>
      <c r="R358" s="220"/>
      <c r="S358" s="220"/>
      <c r="T358" s="220"/>
      <c r="U358" s="220"/>
      <c r="V358" s="220"/>
      <c r="W358" s="220"/>
    </row>
    <row r="359" ht="15.75" customHeight="1" outlineLevel="1">
      <c r="A359" s="213"/>
      <c r="B359" s="212"/>
      <c r="C359" s="213"/>
      <c r="D359" s="214" t="str">
        <f>IFERROR(VLOOKUP($C359,'PORTIFÓLIO'!C:V,2,0),"")</f>
        <v/>
      </c>
      <c r="E359" s="211" t="str">
        <f>IFERROR(VLOOKUP($C359,'PORTIFÓLIO'!C:V,3,0),"")</f>
        <v/>
      </c>
      <c r="F359" s="211" t="str">
        <f>IFERROR(VLOOKUP($C359,'PORTIFÓLIO'!C:V,4,0),"")</f>
        <v/>
      </c>
      <c r="G359" s="215" t="str">
        <f>IFERROR(VLOOKUP($C359,'PORTIFÓLIO'!C:V,5,0),"")</f>
        <v/>
      </c>
      <c r="H359" s="254" t="str">
        <f t="array" ref="H359">IFERROR(INDEX('PORTIFÓLIO'!$H$4:$H$433,MATCH($C359,'PORTIFÓLIO'!$C$4:$C$433,0)),"")</f>
        <v/>
      </c>
      <c r="I359" s="255"/>
      <c r="J359" s="218">
        <f t="shared" ref="J359:J373" si="41">I359*$B$2</f>
        <v>0</v>
      </c>
      <c r="K359" s="292" t="str">
        <f t="array" ref="K359">IFERROR(I359*INDEX('PORTIFÓLIO'!$S$4:$S$433,MATCH($C359,'PORTIFÓLIO'!$C$4:$C$433,0)),"")</f>
        <v/>
      </c>
      <c r="L359" s="292" t="str">
        <f t="array" ref="L359">IFERROR(J359*INDEX('PORTIFÓLIO'!$S$4:$S$433,MATCH($C359,'PORTIFÓLIO'!$C$4:$C$433,0)),"")</f>
        <v/>
      </c>
      <c r="M359" s="220"/>
      <c r="N359" s="220"/>
      <c r="O359" s="220"/>
      <c r="P359" s="220"/>
      <c r="Q359" s="220"/>
      <c r="R359" s="220"/>
      <c r="S359" s="220"/>
      <c r="T359" s="220"/>
      <c r="U359" s="220"/>
      <c r="V359" s="220"/>
      <c r="W359" s="220"/>
    </row>
    <row r="360" ht="15.75" customHeight="1" outlineLevel="1">
      <c r="A360" s="211"/>
      <c r="B360" s="212"/>
      <c r="C360" s="213"/>
      <c r="D360" s="214" t="str">
        <f>IFERROR(VLOOKUP($C360,'PORTIFÓLIO'!C:V,2,0),"")</f>
        <v/>
      </c>
      <c r="E360" s="211" t="str">
        <f>IFERROR(VLOOKUP($C360,'PORTIFÓLIO'!C:V,3,0),"")</f>
        <v/>
      </c>
      <c r="F360" s="211" t="str">
        <f>IFERROR(VLOOKUP($C360,'PORTIFÓLIO'!C:V,4,0),"")</f>
        <v/>
      </c>
      <c r="G360" s="215" t="str">
        <f>IFERROR(VLOOKUP($C360,'PORTIFÓLIO'!C:V,5,0),"")</f>
        <v/>
      </c>
      <c r="H360" s="254" t="str">
        <f t="array" ref="H360">IFERROR(INDEX('PORTIFÓLIO'!$H$4:$H$433,MATCH($C360,'PORTIFÓLIO'!$C$4:$C$433,0)),"")</f>
        <v/>
      </c>
      <c r="I360" s="256"/>
      <c r="J360" s="218">
        <f t="shared" si="41"/>
        <v>0</v>
      </c>
      <c r="K360" s="292" t="str">
        <f t="array" ref="K360">IFERROR(I360*INDEX('PORTIFÓLIO'!$S$4:$S$433,MATCH($C360,'PORTIFÓLIO'!$C$4:$C$433,0)),"")</f>
        <v/>
      </c>
      <c r="L360" s="292" t="str">
        <f t="array" ref="L360">IFERROR(J360*INDEX('PORTIFÓLIO'!$S$4:$S$433,MATCH($C360,'PORTIFÓLIO'!$C$4:$C$433,0)),"")</f>
        <v/>
      </c>
      <c r="M360" s="220"/>
      <c r="N360" s="220"/>
      <c r="O360" s="220"/>
      <c r="P360" s="220"/>
      <c r="Q360" s="220"/>
      <c r="R360" s="220"/>
      <c r="S360" s="220"/>
      <c r="T360" s="220"/>
      <c r="U360" s="220"/>
      <c r="V360" s="220"/>
      <c r="W360" s="220"/>
    </row>
    <row r="361" ht="15.75" customHeight="1" outlineLevel="1">
      <c r="A361" s="211"/>
      <c r="B361" s="212"/>
      <c r="C361" s="213"/>
      <c r="D361" s="214" t="str">
        <f>IFERROR(VLOOKUP($C361,'PORTIFÓLIO'!C:V,2,0),"")</f>
        <v/>
      </c>
      <c r="E361" s="211" t="str">
        <f>IFERROR(VLOOKUP($C361,'PORTIFÓLIO'!C:V,3,0),"")</f>
        <v/>
      </c>
      <c r="F361" s="211" t="str">
        <f>IFERROR(VLOOKUP($C361,'PORTIFÓLIO'!C:V,4,0),"")</f>
        <v/>
      </c>
      <c r="G361" s="215" t="str">
        <f>IFERROR(VLOOKUP($C361,'PORTIFÓLIO'!C:V,5,0),"")</f>
        <v/>
      </c>
      <c r="H361" s="254" t="str">
        <f t="array" ref="H361">IFERROR(INDEX('PORTIFÓLIO'!$H$4:$H$433,MATCH($C361,'PORTIFÓLIO'!$C$4:$C$433,0)),"")</f>
        <v/>
      </c>
      <c r="I361" s="256"/>
      <c r="J361" s="218">
        <f t="shared" si="41"/>
        <v>0</v>
      </c>
      <c r="K361" s="292" t="str">
        <f t="array" ref="K361">IFERROR(I361*INDEX('PORTIFÓLIO'!$S$4:$S$433,MATCH($C361,'PORTIFÓLIO'!$C$4:$C$433,0)),"")</f>
        <v/>
      </c>
      <c r="L361" s="292" t="str">
        <f t="array" ref="L361">IFERROR(J361*INDEX('PORTIFÓLIO'!$S$4:$S$433,MATCH($C361,'PORTIFÓLIO'!$C$4:$C$433,0)),"")</f>
        <v/>
      </c>
      <c r="M361" s="220"/>
      <c r="N361" s="220"/>
      <c r="O361" s="220"/>
      <c r="P361" s="220"/>
      <c r="Q361" s="220"/>
      <c r="R361" s="220"/>
      <c r="S361" s="220"/>
      <c r="T361" s="220"/>
      <c r="U361" s="220"/>
      <c r="V361" s="220"/>
      <c r="W361" s="220"/>
    </row>
    <row r="362" ht="15.75" customHeight="1" outlineLevel="1">
      <c r="A362" s="211"/>
      <c r="B362" s="212"/>
      <c r="C362" s="213"/>
      <c r="D362" s="214" t="str">
        <f>IFERROR(VLOOKUP($C362,'PORTIFÓLIO'!C:V,2,0),"")</f>
        <v/>
      </c>
      <c r="E362" s="211" t="str">
        <f>IFERROR(VLOOKUP($C362,'PORTIFÓLIO'!C:V,3,0),"")</f>
        <v/>
      </c>
      <c r="F362" s="211" t="str">
        <f>IFERROR(VLOOKUP($C362,'PORTIFÓLIO'!C:V,4,0),"")</f>
        <v/>
      </c>
      <c r="G362" s="215" t="str">
        <f>IFERROR(VLOOKUP($C362,'PORTIFÓLIO'!C:V,5,0),"")</f>
        <v/>
      </c>
      <c r="H362" s="254" t="str">
        <f t="array" ref="H362">IFERROR(INDEX('PORTIFÓLIO'!$H$4:$H$433,MATCH($C362,'PORTIFÓLIO'!$C$4:$C$433,0)),"")</f>
        <v/>
      </c>
      <c r="I362" s="256"/>
      <c r="J362" s="218">
        <f t="shared" si="41"/>
        <v>0</v>
      </c>
      <c r="K362" s="292" t="str">
        <f t="array" ref="K362">IFERROR(I362*INDEX('PORTIFÓLIO'!$S$4:$S$433,MATCH($C362,'PORTIFÓLIO'!$C$4:$C$433,0)),"")</f>
        <v/>
      </c>
      <c r="L362" s="292" t="str">
        <f t="array" ref="L362">IFERROR(J362*INDEX('PORTIFÓLIO'!$S$4:$S$433,MATCH($C362,'PORTIFÓLIO'!$C$4:$C$433,0)),"")</f>
        <v/>
      </c>
      <c r="M362" s="220"/>
      <c r="N362" s="220"/>
      <c r="O362" s="220"/>
      <c r="P362" s="220"/>
      <c r="Q362" s="220"/>
      <c r="R362" s="220"/>
      <c r="S362" s="220"/>
      <c r="T362" s="220"/>
      <c r="U362" s="220"/>
      <c r="V362" s="220"/>
      <c r="W362" s="220"/>
    </row>
    <row r="363" ht="15.75" customHeight="1" outlineLevel="1">
      <c r="A363" s="211"/>
      <c r="B363" s="212"/>
      <c r="C363" s="213"/>
      <c r="D363" s="214" t="str">
        <f>IFERROR(VLOOKUP($C363,'PORTIFÓLIO'!C:V,2,0),"")</f>
        <v/>
      </c>
      <c r="E363" s="211" t="str">
        <f>IFERROR(VLOOKUP($C363,'PORTIFÓLIO'!C:V,3,0),"")</f>
        <v/>
      </c>
      <c r="F363" s="211" t="str">
        <f>IFERROR(VLOOKUP($C363,'PORTIFÓLIO'!C:V,4,0),"")</f>
        <v/>
      </c>
      <c r="G363" s="215" t="str">
        <f>IFERROR(VLOOKUP($C363,'PORTIFÓLIO'!C:V,5,0),"")</f>
        <v/>
      </c>
      <c r="H363" s="254" t="str">
        <f t="array" ref="H363">IFERROR(INDEX('PORTIFÓLIO'!$H$4:$H$433,MATCH($C363,'PORTIFÓLIO'!$C$4:$C$433,0)),"")</f>
        <v/>
      </c>
      <c r="I363" s="256"/>
      <c r="J363" s="218">
        <f t="shared" si="41"/>
        <v>0</v>
      </c>
      <c r="K363" s="292" t="str">
        <f t="array" ref="K363">IFERROR(I363*INDEX('PORTIFÓLIO'!$S$4:$S$433,MATCH($C363,'PORTIFÓLIO'!$C$4:$C$433,0)),"")</f>
        <v/>
      </c>
      <c r="L363" s="292" t="str">
        <f t="array" ref="L363">IFERROR(J363*INDEX('PORTIFÓLIO'!$S$4:$S$433,MATCH($C363,'PORTIFÓLIO'!$C$4:$C$433,0)),"")</f>
        <v/>
      </c>
      <c r="M363" s="220"/>
      <c r="N363" s="220"/>
      <c r="O363" s="220"/>
      <c r="P363" s="220"/>
      <c r="Q363" s="220"/>
      <c r="R363" s="220"/>
      <c r="S363" s="220"/>
      <c r="T363" s="220"/>
      <c r="U363" s="220"/>
      <c r="V363" s="220"/>
      <c r="W363" s="220"/>
    </row>
    <row r="364" ht="15.75" customHeight="1" outlineLevel="1">
      <c r="A364" s="211"/>
      <c r="B364" s="212"/>
      <c r="C364" s="213"/>
      <c r="D364" s="214" t="str">
        <f>IFERROR(VLOOKUP($C364,'PORTIFÓLIO'!C:V,2,0),"")</f>
        <v/>
      </c>
      <c r="E364" s="211" t="str">
        <f>IFERROR(VLOOKUP($C364,'PORTIFÓLIO'!C:V,3,0),"")</f>
        <v/>
      </c>
      <c r="F364" s="211" t="str">
        <f>IFERROR(VLOOKUP($C364,'PORTIFÓLIO'!C:V,4,0),"")</f>
        <v/>
      </c>
      <c r="G364" s="215" t="str">
        <f>IFERROR(VLOOKUP($C364,'PORTIFÓLIO'!C:V,5,0),"")</f>
        <v/>
      </c>
      <c r="H364" s="254" t="str">
        <f t="array" ref="H364">IFERROR(INDEX('PORTIFÓLIO'!$H$4:$H$433,MATCH($C364,'PORTIFÓLIO'!$C$4:$C$433,0)),"")</f>
        <v/>
      </c>
      <c r="I364" s="256"/>
      <c r="J364" s="218">
        <f t="shared" si="41"/>
        <v>0</v>
      </c>
      <c r="K364" s="292" t="str">
        <f t="array" ref="K364">IFERROR(I364*INDEX('PORTIFÓLIO'!$S$4:$S$433,MATCH($C364,'PORTIFÓLIO'!$C$4:$C$433,0)),"")</f>
        <v/>
      </c>
      <c r="L364" s="292" t="str">
        <f t="array" ref="L364">IFERROR(J364*INDEX('PORTIFÓLIO'!$S$4:$S$433,MATCH($C364,'PORTIFÓLIO'!$C$4:$C$433,0)),"")</f>
        <v/>
      </c>
      <c r="M364" s="220"/>
      <c r="N364" s="220"/>
      <c r="O364" s="220"/>
      <c r="P364" s="220"/>
      <c r="Q364" s="220"/>
      <c r="R364" s="220"/>
      <c r="S364" s="220"/>
      <c r="T364" s="220"/>
      <c r="U364" s="220"/>
      <c r="V364" s="220"/>
      <c r="W364" s="220"/>
    </row>
    <row r="365" ht="15.75" customHeight="1" outlineLevel="1">
      <c r="A365" s="211"/>
      <c r="B365" s="212"/>
      <c r="C365" s="213"/>
      <c r="D365" s="214" t="str">
        <f>IFERROR(VLOOKUP($C365,'PORTIFÓLIO'!C:V,2,0),"")</f>
        <v/>
      </c>
      <c r="E365" s="211" t="str">
        <f>IFERROR(VLOOKUP($C365,'PORTIFÓLIO'!C:V,3,0),"")</f>
        <v/>
      </c>
      <c r="F365" s="211" t="str">
        <f>IFERROR(VLOOKUP($C365,'PORTIFÓLIO'!C:V,4,0),"")</f>
        <v/>
      </c>
      <c r="G365" s="215" t="str">
        <f>IFERROR(VLOOKUP($C365,'PORTIFÓLIO'!C:V,5,0),"")</f>
        <v/>
      </c>
      <c r="H365" s="254" t="str">
        <f t="array" ref="H365">IFERROR(INDEX('PORTIFÓLIO'!$H$4:$H$433,MATCH($C365,'PORTIFÓLIO'!$C$4:$C$433,0)),"")</f>
        <v/>
      </c>
      <c r="I365" s="256"/>
      <c r="J365" s="218">
        <f t="shared" si="41"/>
        <v>0</v>
      </c>
      <c r="K365" s="292" t="str">
        <f t="array" ref="K365">IFERROR(I365*INDEX('PORTIFÓLIO'!$S$4:$S$433,MATCH($C365,'PORTIFÓLIO'!$C$4:$C$433,0)),"")</f>
        <v/>
      </c>
      <c r="L365" s="292" t="str">
        <f t="array" ref="L365">IFERROR(J365*INDEX('PORTIFÓLIO'!$S$4:$S$433,MATCH($C365,'PORTIFÓLIO'!$C$4:$C$433,0)),"")</f>
        <v/>
      </c>
      <c r="M365" s="220"/>
      <c r="N365" s="220"/>
      <c r="O365" s="220"/>
      <c r="P365" s="220"/>
      <c r="Q365" s="220"/>
      <c r="R365" s="220"/>
      <c r="S365" s="220"/>
      <c r="T365" s="220"/>
      <c r="U365" s="220"/>
      <c r="V365" s="220"/>
      <c r="W365" s="220"/>
    </row>
    <row r="366" ht="15.75" customHeight="1" outlineLevel="1">
      <c r="A366" s="211"/>
      <c r="B366" s="212"/>
      <c r="C366" s="213"/>
      <c r="D366" s="214" t="str">
        <f>IFERROR(VLOOKUP($C366,'PORTIFÓLIO'!C:V,2,0),"")</f>
        <v/>
      </c>
      <c r="E366" s="211" t="str">
        <f>IFERROR(VLOOKUP($C366,'PORTIFÓLIO'!C:V,3,0),"")</f>
        <v/>
      </c>
      <c r="F366" s="211" t="str">
        <f>IFERROR(VLOOKUP($C366,'PORTIFÓLIO'!C:V,4,0),"")</f>
        <v/>
      </c>
      <c r="G366" s="215" t="str">
        <f>IFERROR(VLOOKUP($C366,'PORTIFÓLIO'!C:V,5,0),"")</f>
        <v/>
      </c>
      <c r="H366" s="254" t="str">
        <f t="array" ref="H366">IFERROR(INDEX('PORTIFÓLIO'!$H$4:$H$433,MATCH($C366,'PORTIFÓLIO'!$C$4:$C$433,0)),"")</f>
        <v/>
      </c>
      <c r="I366" s="256"/>
      <c r="J366" s="218">
        <f t="shared" si="41"/>
        <v>0</v>
      </c>
      <c r="K366" s="292" t="str">
        <f t="array" ref="K366">IFERROR(I366*INDEX('PORTIFÓLIO'!$S$4:$S$433,MATCH($C366,'PORTIFÓLIO'!$C$4:$C$433,0)),"")</f>
        <v/>
      </c>
      <c r="L366" s="292" t="str">
        <f t="array" ref="L366">IFERROR(J366*INDEX('PORTIFÓLIO'!$S$4:$S$433,MATCH($C366,'PORTIFÓLIO'!$C$4:$C$433,0)),"")</f>
        <v/>
      </c>
      <c r="M366" s="220"/>
      <c r="N366" s="220"/>
      <c r="O366" s="220"/>
      <c r="P366" s="220"/>
      <c r="Q366" s="220"/>
      <c r="R366" s="220"/>
      <c r="S366" s="220"/>
      <c r="T366" s="220"/>
      <c r="U366" s="220"/>
      <c r="V366" s="220"/>
      <c r="W366" s="220"/>
    </row>
    <row r="367" ht="15.75" customHeight="1" outlineLevel="1">
      <c r="A367" s="211"/>
      <c r="B367" s="212"/>
      <c r="C367" s="213"/>
      <c r="D367" s="214" t="str">
        <f>IFERROR(VLOOKUP($C367,'PORTIFÓLIO'!C:V,2,0),"")</f>
        <v/>
      </c>
      <c r="E367" s="211" t="str">
        <f>IFERROR(VLOOKUP($C367,'PORTIFÓLIO'!C:V,3,0),"")</f>
        <v/>
      </c>
      <c r="F367" s="211" t="str">
        <f>IFERROR(VLOOKUP($C367,'PORTIFÓLIO'!C:V,4,0),"")</f>
        <v/>
      </c>
      <c r="G367" s="215" t="str">
        <f>IFERROR(VLOOKUP($C367,'PORTIFÓLIO'!C:V,5,0),"")</f>
        <v/>
      </c>
      <c r="H367" s="254" t="str">
        <f t="array" ref="H367">IFERROR(INDEX('PORTIFÓLIO'!$H$4:$H$433,MATCH($C367,'PORTIFÓLIO'!$C$4:$C$433,0)),"")</f>
        <v/>
      </c>
      <c r="I367" s="255"/>
      <c r="J367" s="218">
        <f t="shared" si="41"/>
        <v>0</v>
      </c>
      <c r="K367" s="292" t="str">
        <f t="array" ref="K367">IFERROR(I367*INDEX('PORTIFÓLIO'!$S$4:$S$433,MATCH($C367,'PORTIFÓLIO'!$C$4:$C$433,0)),"")</f>
        <v/>
      </c>
      <c r="L367" s="292" t="str">
        <f t="array" ref="L367">IFERROR(J367*INDEX('PORTIFÓLIO'!$S$4:$S$433,MATCH($C367,'PORTIFÓLIO'!$C$4:$C$433,0)),"")</f>
        <v/>
      </c>
      <c r="M367" s="220"/>
      <c r="N367" s="220"/>
      <c r="O367" s="220"/>
      <c r="P367" s="220"/>
      <c r="Q367" s="220"/>
      <c r="R367" s="220"/>
      <c r="S367" s="220"/>
      <c r="T367" s="220"/>
      <c r="U367" s="220"/>
      <c r="V367" s="220"/>
      <c r="W367" s="220"/>
    </row>
    <row r="368" ht="15.75" customHeight="1" outlineLevel="1">
      <c r="A368" s="211"/>
      <c r="B368" s="212"/>
      <c r="C368" s="213"/>
      <c r="D368" s="214" t="str">
        <f>IFERROR(VLOOKUP($C368,'PORTIFÓLIO'!C:V,2,0),"")</f>
        <v/>
      </c>
      <c r="E368" s="211" t="str">
        <f>IFERROR(VLOOKUP($C368,'PORTIFÓLIO'!C:V,3,0),"")</f>
        <v/>
      </c>
      <c r="F368" s="211" t="str">
        <f>IFERROR(VLOOKUP($C368,'PORTIFÓLIO'!C:V,4,0),"")</f>
        <v/>
      </c>
      <c r="G368" s="215" t="str">
        <f>IFERROR(VLOOKUP($C368,'PORTIFÓLIO'!C:V,5,0),"")</f>
        <v/>
      </c>
      <c r="H368" s="254" t="str">
        <f t="array" ref="H368">IFERROR(INDEX('PORTIFÓLIO'!$H$4:$H$433,MATCH($C368,'PORTIFÓLIO'!$C$4:$C$433,0)),"")</f>
        <v/>
      </c>
      <c r="I368" s="256"/>
      <c r="J368" s="218">
        <f t="shared" si="41"/>
        <v>0</v>
      </c>
      <c r="K368" s="292" t="str">
        <f t="array" ref="K368">IFERROR(I368*INDEX('PORTIFÓLIO'!$S$4:$S$433,MATCH($C368,'PORTIFÓLIO'!$C$4:$C$433,0)),"")</f>
        <v/>
      </c>
      <c r="L368" s="292" t="str">
        <f t="array" ref="L368">IFERROR(J368*INDEX('PORTIFÓLIO'!$S$4:$S$433,MATCH($C368,'PORTIFÓLIO'!$C$4:$C$433,0)),"")</f>
        <v/>
      </c>
      <c r="M368" s="220"/>
      <c r="N368" s="220"/>
      <c r="O368" s="220"/>
      <c r="P368" s="220"/>
      <c r="Q368" s="220"/>
      <c r="R368" s="220"/>
      <c r="S368" s="220"/>
      <c r="T368" s="220"/>
      <c r="U368" s="220"/>
      <c r="V368" s="220"/>
      <c r="W368" s="220"/>
    </row>
    <row r="369" ht="15.75" customHeight="1" outlineLevel="1">
      <c r="A369" s="211"/>
      <c r="B369" s="212"/>
      <c r="C369" s="213"/>
      <c r="D369" s="214" t="str">
        <f>IFERROR(VLOOKUP($C369,'PORTIFÓLIO'!C:V,2,0),"")</f>
        <v/>
      </c>
      <c r="E369" s="211" t="str">
        <f>IFERROR(VLOOKUP($C369,'PORTIFÓLIO'!C:V,3,0),"")</f>
        <v/>
      </c>
      <c r="F369" s="211" t="str">
        <f>IFERROR(VLOOKUP($C369,'PORTIFÓLIO'!C:V,4,0),"")</f>
        <v/>
      </c>
      <c r="G369" s="215" t="str">
        <f>IFERROR(VLOOKUP($C369,'PORTIFÓLIO'!C:V,5,0),"")</f>
        <v/>
      </c>
      <c r="H369" s="254" t="str">
        <f t="array" ref="H369">IFERROR(INDEX('PORTIFÓLIO'!$H$4:$H$433,MATCH($C369,'PORTIFÓLIO'!$C$4:$C$433,0)),"")</f>
        <v/>
      </c>
      <c r="I369" s="256"/>
      <c r="J369" s="218">
        <f t="shared" si="41"/>
        <v>0</v>
      </c>
      <c r="K369" s="292" t="str">
        <f t="array" ref="K369">IFERROR(I369*INDEX('PORTIFÓLIO'!$S$4:$S$433,MATCH($C369,'PORTIFÓLIO'!$C$4:$C$433,0)),"")</f>
        <v/>
      </c>
      <c r="L369" s="292" t="str">
        <f t="array" ref="L369">IFERROR(J369*INDEX('PORTIFÓLIO'!$S$4:$S$433,MATCH($C369,'PORTIFÓLIO'!$C$4:$C$433,0)),"")</f>
        <v/>
      </c>
      <c r="M369" s="220"/>
      <c r="N369" s="220"/>
      <c r="O369" s="220"/>
      <c r="P369" s="220"/>
      <c r="Q369" s="220"/>
      <c r="R369" s="220"/>
      <c r="S369" s="220"/>
      <c r="T369" s="220"/>
      <c r="U369" s="220"/>
      <c r="V369" s="220"/>
      <c r="W369" s="220"/>
    </row>
    <row r="370" ht="15.75" customHeight="1" outlineLevel="1">
      <c r="A370" s="211"/>
      <c r="B370" s="212"/>
      <c r="C370" s="213"/>
      <c r="D370" s="214" t="str">
        <f>IFERROR(VLOOKUP($C370,'PORTIFÓLIO'!C:V,2,0),"")</f>
        <v/>
      </c>
      <c r="E370" s="211" t="str">
        <f>IFERROR(VLOOKUP($C370,'PORTIFÓLIO'!C:V,3,0),"")</f>
        <v/>
      </c>
      <c r="F370" s="211" t="str">
        <f>IFERROR(VLOOKUP($C370,'PORTIFÓLIO'!C:V,4,0),"")</f>
        <v/>
      </c>
      <c r="G370" s="215" t="str">
        <f>IFERROR(VLOOKUP($C370,'PORTIFÓLIO'!C:V,5,0),"")</f>
        <v/>
      </c>
      <c r="H370" s="254" t="str">
        <f t="array" ref="H370">IFERROR(INDEX('PORTIFÓLIO'!$H$4:$H$433,MATCH($C370,'PORTIFÓLIO'!$C$4:$C$433,0)),"")</f>
        <v/>
      </c>
      <c r="I370" s="256"/>
      <c r="J370" s="218">
        <f t="shared" si="41"/>
        <v>0</v>
      </c>
      <c r="K370" s="292" t="str">
        <f t="array" ref="K370">IFERROR(I370*INDEX('PORTIFÓLIO'!$S$4:$S$433,MATCH($C370,'PORTIFÓLIO'!$C$4:$C$433,0)),"")</f>
        <v/>
      </c>
      <c r="L370" s="292" t="str">
        <f t="array" ref="L370">IFERROR(J370*INDEX('PORTIFÓLIO'!$S$4:$S$433,MATCH($C370,'PORTIFÓLIO'!$C$4:$C$433,0)),"")</f>
        <v/>
      </c>
      <c r="M370" s="220"/>
      <c r="N370" s="220"/>
      <c r="O370" s="220"/>
      <c r="P370" s="220"/>
      <c r="Q370" s="220"/>
      <c r="R370" s="220"/>
      <c r="S370" s="220"/>
      <c r="T370" s="220"/>
      <c r="U370" s="220"/>
      <c r="V370" s="220"/>
      <c r="W370" s="220"/>
    </row>
    <row r="371" ht="15.75" customHeight="1" outlineLevel="1">
      <c r="A371" s="211"/>
      <c r="B371" s="212"/>
      <c r="C371" s="213"/>
      <c r="D371" s="214" t="str">
        <f>IFERROR(VLOOKUP($C371,'PORTIFÓLIO'!C:V,2,0),"")</f>
        <v/>
      </c>
      <c r="E371" s="211" t="str">
        <f>IFERROR(VLOOKUP($C371,'PORTIFÓLIO'!C:V,3,0),"")</f>
        <v/>
      </c>
      <c r="F371" s="211" t="str">
        <f>IFERROR(VLOOKUP($C371,'PORTIFÓLIO'!C:V,4,0),"")</f>
        <v/>
      </c>
      <c r="G371" s="215" t="str">
        <f>IFERROR(VLOOKUP($C371,'PORTIFÓLIO'!C:V,5,0),"")</f>
        <v/>
      </c>
      <c r="H371" s="254" t="str">
        <f t="array" ref="H371">IFERROR(INDEX('PORTIFÓLIO'!$H$4:$H$433,MATCH($C371,'PORTIFÓLIO'!$C$4:$C$433,0)),"")</f>
        <v/>
      </c>
      <c r="I371" s="256"/>
      <c r="J371" s="218">
        <f t="shared" si="41"/>
        <v>0</v>
      </c>
      <c r="K371" s="292" t="str">
        <f t="array" ref="K371">IFERROR(I371*INDEX('PORTIFÓLIO'!$S$4:$S$433,MATCH($C371,'PORTIFÓLIO'!$C$4:$C$433,0)),"")</f>
        <v/>
      </c>
      <c r="L371" s="292" t="str">
        <f t="array" ref="L371">IFERROR(J371*INDEX('PORTIFÓLIO'!$S$4:$S$433,MATCH($C371,'PORTIFÓLIO'!$C$4:$C$433,0)),"")</f>
        <v/>
      </c>
      <c r="M371" s="220"/>
      <c r="N371" s="220"/>
      <c r="O371" s="220"/>
      <c r="P371" s="220"/>
      <c r="Q371" s="220"/>
      <c r="R371" s="220"/>
      <c r="S371" s="220"/>
      <c r="T371" s="220"/>
      <c r="U371" s="220"/>
      <c r="V371" s="220"/>
      <c r="W371" s="220"/>
    </row>
    <row r="372" ht="15.75" customHeight="1" outlineLevel="1">
      <c r="A372" s="211"/>
      <c r="B372" s="212"/>
      <c r="C372" s="213"/>
      <c r="D372" s="214" t="str">
        <f>IFERROR(VLOOKUP($C372,'PORTIFÓLIO'!C:V,2,0),"")</f>
        <v/>
      </c>
      <c r="E372" s="211" t="str">
        <f>IFERROR(VLOOKUP($C372,'PORTIFÓLIO'!C:V,3,0),"")</f>
        <v/>
      </c>
      <c r="F372" s="211" t="str">
        <f>IFERROR(VLOOKUP($C372,'PORTIFÓLIO'!C:V,4,0),"")</f>
        <v/>
      </c>
      <c r="G372" s="215" t="str">
        <f>IFERROR(VLOOKUP($C372,'PORTIFÓLIO'!C:V,5,0),"")</f>
        <v/>
      </c>
      <c r="H372" s="254" t="str">
        <f t="array" ref="H372">IFERROR(INDEX('PORTIFÓLIO'!$H$4:$H$433,MATCH($C372,'PORTIFÓLIO'!$C$4:$C$433,0)),"")</f>
        <v/>
      </c>
      <c r="I372" s="256"/>
      <c r="J372" s="218">
        <f t="shared" si="41"/>
        <v>0</v>
      </c>
      <c r="K372" s="292" t="str">
        <f t="array" ref="K372">IFERROR(I372*INDEX('PORTIFÓLIO'!$S$4:$S$433,MATCH($C372,'PORTIFÓLIO'!$C$4:$C$433,0)),"")</f>
        <v/>
      </c>
      <c r="L372" s="292" t="str">
        <f t="array" ref="L372">IFERROR(J372*INDEX('PORTIFÓLIO'!$S$4:$S$433,MATCH($C372,'PORTIFÓLIO'!$C$4:$C$433,0)),"")</f>
        <v/>
      </c>
      <c r="M372" s="220"/>
      <c r="N372" s="220"/>
      <c r="O372" s="220"/>
      <c r="P372" s="220"/>
      <c r="Q372" s="220"/>
      <c r="R372" s="220"/>
      <c r="S372" s="220"/>
      <c r="T372" s="220"/>
      <c r="U372" s="220"/>
      <c r="V372" s="220"/>
      <c r="W372" s="220"/>
    </row>
    <row r="373" ht="15.75" customHeight="1" outlineLevel="1">
      <c r="A373" s="211"/>
      <c r="B373" s="212"/>
      <c r="C373" s="213"/>
      <c r="D373" s="214" t="str">
        <f>IFERROR(VLOOKUP($C373,'PORTIFÓLIO'!C:V,2,0),"")</f>
        <v/>
      </c>
      <c r="E373" s="211" t="str">
        <f>IFERROR(VLOOKUP($C373,'PORTIFÓLIO'!C:V,3,0),"")</f>
        <v/>
      </c>
      <c r="F373" s="211" t="str">
        <f>IFERROR(VLOOKUP($C373,'PORTIFÓLIO'!C:V,4,0),"")</f>
        <v/>
      </c>
      <c r="G373" s="215" t="str">
        <f>IFERROR(VLOOKUP($C373,'PORTIFÓLIO'!C:V,5,0),"")</f>
        <v/>
      </c>
      <c r="H373" s="254" t="str">
        <f t="array" ref="H373">IFERROR(INDEX('PORTIFÓLIO'!$H$4:$H$433,MATCH($C373,'PORTIFÓLIO'!$C$4:$C$433,0)),"")</f>
        <v/>
      </c>
      <c r="I373" s="256"/>
      <c r="J373" s="218">
        <f t="shared" si="41"/>
        <v>0</v>
      </c>
      <c r="K373" s="292" t="str">
        <f t="array" ref="K373">IFERROR(I373*INDEX('PORTIFÓLIO'!$S$4:$S$433,MATCH($C373,'PORTIFÓLIO'!$C$4:$C$433,0)),"")</f>
        <v/>
      </c>
      <c r="L373" s="292" t="str">
        <f t="array" ref="L373">IFERROR(J373*INDEX('PORTIFÓLIO'!$S$4:$S$433,MATCH($C373,'PORTIFÓLIO'!$C$4:$C$433,0)),"")</f>
        <v/>
      </c>
      <c r="M373" s="220"/>
      <c r="N373" s="220"/>
      <c r="O373" s="220"/>
      <c r="P373" s="220"/>
      <c r="Q373" s="220"/>
      <c r="R373" s="220"/>
      <c r="S373" s="220"/>
      <c r="T373" s="220"/>
      <c r="U373" s="220"/>
      <c r="V373" s="220"/>
      <c r="W373" s="220"/>
    </row>
    <row r="374" ht="15.75" customHeight="1" outlineLevel="1">
      <c r="A374" s="211"/>
      <c r="B374" s="227"/>
      <c r="C374" s="211"/>
      <c r="D374" s="214" t="str">
        <f>IFERROR(VLOOKUP($C374,'PORTIFÓLIO'!C:V,2,0),"")</f>
        <v/>
      </c>
      <c r="E374" s="211" t="str">
        <f>IFERROR(VLOOKUP($C374,'PORTIFÓLIO'!C:V,3,0),"")</f>
        <v/>
      </c>
      <c r="F374" s="211" t="str">
        <f>IFERROR(VLOOKUP($C374,'PORTIFÓLIO'!C:V,4,0),"")</f>
        <v/>
      </c>
      <c r="G374" s="215" t="str">
        <f>IFERROR(VLOOKUP($C374,'PORTIFÓLIO'!C:V,5,0),"")</f>
        <v/>
      </c>
      <c r="H374" s="254" t="str">
        <f t="array" ref="H374">IFERROR(INDEX('PORTIFÓLIO'!$H$4:$H$433,MATCH($C374,'PORTIFÓLIO'!$C$4:$C$433,0)),"")</f>
        <v/>
      </c>
      <c r="I374" s="256"/>
      <c r="J374" s="218"/>
      <c r="K374" s="292" t="str">
        <f t="array" ref="K374">IFERROR(I374*INDEX('PORTIFÓLIO'!$S$4:$S$433,MATCH($C374,'PORTIFÓLIO'!$C$4:$C$433,0)),"")</f>
        <v/>
      </c>
      <c r="L374" s="292" t="str">
        <f t="array" ref="L374">IFERROR(J374*INDEX('PORTIFÓLIO'!$S$4:$S$433,MATCH($C374,'PORTIFÓLIO'!$C$4:$C$433,0)),"")</f>
        <v/>
      </c>
      <c r="M374" s="220"/>
      <c r="N374" s="220"/>
      <c r="O374" s="220"/>
      <c r="P374" s="220"/>
      <c r="Q374" s="220"/>
      <c r="R374" s="220"/>
      <c r="S374" s="220"/>
      <c r="T374" s="220"/>
      <c r="U374" s="220"/>
      <c r="V374" s="220"/>
      <c r="W374" s="220"/>
    </row>
    <row r="375" ht="15.75" customHeight="1">
      <c r="A375" s="229" t="s">
        <v>1192</v>
      </c>
      <c r="B375" s="230"/>
      <c r="C375" s="231"/>
      <c r="D375" s="232"/>
      <c r="E375" s="231"/>
      <c r="F375" s="231"/>
      <c r="G375" s="233"/>
      <c r="H375" s="233"/>
      <c r="I375" s="258"/>
      <c r="J375" s="236"/>
      <c r="K375" s="237">
        <f t="shared" ref="K375:L375" si="42">SUBTOTAL(9,K376:K389)</f>
        <v>0</v>
      </c>
      <c r="L375" s="237">
        <f t="shared" si="42"/>
        <v>0</v>
      </c>
      <c r="M375" s="220"/>
      <c r="N375" s="220"/>
      <c r="O375" s="220"/>
      <c r="P375" s="220"/>
      <c r="Q375" s="220"/>
      <c r="R375" s="220"/>
      <c r="S375" s="220"/>
      <c r="T375" s="220"/>
      <c r="U375" s="220"/>
      <c r="V375" s="220"/>
      <c r="W375" s="220"/>
    </row>
    <row r="376" ht="15.75" customHeight="1" outlineLevel="1">
      <c r="A376" s="213"/>
      <c r="B376" s="212"/>
      <c r="C376" s="213"/>
      <c r="D376" s="214" t="str">
        <f>IFERROR(VLOOKUP($C376,'PORTIFÓLIO'!C:V,2,0),"")</f>
        <v/>
      </c>
      <c r="E376" s="211" t="str">
        <f>IFERROR(VLOOKUP($C376,'PORTIFÓLIO'!C:V,3,0),"")</f>
        <v/>
      </c>
      <c r="F376" s="211" t="str">
        <f>IFERROR(VLOOKUP($C376,'PORTIFÓLIO'!C:V,4,0),"")</f>
        <v/>
      </c>
      <c r="G376" s="215" t="str">
        <f>IFERROR(VLOOKUP($C376,'PORTIFÓLIO'!C:V,5,0),"")</f>
        <v/>
      </c>
      <c r="H376" s="254" t="str">
        <f t="array" ref="H376">IFERROR(INDEX('PORTIFÓLIO'!$H$4:$H$433,MATCH($C376,'PORTIFÓLIO'!$C$4:$C$433,0)),"")</f>
        <v/>
      </c>
      <c r="I376" s="255"/>
      <c r="J376" s="218">
        <f t="shared" ref="J376:J390" si="43">I376*$B$2</f>
        <v>0</v>
      </c>
      <c r="K376" s="292" t="str">
        <f t="array" ref="K376">IFERROR(I376*INDEX('PORTIFÓLIO'!$S$4:$S$433,MATCH($C376,'PORTIFÓLIO'!$C$4:$C$433,0)),"")</f>
        <v/>
      </c>
      <c r="L376" s="292" t="str">
        <f t="array" ref="L376">IFERROR(J376*INDEX('PORTIFÓLIO'!$S$4:$S$433,MATCH($C376,'PORTIFÓLIO'!$C$4:$C$433,0)),"")</f>
        <v/>
      </c>
      <c r="M376" s="220"/>
      <c r="N376" s="220"/>
      <c r="O376" s="220"/>
      <c r="P376" s="220"/>
      <c r="Q376" s="220"/>
      <c r="R376" s="220"/>
      <c r="S376" s="220"/>
      <c r="T376" s="220"/>
      <c r="U376" s="220"/>
      <c r="V376" s="220"/>
      <c r="W376" s="220"/>
    </row>
    <row r="377" ht="15.75" customHeight="1" outlineLevel="1">
      <c r="A377" s="211"/>
      <c r="B377" s="212"/>
      <c r="C377" s="213"/>
      <c r="D377" s="214" t="str">
        <f>IFERROR(VLOOKUP($C377,'PORTIFÓLIO'!C:V,2,0),"")</f>
        <v/>
      </c>
      <c r="E377" s="211" t="str">
        <f>IFERROR(VLOOKUP($C377,'PORTIFÓLIO'!C:V,3,0),"")</f>
        <v/>
      </c>
      <c r="F377" s="211" t="str">
        <f>IFERROR(VLOOKUP($C377,'PORTIFÓLIO'!C:V,4,0),"")</f>
        <v/>
      </c>
      <c r="G377" s="215" t="str">
        <f>IFERROR(VLOOKUP($C377,'PORTIFÓLIO'!C:V,5,0),"")</f>
        <v/>
      </c>
      <c r="H377" s="254" t="str">
        <f t="array" ref="H377">IFERROR(INDEX('PORTIFÓLIO'!$H$4:$H$433,MATCH($C377,'PORTIFÓLIO'!$C$4:$C$433,0)),"")</f>
        <v/>
      </c>
      <c r="I377" s="256"/>
      <c r="J377" s="218">
        <f t="shared" si="43"/>
        <v>0</v>
      </c>
      <c r="K377" s="292" t="str">
        <f t="array" ref="K377">IFERROR(I377*INDEX('PORTIFÓLIO'!$S$4:$S$433,MATCH($C377,'PORTIFÓLIO'!$C$4:$C$433,0)),"")</f>
        <v/>
      </c>
      <c r="L377" s="292" t="str">
        <f t="array" ref="L377">IFERROR(J377*INDEX('PORTIFÓLIO'!$S$4:$S$433,MATCH($C377,'PORTIFÓLIO'!$C$4:$C$433,0)),"")</f>
        <v/>
      </c>
      <c r="M377" s="220"/>
      <c r="N377" s="220"/>
      <c r="O377" s="220"/>
      <c r="P377" s="220"/>
      <c r="Q377" s="220"/>
      <c r="R377" s="220"/>
      <c r="S377" s="220"/>
      <c r="T377" s="220"/>
      <c r="U377" s="220"/>
      <c r="V377" s="220"/>
      <c r="W377" s="220"/>
    </row>
    <row r="378" ht="15.75" customHeight="1" outlineLevel="1">
      <c r="A378" s="211"/>
      <c r="B378" s="212"/>
      <c r="C378" s="213"/>
      <c r="D378" s="214" t="str">
        <f>IFERROR(VLOOKUP($C378,'PORTIFÓLIO'!C:V,2,0),"")</f>
        <v/>
      </c>
      <c r="E378" s="211" t="str">
        <f>IFERROR(VLOOKUP($C378,'PORTIFÓLIO'!C:V,3,0),"")</f>
        <v/>
      </c>
      <c r="F378" s="211" t="str">
        <f>IFERROR(VLOOKUP($C378,'PORTIFÓLIO'!C:V,4,0),"")</f>
        <v/>
      </c>
      <c r="G378" s="215" t="str">
        <f>IFERROR(VLOOKUP($C378,'PORTIFÓLIO'!C:V,5,0),"")</f>
        <v/>
      </c>
      <c r="H378" s="254" t="str">
        <f t="array" ref="H378">IFERROR(INDEX('PORTIFÓLIO'!$H$4:$H$433,MATCH($C378,'PORTIFÓLIO'!$C$4:$C$433,0)),"")</f>
        <v/>
      </c>
      <c r="I378" s="256"/>
      <c r="J378" s="218">
        <f t="shared" si="43"/>
        <v>0</v>
      </c>
      <c r="K378" s="292" t="str">
        <f t="array" ref="K378">IFERROR(I378*INDEX('PORTIFÓLIO'!$S$4:$S$433,MATCH($C378,'PORTIFÓLIO'!$C$4:$C$433,0)),"")</f>
        <v/>
      </c>
      <c r="L378" s="292" t="str">
        <f t="array" ref="L378">IFERROR(J378*INDEX('PORTIFÓLIO'!$S$4:$S$433,MATCH($C378,'PORTIFÓLIO'!$C$4:$C$433,0)),"")</f>
        <v/>
      </c>
      <c r="M378" s="220"/>
      <c r="N378" s="220"/>
      <c r="O378" s="220"/>
      <c r="P378" s="220"/>
      <c r="Q378" s="220"/>
      <c r="R378" s="220"/>
      <c r="S378" s="220"/>
      <c r="T378" s="220"/>
      <c r="U378" s="220"/>
      <c r="V378" s="220"/>
      <c r="W378" s="220"/>
    </row>
    <row r="379" ht="15.75" customHeight="1" outlineLevel="1">
      <c r="A379" s="211"/>
      <c r="B379" s="212"/>
      <c r="C379" s="213"/>
      <c r="D379" s="214" t="str">
        <f>IFERROR(VLOOKUP($C379,'PORTIFÓLIO'!C:V,2,0),"")</f>
        <v/>
      </c>
      <c r="E379" s="211" t="str">
        <f>IFERROR(VLOOKUP($C379,'PORTIFÓLIO'!C:V,3,0),"")</f>
        <v/>
      </c>
      <c r="F379" s="211" t="str">
        <f>IFERROR(VLOOKUP($C379,'PORTIFÓLIO'!C:V,4,0),"")</f>
        <v/>
      </c>
      <c r="G379" s="215" t="str">
        <f>IFERROR(VLOOKUP($C379,'PORTIFÓLIO'!C:V,5,0),"")</f>
        <v/>
      </c>
      <c r="H379" s="254" t="str">
        <f t="array" ref="H379">IFERROR(INDEX('PORTIFÓLIO'!$H$4:$H$433,MATCH($C379,'PORTIFÓLIO'!$C$4:$C$433,0)),"")</f>
        <v/>
      </c>
      <c r="I379" s="256"/>
      <c r="J379" s="218">
        <f t="shared" si="43"/>
        <v>0</v>
      </c>
      <c r="K379" s="292" t="str">
        <f t="array" ref="K379">IFERROR(I379*INDEX('PORTIFÓLIO'!$S$4:$S$433,MATCH($C379,'PORTIFÓLIO'!$C$4:$C$433,0)),"")</f>
        <v/>
      </c>
      <c r="L379" s="292" t="str">
        <f t="array" ref="L379">IFERROR(J379*INDEX('PORTIFÓLIO'!$S$4:$S$433,MATCH($C379,'PORTIFÓLIO'!$C$4:$C$433,0)),"")</f>
        <v/>
      </c>
      <c r="M379" s="220"/>
      <c r="N379" s="220"/>
      <c r="O379" s="220"/>
      <c r="P379" s="220"/>
      <c r="Q379" s="220"/>
      <c r="R379" s="220"/>
      <c r="S379" s="220"/>
      <c r="T379" s="220"/>
      <c r="U379" s="220"/>
      <c r="V379" s="220"/>
      <c r="W379" s="220"/>
    </row>
    <row r="380" ht="15.75" customHeight="1" outlineLevel="1">
      <c r="A380" s="211"/>
      <c r="B380" s="212"/>
      <c r="C380" s="213"/>
      <c r="D380" s="214" t="str">
        <f>IFERROR(VLOOKUP($C380,'PORTIFÓLIO'!C:V,2,0),"")</f>
        <v/>
      </c>
      <c r="E380" s="211" t="str">
        <f>IFERROR(VLOOKUP($C380,'PORTIFÓLIO'!C:V,3,0),"")</f>
        <v/>
      </c>
      <c r="F380" s="211" t="str">
        <f>IFERROR(VLOOKUP($C380,'PORTIFÓLIO'!C:V,4,0),"")</f>
        <v/>
      </c>
      <c r="G380" s="215" t="str">
        <f>IFERROR(VLOOKUP($C380,'PORTIFÓLIO'!C:V,5,0),"")</f>
        <v/>
      </c>
      <c r="H380" s="254" t="str">
        <f t="array" ref="H380">IFERROR(INDEX('PORTIFÓLIO'!$H$4:$H$433,MATCH($C380,'PORTIFÓLIO'!$C$4:$C$433,0)),"")</f>
        <v/>
      </c>
      <c r="I380" s="256"/>
      <c r="J380" s="218">
        <f t="shared" si="43"/>
        <v>0</v>
      </c>
      <c r="K380" s="292" t="str">
        <f t="array" ref="K380">IFERROR(I380*INDEX('PORTIFÓLIO'!$S$4:$S$433,MATCH($C380,'PORTIFÓLIO'!$C$4:$C$433,0)),"")</f>
        <v/>
      </c>
      <c r="L380" s="292" t="str">
        <f t="array" ref="L380">IFERROR(J380*INDEX('PORTIFÓLIO'!$S$4:$S$433,MATCH($C380,'PORTIFÓLIO'!$C$4:$C$433,0)),"")</f>
        <v/>
      </c>
      <c r="M380" s="220"/>
      <c r="N380" s="220"/>
      <c r="O380" s="220"/>
      <c r="P380" s="220"/>
      <c r="Q380" s="220"/>
      <c r="R380" s="220"/>
      <c r="S380" s="220"/>
      <c r="T380" s="220"/>
      <c r="U380" s="220"/>
      <c r="V380" s="220"/>
      <c r="W380" s="220"/>
    </row>
    <row r="381" ht="15.75" customHeight="1" outlineLevel="1">
      <c r="A381" s="211"/>
      <c r="B381" s="212"/>
      <c r="C381" s="213"/>
      <c r="D381" s="214" t="str">
        <f>IFERROR(VLOOKUP($C381,'PORTIFÓLIO'!C:V,2,0),"")</f>
        <v/>
      </c>
      <c r="E381" s="211" t="str">
        <f>IFERROR(VLOOKUP($C381,'PORTIFÓLIO'!C:V,3,0),"")</f>
        <v/>
      </c>
      <c r="F381" s="211" t="str">
        <f>IFERROR(VLOOKUP($C381,'PORTIFÓLIO'!C:V,4,0),"")</f>
        <v/>
      </c>
      <c r="G381" s="215" t="str">
        <f>IFERROR(VLOOKUP($C381,'PORTIFÓLIO'!C:V,5,0),"")</f>
        <v/>
      </c>
      <c r="H381" s="254" t="str">
        <f t="array" ref="H381">IFERROR(INDEX('PORTIFÓLIO'!$H$4:$H$433,MATCH($C381,'PORTIFÓLIO'!$C$4:$C$433,0)),"")</f>
        <v/>
      </c>
      <c r="I381" s="256"/>
      <c r="J381" s="218">
        <f t="shared" si="43"/>
        <v>0</v>
      </c>
      <c r="K381" s="292" t="str">
        <f t="array" ref="K381">IFERROR(I381*INDEX('PORTIFÓLIO'!$S$4:$S$433,MATCH($C381,'PORTIFÓLIO'!$C$4:$C$433,0)),"")</f>
        <v/>
      </c>
      <c r="L381" s="292" t="str">
        <f t="array" ref="L381">IFERROR(J381*INDEX('PORTIFÓLIO'!$S$4:$S$433,MATCH($C381,'PORTIFÓLIO'!$C$4:$C$433,0)),"")</f>
        <v/>
      </c>
      <c r="M381" s="220"/>
      <c r="N381" s="220"/>
      <c r="O381" s="220"/>
      <c r="P381" s="220"/>
      <c r="Q381" s="220"/>
      <c r="R381" s="220"/>
      <c r="S381" s="220"/>
      <c r="T381" s="220"/>
      <c r="U381" s="220"/>
      <c r="V381" s="220"/>
      <c r="W381" s="220"/>
    </row>
    <row r="382" ht="15.75" customHeight="1" outlineLevel="1">
      <c r="A382" s="211"/>
      <c r="B382" s="212"/>
      <c r="C382" s="213"/>
      <c r="D382" s="214" t="str">
        <f>IFERROR(VLOOKUP($C382,'PORTIFÓLIO'!C:V,2,0),"")</f>
        <v/>
      </c>
      <c r="E382" s="211" t="str">
        <f>IFERROR(VLOOKUP($C382,'PORTIFÓLIO'!C:V,3,0),"")</f>
        <v/>
      </c>
      <c r="F382" s="211" t="str">
        <f>IFERROR(VLOOKUP($C382,'PORTIFÓLIO'!C:V,4,0),"")</f>
        <v/>
      </c>
      <c r="G382" s="215" t="str">
        <f>IFERROR(VLOOKUP($C382,'PORTIFÓLIO'!C:V,5,0),"")</f>
        <v/>
      </c>
      <c r="H382" s="254" t="str">
        <f t="array" ref="H382">IFERROR(INDEX('PORTIFÓLIO'!$H$4:$H$433,MATCH($C382,'PORTIFÓLIO'!$C$4:$C$433,0)),"")</f>
        <v/>
      </c>
      <c r="I382" s="256"/>
      <c r="J382" s="218">
        <f t="shared" si="43"/>
        <v>0</v>
      </c>
      <c r="K382" s="292" t="str">
        <f t="array" ref="K382">IFERROR(I382*INDEX('PORTIFÓLIO'!$S$4:$S$433,MATCH($C382,'PORTIFÓLIO'!$C$4:$C$433,0)),"")</f>
        <v/>
      </c>
      <c r="L382" s="292" t="str">
        <f t="array" ref="L382">IFERROR(J382*INDEX('PORTIFÓLIO'!$S$4:$S$433,MATCH($C382,'PORTIFÓLIO'!$C$4:$C$433,0)),"")</f>
        <v/>
      </c>
      <c r="M382" s="220"/>
      <c r="N382" s="220"/>
      <c r="O382" s="220"/>
      <c r="P382" s="220"/>
      <c r="Q382" s="220"/>
      <c r="R382" s="220"/>
      <c r="S382" s="220"/>
      <c r="T382" s="220"/>
      <c r="U382" s="220"/>
      <c r="V382" s="220"/>
      <c r="W382" s="220"/>
    </row>
    <row r="383" ht="15.75" customHeight="1" outlineLevel="1">
      <c r="A383" s="211"/>
      <c r="B383" s="212"/>
      <c r="C383" s="213"/>
      <c r="D383" s="214" t="str">
        <f>IFERROR(VLOOKUP($C383,'PORTIFÓLIO'!C:V,2,0),"")</f>
        <v/>
      </c>
      <c r="E383" s="211" t="str">
        <f>IFERROR(VLOOKUP($C383,'PORTIFÓLIO'!C:V,3,0),"")</f>
        <v/>
      </c>
      <c r="F383" s="211" t="str">
        <f>IFERROR(VLOOKUP($C383,'PORTIFÓLIO'!C:V,4,0),"")</f>
        <v/>
      </c>
      <c r="G383" s="215" t="str">
        <f>IFERROR(VLOOKUP($C383,'PORTIFÓLIO'!C:V,5,0),"")</f>
        <v/>
      </c>
      <c r="H383" s="254" t="str">
        <f t="array" ref="H383">IFERROR(INDEX('PORTIFÓLIO'!$H$4:$H$433,MATCH($C383,'PORTIFÓLIO'!$C$4:$C$433,0)),"")</f>
        <v/>
      </c>
      <c r="I383" s="256"/>
      <c r="J383" s="218">
        <f t="shared" si="43"/>
        <v>0</v>
      </c>
      <c r="K383" s="292" t="str">
        <f t="array" ref="K383">IFERROR(I383*INDEX('PORTIFÓLIO'!$S$4:$S$433,MATCH($C383,'PORTIFÓLIO'!$C$4:$C$433,0)),"")</f>
        <v/>
      </c>
      <c r="L383" s="292" t="str">
        <f t="array" ref="L383">IFERROR(J383*INDEX('PORTIFÓLIO'!$S$4:$S$433,MATCH($C383,'PORTIFÓLIO'!$C$4:$C$433,0)),"")</f>
        <v/>
      </c>
      <c r="M383" s="220"/>
      <c r="N383" s="220"/>
      <c r="O383" s="220"/>
      <c r="P383" s="220"/>
      <c r="Q383" s="220"/>
      <c r="R383" s="220"/>
      <c r="S383" s="220"/>
      <c r="T383" s="220"/>
      <c r="U383" s="220"/>
      <c r="V383" s="220"/>
      <c r="W383" s="220"/>
    </row>
    <row r="384" ht="15.75" customHeight="1" outlineLevel="1">
      <c r="A384" s="211"/>
      <c r="B384" s="212"/>
      <c r="C384" s="213"/>
      <c r="D384" s="214" t="str">
        <f>IFERROR(VLOOKUP($C384,'PORTIFÓLIO'!C:V,2,0),"")</f>
        <v/>
      </c>
      <c r="E384" s="211" t="str">
        <f>IFERROR(VLOOKUP($C384,'PORTIFÓLIO'!C:V,3,0),"")</f>
        <v/>
      </c>
      <c r="F384" s="211" t="str">
        <f>IFERROR(VLOOKUP($C384,'PORTIFÓLIO'!C:V,4,0),"")</f>
        <v/>
      </c>
      <c r="G384" s="215" t="str">
        <f>IFERROR(VLOOKUP($C384,'PORTIFÓLIO'!C:V,5,0),"")</f>
        <v/>
      </c>
      <c r="H384" s="254" t="str">
        <f t="array" ref="H384">IFERROR(INDEX('PORTIFÓLIO'!$H$4:$H$433,MATCH($C384,'PORTIFÓLIO'!$C$4:$C$433,0)),"")</f>
        <v/>
      </c>
      <c r="I384" s="255"/>
      <c r="J384" s="218">
        <f t="shared" si="43"/>
        <v>0</v>
      </c>
      <c r="K384" s="292" t="str">
        <f t="array" ref="K384">IFERROR(I384*INDEX('PORTIFÓLIO'!$S$4:$S$433,MATCH($C384,'PORTIFÓLIO'!$C$4:$C$433,0)),"")</f>
        <v/>
      </c>
      <c r="L384" s="292" t="str">
        <f t="array" ref="L384">IFERROR(J384*INDEX('PORTIFÓLIO'!$S$4:$S$433,MATCH($C384,'PORTIFÓLIO'!$C$4:$C$433,0)),"")</f>
        <v/>
      </c>
      <c r="M384" s="220"/>
      <c r="N384" s="220"/>
      <c r="O384" s="220"/>
      <c r="P384" s="220"/>
      <c r="Q384" s="220"/>
      <c r="R384" s="220"/>
      <c r="S384" s="220"/>
      <c r="T384" s="220"/>
      <c r="U384" s="220"/>
      <c r="V384" s="220"/>
      <c r="W384" s="220"/>
    </row>
    <row r="385" ht="15.75" customHeight="1" outlineLevel="1">
      <c r="A385" s="211"/>
      <c r="B385" s="212"/>
      <c r="C385" s="213"/>
      <c r="D385" s="214" t="str">
        <f>IFERROR(VLOOKUP($C385,'PORTIFÓLIO'!C:V,2,0),"")</f>
        <v/>
      </c>
      <c r="E385" s="211" t="str">
        <f>IFERROR(VLOOKUP($C385,'PORTIFÓLIO'!C:V,3,0),"")</f>
        <v/>
      </c>
      <c r="F385" s="211" t="str">
        <f>IFERROR(VLOOKUP($C385,'PORTIFÓLIO'!C:V,4,0),"")</f>
        <v/>
      </c>
      <c r="G385" s="215" t="str">
        <f>IFERROR(VLOOKUP($C385,'PORTIFÓLIO'!C:V,5,0),"")</f>
        <v/>
      </c>
      <c r="H385" s="254" t="str">
        <f t="array" ref="H385">IFERROR(INDEX('PORTIFÓLIO'!$H$4:$H$433,MATCH($C385,'PORTIFÓLIO'!$C$4:$C$433,0)),"")</f>
        <v/>
      </c>
      <c r="I385" s="256"/>
      <c r="J385" s="218">
        <f t="shared" si="43"/>
        <v>0</v>
      </c>
      <c r="K385" s="292" t="str">
        <f t="array" ref="K385">IFERROR(I385*INDEX('PORTIFÓLIO'!$S$4:$S$433,MATCH($C385,'PORTIFÓLIO'!$C$4:$C$433,0)),"")</f>
        <v/>
      </c>
      <c r="L385" s="292" t="str">
        <f t="array" ref="L385">IFERROR(J385*INDEX('PORTIFÓLIO'!$S$4:$S$433,MATCH($C385,'PORTIFÓLIO'!$C$4:$C$433,0)),"")</f>
        <v/>
      </c>
      <c r="M385" s="220"/>
      <c r="N385" s="220"/>
      <c r="O385" s="220"/>
      <c r="P385" s="220"/>
      <c r="Q385" s="220"/>
      <c r="R385" s="220"/>
      <c r="S385" s="220"/>
      <c r="T385" s="220"/>
      <c r="U385" s="220"/>
      <c r="V385" s="220"/>
      <c r="W385" s="220"/>
    </row>
    <row r="386" ht="15.75" customHeight="1" outlineLevel="1">
      <c r="A386" s="211"/>
      <c r="B386" s="212"/>
      <c r="C386" s="213"/>
      <c r="D386" s="214" t="str">
        <f>IFERROR(VLOOKUP($C386,'PORTIFÓLIO'!C:V,2,0),"")</f>
        <v/>
      </c>
      <c r="E386" s="211" t="str">
        <f>IFERROR(VLOOKUP($C386,'PORTIFÓLIO'!C:V,3,0),"")</f>
        <v/>
      </c>
      <c r="F386" s="211" t="str">
        <f>IFERROR(VLOOKUP($C386,'PORTIFÓLIO'!C:V,4,0),"")</f>
        <v/>
      </c>
      <c r="G386" s="215" t="str">
        <f>IFERROR(VLOOKUP($C386,'PORTIFÓLIO'!C:V,5,0),"")</f>
        <v/>
      </c>
      <c r="H386" s="254" t="str">
        <f t="array" ref="H386">IFERROR(INDEX('PORTIFÓLIO'!$H$4:$H$433,MATCH($C386,'PORTIFÓLIO'!$C$4:$C$433,0)),"")</f>
        <v/>
      </c>
      <c r="I386" s="256"/>
      <c r="J386" s="218">
        <f t="shared" si="43"/>
        <v>0</v>
      </c>
      <c r="K386" s="292" t="str">
        <f t="array" ref="K386">IFERROR(I386*INDEX('PORTIFÓLIO'!$S$4:$S$433,MATCH($C386,'PORTIFÓLIO'!$C$4:$C$433,0)),"")</f>
        <v/>
      </c>
      <c r="L386" s="292" t="str">
        <f t="array" ref="L386">IFERROR(J386*INDEX('PORTIFÓLIO'!$S$4:$S$433,MATCH($C386,'PORTIFÓLIO'!$C$4:$C$433,0)),"")</f>
        <v/>
      </c>
      <c r="M386" s="220"/>
      <c r="N386" s="220"/>
      <c r="O386" s="220"/>
      <c r="P386" s="220"/>
      <c r="Q386" s="220"/>
      <c r="R386" s="220"/>
      <c r="S386" s="220"/>
      <c r="T386" s="220"/>
      <c r="U386" s="220"/>
      <c r="V386" s="220"/>
      <c r="W386" s="220"/>
    </row>
    <row r="387" ht="15.75" customHeight="1" outlineLevel="1">
      <c r="A387" s="211"/>
      <c r="B387" s="212"/>
      <c r="C387" s="213"/>
      <c r="D387" s="214" t="str">
        <f>IFERROR(VLOOKUP($C387,'PORTIFÓLIO'!C:V,2,0),"")</f>
        <v/>
      </c>
      <c r="E387" s="211" t="str">
        <f>IFERROR(VLOOKUP($C387,'PORTIFÓLIO'!C:V,3,0),"")</f>
        <v/>
      </c>
      <c r="F387" s="211" t="str">
        <f>IFERROR(VLOOKUP($C387,'PORTIFÓLIO'!C:V,4,0),"")</f>
        <v/>
      </c>
      <c r="G387" s="215" t="str">
        <f>IFERROR(VLOOKUP($C387,'PORTIFÓLIO'!C:V,5,0),"")</f>
        <v/>
      </c>
      <c r="H387" s="254" t="str">
        <f t="array" ref="H387">IFERROR(INDEX('PORTIFÓLIO'!$H$4:$H$433,MATCH($C387,'PORTIFÓLIO'!$C$4:$C$433,0)),"")</f>
        <v/>
      </c>
      <c r="I387" s="256"/>
      <c r="J387" s="218">
        <f t="shared" si="43"/>
        <v>0</v>
      </c>
      <c r="K387" s="292" t="str">
        <f t="array" ref="K387">IFERROR(I387*INDEX('PORTIFÓLIO'!$S$4:$S$433,MATCH($C387,'PORTIFÓLIO'!$C$4:$C$433,0)),"")</f>
        <v/>
      </c>
      <c r="L387" s="292" t="str">
        <f t="array" ref="L387">IFERROR(J387*INDEX('PORTIFÓLIO'!$S$4:$S$433,MATCH($C387,'PORTIFÓLIO'!$C$4:$C$433,0)),"")</f>
        <v/>
      </c>
      <c r="M387" s="220"/>
      <c r="N387" s="220"/>
      <c r="O387" s="220"/>
      <c r="P387" s="220"/>
      <c r="Q387" s="220"/>
      <c r="R387" s="220"/>
      <c r="S387" s="220"/>
      <c r="T387" s="220"/>
      <c r="U387" s="220"/>
      <c r="V387" s="220"/>
      <c r="W387" s="220"/>
    </row>
    <row r="388" ht="15.75" customHeight="1" outlineLevel="1">
      <c r="A388" s="211"/>
      <c r="B388" s="212"/>
      <c r="C388" s="213"/>
      <c r="D388" s="214" t="str">
        <f>IFERROR(VLOOKUP($C388,'PORTIFÓLIO'!C:V,2,0),"")</f>
        <v/>
      </c>
      <c r="E388" s="211" t="str">
        <f>IFERROR(VLOOKUP($C388,'PORTIFÓLIO'!C:V,3,0),"")</f>
        <v/>
      </c>
      <c r="F388" s="211" t="str">
        <f>IFERROR(VLOOKUP($C388,'PORTIFÓLIO'!C:V,4,0),"")</f>
        <v/>
      </c>
      <c r="G388" s="215" t="str">
        <f>IFERROR(VLOOKUP($C388,'PORTIFÓLIO'!C:V,5,0),"")</f>
        <v/>
      </c>
      <c r="H388" s="254" t="str">
        <f t="array" ref="H388">IFERROR(INDEX('PORTIFÓLIO'!$H$4:$H$433,MATCH($C388,'PORTIFÓLIO'!$C$4:$C$433,0)),"")</f>
        <v/>
      </c>
      <c r="I388" s="256"/>
      <c r="J388" s="218">
        <f t="shared" si="43"/>
        <v>0</v>
      </c>
      <c r="K388" s="292" t="str">
        <f t="array" ref="K388">IFERROR(I388*INDEX('PORTIFÓLIO'!$S$4:$S$433,MATCH($C388,'PORTIFÓLIO'!$C$4:$C$433,0)),"")</f>
        <v/>
      </c>
      <c r="L388" s="292" t="str">
        <f t="array" ref="L388">IFERROR(J388*INDEX('PORTIFÓLIO'!$S$4:$S$433,MATCH($C388,'PORTIFÓLIO'!$C$4:$C$433,0)),"")</f>
        <v/>
      </c>
      <c r="M388" s="220"/>
      <c r="N388" s="220"/>
      <c r="O388" s="220"/>
      <c r="P388" s="220"/>
      <c r="Q388" s="220"/>
      <c r="R388" s="220"/>
      <c r="S388" s="220"/>
      <c r="T388" s="220"/>
      <c r="U388" s="220"/>
      <c r="V388" s="220"/>
      <c r="W388" s="220"/>
    </row>
    <row r="389" ht="15.75" customHeight="1" outlineLevel="1">
      <c r="A389" s="211"/>
      <c r="B389" s="212"/>
      <c r="C389" s="213"/>
      <c r="D389" s="214" t="str">
        <f>IFERROR(VLOOKUP($C389,'PORTIFÓLIO'!C:V,2,0),"")</f>
        <v/>
      </c>
      <c r="E389" s="211" t="str">
        <f>IFERROR(VLOOKUP($C389,'PORTIFÓLIO'!C:V,3,0),"")</f>
        <v/>
      </c>
      <c r="F389" s="211" t="str">
        <f>IFERROR(VLOOKUP($C389,'PORTIFÓLIO'!C:V,4,0),"")</f>
        <v/>
      </c>
      <c r="G389" s="215" t="str">
        <f>IFERROR(VLOOKUP($C389,'PORTIFÓLIO'!C:V,5,0),"")</f>
        <v/>
      </c>
      <c r="H389" s="254" t="str">
        <f t="array" ref="H389">IFERROR(INDEX('PORTIFÓLIO'!$H$4:$H$433,MATCH($C389,'PORTIFÓLIO'!$C$4:$C$433,0)),"")</f>
        <v/>
      </c>
      <c r="I389" s="256"/>
      <c r="J389" s="218">
        <f t="shared" si="43"/>
        <v>0</v>
      </c>
      <c r="K389" s="292" t="str">
        <f t="array" ref="K389">IFERROR(I389*INDEX('PORTIFÓLIO'!$S$4:$S$433,MATCH($C389,'PORTIFÓLIO'!$C$4:$C$433,0)),"")</f>
        <v/>
      </c>
      <c r="L389" s="292" t="str">
        <f t="array" ref="L389">IFERROR(J389*INDEX('PORTIFÓLIO'!$S$4:$S$433,MATCH($C389,'PORTIFÓLIO'!$C$4:$C$433,0)),"")</f>
        <v/>
      </c>
      <c r="M389" s="220"/>
      <c r="N389" s="220"/>
      <c r="O389" s="220"/>
      <c r="P389" s="220"/>
      <c r="Q389" s="220"/>
      <c r="R389" s="220"/>
      <c r="S389" s="220"/>
      <c r="T389" s="220"/>
      <c r="U389" s="220"/>
      <c r="V389" s="220"/>
      <c r="W389" s="220"/>
    </row>
    <row r="390" ht="15.75" customHeight="1" outlineLevel="1">
      <c r="A390" s="211"/>
      <c r="B390" s="212"/>
      <c r="C390" s="213"/>
      <c r="D390" s="214" t="str">
        <f>IFERROR(VLOOKUP($C390,'PORTIFÓLIO'!C:V,2,0),"")</f>
        <v/>
      </c>
      <c r="E390" s="211" t="str">
        <f>IFERROR(VLOOKUP($C390,'PORTIFÓLIO'!C:V,3,0),"")</f>
        <v/>
      </c>
      <c r="F390" s="211" t="str">
        <f>IFERROR(VLOOKUP($C390,'PORTIFÓLIO'!C:V,4,0),"")</f>
        <v/>
      </c>
      <c r="G390" s="215" t="str">
        <f>IFERROR(VLOOKUP($C390,'PORTIFÓLIO'!C:V,5,0),"")</f>
        <v/>
      </c>
      <c r="H390" s="254" t="str">
        <f t="array" ref="H390">IFERROR(INDEX('PORTIFÓLIO'!$H$4:$H$433,MATCH($C390,'PORTIFÓLIO'!$C$4:$C$433,0)),"")</f>
        <v/>
      </c>
      <c r="I390" s="256"/>
      <c r="J390" s="218">
        <f t="shared" si="43"/>
        <v>0</v>
      </c>
      <c r="K390" s="292" t="str">
        <f t="array" ref="K390">IFERROR(I390*INDEX('PORTIFÓLIO'!$S$4:$S$433,MATCH($C390,'PORTIFÓLIO'!$C$4:$C$433,0)),"")</f>
        <v/>
      </c>
      <c r="L390" s="292" t="str">
        <f t="array" ref="L390">IFERROR(J390*INDEX('PORTIFÓLIO'!$S$4:$S$433,MATCH($C390,'PORTIFÓLIO'!$C$4:$C$433,0)),"")</f>
        <v/>
      </c>
      <c r="M390" s="220"/>
      <c r="N390" s="220"/>
      <c r="O390" s="220"/>
      <c r="P390" s="220"/>
      <c r="Q390" s="220"/>
      <c r="R390" s="220"/>
      <c r="S390" s="220"/>
      <c r="T390" s="220"/>
      <c r="U390" s="220"/>
      <c r="V390" s="220"/>
      <c r="W390" s="220"/>
    </row>
    <row r="391" ht="15.75" customHeight="1" outlineLevel="1">
      <c r="A391" s="211"/>
      <c r="B391" s="227"/>
      <c r="C391" s="211"/>
      <c r="D391" s="214" t="str">
        <f>IFERROR(VLOOKUP($C391,'PORTIFÓLIO'!C:V,2,0),"")</f>
        <v/>
      </c>
      <c r="E391" s="211" t="str">
        <f>IFERROR(VLOOKUP($C391,'PORTIFÓLIO'!C:V,3,0),"")</f>
        <v/>
      </c>
      <c r="F391" s="211" t="str">
        <f>IFERROR(VLOOKUP($C391,'PORTIFÓLIO'!C:V,4,0),"")</f>
        <v/>
      </c>
      <c r="G391" s="215" t="str">
        <f>IFERROR(VLOOKUP($C391,'PORTIFÓLIO'!C:V,5,0),"")</f>
        <v/>
      </c>
      <c r="H391" s="254" t="str">
        <f t="array" ref="H391">IFERROR(INDEX('PORTIFÓLIO'!$H$4:$H$433,MATCH($C391,'PORTIFÓLIO'!$C$4:$C$433,0)),"")</f>
        <v/>
      </c>
      <c r="I391" s="256"/>
      <c r="J391" s="218"/>
      <c r="K391" s="292" t="str">
        <f t="array" ref="K391">IFERROR(I391*INDEX('PORTIFÓLIO'!$S$4:$S$433,MATCH($C391,'PORTIFÓLIO'!$C$4:$C$433,0)),"")</f>
        <v/>
      </c>
      <c r="L391" s="292" t="str">
        <f t="array" ref="L391">IFERROR(J391*INDEX('PORTIFÓLIO'!$S$4:$S$433,MATCH($C391,'PORTIFÓLIO'!$C$4:$C$433,0)),"")</f>
        <v/>
      </c>
      <c r="M391" s="220"/>
      <c r="N391" s="220"/>
      <c r="O391" s="220"/>
      <c r="P391" s="220"/>
      <c r="Q391" s="220"/>
      <c r="R391" s="220"/>
      <c r="S391" s="220"/>
      <c r="T391" s="220"/>
      <c r="U391" s="220"/>
      <c r="V391" s="220"/>
      <c r="W391" s="220"/>
    </row>
    <row r="392" ht="15.75" customHeight="1">
      <c r="A392" s="229" t="s">
        <v>1193</v>
      </c>
      <c r="B392" s="230"/>
      <c r="C392" s="231"/>
      <c r="D392" s="232"/>
      <c r="E392" s="231"/>
      <c r="F392" s="231"/>
      <c r="G392" s="233"/>
      <c r="H392" s="233"/>
      <c r="I392" s="258"/>
      <c r="J392" s="236"/>
      <c r="K392" s="237">
        <f t="shared" ref="K392:L392" si="44">SUBTOTAL(9,K393:K406)</f>
        <v>0</v>
      </c>
      <c r="L392" s="237">
        <f t="shared" si="44"/>
        <v>0</v>
      </c>
      <c r="M392" s="220"/>
      <c r="N392" s="220"/>
      <c r="O392" s="220"/>
      <c r="P392" s="220"/>
      <c r="Q392" s="220"/>
      <c r="R392" s="220"/>
      <c r="S392" s="220"/>
      <c r="T392" s="220"/>
      <c r="U392" s="220"/>
      <c r="V392" s="220"/>
      <c r="W392" s="220"/>
    </row>
    <row r="393" ht="15.75" customHeight="1" outlineLevel="1">
      <c r="A393" s="213"/>
      <c r="B393" s="212"/>
      <c r="C393" s="213"/>
      <c r="D393" s="214" t="str">
        <f>IFERROR(VLOOKUP($C393,'PORTIFÓLIO'!C:V,2,0),"")</f>
        <v/>
      </c>
      <c r="E393" s="211" t="str">
        <f>IFERROR(VLOOKUP($C393,'PORTIFÓLIO'!C:V,3,0),"")</f>
        <v/>
      </c>
      <c r="F393" s="211" t="str">
        <f>IFERROR(VLOOKUP($C393,'PORTIFÓLIO'!C:V,4,0),"")</f>
        <v/>
      </c>
      <c r="G393" s="215" t="str">
        <f>IFERROR(VLOOKUP($C393,'PORTIFÓLIO'!C:V,5,0),"")</f>
        <v/>
      </c>
      <c r="H393" s="254" t="str">
        <f t="array" ref="H393">IFERROR(INDEX('PORTIFÓLIO'!$H$4:$H$433,MATCH($C393,'PORTIFÓLIO'!$C$4:$C$433,0)),"")</f>
        <v/>
      </c>
      <c r="I393" s="255"/>
      <c r="J393" s="218">
        <f t="shared" ref="J393:J408" si="45">I393*$B$2</f>
        <v>0</v>
      </c>
      <c r="K393" s="292" t="str">
        <f t="array" ref="K393">IFERROR(I393*INDEX('PORTIFÓLIO'!$S$4:$S$433,MATCH($C393,'PORTIFÓLIO'!$C$4:$C$433,0)),"")</f>
        <v/>
      </c>
      <c r="L393" s="292" t="str">
        <f t="array" ref="L393">IFERROR(J393*INDEX('PORTIFÓLIO'!$S$4:$S$433,MATCH($C393,'PORTIFÓLIO'!$C$4:$C$433,0)),"")</f>
        <v/>
      </c>
      <c r="M393" s="220"/>
      <c r="N393" s="220"/>
      <c r="O393" s="220"/>
      <c r="P393" s="220"/>
      <c r="Q393" s="220"/>
      <c r="R393" s="220"/>
      <c r="S393" s="220"/>
      <c r="T393" s="220"/>
      <c r="U393" s="220"/>
      <c r="V393" s="220"/>
      <c r="W393" s="220"/>
    </row>
    <row r="394" ht="15.75" customHeight="1" outlineLevel="1">
      <c r="A394" s="211"/>
      <c r="B394" s="212"/>
      <c r="C394" s="213"/>
      <c r="D394" s="214" t="str">
        <f>IFERROR(VLOOKUP($C394,'PORTIFÓLIO'!C:V,2,0),"")</f>
        <v/>
      </c>
      <c r="E394" s="211" t="str">
        <f>IFERROR(VLOOKUP($C394,'PORTIFÓLIO'!C:V,3,0),"")</f>
        <v/>
      </c>
      <c r="F394" s="211" t="str">
        <f>IFERROR(VLOOKUP($C394,'PORTIFÓLIO'!C:V,4,0),"")</f>
        <v/>
      </c>
      <c r="G394" s="215" t="str">
        <f>IFERROR(VLOOKUP($C394,'PORTIFÓLIO'!C:V,5,0),"")</f>
        <v/>
      </c>
      <c r="H394" s="254" t="str">
        <f t="array" ref="H394">IFERROR(INDEX('PORTIFÓLIO'!$H$4:$H$433,MATCH($C394,'PORTIFÓLIO'!$C$4:$C$433,0)),"")</f>
        <v/>
      </c>
      <c r="I394" s="256"/>
      <c r="J394" s="218">
        <f t="shared" si="45"/>
        <v>0</v>
      </c>
      <c r="K394" s="292" t="str">
        <f t="array" ref="K394">IFERROR(I394*INDEX('PORTIFÓLIO'!$S$4:$S$433,MATCH($C394,'PORTIFÓLIO'!$C$4:$C$433,0)),"")</f>
        <v/>
      </c>
      <c r="L394" s="292" t="str">
        <f t="array" ref="L394">IFERROR(J394*INDEX('PORTIFÓLIO'!$S$4:$S$433,MATCH($C394,'PORTIFÓLIO'!$C$4:$C$433,0)),"")</f>
        <v/>
      </c>
      <c r="M394" s="220"/>
      <c r="N394" s="220"/>
      <c r="O394" s="220"/>
      <c r="P394" s="220"/>
      <c r="Q394" s="220"/>
      <c r="R394" s="220"/>
      <c r="S394" s="220"/>
      <c r="T394" s="220"/>
      <c r="U394" s="220"/>
      <c r="V394" s="220"/>
      <c r="W394" s="220"/>
    </row>
    <row r="395" ht="15.75" customHeight="1" outlineLevel="1">
      <c r="A395" s="211"/>
      <c r="B395" s="212"/>
      <c r="C395" s="213"/>
      <c r="D395" s="214" t="str">
        <f>IFERROR(VLOOKUP($C395,'PORTIFÓLIO'!C:V,2,0),"")</f>
        <v/>
      </c>
      <c r="E395" s="211" t="str">
        <f>IFERROR(VLOOKUP($C395,'PORTIFÓLIO'!C:V,3,0),"")</f>
        <v/>
      </c>
      <c r="F395" s="211" t="str">
        <f>IFERROR(VLOOKUP($C395,'PORTIFÓLIO'!C:V,4,0),"")</f>
        <v/>
      </c>
      <c r="G395" s="215" t="str">
        <f>IFERROR(VLOOKUP($C395,'PORTIFÓLIO'!C:V,5,0),"")</f>
        <v/>
      </c>
      <c r="H395" s="254" t="str">
        <f t="array" ref="H395">IFERROR(INDEX('PORTIFÓLIO'!$H$4:$H$433,MATCH($C395,'PORTIFÓLIO'!$C$4:$C$433,0)),"")</f>
        <v/>
      </c>
      <c r="I395" s="256"/>
      <c r="J395" s="218">
        <f t="shared" si="45"/>
        <v>0</v>
      </c>
      <c r="K395" s="292" t="str">
        <f t="array" ref="K395">IFERROR(I395*INDEX('PORTIFÓLIO'!$S$4:$S$433,MATCH($C395,'PORTIFÓLIO'!$C$4:$C$433,0)),"")</f>
        <v/>
      </c>
      <c r="L395" s="292" t="str">
        <f t="array" ref="L395">IFERROR(J395*INDEX('PORTIFÓLIO'!$S$4:$S$433,MATCH($C395,'PORTIFÓLIO'!$C$4:$C$433,0)),"")</f>
        <v/>
      </c>
      <c r="M395" s="220"/>
      <c r="N395" s="220"/>
      <c r="O395" s="220"/>
      <c r="P395" s="220"/>
      <c r="Q395" s="220"/>
      <c r="R395" s="220"/>
      <c r="S395" s="220"/>
      <c r="T395" s="220"/>
      <c r="U395" s="220"/>
      <c r="V395" s="220"/>
      <c r="W395" s="220"/>
    </row>
    <row r="396" ht="15.75" customHeight="1" outlineLevel="1">
      <c r="A396" s="211"/>
      <c r="B396" s="212"/>
      <c r="C396" s="213"/>
      <c r="D396" s="214" t="str">
        <f>IFERROR(VLOOKUP($C396,'PORTIFÓLIO'!C:V,2,0),"")</f>
        <v/>
      </c>
      <c r="E396" s="211" t="str">
        <f>IFERROR(VLOOKUP($C396,'PORTIFÓLIO'!C:V,3,0),"")</f>
        <v/>
      </c>
      <c r="F396" s="211" t="str">
        <f>IFERROR(VLOOKUP($C396,'PORTIFÓLIO'!C:V,4,0),"")</f>
        <v/>
      </c>
      <c r="G396" s="215" t="str">
        <f>IFERROR(VLOOKUP($C396,'PORTIFÓLIO'!C:V,5,0),"")</f>
        <v/>
      </c>
      <c r="H396" s="254" t="str">
        <f t="array" ref="H396">IFERROR(INDEX('PORTIFÓLIO'!$H$4:$H$433,MATCH($C396,'PORTIFÓLIO'!$C$4:$C$433,0)),"")</f>
        <v/>
      </c>
      <c r="I396" s="256"/>
      <c r="J396" s="218">
        <f t="shared" si="45"/>
        <v>0</v>
      </c>
      <c r="K396" s="292" t="str">
        <f t="array" ref="K396">IFERROR(I396*INDEX('PORTIFÓLIO'!$S$4:$S$433,MATCH($C396,'PORTIFÓLIO'!$C$4:$C$433,0)),"")</f>
        <v/>
      </c>
      <c r="L396" s="292" t="str">
        <f t="array" ref="L396">IFERROR(J396*INDEX('PORTIFÓLIO'!$S$4:$S$433,MATCH($C396,'PORTIFÓLIO'!$C$4:$C$433,0)),"")</f>
        <v/>
      </c>
      <c r="M396" s="220"/>
      <c r="N396" s="220"/>
      <c r="O396" s="220"/>
      <c r="P396" s="220"/>
      <c r="Q396" s="220"/>
      <c r="R396" s="220"/>
      <c r="S396" s="220"/>
      <c r="T396" s="220"/>
      <c r="U396" s="220"/>
      <c r="V396" s="220"/>
      <c r="W396" s="220"/>
    </row>
    <row r="397" ht="15.75" customHeight="1" outlineLevel="1">
      <c r="A397" s="211"/>
      <c r="B397" s="212"/>
      <c r="C397" s="213"/>
      <c r="D397" s="214" t="str">
        <f>IFERROR(VLOOKUP($C397,'PORTIFÓLIO'!C:V,2,0),"")</f>
        <v/>
      </c>
      <c r="E397" s="211" t="str">
        <f>IFERROR(VLOOKUP($C397,'PORTIFÓLIO'!C:V,3,0),"")</f>
        <v/>
      </c>
      <c r="F397" s="211" t="str">
        <f>IFERROR(VLOOKUP($C397,'PORTIFÓLIO'!C:V,4,0),"")</f>
        <v/>
      </c>
      <c r="G397" s="215" t="str">
        <f>IFERROR(VLOOKUP($C397,'PORTIFÓLIO'!C:V,5,0),"")</f>
        <v/>
      </c>
      <c r="H397" s="254" t="str">
        <f t="array" ref="H397">IFERROR(INDEX('PORTIFÓLIO'!$H$4:$H$433,MATCH($C397,'PORTIFÓLIO'!$C$4:$C$433,0)),"")</f>
        <v/>
      </c>
      <c r="I397" s="256"/>
      <c r="J397" s="218">
        <f t="shared" si="45"/>
        <v>0</v>
      </c>
      <c r="K397" s="292" t="str">
        <f t="array" ref="K397">IFERROR(I397*INDEX('PORTIFÓLIO'!$S$4:$S$433,MATCH($C397,'PORTIFÓLIO'!$C$4:$C$433,0)),"")</f>
        <v/>
      </c>
      <c r="L397" s="292" t="str">
        <f t="array" ref="L397">IFERROR(J397*INDEX('PORTIFÓLIO'!$S$4:$S$433,MATCH($C397,'PORTIFÓLIO'!$C$4:$C$433,0)),"")</f>
        <v/>
      </c>
      <c r="M397" s="220"/>
      <c r="N397" s="220"/>
      <c r="O397" s="220"/>
      <c r="P397" s="220"/>
      <c r="Q397" s="220"/>
      <c r="R397" s="220"/>
      <c r="S397" s="220"/>
      <c r="T397" s="220"/>
      <c r="U397" s="220"/>
      <c r="V397" s="220"/>
      <c r="W397" s="220"/>
    </row>
    <row r="398" ht="15.75" customHeight="1" outlineLevel="1">
      <c r="A398" s="211"/>
      <c r="B398" s="212"/>
      <c r="C398" s="213"/>
      <c r="D398" s="214" t="str">
        <f>IFERROR(VLOOKUP($C398,'PORTIFÓLIO'!C:V,2,0),"")</f>
        <v/>
      </c>
      <c r="E398" s="211" t="str">
        <f>IFERROR(VLOOKUP($C398,'PORTIFÓLIO'!C:V,3,0),"")</f>
        <v/>
      </c>
      <c r="F398" s="211" t="str">
        <f>IFERROR(VLOOKUP($C398,'PORTIFÓLIO'!C:V,4,0),"")</f>
        <v/>
      </c>
      <c r="G398" s="215" t="str">
        <f>IFERROR(VLOOKUP($C398,'PORTIFÓLIO'!C:V,5,0),"")</f>
        <v/>
      </c>
      <c r="H398" s="254" t="str">
        <f t="array" ref="H398">IFERROR(INDEX('PORTIFÓLIO'!$H$4:$H$433,MATCH($C398,'PORTIFÓLIO'!$C$4:$C$433,0)),"")</f>
        <v/>
      </c>
      <c r="I398" s="256"/>
      <c r="J398" s="218">
        <f t="shared" si="45"/>
        <v>0</v>
      </c>
      <c r="K398" s="292" t="str">
        <f t="array" ref="K398">IFERROR(I398*INDEX('PORTIFÓLIO'!$S$4:$S$433,MATCH($C398,'PORTIFÓLIO'!$C$4:$C$433,0)),"")</f>
        <v/>
      </c>
      <c r="L398" s="292" t="str">
        <f t="array" ref="L398">IFERROR(J398*INDEX('PORTIFÓLIO'!$S$4:$S$433,MATCH($C398,'PORTIFÓLIO'!$C$4:$C$433,0)),"")</f>
        <v/>
      </c>
      <c r="M398" s="220"/>
      <c r="N398" s="220"/>
      <c r="O398" s="220"/>
      <c r="P398" s="220"/>
      <c r="Q398" s="220"/>
      <c r="R398" s="220"/>
      <c r="S398" s="220"/>
      <c r="T398" s="220"/>
      <c r="U398" s="220"/>
      <c r="V398" s="220"/>
      <c r="W398" s="220"/>
    </row>
    <row r="399" ht="15.75" customHeight="1" outlineLevel="1">
      <c r="A399" s="211"/>
      <c r="B399" s="212"/>
      <c r="C399" s="213"/>
      <c r="D399" s="214" t="str">
        <f>IFERROR(VLOOKUP($C399,'PORTIFÓLIO'!C:V,2,0),"")</f>
        <v/>
      </c>
      <c r="E399" s="211" t="str">
        <f>IFERROR(VLOOKUP($C399,'PORTIFÓLIO'!C:V,3,0),"")</f>
        <v/>
      </c>
      <c r="F399" s="211" t="str">
        <f>IFERROR(VLOOKUP($C399,'PORTIFÓLIO'!C:V,4,0),"")</f>
        <v/>
      </c>
      <c r="G399" s="215" t="str">
        <f>IFERROR(VLOOKUP($C399,'PORTIFÓLIO'!C:V,5,0),"")</f>
        <v/>
      </c>
      <c r="H399" s="254" t="str">
        <f t="array" ref="H399">IFERROR(INDEX('PORTIFÓLIO'!$H$4:$H$433,MATCH($C399,'PORTIFÓLIO'!$C$4:$C$433,0)),"")</f>
        <v/>
      </c>
      <c r="I399" s="256"/>
      <c r="J399" s="218">
        <f t="shared" si="45"/>
        <v>0</v>
      </c>
      <c r="K399" s="292" t="str">
        <f t="array" ref="K399">IFERROR(I399*INDEX('PORTIFÓLIO'!$S$4:$S$433,MATCH($C399,'PORTIFÓLIO'!$C$4:$C$433,0)),"")</f>
        <v/>
      </c>
      <c r="L399" s="292" t="str">
        <f t="array" ref="L399">IFERROR(J399*INDEX('PORTIFÓLIO'!$S$4:$S$433,MATCH($C399,'PORTIFÓLIO'!$C$4:$C$433,0)),"")</f>
        <v/>
      </c>
      <c r="M399" s="220"/>
      <c r="N399" s="220"/>
      <c r="O399" s="220"/>
      <c r="P399" s="220"/>
      <c r="Q399" s="220"/>
      <c r="R399" s="220"/>
      <c r="S399" s="220"/>
      <c r="T399" s="220"/>
      <c r="U399" s="220"/>
      <c r="V399" s="220"/>
      <c r="W399" s="220"/>
    </row>
    <row r="400" ht="15.75" customHeight="1" outlineLevel="1">
      <c r="A400" s="211"/>
      <c r="B400" s="212"/>
      <c r="C400" s="213"/>
      <c r="D400" s="214" t="str">
        <f>IFERROR(VLOOKUP($C400,'PORTIFÓLIO'!C:V,2,0),"")</f>
        <v/>
      </c>
      <c r="E400" s="211" t="str">
        <f>IFERROR(VLOOKUP($C400,'PORTIFÓLIO'!C:V,3,0),"")</f>
        <v/>
      </c>
      <c r="F400" s="211" t="str">
        <f>IFERROR(VLOOKUP($C400,'PORTIFÓLIO'!C:V,4,0),"")</f>
        <v/>
      </c>
      <c r="G400" s="215" t="str">
        <f>IFERROR(VLOOKUP($C400,'PORTIFÓLIO'!C:V,5,0),"")</f>
        <v/>
      </c>
      <c r="H400" s="254" t="str">
        <f t="array" ref="H400">IFERROR(INDEX('PORTIFÓLIO'!$H$4:$H$433,MATCH($C400,'PORTIFÓLIO'!$C$4:$C$433,0)),"")</f>
        <v/>
      </c>
      <c r="I400" s="256"/>
      <c r="J400" s="218">
        <f t="shared" si="45"/>
        <v>0</v>
      </c>
      <c r="K400" s="292" t="str">
        <f t="array" ref="K400">IFERROR(I400*INDEX('PORTIFÓLIO'!$S$4:$S$433,MATCH($C400,'PORTIFÓLIO'!$C$4:$C$433,0)),"")</f>
        <v/>
      </c>
      <c r="L400" s="292" t="str">
        <f t="array" ref="L400">IFERROR(J400*INDEX('PORTIFÓLIO'!$S$4:$S$433,MATCH($C400,'PORTIFÓLIO'!$C$4:$C$433,0)),"")</f>
        <v/>
      </c>
      <c r="M400" s="220"/>
      <c r="N400" s="220"/>
      <c r="O400" s="220"/>
      <c r="P400" s="220"/>
      <c r="Q400" s="220"/>
      <c r="R400" s="220"/>
      <c r="S400" s="220"/>
      <c r="T400" s="220"/>
      <c r="U400" s="220"/>
      <c r="V400" s="220"/>
      <c r="W400" s="220"/>
    </row>
    <row r="401" ht="15.75" customHeight="1" outlineLevel="1">
      <c r="A401" s="211"/>
      <c r="B401" s="212"/>
      <c r="C401" s="213"/>
      <c r="D401" s="214" t="str">
        <f>IFERROR(VLOOKUP($C401,'PORTIFÓLIO'!C:V,2,0),"")</f>
        <v/>
      </c>
      <c r="E401" s="211" t="str">
        <f>IFERROR(VLOOKUP($C401,'PORTIFÓLIO'!C:V,3,0),"")</f>
        <v/>
      </c>
      <c r="F401" s="211" t="str">
        <f>IFERROR(VLOOKUP($C401,'PORTIFÓLIO'!C:V,4,0),"")</f>
        <v/>
      </c>
      <c r="G401" s="215" t="str">
        <f>IFERROR(VLOOKUP($C401,'PORTIFÓLIO'!C:V,5,0),"")</f>
        <v/>
      </c>
      <c r="H401" s="254" t="str">
        <f t="array" ref="H401">IFERROR(INDEX('PORTIFÓLIO'!$H$4:$H$433,MATCH($C401,'PORTIFÓLIO'!$C$4:$C$433,0)),"")</f>
        <v/>
      </c>
      <c r="I401" s="255"/>
      <c r="J401" s="218">
        <f t="shared" si="45"/>
        <v>0</v>
      </c>
      <c r="K401" s="292" t="str">
        <f t="array" ref="K401">IFERROR(I401*INDEX('PORTIFÓLIO'!$S$4:$S$433,MATCH($C401,'PORTIFÓLIO'!$C$4:$C$433,0)),"")</f>
        <v/>
      </c>
      <c r="L401" s="292" t="str">
        <f t="array" ref="L401">IFERROR(J401*INDEX('PORTIFÓLIO'!$S$4:$S$433,MATCH($C401,'PORTIFÓLIO'!$C$4:$C$433,0)),"")</f>
        <v/>
      </c>
      <c r="M401" s="220"/>
      <c r="N401" s="220"/>
      <c r="O401" s="220"/>
      <c r="P401" s="220"/>
      <c r="Q401" s="220"/>
      <c r="R401" s="220"/>
      <c r="S401" s="220"/>
      <c r="T401" s="220"/>
      <c r="U401" s="220"/>
      <c r="V401" s="220"/>
      <c r="W401" s="220"/>
    </row>
    <row r="402" ht="15.75" customHeight="1" outlineLevel="1">
      <c r="A402" s="211"/>
      <c r="B402" s="212"/>
      <c r="C402" s="213"/>
      <c r="D402" s="214" t="str">
        <f>IFERROR(VLOOKUP($C402,'PORTIFÓLIO'!C:V,2,0),"")</f>
        <v/>
      </c>
      <c r="E402" s="211" t="str">
        <f>IFERROR(VLOOKUP($C402,'PORTIFÓLIO'!C:V,3,0),"")</f>
        <v/>
      </c>
      <c r="F402" s="211" t="str">
        <f>IFERROR(VLOOKUP($C402,'PORTIFÓLIO'!C:V,4,0),"")</f>
        <v/>
      </c>
      <c r="G402" s="215" t="str">
        <f>IFERROR(VLOOKUP($C402,'PORTIFÓLIO'!C:V,5,0),"")</f>
        <v/>
      </c>
      <c r="H402" s="254" t="str">
        <f t="array" ref="H402">IFERROR(INDEX('PORTIFÓLIO'!$H$4:$H$433,MATCH($C402,'PORTIFÓLIO'!$C$4:$C$433,0)),"")</f>
        <v/>
      </c>
      <c r="I402" s="256"/>
      <c r="J402" s="218">
        <f t="shared" si="45"/>
        <v>0</v>
      </c>
      <c r="K402" s="292" t="str">
        <f t="array" ref="K402">IFERROR(I402*INDEX('PORTIFÓLIO'!$S$4:$S$433,MATCH($C402,'PORTIFÓLIO'!$C$4:$C$433,0)),"")</f>
        <v/>
      </c>
      <c r="L402" s="292" t="str">
        <f t="array" ref="L402">IFERROR(J402*INDEX('PORTIFÓLIO'!$S$4:$S$433,MATCH($C402,'PORTIFÓLIO'!$C$4:$C$433,0)),"")</f>
        <v/>
      </c>
      <c r="M402" s="220"/>
      <c r="N402" s="220"/>
      <c r="O402" s="220"/>
      <c r="P402" s="220"/>
      <c r="Q402" s="220"/>
      <c r="R402" s="220"/>
      <c r="S402" s="220"/>
      <c r="T402" s="220"/>
      <c r="U402" s="220"/>
      <c r="V402" s="220"/>
      <c r="W402" s="220"/>
    </row>
    <row r="403" ht="15.75" customHeight="1" outlineLevel="1">
      <c r="A403" s="211"/>
      <c r="B403" s="212"/>
      <c r="C403" s="213"/>
      <c r="D403" s="214" t="str">
        <f>IFERROR(VLOOKUP($C403,'PORTIFÓLIO'!C:V,2,0),"")</f>
        <v/>
      </c>
      <c r="E403" s="211" t="str">
        <f>IFERROR(VLOOKUP($C403,'PORTIFÓLIO'!C:V,3,0),"")</f>
        <v/>
      </c>
      <c r="F403" s="211" t="str">
        <f>IFERROR(VLOOKUP($C403,'PORTIFÓLIO'!C:V,4,0),"")</f>
        <v/>
      </c>
      <c r="G403" s="215" t="str">
        <f>IFERROR(VLOOKUP($C403,'PORTIFÓLIO'!C:V,5,0),"")</f>
        <v/>
      </c>
      <c r="H403" s="254" t="str">
        <f t="array" ref="H403">IFERROR(INDEX('PORTIFÓLIO'!$H$4:$H$433,MATCH($C403,'PORTIFÓLIO'!$C$4:$C$433,0)),"")</f>
        <v/>
      </c>
      <c r="I403" s="256"/>
      <c r="J403" s="218">
        <f t="shared" si="45"/>
        <v>0</v>
      </c>
      <c r="K403" s="292" t="str">
        <f t="array" ref="K403">IFERROR(I403*INDEX('PORTIFÓLIO'!$S$4:$S$433,MATCH($C403,'PORTIFÓLIO'!$C$4:$C$433,0)),"")</f>
        <v/>
      </c>
      <c r="L403" s="292" t="str">
        <f t="array" ref="L403">IFERROR(J403*INDEX('PORTIFÓLIO'!$S$4:$S$433,MATCH($C403,'PORTIFÓLIO'!$C$4:$C$433,0)),"")</f>
        <v/>
      </c>
      <c r="M403" s="220"/>
      <c r="N403" s="220"/>
      <c r="O403" s="220"/>
      <c r="P403" s="220"/>
      <c r="Q403" s="220"/>
      <c r="R403" s="220"/>
      <c r="S403" s="220"/>
      <c r="T403" s="220"/>
      <c r="U403" s="220"/>
      <c r="V403" s="220"/>
      <c r="W403" s="220"/>
    </row>
    <row r="404" ht="15.75" customHeight="1" outlineLevel="1">
      <c r="A404" s="211"/>
      <c r="B404" s="212"/>
      <c r="C404" s="213"/>
      <c r="D404" s="214" t="str">
        <f>IFERROR(VLOOKUP($C404,'PORTIFÓLIO'!C:V,2,0),"")</f>
        <v/>
      </c>
      <c r="E404" s="211" t="str">
        <f>IFERROR(VLOOKUP($C404,'PORTIFÓLIO'!C:V,3,0),"")</f>
        <v/>
      </c>
      <c r="F404" s="211" t="str">
        <f>IFERROR(VLOOKUP($C404,'PORTIFÓLIO'!C:V,4,0),"")</f>
        <v/>
      </c>
      <c r="G404" s="215" t="str">
        <f>IFERROR(VLOOKUP($C404,'PORTIFÓLIO'!C:V,5,0),"")</f>
        <v/>
      </c>
      <c r="H404" s="254" t="str">
        <f t="array" ref="H404">IFERROR(INDEX('PORTIFÓLIO'!$H$4:$H$433,MATCH($C404,'PORTIFÓLIO'!$C$4:$C$433,0)),"")</f>
        <v/>
      </c>
      <c r="I404" s="256"/>
      <c r="J404" s="218">
        <f t="shared" si="45"/>
        <v>0</v>
      </c>
      <c r="K404" s="292" t="str">
        <f t="array" ref="K404">IFERROR(I404*INDEX('PORTIFÓLIO'!$S$4:$S$433,MATCH($C404,'PORTIFÓLIO'!$C$4:$C$433,0)),"")</f>
        <v/>
      </c>
      <c r="L404" s="292" t="str">
        <f t="array" ref="L404">IFERROR(J404*INDEX('PORTIFÓLIO'!$S$4:$S$433,MATCH($C404,'PORTIFÓLIO'!$C$4:$C$433,0)),"")</f>
        <v/>
      </c>
      <c r="M404" s="220"/>
      <c r="N404" s="220"/>
      <c r="O404" s="220"/>
      <c r="P404" s="220"/>
      <c r="Q404" s="220"/>
      <c r="R404" s="220"/>
      <c r="S404" s="220"/>
      <c r="T404" s="220"/>
      <c r="U404" s="220"/>
      <c r="V404" s="220"/>
      <c r="W404" s="220"/>
    </row>
    <row r="405" ht="15.75" customHeight="1" outlineLevel="1">
      <c r="A405" s="211"/>
      <c r="B405" s="212"/>
      <c r="C405" s="213"/>
      <c r="D405" s="214" t="str">
        <f>IFERROR(VLOOKUP($C405,'PORTIFÓLIO'!C:V,2,0),"")</f>
        <v/>
      </c>
      <c r="E405" s="211" t="str">
        <f>IFERROR(VLOOKUP($C405,'PORTIFÓLIO'!C:V,3,0),"")</f>
        <v/>
      </c>
      <c r="F405" s="211" t="str">
        <f>IFERROR(VLOOKUP($C405,'PORTIFÓLIO'!C:V,4,0),"")</f>
        <v/>
      </c>
      <c r="G405" s="215" t="str">
        <f>IFERROR(VLOOKUP($C405,'PORTIFÓLIO'!C:V,5,0),"")</f>
        <v/>
      </c>
      <c r="H405" s="254" t="str">
        <f t="array" ref="H405">IFERROR(INDEX('PORTIFÓLIO'!$H$4:$H$433,MATCH($C405,'PORTIFÓLIO'!$C$4:$C$433,0)),"")</f>
        <v/>
      </c>
      <c r="I405" s="256"/>
      <c r="J405" s="218">
        <f t="shared" si="45"/>
        <v>0</v>
      </c>
      <c r="K405" s="292" t="str">
        <f t="array" ref="K405">IFERROR(I405*INDEX('PORTIFÓLIO'!$S$4:$S$433,MATCH($C405,'PORTIFÓLIO'!$C$4:$C$433,0)),"")</f>
        <v/>
      </c>
      <c r="L405" s="292" t="str">
        <f t="array" ref="L405">IFERROR(J405*INDEX('PORTIFÓLIO'!$S$4:$S$433,MATCH($C405,'PORTIFÓLIO'!$C$4:$C$433,0)),"")</f>
        <v/>
      </c>
      <c r="M405" s="220"/>
      <c r="N405" s="220"/>
      <c r="O405" s="220"/>
      <c r="P405" s="220"/>
      <c r="Q405" s="220"/>
      <c r="R405" s="220"/>
      <c r="S405" s="220"/>
      <c r="T405" s="220"/>
      <c r="U405" s="220"/>
      <c r="V405" s="220"/>
      <c r="W405" s="220"/>
    </row>
    <row r="406" ht="15.75" customHeight="1" outlineLevel="1">
      <c r="A406" s="211"/>
      <c r="B406" s="212"/>
      <c r="C406" s="213"/>
      <c r="D406" s="214" t="str">
        <f>IFERROR(VLOOKUP($C406,'PORTIFÓLIO'!C:V,2,0),"")</f>
        <v/>
      </c>
      <c r="E406" s="211" t="str">
        <f>IFERROR(VLOOKUP($C406,'PORTIFÓLIO'!C:V,3,0),"")</f>
        <v/>
      </c>
      <c r="F406" s="211" t="str">
        <f>IFERROR(VLOOKUP($C406,'PORTIFÓLIO'!C:V,4,0),"")</f>
        <v/>
      </c>
      <c r="G406" s="215" t="str">
        <f>IFERROR(VLOOKUP($C406,'PORTIFÓLIO'!C:V,5,0),"")</f>
        <v/>
      </c>
      <c r="H406" s="254" t="str">
        <f t="array" ref="H406">IFERROR(INDEX('PORTIFÓLIO'!$H$4:$H$433,MATCH($C406,'PORTIFÓLIO'!$C$4:$C$433,0)),"")</f>
        <v/>
      </c>
      <c r="I406" s="256"/>
      <c r="J406" s="218">
        <f t="shared" si="45"/>
        <v>0</v>
      </c>
      <c r="K406" s="292" t="str">
        <f t="array" ref="K406">IFERROR(I406*INDEX('PORTIFÓLIO'!$S$4:$S$433,MATCH($C406,'PORTIFÓLIO'!$C$4:$C$433,0)),"")</f>
        <v/>
      </c>
      <c r="L406" s="292" t="str">
        <f t="array" ref="L406">IFERROR(J406*INDEX('PORTIFÓLIO'!$S$4:$S$433,MATCH($C406,'PORTIFÓLIO'!$C$4:$C$433,0)),"")</f>
        <v/>
      </c>
      <c r="M406" s="220"/>
      <c r="N406" s="220"/>
      <c r="O406" s="220"/>
      <c r="P406" s="220"/>
      <c r="Q406" s="220"/>
      <c r="R406" s="220"/>
      <c r="S406" s="220"/>
      <c r="T406" s="220"/>
      <c r="U406" s="220"/>
      <c r="V406" s="220"/>
      <c r="W406" s="220"/>
    </row>
    <row r="407" ht="15.75" customHeight="1" outlineLevel="1">
      <c r="A407" s="211"/>
      <c r="B407" s="212"/>
      <c r="C407" s="213"/>
      <c r="D407" s="214" t="str">
        <f>IFERROR(VLOOKUP($C407,'PORTIFÓLIO'!C:V,2,0),"")</f>
        <v/>
      </c>
      <c r="E407" s="211" t="str">
        <f>IFERROR(VLOOKUP($C407,'PORTIFÓLIO'!C:V,3,0),"")</f>
        <v/>
      </c>
      <c r="F407" s="211" t="str">
        <f>IFERROR(VLOOKUP($C407,'PORTIFÓLIO'!C:V,4,0),"")</f>
        <v/>
      </c>
      <c r="G407" s="215" t="str">
        <f>IFERROR(VLOOKUP($C407,'PORTIFÓLIO'!C:V,5,0),"")</f>
        <v/>
      </c>
      <c r="H407" s="254" t="str">
        <f t="array" ref="H407">IFERROR(INDEX('PORTIFÓLIO'!$H$4:$H$433,MATCH($C407,'PORTIFÓLIO'!$C$4:$C$433,0)),"")</f>
        <v/>
      </c>
      <c r="I407" s="256"/>
      <c r="J407" s="218">
        <f t="shared" si="45"/>
        <v>0</v>
      </c>
      <c r="K407" s="292" t="str">
        <f t="array" ref="K407">IFERROR(I407*INDEX('PORTIFÓLIO'!$S$4:$S$433,MATCH($C407,'PORTIFÓLIO'!$C$4:$C$433,0)),"")</f>
        <v/>
      </c>
      <c r="L407" s="292" t="str">
        <f t="array" ref="L407">IFERROR(J407*INDEX('PORTIFÓLIO'!$S$4:$S$433,MATCH($C407,'PORTIFÓLIO'!$C$4:$C$433,0)),"")</f>
        <v/>
      </c>
      <c r="M407" s="220"/>
      <c r="N407" s="220"/>
      <c r="O407" s="220"/>
      <c r="P407" s="220"/>
      <c r="Q407" s="220"/>
      <c r="R407" s="220"/>
      <c r="S407" s="220"/>
      <c r="T407" s="220"/>
      <c r="U407" s="220"/>
      <c r="V407" s="220"/>
      <c r="W407" s="220"/>
    </row>
    <row r="408" ht="15.75" customHeight="1" outlineLevel="1">
      <c r="A408" s="211"/>
      <c r="B408" s="227"/>
      <c r="C408" s="211"/>
      <c r="D408" s="214" t="str">
        <f>IFERROR(VLOOKUP($C408,'PORTIFÓLIO'!C:V,2,0),"")</f>
        <v/>
      </c>
      <c r="E408" s="211" t="str">
        <f>IFERROR(VLOOKUP($C408,'PORTIFÓLIO'!C:V,3,0),"")</f>
        <v/>
      </c>
      <c r="F408" s="211" t="str">
        <f>IFERROR(VLOOKUP($C408,'PORTIFÓLIO'!C:V,4,0),"")</f>
        <v/>
      </c>
      <c r="G408" s="215" t="str">
        <f>IFERROR(VLOOKUP($C408,'PORTIFÓLIO'!C:V,5,0),"")</f>
        <v/>
      </c>
      <c r="H408" s="254" t="str">
        <f t="array" ref="H408">IFERROR(INDEX('PORTIFÓLIO'!$H$4:$H$433,MATCH($C408,'PORTIFÓLIO'!$C$4:$C$433,0)),"")</f>
        <v/>
      </c>
      <c r="I408" s="256"/>
      <c r="J408" s="218">
        <f t="shared" si="45"/>
        <v>0</v>
      </c>
      <c r="K408" s="292" t="str">
        <f t="array" ref="K408">IFERROR(I408*INDEX('PORTIFÓLIO'!$S$4:$S$433,MATCH($C408,'PORTIFÓLIO'!$C$4:$C$433,0)),"")</f>
        <v/>
      </c>
      <c r="L408" s="292" t="str">
        <f t="array" ref="L408">IFERROR(J408*INDEX('PORTIFÓLIO'!$S$4:$S$433,MATCH($C408,'PORTIFÓLIO'!$C$4:$C$433,0)),"")</f>
        <v/>
      </c>
      <c r="M408" s="220"/>
      <c r="N408" s="220"/>
      <c r="O408" s="220"/>
      <c r="P408" s="220"/>
      <c r="Q408" s="220"/>
      <c r="R408" s="220"/>
      <c r="S408" s="220"/>
      <c r="T408" s="220"/>
      <c r="U408" s="220"/>
      <c r="V408" s="220"/>
      <c r="W408" s="220"/>
    </row>
    <row r="409" ht="15.75" customHeight="1">
      <c r="A409" s="229" t="s">
        <v>1194</v>
      </c>
      <c r="B409" s="230"/>
      <c r="C409" s="231"/>
      <c r="D409" s="232"/>
      <c r="E409" s="231"/>
      <c r="F409" s="231"/>
      <c r="G409" s="233"/>
      <c r="H409" s="233"/>
      <c r="I409" s="258"/>
      <c r="J409" s="236"/>
      <c r="K409" s="237">
        <f t="shared" ref="K409:L409" si="46">SUBTOTAL(9,K410:K423)</f>
        <v>0</v>
      </c>
      <c r="L409" s="237">
        <f t="shared" si="46"/>
        <v>0</v>
      </c>
      <c r="M409" s="220"/>
      <c r="N409" s="220"/>
      <c r="O409" s="220"/>
      <c r="P409" s="220"/>
      <c r="Q409" s="220"/>
      <c r="R409" s="220"/>
      <c r="S409" s="220"/>
      <c r="T409" s="220"/>
      <c r="U409" s="220"/>
      <c r="V409" s="220"/>
      <c r="W409" s="220"/>
    </row>
    <row r="410" ht="15.75" customHeight="1" outlineLevel="1">
      <c r="A410" s="213"/>
      <c r="B410" s="212"/>
      <c r="C410" s="213"/>
      <c r="D410" s="214" t="str">
        <f>IFERROR(VLOOKUP($C410,'PORTIFÓLIO'!C:V,2,0),"")</f>
        <v/>
      </c>
      <c r="E410" s="211" t="str">
        <f>IFERROR(VLOOKUP($C410,'PORTIFÓLIO'!C:V,3,0),"")</f>
        <v/>
      </c>
      <c r="F410" s="211" t="str">
        <f>IFERROR(VLOOKUP($C410,'PORTIFÓLIO'!C:V,4,0),"")</f>
        <v/>
      </c>
      <c r="G410" s="215" t="str">
        <f>IFERROR(VLOOKUP($C410,'PORTIFÓLIO'!C:V,5,0),"")</f>
        <v/>
      </c>
      <c r="H410" s="254" t="str">
        <f t="array" ref="H410">IFERROR(INDEX('PORTIFÓLIO'!$H$4:$H$433,MATCH($C410,'PORTIFÓLIO'!$C$4:$C$433,0)),"")</f>
        <v/>
      </c>
      <c r="I410" s="255"/>
      <c r="J410" s="218">
        <f t="shared" ref="J410:J426" si="47">I410*$B$2</f>
        <v>0</v>
      </c>
      <c r="K410" s="292" t="str">
        <f t="array" ref="K410">IFERROR(I410*INDEX('PORTIFÓLIO'!$S$4:$S$433,MATCH($C410,'PORTIFÓLIO'!$C$4:$C$433,0)),"")</f>
        <v/>
      </c>
      <c r="L410" s="292" t="str">
        <f t="array" ref="L410">IFERROR(J410*INDEX('PORTIFÓLIO'!$S$4:$S$433,MATCH($C410,'PORTIFÓLIO'!$C$4:$C$433,0)),"")</f>
        <v/>
      </c>
      <c r="M410" s="220"/>
      <c r="N410" s="220"/>
      <c r="O410" s="220"/>
      <c r="P410" s="220"/>
      <c r="Q410" s="220"/>
      <c r="R410" s="220"/>
      <c r="S410" s="220"/>
      <c r="T410" s="220"/>
      <c r="U410" s="220"/>
      <c r="V410" s="220"/>
      <c r="W410" s="220"/>
    </row>
    <row r="411" ht="15.75" customHeight="1" outlineLevel="1">
      <c r="A411" s="211"/>
      <c r="B411" s="212"/>
      <c r="C411" s="213"/>
      <c r="D411" s="214" t="str">
        <f>IFERROR(VLOOKUP($C411,'PORTIFÓLIO'!C:V,2,0),"")</f>
        <v/>
      </c>
      <c r="E411" s="211" t="str">
        <f>IFERROR(VLOOKUP($C411,'PORTIFÓLIO'!C:V,3,0),"")</f>
        <v/>
      </c>
      <c r="F411" s="211" t="str">
        <f>IFERROR(VLOOKUP($C411,'PORTIFÓLIO'!C:V,4,0),"")</f>
        <v/>
      </c>
      <c r="G411" s="215" t="str">
        <f>IFERROR(VLOOKUP($C411,'PORTIFÓLIO'!C:V,5,0),"")</f>
        <v/>
      </c>
      <c r="H411" s="254" t="str">
        <f t="array" ref="H411">IFERROR(INDEX('PORTIFÓLIO'!$H$4:$H$433,MATCH($C411,'PORTIFÓLIO'!$C$4:$C$433,0)),"")</f>
        <v/>
      </c>
      <c r="I411" s="256"/>
      <c r="J411" s="218">
        <f t="shared" si="47"/>
        <v>0</v>
      </c>
      <c r="K411" s="292" t="str">
        <f t="array" ref="K411">IFERROR(I411*INDEX('PORTIFÓLIO'!$S$4:$S$433,MATCH($C411,'PORTIFÓLIO'!$C$4:$C$433,0)),"")</f>
        <v/>
      </c>
      <c r="L411" s="292" t="str">
        <f t="array" ref="L411">IFERROR(J411*INDEX('PORTIFÓLIO'!$S$4:$S$433,MATCH($C411,'PORTIFÓLIO'!$C$4:$C$433,0)),"")</f>
        <v/>
      </c>
      <c r="M411" s="220"/>
      <c r="N411" s="220"/>
      <c r="O411" s="220"/>
      <c r="P411" s="220"/>
      <c r="Q411" s="220"/>
      <c r="R411" s="220"/>
      <c r="S411" s="220"/>
      <c r="T411" s="220"/>
      <c r="U411" s="220"/>
      <c r="V411" s="220"/>
      <c r="W411" s="220"/>
    </row>
    <row r="412" ht="15.75" customHeight="1" outlineLevel="1">
      <c r="A412" s="211"/>
      <c r="B412" s="212"/>
      <c r="C412" s="213"/>
      <c r="D412" s="214" t="str">
        <f>IFERROR(VLOOKUP($C412,'PORTIFÓLIO'!C:V,2,0),"")</f>
        <v/>
      </c>
      <c r="E412" s="211" t="str">
        <f>IFERROR(VLOOKUP($C412,'PORTIFÓLIO'!C:V,3,0),"")</f>
        <v/>
      </c>
      <c r="F412" s="211" t="str">
        <f>IFERROR(VLOOKUP($C412,'PORTIFÓLIO'!C:V,4,0),"")</f>
        <v/>
      </c>
      <c r="G412" s="215" t="str">
        <f>IFERROR(VLOOKUP($C412,'PORTIFÓLIO'!C:V,5,0),"")</f>
        <v/>
      </c>
      <c r="H412" s="254" t="str">
        <f t="array" ref="H412">IFERROR(INDEX('PORTIFÓLIO'!$H$4:$H$433,MATCH($C412,'PORTIFÓLIO'!$C$4:$C$433,0)),"")</f>
        <v/>
      </c>
      <c r="I412" s="256"/>
      <c r="J412" s="218">
        <f t="shared" si="47"/>
        <v>0</v>
      </c>
      <c r="K412" s="292" t="str">
        <f t="array" ref="K412">IFERROR(I412*INDEX('PORTIFÓLIO'!$S$4:$S$433,MATCH($C412,'PORTIFÓLIO'!$C$4:$C$433,0)),"")</f>
        <v/>
      </c>
      <c r="L412" s="292" t="str">
        <f t="array" ref="L412">IFERROR(J412*INDEX('PORTIFÓLIO'!$S$4:$S$433,MATCH($C412,'PORTIFÓLIO'!$C$4:$C$433,0)),"")</f>
        <v/>
      </c>
      <c r="M412" s="220"/>
      <c r="N412" s="220"/>
      <c r="O412" s="220"/>
      <c r="P412" s="220"/>
      <c r="Q412" s="220"/>
      <c r="R412" s="220"/>
      <c r="S412" s="220"/>
      <c r="T412" s="220"/>
      <c r="U412" s="220"/>
      <c r="V412" s="220"/>
      <c r="W412" s="220"/>
    </row>
    <row r="413" ht="15.75" customHeight="1" outlineLevel="1">
      <c r="A413" s="211"/>
      <c r="B413" s="212"/>
      <c r="C413" s="213"/>
      <c r="D413" s="214" t="str">
        <f>IFERROR(VLOOKUP($C413,'PORTIFÓLIO'!C:V,2,0),"")</f>
        <v/>
      </c>
      <c r="E413" s="211" t="str">
        <f>IFERROR(VLOOKUP($C413,'PORTIFÓLIO'!C:V,3,0),"")</f>
        <v/>
      </c>
      <c r="F413" s="211" t="str">
        <f>IFERROR(VLOOKUP($C413,'PORTIFÓLIO'!C:V,4,0),"")</f>
        <v/>
      </c>
      <c r="G413" s="215" t="str">
        <f>IFERROR(VLOOKUP($C413,'PORTIFÓLIO'!C:V,5,0),"")</f>
        <v/>
      </c>
      <c r="H413" s="254" t="str">
        <f t="array" ref="H413">IFERROR(INDEX('PORTIFÓLIO'!$H$4:$H$433,MATCH($C413,'PORTIFÓLIO'!$C$4:$C$433,0)),"")</f>
        <v/>
      </c>
      <c r="I413" s="256"/>
      <c r="J413" s="218">
        <f t="shared" si="47"/>
        <v>0</v>
      </c>
      <c r="K413" s="292" t="str">
        <f t="array" ref="K413">IFERROR(I413*INDEX('PORTIFÓLIO'!$S$4:$S$433,MATCH($C413,'PORTIFÓLIO'!$C$4:$C$433,0)),"")</f>
        <v/>
      </c>
      <c r="L413" s="292" t="str">
        <f t="array" ref="L413">IFERROR(J413*INDEX('PORTIFÓLIO'!$S$4:$S$433,MATCH($C413,'PORTIFÓLIO'!$C$4:$C$433,0)),"")</f>
        <v/>
      </c>
      <c r="M413" s="220"/>
      <c r="N413" s="220"/>
      <c r="O413" s="220"/>
      <c r="P413" s="220"/>
      <c r="Q413" s="220"/>
      <c r="R413" s="220"/>
      <c r="S413" s="220"/>
      <c r="T413" s="220"/>
      <c r="U413" s="220"/>
      <c r="V413" s="220"/>
      <c r="W413" s="220"/>
    </row>
    <row r="414" ht="15.75" customHeight="1" outlineLevel="1">
      <c r="A414" s="211"/>
      <c r="B414" s="212"/>
      <c r="C414" s="213"/>
      <c r="D414" s="214" t="str">
        <f>IFERROR(VLOOKUP($C414,'PORTIFÓLIO'!C:V,2,0),"")</f>
        <v/>
      </c>
      <c r="E414" s="211" t="str">
        <f>IFERROR(VLOOKUP($C414,'PORTIFÓLIO'!C:V,3,0),"")</f>
        <v/>
      </c>
      <c r="F414" s="211" t="str">
        <f>IFERROR(VLOOKUP($C414,'PORTIFÓLIO'!C:V,4,0),"")</f>
        <v/>
      </c>
      <c r="G414" s="215" t="str">
        <f>IFERROR(VLOOKUP($C414,'PORTIFÓLIO'!C:V,5,0),"")</f>
        <v/>
      </c>
      <c r="H414" s="254" t="str">
        <f t="array" ref="H414">IFERROR(INDEX('PORTIFÓLIO'!$H$4:$H$433,MATCH($C414,'PORTIFÓLIO'!$C$4:$C$433,0)),"")</f>
        <v/>
      </c>
      <c r="I414" s="256"/>
      <c r="J414" s="218">
        <f t="shared" si="47"/>
        <v>0</v>
      </c>
      <c r="K414" s="292" t="str">
        <f t="array" ref="K414">IFERROR(I414*INDEX('PORTIFÓLIO'!$S$4:$S$433,MATCH($C414,'PORTIFÓLIO'!$C$4:$C$433,0)),"")</f>
        <v/>
      </c>
      <c r="L414" s="292" t="str">
        <f t="array" ref="L414">IFERROR(J414*INDEX('PORTIFÓLIO'!$S$4:$S$433,MATCH($C414,'PORTIFÓLIO'!$C$4:$C$433,0)),"")</f>
        <v/>
      </c>
      <c r="M414" s="220"/>
      <c r="N414" s="220"/>
      <c r="O414" s="220"/>
      <c r="P414" s="220"/>
      <c r="Q414" s="220"/>
      <c r="R414" s="220"/>
      <c r="S414" s="220"/>
      <c r="T414" s="220"/>
      <c r="U414" s="220"/>
      <c r="V414" s="220"/>
      <c r="W414" s="220"/>
    </row>
    <row r="415" ht="15.75" customHeight="1" outlineLevel="1">
      <c r="A415" s="211"/>
      <c r="B415" s="212"/>
      <c r="C415" s="213"/>
      <c r="D415" s="214" t="str">
        <f>IFERROR(VLOOKUP($C415,'PORTIFÓLIO'!C:V,2,0),"")</f>
        <v/>
      </c>
      <c r="E415" s="211" t="str">
        <f>IFERROR(VLOOKUP($C415,'PORTIFÓLIO'!C:V,3,0),"")</f>
        <v/>
      </c>
      <c r="F415" s="211" t="str">
        <f>IFERROR(VLOOKUP($C415,'PORTIFÓLIO'!C:V,4,0),"")</f>
        <v/>
      </c>
      <c r="G415" s="215" t="str">
        <f>IFERROR(VLOOKUP($C415,'PORTIFÓLIO'!C:V,5,0),"")</f>
        <v/>
      </c>
      <c r="H415" s="254" t="str">
        <f t="array" ref="H415">IFERROR(INDEX('PORTIFÓLIO'!$H$4:$H$433,MATCH($C415,'PORTIFÓLIO'!$C$4:$C$433,0)),"")</f>
        <v/>
      </c>
      <c r="I415" s="256"/>
      <c r="J415" s="218">
        <f t="shared" si="47"/>
        <v>0</v>
      </c>
      <c r="K415" s="292" t="str">
        <f t="array" ref="K415">IFERROR(I415*INDEX('PORTIFÓLIO'!$S$4:$S$433,MATCH($C415,'PORTIFÓLIO'!$C$4:$C$433,0)),"")</f>
        <v/>
      </c>
      <c r="L415" s="292" t="str">
        <f t="array" ref="L415">IFERROR(J415*INDEX('PORTIFÓLIO'!$S$4:$S$433,MATCH($C415,'PORTIFÓLIO'!$C$4:$C$433,0)),"")</f>
        <v/>
      </c>
      <c r="M415" s="220"/>
      <c r="N415" s="220"/>
      <c r="O415" s="220"/>
      <c r="P415" s="220"/>
      <c r="Q415" s="220"/>
      <c r="R415" s="220"/>
      <c r="S415" s="220"/>
      <c r="T415" s="220"/>
      <c r="U415" s="220"/>
      <c r="V415" s="220"/>
      <c r="W415" s="220"/>
    </row>
    <row r="416" ht="15.75" customHeight="1" outlineLevel="1">
      <c r="A416" s="211"/>
      <c r="B416" s="212"/>
      <c r="C416" s="213"/>
      <c r="D416" s="214" t="str">
        <f>IFERROR(VLOOKUP($C416,'PORTIFÓLIO'!C:V,2,0),"")</f>
        <v/>
      </c>
      <c r="E416" s="211" t="str">
        <f>IFERROR(VLOOKUP($C416,'PORTIFÓLIO'!C:V,3,0),"")</f>
        <v/>
      </c>
      <c r="F416" s="211" t="str">
        <f>IFERROR(VLOOKUP($C416,'PORTIFÓLIO'!C:V,4,0),"")</f>
        <v/>
      </c>
      <c r="G416" s="215" t="str">
        <f>IFERROR(VLOOKUP($C416,'PORTIFÓLIO'!C:V,5,0),"")</f>
        <v/>
      </c>
      <c r="H416" s="254" t="str">
        <f t="array" ref="H416">IFERROR(INDEX('PORTIFÓLIO'!$H$4:$H$433,MATCH($C416,'PORTIFÓLIO'!$C$4:$C$433,0)),"")</f>
        <v/>
      </c>
      <c r="I416" s="256"/>
      <c r="J416" s="218">
        <f t="shared" si="47"/>
        <v>0</v>
      </c>
      <c r="K416" s="292" t="str">
        <f t="array" ref="K416">IFERROR(I416*INDEX('PORTIFÓLIO'!$S$4:$S$433,MATCH($C416,'PORTIFÓLIO'!$C$4:$C$433,0)),"")</f>
        <v/>
      </c>
      <c r="L416" s="292" t="str">
        <f t="array" ref="L416">IFERROR(J416*INDEX('PORTIFÓLIO'!$S$4:$S$433,MATCH($C416,'PORTIFÓLIO'!$C$4:$C$433,0)),"")</f>
        <v/>
      </c>
      <c r="M416" s="220"/>
      <c r="N416" s="220"/>
      <c r="O416" s="220"/>
      <c r="P416" s="220"/>
      <c r="Q416" s="220"/>
      <c r="R416" s="220"/>
      <c r="S416" s="220"/>
      <c r="T416" s="220"/>
      <c r="U416" s="220"/>
      <c r="V416" s="220"/>
      <c r="W416" s="220"/>
    </row>
    <row r="417" ht="15.75" customHeight="1" outlineLevel="1">
      <c r="A417" s="211"/>
      <c r="B417" s="212"/>
      <c r="C417" s="213"/>
      <c r="D417" s="214" t="str">
        <f>IFERROR(VLOOKUP($C417,'PORTIFÓLIO'!C:V,2,0),"")</f>
        <v/>
      </c>
      <c r="E417" s="211" t="str">
        <f>IFERROR(VLOOKUP($C417,'PORTIFÓLIO'!C:V,3,0),"")</f>
        <v/>
      </c>
      <c r="F417" s="211" t="str">
        <f>IFERROR(VLOOKUP($C417,'PORTIFÓLIO'!C:V,4,0),"")</f>
        <v/>
      </c>
      <c r="G417" s="215" t="str">
        <f>IFERROR(VLOOKUP($C417,'PORTIFÓLIO'!C:V,5,0),"")</f>
        <v/>
      </c>
      <c r="H417" s="254" t="str">
        <f t="array" ref="H417">IFERROR(INDEX('PORTIFÓLIO'!$H$4:$H$433,MATCH($C417,'PORTIFÓLIO'!$C$4:$C$433,0)),"")</f>
        <v/>
      </c>
      <c r="I417" s="256"/>
      <c r="J417" s="218">
        <f t="shared" si="47"/>
        <v>0</v>
      </c>
      <c r="K417" s="292" t="str">
        <f t="array" ref="K417">IFERROR(I417*INDEX('PORTIFÓLIO'!$S$4:$S$433,MATCH($C417,'PORTIFÓLIO'!$C$4:$C$433,0)),"")</f>
        <v/>
      </c>
      <c r="L417" s="292" t="str">
        <f t="array" ref="L417">IFERROR(J417*INDEX('PORTIFÓLIO'!$S$4:$S$433,MATCH($C417,'PORTIFÓLIO'!$C$4:$C$433,0)),"")</f>
        <v/>
      </c>
      <c r="M417" s="220"/>
      <c r="N417" s="220"/>
      <c r="O417" s="220"/>
      <c r="P417" s="220"/>
      <c r="Q417" s="220"/>
      <c r="R417" s="220"/>
      <c r="S417" s="220"/>
      <c r="T417" s="220"/>
      <c r="U417" s="220"/>
      <c r="V417" s="220"/>
      <c r="W417" s="220"/>
    </row>
    <row r="418" ht="15.75" customHeight="1" outlineLevel="1">
      <c r="A418" s="211"/>
      <c r="B418" s="212"/>
      <c r="C418" s="213"/>
      <c r="D418" s="214" t="str">
        <f>IFERROR(VLOOKUP($C418,'PORTIFÓLIO'!C:V,2,0),"")</f>
        <v/>
      </c>
      <c r="E418" s="211" t="str">
        <f>IFERROR(VLOOKUP($C418,'PORTIFÓLIO'!C:V,3,0),"")</f>
        <v/>
      </c>
      <c r="F418" s="211" t="str">
        <f>IFERROR(VLOOKUP($C418,'PORTIFÓLIO'!C:V,4,0),"")</f>
        <v/>
      </c>
      <c r="G418" s="215" t="str">
        <f>IFERROR(VLOOKUP($C418,'PORTIFÓLIO'!C:V,5,0),"")</f>
        <v/>
      </c>
      <c r="H418" s="254" t="str">
        <f t="array" ref="H418">IFERROR(INDEX('PORTIFÓLIO'!$H$4:$H$433,MATCH($C418,'PORTIFÓLIO'!$C$4:$C$433,0)),"")</f>
        <v/>
      </c>
      <c r="I418" s="255"/>
      <c r="J418" s="218">
        <f t="shared" si="47"/>
        <v>0</v>
      </c>
      <c r="K418" s="292" t="str">
        <f t="array" ref="K418">IFERROR(I418*INDEX('PORTIFÓLIO'!$S$4:$S$433,MATCH($C418,'PORTIFÓLIO'!$C$4:$C$433,0)),"")</f>
        <v/>
      </c>
      <c r="L418" s="292" t="str">
        <f t="array" ref="L418">IFERROR(J418*INDEX('PORTIFÓLIO'!$S$4:$S$433,MATCH($C418,'PORTIFÓLIO'!$C$4:$C$433,0)),"")</f>
        <v/>
      </c>
      <c r="M418" s="220"/>
      <c r="N418" s="220"/>
      <c r="O418" s="220"/>
      <c r="P418" s="220"/>
      <c r="Q418" s="220"/>
      <c r="R418" s="220"/>
      <c r="S418" s="220"/>
      <c r="T418" s="220"/>
      <c r="U418" s="220"/>
      <c r="V418" s="220"/>
      <c r="W418" s="220"/>
    </row>
    <row r="419" ht="15.75" customHeight="1" outlineLevel="1">
      <c r="A419" s="211"/>
      <c r="B419" s="212"/>
      <c r="C419" s="213"/>
      <c r="D419" s="214" t="str">
        <f>IFERROR(VLOOKUP($C419,'PORTIFÓLIO'!C:V,2,0),"")</f>
        <v/>
      </c>
      <c r="E419" s="211" t="str">
        <f>IFERROR(VLOOKUP($C419,'PORTIFÓLIO'!C:V,3,0),"")</f>
        <v/>
      </c>
      <c r="F419" s="211" t="str">
        <f>IFERROR(VLOOKUP($C419,'PORTIFÓLIO'!C:V,4,0),"")</f>
        <v/>
      </c>
      <c r="G419" s="215" t="str">
        <f>IFERROR(VLOOKUP($C419,'PORTIFÓLIO'!C:V,5,0),"")</f>
        <v/>
      </c>
      <c r="H419" s="254" t="str">
        <f t="array" ref="H419">IFERROR(INDEX('PORTIFÓLIO'!$H$4:$H$433,MATCH($C419,'PORTIFÓLIO'!$C$4:$C$433,0)),"")</f>
        <v/>
      </c>
      <c r="I419" s="256"/>
      <c r="J419" s="218">
        <f t="shared" si="47"/>
        <v>0</v>
      </c>
      <c r="K419" s="292" t="str">
        <f t="array" ref="K419">IFERROR(I419*INDEX('PORTIFÓLIO'!$S$4:$S$433,MATCH($C419,'PORTIFÓLIO'!$C$4:$C$433,0)),"")</f>
        <v/>
      </c>
      <c r="L419" s="292" t="str">
        <f t="array" ref="L419">IFERROR(J419*INDEX('PORTIFÓLIO'!$S$4:$S$433,MATCH($C419,'PORTIFÓLIO'!$C$4:$C$433,0)),"")</f>
        <v/>
      </c>
      <c r="M419" s="220"/>
      <c r="N419" s="220"/>
      <c r="O419" s="220"/>
      <c r="P419" s="220"/>
      <c r="Q419" s="220"/>
      <c r="R419" s="220"/>
      <c r="S419" s="220"/>
      <c r="T419" s="220"/>
      <c r="U419" s="220"/>
      <c r="V419" s="220"/>
      <c r="W419" s="220"/>
    </row>
    <row r="420" ht="15.75" customHeight="1" outlineLevel="1">
      <c r="A420" s="211"/>
      <c r="B420" s="212"/>
      <c r="C420" s="213"/>
      <c r="D420" s="214" t="str">
        <f>IFERROR(VLOOKUP($C420,'PORTIFÓLIO'!C:V,2,0),"")</f>
        <v/>
      </c>
      <c r="E420" s="211" t="str">
        <f>IFERROR(VLOOKUP($C420,'PORTIFÓLIO'!C:V,3,0),"")</f>
        <v/>
      </c>
      <c r="F420" s="211" t="str">
        <f>IFERROR(VLOOKUP($C420,'PORTIFÓLIO'!C:V,4,0),"")</f>
        <v/>
      </c>
      <c r="G420" s="215" t="str">
        <f>IFERROR(VLOOKUP($C420,'PORTIFÓLIO'!C:V,5,0),"")</f>
        <v/>
      </c>
      <c r="H420" s="254" t="str">
        <f t="array" ref="H420">IFERROR(INDEX('PORTIFÓLIO'!$H$4:$H$433,MATCH($C420,'PORTIFÓLIO'!$C$4:$C$433,0)),"")</f>
        <v/>
      </c>
      <c r="I420" s="256"/>
      <c r="J420" s="218">
        <f t="shared" si="47"/>
        <v>0</v>
      </c>
      <c r="K420" s="292" t="str">
        <f t="array" ref="K420">IFERROR(I420*INDEX('PORTIFÓLIO'!$S$4:$S$433,MATCH($C420,'PORTIFÓLIO'!$C$4:$C$433,0)),"")</f>
        <v/>
      </c>
      <c r="L420" s="292" t="str">
        <f t="array" ref="L420">IFERROR(J420*INDEX('PORTIFÓLIO'!$S$4:$S$433,MATCH($C420,'PORTIFÓLIO'!$C$4:$C$433,0)),"")</f>
        <v/>
      </c>
      <c r="M420" s="220"/>
      <c r="N420" s="220"/>
      <c r="O420" s="220"/>
      <c r="P420" s="220"/>
      <c r="Q420" s="220"/>
      <c r="R420" s="220"/>
      <c r="S420" s="220"/>
      <c r="T420" s="220"/>
      <c r="U420" s="220"/>
      <c r="V420" s="220"/>
      <c r="W420" s="220"/>
    </row>
    <row r="421" ht="15.75" customHeight="1" outlineLevel="1">
      <c r="A421" s="211"/>
      <c r="B421" s="212"/>
      <c r="C421" s="213"/>
      <c r="D421" s="214" t="str">
        <f>IFERROR(VLOOKUP($C421,'PORTIFÓLIO'!C:V,2,0),"")</f>
        <v/>
      </c>
      <c r="E421" s="211" t="str">
        <f>IFERROR(VLOOKUP($C421,'PORTIFÓLIO'!C:V,3,0),"")</f>
        <v/>
      </c>
      <c r="F421" s="211" t="str">
        <f>IFERROR(VLOOKUP($C421,'PORTIFÓLIO'!C:V,4,0),"")</f>
        <v/>
      </c>
      <c r="G421" s="215" t="str">
        <f>IFERROR(VLOOKUP($C421,'PORTIFÓLIO'!C:V,5,0),"")</f>
        <v/>
      </c>
      <c r="H421" s="254" t="str">
        <f t="array" ref="H421">IFERROR(INDEX('PORTIFÓLIO'!$H$4:$H$433,MATCH($C421,'PORTIFÓLIO'!$C$4:$C$433,0)),"")</f>
        <v/>
      </c>
      <c r="I421" s="256"/>
      <c r="J421" s="218">
        <f t="shared" si="47"/>
        <v>0</v>
      </c>
      <c r="K421" s="292" t="str">
        <f t="array" ref="K421">IFERROR(I421*INDEX('PORTIFÓLIO'!$S$4:$S$433,MATCH($C421,'PORTIFÓLIO'!$C$4:$C$433,0)),"")</f>
        <v/>
      </c>
      <c r="L421" s="292" t="str">
        <f t="array" ref="L421">IFERROR(J421*INDEX('PORTIFÓLIO'!$S$4:$S$433,MATCH($C421,'PORTIFÓLIO'!$C$4:$C$433,0)),"")</f>
        <v/>
      </c>
      <c r="M421" s="220"/>
      <c r="N421" s="220"/>
      <c r="O421" s="220"/>
      <c r="P421" s="220"/>
      <c r="Q421" s="220"/>
      <c r="R421" s="220"/>
      <c r="S421" s="220"/>
      <c r="T421" s="220"/>
      <c r="U421" s="220"/>
      <c r="V421" s="220"/>
      <c r="W421" s="220"/>
    </row>
    <row r="422" ht="15.75" customHeight="1" outlineLevel="1">
      <c r="A422" s="211"/>
      <c r="B422" s="212"/>
      <c r="C422" s="213"/>
      <c r="D422" s="214" t="str">
        <f>IFERROR(VLOOKUP($C422,'PORTIFÓLIO'!C:V,2,0),"")</f>
        <v/>
      </c>
      <c r="E422" s="211" t="str">
        <f>IFERROR(VLOOKUP($C422,'PORTIFÓLIO'!C:V,3,0),"")</f>
        <v/>
      </c>
      <c r="F422" s="211" t="str">
        <f>IFERROR(VLOOKUP($C422,'PORTIFÓLIO'!C:V,4,0),"")</f>
        <v/>
      </c>
      <c r="G422" s="215" t="str">
        <f>IFERROR(VLOOKUP($C422,'PORTIFÓLIO'!C:V,5,0),"")</f>
        <v/>
      </c>
      <c r="H422" s="254" t="str">
        <f t="array" ref="H422">IFERROR(INDEX('PORTIFÓLIO'!$H$4:$H$433,MATCH($C422,'PORTIFÓLIO'!$C$4:$C$433,0)),"")</f>
        <v/>
      </c>
      <c r="I422" s="256"/>
      <c r="J422" s="218">
        <f t="shared" si="47"/>
        <v>0</v>
      </c>
      <c r="K422" s="292" t="str">
        <f t="array" ref="K422">IFERROR(I422*INDEX('PORTIFÓLIO'!$S$4:$S$433,MATCH($C422,'PORTIFÓLIO'!$C$4:$C$433,0)),"")</f>
        <v/>
      </c>
      <c r="L422" s="292" t="str">
        <f t="array" ref="L422">IFERROR(J422*INDEX('PORTIFÓLIO'!$S$4:$S$433,MATCH($C422,'PORTIFÓLIO'!$C$4:$C$433,0)),"")</f>
        <v/>
      </c>
      <c r="M422" s="220"/>
      <c r="N422" s="220"/>
      <c r="O422" s="220"/>
      <c r="P422" s="220"/>
      <c r="Q422" s="220"/>
      <c r="R422" s="220"/>
      <c r="S422" s="220"/>
      <c r="T422" s="220"/>
      <c r="U422" s="220"/>
      <c r="V422" s="220"/>
      <c r="W422" s="220"/>
    </row>
    <row r="423" ht="15.75" customHeight="1" outlineLevel="1">
      <c r="A423" s="211"/>
      <c r="B423" s="212"/>
      <c r="C423" s="213"/>
      <c r="D423" s="214" t="str">
        <f>IFERROR(VLOOKUP($C423,'PORTIFÓLIO'!C:V,2,0),"")</f>
        <v/>
      </c>
      <c r="E423" s="211" t="str">
        <f>IFERROR(VLOOKUP($C423,'PORTIFÓLIO'!C:V,3,0),"")</f>
        <v/>
      </c>
      <c r="F423" s="211" t="str">
        <f>IFERROR(VLOOKUP($C423,'PORTIFÓLIO'!C:V,4,0),"")</f>
        <v/>
      </c>
      <c r="G423" s="215" t="str">
        <f>IFERROR(VLOOKUP($C423,'PORTIFÓLIO'!C:V,5,0),"")</f>
        <v/>
      </c>
      <c r="H423" s="254" t="str">
        <f t="array" ref="H423">IFERROR(INDEX('PORTIFÓLIO'!$H$4:$H$433,MATCH($C423,'PORTIFÓLIO'!$C$4:$C$433,0)),"")</f>
        <v/>
      </c>
      <c r="I423" s="256"/>
      <c r="J423" s="218">
        <f t="shared" si="47"/>
        <v>0</v>
      </c>
      <c r="K423" s="292" t="str">
        <f t="array" ref="K423">IFERROR(I423*INDEX('PORTIFÓLIO'!$S$4:$S$433,MATCH($C423,'PORTIFÓLIO'!$C$4:$C$433,0)),"")</f>
        <v/>
      </c>
      <c r="L423" s="292" t="str">
        <f t="array" ref="L423">IFERROR(J423*INDEX('PORTIFÓLIO'!$S$4:$S$433,MATCH($C423,'PORTIFÓLIO'!$C$4:$C$433,0)),"")</f>
        <v/>
      </c>
      <c r="M423" s="220"/>
      <c r="N423" s="220"/>
      <c r="O423" s="220"/>
      <c r="P423" s="220"/>
      <c r="Q423" s="220"/>
      <c r="R423" s="220"/>
      <c r="S423" s="220"/>
      <c r="T423" s="220"/>
      <c r="U423" s="220"/>
      <c r="V423" s="220"/>
      <c r="W423" s="220"/>
    </row>
    <row r="424" ht="15.75" customHeight="1" outlineLevel="1">
      <c r="A424" s="211"/>
      <c r="B424" s="212"/>
      <c r="C424" s="213"/>
      <c r="D424" s="214" t="str">
        <f>IFERROR(VLOOKUP($C424,'PORTIFÓLIO'!C:V,2,0),"")</f>
        <v/>
      </c>
      <c r="E424" s="211" t="str">
        <f>IFERROR(VLOOKUP($C424,'PORTIFÓLIO'!C:V,3,0),"")</f>
        <v/>
      </c>
      <c r="F424" s="211" t="str">
        <f>IFERROR(VLOOKUP($C424,'PORTIFÓLIO'!C:V,4,0),"")</f>
        <v/>
      </c>
      <c r="G424" s="215" t="str">
        <f>IFERROR(VLOOKUP($C424,'PORTIFÓLIO'!C:V,5,0),"")</f>
        <v/>
      </c>
      <c r="H424" s="254" t="str">
        <f t="array" ref="H424">IFERROR(INDEX('PORTIFÓLIO'!$H$4:$H$433,MATCH($C424,'PORTIFÓLIO'!$C$4:$C$433,0)),"")</f>
        <v/>
      </c>
      <c r="I424" s="256"/>
      <c r="J424" s="218">
        <f t="shared" si="47"/>
        <v>0</v>
      </c>
      <c r="K424" s="292" t="str">
        <f t="array" ref="K424">IFERROR(I424*INDEX('PORTIFÓLIO'!$S$4:$S$433,MATCH($C424,'PORTIFÓLIO'!$C$4:$C$433,0)),"")</f>
        <v/>
      </c>
      <c r="L424" s="292" t="str">
        <f t="array" ref="L424">IFERROR(J424*INDEX('PORTIFÓLIO'!$S$4:$S$433,MATCH($C424,'PORTIFÓLIO'!$C$4:$C$433,0)),"")</f>
        <v/>
      </c>
      <c r="M424" s="220"/>
      <c r="N424" s="220"/>
      <c r="O424" s="220"/>
      <c r="P424" s="220"/>
      <c r="Q424" s="220"/>
      <c r="R424" s="220"/>
      <c r="S424" s="220"/>
      <c r="T424" s="220"/>
      <c r="U424" s="220"/>
      <c r="V424" s="220"/>
      <c r="W424" s="220"/>
    </row>
    <row r="425" ht="15.75" customHeight="1" outlineLevel="1">
      <c r="A425" s="211"/>
      <c r="B425" s="227"/>
      <c r="C425" s="211"/>
      <c r="D425" s="214" t="str">
        <f>IFERROR(VLOOKUP($C425,'PORTIFÓLIO'!C:V,2,0),"")</f>
        <v/>
      </c>
      <c r="E425" s="211" t="str">
        <f>IFERROR(VLOOKUP($C425,'PORTIFÓLIO'!C:V,3,0),"")</f>
        <v/>
      </c>
      <c r="F425" s="211" t="str">
        <f>IFERROR(VLOOKUP($C425,'PORTIFÓLIO'!C:V,4,0),"")</f>
        <v/>
      </c>
      <c r="G425" s="215" t="str">
        <f>IFERROR(VLOOKUP($C425,'PORTIFÓLIO'!C:V,5,0),"")</f>
        <v/>
      </c>
      <c r="H425" s="254" t="str">
        <f t="array" ref="H425">IFERROR(INDEX('PORTIFÓLIO'!$H$4:$H$433,MATCH($C425,'PORTIFÓLIO'!$C$4:$C$433,0)),"")</f>
        <v/>
      </c>
      <c r="I425" s="256"/>
      <c r="J425" s="218">
        <f t="shared" si="47"/>
        <v>0</v>
      </c>
      <c r="K425" s="292" t="str">
        <f t="array" ref="K425">IFERROR(I425*INDEX('PORTIFÓLIO'!$S$4:$S$433,MATCH($C425,'PORTIFÓLIO'!$C$4:$C$433,0)),"")</f>
        <v/>
      </c>
      <c r="L425" s="292" t="str">
        <f t="array" ref="L425">IFERROR(J425*INDEX('PORTIFÓLIO'!$S$4:$S$433,MATCH($C425,'PORTIFÓLIO'!$C$4:$C$433,0)),"")</f>
        <v/>
      </c>
      <c r="M425" s="220"/>
      <c r="N425" s="220"/>
      <c r="O425" s="220"/>
      <c r="P425" s="220"/>
      <c r="Q425" s="220"/>
      <c r="R425" s="220"/>
      <c r="S425" s="220"/>
      <c r="T425" s="220"/>
      <c r="U425" s="220"/>
      <c r="V425" s="220"/>
      <c r="W425" s="220"/>
    </row>
    <row r="426" ht="15.75" customHeight="1" outlineLevel="1">
      <c r="A426" s="211"/>
      <c r="B426" s="227"/>
      <c r="C426" s="211"/>
      <c r="D426" s="214" t="str">
        <f>IFERROR(VLOOKUP($C426,'PORTIFÓLIO'!C:V,2,0),"")</f>
        <v/>
      </c>
      <c r="E426" s="211" t="str">
        <f>IFERROR(VLOOKUP($C426,'PORTIFÓLIO'!C:V,3,0),"")</f>
        <v/>
      </c>
      <c r="F426" s="211" t="str">
        <f>IFERROR(VLOOKUP($C426,'PORTIFÓLIO'!C:V,4,0),"")</f>
        <v/>
      </c>
      <c r="G426" s="215" t="str">
        <f>IFERROR(VLOOKUP($C426,'PORTIFÓLIO'!C:V,5,0),"")</f>
        <v/>
      </c>
      <c r="H426" s="254" t="str">
        <f t="array" ref="H426">IFERROR(INDEX('PORTIFÓLIO'!$H$4:$H$433,MATCH($C426,'PORTIFÓLIO'!$C$4:$C$433,0)),"")</f>
        <v/>
      </c>
      <c r="I426" s="256"/>
      <c r="J426" s="218">
        <f t="shared" si="47"/>
        <v>0</v>
      </c>
      <c r="K426" s="292" t="str">
        <f t="array" ref="K426">IFERROR(I426*INDEX('PORTIFÓLIO'!$S$4:$S$433,MATCH($C426,'PORTIFÓLIO'!$C$4:$C$433,0)),"")</f>
        <v/>
      </c>
      <c r="L426" s="292" t="str">
        <f t="array" ref="L426">IFERROR(J426*INDEX('PORTIFÓLIO'!$S$4:$S$433,MATCH($C426,'PORTIFÓLIO'!$C$4:$C$433,0)),"")</f>
        <v/>
      </c>
      <c r="U426" s="79"/>
    </row>
    <row r="427" ht="15.75" customHeight="1">
      <c r="A427" s="229" t="s">
        <v>1202</v>
      </c>
      <c r="B427" s="230"/>
      <c r="C427" s="231"/>
      <c r="D427" s="232"/>
      <c r="E427" s="231"/>
      <c r="F427" s="231"/>
      <c r="G427" s="233"/>
      <c r="H427" s="233"/>
      <c r="I427" s="258"/>
      <c r="J427" s="236"/>
      <c r="K427" s="237">
        <f t="shared" ref="K427:L427" si="48">SUBTOTAL(9,K428:K441)</f>
        <v>0</v>
      </c>
      <c r="L427" s="237">
        <f t="shared" si="48"/>
        <v>0</v>
      </c>
      <c r="U427" s="79"/>
    </row>
    <row r="428" ht="15.75" customHeight="1" outlineLevel="1">
      <c r="A428" s="213"/>
      <c r="B428" s="212"/>
      <c r="C428" s="213"/>
      <c r="D428" s="214" t="str">
        <f>IFERROR(VLOOKUP($C428,'PORTIFÓLIO'!C:V,2,0),"")</f>
        <v/>
      </c>
      <c r="E428" s="211" t="str">
        <f>IFERROR(VLOOKUP($C428,'PORTIFÓLIO'!C:V,3,0),"")</f>
        <v/>
      </c>
      <c r="F428" s="211" t="str">
        <f>IFERROR(VLOOKUP($C428,'PORTIFÓLIO'!C:V,4,0),"")</f>
        <v/>
      </c>
      <c r="G428" s="215" t="str">
        <f>IFERROR(VLOOKUP($C428,'PORTIFÓLIO'!C:V,5,0),"")</f>
        <v/>
      </c>
      <c r="H428" s="254" t="str">
        <f t="array" ref="H428">IFERROR(INDEX('PORTIFÓLIO'!$H$4:$H$433,MATCH($C428,'PORTIFÓLIO'!$C$4:$C$433,0)),"")</f>
        <v/>
      </c>
      <c r="I428" s="256"/>
      <c r="J428" s="218">
        <f t="shared" ref="J428:J451" si="49">I428*$B$2</f>
        <v>0</v>
      </c>
      <c r="K428" s="292" t="str">
        <f t="array" ref="K428">IFERROR(I428*INDEX('PORTIFÓLIO'!$S$4:$S$433,MATCH($C428,'PORTIFÓLIO'!$C$4:$C$433,0)),"")</f>
        <v/>
      </c>
      <c r="L428" s="292" t="str">
        <f t="array" ref="L428">IFERROR(J428*INDEX('PORTIFÓLIO'!$S$4:$S$433,MATCH($C428,'PORTIFÓLIO'!$C$4:$C$433,0)),"")</f>
        <v/>
      </c>
      <c r="U428" s="79"/>
    </row>
    <row r="429" ht="15.75" customHeight="1" outlineLevel="1">
      <c r="A429" s="211"/>
      <c r="B429" s="212"/>
      <c r="C429" s="213"/>
      <c r="D429" s="214" t="str">
        <f>IFERROR(VLOOKUP($C429,'PORTIFÓLIO'!C:V,2,0),"")</f>
        <v/>
      </c>
      <c r="E429" s="211" t="str">
        <f>IFERROR(VLOOKUP($C429,'PORTIFÓLIO'!C:V,3,0),"")</f>
        <v/>
      </c>
      <c r="F429" s="211" t="str">
        <f>IFERROR(VLOOKUP($C429,'PORTIFÓLIO'!C:V,4,0),"")</f>
        <v/>
      </c>
      <c r="G429" s="215" t="str">
        <f>IFERROR(VLOOKUP($C429,'PORTIFÓLIO'!C:V,5,0),"")</f>
        <v/>
      </c>
      <c r="H429" s="254" t="str">
        <f t="array" ref="H429">IFERROR(INDEX('PORTIFÓLIO'!$H$4:$H$433,MATCH($C429,'PORTIFÓLIO'!$C$4:$C$433,0)),"")</f>
        <v/>
      </c>
      <c r="I429" s="256"/>
      <c r="J429" s="218">
        <f t="shared" si="49"/>
        <v>0</v>
      </c>
      <c r="K429" s="292" t="str">
        <f t="array" ref="K429">IFERROR(I429*INDEX('PORTIFÓLIO'!$S$4:$S$433,MATCH($C429,'PORTIFÓLIO'!$C$4:$C$433,0)),"")</f>
        <v/>
      </c>
      <c r="L429" s="292" t="str">
        <f t="array" ref="L429">IFERROR(J429*INDEX('PORTIFÓLIO'!$S$4:$S$433,MATCH($C429,'PORTIFÓLIO'!$C$4:$C$433,0)),"")</f>
        <v/>
      </c>
      <c r="U429" s="79"/>
    </row>
    <row r="430" ht="15.75" customHeight="1" outlineLevel="1">
      <c r="A430" s="211"/>
      <c r="B430" s="212"/>
      <c r="C430" s="213"/>
      <c r="D430" s="214" t="str">
        <f>IFERROR(VLOOKUP($C430,'PORTIFÓLIO'!C:V,2,0),"")</f>
        <v/>
      </c>
      <c r="E430" s="211" t="str">
        <f>IFERROR(VLOOKUP($C430,'PORTIFÓLIO'!C:V,3,0),"")</f>
        <v/>
      </c>
      <c r="F430" s="211" t="str">
        <f>IFERROR(VLOOKUP($C430,'PORTIFÓLIO'!C:V,4,0),"")</f>
        <v/>
      </c>
      <c r="G430" s="215" t="str">
        <f>IFERROR(VLOOKUP($C430,'PORTIFÓLIO'!C:V,5,0),"")</f>
        <v/>
      </c>
      <c r="H430" s="254" t="str">
        <f t="array" ref="H430">IFERROR(INDEX('PORTIFÓLIO'!$H$4:$H$433,MATCH($C430,'PORTIFÓLIO'!$C$4:$C$433,0)),"")</f>
        <v/>
      </c>
      <c r="I430" s="256"/>
      <c r="J430" s="218">
        <f t="shared" si="49"/>
        <v>0</v>
      </c>
      <c r="K430" s="292" t="str">
        <f t="array" ref="K430">IFERROR(I430*INDEX('PORTIFÓLIO'!$S$4:$S$433,MATCH($C430,'PORTIFÓLIO'!$C$4:$C$433,0)),"")</f>
        <v/>
      </c>
      <c r="L430" s="292" t="str">
        <f t="array" ref="L430">IFERROR(J430*INDEX('PORTIFÓLIO'!$S$4:$S$433,MATCH($C430,'PORTIFÓLIO'!$C$4:$C$433,0)),"")</f>
        <v/>
      </c>
      <c r="U430" s="79"/>
    </row>
    <row r="431" ht="15.75" customHeight="1" outlineLevel="1">
      <c r="A431" s="211"/>
      <c r="B431" s="212"/>
      <c r="C431" s="213"/>
      <c r="D431" s="214" t="str">
        <f>IFERROR(VLOOKUP($C431,'PORTIFÓLIO'!C:V,2,0),"")</f>
        <v/>
      </c>
      <c r="E431" s="211" t="str">
        <f>IFERROR(VLOOKUP($C431,'PORTIFÓLIO'!C:V,3,0),"")</f>
        <v/>
      </c>
      <c r="F431" s="211" t="str">
        <f>IFERROR(VLOOKUP($C431,'PORTIFÓLIO'!C:V,4,0),"")</f>
        <v/>
      </c>
      <c r="G431" s="215" t="str">
        <f>IFERROR(VLOOKUP($C431,'PORTIFÓLIO'!C:V,5,0),"")</f>
        <v/>
      </c>
      <c r="H431" s="254" t="str">
        <f t="array" ref="H431">IFERROR(INDEX('PORTIFÓLIO'!$H$4:$H$433,MATCH($C431,'PORTIFÓLIO'!$C$4:$C$433,0)),"")</f>
        <v/>
      </c>
      <c r="I431" s="256"/>
      <c r="J431" s="218">
        <f t="shared" si="49"/>
        <v>0</v>
      </c>
      <c r="K431" s="292" t="str">
        <f t="array" ref="K431">IFERROR(I431*INDEX('PORTIFÓLIO'!$S$4:$S$433,MATCH($C431,'PORTIFÓLIO'!$C$4:$C$433,0)),"")</f>
        <v/>
      </c>
      <c r="L431" s="292" t="str">
        <f t="array" ref="L431">IFERROR(J431*INDEX('PORTIFÓLIO'!$S$4:$S$433,MATCH($C431,'PORTIFÓLIO'!$C$4:$C$433,0)),"")</f>
        <v/>
      </c>
      <c r="U431" s="79"/>
    </row>
    <row r="432" ht="15.75" customHeight="1" outlineLevel="1">
      <c r="A432" s="211"/>
      <c r="B432" s="212"/>
      <c r="C432" s="213"/>
      <c r="D432" s="214" t="str">
        <f>IFERROR(VLOOKUP($C432,'PORTIFÓLIO'!C:V,2,0),"")</f>
        <v/>
      </c>
      <c r="E432" s="211" t="str">
        <f>IFERROR(VLOOKUP($C432,'PORTIFÓLIO'!C:V,3,0),"")</f>
        <v/>
      </c>
      <c r="F432" s="211" t="str">
        <f>IFERROR(VLOOKUP($C432,'PORTIFÓLIO'!C:V,4,0),"")</f>
        <v/>
      </c>
      <c r="G432" s="215" t="str">
        <f>IFERROR(VLOOKUP($C432,'PORTIFÓLIO'!C:V,5,0),"")</f>
        <v/>
      </c>
      <c r="H432" s="254" t="str">
        <f t="array" ref="H432">IFERROR(INDEX('PORTIFÓLIO'!$H$4:$H$433,MATCH($C432,'PORTIFÓLIO'!$C$4:$C$433,0)),"")</f>
        <v/>
      </c>
      <c r="I432" s="256"/>
      <c r="J432" s="218">
        <f t="shared" si="49"/>
        <v>0</v>
      </c>
      <c r="K432" s="292" t="str">
        <f t="array" ref="K432">IFERROR(I432*INDEX('PORTIFÓLIO'!$S$4:$S$433,MATCH($C432,'PORTIFÓLIO'!$C$4:$C$433,0)),"")</f>
        <v/>
      </c>
      <c r="L432" s="292" t="str">
        <f t="array" ref="L432">IFERROR(J432*INDEX('PORTIFÓLIO'!$S$4:$S$433,MATCH($C432,'PORTIFÓLIO'!$C$4:$C$433,0)),"")</f>
        <v/>
      </c>
      <c r="U432" s="79"/>
    </row>
    <row r="433" ht="15.75" customHeight="1" outlineLevel="1">
      <c r="A433" s="211"/>
      <c r="B433" s="212"/>
      <c r="C433" s="213"/>
      <c r="D433" s="214" t="str">
        <f>IFERROR(VLOOKUP($C433,'PORTIFÓLIO'!C:V,2,0),"")</f>
        <v/>
      </c>
      <c r="E433" s="211" t="str">
        <f>IFERROR(VLOOKUP($C433,'PORTIFÓLIO'!C:V,3,0),"")</f>
        <v/>
      </c>
      <c r="F433" s="211" t="str">
        <f>IFERROR(VLOOKUP($C433,'PORTIFÓLIO'!C:V,4,0),"")</f>
        <v/>
      </c>
      <c r="G433" s="215" t="str">
        <f>IFERROR(VLOOKUP($C433,'PORTIFÓLIO'!C:V,5,0),"")</f>
        <v/>
      </c>
      <c r="H433" s="254" t="str">
        <f t="array" ref="H433">IFERROR(INDEX('PORTIFÓLIO'!$H$4:$H$433,MATCH($C433,'PORTIFÓLIO'!$C$4:$C$433,0)),"")</f>
        <v/>
      </c>
      <c r="I433" s="256"/>
      <c r="J433" s="218">
        <f t="shared" si="49"/>
        <v>0</v>
      </c>
      <c r="K433" s="292" t="str">
        <f t="array" ref="K433">IFERROR(I433*INDEX('PORTIFÓLIO'!$S$4:$S$433,MATCH($C433,'PORTIFÓLIO'!$C$4:$C$433,0)),"")</f>
        <v/>
      </c>
      <c r="L433" s="292" t="str">
        <f t="array" ref="L433">IFERROR(J433*INDEX('PORTIFÓLIO'!$S$4:$S$433,MATCH($C433,'PORTIFÓLIO'!$C$4:$C$433,0)),"")</f>
        <v/>
      </c>
      <c r="U433" s="79"/>
    </row>
    <row r="434" ht="15.75" customHeight="1" outlineLevel="1">
      <c r="A434" s="211"/>
      <c r="B434" s="212"/>
      <c r="C434" s="213"/>
      <c r="D434" s="214" t="str">
        <f>IFERROR(VLOOKUP($C434,'PORTIFÓLIO'!C:V,2,0),"")</f>
        <v/>
      </c>
      <c r="E434" s="211" t="str">
        <f>IFERROR(VLOOKUP($C434,'PORTIFÓLIO'!C:V,3,0),"")</f>
        <v/>
      </c>
      <c r="F434" s="211" t="str">
        <f>IFERROR(VLOOKUP($C434,'PORTIFÓLIO'!C:V,4,0),"")</f>
        <v/>
      </c>
      <c r="G434" s="215" t="str">
        <f>IFERROR(VLOOKUP($C434,'PORTIFÓLIO'!C:V,5,0),"")</f>
        <v/>
      </c>
      <c r="H434" s="254" t="str">
        <f t="array" ref="H434">IFERROR(INDEX('PORTIFÓLIO'!$H$4:$H$433,MATCH($C434,'PORTIFÓLIO'!$C$4:$C$433,0)),"")</f>
        <v/>
      </c>
      <c r="I434" s="256"/>
      <c r="J434" s="218">
        <f t="shared" si="49"/>
        <v>0</v>
      </c>
      <c r="K434" s="292" t="str">
        <f t="array" ref="K434">IFERROR(I434*INDEX('PORTIFÓLIO'!$S$4:$S$433,MATCH($C434,'PORTIFÓLIO'!$C$4:$C$433,0)),"")</f>
        <v/>
      </c>
      <c r="L434" s="292" t="str">
        <f t="array" ref="L434">IFERROR(J434*INDEX('PORTIFÓLIO'!$S$4:$S$433,MATCH($C434,'PORTIFÓLIO'!$C$4:$C$433,0)),"")</f>
        <v/>
      </c>
      <c r="U434" s="79"/>
    </row>
    <row r="435" ht="15.75" customHeight="1" outlineLevel="1">
      <c r="A435" s="211"/>
      <c r="B435" s="212"/>
      <c r="C435" s="213"/>
      <c r="D435" s="214" t="str">
        <f>IFERROR(VLOOKUP($C435,'PORTIFÓLIO'!C:V,2,0),"")</f>
        <v/>
      </c>
      <c r="E435" s="211" t="str">
        <f>IFERROR(VLOOKUP($C435,'PORTIFÓLIO'!C:V,3,0),"")</f>
        <v/>
      </c>
      <c r="F435" s="211" t="str">
        <f>IFERROR(VLOOKUP($C435,'PORTIFÓLIO'!C:V,4,0),"")</f>
        <v/>
      </c>
      <c r="G435" s="215" t="str">
        <f>IFERROR(VLOOKUP($C435,'PORTIFÓLIO'!C:V,5,0),"")</f>
        <v/>
      </c>
      <c r="H435" s="254" t="str">
        <f t="array" ref="H435">IFERROR(INDEX('PORTIFÓLIO'!$H$4:$H$433,MATCH($C435,'PORTIFÓLIO'!$C$4:$C$433,0)),"")</f>
        <v/>
      </c>
      <c r="I435" s="256"/>
      <c r="J435" s="218">
        <f t="shared" si="49"/>
        <v>0</v>
      </c>
      <c r="K435" s="292" t="str">
        <f t="array" ref="K435">IFERROR(I435*INDEX('PORTIFÓLIO'!$S$4:$S$433,MATCH($C435,'PORTIFÓLIO'!$C$4:$C$433,0)),"")</f>
        <v/>
      </c>
      <c r="L435" s="292" t="str">
        <f t="array" ref="L435">IFERROR(J435*INDEX('PORTIFÓLIO'!$S$4:$S$433,MATCH($C435,'PORTIFÓLIO'!$C$4:$C$433,0)),"")</f>
        <v/>
      </c>
      <c r="U435" s="79"/>
    </row>
    <row r="436" ht="15.75" customHeight="1" outlineLevel="1">
      <c r="A436" s="211"/>
      <c r="B436" s="212"/>
      <c r="C436" s="213"/>
      <c r="D436" s="214" t="str">
        <f>IFERROR(VLOOKUP($C436,'PORTIFÓLIO'!C:V,2,0),"")</f>
        <v/>
      </c>
      <c r="E436" s="211" t="str">
        <f>IFERROR(VLOOKUP($C436,'PORTIFÓLIO'!C:V,3,0),"")</f>
        <v/>
      </c>
      <c r="F436" s="211" t="str">
        <f>IFERROR(VLOOKUP($C436,'PORTIFÓLIO'!C:V,4,0),"")</f>
        <v/>
      </c>
      <c r="G436" s="215" t="str">
        <f>IFERROR(VLOOKUP($C436,'PORTIFÓLIO'!C:V,5,0),"")</f>
        <v/>
      </c>
      <c r="H436" s="254" t="str">
        <f t="array" ref="H436">IFERROR(INDEX('PORTIFÓLIO'!$H$4:$H$433,MATCH($C436,'PORTIFÓLIO'!$C$4:$C$433,0)),"")</f>
        <v/>
      </c>
      <c r="I436" s="256"/>
      <c r="J436" s="218">
        <f t="shared" si="49"/>
        <v>0</v>
      </c>
      <c r="K436" s="292" t="str">
        <f t="array" ref="K436">IFERROR(I436*INDEX('PORTIFÓLIO'!$S$4:$S$433,MATCH($C436,'PORTIFÓLIO'!$C$4:$C$433,0)),"")</f>
        <v/>
      </c>
      <c r="L436" s="292" t="str">
        <f t="array" ref="L436">IFERROR(J436*INDEX('PORTIFÓLIO'!$S$4:$S$433,MATCH($C436,'PORTIFÓLIO'!$C$4:$C$433,0)),"")</f>
        <v/>
      </c>
      <c r="U436" s="79"/>
    </row>
    <row r="437" ht="15.75" customHeight="1" outlineLevel="1">
      <c r="A437" s="211"/>
      <c r="B437" s="212"/>
      <c r="C437" s="213"/>
      <c r="D437" s="214" t="str">
        <f>IFERROR(VLOOKUP($C437,'PORTIFÓLIO'!C:V,2,0),"")</f>
        <v/>
      </c>
      <c r="E437" s="211" t="str">
        <f>IFERROR(VLOOKUP($C437,'PORTIFÓLIO'!C:V,3,0),"")</f>
        <v/>
      </c>
      <c r="F437" s="211" t="str">
        <f>IFERROR(VLOOKUP($C437,'PORTIFÓLIO'!C:V,4,0),"")</f>
        <v/>
      </c>
      <c r="G437" s="215" t="str">
        <f>IFERROR(VLOOKUP($C437,'PORTIFÓLIO'!C:V,5,0),"")</f>
        <v/>
      </c>
      <c r="H437" s="254" t="str">
        <f t="array" ref="H437">IFERROR(INDEX('PORTIFÓLIO'!$H$4:$H$433,MATCH($C437,'PORTIFÓLIO'!$C$4:$C$433,0)),"")</f>
        <v/>
      </c>
      <c r="I437" s="256"/>
      <c r="J437" s="218">
        <f t="shared" si="49"/>
        <v>0</v>
      </c>
      <c r="K437" s="292" t="str">
        <f t="array" ref="K437">IFERROR(I437*INDEX('PORTIFÓLIO'!$S$4:$S$433,MATCH($C437,'PORTIFÓLIO'!$C$4:$C$433,0)),"")</f>
        <v/>
      </c>
      <c r="L437" s="292" t="str">
        <f t="array" ref="L437">IFERROR(J437*INDEX('PORTIFÓLIO'!$S$4:$S$433,MATCH($C437,'PORTIFÓLIO'!$C$4:$C$433,0)),"")</f>
        <v/>
      </c>
      <c r="U437" s="79"/>
    </row>
    <row r="438" ht="15.75" customHeight="1" outlineLevel="1">
      <c r="A438" s="211"/>
      <c r="B438" s="212"/>
      <c r="C438" s="213"/>
      <c r="D438" s="214" t="str">
        <f>IFERROR(VLOOKUP($C438,'PORTIFÓLIO'!C:V,2,0),"")</f>
        <v/>
      </c>
      <c r="E438" s="211" t="str">
        <f>IFERROR(VLOOKUP($C438,'PORTIFÓLIO'!C:V,3,0),"")</f>
        <v/>
      </c>
      <c r="F438" s="211" t="str">
        <f>IFERROR(VLOOKUP($C438,'PORTIFÓLIO'!C:V,4,0),"")</f>
        <v/>
      </c>
      <c r="G438" s="215" t="str">
        <f>IFERROR(VLOOKUP($C438,'PORTIFÓLIO'!C:V,5,0),"")</f>
        <v/>
      </c>
      <c r="H438" s="254" t="str">
        <f t="array" ref="H438">IFERROR(INDEX('PORTIFÓLIO'!$H$4:$H$433,MATCH($C438,'PORTIFÓLIO'!$C$4:$C$433,0)),"")</f>
        <v/>
      </c>
      <c r="I438" s="256"/>
      <c r="J438" s="218">
        <f t="shared" si="49"/>
        <v>0</v>
      </c>
      <c r="K438" s="292" t="str">
        <f t="array" ref="K438">IFERROR(I438*INDEX('PORTIFÓLIO'!$S$4:$S$433,MATCH($C438,'PORTIFÓLIO'!$C$4:$C$433,0)),"")</f>
        <v/>
      </c>
      <c r="L438" s="292" t="str">
        <f t="array" ref="L438">IFERROR(J438*INDEX('PORTIFÓLIO'!$S$4:$S$433,MATCH($C438,'PORTIFÓLIO'!$C$4:$C$433,0)),"")</f>
        <v/>
      </c>
      <c r="U438" s="79"/>
    </row>
    <row r="439" ht="15.75" customHeight="1" outlineLevel="1">
      <c r="A439" s="211"/>
      <c r="B439" s="212"/>
      <c r="C439" s="213"/>
      <c r="D439" s="214" t="str">
        <f>IFERROR(VLOOKUP($C439,'PORTIFÓLIO'!C:V,2,0),"")</f>
        <v/>
      </c>
      <c r="E439" s="211" t="str">
        <f>IFERROR(VLOOKUP($C439,'PORTIFÓLIO'!C:V,3,0),"")</f>
        <v/>
      </c>
      <c r="F439" s="211" t="str">
        <f>IFERROR(VLOOKUP($C439,'PORTIFÓLIO'!C:V,4,0),"")</f>
        <v/>
      </c>
      <c r="G439" s="215" t="str">
        <f>IFERROR(VLOOKUP($C439,'PORTIFÓLIO'!C:V,5,0),"")</f>
        <v/>
      </c>
      <c r="H439" s="254" t="str">
        <f t="array" ref="H439">IFERROR(INDEX('PORTIFÓLIO'!$H$4:$H$433,MATCH($C439,'PORTIFÓLIO'!$C$4:$C$433,0)),"")</f>
        <v/>
      </c>
      <c r="I439" s="256"/>
      <c r="J439" s="218">
        <f t="shared" si="49"/>
        <v>0</v>
      </c>
      <c r="K439" s="292" t="str">
        <f t="array" ref="K439">IFERROR(I439*INDEX('PORTIFÓLIO'!$S$4:$S$433,MATCH($C439,'PORTIFÓLIO'!$C$4:$C$433,0)),"")</f>
        <v/>
      </c>
      <c r="L439" s="292" t="str">
        <f t="array" ref="L439">IFERROR(J439*INDEX('PORTIFÓLIO'!$S$4:$S$433,MATCH($C439,'PORTIFÓLIO'!$C$4:$C$433,0)),"")</f>
        <v/>
      </c>
      <c r="U439" s="79"/>
    </row>
    <row r="440" ht="15.75" customHeight="1" outlineLevel="1">
      <c r="A440" s="211"/>
      <c r="B440" s="212"/>
      <c r="C440" s="213"/>
      <c r="D440" s="214" t="str">
        <f>IFERROR(VLOOKUP($C440,'PORTIFÓLIO'!C:V,2,0),"")</f>
        <v/>
      </c>
      <c r="E440" s="211" t="str">
        <f>IFERROR(VLOOKUP($C440,'PORTIFÓLIO'!C:V,3,0),"")</f>
        <v/>
      </c>
      <c r="F440" s="211" t="str">
        <f>IFERROR(VLOOKUP($C440,'PORTIFÓLIO'!C:V,4,0),"")</f>
        <v/>
      </c>
      <c r="G440" s="215" t="str">
        <f>IFERROR(VLOOKUP($C440,'PORTIFÓLIO'!C:V,5,0),"")</f>
        <v/>
      </c>
      <c r="H440" s="254" t="str">
        <f t="array" ref="H440">IFERROR(INDEX('PORTIFÓLIO'!$H$4:$H$433,MATCH($C440,'PORTIFÓLIO'!$C$4:$C$433,0)),"")</f>
        <v/>
      </c>
      <c r="I440" s="256"/>
      <c r="J440" s="218">
        <f t="shared" si="49"/>
        <v>0</v>
      </c>
      <c r="K440" s="292" t="str">
        <f t="array" ref="K440">IFERROR(I440*INDEX('PORTIFÓLIO'!$S$4:$S$433,MATCH($C440,'PORTIFÓLIO'!$C$4:$C$433,0)),"")</f>
        <v/>
      </c>
      <c r="L440" s="292" t="str">
        <f t="array" ref="L440">IFERROR(J440*INDEX('PORTIFÓLIO'!$S$4:$S$433,MATCH($C440,'PORTIFÓLIO'!$C$4:$C$433,0)),"")</f>
        <v/>
      </c>
      <c r="U440" s="79"/>
    </row>
    <row r="441" ht="15.75" customHeight="1" outlineLevel="1">
      <c r="A441" s="211"/>
      <c r="B441" s="212"/>
      <c r="C441" s="213"/>
      <c r="D441" s="214" t="str">
        <f>IFERROR(VLOOKUP($C441,'PORTIFÓLIO'!C:V,2,0),"")</f>
        <v/>
      </c>
      <c r="E441" s="211" t="str">
        <f>IFERROR(VLOOKUP($C441,'PORTIFÓLIO'!C:V,3,0),"")</f>
        <v/>
      </c>
      <c r="F441" s="211" t="str">
        <f>IFERROR(VLOOKUP($C441,'PORTIFÓLIO'!C:V,4,0),"")</f>
        <v/>
      </c>
      <c r="G441" s="215" t="str">
        <f>IFERROR(VLOOKUP($C441,'PORTIFÓLIO'!C:V,5,0),"")</f>
        <v/>
      </c>
      <c r="H441" s="254" t="str">
        <f t="array" ref="H441">IFERROR(INDEX('PORTIFÓLIO'!$H$4:$H$433,MATCH($C441,'PORTIFÓLIO'!$C$4:$C$433,0)),"")</f>
        <v/>
      </c>
      <c r="I441" s="256"/>
      <c r="J441" s="218">
        <f t="shared" si="49"/>
        <v>0</v>
      </c>
      <c r="K441" s="292" t="str">
        <f t="array" ref="K441">IFERROR(I441*INDEX('PORTIFÓLIO'!$S$4:$S$433,MATCH($C441,'PORTIFÓLIO'!$C$4:$C$433,0)),"")</f>
        <v/>
      </c>
      <c r="L441" s="292" t="str">
        <f t="array" ref="L441">IFERROR(J441*INDEX('PORTIFÓLIO'!$S$4:$S$433,MATCH($C441,'PORTIFÓLIO'!$C$4:$C$433,0)),"")</f>
        <v/>
      </c>
      <c r="U441" s="79"/>
    </row>
    <row r="442" ht="15.75" customHeight="1" outlineLevel="1">
      <c r="A442" s="211"/>
      <c r="B442" s="212"/>
      <c r="C442" s="213"/>
      <c r="D442" s="214" t="str">
        <f>IFERROR(VLOOKUP($C442,'PORTIFÓLIO'!C:V,2,0),"")</f>
        <v/>
      </c>
      <c r="E442" s="211" t="str">
        <f>IFERROR(VLOOKUP($C442,'PORTIFÓLIO'!C:V,3,0),"")</f>
        <v/>
      </c>
      <c r="F442" s="211" t="str">
        <f>IFERROR(VLOOKUP($C442,'PORTIFÓLIO'!C:V,4,0),"")</f>
        <v/>
      </c>
      <c r="G442" s="215" t="str">
        <f>IFERROR(VLOOKUP($C442,'PORTIFÓLIO'!C:V,5,0),"")</f>
        <v/>
      </c>
      <c r="H442" s="254" t="str">
        <f t="array" ref="H442">IFERROR(INDEX('PORTIFÓLIO'!$H$4:$H$433,MATCH($C442,'PORTIFÓLIO'!$C$4:$C$433,0)),"")</f>
        <v/>
      </c>
      <c r="I442" s="256"/>
      <c r="J442" s="218">
        <f t="shared" si="49"/>
        <v>0</v>
      </c>
      <c r="K442" s="292" t="str">
        <f t="array" ref="K442">IFERROR(I442*INDEX('PORTIFÓLIO'!$S$4:$S$433,MATCH($C442,'PORTIFÓLIO'!$C$4:$C$433,0)),"")</f>
        <v/>
      </c>
      <c r="L442" s="292" t="str">
        <f t="array" ref="L442">IFERROR(J442*INDEX('PORTIFÓLIO'!$S$4:$S$433,MATCH($C442,'PORTIFÓLIO'!$C$4:$C$433,0)),"")</f>
        <v/>
      </c>
      <c r="U442" s="79"/>
    </row>
    <row r="443" ht="15.75" customHeight="1" outlineLevel="1">
      <c r="A443" s="211"/>
      <c r="B443" s="227"/>
      <c r="C443" s="211"/>
      <c r="D443" s="214" t="str">
        <f>IFERROR(VLOOKUP($C443,'PORTIFÓLIO'!C:V,2,0),"")</f>
        <v/>
      </c>
      <c r="E443" s="211" t="str">
        <f>IFERROR(VLOOKUP($C443,'PORTIFÓLIO'!C:V,3,0),"")</f>
        <v/>
      </c>
      <c r="F443" s="211" t="str">
        <f>IFERROR(VLOOKUP($C443,'PORTIFÓLIO'!C:V,4,0),"")</f>
        <v/>
      </c>
      <c r="G443" s="215" t="str">
        <f>IFERROR(VLOOKUP($C443,'PORTIFÓLIO'!C:V,5,0),"")</f>
        <v/>
      </c>
      <c r="H443" s="254" t="str">
        <f t="array" ref="H443">IFERROR(INDEX('PORTIFÓLIO'!$H$4:$H$433,MATCH($C443,'PORTIFÓLIO'!$C$4:$C$433,0)),"")</f>
        <v/>
      </c>
      <c r="I443" s="256"/>
      <c r="J443" s="218">
        <f t="shared" si="49"/>
        <v>0</v>
      </c>
      <c r="K443" s="292" t="str">
        <f t="array" ref="K443">IFERROR(I443*INDEX('PORTIFÓLIO'!$S$4:$S$433,MATCH($C443,'PORTIFÓLIO'!$C$4:$C$433,0)),"")</f>
        <v/>
      </c>
      <c r="L443" s="292" t="str">
        <f t="array" ref="L443">IFERROR(J443*INDEX('PORTIFÓLIO'!$S$4:$S$433,MATCH($C443,'PORTIFÓLIO'!$C$4:$C$433,0)),"")</f>
        <v/>
      </c>
      <c r="U443" s="79"/>
    </row>
    <row r="444" ht="15.75" customHeight="1" outlineLevel="1">
      <c r="A444" s="211"/>
      <c r="B444" s="227"/>
      <c r="C444" s="211"/>
      <c r="D444" s="214" t="str">
        <f>IFERROR(VLOOKUP($C444,'PORTIFÓLIO'!C:V,2,0),"")</f>
        <v/>
      </c>
      <c r="E444" s="211" t="str">
        <f>IFERROR(VLOOKUP($C444,'PORTIFÓLIO'!C:V,3,0),"")</f>
        <v/>
      </c>
      <c r="F444" s="211" t="str">
        <f>IFERROR(VLOOKUP($C444,'PORTIFÓLIO'!C:V,4,0),"")</f>
        <v/>
      </c>
      <c r="G444" s="215" t="str">
        <f>IFERROR(VLOOKUP($C444,'PORTIFÓLIO'!C:V,5,0),"")</f>
        <v/>
      </c>
      <c r="H444" s="254" t="str">
        <f t="array" ref="H444">IFERROR(INDEX('PORTIFÓLIO'!$H$4:$H$433,MATCH($C444,'PORTIFÓLIO'!$C$4:$C$433,0)),"")</f>
        <v/>
      </c>
      <c r="I444" s="256"/>
      <c r="J444" s="218">
        <f t="shared" si="49"/>
        <v>0</v>
      </c>
      <c r="K444" s="292" t="str">
        <f t="array" ref="K444">IFERROR(I444*INDEX('PORTIFÓLIO'!$S$4:$S$433,MATCH($C444,'PORTIFÓLIO'!$C$4:$C$433,0)),"")</f>
        <v/>
      </c>
      <c r="L444" s="292" t="str">
        <f t="array" ref="L444">IFERROR(J444*INDEX('PORTIFÓLIO'!$S$4:$S$433,MATCH($C444,'PORTIFÓLIO'!$C$4:$C$433,0)),"")</f>
        <v/>
      </c>
      <c r="U444" s="79"/>
    </row>
    <row r="445" ht="15.75" customHeight="1" outlineLevel="1">
      <c r="A445" s="211"/>
      <c r="B445" s="227"/>
      <c r="C445" s="211"/>
      <c r="D445" s="214" t="str">
        <f>IFERROR(VLOOKUP($C445,'PORTIFÓLIO'!C:V,2,0),"")</f>
        <v/>
      </c>
      <c r="E445" s="211" t="str">
        <f>IFERROR(VLOOKUP($C445,'PORTIFÓLIO'!C:V,3,0),"")</f>
        <v/>
      </c>
      <c r="F445" s="211" t="str">
        <f>IFERROR(VLOOKUP($C445,'PORTIFÓLIO'!C:V,4,0),"")</f>
        <v/>
      </c>
      <c r="G445" s="215" t="str">
        <f>IFERROR(VLOOKUP($C445,'PORTIFÓLIO'!C:V,5,0),"")</f>
        <v/>
      </c>
      <c r="H445" s="254" t="str">
        <f t="array" ref="H445">IFERROR(INDEX('PORTIFÓLIO'!$H$4:$H$433,MATCH($C445,'PORTIFÓLIO'!$C$4:$C$433,0)),"")</f>
        <v/>
      </c>
      <c r="I445" s="256"/>
      <c r="J445" s="218">
        <f t="shared" si="49"/>
        <v>0</v>
      </c>
      <c r="K445" s="292" t="str">
        <f t="array" ref="K445">IFERROR(I445*INDEX('PORTIFÓLIO'!$S$4:$S$433,MATCH($C445,'PORTIFÓLIO'!$C$4:$C$433,0)),"")</f>
        <v/>
      </c>
      <c r="L445" s="292" t="str">
        <f t="array" ref="L445">IFERROR(J445*INDEX('PORTIFÓLIO'!$S$4:$S$433,MATCH($C445,'PORTIFÓLIO'!$C$4:$C$433,0)),"")</f>
        <v/>
      </c>
      <c r="U445" s="79"/>
    </row>
    <row r="446" ht="15.75" customHeight="1" outlineLevel="1">
      <c r="A446" s="211"/>
      <c r="B446" s="227"/>
      <c r="C446" s="211"/>
      <c r="D446" s="214" t="str">
        <f>IFERROR(VLOOKUP($C446,'PORTIFÓLIO'!C:V,2,0),"")</f>
        <v/>
      </c>
      <c r="E446" s="211" t="str">
        <f>IFERROR(VLOOKUP($C446,'PORTIFÓLIO'!C:V,3,0),"")</f>
        <v/>
      </c>
      <c r="F446" s="211" t="str">
        <f>IFERROR(VLOOKUP($C446,'PORTIFÓLIO'!C:V,4,0),"")</f>
        <v/>
      </c>
      <c r="G446" s="215" t="str">
        <f>IFERROR(VLOOKUP($C446,'PORTIFÓLIO'!C:V,5,0),"")</f>
        <v/>
      </c>
      <c r="H446" s="254" t="str">
        <f t="array" ref="H446">IFERROR(INDEX('PORTIFÓLIO'!$H$4:$H$433,MATCH($C446,'PORTIFÓLIO'!$C$4:$C$433,0)),"")</f>
        <v/>
      </c>
      <c r="I446" s="256"/>
      <c r="J446" s="218">
        <f t="shared" si="49"/>
        <v>0</v>
      </c>
      <c r="K446" s="292" t="str">
        <f t="array" ref="K446">IFERROR(I446*INDEX('PORTIFÓLIO'!$S$4:$S$433,MATCH($C446,'PORTIFÓLIO'!$C$4:$C$433,0)),"")</f>
        <v/>
      </c>
      <c r="L446" s="292" t="str">
        <f t="array" ref="L446">IFERROR(J446*INDEX('PORTIFÓLIO'!$S$4:$S$433,MATCH($C446,'PORTIFÓLIO'!$C$4:$C$433,0)),"")</f>
        <v/>
      </c>
      <c r="U446" s="79"/>
    </row>
    <row r="447" ht="15.75" customHeight="1" outlineLevel="1">
      <c r="A447" s="211"/>
      <c r="B447" s="227"/>
      <c r="C447" s="211"/>
      <c r="D447" s="214" t="str">
        <f>IFERROR(VLOOKUP($C447,'PORTIFÓLIO'!C:V,2,0),"")</f>
        <v/>
      </c>
      <c r="E447" s="211" t="str">
        <f>IFERROR(VLOOKUP($C447,'PORTIFÓLIO'!C:V,3,0),"")</f>
        <v/>
      </c>
      <c r="F447" s="211" t="str">
        <f>IFERROR(VLOOKUP($C447,'PORTIFÓLIO'!C:V,4,0),"")</f>
        <v/>
      </c>
      <c r="G447" s="215" t="str">
        <f>IFERROR(VLOOKUP($C447,'PORTIFÓLIO'!C:V,5,0),"")</f>
        <v/>
      </c>
      <c r="H447" s="254" t="str">
        <f t="array" ref="H447">IFERROR(INDEX('PORTIFÓLIO'!$H$4:$H$433,MATCH($C447,'PORTIFÓLIO'!$C$4:$C$433,0)),"")</f>
        <v/>
      </c>
      <c r="I447" s="256"/>
      <c r="J447" s="218">
        <f t="shared" si="49"/>
        <v>0</v>
      </c>
      <c r="K447" s="292" t="str">
        <f t="array" ref="K447">IFERROR(I447*INDEX('PORTIFÓLIO'!$S$4:$S$433,MATCH($C447,'PORTIFÓLIO'!$C$4:$C$433,0)),"")</f>
        <v/>
      </c>
      <c r="L447" s="292" t="str">
        <f t="array" ref="L447">IFERROR(J447*INDEX('PORTIFÓLIO'!$S$4:$S$433,MATCH($C447,'PORTIFÓLIO'!$C$4:$C$433,0)),"")</f>
        <v/>
      </c>
      <c r="U447" s="79"/>
    </row>
    <row r="448" ht="15.75" customHeight="1" outlineLevel="1">
      <c r="A448" s="211"/>
      <c r="B448" s="227"/>
      <c r="C448" s="211"/>
      <c r="D448" s="214" t="str">
        <f>IFERROR(VLOOKUP($C448,'PORTIFÓLIO'!C:V,2,0),"")</f>
        <v/>
      </c>
      <c r="E448" s="211" t="str">
        <f>IFERROR(VLOOKUP($C448,'PORTIFÓLIO'!C:V,3,0),"")</f>
        <v/>
      </c>
      <c r="F448" s="211" t="str">
        <f>IFERROR(VLOOKUP($C448,'PORTIFÓLIO'!C:V,4,0),"")</f>
        <v/>
      </c>
      <c r="G448" s="215" t="str">
        <f>IFERROR(VLOOKUP($C448,'PORTIFÓLIO'!C:V,5,0),"")</f>
        <v/>
      </c>
      <c r="H448" s="254" t="str">
        <f t="array" ref="H448">IFERROR(INDEX('PORTIFÓLIO'!$H$4:$H$433,MATCH($C448,'PORTIFÓLIO'!$C$4:$C$433,0)),"")</f>
        <v/>
      </c>
      <c r="I448" s="256"/>
      <c r="J448" s="218">
        <f t="shared" si="49"/>
        <v>0</v>
      </c>
      <c r="K448" s="292" t="str">
        <f t="array" ref="K448">IFERROR(I448*INDEX('PORTIFÓLIO'!$S$4:$S$433,MATCH($C448,'PORTIFÓLIO'!$C$4:$C$433,0)),"")</f>
        <v/>
      </c>
      <c r="L448" s="292" t="str">
        <f t="array" ref="L448">IFERROR(J448*INDEX('PORTIFÓLIO'!$S$4:$S$433,MATCH($C448,'PORTIFÓLIO'!$C$4:$C$433,0)),"")</f>
        <v/>
      </c>
      <c r="U448" s="79"/>
    </row>
    <row r="449" ht="15.75" customHeight="1" outlineLevel="1">
      <c r="A449" s="211"/>
      <c r="B449" s="227"/>
      <c r="C449" s="211"/>
      <c r="D449" s="214" t="str">
        <f>IFERROR(VLOOKUP($C449,'PORTIFÓLIO'!C:V,2,0),"")</f>
        <v/>
      </c>
      <c r="E449" s="211" t="str">
        <f>IFERROR(VLOOKUP($C449,'PORTIFÓLIO'!C:V,3,0),"")</f>
        <v/>
      </c>
      <c r="F449" s="211" t="str">
        <f>IFERROR(VLOOKUP($C449,'PORTIFÓLIO'!C:V,4,0),"")</f>
        <v/>
      </c>
      <c r="G449" s="215" t="str">
        <f>IFERROR(VLOOKUP($C449,'PORTIFÓLIO'!C:V,5,0),"")</f>
        <v/>
      </c>
      <c r="H449" s="254" t="str">
        <f t="array" ref="H449">IFERROR(INDEX('PORTIFÓLIO'!$H$4:$H$433,MATCH($C449,'PORTIFÓLIO'!$C$4:$C$433,0)),"")</f>
        <v/>
      </c>
      <c r="I449" s="256"/>
      <c r="J449" s="218">
        <f t="shared" si="49"/>
        <v>0</v>
      </c>
      <c r="K449" s="292" t="str">
        <f t="array" ref="K449">IFERROR(I449*INDEX('PORTIFÓLIO'!$S$4:$S$433,MATCH($C449,'PORTIFÓLIO'!$C$4:$C$433,0)),"")</f>
        <v/>
      </c>
      <c r="L449" s="292" t="str">
        <f t="array" ref="L449">IFERROR(J449*INDEX('PORTIFÓLIO'!$S$4:$S$433,MATCH($C449,'PORTIFÓLIO'!$C$4:$C$433,0)),"")</f>
        <v/>
      </c>
      <c r="U449" s="79"/>
    </row>
    <row r="450" ht="15.75" customHeight="1" outlineLevel="1">
      <c r="A450" s="211"/>
      <c r="B450" s="227"/>
      <c r="C450" s="211"/>
      <c r="D450" s="214" t="str">
        <f>IFERROR(VLOOKUP($C450,'PORTIFÓLIO'!C:V,2,0),"")</f>
        <v/>
      </c>
      <c r="E450" s="211" t="str">
        <f>IFERROR(VLOOKUP($C450,'PORTIFÓLIO'!C:V,3,0),"")</f>
        <v/>
      </c>
      <c r="F450" s="211" t="str">
        <f>IFERROR(VLOOKUP($C450,'PORTIFÓLIO'!C:V,4,0),"")</f>
        <v/>
      </c>
      <c r="G450" s="215" t="str">
        <f>IFERROR(VLOOKUP($C450,'PORTIFÓLIO'!C:V,5,0),"")</f>
        <v/>
      </c>
      <c r="H450" s="254" t="str">
        <f t="array" ref="H450">IFERROR(INDEX('PORTIFÓLIO'!$H$4:$H$433,MATCH($C450,'PORTIFÓLIO'!$C$4:$C$433,0)),"")</f>
        <v/>
      </c>
      <c r="I450" s="256"/>
      <c r="J450" s="218">
        <f t="shared" si="49"/>
        <v>0</v>
      </c>
      <c r="K450" s="292" t="str">
        <f t="array" ref="K450">IFERROR(I450*INDEX('PORTIFÓLIO'!$S$4:$S$433,MATCH($C450,'PORTIFÓLIO'!$C$4:$C$433,0)),"")</f>
        <v/>
      </c>
      <c r="L450" s="292" t="str">
        <f t="array" ref="L450">IFERROR(J450*INDEX('PORTIFÓLIO'!$S$4:$S$433,MATCH($C450,'PORTIFÓLIO'!$C$4:$C$433,0)),"")</f>
        <v/>
      </c>
      <c r="U450" s="79"/>
    </row>
    <row r="451" ht="15.75" customHeight="1" outlineLevel="1">
      <c r="A451" s="211"/>
      <c r="B451" s="227"/>
      <c r="C451" s="211"/>
      <c r="D451" s="214" t="str">
        <f>IFERROR(VLOOKUP($C451,'PORTIFÓLIO'!C:V,2,0),"")</f>
        <v/>
      </c>
      <c r="E451" s="211" t="str">
        <f>IFERROR(VLOOKUP($C451,'PORTIFÓLIO'!C:V,3,0),"")</f>
        <v/>
      </c>
      <c r="F451" s="211" t="str">
        <f>IFERROR(VLOOKUP($C451,'PORTIFÓLIO'!C:V,4,0),"")</f>
        <v/>
      </c>
      <c r="G451" s="215" t="str">
        <f>IFERROR(VLOOKUP($C451,'PORTIFÓLIO'!C:V,5,0),"")</f>
        <v/>
      </c>
      <c r="H451" s="254" t="str">
        <f t="array" ref="H451">IFERROR(INDEX('PORTIFÓLIO'!$H$4:$H$433,MATCH($C451,'PORTIFÓLIO'!$C$4:$C$433,0)),"")</f>
        <v/>
      </c>
      <c r="I451" s="256"/>
      <c r="J451" s="218">
        <f t="shared" si="49"/>
        <v>0</v>
      </c>
      <c r="K451" s="292" t="str">
        <f t="array" ref="K451">IFERROR(I451*INDEX('PORTIFÓLIO'!$S$4:$S$433,MATCH($C451,'PORTIFÓLIO'!$C$4:$C$433,0)),"")</f>
        <v/>
      </c>
      <c r="L451" s="292" t="str">
        <f t="array" ref="L451">IFERROR(J451*INDEX('PORTIFÓLIO'!$S$4:$S$433,MATCH($C451,'PORTIFÓLIO'!$C$4:$C$433,0)),"")</f>
        <v/>
      </c>
      <c r="U451" s="79"/>
    </row>
    <row r="452" ht="15.75" customHeight="1">
      <c r="A452" s="227"/>
      <c r="B452" s="227"/>
      <c r="C452" s="227"/>
      <c r="D452" s="227"/>
      <c r="E452" s="227"/>
      <c r="F452" s="227"/>
      <c r="G452" s="215"/>
      <c r="H452" s="227"/>
      <c r="I452" s="227"/>
      <c r="J452" s="227"/>
      <c r="K452" s="293">
        <f t="shared" ref="K452:L452" si="50">SUBTOTAL(9,K237:K427)</f>
        <v>0</v>
      </c>
      <c r="L452" s="293">
        <f t="shared" si="50"/>
        <v>0</v>
      </c>
      <c r="U452" s="79"/>
    </row>
    <row r="453" ht="15.75" customHeight="1">
      <c r="U453" s="79"/>
    </row>
    <row r="454" ht="15.75" customHeight="1">
      <c r="U454" s="79"/>
    </row>
    <row r="455" ht="15.75" customHeight="1">
      <c r="U455" s="79"/>
    </row>
    <row r="456" ht="15.75" customHeight="1">
      <c r="U456" s="79"/>
    </row>
    <row r="457" ht="15.75" customHeight="1">
      <c r="U457" s="79"/>
    </row>
    <row r="458" ht="15.75" customHeight="1">
      <c r="U458" s="79"/>
    </row>
    <row r="459" ht="15.75" customHeight="1">
      <c r="U459" s="79"/>
    </row>
    <row r="460" ht="15.75" customHeight="1">
      <c r="U460" s="79"/>
    </row>
    <row r="461" ht="15.75" customHeight="1">
      <c r="U461" s="79"/>
    </row>
    <row r="462" ht="15.75" customHeight="1">
      <c r="U462" s="79"/>
    </row>
    <row r="463" ht="15.75" customHeight="1">
      <c r="U463" s="79"/>
    </row>
    <row r="464" ht="15.75" customHeight="1">
      <c r="U464" s="79"/>
    </row>
    <row r="465" ht="15.75" customHeight="1">
      <c r="U465" s="79"/>
    </row>
    <row r="466" ht="15.75" customHeight="1">
      <c r="U466" s="79"/>
    </row>
    <row r="467" ht="15.75" customHeight="1">
      <c r="U467" s="79"/>
    </row>
    <row r="468" ht="15.75" customHeight="1">
      <c r="U468" s="79"/>
    </row>
    <row r="469" ht="15.75" customHeight="1">
      <c r="U469" s="79"/>
    </row>
    <row r="470" ht="15.75" customHeight="1">
      <c r="U470" s="79"/>
    </row>
    <row r="471" ht="15.75" customHeight="1">
      <c r="U471" s="79"/>
    </row>
    <row r="472" ht="15.75" customHeight="1">
      <c r="U472" s="79"/>
    </row>
    <row r="473" ht="15.75" customHeight="1">
      <c r="U473" s="79"/>
    </row>
    <row r="474" ht="15.75" customHeight="1">
      <c r="U474" s="79"/>
    </row>
    <row r="475" ht="15.75" customHeight="1">
      <c r="U475" s="79"/>
    </row>
    <row r="476" ht="15.75" customHeight="1">
      <c r="U476" s="79"/>
    </row>
    <row r="477" ht="15.75" customHeight="1">
      <c r="U477" s="79"/>
    </row>
    <row r="478" ht="15.75" customHeight="1">
      <c r="U478" s="79"/>
    </row>
    <row r="479" ht="15.75" customHeight="1">
      <c r="U479" s="79"/>
    </row>
    <row r="480" ht="15.75" customHeight="1">
      <c r="U480" s="79"/>
    </row>
    <row r="481" ht="15.75" customHeight="1">
      <c r="U481" s="79"/>
    </row>
    <row r="482" ht="15.75" customHeight="1">
      <c r="U482" s="79"/>
    </row>
    <row r="483" ht="15.75" customHeight="1">
      <c r="U483" s="79"/>
    </row>
    <row r="484" ht="15.75" customHeight="1">
      <c r="U484" s="79"/>
    </row>
    <row r="485" ht="15.75" customHeight="1">
      <c r="U485" s="79"/>
    </row>
    <row r="486" ht="15.75" customHeight="1">
      <c r="U486" s="79"/>
    </row>
    <row r="487" ht="15.75" customHeight="1">
      <c r="U487" s="79"/>
    </row>
    <row r="488" ht="15.75" customHeight="1">
      <c r="U488" s="79"/>
    </row>
    <row r="489" ht="15.75" customHeight="1">
      <c r="U489" s="79"/>
    </row>
    <row r="490" ht="15.75" customHeight="1">
      <c r="U490" s="79"/>
    </row>
    <row r="491" ht="15.75" customHeight="1">
      <c r="U491" s="79"/>
    </row>
    <row r="492" ht="15.75" customHeight="1">
      <c r="U492" s="79"/>
    </row>
    <row r="493" ht="15.75" customHeight="1">
      <c r="U493" s="79"/>
    </row>
    <row r="494" ht="15.75" customHeight="1">
      <c r="U494" s="79"/>
    </row>
    <row r="495" ht="15.75" customHeight="1">
      <c r="U495" s="79"/>
    </row>
    <row r="496" ht="15.75" customHeight="1">
      <c r="U496" s="79"/>
    </row>
    <row r="497" ht="15.75" customHeight="1">
      <c r="U497" s="79"/>
    </row>
    <row r="498" ht="15.75" customHeight="1">
      <c r="U498" s="79"/>
    </row>
    <row r="499" ht="15.75" customHeight="1">
      <c r="U499" s="79"/>
    </row>
    <row r="500" ht="15.75" customHeight="1">
      <c r="U500" s="79"/>
    </row>
    <row r="501" ht="15.75" customHeight="1">
      <c r="U501" s="79"/>
    </row>
    <row r="502" ht="15.75" customHeight="1">
      <c r="U502" s="79"/>
    </row>
    <row r="503" ht="15.75" customHeight="1">
      <c r="U503" s="79"/>
    </row>
    <row r="504" ht="15.75" customHeight="1">
      <c r="U504" s="79"/>
    </row>
    <row r="505" ht="15.75" customHeight="1">
      <c r="U505" s="79"/>
    </row>
    <row r="506" ht="15.75" customHeight="1">
      <c r="U506" s="79"/>
    </row>
    <row r="507" ht="15.75" customHeight="1">
      <c r="U507" s="79"/>
    </row>
    <row r="508" ht="15.75" customHeight="1">
      <c r="U508" s="79"/>
    </row>
    <row r="509" ht="15.75" customHeight="1">
      <c r="U509" s="79"/>
    </row>
    <row r="510" ht="15.75" customHeight="1">
      <c r="U510" s="79"/>
    </row>
    <row r="511" ht="15.75" customHeight="1">
      <c r="U511" s="79"/>
    </row>
    <row r="512" ht="15.75" customHeight="1">
      <c r="U512" s="79"/>
    </row>
    <row r="513" ht="15.75" customHeight="1">
      <c r="U513" s="79"/>
    </row>
    <row r="514" ht="15.75" customHeight="1">
      <c r="U514" s="79"/>
    </row>
    <row r="515" ht="15.75" customHeight="1">
      <c r="U515" s="79"/>
    </row>
    <row r="516" ht="15.75" customHeight="1">
      <c r="U516" s="79"/>
    </row>
    <row r="517" ht="15.75" customHeight="1">
      <c r="U517" s="79"/>
    </row>
    <row r="518" ht="15.75" customHeight="1">
      <c r="U518" s="79"/>
    </row>
    <row r="519" ht="15.75" customHeight="1">
      <c r="U519" s="79"/>
    </row>
    <row r="520" ht="15.75" customHeight="1">
      <c r="U520" s="79"/>
    </row>
    <row r="521" ht="15.75" customHeight="1">
      <c r="U521" s="79"/>
    </row>
    <row r="522" ht="15.75" customHeight="1">
      <c r="U522" s="79"/>
    </row>
    <row r="523" ht="15.75" customHeight="1">
      <c r="U523" s="79"/>
    </row>
    <row r="524" ht="15.75" customHeight="1">
      <c r="U524" s="79"/>
    </row>
    <row r="525" ht="15.75" customHeight="1">
      <c r="U525" s="79"/>
    </row>
    <row r="526" ht="15.75" customHeight="1">
      <c r="U526" s="79"/>
    </row>
    <row r="527" ht="15.75" customHeight="1">
      <c r="U527" s="79"/>
    </row>
    <row r="528" ht="15.75" customHeight="1">
      <c r="U528" s="79"/>
    </row>
    <row r="529" ht="15.75" customHeight="1">
      <c r="U529" s="79"/>
    </row>
    <row r="530" ht="15.75" customHeight="1">
      <c r="U530" s="79"/>
    </row>
    <row r="531" ht="15.75" customHeight="1">
      <c r="U531" s="79"/>
    </row>
    <row r="532" ht="15.75" customHeight="1">
      <c r="U532" s="79"/>
    </row>
    <row r="533" ht="15.75" customHeight="1">
      <c r="U533" s="79"/>
    </row>
    <row r="534" ht="15.75" customHeight="1">
      <c r="U534" s="79"/>
    </row>
    <row r="535" ht="15.75" customHeight="1">
      <c r="U535" s="79"/>
    </row>
    <row r="536" ht="15.75" customHeight="1">
      <c r="U536" s="79"/>
    </row>
    <row r="537" ht="15.75" customHeight="1">
      <c r="U537" s="79"/>
    </row>
    <row r="538" ht="15.75" customHeight="1">
      <c r="U538" s="79"/>
    </row>
    <row r="539" ht="15.75" customHeight="1">
      <c r="U539" s="79"/>
    </row>
    <row r="540" ht="15.75" customHeight="1">
      <c r="U540" s="79"/>
    </row>
    <row r="541" ht="15.75" customHeight="1">
      <c r="U541" s="79"/>
    </row>
    <row r="542" ht="15.75" customHeight="1">
      <c r="U542" s="79"/>
    </row>
    <row r="543" ht="15.75" customHeight="1">
      <c r="U543" s="79"/>
    </row>
    <row r="544" ht="15.75" customHeight="1">
      <c r="U544" s="79"/>
    </row>
    <row r="545" ht="15.75" customHeight="1">
      <c r="U545" s="79"/>
    </row>
    <row r="546" ht="15.75" customHeight="1">
      <c r="U546" s="79"/>
    </row>
    <row r="547" ht="15.75" customHeight="1">
      <c r="U547" s="79"/>
    </row>
    <row r="548" ht="15.75" customHeight="1">
      <c r="U548" s="79"/>
    </row>
    <row r="549" ht="15.75" customHeight="1">
      <c r="U549" s="79"/>
    </row>
    <row r="550" ht="15.75" customHeight="1">
      <c r="U550" s="79"/>
    </row>
    <row r="551" ht="15.75" customHeight="1">
      <c r="U551" s="79"/>
    </row>
    <row r="552" ht="15.75" customHeight="1">
      <c r="U552" s="79"/>
    </row>
    <row r="553" ht="15.75" customHeight="1">
      <c r="U553" s="79"/>
    </row>
    <row r="554" ht="15.75" customHeight="1">
      <c r="U554" s="79"/>
    </row>
    <row r="555" ht="15.75" customHeight="1">
      <c r="U555" s="79"/>
    </row>
    <row r="556" ht="15.75" customHeight="1">
      <c r="U556" s="79"/>
    </row>
    <row r="557" ht="15.75" customHeight="1">
      <c r="U557" s="79"/>
    </row>
    <row r="558" ht="15.75" customHeight="1">
      <c r="U558" s="79"/>
    </row>
    <row r="559" ht="15.75" customHeight="1">
      <c r="U559" s="79"/>
    </row>
    <row r="560" ht="15.75" customHeight="1">
      <c r="U560" s="79"/>
    </row>
    <row r="561" ht="15.75" customHeight="1">
      <c r="U561" s="79"/>
    </row>
    <row r="562" ht="15.75" customHeight="1">
      <c r="U562" s="79"/>
    </row>
    <row r="563" ht="15.75" customHeight="1">
      <c r="U563" s="79"/>
    </row>
    <row r="564" ht="15.75" customHeight="1">
      <c r="U564" s="79"/>
    </row>
    <row r="565" ht="15.75" customHeight="1">
      <c r="U565" s="79"/>
    </row>
    <row r="566" ht="15.75" customHeight="1">
      <c r="U566" s="79"/>
    </row>
    <row r="567" ht="15.75" customHeight="1">
      <c r="U567" s="79"/>
    </row>
    <row r="568" ht="15.75" customHeight="1">
      <c r="U568" s="79"/>
    </row>
    <row r="569" ht="15.75" customHeight="1">
      <c r="U569" s="79"/>
    </row>
    <row r="570" ht="15.75" customHeight="1">
      <c r="U570" s="79"/>
    </row>
    <row r="571" ht="15.75" customHeight="1">
      <c r="U571" s="79"/>
    </row>
    <row r="572" ht="15.75" customHeight="1">
      <c r="U572" s="79"/>
    </row>
    <row r="573" ht="15.75" customHeight="1">
      <c r="U573" s="79"/>
    </row>
    <row r="574" ht="15.75" customHeight="1">
      <c r="U574" s="79"/>
    </row>
    <row r="575" ht="15.75" customHeight="1">
      <c r="U575" s="79"/>
    </row>
    <row r="576" ht="15.75" customHeight="1">
      <c r="U576" s="79"/>
    </row>
    <row r="577" ht="15.75" customHeight="1">
      <c r="U577" s="79"/>
    </row>
    <row r="578" ht="15.75" customHeight="1">
      <c r="U578" s="79"/>
    </row>
    <row r="579" ht="15.75" customHeight="1">
      <c r="U579" s="79"/>
    </row>
    <row r="580" ht="15.75" customHeight="1">
      <c r="U580" s="79"/>
    </row>
    <row r="581" ht="15.75" customHeight="1">
      <c r="U581" s="79"/>
    </row>
    <row r="582" ht="15.75" customHeight="1">
      <c r="U582" s="79"/>
    </row>
    <row r="583" ht="15.75" customHeight="1">
      <c r="U583" s="79"/>
    </row>
    <row r="584" ht="15.75" customHeight="1">
      <c r="U584" s="79"/>
    </row>
    <row r="585" ht="15.75" customHeight="1">
      <c r="U585" s="79"/>
    </row>
    <row r="586" ht="15.75" customHeight="1">
      <c r="U586" s="79"/>
    </row>
    <row r="587" ht="15.75" customHeight="1">
      <c r="U587" s="79"/>
    </row>
    <row r="588" ht="15.75" customHeight="1">
      <c r="U588" s="79"/>
    </row>
    <row r="589" ht="15.75" customHeight="1">
      <c r="U589" s="79"/>
    </row>
    <row r="590" ht="15.75" customHeight="1">
      <c r="U590" s="79"/>
    </row>
    <row r="591" ht="15.75" customHeight="1">
      <c r="U591" s="79"/>
    </row>
    <row r="592" ht="15.75" customHeight="1">
      <c r="U592" s="79"/>
    </row>
    <row r="593" ht="15.75" customHeight="1">
      <c r="U593" s="79"/>
    </row>
    <row r="594" ht="15.75" customHeight="1">
      <c r="U594" s="79"/>
    </row>
    <row r="595" ht="15.75" customHeight="1">
      <c r="U595" s="79"/>
    </row>
    <row r="596" ht="15.75" customHeight="1">
      <c r="U596" s="79"/>
    </row>
    <row r="597" ht="15.75" customHeight="1">
      <c r="U597" s="79"/>
    </row>
    <row r="598" ht="15.75" customHeight="1">
      <c r="U598" s="79"/>
    </row>
    <row r="599" ht="15.75" customHeight="1">
      <c r="U599" s="79"/>
    </row>
    <row r="600" ht="15.75" customHeight="1">
      <c r="U600" s="79"/>
    </row>
    <row r="601" ht="15.75" customHeight="1">
      <c r="U601" s="79"/>
    </row>
    <row r="602" ht="15.75" customHeight="1">
      <c r="U602" s="79"/>
    </row>
    <row r="603" ht="15.75" customHeight="1">
      <c r="U603" s="79"/>
    </row>
    <row r="604" ht="15.75" customHeight="1">
      <c r="U604" s="79"/>
    </row>
    <row r="605" ht="15.75" customHeight="1">
      <c r="U605" s="79"/>
    </row>
    <row r="606" ht="15.75" customHeight="1">
      <c r="U606" s="79"/>
    </row>
    <row r="607" ht="15.75" customHeight="1">
      <c r="U607" s="79"/>
    </row>
    <row r="608" ht="15.75" customHeight="1">
      <c r="U608" s="79"/>
    </row>
    <row r="609" ht="15.75" customHeight="1">
      <c r="U609" s="79"/>
    </row>
    <row r="610" ht="15.75" customHeight="1">
      <c r="U610" s="79"/>
    </row>
    <row r="611" ht="15.75" customHeight="1">
      <c r="U611" s="79"/>
    </row>
    <row r="612" ht="15.75" customHeight="1">
      <c r="U612" s="79"/>
    </row>
    <row r="613" ht="15.75" customHeight="1">
      <c r="U613" s="79"/>
    </row>
    <row r="614" ht="15.75" customHeight="1">
      <c r="U614" s="79"/>
    </row>
    <row r="615" ht="15.75" customHeight="1">
      <c r="U615" s="79"/>
    </row>
    <row r="616" ht="15.75" customHeight="1">
      <c r="U616" s="79"/>
    </row>
    <row r="617" ht="15.75" customHeight="1">
      <c r="U617" s="79"/>
    </row>
    <row r="618" ht="15.75" customHeight="1">
      <c r="U618" s="79"/>
    </row>
    <row r="619" ht="15.75" customHeight="1">
      <c r="U619" s="79"/>
    </row>
    <row r="620" ht="15.75" customHeight="1">
      <c r="U620" s="79"/>
    </row>
    <row r="621" ht="15.75" customHeight="1">
      <c r="U621" s="79"/>
    </row>
    <row r="622" ht="15.75" customHeight="1">
      <c r="U622" s="79"/>
    </row>
    <row r="623" ht="15.75" customHeight="1">
      <c r="U623" s="79"/>
    </row>
    <row r="624" ht="15.75" customHeight="1">
      <c r="U624" s="79"/>
    </row>
    <row r="625" ht="15.75" customHeight="1">
      <c r="U625" s="79"/>
    </row>
    <row r="626" ht="15.75" customHeight="1">
      <c r="U626" s="79"/>
    </row>
    <row r="627" ht="15.75" customHeight="1">
      <c r="U627" s="79"/>
    </row>
    <row r="628" ht="15.75" customHeight="1">
      <c r="U628" s="79"/>
    </row>
    <row r="629" ht="15.75" customHeight="1">
      <c r="U629" s="79"/>
    </row>
    <row r="630" ht="15.75" customHeight="1">
      <c r="U630" s="79"/>
    </row>
    <row r="631" ht="15.75" customHeight="1">
      <c r="U631" s="79"/>
    </row>
    <row r="632" ht="15.75" customHeight="1">
      <c r="U632" s="79"/>
    </row>
    <row r="633" ht="15.75" customHeight="1">
      <c r="U633" s="79"/>
    </row>
    <row r="634" ht="15.75" customHeight="1">
      <c r="U634" s="79"/>
    </row>
    <row r="635" ht="15.75" customHeight="1">
      <c r="U635" s="79"/>
    </row>
    <row r="636" ht="15.75" customHeight="1">
      <c r="U636" s="79"/>
    </row>
    <row r="637" ht="15.75" customHeight="1">
      <c r="U637" s="79"/>
    </row>
    <row r="638" ht="15.75" customHeight="1">
      <c r="U638" s="79"/>
    </row>
    <row r="639" ht="15.75" customHeight="1">
      <c r="U639" s="79"/>
    </row>
    <row r="640" ht="15.75" customHeight="1">
      <c r="U640" s="79"/>
    </row>
    <row r="641" ht="15.75" customHeight="1">
      <c r="U641" s="79"/>
    </row>
    <row r="642" ht="15.75" customHeight="1">
      <c r="U642" s="79"/>
    </row>
    <row r="643" ht="15.75" customHeight="1">
      <c r="U643" s="79"/>
    </row>
    <row r="644" ht="15.75" customHeight="1">
      <c r="U644" s="79"/>
    </row>
    <row r="645" ht="15.75" customHeight="1">
      <c r="U645" s="79"/>
    </row>
    <row r="646" ht="15.75" customHeight="1">
      <c r="U646" s="79"/>
    </row>
    <row r="647" ht="15.75" customHeight="1">
      <c r="U647" s="79"/>
    </row>
    <row r="648" ht="15.75" customHeight="1">
      <c r="U648" s="79"/>
    </row>
    <row r="649" ht="15.75" customHeight="1">
      <c r="U649" s="79"/>
    </row>
    <row r="650" ht="15.75" customHeight="1">
      <c r="U650" s="79"/>
    </row>
    <row r="651" ht="15.75" customHeight="1">
      <c r="U651" s="79"/>
    </row>
    <row r="652" ht="15.75" customHeight="1">
      <c r="U652" s="79"/>
    </row>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K10:L224 K237:L451">
    <cfRule type="cellIs" dxfId="9" priority="1" operator="equal">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2">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3">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4">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5">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6">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7">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8">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9">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0">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1">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2">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3">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4">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5">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6">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7">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8">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9">
      <colorScale>
        <cfvo type="min"/>
        <cfvo type="percentile" val="50"/>
        <cfvo type="max"/>
        <color rgb="FF63BE7B"/>
        <color rgb="FFFCFCFF"/>
        <color rgb="FFF8696B"/>
      </colorScale>
    </cfRule>
  </conditionalFormatting>
  <conditionalFormatting sqref="A64:A67 A82:A85 A98:A101 A115:A118 A132:A135 A149:A152 A166:A169 A183:A186 A201:A204 A290:A294 A309:A312 A325:A328 A342:A345 A359:A362 A376:A379 A393:A396 A410:A413 A428:A431">
    <cfRule type="colorScale" priority="20">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1">
      <colorScale>
        <cfvo type="min"/>
        <cfvo type="percentile" val="50"/>
        <cfvo type="max"/>
        <color rgb="FF63BE7B"/>
        <color rgb="FFFCFCFF"/>
        <color rgb="FFF8696B"/>
      </colorScale>
    </cfRule>
  </conditionalFormatting>
  <conditionalFormatting sqref="A67:A68 A86 A102 A119 A136 A153 A170 A187 A205 A294:A295 A313 A329 A346 A363 A380 A397 A414 A432">
    <cfRule type="colorScale" priority="22">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3">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4">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5">
      <colorScale>
        <cfvo type="min"/>
        <cfvo type="percentile" val="50"/>
        <cfvo type="max"/>
        <color rgb="FF63BE7B"/>
        <color rgb="FFFCFCFF"/>
        <color rgb="FFF8696B"/>
      </colorScale>
    </cfRule>
  </conditionalFormatting>
  <conditionalFormatting sqref="A82:A86 A98:A102 A115:A119 A132:A136 A149:A153 A166:A170 A183:A187 A201:A205 A290 A309:A313 A325:A329 A342:A346 A359:A363 A376:A380 A393:A397 A410:A414 A428:A432">
    <cfRule type="colorScale" priority="26">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7">
      <colorScale>
        <cfvo type="min"/>
        <cfvo type="percentile" val="50"/>
        <cfvo type="max"/>
        <color rgb="FF63BE7B"/>
        <color rgb="FFFCFCFF"/>
        <color rgb="FFF8696B"/>
      </colorScale>
    </cfRule>
  </conditionalFormatting>
  <conditionalFormatting sqref="A87 A103 A120 A137 A154 A171 A188 A206 A314 A330 A347 A364 A381 A398 A415 A433">
    <cfRule type="colorScale" priority="28">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9">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0">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1">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2">
      <colorScale>
        <cfvo type="min"/>
        <cfvo type="percentile" val="50"/>
        <cfvo type="max"/>
        <color rgb="FF63BE7B"/>
        <color rgb="FFFCFCFF"/>
        <color rgb="FFF8696B"/>
      </colorScale>
    </cfRule>
  </conditionalFormatting>
  <conditionalFormatting sqref="A81:A84 A97:A100 A114:A117 A131:A134 A148:A151 A165:A168 A182:A185 A200:A203 A308:A311 A324:A327 A341:A344 A358:A361 A375:A378 A392:A395 A409:A412 A427:A430">
    <cfRule type="colorScale" priority="33">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4">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5">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6">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7">
      <colorScale>
        <cfvo type="min"/>
        <cfvo type="percentile" val="50"/>
        <cfvo type="max"/>
        <color rgb="FF63BE7B"/>
        <color rgb="FFFCFCFF"/>
        <color rgb="FFF8696B"/>
      </colorScale>
    </cfRule>
  </conditionalFormatting>
  <conditionalFormatting sqref="A82:A84 A98:A100 A115:A117 A132:A134 A149:A151 A166:A168 A183:A185 A201:A203 A309:A311 A325:A327 A342:A344 A359:A361 A376:A378 A393:A395 A410:A412 A428:A430">
    <cfRule type="colorScale" priority="38">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9">
      <colorScale>
        <cfvo type="min"/>
        <cfvo type="percentile" val="50"/>
        <cfvo type="max"/>
        <color rgb="FF63BE7B"/>
        <color rgb="FFFCFCFF"/>
        <color rgb="FFF8696B"/>
      </colorScale>
    </cfRule>
  </conditionalFormatting>
  <conditionalFormatting sqref="A85 A101 A118 A135 A152 A169 A186 A204 A312 A328 A345 A362 A379 A396 A413 A431">
    <cfRule type="colorScale" priority="40">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1">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42">
      <colorScale>
        <cfvo type="min"/>
        <cfvo type="percentile" val="50"/>
        <cfvo type="max"/>
        <color rgb="FF63BE7B"/>
        <color rgb="FFFFEB84"/>
        <color rgb="FFF8696B"/>
      </colorScale>
    </cfRule>
  </conditionalFormatting>
  <conditionalFormatting sqref="A98 A325">
    <cfRule type="colorScale" priority="43">
      <colorScale>
        <cfvo type="min"/>
        <cfvo type="percentile" val="50"/>
        <cfvo type="max"/>
        <color rgb="FF63BE7B"/>
        <color rgb="FFFCFCFF"/>
        <color rgb="FFF8696B"/>
      </colorScale>
    </cfRule>
  </conditionalFormatting>
  <conditionalFormatting sqref="A98 A325">
    <cfRule type="colorScale" priority="44">
      <colorScale>
        <cfvo type="min"/>
        <cfvo type="percentile" val="50"/>
        <cfvo type="max"/>
        <color rgb="FF63BE7B"/>
        <color rgb="FFFFEB84"/>
        <color rgb="FFF8696B"/>
      </colorScale>
    </cfRule>
  </conditionalFormatting>
  <conditionalFormatting sqref="A99 A326">
    <cfRule type="colorScale" priority="45">
      <colorScale>
        <cfvo type="min"/>
        <cfvo type="percentile" val="50"/>
        <cfvo type="max"/>
        <color rgb="FF63BE7B"/>
        <color rgb="FFFFEB84"/>
        <color rgb="FFF8696B"/>
      </colorScale>
    </cfRule>
  </conditionalFormatting>
  <conditionalFormatting sqref="A100:A104 A327:A331">
    <cfRule type="colorScale" priority="46">
      <colorScale>
        <cfvo type="min"/>
        <cfvo type="percentile" val="50"/>
        <cfvo type="max"/>
        <color rgb="FF63BE7B"/>
        <color rgb="FFFFEB84"/>
        <color rgb="FFF8696B"/>
      </colorScale>
    </cfRule>
  </conditionalFormatting>
  <conditionalFormatting sqref="A115 A342">
    <cfRule type="colorScale" priority="47">
      <colorScale>
        <cfvo type="min"/>
        <cfvo type="percentile" val="50"/>
        <cfvo type="max"/>
        <color rgb="FF63BE7B"/>
        <color rgb="FFFCFCFF"/>
        <color rgb="FFF8696B"/>
      </colorScale>
    </cfRule>
  </conditionalFormatting>
  <conditionalFormatting sqref="A115 A342">
    <cfRule type="colorScale" priority="48">
      <colorScale>
        <cfvo type="min"/>
        <cfvo type="percentile" val="50"/>
        <cfvo type="max"/>
        <color rgb="FF63BE7B"/>
        <color rgb="FFFFEB84"/>
        <color rgb="FFF8696B"/>
      </colorScale>
    </cfRule>
  </conditionalFormatting>
  <conditionalFormatting sqref="A116:A129 A343:A356">
    <cfRule type="colorScale" priority="49">
      <colorScale>
        <cfvo type="min"/>
        <cfvo type="percentile" val="50"/>
        <cfvo type="max"/>
        <color rgb="FF63BE7B"/>
        <color rgb="FFFFEB84"/>
        <color rgb="FFF8696B"/>
      </colorScale>
    </cfRule>
  </conditionalFormatting>
  <conditionalFormatting sqref="A132:A133 A359:A360">
    <cfRule type="colorScale" priority="50">
      <colorScale>
        <cfvo type="min"/>
        <cfvo type="percentile" val="50"/>
        <cfvo type="max"/>
        <color rgb="FF63BE7B"/>
        <color rgb="FFFFEB84"/>
        <color rgb="FFF8696B"/>
      </colorScale>
    </cfRule>
  </conditionalFormatting>
  <conditionalFormatting sqref="A149:A163 A376:A390">
    <cfRule type="colorScale" priority="51">
      <colorScale>
        <cfvo type="min"/>
        <cfvo type="percentile" val="50"/>
        <cfvo type="max"/>
        <color rgb="FF63BE7B"/>
        <color rgb="FFFFEB84"/>
        <color rgb="FFF8696B"/>
      </colorScale>
    </cfRule>
  </conditionalFormatting>
  <conditionalFormatting sqref="A166:A180 A393:A407">
    <cfRule type="colorScale" priority="52">
      <colorScale>
        <cfvo type="min"/>
        <cfvo type="percentile" val="50"/>
        <cfvo type="max"/>
        <color rgb="FF63BE7B"/>
        <color rgb="FFFFEB84"/>
        <color rgb="FFF8696B"/>
      </colorScale>
    </cfRule>
  </conditionalFormatting>
  <conditionalFormatting sqref="A183:A185 A410:A412">
    <cfRule type="colorScale" priority="53">
      <colorScale>
        <cfvo type="min"/>
        <cfvo type="percentile" val="50"/>
        <cfvo type="max"/>
        <color rgb="FF63BE7B"/>
        <color rgb="FFFFEB84"/>
        <color rgb="FFF8696B"/>
      </colorScale>
    </cfRule>
  </conditionalFormatting>
  <conditionalFormatting sqref="A201:A203 A428:A430">
    <cfRule type="colorScale" priority="54">
      <colorScale>
        <cfvo type="min"/>
        <cfvo type="percentile" val="50"/>
        <cfvo type="max"/>
        <color rgb="FF63BE7B"/>
        <color rgb="FFFFEB84"/>
        <color rgb="FFF8696B"/>
      </colorScale>
    </cfRule>
  </conditionalFormatting>
  <conditionalFormatting sqref="A208:A210 A435:A437">
    <cfRule type="colorScale" priority="55">
      <colorScale>
        <cfvo type="min"/>
        <cfvo type="percentile" val="50"/>
        <cfvo type="max"/>
        <color rgb="FF63BE7B"/>
        <color rgb="FFFFEB84"/>
        <color rgb="FFF8696B"/>
      </colorScale>
    </cfRule>
  </conditionalFormatting>
  <conditionalFormatting sqref="A211:A224 A438:A451">
    <cfRule type="colorScale" priority="56">
      <colorScale>
        <cfvo type="min"/>
        <cfvo type="percentile" val="50"/>
        <cfvo type="max"/>
        <color rgb="FF63BE7B"/>
        <color rgb="FFFFEB84"/>
        <color rgb="FFF8696B"/>
      </colorScale>
    </cfRule>
  </conditionalFormatting>
  <conditionalFormatting sqref="J10:L224 J237:L451">
    <cfRule type="cellIs" dxfId="8" priority="57" operator="equal">
      <formula>0</formula>
    </cfRule>
  </conditionalFormatting>
  <dataValidations>
    <dataValidation type="list" allowBlank="1" sqref="C12:C14 C87 C137 C152 C154 C169 C171 C204 C206 C241 C243 C256 C258 C275 C277 C294 C296 C312 C314 C328 C330 C345 C347 C362 C364 C379 C381 C396 C398 C413 C415 C431 C433">
      <formula1>"I-ACTIVE,MAP,KCL 60%,05-37-00,10-46-00 + S,08-42-00,SSP 21,03-15-07 +14%CO,URÉIA,SULFATO DE AMÔNIO,BOROGRAN,SUPER DUO,08-40-00 - 100M,AURUS 500,00-01-00+Cu2 Mn8 Zn7"</formula1>
    </dataValidation>
    <dataValidation type="list" allowBlank="1" sqref="C183">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formula1>
    </dataValidation>
    <dataValidation type="list" allowBlank="1" sqref="C68">
      <formula1>"UTRISHA N,PRESENCE FULL,Now Lock,Now Guard,Now Force,Now Raze,Now Bolt,Now Active,Now React,Now Cover,Now Pulse,Now Sprint,Bio Az,Bio ND,Tec Catp Pro,Bio Elipso,Tec Bug,Solu Shield,Solu Strong,Solu Leaf,Bio Hidric,Bio Bokashi,Bio Oil,Carbon Pro,Essencial "&amp;"Mg,Expelir,Primafert,Reserva,Tec Catp Pro Kit On-farm,Tec Bug Kit On-farm,Solu Shield Kit On-farm,Solu Strong Kit On-farm,Solu Leaf Kit On-farm,Bio Hidric Kit On-farm,Bio Bokashi Kit On-farm,Tec White Kit On-farm,Bio Solubilize Kit On-farm,Bio Release Kit"&amp;" On-farm,Bio Raiz Plus Kit On-farm,Bio Balance Kit On-farm,SoluBio Raiz Performance Kit On-farm,Tec Isaria Kit On-farm"</formula1>
    </dataValidation>
    <dataValidation type="list" allowBlank="1" sqref="C26:C27 C45:C47 C82:C83">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type="custom" allowBlank="1" showDropDown="1" sqref="G10:L224 G237:L451">
      <formula1>AND(ISNUMBER(G10),(NOT(OR(NOT(ISERROR(DATEVALUE(G10))), AND(ISNUMBER(G10), LEFT(CELL("format", G10))="D")))))</formula1>
    </dataValidation>
    <dataValidation type="list" allowBlank="1" sqref="C28 C48 C103 C120 C135 C151">
      <formula1>"RUMBA,ASSIST,MEES,AUREO,JOINT ULTRA,ADGREEN,ENERGIC,EXTRAVON,OCHIMA"</formula1>
    </dataValidation>
    <dataValidation type="list" allowBlank="1" sqref="C67">
      <formula1>"ENDOFUSE,ENDOMAXX,RIZOLIQ LLI,PROVILAR,REVERB,ARVATICO,VERANGO PRIME,FIPRONIL NORTOX MAX,MAXIM ADVANCED,MAXIM XL,VICTRATO,SPECTRO,STANDAK TOP,CRUISER ADVANCED,PLUST,SOMBRERO,CROPSTAR,DERMACOR,OPTERASEED,AVICTA 500 FS,CRUISER 350 FS,FORTENZA 600 FS,ILEVO,P"&amp;"ERMIT STAR"</formula1>
    </dataValidation>
    <dataValidation type="list" allowBlank="1" sqref="C33 C52 C89 C105 C139 C156 C166 C173 C190 C202 C208 C245 C254 C260 C273 C279 C292 C298 C310 C316 C326 C332 C343 C349 C360 C366 C377 C383 C394 C400 C411 C417 C429 C435">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type="list" allowBlank="1" sqref="C17:C18">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formula1>
    </dataValidation>
    <dataValidation type="list" allowBlank="1" sqref="C29 C49:C50 C100:C102 C118:C119 C134">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type="list" allowBlank="1" sqref="C20:C24 C43 C62 C80 C247:C251 C270 C289 C307">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type="list" allowBlank="1" sqref="C11 C88 C138 C155 C172 C207 C244 C259 C278 C297 C315 C331 C348 C365 C382 C399 C416 C434">
      <formula1>"CALCÁRIO DOLOMITICO,GESSO AGRICOLA"</formula1>
    </dataValidation>
    <dataValidation type="list" allowBlank="1" sqref="C19">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formula1>
    </dataValidation>
    <dataValidation type="list" allowBlank="1" sqref="C86 C136 C153 C170 C205 C242 C257 C272 C276 C291 C295 C309 C313 C325 C329 C342 C346 C359 C363 C376 C380 C393 C397 C410 C414 C432">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type="list" allowBlank="1" sqref="C64">
      <formula1>"FEIJÃO,SEMENTE TRIGO,SEMENTE MILHO,MG540PWU,MG711PWU,MG616PWU,P3707PWU,P39209PWU,P40537PWU,FS650PWU,SEMENTE SOJA CV,OLIMPO,M8349,CORDIUS C2795 CE,HERA I2X,SPARTA 8.0,CORDIUS C2795 CE 7.9,IMPETO,NEO 790,APORÉ 7.3,GUAPÓ 7.7,MITICA 7.7,TMG MURICI I2X 7.6,DOM"&amp;"ÍNIO 8.4,LENDA,BRASMAX HERA,BRASMAX OLIMPO,S6525 I2X,TMG ITAÚBA I2X,SEMENTE SOJA RR,BRACHIARIA RUZIZIENCES,CAPIM MIAGE,TMG INGÁ I2X 6.9,TMG 2383 IPRO 8.3,BRACHIARIA BASICA,GH 2478 IPRO 8.1,HO COCARI I2X 8.2,SEMENTE DE SORGO"</formula1>
    </dataValidation>
    <dataValidation type="list" allowBlank="1" sqref="C30 C72">
      <formula1>"RADIFARM,MEGAFOL,OCTABORATO,BOP,METAL NUTRE,MONIC,AP MAGNÉSIO,GRANO KMG,AP MANGANÊS,AMINOS Mn,MICROBOX,ACRESECENT ALGA,RAIZ F,ACRESCENTE SOLUS F,SALUT,MATRIZ D,BRAVERO,Glyfort,Fergsum,Spander,Halattus,Sallvare Complex,Zinctaus Complex,Emezine Complex,Bora"&amp;"tus Complex,Magmill Complex,Brave K,Brave Max Up,MAX RAIZ,Polyamine,Sulfato de Magnésio,Map Purificado,MANGAN 10,NHT ZINCO,KELLUS CUPPER,MOLIBIDENIO 16,ZINCO 10,Potenza NiCoMo"</formula1>
    </dataValidation>
    <dataValidation type="list" allowBlank="1" sqref="C31 C85 C167">
      <formula1>"RUMBA,ASSIST,MEES,AUREO EC,JOINT ULTRA,ENERGIC,EXTRAVON,OCHIMA,STRIDES"</formula1>
    </dataValidation>
    <dataValidation type="list" allowBlank="1" sqref="C84 C98:C99 C104 C115:C117 C132:C133 C149:C150">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type="list" allowBlank="1" sqref="C69:C71">
      <formula1>"UTRISHA N,PRESENCE FULL,Now Lock,Now Guard,Now Force,Now Raze,Now Bolt,Now Active,Now React,Now Cover,Now Pulse,Now Sprint,Bio Az,Bio ND,Tec Catp Pro,Bio Elipso,Tec Bug,Solu Shield,Solu Strong,Solu Leaf,Bio Hidric,Bio Bokashi,Bio Oil,Carbon Pro,Essencial "&amp;"Mg,Expelir,Potenza NiCoMo,Primafert,Reserva,Tec White,Bio Solubilize,Bio Release,Bio Raiz Plus,Bio Balance,SoluBio Raiz Performance,Tec Isaria"</formula1>
    </dataValidation>
    <dataValidation type="list" allowBlank="1" showErrorMessage="1" sqref="B10:B224 B237:B451">
      <formula1>#REF!</formula1>
    </dataValidation>
    <dataValidation type="list" allowBlank="1" sqref="C65:C66 C168 C203 C240 C255 C274 C293 C311 C327 C344 C361 C378 C395 C412 C430">
      <formula1>"SOMBRERO,STANDAK TOP,CROPSTAR,DERMACOR,PERMIT STAR,PRESENCE FULL,PLUST,CRUISER 350 FS,CRUISER ADVANCED,FORTENZA 600 FS,MAXIM ADVANCED,MAXIM XL,SPECTRO,BIOZYME,NIMAXXA,VITAVAX-THIRAM 200 SC"</formula1>
    </dataValidation>
    <dataValidation type="list" allowBlank="1" sqref="C184:C189">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formula1>
    </dataValidation>
    <dataValidation type="list" allowBlank="1" sqref="C34 C53:C54 C59 C73 C90:C91 C96 C106:C107 C112 C123:C124 C129 C140:C141 C146 C157:C158 C163 C174:C175 C180 C191:C192 C197 C209:C210 C215 C246 C253 C261:C262 C267 C280:C281 C286 C299:C300 C317:C318 C323 C333:C334 C339 C350:C351 C356 C367:C368 C373 C384:C385 C390 C401:C402 C407 C418:C419 C424 C436:C437 C442">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display="ÁREA PLANTIO" location="'ÁREA PLANTIO'!A1" ref="F1"/>
    <hyperlink display="ÁREA PLANTIO" location="'ÁREA PLANTIO'!A1" ref="F227"/>
  </hyperlinks>
  <printOptions/>
  <pageMargins bottom="0.787401575" footer="0.0" header="0.0" left="0.511811024" right="0.511811024" top="0.787401575"/>
  <pageSetup orientation="landscape"/>
  <drawing r:id="rId1"/>
  <tableParts count="2">
    <tablePart r:id="rId4"/>
    <tablePart r:id="rId5"/>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outlineLevelRow="1"/>
  <cols>
    <col customWidth="1" min="1" max="1" width="13.88"/>
    <col customWidth="1" min="2" max="2" width="22.75"/>
    <col customWidth="1" min="3" max="3" width="33.63"/>
    <col customWidth="1" min="4" max="4" width="40.25"/>
    <col customWidth="1" min="5" max="5" width="20.13"/>
    <col customWidth="1" min="6" max="6" width="13.13"/>
    <col customWidth="1" min="7" max="7" width="13.75"/>
    <col customWidth="1" min="8" max="9" width="10.38"/>
    <col customWidth="1" min="10" max="10" width="14.0"/>
    <col customWidth="1" min="11" max="23" width="14.38"/>
  </cols>
  <sheetData>
    <row r="1" ht="15.75" customHeight="1">
      <c r="A1" s="260" t="s">
        <v>1203</v>
      </c>
      <c r="B1" s="261" t="str">
        <f>'ÁREA PLANTIO'!B13</f>
        <v>P 01</v>
      </c>
      <c r="C1" s="262" t="s">
        <v>1166</v>
      </c>
      <c r="D1" s="263">
        <f>$K$225</f>
        <v>1740.578189</v>
      </c>
      <c r="E1" s="264"/>
      <c r="F1" s="265" t="s">
        <v>1167</v>
      </c>
      <c r="G1" s="266"/>
      <c r="H1" s="267"/>
      <c r="I1" s="267"/>
      <c r="J1" s="267"/>
      <c r="K1" s="266"/>
      <c r="L1" s="220"/>
      <c r="M1" s="220"/>
      <c r="N1" s="220"/>
      <c r="O1" s="220"/>
      <c r="P1" s="220"/>
      <c r="Q1" s="220"/>
      <c r="R1" s="220"/>
      <c r="S1" s="220"/>
      <c r="T1" s="220"/>
      <c r="U1" s="220"/>
      <c r="V1" s="220"/>
      <c r="W1" s="220"/>
    </row>
    <row r="2" ht="15.75" customHeight="1">
      <c r="A2" s="260" t="s">
        <v>1168</v>
      </c>
      <c r="B2" s="268">
        <f>'ÁREA PLANTIO'!E13</f>
        <v>60</v>
      </c>
      <c r="C2" s="269" t="s">
        <v>1169</v>
      </c>
      <c r="D2" s="270">
        <f>'ÁREA PLANTIO'!D13</f>
        <v>65</v>
      </c>
      <c r="E2" s="264"/>
      <c r="F2" s="264"/>
      <c r="G2" s="266"/>
      <c r="H2" s="267"/>
      <c r="I2" s="267"/>
      <c r="J2" s="267"/>
      <c r="K2" s="266"/>
      <c r="L2" s="220"/>
      <c r="M2" s="220"/>
      <c r="N2" s="220"/>
      <c r="O2" s="220"/>
      <c r="P2" s="220"/>
      <c r="Q2" s="220"/>
      <c r="R2" s="220"/>
      <c r="S2" s="220"/>
      <c r="T2" s="220"/>
      <c r="U2" s="220"/>
      <c r="V2" s="220"/>
      <c r="W2" s="220"/>
    </row>
    <row r="3" ht="15.75" customHeight="1">
      <c r="A3" s="260" t="s">
        <v>1170</v>
      </c>
      <c r="B3" s="267" t="str">
        <f>'ÁREA PLANTIO'!C13</f>
        <v>FE-SOJA IRRIGADO-26/27</v>
      </c>
      <c r="C3" s="269" t="s">
        <v>1171</v>
      </c>
      <c r="D3" s="271">
        <f>D1/D2</f>
        <v>26.77812598</v>
      </c>
      <c r="E3" s="264"/>
      <c r="F3" s="264"/>
      <c r="G3" s="266"/>
      <c r="H3" s="267"/>
      <c r="I3" s="267"/>
      <c r="J3" s="267"/>
      <c r="K3" s="266"/>
      <c r="L3" s="220"/>
      <c r="M3" s="220"/>
      <c r="N3" s="220"/>
      <c r="O3" s="220"/>
      <c r="P3" s="220"/>
      <c r="Q3" s="220"/>
      <c r="R3" s="220"/>
      <c r="S3" s="220"/>
      <c r="T3" s="220"/>
      <c r="U3" s="220"/>
      <c r="V3" s="220"/>
      <c r="W3" s="220"/>
    </row>
    <row r="4" ht="15.75" customHeight="1">
      <c r="A4" s="272" t="s">
        <v>1172</v>
      </c>
      <c r="B4" s="273">
        <v>45606.0</v>
      </c>
      <c r="C4" s="274"/>
      <c r="D4" s="275"/>
      <c r="E4" s="276"/>
      <c r="F4" s="264"/>
      <c r="G4" s="266"/>
      <c r="H4" s="267"/>
      <c r="I4" s="267"/>
      <c r="J4" s="267"/>
      <c r="K4" s="266"/>
      <c r="L4" s="220"/>
      <c r="M4" s="220"/>
      <c r="N4" s="220"/>
      <c r="O4" s="220"/>
      <c r="P4" s="220"/>
      <c r="Q4" s="220"/>
      <c r="R4" s="220"/>
      <c r="S4" s="220"/>
      <c r="T4" s="220"/>
      <c r="U4" s="220"/>
      <c r="V4" s="220"/>
      <c r="W4" s="220"/>
    </row>
    <row r="5" ht="15.75" customHeight="1">
      <c r="E5" s="277"/>
      <c r="F5" s="264"/>
      <c r="G5" s="266"/>
      <c r="H5" s="267"/>
      <c r="I5" s="267"/>
      <c r="J5" s="267"/>
      <c r="K5" s="266"/>
      <c r="L5" s="220"/>
      <c r="M5" s="220"/>
      <c r="N5" s="220"/>
      <c r="O5" s="220"/>
      <c r="P5" s="220"/>
      <c r="Q5" s="220"/>
      <c r="R5" s="220"/>
      <c r="S5" s="220"/>
      <c r="T5" s="220"/>
      <c r="U5" s="220"/>
      <c r="V5" s="220"/>
      <c r="W5" s="220"/>
    </row>
    <row r="6" ht="15.75" customHeight="1">
      <c r="A6" s="260"/>
      <c r="B6" s="267"/>
      <c r="C6" s="264"/>
      <c r="D6" s="264"/>
      <c r="E6" s="264"/>
      <c r="F6" s="264"/>
      <c r="G6" s="266"/>
      <c r="H6" s="267"/>
      <c r="I6" s="267"/>
      <c r="J6" s="267"/>
      <c r="K6" s="266"/>
      <c r="L6" s="220"/>
      <c r="M6" s="220"/>
      <c r="N6" s="220"/>
      <c r="O6" s="220"/>
      <c r="P6" s="220"/>
      <c r="Q6" s="220"/>
      <c r="R6" s="220"/>
      <c r="S6" s="220"/>
      <c r="T6" s="220"/>
      <c r="U6" s="220"/>
      <c r="V6" s="220"/>
      <c r="W6" s="220"/>
    </row>
    <row r="7" ht="15.75" customHeight="1">
      <c r="A7" s="267"/>
      <c r="B7" s="267"/>
      <c r="C7" s="264"/>
      <c r="D7" s="264"/>
      <c r="E7" s="264"/>
      <c r="F7" s="264"/>
      <c r="G7" s="266"/>
      <c r="H7" s="267"/>
      <c r="I7" s="267"/>
      <c r="J7" s="267"/>
      <c r="K7" s="266"/>
      <c r="L7" s="220"/>
      <c r="M7" s="220"/>
      <c r="N7" s="220"/>
      <c r="O7" s="220"/>
      <c r="P7" s="220"/>
      <c r="Q7" s="220"/>
      <c r="R7" s="220"/>
      <c r="S7" s="220"/>
      <c r="T7" s="220"/>
      <c r="U7" s="220"/>
      <c r="V7" s="220"/>
      <c r="W7" s="220"/>
    </row>
    <row r="8" ht="15.75" customHeight="1">
      <c r="A8" s="267"/>
      <c r="B8" s="267"/>
      <c r="C8" s="267"/>
      <c r="D8" s="267"/>
      <c r="E8" s="264"/>
      <c r="F8" s="264"/>
      <c r="G8" s="266"/>
      <c r="H8" s="267"/>
      <c r="I8" s="267"/>
      <c r="J8" s="267"/>
      <c r="K8" s="266"/>
      <c r="L8" s="220"/>
      <c r="M8" s="220"/>
      <c r="N8" s="220"/>
      <c r="O8" s="220"/>
      <c r="P8" s="220"/>
      <c r="Q8" s="220"/>
      <c r="R8" s="220"/>
      <c r="S8" s="220"/>
      <c r="T8" s="220"/>
      <c r="U8" s="220"/>
      <c r="V8" s="220"/>
      <c r="W8" s="220"/>
    </row>
    <row r="9" ht="15.75" customHeight="1">
      <c r="A9" s="211" t="s">
        <v>1173</v>
      </c>
      <c r="B9" s="213" t="s">
        <v>1174</v>
      </c>
      <c r="C9" s="213" t="s">
        <v>1175</v>
      </c>
      <c r="D9" s="211" t="s">
        <v>1176</v>
      </c>
      <c r="E9" s="211" t="s">
        <v>1177</v>
      </c>
      <c r="F9" s="211" t="s">
        <v>1178</v>
      </c>
      <c r="G9" s="278" t="s">
        <v>1179</v>
      </c>
      <c r="H9" s="278" t="s">
        <v>1180</v>
      </c>
      <c r="I9" s="278" t="s">
        <v>1181</v>
      </c>
      <c r="J9" s="279" t="s">
        <v>1134</v>
      </c>
      <c r="K9" s="280" t="s">
        <v>1182</v>
      </c>
      <c r="L9" s="281" t="s">
        <v>339</v>
      </c>
      <c r="M9" s="220"/>
      <c r="N9" s="220"/>
      <c r="O9" s="220"/>
      <c r="P9" s="220"/>
      <c r="Q9" s="220"/>
      <c r="R9" s="220"/>
      <c r="S9" s="220"/>
      <c r="T9" s="220"/>
      <c r="U9" s="220"/>
      <c r="V9" s="220"/>
      <c r="W9" s="220"/>
    </row>
    <row r="10" ht="15.75" customHeight="1">
      <c r="A10" s="231" t="s">
        <v>1183</v>
      </c>
      <c r="B10" s="230"/>
      <c r="C10" s="231"/>
      <c r="D10" s="232" t="s">
        <v>216</v>
      </c>
      <c r="E10" s="231"/>
      <c r="F10" s="231"/>
      <c r="G10" s="233"/>
      <c r="H10" s="282"/>
      <c r="I10" s="258"/>
      <c r="J10" s="236"/>
      <c r="K10" s="237">
        <f t="shared" ref="K10:L10" si="1">SUBTOTAL(9,K11:K24)</f>
        <v>0</v>
      </c>
      <c r="L10" s="237">
        <f t="shared" si="1"/>
        <v>0</v>
      </c>
      <c r="M10" s="220"/>
      <c r="N10" s="220"/>
      <c r="O10" s="220"/>
      <c r="P10" s="220"/>
      <c r="Q10" s="220"/>
      <c r="R10" s="220"/>
      <c r="S10" s="220"/>
      <c r="T10" s="220"/>
      <c r="U10" s="220"/>
      <c r="V10" s="220"/>
      <c r="W10" s="220"/>
    </row>
    <row r="11" outlineLevel="1">
      <c r="A11" s="213"/>
      <c r="B11" s="212" t="s">
        <v>8</v>
      </c>
      <c r="C11" s="213" t="s">
        <v>397</v>
      </c>
      <c r="D11" s="214" t="str">
        <f>IFERROR(VLOOKUP($C11,'PORTIFÓLIO'!C:V,2,0),"")</f>
        <v>CaO 38%  MgO 18%</v>
      </c>
      <c r="E11" s="211" t="str">
        <f>IFERROR(VLOOKUP($C11,'PORTIFÓLIO'!C:V,3,0),"")</f>
        <v/>
      </c>
      <c r="F11" s="211" t="str">
        <f>IFERROR(VLOOKUP($C11,'PORTIFÓLIO'!C:V,4,0),"")</f>
        <v>Ton</v>
      </c>
      <c r="G11" s="215" t="str">
        <f>IFERROR(VLOOKUP($C11,'PORTIFÓLIO'!C:V,5,0),"")</f>
        <v/>
      </c>
      <c r="H11" s="254" t="str">
        <f t="array" ref="H11">IFERROR(INDEX('PORTIFÓLIO'!$H$4:$H$433,MATCH($C11,'PORTIFÓLIO'!$C$4:$C$433,0)),"")</f>
        <v/>
      </c>
      <c r="I11" s="255">
        <v>3.0</v>
      </c>
      <c r="J11" s="218">
        <f t="shared" ref="J11:J24" si="2">I11*$B$2</f>
        <v>180</v>
      </c>
      <c r="K11" s="219">
        <f t="array" ref="K11">IFERROR(I11*INDEX('PORTIFÓLIO'!$S$4:$S$433,MATCH($C11,'PORTIFÓLIO'!$C$4:$C$433,0)),"")</f>
        <v>0</v>
      </c>
      <c r="L11" s="219">
        <f t="array" ref="L11">IFERROR(J11*INDEX('PORTIFÓLIO'!$S$4:$S$433,MATCH($C11,'PORTIFÓLIO'!$C$4:$C$433,0)),"")</f>
        <v>0</v>
      </c>
      <c r="M11" s="220"/>
      <c r="N11" s="220"/>
      <c r="O11" s="220"/>
      <c r="P11" s="220"/>
      <c r="Q11" s="220"/>
      <c r="R11" s="220"/>
      <c r="S11" s="220"/>
      <c r="T11" s="220"/>
      <c r="U11" s="220" t="str">
        <f>IFERROR(__xludf.DUMMYFUNCTION("FILTER('PORTIFÓLIO'!C:C, 'PORTIFÓLIO'!B:B=B11)"),"#REF!")</f>
        <v>#REF!</v>
      </c>
      <c r="V11" s="220"/>
      <c r="W11" s="220"/>
    </row>
    <row r="12" outlineLevel="1">
      <c r="A12" s="213"/>
      <c r="B12" s="212" t="s">
        <v>7</v>
      </c>
      <c r="C12" s="213" t="s">
        <v>413</v>
      </c>
      <c r="D12" s="214" t="str">
        <f>IFERROR(VLOOKUP($C12,'PORTIFÓLIO'!C:V,2,0),"")</f>
        <v>P 21%</v>
      </c>
      <c r="E12" s="211" t="str">
        <f>IFERROR(VLOOKUP($C12,'PORTIFÓLIO'!C:V,3,0),"")</f>
        <v/>
      </c>
      <c r="F12" s="211" t="str">
        <f>IFERROR(VLOOKUP($C12,'PORTIFÓLIO'!C:V,4,0),"")</f>
        <v>Ton</v>
      </c>
      <c r="G12" s="215" t="str">
        <f>IFERROR(VLOOKUP($C12,'PORTIFÓLIO'!C:V,5,0),"")</f>
        <v/>
      </c>
      <c r="H12" s="254" t="str">
        <f t="array" ref="H12">IFERROR(INDEX('PORTIFÓLIO'!$H$4:$H$433,MATCH($C12,'PORTIFÓLIO'!$C$4:$C$433,0)),"")</f>
        <v/>
      </c>
      <c r="I12" s="255">
        <v>0.2</v>
      </c>
      <c r="J12" s="218">
        <f t="shared" si="2"/>
        <v>12</v>
      </c>
      <c r="K12" s="219">
        <f t="array" ref="K12">IFERROR(I12*INDEX('PORTIFÓLIO'!$S$4:$S$433,MATCH($C12,'PORTIFÓLIO'!$C$4:$C$433,0)),"")</f>
        <v>0</v>
      </c>
      <c r="L12" s="219">
        <f t="array" ref="L12">IFERROR(J12*INDEX('PORTIFÓLIO'!$S$4:$S$433,MATCH($C12,'PORTIFÓLIO'!$C$4:$C$433,0)),"")</f>
        <v>0</v>
      </c>
      <c r="M12" s="220"/>
      <c r="N12" s="220"/>
      <c r="O12" s="220"/>
      <c r="P12" s="220"/>
      <c r="Q12" s="220"/>
      <c r="R12" s="220"/>
      <c r="S12" s="220"/>
      <c r="T12" s="220"/>
      <c r="U12" s="220" t="str">
        <f>IFERROR(__xludf.DUMMYFUNCTION("FILTER('PORTIFÓLIO'!C:C, 'PORTIFÓLIO'!B:B=B12)"),"#REF!")</f>
        <v>#REF!</v>
      </c>
      <c r="V12" s="220"/>
      <c r="W12" s="220"/>
    </row>
    <row r="13" outlineLevel="1">
      <c r="A13" s="213"/>
      <c r="B13" s="212" t="s">
        <v>7</v>
      </c>
      <c r="C13" s="213" t="s">
        <v>405</v>
      </c>
      <c r="D13" s="214" t="str">
        <f>IFERROR(VLOOKUP($C13,'PORTIFÓLIO'!C:V,2,0),"")</f>
        <v>K2O 60%</v>
      </c>
      <c r="E13" s="211" t="str">
        <f>IFERROR(VLOOKUP($C13,'PORTIFÓLIO'!C:V,3,0),"")</f>
        <v/>
      </c>
      <c r="F13" s="211" t="str">
        <f>IFERROR(VLOOKUP($C13,'PORTIFÓLIO'!C:V,4,0),"")</f>
        <v>Ton</v>
      </c>
      <c r="G13" s="215" t="str">
        <f>IFERROR(VLOOKUP($C13,'PORTIFÓLIO'!C:V,5,0),"")</f>
        <v/>
      </c>
      <c r="H13" s="254" t="str">
        <f t="array" ref="H13">IFERROR(INDEX('PORTIFÓLIO'!$H$4:$H$433,MATCH($C13,'PORTIFÓLIO'!$C$4:$C$433,0)),"")</f>
        <v/>
      </c>
      <c r="I13" s="255">
        <v>0.3</v>
      </c>
      <c r="J13" s="218">
        <f t="shared" si="2"/>
        <v>18</v>
      </c>
      <c r="K13" s="219">
        <f t="array" ref="K13">IFERROR(I13*INDEX('PORTIFÓLIO'!$S$4:$S$433,MATCH($C13,'PORTIFÓLIO'!$C$4:$C$433,0)),"")</f>
        <v>0</v>
      </c>
      <c r="L13" s="219">
        <f t="array" ref="L13">IFERROR(J13*INDEX('PORTIFÓLIO'!$S$4:$S$433,MATCH($C13,'PORTIFÓLIO'!$C$4:$C$433,0)),"")</f>
        <v>0</v>
      </c>
      <c r="M13" s="220"/>
      <c r="N13" s="220"/>
      <c r="O13" s="220"/>
      <c r="P13" s="220"/>
      <c r="Q13" s="220"/>
      <c r="R13" s="220"/>
      <c r="S13" s="220"/>
      <c r="T13" s="220"/>
      <c r="U13" s="220" t="str">
        <f>IFERROR(__xludf.DUMMYFUNCTION("FILTER('PORTIFÓLIO'!C:C, 'PORTIFÓLIO'!B:B=B13)"),"#REF!")</f>
        <v>#REF!</v>
      </c>
      <c r="V13" s="220"/>
      <c r="W13" s="220"/>
    </row>
    <row r="14" outlineLevel="1">
      <c r="A14" s="211"/>
      <c r="B14" s="212" t="s">
        <v>7</v>
      </c>
      <c r="C14" s="213" t="s">
        <v>429</v>
      </c>
      <c r="D14" s="214" t="str">
        <f>IFERROR(VLOOKUP($C14,'PORTIFÓLIO'!C:V,2,0),"")</f>
        <v>Cu 2% Mn 8% Zn 7% </v>
      </c>
      <c r="E14" s="211" t="str">
        <f>IFERROR(VLOOKUP($C14,'PORTIFÓLIO'!C:V,3,0),"")</f>
        <v/>
      </c>
      <c r="F14" s="211" t="str">
        <f>IFERROR(VLOOKUP($C14,'PORTIFÓLIO'!C:V,4,0),"")</f>
        <v>Ton</v>
      </c>
      <c r="G14" s="215" t="str">
        <f>IFERROR(VLOOKUP($C14,'PORTIFÓLIO'!C:V,5,0),"")</f>
        <v/>
      </c>
      <c r="H14" s="254" t="str">
        <f t="array" ref="H14">IFERROR(INDEX('PORTIFÓLIO'!$H$4:$H$433,MATCH($C14,'PORTIFÓLIO'!$C$4:$C$433,0)),"")</f>
        <v/>
      </c>
      <c r="I14" s="255">
        <v>0.05</v>
      </c>
      <c r="J14" s="218">
        <f t="shared" si="2"/>
        <v>3</v>
      </c>
      <c r="K14" s="219">
        <f t="array" ref="K14">IFERROR(I14*INDEX('PORTIFÓLIO'!$S$4:$S$433,MATCH($C14,'PORTIFÓLIO'!$C$4:$C$433,0)),"")</f>
        <v>0</v>
      </c>
      <c r="L14" s="219">
        <f t="array" ref="L14">IFERROR(J14*INDEX('PORTIFÓLIO'!$S$4:$S$433,MATCH($C14,'PORTIFÓLIO'!$C$4:$C$433,0)),"")</f>
        <v>0</v>
      </c>
      <c r="M14" s="220"/>
      <c r="N14" s="220"/>
      <c r="O14" s="220"/>
      <c r="P14" s="220"/>
      <c r="Q14" s="220"/>
      <c r="R14" s="220"/>
      <c r="S14" s="220"/>
      <c r="T14" s="220"/>
      <c r="U14" s="220" t="str">
        <f>IFERROR(__xludf.DUMMYFUNCTION("FILTER('PORTIFÓLIO'!C:C, 'PORTIFÓLIO'!B:B=B14)"),"#REF!")</f>
        <v>#REF!</v>
      </c>
      <c r="V14" s="220"/>
      <c r="W14" s="220"/>
    </row>
    <row r="15" outlineLevel="1">
      <c r="A15" s="211"/>
      <c r="B15" s="212"/>
      <c r="C15" s="213"/>
      <c r="D15" s="214" t="str">
        <f>IFERROR(VLOOKUP($C15,'PORTIFÓLIO'!C:V,2,0),"")</f>
        <v/>
      </c>
      <c r="E15" s="211" t="str">
        <f>IFERROR(VLOOKUP($C15,'PORTIFÓLIO'!C:V,3,0),"")</f>
        <v/>
      </c>
      <c r="F15" s="211" t="str">
        <f>IFERROR(VLOOKUP($C15,'PORTIFÓLIO'!C:V,4,0),"")</f>
        <v/>
      </c>
      <c r="G15" s="215" t="str">
        <f>IFERROR(VLOOKUP($C15,'PORTIFÓLIO'!C:V,5,0),"")</f>
        <v/>
      </c>
      <c r="H15" s="254" t="str">
        <f t="array" ref="H15">IFERROR(INDEX('PORTIFÓLIO'!$H$4:$H$433,MATCH($C15,'PORTIFÓLIO'!$C$4:$C$433,0)),"")</f>
        <v/>
      </c>
      <c r="I15" s="255"/>
      <c r="J15" s="218">
        <f t="shared" si="2"/>
        <v>0</v>
      </c>
      <c r="K15" s="219" t="str">
        <f t="array" ref="K15">IFERROR(I15*INDEX('PORTIFÓLIO'!$S$4:$S$433,MATCH($C15,'PORTIFÓLIO'!$C$4:$C$433,0)),"")</f>
        <v/>
      </c>
      <c r="L15" s="219" t="str">
        <f t="array" ref="L15">IFERROR(J15*INDEX('PORTIFÓLIO'!$S$4:$S$433,MATCH($C15,'PORTIFÓLIO'!$C$4:$C$433,0)),"")</f>
        <v/>
      </c>
      <c r="M15" s="220"/>
      <c r="N15" s="220"/>
      <c r="O15" s="220"/>
      <c r="P15" s="220"/>
      <c r="Q15" s="220"/>
      <c r="R15" s="220"/>
      <c r="S15" s="220"/>
      <c r="T15" s="220"/>
      <c r="U15" s="220" t="str">
        <f>IFERROR(__xludf.DUMMYFUNCTION("FILTER('PORTIFÓLIO'!C:C, 'PORTIFÓLIO'!B:B=B15)"),"#REF!")</f>
        <v>#REF!</v>
      </c>
      <c r="V15" s="220"/>
      <c r="W15" s="220"/>
    </row>
    <row r="16" outlineLevel="1">
      <c r="A16" s="211"/>
      <c r="B16" s="212"/>
      <c r="C16" s="213"/>
      <c r="D16" s="214" t="str">
        <f>IFERROR(VLOOKUP($C16,'PORTIFÓLIO'!C:V,2,0),"")</f>
        <v/>
      </c>
      <c r="E16" s="211" t="str">
        <f>IFERROR(VLOOKUP($C16,'PORTIFÓLIO'!C:V,3,0),"")</f>
        <v/>
      </c>
      <c r="F16" s="211" t="str">
        <f>IFERROR(VLOOKUP($C16,'PORTIFÓLIO'!C:V,4,0),"")</f>
        <v/>
      </c>
      <c r="G16" s="215" t="str">
        <f>IFERROR(VLOOKUP($C16,'PORTIFÓLIO'!C:V,5,0),"")</f>
        <v/>
      </c>
      <c r="H16" s="254" t="str">
        <f t="array" ref="H16">IFERROR(INDEX('PORTIFÓLIO'!$H$4:$H$433,MATCH($C16,'PORTIFÓLIO'!$C$4:$C$433,0)),"")</f>
        <v/>
      </c>
      <c r="I16" s="255"/>
      <c r="J16" s="218">
        <f t="shared" si="2"/>
        <v>0</v>
      </c>
      <c r="K16" s="219" t="str">
        <f t="array" ref="K16">IFERROR(I16*INDEX('PORTIFÓLIO'!$S$4:$S$433,MATCH($C16,'PORTIFÓLIO'!$C$4:$C$433,0)),"")</f>
        <v/>
      </c>
      <c r="L16" s="219" t="str">
        <f t="array" ref="L16">IFERROR(J16*INDEX('PORTIFÓLIO'!$S$4:$S$433,MATCH($C16,'PORTIFÓLIO'!$C$4:$C$433,0)),"")</f>
        <v/>
      </c>
      <c r="M16" s="220"/>
      <c r="N16" s="220"/>
      <c r="O16" s="220"/>
      <c r="P16" s="220"/>
      <c r="Q16" s="220"/>
      <c r="R16" s="220"/>
      <c r="S16" s="220"/>
      <c r="T16" s="220"/>
      <c r="U16" s="220" t="str">
        <f>IFERROR(__xludf.DUMMYFUNCTION("FILTER('PORTIFÓLIO'!C:C, 'PORTIFÓLIO'!B:B=B16)"),"#REF!")</f>
        <v>#REF!</v>
      </c>
      <c r="V16" s="220"/>
      <c r="W16" s="220"/>
    </row>
    <row r="17" outlineLevel="1">
      <c r="A17" s="211"/>
      <c r="B17" s="212"/>
      <c r="C17" s="213"/>
      <c r="D17" s="214" t="str">
        <f>IFERROR(VLOOKUP($C17,'PORTIFÓLIO'!C:V,2,0),"")</f>
        <v/>
      </c>
      <c r="E17" s="211" t="str">
        <f>IFERROR(VLOOKUP($C17,'PORTIFÓLIO'!C:V,3,0),"")</f>
        <v/>
      </c>
      <c r="F17" s="211" t="str">
        <f>IFERROR(VLOOKUP($C17,'PORTIFÓLIO'!C:V,4,0),"")</f>
        <v/>
      </c>
      <c r="G17" s="215" t="str">
        <f>IFERROR(VLOOKUP($C17,'PORTIFÓLIO'!C:V,5,0),"")</f>
        <v/>
      </c>
      <c r="H17" s="254" t="str">
        <f t="array" ref="H17">IFERROR(INDEX('PORTIFÓLIO'!$H$4:$H$433,MATCH($C17,'PORTIFÓLIO'!$C$4:$C$433,0)),"")</f>
        <v/>
      </c>
      <c r="I17" s="255"/>
      <c r="J17" s="218">
        <f t="shared" si="2"/>
        <v>0</v>
      </c>
      <c r="K17" s="219" t="str">
        <f t="array" ref="K17">IFERROR(I17*INDEX('PORTIFÓLIO'!$S$4:$S$433,MATCH($C17,'PORTIFÓLIO'!$C$4:$C$433,0)),"")</f>
        <v/>
      </c>
      <c r="L17" s="219" t="str">
        <f t="array" ref="L17">IFERROR(J17*INDEX('PORTIFÓLIO'!$S$4:$S$433,MATCH($C17,'PORTIFÓLIO'!$C$4:$C$433,0)),"")</f>
        <v/>
      </c>
      <c r="M17" s="220"/>
      <c r="N17" s="220"/>
      <c r="O17" s="220"/>
      <c r="P17" s="220"/>
      <c r="Q17" s="220"/>
      <c r="R17" s="220"/>
      <c r="S17" s="220"/>
      <c r="T17" s="220"/>
      <c r="U17" s="220" t="str">
        <f>IFERROR(__xludf.DUMMYFUNCTION("FILTER('PORTIFÓLIO'!C:C, 'PORTIFÓLIO'!B:B=B17)"),"#REF!")</f>
        <v>#REF!</v>
      </c>
      <c r="V17" s="220"/>
      <c r="W17" s="220"/>
    </row>
    <row r="18" outlineLevel="1">
      <c r="A18" s="211"/>
      <c r="B18" s="212"/>
      <c r="C18" s="213"/>
      <c r="D18" s="214" t="str">
        <f>IFERROR(VLOOKUP($C18,'PORTIFÓLIO'!C:V,2,0),"")</f>
        <v/>
      </c>
      <c r="E18" s="211" t="str">
        <f>IFERROR(VLOOKUP($C18,'PORTIFÓLIO'!C:V,3,0),"")</f>
        <v/>
      </c>
      <c r="F18" s="211" t="str">
        <f>IFERROR(VLOOKUP($C18,'PORTIFÓLIO'!C:V,4,0),"")</f>
        <v/>
      </c>
      <c r="G18" s="215" t="str">
        <f>IFERROR(VLOOKUP($C18,'PORTIFÓLIO'!C:V,5,0),"")</f>
        <v/>
      </c>
      <c r="H18" s="254" t="str">
        <f t="array" ref="H18">IFERROR(INDEX('PORTIFÓLIO'!$H$4:$H$433,MATCH($C18,'PORTIFÓLIO'!$C$4:$C$433,0)),"")</f>
        <v/>
      </c>
      <c r="I18" s="255"/>
      <c r="J18" s="218">
        <f t="shared" si="2"/>
        <v>0</v>
      </c>
      <c r="K18" s="219" t="str">
        <f t="array" ref="K18">IFERROR(I18*INDEX('PORTIFÓLIO'!$S$4:$S$433,MATCH($C18,'PORTIFÓLIO'!$C$4:$C$433,0)),"")</f>
        <v/>
      </c>
      <c r="L18" s="219" t="str">
        <f t="array" ref="L18">IFERROR(J18*INDEX('PORTIFÓLIO'!$S$4:$S$433,MATCH($C18,'PORTIFÓLIO'!$C$4:$C$433,0)),"")</f>
        <v/>
      </c>
      <c r="M18" s="220"/>
      <c r="N18" s="220"/>
      <c r="O18" s="220"/>
      <c r="P18" s="220"/>
      <c r="Q18" s="220"/>
      <c r="R18" s="220"/>
      <c r="S18" s="220"/>
      <c r="T18" s="220"/>
      <c r="U18" s="220" t="str">
        <f>IFERROR(__xludf.DUMMYFUNCTION("FILTER('PORTIFÓLIO'!C:C, 'PORTIFÓLIO'!B:B=B18)"),"#REF!")</f>
        <v>#REF!</v>
      </c>
      <c r="V18" s="220"/>
      <c r="W18" s="220"/>
    </row>
    <row r="19" outlineLevel="1">
      <c r="A19" s="211"/>
      <c r="B19" s="212"/>
      <c r="C19" s="213"/>
      <c r="D19" s="214" t="str">
        <f>IFERROR(VLOOKUP($C19,'PORTIFÓLIO'!C:V,2,0),"")</f>
        <v/>
      </c>
      <c r="E19" s="211" t="str">
        <f>IFERROR(VLOOKUP($C19,'PORTIFÓLIO'!C:V,3,0),"")</f>
        <v/>
      </c>
      <c r="F19" s="211" t="str">
        <f>IFERROR(VLOOKUP($C19,'PORTIFÓLIO'!C:V,4,0),"")</f>
        <v/>
      </c>
      <c r="G19" s="215" t="str">
        <f>IFERROR(VLOOKUP($C19,'PORTIFÓLIO'!C:V,5,0),"")</f>
        <v/>
      </c>
      <c r="H19" s="254" t="str">
        <f t="array" ref="H19">IFERROR(INDEX('PORTIFÓLIO'!$H$4:$H$433,MATCH($C19,'PORTIFÓLIO'!$C$4:$C$433,0)),"")</f>
        <v/>
      </c>
      <c r="I19" s="255"/>
      <c r="J19" s="218">
        <f t="shared" si="2"/>
        <v>0</v>
      </c>
      <c r="K19" s="219" t="str">
        <f t="array" ref="K19">IFERROR(I19*INDEX('PORTIFÓLIO'!$S$4:$S$433,MATCH($C19,'PORTIFÓLIO'!$C$4:$C$433,0)),"")</f>
        <v/>
      </c>
      <c r="L19" s="219" t="str">
        <f t="array" ref="L19">IFERROR(J19*INDEX('PORTIFÓLIO'!$S$4:$S$433,MATCH($C19,'PORTIFÓLIO'!$C$4:$C$433,0)),"")</f>
        <v/>
      </c>
      <c r="M19" s="220"/>
      <c r="N19" s="220"/>
      <c r="O19" s="220"/>
      <c r="P19" s="220"/>
      <c r="Q19" s="220"/>
      <c r="R19" s="220"/>
      <c r="S19" s="220"/>
      <c r="T19" s="220"/>
      <c r="U19" s="220" t="str">
        <f>IFERROR(__xludf.DUMMYFUNCTION("FILTER('PORTIFÓLIO'!C:C, 'PORTIFÓLIO'!B:B=B19)"),"")</f>
        <v/>
      </c>
      <c r="V19" s="220"/>
      <c r="W19" s="220"/>
    </row>
    <row r="20" outlineLevel="1">
      <c r="A20" s="211"/>
      <c r="B20" s="212"/>
      <c r="C20" s="213"/>
      <c r="D20" s="214" t="str">
        <f>IFERROR(VLOOKUP($C20,'PORTIFÓLIO'!C:V,2,0),"")</f>
        <v/>
      </c>
      <c r="E20" s="211" t="str">
        <f>IFERROR(VLOOKUP($C20,'PORTIFÓLIO'!C:V,3,0),"")</f>
        <v/>
      </c>
      <c r="F20" s="211" t="str">
        <f>IFERROR(VLOOKUP($C20,'PORTIFÓLIO'!C:V,4,0),"")</f>
        <v/>
      </c>
      <c r="G20" s="215" t="str">
        <f>IFERROR(VLOOKUP($C20,'PORTIFÓLIO'!C:V,5,0),"")</f>
        <v/>
      </c>
      <c r="H20" s="254" t="str">
        <f t="array" ref="H20">IFERROR(INDEX('PORTIFÓLIO'!$H$4:$H$433,MATCH($C20,'PORTIFÓLIO'!$C$4:$C$433,0)),"")</f>
        <v/>
      </c>
      <c r="I20" s="255"/>
      <c r="J20" s="218">
        <f t="shared" si="2"/>
        <v>0</v>
      </c>
      <c r="K20" s="219" t="str">
        <f t="array" ref="K20">IFERROR(I20*INDEX('PORTIFÓLIO'!$S$4:$S$433,MATCH($C20,'PORTIFÓLIO'!$C$4:$C$433,0)),"")</f>
        <v/>
      </c>
      <c r="L20" s="219" t="str">
        <f t="array" ref="L20">IFERROR(J20*INDEX('PORTIFÓLIO'!$S$4:$S$433,MATCH($C20,'PORTIFÓLIO'!$C$4:$C$433,0)),"")</f>
        <v/>
      </c>
      <c r="M20" s="220"/>
      <c r="N20" s="220"/>
      <c r="O20" s="220"/>
      <c r="P20" s="220"/>
      <c r="Q20" s="220"/>
      <c r="R20" s="220"/>
      <c r="S20" s="220"/>
      <c r="T20" s="220"/>
      <c r="U20" s="220"/>
      <c r="V20" s="220"/>
      <c r="W20" s="220"/>
    </row>
    <row r="21" ht="15.75" customHeight="1" outlineLevel="1">
      <c r="A21" s="211"/>
      <c r="B21" s="212"/>
      <c r="C21" s="213"/>
      <c r="D21" s="214" t="str">
        <f>IFERROR(VLOOKUP($C21,'PORTIFÓLIO'!C:V,2,0),"")</f>
        <v/>
      </c>
      <c r="E21" s="211" t="str">
        <f>IFERROR(VLOOKUP($C21,'PORTIFÓLIO'!C:V,3,0),"")</f>
        <v/>
      </c>
      <c r="F21" s="211" t="str">
        <f>IFERROR(VLOOKUP($C21,'PORTIFÓLIO'!C:V,4,0),"")</f>
        <v/>
      </c>
      <c r="G21" s="215" t="str">
        <f>IFERROR(VLOOKUP($C21,'PORTIFÓLIO'!C:V,5,0),"")</f>
        <v/>
      </c>
      <c r="H21" s="254" t="str">
        <f t="array" ref="H21">IFERROR(INDEX('PORTIFÓLIO'!$H$4:$H$433,MATCH($C21,'PORTIFÓLIO'!$C$4:$C$433,0)),"")</f>
        <v/>
      </c>
      <c r="I21" s="255"/>
      <c r="J21" s="218">
        <f t="shared" si="2"/>
        <v>0</v>
      </c>
      <c r="K21" s="219" t="str">
        <f t="array" ref="K21">IFERROR(I21*INDEX('PORTIFÓLIO'!$S$4:$S$433,MATCH($C21,'PORTIFÓLIO'!$C$4:$C$433,0)),"")</f>
        <v/>
      </c>
      <c r="L21" s="219" t="str">
        <f t="array" ref="L21">IFERROR(J21*INDEX('PORTIFÓLIO'!$S$4:$S$433,MATCH($C21,'PORTIFÓLIO'!$C$4:$C$433,0)),"")</f>
        <v/>
      </c>
      <c r="M21" s="220"/>
      <c r="N21" s="220"/>
      <c r="O21" s="220"/>
      <c r="P21" s="220"/>
      <c r="Q21" s="220"/>
      <c r="R21" s="220"/>
      <c r="S21" s="220"/>
      <c r="T21" s="220"/>
      <c r="U21" s="220"/>
      <c r="V21" s="220"/>
      <c r="W21" s="220"/>
    </row>
    <row r="22" ht="15.75" customHeight="1" outlineLevel="1">
      <c r="A22" s="211"/>
      <c r="B22" s="212"/>
      <c r="C22" s="213"/>
      <c r="D22" s="214" t="str">
        <f>IFERROR(VLOOKUP($C22,'PORTIFÓLIO'!C:V,2,0),"")</f>
        <v/>
      </c>
      <c r="E22" s="211" t="str">
        <f>IFERROR(VLOOKUP($C22,'PORTIFÓLIO'!C:V,3,0),"")</f>
        <v/>
      </c>
      <c r="F22" s="211" t="str">
        <f>IFERROR(VLOOKUP($C22,'PORTIFÓLIO'!C:V,4,0),"")</f>
        <v/>
      </c>
      <c r="G22" s="215" t="str">
        <f>IFERROR(VLOOKUP($C22,'PORTIFÓLIO'!C:V,5,0),"")</f>
        <v/>
      </c>
      <c r="H22" s="254" t="str">
        <f t="array" ref="H22">IFERROR(INDEX('PORTIFÓLIO'!$H$4:$H$433,MATCH($C22,'PORTIFÓLIO'!$C$4:$C$433,0)),"")</f>
        <v/>
      </c>
      <c r="I22" s="255"/>
      <c r="J22" s="218">
        <f t="shared" si="2"/>
        <v>0</v>
      </c>
      <c r="K22" s="219" t="str">
        <f t="array" ref="K22">IFERROR(I22*INDEX('PORTIFÓLIO'!$S$4:$S$433,MATCH($C22,'PORTIFÓLIO'!$C$4:$C$433,0)),"")</f>
        <v/>
      </c>
      <c r="L22" s="219" t="str">
        <f t="array" ref="L22">IFERROR(J22*INDEX('PORTIFÓLIO'!$S$4:$S$433,MATCH($C22,'PORTIFÓLIO'!$C$4:$C$433,0)),"")</f>
        <v/>
      </c>
      <c r="M22" s="220"/>
      <c r="N22" s="220"/>
      <c r="O22" s="220"/>
      <c r="P22" s="220"/>
      <c r="Q22" s="220"/>
      <c r="R22" s="220"/>
      <c r="S22" s="220"/>
      <c r="T22" s="220"/>
      <c r="U22" s="220"/>
      <c r="V22" s="220"/>
      <c r="W22" s="220"/>
    </row>
    <row r="23" ht="15.75" customHeight="1" outlineLevel="1">
      <c r="A23" s="211"/>
      <c r="B23" s="212"/>
      <c r="C23" s="213"/>
      <c r="D23" s="214" t="str">
        <f>IFERROR(VLOOKUP($C23,'PORTIFÓLIO'!C:V,2,0),"")</f>
        <v/>
      </c>
      <c r="E23" s="211" t="str">
        <f>IFERROR(VLOOKUP($C23,'PORTIFÓLIO'!C:V,3,0),"")</f>
        <v/>
      </c>
      <c r="F23" s="211" t="str">
        <f>IFERROR(VLOOKUP($C23,'PORTIFÓLIO'!C:V,4,0),"")</f>
        <v/>
      </c>
      <c r="G23" s="215" t="str">
        <f>IFERROR(VLOOKUP($C23,'PORTIFÓLIO'!C:V,5,0),"")</f>
        <v/>
      </c>
      <c r="H23" s="254" t="str">
        <f t="array" ref="H23">IFERROR(INDEX('PORTIFÓLIO'!$H$4:$H$433,MATCH($C23,'PORTIFÓLIO'!$C$4:$C$433,0)),"")</f>
        <v/>
      </c>
      <c r="I23" s="255"/>
      <c r="J23" s="218">
        <f t="shared" si="2"/>
        <v>0</v>
      </c>
      <c r="K23" s="219" t="str">
        <f t="array" ref="K23">IFERROR(I23*INDEX('PORTIFÓLIO'!$S$4:$S$433,MATCH($C23,'PORTIFÓLIO'!$C$4:$C$433,0)),"")</f>
        <v/>
      </c>
      <c r="L23" s="219" t="str">
        <f t="array" ref="L23">IFERROR(J23*INDEX('PORTIFÓLIO'!$S$4:$S$433,MATCH($C23,'PORTIFÓLIO'!$C$4:$C$433,0)),"")</f>
        <v/>
      </c>
      <c r="M23" s="220"/>
      <c r="N23" s="220"/>
      <c r="O23" s="220"/>
      <c r="P23" s="220"/>
      <c r="Q23" s="220"/>
      <c r="R23" s="220"/>
      <c r="S23" s="220"/>
      <c r="T23" s="220"/>
      <c r="U23" s="220"/>
      <c r="V23" s="220"/>
      <c r="W23" s="220"/>
    </row>
    <row r="24" ht="15.75" customHeight="1" outlineLevel="1">
      <c r="A24" s="211"/>
      <c r="B24" s="212"/>
      <c r="C24" s="213"/>
      <c r="D24" s="214" t="str">
        <f>IFERROR(VLOOKUP($C24,'PORTIFÓLIO'!C:V,2,0),"")</f>
        <v/>
      </c>
      <c r="E24" s="211" t="str">
        <f>IFERROR(VLOOKUP($C24,'PORTIFÓLIO'!C:V,3,0),"")</f>
        <v/>
      </c>
      <c r="F24" s="211" t="str">
        <f>IFERROR(VLOOKUP($C24,'PORTIFÓLIO'!C:V,4,0),"")</f>
        <v/>
      </c>
      <c r="G24" s="215" t="str">
        <f>IFERROR(VLOOKUP($C24,'PORTIFÓLIO'!C:V,5,0),"")</f>
        <v/>
      </c>
      <c r="H24" s="254" t="str">
        <f t="array" ref="H24">IFERROR(INDEX('PORTIFÓLIO'!$H$4:$H$433,MATCH($C24,'PORTIFÓLIO'!$C$4:$C$433,0)),"")</f>
        <v/>
      </c>
      <c r="I24" s="255"/>
      <c r="J24" s="218">
        <f t="shared" si="2"/>
        <v>0</v>
      </c>
      <c r="K24" s="219" t="str">
        <f t="array" ref="K24">IFERROR(I24*INDEX('PORTIFÓLIO'!$S$4:$S$433,MATCH($C24,'PORTIFÓLIO'!$C$4:$C$433,0)),"")</f>
        <v/>
      </c>
      <c r="L24" s="219" t="str">
        <f t="array" ref="L24">IFERROR(J24*INDEX('PORTIFÓLIO'!$S$4:$S$433,MATCH($C24,'PORTIFÓLIO'!$C$4:$C$433,0)),"")</f>
        <v/>
      </c>
      <c r="M24" s="220"/>
      <c r="N24" s="220"/>
      <c r="O24" s="220"/>
      <c r="P24" s="220"/>
      <c r="Q24" s="220"/>
      <c r="R24" s="220"/>
      <c r="S24" s="220"/>
      <c r="T24" s="220"/>
      <c r="U24" s="220"/>
      <c r="V24" s="220"/>
      <c r="W24" s="220"/>
    </row>
    <row r="25" ht="15.75" customHeight="1">
      <c r="A25" s="229" t="s">
        <v>1184</v>
      </c>
      <c r="B25" s="230"/>
      <c r="C25" s="231"/>
      <c r="D25" s="232"/>
      <c r="E25" s="231"/>
      <c r="F25" s="231"/>
      <c r="G25" s="233"/>
      <c r="H25" s="233"/>
      <c r="I25" s="258"/>
      <c r="J25" s="236"/>
      <c r="K25" s="237">
        <f t="shared" ref="K25:L25" si="3">SUBTOTAL(9,K26:K39)</f>
        <v>178.4188912</v>
      </c>
      <c r="L25" s="237">
        <f t="shared" si="3"/>
        <v>10705.13347</v>
      </c>
      <c r="M25" s="220"/>
      <c r="N25" s="220"/>
      <c r="O25" s="220"/>
      <c r="P25" s="220"/>
      <c r="Q25" s="220"/>
      <c r="R25" s="220"/>
      <c r="S25" s="220"/>
      <c r="T25" s="220"/>
      <c r="U25" s="220"/>
      <c r="V25" s="220"/>
      <c r="W25" s="220"/>
    </row>
    <row r="26" ht="15.75" customHeight="1" outlineLevel="1">
      <c r="A26" s="213"/>
      <c r="B26" s="212" t="s">
        <v>1</v>
      </c>
      <c r="C26" s="213" t="s">
        <v>637</v>
      </c>
      <c r="D26" s="214" t="str">
        <f>IFERROR(VLOOKUP($C26,'PORTIFÓLIO'!C:V,2,0),"")</f>
        <v>GLIFOSATO-SAL DE AMÔNIO</v>
      </c>
      <c r="E26" s="211">
        <f>IFERROR(VLOOKUP($C26,'PORTIFÓLIO'!C:V,3,0),"")</f>
        <v>720</v>
      </c>
      <c r="F26" s="211" t="str">
        <f>IFERROR(VLOOKUP($C26,'PORTIFÓLIO'!C:V,4,0),"")</f>
        <v>L</v>
      </c>
      <c r="G26" s="225" t="str">
        <f>IFERROR(VLOOKUP($C26,'PORTIFÓLIO'!C:V,5,0),"")</f>
        <v>📄 Ver bula</v>
      </c>
      <c r="H26" s="254">
        <f t="array" ref="H26">IFERROR(INDEX('PORTIFÓLIO'!$H$4:$H$433,MATCH($C26,'PORTIFÓLIO'!$C$4:$C$433,0)),"")</f>
        <v>2</v>
      </c>
      <c r="I26" s="255">
        <v>2.0</v>
      </c>
      <c r="J26" s="218">
        <f t="shared" ref="J26:J43" si="4">I26*$B$2</f>
        <v>120</v>
      </c>
      <c r="K26" s="219">
        <f t="array" ref="K26">IFERROR(I26*INDEX('PORTIFÓLIO'!$S$4:$S$433,MATCH($C26,'PORTIFÓLIO'!$C$4:$C$433,0)),"")</f>
        <v>49.16</v>
      </c>
      <c r="L26" s="219">
        <f t="array" ref="L26">IFERROR(J26*INDEX('PORTIFÓLIO'!$S$4:$S$433,MATCH($C26,'PORTIFÓLIO'!$C$4:$C$433,0)),"")</f>
        <v>2949.6</v>
      </c>
      <c r="M26" s="220"/>
      <c r="N26" s="220"/>
      <c r="O26" s="220"/>
      <c r="P26" s="220"/>
      <c r="Q26" s="220"/>
      <c r="R26" s="220"/>
      <c r="S26" s="220"/>
      <c r="T26" s="220"/>
      <c r="U26" s="220"/>
      <c r="V26" s="220"/>
      <c r="W26" s="220"/>
    </row>
    <row r="27" ht="15.75" customHeight="1" outlineLevel="1">
      <c r="A27" s="211"/>
      <c r="B27" s="212" t="s">
        <v>1</v>
      </c>
      <c r="C27" s="213" t="s">
        <v>610</v>
      </c>
      <c r="D27" s="214" t="str">
        <f>IFERROR(VLOOKUP($C27,'PORTIFÓLIO'!C:V,2,0),"")</f>
        <v>CLETODIM + FLUROXIPIR-MEPTÍLICO</v>
      </c>
      <c r="E27" s="211" t="str">
        <f>IFERROR(VLOOKUP($C27,'PORTIFÓLIO'!C:V,3,0),"")</f>
        <v>140 + 288</v>
      </c>
      <c r="F27" s="211" t="str">
        <f>IFERROR(VLOOKUP($C27,'PORTIFÓLIO'!C:V,4,0),"")</f>
        <v>L</v>
      </c>
      <c r="G27" s="225" t="str">
        <f>IFERROR(VLOOKUP($C27,'PORTIFÓLIO'!C:V,5,0),"")</f>
        <v>📄 Ver bula</v>
      </c>
      <c r="H27" s="254">
        <f t="array" ref="H27">IFERROR(INDEX('PORTIFÓLIO'!$H$4:$H$433,MATCH($C27,'PORTIFÓLIO'!$C$4:$C$433,0)),"")</f>
        <v>1</v>
      </c>
      <c r="I27" s="255">
        <v>1.0</v>
      </c>
      <c r="J27" s="218">
        <f t="shared" si="4"/>
        <v>60</v>
      </c>
      <c r="K27" s="219">
        <f t="array" ref="K27">IFERROR(I27*INDEX('PORTIFÓLIO'!$S$4:$S$433,MATCH($C27,'PORTIFÓLIO'!$C$4:$C$433,0)),"")</f>
        <v>60.04894</v>
      </c>
      <c r="L27" s="219">
        <f t="array" ref="L27">IFERROR(J27*INDEX('PORTIFÓLIO'!$S$4:$S$433,MATCH($C27,'PORTIFÓLIO'!$C$4:$C$433,0)),"")</f>
        <v>3602.9364</v>
      </c>
      <c r="M27" s="220"/>
      <c r="N27" s="220"/>
      <c r="O27" s="220"/>
      <c r="P27" s="220"/>
      <c r="Q27" s="220"/>
      <c r="R27" s="220"/>
      <c r="S27" s="220"/>
      <c r="T27" s="220"/>
      <c r="U27" s="220"/>
      <c r="V27" s="220"/>
      <c r="W27" s="220"/>
    </row>
    <row r="28" ht="15.75" customHeight="1" outlineLevel="1">
      <c r="A28" s="211"/>
      <c r="B28" s="212" t="s">
        <v>6</v>
      </c>
      <c r="C28" s="213" t="s">
        <v>354</v>
      </c>
      <c r="D28" s="214" t="str">
        <f>IFERROR(VLOOKUP($C28,'PORTIFÓLIO'!C:V,2,0),"")</f>
        <v>OLEO MINERAL</v>
      </c>
      <c r="E28" s="211">
        <f>IFERROR(VLOOKUP($C28,'PORTIFÓLIO'!C:V,3,0),"")</f>
        <v>761</v>
      </c>
      <c r="F28" s="211" t="str">
        <f>IFERROR(VLOOKUP($C28,'PORTIFÓLIO'!C:V,4,0),"")</f>
        <v>L</v>
      </c>
      <c r="G28" s="225" t="str">
        <f>IFERROR(VLOOKUP($C28,'PORTIFÓLIO'!C:V,5,0),"")</f>
        <v>📄 Ver bula</v>
      </c>
      <c r="H28" s="254">
        <f t="array" ref="H28">IFERROR(INDEX('PORTIFÓLIO'!$H$4:$H$433,MATCH($C28,'PORTIFÓLIO'!$C$4:$C$433,0)),"")</f>
        <v>0.2</v>
      </c>
      <c r="I28" s="255">
        <v>0.2</v>
      </c>
      <c r="J28" s="218">
        <f t="shared" si="4"/>
        <v>12</v>
      </c>
      <c r="K28" s="219">
        <f t="array" ref="K28">IFERROR(I28*INDEX('PORTIFÓLIO'!$S$4:$S$433,MATCH($C28,'PORTIFÓLIO'!$C$4:$C$433,0)),"")</f>
        <v>3.206</v>
      </c>
      <c r="L28" s="219">
        <f t="array" ref="L28">IFERROR(J28*INDEX('PORTIFÓLIO'!$S$4:$S$433,MATCH($C28,'PORTIFÓLIO'!$C$4:$C$433,0)),"")</f>
        <v>192.36</v>
      </c>
      <c r="M28" s="220"/>
      <c r="N28" s="220"/>
      <c r="O28" s="220"/>
      <c r="P28" s="220"/>
      <c r="Q28" s="220"/>
      <c r="R28" s="220"/>
      <c r="S28" s="220"/>
      <c r="T28" s="220"/>
      <c r="U28" s="220"/>
      <c r="V28" s="220"/>
      <c r="W28" s="220"/>
    </row>
    <row r="29" ht="15.75" customHeight="1" outlineLevel="1">
      <c r="A29" s="211"/>
      <c r="B29" s="212" t="s">
        <v>2</v>
      </c>
      <c r="C29" s="213" t="s">
        <v>824</v>
      </c>
      <c r="D29" s="214" t="str">
        <f>IFERROR(VLOOKUP($C29,'PORTIFÓLIO'!C:V,2,0),"")</f>
        <v>CLORANTRANILIPROLE</v>
      </c>
      <c r="E29" s="211">
        <f>IFERROR(VLOOKUP($C29,'PORTIFÓLIO'!C:V,3,0),"")</f>
        <v>200</v>
      </c>
      <c r="F29" s="211" t="str">
        <f>IFERROR(VLOOKUP($C29,'PORTIFÓLIO'!C:V,4,0),"")</f>
        <v>L</v>
      </c>
      <c r="G29" s="225" t="str">
        <f>IFERROR(VLOOKUP($C29,'PORTIFÓLIO'!C:V,5,0),"")</f>
        <v>📄 Ver bula</v>
      </c>
      <c r="H29" s="254">
        <f t="array" ref="H29">IFERROR(INDEX('PORTIFÓLIO'!$H$4:$H$433,MATCH($C29,'PORTIFÓLIO'!$C$4:$C$433,0)),"")</f>
        <v>0.1</v>
      </c>
      <c r="I29" s="255">
        <v>0.04</v>
      </c>
      <c r="J29" s="218">
        <f t="shared" si="4"/>
        <v>2.4</v>
      </c>
      <c r="K29" s="219">
        <f t="array" ref="K29">IFERROR(I29*INDEX('PORTIFÓLIO'!$S$4:$S$433,MATCH($C29,'PORTIFÓLIO'!$C$4:$C$433,0)),"")</f>
        <v>11.31855</v>
      </c>
      <c r="L29" s="219">
        <f t="array" ref="L29">IFERROR(J29*INDEX('PORTIFÓLIO'!$S$4:$S$433,MATCH($C29,'PORTIFÓLIO'!$C$4:$C$433,0)),"")</f>
        <v>679.113</v>
      </c>
      <c r="M29" s="220"/>
      <c r="N29" s="220"/>
      <c r="O29" s="220"/>
      <c r="P29" s="220"/>
      <c r="Q29" s="220"/>
      <c r="R29" s="220"/>
      <c r="S29" s="220"/>
      <c r="T29" s="220"/>
      <c r="U29" s="220"/>
      <c r="V29" s="220"/>
      <c r="W29" s="220"/>
    </row>
    <row r="30" ht="15.75" customHeight="1" outlineLevel="1">
      <c r="A30" s="211"/>
      <c r="B30" s="212" t="s">
        <v>2</v>
      </c>
      <c r="C30" s="213" t="s">
        <v>788</v>
      </c>
      <c r="D30" s="214" t="str">
        <f>IFERROR(VLOOKUP($C30,'PORTIFÓLIO'!C:V,2,0),"")</f>
        <v>FIPRONIL</v>
      </c>
      <c r="E30" s="211">
        <f>IFERROR(VLOOKUP($C30,'PORTIFÓLIO'!C:V,3,0),"")</f>
        <v>800</v>
      </c>
      <c r="F30" s="211" t="str">
        <f>IFERROR(VLOOKUP($C30,'PORTIFÓLIO'!C:V,4,0),"")</f>
        <v>L</v>
      </c>
      <c r="G30" s="225" t="str">
        <f>IFERROR(VLOOKUP($C30,'PORTIFÓLIO'!C:V,5,0),"")</f>
        <v>📄 Ver bula</v>
      </c>
      <c r="H30" s="254">
        <f t="array" ref="H30">IFERROR(INDEX('PORTIFÓLIO'!$H$4:$H$433,MATCH($C30,'PORTIFÓLIO'!$C$4:$C$433,0)),"")</f>
        <v>0.04</v>
      </c>
      <c r="I30" s="255">
        <v>0.04</v>
      </c>
      <c r="J30" s="218">
        <f t="shared" si="4"/>
        <v>2.4</v>
      </c>
      <c r="K30" s="219">
        <f t="array" ref="K30">IFERROR(I30*INDEX('PORTIFÓLIO'!$S$4:$S$433,MATCH($C30,'PORTIFÓLIO'!$C$4:$C$433,0)),"")</f>
        <v>9.9054012</v>
      </c>
      <c r="L30" s="219">
        <f t="array" ref="L30">IFERROR(J30*INDEX('PORTIFÓLIO'!$S$4:$S$433,MATCH($C30,'PORTIFÓLIO'!$C$4:$C$433,0)),"")</f>
        <v>594.324072</v>
      </c>
      <c r="M30" s="220"/>
      <c r="N30" s="220"/>
      <c r="O30" s="220"/>
      <c r="P30" s="220"/>
      <c r="Q30" s="220"/>
      <c r="R30" s="220"/>
      <c r="S30" s="220"/>
      <c r="T30" s="220"/>
      <c r="U30" s="220"/>
      <c r="V30" s="220"/>
      <c r="W30" s="220"/>
    </row>
    <row r="31" ht="15.75" customHeight="1" outlineLevel="1">
      <c r="A31" s="211"/>
      <c r="B31" s="212" t="s">
        <v>9</v>
      </c>
      <c r="C31" s="213" t="s">
        <v>933</v>
      </c>
      <c r="D31" s="214" t="str">
        <f>IFERROR(VLOOKUP($C31,'PORTIFÓLIO'!C:V,2,0),"")</f>
        <v>N1%;B9,5%</v>
      </c>
      <c r="E31" s="211" t="str">
        <f>IFERROR(VLOOKUP($C31,'PORTIFÓLIO'!C:V,3,0),"")</f>
        <v>13,8g/l + 131,1g/l</v>
      </c>
      <c r="F31" s="211" t="str">
        <f>IFERROR(VLOOKUP($C31,'PORTIFÓLIO'!C:V,4,0),"")</f>
        <v>L</v>
      </c>
      <c r="G31" s="215" t="str">
        <f>IFERROR(VLOOKUP($C31,'PORTIFÓLIO'!C:V,5,0),"")</f>
        <v/>
      </c>
      <c r="H31" s="254">
        <f t="array" ref="H31">IFERROR(INDEX('PORTIFÓLIO'!$H$4:$H$433,MATCH($C31,'PORTIFÓLIO'!$C$4:$C$433,0)),"")</f>
        <v>2</v>
      </c>
      <c r="I31" s="255">
        <v>1.0</v>
      </c>
      <c r="J31" s="218">
        <f t="shared" si="4"/>
        <v>60</v>
      </c>
      <c r="K31" s="219">
        <f t="array" ref="K31">IFERROR(I31*INDEX('PORTIFÓLIO'!$S$4:$S$433,MATCH($C31,'PORTIFÓLIO'!$C$4:$C$433,0)),"")</f>
        <v>44.78</v>
      </c>
      <c r="L31" s="219">
        <f t="array" ref="L31">IFERROR(J31*INDEX('PORTIFÓLIO'!$S$4:$S$433,MATCH($C31,'PORTIFÓLIO'!$C$4:$C$433,0)),"")</f>
        <v>2686.8</v>
      </c>
      <c r="M31" s="220"/>
      <c r="N31" s="220"/>
      <c r="O31" s="220"/>
      <c r="P31" s="220"/>
      <c r="Q31" s="220"/>
      <c r="R31" s="220"/>
      <c r="S31" s="220"/>
      <c r="T31" s="220"/>
      <c r="U31" s="220"/>
      <c r="V31" s="220"/>
      <c r="W31" s="220"/>
    </row>
    <row r="32" ht="15.75" customHeight="1" outlineLevel="1">
      <c r="A32" s="211"/>
      <c r="B32" s="212"/>
      <c r="C32" s="213"/>
      <c r="D32" s="214" t="str">
        <f>IFERROR(VLOOKUP($C32,'PORTIFÓLIO'!C:V,2,0),"")</f>
        <v/>
      </c>
      <c r="E32" s="211" t="str">
        <f>IFERROR(VLOOKUP($C32,'PORTIFÓLIO'!C:V,3,0),"")</f>
        <v/>
      </c>
      <c r="F32" s="211" t="str">
        <f>IFERROR(VLOOKUP($C32,'PORTIFÓLIO'!C:V,4,0),"")</f>
        <v/>
      </c>
      <c r="G32" s="215" t="str">
        <f>IFERROR(VLOOKUP($C32,'PORTIFÓLIO'!C:V,5,0),"")</f>
        <v/>
      </c>
      <c r="H32" s="254" t="str">
        <f t="array" ref="H32">IFERROR(INDEX('PORTIFÓLIO'!$H$4:$H$433,MATCH($C32,'PORTIFÓLIO'!$C$4:$C$433,0)),"")</f>
        <v/>
      </c>
      <c r="I32" s="256"/>
      <c r="J32" s="218">
        <f t="shared" si="4"/>
        <v>0</v>
      </c>
      <c r="K32" s="219" t="str">
        <f t="array" ref="K32">IFERROR(I32*INDEX('PORTIFÓLIO'!$S$4:$S$433,MATCH($C32,'PORTIFÓLIO'!$C$4:$C$433,0)),"")</f>
        <v/>
      </c>
      <c r="L32" s="219" t="str">
        <f t="array" ref="L32">IFERROR(J32*INDEX('PORTIFÓLIO'!$S$4:$S$433,MATCH($C32,'PORTIFÓLIO'!$C$4:$C$433,0)),"")</f>
        <v/>
      </c>
      <c r="M32" s="220"/>
      <c r="N32" s="220"/>
      <c r="O32" s="220"/>
      <c r="P32" s="220"/>
      <c r="Q32" s="220"/>
      <c r="R32" s="220"/>
      <c r="S32" s="220"/>
      <c r="T32" s="220"/>
      <c r="U32" s="220"/>
      <c r="V32" s="220"/>
      <c r="W32" s="220"/>
    </row>
    <row r="33" ht="15.75" customHeight="1" outlineLevel="1">
      <c r="A33" s="211"/>
      <c r="B33" s="212"/>
      <c r="C33" s="213"/>
      <c r="D33" s="214" t="str">
        <f>IFERROR(VLOOKUP($C33,'PORTIFÓLIO'!C:V,2,0),"")</f>
        <v/>
      </c>
      <c r="E33" s="211" t="str">
        <f>IFERROR(VLOOKUP($C33,'PORTIFÓLIO'!C:V,3,0),"")</f>
        <v/>
      </c>
      <c r="F33" s="211" t="str">
        <f>IFERROR(VLOOKUP($C33,'PORTIFÓLIO'!C:V,4,0),"")</f>
        <v/>
      </c>
      <c r="G33" s="215" t="str">
        <f>IFERROR(VLOOKUP($C33,'PORTIFÓLIO'!C:V,5,0),"")</f>
        <v/>
      </c>
      <c r="H33" s="254" t="str">
        <f t="array" ref="H33">IFERROR(INDEX('PORTIFÓLIO'!$H$4:$H$433,MATCH($C33,'PORTIFÓLIO'!$C$4:$C$433,0)),"")</f>
        <v/>
      </c>
      <c r="I33" s="256"/>
      <c r="J33" s="218">
        <f t="shared" si="4"/>
        <v>0</v>
      </c>
      <c r="K33" s="219" t="str">
        <f t="array" ref="K33">IFERROR(I33*INDEX('PORTIFÓLIO'!$S$4:$S$433,MATCH($C33,'PORTIFÓLIO'!$C$4:$C$433,0)),"")</f>
        <v/>
      </c>
      <c r="L33" s="219" t="str">
        <f t="array" ref="L33">IFERROR(J33*INDEX('PORTIFÓLIO'!$S$4:$S$433,MATCH($C33,'PORTIFÓLIO'!$C$4:$C$433,0)),"")</f>
        <v/>
      </c>
      <c r="M33" s="220"/>
      <c r="N33" s="220"/>
      <c r="O33" s="220"/>
      <c r="P33" s="220"/>
      <c r="Q33" s="220"/>
      <c r="R33" s="220"/>
      <c r="S33" s="220"/>
      <c r="T33" s="220"/>
      <c r="U33" s="220"/>
      <c r="V33" s="220"/>
      <c r="W33" s="220"/>
    </row>
    <row r="34" ht="15.75" customHeight="1" outlineLevel="1">
      <c r="A34" s="211"/>
      <c r="B34" s="212"/>
      <c r="C34" s="213"/>
      <c r="D34" s="214" t="str">
        <f>IFERROR(VLOOKUP($C34,'PORTIFÓLIO'!C:V,2,0),"")</f>
        <v/>
      </c>
      <c r="E34" s="211" t="str">
        <f>IFERROR(VLOOKUP($C34,'PORTIFÓLIO'!C:V,3,0),"")</f>
        <v/>
      </c>
      <c r="F34" s="211" t="str">
        <f>IFERROR(VLOOKUP($C34,'PORTIFÓLIO'!C:V,4,0),"")</f>
        <v/>
      </c>
      <c r="G34" s="215" t="str">
        <f>IFERROR(VLOOKUP($C34,'PORTIFÓLIO'!C:V,5,0),"")</f>
        <v/>
      </c>
      <c r="H34" s="254" t="str">
        <f t="array" ref="H34">IFERROR(INDEX('PORTIFÓLIO'!$H$4:$H$433,MATCH($C34,'PORTIFÓLIO'!$C$4:$C$433,0)),"")</f>
        <v/>
      </c>
      <c r="I34" s="255"/>
      <c r="J34" s="218">
        <f t="shared" si="4"/>
        <v>0</v>
      </c>
      <c r="K34" s="219" t="str">
        <f t="array" ref="K34">IFERROR(I34*INDEX('PORTIFÓLIO'!$S$4:$S$433,MATCH($C34,'PORTIFÓLIO'!$C$4:$C$433,0)),"")</f>
        <v/>
      </c>
      <c r="L34" s="219" t="str">
        <f t="array" ref="L34">IFERROR(J34*INDEX('PORTIFÓLIO'!$S$4:$S$433,MATCH($C34,'PORTIFÓLIO'!$C$4:$C$433,0)),"")</f>
        <v/>
      </c>
      <c r="M34" s="220"/>
      <c r="N34" s="220"/>
      <c r="O34" s="220"/>
      <c r="P34" s="220"/>
      <c r="Q34" s="220"/>
      <c r="R34" s="220"/>
      <c r="S34" s="220"/>
      <c r="T34" s="220"/>
      <c r="U34" s="220"/>
      <c r="V34" s="220"/>
      <c r="W34" s="220"/>
    </row>
    <row r="35" ht="15.75" customHeight="1" outlineLevel="1">
      <c r="A35" s="211"/>
      <c r="B35" s="212"/>
      <c r="C35" s="213"/>
      <c r="D35" s="214" t="str">
        <f>IFERROR(VLOOKUP($C35,'PORTIFÓLIO'!C:V,2,0),"")</f>
        <v/>
      </c>
      <c r="E35" s="211" t="str">
        <f>IFERROR(VLOOKUP($C35,'PORTIFÓLIO'!C:V,3,0),"")</f>
        <v/>
      </c>
      <c r="F35" s="211" t="str">
        <f>IFERROR(VLOOKUP($C35,'PORTIFÓLIO'!C:V,4,0),"")</f>
        <v/>
      </c>
      <c r="G35" s="215" t="str">
        <f>IFERROR(VLOOKUP($C35,'PORTIFÓLIO'!C:V,5,0),"")</f>
        <v/>
      </c>
      <c r="H35" s="254" t="str">
        <f t="array" ref="H35">IFERROR(INDEX('PORTIFÓLIO'!$H$4:$H$433,MATCH($C35,'PORTIFÓLIO'!$C$4:$C$433,0)),"")</f>
        <v/>
      </c>
      <c r="I35" s="256"/>
      <c r="J35" s="218">
        <f t="shared" si="4"/>
        <v>0</v>
      </c>
      <c r="K35" s="219" t="str">
        <f t="array" ref="K35">IFERROR(I35*INDEX('PORTIFÓLIO'!$S$4:$S$433,MATCH($C35,'PORTIFÓLIO'!$C$4:$C$433,0)),"")</f>
        <v/>
      </c>
      <c r="L35" s="219" t="str">
        <f t="array" ref="L35">IFERROR(J35*INDEX('PORTIFÓLIO'!$S$4:$S$433,MATCH($C35,'PORTIFÓLIO'!$C$4:$C$433,0)),"")</f>
        <v/>
      </c>
      <c r="M35" s="220"/>
      <c r="N35" s="220"/>
      <c r="O35" s="220"/>
      <c r="P35" s="220"/>
      <c r="Q35" s="220"/>
      <c r="R35" s="220"/>
      <c r="S35" s="220"/>
      <c r="T35" s="220"/>
      <c r="U35" s="220"/>
      <c r="V35" s="220"/>
      <c r="W35" s="220"/>
    </row>
    <row r="36" ht="15.75" customHeight="1" outlineLevel="1">
      <c r="A36" s="211"/>
      <c r="B36" s="212"/>
      <c r="C36" s="213"/>
      <c r="D36" s="214" t="str">
        <f>IFERROR(VLOOKUP($C36,'PORTIFÓLIO'!C:V,2,0),"")</f>
        <v/>
      </c>
      <c r="E36" s="211" t="str">
        <f>IFERROR(VLOOKUP($C36,'PORTIFÓLIO'!C:V,3,0),"")</f>
        <v/>
      </c>
      <c r="F36" s="211" t="str">
        <f>IFERROR(VLOOKUP($C36,'PORTIFÓLIO'!C:V,4,0),"")</f>
        <v/>
      </c>
      <c r="G36" s="215" t="str">
        <f>IFERROR(VLOOKUP($C36,'PORTIFÓLIO'!C:V,5,0),"")</f>
        <v/>
      </c>
      <c r="H36" s="254" t="str">
        <f t="array" ref="H36">IFERROR(INDEX('PORTIFÓLIO'!$H$4:$H$433,MATCH($C36,'PORTIFÓLIO'!$C$4:$C$433,0)),"")</f>
        <v/>
      </c>
      <c r="I36" s="256"/>
      <c r="J36" s="218">
        <f t="shared" si="4"/>
        <v>0</v>
      </c>
      <c r="K36" s="219" t="str">
        <f t="array" ref="K36">IFERROR(I36*INDEX('PORTIFÓLIO'!$S$4:$S$433,MATCH($C36,'PORTIFÓLIO'!$C$4:$C$433,0)),"")</f>
        <v/>
      </c>
      <c r="L36" s="219" t="str">
        <f t="array" ref="L36">IFERROR(J36*INDEX('PORTIFÓLIO'!$S$4:$S$433,MATCH($C36,'PORTIFÓLIO'!$C$4:$C$433,0)),"")</f>
        <v/>
      </c>
      <c r="M36" s="220"/>
      <c r="N36" s="220"/>
      <c r="O36" s="220"/>
      <c r="P36" s="220"/>
      <c r="Q36" s="220"/>
      <c r="R36" s="220"/>
      <c r="S36" s="220"/>
      <c r="T36" s="220"/>
      <c r="U36" s="220"/>
      <c r="V36" s="220"/>
      <c r="W36" s="220"/>
    </row>
    <row r="37" ht="15.75" customHeight="1" outlineLevel="1">
      <c r="A37" s="211"/>
      <c r="B37" s="212"/>
      <c r="C37" s="213"/>
      <c r="D37" s="214" t="str">
        <f>IFERROR(VLOOKUP($C37,'PORTIFÓLIO'!C:V,2,0),"")</f>
        <v/>
      </c>
      <c r="E37" s="211" t="str">
        <f>IFERROR(VLOOKUP($C37,'PORTIFÓLIO'!C:V,3,0),"")</f>
        <v/>
      </c>
      <c r="F37" s="211" t="str">
        <f>IFERROR(VLOOKUP($C37,'PORTIFÓLIO'!C:V,4,0),"")</f>
        <v/>
      </c>
      <c r="G37" s="215" t="str">
        <f>IFERROR(VLOOKUP($C37,'PORTIFÓLIO'!C:V,5,0),"")</f>
        <v/>
      </c>
      <c r="H37" s="254" t="str">
        <f t="array" ref="H37">IFERROR(INDEX('PORTIFÓLIO'!$H$4:$H$433,MATCH($C37,'PORTIFÓLIO'!$C$4:$C$433,0)),"")</f>
        <v/>
      </c>
      <c r="I37" s="256"/>
      <c r="J37" s="218">
        <f t="shared" si="4"/>
        <v>0</v>
      </c>
      <c r="K37" s="219" t="str">
        <f t="array" ref="K37">IFERROR(I37*INDEX('PORTIFÓLIO'!$S$4:$S$433,MATCH($C37,'PORTIFÓLIO'!$C$4:$C$433,0)),"")</f>
        <v/>
      </c>
      <c r="L37" s="219" t="str">
        <f t="array" ref="L37">IFERROR(J37*INDEX('PORTIFÓLIO'!$S$4:$S$433,MATCH($C37,'PORTIFÓLIO'!$C$4:$C$433,0)),"")</f>
        <v/>
      </c>
      <c r="M37" s="220"/>
      <c r="N37" s="220"/>
      <c r="O37" s="220"/>
      <c r="P37" s="220"/>
      <c r="Q37" s="220"/>
      <c r="R37" s="220"/>
      <c r="S37" s="220"/>
      <c r="T37" s="220"/>
      <c r="U37" s="220"/>
      <c r="V37" s="220"/>
      <c r="W37" s="220"/>
    </row>
    <row r="38" ht="15.75" customHeight="1" outlineLevel="1">
      <c r="A38" s="211"/>
      <c r="B38" s="212"/>
      <c r="C38" s="213"/>
      <c r="D38" s="214" t="str">
        <f>IFERROR(VLOOKUP($C38,'PORTIFÓLIO'!C:V,2,0),"")</f>
        <v/>
      </c>
      <c r="E38" s="211" t="str">
        <f>IFERROR(VLOOKUP($C38,'PORTIFÓLIO'!C:V,3,0),"")</f>
        <v/>
      </c>
      <c r="F38" s="211" t="str">
        <f>IFERROR(VLOOKUP($C38,'PORTIFÓLIO'!C:V,4,0),"")</f>
        <v/>
      </c>
      <c r="G38" s="215" t="str">
        <f>IFERROR(VLOOKUP($C38,'PORTIFÓLIO'!C:V,5,0),"")</f>
        <v/>
      </c>
      <c r="H38" s="254" t="str">
        <f t="array" ref="H38">IFERROR(INDEX('PORTIFÓLIO'!$H$4:$H$433,MATCH($C38,'PORTIFÓLIO'!$C$4:$C$433,0)),"")</f>
        <v/>
      </c>
      <c r="I38" s="256"/>
      <c r="J38" s="218">
        <f t="shared" si="4"/>
        <v>0</v>
      </c>
      <c r="K38" s="219" t="str">
        <f t="array" ref="K38">IFERROR(I38*INDEX('PORTIFÓLIO'!$S$4:$S$433,MATCH($C38,'PORTIFÓLIO'!$C$4:$C$433,0)),"")</f>
        <v/>
      </c>
      <c r="L38" s="219" t="str">
        <f t="array" ref="L38">IFERROR(J38*INDEX('PORTIFÓLIO'!$S$4:$S$433,MATCH($C38,'PORTIFÓLIO'!$C$4:$C$433,0)),"")</f>
        <v/>
      </c>
      <c r="M38" s="220"/>
      <c r="N38" s="220"/>
      <c r="O38" s="220"/>
      <c r="P38" s="220"/>
      <c r="Q38" s="220"/>
      <c r="R38" s="220"/>
      <c r="S38" s="220"/>
      <c r="T38" s="220"/>
      <c r="U38" s="220"/>
      <c r="V38" s="220"/>
      <c r="W38" s="220"/>
    </row>
    <row r="39" ht="15.75" customHeight="1" outlineLevel="1">
      <c r="A39" s="211"/>
      <c r="B39" s="212"/>
      <c r="C39" s="213"/>
      <c r="D39" s="214" t="str">
        <f>IFERROR(VLOOKUP($C39,'PORTIFÓLIO'!C:V,2,0),"")</f>
        <v/>
      </c>
      <c r="E39" s="211" t="str">
        <f>IFERROR(VLOOKUP($C39,'PORTIFÓLIO'!C:V,3,0),"")</f>
        <v/>
      </c>
      <c r="F39" s="211" t="str">
        <f>IFERROR(VLOOKUP($C39,'PORTIFÓLIO'!C:V,4,0),"")</f>
        <v/>
      </c>
      <c r="G39" s="215" t="str">
        <f>IFERROR(VLOOKUP($C39,'PORTIFÓLIO'!C:V,5,0),"")</f>
        <v/>
      </c>
      <c r="H39" s="254" t="str">
        <f t="array" ref="H39">IFERROR(INDEX('PORTIFÓLIO'!$H$4:$H$433,MATCH($C39,'PORTIFÓLIO'!$C$4:$C$433,0)),"")</f>
        <v/>
      </c>
      <c r="I39" s="256"/>
      <c r="J39" s="218">
        <f t="shared" si="4"/>
        <v>0</v>
      </c>
      <c r="K39" s="219" t="str">
        <f t="array" ref="K39">IFERROR(I39*INDEX('PORTIFÓLIO'!$S$4:$S$433,MATCH($C39,'PORTIFÓLIO'!$C$4:$C$433,0)),"")</f>
        <v/>
      </c>
      <c r="L39" s="219" t="str">
        <f t="array" ref="L39">IFERROR(J39*INDEX('PORTIFÓLIO'!$S$4:$S$433,MATCH($C39,'PORTIFÓLIO'!$C$4:$C$433,0)),"")</f>
        <v/>
      </c>
      <c r="M39" s="220"/>
      <c r="N39" s="220"/>
      <c r="O39" s="220"/>
      <c r="P39" s="220"/>
      <c r="Q39" s="220"/>
      <c r="R39" s="220"/>
      <c r="S39" s="220"/>
      <c r="T39" s="220"/>
      <c r="U39" s="220"/>
      <c r="V39" s="220"/>
      <c r="W39" s="220"/>
    </row>
    <row r="40" ht="15.75" customHeight="1" outlineLevel="1">
      <c r="A40" s="211"/>
      <c r="B40" s="212"/>
      <c r="C40" s="213"/>
      <c r="D40" s="214" t="str">
        <f>IFERROR(VLOOKUP($C40,'PORTIFÓLIO'!C:V,2,0),"")</f>
        <v/>
      </c>
      <c r="E40" s="211" t="str">
        <f>IFERROR(VLOOKUP($C40,'PORTIFÓLIO'!C:V,3,0),"")</f>
        <v/>
      </c>
      <c r="F40" s="211" t="str">
        <f>IFERROR(VLOOKUP($C40,'PORTIFÓLIO'!C:V,4,0),"")</f>
        <v/>
      </c>
      <c r="G40" s="215" t="str">
        <f>IFERROR(VLOOKUP($C40,'PORTIFÓLIO'!C:V,5,0),"")</f>
        <v/>
      </c>
      <c r="H40" s="254" t="str">
        <f t="array" ref="H40">IFERROR(INDEX('PORTIFÓLIO'!$H$4:$H$433,MATCH($C40,'PORTIFÓLIO'!$C$4:$C$433,0)),"")</f>
        <v/>
      </c>
      <c r="I40" s="256"/>
      <c r="J40" s="218">
        <f t="shared" si="4"/>
        <v>0</v>
      </c>
      <c r="K40" s="219" t="str">
        <f t="array" ref="K40">IFERROR(I40*INDEX('PORTIFÓLIO'!$S$4:$S$433,MATCH($C40,'PORTIFÓLIO'!$C$4:$C$433,0)),"")</f>
        <v/>
      </c>
      <c r="L40" s="219" t="str">
        <f t="array" ref="L40">IFERROR(J40*INDEX('PORTIFÓLIO'!$S$4:$S$433,MATCH($C40,'PORTIFÓLIO'!$C$4:$C$433,0)),"")</f>
        <v/>
      </c>
      <c r="M40" s="220"/>
      <c r="N40" s="220"/>
      <c r="O40" s="220"/>
      <c r="P40" s="220"/>
      <c r="Q40" s="220"/>
      <c r="R40" s="220"/>
      <c r="S40" s="220"/>
      <c r="T40" s="220"/>
      <c r="U40" s="220"/>
      <c r="V40" s="220"/>
      <c r="W40" s="220"/>
    </row>
    <row r="41" ht="15.75" customHeight="1" outlineLevel="1">
      <c r="A41" s="211"/>
      <c r="B41" s="212"/>
      <c r="C41" s="213"/>
      <c r="D41" s="214" t="str">
        <f>IFERROR(VLOOKUP($C41,'PORTIFÓLIO'!C:V,2,0),"")</f>
        <v/>
      </c>
      <c r="E41" s="211" t="str">
        <f>IFERROR(VLOOKUP($C41,'PORTIFÓLIO'!C:V,3,0),"")</f>
        <v/>
      </c>
      <c r="F41" s="211" t="str">
        <f>IFERROR(VLOOKUP($C41,'PORTIFÓLIO'!C:V,4,0),"")</f>
        <v/>
      </c>
      <c r="G41" s="215" t="str">
        <f>IFERROR(VLOOKUP($C41,'PORTIFÓLIO'!C:V,5,0),"")</f>
        <v/>
      </c>
      <c r="H41" s="254" t="str">
        <f t="array" ref="H41">IFERROR(INDEX('PORTIFÓLIO'!$H$4:$H$433,MATCH($C41,'PORTIFÓLIO'!$C$4:$C$433,0)),"")</f>
        <v/>
      </c>
      <c r="I41" s="256"/>
      <c r="J41" s="218">
        <f t="shared" si="4"/>
        <v>0</v>
      </c>
      <c r="K41" s="219" t="str">
        <f t="array" ref="K41">IFERROR(I41*INDEX('PORTIFÓLIO'!$S$4:$S$433,MATCH($C41,'PORTIFÓLIO'!$C$4:$C$433,0)),"")</f>
        <v/>
      </c>
      <c r="L41" s="219" t="str">
        <f t="array" ref="L41">IFERROR(J41*INDEX('PORTIFÓLIO'!$S$4:$S$433,MATCH($C41,'PORTIFÓLIO'!$C$4:$C$433,0)),"")</f>
        <v/>
      </c>
      <c r="M41" s="220"/>
      <c r="N41" s="220"/>
      <c r="O41" s="220"/>
      <c r="P41" s="220"/>
      <c r="Q41" s="220"/>
      <c r="R41" s="220"/>
      <c r="S41" s="220"/>
      <c r="T41" s="220"/>
      <c r="U41" s="220"/>
      <c r="V41" s="220"/>
      <c r="W41" s="220"/>
    </row>
    <row r="42" ht="15.75" customHeight="1" outlineLevel="1">
      <c r="A42" s="211"/>
      <c r="B42" s="212"/>
      <c r="C42" s="213"/>
      <c r="D42" s="214" t="str">
        <f>IFERROR(VLOOKUP($C42,'PORTIFÓLIO'!C:V,2,0),"")</f>
        <v/>
      </c>
      <c r="E42" s="211" t="str">
        <f>IFERROR(VLOOKUP($C42,'PORTIFÓLIO'!C:V,3,0),"")</f>
        <v/>
      </c>
      <c r="F42" s="211" t="str">
        <f>IFERROR(VLOOKUP($C42,'PORTIFÓLIO'!C:V,4,0),"")</f>
        <v/>
      </c>
      <c r="G42" s="215" t="str">
        <f>IFERROR(VLOOKUP($C42,'PORTIFÓLIO'!C:V,5,0),"")</f>
        <v/>
      </c>
      <c r="H42" s="254" t="str">
        <f t="array" ref="H42">IFERROR(INDEX('PORTIFÓLIO'!$H$4:$H$433,MATCH($C42,'PORTIFÓLIO'!$C$4:$C$433,0)),"")</f>
        <v/>
      </c>
      <c r="I42" s="256"/>
      <c r="J42" s="218">
        <f t="shared" si="4"/>
        <v>0</v>
      </c>
      <c r="K42" s="219" t="str">
        <f t="array" ref="K42">IFERROR(I42*INDEX('PORTIFÓLIO'!$S$4:$S$433,MATCH($C42,'PORTIFÓLIO'!$C$4:$C$433,0)),"")</f>
        <v/>
      </c>
      <c r="L42" s="219" t="str">
        <f t="array" ref="L42">IFERROR(J42*INDEX('PORTIFÓLIO'!$S$4:$S$433,MATCH($C42,'PORTIFÓLIO'!$C$4:$C$433,0)),"")</f>
        <v/>
      </c>
      <c r="M42" s="220"/>
      <c r="N42" s="220"/>
      <c r="O42" s="220"/>
      <c r="P42" s="220"/>
      <c r="Q42" s="220"/>
      <c r="R42" s="220"/>
      <c r="S42" s="220"/>
      <c r="T42" s="220"/>
      <c r="U42" s="220"/>
      <c r="V42" s="220"/>
      <c r="W42" s="220"/>
    </row>
    <row r="43" ht="15.75" customHeight="1" outlineLevel="1">
      <c r="A43" s="211"/>
      <c r="B43" s="212"/>
      <c r="C43" s="213"/>
      <c r="D43" s="214" t="str">
        <f>IFERROR(VLOOKUP($C43,'PORTIFÓLIO'!C:V,2,0),"")</f>
        <v/>
      </c>
      <c r="E43" s="211" t="str">
        <f>IFERROR(VLOOKUP($C43,'PORTIFÓLIO'!C:V,3,0),"")</f>
        <v/>
      </c>
      <c r="F43" s="211" t="str">
        <f>IFERROR(VLOOKUP($C43,'PORTIFÓLIO'!C:V,4,0),"")</f>
        <v/>
      </c>
      <c r="G43" s="215" t="str">
        <f>IFERROR(VLOOKUP($C43,'PORTIFÓLIO'!C:V,5,0),"")</f>
        <v/>
      </c>
      <c r="H43" s="254" t="str">
        <f t="array" ref="H43">IFERROR(INDEX('PORTIFÓLIO'!$H$4:$H$433,MATCH($C43,'PORTIFÓLIO'!$C$4:$C$433,0)),"")</f>
        <v/>
      </c>
      <c r="I43" s="256"/>
      <c r="J43" s="218">
        <f t="shared" si="4"/>
        <v>0</v>
      </c>
      <c r="K43" s="219" t="str">
        <f t="array" ref="K43">IFERROR(I43*INDEX('PORTIFÓLIO'!$S$4:$S$433,MATCH($C43,'PORTIFÓLIO'!$C$4:$C$433,0)),"")</f>
        <v/>
      </c>
      <c r="L43" s="219" t="str">
        <f t="array" ref="L43">IFERROR(J43*INDEX('PORTIFÓLIO'!$S$4:$S$433,MATCH($C43,'PORTIFÓLIO'!$C$4:$C$433,0)),"")</f>
        <v/>
      </c>
      <c r="M43" s="220"/>
      <c r="N43" s="220"/>
      <c r="O43" s="220"/>
      <c r="P43" s="220"/>
      <c r="Q43" s="220"/>
      <c r="R43" s="220"/>
      <c r="S43" s="220"/>
      <c r="T43" s="220"/>
      <c r="U43" s="220"/>
      <c r="V43" s="220"/>
      <c r="W43" s="220"/>
    </row>
    <row r="44" ht="15.75" customHeight="1">
      <c r="A44" s="229" t="s">
        <v>1185</v>
      </c>
      <c r="B44" s="230"/>
      <c r="C44" s="231"/>
      <c r="D44" s="232" t="s">
        <v>216</v>
      </c>
      <c r="E44" s="231"/>
      <c r="F44" s="231"/>
      <c r="G44" s="233"/>
      <c r="H44" s="233"/>
      <c r="I44" s="258"/>
      <c r="J44" s="236"/>
      <c r="K44" s="237">
        <f t="shared" ref="K44:L44" si="5">SUBTOTAL(9,K45:K58)</f>
        <v>135.26151</v>
      </c>
      <c r="L44" s="237">
        <f t="shared" si="5"/>
        <v>8115.6906</v>
      </c>
      <c r="M44" s="220"/>
      <c r="N44" s="220"/>
      <c r="O44" s="220"/>
      <c r="P44" s="220"/>
      <c r="Q44" s="220"/>
      <c r="R44" s="220"/>
      <c r="S44" s="220"/>
      <c r="T44" s="220"/>
      <c r="U44" s="220"/>
      <c r="V44" s="220"/>
      <c r="W44" s="220"/>
    </row>
    <row r="45" ht="15.75" customHeight="1" outlineLevel="1">
      <c r="A45" s="213"/>
      <c r="B45" s="212" t="s">
        <v>1</v>
      </c>
      <c r="C45" s="213" t="s">
        <v>706</v>
      </c>
      <c r="D45" s="214" t="str">
        <f>IFERROR(VLOOKUP($C45,'PORTIFÓLIO'!C:V,2,0),"")</f>
        <v>GLUFOSINATO - SAL DE AMONIO</v>
      </c>
      <c r="E45" s="211">
        <f>IFERROR(VLOOKUP($C45,'PORTIFÓLIO'!C:V,3,0),"")</f>
        <v>880</v>
      </c>
      <c r="F45" s="211" t="str">
        <f>IFERROR(VLOOKUP($C45,'PORTIFÓLIO'!C:V,4,0),"")</f>
        <v>L</v>
      </c>
      <c r="G45" s="225" t="str">
        <f>IFERROR(VLOOKUP($C45,'PORTIFÓLIO'!C:V,5,0),"")</f>
        <v>📄 Ver bula</v>
      </c>
      <c r="H45" s="254">
        <f t="array" ref="H45">IFERROR(INDEX('PORTIFÓLIO'!$H$4:$H$433,MATCH($C45,'PORTIFÓLIO'!$C$4:$C$433,0)),"")</f>
        <v>0.5</v>
      </c>
      <c r="I45" s="255">
        <v>0.5</v>
      </c>
      <c r="J45" s="218">
        <f t="shared" ref="J45:J62" si="6">I45*$B$2</f>
        <v>30</v>
      </c>
      <c r="K45" s="219">
        <f t="array" ref="K45">IFERROR(I45*INDEX('PORTIFÓLIO'!$S$4:$S$433,MATCH($C45,'PORTIFÓLIO'!$C$4:$C$433,0)),"")</f>
        <v>23.49848</v>
      </c>
      <c r="L45" s="219">
        <f t="array" ref="L45">IFERROR(J45*INDEX('PORTIFÓLIO'!$S$4:$S$433,MATCH($C45,'PORTIFÓLIO'!$C$4:$C$433,0)),"")</f>
        <v>1409.9088</v>
      </c>
      <c r="M45" s="220"/>
      <c r="N45" s="220"/>
      <c r="O45" s="220"/>
      <c r="P45" s="220"/>
      <c r="Q45" s="220"/>
      <c r="R45" s="220"/>
      <c r="S45" s="220"/>
      <c r="T45" s="220"/>
      <c r="U45" s="220"/>
      <c r="V45" s="220"/>
      <c r="W45" s="220"/>
    </row>
    <row r="46" ht="15.75" customHeight="1" outlineLevel="1">
      <c r="A46" s="211"/>
      <c r="B46" s="212" t="s">
        <v>1</v>
      </c>
      <c r="C46" s="213" t="s">
        <v>695</v>
      </c>
      <c r="D46" s="214" t="str">
        <f>IFERROR(VLOOKUP($C46,'PORTIFÓLIO'!C:V,2,0),"")</f>
        <v>DIUROM + SULFENTRAZONA</v>
      </c>
      <c r="E46" s="211" t="str">
        <f>IFERROR(VLOOKUP($C46,'PORTIFÓLIO'!C:V,3,0),"")</f>
        <v>350 + 175</v>
      </c>
      <c r="F46" s="211" t="str">
        <f>IFERROR(VLOOKUP($C46,'PORTIFÓLIO'!C:V,4,0),"")</f>
        <v>L</v>
      </c>
      <c r="G46" s="225" t="str">
        <f>IFERROR(VLOOKUP($C46,'PORTIFÓLIO'!C:V,5,0),"")</f>
        <v>📄 Ver bula</v>
      </c>
      <c r="H46" s="254" t="str">
        <f t="array" ref="H46">IFERROR(INDEX('PORTIFÓLIO'!$H$4:$H$433,MATCH($C46,'PORTIFÓLIO'!$C$4:$C$433,0)),"")</f>
        <v/>
      </c>
      <c r="I46" s="255">
        <v>1.0</v>
      </c>
      <c r="J46" s="218">
        <f t="shared" si="6"/>
        <v>60</v>
      </c>
      <c r="K46" s="219">
        <f t="array" ref="K46">IFERROR(I46*INDEX('PORTIFÓLIO'!$S$4:$S$433,MATCH($C46,'PORTIFÓLIO'!$C$4:$C$433,0)),"")</f>
        <v>68.11118</v>
      </c>
      <c r="L46" s="219">
        <f t="array" ref="L46">IFERROR(J46*INDEX('PORTIFÓLIO'!$S$4:$S$433,MATCH($C46,'PORTIFÓLIO'!$C$4:$C$433,0)),"")</f>
        <v>4086.6708</v>
      </c>
      <c r="M46" s="220"/>
      <c r="N46" s="220"/>
      <c r="O46" s="220"/>
      <c r="P46" s="220"/>
      <c r="Q46" s="220"/>
      <c r="R46" s="220"/>
      <c r="S46" s="220"/>
      <c r="T46" s="220"/>
      <c r="U46" s="220"/>
      <c r="V46" s="220"/>
      <c r="W46" s="220"/>
    </row>
    <row r="47" ht="15.75" customHeight="1" outlineLevel="1">
      <c r="A47" s="211"/>
      <c r="B47" s="212" t="s">
        <v>1</v>
      </c>
      <c r="C47" s="213" t="s">
        <v>728</v>
      </c>
      <c r="D47" s="214" t="str">
        <f>IFERROR(VLOOKUP($C47,'PORTIFÓLIO'!C:V,2,0),"")</f>
        <v>S-METOLACLORO</v>
      </c>
      <c r="E47" s="211">
        <f>IFERROR(VLOOKUP($C47,'PORTIFÓLIO'!C:V,3,0),"")</f>
        <v>960</v>
      </c>
      <c r="F47" s="211" t="str">
        <f>IFERROR(VLOOKUP($C47,'PORTIFÓLIO'!C:V,4,0),"")</f>
        <v>KG</v>
      </c>
      <c r="G47" s="225" t="str">
        <f>IFERROR(VLOOKUP($C47,'PORTIFÓLIO'!C:V,5,0),"")</f>
        <v>📄 Ver bula</v>
      </c>
      <c r="H47" s="254">
        <f t="array" ref="H47">IFERROR(INDEX('PORTIFÓLIO'!$H$4:$H$433,MATCH($C47,'PORTIFÓLIO'!$C$4:$C$433,0)),"")</f>
        <v>2</v>
      </c>
      <c r="I47" s="255">
        <v>1.0</v>
      </c>
      <c r="J47" s="218">
        <f t="shared" si="6"/>
        <v>60</v>
      </c>
      <c r="K47" s="219">
        <f t="array" ref="K47">IFERROR(I47*INDEX('PORTIFÓLIO'!$S$4:$S$433,MATCH($C47,'PORTIFÓLIO'!$C$4:$C$433,0)),"")</f>
        <v>29.1273</v>
      </c>
      <c r="L47" s="219">
        <f t="array" ref="L47">IFERROR(J47*INDEX('PORTIFÓLIO'!$S$4:$S$433,MATCH($C47,'PORTIFÓLIO'!$C$4:$C$433,0)),"")</f>
        <v>1747.638</v>
      </c>
      <c r="M47" s="220"/>
      <c r="N47" s="220"/>
      <c r="O47" s="220"/>
      <c r="P47" s="220"/>
      <c r="Q47" s="220"/>
      <c r="R47" s="220"/>
      <c r="S47" s="220"/>
      <c r="T47" s="220"/>
      <c r="U47" s="220"/>
      <c r="V47" s="220"/>
      <c r="W47" s="220"/>
    </row>
    <row r="48" ht="15.75" customHeight="1" outlineLevel="1">
      <c r="A48" s="211"/>
      <c r="B48" s="212" t="s">
        <v>6</v>
      </c>
      <c r="C48" s="213" t="s">
        <v>354</v>
      </c>
      <c r="D48" s="214" t="str">
        <f>IFERROR(VLOOKUP($C48,'PORTIFÓLIO'!C:V,2,0),"")</f>
        <v>OLEO MINERAL</v>
      </c>
      <c r="E48" s="211">
        <f>IFERROR(VLOOKUP($C48,'PORTIFÓLIO'!C:V,3,0),"")</f>
        <v>761</v>
      </c>
      <c r="F48" s="211" t="str">
        <f>IFERROR(VLOOKUP($C48,'PORTIFÓLIO'!C:V,4,0),"")</f>
        <v>L</v>
      </c>
      <c r="G48" s="225" t="str">
        <f>IFERROR(VLOOKUP($C48,'PORTIFÓLIO'!C:V,5,0),"")</f>
        <v>📄 Ver bula</v>
      </c>
      <c r="H48" s="254">
        <f t="array" ref="H48">IFERROR(INDEX('PORTIFÓLIO'!$H$4:$H$433,MATCH($C48,'PORTIFÓLIO'!$C$4:$C$433,0)),"")</f>
        <v>0.2</v>
      </c>
      <c r="I48" s="255">
        <v>0.2</v>
      </c>
      <c r="J48" s="218">
        <f t="shared" si="6"/>
        <v>12</v>
      </c>
      <c r="K48" s="219">
        <f t="array" ref="K48">IFERROR(I48*INDEX('PORTIFÓLIO'!$S$4:$S$433,MATCH($C48,'PORTIFÓLIO'!$C$4:$C$433,0)),"")</f>
        <v>3.206</v>
      </c>
      <c r="L48" s="219">
        <f t="array" ref="L48">IFERROR(J48*INDEX('PORTIFÓLIO'!$S$4:$S$433,MATCH($C48,'PORTIFÓLIO'!$C$4:$C$433,0)),"")</f>
        <v>192.36</v>
      </c>
      <c r="M48" s="220"/>
      <c r="N48" s="220"/>
      <c r="O48" s="220"/>
      <c r="P48" s="220"/>
      <c r="Q48" s="220"/>
      <c r="R48" s="220"/>
      <c r="S48" s="220"/>
      <c r="T48" s="220"/>
      <c r="U48" s="220"/>
      <c r="V48" s="220"/>
      <c r="W48" s="220"/>
    </row>
    <row r="49" ht="15.75" customHeight="1" outlineLevel="1">
      <c r="A49" s="211"/>
      <c r="B49" s="212" t="s">
        <v>2</v>
      </c>
      <c r="C49" s="213" t="s">
        <v>824</v>
      </c>
      <c r="D49" s="214" t="str">
        <f>IFERROR(VLOOKUP($C49,'PORTIFÓLIO'!C:V,2,0),"")</f>
        <v>CLORANTRANILIPROLE</v>
      </c>
      <c r="E49" s="211">
        <f>IFERROR(VLOOKUP($C49,'PORTIFÓLIO'!C:V,3,0),"")</f>
        <v>200</v>
      </c>
      <c r="F49" s="211" t="str">
        <f>IFERROR(VLOOKUP($C49,'PORTIFÓLIO'!C:V,4,0),"")</f>
        <v>L</v>
      </c>
      <c r="G49" s="225" t="str">
        <f>IFERROR(VLOOKUP($C49,'PORTIFÓLIO'!C:V,5,0),"")</f>
        <v>📄 Ver bula</v>
      </c>
      <c r="H49" s="254">
        <f t="array" ref="H49">IFERROR(INDEX('PORTIFÓLIO'!$H$4:$H$433,MATCH($C49,'PORTIFÓLIO'!$C$4:$C$433,0)),"")</f>
        <v>0.1</v>
      </c>
      <c r="I49" s="255">
        <v>0.04</v>
      </c>
      <c r="J49" s="218">
        <f t="shared" si="6"/>
        <v>2.4</v>
      </c>
      <c r="K49" s="219">
        <f t="array" ref="K49">IFERROR(I49*INDEX('PORTIFÓLIO'!$S$4:$S$433,MATCH($C49,'PORTIFÓLIO'!$C$4:$C$433,0)),"")</f>
        <v>11.31855</v>
      </c>
      <c r="L49" s="219">
        <f t="array" ref="L49">IFERROR(J49*INDEX('PORTIFÓLIO'!$S$4:$S$433,MATCH($C49,'PORTIFÓLIO'!$C$4:$C$433,0)),"")</f>
        <v>679.113</v>
      </c>
      <c r="M49" s="220"/>
      <c r="N49" s="220"/>
      <c r="O49" s="220"/>
      <c r="P49" s="220"/>
      <c r="Q49" s="220"/>
      <c r="R49" s="220"/>
      <c r="S49" s="220"/>
      <c r="T49" s="220"/>
      <c r="U49" s="220"/>
      <c r="V49" s="220"/>
      <c r="W49" s="220"/>
    </row>
    <row r="50" ht="15.75" customHeight="1" outlineLevel="1">
      <c r="A50" s="211"/>
      <c r="B50" s="212"/>
      <c r="C50" s="213"/>
      <c r="D50" s="214" t="str">
        <f>IFERROR(VLOOKUP($C50,'PORTIFÓLIO'!C:V,2,0),"")</f>
        <v/>
      </c>
      <c r="E50" s="211" t="str">
        <f>IFERROR(VLOOKUP($C50,'PORTIFÓLIO'!C:V,3,0),"")</f>
        <v/>
      </c>
      <c r="F50" s="211" t="str">
        <f>IFERROR(VLOOKUP($C50,'PORTIFÓLIO'!C:V,4,0),"")</f>
        <v/>
      </c>
      <c r="G50" s="215" t="str">
        <f>IFERROR(VLOOKUP($C50,'PORTIFÓLIO'!C:V,5,0),"")</f>
        <v/>
      </c>
      <c r="H50" s="254" t="str">
        <f t="array" ref="H50">IFERROR(INDEX('PORTIFÓLIO'!$H$4:$H$433,MATCH($C50,'PORTIFÓLIO'!$C$4:$C$433,0)),"")</f>
        <v/>
      </c>
      <c r="I50" s="255">
        <v>0.03</v>
      </c>
      <c r="J50" s="218">
        <f t="shared" si="6"/>
        <v>1.8</v>
      </c>
      <c r="K50" s="219" t="str">
        <f t="array" ref="K50">IFERROR(I50*INDEX('PORTIFÓLIO'!$S$4:$S$433,MATCH($C50,'PORTIFÓLIO'!$C$4:$C$433,0)),"")</f>
        <v/>
      </c>
      <c r="L50" s="219" t="str">
        <f t="array" ref="L50">IFERROR(J50*INDEX('PORTIFÓLIO'!$S$4:$S$433,MATCH($C50,'PORTIFÓLIO'!$C$4:$C$433,0)),"")</f>
        <v/>
      </c>
      <c r="M50" s="220"/>
      <c r="N50" s="220"/>
      <c r="O50" s="220"/>
      <c r="P50" s="220"/>
      <c r="Q50" s="220"/>
      <c r="R50" s="220"/>
      <c r="S50" s="220"/>
      <c r="T50" s="220"/>
      <c r="U50" s="220"/>
      <c r="V50" s="220"/>
      <c r="W50" s="220"/>
    </row>
    <row r="51" ht="15.75" customHeight="1" outlineLevel="1">
      <c r="A51" s="211"/>
      <c r="B51" s="212"/>
      <c r="C51" s="213"/>
      <c r="D51" s="214" t="str">
        <f>IFERROR(VLOOKUP($C51,'PORTIFÓLIO'!C:V,2,0),"")</f>
        <v/>
      </c>
      <c r="E51" s="211" t="str">
        <f>IFERROR(VLOOKUP($C51,'PORTIFÓLIO'!C:V,3,0),"")</f>
        <v/>
      </c>
      <c r="F51" s="211" t="str">
        <f>IFERROR(VLOOKUP($C51,'PORTIFÓLIO'!C:V,4,0),"")</f>
        <v/>
      </c>
      <c r="G51" s="215" t="str">
        <f>IFERROR(VLOOKUP($C51,'PORTIFÓLIO'!C:V,5,0),"")</f>
        <v/>
      </c>
      <c r="H51" s="254" t="str">
        <f t="array" ref="H51">IFERROR(INDEX('PORTIFÓLIO'!$H$4:$H$433,MATCH($C51,'PORTIFÓLIO'!$C$4:$C$433,0)),"")</f>
        <v/>
      </c>
      <c r="I51" s="255"/>
      <c r="J51" s="218">
        <f t="shared" si="6"/>
        <v>0</v>
      </c>
      <c r="K51" s="219" t="str">
        <f t="array" ref="K51">IFERROR(I51*INDEX('PORTIFÓLIO'!$S$4:$S$433,MATCH($C51,'PORTIFÓLIO'!$C$4:$C$433,0)),"")</f>
        <v/>
      </c>
      <c r="L51" s="219" t="str">
        <f t="array" ref="L51">IFERROR(J51*INDEX('PORTIFÓLIO'!$S$4:$S$433,MATCH($C51,'PORTIFÓLIO'!$C$4:$C$433,0)),"")</f>
        <v/>
      </c>
      <c r="M51" s="220"/>
      <c r="N51" s="220"/>
      <c r="O51" s="220"/>
      <c r="P51" s="220"/>
      <c r="Q51" s="220"/>
      <c r="R51" s="220"/>
      <c r="S51" s="220"/>
      <c r="T51" s="220"/>
      <c r="U51" s="220"/>
      <c r="V51" s="220"/>
      <c r="W51" s="220"/>
    </row>
    <row r="52" ht="15.75" customHeight="1" outlineLevel="1">
      <c r="A52" s="211"/>
      <c r="B52" s="212"/>
      <c r="C52" s="213"/>
      <c r="D52" s="214" t="str">
        <f>IFERROR(VLOOKUP($C52,'PORTIFÓLIO'!C:V,2,0),"")</f>
        <v/>
      </c>
      <c r="E52" s="211" t="str">
        <f>IFERROR(VLOOKUP($C52,'PORTIFÓLIO'!C:V,3,0),"")</f>
        <v/>
      </c>
      <c r="F52" s="211" t="str">
        <f>IFERROR(VLOOKUP($C52,'PORTIFÓLIO'!C:V,4,0),"")</f>
        <v/>
      </c>
      <c r="G52" s="215" t="str">
        <f>IFERROR(VLOOKUP($C52,'PORTIFÓLIO'!C:V,5,0),"")</f>
        <v/>
      </c>
      <c r="H52" s="254" t="str">
        <f t="array" ref="H52">IFERROR(INDEX('PORTIFÓLIO'!$H$4:$H$433,MATCH($C52,'PORTIFÓLIO'!$C$4:$C$433,0)),"")</f>
        <v/>
      </c>
      <c r="I52" s="256"/>
      <c r="J52" s="218">
        <f t="shared" si="6"/>
        <v>0</v>
      </c>
      <c r="K52" s="219" t="str">
        <f t="array" ref="K52">IFERROR(I52*INDEX('PORTIFÓLIO'!$S$4:$S$433,MATCH($C52,'PORTIFÓLIO'!$C$4:$C$433,0)),"")</f>
        <v/>
      </c>
      <c r="L52" s="219" t="str">
        <f t="array" ref="L52">IFERROR(J52*INDEX('PORTIFÓLIO'!$S$4:$S$433,MATCH($C52,'PORTIFÓLIO'!$C$4:$C$433,0)),"")</f>
        <v/>
      </c>
      <c r="M52" s="220"/>
      <c r="N52" s="220"/>
      <c r="O52" s="220"/>
      <c r="P52" s="220"/>
      <c r="Q52" s="220"/>
      <c r="R52" s="220"/>
      <c r="S52" s="220"/>
      <c r="T52" s="220"/>
      <c r="U52" s="220"/>
      <c r="V52" s="220"/>
      <c r="W52" s="220"/>
    </row>
    <row r="53" ht="15.75" customHeight="1" outlineLevel="1">
      <c r="A53" s="211"/>
      <c r="B53" s="212"/>
      <c r="C53" s="213"/>
      <c r="D53" s="214" t="str">
        <f>IFERROR(VLOOKUP($C53,'PORTIFÓLIO'!C:V,2,0),"")</f>
        <v/>
      </c>
      <c r="E53" s="211" t="str">
        <f>IFERROR(VLOOKUP($C53,'PORTIFÓLIO'!C:V,3,0),"")</f>
        <v/>
      </c>
      <c r="F53" s="211" t="str">
        <f>IFERROR(VLOOKUP($C53,'PORTIFÓLIO'!C:V,4,0),"")</f>
        <v/>
      </c>
      <c r="G53" s="215" t="str">
        <f>IFERROR(VLOOKUP($C53,'PORTIFÓLIO'!C:V,5,0),"")</f>
        <v/>
      </c>
      <c r="H53" s="254" t="str">
        <f t="array" ref="H53">IFERROR(INDEX('PORTIFÓLIO'!$H$4:$H$433,MATCH($C53,'PORTIFÓLIO'!$C$4:$C$433,0)),"")</f>
        <v/>
      </c>
      <c r="I53" s="255"/>
      <c r="J53" s="218">
        <f t="shared" si="6"/>
        <v>0</v>
      </c>
      <c r="K53" s="219" t="str">
        <f t="array" ref="K53">IFERROR(I53*INDEX('PORTIFÓLIO'!$S$4:$S$433,MATCH($C53,'PORTIFÓLIO'!$C$4:$C$433,0)),"")</f>
        <v/>
      </c>
      <c r="L53" s="219" t="str">
        <f t="array" ref="L53">IFERROR(J53*INDEX('PORTIFÓLIO'!$S$4:$S$433,MATCH($C53,'PORTIFÓLIO'!$C$4:$C$433,0)),"")</f>
        <v/>
      </c>
      <c r="M53" s="220"/>
      <c r="N53" s="220"/>
      <c r="O53" s="220"/>
      <c r="P53" s="220"/>
      <c r="Q53" s="220"/>
      <c r="R53" s="220"/>
      <c r="S53" s="220"/>
      <c r="T53" s="220"/>
      <c r="U53" s="220"/>
      <c r="V53" s="220"/>
      <c r="W53" s="220"/>
    </row>
    <row r="54" ht="15.75" customHeight="1" outlineLevel="1">
      <c r="A54" s="211"/>
      <c r="B54" s="212"/>
      <c r="C54" s="213"/>
      <c r="D54" s="214" t="str">
        <f>IFERROR(VLOOKUP($C54,'PORTIFÓLIO'!C:V,2,0),"")</f>
        <v/>
      </c>
      <c r="E54" s="211" t="str">
        <f>IFERROR(VLOOKUP($C54,'PORTIFÓLIO'!C:V,3,0),"")</f>
        <v/>
      </c>
      <c r="F54" s="211" t="str">
        <f>IFERROR(VLOOKUP($C54,'PORTIFÓLIO'!C:V,4,0),"")</f>
        <v/>
      </c>
      <c r="G54" s="215" t="str">
        <f>IFERROR(VLOOKUP($C54,'PORTIFÓLIO'!C:V,5,0),"")</f>
        <v/>
      </c>
      <c r="H54" s="254" t="str">
        <f t="array" ref="H54">IFERROR(INDEX('PORTIFÓLIO'!$H$4:$H$433,MATCH($C54,'PORTIFÓLIO'!$C$4:$C$433,0)),"")</f>
        <v/>
      </c>
      <c r="I54" s="256"/>
      <c r="J54" s="218">
        <f t="shared" si="6"/>
        <v>0</v>
      </c>
      <c r="K54" s="219" t="str">
        <f t="array" ref="K54">IFERROR(I54*INDEX('PORTIFÓLIO'!$S$4:$S$433,MATCH($C54,'PORTIFÓLIO'!$C$4:$C$433,0)),"")</f>
        <v/>
      </c>
      <c r="L54" s="219" t="str">
        <f t="array" ref="L54">IFERROR(J54*INDEX('PORTIFÓLIO'!$S$4:$S$433,MATCH($C54,'PORTIFÓLIO'!$C$4:$C$433,0)),"")</f>
        <v/>
      </c>
      <c r="M54" s="220"/>
      <c r="N54" s="220"/>
      <c r="O54" s="220"/>
      <c r="P54" s="220"/>
      <c r="Q54" s="220"/>
      <c r="R54" s="220"/>
      <c r="S54" s="220"/>
      <c r="T54" s="220"/>
      <c r="U54" s="220"/>
      <c r="V54" s="220"/>
      <c r="W54" s="220"/>
    </row>
    <row r="55" ht="15.75" customHeight="1" outlineLevel="1">
      <c r="A55" s="211"/>
      <c r="B55" s="212"/>
      <c r="C55" s="213"/>
      <c r="D55" s="214" t="str">
        <f>IFERROR(VLOOKUP($C55,'PORTIFÓLIO'!C:V,2,0),"")</f>
        <v/>
      </c>
      <c r="E55" s="211" t="str">
        <f>IFERROR(VLOOKUP($C55,'PORTIFÓLIO'!C:V,3,0),"")</f>
        <v/>
      </c>
      <c r="F55" s="211" t="str">
        <f>IFERROR(VLOOKUP($C55,'PORTIFÓLIO'!C:V,4,0),"")</f>
        <v/>
      </c>
      <c r="G55" s="215" t="str">
        <f>IFERROR(VLOOKUP($C55,'PORTIFÓLIO'!C:V,5,0),"")</f>
        <v/>
      </c>
      <c r="H55" s="254" t="str">
        <f t="array" ref="H55">IFERROR(INDEX('PORTIFÓLIO'!$H$4:$H$433,MATCH($C55,'PORTIFÓLIO'!$C$4:$C$433,0)),"")</f>
        <v/>
      </c>
      <c r="I55" s="256"/>
      <c r="J55" s="218">
        <f t="shared" si="6"/>
        <v>0</v>
      </c>
      <c r="K55" s="219" t="str">
        <f t="array" ref="K55">IFERROR(I55*INDEX('PORTIFÓLIO'!$S$4:$S$433,MATCH($C55,'PORTIFÓLIO'!$C$4:$C$433,0)),"")</f>
        <v/>
      </c>
      <c r="L55" s="219" t="str">
        <f t="array" ref="L55">IFERROR(J55*INDEX('PORTIFÓLIO'!$S$4:$S$433,MATCH($C55,'PORTIFÓLIO'!$C$4:$C$433,0)),"")</f>
        <v/>
      </c>
      <c r="M55" s="220"/>
      <c r="N55" s="220"/>
      <c r="O55" s="220"/>
      <c r="P55" s="220"/>
      <c r="Q55" s="220"/>
      <c r="R55" s="220"/>
      <c r="S55" s="220"/>
      <c r="T55" s="220"/>
      <c r="U55" s="220"/>
      <c r="V55" s="220"/>
      <c r="W55" s="220"/>
    </row>
    <row r="56" ht="15.75" customHeight="1" outlineLevel="1">
      <c r="A56" s="211"/>
      <c r="B56" s="212"/>
      <c r="C56" s="213"/>
      <c r="D56" s="214" t="str">
        <f>IFERROR(VLOOKUP($C56,'PORTIFÓLIO'!C:V,2,0),"")</f>
        <v/>
      </c>
      <c r="E56" s="211" t="str">
        <f>IFERROR(VLOOKUP($C56,'PORTIFÓLIO'!C:V,3,0),"")</f>
        <v/>
      </c>
      <c r="F56" s="211" t="str">
        <f>IFERROR(VLOOKUP($C56,'PORTIFÓLIO'!C:V,4,0),"")</f>
        <v/>
      </c>
      <c r="G56" s="215" t="str">
        <f>IFERROR(VLOOKUP($C56,'PORTIFÓLIO'!C:V,5,0),"")</f>
        <v/>
      </c>
      <c r="H56" s="254" t="str">
        <f t="array" ref="H56">IFERROR(INDEX('PORTIFÓLIO'!$H$4:$H$433,MATCH($C56,'PORTIFÓLIO'!$C$4:$C$433,0)),"")</f>
        <v/>
      </c>
      <c r="I56" s="256"/>
      <c r="J56" s="218">
        <f t="shared" si="6"/>
        <v>0</v>
      </c>
      <c r="K56" s="219" t="str">
        <f t="array" ref="K56">IFERROR(I56*INDEX('PORTIFÓLIO'!$S$4:$S$433,MATCH($C56,'PORTIFÓLIO'!$C$4:$C$433,0)),"")</f>
        <v/>
      </c>
      <c r="L56" s="219" t="str">
        <f t="array" ref="L56">IFERROR(J56*INDEX('PORTIFÓLIO'!$S$4:$S$433,MATCH($C56,'PORTIFÓLIO'!$C$4:$C$433,0)),"")</f>
        <v/>
      </c>
      <c r="M56" s="220"/>
      <c r="N56" s="220"/>
      <c r="O56" s="220"/>
      <c r="P56" s="220"/>
      <c r="Q56" s="220"/>
      <c r="R56" s="220"/>
      <c r="S56" s="220"/>
      <c r="T56" s="220"/>
      <c r="U56" s="220"/>
      <c r="V56" s="220"/>
      <c r="W56" s="220"/>
    </row>
    <row r="57" ht="15.75" customHeight="1" outlineLevel="1">
      <c r="A57" s="211"/>
      <c r="B57" s="212"/>
      <c r="C57" s="213"/>
      <c r="D57" s="214" t="str">
        <f>IFERROR(VLOOKUP($C57,'PORTIFÓLIO'!C:V,2,0),"")</f>
        <v/>
      </c>
      <c r="E57" s="211" t="str">
        <f>IFERROR(VLOOKUP($C57,'PORTIFÓLIO'!C:V,3,0),"")</f>
        <v/>
      </c>
      <c r="F57" s="211" t="str">
        <f>IFERROR(VLOOKUP($C57,'PORTIFÓLIO'!C:V,4,0),"")</f>
        <v/>
      </c>
      <c r="G57" s="215" t="str">
        <f>IFERROR(VLOOKUP($C57,'PORTIFÓLIO'!C:V,5,0),"")</f>
        <v/>
      </c>
      <c r="H57" s="254" t="str">
        <f t="array" ref="H57">IFERROR(INDEX('PORTIFÓLIO'!$H$4:$H$433,MATCH($C57,'PORTIFÓLIO'!$C$4:$C$433,0)),"")</f>
        <v/>
      </c>
      <c r="I57" s="256"/>
      <c r="J57" s="218">
        <f t="shared" si="6"/>
        <v>0</v>
      </c>
      <c r="K57" s="219" t="str">
        <f t="array" ref="K57">IFERROR(I57*INDEX('PORTIFÓLIO'!$S$4:$S$433,MATCH($C57,'PORTIFÓLIO'!$C$4:$C$433,0)),"")</f>
        <v/>
      </c>
      <c r="L57" s="219" t="str">
        <f t="array" ref="L57">IFERROR(J57*INDEX('PORTIFÓLIO'!$S$4:$S$433,MATCH($C57,'PORTIFÓLIO'!$C$4:$C$433,0)),"")</f>
        <v/>
      </c>
      <c r="M57" s="220"/>
      <c r="N57" s="220"/>
      <c r="O57" s="220"/>
      <c r="P57" s="220"/>
      <c r="Q57" s="220"/>
      <c r="R57" s="220"/>
      <c r="S57" s="220"/>
      <c r="T57" s="220"/>
      <c r="U57" s="220"/>
      <c r="V57" s="220"/>
      <c r="W57" s="220"/>
    </row>
    <row r="58" ht="15.75" customHeight="1" outlineLevel="1">
      <c r="A58" s="211"/>
      <c r="B58" s="212"/>
      <c r="C58" s="213"/>
      <c r="D58" s="214" t="str">
        <f>IFERROR(VLOOKUP($C58,'PORTIFÓLIO'!C:V,2,0),"")</f>
        <v/>
      </c>
      <c r="E58" s="211" t="str">
        <f>IFERROR(VLOOKUP($C58,'PORTIFÓLIO'!C:V,3,0),"")</f>
        <v/>
      </c>
      <c r="F58" s="211" t="str">
        <f>IFERROR(VLOOKUP($C58,'PORTIFÓLIO'!C:V,4,0),"")</f>
        <v/>
      </c>
      <c r="G58" s="215" t="str">
        <f>IFERROR(VLOOKUP($C58,'PORTIFÓLIO'!C:V,5,0),"")</f>
        <v/>
      </c>
      <c r="H58" s="254" t="str">
        <f t="array" ref="H58">IFERROR(INDEX('PORTIFÓLIO'!$H$4:$H$433,MATCH($C58,'PORTIFÓLIO'!$C$4:$C$433,0)),"")</f>
        <v/>
      </c>
      <c r="I58" s="256"/>
      <c r="J58" s="218">
        <f t="shared" si="6"/>
        <v>0</v>
      </c>
      <c r="K58" s="219" t="str">
        <f t="array" ref="K58">IFERROR(I58*INDEX('PORTIFÓLIO'!$S$4:$S$433,MATCH($C58,'PORTIFÓLIO'!$C$4:$C$433,0)),"")</f>
        <v/>
      </c>
      <c r="L58" s="219" t="str">
        <f t="array" ref="L58">IFERROR(J58*INDEX('PORTIFÓLIO'!$S$4:$S$433,MATCH($C58,'PORTIFÓLIO'!$C$4:$C$433,0)),"")</f>
        <v/>
      </c>
      <c r="M58" s="220"/>
      <c r="N58" s="220"/>
      <c r="O58" s="220"/>
      <c r="P58" s="220"/>
      <c r="Q58" s="220"/>
      <c r="R58" s="220"/>
      <c r="S58" s="220"/>
      <c r="T58" s="220"/>
      <c r="U58" s="220"/>
      <c r="V58" s="220"/>
      <c r="W58" s="220"/>
    </row>
    <row r="59" ht="15.75" customHeight="1" outlineLevel="1">
      <c r="A59" s="211"/>
      <c r="B59" s="212"/>
      <c r="C59" s="213"/>
      <c r="D59" s="214" t="str">
        <f>IFERROR(VLOOKUP($C59,'PORTIFÓLIO'!C:V,2,0),"")</f>
        <v/>
      </c>
      <c r="E59" s="211" t="str">
        <f>IFERROR(VLOOKUP($C59,'PORTIFÓLIO'!C:V,3,0),"")</f>
        <v/>
      </c>
      <c r="F59" s="211" t="str">
        <f>IFERROR(VLOOKUP($C59,'PORTIFÓLIO'!C:V,4,0),"")</f>
        <v/>
      </c>
      <c r="G59" s="215" t="str">
        <f>IFERROR(VLOOKUP($C59,'PORTIFÓLIO'!C:V,5,0),"")</f>
        <v/>
      </c>
      <c r="H59" s="254" t="str">
        <f t="array" ref="H59">IFERROR(INDEX('PORTIFÓLIO'!$H$4:$H$433,MATCH($C59,'PORTIFÓLIO'!$C$4:$C$433,0)),"")</f>
        <v/>
      </c>
      <c r="I59" s="256"/>
      <c r="J59" s="218">
        <f t="shared" si="6"/>
        <v>0</v>
      </c>
      <c r="K59" s="219" t="str">
        <f t="array" ref="K59">IFERROR(I59*INDEX('PORTIFÓLIO'!$S$4:$S$433,MATCH($C59,'PORTIFÓLIO'!$C$4:$C$433,0)),"")</f>
        <v/>
      </c>
      <c r="L59" s="219" t="str">
        <f t="array" ref="L59">IFERROR(J59*INDEX('PORTIFÓLIO'!$S$4:$S$433,MATCH($C59,'PORTIFÓLIO'!$C$4:$C$433,0)),"")</f>
        <v/>
      </c>
      <c r="M59" s="220"/>
      <c r="N59" s="220"/>
      <c r="O59" s="220"/>
      <c r="P59" s="220"/>
      <c r="Q59" s="220"/>
      <c r="R59" s="220"/>
      <c r="S59" s="220"/>
      <c r="T59" s="220"/>
      <c r="U59" s="220"/>
      <c r="V59" s="220"/>
      <c r="W59" s="220"/>
    </row>
    <row r="60" ht="15.75" customHeight="1" outlineLevel="1">
      <c r="A60" s="211"/>
      <c r="B60" s="212"/>
      <c r="C60" s="213"/>
      <c r="D60" s="214" t="str">
        <f>IFERROR(VLOOKUP($C60,'PORTIFÓLIO'!C:V,2,0),"")</f>
        <v/>
      </c>
      <c r="E60" s="211" t="str">
        <f>IFERROR(VLOOKUP($C60,'PORTIFÓLIO'!C:V,3,0),"")</f>
        <v/>
      </c>
      <c r="F60" s="211" t="str">
        <f>IFERROR(VLOOKUP($C60,'PORTIFÓLIO'!C:V,4,0),"")</f>
        <v/>
      </c>
      <c r="G60" s="215" t="str">
        <f>IFERROR(VLOOKUP($C60,'PORTIFÓLIO'!C:V,5,0),"")</f>
        <v/>
      </c>
      <c r="H60" s="254" t="str">
        <f t="array" ref="H60">IFERROR(INDEX('PORTIFÓLIO'!$H$4:$H$433,MATCH($C60,'PORTIFÓLIO'!$C$4:$C$433,0)),"")</f>
        <v/>
      </c>
      <c r="I60" s="256"/>
      <c r="J60" s="218">
        <f t="shared" si="6"/>
        <v>0</v>
      </c>
      <c r="K60" s="219" t="str">
        <f t="array" ref="K60">IFERROR(I60*INDEX('PORTIFÓLIO'!$S$4:$S$433,MATCH($C60,'PORTIFÓLIO'!$C$4:$C$433,0)),"")</f>
        <v/>
      </c>
      <c r="L60" s="219" t="str">
        <f t="array" ref="L60">IFERROR(J60*INDEX('PORTIFÓLIO'!$S$4:$S$433,MATCH($C60,'PORTIFÓLIO'!$C$4:$C$433,0)),"")</f>
        <v/>
      </c>
      <c r="M60" s="220"/>
      <c r="N60" s="220"/>
      <c r="O60" s="220"/>
      <c r="P60" s="220"/>
      <c r="Q60" s="220"/>
      <c r="R60" s="220"/>
      <c r="S60" s="220"/>
      <c r="T60" s="220"/>
      <c r="U60" s="220"/>
      <c r="V60" s="220"/>
      <c r="W60" s="220"/>
    </row>
    <row r="61" ht="15.75" customHeight="1" outlineLevel="1">
      <c r="A61" s="211"/>
      <c r="B61" s="212"/>
      <c r="C61" s="213"/>
      <c r="D61" s="214" t="str">
        <f>IFERROR(VLOOKUP($C61,'PORTIFÓLIO'!C:V,2,0),"")</f>
        <v/>
      </c>
      <c r="E61" s="211" t="str">
        <f>IFERROR(VLOOKUP($C61,'PORTIFÓLIO'!C:V,3,0),"")</f>
        <v/>
      </c>
      <c r="F61" s="211" t="str">
        <f>IFERROR(VLOOKUP($C61,'PORTIFÓLIO'!C:V,4,0),"")</f>
        <v/>
      </c>
      <c r="G61" s="215" t="str">
        <f>IFERROR(VLOOKUP($C61,'PORTIFÓLIO'!C:V,5,0),"")</f>
        <v/>
      </c>
      <c r="H61" s="254" t="str">
        <f t="array" ref="H61">IFERROR(INDEX('PORTIFÓLIO'!$H$4:$H$433,MATCH($C61,'PORTIFÓLIO'!$C$4:$C$433,0)),"")</f>
        <v/>
      </c>
      <c r="I61" s="256"/>
      <c r="J61" s="218">
        <f t="shared" si="6"/>
        <v>0</v>
      </c>
      <c r="K61" s="219" t="str">
        <f t="array" ref="K61">IFERROR(I61*INDEX('PORTIFÓLIO'!$S$4:$S$433,MATCH($C61,'PORTIFÓLIO'!$C$4:$C$433,0)),"")</f>
        <v/>
      </c>
      <c r="L61" s="219" t="str">
        <f t="array" ref="L61">IFERROR(J61*INDEX('PORTIFÓLIO'!$S$4:$S$433,MATCH($C61,'PORTIFÓLIO'!$C$4:$C$433,0)),"")</f>
        <v/>
      </c>
      <c r="M61" s="220"/>
      <c r="N61" s="220"/>
      <c r="O61" s="220"/>
      <c r="P61" s="220"/>
      <c r="Q61" s="220"/>
      <c r="R61" s="220"/>
      <c r="S61" s="220"/>
      <c r="T61" s="220"/>
      <c r="U61" s="220"/>
      <c r="V61" s="220"/>
      <c r="W61" s="220"/>
    </row>
    <row r="62" ht="15.75" customHeight="1" outlineLevel="1">
      <c r="A62" s="211"/>
      <c r="B62" s="212"/>
      <c r="C62" s="213"/>
      <c r="D62" s="214" t="str">
        <f>IFERROR(VLOOKUP($C62,'PORTIFÓLIO'!C:V,2,0),"")</f>
        <v/>
      </c>
      <c r="E62" s="211" t="str">
        <f>IFERROR(VLOOKUP($C62,'PORTIFÓLIO'!C:V,3,0),"")</f>
        <v/>
      </c>
      <c r="F62" s="211" t="str">
        <f>IFERROR(VLOOKUP($C62,'PORTIFÓLIO'!C:V,4,0),"")</f>
        <v/>
      </c>
      <c r="G62" s="215" t="str">
        <f>IFERROR(VLOOKUP($C62,'PORTIFÓLIO'!C:V,5,0),"")</f>
        <v/>
      </c>
      <c r="H62" s="254" t="str">
        <f t="array" ref="H62">IFERROR(INDEX('PORTIFÓLIO'!$H$4:$H$433,MATCH($C62,'PORTIFÓLIO'!$C$4:$C$433,0)),"")</f>
        <v/>
      </c>
      <c r="I62" s="256"/>
      <c r="J62" s="218">
        <f t="shared" si="6"/>
        <v>0</v>
      </c>
      <c r="K62" s="219" t="str">
        <f t="array" ref="K62">IFERROR(I62*INDEX('PORTIFÓLIO'!$S$4:$S$433,MATCH($C62,'PORTIFÓLIO'!$C$4:$C$433,0)),"")</f>
        <v/>
      </c>
      <c r="L62" s="219" t="str">
        <f t="array" ref="L62">IFERROR(J62*INDEX('PORTIFÓLIO'!$S$4:$S$433,MATCH($C62,'PORTIFÓLIO'!$C$4:$C$433,0)),"")</f>
        <v/>
      </c>
      <c r="M62" s="220"/>
      <c r="N62" s="220"/>
      <c r="O62" s="220"/>
      <c r="P62" s="220"/>
      <c r="Q62" s="220"/>
      <c r="R62" s="220"/>
      <c r="S62" s="220"/>
      <c r="T62" s="220"/>
      <c r="U62" s="220"/>
      <c r="V62" s="220"/>
      <c r="W62" s="220"/>
    </row>
    <row r="63" ht="15.75" customHeight="1">
      <c r="A63" s="229" t="s">
        <v>1186</v>
      </c>
      <c r="B63" s="230"/>
      <c r="C63" s="231"/>
      <c r="D63" s="232"/>
      <c r="E63" s="231"/>
      <c r="F63" s="231"/>
      <c r="G63" s="233"/>
      <c r="H63" s="233"/>
      <c r="I63" s="258"/>
      <c r="J63" s="236"/>
      <c r="K63" s="237">
        <f t="shared" ref="K63:L63" si="7">SUBTOTAL(9,K64:K76)</f>
        <v>442.19122</v>
      </c>
      <c r="L63" s="237">
        <f t="shared" si="7"/>
        <v>26531.4732</v>
      </c>
      <c r="M63" s="220"/>
      <c r="N63" s="220"/>
      <c r="O63" s="220"/>
      <c r="P63" s="220"/>
      <c r="Q63" s="220"/>
      <c r="R63" s="220"/>
      <c r="S63" s="220"/>
      <c r="T63" s="220"/>
      <c r="U63" s="220"/>
      <c r="V63" s="220"/>
      <c r="W63" s="220"/>
    </row>
    <row r="64" ht="15.75" customHeight="1" outlineLevel="1">
      <c r="A64" s="213"/>
      <c r="B64" s="212" t="s">
        <v>5</v>
      </c>
      <c r="C64" s="213" t="s">
        <v>1057</v>
      </c>
      <c r="D64" s="214" t="str">
        <f>IFERROR(VLOOKUP($C64,'PORTIFÓLIO'!C:V,2,0),"")</f>
        <v/>
      </c>
      <c r="E64" s="211" t="str">
        <f>IFERROR(VLOOKUP($C64,'PORTIFÓLIO'!C:V,3,0),"")</f>
        <v/>
      </c>
      <c r="F64" s="211" t="str">
        <f>IFERROR(VLOOKUP($C64,'PORTIFÓLIO'!C:V,4,0),"")</f>
        <v>5MM</v>
      </c>
      <c r="G64" s="225" t="str">
        <f>IFERROR(VLOOKUP($C64,'PORTIFÓLIO'!C:V,5,0),"")</f>
        <v>📄 Ver bula</v>
      </c>
      <c r="H64" s="254" t="str">
        <f t="array" ref="H64">IFERROR(INDEX('PORTIFÓLIO'!$H$4:$H$433,MATCH($C64,'PORTIFÓLIO'!$C$4:$C$433,0)),"")</f>
        <v/>
      </c>
      <c r="I64" s="255">
        <v>0.04</v>
      </c>
      <c r="J64" s="218">
        <f t="shared" ref="J64:J80" si="8">I64*$B$2</f>
        <v>2.4</v>
      </c>
      <c r="K64" s="219">
        <f t="array" ref="K64">IFERROR(I64*INDEX('PORTIFÓLIO'!$S$4:$S$433,MATCH($C64,'PORTIFÓLIO'!$C$4:$C$433,0)),"")</f>
        <v>0</v>
      </c>
      <c r="L64" s="219">
        <f t="array" ref="L64">IFERROR(J64*INDEX('PORTIFÓLIO'!$S$4:$S$433,MATCH($C64,'PORTIFÓLIO'!$C$4:$C$433,0)),"")</f>
        <v>0</v>
      </c>
      <c r="M64" s="220"/>
      <c r="N64" s="220"/>
      <c r="O64" s="220"/>
      <c r="P64" s="220"/>
      <c r="Q64" s="220"/>
      <c r="R64" s="220"/>
      <c r="S64" s="220"/>
      <c r="T64" s="220"/>
      <c r="U64" s="220"/>
      <c r="V64" s="220"/>
      <c r="W64" s="220"/>
    </row>
    <row r="65" ht="15.75" customHeight="1" outlineLevel="1">
      <c r="A65" s="211"/>
      <c r="B65" s="212" t="s">
        <v>3</v>
      </c>
      <c r="C65" s="213" t="s">
        <v>1011</v>
      </c>
      <c r="D65" s="214" t="str">
        <f>IFERROR(VLOOKUP($C65,'PORTIFÓLIO'!C:V,2,0),"")</f>
        <v>METALAXIL-M + TIABENDAZOL + FLUDIOXONIL +
 TIAMETOXAM</v>
      </c>
      <c r="E65" s="211" t="str">
        <f>IFERROR(VLOOKUP($C65,'PORTIFÓLIO'!C:V,3,0),"")</f>
        <v>20 + 150 + 25 + 350</v>
      </c>
      <c r="F65" s="211" t="str">
        <f>IFERROR(VLOOKUP($C65,'PORTIFÓLIO'!C:V,4,0),"")</f>
        <v/>
      </c>
      <c r="G65" s="225" t="str">
        <f>IFERROR(VLOOKUP($C65,'PORTIFÓLIO'!C:V,5,0),"")</f>
        <v>📄 Ver bula</v>
      </c>
      <c r="H65" s="254">
        <f t="array" ref="H65">IFERROR(INDEX('PORTIFÓLIO'!$H$4:$H$433,MATCH($C65,'PORTIFÓLIO'!$C$4:$C$433,0)),"")</f>
        <v>0.05</v>
      </c>
      <c r="I65" s="255">
        <v>0.05</v>
      </c>
      <c r="J65" s="218">
        <f t="shared" si="8"/>
        <v>3</v>
      </c>
      <c r="K65" s="219">
        <f t="array" ref="K65">IFERROR(I65*INDEX('PORTIFÓLIO'!$S$4:$S$433,MATCH($C65,'PORTIFÓLIO'!$C$4:$C$433,0)),"")</f>
        <v>25.27</v>
      </c>
      <c r="L65" s="219">
        <f t="array" ref="L65">IFERROR(J65*INDEX('PORTIFÓLIO'!$S$4:$S$433,MATCH($C65,'PORTIFÓLIO'!$C$4:$C$433,0)),"")</f>
        <v>1516.2</v>
      </c>
      <c r="M65" s="220"/>
      <c r="N65" s="220"/>
      <c r="O65" s="220"/>
      <c r="P65" s="220"/>
      <c r="Q65" s="220"/>
      <c r="R65" s="220"/>
      <c r="S65" s="220"/>
      <c r="T65" s="220"/>
      <c r="U65" s="220"/>
      <c r="V65" s="220"/>
      <c r="W65" s="220"/>
    </row>
    <row r="66" ht="15.75" customHeight="1" outlineLevel="1">
      <c r="A66" s="211"/>
      <c r="B66" s="212" t="s">
        <v>3</v>
      </c>
      <c r="C66" s="213" t="s">
        <v>1007</v>
      </c>
      <c r="D66" s="214" t="str">
        <f>IFERROR(VLOOKUP($C66,'PORTIFÓLIO'!C:V,2,0),"")</f>
        <v>DIFENOCONAZOL</v>
      </c>
      <c r="E66" s="211">
        <f>IFERROR(VLOOKUP($C66,'PORTIFÓLIO'!C:V,3,0),"")</f>
        <v>150</v>
      </c>
      <c r="F66" s="211" t="str">
        <f>IFERROR(VLOOKUP($C66,'PORTIFÓLIO'!C:V,4,0),"")</f>
        <v/>
      </c>
      <c r="G66" s="225" t="str">
        <f>IFERROR(VLOOKUP($C66,'PORTIFÓLIO'!C:V,5,0),"")</f>
        <v>📄 Ver bula</v>
      </c>
      <c r="H66" s="254">
        <f t="array" ref="H66">IFERROR(INDEX('PORTIFÓLIO'!$H$4:$H$433,MATCH($C66,'PORTIFÓLIO'!$C$4:$C$433,0)),"")</f>
        <v>0.015</v>
      </c>
      <c r="I66" s="255">
        <v>0.02</v>
      </c>
      <c r="J66" s="218">
        <f t="shared" si="8"/>
        <v>1.2</v>
      </c>
      <c r="K66" s="219">
        <f t="array" ref="K66">IFERROR(I66*INDEX('PORTIFÓLIO'!$S$4:$S$433,MATCH($C66,'PORTIFÓLIO'!$C$4:$C$433,0)),"")</f>
        <v>1.78486</v>
      </c>
      <c r="L66" s="219">
        <f t="array" ref="L66">IFERROR(J66*INDEX('PORTIFÓLIO'!$S$4:$S$433,MATCH($C66,'PORTIFÓLIO'!$C$4:$C$433,0)),"")</f>
        <v>107.0916</v>
      </c>
      <c r="M66" s="220"/>
      <c r="N66" s="220"/>
      <c r="O66" s="220"/>
      <c r="P66" s="220"/>
      <c r="Q66" s="220"/>
      <c r="R66" s="220"/>
      <c r="S66" s="220"/>
      <c r="T66" s="220"/>
      <c r="U66" s="220"/>
      <c r="V66" s="220"/>
      <c r="W66" s="220"/>
    </row>
    <row r="67" ht="15.75" customHeight="1" outlineLevel="1">
      <c r="A67" s="211"/>
      <c r="B67" s="212" t="s">
        <v>3</v>
      </c>
      <c r="C67" s="213" t="s">
        <v>1005</v>
      </c>
      <c r="D67" s="214" t="str">
        <f>IFERROR(VLOOKUP($C67,'PORTIFÓLIO'!C:V,2,0),"")</f>
        <v>CICLOBUTRIFLURAM</v>
      </c>
      <c r="E67" s="211">
        <f>IFERROR(VLOOKUP($C67,'PORTIFÓLIO'!C:V,3,0),"")</f>
        <v>500</v>
      </c>
      <c r="F67" s="211" t="str">
        <f>IFERROR(VLOOKUP($C67,'PORTIFÓLIO'!C:V,4,0),"")</f>
        <v/>
      </c>
      <c r="G67" s="225" t="str">
        <f>IFERROR(VLOOKUP($C67,'PORTIFÓLIO'!C:V,5,0),"")</f>
        <v>📄 Ver bula</v>
      </c>
      <c r="H67" s="254">
        <f t="array" ref="H67">IFERROR(INDEX('PORTIFÓLIO'!$H$4:$H$433,MATCH($C67,'PORTIFÓLIO'!$C$4:$C$433,0)),"")</f>
        <v>0.02</v>
      </c>
      <c r="I67" s="255">
        <v>0.04</v>
      </c>
      <c r="J67" s="218">
        <f t="shared" si="8"/>
        <v>2.4</v>
      </c>
      <c r="K67" s="219">
        <f t="array" ref="K67">IFERROR(I67*INDEX('PORTIFÓLIO'!$S$4:$S$433,MATCH($C67,'PORTIFÓLIO'!$C$4:$C$433,0)),"")</f>
        <v>175.41636</v>
      </c>
      <c r="L67" s="219">
        <f t="array" ref="L67">IFERROR(J67*INDEX('PORTIFÓLIO'!$S$4:$S$433,MATCH($C67,'PORTIFÓLIO'!$C$4:$C$433,0)),"")</f>
        <v>10524.9816</v>
      </c>
      <c r="M67" s="220"/>
      <c r="N67" s="220"/>
      <c r="O67" s="220"/>
      <c r="P67" s="220"/>
      <c r="Q67" s="220"/>
      <c r="R67" s="220"/>
      <c r="S67" s="220"/>
      <c r="T67" s="220"/>
      <c r="U67" s="220"/>
      <c r="V67" s="220"/>
      <c r="W67" s="220"/>
    </row>
    <row r="68" ht="15.75" customHeight="1" outlineLevel="1">
      <c r="A68" s="211"/>
      <c r="B68" s="212" t="s">
        <v>4</v>
      </c>
      <c r="C68" s="213" t="s">
        <v>1094</v>
      </c>
      <c r="D68" s="214" t="str">
        <f>IFERROR(VLOOKUP($C68,'PORTIFÓLIO'!C:V,2,0),"")</f>
        <v>Bradyrhizobium sp.</v>
      </c>
      <c r="E68" s="211" t="str">
        <f>IFERROR(VLOOKUP($C68,'PORTIFÓLIO'!C:V,3,0),"")</f>
        <v/>
      </c>
      <c r="F68" s="211" t="str">
        <f>IFERROR(VLOOKUP($C68,'PORTIFÓLIO'!C:V,4,0),"")</f>
        <v>L</v>
      </c>
      <c r="G68" s="225" t="str">
        <f>IFERROR(VLOOKUP($C68,'PORTIFÓLIO'!C:V,5,0),"")</f>
        <v>📄 Ver bula</v>
      </c>
      <c r="H68" s="254">
        <f t="array" ref="H68">IFERROR(INDEX('PORTIFÓLIO'!$H$4:$H$433,MATCH($C68,'PORTIFÓLIO'!$C$4:$C$433,0)),"")</f>
        <v>2</v>
      </c>
      <c r="I68" s="255">
        <v>4.0</v>
      </c>
      <c r="J68" s="218">
        <f t="shared" si="8"/>
        <v>240</v>
      </c>
      <c r="K68" s="219">
        <f t="array" ref="K68">IFERROR(I68*INDEX('PORTIFÓLIO'!$S$4:$S$433,MATCH($C68,'PORTIFÓLIO'!$C$4:$C$433,0)),"")</f>
        <v>104</v>
      </c>
      <c r="L68" s="219">
        <f t="array" ref="L68">IFERROR(J68*INDEX('PORTIFÓLIO'!$S$4:$S$433,MATCH($C68,'PORTIFÓLIO'!$C$4:$C$433,0)),"")</f>
        <v>6240</v>
      </c>
      <c r="M68" s="220"/>
      <c r="N68" s="220"/>
      <c r="O68" s="220"/>
      <c r="P68" s="220"/>
      <c r="Q68" s="220"/>
      <c r="R68" s="220"/>
      <c r="S68" s="220"/>
      <c r="T68" s="220"/>
      <c r="U68" s="220"/>
      <c r="V68" s="220"/>
      <c r="W68" s="220"/>
    </row>
    <row r="69" ht="15.75" customHeight="1" outlineLevel="1">
      <c r="A69" s="211"/>
      <c r="B69" s="212" t="s">
        <v>4</v>
      </c>
      <c r="C69" s="213" t="s">
        <v>1092</v>
      </c>
      <c r="D69" s="214" t="str">
        <f>IFERROR(VLOOKUP($C69,'PORTIFÓLIO'!C:V,2,0),"")</f>
        <v>Azospirillum brasiliense</v>
      </c>
      <c r="E69" s="211" t="str">
        <f>IFERROR(VLOOKUP($C69,'PORTIFÓLIO'!C:V,3,0),"")</f>
        <v/>
      </c>
      <c r="F69" s="211" t="str">
        <f>IFERROR(VLOOKUP($C69,'PORTIFÓLIO'!C:V,4,0),"")</f>
        <v>L</v>
      </c>
      <c r="G69" s="225" t="str">
        <f>IFERROR(VLOOKUP($C69,'PORTIFÓLIO'!C:V,5,0),"")</f>
        <v>📄 Ver bula</v>
      </c>
      <c r="H69" s="254">
        <f t="array" ref="H69">IFERROR(INDEX('PORTIFÓLIO'!$H$4:$H$433,MATCH($C69,'PORTIFÓLIO'!$C$4:$C$433,0)),"")</f>
        <v>2</v>
      </c>
      <c r="I69" s="255">
        <v>1.0</v>
      </c>
      <c r="J69" s="218">
        <f t="shared" si="8"/>
        <v>60</v>
      </c>
      <c r="K69" s="219">
        <f t="array" ref="K69">IFERROR(I69*INDEX('PORTIFÓLIO'!$S$4:$S$433,MATCH($C69,'PORTIFÓLIO'!$C$4:$C$433,0)),"")</f>
        <v>36.4</v>
      </c>
      <c r="L69" s="219">
        <f t="array" ref="L69">IFERROR(J69*INDEX('PORTIFÓLIO'!$S$4:$S$433,MATCH($C69,'PORTIFÓLIO'!$C$4:$C$433,0)),"")</f>
        <v>2184</v>
      </c>
      <c r="M69" s="220"/>
      <c r="N69" s="220"/>
      <c r="O69" s="220"/>
      <c r="P69" s="220"/>
      <c r="Q69" s="220"/>
      <c r="R69" s="220"/>
      <c r="S69" s="220"/>
      <c r="T69" s="220"/>
      <c r="U69" s="220"/>
      <c r="V69" s="220"/>
      <c r="W69" s="220"/>
    </row>
    <row r="70" ht="15.75" customHeight="1" outlineLevel="1">
      <c r="A70" s="211"/>
      <c r="B70" s="212" t="s">
        <v>4</v>
      </c>
      <c r="C70" s="213" t="s">
        <v>1107</v>
      </c>
      <c r="D70" s="214" t="str">
        <f>IFERROR(VLOOKUP($C70,'PORTIFÓLIO'!C:V,2,0),"")</f>
        <v>Priestia aryabhattai</v>
      </c>
      <c r="E70" s="211" t="str">
        <f>IFERROR(VLOOKUP($C70,'PORTIFÓLIO'!C:V,3,0),"")</f>
        <v/>
      </c>
      <c r="F70" s="211" t="str">
        <f>IFERROR(VLOOKUP($C70,'PORTIFÓLIO'!C:V,4,0),"")</f>
        <v/>
      </c>
      <c r="G70" s="225" t="str">
        <f>IFERROR(VLOOKUP($C70,'PORTIFÓLIO'!C:V,5,0),"")</f>
        <v>📄 Ver bula</v>
      </c>
      <c r="H70" s="254">
        <f t="array" ref="H70">IFERROR(INDEX('PORTIFÓLIO'!$H$4:$H$433,MATCH($C70,'PORTIFÓLIO'!$C$4:$C$433,0)),"")</f>
        <v>2</v>
      </c>
      <c r="I70" s="255">
        <v>1.0</v>
      </c>
      <c r="J70" s="218">
        <f t="shared" si="8"/>
        <v>60</v>
      </c>
      <c r="K70" s="219">
        <f t="array" ref="K70">IFERROR(I70*INDEX('PORTIFÓLIO'!$S$4:$S$433,MATCH($C70,'PORTIFÓLIO'!$C$4:$C$433,0)),"")</f>
        <v>81.12</v>
      </c>
      <c r="L70" s="219">
        <f t="array" ref="L70">IFERROR(J70*INDEX('PORTIFÓLIO'!$S$4:$S$433,MATCH($C70,'PORTIFÓLIO'!$C$4:$C$433,0)),"")</f>
        <v>4867.2</v>
      </c>
      <c r="M70" s="220"/>
      <c r="N70" s="220"/>
      <c r="O70" s="220"/>
      <c r="P70" s="220"/>
      <c r="Q70" s="220"/>
      <c r="R70" s="220"/>
      <c r="S70" s="220"/>
      <c r="T70" s="220"/>
      <c r="U70" s="220"/>
      <c r="V70" s="220"/>
      <c r="W70" s="220"/>
    </row>
    <row r="71" ht="15.75" customHeight="1" outlineLevel="1">
      <c r="A71" s="211"/>
      <c r="B71" s="212" t="s">
        <v>4</v>
      </c>
      <c r="C71" s="213" t="s">
        <v>1187</v>
      </c>
      <c r="D71" s="214" t="str">
        <f>IFERROR(VLOOKUP($C71,'PORTIFÓLIO'!C:V,2,0),"")</f>
        <v/>
      </c>
      <c r="E71" s="211" t="str">
        <f>IFERROR(VLOOKUP($C71,'PORTIFÓLIO'!C:V,3,0),"")</f>
        <v/>
      </c>
      <c r="F71" s="211" t="str">
        <f>IFERROR(VLOOKUP($C71,'PORTIFÓLIO'!C:V,4,0),"")</f>
        <v/>
      </c>
      <c r="G71" s="215" t="str">
        <f>IFERROR(VLOOKUP($C71,'PORTIFÓLIO'!C:V,5,0),"")</f>
        <v/>
      </c>
      <c r="H71" s="254" t="str">
        <f t="array" ref="H71">IFERROR(INDEX('PORTIFÓLIO'!$H$4:$H$433,MATCH($C71,'PORTIFÓLIO'!$C$4:$C$433,0)),"")</f>
        <v/>
      </c>
      <c r="I71" s="255">
        <v>1.0</v>
      </c>
      <c r="J71" s="218">
        <f t="shared" si="8"/>
        <v>60</v>
      </c>
      <c r="K71" s="219" t="str">
        <f t="array" ref="K71">IFERROR(I71*INDEX('PORTIFÓLIO'!$S$4:$S$433,MATCH($C71,'PORTIFÓLIO'!$C$4:$C$433,0)),"")</f>
        <v/>
      </c>
      <c r="L71" s="219" t="str">
        <f t="array" ref="L71">IFERROR(J71*INDEX('PORTIFÓLIO'!$S$4:$S$433,MATCH($C71,'PORTIFÓLIO'!$C$4:$C$433,0)),"")</f>
        <v/>
      </c>
      <c r="M71" s="220"/>
      <c r="N71" s="220"/>
      <c r="O71" s="220"/>
      <c r="P71" s="220"/>
      <c r="Q71" s="220"/>
      <c r="R71" s="220"/>
      <c r="S71" s="220"/>
      <c r="T71" s="220"/>
      <c r="U71" s="220"/>
      <c r="V71" s="220"/>
      <c r="W71" s="220"/>
    </row>
    <row r="72" ht="15.75" customHeight="1" outlineLevel="1">
      <c r="A72" s="211"/>
      <c r="B72" s="212" t="s">
        <v>9</v>
      </c>
      <c r="C72" s="213" t="s">
        <v>1115</v>
      </c>
      <c r="D72" s="214" t="str">
        <f>IFERROR(VLOOKUP($C72,'PORTIFÓLIO'!C:V,2,0),"")</f>
        <v>Nutrifarm</v>
      </c>
      <c r="E72" s="211" t="str">
        <f>IFERROR(VLOOKUP($C72,'PORTIFÓLIO'!C:V,3,0),"")</f>
        <v/>
      </c>
      <c r="F72" s="211" t="str">
        <f>IFERROR(VLOOKUP($C72,'PORTIFÓLIO'!C:V,4,0),"")</f>
        <v>L</v>
      </c>
      <c r="G72" s="225" t="str">
        <f>IFERROR(VLOOKUP($C72,'PORTIFÓLIO'!C:V,5,0),"")</f>
        <v>📄 Ver bula</v>
      </c>
      <c r="H72" s="254">
        <f t="array" ref="H72">IFERROR(INDEX('PORTIFÓLIO'!$H$4:$H$433,MATCH($C72,'PORTIFÓLIO'!$C$4:$C$433,0)),"")</f>
        <v>0.2</v>
      </c>
      <c r="I72" s="255">
        <v>0.1</v>
      </c>
      <c r="J72" s="218">
        <f t="shared" si="8"/>
        <v>6</v>
      </c>
      <c r="K72" s="219">
        <f t="array" ref="K72">IFERROR(I72*INDEX('PORTIFÓLIO'!$S$4:$S$433,MATCH($C72,'PORTIFÓLIO'!$C$4:$C$433,0)),"")</f>
        <v>18.2</v>
      </c>
      <c r="L72" s="219">
        <f t="array" ref="L72">IFERROR(J72*INDEX('PORTIFÓLIO'!$S$4:$S$433,MATCH($C72,'PORTIFÓLIO'!$C$4:$C$433,0)),"")</f>
        <v>1092</v>
      </c>
      <c r="M72" s="220"/>
      <c r="N72" s="220"/>
      <c r="O72" s="220"/>
      <c r="P72" s="220"/>
      <c r="Q72" s="220"/>
      <c r="R72" s="220"/>
      <c r="S72" s="220"/>
      <c r="T72" s="220"/>
      <c r="U72" s="220"/>
      <c r="V72" s="220"/>
      <c r="W72" s="220"/>
    </row>
    <row r="73" ht="15.75" customHeight="1" outlineLevel="1">
      <c r="A73" s="211"/>
      <c r="B73" s="212"/>
      <c r="C73" s="213"/>
      <c r="D73" s="214" t="str">
        <f>IFERROR(VLOOKUP($C73,'PORTIFÓLIO'!C:V,2,0),"")</f>
        <v/>
      </c>
      <c r="E73" s="211" t="str">
        <f>IFERROR(VLOOKUP($C73,'PORTIFÓLIO'!C:V,3,0),"")</f>
        <v/>
      </c>
      <c r="F73" s="211" t="str">
        <f>IFERROR(VLOOKUP($C73,'PORTIFÓLIO'!C:V,4,0),"")</f>
        <v/>
      </c>
      <c r="G73" s="215" t="str">
        <f>IFERROR(VLOOKUP($C73,'PORTIFÓLIO'!C:V,5,0),"")</f>
        <v/>
      </c>
      <c r="H73" s="254" t="str">
        <f t="array" ref="H73">IFERROR(INDEX('PORTIFÓLIO'!$H$4:$H$433,MATCH($C73,'PORTIFÓLIO'!$C$4:$C$433,0)),"")</f>
        <v/>
      </c>
      <c r="I73" s="256"/>
      <c r="J73" s="218">
        <f t="shared" si="8"/>
        <v>0</v>
      </c>
      <c r="K73" s="219" t="str">
        <f t="array" ref="K73">IFERROR(I73*INDEX('PORTIFÓLIO'!$S$4:$S$433,MATCH($C73,'PORTIFÓLIO'!$C$4:$C$433,0)),"")</f>
        <v/>
      </c>
      <c r="L73" s="219" t="str">
        <f t="array" ref="L73">IFERROR(J73*INDEX('PORTIFÓLIO'!$S$4:$S$433,MATCH($C73,'PORTIFÓLIO'!$C$4:$C$433,0)),"")</f>
        <v/>
      </c>
      <c r="M73" s="220"/>
      <c r="N73" s="220"/>
      <c r="O73" s="220"/>
      <c r="P73" s="220"/>
      <c r="Q73" s="220"/>
      <c r="R73" s="220"/>
      <c r="S73" s="220"/>
      <c r="T73" s="220"/>
      <c r="U73" s="220"/>
      <c r="V73" s="220"/>
      <c r="W73" s="220"/>
    </row>
    <row r="74" ht="15.75" customHeight="1" outlineLevel="1">
      <c r="A74" s="211"/>
      <c r="B74" s="212"/>
      <c r="C74" s="213"/>
      <c r="D74" s="214" t="str">
        <f>IFERROR(VLOOKUP($C74,'PORTIFÓLIO'!C:V,2,0),"")</f>
        <v/>
      </c>
      <c r="E74" s="211" t="str">
        <f>IFERROR(VLOOKUP($C74,'PORTIFÓLIO'!C:V,3,0),"")</f>
        <v/>
      </c>
      <c r="F74" s="211" t="str">
        <f>IFERROR(VLOOKUP($C74,'PORTIFÓLIO'!C:V,4,0),"")</f>
        <v/>
      </c>
      <c r="G74" s="215" t="str">
        <f>IFERROR(VLOOKUP($C74,'PORTIFÓLIO'!C:V,5,0),"")</f>
        <v/>
      </c>
      <c r="H74" s="254" t="str">
        <f t="array" ref="H74">IFERROR(INDEX('PORTIFÓLIO'!$H$4:$H$433,MATCH($C74,'PORTIFÓLIO'!$C$4:$C$433,0)),"")</f>
        <v/>
      </c>
      <c r="I74" s="256"/>
      <c r="J74" s="218">
        <f t="shared" si="8"/>
        <v>0</v>
      </c>
      <c r="K74" s="219" t="str">
        <f t="array" ref="K74">IFERROR(I74*INDEX('PORTIFÓLIO'!$S$4:$S$433,MATCH($C74,'PORTIFÓLIO'!$C$4:$C$433,0)),"")</f>
        <v/>
      </c>
      <c r="L74" s="219" t="str">
        <f t="array" ref="L74">IFERROR(J74*INDEX('PORTIFÓLIO'!$S$4:$S$433,MATCH($C74,'PORTIFÓLIO'!$C$4:$C$433,0)),"")</f>
        <v/>
      </c>
      <c r="M74" s="220"/>
      <c r="N74" s="220"/>
      <c r="O74" s="220"/>
      <c r="P74" s="220"/>
      <c r="Q74" s="220"/>
      <c r="R74" s="220"/>
      <c r="S74" s="220"/>
      <c r="T74" s="220"/>
      <c r="U74" s="220"/>
      <c r="V74" s="220"/>
      <c r="W74" s="220"/>
    </row>
    <row r="75" ht="15.75" customHeight="1" outlineLevel="1">
      <c r="A75" s="211"/>
      <c r="B75" s="212"/>
      <c r="C75" s="213"/>
      <c r="D75" s="214" t="str">
        <f>IFERROR(VLOOKUP($C75,'PORTIFÓLIO'!C:V,2,0),"")</f>
        <v/>
      </c>
      <c r="E75" s="211" t="str">
        <f>IFERROR(VLOOKUP($C75,'PORTIFÓLIO'!C:V,3,0),"")</f>
        <v/>
      </c>
      <c r="F75" s="211" t="str">
        <f>IFERROR(VLOOKUP($C75,'PORTIFÓLIO'!C:V,4,0),"")</f>
        <v/>
      </c>
      <c r="G75" s="215" t="str">
        <f>IFERROR(VLOOKUP($C75,'PORTIFÓLIO'!C:V,5,0),"")</f>
        <v/>
      </c>
      <c r="H75" s="254" t="str">
        <f t="array" ref="H75">IFERROR(INDEX('PORTIFÓLIO'!$H$4:$H$433,MATCH($C75,'PORTIFÓLIO'!$C$4:$C$433,0)),"")</f>
        <v/>
      </c>
      <c r="I75" s="256"/>
      <c r="J75" s="218">
        <f t="shared" si="8"/>
        <v>0</v>
      </c>
      <c r="K75" s="219" t="str">
        <f t="array" ref="K75">IFERROR(I75*INDEX('PORTIFÓLIO'!$S$4:$S$433,MATCH($C75,'PORTIFÓLIO'!$C$4:$C$433,0)),"")</f>
        <v/>
      </c>
      <c r="L75" s="219" t="str">
        <f t="array" ref="L75">IFERROR(J75*INDEX('PORTIFÓLIO'!$S$4:$S$433,MATCH($C75,'PORTIFÓLIO'!$C$4:$C$433,0)),"")</f>
        <v/>
      </c>
      <c r="M75" s="220"/>
      <c r="N75" s="220"/>
      <c r="O75" s="220"/>
      <c r="P75" s="220"/>
      <c r="Q75" s="220"/>
      <c r="R75" s="220"/>
      <c r="S75" s="220"/>
      <c r="T75" s="220"/>
      <c r="U75" s="220"/>
      <c r="V75" s="220"/>
      <c r="W75" s="220"/>
    </row>
    <row r="76" ht="15.75" customHeight="1" outlineLevel="1">
      <c r="A76" s="211"/>
      <c r="B76" s="212"/>
      <c r="C76" s="213"/>
      <c r="D76" s="214" t="str">
        <f>IFERROR(VLOOKUP($C76,'PORTIFÓLIO'!C:V,2,0),"")</f>
        <v/>
      </c>
      <c r="E76" s="211" t="str">
        <f>IFERROR(VLOOKUP($C76,'PORTIFÓLIO'!C:V,3,0),"")</f>
        <v/>
      </c>
      <c r="F76" s="211" t="str">
        <f>IFERROR(VLOOKUP($C76,'PORTIFÓLIO'!C:V,4,0),"")</f>
        <v/>
      </c>
      <c r="G76" s="215" t="str">
        <f>IFERROR(VLOOKUP($C76,'PORTIFÓLIO'!C:V,5,0),"")</f>
        <v/>
      </c>
      <c r="H76" s="254" t="str">
        <f t="array" ref="H76">IFERROR(INDEX('PORTIFÓLIO'!$H$4:$H$433,MATCH($C76,'PORTIFÓLIO'!$C$4:$C$433,0)),"")</f>
        <v/>
      </c>
      <c r="I76" s="256"/>
      <c r="J76" s="218">
        <f t="shared" si="8"/>
        <v>0</v>
      </c>
      <c r="K76" s="219" t="str">
        <f t="array" ref="K76">IFERROR(I76*INDEX('PORTIFÓLIO'!$S$4:$S$433,MATCH($C76,'PORTIFÓLIO'!$C$4:$C$433,0)),"")</f>
        <v/>
      </c>
      <c r="L76" s="219" t="str">
        <f t="array" ref="L76">IFERROR(J76*INDEX('PORTIFÓLIO'!$S$4:$S$433,MATCH($C76,'PORTIFÓLIO'!$C$4:$C$433,0)),"")</f>
        <v/>
      </c>
      <c r="M76" s="220"/>
      <c r="N76" s="220"/>
      <c r="O76" s="220"/>
      <c r="P76" s="220"/>
      <c r="Q76" s="220"/>
      <c r="R76" s="220"/>
      <c r="S76" s="220"/>
      <c r="T76" s="220"/>
      <c r="U76" s="220"/>
      <c r="V76" s="220"/>
      <c r="W76" s="220"/>
    </row>
    <row r="77" ht="15.75" customHeight="1" outlineLevel="1">
      <c r="A77" s="211"/>
      <c r="B77" s="212"/>
      <c r="C77" s="213"/>
      <c r="D77" s="214" t="str">
        <f>IFERROR(VLOOKUP($C77,'PORTIFÓLIO'!C:V,2,0),"")</f>
        <v/>
      </c>
      <c r="E77" s="211" t="str">
        <f>IFERROR(VLOOKUP($C77,'PORTIFÓLIO'!C:V,3,0),"")</f>
        <v/>
      </c>
      <c r="F77" s="211" t="str">
        <f>IFERROR(VLOOKUP($C77,'PORTIFÓLIO'!C:V,4,0),"")</f>
        <v/>
      </c>
      <c r="G77" s="215" t="str">
        <f>IFERROR(VLOOKUP($C77,'PORTIFÓLIO'!C:V,5,0),"")</f>
        <v/>
      </c>
      <c r="H77" s="254" t="str">
        <f t="array" ref="H77">IFERROR(INDEX('PORTIFÓLIO'!$H$4:$H$433,MATCH($C77,'PORTIFÓLIO'!$C$4:$C$433,0)),"")</f>
        <v/>
      </c>
      <c r="I77" s="256"/>
      <c r="J77" s="218">
        <f t="shared" si="8"/>
        <v>0</v>
      </c>
      <c r="K77" s="219" t="str">
        <f t="array" ref="K77">IFERROR(I77*INDEX('PORTIFÓLIO'!$S$4:$S$433,MATCH($C77,'PORTIFÓLIO'!$C$4:$C$433,0)),"")</f>
        <v/>
      </c>
      <c r="L77" s="219" t="str">
        <f t="array" ref="L77">IFERROR(J77*INDEX('PORTIFÓLIO'!$S$4:$S$433,MATCH($C77,'PORTIFÓLIO'!$C$4:$C$433,0)),"")</f>
        <v/>
      </c>
      <c r="M77" s="220"/>
      <c r="N77" s="220"/>
      <c r="O77" s="220"/>
      <c r="P77" s="220"/>
      <c r="Q77" s="220"/>
      <c r="R77" s="220"/>
      <c r="S77" s="220"/>
      <c r="T77" s="220"/>
      <c r="U77" s="220"/>
      <c r="V77" s="220"/>
      <c r="W77" s="220"/>
    </row>
    <row r="78" ht="15.75" customHeight="1" outlineLevel="1">
      <c r="A78" s="211"/>
      <c r="B78" s="212"/>
      <c r="C78" s="213"/>
      <c r="D78" s="214" t="str">
        <f>IFERROR(VLOOKUP($C78,'PORTIFÓLIO'!C:V,2,0),"")</f>
        <v/>
      </c>
      <c r="E78" s="211" t="str">
        <f>IFERROR(VLOOKUP($C78,'PORTIFÓLIO'!C:V,3,0),"")</f>
        <v/>
      </c>
      <c r="F78" s="211" t="str">
        <f>IFERROR(VLOOKUP($C78,'PORTIFÓLIO'!C:V,4,0),"")</f>
        <v/>
      </c>
      <c r="G78" s="215" t="str">
        <f>IFERROR(VLOOKUP($C78,'PORTIFÓLIO'!C:V,5,0),"")</f>
        <v/>
      </c>
      <c r="H78" s="254" t="str">
        <f t="array" ref="H78">IFERROR(INDEX('PORTIFÓLIO'!$H$4:$H$433,MATCH($C78,'PORTIFÓLIO'!$C$4:$C$433,0)),"")</f>
        <v/>
      </c>
      <c r="I78" s="256"/>
      <c r="J78" s="218">
        <f t="shared" si="8"/>
        <v>0</v>
      </c>
      <c r="K78" s="219" t="str">
        <f t="array" ref="K78">IFERROR(I78*INDEX('PORTIFÓLIO'!$S$4:$S$433,MATCH($C78,'PORTIFÓLIO'!$C$4:$C$433,0)),"")</f>
        <v/>
      </c>
      <c r="L78" s="219" t="str">
        <f t="array" ref="L78">IFERROR(J78*INDEX('PORTIFÓLIO'!$S$4:$S$433,MATCH($C78,'PORTIFÓLIO'!$C$4:$C$433,0)),"")</f>
        <v/>
      </c>
      <c r="M78" s="220"/>
      <c r="N78" s="220"/>
      <c r="O78" s="220"/>
      <c r="P78" s="220"/>
      <c r="Q78" s="220"/>
      <c r="R78" s="220"/>
      <c r="S78" s="220"/>
      <c r="T78" s="220"/>
      <c r="U78" s="220"/>
      <c r="V78" s="220"/>
      <c r="W78" s="220"/>
    </row>
    <row r="79" ht="15.75" customHeight="1" outlineLevel="1">
      <c r="A79" s="211"/>
      <c r="B79" s="212"/>
      <c r="C79" s="213"/>
      <c r="D79" s="214" t="str">
        <f>IFERROR(VLOOKUP($C79,'PORTIFÓLIO'!C:V,2,0),"")</f>
        <v/>
      </c>
      <c r="E79" s="211" t="str">
        <f>IFERROR(VLOOKUP($C79,'PORTIFÓLIO'!C:V,3,0),"")</f>
        <v/>
      </c>
      <c r="F79" s="211" t="str">
        <f>IFERROR(VLOOKUP($C79,'PORTIFÓLIO'!C:V,4,0),"")</f>
        <v/>
      </c>
      <c r="G79" s="215" t="str">
        <f>IFERROR(VLOOKUP($C79,'PORTIFÓLIO'!C:V,5,0),"")</f>
        <v/>
      </c>
      <c r="H79" s="254" t="str">
        <f t="array" ref="H79">IFERROR(INDEX('PORTIFÓLIO'!$H$4:$H$433,MATCH($C79,'PORTIFÓLIO'!$C$4:$C$433,0)),"")</f>
        <v/>
      </c>
      <c r="I79" s="256"/>
      <c r="J79" s="218">
        <f t="shared" si="8"/>
        <v>0</v>
      </c>
      <c r="K79" s="219" t="str">
        <f t="array" ref="K79">IFERROR(I79*INDEX('PORTIFÓLIO'!$S$4:$S$433,MATCH($C79,'PORTIFÓLIO'!$C$4:$C$433,0)),"")</f>
        <v/>
      </c>
      <c r="L79" s="219" t="str">
        <f t="array" ref="L79">IFERROR(J79*INDEX('PORTIFÓLIO'!$S$4:$S$433,MATCH($C79,'PORTIFÓLIO'!$C$4:$C$433,0)),"")</f>
        <v/>
      </c>
      <c r="M79" s="220"/>
      <c r="N79" s="220"/>
      <c r="O79" s="220"/>
      <c r="P79" s="220"/>
      <c r="Q79" s="220"/>
      <c r="R79" s="220"/>
      <c r="S79" s="220"/>
      <c r="T79" s="220"/>
      <c r="U79" s="220"/>
      <c r="V79" s="220"/>
      <c r="W79" s="220"/>
    </row>
    <row r="80" ht="15.75" customHeight="1" outlineLevel="1">
      <c r="A80" s="211"/>
      <c r="B80" s="212"/>
      <c r="C80" s="213"/>
      <c r="D80" s="214" t="str">
        <f>IFERROR(VLOOKUP($C80,'PORTIFÓLIO'!C:V,2,0),"")</f>
        <v/>
      </c>
      <c r="E80" s="211" t="str">
        <f>IFERROR(VLOOKUP($C80,'PORTIFÓLIO'!C:V,3,0),"")</f>
        <v/>
      </c>
      <c r="F80" s="211" t="str">
        <f>IFERROR(VLOOKUP($C80,'PORTIFÓLIO'!C:V,4,0),"")</f>
        <v/>
      </c>
      <c r="G80" s="215" t="str">
        <f>IFERROR(VLOOKUP($C80,'PORTIFÓLIO'!C:V,5,0),"")</f>
        <v/>
      </c>
      <c r="H80" s="254" t="str">
        <f t="array" ref="H80">IFERROR(INDEX('PORTIFÓLIO'!$H$4:$H$433,MATCH($C80,'PORTIFÓLIO'!$C$4:$C$433,0)),"")</f>
        <v/>
      </c>
      <c r="I80" s="256"/>
      <c r="J80" s="218">
        <f t="shared" si="8"/>
        <v>0</v>
      </c>
      <c r="K80" s="219" t="str">
        <f t="array" ref="K80">IFERROR(I80*INDEX('PORTIFÓLIO'!$S$4:$S$433,MATCH($C80,'PORTIFÓLIO'!$C$4:$C$433,0)),"")</f>
        <v/>
      </c>
      <c r="L80" s="219" t="str">
        <f t="array" ref="L80">IFERROR(J80*INDEX('PORTIFÓLIO'!$S$4:$S$433,MATCH($C80,'PORTIFÓLIO'!$C$4:$C$433,0)),"")</f>
        <v/>
      </c>
      <c r="M80" s="220"/>
      <c r="N80" s="220"/>
      <c r="O80" s="220"/>
      <c r="P80" s="220"/>
      <c r="Q80" s="220"/>
      <c r="R80" s="220"/>
      <c r="S80" s="220"/>
      <c r="T80" s="220"/>
      <c r="U80" s="220"/>
      <c r="V80" s="220"/>
      <c r="W80" s="220"/>
    </row>
    <row r="81" ht="15.75" customHeight="1">
      <c r="A81" s="229" t="s">
        <v>1188</v>
      </c>
      <c r="B81" s="230"/>
      <c r="C81" s="231"/>
      <c r="D81" s="232" t="s">
        <v>216</v>
      </c>
      <c r="E81" s="231"/>
      <c r="F81" s="231"/>
      <c r="G81" s="233"/>
      <c r="H81" s="233"/>
      <c r="I81" s="258"/>
      <c r="J81" s="236"/>
      <c r="K81" s="237">
        <f t="shared" ref="K81:L81" si="9">SUBTOTAL(9,K82:K95)</f>
        <v>82.36964</v>
      </c>
      <c r="L81" s="237">
        <f t="shared" si="9"/>
        <v>4942.1784</v>
      </c>
      <c r="M81" s="220"/>
      <c r="N81" s="220"/>
      <c r="O81" s="220"/>
      <c r="P81" s="220"/>
      <c r="Q81" s="220"/>
      <c r="R81" s="220"/>
      <c r="S81" s="220"/>
      <c r="T81" s="220"/>
      <c r="U81" s="220"/>
      <c r="V81" s="220"/>
      <c r="W81" s="220"/>
    </row>
    <row r="82" ht="15.75" customHeight="1" outlineLevel="1">
      <c r="A82" s="213"/>
      <c r="B82" s="212" t="s">
        <v>1</v>
      </c>
      <c r="C82" s="213" t="s">
        <v>637</v>
      </c>
      <c r="D82" s="214" t="str">
        <f>IFERROR(VLOOKUP($C82,'PORTIFÓLIO'!C:V,2,0),"")</f>
        <v>GLIFOSATO-SAL DE AMÔNIO</v>
      </c>
      <c r="E82" s="211">
        <f>IFERROR(VLOOKUP($C82,'PORTIFÓLIO'!C:V,3,0),"")</f>
        <v>720</v>
      </c>
      <c r="F82" s="211" t="str">
        <f>IFERROR(VLOOKUP($C82,'PORTIFÓLIO'!C:V,4,0),"")</f>
        <v>L</v>
      </c>
      <c r="G82" s="225" t="str">
        <f>IFERROR(VLOOKUP($C82,'PORTIFÓLIO'!C:V,5,0),"")</f>
        <v>📄 Ver bula</v>
      </c>
      <c r="H82" s="254">
        <f t="array" ref="H82">IFERROR(INDEX('PORTIFÓLIO'!$H$4:$H$433,MATCH($C82,'PORTIFÓLIO'!$C$4:$C$433,0)),"")</f>
        <v>2</v>
      </c>
      <c r="I82" s="255">
        <v>2.0</v>
      </c>
      <c r="J82" s="218">
        <f t="shared" ref="J82:J96" si="10">I82*$B$2</f>
        <v>120</v>
      </c>
      <c r="K82" s="219">
        <f t="array" ref="K82">IFERROR(I82*INDEX('PORTIFÓLIO'!$S$4:$S$433,MATCH($C82,'PORTIFÓLIO'!$C$4:$C$433,0)),"")</f>
        <v>49.16</v>
      </c>
      <c r="L82" s="219">
        <f t="array" ref="L82">IFERROR(J82*INDEX('PORTIFÓLIO'!$S$4:$S$433,MATCH($C82,'PORTIFÓLIO'!$C$4:$C$433,0)),"")</f>
        <v>2949.6</v>
      </c>
      <c r="M82" s="220"/>
      <c r="N82" s="220"/>
      <c r="O82" s="220"/>
      <c r="P82" s="220"/>
      <c r="Q82" s="220"/>
      <c r="R82" s="220"/>
      <c r="S82" s="220"/>
      <c r="T82" s="220"/>
      <c r="U82" s="220"/>
      <c r="V82" s="220"/>
      <c r="W82" s="220"/>
    </row>
    <row r="83" ht="15.75" customHeight="1" outlineLevel="1">
      <c r="A83" s="211"/>
      <c r="B83" s="212" t="s">
        <v>1</v>
      </c>
      <c r="C83" s="213" t="s">
        <v>682</v>
      </c>
      <c r="D83" s="214" t="str">
        <f>IFERROR(VLOOKUP($C83,'PORTIFÓLIO'!C:V,2,0),"")</f>
        <v>CLETODIM</v>
      </c>
      <c r="E83" s="211">
        <f>IFERROR(VLOOKUP($C83,'PORTIFÓLIO'!C:V,3,0),"")</f>
        <v>240</v>
      </c>
      <c r="F83" s="211" t="str">
        <f>IFERROR(VLOOKUP($C83,'PORTIFÓLIO'!C:V,4,0),"")</f>
        <v>L</v>
      </c>
      <c r="G83" s="225" t="str">
        <f>IFERROR(VLOOKUP($C83,'PORTIFÓLIO'!C:V,5,0),"")</f>
        <v>📄 Ver bula</v>
      </c>
      <c r="H83" s="254">
        <f t="array" ref="H83">IFERROR(INDEX('PORTIFÓLIO'!$H$4:$H$433,MATCH($C83,'PORTIFÓLIO'!$C$4:$C$433,0)),"")</f>
        <v>0.4</v>
      </c>
      <c r="I83" s="255">
        <v>0.4</v>
      </c>
      <c r="J83" s="218">
        <f t="shared" si="10"/>
        <v>24</v>
      </c>
      <c r="K83" s="219">
        <f t="array" ref="K83">IFERROR(I83*INDEX('PORTIFÓLIO'!$S$4:$S$433,MATCH($C83,'PORTIFÓLIO'!$C$4:$C$433,0)),"")</f>
        <v>12.33916</v>
      </c>
      <c r="L83" s="219">
        <f t="array" ref="L83">IFERROR(J83*INDEX('PORTIFÓLIO'!$S$4:$S$433,MATCH($C83,'PORTIFÓLIO'!$C$4:$C$433,0)),"")</f>
        <v>740.3496</v>
      </c>
      <c r="M83" s="220"/>
      <c r="N83" s="220"/>
      <c r="O83" s="220"/>
      <c r="P83" s="220"/>
      <c r="Q83" s="220"/>
      <c r="R83" s="220"/>
      <c r="S83" s="220"/>
      <c r="T83" s="220"/>
      <c r="U83" s="220"/>
      <c r="V83" s="220"/>
      <c r="W83" s="220"/>
    </row>
    <row r="84" ht="15.75" customHeight="1" outlineLevel="1">
      <c r="A84" s="211"/>
      <c r="B84" s="212" t="s">
        <v>0</v>
      </c>
      <c r="C84" s="213" t="s">
        <v>434</v>
      </c>
      <c r="D84" s="214" t="str">
        <f>IFERROR(VLOOKUP($C84,'PORTIFÓLIO'!C:V,2,0),"")</f>
        <v>AZOXISTROBINA + TEBUCONAZOL</v>
      </c>
      <c r="E84" s="211" t="str">
        <f>IFERROR(VLOOKUP($C84,'PORTIFÓLIO'!C:V,3,0),"")</f>
        <v>120 + 200</v>
      </c>
      <c r="F84" s="211" t="str">
        <f>IFERROR(VLOOKUP($C84,'PORTIFÓLIO'!C:V,4,0),"")</f>
        <v>L</v>
      </c>
      <c r="G84" s="225" t="str">
        <f>IFERROR(VLOOKUP($C84,'PORTIFÓLIO'!C:V,5,0),"")</f>
        <v>📄 Ver bula</v>
      </c>
      <c r="H84" s="254">
        <f t="array" ref="H84">IFERROR(INDEX('PORTIFÓLIO'!$H$4:$H$433,MATCH($C84,'PORTIFÓLIO'!$C$4:$C$433,0)),"")</f>
        <v>0.5</v>
      </c>
      <c r="I84" s="255">
        <v>0.5</v>
      </c>
      <c r="J84" s="218">
        <f t="shared" si="10"/>
        <v>30</v>
      </c>
      <c r="K84" s="219">
        <f t="array" ref="K84">IFERROR(I84*INDEX('PORTIFÓLIO'!$S$4:$S$433,MATCH($C84,'PORTIFÓLIO'!$C$4:$C$433,0)),"")</f>
        <v>17.66448</v>
      </c>
      <c r="L84" s="219">
        <f t="array" ref="L84">IFERROR(J84*INDEX('PORTIFÓLIO'!$S$4:$S$433,MATCH($C84,'PORTIFÓLIO'!$C$4:$C$433,0)),"")</f>
        <v>1059.8688</v>
      </c>
      <c r="M84" s="220"/>
      <c r="N84" s="220"/>
      <c r="O84" s="220"/>
      <c r="P84" s="220"/>
      <c r="Q84" s="220"/>
      <c r="R84" s="220"/>
      <c r="S84" s="220"/>
      <c r="T84" s="220"/>
      <c r="U84" s="220"/>
      <c r="V84" s="220"/>
      <c r="W84" s="220"/>
    </row>
    <row r="85" ht="15.75" customHeight="1" outlineLevel="1">
      <c r="A85" s="211"/>
      <c r="B85" s="212" t="s">
        <v>6</v>
      </c>
      <c r="C85" s="213" t="s">
        <v>354</v>
      </c>
      <c r="D85" s="214" t="str">
        <f>IFERROR(VLOOKUP($C85,'PORTIFÓLIO'!C:V,2,0),"")</f>
        <v>OLEO MINERAL</v>
      </c>
      <c r="E85" s="211">
        <f>IFERROR(VLOOKUP($C85,'PORTIFÓLIO'!C:V,3,0),"")</f>
        <v>761</v>
      </c>
      <c r="F85" s="211" t="str">
        <f>IFERROR(VLOOKUP($C85,'PORTIFÓLIO'!C:V,4,0),"")</f>
        <v>L</v>
      </c>
      <c r="G85" s="225" t="str">
        <f>IFERROR(VLOOKUP($C85,'PORTIFÓLIO'!C:V,5,0),"")</f>
        <v>📄 Ver bula</v>
      </c>
      <c r="H85" s="254">
        <f t="array" ref="H85">IFERROR(INDEX('PORTIFÓLIO'!$H$4:$H$433,MATCH($C85,'PORTIFÓLIO'!$C$4:$C$433,0)),"")</f>
        <v>0.2</v>
      </c>
      <c r="I85" s="255">
        <v>0.2</v>
      </c>
      <c r="J85" s="218">
        <f t="shared" si="10"/>
        <v>12</v>
      </c>
      <c r="K85" s="219">
        <f t="array" ref="K85">IFERROR(I85*INDEX('PORTIFÓLIO'!$S$4:$S$433,MATCH($C85,'PORTIFÓLIO'!$C$4:$C$433,0)),"")</f>
        <v>3.206</v>
      </c>
      <c r="L85" s="219">
        <f t="array" ref="L85">IFERROR(J85*INDEX('PORTIFÓLIO'!$S$4:$S$433,MATCH($C85,'PORTIFÓLIO'!$C$4:$C$433,0)),"")</f>
        <v>192.36</v>
      </c>
      <c r="M85" s="220"/>
      <c r="N85" s="220"/>
      <c r="O85" s="220"/>
      <c r="P85" s="220"/>
      <c r="Q85" s="220"/>
      <c r="R85" s="220"/>
      <c r="S85" s="220"/>
      <c r="T85" s="220"/>
      <c r="U85" s="220"/>
      <c r="V85" s="220"/>
      <c r="W85" s="220"/>
    </row>
    <row r="86" ht="15.75" customHeight="1" outlineLevel="1">
      <c r="A86" s="211"/>
      <c r="B86" s="212"/>
      <c r="C86" s="213"/>
      <c r="D86" s="214" t="str">
        <f>IFERROR(VLOOKUP($C86,'PORTIFÓLIO'!C:V,2,0),"")</f>
        <v/>
      </c>
      <c r="E86" s="211" t="str">
        <f>IFERROR(VLOOKUP($C86,'PORTIFÓLIO'!C:V,3,0),"")</f>
        <v/>
      </c>
      <c r="F86" s="211" t="str">
        <f>IFERROR(VLOOKUP($C86,'PORTIFÓLIO'!C:V,4,0),"")</f>
        <v/>
      </c>
      <c r="G86" s="215" t="str">
        <f>IFERROR(VLOOKUP($C86,'PORTIFÓLIO'!C:V,5,0),"")</f>
        <v/>
      </c>
      <c r="H86" s="254" t="str">
        <f t="array" ref="H86">IFERROR(INDEX('PORTIFÓLIO'!$H$4:$H$433,MATCH($C86,'PORTIFÓLIO'!$C$4:$C$433,0)),"")</f>
        <v/>
      </c>
      <c r="I86" s="256"/>
      <c r="J86" s="218">
        <f t="shared" si="10"/>
        <v>0</v>
      </c>
      <c r="K86" s="219" t="str">
        <f t="array" ref="K86">IFERROR(I86*INDEX('PORTIFÓLIO'!$S$4:$S$433,MATCH($C86,'PORTIFÓLIO'!$C$4:$C$433,0)),"")</f>
        <v/>
      </c>
      <c r="L86" s="219" t="str">
        <f t="array" ref="L86">IFERROR(J86*INDEX('PORTIFÓLIO'!$S$4:$S$433,MATCH($C86,'PORTIFÓLIO'!$C$4:$C$433,0)),"")</f>
        <v/>
      </c>
      <c r="M86" s="220"/>
      <c r="N86" s="220"/>
      <c r="O86" s="220"/>
      <c r="P86" s="220"/>
      <c r="Q86" s="220"/>
      <c r="R86" s="220"/>
      <c r="S86" s="220"/>
      <c r="T86" s="220"/>
      <c r="U86" s="220"/>
      <c r="V86" s="220"/>
      <c r="W86" s="220"/>
    </row>
    <row r="87" ht="15.75" customHeight="1" outlineLevel="1">
      <c r="A87" s="211"/>
      <c r="B87" s="212"/>
      <c r="C87" s="213"/>
      <c r="D87" s="214" t="str">
        <f>IFERROR(VLOOKUP($C87,'PORTIFÓLIO'!C:V,2,0),"")</f>
        <v/>
      </c>
      <c r="E87" s="211" t="str">
        <f>IFERROR(VLOOKUP($C87,'PORTIFÓLIO'!C:V,3,0),"")</f>
        <v/>
      </c>
      <c r="F87" s="211" t="str">
        <f>IFERROR(VLOOKUP($C87,'PORTIFÓLIO'!C:V,4,0),"")</f>
        <v/>
      </c>
      <c r="G87" s="215" t="str">
        <f>IFERROR(VLOOKUP($C87,'PORTIFÓLIO'!C:V,5,0),"")</f>
        <v/>
      </c>
      <c r="H87" s="254" t="str">
        <f t="array" ref="H87">IFERROR(INDEX('PORTIFÓLIO'!$H$4:$H$433,MATCH($C87,'PORTIFÓLIO'!$C$4:$C$433,0)),"")</f>
        <v/>
      </c>
      <c r="I87" s="256"/>
      <c r="J87" s="218">
        <f t="shared" si="10"/>
        <v>0</v>
      </c>
      <c r="K87" s="219" t="str">
        <f t="array" ref="K87">IFERROR(I87*INDEX('PORTIFÓLIO'!$S$4:$S$433,MATCH($C87,'PORTIFÓLIO'!$C$4:$C$433,0)),"")</f>
        <v/>
      </c>
      <c r="L87" s="219" t="str">
        <f t="array" ref="L87">IFERROR(J87*INDEX('PORTIFÓLIO'!$S$4:$S$433,MATCH($C87,'PORTIFÓLIO'!$C$4:$C$433,0)),"")</f>
        <v/>
      </c>
      <c r="M87" s="220"/>
      <c r="N87" s="220"/>
      <c r="O87" s="220"/>
      <c r="P87" s="220"/>
      <c r="Q87" s="220"/>
      <c r="R87" s="220"/>
      <c r="S87" s="220"/>
      <c r="T87" s="220"/>
      <c r="U87" s="220"/>
      <c r="V87" s="220"/>
      <c r="W87" s="220"/>
    </row>
    <row r="88" ht="15.75" customHeight="1" outlineLevel="1">
      <c r="A88" s="211"/>
      <c r="B88" s="212"/>
      <c r="C88" s="213"/>
      <c r="D88" s="214" t="str">
        <f>IFERROR(VLOOKUP($C88,'PORTIFÓLIO'!C:V,2,0),"")</f>
        <v/>
      </c>
      <c r="E88" s="211" t="str">
        <f>IFERROR(VLOOKUP($C88,'PORTIFÓLIO'!C:V,3,0),"")</f>
        <v/>
      </c>
      <c r="F88" s="211" t="str">
        <f>IFERROR(VLOOKUP($C88,'PORTIFÓLIO'!C:V,4,0),"")</f>
        <v/>
      </c>
      <c r="G88" s="215" t="str">
        <f>IFERROR(VLOOKUP($C88,'PORTIFÓLIO'!C:V,5,0),"")</f>
        <v/>
      </c>
      <c r="H88" s="254" t="str">
        <f t="array" ref="H88">IFERROR(INDEX('PORTIFÓLIO'!$H$4:$H$433,MATCH($C88,'PORTIFÓLIO'!$C$4:$C$433,0)),"")</f>
        <v/>
      </c>
      <c r="I88" s="256"/>
      <c r="J88" s="218">
        <f t="shared" si="10"/>
        <v>0</v>
      </c>
      <c r="K88" s="219" t="str">
        <f t="array" ref="K88">IFERROR(I88*INDEX('PORTIFÓLIO'!$S$4:$S$433,MATCH($C88,'PORTIFÓLIO'!$C$4:$C$433,0)),"")</f>
        <v/>
      </c>
      <c r="L88" s="219" t="str">
        <f t="array" ref="L88">IFERROR(J88*INDEX('PORTIFÓLIO'!$S$4:$S$433,MATCH($C88,'PORTIFÓLIO'!$C$4:$C$433,0)),"")</f>
        <v/>
      </c>
      <c r="M88" s="220"/>
      <c r="N88" s="220"/>
      <c r="O88" s="220"/>
      <c r="P88" s="220"/>
      <c r="Q88" s="220"/>
      <c r="R88" s="220"/>
      <c r="S88" s="220"/>
      <c r="T88" s="220"/>
      <c r="U88" s="220"/>
      <c r="V88" s="220"/>
      <c r="W88" s="220"/>
    </row>
    <row r="89" ht="15.75" customHeight="1" outlineLevel="1">
      <c r="A89" s="211"/>
      <c r="B89" s="212"/>
      <c r="C89" s="213"/>
      <c r="D89" s="214" t="str">
        <f>IFERROR(VLOOKUP($C89,'PORTIFÓLIO'!C:V,2,0),"")</f>
        <v/>
      </c>
      <c r="E89" s="211" t="str">
        <f>IFERROR(VLOOKUP($C89,'PORTIFÓLIO'!C:V,3,0),"")</f>
        <v/>
      </c>
      <c r="F89" s="211" t="str">
        <f>IFERROR(VLOOKUP($C89,'PORTIFÓLIO'!C:V,4,0),"")</f>
        <v/>
      </c>
      <c r="G89" s="215" t="str">
        <f>IFERROR(VLOOKUP($C89,'PORTIFÓLIO'!C:V,5,0),"")</f>
        <v/>
      </c>
      <c r="H89" s="254" t="str">
        <f t="array" ref="H89">IFERROR(INDEX('PORTIFÓLIO'!$H$4:$H$433,MATCH($C89,'PORTIFÓLIO'!$C$4:$C$433,0)),"")</f>
        <v/>
      </c>
      <c r="I89" s="256"/>
      <c r="J89" s="218">
        <f t="shared" si="10"/>
        <v>0</v>
      </c>
      <c r="K89" s="219" t="str">
        <f t="array" ref="K89">IFERROR(I89*INDEX('PORTIFÓLIO'!$S$4:$S$433,MATCH($C89,'PORTIFÓLIO'!$C$4:$C$433,0)),"")</f>
        <v/>
      </c>
      <c r="L89" s="219" t="str">
        <f t="array" ref="L89">IFERROR(J89*INDEX('PORTIFÓLIO'!$S$4:$S$433,MATCH($C89,'PORTIFÓLIO'!$C$4:$C$433,0)),"")</f>
        <v/>
      </c>
      <c r="M89" s="220"/>
      <c r="N89" s="220"/>
      <c r="O89" s="220"/>
      <c r="P89" s="220"/>
      <c r="Q89" s="220"/>
      <c r="R89" s="220"/>
      <c r="S89" s="220"/>
      <c r="T89" s="220"/>
      <c r="U89" s="220"/>
      <c r="V89" s="220"/>
      <c r="W89" s="220"/>
    </row>
    <row r="90" ht="15.75" customHeight="1" outlineLevel="1">
      <c r="A90" s="211"/>
      <c r="B90" s="212"/>
      <c r="C90" s="213"/>
      <c r="D90" s="214" t="str">
        <f>IFERROR(VLOOKUP($C90,'PORTIFÓLIO'!C:V,2,0),"")</f>
        <v/>
      </c>
      <c r="E90" s="211" t="str">
        <f>IFERROR(VLOOKUP($C90,'PORTIFÓLIO'!C:V,3,0),"")</f>
        <v/>
      </c>
      <c r="F90" s="211" t="str">
        <f>IFERROR(VLOOKUP($C90,'PORTIFÓLIO'!C:V,4,0),"")</f>
        <v/>
      </c>
      <c r="G90" s="215" t="str">
        <f>IFERROR(VLOOKUP($C90,'PORTIFÓLIO'!C:V,5,0),"")</f>
        <v/>
      </c>
      <c r="H90" s="254" t="str">
        <f t="array" ref="H90">IFERROR(INDEX('PORTIFÓLIO'!$H$4:$H$433,MATCH($C90,'PORTIFÓLIO'!$C$4:$C$433,0)),"")</f>
        <v/>
      </c>
      <c r="I90" s="255"/>
      <c r="J90" s="218">
        <f t="shared" si="10"/>
        <v>0</v>
      </c>
      <c r="K90" s="219" t="str">
        <f t="array" ref="K90">IFERROR(I90*INDEX('PORTIFÓLIO'!$S$4:$S$433,MATCH($C90,'PORTIFÓLIO'!$C$4:$C$433,0)),"")</f>
        <v/>
      </c>
      <c r="L90" s="219" t="str">
        <f t="array" ref="L90">IFERROR(J90*INDEX('PORTIFÓLIO'!$S$4:$S$433,MATCH($C90,'PORTIFÓLIO'!$C$4:$C$433,0)),"")</f>
        <v/>
      </c>
      <c r="M90" s="220"/>
      <c r="N90" s="220"/>
      <c r="O90" s="220"/>
      <c r="P90" s="220"/>
      <c r="Q90" s="220"/>
      <c r="R90" s="220"/>
      <c r="S90" s="220"/>
      <c r="T90" s="220"/>
      <c r="U90" s="220"/>
      <c r="V90" s="220"/>
      <c r="W90" s="220"/>
    </row>
    <row r="91" ht="15.75" customHeight="1" outlineLevel="1">
      <c r="A91" s="211"/>
      <c r="B91" s="212"/>
      <c r="C91" s="213"/>
      <c r="D91" s="214" t="str">
        <f>IFERROR(VLOOKUP($C91,'PORTIFÓLIO'!C:V,2,0),"")</f>
        <v/>
      </c>
      <c r="E91" s="211" t="str">
        <f>IFERROR(VLOOKUP($C91,'PORTIFÓLIO'!C:V,3,0),"")</f>
        <v/>
      </c>
      <c r="F91" s="211" t="str">
        <f>IFERROR(VLOOKUP($C91,'PORTIFÓLIO'!C:V,4,0),"")</f>
        <v/>
      </c>
      <c r="G91" s="215" t="str">
        <f>IFERROR(VLOOKUP($C91,'PORTIFÓLIO'!C:V,5,0),"")</f>
        <v/>
      </c>
      <c r="H91" s="254" t="str">
        <f t="array" ref="H91">IFERROR(INDEX('PORTIFÓLIO'!$H$4:$H$433,MATCH($C91,'PORTIFÓLIO'!$C$4:$C$433,0)),"")</f>
        <v/>
      </c>
      <c r="I91" s="256"/>
      <c r="J91" s="218">
        <f t="shared" si="10"/>
        <v>0</v>
      </c>
      <c r="K91" s="219" t="str">
        <f t="array" ref="K91">IFERROR(I91*INDEX('PORTIFÓLIO'!$S$4:$S$433,MATCH($C91,'PORTIFÓLIO'!$C$4:$C$433,0)),"")</f>
        <v/>
      </c>
      <c r="L91" s="219" t="str">
        <f t="array" ref="L91">IFERROR(J91*INDEX('PORTIFÓLIO'!$S$4:$S$433,MATCH($C91,'PORTIFÓLIO'!$C$4:$C$433,0)),"")</f>
        <v/>
      </c>
      <c r="M91" s="220"/>
      <c r="N91" s="220"/>
      <c r="O91" s="220"/>
      <c r="P91" s="220"/>
      <c r="Q91" s="220"/>
      <c r="R91" s="220"/>
      <c r="S91" s="220"/>
      <c r="T91" s="220"/>
      <c r="U91" s="220"/>
      <c r="V91" s="220"/>
      <c r="W91" s="220"/>
    </row>
    <row r="92" ht="15.75" customHeight="1" outlineLevel="1">
      <c r="A92" s="211"/>
      <c r="B92" s="212"/>
      <c r="C92" s="213"/>
      <c r="D92" s="214" t="str">
        <f>IFERROR(VLOOKUP($C92,'PORTIFÓLIO'!C:V,2,0),"")</f>
        <v/>
      </c>
      <c r="E92" s="211" t="str">
        <f>IFERROR(VLOOKUP($C92,'PORTIFÓLIO'!C:V,3,0),"")</f>
        <v/>
      </c>
      <c r="F92" s="211" t="str">
        <f>IFERROR(VLOOKUP($C92,'PORTIFÓLIO'!C:V,4,0),"")</f>
        <v/>
      </c>
      <c r="G92" s="215" t="str">
        <f>IFERROR(VLOOKUP($C92,'PORTIFÓLIO'!C:V,5,0),"")</f>
        <v/>
      </c>
      <c r="H92" s="254" t="str">
        <f t="array" ref="H92">IFERROR(INDEX('PORTIFÓLIO'!$H$4:$H$433,MATCH($C92,'PORTIFÓLIO'!$C$4:$C$433,0)),"")</f>
        <v/>
      </c>
      <c r="I92" s="256"/>
      <c r="J92" s="218">
        <f t="shared" si="10"/>
        <v>0</v>
      </c>
      <c r="K92" s="219" t="str">
        <f t="array" ref="K92">IFERROR(I92*INDEX('PORTIFÓLIO'!$S$4:$S$433,MATCH($C92,'PORTIFÓLIO'!$C$4:$C$433,0)),"")</f>
        <v/>
      </c>
      <c r="L92" s="219" t="str">
        <f t="array" ref="L92">IFERROR(J92*INDEX('PORTIFÓLIO'!$S$4:$S$433,MATCH($C92,'PORTIFÓLIO'!$C$4:$C$433,0)),"")</f>
        <v/>
      </c>
      <c r="M92" s="220"/>
      <c r="N92" s="220"/>
      <c r="O92" s="220"/>
      <c r="P92" s="220"/>
      <c r="Q92" s="220"/>
      <c r="R92" s="220"/>
      <c r="S92" s="220"/>
      <c r="T92" s="220"/>
      <c r="U92" s="220"/>
      <c r="V92" s="220"/>
      <c r="W92" s="220"/>
    </row>
    <row r="93" ht="15.75" customHeight="1" outlineLevel="1">
      <c r="A93" s="211"/>
      <c r="B93" s="212"/>
      <c r="C93" s="213"/>
      <c r="D93" s="214" t="str">
        <f>IFERROR(VLOOKUP($C93,'PORTIFÓLIO'!C:V,2,0),"")</f>
        <v/>
      </c>
      <c r="E93" s="211" t="str">
        <f>IFERROR(VLOOKUP($C93,'PORTIFÓLIO'!C:V,3,0),"")</f>
        <v/>
      </c>
      <c r="F93" s="211" t="str">
        <f>IFERROR(VLOOKUP($C93,'PORTIFÓLIO'!C:V,4,0),"")</f>
        <v/>
      </c>
      <c r="G93" s="215" t="str">
        <f>IFERROR(VLOOKUP($C93,'PORTIFÓLIO'!C:V,5,0),"")</f>
        <v/>
      </c>
      <c r="H93" s="254" t="str">
        <f t="array" ref="H93">IFERROR(INDEX('PORTIFÓLIO'!$H$4:$H$433,MATCH($C93,'PORTIFÓLIO'!$C$4:$C$433,0)),"")</f>
        <v/>
      </c>
      <c r="I93" s="256"/>
      <c r="J93" s="218">
        <f t="shared" si="10"/>
        <v>0</v>
      </c>
      <c r="K93" s="219" t="str">
        <f t="array" ref="K93">IFERROR(I93*INDEX('PORTIFÓLIO'!$S$4:$S$433,MATCH($C93,'PORTIFÓLIO'!$C$4:$C$433,0)),"")</f>
        <v/>
      </c>
      <c r="L93" s="219" t="str">
        <f t="array" ref="L93">IFERROR(J93*INDEX('PORTIFÓLIO'!$S$4:$S$433,MATCH($C93,'PORTIFÓLIO'!$C$4:$C$433,0)),"")</f>
        <v/>
      </c>
      <c r="M93" s="220"/>
      <c r="N93" s="220"/>
      <c r="O93" s="220"/>
      <c r="P93" s="220"/>
      <c r="Q93" s="220"/>
      <c r="R93" s="220"/>
      <c r="S93" s="220"/>
      <c r="T93" s="220"/>
      <c r="U93" s="220"/>
      <c r="V93" s="220"/>
      <c r="W93" s="220"/>
    </row>
    <row r="94" ht="15.75" customHeight="1" outlineLevel="1">
      <c r="A94" s="211"/>
      <c r="B94" s="212"/>
      <c r="C94" s="213"/>
      <c r="D94" s="214" t="str">
        <f>IFERROR(VLOOKUP($C94,'PORTIFÓLIO'!C:V,2,0),"")</f>
        <v/>
      </c>
      <c r="E94" s="211" t="str">
        <f>IFERROR(VLOOKUP($C94,'PORTIFÓLIO'!C:V,3,0),"")</f>
        <v/>
      </c>
      <c r="F94" s="211" t="str">
        <f>IFERROR(VLOOKUP($C94,'PORTIFÓLIO'!C:V,4,0),"")</f>
        <v/>
      </c>
      <c r="G94" s="215" t="str">
        <f>IFERROR(VLOOKUP($C94,'PORTIFÓLIO'!C:V,5,0),"")</f>
        <v/>
      </c>
      <c r="H94" s="254" t="str">
        <f t="array" ref="H94">IFERROR(INDEX('PORTIFÓLIO'!$H$4:$H$433,MATCH($C94,'PORTIFÓLIO'!$C$4:$C$433,0)),"")</f>
        <v/>
      </c>
      <c r="I94" s="256"/>
      <c r="J94" s="218">
        <f t="shared" si="10"/>
        <v>0</v>
      </c>
      <c r="K94" s="219" t="str">
        <f t="array" ref="K94">IFERROR(I94*INDEX('PORTIFÓLIO'!$S$4:$S$433,MATCH($C94,'PORTIFÓLIO'!$C$4:$C$433,0)),"")</f>
        <v/>
      </c>
      <c r="L94" s="219" t="str">
        <f t="array" ref="L94">IFERROR(J94*INDEX('PORTIFÓLIO'!$S$4:$S$433,MATCH($C94,'PORTIFÓLIO'!$C$4:$C$433,0)),"")</f>
        <v/>
      </c>
      <c r="M94" s="220"/>
      <c r="N94" s="220"/>
      <c r="O94" s="220"/>
      <c r="P94" s="220"/>
      <c r="Q94" s="220"/>
      <c r="R94" s="220"/>
      <c r="S94" s="220"/>
      <c r="T94" s="220"/>
      <c r="U94" s="220"/>
      <c r="V94" s="220"/>
      <c r="W94" s="220"/>
    </row>
    <row r="95" ht="15.75" customHeight="1" outlineLevel="1">
      <c r="A95" s="211"/>
      <c r="B95" s="212"/>
      <c r="C95" s="213"/>
      <c r="D95" s="214" t="str">
        <f>IFERROR(VLOOKUP($C95,'PORTIFÓLIO'!C:V,2,0),"")</f>
        <v/>
      </c>
      <c r="E95" s="211" t="str">
        <f>IFERROR(VLOOKUP($C95,'PORTIFÓLIO'!C:V,3,0),"")</f>
        <v/>
      </c>
      <c r="F95" s="211" t="str">
        <f>IFERROR(VLOOKUP($C95,'PORTIFÓLIO'!C:V,4,0),"")</f>
        <v/>
      </c>
      <c r="G95" s="215" t="str">
        <f>IFERROR(VLOOKUP($C95,'PORTIFÓLIO'!C:V,5,0),"")</f>
        <v/>
      </c>
      <c r="H95" s="254" t="str">
        <f t="array" ref="H95">IFERROR(INDEX('PORTIFÓLIO'!$H$4:$H$433,MATCH($C95,'PORTIFÓLIO'!$C$4:$C$433,0)),"")</f>
        <v/>
      </c>
      <c r="I95" s="256"/>
      <c r="J95" s="218">
        <f t="shared" si="10"/>
        <v>0</v>
      </c>
      <c r="K95" s="219" t="str">
        <f t="array" ref="K95">IFERROR(I95*INDEX('PORTIFÓLIO'!$S$4:$S$433,MATCH($C95,'PORTIFÓLIO'!$C$4:$C$433,0)),"")</f>
        <v/>
      </c>
      <c r="L95" s="219" t="str">
        <f t="array" ref="L95">IFERROR(J95*INDEX('PORTIFÓLIO'!$S$4:$S$433,MATCH($C95,'PORTIFÓLIO'!$C$4:$C$433,0)),"")</f>
        <v/>
      </c>
      <c r="M95" s="220"/>
      <c r="N95" s="220"/>
      <c r="O95" s="220"/>
      <c r="P95" s="220"/>
      <c r="Q95" s="220"/>
      <c r="R95" s="220"/>
      <c r="S95" s="220"/>
      <c r="T95" s="220"/>
      <c r="U95" s="220"/>
      <c r="V95" s="220"/>
      <c r="W95" s="220"/>
    </row>
    <row r="96" ht="15.75" customHeight="1" outlineLevel="1">
      <c r="A96" s="211"/>
      <c r="B96" s="212"/>
      <c r="C96" s="213"/>
      <c r="D96" s="214" t="str">
        <f>IFERROR(VLOOKUP($C96,'PORTIFÓLIO'!C:V,2,0),"")</f>
        <v/>
      </c>
      <c r="E96" s="211" t="str">
        <f>IFERROR(VLOOKUP($C96,'PORTIFÓLIO'!C:V,3,0),"")</f>
        <v/>
      </c>
      <c r="F96" s="211" t="str">
        <f>IFERROR(VLOOKUP($C96,'PORTIFÓLIO'!C:V,4,0),"")</f>
        <v/>
      </c>
      <c r="G96" s="215" t="str">
        <f>IFERROR(VLOOKUP($C96,'PORTIFÓLIO'!C:V,5,0),"")</f>
        <v/>
      </c>
      <c r="H96" s="254" t="str">
        <f t="array" ref="H96">IFERROR(INDEX('PORTIFÓLIO'!$H$4:$H$433,MATCH($C96,'PORTIFÓLIO'!$C$4:$C$433,0)),"")</f>
        <v/>
      </c>
      <c r="I96" s="256"/>
      <c r="J96" s="218">
        <f t="shared" si="10"/>
        <v>0</v>
      </c>
      <c r="K96" s="219" t="str">
        <f t="array" ref="K96">IFERROR(I96*INDEX('PORTIFÓLIO'!$S$4:$S$433,MATCH($C96,'PORTIFÓLIO'!$C$4:$C$433,0)),"")</f>
        <v/>
      </c>
      <c r="L96" s="219" t="str">
        <f t="array" ref="L96">IFERROR(J96*INDEX('PORTIFÓLIO'!$S$4:$S$433,MATCH($C96,'PORTIFÓLIO'!$C$4:$C$433,0)),"")</f>
        <v/>
      </c>
      <c r="M96" s="220"/>
      <c r="N96" s="220"/>
      <c r="O96" s="220"/>
      <c r="P96" s="220"/>
      <c r="Q96" s="220"/>
      <c r="R96" s="220"/>
      <c r="S96" s="220"/>
      <c r="T96" s="220"/>
      <c r="U96" s="220"/>
      <c r="V96" s="220"/>
      <c r="W96" s="220"/>
    </row>
    <row r="97" ht="15.75" customHeight="1">
      <c r="A97" s="229" t="s">
        <v>1189</v>
      </c>
      <c r="B97" s="230"/>
      <c r="C97" s="231"/>
      <c r="D97" s="232"/>
      <c r="E97" s="231"/>
      <c r="F97" s="231"/>
      <c r="G97" s="233"/>
      <c r="H97" s="233"/>
      <c r="I97" s="258"/>
      <c r="J97" s="236"/>
      <c r="K97" s="237">
        <f t="shared" ref="K97:L97" si="11">SUBTOTAL(9,K98:K111)</f>
        <v>184.2679845</v>
      </c>
      <c r="L97" s="237">
        <f t="shared" si="11"/>
        <v>11056.07907</v>
      </c>
      <c r="M97" s="220"/>
      <c r="N97" s="220"/>
      <c r="O97" s="220"/>
      <c r="P97" s="220"/>
      <c r="Q97" s="220"/>
      <c r="R97" s="220"/>
      <c r="S97" s="220"/>
      <c r="T97" s="220"/>
      <c r="U97" s="220"/>
      <c r="V97" s="220"/>
      <c r="W97" s="220"/>
    </row>
    <row r="98" ht="15.75" customHeight="1" outlineLevel="1">
      <c r="A98" s="213"/>
      <c r="B98" s="212" t="s">
        <v>0</v>
      </c>
      <c r="C98" s="213" t="s">
        <v>443</v>
      </c>
      <c r="D98" s="214" t="str">
        <f>IFERROR(VLOOKUP($C98,'PORTIFÓLIO'!C:V,2,0),"")</f>
        <v>MEFENTRIFLUCONAZOL + PIRACLOSTROBINA +
 FLUXAPIROXADE</v>
      </c>
      <c r="E98" s="211" t="str">
        <f>IFERROR(VLOOKUP($C98,'PORTIFÓLIO'!C:V,3,0),"")</f>
        <v>133,3 + 177,8 + 88,9</v>
      </c>
      <c r="F98" s="211" t="str">
        <f>IFERROR(VLOOKUP($C98,'PORTIFÓLIO'!C:V,4,0),"")</f>
        <v>L</v>
      </c>
      <c r="G98" s="225" t="str">
        <f>IFERROR(VLOOKUP($C98,'PORTIFÓLIO'!C:V,5,0),"")</f>
        <v>📄 Ver bula</v>
      </c>
      <c r="H98" s="254">
        <f t="array" ref="H98">IFERROR(INDEX('PORTIFÓLIO'!$H$4:$H$433,MATCH($C98,'PORTIFÓLIO'!$C$4:$C$433,0)),"")</f>
        <v>0.7</v>
      </c>
      <c r="I98" s="255">
        <v>0.7</v>
      </c>
      <c r="J98" s="218">
        <f>I98*$B$2</f>
        <v>42</v>
      </c>
      <c r="K98" s="219">
        <f t="array" ref="K98">IFERROR(I98*INDEX('PORTIFÓLIO'!$S$4:$S$433,MATCH($C98,'PORTIFÓLIO'!$C$4:$C$433,0)),"")</f>
        <v>119.38752</v>
      </c>
      <c r="L98" s="219">
        <f t="array" ref="L98">IFERROR(J98*INDEX('PORTIFÓLIO'!$S$4:$S$433,MATCH($C98,'PORTIFÓLIO'!$C$4:$C$433,0)),"")</f>
        <v>7163.2512</v>
      </c>
      <c r="M98" s="220"/>
      <c r="N98" s="220"/>
      <c r="O98" s="220"/>
      <c r="P98" s="220"/>
      <c r="Q98" s="220"/>
      <c r="R98" s="220"/>
      <c r="S98" s="220"/>
      <c r="T98" s="220"/>
      <c r="U98" s="220"/>
      <c r="V98" s="220"/>
      <c r="W98" s="220"/>
    </row>
    <row r="99" ht="15.75" customHeight="1" outlineLevel="1">
      <c r="A99" s="211"/>
      <c r="B99" s="212"/>
      <c r="C99" s="213"/>
      <c r="D99" s="214" t="str">
        <f>IFERROR(VLOOKUP($C99,'PORTIFÓLIO'!C:V,2,0),"")</f>
        <v/>
      </c>
      <c r="E99" s="211" t="str">
        <f>IFERROR(VLOOKUP($C99,'PORTIFÓLIO'!C:V,3,0),"")</f>
        <v/>
      </c>
      <c r="F99" s="211" t="str">
        <f>IFERROR(VLOOKUP($C99,'PORTIFÓLIO'!C:V,4,0),"")</f>
        <v/>
      </c>
      <c r="G99" s="215" t="str">
        <f>IFERROR(VLOOKUP($C99,'PORTIFÓLIO'!C:V,5,0),"")</f>
        <v/>
      </c>
      <c r="H99" s="254" t="str">
        <f t="array" ref="H99">IFERROR(INDEX('PORTIFÓLIO'!$H$4:$H$433,MATCH($C99,'PORTIFÓLIO'!$C$4:$C$433,0)),"")</f>
        <v/>
      </c>
      <c r="I99" s="255"/>
      <c r="J99" s="218"/>
      <c r="K99" s="219" t="str">
        <f t="array" ref="K99">IFERROR(I99*INDEX('PORTIFÓLIO'!$S$4:$S$433,MATCH($C99,'PORTIFÓLIO'!$C$4:$C$433,0)),"")</f>
        <v/>
      </c>
      <c r="L99" s="219" t="str">
        <f t="array" ref="L99">IFERROR(J99*INDEX('PORTIFÓLIO'!$S$4:$S$433,MATCH($C99,'PORTIFÓLIO'!$C$4:$C$433,0)),"")</f>
        <v/>
      </c>
      <c r="M99" s="220"/>
      <c r="N99" s="220"/>
      <c r="O99" s="220"/>
      <c r="P99" s="220"/>
      <c r="Q99" s="220"/>
      <c r="R99" s="220"/>
      <c r="S99" s="220"/>
      <c r="T99" s="220"/>
      <c r="U99" s="220"/>
      <c r="V99" s="220"/>
      <c r="W99" s="220"/>
    </row>
    <row r="100" ht="15.75" customHeight="1" outlineLevel="1">
      <c r="A100" s="211"/>
      <c r="B100" s="212" t="s">
        <v>2</v>
      </c>
      <c r="C100" s="213" t="s">
        <v>829</v>
      </c>
      <c r="D100" s="214" t="str">
        <f>IFERROR(VLOOKUP($C100,'PORTIFÓLIO'!C:V,2,0),"")</f>
        <v>BIFENTRINA</v>
      </c>
      <c r="E100" s="211">
        <f>IFERROR(VLOOKUP($C100,'PORTIFÓLIO'!C:V,3,0),"")</f>
        <v>400</v>
      </c>
      <c r="F100" s="211" t="str">
        <f>IFERROR(VLOOKUP($C100,'PORTIFÓLIO'!C:V,4,0),"")</f>
        <v>L</v>
      </c>
      <c r="G100" s="225" t="str">
        <f>IFERROR(VLOOKUP($C100,'PORTIFÓLIO'!C:V,5,0),"")</f>
        <v>📄 Ver bula</v>
      </c>
      <c r="H100" s="254">
        <f t="array" ref="H100">IFERROR(INDEX('PORTIFÓLIO'!$H$4:$H$433,MATCH($C100,'PORTIFÓLIO'!$C$4:$C$433,0)),"")</f>
        <v>0.05</v>
      </c>
      <c r="I100" s="255">
        <v>0.05</v>
      </c>
      <c r="J100" s="218">
        <f t="shared" ref="J100:J112" si="12">I100*$B$2</f>
        <v>3</v>
      </c>
      <c r="K100" s="219">
        <f t="array" ref="K100">IFERROR(I100*INDEX('PORTIFÓLIO'!$S$4:$S$433,MATCH($C100,'PORTIFÓLIO'!$C$4:$C$433,0)),"")</f>
        <v>3.076419</v>
      </c>
      <c r="L100" s="219">
        <f t="array" ref="L100">IFERROR(J100*INDEX('PORTIFÓLIO'!$S$4:$S$433,MATCH($C100,'PORTIFÓLIO'!$C$4:$C$433,0)),"")</f>
        <v>184.58514</v>
      </c>
      <c r="M100" s="220"/>
      <c r="N100" s="220"/>
      <c r="O100" s="220"/>
      <c r="P100" s="220"/>
      <c r="Q100" s="220"/>
      <c r="R100" s="220"/>
      <c r="S100" s="220"/>
      <c r="T100" s="220"/>
      <c r="U100" s="220"/>
      <c r="V100" s="220"/>
      <c r="W100" s="220"/>
    </row>
    <row r="101" ht="15.75" customHeight="1" outlineLevel="1">
      <c r="A101" s="211"/>
      <c r="B101" s="212" t="s">
        <v>2</v>
      </c>
      <c r="C101" s="213" t="s">
        <v>842</v>
      </c>
      <c r="D101" s="214" t="str">
        <f>IFERROR(VLOOKUP($C101,'PORTIFÓLIO'!C:V,2,0),"")</f>
        <v>IMIDACLOPRIDO</v>
      </c>
      <c r="E101" s="211">
        <f>IFERROR(VLOOKUP($C101,'PORTIFÓLIO'!C:V,3,0),"")</f>
        <v>480</v>
      </c>
      <c r="F101" s="211" t="str">
        <f>IFERROR(VLOOKUP($C101,'PORTIFÓLIO'!C:V,4,0),"")</f>
        <v>L</v>
      </c>
      <c r="G101" s="225" t="str">
        <f>IFERROR(VLOOKUP($C101,'PORTIFÓLIO'!C:V,5,0),"")</f>
        <v>📄 Ver bula</v>
      </c>
      <c r="H101" s="254">
        <f t="array" ref="H101">IFERROR(INDEX('PORTIFÓLIO'!$H$4:$H$433,MATCH($C101,'PORTIFÓLIO'!$C$4:$C$433,0)),"")</f>
        <v>0.25</v>
      </c>
      <c r="I101" s="255">
        <v>0.25</v>
      </c>
      <c r="J101" s="218">
        <f t="shared" si="12"/>
        <v>15</v>
      </c>
      <c r="K101" s="219">
        <f t="array" ref="K101">IFERROR(I101*INDEX('PORTIFÓLIO'!$S$4:$S$433,MATCH($C101,'PORTIFÓLIO'!$C$4:$C$433,0)),"")</f>
        <v>14.0554125</v>
      </c>
      <c r="L101" s="219">
        <f t="array" ref="L101">IFERROR(J101*INDEX('PORTIFÓLIO'!$S$4:$S$433,MATCH($C101,'PORTIFÓLIO'!$C$4:$C$433,0)),"")</f>
        <v>843.32475</v>
      </c>
      <c r="M101" s="220"/>
      <c r="N101" s="220"/>
      <c r="O101" s="220"/>
      <c r="P101" s="220"/>
      <c r="Q101" s="220"/>
      <c r="R101" s="220"/>
      <c r="S101" s="220"/>
      <c r="T101" s="220"/>
      <c r="U101" s="220"/>
      <c r="V101" s="220"/>
      <c r="W101" s="220"/>
    </row>
    <row r="102" ht="15.75" customHeight="1" outlineLevel="1">
      <c r="A102" s="211"/>
      <c r="B102" s="212" t="s">
        <v>2</v>
      </c>
      <c r="C102" s="213" t="s">
        <v>786</v>
      </c>
      <c r="D102" s="214" t="str">
        <f>IFERROR(VLOOKUP($C102,'PORTIFÓLIO'!C:V,2,0),"")</f>
        <v>DIFLUBENZUROM</v>
      </c>
      <c r="E102" s="211">
        <f>IFERROR(VLOOKUP($C102,'PORTIFÓLIO'!C:V,3,0),"")</f>
        <v>480</v>
      </c>
      <c r="F102" s="211" t="str">
        <f>IFERROR(VLOOKUP($C102,'PORTIFÓLIO'!C:V,4,0),"")</f>
        <v>KG</v>
      </c>
      <c r="G102" s="225" t="str">
        <f>IFERROR(VLOOKUP($C102,'PORTIFÓLIO'!C:V,5,0),"")</f>
        <v>📄 Ver bula</v>
      </c>
      <c r="H102" s="254">
        <f t="array" ref="H102">IFERROR(INDEX('PORTIFÓLIO'!$H$4:$H$433,MATCH($C102,'PORTIFÓLIO'!$C$4:$C$433,0)),"")</f>
        <v>0.04</v>
      </c>
      <c r="I102" s="255">
        <v>0.05</v>
      </c>
      <c r="J102" s="218">
        <f t="shared" si="12"/>
        <v>3</v>
      </c>
      <c r="K102" s="219">
        <f t="array" ref="K102">IFERROR(I102*INDEX('PORTIFÓLIO'!$S$4:$S$433,MATCH($C102,'PORTIFÓLIO'!$C$4:$C$433,0)),"")</f>
        <v>2.927979</v>
      </c>
      <c r="L102" s="219">
        <f t="array" ref="L102">IFERROR(J102*INDEX('PORTIFÓLIO'!$S$4:$S$433,MATCH($C102,'PORTIFÓLIO'!$C$4:$C$433,0)),"")</f>
        <v>175.67874</v>
      </c>
      <c r="M102" s="220"/>
      <c r="N102" s="220"/>
      <c r="O102" s="220"/>
      <c r="P102" s="220"/>
      <c r="Q102" s="220"/>
      <c r="R102" s="220"/>
      <c r="S102" s="220"/>
      <c r="T102" s="220"/>
      <c r="U102" s="220"/>
      <c r="V102" s="220"/>
      <c r="W102" s="220"/>
    </row>
    <row r="103" ht="15.75" customHeight="1" outlineLevel="1">
      <c r="A103" s="211"/>
      <c r="B103" s="212" t="s">
        <v>6</v>
      </c>
      <c r="C103" s="213" t="s">
        <v>341</v>
      </c>
      <c r="D103" s="214" t="str">
        <f>IFERROR(VLOOKUP($C103,'PORTIFÓLIO'!C:V,2,0),"")</f>
        <v>ESTER METILICO DE SOJA</v>
      </c>
      <c r="E103" s="211">
        <f>IFERROR(VLOOKUP($C103,'PORTIFÓLIO'!C:V,3,0),"")</f>
        <v>765</v>
      </c>
      <c r="F103" s="211" t="str">
        <f>IFERROR(VLOOKUP($C103,'PORTIFÓLIO'!C:V,4,0),"")</f>
        <v>L</v>
      </c>
      <c r="G103" s="225" t="str">
        <f>IFERROR(VLOOKUP($C103,'PORTIFÓLIO'!C:V,5,0),"")</f>
        <v>📄 Ver bula</v>
      </c>
      <c r="H103" s="254">
        <f t="array" ref="H103">IFERROR(INDEX('PORTIFÓLIO'!$H$4:$H$433,MATCH($C103,'PORTIFÓLIO'!$C$4:$C$433,0)),"")</f>
        <v>0.2</v>
      </c>
      <c r="I103" s="255">
        <v>0.2</v>
      </c>
      <c r="J103" s="218">
        <f t="shared" si="12"/>
        <v>12</v>
      </c>
      <c r="K103" s="219">
        <f t="array" ref="K103">IFERROR(I103*INDEX('PORTIFÓLIO'!$S$4:$S$433,MATCH($C103,'PORTIFÓLIO'!$C$4:$C$433,0)),"")</f>
        <v>3.298974</v>
      </c>
      <c r="L103" s="219">
        <f t="array" ref="L103">IFERROR(J103*INDEX('PORTIFÓLIO'!$S$4:$S$433,MATCH($C103,'PORTIFÓLIO'!$C$4:$C$433,0)),"")</f>
        <v>197.93844</v>
      </c>
      <c r="M103" s="220"/>
      <c r="N103" s="220"/>
      <c r="O103" s="220"/>
      <c r="P103" s="220"/>
      <c r="Q103" s="220"/>
      <c r="R103" s="220"/>
      <c r="S103" s="220"/>
      <c r="T103" s="220"/>
      <c r="U103" s="220"/>
      <c r="V103" s="220"/>
      <c r="W103" s="220"/>
    </row>
    <row r="104" ht="15.75" customHeight="1" outlineLevel="1">
      <c r="A104" s="211"/>
      <c r="B104" s="212" t="s">
        <v>0</v>
      </c>
      <c r="C104" s="213" t="s">
        <v>484</v>
      </c>
      <c r="D104" s="214" t="str">
        <f>IFERROR(VLOOKUP($C104,'PORTIFÓLIO'!C:V,2,0),"")</f>
        <v>MANCOZEBE</v>
      </c>
      <c r="E104" s="211">
        <f>IFERROR(VLOOKUP($C104,'PORTIFÓLIO'!C:V,3,0),"")</f>
        <v>750</v>
      </c>
      <c r="F104" s="211" t="str">
        <f>IFERROR(VLOOKUP($C104,'PORTIFÓLIO'!C:V,4,0),"")</f>
        <v>L</v>
      </c>
      <c r="G104" s="225" t="str">
        <f>IFERROR(VLOOKUP($C104,'PORTIFÓLIO'!C:V,5,0),"")</f>
        <v>📄 Ver bula</v>
      </c>
      <c r="H104" s="254">
        <f t="array" ref="H104">IFERROR(INDEX('PORTIFÓLIO'!$H$4:$H$433,MATCH($C104,'PORTIFÓLIO'!$C$4:$C$433,0)),"")</f>
        <v>1.5</v>
      </c>
      <c r="I104" s="255">
        <v>1.5</v>
      </c>
      <c r="J104" s="218">
        <f t="shared" si="12"/>
        <v>90</v>
      </c>
      <c r="K104" s="219">
        <f t="array" ref="K104">IFERROR(I104*INDEX('PORTIFÓLIO'!$S$4:$S$433,MATCH($C104,'PORTIFÓLIO'!$C$4:$C$433,0)),"")</f>
        <v>41.52168</v>
      </c>
      <c r="L104" s="219">
        <f t="array" ref="L104">IFERROR(J104*INDEX('PORTIFÓLIO'!$S$4:$S$433,MATCH($C104,'PORTIFÓLIO'!$C$4:$C$433,0)),"")</f>
        <v>2491.3008</v>
      </c>
      <c r="M104" s="220"/>
      <c r="N104" s="220"/>
      <c r="O104" s="220"/>
      <c r="P104" s="220"/>
      <c r="Q104" s="220"/>
      <c r="R104" s="220"/>
      <c r="S104" s="220"/>
      <c r="T104" s="220"/>
      <c r="U104" s="220"/>
      <c r="V104" s="220"/>
      <c r="W104" s="220"/>
    </row>
    <row r="105" ht="15.75" customHeight="1" outlineLevel="1">
      <c r="A105" s="211"/>
      <c r="B105" s="212"/>
      <c r="C105" s="213"/>
      <c r="D105" s="214" t="str">
        <f>IFERROR(VLOOKUP($C105,'PORTIFÓLIO'!C:V,2,0),"")</f>
        <v/>
      </c>
      <c r="E105" s="211" t="str">
        <f>IFERROR(VLOOKUP($C105,'PORTIFÓLIO'!C:V,3,0),"")</f>
        <v/>
      </c>
      <c r="F105" s="211" t="str">
        <f>IFERROR(VLOOKUP($C105,'PORTIFÓLIO'!C:V,4,0),"")</f>
        <v/>
      </c>
      <c r="G105" s="215" t="str">
        <f>IFERROR(VLOOKUP($C105,'PORTIFÓLIO'!C:V,5,0),"")</f>
        <v/>
      </c>
      <c r="H105" s="254" t="str">
        <f t="array" ref="H105">IFERROR(INDEX('PORTIFÓLIO'!$H$4:$H$433,MATCH($C105,'PORTIFÓLIO'!$C$4:$C$433,0)),"")</f>
        <v/>
      </c>
      <c r="I105" s="256"/>
      <c r="J105" s="218">
        <f t="shared" si="12"/>
        <v>0</v>
      </c>
      <c r="K105" s="219" t="str">
        <f t="array" ref="K105">IFERROR(I105*INDEX('PORTIFÓLIO'!$S$4:$S$433,MATCH($C105,'PORTIFÓLIO'!$C$4:$C$433,0)),"")</f>
        <v/>
      </c>
      <c r="L105" s="219" t="str">
        <f t="array" ref="L105">IFERROR(J105*INDEX('PORTIFÓLIO'!$S$4:$S$433,MATCH($C105,'PORTIFÓLIO'!$C$4:$C$433,0)),"")</f>
        <v/>
      </c>
      <c r="M105" s="220"/>
      <c r="N105" s="220"/>
      <c r="O105" s="220"/>
      <c r="P105" s="220"/>
      <c r="Q105" s="220"/>
      <c r="R105" s="220"/>
      <c r="S105" s="220"/>
      <c r="T105" s="220"/>
      <c r="U105" s="220"/>
      <c r="V105" s="220"/>
      <c r="W105" s="220"/>
    </row>
    <row r="106" ht="15.75" customHeight="1" outlineLevel="1">
      <c r="A106" s="211"/>
      <c r="B106" s="212"/>
      <c r="C106" s="213"/>
      <c r="D106" s="214" t="str">
        <f>IFERROR(VLOOKUP($C106,'PORTIFÓLIO'!C:V,2,0),"")</f>
        <v/>
      </c>
      <c r="E106" s="211" t="str">
        <f>IFERROR(VLOOKUP($C106,'PORTIFÓLIO'!C:V,3,0),"")</f>
        <v/>
      </c>
      <c r="F106" s="211" t="str">
        <f>IFERROR(VLOOKUP($C106,'PORTIFÓLIO'!C:V,4,0),"")</f>
        <v/>
      </c>
      <c r="G106" s="215" t="str">
        <f>IFERROR(VLOOKUP($C106,'PORTIFÓLIO'!C:V,5,0),"")</f>
        <v/>
      </c>
      <c r="H106" s="254" t="str">
        <f t="array" ref="H106">IFERROR(INDEX('PORTIFÓLIO'!$H$4:$H$433,MATCH($C106,'PORTIFÓLIO'!$C$4:$C$433,0)),"")</f>
        <v/>
      </c>
      <c r="I106" s="255"/>
      <c r="J106" s="218">
        <f t="shared" si="12"/>
        <v>0</v>
      </c>
      <c r="K106" s="219" t="str">
        <f t="array" ref="K106">IFERROR(I106*INDEX('PORTIFÓLIO'!$S$4:$S$433,MATCH($C106,'PORTIFÓLIO'!$C$4:$C$433,0)),"")</f>
        <v/>
      </c>
      <c r="L106" s="219" t="str">
        <f t="array" ref="L106">IFERROR(J106*INDEX('PORTIFÓLIO'!$S$4:$S$433,MATCH($C106,'PORTIFÓLIO'!$C$4:$C$433,0)),"")</f>
        <v/>
      </c>
      <c r="M106" s="220"/>
      <c r="N106" s="220"/>
      <c r="O106" s="220"/>
      <c r="P106" s="220"/>
      <c r="Q106" s="220"/>
      <c r="R106" s="220"/>
      <c r="S106" s="220"/>
      <c r="T106" s="220"/>
      <c r="U106" s="220"/>
      <c r="V106" s="220"/>
      <c r="W106" s="220"/>
    </row>
    <row r="107" ht="15.75" customHeight="1" outlineLevel="1">
      <c r="A107" s="211"/>
      <c r="B107" s="212"/>
      <c r="C107" s="213"/>
      <c r="D107" s="214" t="str">
        <f>IFERROR(VLOOKUP($C107,'PORTIFÓLIO'!C:V,2,0),"")</f>
        <v/>
      </c>
      <c r="E107" s="211" t="str">
        <f>IFERROR(VLOOKUP($C107,'PORTIFÓLIO'!C:V,3,0),"")</f>
        <v/>
      </c>
      <c r="F107" s="211" t="str">
        <f>IFERROR(VLOOKUP($C107,'PORTIFÓLIO'!C:V,4,0),"")</f>
        <v/>
      </c>
      <c r="G107" s="215" t="str">
        <f>IFERROR(VLOOKUP($C107,'PORTIFÓLIO'!C:V,5,0),"")</f>
        <v/>
      </c>
      <c r="H107" s="254" t="str">
        <f t="array" ref="H107">IFERROR(INDEX('PORTIFÓLIO'!$H$4:$H$433,MATCH($C107,'PORTIFÓLIO'!$C$4:$C$433,0)),"")</f>
        <v/>
      </c>
      <c r="I107" s="256"/>
      <c r="J107" s="218">
        <f t="shared" si="12"/>
        <v>0</v>
      </c>
      <c r="K107" s="219" t="str">
        <f t="array" ref="K107">IFERROR(I107*INDEX('PORTIFÓLIO'!$S$4:$S$433,MATCH($C107,'PORTIFÓLIO'!$C$4:$C$433,0)),"")</f>
        <v/>
      </c>
      <c r="L107" s="219" t="str">
        <f t="array" ref="L107">IFERROR(J107*INDEX('PORTIFÓLIO'!$S$4:$S$433,MATCH($C107,'PORTIFÓLIO'!$C$4:$C$433,0)),"")</f>
        <v/>
      </c>
      <c r="M107" s="220"/>
      <c r="N107" s="220"/>
      <c r="O107" s="220"/>
      <c r="P107" s="220"/>
      <c r="Q107" s="220"/>
      <c r="R107" s="220"/>
      <c r="S107" s="220"/>
      <c r="T107" s="220"/>
      <c r="U107" s="220"/>
      <c r="V107" s="220"/>
      <c r="W107" s="220"/>
    </row>
    <row r="108" ht="15.75" customHeight="1" outlineLevel="1">
      <c r="A108" s="211"/>
      <c r="B108" s="212"/>
      <c r="C108" s="213"/>
      <c r="D108" s="214" t="str">
        <f>IFERROR(VLOOKUP($C108,'PORTIFÓLIO'!C:V,2,0),"")</f>
        <v/>
      </c>
      <c r="E108" s="211" t="str">
        <f>IFERROR(VLOOKUP($C108,'PORTIFÓLIO'!C:V,3,0),"")</f>
        <v/>
      </c>
      <c r="F108" s="211" t="str">
        <f>IFERROR(VLOOKUP($C108,'PORTIFÓLIO'!C:V,4,0),"")</f>
        <v/>
      </c>
      <c r="G108" s="215" t="str">
        <f>IFERROR(VLOOKUP($C108,'PORTIFÓLIO'!C:V,5,0),"")</f>
        <v/>
      </c>
      <c r="H108" s="254" t="str">
        <f t="array" ref="H108">IFERROR(INDEX('PORTIFÓLIO'!$H$4:$H$433,MATCH($C108,'PORTIFÓLIO'!$C$4:$C$433,0)),"")</f>
        <v/>
      </c>
      <c r="I108" s="256"/>
      <c r="J108" s="218">
        <f t="shared" si="12"/>
        <v>0</v>
      </c>
      <c r="K108" s="219" t="str">
        <f t="array" ref="K108">IFERROR(I108*INDEX('PORTIFÓLIO'!$S$4:$S$433,MATCH($C108,'PORTIFÓLIO'!$C$4:$C$433,0)),"")</f>
        <v/>
      </c>
      <c r="L108" s="219" t="str">
        <f t="array" ref="L108">IFERROR(J108*INDEX('PORTIFÓLIO'!$S$4:$S$433,MATCH($C108,'PORTIFÓLIO'!$C$4:$C$433,0)),"")</f>
        <v/>
      </c>
      <c r="M108" s="220"/>
      <c r="N108" s="220"/>
      <c r="O108" s="220"/>
      <c r="P108" s="220"/>
      <c r="Q108" s="220"/>
      <c r="R108" s="220"/>
      <c r="S108" s="220"/>
      <c r="T108" s="220"/>
      <c r="U108" s="220"/>
      <c r="V108" s="220"/>
      <c r="W108" s="220"/>
    </row>
    <row r="109" ht="15.75" customHeight="1" outlineLevel="1">
      <c r="A109" s="211"/>
      <c r="B109" s="212"/>
      <c r="C109" s="213"/>
      <c r="D109" s="214" t="str">
        <f>IFERROR(VLOOKUP($C109,'PORTIFÓLIO'!C:V,2,0),"")</f>
        <v/>
      </c>
      <c r="E109" s="211" t="str">
        <f>IFERROR(VLOOKUP($C109,'PORTIFÓLIO'!C:V,3,0),"")</f>
        <v/>
      </c>
      <c r="F109" s="211" t="str">
        <f>IFERROR(VLOOKUP($C109,'PORTIFÓLIO'!C:V,4,0),"")</f>
        <v/>
      </c>
      <c r="G109" s="215" t="str">
        <f>IFERROR(VLOOKUP($C109,'PORTIFÓLIO'!C:V,5,0),"")</f>
        <v/>
      </c>
      <c r="H109" s="254" t="str">
        <f t="array" ref="H109">IFERROR(INDEX('PORTIFÓLIO'!$H$4:$H$433,MATCH($C109,'PORTIFÓLIO'!$C$4:$C$433,0)),"")</f>
        <v/>
      </c>
      <c r="I109" s="256"/>
      <c r="J109" s="218">
        <f t="shared" si="12"/>
        <v>0</v>
      </c>
      <c r="K109" s="219" t="str">
        <f t="array" ref="K109">IFERROR(I109*INDEX('PORTIFÓLIO'!$S$4:$S$433,MATCH($C109,'PORTIFÓLIO'!$C$4:$C$433,0)),"")</f>
        <v/>
      </c>
      <c r="L109" s="219" t="str">
        <f t="array" ref="L109">IFERROR(J109*INDEX('PORTIFÓLIO'!$S$4:$S$433,MATCH($C109,'PORTIFÓLIO'!$C$4:$C$433,0)),"")</f>
        <v/>
      </c>
      <c r="M109" s="220"/>
      <c r="N109" s="220"/>
      <c r="O109" s="220"/>
      <c r="P109" s="220"/>
      <c r="Q109" s="220"/>
      <c r="R109" s="220"/>
      <c r="S109" s="220"/>
      <c r="T109" s="220"/>
      <c r="U109" s="220"/>
      <c r="V109" s="220"/>
      <c r="W109" s="220"/>
    </row>
    <row r="110" ht="15.75" customHeight="1" outlineLevel="1">
      <c r="A110" s="211"/>
      <c r="B110" s="212"/>
      <c r="C110" s="213"/>
      <c r="D110" s="214" t="str">
        <f>IFERROR(VLOOKUP($C110,'PORTIFÓLIO'!C:V,2,0),"")</f>
        <v/>
      </c>
      <c r="E110" s="211" t="str">
        <f>IFERROR(VLOOKUP($C110,'PORTIFÓLIO'!C:V,3,0),"")</f>
        <v/>
      </c>
      <c r="F110" s="211" t="str">
        <f>IFERROR(VLOOKUP($C110,'PORTIFÓLIO'!C:V,4,0),"")</f>
        <v/>
      </c>
      <c r="G110" s="215" t="str">
        <f>IFERROR(VLOOKUP($C110,'PORTIFÓLIO'!C:V,5,0),"")</f>
        <v/>
      </c>
      <c r="H110" s="254" t="str">
        <f t="array" ref="H110">IFERROR(INDEX('PORTIFÓLIO'!$H$4:$H$433,MATCH($C110,'PORTIFÓLIO'!$C$4:$C$433,0)),"")</f>
        <v/>
      </c>
      <c r="I110" s="256"/>
      <c r="J110" s="218">
        <f t="shared" si="12"/>
        <v>0</v>
      </c>
      <c r="K110" s="219" t="str">
        <f t="array" ref="K110">IFERROR(I110*INDEX('PORTIFÓLIO'!$S$4:$S$433,MATCH($C110,'PORTIFÓLIO'!$C$4:$C$433,0)),"")</f>
        <v/>
      </c>
      <c r="L110" s="219" t="str">
        <f t="array" ref="L110">IFERROR(J110*INDEX('PORTIFÓLIO'!$S$4:$S$433,MATCH($C110,'PORTIFÓLIO'!$C$4:$C$433,0)),"")</f>
        <v/>
      </c>
      <c r="M110" s="220"/>
      <c r="N110" s="220"/>
      <c r="O110" s="220"/>
      <c r="P110" s="220"/>
      <c r="Q110" s="220"/>
      <c r="R110" s="220"/>
      <c r="S110" s="220"/>
      <c r="T110" s="220"/>
      <c r="U110" s="220"/>
      <c r="V110" s="220"/>
      <c r="W110" s="220"/>
    </row>
    <row r="111" ht="15.75" customHeight="1" outlineLevel="1">
      <c r="A111" s="211"/>
      <c r="B111" s="212"/>
      <c r="C111" s="213"/>
      <c r="D111" s="214" t="str">
        <f>IFERROR(VLOOKUP($C111,'PORTIFÓLIO'!C:V,2,0),"")</f>
        <v/>
      </c>
      <c r="E111" s="211" t="str">
        <f>IFERROR(VLOOKUP($C111,'PORTIFÓLIO'!C:V,3,0),"")</f>
        <v/>
      </c>
      <c r="F111" s="211" t="str">
        <f>IFERROR(VLOOKUP($C111,'PORTIFÓLIO'!C:V,4,0),"")</f>
        <v/>
      </c>
      <c r="G111" s="215" t="str">
        <f>IFERROR(VLOOKUP($C111,'PORTIFÓLIO'!C:V,5,0),"")</f>
        <v/>
      </c>
      <c r="H111" s="254" t="str">
        <f t="array" ref="H111">IFERROR(INDEX('PORTIFÓLIO'!$H$4:$H$433,MATCH($C111,'PORTIFÓLIO'!$C$4:$C$433,0)),"")</f>
        <v/>
      </c>
      <c r="I111" s="256"/>
      <c r="J111" s="218">
        <f t="shared" si="12"/>
        <v>0</v>
      </c>
      <c r="K111" s="219" t="str">
        <f t="array" ref="K111">IFERROR(I111*INDEX('PORTIFÓLIO'!$S$4:$S$433,MATCH($C111,'PORTIFÓLIO'!$C$4:$C$433,0)),"")</f>
        <v/>
      </c>
      <c r="L111" s="219" t="str">
        <f t="array" ref="L111">IFERROR(J111*INDEX('PORTIFÓLIO'!$S$4:$S$433,MATCH($C111,'PORTIFÓLIO'!$C$4:$C$433,0)),"")</f>
        <v/>
      </c>
      <c r="M111" s="220"/>
      <c r="N111" s="220"/>
      <c r="O111" s="220"/>
      <c r="P111" s="220"/>
      <c r="Q111" s="220"/>
      <c r="R111" s="220"/>
      <c r="S111" s="220"/>
      <c r="T111" s="220"/>
      <c r="U111" s="220"/>
      <c r="V111" s="220"/>
      <c r="W111" s="220"/>
    </row>
    <row r="112" ht="15.75" customHeight="1" outlineLevel="1">
      <c r="A112" s="211"/>
      <c r="B112" s="212"/>
      <c r="C112" s="213"/>
      <c r="D112" s="214" t="str">
        <f>IFERROR(VLOOKUP($C112,'PORTIFÓLIO'!C:V,2,0),"")</f>
        <v/>
      </c>
      <c r="E112" s="211" t="str">
        <f>IFERROR(VLOOKUP($C112,'PORTIFÓLIO'!C:V,3,0),"")</f>
        <v/>
      </c>
      <c r="F112" s="211" t="str">
        <f>IFERROR(VLOOKUP($C112,'PORTIFÓLIO'!C:V,4,0),"")</f>
        <v/>
      </c>
      <c r="G112" s="215" t="str">
        <f>IFERROR(VLOOKUP($C112,'PORTIFÓLIO'!C:V,5,0),"")</f>
        <v/>
      </c>
      <c r="H112" s="254" t="str">
        <f t="array" ref="H112">IFERROR(INDEX('PORTIFÓLIO'!$H$4:$H$433,MATCH($C112,'PORTIFÓLIO'!$C$4:$C$433,0)),"")</f>
        <v/>
      </c>
      <c r="I112" s="256"/>
      <c r="J112" s="218">
        <f t="shared" si="12"/>
        <v>0</v>
      </c>
      <c r="K112" s="219" t="str">
        <f t="array" ref="K112">IFERROR(I112*INDEX('PORTIFÓLIO'!$S$4:$S$433,MATCH($C112,'PORTIFÓLIO'!$C$4:$C$433,0)),"")</f>
        <v/>
      </c>
      <c r="L112" s="219" t="str">
        <f t="array" ref="L112">IFERROR(J112*INDEX('PORTIFÓLIO'!$S$4:$S$433,MATCH($C112,'PORTIFÓLIO'!$C$4:$C$433,0)),"")</f>
        <v/>
      </c>
      <c r="M112" s="220"/>
      <c r="N112" s="220"/>
      <c r="O112" s="220"/>
      <c r="P112" s="220"/>
      <c r="Q112" s="220"/>
      <c r="R112" s="220"/>
      <c r="S112" s="220"/>
      <c r="T112" s="220"/>
      <c r="U112" s="220"/>
      <c r="V112" s="220"/>
      <c r="W112" s="220"/>
    </row>
    <row r="113" ht="15.75" customHeight="1" outlineLevel="1">
      <c r="A113" s="211"/>
      <c r="B113" s="212"/>
      <c r="C113" s="211"/>
      <c r="D113" s="214" t="str">
        <f>IFERROR(VLOOKUP($C113,'PORTIFÓLIO'!C:V,2,0),"")</f>
        <v/>
      </c>
      <c r="E113" s="211" t="str">
        <f>IFERROR(VLOOKUP($C113,'PORTIFÓLIO'!C:V,3,0),"")</f>
        <v/>
      </c>
      <c r="F113" s="211" t="str">
        <f>IFERROR(VLOOKUP($C113,'PORTIFÓLIO'!C:V,4,0),"")</f>
        <v/>
      </c>
      <c r="G113" s="215" t="str">
        <f>IFERROR(VLOOKUP($C113,'PORTIFÓLIO'!C:V,5,0),"")</f>
        <v/>
      </c>
      <c r="H113" s="254" t="str">
        <f t="array" ref="H113">IFERROR(INDEX('PORTIFÓLIO'!$H$4:$H$433,MATCH($C113,'PORTIFÓLIO'!$C$4:$C$433,0)),"")</f>
        <v/>
      </c>
      <c r="I113" s="256"/>
      <c r="J113" s="218"/>
      <c r="K113" s="219" t="str">
        <f t="array" ref="K113">IFERROR(I113*INDEX('PORTIFÓLIO'!$S$4:$S$433,MATCH($C113,'PORTIFÓLIO'!$C$4:$C$433,0)),"")</f>
        <v/>
      </c>
      <c r="L113" s="219" t="str">
        <f t="array" ref="L113">IFERROR(J113*INDEX('PORTIFÓLIO'!$S$4:$S$433,MATCH($C113,'PORTIFÓLIO'!$C$4:$C$433,0)),"")</f>
        <v/>
      </c>
      <c r="M113" s="220"/>
      <c r="N113" s="220"/>
      <c r="O113" s="220"/>
      <c r="P113" s="220"/>
      <c r="Q113" s="220"/>
      <c r="R113" s="220"/>
      <c r="S113" s="220"/>
      <c r="T113" s="220"/>
      <c r="U113" s="220"/>
      <c r="V113" s="220"/>
      <c r="W113" s="220"/>
    </row>
    <row r="114" ht="15.75" customHeight="1">
      <c r="A114" s="229" t="s">
        <v>1190</v>
      </c>
      <c r="B114" s="230"/>
      <c r="C114" s="231"/>
      <c r="D114" s="232"/>
      <c r="E114" s="231"/>
      <c r="F114" s="231"/>
      <c r="G114" s="233"/>
      <c r="H114" s="233"/>
      <c r="I114" s="258"/>
      <c r="J114" s="236"/>
      <c r="K114" s="237">
        <f t="shared" ref="K114:L114" si="13">SUBTOTAL(9,K115:K128)</f>
        <v>169.005179</v>
      </c>
      <c r="L114" s="237">
        <f t="shared" si="13"/>
        <v>10140.31074</v>
      </c>
      <c r="M114" s="220"/>
      <c r="N114" s="220"/>
      <c r="O114" s="220"/>
      <c r="P114" s="220"/>
      <c r="Q114" s="220"/>
      <c r="R114" s="220"/>
      <c r="S114" s="220"/>
      <c r="T114" s="220"/>
      <c r="U114" s="220"/>
      <c r="V114" s="220"/>
      <c r="W114" s="220"/>
    </row>
    <row r="115" ht="15.75" customHeight="1" outlineLevel="1">
      <c r="A115" s="213"/>
      <c r="B115" s="212" t="s">
        <v>0</v>
      </c>
      <c r="C115" s="283" t="s">
        <v>467</v>
      </c>
      <c r="D115" s="214" t="str">
        <f>IFERROR(VLOOKUP($C115,'PORTIFÓLIO'!C:V,2,0),"")</f>
        <v>BIXAFEM + PROTIOCONAZOL + TRIFLOXISTROBINA</v>
      </c>
      <c r="E115" s="211" t="str">
        <f>IFERROR(VLOOKUP($C115,'PORTIFÓLIO'!C:V,3,0),"")</f>
        <v>125 + 175 + 150</v>
      </c>
      <c r="F115" s="211" t="str">
        <f>IFERROR(VLOOKUP($C115,'PORTIFÓLIO'!C:V,4,0),"")</f>
        <v>L</v>
      </c>
      <c r="G115" s="225" t="str">
        <f>IFERROR(VLOOKUP($C115,'PORTIFÓLIO'!C:V,5,0),"")</f>
        <v>📄 Ver bula</v>
      </c>
      <c r="H115" s="254">
        <f t="array" ref="H115">IFERROR(INDEX('PORTIFÓLIO'!$H$4:$H$433,MATCH($C115,'PORTIFÓLIO'!$C$4:$C$433,0)),"")</f>
        <v>0.5</v>
      </c>
      <c r="I115" s="255">
        <v>0.5</v>
      </c>
      <c r="J115" s="218">
        <f t="shared" ref="J115:J129" si="14">I115*$B$2</f>
        <v>30</v>
      </c>
      <c r="K115" s="219">
        <f t="array" ref="K115">IFERROR(I115*INDEX('PORTIFÓLIO'!$S$4:$S$433,MATCH($C115,'PORTIFÓLIO'!$C$4:$C$433,0)),"")</f>
        <v>99.08352</v>
      </c>
      <c r="L115" s="219">
        <f t="array" ref="L115">IFERROR(J115*INDEX('PORTIFÓLIO'!$S$4:$S$433,MATCH($C115,'PORTIFÓLIO'!$C$4:$C$433,0)),"")</f>
        <v>5945.0112</v>
      </c>
      <c r="M115" s="220"/>
      <c r="N115" s="220"/>
      <c r="O115" s="220"/>
      <c r="P115" s="220"/>
      <c r="Q115" s="220"/>
      <c r="R115" s="220"/>
      <c r="S115" s="220"/>
      <c r="T115" s="220"/>
      <c r="U115" s="220"/>
      <c r="V115" s="220"/>
      <c r="W115" s="220"/>
    </row>
    <row r="116" ht="15.75" customHeight="1" outlineLevel="1">
      <c r="A116" s="211"/>
      <c r="B116" s="212"/>
      <c r="C116" s="283"/>
      <c r="D116" s="214" t="str">
        <f>IFERROR(VLOOKUP($C116,'PORTIFÓLIO'!C:V,2,0),"")</f>
        <v/>
      </c>
      <c r="E116" s="211" t="str">
        <f>IFERROR(VLOOKUP($C116,'PORTIFÓLIO'!C:V,3,0),"")</f>
        <v/>
      </c>
      <c r="F116" s="211" t="str">
        <f>IFERROR(VLOOKUP($C116,'PORTIFÓLIO'!C:V,4,0),"")</f>
        <v/>
      </c>
      <c r="G116" s="215" t="str">
        <f>IFERROR(VLOOKUP($C116,'PORTIFÓLIO'!C:V,5,0),"")</f>
        <v/>
      </c>
      <c r="H116" s="254" t="str">
        <f t="array" ref="H116">IFERROR(INDEX('PORTIFÓLIO'!$H$4:$H$433,MATCH($C116,'PORTIFÓLIO'!$C$4:$C$433,0)),"")</f>
        <v/>
      </c>
      <c r="I116" s="255"/>
      <c r="J116" s="218">
        <f t="shared" si="14"/>
        <v>0</v>
      </c>
      <c r="K116" s="219" t="str">
        <f t="array" ref="K116">IFERROR(I116*INDEX('PORTIFÓLIO'!$S$4:$S$433,MATCH($C116,'PORTIFÓLIO'!$C$4:$C$433,0)),"")</f>
        <v/>
      </c>
      <c r="L116" s="219" t="str">
        <f t="array" ref="L116">IFERROR(J116*INDEX('PORTIFÓLIO'!$S$4:$S$433,MATCH($C116,'PORTIFÓLIO'!$C$4:$C$433,0)),"")</f>
        <v/>
      </c>
      <c r="M116" s="220"/>
      <c r="N116" s="220"/>
      <c r="O116" s="220"/>
      <c r="P116" s="220"/>
      <c r="Q116" s="220"/>
      <c r="R116" s="220"/>
      <c r="S116" s="220"/>
      <c r="T116" s="220"/>
      <c r="U116" s="220"/>
      <c r="V116" s="220"/>
      <c r="W116" s="220"/>
    </row>
    <row r="117" ht="15.75" customHeight="1" outlineLevel="1">
      <c r="A117" s="211"/>
      <c r="B117" s="212" t="s">
        <v>0</v>
      </c>
      <c r="C117" s="283" t="s">
        <v>484</v>
      </c>
      <c r="D117" s="214" t="str">
        <f>IFERROR(VLOOKUP($C117,'PORTIFÓLIO'!C:V,2,0),"")</f>
        <v>MANCOZEBE</v>
      </c>
      <c r="E117" s="211">
        <f>IFERROR(VLOOKUP($C117,'PORTIFÓLIO'!C:V,3,0),"")</f>
        <v>750</v>
      </c>
      <c r="F117" s="211" t="str">
        <f>IFERROR(VLOOKUP($C117,'PORTIFÓLIO'!C:V,4,0),"")</f>
        <v>L</v>
      </c>
      <c r="G117" s="225" t="str">
        <f>IFERROR(VLOOKUP($C117,'PORTIFÓLIO'!C:V,5,0),"")</f>
        <v>📄 Ver bula</v>
      </c>
      <c r="H117" s="254">
        <f t="array" ref="H117">IFERROR(INDEX('PORTIFÓLIO'!$H$4:$H$433,MATCH($C117,'PORTIFÓLIO'!$C$4:$C$433,0)),"")</f>
        <v>1.5</v>
      </c>
      <c r="I117" s="255">
        <v>1.5</v>
      </c>
      <c r="J117" s="218">
        <f t="shared" si="14"/>
        <v>90</v>
      </c>
      <c r="K117" s="219">
        <f t="array" ref="K117">IFERROR(I117*INDEX('PORTIFÓLIO'!$S$4:$S$433,MATCH($C117,'PORTIFÓLIO'!$C$4:$C$433,0)),"")</f>
        <v>41.52168</v>
      </c>
      <c r="L117" s="219">
        <f t="array" ref="L117">IFERROR(J117*INDEX('PORTIFÓLIO'!$S$4:$S$433,MATCH($C117,'PORTIFÓLIO'!$C$4:$C$433,0)),"")</f>
        <v>2491.3008</v>
      </c>
      <c r="M117" s="220"/>
      <c r="N117" s="220"/>
      <c r="O117" s="220"/>
      <c r="P117" s="220"/>
      <c r="Q117" s="220"/>
      <c r="R117" s="220"/>
      <c r="S117" s="220"/>
      <c r="T117" s="220"/>
      <c r="U117" s="220"/>
      <c r="V117" s="220"/>
      <c r="W117" s="220"/>
    </row>
    <row r="118" ht="15.75" customHeight="1" outlineLevel="1">
      <c r="A118" s="211"/>
      <c r="B118" s="212" t="s">
        <v>2</v>
      </c>
      <c r="C118" s="283" t="s">
        <v>752</v>
      </c>
      <c r="D118" s="214" t="str">
        <f>IFERROR(VLOOKUP($C118,'PORTIFÓLIO'!C:V,2,0),"")</f>
        <v>ACEFATO</v>
      </c>
      <c r="E118" s="211">
        <f>IFERROR(VLOOKUP($C118,'PORTIFÓLIO'!C:V,3,0),"")</f>
        <v>970</v>
      </c>
      <c r="F118" s="211" t="str">
        <f>IFERROR(VLOOKUP($C118,'PORTIFÓLIO'!C:V,4,0),"")</f>
        <v>L</v>
      </c>
      <c r="G118" s="225" t="str">
        <f>IFERROR(VLOOKUP($C118,'PORTIFÓLIO'!C:V,5,0),"")</f>
        <v>📄 Ver bula</v>
      </c>
      <c r="H118" s="254">
        <f t="array" ref="H118">IFERROR(INDEX('PORTIFÓLIO'!$H$4:$H$433,MATCH($C118,'PORTIFÓLIO'!$C$4:$C$433,0)),"")</f>
        <v>0.6</v>
      </c>
      <c r="I118" s="255">
        <v>0.6</v>
      </c>
      <c r="J118" s="218">
        <f t="shared" si="14"/>
        <v>36</v>
      </c>
      <c r="K118" s="219">
        <f t="array" ref="K118">IFERROR(I118*INDEX('PORTIFÓLIO'!$S$4:$S$433,MATCH($C118,'PORTIFÓLIO'!$C$4:$C$433,0)),"")</f>
        <v>22.266</v>
      </c>
      <c r="L118" s="219">
        <f t="array" ref="L118">IFERROR(J118*INDEX('PORTIFÓLIO'!$S$4:$S$433,MATCH($C118,'PORTIFÓLIO'!$C$4:$C$433,0)),"")</f>
        <v>1335.96</v>
      </c>
      <c r="M118" s="220"/>
      <c r="N118" s="220"/>
      <c r="O118" s="220"/>
      <c r="P118" s="220"/>
      <c r="Q118" s="220"/>
      <c r="R118" s="220"/>
      <c r="S118" s="220"/>
      <c r="T118" s="220"/>
      <c r="U118" s="220"/>
      <c r="V118" s="220"/>
      <c r="W118" s="220"/>
    </row>
    <row r="119" ht="15.75" customHeight="1" outlineLevel="1">
      <c r="A119" s="211"/>
      <c r="B119" s="212" t="s">
        <v>2</v>
      </c>
      <c r="C119" s="283" t="s">
        <v>786</v>
      </c>
      <c r="D119" s="214" t="str">
        <f>IFERROR(VLOOKUP($C119,'PORTIFÓLIO'!C:V,2,0),"")</f>
        <v>DIFLUBENZUROM</v>
      </c>
      <c r="E119" s="211">
        <f>IFERROR(VLOOKUP($C119,'PORTIFÓLIO'!C:V,3,0),"")</f>
        <v>480</v>
      </c>
      <c r="F119" s="211" t="str">
        <f>IFERROR(VLOOKUP($C119,'PORTIFÓLIO'!C:V,4,0),"")</f>
        <v>KG</v>
      </c>
      <c r="G119" s="225" t="str">
        <f>IFERROR(VLOOKUP($C119,'PORTIFÓLIO'!C:V,5,0),"")</f>
        <v>📄 Ver bula</v>
      </c>
      <c r="H119" s="254">
        <f t="array" ref="H119">IFERROR(INDEX('PORTIFÓLIO'!$H$4:$H$433,MATCH($C119,'PORTIFÓLIO'!$C$4:$C$433,0)),"")</f>
        <v>0.04</v>
      </c>
      <c r="I119" s="255">
        <v>0.05</v>
      </c>
      <c r="J119" s="218">
        <f t="shared" si="14"/>
        <v>3</v>
      </c>
      <c r="K119" s="219">
        <f t="array" ref="K119">IFERROR(I119*INDEX('PORTIFÓLIO'!$S$4:$S$433,MATCH($C119,'PORTIFÓLIO'!$C$4:$C$433,0)),"")</f>
        <v>2.927979</v>
      </c>
      <c r="L119" s="219">
        <f t="array" ref="L119">IFERROR(J119*INDEX('PORTIFÓLIO'!$S$4:$S$433,MATCH($C119,'PORTIFÓLIO'!$C$4:$C$433,0)),"")</f>
        <v>175.67874</v>
      </c>
      <c r="M119" s="220"/>
      <c r="N119" s="220"/>
      <c r="O119" s="220"/>
      <c r="P119" s="220"/>
      <c r="Q119" s="220"/>
      <c r="R119" s="220"/>
      <c r="S119" s="220"/>
      <c r="T119" s="220"/>
      <c r="U119" s="220"/>
      <c r="V119" s="220"/>
      <c r="W119" s="220"/>
    </row>
    <row r="120" ht="15.75" customHeight="1" outlineLevel="1">
      <c r="A120" s="211"/>
      <c r="B120" s="212" t="s">
        <v>6</v>
      </c>
      <c r="C120" s="213" t="s">
        <v>354</v>
      </c>
      <c r="D120" s="214" t="str">
        <f>IFERROR(VLOOKUP($C120,'PORTIFÓLIO'!C:V,2,0),"")</f>
        <v>OLEO MINERAL</v>
      </c>
      <c r="E120" s="211">
        <f>IFERROR(VLOOKUP($C120,'PORTIFÓLIO'!C:V,3,0),"")</f>
        <v>761</v>
      </c>
      <c r="F120" s="211" t="str">
        <f>IFERROR(VLOOKUP($C120,'PORTIFÓLIO'!C:V,4,0),"")</f>
        <v>L</v>
      </c>
      <c r="G120" s="225" t="str">
        <f>IFERROR(VLOOKUP($C120,'PORTIFÓLIO'!C:V,5,0),"")</f>
        <v>📄 Ver bula</v>
      </c>
      <c r="H120" s="254">
        <f t="array" ref="H120">IFERROR(INDEX('PORTIFÓLIO'!$H$4:$H$433,MATCH($C120,'PORTIFÓLIO'!$C$4:$C$433,0)),"")</f>
        <v>0.2</v>
      </c>
      <c r="I120" s="255">
        <v>0.2</v>
      </c>
      <c r="J120" s="218">
        <f t="shared" si="14"/>
        <v>12</v>
      </c>
      <c r="K120" s="219">
        <f t="array" ref="K120">IFERROR(I120*INDEX('PORTIFÓLIO'!$S$4:$S$433,MATCH($C120,'PORTIFÓLIO'!$C$4:$C$433,0)),"")</f>
        <v>3.206</v>
      </c>
      <c r="L120" s="219">
        <f t="array" ref="L120">IFERROR(J120*INDEX('PORTIFÓLIO'!$S$4:$S$433,MATCH($C120,'PORTIFÓLIO'!$C$4:$C$433,0)),"")</f>
        <v>192.36</v>
      </c>
      <c r="M120" s="220"/>
      <c r="N120" s="220"/>
      <c r="O120" s="220"/>
      <c r="P120" s="220"/>
      <c r="Q120" s="220"/>
      <c r="R120" s="220"/>
      <c r="S120" s="220"/>
      <c r="T120" s="220"/>
      <c r="U120" s="220"/>
      <c r="V120" s="220"/>
      <c r="W120" s="220"/>
    </row>
    <row r="121" ht="15.75" customHeight="1" outlineLevel="1">
      <c r="A121" s="211"/>
      <c r="B121" s="212"/>
      <c r="C121" s="213"/>
      <c r="D121" s="214" t="str">
        <f>IFERROR(VLOOKUP($C121,'PORTIFÓLIO'!C:V,2,0),"")</f>
        <v/>
      </c>
      <c r="E121" s="211" t="str">
        <f>IFERROR(VLOOKUP($C121,'PORTIFÓLIO'!C:V,3,0),"")</f>
        <v/>
      </c>
      <c r="F121" s="211" t="str">
        <f>IFERROR(VLOOKUP($C121,'PORTIFÓLIO'!C:V,4,0),"")</f>
        <v/>
      </c>
      <c r="G121" s="215" t="str">
        <f>IFERROR(VLOOKUP($C121,'PORTIFÓLIO'!C:V,5,0),"")</f>
        <v/>
      </c>
      <c r="H121" s="254" t="str">
        <f t="array" ref="H121">IFERROR(INDEX('PORTIFÓLIO'!$H$4:$H$433,MATCH($C121,'PORTIFÓLIO'!$C$4:$C$433,0)),"")</f>
        <v/>
      </c>
      <c r="I121" s="255"/>
      <c r="J121" s="218">
        <f t="shared" si="14"/>
        <v>0</v>
      </c>
      <c r="K121" s="219" t="str">
        <f t="array" ref="K121">IFERROR(I121*INDEX('PORTIFÓLIO'!$S$4:$S$433,MATCH($C121,'PORTIFÓLIO'!$C$4:$C$433,0)),"")</f>
        <v/>
      </c>
      <c r="L121" s="219" t="str">
        <f t="array" ref="L121">IFERROR(J121*INDEX('PORTIFÓLIO'!$S$4:$S$433,MATCH($C121,'PORTIFÓLIO'!$C$4:$C$433,0)),"")</f>
        <v/>
      </c>
      <c r="M121" s="220"/>
      <c r="N121" s="220"/>
      <c r="O121" s="220"/>
      <c r="P121" s="220"/>
      <c r="Q121" s="220"/>
      <c r="R121" s="220"/>
      <c r="S121" s="220"/>
      <c r="T121" s="220"/>
      <c r="U121" s="220"/>
      <c r="V121" s="220"/>
      <c r="W121" s="220"/>
    </row>
    <row r="122" ht="15.75" customHeight="1" outlineLevel="1">
      <c r="A122" s="211"/>
      <c r="B122" s="212"/>
      <c r="C122" s="213"/>
      <c r="D122" s="214" t="str">
        <f>IFERROR(VLOOKUP($C122,'PORTIFÓLIO'!C:V,2,0),"")</f>
        <v/>
      </c>
      <c r="E122" s="211" t="str">
        <f>IFERROR(VLOOKUP($C122,'PORTIFÓLIO'!C:V,3,0),"")</f>
        <v/>
      </c>
      <c r="F122" s="211" t="str">
        <f>IFERROR(VLOOKUP($C122,'PORTIFÓLIO'!C:V,4,0),"")</f>
        <v/>
      </c>
      <c r="G122" s="215" t="str">
        <f>IFERROR(VLOOKUP($C122,'PORTIFÓLIO'!C:V,5,0),"")</f>
        <v/>
      </c>
      <c r="H122" s="254" t="str">
        <f t="array" ref="H122">IFERROR(INDEX('PORTIFÓLIO'!$H$4:$H$433,MATCH($C122,'PORTIFÓLIO'!$C$4:$C$433,0)),"")</f>
        <v/>
      </c>
      <c r="I122" s="255"/>
      <c r="J122" s="218">
        <f t="shared" si="14"/>
        <v>0</v>
      </c>
      <c r="K122" s="219" t="str">
        <f t="array" ref="K122">IFERROR(I122*INDEX('PORTIFÓLIO'!$S$4:$S$433,MATCH($C122,'PORTIFÓLIO'!$C$4:$C$433,0)),"")</f>
        <v/>
      </c>
      <c r="L122" s="219" t="str">
        <f t="array" ref="L122">IFERROR(J122*INDEX('PORTIFÓLIO'!$S$4:$S$433,MATCH($C122,'PORTIFÓLIO'!$C$4:$C$433,0)),"")</f>
        <v/>
      </c>
      <c r="M122" s="220"/>
      <c r="N122" s="220"/>
      <c r="O122" s="220"/>
      <c r="P122" s="220"/>
      <c r="Q122" s="220"/>
      <c r="R122" s="220"/>
      <c r="S122" s="220"/>
      <c r="T122" s="220"/>
      <c r="U122" s="220"/>
      <c r="V122" s="220"/>
      <c r="W122" s="220"/>
    </row>
    <row r="123" ht="15.75" customHeight="1" outlineLevel="1">
      <c r="A123" s="211"/>
      <c r="B123" s="212"/>
      <c r="C123" s="213"/>
      <c r="D123" s="214" t="str">
        <f>IFERROR(VLOOKUP($C123,'PORTIFÓLIO'!C:V,2,0),"")</f>
        <v/>
      </c>
      <c r="E123" s="211" t="str">
        <f>IFERROR(VLOOKUP($C123,'PORTIFÓLIO'!C:V,3,0),"")</f>
        <v/>
      </c>
      <c r="F123" s="211" t="str">
        <f>IFERROR(VLOOKUP($C123,'PORTIFÓLIO'!C:V,4,0),"")</f>
        <v/>
      </c>
      <c r="G123" s="215" t="str">
        <f>IFERROR(VLOOKUP($C123,'PORTIFÓLIO'!C:V,5,0),"")</f>
        <v/>
      </c>
      <c r="H123" s="254" t="str">
        <f t="array" ref="H123">IFERROR(INDEX('PORTIFÓLIO'!$H$4:$H$433,MATCH($C123,'PORTIFÓLIO'!$C$4:$C$433,0)),"")</f>
        <v/>
      </c>
      <c r="I123" s="255"/>
      <c r="J123" s="218">
        <f t="shared" si="14"/>
        <v>0</v>
      </c>
      <c r="K123" s="219" t="str">
        <f t="array" ref="K123">IFERROR(I123*INDEX('PORTIFÓLIO'!$S$4:$S$433,MATCH($C123,'PORTIFÓLIO'!$C$4:$C$433,0)),"")</f>
        <v/>
      </c>
      <c r="L123" s="219" t="str">
        <f t="array" ref="L123">IFERROR(J123*INDEX('PORTIFÓLIO'!$S$4:$S$433,MATCH($C123,'PORTIFÓLIO'!$C$4:$C$433,0)),"")</f>
        <v/>
      </c>
      <c r="M123" s="220"/>
      <c r="N123" s="220"/>
      <c r="O123" s="220"/>
      <c r="P123" s="220"/>
      <c r="Q123" s="220"/>
      <c r="R123" s="220"/>
      <c r="S123" s="220"/>
      <c r="T123" s="220"/>
      <c r="U123" s="220"/>
      <c r="V123" s="220"/>
      <c r="W123" s="220"/>
    </row>
    <row r="124" ht="15.75" customHeight="1" outlineLevel="1">
      <c r="A124" s="211"/>
      <c r="B124" s="212"/>
      <c r="C124" s="213"/>
      <c r="D124" s="214" t="str">
        <f>IFERROR(VLOOKUP($C124,'PORTIFÓLIO'!C:V,2,0),"")</f>
        <v/>
      </c>
      <c r="E124" s="211" t="str">
        <f>IFERROR(VLOOKUP($C124,'PORTIFÓLIO'!C:V,3,0),"")</f>
        <v/>
      </c>
      <c r="F124" s="211" t="str">
        <f>IFERROR(VLOOKUP($C124,'PORTIFÓLIO'!C:V,4,0),"")</f>
        <v/>
      </c>
      <c r="G124" s="215" t="str">
        <f>IFERROR(VLOOKUP($C124,'PORTIFÓLIO'!C:V,5,0),"")</f>
        <v/>
      </c>
      <c r="H124" s="254" t="str">
        <f t="array" ref="H124">IFERROR(INDEX('PORTIFÓLIO'!$H$4:$H$433,MATCH($C124,'PORTIFÓLIO'!$C$4:$C$433,0)),"")</f>
        <v/>
      </c>
      <c r="I124" s="256"/>
      <c r="J124" s="218">
        <f t="shared" si="14"/>
        <v>0</v>
      </c>
      <c r="K124" s="219" t="str">
        <f t="array" ref="K124">IFERROR(I124*INDEX('PORTIFÓLIO'!$S$4:$S$433,MATCH($C124,'PORTIFÓLIO'!$C$4:$C$433,0)),"")</f>
        <v/>
      </c>
      <c r="L124" s="219" t="str">
        <f t="array" ref="L124">IFERROR(J124*INDEX('PORTIFÓLIO'!$S$4:$S$433,MATCH($C124,'PORTIFÓLIO'!$C$4:$C$433,0)),"")</f>
        <v/>
      </c>
      <c r="M124" s="220"/>
      <c r="N124" s="220"/>
      <c r="O124" s="220"/>
      <c r="P124" s="220"/>
      <c r="Q124" s="220"/>
      <c r="R124" s="220"/>
      <c r="S124" s="220"/>
      <c r="T124" s="220"/>
      <c r="U124" s="220"/>
      <c r="V124" s="220"/>
      <c r="W124" s="220"/>
    </row>
    <row r="125" ht="15.75" customHeight="1" outlineLevel="1">
      <c r="A125" s="211"/>
      <c r="B125" s="212"/>
      <c r="C125" s="213"/>
      <c r="D125" s="214" t="str">
        <f>IFERROR(VLOOKUP($C125,'PORTIFÓLIO'!C:V,2,0),"")</f>
        <v/>
      </c>
      <c r="E125" s="211" t="str">
        <f>IFERROR(VLOOKUP($C125,'PORTIFÓLIO'!C:V,3,0),"")</f>
        <v/>
      </c>
      <c r="F125" s="211" t="str">
        <f>IFERROR(VLOOKUP($C125,'PORTIFÓLIO'!C:V,4,0),"")</f>
        <v/>
      </c>
      <c r="G125" s="215" t="str">
        <f>IFERROR(VLOOKUP($C125,'PORTIFÓLIO'!C:V,5,0),"")</f>
        <v/>
      </c>
      <c r="H125" s="254" t="str">
        <f t="array" ref="H125">IFERROR(INDEX('PORTIFÓLIO'!$H$4:$H$433,MATCH($C125,'PORTIFÓLIO'!$C$4:$C$433,0)),"")</f>
        <v/>
      </c>
      <c r="I125" s="256"/>
      <c r="J125" s="218">
        <f t="shared" si="14"/>
        <v>0</v>
      </c>
      <c r="K125" s="219" t="str">
        <f t="array" ref="K125">IFERROR(I125*INDEX('PORTIFÓLIO'!$S$4:$S$433,MATCH($C125,'PORTIFÓLIO'!$C$4:$C$433,0)),"")</f>
        <v/>
      </c>
      <c r="L125" s="219" t="str">
        <f t="array" ref="L125">IFERROR(J125*INDEX('PORTIFÓLIO'!$S$4:$S$433,MATCH($C125,'PORTIFÓLIO'!$C$4:$C$433,0)),"")</f>
        <v/>
      </c>
      <c r="M125" s="220"/>
      <c r="N125" s="220"/>
      <c r="O125" s="220"/>
      <c r="P125" s="220"/>
      <c r="Q125" s="220"/>
      <c r="R125" s="220"/>
      <c r="S125" s="220"/>
      <c r="T125" s="220"/>
      <c r="U125" s="220"/>
      <c r="V125" s="220"/>
      <c r="W125" s="220"/>
    </row>
    <row r="126" ht="15.75" customHeight="1" outlineLevel="1">
      <c r="A126" s="211"/>
      <c r="B126" s="212"/>
      <c r="C126" s="213"/>
      <c r="D126" s="214" t="str">
        <f>IFERROR(VLOOKUP($C126,'PORTIFÓLIO'!C:V,2,0),"")</f>
        <v/>
      </c>
      <c r="E126" s="211" t="str">
        <f>IFERROR(VLOOKUP($C126,'PORTIFÓLIO'!C:V,3,0),"")</f>
        <v/>
      </c>
      <c r="F126" s="211" t="str">
        <f>IFERROR(VLOOKUP($C126,'PORTIFÓLIO'!C:V,4,0),"")</f>
        <v/>
      </c>
      <c r="G126" s="215" t="str">
        <f>IFERROR(VLOOKUP($C126,'PORTIFÓLIO'!C:V,5,0),"")</f>
        <v/>
      </c>
      <c r="H126" s="254" t="str">
        <f t="array" ref="H126">IFERROR(INDEX('PORTIFÓLIO'!$H$4:$H$433,MATCH($C126,'PORTIFÓLIO'!$C$4:$C$433,0)),"")</f>
        <v/>
      </c>
      <c r="I126" s="256"/>
      <c r="J126" s="218">
        <f t="shared" si="14"/>
        <v>0</v>
      </c>
      <c r="K126" s="219" t="str">
        <f t="array" ref="K126">IFERROR(I126*INDEX('PORTIFÓLIO'!$S$4:$S$433,MATCH($C126,'PORTIFÓLIO'!$C$4:$C$433,0)),"")</f>
        <v/>
      </c>
      <c r="L126" s="219" t="str">
        <f t="array" ref="L126">IFERROR(J126*INDEX('PORTIFÓLIO'!$S$4:$S$433,MATCH($C126,'PORTIFÓLIO'!$C$4:$C$433,0)),"")</f>
        <v/>
      </c>
      <c r="M126" s="220"/>
      <c r="N126" s="220"/>
      <c r="O126" s="220"/>
      <c r="P126" s="220"/>
      <c r="Q126" s="220"/>
      <c r="R126" s="220"/>
      <c r="S126" s="220"/>
      <c r="T126" s="220"/>
      <c r="U126" s="220"/>
      <c r="V126" s="220"/>
      <c r="W126" s="220"/>
    </row>
    <row r="127" ht="15.75" customHeight="1" outlineLevel="1">
      <c r="A127" s="211"/>
      <c r="B127" s="212"/>
      <c r="C127" s="213"/>
      <c r="D127" s="214" t="str">
        <f>IFERROR(VLOOKUP($C127,'PORTIFÓLIO'!C:V,2,0),"")</f>
        <v/>
      </c>
      <c r="E127" s="211" t="str">
        <f>IFERROR(VLOOKUP($C127,'PORTIFÓLIO'!C:V,3,0),"")</f>
        <v/>
      </c>
      <c r="F127" s="211" t="str">
        <f>IFERROR(VLOOKUP($C127,'PORTIFÓLIO'!C:V,4,0),"")</f>
        <v/>
      </c>
      <c r="G127" s="215" t="str">
        <f>IFERROR(VLOOKUP($C127,'PORTIFÓLIO'!C:V,5,0),"")</f>
        <v/>
      </c>
      <c r="H127" s="254" t="str">
        <f t="array" ref="H127">IFERROR(INDEX('PORTIFÓLIO'!$H$4:$H$433,MATCH($C127,'PORTIFÓLIO'!$C$4:$C$433,0)),"")</f>
        <v/>
      </c>
      <c r="I127" s="256"/>
      <c r="J127" s="218">
        <f t="shared" si="14"/>
        <v>0</v>
      </c>
      <c r="K127" s="219" t="str">
        <f t="array" ref="K127">IFERROR(I127*INDEX('PORTIFÓLIO'!$S$4:$S$433,MATCH($C127,'PORTIFÓLIO'!$C$4:$C$433,0)),"")</f>
        <v/>
      </c>
      <c r="L127" s="219" t="str">
        <f t="array" ref="L127">IFERROR(J127*INDEX('PORTIFÓLIO'!$S$4:$S$433,MATCH($C127,'PORTIFÓLIO'!$C$4:$C$433,0)),"")</f>
        <v/>
      </c>
      <c r="M127" s="220"/>
      <c r="N127" s="220"/>
      <c r="O127" s="220"/>
      <c r="P127" s="220"/>
      <c r="Q127" s="220"/>
      <c r="R127" s="220"/>
      <c r="S127" s="220"/>
      <c r="T127" s="220"/>
      <c r="U127" s="220"/>
      <c r="V127" s="220"/>
      <c r="W127" s="220"/>
    </row>
    <row r="128" ht="15.75" customHeight="1" outlineLevel="1">
      <c r="A128" s="211"/>
      <c r="B128" s="212"/>
      <c r="C128" s="213"/>
      <c r="D128" s="214" t="str">
        <f>IFERROR(VLOOKUP($C128,'PORTIFÓLIO'!C:V,2,0),"")</f>
        <v/>
      </c>
      <c r="E128" s="211" t="str">
        <f>IFERROR(VLOOKUP($C128,'PORTIFÓLIO'!C:V,3,0),"")</f>
        <v/>
      </c>
      <c r="F128" s="211" t="str">
        <f>IFERROR(VLOOKUP($C128,'PORTIFÓLIO'!C:V,4,0),"")</f>
        <v/>
      </c>
      <c r="G128" s="215" t="str">
        <f>IFERROR(VLOOKUP($C128,'PORTIFÓLIO'!C:V,5,0),"")</f>
        <v/>
      </c>
      <c r="H128" s="254" t="str">
        <f t="array" ref="H128">IFERROR(INDEX('PORTIFÓLIO'!$H$4:$H$433,MATCH($C128,'PORTIFÓLIO'!$C$4:$C$433,0)),"")</f>
        <v/>
      </c>
      <c r="I128" s="256"/>
      <c r="J128" s="218">
        <f t="shared" si="14"/>
        <v>0</v>
      </c>
      <c r="K128" s="219" t="str">
        <f t="array" ref="K128">IFERROR(I128*INDEX('PORTIFÓLIO'!$S$4:$S$433,MATCH($C128,'PORTIFÓLIO'!$C$4:$C$433,0)),"")</f>
        <v/>
      </c>
      <c r="L128" s="219" t="str">
        <f t="array" ref="L128">IFERROR(J128*INDEX('PORTIFÓLIO'!$S$4:$S$433,MATCH($C128,'PORTIFÓLIO'!$C$4:$C$433,0)),"")</f>
        <v/>
      </c>
      <c r="M128" s="220"/>
      <c r="N128" s="220"/>
      <c r="O128" s="220"/>
      <c r="P128" s="220"/>
      <c r="Q128" s="220"/>
      <c r="R128" s="220"/>
      <c r="S128" s="220"/>
      <c r="T128" s="220"/>
      <c r="U128" s="220"/>
      <c r="V128" s="220"/>
      <c r="W128" s="220"/>
    </row>
    <row r="129" ht="15.75" customHeight="1" outlineLevel="1">
      <c r="A129" s="211"/>
      <c r="B129" s="212"/>
      <c r="C129" s="213"/>
      <c r="D129" s="214" t="str">
        <f>IFERROR(VLOOKUP($C129,'PORTIFÓLIO'!C:V,2,0),"")</f>
        <v/>
      </c>
      <c r="E129" s="211" t="str">
        <f>IFERROR(VLOOKUP($C129,'PORTIFÓLIO'!C:V,3,0),"")</f>
        <v/>
      </c>
      <c r="F129" s="211" t="str">
        <f>IFERROR(VLOOKUP($C129,'PORTIFÓLIO'!C:V,4,0),"")</f>
        <v/>
      </c>
      <c r="G129" s="215" t="str">
        <f>IFERROR(VLOOKUP($C129,'PORTIFÓLIO'!C:V,5,0),"")</f>
        <v/>
      </c>
      <c r="H129" s="254" t="str">
        <f t="array" ref="H129">IFERROR(INDEX('PORTIFÓLIO'!$H$4:$H$433,MATCH($C129,'PORTIFÓLIO'!$C$4:$C$433,0)),"")</f>
        <v/>
      </c>
      <c r="I129" s="256"/>
      <c r="J129" s="218">
        <f t="shared" si="14"/>
        <v>0</v>
      </c>
      <c r="K129" s="219" t="str">
        <f t="array" ref="K129">IFERROR(I129*INDEX('PORTIFÓLIO'!$S$4:$S$433,MATCH($C129,'PORTIFÓLIO'!$C$4:$C$433,0)),"")</f>
        <v/>
      </c>
      <c r="L129" s="219" t="str">
        <f t="array" ref="L129">IFERROR(J129*INDEX('PORTIFÓLIO'!$S$4:$S$433,MATCH($C129,'PORTIFÓLIO'!$C$4:$C$433,0)),"")</f>
        <v/>
      </c>
      <c r="M129" s="220"/>
      <c r="N129" s="220"/>
      <c r="O129" s="220"/>
      <c r="P129" s="220"/>
      <c r="Q129" s="220"/>
      <c r="R129" s="220"/>
      <c r="S129" s="220"/>
      <c r="T129" s="220"/>
      <c r="U129" s="220"/>
      <c r="V129" s="220"/>
      <c r="W129" s="220"/>
    </row>
    <row r="130" ht="15.75" customHeight="1" outlineLevel="1">
      <c r="A130" s="211"/>
      <c r="B130" s="227"/>
      <c r="C130" s="211"/>
      <c r="D130" s="214" t="str">
        <f>IFERROR(VLOOKUP($C130,'PORTIFÓLIO'!C:V,2,0),"")</f>
        <v/>
      </c>
      <c r="E130" s="211" t="str">
        <f>IFERROR(VLOOKUP($C130,'PORTIFÓLIO'!C:V,3,0),"")</f>
        <v/>
      </c>
      <c r="F130" s="211" t="str">
        <f>IFERROR(VLOOKUP($C130,'PORTIFÓLIO'!C:V,4,0),"")</f>
        <v/>
      </c>
      <c r="G130" s="215" t="str">
        <f>IFERROR(VLOOKUP($C130,'PORTIFÓLIO'!C:V,5,0),"")</f>
        <v/>
      </c>
      <c r="H130" s="254" t="str">
        <f t="array" ref="H130">IFERROR(INDEX('PORTIFÓLIO'!$H$4:$H$433,MATCH($C130,'PORTIFÓLIO'!$C$4:$C$433,0)),"")</f>
        <v/>
      </c>
      <c r="I130" s="256"/>
      <c r="J130" s="218"/>
      <c r="K130" s="219" t="str">
        <f t="array" ref="K130">IFERROR(I130*INDEX('PORTIFÓLIO'!$S$4:$S$433,MATCH($C130,'PORTIFÓLIO'!$C$4:$C$433,0)),"")</f>
        <v/>
      </c>
      <c r="L130" s="219" t="str">
        <f t="array" ref="L130">IFERROR(J130*INDEX('PORTIFÓLIO'!$S$4:$S$433,MATCH($C130,'PORTIFÓLIO'!$C$4:$C$433,0)),"")</f>
        <v/>
      </c>
      <c r="M130" s="220"/>
      <c r="N130" s="220"/>
      <c r="O130" s="220"/>
      <c r="P130" s="220"/>
      <c r="Q130" s="220"/>
      <c r="R130" s="220"/>
      <c r="S130" s="220"/>
      <c r="T130" s="220"/>
      <c r="U130" s="220"/>
      <c r="V130" s="220"/>
      <c r="W130" s="220"/>
    </row>
    <row r="131" ht="15.75" customHeight="1">
      <c r="A131" s="229" t="s">
        <v>1191</v>
      </c>
      <c r="B131" s="230"/>
      <c r="C131" s="231"/>
      <c r="D131" s="232"/>
      <c r="E131" s="231"/>
      <c r="F131" s="231"/>
      <c r="G131" s="233"/>
      <c r="H131" s="233"/>
      <c r="I131" s="258"/>
      <c r="J131" s="236"/>
      <c r="K131" s="237">
        <f t="shared" ref="K131:L131" si="15">SUBTOTAL(9,K132:K145)</f>
        <v>101.229074</v>
      </c>
      <c r="L131" s="237">
        <f t="shared" si="15"/>
        <v>6073.74444</v>
      </c>
      <c r="M131" s="220"/>
      <c r="N131" s="220"/>
      <c r="O131" s="220"/>
      <c r="P131" s="220"/>
      <c r="Q131" s="220"/>
      <c r="R131" s="220"/>
      <c r="S131" s="220"/>
      <c r="T131" s="220"/>
      <c r="U131" s="220"/>
      <c r="V131" s="220"/>
      <c r="W131" s="220"/>
    </row>
    <row r="132" ht="15.75" customHeight="1" outlineLevel="1">
      <c r="A132" s="213"/>
      <c r="B132" s="212" t="s">
        <v>0</v>
      </c>
      <c r="C132" s="213" t="s">
        <v>487</v>
      </c>
      <c r="D132" s="214" t="str">
        <f>IFERROR(VLOOKUP($C132,'PORTIFÓLIO'!C:V,2,0),"")</f>
        <v>PICOXISTROBINA + CIPROCONAZOL</v>
      </c>
      <c r="E132" s="211" t="str">
        <f>IFERROR(VLOOKUP($C132,'PORTIFÓLIO'!C:V,3,0),"")</f>
        <v>90 + 40</v>
      </c>
      <c r="F132" s="211" t="str">
        <f>IFERROR(VLOOKUP($C132,'PORTIFÓLIO'!C:V,4,0),"")</f>
        <v>L</v>
      </c>
      <c r="G132" s="225" t="str">
        <f>IFERROR(VLOOKUP($C132,'PORTIFÓLIO'!C:V,5,0),"")</f>
        <v>📄 Ver bula</v>
      </c>
      <c r="H132" s="254">
        <f t="array" ref="H132">IFERROR(INDEX('PORTIFÓLIO'!$H$4:$H$433,MATCH($C132,'PORTIFÓLIO'!$C$4:$C$433,0)),"")</f>
        <v>0.6</v>
      </c>
      <c r="I132" s="255">
        <v>0.6</v>
      </c>
      <c r="J132" s="218">
        <f t="shared" ref="J132:J146" si="16">I132*$B$2</f>
        <v>36</v>
      </c>
      <c r="K132" s="219">
        <f t="array" ref="K132">IFERROR(I132*INDEX('PORTIFÓLIO'!$S$4:$S$433,MATCH($C132,'PORTIFÓLIO'!$C$4:$C$433,0)),"")</f>
        <v>39.349152</v>
      </c>
      <c r="L132" s="219">
        <f t="array" ref="L132">IFERROR(J132*INDEX('PORTIFÓLIO'!$S$4:$S$433,MATCH($C132,'PORTIFÓLIO'!$C$4:$C$433,0)),"")</f>
        <v>2360.94912</v>
      </c>
      <c r="M132" s="220"/>
      <c r="N132" s="220"/>
      <c r="O132" s="220"/>
      <c r="P132" s="220"/>
      <c r="Q132" s="220"/>
      <c r="R132" s="220"/>
      <c r="S132" s="220"/>
      <c r="T132" s="220"/>
      <c r="U132" s="220"/>
      <c r="V132" s="220"/>
      <c r="W132" s="220"/>
    </row>
    <row r="133" ht="15.75" customHeight="1" outlineLevel="1">
      <c r="A133" s="211"/>
      <c r="B133" s="212" t="s">
        <v>0</v>
      </c>
      <c r="C133" s="213" t="s">
        <v>484</v>
      </c>
      <c r="D133" s="214" t="str">
        <f>IFERROR(VLOOKUP($C133,'PORTIFÓLIO'!C:V,2,0),"")</f>
        <v>MANCOZEBE</v>
      </c>
      <c r="E133" s="211">
        <f>IFERROR(VLOOKUP($C133,'PORTIFÓLIO'!C:V,3,0),"")</f>
        <v>750</v>
      </c>
      <c r="F133" s="211" t="str">
        <f>IFERROR(VLOOKUP($C133,'PORTIFÓLIO'!C:V,4,0),"")</f>
        <v>L</v>
      </c>
      <c r="G133" s="225" t="str">
        <f>IFERROR(VLOOKUP($C133,'PORTIFÓLIO'!C:V,5,0),"")</f>
        <v>📄 Ver bula</v>
      </c>
      <c r="H133" s="254">
        <f t="array" ref="H133">IFERROR(INDEX('PORTIFÓLIO'!$H$4:$H$433,MATCH($C133,'PORTIFÓLIO'!$C$4:$C$433,0)),"")</f>
        <v>1.5</v>
      </c>
      <c r="I133" s="255">
        <v>1.5</v>
      </c>
      <c r="J133" s="218">
        <f t="shared" si="16"/>
        <v>90</v>
      </c>
      <c r="K133" s="219">
        <f t="array" ref="K133">IFERROR(I133*INDEX('PORTIFÓLIO'!$S$4:$S$433,MATCH($C133,'PORTIFÓLIO'!$C$4:$C$433,0)),"")</f>
        <v>41.52168</v>
      </c>
      <c r="L133" s="219">
        <f t="array" ref="L133">IFERROR(J133*INDEX('PORTIFÓLIO'!$S$4:$S$433,MATCH($C133,'PORTIFÓLIO'!$C$4:$C$433,0)),"")</f>
        <v>2491.3008</v>
      </c>
      <c r="M133" s="220"/>
      <c r="N133" s="220"/>
      <c r="O133" s="220"/>
      <c r="P133" s="220"/>
      <c r="Q133" s="220"/>
      <c r="R133" s="220"/>
      <c r="S133" s="220"/>
      <c r="T133" s="220"/>
      <c r="U133" s="220"/>
      <c r="V133" s="220"/>
      <c r="W133" s="220"/>
    </row>
    <row r="134" ht="15.75" customHeight="1" outlineLevel="1">
      <c r="A134" s="211"/>
      <c r="B134" s="212" t="s">
        <v>2</v>
      </c>
      <c r="C134" s="213" t="s">
        <v>881</v>
      </c>
      <c r="D134" s="214" t="str">
        <f>IFERROR(VLOOKUP($C134,'PORTIFÓLIO'!C:V,2,0),"")</f>
        <v>TIAMETOXAM + LAMBDA-CIALOTRINA</v>
      </c>
      <c r="E134" s="211" t="str">
        <f>IFERROR(VLOOKUP($C134,'PORTIFÓLIO'!C:V,3,0),"")</f>
        <v>141 + 106</v>
      </c>
      <c r="F134" s="211" t="str">
        <f>IFERROR(VLOOKUP($C134,'PORTIFÓLIO'!C:V,4,0),"")</f>
        <v>L</v>
      </c>
      <c r="G134" s="225" t="str">
        <f>IFERROR(VLOOKUP($C134,'PORTIFÓLIO'!C:V,5,0),"")</f>
        <v>📄 Ver bula</v>
      </c>
      <c r="H134" s="254">
        <f t="array" ref="H134">IFERROR(INDEX('PORTIFÓLIO'!$H$4:$H$433,MATCH($C134,'PORTIFÓLIO'!$C$4:$C$433,0)),"")</f>
        <v>0.2</v>
      </c>
      <c r="I134" s="255">
        <v>0.2</v>
      </c>
      <c r="J134" s="218">
        <f t="shared" si="16"/>
        <v>12</v>
      </c>
      <c r="K134" s="219">
        <f t="array" ref="K134">IFERROR(I134*INDEX('PORTIFÓLIO'!$S$4:$S$433,MATCH($C134,'PORTIFÓLIO'!$C$4:$C$433,0)),"")</f>
        <v>17.152242</v>
      </c>
      <c r="L134" s="219">
        <f t="array" ref="L134">IFERROR(J134*INDEX('PORTIFÓLIO'!$S$4:$S$433,MATCH($C134,'PORTIFÓLIO'!$C$4:$C$433,0)),"")</f>
        <v>1029.13452</v>
      </c>
      <c r="M134" s="220"/>
      <c r="N134" s="220"/>
      <c r="O134" s="220"/>
      <c r="P134" s="220"/>
      <c r="Q134" s="220"/>
      <c r="R134" s="220"/>
      <c r="S134" s="220"/>
      <c r="T134" s="220"/>
      <c r="U134" s="220"/>
      <c r="V134" s="220"/>
      <c r="W134" s="220"/>
    </row>
    <row r="135" ht="15.75" customHeight="1" outlineLevel="1">
      <c r="A135" s="211"/>
      <c r="B135" s="212" t="s">
        <v>6</v>
      </c>
      <c r="C135" s="213" t="s">
        <v>354</v>
      </c>
      <c r="D135" s="214" t="str">
        <f>IFERROR(VLOOKUP($C135,'PORTIFÓLIO'!C:V,2,0),"")</f>
        <v>OLEO MINERAL</v>
      </c>
      <c r="E135" s="211">
        <f>IFERROR(VLOOKUP($C135,'PORTIFÓLIO'!C:V,3,0),"")</f>
        <v>761</v>
      </c>
      <c r="F135" s="211" t="str">
        <f>IFERROR(VLOOKUP($C135,'PORTIFÓLIO'!C:V,4,0),"")</f>
        <v>L</v>
      </c>
      <c r="G135" s="225" t="str">
        <f>IFERROR(VLOOKUP($C135,'PORTIFÓLIO'!C:V,5,0),"")</f>
        <v>📄 Ver bula</v>
      </c>
      <c r="H135" s="254">
        <f t="array" ref="H135">IFERROR(INDEX('PORTIFÓLIO'!$H$4:$H$433,MATCH($C135,'PORTIFÓLIO'!$C$4:$C$433,0)),"")</f>
        <v>0.2</v>
      </c>
      <c r="I135" s="255">
        <v>0.2</v>
      </c>
      <c r="J135" s="218">
        <f t="shared" si="16"/>
        <v>12</v>
      </c>
      <c r="K135" s="219">
        <f t="array" ref="K135">IFERROR(I135*INDEX('PORTIFÓLIO'!$S$4:$S$433,MATCH($C135,'PORTIFÓLIO'!$C$4:$C$433,0)),"")</f>
        <v>3.206</v>
      </c>
      <c r="L135" s="219">
        <f t="array" ref="L135">IFERROR(J135*INDEX('PORTIFÓLIO'!$S$4:$S$433,MATCH($C135,'PORTIFÓLIO'!$C$4:$C$433,0)),"")</f>
        <v>192.36</v>
      </c>
      <c r="M135" s="220"/>
      <c r="N135" s="220"/>
      <c r="O135" s="220"/>
      <c r="P135" s="220"/>
      <c r="Q135" s="220"/>
      <c r="R135" s="220"/>
      <c r="S135" s="220"/>
      <c r="T135" s="220"/>
      <c r="U135" s="220"/>
      <c r="V135" s="220"/>
      <c r="W135" s="220"/>
    </row>
    <row r="136" ht="15.75" customHeight="1" outlineLevel="1">
      <c r="A136" s="211"/>
      <c r="B136" s="212"/>
      <c r="C136" s="213"/>
      <c r="D136" s="214" t="str">
        <f>IFERROR(VLOOKUP($C136,'PORTIFÓLIO'!C:V,2,0),"")</f>
        <v/>
      </c>
      <c r="E136" s="211" t="str">
        <f>IFERROR(VLOOKUP($C136,'PORTIFÓLIO'!C:V,3,0),"")</f>
        <v/>
      </c>
      <c r="F136" s="211" t="str">
        <f>IFERROR(VLOOKUP($C136,'PORTIFÓLIO'!C:V,4,0),"")</f>
        <v/>
      </c>
      <c r="G136" s="215" t="str">
        <f>IFERROR(VLOOKUP($C136,'PORTIFÓLIO'!C:V,5,0),"")</f>
        <v/>
      </c>
      <c r="H136" s="254" t="str">
        <f t="array" ref="H136">IFERROR(INDEX('PORTIFÓLIO'!$H$4:$H$433,MATCH($C136,'PORTIFÓLIO'!$C$4:$C$433,0)),"")</f>
        <v/>
      </c>
      <c r="I136" s="256"/>
      <c r="J136" s="218">
        <f t="shared" si="16"/>
        <v>0</v>
      </c>
      <c r="K136" s="219" t="str">
        <f t="array" ref="K136">IFERROR(I136*INDEX('PORTIFÓLIO'!$S$4:$S$433,MATCH($C136,'PORTIFÓLIO'!$C$4:$C$433,0)),"")</f>
        <v/>
      </c>
      <c r="L136" s="219" t="str">
        <f t="array" ref="L136">IFERROR(J136*INDEX('PORTIFÓLIO'!$S$4:$S$433,MATCH($C136,'PORTIFÓLIO'!$C$4:$C$433,0)),"")</f>
        <v/>
      </c>
      <c r="M136" s="220"/>
      <c r="N136" s="220"/>
      <c r="O136" s="220"/>
      <c r="P136" s="220"/>
      <c r="Q136" s="220"/>
      <c r="R136" s="220"/>
      <c r="S136" s="220"/>
      <c r="T136" s="220"/>
      <c r="U136" s="220"/>
      <c r="V136" s="220"/>
      <c r="W136" s="220"/>
    </row>
    <row r="137" ht="15.75" customHeight="1" outlineLevel="1">
      <c r="A137" s="211"/>
      <c r="B137" s="212"/>
      <c r="C137" s="213"/>
      <c r="D137" s="214" t="str">
        <f>IFERROR(VLOOKUP($C137,'PORTIFÓLIO'!C:V,2,0),"")</f>
        <v/>
      </c>
      <c r="E137" s="211" t="str">
        <f>IFERROR(VLOOKUP($C137,'PORTIFÓLIO'!C:V,3,0),"")</f>
        <v/>
      </c>
      <c r="F137" s="211" t="str">
        <f>IFERROR(VLOOKUP($C137,'PORTIFÓLIO'!C:V,4,0),"")</f>
        <v/>
      </c>
      <c r="G137" s="215" t="str">
        <f>IFERROR(VLOOKUP($C137,'PORTIFÓLIO'!C:V,5,0),"")</f>
        <v/>
      </c>
      <c r="H137" s="254" t="str">
        <f t="array" ref="H137">IFERROR(INDEX('PORTIFÓLIO'!$H$4:$H$433,MATCH($C137,'PORTIFÓLIO'!$C$4:$C$433,0)),"")</f>
        <v/>
      </c>
      <c r="I137" s="256"/>
      <c r="J137" s="218">
        <f t="shared" si="16"/>
        <v>0</v>
      </c>
      <c r="K137" s="219" t="str">
        <f t="array" ref="K137">IFERROR(I137*INDEX('PORTIFÓLIO'!$S$4:$S$433,MATCH($C137,'PORTIFÓLIO'!$C$4:$C$433,0)),"")</f>
        <v/>
      </c>
      <c r="L137" s="219" t="str">
        <f t="array" ref="L137">IFERROR(J137*INDEX('PORTIFÓLIO'!$S$4:$S$433,MATCH($C137,'PORTIFÓLIO'!$C$4:$C$433,0)),"")</f>
        <v/>
      </c>
      <c r="M137" s="220"/>
      <c r="N137" s="220"/>
      <c r="O137" s="220"/>
      <c r="P137" s="220"/>
      <c r="Q137" s="220"/>
      <c r="R137" s="220"/>
      <c r="S137" s="220"/>
      <c r="T137" s="220"/>
      <c r="U137" s="220"/>
      <c r="V137" s="220"/>
      <c r="W137" s="220"/>
    </row>
    <row r="138" ht="15.75" customHeight="1" outlineLevel="1">
      <c r="A138" s="211"/>
      <c r="B138" s="212"/>
      <c r="C138" s="213"/>
      <c r="D138" s="214" t="str">
        <f>IFERROR(VLOOKUP($C138,'PORTIFÓLIO'!C:V,2,0),"")</f>
        <v/>
      </c>
      <c r="E138" s="211" t="str">
        <f>IFERROR(VLOOKUP($C138,'PORTIFÓLIO'!C:V,3,0),"")</f>
        <v/>
      </c>
      <c r="F138" s="211" t="str">
        <f>IFERROR(VLOOKUP($C138,'PORTIFÓLIO'!C:V,4,0),"")</f>
        <v/>
      </c>
      <c r="G138" s="215" t="str">
        <f>IFERROR(VLOOKUP($C138,'PORTIFÓLIO'!C:V,5,0),"")</f>
        <v/>
      </c>
      <c r="H138" s="254" t="str">
        <f t="array" ref="H138">IFERROR(INDEX('PORTIFÓLIO'!$H$4:$H$433,MATCH($C138,'PORTIFÓLIO'!$C$4:$C$433,0)),"")</f>
        <v/>
      </c>
      <c r="I138" s="256"/>
      <c r="J138" s="218">
        <f t="shared" si="16"/>
        <v>0</v>
      </c>
      <c r="K138" s="219" t="str">
        <f t="array" ref="K138">IFERROR(I138*INDEX('PORTIFÓLIO'!$S$4:$S$433,MATCH($C138,'PORTIFÓLIO'!$C$4:$C$433,0)),"")</f>
        <v/>
      </c>
      <c r="L138" s="219" t="str">
        <f t="array" ref="L138">IFERROR(J138*INDEX('PORTIFÓLIO'!$S$4:$S$433,MATCH($C138,'PORTIFÓLIO'!$C$4:$C$433,0)),"")</f>
        <v/>
      </c>
      <c r="M138" s="220"/>
      <c r="N138" s="220"/>
      <c r="O138" s="220"/>
      <c r="P138" s="220"/>
      <c r="Q138" s="220"/>
      <c r="R138" s="220"/>
      <c r="S138" s="220"/>
      <c r="T138" s="220"/>
      <c r="U138" s="220"/>
      <c r="V138" s="220"/>
      <c r="W138" s="220"/>
    </row>
    <row r="139" ht="15.75" customHeight="1" outlineLevel="1">
      <c r="A139" s="211"/>
      <c r="B139" s="212"/>
      <c r="C139" s="213"/>
      <c r="D139" s="214" t="str">
        <f>IFERROR(VLOOKUP($C139,'PORTIFÓLIO'!C:V,2,0),"")</f>
        <v/>
      </c>
      <c r="E139" s="211" t="str">
        <f>IFERROR(VLOOKUP($C139,'PORTIFÓLIO'!C:V,3,0),"")</f>
        <v/>
      </c>
      <c r="F139" s="211" t="str">
        <f>IFERROR(VLOOKUP($C139,'PORTIFÓLIO'!C:V,4,0),"")</f>
        <v/>
      </c>
      <c r="G139" s="215" t="str">
        <f>IFERROR(VLOOKUP($C139,'PORTIFÓLIO'!C:V,5,0),"")</f>
        <v/>
      </c>
      <c r="H139" s="254" t="str">
        <f t="array" ref="H139">IFERROR(INDEX('PORTIFÓLIO'!$H$4:$H$433,MATCH($C139,'PORTIFÓLIO'!$C$4:$C$433,0)),"")</f>
        <v/>
      </c>
      <c r="I139" s="256"/>
      <c r="J139" s="218">
        <f t="shared" si="16"/>
        <v>0</v>
      </c>
      <c r="K139" s="219" t="str">
        <f t="array" ref="K139">IFERROR(I139*INDEX('PORTIFÓLIO'!$S$4:$S$433,MATCH($C139,'PORTIFÓLIO'!$C$4:$C$433,0)),"")</f>
        <v/>
      </c>
      <c r="L139" s="219" t="str">
        <f t="array" ref="L139">IFERROR(J139*INDEX('PORTIFÓLIO'!$S$4:$S$433,MATCH($C139,'PORTIFÓLIO'!$C$4:$C$433,0)),"")</f>
        <v/>
      </c>
      <c r="M139" s="220"/>
      <c r="N139" s="220"/>
      <c r="O139" s="220"/>
      <c r="P139" s="220"/>
      <c r="Q139" s="220"/>
      <c r="R139" s="220"/>
      <c r="S139" s="220"/>
      <c r="T139" s="220"/>
      <c r="U139" s="220"/>
      <c r="V139" s="220"/>
      <c r="W139" s="220"/>
    </row>
    <row r="140" ht="15.75" customHeight="1" outlineLevel="1">
      <c r="A140" s="211"/>
      <c r="B140" s="212"/>
      <c r="C140" s="213"/>
      <c r="D140" s="214" t="str">
        <f>IFERROR(VLOOKUP($C140,'PORTIFÓLIO'!C:V,2,0),"")</f>
        <v/>
      </c>
      <c r="E140" s="211" t="str">
        <f>IFERROR(VLOOKUP($C140,'PORTIFÓLIO'!C:V,3,0),"")</f>
        <v/>
      </c>
      <c r="F140" s="211" t="str">
        <f>IFERROR(VLOOKUP($C140,'PORTIFÓLIO'!C:V,4,0),"")</f>
        <v/>
      </c>
      <c r="G140" s="215" t="str">
        <f>IFERROR(VLOOKUP($C140,'PORTIFÓLIO'!C:V,5,0),"")</f>
        <v/>
      </c>
      <c r="H140" s="254" t="str">
        <f t="array" ref="H140">IFERROR(INDEX('PORTIFÓLIO'!$H$4:$H$433,MATCH($C140,'PORTIFÓLIO'!$C$4:$C$433,0)),"")</f>
        <v/>
      </c>
      <c r="I140" s="255"/>
      <c r="J140" s="218">
        <f t="shared" si="16"/>
        <v>0</v>
      </c>
      <c r="K140" s="219" t="str">
        <f t="array" ref="K140">IFERROR(I140*INDEX('PORTIFÓLIO'!$S$4:$S$433,MATCH($C140,'PORTIFÓLIO'!$C$4:$C$433,0)),"")</f>
        <v/>
      </c>
      <c r="L140" s="219" t="str">
        <f t="array" ref="L140">IFERROR(J140*INDEX('PORTIFÓLIO'!$S$4:$S$433,MATCH($C140,'PORTIFÓLIO'!$C$4:$C$433,0)),"")</f>
        <v/>
      </c>
      <c r="M140" s="220"/>
      <c r="N140" s="220"/>
      <c r="O140" s="220"/>
      <c r="P140" s="220"/>
      <c r="Q140" s="220"/>
      <c r="R140" s="220"/>
      <c r="S140" s="220"/>
      <c r="T140" s="220"/>
      <c r="U140" s="220"/>
      <c r="V140" s="220"/>
      <c r="W140" s="220"/>
    </row>
    <row r="141" ht="15.75" customHeight="1" outlineLevel="1">
      <c r="A141" s="211"/>
      <c r="B141" s="212"/>
      <c r="C141" s="213"/>
      <c r="D141" s="214" t="str">
        <f>IFERROR(VLOOKUP($C141,'PORTIFÓLIO'!C:V,2,0),"")</f>
        <v/>
      </c>
      <c r="E141" s="211" t="str">
        <f>IFERROR(VLOOKUP($C141,'PORTIFÓLIO'!C:V,3,0),"")</f>
        <v/>
      </c>
      <c r="F141" s="211" t="str">
        <f>IFERROR(VLOOKUP($C141,'PORTIFÓLIO'!C:V,4,0),"")</f>
        <v/>
      </c>
      <c r="G141" s="215" t="str">
        <f>IFERROR(VLOOKUP($C141,'PORTIFÓLIO'!C:V,5,0),"")</f>
        <v/>
      </c>
      <c r="H141" s="254" t="str">
        <f t="array" ref="H141">IFERROR(INDEX('PORTIFÓLIO'!$H$4:$H$433,MATCH($C141,'PORTIFÓLIO'!$C$4:$C$433,0)),"")</f>
        <v/>
      </c>
      <c r="I141" s="256"/>
      <c r="J141" s="218">
        <f t="shared" si="16"/>
        <v>0</v>
      </c>
      <c r="K141" s="219" t="str">
        <f t="array" ref="K141">IFERROR(I141*INDEX('PORTIFÓLIO'!$S$4:$S$433,MATCH($C141,'PORTIFÓLIO'!$C$4:$C$433,0)),"")</f>
        <v/>
      </c>
      <c r="L141" s="219" t="str">
        <f t="array" ref="L141">IFERROR(J141*INDEX('PORTIFÓLIO'!$S$4:$S$433,MATCH($C141,'PORTIFÓLIO'!$C$4:$C$433,0)),"")</f>
        <v/>
      </c>
      <c r="M141" s="220"/>
      <c r="N141" s="220"/>
      <c r="O141" s="220"/>
      <c r="P141" s="220"/>
      <c r="Q141" s="220"/>
      <c r="R141" s="220"/>
      <c r="S141" s="220"/>
      <c r="T141" s="220"/>
      <c r="U141" s="220"/>
      <c r="V141" s="220"/>
      <c r="W141" s="220"/>
    </row>
    <row r="142" ht="15.75" customHeight="1" outlineLevel="1">
      <c r="A142" s="211"/>
      <c r="B142" s="212"/>
      <c r="C142" s="213"/>
      <c r="D142" s="214" t="str">
        <f>IFERROR(VLOOKUP($C142,'PORTIFÓLIO'!C:V,2,0),"")</f>
        <v/>
      </c>
      <c r="E142" s="211" t="str">
        <f>IFERROR(VLOOKUP($C142,'PORTIFÓLIO'!C:V,3,0),"")</f>
        <v/>
      </c>
      <c r="F142" s="211" t="str">
        <f>IFERROR(VLOOKUP($C142,'PORTIFÓLIO'!C:V,4,0),"")</f>
        <v/>
      </c>
      <c r="G142" s="215" t="str">
        <f>IFERROR(VLOOKUP($C142,'PORTIFÓLIO'!C:V,5,0),"")</f>
        <v/>
      </c>
      <c r="H142" s="254" t="str">
        <f t="array" ref="H142">IFERROR(INDEX('PORTIFÓLIO'!$H$4:$H$433,MATCH($C142,'PORTIFÓLIO'!$C$4:$C$433,0)),"")</f>
        <v/>
      </c>
      <c r="I142" s="256"/>
      <c r="J142" s="218">
        <f t="shared" si="16"/>
        <v>0</v>
      </c>
      <c r="K142" s="219" t="str">
        <f t="array" ref="K142">IFERROR(I142*INDEX('PORTIFÓLIO'!$S$4:$S$433,MATCH($C142,'PORTIFÓLIO'!$C$4:$C$433,0)),"")</f>
        <v/>
      </c>
      <c r="L142" s="219" t="str">
        <f t="array" ref="L142">IFERROR(J142*INDEX('PORTIFÓLIO'!$S$4:$S$433,MATCH($C142,'PORTIFÓLIO'!$C$4:$C$433,0)),"")</f>
        <v/>
      </c>
      <c r="M142" s="220"/>
      <c r="N142" s="220"/>
      <c r="O142" s="220"/>
      <c r="P142" s="220"/>
      <c r="Q142" s="220"/>
      <c r="R142" s="220"/>
      <c r="S142" s="220"/>
      <c r="T142" s="220"/>
      <c r="U142" s="220"/>
      <c r="V142" s="220"/>
      <c r="W142" s="220"/>
    </row>
    <row r="143" ht="15.75" customHeight="1" outlineLevel="1">
      <c r="A143" s="211"/>
      <c r="B143" s="212"/>
      <c r="C143" s="213"/>
      <c r="D143" s="214" t="str">
        <f>IFERROR(VLOOKUP($C143,'PORTIFÓLIO'!C:V,2,0),"")</f>
        <v/>
      </c>
      <c r="E143" s="211" t="str">
        <f>IFERROR(VLOOKUP($C143,'PORTIFÓLIO'!C:V,3,0),"")</f>
        <v/>
      </c>
      <c r="F143" s="211" t="str">
        <f>IFERROR(VLOOKUP($C143,'PORTIFÓLIO'!C:V,4,0),"")</f>
        <v/>
      </c>
      <c r="G143" s="215" t="str">
        <f>IFERROR(VLOOKUP($C143,'PORTIFÓLIO'!C:V,5,0),"")</f>
        <v/>
      </c>
      <c r="H143" s="254" t="str">
        <f t="array" ref="H143">IFERROR(INDEX('PORTIFÓLIO'!$H$4:$H$433,MATCH($C143,'PORTIFÓLIO'!$C$4:$C$433,0)),"")</f>
        <v/>
      </c>
      <c r="I143" s="256"/>
      <c r="J143" s="218">
        <f t="shared" si="16"/>
        <v>0</v>
      </c>
      <c r="K143" s="219" t="str">
        <f t="array" ref="K143">IFERROR(I143*INDEX('PORTIFÓLIO'!$S$4:$S$433,MATCH($C143,'PORTIFÓLIO'!$C$4:$C$433,0)),"")</f>
        <v/>
      </c>
      <c r="L143" s="219" t="str">
        <f t="array" ref="L143">IFERROR(J143*INDEX('PORTIFÓLIO'!$S$4:$S$433,MATCH($C143,'PORTIFÓLIO'!$C$4:$C$433,0)),"")</f>
        <v/>
      </c>
      <c r="M143" s="220"/>
      <c r="N143" s="220"/>
      <c r="O143" s="220"/>
      <c r="P143" s="220"/>
      <c r="Q143" s="220"/>
      <c r="R143" s="220"/>
      <c r="S143" s="220"/>
      <c r="T143" s="220"/>
      <c r="U143" s="220"/>
      <c r="V143" s="220"/>
      <c r="W143" s="220"/>
    </row>
    <row r="144" ht="15.75" customHeight="1" outlineLevel="1">
      <c r="A144" s="211"/>
      <c r="B144" s="212"/>
      <c r="C144" s="213"/>
      <c r="D144" s="214" t="str">
        <f>IFERROR(VLOOKUP($C144,'PORTIFÓLIO'!C:V,2,0),"")</f>
        <v/>
      </c>
      <c r="E144" s="211" t="str">
        <f>IFERROR(VLOOKUP($C144,'PORTIFÓLIO'!C:V,3,0),"")</f>
        <v/>
      </c>
      <c r="F144" s="211" t="str">
        <f>IFERROR(VLOOKUP($C144,'PORTIFÓLIO'!C:V,4,0),"")</f>
        <v/>
      </c>
      <c r="G144" s="215" t="str">
        <f>IFERROR(VLOOKUP($C144,'PORTIFÓLIO'!C:V,5,0),"")</f>
        <v/>
      </c>
      <c r="H144" s="254" t="str">
        <f t="array" ref="H144">IFERROR(INDEX('PORTIFÓLIO'!$H$4:$H$433,MATCH($C144,'PORTIFÓLIO'!$C$4:$C$433,0)),"")</f>
        <v/>
      </c>
      <c r="I144" s="256"/>
      <c r="J144" s="218">
        <f t="shared" si="16"/>
        <v>0</v>
      </c>
      <c r="K144" s="219" t="str">
        <f t="array" ref="K144">IFERROR(I144*INDEX('PORTIFÓLIO'!$S$4:$S$433,MATCH($C144,'PORTIFÓLIO'!$C$4:$C$433,0)),"")</f>
        <v/>
      </c>
      <c r="L144" s="219" t="str">
        <f t="array" ref="L144">IFERROR(J144*INDEX('PORTIFÓLIO'!$S$4:$S$433,MATCH($C144,'PORTIFÓLIO'!$C$4:$C$433,0)),"")</f>
        <v/>
      </c>
      <c r="M144" s="220"/>
      <c r="N144" s="220"/>
      <c r="O144" s="220"/>
      <c r="P144" s="220"/>
      <c r="Q144" s="220"/>
      <c r="R144" s="220"/>
      <c r="S144" s="220"/>
      <c r="T144" s="220"/>
      <c r="U144" s="220"/>
      <c r="V144" s="220"/>
      <c r="W144" s="220"/>
    </row>
    <row r="145" ht="15.75" customHeight="1" outlineLevel="1">
      <c r="A145" s="211"/>
      <c r="B145" s="212"/>
      <c r="C145" s="213"/>
      <c r="D145" s="214" t="str">
        <f>IFERROR(VLOOKUP($C145,'PORTIFÓLIO'!C:V,2,0),"")</f>
        <v/>
      </c>
      <c r="E145" s="211" t="str">
        <f>IFERROR(VLOOKUP($C145,'PORTIFÓLIO'!C:V,3,0),"")</f>
        <v/>
      </c>
      <c r="F145" s="211" t="str">
        <f>IFERROR(VLOOKUP($C145,'PORTIFÓLIO'!C:V,4,0),"")</f>
        <v/>
      </c>
      <c r="G145" s="215" t="str">
        <f>IFERROR(VLOOKUP($C145,'PORTIFÓLIO'!C:V,5,0),"")</f>
        <v/>
      </c>
      <c r="H145" s="254" t="str">
        <f t="array" ref="H145">IFERROR(INDEX('PORTIFÓLIO'!$H$4:$H$433,MATCH($C145,'PORTIFÓLIO'!$C$4:$C$433,0)),"")</f>
        <v/>
      </c>
      <c r="I145" s="256"/>
      <c r="J145" s="218">
        <f t="shared" si="16"/>
        <v>0</v>
      </c>
      <c r="K145" s="219" t="str">
        <f t="array" ref="K145">IFERROR(I145*INDEX('PORTIFÓLIO'!$S$4:$S$433,MATCH($C145,'PORTIFÓLIO'!$C$4:$C$433,0)),"")</f>
        <v/>
      </c>
      <c r="L145" s="219" t="str">
        <f t="array" ref="L145">IFERROR(J145*INDEX('PORTIFÓLIO'!$S$4:$S$433,MATCH($C145,'PORTIFÓLIO'!$C$4:$C$433,0)),"")</f>
        <v/>
      </c>
      <c r="M145" s="220"/>
      <c r="N145" s="220"/>
      <c r="O145" s="220"/>
      <c r="P145" s="220"/>
      <c r="Q145" s="220"/>
      <c r="R145" s="220"/>
      <c r="S145" s="220"/>
      <c r="T145" s="220"/>
      <c r="U145" s="220"/>
      <c r="V145" s="220"/>
      <c r="W145" s="220"/>
    </row>
    <row r="146" ht="15.75" customHeight="1" outlineLevel="1">
      <c r="A146" s="211"/>
      <c r="B146" s="212"/>
      <c r="C146" s="213"/>
      <c r="D146" s="214" t="str">
        <f>IFERROR(VLOOKUP($C146,'PORTIFÓLIO'!C:V,2,0),"")</f>
        <v/>
      </c>
      <c r="E146" s="211" t="str">
        <f>IFERROR(VLOOKUP($C146,'PORTIFÓLIO'!C:V,3,0),"")</f>
        <v/>
      </c>
      <c r="F146" s="211" t="str">
        <f>IFERROR(VLOOKUP($C146,'PORTIFÓLIO'!C:V,4,0),"")</f>
        <v/>
      </c>
      <c r="G146" s="215" t="str">
        <f>IFERROR(VLOOKUP($C146,'PORTIFÓLIO'!C:V,5,0),"")</f>
        <v/>
      </c>
      <c r="H146" s="254" t="str">
        <f t="array" ref="H146">IFERROR(INDEX('PORTIFÓLIO'!$H$4:$H$433,MATCH($C146,'PORTIFÓLIO'!$C$4:$C$433,0)),"")</f>
        <v/>
      </c>
      <c r="I146" s="256"/>
      <c r="J146" s="218">
        <f t="shared" si="16"/>
        <v>0</v>
      </c>
      <c r="K146" s="219" t="str">
        <f t="array" ref="K146">IFERROR(I146*INDEX('PORTIFÓLIO'!$S$4:$S$433,MATCH($C146,'PORTIFÓLIO'!$C$4:$C$433,0)),"")</f>
        <v/>
      </c>
      <c r="L146" s="219" t="str">
        <f t="array" ref="L146">IFERROR(J146*INDEX('PORTIFÓLIO'!$S$4:$S$433,MATCH($C146,'PORTIFÓLIO'!$C$4:$C$433,0)),"")</f>
        <v/>
      </c>
      <c r="M146" s="220"/>
      <c r="N146" s="220"/>
      <c r="O146" s="220"/>
      <c r="P146" s="220"/>
      <c r="Q146" s="220"/>
      <c r="R146" s="220"/>
      <c r="S146" s="220"/>
      <c r="T146" s="220"/>
      <c r="U146" s="220"/>
      <c r="V146" s="220"/>
      <c r="W146" s="220"/>
    </row>
    <row r="147" ht="15.75" customHeight="1" outlineLevel="1">
      <c r="A147" s="211"/>
      <c r="B147" s="227"/>
      <c r="C147" s="211"/>
      <c r="D147" s="214" t="str">
        <f>IFERROR(VLOOKUP($C147,'PORTIFÓLIO'!C:V,2,0),"")</f>
        <v/>
      </c>
      <c r="E147" s="211" t="str">
        <f>IFERROR(VLOOKUP($C147,'PORTIFÓLIO'!C:V,3,0),"")</f>
        <v/>
      </c>
      <c r="F147" s="211" t="str">
        <f>IFERROR(VLOOKUP($C147,'PORTIFÓLIO'!C:V,4,0),"")</f>
        <v/>
      </c>
      <c r="G147" s="215" t="str">
        <f>IFERROR(VLOOKUP($C147,'PORTIFÓLIO'!C:V,5,0),"")</f>
        <v/>
      </c>
      <c r="H147" s="254" t="str">
        <f t="array" ref="H147">IFERROR(INDEX('PORTIFÓLIO'!$H$4:$H$433,MATCH($C147,'PORTIFÓLIO'!$C$4:$C$433,0)),"")</f>
        <v/>
      </c>
      <c r="I147" s="256"/>
      <c r="J147" s="218"/>
      <c r="K147" s="219" t="str">
        <f t="array" ref="K147">IFERROR(I147*INDEX('PORTIFÓLIO'!$S$4:$S$433,MATCH($C147,'PORTIFÓLIO'!$C$4:$C$433,0)),"")</f>
        <v/>
      </c>
      <c r="L147" s="219" t="str">
        <f t="array" ref="L147">IFERROR(J147*INDEX('PORTIFÓLIO'!$S$4:$S$433,MATCH($C147,'PORTIFÓLIO'!$C$4:$C$433,0)),"")</f>
        <v/>
      </c>
      <c r="M147" s="220"/>
      <c r="N147" s="220"/>
      <c r="O147" s="220"/>
      <c r="P147" s="220"/>
      <c r="Q147" s="220"/>
      <c r="R147" s="220"/>
      <c r="S147" s="220"/>
      <c r="T147" s="220"/>
      <c r="U147" s="220"/>
      <c r="V147" s="220"/>
      <c r="W147" s="220"/>
    </row>
    <row r="148" ht="15.75" customHeight="1">
      <c r="A148" s="229" t="s">
        <v>1192</v>
      </c>
      <c r="B148" s="230"/>
      <c r="C148" s="231"/>
      <c r="D148" s="232"/>
      <c r="E148" s="231"/>
      <c r="F148" s="231"/>
      <c r="G148" s="233"/>
      <c r="H148" s="233"/>
      <c r="I148" s="258"/>
      <c r="J148" s="236"/>
      <c r="K148" s="237">
        <f t="shared" ref="K148:L148" si="17">SUBTOTAL(9,K149:K162)</f>
        <v>57.21464</v>
      </c>
      <c r="L148" s="237">
        <f t="shared" si="17"/>
        <v>3432.8784</v>
      </c>
      <c r="M148" s="220"/>
      <c r="N148" s="220"/>
      <c r="O148" s="220"/>
      <c r="P148" s="220"/>
      <c r="Q148" s="220"/>
      <c r="R148" s="220"/>
      <c r="S148" s="220"/>
      <c r="T148" s="220"/>
      <c r="U148" s="220"/>
      <c r="V148" s="220"/>
      <c r="W148" s="220"/>
    </row>
    <row r="149" ht="15.75" customHeight="1" outlineLevel="1">
      <c r="A149" s="213"/>
      <c r="B149" s="212" t="s">
        <v>0</v>
      </c>
      <c r="C149" s="213" t="s">
        <v>434</v>
      </c>
      <c r="D149" s="214" t="str">
        <f>IFERROR(VLOOKUP($C149,'PORTIFÓLIO'!C:V,2,0),"")</f>
        <v>AZOXISTROBINA + TEBUCONAZOL</v>
      </c>
      <c r="E149" s="211" t="str">
        <f>IFERROR(VLOOKUP($C149,'PORTIFÓLIO'!C:V,3,0),"")</f>
        <v>120 + 200</v>
      </c>
      <c r="F149" s="211" t="str">
        <f>IFERROR(VLOOKUP($C149,'PORTIFÓLIO'!C:V,4,0),"")</f>
        <v>L</v>
      </c>
      <c r="G149" s="225" t="str">
        <f>IFERROR(VLOOKUP($C149,'PORTIFÓLIO'!C:V,5,0),"")</f>
        <v>📄 Ver bula</v>
      </c>
      <c r="H149" s="254">
        <f t="array" ref="H149">IFERROR(INDEX('PORTIFÓLIO'!$H$4:$H$433,MATCH($C149,'PORTIFÓLIO'!$C$4:$C$433,0)),"")</f>
        <v>0.5</v>
      </c>
      <c r="I149" s="255">
        <v>0.5</v>
      </c>
      <c r="J149" s="218">
        <f t="shared" ref="J149:J163" si="18">I149*$B$2</f>
        <v>30</v>
      </c>
      <c r="K149" s="219">
        <f t="array" ref="K149">IFERROR(I149*INDEX('PORTIFÓLIO'!$S$4:$S$433,MATCH($C149,'PORTIFÓLIO'!$C$4:$C$433,0)),"")</f>
        <v>17.66448</v>
      </c>
      <c r="L149" s="219">
        <f t="array" ref="L149">IFERROR(J149*INDEX('PORTIFÓLIO'!$S$4:$S$433,MATCH($C149,'PORTIFÓLIO'!$C$4:$C$433,0)),"")</f>
        <v>1059.8688</v>
      </c>
      <c r="M149" s="220"/>
      <c r="N149" s="220"/>
      <c r="O149" s="220"/>
      <c r="P149" s="220"/>
      <c r="Q149" s="220"/>
      <c r="R149" s="220"/>
      <c r="S149" s="220"/>
      <c r="T149" s="220"/>
      <c r="U149" s="220"/>
      <c r="V149" s="220"/>
      <c r="W149" s="220"/>
    </row>
    <row r="150" ht="15.75" customHeight="1" outlineLevel="1">
      <c r="A150" s="211"/>
      <c r="B150" s="212" t="s">
        <v>0</v>
      </c>
      <c r="C150" s="213" t="s">
        <v>572</v>
      </c>
      <c r="D150" s="214" t="str">
        <f>IFERROR(VLOOKUP($C150,'PORTIFÓLIO'!C:V,2,0),"")</f>
        <v>CLOROTALONIL</v>
      </c>
      <c r="E150" s="211">
        <f>IFERROR(VLOOKUP($C150,'PORTIFÓLIO'!C:V,3,0),"")</f>
        <v>720</v>
      </c>
      <c r="F150" s="211" t="str">
        <f>IFERROR(VLOOKUP($C150,'PORTIFÓLIO'!C:V,4,0),"")</f>
        <v>KG</v>
      </c>
      <c r="G150" s="225" t="str">
        <f>IFERROR(VLOOKUP($C150,'PORTIFÓLIO'!C:V,5,0),"")</f>
        <v>📄 Ver bula</v>
      </c>
      <c r="H150" s="254">
        <f t="array" ref="H150">IFERROR(INDEX('PORTIFÓLIO'!$H$4:$H$433,MATCH($C150,'PORTIFÓLIO'!$C$4:$C$433,0)),"")</f>
        <v>1.5</v>
      </c>
      <c r="I150" s="255">
        <v>1.5</v>
      </c>
      <c r="J150" s="218">
        <f t="shared" si="18"/>
        <v>90</v>
      </c>
      <c r="K150" s="219">
        <f t="array" ref="K150">IFERROR(I150*INDEX('PORTIFÓLIO'!$S$4:$S$433,MATCH($C150,'PORTIFÓLIO'!$C$4:$C$433,0)),"")</f>
        <v>36.34416</v>
      </c>
      <c r="L150" s="219">
        <f t="array" ref="L150">IFERROR(J150*INDEX('PORTIFÓLIO'!$S$4:$S$433,MATCH($C150,'PORTIFÓLIO'!$C$4:$C$433,0)),"")</f>
        <v>2180.6496</v>
      </c>
      <c r="M150" s="220"/>
      <c r="N150" s="220"/>
      <c r="O150" s="220"/>
      <c r="P150" s="220"/>
      <c r="Q150" s="220"/>
      <c r="R150" s="220"/>
      <c r="S150" s="220"/>
      <c r="T150" s="220"/>
      <c r="U150" s="220"/>
      <c r="V150" s="220"/>
      <c r="W150" s="220"/>
    </row>
    <row r="151" ht="15.75" customHeight="1" outlineLevel="1">
      <c r="A151" s="211"/>
      <c r="B151" s="212" t="s">
        <v>6</v>
      </c>
      <c r="C151" s="213" t="s">
        <v>354</v>
      </c>
      <c r="D151" s="214" t="str">
        <f>IFERROR(VLOOKUP($C151,'PORTIFÓLIO'!C:V,2,0),"")</f>
        <v>OLEO MINERAL</v>
      </c>
      <c r="E151" s="211">
        <f>IFERROR(VLOOKUP($C151,'PORTIFÓLIO'!C:V,3,0),"")</f>
        <v>761</v>
      </c>
      <c r="F151" s="211" t="str">
        <f>IFERROR(VLOOKUP($C151,'PORTIFÓLIO'!C:V,4,0),"")</f>
        <v>L</v>
      </c>
      <c r="G151" s="225" t="str">
        <f>IFERROR(VLOOKUP($C151,'PORTIFÓLIO'!C:V,5,0),"")</f>
        <v>📄 Ver bula</v>
      </c>
      <c r="H151" s="254">
        <f t="array" ref="H151">IFERROR(INDEX('PORTIFÓLIO'!$H$4:$H$433,MATCH($C151,'PORTIFÓLIO'!$C$4:$C$433,0)),"")</f>
        <v>0.2</v>
      </c>
      <c r="I151" s="255">
        <v>0.2</v>
      </c>
      <c r="J151" s="218">
        <f t="shared" si="18"/>
        <v>12</v>
      </c>
      <c r="K151" s="219">
        <f t="array" ref="K151">IFERROR(I151*INDEX('PORTIFÓLIO'!$S$4:$S$433,MATCH($C151,'PORTIFÓLIO'!$C$4:$C$433,0)),"")</f>
        <v>3.206</v>
      </c>
      <c r="L151" s="219">
        <f t="array" ref="L151">IFERROR(J151*INDEX('PORTIFÓLIO'!$S$4:$S$433,MATCH($C151,'PORTIFÓLIO'!$C$4:$C$433,0)),"")</f>
        <v>192.36</v>
      </c>
      <c r="M151" s="220"/>
      <c r="N151" s="220"/>
      <c r="O151" s="220"/>
      <c r="P151" s="220"/>
      <c r="Q151" s="220"/>
      <c r="R151" s="220"/>
      <c r="S151" s="220"/>
      <c r="T151" s="220"/>
      <c r="U151" s="220"/>
      <c r="V151" s="220"/>
      <c r="W151" s="220"/>
    </row>
    <row r="152" ht="15.75" customHeight="1" outlineLevel="1">
      <c r="A152" s="211"/>
      <c r="B152" s="212"/>
      <c r="C152" s="213"/>
      <c r="D152" s="214" t="str">
        <f>IFERROR(VLOOKUP($C152,'PORTIFÓLIO'!C:V,2,0),"")</f>
        <v/>
      </c>
      <c r="E152" s="211" t="str">
        <f>IFERROR(VLOOKUP($C152,'PORTIFÓLIO'!C:V,3,0),"")</f>
        <v/>
      </c>
      <c r="F152" s="211" t="str">
        <f>IFERROR(VLOOKUP($C152,'PORTIFÓLIO'!C:V,4,0),"")</f>
        <v/>
      </c>
      <c r="G152" s="215" t="str">
        <f>IFERROR(VLOOKUP($C152,'PORTIFÓLIO'!C:V,5,0),"")</f>
        <v/>
      </c>
      <c r="H152" s="254" t="str">
        <f t="array" ref="H152">IFERROR(INDEX('PORTIFÓLIO'!$H$4:$H$433,MATCH($C152,'PORTIFÓLIO'!$C$4:$C$433,0)),"")</f>
        <v/>
      </c>
      <c r="I152" s="256"/>
      <c r="J152" s="218">
        <f t="shared" si="18"/>
        <v>0</v>
      </c>
      <c r="K152" s="219" t="str">
        <f t="array" ref="K152">IFERROR(I152*INDEX('PORTIFÓLIO'!$S$4:$S$433,MATCH($C152,'PORTIFÓLIO'!$C$4:$C$433,0)),"")</f>
        <v/>
      </c>
      <c r="L152" s="219" t="str">
        <f t="array" ref="L152">IFERROR(J152*INDEX('PORTIFÓLIO'!$S$4:$S$433,MATCH($C152,'PORTIFÓLIO'!$C$4:$C$433,0)),"")</f>
        <v/>
      </c>
      <c r="M152" s="220"/>
      <c r="N152" s="220"/>
      <c r="O152" s="220"/>
      <c r="P152" s="220"/>
      <c r="Q152" s="220"/>
      <c r="R152" s="220"/>
      <c r="S152" s="220"/>
      <c r="T152" s="220"/>
      <c r="U152" s="220"/>
      <c r="V152" s="220"/>
      <c r="W152" s="220"/>
    </row>
    <row r="153" ht="15.75" customHeight="1" outlineLevel="1">
      <c r="A153" s="211"/>
      <c r="B153" s="212"/>
      <c r="C153" s="213"/>
      <c r="D153" s="214" t="str">
        <f>IFERROR(VLOOKUP($C153,'PORTIFÓLIO'!C:V,2,0),"")</f>
        <v/>
      </c>
      <c r="E153" s="211" t="str">
        <f>IFERROR(VLOOKUP($C153,'PORTIFÓLIO'!C:V,3,0),"")</f>
        <v/>
      </c>
      <c r="F153" s="211" t="str">
        <f>IFERROR(VLOOKUP($C153,'PORTIFÓLIO'!C:V,4,0),"")</f>
        <v/>
      </c>
      <c r="G153" s="215" t="str">
        <f>IFERROR(VLOOKUP($C153,'PORTIFÓLIO'!C:V,5,0),"")</f>
        <v/>
      </c>
      <c r="H153" s="254" t="str">
        <f t="array" ref="H153">IFERROR(INDEX('PORTIFÓLIO'!$H$4:$H$433,MATCH($C153,'PORTIFÓLIO'!$C$4:$C$433,0)),"")</f>
        <v/>
      </c>
      <c r="I153" s="256"/>
      <c r="J153" s="218">
        <f t="shared" si="18"/>
        <v>0</v>
      </c>
      <c r="K153" s="219" t="str">
        <f t="array" ref="K153">IFERROR(I153*INDEX('PORTIFÓLIO'!$S$4:$S$433,MATCH($C153,'PORTIFÓLIO'!$C$4:$C$433,0)),"")</f>
        <v/>
      </c>
      <c r="L153" s="219" t="str">
        <f t="array" ref="L153">IFERROR(J153*INDEX('PORTIFÓLIO'!$S$4:$S$433,MATCH($C153,'PORTIFÓLIO'!$C$4:$C$433,0)),"")</f>
        <v/>
      </c>
      <c r="M153" s="220"/>
      <c r="N153" s="220"/>
      <c r="O153" s="220"/>
      <c r="P153" s="220"/>
      <c r="Q153" s="220"/>
      <c r="R153" s="220"/>
      <c r="S153" s="220"/>
      <c r="T153" s="220"/>
      <c r="U153" s="220"/>
      <c r="V153" s="220"/>
      <c r="W153" s="220"/>
    </row>
    <row r="154" ht="15.75" customHeight="1" outlineLevel="1">
      <c r="A154" s="211"/>
      <c r="B154" s="212"/>
      <c r="C154" s="213"/>
      <c r="D154" s="214" t="str">
        <f>IFERROR(VLOOKUP($C154,'PORTIFÓLIO'!C:V,2,0),"")</f>
        <v/>
      </c>
      <c r="E154" s="211" t="str">
        <f>IFERROR(VLOOKUP($C154,'PORTIFÓLIO'!C:V,3,0),"")</f>
        <v/>
      </c>
      <c r="F154" s="211" t="str">
        <f>IFERROR(VLOOKUP($C154,'PORTIFÓLIO'!C:V,4,0),"")</f>
        <v/>
      </c>
      <c r="G154" s="215" t="str">
        <f>IFERROR(VLOOKUP($C154,'PORTIFÓLIO'!C:V,5,0),"")</f>
        <v/>
      </c>
      <c r="H154" s="254" t="str">
        <f t="array" ref="H154">IFERROR(INDEX('PORTIFÓLIO'!$H$4:$H$433,MATCH($C154,'PORTIFÓLIO'!$C$4:$C$433,0)),"")</f>
        <v/>
      </c>
      <c r="I154" s="256"/>
      <c r="J154" s="218">
        <f t="shared" si="18"/>
        <v>0</v>
      </c>
      <c r="K154" s="219" t="str">
        <f t="array" ref="K154">IFERROR(I154*INDEX('PORTIFÓLIO'!$S$4:$S$433,MATCH($C154,'PORTIFÓLIO'!$C$4:$C$433,0)),"")</f>
        <v/>
      </c>
      <c r="L154" s="219" t="str">
        <f t="array" ref="L154">IFERROR(J154*INDEX('PORTIFÓLIO'!$S$4:$S$433,MATCH($C154,'PORTIFÓLIO'!$C$4:$C$433,0)),"")</f>
        <v/>
      </c>
      <c r="M154" s="220"/>
      <c r="N154" s="220"/>
      <c r="O154" s="220"/>
      <c r="P154" s="220"/>
      <c r="Q154" s="220"/>
      <c r="R154" s="220"/>
      <c r="S154" s="220"/>
      <c r="T154" s="220"/>
      <c r="U154" s="220"/>
      <c r="V154" s="220"/>
      <c r="W154" s="220"/>
    </row>
    <row r="155" ht="15.75" customHeight="1" outlineLevel="1">
      <c r="A155" s="211"/>
      <c r="B155" s="212"/>
      <c r="C155" s="213"/>
      <c r="D155" s="214" t="str">
        <f>IFERROR(VLOOKUP($C155,'PORTIFÓLIO'!C:V,2,0),"")</f>
        <v/>
      </c>
      <c r="E155" s="211" t="str">
        <f>IFERROR(VLOOKUP($C155,'PORTIFÓLIO'!C:V,3,0),"")</f>
        <v/>
      </c>
      <c r="F155" s="211" t="str">
        <f>IFERROR(VLOOKUP($C155,'PORTIFÓLIO'!C:V,4,0),"")</f>
        <v/>
      </c>
      <c r="G155" s="215" t="str">
        <f>IFERROR(VLOOKUP($C155,'PORTIFÓLIO'!C:V,5,0),"")</f>
        <v/>
      </c>
      <c r="H155" s="254" t="str">
        <f t="array" ref="H155">IFERROR(INDEX('PORTIFÓLIO'!$H$4:$H$433,MATCH($C155,'PORTIFÓLIO'!$C$4:$C$433,0)),"")</f>
        <v/>
      </c>
      <c r="I155" s="256"/>
      <c r="J155" s="218">
        <f t="shared" si="18"/>
        <v>0</v>
      </c>
      <c r="K155" s="219" t="str">
        <f t="array" ref="K155">IFERROR(I155*INDEX('PORTIFÓLIO'!$S$4:$S$433,MATCH($C155,'PORTIFÓLIO'!$C$4:$C$433,0)),"")</f>
        <v/>
      </c>
      <c r="L155" s="219" t="str">
        <f t="array" ref="L155">IFERROR(J155*INDEX('PORTIFÓLIO'!$S$4:$S$433,MATCH($C155,'PORTIFÓLIO'!$C$4:$C$433,0)),"")</f>
        <v/>
      </c>
      <c r="M155" s="220"/>
      <c r="N155" s="220"/>
      <c r="O155" s="220"/>
      <c r="P155" s="220"/>
      <c r="Q155" s="220"/>
      <c r="R155" s="220"/>
      <c r="S155" s="220"/>
      <c r="T155" s="220"/>
      <c r="U155" s="220"/>
      <c r="V155" s="220"/>
      <c r="W155" s="220"/>
    </row>
    <row r="156" ht="15.75" customHeight="1" outlineLevel="1">
      <c r="A156" s="211"/>
      <c r="B156" s="212"/>
      <c r="C156" s="213"/>
      <c r="D156" s="214" t="str">
        <f>IFERROR(VLOOKUP($C156,'PORTIFÓLIO'!C:V,2,0),"")</f>
        <v/>
      </c>
      <c r="E156" s="211" t="str">
        <f>IFERROR(VLOOKUP($C156,'PORTIFÓLIO'!C:V,3,0),"")</f>
        <v/>
      </c>
      <c r="F156" s="211" t="str">
        <f>IFERROR(VLOOKUP($C156,'PORTIFÓLIO'!C:V,4,0),"")</f>
        <v/>
      </c>
      <c r="G156" s="215" t="str">
        <f>IFERROR(VLOOKUP($C156,'PORTIFÓLIO'!C:V,5,0),"")</f>
        <v/>
      </c>
      <c r="H156" s="254" t="str">
        <f t="array" ref="H156">IFERROR(INDEX('PORTIFÓLIO'!$H$4:$H$433,MATCH($C156,'PORTIFÓLIO'!$C$4:$C$433,0)),"")</f>
        <v/>
      </c>
      <c r="I156" s="256"/>
      <c r="J156" s="218">
        <f t="shared" si="18"/>
        <v>0</v>
      </c>
      <c r="K156" s="219" t="str">
        <f t="array" ref="K156">IFERROR(I156*INDEX('PORTIFÓLIO'!$S$4:$S$433,MATCH($C156,'PORTIFÓLIO'!$C$4:$C$433,0)),"")</f>
        <v/>
      </c>
      <c r="L156" s="219" t="str">
        <f t="array" ref="L156">IFERROR(J156*INDEX('PORTIFÓLIO'!$S$4:$S$433,MATCH($C156,'PORTIFÓLIO'!$C$4:$C$433,0)),"")</f>
        <v/>
      </c>
      <c r="M156" s="220"/>
      <c r="N156" s="220"/>
      <c r="O156" s="220"/>
      <c r="P156" s="220"/>
      <c r="Q156" s="220"/>
      <c r="R156" s="220"/>
      <c r="S156" s="220"/>
      <c r="T156" s="220"/>
      <c r="U156" s="220"/>
      <c r="V156" s="220"/>
      <c r="W156" s="220"/>
    </row>
    <row r="157" ht="15.75" customHeight="1" outlineLevel="1">
      <c r="A157" s="211"/>
      <c r="B157" s="212"/>
      <c r="C157" s="213"/>
      <c r="D157" s="214" t="str">
        <f>IFERROR(VLOOKUP($C157,'PORTIFÓLIO'!C:V,2,0),"")</f>
        <v/>
      </c>
      <c r="E157" s="211" t="str">
        <f>IFERROR(VLOOKUP($C157,'PORTIFÓLIO'!C:V,3,0),"")</f>
        <v/>
      </c>
      <c r="F157" s="211" t="str">
        <f>IFERROR(VLOOKUP($C157,'PORTIFÓLIO'!C:V,4,0),"")</f>
        <v/>
      </c>
      <c r="G157" s="215" t="str">
        <f>IFERROR(VLOOKUP($C157,'PORTIFÓLIO'!C:V,5,0),"")</f>
        <v/>
      </c>
      <c r="H157" s="254" t="str">
        <f t="array" ref="H157">IFERROR(INDEX('PORTIFÓLIO'!$H$4:$H$433,MATCH($C157,'PORTIFÓLIO'!$C$4:$C$433,0)),"")</f>
        <v/>
      </c>
      <c r="I157" s="255"/>
      <c r="J157" s="218">
        <f t="shared" si="18"/>
        <v>0</v>
      </c>
      <c r="K157" s="219" t="str">
        <f t="array" ref="K157">IFERROR(I157*INDEX('PORTIFÓLIO'!$S$4:$S$433,MATCH($C157,'PORTIFÓLIO'!$C$4:$C$433,0)),"")</f>
        <v/>
      </c>
      <c r="L157" s="219" t="str">
        <f t="array" ref="L157">IFERROR(J157*INDEX('PORTIFÓLIO'!$S$4:$S$433,MATCH($C157,'PORTIFÓLIO'!$C$4:$C$433,0)),"")</f>
        <v/>
      </c>
      <c r="M157" s="220"/>
      <c r="N157" s="220"/>
      <c r="O157" s="220"/>
      <c r="P157" s="220"/>
      <c r="Q157" s="220"/>
      <c r="R157" s="220"/>
      <c r="S157" s="220"/>
      <c r="T157" s="220"/>
      <c r="U157" s="220"/>
      <c r="V157" s="220"/>
      <c r="W157" s="220"/>
    </row>
    <row r="158" ht="15.75" customHeight="1" outlineLevel="1">
      <c r="A158" s="211"/>
      <c r="B158" s="212"/>
      <c r="C158" s="213"/>
      <c r="D158" s="214" t="str">
        <f>IFERROR(VLOOKUP($C158,'PORTIFÓLIO'!C:V,2,0),"")</f>
        <v/>
      </c>
      <c r="E158" s="211" t="str">
        <f>IFERROR(VLOOKUP($C158,'PORTIFÓLIO'!C:V,3,0),"")</f>
        <v/>
      </c>
      <c r="F158" s="211" t="str">
        <f>IFERROR(VLOOKUP($C158,'PORTIFÓLIO'!C:V,4,0),"")</f>
        <v/>
      </c>
      <c r="G158" s="215" t="str">
        <f>IFERROR(VLOOKUP($C158,'PORTIFÓLIO'!C:V,5,0),"")</f>
        <v/>
      </c>
      <c r="H158" s="254" t="str">
        <f t="array" ref="H158">IFERROR(INDEX('PORTIFÓLIO'!$H$4:$H$433,MATCH($C158,'PORTIFÓLIO'!$C$4:$C$433,0)),"")</f>
        <v/>
      </c>
      <c r="I158" s="256"/>
      <c r="J158" s="218">
        <f t="shared" si="18"/>
        <v>0</v>
      </c>
      <c r="K158" s="219" t="str">
        <f t="array" ref="K158">IFERROR(I158*INDEX('PORTIFÓLIO'!$S$4:$S$433,MATCH($C158,'PORTIFÓLIO'!$C$4:$C$433,0)),"")</f>
        <v/>
      </c>
      <c r="L158" s="219" t="str">
        <f t="array" ref="L158">IFERROR(J158*INDEX('PORTIFÓLIO'!$S$4:$S$433,MATCH($C158,'PORTIFÓLIO'!$C$4:$C$433,0)),"")</f>
        <v/>
      </c>
      <c r="M158" s="220"/>
      <c r="N158" s="220"/>
      <c r="O158" s="220"/>
      <c r="P158" s="220"/>
      <c r="Q158" s="220"/>
      <c r="R158" s="220"/>
      <c r="S158" s="220"/>
      <c r="T158" s="220"/>
      <c r="U158" s="220"/>
      <c r="V158" s="220"/>
      <c r="W158" s="220"/>
    </row>
    <row r="159" ht="15.75" customHeight="1" outlineLevel="1">
      <c r="A159" s="211"/>
      <c r="B159" s="212"/>
      <c r="C159" s="213"/>
      <c r="D159" s="214" t="str">
        <f>IFERROR(VLOOKUP($C159,'PORTIFÓLIO'!C:V,2,0),"")</f>
        <v/>
      </c>
      <c r="E159" s="211" t="str">
        <f>IFERROR(VLOOKUP($C159,'PORTIFÓLIO'!C:V,3,0),"")</f>
        <v/>
      </c>
      <c r="F159" s="211" t="str">
        <f>IFERROR(VLOOKUP($C159,'PORTIFÓLIO'!C:V,4,0),"")</f>
        <v/>
      </c>
      <c r="G159" s="215" t="str">
        <f>IFERROR(VLOOKUP($C159,'PORTIFÓLIO'!C:V,5,0),"")</f>
        <v/>
      </c>
      <c r="H159" s="254" t="str">
        <f t="array" ref="H159">IFERROR(INDEX('PORTIFÓLIO'!$H$4:$H$433,MATCH($C159,'PORTIFÓLIO'!$C$4:$C$433,0)),"")</f>
        <v/>
      </c>
      <c r="I159" s="256"/>
      <c r="J159" s="218">
        <f t="shared" si="18"/>
        <v>0</v>
      </c>
      <c r="K159" s="219" t="str">
        <f t="array" ref="K159">IFERROR(I159*INDEX('PORTIFÓLIO'!$S$4:$S$433,MATCH($C159,'PORTIFÓLIO'!$C$4:$C$433,0)),"")</f>
        <v/>
      </c>
      <c r="L159" s="219" t="str">
        <f t="array" ref="L159">IFERROR(J159*INDEX('PORTIFÓLIO'!$S$4:$S$433,MATCH($C159,'PORTIFÓLIO'!$C$4:$C$433,0)),"")</f>
        <v/>
      </c>
      <c r="M159" s="220"/>
      <c r="N159" s="220"/>
      <c r="O159" s="220"/>
      <c r="P159" s="220"/>
      <c r="Q159" s="220"/>
      <c r="R159" s="220"/>
      <c r="S159" s="220"/>
      <c r="T159" s="220"/>
      <c r="U159" s="220"/>
      <c r="V159" s="220"/>
      <c r="W159" s="220"/>
    </row>
    <row r="160" ht="15.75" customHeight="1" outlineLevel="1">
      <c r="A160" s="211"/>
      <c r="B160" s="212"/>
      <c r="C160" s="213"/>
      <c r="D160" s="214" t="str">
        <f>IFERROR(VLOOKUP($C160,'PORTIFÓLIO'!C:V,2,0),"")</f>
        <v/>
      </c>
      <c r="E160" s="211" t="str">
        <f>IFERROR(VLOOKUP($C160,'PORTIFÓLIO'!C:V,3,0),"")</f>
        <v/>
      </c>
      <c r="F160" s="211" t="str">
        <f>IFERROR(VLOOKUP($C160,'PORTIFÓLIO'!C:V,4,0),"")</f>
        <v/>
      </c>
      <c r="G160" s="215" t="str">
        <f>IFERROR(VLOOKUP($C160,'PORTIFÓLIO'!C:V,5,0),"")</f>
        <v/>
      </c>
      <c r="H160" s="254" t="str">
        <f t="array" ref="H160">IFERROR(INDEX('PORTIFÓLIO'!$H$4:$H$433,MATCH($C160,'PORTIFÓLIO'!$C$4:$C$433,0)),"")</f>
        <v/>
      </c>
      <c r="I160" s="256"/>
      <c r="J160" s="218">
        <f t="shared" si="18"/>
        <v>0</v>
      </c>
      <c r="K160" s="219" t="str">
        <f t="array" ref="K160">IFERROR(I160*INDEX('PORTIFÓLIO'!$S$4:$S$433,MATCH($C160,'PORTIFÓLIO'!$C$4:$C$433,0)),"")</f>
        <v/>
      </c>
      <c r="L160" s="219" t="str">
        <f t="array" ref="L160">IFERROR(J160*INDEX('PORTIFÓLIO'!$S$4:$S$433,MATCH($C160,'PORTIFÓLIO'!$C$4:$C$433,0)),"")</f>
        <v/>
      </c>
      <c r="M160" s="220"/>
      <c r="N160" s="220"/>
      <c r="O160" s="220"/>
      <c r="P160" s="220"/>
      <c r="Q160" s="220"/>
      <c r="R160" s="220"/>
      <c r="S160" s="220"/>
      <c r="T160" s="220"/>
      <c r="U160" s="220"/>
      <c r="V160" s="220"/>
      <c r="W160" s="220"/>
    </row>
    <row r="161" ht="15.75" customHeight="1" outlineLevel="1">
      <c r="A161" s="211"/>
      <c r="B161" s="212"/>
      <c r="C161" s="213"/>
      <c r="D161" s="214" t="str">
        <f>IFERROR(VLOOKUP($C161,'PORTIFÓLIO'!C:V,2,0),"")</f>
        <v/>
      </c>
      <c r="E161" s="211" t="str">
        <f>IFERROR(VLOOKUP($C161,'PORTIFÓLIO'!C:V,3,0),"")</f>
        <v/>
      </c>
      <c r="F161" s="211" t="str">
        <f>IFERROR(VLOOKUP($C161,'PORTIFÓLIO'!C:V,4,0),"")</f>
        <v/>
      </c>
      <c r="G161" s="215" t="str">
        <f>IFERROR(VLOOKUP($C161,'PORTIFÓLIO'!C:V,5,0),"")</f>
        <v/>
      </c>
      <c r="H161" s="254" t="str">
        <f t="array" ref="H161">IFERROR(INDEX('PORTIFÓLIO'!$H$4:$H$433,MATCH($C161,'PORTIFÓLIO'!$C$4:$C$433,0)),"")</f>
        <v/>
      </c>
      <c r="I161" s="256"/>
      <c r="J161" s="218">
        <f t="shared" si="18"/>
        <v>0</v>
      </c>
      <c r="K161" s="219" t="str">
        <f t="array" ref="K161">IFERROR(I161*INDEX('PORTIFÓLIO'!$S$4:$S$433,MATCH($C161,'PORTIFÓLIO'!$C$4:$C$433,0)),"")</f>
        <v/>
      </c>
      <c r="L161" s="219" t="str">
        <f t="array" ref="L161">IFERROR(J161*INDEX('PORTIFÓLIO'!$S$4:$S$433,MATCH($C161,'PORTIFÓLIO'!$C$4:$C$433,0)),"")</f>
        <v/>
      </c>
      <c r="M161" s="220"/>
      <c r="N161" s="220"/>
      <c r="O161" s="220"/>
      <c r="P161" s="220"/>
      <c r="Q161" s="220"/>
      <c r="R161" s="220"/>
      <c r="S161" s="220"/>
      <c r="T161" s="220"/>
      <c r="U161" s="220"/>
      <c r="V161" s="220"/>
      <c r="W161" s="220"/>
    </row>
    <row r="162" ht="15.75" customHeight="1" outlineLevel="1">
      <c r="A162" s="211"/>
      <c r="B162" s="212"/>
      <c r="C162" s="213"/>
      <c r="D162" s="214" t="str">
        <f>IFERROR(VLOOKUP($C162,'PORTIFÓLIO'!C:V,2,0),"")</f>
        <v/>
      </c>
      <c r="E162" s="211" t="str">
        <f>IFERROR(VLOOKUP($C162,'PORTIFÓLIO'!C:V,3,0),"")</f>
        <v/>
      </c>
      <c r="F162" s="211" t="str">
        <f>IFERROR(VLOOKUP($C162,'PORTIFÓLIO'!C:V,4,0),"")</f>
        <v/>
      </c>
      <c r="G162" s="215" t="str">
        <f>IFERROR(VLOOKUP($C162,'PORTIFÓLIO'!C:V,5,0),"")</f>
        <v/>
      </c>
      <c r="H162" s="254" t="str">
        <f t="array" ref="H162">IFERROR(INDEX('PORTIFÓLIO'!$H$4:$H$433,MATCH($C162,'PORTIFÓLIO'!$C$4:$C$433,0)),"")</f>
        <v/>
      </c>
      <c r="I162" s="256"/>
      <c r="J162" s="218">
        <f t="shared" si="18"/>
        <v>0</v>
      </c>
      <c r="K162" s="219" t="str">
        <f t="array" ref="K162">IFERROR(I162*INDEX('PORTIFÓLIO'!$S$4:$S$433,MATCH($C162,'PORTIFÓLIO'!$C$4:$C$433,0)),"")</f>
        <v/>
      </c>
      <c r="L162" s="219" t="str">
        <f t="array" ref="L162">IFERROR(J162*INDEX('PORTIFÓLIO'!$S$4:$S$433,MATCH($C162,'PORTIFÓLIO'!$C$4:$C$433,0)),"")</f>
        <v/>
      </c>
      <c r="M162" s="220"/>
      <c r="N162" s="220"/>
      <c r="O162" s="220"/>
      <c r="P162" s="220"/>
      <c r="Q162" s="220"/>
      <c r="R162" s="220"/>
      <c r="S162" s="220"/>
      <c r="T162" s="220"/>
      <c r="U162" s="220"/>
      <c r="V162" s="220"/>
      <c r="W162" s="220"/>
    </row>
    <row r="163" ht="15.75" customHeight="1" outlineLevel="1">
      <c r="A163" s="211"/>
      <c r="B163" s="212"/>
      <c r="C163" s="213"/>
      <c r="D163" s="214" t="str">
        <f>IFERROR(VLOOKUP($C163,'PORTIFÓLIO'!C:V,2,0),"")</f>
        <v/>
      </c>
      <c r="E163" s="211" t="str">
        <f>IFERROR(VLOOKUP($C163,'PORTIFÓLIO'!C:V,3,0),"")</f>
        <v/>
      </c>
      <c r="F163" s="211" t="str">
        <f>IFERROR(VLOOKUP($C163,'PORTIFÓLIO'!C:V,4,0),"")</f>
        <v/>
      </c>
      <c r="G163" s="215" t="str">
        <f>IFERROR(VLOOKUP($C163,'PORTIFÓLIO'!C:V,5,0),"")</f>
        <v/>
      </c>
      <c r="H163" s="254" t="str">
        <f t="array" ref="H163">IFERROR(INDEX('PORTIFÓLIO'!$H$4:$H$433,MATCH($C163,'PORTIFÓLIO'!$C$4:$C$433,0)),"")</f>
        <v/>
      </c>
      <c r="I163" s="256"/>
      <c r="J163" s="218">
        <f t="shared" si="18"/>
        <v>0</v>
      </c>
      <c r="K163" s="219" t="str">
        <f t="array" ref="K163">IFERROR(I163*INDEX('PORTIFÓLIO'!$S$4:$S$433,MATCH($C163,'PORTIFÓLIO'!$C$4:$C$433,0)),"")</f>
        <v/>
      </c>
      <c r="L163" s="219" t="str">
        <f t="array" ref="L163">IFERROR(J163*INDEX('PORTIFÓLIO'!$S$4:$S$433,MATCH($C163,'PORTIFÓLIO'!$C$4:$C$433,0)),"")</f>
        <v/>
      </c>
      <c r="M163" s="220"/>
      <c r="N163" s="220"/>
      <c r="O163" s="220"/>
      <c r="P163" s="220"/>
      <c r="Q163" s="220"/>
      <c r="R163" s="220"/>
      <c r="S163" s="220"/>
      <c r="T163" s="220"/>
      <c r="U163" s="220"/>
      <c r="V163" s="220"/>
      <c r="W163" s="220"/>
    </row>
    <row r="164" ht="15.75" customHeight="1" outlineLevel="1">
      <c r="A164" s="211"/>
      <c r="B164" s="227"/>
      <c r="C164" s="211"/>
      <c r="D164" s="214" t="str">
        <f>IFERROR(VLOOKUP($C164,'PORTIFÓLIO'!C:V,2,0),"")</f>
        <v/>
      </c>
      <c r="E164" s="211" t="str">
        <f>IFERROR(VLOOKUP($C164,'PORTIFÓLIO'!C:V,3,0),"")</f>
        <v/>
      </c>
      <c r="F164" s="211" t="str">
        <f>IFERROR(VLOOKUP($C164,'PORTIFÓLIO'!C:V,4,0),"")</f>
        <v/>
      </c>
      <c r="G164" s="215" t="str">
        <f>IFERROR(VLOOKUP($C164,'PORTIFÓLIO'!C:V,5,0),"")</f>
        <v/>
      </c>
      <c r="H164" s="254" t="str">
        <f t="array" ref="H164">IFERROR(INDEX('PORTIFÓLIO'!$H$4:$H$433,MATCH($C164,'PORTIFÓLIO'!$C$4:$C$433,0)),"")</f>
        <v/>
      </c>
      <c r="I164" s="256"/>
      <c r="J164" s="218"/>
      <c r="K164" s="219" t="str">
        <f t="array" ref="K164">IFERROR(I164*INDEX('PORTIFÓLIO'!$S$4:$S$433,MATCH($C164,'PORTIFÓLIO'!$C$4:$C$433,0)),"")</f>
        <v/>
      </c>
      <c r="L164" s="219" t="str">
        <f t="array" ref="L164">IFERROR(J164*INDEX('PORTIFÓLIO'!$S$4:$S$433,MATCH($C164,'PORTIFÓLIO'!$C$4:$C$433,0)),"")</f>
        <v/>
      </c>
      <c r="M164" s="220"/>
      <c r="N164" s="220"/>
      <c r="O164" s="220"/>
      <c r="P164" s="220"/>
      <c r="Q164" s="220"/>
      <c r="R164" s="220"/>
      <c r="S164" s="220"/>
      <c r="T164" s="220"/>
      <c r="U164" s="220"/>
      <c r="V164" s="220"/>
      <c r="W164" s="220"/>
    </row>
    <row r="165" ht="15.75" customHeight="1">
      <c r="A165" s="229" t="s">
        <v>1193</v>
      </c>
      <c r="B165" s="230"/>
      <c r="C165" s="231"/>
      <c r="D165" s="232"/>
      <c r="E165" s="231"/>
      <c r="F165" s="231"/>
      <c r="G165" s="233"/>
      <c r="H165" s="233"/>
      <c r="I165" s="258"/>
      <c r="J165" s="236"/>
      <c r="K165" s="237">
        <f t="shared" ref="K165:L165" si="19">SUBTOTAL(9,K166:K179)</f>
        <v>50.69456</v>
      </c>
      <c r="L165" s="237">
        <f t="shared" si="19"/>
        <v>3041.6736</v>
      </c>
      <c r="M165" s="220"/>
      <c r="N165" s="220"/>
      <c r="O165" s="220"/>
      <c r="P165" s="220"/>
      <c r="Q165" s="220"/>
      <c r="R165" s="220"/>
      <c r="S165" s="220"/>
      <c r="T165" s="220"/>
      <c r="U165" s="220"/>
      <c r="V165" s="220"/>
      <c r="W165" s="220"/>
    </row>
    <row r="166" ht="15.75" customHeight="1" outlineLevel="1">
      <c r="A166" s="213"/>
      <c r="B166" s="212" t="s">
        <v>1</v>
      </c>
      <c r="C166" s="213" t="s">
        <v>742</v>
      </c>
      <c r="D166" s="214" t="str">
        <f>IFERROR(VLOOKUP($C166,'PORTIFÓLIO'!C:V,2,0),"")</f>
        <v>DIQUATE</v>
      </c>
      <c r="E166" s="211">
        <f>IFERROR(VLOOKUP($C166,'PORTIFÓLIO'!C:V,3,0),"")</f>
        <v>200</v>
      </c>
      <c r="F166" s="211" t="str">
        <f>IFERROR(VLOOKUP($C166,'PORTIFÓLIO'!C:V,4,0),"")</f>
        <v>L</v>
      </c>
      <c r="G166" s="225" t="str">
        <f>IFERROR(VLOOKUP($C166,'PORTIFÓLIO'!C:V,5,0),"")</f>
        <v>📄 Ver bula</v>
      </c>
      <c r="H166" s="254">
        <f t="array" ref="H166">IFERROR(INDEX('PORTIFÓLIO'!$H$4:$H$433,MATCH($C166,'PORTIFÓLIO'!$C$4:$C$433,0)),"")</f>
        <v>2</v>
      </c>
      <c r="I166" s="255">
        <v>2.0</v>
      </c>
      <c r="J166" s="218">
        <f t="shared" ref="J166:J181" si="20">I166*$B$2</f>
        <v>120</v>
      </c>
      <c r="K166" s="219">
        <f t="array" ref="K166">IFERROR(I166*INDEX('PORTIFÓLIO'!$S$4:$S$433,MATCH($C166,'PORTIFÓLIO'!$C$4:$C$433,0)),"")</f>
        <v>47.48856</v>
      </c>
      <c r="L166" s="219">
        <f t="array" ref="L166">IFERROR(J166*INDEX('PORTIFÓLIO'!$S$4:$S$433,MATCH($C166,'PORTIFÓLIO'!$C$4:$C$433,0)),"")</f>
        <v>2849.3136</v>
      </c>
      <c r="M166" s="220"/>
      <c r="N166" s="220"/>
      <c r="O166" s="220"/>
      <c r="P166" s="220"/>
      <c r="Q166" s="220"/>
      <c r="R166" s="220"/>
      <c r="S166" s="220"/>
      <c r="T166" s="220"/>
      <c r="U166" s="220"/>
      <c r="V166" s="220"/>
      <c r="W166" s="220"/>
    </row>
    <row r="167" ht="15.75" customHeight="1" outlineLevel="1">
      <c r="A167" s="211"/>
      <c r="B167" s="212" t="s">
        <v>6</v>
      </c>
      <c r="C167" s="213" t="s">
        <v>354</v>
      </c>
      <c r="D167" s="214" t="str">
        <f>IFERROR(VLOOKUP($C167,'PORTIFÓLIO'!C:V,2,0),"")</f>
        <v>OLEO MINERAL</v>
      </c>
      <c r="E167" s="211">
        <f>IFERROR(VLOOKUP($C167,'PORTIFÓLIO'!C:V,3,0),"")</f>
        <v>761</v>
      </c>
      <c r="F167" s="211" t="str">
        <f>IFERROR(VLOOKUP($C167,'PORTIFÓLIO'!C:V,4,0),"")</f>
        <v>L</v>
      </c>
      <c r="G167" s="225" t="str">
        <f>IFERROR(VLOOKUP($C167,'PORTIFÓLIO'!C:V,5,0),"")</f>
        <v>📄 Ver bula</v>
      </c>
      <c r="H167" s="254">
        <f t="array" ref="H167">IFERROR(INDEX('PORTIFÓLIO'!$H$4:$H$433,MATCH($C167,'PORTIFÓLIO'!$C$4:$C$433,0)),"")</f>
        <v>0.2</v>
      </c>
      <c r="I167" s="255">
        <v>0.2</v>
      </c>
      <c r="J167" s="218">
        <f t="shared" si="20"/>
        <v>12</v>
      </c>
      <c r="K167" s="219">
        <f t="array" ref="K167">IFERROR(I167*INDEX('PORTIFÓLIO'!$S$4:$S$433,MATCH($C167,'PORTIFÓLIO'!$C$4:$C$433,0)),"")</f>
        <v>3.206</v>
      </c>
      <c r="L167" s="219">
        <f t="array" ref="L167">IFERROR(J167*INDEX('PORTIFÓLIO'!$S$4:$S$433,MATCH($C167,'PORTIFÓLIO'!$C$4:$C$433,0)),"")</f>
        <v>192.36</v>
      </c>
      <c r="M167" s="220"/>
      <c r="N167" s="220"/>
      <c r="O167" s="220"/>
      <c r="P167" s="220"/>
      <c r="Q167" s="220"/>
      <c r="R167" s="220"/>
      <c r="S167" s="220"/>
      <c r="T167" s="220"/>
      <c r="U167" s="220"/>
      <c r="V167" s="220"/>
      <c r="W167" s="220"/>
    </row>
    <row r="168" ht="15.75" customHeight="1" outlineLevel="1">
      <c r="A168" s="211"/>
      <c r="B168" s="212"/>
      <c r="C168" s="213"/>
      <c r="D168" s="214" t="str">
        <f>IFERROR(VLOOKUP($C168,'PORTIFÓLIO'!C:V,2,0),"")</f>
        <v/>
      </c>
      <c r="E168" s="211" t="str">
        <f>IFERROR(VLOOKUP($C168,'PORTIFÓLIO'!C:V,3,0),"")</f>
        <v/>
      </c>
      <c r="F168" s="211" t="str">
        <f>IFERROR(VLOOKUP($C168,'PORTIFÓLIO'!C:V,4,0),"")</f>
        <v/>
      </c>
      <c r="G168" s="215" t="str">
        <f>IFERROR(VLOOKUP($C168,'PORTIFÓLIO'!C:V,5,0),"")</f>
        <v/>
      </c>
      <c r="H168" s="254" t="str">
        <f t="array" ref="H168">IFERROR(INDEX('PORTIFÓLIO'!$H$4:$H$433,MATCH($C168,'PORTIFÓLIO'!$C$4:$C$433,0)),"")</f>
        <v/>
      </c>
      <c r="I168" s="256"/>
      <c r="J168" s="218">
        <f t="shared" si="20"/>
        <v>0</v>
      </c>
      <c r="K168" s="219" t="str">
        <f t="array" ref="K168">IFERROR(I168*INDEX('PORTIFÓLIO'!$S$4:$S$433,MATCH($C168,'PORTIFÓLIO'!$C$4:$C$433,0)),"")</f>
        <v/>
      </c>
      <c r="L168" s="219" t="str">
        <f t="array" ref="L168">IFERROR(J168*INDEX('PORTIFÓLIO'!$S$4:$S$433,MATCH($C168,'PORTIFÓLIO'!$C$4:$C$433,0)),"")</f>
        <v/>
      </c>
      <c r="M168" s="220"/>
      <c r="N168" s="220"/>
      <c r="O168" s="220"/>
      <c r="P168" s="220"/>
      <c r="Q168" s="220"/>
      <c r="R168" s="220"/>
      <c r="S168" s="220"/>
      <c r="T168" s="220"/>
      <c r="U168" s="220"/>
      <c r="V168" s="220"/>
      <c r="W168" s="220"/>
    </row>
    <row r="169" ht="15.75" customHeight="1" outlineLevel="1">
      <c r="A169" s="211"/>
      <c r="B169" s="212"/>
      <c r="C169" s="213"/>
      <c r="D169" s="214" t="str">
        <f>IFERROR(VLOOKUP($C169,'PORTIFÓLIO'!C:V,2,0),"")</f>
        <v/>
      </c>
      <c r="E169" s="211" t="str">
        <f>IFERROR(VLOOKUP($C169,'PORTIFÓLIO'!C:V,3,0),"")</f>
        <v/>
      </c>
      <c r="F169" s="211" t="str">
        <f>IFERROR(VLOOKUP($C169,'PORTIFÓLIO'!C:V,4,0),"")</f>
        <v/>
      </c>
      <c r="G169" s="215" t="str">
        <f>IFERROR(VLOOKUP($C169,'PORTIFÓLIO'!C:V,5,0),"")</f>
        <v/>
      </c>
      <c r="H169" s="254" t="str">
        <f t="array" ref="H169">IFERROR(INDEX('PORTIFÓLIO'!$H$4:$H$433,MATCH($C169,'PORTIFÓLIO'!$C$4:$C$433,0)),"")</f>
        <v/>
      </c>
      <c r="I169" s="256"/>
      <c r="J169" s="218">
        <f t="shared" si="20"/>
        <v>0</v>
      </c>
      <c r="K169" s="219" t="str">
        <f t="array" ref="K169">IFERROR(I169*INDEX('PORTIFÓLIO'!$S$4:$S$433,MATCH($C169,'PORTIFÓLIO'!$C$4:$C$433,0)),"")</f>
        <v/>
      </c>
      <c r="L169" s="219" t="str">
        <f t="array" ref="L169">IFERROR(J169*INDEX('PORTIFÓLIO'!$S$4:$S$433,MATCH($C169,'PORTIFÓLIO'!$C$4:$C$433,0)),"")</f>
        <v/>
      </c>
      <c r="M169" s="220"/>
      <c r="N169" s="220"/>
      <c r="O169" s="220"/>
      <c r="P169" s="220"/>
      <c r="Q169" s="220"/>
      <c r="R169" s="220"/>
      <c r="S169" s="220"/>
      <c r="T169" s="220"/>
      <c r="U169" s="220"/>
      <c r="V169" s="220"/>
      <c r="W169" s="220"/>
    </row>
    <row r="170" ht="15.75" customHeight="1" outlineLevel="1">
      <c r="A170" s="211"/>
      <c r="B170" s="212"/>
      <c r="C170" s="213"/>
      <c r="D170" s="214" t="str">
        <f>IFERROR(VLOOKUP($C170,'PORTIFÓLIO'!C:V,2,0),"")</f>
        <v/>
      </c>
      <c r="E170" s="211" t="str">
        <f>IFERROR(VLOOKUP($C170,'PORTIFÓLIO'!C:V,3,0),"")</f>
        <v/>
      </c>
      <c r="F170" s="211" t="str">
        <f>IFERROR(VLOOKUP($C170,'PORTIFÓLIO'!C:V,4,0),"")</f>
        <v/>
      </c>
      <c r="G170" s="215" t="str">
        <f>IFERROR(VLOOKUP($C170,'PORTIFÓLIO'!C:V,5,0),"")</f>
        <v/>
      </c>
      <c r="H170" s="254" t="str">
        <f t="array" ref="H170">IFERROR(INDEX('PORTIFÓLIO'!$H$4:$H$433,MATCH($C170,'PORTIFÓLIO'!$C$4:$C$433,0)),"")</f>
        <v/>
      </c>
      <c r="I170" s="256"/>
      <c r="J170" s="218">
        <f t="shared" si="20"/>
        <v>0</v>
      </c>
      <c r="K170" s="219" t="str">
        <f t="array" ref="K170">IFERROR(I170*INDEX('PORTIFÓLIO'!$S$4:$S$433,MATCH($C170,'PORTIFÓLIO'!$C$4:$C$433,0)),"")</f>
        <v/>
      </c>
      <c r="L170" s="219" t="str">
        <f t="array" ref="L170">IFERROR(J170*INDEX('PORTIFÓLIO'!$S$4:$S$433,MATCH($C170,'PORTIFÓLIO'!$C$4:$C$433,0)),"")</f>
        <v/>
      </c>
      <c r="M170" s="220"/>
      <c r="N170" s="220"/>
      <c r="O170" s="220"/>
      <c r="P170" s="220"/>
      <c r="Q170" s="220"/>
      <c r="R170" s="220"/>
      <c r="S170" s="220"/>
      <c r="T170" s="220"/>
      <c r="U170" s="220"/>
      <c r="V170" s="220"/>
      <c r="W170" s="220"/>
    </row>
    <row r="171" ht="15.75" customHeight="1" outlineLevel="1">
      <c r="A171" s="211"/>
      <c r="B171" s="212"/>
      <c r="C171" s="213"/>
      <c r="D171" s="214" t="str">
        <f>IFERROR(VLOOKUP($C171,'PORTIFÓLIO'!C:V,2,0),"")</f>
        <v/>
      </c>
      <c r="E171" s="211" t="str">
        <f>IFERROR(VLOOKUP($C171,'PORTIFÓLIO'!C:V,3,0),"")</f>
        <v/>
      </c>
      <c r="F171" s="211" t="str">
        <f>IFERROR(VLOOKUP($C171,'PORTIFÓLIO'!C:V,4,0),"")</f>
        <v/>
      </c>
      <c r="G171" s="215" t="str">
        <f>IFERROR(VLOOKUP($C171,'PORTIFÓLIO'!C:V,5,0),"")</f>
        <v/>
      </c>
      <c r="H171" s="254" t="str">
        <f t="array" ref="H171">IFERROR(INDEX('PORTIFÓLIO'!$H$4:$H$433,MATCH($C171,'PORTIFÓLIO'!$C$4:$C$433,0)),"")</f>
        <v/>
      </c>
      <c r="I171" s="256"/>
      <c r="J171" s="218">
        <f t="shared" si="20"/>
        <v>0</v>
      </c>
      <c r="K171" s="219" t="str">
        <f t="array" ref="K171">IFERROR(I171*INDEX('PORTIFÓLIO'!$S$4:$S$433,MATCH($C171,'PORTIFÓLIO'!$C$4:$C$433,0)),"")</f>
        <v/>
      </c>
      <c r="L171" s="219" t="str">
        <f t="array" ref="L171">IFERROR(J171*INDEX('PORTIFÓLIO'!$S$4:$S$433,MATCH($C171,'PORTIFÓLIO'!$C$4:$C$433,0)),"")</f>
        <v/>
      </c>
      <c r="M171" s="220"/>
      <c r="N171" s="220"/>
      <c r="O171" s="220"/>
      <c r="P171" s="220"/>
      <c r="Q171" s="220"/>
      <c r="R171" s="220"/>
      <c r="S171" s="220"/>
      <c r="T171" s="220"/>
      <c r="U171" s="220"/>
      <c r="V171" s="220"/>
      <c r="W171" s="220"/>
    </row>
    <row r="172" ht="15.75" customHeight="1" outlineLevel="1">
      <c r="A172" s="211"/>
      <c r="B172" s="212"/>
      <c r="C172" s="213"/>
      <c r="D172" s="214" t="str">
        <f>IFERROR(VLOOKUP($C172,'PORTIFÓLIO'!C:V,2,0),"")</f>
        <v/>
      </c>
      <c r="E172" s="211" t="str">
        <f>IFERROR(VLOOKUP($C172,'PORTIFÓLIO'!C:V,3,0),"")</f>
        <v/>
      </c>
      <c r="F172" s="211" t="str">
        <f>IFERROR(VLOOKUP($C172,'PORTIFÓLIO'!C:V,4,0),"")</f>
        <v/>
      </c>
      <c r="G172" s="215" t="str">
        <f>IFERROR(VLOOKUP($C172,'PORTIFÓLIO'!C:V,5,0),"")</f>
        <v/>
      </c>
      <c r="H172" s="254" t="str">
        <f t="array" ref="H172">IFERROR(INDEX('PORTIFÓLIO'!$H$4:$H$433,MATCH($C172,'PORTIFÓLIO'!$C$4:$C$433,0)),"")</f>
        <v/>
      </c>
      <c r="I172" s="256"/>
      <c r="J172" s="218">
        <f t="shared" si="20"/>
        <v>0</v>
      </c>
      <c r="K172" s="219" t="str">
        <f t="array" ref="K172">IFERROR(I172*INDEX('PORTIFÓLIO'!$S$4:$S$433,MATCH($C172,'PORTIFÓLIO'!$C$4:$C$433,0)),"")</f>
        <v/>
      </c>
      <c r="L172" s="219" t="str">
        <f t="array" ref="L172">IFERROR(J172*INDEX('PORTIFÓLIO'!$S$4:$S$433,MATCH($C172,'PORTIFÓLIO'!$C$4:$C$433,0)),"")</f>
        <v/>
      </c>
      <c r="M172" s="220"/>
      <c r="N172" s="220"/>
      <c r="O172" s="220"/>
      <c r="P172" s="220"/>
      <c r="Q172" s="220"/>
      <c r="R172" s="220"/>
      <c r="S172" s="220"/>
      <c r="T172" s="220"/>
      <c r="U172" s="220"/>
      <c r="V172" s="220"/>
      <c r="W172" s="220"/>
    </row>
    <row r="173" ht="15.75" customHeight="1" outlineLevel="1">
      <c r="A173" s="211"/>
      <c r="B173" s="212"/>
      <c r="C173" s="213"/>
      <c r="D173" s="214" t="str">
        <f>IFERROR(VLOOKUP($C173,'PORTIFÓLIO'!C:V,2,0),"")</f>
        <v/>
      </c>
      <c r="E173" s="211" t="str">
        <f>IFERROR(VLOOKUP($C173,'PORTIFÓLIO'!C:V,3,0),"")</f>
        <v/>
      </c>
      <c r="F173" s="211" t="str">
        <f>IFERROR(VLOOKUP($C173,'PORTIFÓLIO'!C:V,4,0),"")</f>
        <v/>
      </c>
      <c r="G173" s="215" t="str">
        <f>IFERROR(VLOOKUP($C173,'PORTIFÓLIO'!C:V,5,0),"")</f>
        <v/>
      </c>
      <c r="H173" s="254" t="str">
        <f t="array" ref="H173">IFERROR(INDEX('PORTIFÓLIO'!$H$4:$H$433,MATCH($C173,'PORTIFÓLIO'!$C$4:$C$433,0)),"")</f>
        <v/>
      </c>
      <c r="I173" s="256"/>
      <c r="J173" s="218">
        <f t="shared" si="20"/>
        <v>0</v>
      </c>
      <c r="K173" s="219" t="str">
        <f t="array" ref="K173">IFERROR(I173*INDEX('PORTIFÓLIO'!$S$4:$S$433,MATCH($C173,'PORTIFÓLIO'!$C$4:$C$433,0)),"")</f>
        <v/>
      </c>
      <c r="L173" s="219" t="str">
        <f t="array" ref="L173">IFERROR(J173*INDEX('PORTIFÓLIO'!$S$4:$S$433,MATCH($C173,'PORTIFÓLIO'!$C$4:$C$433,0)),"")</f>
        <v/>
      </c>
      <c r="M173" s="220"/>
      <c r="N173" s="220"/>
      <c r="O173" s="220"/>
      <c r="P173" s="220"/>
      <c r="Q173" s="220"/>
      <c r="R173" s="220"/>
      <c r="S173" s="220"/>
      <c r="T173" s="220"/>
      <c r="U173" s="220"/>
      <c r="V173" s="220"/>
      <c r="W173" s="220"/>
    </row>
    <row r="174" ht="15.75" customHeight="1" outlineLevel="1">
      <c r="A174" s="211"/>
      <c r="B174" s="212"/>
      <c r="C174" s="213"/>
      <c r="D174" s="214" t="str">
        <f>IFERROR(VLOOKUP($C174,'PORTIFÓLIO'!C:V,2,0),"")</f>
        <v/>
      </c>
      <c r="E174" s="211" t="str">
        <f>IFERROR(VLOOKUP($C174,'PORTIFÓLIO'!C:V,3,0),"")</f>
        <v/>
      </c>
      <c r="F174" s="211" t="str">
        <f>IFERROR(VLOOKUP($C174,'PORTIFÓLIO'!C:V,4,0),"")</f>
        <v/>
      </c>
      <c r="G174" s="215" t="str">
        <f>IFERROR(VLOOKUP($C174,'PORTIFÓLIO'!C:V,5,0),"")</f>
        <v/>
      </c>
      <c r="H174" s="254" t="str">
        <f t="array" ref="H174">IFERROR(INDEX('PORTIFÓLIO'!$H$4:$H$433,MATCH($C174,'PORTIFÓLIO'!$C$4:$C$433,0)),"")</f>
        <v/>
      </c>
      <c r="I174" s="255"/>
      <c r="J174" s="218">
        <f t="shared" si="20"/>
        <v>0</v>
      </c>
      <c r="K174" s="219" t="str">
        <f t="array" ref="K174">IFERROR(I174*INDEX('PORTIFÓLIO'!$S$4:$S$433,MATCH($C174,'PORTIFÓLIO'!$C$4:$C$433,0)),"")</f>
        <v/>
      </c>
      <c r="L174" s="219" t="str">
        <f t="array" ref="L174">IFERROR(J174*INDEX('PORTIFÓLIO'!$S$4:$S$433,MATCH($C174,'PORTIFÓLIO'!$C$4:$C$433,0)),"")</f>
        <v/>
      </c>
      <c r="M174" s="220"/>
      <c r="N174" s="220"/>
      <c r="O174" s="220"/>
      <c r="P174" s="220"/>
      <c r="Q174" s="220"/>
      <c r="R174" s="220"/>
      <c r="S174" s="220"/>
      <c r="T174" s="220"/>
      <c r="U174" s="220"/>
      <c r="V174" s="220"/>
      <c r="W174" s="220"/>
    </row>
    <row r="175" ht="15.75" customHeight="1" outlineLevel="1">
      <c r="A175" s="211"/>
      <c r="B175" s="212"/>
      <c r="C175" s="213"/>
      <c r="D175" s="214" t="str">
        <f>IFERROR(VLOOKUP($C175,'PORTIFÓLIO'!C:V,2,0),"")</f>
        <v/>
      </c>
      <c r="E175" s="211" t="str">
        <f>IFERROR(VLOOKUP($C175,'PORTIFÓLIO'!C:V,3,0),"")</f>
        <v/>
      </c>
      <c r="F175" s="211" t="str">
        <f>IFERROR(VLOOKUP($C175,'PORTIFÓLIO'!C:V,4,0),"")</f>
        <v/>
      </c>
      <c r="G175" s="215" t="str">
        <f>IFERROR(VLOOKUP($C175,'PORTIFÓLIO'!C:V,5,0),"")</f>
        <v/>
      </c>
      <c r="H175" s="254" t="str">
        <f t="array" ref="H175">IFERROR(INDEX('PORTIFÓLIO'!$H$4:$H$433,MATCH($C175,'PORTIFÓLIO'!$C$4:$C$433,0)),"")</f>
        <v/>
      </c>
      <c r="I175" s="256"/>
      <c r="J175" s="218">
        <f t="shared" si="20"/>
        <v>0</v>
      </c>
      <c r="K175" s="219" t="str">
        <f t="array" ref="K175">IFERROR(I175*INDEX('PORTIFÓLIO'!$S$4:$S$433,MATCH($C175,'PORTIFÓLIO'!$C$4:$C$433,0)),"")</f>
        <v/>
      </c>
      <c r="L175" s="219" t="str">
        <f t="array" ref="L175">IFERROR(J175*INDEX('PORTIFÓLIO'!$S$4:$S$433,MATCH($C175,'PORTIFÓLIO'!$C$4:$C$433,0)),"")</f>
        <v/>
      </c>
      <c r="M175" s="220"/>
      <c r="N175" s="220"/>
      <c r="O175" s="220"/>
      <c r="P175" s="220"/>
      <c r="Q175" s="220"/>
      <c r="R175" s="220"/>
      <c r="S175" s="220"/>
      <c r="T175" s="220"/>
      <c r="U175" s="220"/>
      <c r="V175" s="220"/>
      <c r="W175" s="220"/>
    </row>
    <row r="176" ht="15.75" customHeight="1" outlineLevel="1">
      <c r="A176" s="211"/>
      <c r="B176" s="212"/>
      <c r="C176" s="213"/>
      <c r="D176" s="214" t="str">
        <f>IFERROR(VLOOKUP($C176,'PORTIFÓLIO'!C:V,2,0),"")</f>
        <v/>
      </c>
      <c r="E176" s="211" t="str">
        <f>IFERROR(VLOOKUP($C176,'PORTIFÓLIO'!C:V,3,0),"")</f>
        <v/>
      </c>
      <c r="F176" s="211" t="str">
        <f>IFERROR(VLOOKUP($C176,'PORTIFÓLIO'!C:V,4,0),"")</f>
        <v/>
      </c>
      <c r="G176" s="215" t="str">
        <f>IFERROR(VLOOKUP($C176,'PORTIFÓLIO'!C:V,5,0),"")</f>
        <v/>
      </c>
      <c r="H176" s="254" t="str">
        <f t="array" ref="H176">IFERROR(INDEX('PORTIFÓLIO'!$H$4:$H$433,MATCH($C176,'PORTIFÓLIO'!$C$4:$C$433,0)),"")</f>
        <v/>
      </c>
      <c r="I176" s="256"/>
      <c r="J176" s="218">
        <f t="shared" si="20"/>
        <v>0</v>
      </c>
      <c r="K176" s="219" t="str">
        <f t="array" ref="K176">IFERROR(I176*INDEX('PORTIFÓLIO'!$S$4:$S$433,MATCH($C176,'PORTIFÓLIO'!$C$4:$C$433,0)),"")</f>
        <v/>
      </c>
      <c r="L176" s="219" t="str">
        <f t="array" ref="L176">IFERROR(J176*INDEX('PORTIFÓLIO'!$S$4:$S$433,MATCH($C176,'PORTIFÓLIO'!$C$4:$C$433,0)),"")</f>
        <v/>
      </c>
      <c r="M176" s="220"/>
      <c r="N176" s="220"/>
      <c r="O176" s="220"/>
      <c r="P176" s="220"/>
      <c r="Q176" s="220"/>
      <c r="R176" s="220"/>
      <c r="S176" s="220"/>
      <c r="T176" s="220"/>
      <c r="U176" s="220"/>
      <c r="V176" s="220"/>
      <c r="W176" s="220"/>
    </row>
    <row r="177" ht="15.75" customHeight="1" outlineLevel="1">
      <c r="A177" s="211"/>
      <c r="B177" s="212"/>
      <c r="C177" s="213"/>
      <c r="D177" s="214" t="str">
        <f>IFERROR(VLOOKUP($C177,'PORTIFÓLIO'!C:V,2,0),"")</f>
        <v/>
      </c>
      <c r="E177" s="211" t="str">
        <f>IFERROR(VLOOKUP($C177,'PORTIFÓLIO'!C:V,3,0),"")</f>
        <v/>
      </c>
      <c r="F177" s="211" t="str">
        <f>IFERROR(VLOOKUP($C177,'PORTIFÓLIO'!C:V,4,0),"")</f>
        <v/>
      </c>
      <c r="G177" s="215" t="str">
        <f>IFERROR(VLOOKUP($C177,'PORTIFÓLIO'!C:V,5,0),"")</f>
        <v/>
      </c>
      <c r="H177" s="254" t="str">
        <f t="array" ref="H177">IFERROR(INDEX('PORTIFÓLIO'!$H$4:$H$433,MATCH($C177,'PORTIFÓLIO'!$C$4:$C$433,0)),"")</f>
        <v/>
      </c>
      <c r="I177" s="256"/>
      <c r="J177" s="218">
        <f t="shared" si="20"/>
        <v>0</v>
      </c>
      <c r="K177" s="219" t="str">
        <f t="array" ref="K177">IFERROR(I177*INDEX('PORTIFÓLIO'!$S$4:$S$433,MATCH($C177,'PORTIFÓLIO'!$C$4:$C$433,0)),"")</f>
        <v/>
      </c>
      <c r="L177" s="219" t="str">
        <f t="array" ref="L177">IFERROR(J177*INDEX('PORTIFÓLIO'!$S$4:$S$433,MATCH($C177,'PORTIFÓLIO'!$C$4:$C$433,0)),"")</f>
        <v/>
      </c>
      <c r="M177" s="220"/>
      <c r="N177" s="220"/>
      <c r="O177" s="220"/>
      <c r="P177" s="220"/>
      <c r="Q177" s="220"/>
      <c r="R177" s="220"/>
      <c r="S177" s="220"/>
      <c r="T177" s="220"/>
      <c r="U177" s="220"/>
      <c r="V177" s="220"/>
      <c r="W177" s="220"/>
    </row>
    <row r="178" ht="15.75" customHeight="1" outlineLevel="1">
      <c r="A178" s="211"/>
      <c r="B178" s="212"/>
      <c r="C178" s="213"/>
      <c r="D178" s="214" t="str">
        <f>IFERROR(VLOOKUP($C178,'PORTIFÓLIO'!C:V,2,0),"")</f>
        <v/>
      </c>
      <c r="E178" s="211" t="str">
        <f>IFERROR(VLOOKUP($C178,'PORTIFÓLIO'!C:V,3,0),"")</f>
        <v/>
      </c>
      <c r="F178" s="211" t="str">
        <f>IFERROR(VLOOKUP($C178,'PORTIFÓLIO'!C:V,4,0),"")</f>
        <v/>
      </c>
      <c r="G178" s="215" t="str">
        <f>IFERROR(VLOOKUP($C178,'PORTIFÓLIO'!C:V,5,0),"")</f>
        <v/>
      </c>
      <c r="H178" s="254" t="str">
        <f t="array" ref="H178">IFERROR(INDEX('PORTIFÓLIO'!$H$4:$H$433,MATCH($C178,'PORTIFÓLIO'!$C$4:$C$433,0)),"")</f>
        <v/>
      </c>
      <c r="I178" s="256"/>
      <c r="J178" s="218">
        <f t="shared" si="20"/>
        <v>0</v>
      </c>
      <c r="K178" s="219" t="str">
        <f t="array" ref="K178">IFERROR(I178*INDEX('PORTIFÓLIO'!$S$4:$S$433,MATCH($C178,'PORTIFÓLIO'!$C$4:$C$433,0)),"")</f>
        <v/>
      </c>
      <c r="L178" s="219" t="str">
        <f t="array" ref="L178">IFERROR(J178*INDEX('PORTIFÓLIO'!$S$4:$S$433,MATCH($C178,'PORTIFÓLIO'!$C$4:$C$433,0)),"")</f>
        <v/>
      </c>
      <c r="M178" s="220"/>
      <c r="N178" s="220"/>
      <c r="O178" s="220"/>
      <c r="P178" s="220"/>
      <c r="Q178" s="220"/>
      <c r="R178" s="220"/>
      <c r="S178" s="220"/>
      <c r="T178" s="220"/>
      <c r="U178" s="220"/>
      <c r="V178" s="220"/>
      <c r="W178" s="220"/>
    </row>
    <row r="179" ht="15.75" customHeight="1" outlineLevel="1">
      <c r="A179" s="211"/>
      <c r="B179" s="212"/>
      <c r="C179" s="213"/>
      <c r="D179" s="214" t="str">
        <f>IFERROR(VLOOKUP($C179,'PORTIFÓLIO'!C:V,2,0),"")</f>
        <v/>
      </c>
      <c r="E179" s="211" t="str">
        <f>IFERROR(VLOOKUP($C179,'PORTIFÓLIO'!C:V,3,0),"")</f>
        <v/>
      </c>
      <c r="F179" s="211" t="str">
        <f>IFERROR(VLOOKUP($C179,'PORTIFÓLIO'!C:V,4,0),"")</f>
        <v/>
      </c>
      <c r="G179" s="215" t="str">
        <f>IFERROR(VLOOKUP($C179,'PORTIFÓLIO'!C:V,5,0),"")</f>
        <v/>
      </c>
      <c r="H179" s="254" t="str">
        <f t="array" ref="H179">IFERROR(INDEX('PORTIFÓLIO'!$H$4:$H$433,MATCH($C179,'PORTIFÓLIO'!$C$4:$C$433,0)),"")</f>
        <v/>
      </c>
      <c r="I179" s="256"/>
      <c r="J179" s="218">
        <f t="shared" si="20"/>
        <v>0</v>
      </c>
      <c r="K179" s="219" t="str">
        <f t="array" ref="K179">IFERROR(I179*INDEX('PORTIFÓLIO'!$S$4:$S$433,MATCH($C179,'PORTIFÓLIO'!$C$4:$C$433,0)),"")</f>
        <v/>
      </c>
      <c r="L179" s="219" t="str">
        <f t="array" ref="L179">IFERROR(J179*INDEX('PORTIFÓLIO'!$S$4:$S$433,MATCH($C179,'PORTIFÓLIO'!$C$4:$C$433,0)),"")</f>
        <v/>
      </c>
      <c r="M179" s="220"/>
      <c r="N179" s="220"/>
      <c r="O179" s="220"/>
      <c r="P179" s="220"/>
      <c r="Q179" s="220"/>
      <c r="R179" s="220"/>
      <c r="S179" s="220"/>
      <c r="T179" s="220"/>
      <c r="U179" s="220"/>
      <c r="V179" s="220"/>
      <c r="W179" s="220"/>
    </row>
    <row r="180" ht="15.75" customHeight="1" outlineLevel="1">
      <c r="A180" s="211"/>
      <c r="B180" s="212"/>
      <c r="C180" s="213"/>
      <c r="D180" s="214" t="str">
        <f>IFERROR(VLOOKUP($C180,'PORTIFÓLIO'!C:V,2,0),"")</f>
        <v/>
      </c>
      <c r="E180" s="211" t="str">
        <f>IFERROR(VLOOKUP($C180,'PORTIFÓLIO'!C:V,3,0),"")</f>
        <v/>
      </c>
      <c r="F180" s="211" t="str">
        <f>IFERROR(VLOOKUP($C180,'PORTIFÓLIO'!C:V,4,0),"")</f>
        <v/>
      </c>
      <c r="G180" s="215" t="str">
        <f>IFERROR(VLOOKUP($C180,'PORTIFÓLIO'!C:V,5,0),"")</f>
        <v/>
      </c>
      <c r="H180" s="254" t="str">
        <f t="array" ref="H180">IFERROR(INDEX('PORTIFÓLIO'!$H$4:$H$433,MATCH($C180,'PORTIFÓLIO'!$C$4:$C$433,0)),"")</f>
        <v/>
      </c>
      <c r="I180" s="256"/>
      <c r="J180" s="218">
        <f t="shared" si="20"/>
        <v>0</v>
      </c>
      <c r="K180" s="219" t="str">
        <f t="array" ref="K180">IFERROR(I180*INDEX('PORTIFÓLIO'!$S$4:$S$433,MATCH($C180,'PORTIFÓLIO'!$C$4:$C$433,0)),"")</f>
        <v/>
      </c>
      <c r="L180" s="219" t="str">
        <f t="array" ref="L180">IFERROR(J180*INDEX('PORTIFÓLIO'!$S$4:$S$433,MATCH($C180,'PORTIFÓLIO'!$C$4:$C$433,0)),"")</f>
        <v/>
      </c>
      <c r="M180" s="220"/>
      <c r="N180" s="220"/>
      <c r="O180" s="220"/>
      <c r="P180" s="220"/>
      <c r="Q180" s="220"/>
      <c r="R180" s="220"/>
      <c r="S180" s="220"/>
      <c r="T180" s="220"/>
      <c r="U180" s="220"/>
      <c r="V180" s="220"/>
      <c r="W180" s="220"/>
    </row>
    <row r="181" ht="15.75" customHeight="1" outlineLevel="1">
      <c r="A181" s="211"/>
      <c r="B181" s="227"/>
      <c r="C181" s="211"/>
      <c r="D181" s="214" t="str">
        <f>IFERROR(VLOOKUP($C181,'PORTIFÓLIO'!C:V,2,0),"")</f>
        <v/>
      </c>
      <c r="E181" s="211" t="str">
        <f>IFERROR(VLOOKUP($C181,'PORTIFÓLIO'!C:V,3,0),"")</f>
        <v/>
      </c>
      <c r="F181" s="211" t="str">
        <f>IFERROR(VLOOKUP($C181,'PORTIFÓLIO'!C:V,4,0),"")</f>
        <v/>
      </c>
      <c r="G181" s="215" t="str">
        <f>IFERROR(VLOOKUP($C181,'PORTIFÓLIO'!C:V,5,0),"")</f>
        <v/>
      </c>
      <c r="H181" s="254" t="str">
        <f t="array" ref="H181">IFERROR(INDEX('PORTIFÓLIO'!$H$4:$H$433,MATCH($C181,'PORTIFÓLIO'!$C$4:$C$433,0)),"")</f>
        <v/>
      </c>
      <c r="I181" s="256"/>
      <c r="J181" s="218">
        <f t="shared" si="20"/>
        <v>0</v>
      </c>
      <c r="K181" s="219" t="str">
        <f t="array" ref="K181">IFERROR(I181*INDEX('PORTIFÓLIO'!$S$4:$S$433,MATCH($C181,'PORTIFÓLIO'!$C$4:$C$433,0)),"")</f>
        <v/>
      </c>
      <c r="L181" s="219" t="str">
        <f t="array" ref="L181">IFERROR(J181*INDEX('PORTIFÓLIO'!$S$4:$S$433,MATCH($C181,'PORTIFÓLIO'!$C$4:$C$433,0)),"")</f>
        <v/>
      </c>
      <c r="M181" s="220"/>
      <c r="N181" s="220"/>
      <c r="O181" s="220"/>
      <c r="P181" s="220"/>
      <c r="Q181" s="220"/>
      <c r="R181" s="220"/>
      <c r="S181" s="220"/>
      <c r="T181" s="220"/>
      <c r="U181" s="220"/>
      <c r="V181" s="220"/>
      <c r="W181" s="220"/>
    </row>
    <row r="182" ht="15.75" customHeight="1">
      <c r="A182" s="229" t="s">
        <v>1194</v>
      </c>
      <c r="B182" s="230"/>
      <c r="C182" s="231"/>
      <c r="D182" s="232"/>
      <c r="E182" s="231"/>
      <c r="F182" s="231"/>
      <c r="G182" s="233"/>
      <c r="H182" s="233"/>
      <c r="I182" s="258"/>
      <c r="J182" s="236"/>
      <c r="K182" s="237">
        <f t="shared" ref="K182:L182" si="21">SUBTOTAL(9,K183:K196)</f>
        <v>339.9254902</v>
      </c>
      <c r="L182" s="237">
        <f t="shared" si="21"/>
        <v>20395.52941</v>
      </c>
      <c r="M182" s="220"/>
      <c r="N182" s="220"/>
      <c r="O182" s="220"/>
      <c r="P182" s="220"/>
      <c r="Q182" s="220"/>
      <c r="R182" s="220"/>
      <c r="S182" s="220"/>
      <c r="T182" s="220"/>
      <c r="U182" s="220"/>
      <c r="V182" s="220"/>
      <c r="W182" s="220"/>
    </row>
    <row r="183" ht="15.75" customHeight="1" outlineLevel="1">
      <c r="A183" s="213"/>
      <c r="B183" s="212" t="s">
        <v>10</v>
      </c>
      <c r="C183" s="213" t="s">
        <v>1195</v>
      </c>
      <c r="D183" s="214" t="str">
        <f>IFERROR(VLOOKUP($C183,'PORTIFÓLIO'!C:V,2,0),"")</f>
        <v/>
      </c>
      <c r="E183" s="211" t="str">
        <f>IFERROR(VLOOKUP($C183,'PORTIFÓLIO'!C:V,3,0),"")</f>
        <v/>
      </c>
      <c r="F183" s="211" t="str">
        <f>IFERROR(VLOOKUP($C183,'PORTIFÓLIO'!C:V,4,0),"")</f>
        <v>R$/Ha</v>
      </c>
      <c r="G183" s="215">
        <f t="array" ref="G183">IFERROR(INDEX('PORTIFÓLIO'!$H$4:$H$433,MATCH($C183,'PORTIFÓLIO'!$C$4:$C$433,0)),"")</f>
        <v>0.3267973856</v>
      </c>
      <c r="H183" s="254">
        <f t="array" ref="H183">IFERROR(INDEX('PORTIFÓLIO'!$H$4:$H$433,MATCH($C183,'PORTIFÓLIO'!$C$4:$C$433,0)),"")</f>
        <v>0.3267973856</v>
      </c>
      <c r="I183" s="255">
        <v>0.32</v>
      </c>
      <c r="J183" s="218">
        <f t="shared" ref="J183:J199" si="22">I183*$B$2</f>
        <v>19.2</v>
      </c>
      <c r="K183" s="219">
        <f t="array" ref="K183">IFERROR(I183*INDEX('PORTIFÓLIO'!$S$4:$S$433,MATCH($C183,'PORTIFÓLIO'!$C$4:$C$433,0)),"")</f>
        <v>36</v>
      </c>
      <c r="L183" s="219">
        <f t="array" ref="L183">IFERROR(J183*INDEX('PORTIFÓLIO'!$S$4:$S$433,MATCH($C183,'PORTIFÓLIO'!$C$4:$C$433,0)),"")</f>
        <v>2160</v>
      </c>
      <c r="M183" s="220"/>
      <c r="N183" s="220"/>
      <c r="O183" s="220"/>
      <c r="P183" s="220"/>
      <c r="Q183" s="220"/>
      <c r="R183" s="220"/>
      <c r="S183" s="220"/>
      <c r="T183" s="220"/>
      <c r="U183" s="220"/>
      <c r="V183" s="220"/>
      <c r="W183" s="220"/>
    </row>
    <row r="184" ht="15.75" customHeight="1" outlineLevel="1">
      <c r="A184" s="211"/>
      <c r="B184" s="212" t="s">
        <v>10</v>
      </c>
      <c r="C184" s="213" t="s">
        <v>1196</v>
      </c>
      <c r="D184" s="214" t="str">
        <f>IFERROR(VLOOKUP($C184,'PORTIFÓLIO'!C:V,2,0),"")</f>
        <v/>
      </c>
      <c r="E184" s="211" t="str">
        <f>IFERROR(VLOOKUP($C184,'PORTIFÓLIO'!C:V,3,0),"")</f>
        <v/>
      </c>
      <c r="F184" s="211" t="str">
        <f>IFERROR(VLOOKUP($C184,'PORTIFÓLIO'!C:V,4,0),"")</f>
        <v>R$/Ha</v>
      </c>
      <c r="G184" s="215">
        <f t="array" ref="G184">IFERROR(INDEX('PORTIFÓLIO'!$H$4:$H$433,MATCH($C184,'PORTIFÓLIO'!$C$4:$C$433,0)),"")</f>
        <v>0.04901960784</v>
      </c>
      <c r="H184" s="254">
        <f t="array" ref="H184">IFERROR(INDEX('PORTIFÓLIO'!$H$4:$H$433,MATCH($C184,'PORTIFÓLIO'!$C$4:$C$433,0)),"")</f>
        <v>0.04901960784</v>
      </c>
      <c r="I184" s="256">
        <f>G184*4</f>
        <v>0.1960784314</v>
      </c>
      <c r="J184" s="218">
        <f t="shared" si="22"/>
        <v>11.76470588</v>
      </c>
      <c r="K184" s="219">
        <f t="array" ref="K184">IFERROR(I184*INDEX('PORTIFÓLIO'!$S$4:$S$433,MATCH($C184,'PORTIFÓLIO'!$C$4:$C$433,0)),"")</f>
        <v>22.05882353</v>
      </c>
      <c r="L184" s="219">
        <f t="array" ref="L184">IFERROR(J184*INDEX('PORTIFÓLIO'!$S$4:$S$433,MATCH($C184,'PORTIFÓLIO'!$C$4:$C$433,0)),"")</f>
        <v>1323.529412</v>
      </c>
      <c r="M184" s="220"/>
      <c r="N184" s="220"/>
      <c r="O184" s="220"/>
      <c r="P184" s="220"/>
      <c r="Q184" s="220"/>
      <c r="R184" s="220"/>
      <c r="S184" s="220"/>
      <c r="T184" s="220"/>
      <c r="U184" s="220"/>
      <c r="V184" s="220"/>
      <c r="W184" s="220"/>
    </row>
    <row r="185" ht="15.75" customHeight="1" outlineLevel="1">
      <c r="A185" s="211"/>
      <c r="B185" s="212" t="s">
        <v>10</v>
      </c>
      <c r="C185" s="213" t="s">
        <v>1197</v>
      </c>
      <c r="D185" s="214" t="str">
        <f>IFERROR(VLOOKUP($C185,'PORTIFÓLIO'!C:V,2,0),"")</f>
        <v/>
      </c>
      <c r="E185" s="211" t="str">
        <f>IFERROR(VLOOKUP($C185,'PORTIFÓLIO'!C:V,3,0),"")</f>
        <v/>
      </c>
      <c r="F185" s="211" t="str">
        <f>IFERROR(VLOOKUP($C185,'PORTIFÓLIO'!C:V,4,0),"")</f>
        <v>R$/Ha</v>
      </c>
      <c r="G185" s="215">
        <f t="array" ref="G185">IFERROR(INDEX('PORTIFÓLIO'!$H$4:$H$433,MATCH($C185,'PORTIFÓLIO'!$C$4:$C$433,0)),"")</f>
        <v>0.01960784314</v>
      </c>
      <c r="H185" s="254">
        <f t="array" ref="H185">IFERROR(INDEX('PORTIFÓLIO'!$H$4:$H$433,MATCH($C185,'PORTIFÓLIO'!$C$4:$C$433,0)),"")</f>
        <v>0.01960784314</v>
      </c>
      <c r="I185" s="256">
        <f>G185*3</f>
        <v>0.05882352941</v>
      </c>
      <c r="J185" s="218">
        <f t="shared" si="22"/>
        <v>3.529411765</v>
      </c>
      <c r="K185" s="219">
        <f t="array" ref="K185">IFERROR(I185*INDEX('PORTIFÓLIO'!$S$4:$S$433,MATCH($C185,'PORTIFÓLIO'!$C$4:$C$433,0)),"")</f>
        <v>7.5</v>
      </c>
      <c r="L185" s="219">
        <f t="array" ref="L185">IFERROR(J185*INDEX('PORTIFÓLIO'!$S$4:$S$433,MATCH($C185,'PORTIFÓLIO'!$C$4:$C$433,0)),"")</f>
        <v>450</v>
      </c>
      <c r="M185" s="220"/>
      <c r="N185" s="220"/>
      <c r="O185" s="220"/>
      <c r="P185" s="220"/>
      <c r="Q185" s="220"/>
      <c r="R185" s="220"/>
      <c r="S185" s="220"/>
      <c r="T185" s="220"/>
      <c r="U185" s="220"/>
      <c r="V185" s="220"/>
      <c r="W185" s="220"/>
    </row>
    <row r="186" ht="15.75" customHeight="1" outlineLevel="1">
      <c r="A186" s="211"/>
      <c r="B186" s="212" t="s">
        <v>10</v>
      </c>
      <c r="C186" s="213" t="s">
        <v>1198</v>
      </c>
      <c r="D186" s="214" t="str">
        <f>IFERROR(VLOOKUP($C186,'PORTIFÓLIO'!C:V,2,0),"")</f>
        <v/>
      </c>
      <c r="E186" s="211" t="str">
        <f>IFERROR(VLOOKUP($C186,'PORTIFÓLIO'!C:V,3,0),"")</f>
        <v/>
      </c>
      <c r="F186" s="211" t="str">
        <f>IFERROR(VLOOKUP($C186,'PORTIFÓLIO'!C:V,4,0),"")</f>
        <v>R$/Ha</v>
      </c>
      <c r="G186" s="215">
        <f t="array" ref="G186">IFERROR(INDEX('PORTIFÓLIO'!$H$4:$H$433,MATCH($C186,'PORTIFÓLIO'!$C$4:$C$433,0)),"")</f>
        <v>0.006666666667</v>
      </c>
      <c r="H186" s="254">
        <f t="array" ref="H186">IFERROR(INDEX('PORTIFÓLIO'!$H$4:$H$433,MATCH($C186,'PORTIFÓLIO'!$C$4:$C$433,0)),"")</f>
        <v>0.006666666667</v>
      </c>
      <c r="I186" s="256">
        <f>G186*5</f>
        <v>0.03333333333</v>
      </c>
      <c r="J186" s="218">
        <f t="shared" si="22"/>
        <v>2</v>
      </c>
      <c r="K186" s="219">
        <f t="array" ref="K186">IFERROR(I186*INDEX('PORTIFÓLIO'!$S$4:$S$433,MATCH($C186,'PORTIFÓLIO'!$C$4:$C$433,0)),"")</f>
        <v>166.6666667</v>
      </c>
      <c r="L186" s="219">
        <f t="array" ref="L186">IFERROR(J186*INDEX('PORTIFÓLIO'!$S$4:$S$433,MATCH($C186,'PORTIFÓLIO'!$C$4:$C$433,0)),"")</f>
        <v>10000</v>
      </c>
      <c r="M186" s="220"/>
      <c r="N186" s="220"/>
      <c r="O186" s="220"/>
      <c r="P186" s="220"/>
      <c r="Q186" s="220"/>
      <c r="R186" s="220"/>
      <c r="S186" s="220"/>
      <c r="T186" s="220"/>
      <c r="U186" s="220"/>
      <c r="V186" s="220"/>
      <c r="W186" s="220"/>
    </row>
    <row r="187" ht="15.75" customHeight="1" outlineLevel="1">
      <c r="A187" s="211"/>
      <c r="B187" s="212" t="s">
        <v>10</v>
      </c>
      <c r="C187" s="213" t="s">
        <v>1199</v>
      </c>
      <c r="D187" s="214" t="str">
        <f>IFERROR(VLOOKUP($C187,'PORTIFÓLIO'!C:V,2,0),"")</f>
        <v/>
      </c>
      <c r="E187" s="211" t="str">
        <f>IFERROR(VLOOKUP($C187,'PORTIFÓLIO'!C:V,3,0),"")</f>
        <v/>
      </c>
      <c r="F187" s="211" t="str">
        <f>IFERROR(VLOOKUP($C187,'PORTIFÓLIO'!C:V,4,0),"")</f>
        <v>R$/Ha</v>
      </c>
      <c r="G187" s="215">
        <f t="array" ref="G187">IFERROR(INDEX('PORTIFÓLIO'!$H$4:$H$433,MATCH($C187,'PORTIFÓLIO'!$C$4:$C$433,0)),"")</f>
        <v>0.08169934641</v>
      </c>
      <c r="H187" s="254">
        <f t="array" ref="H187">IFERROR(INDEX('PORTIFÓLIO'!$H$4:$H$433,MATCH($C187,'PORTIFÓLIO'!$C$4:$C$433,0)),"")</f>
        <v>0.08169934641</v>
      </c>
      <c r="I187" s="255">
        <v>0.081</v>
      </c>
      <c r="J187" s="218">
        <f t="shared" si="22"/>
        <v>4.86</v>
      </c>
      <c r="K187" s="219">
        <f t="array" ref="K187">IFERROR(I187*INDEX('PORTIFÓLIO'!$S$4:$S$433,MATCH($C187,'PORTIFÓLIO'!$C$4:$C$433,0)),"")</f>
        <v>36.45</v>
      </c>
      <c r="L187" s="219">
        <f t="array" ref="L187">IFERROR(J187*INDEX('PORTIFÓLIO'!$S$4:$S$433,MATCH($C187,'PORTIFÓLIO'!$C$4:$C$433,0)),"")</f>
        <v>2187</v>
      </c>
      <c r="M187" s="220"/>
      <c r="N187" s="220"/>
      <c r="O187" s="220"/>
      <c r="P187" s="220"/>
      <c r="Q187" s="220"/>
      <c r="R187" s="220"/>
      <c r="S187" s="220"/>
      <c r="T187" s="220"/>
      <c r="U187" s="220"/>
      <c r="V187" s="220"/>
      <c r="W187" s="220"/>
    </row>
    <row r="188" ht="15.75" customHeight="1" outlineLevel="1">
      <c r="A188" s="211"/>
      <c r="B188" s="212" t="s">
        <v>10</v>
      </c>
      <c r="C188" s="213" t="s">
        <v>1200</v>
      </c>
      <c r="D188" s="214" t="str">
        <f>IFERROR(VLOOKUP($C188,'PORTIFÓLIO'!C:V,2,0),"")</f>
        <v/>
      </c>
      <c r="E188" s="211" t="str">
        <f>IFERROR(VLOOKUP($C188,'PORTIFÓLIO'!C:V,3,0),"")</f>
        <v/>
      </c>
      <c r="F188" s="211" t="str">
        <f>IFERROR(VLOOKUP($C188,'PORTIFÓLIO'!C:V,4,0),"")</f>
        <v>R$/Ha</v>
      </c>
      <c r="G188" s="215">
        <f t="array" ref="G188">IFERROR(INDEX('PORTIFÓLIO'!$H$4:$H$433,MATCH($C188,'PORTIFÓLIO'!$C$4:$C$433,0)),"")</f>
        <v>0.1508295626</v>
      </c>
      <c r="H188" s="254">
        <f t="array" ref="H188">IFERROR(INDEX('PORTIFÓLIO'!$H$4:$H$433,MATCH($C188,'PORTIFÓLIO'!$C$4:$C$433,0)),"")</f>
        <v>0.1508295626</v>
      </c>
      <c r="I188" s="255">
        <v>0.15</v>
      </c>
      <c r="J188" s="218">
        <f t="shared" si="22"/>
        <v>9</v>
      </c>
      <c r="K188" s="219">
        <f t="array" ref="K188">IFERROR(I188*INDEX('PORTIFÓLIO'!$S$4:$S$433,MATCH($C188,'PORTIFÓLIO'!$C$4:$C$433,0)),"")</f>
        <v>56.25</v>
      </c>
      <c r="L188" s="219">
        <f t="array" ref="L188">IFERROR(J188*INDEX('PORTIFÓLIO'!$S$4:$S$433,MATCH($C188,'PORTIFÓLIO'!$C$4:$C$433,0)),"")</f>
        <v>3375</v>
      </c>
      <c r="M188" s="220"/>
      <c r="N188" s="220"/>
      <c r="O188" s="220"/>
      <c r="P188" s="220"/>
      <c r="Q188" s="220"/>
      <c r="R188" s="220"/>
      <c r="S188" s="220"/>
      <c r="T188" s="220"/>
      <c r="U188" s="220"/>
      <c r="V188" s="220"/>
      <c r="W188" s="220"/>
    </row>
    <row r="189" ht="15.75" customHeight="1" outlineLevel="1">
      <c r="A189" s="211"/>
      <c r="B189" s="212" t="s">
        <v>10</v>
      </c>
      <c r="C189" s="213" t="s">
        <v>1201</v>
      </c>
      <c r="D189" s="214" t="str">
        <f>IFERROR(VLOOKUP($C189,'PORTIFÓLIO'!C:V,2,0),"")</f>
        <v/>
      </c>
      <c r="E189" s="211" t="str">
        <f>IFERROR(VLOOKUP($C189,'PORTIFÓLIO'!C:V,3,0),"")</f>
        <v/>
      </c>
      <c r="F189" s="211" t="str">
        <f>IFERROR(VLOOKUP($C189,'PORTIFÓLIO'!C:V,4,0),"")</f>
        <v>R$/Ha</v>
      </c>
      <c r="G189" s="215">
        <f t="array" ref="G189">IFERROR(INDEX('PORTIFÓLIO'!$H$4:$H$433,MATCH($C189,'PORTIFÓLIO'!$C$4:$C$433,0)),"")</f>
        <v>0.001367989056</v>
      </c>
      <c r="H189" s="254">
        <f t="array" ref="H189">IFERROR(INDEX('PORTIFÓLIO'!$H$4:$H$433,MATCH($C189,'PORTIFÓLIO'!$C$4:$C$433,0)),"")</f>
        <v>0.001367989056</v>
      </c>
      <c r="I189" s="255">
        <v>0.1</v>
      </c>
      <c r="J189" s="218">
        <f t="shared" si="22"/>
        <v>6</v>
      </c>
      <c r="K189" s="219">
        <f t="array" ref="K189">IFERROR(I189*INDEX('PORTIFÓLIO'!$S$4:$S$433,MATCH($C189,'PORTIFÓLIO'!$C$4:$C$433,0)),"")</f>
        <v>15</v>
      </c>
      <c r="L189" s="219">
        <f t="array" ref="L189">IFERROR(J189*INDEX('PORTIFÓLIO'!$S$4:$S$433,MATCH($C189,'PORTIFÓLIO'!$C$4:$C$433,0)),"")</f>
        <v>900</v>
      </c>
      <c r="M189" s="220"/>
      <c r="N189" s="220"/>
      <c r="O189" s="220"/>
      <c r="P189" s="220"/>
      <c r="Q189" s="220"/>
      <c r="R189" s="220"/>
      <c r="S189" s="220"/>
      <c r="T189" s="220"/>
      <c r="U189" s="220"/>
      <c r="V189" s="220"/>
      <c r="W189" s="220"/>
    </row>
    <row r="190" ht="15.75" customHeight="1" outlineLevel="1">
      <c r="A190" s="211"/>
      <c r="B190" s="212"/>
      <c r="C190" s="213"/>
      <c r="D190" s="214" t="str">
        <f>IFERROR(VLOOKUP($C190,'PORTIFÓLIO'!C:V,2,0),"")</f>
        <v/>
      </c>
      <c r="E190" s="211" t="str">
        <f>IFERROR(VLOOKUP($C190,'PORTIFÓLIO'!C:V,3,0),"")</f>
        <v/>
      </c>
      <c r="F190" s="211" t="str">
        <f>IFERROR(VLOOKUP($C190,'PORTIFÓLIO'!C:V,4,0),"")</f>
        <v/>
      </c>
      <c r="G190" s="215" t="str">
        <f>IFERROR(VLOOKUP($C190,'PORTIFÓLIO'!C:V,5,0),"")</f>
        <v/>
      </c>
      <c r="H190" s="254" t="str">
        <f t="array" ref="H190">IFERROR(INDEX('PORTIFÓLIO'!$H$4:$H$433,MATCH($C190,'PORTIFÓLIO'!$C$4:$C$433,0)),"")</f>
        <v/>
      </c>
      <c r="I190" s="256"/>
      <c r="J190" s="218">
        <f t="shared" si="22"/>
        <v>0</v>
      </c>
      <c r="K190" s="219" t="str">
        <f t="array" ref="K190">IFERROR(I190*INDEX('PORTIFÓLIO'!$S$4:$S$433,MATCH($C190,'PORTIFÓLIO'!$C$4:$C$433,0)),"")</f>
        <v/>
      </c>
      <c r="L190" s="219" t="str">
        <f t="array" ref="L190">IFERROR(J190*INDEX('PORTIFÓLIO'!$S$4:$S$433,MATCH($C190,'PORTIFÓLIO'!$C$4:$C$433,0)),"")</f>
        <v/>
      </c>
      <c r="M190" s="220"/>
      <c r="N190" s="220"/>
      <c r="O190" s="220"/>
      <c r="P190" s="220"/>
      <c r="Q190" s="220"/>
      <c r="R190" s="220"/>
      <c r="S190" s="220"/>
      <c r="T190" s="220"/>
      <c r="U190" s="220"/>
      <c r="V190" s="220"/>
      <c r="W190" s="220"/>
    </row>
    <row r="191" ht="15.75" customHeight="1" outlineLevel="1">
      <c r="A191" s="211"/>
      <c r="B191" s="212"/>
      <c r="C191" s="213"/>
      <c r="D191" s="214" t="str">
        <f>IFERROR(VLOOKUP($C191,'PORTIFÓLIO'!C:V,2,0),"")</f>
        <v/>
      </c>
      <c r="E191" s="211" t="str">
        <f>IFERROR(VLOOKUP($C191,'PORTIFÓLIO'!C:V,3,0),"")</f>
        <v/>
      </c>
      <c r="F191" s="211" t="str">
        <f>IFERROR(VLOOKUP($C191,'PORTIFÓLIO'!C:V,4,0),"")</f>
        <v/>
      </c>
      <c r="G191" s="215" t="str">
        <f>IFERROR(VLOOKUP($C191,'PORTIFÓLIO'!C:V,5,0),"")</f>
        <v/>
      </c>
      <c r="H191" s="254" t="str">
        <f t="array" ref="H191">IFERROR(INDEX('PORTIFÓLIO'!$H$4:$H$433,MATCH($C191,'PORTIFÓLIO'!$C$4:$C$433,0)),"")</f>
        <v/>
      </c>
      <c r="I191" s="255"/>
      <c r="J191" s="218">
        <f t="shared" si="22"/>
        <v>0</v>
      </c>
      <c r="K191" s="219" t="str">
        <f t="array" ref="K191">IFERROR(I191*INDEX('PORTIFÓLIO'!$S$4:$S$433,MATCH($C191,'PORTIFÓLIO'!$C$4:$C$433,0)),"")</f>
        <v/>
      </c>
      <c r="L191" s="219" t="str">
        <f t="array" ref="L191">IFERROR(J191*INDEX('PORTIFÓLIO'!$S$4:$S$433,MATCH($C191,'PORTIFÓLIO'!$C$4:$C$433,0)),"")</f>
        <v/>
      </c>
      <c r="M191" s="220"/>
      <c r="N191" s="220"/>
      <c r="O191" s="220"/>
      <c r="P191" s="220"/>
      <c r="Q191" s="220"/>
      <c r="R191" s="220"/>
      <c r="S191" s="220"/>
      <c r="T191" s="220"/>
      <c r="U191" s="220"/>
      <c r="V191" s="220"/>
      <c r="W191" s="220"/>
    </row>
    <row r="192" ht="15.75" customHeight="1" outlineLevel="1">
      <c r="A192" s="211"/>
      <c r="B192" s="212"/>
      <c r="C192" s="213"/>
      <c r="D192" s="214" t="str">
        <f>IFERROR(VLOOKUP($C192,'PORTIFÓLIO'!C:V,2,0),"")</f>
        <v/>
      </c>
      <c r="E192" s="211" t="str">
        <f>IFERROR(VLOOKUP($C192,'PORTIFÓLIO'!C:V,3,0),"")</f>
        <v/>
      </c>
      <c r="F192" s="211" t="str">
        <f>IFERROR(VLOOKUP($C192,'PORTIFÓLIO'!C:V,4,0),"")</f>
        <v/>
      </c>
      <c r="G192" s="215" t="str">
        <f>IFERROR(VLOOKUP($C192,'PORTIFÓLIO'!C:V,5,0),"")</f>
        <v/>
      </c>
      <c r="H192" s="254" t="str">
        <f t="array" ref="H192">IFERROR(INDEX('PORTIFÓLIO'!$H$4:$H$433,MATCH($C192,'PORTIFÓLIO'!$C$4:$C$433,0)),"")</f>
        <v/>
      </c>
      <c r="I192" s="256"/>
      <c r="J192" s="218">
        <f t="shared" si="22"/>
        <v>0</v>
      </c>
      <c r="K192" s="219" t="str">
        <f t="array" ref="K192">IFERROR(I192*INDEX('PORTIFÓLIO'!$S$4:$S$433,MATCH($C192,'PORTIFÓLIO'!$C$4:$C$433,0)),"")</f>
        <v/>
      </c>
      <c r="L192" s="219" t="str">
        <f t="array" ref="L192">IFERROR(J192*INDEX('PORTIFÓLIO'!$S$4:$S$433,MATCH($C192,'PORTIFÓLIO'!$C$4:$C$433,0)),"")</f>
        <v/>
      </c>
      <c r="M192" s="220"/>
      <c r="N192" s="220"/>
      <c r="O192" s="220"/>
      <c r="P192" s="220"/>
      <c r="Q192" s="220"/>
      <c r="R192" s="220"/>
      <c r="S192" s="220"/>
      <c r="T192" s="220"/>
      <c r="U192" s="220"/>
      <c r="V192" s="220"/>
      <c r="W192" s="220"/>
    </row>
    <row r="193" ht="15.75" customHeight="1" outlineLevel="1">
      <c r="A193" s="211"/>
      <c r="B193" s="212"/>
      <c r="C193" s="213"/>
      <c r="D193" s="214" t="str">
        <f>IFERROR(VLOOKUP($C193,'PORTIFÓLIO'!C:V,2,0),"")</f>
        <v/>
      </c>
      <c r="E193" s="211" t="str">
        <f>IFERROR(VLOOKUP($C193,'PORTIFÓLIO'!C:V,3,0),"")</f>
        <v/>
      </c>
      <c r="F193" s="211" t="str">
        <f>IFERROR(VLOOKUP($C193,'PORTIFÓLIO'!C:V,4,0),"")</f>
        <v/>
      </c>
      <c r="G193" s="215" t="str">
        <f>IFERROR(VLOOKUP($C193,'PORTIFÓLIO'!C:V,5,0),"")</f>
        <v/>
      </c>
      <c r="H193" s="254" t="str">
        <f t="array" ref="H193">IFERROR(INDEX('PORTIFÓLIO'!$H$4:$H$433,MATCH($C193,'PORTIFÓLIO'!$C$4:$C$433,0)),"")</f>
        <v/>
      </c>
      <c r="I193" s="256"/>
      <c r="J193" s="218">
        <f t="shared" si="22"/>
        <v>0</v>
      </c>
      <c r="K193" s="219" t="str">
        <f t="array" ref="K193">IFERROR(I193*INDEX('PORTIFÓLIO'!$S$4:$S$433,MATCH($C193,'PORTIFÓLIO'!$C$4:$C$433,0)),"")</f>
        <v/>
      </c>
      <c r="L193" s="219" t="str">
        <f t="array" ref="L193">IFERROR(J193*INDEX('PORTIFÓLIO'!$S$4:$S$433,MATCH($C193,'PORTIFÓLIO'!$C$4:$C$433,0)),"")</f>
        <v/>
      </c>
      <c r="M193" s="220"/>
      <c r="N193" s="220"/>
      <c r="O193" s="220"/>
      <c r="P193" s="220"/>
      <c r="Q193" s="220"/>
      <c r="R193" s="220"/>
      <c r="S193" s="220"/>
      <c r="T193" s="220"/>
      <c r="U193" s="220"/>
      <c r="V193" s="220"/>
      <c r="W193" s="220"/>
    </row>
    <row r="194" ht="15.75" customHeight="1" outlineLevel="1">
      <c r="A194" s="211"/>
      <c r="B194" s="212"/>
      <c r="C194" s="213"/>
      <c r="D194" s="214" t="str">
        <f>IFERROR(VLOOKUP($C194,'PORTIFÓLIO'!C:V,2,0),"")</f>
        <v/>
      </c>
      <c r="E194" s="211" t="str">
        <f>IFERROR(VLOOKUP($C194,'PORTIFÓLIO'!C:V,3,0),"")</f>
        <v/>
      </c>
      <c r="F194" s="211" t="str">
        <f>IFERROR(VLOOKUP($C194,'PORTIFÓLIO'!C:V,4,0),"")</f>
        <v/>
      </c>
      <c r="G194" s="215" t="str">
        <f>IFERROR(VLOOKUP($C194,'PORTIFÓLIO'!C:V,5,0),"")</f>
        <v/>
      </c>
      <c r="H194" s="254" t="str">
        <f t="array" ref="H194">IFERROR(INDEX('PORTIFÓLIO'!$H$4:$H$433,MATCH($C194,'PORTIFÓLIO'!$C$4:$C$433,0)),"")</f>
        <v/>
      </c>
      <c r="I194" s="256"/>
      <c r="J194" s="218">
        <f t="shared" si="22"/>
        <v>0</v>
      </c>
      <c r="K194" s="219" t="str">
        <f t="array" ref="K194">IFERROR(I194*INDEX('PORTIFÓLIO'!$S$4:$S$433,MATCH($C194,'PORTIFÓLIO'!$C$4:$C$433,0)),"")</f>
        <v/>
      </c>
      <c r="L194" s="219" t="str">
        <f t="array" ref="L194">IFERROR(J194*INDEX('PORTIFÓLIO'!$S$4:$S$433,MATCH($C194,'PORTIFÓLIO'!$C$4:$C$433,0)),"")</f>
        <v/>
      </c>
      <c r="M194" s="220"/>
      <c r="N194" s="220"/>
      <c r="O194" s="220"/>
      <c r="P194" s="220"/>
      <c r="Q194" s="220"/>
      <c r="R194" s="220"/>
      <c r="S194" s="220"/>
      <c r="T194" s="220"/>
      <c r="U194" s="220"/>
      <c r="V194" s="220"/>
      <c r="W194" s="220"/>
    </row>
    <row r="195" ht="15.75" customHeight="1" outlineLevel="1">
      <c r="A195" s="211"/>
      <c r="B195" s="212"/>
      <c r="C195" s="213"/>
      <c r="D195" s="214" t="str">
        <f>IFERROR(VLOOKUP($C195,'PORTIFÓLIO'!C:V,2,0),"")</f>
        <v/>
      </c>
      <c r="E195" s="211" t="str">
        <f>IFERROR(VLOOKUP($C195,'PORTIFÓLIO'!C:V,3,0),"")</f>
        <v/>
      </c>
      <c r="F195" s="211" t="str">
        <f>IFERROR(VLOOKUP($C195,'PORTIFÓLIO'!C:V,4,0),"")</f>
        <v/>
      </c>
      <c r="G195" s="215" t="str">
        <f>IFERROR(VLOOKUP($C195,'PORTIFÓLIO'!C:V,5,0),"")</f>
        <v/>
      </c>
      <c r="H195" s="254" t="str">
        <f t="array" ref="H195">IFERROR(INDEX('PORTIFÓLIO'!$H$4:$H$433,MATCH($C195,'PORTIFÓLIO'!$C$4:$C$433,0)),"")</f>
        <v/>
      </c>
      <c r="I195" s="256"/>
      <c r="J195" s="218">
        <f t="shared" si="22"/>
        <v>0</v>
      </c>
      <c r="K195" s="219" t="str">
        <f t="array" ref="K195">IFERROR(I195*INDEX('PORTIFÓLIO'!$S$4:$S$433,MATCH($C195,'PORTIFÓLIO'!$C$4:$C$433,0)),"")</f>
        <v/>
      </c>
      <c r="L195" s="219" t="str">
        <f t="array" ref="L195">IFERROR(J195*INDEX('PORTIFÓLIO'!$S$4:$S$433,MATCH($C195,'PORTIFÓLIO'!$C$4:$C$433,0)),"")</f>
        <v/>
      </c>
      <c r="M195" s="220"/>
      <c r="N195" s="220"/>
      <c r="O195" s="220"/>
      <c r="P195" s="220"/>
      <c r="Q195" s="220"/>
      <c r="R195" s="220"/>
      <c r="S195" s="220"/>
      <c r="T195" s="220"/>
      <c r="U195" s="220"/>
      <c r="V195" s="220"/>
      <c r="W195" s="220"/>
    </row>
    <row r="196" ht="15.75" customHeight="1" outlineLevel="1">
      <c r="A196" s="211"/>
      <c r="B196" s="212"/>
      <c r="C196" s="213"/>
      <c r="D196" s="214" t="str">
        <f>IFERROR(VLOOKUP($C196,'PORTIFÓLIO'!C:V,2,0),"")</f>
        <v/>
      </c>
      <c r="E196" s="211" t="str">
        <f>IFERROR(VLOOKUP($C196,'PORTIFÓLIO'!C:V,3,0),"")</f>
        <v/>
      </c>
      <c r="F196" s="211" t="str">
        <f>IFERROR(VLOOKUP($C196,'PORTIFÓLIO'!C:V,4,0),"")</f>
        <v/>
      </c>
      <c r="G196" s="215" t="str">
        <f>IFERROR(VLOOKUP($C196,'PORTIFÓLIO'!C:V,5,0),"")</f>
        <v/>
      </c>
      <c r="H196" s="254" t="str">
        <f t="array" ref="H196">IFERROR(INDEX('PORTIFÓLIO'!$H$4:$H$433,MATCH($C196,'PORTIFÓLIO'!$C$4:$C$433,0)),"")</f>
        <v/>
      </c>
      <c r="I196" s="256"/>
      <c r="J196" s="218">
        <f t="shared" si="22"/>
        <v>0</v>
      </c>
      <c r="K196" s="219" t="str">
        <f t="array" ref="K196">IFERROR(I196*INDEX('PORTIFÓLIO'!$S$4:$S$433,MATCH($C196,'PORTIFÓLIO'!$C$4:$C$433,0)),"")</f>
        <v/>
      </c>
      <c r="L196" s="219" t="str">
        <f t="array" ref="L196">IFERROR(J196*INDEX('PORTIFÓLIO'!$S$4:$S$433,MATCH($C196,'PORTIFÓLIO'!$C$4:$C$433,0)),"")</f>
        <v/>
      </c>
      <c r="M196" s="220"/>
      <c r="N196" s="220"/>
      <c r="O196" s="220"/>
      <c r="P196" s="220"/>
      <c r="Q196" s="220"/>
      <c r="R196" s="220"/>
      <c r="S196" s="220"/>
      <c r="T196" s="220"/>
      <c r="U196" s="220"/>
      <c r="V196" s="220"/>
      <c r="W196" s="220"/>
    </row>
    <row r="197" ht="15.75" customHeight="1" outlineLevel="1">
      <c r="A197" s="211"/>
      <c r="B197" s="212"/>
      <c r="C197" s="213"/>
      <c r="D197" s="214" t="str">
        <f>IFERROR(VLOOKUP($C197,'PORTIFÓLIO'!C:V,2,0),"")</f>
        <v/>
      </c>
      <c r="E197" s="211" t="str">
        <f>IFERROR(VLOOKUP($C197,'PORTIFÓLIO'!C:V,3,0),"")</f>
        <v/>
      </c>
      <c r="F197" s="211" t="str">
        <f>IFERROR(VLOOKUP($C197,'PORTIFÓLIO'!C:V,4,0),"")</f>
        <v/>
      </c>
      <c r="G197" s="215" t="str">
        <f>IFERROR(VLOOKUP($C197,'PORTIFÓLIO'!C:V,5,0),"")</f>
        <v/>
      </c>
      <c r="H197" s="254" t="str">
        <f t="array" ref="H197">IFERROR(INDEX('PORTIFÓLIO'!$H$4:$H$433,MATCH($C197,'PORTIFÓLIO'!$C$4:$C$433,0)),"")</f>
        <v/>
      </c>
      <c r="I197" s="256"/>
      <c r="J197" s="218">
        <f t="shared" si="22"/>
        <v>0</v>
      </c>
      <c r="K197" s="219" t="str">
        <f t="array" ref="K197">IFERROR(I197*INDEX('PORTIFÓLIO'!$S$4:$S$433,MATCH($C197,'PORTIFÓLIO'!$C$4:$C$433,0)),"")</f>
        <v/>
      </c>
      <c r="L197" s="219" t="str">
        <f t="array" ref="L197">IFERROR(J197*INDEX('PORTIFÓLIO'!$S$4:$S$433,MATCH($C197,'PORTIFÓLIO'!$C$4:$C$433,0)),"")</f>
        <v/>
      </c>
      <c r="M197" s="220"/>
      <c r="N197" s="220"/>
      <c r="O197" s="220"/>
      <c r="P197" s="220"/>
      <c r="Q197" s="220"/>
      <c r="R197" s="220"/>
      <c r="S197" s="220"/>
      <c r="T197" s="220"/>
      <c r="U197" s="220"/>
      <c r="V197" s="220"/>
      <c r="W197" s="220"/>
    </row>
    <row r="198" ht="15.75" customHeight="1" outlineLevel="1">
      <c r="A198" s="211"/>
      <c r="B198" s="227"/>
      <c r="C198" s="211"/>
      <c r="D198" s="214" t="str">
        <f>IFERROR(VLOOKUP($C198,'PORTIFÓLIO'!C:V,2,0),"")</f>
        <v/>
      </c>
      <c r="E198" s="211" t="str">
        <f>IFERROR(VLOOKUP($C198,'PORTIFÓLIO'!C:V,3,0),"")</f>
        <v/>
      </c>
      <c r="F198" s="211" t="str">
        <f>IFERROR(VLOOKUP($C198,'PORTIFÓLIO'!C:V,4,0),"")</f>
        <v/>
      </c>
      <c r="G198" s="215" t="str">
        <f>IFERROR(VLOOKUP($C198,'PORTIFÓLIO'!C:V,5,0),"")</f>
        <v/>
      </c>
      <c r="H198" s="254" t="str">
        <f t="array" ref="H198">IFERROR(INDEX('PORTIFÓLIO'!$H$4:$H$433,MATCH($C198,'PORTIFÓLIO'!$C$4:$C$433,0)),"")</f>
        <v/>
      </c>
      <c r="I198" s="256"/>
      <c r="J198" s="218">
        <f t="shared" si="22"/>
        <v>0</v>
      </c>
      <c r="K198" s="219" t="str">
        <f t="array" ref="K198">IFERROR(I198*INDEX('PORTIFÓLIO'!$S$4:$S$433,MATCH($C198,'PORTIFÓLIO'!$C$4:$C$433,0)),"")</f>
        <v/>
      </c>
      <c r="L198" s="219" t="str">
        <f t="array" ref="L198">IFERROR(J198*INDEX('PORTIFÓLIO'!$S$4:$S$433,MATCH($C198,'PORTIFÓLIO'!$C$4:$C$433,0)),"")</f>
        <v/>
      </c>
      <c r="M198" s="220"/>
      <c r="N198" s="220"/>
      <c r="O198" s="220"/>
      <c r="P198" s="220"/>
      <c r="Q198" s="220"/>
      <c r="R198" s="220"/>
      <c r="S198" s="220"/>
      <c r="T198" s="220"/>
      <c r="U198" s="220"/>
      <c r="V198" s="220"/>
      <c r="W198" s="220"/>
    </row>
    <row r="199" ht="15.75" customHeight="1" outlineLevel="1">
      <c r="A199" s="211"/>
      <c r="B199" s="227"/>
      <c r="C199" s="211"/>
      <c r="D199" s="214" t="str">
        <f>IFERROR(VLOOKUP($C199,'PORTIFÓLIO'!C:V,2,0),"")</f>
        <v/>
      </c>
      <c r="E199" s="211" t="str">
        <f>IFERROR(VLOOKUP($C199,'PORTIFÓLIO'!C:V,3,0),"")</f>
        <v/>
      </c>
      <c r="F199" s="211" t="str">
        <f>IFERROR(VLOOKUP($C199,'PORTIFÓLIO'!C:V,4,0),"")</f>
        <v/>
      </c>
      <c r="G199" s="215" t="str">
        <f>IFERROR(VLOOKUP($C199,'PORTIFÓLIO'!C:V,5,0),"")</f>
        <v/>
      </c>
      <c r="H199" s="254" t="str">
        <f t="array" ref="H199">IFERROR(INDEX('PORTIFÓLIO'!$H$4:$H$433,MATCH($C199,'PORTIFÓLIO'!$C$4:$C$433,0)),"")</f>
        <v/>
      </c>
      <c r="I199" s="256"/>
      <c r="J199" s="218">
        <f t="shared" si="22"/>
        <v>0</v>
      </c>
      <c r="K199" s="219" t="str">
        <f t="array" ref="K199">IFERROR(I199*INDEX('PORTIFÓLIO'!$S$4:$S$433,MATCH($C199,'PORTIFÓLIO'!$C$4:$C$433,0)),"")</f>
        <v/>
      </c>
      <c r="L199" s="219" t="str">
        <f t="array" ref="L199">IFERROR(J199*INDEX('PORTIFÓLIO'!$S$4:$S$433,MATCH($C199,'PORTIFÓLIO'!$C$4:$C$433,0)),"")</f>
        <v/>
      </c>
      <c r="M199" s="220"/>
      <c r="N199" s="220"/>
      <c r="O199" s="220"/>
      <c r="P199" s="220"/>
      <c r="Q199" s="220"/>
      <c r="R199" s="220"/>
      <c r="S199" s="220"/>
      <c r="T199" s="220"/>
      <c r="U199" s="220"/>
      <c r="V199" s="220"/>
      <c r="W199" s="220"/>
    </row>
    <row r="200" ht="15.75" customHeight="1">
      <c r="A200" s="229" t="s">
        <v>1202</v>
      </c>
      <c r="B200" s="230"/>
      <c r="C200" s="231"/>
      <c r="D200" s="232"/>
      <c r="E200" s="231"/>
      <c r="F200" s="231"/>
      <c r="G200" s="233"/>
      <c r="H200" s="233"/>
      <c r="I200" s="258"/>
      <c r="J200" s="236"/>
      <c r="K200" s="237">
        <f t="shared" ref="K200:L200" si="23">SUBTOTAL(9,K201:K214)</f>
        <v>0</v>
      </c>
      <c r="L200" s="237">
        <f t="shared" si="23"/>
        <v>0</v>
      </c>
      <c r="M200" s="220"/>
      <c r="N200" s="220"/>
      <c r="O200" s="220"/>
      <c r="P200" s="220"/>
      <c r="Q200" s="220"/>
      <c r="R200" s="220"/>
      <c r="S200" s="220"/>
      <c r="T200" s="220"/>
      <c r="U200" s="220"/>
      <c r="V200" s="220"/>
      <c r="W200" s="220"/>
    </row>
    <row r="201" ht="15.75" customHeight="1" outlineLevel="1">
      <c r="A201" s="213"/>
      <c r="B201" s="212"/>
      <c r="C201" s="213"/>
      <c r="D201" s="214" t="str">
        <f>IFERROR(VLOOKUP($C201,'PORTIFÓLIO'!C:V,2,0),"")</f>
        <v/>
      </c>
      <c r="E201" s="211" t="str">
        <f>IFERROR(VLOOKUP($C201,'PORTIFÓLIO'!C:V,3,0),"")</f>
        <v/>
      </c>
      <c r="F201" s="211" t="str">
        <f>IFERROR(VLOOKUP($C201,'PORTIFÓLIO'!C:V,4,0),"")</f>
        <v/>
      </c>
      <c r="G201" s="215" t="str">
        <f>IFERROR(VLOOKUP($C201,'PORTIFÓLIO'!C:V,5,0),"")</f>
        <v/>
      </c>
      <c r="H201" s="254" t="str">
        <f t="array" ref="H201">IFERROR(INDEX('PORTIFÓLIO'!$H$4:$H$433,MATCH($C201,'PORTIFÓLIO'!$C$4:$C$433,0)),"")</f>
        <v/>
      </c>
      <c r="I201" s="256"/>
      <c r="J201" s="218">
        <f t="shared" ref="J201:J224" si="24">I201*$B$2</f>
        <v>0</v>
      </c>
      <c r="K201" s="219" t="str">
        <f>IFERROR(I201* VLOOKUP($C201,'PORTIFÓLIO'!C:V,10,0),"")</f>
        <v/>
      </c>
      <c r="L201" s="219" t="str">
        <f>IFERROR(J201* VLOOKUP($C201,'PORTIFÓLIO'!C:V,10,0),"")</f>
        <v/>
      </c>
      <c r="M201" s="220"/>
      <c r="N201" s="220"/>
      <c r="O201" s="220"/>
      <c r="P201" s="220"/>
      <c r="Q201" s="220"/>
      <c r="R201" s="220"/>
      <c r="S201" s="220"/>
      <c r="T201" s="220"/>
      <c r="U201" s="220"/>
      <c r="V201" s="220"/>
      <c r="W201" s="220"/>
    </row>
    <row r="202" ht="15.75" customHeight="1" outlineLevel="1">
      <c r="A202" s="211"/>
      <c r="B202" s="212"/>
      <c r="C202" s="213"/>
      <c r="D202" s="214" t="str">
        <f>IFERROR(VLOOKUP($C202,'PORTIFÓLIO'!C:V,2,0),"")</f>
        <v/>
      </c>
      <c r="E202" s="211" t="str">
        <f>IFERROR(VLOOKUP($C202,'PORTIFÓLIO'!C:V,3,0),"")</f>
        <v/>
      </c>
      <c r="F202" s="211" t="str">
        <f>IFERROR(VLOOKUP($C202,'PORTIFÓLIO'!C:V,4,0),"")</f>
        <v/>
      </c>
      <c r="G202" s="215" t="str">
        <f>IFERROR(VLOOKUP($C202,'PORTIFÓLIO'!C:V,5,0),"")</f>
        <v/>
      </c>
      <c r="H202" s="254" t="str">
        <f t="array" ref="H202">IFERROR(INDEX('PORTIFÓLIO'!$H$4:$H$433,MATCH($C202,'PORTIFÓLIO'!$C$4:$C$433,0)),"")</f>
        <v/>
      </c>
      <c r="I202" s="256"/>
      <c r="J202" s="218">
        <f t="shared" si="24"/>
        <v>0</v>
      </c>
      <c r="K202" s="219" t="str">
        <f>IFERROR(I202* VLOOKUP($C202,'PORTIFÓLIO'!C:V,10,0),"")</f>
        <v/>
      </c>
      <c r="L202" s="219" t="str">
        <f>IFERROR(J202* VLOOKUP($C202,'PORTIFÓLIO'!C:V,10,0),"")</f>
        <v/>
      </c>
      <c r="M202" s="220"/>
      <c r="N202" s="220"/>
      <c r="O202" s="220"/>
      <c r="P202" s="220"/>
      <c r="Q202" s="220"/>
      <c r="R202" s="220"/>
      <c r="S202" s="220"/>
      <c r="T202" s="220"/>
      <c r="U202" s="220"/>
      <c r="V202" s="220"/>
      <c r="W202" s="220"/>
    </row>
    <row r="203" ht="15.75" customHeight="1" outlineLevel="1">
      <c r="A203" s="211"/>
      <c r="B203" s="212"/>
      <c r="C203" s="213"/>
      <c r="D203" s="214" t="str">
        <f>IFERROR(VLOOKUP($C203,'PORTIFÓLIO'!C:V,2,0),"")</f>
        <v/>
      </c>
      <c r="E203" s="211" t="str">
        <f>IFERROR(VLOOKUP($C203,'PORTIFÓLIO'!C:V,3,0),"")</f>
        <v/>
      </c>
      <c r="F203" s="211" t="str">
        <f>IFERROR(VLOOKUP($C203,'PORTIFÓLIO'!C:V,4,0),"")</f>
        <v/>
      </c>
      <c r="G203" s="215" t="str">
        <f>IFERROR(VLOOKUP($C203,'PORTIFÓLIO'!C:V,5,0),"")</f>
        <v/>
      </c>
      <c r="H203" s="254" t="str">
        <f t="array" ref="H203">IFERROR(INDEX('PORTIFÓLIO'!$H$4:$H$433,MATCH($C203,'PORTIFÓLIO'!$C$4:$C$433,0)),"")</f>
        <v/>
      </c>
      <c r="I203" s="256"/>
      <c r="J203" s="218">
        <f t="shared" si="24"/>
        <v>0</v>
      </c>
      <c r="K203" s="219" t="str">
        <f>IFERROR(I203* VLOOKUP($C203,'PORTIFÓLIO'!C:V,10,0),"")</f>
        <v/>
      </c>
      <c r="L203" s="219" t="str">
        <f>IFERROR(J203* VLOOKUP($C203,'PORTIFÓLIO'!C:V,10,0),"")</f>
        <v/>
      </c>
      <c r="M203" s="220"/>
      <c r="N203" s="220"/>
      <c r="O203" s="220"/>
      <c r="P203" s="220"/>
      <c r="Q203" s="220"/>
      <c r="R203" s="220"/>
      <c r="S203" s="220"/>
      <c r="T203" s="220"/>
      <c r="U203" s="220"/>
      <c r="V203" s="220"/>
      <c r="W203" s="220"/>
    </row>
    <row r="204" ht="15.75" customHeight="1" outlineLevel="1">
      <c r="A204" s="211"/>
      <c r="B204" s="212"/>
      <c r="C204" s="213"/>
      <c r="D204" s="214" t="str">
        <f>IFERROR(VLOOKUP($C204,'PORTIFÓLIO'!C:V,2,0),"")</f>
        <v/>
      </c>
      <c r="E204" s="211" t="str">
        <f>IFERROR(VLOOKUP($C204,'PORTIFÓLIO'!C:V,3,0),"")</f>
        <v/>
      </c>
      <c r="F204" s="211" t="str">
        <f>IFERROR(VLOOKUP($C204,'PORTIFÓLIO'!C:V,4,0),"")</f>
        <v/>
      </c>
      <c r="G204" s="215" t="str">
        <f>IFERROR(VLOOKUP($C204,'PORTIFÓLIO'!C:V,5,0),"")</f>
        <v/>
      </c>
      <c r="H204" s="254" t="str">
        <f t="array" ref="H204">IFERROR(INDEX('PORTIFÓLIO'!$H$4:$H$433,MATCH($C204,'PORTIFÓLIO'!$C$4:$C$433,0)),"")</f>
        <v/>
      </c>
      <c r="I204" s="256"/>
      <c r="J204" s="218">
        <f t="shared" si="24"/>
        <v>0</v>
      </c>
      <c r="K204" s="219" t="str">
        <f>IFERROR(I204* VLOOKUP($C204,'PORTIFÓLIO'!C:V,10,0),"")</f>
        <v/>
      </c>
      <c r="L204" s="219" t="str">
        <f>IFERROR(J204* VLOOKUP($C204,'PORTIFÓLIO'!C:V,10,0),"")</f>
        <v/>
      </c>
      <c r="M204" s="220"/>
      <c r="N204" s="220"/>
      <c r="O204" s="220"/>
      <c r="P204" s="220"/>
      <c r="Q204" s="220"/>
      <c r="R204" s="220"/>
      <c r="S204" s="220"/>
      <c r="T204" s="220"/>
      <c r="U204" s="220"/>
      <c r="V204" s="220"/>
      <c r="W204" s="220"/>
    </row>
    <row r="205" ht="15.75" customHeight="1" outlineLevel="1">
      <c r="A205" s="211"/>
      <c r="B205" s="212"/>
      <c r="C205" s="213"/>
      <c r="D205" s="214" t="str">
        <f>IFERROR(VLOOKUP($C205,'PORTIFÓLIO'!C:V,2,0),"")</f>
        <v/>
      </c>
      <c r="E205" s="211" t="str">
        <f>IFERROR(VLOOKUP($C205,'PORTIFÓLIO'!C:V,3,0),"")</f>
        <v/>
      </c>
      <c r="F205" s="211" t="str">
        <f>IFERROR(VLOOKUP($C205,'PORTIFÓLIO'!C:V,4,0),"")</f>
        <v/>
      </c>
      <c r="G205" s="215" t="str">
        <f>IFERROR(VLOOKUP($C205,'PORTIFÓLIO'!C:V,5,0),"")</f>
        <v/>
      </c>
      <c r="H205" s="254" t="str">
        <f t="array" ref="H205">IFERROR(INDEX('PORTIFÓLIO'!$H$4:$H$433,MATCH($C205,'PORTIFÓLIO'!$C$4:$C$433,0)),"")</f>
        <v/>
      </c>
      <c r="I205" s="256"/>
      <c r="J205" s="218">
        <f t="shared" si="24"/>
        <v>0</v>
      </c>
      <c r="K205" s="219" t="str">
        <f>IFERROR(I205* VLOOKUP($C205,'PORTIFÓLIO'!C:V,10,0),"")</f>
        <v/>
      </c>
      <c r="L205" s="219" t="str">
        <f>IFERROR(J205* VLOOKUP($C205,'PORTIFÓLIO'!C:V,10,0),"")</f>
        <v/>
      </c>
      <c r="M205" s="220"/>
      <c r="N205" s="220"/>
      <c r="O205" s="220"/>
      <c r="P205" s="220"/>
      <c r="Q205" s="220"/>
      <c r="R205" s="220"/>
      <c r="S205" s="220"/>
      <c r="T205" s="220"/>
      <c r="U205" s="220"/>
      <c r="V205" s="220"/>
      <c r="W205" s="220"/>
    </row>
    <row r="206" ht="15.75" customHeight="1" outlineLevel="1">
      <c r="A206" s="211"/>
      <c r="B206" s="212"/>
      <c r="C206" s="213"/>
      <c r="D206" s="214" t="str">
        <f>IFERROR(VLOOKUP($C206,'PORTIFÓLIO'!C:V,2,0),"")</f>
        <v/>
      </c>
      <c r="E206" s="211" t="str">
        <f>IFERROR(VLOOKUP($C206,'PORTIFÓLIO'!C:V,3,0),"")</f>
        <v/>
      </c>
      <c r="F206" s="211" t="str">
        <f>IFERROR(VLOOKUP($C206,'PORTIFÓLIO'!C:V,4,0),"")</f>
        <v/>
      </c>
      <c r="G206" s="215" t="str">
        <f>IFERROR(VLOOKUP($C206,'PORTIFÓLIO'!C:V,5,0),"")</f>
        <v/>
      </c>
      <c r="H206" s="254" t="str">
        <f t="array" ref="H206">IFERROR(INDEX('PORTIFÓLIO'!$H$4:$H$433,MATCH($C206,'PORTIFÓLIO'!$C$4:$C$433,0)),"")</f>
        <v/>
      </c>
      <c r="I206" s="256"/>
      <c r="J206" s="218">
        <f t="shared" si="24"/>
        <v>0</v>
      </c>
      <c r="K206" s="219" t="str">
        <f>IFERROR(I206* VLOOKUP($C206,'PORTIFÓLIO'!C:V,10,0),"")</f>
        <v/>
      </c>
      <c r="L206" s="219" t="str">
        <f>IFERROR(J206* VLOOKUP($C206,'PORTIFÓLIO'!C:V,10,0),"")</f>
        <v/>
      </c>
      <c r="M206" s="220"/>
      <c r="N206" s="220"/>
      <c r="O206" s="220"/>
      <c r="P206" s="220"/>
      <c r="Q206" s="220"/>
      <c r="R206" s="220"/>
      <c r="S206" s="220"/>
      <c r="T206" s="220"/>
      <c r="U206" s="220"/>
      <c r="V206" s="220"/>
      <c r="W206" s="220"/>
    </row>
    <row r="207" ht="15.75" customHeight="1" outlineLevel="1">
      <c r="A207" s="211"/>
      <c r="B207" s="212"/>
      <c r="C207" s="213"/>
      <c r="D207" s="214" t="str">
        <f>IFERROR(VLOOKUP($C207,'PORTIFÓLIO'!C:V,2,0),"")</f>
        <v/>
      </c>
      <c r="E207" s="211" t="str">
        <f>IFERROR(VLOOKUP($C207,'PORTIFÓLIO'!C:V,3,0),"")</f>
        <v/>
      </c>
      <c r="F207" s="211" t="str">
        <f>IFERROR(VLOOKUP($C207,'PORTIFÓLIO'!C:V,4,0),"")</f>
        <v/>
      </c>
      <c r="G207" s="215" t="str">
        <f>IFERROR(VLOOKUP($C207,'PORTIFÓLIO'!C:V,5,0),"")</f>
        <v/>
      </c>
      <c r="H207" s="254" t="str">
        <f t="array" ref="H207">IFERROR(INDEX('PORTIFÓLIO'!$H$4:$H$433,MATCH($C207,'PORTIFÓLIO'!$C$4:$C$433,0)),"")</f>
        <v/>
      </c>
      <c r="I207" s="256"/>
      <c r="J207" s="218">
        <f t="shared" si="24"/>
        <v>0</v>
      </c>
      <c r="K207" s="219" t="str">
        <f>IFERROR(I207* VLOOKUP($C207,'PORTIFÓLIO'!C:V,10,0),"")</f>
        <v/>
      </c>
      <c r="L207" s="219" t="str">
        <f>IFERROR(J207* VLOOKUP($C207,'PORTIFÓLIO'!C:V,10,0),"")</f>
        <v/>
      </c>
      <c r="M207" s="220"/>
      <c r="N207" s="220"/>
      <c r="O207" s="220"/>
      <c r="P207" s="220"/>
      <c r="Q207" s="220"/>
      <c r="R207" s="220"/>
      <c r="S207" s="220"/>
      <c r="T207" s="220"/>
      <c r="U207" s="220"/>
      <c r="V207" s="220"/>
      <c r="W207" s="220"/>
    </row>
    <row r="208" ht="15.75" customHeight="1" outlineLevel="1">
      <c r="A208" s="211"/>
      <c r="B208" s="212"/>
      <c r="C208" s="213"/>
      <c r="D208" s="214" t="str">
        <f>IFERROR(VLOOKUP($C208,'PORTIFÓLIO'!C:V,2,0),"")</f>
        <v/>
      </c>
      <c r="E208" s="211" t="str">
        <f>IFERROR(VLOOKUP($C208,'PORTIFÓLIO'!C:V,3,0),"")</f>
        <v/>
      </c>
      <c r="F208" s="211" t="str">
        <f>IFERROR(VLOOKUP($C208,'PORTIFÓLIO'!C:V,4,0),"")</f>
        <v/>
      </c>
      <c r="G208" s="215" t="str">
        <f>IFERROR(VLOOKUP($C208,'PORTIFÓLIO'!C:V,5,0),"")</f>
        <v/>
      </c>
      <c r="H208" s="254" t="str">
        <f t="array" ref="H208">IFERROR(INDEX('PORTIFÓLIO'!$H$4:$H$433,MATCH($C208,'PORTIFÓLIO'!$C$4:$C$433,0)),"")</f>
        <v/>
      </c>
      <c r="I208" s="256"/>
      <c r="J208" s="218">
        <f t="shared" si="24"/>
        <v>0</v>
      </c>
      <c r="K208" s="219" t="str">
        <f>IFERROR(I208* VLOOKUP($C208,'PORTIFÓLIO'!C:V,10,0),"")</f>
        <v/>
      </c>
      <c r="L208" s="219" t="str">
        <f>IFERROR(J208* VLOOKUP($C208,'PORTIFÓLIO'!C:V,10,0),"")</f>
        <v/>
      </c>
      <c r="M208" s="220"/>
      <c r="N208" s="220"/>
      <c r="O208" s="220"/>
      <c r="P208" s="220"/>
      <c r="Q208" s="220"/>
      <c r="R208" s="220"/>
      <c r="S208" s="220"/>
      <c r="T208" s="220"/>
      <c r="U208" s="220"/>
      <c r="V208" s="220"/>
      <c r="W208" s="220"/>
    </row>
    <row r="209" ht="15.75" customHeight="1" outlineLevel="1">
      <c r="A209" s="211"/>
      <c r="B209" s="212"/>
      <c r="C209" s="213"/>
      <c r="D209" s="214" t="str">
        <f>IFERROR(VLOOKUP($C209,'PORTIFÓLIO'!C:V,2,0),"")</f>
        <v/>
      </c>
      <c r="E209" s="211" t="str">
        <f>IFERROR(VLOOKUP($C209,'PORTIFÓLIO'!C:V,3,0),"")</f>
        <v/>
      </c>
      <c r="F209" s="211" t="str">
        <f>IFERROR(VLOOKUP($C209,'PORTIFÓLIO'!C:V,4,0),"")</f>
        <v/>
      </c>
      <c r="G209" s="215" t="str">
        <f>IFERROR(VLOOKUP($C209,'PORTIFÓLIO'!C:V,5,0),"")</f>
        <v/>
      </c>
      <c r="H209" s="254" t="str">
        <f t="array" ref="H209">IFERROR(INDEX('PORTIFÓLIO'!$H$4:$H$433,MATCH($C209,'PORTIFÓLIO'!$C$4:$C$433,0)),"")</f>
        <v/>
      </c>
      <c r="I209" s="256"/>
      <c r="J209" s="218">
        <f t="shared" si="24"/>
        <v>0</v>
      </c>
      <c r="K209" s="219" t="str">
        <f>IFERROR(I209* VLOOKUP($C209,'PORTIFÓLIO'!C:V,10,0),"")</f>
        <v/>
      </c>
      <c r="L209" s="219" t="str">
        <f>IFERROR(J209* VLOOKUP($C209,'PORTIFÓLIO'!C:V,10,0),"")</f>
        <v/>
      </c>
      <c r="M209" s="220"/>
      <c r="N209" s="220"/>
      <c r="O209" s="220"/>
      <c r="P209" s="220"/>
      <c r="Q209" s="220"/>
      <c r="R209" s="220"/>
      <c r="S209" s="220"/>
      <c r="T209" s="220"/>
      <c r="U209" s="220"/>
      <c r="V209" s="220"/>
      <c r="W209" s="220"/>
    </row>
    <row r="210" ht="15.75" customHeight="1" outlineLevel="1">
      <c r="A210" s="211"/>
      <c r="B210" s="212"/>
      <c r="C210" s="213"/>
      <c r="D210" s="214" t="str">
        <f>IFERROR(VLOOKUP($C210,'PORTIFÓLIO'!C:V,2,0),"")</f>
        <v/>
      </c>
      <c r="E210" s="211" t="str">
        <f>IFERROR(VLOOKUP($C210,'PORTIFÓLIO'!C:V,3,0),"")</f>
        <v/>
      </c>
      <c r="F210" s="211" t="str">
        <f>IFERROR(VLOOKUP($C210,'PORTIFÓLIO'!C:V,4,0),"")</f>
        <v/>
      </c>
      <c r="G210" s="215" t="str">
        <f>IFERROR(VLOOKUP($C210,'PORTIFÓLIO'!C:V,5,0),"")</f>
        <v/>
      </c>
      <c r="H210" s="254" t="str">
        <f t="array" ref="H210">IFERROR(INDEX('PORTIFÓLIO'!$H$4:$H$433,MATCH($C210,'PORTIFÓLIO'!$C$4:$C$433,0)),"")</f>
        <v/>
      </c>
      <c r="I210" s="256"/>
      <c r="J210" s="218">
        <f t="shared" si="24"/>
        <v>0</v>
      </c>
      <c r="K210" s="219" t="str">
        <f>IFERROR(I210* VLOOKUP($C210,'PORTIFÓLIO'!C:V,10,0),"")</f>
        <v/>
      </c>
      <c r="L210" s="219" t="str">
        <f>IFERROR(J210* VLOOKUP($C210,'PORTIFÓLIO'!C:V,10,0),"")</f>
        <v/>
      </c>
      <c r="M210" s="220"/>
      <c r="N210" s="220"/>
      <c r="O210" s="220"/>
      <c r="P210" s="220"/>
      <c r="Q210" s="220"/>
      <c r="R210" s="220"/>
      <c r="S210" s="220"/>
      <c r="T210" s="220"/>
      <c r="U210" s="220"/>
      <c r="V210" s="220"/>
      <c r="W210" s="220"/>
    </row>
    <row r="211" ht="15.75" customHeight="1" outlineLevel="1">
      <c r="A211" s="211"/>
      <c r="B211" s="212"/>
      <c r="C211" s="213"/>
      <c r="D211" s="214" t="str">
        <f>IFERROR(VLOOKUP($C211,'PORTIFÓLIO'!C:V,2,0),"")</f>
        <v/>
      </c>
      <c r="E211" s="211" t="str">
        <f>IFERROR(VLOOKUP($C211,'PORTIFÓLIO'!C:V,3,0),"")</f>
        <v/>
      </c>
      <c r="F211" s="211" t="str">
        <f>IFERROR(VLOOKUP($C211,'PORTIFÓLIO'!C:V,4,0),"")</f>
        <v/>
      </c>
      <c r="G211" s="215" t="str">
        <f>IFERROR(VLOOKUP($C211,'PORTIFÓLIO'!C:V,5,0),"")</f>
        <v/>
      </c>
      <c r="H211" s="254" t="str">
        <f t="array" ref="H211">IFERROR(INDEX('PORTIFÓLIO'!$H$4:$H$433,MATCH($C211,'PORTIFÓLIO'!$C$4:$C$433,0)),"")</f>
        <v/>
      </c>
      <c r="I211" s="256"/>
      <c r="J211" s="218">
        <f t="shared" si="24"/>
        <v>0</v>
      </c>
      <c r="K211" s="219" t="str">
        <f>IFERROR(I211* VLOOKUP($C211,'PORTIFÓLIO'!C:V,10,0),"")</f>
        <v/>
      </c>
      <c r="L211" s="219" t="str">
        <f>IFERROR(J211* VLOOKUP($C211,'PORTIFÓLIO'!C:V,10,0),"")</f>
        <v/>
      </c>
      <c r="M211" s="220"/>
      <c r="N211" s="220"/>
      <c r="O211" s="220"/>
      <c r="P211" s="220"/>
      <c r="Q211" s="220"/>
      <c r="R211" s="220"/>
      <c r="S211" s="220"/>
      <c r="T211" s="220"/>
      <c r="U211" s="220"/>
      <c r="V211" s="220"/>
      <c r="W211" s="220"/>
    </row>
    <row r="212" ht="15.75" customHeight="1" outlineLevel="1">
      <c r="A212" s="211"/>
      <c r="B212" s="212"/>
      <c r="C212" s="213"/>
      <c r="D212" s="214" t="str">
        <f>IFERROR(VLOOKUP($C212,'PORTIFÓLIO'!C:V,2,0),"")</f>
        <v/>
      </c>
      <c r="E212" s="211" t="str">
        <f>IFERROR(VLOOKUP($C212,'PORTIFÓLIO'!C:V,3,0),"")</f>
        <v/>
      </c>
      <c r="F212" s="211" t="str">
        <f>IFERROR(VLOOKUP($C212,'PORTIFÓLIO'!C:V,4,0),"")</f>
        <v/>
      </c>
      <c r="G212" s="215" t="str">
        <f>IFERROR(VLOOKUP($C212,'PORTIFÓLIO'!C:V,5,0),"")</f>
        <v/>
      </c>
      <c r="H212" s="254" t="str">
        <f t="array" ref="H212">IFERROR(INDEX('PORTIFÓLIO'!$H$4:$H$433,MATCH($C212,'PORTIFÓLIO'!$C$4:$C$433,0)),"")</f>
        <v/>
      </c>
      <c r="I212" s="256"/>
      <c r="J212" s="218">
        <f t="shared" si="24"/>
        <v>0</v>
      </c>
      <c r="K212" s="219" t="str">
        <f>IFERROR(I212* VLOOKUP($C212,'PORTIFÓLIO'!C:V,10,0),"")</f>
        <v/>
      </c>
      <c r="L212" s="219" t="str">
        <f>IFERROR(J212* VLOOKUP($C212,'PORTIFÓLIO'!C:V,10,0),"")</f>
        <v/>
      </c>
      <c r="M212" s="220"/>
      <c r="N212" s="220"/>
      <c r="O212" s="220"/>
      <c r="P212" s="220"/>
      <c r="Q212" s="220"/>
      <c r="R212" s="220"/>
      <c r="S212" s="220"/>
      <c r="T212" s="220"/>
      <c r="U212" s="220"/>
      <c r="V212" s="220"/>
      <c r="W212" s="220"/>
    </row>
    <row r="213" ht="15.75" customHeight="1" outlineLevel="1">
      <c r="A213" s="211"/>
      <c r="B213" s="212"/>
      <c r="C213" s="213"/>
      <c r="D213" s="214" t="str">
        <f>IFERROR(VLOOKUP($C213,'PORTIFÓLIO'!C:V,2,0),"")</f>
        <v/>
      </c>
      <c r="E213" s="211" t="str">
        <f>IFERROR(VLOOKUP($C213,'PORTIFÓLIO'!C:V,3,0),"")</f>
        <v/>
      </c>
      <c r="F213" s="211" t="str">
        <f>IFERROR(VLOOKUP($C213,'PORTIFÓLIO'!C:V,4,0),"")</f>
        <v/>
      </c>
      <c r="G213" s="215" t="str">
        <f>IFERROR(VLOOKUP($C213,'PORTIFÓLIO'!C:V,5,0),"")</f>
        <v/>
      </c>
      <c r="H213" s="254" t="str">
        <f t="array" ref="H213">IFERROR(INDEX('PORTIFÓLIO'!$H$4:$H$433,MATCH($C213,'PORTIFÓLIO'!$C$4:$C$433,0)),"")</f>
        <v/>
      </c>
      <c r="I213" s="256"/>
      <c r="J213" s="218">
        <f t="shared" si="24"/>
        <v>0</v>
      </c>
      <c r="K213" s="219" t="str">
        <f>IFERROR(I213* VLOOKUP($C213,'PORTIFÓLIO'!C:V,10,0),"")</f>
        <v/>
      </c>
      <c r="L213" s="219" t="str">
        <f>IFERROR(J213* VLOOKUP($C213,'PORTIFÓLIO'!C:V,10,0),"")</f>
        <v/>
      </c>
      <c r="M213" s="220"/>
      <c r="N213" s="220"/>
      <c r="O213" s="220"/>
      <c r="P213" s="220"/>
      <c r="Q213" s="220"/>
      <c r="R213" s="220"/>
      <c r="S213" s="220"/>
      <c r="T213" s="220"/>
      <c r="U213" s="220"/>
      <c r="V213" s="220"/>
      <c r="W213" s="220"/>
    </row>
    <row r="214" ht="15.75" customHeight="1" outlineLevel="1">
      <c r="A214" s="211"/>
      <c r="B214" s="212"/>
      <c r="C214" s="213"/>
      <c r="D214" s="214" t="str">
        <f>IFERROR(VLOOKUP($C214,'PORTIFÓLIO'!C:V,2,0),"")</f>
        <v/>
      </c>
      <c r="E214" s="211" t="str">
        <f>IFERROR(VLOOKUP($C214,'PORTIFÓLIO'!C:V,3,0),"")</f>
        <v/>
      </c>
      <c r="F214" s="211" t="str">
        <f>IFERROR(VLOOKUP($C214,'PORTIFÓLIO'!C:V,4,0),"")</f>
        <v/>
      </c>
      <c r="G214" s="215" t="str">
        <f>IFERROR(VLOOKUP($C214,'PORTIFÓLIO'!C:V,5,0),"")</f>
        <v/>
      </c>
      <c r="H214" s="254" t="str">
        <f t="array" ref="H214">IFERROR(INDEX('PORTIFÓLIO'!$H$4:$H$433,MATCH($C214,'PORTIFÓLIO'!$C$4:$C$433,0)),"")</f>
        <v/>
      </c>
      <c r="I214" s="256"/>
      <c r="J214" s="218">
        <f t="shared" si="24"/>
        <v>0</v>
      </c>
      <c r="K214" s="219" t="str">
        <f>IFERROR(I214* VLOOKUP($C214,'PORTIFÓLIO'!C:V,10,0),"")</f>
        <v/>
      </c>
      <c r="L214" s="219" t="str">
        <f>IFERROR(J214* VLOOKUP($C214,'PORTIFÓLIO'!C:V,10,0),"")</f>
        <v/>
      </c>
      <c r="M214" s="220"/>
      <c r="N214" s="220"/>
      <c r="O214" s="220"/>
      <c r="P214" s="220"/>
      <c r="Q214" s="220"/>
      <c r="R214" s="220"/>
      <c r="S214" s="220"/>
      <c r="T214" s="220"/>
      <c r="U214" s="220"/>
      <c r="V214" s="220"/>
      <c r="W214" s="220"/>
    </row>
    <row r="215" ht="15.75" customHeight="1" outlineLevel="1">
      <c r="A215" s="211"/>
      <c r="B215" s="212"/>
      <c r="C215" s="213"/>
      <c r="D215" s="214" t="str">
        <f>IFERROR(VLOOKUP($C215,'PORTIFÓLIO'!C:V,2,0),"")</f>
        <v/>
      </c>
      <c r="E215" s="211" t="str">
        <f>IFERROR(VLOOKUP($C215,'PORTIFÓLIO'!C:V,3,0),"")</f>
        <v/>
      </c>
      <c r="F215" s="211" t="str">
        <f>IFERROR(VLOOKUP($C215,'PORTIFÓLIO'!C:V,4,0),"")</f>
        <v/>
      </c>
      <c r="G215" s="215" t="str">
        <f>IFERROR(VLOOKUP($C215,'PORTIFÓLIO'!C:V,5,0),"")</f>
        <v/>
      </c>
      <c r="H215" s="254" t="str">
        <f t="array" ref="H215">IFERROR(INDEX('PORTIFÓLIO'!$H$4:$H$433,MATCH($C215,'PORTIFÓLIO'!$C$4:$C$433,0)),"")</f>
        <v/>
      </c>
      <c r="I215" s="256"/>
      <c r="J215" s="218">
        <f t="shared" si="24"/>
        <v>0</v>
      </c>
      <c r="K215" s="219" t="str">
        <f>IFERROR(I215* VLOOKUP($C215,'PORTIFÓLIO'!C:V,10,0),"")</f>
        <v/>
      </c>
      <c r="L215" s="219" t="str">
        <f>IFERROR(J215* VLOOKUP($C215,'PORTIFÓLIO'!C:V,10,0),"")</f>
        <v/>
      </c>
      <c r="M215" s="220"/>
      <c r="N215" s="220"/>
      <c r="O215" s="220"/>
      <c r="P215" s="220"/>
      <c r="Q215" s="220"/>
      <c r="R215" s="220"/>
      <c r="S215" s="220"/>
      <c r="T215" s="220"/>
      <c r="U215" s="220"/>
      <c r="V215" s="220"/>
      <c r="W215" s="220"/>
    </row>
    <row r="216" ht="15.75" customHeight="1" outlineLevel="1">
      <c r="A216" s="211"/>
      <c r="B216" s="227"/>
      <c r="C216" s="211"/>
      <c r="D216" s="214" t="str">
        <f>IFERROR(VLOOKUP($C216,'PORTIFÓLIO'!C:V,2,0),"")</f>
        <v/>
      </c>
      <c r="E216" s="211" t="str">
        <f>IFERROR(VLOOKUP($C216,'PORTIFÓLIO'!C:V,3,0),"")</f>
        <v/>
      </c>
      <c r="F216" s="211" t="str">
        <f>IFERROR(VLOOKUP($C216,'PORTIFÓLIO'!C:V,4,0),"")</f>
        <v/>
      </c>
      <c r="G216" s="215" t="str">
        <f>IFERROR(VLOOKUP($C216,'PORTIFÓLIO'!C:V,5,0),"")</f>
        <v/>
      </c>
      <c r="H216" s="254" t="str">
        <f t="array" ref="H216">IFERROR(INDEX('PORTIFÓLIO'!$H$4:$H$433,MATCH($C216,'PORTIFÓLIO'!$C$4:$C$433,0)),"")</f>
        <v/>
      </c>
      <c r="I216" s="256"/>
      <c r="J216" s="218">
        <f t="shared" si="24"/>
        <v>0</v>
      </c>
      <c r="K216" s="219" t="str">
        <f>IFERROR(I216* VLOOKUP($C216,'PORTIFÓLIO'!C:V,10,0),"")</f>
        <v/>
      </c>
      <c r="L216" s="219" t="str">
        <f>IFERROR(J216* VLOOKUP($C216,'PORTIFÓLIO'!C:V,10,0),"")</f>
        <v/>
      </c>
      <c r="M216" s="220"/>
      <c r="N216" s="220"/>
      <c r="O216" s="220"/>
      <c r="P216" s="220"/>
      <c r="Q216" s="220"/>
      <c r="R216" s="220"/>
      <c r="S216" s="220"/>
      <c r="T216" s="220"/>
      <c r="U216" s="220"/>
      <c r="V216" s="220"/>
      <c r="W216" s="220"/>
    </row>
    <row r="217" ht="15.75" customHeight="1" outlineLevel="1">
      <c r="A217" s="211"/>
      <c r="B217" s="227"/>
      <c r="C217" s="211"/>
      <c r="D217" s="214" t="str">
        <f>IFERROR(VLOOKUP($C217,'PORTIFÓLIO'!C:V,2,0),"")</f>
        <v/>
      </c>
      <c r="E217" s="211" t="str">
        <f>IFERROR(VLOOKUP($C217,'PORTIFÓLIO'!C:V,3,0),"")</f>
        <v/>
      </c>
      <c r="F217" s="211" t="str">
        <f>IFERROR(VLOOKUP($C217,'PORTIFÓLIO'!C:V,4,0),"")</f>
        <v/>
      </c>
      <c r="G217" s="215" t="str">
        <f>IFERROR(VLOOKUP($C217,'PORTIFÓLIO'!C:V,5,0),"")</f>
        <v/>
      </c>
      <c r="H217" s="254" t="str">
        <f t="array" ref="H217">IFERROR(INDEX('PORTIFÓLIO'!$H$4:$H$433,MATCH($C217,'PORTIFÓLIO'!$C$4:$C$433,0)),"")</f>
        <v/>
      </c>
      <c r="I217" s="256"/>
      <c r="J217" s="218">
        <f t="shared" si="24"/>
        <v>0</v>
      </c>
      <c r="K217" s="219" t="str">
        <f>IFERROR(I217* VLOOKUP($C217,'PORTIFÓLIO'!C:V,10,0),"")</f>
        <v/>
      </c>
      <c r="L217" s="219" t="str">
        <f>IFERROR(J217* VLOOKUP($C217,'PORTIFÓLIO'!C:V,10,0),"")</f>
        <v/>
      </c>
      <c r="M217" s="220"/>
      <c r="N217" s="220"/>
      <c r="O217" s="220"/>
      <c r="P217" s="220"/>
      <c r="Q217" s="220"/>
      <c r="R217" s="220"/>
      <c r="S217" s="220"/>
      <c r="T217" s="220"/>
      <c r="U217" s="220"/>
      <c r="V217" s="220"/>
      <c r="W217" s="220"/>
    </row>
    <row r="218" ht="15.75" customHeight="1" outlineLevel="1">
      <c r="A218" s="211"/>
      <c r="B218" s="227"/>
      <c r="C218" s="211"/>
      <c r="D218" s="214" t="str">
        <f>IFERROR(VLOOKUP($C218,'PORTIFÓLIO'!C:V,2,0),"")</f>
        <v/>
      </c>
      <c r="E218" s="211" t="str">
        <f>IFERROR(VLOOKUP($C218,'PORTIFÓLIO'!C:V,3,0),"")</f>
        <v/>
      </c>
      <c r="F218" s="211" t="str">
        <f>IFERROR(VLOOKUP($C218,'PORTIFÓLIO'!C:V,4,0),"")</f>
        <v/>
      </c>
      <c r="G218" s="215" t="str">
        <f>IFERROR(VLOOKUP($C218,'PORTIFÓLIO'!C:V,5,0),"")</f>
        <v/>
      </c>
      <c r="H218" s="254" t="str">
        <f t="array" ref="H218">IFERROR(INDEX('PORTIFÓLIO'!$H$4:$H$433,MATCH($C218,'PORTIFÓLIO'!$C$4:$C$433,0)),"")</f>
        <v/>
      </c>
      <c r="I218" s="256"/>
      <c r="J218" s="218">
        <f t="shared" si="24"/>
        <v>0</v>
      </c>
      <c r="K218" s="219" t="str">
        <f>IFERROR(I218* VLOOKUP($C218,'PORTIFÓLIO'!C:V,10,0),"")</f>
        <v/>
      </c>
      <c r="L218" s="219" t="str">
        <f>IFERROR(J218* VLOOKUP($C218,'PORTIFÓLIO'!C:V,10,0),"")</f>
        <v/>
      </c>
      <c r="M218" s="220"/>
      <c r="N218" s="220"/>
      <c r="O218" s="220"/>
      <c r="P218" s="220"/>
      <c r="Q218" s="220"/>
      <c r="R218" s="220"/>
      <c r="S218" s="220"/>
      <c r="T218" s="220"/>
      <c r="U218" s="220"/>
      <c r="V218" s="220"/>
      <c r="W218" s="220"/>
    </row>
    <row r="219" ht="15.75" customHeight="1" outlineLevel="1">
      <c r="A219" s="211"/>
      <c r="B219" s="227"/>
      <c r="C219" s="211"/>
      <c r="D219" s="214" t="str">
        <f>IFERROR(VLOOKUP($C219,'PORTIFÓLIO'!C:V,2,0),"")</f>
        <v/>
      </c>
      <c r="E219" s="211" t="str">
        <f>IFERROR(VLOOKUP($C219,'PORTIFÓLIO'!C:V,3,0),"")</f>
        <v/>
      </c>
      <c r="F219" s="211" t="str">
        <f>IFERROR(VLOOKUP($C219,'PORTIFÓLIO'!C:V,4,0),"")</f>
        <v/>
      </c>
      <c r="G219" s="215" t="str">
        <f>IFERROR(VLOOKUP($C219,'PORTIFÓLIO'!C:V,5,0),"")</f>
        <v/>
      </c>
      <c r="H219" s="254" t="str">
        <f t="array" ref="H219">IFERROR(INDEX('PORTIFÓLIO'!$H$4:$H$433,MATCH($C219,'PORTIFÓLIO'!$C$4:$C$433,0)),"")</f>
        <v/>
      </c>
      <c r="I219" s="256"/>
      <c r="J219" s="218">
        <f t="shared" si="24"/>
        <v>0</v>
      </c>
      <c r="K219" s="219" t="str">
        <f>IFERROR(I219* VLOOKUP($C219,'PORTIFÓLIO'!C:V,10,0),"")</f>
        <v/>
      </c>
      <c r="L219" s="219" t="str">
        <f>IFERROR(J219* VLOOKUP($C219,'PORTIFÓLIO'!C:V,10,0),"")</f>
        <v/>
      </c>
      <c r="M219" s="220"/>
      <c r="N219" s="220"/>
      <c r="O219" s="220"/>
      <c r="P219" s="220"/>
      <c r="Q219" s="220"/>
      <c r="R219" s="220"/>
      <c r="S219" s="220"/>
      <c r="T219" s="220"/>
      <c r="U219" s="220"/>
      <c r="V219" s="220"/>
      <c r="W219" s="220"/>
    </row>
    <row r="220" ht="15.75" customHeight="1" outlineLevel="1">
      <c r="A220" s="211"/>
      <c r="B220" s="227"/>
      <c r="C220" s="211"/>
      <c r="D220" s="214" t="str">
        <f>IFERROR(VLOOKUP($C220,'PORTIFÓLIO'!C:V,2,0),"")</f>
        <v/>
      </c>
      <c r="E220" s="211" t="str">
        <f>IFERROR(VLOOKUP($C220,'PORTIFÓLIO'!C:V,3,0),"")</f>
        <v/>
      </c>
      <c r="F220" s="211" t="str">
        <f>IFERROR(VLOOKUP($C220,'PORTIFÓLIO'!C:V,4,0),"")</f>
        <v/>
      </c>
      <c r="G220" s="215" t="str">
        <f>IFERROR(VLOOKUP($C220,'PORTIFÓLIO'!C:V,5,0),"")</f>
        <v/>
      </c>
      <c r="H220" s="254" t="str">
        <f t="array" ref="H220">IFERROR(INDEX('PORTIFÓLIO'!$H$4:$H$433,MATCH($C220,'PORTIFÓLIO'!$C$4:$C$433,0)),"")</f>
        <v/>
      </c>
      <c r="I220" s="256"/>
      <c r="J220" s="218">
        <f t="shared" si="24"/>
        <v>0</v>
      </c>
      <c r="K220" s="219" t="str">
        <f>IFERROR(I220* VLOOKUP($C220,'PORTIFÓLIO'!C:V,10,0),"")</f>
        <v/>
      </c>
      <c r="L220" s="219" t="str">
        <f>IFERROR(J220* VLOOKUP($C220,'PORTIFÓLIO'!C:V,10,0),"")</f>
        <v/>
      </c>
      <c r="M220" s="220"/>
      <c r="N220" s="220"/>
      <c r="O220" s="220"/>
      <c r="P220" s="220"/>
      <c r="Q220" s="220"/>
      <c r="R220" s="220"/>
      <c r="S220" s="220"/>
      <c r="T220" s="220"/>
      <c r="U220" s="220"/>
      <c r="V220" s="220"/>
      <c r="W220" s="220"/>
    </row>
    <row r="221" ht="15.75" customHeight="1" outlineLevel="1">
      <c r="A221" s="211"/>
      <c r="B221" s="227"/>
      <c r="C221" s="211"/>
      <c r="D221" s="214" t="str">
        <f>IFERROR(VLOOKUP($C221,'PORTIFÓLIO'!C:V,2,0),"")</f>
        <v/>
      </c>
      <c r="E221" s="211" t="str">
        <f>IFERROR(VLOOKUP($C221,'PORTIFÓLIO'!C:V,3,0),"")</f>
        <v/>
      </c>
      <c r="F221" s="211" t="str">
        <f>IFERROR(VLOOKUP($C221,'PORTIFÓLIO'!C:V,4,0),"")</f>
        <v/>
      </c>
      <c r="G221" s="215" t="str">
        <f>IFERROR(VLOOKUP($C221,'PORTIFÓLIO'!C:V,5,0),"")</f>
        <v/>
      </c>
      <c r="H221" s="254" t="str">
        <f t="array" ref="H221">IFERROR(INDEX('PORTIFÓLIO'!$H$4:$H$433,MATCH($C221,'PORTIFÓLIO'!$C$4:$C$433,0)),"")</f>
        <v/>
      </c>
      <c r="I221" s="256"/>
      <c r="J221" s="218">
        <f t="shared" si="24"/>
        <v>0</v>
      </c>
      <c r="K221" s="219" t="str">
        <f>IFERROR(I221* VLOOKUP($C221,'PORTIFÓLIO'!C:V,10,0),"")</f>
        <v/>
      </c>
      <c r="L221" s="219" t="str">
        <f>IFERROR(J221* VLOOKUP($C221,'PORTIFÓLIO'!C:V,10,0),"")</f>
        <v/>
      </c>
      <c r="M221" s="220"/>
      <c r="N221" s="220"/>
      <c r="O221" s="220"/>
      <c r="P221" s="220"/>
      <c r="Q221" s="220"/>
      <c r="R221" s="220"/>
      <c r="S221" s="220"/>
      <c r="T221" s="220"/>
      <c r="U221" s="220"/>
      <c r="V221" s="220"/>
      <c r="W221" s="220"/>
    </row>
    <row r="222" ht="15.75" customHeight="1" outlineLevel="1">
      <c r="A222" s="211"/>
      <c r="B222" s="227"/>
      <c r="C222" s="211"/>
      <c r="D222" s="214" t="str">
        <f>IFERROR(VLOOKUP($C222,'PORTIFÓLIO'!C:V,2,0),"")</f>
        <v/>
      </c>
      <c r="E222" s="211" t="str">
        <f>IFERROR(VLOOKUP($C222,'PORTIFÓLIO'!C:V,3,0),"")</f>
        <v/>
      </c>
      <c r="F222" s="211" t="str">
        <f>IFERROR(VLOOKUP($C222,'PORTIFÓLIO'!C:V,4,0),"")</f>
        <v/>
      </c>
      <c r="G222" s="215" t="str">
        <f>IFERROR(VLOOKUP($C222,'PORTIFÓLIO'!C:V,5,0),"")</f>
        <v/>
      </c>
      <c r="H222" s="254" t="str">
        <f t="array" ref="H222">IFERROR(INDEX('PORTIFÓLIO'!$H$4:$H$433,MATCH($C222,'PORTIFÓLIO'!$C$4:$C$433,0)),"")</f>
        <v/>
      </c>
      <c r="I222" s="256"/>
      <c r="J222" s="218">
        <f t="shared" si="24"/>
        <v>0</v>
      </c>
      <c r="K222" s="219" t="str">
        <f>IFERROR(I222* VLOOKUP($C222,'PORTIFÓLIO'!C:V,10,0),"")</f>
        <v/>
      </c>
      <c r="L222" s="219" t="str">
        <f>IFERROR(J222* VLOOKUP($C222,'PORTIFÓLIO'!C:V,10,0),"")</f>
        <v/>
      </c>
      <c r="M222" s="220"/>
      <c r="N222" s="220"/>
      <c r="O222" s="220"/>
      <c r="P222" s="220"/>
      <c r="Q222" s="220"/>
      <c r="R222" s="220"/>
      <c r="S222" s="220"/>
      <c r="T222" s="220"/>
      <c r="U222" s="220"/>
      <c r="V222" s="220"/>
      <c r="W222" s="220"/>
    </row>
    <row r="223" ht="15.75" customHeight="1" outlineLevel="1">
      <c r="A223" s="211"/>
      <c r="B223" s="227"/>
      <c r="C223" s="211"/>
      <c r="D223" s="214" t="str">
        <f>IFERROR(VLOOKUP($C223,'PORTIFÓLIO'!C:V,2,0),"")</f>
        <v/>
      </c>
      <c r="E223" s="211" t="str">
        <f>IFERROR(VLOOKUP($C223,'PORTIFÓLIO'!C:V,3,0),"")</f>
        <v/>
      </c>
      <c r="F223" s="211" t="str">
        <f>IFERROR(VLOOKUP($C223,'PORTIFÓLIO'!C:V,4,0),"")</f>
        <v/>
      </c>
      <c r="G223" s="215" t="str">
        <f>IFERROR(VLOOKUP($C223,'PORTIFÓLIO'!C:V,5,0),"")</f>
        <v/>
      </c>
      <c r="H223" s="254" t="str">
        <f t="array" ref="H223">IFERROR(INDEX('PORTIFÓLIO'!$H$4:$H$433,MATCH($C223,'PORTIFÓLIO'!$C$4:$C$433,0)),"")</f>
        <v/>
      </c>
      <c r="I223" s="256"/>
      <c r="J223" s="218">
        <f t="shared" si="24"/>
        <v>0</v>
      </c>
      <c r="K223" s="219" t="str">
        <f>IFERROR(I223* VLOOKUP($C223,'PORTIFÓLIO'!C:V,10,0),"")</f>
        <v/>
      </c>
      <c r="L223" s="219" t="str">
        <f>IFERROR(J223* VLOOKUP($C223,'PORTIFÓLIO'!C:V,10,0),"")</f>
        <v/>
      </c>
      <c r="M223" s="220"/>
      <c r="N223" s="220"/>
      <c r="O223" s="220"/>
      <c r="P223" s="220"/>
      <c r="Q223" s="220"/>
      <c r="R223" s="220"/>
      <c r="S223" s="220"/>
      <c r="T223" s="220"/>
      <c r="U223" s="220"/>
      <c r="V223" s="220"/>
      <c r="W223" s="220"/>
    </row>
    <row r="224" ht="15.75" customHeight="1" outlineLevel="1">
      <c r="A224" s="211"/>
      <c r="B224" s="227"/>
      <c r="C224" s="211"/>
      <c r="D224" s="214" t="str">
        <f>IFERROR(VLOOKUP($C224,'PORTIFÓLIO'!C:V,2,0),"")</f>
        <v/>
      </c>
      <c r="E224" s="211" t="str">
        <f>IFERROR(VLOOKUP($C224,'PORTIFÓLIO'!C:V,3,0),"")</f>
        <v/>
      </c>
      <c r="F224" s="211" t="str">
        <f>IFERROR(VLOOKUP($C224,'PORTIFÓLIO'!C:V,4,0),"")</f>
        <v/>
      </c>
      <c r="G224" s="215" t="str">
        <f>IFERROR(VLOOKUP($C224,'PORTIFÓLIO'!C:V,5,0),"")</f>
        <v/>
      </c>
      <c r="H224" s="254" t="str">
        <f t="array" ref="H224">IFERROR(INDEX('PORTIFÓLIO'!$H$4:$H$433,MATCH($C224,'PORTIFÓLIO'!$C$4:$C$433,0)),"")</f>
        <v/>
      </c>
      <c r="I224" s="256"/>
      <c r="J224" s="218">
        <f t="shared" si="24"/>
        <v>0</v>
      </c>
      <c r="K224" s="219" t="str">
        <f>IFERROR(I224* VLOOKUP($C224,'PORTIFÓLIO'!C:V,10,0),"")</f>
        <v/>
      </c>
      <c r="L224" s="219" t="str">
        <f>IFERROR(J224* VLOOKUP($C224,'PORTIFÓLIO'!C:V,10,0),"")</f>
        <v/>
      </c>
      <c r="M224" s="220"/>
      <c r="N224" s="220"/>
      <c r="O224" s="220"/>
      <c r="P224" s="220"/>
      <c r="Q224" s="220"/>
      <c r="R224" s="220"/>
      <c r="S224" s="220"/>
      <c r="T224" s="220"/>
      <c r="U224" s="220"/>
      <c r="V224" s="220"/>
      <c r="W224" s="220"/>
    </row>
    <row r="225" ht="15.75" customHeight="1">
      <c r="A225" s="227"/>
      <c r="B225" s="227"/>
      <c r="C225" s="227"/>
      <c r="D225" s="227"/>
      <c r="E225" s="227"/>
      <c r="F225" s="227"/>
      <c r="G225" s="215"/>
      <c r="H225" s="278" t="str">
        <f t="array" ref="H225">IFERROR(INDEX('PORTIFÓLIO'!$H$4:$H$433,MATCH($C225,'PORTIFÓLIO'!$C$4:$C$433,0)),"")</f>
        <v/>
      </c>
      <c r="I225" s="227"/>
      <c r="J225" s="227"/>
      <c r="K225" s="284">
        <f t="shared" ref="K225:L225" si="25">SUBTOTAL(9,K10:K200)</f>
        <v>1740.578189</v>
      </c>
      <c r="L225" s="284">
        <f t="shared" si="25"/>
        <v>104434.6913</v>
      </c>
      <c r="M225" s="220"/>
      <c r="N225" s="220"/>
      <c r="O225" s="220"/>
      <c r="P225" s="220"/>
      <c r="Q225" s="220"/>
      <c r="R225" s="220"/>
      <c r="S225" s="220"/>
      <c r="T225" s="220"/>
      <c r="U225" s="220"/>
      <c r="V225" s="220"/>
      <c r="W225" s="220"/>
    </row>
    <row r="226" ht="15.75" customHeight="1">
      <c r="A226" s="285"/>
      <c r="B226" s="285"/>
      <c r="C226" s="285"/>
      <c r="D226" s="285"/>
      <c r="E226" s="285"/>
      <c r="F226" s="285"/>
      <c r="G226" s="286"/>
      <c r="H226" s="286"/>
      <c r="I226" s="285"/>
      <c r="J226" s="285"/>
      <c r="K226" s="285"/>
      <c r="L226" s="285"/>
      <c r="M226" s="285"/>
      <c r="N226" s="285"/>
      <c r="O226" s="285"/>
      <c r="P226" s="285"/>
      <c r="Q226" s="285"/>
      <c r="R226" s="285"/>
      <c r="S226" s="285"/>
      <c r="T226" s="285"/>
      <c r="U226" s="285"/>
      <c r="V226" s="285"/>
      <c r="W226" s="285"/>
    </row>
    <row r="227" ht="15.75" customHeight="1">
      <c r="A227" s="260" t="s">
        <v>1203</v>
      </c>
      <c r="B227" s="261" t="str">
        <f>'ÁREA PLANTIO'!B13</f>
        <v>P 01</v>
      </c>
      <c r="C227" s="262" t="s">
        <v>1166</v>
      </c>
      <c r="D227" s="263">
        <f>$K$452</f>
        <v>0</v>
      </c>
      <c r="E227" s="264"/>
      <c r="F227" s="265" t="s">
        <v>1167</v>
      </c>
      <c r="G227" s="266"/>
      <c r="H227" s="287" t="str">
        <f t="array" ref="H227">IFERROR(INDEX('PORTIFÓLIO'!$H$4:$H$433,MATCH($C227,'PORTIFÓLIO'!$C$4:$C$433,0)),"")</f>
        <v/>
      </c>
      <c r="I227" s="267"/>
      <c r="J227" s="267"/>
      <c r="K227" s="266"/>
      <c r="L227" s="220"/>
      <c r="M227" s="220"/>
      <c r="N227" s="220"/>
      <c r="O227" s="220"/>
      <c r="P227" s="220"/>
      <c r="Q227" s="220"/>
      <c r="R227" s="220"/>
      <c r="S227" s="220"/>
      <c r="T227" s="220"/>
      <c r="U227" s="220"/>
      <c r="V227" s="220"/>
      <c r="W227" s="220"/>
    </row>
    <row r="228" ht="15.75" customHeight="1">
      <c r="A228" s="260" t="s">
        <v>1168</v>
      </c>
      <c r="B228" s="268">
        <f>'ÁREA PLANTIO'!E13</f>
        <v>60</v>
      </c>
      <c r="C228" s="269" t="s">
        <v>1169</v>
      </c>
      <c r="D228" s="270" t="str">
        <f>'ÁREA PLANTIO'!I13</f>
        <v/>
      </c>
      <c r="E228" s="264"/>
      <c r="F228" s="264"/>
      <c r="G228" s="266"/>
      <c r="H228" s="287" t="str">
        <f t="array" ref="H228">IFERROR(INDEX('PORTIFÓLIO'!$H$4:$H$433,MATCH($C228,'PORTIFÓLIO'!$C$4:$C$433,0)),"")</f>
        <v/>
      </c>
      <c r="I228" s="267"/>
      <c r="J228" s="267"/>
      <c r="K228" s="266"/>
      <c r="L228" s="220"/>
      <c r="M228" s="220"/>
      <c r="N228" s="220"/>
      <c r="O228" s="220"/>
      <c r="P228" s="220"/>
      <c r="Q228" s="220"/>
      <c r="R228" s="220"/>
      <c r="S228" s="220"/>
      <c r="T228" s="220"/>
      <c r="U228" s="220"/>
      <c r="V228" s="220"/>
      <c r="W228" s="220"/>
    </row>
    <row r="229" ht="15.75" customHeight="1">
      <c r="A229" s="260" t="s">
        <v>1170</v>
      </c>
      <c r="B229" s="267" t="str">
        <f>'ÁREA PLANTIO'!H13</f>
        <v/>
      </c>
      <c r="C229" s="269" t="s">
        <v>1171</v>
      </c>
      <c r="D229" s="271" t="str">
        <f>D227/D228</f>
        <v>#DIV/0!</v>
      </c>
      <c r="E229" s="264"/>
      <c r="F229" s="264"/>
      <c r="G229" s="266"/>
      <c r="H229" s="287" t="str">
        <f t="array" ref="H229">IFERROR(INDEX('PORTIFÓLIO'!$H$4:$H$433,MATCH($C229,'PORTIFÓLIO'!$C$4:$C$433,0)),"")</f>
        <v/>
      </c>
      <c r="I229" s="267"/>
      <c r="J229" s="267"/>
      <c r="K229" s="266"/>
      <c r="L229" s="220"/>
      <c r="M229" s="220"/>
      <c r="N229" s="220"/>
      <c r="O229" s="220"/>
      <c r="P229" s="220"/>
      <c r="Q229" s="220"/>
      <c r="R229" s="220"/>
      <c r="S229" s="220"/>
      <c r="T229" s="220"/>
      <c r="U229" s="220"/>
      <c r="V229" s="220"/>
      <c r="W229" s="220"/>
    </row>
    <row r="230" ht="15.75" customHeight="1">
      <c r="A230" s="272" t="s">
        <v>1172</v>
      </c>
      <c r="B230" s="273">
        <v>45606.0</v>
      </c>
      <c r="C230" s="274"/>
      <c r="D230" s="275"/>
      <c r="E230" s="276"/>
      <c r="F230" s="264"/>
      <c r="G230" s="266"/>
      <c r="H230" s="287" t="str">
        <f t="array" ref="H230">IFERROR(INDEX('PORTIFÓLIO'!$H$4:$H$433,MATCH($C230,'PORTIFÓLIO'!$C$4:$C$433,0)),"")</f>
        <v/>
      </c>
      <c r="I230" s="267"/>
      <c r="J230" s="267"/>
      <c r="K230" s="266"/>
      <c r="L230" s="220"/>
      <c r="M230" s="220"/>
      <c r="N230" s="220"/>
      <c r="O230" s="220"/>
      <c r="P230" s="220"/>
      <c r="Q230" s="220"/>
      <c r="R230" s="220"/>
      <c r="S230" s="220"/>
      <c r="T230" s="220"/>
      <c r="U230" s="220"/>
      <c r="V230" s="220"/>
      <c r="W230" s="220"/>
    </row>
    <row r="231" ht="15.75" customHeight="1">
      <c r="E231" s="277"/>
      <c r="F231" s="264"/>
      <c r="G231" s="266"/>
      <c r="H231" s="287" t="str">
        <f t="array" ref="H231">IFERROR(INDEX('PORTIFÓLIO'!$H$4:$H$433,MATCH($C231,'PORTIFÓLIO'!$C$4:$C$433,0)),"")</f>
        <v/>
      </c>
      <c r="I231" s="267"/>
      <c r="J231" s="267"/>
      <c r="K231" s="266"/>
      <c r="L231" s="220"/>
      <c r="M231" s="220"/>
      <c r="N231" s="220"/>
      <c r="O231" s="220"/>
      <c r="P231" s="220"/>
      <c r="Q231" s="220"/>
      <c r="R231" s="220"/>
      <c r="S231" s="220"/>
      <c r="T231" s="220"/>
      <c r="U231" s="220"/>
      <c r="V231" s="220"/>
      <c r="W231" s="220"/>
    </row>
    <row r="232" ht="15.75" customHeight="1">
      <c r="A232" s="260"/>
      <c r="B232" s="267"/>
      <c r="C232" s="264"/>
      <c r="D232" s="264"/>
      <c r="E232" s="264"/>
      <c r="F232" s="264"/>
      <c r="G232" s="266"/>
      <c r="H232" s="287" t="str">
        <f t="array" ref="H232">IFERROR(INDEX('PORTIFÓLIO'!$H$4:$H$433,MATCH($C232,'PORTIFÓLIO'!$C$4:$C$433,0)),"")</f>
        <v/>
      </c>
      <c r="I232" s="267"/>
      <c r="J232" s="267"/>
      <c r="K232" s="266"/>
      <c r="L232" s="220"/>
      <c r="M232" s="220"/>
      <c r="N232" s="220"/>
      <c r="O232" s="220"/>
      <c r="P232" s="220"/>
      <c r="Q232" s="220"/>
      <c r="R232" s="220"/>
      <c r="S232" s="220"/>
      <c r="T232" s="220"/>
      <c r="U232" s="220"/>
      <c r="V232" s="220"/>
      <c r="W232" s="220"/>
    </row>
    <row r="233" ht="15.75" customHeight="1">
      <c r="A233" s="267"/>
      <c r="B233" s="267"/>
      <c r="C233" s="264"/>
      <c r="D233" s="264"/>
      <c r="E233" s="264"/>
      <c r="F233" s="264"/>
      <c r="G233" s="266"/>
      <c r="H233" s="287" t="str">
        <f t="array" ref="H233">IFERROR(INDEX('PORTIFÓLIO'!$H$4:$H$433,MATCH($C233,'PORTIFÓLIO'!$C$4:$C$433,0)),"")</f>
        <v/>
      </c>
      <c r="I233" s="267"/>
      <c r="J233" s="267"/>
      <c r="K233" s="266"/>
      <c r="L233" s="220"/>
      <c r="M233" s="220"/>
      <c r="N233" s="220"/>
      <c r="O233" s="220"/>
      <c r="P233" s="220"/>
      <c r="Q233" s="220"/>
      <c r="R233" s="220"/>
      <c r="S233" s="220"/>
      <c r="T233" s="220"/>
      <c r="U233" s="220"/>
      <c r="V233" s="220"/>
      <c r="W233" s="220"/>
    </row>
    <row r="234" ht="15.75" customHeight="1">
      <c r="A234" s="267"/>
      <c r="B234" s="267"/>
      <c r="C234" s="267"/>
      <c r="D234" s="267"/>
      <c r="E234" s="264"/>
      <c r="F234" s="264"/>
      <c r="G234" s="266"/>
      <c r="H234" s="287" t="str">
        <f t="array" ref="H234">IFERROR(INDEX('PORTIFÓLIO'!$H$4:$H$433,MATCH($C234,'PORTIFÓLIO'!$C$4:$C$433,0)),"")</f>
        <v/>
      </c>
      <c r="I234" s="267"/>
      <c r="J234" s="267"/>
      <c r="K234" s="266"/>
      <c r="L234" s="220"/>
      <c r="M234" s="220"/>
      <c r="N234" s="220"/>
      <c r="O234" s="220"/>
      <c r="P234" s="220"/>
      <c r="Q234" s="220"/>
      <c r="R234" s="220"/>
      <c r="S234" s="220"/>
      <c r="T234" s="220"/>
      <c r="U234" s="220"/>
      <c r="V234" s="220"/>
      <c r="W234" s="220"/>
    </row>
    <row r="235" ht="15.75" customHeight="1">
      <c r="A235" s="267"/>
      <c r="B235" s="267"/>
      <c r="C235" s="267"/>
      <c r="D235" s="267"/>
      <c r="E235" s="267"/>
      <c r="F235" s="267"/>
      <c r="G235" s="266"/>
      <c r="H235" s="287"/>
      <c r="I235" s="287"/>
      <c r="J235" s="288"/>
      <c r="K235" s="289"/>
      <c r="L235" s="290"/>
      <c r="M235" s="220"/>
      <c r="N235" s="220"/>
      <c r="O235" s="220"/>
      <c r="P235" s="220"/>
      <c r="Q235" s="220"/>
      <c r="R235" s="220"/>
      <c r="S235" s="220"/>
      <c r="T235" s="220"/>
      <c r="U235" s="220"/>
      <c r="V235" s="220"/>
      <c r="W235" s="220"/>
    </row>
    <row r="236" ht="15.75" customHeight="1">
      <c r="A236" s="211" t="s">
        <v>1173</v>
      </c>
      <c r="B236" s="213" t="s">
        <v>1174</v>
      </c>
      <c r="C236" s="213" t="s">
        <v>1175</v>
      </c>
      <c r="D236" s="211" t="s">
        <v>1176</v>
      </c>
      <c r="E236" s="211" t="s">
        <v>1177</v>
      </c>
      <c r="F236" s="211" t="s">
        <v>1178</v>
      </c>
      <c r="G236" s="291" t="s">
        <v>1180</v>
      </c>
      <c r="H236" s="278" t="s">
        <v>1179</v>
      </c>
      <c r="I236" s="278" t="s">
        <v>1181</v>
      </c>
      <c r="J236" s="279" t="s">
        <v>1134</v>
      </c>
      <c r="K236" s="280" t="s">
        <v>1182</v>
      </c>
      <c r="L236" s="281" t="s">
        <v>339</v>
      </c>
      <c r="M236" s="220"/>
      <c r="N236" s="220"/>
      <c r="O236" s="220"/>
      <c r="P236" s="220"/>
      <c r="Q236" s="220"/>
      <c r="R236" s="220"/>
      <c r="S236" s="220"/>
      <c r="T236" s="220"/>
      <c r="U236" s="220"/>
      <c r="V236" s="220"/>
      <c r="W236" s="220"/>
    </row>
    <row r="237" ht="15.75" customHeight="1">
      <c r="A237" s="231" t="s">
        <v>1183</v>
      </c>
      <c r="B237" s="230"/>
      <c r="C237" s="231"/>
      <c r="D237" s="232"/>
      <c r="E237" s="231"/>
      <c r="F237" s="231"/>
      <c r="G237" s="233"/>
      <c r="H237" s="233"/>
      <c r="I237" s="258"/>
      <c r="J237" s="236"/>
      <c r="K237" s="237">
        <f t="shared" ref="K237:L237" si="26">SUBTOTAL(9,K238:K251)</f>
        <v>0</v>
      </c>
      <c r="L237" s="237">
        <f t="shared" si="26"/>
        <v>0</v>
      </c>
      <c r="M237" s="220"/>
      <c r="N237" s="220"/>
      <c r="O237" s="220"/>
      <c r="P237" s="220"/>
      <c r="Q237" s="220"/>
      <c r="R237" s="220"/>
      <c r="S237" s="220"/>
      <c r="T237" s="220"/>
      <c r="U237" s="220"/>
      <c r="V237" s="220"/>
      <c r="W237" s="220"/>
    </row>
    <row r="238" ht="15.75" customHeight="1" outlineLevel="1">
      <c r="A238" s="211"/>
      <c r="B238" s="212"/>
      <c r="C238" s="213"/>
      <c r="D238" s="214" t="str">
        <f>IFERROR(VLOOKUP($C238,'PORTIFÓLIO'!C:V,2,0),"")</f>
        <v/>
      </c>
      <c r="E238" s="211" t="str">
        <f>IFERROR(VLOOKUP($C238,'PORTIFÓLIO'!C:V,3,0),"")</f>
        <v/>
      </c>
      <c r="F238" s="211" t="str">
        <f>IFERROR(VLOOKUP($C238,'PORTIFÓLIO'!C:V,4,0),"")</f>
        <v/>
      </c>
      <c r="G238" s="215" t="str">
        <f>IFERROR(VLOOKUP($C238,'PORTIFÓLIO'!C:V,5,0),"")</f>
        <v/>
      </c>
      <c r="H238" s="254" t="str">
        <f t="array" ref="H238">IFERROR(INDEX('PORTIFÓLIO'!$H$4:$H$433,MATCH($C238,'PORTIFÓLIO'!$C$4:$C$433,0)),"")</f>
        <v/>
      </c>
      <c r="I238" s="255"/>
      <c r="J238" s="218">
        <f t="shared" ref="J238:J251" si="27">I238*$B$2</f>
        <v>0</v>
      </c>
      <c r="K238" s="219" t="str">
        <f t="array" ref="K238">IFERROR(I238*INDEX('PORTIFÓLIO'!$S$4:$S$433,MATCH($C238,'PORTIFÓLIO'!$C$4:$C$433,0)),"")</f>
        <v/>
      </c>
      <c r="L238" s="219" t="str">
        <f t="array" ref="L238">IFERROR(J238*INDEX('PORTIFÓLIO'!$S$4:$S$433,MATCH($C238,'PORTIFÓLIO'!$C$4:$C$433,0)),"")</f>
        <v/>
      </c>
      <c r="M238" s="220"/>
      <c r="N238" s="220"/>
      <c r="O238" s="220"/>
      <c r="P238" s="220"/>
      <c r="Q238" s="220"/>
      <c r="R238" s="220"/>
      <c r="S238" s="220"/>
      <c r="T238" s="220"/>
      <c r="U238" s="220"/>
      <c r="V238" s="220"/>
      <c r="W238" s="220"/>
    </row>
    <row r="239" ht="15.75" customHeight="1" outlineLevel="1">
      <c r="A239" s="211"/>
      <c r="B239" s="212"/>
      <c r="C239" s="213"/>
      <c r="D239" s="214" t="str">
        <f>IFERROR(VLOOKUP($C239,'PORTIFÓLIO'!C:V,2,0),"")</f>
        <v/>
      </c>
      <c r="E239" s="211" t="str">
        <f>IFERROR(VLOOKUP($C239,'PORTIFÓLIO'!C:V,3,0),"")</f>
        <v/>
      </c>
      <c r="F239" s="211" t="str">
        <f>IFERROR(VLOOKUP($C239,'PORTIFÓLIO'!C:V,4,0),"")</f>
        <v/>
      </c>
      <c r="G239" s="215" t="str">
        <f>IFERROR(VLOOKUP($C239,'PORTIFÓLIO'!C:V,5,0),"")</f>
        <v/>
      </c>
      <c r="H239" s="254" t="str">
        <f t="array" ref="H239">IFERROR(INDEX('PORTIFÓLIO'!$H$4:$H$433,MATCH($C239,'PORTIFÓLIO'!$C$4:$C$433,0)),"")</f>
        <v/>
      </c>
      <c r="I239" s="255"/>
      <c r="J239" s="218">
        <f t="shared" si="27"/>
        <v>0</v>
      </c>
      <c r="K239" s="219" t="str">
        <f t="array" ref="K239">IFERROR(I239*INDEX('PORTIFÓLIO'!$S$4:$S$433,MATCH($C239,'PORTIFÓLIO'!$C$4:$C$433,0)),"")</f>
        <v/>
      </c>
      <c r="L239" s="219" t="str">
        <f t="array" ref="L239">IFERROR(J239*INDEX('PORTIFÓLIO'!$S$4:$S$433,MATCH($C239,'PORTIFÓLIO'!$C$4:$C$433,0)),"")</f>
        <v/>
      </c>
      <c r="M239" s="220"/>
      <c r="N239" s="220"/>
      <c r="O239" s="220"/>
      <c r="P239" s="220"/>
      <c r="Q239" s="220"/>
      <c r="R239" s="220"/>
      <c r="S239" s="220"/>
      <c r="T239" s="220"/>
      <c r="U239" s="220"/>
      <c r="V239" s="220"/>
      <c r="W239" s="220"/>
    </row>
    <row r="240" ht="15.75" customHeight="1" outlineLevel="1">
      <c r="A240" s="211"/>
      <c r="B240" s="212"/>
      <c r="C240" s="213"/>
      <c r="D240" s="214" t="str">
        <f>IFERROR(VLOOKUP($C240,'PORTIFÓLIO'!C:V,2,0),"")</f>
        <v/>
      </c>
      <c r="E240" s="211" t="str">
        <f>IFERROR(VLOOKUP($C240,'PORTIFÓLIO'!C:V,3,0),"")</f>
        <v/>
      </c>
      <c r="F240" s="211" t="str">
        <f>IFERROR(VLOOKUP($C240,'PORTIFÓLIO'!C:V,4,0),"")</f>
        <v/>
      </c>
      <c r="G240" s="215" t="str">
        <f>IFERROR(VLOOKUP($C240,'PORTIFÓLIO'!C:V,5,0),"")</f>
        <v/>
      </c>
      <c r="H240" s="254" t="str">
        <f t="array" ref="H240">IFERROR(INDEX('PORTIFÓLIO'!$H$4:$H$433,MATCH($C240,'PORTIFÓLIO'!$C$4:$C$433,0)),"")</f>
        <v/>
      </c>
      <c r="I240" s="256"/>
      <c r="J240" s="218">
        <f t="shared" si="27"/>
        <v>0</v>
      </c>
      <c r="K240" s="219" t="str">
        <f t="array" ref="K240">IFERROR(I240*INDEX('PORTIFÓLIO'!$S$4:$S$433,MATCH($C240,'PORTIFÓLIO'!$C$4:$C$433,0)),"")</f>
        <v/>
      </c>
      <c r="L240" s="219" t="str">
        <f t="array" ref="L240">IFERROR(J240*INDEX('PORTIFÓLIO'!$S$4:$S$433,MATCH($C240,'PORTIFÓLIO'!$C$4:$C$433,0)),"")</f>
        <v/>
      </c>
      <c r="M240" s="220"/>
      <c r="N240" s="220"/>
      <c r="O240" s="220"/>
      <c r="P240" s="220"/>
      <c r="Q240" s="220"/>
      <c r="R240" s="220"/>
      <c r="S240" s="220"/>
      <c r="T240" s="220"/>
      <c r="U240" s="220"/>
      <c r="V240" s="220"/>
      <c r="W240" s="220"/>
    </row>
    <row r="241" ht="15.75" customHeight="1" outlineLevel="1">
      <c r="A241" s="211"/>
      <c r="B241" s="212"/>
      <c r="C241" s="213"/>
      <c r="D241" s="214" t="str">
        <f>IFERROR(VLOOKUP($C241,'PORTIFÓLIO'!C:V,2,0),"")</f>
        <v/>
      </c>
      <c r="E241" s="211" t="str">
        <f>IFERROR(VLOOKUP($C241,'PORTIFÓLIO'!C:V,3,0),"")</f>
        <v/>
      </c>
      <c r="F241" s="211" t="str">
        <f>IFERROR(VLOOKUP($C241,'PORTIFÓLIO'!C:V,4,0),"")</f>
        <v/>
      </c>
      <c r="G241" s="215" t="str">
        <f>IFERROR(VLOOKUP($C241,'PORTIFÓLIO'!C:V,5,0),"")</f>
        <v/>
      </c>
      <c r="H241" s="254" t="str">
        <f t="array" ref="H241">IFERROR(INDEX('PORTIFÓLIO'!$H$4:$H$433,MATCH($C241,'PORTIFÓLIO'!$C$4:$C$433,0)),"")</f>
        <v/>
      </c>
      <c r="I241" s="256"/>
      <c r="J241" s="218">
        <f t="shared" si="27"/>
        <v>0</v>
      </c>
      <c r="K241" s="219" t="str">
        <f t="array" ref="K241">IFERROR(I241*INDEX('PORTIFÓLIO'!$S$4:$S$433,MATCH($C241,'PORTIFÓLIO'!$C$4:$C$433,0)),"")</f>
        <v/>
      </c>
      <c r="L241" s="219" t="str">
        <f t="array" ref="L241">IFERROR(J241*INDEX('PORTIFÓLIO'!$S$4:$S$433,MATCH($C241,'PORTIFÓLIO'!$C$4:$C$433,0)),"")</f>
        <v/>
      </c>
      <c r="M241" s="220"/>
      <c r="N241" s="220"/>
      <c r="O241" s="220"/>
      <c r="P241" s="220"/>
      <c r="Q241" s="220"/>
      <c r="R241" s="220"/>
      <c r="S241" s="220"/>
      <c r="T241" s="220"/>
      <c r="U241" s="220"/>
      <c r="V241" s="220"/>
      <c r="W241" s="220"/>
    </row>
    <row r="242" ht="15.75" customHeight="1" outlineLevel="1">
      <c r="A242" s="211"/>
      <c r="B242" s="212"/>
      <c r="C242" s="213"/>
      <c r="D242" s="214" t="str">
        <f>IFERROR(VLOOKUP($C242,'PORTIFÓLIO'!C:V,2,0),"")</f>
        <v/>
      </c>
      <c r="E242" s="211" t="str">
        <f>IFERROR(VLOOKUP($C242,'PORTIFÓLIO'!C:V,3,0),"")</f>
        <v/>
      </c>
      <c r="F242" s="211" t="str">
        <f>IFERROR(VLOOKUP($C242,'PORTIFÓLIO'!C:V,4,0),"")</f>
        <v/>
      </c>
      <c r="G242" s="215" t="str">
        <f>IFERROR(VLOOKUP($C242,'PORTIFÓLIO'!C:V,5,0),"")</f>
        <v/>
      </c>
      <c r="H242" s="254" t="str">
        <f t="array" ref="H242">IFERROR(INDEX('PORTIFÓLIO'!$H$4:$H$433,MATCH($C242,'PORTIFÓLIO'!$C$4:$C$433,0)),"")</f>
        <v/>
      </c>
      <c r="I242" s="255"/>
      <c r="J242" s="218">
        <f t="shared" si="27"/>
        <v>0</v>
      </c>
      <c r="K242" s="219" t="str">
        <f t="array" ref="K242">IFERROR(I242*INDEX('PORTIFÓLIO'!$S$4:$S$433,MATCH($C242,'PORTIFÓLIO'!$C$4:$C$433,0)),"")</f>
        <v/>
      </c>
      <c r="L242" s="219" t="str">
        <f t="array" ref="L242">IFERROR(J242*INDEX('PORTIFÓLIO'!$S$4:$S$433,MATCH($C242,'PORTIFÓLIO'!$C$4:$C$433,0)),"")</f>
        <v/>
      </c>
      <c r="M242" s="220"/>
      <c r="N242" s="220"/>
      <c r="O242" s="220"/>
      <c r="P242" s="220"/>
      <c r="Q242" s="220"/>
      <c r="R242" s="220"/>
      <c r="S242" s="220"/>
      <c r="T242" s="220"/>
      <c r="U242" s="220"/>
      <c r="V242" s="220"/>
      <c r="W242" s="220"/>
    </row>
    <row r="243" ht="15.75" customHeight="1" outlineLevel="1">
      <c r="A243" s="211"/>
      <c r="B243" s="212"/>
      <c r="C243" s="213"/>
      <c r="D243" s="214" t="str">
        <f>IFERROR(VLOOKUP($C243,'PORTIFÓLIO'!C:V,2,0),"")</f>
        <v/>
      </c>
      <c r="E243" s="211" t="str">
        <f>IFERROR(VLOOKUP($C243,'PORTIFÓLIO'!C:V,3,0),"")</f>
        <v/>
      </c>
      <c r="F243" s="211" t="str">
        <f>IFERROR(VLOOKUP($C243,'PORTIFÓLIO'!C:V,4,0),"")</f>
        <v/>
      </c>
      <c r="G243" s="215" t="str">
        <f>IFERROR(VLOOKUP($C243,'PORTIFÓLIO'!C:V,5,0),"")</f>
        <v/>
      </c>
      <c r="H243" s="254" t="str">
        <f t="array" ref="H243">IFERROR(INDEX('PORTIFÓLIO'!$H$4:$H$433,MATCH($C243,'PORTIFÓLIO'!$C$4:$C$433,0)),"")</f>
        <v/>
      </c>
      <c r="I243" s="256"/>
      <c r="J243" s="218">
        <f t="shared" si="27"/>
        <v>0</v>
      </c>
      <c r="K243" s="219" t="str">
        <f t="array" ref="K243">IFERROR(I243*INDEX('PORTIFÓLIO'!$S$4:$S$433,MATCH($C243,'PORTIFÓLIO'!$C$4:$C$433,0)),"")</f>
        <v/>
      </c>
      <c r="L243" s="219" t="str">
        <f t="array" ref="L243">IFERROR(J243*INDEX('PORTIFÓLIO'!$S$4:$S$433,MATCH($C243,'PORTIFÓLIO'!$C$4:$C$433,0)),"")</f>
        <v/>
      </c>
      <c r="M243" s="220"/>
      <c r="N243" s="220"/>
      <c r="O243" s="220"/>
      <c r="P243" s="220"/>
      <c r="Q243" s="220"/>
      <c r="R243" s="220"/>
      <c r="S243" s="220"/>
      <c r="T243" s="220"/>
      <c r="U243" s="220"/>
      <c r="V243" s="220"/>
      <c r="W243" s="220"/>
    </row>
    <row r="244" ht="15.75" customHeight="1" outlineLevel="1">
      <c r="A244" s="211"/>
      <c r="B244" s="212"/>
      <c r="C244" s="213"/>
      <c r="D244" s="214" t="str">
        <f>IFERROR(VLOOKUP($C244,'PORTIFÓLIO'!C:V,2,0),"")</f>
        <v/>
      </c>
      <c r="E244" s="211" t="str">
        <f>IFERROR(VLOOKUP($C244,'PORTIFÓLIO'!C:V,3,0),"")</f>
        <v/>
      </c>
      <c r="F244" s="211" t="str">
        <f>IFERROR(VLOOKUP($C244,'PORTIFÓLIO'!C:V,4,0),"")</f>
        <v/>
      </c>
      <c r="G244" s="215" t="str">
        <f>IFERROR(VLOOKUP($C244,'PORTIFÓLIO'!C:V,5,0),"")</f>
        <v/>
      </c>
      <c r="H244" s="254" t="str">
        <f t="array" ref="H244">IFERROR(INDEX('PORTIFÓLIO'!$H$4:$H$433,MATCH($C244,'PORTIFÓLIO'!$C$4:$C$433,0)),"")</f>
        <v/>
      </c>
      <c r="I244" s="256"/>
      <c r="J244" s="218">
        <f t="shared" si="27"/>
        <v>0</v>
      </c>
      <c r="K244" s="219" t="str">
        <f t="array" ref="K244">IFERROR(I244*INDEX('PORTIFÓLIO'!$S$4:$S$433,MATCH($C244,'PORTIFÓLIO'!$C$4:$C$433,0)),"")</f>
        <v/>
      </c>
      <c r="L244" s="219" t="str">
        <f t="array" ref="L244">IFERROR(J244*INDEX('PORTIFÓLIO'!$S$4:$S$433,MATCH($C244,'PORTIFÓLIO'!$C$4:$C$433,0)),"")</f>
        <v/>
      </c>
      <c r="M244" s="220"/>
      <c r="N244" s="220"/>
      <c r="O244" s="220"/>
      <c r="P244" s="220"/>
      <c r="Q244" s="220"/>
      <c r="R244" s="220"/>
      <c r="S244" s="220"/>
      <c r="T244" s="220"/>
      <c r="U244" s="220"/>
      <c r="V244" s="220"/>
      <c r="W244" s="220"/>
    </row>
    <row r="245" ht="15.75" customHeight="1" outlineLevel="1">
      <c r="A245" s="211"/>
      <c r="B245" s="212"/>
      <c r="C245" s="213"/>
      <c r="D245" s="214" t="str">
        <f>IFERROR(VLOOKUP($C245,'PORTIFÓLIO'!C:V,2,0),"")</f>
        <v/>
      </c>
      <c r="E245" s="211" t="str">
        <f>IFERROR(VLOOKUP($C245,'PORTIFÓLIO'!C:V,3,0),"")</f>
        <v/>
      </c>
      <c r="F245" s="211" t="str">
        <f>IFERROR(VLOOKUP($C245,'PORTIFÓLIO'!C:V,4,0),"")</f>
        <v/>
      </c>
      <c r="G245" s="215" t="str">
        <f>IFERROR(VLOOKUP($C245,'PORTIFÓLIO'!C:V,5,0),"")</f>
        <v/>
      </c>
      <c r="H245" s="254" t="str">
        <f t="array" ref="H245">IFERROR(INDEX('PORTIFÓLIO'!$H$4:$H$433,MATCH($C245,'PORTIFÓLIO'!$C$4:$C$433,0)),"")</f>
        <v/>
      </c>
      <c r="I245" s="256"/>
      <c r="J245" s="218">
        <f t="shared" si="27"/>
        <v>0</v>
      </c>
      <c r="K245" s="219" t="str">
        <f t="array" ref="K245">IFERROR(I245*INDEX('PORTIFÓLIO'!$S$4:$S$433,MATCH($C245,'PORTIFÓLIO'!$C$4:$C$433,0)),"")</f>
        <v/>
      </c>
      <c r="L245" s="219" t="str">
        <f t="array" ref="L245">IFERROR(J245*INDEX('PORTIFÓLIO'!$S$4:$S$433,MATCH($C245,'PORTIFÓLIO'!$C$4:$C$433,0)),"")</f>
        <v/>
      </c>
      <c r="M245" s="220"/>
      <c r="N245" s="220"/>
      <c r="O245" s="220"/>
      <c r="P245" s="220"/>
      <c r="Q245" s="220"/>
      <c r="R245" s="220"/>
      <c r="S245" s="220"/>
      <c r="T245" s="220"/>
      <c r="U245" s="220"/>
      <c r="V245" s="220"/>
      <c r="W245" s="220"/>
    </row>
    <row r="246" ht="15.75" customHeight="1" outlineLevel="1">
      <c r="A246" s="211"/>
      <c r="B246" s="212"/>
      <c r="C246" s="213"/>
      <c r="D246" s="214" t="str">
        <f>IFERROR(VLOOKUP($C246,'PORTIFÓLIO'!C:V,2,0),"")</f>
        <v/>
      </c>
      <c r="E246" s="211" t="str">
        <f>IFERROR(VLOOKUP($C246,'PORTIFÓLIO'!C:V,3,0),"")</f>
        <v/>
      </c>
      <c r="F246" s="211" t="str">
        <f>IFERROR(VLOOKUP($C246,'PORTIFÓLIO'!C:V,4,0),"")</f>
        <v/>
      </c>
      <c r="G246" s="215" t="str">
        <f>IFERROR(VLOOKUP($C246,'PORTIFÓLIO'!C:V,5,0),"")</f>
        <v/>
      </c>
      <c r="H246" s="254" t="str">
        <f t="array" ref="H246">IFERROR(INDEX('PORTIFÓLIO'!$H$4:$H$433,MATCH($C246,'PORTIFÓLIO'!$C$4:$C$433,0)),"")</f>
        <v/>
      </c>
      <c r="I246" s="255"/>
      <c r="J246" s="218">
        <f t="shared" si="27"/>
        <v>0</v>
      </c>
      <c r="K246" s="219" t="str">
        <f t="array" ref="K246">IFERROR(I246*INDEX('PORTIFÓLIO'!$S$4:$S$433,MATCH($C246,'PORTIFÓLIO'!$C$4:$C$433,0)),"")</f>
        <v/>
      </c>
      <c r="L246" s="219" t="str">
        <f t="array" ref="L246">IFERROR(J246*INDEX('PORTIFÓLIO'!$S$4:$S$433,MATCH($C246,'PORTIFÓLIO'!$C$4:$C$433,0)),"")</f>
        <v/>
      </c>
      <c r="M246" s="220"/>
      <c r="N246" s="220"/>
      <c r="O246" s="220"/>
      <c r="P246" s="220"/>
      <c r="Q246" s="220"/>
      <c r="R246" s="220"/>
      <c r="S246" s="220"/>
      <c r="T246" s="220"/>
      <c r="U246" s="220"/>
      <c r="V246" s="220"/>
      <c r="W246" s="220"/>
    </row>
    <row r="247" ht="15.75" customHeight="1" outlineLevel="1">
      <c r="A247" s="211"/>
      <c r="B247" s="212"/>
      <c r="C247" s="213"/>
      <c r="D247" s="214" t="str">
        <f>IFERROR(VLOOKUP($C247,'PORTIFÓLIO'!C:V,2,0),"")</f>
        <v/>
      </c>
      <c r="E247" s="211" t="str">
        <f>IFERROR(VLOOKUP($C247,'PORTIFÓLIO'!C:V,3,0),"")</f>
        <v/>
      </c>
      <c r="F247" s="211" t="str">
        <f>IFERROR(VLOOKUP($C247,'PORTIFÓLIO'!C:V,4,0),"")</f>
        <v/>
      </c>
      <c r="G247" s="215" t="str">
        <f>IFERROR(VLOOKUP($C247,'PORTIFÓLIO'!C:V,5,0),"")</f>
        <v/>
      </c>
      <c r="H247" s="254" t="str">
        <f t="array" ref="H247">IFERROR(INDEX('PORTIFÓLIO'!$H$4:$H$433,MATCH($C247,'PORTIFÓLIO'!$C$4:$C$433,0)),"")</f>
        <v/>
      </c>
      <c r="I247" s="255"/>
      <c r="J247" s="218">
        <f t="shared" si="27"/>
        <v>0</v>
      </c>
      <c r="K247" s="219" t="str">
        <f t="array" ref="K247">IFERROR(I247*INDEX('PORTIFÓLIO'!$S$4:$S$433,MATCH($C247,'PORTIFÓLIO'!$C$4:$C$433,0)),"")</f>
        <v/>
      </c>
      <c r="L247" s="219" t="str">
        <f t="array" ref="L247">IFERROR(J247*INDEX('PORTIFÓLIO'!$S$4:$S$433,MATCH($C247,'PORTIFÓLIO'!$C$4:$C$433,0)),"")</f>
        <v/>
      </c>
      <c r="M247" s="220"/>
      <c r="N247" s="220"/>
      <c r="O247" s="220"/>
      <c r="P247" s="220"/>
      <c r="Q247" s="220"/>
      <c r="R247" s="220"/>
      <c r="S247" s="220"/>
      <c r="T247" s="220"/>
      <c r="U247" s="220"/>
      <c r="V247" s="220"/>
      <c r="W247" s="220"/>
    </row>
    <row r="248" ht="15.75" customHeight="1" outlineLevel="1">
      <c r="A248" s="211"/>
      <c r="B248" s="212"/>
      <c r="C248" s="213"/>
      <c r="D248" s="214" t="str">
        <f>IFERROR(VLOOKUP($C248,'PORTIFÓLIO'!C:V,2,0),"")</f>
        <v/>
      </c>
      <c r="E248" s="211" t="str">
        <f>IFERROR(VLOOKUP($C248,'PORTIFÓLIO'!C:V,3,0),"")</f>
        <v/>
      </c>
      <c r="F248" s="211" t="str">
        <f>IFERROR(VLOOKUP($C248,'PORTIFÓLIO'!C:V,4,0),"")</f>
        <v/>
      </c>
      <c r="G248" s="215" t="str">
        <f>IFERROR(VLOOKUP($C248,'PORTIFÓLIO'!C:V,5,0),"")</f>
        <v/>
      </c>
      <c r="H248" s="254" t="str">
        <f t="array" ref="H248">IFERROR(INDEX('PORTIFÓLIO'!$H$4:$H$433,MATCH($C248,'PORTIFÓLIO'!$C$4:$C$433,0)),"")</f>
        <v/>
      </c>
      <c r="I248" s="255"/>
      <c r="J248" s="218">
        <f t="shared" si="27"/>
        <v>0</v>
      </c>
      <c r="K248" s="219" t="str">
        <f t="array" ref="K248">IFERROR(I248*INDEX('PORTIFÓLIO'!$S$4:$S$433,MATCH($C248,'PORTIFÓLIO'!$C$4:$C$433,0)),"")</f>
        <v/>
      </c>
      <c r="L248" s="219" t="str">
        <f t="array" ref="L248">IFERROR(J248*INDEX('PORTIFÓLIO'!$S$4:$S$433,MATCH($C248,'PORTIFÓLIO'!$C$4:$C$433,0)),"")</f>
        <v/>
      </c>
      <c r="M248" s="220"/>
      <c r="N248" s="220"/>
      <c r="O248" s="220"/>
      <c r="P248" s="220"/>
      <c r="Q248" s="220"/>
      <c r="R248" s="220"/>
      <c r="S248" s="220"/>
      <c r="T248" s="220"/>
      <c r="U248" s="220"/>
      <c r="V248" s="220"/>
      <c r="W248" s="220"/>
    </row>
    <row r="249" ht="15.75" customHeight="1" outlineLevel="1">
      <c r="A249" s="211"/>
      <c r="B249" s="212"/>
      <c r="C249" s="213"/>
      <c r="D249" s="214" t="str">
        <f>IFERROR(VLOOKUP($C249,'PORTIFÓLIO'!C:V,2,0),"")</f>
        <v/>
      </c>
      <c r="E249" s="211" t="str">
        <f>IFERROR(VLOOKUP($C249,'PORTIFÓLIO'!C:V,3,0),"")</f>
        <v/>
      </c>
      <c r="F249" s="211" t="str">
        <f>IFERROR(VLOOKUP($C249,'PORTIFÓLIO'!C:V,4,0),"")</f>
        <v/>
      </c>
      <c r="G249" s="215" t="str">
        <f>IFERROR(VLOOKUP($C249,'PORTIFÓLIO'!C:V,5,0),"")</f>
        <v/>
      </c>
      <c r="H249" s="254" t="str">
        <f t="array" ref="H249">IFERROR(INDEX('PORTIFÓLIO'!$H$4:$H$433,MATCH($C249,'PORTIFÓLIO'!$C$4:$C$433,0)),"")</f>
        <v/>
      </c>
      <c r="I249" s="255"/>
      <c r="J249" s="218">
        <f t="shared" si="27"/>
        <v>0</v>
      </c>
      <c r="K249" s="219" t="str">
        <f t="array" ref="K249">IFERROR(I249*INDEX('PORTIFÓLIO'!$S$4:$S$433,MATCH($C249,'PORTIFÓLIO'!$C$4:$C$433,0)),"")</f>
        <v/>
      </c>
      <c r="L249" s="219" t="str">
        <f t="array" ref="L249">IFERROR(J249*INDEX('PORTIFÓLIO'!$S$4:$S$433,MATCH($C249,'PORTIFÓLIO'!$C$4:$C$433,0)),"")</f>
        <v/>
      </c>
      <c r="M249" s="220"/>
      <c r="N249" s="220"/>
      <c r="O249" s="220"/>
      <c r="P249" s="220"/>
      <c r="Q249" s="220"/>
      <c r="R249" s="220"/>
      <c r="S249" s="220"/>
      <c r="T249" s="220"/>
      <c r="U249" s="220"/>
      <c r="V249" s="220"/>
      <c r="W249" s="220"/>
    </row>
    <row r="250" ht="15.75" customHeight="1" outlineLevel="1">
      <c r="A250" s="211"/>
      <c r="B250" s="212"/>
      <c r="C250" s="213"/>
      <c r="D250" s="214" t="str">
        <f>IFERROR(VLOOKUP($C250,'PORTIFÓLIO'!C:V,2,0),"")</f>
        <v/>
      </c>
      <c r="E250" s="211" t="str">
        <f>IFERROR(VLOOKUP($C250,'PORTIFÓLIO'!C:V,3,0),"")</f>
        <v/>
      </c>
      <c r="F250" s="211" t="str">
        <f>IFERROR(VLOOKUP($C250,'PORTIFÓLIO'!C:V,4,0),"")</f>
        <v/>
      </c>
      <c r="G250" s="215" t="str">
        <f>IFERROR(VLOOKUP($C250,'PORTIFÓLIO'!C:V,5,0),"")</f>
        <v/>
      </c>
      <c r="H250" s="254" t="str">
        <f t="array" ref="H250">IFERROR(INDEX('PORTIFÓLIO'!$H$4:$H$433,MATCH($C250,'PORTIFÓLIO'!$C$4:$C$433,0)),"")</f>
        <v/>
      </c>
      <c r="I250" s="255"/>
      <c r="J250" s="218">
        <f t="shared" si="27"/>
        <v>0</v>
      </c>
      <c r="K250" s="219" t="str">
        <f t="array" ref="K250">IFERROR(I250*INDEX('PORTIFÓLIO'!$S$4:$S$433,MATCH($C250,'PORTIFÓLIO'!$C$4:$C$433,0)),"")</f>
        <v/>
      </c>
      <c r="L250" s="219" t="str">
        <f t="array" ref="L250">IFERROR(J250*INDEX('PORTIFÓLIO'!$S$4:$S$433,MATCH($C250,'PORTIFÓLIO'!$C$4:$C$433,0)),"")</f>
        <v/>
      </c>
      <c r="M250" s="220"/>
      <c r="N250" s="220"/>
      <c r="O250" s="220"/>
      <c r="P250" s="220"/>
      <c r="Q250" s="220"/>
      <c r="R250" s="220"/>
      <c r="S250" s="220"/>
      <c r="T250" s="220"/>
      <c r="U250" s="220"/>
      <c r="V250" s="220"/>
      <c r="W250" s="220"/>
    </row>
    <row r="251" ht="15.75" customHeight="1" outlineLevel="1">
      <c r="A251" s="211"/>
      <c r="B251" s="212"/>
      <c r="C251" s="213"/>
      <c r="D251" s="214" t="str">
        <f>IFERROR(VLOOKUP($C251,'PORTIFÓLIO'!C:V,2,0),"")</f>
        <v/>
      </c>
      <c r="E251" s="211" t="str">
        <f>IFERROR(VLOOKUP($C251,'PORTIFÓLIO'!C:V,3,0),"")</f>
        <v/>
      </c>
      <c r="F251" s="211" t="str">
        <f>IFERROR(VLOOKUP($C251,'PORTIFÓLIO'!C:V,4,0),"")</f>
        <v/>
      </c>
      <c r="G251" s="215" t="str">
        <f>IFERROR(VLOOKUP($C251,'PORTIFÓLIO'!C:V,5,0),"")</f>
        <v/>
      </c>
      <c r="H251" s="254" t="str">
        <f t="array" ref="H251">IFERROR(INDEX('PORTIFÓLIO'!$H$4:$H$433,MATCH($C251,'PORTIFÓLIO'!$C$4:$C$433,0)),"")</f>
        <v/>
      </c>
      <c r="I251" s="255"/>
      <c r="J251" s="218">
        <f t="shared" si="27"/>
        <v>0</v>
      </c>
      <c r="K251" s="219" t="str">
        <f t="array" ref="K251">IFERROR(I251*INDEX('PORTIFÓLIO'!$S$4:$S$433,MATCH($C251,'PORTIFÓLIO'!$C$4:$C$433,0)),"")</f>
        <v/>
      </c>
      <c r="L251" s="219" t="str">
        <f t="array" ref="L251">IFERROR(J251*INDEX('PORTIFÓLIO'!$S$4:$S$433,MATCH($C251,'PORTIFÓLIO'!$C$4:$C$433,0)),"")</f>
        <v/>
      </c>
      <c r="M251" s="220"/>
      <c r="N251" s="220"/>
      <c r="O251" s="220"/>
      <c r="P251" s="220"/>
      <c r="Q251" s="220"/>
      <c r="R251" s="220"/>
      <c r="S251" s="220"/>
      <c r="T251" s="220"/>
      <c r="U251" s="220"/>
      <c r="V251" s="220"/>
      <c r="W251" s="220"/>
    </row>
    <row r="252" ht="15.75" customHeight="1">
      <c r="A252" s="229" t="s">
        <v>1184</v>
      </c>
      <c r="B252" s="230"/>
      <c r="C252" s="231"/>
      <c r="D252" s="232"/>
      <c r="E252" s="231"/>
      <c r="F252" s="231"/>
      <c r="G252" s="233"/>
      <c r="H252" s="233"/>
      <c r="I252" s="258"/>
      <c r="J252" s="236"/>
      <c r="K252" s="237">
        <f t="shared" ref="K252:L252" si="28">SUBTOTAL(9,K253:K266)</f>
        <v>0</v>
      </c>
      <c r="L252" s="237">
        <f t="shared" si="28"/>
        <v>0</v>
      </c>
      <c r="M252" s="220"/>
      <c r="N252" s="220"/>
      <c r="O252" s="220"/>
      <c r="P252" s="220"/>
      <c r="Q252" s="220"/>
      <c r="R252" s="220"/>
      <c r="S252" s="220"/>
      <c r="T252" s="220"/>
      <c r="U252" s="220"/>
      <c r="V252" s="220"/>
      <c r="W252" s="220"/>
    </row>
    <row r="253" ht="15.75" customHeight="1" outlineLevel="1">
      <c r="A253" s="213"/>
      <c r="B253" s="212"/>
      <c r="C253" s="213"/>
      <c r="D253" s="214" t="str">
        <f>IFERROR(VLOOKUP($C253,'PORTIFÓLIO'!C:V,2,0),"")</f>
        <v/>
      </c>
      <c r="E253" s="211" t="str">
        <f>IFERROR(VLOOKUP($C253,'PORTIFÓLIO'!C:V,3,0),"")</f>
        <v/>
      </c>
      <c r="F253" s="211" t="str">
        <f>IFERROR(VLOOKUP($C253,'PORTIFÓLIO'!C:V,4,0),"")</f>
        <v/>
      </c>
      <c r="G253" s="215" t="str">
        <f>IFERROR(VLOOKUP($C253,'PORTIFÓLIO'!C:V,5,0),"")</f>
        <v/>
      </c>
      <c r="H253" s="254" t="str">
        <f t="array" ref="H253">IFERROR(INDEX('PORTIFÓLIO'!$H$4:$H$433,MATCH($C253,'PORTIFÓLIO'!$C$4:$C$433,0)),"")</f>
        <v/>
      </c>
      <c r="I253" s="255"/>
      <c r="J253" s="218">
        <f t="shared" ref="J253:J270" si="29">I253*$B$2</f>
        <v>0</v>
      </c>
      <c r="K253" s="292" t="str">
        <f t="array" ref="K253">IFERROR(I253*INDEX('PORTIFÓLIO'!$S$4:$S$433,MATCH($C253,'PORTIFÓLIO'!$C$4:$C$433,0)),"")</f>
        <v/>
      </c>
      <c r="L253" s="292" t="str">
        <f t="array" ref="L253">IFERROR(J253*INDEX('PORTIFÓLIO'!$S$4:$S$433,MATCH($C253,'PORTIFÓLIO'!$C$4:$C$433,0)),"")</f>
        <v/>
      </c>
      <c r="M253" s="220"/>
      <c r="N253" s="220"/>
      <c r="O253" s="220"/>
      <c r="P253" s="220"/>
      <c r="Q253" s="220"/>
      <c r="R253" s="220"/>
      <c r="S253" s="220"/>
      <c r="T253" s="220"/>
      <c r="U253" s="220"/>
      <c r="V253" s="220"/>
      <c r="W253" s="220"/>
    </row>
    <row r="254" ht="15.75" customHeight="1" outlineLevel="1">
      <c r="A254" s="211"/>
      <c r="B254" s="212"/>
      <c r="C254" s="213"/>
      <c r="D254" s="214" t="str">
        <f>IFERROR(VLOOKUP($C254,'PORTIFÓLIO'!C:V,2,0),"")</f>
        <v/>
      </c>
      <c r="E254" s="211" t="str">
        <f>IFERROR(VLOOKUP($C254,'PORTIFÓLIO'!C:V,3,0),"")</f>
        <v/>
      </c>
      <c r="F254" s="211" t="str">
        <f>IFERROR(VLOOKUP($C254,'PORTIFÓLIO'!C:V,4,0),"")</f>
        <v/>
      </c>
      <c r="G254" s="215" t="str">
        <f>IFERROR(VLOOKUP($C254,'PORTIFÓLIO'!C:V,5,0),"")</f>
        <v/>
      </c>
      <c r="H254" s="254" t="str">
        <f t="array" ref="H254">IFERROR(INDEX('PORTIFÓLIO'!$H$4:$H$433,MATCH($C254,'PORTIFÓLIO'!$C$4:$C$433,0)),"")</f>
        <v/>
      </c>
      <c r="I254" s="255"/>
      <c r="J254" s="218">
        <f t="shared" si="29"/>
        <v>0</v>
      </c>
      <c r="K254" s="292" t="str">
        <f t="array" ref="K254">IFERROR(I254*INDEX('PORTIFÓLIO'!$S$4:$S$433,MATCH($C254,'PORTIFÓLIO'!$C$4:$C$433,0)),"")</f>
        <v/>
      </c>
      <c r="L254" s="292" t="str">
        <f t="array" ref="L254">IFERROR(J254*INDEX('PORTIFÓLIO'!$S$4:$S$433,MATCH($C254,'PORTIFÓLIO'!$C$4:$C$433,0)),"")</f>
        <v/>
      </c>
      <c r="M254" s="220"/>
      <c r="N254" s="220"/>
      <c r="O254" s="220"/>
      <c r="P254" s="220"/>
      <c r="Q254" s="220"/>
      <c r="R254" s="220"/>
      <c r="S254" s="220"/>
      <c r="T254" s="220"/>
      <c r="U254" s="220"/>
      <c r="V254" s="220"/>
      <c r="W254" s="220"/>
    </row>
    <row r="255" ht="15.75" customHeight="1" outlineLevel="1">
      <c r="A255" s="211"/>
      <c r="B255" s="212"/>
      <c r="C255" s="213"/>
      <c r="D255" s="214" t="str">
        <f>IFERROR(VLOOKUP($C255,'PORTIFÓLIO'!C:V,2,0),"")</f>
        <v/>
      </c>
      <c r="E255" s="211" t="str">
        <f>IFERROR(VLOOKUP($C255,'PORTIFÓLIO'!C:V,3,0),"")</f>
        <v/>
      </c>
      <c r="F255" s="211" t="str">
        <f>IFERROR(VLOOKUP($C255,'PORTIFÓLIO'!C:V,4,0),"")</f>
        <v/>
      </c>
      <c r="G255" s="215" t="str">
        <f>IFERROR(VLOOKUP($C255,'PORTIFÓLIO'!C:V,5,0),"")</f>
        <v/>
      </c>
      <c r="H255" s="254" t="str">
        <f t="array" ref="H255">IFERROR(INDEX('PORTIFÓLIO'!$H$4:$H$433,MATCH($C255,'PORTIFÓLIO'!$C$4:$C$433,0)),"")</f>
        <v/>
      </c>
      <c r="I255" s="256"/>
      <c r="J255" s="218">
        <f t="shared" si="29"/>
        <v>0</v>
      </c>
      <c r="K255" s="292" t="str">
        <f t="array" ref="K255">IFERROR(I255*INDEX('PORTIFÓLIO'!$S$4:$S$433,MATCH($C255,'PORTIFÓLIO'!$C$4:$C$433,0)),"")</f>
        <v/>
      </c>
      <c r="L255" s="292" t="str">
        <f t="array" ref="L255">IFERROR(J255*INDEX('PORTIFÓLIO'!$S$4:$S$433,MATCH($C255,'PORTIFÓLIO'!$C$4:$C$433,0)),"")</f>
        <v/>
      </c>
      <c r="M255" s="220"/>
      <c r="N255" s="220"/>
      <c r="O255" s="220"/>
      <c r="P255" s="220"/>
      <c r="Q255" s="220"/>
      <c r="R255" s="220"/>
      <c r="S255" s="220"/>
      <c r="T255" s="220"/>
      <c r="U255" s="220"/>
      <c r="V255" s="220"/>
      <c r="W255" s="220"/>
    </row>
    <row r="256" ht="15.75" customHeight="1" outlineLevel="1">
      <c r="A256" s="211"/>
      <c r="B256" s="212"/>
      <c r="C256" s="213"/>
      <c r="D256" s="214" t="str">
        <f>IFERROR(VLOOKUP($C256,'PORTIFÓLIO'!C:V,2,0),"")</f>
        <v/>
      </c>
      <c r="E256" s="211" t="str">
        <f>IFERROR(VLOOKUP($C256,'PORTIFÓLIO'!C:V,3,0),"")</f>
        <v/>
      </c>
      <c r="F256" s="211" t="str">
        <f>IFERROR(VLOOKUP($C256,'PORTIFÓLIO'!C:V,4,0),"")</f>
        <v/>
      </c>
      <c r="G256" s="215" t="str">
        <f>IFERROR(VLOOKUP($C256,'PORTIFÓLIO'!C:V,5,0),"")</f>
        <v/>
      </c>
      <c r="H256" s="254" t="str">
        <f t="array" ref="H256">IFERROR(INDEX('PORTIFÓLIO'!$H$4:$H$433,MATCH($C256,'PORTIFÓLIO'!$C$4:$C$433,0)),"")</f>
        <v/>
      </c>
      <c r="I256" s="255"/>
      <c r="J256" s="218">
        <f t="shared" si="29"/>
        <v>0</v>
      </c>
      <c r="K256" s="292" t="str">
        <f t="array" ref="K256">IFERROR(I256*INDEX('PORTIFÓLIO'!$S$4:$S$433,MATCH($C256,'PORTIFÓLIO'!$C$4:$C$433,0)),"")</f>
        <v/>
      </c>
      <c r="L256" s="292" t="str">
        <f t="array" ref="L256">IFERROR(J256*INDEX('PORTIFÓLIO'!$S$4:$S$433,MATCH($C256,'PORTIFÓLIO'!$C$4:$C$433,0)),"")</f>
        <v/>
      </c>
      <c r="M256" s="220"/>
      <c r="N256" s="220"/>
      <c r="O256" s="220"/>
      <c r="P256" s="220"/>
      <c r="Q256" s="220"/>
      <c r="R256" s="220"/>
      <c r="S256" s="220"/>
      <c r="T256" s="220"/>
      <c r="U256" s="220"/>
      <c r="V256" s="220"/>
      <c r="W256" s="220"/>
    </row>
    <row r="257" ht="15.75" customHeight="1" outlineLevel="1">
      <c r="A257" s="211"/>
      <c r="B257" s="212"/>
      <c r="C257" s="213"/>
      <c r="D257" s="214" t="str">
        <f>IFERROR(VLOOKUP($C257,'PORTIFÓLIO'!C:V,2,0),"")</f>
        <v/>
      </c>
      <c r="E257" s="211" t="str">
        <f>IFERROR(VLOOKUP($C257,'PORTIFÓLIO'!C:V,3,0),"")</f>
        <v/>
      </c>
      <c r="F257" s="211" t="str">
        <f>IFERROR(VLOOKUP($C257,'PORTIFÓLIO'!C:V,4,0),"")</f>
        <v/>
      </c>
      <c r="G257" s="215" t="str">
        <f>IFERROR(VLOOKUP($C257,'PORTIFÓLIO'!C:V,5,0),"")</f>
        <v/>
      </c>
      <c r="H257" s="254" t="str">
        <f t="array" ref="H257">IFERROR(INDEX('PORTIFÓLIO'!$H$4:$H$433,MATCH($C257,'PORTIFÓLIO'!$C$4:$C$433,0)),"")</f>
        <v/>
      </c>
      <c r="I257" s="256"/>
      <c r="J257" s="218">
        <f t="shared" si="29"/>
        <v>0</v>
      </c>
      <c r="K257" s="292" t="str">
        <f t="array" ref="K257">IFERROR(I257*INDEX('PORTIFÓLIO'!$S$4:$S$433,MATCH($C257,'PORTIFÓLIO'!$C$4:$C$433,0)),"")</f>
        <v/>
      </c>
      <c r="L257" s="292" t="str">
        <f t="array" ref="L257">IFERROR(J257*INDEX('PORTIFÓLIO'!$S$4:$S$433,MATCH($C257,'PORTIFÓLIO'!$C$4:$C$433,0)),"")</f>
        <v/>
      </c>
      <c r="M257" s="220"/>
      <c r="N257" s="220"/>
      <c r="O257" s="220"/>
      <c r="P257" s="220"/>
      <c r="Q257" s="220"/>
      <c r="R257" s="220"/>
      <c r="S257" s="220"/>
      <c r="T257" s="220"/>
      <c r="U257" s="220"/>
      <c r="V257" s="220"/>
      <c r="W257" s="220"/>
    </row>
    <row r="258" ht="15.75" customHeight="1" outlineLevel="1">
      <c r="A258" s="211"/>
      <c r="B258" s="212"/>
      <c r="C258" s="213"/>
      <c r="D258" s="214" t="str">
        <f>IFERROR(VLOOKUP($C258,'PORTIFÓLIO'!C:V,2,0),"")</f>
        <v/>
      </c>
      <c r="E258" s="211" t="str">
        <f>IFERROR(VLOOKUP($C258,'PORTIFÓLIO'!C:V,3,0),"")</f>
        <v/>
      </c>
      <c r="F258" s="211" t="str">
        <f>IFERROR(VLOOKUP($C258,'PORTIFÓLIO'!C:V,4,0),"")</f>
        <v/>
      </c>
      <c r="G258" s="215" t="str">
        <f>IFERROR(VLOOKUP($C258,'PORTIFÓLIO'!C:V,5,0),"")</f>
        <v/>
      </c>
      <c r="H258" s="254" t="str">
        <f t="array" ref="H258">IFERROR(INDEX('PORTIFÓLIO'!$H$4:$H$433,MATCH($C258,'PORTIFÓLIO'!$C$4:$C$433,0)),"")</f>
        <v/>
      </c>
      <c r="I258" s="256"/>
      <c r="J258" s="218">
        <f t="shared" si="29"/>
        <v>0</v>
      </c>
      <c r="K258" s="292" t="str">
        <f t="array" ref="K258">IFERROR(I258*INDEX('PORTIFÓLIO'!$S$4:$S$433,MATCH($C258,'PORTIFÓLIO'!$C$4:$C$433,0)),"")</f>
        <v/>
      </c>
      <c r="L258" s="292" t="str">
        <f t="array" ref="L258">IFERROR(J258*INDEX('PORTIFÓLIO'!$S$4:$S$433,MATCH($C258,'PORTIFÓLIO'!$C$4:$C$433,0)),"")</f>
        <v/>
      </c>
      <c r="M258" s="220"/>
      <c r="N258" s="220"/>
      <c r="O258" s="220"/>
      <c r="P258" s="220"/>
      <c r="Q258" s="220"/>
      <c r="R258" s="220"/>
      <c r="S258" s="220"/>
      <c r="T258" s="220"/>
      <c r="U258" s="220"/>
      <c r="V258" s="220"/>
      <c r="W258" s="220"/>
    </row>
    <row r="259" ht="15.75" customHeight="1" outlineLevel="1">
      <c r="A259" s="211"/>
      <c r="B259" s="212"/>
      <c r="C259" s="213"/>
      <c r="D259" s="214" t="str">
        <f>IFERROR(VLOOKUP($C259,'PORTIFÓLIO'!C:V,2,0),"")</f>
        <v/>
      </c>
      <c r="E259" s="211" t="str">
        <f>IFERROR(VLOOKUP($C259,'PORTIFÓLIO'!C:V,3,0),"")</f>
        <v/>
      </c>
      <c r="F259" s="211" t="str">
        <f>IFERROR(VLOOKUP($C259,'PORTIFÓLIO'!C:V,4,0),"")</f>
        <v/>
      </c>
      <c r="G259" s="215" t="str">
        <f>IFERROR(VLOOKUP($C259,'PORTIFÓLIO'!C:V,5,0),"")</f>
        <v/>
      </c>
      <c r="H259" s="254" t="str">
        <f t="array" ref="H259">IFERROR(INDEX('PORTIFÓLIO'!$H$4:$H$433,MATCH($C259,'PORTIFÓLIO'!$C$4:$C$433,0)),"")</f>
        <v/>
      </c>
      <c r="I259" s="256"/>
      <c r="J259" s="218">
        <f t="shared" si="29"/>
        <v>0</v>
      </c>
      <c r="K259" s="292" t="str">
        <f t="array" ref="K259">IFERROR(I259*INDEX('PORTIFÓLIO'!$S$4:$S$433,MATCH($C259,'PORTIFÓLIO'!$C$4:$C$433,0)),"")</f>
        <v/>
      </c>
      <c r="L259" s="292" t="str">
        <f t="array" ref="L259">IFERROR(J259*INDEX('PORTIFÓLIO'!$S$4:$S$433,MATCH($C259,'PORTIFÓLIO'!$C$4:$C$433,0)),"")</f>
        <v/>
      </c>
      <c r="M259" s="220"/>
      <c r="N259" s="220"/>
      <c r="O259" s="220"/>
      <c r="P259" s="220"/>
      <c r="Q259" s="220"/>
      <c r="R259" s="220"/>
      <c r="S259" s="220"/>
      <c r="T259" s="220"/>
      <c r="U259" s="220"/>
      <c r="V259" s="220"/>
      <c r="W259" s="220"/>
    </row>
    <row r="260" ht="15.75" customHeight="1" outlineLevel="1">
      <c r="A260" s="211"/>
      <c r="B260" s="212"/>
      <c r="C260" s="213"/>
      <c r="D260" s="214" t="str">
        <f>IFERROR(VLOOKUP($C260,'PORTIFÓLIO'!C:V,2,0),"")</f>
        <v/>
      </c>
      <c r="E260" s="211" t="str">
        <f>IFERROR(VLOOKUP($C260,'PORTIFÓLIO'!C:V,3,0),"")</f>
        <v/>
      </c>
      <c r="F260" s="211" t="str">
        <f>IFERROR(VLOOKUP($C260,'PORTIFÓLIO'!C:V,4,0),"")</f>
        <v/>
      </c>
      <c r="G260" s="215" t="str">
        <f>IFERROR(VLOOKUP($C260,'PORTIFÓLIO'!C:V,5,0),"")</f>
        <v/>
      </c>
      <c r="H260" s="254" t="str">
        <f t="array" ref="H260">IFERROR(INDEX('PORTIFÓLIO'!$H$4:$H$433,MATCH($C260,'PORTIFÓLIO'!$C$4:$C$433,0)),"")</f>
        <v/>
      </c>
      <c r="I260" s="256"/>
      <c r="J260" s="218">
        <f t="shared" si="29"/>
        <v>0</v>
      </c>
      <c r="K260" s="292" t="str">
        <f t="array" ref="K260">IFERROR(I260*INDEX('PORTIFÓLIO'!$S$4:$S$433,MATCH($C260,'PORTIFÓLIO'!$C$4:$C$433,0)),"")</f>
        <v/>
      </c>
      <c r="L260" s="292" t="str">
        <f t="array" ref="L260">IFERROR(J260*INDEX('PORTIFÓLIO'!$S$4:$S$433,MATCH($C260,'PORTIFÓLIO'!$C$4:$C$433,0)),"")</f>
        <v/>
      </c>
      <c r="M260" s="220"/>
      <c r="N260" s="220"/>
      <c r="O260" s="220"/>
      <c r="P260" s="220"/>
      <c r="Q260" s="220"/>
      <c r="R260" s="220"/>
      <c r="S260" s="220"/>
      <c r="T260" s="220"/>
      <c r="U260" s="220"/>
      <c r="V260" s="220"/>
      <c r="W260" s="220"/>
    </row>
    <row r="261" ht="15.75" customHeight="1" outlineLevel="1">
      <c r="A261" s="211"/>
      <c r="B261" s="212"/>
      <c r="C261" s="213"/>
      <c r="D261" s="214" t="str">
        <f>IFERROR(VLOOKUP($C261,'PORTIFÓLIO'!C:V,2,0),"")</f>
        <v/>
      </c>
      <c r="E261" s="211" t="str">
        <f>IFERROR(VLOOKUP($C261,'PORTIFÓLIO'!C:V,3,0),"")</f>
        <v/>
      </c>
      <c r="F261" s="211" t="str">
        <f>IFERROR(VLOOKUP($C261,'PORTIFÓLIO'!C:V,4,0),"")</f>
        <v/>
      </c>
      <c r="G261" s="215" t="str">
        <f>IFERROR(VLOOKUP($C261,'PORTIFÓLIO'!C:V,5,0),"")</f>
        <v/>
      </c>
      <c r="H261" s="254" t="str">
        <f t="array" ref="H261">IFERROR(INDEX('PORTIFÓLIO'!$H$4:$H$433,MATCH($C261,'PORTIFÓLIO'!$C$4:$C$433,0)),"")</f>
        <v/>
      </c>
      <c r="I261" s="255"/>
      <c r="J261" s="218">
        <f t="shared" si="29"/>
        <v>0</v>
      </c>
      <c r="K261" s="292" t="str">
        <f t="array" ref="K261">IFERROR(I261*INDEX('PORTIFÓLIO'!$S$4:$S$433,MATCH($C261,'PORTIFÓLIO'!$C$4:$C$433,0)),"")</f>
        <v/>
      </c>
      <c r="L261" s="292" t="str">
        <f t="array" ref="L261">IFERROR(J261*INDEX('PORTIFÓLIO'!$S$4:$S$433,MATCH($C261,'PORTIFÓLIO'!$C$4:$C$433,0)),"")</f>
        <v/>
      </c>
      <c r="M261" s="220"/>
      <c r="N261" s="220"/>
      <c r="O261" s="220"/>
      <c r="P261" s="220"/>
      <c r="Q261" s="220"/>
      <c r="R261" s="220"/>
      <c r="S261" s="220"/>
      <c r="T261" s="220"/>
      <c r="U261" s="220"/>
      <c r="V261" s="220"/>
      <c r="W261" s="220"/>
    </row>
    <row r="262" ht="15.75" customHeight="1" outlineLevel="1">
      <c r="A262" s="211"/>
      <c r="B262" s="212"/>
      <c r="C262" s="213"/>
      <c r="D262" s="214" t="str">
        <f>IFERROR(VLOOKUP($C262,'PORTIFÓLIO'!C:V,2,0),"")</f>
        <v/>
      </c>
      <c r="E262" s="211" t="str">
        <f>IFERROR(VLOOKUP($C262,'PORTIFÓLIO'!C:V,3,0),"")</f>
        <v/>
      </c>
      <c r="F262" s="211" t="str">
        <f>IFERROR(VLOOKUP($C262,'PORTIFÓLIO'!C:V,4,0),"")</f>
        <v/>
      </c>
      <c r="G262" s="215" t="str">
        <f>IFERROR(VLOOKUP($C262,'PORTIFÓLIO'!C:V,5,0),"")</f>
        <v/>
      </c>
      <c r="H262" s="254" t="str">
        <f t="array" ref="H262">IFERROR(INDEX('PORTIFÓLIO'!$H$4:$H$433,MATCH($C262,'PORTIFÓLIO'!$C$4:$C$433,0)),"")</f>
        <v/>
      </c>
      <c r="I262" s="256"/>
      <c r="J262" s="218">
        <f t="shared" si="29"/>
        <v>0</v>
      </c>
      <c r="K262" s="292" t="str">
        <f t="array" ref="K262">IFERROR(I262*INDEX('PORTIFÓLIO'!$S$4:$S$433,MATCH($C262,'PORTIFÓLIO'!$C$4:$C$433,0)),"")</f>
        <v/>
      </c>
      <c r="L262" s="292" t="str">
        <f t="array" ref="L262">IFERROR(J262*INDEX('PORTIFÓLIO'!$S$4:$S$433,MATCH($C262,'PORTIFÓLIO'!$C$4:$C$433,0)),"")</f>
        <v/>
      </c>
      <c r="M262" s="220"/>
      <c r="N262" s="220"/>
      <c r="O262" s="220"/>
      <c r="P262" s="220"/>
      <c r="Q262" s="220"/>
      <c r="R262" s="220"/>
      <c r="S262" s="220"/>
      <c r="T262" s="220"/>
      <c r="U262" s="220"/>
      <c r="V262" s="220"/>
      <c r="W262" s="220"/>
    </row>
    <row r="263" ht="15.75" customHeight="1" outlineLevel="1">
      <c r="A263" s="211"/>
      <c r="B263" s="212"/>
      <c r="C263" s="213"/>
      <c r="D263" s="214" t="str">
        <f>IFERROR(VLOOKUP($C263,'PORTIFÓLIO'!C:V,2,0),"")</f>
        <v/>
      </c>
      <c r="E263" s="211" t="str">
        <f>IFERROR(VLOOKUP($C263,'PORTIFÓLIO'!C:V,3,0),"")</f>
        <v/>
      </c>
      <c r="F263" s="211" t="str">
        <f>IFERROR(VLOOKUP($C263,'PORTIFÓLIO'!C:V,4,0),"")</f>
        <v/>
      </c>
      <c r="G263" s="215" t="str">
        <f>IFERROR(VLOOKUP($C263,'PORTIFÓLIO'!C:V,5,0),"")</f>
        <v/>
      </c>
      <c r="H263" s="254" t="str">
        <f t="array" ref="H263">IFERROR(INDEX('PORTIFÓLIO'!$H$4:$H$433,MATCH($C263,'PORTIFÓLIO'!$C$4:$C$433,0)),"")</f>
        <v/>
      </c>
      <c r="I263" s="256"/>
      <c r="J263" s="218">
        <f t="shared" si="29"/>
        <v>0</v>
      </c>
      <c r="K263" s="292" t="str">
        <f t="array" ref="K263">IFERROR(I263*INDEX('PORTIFÓLIO'!$S$4:$S$433,MATCH($C263,'PORTIFÓLIO'!$C$4:$C$433,0)),"")</f>
        <v/>
      </c>
      <c r="L263" s="292" t="str">
        <f t="array" ref="L263">IFERROR(J263*INDEX('PORTIFÓLIO'!$S$4:$S$433,MATCH($C263,'PORTIFÓLIO'!$C$4:$C$433,0)),"")</f>
        <v/>
      </c>
      <c r="M263" s="220"/>
      <c r="N263" s="220"/>
      <c r="O263" s="220"/>
      <c r="P263" s="220"/>
      <c r="Q263" s="220"/>
      <c r="R263" s="220"/>
      <c r="S263" s="220"/>
      <c r="T263" s="220"/>
      <c r="U263" s="220"/>
      <c r="V263" s="220"/>
      <c r="W263" s="220"/>
    </row>
    <row r="264" ht="15.75" customHeight="1" outlineLevel="1">
      <c r="A264" s="211"/>
      <c r="B264" s="212"/>
      <c r="C264" s="213"/>
      <c r="D264" s="214" t="str">
        <f>IFERROR(VLOOKUP($C264,'PORTIFÓLIO'!C:V,2,0),"")</f>
        <v/>
      </c>
      <c r="E264" s="211" t="str">
        <f>IFERROR(VLOOKUP($C264,'PORTIFÓLIO'!C:V,3,0),"")</f>
        <v/>
      </c>
      <c r="F264" s="211" t="str">
        <f>IFERROR(VLOOKUP($C264,'PORTIFÓLIO'!C:V,4,0),"")</f>
        <v/>
      </c>
      <c r="G264" s="215" t="str">
        <f>IFERROR(VLOOKUP($C264,'PORTIFÓLIO'!C:V,5,0),"")</f>
        <v/>
      </c>
      <c r="H264" s="254" t="str">
        <f t="array" ref="H264">IFERROR(INDEX('PORTIFÓLIO'!$H$4:$H$433,MATCH($C264,'PORTIFÓLIO'!$C$4:$C$433,0)),"")</f>
        <v/>
      </c>
      <c r="I264" s="256"/>
      <c r="J264" s="218">
        <f t="shared" si="29"/>
        <v>0</v>
      </c>
      <c r="K264" s="292" t="str">
        <f t="array" ref="K264">IFERROR(I264*INDEX('PORTIFÓLIO'!$S$4:$S$433,MATCH($C264,'PORTIFÓLIO'!$C$4:$C$433,0)),"")</f>
        <v/>
      </c>
      <c r="L264" s="292" t="str">
        <f t="array" ref="L264">IFERROR(J264*INDEX('PORTIFÓLIO'!$S$4:$S$433,MATCH($C264,'PORTIFÓLIO'!$C$4:$C$433,0)),"")</f>
        <v/>
      </c>
      <c r="M264" s="220"/>
      <c r="N264" s="220"/>
      <c r="O264" s="220"/>
      <c r="P264" s="220"/>
      <c r="Q264" s="220"/>
      <c r="R264" s="220"/>
      <c r="S264" s="220"/>
      <c r="T264" s="220"/>
      <c r="U264" s="220"/>
      <c r="V264" s="220"/>
      <c r="W264" s="220"/>
    </row>
    <row r="265" ht="15.75" customHeight="1" outlineLevel="1">
      <c r="A265" s="211"/>
      <c r="B265" s="212"/>
      <c r="C265" s="213"/>
      <c r="D265" s="214" t="str">
        <f>IFERROR(VLOOKUP($C265,'PORTIFÓLIO'!C:V,2,0),"")</f>
        <v/>
      </c>
      <c r="E265" s="211" t="str">
        <f>IFERROR(VLOOKUP($C265,'PORTIFÓLIO'!C:V,3,0),"")</f>
        <v/>
      </c>
      <c r="F265" s="211" t="str">
        <f>IFERROR(VLOOKUP($C265,'PORTIFÓLIO'!C:V,4,0),"")</f>
        <v/>
      </c>
      <c r="G265" s="215" t="str">
        <f>IFERROR(VLOOKUP($C265,'PORTIFÓLIO'!C:V,5,0),"")</f>
        <v/>
      </c>
      <c r="H265" s="254" t="str">
        <f t="array" ref="H265">IFERROR(INDEX('PORTIFÓLIO'!$H$4:$H$433,MATCH($C265,'PORTIFÓLIO'!$C$4:$C$433,0)),"")</f>
        <v/>
      </c>
      <c r="I265" s="256"/>
      <c r="J265" s="218">
        <f t="shared" si="29"/>
        <v>0</v>
      </c>
      <c r="K265" s="292" t="str">
        <f t="array" ref="K265">IFERROR(I265*INDEX('PORTIFÓLIO'!$S$4:$S$433,MATCH($C265,'PORTIFÓLIO'!$C$4:$C$433,0)),"")</f>
        <v/>
      </c>
      <c r="L265" s="292" t="str">
        <f t="array" ref="L265">IFERROR(J265*INDEX('PORTIFÓLIO'!$S$4:$S$433,MATCH($C265,'PORTIFÓLIO'!$C$4:$C$433,0)),"")</f>
        <v/>
      </c>
      <c r="M265" s="220"/>
      <c r="N265" s="220"/>
      <c r="O265" s="220"/>
      <c r="P265" s="220"/>
      <c r="Q265" s="220"/>
      <c r="R265" s="220"/>
      <c r="S265" s="220"/>
      <c r="T265" s="220"/>
      <c r="U265" s="220"/>
      <c r="V265" s="220"/>
      <c r="W265" s="220"/>
    </row>
    <row r="266" ht="15.75" customHeight="1" outlineLevel="1">
      <c r="A266" s="211"/>
      <c r="B266" s="212"/>
      <c r="C266" s="213"/>
      <c r="D266" s="214" t="str">
        <f>IFERROR(VLOOKUP($C266,'PORTIFÓLIO'!C:V,2,0),"")</f>
        <v/>
      </c>
      <c r="E266" s="211" t="str">
        <f>IFERROR(VLOOKUP($C266,'PORTIFÓLIO'!C:V,3,0),"")</f>
        <v/>
      </c>
      <c r="F266" s="211" t="str">
        <f>IFERROR(VLOOKUP($C266,'PORTIFÓLIO'!C:V,4,0),"")</f>
        <v/>
      </c>
      <c r="G266" s="215" t="str">
        <f>IFERROR(VLOOKUP($C266,'PORTIFÓLIO'!C:V,5,0),"")</f>
        <v/>
      </c>
      <c r="H266" s="254" t="str">
        <f t="array" ref="H266">IFERROR(INDEX('PORTIFÓLIO'!$H$4:$H$433,MATCH($C266,'PORTIFÓLIO'!$C$4:$C$433,0)),"")</f>
        <v/>
      </c>
      <c r="I266" s="256"/>
      <c r="J266" s="218">
        <f t="shared" si="29"/>
        <v>0</v>
      </c>
      <c r="K266" s="292" t="str">
        <f t="array" ref="K266">IFERROR(I266*INDEX('PORTIFÓLIO'!$S$4:$S$433,MATCH($C266,'PORTIFÓLIO'!$C$4:$C$433,0)),"")</f>
        <v/>
      </c>
      <c r="L266" s="292" t="str">
        <f t="array" ref="L266">IFERROR(J266*INDEX('PORTIFÓLIO'!$S$4:$S$433,MATCH($C266,'PORTIFÓLIO'!$C$4:$C$433,0)),"")</f>
        <v/>
      </c>
      <c r="M266" s="220"/>
      <c r="N266" s="220"/>
      <c r="O266" s="220"/>
      <c r="P266" s="220"/>
      <c r="Q266" s="220"/>
      <c r="R266" s="220"/>
      <c r="S266" s="220"/>
      <c r="T266" s="220"/>
      <c r="U266" s="220"/>
      <c r="V266" s="220"/>
      <c r="W266" s="220"/>
    </row>
    <row r="267" ht="15.75" customHeight="1" outlineLevel="1">
      <c r="A267" s="211"/>
      <c r="B267" s="212"/>
      <c r="C267" s="213"/>
      <c r="D267" s="214" t="str">
        <f>IFERROR(VLOOKUP($C267,'PORTIFÓLIO'!C:V,2,0),"")</f>
        <v/>
      </c>
      <c r="E267" s="211" t="str">
        <f>IFERROR(VLOOKUP($C267,'PORTIFÓLIO'!C:V,3,0),"")</f>
        <v/>
      </c>
      <c r="F267" s="211" t="str">
        <f>IFERROR(VLOOKUP($C267,'PORTIFÓLIO'!C:V,4,0),"")</f>
        <v/>
      </c>
      <c r="G267" s="215" t="str">
        <f>IFERROR(VLOOKUP($C267,'PORTIFÓLIO'!C:V,5,0),"")</f>
        <v/>
      </c>
      <c r="H267" s="254" t="str">
        <f t="array" ref="H267">IFERROR(INDEX('PORTIFÓLIO'!$H$4:$H$433,MATCH($C267,'PORTIFÓLIO'!$C$4:$C$433,0)),"")</f>
        <v/>
      </c>
      <c r="I267" s="256"/>
      <c r="J267" s="218">
        <f t="shared" si="29"/>
        <v>0</v>
      </c>
      <c r="K267" s="292" t="str">
        <f t="array" ref="K267">IFERROR(I267*INDEX('PORTIFÓLIO'!$S$4:$S$433,MATCH($C267,'PORTIFÓLIO'!$C$4:$C$433,0)),"")</f>
        <v/>
      </c>
      <c r="L267" s="292" t="str">
        <f t="array" ref="L267">IFERROR(J267*INDEX('PORTIFÓLIO'!$S$4:$S$433,MATCH($C267,'PORTIFÓLIO'!$C$4:$C$433,0)),"")</f>
        <v/>
      </c>
      <c r="M267" s="220"/>
      <c r="N267" s="220"/>
      <c r="O267" s="220"/>
      <c r="P267" s="220"/>
      <c r="Q267" s="220"/>
      <c r="R267" s="220"/>
      <c r="S267" s="220"/>
      <c r="T267" s="220"/>
      <c r="U267" s="220"/>
      <c r="V267" s="220"/>
      <c r="W267" s="220"/>
    </row>
    <row r="268" ht="15.75" customHeight="1" outlineLevel="1">
      <c r="A268" s="211"/>
      <c r="B268" s="212"/>
      <c r="C268" s="213"/>
      <c r="D268" s="214" t="str">
        <f>IFERROR(VLOOKUP($C268,'PORTIFÓLIO'!C:V,2,0),"")</f>
        <v/>
      </c>
      <c r="E268" s="211" t="str">
        <f>IFERROR(VLOOKUP($C268,'PORTIFÓLIO'!C:V,3,0),"")</f>
        <v/>
      </c>
      <c r="F268" s="211" t="str">
        <f>IFERROR(VLOOKUP($C268,'PORTIFÓLIO'!C:V,4,0),"")</f>
        <v/>
      </c>
      <c r="G268" s="215" t="str">
        <f>IFERROR(VLOOKUP($C268,'PORTIFÓLIO'!C:V,5,0),"")</f>
        <v/>
      </c>
      <c r="H268" s="254" t="str">
        <f t="array" ref="H268">IFERROR(INDEX('PORTIFÓLIO'!$H$4:$H$433,MATCH($C268,'PORTIFÓLIO'!$C$4:$C$433,0)),"")</f>
        <v/>
      </c>
      <c r="I268" s="256"/>
      <c r="J268" s="218">
        <f t="shared" si="29"/>
        <v>0</v>
      </c>
      <c r="K268" s="292" t="str">
        <f t="array" ref="K268">IFERROR(I268*INDEX('PORTIFÓLIO'!$S$4:$S$433,MATCH($C268,'PORTIFÓLIO'!$C$4:$C$433,0)),"")</f>
        <v/>
      </c>
      <c r="L268" s="292" t="str">
        <f t="array" ref="L268">IFERROR(J268*INDEX('PORTIFÓLIO'!$S$4:$S$433,MATCH($C268,'PORTIFÓLIO'!$C$4:$C$433,0)),"")</f>
        <v/>
      </c>
      <c r="M268" s="220"/>
      <c r="N268" s="220"/>
      <c r="O268" s="220"/>
      <c r="P268" s="220"/>
      <c r="Q268" s="220"/>
      <c r="R268" s="220"/>
      <c r="S268" s="220"/>
      <c r="T268" s="220"/>
      <c r="U268" s="220"/>
      <c r="V268" s="220"/>
      <c r="W268" s="220"/>
    </row>
    <row r="269" ht="15.75" customHeight="1" outlineLevel="1">
      <c r="A269" s="211"/>
      <c r="B269" s="212"/>
      <c r="C269" s="213"/>
      <c r="D269" s="214" t="str">
        <f>IFERROR(VLOOKUP($C269,'PORTIFÓLIO'!C:V,2,0),"")</f>
        <v/>
      </c>
      <c r="E269" s="211" t="str">
        <f>IFERROR(VLOOKUP($C269,'PORTIFÓLIO'!C:V,3,0),"")</f>
        <v/>
      </c>
      <c r="F269" s="211" t="str">
        <f>IFERROR(VLOOKUP($C269,'PORTIFÓLIO'!C:V,4,0),"")</f>
        <v/>
      </c>
      <c r="G269" s="215" t="str">
        <f>IFERROR(VLOOKUP($C269,'PORTIFÓLIO'!C:V,5,0),"")</f>
        <v/>
      </c>
      <c r="H269" s="254" t="str">
        <f t="array" ref="H269">IFERROR(INDEX('PORTIFÓLIO'!$H$4:$H$433,MATCH($C269,'PORTIFÓLIO'!$C$4:$C$433,0)),"")</f>
        <v/>
      </c>
      <c r="I269" s="256"/>
      <c r="J269" s="218">
        <f t="shared" si="29"/>
        <v>0</v>
      </c>
      <c r="K269" s="292" t="str">
        <f t="array" ref="K269">IFERROR(I269*INDEX('PORTIFÓLIO'!$S$4:$S$433,MATCH($C269,'PORTIFÓLIO'!$C$4:$C$433,0)),"")</f>
        <v/>
      </c>
      <c r="L269" s="292" t="str">
        <f t="array" ref="L269">IFERROR(J269*INDEX('PORTIFÓLIO'!$S$4:$S$433,MATCH($C269,'PORTIFÓLIO'!$C$4:$C$433,0)),"")</f>
        <v/>
      </c>
      <c r="M269" s="220"/>
      <c r="N269" s="220"/>
      <c r="O269" s="220"/>
      <c r="P269" s="220"/>
      <c r="Q269" s="220"/>
      <c r="R269" s="220"/>
      <c r="S269" s="220"/>
      <c r="T269" s="220"/>
      <c r="U269" s="220"/>
      <c r="V269" s="220"/>
      <c r="W269" s="220"/>
    </row>
    <row r="270" ht="15.75" customHeight="1" outlineLevel="1">
      <c r="A270" s="211"/>
      <c r="B270" s="212"/>
      <c r="C270" s="213"/>
      <c r="D270" s="214" t="str">
        <f>IFERROR(VLOOKUP($C270,'PORTIFÓLIO'!C:V,2,0),"")</f>
        <v/>
      </c>
      <c r="E270" s="211" t="str">
        <f>IFERROR(VLOOKUP($C270,'PORTIFÓLIO'!C:V,3,0),"")</f>
        <v/>
      </c>
      <c r="F270" s="211" t="str">
        <f>IFERROR(VLOOKUP($C270,'PORTIFÓLIO'!C:V,4,0),"")</f>
        <v/>
      </c>
      <c r="G270" s="215" t="str">
        <f>IFERROR(VLOOKUP($C270,'PORTIFÓLIO'!C:V,5,0),"")</f>
        <v/>
      </c>
      <c r="H270" s="254" t="str">
        <f t="array" ref="H270">IFERROR(INDEX('PORTIFÓLIO'!$H$4:$H$433,MATCH($C270,'PORTIFÓLIO'!$C$4:$C$433,0)),"")</f>
        <v/>
      </c>
      <c r="I270" s="256"/>
      <c r="J270" s="218">
        <f t="shared" si="29"/>
        <v>0</v>
      </c>
      <c r="K270" s="292" t="str">
        <f t="array" ref="K270">IFERROR(I270*INDEX('PORTIFÓLIO'!$S$4:$S$433,MATCH($C270,'PORTIFÓLIO'!$C$4:$C$433,0)),"")</f>
        <v/>
      </c>
      <c r="L270" s="292" t="str">
        <f t="array" ref="L270">IFERROR(J270*INDEX('PORTIFÓLIO'!$S$4:$S$433,MATCH($C270,'PORTIFÓLIO'!$C$4:$C$433,0)),"")</f>
        <v/>
      </c>
      <c r="M270" s="220"/>
      <c r="N270" s="220"/>
      <c r="O270" s="220"/>
      <c r="P270" s="220"/>
      <c r="Q270" s="220"/>
      <c r="R270" s="220"/>
      <c r="S270" s="220"/>
      <c r="T270" s="220"/>
      <c r="U270" s="220"/>
      <c r="V270" s="220"/>
      <c r="W270" s="220"/>
    </row>
    <row r="271" ht="15.75" customHeight="1">
      <c r="A271" s="229" t="s">
        <v>1185</v>
      </c>
      <c r="B271" s="230"/>
      <c r="C271" s="231"/>
      <c r="D271" s="232"/>
      <c r="E271" s="231"/>
      <c r="F271" s="231"/>
      <c r="G271" s="233"/>
      <c r="H271" s="233"/>
      <c r="I271" s="258"/>
      <c r="J271" s="236"/>
      <c r="K271" s="237">
        <f t="shared" ref="K271:L271" si="30">SUBTOTAL(9,K272:K285)</f>
        <v>0</v>
      </c>
      <c r="L271" s="237">
        <f t="shared" si="30"/>
        <v>0</v>
      </c>
      <c r="M271" s="220"/>
      <c r="N271" s="220"/>
      <c r="O271" s="220"/>
      <c r="P271" s="220"/>
      <c r="Q271" s="220"/>
      <c r="R271" s="220"/>
      <c r="S271" s="220"/>
      <c r="T271" s="220"/>
      <c r="U271" s="220"/>
      <c r="V271" s="220"/>
      <c r="W271" s="220"/>
    </row>
    <row r="272" ht="15.75" customHeight="1" outlineLevel="1">
      <c r="A272" s="213"/>
      <c r="B272" s="212"/>
      <c r="C272" s="213"/>
      <c r="D272" s="214" t="str">
        <f>IFERROR(VLOOKUP($C272,'PORTIFÓLIO'!C:V,2,0),"")</f>
        <v/>
      </c>
      <c r="E272" s="211" t="str">
        <f>IFERROR(VLOOKUP($C272,'PORTIFÓLIO'!C:V,3,0),"")</f>
        <v/>
      </c>
      <c r="F272" s="211" t="str">
        <f>IFERROR(VLOOKUP($C272,'PORTIFÓLIO'!C:V,4,0),"")</f>
        <v/>
      </c>
      <c r="G272" s="215" t="str">
        <f>IFERROR(VLOOKUP($C272,'PORTIFÓLIO'!C:V,5,0),"")</f>
        <v/>
      </c>
      <c r="H272" s="254" t="str">
        <f t="array" ref="H272">IFERROR(INDEX('PORTIFÓLIO'!$H$4:$H$433,MATCH($C272,'PORTIFÓLIO'!$C$4:$C$433,0)),"")</f>
        <v/>
      </c>
      <c r="I272" s="255"/>
      <c r="J272" s="218">
        <f t="shared" ref="J272:J289" si="31">I272*$B$2</f>
        <v>0</v>
      </c>
      <c r="K272" s="292" t="str">
        <f t="array" ref="K272">IFERROR(I272*INDEX('PORTIFÓLIO'!$S$4:$S$433,MATCH($C272,'PORTIFÓLIO'!$C$4:$C$433,0)),"")</f>
        <v/>
      </c>
      <c r="L272" s="292" t="str">
        <f t="array" ref="L272">IFERROR(J272*INDEX('PORTIFÓLIO'!$S$4:$S$433,MATCH($C272,'PORTIFÓLIO'!$C$4:$C$433,0)),"")</f>
        <v/>
      </c>
      <c r="M272" s="220"/>
      <c r="N272" s="220"/>
      <c r="O272" s="220"/>
      <c r="P272" s="220"/>
      <c r="Q272" s="220"/>
      <c r="R272" s="220"/>
      <c r="S272" s="220"/>
      <c r="T272" s="220"/>
      <c r="U272" s="220"/>
      <c r="V272" s="220"/>
      <c r="W272" s="220"/>
    </row>
    <row r="273" ht="15.75" customHeight="1" outlineLevel="1">
      <c r="A273" s="211"/>
      <c r="B273" s="212"/>
      <c r="C273" s="213"/>
      <c r="D273" s="214" t="str">
        <f>IFERROR(VLOOKUP($C273,'PORTIFÓLIO'!C:V,2,0),"")</f>
        <v/>
      </c>
      <c r="E273" s="211" t="str">
        <f>IFERROR(VLOOKUP($C273,'PORTIFÓLIO'!C:V,3,0),"")</f>
        <v/>
      </c>
      <c r="F273" s="211" t="str">
        <f>IFERROR(VLOOKUP($C273,'PORTIFÓLIO'!C:V,4,0),"")</f>
        <v/>
      </c>
      <c r="G273" s="215" t="str">
        <f>IFERROR(VLOOKUP($C273,'PORTIFÓLIO'!C:V,5,0),"")</f>
        <v/>
      </c>
      <c r="H273" s="254" t="str">
        <f t="array" ref="H273">IFERROR(INDEX('PORTIFÓLIO'!$H$4:$H$433,MATCH($C273,'PORTIFÓLIO'!$C$4:$C$433,0)),"")</f>
        <v/>
      </c>
      <c r="I273" s="256"/>
      <c r="J273" s="218">
        <f t="shared" si="31"/>
        <v>0</v>
      </c>
      <c r="K273" s="292" t="str">
        <f t="array" ref="K273">IFERROR(I273*INDEX('PORTIFÓLIO'!$S$4:$S$433,MATCH($C273,'PORTIFÓLIO'!$C$4:$C$433,0)),"")</f>
        <v/>
      </c>
      <c r="L273" s="292" t="str">
        <f t="array" ref="L273">IFERROR(J273*INDEX('PORTIFÓLIO'!$S$4:$S$433,MATCH($C273,'PORTIFÓLIO'!$C$4:$C$433,0)),"")</f>
        <v/>
      </c>
      <c r="M273" s="220"/>
      <c r="N273" s="220"/>
      <c r="O273" s="220"/>
      <c r="P273" s="220"/>
      <c r="Q273" s="220"/>
      <c r="R273" s="220"/>
      <c r="S273" s="220"/>
      <c r="T273" s="220"/>
      <c r="U273" s="220"/>
      <c r="V273" s="220"/>
      <c r="W273" s="220"/>
    </row>
    <row r="274" ht="15.75" customHeight="1" outlineLevel="1">
      <c r="A274" s="211"/>
      <c r="B274" s="212"/>
      <c r="C274" s="213"/>
      <c r="D274" s="214" t="str">
        <f>IFERROR(VLOOKUP($C274,'PORTIFÓLIO'!C:V,2,0),"")</f>
        <v/>
      </c>
      <c r="E274" s="211" t="str">
        <f>IFERROR(VLOOKUP($C274,'PORTIFÓLIO'!C:V,3,0),"")</f>
        <v/>
      </c>
      <c r="F274" s="211" t="str">
        <f>IFERROR(VLOOKUP($C274,'PORTIFÓLIO'!C:V,4,0),"")</f>
        <v/>
      </c>
      <c r="G274" s="215" t="str">
        <f>IFERROR(VLOOKUP($C274,'PORTIFÓLIO'!C:V,5,0),"")</f>
        <v/>
      </c>
      <c r="H274" s="254" t="str">
        <f t="array" ref="H274">IFERROR(INDEX('PORTIFÓLIO'!$H$4:$H$433,MATCH($C274,'PORTIFÓLIO'!$C$4:$C$433,0)),"")</f>
        <v/>
      </c>
      <c r="I274" s="256"/>
      <c r="J274" s="218">
        <f t="shared" si="31"/>
        <v>0</v>
      </c>
      <c r="K274" s="292" t="str">
        <f t="array" ref="K274">IFERROR(I274*INDEX('PORTIFÓLIO'!$S$4:$S$433,MATCH($C274,'PORTIFÓLIO'!$C$4:$C$433,0)),"")</f>
        <v/>
      </c>
      <c r="L274" s="292" t="str">
        <f t="array" ref="L274">IFERROR(J274*INDEX('PORTIFÓLIO'!$S$4:$S$433,MATCH($C274,'PORTIFÓLIO'!$C$4:$C$433,0)),"")</f>
        <v/>
      </c>
      <c r="M274" s="220"/>
      <c r="N274" s="220"/>
      <c r="O274" s="220"/>
      <c r="P274" s="220"/>
      <c r="Q274" s="220"/>
      <c r="R274" s="220"/>
      <c r="S274" s="220"/>
      <c r="T274" s="220"/>
      <c r="U274" s="220"/>
      <c r="V274" s="220"/>
      <c r="W274" s="220"/>
    </row>
    <row r="275" ht="15.75" customHeight="1" outlineLevel="1">
      <c r="A275" s="211"/>
      <c r="B275" s="212"/>
      <c r="C275" s="213"/>
      <c r="D275" s="214" t="str">
        <f>IFERROR(VLOOKUP($C275,'PORTIFÓLIO'!C:V,2,0),"")</f>
        <v/>
      </c>
      <c r="E275" s="211" t="str">
        <f>IFERROR(VLOOKUP($C275,'PORTIFÓLIO'!C:V,3,0),"")</f>
        <v/>
      </c>
      <c r="F275" s="211" t="str">
        <f>IFERROR(VLOOKUP($C275,'PORTIFÓLIO'!C:V,4,0),"")</f>
        <v/>
      </c>
      <c r="G275" s="215" t="str">
        <f>IFERROR(VLOOKUP($C275,'PORTIFÓLIO'!C:V,5,0),"")</f>
        <v/>
      </c>
      <c r="H275" s="254" t="str">
        <f t="array" ref="H275">IFERROR(INDEX('PORTIFÓLIO'!$H$4:$H$433,MATCH($C275,'PORTIFÓLIO'!$C$4:$C$433,0)),"")</f>
        <v/>
      </c>
      <c r="I275" s="256"/>
      <c r="J275" s="218">
        <f t="shared" si="31"/>
        <v>0</v>
      </c>
      <c r="K275" s="292" t="str">
        <f t="array" ref="K275">IFERROR(I275*INDEX('PORTIFÓLIO'!$S$4:$S$433,MATCH($C275,'PORTIFÓLIO'!$C$4:$C$433,0)),"")</f>
        <v/>
      </c>
      <c r="L275" s="292" t="str">
        <f t="array" ref="L275">IFERROR(J275*INDEX('PORTIFÓLIO'!$S$4:$S$433,MATCH($C275,'PORTIFÓLIO'!$C$4:$C$433,0)),"")</f>
        <v/>
      </c>
      <c r="M275" s="220"/>
      <c r="N275" s="220"/>
      <c r="O275" s="220"/>
      <c r="P275" s="220"/>
      <c r="Q275" s="220"/>
      <c r="R275" s="220"/>
      <c r="S275" s="220"/>
      <c r="T275" s="220"/>
      <c r="U275" s="220"/>
      <c r="V275" s="220"/>
      <c r="W275" s="220"/>
    </row>
    <row r="276" ht="15.75" customHeight="1" outlineLevel="1">
      <c r="A276" s="211"/>
      <c r="B276" s="212"/>
      <c r="C276" s="213"/>
      <c r="D276" s="214" t="str">
        <f>IFERROR(VLOOKUP($C276,'PORTIFÓLIO'!C:V,2,0),"")</f>
        <v/>
      </c>
      <c r="E276" s="211" t="str">
        <f>IFERROR(VLOOKUP($C276,'PORTIFÓLIO'!C:V,3,0),"")</f>
        <v/>
      </c>
      <c r="F276" s="211" t="str">
        <f>IFERROR(VLOOKUP($C276,'PORTIFÓLIO'!C:V,4,0),"")</f>
        <v/>
      </c>
      <c r="G276" s="215" t="str">
        <f>IFERROR(VLOOKUP($C276,'PORTIFÓLIO'!C:V,5,0),"")</f>
        <v/>
      </c>
      <c r="H276" s="254" t="str">
        <f t="array" ref="H276">IFERROR(INDEX('PORTIFÓLIO'!$H$4:$H$433,MATCH($C276,'PORTIFÓLIO'!$C$4:$C$433,0)),"")</f>
        <v/>
      </c>
      <c r="I276" s="256"/>
      <c r="J276" s="218">
        <f t="shared" si="31"/>
        <v>0</v>
      </c>
      <c r="K276" s="292" t="str">
        <f t="array" ref="K276">IFERROR(I276*INDEX('PORTIFÓLIO'!$S$4:$S$433,MATCH($C276,'PORTIFÓLIO'!$C$4:$C$433,0)),"")</f>
        <v/>
      </c>
      <c r="L276" s="292" t="str">
        <f t="array" ref="L276">IFERROR(J276*INDEX('PORTIFÓLIO'!$S$4:$S$433,MATCH($C276,'PORTIFÓLIO'!$C$4:$C$433,0)),"")</f>
        <v/>
      </c>
      <c r="M276" s="220"/>
      <c r="N276" s="220"/>
      <c r="O276" s="220"/>
      <c r="P276" s="220"/>
      <c r="Q276" s="220"/>
      <c r="R276" s="220"/>
      <c r="S276" s="220"/>
      <c r="T276" s="220"/>
      <c r="U276" s="220"/>
      <c r="V276" s="220"/>
      <c r="W276" s="220"/>
    </row>
    <row r="277" ht="15.75" customHeight="1" outlineLevel="1">
      <c r="A277" s="211"/>
      <c r="B277" s="212"/>
      <c r="C277" s="213"/>
      <c r="D277" s="214" t="str">
        <f>IFERROR(VLOOKUP($C277,'PORTIFÓLIO'!C:V,2,0),"")</f>
        <v/>
      </c>
      <c r="E277" s="211" t="str">
        <f>IFERROR(VLOOKUP($C277,'PORTIFÓLIO'!C:V,3,0),"")</f>
        <v/>
      </c>
      <c r="F277" s="211" t="str">
        <f>IFERROR(VLOOKUP($C277,'PORTIFÓLIO'!C:V,4,0),"")</f>
        <v/>
      </c>
      <c r="G277" s="215" t="str">
        <f>IFERROR(VLOOKUP($C277,'PORTIFÓLIO'!C:V,5,0),"")</f>
        <v/>
      </c>
      <c r="H277" s="254" t="str">
        <f t="array" ref="H277">IFERROR(INDEX('PORTIFÓLIO'!$H$4:$H$433,MATCH($C277,'PORTIFÓLIO'!$C$4:$C$433,0)),"")</f>
        <v/>
      </c>
      <c r="I277" s="256"/>
      <c r="J277" s="218">
        <f t="shared" si="31"/>
        <v>0</v>
      </c>
      <c r="K277" s="292" t="str">
        <f t="array" ref="K277">IFERROR(I277*INDEX('PORTIFÓLIO'!$S$4:$S$433,MATCH($C277,'PORTIFÓLIO'!$C$4:$C$433,0)),"")</f>
        <v/>
      </c>
      <c r="L277" s="292" t="str">
        <f t="array" ref="L277">IFERROR(J277*INDEX('PORTIFÓLIO'!$S$4:$S$433,MATCH($C277,'PORTIFÓLIO'!$C$4:$C$433,0)),"")</f>
        <v/>
      </c>
      <c r="M277" s="220"/>
      <c r="N277" s="220"/>
      <c r="O277" s="220"/>
      <c r="P277" s="220"/>
      <c r="Q277" s="220"/>
      <c r="R277" s="220"/>
      <c r="S277" s="220"/>
      <c r="T277" s="220"/>
      <c r="U277" s="220"/>
      <c r="V277" s="220"/>
      <c r="W277" s="220"/>
    </row>
    <row r="278" ht="15.75" customHeight="1" outlineLevel="1">
      <c r="A278" s="211"/>
      <c r="B278" s="212"/>
      <c r="C278" s="213"/>
      <c r="D278" s="214" t="str">
        <f>IFERROR(VLOOKUP($C278,'PORTIFÓLIO'!C:V,2,0),"")</f>
        <v/>
      </c>
      <c r="E278" s="211" t="str">
        <f>IFERROR(VLOOKUP($C278,'PORTIFÓLIO'!C:V,3,0),"")</f>
        <v/>
      </c>
      <c r="F278" s="211" t="str">
        <f>IFERROR(VLOOKUP($C278,'PORTIFÓLIO'!C:V,4,0),"")</f>
        <v/>
      </c>
      <c r="G278" s="215" t="str">
        <f>IFERROR(VLOOKUP($C278,'PORTIFÓLIO'!C:V,5,0),"")</f>
        <v/>
      </c>
      <c r="H278" s="254" t="str">
        <f t="array" ref="H278">IFERROR(INDEX('PORTIFÓLIO'!$H$4:$H$433,MATCH($C278,'PORTIFÓLIO'!$C$4:$C$433,0)),"")</f>
        <v/>
      </c>
      <c r="I278" s="256"/>
      <c r="J278" s="218">
        <f t="shared" si="31"/>
        <v>0</v>
      </c>
      <c r="K278" s="292" t="str">
        <f t="array" ref="K278">IFERROR(I278*INDEX('PORTIFÓLIO'!$S$4:$S$433,MATCH($C278,'PORTIFÓLIO'!$C$4:$C$433,0)),"")</f>
        <v/>
      </c>
      <c r="L278" s="292" t="str">
        <f t="array" ref="L278">IFERROR(J278*INDEX('PORTIFÓLIO'!$S$4:$S$433,MATCH($C278,'PORTIFÓLIO'!$C$4:$C$433,0)),"")</f>
        <v/>
      </c>
      <c r="M278" s="220"/>
      <c r="N278" s="220"/>
      <c r="O278" s="220"/>
      <c r="P278" s="220"/>
      <c r="Q278" s="220"/>
      <c r="R278" s="220"/>
      <c r="S278" s="220"/>
      <c r="T278" s="220"/>
      <c r="U278" s="220"/>
      <c r="V278" s="220"/>
      <c r="W278" s="220"/>
    </row>
    <row r="279" ht="15.75" customHeight="1" outlineLevel="1">
      <c r="A279" s="211"/>
      <c r="B279" s="212"/>
      <c r="C279" s="213"/>
      <c r="D279" s="214" t="str">
        <f>IFERROR(VLOOKUP($C279,'PORTIFÓLIO'!C:V,2,0),"")</f>
        <v/>
      </c>
      <c r="E279" s="211" t="str">
        <f>IFERROR(VLOOKUP($C279,'PORTIFÓLIO'!C:V,3,0),"")</f>
        <v/>
      </c>
      <c r="F279" s="211" t="str">
        <f>IFERROR(VLOOKUP($C279,'PORTIFÓLIO'!C:V,4,0),"")</f>
        <v/>
      </c>
      <c r="G279" s="215" t="str">
        <f>IFERROR(VLOOKUP($C279,'PORTIFÓLIO'!C:V,5,0),"")</f>
        <v/>
      </c>
      <c r="H279" s="254" t="str">
        <f t="array" ref="H279">IFERROR(INDEX('PORTIFÓLIO'!$H$4:$H$433,MATCH($C279,'PORTIFÓLIO'!$C$4:$C$433,0)),"")</f>
        <v/>
      </c>
      <c r="I279" s="256"/>
      <c r="J279" s="218">
        <f t="shared" si="31"/>
        <v>0</v>
      </c>
      <c r="K279" s="292" t="str">
        <f t="array" ref="K279">IFERROR(I279*INDEX('PORTIFÓLIO'!$S$4:$S$433,MATCH($C279,'PORTIFÓLIO'!$C$4:$C$433,0)),"")</f>
        <v/>
      </c>
      <c r="L279" s="292" t="str">
        <f t="array" ref="L279">IFERROR(J279*INDEX('PORTIFÓLIO'!$S$4:$S$433,MATCH($C279,'PORTIFÓLIO'!$C$4:$C$433,0)),"")</f>
        <v/>
      </c>
      <c r="M279" s="220"/>
      <c r="N279" s="220"/>
      <c r="O279" s="220"/>
      <c r="P279" s="220"/>
      <c r="Q279" s="220"/>
      <c r="R279" s="220"/>
      <c r="S279" s="220"/>
      <c r="T279" s="220"/>
      <c r="U279" s="220"/>
      <c r="V279" s="220"/>
      <c r="W279" s="220"/>
    </row>
    <row r="280" ht="15.75" customHeight="1" outlineLevel="1">
      <c r="A280" s="211"/>
      <c r="B280" s="212"/>
      <c r="C280" s="213"/>
      <c r="D280" s="214" t="str">
        <f>IFERROR(VLOOKUP($C280,'PORTIFÓLIO'!C:V,2,0),"")</f>
        <v/>
      </c>
      <c r="E280" s="211" t="str">
        <f>IFERROR(VLOOKUP($C280,'PORTIFÓLIO'!C:V,3,0),"")</f>
        <v/>
      </c>
      <c r="F280" s="211" t="str">
        <f>IFERROR(VLOOKUP($C280,'PORTIFÓLIO'!C:V,4,0),"")</f>
        <v/>
      </c>
      <c r="G280" s="215" t="str">
        <f>IFERROR(VLOOKUP($C280,'PORTIFÓLIO'!C:V,5,0),"")</f>
        <v/>
      </c>
      <c r="H280" s="254" t="str">
        <f t="array" ref="H280">IFERROR(INDEX('PORTIFÓLIO'!$H$4:$H$433,MATCH($C280,'PORTIFÓLIO'!$C$4:$C$433,0)),"")</f>
        <v/>
      </c>
      <c r="I280" s="255"/>
      <c r="J280" s="218">
        <f t="shared" si="31"/>
        <v>0</v>
      </c>
      <c r="K280" s="292" t="str">
        <f t="array" ref="K280">IFERROR(I280*INDEX('PORTIFÓLIO'!$S$4:$S$433,MATCH($C280,'PORTIFÓLIO'!$C$4:$C$433,0)),"")</f>
        <v/>
      </c>
      <c r="L280" s="292" t="str">
        <f t="array" ref="L280">IFERROR(J280*INDEX('PORTIFÓLIO'!$S$4:$S$433,MATCH($C280,'PORTIFÓLIO'!$C$4:$C$433,0)),"")</f>
        <v/>
      </c>
      <c r="M280" s="220"/>
      <c r="N280" s="220"/>
      <c r="O280" s="220"/>
      <c r="P280" s="220"/>
      <c r="Q280" s="220"/>
      <c r="R280" s="220"/>
      <c r="S280" s="220"/>
      <c r="T280" s="220"/>
      <c r="U280" s="220"/>
      <c r="V280" s="220"/>
      <c r="W280" s="220"/>
    </row>
    <row r="281" ht="15.75" customHeight="1" outlineLevel="1">
      <c r="A281" s="211"/>
      <c r="B281" s="212"/>
      <c r="C281" s="213"/>
      <c r="D281" s="214" t="str">
        <f>IFERROR(VLOOKUP($C281,'PORTIFÓLIO'!C:V,2,0),"")</f>
        <v/>
      </c>
      <c r="E281" s="211" t="str">
        <f>IFERROR(VLOOKUP($C281,'PORTIFÓLIO'!C:V,3,0),"")</f>
        <v/>
      </c>
      <c r="F281" s="211" t="str">
        <f>IFERROR(VLOOKUP($C281,'PORTIFÓLIO'!C:V,4,0),"")</f>
        <v/>
      </c>
      <c r="G281" s="215" t="str">
        <f>IFERROR(VLOOKUP($C281,'PORTIFÓLIO'!C:V,5,0),"")</f>
        <v/>
      </c>
      <c r="H281" s="254" t="str">
        <f t="array" ref="H281">IFERROR(INDEX('PORTIFÓLIO'!$H$4:$H$433,MATCH($C281,'PORTIFÓLIO'!$C$4:$C$433,0)),"")</f>
        <v/>
      </c>
      <c r="I281" s="256"/>
      <c r="J281" s="218">
        <f t="shared" si="31"/>
        <v>0</v>
      </c>
      <c r="K281" s="292" t="str">
        <f t="array" ref="K281">IFERROR(I281*INDEX('PORTIFÓLIO'!$S$4:$S$433,MATCH($C281,'PORTIFÓLIO'!$C$4:$C$433,0)),"")</f>
        <v/>
      </c>
      <c r="L281" s="292" t="str">
        <f t="array" ref="L281">IFERROR(J281*INDEX('PORTIFÓLIO'!$S$4:$S$433,MATCH($C281,'PORTIFÓLIO'!$C$4:$C$433,0)),"")</f>
        <v/>
      </c>
      <c r="M281" s="220"/>
      <c r="N281" s="220"/>
      <c r="O281" s="220"/>
      <c r="P281" s="220"/>
      <c r="Q281" s="220"/>
      <c r="R281" s="220"/>
      <c r="S281" s="220"/>
      <c r="T281" s="220"/>
      <c r="U281" s="220"/>
      <c r="V281" s="220"/>
      <c r="W281" s="220"/>
    </row>
    <row r="282" ht="15.75" customHeight="1" outlineLevel="1">
      <c r="A282" s="211"/>
      <c r="B282" s="212"/>
      <c r="C282" s="213"/>
      <c r="D282" s="214" t="str">
        <f>IFERROR(VLOOKUP($C282,'PORTIFÓLIO'!C:V,2,0),"")</f>
        <v/>
      </c>
      <c r="E282" s="211" t="str">
        <f>IFERROR(VLOOKUP($C282,'PORTIFÓLIO'!C:V,3,0),"")</f>
        <v/>
      </c>
      <c r="F282" s="211" t="str">
        <f>IFERROR(VLOOKUP($C282,'PORTIFÓLIO'!C:V,4,0),"")</f>
        <v/>
      </c>
      <c r="G282" s="215" t="str">
        <f>IFERROR(VLOOKUP($C282,'PORTIFÓLIO'!C:V,5,0),"")</f>
        <v/>
      </c>
      <c r="H282" s="254" t="str">
        <f t="array" ref="H282">IFERROR(INDEX('PORTIFÓLIO'!$H$4:$H$433,MATCH($C282,'PORTIFÓLIO'!$C$4:$C$433,0)),"")</f>
        <v/>
      </c>
      <c r="I282" s="256"/>
      <c r="J282" s="218">
        <f t="shared" si="31"/>
        <v>0</v>
      </c>
      <c r="K282" s="292" t="str">
        <f t="array" ref="K282">IFERROR(I282*INDEX('PORTIFÓLIO'!$S$4:$S$433,MATCH($C282,'PORTIFÓLIO'!$C$4:$C$433,0)),"")</f>
        <v/>
      </c>
      <c r="L282" s="292" t="str">
        <f t="array" ref="L282">IFERROR(J282*INDEX('PORTIFÓLIO'!$S$4:$S$433,MATCH($C282,'PORTIFÓLIO'!$C$4:$C$433,0)),"")</f>
        <v/>
      </c>
      <c r="M282" s="220"/>
      <c r="N282" s="220"/>
      <c r="O282" s="220"/>
      <c r="P282" s="220"/>
      <c r="Q282" s="220"/>
      <c r="R282" s="220"/>
      <c r="S282" s="220"/>
      <c r="T282" s="220"/>
      <c r="U282" s="220"/>
      <c r="V282" s="220"/>
      <c r="W282" s="220"/>
    </row>
    <row r="283" ht="15.75" customHeight="1" outlineLevel="1">
      <c r="A283" s="211"/>
      <c r="B283" s="212"/>
      <c r="C283" s="213"/>
      <c r="D283" s="214" t="str">
        <f>IFERROR(VLOOKUP($C283,'PORTIFÓLIO'!C:V,2,0),"")</f>
        <v/>
      </c>
      <c r="E283" s="211" t="str">
        <f>IFERROR(VLOOKUP($C283,'PORTIFÓLIO'!C:V,3,0),"")</f>
        <v/>
      </c>
      <c r="F283" s="211" t="str">
        <f>IFERROR(VLOOKUP($C283,'PORTIFÓLIO'!C:V,4,0),"")</f>
        <v/>
      </c>
      <c r="G283" s="215" t="str">
        <f>IFERROR(VLOOKUP($C283,'PORTIFÓLIO'!C:V,5,0),"")</f>
        <v/>
      </c>
      <c r="H283" s="254" t="str">
        <f t="array" ref="H283">IFERROR(INDEX('PORTIFÓLIO'!$H$4:$H$433,MATCH($C283,'PORTIFÓLIO'!$C$4:$C$433,0)),"")</f>
        <v/>
      </c>
      <c r="I283" s="256"/>
      <c r="J283" s="218">
        <f t="shared" si="31"/>
        <v>0</v>
      </c>
      <c r="K283" s="292" t="str">
        <f t="array" ref="K283">IFERROR(I283*INDEX('PORTIFÓLIO'!$S$4:$S$433,MATCH($C283,'PORTIFÓLIO'!$C$4:$C$433,0)),"")</f>
        <v/>
      </c>
      <c r="L283" s="292" t="str">
        <f t="array" ref="L283">IFERROR(J283*INDEX('PORTIFÓLIO'!$S$4:$S$433,MATCH($C283,'PORTIFÓLIO'!$C$4:$C$433,0)),"")</f>
        <v/>
      </c>
      <c r="M283" s="220"/>
      <c r="N283" s="220"/>
      <c r="O283" s="220"/>
      <c r="P283" s="220"/>
      <c r="Q283" s="220"/>
      <c r="R283" s="220"/>
      <c r="S283" s="220"/>
      <c r="T283" s="220"/>
      <c r="U283" s="220"/>
      <c r="V283" s="220"/>
      <c r="W283" s="220"/>
    </row>
    <row r="284" ht="15.75" customHeight="1" outlineLevel="1">
      <c r="A284" s="211"/>
      <c r="B284" s="212"/>
      <c r="C284" s="213"/>
      <c r="D284" s="214" t="str">
        <f>IFERROR(VLOOKUP($C284,'PORTIFÓLIO'!C:V,2,0),"")</f>
        <v/>
      </c>
      <c r="E284" s="211" t="str">
        <f>IFERROR(VLOOKUP($C284,'PORTIFÓLIO'!C:V,3,0),"")</f>
        <v/>
      </c>
      <c r="F284" s="211" t="str">
        <f>IFERROR(VLOOKUP($C284,'PORTIFÓLIO'!C:V,4,0),"")</f>
        <v/>
      </c>
      <c r="G284" s="215" t="str">
        <f>IFERROR(VLOOKUP($C284,'PORTIFÓLIO'!C:V,5,0),"")</f>
        <v/>
      </c>
      <c r="H284" s="254" t="str">
        <f t="array" ref="H284">IFERROR(INDEX('PORTIFÓLIO'!$H$4:$H$433,MATCH($C284,'PORTIFÓLIO'!$C$4:$C$433,0)),"")</f>
        <v/>
      </c>
      <c r="I284" s="256"/>
      <c r="J284" s="218">
        <f t="shared" si="31"/>
        <v>0</v>
      </c>
      <c r="K284" s="292" t="str">
        <f t="array" ref="K284">IFERROR(I284*INDEX('PORTIFÓLIO'!$S$4:$S$433,MATCH($C284,'PORTIFÓLIO'!$C$4:$C$433,0)),"")</f>
        <v/>
      </c>
      <c r="L284" s="292" t="str">
        <f t="array" ref="L284">IFERROR(J284*INDEX('PORTIFÓLIO'!$S$4:$S$433,MATCH($C284,'PORTIFÓLIO'!$C$4:$C$433,0)),"")</f>
        <v/>
      </c>
      <c r="M284" s="220"/>
      <c r="N284" s="220"/>
      <c r="O284" s="220"/>
      <c r="P284" s="220"/>
      <c r="Q284" s="220"/>
      <c r="R284" s="220"/>
      <c r="S284" s="220"/>
      <c r="T284" s="220"/>
      <c r="U284" s="220"/>
      <c r="V284" s="220"/>
      <c r="W284" s="220"/>
    </row>
    <row r="285" ht="15.75" customHeight="1" outlineLevel="1">
      <c r="A285" s="211"/>
      <c r="B285" s="212"/>
      <c r="C285" s="213"/>
      <c r="D285" s="214" t="str">
        <f>IFERROR(VLOOKUP($C285,'PORTIFÓLIO'!C:V,2,0),"")</f>
        <v/>
      </c>
      <c r="E285" s="211" t="str">
        <f>IFERROR(VLOOKUP($C285,'PORTIFÓLIO'!C:V,3,0),"")</f>
        <v/>
      </c>
      <c r="F285" s="211" t="str">
        <f>IFERROR(VLOOKUP($C285,'PORTIFÓLIO'!C:V,4,0),"")</f>
        <v/>
      </c>
      <c r="G285" s="215" t="str">
        <f>IFERROR(VLOOKUP($C285,'PORTIFÓLIO'!C:V,5,0),"")</f>
        <v/>
      </c>
      <c r="H285" s="254" t="str">
        <f t="array" ref="H285">IFERROR(INDEX('PORTIFÓLIO'!$H$4:$H$433,MATCH($C285,'PORTIFÓLIO'!$C$4:$C$433,0)),"")</f>
        <v/>
      </c>
      <c r="I285" s="256"/>
      <c r="J285" s="218">
        <f t="shared" si="31"/>
        <v>0</v>
      </c>
      <c r="K285" s="292" t="str">
        <f t="array" ref="K285">IFERROR(I285*INDEX('PORTIFÓLIO'!$S$4:$S$433,MATCH($C285,'PORTIFÓLIO'!$C$4:$C$433,0)),"")</f>
        <v/>
      </c>
      <c r="L285" s="292" t="str">
        <f t="array" ref="L285">IFERROR(J285*INDEX('PORTIFÓLIO'!$S$4:$S$433,MATCH($C285,'PORTIFÓLIO'!$C$4:$C$433,0)),"")</f>
        <v/>
      </c>
      <c r="M285" s="220"/>
      <c r="N285" s="220"/>
      <c r="O285" s="220"/>
      <c r="P285" s="220"/>
      <c r="Q285" s="220"/>
      <c r="R285" s="220"/>
      <c r="S285" s="220"/>
      <c r="T285" s="220"/>
      <c r="U285" s="220"/>
      <c r="V285" s="220"/>
      <c r="W285" s="220"/>
    </row>
    <row r="286" ht="15.75" customHeight="1" outlineLevel="1">
      <c r="A286" s="211"/>
      <c r="B286" s="212"/>
      <c r="C286" s="213"/>
      <c r="D286" s="214" t="str">
        <f>IFERROR(VLOOKUP($C286,'PORTIFÓLIO'!C:V,2,0),"")</f>
        <v/>
      </c>
      <c r="E286" s="211" t="str">
        <f>IFERROR(VLOOKUP($C286,'PORTIFÓLIO'!C:V,3,0),"")</f>
        <v/>
      </c>
      <c r="F286" s="211" t="str">
        <f>IFERROR(VLOOKUP($C286,'PORTIFÓLIO'!C:V,4,0),"")</f>
        <v/>
      </c>
      <c r="G286" s="215" t="str">
        <f>IFERROR(VLOOKUP($C286,'PORTIFÓLIO'!C:V,5,0),"")</f>
        <v/>
      </c>
      <c r="H286" s="254" t="str">
        <f t="array" ref="H286">IFERROR(INDEX('PORTIFÓLIO'!$H$4:$H$433,MATCH($C286,'PORTIFÓLIO'!$C$4:$C$433,0)),"")</f>
        <v/>
      </c>
      <c r="I286" s="256"/>
      <c r="J286" s="218">
        <f t="shared" si="31"/>
        <v>0</v>
      </c>
      <c r="K286" s="292" t="str">
        <f t="array" ref="K286">IFERROR(I286*INDEX('PORTIFÓLIO'!$S$4:$S$433,MATCH($C286,'PORTIFÓLIO'!$C$4:$C$433,0)),"")</f>
        <v/>
      </c>
      <c r="L286" s="292" t="str">
        <f t="array" ref="L286">IFERROR(J286*INDEX('PORTIFÓLIO'!$S$4:$S$433,MATCH($C286,'PORTIFÓLIO'!$C$4:$C$433,0)),"")</f>
        <v/>
      </c>
      <c r="M286" s="220"/>
      <c r="N286" s="220"/>
      <c r="O286" s="220"/>
      <c r="P286" s="220"/>
      <c r="Q286" s="220"/>
      <c r="R286" s="220"/>
      <c r="S286" s="220"/>
      <c r="T286" s="220"/>
      <c r="U286" s="220"/>
      <c r="V286" s="220"/>
      <c r="W286" s="220"/>
    </row>
    <row r="287" ht="15.75" customHeight="1" outlineLevel="1">
      <c r="A287" s="211"/>
      <c r="B287" s="212"/>
      <c r="C287" s="213"/>
      <c r="D287" s="214" t="str">
        <f>IFERROR(VLOOKUP($C287,'PORTIFÓLIO'!C:V,2,0),"")</f>
        <v/>
      </c>
      <c r="E287" s="211" t="str">
        <f>IFERROR(VLOOKUP($C287,'PORTIFÓLIO'!C:V,3,0),"")</f>
        <v/>
      </c>
      <c r="F287" s="211" t="str">
        <f>IFERROR(VLOOKUP($C287,'PORTIFÓLIO'!C:V,4,0),"")</f>
        <v/>
      </c>
      <c r="G287" s="215" t="str">
        <f>IFERROR(VLOOKUP($C287,'PORTIFÓLIO'!C:V,5,0),"")</f>
        <v/>
      </c>
      <c r="H287" s="254" t="str">
        <f t="array" ref="H287">IFERROR(INDEX('PORTIFÓLIO'!$H$4:$H$433,MATCH($C287,'PORTIFÓLIO'!$C$4:$C$433,0)),"")</f>
        <v/>
      </c>
      <c r="I287" s="256"/>
      <c r="J287" s="218">
        <f t="shared" si="31"/>
        <v>0</v>
      </c>
      <c r="K287" s="292" t="str">
        <f t="array" ref="K287">IFERROR(I287*INDEX('PORTIFÓLIO'!$S$4:$S$433,MATCH($C287,'PORTIFÓLIO'!$C$4:$C$433,0)),"")</f>
        <v/>
      </c>
      <c r="L287" s="292" t="str">
        <f t="array" ref="L287">IFERROR(J287*INDEX('PORTIFÓLIO'!$S$4:$S$433,MATCH($C287,'PORTIFÓLIO'!$C$4:$C$433,0)),"")</f>
        <v/>
      </c>
      <c r="M287" s="220"/>
      <c r="N287" s="220"/>
      <c r="O287" s="220"/>
      <c r="P287" s="220"/>
      <c r="Q287" s="220"/>
      <c r="R287" s="220"/>
      <c r="S287" s="220"/>
      <c r="T287" s="220"/>
      <c r="U287" s="220"/>
      <c r="V287" s="220"/>
      <c r="W287" s="220"/>
    </row>
    <row r="288" ht="15.75" customHeight="1" outlineLevel="1">
      <c r="A288" s="211"/>
      <c r="B288" s="212"/>
      <c r="C288" s="213"/>
      <c r="D288" s="214" t="str">
        <f>IFERROR(VLOOKUP($C288,'PORTIFÓLIO'!C:V,2,0),"")</f>
        <v/>
      </c>
      <c r="E288" s="211" t="str">
        <f>IFERROR(VLOOKUP($C288,'PORTIFÓLIO'!C:V,3,0),"")</f>
        <v/>
      </c>
      <c r="F288" s="211" t="str">
        <f>IFERROR(VLOOKUP($C288,'PORTIFÓLIO'!C:V,4,0),"")</f>
        <v/>
      </c>
      <c r="G288" s="215" t="str">
        <f>IFERROR(VLOOKUP($C288,'PORTIFÓLIO'!C:V,5,0),"")</f>
        <v/>
      </c>
      <c r="H288" s="254" t="str">
        <f t="array" ref="H288">IFERROR(INDEX('PORTIFÓLIO'!$H$4:$H$433,MATCH($C288,'PORTIFÓLIO'!$C$4:$C$433,0)),"")</f>
        <v/>
      </c>
      <c r="I288" s="256"/>
      <c r="J288" s="218">
        <f t="shared" si="31"/>
        <v>0</v>
      </c>
      <c r="K288" s="292" t="str">
        <f t="array" ref="K288">IFERROR(I288*INDEX('PORTIFÓLIO'!$S$4:$S$433,MATCH($C288,'PORTIFÓLIO'!$C$4:$C$433,0)),"")</f>
        <v/>
      </c>
      <c r="L288" s="292" t="str">
        <f t="array" ref="L288">IFERROR(J288*INDEX('PORTIFÓLIO'!$S$4:$S$433,MATCH($C288,'PORTIFÓLIO'!$C$4:$C$433,0)),"")</f>
        <v/>
      </c>
      <c r="M288" s="220"/>
      <c r="N288" s="220"/>
      <c r="O288" s="220"/>
      <c r="P288" s="220"/>
      <c r="Q288" s="220"/>
      <c r="R288" s="220"/>
      <c r="S288" s="220"/>
      <c r="T288" s="220"/>
      <c r="U288" s="220"/>
      <c r="V288" s="220"/>
      <c r="W288" s="220"/>
    </row>
    <row r="289" ht="15.75" customHeight="1" outlineLevel="1">
      <c r="A289" s="211"/>
      <c r="B289" s="212"/>
      <c r="C289" s="213"/>
      <c r="D289" s="214" t="str">
        <f>IFERROR(VLOOKUP($C289,'PORTIFÓLIO'!C:V,2,0),"")</f>
        <v/>
      </c>
      <c r="E289" s="211" t="str">
        <f>IFERROR(VLOOKUP($C289,'PORTIFÓLIO'!C:V,3,0),"")</f>
        <v/>
      </c>
      <c r="F289" s="211" t="str">
        <f>IFERROR(VLOOKUP($C289,'PORTIFÓLIO'!C:V,4,0),"")</f>
        <v/>
      </c>
      <c r="G289" s="215" t="str">
        <f>IFERROR(VLOOKUP($C289,'PORTIFÓLIO'!C:V,5,0),"")</f>
        <v/>
      </c>
      <c r="H289" s="254" t="str">
        <f t="array" ref="H289">IFERROR(INDEX('PORTIFÓLIO'!$H$4:$H$433,MATCH($C289,'PORTIFÓLIO'!$C$4:$C$433,0)),"")</f>
        <v/>
      </c>
      <c r="I289" s="256"/>
      <c r="J289" s="218">
        <f t="shared" si="31"/>
        <v>0</v>
      </c>
      <c r="K289" s="292" t="str">
        <f t="array" ref="K289">IFERROR(I289*INDEX('PORTIFÓLIO'!$S$4:$S$433,MATCH($C289,'PORTIFÓLIO'!$C$4:$C$433,0)),"")</f>
        <v/>
      </c>
      <c r="L289" s="292" t="str">
        <f t="array" ref="L289">IFERROR(J289*INDEX('PORTIFÓLIO'!$S$4:$S$433,MATCH($C289,'PORTIFÓLIO'!$C$4:$C$433,0)),"")</f>
        <v/>
      </c>
      <c r="M289" s="220"/>
      <c r="N289" s="220"/>
      <c r="O289" s="220"/>
      <c r="P289" s="220"/>
      <c r="Q289" s="220"/>
      <c r="R289" s="220"/>
      <c r="S289" s="220"/>
      <c r="T289" s="220"/>
      <c r="U289" s="220"/>
      <c r="V289" s="220"/>
      <c r="W289" s="220"/>
    </row>
    <row r="290" ht="15.75" customHeight="1">
      <c r="A290" s="229" t="s">
        <v>1186</v>
      </c>
      <c r="B290" s="230"/>
      <c r="C290" s="231"/>
      <c r="D290" s="232"/>
      <c r="E290" s="231"/>
      <c r="F290" s="231"/>
      <c r="G290" s="233"/>
      <c r="H290" s="233"/>
      <c r="I290" s="258"/>
      <c r="J290" s="236"/>
      <c r="K290" s="237">
        <f t="shared" ref="K290:L290" si="32">SUBTOTAL(9,K291:K304)</f>
        <v>0</v>
      </c>
      <c r="L290" s="237">
        <f t="shared" si="32"/>
        <v>0</v>
      </c>
      <c r="M290" s="220"/>
      <c r="N290" s="220"/>
      <c r="O290" s="220"/>
      <c r="P290" s="220"/>
      <c r="Q290" s="220"/>
      <c r="R290" s="220"/>
      <c r="S290" s="220"/>
      <c r="T290" s="220"/>
      <c r="U290" s="220"/>
      <c r="V290" s="220"/>
      <c r="W290" s="220"/>
    </row>
    <row r="291" ht="15.75" customHeight="1" outlineLevel="1">
      <c r="A291" s="213"/>
      <c r="B291" s="212"/>
      <c r="C291" s="213"/>
      <c r="D291" s="214" t="str">
        <f>IFERROR(VLOOKUP($C291,'PORTIFÓLIO'!C:V,2,0),"")</f>
        <v/>
      </c>
      <c r="E291" s="211" t="str">
        <f>IFERROR(VLOOKUP($C291,'PORTIFÓLIO'!C:V,3,0),"")</f>
        <v/>
      </c>
      <c r="F291" s="211" t="str">
        <f>IFERROR(VLOOKUP($C291,'PORTIFÓLIO'!C:V,4,0),"")</f>
        <v/>
      </c>
      <c r="G291" s="215" t="str">
        <f>IFERROR(VLOOKUP($C291,'PORTIFÓLIO'!C:V,5,0),"")</f>
        <v/>
      </c>
      <c r="H291" s="254" t="str">
        <f t="array" ref="H291">IFERROR(INDEX('PORTIFÓLIO'!$H$4:$H$433,MATCH($C291,'PORTIFÓLIO'!$C$4:$C$433,0)),"")</f>
        <v/>
      </c>
      <c r="I291" s="255"/>
      <c r="J291" s="218">
        <f t="shared" ref="J291:J307" si="33">I291*$B$2</f>
        <v>0</v>
      </c>
      <c r="K291" s="292" t="str">
        <f t="array" ref="K291">IFERROR(I291*INDEX('PORTIFÓLIO'!$S$4:$S$433,MATCH($C291,'PORTIFÓLIO'!$C$4:$C$433,0)),"")</f>
        <v/>
      </c>
      <c r="L291" s="292" t="str">
        <f t="array" ref="L291">IFERROR(J291*INDEX('PORTIFÓLIO'!$S$4:$S$433,MATCH($C291,'PORTIFÓLIO'!$C$4:$C$433,0)),"")</f>
        <v/>
      </c>
      <c r="M291" s="220"/>
      <c r="N291" s="220"/>
      <c r="O291" s="220"/>
      <c r="P291" s="220"/>
      <c r="Q291" s="220"/>
      <c r="R291" s="220"/>
      <c r="S291" s="220"/>
      <c r="T291" s="220"/>
      <c r="U291" s="220"/>
      <c r="V291" s="220"/>
      <c r="W291" s="220"/>
    </row>
    <row r="292" ht="15.75" customHeight="1" outlineLevel="1">
      <c r="A292" s="211"/>
      <c r="B292" s="212"/>
      <c r="C292" s="213"/>
      <c r="D292" s="214" t="str">
        <f>IFERROR(VLOOKUP($C292,'PORTIFÓLIO'!C:V,2,0),"")</f>
        <v/>
      </c>
      <c r="E292" s="211" t="str">
        <f>IFERROR(VLOOKUP($C292,'PORTIFÓLIO'!C:V,3,0),"")</f>
        <v/>
      </c>
      <c r="F292" s="211" t="str">
        <f>IFERROR(VLOOKUP($C292,'PORTIFÓLIO'!C:V,4,0),"")</f>
        <v/>
      </c>
      <c r="G292" s="215" t="str">
        <f>IFERROR(VLOOKUP($C292,'PORTIFÓLIO'!C:V,5,0),"")</f>
        <v/>
      </c>
      <c r="H292" s="254" t="str">
        <f t="array" ref="H292">IFERROR(INDEX('PORTIFÓLIO'!$H$4:$H$433,MATCH($C292,'PORTIFÓLIO'!$C$4:$C$433,0)),"")</f>
        <v/>
      </c>
      <c r="I292" s="256"/>
      <c r="J292" s="218">
        <f t="shared" si="33"/>
        <v>0</v>
      </c>
      <c r="K292" s="292" t="str">
        <f t="array" ref="K292">IFERROR(I292*INDEX('PORTIFÓLIO'!$S$4:$S$433,MATCH($C292,'PORTIFÓLIO'!$C$4:$C$433,0)),"")</f>
        <v/>
      </c>
      <c r="L292" s="292" t="str">
        <f t="array" ref="L292">IFERROR(J292*INDEX('PORTIFÓLIO'!$S$4:$S$433,MATCH($C292,'PORTIFÓLIO'!$C$4:$C$433,0)),"")</f>
        <v/>
      </c>
      <c r="M292" s="220"/>
      <c r="N292" s="220"/>
      <c r="O292" s="220"/>
      <c r="P292" s="220"/>
      <c r="Q292" s="220"/>
      <c r="R292" s="220"/>
      <c r="S292" s="220"/>
      <c r="T292" s="220"/>
      <c r="U292" s="220"/>
      <c r="V292" s="220"/>
      <c r="W292" s="220"/>
    </row>
    <row r="293" ht="15.75" customHeight="1" outlineLevel="1">
      <c r="A293" s="211"/>
      <c r="B293" s="212"/>
      <c r="C293" s="213"/>
      <c r="D293" s="214" t="str">
        <f>IFERROR(VLOOKUP($C293,'PORTIFÓLIO'!C:V,2,0),"")</f>
        <v/>
      </c>
      <c r="E293" s="211" t="str">
        <f>IFERROR(VLOOKUP($C293,'PORTIFÓLIO'!C:V,3,0),"")</f>
        <v/>
      </c>
      <c r="F293" s="211" t="str">
        <f>IFERROR(VLOOKUP($C293,'PORTIFÓLIO'!C:V,4,0),"")</f>
        <v/>
      </c>
      <c r="G293" s="215" t="str">
        <f>IFERROR(VLOOKUP($C293,'PORTIFÓLIO'!C:V,5,0),"")</f>
        <v/>
      </c>
      <c r="H293" s="254" t="str">
        <f t="array" ref="H293">IFERROR(INDEX('PORTIFÓLIO'!$H$4:$H$433,MATCH($C293,'PORTIFÓLIO'!$C$4:$C$433,0)),"")</f>
        <v/>
      </c>
      <c r="I293" s="256"/>
      <c r="J293" s="218">
        <f t="shared" si="33"/>
        <v>0</v>
      </c>
      <c r="K293" s="292" t="str">
        <f t="array" ref="K293">IFERROR(I293*INDEX('PORTIFÓLIO'!$S$4:$S$433,MATCH($C293,'PORTIFÓLIO'!$C$4:$C$433,0)),"")</f>
        <v/>
      </c>
      <c r="L293" s="292" t="str">
        <f t="array" ref="L293">IFERROR(J293*INDEX('PORTIFÓLIO'!$S$4:$S$433,MATCH($C293,'PORTIFÓLIO'!$C$4:$C$433,0)),"")</f>
        <v/>
      </c>
      <c r="M293" s="220"/>
      <c r="N293" s="220"/>
      <c r="O293" s="220"/>
      <c r="P293" s="220"/>
      <c r="Q293" s="220"/>
      <c r="R293" s="220"/>
      <c r="S293" s="220"/>
      <c r="T293" s="220"/>
      <c r="U293" s="220"/>
      <c r="V293" s="220"/>
      <c r="W293" s="220"/>
    </row>
    <row r="294" ht="15.75" customHeight="1" outlineLevel="1">
      <c r="A294" s="211"/>
      <c r="B294" s="212"/>
      <c r="C294" s="213"/>
      <c r="D294" s="214" t="str">
        <f>IFERROR(VLOOKUP($C294,'PORTIFÓLIO'!C:V,2,0),"")</f>
        <v/>
      </c>
      <c r="E294" s="211" t="str">
        <f>IFERROR(VLOOKUP($C294,'PORTIFÓLIO'!C:V,3,0),"")</f>
        <v/>
      </c>
      <c r="F294" s="211" t="str">
        <f>IFERROR(VLOOKUP($C294,'PORTIFÓLIO'!C:V,4,0),"")</f>
        <v/>
      </c>
      <c r="G294" s="215" t="str">
        <f>IFERROR(VLOOKUP($C294,'PORTIFÓLIO'!C:V,5,0),"")</f>
        <v/>
      </c>
      <c r="H294" s="254" t="str">
        <f t="array" ref="H294">IFERROR(INDEX('PORTIFÓLIO'!$H$4:$H$433,MATCH($C294,'PORTIFÓLIO'!$C$4:$C$433,0)),"")</f>
        <v/>
      </c>
      <c r="I294" s="256"/>
      <c r="J294" s="218">
        <f t="shared" si="33"/>
        <v>0</v>
      </c>
      <c r="K294" s="292" t="str">
        <f t="array" ref="K294">IFERROR(I294*INDEX('PORTIFÓLIO'!$S$4:$S$433,MATCH($C294,'PORTIFÓLIO'!$C$4:$C$433,0)),"")</f>
        <v/>
      </c>
      <c r="L294" s="292" t="str">
        <f t="array" ref="L294">IFERROR(J294*INDEX('PORTIFÓLIO'!$S$4:$S$433,MATCH($C294,'PORTIFÓLIO'!$C$4:$C$433,0)),"")</f>
        <v/>
      </c>
      <c r="M294" s="220"/>
      <c r="N294" s="220"/>
      <c r="O294" s="220"/>
      <c r="P294" s="220"/>
      <c r="Q294" s="220"/>
      <c r="R294" s="220"/>
      <c r="S294" s="220"/>
      <c r="T294" s="220"/>
      <c r="U294" s="220"/>
      <c r="V294" s="220"/>
      <c r="W294" s="220"/>
    </row>
    <row r="295" ht="15.75" customHeight="1" outlineLevel="1">
      <c r="A295" s="211"/>
      <c r="B295" s="212"/>
      <c r="C295" s="213"/>
      <c r="D295" s="214" t="str">
        <f>IFERROR(VLOOKUP($C295,'PORTIFÓLIO'!C:V,2,0),"")</f>
        <v/>
      </c>
      <c r="E295" s="211" t="str">
        <f>IFERROR(VLOOKUP($C295,'PORTIFÓLIO'!C:V,3,0),"")</f>
        <v/>
      </c>
      <c r="F295" s="211" t="str">
        <f>IFERROR(VLOOKUP($C295,'PORTIFÓLIO'!C:V,4,0),"")</f>
        <v/>
      </c>
      <c r="G295" s="215" t="str">
        <f>IFERROR(VLOOKUP($C295,'PORTIFÓLIO'!C:V,5,0),"")</f>
        <v/>
      </c>
      <c r="H295" s="254" t="str">
        <f t="array" ref="H295">IFERROR(INDEX('PORTIFÓLIO'!$H$4:$H$433,MATCH($C295,'PORTIFÓLIO'!$C$4:$C$433,0)),"")</f>
        <v/>
      </c>
      <c r="I295" s="256"/>
      <c r="J295" s="218">
        <f t="shared" si="33"/>
        <v>0</v>
      </c>
      <c r="K295" s="292" t="str">
        <f t="array" ref="K295">IFERROR(I295*INDEX('PORTIFÓLIO'!$S$4:$S$433,MATCH($C295,'PORTIFÓLIO'!$C$4:$C$433,0)),"")</f>
        <v/>
      </c>
      <c r="L295" s="292" t="str">
        <f t="array" ref="L295">IFERROR(J295*INDEX('PORTIFÓLIO'!$S$4:$S$433,MATCH($C295,'PORTIFÓLIO'!$C$4:$C$433,0)),"")</f>
        <v/>
      </c>
      <c r="M295" s="220"/>
      <c r="N295" s="220"/>
      <c r="O295" s="220"/>
      <c r="P295" s="220"/>
      <c r="Q295" s="220"/>
      <c r="R295" s="220"/>
      <c r="S295" s="220"/>
      <c r="T295" s="220"/>
      <c r="U295" s="220"/>
      <c r="V295" s="220"/>
      <c r="W295" s="220"/>
    </row>
    <row r="296" ht="15.75" customHeight="1" outlineLevel="1">
      <c r="A296" s="211"/>
      <c r="B296" s="212"/>
      <c r="C296" s="213"/>
      <c r="D296" s="214" t="str">
        <f>IFERROR(VLOOKUP($C296,'PORTIFÓLIO'!C:V,2,0),"")</f>
        <v/>
      </c>
      <c r="E296" s="211" t="str">
        <f>IFERROR(VLOOKUP($C296,'PORTIFÓLIO'!C:V,3,0),"")</f>
        <v/>
      </c>
      <c r="F296" s="211" t="str">
        <f>IFERROR(VLOOKUP($C296,'PORTIFÓLIO'!C:V,4,0),"")</f>
        <v/>
      </c>
      <c r="G296" s="215" t="str">
        <f>IFERROR(VLOOKUP($C296,'PORTIFÓLIO'!C:V,5,0),"")</f>
        <v/>
      </c>
      <c r="H296" s="254" t="str">
        <f t="array" ref="H296">IFERROR(INDEX('PORTIFÓLIO'!$H$4:$H$433,MATCH($C296,'PORTIFÓLIO'!$C$4:$C$433,0)),"")</f>
        <v/>
      </c>
      <c r="I296" s="256"/>
      <c r="J296" s="218">
        <f t="shared" si="33"/>
        <v>0</v>
      </c>
      <c r="K296" s="292" t="str">
        <f t="array" ref="K296">IFERROR(I296*INDEX('PORTIFÓLIO'!$S$4:$S$433,MATCH($C296,'PORTIFÓLIO'!$C$4:$C$433,0)),"")</f>
        <v/>
      </c>
      <c r="L296" s="292" t="str">
        <f t="array" ref="L296">IFERROR(J296*INDEX('PORTIFÓLIO'!$S$4:$S$433,MATCH($C296,'PORTIFÓLIO'!$C$4:$C$433,0)),"")</f>
        <v/>
      </c>
      <c r="M296" s="220"/>
      <c r="N296" s="220"/>
      <c r="O296" s="220"/>
      <c r="P296" s="220"/>
      <c r="Q296" s="220"/>
      <c r="R296" s="220"/>
      <c r="S296" s="220"/>
      <c r="T296" s="220"/>
      <c r="U296" s="220"/>
      <c r="V296" s="220"/>
      <c r="W296" s="220"/>
    </row>
    <row r="297" ht="15.75" customHeight="1" outlineLevel="1">
      <c r="A297" s="211"/>
      <c r="B297" s="212"/>
      <c r="C297" s="213"/>
      <c r="D297" s="214" t="str">
        <f>IFERROR(VLOOKUP($C297,'PORTIFÓLIO'!C:V,2,0),"")</f>
        <v/>
      </c>
      <c r="E297" s="211" t="str">
        <f>IFERROR(VLOOKUP($C297,'PORTIFÓLIO'!C:V,3,0),"")</f>
        <v/>
      </c>
      <c r="F297" s="211" t="str">
        <f>IFERROR(VLOOKUP($C297,'PORTIFÓLIO'!C:V,4,0),"")</f>
        <v/>
      </c>
      <c r="G297" s="215" t="str">
        <f>IFERROR(VLOOKUP($C297,'PORTIFÓLIO'!C:V,5,0),"")</f>
        <v/>
      </c>
      <c r="H297" s="254" t="str">
        <f t="array" ref="H297">IFERROR(INDEX('PORTIFÓLIO'!$H$4:$H$433,MATCH($C297,'PORTIFÓLIO'!$C$4:$C$433,0)),"")</f>
        <v/>
      </c>
      <c r="I297" s="256"/>
      <c r="J297" s="218">
        <f t="shared" si="33"/>
        <v>0</v>
      </c>
      <c r="K297" s="292" t="str">
        <f t="array" ref="K297">IFERROR(I297*INDEX('PORTIFÓLIO'!$S$4:$S$433,MATCH($C297,'PORTIFÓLIO'!$C$4:$C$433,0)),"")</f>
        <v/>
      </c>
      <c r="L297" s="292" t="str">
        <f t="array" ref="L297">IFERROR(J297*INDEX('PORTIFÓLIO'!$S$4:$S$433,MATCH($C297,'PORTIFÓLIO'!$C$4:$C$433,0)),"")</f>
        <v/>
      </c>
      <c r="M297" s="220"/>
      <c r="N297" s="220"/>
      <c r="O297" s="220"/>
      <c r="P297" s="220"/>
      <c r="Q297" s="220"/>
      <c r="R297" s="220"/>
      <c r="S297" s="220"/>
      <c r="T297" s="220"/>
      <c r="U297" s="220"/>
      <c r="V297" s="220"/>
      <c r="W297" s="220"/>
    </row>
    <row r="298" ht="15.75" customHeight="1" outlineLevel="1">
      <c r="A298" s="211"/>
      <c r="B298" s="212"/>
      <c r="C298" s="213"/>
      <c r="D298" s="214" t="str">
        <f>IFERROR(VLOOKUP($C298,'PORTIFÓLIO'!C:V,2,0),"")</f>
        <v/>
      </c>
      <c r="E298" s="211" t="str">
        <f>IFERROR(VLOOKUP($C298,'PORTIFÓLIO'!C:V,3,0),"")</f>
        <v/>
      </c>
      <c r="F298" s="211" t="str">
        <f>IFERROR(VLOOKUP($C298,'PORTIFÓLIO'!C:V,4,0),"")</f>
        <v/>
      </c>
      <c r="G298" s="215" t="str">
        <f>IFERROR(VLOOKUP($C298,'PORTIFÓLIO'!C:V,5,0),"")</f>
        <v/>
      </c>
      <c r="H298" s="254" t="str">
        <f t="array" ref="H298">IFERROR(INDEX('PORTIFÓLIO'!$H$4:$H$433,MATCH($C298,'PORTIFÓLIO'!$C$4:$C$433,0)),"")</f>
        <v/>
      </c>
      <c r="I298" s="256"/>
      <c r="J298" s="218">
        <f t="shared" si="33"/>
        <v>0</v>
      </c>
      <c r="K298" s="292" t="str">
        <f t="array" ref="K298">IFERROR(I298*INDEX('PORTIFÓLIO'!$S$4:$S$433,MATCH($C298,'PORTIFÓLIO'!$C$4:$C$433,0)),"")</f>
        <v/>
      </c>
      <c r="L298" s="292" t="str">
        <f t="array" ref="L298">IFERROR(J298*INDEX('PORTIFÓLIO'!$S$4:$S$433,MATCH($C298,'PORTIFÓLIO'!$C$4:$C$433,0)),"")</f>
        <v/>
      </c>
      <c r="M298" s="220"/>
      <c r="N298" s="220"/>
      <c r="O298" s="220"/>
      <c r="P298" s="220"/>
      <c r="Q298" s="220"/>
      <c r="R298" s="220"/>
      <c r="S298" s="220"/>
      <c r="T298" s="220"/>
      <c r="U298" s="220"/>
      <c r="V298" s="220"/>
      <c r="W298" s="220"/>
    </row>
    <row r="299" ht="15.75" customHeight="1" outlineLevel="1">
      <c r="A299" s="211"/>
      <c r="B299" s="212"/>
      <c r="C299" s="213"/>
      <c r="D299" s="214" t="str">
        <f>IFERROR(VLOOKUP($C299,'PORTIFÓLIO'!C:V,2,0),"")</f>
        <v/>
      </c>
      <c r="E299" s="211" t="str">
        <f>IFERROR(VLOOKUP($C299,'PORTIFÓLIO'!C:V,3,0),"")</f>
        <v/>
      </c>
      <c r="F299" s="211" t="str">
        <f>IFERROR(VLOOKUP($C299,'PORTIFÓLIO'!C:V,4,0),"")</f>
        <v/>
      </c>
      <c r="G299" s="215" t="str">
        <f>IFERROR(VLOOKUP($C299,'PORTIFÓLIO'!C:V,5,0),"")</f>
        <v/>
      </c>
      <c r="H299" s="254" t="str">
        <f t="array" ref="H299">IFERROR(INDEX('PORTIFÓLIO'!$H$4:$H$433,MATCH($C299,'PORTIFÓLIO'!$C$4:$C$433,0)),"")</f>
        <v/>
      </c>
      <c r="I299" s="255"/>
      <c r="J299" s="218">
        <f t="shared" si="33"/>
        <v>0</v>
      </c>
      <c r="K299" s="292" t="str">
        <f t="array" ref="K299">IFERROR(I299*INDEX('PORTIFÓLIO'!$S$4:$S$433,MATCH($C299,'PORTIFÓLIO'!$C$4:$C$433,0)),"")</f>
        <v/>
      </c>
      <c r="L299" s="292" t="str">
        <f t="array" ref="L299">IFERROR(J299*INDEX('PORTIFÓLIO'!$S$4:$S$433,MATCH($C299,'PORTIFÓLIO'!$C$4:$C$433,0)),"")</f>
        <v/>
      </c>
      <c r="M299" s="220"/>
      <c r="N299" s="220"/>
      <c r="O299" s="220"/>
      <c r="P299" s="220"/>
      <c r="Q299" s="220"/>
      <c r="R299" s="220"/>
      <c r="S299" s="220"/>
      <c r="T299" s="220"/>
      <c r="U299" s="220"/>
      <c r="V299" s="220"/>
      <c r="W299" s="220"/>
    </row>
    <row r="300" ht="15.75" customHeight="1" outlineLevel="1">
      <c r="A300" s="211"/>
      <c r="B300" s="212"/>
      <c r="C300" s="213"/>
      <c r="D300" s="214" t="str">
        <f>IFERROR(VLOOKUP($C300,'PORTIFÓLIO'!C:V,2,0),"")</f>
        <v/>
      </c>
      <c r="E300" s="211" t="str">
        <f>IFERROR(VLOOKUP($C300,'PORTIFÓLIO'!C:V,3,0),"")</f>
        <v/>
      </c>
      <c r="F300" s="211" t="str">
        <f>IFERROR(VLOOKUP($C300,'PORTIFÓLIO'!C:V,4,0),"")</f>
        <v/>
      </c>
      <c r="G300" s="215" t="str">
        <f>IFERROR(VLOOKUP($C300,'PORTIFÓLIO'!C:V,5,0),"")</f>
        <v/>
      </c>
      <c r="H300" s="254" t="str">
        <f t="array" ref="H300">IFERROR(INDEX('PORTIFÓLIO'!$H$4:$H$433,MATCH($C300,'PORTIFÓLIO'!$C$4:$C$433,0)),"")</f>
        <v/>
      </c>
      <c r="I300" s="256"/>
      <c r="J300" s="218">
        <f t="shared" si="33"/>
        <v>0</v>
      </c>
      <c r="K300" s="292" t="str">
        <f t="array" ref="K300">IFERROR(I300*INDEX('PORTIFÓLIO'!$S$4:$S$433,MATCH($C300,'PORTIFÓLIO'!$C$4:$C$433,0)),"")</f>
        <v/>
      </c>
      <c r="L300" s="292" t="str">
        <f t="array" ref="L300">IFERROR(J300*INDEX('PORTIFÓLIO'!$S$4:$S$433,MATCH($C300,'PORTIFÓLIO'!$C$4:$C$433,0)),"")</f>
        <v/>
      </c>
      <c r="M300" s="220"/>
      <c r="N300" s="220"/>
      <c r="O300" s="220"/>
      <c r="P300" s="220"/>
      <c r="Q300" s="220"/>
      <c r="R300" s="220"/>
      <c r="S300" s="220"/>
      <c r="T300" s="220"/>
      <c r="U300" s="220"/>
      <c r="V300" s="220"/>
      <c r="W300" s="220"/>
    </row>
    <row r="301" ht="15.75" customHeight="1" outlineLevel="1">
      <c r="A301" s="211"/>
      <c r="B301" s="212"/>
      <c r="C301" s="213"/>
      <c r="D301" s="214" t="str">
        <f>IFERROR(VLOOKUP($C301,'PORTIFÓLIO'!C:V,2,0),"")</f>
        <v/>
      </c>
      <c r="E301" s="211" t="str">
        <f>IFERROR(VLOOKUP($C301,'PORTIFÓLIO'!C:V,3,0),"")</f>
        <v/>
      </c>
      <c r="F301" s="211" t="str">
        <f>IFERROR(VLOOKUP($C301,'PORTIFÓLIO'!C:V,4,0),"")</f>
        <v/>
      </c>
      <c r="G301" s="215" t="str">
        <f>IFERROR(VLOOKUP($C301,'PORTIFÓLIO'!C:V,5,0),"")</f>
        <v/>
      </c>
      <c r="H301" s="254" t="str">
        <f t="array" ref="H301">IFERROR(INDEX('PORTIFÓLIO'!$H$4:$H$433,MATCH($C301,'PORTIFÓLIO'!$C$4:$C$433,0)),"")</f>
        <v/>
      </c>
      <c r="I301" s="256"/>
      <c r="J301" s="218">
        <f t="shared" si="33"/>
        <v>0</v>
      </c>
      <c r="K301" s="292" t="str">
        <f t="array" ref="K301">IFERROR(I301*INDEX('PORTIFÓLIO'!$S$4:$S$433,MATCH($C301,'PORTIFÓLIO'!$C$4:$C$433,0)),"")</f>
        <v/>
      </c>
      <c r="L301" s="292" t="str">
        <f t="array" ref="L301">IFERROR(J301*INDEX('PORTIFÓLIO'!$S$4:$S$433,MATCH($C301,'PORTIFÓLIO'!$C$4:$C$433,0)),"")</f>
        <v/>
      </c>
      <c r="M301" s="220"/>
      <c r="N301" s="220"/>
      <c r="O301" s="220"/>
      <c r="P301" s="220"/>
      <c r="Q301" s="220"/>
      <c r="R301" s="220"/>
      <c r="S301" s="220"/>
      <c r="T301" s="220"/>
      <c r="U301" s="220"/>
      <c r="V301" s="220"/>
      <c r="W301" s="220"/>
    </row>
    <row r="302" ht="15.75" customHeight="1" outlineLevel="1">
      <c r="A302" s="211"/>
      <c r="B302" s="212"/>
      <c r="C302" s="213"/>
      <c r="D302" s="214" t="str">
        <f>IFERROR(VLOOKUP($C302,'PORTIFÓLIO'!C:V,2,0),"")</f>
        <v/>
      </c>
      <c r="E302" s="211" t="str">
        <f>IFERROR(VLOOKUP($C302,'PORTIFÓLIO'!C:V,3,0),"")</f>
        <v/>
      </c>
      <c r="F302" s="211" t="str">
        <f>IFERROR(VLOOKUP($C302,'PORTIFÓLIO'!C:V,4,0),"")</f>
        <v/>
      </c>
      <c r="G302" s="215" t="str">
        <f>IFERROR(VLOOKUP($C302,'PORTIFÓLIO'!C:V,5,0),"")</f>
        <v/>
      </c>
      <c r="H302" s="254" t="str">
        <f t="array" ref="H302">IFERROR(INDEX('PORTIFÓLIO'!$H$4:$H$433,MATCH($C302,'PORTIFÓLIO'!$C$4:$C$433,0)),"")</f>
        <v/>
      </c>
      <c r="I302" s="256"/>
      <c r="J302" s="218">
        <f t="shared" si="33"/>
        <v>0</v>
      </c>
      <c r="K302" s="292" t="str">
        <f t="array" ref="K302">IFERROR(I302*INDEX('PORTIFÓLIO'!$S$4:$S$433,MATCH($C302,'PORTIFÓLIO'!$C$4:$C$433,0)),"")</f>
        <v/>
      </c>
      <c r="L302" s="292" t="str">
        <f t="array" ref="L302">IFERROR(J302*INDEX('PORTIFÓLIO'!$S$4:$S$433,MATCH($C302,'PORTIFÓLIO'!$C$4:$C$433,0)),"")</f>
        <v/>
      </c>
      <c r="M302" s="220"/>
      <c r="N302" s="220"/>
      <c r="O302" s="220"/>
      <c r="P302" s="220"/>
      <c r="Q302" s="220"/>
      <c r="R302" s="220"/>
      <c r="S302" s="220"/>
      <c r="T302" s="220"/>
      <c r="U302" s="220"/>
      <c r="V302" s="220"/>
      <c r="W302" s="220"/>
    </row>
    <row r="303" ht="15.75" customHeight="1" outlineLevel="1">
      <c r="A303" s="211"/>
      <c r="B303" s="212"/>
      <c r="C303" s="213"/>
      <c r="D303" s="214" t="str">
        <f>IFERROR(VLOOKUP($C303,'PORTIFÓLIO'!C:V,2,0),"")</f>
        <v/>
      </c>
      <c r="E303" s="211" t="str">
        <f>IFERROR(VLOOKUP($C303,'PORTIFÓLIO'!C:V,3,0),"")</f>
        <v/>
      </c>
      <c r="F303" s="211" t="str">
        <f>IFERROR(VLOOKUP($C303,'PORTIFÓLIO'!C:V,4,0),"")</f>
        <v/>
      </c>
      <c r="G303" s="215" t="str">
        <f>IFERROR(VLOOKUP($C303,'PORTIFÓLIO'!C:V,5,0),"")</f>
        <v/>
      </c>
      <c r="H303" s="254" t="str">
        <f t="array" ref="H303">IFERROR(INDEX('PORTIFÓLIO'!$H$4:$H$433,MATCH($C303,'PORTIFÓLIO'!$C$4:$C$433,0)),"")</f>
        <v/>
      </c>
      <c r="I303" s="256"/>
      <c r="J303" s="218">
        <f t="shared" si="33"/>
        <v>0</v>
      </c>
      <c r="K303" s="292" t="str">
        <f t="array" ref="K303">IFERROR(I303*INDEX('PORTIFÓLIO'!$S$4:$S$433,MATCH($C303,'PORTIFÓLIO'!$C$4:$C$433,0)),"")</f>
        <v/>
      </c>
      <c r="L303" s="292" t="str">
        <f t="array" ref="L303">IFERROR(J303*INDEX('PORTIFÓLIO'!$S$4:$S$433,MATCH($C303,'PORTIFÓLIO'!$C$4:$C$433,0)),"")</f>
        <v/>
      </c>
      <c r="M303" s="220"/>
      <c r="N303" s="220"/>
      <c r="O303" s="220"/>
      <c r="P303" s="220"/>
      <c r="Q303" s="220"/>
      <c r="R303" s="220"/>
      <c r="S303" s="220"/>
      <c r="T303" s="220"/>
      <c r="U303" s="220"/>
      <c r="V303" s="220"/>
      <c r="W303" s="220"/>
    </row>
    <row r="304" ht="15.75" customHeight="1" outlineLevel="1">
      <c r="A304" s="211"/>
      <c r="B304" s="212"/>
      <c r="C304" s="213"/>
      <c r="D304" s="214" t="str">
        <f>IFERROR(VLOOKUP($C304,'PORTIFÓLIO'!C:V,2,0),"")</f>
        <v/>
      </c>
      <c r="E304" s="211" t="str">
        <f>IFERROR(VLOOKUP($C304,'PORTIFÓLIO'!C:V,3,0),"")</f>
        <v/>
      </c>
      <c r="F304" s="211" t="str">
        <f>IFERROR(VLOOKUP($C304,'PORTIFÓLIO'!C:V,4,0),"")</f>
        <v/>
      </c>
      <c r="G304" s="215" t="str">
        <f>IFERROR(VLOOKUP($C304,'PORTIFÓLIO'!C:V,5,0),"")</f>
        <v/>
      </c>
      <c r="H304" s="254" t="str">
        <f t="array" ref="H304">IFERROR(INDEX('PORTIFÓLIO'!$H$4:$H$433,MATCH($C304,'PORTIFÓLIO'!$C$4:$C$433,0)),"")</f>
        <v/>
      </c>
      <c r="I304" s="256"/>
      <c r="J304" s="218">
        <f t="shared" si="33"/>
        <v>0</v>
      </c>
      <c r="K304" s="292" t="str">
        <f t="array" ref="K304">IFERROR(I304*INDEX('PORTIFÓLIO'!$S$4:$S$433,MATCH($C304,'PORTIFÓLIO'!$C$4:$C$433,0)),"")</f>
        <v/>
      </c>
      <c r="L304" s="292" t="str">
        <f t="array" ref="L304">IFERROR(J304*INDEX('PORTIFÓLIO'!$S$4:$S$433,MATCH($C304,'PORTIFÓLIO'!$C$4:$C$433,0)),"")</f>
        <v/>
      </c>
      <c r="M304" s="220"/>
      <c r="N304" s="220"/>
      <c r="O304" s="220"/>
      <c r="P304" s="220"/>
      <c r="Q304" s="220"/>
      <c r="R304" s="220"/>
      <c r="S304" s="220"/>
      <c r="T304" s="220"/>
      <c r="U304" s="220"/>
      <c r="V304" s="220"/>
      <c r="W304" s="220"/>
    </row>
    <row r="305" ht="15.75" customHeight="1" outlineLevel="1">
      <c r="A305" s="211"/>
      <c r="B305" s="212"/>
      <c r="C305" s="213"/>
      <c r="D305" s="214" t="str">
        <f>IFERROR(VLOOKUP($C305,'PORTIFÓLIO'!C:V,2,0),"")</f>
        <v/>
      </c>
      <c r="E305" s="211" t="str">
        <f>IFERROR(VLOOKUP($C305,'PORTIFÓLIO'!C:V,3,0),"")</f>
        <v/>
      </c>
      <c r="F305" s="211" t="str">
        <f>IFERROR(VLOOKUP($C305,'PORTIFÓLIO'!C:V,4,0),"")</f>
        <v/>
      </c>
      <c r="G305" s="215" t="str">
        <f>IFERROR(VLOOKUP($C305,'PORTIFÓLIO'!C:V,5,0),"")</f>
        <v/>
      </c>
      <c r="H305" s="254" t="str">
        <f t="array" ref="H305">IFERROR(INDEX('PORTIFÓLIO'!$H$4:$H$433,MATCH($C305,'PORTIFÓLIO'!$C$4:$C$433,0)),"")</f>
        <v/>
      </c>
      <c r="I305" s="256"/>
      <c r="J305" s="218">
        <f t="shared" si="33"/>
        <v>0</v>
      </c>
      <c r="K305" s="292" t="str">
        <f t="array" ref="K305">IFERROR(I305*INDEX('PORTIFÓLIO'!$S$4:$S$433,MATCH($C305,'PORTIFÓLIO'!$C$4:$C$433,0)),"")</f>
        <v/>
      </c>
      <c r="L305" s="292" t="str">
        <f t="array" ref="L305">IFERROR(J305*INDEX('PORTIFÓLIO'!$S$4:$S$433,MATCH($C305,'PORTIFÓLIO'!$C$4:$C$433,0)),"")</f>
        <v/>
      </c>
      <c r="M305" s="220"/>
      <c r="N305" s="220"/>
      <c r="O305" s="220"/>
      <c r="P305" s="220"/>
      <c r="Q305" s="220"/>
      <c r="R305" s="220"/>
      <c r="S305" s="220"/>
      <c r="T305" s="220"/>
      <c r="U305" s="220"/>
      <c r="V305" s="220"/>
      <c r="W305" s="220"/>
    </row>
    <row r="306" ht="15.75" customHeight="1" outlineLevel="1">
      <c r="A306" s="211"/>
      <c r="B306" s="212"/>
      <c r="C306" s="213"/>
      <c r="D306" s="214" t="str">
        <f>IFERROR(VLOOKUP($C306,'PORTIFÓLIO'!C:V,2,0),"")</f>
        <v/>
      </c>
      <c r="E306" s="211" t="str">
        <f>IFERROR(VLOOKUP($C306,'PORTIFÓLIO'!C:V,3,0),"")</f>
        <v/>
      </c>
      <c r="F306" s="211" t="str">
        <f>IFERROR(VLOOKUP($C306,'PORTIFÓLIO'!C:V,4,0),"")</f>
        <v/>
      </c>
      <c r="G306" s="215" t="str">
        <f>IFERROR(VLOOKUP($C306,'PORTIFÓLIO'!C:V,5,0),"")</f>
        <v/>
      </c>
      <c r="H306" s="254" t="str">
        <f t="array" ref="H306">IFERROR(INDEX('PORTIFÓLIO'!$H$4:$H$433,MATCH($C306,'PORTIFÓLIO'!$C$4:$C$433,0)),"")</f>
        <v/>
      </c>
      <c r="I306" s="256"/>
      <c r="J306" s="218">
        <f t="shared" si="33"/>
        <v>0</v>
      </c>
      <c r="K306" s="292" t="str">
        <f t="array" ref="K306">IFERROR(I306*INDEX('PORTIFÓLIO'!$S$4:$S$433,MATCH($C306,'PORTIFÓLIO'!$C$4:$C$433,0)),"")</f>
        <v/>
      </c>
      <c r="L306" s="292" t="str">
        <f t="array" ref="L306">IFERROR(J306*INDEX('PORTIFÓLIO'!$S$4:$S$433,MATCH($C306,'PORTIFÓLIO'!$C$4:$C$433,0)),"")</f>
        <v/>
      </c>
      <c r="M306" s="220"/>
      <c r="N306" s="220"/>
      <c r="O306" s="220"/>
      <c r="P306" s="220"/>
      <c r="Q306" s="220"/>
      <c r="R306" s="220"/>
      <c r="S306" s="220"/>
      <c r="T306" s="220"/>
      <c r="U306" s="220"/>
      <c r="V306" s="220"/>
      <c r="W306" s="220"/>
    </row>
    <row r="307" ht="15.75" customHeight="1" outlineLevel="1">
      <c r="A307" s="211"/>
      <c r="B307" s="212"/>
      <c r="C307" s="213"/>
      <c r="D307" s="214" t="str">
        <f>IFERROR(VLOOKUP($C307,'PORTIFÓLIO'!C:V,2,0),"")</f>
        <v/>
      </c>
      <c r="E307" s="211" t="str">
        <f>IFERROR(VLOOKUP($C307,'PORTIFÓLIO'!C:V,3,0),"")</f>
        <v/>
      </c>
      <c r="F307" s="211" t="str">
        <f>IFERROR(VLOOKUP($C307,'PORTIFÓLIO'!C:V,4,0),"")</f>
        <v/>
      </c>
      <c r="G307" s="215" t="str">
        <f>IFERROR(VLOOKUP($C307,'PORTIFÓLIO'!C:V,5,0),"")</f>
        <v/>
      </c>
      <c r="H307" s="254" t="str">
        <f t="array" ref="H307">IFERROR(INDEX('PORTIFÓLIO'!$H$4:$H$433,MATCH($C307,'PORTIFÓLIO'!$C$4:$C$433,0)),"")</f>
        <v/>
      </c>
      <c r="I307" s="256"/>
      <c r="J307" s="218">
        <f t="shared" si="33"/>
        <v>0</v>
      </c>
      <c r="K307" s="292" t="str">
        <f t="array" ref="K307">IFERROR(I307*INDEX('PORTIFÓLIO'!$S$4:$S$433,MATCH($C307,'PORTIFÓLIO'!$C$4:$C$433,0)),"")</f>
        <v/>
      </c>
      <c r="L307" s="292" t="str">
        <f t="array" ref="L307">IFERROR(J307*INDEX('PORTIFÓLIO'!$S$4:$S$433,MATCH($C307,'PORTIFÓLIO'!$C$4:$C$433,0)),"")</f>
        <v/>
      </c>
      <c r="M307" s="220"/>
      <c r="N307" s="220"/>
      <c r="O307" s="220"/>
      <c r="P307" s="220"/>
      <c r="Q307" s="220"/>
      <c r="R307" s="220"/>
      <c r="S307" s="220"/>
      <c r="T307" s="220"/>
      <c r="U307" s="220"/>
      <c r="V307" s="220"/>
      <c r="W307" s="220"/>
    </row>
    <row r="308" ht="15.75" customHeight="1">
      <c r="A308" s="229" t="s">
        <v>1188</v>
      </c>
      <c r="B308" s="230"/>
      <c r="C308" s="231"/>
      <c r="D308" s="232"/>
      <c r="E308" s="231"/>
      <c r="F308" s="231"/>
      <c r="G308" s="233"/>
      <c r="H308" s="233"/>
      <c r="I308" s="258"/>
      <c r="J308" s="236"/>
      <c r="K308" s="237">
        <f t="shared" ref="K308:L308" si="34">SUBTOTAL(9,K309:K322)</f>
        <v>0</v>
      </c>
      <c r="L308" s="237">
        <f t="shared" si="34"/>
        <v>0</v>
      </c>
      <c r="M308" s="220"/>
      <c r="N308" s="220"/>
      <c r="O308" s="220"/>
      <c r="P308" s="220"/>
      <c r="Q308" s="220"/>
      <c r="R308" s="220"/>
      <c r="S308" s="220"/>
      <c r="T308" s="220"/>
      <c r="U308" s="220"/>
      <c r="V308" s="220"/>
      <c r="W308" s="220"/>
    </row>
    <row r="309" ht="15.75" customHeight="1" outlineLevel="1">
      <c r="A309" s="213"/>
      <c r="B309" s="212"/>
      <c r="C309" s="213"/>
      <c r="D309" s="214" t="str">
        <f>IFERROR(VLOOKUP($C309,'PORTIFÓLIO'!C:V,2,0),"")</f>
        <v/>
      </c>
      <c r="E309" s="211" t="str">
        <f>IFERROR(VLOOKUP($C309,'PORTIFÓLIO'!C:V,3,0),"")</f>
        <v/>
      </c>
      <c r="F309" s="211" t="str">
        <f>IFERROR(VLOOKUP($C309,'PORTIFÓLIO'!C:V,4,0),"")</f>
        <v/>
      </c>
      <c r="G309" s="215" t="str">
        <f>IFERROR(VLOOKUP($C309,'PORTIFÓLIO'!C:V,5,0),"")</f>
        <v/>
      </c>
      <c r="H309" s="254" t="str">
        <f t="array" ref="H309">IFERROR(INDEX('PORTIFÓLIO'!$H$4:$H$433,MATCH($C309,'PORTIFÓLIO'!$C$4:$C$433,0)),"")</f>
        <v/>
      </c>
      <c r="I309" s="255"/>
      <c r="J309" s="218">
        <f t="shared" ref="J309:J323" si="35">I309*$B$2</f>
        <v>0</v>
      </c>
      <c r="K309" s="292" t="str">
        <f t="array" ref="K309">IFERROR(I309*INDEX('PORTIFÓLIO'!$S$4:$S$433,MATCH($C309,'PORTIFÓLIO'!$C$4:$C$433,0)),"")</f>
        <v/>
      </c>
      <c r="L309" s="292" t="str">
        <f t="array" ref="L309">IFERROR(J309*INDEX('PORTIFÓLIO'!$S$4:$S$433,MATCH($C309,'PORTIFÓLIO'!$C$4:$C$433,0)),"")</f>
        <v/>
      </c>
      <c r="M309" s="220"/>
      <c r="N309" s="220"/>
      <c r="O309" s="220"/>
      <c r="P309" s="220"/>
      <c r="Q309" s="220"/>
      <c r="R309" s="220"/>
      <c r="S309" s="220"/>
      <c r="T309" s="220"/>
      <c r="U309" s="220"/>
      <c r="V309" s="220"/>
      <c r="W309" s="220"/>
    </row>
    <row r="310" ht="15.75" customHeight="1" outlineLevel="1">
      <c r="A310" s="211"/>
      <c r="B310" s="212"/>
      <c r="C310" s="213"/>
      <c r="D310" s="214" t="str">
        <f>IFERROR(VLOOKUP($C310,'PORTIFÓLIO'!C:V,2,0),"")</f>
        <v/>
      </c>
      <c r="E310" s="211" t="str">
        <f>IFERROR(VLOOKUP($C310,'PORTIFÓLIO'!C:V,3,0),"")</f>
        <v/>
      </c>
      <c r="F310" s="211" t="str">
        <f>IFERROR(VLOOKUP($C310,'PORTIFÓLIO'!C:V,4,0),"")</f>
        <v/>
      </c>
      <c r="G310" s="215" t="str">
        <f>IFERROR(VLOOKUP($C310,'PORTIFÓLIO'!C:V,5,0),"")</f>
        <v/>
      </c>
      <c r="H310" s="254" t="str">
        <f t="array" ref="H310">IFERROR(INDEX('PORTIFÓLIO'!$H$4:$H$433,MATCH($C310,'PORTIFÓLIO'!$C$4:$C$433,0)),"")</f>
        <v/>
      </c>
      <c r="I310" s="256"/>
      <c r="J310" s="218">
        <f t="shared" si="35"/>
        <v>0</v>
      </c>
      <c r="K310" s="292" t="str">
        <f t="array" ref="K310">IFERROR(I310*INDEX('PORTIFÓLIO'!$S$4:$S$433,MATCH($C310,'PORTIFÓLIO'!$C$4:$C$433,0)),"")</f>
        <v/>
      </c>
      <c r="L310" s="292" t="str">
        <f t="array" ref="L310">IFERROR(J310*INDEX('PORTIFÓLIO'!$S$4:$S$433,MATCH($C310,'PORTIFÓLIO'!$C$4:$C$433,0)),"")</f>
        <v/>
      </c>
      <c r="M310" s="220"/>
      <c r="N310" s="220"/>
      <c r="O310" s="220"/>
      <c r="P310" s="220"/>
      <c r="Q310" s="220"/>
      <c r="R310" s="220"/>
      <c r="S310" s="220"/>
      <c r="T310" s="220"/>
      <c r="U310" s="220"/>
      <c r="V310" s="220"/>
      <c r="W310" s="220"/>
    </row>
    <row r="311" ht="15.75" customHeight="1" outlineLevel="1">
      <c r="A311" s="211"/>
      <c r="B311" s="212"/>
      <c r="C311" s="213"/>
      <c r="D311" s="214" t="str">
        <f>IFERROR(VLOOKUP($C311,'PORTIFÓLIO'!C:V,2,0),"")</f>
        <v/>
      </c>
      <c r="E311" s="211" t="str">
        <f>IFERROR(VLOOKUP($C311,'PORTIFÓLIO'!C:V,3,0),"")</f>
        <v/>
      </c>
      <c r="F311" s="211" t="str">
        <f>IFERROR(VLOOKUP($C311,'PORTIFÓLIO'!C:V,4,0),"")</f>
        <v/>
      </c>
      <c r="G311" s="215" t="str">
        <f>IFERROR(VLOOKUP($C311,'PORTIFÓLIO'!C:V,5,0),"")</f>
        <v/>
      </c>
      <c r="H311" s="254" t="str">
        <f t="array" ref="H311">IFERROR(INDEX('PORTIFÓLIO'!$H$4:$H$433,MATCH($C311,'PORTIFÓLIO'!$C$4:$C$433,0)),"")</f>
        <v/>
      </c>
      <c r="I311" s="256"/>
      <c r="J311" s="218">
        <f t="shared" si="35"/>
        <v>0</v>
      </c>
      <c r="K311" s="292" t="str">
        <f t="array" ref="K311">IFERROR(I311*INDEX('PORTIFÓLIO'!$S$4:$S$433,MATCH($C311,'PORTIFÓLIO'!$C$4:$C$433,0)),"")</f>
        <v/>
      </c>
      <c r="L311" s="292" t="str">
        <f t="array" ref="L311">IFERROR(J311*INDEX('PORTIFÓLIO'!$S$4:$S$433,MATCH($C311,'PORTIFÓLIO'!$C$4:$C$433,0)),"")</f>
        <v/>
      </c>
      <c r="M311" s="220"/>
      <c r="N311" s="220"/>
      <c r="O311" s="220"/>
      <c r="P311" s="220"/>
      <c r="Q311" s="220"/>
      <c r="R311" s="220"/>
      <c r="S311" s="220"/>
      <c r="T311" s="220"/>
      <c r="U311" s="220"/>
      <c r="V311" s="220"/>
      <c r="W311" s="220"/>
    </row>
    <row r="312" ht="15.75" customHeight="1" outlineLevel="1">
      <c r="A312" s="211"/>
      <c r="B312" s="212"/>
      <c r="C312" s="213"/>
      <c r="D312" s="214" t="str">
        <f>IFERROR(VLOOKUP($C312,'PORTIFÓLIO'!C:V,2,0),"")</f>
        <v/>
      </c>
      <c r="E312" s="211" t="str">
        <f>IFERROR(VLOOKUP($C312,'PORTIFÓLIO'!C:V,3,0),"")</f>
        <v/>
      </c>
      <c r="F312" s="211" t="str">
        <f>IFERROR(VLOOKUP($C312,'PORTIFÓLIO'!C:V,4,0),"")</f>
        <v/>
      </c>
      <c r="G312" s="215" t="str">
        <f>IFERROR(VLOOKUP($C312,'PORTIFÓLIO'!C:V,5,0),"")</f>
        <v/>
      </c>
      <c r="H312" s="254" t="str">
        <f t="array" ref="H312">IFERROR(INDEX('PORTIFÓLIO'!$H$4:$H$433,MATCH($C312,'PORTIFÓLIO'!$C$4:$C$433,0)),"")</f>
        <v/>
      </c>
      <c r="I312" s="256"/>
      <c r="J312" s="218">
        <f t="shared" si="35"/>
        <v>0</v>
      </c>
      <c r="K312" s="292" t="str">
        <f t="array" ref="K312">IFERROR(I312*INDEX('PORTIFÓLIO'!$S$4:$S$433,MATCH($C312,'PORTIFÓLIO'!$C$4:$C$433,0)),"")</f>
        <v/>
      </c>
      <c r="L312" s="292" t="str">
        <f t="array" ref="L312">IFERROR(J312*INDEX('PORTIFÓLIO'!$S$4:$S$433,MATCH($C312,'PORTIFÓLIO'!$C$4:$C$433,0)),"")</f>
        <v/>
      </c>
      <c r="M312" s="220"/>
      <c r="N312" s="220"/>
      <c r="O312" s="220"/>
      <c r="P312" s="220"/>
      <c r="Q312" s="220"/>
      <c r="R312" s="220"/>
      <c r="S312" s="220"/>
      <c r="T312" s="220"/>
      <c r="U312" s="220"/>
      <c r="V312" s="220"/>
      <c r="W312" s="220"/>
    </row>
    <row r="313" ht="15.75" customHeight="1" outlineLevel="1">
      <c r="A313" s="211"/>
      <c r="B313" s="212"/>
      <c r="C313" s="213"/>
      <c r="D313" s="214" t="str">
        <f>IFERROR(VLOOKUP($C313,'PORTIFÓLIO'!C:V,2,0),"")</f>
        <v/>
      </c>
      <c r="E313" s="211" t="str">
        <f>IFERROR(VLOOKUP($C313,'PORTIFÓLIO'!C:V,3,0),"")</f>
        <v/>
      </c>
      <c r="F313" s="211" t="str">
        <f>IFERROR(VLOOKUP($C313,'PORTIFÓLIO'!C:V,4,0),"")</f>
        <v/>
      </c>
      <c r="G313" s="215" t="str">
        <f>IFERROR(VLOOKUP($C313,'PORTIFÓLIO'!C:V,5,0),"")</f>
        <v/>
      </c>
      <c r="H313" s="254" t="str">
        <f t="array" ref="H313">IFERROR(INDEX('PORTIFÓLIO'!$H$4:$H$433,MATCH($C313,'PORTIFÓLIO'!$C$4:$C$433,0)),"")</f>
        <v/>
      </c>
      <c r="I313" s="256"/>
      <c r="J313" s="218">
        <f t="shared" si="35"/>
        <v>0</v>
      </c>
      <c r="K313" s="292" t="str">
        <f t="array" ref="K313">IFERROR(I313*INDEX('PORTIFÓLIO'!$S$4:$S$433,MATCH($C313,'PORTIFÓLIO'!$C$4:$C$433,0)),"")</f>
        <v/>
      </c>
      <c r="L313" s="292" t="str">
        <f t="array" ref="L313">IFERROR(J313*INDEX('PORTIFÓLIO'!$S$4:$S$433,MATCH($C313,'PORTIFÓLIO'!$C$4:$C$433,0)),"")</f>
        <v/>
      </c>
      <c r="M313" s="220"/>
      <c r="N313" s="220"/>
      <c r="O313" s="220"/>
      <c r="P313" s="220"/>
      <c r="Q313" s="220"/>
      <c r="R313" s="220"/>
      <c r="S313" s="220"/>
      <c r="T313" s="220"/>
      <c r="U313" s="220"/>
      <c r="V313" s="220"/>
      <c r="W313" s="220"/>
    </row>
    <row r="314" ht="15.75" customHeight="1" outlineLevel="1">
      <c r="A314" s="211"/>
      <c r="B314" s="212"/>
      <c r="C314" s="213"/>
      <c r="D314" s="214" t="str">
        <f>IFERROR(VLOOKUP($C314,'PORTIFÓLIO'!C:V,2,0),"")</f>
        <v/>
      </c>
      <c r="E314" s="211" t="str">
        <f>IFERROR(VLOOKUP($C314,'PORTIFÓLIO'!C:V,3,0),"")</f>
        <v/>
      </c>
      <c r="F314" s="211" t="str">
        <f>IFERROR(VLOOKUP($C314,'PORTIFÓLIO'!C:V,4,0),"")</f>
        <v/>
      </c>
      <c r="G314" s="215" t="str">
        <f>IFERROR(VLOOKUP($C314,'PORTIFÓLIO'!C:V,5,0),"")</f>
        <v/>
      </c>
      <c r="H314" s="254" t="str">
        <f t="array" ref="H314">IFERROR(INDEX('PORTIFÓLIO'!$H$4:$H$433,MATCH($C314,'PORTIFÓLIO'!$C$4:$C$433,0)),"")</f>
        <v/>
      </c>
      <c r="I314" s="256"/>
      <c r="J314" s="218">
        <f t="shared" si="35"/>
        <v>0</v>
      </c>
      <c r="K314" s="292" t="str">
        <f t="array" ref="K314">IFERROR(I314*INDEX('PORTIFÓLIO'!$S$4:$S$433,MATCH($C314,'PORTIFÓLIO'!$C$4:$C$433,0)),"")</f>
        <v/>
      </c>
      <c r="L314" s="292" t="str">
        <f t="array" ref="L314">IFERROR(J314*INDEX('PORTIFÓLIO'!$S$4:$S$433,MATCH($C314,'PORTIFÓLIO'!$C$4:$C$433,0)),"")</f>
        <v/>
      </c>
      <c r="M314" s="220"/>
      <c r="N314" s="220"/>
      <c r="O314" s="220"/>
      <c r="P314" s="220"/>
      <c r="Q314" s="220"/>
      <c r="R314" s="220"/>
      <c r="S314" s="220"/>
      <c r="T314" s="220"/>
      <c r="U314" s="220"/>
      <c r="V314" s="220"/>
      <c r="W314" s="220"/>
    </row>
    <row r="315" ht="15.75" customHeight="1" outlineLevel="1">
      <c r="A315" s="211"/>
      <c r="B315" s="212"/>
      <c r="C315" s="213"/>
      <c r="D315" s="214" t="str">
        <f>IFERROR(VLOOKUP($C315,'PORTIFÓLIO'!C:V,2,0),"")</f>
        <v/>
      </c>
      <c r="E315" s="211" t="str">
        <f>IFERROR(VLOOKUP($C315,'PORTIFÓLIO'!C:V,3,0),"")</f>
        <v/>
      </c>
      <c r="F315" s="211" t="str">
        <f>IFERROR(VLOOKUP($C315,'PORTIFÓLIO'!C:V,4,0),"")</f>
        <v/>
      </c>
      <c r="G315" s="215" t="str">
        <f>IFERROR(VLOOKUP($C315,'PORTIFÓLIO'!C:V,5,0),"")</f>
        <v/>
      </c>
      <c r="H315" s="254" t="str">
        <f t="array" ref="H315">IFERROR(INDEX('PORTIFÓLIO'!$H$4:$H$433,MATCH($C315,'PORTIFÓLIO'!$C$4:$C$433,0)),"")</f>
        <v/>
      </c>
      <c r="I315" s="256"/>
      <c r="J315" s="218">
        <f t="shared" si="35"/>
        <v>0</v>
      </c>
      <c r="K315" s="292" t="str">
        <f t="array" ref="K315">IFERROR(I315*INDEX('PORTIFÓLIO'!$S$4:$S$433,MATCH($C315,'PORTIFÓLIO'!$C$4:$C$433,0)),"")</f>
        <v/>
      </c>
      <c r="L315" s="292" t="str">
        <f t="array" ref="L315">IFERROR(J315*INDEX('PORTIFÓLIO'!$S$4:$S$433,MATCH($C315,'PORTIFÓLIO'!$C$4:$C$433,0)),"")</f>
        <v/>
      </c>
      <c r="M315" s="220"/>
      <c r="N315" s="220"/>
      <c r="O315" s="220"/>
      <c r="P315" s="220"/>
      <c r="Q315" s="220"/>
      <c r="R315" s="220"/>
      <c r="S315" s="220"/>
      <c r="T315" s="220"/>
      <c r="U315" s="220"/>
      <c r="V315" s="220"/>
      <c r="W315" s="220"/>
    </row>
    <row r="316" ht="15.75" customHeight="1" outlineLevel="1">
      <c r="A316" s="211"/>
      <c r="B316" s="212"/>
      <c r="C316" s="213"/>
      <c r="D316" s="214" t="str">
        <f>IFERROR(VLOOKUP($C316,'PORTIFÓLIO'!C:V,2,0),"")</f>
        <v/>
      </c>
      <c r="E316" s="211" t="str">
        <f>IFERROR(VLOOKUP($C316,'PORTIFÓLIO'!C:V,3,0),"")</f>
        <v/>
      </c>
      <c r="F316" s="211" t="str">
        <f>IFERROR(VLOOKUP($C316,'PORTIFÓLIO'!C:V,4,0),"")</f>
        <v/>
      </c>
      <c r="G316" s="215" t="str">
        <f>IFERROR(VLOOKUP($C316,'PORTIFÓLIO'!C:V,5,0),"")</f>
        <v/>
      </c>
      <c r="H316" s="254" t="str">
        <f t="array" ref="H316">IFERROR(INDEX('PORTIFÓLIO'!$H$4:$H$433,MATCH($C316,'PORTIFÓLIO'!$C$4:$C$433,0)),"")</f>
        <v/>
      </c>
      <c r="I316" s="256"/>
      <c r="J316" s="218">
        <f t="shared" si="35"/>
        <v>0</v>
      </c>
      <c r="K316" s="292" t="str">
        <f t="array" ref="K316">IFERROR(I316*INDEX('PORTIFÓLIO'!$S$4:$S$433,MATCH($C316,'PORTIFÓLIO'!$C$4:$C$433,0)),"")</f>
        <v/>
      </c>
      <c r="L316" s="292" t="str">
        <f t="array" ref="L316">IFERROR(J316*INDEX('PORTIFÓLIO'!$S$4:$S$433,MATCH($C316,'PORTIFÓLIO'!$C$4:$C$433,0)),"")</f>
        <v/>
      </c>
      <c r="M316" s="220"/>
      <c r="N316" s="220"/>
      <c r="O316" s="220"/>
      <c r="P316" s="220"/>
      <c r="Q316" s="220"/>
      <c r="R316" s="220"/>
      <c r="S316" s="220"/>
      <c r="T316" s="220"/>
      <c r="U316" s="220"/>
      <c r="V316" s="220"/>
      <c r="W316" s="220"/>
    </row>
    <row r="317" ht="15.75" customHeight="1" outlineLevel="1">
      <c r="A317" s="211"/>
      <c r="B317" s="212"/>
      <c r="C317" s="213"/>
      <c r="D317" s="214" t="str">
        <f>IFERROR(VLOOKUP($C317,'PORTIFÓLIO'!C:V,2,0),"")</f>
        <v/>
      </c>
      <c r="E317" s="211" t="str">
        <f>IFERROR(VLOOKUP($C317,'PORTIFÓLIO'!C:V,3,0),"")</f>
        <v/>
      </c>
      <c r="F317" s="211" t="str">
        <f>IFERROR(VLOOKUP($C317,'PORTIFÓLIO'!C:V,4,0),"")</f>
        <v/>
      </c>
      <c r="G317" s="215" t="str">
        <f>IFERROR(VLOOKUP($C317,'PORTIFÓLIO'!C:V,5,0),"")</f>
        <v/>
      </c>
      <c r="H317" s="254" t="str">
        <f t="array" ref="H317">IFERROR(INDEX('PORTIFÓLIO'!$H$4:$H$433,MATCH($C317,'PORTIFÓLIO'!$C$4:$C$433,0)),"")</f>
        <v/>
      </c>
      <c r="I317" s="255"/>
      <c r="J317" s="218">
        <f t="shared" si="35"/>
        <v>0</v>
      </c>
      <c r="K317" s="292" t="str">
        <f t="array" ref="K317">IFERROR(I317*INDEX('PORTIFÓLIO'!$S$4:$S$433,MATCH($C317,'PORTIFÓLIO'!$C$4:$C$433,0)),"")</f>
        <v/>
      </c>
      <c r="L317" s="292" t="str">
        <f t="array" ref="L317">IFERROR(J317*INDEX('PORTIFÓLIO'!$S$4:$S$433,MATCH($C317,'PORTIFÓLIO'!$C$4:$C$433,0)),"")</f>
        <v/>
      </c>
      <c r="M317" s="220"/>
      <c r="N317" s="220"/>
      <c r="O317" s="220"/>
      <c r="P317" s="220"/>
      <c r="Q317" s="220"/>
      <c r="R317" s="220"/>
      <c r="S317" s="220"/>
      <c r="T317" s="220"/>
      <c r="U317" s="220"/>
      <c r="V317" s="220"/>
      <c r="W317" s="220"/>
    </row>
    <row r="318" ht="15.75" customHeight="1" outlineLevel="1">
      <c r="A318" s="211"/>
      <c r="B318" s="212"/>
      <c r="C318" s="213"/>
      <c r="D318" s="214" t="str">
        <f>IFERROR(VLOOKUP($C318,'PORTIFÓLIO'!C:V,2,0),"")</f>
        <v/>
      </c>
      <c r="E318" s="211" t="str">
        <f>IFERROR(VLOOKUP($C318,'PORTIFÓLIO'!C:V,3,0),"")</f>
        <v/>
      </c>
      <c r="F318" s="211" t="str">
        <f>IFERROR(VLOOKUP($C318,'PORTIFÓLIO'!C:V,4,0),"")</f>
        <v/>
      </c>
      <c r="G318" s="215" t="str">
        <f>IFERROR(VLOOKUP($C318,'PORTIFÓLIO'!C:V,5,0),"")</f>
        <v/>
      </c>
      <c r="H318" s="254" t="str">
        <f t="array" ref="H318">IFERROR(INDEX('PORTIFÓLIO'!$H$4:$H$433,MATCH($C318,'PORTIFÓLIO'!$C$4:$C$433,0)),"")</f>
        <v/>
      </c>
      <c r="I318" s="256"/>
      <c r="J318" s="218">
        <f t="shared" si="35"/>
        <v>0</v>
      </c>
      <c r="K318" s="292" t="str">
        <f t="array" ref="K318">IFERROR(I318*INDEX('PORTIFÓLIO'!$S$4:$S$433,MATCH($C318,'PORTIFÓLIO'!$C$4:$C$433,0)),"")</f>
        <v/>
      </c>
      <c r="L318" s="292" t="str">
        <f t="array" ref="L318">IFERROR(J318*INDEX('PORTIFÓLIO'!$S$4:$S$433,MATCH($C318,'PORTIFÓLIO'!$C$4:$C$433,0)),"")</f>
        <v/>
      </c>
      <c r="M318" s="220"/>
      <c r="N318" s="220"/>
      <c r="O318" s="220"/>
      <c r="P318" s="220"/>
      <c r="Q318" s="220"/>
      <c r="R318" s="220"/>
      <c r="S318" s="220"/>
      <c r="T318" s="220"/>
      <c r="U318" s="220"/>
      <c r="V318" s="220"/>
      <c r="W318" s="220"/>
    </row>
    <row r="319" ht="15.75" customHeight="1" outlineLevel="1">
      <c r="A319" s="211"/>
      <c r="B319" s="212"/>
      <c r="C319" s="213"/>
      <c r="D319" s="214" t="str">
        <f>IFERROR(VLOOKUP($C319,'PORTIFÓLIO'!C:V,2,0),"")</f>
        <v/>
      </c>
      <c r="E319" s="211" t="str">
        <f>IFERROR(VLOOKUP($C319,'PORTIFÓLIO'!C:V,3,0),"")</f>
        <v/>
      </c>
      <c r="F319" s="211" t="str">
        <f>IFERROR(VLOOKUP($C319,'PORTIFÓLIO'!C:V,4,0),"")</f>
        <v/>
      </c>
      <c r="G319" s="215" t="str">
        <f>IFERROR(VLOOKUP($C319,'PORTIFÓLIO'!C:V,5,0),"")</f>
        <v/>
      </c>
      <c r="H319" s="254" t="str">
        <f t="array" ref="H319">IFERROR(INDEX('PORTIFÓLIO'!$H$4:$H$433,MATCH($C319,'PORTIFÓLIO'!$C$4:$C$433,0)),"")</f>
        <v/>
      </c>
      <c r="I319" s="256"/>
      <c r="J319" s="218">
        <f t="shared" si="35"/>
        <v>0</v>
      </c>
      <c r="K319" s="292" t="str">
        <f t="array" ref="K319">IFERROR(I319*INDEX('PORTIFÓLIO'!$S$4:$S$433,MATCH($C319,'PORTIFÓLIO'!$C$4:$C$433,0)),"")</f>
        <v/>
      </c>
      <c r="L319" s="292" t="str">
        <f t="array" ref="L319">IFERROR(J319*INDEX('PORTIFÓLIO'!$S$4:$S$433,MATCH($C319,'PORTIFÓLIO'!$C$4:$C$433,0)),"")</f>
        <v/>
      </c>
      <c r="M319" s="220"/>
      <c r="N319" s="220"/>
      <c r="O319" s="220"/>
      <c r="P319" s="220"/>
      <c r="Q319" s="220"/>
      <c r="R319" s="220"/>
      <c r="S319" s="220"/>
      <c r="T319" s="220"/>
      <c r="U319" s="220"/>
      <c r="V319" s="220"/>
      <c r="W319" s="220"/>
    </row>
    <row r="320" ht="15.75" customHeight="1" outlineLevel="1">
      <c r="A320" s="211"/>
      <c r="B320" s="212"/>
      <c r="C320" s="213"/>
      <c r="D320" s="214" t="str">
        <f>IFERROR(VLOOKUP($C320,'PORTIFÓLIO'!C:V,2,0),"")</f>
        <v/>
      </c>
      <c r="E320" s="211" t="str">
        <f>IFERROR(VLOOKUP($C320,'PORTIFÓLIO'!C:V,3,0),"")</f>
        <v/>
      </c>
      <c r="F320" s="211" t="str">
        <f>IFERROR(VLOOKUP($C320,'PORTIFÓLIO'!C:V,4,0),"")</f>
        <v/>
      </c>
      <c r="G320" s="215" t="str">
        <f>IFERROR(VLOOKUP($C320,'PORTIFÓLIO'!C:V,5,0),"")</f>
        <v/>
      </c>
      <c r="H320" s="254" t="str">
        <f t="array" ref="H320">IFERROR(INDEX('PORTIFÓLIO'!$H$4:$H$433,MATCH($C320,'PORTIFÓLIO'!$C$4:$C$433,0)),"")</f>
        <v/>
      </c>
      <c r="I320" s="256"/>
      <c r="J320" s="218">
        <f t="shared" si="35"/>
        <v>0</v>
      </c>
      <c r="K320" s="292" t="str">
        <f t="array" ref="K320">IFERROR(I320*INDEX('PORTIFÓLIO'!$S$4:$S$433,MATCH($C320,'PORTIFÓLIO'!$C$4:$C$433,0)),"")</f>
        <v/>
      </c>
      <c r="L320" s="292" t="str">
        <f t="array" ref="L320">IFERROR(J320*INDEX('PORTIFÓLIO'!$S$4:$S$433,MATCH($C320,'PORTIFÓLIO'!$C$4:$C$433,0)),"")</f>
        <v/>
      </c>
      <c r="M320" s="220"/>
      <c r="N320" s="220"/>
      <c r="O320" s="220"/>
      <c r="P320" s="220"/>
      <c r="Q320" s="220"/>
      <c r="R320" s="220"/>
      <c r="S320" s="220"/>
      <c r="T320" s="220"/>
      <c r="U320" s="220"/>
      <c r="V320" s="220"/>
      <c r="W320" s="220"/>
    </row>
    <row r="321" ht="15.75" customHeight="1" outlineLevel="1">
      <c r="A321" s="211"/>
      <c r="B321" s="212"/>
      <c r="C321" s="213"/>
      <c r="D321" s="214" t="str">
        <f>IFERROR(VLOOKUP($C321,'PORTIFÓLIO'!C:V,2,0),"")</f>
        <v/>
      </c>
      <c r="E321" s="211" t="str">
        <f>IFERROR(VLOOKUP($C321,'PORTIFÓLIO'!C:V,3,0),"")</f>
        <v/>
      </c>
      <c r="F321" s="211" t="str">
        <f>IFERROR(VLOOKUP($C321,'PORTIFÓLIO'!C:V,4,0),"")</f>
        <v/>
      </c>
      <c r="G321" s="215" t="str">
        <f>IFERROR(VLOOKUP($C321,'PORTIFÓLIO'!C:V,5,0),"")</f>
        <v/>
      </c>
      <c r="H321" s="254" t="str">
        <f t="array" ref="H321">IFERROR(INDEX('PORTIFÓLIO'!$H$4:$H$433,MATCH($C321,'PORTIFÓLIO'!$C$4:$C$433,0)),"")</f>
        <v/>
      </c>
      <c r="I321" s="256"/>
      <c r="J321" s="218">
        <f t="shared" si="35"/>
        <v>0</v>
      </c>
      <c r="K321" s="292" t="str">
        <f t="array" ref="K321">IFERROR(I321*INDEX('PORTIFÓLIO'!$S$4:$S$433,MATCH($C321,'PORTIFÓLIO'!$C$4:$C$433,0)),"")</f>
        <v/>
      </c>
      <c r="L321" s="292" t="str">
        <f t="array" ref="L321">IFERROR(J321*INDEX('PORTIFÓLIO'!$S$4:$S$433,MATCH($C321,'PORTIFÓLIO'!$C$4:$C$433,0)),"")</f>
        <v/>
      </c>
      <c r="M321" s="220"/>
      <c r="N321" s="220"/>
      <c r="O321" s="220"/>
      <c r="P321" s="220"/>
      <c r="Q321" s="220"/>
      <c r="R321" s="220"/>
      <c r="S321" s="220"/>
      <c r="T321" s="220"/>
      <c r="U321" s="220"/>
      <c r="V321" s="220"/>
      <c r="W321" s="220"/>
    </row>
    <row r="322" ht="15.75" customHeight="1" outlineLevel="1">
      <c r="A322" s="211"/>
      <c r="B322" s="212"/>
      <c r="C322" s="213"/>
      <c r="D322" s="214" t="str">
        <f>IFERROR(VLOOKUP($C322,'PORTIFÓLIO'!C:V,2,0),"")</f>
        <v/>
      </c>
      <c r="E322" s="211" t="str">
        <f>IFERROR(VLOOKUP($C322,'PORTIFÓLIO'!C:V,3,0),"")</f>
        <v/>
      </c>
      <c r="F322" s="211" t="str">
        <f>IFERROR(VLOOKUP($C322,'PORTIFÓLIO'!C:V,4,0),"")</f>
        <v/>
      </c>
      <c r="G322" s="215" t="str">
        <f>IFERROR(VLOOKUP($C322,'PORTIFÓLIO'!C:V,5,0),"")</f>
        <v/>
      </c>
      <c r="H322" s="254" t="str">
        <f t="array" ref="H322">IFERROR(INDEX('PORTIFÓLIO'!$H$4:$H$433,MATCH($C322,'PORTIFÓLIO'!$C$4:$C$433,0)),"")</f>
        <v/>
      </c>
      <c r="I322" s="256"/>
      <c r="J322" s="218">
        <f t="shared" si="35"/>
        <v>0</v>
      </c>
      <c r="K322" s="292" t="str">
        <f t="array" ref="K322">IFERROR(I322*INDEX('PORTIFÓLIO'!$S$4:$S$433,MATCH($C322,'PORTIFÓLIO'!$C$4:$C$433,0)),"")</f>
        <v/>
      </c>
      <c r="L322" s="292" t="str">
        <f t="array" ref="L322">IFERROR(J322*INDEX('PORTIFÓLIO'!$S$4:$S$433,MATCH($C322,'PORTIFÓLIO'!$C$4:$C$433,0)),"")</f>
        <v/>
      </c>
      <c r="M322" s="220"/>
      <c r="N322" s="220"/>
      <c r="O322" s="220"/>
      <c r="P322" s="220"/>
      <c r="Q322" s="220"/>
      <c r="R322" s="220"/>
      <c r="S322" s="220"/>
      <c r="T322" s="220"/>
      <c r="U322" s="220"/>
      <c r="V322" s="220"/>
      <c r="W322" s="220"/>
    </row>
    <row r="323" ht="15.75" customHeight="1" outlineLevel="1">
      <c r="A323" s="211"/>
      <c r="B323" s="212"/>
      <c r="C323" s="213"/>
      <c r="D323" s="214" t="str">
        <f>IFERROR(VLOOKUP($C323,'PORTIFÓLIO'!C:V,2,0),"")</f>
        <v/>
      </c>
      <c r="E323" s="211" t="str">
        <f>IFERROR(VLOOKUP($C323,'PORTIFÓLIO'!C:V,3,0),"")</f>
        <v/>
      </c>
      <c r="F323" s="211" t="str">
        <f>IFERROR(VLOOKUP($C323,'PORTIFÓLIO'!C:V,4,0),"")</f>
        <v/>
      </c>
      <c r="G323" s="215" t="str">
        <f>IFERROR(VLOOKUP($C323,'PORTIFÓLIO'!C:V,5,0),"")</f>
        <v/>
      </c>
      <c r="H323" s="254" t="str">
        <f t="array" ref="H323">IFERROR(INDEX('PORTIFÓLIO'!$H$4:$H$433,MATCH($C323,'PORTIFÓLIO'!$C$4:$C$433,0)),"")</f>
        <v/>
      </c>
      <c r="I323" s="256"/>
      <c r="J323" s="218">
        <f t="shared" si="35"/>
        <v>0</v>
      </c>
      <c r="K323" s="292" t="str">
        <f t="array" ref="K323">IFERROR(I323*INDEX('PORTIFÓLIO'!$S$4:$S$433,MATCH($C323,'PORTIFÓLIO'!$C$4:$C$433,0)),"")</f>
        <v/>
      </c>
      <c r="L323" s="292" t="str">
        <f t="array" ref="L323">IFERROR(J323*INDEX('PORTIFÓLIO'!$S$4:$S$433,MATCH($C323,'PORTIFÓLIO'!$C$4:$C$433,0)),"")</f>
        <v/>
      </c>
      <c r="M323" s="220"/>
      <c r="N323" s="220"/>
      <c r="O323" s="220"/>
      <c r="P323" s="220"/>
      <c r="Q323" s="220"/>
      <c r="R323" s="220"/>
      <c r="S323" s="220"/>
      <c r="T323" s="220"/>
      <c r="U323" s="220"/>
      <c r="V323" s="220"/>
      <c r="W323" s="220"/>
    </row>
    <row r="324" ht="15.75" customHeight="1">
      <c r="A324" s="229" t="s">
        <v>1189</v>
      </c>
      <c r="B324" s="230"/>
      <c r="C324" s="231"/>
      <c r="D324" s="232"/>
      <c r="E324" s="231"/>
      <c r="F324" s="231"/>
      <c r="G324" s="233"/>
      <c r="H324" s="233"/>
      <c r="I324" s="258"/>
      <c r="J324" s="236"/>
      <c r="K324" s="237">
        <f t="shared" ref="K324:L324" si="36">SUBTOTAL(9,K325:K338)</f>
        <v>0</v>
      </c>
      <c r="L324" s="237">
        <f t="shared" si="36"/>
        <v>0</v>
      </c>
      <c r="M324" s="220"/>
      <c r="N324" s="220"/>
      <c r="O324" s="220"/>
      <c r="P324" s="220"/>
      <c r="Q324" s="220"/>
      <c r="R324" s="220"/>
      <c r="S324" s="220"/>
      <c r="T324" s="220"/>
      <c r="U324" s="220"/>
      <c r="V324" s="220"/>
      <c r="W324" s="220"/>
    </row>
    <row r="325" ht="15.75" customHeight="1" outlineLevel="1">
      <c r="A325" s="213"/>
      <c r="B325" s="212"/>
      <c r="C325" s="213"/>
      <c r="D325" s="214" t="str">
        <f>IFERROR(VLOOKUP($C325,'PORTIFÓLIO'!C:V,2,0),"")</f>
        <v/>
      </c>
      <c r="E325" s="211" t="str">
        <f>IFERROR(VLOOKUP($C325,'PORTIFÓLIO'!C:V,3,0),"")</f>
        <v/>
      </c>
      <c r="F325" s="211" t="str">
        <f>IFERROR(VLOOKUP($C325,'PORTIFÓLIO'!C:V,4,0),"")</f>
        <v/>
      </c>
      <c r="G325" s="215" t="str">
        <f>IFERROR(VLOOKUP($C325,'PORTIFÓLIO'!C:V,5,0),"")</f>
        <v/>
      </c>
      <c r="H325" s="254" t="str">
        <f t="array" ref="H325">IFERROR(INDEX('PORTIFÓLIO'!$H$4:$H$433,MATCH($C325,'PORTIFÓLIO'!$C$4:$C$433,0)),"")</f>
        <v/>
      </c>
      <c r="I325" s="255"/>
      <c r="J325" s="218">
        <f t="shared" ref="J325:J339" si="37">I325*$B$2</f>
        <v>0</v>
      </c>
      <c r="K325" s="292" t="str">
        <f t="array" ref="K325">IFERROR(I325*INDEX('PORTIFÓLIO'!$S$4:$S$433,MATCH($C325,'PORTIFÓLIO'!$C$4:$C$433,0)),"")</f>
        <v/>
      </c>
      <c r="L325" s="292" t="str">
        <f t="array" ref="L325">IFERROR(J325*INDEX('PORTIFÓLIO'!$S$4:$S$433,MATCH($C325,'PORTIFÓLIO'!$C$4:$C$433,0)),"")</f>
        <v/>
      </c>
      <c r="M325" s="220"/>
      <c r="N325" s="220"/>
      <c r="O325" s="220"/>
      <c r="P325" s="220"/>
      <c r="Q325" s="220"/>
      <c r="R325" s="220"/>
      <c r="S325" s="220"/>
      <c r="T325" s="220"/>
      <c r="U325" s="220"/>
      <c r="V325" s="220"/>
      <c r="W325" s="220"/>
    </row>
    <row r="326" ht="15.75" customHeight="1" outlineLevel="1">
      <c r="A326" s="211"/>
      <c r="B326" s="212"/>
      <c r="C326" s="213"/>
      <c r="D326" s="214" t="str">
        <f>IFERROR(VLOOKUP($C326,'PORTIFÓLIO'!C:V,2,0),"")</f>
        <v/>
      </c>
      <c r="E326" s="211" t="str">
        <f>IFERROR(VLOOKUP($C326,'PORTIFÓLIO'!C:V,3,0),"")</f>
        <v/>
      </c>
      <c r="F326" s="211" t="str">
        <f>IFERROR(VLOOKUP($C326,'PORTIFÓLIO'!C:V,4,0),"")</f>
        <v/>
      </c>
      <c r="G326" s="215" t="str">
        <f>IFERROR(VLOOKUP($C326,'PORTIFÓLIO'!C:V,5,0),"")</f>
        <v/>
      </c>
      <c r="H326" s="254" t="str">
        <f t="array" ref="H326">IFERROR(INDEX('PORTIFÓLIO'!$H$4:$H$433,MATCH($C326,'PORTIFÓLIO'!$C$4:$C$433,0)),"")</f>
        <v/>
      </c>
      <c r="I326" s="256"/>
      <c r="J326" s="218">
        <f t="shared" si="37"/>
        <v>0</v>
      </c>
      <c r="K326" s="292" t="str">
        <f t="array" ref="K326">IFERROR(I326*INDEX('PORTIFÓLIO'!$S$4:$S$433,MATCH($C326,'PORTIFÓLIO'!$C$4:$C$433,0)),"")</f>
        <v/>
      </c>
      <c r="L326" s="292" t="str">
        <f t="array" ref="L326">IFERROR(J326*INDEX('PORTIFÓLIO'!$S$4:$S$433,MATCH($C326,'PORTIFÓLIO'!$C$4:$C$433,0)),"")</f>
        <v/>
      </c>
      <c r="M326" s="220"/>
      <c r="N326" s="220"/>
      <c r="O326" s="220"/>
      <c r="P326" s="220"/>
      <c r="Q326" s="220"/>
      <c r="R326" s="220"/>
      <c r="S326" s="220"/>
      <c r="T326" s="220"/>
      <c r="U326" s="220"/>
      <c r="V326" s="220"/>
      <c r="W326" s="220"/>
    </row>
    <row r="327" ht="15.75" customHeight="1" outlineLevel="1">
      <c r="A327" s="211"/>
      <c r="B327" s="212"/>
      <c r="C327" s="213"/>
      <c r="D327" s="214" t="str">
        <f>IFERROR(VLOOKUP($C327,'PORTIFÓLIO'!C:V,2,0),"")</f>
        <v/>
      </c>
      <c r="E327" s="211" t="str">
        <f>IFERROR(VLOOKUP($C327,'PORTIFÓLIO'!C:V,3,0),"")</f>
        <v/>
      </c>
      <c r="F327" s="211" t="str">
        <f>IFERROR(VLOOKUP($C327,'PORTIFÓLIO'!C:V,4,0),"")</f>
        <v/>
      </c>
      <c r="G327" s="215" t="str">
        <f>IFERROR(VLOOKUP($C327,'PORTIFÓLIO'!C:V,5,0),"")</f>
        <v/>
      </c>
      <c r="H327" s="254" t="str">
        <f t="array" ref="H327">IFERROR(INDEX('PORTIFÓLIO'!$H$4:$H$433,MATCH($C327,'PORTIFÓLIO'!$C$4:$C$433,0)),"")</f>
        <v/>
      </c>
      <c r="I327" s="256"/>
      <c r="J327" s="218">
        <f t="shared" si="37"/>
        <v>0</v>
      </c>
      <c r="K327" s="292" t="str">
        <f t="array" ref="K327">IFERROR(I327*INDEX('PORTIFÓLIO'!$S$4:$S$433,MATCH($C327,'PORTIFÓLIO'!$C$4:$C$433,0)),"")</f>
        <v/>
      </c>
      <c r="L327" s="292" t="str">
        <f t="array" ref="L327">IFERROR(J327*INDEX('PORTIFÓLIO'!$S$4:$S$433,MATCH($C327,'PORTIFÓLIO'!$C$4:$C$433,0)),"")</f>
        <v/>
      </c>
      <c r="M327" s="220"/>
      <c r="N327" s="220"/>
      <c r="O327" s="220"/>
      <c r="P327" s="220"/>
      <c r="Q327" s="220"/>
      <c r="R327" s="220"/>
      <c r="S327" s="220"/>
      <c r="T327" s="220"/>
      <c r="U327" s="220"/>
      <c r="V327" s="220"/>
      <c r="W327" s="220"/>
    </row>
    <row r="328" ht="15.75" customHeight="1" outlineLevel="1">
      <c r="A328" s="211"/>
      <c r="B328" s="212"/>
      <c r="C328" s="213"/>
      <c r="D328" s="214" t="str">
        <f>IFERROR(VLOOKUP($C328,'PORTIFÓLIO'!C:V,2,0),"")</f>
        <v/>
      </c>
      <c r="E328" s="211" t="str">
        <f>IFERROR(VLOOKUP($C328,'PORTIFÓLIO'!C:V,3,0),"")</f>
        <v/>
      </c>
      <c r="F328" s="211" t="str">
        <f>IFERROR(VLOOKUP($C328,'PORTIFÓLIO'!C:V,4,0),"")</f>
        <v/>
      </c>
      <c r="G328" s="215" t="str">
        <f>IFERROR(VLOOKUP($C328,'PORTIFÓLIO'!C:V,5,0),"")</f>
        <v/>
      </c>
      <c r="H328" s="254" t="str">
        <f t="array" ref="H328">IFERROR(INDEX('PORTIFÓLIO'!$H$4:$H$433,MATCH($C328,'PORTIFÓLIO'!$C$4:$C$433,0)),"")</f>
        <v/>
      </c>
      <c r="I328" s="256"/>
      <c r="J328" s="218">
        <f t="shared" si="37"/>
        <v>0</v>
      </c>
      <c r="K328" s="292" t="str">
        <f t="array" ref="K328">IFERROR(I328*INDEX('PORTIFÓLIO'!$S$4:$S$433,MATCH($C328,'PORTIFÓLIO'!$C$4:$C$433,0)),"")</f>
        <v/>
      </c>
      <c r="L328" s="292" t="str">
        <f t="array" ref="L328">IFERROR(J328*INDEX('PORTIFÓLIO'!$S$4:$S$433,MATCH($C328,'PORTIFÓLIO'!$C$4:$C$433,0)),"")</f>
        <v/>
      </c>
      <c r="M328" s="220"/>
      <c r="N328" s="220"/>
      <c r="O328" s="220"/>
      <c r="P328" s="220"/>
      <c r="Q328" s="220"/>
      <c r="R328" s="220"/>
      <c r="S328" s="220"/>
      <c r="T328" s="220"/>
      <c r="U328" s="220"/>
      <c r="V328" s="220"/>
      <c r="W328" s="220"/>
    </row>
    <row r="329" ht="15.75" customHeight="1" outlineLevel="1">
      <c r="A329" s="211"/>
      <c r="B329" s="212"/>
      <c r="C329" s="213"/>
      <c r="D329" s="214" t="str">
        <f>IFERROR(VLOOKUP($C329,'PORTIFÓLIO'!C:V,2,0),"")</f>
        <v/>
      </c>
      <c r="E329" s="211" t="str">
        <f>IFERROR(VLOOKUP($C329,'PORTIFÓLIO'!C:V,3,0),"")</f>
        <v/>
      </c>
      <c r="F329" s="211" t="str">
        <f>IFERROR(VLOOKUP($C329,'PORTIFÓLIO'!C:V,4,0),"")</f>
        <v/>
      </c>
      <c r="G329" s="215" t="str">
        <f>IFERROR(VLOOKUP($C329,'PORTIFÓLIO'!C:V,5,0),"")</f>
        <v/>
      </c>
      <c r="H329" s="254" t="str">
        <f t="array" ref="H329">IFERROR(INDEX('PORTIFÓLIO'!$H$4:$H$433,MATCH($C329,'PORTIFÓLIO'!$C$4:$C$433,0)),"")</f>
        <v/>
      </c>
      <c r="I329" s="256"/>
      <c r="J329" s="218">
        <f t="shared" si="37"/>
        <v>0</v>
      </c>
      <c r="K329" s="292" t="str">
        <f t="array" ref="K329">IFERROR(I329*INDEX('PORTIFÓLIO'!$S$4:$S$433,MATCH($C329,'PORTIFÓLIO'!$C$4:$C$433,0)),"")</f>
        <v/>
      </c>
      <c r="L329" s="292" t="str">
        <f t="array" ref="L329">IFERROR(J329*INDEX('PORTIFÓLIO'!$S$4:$S$433,MATCH($C329,'PORTIFÓLIO'!$C$4:$C$433,0)),"")</f>
        <v/>
      </c>
      <c r="M329" s="220"/>
      <c r="N329" s="220"/>
      <c r="O329" s="220"/>
      <c r="P329" s="220"/>
      <c r="Q329" s="220"/>
      <c r="R329" s="220"/>
      <c r="S329" s="220"/>
      <c r="T329" s="220"/>
      <c r="U329" s="220"/>
      <c r="V329" s="220"/>
      <c r="W329" s="220"/>
    </row>
    <row r="330" ht="15.75" customHeight="1" outlineLevel="1">
      <c r="A330" s="211"/>
      <c r="B330" s="212"/>
      <c r="C330" s="213"/>
      <c r="D330" s="214" t="str">
        <f>IFERROR(VLOOKUP($C330,'PORTIFÓLIO'!C:V,2,0),"")</f>
        <v/>
      </c>
      <c r="E330" s="211" t="str">
        <f>IFERROR(VLOOKUP($C330,'PORTIFÓLIO'!C:V,3,0),"")</f>
        <v/>
      </c>
      <c r="F330" s="211" t="str">
        <f>IFERROR(VLOOKUP($C330,'PORTIFÓLIO'!C:V,4,0),"")</f>
        <v/>
      </c>
      <c r="G330" s="215" t="str">
        <f>IFERROR(VLOOKUP($C330,'PORTIFÓLIO'!C:V,5,0),"")</f>
        <v/>
      </c>
      <c r="H330" s="254" t="str">
        <f t="array" ref="H330">IFERROR(INDEX('PORTIFÓLIO'!$H$4:$H$433,MATCH($C330,'PORTIFÓLIO'!$C$4:$C$433,0)),"")</f>
        <v/>
      </c>
      <c r="I330" s="256"/>
      <c r="J330" s="218">
        <f t="shared" si="37"/>
        <v>0</v>
      </c>
      <c r="K330" s="292" t="str">
        <f t="array" ref="K330">IFERROR(I330*INDEX('PORTIFÓLIO'!$S$4:$S$433,MATCH($C330,'PORTIFÓLIO'!$C$4:$C$433,0)),"")</f>
        <v/>
      </c>
      <c r="L330" s="292" t="str">
        <f t="array" ref="L330">IFERROR(J330*INDEX('PORTIFÓLIO'!$S$4:$S$433,MATCH($C330,'PORTIFÓLIO'!$C$4:$C$433,0)),"")</f>
        <v/>
      </c>
      <c r="M330" s="220"/>
      <c r="N330" s="220"/>
      <c r="O330" s="220"/>
      <c r="P330" s="220"/>
      <c r="Q330" s="220"/>
      <c r="R330" s="220"/>
      <c r="S330" s="220"/>
      <c r="T330" s="220"/>
      <c r="U330" s="220"/>
      <c r="V330" s="220"/>
      <c r="W330" s="220"/>
    </row>
    <row r="331" ht="15.75" customHeight="1" outlineLevel="1">
      <c r="A331" s="211"/>
      <c r="B331" s="212"/>
      <c r="C331" s="213"/>
      <c r="D331" s="214" t="str">
        <f>IFERROR(VLOOKUP($C331,'PORTIFÓLIO'!C:V,2,0),"")</f>
        <v/>
      </c>
      <c r="E331" s="211" t="str">
        <f>IFERROR(VLOOKUP($C331,'PORTIFÓLIO'!C:V,3,0),"")</f>
        <v/>
      </c>
      <c r="F331" s="211" t="str">
        <f>IFERROR(VLOOKUP($C331,'PORTIFÓLIO'!C:V,4,0),"")</f>
        <v/>
      </c>
      <c r="G331" s="215" t="str">
        <f>IFERROR(VLOOKUP($C331,'PORTIFÓLIO'!C:V,5,0),"")</f>
        <v/>
      </c>
      <c r="H331" s="254" t="str">
        <f t="array" ref="H331">IFERROR(INDEX('PORTIFÓLIO'!$H$4:$H$433,MATCH($C331,'PORTIFÓLIO'!$C$4:$C$433,0)),"")</f>
        <v/>
      </c>
      <c r="I331" s="256"/>
      <c r="J331" s="218">
        <f t="shared" si="37"/>
        <v>0</v>
      </c>
      <c r="K331" s="292" t="str">
        <f t="array" ref="K331">IFERROR(I331*INDEX('PORTIFÓLIO'!$S$4:$S$433,MATCH($C331,'PORTIFÓLIO'!$C$4:$C$433,0)),"")</f>
        <v/>
      </c>
      <c r="L331" s="292" t="str">
        <f t="array" ref="L331">IFERROR(J331*INDEX('PORTIFÓLIO'!$S$4:$S$433,MATCH($C331,'PORTIFÓLIO'!$C$4:$C$433,0)),"")</f>
        <v/>
      </c>
      <c r="M331" s="220"/>
      <c r="N331" s="220"/>
      <c r="O331" s="220"/>
      <c r="P331" s="220"/>
      <c r="Q331" s="220"/>
      <c r="R331" s="220"/>
      <c r="S331" s="220"/>
      <c r="T331" s="220"/>
      <c r="U331" s="220"/>
      <c r="V331" s="220"/>
      <c r="W331" s="220"/>
    </row>
    <row r="332" ht="15.75" customHeight="1" outlineLevel="1">
      <c r="A332" s="211"/>
      <c r="B332" s="212"/>
      <c r="C332" s="213"/>
      <c r="D332" s="214" t="str">
        <f>IFERROR(VLOOKUP($C332,'PORTIFÓLIO'!C:V,2,0),"")</f>
        <v/>
      </c>
      <c r="E332" s="211" t="str">
        <f>IFERROR(VLOOKUP($C332,'PORTIFÓLIO'!C:V,3,0),"")</f>
        <v/>
      </c>
      <c r="F332" s="211" t="str">
        <f>IFERROR(VLOOKUP($C332,'PORTIFÓLIO'!C:V,4,0),"")</f>
        <v/>
      </c>
      <c r="G332" s="215" t="str">
        <f>IFERROR(VLOOKUP($C332,'PORTIFÓLIO'!C:V,5,0),"")</f>
        <v/>
      </c>
      <c r="H332" s="254" t="str">
        <f t="array" ref="H332">IFERROR(INDEX('PORTIFÓLIO'!$H$4:$H$433,MATCH($C332,'PORTIFÓLIO'!$C$4:$C$433,0)),"")</f>
        <v/>
      </c>
      <c r="I332" s="256"/>
      <c r="J332" s="218">
        <f t="shared" si="37"/>
        <v>0</v>
      </c>
      <c r="K332" s="292" t="str">
        <f t="array" ref="K332">IFERROR(I332*INDEX('PORTIFÓLIO'!$S$4:$S$433,MATCH($C332,'PORTIFÓLIO'!$C$4:$C$433,0)),"")</f>
        <v/>
      </c>
      <c r="L332" s="292" t="str">
        <f t="array" ref="L332">IFERROR(J332*INDEX('PORTIFÓLIO'!$S$4:$S$433,MATCH($C332,'PORTIFÓLIO'!$C$4:$C$433,0)),"")</f>
        <v/>
      </c>
      <c r="M332" s="220"/>
      <c r="N332" s="220"/>
      <c r="O332" s="220"/>
      <c r="P332" s="220"/>
      <c r="Q332" s="220"/>
      <c r="R332" s="220"/>
      <c r="S332" s="220"/>
      <c r="T332" s="220"/>
      <c r="U332" s="220"/>
      <c r="V332" s="220"/>
      <c r="W332" s="220"/>
    </row>
    <row r="333" ht="15.75" customHeight="1" outlineLevel="1">
      <c r="A333" s="211"/>
      <c r="B333" s="212"/>
      <c r="C333" s="213"/>
      <c r="D333" s="214" t="str">
        <f>IFERROR(VLOOKUP($C333,'PORTIFÓLIO'!C:V,2,0),"")</f>
        <v/>
      </c>
      <c r="E333" s="211" t="str">
        <f>IFERROR(VLOOKUP($C333,'PORTIFÓLIO'!C:V,3,0),"")</f>
        <v/>
      </c>
      <c r="F333" s="211" t="str">
        <f>IFERROR(VLOOKUP($C333,'PORTIFÓLIO'!C:V,4,0),"")</f>
        <v/>
      </c>
      <c r="G333" s="215" t="str">
        <f>IFERROR(VLOOKUP($C333,'PORTIFÓLIO'!C:V,5,0),"")</f>
        <v/>
      </c>
      <c r="H333" s="254" t="str">
        <f t="array" ref="H333">IFERROR(INDEX('PORTIFÓLIO'!$H$4:$H$433,MATCH($C333,'PORTIFÓLIO'!$C$4:$C$433,0)),"")</f>
        <v/>
      </c>
      <c r="I333" s="255"/>
      <c r="J333" s="218">
        <f t="shared" si="37"/>
        <v>0</v>
      </c>
      <c r="K333" s="292" t="str">
        <f t="array" ref="K333">IFERROR(I333*INDEX('PORTIFÓLIO'!$S$4:$S$433,MATCH($C333,'PORTIFÓLIO'!$C$4:$C$433,0)),"")</f>
        <v/>
      </c>
      <c r="L333" s="292" t="str">
        <f t="array" ref="L333">IFERROR(J333*INDEX('PORTIFÓLIO'!$S$4:$S$433,MATCH($C333,'PORTIFÓLIO'!$C$4:$C$433,0)),"")</f>
        <v/>
      </c>
      <c r="M333" s="220"/>
      <c r="N333" s="220"/>
      <c r="O333" s="220"/>
      <c r="P333" s="220"/>
      <c r="Q333" s="220"/>
      <c r="R333" s="220"/>
      <c r="S333" s="220"/>
      <c r="T333" s="220"/>
      <c r="U333" s="220"/>
      <c r="V333" s="220"/>
      <c r="W333" s="220"/>
    </row>
    <row r="334" ht="15.75" customHeight="1" outlineLevel="1">
      <c r="A334" s="211"/>
      <c r="B334" s="212"/>
      <c r="C334" s="213"/>
      <c r="D334" s="214" t="str">
        <f>IFERROR(VLOOKUP($C334,'PORTIFÓLIO'!C:V,2,0),"")</f>
        <v/>
      </c>
      <c r="E334" s="211" t="str">
        <f>IFERROR(VLOOKUP($C334,'PORTIFÓLIO'!C:V,3,0),"")</f>
        <v/>
      </c>
      <c r="F334" s="211" t="str">
        <f>IFERROR(VLOOKUP($C334,'PORTIFÓLIO'!C:V,4,0),"")</f>
        <v/>
      </c>
      <c r="G334" s="215" t="str">
        <f>IFERROR(VLOOKUP($C334,'PORTIFÓLIO'!C:V,5,0),"")</f>
        <v/>
      </c>
      <c r="H334" s="254" t="str">
        <f t="array" ref="H334">IFERROR(INDEX('PORTIFÓLIO'!$H$4:$H$433,MATCH($C334,'PORTIFÓLIO'!$C$4:$C$433,0)),"")</f>
        <v/>
      </c>
      <c r="I334" s="256"/>
      <c r="J334" s="218">
        <f t="shared" si="37"/>
        <v>0</v>
      </c>
      <c r="K334" s="292" t="str">
        <f t="array" ref="K334">IFERROR(I334*INDEX('PORTIFÓLIO'!$S$4:$S$433,MATCH($C334,'PORTIFÓLIO'!$C$4:$C$433,0)),"")</f>
        <v/>
      </c>
      <c r="L334" s="292" t="str">
        <f t="array" ref="L334">IFERROR(J334*INDEX('PORTIFÓLIO'!$S$4:$S$433,MATCH($C334,'PORTIFÓLIO'!$C$4:$C$433,0)),"")</f>
        <v/>
      </c>
      <c r="M334" s="220"/>
      <c r="N334" s="220"/>
      <c r="O334" s="220"/>
      <c r="P334" s="220"/>
      <c r="Q334" s="220"/>
      <c r="R334" s="220"/>
      <c r="S334" s="220"/>
      <c r="T334" s="220"/>
      <c r="U334" s="220"/>
      <c r="V334" s="220"/>
      <c r="W334" s="220"/>
    </row>
    <row r="335" ht="15.75" customHeight="1" outlineLevel="1">
      <c r="A335" s="211"/>
      <c r="B335" s="212"/>
      <c r="C335" s="213"/>
      <c r="D335" s="214" t="str">
        <f>IFERROR(VLOOKUP($C335,'PORTIFÓLIO'!C:V,2,0),"")</f>
        <v/>
      </c>
      <c r="E335" s="211" t="str">
        <f>IFERROR(VLOOKUP($C335,'PORTIFÓLIO'!C:V,3,0),"")</f>
        <v/>
      </c>
      <c r="F335" s="211" t="str">
        <f>IFERROR(VLOOKUP($C335,'PORTIFÓLIO'!C:V,4,0),"")</f>
        <v/>
      </c>
      <c r="G335" s="215" t="str">
        <f>IFERROR(VLOOKUP($C335,'PORTIFÓLIO'!C:V,5,0),"")</f>
        <v/>
      </c>
      <c r="H335" s="254" t="str">
        <f t="array" ref="H335">IFERROR(INDEX('PORTIFÓLIO'!$H$4:$H$433,MATCH($C335,'PORTIFÓLIO'!$C$4:$C$433,0)),"")</f>
        <v/>
      </c>
      <c r="I335" s="256"/>
      <c r="J335" s="218">
        <f t="shared" si="37"/>
        <v>0</v>
      </c>
      <c r="K335" s="292" t="str">
        <f t="array" ref="K335">IFERROR(I335*INDEX('PORTIFÓLIO'!$S$4:$S$433,MATCH($C335,'PORTIFÓLIO'!$C$4:$C$433,0)),"")</f>
        <v/>
      </c>
      <c r="L335" s="292" t="str">
        <f t="array" ref="L335">IFERROR(J335*INDEX('PORTIFÓLIO'!$S$4:$S$433,MATCH($C335,'PORTIFÓLIO'!$C$4:$C$433,0)),"")</f>
        <v/>
      </c>
      <c r="M335" s="220"/>
      <c r="N335" s="220"/>
      <c r="O335" s="220"/>
      <c r="P335" s="220"/>
      <c r="Q335" s="220"/>
      <c r="R335" s="220"/>
      <c r="S335" s="220"/>
      <c r="T335" s="220"/>
      <c r="U335" s="220"/>
      <c r="V335" s="220"/>
      <c r="W335" s="220"/>
    </row>
    <row r="336" ht="15.75" customHeight="1" outlineLevel="1">
      <c r="A336" s="211"/>
      <c r="B336" s="212"/>
      <c r="C336" s="213"/>
      <c r="D336" s="214" t="str">
        <f>IFERROR(VLOOKUP($C336,'PORTIFÓLIO'!C:V,2,0),"")</f>
        <v/>
      </c>
      <c r="E336" s="211" t="str">
        <f>IFERROR(VLOOKUP($C336,'PORTIFÓLIO'!C:V,3,0),"")</f>
        <v/>
      </c>
      <c r="F336" s="211" t="str">
        <f>IFERROR(VLOOKUP($C336,'PORTIFÓLIO'!C:V,4,0),"")</f>
        <v/>
      </c>
      <c r="G336" s="215" t="str">
        <f>IFERROR(VLOOKUP($C336,'PORTIFÓLIO'!C:V,5,0),"")</f>
        <v/>
      </c>
      <c r="H336" s="254" t="str">
        <f t="array" ref="H336">IFERROR(INDEX('PORTIFÓLIO'!$H$4:$H$433,MATCH($C336,'PORTIFÓLIO'!$C$4:$C$433,0)),"")</f>
        <v/>
      </c>
      <c r="I336" s="256"/>
      <c r="J336" s="218">
        <f t="shared" si="37"/>
        <v>0</v>
      </c>
      <c r="K336" s="292" t="str">
        <f t="array" ref="K336">IFERROR(I336*INDEX('PORTIFÓLIO'!$S$4:$S$433,MATCH($C336,'PORTIFÓLIO'!$C$4:$C$433,0)),"")</f>
        <v/>
      </c>
      <c r="L336" s="292" t="str">
        <f t="array" ref="L336">IFERROR(J336*INDEX('PORTIFÓLIO'!$S$4:$S$433,MATCH($C336,'PORTIFÓLIO'!$C$4:$C$433,0)),"")</f>
        <v/>
      </c>
      <c r="M336" s="220"/>
      <c r="N336" s="220"/>
      <c r="O336" s="220"/>
      <c r="P336" s="220"/>
      <c r="Q336" s="220"/>
      <c r="R336" s="220"/>
      <c r="S336" s="220"/>
      <c r="T336" s="220"/>
      <c r="U336" s="220"/>
      <c r="V336" s="220"/>
      <c r="W336" s="220"/>
    </row>
    <row r="337" ht="15.75" customHeight="1" outlineLevel="1">
      <c r="A337" s="211"/>
      <c r="B337" s="212"/>
      <c r="C337" s="213"/>
      <c r="D337" s="214" t="str">
        <f>IFERROR(VLOOKUP($C337,'PORTIFÓLIO'!C:V,2,0),"")</f>
        <v/>
      </c>
      <c r="E337" s="211" t="str">
        <f>IFERROR(VLOOKUP($C337,'PORTIFÓLIO'!C:V,3,0),"")</f>
        <v/>
      </c>
      <c r="F337" s="211" t="str">
        <f>IFERROR(VLOOKUP($C337,'PORTIFÓLIO'!C:V,4,0),"")</f>
        <v/>
      </c>
      <c r="G337" s="215" t="str">
        <f>IFERROR(VLOOKUP($C337,'PORTIFÓLIO'!C:V,5,0),"")</f>
        <v/>
      </c>
      <c r="H337" s="254" t="str">
        <f t="array" ref="H337">IFERROR(INDEX('PORTIFÓLIO'!$H$4:$H$433,MATCH($C337,'PORTIFÓLIO'!$C$4:$C$433,0)),"")</f>
        <v/>
      </c>
      <c r="I337" s="256"/>
      <c r="J337" s="218">
        <f t="shared" si="37"/>
        <v>0</v>
      </c>
      <c r="K337" s="292" t="str">
        <f t="array" ref="K337">IFERROR(I337*INDEX('PORTIFÓLIO'!$S$4:$S$433,MATCH($C337,'PORTIFÓLIO'!$C$4:$C$433,0)),"")</f>
        <v/>
      </c>
      <c r="L337" s="292" t="str">
        <f t="array" ref="L337">IFERROR(J337*INDEX('PORTIFÓLIO'!$S$4:$S$433,MATCH($C337,'PORTIFÓLIO'!$C$4:$C$433,0)),"")</f>
        <v/>
      </c>
      <c r="M337" s="220"/>
      <c r="N337" s="220"/>
      <c r="O337" s="220"/>
      <c r="P337" s="220"/>
      <c r="Q337" s="220"/>
      <c r="R337" s="220"/>
      <c r="S337" s="220"/>
      <c r="T337" s="220"/>
      <c r="U337" s="220"/>
      <c r="V337" s="220"/>
      <c r="W337" s="220"/>
    </row>
    <row r="338" ht="15.75" customHeight="1" outlineLevel="1">
      <c r="A338" s="211"/>
      <c r="B338" s="212"/>
      <c r="C338" s="213"/>
      <c r="D338" s="214" t="str">
        <f>IFERROR(VLOOKUP($C338,'PORTIFÓLIO'!C:V,2,0),"")</f>
        <v/>
      </c>
      <c r="E338" s="211" t="str">
        <f>IFERROR(VLOOKUP($C338,'PORTIFÓLIO'!C:V,3,0),"")</f>
        <v/>
      </c>
      <c r="F338" s="211" t="str">
        <f>IFERROR(VLOOKUP($C338,'PORTIFÓLIO'!C:V,4,0),"")</f>
        <v/>
      </c>
      <c r="G338" s="215" t="str">
        <f>IFERROR(VLOOKUP($C338,'PORTIFÓLIO'!C:V,5,0),"")</f>
        <v/>
      </c>
      <c r="H338" s="254" t="str">
        <f t="array" ref="H338">IFERROR(INDEX('PORTIFÓLIO'!$H$4:$H$433,MATCH($C338,'PORTIFÓLIO'!$C$4:$C$433,0)),"")</f>
        <v/>
      </c>
      <c r="I338" s="256"/>
      <c r="J338" s="218">
        <f t="shared" si="37"/>
        <v>0</v>
      </c>
      <c r="K338" s="292" t="str">
        <f t="array" ref="K338">IFERROR(I338*INDEX('PORTIFÓLIO'!$S$4:$S$433,MATCH($C338,'PORTIFÓLIO'!$C$4:$C$433,0)),"")</f>
        <v/>
      </c>
      <c r="L338" s="292" t="str">
        <f t="array" ref="L338">IFERROR(J338*INDEX('PORTIFÓLIO'!$S$4:$S$433,MATCH($C338,'PORTIFÓLIO'!$C$4:$C$433,0)),"")</f>
        <v/>
      </c>
      <c r="M338" s="220"/>
      <c r="N338" s="220"/>
      <c r="O338" s="220"/>
      <c r="P338" s="220"/>
      <c r="Q338" s="220"/>
      <c r="R338" s="220"/>
      <c r="S338" s="220"/>
      <c r="T338" s="220"/>
      <c r="U338" s="220"/>
      <c r="V338" s="220"/>
      <c r="W338" s="220"/>
    </row>
    <row r="339" ht="15.75" customHeight="1" outlineLevel="1">
      <c r="A339" s="211"/>
      <c r="B339" s="212"/>
      <c r="C339" s="213"/>
      <c r="D339" s="214" t="str">
        <f>IFERROR(VLOOKUP($C339,'PORTIFÓLIO'!C:V,2,0),"")</f>
        <v/>
      </c>
      <c r="E339" s="211" t="str">
        <f>IFERROR(VLOOKUP($C339,'PORTIFÓLIO'!C:V,3,0),"")</f>
        <v/>
      </c>
      <c r="F339" s="211" t="str">
        <f>IFERROR(VLOOKUP($C339,'PORTIFÓLIO'!C:V,4,0),"")</f>
        <v/>
      </c>
      <c r="G339" s="215" t="str">
        <f>IFERROR(VLOOKUP($C339,'PORTIFÓLIO'!C:V,5,0),"")</f>
        <v/>
      </c>
      <c r="H339" s="254" t="str">
        <f t="array" ref="H339">IFERROR(INDEX('PORTIFÓLIO'!$H$4:$H$433,MATCH($C339,'PORTIFÓLIO'!$C$4:$C$433,0)),"")</f>
        <v/>
      </c>
      <c r="I339" s="256"/>
      <c r="J339" s="218">
        <f t="shared" si="37"/>
        <v>0</v>
      </c>
      <c r="K339" s="292" t="str">
        <f t="array" ref="K339">IFERROR(I339*INDEX('PORTIFÓLIO'!$S$4:$S$433,MATCH($C339,'PORTIFÓLIO'!$C$4:$C$433,0)),"")</f>
        <v/>
      </c>
      <c r="L339" s="292" t="str">
        <f t="array" ref="L339">IFERROR(J339*INDEX('PORTIFÓLIO'!$S$4:$S$433,MATCH($C339,'PORTIFÓLIO'!$C$4:$C$433,0)),"")</f>
        <v/>
      </c>
      <c r="M339" s="220"/>
      <c r="N339" s="220"/>
      <c r="O339" s="220"/>
      <c r="P339" s="220"/>
      <c r="Q339" s="220"/>
      <c r="R339" s="220"/>
      <c r="S339" s="220"/>
      <c r="T339" s="220"/>
      <c r="U339" s="220"/>
      <c r="V339" s="220"/>
      <c r="W339" s="220"/>
    </row>
    <row r="340" ht="15.75" customHeight="1" outlineLevel="1">
      <c r="A340" s="211"/>
      <c r="B340" s="227"/>
      <c r="C340" s="211"/>
      <c r="D340" s="214" t="str">
        <f>IFERROR(VLOOKUP($C340,'PORTIFÓLIO'!C:V,2,0),"")</f>
        <v/>
      </c>
      <c r="E340" s="211" t="str">
        <f>IFERROR(VLOOKUP($C340,'PORTIFÓLIO'!C:V,3,0),"")</f>
        <v/>
      </c>
      <c r="F340" s="211" t="str">
        <f>IFERROR(VLOOKUP($C340,'PORTIFÓLIO'!C:V,4,0),"")</f>
        <v/>
      </c>
      <c r="G340" s="215" t="str">
        <f>IFERROR(VLOOKUP($C340,'PORTIFÓLIO'!C:V,5,0),"")</f>
        <v/>
      </c>
      <c r="H340" s="254" t="str">
        <f t="array" ref="H340">IFERROR(INDEX('PORTIFÓLIO'!$H$4:$H$433,MATCH($C340,'PORTIFÓLIO'!$C$4:$C$433,0)),"")</f>
        <v/>
      </c>
      <c r="I340" s="256"/>
      <c r="J340" s="218"/>
      <c r="K340" s="292" t="str">
        <f t="array" ref="K340">IFERROR(I340*INDEX('PORTIFÓLIO'!$S$4:$S$433,MATCH($C340,'PORTIFÓLIO'!$C$4:$C$433,0)),"")</f>
        <v/>
      </c>
      <c r="L340" s="292" t="str">
        <f t="array" ref="L340">IFERROR(J340*INDEX('PORTIFÓLIO'!$S$4:$S$433,MATCH($C340,'PORTIFÓLIO'!$C$4:$C$433,0)),"")</f>
        <v/>
      </c>
      <c r="M340" s="220"/>
      <c r="N340" s="220"/>
      <c r="O340" s="220"/>
      <c r="P340" s="220"/>
      <c r="Q340" s="220"/>
      <c r="R340" s="220"/>
      <c r="S340" s="220"/>
      <c r="T340" s="220"/>
      <c r="U340" s="220"/>
      <c r="V340" s="220"/>
      <c r="W340" s="220"/>
    </row>
    <row r="341" ht="15.75" customHeight="1">
      <c r="A341" s="229" t="s">
        <v>1190</v>
      </c>
      <c r="B341" s="230"/>
      <c r="C341" s="231"/>
      <c r="D341" s="232"/>
      <c r="E341" s="231"/>
      <c r="F341" s="231"/>
      <c r="G341" s="233"/>
      <c r="H341" s="233"/>
      <c r="I341" s="258"/>
      <c r="J341" s="236"/>
      <c r="K341" s="237">
        <f t="shared" ref="K341:L341" si="38">SUBTOTAL(9,K342:K355)</f>
        <v>0</v>
      </c>
      <c r="L341" s="237">
        <f t="shared" si="38"/>
        <v>0</v>
      </c>
      <c r="M341" s="220"/>
      <c r="N341" s="220"/>
      <c r="O341" s="220"/>
      <c r="P341" s="220"/>
      <c r="Q341" s="220"/>
      <c r="R341" s="220"/>
      <c r="S341" s="220"/>
      <c r="T341" s="220"/>
      <c r="U341" s="220"/>
      <c r="V341" s="220"/>
      <c r="W341" s="220"/>
    </row>
    <row r="342" ht="15.75" customHeight="1" outlineLevel="1">
      <c r="A342" s="213"/>
      <c r="B342" s="212"/>
      <c r="C342" s="213"/>
      <c r="D342" s="214" t="str">
        <f>IFERROR(VLOOKUP($C342,'PORTIFÓLIO'!C:V,2,0),"")</f>
        <v/>
      </c>
      <c r="E342" s="211" t="str">
        <f>IFERROR(VLOOKUP($C342,'PORTIFÓLIO'!C:V,3,0),"")</f>
        <v/>
      </c>
      <c r="F342" s="211" t="str">
        <f>IFERROR(VLOOKUP($C342,'PORTIFÓLIO'!C:V,4,0),"")</f>
        <v/>
      </c>
      <c r="G342" s="215" t="str">
        <f>IFERROR(VLOOKUP($C342,'PORTIFÓLIO'!C:V,5,0),"")</f>
        <v/>
      </c>
      <c r="H342" s="254" t="str">
        <f t="array" ref="H342">IFERROR(INDEX('PORTIFÓLIO'!$H$4:$H$433,MATCH($C342,'PORTIFÓLIO'!$C$4:$C$433,0)),"")</f>
        <v/>
      </c>
      <c r="I342" s="255"/>
      <c r="J342" s="218">
        <f t="shared" ref="J342:J356" si="39">I342*$B$2</f>
        <v>0</v>
      </c>
      <c r="K342" s="292" t="str">
        <f t="array" ref="K342">IFERROR(I342*INDEX('PORTIFÓLIO'!$S$4:$S$433,MATCH($C342,'PORTIFÓLIO'!$C$4:$C$433,0)),"")</f>
        <v/>
      </c>
      <c r="L342" s="292" t="str">
        <f t="array" ref="L342">IFERROR(J342*INDEX('PORTIFÓLIO'!$S$4:$S$433,MATCH($C342,'PORTIFÓLIO'!$C$4:$C$433,0)),"")</f>
        <v/>
      </c>
      <c r="M342" s="220"/>
      <c r="N342" s="220"/>
      <c r="O342" s="220"/>
      <c r="P342" s="220"/>
      <c r="Q342" s="220"/>
      <c r="R342" s="220"/>
      <c r="S342" s="220"/>
      <c r="T342" s="220"/>
      <c r="U342" s="220"/>
      <c r="V342" s="220"/>
      <c r="W342" s="220"/>
    </row>
    <row r="343" ht="15.75" customHeight="1" outlineLevel="1">
      <c r="A343" s="211"/>
      <c r="B343" s="212"/>
      <c r="C343" s="213"/>
      <c r="D343" s="214" t="str">
        <f>IFERROR(VLOOKUP($C343,'PORTIFÓLIO'!C:V,2,0),"")</f>
        <v/>
      </c>
      <c r="E343" s="211" t="str">
        <f>IFERROR(VLOOKUP($C343,'PORTIFÓLIO'!C:V,3,0),"")</f>
        <v/>
      </c>
      <c r="F343" s="211" t="str">
        <f>IFERROR(VLOOKUP($C343,'PORTIFÓLIO'!C:V,4,0),"")</f>
        <v/>
      </c>
      <c r="G343" s="215" t="str">
        <f>IFERROR(VLOOKUP($C343,'PORTIFÓLIO'!C:V,5,0),"")</f>
        <v/>
      </c>
      <c r="H343" s="254" t="str">
        <f t="array" ref="H343">IFERROR(INDEX('PORTIFÓLIO'!$H$4:$H$433,MATCH($C343,'PORTIFÓLIO'!$C$4:$C$433,0)),"")</f>
        <v/>
      </c>
      <c r="I343" s="256"/>
      <c r="J343" s="218">
        <f t="shared" si="39"/>
        <v>0</v>
      </c>
      <c r="K343" s="292" t="str">
        <f t="array" ref="K343">IFERROR(I343*INDEX('PORTIFÓLIO'!$S$4:$S$433,MATCH($C343,'PORTIFÓLIO'!$C$4:$C$433,0)),"")</f>
        <v/>
      </c>
      <c r="L343" s="292" t="str">
        <f t="array" ref="L343">IFERROR(J343*INDEX('PORTIFÓLIO'!$S$4:$S$433,MATCH($C343,'PORTIFÓLIO'!$C$4:$C$433,0)),"")</f>
        <v/>
      </c>
      <c r="M343" s="220"/>
      <c r="N343" s="220"/>
      <c r="O343" s="220"/>
      <c r="P343" s="220"/>
      <c r="Q343" s="220"/>
      <c r="R343" s="220"/>
      <c r="S343" s="220"/>
      <c r="T343" s="220"/>
      <c r="U343" s="220"/>
      <c r="V343" s="220"/>
      <c r="W343" s="220"/>
    </row>
    <row r="344" ht="15.75" customHeight="1" outlineLevel="1">
      <c r="A344" s="211"/>
      <c r="B344" s="212"/>
      <c r="C344" s="213"/>
      <c r="D344" s="214" t="str">
        <f>IFERROR(VLOOKUP($C344,'PORTIFÓLIO'!C:V,2,0),"")</f>
        <v/>
      </c>
      <c r="E344" s="211" t="str">
        <f>IFERROR(VLOOKUP($C344,'PORTIFÓLIO'!C:V,3,0),"")</f>
        <v/>
      </c>
      <c r="F344" s="211" t="str">
        <f>IFERROR(VLOOKUP($C344,'PORTIFÓLIO'!C:V,4,0),"")</f>
        <v/>
      </c>
      <c r="G344" s="215" t="str">
        <f>IFERROR(VLOOKUP($C344,'PORTIFÓLIO'!C:V,5,0),"")</f>
        <v/>
      </c>
      <c r="H344" s="254" t="str">
        <f t="array" ref="H344">IFERROR(INDEX('PORTIFÓLIO'!$H$4:$H$433,MATCH($C344,'PORTIFÓLIO'!$C$4:$C$433,0)),"")</f>
        <v/>
      </c>
      <c r="I344" s="256"/>
      <c r="J344" s="218">
        <f t="shared" si="39"/>
        <v>0</v>
      </c>
      <c r="K344" s="292" t="str">
        <f t="array" ref="K344">IFERROR(I344*INDEX('PORTIFÓLIO'!$S$4:$S$433,MATCH($C344,'PORTIFÓLIO'!$C$4:$C$433,0)),"")</f>
        <v/>
      </c>
      <c r="L344" s="292" t="str">
        <f t="array" ref="L344">IFERROR(J344*INDEX('PORTIFÓLIO'!$S$4:$S$433,MATCH($C344,'PORTIFÓLIO'!$C$4:$C$433,0)),"")</f>
        <v/>
      </c>
      <c r="M344" s="220"/>
      <c r="N344" s="220"/>
      <c r="O344" s="220"/>
      <c r="P344" s="220"/>
      <c r="Q344" s="220"/>
      <c r="R344" s="220"/>
      <c r="S344" s="220"/>
      <c r="T344" s="220"/>
      <c r="U344" s="220"/>
      <c r="V344" s="220"/>
      <c r="W344" s="220"/>
    </row>
    <row r="345" ht="15.75" customHeight="1" outlineLevel="1">
      <c r="A345" s="211"/>
      <c r="B345" s="212"/>
      <c r="C345" s="213"/>
      <c r="D345" s="214" t="str">
        <f>IFERROR(VLOOKUP($C345,'PORTIFÓLIO'!C:V,2,0),"")</f>
        <v/>
      </c>
      <c r="E345" s="211" t="str">
        <f>IFERROR(VLOOKUP($C345,'PORTIFÓLIO'!C:V,3,0),"")</f>
        <v/>
      </c>
      <c r="F345" s="211" t="str">
        <f>IFERROR(VLOOKUP($C345,'PORTIFÓLIO'!C:V,4,0),"")</f>
        <v/>
      </c>
      <c r="G345" s="215" t="str">
        <f>IFERROR(VLOOKUP($C345,'PORTIFÓLIO'!C:V,5,0),"")</f>
        <v/>
      </c>
      <c r="H345" s="254" t="str">
        <f t="array" ref="H345">IFERROR(INDEX('PORTIFÓLIO'!$H$4:$H$433,MATCH($C345,'PORTIFÓLIO'!$C$4:$C$433,0)),"")</f>
        <v/>
      </c>
      <c r="I345" s="256"/>
      <c r="J345" s="218">
        <f t="shared" si="39"/>
        <v>0</v>
      </c>
      <c r="K345" s="292" t="str">
        <f t="array" ref="K345">IFERROR(I345*INDEX('PORTIFÓLIO'!$S$4:$S$433,MATCH($C345,'PORTIFÓLIO'!$C$4:$C$433,0)),"")</f>
        <v/>
      </c>
      <c r="L345" s="292" t="str">
        <f t="array" ref="L345">IFERROR(J345*INDEX('PORTIFÓLIO'!$S$4:$S$433,MATCH($C345,'PORTIFÓLIO'!$C$4:$C$433,0)),"")</f>
        <v/>
      </c>
      <c r="M345" s="220"/>
      <c r="N345" s="220"/>
      <c r="O345" s="220"/>
      <c r="P345" s="220"/>
      <c r="Q345" s="220"/>
      <c r="R345" s="220"/>
      <c r="S345" s="220"/>
      <c r="T345" s="220"/>
      <c r="U345" s="220"/>
      <c r="V345" s="220"/>
      <c r="W345" s="220"/>
    </row>
    <row r="346" ht="15.75" customHeight="1" outlineLevel="1">
      <c r="A346" s="211"/>
      <c r="B346" s="212"/>
      <c r="C346" s="213"/>
      <c r="D346" s="214" t="str">
        <f>IFERROR(VLOOKUP($C346,'PORTIFÓLIO'!C:V,2,0),"")</f>
        <v/>
      </c>
      <c r="E346" s="211" t="str">
        <f>IFERROR(VLOOKUP($C346,'PORTIFÓLIO'!C:V,3,0),"")</f>
        <v/>
      </c>
      <c r="F346" s="211" t="str">
        <f>IFERROR(VLOOKUP($C346,'PORTIFÓLIO'!C:V,4,0),"")</f>
        <v/>
      </c>
      <c r="G346" s="215" t="str">
        <f>IFERROR(VLOOKUP($C346,'PORTIFÓLIO'!C:V,5,0),"")</f>
        <v/>
      </c>
      <c r="H346" s="254" t="str">
        <f t="array" ref="H346">IFERROR(INDEX('PORTIFÓLIO'!$H$4:$H$433,MATCH($C346,'PORTIFÓLIO'!$C$4:$C$433,0)),"")</f>
        <v/>
      </c>
      <c r="I346" s="256"/>
      <c r="J346" s="218">
        <f t="shared" si="39"/>
        <v>0</v>
      </c>
      <c r="K346" s="292" t="str">
        <f t="array" ref="K346">IFERROR(I346*INDEX('PORTIFÓLIO'!$S$4:$S$433,MATCH($C346,'PORTIFÓLIO'!$C$4:$C$433,0)),"")</f>
        <v/>
      </c>
      <c r="L346" s="292" t="str">
        <f t="array" ref="L346">IFERROR(J346*INDEX('PORTIFÓLIO'!$S$4:$S$433,MATCH($C346,'PORTIFÓLIO'!$C$4:$C$433,0)),"")</f>
        <v/>
      </c>
      <c r="M346" s="220"/>
      <c r="N346" s="220"/>
      <c r="O346" s="220"/>
      <c r="P346" s="220"/>
      <c r="Q346" s="220"/>
      <c r="R346" s="220"/>
      <c r="S346" s="220"/>
      <c r="T346" s="220"/>
      <c r="U346" s="220"/>
      <c r="V346" s="220"/>
      <c r="W346" s="220"/>
    </row>
    <row r="347" ht="15.75" customHeight="1" outlineLevel="1">
      <c r="A347" s="211"/>
      <c r="B347" s="212"/>
      <c r="C347" s="213"/>
      <c r="D347" s="214" t="str">
        <f>IFERROR(VLOOKUP($C347,'PORTIFÓLIO'!C:V,2,0),"")</f>
        <v/>
      </c>
      <c r="E347" s="211" t="str">
        <f>IFERROR(VLOOKUP($C347,'PORTIFÓLIO'!C:V,3,0),"")</f>
        <v/>
      </c>
      <c r="F347" s="211" t="str">
        <f>IFERROR(VLOOKUP($C347,'PORTIFÓLIO'!C:V,4,0),"")</f>
        <v/>
      </c>
      <c r="G347" s="215" t="str">
        <f>IFERROR(VLOOKUP($C347,'PORTIFÓLIO'!C:V,5,0),"")</f>
        <v/>
      </c>
      <c r="H347" s="254" t="str">
        <f t="array" ref="H347">IFERROR(INDEX('PORTIFÓLIO'!$H$4:$H$433,MATCH($C347,'PORTIFÓLIO'!$C$4:$C$433,0)),"")</f>
        <v/>
      </c>
      <c r="I347" s="256"/>
      <c r="J347" s="218">
        <f t="shared" si="39"/>
        <v>0</v>
      </c>
      <c r="K347" s="292" t="str">
        <f t="array" ref="K347">IFERROR(I347*INDEX('PORTIFÓLIO'!$S$4:$S$433,MATCH($C347,'PORTIFÓLIO'!$C$4:$C$433,0)),"")</f>
        <v/>
      </c>
      <c r="L347" s="292" t="str">
        <f t="array" ref="L347">IFERROR(J347*INDEX('PORTIFÓLIO'!$S$4:$S$433,MATCH($C347,'PORTIFÓLIO'!$C$4:$C$433,0)),"")</f>
        <v/>
      </c>
      <c r="M347" s="220"/>
      <c r="N347" s="220"/>
      <c r="O347" s="220"/>
      <c r="P347" s="220"/>
      <c r="Q347" s="220"/>
      <c r="R347" s="220"/>
      <c r="S347" s="220"/>
      <c r="T347" s="220"/>
      <c r="U347" s="220"/>
      <c r="V347" s="220"/>
      <c r="W347" s="220"/>
    </row>
    <row r="348" ht="15.75" customHeight="1" outlineLevel="1">
      <c r="A348" s="211"/>
      <c r="B348" s="212"/>
      <c r="C348" s="213"/>
      <c r="D348" s="214" t="str">
        <f>IFERROR(VLOOKUP($C348,'PORTIFÓLIO'!C:V,2,0),"")</f>
        <v/>
      </c>
      <c r="E348" s="211" t="str">
        <f>IFERROR(VLOOKUP($C348,'PORTIFÓLIO'!C:V,3,0),"")</f>
        <v/>
      </c>
      <c r="F348" s="211" t="str">
        <f>IFERROR(VLOOKUP($C348,'PORTIFÓLIO'!C:V,4,0),"")</f>
        <v/>
      </c>
      <c r="G348" s="215" t="str">
        <f>IFERROR(VLOOKUP($C348,'PORTIFÓLIO'!C:V,5,0),"")</f>
        <v/>
      </c>
      <c r="H348" s="254" t="str">
        <f t="array" ref="H348">IFERROR(INDEX('PORTIFÓLIO'!$H$4:$H$433,MATCH($C348,'PORTIFÓLIO'!$C$4:$C$433,0)),"")</f>
        <v/>
      </c>
      <c r="I348" s="256"/>
      <c r="J348" s="218">
        <f t="shared" si="39"/>
        <v>0</v>
      </c>
      <c r="K348" s="292" t="str">
        <f t="array" ref="K348">IFERROR(I348*INDEX('PORTIFÓLIO'!$S$4:$S$433,MATCH($C348,'PORTIFÓLIO'!$C$4:$C$433,0)),"")</f>
        <v/>
      </c>
      <c r="L348" s="292" t="str">
        <f t="array" ref="L348">IFERROR(J348*INDEX('PORTIFÓLIO'!$S$4:$S$433,MATCH($C348,'PORTIFÓLIO'!$C$4:$C$433,0)),"")</f>
        <v/>
      </c>
      <c r="M348" s="220"/>
      <c r="N348" s="220"/>
      <c r="O348" s="220"/>
      <c r="P348" s="220"/>
      <c r="Q348" s="220"/>
      <c r="R348" s="220"/>
      <c r="S348" s="220"/>
      <c r="T348" s="220"/>
      <c r="U348" s="220"/>
      <c r="V348" s="220"/>
      <c r="W348" s="220"/>
    </row>
    <row r="349" ht="15.75" customHeight="1" outlineLevel="1">
      <c r="A349" s="211"/>
      <c r="B349" s="212"/>
      <c r="C349" s="213"/>
      <c r="D349" s="214" t="str">
        <f>IFERROR(VLOOKUP($C349,'PORTIFÓLIO'!C:V,2,0),"")</f>
        <v/>
      </c>
      <c r="E349" s="211" t="str">
        <f>IFERROR(VLOOKUP($C349,'PORTIFÓLIO'!C:V,3,0),"")</f>
        <v/>
      </c>
      <c r="F349" s="211" t="str">
        <f>IFERROR(VLOOKUP($C349,'PORTIFÓLIO'!C:V,4,0),"")</f>
        <v/>
      </c>
      <c r="G349" s="215" t="str">
        <f>IFERROR(VLOOKUP($C349,'PORTIFÓLIO'!C:V,5,0),"")</f>
        <v/>
      </c>
      <c r="H349" s="254" t="str">
        <f t="array" ref="H349">IFERROR(INDEX('PORTIFÓLIO'!$H$4:$H$433,MATCH($C349,'PORTIFÓLIO'!$C$4:$C$433,0)),"")</f>
        <v/>
      </c>
      <c r="I349" s="256"/>
      <c r="J349" s="218">
        <f t="shared" si="39"/>
        <v>0</v>
      </c>
      <c r="K349" s="292" t="str">
        <f t="array" ref="K349">IFERROR(I349*INDEX('PORTIFÓLIO'!$S$4:$S$433,MATCH($C349,'PORTIFÓLIO'!$C$4:$C$433,0)),"")</f>
        <v/>
      </c>
      <c r="L349" s="292" t="str">
        <f t="array" ref="L349">IFERROR(J349*INDEX('PORTIFÓLIO'!$S$4:$S$433,MATCH($C349,'PORTIFÓLIO'!$C$4:$C$433,0)),"")</f>
        <v/>
      </c>
      <c r="M349" s="220"/>
      <c r="N349" s="220"/>
      <c r="O349" s="220"/>
      <c r="P349" s="220"/>
      <c r="Q349" s="220"/>
      <c r="R349" s="220"/>
      <c r="S349" s="220"/>
      <c r="T349" s="220"/>
      <c r="U349" s="220"/>
      <c r="V349" s="220"/>
      <c r="W349" s="220"/>
    </row>
    <row r="350" ht="15.75" customHeight="1" outlineLevel="1">
      <c r="A350" s="211"/>
      <c r="B350" s="212"/>
      <c r="C350" s="213"/>
      <c r="D350" s="214" t="str">
        <f>IFERROR(VLOOKUP($C350,'PORTIFÓLIO'!C:V,2,0),"")</f>
        <v/>
      </c>
      <c r="E350" s="211" t="str">
        <f>IFERROR(VLOOKUP($C350,'PORTIFÓLIO'!C:V,3,0),"")</f>
        <v/>
      </c>
      <c r="F350" s="211" t="str">
        <f>IFERROR(VLOOKUP($C350,'PORTIFÓLIO'!C:V,4,0),"")</f>
        <v/>
      </c>
      <c r="G350" s="215" t="str">
        <f>IFERROR(VLOOKUP($C350,'PORTIFÓLIO'!C:V,5,0),"")</f>
        <v/>
      </c>
      <c r="H350" s="254" t="str">
        <f t="array" ref="H350">IFERROR(INDEX('PORTIFÓLIO'!$H$4:$H$433,MATCH($C350,'PORTIFÓLIO'!$C$4:$C$433,0)),"")</f>
        <v/>
      </c>
      <c r="I350" s="255"/>
      <c r="J350" s="218">
        <f t="shared" si="39"/>
        <v>0</v>
      </c>
      <c r="K350" s="292" t="str">
        <f t="array" ref="K350">IFERROR(I350*INDEX('PORTIFÓLIO'!$S$4:$S$433,MATCH($C350,'PORTIFÓLIO'!$C$4:$C$433,0)),"")</f>
        <v/>
      </c>
      <c r="L350" s="292" t="str">
        <f t="array" ref="L350">IFERROR(J350*INDEX('PORTIFÓLIO'!$S$4:$S$433,MATCH($C350,'PORTIFÓLIO'!$C$4:$C$433,0)),"")</f>
        <v/>
      </c>
      <c r="M350" s="220"/>
      <c r="N350" s="220"/>
      <c r="O350" s="220"/>
      <c r="P350" s="220"/>
      <c r="Q350" s="220"/>
      <c r="R350" s="220"/>
      <c r="S350" s="220"/>
      <c r="T350" s="220"/>
      <c r="U350" s="220"/>
      <c r="V350" s="220"/>
      <c r="W350" s="220"/>
    </row>
    <row r="351" ht="15.75" customHeight="1" outlineLevel="1">
      <c r="A351" s="211"/>
      <c r="B351" s="212"/>
      <c r="C351" s="213"/>
      <c r="D351" s="214" t="str">
        <f>IFERROR(VLOOKUP($C351,'PORTIFÓLIO'!C:V,2,0),"")</f>
        <v/>
      </c>
      <c r="E351" s="211" t="str">
        <f>IFERROR(VLOOKUP($C351,'PORTIFÓLIO'!C:V,3,0),"")</f>
        <v/>
      </c>
      <c r="F351" s="211" t="str">
        <f>IFERROR(VLOOKUP($C351,'PORTIFÓLIO'!C:V,4,0),"")</f>
        <v/>
      </c>
      <c r="G351" s="215" t="str">
        <f>IFERROR(VLOOKUP($C351,'PORTIFÓLIO'!C:V,5,0),"")</f>
        <v/>
      </c>
      <c r="H351" s="254" t="str">
        <f t="array" ref="H351">IFERROR(INDEX('PORTIFÓLIO'!$H$4:$H$433,MATCH($C351,'PORTIFÓLIO'!$C$4:$C$433,0)),"")</f>
        <v/>
      </c>
      <c r="I351" s="256"/>
      <c r="J351" s="218">
        <f t="shared" si="39"/>
        <v>0</v>
      </c>
      <c r="K351" s="292" t="str">
        <f t="array" ref="K351">IFERROR(I351*INDEX('PORTIFÓLIO'!$S$4:$S$433,MATCH($C351,'PORTIFÓLIO'!$C$4:$C$433,0)),"")</f>
        <v/>
      </c>
      <c r="L351" s="292" t="str">
        <f t="array" ref="L351">IFERROR(J351*INDEX('PORTIFÓLIO'!$S$4:$S$433,MATCH($C351,'PORTIFÓLIO'!$C$4:$C$433,0)),"")</f>
        <v/>
      </c>
      <c r="M351" s="220"/>
      <c r="N351" s="220"/>
      <c r="O351" s="220"/>
      <c r="P351" s="220"/>
      <c r="Q351" s="220"/>
      <c r="R351" s="220"/>
      <c r="S351" s="220"/>
      <c r="T351" s="220"/>
      <c r="U351" s="220"/>
      <c r="V351" s="220"/>
      <c r="W351" s="220"/>
    </row>
    <row r="352" ht="15.75" customHeight="1" outlineLevel="1">
      <c r="A352" s="211"/>
      <c r="B352" s="212"/>
      <c r="C352" s="213"/>
      <c r="D352" s="214" t="str">
        <f>IFERROR(VLOOKUP($C352,'PORTIFÓLIO'!C:V,2,0),"")</f>
        <v/>
      </c>
      <c r="E352" s="211" t="str">
        <f>IFERROR(VLOOKUP($C352,'PORTIFÓLIO'!C:V,3,0),"")</f>
        <v/>
      </c>
      <c r="F352" s="211" t="str">
        <f>IFERROR(VLOOKUP($C352,'PORTIFÓLIO'!C:V,4,0),"")</f>
        <v/>
      </c>
      <c r="G352" s="215" t="str">
        <f>IFERROR(VLOOKUP($C352,'PORTIFÓLIO'!C:V,5,0),"")</f>
        <v/>
      </c>
      <c r="H352" s="254" t="str">
        <f t="array" ref="H352">IFERROR(INDEX('PORTIFÓLIO'!$H$4:$H$433,MATCH($C352,'PORTIFÓLIO'!$C$4:$C$433,0)),"")</f>
        <v/>
      </c>
      <c r="I352" s="256"/>
      <c r="J352" s="218">
        <f t="shared" si="39"/>
        <v>0</v>
      </c>
      <c r="K352" s="292" t="str">
        <f t="array" ref="K352">IFERROR(I352*INDEX('PORTIFÓLIO'!$S$4:$S$433,MATCH($C352,'PORTIFÓLIO'!$C$4:$C$433,0)),"")</f>
        <v/>
      </c>
      <c r="L352" s="292" t="str">
        <f t="array" ref="L352">IFERROR(J352*INDEX('PORTIFÓLIO'!$S$4:$S$433,MATCH($C352,'PORTIFÓLIO'!$C$4:$C$433,0)),"")</f>
        <v/>
      </c>
      <c r="M352" s="220"/>
      <c r="N352" s="220"/>
      <c r="O352" s="220"/>
      <c r="P352" s="220"/>
      <c r="Q352" s="220"/>
      <c r="R352" s="220"/>
      <c r="S352" s="220"/>
      <c r="T352" s="220"/>
      <c r="U352" s="220"/>
      <c r="V352" s="220"/>
      <c r="W352" s="220"/>
    </row>
    <row r="353" ht="15.75" customHeight="1" outlineLevel="1">
      <c r="A353" s="211"/>
      <c r="B353" s="212"/>
      <c r="C353" s="213"/>
      <c r="D353" s="214" t="str">
        <f>IFERROR(VLOOKUP($C353,'PORTIFÓLIO'!C:V,2,0),"")</f>
        <v/>
      </c>
      <c r="E353" s="211" t="str">
        <f>IFERROR(VLOOKUP($C353,'PORTIFÓLIO'!C:V,3,0),"")</f>
        <v/>
      </c>
      <c r="F353" s="211" t="str">
        <f>IFERROR(VLOOKUP($C353,'PORTIFÓLIO'!C:V,4,0),"")</f>
        <v/>
      </c>
      <c r="G353" s="215" t="str">
        <f>IFERROR(VLOOKUP($C353,'PORTIFÓLIO'!C:V,5,0),"")</f>
        <v/>
      </c>
      <c r="H353" s="254" t="str">
        <f t="array" ref="H353">IFERROR(INDEX('PORTIFÓLIO'!$H$4:$H$433,MATCH($C353,'PORTIFÓLIO'!$C$4:$C$433,0)),"")</f>
        <v/>
      </c>
      <c r="I353" s="256"/>
      <c r="J353" s="218">
        <f t="shared" si="39"/>
        <v>0</v>
      </c>
      <c r="K353" s="292" t="str">
        <f t="array" ref="K353">IFERROR(I353*INDEX('PORTIFÓLIO'!$S$4:$S$433,MATCH($C353,'PORTIFÓLIO'!$C$4:$C$433,0)),"")</f>
        <v/>
      </c>
      <c r="L353" s="292" t="str">
        <f t="array" ref="L353">IFERROR(J353*INDEX('PORTIFÓLIO'!$S$4:$S$433,MATCH($C353,'PORTIFÓLIO'!$C$4:$C$433,0)),"")</f>
        <v/>
      </c>
      <c r="M353" s="220"/>
      <c r="N353" s="220"/>
      <c r="O353" s="220"/>
      <c r="P353" s="220"/>
      <c r="Q353" s="220"/>
      <c r="R353" s="220"/>
      <c r="S353" s="220"/>
      <c r="T353" s="220"/>
      <c r="U353" s="220"/>
      <c r="V353" s="220"/>
      <c r="W353" s="220"/>
    </row>
    <row r="354" ht="15.75" customHeight="1" outlineLevel="1">
      <c r="A354" s="211"/>
      <c r="B354" s="212"/>
      <c r="C354" s="213"/>
      <c r="D354" s="214" t="str">
        <f>IFERROR(VLOOKUP($C354,'PORTIFÓLIO'!C:V,2,0),"")</f>
        <v/>
      </c>
      <c r="E354" s="211" t="str">
        <f>IFERROR(VLOOKUP($C354,'PORTIFÓLIO'!C:V,3,0),"")</f>
        <v/>
      </c>
      <c r="F354" s="211" t="str">
        <f>IFERROR(VLOOKUP($C354,'PORTIFÓLIO'!C:V,4,0),"")</f>
        <v/>
      </c>
      <c r="G354" s="215" t="str">
        <f>IFERROR(VLOOKUP($C354,'PORTIFÓLIO'!C:V,5,0),"")</f>
        <v/>
      </c>
      <c r="H354" s="254" t="str">
        <f t="array" ref="H354">IFERROR(INDEX('PORTIFÓLIO'!$H$4:$H$433,MATCH($C354,'PORTIFÓLIO'!$C$4:$C$433,0)),"")</f>
        <v/>
      </c>
      <c r="I354" s="256"/>
      <c r="J354" s="218">
        <f t="shared" si="39"/>
        <v>0</v>
      </c>
      <c r="K354" s="292" t="str">
        <f t="array" ref="K354">IFERROR(I354*INDEX('PORTIFÓLIO'!$S$4:$S$433,MATCH($C354,'PORTIFÓLIO'!$C$4:$C$433,0)),"")</f>
        <v/>
      </c>
      <c r="L354" s="292" t="str">
        <f t="array" ref="L354">IFERROR(J354*INDEX('PORTIFÓLIO'!$S$4:$S$433,MATCH($C354,'PORTIFÓLIO'!$C$4:$C$433,0)),"")</f>
        <v/>
      </c>
      <c r="M354" s="220"/>
      <c r="N354" s="220"/>
      <c r="O354" s="220"/>
      <c r="P354" s="220"/>
      <c r="Q354" s="220"/>
      <c r="R354" s="220"/>
      <c r="S354" s="220"/>
      <c r="T354" s="220"/>
      <c r="U354" s="220"/>
      <c r="V354" s="220"/>
      <c r="W354" s="220"/>
    </row>
    <row r="355" ht="15.75" customHeight="1" outlineLevel="1">
      <c r="A355" s="211"/>
      <c r="B355" s="212"/>
      <c r="C355" s="213"/>
      <c r="D355" s="214" t="str">
        <f>IFERROR(VLOOKUP($C355,'PORTIFÓLIO'!C:V,2,0),"")</f>
        <v/>
      </c>
      <c r="E355" s="211" t="str">
        <f>IFERROR(VLOOKUP($C355,'PORTIFÓLIO'!C:V,3,0),"")</f>
        <v/>
      </c>
      <c r="F355" s="211" t="str">
        <f>IFERROR(VLOOKUP($C355,'PORTIFÓLIO'!C:V,4,0),"")</f>
        <v/>
      </c>
      <c r="G355" s="215" t="str">
        <f>IFERROR(VLOOKUP($C355,'PORTIFÓLIO'!C:V,5,0),"")</f>
        <v/>
      </c>
      <c r="H355" s="254" t="str">
        <f t="array" ref="H355">IFERROR(INDEX('PORTIFÓLIO'!$H$4:$H$433,MATCH($C355,'PORTIFÓLIO'!$C$4:$C$433,0)),"")</f>
        <v/>
      </c>
      <c r="I355" s="256"/>
      <c r="J355" s="218">
        <f t="shared" si="39"/>
        <v>0</v>
      </c>
      <c r="K355" s="292" t="str">
        <f t="array" ref="K355">IFERROR(I355*INDEX('PORTIFÓLIO'!$S$4:$S$433,MATCH($C355,'PORTIFÓLIO'!$C$4:$C$433,0)),"")</f>
        <v/>
      </c>
      <c r="L355" s="292" t="str">
        <f t="array" ref="L355">IFERROR(J355*INDEX('PORTIFÓLIO'!$S$4:$S$433,MATCH($C355,'PORTIFÓLIO'!$C$4:$C$433,0)),"")</f>
        <v/>
      </c>
      <c r="M355" s="220"/>
      <c r="N355" s="220"/>
      <c r="O355" s="220"/>
      <c r="P355" s="220"/>
      <c r="Q355" s="220"/>
      <c r="R355" s="220"/>
      <c r="S355" s="220"/>
      <c r="T355" s="220"/>
      <c r="U355" s="220"/>
      <c r="V355" s="220"/>
      <c r="W355" s="220"/>
    </row>
    <row r="356" ht="15.75" customHeight="1" outlineLevel="1">
      <c r="A356" s="211"/>
      <c r="B356" s="212"/>
      <c r="C356" s="213"/>
      <c r="D356" s="214" t="str">
        <f>IFERROR(VLOOKUP($C356,'PORTIFÓLIO'!C:V,2,0),"")</f>
        <v/>
      </c>
      <c r="E356" s="211" t="str">
        <f>IFERROR(VLOOKUP($C356,'PORTIFÓLIO'!C:V,3,0),"")</f>
        <v/>
      </c>
      <c r="F356" s="211" t="str">
        <f>IFERROR(VLOOKUP($C356,'PORTIFÓLIO'!C:V,4,0),"")</f>
        <v/>
      </c>
      <c r="G356" s="215" t="str">
        <f>IFERROR(VLOOKUP($C356,'PORTIFÓLIO'!C:V,5,0),"")</f>
        <v/>
      </c>
      <c r="H356" s="254" t="str">
        <f t="array" ref="H356">IFERROR(INDEX('PORTIFÓLIO'!$H$4:$H$433,MATCH($C356,'PORTIFÓLIO'!$C$4:$C$433,0)),"")</f>
        <v/>
      </c>
      <c r="I356" s="256"/>
      <c r="J356" s="218">
        <f t="shared" si="39"/>
        <v>0</v>
      </c>
      <c r="K356" s="292" t="str">
        <f t="array" ref="K356">IFERROR(I356*INDEX('PORTIFÓLIO'!$S$4:$S$433,MATCH($C356,'PORTIFÓLIO'!$C$4:$C$433,0)),"")</f>
        <v/>
      </c>
      <c r="L356" s="292" t="str">
        <f t="array" ref="L356">IFERROR(J356*INDEX('PORTIFÓLIO'!$S$4:$S$433,MATCH($C356,'PORTIFÓLIO'!$C$4:$C$433,0)),"")</f>
        <v/>
      </c>
      <c r="M356" s="220"/>
      <c r="N356" s="220"/>
      <c r="O356" s="220"/>
      <c r="P356" s="220"/>
      <c r="Q356" s="220"/>
      <c r="R356" s="220"/>
      <c r="S356" s="220"/>
      <c r="T356" s="220"/>
      <c r="U356" s="220"/>
      <c r="V356" s="220"/>
      <c r="W356" s="220"/>
    </row>
    <row r="357" ht="15.75" customHeight="1" outlineLevel="1">
      <c r="A357" s="211"/>
      <c r="B357" s="227"/>
      <c r="C357" s="211"/>
      <c r="D357" s="214" t="str">
        <f>IFERROR(VLOOKUP($C357,'PORTIFÓLIO'!C:V,2,0),"")</f>
        <v/>
      </c>
      <c r="E357" s="211" t="str">
        <f>IFERROR(VLOOKUP($C357,'PORTIFÓLIO'!C:V,3,0),"")</f>
        <v/>
      </c>
      <c r="F357" s="211" t="str">
        <f>IFERROR(VLOOKUP($C357,'PORTIFÓLIO'!C:V,4,0),"")</f>
        <v/>
      </c>
      <c r="G357" s="215" t="str">
        <f>IFERROR(VLOOKUP($C357,'PORTIFÓLIO'!C:V,5,0),"")</f>
        <v/>
      </c>
      <c r="H357" s="254" t="str">
        <f t="array" ref="H357">IFERROR(INDEX('PORTIFÓLIO'!$H$4:$H$433,MATCH($C357,'PORTIFÓLIO'!$C$4:$C$433,0)),"")</f>
        <v/>
      </c>
      <c r="I357" s="256"/>
      <c r="J357" s="218"/>
      <c r="K357" s="292" t="str">
        <f t="array" ref="K357">IFERROR(I357*INDEX('PORTIFÓLIO'!$S$4:$S$433,MATCH($C357,'PORTIFÓLIO'!$C$4:$C$433,0)),"")</f>
        <v/>
      </c>
      <c r="L357" s="292" t="str">
        <f t="array" ref="L357">IFERROR(J357*INDEX('PORTIFÓLIO'!$S$4:$S$433,MATCH($C357,'PORTIFÓLIO'!$C$4:$C$433,0)),"")</f>
        <v/>
      </c>
      <c r="M357" s="220"/>
      <c r="N357" s="220"/>
      <c r="O357" s="220"/>
      <c r="P357" s="220"/>
      <c r="Q357" s="220"/>
      <c r="R357" s="220"/>
      <c r="S357" s="220"/>
      <c r="T357" s="220"/>
      <c r="U357" s="220"/>
      <c r="V357" s="220"/>
      <c r="W357" s="220"/>
    </row>
    <row r="358" ht="15.75" customHeight="1">
      <c r="A358" s="229" t="s">
        <v>1191</v>
      </c>
      <c r="B358" s="230"/>
      <c r="C358" s="231"/>
      <c r="D358" s="232"/>
      <c r="E358" s="231"/>
      <c r="F358" s="231"/>
      <c r="G358" s="233"/>
      <c r="H358" s="233"/>
      <c r="I358" s="258"/>
      <c r="J358" s="236"/>
      <c r="K358" s="237">
        <f t="shared" ref="K358:L358" si="40">SUBTOTAL(9,K359:K372)</f>
        <v>0</v>
      </c>
      <c r="L358" s="237">
        <f t="shared" si="40"/>
        <v>0</v>
      </c>
      <c r="M358" s="220"/>
      <c r="N358" s="220"/>
      <c r="O358" s="220"/>
      <c r="P358" s="220"/>
      <c r="Q358" s="220"/>
      <c r="R358" s="220"/>
      <c r="S358" s="220"/>
      <c r="T358" s="220"/>
      <c r="U358" s="220"/>
      <c r="V358" s="220"/>
      <c r="W358" s="220"/>
    </row>
    <row r="359" ht="15.75" customHeight="1" outlineLevel="1">
      <c r="A359" s="213"/>
      <c r="B359" s="212"/>
      <c r="C359" s="213"/>
      <c r="D359" s="214" t="str">
        <f>IFERROR(VLOOKUP($C359,'PORTIFÓLIO'!C:V,2,0),"")</f>
        <v/>
      </c>
      <c r="E359" s="211" t="str">
        <f>IFERROR(VLOOKUP($C359,'PORTIFÓLIO'!C:V,3,0),"")</f>
        <v/>
      </c>
      <c r="F359" s="211" t="str">
        <f>IFERROR(VLOOKUP($C359,'PORTIFÓLIO'!C:V,4,0),"")</f>
        <v/>
      </c>
      <c r="G359" s="215" t="str">
        <f>IFERROR(VLOOKUP($C359,'PORTIFÓLIO'!C:V,5,0),"")</f>
        <v/>
      </c>
      <c r="H359" s="254" t="str">
        <f t="array" ref="H359">IFERROR(INDEX('PORTIFÓLIO'!$H$4:$H$433,MATCH($C359,'PORTIFÓLIO'!$C$4:$C$433,0)),"")</f>
        <v/>
      </c>
      <c r="I359" s="255"/>
      <c r="J359" s="218">
        <f t="shared" ref="J359:J373" si="41">I359*$B$2</f>
        <v>0</v>
      </c>
      <c r="K359" s="292" t="str">
        <f t="array" ref="K359">IFERROR(I359*INDEX('PORTIFÓLIO'!$S$4:$S$433,MATCH($C359,'PORTIFÓLIO'!$C$4:$C$433,0)),"")</f>
        <v/>
      </c>
      <c r="L359" s="292" t="str">
        <f t="array" ref="L359">IFERROR(J359*INDEX('PORTIFÓLIO'!$S$4:$S$433,MATCH($C359,'PORTIFÓLIO'!$C$4:$C$433,0)),"")</f>
        <v/>
      </c>
      <c r="M359" s="220"/>
      <c r="N359" s="220"/>
      <c r="O359" s="220"/>
      <c r="P359" s="220"/>
      <c r="Q359" s="220"/>
      <c r="R359" s="220"/>
      <c r="S359" s="220"/>
      <c r="T359" s="220"/>
      <c r="U359" s="220"/>
      <c r="V359" s="220"/>
      <c r="W359" s="220"/>
    </row>
    <row r="360" ht="15.75" customHeight="1" outlineLevel="1">
      <c r="A360" s="211"/>
      <c r="B360" s="212"/>
      <c r="C360" s="213"/>
      <c r="D360" s="214" t="str">
        <f>IFERROR(VLOOKUP($C360,'PORTIFÓLIO'!C:V,2,0),"")</f>
        <v/>
      </c>
      <c r="E360" s="211" t="str">
        <f>IFERROR(VLOOKUP($C360,'PORTIFÓLIO'!C:V,3,0),"")</f>
        <v/>
      </c>
      <c r="F360" s="211" t="str">
        <f>IFERROR(VLOOKUP($C360,'PORTIFÓLIO'!C:V,4,0),"")</f>
        <v/>
      </c>
      <c r="G360" s="215" t="str">
        <f>IFERROR(VLOOKUP($C360,'PORTIFÓLIO'!C:V,5,0),"")</f>
        <v/>
      </c>
      <c r="H360" s="254" t="str">
        <f t="array" ref="H360">IFERROR(INDEX('PORTIFÓLIO'!$H$4:$H$433,MATCH($C360,'PORTIFÓLIO'!$C$4:$C$433,0)),"")</f>
        <v/>
      </c>
      <c r="I360" s="256"/>
      <c r="J360" s="218">
        <f t="shared" si="41"/>
        <v>0</v>
      </c>
      <c r="K360" s="292" t="str">
        <f t="array" ref="K360">IFERROR(I360*INDEX('PORTIFÓLIO'!$S$4:$S$433,MATCH($C360,'PORTIFÓLIO'!$C$4:$C$433,0)),"")</f>
        <v/>
      </c>
      <c r="L360" s="292" t="str">
        <f t="array" ref="L360">IFERROR(J360*INDEX('PORTIFÓLIO'!$S$4:$S$433,MATCH($C360,'PORTIFÓLIO'!$C$4:$C$433,0)),"")</f>
        <v/>
      </c>
      <c r="M360" s="220"/>
      <c r="N360" s="220"/>
      <c r="O360" s="220"/>
      <c r="P360" s="220"/>
      <c r="Q360" s="220"/>
      <c r="R360" s="220"/>
      <c r="S360" s="220"/>
      <c r="T360" s="220"/>
      <c r="U360" s="220"/>
      <c r="V360" s="220"/>
      <c r="W360" s="220"/>
    </row>
    <row r="361" ht="15.75" customHeight="1" outlineLevel="1">
      <c r="A361" s="211"/>
      <c r="B361" s="212"/>
      <c r="C361" s="213"/>
      <c r="D361" s="214" t="str">
        <f>IFERROR(VLOOKUP($C361,'PORTIFÓLIO'!C:V,2,0),"")</f>
        <v/>
      </c>
      <c r="E361" s="211" t="str">
        <f>IFERROR(VLOOKUP($C361,'PORTIFÓLIO'!C:V,3,0),"")</f>
        <v/>
      </c>
      <c r="F361" s="211" t="str">
        <f>IFERROR(VLOOKUP($C361,'PORTIFÓLIO'!C:V,4,0),"")</f>
        <v/>
      </c>
      <c r="G361" s="215" t="str">
        <f>IFERROR(VLOOKUP($C361,'PORTIFÓLIO'!C:V,5,0),"")</f>
        <v/>
      </c>
      <c r="H361" s="254" t="str">
        <f t="array" ref="H361">IFERROR(INDEX('PORTIFÓLIO'!$H$4:$H$433,MATCH($C361,'PORTIFÓLIO'!$C$4:$C$433,0)),"")</f>
        <v/>
      </c>
      <c r="I361" s="256"/>
      <c r="J361" s="218">
        <f t="shared" si="41"/>
        <v>0</v>
      </c>
      <c r="K361" s="292" t="str">
        <f t="array" ref="K361">IFERROR(I361*INDEX('PORTIFÓLIO'!$S$4:$S$433,MATCH($C361,'PORTIFÓLIO'!$C$4:$C$433,0)),"")</f>
        <v/>
      </c>
      <c r="L361" s="292" t="str">
        <f t="array" ref="L361">IFERROR(J361*INDEX('PORTIFÓLIO'!$S$4:$S$433,MATCH($C361,'PORTIFÓLIO'!$C$4:$C$433,0)),"")</f>
        <v/>
      </c>
      <c r="M361" s="220"/>
      <c r="N361" s="220"/>
      <c r="O361" s="220"/>
      <c r="P361" s="220"/>
      <c r="Q361" s="220"/>
      <c r="R361" s="220"/>
      <c r="S361" s="220"/>
      <c r="T361" s="220"/>
      <c r="U361" s="220"/>
      <c r="V361" s="220"/>
      <c r="W361" s="220"/>
    </row>
    <row r="362" ht="15.75" customHeight="1" outlineLevel="1">
      <c r="A362" s="211"/>
      <c r="B362" s="212"/>
      <c r="C362" s="213"/>
      <c r="D362" s="214" t="str">
        <f>IFERROR(VLOOKUP($C362,'PORTIFÓLIO'!C:V,2,0),"")</f>
        <v/>
      </c>
      <c r="E362" s="211" t="str">
        <f>IFERROR(VLOOKUP($C362,'PORTIFÓLIO'!C:V,3,0),"")</f>
        <v/>
      </c>
      <c r="F362" s="211" t="str">
        <f>IFERROR(VLOOKUP($C362,'PORTIFÓLIO'!C:V,4,0),"")</f>
        <v/>
      </c>
      <c r="G362" s="215" t="str">
        <f>IFERROR(VLOOKUP($C362,'PORTIFÓLIO'!C:V,5,0),"")</f>
        <v/>
      </c>
      <c r="H362" s="254" t="str">
        <f t="array" ref="H362">IFERROR(INDEX('PORTIFÓLIO'!$H$4:$H$433,MATCH($C362,'PORTIFÓLIO'!$C$4:$C$433,0)),"")</f>
        <v/>
      </c>
      <c r="I362" s="256"/>
      <c r="J362" s="218">
        <f t="shared" si="41"/>
        <v>0</v>
      </c>
      <c r="K362" s="292" t="str">
        <f t="array" ref="K362">IFERROR(I362*INDEX('PORTIFÓLIO'!$S$4:$S$433,MATCH($C362,'PORTIFÓLIO'!$C$4:$C$433,0)),"")</f>
        <v/>
      </c>
      <c r="L362" s="292" t="str">
        <f t="array" ref="L362">IFERROR(J362*INDEX('PORTIFÓLIO'!$S$4:$S$433,MATCH($C362,'PORTIFÓLIO'!$C$4:$C$433,0)),"")</f>
        <v/>
      </c>
      <c r="M362" s="220"/>
      <c r="N362" s="220"/>
      <c r="O362" s="220"/>
      <c r="P362" s="220"/>
      <c r="Q362" s="220"/>
      <c r="R362" s="220"/>
      <c r="S362" s="220"/>
      <c r="T362" s="220"/>
      <c r="U362" s="220"/>
      <c r="V362" s="220"/>
      <c r="W362" s="220"/>
    </row>
    <row r="363" ht="15.75" customHeight="1" outlineLevel="1">
      <c r="A363" s="211"/>
      <c r="B363" s="212"/>
      <c r="C363" s="213"/>
      <c r="D363" s="214" t="str">
        <f>IFERROR(VLOOKUP($C363,'PORTIFÓLIO'!C:V,2,0),"")</f>
        <v/>
      </c>
      <c r="E363" s="211" t="str">
        <f>IFERROR(VLOOKUP($C363,'PORTIFÓLIO'!C:V,3,0),"")</f>
        <v/>
      </c>
      <c r="F363" s="211" t="str">
        <f>IFERROR(VLOOKUP($C363,'PORTIFÓLIO'!C:V,4,0),"")</f>
        <v/>
      </c>
      <c r="G363" s="215" t="str">
        <f>IFERROR(VLOOKUP($C363,'PORTIFÓLIO'!C:V,5,0),"")</f>
        <v/>
      </c>
      <c r="H363" s="254" t="str">
        <f t="array" ref="H363">IFERROR(INDEX('PORTIFÓLIO'!$H$4:$H$433,MATCH($C363,'PORTIFÓLIO'!$C$4:$C$433,0)),"")</f>
        <v/>
      </c>
      <c r="I363" s="256"/>
      <c r="J363" s="218">
        <f t="shared" si="41"/>
        <v>0</v>
      </c>
      <c r="K363" s="292" t="str">
        <f t="array" ref="K363">IFERROR(I363*INDEX('PORTIFÓLIO'!$S$4:$S$433,MATCH($C363,'PORTIFÓLIO'!$C$4:$C$433,0)),"")</f>
        <v/>
      </c>
      <c r="L363" s="292" t="str">
        <f t="array" ref="L363">IFERROR(J363*INDEX('PORTIFÓLIO'!$S$4:$S$433,MATCH($C363,'PORTIFÓLIO'!$C$4:$C$433,0)),"")</f>
        <v/>
      </c>
      <c r="M363" s="220"/>
      <c r="N363" s="220"/>
      <c r="O363" s="220"/>
      <c r="P363" s="220"/>
      <c r="Q363" s="220"/>
      <c r="R363" s="220"/>
      <c r="S363" s="220"/>
      <c r="T363" s="220"/>
      <c r="U363" s="220"/>
      <c r="V363" s="220"/>
      <c r="W363" s="220"/>
    </row>
    <row r="364" ht="15.75" customHeight="1" outlineLevel="1">
      <c r="A364" s="211"/>
      <c r="B364" s="212"/>
      <c r="C364" s="213"/>
      <c r="D364" s="214" t="str">
        <f>IFERROR(VLOOKUP($C364,'PORTIFÓLIO'!C:V,2,0),"")</f>
        <v/>
      </c>
      <c r="E364" s="211" t="str">
        <f>IFERROR(VLOOKUP($C364,'PORTIFÓLIO'!C:V,3,0),"")</f>
        <v/>
      </c>
      <c r="F364" s="211" t="str">
        <f>IFERROR(VLOOKUP($C364,'PORTIFÓLIO'!C:V,4,0),"")</f>
        <v/>
      </c>
      <c r="G364" s="215" t="str">
        <f>IFERROR(VLOOKUP($C364,'PORTIFÓLIO'!C:V,5,0),"")</f>
        <v/>
      </c>
      <c r="H364" s="254" t="str">
        <f t="array" ref="H364">IFERROR(INDEX('PORTIFÓLIO'!$H$4:$H$433,MATCH($C364,'PORTIFÓLIO'!$C$4:$C$433,0)),"")</f>
        <v/>
      </c>
      <c r="I364" s="256"/>
      <c r="J364" s="218">
        <f t="shared" si="41"/>
        <v>0</v>
      </c>
      <c r="K364" s="292" t="str">
        <f t="array" ref="K364">IFERROR(I364*INDEX('PORTIFÓLIO'!$S$4:$S$433,MATCH($C364,'PORTIFÓLIO'!$C$4:$C$433,0)),"")</f>
        <v/>
      </c>
      <c r="L364" s="292" t="str">
        <f t="array" ref="L364">IFERROR(J364*INDEX('PORTIFÓLIO'!$S$4:$S$433,MATCH($C364,'PORTIFÓLIO'!$C$4:$C$433,0)),"")</f>
        <v/>
      </c>
      <c r="M364" s="220"/>
      <c r="N364" s="220"/>
      <c r="O364" s="220"/>
      <c r="P364" s="220"/>
      <c r="Q364" s="220"/>
      <c r="R364" s="220"/>
      <c r="S364" s="220"/>
      <c r="T364" s="220"/>
      <c r="U364" s="220"/>
      <c r="V364" s="220"/>
      <c r="W364" s="220"/>
    </row>
    <row r="365" ht="15.75" customHeight="1" outlineLevel="1">
      <c r="A365" s="211"/>
      <c r="B365" s="212"/>
      <c r="C365" s="213"/>
      <c r="D365" s="214" t="str">
        <f>IFERROR(VLOOKUP($C365,'PORTIFÓLIO'!C:V,2,0),"")</f>
        <v/>
      </c>
      <c r="E365" s="211" t="str">
        <f>IFERROR(VLOOKUP($C365,'PORTIFÓLIO'!C:V,3,0),"")</f>
        <v/>
      </c>
      <c r="F365" s="211" t="str">
        <f>IFERROR(VLOOKUP($C365,'PORTIFÓLIO'!C:V,4,0),"")</f>
        <v/>
      </c>
      <c r="G365" s="215" t="str">
        <f>IFERROR(VLOOKUP($C365,'PORTIFÓLIO'!C:V,5,0),"")</f>
        <v/>
      </c>
      <c r="H365" s="254" t="str">
        <f t="array" ref="H365">IFERROR(INDEX('PORTIFÓLIO'!$H$4:$H$433,MATCH($C365,'PORTIFÓLIO'!$C$4:$C$433,0)),"")</f>
        <v/>
      </c>
      <c r="I365" s="256"/>
      <c r="J365" s="218">
        <f t="shared" si="41"/>
        <v>0</v>
      </c>
      <c r="K365" s="292" t="str">
        <f t="array" ref="K365">IFERROR(I365*INDEX('PORTIFÓLIO'!$S$4:$S$433,MATCH($C365,'PORTIFÓLIO'!$C$4:$C$433,0)),"")</f>
        <v/>
      </c>
      <c r="L365" s="292" t="str">
        <f t="array" ref="L365">IFERROR(J365*INDEX('PORTIFÓLIO'!$S$4:$S$433,MATCH($C365,'PORTIFÓLIO'!$C$4:$C$433,0)),"")</f>
        <v/>
      </c>
      <c r="M365" s="220"/>
      <c r="N365" s="220"/>
      <c r="O365" s="220"/>
      <c r="P365" s="220"/>
      <c r="Q365" s="220"/>
      <c r="R365" s="220"/>
      <c r="S365" s="220"/>
      <c r="T365" s="220"/>
      <c r="U365" s="220"/>
      <c r="V365" s="220"/>
      <c r="W365" s="220"/>
    </row>
    <row r="366" ht="15.75" customHeight="1" outlineLevel="1">
      <c r="A366" s="211"/>
      <c r="B366" s="212"/>
      <c r="C366" s="213"/>
      <c r="D366" s="214" t="str">
        <f>IFERROR(VLOOKUP($C366,'PORTIFÓLIO'!C:V,2,0),"")</f>
        <v/>
      </c>
      <c r="E366" s="211" t="str">
        <f>IFERROR(VLOOKUP($C366,'PORTIFÓLIO'!C:V,3,0),"")</f>
        <v/>
      </c>
      <c r="F366" s="211" t="str">
        <f>IFERROR(VLOOKUP($C366,'PORTIFÓLIO'!C:V,4,0),"")</f>
        <v/>
      </c>
      <c r="G366" s="215" t="str">
        <f>IFERROR(VLOOKUP($C366,'PORTIFÓLIO'!C:V,5,0),"")</f>
        <v/>
      </c>
      <c r="H366" s="254" t="str">
        <f t="array" ref="H366">IFERROR(INDEX('PORTIFÓLIO'!$H$4:$H$433,MATCH($C366,'PORTIFÓLIO'!$C$4:$C$433,0)),"")</f>
        <v/>
      </c>
      <c r="I366" s="256"/>
      <c r="J366" s="218">
        <f t="shared" si="41"/>
        <v>0</v>
      </c>
      <c r="K366" s="292" t="str">
        <f t="array" ref="K366">IFERROR(I366*INDEX('PORTIFÓLIO'!$S$4:$S$433,MATCH($C366,'PORTIFÓLIO'!$C$4:$C$433,0)),"")</f>
        <v/>
      </c>
      <c r="L366" s="292" t="str">
        <f t="array" ref="L366">IFERROR(J366*INDEX('PORTIFÓLIO'!$S$4:$S$433,MATCH($C366,'PORTIFÓLIO'!$C$4:$C$433,0)),"")</f>
        <v/>
      </c>
      <c r="M366" s="220"/>
      <c r="N366" s="220"/>
      <c r="O366" s="220"/>
      <c r="P366" s="220"/>
      <c r="Q366" s="220"/>
      <c r="R366" s="220"/>
      <c r="S366" s="220"/>
      <c r="T366" s="220"/>
      <c r="U366" s="220"/>
      <c r="V366" s="220"/>
      <c r="W366" s="220"/>
    </row>
    <row r="367" ht="15.75" customHeight="1" outlineLevel="1">
      <c r="A367" s="211"/>
      <c r="B367" s="212"/>
      <c r="C367" s="213"/>
      <c r="D367" s="214" t="str">
        <f>IFERROR(VLOOKUP($C367,'PORTIFÓLIO'!C:V,2,0),"")</f>
        <v/>
      </c>
      <c r="E367" s="211" t="str">
        <f>IFERROR(VLOOKUP($C367,'PORTIFÓLIO'!C:V,3,0),"")</f>
        <v/>
      </c>
      <c r="F367" s="211" t="str">
        <f>IFERROR(VLOOKUP($C367,'PORTIFÓLIO'!C:V,4,0),"")</f>
        <v/>
      </c>
      <c r="G367" s="215" t="str">
        <f>IFERROR(VLOOKUP($C367,'PORTIFÓLIO'!C:V,5,0),"")</f>
        <v/>
      </c>
      <c r="H367" s="254" t="str">
        <f t="array" ref="H367">IFERROR(INDEX('PORTIFÓLIO'!$H$4:$H$433,MATCH($C367,'PORTIFÓLIO'!$C$4:$C$433,0)),"")</f>
        <v/>
      </c>
      <c r="I367" s="255"/>
      <c r="J367" s="218">
        <f t="shared" si="41"/>
        <v>0</v>
      </c>
      <c r="K367" s="292" t="str">
        <f t="array" ref="K367">IFERROR(I367*INDEX('PORTIFÓLIO'!$S$4:$S$433,MATCH($C367,'PORTIFÓLIO'!$C$4:$C$433,0)),"")</f>
        <v/>
      </c>
      <c r="L367" s="292" t="str">
        <f t="array" ref="L367">IFERROR(J367*INDEX('PORTIFÓLIO'!$S$4:$S$433,MATCH($C367,'PORTIFÓLIO'!$C$4:$C$433,0)),"")</f>
        <v/>
      </c>
      <c r="M367" s="220"/>
      <c r="N367" s="220"/>
      <c r="O367" s="220"/>
      <c r="P367" s="220"/>
      <c r="Q367" s="220"/>
      <c r="R367" s="220"/>
      <c r="S367" s="220"/>
      <c r="T367" s="220"/>
      <c r="U367" s="220"/>
      <c r="V367" s="220"/>
      <c r="W367" s="220"/>
    </row>
    <row r="368" ht="15.75" customHeight="1" outlineLevel="1">
      <c r="A368" s="211"/>
      <c r="B368" s="212"/>
      <c r="C368" s="213"/>
      <c r="D368" s="214" t="str">
        <f>IFERROR(VLOOKUP($C368,'PORTIFÓLIO'!C:V,2,0),"")</f>
        <v/>
      </c>
      <c r="E368" s="211" t="str">
        <f>IFERROR(VLOOKUP($C368,'PORTIFÓLIO'!C:V,3,0),"")</f>
        <v/>
      </c>
      <c r="F368" s="211" t="str">
        <f>IFERROR(VLOOKUP($C368,'PORTIFÓLIO'!C:V,4,0),"")</f>
        <v/>
      </c>
      <c r="G368" s="215" t="str">
        <f>IFERROR(VLOOKUP($C368,'PORTIFÓLIO'!C:V,5,0),"")</f>
        <v/>
      </c>
      <c r="H368" s="254" t="str">
        <f t="array" ref="H368">IFERROR(INDEX('PORTIFÓLIO'!$H$4:$H$433,MATCH($C368,'PORTIFÓLIO'!$C$4:$C$433,0)),"")</f>
        <v/>
      </c>
      <c r="I368" s="256"/>
      <c r="J368" s="218">
        <f t="shared" si="41"/>
        <v>0</v>
      </c>
      <c r="K368" s="292" t="str">
        <f t="array" ref="K368">IFERROR(I368*INDEX('PORTIFÓLIO'!$S$4:$S$433,MATCH($C368,'PORTIFÓLIO'!$C$4:$C$433,0)),"")</f>
        <v/>
      </c>
      <c r="L368" s="292" t="str">
        <f t="array" ref="L368">IFERROR(J368*INDEX('PORTIFÓLIO'!$S$4:$S$433,MATCH($C368,'PORTIFÓLIO'!$C$4:$C$433,0)),"")</f>
        <v/>
      </c>
      <c r="M368" s="220"/>
      <c r="N368" s="220"/>
      <c r="O368" s="220"/>
      <c r="P368" s="220"/>
      <c r="Q368" s="220"/>
      <c r="R368" s="220"/>
      <c r="S368" s="220"/>
      <c r="T368" s="220"/>
      <c r="U368" s="220"/>
      <c r="V368" s="220"/>
      <c r="W368" s="220"/>
    </row>
    <row r="369" ht="15.75" customHeight="1" outlineLevel="1">
      <c r="A369" s="211"/>
      <c r="B369" s="212"/>
      <c r="C369" s="213"/>
      <c r="D369" s="214" t="str">
        <f>IFERROR(VLOOKUP($C369,'PORTIFÓLIO'!C:V,2,0),"")</f>
        <v/>
      </c>
      <c r="E369" s="211" t="str">
        <f>IFERROR(VLOOKUP($C369,'PORTIFÓLIO'!C:V,3,0),"")</f>
        <v/>
      </c>
      <c r="F369" s="211" t="str">
        <f>IFERROR(VLOOKUP($C369,'PORTIFÓLIO'!C:V,4,0),"")</f>
        <v/>
      </c>
      <c r="G369" s="215" t="str">
        <f>IFERROR(VLOOKUP($C369,'PORTIFÓLIO'!C:V,5,0),"")</f>
        <v/>
      </c>
      <c r="H369" s="254" t="str">
        <f t="array" ref="H369">IFERROR(INDEX('PORTIFÓLIO'!$H$4:$H$433,MATCH($C369,'PORTIFÓLIO'!$C$4:$C$433,0)),"")</f>
        <v/>
      </c>
      <c r="I369" s="256"/>
      <c r="J369" s="218">
        <f t="shared" si="41"/>
        <v>0</v>
      </c>
      <c r="K369" s="292" t="str">
        <f t="array" ref="K369">IFERROR(I369*INDEX('PORTIFÓLIO'!$S$4:$S$433,MATCH($C369,'PORTIFÓLIO'!$C$4:$C$433,0)),"")</f>
        <v/>
      </c>
      <c r="L369" s="292" t="str">
        <f t="array" ref="L369">IFERROR(J369*INDEX('PORTIFÓLIO'!$S$4:$S$433,MATCH($C369,'PORTIFÓLIO'!$C$4:$C$433,0)),"")</f>
        <v/>
      </c>
      <c r="M369" s="220"/>
      <c r="N369" s="220"/>
      <c r="O369" s="220"/>
      <c r="P369" s="220"/>
      <c r="Q369" s="220"/>
      <c r="R369" s="220"/>
      <c r="S369" s="220"/>
      <c r="T369" s="220"/>
      <c r="U369" s="220"/>
      <c r="V369" s="220"/>
      <c r="W369" s="220"/>
    </row>
    <row r="370" ht="15.75" customHeight="1" outlineLevel="1">
      <c r="A370" s="211"/>
      <c r="B370" s="212"/>
      <c r="C370" s="213"/>
      <c r="D370" s="214" t="str">
        <f>IFERROR(VLOOKUP($C370,'PORTIFÓLIO'!C:V,2,0),"")</f>
        <v/>
      </c>
      <c r="E370" s="211" t="str">
        <f>IFERROR(VLOOKUP($C370,'PORTIFÓLIO'!C:V,3,0),"")</f>
        <v/>
      </c>
      <c r="F370" s="211" t="str">
        <f>IFERROR(VLOOKUP($C370,'PORTIFÓLIO'!C:V,4,0),"")</f>
        <v/>
      </c>
      <c r="G370" s="215" t="str">
        <f>IFERROR(VLOOKUP($C370,'PORTIFÓLIO'!C:V,5,0),"")</f>
        <v/>
      </c>
      <c r="H370" s="254" t="str">
        <f t="array" ref="H370">IFERROR(INDEX('PORTIFÓLIO'!$H$4:$H$433,MATCH($C370,'PORTIFÓLIO'!$C$4:$C$433,0)),"")</f>
        <v/>
      </c>
      <c r="I370" s="256"/>
      <c r="J370" s="218">
        <f t="shared" si="41"/>
        <v>0</v>
      </c>
      <c r="K370" s="292" t="str">
        <f t="array" ref="K370">IFERROR(I370*INDEX('PORTIFÓLIO'!$S$4:$S$433,MATCH($C370,'PORTIFÓLIO'!$C$4:$C$433,0)),"")</f>
        <v/>
      </c>
      <c r="L370" s="292" t="str">
        <f t="array" ref="L370">IFERROR(J370*INDEX('PORTIFÓLIO'!$S$4:$S$433,MATCH($C370,'PORTIFÓLIO'!$C$4:$C$433,0)),"")</f>
        <v/>
      </c>
      <c r="M370" s="220"/>
      <c r="N370" s="220"/>
      <c r="O370" s="220"/>
      <c r="P370" s="220"/>
      <c r="Q370" s="220"/>
      <c r="R370" s="220"/>
      <c r="S370" s="220"/>
      <c r="T370" s="220"/>
      <c r="U370" s="220"/>
      <c r="V370" s="220"/>
      <c r="W370" s="220"/>
    </row>
    <row r="371" ht="15.75" customHeight="1" outlineLevel="1">
      <c r="A371" s="211"/>
      <c r="B371" s="212"/>
      <c r="C371" s="213"/>
      <c r="D371" s="214" t="str">
        <f>IFERROR(VLOOKUP($C371,'PORTIFÓLIO'!C:V,2,0),"")</f>
        <v/>
      </c>
      <c r="E371" s="211" t="str">
        <f>IFERROR(VLOOKUP($C371,'PORTIFÓLIO'!C:V,3,0),"")</f>
        <v/>
      </c>
      <c r="F371" s="211" t="str">
        <f>IFERROR(VLOOKUP($C371,'PORTIFÓLIO'!C:V,4,0),"")</f>
        <v/>
      </c>
      <c r="G371" s="215" t="str">
        <f>IFERROR(VLOOKUP($C371,'PORTIFÓLIO'!C:V,5,0),"")</f>
        <v/>
      </c>
      <c r="H371" s="254" t="str">
        <f t="array" ref="H371">IFERROR(INDEX('PORTIFÓLIO'!$H$4:$H$433,MATCH($C371,'PORTIFÓLIO'!$C$4:$C$433,0)),"")</f>
        <v/>
      </c>
      <c r="I371" s="256"/>
      <c r="J371" s="218">
        <f t="shared" si="41"/>
        <v>0</v>
      </c>
      <c r="K371" s="292" t="str">
        <f t="array" ref="K371">IFERROR(I371*INDEX('PORTIFÓLIO'!$S$4:$S$433,MATCH($C371,'PORTIFÓLIO'!$C$4:$C$433,0)),"")</f>
        <v/>
      </c>
      <c r="L371" s="292" t="str">
        <f t="array" ref="L371">IFERROR(J371*INDEX('PORTIFÓLIO'!$S$4:$S$433,MATCH($C371,'PORTIFÓLIO'!$C$4:$C$433,0)),"")</f>
        <v/>
      </c>
      <c r="M371" s="220"/>
      <c r="N371" s="220"/>
      <c r="O371" s="220"/>
      <c r="P371" s="220"/>
      <c r="Q371" s="220"/>
      <c r="R371" s="220"/>
      <c r="S371" s="220"/>
      <c r="T371" s="220"/>
      <c r="U371" s="220"/>
      <c r="V371" s="220"/>
      <c r="W371" s="220"/>
    </row>
    <row r="372" ht="15.75" customHeight="1" outlineLevel="1">
      <c r="A372" s="211"/>
      <c r="B372" s="212"/>
      <c r="C372" s="213"/>
      <c r="D372" s="214" t="str">
        <f>IFERROR(VLOOKUP($C372,'PORTIFÓLIO'!C:V,2,0),"")</f>
        <v/>
      </c>
      <c r="E372" s="211" t="str">
        <f>IFERROR(VLOOKUP($C372,'PORTIFÓLIO'!C:V,3,0),"")</f>
        <v/>
      </c>
      <c r="F372" s="211" t="str">
        <f>IFERROR(VLOOKUP($C372,'PORTIFÓLIO'!C:V,4,0),"")</f>
        <v/>
      </c>
      <c r="G372" s="215" t="str">
        <f>IFERROR(VLOOKUP($C372,'PORTIFÓLIO'!C:V,5,0),"")</f>
        <v/>
      </c>
      <c r="H372" s="254" t="str">
        <f t="array" ref="H372">IFERROR(INDEX('PORTIFÓLIO'!$H$4:$H$433,MATCH($C372,'PORTIFÓLIO'!$C$4:$C$433,0)),"")</f>
        <v/>
      </c>
      <c r="I372" s="256"/>
      <c r="J372" s="218">
        <f t="shared" si="41"/>
        <v>0</v>
      </c>
      <c r="K372" s="292" t="str">
        <f t="array" ref="K372">IFERROR(I372*INDEX('PORTIFÓLIO'!$S$4:$S$433,MATCH($C372,'PORTIFÓLIO'!$C$4:$C$433,0)),"")</f>
        <v/>
      </c>
      <c r="L372" s="292" t="str">
        <f t="array" ref="L372">IFERROR(J372*INDEX('PORTIFÓLIO'!$S$4:$S$433,MATCH($C372,'PORTIFÓLIO'!$C$4:$C$433,0)),"")</f>
        <v/>
      </c>
      <c r="M372" s="220"/>
      <c r="N372" s="220"/>
      <c r="O372" s="220"/>
      <c r="P372" s="220"/>
      <c r="Q372" s="220"/>
      <c r="R372" s="220"/>
      <c r="S372" s="220"/>
      <c r="T372" s="220"/>
      <c r="U372" s="220"/>
      <c r="V372" s="220"/>
      <c r="W372" s="220"/>
    </row>
    <row r="373" ht="15.75" customHeight="1" outlineLevel="1">
      <c r="A373" s="211"/>
      <c r="B373" s="212"/>
      <c r="C373" s="213"/>
      <c r="D373" s="214" t="str">
        <f>IFERROR(VLOOKUP($C373,'PORTIFÓLIO'!C:V,2,0),"")</f>
        <v/>
      </c>
      <c r="E373" s="211" t="str">
        <f>IFERROR(VLOOKUP($C373,'PORTIFÓLIO'!C:V,3,0),"")</f>
        <v/>
      </c>
      <c r="F373" s="211" t="str">
        <f>IFERROR(VLOOKUP($C373,'PORTIFÓLIO'!C:V,4,0),"")</f>
        <v/>
      </c>
      <c r="G373" s="215" t="str">
        <f>IFERROR(VLOOKUP($C373,'PORTIFÓLIO'!C:V,5,0),"")</f>
        <v/>
      </c>
      <c r="H373" s="254" t="str">
        <f t="array" ref="H373">IFERROR(INDEX('PORTIFÓLIO'!$H$4:$H$433,MATCH($C373,'PORTIFÓLIO'!$C$4:$C$433,0)),"")</f>
        <v/>
      </c>
      <c r="I373" s="256"/>
      <c r="J373" s="218">
        <f t="shared" si="41"/>
        <v>0</v>
      </c>
      <c r="K373" s="292" t="str">
        <f t="array" ref="K373">IFERROR(I373*INDEX('PORTIFÓLIO'!$S$4:$S$433,MATCH($C373,'PORTIFÓLIO'!$C$4:$C$433,0)),"")</f>
        <v/>
      </c>
      <c r="L373" s="292" t="str">
        <f t="array" ref="L373">IFERROR(J373*INDEX('PORTIFÓLIO'!$S$4:$S$433,MATCH($C373,'PORTIFÓLIO'!$C$4:$C$433,0)),"")</f>
        <v/>
      </c>
      <c r="M373" s="220"/>
      <c r="N373" s="220"/>
      <c r="O373" s="220"/>
      <c r="P373" s="220"/>
      <c r="Q373" s="220"/>
      <c r="R373" s="220"/>
      <c r="S373" s="220"/>
      <c r="T373" s="220"/>
      <c r="U373" s="220"/>
      <c r="V373" s="220"/>
      <c r="W373" s="220"/>
    </row>
    <row r="374" ht="15.75" customHeight="1" outlineLevel="1">
      <c r="A374" s="211"/>
      <c r="B374" s="227"/>
      <c r="C374" s="211"/>
      <c r="D374" s="214" t="str">
        <f>IFERROR(VLOOKUP($C374,'PORTIFÓLIO'!C:V,2,0),"")</f>
        <v/>
      </c>
      <c r="E374" s="211" t="str">
        <f>IFERROR(VLOOKUP($C374,'PORTIFÓLIO'!C:V,3,0),"")</f>
        <v/>
      </c>
      <c r="F374" s="211" t="str">
        <f>IFERROR(VLOOKUP($C374,'PORTIFÓLIO'!C:V,4,0),"")</f>
        <v/>
      </c>
      <c r="G374" s="215" t="str">
        <f>IFERROR(VLOOKUP($C374,'PORTIFÓLIO'!C:V,5,0),"")</f>
        <v/>
      </c>
      <c r="H374" s="254" t="str">
        <f t="array" ref="H374">IFERROR(INDEX('PORTIFÓLIO'!$H$4:$H$433,MATCH($C374,'PORTIFÓLIO'!$C$4:$C$433,0)),"")</f>
        <v/>
      </c>
      <c r="I374" s="256"/>
      <c r="J374" s="218"/>
      <c r="K374" s="292" t="str">
        <f t="array" ref="K374">IFERROR(I374*INDEX('PORTIFÓLIO'!$S$4:$S$433,MATCH($C374,'PORTIFÓLIO'!$C$4:$C$433,0)),"")</f>
        <v/>
      </c>
      <c r="L374" s="292" t="str">
        <f t="array" ref="L374">IFERROR(J374*INDEX('PORTIFÓLIO'!$S$4:$S$433,MATCH($C374,'PORTIFÓLIO'!$C$4:$C$433,0)),"")</f>
        <v/>
      </c>
      <c r="M374" s="220"/>
      <c r="N374" s="220"/>
      <c r="O374" s="220"/>
      <c r="P374" s="220"/>
      <c r="Q374" s="220"/>
      <c r="R374" s="220"/>
      <c r="S374" s="220"/>
      <c r="T374" s="220"/>
      <c r="U374" s="220"/>
      <c r="V374" s="220"/>
      <c r="W374" s="220"/>
    </row>
    <row r="375" ht="15.75" customHeight="1">
      <c r="A375" s="229" t="s">
        <v>1192</v>
      </c>
      <c r="B375" s="230"/>
      <c r="C375" s="231"/>
      <c r="D375" s="232"/>
      <c r="E375" s="231"/>
      <c r="F375" s="231"/>
      <c r="G375" s="233"/>
      <c r="H375" s="233"/>
      <c r="I375" s="258"/>
      <c r="J375" s="236"/>
      <c r="K375" s="237">
        <f t="shared" ref="K375:L375" si="42">SUBTOTAL(9,K376:K389)</f>
        <v>0</v>
      </c>
      <c r="L375" s="237">
        <f t="shared" si="42"/>
        <v>0</v>
      </c>
      <c r="M375" s="220"/>
      <c r="N375" s="220"/>
      <c r="O375" s="220"/>
      <c r="P375" s="220"/>
      <c r="Q375" s="220"/>
      <c r="R375" s="220"/>
      <c r="S375" s="220"/>
      <c r="T375" s="220"/>
      <c r="U375" s="220"/>
      <c r="V375" s="220"/>
      <c r="W375" s="220"/>
    </row>
    <row r="376" ht="15.75" customHeight="1" outlineLevel="1">
      <c r="A376" s="213"/>
      <c r="B376" s="212"/>
      <c r="C376" s="213"/>
      <c r="D376" s="214" t="str">
        <f>IFERROR(VLOOKUP($C376,'PORTIFÓLIO'!C:V,2,0),"")</f>
        <v/>
      </c>
      <c r="E376" s="211" t="str">
        <f>IFERROR(VLOOKUP($C376,'PORTIFÓLIO'!C:V,3,0),"")</f>
        <v/>
      </c>
      <c r="F376" s="211" t="str">
        <f>IFERROR(VLOOKUP($C376,'PORTIFÓLIO'!C:V,4,0),"")</f>
        <v/>
      </c>
      <c r="G376" s="215" t="str">
        <f>IFERROR(VLOOKUP($C376,'PORTIFÓLIO'!C:V,5,0),"")</f>
        <v/>
      </c>
      <c r="H376" s="254" t="str">
        <f t="array" ref="H376">IFERROR(INDEX('PORTIFÓLIO'!$H$4:$H$433,MATCH($C376,'PORTIFÓLIO'!$C$4:$C$433,0)),"")</f>
        <v/>
      </c>
      <c r="I376" s="255"/>
      <c r="J376" s="218">
        <f t="shared" ref="J376:J390" si="43">I376*$B$2</f>
        <v>0</v>
      </c>
      <c r="K376" s="292" t="str">
        <f t="array" ref="K376">IFERROR(I376*INDEX('PORTIFÓLIO'!$S$4:$S$433,MATCH($C376,'PORTIFÓLIO'!$C$4:$C$433,0)),"")</f>
        <v/>
      </c>
      <c r="L376" s="292" t="str">
        <f t="array" ref="L376">IFERROR(J376*INDEX('PORTIFÓLIO'!$S$4:$S$433,MATCH($C376,'PORTIFÓLIO'!$C$4:$C$433,0)),"")</f>
        <v/>
      </c>
      <c r="M376" s="220"/>
      <c r="N376" s="220"/>
      <c r="O376" s="220"/>
      <c r="P376" s="220"/>
      <c r="Q376" s="220"/>
      <c r="R376" s="220"/>
      <c r="S376" s="220"/>
      <c r="T376" s="220"/>
      <c r="U376" s="220"/>
      <c r="V376" s="220"/>
      <c r="W376" s="220"/>
    </row>
    <row r="377" ht="15.75" customHeight="1" outlineLevel="1">
      <c r="A377" s="211"/>
      <c r="B377" s="212"/>
      <c r="C377" s="213"/>
      <c r="D377" s="214" t="str">
        <f>IFERROR(VLOOKUP($C377,'PORTIFÓLIO'!C:V,2,0),"")</f>
        <v/>
      </c>
      <c r="E377" s="211" t="str">
        <f>IFERROR(VLOOKUP($C377,'PORTIFÓLIO'!C:V,3,0),"")</f>
        <v/>
      </c>
      <c r="F377" s="211" t="str">
        <f>IFERROR(VLOOKUP($C377,'PORTIFÓLIO'!C:V,4,0),"")</f>
        <v/>
      </c>
      <c r="G377" s="215" t="str">
        <f>IFERROR(VLOOKUP($C377,'PORTIFÓLIO'!C:V,5,0),"")</f>
        <v/>
      </c>
      <c r="H377" s="254" t="str">
        <f t="array" ref="H377">IFERROR(INDEX('PORTIFÓLIO'!$H$4:$H$433,MATCH($C377,'PORTIFÓLIO'!$C$4:$C$433,0)),"")</f>
        <v/>
      </c>
      <c r="I377" s="256"/>
      <c r="J377" s="218">
        <f t="shared" si="43"/>
        <v>0</v>
      </c>
      <c r="K377" s="292" t="str">
        <f t="array" ref="K377">IFERROR(I377*INDEX('PORTIFÓLIO'!$S$4:$S$433,MATCH($C377,'PORTIFÓLIO'!$C$4:$C$433,0)),"")</f>
        <v/>
      </c>
      <c r="L377" s="292" t="str">
        <f t="array" ref="L377">IFERROR(J377*INDEX('PORTIFÓLIO'!$S$4:$S$433,MATCH($C377,'PORTIFÓLIO'!$C$4:$C$433,0)),"")</f>
        <v/>
      </c>
      <c r="M377" s="220"/>
      <c r="N377" s="220"/>
      <c r="O377" s="220"/>
      <c r="P377" s="220"/>
      <c r="Q377" s="220"/>
      <c r="R377" s="220"/>
      <c r="S377" s="220"/>
      <c r="T377" s="220"/>
      <c r="U377" s="220"/>
      <c r="V377" s="220"/>
      <c r="W377" s="220"/>
    </row>
    <row r="378" ht="15.75" customHeight="1" outlineLevel="1">
      <c r="A378" s="211"/>
      <c r="B378" s="212"/>
      <c r="C378" s="213"/>
      <c r="D378" s="214" t="str">
        <f>IFERROR(VLOOKUP($C378,'PORTIFÓLIO'!C:V,2,0),"")</f>
        <v/>
      </c>
      <c r="E378" s="211" t="str">
        <f>IFERROR(VLOOKUP($C378,'PORTIFÓLIO'!C:V,3,0),"")</f>
        <v/>
      </c>
      <c r="F378" s="211" t="str">
        <f>IFERROR(VLOOKUP($C378,'PORTIFÓLIO'!C:V,4,0),"")</f>
        <v/>
      </c>
      <c r="G378" s="215" t="str">
        <f>IFERROR(VLOOKUP($C378,'PORTIFÓLIO'!C:V,5,0),"")</f>
        <v/>
      </c>
      <c r="H378" s="254" t="str">
        <f t="array" ref="H378">IFERROR(INDEX('PORTIFÓLIO'!$H$4:$H$433,MATCH($C378,'PORTIFÓLIO'!$C$4:$C$433,0)),"")</f>
        <v/>
      </c>
      <c r="I378" s="256"/>
      <c r="J378" s="218">
        <f t="shared" si="43"/>
        <v>0</v>
      </c>
      <c r="K378" s="292" t="str">
        <f t="array" ref="K378">IFERROR(I378*INDEX('PORTIFÓLIO'!$S$4:$S$433,MATCH($C378,'PORTIFÓLIO'!$C$4:$C$433,0)),"")</f>
        <v/>
      </c>
      <c r="L378" s="292" t="str">
        <f t="array" ref="L378">IFERROR(J378*INDEX('PORTIFÓLIO'!$S$4:$S$433,MATCH($C378,'PORTIFÓLIO'!$C$4:$C$433,0)),"")</f>
        <v/>
      </c>
      <c r="M378" s="220"/>
      <c r="N378" s="220"/>
      <c r="O378" s="220"/>
      <c r="P378" s="220"/>
      <c r="Q378" s="220"/>
      <c r="R378" s="220"/>
      <c r="S378" s="220"/>
      <c r="T378" s="220"/>
      <c r="U378" s="220"/>
      <c r="V378" s="220"/>
      <c r="W378" s="220"/>
    </row>
    <row r="379" ht="15.75" customHeight="1" outlineLevel="1">
      <c r="A379" s="211"/>
      <c r="B379" s="212"/>
      <c r="C379" s="213"/>
      <c r="D379" s="214" t="str">
        <f>IFERROR(VLOOKUP($C379,'PORTIFÓLIO'!C:V,2,0),"")</f>
        <v/>
      </c>
      <c r="E379" s="211" t="str">
        <f>IFERROR(VLOOKUP($C379,'PORTIFÓLIO'!C:V,3,0),"")</f>
        <v/>
      </c>
      <c r="F379" s="211" t="str">
        <f>IFERROR(VLOOKUP($C379,'PORTIFÓLIO'!C:V,4,0),"")</f>
        <v/>
      </c>
      <c r="G379" s="215" t="str">
        <f>IFERROR(VLOOKUP($C379,'PORTIFÓLIO'!C:V,5,0),"")</f>
        <v/>
      </c>
      <c r="H379" s="254" t="str">
        <f t="array" ref="H379">IFERROR(INDEX('PORTIFÓLIO'!$H$4:$H$433,MATCH($C379,'PORTIFÓLIO'!$C$4:$C$433,0)),"")</f>
        <v/>
      </c>
      <c r="I379" s="256"/>
      <c r="J379" s="218">
        <f t="shared" si="43"/>
        <v>0</v>
      </c>
      <c r="K379" s="292" t="str">
        <f t="array" ref="K379">IFERROR(I379*INDEX('PORTIFÓLIO'!$S$4:$S$433,MATCH($C379,'PORTIFÓLIO'!$C$4:$C$433,0)),"")</f>
        <v/>
      </c>
      <c r="L379" s="292" t="str">
        <f t="array" ref="L379">IFERROR(J379*INDEX('PORTIFÓLIO'!$S$4:$S$433,MATCH($C379,'PORTIFÓLIO'!$C$4:$C$433,0)),"")</f>
        <v/>
      </c>
      <c r="M379" s="220"/>
      <c r="N379" s="220"/>
      <c r="O379" s="220"/>
      <c r="P379" s="220"/>
      <c r="Q379" s="220"/>
      <c r="R379" s="220"/>
      <c r="S379" s="220"/>
      <c r="T379" s="220"/>
      <c r="U379" s="220"/>
      <c r="V379" s="220"/>
      <c r="W379" s="220"/>
    </row>
    <row r="380" ht="15.75" customHeight="1" outlineLevel="1">
      <c r="A380" s="211"/>
      <c r="B380" s="212"/>
      <c r="C380" s="213"/>
      <c r="D380" s="214" t="str">
        <f>IFERROR(VLOOKUP($C380,'PORTIFÓLIO'!C:V,2,0),"")</f>
        <v/>
      </c>
      <c r="E380" s="211" t="str">
        <f>IFERROR(VLOOKUP($C380,'PORTIFÓLIO'!C:V,3,0),"")</f>
        <v/>
      </c>
      <c r="F380" s="211" t="str">
        <f>IFERROR(VLOOKUP($C380,'PORTIFÓLIO'!C:V,4,0),"")</f>
        <v/>
      </c>
      <c r="G380" s="215" t="str">
        <f>IFERROR(VLOOKUP($C380,'PORTIFÓLIO'!C:V,5,0),"")</f>
        <v/>
      </c>
      <c r="H380" s="254" t="str">
        <f t="array" ref="H380">IFERROR(INDEX('PORTIFÓLIO'!$H$4:$H$433,MATCH($C380,'PORTIFÓLIO'!$C$4:$C$433,0)),"")</f>
        <v/>
      </c>
      <c r="I380" s="256"/>
      <c r="J380" s="218">
        <f t="shared" si="43"/>
        <v>0</v>
      </c>
      <c r="K380" s="292" t="str">
        <f t="array" ref="K380">IFERROR(I380*INDEX('PORTIFÓLIO'!$S$4:$S$433,MATCH($C380,'PORTIFÓLIO'!$C$4:$C$433,0)),"")</f>
        <v/>
      </c>
      <c r="L380" s="292" t="str">
        <f t="array" ref="L380">IFERROR(J380*INDEX('PORTIFÓLIO'!$S$4:$S$433,MATCH($C380,'PORTIFÓLIO'!$C$4:$C$433,0)),"")</f>
        <v/>
      </c>
      <c r="M380" s="220"/>
      <c r="N380" s="220"/>
      <c r="O380" s="220"/>
      <c r="P380" s="220"/>
      <c r="Q380" s="220"/>
      <c r="R380" s="220"/>
      <c r="S380" s="220"/>
      <c r="T380" s="220"/>
      <c r="U380" s="220"/>
      <c r="V380" s="220"/>
      <c r="W380" s="220"/>
    </row>
    <row r="381" ht="15.75" customHeight="1" outlineLevel="1">
      <c r="A381" s="211"/>
      <c r="B381" s="212"/>
      <c r="C381" s="213"/>
      <c r="D381" s="214" t="str">
        <f>IFERROR(VLOOKUP($C381,'PORTIFÓLIO'!C:V,2,0),"")</f>
        <v/>
      </c>
      <c r="E381" s="211" t="str">
        <f>IFERROR(VLOOKUP($C381,'PORTIFÓLIO'!C:V,3,0),"")</f>
        <v/>
      </c>
      <c r="F381" s="211" t="str">
        <f>IFERROR(VLOOKUP($C381,'PORTIFÓLIO'!C:V,4,0),"")</f>
        <v/>
      </c>
      <c r="G381" s="215" t="str">
        <f>IFERROR(VLOOKUP($C381,'PORTIFÓLIO'!C:V,5,0),"")</f>
        <v/>
      </c>
      <c r="H381" s="254" t="str">
        <f t="array" ref="H381">IFERROR(INDEX('PORTIFÓLIO'!$H$4:$H$433,MATCH($C381,'PORTIFÓLIO'!$C$4:$C$433,0)),"")</f>
        <v/>
      </c>
      <c r="I381" s="256"/>
      <c r="J381" s="218">
        <f t="shared" si="43"/>
        <v>0</v>
      </c>
      <c r="K381" s="292" t="str">
        <f t="array" ref="K381">IFERROR(I381*INDEX('PORTIFÓLIO'!$S$4:$S$433,MATCH($C381,'PORTIFÓLIO'!$C$4:$C$433,0)),"")</f>
        <v/>
      </c>
      <c r="L381" s="292" t="str">
        <f t="array" ref="L381">IFERROR(J381*INDEX('PORTIFÓLIO'!$S$4:$S$433,MATCH($C381,'PORTIFÓLIO'!$C$4:$C$433,0)),"")</f>
        <v/>
      </c>
      <c r="M381" s="220"/>
      <c r="N381" s="220"/>
      <c r="O381" s="220"/>
      <c r="P381" s="220"/>
      <c r="Q381" s="220"/>
      <c r="R381" s="220"/>
      <c r="S381" s="220"/>
      <c r="T381" s="220"/>
      <c r="U381" s="220"/>
      <c r="V381" s="220"/>
      <c r="W381" s="220"/>
    </row>
    <row r="382" ht="15.75" customHeight="1" outlineLevel="1">
      <c r="A382" s="211"/>
      <c r="B382" s="212"/>
      <c r="C382" s="213"/>
      <c r="D382" s="214" t="str">
        <f>IFERROR(VLOOKUP($C382,'PORTIFÓLIO'!C:V,2,0),"")</f>
        <v/>
      </c>
      <c r="E382" s="211" t="str">
        <f>IFERROR(VLOOKUP($C382,'PORTIFÓLIO'!C:V,3,0),"")</f>
        <v/>
      </c>
      <c r="F382" s="211" t="str">
        <f>IFERROR(VLOOKUP($C382,'PORTIFÓLIO'!C:V,4,0),"")</f>
        <v/>
      </c>
      <c r="G382" s="215" t="str">
        <f>IFERROR(VLOOKUP($C382,'PORTIFÓLIO'!C:V,5,0),"")</f>
        <v/>
      </c>
      <c r="H382" s="254" t="str">
        <f t="array" ref="H382">IFERROR(INDEX('PORTIFÓLIO'!$H$4:$H$433,MATCH($C382,'PORTIFÓLIO'!$C$4:$C$433,0)),"")</f>
        <v/>
      </c>
      <c r="I382" s="256"/>
      <c r="J382" s="218">
        <f t="shared" si="43"/>
        <v>0</v>
      </c>
      <c r="K382" s="292" t="str">
        <f t="array" ref="K382">IFERROR(I382*INDEX('PORTIFÓLIO'!$S$4:$S$433,MATCH($C382,'PORTIFÓLIO'!$C$4:$C$433,0)),"")</f>
        <v/>
      </c>
      <c r="L382" s="292" t="str">
        <f t="array" ref="L382">IFERROR(J382*INDEX('PORTIFÓLIO'!$S$4:$S$433,MATCH($C382,'PORTIFÓLIO'!$C$4:$C$433,0)),"")</f>
        <v/>
      </c>
      <c r="M382" s="220"/>
      <c r="N382" s="220"/>
      <c r="O382" s="220"/>
      <c r="P382" s="220"/>
      <c r="Q382" s="220"/>
      <c r="R382" s="220"/>
      <c r="S382" s="220"/>
      <c r="T382" s="220"/>
      <c r="U382" s="220"/>
      <c r="V382" s="220"/>
      <c r="W382" s="220"/>
    </row>
    <row r="383" ht="15.75" customHeight="1" outlineLevel="1">
      <c r="A383" s="211"/>
      <c r="B383" s="212"/>
      <c r="C383" s="213"/>
      <c r="D383" s="214" t="str">
        <f>IFERROR(VLOOKUP($C383,'PORTIFÓLIO'!C:V,2,0),"")</f>
        <v/>
      </c>
      <c r="E383" s="211" t="str">
        <f>IFERROR(VLOOKUP($C383,'PORTIFÓLIO'!C:V,3,0),"")</f>
        <v/>
      </c>
      <c r="F383" s="211" t="str">
        <f>IFERROR(VLOOKUP($C383,'PORTIFÓLIO'!C:V,4,0),"")</f>
        <v/>
      </c>
      <c r="G383" s="215" t="str">
        <f>IFERROR(VLOOKUP($C383,'PORTIFÓLIO'!C:V,5,0),"")</f>
        <v/>
      </c>
      <c r="H383" s="254" t="str">
        <f t="array" ref="H383">IFERROR(INDEX('PORTIFÓLIO'!$H$4:$H$433,MATCH($C383,'PORTIFÓLIO'!$C$4:$C$433,0)),"")</f>
        <v/>
      </c>
      <c r="I383" s="256"/>
      <c r="J383" s="218">
        <f t="shared" si="43"/>
        <v>0</v>
      </c>
      <c r="K383" s="292" t="str">
        <f t="array" ref="K383">IFERROR(I383*INDEX('PORTIFÓLIO'!$S$4:$S$433,MATCH($C383,'PORTIFÓLIO'!$C$4:$C$433,0)),"")</f>
        <v/>
      </c>
      <c r="L383" s="292" t="str">
        <f t="array" ref="L383">IFERROR(J383*INDEX('PORTIFÓLIO'!$S$4:$S$433,MATCH($C383,'PORTIFÓLIO'!$C$4:$C$433,0)),"")</f>
        <v/>
      </c>
      <c r="M383" s="220"/>
      <c r="N383" s="220"/>
      <c r="O383" s="220"/>
      <c r="P383" s="220"/>
      <c r="Q383" s="220"/>
      <c r="R383" s="220"/>
      <c r="S383" s="220"/>
      <c r="T383" s="220"/>
      <c r="U383" s="220"/>
      <c r="V383" s="220"/>
      <c r="W383" s="220"/>
    </row>
    <row r="384" ht="15.75" customHeight="1" outlineLevel="1">
      <c r="A384" s="211"/>
      <c r="B384" s="212"/>
      <c r="C384" s="213"/>
      <c r="D384" s="214" t="str">
        <f>IFERROR(VLOOKUP($C384,'PORTIFÓLIO'!C:V,2,0),"")</f>
        <v/>
      </c>
      <c r="E384" s="211" t="str">
        <f>IFERROR(VLOOKUP($C384,'PORTIFÓLIO'!C:V,3,0),"")</f>
        <v/>
      </c>
      <c r="F384" s="211" t="str">
        <f>IFERROR(VLOOKUP($C384,'PORTIFÓLIO'!C:V,4,0),"")</f>
        <v/>
      </c>
      <c r="G384" s="215" t="str">
        <f>IFERROR(VLOOKUP($C384,'PORTIFÓLIO'!C:V,5,0),"")</f>
        <v/>
      </c>
      <c r="H384" s="254" t="str">
        <f t="array" ref="H384">IFERROR(INDEX('PORTIFÓLIO'!$H$4:$H$433,MATCH($C384,'PORTIFÓLIO'!$C$4:$C$433,0)),"")</f>
        <v/>
      </c>
      <c r="I384" s="255"/>
      <c r="J384" s="218">
        <f t="shared" si="43"/>
        <v>0</v>
      </c>
      <c r="K384" s="292" t="str">
        <f t="array" ref="K384">IFERROR(I384*INDEX('PORTIFÓLIO'!$S$4:$S$433,MATCH($C384,'PORTIFÓLIO'!$C$4:$C$433,0)),"")</f>
        <v/>
      </c>
      <c r="L384" s="292" t="str">
        <f t="array" ref="L384">IFERROR(J384*INDEX('PORTIFÓLIO'!$S$4:$S$433,MATCH($C384,'PORTIFÓLIO'!$C$4:$C$433,0)),"")</f>
        <v/>
      </c>
      <c r="M384" s="220"/>
      <c r="N384" s="220"/>
      <c r="O384" s="220"/>
      <c r="P384" s="220"/>
      <c r="Q384" s="220"/>
      <c r="R384" s="220"/>
      <c r="S384" s="220"/>
      <c r="T384" s="220"/>
      <c r="U384" s="220"/>
      <c r="V384" s="220"/>
      <c r="W384" s="220"/>
    </row>
    <row r="385" ht="15.75" customHeight="1" outlineLevel="1">
      <c r="A385" s="211"/>
      <c r="B385" s="212"/>
      <c r="C385" s="213"/>
      <c r="D385" s="214" t="str">
        <f>IFERROR(VLOOKUP($C385,'PORTIFÓLIO'!C:V,2,0),"")</f>
        <v/>
      </c>
      <c r="E385" s="211" t="str">
        <f>IFERROR(VLOOKUP($C385,'PORTIFÓLIO'!C:V,3,0),"")</f>
        <v/>
      </c>
      <c r="F385" s="211" t="str">
        <f>IFERROR(VLOOKUP($C385,'PORTIFÓLIO'!C:V,4,0),"")</f>
        <v/>
      </c>
      <c r="G385" s="215" t="str">
        <f>IFERROR(VLOOKUP($C385,'PORTIFÓLIO'!C:V,5,0),"")</f>
        <v/>
      </c>
      <c r="H385" s="254" t="str">
        <f t="array" ref="H385">IFERROR(INDEX('PORTIFÓLIO'!$H$4:$H$433,MATCH($C385,'PORTIFÓLIO'!$C$4:$C$433,0)),"")</f>
        <v/>
      </c>
      <c r="I385" s="256"/>
      <c r="J385" s="218">
        <f t="shared" si="43"/>
        <v>0</v>
      </c>
      <c r="K385" s="292" t="str">
        <f t="array" ref="K385">IFERROR(I385*INDEX('PORTIFÓLIO'!$S$4:$S$433,MATCH($C385,'PORTIFÓLIO'!$C$4:$C$433,0)),"")</f>
        <v/>
      </c>
      <c r="L385" s="292" t="str">
        <f t="array" ref="L385">IFERROR(J385*INDEX('PORTIFÓLIO'!$S$4:$S$433,MATCH($C385,'PORTIFÓLIO'!$C$4:$C$433,0)),"")</f>
        <v/>
      </c>
      <c r="M385" s="220"/>
      <c r="N385" s="220"/>
      <c r="O385" s="220"/>
      <c r="P385" s="220"/>
      <c r="Q385" s="220"/>
      <c r="R385" s="220"/>
      <c r="S385" s="220"/>
      <c r="T385" s="220"/>
      <c r="U385" s="220"/>
      <c r="V385" s="220"/>
      <c r="W385" s="220"/>
    </row>
    <row r="386" ht="15.75" customHeight="1" outlineLevel="1">
      <c r="A386" s="211"/>
      <c r="B386" s="212"/>
      <c r="C386" s="213"/>
      <c r="D386" s="214" t="str">
        <f>IFERROR(VLOOKUP($C386,'PORTIFÓLIO'!C:V,2,0),"")</f>
        <v/>
      </c>
      <c r="E386" s="211" t="str">
        <f>IFERROR(VLOOKUP($C386,'PORTIFÓLIO'!C:V,3,0),"")</f>
        <v/>
      </c>
      <c r="F386" s="211" t="str">
        <f>IFERROR(VLOOKUP($C386,'PORTIFÓLIO'!C:V,4,0),"")</f>
        <v/>
      </c>
      <c r="G386" s="215" t="str">
        <f>IFERROR(VLOOKUP($C386,'PORTIFÓLIO'!C:V,5,0),"")</f>
        <v/>
      </c>
      <c r="H386" s="254" t="str">
        <f t="array" ref="H386">IFERROR(INDEX('PORTIFÓLIO'!$H$4:$H$433,MATCH($C386,'PORTIFÓLIO'!$C$4:$C$433,0)),"")</f>
        <v/>
      </c>
      <c r="I386" s="256"/>
      <c r="J386" s="218">
        <f t="shared" si="43"/>
        <v>0</v>
      </c>
      <c r="K386" s="292" t="str">
        <f t="array" ref="K386">IFERROR(I386*INDEX('PORTIFÓLIO'!$S$4:$S$433,MATCH($C386,'PORTIFÓLIO'!$C$4:$C$433,0)),"")</f>
        <v/>
      </c>
      <c r="L386" s="292" t="str">
        <f t="array" ref="L386">IFERROR(J386*INDEX('PORTIFÓLIO'!$S$4:$S$433,MATCH($C386,'PORTIFÓLIO'!$C$4:$C$433,0)),"")</f>
        <v/>
      </c>
      <c r="M386" s="220"/>
      <c r="N386" s="220"/>
      <c r="O386" s="220"/>
      <c r="P386" s="220"/>
      <c r="Q386" s="220"/>
      <c r="R386" s="220"/>
      <c r="S386" s="220"/>
      <c r="T386" s="220"/>
      <c r="U386" s="220"/>
      <c r="V386" s="220"/>
      <c r="W386" s="220"/>
    </row>
    <row r="387" ht="15.75" customHeight="1" outlineLevel="1">
      <c r="A387" s="211"/>
      <c r="B387" s="212"/>
      <c r="C387" s="213"/>
      <c r="D387" s="214" t="str">
        <f>IFERROR(VLOOKUP($C387,'PORTIFÓLIO'!C:V,2,0),"")</f>
        <v/>
      </c>
      <c r="E387" s="211" t="str">
        <f>IFERROR(VLOOKUP($C387,'PORTIFÓLIO'!C:V,3,0),"")</f>
        <v/>
      </c>
      <c r="F387" s="211" t="str">
        <f>IFERROR(VLOOKUP($C387,'PORTIFÓLIO'!C:V,4,0),"")</f>
        <v/>
      </c>
      <c r="G387" s="215" t="str">
        <f>IFERROR(VLOOKUP($C387,'PORTIFÓLIO'!C:V,5,0),"")</f>
        <v/>
      </c>
      <c r="H387" s="254" t="str">
        <f t="array" ref="H387">IFERROR(INDEX('PORTIFÓLIO'!$H$4:$H$433,MATCH($C387,'PORTIFÓLIO'!$C$4:$C$433,0)),"")</f>
        <v/>
      </c>
      <c r="I387" s="256"/>
      <c r="J387" s="218">
        <f t="shared" si="43"/>
        <v>0</v>
      </c>
      <c r="K387" s="292" t="str">
        <f t="array" ref="K387">IFERROR(I387*INDEX('PORTIFÓLIO'!$S$4:$S$433,MATCH($C387,'PORTIFÓLIO'!$C$4:$C$433,0)),"")</f>
        <v/>
      </c>
      <c r="L387" s="292" t="str">
        <f t="array" ref="L387">IFERROR(J387*INDEX('PORTIFÓLIO'!$S$4:$S$433,MATCH($C387,'PORTIFÓLIO'!$C$4:$C$433,0)),"")</f>
        <v/>
      </c>
      <c r="M387" s="220"/>
      <c r="N387" s="220"/>
      <c r="O387" s="220"/>
      <c r="P387" s="220"/>
      <c r="Q387" s="220"/>
      <c r="R387" s="220"/>
      <c r="S387" s="220"/>
      <c r="T387" s="220"/>
      <c r="U387" s="220"/>
      <c r="V387" s="220"/>
      <c r="W387" s="220"/>
    </row>
    <row r="388" ht="15.75" customHeight="1" outlineLevel="1">
      <c r="A388" s="211"/>
      <c r="B388" s="212"/>
      <c r="C388" s="213"/>
      <c r="D388" s="214" t="str">
        <f>IFERROR(VLOOKUP($C388,'PORTIFÓLIO'!C:V,2,0),"")</f>
        <v/>
      </c>
      <c r="E388" s="211" t="str">
        <f>IFERROR(VLOOKUP($C388,'PORTIFÓLIO'!C:V,3,0),"")</f>
        <v/>
      </c>
      <c r="F388" s="211" t="str">
        <f>IFERROR(VLOOKUP($C388,'PORTIFÓLIO'!C:V,4,0),"")</f>
        <v/>
      </c>
      <c r="G388" s="215" t="str">
        <f>IFERROR(VLOOKUP($C388,'PORTIFÓLIO'!C:V,5,0),"")</f>
        <v/>
      </c>
      <c r="H388" s="254" t="str">
        <f t="array" ref="H388">IFERROR(INDEX('PORTIFÓLIO'!$H$4:$H$433,MATCH($C388,'PORTIFÓLIO'!$C$4:$C$433,0)),"")</f>
        <v/>
      </c>
      <c r="I388" s="256"/>
      <c r="J388" s="218">
        <f t="shared" si="43"/>
        <v>0</v>
      </c>
      <c r="K388" s="292" t="str">
        <f t="array" ref="K388">IFERROR(I388*INDEX('PORTIFÓLIO'!$S$4:$S$433,MATCH($C388,'PORTIFÓLIO'!$C$4:$C$433,0)),"")</f>
        <v/>
      </c>
      <c r="L388" s="292" t="str">
        <f t="array" ref="L388">IFERROR(J388*INDEX('PORTIFÓLIO'!$S$4:$S$433,MATCH($C388,'PORTIFÓLIO'!$C$4:$C$433,0)),"")</f>
        <v/>
      </c>
      <c r="M388" s="220"/>
      <c r="N388" s="220"/>
      <c r="O388" s="220"/>
      <c r="P388" s="220"/>
      <c r="Q388" s="220"/>
      <c r="R388" s="220"/>
      <c r="S388" s="220"/>
      <c r="T388" s="220"/>
      <c r="U388" s="220"/>
      <c r="V388" s="220"/>
      <c r="W388" s="220"/>
    </row>
    <row r="389" ht="15.75" customHeight="1" outlineLevel="1">
      <c r="A389" s="211"/>
      <c r="B389" s="212"/>
      <c r="C389" s="213"/>
      <c r="D389" s="214" t="str">
        <f>IFERROR(VLOOKUP($C389,'PORTIFÓLIO'!C:V,2,0),"")</f>
        <v/>
      </c>
      <c r="E389" s="211" t="str">
        <f>IFERROR(VLOOKUP($C389,'PORTIFÓLIO'!C:V,3,0),"")</f>
        <v/>
      </c>
      <c r="F389" s="211" t="str">
        <f>IFERROR(VLOOKUP($C389,'PORTIFÓLIO'!C:V,4,0),"")</f>
        <v/>
      </c>
      <c r="G389" s="215" t="str">
        <f>IFERROR(VLOOKUP($C389,'PORTIFÓLIO'!C:V,5,0),"")</f>
        <v/>
      </c>
      <c r="H389" s="254" t="str">
        <f t="array" ref="H389">IFERROR(INDEX('PORTIFÓLIO'!$H$4:$H$433,MATCH($C389,'PORTIFÓLIO'!$C$4:$C$433,0)),"")</f>
        <v/>
      </c>
      <c r="I389" s="256"/>
      <c r="J389" s="218">
        <f t="shared" si="43"/>
        <v>0</v>
      </c>
      <c r="K389" s="292" t="str">
        <f t="array" ref="K389">IFERROR(I389*INDEX('PORTIFÓLIO'!$S$4:$S$433,MATCH($C389,'PORTIFÓLIO'!$C$4:$C$433,0)),"")</f>
        <v/>
      </c>
      <c r="L389" s="292" t="str">
        <f t="array" ref="L389">IFERROR(J389*INDEX('PORTIFÓLIO'!$S$4:$S$433,MATCH($C389,'PORTIFÓLIO'!$C$4:$C$433,0)),"")</f>
        <v/>
      </c>
      <c r="M389" s="220"/>
      <c r="N389" s="220"/>
      <c r="O389" s="220"/>
      <c r="P389" s="220"/>
      <c r="Q389" s="220"/>
      <c r="R389" s="220"/>
      <c r="S389" s="220"/>
      <c r="T389" s="220"/>
      <c r="U389" s="220"/>
      <c r="V389" s="220"/>
      <c r="W389" s="220"/>
    </row>
    <row r="390" ht="15.75" customHeight="1" outlineLevel="1">
      <c r="A390" s="211"/>
      <c r="B390" s="212"/>
      <c r="C390" s="213"/>
      <c r="D390" s="214" t="str">
        <f>IFERROR(VLOOKUP($C390,'PORTIFÓLIO'!C:V,2,0),"")</f>
        <v/>
      </c>
      <c r="E390" s="211" t="str">
        <f>IFERROR(VLOOKUP($C390,'PORTIFÓLIO'!C:V,3,0),"")</f>
        <v/>
      </c>
      <c r="F390" s="211" t="str">
        <f>IFERROR(VLOOKUP($C390,'PORTIFÓLIO'!C:V,4,0),"")</f>
        <v/>
      </c>
      <c r="G390" s="215" t="str">
        <f>IFERROR(VLOOKUP($C390,'PORTIFÓLIO'!C:V,5,0),"")</f>
        <v/>
      </c>
      <c r="H390" s="254" t="str">
        <f t="array" ref="H390">IFERROR(INDEX('PORTIFÓLIO'!$H$4:$H$433,MATCH($C390,'PORTIFÓLIO'!$C$4:$C$433,0)),"")</f>
        <v/>
      </c>
      <c r="I390" s="256"/>
      <c r="J390" s="218">
        <f t="shared" si="43"/>
        <v>0</v>
      </c>
      <c r="K390" s="292" t="str">
        <f t="array" ref="K390">IFERROR(I390*INDEX('PORTIFÓLIO'!$S$4:$S$433,MATCH($C390,'PORTIFÓLIO'!$C$4:$C$433,0)),"")</f>
        <v/>
      </c>
      <c r="L390" s="292" t="str">
        <f t="array" ref="L390">IFERROR(J390*INDEX('PORTIFÓLIO'!$S$4:$S$433,MATCH($C390,'PORTIFÓLIO'!$C$4:$C$433,0)),"")</f>
        <v/>
      </c>
      <c r="M390" s="220"/>
      <c r="N390" s="220"/>
      <c r="O390" s="220"/>
      <c r="P390" s="220"/>
      <c r="Q390" s="220"/>
      <c r="R390" s="220"/>
      <c r="S390" s="220"/>
      <c r="T390" s="220"/>
      <c r="U390" s="220"/>
      <c r="V390" s="220"/>
      <c r="W390" s="220"/>
    </row>
    <row r="391" ht="15.75" customHeight="1" outlineLevel="1">
      <c r="A391" s="211"/>
      <c r="B391" s="227"/>
      <c r="C391" s="211"/>
      <c r="D391" s="214" t="str">
        <f>IFERROR(VLOOKUP($C391,'PORTIFÓLIO'!C:V,2,0),"")</f>
        <v/>
      </c>
      <c r="E391" s="211" t="str">
        <f>IFERROR(VLOOKUP($C391,'PORTIFÓLIO'!C:V,3,0),"")</f>
        <v/>
      </c>
      <c r="F391" s="211" t="str">
        <f>IFERROR(VLOOKUP($C391,'PORTIFÓLIO'!C:V,4,0),"")</f>
        <v/>
      </c>
      <c r="G391" s="215" t="str">
        <f>IFERROR(VLOOKUP($C391,'PORTIFÓLIO'!C:V,5,0),"")</f>
        <v/>
      </c>
      <c r="H391" s="254" t="str">
        <f t="array" ref="H391">IFERROR(INDEX('PORTIFÓLIO'!$H$4:$H$433,MATCH($C391,'PORTIFÓLIO'!$C$4:$C$433,0)),"")</f>
        <v/>
      </c>
      <c r="I391" s="256"/>
      <c r="J391" s="218"/>
      <c r="K391" s="292" t="str">
        <f t="array" ref="K391">IFERROR(I391*INDEX('PORTIFÓLIO'!$S$4:$S$433,MATCH($C391,'PORTIFÓLIO'!$C$4:$C$433,0)),"")</f>
        <v/>
      </c>
      <c r="L391" s="292" t="str">
        <f t="array" ref="L391">IFERROR(J391*INDEX('PORTIFÓLIO'!$S$4:$S$433,MATCH($C391,'PORTIFÓLIO'!$C$4:$C$433,0)),"")</f>
        <v/>
      </c>
      <c r="M391" s="220"/>
      <c r="N391" s="220"/>
      <c r="O391" s="220"/>
      <c r="P391" s="220"/>
      <c r="Q391" s="220"/>
      <c r="R391" s="220"/>
      <c r="S391" s="220"/>
      <c r="T391" s="220"/>
      <c r="U391" s="220"/>
      <c r="V391" s="220"/>
      <c r="W391" s="220"/>
    </row>
    <row r="392" ht="15.75" customHeight="1">
      <c r="A392" s="229" t="s">
        <v>1193</v>
      </c>
      <c r="B392" s="230"/>
      <c r="C392" s="231"/>
      <c r="D392" s="232"/>
      <c r="E392" s="231"/>
      <c r="F392" s="231"/>
      <c r="G392" s="233"/>
      <c r="H392" s="233"/>
      <c r="I392" s="258"/>
      <c r="J392" s="236"/>
      <c r="K392" s="237">
        <f t="shared" ref="K392:L392" si="44">SUBTOTAL(9,K393:K406)</f>
        <v>0</v>
      </c>
      <c r="L392" s="237">
        <f t="shared" si="44"/>
        <v>0</v>
      </c>
      <c r="M392" s="220"/>
      <c r="N392" s="220"/>
      <c r="O392" s="220"/>
      <c r="P392" s="220"/>
      <c r="Q392" s="220"/>
      <c r="R392" s="220"/>
      <c r="S392" s="220"/>
      <c r="T392" s="220"/>
      <c r="U392" s="220"/>
      <c r="V392" s="220"/>
      <c r="W392" s="220"/>
    </row>
    <row r="393" ht="15.75" customHeight="1" outlineLevel="1">
      <c r="A393" s="213"/>
      <c r="B393" s="212"/>
      <c r="C393" s="213"/>
      <c r="D393" s="214" t="str">
        <f>IFERROR(VLOOKUP($C393,'PORTIFÓLIO'!C:V,2,0),"")</f>
        <v/>
      </c>
      <c r="E393" s="211" t="str">
        <f>IFERROR(VLOOKUP($C393,'PORTIFÓLIO'!C:V,3,0),"")</f>
        <v/>
      </c>
      <c r="F393" s="211" t="str">
        <f>IFERROR(VLOOKUP($C393,'PORTIFÓLIO'!C:V,4,0),"")</f>
        <v/>
      </c>
      <c r="G393" s="215" t="str">
        <f>IFERROR(VLOOKUP($C393,'PORTIFÓLIO'!C:V,5,0),"")</f>
        <v/>
      </c>
      <c r="H393" s="254" t="str">
        <f t="array" ref="H393">IFERROR(INDEX('PORTIFÓLIO'!$H$4:$H$433,MATCH($C393,'PORTIFÓLIO'!$C$4:$C$433,0)),"")</f>
        <v/>
      </c>
      <c r="I393" s="255"/>
      <c r="J393" s="218">
        <f t="shared" ref="J393:J408" si="45">I393*$B$2</f>
        <v>0</v>
      </c>
      <c r="K393" s="292" t="str">
        <f t="array" ref="K393">IFERROR(I393*INDEX('PORTIFÓLIO'!$S$4:$S$433,MATCH($C393,'PORTIFÓLIO'!$C$4:$C$433,0)),"")</f>
        <v/>
      </c>
      <c r="L393" s="292" t="str">
        <f t="array" ref="L393">IFERROR(J393*INDEX('PORTIFÓLIO'!$S$4:$S$433,MATCH($C393,'PORTIFÓLIO'!$C$4:$C$433,0)),"")</f>
        <v/>
      </c>
      <c r="M393" s="220"/>
      <c r="N393" s="220"/>
      <c r="O393" s="220"/>
      <c r="P393" s="220"/>
      <c r="Q393" s="220"/>
      <c r="R393" s="220"/>
      <c r="S393" s="220"/>
      <c r="T393" s="220"/>
      <c r="U393" s="220"/>
      <c r="V393" s="220"/>
      <c r="W393" s="220"/>
    </row>
    <row r="394" ht="15.75" customHeight="1" outlineLevel="1">
      <c r="A394" s="211"/>
      <c r="B394" s="212"/>
      <c r="C394" s="213"/>
      <c r="D394" s="214" t="str">
        <f>IFERROR(VLOOKUP($C394,'PORTIFÓLIO'!C:V,2,0),"")</f>
        <v/>
      </c>
      <c r="E394" s="211" t="str">
        <f>IFERROR(VLOOKUP($C394,'PORTIFÓLIO'!C:V,3,0),"")</f>
        <v/>
      </c>
      <c r="F394" s="211" t="str">
        <f>IFERROR(VLOOKUP($C394,'PORTIFÓLIO'!C:V,4,0),"")</f>
        <v/>
      </c>
      <c r="G394" s="215" t="str">
        <f>IFERROR(VLOOKUP($C394,'PORTIFÓLIO'!C:V,5,0),"")</f>
        <v/>
      </c>
      <c r="H394" s="254" t="str">
        <f t="array" ref="H394">IFERROR(INDEX('PORTIFÓLIO'!$H$4:$H$433,MATCH($C394,'PORTIFÓLIO'!$C$4:$C$433,0)),"")</f>
        <v/>
      </c>
      <c r="I394" s="256"/>
      <c r="J394" s="218">
        <f t="shared" si="45"/>
        <v>0</v>
      </c>
      <c r="K394" s="292" t="str">
        <f t="array" ref="K394">IFERROR(I394*INDEX('PORTIFÓLIO'!$S$4:$S$433,MATCH($C394,'PORTIFÓLIO'!$C$4:$C$433,0)),"")</f>
        <v/>
      </c>
      <c r="L394" s="292" t="str">
        <f t="array" ref="L394">IFERROR(J394*INDEX('PORTIFÓLIO'!$S$4:$S$433,MATCH($C394,'PORTIFÓLIO'!$C$4:$C$433,0)),"")</f>
        <v/>
      </c>
      <c r="M394" s="220"/>
      <c r="N394" s="220"/>
      <c r="O394" s="220"/>
      <c r="P394" s="220"/>
      <c r="Q394" s="220"/>
      <c r="R394" s="220"/>
      <c r="S394" s="220"/>
      <c r="T394" s="220"/>
      <c r="U394" s="220"/>
      <c r="V394" s="220"/>
      <c r="W394" s="220"/>
    </row>
    <row r="395" ht="15.75" customHeight="1" outlineLevel="1">
      <c r="A395" s="211"/>
      <c r="B395" s="212"/>
      <c r="C395" s="213"/>
      <c r="D395" s="214" t="str">
        <f>IFERROR(VLOOKUP($C395,'PORTIFÓLIO'!C:V,2,0),"")</f>
        <v/>
      </c>
      <c r="E395" s="211" t="str">
        <f>IFERROR(VLOOKUP($C395,'PORTIFÓLIO'!C:V,3,0),"")</f>
        <v/>
      </c>
      <c r="F395" s="211" t="str">
        <f>IFERROR(VLOOKUP($C395,'PORTIFÓLIO'!C:V,4,0),"")</f>
        <v/>
      </c>
      <c r="G395" s="215" t="str">
        <f>IFERROR(VLOOKUP($C395,'PORTIFÓLIO'!C:V,5,0),"")</f>
        <v/>
      </c>
      <c r="H395" s="254" t="str">
        <f t="array" ref="H395">IFERROR(INDEX('PORTIFÓLIO'!$H$4:$H$433,MATCH($C395,'PORTIFÓLIO'!$C$4:$C$433,0)),"")</f>
        <v/>
      </c>
      <c r="I395" s="256"/>
      <c r="J395" s="218">
        <f t="shared" si="45"/>
        <v>0</v>
      </c>
      <c r="K395" s="292" t="str">
        <f t="array" ref="K395">IFERROR(I395*INDEX('PORTIFÓLIO'!$S$4:$S$433,MATCH($C395,'PORTIFÓLIO'!$C$4:$C$433,0)),"")</f>
        <v/>
      </c>
      <c r="L395" s="292" t="str">
        <f t="array" ref="L395">IFERROR(J395*INDEX('PORTIFÓLIO'!$S$4:$S$433,MATCH($C395,'PORTIFÓLIO'!$C$4:$C$433,0)),"")</f>
        <v/>
      </c>
      <c r="M395" s="220"/>
      <c r="N395" s="220"/>
      <c r="O395" s="220"/>
      <c r="P395" s="220"/>
      <c r="Q395" s="220"/>
      <c r="R395" s="220"/>
      <c r="S395" s="220"/>
      <c r="T395" s="220"/>
      <c r="U395" s="220"/>
      <c r="V395" s="220"/>
      <c r="W395" s="220"/>
    </row>
    <row r="396" ht="15.75" customHeight="1" outlineLevel="1">
      <c r="A396" s="211"/>
      <c r="B396" s="212"/>
      <c r="C396" s="213"/>
      <c r="D396" s="214" t="str">
        <f>IFERROR(VLOOKUP($C396,'PORTIFÓLIO'!C:V,2,0),"")</f>
        <v/>
      </c>
      <c r="E396" s="211" t="str">
        <f>IFERROR(VLOOKUP($C396,'PORTIFÓLIO'!C:V,3,0),"")</f>
        <v/>
      </c>
      <c r="F396" s="211" t="str">
        <f>IFERROR(VLOOKUP($C396,'PORTIFÓLIO'!C:V,4,0),"")</f>
        <v/>
      </c>
      <c r="G396" s="215" t="str">
        <f>IFERROR(VLOOKUP($C396,'PORTIFÓLIO'!C:V,5,0),"")</f>
        <v/>
      </c>
      <c r="H396" s="254" t="str">
        <f t="array" ref="H396">IFERROR(INDEX('PORTIFÓLIO'!$H$4:$H$433,MATCH($C396,'PORTIFÓLIO'!$C$4:$C$433,0)),"")</f>
        <v/>
      </c>
      <c r="I396" s="256"/>
      <c r="J396" s="218">
        <f t="shared" si="45"/>
        <v>0</v>
      </c>
      <c r="K396" s="292" t="str">
        <f t="array" ref="K396">IFERROR(I396*INDEX('PORTIFÓLIO'!$S$4:$S$433,MATCH($C396,'PORTIFÓLIO'!$C$4:$C$433,0)),"")</f>
        <v/>
      </c>
      <c r="L396" s="292" t="str">
        <f t="array" ref="L396">IFERROR(J396*INDEX('PORTIFÓLIO'!$S$4:$S$433,MATCH($C396,'PORTIFÓLIO'!$C$4:$C$433,0)),"")</f>
        <v/>
      </c>
      <c r="M396" s="220"/>
      <c r="N396" s="220"/>
      <c r="O396" s="220"/>
      <c r="P396" s="220"/>
      <c r="Q396" s="220"/>
      <c r="R396" s="220"/>
      <c r="S396" s="220"/>
      <c r="T396" s="220"/>
      <c r="U396" s="220"/>
      <c r="V396" s="220"/>
      <c r="W396" s="220"/>
    </row>
    <row r="397" ht="15.75" customHeight="1" outlineLevel="1">
      <c r="A397" s="211"/>
      <c r="B397" s="212"/>
      <c r="C397" s="213"/>
      <c r="D397" s="214" t="str">
        <f>IFERROR(VLOOKUP($C397,'PORTIFÓLIO'!C:V,2,0),"")</f>
        <v/>
      </c>
      <c r="E397" s="211" t="str">
        <f>IFERROR(VLOOKUP($C397,'PORTIFÓLIO'!C:V,3,0),"")</f>
        <v/>
      </c>
      <c r="F397" s="211" t="str">
        <f>IFERROR(VLOOKUP($C397,'PORTIFÓLIO'!C:V,4,0),"")</f>
        <v/>
      </c>
      <c r="G397" s="215" t="str">
        <f>IFERROR(VLOOKUP($C397,'PORTIFÓLIO'!C:V,5,0),"")</f>
        <v/>
      </c>
      <c r="H397" s="254" t="str">
        <f t="array" ref="H397">IFERROR(INDEX('PORTIFÓLIO'!$H$4:$H$433,MATCH($C397,'PORTIFÓLIO'!$C$4:$C$433,0)),"")</f>
        <v/>
      </c>
      <c r="I397" s="256"/>
      <c r="J397" s="218">
        <f t="shared" si="45"/>
        <v>0</v>
      </c>
      <c r="K397" s="292" t="str">
        <f t="array" ref="K397">IFERROR(I397*INDEX('PORTIFÓLIO'!$S$4:$S$433,MATCH($C397,'PORTIFÓLIO'!$C$4:$C$433,0)),"")</f>
        <v/>
      </c>
      <c r="L397" s="292" t="str">
        <f t="array" ref="L397">IFERROR(J397*INDEX('PORTIFÓLIO'!$S$4:$S$433,MATCH($C397,'PORTIFÓLIO'!$C$4:$C$433,0)),"")</f>
        <v/>
      </c>
      <c r="M397" s="220"/>
      <c r="N397" s="220"/>
      <c r="O397" s="220"/>
      <c r="P397" s="220"/>
      <c r="Q397" s="220"/>
      <c r="R397" s="220"/>
      <c r="S397" s="220"/>
      <c r="T397" s="220"/>
      <c r="U397" s="220"/>
      <c r="V397" s="220"/>
      <c r="W397" s="220"/>
    </row>
    <row r="398" ht="15.75" customHeight="1" outlineLevel="1">
      <c r="A398" s="211"/>
      <c r="B398" s="212"/>
      <c r="C398" s="213"/>
      <c r="D398" s="214" t="str">
        <f>IFERROR(VLOOKUP($C398,'PORTIFÓLIO'!C:V,2,0),"")</f>
        <v/>
      </c>
      <c r="E398" s="211" t="str">
        <f>IFERROR(VLOOKUP($C398,'PORTIFÓLIO'!C:V,3,0),"")</f>
        <v/>
      </c>
      <c r="F398" s="211" t="str">
        <f>IFERROR(VLOOKUP($C398,'PORTIFÓLIO'!C:V,4,0),"")</f>
        <v/>
      </c>
      <c r="G398" s="215" t="str">
        <f>IFERROR(VLOOKUP($C398,'PORTIFÓLIO'!C:V,5,0),"")</f>
        <v/>
      </c>
      <c r="H398" s="254" t="str">
        <f t="array" ref="H398">IFERROR(INDEX('PORTIFÓLIO'!$H$4:$H$433,MATCH($C398,'PORTIFÓLIO'!$C$4:$C$433,0)),"")</f>
        <v/>
      </c>
      <c r="I398" s="256"/>
      <c r="J398" s="218">
        <f t="shared" si="45"/>
        <v>0</v>
      </c>
      <c r="K398" s="292" t="str">
        <f t="array" ref="K398">IFERROR(I398*INDEX('PORTIFÓLIO'!$S$4:$S$433,MATCH($C398,'PORTIFÓLIO'!$C$4:$C$433,0)),"")</f>
        <v/>
      </c>
      <c r="L398" s="292" t="str">
        <f t="array" ref="L398">IFERROR(J398*INDEX('PORTIFÓLIO'!$S$4:$S$433,MATCH($C398,'PORTIFÓLIO'!$C$4:$C$433,0)),"")</f>
        <v/>
      </c>
      <c r="M398" s="220"/>
      <c r="N398" s="220"/>
      <c r="O398" s="220"/>
      <c r="P398" s="220"/>
      <c r="Q398" s="220"/>
      <c r="R398" s="220"/>
      <c r="S398" s="220"/>
      <c r="T398" s="220"/>
      <c r="U398" s="220"/>
      <c r="V398" s="220"/>
      <c r="W398" s="220"/>
    </row>
    <row r="399" ht="15.75" customHeight="1" outlineLevel="1">
      <c r="A399" s="211"/>
      <c r="B399" s="212"/>
      <c r="C399" s="213"/>
      <c r="D399" s="214" t="str">
        <f>IFERROR(VLOOKUP($C399,'PORTIFÓLIO'!C:V,2,0),"")</f>
        <v/>
      </c>
      <c r="E399" s="211" t="str">
        <f>IFERROR(VLOOKUP($C399,'PORTIFÓLIO'!C:V,3,0),"")</f>
        <v/>
      </c>
      <c r="F399" s="211" t="str">
        <f>IFERROR(VLOOKUP($C399,'PORTIFÓLIO'!C:V,4,0),"")</f>
        <v/>
      </c>
      <c r="G399" s="215" t="str">
        <f>IFERROR(VLOOKUP($C399,'PORTIFÓLIO'!C:V,5,0),"")</f>
        <v/>
      </c>
      <c r="H399" s="254" t="str">
        <f t="array" ref="H399">IFERROR(INDEX('PORTIFÓLIO'!$H$4:$H$433,MATCH($C399,'PORTIFÓLIO'!$C$4:$C$433,0)),"")</f>
        <v/>
      </c>
      <c r="I399" s="256"/>
      <c r="J399" s="218">
        <f t="shared" si="45"/>
        <v>0</v>
      </c>
      <c r="K399" s="292" t="str">
        <f t="array" ref="K399">IFERROR(I399*INDEX('PORTIFÓLIO'!$S$4:$S$433,MATCH($C399,'PORTIFÓLIO'!$C$4:$C$433,0)),"")</f>
        <v/>
      </c>
      <c r="L399" s="292" t="str">
        <f t="array" ref="L399">IFERROR(J399*INDEX('PORTIFÓLIO'!$S$4:$S$433,MATCH($C399,'PORTIFÓLIO'!$C$4:$C$433,0)),"")</f>
        <v/>
      </c>
      <c r="M399" s="220"/>
      <c r="N399" s="220"/>
      <c r="O399" s="220"/>
      <c r="P399" s="220"/>
      <c r="Q399" s="220"/>
      <c r="R399" s="220"/>
      <c r="S399" s="220"/>
      <c r="T399" s="220"/>
      <c r="U399" s="220"/>
      <c r="V399" s="220"/>
      <c r="W399" s="220"/>
    </row>
    <row r="400" ht="15.75" customHeight="1" outlineLevel="1">
      <c r="A400" s="211"/>
      <c r="B400" s="212"/>
      <c r="C400" s="213"/>
      <c r="D400" s="214" t="str">
        <f>IFERROR(VLOOKUP($C400,'PORTIFÓLIO'!C:V,2,0),"")</f>
        <v/>
      </c>
      <c r="E400" s="211" t="str">
        <f>IFERROR(VLOOKUP($C400,'PORTIFÓLIO'!C:V,3,0),"")</f>
        <v/>
      </c>
      <c r="F400" s="211" t="str">
        <f>IFERROR(VLOOKUP($C400,'PORTIFÓLIO'!C:V,4,0),"")</f>
        <v/>
      </c>
      <c r="G400" s="215" t="str">
        <f>IFERROR(VLOOKUP($C400,'PORTIFÓLIO'!C:V,5,0),"")</f>
        <v/>
      </c>
      <c r="H400" s="254" t="str">
        <f t="array" ref="H400">IFERROR(INDEX('PORTIFÓLIO'!$H$4:$H$433,MATCH($C400,'PORTIFÓLIO'!$C$4:$C$433,0)),"")</f>
        <v/>
      </c>
      <c r="I400" s="256"/>
      <c r="J400" s="218">
        <f t="shared" si="45"/>
        <v>0</v>
      </c>
      <c r="K400" s="292" t="str">
        <f t="array" ref="K400">IFERROR(I400*INDEX('PORTIFÓLIO'!$S$4:$S$433,MATCH($C400,'PORTIFÓLIO'!$C$4:$C$433,0)),"")</f>
        <v/>
      </c>
      <c r="L400" s="292" t="str">
        <f t="array" ref="L400">IFERROR(J400*INDEX('PORTIFÓLIO'!$S$4:$S$433,MATCH($C400,'PORTIFÓLIO'!$C$4:$C$433,0)),"")</f>
        <v/>
      </c>
      <c r="M400" s="220"/>
      <c r="N400" s="220"/>
      <c r="O400" s="220"/>
      <c r="P400" s="220"/>
      <c r="Q400" s="220"/>
      <c r="R400" s="220"/>
      <c r="S400" s="220"/>
      <c r="T400" s="220"/>
      <c r="U400" s="220"/>
      <c r="V400" s="220"/>
      <c r="W400" s="220"/>
    </row>
    <row r="401" ht="15.75" customHeight="1" outlineLevel="1">
      <c r="A401" s="211"/>
      <c r="B401" s="212"/>
      <c r="C401" s="213"/>
      <c r="D401" s="214" t="str">
        <f>IFERROR(VLOOKUP($C401,'PORTIFÓLIO'!C:V,2,0),"")</f>
        <v/>
      </c>
      <c r="E401" s="211" t="str">
        <f>IFERROR(VLOOKUP($C401,'PORTIFÓLIO'!C:V,3,0),"")</f>
        <v/>
      </c>
      <c r="F401" s="211" t="str">
        <f>IFERROR(VLOOKUP($C401,'PORTIFÓLIO'!C:V,4,0),"")</f>
        <v/>
      </c>
      <c r="G401" s="215" t="str">
        <f>IFERROR(VLOOKUP($C401,'PORTIFÓLIO'!C:V,5,0),"")</f>
        <v/>
      </c>
      <c r="H401" s="254" t="str">
        <f t="array" ref="H401">IFERROR(INDEX('PORTIFÓLIO'!$H$4:$H$433,MATCH($C401,'PORTIFÓLIO'!$C$4:$C$433,0)),"")</f>
        <v/>
      </c>
      <c r="I401" s="255"/>
      <c r="J401" s="218">
        <f t="shared" si="45"/>
        <v>0</v>
      </c>
      <c r="K401" s="292" t="str">
        <f t="array" ref="K401">IFERROR(I401*INDEX('PORTIFÓLIO'!$S$4:$S$433,MATCH($C401,'PORTIFÓLIO'!$C$4:$C$433,0)),"")</f>
        <v/>
      </c>
      <c r="L401" s="292" t="str">
        <f t="array" ref="L401">IFERROR(J401*INDEX('PORTIFÓLIO'!$S$4:$S$433,MATCH($C401,'PORTIFÓLIO'!$C$4:$C$433,0)),"")</f>
        <v/>
      </c>
      <c r="M401" s="220"/>
      <c r="N401" s="220"/>
      <c r="O401" s="220"/>
      <c r="P401" s="220"/>
      <c r="Q401" s="220"/>
      <c r="R401" s="220"/>
      <c r="S401" s="220"/>
      <c r="T401" s="220"/>
      <c r="U401" s="220"/>
      <c r="V401" s="220"/>
      <c r="W401" s="220"/>
    </row>
    <row r="402" ht="15.75" customHeight="1" outlineLevel="1">
      <c r="A402" s="211"/>
      <c r="B402" s="212"/>
      <c r="C402" s="213"/>
      <c r="D402" s="214" t="str">
        <f>IFERROR(VLOOKUP($C402,'PORTIFÓLIO'!C:V,2,0),"")</f>
        <v/>
      </c>
      <c r="E402" s="211" t="str">
        <f>IFERROR(VLOOKUP($C402,'PORTIFÓLIO'!C:V,3,0),"")</f>
        <v/>
      </c>
      <c r="F402" s="211" t="str">
        <f>IFERROR(VLOOKUP($C402,'PORTIFÓLIO'!C:V,4,0),"")</f>
        <v/>
      </c>
      <c r="G402" s="215" t="str">
        <f>IFERROR(VLOOKUP($C402,'PORTIFÓLIO'!C:V,5,0),"")</f>
        <v/>
      </c>
      <c r="H402" s="254" t="str">
        <f t="array" ref="H402">IFERROR(INDEX('PORTIFÓLIO'!$H$4:$H$433,MATCH($C402,'PORTIFÓLIO'!$C$4:$C$433,0)),"")</f>
        <v/>
      </c>
      <c r="I402" s="256"/>
      <c r="J402" s="218">
        <f t="shared" si="45"/>
        <v>0</v>
      </c>
      <c r="K402" s="292" t="str">
        <f t="array" ref="K402">IFERROR(I402*INDEX('PORTIFÓLIO'!$S$4:$S$433,MATCH($C402,'PORTIFÓLIO'!$C$4:$C$433,0)),"")</f>
        <v/>
      </c>
      <c r="L402" s="292" t="str">
        <f t="array" ref="L402">IFERROR(J402*INDEX('PORTIFÓLIO'!$S$4:$S$433,MATCH($C402,'PORTIFÓLIO'!$C$4:$C$433,0)),"")</f>
        <v/>
      </c>
      <c r="M402" s="220"/>
      <c r="N402" s="220"/>
      <c r="O402" s="220"/>
      <c r="P402" s="220"/>
      <c r="Q402" s="220"/>
      <c r="R402" s="220"/>
      <c r="S402" s="220"/>
      <c r="T402" s="220"/>
      <c r="U402" s="220"/>
      <c r="V402" s="220"/>
      <c r="W402" s="220"/>
    </row>
    <row r="403" ht="15.75" customHeight="1" outlineLevel="1">
      <c r="A403" s="211"/>
      <c r="B403" s="212"/>
      <c r="C403" s="213"/>
      <c r="D403" s="214" t="str">
        <f>IFERROR(VLOOKUP($C403,'PORTIFÓLIO'!C:V,2,0),"")</f>
        <v/>
      </c>
      <c r="E403" s="211" t="str">
        <f>IFERROR(VLOOKUP($C403,'PORTIFÓLIO'!C:V,3,0),"")</f>
        <v/>
      </c>
      <c r="F403" s="211" t="str">
        <f>IFERROR(VLOOKUP($C403,'PORTIFÓLIO'!C:V,4,0),"")</f>
        <v/>
      </c>
      <c r="G403" s="215" t="str">
        <f>IFERROR(VLOOKUP($C403,'PORTIFÓLIO'!C:V,5,0),"")</f>
        <v/>
      </c>
      <c r="H403" s="254" t="str">
        <f t="array" ref="H403">IFERROR(INDEX('PORTIFÓLIO'!$H$4:$H$433,MATCH($C403,'PORTIFÓLIO'!$C$4:$C$433,0)),"")</f>
        <v/>
      </c>
      <c r="I403" s="256"/>
      <c r="J403" s="218">
        <f t="shared" si="45"/>
        <v>0</v>
      </c>
      <c r="K403" s="292" t="str">
        <f t="array" ref="K403">IFERROR(I403*INDEX('PORTIFÓLIO'!$S$4:$S$433,MATCH($C403,'PORTIFÓLIO'!$C$4:$C$433,0)),"")</f>
        <v/>
      </c>
      <c r="L403" s="292" t="str">
        <f t="array" ref="L403">IFERROR(J403*INDEX('PORTIFÓLIO'!$S$4:$S$433,MATCH($C403,'PORTIFÓLIO'!$C$4:$C$433,0)),"")</f>
        <v/>
      </c>
      <c r="M403" s="220"/>
      <c r="N403" s="220"/>
      <c r="O403" s="220"/>
      <c r="P403" s="220"/>
      <c r="Q403" s="220"/>
      <c r="R403" s="220"/>
      <c r="S403" s="220"/>
      <c r="T403" s="220"/>
      <c r="U403" s="220"/>
      <c r="V403" s="220"/>
      <c r="W403" s="220"/>
    </row>
    <row r="404" ht="15.75" customHeight="1" outlineLevel="1">
      <c r="A404" s="211"/>
      <c r="B404" s="212"/>
      <c r="C404" s="213"/>
      <c r="D404" s="214" t="str">
        <f>IFERROR(VLOOKUP($C404,'PORTIFÓLIO'!C:V,2,0),"")</f>
        <v/>
      </c>
      <c r="E404" s="211" t="str">
        <f>IFERROR(VLOOKUP($C404,'PORTIFÓLIO'!C:V,3,0),"")</f>
        <v/>
      </c>
      <c r="F404" s="211" t="str">
        <f>IFERROR(VLOOKUP($C404,'PORTIFÓLIO'!C:V,4,0),"")</f>
        <v/>
      </c>
      <c r="G404" s="215" t="str">
        <f>IFERROR(VLOOKUP($C404,'PORTIFÓLIO'!C:V,5,0),"")</f>
        <v/>
      </c>
      <c r="H404" s="254" t="str">
        <f t="array" ref="H404">IFERROR(INDEX('PORTIFÓLIO'!$H$4:$H$433,MATCH($C404,'PORTIFÓLIO'!$C$4:$C$433,0)),"")</f>
        <v/>
      </c>
      <c r="I404" s="256"/>
      <c r="J404" s="218">
        <f t="shared" si="45"/>
        <v>0</v>
      </c>
      <c r="K404" s="292" t="str">
        <f t="array" ref="K404">IFERROR(I404*INDEX('PORTIFÓLIO'!$S$4:$S$433,MATCH($C404,'PORTIFÓLIO'!$C$4:$C$433,0)),"")</f>
        <v/>
      </c>
      <c r="L404" s="292" t="str">
        <f t="array" ref="L404">IFERROR(J404*INDEX('PORTIFÓLIO'!$S$4:$S$433,MATCH($C404,'PORTIFÓLIO'!$C$4:$C$433,0)),"")</f>
        <v/>
      </c>
      <c r="M404" s="220"/>
      <c r="N404" s="220"/>
      <c r="O404" s="220"/>
      <c r="P404" s="220"/>
      <c r="Q404" s="220"/>
      <c r="R404" s="220"/>
      <c r="S404" s="220"/>
      <c r="T404" s="220"/>
      <c r="U404" s="220"/>
      <c r="V404" s="220"/>
      <c r="W404" s="220"/>
    </row>
    <row r="405" ht="15.75" customHeight="1" outlineLevel="1">
      <c r="A405" s="211"/>
      <c r="B405" s="212"/>
      <c r="C405" s="213"/>
      <c r="D405" s="214" t="str">
        <f>IFERROR(VLOOKUP($C405,'PORTIFÓLIO'!C:V,2,0),"")</f>
        <v/>
      </c>
      <c r="E405" s="211" t="str">
        <f>IFERROR(VLOOKUP($C405,'PORTIFÓLIO'!C:V,3,0),"")</f>
        <v/>
      </c>
      <c r="F405" s="211" t="str">
        <f>IFERROR(VLOOKUP($C405,'PORTIFÓLIO'!C:V,4,0),"")</f>
        <v/>
      </c>
      <c r="G405" s="215" t="str">
        <f>IFERROR(VLOOKUP($C405,'PORTIFÓLIO'!C:V,5,0),"")</f>
        <v/>
      </c>
      <c r="H405" s="254" t="str">
        <f t="array" ref="H405">IFERROR(INDEX('PORTIFÓLIO'!$H$4:$H$433,MATCH($C405,'PORTIFÓLIO'!$C$4:$C$433,0)),"")</f>
        <v/>
      </c>
      <c r="I405" s="256"/>
      <c r="J405" s="218">
        <f t="shared" si="45"/>
        <v>0</v>
      </c>
      <c r="K405" s="292" t="str">
        <f t="array" ref="K405">IFERROR(I405*INDEX('PORTIFÓLIO'!$S$4:$S$433,MATCH($C405,'PORTIFÓLIO'!$C$4:$C$433,0)),"")</f>
        <v/>
      </c>
      <c r="L405" s="292" t="str">
        <f t="array" ref="L405">IFERROR(J405*INDEX('PORTIFÓLIO'!$S$4:$S$433,MATCH($C405,'PORTIFÓLIO'!$C$4:$C$433,0)),"")</f>
        <v/>
      </c>
      <c r="M405" s="220"/>
      <c r="N405" s="220"/>
      <c r="O405" s="220"/>
      <c r="P405" s="220"/>
      <c r="Q405" s="220"/>
      <c r="R405" s="220"/>
      <c r="S405" s="220"/>
      <c r="T405" s="220"/>
      <c r="U405" s="220"/>
      <c r="V405" s="220"/>
      <c r="W405" s="220"/>
    </row>
    <row r="406" ht="15.75" customHeight="1" outlineLevel="1">
      <c r="A406" s="211"/>
      <c r="B406" s="212"/>
      <c r="C406" s="213"/>
      <c r="D406" s="214" t="str">
        <f>IFERROR(VLOOKUP($C406,'PORTIFÓLIO'!C:V,2,0),"")</f>
        <v/>
      </c>
      <c r="E406" s="211" t="str">
        <f>IFERROR(VLOOKUP($C406,'PORTIFÓLIO'!C:V,3,0),"")</f>
        <v/>
      </c>
      <c r="F406" s="211" t="str">
        <f>IFERROR(VLOOKUP($C406,'PORTIFÓLIO'!C:V,4,0),"")</f>
        <v/>
      </c>
      <c r="G406" s="215" t="str">
        <f>IFERROR(VLOOKUP($C406,'PORTIFÓLIO'!C:V,5,0),"")</f>
        <v/>
      </c>
      <c r="H406" s="254" t="str">
        <f t="array" ref="H406">IFERROR(INDEX('PORTIFÓLIO'!$H$4:$H$433,MATCH($C406,'PORTIFÓLIO'!$C$4:$C$433,0)),"")</f>
        <v/>
      </c>
      <c r="I406" s="256"/>
      <c r="J406" s="218">
        <f t="shared" si="45"/>
        <v>0</v>
      </c>
      <c r="K406" s="292" t="str">
        <f t="array" ref="K406">IFERROR(I406*INDEX('PORTIFÓLIO'!$S$4:$S$433,MATCH($C406,'PORTIFÓLIO'!$C$4:$C$433,0)),"")</f>
        <v/>
      </c>
      <c r="L406" s="292" t="str">
        <f t="array" ref="L406">IFERROR(J406*INDEX('PORTIFÓLIO'!$S$4:$S$433,MATCH($C406,'PORTIFÓLIO'!$C$4:$C$433,0)),"")</f>
        <v/>
      </c>
      <c r="M406" s="220"/>
      <c r="N406" s="220"/>
      <c r="O406" s="220"/>
      <c r="P406" s="220"/>
      <c r="Q406" s="220"/>
      <c r="R406" s="220"/>
      <c r="S406" s="220"/>
      <c r="T406" s="220"/>
      <c r="U406" s="220"/>
      <c r="V406" s="220"/>
      <c r="W406" s="220"/>
    </row>
    <row r="407" ht="15.75" customHeight="1" outlineLevel="1">
      <c r="A407" s="211"/>
      <c r="B407" s="212"/>
      <c r="C407" s="213"/>
      <c r="D407" s="214" t="str">
        <f>IFERROR(VLOOKUP($C407,'PORTIFÓLIO'!C:V,2,0),"")</f>
        <v/>
      </c>
      <c r="E407" s="211" t="str">
        <f>IFERROR(VLOOKUP($C407,'PORTIFÓLIO'!C:V,3,0),"")</f>
        <v/>
      </c>
      <c r="F407" s="211" t="str">
        <f>IFERROR(VLOOKUP($C407,'PORTIFÓLIO'!C:V,4,0),"")</f>
        <v/>
      </c>
      <c r="G407" s="215" t="str">
        <f>IFERROR(VLOOKUP($C407,'PORTIFÓLIO'!C:V,5,0),"")</f>
        <v/>
      </c>
      <c r="H407" s="254" t="str">
        <f t="array" ref="H407">IFERROR(INDEX('PORTIFÓLIO'!$H$4:$H$433,MATCH($C407,'PORTIFÓLIO'!$C$4:$C$433,0)),"")</f>
        <v/>
      </c>
      <c r="I407" s="256"/>
      <c r="J407" s="218">
        <f t="shared" si="45"/>
        <v>0</v>
      </c>
      <c r="K407" s="292" t="str">
        <f t="array" ref="K407">IFERROR(I407*INDEX('PORTIFÓLIO'!$S$4:$S$433,MATCH($C407,'PORTIFÓLIO'!$C$4:$C$433,0)),"")</f>
        <v/>
      </c>
      <c r="L407" s="292" t="str">
        <f t="array" ref="L407">IFERROR(J407*INDEX('PORTIFÓLIO'!$S$4:$S$433,MATCH($C407,'PORTIFÓLIO'!$C$4:$C$433,0)),"")</f>
        <v/>
      </c>
      <c r="M407" s="220"/>
      <c r="N407" s="220"/>
      <c r="O407" s="220"/>
      <c r="P407" s="220"/>
      <c r="Q407" s="220"/>
      <c r="R407" s="220"/>
      <c r="S407" s="220"/>
      <c r="T407" s="220"/>
      <c r="U407" s="220"/>
      <c r="V407" s="220"/>
      <c r="W407" s="220"/>
    </row>
    <row r="408" ht="15.75" customHeight="1" outlineLevel="1">
      <c r="A408" s="211"/>
      <c r="B408" s="227"/>
      <c r="C408" s="211"/>
      <c r="D408" s="214" t="str">
        <f>IFERROR(VLOOKUP($C408,'PORTIFÓLIO'!C:V,2,0),"")</f>
        <v/>
      </c>
      <c r="E408" s="211" t="str">
        <f>IFERROR(VLOOKUP($C408,'PORTIFÓLIO'!C:V,3,0),"")</f>
        <v/>
      </c>
      <c r="F408" s="211" t="str">
        <f>IFERROR(VLOOKUP($C408,'PORTIFÓLIO'!C:V,4,0),"")</f>
        <v/>
      </c>
      <c r="G408" s="215" t="str">
        <f>IFERROR(VLOOKUP($C408,'PORTIFÓLIO'!C:V,5,0),"")</f>
        <v/>
      </c>
      <c r="H408" s="254" t="str">
        <f t="array" ref="H408">IFERROR(INDEX('PORTIFÓLIO'!$H$4:$H$433,MATCH($C408,'PORTIFÓLIO'!$C$4:$C$433,0)),"")</f>
        <v/>
      </c>
      <c r="I408" s="256"/>
      <c r="J408" s="218">
        <f t="shared" si="45"/>
        <v>0</v>
      </c>
      <c r="K408" s="292" t="str">
        <f t="array" ref="K408">IFERROR(I408*INDEX('PORTIFÓLIO'!$S$4:$S$433,MATCH($C408,'PORTIFÓLIO'!$C$4:$C$433,0)),"")</f>
        <v/>
      </c>
      <c r="L408" s="292" t="str">
        <f t="array" ref="L408">IFERROR(J408*INDEX('PORTIFÓLIO'!$S$4:$S$433,MATCH($C408,'PORTIFÓLIO'!$C$4:$C$433,0)),"")</f>
        <v/>
      </c>
      <c r="M408" s="220"/>
      <c r="N408" s="220"/>
      <c r="O408" s="220"/>
      <c r="P408" s="220"/>
      <c r="Q408" s="220"/>
      <c r="R408" s="220"/>
      <c r="S408" s="220"/>
      <c r="T408" s="220"/>
      <c r="U408" s="220"/>
      <c r="V408" s="220"/>
      <c r="W408" s="220"/>
    </row>
    <row r="409" ht="15.75" customHeight="1">
      <c r="A409" s="229" t="s">
        <v>1194</v>
      </c>
      <c r="B409" s="230"/>
      <c r="C409" s="231"/>
      <c r="D409" s="232"/>
      <c r="E409" s="231"/>
      <c r="F409" s="231"/>
      <c r="G409" s="233"/>
      <c r="H409" s="233"/>
      <c r="I409" s="258"/>
      <c r="J409" s="236"/>
      <c r="K409" s="237">
        <f t="shared" ref="K409:L409" si="46">SUBTOTAL(9,K410:K423)</f>
        <v>0</v>
      </c>
      <c r="L409" s="237">
        <f t="shared" si="46"/>
        <v>0</v>
      </c>
      <c r="M409" s="220"/>
      <c r="N409" s="220"/>
      <c r="O409" s="220"/>
      <c r="P409" s="220"/>
      <c r="Q409" s="220"/>
      <c r="R409" s="220"/>
      <c r="S409" s="220"/>
      <c r="T409" s="220"/>
      <c r="U409" s="220"/>
      <c r="V409" s="220"/>
      <c r="W409" s="220"/>
    </row>
    <row r="410" ht="15.75" customHeight="1" outlineLevel="1">
      <c r="A410" s="213"/>
      <c r="B410" s="212"/>
      <c r="C410" s="213"/>
      <c r="D410" s="214" t="str">
        <f>IFERROR(VLOOKUP($C410,'PORTIFÓLIO'!C:V,2,0),"")</f>
        <v/>
      </c>
      <c r="E410" s="211" t="str">
        <f>IFERROR(VLOOKUP($C410,'PORTIFÓLIO'!C:V,3,0),"")</f>
        <v/>
      </c>
      <c r="F410" s="211" t="str">
        <f>IFERROR(VLOOKUP($C410,'PORTIFÓLIO'!C:V,4,0),"")</f>
        <v/>
      </c>
      <c r="G410" s="215" t="str">
        <f>IFERROR(VLOOKUP($C410,'PORTIFÓLIO'!C:V,5,0),"")</f>
        <v/>
      </c>
      <c r="H410" s="254" t="str">
        <f t="array" ref="H410">IFERROR(INDEX('PORTIFÓLIO'!$H$4:$H$433,MATCH($C410,'PORTIFÓLIO'!$C$4:$C$433,0)),"")</f>
        <v/>
      </c>
      <c r="I410" s="255"/>
      <c r="J410" s="218">
        <f t="shared" ref="J410:J426" si="47">I410*$B$2</f>
        <v>0</v>
      </c>
      <c r="K410" s="292" t="str">
        <f t="array" ref="K410">IFERROR(I410*INDEX('PORTIFÓLIO'!$S$4:$S$433,MATCH($C410,'PORTIFÓLIO'!$C$4:$C$433,0)),"")</f>
        <v/>
      </c>
      <c r="L410" s="292" t="str">
        <f t="array" ref="L410">IFERROR(J410*INDEX('PORTIFÓLIO'!$S$4:$S$433,MATCH($C410,'PORTIFÓLIO'!$C$4:$C$433,0)),"")</f>
        <v/>
      </c>
      <c r="M410" s="220"/>
      <c r="N410" s="220"/>
      <c r="O410" s="220"/>
      <c r="P410" s="220"/>
      <c r="Q410" s="220"/>
      <c r="R410" s="220"/>
      <c r="S410" s="220"/>
      <c r="T410" s="220"/>
      <c r="U410" s="220"/>
      <c r="V410" s="220"/>
      <c r="W410" s="220"/>
    </row>
    <row r="411" ht="15.75" customHeight="1" outlineLevel="1">
      <c r="A411" s="211"/>
      <c r="B411" s="212"/>
      <c r="C411" s="213"/>
      <c r="D411" s="214" t="str">
        <f>IFERROR(VLOOKUP($C411,'PORTIFÓLIO'!C:V,2,0),"")</f>
        <v/>
      </c>
      <c r="E411" s="211" t="str">
        <f>IFERROR(VLOOKUP($C411,'PORTIFÓLIO'!C:V,3,0),"")</f>
        <v/>
      </c>
      <c r="F411" s="211" t="str">
        <f>IFERROR(VLOOKUP($C411,'PORTIFÓLIO'!C:V,4,0),"")</f>
        <v/>
      </c>
      <c r="G411" s="215" t="str">
        <f>IFERROR(VLOOKUP($C411,'PORTIFÓLIO'!C:V,5,0),"")</f>
        <v/>
      </c>
      <c r="H411" s="254" t="str">
        <f t="array" ref="H411">IFERROR(INDEX('PORTIFÓLIO'!$H$4:$H$433,MATCH($C411,'PORTIFÓLIO'!$C$4:$C$433,0)),"")</f>
        <v/>
      </c>
      <c r="I411" s="256"/>
      <c r="J411" s="218">
        <f t="shared" si="47"/>
        <v>0</v>
      </c>
      <c r="K411" s="292" t="str">
        <f t="array" ref="K411">IFERROR(I411*INDEX('PORTIFÓLIO'!$S$4:$S$433,MATCH($C411,'PORTIFÓLIO'!$C$4:$C$433,0)),"")</f>
        <v/>
      </c>
      <c r="L411" s="292" t="str">
        <f t="array" ref="L411">IFERROR(J411*INDEX('PORTIFÓLIO'!$S$4:$S$433,MATCH($C411,'PORTIFÓLIO'!$C$4:$C$433,0)),"")</f>
        <v/>
      </c>
      <c r="M411" s="220"/>
      <c r="N411" s="220"/>
      <c r="O411" s="220"/>
      <c r="P411" s="220"/>
      <c r="Q411" s="220"/>
      <c r="R411" s="220"/>
      <c r="S411" s="220"/>
      <c r="T411" s="220"/>
      <c r="U411" s="220"/>
      <c r="V411" s="220"/>
      <c r="W411" s="220"/>
    </row>
    <row r="412" ht="15.75" customHeight="1" outlineLevel="1">
      <c r="A412" s="211"/>
      <c r="B412" s="212"/>
      <c r="C412" s="213"/>
      <c r="D412" s="214" t="str">
        <f>IFERROR(VLOOKUP($C412,'PORTIFÓLIO'!C:V,2,0),"")</f>
        <v/>
      </c>
      <c r="E412" s="211" t="str">
        <f>IFERROR(VLOOKUP($C412,'PORTIFÓLIO'!C:V,3,0),"")</f>
        <v/>
      </c>
      <c r="F412" s="211" t="str">
        <f>IFERROR(VLOOKUP($C412,'PORTIFÓLIO'!C:V,4,0),"")</f>
        <v/>
      </c>
      <c r="G412" s="215" t="str">
        <f>IFERROR(VLOOKUP($C412,'PORTIFÓLIO'!C:V,5,0),"")</f>
        <v/>
      </c>
      <c r="H412" s="254" t="str">
        <f t="array" ref="H412">IFERROR(INDEX('PORTIFÓLIO'!$H$4:$H$433,MATCH($C412,'PORTIFÓLIO'!$C$4:$C$433,0)),"")</f>
        <v/>
      </c>
      <c r="I412" s="256"/>
      <c r="J412" s="218">
        <f t="shared" si="47"/>
        <v>0</v>
      </c>
      <c r="K412" s="292" t="str">
        <f t="array" ref="K412">IFERROR(I412*INDEX('PORTIFÓLIO'!$S$4:$S$433,MATCH($C412,'PORTIFÓLIO'!$C$4:$C$433,0)),"")</f>
        <v/>
      </c>
      <c r="L412" s="292" t="str">
        <f t="array" ref="L412">IFERROR(J412*INDEX('PORTIFÓLIO'!$S$4:$S$433,MATCH($C412,'PORTIFÓLIO'!$C$4:$C$433,0)),"")</f>
        <v/>
      </c>
      <c r="M412" s="220"/>
      <c r="N412" s="220"/>
      <c r="O412" s="220"/>
      <c r="P412" s="220"/>
      <c r="Q412" s="220"/>
      <c r="R412" s="220"/>
      <c r="S412" s="220"/>
      <c r="T412" s="220"/>
      <c r="U412" s="220"/>
      <c r="V412" s="220"/>
      <c r="W412" s="220"/>
    </row>
    <row r="413" ht="15.75" customHeight="1" outlineLevel="1">
      <c r="A413" s="211"/>
      <c r="B413" s="212"/>
      <c r="C413" s="213"/>
      <c r="D413" s="214" t="str">
        <f>IFERROR(VLOOKUP($C413,'PORTIFÓLIO'!C:V,2,0),"")</f>
        <v/>
      </c>
      <c r="E413" s="211" t="str">
        <f>IFERROR(VLOOKUP($C413,'PORTIFÓLIO'!C:V,3,0),"")</f>
        <v/>
      </c>
      <c r="F413" s="211" t="str">
        <f>IFERROR(VLOOKUP($C413,'PORTIFÓLIO'!C:V,4,0),"")</f>
        <v/>
      </c>
      <c r="G413" s="215" t="str">
        <f>IFERROR(VLOOKUP($C413,'PORTIFÓLIO'!C:V,5,0),"")</f>
        <v/>
      </c>
      <c r="H413" s="254" t="str">
        <f t="array" ref="H413">IFERROR(INDEX('PORTIFÓLIO'!$H$4:$H$433,MATCH($C413,'PORTIFÓLIO'!$C$4:$C$433,0)),"")</f>
        <v/>
      </c>
      <c r="I413" s="256"/>
      <c r="J413" s="218">
        <f t="shared" si="47"/>
        <v>0</v>
      </c>
      <c r="K413" s="292" t="str">
        <f t="array" ref="K413">IFERROR(I413*INDEX('PORTIFÓLIO'!$S$4:$S$433,MATCH($C413,'PORTIFÓLIO'!$C$4:$C$433,0)),"")</f>
        <v/>
      </c>
      <c r="L413" s="292" t="str">
        <f t="array" ref="L413">IFERROR(J413*INDEX('PORTIFÓLIO'!$S$4:$S$433,MATCH($C413,'PORTIFÓLIO'!$C$4:$C$433,0)),"")</f>
        <v/>
      </c>
      <c r="M413" s="220"/>
      <c r="N413" s="220"/>
      <c r="O413" s="220"/>
      <c r="P413" s="220"/>
      <c r="Q413" s="220"/>
      <c r="R413" s="220"/>
      <c r="S413" s="220"/>
      <c r="T413" s="220"/>
      <c r="U413" s="220"/>
      <c r="V413" s="220"/>
      <c r="W413" s="220"/>
    </row>
    <row r="414" ht="15.75" customHeight="1" outlineLevel="1">
      <c r="A414" s="211"/>
      <c r="B414" s="212"/>
      <c r="C414" s="213"/>
      <c r="D414" s="214" t="str">
        <f>IFERROR(VLOOKUP($C414,'PORTIFÓLIO'!C:V,2,0),"")</f>
        <v/>
      </c>
      <c r="E414" s="211" t="str">
        <f>IFERROR(VLOOKUP($C414,'PORTIFÓLIO'!C:V,3,0),"")</f>
        <v/>
      </c>
      <c r="F414" s="211" t="str">
        <f>IFERROR(VLOOKUP($C414,'PORTIFÓLIO'!C:V,4,0),"")</f>
        <v/>
      </c>
      <c r="G414" s="215" t="str">
        <f>IFERROR(VLOOKUP($C414,'PORTIFÓLIO'!C:V,5,0),"")</f>
        <v/>
      </c>
      <c r="H414" s="254" t="str">
        <f t="array" ref="H414">IFERROR(INDEX('PORTIFÓLIO'!$H$4:$H$433,MATCH($C414,'PORTIFÓLIO'!$C$4:$C$433,0)),"")</f>
        <v/>
      </c>
      <c r="I414" s="256"/>
      <c r="J414" s="218">
        <f t="shared" si="47"/>
        <v>0</v>
      </c>
      <c r="K414" s="292" t="str">
        <f t="array" ref="K414">IFERROR(I414*INDEX('PORTIFÓLIO'!$S$4:$S$433,MATCH($C414,'PORTIFÓLIO'!$C$4:$C$433,0)),"")</f>
        <v/>
      </c>
      <c r="L414" s="292" t="str">
        <f t="array" ref="L414">IFERROR(J414*INDEX('PORTIFÓLIO'!$S$4:$S$433,MATCH($C414,'PORTIFÓLIO'!$C$4:$C$433,0)),"")</f>
        <v/>
      </c>
      <c r="M414" s="220"/>
      <c r="N414" s="220"/>
      <c r="O414" s="220"/>
      <c r="P414" s="220"/>
      <c r="Q414" s="220"/>
      <c r="R414" s="220"/>
      <c r="S414" s="220"/>
      <c r="T414" s="220"/>
      <c r="U414" s="220"/>
      <c r="V414" s="220"/>
      <c r="W414" s="220"/>
    </row>
    <row r="415" ht="15.75" customHeight="1" outlineLevel="1">
      <c r="A415" s="211"/>
      <c r="B415" s="212"/>
      <c r="C415" s="213"/>
      <c r="D415" s="214" t="str">
        <f>IFERROR(VLOOKUP($C415,'PORTIFÓLIO'!C:V,2,0),"")</f>
        <v/>
      </c>
      <c r="E415" s="211" t="str">
        <f>IFERROR(VLOOKUP($C415,'PORTIFÓLIO'!C:V,3,0),"")</f>
        <v/>
      </c>
      <c r="F415" s="211" t="str">
        <f>IFERROR(VLOOKUP($C415,'PORTIFÓLIO'!C:V,4,0),"")</f>
        <v/>
      </c>
      <c r="G415" s="215" t="str">
        <f>IFERROR(VLOOKUP($C415,'PORTIFÓLIO'!C:V,5,0),"")</f>
        <v/>
      </c>
      <c r="H415" s="254" t="str">
        <f t="array" ref="H415">IFERROR(INDEX('PORTIFÓLIO'!$H$4:$H$433,MATCH($C415,'PORTIFÓLIO'!$C$4:$C$433,0)),"")</f>
        <v/>
      </c>
      <c r="I415" s="256"/>
      <c r="J415" s="218">
        <f t="shared" si="47"/>
        <v>0</v>
      </c>
      <c r="K415" s="292" t="str">
        <f t="array" ref="K415">IFERROR(I415*INDEX('PORTIFÓLIO'!$S$4:$S$433,MATCH($C415,'PORTIFÓLIO'!$C$4:$C$433,0)),"")</f>
        <v/>
      </c>
      <c r="L415" s="292" t="str">
        <f t="array" ref="L415">IFERROR(J415*INDEX('PORTIFÓLIO'!$S$4:$S$433,MATCH($C415,'PORTIFÓLIO'!$C$4:$C$433,0)),"")</f>
        <v/>
      </c>
      <c r="M415" s="220"/>
      <c r="N415" s="220"/>
      <c r="O415" s="220"/>
      <c r="P415" s="220"/>
      <c r="Q415" s="220"/>
      <c r="R415" s="220"/>
      <c r="S415" s="220"/>
      <c r="T415" s="220"/>
      <c r="U415" s="220"/>
      <c r="V415" s="220"/>
      <c r="W415" s="220"/>
    </row>
    <row r="416" ht="15.75" customHeight="1" outlineLevel="1">
      <c r="A416" s="211"/>
      <c r="B416" s="212"/>
      <c r="C416" s="213"/>
      <c r="D416" s="214" t="str">
        <f>IFERROR(VLOOKUP($C416,'PORTIFÓLIO'!C:V,2,0),"")</f>
        <v/>
      </c>
      <c r="E416" s="211" t="str">
        <f>IFERROR(VLOOKUP($C416,'PORTIFÓLIO'!C:V,3,0),"")</f>
        <v/>
      </c>
      <c r="F416" s="211" t="str">
        <f>IFERROR(VLOOKUP($C416,'PORTIFÓLIO'!C:V,4,0),"")</f>
        <v/>
      </c>
      <c r="G416" s="215" t="str">
        <f>IFERROR(VLOOKUP($C416,'PORTIFÓLIO'!C:V,5,0),"")</f>
        <v/>
      </c>
      <c r="H416" s="254" t="str">
        <f t="array" ref="H416">IFERROR(INDEX('PORTIFÓLIO'!$H$4:$H$433,MATCH($C416,'PORTIFÓLIO'!$C$4:$C$433,0)),"")</f>
        <v/>
      </c>
      <c r="I416" s="256"/>
      <c r="J416" s="218">
        <f t="shared" si="47"/>
        <v>0</v>
      </c>
      <c r="K416" s="292" t="str">
        <f t="array" ref="K416">IFERROR(I416*INDEX('PORTIFÓLIO'!$S$4:$S$433,MATCH($C416,'PORTIFÓLIO'!$C$4:$C$433,0)),"")</f>
        <v/>
      </c>
      <c r="L416" s="292" t="str">
        <f t="array" ref="L416">IFERROR(J416*INDEX('PORTIFÓLIO'!$S$4:$S$433,MATCH($C416,'PORTIFÓLIO'!$C$4:$C$433,0)),"")</f>
        <v/>
      </c>
      <c r="M416" s="220"/>
      <c r="N416" s="220"/>
      <c r="O416" s="220"/>
      <c r="P416" s="220"/>
      <c r="Q416" s="220"/>
      <c r="R416" s="220"/>
      <c r="S416" s="220"/>
      <c r="T416" s="220"/>
      <c r="U416" s="220"/>
      <c r="V416" s="220"/>
      <c r="W416" s="220"/>
    </row>
    <row r="417" ht="15.75" customHeight="1" outlineLevel="1">
      <c r="A417" s="211"/>
      <c r="B417" s="212"/>
      <c r="C417" s="213"/>
      <c r="D417" s="214" t="str">
        <f>IFERROR(VLOOKUP($C417,'PORTIFÓLIO'!C:V,2,0),"")</f>
        <v/>
      </c>
      <c r="E417" s="211" t="str">
        <f>IFERROR(VLOOKUP($C417,'PORTIFÓLIO'!C:V,3,0),"")</f>
        <v/>
      </c>
      <c r="F417" s="211" t="str">
        <f>IFERROR(VLOOKUP($C417,'PORTIFÓLIO'!C:V,4,0),"")</f>
        <v/>
      </c>
      <c r="G417" s="215" t="str">
        <f>IFERROR(VLOOKUP($C417,'PORTIFÓLIO'!C:V,5,0),"")</f>
        <v/>
      </c>
      <c r="H417" s="254" t="str">
        <f t="array" ref="H417">IFERROR(INDEX('PORTIFÓLIO'!$H$4:$H$433,MATCH($C417,'PORTIFÓLIO'!$C$4:$C$433,0)),"")</f>
        <v/>
      </c>
      <c r="I417" s="256"/>
      <c r="J417" s="218">
        <f t="shared" si="47"/>
        <v>0</v>
      </c>
      <c r="K417" s="292" t="str">
        <f t="array" ref="K417">IFERROR(I417*INDEX('PORTIFÓLIO'!$S$4:$S$433,MATCH($C417,'PORTIFÓLIO'!$C$4:$C$433,0)),"")</f>
        <v/>
      </c>
      <c r="L417" s="292" t="str">
        <f t="array" ref="L417">IFERROR(J417*INDEX('PORTIFÓLIO'!$S$4:$S$433,MATCH($C417,'PORTIFÓLIO'!$C$4:$C$433,0)),"")</f>
        <v/>
      </c>
      <c r="M417" s="220"/>
      <c r="N417" s="220"/>
      <c r="O417" s="220"/>
      <c r="P417" s="220"/>
      <c r="Q417" s="220"/>
      <c r="R417" s="220"/>
      <c r="S417" s="220"/>
      <c r="T417" s="220"/>
      <c r="U417" s="220"/>
      <c r="V417" s="220"/>
      <c r="W417" s="220"/>
    </row>
    <row r="418" ht="15.75" customHeight="1" outlineLevel="1">
      <c r="A418" s="211"/>
      <c r="B418" s="212"/>
      <c r="C418" s="213"/>
      <c r="D418" s="214" t="str">
        <f>IFERROR(VLOOKUP($C418,'PORTIFÓLIO'!C:V,2,0),"")</f>
        <v/>
      </c>
      <c r="E418" s="211" t="str">
        <f>IFERROR(VLOOKUP($C418,'PORTIFÓLIO'!C:V,3,0),"")</f>
        <v/>
      </c>
      <c r="F418" s="211" t="str">
        <f>IFERROR(VLOOKUP($C418,'PORTIFÓLIO'!C:V,4,0),"")</f>
        <v/>
      </c>
      <c r="G418" s="215" t="str">
        <f>IFERROR(VLOOKUP($C418,'PORTIFÓLIO'!C:V,5,0),"")</f>
        <v/>
      </c>
      <c r="H418" s="254" t="str">
        <f t="array" ref="H418">IFERROR(INDEX('PORTIFÓLIO'!$H$4:$H$433,MATCH($C418,'PORTIFÓLIO'!$C$4:$C$433,0)),"")</f>
        <v/>
      </c>
      <c r="I418" s="255"/>
      <c r="J418" s="218">
        <f t="shared" si="47"/>
        <v>0</v>
      </c>
      <c r="K418" s="292" t="str">
        <f t="array" ref="K418">IFERROR(I418*INDEX('PORTIFÓLIO'!$S$4:$S$433,MATCH($C418,'PORTIFÓLIO'!$C$4:$C$433,0)),"")</f>
        <v/>
      </c>
      <c r="L418" s="292" t="str">
        <f t="array" ref="L418">IFERROR(J418*INDEX('PORTIFÓLIO'!$S$4:$S$433,MATCH($C418,'PORTIFÓLIO'!$C$4:$C$433,0)),"")</f>
        <v/>
      </c>
      <c r="M418" s="220"/>
      <c r="N418" s="220"/>
      <c r="O418" s="220"/>
      <c r="P418" s="220"/>
      <c r="Q418" s="220"/>
      <c r="R418" s="220"/>
      <c r="S418" s="220"/>
      <c r="T418" s="220"/>
      <c r="U418" s="220"/>
      <c r="V418" s="220"/>
      <c r="W418" s="220"/>
    </row>
    <row r="419" ht="15.75" customHeight="1" outlineLevel="1">
      <c r="A419" s="211"/>
      <c r="B419" s="212"/>
      <c r="C419" s="213"/>
      <c r="D419" s="214" t="str">
        <f>IFERROR(VLOOKUP($C419,'PORTIFÓLIO'!C:V,2,0),"")</f>
        <v/>
      </c>
      <c r="E419" s="211" t="str">
        <f>IFERROR(VLOOKUP($C419,'PORTIFÓLIO'!C:V,3,0),"")</f>
        <v/>
      </c>
      <c r="F419" s="211" t="str">
        <f>IFERROR(VLOOKUP($C419,'PORTIFÓLIO'!C:V,4,0),"")</f>
        <v/>
      </c>
      <c r="G419" s="215" t="str">
        <f>IFERROR(VLOOKUP($C419,'PORTIFÓLIO'!C:V,5,0),"")</f>
        <v/>
      </c>
      <c r="H419" s="254" t="str">
        <f t="array" ref="H419">IFERROR(INDEX('PORTIFÓLIO'!$H$4:$H$433,MATCH($C419,'PORTIFÓLIO'!$C$4:$C$433,0)),"")</f>
        <v/>
      </c>
      <c r="I419" s="256"/>
      <c r="J419" s="218">
        <f t="shared" si="47"/>
        <v>0</v>
      </c>
      <c r="K419" s="292" t="str">
        <f t="array" ref="K419">IFERROR(I419*INDEX('PORTIFÓLIO'!$S$4:$S$433,MATCH($C419,'PORTIFÓLIO'!$C$4:$C$433,0)),"")</f>
        <v/>
      </c>
      <c r="L419" s="292" t="str">
        <f t="array" ref="L419">IFERROR(J419*INDEX('PORTIFÓLIO'!$S$4:$S$433,MATCH($C419,'PORTIFÓLIO'!$C$4:$C$433,0)),"")</f>
        <v/>
      </c>
      <c r="M419" s="220"/>
      <c r="N419" s="220"/>
      <c r="O419" s="220"/>
      <c r="P419" s="220"/>
      <c r="Q419" s="220"/>
      <c r="R419" s="220"/>
      <c r="S419" s="220"/>
      <c r="T419" s="220"/>
      <c r="U419" s="220"/>
      <c r="V419" s="220"/>
      <c r="W419" s="220"/>
    </row>
    <row r="420" ht="15.75" customHeight="1" outlineLevel="1">
      <c r="A420" s="211"/>
      <c r="B420" s="212"/>
      <c r="C420" s="213"/>
      <c r="D420" s="214" t="str">
        <f>IFERROR(VLOOKUP($C420,'PORTIFÓLIO'!C:V,2,0),"")</f>
        <v/>
      </c>
      <c r="E420" s="211" t="str">
        <f>IFERROR(VLOOKUP($C420,'PORTIFÓLIO'!C:V,3,0),"")</f>
        <v/>
      </c>
      <c r="F420" s="211" t="str">
        <f>IFERROR(VLOOKUP($C420,'PORTIFÓLIO'!C:V,4,0),"")</f>
        <v/>
      </c>
      <c r="G420" s="215" t="str">
        <f>IFERROR(VLOOKUP($C420,'PORTIFÓLIO'!C:V,5,0),"")</f>
        <v/>
      </c>
      <c r="H420" s="254" t="str">
        <f t="array" ref="H420">IFERROR(INDEX('PORTIFÓLIO'!$H$4:$H$433,MATCH($C420,'PORTIFÓLIO'!$C$4:$C$433,0)),"")</f>
        <v/>
      </c>
      <c r="I420" s="256"/>
      <c r="J420" s="218">
        <f t="shared" si="47"/>
        <v>0</v>
      </c>
      <c r="K420" s="292" t="str">
        <f t="array" ref="K420">IFERROR(I420*INDEX('PORTIFÓLIO'!$S$4:$S$433,MATCH($C420,'PORTIFÓLIO'!$C$4:$C$433,0)),"")</f>
        <v/>
      </c>
      <c r="L420" s="292" t="str">
        <f t="array" ref="L420">IFERROR(J420*INDEX('PORTIFÓLIO'!$S$4:$S$433,MATCH($C420,'PORTIFÓLIO'!$C$4:$C$433,0)),"")</f>
        <v/>
      </c>
      <c r="M420" s="220"/>
      <c r="N420" s="220"/>
      <c r="O420" s="220"/>
      <c r="P420" s="220"/>
      <c r="Q420" s="220"/>
      <c r="R420" s="220"/>
      <c r="S420" s="220"/>
      <c r="T420" s="220"/>
      <c r="U420" s="220"/>
      <c r="V420" s="220"/>
      <c r="W420" s="220"/>
    </row>
    <row r="421" ht="15.75" customHeight="1" outlineLevel="1">
      <c r="A421" s="211"/>
      <c r="B421" s="212"/>
      <c r="C421" s="213"/>
      <c r="D421" s="214" t="str">
        <f>IFERROR(VLOOKUP($C421,'PORTIFÓLIO'!C:V,2,0),"")</f>
        <v/>
      </c>
      <c r="E421" s="211" t="str">
        <f>IFERROR(VLOOKUP($C421,'PORTIFÓLIO'!C:V,3,0),"")</f>
        <v/>
      </c>
      <c r="F421" s="211" t="str">
        <f>IFERROR(VLOOKUP($C421,'PORTIFÓLIO'!C:V,4,0),"")</f>
        <v/>
      </c>
      <c r="G421" s="215" t="str">
        <f>IFERROR(VLOOKUP($C421,'PORTIFÓLIO'!C:V,5,0),"")</f>
        <v/>
      </c>
      <c r="H421" s="254" t="str">
        <f t="array" ref="H421">IFERROR(INDEX('PORTIFÓLIO'!$H$4:$H$433,MATCH($C421,'PORTIFÓLIO'!$C$4:$C$433,0)),"")</f>
        <v/>
      </c>
      <c r="I421" s="256"/>
      <c r="J421" s="218">
        <f t="shared" si="47"/>
        <v>0</v>
      </c>
      <c r="K421" s="292" t="str">
        <f t="array" ref="K421">IFERROR(I421*INDEX('PORTIFÓLIO'!$S$4:$S$433,MATCH($C421,'PORTIFÓLIO'!$C$4:$C$433,0)),"")</f>
        <v/>
      </c>
      <c r="L421" s="292" t="str">
        <f t="array" ref="L421">IFERROR(J421*INDEX('PORTIFÓLIO'!$S$4:$S$433,MATCH($C421,'PORTIFÓLIO'!$C$4:$C$433,0)),"")</f>
        <v/>
      </c>
      <c r="M421" s="220"/>
      <c r="N421" s="220"/>
      <c r="O421" s="220"/>
      <c r="P421" s="220"/>
      <c r="Q421" s="220"/>
      <c r="R421" s="220"/>
      <c r="S421" s="220"/>
      <c r="T421" s="220"/>
      <c r="U421" s="220"/>
      <c r="V421" s="220"/>
      <c r="W421" s="220"/>
    </row>
    <row r="422" ht="15.75" customHeight="1" outlineLevel="1">
      <c r="A422" s="211"/>
      <c r="B422" s="212"/>
      <c r="C422" s="213"/>
      <c r="D422" s="214" t="str">
        <f>IFERROR(VLOOKUP($C422,'PORTIFÓLIO'!C:V,2,0),"")</f>
        <v/>
      </c>
      <c r="E422" s="211" t="str">
        <f>IFERROR(VLOOKUP($C422,'PORTIFÓLIO'!C:V,3,0),"")</f>
        <v/>
      </c>
      <c r="F422" s="211" t="str">
        <f>IFERROR(VLOOKUP($C422,'PORTIFÓLIO'!C:V,4,0),"")</f>
        <v/>
      </c>
      <c r="G422" s="215" t="str">
        <f>IFERROR(VLOOKUP($C422,'PORTIFÓLIO'!C:V,5,0),"")</f>
        <v/>
      </c>
      <c r="H422" s="254" t="str">
        <f t="array" ref="H422">IFERROR(INDEX('PORTIFÓLIO'!$H$4:$H$433,MATCH($C422,'PORTIFÓLIO'!$C$4:$C$433,0)),"")</f>
        <v/>
      </c>
      <c r="I422" s="256"/>
      <c r="J422" s="218">
        <f t="shared" si="47"/>
        <v>0</v>
      </c>
      <c r="K422" s="292" t="str">
        <f t="array" ref="K422">IFERROR(I422*INDEX('PORTIFÓLIO'!$S$4:$S$433,MATCH($C422,'PORTIFÓLIO'!$C$4:$C$433,0)),"")</f>
        <v/>
      </c>
      <c r="L422" s="292" t="str">
        <f t="array" ref="L422">IFERROR(J422*INDEX('PORTIFÓLIO'!$S$4:$S$433,MATCH($C422,'PORTIFÓLIO'!$C$4:$C$433,0)),"")</f>
        <v/>
      </c>
      <c r="M422" s="220"/>
      <c r="N422" s="220"/>
      <c r="O422" s="220"/>
      <c r="P422" s="220"/>
      <c r="Q422" s="220"/>
      <c r="R422" s="220"/>
      <c r="S422" s="220"/>
      <c r="T422" s="220"/>
      <c r="U422" s="220"/>
      <c r="V422" s="220"/>
      <c r="W422" s="220"/>
    </row>
    <row r="423" ht="15.75" customHeight="1" outlineLevel="1">
      <c r="A423" s="211"/>
      <c r="B423" s="212"/>
      <c r="C423" s="213"/>
      <c r="D423" s="214" t="str">
        <f>IFERROR(VLOOKUP($C423,'PORTIFÓLIO'!C:V,2,0),"")</f>
        <v/>
      </c>
      <c r="E423" s="211" t="str">
        <f>IFERROR(VLOOKUP($C423,'PORTIFÓLIO'!C:V,3,0),"")</f>
        <v/>
      </c>
      <c r="F423" s="211" t="str">
        <f>IFERROR(VLOOKUP($C423,'PORTIFÓLIO'!C:V,4,0),"")</f>
        <v/>
      </c>
      <c r="G423" s="215" t="str">
        <f>IFERROR(VLOOKUP($C423,'PORTIFÓLIO'!C:V,5,0),"")</f>
        <v/>
      </c>
      <c r="H423" s="254" t="str">
        <f t="array" ref="H423">IFERROR(INDEX('PORTIFÓLIO'!$H$4:$H$433,MATCH($C423,'PORTIFÓLIO'!$C$4:$C$433,0)),"")</f>
        <v/>
      </c>
      <c r="I423" s="256"/>
      <c r="J423" s="218">
        <f t="shared" si="47"/>
        <v>0</v>
      </c>
      <c r="K423" s="292" t="str">
        <f t="array" ref="K423">IFERROR(I423*INDEX('PORTIFÓLIO'!$S$4:$S$433,MATCH($C423,'PORTIFÓLIO'!$C$4:$C$433,0)),"")</f>
        <v/>
      </c>
      <c r="L423" s="292" t="str">
        <f t="array" ref="L423">IFERROR(J423*INDEX('PORTIFÓLIO'!$S$4:$S$433,MATCH($C423,'PORTIFÓLIO'!$C$4:$C$433,0)),"")</f>
        <v/>
      </c>
      <c r="M423" s="220"/>
      <c r="N423" s="220"/>
      <c r="O423" s="220"/>
      <c r="P423" s="220"/>
      <c r="Q423" s="220"/>
      <c r="R423" s="220"/>
      <c r="S423" s="220"/>
      <c r="T423" s="220"/>
      <c r="U423" s="220"/>
      <c r="V423" s="220"/>
      <c r="W423" s="220"/>
    </row>
    <row r="424" ht="15.75" customHeight="1" outlineLevel="1">
      <c r="A424" s="211"/>
      <c r="B424" s="212"/>
      <c r="C424" s="213"/>
      <c r="D424" s="214" t="str">
        <f>IFERROR(VLOOKUP($C424,'PORTIFÓLIO'!C:V,2,0),"")</f>
        <v/>
      </c>
      <c r="E424" s="211" t="str">
        <f>IFERROR(VLOOKUP($C424,'PORTIFÓLIO'!C:V,3,0),"")</f>
        <v/>
      </c>
      <c r="F424" s="211" t="str">
        <f>IFERROR(VLOOKUP($C424,'PORTIFÓLIO'!C:V,4,0),"")</f>
        <v/>
      </c>
      <c r="G424" s="215" t="str">
        <f>IFERROR(VLOOKUP($C424,'PORTIFÓLIO'!C:V,5,0),"")</f>
        <v/>
      </c>
      <c r="H424" s="254" t="str">
        <f t="array" ref="H424">IFERROR(INDEX('PORTIFÓLIO'!$H$4:$H$433,MATCH($C424,'PORTIFÓLIO'!$C$4:$C$433,0)),"")</f>
        <v/>
      </c>
      <c r="I424" s="256"/>
      <c r="J424" s="218">
        <f t="shared" si="47"/>
        <v>0</v>
      </c>
      <c r="K424" s="292" t="str">
        <f t="array" ref="K424">IFERROR(I424*INDEX('PORTIFÓLIO'!$S$4:$S$433,MATCH($C424,'PORTIFÓLIO'!$C$4:$C$433,0)),"")</f>
        <v/>
      </c>
      <c r="L424" s="292" t="str">
        <f t="array" ref="L424">IFERROR(J424*INDEX('PORTIFÓLIO'!$S$4:$S$433,MATCH($C424,'PORTIFÓLIO'!$C$4:$C$433,0)),"")</f>
        <v/>
      </c>
      <c r="M424" s="220"/>
      <c r="N424" s="220"/>
      <c r="O424" s="220"/>
      <c r="P424" s="220"/>
      <c r="Q424" s="220"/>
      <c r="R424" s="220"/>
      <c r="S424" s="220"/>
      <c r="T424" s="220"/>
      <c r="U424" s="220"/>
      <c r="V424" s="220"/>
      <c r="W424" s="220"/>
    </row>
    <row r="425" ht="15.75" customHeight="1" outlineLevel="1">
      <c r="A425" s="211"/>
      <c r="B425" s="227"/>
      <c r="C425" s="211"/>
      <c r="D425" s="214" t="str">
        <f>IFERROR(VLOOKUP($C425,'PORTIFÓLIO'!C:V,2,0),"")</f>
        <v/>
      </c>
      <c r="E425" s="211" t="str">
        <f>IFERROR(VLOOKUP($C425,'PORTIFÓLIO'!C:V,3,0),"")</f>
        <v/>
      </c>
      <c r="F425" s="211" t="str">
        <f>IFERROR(VLOOKUP($C425,'PORTIFÓLIO'!C:V,4,0),"")</f>
        <v/>
      </c>
      <c r="G425" s="215" t="str">
        <f>IFERROR(VLOOKUP($C425,'PORTIFÓLIO'!C:V,5,0),"")</f>
        <v/>
      </c>
      <c r="H425" s="254" t="str">
        <f t="array" ref="H425">IFERROR(INDEX('PORTIFÓLIO'!$H$4:$H$433,MATCH($C425,'PORTIFÓLIO'!$C$4:$C$433,0)),"")</f>
        <v/>
      </c>
      <c r="I425" s="256"/>
      <c r="J425" s="218">
        <f t="shared" si="47"/>
        <v>0</v>
      </c>
      <c r="K425" s="292" t="str">
        <f t="array" ref="K425">IFERROR(I425*INDEX('PORTIFÓLIO'!$S$4:$S$433,MATCH($C425,'PORTIFÓLIO'!$C$4:$C$433,0)),"")</f>
        <v/>
      </c>
      <c r="L425" s="292" t="str">
        <f t="array" ref="L425">IFERROR(J425*INDEX('PORTIFÓLIO'!$S$4:$S$433,MATCH($C425,'PORTIFÓLIO'!$C$4:$C$433,0)),"")</f>
        <v/>
      </c>
      <c r="M425" s="220"/>
      <c r="N425" s="220"/>
      <c r="O425" s="220"/>
      <c r="P425" s="220"/>
      <c r="Q425" s="220"/>
      <c r="R425" s="220"/>
      <c r="S425" s="220"/>
      <c r="T425" s="220"/>
      <c r="U425" s="220"/>
      <c r="V425" s="220"/>
      <c r="W425" s="220"/>
    </row>
    <row r="426" ht="15.75" customHeight="1" outlineLevel="1">
      <c r="A426" s="211"/>
      <c r="B426" s="227"/>
      <c r="C426" s="211"/>
      <c r="D426" s="214" t="str">
        <f>IFERROR(VLOOKUP($C426,'PORTIFÓLIO'!C:V,2,0),"")</f>
        <v/>
      </c>
      <c r="E426" s="211" t="str">
        <f>IFERROR(VLOOKUP($C426,'PORTIFÓLIO'!C:V,3,0),"")</f>
        <v/>
      </c>
      <c r="F426" s="211" t="str">
        <f>IFERROR(VLOOKUP($C426,'PORTIFÓLIO'!C:V,4,0),"")</f>
        <v/>
      </c>
      <c r="G426" s="215" t="str">
        <f>IFERROR(VLOOKUP($C426,'PORTIFÓLIO'!C:V,5,0),"")</f>
        <v/>
      </c>
      <c r="H426" s="254" t="str">
        <f t="array" ref="H426">IFERROR(INDEX('PORTIFÓLIO'!$H$4:$H$433,MATCH($C426,'PORTIFÓLIO'!$C$4:$C$433,0)),"")</f>
        <v/>
      </c>
      <c r="I426" s="256"/>
      <c r="J426" s="218">
        <f t="shared" si="47"/>
        <v>0</v>
      </c>
      <c r="K426" s="292" t="str">
        <f t="array" ref="K426">IFERROR(I426*INDEX('PORTIFÓLIO'!$S$4:$S$433,MATCH($C426,'PORTIFÓLIO'!$C$4:$C$433,0)),"")</f>
        <v/>
      </c>
      <c r="L426" s="292" t="str">
        <f t="array" ref="L426">IFERROR(J426*INDEX('PORTIFÓLIO'!$S$4:$S$433,MATCH($C426,'PORTIFÓLIO'!$C$4:$C$433,0)),"")</f>
        <v/>
      </c>
      <c r="U426" s="79"/>
    </row>
    <row r="427" ht="15.75" customHeight="1">
      <c r="A427" s="229" t="s">
        <v>1202</v>
      </c>
      <c r="B427" s="230"/>
      <c r="C427" s="231"/>
      <c r="D427" s="232"/>
      <c r="E427" s="231"/>
      <c r="F427" s="231"/>
      <c r="G427" s="233"/>
      <c r="H427" s="233"/>
      <c r="I427" s="258"/>
      <c r="J427" s="236"/>
      <c r="K427" s="237">
        <f t="shared" ref="K427:L427" si="48">SUBTOTAL(9,K428:K441)</f>
        <v>0</v>
      </c>
      <c r="L427" s="237">
        <f t="shared" si="48"/>
        <v>0</v>
      </c>
      <c r="U427" s="79"/>
    </row>
    <row r="428" ht="15.75" customHeight="1" outlineLevel="1">
      <c r="A428" s="213"/>
      <c r="B428" s="212"/>
      <c r="C428" s="213"/>
      <c r="D428" s="214" t="str">
        <f>IFERROR(VLOOKUP($C428,'PORTIFÓLIO'!C:V,2,0),"")</f>
        <v/>
      </c>
      <c r="E428" s="211" t="str">
        <f>IFERROR(VLOOKUP($C428,'PORTIFÓLIO'!C:V,3,0),"")</f>
        <v/>
      </c>
      <c r="F428" s="211" t="str">
        <f>IFERROR(VLOOKUP($C428,'PORTIFÓLIO'!C:V,4,0),"")</f>
        <v/>
      </c>
      <c r="G428" s="215" t="str">
        <f>IFERROR(VLOOKUP($C428,'PORTIFÓLIO'!C:V,5,0),"")</f>
        <v/>
      </c>
      <c r="H428" s="254" t="str">
        <f t="array" ref="H428">IFERROR(INDEX('PORTIFÓLIO'!$H$4:$H$433,MATCH($C428,'PORTIFÓLIO'!$C$4:$C$433,0)),"")</f>
        <v/>
      </c>
      <c r="I428" s="256"/>
      <c r="J428" s="218">
        <f t="shared" ref="J428:J451" si="49">I428*$B$2</f>
        <v>0</v>
      </c>
      <c r="K428" s="292" t="str">
        <f t="array" ref="K428">IFERROR(I428*INDEX('PORTIFÓLIO'!$S$4:$S$433,MATCH($C428,'PORTIFÓLIO'!$C$4:$C$433,0)),"")</f>
        <v/>
      </c>
      <c r="L428" s="292" t="str">
        <f t="array" ref="L428">IFERROR(J428*INDEX('PORTIFÓLIO'!$S$4:$S$433,MATCH($C428,'PORTIFÓLIO'!$C$4:$C$433,0)),"")</f>
        <v/>
      </c>
      <c r="U428" s="79"/>
    </row>
    <row r="429" ht="15.75" customHeight="1" outlineLevel="1">
      <c r="A429" s="211"/>
      <c r="B429" s="212"/>
      <c r="C429" s="213"/>
      <c r="D429" s="214" t="str">
        <f>IFERROR(VLOOKUP($C429,'PORTIFÓLIO'!C:V,2,0),"")</f>
        <v/>
      </c>
      <c r="E429" s="211" t="str">
        <f>IFERROR(VLOOKUP($C429,'PORTIFÓLIO'!C:V,3,0),"")</f>
        <v/>
      </c>
      <c r="F429" s="211" t="str">
        <f>IFERROR(VLOOKUP($C429,'PORTIFÓLIO'!C:V,4,0),"")</f>
        <v/>
      </c>
      <c r="G429" s="215" t="str">
        <f>IFERROR(VLOOKUP($C429,'PORTIFÓLIO'!C:V,5,0),"")</f>
        <v/>
      </c>
      <c r="H429" s="254" t="str">
        <f t="array" ref="H429">IFERROR(INDEX('PORTIFÓLIO'!$H$4:$H$433,MATCH($C429,'PORTIFÓLIO'!$C$4:$C$433,0)),"")</f>
        <v/>
      </c>
      <c r="I429" s="256"/>
      <c r="J429" s="218">
        <f t="shared" si="49"/>
        <v>0</v>
      </c>
      <c r="K429" s="292" t="str">
        <f t="array" ref="K429">IFERROR(I429*INDEX('PORTIFÓLIO'!$S$4:$S$433,MATCH($C429,'PORTIFÓLIO'!$C$4:$C$433,0)),"")</f>
        <v/>
      </c>
      <c r="L429" s="292" t="str">
        <f t="array" ref="L429">IFERROR(J429*INDEX('PORTIFÓLIO'!$S$4:$S$433,MATCH($C429,'PORTIFÓLIO'!$C$4:$C$433,0)),"")</f>
        <v/>
      </c>
      <c r="U429" s="79"/>
    </row>
    <row r="430" ht="15.75" customHeight="1" outlineLevel="1">
      <c r="A430" s="211"/>
      <c r="B430" s="212"/>
      <c r="C430" s="213"/>
      <c r="D430" s="214" t="str">
        <f>IFERROR(VLOOKUP($C430,'PORTIFÓLIO'!C:V,2,0),"")</f>
        <v/>
      </c>
      <c r="E430" s="211" t="str">
        <f>IFERROR(VLOOKUP($C430,'PORTIFÓLIO'!C:V,3,0),"")</f>
        <v/>
      </c>
      <c r="F430" s="211" t="str">
        <f>IFERROR(VLOOKUP($C430,'PORTIFÓLIO'!C:V,4,0),"")</f>
        <v/>
      </c>
      <c r="G430" s="215" t="str">
        <f>IFERROR(VLOOKUP($C430,'PORTIFÓLIO'!C:V,5,0),"")</f>
        <v/>
      </c>
      <c r="H430" s="254" t="str">
        <f t="array" ref="H430">IFERROR(INDEX('PORTIFÓLIO'!$H$4:$H$433,MATCH($C430,'PORTIFÓLIO'!$C$4:$C$433,0)),"")</f>
        <v/>
      </c>
      <c r="I430" s="256"/>
      <c r="J430" s="218">
        <f t="shared" si="49"/>
        <v>0</v>
      </c>
      <c r="K430" s="292" t="str">
        <f t="array" ref="K430">IFERROR(I430*INDEX('PORTIFÓLIO'!$S$4:$S$433,MATCH($C430,'PORTIFÓLIO'!$C$4:$C$433,0)),"")</f>
        <v/>
      </c>
      <c r="L430" s="292" t="str">
        <f t="array" ref="L430">IFERROR(J430*INDEX('PORTIFÓLIO'!$S$4:$S$433,MATCH($C430,'PORTIFÓLIO'!$C$4:$C$433,0)),"")</f>
        <v/>
      </c>
      <c r="U430" s="79"/>
    </row>
    <row r="431" ht="15.75" customHeight="1" outlineLevel="1">
      <c r="A431" s="211"/>
      <c r="B431" s="212"/>
      <c r="C431" s="213"/>
      <c r="D431" s="214" t="str">
        <f>IFERROR(VLOOKUP($C431,'PORTIFÓLIO'!C:V,2,0),"")</f>
        <v/>
      </c>
      <c r="E431" s="211" t="str">
        <f>IFERROR(VLOOKUP($C431,'PORTIFÓLIO'!C:V,3,0),"")</f>
        <v/>
      </c>
      <c r="F431" s="211" t="str">
        <f>IFERROR(VLOOKUP($C431,'PORTIFÓLIO'!C:V,4,0),"")</f>
        <v/>
      </c>
      <c r="G431" s="215" t="str">
        <f>IFERROR(VLOOKUP($C431,'PORTIFÓLIO'!C:V,5,0),"")</f>
        <v/>
      </c>
      <c r="H431" s="254" t="str">
        <f t="array" ref="H431">IFERROR(INDEX('PORTIFÓLIO'!$H$4:$H$433,MATCH($C431,'PORTIFÓLIO'!$C$4:$C$433,0)),"")</f>
        <v/>
      </c>
      <c r="I431" s="256"/>
      <c r="J431" s="218">
        <f t="shared" si="49"/>
        <v>0</v>
      </c>
      <c r="K431" s="292" t="str">
        <f t="array" ref="K431">IFERROR(I431*INDEX('PORTIFÓLIO'!$S$4:$S$433,MATCH($C431,'PORTIFÓLIO'!$C$4:$C$433,0)),"")</f>
        <v/>
      </c>
      <c r="L431" s="292" t="str">
        <f t="array" ref="L431">IFERROR(J431*INDEX('PORTIFÓLIO'!$S$4:$S$433,MATCH($C431,'PORTIFÓLIO'!$C$4:$C$433,0)),"")</f>
        <v/>
      </c>
      <c r="U431" s="79"/>
    </row>
    <row r="432" ht="15.75" customHeight="1" outlineLevel="1">
      <c r="A432" s="211"/>
      <c r="B432" s="212"/>
      <c r="C432" s="213"/>
      <c r="D432" s="214" t="str">
        <f>IFERROR(VLOOKUP($C432,'PORTIFÓLIO'!C:V,2,0),"")</f>
        <v/>
      </c>
      <c r="E432" s="211" t="str">
        <f>IFERROR(VLOOKUP($C432,'PORTIFÓLIO'!C:V,3,0),"")</f>
        <v/>
      </c>
      <c r="F432" s="211" t="str">
        <f>IFERROR(VLOOKUP($C432,'PORTIFÓLIO'!C:V,4,0),"")</f>
        <v/>
      </c>
      <c r="G432" s="215" t="str">
        <f>IFERROR(VLOOKUP($C432,'PORTIFÓLIO'!C:V,5,0),"")</f>
        <v/>
      </c>
      <c r="H432" s="254" t="str">
        <f t="array" ref="H432">IFERROR(INDEX('PORTIFÓLIO'!$H$4:$H$433,MATCH($C432,'PORTIFÓLIO'!$C$4:$C$433,0)),"")</f>
        <v/>
      </c>
      <c r="I432" s="256"/>
      <c r="J432" s="218">
        <f t="shared" si="49"/>
        <v>0</v>
      </c>
      <c r="K432" s="292" t="str">
        <f t="array" ref="K432">IFERROR(I432*INDEX('PORTIFÓLIO'!$S$4:$S$433,MATCH($C432,'PORTIFÓLIO'!$C$4:$C$433,0)),"")</f>
        <v/>
      </c>
      <c r="L432" s="292" t="str">
        <f t="array" ref="L432">IFERROR(J432*INDEX('PORTIFÓLIO'!$S$4:$S$433,MATCH($C432,'PORTIFÓLIO'!$C$4:$C$433,0)),"")</f>
        <v/>
      </c>
      <c r="U432" s="79"/>
    </row>
    <row r="433" ht="15.75" customHeight="1" outlineLevel="1">
      <c r="A433" s="211"/>
      <c r="B433" s="212"/>
      <c r="C433" s="213"/>
      <c r="D433" s="214" t="str">
        <f>IFERROR(VLOOKUP($C433,'PORTIFÓLIO'!C:V,2,0),"")</f>
        <v/>
      </c>
      <c r="E433" s="211" t="str">
        <f>IFERROR(VLOOKUP($C433,'PORTIFÓLIO'!C:V,3,0),"")</f>
        <v/>
      </c>
      <c r="F433" s="211" t="str">
        <f>IFERROR(VLOOKUP($C433,'PORTIFÓLIO'!C:V,4,0),"")</f>
        <v/>
      </c>
      <c r="G433" s="215" t="str">
        <f>IFERROR(VLOOKUP($C433,'PORTIFÓLIO'!C:V,5,0),"")</f>
        <v/>
      </c>
      <c r="H433" s="254" t="str">
        <f t="array" ref="H433">IFERROR(INDEX('PORTIFÓLIO'!$H$4:$H$433,MATCH($C433,'PORTIFÓLIO'!$C$4:$C$433,0)),"")</f>
        <v/>
      </c>
      <c r="I433" s="256"/>
      <c r="J433" s="218">
        <f t="shared" si="49"/>
        <v>0</v>
      </c>
      <c r="K433" s="292" t="str">
        <f t="array" ref="K433">IFERROR(I433*INDEX('PORTIFÓLIO'!$S$4:$S$433,MATCH($C433,'PORTIFÓLIO'!$C$4:$C$433,0)),"")</f>
        <v/>
      </c>
      <c r="L433" s="292" t="str">
        <f t="array" ref="L433">IFERROR(J433*INDEX('PORTIFÓLIO'!$S$4:$S$433,MATCH($C433,'PORTIFÓLIO'!$C$4:$C$433,0)),"")</f>
        <v/>
      </c>
      <c r="U433" s="79"/>
    </row>
    <row r="434" ht="15.75" customHeight="1" outlineLevel="1">
      <c r="A434" s="211"/>
      <c r="B434" s="212"/>
      <c r="C434" s="213"/>
      <c r="D434" s="214" t="str">
        <f>IFERROR(VLOOKUP($C434,'PORTIFÓLIO'!C:V,2,0),"")</f>
        <v/>
      </c>
      <c r="E434" s="211" t="str">
        <f>IFERROR(VLOOKUP($C434,'PORTIFÓLIO'!C:V,3,0),"")</f>
        <v/>
      </c>
      <c r="F434" s="211" t="str">
        <f>IFERROR(VLOOKUP($C434,'PORTIFÓLIO'!C:V,4,0),"")</f>
        <v/>
      </c>
      <c r="G434" s="215" t="str">
        <f>IFERROR(VLOOKUP($C434,'PORTIFÓLIO'!C:V,5,0),"")</f>
        <v/>
      </c>
      <c r="H434" s="254" t="str">
        <f t="array" ref="H434">IFERROR(INDEX('PORTIFÓLIO'!$H$4:$H$433,MATCH($C434,'PORTIFÓLIO'!$C$4:$C$433,0)),"")</f>
        <v/>
      </c>
      <c r="I434" s="256"/>
      <c r="J434" s="218">
        <f t="shared" si="49"/>
        <v>0</v>
      </c>
      <c r="K434" s="292" t="str">
        <f t="array" ref="K434">IFERROR(I434*INDEX('PORTIFÓLIO'!$S$4:$S$433,MATCH($C434,'PORTIFÓLIO'!$C$4:$C$433,0)),"")</f>
        <v/>
      </c>
      <c r="L434" s="292" t="str">
        <f t="array" ref="L434">IFERROR(J434*INDEX('PORTIFÓLIO'!$S$4:$S$433,MATCH($C434,'PORTIFÓLIO'!$C$4:$C$433,0)),"")</f>
        <v/>
      </c>
      <c r="U434" s="79"/>
    </row>
    <row r="435" ht="15.75" customHeight="1" outlineLevel="1">
      <c r="A435" s="211"/>
      <c r="B435" s="212"/>
      <c r="C435" s="213"/>
      <c r="D435" s="214" t="str">
        <f>IFERROR(VLOOKUP($C435,'PORTIFÓLIO'!C:V,2,0),"")</f>
        <v/>
      </c>
      <c r="E435" s="211" t="str">
        <f>IFERROR(VLOOKUP($C435,'PORTIFÓLIO'!C:V,3,0),"")</f>
        <v/>
      </c>
      <c r="F435" s="211" t="str">
        <f>IFERROR(VLOOKUP($C435,'PORTIFÓLIO'!C:V,4,0),"")</f>
        <v/>
      </c>
      <c r="G435" s="215" t="str">
        <f>IFERROR(VLOOKUP($C435,'PORTIFÓLIO'!C:V,5,0),"")</f>
        <v/>
      </c>
      <c r="H435" s="254" t="str">
        <f t="array" ref="H435">IFERROR(INDEX('PORTIFÓLIO'!$H$4:$H$433,MATCH($C435,'PORTIFÓLIO'!$C$4:$C$433,0)),"")</f>
        <v/>
      </c>
      <c r="I435" s="256"/>
      <c r="J435" s="218">
        <f t="shared" si="49"/>
        <v>0</v>
      </c>
      <c r="K435" s="292" t="str">
        <f t="array" ref="K435">IFERROR(I435*INDEX('PORTIFÓLIO'!$S$4:$S$433,MATCH($C435,'PORTIFÓLIO'!$C$4:$C$433,0)),"")</f>
        <v/>
      </c>
      <c r="L435" s="292" t="str">
        <f t="array" ref="L435">IFERROR(J435*INDEX('PORTIFÓLIO'!$S$4:$S$433,MATCH($C435,'PORTIFÓLIO'!$C$4:$C$433,0)),"")</f>
        <v/>
      </c>
      <c r="U435" s="79"/>
    </row>
    <row r="436" ht="15.75" customHeight="1" outlineLevel="1">
      <c r="A436" s="211"/>
      <c r="B436" s="212"/>
      <c r="C436" s="213"/>
      <c r="D436" s="214" t="str">
        <f>IFERROR(VLOOKUP($C436,'PORTIFÓLIO'!C:V,2,0),"")</f>
        <v/>
      </c>
      <c r="E436" s="211" t="str">
        <f>IFERROR(VLOOKUP($C436,'PORTIFÓLIO'!C:V,3,0),"")</f>
        <v/>
      </c>
      <c r="F436" s="211" t="str">
        <f>IFERROR(VLOOKUP($C436,'PORTIFÓLIO'!C:V,4,0),"")</f>
        <v/>
      </c>
      <c r="G436" s="215" t="str">
        <f>IFERROR(VLOOKUP($C436,'PORTIFÓLIO'!C:V,5,0),"")</f>
        <v/>
      </c>
      <c r="H436" s="254" t="str">
        <f t="array" ref="H436">IFERROR(INDEX('PORTIFÓLIO'!$H$4:$H$433,MATCH($C436,'PORTIFÓLIO'!$C$4:$C$433,0)),"")</f>
        <v/>
      </c>
      <c r="I436" s="256"/>
      <c r="J436" s="218">
        <f t="shared" si="49"/>
        <v>0</v>
      </c>
      <c r="K436" s="292" t="str">
        <f t="array" ref="K436">IFERROR(I436*INDEX('PORTIFÓLIO'!$S$4:$S$433,MATCH($C436,'PORTIFÓLIO'!$C$4:$C$433,0)),"")</f>
        <v/>
      </c>
      <c r="L436" s="292" t="str">
        <f t="array" ref="L436">IFERROR(J436*INDEX('PORTIFÓLIO'!$S$4:$S$433,MATCH($C436,'PORTIFÓLIO'!$C$4:$C$433,0)),"")</f>
        <v/>
      </c>
      <c r="U436" s="79"/>
    </row>
    <row r="437" ht="15.75" customHeight="1" outlineLevel="1">
      <c r="A437" s="211"/>
      <c r="B437" s="212"/>
      <c r="C437" s="213"/>
      <c r="D437" s="214" t="str">
        <f>IFERROR(VLOOKUP($C437,'PORTIFÓLIO'!C:V,2,0),"")</f>
        <v/>
      </c>
      <c r="E437" s="211" t="str">
        <f>IFERROR(VLOOKUP($C437,'PORTIFÓLIO'!C:V,3,0),"")</f>
        <v/>
      </c>
      <c r="F437" s="211" t="str">
        <f>IFERROR(VLOOKUP($C437,'PORTIFÓLIO'!C:V,4,0),"")</f>
        <v/>
      </c>
      <c r="G437" s="215" t="str">
        <f>IFERROR(VLOOKUP($C437,'PORTIFÓLIO'!C:V,5,0),"")</f>
        <v/>
      </c>
      <c r="H437" s="254" t="str">
        <f t="array" ref="H437">IFERROR(INDEX('PORTIFÓLIO'!$H$4:$H$433,MATCH($C437,'PORTIFÓLIO'!$C$4:$C$433,0)),"")</f>
        <v/>
      </c>
      <c r="I437" s="256"/>
      <c r="J437" s="218">
        <f t="shared" si="49"/>
        <v>0</v>
      </c>
      <c r="K437" s="292" t="str">
        <f t="array" ref="K437">IFERROR(I437*INDEX('PORTIFÓLIO'!$S$4:$S$433,MATCH($C437,'PORTIFÓLIO'!$C$4:$C$433,0)),"")</f>
        <v/>
      </c>
      <c r="L437" s="292" t="str">
        <f t="array" ref="L437">IFERROR(J437*INDEX('PORTIFÓLIO'!$S$4:$S$433,MATCH($C437,'PORTIFÓLIO'!$C$4:$C$433,0)),"")</f>
        <v/>
      </c>
      <c r="U437" s="79"/>
    </row>
    <row r="438" ht="15.75" customHeight="1" outlineLevel="1">
      <c r="A438" s="211"/>
      <c r="B438" s="212"/>
      <c r="C438" s="213"/>
      <c r="D438" s="214" t="str">
        <f>IFERROR(VLOOKUP($C438,'PORTIFÓLIO'!C:V,2,0),"")</f>
        <v/>
      </c>
      <c r="E438" s="211" t="str">
        <f>IFERROR(VLOOKUP($C438,'PORTIFÓLIO'!C:V,3,0),"")</f>
        <v/>
      </c>
      <c r="F438" s="211" t="str">
        <f>IFERROR(VLOOKUP($C438,'PORTIFÓLIO'!C:V,4,0),"")</f>
        <v/>
      </c>
      <c r="G438" s="215" t="str">
        <f>IFERROR(VLOOKUP($C438,'PORTIFÓLIO'!C:V,5,0),"")</f>
        <v/>
      </c>
      <c r="H438" s="254" t="str">
        <f t="array" ref="H438">IFERROR(INDEX('PORTIFÓLIO'!$H$4:$H$433,MATCH($C438,'PORTIFÓLIO'!$C$4:$C$433,0)),"")</f>
        <v/>
      </c>
      <c r="I438" s="256"/>
      <c r="J438" s="218">
        <f t="shared" si="49"/>
        <v>0</v>
      </c>
      <c r="K438" s="292" t="str">
        <f t="array" ref="K438">IFERROR(I438*INDEX('PORTIFÓLIO'!$S$4:$S$433,MATCH($C438,'PORTIFÓLIO'!$C$4:$C$433,0)),"")</f>
        <v/>
      </c>
      <c r="L438" s="292" t="str">
        <f t="array" ref="L438">IFERROR(J438*INDEX('PORTIFÓLIO'!$S$4:$S$433,MATCH($C438,'PORTIFÓLIO'!$C$4:$C$433,0)),"")</f>
        <v/>
      </c>
      <c r="U438" s="79"/>
    </row>
    <row r="439" ht="15.75" customHeight="1" outlineLevel="1">
      <c r="A439" s="211"/>
      <c r="B439" s="212"/>
      <c r="C439" s="213"/>
      <c r="D439" s="214" t="str">
        <f>IFERROR(VLOOKUP($C439,'PORTIFÓLIO'!C:V,2,0),"")</f>
        <v/>
      </c>
      <c r="E439" s="211" t="str">
        <f>IFERROR(VLOOKUP($C439,'PORTIFÓLIO'!C:V,3,0),"")</f>
        <v/>
      </c>
      <c r="F439" s="211" t="str">
        <f>IFERROR(VLOOKUP($C439,'PORTIFÓLIO'!C:V,4,0),"")</f>
        <v/>
      </c>
      <c r="G439" s="215" t="str">
        <f>IFERROR(VLOOKUP($C439,'PORTIFÓLIO'!C:V,5,0),"")</f>
        <v/>
      </c>
      <c r="H439" s="254" t="str">
        <f t="array" ref="H439">IFERROR(INDEX('PORTIFÓLIO'!$H$4:$H$433,MATCH($C439,'PORTIFÓLIO'!$C$4:$C$433,0)),"")</f>
        <v/>
      </c>
      <c r="I439" s="256"/>
      <c r="J439" s="218">
        <f t="shared" si="49"/>
        <v>0</v>
      </c>
      <c r="K439" s="292" t="str">
        <f t="array" ref="K439">IFERROR(I439*INDEX('PORTIFÓLIO'!$S$4:$S$433,MATCH($C439,'PORTIFÓLIO'!$C$4:$C$433,0)),"")</f>
        <v/>
      </c>
      <c r="L439" s="292" t="str">
        <f t="array" ref="L439">IFERROR(J439*INDEX('PORTIFÓLIO'!$S$4:$S$433,MATCH($C439,'PORTIFÓLIO'!$C$4:$C$433,0)),"")</f>
        <v/>
      </c>
      <c r="U439" s="79"/>
    </row>
    <row r="440" ht="15.75" customHeight="1" outlineLevel="1">
      <c r="A440" s="211"/>
      <c r="B440" s="212"/>
      <c r="C440" s="213"/>
      <c r="D440" s="214" t="str">
        <f>IFERROR(VLOOKUP($C440,'PORTIFÓLIO'!C:V,2,0),"")</f>
        <v/>
      </c>
      <c r="E440" s="211" t="str">
        <f>IFERROR(VLOOKUP($C440,'PORTIFÓLIO'!C:V,3,0),"")</f>
        <v/>
      </c>
      <c r="F440" s="211" t="str">
        <f>IFERROR(VLOOKUP($C440,'PORTIFÓLIO'!C:V,4,0),"")</f>
        <v/>
      </c>
      <c r="G440" s="215" t="str">
        <f>IFERROR(VLOOKUP($C440,'PORTIFÓLIO'!C:V,5,0),"")</f>
        <v/>
      </c>
      <c r="H440" s="254" t="str">
        <f t="array" ref="H440">IFERROR(INDEX('PORTIFÓLIO'!$H$4:$H$433,MATCH($C440,'PORTIFÓLIO'!$C$4:$C$433,0)),"")</f>
        <v/>
      </c>
      <c r="I440" s="256"/>
      <c r="J440" s="218">
        <f t="shared" si="49"/>
        <v>0</v>
      </c>
      <c r="K440" s="292" t="str">
        <f t="array" ref="K440">IFERROR(I440*INDEX('PORTIFÓLIO'!$S$4:$S$433,MATCH($C440,'PORTIFÓLIO'!$C$4:$C$433,0)),"")</f>
        <v/>
      </c>
      <c r="L440" s="292" t="str">
        <f t="array" ref="L440">IFERROR(J440*INDEX('PORTIFÓLIO'!$S$4:$S$433,MATCH($C440,'PORTIFÓLIO'!$C$4:$C$433,0)),"")</f>
        <v/>
      </c>
      <c r="U440" s="79"/>
    </row>
    <row r="441" ht="15.75" customHeight="1" outlineLevel="1">
      <c r="A441" s="211"/>
      <c r="B441" s="212"/>
      <c r="C441" s="213"/>
      <c r="D441" s="214" t="str">
        <f>IFERROR(VLOOKUP($C441,'PORTIFÓLIO'!C:V,2,0),"")</f>
        <v/>
      </c>
      <c r="E441" s="211" t="str">
        <f>IFERROR(VLOOKUP($C441,'PORTIFÓLIO'!C:V,3,0),"")</f>
        <v/>
      </c>
      <c r="F441" s="211" t="str">
        <f>IFERROR(VLOOKUP($C441,'PORTIFÓLIO'!C:V,4,0),"")</f>
        <v/>
      </c>
      <c r="G441" s="215" t="str">
        <f>IFERROR(VLOOKUP($C441,'PORTIFÓLIO'!C:V,5,0),"")</f>
        <v/>
      </c>
      <c r="H441" s="254" t="str">
        <f t="array" ref="H441">IFERROR(INDEX('PORTIFÓLIO'!$H$4:$H$433,MATCH($C441,'PORTIFÓLIO'!$C$4:$C$433,0)),"")</f>
        <v/>
      </c>
      <c r="I441" s="256"/>
      <c r="J441" s="218">
        <f t="shared" si="49"/>
        <v>0</v>
      </c>
      <c r="K441" s="292" t="str">
        <f t="array" ref="K441">IFERROR(I441*INDEX('PORTIFÓLIO'!$S$4:$S$433,MATCH($C441,'PORTIFÓLIO'!$C$4:$C$433,0)),"")</f>
        <v/>
      </c>
      <c r="L441" s="292" t="str">
        <f t="array" ref="L441">IFERROR(J441*INDEX('PORTIFÓLIO'!$S$4:$S$433,MATCH($C441,'PORTIFÓLIO'!$C$4:$C$433,0)),"")</f>
        <v/>
      </c>
      <c r="U441" s="79"/>
    </row>
    <row r="442" ht="15.75" customHeight="1" outlineLevel="1">
      <c r="A442" s="211"/>
      <c r="B442" s="212"/>
      <c r="C442" s="213"/>
      <c r="D442" s="214" t="str">
        <f>IFERROR(VLOOKUP($C442,'PORTIFÓLIO'!C:V,2,0),"")</f>
        <v/>
      </c>
      <c r="E442" s="211" t="str">
        <f>IFERROR(VLOOKUP($C442,'PORTIFÓLIO'!C:V,3,0),"")</f>
        <v/>
      </c>
      <c r="F442" s="211" t="str">
        <f>IFERROR(VLOOKUP($C442,'PORTIFÓLIO'!C:V,4,0),"")</f>
        <v/>
      </c>
      <c r="G442" s="215" t="str">
        <f>IFERROR(VLOOKUP($C442,'PORTIFÓLIO'!C:V,5,0),"")</f>
        <v/>
      </c>
      <c r="H442" s="254" t="str">
        <f t="array" ref="H442">IFERROR(INDEX('PORTIFÓLIO'!$H$4:$H$433,MATCH($C442,'PORTIFÓLIO'!$C$4:$C$433,0)),"")</f>
        <v/>
      </c>
      <c r="I442" s="256"/>
      <c r="J442" s="218">
        <f t="shared" si="49"/>
        <v>0</v>
      </c>
      <c r="K442" s="292" t="str">
        <f t="array" ref="K442">IFERROR(I442*INDEX('PORTIFÓLIO'!$S$4:$S$433,MATCH($C442,'PORTIFÓLIO'!$C$4:$C$433,0)),"")</f>
        <v/>
      </c>
      <c r="L442" s="292" t="str">
        <f t="array" ref="L442">IFERROR(J442*INDEX('PORTIFÓLIO'!$S$4:$S$433,MATCH($C442,'PORTIFÓLIO'!$C$4:$C$433,0)),"")</f>
        <v/>
      </c>
      <c r="U442" s="79"/>
    </row>
    <row r="443" ht="15.75" customHeight="1" outlineLevel="1">
      <c r="A443" s="211"/>
      <c r="B443" s="227"/>
      <c r="C443" s="211"/>
      <c r="D443" s="214" t="str">
        <f>IFERROR(VLOOKUP($C443,'PORTIFÓLIO'!C:V,2,0),"")</f>
        <v/>
      </c>
      <c r="E443" s="211" t="str">
        <f>IFERROR(VLOOKUP($C443,'PORTIFÓLIO'!C:V,3,0),"")</f>
        <v/>
      </c>
      <c r="F443" s="211" t="str">
        <f>IFERROR(VLOOKUP($C443,'PORTIFÓLIO'!C:V,4,0),"")</f>
        <v/>
      </c>
      <c r="G443" s="215" t="str">
        <f>IFERROR(VLOOKUP($C443,'PORTIFÓLIO'!C:V,5,0),"")</f>
        <v/>
      </c>
      <c r="H443" s="254" t="str">
        <f t="array" ref="H443">IFERROR(INDEX('PORTIFÓLIO'!$H$4:$H$433,MATCH($C443,'PORTIFÓLIO'!$C$4:$C$433,0)),"")</f>
        <v/>
      </c>
      <c r="I443" s="256"/>
      <c r="J443" s="218">
        <f t="shared" si="49"/>
        <v>0</v>
      </c>
      <c r="K443" s="292" t="str">
        <f t="array" ref="K443">IFERROR(I443*INDEX('PORTIFÓLIO'!$S$4:$S$433,MATCH($C443,'PORTIFÓLIO'!$C$4:$C$433,0)),"")</f>
        <v/>
      </c>
      <c r="L443" s="292" t="str">
        <f t="array" ref="L443">IFERROR(J443*INDEX('PORTIFÓLIO'!$S$4:$S$433,MATCH($C443,'PORTIFÓLIO'!$C$4:$C$433,0)),"")</f>
        <v/>
      </c>
      <c r="U443" s="79"/>
    </row>
    <row r="444" ht="15.75" customHeight="1" outlineLevel="1">
      <c r="A444" s="211"/>
      <c r="B444" s="227"/>
      <c r="C444" s="211"/>
      <c r="D444" s="214" t="str">
        <f>IFERROR(VLOOKUP($C444,'PORTIFÓLIO'!C:V,2,0),"")</f>
        <v/>
      </c>
      <c r="E444" s="211" t="str">
        <f>IFERROR(VLOOKUP($C444,'PORTIFÓLIO'!C:V,3,0),"")</f>
        <v/>
      </c>
      <c r="F444" s="211" t="str">
        <f>IFERROR(VLOOKUP($C444,'PORTIFÓLIO'!C:V,4,0),"")</f>
        <v/>
      </c>
      <c r="G444" s="215" t="str">
        <f>IFERROR(VLOOKUP($C444,'PORTIFÓLIO'!C:V,5,0),"")</f>
        <v/>
      </c>
      <c r="H444" s="254" t="str">
        <f t="array" ref="H444">IFERROR(INDEX('PORTIFÓLIO'!$H$4:$H$433,MATCH($C444,'PORTIFÓLIO'!$C$4:$C$433,0)),"")</f>
        <v/>
      </c>
      <c r="I444" s="256"/>
      <c r="J444" s="218">
        <f t="shared" si="49"/>
        <v>0</v>
      </c>
      <c r="K444" s="292" t="str">
        <f t="array" ref="K444">IFERROR(I444*INDEX('PORTIFÓLIO'!$S$4:$S$433,MATCH($C444,'PORTIFÓLIO'!$C$4:$C$433,0)),"")</f>
        <v/>
      </c>
      <c r="L444" s="292" t="str">
        <f t="array" ref="L444">IFERROR(J444*INDEX('PORTIFÓLIO'!$S$4:$S$433,MATCH($C444,'PORTIFÓLIO'!$C$4:$C$433,0)),"")</f>
        <v/>
      </c>
      <c r="U444" s="79"/>
    </row>
    <row r="445" ht="15.75" customHeight="1" outlineLevel="1">
      <c r="A445" s="211"/>
      <c r="B445" s="227"/>
      <c r="C445" s="211"/>
      <c r="D445" s="214" t="str">
        <f>IFERROR(VLOOKUP($C445,'PORTIFÓLIO'!C:V,2,0),"")</f>
        <v/>
      </c>
      <c r="E445" s="211" t="str">
        <f>IFERROR(VLOOKUP($C445,'PORTIFÓLIO'!C:V,3,0),"")</f>
        <v/>
      </c>
      <c r="F445" s="211" t="str">
        <f>IFERROR(VLOOKUP($C445,'PORTIFÓLIO'!C:V,4,0),"")</f>
        <v/>
      </c>
      <c r="G445" s="215" t="str">
        <f>IFERROR(VLOOKUP($C445,'PORTIFÓLIO'!C:V,5,0),"")</f>
        <v/>
      </c>
      <c r="H445" s="254" t="str">
        <f t="array" ref="H445">IFERROR(INDEX('PORTIFÓLIO'!$H$4:$H$433,MATCH($C445,'PORTIFÓLIO'!$C$4:$C$433,0)),"")</f>
        <v/>
      </c>
      <c r="I445" s="256"/>
      <c r="J445" s="218">
        <f t="shared" si="49"/>
        <v>0</v>
      </c>
      <c r="K445" s="292" t="str">
        <f t="array" ref="K445">IFERROR(I445*INDEX('PORTIFÓLIO'!$S$4:$S$433,MATCH($C445,'PORTIFÓLIO'!$C$4:$C$433,0)),"")</f>
        <v/>
      </c>
      <c r="L445" s="292" t="str">
        <f t="array" ref="L445">IFERROR(J445*INDEX('PORTIFÓLIO'!$S$4:$S$433,MATCH($C445,'PORTIFÓLIO'!$C$4:$C$433,0)),"")</f>
        <v/>
      </c>
      <c r="U445" s="79"/>
    </row>
    <row r="446" ht="15.75" customHeight="1" outlineLevel="1">
      <c r="A446" s="211"/>
      <c r="B446" s="227"/>
      <c r="C446" s="211"/>
      <c r="D446" s="214" t="str">
        <f>IFERROR(VLOOKUP($C446,'PORTIFÓLIO'!C:V,2,0),"")</f>
        <v/>
      </c>
      <c r="E446" s="211" t="str">
        <f>IFERROR(VLOOKUP($C446,'PORTIFÓLIO'!C:V,3,0),"")</f>
        <v/>
      </c>
      <c r="F446" s="211" t="str">
        <f>IFERROR(VLOOKUP($C446,'PORTIFÓLIO'!C:V,4,0),"")</f>
        <v/>
      </c>
      <c r="G446" s="215" t="str">
        <f>IFERROR(VLOOKUP($C446,'PORTIFÓLIO'!C:V,5,0),"")</f>
        <v/>
      </c>
      <c r="H446" s="254" t="str">
        <f t="array" ref="H446">IFERROR(INDEX('PORTIFÓLIO'!$H$4:$H$433,MATCH($C446,'PORTIFÓLIO'!$C$4:$C$433,0)),"")</f>
        <v/>
      </c>
      <c r="I446" s="256"/>
      <c r="J446" s="218">
        <f t="shared" si="49"/>
        <v>0</v>
      </c>
      <c r="K446" s="292" t="str">
        <f t="array" ref="K446">IFERROR(I446*INDEX('PORTIFÓLIO'!$S$4:$S$433,MATCH($C446,'PORTIFÓLIO'!$C$4:$C$433,0)),"")</f>
        <v/>
      </c>
      <c r="L446" s="292" t="str">
        <f t="array" ref="L446">IFERROR(J446*INDEX('PORTIFÓLIO'!$S$4:$S$433,MATCH($C446,'PORTIFÓLIO'!$C$4:$C$433,0)),"")</f>
        <v/>
      </c>
      <c r="U446" s="79"/>
    </row>
    <row r="447" ht="15.75" customHeight="1" outlineLevel="1">
      <c r="A447" s="211"/>
      <c r="B447" s="227"/>
      <c r="C447" s="211"/>
      <c r="D447" s="214" t="str">
        <f>IFERROR(VLOOKUP($C447,'PORTIFÓLIO'!C:V,2,0),"")</f>
        <v/>
      </c>
      <c r="E447" s="211" t="str">
        <f>IFERROR(VLOOKUP($C447,'PORTIFÓLIO'!C:V,3,0),"")</f>
        <v/>
      </c>
      <c r="F447" s="211" t="str">
        <f>IFERROR(VLOOKUP($C447,'PORTIFÓLIO'!C:V,4,0),"")</f>
        <v/>
      </c>
      <c r="G447" s="215" t="str">
        <f>IFERROR(VLOOKUP($C447,'PORTIFÓLIO'!C:V,5,0),"")</f>
        <v/>
      </c>
      <c r="H447" s="254" t="str">
        <f t="array" ref="H447">IFERROR(INDEX('PORTIFÓLIO'!$H$4:$H$433,MATCH($C447,'PORTIFÓLIO'!$C$4:$C$433,0)),"")</f>
        <v/>
      </c>
      <c r="I447" s="256"/>
      <c r="J447" s="218">
        <f t="shared" si="49"/>
        <v>0</v>
      </c>
      <c r="K447" s="292" t="str">
        <f t="array" ref="K447">IFERROR(I447*INDEX('PORTIFÓLIO'!$S$4:$S$433,MATCH($C447,'PORTIFÓLIO'!$C$4:$C$433,0)),"")</f>
        <v/>
      </c>
      <c r="L447" s="292" t="str">
        <f t="array" ref="L447">IFERROR(J447*INDEX('PORTIFÓLIO'!$S$4:$S$433,MATCH($C447,'PORTIFÓLIO'!$C$4:$C$433,0)),"")</f>
        <v/>
      </c>
      <c r="U447" s="79"/>
    </row>
    <row r="448" ht="15.75" customHeight="1" outlineLevel="1">
      <c r="A448" s="211"/>
      <c r="B448" s="227"/>
      <c r="C448" s="211"/>
      <c r="D448" s="214" t="str">
        <f>IFERROR(VLOOKUP($C448,'PORTIFÓLIO'!C:V,2,0),"")</f>
        <v/>
      </c>
      <c r="E448" s="211" t="str">
        <f>IFERROR(VLOOKUP($C448,'PORTIFÓLIO'!C:V,3,0),"")</f>
        <v/>
      </c>
      <c r="F448" s="211" t="str">
        <f>IFERROR(VLOOKUP($C448,'PORTIFÓLIO'!C:V,4,0),"")</f>
        <v/>
      </c>
      <c r="G448" s="215" t="str">
        <f>IFERROR(VLOOKUP($C448,'PORTIFÓLIO'!C:V,5,0),"")</f>
        <v/>
      </c>
      <c r="H448" s="254" t="str">
        <f t="array" ref="H448">IFERROR(INDEX('PORTIFÓLIO'!$H$4:$H$433,MATCH($C448,'PORTIFÓLIO'!$C$4:$C$433,0)),"")</f>
        <v/>
      </c>
      <c r="I448" s="256"/>
      <c r="J448" s="218">
        <f t="shared" si="49"/>
        <v>0</v>
      </c>
      <c r="K448" s="292" t="str">
        <f t="array" ref="K448">IFERROR(I448*INDEX('PORTIFÓLIO'!$S$4:$S$433,MATCH($C448,'PORTIFÓLIO'!$C$4:$C$433,0)),"")</f>
        <v/>
      </c>
      <c r="L448" s="292" t="str">
        <f t="array" ref="L448">IFERROR(J448*INDEX('PORTIFÓLIO'!$S$4:$S$433,MATCH($C448,'PORTIFÓLIO'!$C$4:$C$433,0)),"")</f>
        <v/>
      </c>
      <c r="U448" s="79"/>
    </row>
    <row r="449" ht="15.75" customHeight="1" outlineLevel="1">
      <c r="A449" s="211"/>
      <c r="B449" s="227"/>
      <c r="C449" s="211"/>
      <c r="D449" s="214" t="str">
        <f>IFERROR(VLOOKUP($C449,'PORTIFÓLIO'!C:V,2,0),"")</f>
        <v/>
      </c>
      <c r="E449" s="211" t="str">
        <f>IFERROR(VLOOKUP($C449,'PORTIFÓLIO'!C:V,3,0),"")</f>
        <v/>
      </c>
      <c r="F449" s="211" t="str">
        <f>IFERROR(VLOOKUP($C449,'PORTIFÓLIO'!C:V,4,0),"")</f>
        <v/>
      </c>
      <c r="G449" s="215" t="str">
        <f>IFERROR(VLOOKUP($C449,'PORTIFÓLIO'!C:V,5,0),"")</f>
        <v/>
      </c>
      <c r="H449" s="254" t="str">
        <f t="array" ref="H449">IFERROR(INDEX('PORTIFÓLIO'!$H$4:$H$433,MATCH($C449,'PORTIFÓLIO'!$C$4:$C$433,0)),"")</f>
        <v/>
      </c>
      <c r="I449" s="256"/>
      <c r="J449" s="218">
        <f t="shared" si="49"/>
        <v>0</v>
      </c>
      <c r="K449" s="292" t="str">
        <f t="array" ref="K449">IFERROR(I449*INDEX('PORTIFÓLIO'!$S$4:$S$433,MATCH($C449,'PORTIFÓLIO'!$C$4:$C$433,0)),"")</f>
        <v/>
      </c>
      <c r="L449" s="292" t="str">
        <f t="array" ref="L449">IFERROR(J449*INDEX('PORTIFÓLIO'!$S$4:$S$433,MATCH($C449,'PORTIFÓLIO'!$C$4:$C$433,0)),"")</f>
        <v/>
      </c>
      <c r="U449" s="79"/>
    </row>
    <row r="450" ht="15.75" customHeight="1" outlineLevel="1">
      <c r="A450" s="211"/>
      <c r="B450" s="227"/>
      <c r="C450" s="211"/>
      <c r="D450" s="214" t="str">
        <f>IFERROR(VLOOKUP($C450,'PORTIFÓLIO'!C:V,2,0),"")</f>
        <v/>
      </c>
      <c r="E450" s="211" t="str">
        <f>IFERROR(VLOOKUP($C450,'PORTIFÓLIO'!C:V,3,0),"")</f>
        <v/>
      </c>
      <c r="F450" s="211" t="str">
        <f>IFERROR(VLOOKUP($C450,'PORTIFÓLIO'!C:V,4,0),"")</f>
        <v/>
      </c>
      <c r="G450" s="215" t="str">
        <f>IFERROR(VLOOKUP($C450,'PORTIFÓLIO'!C:V,5,0),"")</f>
        <v/>
      </c>
      <c r="H450" s="254" t="str">
        <f t="array" ref="H450">IFERROR(INDEX('PORTIFÓLIO'!$H$4:$H$433,MATCH($C450,'PORTIFÓLIO'!$C$4:$C$433,0)),"")</f>
        <v/>
      </c>
      <c r="I450" s="256"/>
      <c r="J450" s="218">
        <f t="shared" si="49"/>
        <v>0</v>
      </c>
      <c r="K450" s="292" t="str">
        <f t="array" ref="K450">IFERROR(I450*INDEX('PORTIFÓLIO'!$S$4:$S$433,MATCH($C450,'PORTIFÓLIO'!$C$4:$C$433,0)),"")</f>
        <v/>
      </c>
      <c r="L450" s="292" t="str">
        <f t="array" ref="L450">IFERROR(J450*INDEX('PORTIFÓLIO'!$S$4:$S$433,MATCH($C450,'PORTIFÓLIO'!$C$4:$C$433,0)),"")</f>
        <v/>
      </c>
      <c r="U450" s="79"/>
    </row>
    <row r="451" ht="15.75" customHeight="1" outlineLevel="1">
      <c r="A451" s="211"/>
      <c r="B451" s="227"/>
      <c r="C451" s="211"/>
      <c r="D451" s="214" t="str">
        <f>IFERROR(VLOOKUP($C451,'PORTIFÓLIO'!C:V,2,0),"")</f>
        <v/>
      </c>
      <c r="E451" s="211" t="str">
        <f>IFERROR(VLOOKUP($C451,'PORTIFÓLIO'!C:V,3,0),"")</f>
        <v/>
      </c>
      <c r="F451" s="211" t="str">
        <f>IFERROR(VLOOKUP($C451,'PORTIFÓLIO'!C:V,4,0),"")</f>
        <v/>
      </c>
      <c r="G451" s="215" t="str">
        <f>IFERROR(VLOOKUP($C451,'PORTIFÓLIO'!C:V,5,0),"")</f>
        <v/>
      </c>
      <c r="H451" s="254" t="str">
        <f t="array" ref="H451">IFERROR(INDEX('PORTIFÓLIO'!$H$4:$H$433,MATCH($C451,'PORTIFÓLIO'!$C$4:$C$433,0)),"")</f>
        <v/>
      </c>
      <c r="I451" s="256"/>
      <c r="J451" s="218">
        <f t="shared" si="49"/>
        <v>0</v>
      </c>
      <c r="K451" s="292" t="str">
        <f t="array" ref="K451">IFERROR(I451*INDEX('PORTIFÓLIO'!$S$4:$S$433,MATCH($C451,'PORTIFÓLIO'!$C$4:$C$433,0)),"")</f>
        <v/>
      </c>
      <c r="L451" s="292" t="str">
        <f t="array" ref="L451">IFERROR(J451*INDEX('PORTIFÓLIO'!$S$4:$S$433,MATCH($C451,'PORTIFÓLIO'!$C$4:$C$433,0)),"")</f>
        <v/>
      </c>
      <c r="U451" s="79"/>
    </row>
    <row r="452" ht="15.75" customHeight="1">
      <c r="A452" s="227"/>
      <c r="B452" s="227"/>
      <c r="C452" s="227"/>
      <c r="D452" s="227"/>
      <c r="E452" s="227"/>
      <c r="F452" s="227"/>
      <c r="G452" s="215"/>
      <c r="H452" s="227"/>
      <c r="I452" s="227"/>
      <c r="J452" s="227"/>
      <c r="K452" s="293">
        <f t="shared" ref="K452:L452" si="50">SUBTOTAL(9,K237:K427)</f>
        <v>0</v>
      </c>
      <c r="L452" s="293">
        <f t="shared" si="50"/>
        <v>0</v>
      </c>
      <c r="U452" s="79"/>
    </row>
    <row r="453" ht="15.75" customHeight="1">
      <c r="U453" s="79"/>
    </row>
    <row r="454" ht="15.75" customHeight="1">
      <c r="U454" s="79"/>
    </row>
    <row r="455" ht="15.75" customHeight="1">
      <c r="U455" s="79"/>
    </row>
    <row r="456" ht="15.75" customHeight="1">
      <c r="U456" s="79"/>
    </row>
    <row r="457" ht="15.75" customHeight="1">
      <c r="U457" s="79"/>
    </row>
    <row r="458" ht="15.75" customHeight="1">
      <c r="U458" s="79"/>
    </row>
    <row r="459" ht="15.75" customHeight="1">
      <c r="U459" s="79"/>
    </row>
    <row r="460" ht="15.75" customHeight="1">
      <c r="U460" s="79"/>
    </row>
    <row r="461" ht="15.75" customHeight="1">
      <c r="U461" s="79"/>
    </row>
    <row r="462" ht="15.75" customHeight="1">
      <c r="U462" s="79"/>
    </row>
    <row r="463" ht="15.75" customHeight="1">
      <c r="U463" s="79"/>
    </row>
    <row r="464" ht="15.75" customHeight="1">
      <c r="U464" s="79"/>
    </row>
    <row r="465" ht="15.75" customHeight="1">
      <c r="U465" s="79"/>
    </row>
    <row r="466" ht="15.75" customHeight="1">
      <c r="U466" s="79"/>
    </row>
    <row r="467" ht="15.75" customHeight="1">
      <c r="U467" s="79"/>
    </row>
    <row r="468" ht="15.75" customHeight="1">
      <c r="U468" s="79"/>
    </row>
    <row r="469" ht="15.75" customHeight="1">
      <c r="U469" s="79"/>
    </row>
    <row r="470" ht="15.75" customHeight="1">
      <c r="U470" s="79"/>
    </row>
    <row r="471" ht="15.75" customHeight="1">
      <c r="U471" s="79"/>
    </row>
    <row r="472" ht="15.75" customHeight="1">
      <c r="U472" s="79"/>
    </row>
    <row r="473" ht="15.75" customHeight="1">
      <c r="U473" s="79"/>
    </row>
    <row r="474" ht="15.75" customHeight="1">
      <c r="U474" s="79"/>
    </row>
    <row r="475" ht="15.75" customHeight="1">
      <c r="U475" s="79"/>
    </row>
    <row r="476" ht="15.75" customHeight="1">
      <c r="U476" s="79"/>
    </row>
    <row r="477" ht="15.75" customHeight="1">
      <c r="U477" s="79"/>
    </row>
    <row r="478" ht="15.75" customHeight="1">
      <c r="U478" s="79"/>
    </row>
    <row r="479" ht="15.75" customHeight="1">
      <c r="U479" s="79"/>
    </row>
    <row r="480" ht="15.75" customHeight="1">
      <c r="U480" s="79"/>
    </row>
    <row r="481" ht="15.75" customHeight="1">
      <c r="U481" s="79"/>
    </row>
    <row r="482" ht="15.75" customHeight="1">
      <c r="U482" s="79"/>
    </row>
    <row r="483" ht="15.75" customHeight="1">
      <c r="U483" s="79"/>
    </row>
    <row r="484" ht="15.75" customHeight="1">
      <c r="U484" s="79"/>
    </row>
    <row r="485" ht="15.75" customHeight="1">
      <c r="U485" s="79"/>
    </row>
    <row r="486" ht="15.75" customHeight="1">
      <c r="U486" s="79"/>
    </row>
    <row r="487" ht="15.75" customHeight="1">
      <c r="U487" s="79"/>
    </row>
    <row r="488" ht="15.75" customHeight="1">
      <c r="U488" s="79"/>
    </row>
    <row r="489" ht="15.75" customHeight="1">
      <c r="U489" s="79"/>
    </row>
    <row r="490" ht="15.75" customHeight="1">
      <c r="U490" s="79"/>
    </row>
    <row r="491" ht="15.75" customHeight="1">
      <c r="U491" s="79"/>
    </row>
    <row r="492" ht="15.75" customHeight="1">
      <c r="U492" s="79"/>
    </row>
    <row r="493" ht="15.75" customHeight="1">
      <c r="U493" s="79"/>
    </row>
    <row r="494" ht="15.75" customHeight="1">
      <c r="U494" s="79"/>
    </row>
    <row r="495" ht="15.75" customHeight="1">
      <c r="U495" s="79"/>
    </row>
    <row r="496" ht="15.75" customHeight="1">
      <c r="U496" s="79"/>
    </row>
    <row r="497" ht="15.75" customHeight="1">
      <c r="U497" s="79"/>
    </row>
    <row r="498" ht="15.75" customHeight="1">
      <c r="U498" s="79"/>
    </row>
    <row r="499" ht="15.75" customHeight="1">
      <c r="U499" s="79"/>
    </row>
    <row r="500" ht="15.75" customHeight="1">
      <c r="U500" s="79"/>
    </row>
    <row r="501" ht="15.75" customHeight="1">
      <c r="U501" s="79"/>
    </row>
    <row r="502" ht="15.75" customHeight="1">
      <c r="U502" s="79"/>
    </row>
    <row r="503" ht="15.75" customHeight="1">
      <c r="U503" s="79"/>
    </row>
    <row r="504" ht="15.75" customHeight="1">
      <c r="U504" s="79"/>
    </row>
    <row r="505" ht="15.75" customHeight="1">
      <c r="U505" s="79"/>
    </row>
    <row r="506" ht="15.75" customHeight="1">
      <c r="U506" s="79"/>
    </row>
    <row r="507" ht="15.75" customHeight="1">
      <c r="U507" s="79"/>
    </row>
    <row r="508" ht="15.75" customHeight="1">
      <c r="U508" s="79"/>
    </row>
    <row r="509" ht="15.75" customHeight="1">
      <c r="U509" s="79"/>
    </row>
    <row r="510" ht="15.75" customHeight="1">
      <c r="U510" s="79"/>
    </row>
    <row r="511" ht="15.75" customHeight="1">
      <c r="U511" s="79"/>
    </row>
    <row r="512" ht="15.75" customHeight="1">
      <c r="U512" s="79"/>
    </row>
    <row r="513" ht="15.75" customHeight="1">
      <c r="U513" s="79"/>
    </row>
    <row r="514" ht="15.75" customHeight="1">
      <c r="U514" s="79"/>
    </row>
    <row r="515" ht="15.75" customHeight="1">
      <c r="U515" s="79"/>
    </row>
    <row r="516" ht="15.75" customHeight="1">
      <c r="U516" s="79"/>
    </row>
    <row r="517" ht="15.75" customHeight="1">
      <c r="U517" s="79"/>
    </row>
    <row r="518" ht="15.75" customHeight="1">
      <c r="U518" s="79"/>
    </row>
    <row r="519" ht="15.75" customHeight="1">
      <c r="U519" s="79"/>
    </row>
    <row r="520" ht="15.75" customHeight="1">
      <c r="U520" s="79"/>
    </row>
    <row r="521" ht="15.75" customHeight="1">
      <c r="U521" s="79"/>
    </row>
    <row r="522" ht="15.75" customHeight="1">
      <c r="U522" s="79"/>
    </row>
    <row r="523" ht="15.75" customHeight="1">
      <c r="U523" s="79"/>
    </row>
    <row r="524" ht="15.75" customHeight="1">
      <c r="U524" s="79"/>
    </row>
    <row r="525" ht="15.75" customHeight="1">
      <c r="U525" s="79"/>
    </row>
    <row r="526" ht="15.75" customHeight="1">
      <c r="U526" s="79"/>
    </row>
    <row r="527" ht="15.75" customHeight="1">
      <c r="U527" s="79"/>
    </row>
    <row r="528" ht="15.75" customHeight="1">
      <c r="U528" s="79"/>
    </row>
    <row r="529" ht="15.75" customHeight="1">
      <c r="U529" s="79"/>
    </row>
    <row r="530" ht="15.75" customHeight="1">
      <c r="U530" s="79"/>
    </row>
    <row r="531" ht="15.75" customHeight="1">
      <c r="U531" s="79"/>
    </row>
    <row r="532" ht="15.75" customHeight="1">
      <c r="U532" s="79"/>
    </row>
    <row r="533" ht="15.75" customHeight="1">
      <c r="U533" s="79"/>
    </row>
    <row r="534" ht="15.75" customHeight="1">
      <c r="U534" s="79"/>
    </row>
    <row r="535" ht="15.75" customHeight="1">
      <c r="U535" s="79"/>
    </row>
    <row r="536" ht="15.75" customHeight="1">
      <c r="U536" s="79"/>
    </row>
    <row r="537" ht="15.75" customHeight="1">
      <c r="U537" s="79"/>
    </row>
    <row r="538" ht="15.75" customHeight="1">
      <c r="U538" s="79"/>
    </row>
    <row r="539" ht="15.75" customHeight="1">
      <c r="U539" s="79"/>
    </row>
    <row r="540" ht="15.75" customHeight="1">
      <c r="U540" s="79"/>
    </row>
    <row r="541" ht="15.75" customHeight="1">
      <c r="U541" s="79"/>
    </row>
    <row r="542" ht="15.75" customHeight="1">
      <c r="U542" s="79"/>
    </row>
    <row r="543" ht="15.75" customHeight="1">
      <c r="U543" s="79"/>
    </row>
    <row r="544" ht="15.75" customHeight="1">
      <c r="U544" s="79"/>
    </row>
    <row r="545" ht="15.75" customHeight="1">
      <c r="U545" s="79"/>
    </row>
    <row r="546" ht="15.75" customHeight="1">
      <c r="U546" s="79"/>
    </row>
    <row r="547" ht="15.75" customHeight="1">
      <c r="U547" s="79"/>
    </row>
    <row r="548" ht="15.75" customHeight="1">
      <c r="U548" s="79"/>
    </row>
    <row r="549" ht="15.75" customHeight="1">
      <c r="U549" s="79"/>
    </row>
    <row r="550" ht="15.75" customHeight="1">
      <c r="U550" s="79"/>
    </row>
    <row r="551" ht="15.75" customHeight="1">
      <c r="U551" s="79"/>
    </row>
    <row r="552" ht="15.75" customHeight="1">
      <c r="U552" s="79"/>
    </row>
    <row r="553" ht="15.75" customHeight="1">
      <c r="U553" s="79"/>
    </row>
    <row r="554" ht="15.75" customHeight="1">
      <c r="U554" s="79"/>
    </row>
    <row r="555" ht="15.75" customHeight="1">
      <c r="U555" s="79"/>
    </row>
    <row r="556" ht="15.75" customHeight="1">
      <c r="U556" s="79"/>
    </row>
    <row r="557" ht="15.75" customHeight="1">
      <c r="U557" s="79"/>
    </row>
    <row r="558" ht="15.75" customHeight="1">
      <c r="U558" s="79"/>
    </row>
    <row r="559" ht="15.75" customHeight="1">
      <c r="U559" s="79"/>
    </row>
    <row r="560" ht="15.75" customHeight="1">
      <c r="U560" s="79"/>
    </row>
    <row r="561" ht="15.75" customHeight="1">
      <c r="U561" s="79"/>
    </row>
    <row r="562" ht="15.75" customHeight="1">
      <c r="U562" s="79"/>
    </row>
    <row r="563" ht="15.75" customHeight="1">
      <c r="U563" s="79"/>
    </row>
    <row r="564" ht="15.75" customHeight="1">
      <c r="U564" s="79"/>
    </row>
    <row r="565" ht="15.75" customHeight="1">
      <c r="U565" s="79"/>
    </row>
    <row r="566" ht="15.75" customHeight="1">
      <c r="U566" s="79"/>
    </row>
    <row r="567" ht="15.75" customHeight="1">
      <c r="U567" s="79"/>
    </row>
    <row r="568" ht="15.75" customHeight="1">
      <c r="U568" s="79"/>
    </row>
    <row r="569" ht="15.75" customHeight="1">
      <c r="U569" s="79"/>
    </row>
    <row r="570" ht="15.75" customHeight="1">
      <c r="U570" s="79"/>
    </row>
    <row r="571" ht="15.75" customHeight="1">
      <c r="U571" s="79"/>
    </row>
    <row r="572" ht="15.75" customHeight="1">
      <c r="U572" s="79"/>
    </row>
    <row r="573" ht="15.75" customHeight="1">
      <c r="U573" s="79"/>
    </row>
    <row r="574" ht="15.75" customHeight="1">
      <c r="U574" s="79"/>
    </row>
    <row r="575" ht="15.75" customHeight="1">
      <c r="U575" s="79"/>
    </row>
    <row r="576" ht="15.75" customHeight="1">
      <c r="U576" s="79"/>
    </row>
    <row r="577" ht="15.75" customHeight="1">
      <c r="U577" s="79"/>
    </row>
    <row r="578" ht="15.75" customHeight="1">
      <c r="U578" s="79"/>
    </row>
    <row r="579" ht="15.75" customHeight="1">
      <c r="U579" s="79"/>
    </row>
    <row r="580" ht="15.75" customHeight="1">
      <c r="U580" s="79"/>
    </row>
    <row r="581" ht="15.75" customHeight="1">
      <c r="U581" s="79"/>
    </row>
    <row r="582" ht="15.75" customHeight="1">
      <c r="U582" s="79"/>
    </row>
    <row r="583" ht="15.75" customHeight="1">
      <c r="U583" s="79"/>
    </row>
    <row r="584" ht="15.75" customHeight="1">
      <c r="U584" s="79"/>
    </row>
    <row r="585" ht="15.75" customHeight="1">
      <c r="U585" s="79"/>
    </row>
    <row r="586" ht="15.75" customHeight="1">
      <c r="U586" s="79"/>
    </row>
    <row r="587" ht="15.75" customHeight="1">
      <c r="U587" s="79"/>
    </row>
    <row r="588" ht="15.75" customHeight="1">
      <c r="U588" s="79"/>
    </row>
    <row r="589" ht="15.75" customHeight="1">
      <c r="U589" s="79"/>
    </row>
    <row r="590" ht="15.75" customHeight="1">
      <c r="U590" s="79"/>
    </row>
    <row r="591" ht="15.75" customHeight="1">
      <c r="U591" s="79"/>
    </row>
    <row r="592" ht="15.75" customHeight="1">
      <c r="U592" s="79"/>
    </row>
    <row r="593" ht="15.75" customHeight="1">
      <c r="U593" s="79"/>
    </row>
    <row r="594" ht="15.75" customHeight="1">
      <c r="U594" s="79"/>
    </row>
    <row r="595" ht="15.75" customHeight="1">
      <c r="U595" s="79"/>
    </row>
    <row r="596" ht="15.75" customHeight="1">
      <c r="U596" s="79"/>
    </row>
    <row r="597" ht="15.75" customHeight="1">
      <c r="U597" s="79"/>
    </row>
    <row r="598" ht="15.75" customHeight="1">
      <c r="U598" s="79"/>
    </row>
    <row r="599" ht="15.75" customHeight="1">
      <c r="U599" s="79"/>
    </row>
    <row r="600" ht="15.75" customHeight="1">
      <c r="U600" s="79"/>
    </row>
    <row r="601" ht="15.75" customHeight="1">
      <c r="U601" s="79"/>
    </row>
    <row r="602" ht="15.75" customHeight="1">
      <c r="U602" s="79"/>
    </row>
    <row r="603" ht="15.75" customHeight="1">
      <c r="U603" s="79"/>
    </row>
    <row r="604" ht="15.75" customHeight="1">
      <c r="U604" s="79"/>
    </row>
    <row r="605" ht="15.75" customHeight="1">
      <c r="U605" s="79"/>
    </row>
    <row r="606" ht="15.75" customHeight="1">
      <c r="U606" s="79"/>
    </row>
    <row r="607" ht="15.75" customHeight="1">
      <c r="U607" s="79"/>
    </row>
    <row r="608" ht="15.75" customHeight="1">
      <c r="U608" s="79"/>
    </row>
    <row r="609" ht="15.75" customHeight="1">
      <c r="U609" s="79"/>
    </row>
    <row r="610" ht="15.75" customHeight="1">
      <c r="U610" s="79"/>
    </row>
    <row r="611" ht="15.75" customHeight="1">
      <c r="U611" s="79"/>
    </row>
    <row r="612" ht="15.75" customHeight="1">
      <c r="U612" s="79"/>
    </row>
    <row r="613" ht="15.75" customHeight="1">
      <c r="U613" s="79"/>
    </row>
    <row r="614" ht="15.75" customHeight="1">
      <c r="U614" s="79"/>
    </row>
    <row r="615" ht="15.75" customHeight="1">
      <c r="U615" s="79"/>
    </row>
    <row r="616" ht="15.75" customHeight="1">
      <c r="U616" s="79"/>
    </row>
    <row r="617" ht="15.75" customHeight="1">
      <c r="U617" s="79"/>
    </row>
    <row r="618" ht="15.75" customHeight="1">
      <c r="U618" s="79"/>
    </row>
    <row r="619" ht="15.75" customHeight="1">
      <c r="U619" s="79"/>
    </row>
    <row r="620" ht="15.75" customHeight="1">
      <c r="U620" s="79"/>
    </row>
    <row r="621" ht="15.75" customHeight="1">
      <c r="U621" s="79"/>
    </row>
    <row r="622" ht="15.75" customHeight="1">
      <c r="U622" s="79"/>
    </row>
    <row r="623" ht="15.75" customHeight="1">
      <c r="U623" s="79"/>
    </row>
    <row r="624" ht="15.75" customHeight="1">
      <c r="U624" s="79"/>
    </row>
    <row r="625" ht="15.75" customHeight="1">
      <c r="U625" s="79"/>
    </row>
    <row r="626" ht="15.75" customHeight="1">
      <c r="U626" s="79"/>
    </row>
    <row r="627" ht="15.75" customHeight="1">
      <c r="U627" s="79"/>
    </row>
    <row r="628" ht="15.75" customHeight="1">
      <c r="U628" s="79"/>
    </row>
    <row r="629" ht="15.75" customHeight="1">
      <c r="U629" s="79"/>
    </row>
    <row r="630" ht="15.75" customHeight="1">
      <c r="U630" s="79"/>
    </row>
    <row r="631" ht="15.75" customHeight="1">
      <c r="U631" s="79"/>
    </row>
    <row r="632" ht="15.75" customHeight="1">
      <c r="U632" s="79"/>
    </row>
    <row r="633" ht="15.75" customHeight="1">
      <c r="U633" s="79"/>
    </row>
    <row r="634" ht="15.75" customHeight="1">
      <c r="U634" s="79"/>
    </row>
    <row r="635" ht="15.75" customHeight="1">
      <c r="U635" s="79"/>
    </row>
    <row r="636" ht="15.75" customHeight="1">
      <c r="U636" s="79"/>
    </row>
    <row r="637" ht="15.75" customHeight="1">
      <c r="U637" s="79"/>
    </row>
    <row r="638" ht="15.75" customHeight="1">
      <c r="U638" s="79"/>
    </row>
    <row r="639" ht="15.75" customHeight="1">
      <c r="U639" s="79"/>
    </row>
    <row r="640" ht="15.75" customHeight="1">
      <c r="U640" s="79"/>
    </row>
    <row r="641" ht="15.75" customHeight="1">
      <c r="U641" s="79"/>
    </row>
    <row r="642" ht="15.75" customHeight="1">
      <c r="U642" s="79"/>
    </row>
    <row r="643" ht="15.75" customHeight="1">
      <c r="U643" s="79"/>
    </row>
    <row r="644" ht="15.75" customHeight="1">
      <c r="U644" s="79"/>
    </row>
    <row r="645" ht="15.75" customHeight="1">
      <c r="U645" s="79"/>
    </row>
    <row r="646" ht="15.75" customHeight="1">
      <c r="U646" s="79"/>
    </row>
    <row r="647" ht="15.75" customHeight="1">
      <c r="U647" s="79"/>
    </row>
    <row r="648" ht="15.75" customHeight="1">
      <c r="U648" s="79"/>
    </row>
    <row r="649" ht="15.75" customHeight="1">
      <c r="U649" s="79"/>
    </row>
    <row r="650" ht="15.75" customHeight="1">
      <c r="U650" s="79"/>
    </row>
    <row r="651" ht="15.75" customHeight="1">
      <c r="U651" s="79"/>
    </row>
    <row r="652" ht="15.75" customHeight="1">
      <c r="U652" s="79"/>
    </row>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K10:L224 K237:L451">
    <cfRule type="cellIs" dxfId="9" priority="1" operator="equal">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2">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3">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4">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5">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6">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7">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8">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9">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0">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1">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2">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3">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4">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5">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6">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7">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8">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9">
      <colorScale>
        <cfvo type="min"/>
        <cfvo type="percentile" val="50"/>
        <cfvo type="max"/>
        <color rgb="FF63BE7B"/>
        <color rgb="FFFCFCFF"/>
        <color rgb="FFF8696B"/>
      </colorScale>
    </cfRule>
  </conditionalFormatting>
  <conditionalFormatting sqref="A64:A67 A82:A85 A98:A101 A115:A118 A132:A135 A149:A152 A166:A169 A183:A186 A201:A204 A290:A294 A309:A312 A325:A328 A342:A345 A359:A362 A376:A379 A393:A396 A410:A413 A428:A431">
    <cfRule type="colorScale" priority="20">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1">
      <colorScale>
        <cfvo type="min"/>
        <cfvo type="percentile" val="50"/>
        <cfvo type="max"/>
        <color rgb="FF63BE7B"/>
        <color rgb="FFFCFCFF"/>
        <color rgb="FFF8696B"/>
      </colorScale>
    </cfRule>
  </conditionalFormatting>
  <conditionalFormatting sqref="A67:A68 A86 A102 A119 A136 A153 A170 A187 A205 A294:A295 A313 A329 A346 A363 A380 A397 A414 A432">
    <cfRule type="colorScale" priority="22">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3">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4">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5">
      <colorScale>
        <cfvo type="min"/>
        <cfvo type="percentile" val="50"/>
        <cfvo type="max"/>
        <color rgb="FF63BE7B"/>
        <color rgb="FFFCFCFF"/>
        <color rgb="FFF8696B"/>
      </colorScale>
    </cfRule>
  </conditionalFormatting>
  <conditionalFormatting sqref="A82:A86 A98:A102 A115:A119 A132:A136 A149:A153 A166:A170 A183:A187 A201:A205 A290 A309:A313 A325:A329 A342:A346 A359:A363 A376:A380 A393:A397 A410:A414 A428:A432">
    <cfRule type="colorScale" priority="26">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7">
      <colorScale>
        <cfvo type="min"/>
        <cfvo type="percentile" val="50"/>
        <cfvo type="max"/>
        <color rgb="FF63BE7B"/>
        <color rgb="FFFCFCFF"/>
        <color rgb="FFF8696B"/>
      </colorScale>
    </cfRule>
  </conditionalFormatting>
  <conditionalFormatting sqref="A87 A103 A120 A137 A154 A171 A188 A206 A314 A330 A347 A364 A381 A398 A415 A433">
    <cfRule type="colorScale" priority="28">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9">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0">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1">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2">
      <colorScale>
        <cfvo type="min"/>
        <cfvo type="percentile" val="50"/>
        <cfvo type="max"/>
        <color rgb="FF63BE7B"/>
        <color rgb="FFFCFCFF"/>
        <color rgb="FFF8696B"/>
      </colorScale>
    </cfRule>
  </conditionalFormatting>
  <conditionalFormatting sqref="A81:A84 A97:A100 A114:A117 A131:A134 A148:A151 A165:A168 A182:A185 A200:A203 A308:A311 A324:A327 A341:A344 A358:A361 A375:A378 A392:A395 A409:A412 A427:A430">
    <cfRule type="colorScale" priority="33">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4">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5">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6">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7">
      <colorScale>
        <cfvo type="min"/>
        <cfvo type="percentile" val="50"/>
        <cfvo type="max"/>
        <color rgb="FF63BE7B"/>
        <color rgb="FFFCFCFF"/>
        <color rgb="FFF8696B"/>
      </colorScale>
    </cfRule>
  </conditionalFormatting>
  <conditionalFormatting sqref="A82:A84 A98:A100 A115:A117 A132:A134 A149:A151 A166:A168 A183:A185 A201:A203 A309:A311 A325:A327 A342:A344 A359:A361 A376:A378 A393:A395 A410:A412 A428:A430">
    <cfRule type="colorScale" priority="38">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9">
      <colorScale>
        <cfvo type="min"/>
        <cfvo type="percentile" val="50"/>
        <cfvo type="max"/>
        <color rgb="FF63BE7B"/>
        <color rgb="FFFCFCFF"/>
        <color rgb="FFF8696B"/>
      </colorScale>
    </cfRule>
  </conditionalFormatting>
  <conditionalFormatting sqref="A85 A101 A118 A135 A152 A169 A186 A204 A312 A328 A345 A362 A379 A396 A413 A431">
    <cfRule type="colorScale" priority="40">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1">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42">
      <colorScale>
        <cfvo type="min"/>
        <cfvo type="percentile" val="50"/>
        <cfvo type="max"/>
        <color rgb="FF63BE7B"/>
        <color rgb="FFFFEB84"/>
        <color rgb="FFF8696B"/>
      </colorScale>
    </cfRule>
  </conditionalFormatting>
  <conditionalFormatting sqref="A98 A325">
    <cfRule type="colorScale" priority="43">
      <colorScale>
        <cfvo type="min"/>
        <cfvo type="percentile" val="50"/>
        <cfvo type="max"/>
        <color rgb="FF63BE7B"/>
        <color rgb="FFFCFCFF"/>
        <color rgb="FFF8696B"/>
      </colorScale>
    </cfRule>
  </conditionalFormatting>
  <conditionalFormatting sqref="A98 A325">
    <cfRule type="colorScale" priority="44">
      <colorScale>
        <cfvo type="min"/>
        <cfvo type="percentile" val="50"/>
        <cfvo type="max"/>
        <color rgb="FF63BE7B"/>
        <color rgb="FFFFEB84"/>
        <color rgb="FFF8696B"/>
      </colorScale>
    </cfRule>
  </conditionalFormatting>
  <conditionalFormatting sqref="A99 A326">
    <cfRule type="colorScale" priority="45">
      <colorScale>
        <cfvo type="min"/>
        <cfvo type="percentile" val="50"/>
        <cfvo type="max"/>
        <color rgb="FF63BE7B"/>
        <color rgb="FFFFEB84"/>
        <color rgb="FFF8696B"/>
      </colorScale>
    </cfRule>
  </conditionalFormatting>
  <conditionalFormatting sqref="A100:A104 A327:A331">
    <cfRule type="colorScale" priority="46">
      <colorScale>
        <cfvo type="min"/>
        <cfvo type="percentile" val="50"/>
        <cfvo type="max"/>
        <color rgb="FF63BE7B"/>
        <color rgb="FFFFEB84"/>
        <color rgb="FFF8696B"/>
      </colorScale>
    </cfRule>
  </conditionalFormatting>
  <conditionalFormatting sqref="A115 A342">
    <cfRule type="colorScale" priority="47">
      <colorScale>
        <cfvo type="min"/>
        <cfvo type="percentile" val="50"/>
        <cfvo type="max"/>
        <color rgb="FF63BE7B"/>
        <color rgb="FFFCFCFF"/>
        <color rgb="FFF8696B"/>
      </colorScale>
    </cfRule>
  </conditionalFormatting>
  <conditionalFormatting sqref="A115 A342">
    <cfRule type="colorScale" priority="48">
      <colorScale>
        <cfvo type="min"/>
        <cfvo type="percentile" val="50"/>
        <cfvo type="max"/>
        <color rgb="FF63BE7B"/>
        <color rgb="FFFFEB84"/>
        <color rgb="FFF8696B"/>
      </colorScale>
    </cfRule>
  </conditionalFormatting>
  <conditionalFormatting sqref="A116:A129 A343:A356">
    <cfRule type="colorScale" priority="49">
      <colorScale>
        <cfvo type="min"/>
        <cfvo type="percentile" val="50"/>
        <cfvo type="max"/>
        <color rgb="FF63BE7B"/>
        <color rgb="FFFFEB84"/>
        <color rgb="FFF8696B"/>
      </colorScale>
    </cfRule>
  </conditionalFormatting>
  <conditionalFormatting sqref="A132:A133 A359:A360">
    <cfRule type="colorScale" priority="50">
      <colorScale>
        <cfvo type="min"/>
        <cfvo type="percentile" val="50"/>
        <cfvo type="max"/>
        <color rgb="FF63BE7B"/>
        <color rgb="FFFFEB84"/>
        <color rgb="FFF8696B"/>
      </colorScale>
    </cfRule>
  </conditionalFormatting>
  <conditionalFormatting sqref="A149:A163 A376:A390">
    <cfRule type="colorScale" priority="51">
      <colorScale>
        <cfvo type="min"/>
        <cfvo type="percentile" val="50"/>
        <cfvo type="max"/>
        <color rgb="FF63BE7B"/>
        <color rgb="FFFFEB84"/>
        <color rgb="FFF8696B"/>
      </colorScale>
    </cfRule>
  </conditionalFormatting>
  <conditionalFormatting sqref="A166:A180 A393:A407">
    <cfRule type="colorScale" priority="52">
      <colorScale>
        <cfvo type="min"/>
        <cfvo type="percentile" val="50"/>
        <cfvo type="max"/>
        <color rgb="FF63BE7B"/>
        <color rgb="FFFFEB84"/>
        <color rgb="FFF8696B"/>
      </colorScale>
    </cfRule>
  </conditionalFormatting>
  <conditionalFormatting sqref="A183:A185 A410:A412">
    <cfRule type="colorScale" priority="53">
      <colorScale>
        <cfvo type="min"/>
        <cfvo type="percentile" val="50"/>
        <cfvo type="max"/>
        <color rgb="FF63BE7B"/>
        <color rgb="FFFFEB84"/>
        <color rgb="FFF8696B"/>
      </colorScale>
    </cfRule>
  </conditionalFormatting>
  <conditionalFormatting sqref="A201:A203 A428:A430">
    <cfRule type="colorScale" priority="54">
      <colorScale>
        <cfvo type="min"/>
        <cfvo type="percentile" val="50"/>
        <cfvo type="max"/>
        <color rgb="FF63BE7B"/>
        <color rgb="FFFFEB84"/>
        <color rgb="FFF8696B"/>
      </colorScale>
    </cfRule>
  </conditionalFormatting>
  <conditionalFormatting sqref="A208:A210 A435:A437">
    <cfRule type="colorScale" priority="55">
      <colorScale>
        <cfvo type="min"/>
        <cfvo type="percentile" val="50"/>
        <cfvo type="max"/>
        <color rgb="FF63BE7B"/>
        <color rgb="FFFFEB84"/>
        <color rgb="FFF8696B"/>
      </colorScale>
    </cfRule>
  </conditionalFormatting>
  <conditionalFormatting sqref="A211:A224 A438:A451">
    <cfRule type="colorScale" priority="56">
      <colorScale>
        <cfvo type="min"/>
        <cfvo type="percentile" val="50"/>
        <cfvo type="max"/>
        <color rgb="FF63BE7B"/>
        <color rgb="FFFFEB84"/>
        <color rgb="FFF8696B"/>
      </colorScale>
    </cfRule>
  </conditionalFormatting>
  <conditionalFormatting sqref="J10:L224 J237:L451">
    <cfRule type="cellIs" dxfId="8" priority="57" operator="equal">
      <formula>0</formula>
    </cfRule>
  </conditionalFormatting>
  <dataValidations>
    <dataValidation type="list" allowBlank="1" sqref="C12:C14 C87 C137 C152 C154 C169 C171 C204 C206 C241 C243 C256 C258 C275 C277 C294 C296 C312 C314 C328 C330 C345 C347 C362 C364 C379 C381 C396 C398 C413 C415 C431 C433">
      <formula1>"I-ACTIVE,MAP,KCL 60%,05-37-00,10-46-00 + S,08-42-00,SSP 21,03-15-07 +14%CO,URÉIA,SULFATO DE AMÔNIO,BOROGRAN,SUPER DUO,08-40-00 - 100M,AURUS 500,00-01-00+Cu2 Mn8 Zn7"</formula1>
    </dataValidation>
    <dataValidation type="list" allowBlank="1" sqref="C183">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formula1>
    </dataValidation>
    <dataValidation type="list" allowBlank="1" sqref="C68">
      <formula1>"UTRISHA N,PRESENCE FULL,Now Lock,Now Guard,Now Force,Now Raze,Now Bolt,Now Active,Now React,Now Cover,Now Pulse,Now Sprint,Bio Az,Bio ND,Tec Catp Pro,Bio Elipso,Tec Bug,Solu Shield,Solu Strong,Solu Leaf,Bio Hidric,Bio Bokashi,Bio Oil,Carbon Pro,Essencial "&amp;"Mg,Expelir,Primafert,Reserva,Tec Catp Pro Kit On-farm,Tec Bug Kit On-farm,Solu Shield Kit On-farm,Solu Strong Kit On-farm,Solu Leaf Kit On-farm,Bio Hidric Kit On-farm,Bio Bokashi Kit On-farm,Tec White Kit On-farm,Bio Solubilize Kit On-farm,Bio Release Kit"&amp;" On-farm,Bio Raiz Plus Kit On-farm,Bio Balance Kit On-farm,SoluBio Raiz Performance Kit On-farm,Tec Isaria Kit On-farm"</formula1>
    </dataValidation>
    <dataValidation type="list" allowBlank="1" sqref="C26:C27 C45:C47 C82:C83">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type="custom" allowBlank="1" showDropDown="1" sqref="G10:L224 G237:L451">
      <formula1>AND(ISNUMBER(G10),(NOT(OR(NOT(ISERROR(DATEVALUE(G10))), AND(ISNUMBER(G10), LEFT(CELL("format", G10))="D")))))</formula1>
    </dataValidation>
    <dataValidation type="list" allowBlank="1" sqref="C28 C48 C103 C120 C135 C151">
      <formula1>"RUMBA,ASSIST,MEES,AUREO,JOINT ULTRA,ADGREEN,ENERGIC,EXTRAVON,OCHIMA"</formula1>
    </dataValidation>
    <dataValidation type="list" allowBlank="1" sqref="C67">
      <formula1>"ENDOFUSE,ENDOMAXX,RIZOLIQ LLI,PROVILAR,REVERB,ARVATICO,VERANGO PRIME,FIPRONIL NORTOX MAX,MAXIM ADVANCED,MAXIM XL,VICTRATO,SPECTRO,STANDAK TOP,CRUISER ADVANCED,PLUST,SOMBRERO,CROPSTAR,DERMACOR,OPTERASEED,AVICTA 500 FS,CRUISER 350 FS,FORTENZA 600 FS,ILEVO,P"&amp;"ERMIT STAR"</formula1>
    </dataValidation>
    <dataValidation type="list" allowBlank="1" sqref="C33 C52 C89 C105 C139 C156 C166 C173 C190 C202 C208 C245 C254 C260 C273 C279 C292 C298 C310 C316 C326 C332 C343 C349 C360 C366 C377 C383 C394 C400 C411 C417 C429 C435">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type="list" allowBlank="1" sqref="C17:C18">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formula1>
    </dataValidation>
    <dataValidation type="list" allowBlank="1" sqref="C29:C30 C49 C100:C102 C118:C119 C134">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type="list" allowBlank="1" sqref="C20:C24 C43 C62 C80 C247:C251 C270 C289 C307">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type="list" allowBlank="1" sqref="C11 C88 C138 C155 C172 C207 C244 C259 C278 C297 C315 C331 C348 C365 C382 C399 C416 C434">
      <formula1>"CALCÁRIO DOLOMITICO,GESSO AGRICOLA"</formula1>
    </dataValidation>
    <dataValidation type="list" allowBlank="1" sqref="C19">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formula1>
    </dataValidation>
    <dataValidation type="list" allowBlank="1" sqref="C64 C86 C136 C153 C170 C205 C242 C257 C272 C276 C291 C295 C309 C313 C325 C329 C342 C346 C359 C363 C376 C380 C393 C397 C410 C414 C432">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type="list" allowBlank="1" sqref="C31 C72">
      <formula1>"RADIFARM,MEGAFOL,OCTABORATO,BOP,METAL NUTRE,MONIC,AP MAGNÉSIO,GRANO KMG,AP MANGANÊS,AMINOS Mn,MICROBOX,ACRESECENT ALGA,RAIZ F,ACRESCENTE SOLUS F,SALUT,MATRIZ D,BRAVERO,Glyfort,Fergsum,Spander,Halattus,Sallvare Complex,Zinctaus Complex,Emezine Complex,Bora"&amp;"tus Complex,Magmill Complex,Brave K,Brave Max Up,MAX RAIZ,Polyamine,Sulfato de Magnésio,Map Purificado,MANGAN 10,NHT ZINCO,KELLUS CUPPER,MOLIBIDENIO 16,ZINCO 10,Potenza NiCoMo"</formula1>
    </dataValidation>
    <dataValidation type="list" allowBlank="1" sqref="C85 C167">
      <formula1>"RUMBA,ASSIST,MEES,AUREO EC,JOINT ULTRA,ENERGIC,EXTRAVON,OCHIMA,STRIDES"</formula1>
    </dataValidation>
    <dataValidation type="list" allowBlank="1" sqref="C84 C98 C104 C115 C117 C132:C133 C149:C150">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type="list" allowBlank="1" sqref="C69:C71">
      <formula1>"UTRISHA N,PRESENCE FULL,Now Lock,Now Guard,Now Force,Now Raze,Now Bolt,Now Active,Now React,Now Cover,Now Pulse,Now Sprint,Bio Az,Bio ND,Tec Catp Pro,Bio Elipso,Tec Bug,Solu Shield,Solu Strong,Solu Leaf,Bio Hidric,Bio Bokashi,Bio Oil,Carbon Pro,Essencial "&amp;"Mg,Expelir,Potenza NiCoMo,Primafert,Reserva,Tec White,Bio Solubilize,Bio Release,Bio Raiz Plus,Bio Balance,SoluBio Raiz Performance,Tec Isaria"</formula1>
    </dataValidation>
    <dataValidation type="list" allowBlank="1" showErrorMessage="1" sqref="B10:B224 B237:B451">
      <formula1>#REF!</formula1>
    </dataValidation>
    <dataValidation type="list" allowBlank="1" sqref="C65:C66 C168 C203 C240 C255 C274 C293 C311 C327 C344 C361 C378 C395 C412 C430">
      <formula1>"SOMBRERO,STANDAK TOP,CROPSTAR,DERMACOR,PERMIT STAR,PRESENCE FULL,PLUST,CRUISER 350 FS,CRUISER ADVANCED,FORTENZA 600 FS,MAXIM ADVANCED,MAXIM XL,SPECTRO,BIOZYME,NIMAXXA,VITAVAX-THIRAM 200 SC"</formula1>
    </dataValidation>
    <dataValidation type="list" allowBlank="1" sqref="C184:C189">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formula1>
    </dataValidation>
    <dataValidation type="list" allowBlank="1" sqref="C34 C53:C54 C59 C73 C90:C91 C96 C106:C107 C112 C123:C124 C129 C140:C141 C146 C157:C158 C163 C174:C175 C180 C191:C192 C197 C209:C210 C215 C246 C253 C261:C262 C267 C280:C281 C286 C299:C300 C317:C318 C323 C333:C334 C339 C350:C351 C356 C367:C368 C373 C384:C385 C390 C401:C402 C407 C418:C419 C424 C436:C437 C442">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display="ÁREA PLANTIO" location="'ÁREA PLANTIO'!A1" ref="F1"/>
    <hyperlink display="ÁREA PLANTIO" location="'ÁREA PLANTIO'!A1" ref="F227"/>
  </hyperlinks>
  <printOptions/>
  <pageMargins bottom="0.787401575" footer="0.0" header="0.0" left="0.511811024" right="0.511811024" top="0.787401575"/>
  <pageSetup orientation="landscape"/>
  <drawing r:id="rId1"/>
  <tableParts count="2">
    <tablePart r:id="rId4"/>
    <tablePart r:id="rId5"/>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13.88"/>
    <col customWidth="1" min="2" max="2" width="22.75"/>
    <col customWidth="1" min="3" max="3" width="33.63"/>
    <col customWidth="1" min="4" max="4" width="40.25"/>
    <col customWidth="1" min="5" max="5" width="20.13"/>
    <col customWidth="1" min="6" max="6" width="13.13"/>
    <col customWidth="1" min="7" max="7" width="13.75"/>
    <col customWidth="1" min="8" max="9" width="10.38"/>
    <col customWidth="1" min="10" max="10" width="14.0"/>
    <col customWidth="1" min="11" max="23" width="14.38"/>
  </cols>
  <sheetData>
    <row r="1" ht="15.75" customHeight="1">
      <c r="A1" s="260" t="s">
        <v>1203</v>
      </c>
      <c r="B1" s="261" t="str">
        <f>'ÁREA PLANTIO'!B14</f>
        <v>P 02</v>
      </c>
      <c r="C1" s="262" t="s">
        <v>1166</v>
      </c>
      <c r="D1" s="263">
        <f>$K$225</f>
        <v>1741.443405</v>
      </c>
      <c r="E1" s="264"/>
      <c r="F1" s="265" t="s">
        <v>1167</v>
      </c>
      <c r="G1" s="266"/>
      <c r="H1" s="267"/>
      <c r="I1" s="267"/>
      <c r="J1" s="267"/>
      <c r="K1" s="266"/>
      <c r="L1" s="220"/>
      <c r="M1" s="220"/>
      <c r="N1" s="220"/>
      <c r="O1" s="220"/>
      <c r="P1" s="220"/>
      <c r="Q1" s="220"/>
      <c r="R1" s="220"/>
      <c r="S1" s="220"/>
      <c r="T1" s="220"/>
      <c r="U1" s="220"/>
      <c r="V1" s="220"/>
      <c r="W1" s="220"/>
    </row>
    <row r="2" ht="15.75" customHeight="1">
      <c r="A2" s="260" t="s">
        <v>1168</v>
      </c>
      <c r="B2" s="268">
        <f>'ÁREA PLANTIO'!E14</f>
        <v>80</v>
      </c>
      <c r="C2" s="269" t="s">
        <v>1169</v>
      </c>
      <c r="D2" s="270">
        <f>'ÁREA PLANTIO'!D14</f>
        <v>65</v>
      </c>
      <c r="E2" s="264"/>
      <c r="F2" s="264"/>
      <c r="G2" s="266"/>
      <c r="H2" s="267"/>
      <c r="I2" s="267"/>
      <c r="J2" s="267"/>
      <c r="K2" s="266"/>
      <c r="L2" s="220"/>
      <c r="M2" s="220"/>
      <c r="N2" s="220"/>
      <c r="O2" s="220"/>
      <c r="P2" s="220"/>
      <c r="Q2" s="220"/>
      <c r="R2" s="220"/>
      <c r="S2" s="220"/>
      <c r="T2" s="220"/>
      <c r="U2" s="220"/>
      <c r="V2" s="220"/>
      <c r="W2" s="220"/>
    </row>
    <row r="3" ht="15.75" customHeight="1">
      <c r="A3" s="260" t="s">
        <v>1170</v>
      </c>
      <c r="B3" s="267" t="str">
        <f>'ÁREA PLANTIO'!C14</f>
        <v>FE-SOJA IRRIGADO-26/27</v>
      </c>
      <c r="C3" s="269" t="s">
        <v>1171</v>
      </c>
      <c r="D3" s="271">
        <f>D1/D2</f>
        <v>26.791437</v>
      </c>
      <c r="E3" s="264"/>
      <c r="F3" s="264"/>
      <c r="G3" s="266"/>
      <c r="H3" s="267"/>
      <c r="I3" s="267"/>
      <c r="J3" s="267"/>
      <c r="K3" s="266"/>
      <c r="L3" s="220"/>
      <c r="M3" s="220"/>
      <c r="N3" s="220"/>
      <c r="O3" s="220"/>
      <c r="P3" s="220"/>
      <c r="Q3" s="220"/>
      <c r="R3" s="220"/>
      <c r="S3" s="220"/>
      <c r="T3" s="220"/>
      <c r="U3" s="220"/>
      <c r="V3" s="220"/>
      <c r="W3" s="220"/>
    </row>
    <row r="4" ht="15.75" customHeight="1">
      <c r="A4" s="272" t="s">
        <v>1172</v>
      </c>
      <c r="B4" s="273">
        <v>45606.0</v>
      </c>
      <c r="C4" s="274"/>
      <c r="D4" s="275"/>
      <c r="E4" s="276"/>
      <c r="F4" s="264"/>
      <c r="G4" s="266"/>
      <c r="H4" s="267"/>
      <c r="I4" s="267"/>
      <c r="J4" s="267"/>
      <c r="K4" s="266"/>
      <c r="L4" s="220"/>
      <c r="M4" s="220"/>
      <c r="N4" s="220"/>
      <c r="O4" s="220"/>
      <c r="P4" s="220"/>
      <c r="Q4" s="220"/>
      <c r="R4" s="220"/>
      <c r="S4" s="220"/>
      <c r="T4" s="220"/>
      <c r="U4" s="220"/>
      <c r="V4" s="220"/>
      <c r="W4" s="220"/>
    </row>
    <row r="5" ht="15.75" customHeight="1">
      <c r="E5" s="277"/>
      <c r="F5" s="264"/>
      <c r="G5" s="266"/>
      <c r="H5" s="267"/>
      <c r="I5" s="267"/>
      <c r="J5" s="267"/>
      <c r="K5" s="266"/>
      <c r="L5" s="220"/>
      <c r="M5" s="220"/>
      <c r="N5" s="220"/>
      <c r="O5" s="220"/>
      <c r="P5" s="220"/>
      <c r="Q5" s="220"/>
      <c r="R5" s="220"/>
      <c r="S5" s="220"/>
      <c r="T5" s="220"/>
      <c r="U5" s="220"/>
      <c r="V5" s="220"/>
      <c r="W5" s="220"/>
    </row>
    <row r="6" ht="15.75" customHeight="1">
      <c r="A6" s="260"/>
      <c r="B6" s="267"/>
      <c r="C6" s="264"/>
      <c r="D6" s="264"/>
      <c r="E6" s="264"/>
      <c r="F6" s="264"/>
      <c r="G6" s="266"/>
      <c r="H6" s="267"/>
      <c r="I6" s="267"/>
      <c r="J6" s="267"/>
      <c r="K6" s="266"/>
      <c r="L6" s="220"/>
      <c r="M6" s="220"/>
      <c r="N6" s="220"/>
      <c r="O6" s="220"/>
      <c r="P6" s="220"/>
      <c r="Q6" s="220"/>
      <c r="R6" s="220"/>
      <c r="S6" s="220"/>
      <c r="T6" s="220"/>
      <c r="U6" s="220"/>
      <c r="V6" s="220"/>
      <c r="W6" s="220"/>
    </row>
    <row r="7" ht="15.75" customHeight="1">
      <c r="A7" s="267"/>
      <c r="B7" s="267"/>
      <c r="C7" s="264"/>
      <c r="D7" s="264"/>
      <c r="E7" s="264"/>
      <c r="F7" s="264"/>
      <c r="G7" s="266"/>
      <c r="H7" s="267"/>
      <c r="I7" s="267"/>
      <c r="J7" s="267"/>
      <c r="K7" s="266"/>
      <c r="L7" s="220"/>
      <c r="M7" s="220"/>
      <c r="N7" s="220"/>
      <c r="O7" s="220"/>
      <c r="P7" s="220"/>
      <c r="Q7" s="220"/>
      <c r="R7" s="220"/>
      <c r="S7" s="220"/>
      <c r="T7" s="220"/>
      <c r="U7" s="220"/>
      <c r="V7" s="220"/>
      <c r="W7" s="220"/>
    </row>
    <row r="8" ht="15.75" customHeight="1">
      <c r="A8" s="267"/>
      <c r="B8" s="267"/>
      <c r="C8" s="267"/>
      <c r="D8" s="267"/>
      <c r="E8" s="264"/>
      <c r="F8" s="264"/>
      <c r="G8" s="266"/>
      <c r="H8" s="267"/>
      <c r="I8" s="267"/>
      <c r="J8" s="267"/>
      <c r="K8" s="266"/>
      <c r="L8" s="220"/>
      <c r="M8" s="220"/>
      <c r="N8" s="220"/>
      <c r="O8" s="220"/>
      <c r="P8" s="220"/>
      <c r="Q8" s="220"/>
      <c r="R8" s="220"/>
      <c r="S8" s="220"/>
      <c r="T8" s="220"/>
      <c r="U8" s="220"/>
      <c r="V8" s="220"/>
      <c r="W8" s="220"/>
    </row>
    <row r="9" ht="15.75" customHeight="1">
      <c r="A9" s="211" t="s">
        <v>1173</v>
      </c>
      <c r="B9" s="213" t="s">
        <v>1174</v>
      </c>
      <c r="C9" s="213" t="s">
        <v>1175</v>
      </c>
      <c r="D9" s="211" t="s">
        <v>1176</v>
      </c>
      <c r="E9" s="211" t="s">
        <v>1177</v>
      </c>
      <c r="F9" s="211" t="s">
        <v>1178</v>
      </c>
      <c r="G9" s="278" t="s">
        <v>1179</v>
      </c>
      <c r="H9" s="278" t="s">
        <v>1180</v>
      </c>
      <c r="I9" s="278" t="s">
        <v>1181</v>
      </c>
      <c r="J9" s="279" t="s">
        <v>1134</v>
      </c>
      <c r="K9" s="280" t="s">
        <v>1182</v>
      </c>
      <c r="L9" s="281" t="s">
        <v>339</v>
      </c>
      <c r="M9" s="220"/>
      <c r="N9" s="220"/>
      <c r="O9" s="220"/>
      <c r="P9" s="220"/>
      <c r="Q9" s="220"/>
      <c r="R9" s="220"/>
      <c r="S9" s="220"/>
      <c r="T9" s="220"/>
      <c r="U9" s="220"/>
      <c r="V9" s="220"/>
      <c r="W9" s="220"/>
    </row>
    <row r="10" ht="15.75" customHeight="1">
      <c r="A10" s="231" t="s">
        <v>1183</v>
      </c>
      <c r="B10" s="230"/>
      <c r="C10" s="231"/>
      <c r="D10" s="232" t="s">
        <v>216</v>
      </c>
      <c r="E10" s="231"/>
      <c r="F10" s="231"/>
      <c r="G10" s="233"/>
      <c r="H10" s="282"/>
      <c r="I10" s="258"/>
      <c r="J10" s="236"/>
      <c r="K10" s="237">
        <f t="shared" ref="K10:L10" si="1">SUBTOTAL(9,K11:K24)</f>
        <v>0</v>
      </c>
      <c r="L10" s="237">
        <f t="shared" si="1"/>
        <v>0</v>
      </c>
      <c r="M10" s="220"/>
      <c r="N10" s="220"/>
      <c r="O10" s="220"/>
      <c r="P10" s="220"/>
      <c r="Q10" s="220"/>
      <c r="R10" s="220"/>
      <c r="S10" s="220"/>
      <c r="T10" s="220"/>
      <c r="U10" s="220"/>
      <c r="V10" s="220"/>
      <c r="W10" s="220"/>
    </row>
    <row r="11" outlineLevel="1">
      <c r="A11" s="213"/>
      <c r="B11" s="212" t="s">
        <v>8</v>
      </c>
      <c r="C11" s="213" t="s">
        <v>397</v>
      </c>
      <c r="D11" s="214" t="str">
        <f>IFERROR(VLOOKUP($C11,'PORTIFÓLIO'!C:V,2,0),"")</f>
        <v>CaO 38%  MgO 18%</v>
      </c>
      <c r="E11" s="211" t="str">
        <f>IFERROR(VLOOKUP($C11,'PORTIFÓLIO'!C:V,3,0),"")</f>
        <v/>
      </c>
      <c r="F11" s="211" t="str">
        <f>IFERROR(VLOOKUP($C11,'PORTIFÓLIO'!C:V,4,0),"")</f>
        <v>Ton</v>
      </c>
      <c r="G11" s="215" t="str">
        <f>IFERROR(VLOOKUP($C11,'PORTIFÓLIO'!C:V,5,0),"")</f>
        <v/>
      </c>
      <c r="H11" s="254" t="str">
        <f t="array" ref="H11">IFERROR(INDEX('PORTIFÓLIO'!$H$4:$H$433,MATCH($C11,'PORTIFÓLIO'!$C$4:$C$433,0)),"")</f>
        <v/>
      </c>
      <c r="I11" s="255">
        <v>3.0</v>
      </c>
      <c r="J11" s="218">
        <f t="shared" ref="J11:J24" si="2">I11*$B$2</f>
        <v>240</v>
      </c>
      <c r="K11" s="219">
        <f t="array" ref="K11">IFERROR(I11*INDEX('PORTIFÓLIO'!$S$4:$S$433,MATCH($C11,'PORTIFÓLIO'!$C$4:$C$433,0)),"")</f>
        <v>0</v>
      </c>
      <c r="L11" s="219">
        <f t="array" ref="L11">IFERROR(J11*INDEX('PORTIFÓLIO'!$S$4:$S$433,MATCH($C11,'PORTIFÓLIO'!$C$4:$C$433,0)),"")</f>
        <v>0</v>
      </c>
      <c r="M11" s="220"/>
      <c r="N11" s="220"/>
      <c r="O11" s="220"/>
      <c r="P11" s="220"/>
      <c r="Q11" s="220"/>
      <c r="R11" s="220"/>
      <c r="S11" s="220"/>
      <c r="T11" s="220"/>
      <c r="U11" s="220" t="str">
        <f>IFERROR(__xludf.DUMMYFUNCTION("FILTER('PORTIFÓLIO'!C:C, 'PORTIFÓLIO'!B:B=B11)"),"#REF!")</f>
        <v>#REF!</v>
      </c>
      <c r="V11" s="220"/>
      <c r="W11" s="220"/>
    </row>
    <row r="12" outlineLevel="1">
      <c r="A12" s="213"/>
      <c r="B12" s="212" t="s">
        <v>7</v>
      </c>
      <c r="C12" s="213" t="s">
        <v>413</v>
      </c>
      <c r="D12" s="214" t="str">
        <f>IFERROR(VLOOKUP($C12,'PORTIFÓLIO'!C:V,2,0),"")</f>
        <v>P 21%</v>
      </c>
      <c r="E12" s="211" t="str">
        <f>IFERROR(VLOOKUP($C12,'PORTIFÓLIO'!C:V,3,0),"")</f>
        <v/>
      </c>
      <c r="F12" s="211" t="str">
        <f>IFERROR(VLOOKUP($C12,'PORTIFÓLIO'!C:V,4,0),"")</f>
        <v>Ton</v>
      </c>
      <c r="G12" s="215" t="str">
        <f>IFERROR(VLOOKUP($C12,'PORTIFÓLIO'!C:V,5,0),"")</f>
        <v/>
      </c>
      <c r="H12" s="254" t="str">
        <f t="array" ref="H12">IFERROR(INDEX('PORTIFÓLIO'!$H$4:$H$433,MATCH($C12,'PORTIFÓLIO'!$C$4:$C$433,0)),"")</f>
        <v/>
      </c>
      <c r="I12" s="255">
        <v>0.2</v>
      </c>
      <c r="J12" s="218">
        <f t="shared" si="2"/>
        <v>16</v>
      </c>
      <c r="K12" s="219">
        <f t="array" ref="K12">IFERROR(I12*INDEX('PORTIFÓLIO'!$S$4:$S$433,MATCH($C12,'PORTIFÓLIO'!$C$4:$C$433,0)),"")</f>
        <v>0</v>
      </c>
      <c r="L12" s="219">
        <f t="array" ref="L12">IFERROR(J12*INDEX('PORTIFÓLIO'!$S$4:$S$433,MATCH($C12,'PORTIFÓLIO'!$C$4:$C$433,0)),"")</f>
        <v>0</v>
      </c>
      <c r="M12" s="220"/>
      <c r="N12" s="220"/>
      <c r="O12" s="220"/>
      <c r="P12" s="220"/>
      <c r="Q12" s="220"/>
      <c r="R12" s="220"/>
      <c r="S12" s="220"/>
      <c r="T12" s="220"/>
      <c r="U12" s="220" t="str">
        <f>IFERROR(__xludf.DUMMYFUNCTION("FILTER('PORTIFÓLIO'!C:C, 'PORTIFÓLIO'!B:B=B12)"),"#REF!")</f>
        <v>#REF!</v>
      </c>
      <c r="V12" s="220"/>
      <c r="W12" s="220"/>
    </row>
    <row r="13" outlineLevel="1">
      <c r="A13" s="213"/>
      <c r="B13" s="212" t="s">
        <v>7</v>
      </c>
      <c r="C13" s="213" t="s">
        <v>405</v>
      </c>
      <c r="D13" s="214" t="str">
        <f>IFERROR(VLOOKUP($C13,'PORTIFÓLIO'!C:V,2,0),"")</f>
        <v>K2O 60%</v>
      </c>
      <c r="E13" s="211" t="str">
        <f>IFERROR(VLOOKUP($C13,'PORTIFÓLIO'!C:V,3,0),"")</f>
        <v/>
      </c>
      <c r="F13" s="211" t="str">
        <f>IFERROR(VLOOKUP($C13,'PORTIFÓLIO'!C:V,4,0),"")</f>
        <v>Ton</v>
      </c>
      <c r="G13" s="215" t="str">
        <f>IFERROR(VLOOKUP($C13,'PORTIFÓLIO'!C:V,5,0),"")</f>
        <v/>
      </c>
      <c r="H13" s="254" t="str">
        <f t="array" ref="H13">IFERROR(INDEX('PORTIFÓLIO'!$H$4:$H$433,MATCH($C13,'PORTIFÓLIO'!$C$4:$C$433,0)),"")</f>
        <v/>
      </c>
      <c r="I13" s="255">
        <v>0.3</v>
      </c>
      <c r="J13" s="218">
        <f t="shared" si="2"/>
        <v>24</v>
      </c>
      <c r="K13" s="219">
        <f t="array" ref="K13">IFERROR(I13*INDEX('PORTIFÓLIO'!$S$4:$S$433,MATCH($C13,'PORTIFÓLIO'!$C$4:$C$433,0)),"")</f>
        <v>0</v>
      </c>
      <c r="L13" s="219">
        <f t="array" ref="L13">IFERROR(J13*INDEX('PORTIFÓLIO'!$S$4:$S$433,MATCH($C13,'PORTIFÓLIO'!$C$4:$C$433,0)),"")</f>
        <v>0</v>
      </c>
      <c r="M13" s="220"/>
      <c r="N13" s="220"/>
      <c r="O13" s="220"/>
      <c r="P13" s="220"/>
      <c r="Q13" s="220"/>
      <c r="R13" s="220"/>
      <c r="S13" s="220"/>
      <c r="T13" s="220"/>
      <c r="U13" s="220" t="str">
        <f>IFERROR(__xludf.DUMMYFUNCTION("FILTER('PORTIFÓLIO'!C:C, 'PORTIFÓLIO'!B:B=B13)"),"#REF!")</f>
        <v>#REF!</v>
      </c>
      <c r="V13" s="220"/>
      <c r="W13" s="220"/>
    </row>
    <row r="14" outlineLevel="1">
      <c r="A14" s="211"/>
      <c r="B14" s="212" t="s">
        <v>7</v>
      </c>
      <c r="C14" s="213" t="s">
        <v>429</v>
      </c>
      <c r="D14" s="214" t="str">
        <f>IFERROR(VLOOKUP($C14,'PORTIFÓLIO'!C:V,2,0),"")</f>
        <v>Cu 2% Mn 8% Zn 7% </v>
      </c>
      <c r="E14" s="211" t="str">
        <f>IFERROR(VLOOKUP($C14,'PORTIFÓLIO'!C:V,3,0),"")</f>
        <v/>
      </c>
      <c r="F14" s="211" t="str">
        <f>IFERROR(VLOOKUP($C14,'PORTIFÓLIO'!C:V,4,0),"")</f>
        <v>Ton</v>
      </c>
      <c r="G14" s="215" t="str">
        <f>IFERROR(VLOOKUP($C14,'PORTIFÓLIO'!C:V,5,0),"")</f>
        <v/>
      </c>
      <c r="H14" s="254" t="str">
        <f t="array" ref="H14">IFERROR(INDEX('PORTIFÓLIO'!$H$4:$H$433,MATCH($C14,'PORTIFÓLIO'!$C$4:$C$433,0)),"")</f>
        <v/>
      </c>
      <c r="I14" s="255">
        <v>0.05</v>
      </c>
      <c r="J14" s="218">
        <f t="shared" si="2"/>
        <v>4</v>
      </c>
      <c r="K14" s="219">
        <f t="array" ref="K14">IFERROR(I14*INDEX('PORTIFÓLIO'!$S$4:$S$433,MATCH($C14,'PORTIFÓLIO'!$C$4:$C$433,0)),"")</f>
        <v>0</v>
      </c>
      <c r="L14" s="219">
        <f t="array" ref="L14">IFERROR(J14*INDEX('PORTIFÓLIO'!$S$4:$S$433,MATCH($C14,'PORTIFÓLIO'!$C$4:$C$433,0)),"")</f>
        <v>0</v>
      </c>
      <c r="M14" s="220"/>
      <c r="N14" s="220"/>
      <c r="O14" s="220"/>
      <c r="P14" s="220"/>
      <c r="Q14" s="220"/>
      <c r="R14" s="220"/>
      <c r="S14" s="220"/>
      <c r="T14" s="220"/>
      <c r="U14" s="220" t="str">
        <f>IFERROR(__xludf.DUMMYFUNCTION("FILTER('PORTIFÓLIO'!C:C, 'PORTIFÓLIO'!B:B=B14)"),"#REF!")</f>
        <v>#REF!</v>
      </c>
      <c r="V14" s="220"/>
      <c r="W14" s="220"/>
    </row>
    <row r="15" outlineLevel="1">
      <c r="A15" s="211"/>
      <c r="B15" s="212"/>
      <c r="C15" s="213"/>
      <c r="D15" s="214" t="str">
        <f>IFERROR(VLOOKUP($C15,'PORTIFÓLIO'!C:V,2,0),"")</f>
        <v/>
      </c>
      <c r="E15" s="211" t="str">
        <f>IFERROR(VLOOKUP($C15,'PORTIFÓLIO'!C:V,3,0),"")</f>
        <v/>
      </c>
      <c r="F15" s="211" t="str">
        <f>IFERROR(VLOOKUP($C15,'PORTIFÓLIO'!C:V,4,0),"")</f>
        <v/>
      </c>
      <c r="G15" s="215" t="str">
        <f>IFERROR(VLOOKUP($C15,'PORTIFÓLIO'!C:V,5,0),"")</f>
        <v/>
      </c>
      <c r="H15" s="254" t="str">
        <f t="array" ref="H15">IFERROR(INDEX('PORTIFÓLIO'!$H$4:$H$433,MATCH($C15,'PORTIFÓLIO'!$C$4:$C$433,0)),"")</f>
        <v/>
      </c>
      <c r="I15" s="255"/>
      <c r="J15" s="218">
        <f t="shared" si="2"/>
        <v>0</v>
      </c>
      <c r="K15" s="219" t="str">
        <f t="array" ref="K15">IFERROR(I15*INDEX('PORTIFÓLIO'!$S$4:$S$433,MATCH($C15,'PORTIFÓLIO'!$C$4:$C$433,0)),"")</f>
        <v/>
      </c>
      <c r="L15" s="219" t="str">
        <f t="array" ref="L15">IFERROR(J15*INDEX('PORTIFÓLIO'!$S$4:$S$433,MATCH($C15,'PORTIFÓLIO'!$C$4:$C$433,0)),"")</f>
        <v/>
      </c>
      <c r="M15" s="220"/>
      <c r="N15" s="220"/>
      <c r="O15" s="220"/>
      <c r="P15" s="220"/>
      <c r="Q15" s="220"/>
      <c r="R15" s="220"/>
      <c r="S15" s="220"/>
      <c r="T15" s="220"/>
      <c r="U15" s="220" t="str">
        <f>IFERROR(__xludf.DUMMYFUNCTION("FILTER('PORTIFÓLIO'!C:C, 'PORTIFÓLIO'!B:B=B15)"),"#REF!")</f>
        <v>#REF!</v>
      </c>
      <c r="V15" s="220"/>
      <c r="W15" s="220"/>
    </row>
    <row r="16" outlineLevel="1">
      <c r="A16" s="211"/>
      <c r="B16" s="212"/>
      <c r="C16" s="213"/>
      <c r="D16" s="214" t="str">
        <f>IFERROR(VLOOKUP($C16,'PORTIFÓLIO'!C:V,2,0),"")</f>
        <v/>
      </c>
      <c r="E16" s="211" t="str">
        <f>IFERROR(VLOOKUP($C16,'PORTIFÓLIO'!C:V,3,0),"")</f>
        <v/>
      </c>
      <c r="F16" s="211" t="str">
        <f>IFERROR(VLOOKUP($C16,'PORTIFÓLIO'!C:V,4,0),"")</f>
        <v/>
      </c>
      <c r="G16" s="215" t="str">
        <f>IFERROR(VLOOKUP($C16,'PORTIFÓLIO'!C:V,5,0),"")</f>
        <v/>
      </c>
      <c r="H16" s="254" t="str">
        <f t="array" ref="H16">IFERROR(INDEX('PORTIFÓLIO'!$H$4:$H$433,MATCH($C16,'PORTIFÓLIO'!$C$4:$C$433,0)),"")</f>
        <v/>
      </c>
      <c r="I16" s="255"/>
      <c r="J16" s="218">
        <f t="shared" si="2"/>
        <v>0</v>
      </c>
      <c r="K16" s="219" t="str">
        <f t="array" ref="K16">IFERROR(I16*INDEX('PORTIFÓLIO'!$S$4:$S$433,MATCH($C16,'PORTIFÓLIO'!$C$4:$C$433,0)),"")</f>
        <v/>
      </c>
      <c r="L16" s="219" t="str">
        <f t="array" ref="L16">IFERROR(J16*INDEX('PORTIFÓLIO'!$S$4:$S$433,MATCH($C16,'PORTIFÓLIO'!$C$4:$C$433,0)),"")</f>
        <v/>
      </c>
      <c r="M16" s="220"/>
      <c r="N16" s="220"/>
      <c r="O16" s="220"/>
      <c r="P16" s="220"/>
      <c r="Q16" s="220"/>
      <c r="R16" s="220"/>
      <c r="S16" s="220"/>
      <c r="T16" s="220"/>
      <c r="U16" s="220" t="str">
        <f>IFERROR(__xludf.DUMMYFUNCTION("FILTER('PORTIFÓLIO'!C:C, 'PORTIFÓLIO'!B:B=B16)"),"#REF!")</f>
        <v>#REF!</v>
      </c>
      <c r="V16" s="220"/>
      <c r="W16" s="220"/>
    </row>
    <row r="17" outlineLevel="1">
      <c r="A17" s="211"/>
      <c r="B17" s="212"/>
      <c r="C17" s="213"/>
      <c r="D17" s="214" t="str">
        <f>IFERROR(VLOOKUP($C17,'PORTIFÓLIO'!C:V,2,0),"")</f>
        <v/>
      </c>
      <c r="E17" s="211" t="str">
        <f>IFERROR(VLOOKUP($C17,'PORTIFÓLIO'!C:V,3,0),"")</f>
        <v/>
      </c>
      <c r="F17" s="211" t="str">
        <f>IFERROR(VLOOKUP($C17,'PORTIFÓLIO'!C:V,4,0),"")</f>
        <v/>
      </c>
      <c r="G17" s="215" t="str">
        <f>IFERROR(VLOOKUP($C17,'PORTIFÓLIO'!C:V,5,0),"")</f>
        <v/>
      </c>
      <c r="H17" s="254" t="str">
        <f t="array" ref="H17">IFERROR(INDEX('PORTIFÓLIO'!$H$4:$H$433,MATCH($C17,'PORTIFÓLIO'!$C$4:$C$433,0)),"")</f>
        <v/>
      </c>
      <c r="I17" s="255"/>
      <c r="J17" s="218">
        <f t="shared" si="2"/>
        <v>0</v>
      </c>
      <c r="K17" s="219" t="str">
        <f t="array" ref="K17">IFERROR(I17*INDEX('PORTIFÓLIO'!$S$4:$S$433,MATCH($C17,'PORTIFÓLIO'!$C$4:$C$433,0)),"")</f>
        <v/>
      </c>
      <c r="L17" s="219" t="str">
        <f t="array" ref="L17">IFERROR(J17*INDEX('PORTIFÓLIO'!$S$4:$S$433,MATCH($C17,'PORTIFÓLIO'!$C$4:$C$433,0)),"")</f>
        <v/>
      </c>
      <c r="M17" s="220"/>
      <c r="N17" s="220"/>
      <c r="O17" s="220"/>
      <c r="P17" s="220"/>
      <c r="Q17" s="220"/>
      <c r="R17" s="220"/>
      <c r="S17" s="220"/>
      <c r="T17" s="220"/>
      <c r="U17" s="220" t="str">
        <f>IFERROR(__xludf.DUMMYFUNCTION("FILTER('PORTIFÓLIO'!C:C, 'PORTIFÓLIO'!B:B=B17)"),"#REF!")</f>
        <v>#REF!</v>
      </c>
      <c r="V17" s="220"/>
      <c r="W17" s="220"/>
    </row>
    <row r="18" outlineLevel="1">
      <c r="A18" s="211"/>
      <c r="B18" s="212"/>
      <c r="C18" s="213"/>
      <c r="D18" s="214" t="str">
        <f>IFERROR(VLOOKUP($C18,'PORTIFÓLIO'!C:V,2,0),"")</f>
        <v/>
      </c>
      <c r="E18" s="211" t="str">
        <f>IFERROR(VLOOKUP($C18,'PORTIFÓLIO'!C:V,3,0),"")</f>
        <v/>
      </c>
      <c r="F18" s="211" t="str">
        <f>IFERROR(VLOOKUP($C18,'PORTIFÓLIO'!C:V,4,0),"")</f>
        <v/>
      </c>
      <c r="G18" s="215" t="str">
        <f>IFERROR(VLOOKUP($C18,'PORTIFÓLIO'!C:V,5,0),"")</f>
        <v/>
      </c>
      <c r="H18" s="254" t="str">
        <f t="array" ref="H18">IFERROR(INDEX('PORTIFÓLIO'!$H$4:$H$433,MATCH($C18,'PORTIFÓLIO'!$C$4:$C$433,0)),"")</f>
        <v/>
      </c>
      <c r="I18" s="255"/>
      <c r="J18" s="218">
        <f t="shared" si="2"/>
        <v>0</v>
      </c>
      <c r="K18" s="219" t="str">
        <f t="array" ref="K18">IFERROR(I18*INDEX('PORTIFÓLIO'!$S$4:$S$433,MATCH($C18,'PORTIFÓLIO'!$C$4:$C$433,0)),"")</f>
        <v/>
      </c>
      <c r="L18" s="219" t="str">
        <f t="array" ref="L18">IFERROR(J18*INDEX('PORTIFÓLIO'!$S$4:$S$433,MATCH($C18,'PORTIFÓLIO'!$C$4:$C$433,0)),"")</f>
        <v/>
      </c>
      <c r="M18" s="220"/>
      <c r="N18" s="220"/>
      <c r="O18" s="220"/>
      <c r="P18" s="220"/>
      <c r="Q18" s="220"/>
      <c r="R18" s="220"/>
      <c r="S18" s="220"/>
      <c r="T18" s="220"/>
      <c r="U18" s="220" t="str">
        <f>IFERROR(__xludf.DUMMYFUNCTION("FILTER('PORTIFÓLIO'!C:C, 'PORTIFÓLIO'!B:B=B18)"),"#REF!")</f>
        <v>#REF!</v>
      </c>
      <c r="V18" s="220"/>
      <c r="W18" s="220"/>
    </row>
    <row r="19" outlineLevel="1">
      <c r="A19" s="211"/>
      <c r="B19" s="212"/>
      <c r="C19" s="213"/>
      <c r="D19" s="214" t="str">
        <f>IFERROR(VLOOKUP($C19,'PORTIFÓLIO'!C:V,2,0),"")</f>
        <v/>
      </c>
      <c r="E19" s="211" t="str">
        <f>IFERROR(VLOOKUP($C19,'PORTIFÓLIO'!C:V,3,0),"")</f>
        <v/>
      </c>
      <c r="F19" s="211" t="str">
        <f>IFERROR(VLOOKUP($C19,'PORTIFÓLIO'!C:V,4,0),"")</f>
        <v/>
      </c>
      <c r="G19" s="215" t="str">
        <f>IFERROR(VLOOKUP($C19,'PORTIFÓLIO'!C:V,5,0),"")</f>
        <v/>
      </c>
      <c r="H19" s="254" t="str">
        <f t="array" ref="H19">IFERROR(INDEX('PORTIFÓLIO'!$H$4:$H$433,MATCH($C19,'PORTIFÓLIO'!$C$4:$C$433,0)),"")</f>
        <v/>
      </c>
      <c r="I19" s="255"/>
      <c r="J19" s="218">
        <f t="shared" si="2"/>
        <v>0</v>
      </c>
      <c r="K19" s="219" t="str">
        <f t="array" ref="K19">IFERROR(I19*INDEX('PORTIFÓLIO'!$S$4:$S$433,MATCH($C19,'PORTIFÓLIO'!$C$4:$C$433,0)),"")</f>
        <v/>
      </c>
      <c r="L19" s="219" t="str">
        <f t="array" ref="L19">IFERROR(J19*INDEX('PORTIFÓLIO'!$S$4:$S$433,MATCH($C19,'PORTIFÓLIO'!$C$4:$C$433,0)),"")</f>
        <v/>
      </c>
      <c r="M19" s="220"/>
      <c r="N19" s="220"/>
      <c r="O19" s="220"/>
      <c r="P19" s="220"/>
      <c r="Q19" s="220"/>
      <c r="R19" s="220"/>
      <c r="S19" s="220"/>
      <c r="T19" s="220"/>
      <c r="U19" s="220" t="str">
        <f>IFERROR(__xludf.DUMMYFUNCTION("FILTER('PORTIFÓLIO'!C:C, 'PORTIFÓLIO'!B:B=B19)"),"")</f>
        <v/>
      </c>
      <c r="V19" s="220"/>
      <c r="W19" s="220"/>
    </row>
    <row r="20" outlineLevel="1">
      <c r="A20" s="211"/>
      <c r="B20" s="212"/>
      <c r="C20" s="213"/>
      <c r="D20" s="214" t="str">
        <f>IFERROR(VLOOKUP($C20,'PORTIFÓLIO'!C:V,2,0),"")</f>
        <v/>
      </c>
      <c r="E20" s="211" t="str">
        <f>IFERROR(VLOOKUP($C20,'PORTIFÓLIO'!C:V,3,0),"")</f>
        <v/>
      </c>
      <c r="F20" s="211" t="str">
        <f>IFERROR(VLOOKUP($C20,'PORTIFÓLIO'!C:V,4,0),"")</f>
        <v/>
      </c>
      <c r="G20" s="215" t="str">
        <f>IFERROR(VLOOKUP($C20,'PORTIFÓLIO'!C:V,5,0),"")</f>
        <v/>
      </c>
      <c r="H20" s="254" t="str">
        <f t="array" ref="H20">IFERROR(INDEX('PORTIFÓLIO'!$H$4:$H$433,MATCH($C20,'PORTIFÓLIO'!$C$4:$C$433,0)),"")</f>
        <v/>
      </c>
      <c r="I20" s="255"/>
      <c r="J20" s="218">
        <f t="shared" si="2"/>
        <v>0</v>
      </c>
      <c r="K20" s="219" t="str">
        <f t="array" ref="K20">IFERROR(I20*INDEX('PORTIFÓLIO'!$S$4:$S$433,MATCH($C20,'PORTIFÓLIO'!$C$4:$C$433,0)),"")</f>
        <v/>
      </c>
      <c r="L20" s="219" t="str">
        <f t="array" ref="L20">IFERROR(J20*INDEX('PORTIFÓLIO'!$S$4:$S$433,MATCH($C20,'PORTIFÓLIO'!$C$4:$C$433,0)),"")</f>
        <v/>
      </c>
      <c r="M20" s="220"/>
      <c r="N20" s="220"/>
      <c r="O20" s="220"/>
      <c r="P20" s="220"/>
      <c r="Q20" s="220"/>
      <c r="R20" s="220"/>
      <c r="S20" s="220"/>
      <c r="T20" s="220"/>
      <c r="U20" s="220"/>
      <c r="V20" s="220"/>
      <c r="W20" s="220"/>
    </row>
    <row r="21" ht="15.75" customHeight="1" outlineLevel="1">
      <c r="A21" s="211"/>
      <c r="B21" s="212"/>
      <c r="C21" s="213"/>
      <c r="D21" s="214" t="str">
        <f>IFERROR(VLOOKUP($C21,'PORTIFÓLIO'!C:V,2,0),"")</f>
        <v/>
      </c>
      <c r="E21" s="211" t="str">
        <f>IFERROR(VLOOKUP($C21,'PORTIFÓLIO'!C:V,3,0),"")</f>
        <v/>
      </c>
      <c r="F21" s="211" t="str">
        <f>IFERROR(VLOOKUP($C21,'PORTIFÓLIO'!C:V,4,0),"")</f>
        <v/>
      </c>
      <c r="G21" s="215" t="str">
        <f>IFERROR(VLOOKUP($C21,'PORTIFÓLIO'!C:V,5,0),"")</f>
        <v/>
      </c>
      <c r="H21" s="254" t="str">
        <f t="array" ref="H21">IFERROR(INDEX('PORTIFÓLIO'!$H$4:$H$433,MATCH($C21,'PORTIFÓLIO'!$C$4:$C$433,0)),"")</f>
        <v/>
      </c>
      <c r="I21" s="255"/>
      <c r="J21" s="218">
        <f t="shared" si="2"/>
        <v>0</v>
      </c>
      <c r="K21" s="219" t="str">
        <f t="array" ref="K21">IFERROR(I21*INDEX('PORTIFÓLIO'!$S$4:$S$433,MATCH($C21,'PORTIFÓLIO'!$C$4:$C$433,0)),"")</f>
        <v/>
      </c>
      <c r="L21" s="219" t="str">
        <f t="array" ref="L21">IFERROR(J21*INDEX('PORTIFÓLIO'!$S$4:$S$433,MATCH($C21,'PORTIFÓLIO'!$C$4:$C$433,0)),"")</f>
        <v/>
      </c>
      <c r="M21" s="220"/>
      <c r="N21" s="220"/>
      <c r="O21" s="220"/>
      <c r="P21" s="220"/>
      <c r="Q21" s="220"/>
      <c r="R21" s="220"/>
      <c r="S21" s="220"/>
      <c r="T21" s="220"/>
      <c r="U21" s="220"/>
      <c r="V21" s="220"/>
      <c r="W21" s="220"/>
    </row>
    <row r="22" ht="15.75" customHeight="1" outlineLevel="1">
      <c r="A22" s="211"/>
      <c r="B22" s="212"/>
      <c r="C22" s="213"/>
      <c r="D22" s="214" t="str">
        <f>IFERROR(VLOOKUP($C22,'PORTIFÓLIO'!C:V,2,0),"")</f>
        <v/>
      </c>
      <c r="E22" s="211" t="str">
        <f>IFERROR(VLOOKUP($C22,'PORTIFÓLIO'!C:V,3,0),"")</f>
        <v/>
      </c>
      <c r="F22" s="211" t="str">
        <f>IFERROR(VLOOKUP($C22,'PORTIFÓLIO'!C:V,4,0),"")</f>
        <v/>
      </c>
      <c r="G22" s="215" t="str">
        <f>IFERROR(VLOOKUP($C22,'PORTIFÓLIO'!C:V,5,0),"")</f>
        <v/>
      </c>
      <c r="H22" s="254" t="str">
        <f t="array" ref="H22">IFERROR(INDEX('PORTIFÓLIO'!$H$4:$H$433,MATCH($C22,'PORTIFÓLIO'!$C$4:$C$433,0)),"")</f>
        <v/>
      </c>
      <c r="I22" s="255"/>
      <c r="J22" s="218">
        <f t="shared" si="2"/>
        <v>0</v>
      </c>
      <c r="K22" s="219" t="str">
        <f t="array" ref="K22">IFERROR(I22*INDEX('PORTIFÓLIO'!$S$4:$S$433,MATCH($C22,'PORTIFÓLIO'!$C$4:$C$433,0)),"")</f>
        <v/>
      </c>
      <c r="L22" s="219" t="str">
        <f t="array" ref="L22">IFERROR(J22*INDEX('PORTIFÓLIO'!$S$4:$S$433,MATCH($C22,'PORTIFÓLIO'!$C$4:$C$433,0)),"")</f>
        <v/>
      </c>
      <c r="M22" s="220"/>
      <c r="N22" s="220"/>
      <c r="O22" s="220"/>
      <c r="P22" s="220"/>
      <c r="Q22" s="220"/>
      <c r="R22" s="220"/>
      <c r="S22" s="220"/>
      <c r="T22" s="220"/>
      <c r="U22" s="220"/>
      <c r="V22" s="220"/>
      <c r="W22" s="220"/>
    </row>
    <row r="23" ht="15.75" customHeight="1" outlineLevel="1">
      <c r="A23" s="211"/>
      <c r="B23" s="212"/>
      <c r="C23" s="213"/>
      <c r="D23" s="214" t="str">
        <f>IFERROR(VLOOKUP($C23,'PORTIFÓLIO'!C:V,2,0),"")</f>
        <v/>
      </c>
      <c r="E23" s="211" t="str">
        <f>IFERROR(VLOOKUP($C23,'PORTIFÓLIO'!C:V,3,0),"")</f>
        <v/>
      </c>
      <c r="F23" s="211" t="str">
        <f>IFERROR(VLOOKUP($C23,'PORTIFÓLIO'!C:V,4,0),"")</f>
        <v/>
      </c>
      <c r="G23" s="215" t="str">
        <f>IFERROR(VLOOKUP($C23,'PORTIFÓLIO'!C:V,5,0),"")</f>
        <v/>
      </c>
      <c r="H23" s="254" t="str">
        <f t="array" ref="H23">IFERROR(INDEX('PORTIFÓLIO'!$H$4:$H$433,MATCH($C23,'PORTIFÓLIO'!$C$4:$C$433,0)),"")</f>
        <v/>
      </c>
      <c r="I23" s="255"/>
      <c r="J23" s="218">
        <f t="shared" si="2"/>
        <v>0</v>
      </c>
      <c r="K23" s="219" t="str">
        <f t="array" ref="K23">IFERROR(I23*INDEX('PORTIFÓLIO'!$S$4:$S$433,MATCH($C23,'PORTIFÓLIO'!$C$4:$C$433,0)),"")</f>
        <v/>
      </c>
      <c r="L23" s="219" t="str">
        <f t="array" ref="L23">IFERROR(J23*INDEX('PORTIFÓLIO'!$S$4:$S$433,MATCH($C23,'PORTIFÓLIO'!$C$4:$C$433,0)),"")</f>
        <v/>
      </c>
      <c r="M23" s="220"/>
      <c r="N23" s="220"/>
      <c r="O23" s="220"/>
      <c r="P23" s="220"/>
      <c r="Q23" s="220"/>
      <c r="R23" s="220"/>
      <c r="S23" s="220"/>
      <c r="T23" s="220"/>
      <c r="U23" s="220"/>
      <c r="V23" s="220"/>
      <c r="W23" s="220"/>
    </row>
    <row r="24" ht="15.75" customHeight="1" outlineLevel="1">
      <c r="A24" s="211"/>
      <c r="B24" s="212"/>
      <c r="C24" s="213"/>
      <c r="D24" s="214" t="str">
        <f>IFERROR(VLOOKUP($C24,'PORTIFÓLIO'!C:V,2,0),"")</f>
        <v/>
      </c>
      <c r="E24" s="211" t="str">
        <f>IFERROR(VLOOKUP($C24,'PORTIFÓLIO'!C:V,3,0),"")</f>
        <v/>
      </c>
      <c r="F24" s="211" t="str">
        <f>IFERROR(VLOOKUP($C24,'PORTIFÓLIO'!C:V,4,0),"")</f>
        <v/>
      </c>
      <c r="G24" s="215" t="str">
        <f>IFERROR(VLOOKUP($C24,'PORTIFÓLIO'!C:V,5,0),"")</f>
        <v/>
      </c>
      <c r="H24" s="254" t="str">
        <f t="array" ref="H24">IFERROR(INDEX('PORTIFÓLIO'!$H$4:$H$433,MATCH($C24,'PORTIFÓLIO'!$C$4:$C$433,0)),"")</f>
        <v/>
      </c>
      <c r="I24" s="255"/>
      <c r="J24" s="218">
        <f t="shared" si="2"/>
        <v>0</v>
      </c>
      <c r="K24" s="219" t="str">
        <f t="array" ref="K24">IFERROR(I24*INDEX('PORTIFÓLIO'!$S$4:$S$433,MATCH($C24,'PORTIFÓLIO'!$C$4:$C$433,0)),"")</f>
        <v/>
      </c>
      <c r="L24" s="219" t="str">
        <f t="array" ref="L24">IFERROR(J24*INDEX('PORTIFÓLIO'!$S$4:$S$433,MATCH($C24,'PORTIFÓLIO'!$C$4:$C$433,0)),"")</f>
        <v/>
      </c>
      <c r="M24" s="220"/>
      <c r="N24" s="220"/>
      <c r="O24" s="220"/>
      <c r="P24" s="220"/>
      <c r="Q24" s="220"/>
      <c r="R24" s="220"/>
      <c r="S24" s="220"/>
      <c r="T24" s="220"/>
      <c r="U24" s="220"/>
      <c r="V24" s="220"/>
      <c r="W24" s="220"/>
    </row>
    <row r="25" ht="15.75" customHeight="1">
      <c r="A25" s="229" t="s">
        <v>1184</v>
      </c>
      <c r="B25" s="230"/>
      <c r="C25" s="231"/>
      <c r="D25" s="232"/>
      <c r="E25" s="231"/>
      <c r="F25" s="231"/>
      <c r="G25" s="233"/>
      <c r="H25" s="233"/>
      <c r="I25" s="258"/>
      <c r="J25" s="236"/>
      <c r="K25" s="237">
        <f t="shared" ref="K25:L25" si="3">SUBTOTAL(9,K26:K39)</f>
        <v>178.4188912</v>
      </c>
      <c r="L25" s="237">
        <f t="shared" si="3"/>
        <v>14273.5113</v>
      </c>
      <c r="M25" s="220"/>
      <c r="N25" s="220"/>
      <c r="O25" s="220"/>
      <c r="P25" s="220"/>
      <c r="Q25" s="220"/>
      <c r="R25" s="220"/>
      <c r="S25" s="220"/>
      <c r="T25" s="220"/>
      <c r="U25" s="220"/>
      <c r="V25" s="220"/>
      <c r="W25" s="220"/>
    </row>
    <row r="26" ht="15.75" customHeight="1" outlineLevel="1">
      <c r="A26" s="213"/>
      <c r="B26" s="212" t="s">
        <v>1</v>
      </c>
      <c r="C26" s="213" t="s">
        <v>637</v>
      </c>
      <c r="D26" s="214" t="str">
        <f>IFERROR(VLOOKUP($C26,'PORTIFÓLIO'!C:V,2,0),"")</f>
        <v>GLIFOSATO-SAL DE AMÔNIO</v>
      </c>
      <c r="E26" s="211">
        <f>IFERROR(VLOOKUP($C26,'PORTIFÓLIO'!C:V,3,0),"")</f>
        <v>720</v>
      </c>
      <c r="F26" s="211" t="str">
        <f>IFERROR(VLOOKUP($C26,'PORTIFÓLIO'!C:V,4,0),"")</f>
        <v>L</v>
      </c>
      <c r="G26" s="225" t="str">
        <f>IFERROR(VLOOKUP($C26,'PORTIFÓLIO'!C:V,5,0),"")</f>
        <v>📄 Ver bula</v>
      </c>
      <c r="H26" s="254">
        <f t="array" ref="H26">IFERROR(INDEX('PORTIFÓLIO'!$H$4:$H$433,MATCH($C26,'PORTIFÓLIO'!$C$4:$C$433,0)),"")</f>
        <v>2</v>
      </c>
      <c r="I26" s="255">
        <v>2.0</v>
      </c>
      <c r="J26" s="218">
        <f t="shared" ref="J26:J43" si="4">I26*$B$2</f>
        <v>160</v>
      </c>
      <c r="K26" s="219">
        <f t="array" ref="K26">IFERROR(I26*INDEX('PORTIFÓLIO'!$S$4:$S$433,MATCH($C26,'PORTIFÓLIO'!$C$4:$C$433,0)),"")</f>
        <v>49.16</v>
      </c>
      <c r="L26" s="219">
        <f t="array" ref="L26">IFERROR(J26*INDEX('PORTIFÓLIO'!$S$4:$S$433,MATCH($C26,'PORTIFÓLIO'!$C$4:$C$433,0)),"")</f>
        <v>3932.8</v>
      </c>
      <c r="M26" s="220"/>
      <c r="N26" s="220"/>
      <c r="O26" s="220"/>
      <c r="P26" s="220"/>
      <c r="Q26" s="220"/>
      <c r="R26" s="220"/>
      <c r="S26" s="220"/>
      <c r="T26" s="220"/>
      <c r="U26" s="220"/>
      <c r="V26" s="220"/>
      <c r="W26" s="220"/>
    </row>
    <row r="27" ht="15.75" customHeight="1" outlineLevel="1">
      <c r="A27" s="211"/>
      <c r="B27" s="212" t="s">
        <v>1</v>
      </c>
      <c r="C27" s="213" t="s">
        <v>610</v>
      </c>
      <c r="D27" s="214" t="str">
        <f>IFERROR(VLOOKUP($C27,'PORTIFÓLIO'!C:V,2,0),"")</f>
        <v>CLETODIM + FLUROXIPIR-MEPTÍLICO</v>
      </c>
      <c r="E27" s="211" t="str">
        <f>IFERROR(VLOOKUP($C27,'PORTIFÓLIO'!C:V,3,0),"")</f>
        <v>140 + 288</v>
      </c>
      <c r="F27" s="211" t="str">
        <f>IFERROR(VLOOKUP($C27,'PORTIFÓLIO'!C:V,4,0),"")</f>
        <v>L</v>
      </c>
      <c r="G27" s="225" t="str">
        <f>IFERROR(VLOOKUP($C27,'PORTIFÓLIO'!C:V,5,0),"")</f>
        <v>📄 Ver bula</v>
      </c>
      <c r="H27" s="254">
        <f t="array" ref="H27">IFERROR(INDEX('PORTIFÓLIO'!$H$4:$H$433,MATCH($C27,'PORTIFÓLIO'!$C$4:$C$433,0)),"")</f>
        <v>1</v>
      </c>
      <c r="I27" s="255">
        <v>1.0</v>
      </c>
      <c r="J27" s="218">
        <f t="shared" si="4"/>
        <v>80</v>
      </c>
      <c r="K27" s="219">
        <f t="array" ref="K27">IFERROR(I27*INDEX('PORTIFÓLIO'!$S$4:$S$433,MATCH($C27,'PORTIFÓLIO'!$C$4:$C$433,0)),"")</f>
        <v>60.04894</v>
      </c>
      <c r="L27" s="219">
        <f t="array" ref="L27">IFERROR(J27*INDEX('PORTIFÓLIO'!$S$4:$S$433,MATCH($C27,'PORTIFÓLIO'!$C$4:$C$433,0)),"")</f>
        <v>4803.9152</v>
      </c>
      <c r="M27" s="220"/>
      <c r="N27" s="220"/>
      <c r="O27" s="220"/>
      <c r="P27" s="220"/>
      <c r="Q27" s="220"/>
      <c r="R27" s="220"/>
      <c r="S27" s="220"/>
      <c r="T27" s="220"/>
      <c r="U27" s="220"/>
      <c r="V27" s="220"/>
      <c r="W27" s="220"/>
    </row>
    <row r="28" ht="15.75" customHeight="1" outlineLevel="1">
      <c r="A28" s="211"/>
      <c r="B28" s="212" t="s">
        <v>6</v>
      </c>
      <c r="C28" s="213" t="s">
        <v>354</v>
      </c>
      <c r="D28" s="214" t="str">
        <f>IFERROR(VLOOKUP($C28,'PORTIFÓLIO'!C:V,2,0),"")</f>
        <v>OLEO MINERAL</v>
      </c>
      <c r="E28" s="211">
        <f>IFERROR(VLOOKUP($C28,'PORTIFÓLIO'!C:V,3,0),"")</f>
        <v>761</v>
      </c>
      <c r="F28" s="211" t="str">
        <f>IFERROR(VLOOKUP($C28,'PORTIFÓLIO'!C:V,4,0),"")</f>
        <v>L</v>
      </c>
      <c r="G28" s="225" t="str">
        <f>IFERROR(VLOOKUP($C28,'PORTIFÓLIO'!C:V,5,0),"")</f>
        <v>📄 Ver bula</v>
      </c>
      <c r="H28" s="254">
        <f t="array" ref="H28">IFERROR(INDEX('PORTIFÓLIO'!$H$4:$H$433,MATCH($C28,'PORTIFÓLIO'!$C$4:$C$433,0)),"")</f>
        <v>0.2</v>
      </c>
      <c r="I28" s="255">
        <v>0.2</v>
      </c>
      <c r="J28" s="218">
        <f t="shared" si="4"/>
        <v>16</v>
      </c>
      <c r="K28" s="219">
        <f t="array" ref="K28">IFERROR(I28*INDEX('PORTIFÓLIO'!$S$4:$S$433,MATCH($C28,'PORTIFÓLIO'!$C$4:$C$433,0)),"")</f>
        <v>3.206</v>
      </c>
      <c r="L28" s="219">
        <f t="array" ref="L28">IFERROR(J28*INDEX('PORTIFÓLIO'!$S$4:$S$433,MATCH($C28,'PORTIFÓLIO'!$C$4:$C$433,0)),"")</f>
        <v>256.48</v>
      </c>
      <c r="M28" s="220"/>
      <c r="N28" s="220"/>
      <c r="O28" s="220"/>
      <c r="P28" s="220"/>
      <c r="Q28" s="220"/>
      <c r="R28" s="220"/>
      <c r="S28" s="220"/>
      <c r="T28" s="220"/>
      <c r="U28" s="220"/>
      <c r="V28" s="220"/>
      <c r="W28" s="220"/>
    </row>
    <row r="29" ht="15.75" customHeight="1" outlineLevel="1">
      <c r="A29" s="211"/>
      <c r="B29" s="212" t="s">
        <v>2</v>
      </c>
      <c r="C29" s="213" t="s">
        <v>824</v>
      </c>
      <c r="D29" s="214" t="str">
        <f>IFERROR(VLOOKUP($C29,'PORTIFÓLIO'!C:V,2,0),"")</f>
        <v>CLORANTRANILIPROLE</v>
      </c>
      <c r="E29" s="211">
        <f>IFERROR(VLOOKUP($C29,'PORTIFÓLIO'!C:V,3,0),"")</f>
        <v>200</v>
      </c>
      <c r="F29" s="211" t="str">
        <f>IFERROR(VLOOKUP($C29,'PORTIFÓLIO'!C:V,4,0),"")</f>
        <v>L</v>
      </c>
      <c r="G29" s="225" t="str">
        <f>IFERROR(VLOOKUP($C29,'PORTIFÓLIO'!C:V,5,0),"")</f>
        <v>📄 Ver bula</v>
      </c>
      <c r="H29" s="254">
        <f t="array" ref="H29">IFERROR(INDEX('PORTIFÓLIO'!$H$4:$H$433,MATCH($C29,'PORTIFÓLIO'!$C$4:$C$433,0)),"")</f>
        <v>0.1</v>
      </c>
      <c r="I29" s="255">
        <v>0.04</v>
      </c>
      <c r="J29" s="218">
        <f t="shared" si="4"/>
        <v>3.2</v>
      </c>
      <c r="K29" s="219">
        <f t="array" ref="K29">IFERROR(I29*INDEX('PORTIFÓLIO'!$S$4:$S$433,MATCH($C29,'PORTIFÓLIO'!$C$4:$C$433,0)),"")</f>
        <v>11.31855</v>
      </c>
      <c r="L29" s="219">
        <f t="array" ref="L29">IFERROR(J29*INDEX('PORTIFÓLIO'!$S$4:$S$433,MATCH($C29,'PORTIFÓLIO'!$C$4:$C$433,0)),"")</f>
        <v>905.484</v>
      </c>
      <c r="M29" s="220"/>
      <c r="N29" s="220"/>
      <c r="O29" s="220"/>
      <c r="P29" s="220"/>
      <c r="Q29" s="220"/>
      <c r="R29" s="220"/>
      <c r="S29" s="220"/>
      <c r="T29" s="220"/>
      <c r="U29" s="220"/>
      <c r="V29" s="220"/>
      <c r="W29" s="220"/>
    </row>
    <row r="30" ht="15.75" customHeight="1" outlineLevel="1">
      <c r="A30" s="211"/>
      <c r="B30" s="212" t="s">
        <v>2</v>
      </c>
      <c r="C30" s="213" t="s">
        <v>788</v>
      </c>
      <c r="D30" s="214" t="str">
        <f>IFERROR(VLOOKUP($C30,'PORTIFÓLIO'!C:V,2,0),"")</f>
        <v>FIPRONIL</v>
      </c>
      <c r="E30" s="211">
        <f>IFERROR(VLOOKUP($C30,'PORTIFÓLIO'!C:V,3,0),"")</f>
        <v>800</v>
      </c>
      <c r="F30" s="211" t="str">
        <f>IFERROR(VLOOKUP($C30,'PORTIFÓLIO'!C:V,4,0),"")</f>
        <v>L</v>
      </c>
      <c r="G30" s="225" t="str">
        <f>IFERROR(VLOOKUP($C30,'PORTIFÓLIO'!C:V,5,0),"")</f>
        <v>📄 Ver bula</v>
      </c>
      <c r="H30" s="254">
        <f t="array" ref="H30">IFERROR(INDEX('PORTIFÓLIO'!$H$4:$H$433,MATCH($C30,'PORTIFÓLIO'!$C$4:$C$433,0)),"")</f>
        <v>0.04</v>
      </c>
      <c r="I30" s="255">
        <v>0.04</v>
      </c>
      <c r="J30" s="218">
        <f t="shared" si="4"/>
        <v>3.2</v>
      </c>
      <c r="K30" s="219">
        <f t="array" ref="K30">IFERROR(I30*INDEX('PORTIFÓLIO'!$S$4:$S$433,MATCH($C30,'PORTIFÓLIO'!$C$4:$C$433,0)),"")</f>
        <v>9.9054012</v>
      </c>
      <c r="L30" s="219">
        <f t="array" ref="L30">IFERROR(J30*INDEX('PORTIFÓLIO'!$S$4:$S$433,MATCH($C30,'PORTIFÓLIO'!$C$4:$C$433,0)),"")</f>
        <v>792.432096</v>
      </c>
      <c r="M30" s="220"/>
      <c r="N30" s="220"/>
      <c r="O30" s="220"/>
      <c r="P30" s="220"/>
      <c r="Q30" s="220"/>
      <c r="R30" s="220"/>
      <c r="S30" s="220"/>
      <c r="T30" s="220"/>
      <c r="U30" s="220"/>
      <c r="V30" s="220"/>
      <c r="W30" s="220"/>
    </row>
    <row r="31" ht="15.75" customHeight="1" outlineLevel="1">
      <c r="A31" s="211"/>
      <c r="B31" s="212" t="s">
        <v>9</v>
      </c>
      <c r="C31" s="213" t="s">
        <v>933</v>
      </c>
      <c r="D31" s="214" t="str">
        <f>IFERROR(VLOOKUP($C31,'PORTIFÓLIO'!C:V,2,0),"")</f>
        <v>N1%;B9,5%</v>
      </c>
      <c r="E31" s="211" t="str">
        <f>IFERROR(VLOOKUP($C31,'PORTIFÓLIO'!C:V,3,0),"")</f>
        <v>13,8g/l + 131,1g/l</v>
      </c>
      <c r="F31" s="211" t="str">
        <f>IFERROR(VLOOKUP($C31,'PORTIFÓLIO'!C:V,4,0),"")</f>
        <v>L</v>
      </c>
      <c r="G31" s="215" t="str">
        <f>IFERROR(VLOOKUP($C31,'PORTIFÓLIO'!C:V,5,0),"")</f>
        <v/>
      </c>
      <c r="H31" s="254">
        <f t="array" ref="H31">IFERROR(INDEX('PORTIFÓLIO'!$H$4:$H$433,MATCH($C31,'PORTIFÓLIO'!$C$4:$C$433,0)),"")</f>
        <v>2</v>
      </c>
      <c r="I31" s="255">
        <v>1.0</v>
      </c>
      <c r="J31" s="218">
        <f t="shared" si="4"/>
        <v>80</v>
      </c>
      <c r="K31" s="219">
        <f t="array" ref="K31">IFERROR(I31*INDEX('PORTIFÓLIO'!$S$4:$S$433,MATCH($C31,'PORTIFÓLIO'!$C$4:$C$433,0)),"")</f>
        <v>44.78</v>
      </c>
      <c r="L31" s="219">
        <f t="array" ref="L31">IFERROR(J31*INDEX('PORTIFÓLIO'!$S$4:$S$433,MATCH($C31,'PORTIFÓLIO'!$C$4:$C$433,0)),"")</f>
        <v>3582.4</v>
      </c>
      <c r="M31" s="220"/>
      <c r="N31" s="220"/>
      <c r="O31" s="220"/>
      <c r="P31" s="220"/>
      <c r="Q31" s="220"/>
      <c r="R31" s="220"/>
      <c r="S31" s="220"/>
      <c r="T31" s="220"/>
      <c r="U31" s="220"/>
      <c r="V31" s="220"/>
      <c r="W31" s="220"/>
    </row>
    <row r="32" ht="15.75" customHeight="1" outlineLevel="1">
      <c r="A32" s="211"/>
      <c r="B32" s="212"/>
      <c r="C32" s="213"/>
      <c r="D32" s="214" t="str">
        <f>IFERROR(VLOOKUP($C32,'PORTIFÓLIO'!C:V,2,0),"")</f>
        <v/>
      </c>
      <c r="E32" s="211" t="str">
        <f>IFERROR(VLOOKUP($C32,'PORTIFÓLIO'!C:V,3,0),"")</f>
        <v/>
      </c>
      <c r="F32" s="211" t="str">
        <f>IFERROR(VLOOKUP($C32,'PORTIFÓLIO'!C:V,4,0),"")</f>
        <v/>
      </c>
      <c r="G32" s="215" t="str">
        <f>IFERROR(VLOOKUP($C32,'PORTIFÓLIO'!C:V,5,0),"")</f>
        <v/>
      </c>
      <c r="H32" s="254" t="str">
        <f t="array" ref="H32">IFERROR(INDEX('PORTIFÓLIO'!$H$4:$H$433,MATCH($C32,'PORTIFÓLIO'!$C$4:$C$433,0)),"")</f>
        <v/>
      </c>
      <c r="I32" s="256"/>
      <c r="J32" s="218">
        <f t="shared" si="4"/>
        <v>0</v>
      </c>
      <c r="K32" s="219" t="str">
        <f t="array" ref="K32">IFERROR(I32*INDEX('PORTIFÓLIO'!$S$4:$S$433,MATCH($C32,'PORTIFÓLIO'!$C$4:$C$433,0)),"")</f>
        <v/>
      </c>
      <c r="L32" s="219" t="str">
        <f t="array" ref="L32">IFERROR(J32*INDEX('PORTIFÓLIO'!$S$4:$S$433,MATCH($C32,'PORTIFÓLIO'!$C$4:$C$433,0)),"")</f>
        <v/>
      </c>
      <c r="M32" s="220"/>
      <c r="N32" s="220"/>
      <c r="O32" s="220"/>
      <c r="P32" s="220"/>
      <c r="Q32" s="220"/>
      <c r="R32" s="220"/>
      <c r="S32" s="220"/>
      <c r="T32" s="220"/>
      <c r="U32" s="220"/>
      <c r="V32" s="220"/>
      <c r="W32" s="220"/>
    </row>
    <row r="33" ht="15.75" customHeight="1" outlineLevel="1">
      <c r="A33" s="211"/>
      <c r="B33" s="212"/>
      <c r="C33" s="213"/>
      <c r="D33" s="214" t="str">
        <f>IFERROR(VLOOKUP($C33,'PORTIFÓLIO'!C:V,2,0),"")</f>
        <v/>
      </c>
      <c r="E33" s="211" t="str">
        <f>IFERROR(VLOOKUP($C33,'PORTIFÓLIO'!C:V,3,0),"")</f>
        <v/>
      </c>
      <c r="F33" s="211" t="str">
        <f>IFERROR(VLOOKUP($C33,'PORTIFÓLIO'!C:V,4,0),"")</f>
        <v/>
      </c>
      <c r="G33" s="215" t="str">
        <f>IFERROR(VLOOKUP($C33,'PORTIFÓLIO'!C:V,5,0),"")</f>
        <v/>
      </c>
      <c r="H33" s="254" t="str">
        <f t="array" ref="H33">IFERROR(INDEX('PORTIFÓLIO'!$H$4:$H$433,MATCH($C33,'PORTIFÓLIO'!$C$4:$C$433,0)),"")</f>
        <v/>
      </c>
      <c r="I33" s="256"/>
      <c r="J33" s="218">
        <f t="shared" si="4"/>
        <v>0</v>
      </c>
      <c r="K33" s="219" t="str">
        <f t="array" ref="K33">IFERROR(I33*INDEX('PORTIFÓLIO'!$S$4:$S$433,MATCH($C33,'PORTIFÓLIO'!$C$4:$C$433,0)),"")</f>
        <v/>
      </c>
      <c r="L33" s="219" t="str">
        <f t="array" ref="L33">IFERROR(J33*INDEX('PORTIFÓLIO'!$S$4:$S$433,MATCH($C33,'PORTIFÓLIO'!$C$4:$C$433,0)),"")</f>
        <v/>
      </c>
      <c r="M33" s="220"/>
      <c r="N33" s="220"/>
      <c r="O33" s="220"/>
      <c r="P33" s="220"/>
      <c r="Q33" s="220"/>
      <c r="R33" s="220"/>
      <c r="S33" s="220"/>
      <c r="T33" s="220"/>
      <c r="U33" s="220"/>
      <c r="V33" s="220"/>
      <c r="W33" s="220"/>
    </row>
    <row r="34" ht="15.75" customHeight="1" outlineLevel="1">
      <c r="A34" s="211"/>
      <c r="B34" s="212"/>
      <c r="C34" s="213"/>
      <c r="D34" s="214" t="str">
        <f>IFERROR(VLOOKUP($C34,'PORTIFÓLIO'!C:V,2,0),"")</f>
        <v/>
      </c>
      <c r="E34" s="211" t="str">
        <f>IFERROR(VLOOKUP($C34,'PORTIFÓLIO'!C:V,3,0),"")</f>
        <v/>
      </c>
      <c r="F34" s="211" t="str">
        <f>IFERROR(VLOOKUP($C34,'PORTIFÓLIO'!C:V,4,0),"")</f>
        <v/>
      </c>
      <c r="G34" s="215" t="str">
        <f>IFERROR(VLOOKUP($C34,'PORTIFÓLIO'!C:V,5,0),"")</f>
        <v/>
      </c>
      <c r="H34" s="254" t="str">
        <f t="array" ref="H34">IFERROR(INDEX('PORTIFÓLIO'!$H$4:$H$433,MATCH($C34,'PORTIFÓLIO'!$C$4:$C$433,0)),"")</f>
        <v/>
      </c>
      <c r="I34" s="255"/>
      <c r="J34" s="218">
        <f t="shared" si="4"/>
        <v>0</v>
      </c>
      <c r="K34" s="219" t="str">
        <f t="array" ref="K34">IFERROR(I34*INDEX('PORTIFÓLIO'!$S$4:$S$433,MATCH($C34,'PORTIFÓLIO'!$C$4:$C$433,0)),"")</f>
        <v/>
      </c>
      <c r="L34" s="219" t="str">
        <f t="array" ref="L34">IFERROR(J34*INDEX('PORTIFÓLIO'!$S$4:$S$433,MATCH($C34,'PORTIFÓLIO'!$C$4:$C$433,0)),"")</f>
        <v/>
      </c>
      <c r="M34" s="220"/>
      <c r="N34" s="220"/>
      <c r="O34" s="220"/>
      <c r="P34" s="220"/>
      <c r="Q34" s="220"/>
      <c r="R34" s="220"/>
      <c r="S34" s="220"/>
      <c r="T34" s="220"/>
      <c r="U34" s="220"/>
      <c r="V34" s="220"/>
      <c r="W34" s="220"/>
    </row>
    <row r="35" ht="15.75" customHeight="1" outlineLevel="1">
      <c r="A35" s="211"/>
      <c r="B35" s="212"/>
      <c r="C35" s="213"/>
      <c r="D35" s="214" t="str">
        <f>IFERROR(VLOOKUP($C35,'PORTIFÓLIO'!C:V,2,0),"")</f>
        <v/>
      </c>
      <c r="E35" s="211" t="str">
        <f>IFERROR(VLOOKUP($C35,'PORTIFÓLIO'!C:V,3,0),"")</f>
        <v/>
      </c>
      <c r="F35" s="211" t="str">
        <f>IFERROR(VLOOKUP($C35,'PORTIFÓLIO'!C:V,4,0),"")</f>
        <v/>
      </c>
      <c r="G35" s="215" t="str">
        <f>IFERROR(VLOOKUP($C35,'PORTIFÓLIO'!C:V,5,0),"")</f>
        <v/>
      </c>
      <c r="H35" s="254" t="str">
        <f t="array" ref="H35">IFERROR(INDEX('PORTIFÓLIO'!$H$4:$H$433,MATCH($C35,'PORTIFÓLIO'!$C$4:$C$433,0)),"")</f>
        <v/>
      </c>
      <c r="I35" s="256"/>
      <c r="J35" s="218">
        <f t="shared" si="4"/>
        <v>0</v>
      </c>
      <c r="K35" s="219" t="str">
        <f t="array" ref="K35">IFERROR(I35*INDEX('PORTIFÓLIO'!$S$4:$S$433,MATCH($C35,'PORTIFÓLIO'!$C$4:$C$433,0)),"")</f>
        <v/>
      </c>
      <c r="L35" s="219" t="str">
        <f t="array" ref="L35">IFERROR(J35*INDEX('PORTIFÓLIO'!$S$4:$S$433,MATCH($C35,'PORTIFÓLIO'!$C$4:$C$433,0)),"")</f>
        <v/>
      </c>
      <c r="M35" s="220"/>
      <c r="N35" s="220"/>
      <c r="O35" s="220"/>
      <c r="P35" s="220"/>
      <c r="Q35" s="220"/>
      <c r="R35" s="220"/>
      <c r="S35" s="220"/>
      <c r="T35" s="220"/>
      <c r="U35" s="220"/>
      <c r="V35" s="220"/>
      <c r="W35" s="220"/>
    </row>
    <row r="36" ht="15.75" customHeight="1" outlineLevel="1">
      <c r="A36" s="211"/>
      <c r="B36" s="212"/>
      <c r="C36" s="213"/>
      <c r="D36" s="214" t="str">
        <f>IFERROR(VLOOKUP($C36,'PORTIFÓLIO'!C:V,2,0),"")</f>
        <v/>
      </c>
      <c r="E36" s="211" t="str">
        <f>IFERROR(VLOOKUP($C36,'PORTIFÓLIO'!C:V,3,0),"")</f>
        <v/>
      </c>
      <c r="F36" s="211" t="str">
        <f>IFERROR(VLOOKUP($C36,'PORTIFÓLIO'!C:V,4,0),"")</f>
        <v/>
      </c>
      <c r="G36" s="215" t="str">
        <f>IFERROR(VLOOKUP($C36,'PORTIFÓLIO'!C:V,5,0),"")</f>
        <v/>
      </c>
      <c r="H36" s="254" t="str">
        <f t="array" ref="H36">IFERROR(INDEX('PORTIFÓLIO'!$H$4:$H$433,MATCH($C36,'PORTIFÓLIO'!$C$4:$C$433,0)),"")</f>
        <v/>
      </c>
      <c r="I36" s="256"/>
      <c r="J36" s="218">
        <f t="shared" si="4"/>
        <v>0</v>
      </c>
      <c r="K36" s="219" t="str">
        <f t="array" ref="K36">IFERROR(I36*INDEX('PORTIFÓLIO'!$S$4:$S$433,MATCH($C36,'PORTIFÓLIO'!$C$4:$C$433,0)),"")</f>
        <v/>
      </c>
      <c r="L36" s="219" t="str">
        <f t="array" ref="L36">IFERROR(J36*INDEX('PORTIFÓLIO'!$S$4:$S$433,MATCH($C36,'PORTIFÓLIO'!$C$4:$C$433,0)),"")</f>
        <v/>
      </c>
      <c r="M36" s="220"/>
      <c r="N36" s="220"/>
      <c r="O36" s="220"/>
      <c r="P36" s="220"/>
      <c r="Q36" s="220"/>
      <c r="R36" s="220"/>
      <c r="S36" s="220"/>
      <c r="T36" s="220"/>
      <c r="U36" s="220"/>
      <c r="V36" s="220"/>
      <c r="W36" s="220"/>
    </row>
    <row r="37" ht="15.75" customHeight="1" outlineLevel="1">
      <c r="A37" s="211"/>
      <c r="B37" s="212"/>
      <c r="C37" s="213"/>
      <c r="D37" s="214" t="str">
        <f>IFERROR(VLOOKUP($C37,'PORTIFÓLIO'!C:V,2,0),"")</f>
        <v/>
      </c>
      <c r="E37" s="211" t="str">
        <f>IFERROR(VLOOKUP($C37,'PORTIFÓLIO'!C:V,3,0),"")</f>
        <v/>
      </c>
      <c r="F37" s="211" t="str">
        <f>IFERROR(VLOOKUP($C37,'PORTIFÓLIO'!C:V,4,0),"")</f>
        <v/>
      </c>
      <c r="G37" s="215" t="str">
        <f>IFERROR(VLOOKUP($C37,'PORTIFÓLIO'!C:V,5,0),"")</f>
        <v/>
      </c>
      <c r="H37" s="254" t="str">
        <f t="array" ref="H37">IFERROR(INDEX('PORTIFÓLIO'!$H$4:$H$433,MATCH($C37,'PORTIFÓLIO'!$C$4:$C$433,0)),"")</f>
        <v/>
      </c>
      <c r="I37" s="256"/>
      <c r="J37" s="218">
        <f t="shared" si="4"/>
        <v>0</v>
      </c>
      <c r="K37" s="219" t="str">
        <f t="array" ref="K37">IFERROR(I37*INDEX('PORTIFÓLIO'!$S$4:$S$433,MATCH($C37,'PORTIFÓLIO'!$C$4:$C$433,0)),"")</f>
        <v/>
      </c>
      <c r="L37" s="219" t="str">
        <f t="array" ref="L37">IFERROR(J37*INDEX('PORTIFÓLIO'!$S$4:$S$433,MATCH($C37,'PORTIFÓLIO'!$C$4:$C$433,0)),"")</f>
        <v/>
      </c>
      <c r="M37" s="220"/>
      <c r="N37" s="220"/>
      <c r="O37" s="220"/>
      <c r="P37" s="220"/>
      <c r="Q37" s="220"/>
      <c r="R37" s="220"/>
      <c r="S37" s="220"/>
      <c r="T37" s="220"/>
      <c r="U37" s="220"/>
      <c r="V37" s="220"/>
      <c r="W37" s="220"/>
    </row>
    <row r="38" ht="15.75" customHeight="1" outlineLevel="1">
      <c r="A38" s="211"/>
      <c r="B38" s="212"/>
      <c r="C38" s="213"/>
      <c r="D38" s="214" t="str">
        <f>IFERROR(VLOOKUP($C38,'PORTIFÓLIO'!C:V,2,0),"")</f>
        <v/>
      </c>
      <c r="E38" s="211" t="str">
        <f>IFERROR(VLOOKUP($C38,'PORTIFÓLIO'!C:V,3,0),"")</f>
        <v/>
      </c>
      <c r="F38" s="211" t="str">
        <f>IFERROR(VLOOKUP($C38,'PORTIFÓLIO'!C:V,4,0),"")</f>
        <v/>
      </c>
      <c r="G38" s="215" t="str">
        <f>IFERROR(VLOOKUP($C38,'PORTIFÓLIO'!C:V,5,0),"")</f>
        <v/>
      </c>
      <c r="H38" s="254" t="str">
        <f t="array" ref="H38">IFERROR(INDEX('PORTIFÓLIO'!$H$4:$H$433,MATCH($C38,'PORTIFÓLIO'!$C$4:$C$433,0)),"")</f>
        <v/>
      </c>
      <c r="I38" s="256"/>
      <c r="J38" s="218">
        <f t="shared" si="4"/>
        <v>0</v>
      </c>
      <c r="K38" s="219" t="str">
        <f t="array" ref="K38">IFERROR(I38*INDEX('PORTIFÓLIO'!$S$4:$S$433,MATCH($C38,'PORTIFÓLIO'!$C$4:$C$433,0)),"")</f>
        <v/>
      </c>
      <c r="L38" s="219" t="str">
        <f t="array" ref="L38">IFERROR(J38*INDEX('PORTIFÓLIO'!$S$4:$S$433,MATCH($C38,'PORTIFÓLIO'!$C$4:$C$433,0)),"")</f>
        <v/>
      </c>
      <c r="M38" s="220"/>
      <c r="N38" s="220"/>
      <c r="O38" s="220"/>
      <c r="P38" s="220"/>
      <c r="Q38" s="220"/>
      <c r="R38" s="220"/>
      <c r="S38" s="220"/>
      <c r="T38" s="220"/>
      <c r="U38" s="220"/>
      <c r="V38" s="220"/>
      <c r="W38" s="220"/>
    </row>
    <row r="39" ht="15.75" customHeight="1" outlineLevel="1">
      <c r="A39" s="211"/>
      <c r="B39" s="212"/>
      <c r="C39" s="213"/>
      <c r="D39" s="214" t="str">
        <f>IFERROR(VLOOKUP($C39,'PORTIFÓLIO'!C:V,2,0),"")</f>
        <v/>
      </c>
      <c r="E39" s="211" t="str">
        <f>IFERROR(VLOOKUP($C39,'PORTIFÓLIO'!C:V,3,0),"")</f>
        <v/>
      </c>
      <c r="F39" s="211" t="str">
        <f>IFERROR(VLOOKUP($C39,'PORTIFÓLIO'!C:V,4,0),"")</f>
        <v/>
      </c>
      <c r="G39" s="215" t="str">
        <f>IFERROR(VLOOKUP($C39,'PORTIFÓLIO'!C:V,5,0),"")</f>
        <v/>
      </c>
      <c r="H39" s="254" t="str">
        <f t="array" ref="H39">IFERROR(INDEX('PORTIFÓLIO'!$H$4:$H$433,MATCH($C39,'PORTIFÓLIO'!$C$4:$C$433,0)),"")</f>
        <v/>
      </c>
      <c r="I39" s="256"/>
      <c r="J39" s="218">
        <f t="shared" si="4"/>
        <v>0</v>
      </c>
      <c r="K39" s="219" t="str">
        <f t="array" ref="K39">IFERROR(I39*INDEX('PORTIFÓLIO'!$S$4:$S$433,MATCH($C39,'PORTIFÓLIO'!$C$4:$C$433,0)),"")</f>
        <v/>
      </c>
      <c r="L39" s="219" t="str">
        <f t="array" ref="L39">IFERROR(J39*INDEX('PORTIFÓLIO'!$S$4:$S$433,MATCH($C39,'PORTIFÓLIO'!$C$4:$C$433,0)),"")</f>
        <v/>
      </c>
      <c r="M39" s="220"/>
      <c r="N39" s="220"/>
      <c r="O39" s="220"/>
      <c r="P39" s="220"/>
      <c r="Q39" s="220"/>
      <c r="R39" s="220"/>
      <c r="S39" s="220"/>
      <c r="T39" s="220"/>
      <c r="U39" s="220"/>
      <c r="V39" s="220"/>
      <c r="W39" s="220"/>
    </row>
    <row r="40" ht="15.75" customHeight="1" outlineLevel="1">
      <c r="A40" s="211"/>
      <c r="B40" s="212"/>
      <c r="C40" s="213"/>
      <c r="D40" s="214" t="str">
        <f>IFERROR(VLOOKUP($C40,'PORTIFÓLIO'!C:V,2,0),"")</f>
        <v/>
      </c>
      <c r="E40" s="211" t="str">
        <f>IFERROR(VLOOKUP($C40,'PORTIFÓLIO'!C:V,3,0),"")</f>
        <v/>
      </c>
      <c r="F40" s="211" t="str">
        <f>IFERROR(VLOOKUP($C40,'PORTIFÓLIO'!C:V,4,0),"")</f>
        <v/>
      </c>
      <c r="G40" s="215" t="str">
        <f>IFERROR(VLOOKUP($C40,'PORTIFÓLIO'!C:V,5,0),"")</f>
        <v/>
      </c>
      <c r="H40" s="254" t="str">
        <f t="array" ref="H40">IFERROR(INDEX('PORTIFÓLIO'!$H$4:$H$433,MATCH($C40,'PORTIFÓLIO'!$C$4:$C$433,0)),"")</f>
        <v/>
      </c>
      <c r="I40" s="256"/>
      <c r="J40" s="218">
        <f t="shared" si="4"/>
        <v>0</v>
      </c>
      <c r="K40" s="219" t="str">
        <f t="array" ref="K40">IFERROR(I40*INDEX('PORTIFÓLIO'!$S$4:$S$433,MATCH($C40,'PORTIFÓLIO'!$C$4:$C$433,0)),"")</f>
        <v/>
      </c>
      <c r="L40" s="219" t="str">
        <f t="array" ref="L40">IFERROR(J40*INDEX('PORTIFÓLIO'!$S$4:$S$433,MATCH($C40,'PORTIFÓLIO'!$C$4:$C$433,0)),"")</f>
        <v/>
      </c>
      <c r="M40" s="220"/>
      <c r="N40" s="220"/>
      <c r="O40" s="220"/>
      <c r="P40" s="220"/>
      <c r="Q40" s="220"/>
      <c r="R40" s="220"/>
      <c r="S40" s="220"/>
      <c r="T40" s="220"/>
      <c r="U40" s="220"/>
      <c r="V40" s="220"/>
      <c r="W40" s="220"/>
    </row>
    <row r="41" ht="15.75" customHeight="1" outlineLevel="1">
      <c r="A41" s="211"/>
      <c r="B41" s="212"/>
      <c r="C41" s="213"/>
      <c r="D41" s="214" t="str">
        <f>IFERROR(VLOOKUP($C41,'PORTIFÓLIO'!C:V,2,0),"")</f>
        <v/>
      </c>
      <c r="E41" s="211" t="str">
        <f>IFERROR(VLOOKUP($C41,'PORTIFÓLIO'!C:V,3,0),"")</f>
        <v/>
      </c>
      <c r="F41" s="211" t="str">
        <f>IFERROR(VLOOKUP($C41,'PORTIFÓLIO'!C:V,4,0),"")</f>
        <v/>
      </c>
      <c r="G41" s="215" t="str">
        <f>IFERROR(VLOOKUP($C41,'PORTIFÓLIO'!C:V,5,0),"")</f>
        <v/>
      </c>
      <c r="H41" s="254" t="str">
        <f t="array" ref="H41">IFERROR(INDEX('PORTIFÓLIO'!$H$4:$H$433,MATCH($C41,'PORTIFÓLIO'!$C$4:$C$433,0)),"")</f>
        <v/>
      </c>
      <c r="I41" s="256"/>
      <c r="J41" s="218">
        <f t="shared" si="4"/>
        <v>0</v>
      </c>
      <c r="K41" s="219" t="str">
        <f t="array" ref="K41">IFERROR(I41*INDEX('PORTIFÓLIO'!$S$4:$S$433,MATCH($C41,'PORTIFÓLIO'!$C$4:$C$433,0)),"")</f>
        <v/>
      </c>
      <c r="L41" s="219" t="str">
        <f t="array" ref="L41">IFERROR(J41*INDEX('PORTIFÓLIO'!$S$4:$S$433,MATCH($C41,'PORTIFÓLIO'!$C$4:$C$433,0)),"")</f>
        <v/>
      </c>
      <c r="M41" s="220"/>
      <c r="N41" s="220"/>
      <c r="O41" s="220"/>
      <c r="P41" s="220"/>
      <c r="Q41" s="220"/>
      <c r="R41" s="220"/>
      <c r="S41" s="220"/>
      <c r="T41" s="220"/>
      <c r="U41" s="220"/>
      <c r="V41" s="220"/>
      <c r="W41" s="220"/>
    </row>
    <row r="42" ht="15.75" customHeight="1" outlineLevel="1">
      <c r="A42" s="211"/>
      <c r="B42" s="212"/>
      <c r="C42" s="213"/>
      <c r="D42" s="214" t="str">
        <f>IFERROR(VLOOKUP($C42,'PORTIFÓLIO'!C:V,2,0),"")</f>
        <v/>
      </c>
      <c r="E42" s="211" t="str">
        <f>IFERROR(VLOOKUP($C42,'PORTIFÓLIO'!C:V,3,0),"")</f>
        <v/>
      </c>
      <c r="F42" s="211" t="str">
        <f>IFERROR(VLOOKUP($C42,'PORTIFÓLIO'!C:V,4,0),"")</f>
        <v/>
      </c>
      <c r="G42" s="215" t="str">
        <f>IFERROR(VLOOKUP($C42,'PORTIFÓLIO'!C:V,5,0),"")</f>
        <v/>
      </c>
      <c r="H42" s="254" t="str">
        <f t="array" ref="H42">IFERROR(INDEX('PORTIFÓLIO'!$H$4:$H$433,MATCH($C42,'PORTIFÓLIO'!$C$4:$C$433,0)),"")</f>
        <v/>
      </c>
      <c r="I42" s="256"/>
      <c r="J42" s="218">
        <f t="shared" si="4"/>
        <v>0</v>
      </c>
      <c r="K42" s="219" t="str">
        <f t="array" ref="K42">IFERROR(I42*INDEX('PORTIFÓLIO'!$S$4:$S$433,MATCH($C42,'PORTIFÓLIO'!$C$4:$C$433,0)),"")</f>
        <v/>
      </c>
      <c r="L42" s="219" t="str">
        <f t="array" ref="L42">IFERROR(J42*INDEX('PORTIFÓLIO'!$S$4:$S$433,MATCH($C42,'PORTIFÓLIO'!$C$4:$C$433,0)),"")</f>
        <v/>
      </c>
      <c r="M42" s="220"/>
      <c r="N42" s="220"/>
      <c r="O42" s="220"/>
      <c r="P42" s="220"/>
      <c r="Q42" s="220"/>
      <c r="R42" s="220"/>
      <c r="S42" s="220"/>
      <c r="T42" s="220"/>
      <c r="U42" s="220"/>
      <c r="V42" s="220"/>
      <c r="W42" s="220"/>
    </row>
    <row r="43" ht="15.75" customHeight="1" outlineLevel="1">
      <c r="A43" s="211"/>
      <c r="B43" s="212"/>
      <c r="C43" s="213"/>
      <c r="D43" s="214" t="str">
        <f>IFERROR(VLOOKUP($C43,'PORTIFÓLIO'!C:V,2,0),"")</f>
        <v/>
      </c>
      <c r="E43" s="211" t="str">
        <f>IFERROR(VLOOKUP($C43,'PORTIFÓLIO'!C:V,3,0),"")</f>
        <v/>
      </c>
      <c r="F43" s="211" t="str">
        <f>IFERROR(VLOOKUP($C43,'PORTIFÓLIO'!C:V,4,0),"")</f>
        <v/>
      </c>
      <c r="G43" s="215" t="str">
        <f>IFERROR(VLOOKUP($C43,'PORTIFÓLIO'!C:V,5,0),"")</f>
        <v/>
      </c>
      <c r="H43" s="254" t="str">
        <f t="array" ref="H43">IFERROR(INDEX('PORTIFÓLIO'!$H$4:$H$433,MATCH($C43,'PORTIFÓLIO'!$C$4:$C$433,0)),"")</f>
        <v/>
      </c>
      <c r="I43" s="256"/>
      <c r="J43" s="218">
        <f t="shared" si="4"/>
        <v>0</v>
      </c>
      <c r="K43" s="219" t="str">
        <f t="array" ref="K43">IFERROR(I43*INDEX('PORTIFÓLIO'!$S$4:$S$433,MATCH($C43,'PORTIFÓLIO'!$C$4:$C$433,0)),"")</f>
        <v/>
      </c>
      <c r="L43" s="219" t="str">
        <f t="array" ref="L43">IFERROR(J43*INDEX('PORTIFÓLIO'!$S$4:$S$433,MATCH($C43,'PORTIFÓLIO'!$C$4:$C$433,0)),"")</f>
        <v/>
      </c>
      <c r="M43" s="220"/>
      <c r="N43" s="220"/>
      <c r="O43" s="220"/>
      <c r="P43" s="220"/>
      <c r="Q43" s="220"/>
      <c r="R43" s="220"/>
      <c r="S43" s="220"/>
      <c r="T43" s="220"/>
      <c r="U43" s="220"/>
      <c r="V43" s="220"/>
      <c r="W43" s="220"/>
    </row>
    <row r="44" ht="15.75" customHeight="1">
      <c r="A44" s="229" t="s">
        <v>1185</v>
      </c>
      <c r="B44" s="230"/>
      <c r="C44" s="231"/>
      <c r="D44" s="232" t="s">
        <v>216</v>
      </c>
      <c r="E44" s="231"/>
      <c r="F44" s="231"/>
      <c r="G44" s="233"/>
      <c r="H44" s="233"/>
      <c r="I44" s="258"/>
      <c r="J44" s="236"/>
      <c r="K44" s="237">
        <f t="shared" ref="K44:L44" si="5">SUBTOTAL(9,K45:K58)</f>
        <v>135.26151</v>
      </c>
      <c r="L44" s="237">
        <f t="shared" si="5"/>
        <v>10820.9208</v>
      </c>
      <c r="M44" s="220"/>
      <c r="N44" s="220"/>
      <c r="O44" s="220"/>
      <c r="P44" s="220"/>
      <c r="Q44" s="220"/>
      <c r="R44" s="220"/>
      <c r="S44" s="220"/>
      <c r="T44" s="220"/>
      <c r="U44" s="220"/>
      <c r="V44" s="220"/>
      <c r="W44" s="220"/>
    </row>
    <row r="45" ht="15.75" customHeight="1" outlineLevel="1">
      <c r="A45" s="213"/>
      <c r="B45" s="212" t="s">
        <v>1</v>
      </c>
      <c r="C45" s="213" t="s">
        <v>706</v>
      </c>
      <c r="D45" s="214" t="str">
        <f>IFERROR(VLOOKUP($C45,'PORTIFÓLIO'!C:V,2,0),"")</f>
        <v>GLUFOSINATO - SAL DE AMONIO</v>
      </c>
      <c r="E45" s="211">
        <f>IFERROR(VLOOKUP($C45,'PORTIFÓLIO'!C:V,3,0),"")</f>
        <v>880</v>
      </c>
      <c r="F45" s="211" t="str">
        <f>IFERROR(VLOOKUP($C45,'PORTIFÓLIO'!C:V,4,0),"")</f>
        <v>L</v>
      </c>
      <c r="G45" s="225" t="str">
        <f>IFERROR(VLOOKUP($C45,'PORTIFÓLIO'!C:V,5,0),"")</f>
        <v>📄 Ver bula</v>
      </c>
      <c r="H45" s="254">
        <f t="array" ref="H45">IFERROR(INDEX('PORTIFÓLIO'!$H$4:$H$433,MATCH($C45,'PORTIFÓLIO'!$C$4:$C$433,0)),"")</f>
        <v>0.5</v>
      </c>
      <c r="I45" s="255">
        <v>0.5</v>
      </c>
      <c r="J45" s="218">
        <f t="shared" ref="J45:J62" si="6">I45*$B$2</f>
        <v>40</v>
      </c>
      <c r="K45" s="219">
        <f t="array" ref="K45">IFERROR(I45*INDEX('PORTIFÓLIO'!$S$4:$S$433,MATCH($C45,'PORTIFÓLIO'!$C$4:$C$433,0)),"")</f>
        <v>23.49848</v>
      </c>
      <c r="L45" s="219">
        <f t="array" ref="L45">IFERROR(J45*INDEX('PORTIFÓLIO'!$S$4:$S$433,MATCH($C45,'PORTIFÓLIO'!$C$4:$C$433,0)),"")</f>
        <v>1879.8784</v>
      </c>
      <c r="M45" s="220"/>
      <c r="N45" s="220"/>
      <c r="O45" s="220"/>
      <c r="P45" s="220"/>
      <c r="Q45" s="220"/>
      <c r="R45" s="220"/>
      <c r="S45" s="220"/>
      <c r="T45" s="220"/>
      <c r="U45" s="220"/>
      <c r="V45" s="220"/>
      <c r="W45" s="220"/>
    </row>
    <row r="46" ht="15.75" customHeight="1" outlineLevel="1">
      <c r="A46" s="211"/>
      <c r="B46" s="212" t="s">
        <v>1</v>
      </c>
      <c r="C46" s="213" t="s">
        <v>695</v>
      </c>
      <c r="D46" s="214" t="str">
        <f>IFERROR(VLOOKUP($C46,'PORTIFÓLIO'!C:V,2,0),"")</f>
        <v>DIUROM + SULFENTRAZONA</v>
      </c>
      <c r="E46" s="211" t="str">
        <f>IFERROR(VLOOKUP($C46,'PORTIFÓLIO'!C:V,3,0),"")</f>
        <v>350 + 175</v>
      </c>
      <c r="F46" s="211" t="str">
        <f>IFERROR(VLOOKUP($C46,'PORTIFÓLIO'!C:V,4,0),"")</f>
        <v>L</v>
      </c>
      <c r="G46" s="225" t="str">
        <f>IFERROR(VLOOKUP($C46,'PORTIFÓLIO'!C:V,5,0),"")</f>
        <v>📄 Ver bula</v>
      </c>
      <c r="H46" s="254" t="str">
        <f t="array" ref="H46">IFERROR(INDEX('PORTIFÓLIO'!$H$4:$H$433,MATCH($C46,'PORTIFÓLIO'!$C$4:$C$433,0)),"")</f>
        <v/>
      </c>
      <c r="I46" s="255">
        <v>1.0</v>
      </c>
      <c r="J46" s="218">
        <f t="shared" si="6"/>
        <v>80</v>
      </c>
      <c r="K46" s="219">
        <f t="array" ref="K46">IFERROR(I46*INDEX('PORTIFÓLIO'!$S$4:$S$433,MATCH($C46,'PORTIFÓLIO'!$C$4:$C$433,0)),"")</f>
        <v>68.11118</v>
      </c>
      <c r="L46" s="219">
        <f t="array" ref="L46">IFERROR(J46*INDEX('PORTIFÓLIO'!$S$4:$S$433,MATCH($C46,'PORTIFÓLIO'!$C$4:$C$433,0)),"")</f>
        <v>5448.8944</v>
      </c>
      <c r="M46" s="220"/>
      <c r="N46" s="220"/>
      <c r="O46" s="220"/>
      <c r="P46" s="220"/>
      <c r="Q46" s="220"/>
      <c r="R46" s="220"/>
      <c r="S46" s="220"/>
      <c r="T46" s="220"/>
      <c r="U46" s="220"/>
      <c r="V46" s="220"/>
      <c r="W46" s="220"/>
    </row>
    <row r="47" ht="15.75" customHeight="1" outlineLevel="1">
      <c r="A47" s="211"/>
      <c r="B47" s="212" t="s">
        <v>1</v>
      </c>
      <c r="C47" s="213" t="s">
        <v>728</v>
      </c>
      <c r="D47" s="214" t="str">
        <f>IFERROR(VLOOKUP($C47,'PORTIFÓLIO'!C:V,2,0),"")</f>
        <v>S-METOLACLORO</v>
      </c>
      <c r="E47" s="211">
        <f>IFERROR(VLOOKUP($C47,'PORTIFÓLIO'!C:V,3,0),"")</f>
        <v>960</v>
      </c>
      <c r="F47" s="211" t="str">
        <f>IFERROR(VLOOKUP($C47,'PORTIFÓLIO'!C:V,4,0),"")</f>
        <v>KG</v>
      </c>
      <c r="G47" s="225" t="str">
        <f>IFERROR(VLOOKUP($C47,'PORTIFÓLIO'!C:V,5,0),"")</f>
        <v>📄 Ver bula</v>
      </c>
      <c r="H47" s="254">
        <f t="array" ref="H47">IFERROR(INDEX('PORTIFÓLIO'!$H$4:$H$433,MATCH($C47,'PORTIFÓLIO'!$C$4:$C$433,0)),"")</f>
        <v>2</v>
      </c>
      <c r="I47" s="255">
        <v>1.0</v>
      </c>
      <c r="J47" s="218">
        <f t="shared" si="6"/>
        <v>80</v>
      </c>
      <c r="K47" s="219">
        <f t="array" ref="K47">IFERROR(I47*INDEX('PORTIFÓLIO'!$S$4:$S$433,MATCH($C47,'PORTIFÓLIO'!$C$4:$C$433,0)),"")</f>
        <v>29.1273</v>
      </c>
      <c r="L47" s="219">
        <f t="array" ref="L47">IFERROR(J47*INDEX('PORTIFÓLIO'!$S$4:$S$433,MATCH($C47,'PORTIFÓLIO'!$C$4:$C$433,0)),"")</f>
        <v>2330.184</v>
      </c>
      <c r="M47" s="220"/>
      <c r="N47" s="220"/>
      <c r="O47" s="220"/>
      <c r="P47" s="220"/>
      <c r="Q47" s="220"/>
      <c r="R47" s="220"/>
      <c r="S47" s="220"/>
      <c r="T47" s="220"/>
      <c r="U47" s="220"/>
      <c r="V47" s="220"/>
      <c r="W47" s="220"/>
    </row>
    <row r="48" ht="15.75" customHeight="1" outlineLevel="1">
      <c r="A48" s="211"/>
      <c r="B48" s="212" t="s">
        <v>6</v>
      </c>
      <c r="C48" s="213" t="s">
        <v>354</v>
      </c>
      <c r="D48" s="214" t="str">
        <f>IFERROR(VLOOKUP($C48,'PORTIFÓLIO'!C:V,2,0),"")</f>
        <v>OLEO MINERAL</v>
      </c>
      <c r="E48" s="211">
        <f>IFERROR(VLOOKUP($C48,'PORTIFÓLIO'!C:V,3,0),"")</f>
        <v>761</v>
      </c>
      <c r="F48" s="211" t="str">
        <f>IFERROR(VLOOKUP($C48,'PORTIFÓLIO'!C:V,4,0),"")</f>
        <v>L</v>
      </c>
      <c r="G48" s="225" t="str">
        <f>IFERROR(VLOOKUP($C48,'PORTIFÓLIO'!C:V,5,0),"")</f>
        <v>📄 Ver bula</v>
      </c>
      <c r="H48" s="254">
        <f t="array" ref="H48">IFERROR(INDEX('PORTIFÓLIO'!$H$4:$H$433,MATCH($C48,'PORTIFÓLIO'!$C$4:$C$433,0)),"")</f>
        <v>0.2</v>
      </c>
      <c r="I48" s="255">
        <v>0.2</v>
      </c>
      <c r="J48" s="218">
        <f t="shared" si="6"/>
        <v>16</v>
      </c>
      <c r="K48" s="219">
        <f t="array" ref="K48">IFERROR(I48*INDEX('PORTIFÓLIO'!$S$4:$S$433,MATCH($C48,'PORTIFÓLIO'!$C$4:$C$433,0)),"")</f>
        <v>3.206</v>
      </c>
      <c r="L48" s="219">
        <f t="array" ref="L48">IFERROR(J48*INDEX('PORTIFÓLIO'!$S$4:$S$433,MATCH($C48,'PORTIFÓLIO'!$C$4:$C$433,0)),"")</f>
        <v>256.48</v>
      </c>
      <c r="M48" s="220"/>
      <c r="N48" s="220"/>
      <c r="O48" s="220"/>
      <c r="P48" s="220"/>
      <c r="Q48" s="220"/>
      <c r="R48" s="220"/>
      <c r="S48" s="220"/>
      <c r="T48" s="220"/>
      <c r="U48" s="220"/>
      <c r="V48" s="220"/>
      <c r="W48" s="220"/>
    </row>
    <row r="49" ht="15.75" customHeight="1" outlineLevel="1">
      <c r="A49" s="211"/>
      <c r="B49" s="212" t="s">
        <v>2</v>
      </c>
      <c r="C49" s="213" t="s">
        <v>824</v>
      </c>
      <c r="D49" s="214" t="str">
        <f>IFERROR(VLOOKUP($C49,'PORTIFÓLIO'!C:V,2,0),"")</f>
        <v>CLORANTRANILIPROLE</v>
      </c>
      <c r="E49" s="211">
        <f>IFERROR(VLOOKUP($C49,'PORTIFÓLIO'!C:V,3,0),"")</f>
        <v>200</v>
      </c>
      <c r="F49" s="211" t="str">
        <f>IFERROR(VLOOKUP($C49,'PORTIFÓLIO'!C:V,4,0),"")</f>
        <v>L</v>
      </c>
      <c r="G49" s="225" t="str">
        <f>IFERROR(VLOOKUP($C49,'PORTIFÓLIO'!C:V,5,0),"")</f>
        <v>📄 Ver bula</v>
      </c>
      <c r="H49" s="254">
        <f t="array" ref="H49">IFERROR(INDEX('PORTIFÓLIO'!$H$4:$H$433,MATCH($C49,'PORTIFÓLIO'!$C$4:$C$433,0)),"")</f>
        <v>0.1</v>
      </c>
      <c r="I49" s="255">
        <v>0.04</v>
      </c>
      <c r="J49" s="218">
        <f t="shared" si="6"/>
        <v>3.2</v>
      </c>
      <c r="K49" s="219">
        <f t="array" ref="K49">IFERROR(I49*INDEX('PORTIFÓLIO'!$S$4:$S$433,MATCH($C49,'PORTIFÓLIO'!$C$4:$C$433,0)),"")</f>
        <v>11.31855</v>
      </c>
      <c r="L49" s="219">
        <f t="array" ref="L49">IFERROR(J49*INDEX('PORTIFÓLIO'!$S$4:$S$433,MATCH($C49,'PORTIFÓLIO'!$C$4:$C$433,0)),"")</f>
        <v>905.484</v>
      </c>
      <c r="M49" s="220"/>
      <c r="N49" s="220"/>
      <c r="O49" s="220"/>
      <c r="P49" s="220"/>
      <c r="Q49" s="220"/>
      <c r="R49" s="220"/>
      <c r="S49" s="220"/>
      <c r="T49" s="220"/>
      <c r="U49" s="220"/>
      <c r="V49" s="220"/>
      <c r="W49" s="220"/>
    </row>
    <row r="50" ht="15.75" customHeight="1" outlineLevel="1">
      <c r="A50" s="211"/>
      <c r="B50" s="212"/>
      <c r="C50" s="213"/>
      <c r="D50" s="214" t="str">
        <f>IFERROR(VLOOKUP($C50,'PORTIFÓLIO'!C:V,2,0),"")</f>
        <v/>
      </c>
      <c r="E50" s="211" t="str">
        <f>IFERROR(VLOOKUP($C50,'PORTIFÓLIO'!C:V,3,0),"")</f>
        <v/>
      </c>
      <c r="F50" s="211" t="str">
        <f>IFERROR(VLOOKUP($C50,'PORTIFÓLIO'!C:V,4,0),"")</f>
        <v/>
      </c>
      <c r="G50" s="215" t="str">
        <f>IFERROR(VLOOKUP($C50,'PORTIFÓLIO'!C:V,5,0),"")</f>
        <v/>
      </c>
      <c r="H50" s="254" t="str">
        <f t="array" ref="H50">IFERROR(INDEX('PORTIFÓLIO'!$H$4:$H$433,MATCH($C50,'PORTIFÓLIO'!$C$4:$C$433,0)),"")</f>
        <v/>
      </c>
      <c r="I50" s="255"/>
      <c r="J50" s="218">
        <f t="shared" si="6"/>
        <v>0</v>
      </c>
      <c r="K50" s="219" t="str">
        <f t="array" ref="K50">IFERROR(I50*INDEX('PORTIFÓLIO'!$S$4:$S$433,MATCH($C50,'PORTIFÓLIO'!$C$4:$C$433,0)),"")</f>
        <v/>
      </c>
      <c r="L50" s="219" t="str">
        <f t="array" ref="L50">IFERROR(J50*INDEX('PORTIFÓLIO'!$S$4:$S$433,MATCH($C50,'PORTIFÓLIO'!$C$4:$C$433,0)),"")</f>
        <v/>
      </c>
      <c r="M50" s="220"/>
      <c r="N50" s="220"/>
      <c r="O50" s="220"/>
      <c r="P50" s="220"/>
      <c r="Q50" s="220"/>
      <c r="R50" s="220"/>
      <c r="S50" s="220"/>
      <c r="T50" s="220"/>
      <c r="U50" s="220"/>
      <c r="V50" s="220"/>
      <c r="W50" s="220"/>
    </row>
    <row r="51" ht="15.75" customHeight="1" outlineLevel="1">
      <c r="A51" s="211"/>
      <c r="B51" s="212"/>
      <c r="C51" s="213"/>
      <c r="D51" s="214" t="str">
        <f>IFERROR(VLOOKUP($C51,'PORTIFÓLIO'!C:V,2,0),"")</f>
        <v/>
      </c>
      <c r="E51" s="211" t="str">
        <f>IFERROR(VLOOKUP($C51,'PORTIFÓLIO'!C:V,3,0),"")</f>
        <v/>
      </c>
      <c r="F51" s="211" t="str">
        <f>IFERROR(VLOOKUP($C51,'PORTIFÓLIO'!C:V,4,0),"")</f>
        <v/>
      </c>
      <c r="G51" s="215" t="str">
        <f>IFERROR(VLOOKUP($C51,'PORTIFÓLIO'!C:V,5,0),"")</f>
        <v/>
      </c>
      <c r="H51" s="254" t="str">
        <f t="array" ref="H51">IFERROR(INDEX('PORTIFÓLIO'!$H$4:$H$433,MATCH($C51,'PORTIFÓLIO'!$C$4:$C$433,0)),"")</f>
        <v/>
      </c>
      <c r="I51" s="255"/>
      <c r="J51" s="218">
        <f t="shared" si="6"/>
        <v>0</v>
      </c>
      <c r="K51" s="219" t="str">
        <f t="array" ref="K51">IFERROR(I51*INDEX('PORTIFÓLIO'!$S$4:$S$433,MATCH($C51,'PORTIFÓLIO'!$C$4:$C$433,0)),"")</f>
        <v/>
      </c>
      <c r="L51" s="219" t="str">
        <f t="array" ref="L51">IFERROR(J51*INDEX('PORTIFÓLIO'!$S$4:$S$433,MATCH($C51,'PORTIFÓLIO'!$C$4:$C$433,0)),"")</f>
        <v/>
      </c>
      <c r="M51" s="220"/>
      <c r="N51" s="220"/>
      <c r="O51" s="220"/>
      <c r="P51" s="220"/>
      <c r="Q51" s="220"/>
      <c r="R51" s="220"/>
      <c r="S51" s="220"/>
      <c r="T51" s="220"/>
      <c r="U51" s="220"/>
      <c r="V51" s="220"/>
      <c r="W51" s="220"/>
    </row>
    <row r="52" ht="15.75" customHeight="1" outlineLevel="1">
      <c r="A52" s="211"/>
      <c r="B52" s="212"/>
      <c r="C52" s="213"/>
      <c r="D52" s="214" t="str">
        <f>IFERROR(VLOOKUP($C52,'PORTIFÓLIO'!C:V,2,0),"")</f>
        <v/>
      </c>
      <c r="E52" s="211" t="str">
        <f>IFERROR(VLOOKUP($C52,'PORTIFÓLIO'!C:V,3,0),"")</f>
        <v/>
      </c>
      <c r="F52" s="211" t="str">
        <f>IFERROR(VLOOKUP($C52,'PORTIFÓLIO'!C:V,4,0),"")</f>
        <v/>
      </c>
      <c r="G52" s="215" t="str">
        <f>IFERROR(VLOOKUP($C52,'PORTIFÓLIO'!C:V,5,0),"")</f>
        <v/>
      </c>
      <c r="H52" s="254" t="str">
        <f t="array" ref="H52">IFERROR(INDEX('PORTIFÓLIO'!$H$4:$H$433,MATCH($C52,'PORTIFÓLIO'!$C$4:$C$433,0)),"")</f>
        <v/>
      </c>
      <c r="I52" s="256"/>
      <c r="J52" s="218">
        <f t="shared" si="6"/>
        <v>0</v>
      </c>
      <c r="K52" s="219" t="str">
        <f t="array" ref="K52">IFERROR(I52*INDEX('PORTIFÓLIO'!$S$4:$S$433,MATCH($C52,'PORTIFÓLIO'!$C$4:$C$433,0)),"")</f>
        <v/>
      </c>
      <c r="L52" s="219" t="str">
        <f t="array" ref="L52">IFERROR(J52*INDEX('PORTIFÓLIO'!$S$4:$S$433,MATCH($C52,'PORTIFÓLIO'!$C$4:$C$433,0)),"")</f>
        <v/>
      </c>
      <c r="M52" s="220"/>
      <c r="N52" s="220"/>
      <c r="O52" s="220"/>
      <c r="P52" s="220"/>
      <c r="Q52" s="220"/>
      <c r="R52" s="220"/>
      <c r="S52" s="220"/>
      <c r="T52" s="220"/>
      <c r="U52" s="220"/>
      <c r="V52" s="220"/>
      <c r="W52" s="220"/>
    </row>
    <row r="53" ht="15.75" customHeight="1" outlineLevel="1">
      <c r="A53" s="211"/>
      <c r="B53" s="212"/>
      <c r="C53" s="213"/>
      <c r="D53" s="214" t="str">
        <f>IFERROR(VLOOKUP($C53,'PORTIFÓLIO'!C:V,2,0),"")</f>
        <v/>
      </c>
      <c r="E53" s="211" t="str">
        <f>IFERROR(VLOOKUP($C53,'PORTIFÓLIO'!C:V,3,0),"")</f>
        <v/>
      </c>
      <c r="F53" s="211" t="str">
        <f>IFERROR(VLOOKUP($C53,'PORTIFÓLIO'!C:V,4,0),"")</f>
        <v/>
      </c>
      <c r="G53" s="215" t="str">
        <f>IFERROR(VLOOKUP($C53,'PORTIFÓLIO'!C:V,5,0),"")</f>
        <v/>
      </c>
      <c r="H53" s="254" t="str">
        <f t="array" ref="H53">IFERROR(INDEX('PORTIFÓLIO'!$H$4:$H$433,MATCH($C53,'PORTIFÓLIO'!$C$4:$C$433,0)),"")</f>
        <v/>
      </c>
      <c r="I53" s="255"/>
      <c r="J53" s="218">
        <f t="shared" si="6"/>
        <v>0</v>
      </c>
      <c r="K53" s="219" t="str">
        <f t="array" ref="K53">IFERROR(I53*INDEX('PORTIFÓLIO'!$S$4:$S$433,MATCH($C53,'PORTIFÓLIO'!$C$4:$C$433,0)),"")</f>
        <v/>
      </c>
      <c r="L53" s="219" t="str">
        <f t="array" ref="L53">IFERROR(J53*INDEX('PORTIFÓLIO'!$S$4:$S$433,MATCH($C53,'PORTIFÓLIO'!$C$4:$C$433,0)),"")</f>
        <v/>
      </c>
      <c r="M53" s="220"/>
      <c r="N53" s="220"/>
      <c r="O53" s="220"/>
      <c r="P53" s="220"/>
      <c r="Q53" s="220"/>
      <c r="R53" s="220"/>
      <c r="S53" s="220"/>
      <c r="T53" s="220"/>
      <c r="U53" s="220"/>
      <c r="V53" s="220"/>
      <c r="W53" s="220"/>
    </row>
    <row r="54" ht="15.75" customHeight="1" outlineLevel="1">
      <c r="A54" s="211"/>
      <c r="B54" s="212"/>
      <c r="C54" s="213"/>
      <c r="D54" s="214" t="str">
        <f>IFERROR(VLOOKUP($C54,'PORTIFÓLIO'!C:V,2,0),"")</f>
        <v/>
      </c>
      <c r="E54" s="211" t="str">
        <f>IFERROR(VLOOKUP($C54,'PORTIFÓLIO'!C:V,3,0),"")</f>
        <v/>
      </c>
      <c r="F54" s="211" t="str">
        <f>IFERROR(VLOOKUP($C54,'PORTIFÓLIO'!C:V,4,0),"")</f>
        <v/>
      </c>
      <c r="G54" s="215" t="str">
        <f>IFERROR(VLOOKUP($C54,'PORTIFÓLIO'!C:V,5,0),"")</f>
        <v/>
      </c>
      <c r="H54" s="254" t="str">
        <f t="array" ref="H54">IFERROR(INDEX('PORTIFÓLIO'!$H$4:$H$433,MATCH($C54,'PORTIFÓLIO'!$C$4:$C$433,0)),"")</f>
        <v/>
      </c>
      <c r="I54" s="256"/>
      <c r="J54" s="218">
        <f t="shared" si="6"/>
        <v>0</v>
      </c>
      <c r="K54" s="219" t="str">
        <f t="array" ref="K54">IFERROR(I54*INDEX('PORTIFÓLIO'!$S$4:$S$433,MATCH($C54,'PORTIFÓLIO'!$C$4:$C$433,0)),"")</f>
        <v/>
      </c>
      <c r="L54" s="219" t="str">
        <f t="array" ref="L54">IFERROR(J54*INDEX('PORTIFÓLIO'!$S$4:$S$433,MATCH($C54,'PORTIFÓLIO'!$C$4:$C$433,0)),"")</f>
        <v/>
      </c>
      <c r="M54" s="220"/>
      <c r="N54" s="220"/>
      <c r="O54" s="220"/>
      <c r="P54" s="220"/>
      <c r="Q54" s="220"/>
      <c r="R54" s="220"/>
      <c r="S54" s="220"/>
      <c r="T54" s="220"/>
      <c r="U54" s="220"/>
      <c r="V54" s="220"/>
      <c r="W54" s="220"/>
    </row>
    <row r="55" ht="15.75" customHeight="1" outlineLevel="1">
      <c r="A55" s="211"/>
      <c r="B55" s="212"/>
      <c r="C55" s="213"/>
      <c r="D55" s="214" t="str">
        <f>IFERROR(VLOOKUP($C55,'PORTIFÓLIO'!C:V,2,0),"")</f>
        <v/>
      </c>
      <c r="E55" s="211" t="str">
        <f>IFERROR(VLOOKUP($C55,'PORTIFÓLIO'!C:V,3,0),"")</f>
        <v/>
      </c>
      <c r="F55" s="211" t="str">
        <f>IFERROR(VLOOKUP($C55,'PORTIFÓLIO'!C:V,4,0),"")</f>
        <v/>
      </c>
      <c r="G55" s="215" t="str">
        <f>IFERROR(VLOOKUP($C55,'PORTIFÓLIO'!C:V,5,0),"")</f>
        <v/>
      </c>
      <c r="H55" s="254" t="str">
        <f t="array" ref="H55">IFERROR(INDEX('PORTIFÓLIO'!$H$4:$H$433,MATCH($C55,'PORTIFÓLIO'!$C$4:$C$433,0)),"")</f>
        <v/>
      </c>
      <c r="I55" s="256"/>
      <c r="J55" s="218">
        <f t="shared" si="6"/>
        <v>0</v>
      </c>
      <c r="K55" s="219" t="str">
        <f t="array" ref="K55">IFERROR(I55*INDEX('PORTIFÓLIO'!$S$4:$S$433,MATCH($C55,'PORTIFÓLIO'!$C$4:$C$433,0)),"")</f>
        <v/>
      </c>
      <c r="L55" s="219" t="str">
        <f t="array" ref="L55">IFERROR(J55*INDEX('PORTIFÓLIO'!$S$4:$S$433,MATCH($C55,'PORTIFÓLIO'!$C$4:$C$433,0)),"")</f>
        <v/>
      </c>
      <c r="M55" s="220"/>
      <c r="N55" s="220"/>
      <c r="O55" s="220"/>
      <c r="P55" s="220"/>
      <c r="Q55" s="220"/>
      <c r="R55" s="220"/>
      <c r="S55" s="220"/>
      <c r="T55" s="220"/>
      <c r="U55" s="220"/>
      <c r="V55" s="220"/>
      <c r="W55" s="220"/>
    </row>
    <row r="56" ht="15.75" customHeight="1" outlineLevel="1">
      <c r="A56" s="211"/>
      <c r="B56" s="212"/>
      <c r="C56" s="213"/>
      <c r="D56" s="214" t="str">
        <f>IFERROR(VLOOKUP($C56,'PORTIFÓLIO'!C:V,2,0),"")</f>
        <v/>
      </c>
      <c r="E56" s="211" t="str">
        <f>IFERROR(VLOOKUP($C56,'PORTIFÓLIO'!C:V,3,0),"")</f>
        <v/>
      </c>
      <c r="F56" s="211" t="str">
        <f>IFERROR(VLOOKUP($C56,'PORTIFÓLIO'!C:V,4,0),"")</f>
        <v/>
      </c>
      <c r="G56" s="215" t="str">
        <f>IFERROR(VLOOKUP($C56,'PORTIFÓLIO'!C:V,5,0),"")</f>
        <v/>
      </c>
      <c r="H56" s="254" t="str">
        <f t="array" ref="H56">IFERROR(INDEX('PORTIFÓLIO'!$H$4:$H$433,MATCH($C56,'PORTIFÓLIO'!$C$4:$C$433,0)),"")</f>
        <v/>
      </c>
      <c r="I56" s="256"/>
      <c r="J56" s="218">
        <f t="shared" si="6"/>
        <v>0</v>
      </c>
      <c r="K56" s="219" t="str">
        <f t="array" ref="K56">IFERROR(I56*INDEX('PORTIFÓLIO'!$S$4:$S$433,MATCH($C56,'PORTIFÓLIO'!$C$4:$C$433,0)),"")</f>
        <v/>
      </c>
      <c r="L56" s="219" t="str">
        <f t="array" ref="L56">IFERROR(J56*INDEX('PORTIFÓLIO'!$S$4:$S$433,MATCH($C56,'PORTIFÓLIO'!$C$4:$C$433,0)),"")</f>
        <v/>
      </c>
      <c r="M56" s="220"/>
      <c r="N56" s="220"/>
      <c r="O56" s="220"/>
      <c r="P56" s="220"/>
      <c r="Q56" s="220"/>
      <c r="R56" s="220"/>
      <c r="S56" s="220"/>
      <c r="T56" s="220"/>
      <c r="U56" s="220"/>
      <c r="V56" s="220"/>
      <c r="W56" s="220"/>
    </row>
    <row r="57" ht="15.75" customHeight="1" outlineLevel="1">
      <c r="A57" s="211"/>
      <c r="B57" s="212"/>
      <c r="C57" s="213"/>
      <c r="D57" s="214" t="str">
        <f>IFERROR(VLOOKUP($C57,'PORTIFÓLIO'!C:V,2,0),"")</f>
        <v/>
      </c>
      <c r="E57" s="211" t="str">
        <f>IFERROR(VLOOKUP($C57,'PORTIFÓLIO'!C:V,3,0),"")</f>
        <v/>
      </c>
      <c r="F57" s="211" t="str">
        <f>IFERROR(VLOOKUP($C57,'PORTIFÓLIO'!C:V,4,0),"")</f>
        <v/>
      </c>
      <c r="G57" s="215" t="str">
        <f>IFERROR(VLOOKUP($C57,'PORTIFÓLIO'!C:V,5,0),"")</f>
        <v/>
      </c>
      <c r="H57" s="254" t="str">
        <f t="array" ref="H57">IFERROR(INDEX('PORTIFÓLIO'!$H$4:$H$433,MATCH($C57,'PORTIFÓLIO'!$C$4:$C$433,0)),"")</f>
        <v/>
      </c>
      <c r="I57" s="256"/>
      <c r="J57" s="218">
        <f t="shared" si="6"/>
        <v>0</v>
      </c>
      <c r="K57" s="219" t="str">
        <f t="array" ref="K57">IFERROR(I57*INDEX('PORTIFÓLIO'!$S$4:$S$433,MATCH($C57,'PORTIFÓLIO'!$C$4:$C$433,0)),"")</f>
        <v/>
      </c>
      <c r="L57" s="219" t="str">
        <f t="array" ref="L57">IFERROR(J57*INDEX('PORTIFÓLIO'!$S$4:$S$433,MATCH($C57,'PORTIFÓLIO'!$C$4:$C$433,0)),"")</f>
        <v/>
      </c>
      <c r="M57" s="220"/>
      <c r="N57" s="220"/>
      <c r="O57" s="220"/>
      <c r="P57" s="220"/>
      <c r="Q57" s="220"/>
      <c r="R57" s="220"/>
      <c r="S57" s="220"/>
      <c r="T57" s="220"/>
      <c r="U57" s="220"/>
      <c r="V57" s="220"/>
      <c r="W57" s="220"/>
    </row>
    <row r="58" ht="15.75" customHeight="1" outlineLevel="1">
      <c r="A58" s="211"/>
      <c r="B58" s="212"/>
      <c r="C58" s="213"/>
      <c r="D58" s="214" t="str">
        <f>IFERROR(VLOOKUP($C58,'PORTIFÓLIO'!C:V,2,0),"")</f>
        <v/>
      </c>
      <c r="E58" s="211" t="str">
        <f>IFERROR(VLOOKUP($C58,'PORTIFÓLIO'!C:V,3,0),"")</f>
        <v/>
      </c>
      <c r="F58" s="211" t="str">
        <f>IFERROR(VLOOKUP($C58,'PORTIFÓLIO'!C:V,4,0),"")</f>
        <v/>
      </c>
      <c r="G58" s="215" t="str">
        <f>IFERROR(VLOOKUP($C58,'PORTIFÓLIO'!C:V,5,0),"")</f>
        <v/>
      </c>
      <c r="H58" s="254" t="str">
        <f t="array" ref="H58">IFERROR(INDEX('PORTIFÓLIO'!$H$4:$H$433,MATCH($C58,'PORTIFÓLIO'!$C$4:$C$433,0)),"")</f>
        <v/>
      </c>
      <c r="I58" s="256"/>
      <c r="J58" s="218">
        <f t="shared" si="6"/>
        <v>0</v>
      </c>
      <c r="K58" s="219" t="str">
        <f t="array" ref="K58">IFERROR(I58*INDEX('PORTIFÓLIO'!$S$4:$S$433,MATCH($C58,'PORTIFÓLIO'!$C$4:$C$433,0)),"")</f>
        <v/>
      </c>
      <c r="L58" s="219" t="str">
        <f t="array" ref="L58">IFERROR(J58*INDEX('PORTIFÓLIO'!$S$4:$S$433,MATCH($C58,'PORTIFÓLIO'!$C$4:$C$433,0)),"")</f>
        <v/>
      </c>
      <c r="M58" s="220"/>
      <c r="N58" s="220"/>
      <c r="O58" s="220"/>
      <c r="P58" s="220"/>
      <c r="Q58" s="220"/>
      <c r="R58" s="220"/>
      <c r="S58" s="220"/>
      <c r="T58" s="220"/>
      <c r="U58" s="220"/>
      <c r="V58" s="220"/>
      <c r="W58" s="220"/>
    </row>
    <row r="59" ht="15.75" customHeight="1" outlineLevel="1">
      <c r="A59" s="211"/>
      <c r="B59" s="212"/>
      <c r="C59" s="213"/>
      <c r="D59" s="214" t="str">
        <f>IFERROR(VLOOKUP($C59,'PORTIFÓLIO'!C:V,2,0),"")</f>
        <v/>
      </c>
      <c r="E59" s="211" t="str">
        <f>IFERROR(VLOOKUP($C59,'PORTIFÓLIO'!C:V,3,0),"")</f>
        <v/>
      </c>
      <c r="F59" s="211" t="str">
        <f>IFERROR(VLOOKUP($C59,'PORTIFÓLIO'!C:V,4,0),"")</f>
        <v/>
      </c>
      <c r="G59" s="215" t="str">
        <f>IFERROR(VLOOKUP($C59,'PORTIFÓLIO'!C:V,5,0),"")</f>
        <v/>
      </c>
      <c r="H59" s="254" t="str">
        <f t="array" ref="H59">IFERROR(INDEX('PORTIFÓLIO'!$H$4:$H$433,MATCH($C59,'PORTIFÓLIO'!$C$4:$C$433,0)),"")</f>
        <v/>
      </c>
      <c r="I59" s="256"/>
      <c r="J59" s="218">
        <f t="shared" si="6"/>
        <v>0</v>
      </c>
      <c r="K59" s="219" t="str">
        <f t="array" ref="K59">IFERROR(I59*INDEX('PORTIFÓLIO'!$S$4:$S$433,MATCH($C59,'PORTIFÓLIO'!$C$4:$C$433,0)),"")</f>
        <v/>
      </c>
      <c r="L59" s="219" t="str">
        <f t="array" ref="L59">IFERROR(J59*INDEX('PORTIFÓLIO'!$S$4:$S$433,MATCH($C59,'PORTIFÓLIO'!$C$4:$C$433,0)),"")</f>
        <v/>
      </c>
      <c r="M59" s="220"/>
      <c r="N59" s="220"/>
      <c r="O59" s="220"/>
      <c r="P59" s="220"/>
      <c r="Q59" s="220"/>
      <c r="R59" s="220"/>
      <c r="S59" s="220"/>
      <c r="T59" s="220"/>
      <c r="U59" s="220"/>
      <c r="V59" s="220"/>
      <c r="W59" s="220"/>
    </row>
    <row r="60" ht="15.75" customHeight="1" outlineLevel="1">
      <c r="A60" s="211"/>
      <c r="B60" s="212"/>
      <c r="C60" s="213"/>
      <c r="D60" s="214" t="str">
        <f>IFERROR(VLOOKUP($C60,'PORTIFÓLIO'!C:V,2,0),"")</f>
        <v/>
      </c>
      <c r="E60" s="211" t="str">
        <f>IFERROR(VLOOKUP($C60,'PORTIFÓLIO'!C:V,3,0),"")</f>
        <v/>
      </c>
      <c r="F60" s="211" t="str">
        <f>IFERROR(VLOOKUP($C60,'PORTIFÓLIO'!C:V,4,0),"")</f>
        <v/>
      </c>
      <c r="G60" s="215" t="str">
        <f>IFERROR(VLOOKUP($C60,'PORTIFÓLIO'!C:V,5,0),"")</f>
        <v/>
      </c>
      <c r="H60" s="254" t="str">
        <f t="array" ref="H60">IFERROR(INDEX('PORTIFÓLIO'!$H$4:$H$433,MATCH($C60,'PORTIFÓLIO'!$C$4:$C$433,0)),"")</f>
        <v/>
      </c>
      <c r="I60" s="256"/>
      <c r="J60" s="218">
        <f t="shared" si="6"/>
        <v>0</v>
      </c>
      <c r="K60" s="219" t="str">
        <f t="array" ref="K60">IFERROR(I60*INDEX('PORTIFÓLIO'!$S$4:$S$433,MATCH($C60,'PORTIFÓLIO'!$C$4:$C$433,0)),"")</f>
        <v/>
      </c>
      <c r="L60" s="219" t="str">
        <f t="array" ref="L60">IFERROR(J60*INDEX('PORTIFÓLIO'!$S$4:$S$433,MATCH($C60,'PORTIFÓLIO'!$C$4:$C$433,0)),"")</f>
        <v/>
      </c>
      <c r="M60" s="220"/>
      <c r="N60" s="220"/>
      <c r="O60" s="220"/>
      <c r="P60" s="220"/>
      <c r="Q60" s="220"/>
      <c r="R60" s="220"/>
      <c r="S60" s="220"/>
      <c r="T60" s="220"/>
      <c r="U60" s="220"/>
      <c r="V60" s="220"/>
      <c r="W60" s="220"/>
    </row>
    <row r="61" ht="15.75" customHeight="1" outlineLevel="1">
      <c r="A61" s="211"/>
      <c r="B61" s="212"/>
      <c r="C61" s="213"/>
      <c r="D61" s="214" t="str">
        <f>IFERROR(VLOOKUP($C61,'PORTIFÓLIO'!C:V,2,0),"")</f>
        <v/>
      </c>
      <c r="E61" s="211" t="str">
        <f>IFERROR(VLOOKUP($C61,'PORTIFÓLIO'!C:V,3,0),"")</f>
        <v/>
      </c>
      <c r="F61" s="211" t="str">
        <f>IFERROR(VLOOKUP($C61,'PORTIFÓLIO'!C:V,4,0),"")</f>
        <v/>
      </c>
      <c r="G61" s="215" t="str">
        <f>IFERROR(VLOOKUP($C61,'PORTIFÓLIO'!C:V,5,0),"")</f>
        <v/>
      </c>
      <c r="H61" s="254" t="str">
        <f t="array" ref="H61">IFERROR(INDEX('PORTIFÓLIO'!$H$4:$H$433,MATCH($C61,'PORTIFÓLIO'!$C$4:$C$433,0)),"")</f>
        <v/>
      </c>
      <c r="I61" s="256"/>
      <c r="J61" s="218">
        <f t="shared" si="6"/>
        <v>0</v>
      </c>
      <c r="K61" s="219" t="str">
        <f t="array" ref="K61">IFERROR(I61*INDEX('PORTIFÓLIO'!$S$4:$S$433,MATCH($C61,'PORTIFÓLIO'!$C$4:$C$433,0)),"")</f>
        <v/>
      </c>
      <c r="L61" s="219" t="str">
        <f t="array" ref="L61">IFERROR(J61*INDEX('PORTIFÓLIO'!$S$4:$S$433,MATCH($C61,'PORTIFÓLIO'!$C$4:$C$433,0)),"")</f>
        <v/>
      </c>
      <c r="M61" s="220"/>
      <c r="N61" s="220"/>
      <c r="O61" s="220"/>
      <c r="P61" s="220"/>
      <c r="Q61" s="220"/>
      <c r="R61" s="220"/>
      <c r="S61" s="220"/>
      <c r="T61" s="220"/>
      <c r="U61" s="220"/>
      <c r="V61" s="220"/>
      <c r="W61" s="220"/>
    </row>
    <row r="62" ht="15.75" customHeight="1" outlineLevel="1">
      <c r="A62" s="211"/>
      <c r="B62" s="212"/>
      <c r="C62" s="213"/>
      <c r="D62" s="214" t="str">
        <f>IFERROR(VLOOKUP($C62,'PORTIFÓLIO'!C:V,2,0),"")</f>
        <v/>
      </c>
      <c r="E62" s="211" t="str">
        <f>IFERROR(VLOOKUP($C62,'PORTIFÓLIO'!C:V,3,0),"")</f>
        <v/>
      </c>
      <c r="F62" s="211" t="str">
        <f>IFERROR(VLOOKUP($C62,'PORTIFÓLIO'!C:V,4,0),"")</f>
        <v/>
      </c>
      <c r="G62" s="215" t="str">
        <f>IFERROR(VLOOKUP($C62,'PORTIFÓLIO'!C:V,5,0),"")</f>
        <v/>
      </c>
      <c r="H62" s="254" t="str">
        <f t="array" ref="H62">IFERROR(INDEX('PORTIFÓLIO'!$H$4:$H$433,MATCH($C62,'PORTIFÓLIO'!$C$4:$C$433,0)),"")</f>
        <v/>
      </c>
      <c r="I62" s="256"/>
      <c r="J62" s="218">
        <f t="shared" si="6"/>
        <v>0</v>
      </c>
      <c r="K62" s="219" t="str">
        <f t="array" ref="K62">IFERROR(I62*INDEX('PORTIFÓLIO'!$S$4:$S$433,MATCH($C62,'PORTIFÓLIO'!$C$4:$C$433,0)),"")</f>
        <v/>
      </c>
      <c r="L62" s="219" t="str">
        <f t="array" ref="L62">IFERROR(J62*INDEX('PORTIFÓLIO'!$S$4:$S$433,MATCH($C62,'PORTIFÓLIO'!$C$4:$C$433,0)),"")</f>
        <v/>
      </c>
      <c r="M62" s="220"/>
      <c r="N62" s="220"/>
      <c r="O62" s="220"/>
      <c r="P62" s="220"/>
      <c r="Q62" s="220"/>
      <c r="R62" s="220"/>
      <c r="S62" s="220"/>
      <c r="T62" s="220"/>
      <c r="U62" s="220"/>
      <c r="V62" s="220"/>
      <c r="W62" s="220"/>
    </row>
    <row r="63" ht="15.75" customHeight="1">
      <c r="A63" s="229" t="s">
        <v>1186</v>
      </c>
      <c r="B63" s="230"/>
      <c r="C63" s="231"/>
      <c r="D63" s="232"/>
      <c r="E63" s="231"/>
      <c r="F63" s="231"/>
      <c r="G63" s="233"/>
      <c r="H63" s="233"/>
      <c r="I63" s="258"/>
      <c r="J63" s="236"/>
      <c r="K63" s="237">
        <f t="shared" ref="K63:L63" si="7">SUBTOTAL(9,K64:K76)</f>
        <v>442.19122</v>
      </c>
      <c r="L63" s="237">
        <f t="shared" si="7"/>
        <v>35375.2976</v>
      </c>
      <c r="M63" s="220"/>
      <c r="N63" s="220"/>
      <c r="O63" s="220"/>
      <c r="P63" s="220"/>
      <c r="Q63" s="220"/>
      <c r="R63" s="220"/>
      <c r="S63" s="220"/>
      <c r="T63" s="220"/>
      <c r="U63" s="220"/>
      <c r="V63" s="220"/>
      <c r="W63" s="220"/>
    </row>
    <row r="64" ht="15.75" customHeight="1" outlineLevel="1">
      <c r="A64" s="213"/>
      <c r="B64" s="212" t="s">
        <v>5</v>
      </c>
      <c r="C64" s="213" t="s">
        <v>1057</v>
      </c>
      <c r="D64" s="214" t="str">
        <f>IFERROR(VLOOKUP($C64,'PORTIFÓLIO'!C:V,2,0),"")</f>
        <v/>
      </c>
      <c r="E64" s="211" t="str">
        <f>IFERROR(VLOOKUP($C64,'PORTIFÓLIO'!C:V,3,0),"")</f>
        <v/>
      </c>
      <c r="F64" s="211" t="str">
        <f>IFERROR(VLOOKUP($C64,'PORTIFÓLIO'!C:V,4,0),"")</f>
        <v>5MM</v>
      </c>
      <c r="G64" s="225" t="str">
        <f>IFERROR(VLOOKUP($C64,'PORTIFÓLIO'!C:V,5,0),"")</f>
        <v>📄 Ver bula</v>
      </c>
      <c r="H64" s="254" t="str">
        <f t="array" ref="H64">IFERROR(INDEX('PORTIFÓLIO'!$H$4:$H$433,MATCH($C64,'PORTIFÓLIO'!$C$4:$C$433,0)),"")</f>
        <v/>
      </c>
      <c r="I64" s="255">
        <v>0.04</v>
      </c>
      <c r="J64" s="218">
        <f t="shared" ref="J64:J80" si="8">I64*$B$2</f>
        <v>3.2</v>
      </c>
      <c r="K64" s="219">
        <f t="array" ref="K64">IFERROR(I64*INDEX('PORTIFÓLIO'!$S$4:$S$433,MATCH($C64,'PORTIFÓLIO'!$C$4:$C$433,0)),"")</f>
        <v>0</v>
      </c>
      <c r="L64" s="219">
        <f t="array" ref="L64">IFERROR(J64*INDEX('PORTIFÓLIO'!$S$4:$S$433,MATCH($C64,'PORTIFÓLIO'!$C$4:$C$433,0)),"")</f>
        <v>0</v>
      </c>
      <c r="M64" s="220"/>
      <c r="N64" s="220"/>
      <c r="O64" s="220"/>
      <c r="P64" s="220"/>
      <c r="Q64" s="220"/>
      <c r="R64" s="220"/>
      <c r="S64" s="220"/>
      <c r="T64" s="220"/>
      <c r="U64" s="220"/>
      <c r="V64" s="220"/>
      <c r="W64" s="220"/>
    </row>
    <row r="65" ht="15.75" customHeight="1" outlineLevel="1">
      <c r="A65" s="211"/>
      <c r="B65" s="212" t="s">
        <v>3</v>
      </c>
      <c r="C65" s="213" t="s">
        <v>1011</v>
      </c>
      <c r="D65" s="214" t="str">
        <f>IFERROR(VLOOKUP($C65,'PORTIFÓLIO'!C:V,2,0),"")</f>
        <v>METALAXIL-M + TIABENDAZOL + FLUDIOXONIL +
 TIAMETOXAM</v>
      </c>
      <c r="E65" s="211" t="str">
        <f>IFERROR(VLOOKUP($C65,'PORTIFÓLIO'!C:V,3,0),"")</f>
        <v>20 + 150 + 25 + 350</v>
      </c>
      <c r="F65" s="211" t="str">
        <f>IFERROR(VLOOKUP($C65,'PORTIFÓLIO'!C:V,4,0),"")</f>
        <v/>
      </c>
      <c r="G65" s="225" t="str">
        <f>IFERROR(VLOOKUP($C65,'PORTIFÓLIO'!C:V,5,0),"")</f>
        <v>📄 Ver bula</v>
      </c>
      <c r="H65" s="254">
        <f t="array" ref="H65">IFERROR(INDEX('PORTIFÓLIO'!$H$4:$H$433,MATCH($C65,'PORTIFÓLIO'!$C$4:$C$433,0)),"")</f>
        <v>0.05</v>
      </c>
      <c r="I65" s="255">
        <v>0.05</v>
      </c>
      <c r="J65" s="218">
        <f t="shared" si="8"/>
        <v>4</v>
      </c>
      <c r="K65" s="219">
        <f t="array" ref="K65">IFERROR(I65*INDEX('PORTIFÓLIO'!$S$4:$S$433,MATCH($C65,'PORTIFÓLIO'!$C$4:$C$433,0)),"")</f>
        <v>25.27</v>
      </c>
      <c r="L65" s="219">
        <f t="array" ref="L65">IFERROR(J65*INDEX('PORTIFÓLIO'!$S$4:$S$433,MATCH($C65,'PORTIFÓLIO'!$C$4:$C$433,0)),"")</f>
        <v>2021.6</v>
      </c>
      <c r="M65" s="220"/>
      <c r="N65" s="220"/>
      <c r="O65" s="220"/>
      <c r="P65" s="220"/>
      <c r="Q65" s="220"/>
      <c r="R65" s="220"/>
      <c r="S65" s="220"/>
      <c r="T65" s="220"/>
      <c r="U65" s="220"/>
      <c r="V65" s="220"/>
      <c r="W65" s="220"/>
    </row>
    <row r="66" ht="15.75" customHeight="1" outlineLevel="1">
      <c r="A66" s="211"/>
      <c r="B66" s="212" t="s">
        <v>3</v>
      </c>
      <c r="C66" s="213" t="s">
        <v>1007</v>
      </c>
      <c r="D66" s="214" t="str">
        <f>IFERROR(VLOOKUP($C66,'PORTIFÓLIO'!C:V,2,0),"")</f>
        <v>DIFENOCONAZOL</v>
      </c>
      <c r="E66" s="211">
        <f>IFERROR(VLOOKUP($C66,'PORTIFÓLIO'!C:V,3,0),"")</f>
        <v>150</v>
      </c>
      <c r="F66" s="211" t="str">
        <f>IFERROR(VLOOKUP($C66,'PORTIFÓLIO'!C:V,4,0),"")</f>
        <v/>
      </c>
      <c r="G66" s="225" t="str">
        <f>IFERROR(VLOOKUP($C66,'PORTIFÓLIO'!C:V,5,0),"")</f>
        <v>📄 Ver bula</v>
      </c>
      <c r="H66" s="254">
        <f t="array" ref="H66">IFERROR(INDEX('PORTIFÓLIO'!$H$4:$H$433,MATCH($C66,'PORTIFÓLIO'!$C$4:$C$433,0)),"")</f>
        <v>0.015</v>
      </c>
      <c r="I66" s="255">
        <v>0.02</v>
      </c>
      <c r="J66" s="218">
        <f t="shared" si="8"/>
        <v>1.6</v>
      </c>
      <c r="K66" s="219">
        <f t="array" ref="K66">IFERROR(I66*INDEX('PORTIFÓLIO'!$S$4:$S$433,MATCH($C66,'PORTIFÓLIO'!$C$4:$C$433,0)),"")</f>
        <v>1.78486</v>
      </c>
      <c r="L66" s="219">
        <f t="array" ref="L66">IFERROR(J66*INDEX('PORTIFÓLIO'!$S$4:$S$433,MATCH($C66,'PORTIFÓLIO'!$C$4:$C$433,0)),"")</f>
        <v>142.7888</v>
      </c>
      <c r="M66" s="220"/>
      <c r="N66" s="220"/>
      <c r="O66" s="220"/>
      <c r="P66" s="220"/>
      <c r="Q66" s="220"/>
      <c r="R66" s="220"/>
      <c r="S66" s="220"/>
      <c r="T66" s="220"/>
      <c r="U66" s="220"/>
      <c r="V66" s="220"/>
      <c r="W66" s="220"/>
    </row>
    <row r="67" ht="15.75" customHeight="1" outlineLevel="1">
      <c r="A67" s="211"/>
      <c r="B67" s="212" t="s">
        <v>3</v>
      </c>
      <c r="C67" s="213" t="s">
        <v>1005</v>
      </c>
      <c r="D67" s="214" t="str">
        <f>IFERROR(VLOOKUP($C67,'PORTIFÓLIO'!C:V,2,0),"")</f>
        <v>CICLOBUTRIFLURAM</v>
      </c>
      <c r="E67" s="211">
        <f>IFERROR(VLOOKUP($C67,'PORTIFÓLIO'!C:V,3,0),"")</f>
        <v>500</v>
      </c>
      <c r="F67" s="211" t="str">
        <f>IFERROR(VLOOKUP($C67,'PORTIFÓLIO'!C:V,4,0),"")</f>
        <v/>
      </c>
      <c r="G67" s="225" t="str">
        <f>IFERROR(VLOOKUP($C67,'PORTIFÓLIO'!C:V,5,0),"")</f>
        <v>📄 Ver bula</v>
      </c>
      <c r="H67" s="254">
        <f t="array" ref="H67">IFERROR(INDEX('PORTIFÓLIO'!$H$4:$H$433,MATCH($C67,'PORTIFÓLIO'!$C$4:$C$433,0)),"")</f>
        <v>0.02</v>
      </c>
      <c r="I67" s="255">
        <v>0.04</v>
      </c>
      <c r="J67" s="218">
        <f t="shared" si="8"/>
        <v>3.2</v>
      </c>
      <c r="K67" s="219">
        <f t="array" ref="K67">IFERROR(I67*INDEX('PORTIFÓLIO'!$S$4:$S$433,MATCH($C67,'PORTIFÓLIO'!$C$4:$C$433,0)),"")</f>
        <v>175.41636</v>
      </c>
      <c r="L67" s="219">
        <f t="array" ref="L67">IFERROR(J67*INDEX('PORTIFÓLIO'!$S$4:$S$433,MATCH($C67,'PORTIFÓLIO'!$C$4:$C$433,0)),"")</f>
        <v>14033.3088</v>
      </c>
      <c r="M67" s="220"/>
      <c r="N67" s="220"/>
      <c r="O67" s="220"/>
      <c r="P67" s="220"/>
      <c r="Q67" s="220"/>
      <c r="R67" s="220"/>
      <c r="S67" s="220"/>
      <c r="T67" s="220"/>
      <c r="U67" s="220"/>
      <c r="V67" s="220"/>
      <c r="W67" s="220"/>
    </row>
    <row r="68" ht="15.75" customHeight="1" outlineLevel="1">
      <c r="A68" s="211"/>
      <c r="B68" s="212" t="s">
        <v>4</v>
      </c>
      <c r="C68" s="213" t="s">
        <v>1094</v>
      </c>
      <c r="D68" s="214" t="str">
        <f>IFERROR(VLOOKUP($C68,'PORTIFÓLIO'!C:V,2,0),"")</f>
        <v>Bradyrhizobium sp.</v>
      </c>
      <c r="E68" s="211" t="str">
        <f>IFERROR(VLOOKUP($C68,'PORTIFÓLIO'!C:V,3,0),"")</f>
        <v/>
      </c>
      <c r="F68" s="211" t="str">
        <f>IFERROR(VLOOKUP($C68,'PORTIFÓLIO'!C:V,4,0),"")</f>
        <v>L</v>
      </c>
      <c r="G68" s="225" t="str">
        <f>IFERROR(VLOOKUP($C68,'PORTIFÓLIO'!C:V,5,0),"")</f>
        <v>📄 Ver bula</v>
      </c>
      <c r="H68" s="254">
        <f t="array" ref="H68">IFERROR(INDEX('PORTIFÓLIO'!$H$4:$H$433,MATCH($C68,'PORTIFÓLIO'!$C$4:$C$433,0)),"")</f>
        <v>2</v>
      </c>
      <c r="I68" s="255">
        <v>4.0</v>
      </c>
      <c r="J68" s="218">
        <f t="shared" si="8"/>
        <v>320</v>
      </c>
      <c r="K68" s="219">
        <f t="array" ref="K68">IFERROR(I68*INDEX('PORTIFÓLIO'!$S$4:$S$433,MATCH($C68,'PORTIFÓLIO'!$C$4:$C$433,0)),"")</f>
        <v>104</v>
      </c>
      <c r="L68" s="219">
        <f t="array" ref="L68">IFERROR(J68*INDEX('PORTIFÓLIO'!$S$4:$S$433,MATCH($C68,'PORTIFÓLIO'!$C$4:$C$433,0)),"")</f>
        <v>8320</v>
      </c>
      <c r="M68" s="220"/>
      <c r="N68" s="220"/>
      <c r="O68" s="220"/>
      <c r="P68" s="220"/>
      <c r="Q68" s="220"/>
      <c r="R68" s="220"/>
      <c r="S68" s="220"/>
      <c r="T68" s="220"/>
      <c r="U68" s="220"/>
      <c r="V68" s="220"/>
      <c r="W68" s="220"/>
    </row>
    <row r="69" ht="15.75" customHeight="1" outlineLevel="1">
      <c r="A69" s="211"/>
      <c r="B69" s="212" t="s">
        <v>4</v>
      </c>
      <c r="C69" s="213" t="s">
        <v>1092</v>
      </c>
      <c r="D69" s="214" t="str">
        <f>IFERROR(VLOOKUP($C69,'PORTIFÓLIO'!C:V,2,0),"")</f>
        <v>Azospirillum brasiliense</v>
      </c>
      <c r="E69" s="211" t="str">
        <f>IFERROR(VLOOKUP($C69,'PORTIFÓLIO'!C:V,3,0),"")</f>
        <v/>
      </c>
      <c r="F69" s="211" t="str">
        <f>IFERROR(VLOOKUP($C69,'PORTIFÓLIO'!C:V,4,0),"")</f>
        <v>L</v>
      </c>
      <c r="G69" s="225" t="str">
        <f>IFERROR(VLOOKUP($C69,'PORTIFÓLIO'!C:V,5,0),"")</f>
        <v>📄 Ver bula</v>
      </c>
      <c r="H69" s="254">
        <f t="array" ref="H69">IFERROR(INDEX('PORTIFÓLIO'!$H$4:$H$433,MATCH($C69,'PORTIFÓLIO'!$C$4:$C$433,0)),"")</f>
        <v>2</v>
      </c>
      <c r="I69" s="255">
        <v>1.0</v>
      </c>
      <c r="J69" s="218">
        <f t="shared" si="8"/>
        <v>80</v>
      </c>
      <c r="K69" s="219">
        <f t="array" ref="K69">IFERROR(I69*INDEX('PORTIFÓLIO'!$S$4:$S$433,MATCH($C69,'PORTIFÓLIO'!$C$4:$C$433,0)),"")</f>
        <v>36.4</v>
      </c>
      <c r="L69" s="219">
        <f t="array" ref="L69">IFERROR(J69*INDEX('PORTIFÓLIO'!$S$4:$S$433,MATCH($C69,'PORTIFÓLIO'!$C$4:$C$433,0)),"")</f>
        <v>2912</v>
      </c>
      <c r="M69" s="220"/>
      <c r="N69" s="220"/>
      <c r="O69" s="220"/>
      <c r="P69" s="220"/>
      <c r="Q69" s="220"/>
      <c r="R69" s="220"/>
      <c r="S69" s="220"/>
      <c r="T69" s="220"/>
      <c r="U69" s="220"/>
      <c r="V69" s="220"/>
      <c r="W69" s="220"/>
    </row>
    <row r="70" ht="15.75" customHeight="1" outlineLevel="1">
      <c r="A70" s="211"/>
      <c r="B70" s="212" t="s">
        <v>4</v>
      </c>
      <c r="C70" s="213" t="s">
        <v>1107</v>
      </c>
      <c r="D70" s="214" t="str">
        <f>IFERROR(VLOOKUP($C70,'PORTIFÓLIO'!C:V,2,0),"")</f>
        <v>Priestia aryabhattai</v>
      </c>
      <c r="E70" s="211" t="str">
        <f>IFERROR(VLOOKUP($C70,'PORTIFÓLIO'!C:V,3,0),"")</f>
        <v/>
      </c>
      <c r="F70" s="211" t="str">
        <f>IFERROR(VLOOKUP($C70,'PORTIFÓLIO'!C:V,4,0),"")</f>
        <v/>
      </c>
      <c r="G70" s="225" t="str">
        <f>IFERROR(VLOOKUP($C70,'PORTIFÓLIO'!C:V,5,0),"")</f>
        <v>📄 Ver bula</v>
      </c>
      <c r="H70" s="254">
        <f t="array" ref="H70">IFERROR(INDEX('PORTIFÓLIO'!$H$4:$H$433,MATCH($C70,'PORTIFÓLIO'!$C$4:$C$433,0)),"")</f>
        <v>2</v>
      </c>
      <c r="I70" s="255">
        <v>1.0</v>
      </c>
      <c r="J70" s="218">
        <f t="shared" si="8"/>
        <v>80</v>
      </c>
      <c r="K70" s="219">
        <f t="array" ref="K70">IFERROR(I70*INDEX('PORTIFÓLIO'!$S$4:$S$433,MATCH($C70,'PORTIFÓLIO'!$C$4:$C$433,0)),"")</f>
        <v>81.12</v>
      </c>
      <c r="L70" s="219">
        <f t="array" ref="L70">IFERROR(J70*INDEX('PORTIFÓLIO'!$S$4:$S$433,MATCH($C70,'PORTIFÓLIO'!$C$4:$C$433,0)),"")</f>
        <v>6489.6</v>
      </c>
      <c r="M70" s="220"/>
      <c r="N70" s="220"/>
      <c r="O70" s="220"/>
      <c r="P70" s="220"/>
      <c r="Q70" s="220"/>
      <c r="R70" s="220"/>
      <c r="S70" s="220"/>
      <c r="T70" s="220"/>
      <c r="U70" s="220"/>
      <c r="V70" s="220"/>
      <c r="W70" s="220"/>
    </row>
    <row r="71" ht="15.75" customHeight="1" outlineLevel="1">
      <c r="A71" s="211"/>
      <c r="B71" s="212" t="s">
        <v>4</v>
      </c>
      <c r="C71" s="213" t="s">
        <v>1187</v>
      </c>
      <c r="D71" s="214" t="str">
        <f>IFERROR(VLOOKUP($C71,'PORTIFÓLIO'!C:V,2,0),"")</f>
        <v/>
      </c>
      <c r="E71" s="211" t="str">
        <f>IFERROR(VLOOKUP($C71,'PORTIFÓLIO'!C:V,3,0),"")</f>
        <v/>
      </c>
      <c r="F71" s="211" t="str">
        <f>IFERROR(VLOOKUP($C71,'PORTIFÓLIO'!C:V,4,0),"")</f>
        <v/>
      </c>
      <c r="G71" s="215" t="str">
        <f>IFERROR(VLOOKUP($C71,'PORTIFÓLIO'!C:V,5,0),"")</f>
        <v/>
      </c>
      <c r="H71" s="254" t="str">
        <f t="array" ref="H71">IFERROR(INDEX('PORTIFÓLIO'!$H$4:$H$433,MATCH($C71,'PORTIFÓLIO'!$C$4:$C$433,0)),"")</f>
        <v/>
      </c>
      <c r="I71" s="255">
        <v>1.0</v>
      </c>
      <c r="J71" s="218">
        <f t="shared" si="8"/>
        <v>80</v>
      </c>
      <c r="K71" s="219" t="str">
        <f t="array" ref="K71">IFERROR(I71*INDEX('PORTIFÓLIO'!$S$4:$S$433,MATCH($C71,'PORTIFÓLIO'!$C$4:$C$433,0)),"")</f>
        <v/>
      </c>
      <c r="L71" s="219" t="str">
        <f t="array" ref="L71">IFERROR(J71*INDEX('PORTIFÓLIO'!$S$4:$S$433,MATCH($C71,'PORTIFÓLIO'!$C$4:$C$433,0)),"")</f>
        <v/>
      </c>
      <c r="M71" s="220"/>
      <c r="N71" s="220"/>
      <c r="O71" s="220"/>
      <c r="P71" s="220"/>
      <c r="Q71" s="220"/>
      <c r="R71" s="220"/>
      <c r="S71" s="220"/>
      <c r="T71" s="220"/>
      <c r="U71" s="220"/>
      <c r="V71" s="220"/>
      <c r="W71" s="220"/>
    </row>
    <row r="72" ht="15.75" customHeight="1" outlineLevel="1">
      <c r="A72" s="211"/>
      <c r="B72" s="212" t="s">
        <v>9</v>
      </c>
      <c r="C72" s="213" t="s">
        <v>1115</v>
      </c>
      <c r="D72" s="214" t="str">
        <f>IFERROR(VLOOKUP($C72,'PORTIFÓLIO'!C:V,2,0),"")</f>
        <v>Nutrifarm</v>
      </c>
      <c r="E72" s="211" t="str">
        <f>IFERROR(VLOOKUP($C72,'PORTIFÓLIO'!C:V,3,0),"")</f>
        <v/>
      </c>
      <c r="F72" s="211" t="str">
        <f>IFERROR(VLOOKUP($C72,'PORTIFÓLIO'!C:V,4,0),"")</f>
        <v>L</v>
      </c>
      <c r="G72" s="225" t="str">
        <f>IFERROR(VLOOKUP($C72,'PORTIFÓLIO'!C:V,5,0),"")</f>
        <v>📄 Ver bula</v>
      </c>
      <c r="H72" s="254">
        <f t="array" ref="H72">IFERROR(INDEX('PORTIFÓLIO'!$H$4:$H$433,MATCH($C72,'PORTIFÓLIO'!$C$4:$C$433,0)),"")</f>
        <v>0.2</v>
      </c>
      <c r="I72" s="255">
        <v>0.1</v>
      </c>
      <c r="J72" s="218">
        <f t="shared" si="8"/>
        <v>8</v>
      </c>
      <c r="K72" s="219">
        <f t="array" ref="K72">IFERROR(I72*INDEX('PORTIFÓLIO'!$S$4:$S$433,MATCH($C72,'PORTIFÓLIO'!$C$4:$C$433,0)),"")</f>
        <v>18.2</v>
      </c>
      <c r="L72" s="219">
        <f t="array" ref="L72">IFERROR(J72*INDEX('PORTIFÓLIO'!$S$4:$S$433,MATCH($C72,'PORTIFÓLIO'!$C$4:$C$433,0)),"")</f>
        <v>1456</v>
      </c>
      <c r="M72" s="220"/>
      <c r="N72" s="220"/>
      <c r="O72" s="220"/>
      <c r="P72" s="220"/>
      <c r="Q72" s="220"/>
      <c r="R72" s="220"/>
      <c r="S72" s="220"/>
      <c r="T72" s="220"/>
      <c r="U72" s="220"/>
      <c r="V72" s="220"/>
      <c r="W72" s="220"/>
    </row>
    <row r="73" ht="15.75" customHeight="1" outlineLevel="1">
      <c r="A73" s="211"/>
      <c r="B73" s="212"/>
      <c r="C73" s="213"/>
      <c r="D73" s="214" t="str">
        <f>IFERROR(VLOOKUP($C73,'PORTIFÓLIO'!C:V,2,0),"")</f>
        <v/>
      </c>
      <c r="E73" s="211" t="str">
        <f>IFERROR(VLOOKUP($C73,'PORTIFÓLIO'!C:V,3,0),"")</f>
        <v/>
      </c>
      <c r="F73" s="211" t="str">
        <f>IFERROR(VLOOKUP($C73,'PORTIFÓLIO'!C:V,4,0),"")</f>
        <v/>
      </c>
      <c r="G73" s="215" t="str">
        <f>IFERROR(VLOOKUP($C73,'PORTIFÓLIO'!C:V,5,0),"")</f>
        <v/>
      </c>
      <c r="H73" s="254" t="str">
        <f t="array" ref="H73">IFERROR(INDEX('PORTIFÓLIO'!$H$4:$H$433,MATCH($C73,'PORTIFÓLIO'!$C$4:$C$433,0)),"")</f>
        <v/>
      </c>
      <c r="I73" s="256"/>
      <c r="J73" s="218">
        <f t="shared" si="8"/>
        <v>0</v>
      </c>
      <c r="K73" s="219" t="str">
        <f t="array" ref="K73">IFERROR(I73*INDEX('PORTIFÓLIO'!$S$4:$S$433,MATCH($C73,'PORTIFÓLIO'!$C$4:$C$433,0)),"")</f>
        <v/>
      </c>
      <c r="L73" s="219" t="str">
        <f t="array" ref="L73">IFERROR(J73*INDEX('PORTIFÓLIO'!$S$4:$S$433,MATCH($C73,'PORTIFÓLIO'!$C$4:$C$433,0)),"")</f>
        <v/>
      </c>
      <c r="M73" s="220"/>
      <c r="N73" s="220"/>
      <c r="O73" s="220"/>
      <c r="P73" s="220"/>
      <c r="Q73" s="220"/>
      <c r="R73" s="220"/>
      <c r="S73" s="220"/>
      <c r="T73" s="220"/>
      <c r="U73" s="220"/>
      <c r="V73" s="220"/>
      <c r="W73" s="220"/>
    </row>
    <row r="74" ht="15.75" customHeight="1" outlineLevel="1">
      <c r="A74" s="211"/>
      <c r="B74" s="212"/>
      <c r="C74" s="213"/>
      <c r="D74" s="214" t="str">
        <f>IFERROR(VLOOKUP($C74,'PORTIFÓLIO'!C:V,2,0),"")</f>
        <v/>
      </c>
      <c r="E74" s="211" t="str">
        <f>IFERROR(VLOOKUP($C74,'PORTIFÓLIO'!C:V,3,0),"")</f>
        <v/>
      </c>
      <c r="F74" s="211" t="str">
        <f>IFERROR(VLOOKUP($C74,'PORTIFÓLIO'!C:V,4,0),"")</f>
        <v/>
      </c>
      <c r="G74" s="215" t="str">
        <f>IFERROR(VLOOKUP($C74,'PORTIFÓLIO'!C:V,5,0),"")</f>
        <v/>
      </c>
      <c r="H74" s="254" t="str">
        <f t="array" ref="H74">IFERROR(INDEX('PORTIFÓLIO'!$H$4:$H$433,MATCH($C74,'PORTIFÓLIO'!$C$4:$C$433,0)),"")</f>
        <v/>
      </c>
      <c r="I74" s="256"/>
      <c r="J74" s="218">
        <f t="shared" si="8"/>
        <v>0</v>
      </c>
      <c r="K74" s="219" t="str">
        <f t="array" ref="K74">IFERROR(I74*INDEX('PORTIFÓLIO'!$S$4:$S$433,MATCH($C74,'PORTIFÓLIO'!$C$4:$C$433,0)),"")</f>
        <v/>
      </c>
      <c r="L74" s="219" t="str">
        <f t="array" ref="L74">IFERROR(J74*INDEX('PORTIFÓLIO'!$S$4:$S$433,MATCH($C74,'PORTIFÓLIO'!$C$4:$C$433,0)),"")</f>
        <v/>
      </c>
      <c r="M74" s="220"/>
      <c r="N74" s="220"/>
      <c r="O74" s="220"/>
      <c r="P74" s="220"/>
      <c r="Q74" s="220"/>
      <c r="R74" s="220"/>
      <c r="S74" s="220"/>
      <c r="T74" s="220"/>
      <c r="U74" s="220"/>
      <c r="V74" s="220"/>
      <c r="W74" s="220"/>
    </row>
    <row r="75" ht="15.75" customHeight="1" outlineLevel="1">
      <c r="A75" s="211"/>
      <c r="B75" s="212"/>
      <c r="C75" s="213"/>
      <c r="D75" s="214" t="str">
        <f>IFERROR(VLOOKUP($C75,'PORTIFÓLIO'!C:V,2,0),"")</f>
        <v/>
      </c>
      <c r="E75" s="211" t="str">
        <f>IFERROR(VLOOKUP($C75,'PORTIFÓLIO'!C:V,3,0),"")</f>
        <v/>
      </c>
      <c r="F75" s="211" t="str">
        <f>IFERROR(VLOOKUP($C75,'PORTIFÓLIO'!C:V,4,0),"")</f>
        <v/>
      </c>
      <c r="G75" s="215" t="str">
        <f>IFERROR(VLOOKUP($C75,'PORTIFÓLIO'!C:V,5,0),"")</f>
        <v/>
      </c>
      <c r="H75" s="254" t="str">
        <f t="array" ref="H75">IFERROR(INDEX('PORTIFÓLIO'!$H$4:$H$433,MATCH($C75,'PORTIFÓLIO'!$C$4:$C$433,0)),"")</f>
        <v/>
      </c>
      <c r="I75" s="256"/>
      <c r="J75" s="218">
        <f t="shared" si="8"/>
        <v>0</v>
      </c>
      <c r="K75" s="219" t="str">
        <f t="array" ref="K75">IFERROR(I75*INDEX('PORTIFÓLIO'!$S$4:$S$433,MATCH($C75,'PORTIFÓLIO'!$C$4:$C$433,0)),"")</f>
        <v/>
      </c>
      <c r="L75" s="219" t="str">
        <f t="array" ref="L75">IFERROR(J75*INDEX('PORTIFÓLIO'!$S$4:$S$433,MATCH($C75,'PORTIFÓLIO'!$C$4:$C$433,0)),"")</f>
        <v/>
      </c>
      <c r="M75" s="220"/>
      <c r="N75" s="220"/>
      <c r="O75" s="220"/>
      <c r="P75" s="220"/>
      <c r="Q75" s="220"/>
      <c r="R75" s="220"/>
      <c r="S75" s="220"/>
      <c r="T75" s="220"/>
      <c r="U75" s="220"/>
      <c r="V75" s="220"/>
      <c r="W75" s="220"/>
    </row>
    <row r="76" ht="15.75" customHeight="1" outlineLevel="1">
      <c r="A76" s="211"/>
      <c r="B76" s="212"/>
      <c r="C76" s="213"/>
      <c r="D76" s="214" t="str">
        <f>IFERROR(VLOOKUP($C76,'PORTIFÓLIO'!C:V,2,0),"")</f>
        <v/>
      </c>
      <c r="E76" s="211" t="str">
        <f>IFERROR(VLOOKUP($C76,'PORTIFÓLIO'!C:V,3,0),"")</f>
        <v/>
      </c>
      <c r="F76" s="211" t="str">
        <f>IFERROR(VLOOKUP($C76,'PORTIFÓLIO'!C:V,4,0),"")</f>
        <v/>
      </c>
      <c r="G76" s="215" t="str">
        <f>IFERROR(VLOOKUP($C76,'PORTIFÓLIO'!C:V,5,0),"")</f>
        <v/>
      </c>
      <c r="H76" s="254" t="str">
        <f t="array" ref="H76">IFERROR(INDEX('PORTIFÓLIO'!$H$4:$H$433,MATCH($C76,'PORTIFÓLIO'!$C$4:$C$433,0)),"")</f>
        <v/>
      </c>
      <c r="I76" s="256"/>
      <c r="J76" s="218">
        <f t="shared" si="8"/>
        <v>0</v>
      </c>
      <c r="K76" s="219" t="str">
        <f t="array" ref="K76">IFERROR(I76*INDEX('PORTIFÓLIO'!$S$4:$S$433,MATCH($C76,'PORTIFÓLIO'!$C$4:$C$433,0)),"")</f>
        <v/>
      </c>
      <c r="L76" s="219" t="str">
        <f t="array" ref="L76">IFERROR(J76*INDEX('PORTIFÓLIO'!$S$4:$S$433,MATCH($C76,'PORTIFÓLIO'!$C$4:$C$433,0)),"")</f>
        <v/>
      </c>
      <c r="M76" s="220"/>
      <c r="N76" s="220"/>
      <c r="O76" s="220"/>
      <c r="P76" s="220"/>
      <c r="Q76" s="220"/>
      <c r="R76" s="220"/>
      <c r="S76" s="220"/>
      <c r="T76" s="220"/>
      <c r="U76" s="220"/>
      <c r="V76" s="220"/>
      <c r="W76" s="220"/>
    </row>
    <row r="77" ht="15.75" customHeight="1" outlineLevel="1">
      <c r="A77" s="211"/>
      <c r="B77" s="212"/>
      <c r="C77" s="213"/>
      <c r="D77" s="214" t="str">
        <f>IFERROR(VLOOKUP($C77,'PORTIFÓLIO'!C:V,2,0),"")</f>
        <v/>
      </c>
      <c r="E77" s="211" t="str">
        <f>IFERROR(VLOOKUP($C77,'PORTIFÓLIO'!C:V,3,0),"")</f>
        <v/>
      </c>
      <c r="F77" s="211" t="str">
        <f>IFERROR(VLOOKUP($C77,'PORTIFÓLIO'!C:V,4,0),"")</f>
        <v/>
      </c>
      <c r="G77" s="215" t="str">
        <f>IFERROR(VLOOKUP($C77,'PORTIFÓLIO'!C:V,5,0),"")</f>
        <v/>
      </c>
      <c r="H77" s="254" t="str">
        <f t="array" ref="H77">IFERROR(INDEX('PORTIFÓLIO'!$H$4:$H$433,MATCH($C77,'PORTIFÓLIO'!$C$4:$C$433,0)),"")</f>
        <v/>
      </c>
      <c r="I77" s="256"/>
      <c r="J77" s="218">
        <f t="shared" si="8"/>
        <v>0</v>
      </c>
      <c r="K77" s="219" t="str">
        <f t="array" ref="K77">IFERROR(I77*INDEX('PORTIFÓLIO'!$S$4:$S$433,MATCH($C77,'PORTIFÓLIO'!$C$4:$C$433,0)),"")</f>
        <v/>
      </c>
      <c r="L77" s="219" t="str">
        <f t="array" ref="L77">IFERROR(J77*INDEX('PORTIFÓLIO'!$S$4:$S$433,MATCH($C77,'PORTIFÓLIO'!$C$4:$C$433,0)),"")</f>
        <v/>
      </c>
      <c r="M77" s="220"/>
      <c r="N77" s="220"/>
      <c r="O77" s="220"/>
      <c r="P77" s="220"/>
      <c r="Q77" s="220"/>
      <c r="R77" s="220"/>
      <c r="S77" s="220"/>
      <c r="T77" s="220"/>
      <c r="U77" s="220"/>
      <c r="V77" s="220"/>
      <c r="W77" s="220"/>
    </row>
    <row r="78" ht="15.75" customHeight="1" outlineLevel="1">
      <c r="A78" s="211"/>
      <c r="B78" s="212"/>
      <c r="C78" s="213"/>
      <c r="D78" s="214" t="str">
        <f>IFERROR(VLOOKUP($C78,'PORTIFÓLIO'!C:V,2,0),"")</f>
        <v/>
      </c>
      <c r="E78" s="211" t="str">
        <f>IFERROR(VLOOKUP($C78,'PORTIFÓLIO'!C:V,3,0),"")</f>
        <v/>
      </c>
      <c r="F78" s="211" t="str">
        <f>IFERROR(VLOOKUP($C78,'PORTIFÓLIO'!C:V,4,0),"")</f>
        <v/>
      </c>
      <c r="G78" s="215" t="str">
        <f>IFERROR(VLOOKUP($C78,'PORTIFÓLIO'!C:V,5,0),"")</f>
        <v/>
      </c>
      <c r="H78" s="254" t="str">
        <f t="array" ref="H78">IFERROR(INDEX('PORTIFÓLIO'!$H$4:$H$433,MATCH($C78,'PORTIFÓLIO'!$C$4:$C$433,0)),"")</f>
        <v/>
      </c>
      <c r="I78" s="256"/>
      <c r="J78" s="218">
        <f t="shared" si="8"/>
        <v>0</v>
      </c>
      <c r="K78" s="219" t="str">
        <f t="array" ref="K78">IFERROR(I78*INDEX('PORTIFÓLIO'!$S$4:$S$433,MATCH($C78,'PORTIFÓLIO'!$C$4:$C$433,0)),"")</f>
        <v/>
      </c>
      <c r="L78" s="219" t="str">
        <f t="array" ref="L78">IFERROR(J78*INDEX('PORTIFÓLIO'!$S$4:$S$433,MATCH($C78,'PORTIFÓLIO'!$C$4:$C$433,0)),"")</f>
        <v/>
      </c>
      <c r="M78" s="220"/>
      <c r="N78" s="220"/>
      <c r="O78" s="220"/>
      <c r="P78" s="220"/>
      <c r="Q78" s="220"/>
      <c r="R78" s="220"/>
      <c r="S78" s="220"/>
      <c r="T78" s="220"/>
      <c r="U78" s="220"/>
      <c r="V78" s="220"/>
      <c r="W78" s="220"/>
    </row>
    <row r="79" ht="15.75" customHeight="1" outlineLevel="1">
      <c r="A79" s="211"/>
      <c r="B79" s="212"/>
      <c r="C79" s="213"/>
      <c r="D79" s="214" t="str">
        <f>IFERROR(VLOOKUP($C79,'PORTIFÓLIO'!C:V,2,0),"")</f>
        <v/>
      </c>
      <c r="E79" s="211" t="str">
        <f>IFERROR(VLOOKUP($C79,'PORTIFÓLIO'!C:V,3,0),"")</f>
        <v/>
      </c>
      <c r="F79" s="211" t="str">
        <f>IFERROR(VLOOKUP($C79,'PORTIFÓLIO'!C:V,4,0),"")</f>
        <v/>
      </c>
      <c r="G79" s="215" t="str">
        <f>IFERROR(VLOOKUP($C79,'PORTIFÓLIO'!C:V,5,0),"")</f>
        <v/>
      </c>
      <c r="H79" s="254" t="str">
        <f t="array" ref="H79">IFERROR(INDEX('PORTIFÓLIO'!$H$4:$H$433,MATCH($C79,'PORTIFÓLIO'!$C$4:$C$433,0)),"")</f>
        <v/>
      </c>
      <c r="I79" s="256"/>
      <c r="J79" s="218">
        <f t="shared" si="8"/>
        <v>0</v>
      </c>
      <c r="K79" s="219" t="str">
        <f t="array" ref="K79">IFERROR(I79*INDEX('PORTIFÓLIO'!$S$4:$S$433,MATCH($C79,'PORTIFÓLIO'!$C$4:$C$433,0)),"")</f>
        <v/>
      </c>
      <c r="L79" s="219" t="str">
        <f t="array" ref="L79">IFERROR(J79*INDEX('PORTIFÓLIO'!$S$4:$S$433,MATCH($C79,'PORTIFÓLIO'!$C$4:$C$433,0)),"")</f>
        <v/>
      </c>
      <c r="M79" s="220"/>
      <c r="N79" s="220"/>
      <c r="O79" s="220"/>
      <c r="P79" s="220"/>
      <c r="Q79" s="220"/>
      <c r="R79" s="220"/>
      <c r="S79" s="220"/>
      <c r="T79" s="220"/>
      <c r="U79" s="220"/>
      <c r="V79" s="220"/>
      <c r="W79" s="220"/>
    </row>
    <row r="80" ht="15.75" customHeight="1" outlineLevel="1">
      <c r="A80" s="211"/>
      <c r="B80" s="212"/>
      <c r="C80" s="213"/>
      <c r="D80" s="214" t="str">
        <f>IFERROR(VLOOKUP($C80,'PORTIFÓLIO'!C:V,2,0),"")</f>
        <v/>
      </c>
      <c r="E80" s="211" t="str">
        <f>IFERROR(VLOOKUP($C80,'PORTIFÓLIO'!C:V,3,0),"")</f>
        <v/>
      </c>
      <c r="F80" s="211" t="str">
        <f>IFERROR(VLOOKUP($C80,'PORTIFÓLIO'!C:V,4,0),"")</f>
        <v/>
      </c>
      <c r="G80" s="215" t="str">
        <f>IFERROR(VLOOKUP($C80,'PORTIFÓLIO'!C:V,5,0),"")</f>
        <v/>
      </c>
      <c r="H80" s="254" t="str">
        <f t="array" ref="H80">IFERROR(INDEX('PORTIFÓLIO'!$H$4:$H$433,MATCH($C80,'PORTIFÓLIO'!$C$4:$C$433,0)),"")</f>
        <v/>
      </c>
      <c r="I80" s="256"/>
      <c r="J80" s="218">
        <f t="shared" si="8"/>
        <v>0</v>
      </c>
      <c r="K80" s="219" t="str">
        <f t="array" ref="K80">IFERROR(I80*INDEX('PORTIFÓLIO'!$S$4:$S$433,MATCH($C80,'PORTIFÓLIO'!$C$4:$C$433,0)),"")</f>
        <v/>
      </c>
      <c r="L80" s="219" t="str">
        <f t="array" ref="L80">IFERROR(J80*INDEX('PORTIFÓLIO'!$S$4:$S$433,MATCH($C80,'PORTIFÓLIO'!$C$4:$C$433,0)),"")</f>
        <v/>
      </c>
      <c r="M80" s="220"/>
      <c r="N80" s="220"/>
      <c r="O80" s="220"/>
      <c r="P80" s="220"/>
      <c r="Q80" s="220"/>
      <c r="R80" s="220"/>
      <c r="S80" s="220"/>
      <c r="T80" s="220"/>
      <c r="U80" s="220"/>
      <c r="V80" s="220"/>
      <c r="W80" s="220"/>
    </row>
    <row r="81" ht="15.75" customHeight="1">
      <c r="A81" s="229" t="s">
        <v>1188</v>
      </c>
      <c r="B81" s="230"/>
      <c r="C81" s="231"/>
      <c r="D81" s="232" t="s">
        <v>216</v>
      </c>
      <c r="E81" s="231"/>
      <c r="F81" s="231"/>
      <c r="G81" s="233"/>
      <c r="H81" s="233"/>
      <c r="I81" s="258"/>
      <c r="J81" s="236"/>
      <c r="K81" s="237">
        <f t="shared" ref="K81:L81" si="9">SUBTOTAL(9,K82:K95)</f>
        <v>83.234856</v>
      </c>
      <c r="L81" s="237">
        <f t="shared" si="9"/>
        <v>6658.78848</v>
      </c>
      <c r="M81" s="220"/>
      <c r="N81" s="220"/>
      <c r="O81" s="220"/>
      <c r="P81" s="220"/>
      <c r="Q81" s="220"/>
      <c r="R81" s="220"/>
      <c r="S81" s="220"/>
      <c r="T81" s="220"/>
      <c r="U81" s="220"/>
      <c r="V81" s="220"/>
      <c r="W81" s="220"/>
    </row>
    <row r="82" ht="15.75" customHeight="1" outlineLevel="1">
      <c r="A82" s="213"/>
      <c r="B82" s="212" t="s">
        <v>1</v>
      </c>
      <c r="C82" s="213" t="s">
        <v>637</v>
      </c>
      <c r="D82" s="214" t="str">
        <f>IFERROR(VLOOKUP($C82,'PORTIFÓLIO'!C:V,2,0),"")</f>
        <v>GLIFOSATO-SAL DE AMÔNIO</v>
      </c>
      <c r="E82" s="211">
        <f>IFERROR(VLOOKUP($C82,'PORTIFÓLIO'!C:V,3,0),"")</f>
        <v>720</v>
      </c>
      <c r="F82" s="211" t="str">
        <f>IFERROR(VLOOKUP($C82,'PORTIFÓLIO'!C:V,4,0),"")</f>
        <v>L</v>
      </c>
      <c r="G82" s="225" t="str">
        <f>IFERROR(VLOOKUP($C82,'PORTIFÓLIO'!C:V,5,0),"")</f>
        <v>📄 Ver bula</v>
      </c>
      <c r="H82" s="254">
        <f t="array" ref="H82">IFERROR(INDEX('PORTIFÓLIO'!$H$4:$H$433,MATCH($C82,'PORTIFÓLIO'!$C$4:$C$433,0)),"")</f>
        <v>2</v>
      </c>
      <c r="I82" s="255">
        <v>2.0</v>
      </c>
      <c r="J82" s="218">
        <f t="shared" ref="J82:J96" si="10">I82*$B$2</f>
        <v>160</v>
      </c>
      <c r="K82" s="219">
        <f t="array" ref="K82">IFERROR(I82*INDEX('PORTIFÓLIO'!$S$4:$S$433,MATCH($C82,'PORTIFÓLIO'!$C$4:$C$433,0)),"")</f>
        <v>49.16</v>
      </c>
      <c r="L82" s="219">
        <f t="array" ref="L82">IFERROR(J82*INDEX('PORTIFÓLIO'!$S$4:$S$433,MATCH($C82,'PORTIFÓLIO'!$C$4:$C$433,0)),"")</f>
        <v>3932.8</v>
      </c>
      <c r="M82" s="220"/>
      <c r="N82" s="220"/>
      <c r="O82" s="220"/>
      <c r="P82" s="220"/>
      <c r="Q82" s="220"/>
      <c r="R82" s="220"/>
      <c r="S82" s="220"/>
      <c r="T82" s="220"/>
      <c r="U82" s="220"/>
      <c r="V82" s="220"/>
      <c r="W82" s="220"/>
    </row>
    <row r="83" ht="15.75" customHeight="1" outlineLevel="1">
      <c r="A83" s="211"/>
      <c r="B83" s="212" t="s">
        <v>1</v>
      </c>
      <c r="C83" s="213" t="s">
        <v>616</v>
      </c>
      <c r="D83" s="214" t="str">
        <f>IFERROR(VLOOKUP($C83,'PORTIFÓLIO'!C:V,2,0),"")</f>
        <v>CLETODIM</v>
      </c>
      <c r="E83" s="211">
        <f>IFERROR(VLOOKUP($C83,'PORTIFÓLIO'!C:V,3,0),"")</f>
        <v>240</v>
      </c>
      <c r="F83" s="211" t="str">
        <f>IFERROR(VLOOKUP($C83,'PORTIFÓLIO'!C:V,4,0),"")</f>
        <v>L</v>
      </c>
      <c r="G83" s="225" t="str">
        <f>IFERROR(VLOOKUP($C83,'PORTIFÓLIO'!C:V,5,0),"")</f>
        <v>📄 Ver bula</v>
      </c>
      <c r="H83" s="254">
        <f t="array" ref="H83">IFERROR(INDEX('PORTIFÓLIO'!$H$4:$H$433,MATCH($C83,'PORTIFÓLIO'!$C$4:$C$433,0)),"")</f>
        <v>0.4</v>
      </c>
      <c r="I83" s="255">
        <v>0.4</v>
      </c>
      <c r="J83" s="218">
        <f t="shared" si="10"/>
        <v>32</v>
      </c>
      <c r="K83" s="219">
        <f t="array" ref="K83">IFERROR(I83*INDEX('PORTIFÓLIO'!$S$4:$S$433,MATCH($C83,'PORTIFÓLIO'!$C$4:$C$433,0)),"")</f>
        <v>13.204376</v>
      </c>
      <c r="L83" s="219">
        <f t="array" ref="L83">IFERROR(J83*INDEX('PORTIFÓLIO'!$S$4:$S$433,MATCH($C83,'PORTIFÓLIO'!$C$4:$C$433,0)),"")</f>
        <v>1056.35008</v>
      </c>
      <c r="M83" s="220"/>
      <c r="N83" s="220"/>
      <c r="O83" s="220"/>
      <c r="P83" s="220"/>
      <c r="Q83" s="220"/>
      <c r="R83" s="220"/>
      <c r="S83" s="220"/>
      <c r="T83" s="220"/>
      <c r="U83" s="220"/>
      <c r="V83" s="220"/>
      <c r="W83" s="220"/>
    </row>
    <row r="84" ht="15.75" customHeight="1" outlineLevel="1">
      <c r="A84" s="211"/>
      <c r="B84" s="212" t="s">
        <v>0</v>
      </c>
      <c r="C84" s="213" t="s">
        <v>434</v>
      </c>
      <c r="D84" s="214" t="str">
        <f>IFERROR(VLOOKUP($C84,'PORTIFÓLIO'!C:V,2,0),"")</f>
        <v>AZOXISTROBINA + TEBUCONAZOL</v>
      </c>
      <c r="E84" s="211" t="str">
        <f>IFERROR(VLOOKUP($C84,'PORTIFÓLIO'!C:V,3,0),"")</f>
        <v>120 + 200</v>
      </c>
      <c r="F84" s="211" t="str">
        <f>IFERROR(VLOOKUP($C84,'PORTIFÓLIO'!C:V,4,0),"")</f>
        <v>L</v>
      </c>
      <c r="G84" s="225" t="str">
        <f>IFERROR(VLOOKUP($C84,'PORTIFÓLIO'!C:V,5,0),"")</f>
        <v>📄 Ver bula</v>
      </c>
      <c r="H84" s="254">
        <f t="array" ref="H84">IFERROR(INDEX('PORTIFÓLIO'!$H$4:$H$433,MATCH($C84,'PORTIFÓLIO'!$C$4:$C$433,0)),"")</f>
        <v>0.5</v>
      </c>
      <c r="I84" s="255">
        <v>0.5</v>
      </c>
      <c r="J84" s="218">
        <f t="shared" si="10"/>
        <v>40</v>
      </c>
      <c r="K84" s="219">
        <f t="array" ref="K84">IFERROR(I84*INDEX('PORTIFÓLIO'!$S$4:$S$433,MATCH($C84,'PORTIFÓLIO'!$C$4:$C$433,0)),"")</f>
        <v>17.66448</v>
      </c>
      <c r="L84" s="219">
        <f t="array" ref="L84">IFERROR(J84*INDEX('PORTIFÓLIO'!$S$4:$S$433,MATCH($C84,'PORTIFÓLIO'!$C$4:$C$433,0)),"")</f>
        <v>1413.1584</v>
      </c>
      <c r="M84" s="220"/>
      <c r="N84" s="220"/>
      <c r="O84" s="220"/>
      <c r="P84" s="220"/>
      <c r="Q84" s="220"/>
      <c r="R84" s="220"/>
      <c r="S84" s="220"/>
      <c r="T84" s="220"/>
      <c r="U84" s="220"/>
      <c r="V84" s="220"/>
      <c r="W84" s="220"/>
    </row>
    <row r="85" ht="15.75" customHeight="1" outlineLevel="1">
      <c r="A85" s="211"/>
      <c r="B85" s="212" t="s">
        <v>6</v>
      </c>
      <c r="C85" s="213" t="s">
        <v>354</v>
      </c>
      <c r="D85" s="214" t="str">
        <f>IFERROR(VLOOKUP($C85,'PORTIFÓLIO'!C:V,2,0),"")</f>
        <v>OLEO MINERAL</v>
      </c>
      <c r="E85" s="211">
        <f>IFERROR(VLOOKUP($C85,'PORTIFÓLIO'!C:V,3,0),"")</f>
        <v>761</v>
      </c>
      <c r="F85" s="211" t="str">
        <f>IFERROR(VLOOKUP($C85,'PORTIFÓLIO'!C:V,4,0),"")</f>
        <v>L</v>
      </c>
      <c r="G85" s="225" t="str">
        <f>IFERROR(VLOOKUP($C85,'PORTIFÓLIO'!C:V,5,0),"")</f>
        <v>📄 Ver bula</v>
      </c>
      <c r="H85" s="254">
        <f t="array" ref="H85">IFERROR(INDEX('PORTIFÓLIO'!$H$4:$H$433,MATCH($C85,'PORTIFÓLIO'!$C$4:$C$433,0)),"")</f>
        <v>0.2</v>
      </c>
      <c r="I85" s="255">
        <v>0.2</v>
      </c>
      <c r="J85" s="218">
        <f t="shared" si="10"/>
        <v>16</v>
      </c>
      <c r="K85" s="219">
        <f t="array" ref="K85">IFERROR(I85*INDEX('PORTIFÓLIO'!$S$4:$S$433,MATCH($C85,'PORTIFÓLIO'!$C$4:$C$433,0)),"")</f>
        <v>3.206</v>
      </c>
      <c r="L85" s="219">
        <f t="array" ref="L85">IFERROR(J85*INDEX('PORTIFÓLIO'!$S$4:$S$433,MATCH($C85,'PORTIFÓLIO'!$C$4:$C$433,0)),"")</f>
        <v>256.48</v>
      </c>
      <c r="M85" s="220"/>
      <c r="N85" s="220"/>
      <c r="O85" s="220"/>
      <c r="P85" s="220"/>
      <c r="Q85" s="220"/>
      <c r="R85" s="220"/>
      <c r="S85" s="220"/>
      <c r="T85" s="220"/>
      <c r="U85" s="220"/>
      <c r="V85" s="220"/>
      <c r="W85" s="220"/>
    </row>
    <row r="86" ht="15.75" customHeight="1" outlineLevel="1">
      <c r="A86" s="211"/>
      <c r="B86" s="212"/>
      <c r="C86" s="213"/>
      <c r="D86" s="214" t="str">
        <f>IFERROR(VLOOKUP($C86,'PORTIFÓLIO'!C:V,2,0),"")</f>
        <v/>
      </c>
      <c r="E86" s="211" t="str">
        <f>IFERROR(VLOOKUP($C86,'PORTIFÓLIO'!C:V,3,0),"")</f>
        <v/>
      </c>
      <c r="F86" s="211" t="str">
        <f>IFERROR(VLOOKUP($C86,'PORTIFÓLIO'!C:V,4,0),"")</f>
        <v/>
      </c>
      <c r="G86" s="215" t="str">
        <f>IFERROR(VLOOKUP($C86,'PORTIFÓLIO'!C:V,5,0),"")</f>
        <v/>
      </c>
      <c r="H86" s="254" t="str">
        <f t="array" ref="H86">IFERROR(INDEX('PORTIFÓLIO'!$H$4:$H$433,MATCH($C86,'PORTIFÓLIO'!$C$4:$C$433,0)),"")</f>
        <v/>
      </c>
      <c r="I86" s="256"/>
      <c r="J86" s="218">
        <f t="shared" si="10"/>
        <v>0</v>
      </c>
      <c r="K86" s="219" t="str">
        <f t="array" ref="K86">IFERROR(I86*INDEX('PORTIFÓLIO'!$S$4:$S$433,MATCH($C86,'PORTIFÓLIO'!$C$4:$C$433,0)),"")</f>
        <v/>
      </c>
      <c r="L86" s="219" t="str">
        <f t="array" ref="L86">IFERROR(J86*INDEX('PORTIFÓLIO'!$S$4:$S$433,MATCH($C86,'PORTIFÓLIO'!$C$4:$C$433,0)),"")</f>
        <v/>
      </c>
      <c r="M86" s="220"/>
      <c r="N86" s="220"/>
      <c r="O86" s="220"/>
      <c r="P86" s="220"/>
      <c r="Q86" s="220"/>
      <c r="R86" s="220"/>
      <c r="S86" s="220"/>
      <c r="T86" s="220"/>
      <c r="U86" s="220"/>
      <c r="V86" s="220"/>
      <c r="W86" s="220"/>
    </row>
    <row r="87" ht="15.75" customHeight="1" outlineLevel="1">
      <c r="A87" s="211"/>
      <c r="B87" s="212"/>
      <c r="C87" s="213"/>
      <c r="D87" s="214" t="str">
        <f>IFERROR(VLOOKUP($C87,'PORTIFÓLIO'!C:V,2,0),"")</f>
        <v/>
      </c>
      <c r="E87" s="211" t="str">
        <f>IFERROR(VLOOKUP($C87,'PORTIFÓLIO'!C:V,3,0),"")</f>
        <v/>
      </c>
      <c r="F87" s="211" t="str">
        <f>IFERROR(VLOOKUP($C87,'PORTIFÓLIO'!C:V,4,0),"")</f>
        <v/>
      </c>
      <c r="G87" s="215" t="str">
        <f>IFERROR(VLOOKUP($C87,'PORTIFÓLIO'!C:V,5,0),"")</f>
        <v/>
      </c>
      <c r="H87" s="254" t="str">
        <f t="array" ref="H87">IFERROR(INDEX('PORTIFÓLIO'!$H$4:$H$433,MATCH($C87,'PORTIFÓLIO'!$C$4:$C$433,0)),"")</f>
        <v/>
      </c>
      <c r="I87" s="256"/>
      <c r="J87" s="218">
        <f t="shared" si="10"/>
        <v>0</v>
      </c>
      <c r="K87" s="219" t="str">
        <f t="array" ref="K87">IFERROR(I87*INDEX('PORTIFÓLIO'!$S$4:$S$433,MATCH($C87,'PORTIFÓLIO'!$C$4:$C$433,0)),"")</f>
        <v/>
      </c>
      <c r="L87" s="219" t="str">
        <f t="array" ref="L87">IFERROR(J87*INDEX('PORTIFÓLIO'!$S$4:$S$433,MATCH($C87,'PORTIFÓLIO'!$C$4:$C$433,0)),"")</f>
        <v/>
      </c>
      <c r="M87" s="220"/>
      <c r="N87" s="220"/>
      <c r="O87" s="220"/>
      <c r="P87" s="220"/>
      <c r="Q87" s="220"/>
      <c r="R87" s="220"/>
      <c r="S87" s="220"/>
      <c r="T87" s="220"/>
      <c r="U87" s="220"/>
      <c r="V87" s="220"/>
      <c r="W87" s="220"/>
    </row>
    <row r="88" ht="15.75" customHeight="1" outlineLevel="1">
      <c r="A88" s="211"/>
      <c r="B88" s="212"/>
      <c r="C88" s="213"/>
      <c r="D88" s="214" t="str">
        <f>IFERROR(VLOOKUP($C88,'PORTIFÓLIO'!C:V,2,0),"")</f>
        <v/>
      </c>
      <c r="E88" s="211" t="str">
        <f>IFERROR(VLOOKUP($C88,'PORTIFÓLIO'!C:V,3,0),"")</f>
        <v/>
      </c>
      <c r="F88" s="211" t="str">
        <f>IFERROR(VLOOKUP($C88,'PORTIFÓLIO'!C:V,4,0),"")</f>
        <v/>
      </c>
      <c r="G88" s="215" t="str">
        <f>IFERROR(VLOOKUP($C88,'PORTIFÓLIO'!C:V,5,0),"")</f>
        <v/>
      </c>
      <c r="H88" s="254" t="str">
        <f t="array" ref="H88">IFERROR(INDEX('PORTIFÓLIO'!$H$4:$H$433,MATCH($C88,'PORTIFÓLIO'!$C$4:$C$433,0)),"")</f>
        <v/>
      </c>
      <c r="I88" s="256"/>
      <c r="J88" s="218">
        <f t="shared" si="10"/>
        <v>0</v>
      </c>
      <c r="K88" s="219" t="str">
        <f t="array" ref="K88">IFERROR(I88*INDEX('PORTIFÓLIO'!$S$4:$S$433,MATCH($C88,'PORTIFÓLIO'!$C$4:$C$433,0)),"")</f>
        <v/>
      </c>
      <c r="L88" s="219" t="str">
        <f t="array" ref="L88">IFERROR(J88*INDEX('PORTIFÓLIO'!$S$4:$S$433,MATCH($C88,'PORTIFÓLIO'!$C$4:$C$433,0)),"")</f>
        <v/>
      </c>
      <c r="M88" s="220"/>
      <c r="N88" s="220"/>
      <c r="O88" s="220"/>
      <c r="P88" s="220"/>
      <c r="Q88" s="220"/>
      <c r="R88" s="220"/>
      <c r="S88" s="220"/>
      <c r="T88" s="220"/>
      <c r="U88" s="220"/>
      <c r="V88" s="220"/>
      <c r="W88" s="220"/>
    </row>
    <row r="89" ht="15.75" customHeight="1" outlineLevel="1">
      <c r="A89" s="211"/>
      <c r="B89" s="212"/>
      <c r="C89" s="213"/>
      <c r="D89" s="214" t="str">
        <f>IFERROR(VLOOKUP($C89,'PORTIFÓLIO'!C:V,2,0),"")</f>
        <v/>
      </c>
      <c r="E89" s="211" t="str">
        <f>IFERROR(VLOOKUP($C89,'PORTIFÓLIO'!C:V,3,0),"")</f>
        <v/>
      </c>
      <c r="F89" s="211" t="str">
        <f>IFERROR(VLOOKUP($C89,'PORTIFÓLIO'!C:V,4,0),"")</f>
        <v/>
      </c>
      <c r="G89" s="215" t="str">
        <f>IFERROR(VLOOKUP($C89,'PORTIFÓLIO'!C:V,5,0),"")</f>
        <v/>
      </c>
      <c r="H89" s="254" t="str">
        <f t="array" ref="H89">IFERROR(INDEX('PORTIFÓLIO'!$H$4:$H$433,MATCH($C89,'PORTIFÓLIO'!$C$4:$C$433,0)),"")</f>
        <v/>
      </c>
      <c r="I89" s="256"/>
      <c r="J89" s="218">
        <f t="shared" si="10"/>
        <v>0</v>
      </c>
      <c r="K89" s="219" t="str">
        <f t="array" ref="K89">IFERROR(I89*INDEX('PORTIFÓLIO'!$S$4:$S$433,MATCH($C89,'PORTIFÓLIO'!$C$4:$C$433,0)),"")</f>
        <v/>
      </c>
      <c r="L89" s="219" t="str">
        <f t="array" ref="L89">IFERROR(J89*INDEX('PORTIFÓLIO'!$S$4:$S$433,MATCH($C89,'PORTIFÓLIO'!$C$4:$C$433,0)),"")</f>
        <v/>
      </c>
      <c r="M89" s="220"/>
      <c r="N89" s="220"/>
      <c r="O89" s="220"/>
      <c r="P89" s="220"/>
      <c r="Q89" s="220"/>
      <c r="R89" s="220"/>
      <c r="S89" s="220"/>
      <c r="T89" s="220"/>
      <c r="U89" s="220"/>
      <c r="V89" s="220"/>
      <c r="W89" s="220"/>
    </row>
    <row r="90" ht="15.75" customHeight="1" outlineLevel="1">
      <c r="A90" s="211"/>
      <c r="B90" s="212"/>
      <c r="C90" s="213"/>
      <c r="D90" s="214" t="str">
        <f>IFERROR(VLOOKUP($C90,'PORTIFÓLIO'!C:V,2,0),"")</f>
        <v/>
      </c>
      <c r="E90" s="211" t="str">
        <f>IFERROR(VLOOKUP($C90,'PORTIFÓLIO'!C:V,3,0),"")</f>
        <v/>
      </c>
      <c r="F90" s="211" t="str">
        <f>IFERROR(VLOOKUP($C90,'PORTIFÓLIO'!C:V,4,0),"")</f>
        <v/>
      </c>
      <c r="G90" s="215" t="str">
        <f>IFERROR(VLOOKUP($C90,'PORTIFÓLIO'!C:V,5,0),"")</f>
        <v/>
      </c>
      <c r="H90" s="254" t="str">
        <f t="array" ref="H90">IFERROR(INDEX('PORTIFÓLIO'!$H$4:$H$433,MATCH($C90,'PORTIFÓLIO'!$C$4:$C$433,0)),"")</f>
        <v/>
      </c>
      <c r="I90" s="255"/>
      <c r="J90" s="218">
        <f t="shared" si="10"/>
        <v>0</v>
      </c>
      <c r="K90" s="219" t="str">
        <f t="array" ref="K90">IFERROR(I90*INDEX('PORTIFÓLIO'!$S$4:$S$433,MATCH($C90,'PORTIFÓLIO'!$C$4:$C$433,0)),"")</f>
        <v/>
      </c>
      <c r="L90" s="219" t="str">
        <f t="array" ref="L90">IFERROR(J90*INDEX('PORTIFÓLIO'!$S$4:$S$433,MATCH($C90,'PORTIFÓLIO'!$C$4:$C$433,0)),"")</f>
        <v/>
      </c>
      <c r="M90" s="220"/>
      <c r="N90" s="220"/>
      <c r="O90" s="220"/>
      <c r="P90" s="220"/>
      <c r="Q90" s="220"/>
      <c r="R90" s="220"/>
      <c r="S90" s="220"/>
      <c r="T90" s="220"/>
      <c r="U90" s="220"/>
      <c r="V90" s="220"/>
      <c r="W90" s="220"/>
    </row>
    <row r="91" ht="15.75" customHeight="1" outlineLevel="1">
      <c r="A91" s="211"/>
      <c r="B91" s="212"/>
      <c r="C91" s="213"/>
      <c r="D91" s="214" t="str">
        <f>IFERROR(VLOOKUP($C91,'PORTIFÓLIO'!C:V,2,0),"")</f>
        <v/>
      </c>
      <c r="E91" s="211" t="str">
        <f>IFERROR(VLOOKUP($C91,'PORTIFÓLIO'!C:V,3,0),"")</f>
        <v/>
      </c>
      <c r="F91" s="211" t="str">
        <f>IFERROR(VLOOKUP($C91,'PORTIFÓLIO'!C:V,4,0),"")</f>
        <v/>
      </c>
      <c r="G91" s="215" t="str">
        <f>IFERROR(VLOOKUP($C91,'PORTIFÓLIO'!C:V,5,0),"")</f>
        <v/>
      </c>
      <c r="H91" s="254" t="str">
        <f t="array" ref="H91">IFERROR(INDEX('PORTIFÓLIO'!$H$4:$H$433,MATCH($C91,'PORTIFÓLIO'!$C$4:$C$433,0)),"")</f>
        <v/>
      </c>
      <c r="I91" s="256"/>
      <c r="J91" s="218">
        <f t="shared" si="10"/>
        <v>0</v>
      </c>
      <c r="K91" s="219" t="str">
        <f t="array" ref="K91">IFERROR(I91*INDEX('PORTIFÓLIO'!$S$4:$S$433,MATCH($C91,'PORTIFÓLIO'!$C$4:$C$433,0)),"")</f>
        <v/>
      </c>
      <c r="L91" s="219" t="str">
        <f t="array" ref="L91">IFERROR(J91*INDEX('PORTIFÓLIO'!$S$4:$S$433,MATCH($C91,'PORTIFÓLIO'!$C$4:$C$433,0)),"")</f>
        <v/>
      </c>
      <c r="M91" s="220"/>
      <c r="N91" s="220"/>
      <c r="O91" s="220"/>
      <c r="P91" s="220"/>
      <c r="Q91" s="220"/>
      <c r="R91" s="220"/>
      <c r="S91" s="220"/>
      <c r="T91" s="220"/>
      <c r="U91" s="220"/>
      <c r="V91" s="220"/>
      <c r="W91" s="220"/>
    </row>
    <row r="92" ht="15.75" customHeight="1" outlineLevel="1">
      <c r="A92" s="211"/>
      <c r="B92" s="212"/>
      <c r="C92" s="213"/>
      <c r="D92" s="214" t="str">
        <f>IFERROR(VLOOKUP($C92,'PORTIFÓLIO'!C:V,2,0),"")</f>
        <v/>
      </c>
      <c r="E92" s="211" t="str">
        <f>IFERROR(VLOOKUP($C92,'PORTIFÓLIO'!C:V,3,0),"")</f>
        <v/>
      </c>
      <c r="F92" s="211" t="str">
        <f>IFERROR(VLOOKUP($C92,'PORTIFÓLIO'!C:V,4,0),"")</f>
        <v/>
      </c>
      <c r="G92" s="215" t="str">
        <f>IFERROR(VLOOKUP($C92,'PORTIFÓLIO'!C:V,5,0),"")</f>
        <v/>
      </c>
      <c r="H92" s="254" t="str">
        <f t="array" ref="H92">IFERROR(INDEX('PORTIFÓLIO'!$H$4:$H$433,MATCH($C92,'PORTIFÓLIO'!$C$4:$C$433,0)),"")</f>
        <v/>
      </c>
      <c r="I92" s="256"/>
      <c r="J92" s="218">
        <f t="shared" si="10"/>
        <v>0</v>
      </c>
      <c r="K92" s="219" t="str">
        <f t="array" ref="K92">IFERROR(I92*INDEX('PORTIFÓLIO'!$S$4:$S$433,MATCH($C92,'PORTIFÓLIO'!$C$4:$C$433,0)),"")</f>
        <v/>
      </c>
      <c r="L92" s="219" t="str">
        <f t="array" ref="L92">IFERROR(J92*INDEX('PORTIFÓLIO'!$S$4:$S$433,MATCH($C92,'PORTIFÓLIO'!$C$4:$C$433,0)),"")</f>
        <v/>
      </c>
      <c r="M92" s="220"/>
      <c r="N92" s="220"/>
      <c r="O92" s="220"/>
      <c r="P92" s="220"/>
      <c r="Q92" s="220"/>
      <c r="R92" s="220"/>
      <c r="S92" s="220"/>
      <c r="T92" s="220"/>
      <c r="U92" s="220"/>
      <c r="V92" s="220"/>
      <c r="W92" s="220"/>
    </row>
    <row r="93" ht="15.75" customHeight="1" outlineLevel="1">
      <c r="A93" s="211"/>
      <c r="B93" s="212"/>
      <c r="C93" s="213"/>
      <c r="D93" s="214" t="str">
        <f>IFERROR(VLOOKUP($C93,'PORTIFÓLIO'!C:V,2,0),"")</f>
        <v/>
      </c>
      <c r="E93" s="211" t="str">
        <f>IFERROR(VLOOKUP($C93,'PORTIFÓLIO'!C:V,3,0),"")</f>
        <v/>
      </c>
      <c r="F93" s="211" t="str">
        <f>IFERROR(VLOOKUP($C93,'PORTIFÓLIO'!C:V,4,0),"")</f>
        <v/>
      </c>
      <c r="G93" s="215" t="str">
        <f>IFERROR(VLOOKUP($C93,'PORTIFÓLIO'!C:V,5,0),"")</f>
        <v/>
      </c>
      <c r="H93" s="254" t="str">
        <f t="array" ref="H93">IFERROR(INDEX('PORTIFÓLIO'!$H$4:$H$433,MATCH($C93,'PORTIFÓLIO'!$C$4:$C$433,0)),"")</f>
        <v/>
      </c>
      <c r="I93" s="256"/>
      <c r="J93" s="218">
        <f t="shared" si="10"/>
        <v>0</v>
      </c>
      <c r="K93" s="219" t="str">
        <f t="array" ref="K93">IFERROR(I93*INDEX('PORTIFÓLIO'!$S$4:$S$433,MATCH($C93,'PORTIFÓLIO'!$C$4:$C$433,0)),"")</f>
        <v/>
      </c>
      <c r="L93" s="219" t="str">
        <f t="array" ref="L93">IFERROR(J93*INDEX('PORTIFÓLIO'!$S$4:$S$433,MATCH($C93,'PORTIFÓLIO'!$C$4:$C$433,0)),"")</f>
        <v/>
      </c>
      <c r="M93" s="220"/>
      <c r="N93" s="220"/>
      <c r="O93" s="220"/>
      <c r="P93" s="220"/>
      <c r="Q93" s="220"/>
      <c r="R93" s="220"/>
      <c r="S93" s="220"/>
      <c r="T93" s="220"/>
      <c r="U93" s="220"/>
      <c r="V93" s="220"/>
      <c r="W93" s="220"/>
    </row>
    <row r="94" ht="15.75" customHeight="1" outlineLevel="1">
      <c r="A94" s="211"/>
      <c r="B94" s="212"/>
      <c r="C94" s="213"/>
      <c r="D94" s="214" t="str">
        <f>IFERROR(VLOOKUP($C94,'PORTIFÓLIO'!C:V,2,0),"")</f>
        <v/>
      </c>
      <c r="E94" s="211" t="str">
        <f>IFERROR(VLOOKUP($C94,'PORTIFÓLIO'!C:V,3,0),"")</f>
        <v/>
      </c>
      <c r="F94" s="211" t="str">
        <f>IFERROR(VLOOKUP($C94,'PORTIFÓLIO'!C:V,4,0),"")</f>
        <v/>
      </c>
      <c r="G94" s="215" t="str">
        <f>IFERROR(VLOOKUP($C94,'PORTIFÓLIO'!C:V,5,0),"")</f>
        <v/>
      </c>
      <c r="H94" s="254" t="str">
        <f t="array" ref="H94">IFERROR(INDEX('PORTIFÓLIO'!$H$4:$H$433,MATCH($C94,'PORTIFÓLIO'!$C$4:$C$433,0)),"")</f>
        <v/>
      </c>
      <c r="I94" s="256"/>
      <c r="J94" s="218">
        <f t="shared" si="10"/>
        <v>0</v>
      </c>
      <c r="K94" s="219" t="str">
        <f t="array" ref="K94">IFERROR(I94*INDEX('PORTIFÓLIO'!$S$4:$S$433,MATCH($C94,'PORTIFÓLIO'!$C$4:$C$433,0)),"")</f>
        <v/>
      </c>
      <c r="L94" s="219" t="str">
        <f t="array" ref="L94">IFERROR(J94*INDEX('PORTIFÓLIO'!$S$4:$S$433,MATCH($C94,'PORTIFÓLIO'!$C$4:$C$433,0)),"")</f>
        <v/>
      </c>
      <c r="M94" s="220"/>
      <c r="N94" s="220"/>
      <c r="O94" s="220"/>
      <c r="P94" s="220"/>
      <c r="Q94" s="220"/>
      <c r="R94" s="220"/>
      <c r="S94" s="220"/>
      <c r="T94" s="220"/>
      <c r="U94" s="220"/>
      <c r="V94" s="220"/>
      <c r="W94" s="220"/>
    </row>
    <row r="95" ht="15.75" customHeight="1" outlineLevel="1">
      <c r="A95" s="211"/>
      <c r="B95" s="212"/>
      <c r="C95" s="213"/>
      <c r="D95" s="214" t="str">
        <f>IFERROR(VLOOKUP($C95,'PORTIFÓLIO'!C:V,2,0),"")</f>
        <v/>
      </c>
      <c r="E95" s="211" t="str">
        <f>IFERROR(VLOOKUP($C95,'PORTIFÓLIO'!C:V,3,0),"")</f>
        <v/>
      </c>
      <c r="F95" s="211" t="str">
        <f>IFERROR(VLOOKUP($C95,'PORTIFÓLIO'!C:V,4,0),"")</f>
        <v/>
      </c>
      <c r="G95" s="215" t="str">
        <f>IFERROR(VLOOKUP($C95,'PORTIFÓLIO'!C:V,5,0),"")</f>
        <v/>
      </c>
      <c r="H95" s="254" t="str">
        <f t="array" ref="H95">IFERROR(INDEX('PORTIFÓLIO'!$H$4:$H$433,MATCH($C95,'PORTIFÓLIO'!$C$4:$C$433,0)),"")</f>
        <v/>
      </c>
      <c r="I95" s="256"/>
      <c r="J95" s="218">
        <f t="shared" si="10"/>
        <v>0</v>
      </c>
      <c r="K95" s="219" t="str">
        <f t="array" ref="K95">IFERROR(I95*INDEX('PORTIFÓLIO'!$S$4:$S$433,MATCH($C95,'PORTIFÓLIO'!$C$4:$C$433,0)),"")</f>
        <v/>
      </c>
      <c r="L95" s="219" t="str">
        <f t="array" ref="L95">IFERROR(J95*INDEX('PORTIFÓLIO'!$S$4:$S$433,MATCH($C95,'PORTIFÓLIO'!$C$4:$C$433,0)),"")</f>
        <v/>
      </c>
      <c r="M95" s="220"/>
      <c r="N95" s="220"/>
      <c r="O95" s="220"/>
      <c r="P95" s="220"/>
      <c r="Q95" s="220"/>
      <c r="R95" s="220"/>
      <c r="S95" s="220"/>
      <c r="T95" s="220"/>
      <c r="U95" s="220"/>
      <c r="V95" s="220"/>
      <c r="W95" s="220"/>
    </row>
    <row r="96" ht="15.75" customHeight="1" outlineLevel="1">
      <c r="A96" s="211"/>
      <c r="B96" s="212"/>
      <c r="C96" s="213"/>
      <c r="D96" s="214" t="str">
        <f>IFERROR(VLOOKUP($C96,'PORTIFÓLIO'!C:V,2,0),"")</f>
        <v/>
      </c>
      <c r="E96" s="211" t="str">
        <f>IFERROR(VLOOKUP($C96,'PORTIFÓLIO'!C:V,3,0),"")</f>
        <v/>
      </c>
      <c r="F96" s="211" t="str">
        <f>IFERROR(VLOOKUP($C96,'PORTIFÓLIO'!C:V,4,0),"")</f>
        <v/>
      </c>
      <c r="G96" s="215" t="str">
        <f>IFERROR(VLOOKUP($C96,'PORTIFÓLIO'!C:V,5,0),"")</f>
        <v/>
      </c>
      <c r="H96" s="254" t="str">
        <f t="array" ref="H96">IFERROR(INDEX('PORTIFÓLIO'!$H$4:$H$433,MATCH($C96,'PORTIFÓLIO'!$C$4:$C$433,0)),"")</f>
        <v/>
      </c>
      <c r="I96" s="256"/>
      <c r="J96" s="218">
        <f t="shared" si="10"/>
        <v>0</v>
      </c>
      <c r="K96" s="219" t="str">
        <f t="array" ref="K96">IFERROR(I96*INDEX('PORTIFÓLIO'!$S$4:$S$433,MATCH($C96,'PORTIFÓLIO'!$C$4:$C$433,0)),"")</f>
        <v/>
      </c>
      <c r="L96" s="219" t="str">
        <f t="array" ref="L96">IFERROR(J96*INDEX('PORTIFÓLIO'!$S$4:$S$433,MATCH($C96,'PORTIFÓLIO'!$C$4:$C$433,0)),"")</f>
        <v/>
      </c>
      <c r="M96" s="220"/>
      <c r="N96" s="220"/>
      <c r="O96" s="220"/>
      <c r="P96" s="220"/>
      <c r="Q96" s="220"/>
      <c r="R96" s="220"/>
      <c r="S96" s="220"/>
      <c r="T96" s="220"/>
      <c r="U96" s="220"/>
      <c r="V96" s="220"/>
      <c r="W96" s="220"/>
    </row>
    <row r="97" ht="15.75" customHeight="1">
      <c r="A97" s="229" t="s">
        <v>1189</v>
      </c>
      <c r="B97" s="230"/>
      <c r="C97" s="231"/>
      <c r="D97" s="232"/>
      <c r="E97" s="231"/>
      <c r="F97" s="231"/>
      <c r="G97" s="233"/>
      <c r="H97" s="233"/>
      <c r="I97" s="258"/>
      <c r="J97" s="236"/>
      <c r="K97" s="237">
        <f t="shared" ref="K97:L97" si="11">SUBTOTAL(9,K98:K111)</f>
        <v>184.2679845</v>
      </c>
      <c r="L97" s="237">
        <f t="shared" si="11"/>
        <v>14741.43876</v>
      </c>
      <c r="M97" s="220"/>
      <c r="N97" s="220"/>
      <c r="O97" s="220"/>
      <c r="P97" s="220"/>
      <c r="Q97" s="220"/>
      <c r="R97" s="220"/>
      <c r="S97" s="220"/>
      <c r="T97" s="220"/>
      <c r="U97" s="220"/>
      <c r="V97" s="220"/>
      <c r="W97" s="220"/>
    </row>
    <row r="98" ht="15.75" customHeight="1" outlineLevel="1">
      <c r="A98" s="213"/>
      <c r="B98" s="212" t="s">
        <v>0</v>
      </c>
      <c r="C98" s="213" t="s">
        <v>443</v>
      </c>
      <c r="D98" s="214" t="str">
        <f>IFERROR(VLOOKUP($C98,'PORTIFÓLIO'!C:V,2,0),"")</f>
        <v>MEFENTRIFLUCONAZOL + PIRACLOSTROBINA +
 FLUXAPIROXADE</v>
      </c>
      <c r="E98" s="211" t="str">
        <f>IFERROR(VLOOKUP($C98,'PORTIFÓLIO'!C:V,3,0),"")</f>
        <v>133,3 + 177,8 + 88,9</v>
      </c>
      <c r="F98" s="211" t="str">
        <f>IFERROR(VLOOKUP($C98,'PORTIFÓLIO'!C:V,4,0),"")</f>
        <v>L</v>
      </c>
      <c r="G98" s="225" t="str">
        <f>IFERROR(VLOOKUP($C98,'PORTIFÓLIO'!C:V,5,0),"")</f>
        <v>📄 Ver bula</v>
      </c>
      <c r="H98" s="254">
        <f t="array" ref="H98">IFERROR(INDEX('PORTIFÓLIO'!$H$4:$H$433,MATCH($C98,'PORTIFÓLIO'!$C$4:$C$433,0)),"")</f>
        <v>0.7</v>
      </c>
      <c r="I98" s="255">
        <v>0.7</v>
      </c>
      <c r="J98" s="218">
        <f t="shared" ref="J98:J112" si="12">I98*$B$2</f>
        <v>56</v>
      </c>
      <c r="K98" s="219">
        <f t="array" ref="K98">IFERROR(I98*INDEX('PORTIFÓLIO'!$S$4:$S$433,MATCH($C98,'PORTIFÓLIO'!$C$4:$C$433,0)),"")</f>
        <v>119.38752</v>
      </c>
      <c r="L98" s="219">
        <f t="array" ref="L98">IFERROR(J98*INDEX('PORTIFÓLIO'!$S$4:$S$433,MATCH($C98,'PORTIFÓLIO'!$C$4:$C$433,0)),"")</f>
        <v>9551.0016</v>
      </c>
      <c r="M98" s="220"/>
      <c r="N98" s="220"/>
      <c r="O98" s="220"/>
      <c r="P98" s="220"/>
      <c r="Q98" s="220"/>
      <c r="R98" s="220"/>
      <c r="S98" s="220"/>
      <c r="T98" s="220"/>
      <c r="U98" s="220"/>
      <c r="V98" s="220"/>
      <c r="W98" s="220"/>
    </row>
    <row r="99" ht="15.75" customHeight="1" outlineLevel="1">
      <c r="A99" s="211"/>
      <c r="B99" s="212"/>
      <c r="C99" s="213"/>
      <c r="D99" s="214" t="str">
        <f>IFERROR(VLOOKUP($C99,'PORTIFÓLIO'!C:V,2,0),"")</f>
        <v/>
      </c>
      <c r="E99" s="211" t="str">
        <f>IFERROR(VLOOKUP($C99,'PORTIFÓLIO'!C:V,3,0),"")</f>
        <v/>
      </c>
      <c r="F99" s="211" t="str">
        <f>IFERROR(VLOOKUP($C99,'PORTIFÓLIO'!C:V,4,0),"")</f>
        <v/>
      </c>
      <c r="G99" s="215" t="str">
        <f>IFERROR(VLOOKUP($C99,'PORTIFÓLIO'!C:V,5,0),"")</f>
        <v/>
      </c>
      <c r="H99" s="254" t="str">
        <f t="array" ref="H99">IFERROR(INDEX('PORTIFÓLIO'!$H$4:$H$433,MATCH($C99,'PORTIFÓLIO'!$C$4:$C$433,0)),"")</f>
        <v/>
      </c>
      <c r="I99" s="255"/>
      <c r="J99" s="218">
        <f t="shared" si="12"/>
        <v>0</v>
      </c>
      <c r="K99" s="219" t="str">
        <f t="array" ref="K99">IFERROR(I99*INDEX('PORTIFÓLIO'!$S$4:$S$433,MATCH($C99,'PORTIFÓLIO'!$C$4:$C$433,0)),"")</f>
        <v/>
      </c>
      <c r="L99" s="219" t="str">
        <f t="array" ref="L99">IFERROR(J99*INDEX('PORTIFÓLIO'!$S$4:$S$433,MATCH($C99,'PORTIFÓLIO'!$C$4:$C$433,0)),"")</f>
        <v/>
      </c>
      <c r="M99" s="220"/>
      <c r="N99" s="220"/>
      <c r="O99" s="220"/>
      <c r="P99" s="220"/>
      <c r="Q99" s="220"/>
      <c r="R99" s="220"/>
      <c r="S99" s="220"/>
      <c r="T99" s="220"/>
      <c r="U99" s="220"/>
      <c r="V99" s="220"/>
      <c r="W99" s="220"/>
    </row>
    <row r="100" ht="15.75" customHeight="1" outlineLevel="1">
      <c r="A100" s="211"/>
      <c r="B100" s="212" t="s">
        <v>2</v>
      </c>
      <c r="C100" s="213" t="s">
        <v>829</v>
      </c>
      <c r="D100" s="214" t="str">
        <f>IFERROR(VLOOKUP($C100,'PORTIFÓLIO'!C:V,2,0),"")</f>
        <v>BIFENTRINA</v>
      </c>
      <c r="E100" s="211">
        <f>IFERROR(VLOOKUP($C100,'PORTIFÓLIO'!C:V,3,0),"")</f>
        <v>400</v>
      </c>
      <c r="F100" s="211" t="str">
        <f>IFERROR(VLOOKUP($C100,'PORTIFÓLIO'!C:V,4,0),"")</f>
        <v>L</v>
      </c>
      <c r="G100" s="225" t="str">
        <f>IFERROR(VLOOKUP($C100,'PORTIFÓLIO'!C:V,5,0),"")</f>
        <v>📄 Ver bula</v>
      </c>
      <c r="H100" s="254">
        <f t="array" ref="H100">IFERROR(INDEX('PORTIFÓLIO'!$H$4:$H$433,MATCH($C100,'PORTIFÓLIO'!$C$4:$C$433,0)),"")</f>
        <v>0.05</v>
      </c>
      <c r="I100" s="255">
        <v>0.05</v>
      </c>
      <c r="J100" s="218">
        <f t="shared" si="12"/>
        <v>4</v>
      </c>
      <c r="K100" s="219">
        <f t="array" ref="K100">IFERROR(I100*INDEX('PORTIFÓLIO'!$S$4:$S$433,MATCH($C100,'PORTIFÓLIO'!$C$4:$C$433,0)),"")</f>
        <v>3.076419</v>
      </c>
      <c r="L100" s="219">
        <f t="array" ref="L100">IFERROR(J100*INDEX('PORTIFÓLIO'!$S$4:$S$433,MATCH($C100,'PORTIFÓLIO'!$C$4:$C$433,0)),"")</f>
        <v>246.11352</v>
      </c>
      <c r="M100" s="220"/>
      <c r="N100" s="220"/>
      <c r="O100" s="220"/>
      <c r="P100" s="220"/>
      <c r="Q100" s="220"/>
      <c r="R100" s="220"/>
      <c r="S100" s="220"/>
      <c r="T100" s="220"/>
      <c r="U100" s="220"/>
      <c r="V100" s="220"/>
      <c r="W100" s="220"/>
    </row>
    <row r="101" ht="15.75" customHeight="1" outlineLevel="1">
      <c r="A101" s="211"/>
      <c r="B101" s="212" t="s">
        <v>2</v>
      </c>
      <c r="C101" s="213" t="s">
        <v>842</v>
      </c>
      <c r="D101" s="214" t="str">
        <f>IFERROR(VLOOKUP($C101,'PORTIFÓLIO'!C:V,2,0),"")</f>
        <v>IMIDACLOPRIDO</v>
      </c>
      <c r="E101" s="211">
        <f>IFERROR(VLOOKUP($C101,'PORTIFÓLIO'!C:V,3,0),"")</f>
        <v>480</v>
      </c>
      <c r="F101" s="211" t="str">
        <f>IFERROR(VLOOKUP($C101,'PORTIFÓLIO'!C:V,4,0),"")</f>
        <v>L</v>
      </c>
      <c r="G101" s="225" t="str">
        <f>IFERROR(VLOOKUP($C101,'PORTIFÓLIO'!C:V,5,0),"")</f>
        <v>📄 Ver bula</v>
      </c>
      <c r="H101" s="254">
        <f t="array" ref="H101">IFERROR(INDEX('PORTIFÓLIO'!$H$4:$H$433,MATCH($C101,'PORTIFÓLIO'!$C$4:$C$433,0)),"")</f>
        <v>0.25</v>
      </c>
      <c r="I101" s="255">
        <v>0.25</v>
      </c>
      <c r="J101" s="218">
        <f t="shared" si="12"/>
        <v>20</v>
      </c>
      <c r="K101" s="219">
        <f t="array" ref="K101">IFERROR(I101*INDEX('PORTIFÓLIO'!$S$4:$S$433,MATCH($C101,'PORTIFÓLIO'!$C$4:$C$433,0)),"")</f>
        <v>14.0554125</v>
      </c>
      <c r="L101" s="219">
        <f t="array" ref="L101">IFERROR(J101*INDEX('PORTIFÓLIO'!$S$4:$S$433,MATCH($C101,'PORTIFÓLIO'!$C$4:$C$433,0)),"")</f>
        <v>1124.433</v>
      </c>
      <c r="M101" s="220"/>
      <c r="N101" s="220"/>
      <c r="O101" s="220"/>
      <c r="P101" s="220"/>
      <c r="Q101" s="220"/>
      <c r="R101" s="220"/>
      <c r="S101" s="220"/>
      <c r="T101" s="220"/>
      <c r="U101" s="220"/>
      <c r="V101" s="220"/>
      <c r="W101" s="220"/>
    </row>
    <row r="102" ht="15.75" customHeight="1" outlineLevel="1">
      <c r="A102" s="211"/>
      <c r="B102" s="212" t="s">
        <v>2</v>
      </c>
      <c r="C102" s="213" t="s">
        <v>786</v>
      </c>
      <c r="D102" s="214" t="str">
        <f>IFERROR(VLOOKUP($C102,'PORTIFÓLIO'!C:V,2,0),"")</f>
        <v>DIFLUBENZUROM</v>
      </c>
      <c r="E102" s="211">
        <f>IFERROR(VLOOKUP($C102,'PORTIFÓLIO'!C:V,3,0),"")</f>
        <v>480</v>
      </c>
      <c r="F102" s="211" t="str">
        <f>IFERROR(VLOOKUP($C102,'PORTIFÓLIO'!C:V,4,0),"")</f>
        <v>KG</v>
      </c>
      <c r="G102" s="225" t="str">
        <f>IFERROR(VLOOKUP($C102,'PORTIFÓLIO'!C:V,5,0),"")</f>
        <v>📄 Ver bula</v>
      </c>
      <c r="H102" s="254">
        <f t="array" ref="H102">IFERROR(INDEX('PORTIFÓLIO'!$H$4:$H$433,MATCH($C102,'PORTIFÓLIO'!$C$4:$C$433,0)),"")</f>
        <v>0.04</v>
      </c>
      <c r="I102" s="255">
        <v>0.05</v>
      </c>
      <c r="J102" s="218">
        <f t="shared" si="12"/>
        <v>4</v>
      </c>
      <c r="K102" s="219">
        <f t="array" ref="K102">IFERROR(I102*INDEX('PORTIFÓLIO'!$S$4:$S$433,MATCH($C102,'PORTIFÓLIO'!$C$4:$C$433,0)),"")</f>
        <v>2.927979</v>
      </c>
      <c r="L102" s="219">
        <f t="array" ref="L102">IFERROR(J102*INDEX('PORTIFÓLIO'!$S$4:$S$433,MATCH($C102,'PORTIFÓLIO'!$C$4:$C$433,0)),"")</f>
        <v>234.23832</v>
      </c>
      <c r="M102" s="220"/>
      <c r="N102" s="220"/>
      <c r="O102" s="220"/>
      <c r="P102" s="220"/>
      <c r="Q102" s="220"/>
      <c r="R102" s="220"/>
      <c r="S102" s="220"/>
      <c r="T102" s="220"/>
      <c r="U102" s="220"/>
      <c r="V102" s="220"/>
      <c r="W102" s="220"/>
    </row>
    <row r="103" ht="15.75" customHeight="1" outlineLevel="1">
      <c r="A103" s="211"/>
      <c r="B103" s="212" t="s">
        <v>6</v>
      </c>
      <c r="C103" s="213" t="s">
        <v>341</v>
      </c>
      <c r="D103" s="214" t="str">
        <f>IFERROR(VLOOKUP($C103,'PORTIFÓLIO'!C:V,2,0),"")</f>
        <v>ESTER METILICO DE SOJA</v>
      </c>
      <c r="E103" s="211">
        <f>IFERROR(VLOOKUP($C103,'PORTIFÓLIO'!C:V,3,0),"")</f>
        <v>765</v>
      </c>
      <c r="F103" s="211" t="str">
        <f>IFERROR(VLOOKUP($C103,'PORTIFÓLIO'!C:V,4,0),"")</f>
        <v>L</v>
      </c>
      <c r="G103" s="225" t="str">
        <f>IFERROR(VLOOKUP($C103,'PORTIFÓLIO'!C:V,5,0),"")</f>
        <v>📄 Ver bula</v>
      </c>
      <c r="H103" s="254">
        <f t="array" ref="H103">IFERROR(INDEX('PORTIFÓLIO'!$H$4:$H$433,MATCH($C103,'PORTIFÓLIO'!$C$4:$C$433,0)),"")</f>
        <v>0.2</v>
      </c>
      <c r="I103" s="255">
        <v>0.2</v>
      </c>
      <c r="J103" s="218">
        <f t="shared" si="12"/>
        <v>16</v>
      </c>
      <c r="K103" s="219">
        <f t="array" ref="K103">IFERROR(I103*INDEX('PORTIFÓLIO'!$S$4:$S$433,MATCH($C103,'PORTIFÓLIO'!$C$4:$C$433,0)),"")</f>
        <v>3.298974</v>
      </c>
      <c r="L103" s="219">
        <f t="array" ref="L103">IFERROR(J103*INDEX('PORTIFÓLIO'!$S$4:$S$433,MATCH($C103,'PORTIFÓLIO'!$C$4:$C$433,0)),"")</f>
        <v>263.91792</v>
      </c>
      <c r="M103" s="220"/>
      <c r="N103" s="220"/>
      <c r="O103" s="220"/>
      <c r="P103" s="220"/>
      <c r="Q103" s="220"/>
      <c r="R103" s="220"/>
      <c r="S103" s="220"/>
      <c r="T103" s="220"/>
      <c r="U103" s="220"/>
      <c r="V103" s="220"/>
      <c r="W103" s="220"/>
    </row>
    <row r="104" ht="15.75" customHeight="1" outlineLevel="1">
      <c r="A104" s="211"/>
      <c r="B104" s="212" t="s">
        <v>0</v>
      </c>
      <c r="C104" s="213" t="s">
        <v>484</v>
      </c>
      <c r="D104" s="214" t="str">
        <f>IFERROR(VLOOKUP($C104,'PORTIFÓLIO'!C:V,2,0),"")</f>
        <v>MANCOZEBE</v>
      </c>
      <c r="E104" s="211">
        <f>IFERROR(VLOOKUP($C104,'PORTIFÓLIO'!C:V,3,0),"")</f>
        <v>750</v>
      </c>
      <c r="F104" s="211" t="str">
        <f>IFERROR(VLOOKUP($C104,'PORTIFÓLIO'!C:V,4,0),"")</f>
        <v>L</v>
      </c>
      <c r="G104" s="225" t="str">
        <f>IFERROR(VLOOKUP($C104,'PORTIFÓLIO'!C:V,5,0),"")</f>
        <v>📄 Ver bula</v>
      </c>
      <c r="H104" s="254">
        <f t="array" ref="H104">IFERROR(INDEX('PORTIFÓLIO'!$H$4:$H$433,MATCH($C104,'PORTIFÓLIO'!$C$4:$C$433,0)),"")</f>
        <v>1.5</v>
      </c>
      <c r="I104" s="255">
        <v>1.5</v>
      </c>
      <c r="J104" s="218">
        <f t="shared" si="12"/>
        <v>120</v>
      </c>
      <c r="K104" s="219">
        <f t="array" ref="K104">IFERROR(I104*INDEX('PORTIFÓLIO'!$S$4:$S$433,MATCH($C104,'PORTIFÓLIO'!$C$4:$C$433,0)),"")</f>
        <v>41.52168</v>
      </c>
      <c r="L104" s="219">
        <f t="array" ref="L104">IFERROR(J104*INDEX('PORTIFÓLIO'!$S$4:$S$433,MATCH($C104,'PORTIFÓLIO'!$C$4:$C$433,0)),"")</f>
        <v>3321.7344</v>
      </c>
      <c r="M104" s="220"/>
      <c r="N104" s="220"/>
      <c r="O104" s="220"/>
      <c r="P104" s="220"/>
      <c r="Q104" s="220"/>
      <c r="R104" s="220"/>
      <c r="S104" s="220"/>
      <c r="T104" s="220"/>
      <c r="U104" s="220"/>
      <c r="V104" s="220"/>
      <c r="W104" s="220"/>
    </row>
    <row r="105" ht="15.75" customHeight="1" outlineLevel="1">
      <c r="A105" s="211"/>
      <c r="B105" s="212"/>
      <c r="C105" s="213"/>
      <c r="D105" s="214" t="str">
        <f>IFERROR(VLOOKUP($C105,'PORTIFÓLIO'!C:V,2,0),"")</f>
        <v/>
      </c>
      <c r="E105" s="211" t="str">
        <f>IFERROR(VLOOKUP($C105,'PORTIFÓLIO'!C:V,3,0),"")</f>
        <v/>
      </c>
      <c r="F105" s="211" t="str">
        <f>IFERROR(VLOOKUP($C105,'PORTIFÓLIO'!C:V,4,0),"")</f>
        <v/>
      </c>
      <c r="G105" s="215" t="str">
        <f>IFERROR(VLOOKUP($C105,'PORTIFÓLIO'!C:V,5,0),"")</f>
        <v/>
      </c>
      <c r="H105" s="254" t="str">
        <f t="array" ref="H105">IFERROR(INDEX('PORTIFÓLIO'!$H$4:$H$433,MATCH($C105,'PORTIFÓLIO'!$C$4:$C$433,0)),"")</f>
        <v/>
      </c>
      <c r="I105" s="256"/>
      <c r="J105" s="218">
        <f t="shared" si="12"/>
        <v>0</v>
      </c>
      <c r="K105" s="219" t="str">
        <f t="array" ref="K105">IFERROR(I105*INDEX('PORTIFÓLIO'!$S$4:$S$433,MATCH($C105,'PORTIFÓLIO'!$C$4:$C$433,0)),"")</f>
        <v/>
      </c>
      <c r="L105" s="219" t="str">
        <f t="array" ref="L105">IFERROR(J105*INDEX('PORTIFÓLIO'!$S$4:$S$433,MATCH($C105,'PORTIFÓLIO'!$C$4:$C$433,0)),"")</f>
        <v/>
      </c>
      <c r="M105" s="220"/>
      <c r="N105" s="220"/>
      <c r="O105" s="220"/>
      <c r="P105" s="220"/>
      <c r="Q105" s="220"/>
      <c r="R105" s="220"/>
      <c r="S105" s="220"/>
      <c r="T105" s="220"/>
      <c r="U105" s="220"/>
      <c r="V105" s="220"/>
      <c r="W105" s="220"/>
    </row>
    <row r="106" ht="15.75" customHeight="1" outlineLevel="1">
      <c r="A106" s="211"/>
      <c r="B106" s="212"/>
      <c r="C106" s="213"/>
      <c r="D106" s="214" t="str">
        <f>IFERROR(VLOOKUP($C106,'PORTIFÓLIO'!C:V,2,0),"")</f>
        <v/>
      </c>
      <c r="E106" s="211" t="str">
        <f>IFERROR(VLOOKUP($C106,'PORTIFÓLIO'!C:V,3,0),"")</f>
        <v/>
      </c>
      <c r="F106" s="211" t="str">
        <f>IFERROR(VLOOKUP($C106,'PORTIFÓLIO'!C:V,4,0),"")</f>
        <v/>
      </c>
      <c r="G106" s="215" t="str">
        <f>IFERROR(VLOOKUP($C106,'PORTIFÓLIO'!C:V,5,0),"")</f>
        <v/>
      </c>
      <c r="H106" s="254" t="str">
        <f t="array" ref="H106">IFERROR(INDEX('PORTIFÓLIO'!$H$4:$H$433,MATCH($C106,'PORTIFÓLIO'!$C$4:$C$433,0)),"")</f>
        <v/>
      </c>
      <c r="I106" s="255"/>
      <c r="J106" s="218">
        <f t="shared" si="12"/>
        <v>0</v>
      </c>
      <c r="K106" s="219" t="str">
        <f t="array" ref="K106">IFERROR(I106*INDEX('PORTIFÓLIO'!$S$4:$S$433,MATCH($C106,'PORTIFÓLIO'!$C$4:$C$433,0)),"")</f>
        <v/>
      </c>
      <c r="L106" s="219" t="str">
        <f t="array" ref="L106">IFERROR(J106*INDEX('PORTIFÓLIO'!$S$4:$S$433,MATCH($C106,'PORTIFÓLIO'!$C$4:$C$433,0)),"")</f>
        <v/>
      </c>
      <c r="M106" s="220"/>
      <c r="N106" s="220"/>
      <c r="O106" s="220"/>
      <c r="P106" s="220"/>
      <c r="Q106" s="220"/>
      <c r="R106" s="220"/>
      <c r="S106" s="220"/>
      <c r="T106" s="220"/>
      <c r="U106" s="220"/>
      <c r="V106" s="220"/>
      <c r="W106" s="220"/>
    </row>
    <row r="107" ht="15.75" customHeight="1" outlineLevel="1">
      <c r="A107" s="211"/>
      <c r="B107" s="212"/>
      <c r="C107" s="213"/>
      <c r="D107" s="214" t="str">
        <f>IFERROR(VLOOKUP($C107,'PORTIFÓLIO'!C:V,2,0),"")</f>
        <v/>
      </c>
      <c r="E107" s="211" t="str">
        <f>IFERROR(VLOOKUP($C107,'PORTIFÓLIO'!C:V,3,0),"")</f>
        <v/>
      </c>
      <c r="F107" s="211" t="str">
        <f>IFERROR(VLOOKUP($C107,'PORTIFÓLIO'!C:V,4,0),"")</f>
        <v/>
      </c>
      <c r="G107" s="215" t="str">
        <f>IFERROR(VLOOKUP($C107,'PORTIFÓLIO'!C:V,5,0),"")</f>
        <v/>
      </c>
      <c r="H107" s="254" t="str">
        <f t="array" ref="H107">IFERROR(INDEX('PORTIFÓLIO'!$H$4:$H$433,MATCH($C107,'PORTIFÓLIO'!$C$4:$C$433,0)),"")</f>
        <v/>
      </c>
      <c r="I107" s="256"/>
      <c r="J107" s="218">
        <f t="shared" si="12"/>
        <v>0</v>
      </c>
      <c r="K107" s="219" t="str">
        <f t="array" ref="K107">IFERROR(I107*INDEX('PORTIFÓLIO'!$S$4:$S$433,MATCH($C107,'PORTIFÓLIO'!$C$4:$C$433,0)),"")</f>
        <v/>
      </c>
      <c r="L107" s="219" t="str">
        <f t="array" ref="L107">IFERROR(J107*INDEX('PORTIFÓLIO'!$S$4:$S$433,MATCH($C107,'PORTIFÓLIO'!$C$4:$C$433,0)),"")</f>
        <v/>
      </c>
      <c r="M107" s="220"/>
      <c r="N107" s="220"/>
      <c r="O107" s="220"/>
      <c r="P107" s="220"/>
      <c r="Q107" s="220"/>
      <c r="R107" s="220"/>
      <c r="S107" s="220"/>
      <c r="T107" s="220"/>
      <c r="U107" s="220"/>
      <c r="V107" s="220"/>
      <c r="W107" s="220"/>
    </row>
    <row r="108" ht="15.75" customHeight="1" outlineLevel="1">
      <c r="A108" s="211"/>
      <c r="B108" s="212"/>
      <c r="C108" s="213"/>
      <c r="D108" s="214" t="str">
        <f>IFERROR(VLOOKUP($C108,'PORTIFÓLIO'!C:V,2,0),"")</f>
        <v/>
      </c>
      <c r="E108" s="211" t="str">
        <f>IFERROR(VLOOKUP($C108,'PORTIFÓLIO'!C:V,3,0),"")</f>
        <v/>
      </c>
      <c r="F108" s="211" t="str">
        <f>IFERROR(VLOOKUP($C108,'PORTIFÓLIO'!C:V,4,0),"")</f>
        <v/>
      </c>
      <c r="G108" s="215" t="str">
        <f>IFERROR(VLOOKUP($C108,'PORTIFÓLIO'!C:V,5,0),"")</f>
        <v/>
      </c>
      <c r="H108" s="254" t="str">
        <f t="array" ref="H108">IFERROR(INDEX('PORTIFÓLIO'!$H$4:$H$433,MATCH($C108,'PORTIFÓLIO'!$C$4:$C$433,0)),"")</f>
        <v/>
      </c>
      <c r="I108" s="256"/>
      <c r="J108" s="218">
        <f t="shared" si="12"/>
        <v>0</v>
      </c>
      <c r="K108" s="219" t="str">
        <f t="array" ref="K108">IFERROR(I108*INDEX('PORTIFÓLIO'!$S$4:$S$433,MATCH($C108,'PORTIFÓLIO'!$C$4:$C$433,0)),"")</f>
        <v/>
      </c>
      <c r="L108" s="219" t="str">
        <f t="array" ref="L108">IFERROR(J108*INDEX('PORTIFÓLIO'!$S$4:$S$433,MATCH($C108,'PORTIFÓLIO'!$C$4:$C$433,0)),"")</f>
        <v/>
      </c>
      <c r="M108" s="220"/>
      <c r="N108" s="220"/>
      <c r="O108" s="220"/>
      <c r="P108" s="220"/>
      <c r="Q108" s="220"/>
      <c r="R108" s="220"/>
      <c r="S108" s="220"/>
      <c r="T108" s="220"/>
      <c r="U108" s="220"/>
      <c r="V108" s="220"/>
      <c r="W108" s="220"/>
    </row>
    <row r="109" ht="15.75" customHeight="1" outlineLevel="1">
      <c r="A109" s="211"/>
      <c r="B109" s="212"/>
      <c r="C109" s="213"/>
      <c r="D109" s="214" t="str">
        <f>IFERROR(VLOOKUP($C109,'PORTIFÓLIO'!C:V,2,0),"")</f>
        <v/>
      </c>
      <c r="E109" s="211" t="str">
        <f>IFERROR(VLOOKUP($C109,'PORTIFÓLIO'!C:V,3,0),"")</f>
        <v/>
      </c>
      <c r="F109" s="211" t="str">
        <f>IFERROR(VLOOKUP($C109,'PORTIFÓLIO'!C:V,4,0),"")</f>
        <v/>
      </c>
      <c r="G109" s="215" t="str">
        <f>IFERROR(VLOOKUP($C109,'PORTIFÓLIO'!C:V,5,0),"")</f>
        <v/>
      </c>
      <c r="H109" s="254" t="str">
        <f t="array" ref="H109">IFERROR(INDEX('PORTIFÓLIO'!$H$4:$H$433,MATCH($C109,'PORTIFÓLIO'!$C$4:$C$433,0)),"")</f>
        <v/>
      </c>
      <c r="I109" s="256"/>
      <c r="J109" s="218">
        <f t="shared" si="12"/>
        <v>0</v>
      </c>
      <c r="K109" s="219" t="str">
        <f t="array" ref="K109">IFERROR(I109*INDEX('PORTIFÓLIO'!$S$4:$S$433,MATCH($C109,'PORTIFÓLIO'!$C$4:$C$433,0)),"")</f>
        <v/>
      </c>
      <c r="L109" s="219" t="str">
        <f t="array" ref="L109">IFERROR(J109*INDEX('PORTIFÓLIO'!$S$4:$S$433,MATCH($C109,'PORTIFÓLIO'!$C$4:$C$433,0)),"")</f>
        <v/>
      </c>
      <c r="M109" s="220"/>
      <c r="N109" s="220"/>
      <c r="O109" s="220"/>
      <c r="P109" s="220"/>
      <c r="Q109" s="220"/>
      <c r="R109" s="220"/>
      <c r="S109" s="220"/>
      <c r="T109" s="220"/>
      <c r="U109" s="220"/>
      <c r="V109" s="220"/>
      <c r="W109" s="220"/>
    </row>
    <row r="110" ht="15.75" customHeight="1" outlineLevel="1">
      <c r="A110" s="211"/>
      <c r="B110" s="212"/>
      <c r="C110" s="213"/>
      <c r="D110" s="214" t="str">
        <f>IFERROR(VLOOKUP($C110,'PORTIFÓLIO'!C:V,2,0),"")</f>
        <v/>
      </c>
      <c r="E110" s="211" t="str">
        <f>IFERROR(VLOOKUP($C110,'PORTIFÓLIO'!C:V,3,0),"")</f>
        <v/>
      </c>
      <c r="F110" s="211" t="str">
        <f>IFERROR(VLOOKUP($C110,'PORTIFÓLIO'!C:V,4,0),"")</f>
        <v/>
      </c>
      <c r="G110" s="215" t="str">
        <f>IFERROR(VLOOKUP($C110,'PORTIFÓLIO'!C:V,5,0),"")</f>
        <v/>
      </c>
      <c r="H110" s="254" t="str">
        <f t="array" ref="H110">IFERROR(INDEX('PORTIFÓLIO'!$H$4:$H$433,MATCH($C110,'PORTIFÓLIO'!$C$4:$C$433,0)),"")</f>
        <v/>
      </c>
      <c r="I110" s="256"/>
      <c r="J110" s="218">
        <f t="shared" si="12"/>
        <v>0</v>
      </c>
      <c r="K110" s="219" t="str">
        <f t="array" ref="K110">IFERROR(I110*INDEX('PORTIFÓLIO'!$S$4:$S$433,MATCH($C110,'PORTIFÓLIO'!$C$4:$C$433,0)),"")</f>
        <v/>
      </c>
      <c r="L110" s="219" t="str">
        <f t="array" ref="L110">IFERROR(J110*INDEX('PORTIFÓLIO'!$S$4:$S$433,MATCH($C110,'PORTIFÓLIO'!$C$4:$C$433,0)),"")</f>
        <v/>
      </c>
      <c r="M110" s="220"/>
      <c r="N110" s="220"/>
      <c r="O110" s="220"/>
      <c r="P110" s="220"/>
      <c r="Q110" s="220"/>
      <c r="R110" s="220"/>
      <c r="S110" s="220"/>
      <c r="T110" s="220"/>
      <c r="U110" s="220"/>
      <c r="V110" s="220"/>
      <c r="W110" s="220"/>
    </row>
    <row r="111" ht="15.75" customHeight="1" outlineLevel="1">
      <c r="A111" s="211"/>
      <c r="B111" s="212"/>
      <c r="C111" s="213"/>
      <c r="D111" s="214" t="str">
        <f>IFERROR(VLOOKUP($C111,'PORTIFÓLIO'!C:V,2,0),"")</f>
        <v/>
      </c>
      <c r="E111" s="211" t="str">
        <f>IFERROR(VLOOKUP($C111,'PORTIFÓLIO'!C:V,3,0),"")</f>
        <v/>
      </c>
      <c r="F111" s="211" t="str">
        <f>IFERROR(VLOOKUP($C111,'PORTIFÓLIO'!C:V,4,0),"")</f>
        <v/>
      </c>
      <c r="G111" s="215" t="str">
        <f>IFERROR(VLOOKUP($C111,'PORTIFÓLIO'!C:V,5,0),"")</f>
        <v/>
      </c>
      <c r="H111" s="254" t="str">
        <f t="array" ref="H111">IFERROR(INDEX('PORTIFÓLIO'!$H$4:$H$433,MATCH($C111,'PORTIFÓLIO'!$C$4:$C$433,0)),"")</f>
        <v/>
      </c>
      <c r="I111" s="256"/>
      <c r="J111" s="218">
        <f t="shared" si="12"/>
        <v>0</v>
      </c>
      <c r="K111" s="219" t="str">
        <f t="array" ref="K111">IFERROR(I111*INDEX('PORTIFÓLIO'!$S$4:$S$433,MATCH($C111,'PORTIFÓLIO'!$C$4:$C$433,0)),"")</f>
        <v/>
      </c>
      <c r="L111" s="219" t="str">
        <f t="array" ref="L111">IFERROR(J111*INDEX('PORTIFÓLIO'!$S$4:$S$433,MATCH($C111,'PORTIFÓLIO'!$C$4:$C$433,0)),"")</f>
        <v/>
      </c>
      <c r="M111" s="220"/>
      <c r="N111" s="220"/>
      <c r="O111" s="220"/>
      <c r="P111" s="220"/>
      <c r="Q111" s="220"/>
      <c r="R111" s="220"/>
      <c r="S111" s="220"/>
      <c r="T111" s="220"/>
      <c r="U111" s="220"/>
      <c r="V111" s="220"/>
      <c r="W111" s="220"/>
    </row>
    <row r="112" ht="15.75" customHeight="1" outlineLevel="1">
      <c r="A112" s="211"/>
      <c r="B112" s="212"/>
      <c r="C112" s="213"/>
      <c r="D112" s="214" t="str">
        <f>IFERROR(VLOOKUP($C112,'PORTIFÓLIO'!C:V,2,0),"")</f>
        <v/>
      </c>
      <c r="E112" s="211" t="str">
        <f>IFERROR(VLOOKUP($C112,'PORTIFÓLIO'!C:V,3,0),"")</f>
        <v/>
      </c>
      <c r="F112" s="211" t="str">
        <f>IFERROR(VLOOKUP($C112,'PORTIFÓLIO'!C:V,4,0),"")</f>
        <v/>
      </c>
      <c r="G112" s="215" t="str">
        <f>IFERROR(VLOOKUP($C112,'PORTIFÓLIO'!C:V,5,0),"")</f>
        <v/>
      </c>
      <c r="H112" s="254" t="str">
        <f t="array" ref="H112">IFERROR(INDEX('PORTIFÓLIO'!$H$4:$H$433,MATCH($C112,'PORTIFÓLIO'!$C$4:$C$433,0)),"")</f>
        <v/>
      </c>
      <c r="I112" s="256"/>
      <c r="J112" s="218">
        <f t="shared" si="12"/>
        <v>0</v>
      </c>
      <c r="K112" s="219" t="str">
        <f t="array" ref="K112">IFERROR(I112*INDEX('PORTIFÓLIO'!$S$4:$S$433,MATCH($C112,'PORTIFÓLIO'!$C$4:$C$433,0)),"")</f>
        <v/>
      </c>
      <c r="L112" s="219" t="str">
        <f t="array" ref="L112">IFERROR(J112*INDEX('PORTIFÓLIO'!$S$4:$S$433,MATCH($C112,'PORTIFÓLIO'!$C$4:$C$433,0)),"")</f>
        <v/>
      </c>
      <c r="M112" s="220"/>
      <c r="N112" s="220"/>
      <c r="O112" s="220"/>
      <c r="P112" s="220"/>
      <c r="Q112" s="220"/>
      <c r="R112" s="220"/>
      <c r="S112" s="220"/>
      <c r="T112" s="220"/>
      <c r="U112" s="220"/>
      <c r="V112" s="220"/>
      <c r="W112" s="220"/>
    </row>
    <row r="113" ht="15.75" customHeight="1" outlineLevel="1">
      <c r="A113" s="211"/>
      <c r="B113" s="212"/>
      <c r="C113" s="211"/>
      <c r="D113" s="214" t="str">
        <f>IFERROR(VLOOKUP($C113,'PORTIFÓLIO'!C:V,2,0),"")</f>
        <v/>
      </c>
      <c r="E113" s="211" t="str">
        <f>IFERROR(VLOOKUP($C113,'PORTIFÓLIO'!C:V,3,0),"")</f>
        <v/>
      </c>
      <c r="F113" s="211" t="str">
        <f>IFERROR(VLOOKUP($C113,'PORTIFÓLIO'!C:V,4,0),"")</f>
        <v/>
      </c>
      <c r="G113" s="215" t="str">
        <f>IFERROR(VLOOKUP($C113,'PORTIFÓLIO'!C:V,5,0),"")</f>
        <v/>
      </c>
      <c r="H113" s="254" t="str">
        <f t="array" ref="H113">IFERROR(INDEX('PORTIFÓLIO'!$H$4:$H$433,MATCH($C113,'PORTIFÓLIO'!$C$4:$C$433,0)),"")</f>
        <v/>
      </c>
      <c r="I113" s="256"/>
      <c r="J113" s="218"/>
      <c r="K113" s="219" t="str">
        <f t="array" ref="K113">IFERROR(I113*INDEX('PORTIFÓLIO'!$S$4:$S$433,MATCH($C113,'PORTIFÓLIO'!$C$4:$C$433,0)),"")</f>
        <v/>
      </c>
      <c r="L113" s="219" t="str">
        <f t="array" ref="L113">IFERROR(J113*INDEX('PORTIFÓLIO'!$S$4:$S$433,MATCH($C113,'PORTIFÓLIO'!$C$4:$C$433,0)),"")</f>
        <v/>
      </c>
      <c r="M113" s="220"/>
      <c r="N113" s="220"/>
      <c r="O113" s="220"/>
      <c r="P113" s="220"/>
      <c r="Q113" s="220"/>
      <c r="R113" s="220"/>
      <c r="S113" s="220"/>
      <c r="T113" s="220"/>
      <c r="U113" s="220"/>
      <c r="V113" s="220"/>
      <c r="W113" s="220"/>
    </row>
    <row r="114" ht="15.75" customHeight="1">
      <c r="A114" s="229" t="s">
        <v>1190</v>
      </c>
      <c r="B114" s="230"/>
      <c r="C114" s="231"/>
      <c r="D114" s="232"/>
      <c r="E114" s="231"/>
      <c r="F114" s="231"/>
      <c r="G114" s="233"/>
      <c r="H114" s="233"/>
      <c r="I114" s="258"/>
      <c r="J114" s="236"/>
      <c r="K114" s="237">
        <f t="shared" ref="K114:L114" si="13">SUBTOTAL(9,K115:K128)</f>
        <v>169.005179</v>
      </c>
      <c r="L114" s="237">
        <f t="shared" si="13"/>
        <v>13520.41432</v>
      </c>
      <c r="M114" s="220"/>
      <c r="N114" s="220"/>
      <c r="O114" s="220"/>
      <c r="P114" s="220"/>
      <c r="Q114" s="220"/>
      <c r="R114" s="220"/>
      <c r="S114" s="220"/>
      <c r="T114" s="220"/>
      <c r="U114" s="220"/>
      <c r="V114" s="220"/>
      <c r="W114" s="220"/>
    </row>
    <row r="115" ht="15.75" customHeight="1" outlineLevel="1">
      <c r="A115" s="213"/>
      <c r="B115" s="212" t="s">
        <v>0</v>
      </c>
      <c r="C115" s="283" t="s">
        <v>467</v>
      </c>
      <c r="D115" s="214" t="str">
        <f>IFERROR(VLOOKUP($C115,'PORTIFÓLIO'!C:V,2,0),"")</f>
        <v>BIXAFEM + PROTIOCONAZOL + TRIFLOXISTROBINA</v>
      </c>
      <c r="E115" s="211" t="str">
        <f>IFERROR(VLOOKUP($C115,'PORTIFÓLIO'!C:V,3,0),"")</f>
        <v>125 + 175 + 150</v>
      </c>
      <c r="F115" s="211" t="str">
        <f>IFERROR(VLOOKUP($C115,'PORTIFÓLIO'!C:V,4,0),"")</f>
        <v>L</v>
      </c>
      <c r="G115" s="225" t="str">
        <f>IFERROR(VLOOKUP($C115,'PORTIFÓLIO'!C:V,5,0),"")</f>
        <v>📄 Ver bula</v>
      </c>
      <c r="H115" s="254">
        <f t="array" ref="H115">IFERROR(INDEX('PORTIFÓLIO'!$H$4:$H$433,MATCH($C115,'PORTIFÓLIO'!$C$4:$C$433,0)),"")</f>
        <v>0.5</v>
      </c>
      <c r="I115" s="255">
        <v>0.5</v>
      </c>
      <c r="J115" s="218">
        <f t="shared" ref="J115:J129" si="14">I115*$B$2</f>
        <v>40</v>
      </c>
      <c r="K115" s="219">
        <f t="array" ref="K115">IFERROR(I115*INDEX('PORTIFÓLIO'!$S$4:$S$433,MATCH($C115,'PORTIFÓLIO'!$C$4:$C$433,0)),"")</f>
        <v>99.08352</v>
      </c>
      <c r="L115" s="219">
        <f t="array" ref="L115">IFERROR(J115*INDEX('PORTIFÓLIO'!$S$4:$S$433,MATCH($C115,'PORTIFÓLIO'!$C$4:$C$433,0)),"")</f>
        <v>7926.6816</v>
      </c>
      <c r="M115" s="220"/>
      <c r="N115" s="220"/>
      <c r="O115" s="220"/>
      <c r="P115" s="220"/>
      <c r="Q115" s="220"/>
      <c r="R115" s="220"/>
      <c r="S115" s="220"/>
      <c r="T115" s="220"/>
      <c r="U115" s="220"/>
      <c r="V115" s="220"/>
      <c r="W115" s="220"/>
    </row>
    <row r="116" ht="15.75" customHeight="1" outlineLevel="1">
      <c r="A116" s="211"/>
      <c r="B116" s="212"/>
      <c r="C116" s="283"/>
      <c r="D116" s="214" t="str">
        <f>IFERROR(VLOOKUP($C116,'PORTIFÓLIO'!C:V,2,0),"")</f>
        <v/>
      </c>
      <c r="E116" s="211" t="str">
        <f>IFERROR(VLOOKUP($C116,'PORTIFÓLIO'!C:V,3,0),"")</f>
        <v/>
      </c>
      <c r="F116" s="211" t="str">
        <f>IFERROR(VLOOKUP($C116,'PORTIFÓLIO'!C:V,4,0),"")</f>
        <v/>
      </c>
      <c r="G116" s="215" t="str">
        <f>IFERROR(VLOOKUP($C116,'PORTIFÓLIO'!C:V,5,0),"")</f>
        <v/>
      </c>
      <c r="H116" s="254" t="str">
        <f t="array" ref="H116">IFERROR(INDEX('PORTIFÓLIO'!$H$4:$H$433,MATCH($C116,'PORTIFÓLIO'!$C$4:$C$433,0)),"")</f>
        <v/>
      </c>
      <c r="I116" s="255"/>
      <c r="J116" s="218">
        <f t="shared" si="14"/>
        <v>0</v>
      </c>
      <c r="K116" s="219" t="str">
        <f t="array" ref="K116">IFERROR(I116*INDEX('PORTIFÓLIO'!$S$4:$S$433,MATCH($C116,'PORTIFÓLIO'!$C$4:$C$433,0)),"")</f>
        <v/>
      </c>
      <c r="L116" s="219" t="str">
        <f t="array" ref="L116">IFERROR(J116*INDEX('PORTIFÓLIO'!$S$4:$S$433,MATCH($C116,'PORTIFÓLIO'!$C$4:$C$433,0)),"")</f>
        <v/>
      </c>
      <c r="M116" s="220"/>
      <c r="N116" s="220"/>
      <c r="O116" s="220"/>
      <c r="P116" s="220"/>
      <c r="Q116" s="220"/>
      <c r="R116" s="220"/>
      <c r="S116" s="220"/>
      <c r="T116" s="220"/>
      <c r="U116" s="220"/>
      <c r="V116" s="220"/>
      <c r="W116" s="220"/>
    </row>
    <row r="117" ht="15.75" customHeight="1" outlineLevel="1">
      <c r="A117" s="211"/>
      <c r="B117" s="212" t="s">
        <v>0</v>
      </c>
      <c r="C117" s="283" t="s">
        <v>484</v>
      </c>
      <c r="D117" s="214" t="str">
        <f>IFERROR(VLOOKUP($C117,'PORTIFÓLIO'!C:V,2,0),"")</f>
        <v>MANCOZEBE</v>
      </c>
      <c r="E117" s="211">
        <f>IFERROR(VLOOKUP($C117,'PORTIFÓLIO'!C:V,3,0),"")</f>
        <v>750</v>
      </c>
      <c r="F117" s="211" t="str">
        <f>IFERROR(VLOOKUP($C117,'PORTIFÓLIO'!C:V,4,0),"")</f>
        <v>L</v>
      </c>
      <c r="G117" s="225" t="str">
        <f>IFERROR(VLOOKUP($C117,'PORTIFÓLIO'!C:V,5,0),"")</f>
        <v>📄 Ver bula</v>
      </c>
      <c r="H117" s="254">
        <f t="array" ref="H117">IFERROR(INDEX('PORTIFÓLIO'!$H$4:$H$433,MATCH($C117,'PORTIFÓLIO'!$C$4:$C$433,0)),"")</f>
        <v>1.5</v>
      </c>
      <c r="I117" s="255">
        <v>1.5</v>
      </c>
      <c r="J117" s="218">
        <f t="shared" si="14"/>
        <v>120</v>
      </c>
      <c r="K117" s="219">
        <f t="array" ref="K117">IFERROR(I117*INDEX('PORTIFÓLIO'!$S$4:$S$433,MATCH($C117,'PORTIFÓLIO'!$C$4:$C$433,0)),"")</f>
        <v>41.52168</v>
      </c>
      <c r="L117" s="219">
        <f t="array" ref="L117">IFERROR(J117*INDEX('PORTIFÓLIO'!$S$4:$S$433,MATCH($C117,'PORTIFÓLIO'!$C$4:$C$433,0)),"")</f>
        <v>3321.7344</v>
      </c>
      <c r="M117" s="220"/>
      <c r="N117" s="220"/>
      <c r="O117" s="220"/>
      <c r="P117" s="220"/>
      <c r="Q117" s="220"/>
      <c r="R117" s="220"/>
      <c r="S117" s="220"/>
      <c r="T117" s="220"/>
      <c r="U117" s="220"/>
      <c r="V117" s="220"/>
      <c r="W117" s="220"/>
    </row>
    <row r="118" ht="15.75" customHeight="1" outlineLevel="1">
      <c r="A118" s="211"/>
      <c r="B118" s="212" t="s">
        <v>2</v>
      </c>
      <c r="C118" s="283" t="s">
        <v>752</v>
      </c>
      <c r="D118" s="214" t="str">
        <f>IFERROR(VLOOKUP($C118,'PORTIFÓLIO'!C:V,2,0),"")</f>
        <v>ACEFATO</v>
      </c>
      <c r="E118" s="211">
        <f>IFERROR(VLOOKUP($C118,'PORTIFÓLIO'!C:V,3,0),"")</f>
        <v>970</v>
      </c>
      <c r="F118" s="211" t="str">
        <f>IFERROR(VLOOKUP($C118,'PORTIFÓLIO'!C:V,4,0),"")</f>
        <v>L</v>
      </c>
      <c r="G118" s="225" t="str">
        <f>IFERROR(VLOOKUP($C118,'PORTIFÓLIO'!C:V,5,0),"")</f>
        <v>📄 Ver bula</v>
      </c>
      <c r="H118" s="254">
        <f t="array" ref="H118">IFERROR(INDEX('PORTIFÓLIO'!$H$4:$H$433,MATCH($C118,'PORTIFÓLIO'!$C$4:$C$433,0)),"")</f>
        <v>0.6</v>
      </c>
      <c r="I118" s="255">
        <v>0.6</v>
      </c>
      <c r="J118" s="218">
        <f t="shared" si="14"/>
        <v>48</v>
      </c>
      <c r="K118" s="219">
        <f t="array" ref="K118">IFERROR(I118*INDEX('PORTIFÓLIO'!$S$4:$S$433,MATCH($C118,'PORTIFÓLIO'!$C$4:$C$433,0)),"")</f>
        <v>22.266</v>
      </c>
      <c r="L118" s="219">
        <f t="array" ref="L118">IFERROR(J118*INDEX('PORTIFÓLIO'!$S$4:$S$433,MATCH($C118,'PORTIFÓLIO'!$C$4:$C$433,0)),"")</f>
        <v>1781.28</v>
      </c>
      <c r="M118" s="220"/>
      <c r="N118" s="220"/>
      <c r="O118" s="220"/>
      <c r="P118" s="220"/>
      <c r="Q118" s="220"/>
      <c r="R118" s="220"/>
      <c r="S118" s="220"/>
      <c r="T118" s="220"/>
      <c r="U118" s="220"/>
      <c r="V118" s="220"/>
      <c r="W118" s="220"/>
    </row>
    <row r="119" ht="15.75" customHeight="1" outlineLevel="1">
      <c r="A119" s="211"/>
      <c r="B119" s="212" t="s">
        <v>2</v>
      </c>
      <c r="C119" s="283" t="s">
        <v>786</v>
      </c>
      <c r="D119" s="214" t="str">
        <f>IFERROR(VLOOKUP($C119,'PORTIFÓLIO'!C:V,2,0),"")</f>
        <v>DIFLUBENZUROM</v>
      </c>
      <c r="E119" s="211">
        <f>IFERROR(VLOOKUP($C119,'PORTIFÓLIO'!C:V,3,0),"")</f>
        <v>480</v>
      </c>
      <c r="F119" s="211" t="str">
        <f>IFERROR(VLOOKUP($C119,'PORTIFÓLIO'!C:V,4,0),"")</f>
        <v>KG</v>
      </c>
      <c r="G119" s="225" t="str">
        <f>IFERROR(VLOOKUP($C119,'PORTIFÓLIO'!C:V,5,0),"")</f>
        <v>📄 Ver bula</v>
      </c>
      <c r="H119" s="254">
        <f t="array" ref="H119">IFERROR(INDEX('PORTIFÓLIO'!$H$4:$H$433,MATCH($C119,'PORTIFÓLIO'!$C$4:$C$433,0)),"")</f>
        <v>0.04</v>
      </c>
      <c r="I119" s="255">
        <v>0.05</v>
      </c>
      <c r="J119" s="218">
        <f t="shared" si="14"/>
        <v>4</v>
      </c>
      <c r="K119" s="219">
        <f t="array" ref="K119">IFERROR(I119*INDEX('PORTIFÓLIO'!$S$4:$S$433,MATCH($C119,'PORTIFÓLIO'!$C$4:$C$433,0)),"")</f>
        <v>2.927979</v>
      </c>
      <c r="L119" s="219">
        <f t="array" ref="L119">IFERROR(J119*INDEX('PORTIFÓLIO'!$S$4:$S$433,MATCH($C119,'PORTIFÓLIO'!$C$4:$C$433,0)),"")</f>
        <v>234.23832</v>
      </c>
      <c r="M119" s="220"/>
      <c r="N119" s="220"/>
      <c r="O119" s="220"/>
      <c r="P119" s="220"/>
      <c r="Q119" s="220"/>
      <c r="R119" s="220"/>
      <c r="S119" s="220"/>
      <c r="T119" s="220"/>
      <c r="U119" s="220"/>
      <c r="V119" s="220"/>
      <c r="W119" s="220"/>
    </row>
    <row r="120" ht="15.75" customHeight="1" outlineLevel="1">
      <c r="A120" s="211"/>
      <c r="B120" s="212" t="s">
        <v>6</v>
      </c>
      <c r="C120" s="213" t="s">
        <v>354</v>
      </c>
      <c r="D120" s="214" t="str">
        <f>IFERROR(VLOOKUP($C120,'PORTIFÓLIO'!C:V,2,0),"")</f>
        <v>OLEO MINERAL</v>
      </c>
      <c r="E120" s="211">
        <f>IFERROR(VLOOKUP($C120,'PORTIFÓLIO'!C:V,3,0),"")</f>
        <v>761</v>
      </c>
      <c r="F120" s="211" t="str">
        <f>IFERROR(VLOOKUP($C120,'PORTIFÓLIO'!C:V,4,0),"")</f>
        <v>L</v>
      </c>
      <c r="G120" s="225" t="str">
        <f>IFERROR(VLOOKUP($C120,'PORTIFÓLIO'!C:V,5,0),"")</f>
        <v>📄 Ver bula</v>
      </c>
      <c r="H120" s="254">
        <f t="array" ref="H120">IFERROR(INDEX('PORTIFÓLIO'!$H$4:$H$433,MATCH($C120,'PORTIFÓLIO'!$C$4:$C$433,0)),"")</f>
        <v>0.2</v>
      </c>
      <c r="I120" s="255">
        <v>0.2</v>
      </c>
      <c r="J120" s="218">
        <f t="shared" si="14"/>
        <v>16</v>
      </c>
      <c r="K120" s="219">
        <f t="array" ref="K120">IFERROR(I120*INDEX('PORTIFÓLIO'!$S$4:$S$433,MATCH($C120,'PORTIFÓLIO'!$C$4:$C$433,0)),"")</f>
        <v>3.206</v>
      </c>
      <c r="L120" s="219">
        <f t="array" ref="L120">IFERROR(J120*INDEX('PORTIFÓLIO'!$S$4:$S$433,MATCH($C120,'PORTIFÓLIO'!$C$4:$C$433,0)),"")</f>
        <v>256.48</v>
      </c>
      <c r="M120" s="220"/>
      <c r="N120" s="220"/>
      <c r="O120" s="220"/>
      <c r="P120" s="220"/>
      <c r="Q120" s="220"/>
      <c r="R120" s="220"/>
      <c r="S120" s="220"/>
      <c r="T120" s="220"/>
      <c r="U120" s="220"/>
      <c r="V120" s="220"/>
      <c r="W120" s="220"/>
    </row>
    <row r="121" ht="15.75" customHeight="1" outlineLevel="1">
      <c r="A121" s="211"/>
      <c r="B121" s="212"/>
      <c r="C121" s="213"/>
      <c r="D121" s="214" t="str">
        <f>IFERROR(VLOOKUP($C121,'PORTIFÓLIO'!C:V,2,0),"")</f>
        <v/>
      </c>
      <c r="E121" s="211" t="str">
        <f>IFERROR(VLOOKUP($C121,'PORTIFÓLIO'!C:V,3,0),"")</f>
        <v/>
      </c>
      <c r="F121" s="211" t="str">
        <f>IFERROR(VLOOKUP($C121,'PORTIFÓLIO'!C:V,4,0),"")</f>
        <v/>
      </c>
      <c r="G121" s="215" t="str">
        <f>IFERROR(VLOOKUP($C121,'PORTIFÓLIO'!C:V,5,0),"")</f>
        <v/>
      </c>
      <c r="H121" s="254" t="str">
        <f t="array" ref="H121">IFERROR(INDEX('PORTIFÓLIO'!$H$4:$H$433,MATCH($C121,'PORTIFÓLIO'!$C$4:$C$433,0)),"")</f>
        <v/>
      </c>
      <c r="I121" s="255"/>
      <c r="J121" s="218">
        <f t="shared" si="14"/>
        <v>0</v>
      </c>
      <c r="K121" s="219" t="str">
        <f t="array" ref="K121">IFERROR(I121*INDEX('PORTIFÓLIO'!$S$4:$S$433,MATCH($C121,'PORTIFÓLIO'!$C$4:$C$433,0)),"")</f>
        <v/>
      </c>
      <c r="L121" s="219" t="str">
        <f t="array" ref="L121">IFERROR(J121*INDEX('PORTIFÓLIO'!$S$4:$S$433,MATCH($C121,'PORTIFÓLIO'!$C$4:$C$433,0)),"")</f>
        <v/>
      </c>
      <c r="M121" s="220"/>
      <c r="N121" s="220"/>
      <c r="O121" s="220"/>
      <c r="P121" s="220"/>
      <c r="Q121" s="220"/>
      <c r="R121" s="220"/>
      <c r="S121" s="220"/>
      <c r="T121" s="220"/>
      <c r="U121" s="220"/>
      <c r="V121" s="220"/>
      <c r="W121" s="220"/>
    </row>
    <row r="122" ht="15.75" customHeight="1" outlineLevel="1">
      <c r="A122" s="211"/>
      <c r="B122" s="212"/>
      <c r="C122" s="213"/>
      <c r="D122" s="214" t="str">
        <f>IFERROR(VLOOKUP($C122,'PORTIFÓLIO'!C:V,2,0),"")</f>
        <v/>
      </c>
      <c r="E122" s="211" t="str">
        <f>IFERROR(VLOOKUP($C122,'PORTIFÓLIO'!C:V,3,0),"")</f>
        <v/>
      </c>
      <c r="F122" s="211" t="str">
        <f>IFERROR(VLOOKUP($C122,'PORTIFÓLIO'!C:V,4,0),"")</f>
        <v/>
      </c>
      <c r="G122" s="215" t="str">
        <f>IFERROR(VLOOKUP($C122,'PORTIFÓLIO'!C:V,5,0),"")</f>
        <v/>
      </c>
      <c r="H122" s="254" t="str">
        <f t="array" ref="H122">IFERROR(INDEX('PORTIFÓLIO'!$H$4:$H$433,MATCH($C122,'PORTIFÓLIO'!$C$4:$C$433,0)),"")</f>
        <v/>
      </c>
      <c r="I122" s="255"/>
      <c r="J122" s="218">
        <f t="shared" si="14"/>
        <v>0</v>
      </c>
      <c r="K122" s="219" t="str">
        <f t="array" ref="K122">IFERROR(I122*INDEX('PORTIFÓLIO'!$S$4:$S$433,MATCH($C122,'PORTIFÓLIO'!$C$4:$C$433,0)),"")</f>
        <v/>
      </c>
      <c r="L122" s="219" t="str">
        <f t="array" ref="L122">IFERROR(J122*INDEX('PORTIFÓLIO'!$S$4:$S$433,MATCH($C122,'PORTIFÓLIO'!$C$4:$C$433,0)),"")</f>
        <v/>
      </c>
      <c r="M122" s="220"/>
      <c r="N122" s="220"/>
      <c r="O122" s="220"/>
      <c r="P122" s="220"/>
      <c r="Q122" s="220"/>
      <c r="R122" s="220"/>
      <c r="S122" s="220"/>
      <c r="T122" s="220"/>
      <c r="U122" s="220"/>
      <c r="V122" s="220"/>
      <c r="W122" s="220"/>
    </row>
    <row r="123" ht="15.75" customHeight="1" outlineLevel="1">
      <c r="A123" s="211"/>
      <c r="B123" s="212"/>
      <c r="C123" s="213"/>
      <c r="D123" s="214" t="str">
        <f>IFERROR(VLOOKUP($C123,'PORTIFÓLIO'!C:V,2,0),"")</f>
        <v/>
      </c>
      <c r="E123" s="211" t="str">
        <f>IFERROR(VLOOKUP($C123,'PORTIFÓLIO'!C:V,3,0),"")</f>
        <v/>
      </c>
      <c r="F123" s="211" t="str">
        <f>IFERROR(VLOOKUP($C123,'PORTIFÓLIO'!C:V,4,0),"")</f>
        <v/>
      </c>
      <c r="G123" s="215" t="str">
        <f>IFERROR(VLOOKUP($C123,'PORTIFÓLIO'!C:V,5,0),"")</f>
        <v/>
      </c>
      <c r="H123" s="254" t="str">
        <f t="array" ref="H123">IFERROR(INDEX('PORTIFÓLIO'!$H$4:$H$433,MATCH($C123,'PORTIFÓLIO'!$C$4:$C$433,0)),"")</f>
        <v/>
      </c>
      <c r="I123" s="255"/>
      <c r="J123" s="218">
        <f t="shared" si="14"/>
        <v>0</v>
      </c>
      <c r="K123" s="219" t="str">
        <f t="array" ref="K123">IFERROR(I123*INDEX('PORTIFÓLIO'!$S$4:$S$433,MATCH($C123,'PORTIFÓLIO'!$C$4:$C$433,0)),"")</f>
        <v/>
      </c>
      <c r="L123" s="219" t="str">
        <f t="array" ref="L123">IFERROR(J123*INDEX('PORTIFÓLIO'!$S$4:$S$433,MATCH($C123,'PORTIFÓLIO'!$C$4:$C$433,0)),"")</f>
        <v/>
      </c>
      <c r="M123" s="220"/>
      <c r="N123" s="220"/>
      <c r="O123" s="220"/>
      <c r="P123" s="220"/>
      <c r="Q123" s="220"/>
      <c r="R123" s="220"/>
      <c r="S123" s="220"/>
      <c r="T123" s="220"/>
      <c r="U123" s="220"/>
      <c r="V123" s="220"/>
      <c r="W123" s="220"/>
    </row>
    <row r="124" ht="15.75" customHeight="1" outlineLevel="1">
      <c r="A124" s="211"/>
      <c r="B124" s="212"/>
      <c r="C124" s="213"/>
      <c r="D124" s="214" t="str">
        <f>IFERROR(VLOOKUP($C124,'PORTIFÓLIO'!C:V,2,0),"")</f>
        <v/>
      </c>
      <c r="E124" s="211" t="str">
        <f>IFERROR(VLOOKUP($C124,'PORTIFÓLIO'!C:V,3,0),"")</f>
        <v/>
      </c>
      <c r="F124" s="211" t="str">
        <f>IFERROR(VLOOKUP($C124,'PORTIFÓLIO'!C:V,4,0),"")</f>
        <v/>
      </c>
      <c r="G124" s="215" t="str">
        <f>IFERROR(VLOOKUP($C124,'PORTIFÓLIO'!C:V,5,0),"")</f>
        <v/>
      </c>
      <c r="H124" s="254" t="str">
        <f t="array" ref="H124">IFERROR(INDEX('PORTIFÓLIO'!$H$4:$H$433,MATCH($C124,'PORTIFÓLIO'!$C$4:$C$433,0)),"")</f>
        <v/>
      </c>
      <c r="I124" s="256"/>
      <c r="J124" s="218">
        <f t="shared" si="14"/>
        <v>0</v>
      </c>
      <c r="K124" s="219" t="str">
        <f t="array" ref="K124">IFERROR(I124*INDEX('PORTIFÓLIO'!$S$4:$S$433,MATCH($C124,'PORTIFÓLIO'!$C$4:$C$433,0)),"")</f>
        <v/>
      </c>
      <c r="L124" s="219" t="str">
        <f t="array" ref="L124">IFERROR(J124*INDEX('PORTIFÓLIO'!$S$4:$S$433,MATCH($C124,'PORTIFÓLIO'!$C$4:$C$433,0)),"")</f>
        <v/>
      </c>
      <c r="M124" s="220"/>
      <c r="N124" s="220"/>
      <c r="O124" s="220"/>
      <c r="P124" s="220"/>
      <c r="Q124" s="220"/>
      <c r="R124" s="220"/>
      <c r="S124" s="220"/>
      <c r="T124" s="220"/>
      <c r="U124" s="220"/>
      <c r="V124" s="220"/>
      <c r="W124" s="220"/>
    </row>
    <row r="125" ht="15.75" customHeight="1" outlineLevel="1">
      <c r="A125" s="211"/>
      <c r="B125" s="212"/>
      <c r="C125" s="213"/>
      <c r="D125" s="214" t="str">
        <f>IFERROR(VLOOKUP($C125,'PORTIFÓLIO'!C:V,2,0),"")</f>
        <v/>
      </c>
      <c r="E125" s="211" t="str">
        <f>IFERROR(VLOOKUP($C125,'PORTIFÓLIO'!C:V,3,0),"")</f>
        <v/>
      </c>
      <c r="F125" s="211" t="str">
        <f>IFERROR(VLOOKUP($C125,'PORTIFÓLIO'!C:V,4,0),"")</f>
        <v/>
      </c>
      <c r="G125" s="215" t="str">
        <f>IFERROR(VLOOKUP($C125,'PORTIFÓLIO'!C:V,5,0),"")</f>
        <v/>
      </c>
      <c r="H125" s="254" t="str">
        <f t="array" ref="H125">IFERROR(INDEX('PORTIFÓLIO'!$H$4:$H$433,MATCH($C125,'PORTIFÓLIO'!$C$4:$C$433,0)),"")</f>
        <v/>
      </c>
      <c r="I125" s="256"/>
      <c r="J125" s="218">
        <f t="shared" si="14"/>
        <v>0</v>
      </c>
      <c r="K125" s="219" t="str">
        <f t="array" ref="K125">IFERROR(I125*INDEX('PORTIFÓLIO'!$S$4:$S$433,MATCH($C125,'PORTIFÓLIO'!$C$4:$C$433,0)),"")</f>
        <v/>
      </c>
      <c r="L125" s="219" t="str">
        <f t="array" ref="L125">IFERROR(J125*INDEX('PORTIFÓLIO'!$S$4:$S$433,MATCH($C125,'PORTIFÓLIO'!$C$4:$C$433,0)),"")</f>
        <v/>
      </c>
      <c r="M125" s="220"/>
      <c r="N125" s="220"/>
      <c r="O125" s="220"/>
      <c r="P125" s="220"/>
      <c r="Q125" s="220"/>
      <c r="R125" s="220"/>
      <c r="S125" s="220"/>
      <c r="T125" s="220"/>
      <c r="U125" s="220"/>
      <c r="V125" s="220"/>
      <c r="W125" s="220"/>
    </row>
    <row r="126" ht="15.75" customHeight="1" outlineLevel="1">
      <c r="A126" s="211"/>
      <c r="B126" s="212"/>
      <c r="C126" s="213"/>
      <c r="D126" s="214" t="str">
        <f>IFERROR(VLOOKUP($C126,'PORTIFÓLIO'!C:V,2,0),"")</f>
        <v/>
      </c>
      <c r="E126" s="211" t="str">
        <f>IFERROR(VLOOKUP($C126,'PORTIFÓLIO'!C:V,3,0),"")</f>
        <v/>
      </c>
      <c r="F126" s="211" t="str">
        <f>IFERROR(VLOOKUP($C126,'PORTIFÓLIO'!C:V,4,0),"")</f>
        <v/>
      </c>
      <c r="G126" s="215" t="str">
        <f>IFERROR(VLOOKUP($C126,'PORTIFÓLIO'!C:V,5,0),"")</f>
        <v/>
      </c>
      <c r="H126" s="254" t="str">
        <f t="array" ref="H126">IFERROR(INDEX('PORTIFÓLIO'!$H$4:$H$433,MATCH($C126,'PORTIFÓLIO'!$C$4:$C$433,0)),"")</f>
        <v/>
      </c>
      <c r="I126" s="256"/>
      <c r="J126" s="218">
        <f t="shared" si="14"/>
        <v>0</v>
      </c>
      <c r="K126" s="219" t="str">
        <f t="array" ref="K126">IFERROR(I126*INDEX('PORTIFÓLIO'!$S$4:$S$433,MATCH($C126,'PORTIFÓLIO'!$C$4:$C$433,0)),"")</f>
        <v/>
      </c>
      <c r="L126" s="219" t="str">
        <f t="array" ref="L126">IFERROR(J126*INDEX('PORTIFÓLIO'!$S$4:$S$433,MATCH($C126,'PORTIFÓLIO'!$C$4:$C$433,0)),"")</f>
        <v/>
      </c>
      <c r="M126" s="220"/>
      <c r="N126" s="220"/>
      <c r="O126" s="220"/>
      <c r="P126" s="220"/>
      <c r="Q126" s="220"/>
      <c r="R126" s="220"/>
      <c r="S126" s="220"/>
      <c r="T126" s="220"/>
      <c r="U126" s="220"/>
      <c r="V126" s="220"/>
      <c r="W126" s="220"/>
    </row>
    <row r="127" ht="15.75" customHeight="1" outlineLevel="1">
      <c r="A127" s="211"/>
      <c r="B127" s="212"/>
      <c r="C127" s="213"/>
      <c r="D127" s="214" t="str">
        <f>IFERROR(VLOOKUP($C127,'PORTIFÓLIO'!C:V,2,0),"")</f>
        <v/>
      </c>
      <c r="E127" s="211" t="str">
        <f>IFERROR(VLOOKUP($C127,'PORTIFÓLIO'!C:V,3,0),"")</f>
        <v/>
      </c>
      <c r="F127" s="211" t="str">
        <f>IFERROR(VLOOKUP($C127,'PORTIFÓLIO'!C:V,4,0),"")</f>
        <v/>
      </c>
      <c r="G127" s="215" t="str">
        <f>IFERROR(VLOOKUP($C127,'PORTIFÓLIO'!C:V,5,0),"")</f>
        <v/>
      </c>
      <c r="H127" s="254" t="str">
        <f t="array" ref="H127">IFERROR(INDEX('PORTIFÓLIO'!$H$4:$H$433,MATCH($C127,'PORTIFÓLIO'!$C$4:$C$433,0)),"")</f>
        <v/>
      </c>
      <c r="I127" s="256"/>
      <c r="J127" s="218">
        <f t="shared" si="14"/>
        <v>0</v>
      </c>
      <c r="K127" s="219" t="str">
        <f t="array" ref="K127">IFERROR(I127*INDEX('PORTIFÓLIO'!$S$4:$S$433,MATCH($C127,'PORTIFÓLIO'!$C$4:$C$433,0)),"")</f>
        <v/>
      </c>
      <c r="L127" s="219" t="str">
        <f t="array" ref="L127">IFERROR(J127*INDEX('PORTIFÓLIO'!$S$4:$S$433,MATCH($C127,'PORTIFÓLIO'!$C$4:$C$433,0)),"")</f>
        <v/>
      </c>
      <c r="M127" s="220"/>
      <c r="N127" s="220"/>
      <c r="O127" s="220"/>
      <c r="P127" s="220"/>
      <c r="Q127" s="220"/>
      <c r="R127" s="220"/>
      <c r="S127" s="220"/>
      <c r="T127" s="220"/>
      <c r="U127" s="220"/>
      <c r="V127" s="220"/>
      <c r="W127" s="220"/>
    </row>
    <row r="128" ht="15.75" customHeight="1" outlineLevel="1">
      <c r="A128" s="211"/>
      <c r="B128" s="212"/>
      <c r="C128" s="213"/>
      <c r="D128" s="214" t="str">
        <f>IFERROR(VLOOKUP($C128,'PORTIFÓLIO'!C:V,2,0),"")</f>
        <v/>
      </c>
      <c r="E128" s="211" t="str">
        <f>IFERROR(VLOOKUP($C128,'PORTIFÓLIO'!C:V,3,0),"")</f>
        <v/>
      </c>
      <c r="F128" s="211" t="str">
        <f>IFERROR(VLOOKUP($C128,'PORTIFÓLIO'!C:V,4,0),"")</f>
        <v/>
      </c>
      <c r="G128" s="215" t="str">
        <f>IFERROR(VLOOKUP($C128,'PORTIFÓLIO'!C:V,5,0),"")</f>
        <v/>
      </c>
      <c r="H128" s="254" t="str">
        <f t="array" ref="H128">IFERROR(INDEX('PORTIFÓLIO'!$H$4:$H$433,MATCH($C128,'PORTIFÓLIO'!$C$4:$C$433,0)),"")</f>
        <v/>
      </c>
      <c r="I128" s="256"/>
      <c r="J128" s="218">
        <f t="shared" si="14"/>
        <v>0</v>
      </c>
      <c r="K128" s="219" t="str">
        <f t="array" ref="K128">IFERROR(I128*INDEX('PORTIFÓLIO'!$S$4:$S$433,MATCH($C128,'PORTIFÓLIO'!$C$4:$C$433,0)),"")</f>
        <v/>
      </c>
      <c r="L128" s="219" t="str">
        <f t="array" ref="L128">IFERROR(J128*INDEX('PORTIFÓLIO'!$S$4:$S$433,MATCH($C128,'PORTIFÓLIO'!$C$4:$C$433,0)),"")</f>
        <v/>
      </c>
      <c r="M128" s="220"/>
      <c r="N128" s="220"/>
      <c r="O128" s="220"/>
      <c r="P128" s="220"/>
      <c r="Q128" s="220"/>
      <c r="R128" s="220"/>
      <c r="S128" s="220"/>
      <c r="T128" s="220"/>
      <c r="U128" s="220"/>
      <c r="V128" s="220"/>
      <c r="W128" s="220"/>
    </row>
    <row r="129" ht="15.75" customHeight="1" outlineLevel="1">
      <c r="A129" s="211"/>
      <c r="B129" s="212"/>
      <c r="C129" s="213"/>
      <c r="D129" s="214" t="str">
        <f>IFERROR(VLOOKUP($C129,'PORTIFÓLIO'!C:V,2,0),"")</f>
        <v/>
      </c>
      <c r="E129" s="211" t="str">
        <f>IFERROR(VLOOKUP($C129,'PORTIFÓLIO'!C:V,3,0),"")</f>
        <v/>
      </c>
      <c r="F129" s="211" t="str">
        <f>IFERROR(VLOOKUP($C129,'PORTIFÓLIO'!C:V,4,0),"")</f>
        <v/>
      </c>
      <c r="G129" s="215" t="str">
        <f>IFERROR(VLOOKUP($C129,'PORTIFÓLIO'!C:V,5,0),"")</f>
        <v/>
      </c>
      <c r="H129" s="254" t="str">
        <f t="array" ref="H129">IFERROR(INDEX('PORTIFÓLIO'!$H$4:$H$433,MATCH($C129,'PORTIFÓLIO'!$C$4:$C$433,0)),"")</f>
        <v/>
      </c>
      <c r="I129" s="256"/>
      <c r="J129" s="218">
        <f t="shared" si="14"/>
        <v>0</v>
      </c>
      <c r="K129" s="219" t="str">
        <f t="array" ref="K129">IFERROR(I129*INDEX('PORTIFÓLIO'!$S$4:$S$433,MATCH($C129,'PORTIFÓLIO'!$C$4:$C$433,0)),"")</f>
        <v/>
      </c>
      <c r="L129" s="219" t="str">
        <f t="array" ref="L129">IFERROR(J129*INDEX('PORTIFÓLIO'!$S$4:$S$433,MATCH($C129,'PORTIFÓLIO'!$C$4:$C$433,0)),"")</f>
        <v/>
      </c>
      <c r="M129" s="220"/>
      <c r="N129" s="220"/>
      <c r="O129" s="220"/>
      <c r="P129" s="220"/>
      <c r="Q129" s="220"/>
      <c r="R129" s="220"/>
      <c r="S129" s="220"/>
      <c r="T129" s="220"/>
      <c r="U129" s="220"/>
      <c r="V129" s="220"/>
      <c r="W129" s="220"/>
    </row>
    <row r="130" ht="15.75" customHeight="1" outlineLevel="1">
      <c r="A130" s="211"/>
      <c r="B130" s="227"/>
      <c r="C130" s="211"/>
      <c r="D130" s="214" t="str">
        <f>IFERROR(VLOOKUP($C130,'PORTIFÓLIO'!C:V,2,0),"")</f>
        <v/>
      </c>
      <c r="E130" s="211" t="str">
        <f>IFERROR(VLOOKUP($C130,'PORTIFÓLIO'!C:V,3,0),"")</f>
        <v/>
      </c>
      <c r="F130" s="211" t="str">
        <f>IFERROR(VLOOKUP($C130,'PORTIFÓLIO'!C:V,4,0),"")</f>
        <v/>
      </c>
      <c r="G130" s="215" t="str">
        <f>IFERROR(VLOOKUP($C130,'PORTIFÓLIO'!C:V,5,0),"")</f>
        <v/>
      </c>
      <c r="H130" s="254" t="str">
        <f t="array" ref="H130">IFERROR(INDEX('PORTIFÓLIO'!$H$4:$H$433,MATCH($C130,'PORTIFÓLIO'!$C$4:$C$433,0)),"")</f>
        <v/>
      </c>
      <c r="I130" s="256"/>
      <c r="J130" s="218"/>
      <c r="K130" s="219" t="str">
        <f t="array" ref="K130">IFERROR(I130*INDEX('PORTIFÓLIO'!$S$4:$S$433,MATCH($C130,'PORTIFÓLIO'!$C$4:$C$433,0)),"")</f>
        <v/>
      </c>
      <c r="L130" s="219" t="str">
        <f t="array" ref="L130">IFERROR(J130*INDEX('PORTIFÓLIO'!$S$4:$S$433,MATCH($C130,'PORTIFÓLIO'!$C$4:$C$433,0)),"")</f>
        <v/>
      </c>
      <c r="M130" s="220"/>
      <c r="N130" s="220"/>
      <c r="O130" s="220"/>
      <c r="P130" s="220"/>
      <c r="Q130" s="220"/>
      <c r="R130" s="220"/>
      <c r="S130" s="220"/>
      <c r="T130" s="220"/>
      <c r="U130" s="220"/>
      <c r="V130" s="220"/>
      <c r="W130" s="220"/>
    </row>
    <row r="131" ht="15.75" customHeight="1">
      <c r="A131" s="229" t="s">
        <v>1191</v>
      </c>
      <c r="B131" s="230"/>
      <c r="C131" s="231"/>
      <c r="D131" s="232"/>
      <c r="E131" s="231"/>
      <c r="F131" s="231"/>
      <c r="G131" s="233"/>
      <c r="H131" s="233"/>
      <c r="I131" s="258"/>
      <c r="J131" s="236"/>
      <c r="K131" s="237">
        <f t="shared" ref="K131:L131" si="15">SUBTOTAL(9,K132:K145)</f>
        <v>101.229074</v>
      </c>
      <c r="L131" s="237">
        <f t="shared" si="15"/>
        <v>8098.32592</v>
      </c>
      <c r="M131" s="220"/>
      <c r="N131" s="220"/>
      <c r="O131" s="220"/>
      <c r="P131" s="220"/>
      <c r="Q131" s="220"/>
      <c r="R131" s="220"/>
      <c r="S131" s="220"/>
      <c r="T131" s="220"/>
      <c r="U131" s="220"/>
      <c r="V131" s="220"/>
      <c r="W131" s="220"/>
    </row>
    <row r="132" ht="15.75" customHeight="1" outlineLevel="1">
      <c r="A132" s="213"/>
      <c r="B132" s="212" t="s">
        <v>0</v>
      </c>
      <c r="C132" s="213" t="s">
        <v>487</v>
      </c>
      <c r="D132" s="214" t="str">
        <f>IFERROR(VLOOKUP($C132,'PORTIFÓLIO'!C:V,2,0),"")</f>
        <v>PICOXISTROBINA + CIPROCONAZOL</v>
      </c>
      <c r="E132" s="211" t="str">
        <f>IFERROR(VLOOKUP($C132,'PORTIFÓLIO'!C:V,3,0),"")</f>
        <v>90 + 40</v>
      </c>
      <c r="F132" s="211" t="str">
        <f>IFERROR(VLOOKUP($C132,'PORTIFÓLIO'!C:V,4,0),"")</f>
        <v>L</v>
      </c>
      <c r="G132" s="225" t="str">
        <f>IFERROR(VLOOKUP($C132,'PORTIFÓLIO'!C:V,5,0),"")</f>
        <v>📄 Ver bula</v>
      </c>
      <c r="H132" s="254">
        <f t="array" ref="H132">IFERROR(INDEX('PORTIFÓLIO'!$H$4:$H$433,MATCH($C132,'PORTIFÓLIO'!$C$4:$C$433,0)),"")</f>
        <v>0.6</v>
      </c>
      <c r="I132" s="255">
        <v>0.6</v>
      </c>
      <c r="J132" s="218">
        <f t="shared" ref="J132:J146" si="16">I132*$B$2</f>
        <v>48</v>
      </c>
      <c r="K132" s="219">
        <f t="array" ref="K132">IFERROR(I132*INDEX('PORTIFÓLIO'!$S$4:$S$433,MATCH($C132,'PORTIFÓLIO'!$C$4:$C$433,0)),"")</f>
        <v>39.349152</v>
      </c>
      <c r="L132" s="219">
        <f t="array" ref="L132">IFERROR(J132*INDEX('PORTIFÓLIO'!$S$4:$S$433,MATCH($C132,'PORTIFÓLIO'!$C$4:$C$433,0)),"")</f>
        <v>3147.93216</v>
      </c>
      <c r="M132" s="220"/>
      <c r="N132" s="220"/>
      <c r="O132" s="220"/>
      <c r="P132" s="220"/>
      <c r="Q132" s="220"/>
      <c r="R132" s="220"/>
      <c r="S132" s="220"/>
      <c r="T132" s="220"/>
      <c r="U132" s="220"/>
      <c r="V132" s="220"/>
      <c r="W132" s="220"/>
    </row>
    <row r="133" ht="15.75" customHeight="1" outlineLevel="1">
      <c r="A133" s="211"/>
      <c r="B133" s="212" t="s">
        <v>0</v>
      </c>
      <c r="C133" s="213" t="s">
        <v>484</v>
      </c>
      <c r="D133" s="214" t="str">
        <f>IFERROR(VLOOKUP($C133,'PORTIFÓLIO'!C:V,2,0),"")</f>
        <v>MANCOZEBE</v>
      </c>
      <c r="E133" s="211">
        <f>IFERROR(VLOOKUP($C133,'PORTIFÓLIO'!C:V,3,0),"")</f>
        <v>750</v>
      </c>
      <c r="F133" s="211" t="str">
        <f>IFERROR(VLOOKUP($C133,'PORTIFÓLIO'!C:V,4,0),"")</f>
        <v>L</v>
      </c>
      <c r="G133" s="225" t="str">
        <f>IFERROR(VLOOKUP($C133,'PORTIFÓLIO'!C:V,5,0),"")</f>
        <v>📄 Ver bula</v>
      </c>
      <c r="H133" s="254">
        <f t="array" ref="H133">IFERROR(INDEX('PORTIFÓLIO'!$H$4:$H$433,MATCH($C133,'PORTIFÓLIO'!$C$4:$C$433,0)),"")</f>
        <v>1.5</v>
      </c>
      <c r="I133" s="255">
        <v>1.5</v>
      </c>
      <c r="J133" s="218">
        <f t="shared" si="16"/>
        <v>120</v>
      </c>
      <c r="K133" s="219">
        <f t="array" ref="K133">IFERROR(I133*INDEX('PORTIFÓLIO'!$S$4:$S$433,MATCH($C133,'PORTIFÓLIO'!$C$4:$C$433,0)),"")</f>
        <v>41.52168</v>
      </c>
      <c r="L133" s="219">
        <f t="array" ref="L133">IFERROR(J133*INDEX('PORTIFÓLIO'!$S$4:$S$433,MATCH($C133,'PORTIFÓLIO'!$C$4:$C$433,0)),"")</f>
        <v>3321.7344</v>
      </c>
      <c r="M133" s="220"/>
      <c r="N133" s="220"/>
      <c r="O133" s="220"/>
      <c r="P133" s="220"/>
      <c r="Q133" s="220"/>
      <c r="R133" s="220"/>
      <c r="S133" s="220"/>
      <c r="T133" s="220"/>
      <c r="U133" s="220"/>
      <c r="V133" s="220"/>
      <c r="W133" s="220"/>
    </row>
    <row r="134" ht="15.75" customHeight="1" outlineLevel="1">
      <c r="A134" s="211"/>
      <c r="B134" s="212" t="s">
        <v>2</v>
      </c>
      <c r="C134" s="213" t="s">
        <v>881</v>
      </c>
      <c r="D134" s="214" t="str">
        <f>IFERROR(VLOOKUP($C134,'PORTIFÓLIO'!C:V,2,0),"")</f>
        <v>TIAMETOXAM + LAMBDA-CIALOTRINA</v>
      </c>
      <c r="E134" s="211" t="str">
        <f>IFERROR(VLOOKUP($C134,'PORTIFÓLIO'!C:V,3,0),"")</f>
        <v>141 + 106</v>
      </c>
      <c r="F134" s="211" t="str">
        <f>IFERROR(VLOOKUP($C134,'PORTIFÓLIO'!C:V,4,0),"")</f>
        <v>L</v>
      </c>
      <c r="G134" s="225" t="str">
        <f>IFERROR(VLOOKUP($C134,'PORTIFÓLIO'!C:V,5,0),"")</f>
        <v>📄 Ver bula</v>
      </c>
      <c r="H134" s="254">
        <f t="array" ref="H134">IFERROR(INDEX('PORTIFÓLIO'!$H$4:$H$433,MATCH($C134,'PORTIFÓLIO'!$C$4:$C$433,0)),"")</f>
        <v>0.2</v>
      </c>
      <c r="I134" s="255">
        <v>0.2</v>
      </c>
      <c r="J134" s="218">
        <f t="shared" si="16"/>
        <v>16</v>
      </c>
      <c r="K134" s="219">
        <f t="array" ref="K134">IFERROR(I134*INDEX('PORTIFÓLIO'!$S$4:$S$433,MATCH($C134,'PORTIFÓLIO'!$C$4:$C$433,0)),"")</f>
        <v>17.152242</v>
      </c>
      <c r="L134" s="219">
        <f t="array" ref="L134">IFERROR(J134*INDEX('PORTIFÓLIO'!$S$4:$S$433,MATCH($C134,'PORTIFÓLIO'!$C$4:$C$433,0)),"")</f>
        <v>1372.17936</v>
      </c>
      <c r="M134" s="220"/>
      <c r="N134" s="220"/>
      <c r="O134" s="220"/>
      <c r="P134" s="220"/>
      <c r="Q134" s="220"/>
      <c r="R134" s="220"/>
      <c r="S134" s="220"/>
      <c r="T134" s="220"/>
      <c r="U134" s="220"/>
      <c r="V134" s="220"/>
      <c r="W134" s="220"/>
    </row>
    <row r="135" ht="15.75" customHeight="1" outlineLevel="1">
      <c r="A135" s="211"/>
      <c r="B135" s="212" t="s">
        <v>6</v>
      </c>
      <c r="C135" s="213" t="s">
        <v>354</v>
      </c>
      <c r="D135" s="214" t="str">
        <f>IFERROR(VLOOKUP($C135,'PORTIFÓLIO'!C:V,2,0),"")</f>
        <v>OLEO MINERAL</v>
      </c>
      <c r="E135" s="211">
        <f>IFERROR(VLOOKUP($C135,'PORTIFÓLIO'!C:V,3,0),"")</f>
        <v>761</v>
      </c>
      <c r="F135" s="211" t="str">
        <f>IFERROR(VLOOKUP($C135,'PORTIFÓLIO'!C:V,4,0),"")</f>
        <v>L</v>
      </c>
      <c r="G135" s="225" t="str">
        <f>IFERROR(VLOOKUP($C135,'PORTIFÓLIO'!C:V,5,0),"")</f>
        <v>📄 Ver bula</v>
      </c>
      <c r="H135" s="254">
        <f t="array" ref="H135">IFERROR(INDEX('PORTIFÓLIO'!$H$4:$H$433,MATCH($C135,'PORTIFÓLIO'!$C$4:$C$433,0)),"")</f>
        <v>0.2</v>
      </c>
      <c r="I135" s="255">
        <v>0.2</v>
      </c>
      <c r="J135" s="218">
        <f t="shared" si="16"/>
        <v>16</v>
      </c>
      <c r="K135" s="219">
        <f t="array" ref="K135">IFERROR(I135*INDEX('PORTIFÓLIO'!$S$4:$S$433,MATCH($C135,'PORTIFÓLIO'!$C$4:$C$433,0)),"")</f>
        <v>3.206</v>
      </c>
      <c r="L135" s="219">
        <f t="array" ref="L135">IFERROR(J135*INDEX('PORTIFÓLIO'!$S$4:$S$433,MATCH($C135,'PORTIFÓLIO'!$C$4:$C$433,0)),"")</f>
        <v>256.48</v>
      </c>
      <c r="M135" s="220"/>
      <c r="N135" s="220"/>
      <c r="O135" s="220"/>
      <c r="P135" s="220"/>
      <c r="Q135" s="220"/>
      <c r="R135" s="220"/>
      <c r="S135" s="220"/>
      <c r="T135" s="220"/>
      <c r="U135" s="220"/>
      <c r="V135" s="220"/>
      <c r="W135" s="220"/>
    </row>
    <row r="136" ht="15.75" customHeight="1" outlineLevel="1">
      <c r="A136" s="211"/>
      <c r="B136" s="212"/>
      <c r="C136" s="213"/>
      <c r="D136" s="214" t="str">
        <f>IFERROR(VLOOKUP($C136,'PORTIFÓLIO'!C:V,2,0),"")</f>
        <v/>
      </c>
      <c r="E136" s="211" t="str">
        <f>IFERROR(VLOOKUP($C136,'PORTIFÓLIO'!C:V,3,0),"")</f>
        <v/>
      </c>
      <c r="F136" s="211" t="str">
        <f>IFERROR(VLOOKUP($C136,'PORTIFÓLIO'!C:V,4,0),"")</f>
        <v/>
      </c>
      <c r="G136" s="215" t="str">
        <f>IFERROR(VLOOKUP($C136,'PORTIFÓLIO'!C:V,5,0),"")</f>
        <v/>
      </c>
      <c r="H136" s="254" t="str">
        <f t="array" ref="H136">IFERROR(INDEX('PORTIFÓLIO'!$H$4:$H$433,MATCH($C136,'PORTIFÓLIO'!$C$4:$C$433,0)),"")</f>
        <v/>
      </c>
      <c r="I136" s="256"/>
      <c r="J136" s="218">
        <f t="shared" si="16"/>
        <v>0</v>
      </c>
      <c r="K136" s="219" t="str">
        <f t="array" ref="K136">IFERROR(I136*INDEX('PORTIFÓLIO'!$S$4:$S$433,MATCH($C136,'PORTIFÓLIO'!$C$4:$C$433,0)),"")</f>
        <v/>
      </c>
      <c r="L136" s="219" t="str">
        <f t="array" ref="L136">IFERROR(J136*INDEX('PORTIFÓLIO'!$S$4:$S$433,MATCH($C136,'PORTIFÓLIO'!$C$4:$C$433,0)),"")</f>
        <v/>
      </c>
      <c r="M136" s="220"/>
      <c r="N136" s="220"/>
      <c r="O136" s="220"/>
      <c r="P136" s="220"/>
      <c r="Q136" s="220"/>
      <c r="R136" s="220"/>
      <c r="S136" s="220"/>
      <c r="T136" s="220"/>
      <c r="U136" s="220"/>
      <c r="V136" s="220"/>
      <c r="W136" s="220"/>
    </row>
    <row r="137" ht="15.75" customHeight="1" outlineLevel="1">
      <c r="A137" s="211"/>
      <c r="B137" s="212"/>
      <c r="C137" s="213"/>
      <c r="D137" s="214" t="str">
        <f>IFERROR(VLOOKUP($C137,'PORTIFÓLIO'!C:V,2,0),"")</f>
        <v/>
      </c>
      <c r="E137" s="211" t="str">
        <f>IFERROR(VLOOKUP($C137,'PORTIFÓLIO'!C:V,3,0),"")</f>
        <v/>
      </c>
      <c r="F137" s="211" t="str">
        <f>IFERROR(VLOOKUP($C137,'PORTIFÓLIO'!C:V,4,0),"")</f>
        <v/>
      </c>
      <c r="G137" s="215" t="str">
        <f>IFERROR(VLOOKUP($C137,'PORTIFÓLIO'!C:V,5,0),"")</f>
        <v/>
      </c>
      <c r="H137" s="254" t="str">
        <f t="array" ref="H137">IFERROR(INDEX('PORTIFÓLIO'!$H$4:$H$433,MATCH($C137,'PORTIFÓLIO'!$C$4:$C$433,0)),"")</f>
        <v/>
      </c>
      <c r="I137" s="256"/>
      <c r="J137" s="218">
        <f t="shared" si="16"/>
        <v>0</v>
      </c>
      <c r="K137" s="219" t="str">
        <f t="array" ref="K137">IFERROR(I137*INDEX('PORTIFÓLIO'!$S$4:$S$433,MATCH($C137,'PORTIFÓLIO'!$C$4:$C$433,0)),"")</f>
        <v/>
      </c>
      <c r="L137" s="219" t="str">
        <f t="array" ref="L137">IFERROR(J137*INDEX('PORTIFÓLIO'!$S$4:$S$433,MATCH($C137,'PORTIFÓLIO'!$C$4:$C$433,0)),"")</f>
        <v/>
      </c>
      <c r="M137" s="220"/>
      <c r="N137" s="220"/>
      <c r="O137" s="220"/>
      <c r="P137" s="220"/>
      <c r="Q137" s="220"/>
      <c r="R137" s="220"/>
      <c r="S137" s="220"/>
      <c r="T137" s="220"/>
      <c r="U137" s="220"/>
      <c r="V137" s="220"/>
      <c r="W137" s="220"/>
    </row>
    <row r="138" ht="15.75" customHeight="1" outlineLevel="1">
      <c r="A138" s="211"/>
      <c r="B138" s="212"/>
      <c r="C138" s="213"/>
      <c r="D138" s="214" t="str">
        <f>IFERROR(VLOOKUP($C138,'PORTIFÓLIO'!C:V,2,0),"")</f>
        <v/>
      </c>
      <c r="E138" s="211" t="str">
        <f>IFERROR(VLOOKUP($C138,'PORTIFÓLIO'!C:V,3,0),"")</f>
        <v/>
      </c>
      <c r="F138" s="211" t="str">
        <f>IFERROR(VLOOKUP($C138,'PORTIFÓLIO'!C:V,4,0),"")</f>
        <v/>
      </c>
      <c r="G138" s="215" t="str">
        <f>IFERROR(VLOOKUP($C138,'PORTIFÓLIO'!C:V,5,0),"")</f>
        <v/>
      </c>
      <c r="H138" s="254" t="str">
        <f t="array" ref="H138">IFERROR(INDEX('PORTIFÓLIO'!$H$4:$H$433,MATCH($C138,'PORTIFÓLIO'!$C$4:$C$433,0)),"")</f>
        <v/>
      </c>
      <c r="I138" s="256"/>
      <c r="J138" s="218">
        <f t="shared" si="16"/>
        <v>0</v>
      </c>
      <c r="K138" s="219" t="str">
        <f t="array" ref="K138">IFERROR(I138*INDEX('PORTIFÓLIO'!$S$4:$S$433,MATCH($C138,'PORTIFÓLIO'!$C$4:$C$433,0)),"")</f>
        <v/>
      </c>
      <c r="L138" s="219" t="str">
        <f t="array" ref="L138">IFERROR(J138*INDEX('PORTIFÓLIO'!$S$4:$S$433,MATCH($C138,'PORTIFÓLIO'!$C$4:$C$433,0)),"")</f>
        <v/>
      </c>
      <c r="M138" s="220"/>
      <c r="N138" s="220"/>
      <c r="O138" s="220"/>
      <c r="P138" s="220"/>
      <c r="Q138" s="220"/>
      <c r="R138" s="220"/>
      <c r="S138" s="220"/>
      <c r="T138" s="220"/>
      <c r="U138" s="220"/>
      <c r="V138" s="220"/>
      <c r="W138" s="220"/>
    </row>
    <row r="139" ht="15.75" customHeight="1" outlineLevel="1">
      <c r="A139" s="211"/>
      <c r="B139" s="212"/>
      <c r="C139" s="213"/>
      <c r="D139" s="214" t="str">
        <f>IFERROR(VLOOKUP($C139,'PORTIFÓLIO'!C:V,2,0),"")</f>
        <v/>
      </c>
      <c r="E139" s="211" t="str">
        <f>IFERROR(VLOOKUP($C139,'PORTIFÓLIO'!C:V,3,0),"")</f>
        <v/>
      </c>
      <c r="F139" s="211" t="str">
        <f>IFERROR(VLOOKUP($C139,'PORTIFÓLIO'!C:V,4,0),"")</f>
        <v/>
      </c>
      <c r="G139" s="215" t="str">
        <f>IFERROR(VLOOKUP($C139,'PORTIFÓLIO'!C:V,5,0),"")</f>
        <v/>
      </c>
      <c r="H139" s="254" t="str">
        <f t="array" ref="H139">IFERROR(INDEX('PORTIFÓLIO'!$H$4:$H$433,MATCH($C139,'PORTIFÓLIO'!$C$4:$C$433,0)),"")</f>
        <v/>
      </c>
      <c r="I139" s="256"/>
      <c r="J139" s="218">
        <f t="shared" si="16"/>
        <v>0</v>
      </c>
      <c r="K139" s="219" t="str">
        <f t="array" ref="K139">IFERROR(I139*INDEX('PORTIFÓLIO'!$S$4:$S$433,MATCH($C139,'PORTIFÓLIO'!$C$4:$C$433,0)),"")</f>
        <v/>
      </c>
      <c r="L139" s="219" t="str">
        <f t="array" ref="L139">IFERROR(J139*INDEX('PORTIFÓLIO'!$S$4:$S$433,MATCH($C139,'PORTIFÓLIO'!$C$4:$C$433,0)),"")</f>
        <v/>
      </c>
      <c r="M139" s="220"/>
      <c r="N139" s="220"/>
      <c r="O139" s="220"/>
      <c r="P139" s="220"/>
      <c r="Q139" s="220"/>
      <c r="R139" s="220"/>
      <c r="S139" s="220"/>
      <c r="T139" s="220"/>
      <c r="U139" s="220"/>
      <c r="V139" s="220"/>
      <c r="W139" s="220"/>
    </row>
    <row r="140" ht="15.75" customHeight="1" outlineLevel="1">
      <c r="A140" s="211"/>
      <c r="B140" s="212"/>
      <c r="C140" s="213"/>
      <c r="D140" s="214" t="str">
        <f>IFERROR(VLOOKUP($C140,'PORTIFÓLIO'!C:V,2,0),"")</f>
        <v/>
      </c>
      <c r="E140" s="211" t="str">
        <f>IFERROR(VLOOKUP($C140,'PORTIFÓLIO'!C:V,3,0),"")</f>
        <v/>
      </c>
      <c r="F140" s="211" t="str">
        <f>IFERROR(VLOOKUP($C140,'PORTIFÓLIO'!C:V,4,0),"")</f>
        <v/>
      </c>
      <c r="G140" s="215" t="str">
        <f>IFERROR(VLOOKUP($C140,'PORTIFÓLIO'!C:V,5,0),"")</f>
        <v/>
      </c>
      <c r="H140" s="254" t="str">
        <f t="array" ref="H140">IFERROR(INDEX('PORTIFÓLIO'!$H$4:$H$433,MATCH($C140,'PORTIFÓLIO'!$C$4:$C$433,0)),"")</f>
        <v/>
      </c>
      <c r="I140" s="255"/>
      <c r="J140" s="218">
        <f t="shared" si="16"/>
        <v>0</v>
      </c>
      <c r="K140" s="219" t="str">
        <f t="array" ref="K140">IFERROR(I140*INDEX('PORTIFÓLIO'!$S$4:$S$433,MATCH($C140,'PORTIFÓLIO'!$C$4:$C$433,0)),"")</f>
        <v/>
      </c>
      <c r="L140" s="219" t="str">
        <f t="array" ref="L140">IFERROR(J140*INDEX('PORTIFÓLIO'!$S$4:$S$433,MATCH($C140,'PORTIFÓLIO'!$C$4:$C$433,0)),"")</f>
        <v/>
      </c>
      <c r="M140" s="220"/>
      <c r="N140" s="220"/>
      <c r="O140" s="220"/>
      <c r="P140" s="220"/>
      <c r="Q140" s="220"/>
      <c r="R140" s="220"/>
      <c r="S140" s="220"/>
      <c r="T140" s="220"/>
      <c r="U140" s="220"/>
      <c r="V140" s="220"/>
      <c r="W140" s="220"/>
    </row>
    <row r="141" ht="15.75" customHeight="1" outlineLevel="1">
      <c r="A141" s="211"/>
      <c r="B141" s="212"/>
      <c r="C141" s="213"/>
      <c r="D141" s="214" t="str">
        <f>IFERROR(VLOOKUP($C141,'PORTIFÓLIO'!C:V,2,0),"")</f>
        <v/>
      </c>
      <c r="E141" s="211" t="str">
        <f>IFERROR(VLOOKUP($C141,'PORTIFÓLIO'!C:V,3,0),"")</f>
        <v/>
      </c>
      <c r="F141" s="211" t="str">
        <f>IFERROR(VLOOKUP($C141,'PORTIFÓLIO'!C:V,4,0),"")</f>
        <v/>
      </c>
      <c r="G141" s="215" t="str">
        <f>IFERROR(VLOOKUP($C141,'PORTIFÓLIO'!C:V,5,0),"")</f>
        <v/>
      </c>
      <c r="H141" s="254" t="str">
        <f t="array" ref="H141">IFERROR(INDEX('PORTIFÓLIO'!$H$4:$H$433,MATCH($C141,'PORTIFÓLIO'!$C$4:$C$433,0)),"")</f>
        <v/>
      </c>
      <c r="I141" s="256"/>
      <c r="J141" s="218">
        <f t="shared" si="16"/>
        <v>0</v>
      </c>
      <c r="K141" s="219" t="str">
        <f t="array" ref="K141">IFERROR(I141*INDEX('PORTIFÓLIO'!$S$4:$S$433,MATCH($C141,'PORTIFÓLIO'!$C$4:$C$433,0)),"")</f>
        <v/>
      </c>
      <c r="L141" s="219" t="str">
        <f t="array" ref="L141">IFERROR(J141*INDEX('PORTIFÓLIO'!$S$4:$S$433,MATCH($C141,'PORTIFÓLIO'!$C$4:$C$433,0)),"")</f>
        <v/>
      </c>
      <c r="M141" s="220"/>
      <c r="N141" s="220"/>
      <c r="O141" s="220"/>
      <c r="P141" s="220"/>
      <c r="Q141" s="220"/>
      <c r="R141" s="220"/>
      <c r="S141" s="220"/>
      <c r="T141" s="220"/>
      <c r="U141" s="220"/>
      <c r="V141" s="220"/>
      <c r="W141" s="220"/>
    </row>
    <row r="142" ht="15.75" customHeight="1" outlineLevel="1">
      <c r="A142" s="211"/>
      <c r="B142" s="212"/>
      <c r="C142" s="213"/>
      <c r="D142" s="214" t="str">
        <f>IFERROR(VLOOKUP($C142,'PORTIFÓLIO'!C:V,2,0),"")</f>
        <v/>
      </c>
      <c r="E142" s="211" t="str">
        <f>IFERROR(VLOOKUP($C142,'PORTIFÓLIO'!C:V,3,0),"")</f>
        <v/>
      </c>
      <c r="F142" s="211" t="str">
        <f>IFERROR(VLOOKUP($C142,'PORTIFÓLIO'!C:V,4,0),"")</f>
        <v/>
      </c>
      <c r="G142" s="215" t="str">
        <f>IFERROR(VLOOKUP($C142,'PORTIFÓLIO'!C:V,5,0),"")</f>
        <v/>
      </c>
      <c r="H142" s="254" t="str">
        <f t="array" ref="H142">IFERROR(INDEX('PORTIFÓLIO'!$H$4:$H$433,MATCH($C142,'PORTIFÓLIO'!$C$4:$C$433,0)),"")</f>
        <v/>
      </c>
      <c r="I142" s="256"/>
      <c r="J142" s="218">
        <f t="shared" si="16"/>
        <v>0</v>
      </c>
      <c r="K142" s="219" t="str">
        <f t="array" ref="K142">IFERROR(I142*INDEX('PORTIFÓLIO'!$S$4:$S$433,MATCH($C142,'PORTIFÓLIO'!$C$4:$C$433,0)),"")</f>
        <v/>
      </c>
      <c r="L142" s="219" t="str">
        <f t="array" ref="L142">IFERROR(J142*INDEX('PORTIFÓLIO'!$S$4:$S$433,MATCH($C142,'PORTIFÓLIO'!$C$4:$C$433,0)),"")</f>
        <v/>
      </c>
      <c r="M142" s="220"/>
      <c r="N142" s="220"/>
      <c r="O142" s="220"/>
      <c r="P142" s="220"/>
      <c r="Q142" s="220"/>
      <c r="R142" s="220"/>
      <c r="S142" s="220"/>
      <c r="T142" s="220"/>
      <c r="U142" s="220"/>
      <c r="V142" s="220"/>
      <c r="W142" s="220"/>
    </row>
    <row r="143" ht="15.75" customHeight="1" outlineLevel="1">
      <c r="A143" s="211"/>
      <c r="B143" s="212"/>
      <c r="C143" s="213"/>
      <c r="D143" s="214" t="str">
        <f>IFERROR(VLOOKUP($C143,'PORTIFÓLIO'!C:V,2,0),"")</f>
        <v/>
      </c>
      <c r="E143" s="211" t="str">
        <f>IFERROR(VLOOKUP($C143,'PORTIFÓLIO'!C:V,3,0),"")</f>
        <v/>
      </c>
      <c r="F143" s="211" t="str">
        <f>IFERROR(VLOOKUP($C143,'PORTIFÓLIO'!C:V,4,0),"")</f>
        <v/>
      </c>
      <c r="G143" s="215" t="str">
        <f>IFERROR(VLOOKUP($C143,'PORTIFÓLIO'!C:V,5,0),"")</f>
        <v/>
      </c>
      <c r="H143" s="254" t="str">
        <f t="array" ref="H143">IFERROR(INDEX('PORTIFÓLIO'!$H$4:$H$433,MATCH($C143,'PORTIFÓLIO'!$C$4:$C$433,0)),"")</f>
        <v/>
      </c>
      <c r="I143" s="256"/>
      <c r="J143" s="218">
        <f t="shared" si="16"/>
        <v>0</v>
      </c>
      <c r="K143" s="219" t="str">
        <f t="array" ref="K143">IFERROR(I143*INDEX('PORTIFÓLIO'!$S$4:$S$433,MATCH($C143,'PORTIFÓLIO'!$C$4:$C$433,0)),"")</f>
        <v/>
      </c>
      <c r="L143" s="219" t="str">
        <f t="array" ref="L143">IFERROR(J143*INDEX('PORTIFÓLIO'!$S$4:$S$433,MATCH($C143,'PORTIFÓLIO'!$C$4:$C$433,0)),"")</f>
        <v/>
      </c>
      <c r="M143" s="220"/>
      <c r="N143" s="220"/>
      <c r="O143" s="220"/>
      <c r="P143" s="220"/>
      <c r="Q143" s="220"/>
      <c r="R143" s="220"/>
      <c r="S143" s="220"/>
      <c r="T143" s="220"/>
      <c r="U143" s="220"/>
      <c r="V143" s="220"/>
      <c r="W143" s="220"/>
    </row>
    <row r="144" ht="15.75" customHeight="1" outlineLevel="1">
      <c r="A144" s="211"/>
      <c r="B144" s="212"/>
      <c r="C144" s="213"/>
      <c r="D144" s="214" t="str">
        <f>IFERROR(VLOOKUP($C144,'PORTIFÓLIO'!C:V,2,0),"")</f>
        <v/>
      </c>
      <c r="E144" s="211" t="str">
        <f>IFERROR(VLOOKUP($C144,'PORTIFÓLIO'!C:V,3,0),"")</f>
        <v/>
      </c>
      <c r="F144" s="211" t="str">
        <f>IFERROR(VLOOKUP($C144,'PORTIFÓLIO'!C:V,4,0),"")</f>
        <v/>
      </c>
      <c r="G144" s="215" t="str">
        <f>IFERROR(VLOOKUP($C144,'PORTIFÓLIO'!C:V,5,0),"")</f>
        <v/>
      </c>
      <c r="H144" s="254" t="str">
        <f t="array" ref="H144">IFERROR(INDEX('PORTIFÓLIO'!$H$4:$H$433,MATCH($C144,'PORTIFÓLIO'!$C$4:$C$433,0)),"")</f>
        <v/>
      </c>
      <c r="I144" s="256"/>
      <c r="J144" s="218">
        <f t="shared" si="16"/>
        <v>0</v>
      </c>
      <c r="K144" s="219" t="str">
        <f t="array" ref="K144">IFERROR(I144*INDEX('PORTIFÓLIO'!$S$4:$S$433,MATCH($C144,'PORTIFÓLIO'!$C$4:$C$433,0)),"")</f>
        <v/>
      </c>
      <c r="L144" s="219" t="str">
        <f t="array" ref="L144">IFERROR(J144*INDEX('PORTIFÓLIO'!$S$4:$S$433,MATCH($C144,'PORTIFÓLIO'!$C$4:$C$433,0)),"")</f>
        <v/>
      </c>
      <c r="M144" s="220"/>
      <c r="N144" s="220"/>
      <c r="O144" s="220"/>
      <c r="P144" s="220"/>
      <c r="Q144" s="220"/>
      <c r="R144" s="220"/>
      <c r="S144" s="220"/>
      <c r="T144" s="220"/>
      <c r="U144" s="220"/>
      <c r="V144" s="220"/>
      <c r="W144" s="220"/>
    </row>
    <row r="145" ht="15.75" customHeight="1" outlineLevel="1">
      <c r="A145" s="211"/>
      <c r="B145" s="212"/>
      <c r="C145" s="213"/>
      <c r="D145" s="214" t="str">
        <f>IFERROR(VLOOKUP($C145,'PORTIFÓLIO'!C:V,2,0),"")</f>
        <v/>
      </c>
      <c r="E145" s="211" t="str">
        <f>IFERROR(VLOOKUP($C145,'PORTIFÓLIO'!C:V,3,0),"")</f>
        <v/>
      </c>
      <c r="F145" s="211" t="str">
        <f>IFERROR(VLOOKUP($C145,'PORTIFÓLIO'!C:V,4,0),"")</f>
        <v/>
      </c>
      <c r="G145" s="215" t="str">
        <f>IFERROR(VLOOKUP($C145,'PORTIFÓLIO'!C:V,5,0),"")</f>
        <v/>
      </c>
      <c r="H145" s="254" t="str">
        <f t="array" ref="H145">IFERROR(INDEX('PORTIFÓLIO'!$H$4:$H$433,MATCH($C145,'PORTIFÓLIO'!$C$4:$C$433,0)),"")</f>
        <v/>
      </c>
      <c r="I145" s="256"/>
      <c r="J145" s="218">
        <f t="shared" si="16"/>
        <v>0</v>
      </c>
      <c r="K145" s="219" t="str">
        <f t="array" ref="K145">IFERROR(I145*INDEX('PORTIFÓLIO'!$S$4:$S$433,MATCH($C145,'PORTIFÓLIO'!$C$4:$C$433,0)),"")</f>
        <v/>
      </c>
      <c r="L145" s="219" t="str">
        <f t="array" ref="L145">IFERROR(J145*INDEX('PORTIFÓLIO'!$S$4:$S$433,MATCH($C145,'PORTIFÓLIO'!$C$4:$C$433,0)),"")</f>
        <v/>
      </c>
      <c r="M145" s="220"/>
      <c r="N145" s="220"/>
      <c r="O145" s="220"/>
      <c r="P145" s="220"/>
      <c r="Q145" s="220"/>
      <c r="R145" s="220"/>
      <c r="S145" s="220"/>
      <c r="T145" s="220"/>
      <c r="U145" s="220"/>
      <c r="V145" s="220"/>
      <c r="W145" s="220"/>
    </row>
    <row r="146" ht="15.75" customHeight="1" outlineLevel="1">
      <c r="A146" s="211"/>
      <c r="B146" s="212"/>
      <c r="C146" s="213"/>
      <c r="D146" s="214" t="str">
        <f>IFERROR(VLOOKUP($C146,'PORTIFÓLIO'!C:V,2,0),"")</f>
        <v/>
      </c>
      <c r="E146" s="211" t="str">
        <f>IFERROR(VLOOKUP($C146,'PORTIFÓLIO'!C:V,3,0),"")</f>
        <v/>
      </c>
      <c r="F146" s="211" t="str">
        <f>IFERROR(VLOOKUP($C146,'PORTIFÓLIO'!C:V,4,0),"")</f>
        <v/>
      </c>
      <c r="G146" s="215" t="str">
        <f>IFERROR(VLOOKUP($C146,'PORTIFÓLIO'!C:V,5,0),"")</f>
        <v/>
      </c>
      <c r="H146" s="254" t="str">
        <f t="array" ref="H146">IFERROR(INDEX('PORTIFÓLIO'!$H$4:$H$433,MATCH($C146,'PORTIFÓLIO'!$C$4:$C$433,0)),"")</f>
        <v/>
      </c>
      <c r="I146" s="256"/>
      <c r="J146" s="218">
        <f t="shared" si="16"/>
        <v>0</v>
      </c>
      <c r="K146" s="219" t="str">
        <f t="array" ref="K146">IFERROR(I146*INDEX('PORTIFÓLIO'!$S$4:$S$433,MATCH($C146,'PORTIFÓLIO'!$C$4:$C$433,0)),"")</f>
        <v/>
      </c>
      <c r="L146" s="219" t="str">
        <f t="array" ref="L146">IFERROR(J146*INDEX('PORTIFÓLIO'!$S$4:$S$433,MATCH($C146,'PORTIFÓLIO'!$C$4:$C$433,0)),"")</f>
        <v/>
      </c>
      <c r="M146" s="220"/>
      <c r="N146" s="220"/>
      <c r="O146" s="220"/>
      <c r="P146" s="220"/>
      <c r="Q146" s="220"/>
      <c r="R146" s="220"/>
      <c r="S146" s="220"/>
      <c r="T146" s="220"/>
      <c r="U146" s="220"/>
      <c r="V146" s="220"/>
      <c r="W146" s="220"/>
    </row>
    <row r="147" ht="15.75" customHeight="1" outlineLevel="1">
      <c r="A147" s="211"/>
      <c r="B147" s="227"/>
      <c r="C147" s="211"/>
      <c r="D147" s="214" t="str">
        <f>IFERROR(VLOOKUP($C147,'PORTIFÓLIO'!C:V,2,0),"")</f>
        <v/>
      </c>
      <c r="E147" s="211" t="str">
        <f>IFERROR(VLOOKUP($C147,'PORTIFÓLIO'!C:V,3,0),"")</f>
        <v/>
      </c>
      <c r="F147" s="211" t="str">
        <f>IFERROR(VLOOKUP($C147,'PORTIFÓLIO'!C:V,4,0),"")</f>
        <v/>
      </c>
      <c r="G147" s="215" t="str">
        <f>IFERROR(VLOOKUP($C147,'PORTIFÓLIO'!C:V,5,0),"")</f>
        <v/>
      </c>
      <c r="H147" s="254" t="str">
        <f t="array" ref="H147">IFERROR(INDEX('PORTIFÓLIO'!$H$4:$H$433,MATCH($C147,'PORTIFÓLIO'!$C$4:$C$433,0)),"")</f>
        <v/>
      </c>
      <c r="I147" s="256"/>
      <c r="J147" s="218"/>
      <c r="K147" s="219" t="str">
        <f t="array" ref="K147">IFERROR(I147*INDEX('PORTIFÓLIO'!$S$4:$S$433,MATCH($C147,'PORTIFÓLIO'!$C$4:$C$433,0)),"")</f>
        <v/>
      </c>
      <c r="L147" s="219" t="str">
        <f t="array" ref="L147">IFERROR(J147*INDEX('PORTIFÓLIO'!$S$4:$S$433,MATCH($C147,'PORTIFÓLIO'!$C$4:$C$433,0)),"")</f>
        <v/>
      </c>
      <c r="M147" s="220"/>
      <c r="N147" s="220"/>
      <c r="O147" s="220"/>
      <c r="P147" s="220"/>
      <c r="Q147" s="220"/>
      <c r="R147" s="220"/>
      <c r="S147" s="220"/>
      <c r="T147" s="220"/>
      <c r="U147" s="220"/>
      <c r="V147" s="220"/>
      <c r="W147" s="220"/>
    </row>
    <row r="148" ht="15.75" customHeight="1">
      <c r="A148" s="229" t="s">
        <v>1192</v>
      </c>
      <c r="B148" s="230"/>
      <c r="C148" s="231"/>
      <c r="D148" s="232"/>
      <c r="E148" s="231"/>
      <c r="F148" s="231"/>
      <c r="G148" s="233"/>
      <c r="H148" s="233"/>
      <c r="I148" s="258"/>
      <c r="J148" s="236"/>
      <c r="K148" s="237">
        <f t="shared" ref="K148:L148" si="17">SUBTOTAL(9,K149:K162)</f>
        <v>57.21464</v>
      </c>
      <c r="L148" s="237">
        <f t="shared" si="17"/>
        <v>4577.1712</v>
      </c>
      <c r="M148" s="220"/>
      <c r="N148" s="220"/>
      <c r="O148" s="220"/>
      <c r="P148" s="220"/>
      <c r="Q148" s="220"/>
      <c r="R148" s="220"/>
      <c r="S148" s="220"/>
      <c r="T148" s="220"/>
      <c r="U148" s="220"/>
      <c r="V148" s="220"/>
      <c r="W148" s="220"/>
    </row>
    <row r="149" ht="15.75" customHeight="1" outlineLevel="1">
      <c r="A149" s="213"/>
      <c r="B149" s="212" t="s">
        <v>0</v>
      </c>
      <c r="C149" s="213" t="s">
        <v>434</v>
      </c>
      <c r="D149" s="214" t="str">
        <f>IFERROR(VLOOKUP($C149,'PORTIFÓLIO'!C:V,2,0),"")</f>
        <v>AZOXISTROBINA + TEBUCONAZOL</v>
      </c>
      <c r="E149" s="211" t="str">
        <f>IFERROR(VLOOKUP($C149,'PORTIFÓLIO'!C:V,3,0),"")</f>
        <v>120 + 200</v>
      </c>
      <c r="F149" s="211" t="str">
        <f>IFERROR(VLOOKUP($C149,'PORTIFÓLIO'!C:V,4,0),"")</f>
        <v>L</v>
      </c>
      <c r="G149" s="225" t="str">
        <f>IFERROR(VLOOKUP($C149,'PORTIFÓLIO'!C:V,5,0),"")</f>
        <v>📄 Ver bula</v>
      </c>
      <c r="H149" s="254">
        <f t="array" ref="H149">IFERROR(INDEX('PORTIFÓLIO'!$H$4:$H$433,MATCH($C149,'PORTIFÓLIO'!$C$4:$C$433,0)),"")</f>
        <v>0.5</v>
      </c>
      <c r="I149" s="255">
        <v>0.5</v>
      </c>
      <c r="J149" s="218">
        <f t="shared" ref="J149:J163" si="18">I149*$B$2</f>
        <v>40</v>
      </c>
      <c r="K149" s="219">
        <f t="array" ref="K149">IFERROR(I149*INDEX('PORTIFÓLIO'!$S$4:$S$433,MATCH($C149,'PORTIFÓLIO'!$C$4:$C$433,0)),"")</f>
        <v>17.66448</v>
      </c>
      <c r="L149" s="219">
        <f t="array" ref="L149">IFERROR(J149*INDEX('PORTIFÓLIO'!$S$4:$S$433,MATCH($C149,'PORTIFÓLIO'!$C$4:$C$433,0)),"")</f>
        <v>1413.1584</v>
      </c>
      <c r="M149" s="220"/>
      <c r="N149" s="220"/>
      <c r="O149" s="220"/>
      <c r="P149" s="220"/>
      <c r="Q149" s="220"/>
      <c r="R149" s="220"/>
      <c r="S149" s="220"/>
      <c r="T149" s="220"/>
      <c r="U149" s="220"/>
      <c r="V149" s="220"/>
      <c r="W149" s="220"/>
    </row>
    <row r="150" ht="15.75" customHeight="1" outlineLevel="1">
      <c r="A150" s="211"/>
      <c r="B150" s="212" t="s">
        <v>0</v>
      </c>
      <c r="C150" s="213" t="s">
        <v>572</v>
      </c>
      <c r="D150" s="214" t="str">
        <f>IFERROR(VLOOKUP($C150,'PORTIFÓLIO'!C:V,2,0),"")</f>
        <v>CLOROTALONIL</v>
      </c>
      <c r="E150" s="211">
        <f>IFERROR(VLOOKUP($C150,'PORTIFÓLIO'!C:V,3,0),"")</f>
        <v>720</v>
      </c>
      <c r="F150" s="211" t="str">
        <f>IFERROR(VLOOKUP($C150,'PORTIFÓLIO'!C:V,4,0),"")</f>
        <v>KG</v>
      </c>
      <c r="G150" s="225" t="str">
        <f>IFERROR(VLOOKUP($C150,'PORTIFÓLIO'!C:V,5,0),"")</f>
        <v>📄 Ver bula</v>
      </c>
      <c r="H150" s="254">
        <f t="array" ref="H150">IFERROR(INDEX('PORTIFÓLIO'!$H$4:$H$433,MATCH($C150,'PORTIFÓLIO'!$C$4:$C$433,0)),"")</f>
        <v>1.5</v>
      </c>
      <c r="I150" s="255">
        <v>1.5</v>
      </c>
      <c r="J150" s="218">
        <f t="shared" si="18"/>
        <v>120</v>
      </c>
      <c r="K150" s="219">
        <f t="array" ref="K150">IFERROR(I150*INDEX('PORTIFÓLIO'!$S$4:$S$433,MATCH($C150,'PORTIFÓLIO'!$C$4:$C$433,0)),"")</f>
        <v>36.34416</v>
      </c>
      <c r="L150" s="219">
        <f t="array" ref="L150">IFERROR(J150*INDEX('PORTIFÓLIO'!$S$4:$S$433,MATCH($C150,'PORTIFÓLIO'!$C$4:$C$433,0)),"")</f>
        <v>2907.5328</v>
      </c>
      <c r="M150" s="220"/>
      <c r="N150" s="220"/>
      <c r="O150" s="220"/>
      <c r="P150" s="220"/>
      <c r="Q150" s="220"/>
      <c r="R150" s="220"/>
      <c r="S150" s="220"/>
      <c r="T150" s="220"/>
      <c r="U150" s="220"/>
      <c r="V150" s="220"/>
      <c r="W150" s="220"/>
    </row>
    <row r="151" ht="15.75" customHeight="1" outlineLevel="1">
      <c r="A151" s="211"/>
      <c r="B151" s="212" t="s">
        <v>6</v>
      </c>
      <c r="C151" s="213" t="s">
        <v>354</v>
      </c>
      <c r="D151" s="214" t="str">
        <f>IFERROR(VLOOKUP($C151,'PORTIFÓLIO'!C:V,2,0),"")</f>
        <v>OLEO MINERAL</v>
      </c>
      <c r="E151" s="211">
        <f>IFERROR(VLOOKUP($C151,'PORTIFÓLIO'!C:V,3,0),"")</f>
        <v>761</v>
      </c>
      <c r="F151" s="211" t="str">
        <f>IFERROR(VLOOKUP($C151,'PORTIFÓLIO'!C:V,4,0),"")</f>
        <v>L</v>
      </c>
      <c r="G151" s="225" t="str">
        <f>IFERROR(VLOOKUP($C151,'PORTIFÓLIO'!C:V,5,0),"")</f>
        <v>📄 Ver bula</v>
      </c>
      <c r="H151" s="254">
        <f t="array" ref="H151">IFERROR(INDEX('PORTIFÓLIO'!$H$4:$H$433,MATCH($C151,'PORTIFÓLIO'!$C$4:$C$433,0)),"")</f>
        <v>0.2</v>
      </c>
      <c r="I151" s="255">
        <v>0.2</v>
      </c>
      <c r="J151" s="218">
        <f t="shared" si="18"/>
        <v>16</v>
      </c>
      <c r="K151" s="219">
        <f t="array" ref="K151">IFERROR(I151*INDEX('PORTIFÓLIO'!$S$4:$S$433,MATCH($C151,'PORTIFÓLIO'!$C$4:$C$433,0)),"")</f>
        <v>3.206</v>
      </c>
      <c r="L151" s="219">
        <f t="array" ref="L151">IFERROR(J151*INDEX('PORTIFÓLIO'!$S$4:$S$433,MATCH($C151,'PORTIFÓLIO'!$C$4:$C$433,0)),"")</f>
        <v>256.48</v>
      </c>
      <c r="M151" s="220"/>
      <c r="N151" s="220"/>
      <c r="O151" s="220"/>
      <c r="P151" s="220"/>
      <c r="Q151" s="220"/>
      <c r="R151" s="220"/>
      <c r="S151" s="220"/>
      <c r="T151" s="220"/>
      <c r="U151" s="220"/>
      <c r="V151" s="220"/>
      <c r="W151" s="220"/>
    </row>
    <row r="152" ht="15.75" customHeight="1" outlineLevel="1">
      <c r="A152" s="211"/>
      <c r="B152" s="212"/>
      <c r="C152" s="213"/>
      <c r="D152" s="214" t="str">
        <f>IFERROR(VLOOKUP($C152,'PORTIFÓLIO'!C:V,2,0),"")</f>
        <v/>
      </c>
      <c r="E152" s="211" t="str">
        <f>IFERROR(VLOOKUP($C152,'PORTIFÓLIO'!C:V,3,0),"")</f>
        <v/>
      </c>
      <c r="F152" s="211" t="str">
        <f>IFERROR(VLOOKUP($C152,'PORTIFÓLIO'!C:V,4,0),"")</f>
        <v/>
      </c>
      <c r="G152" s="215" t="str">
        <f>IFERROR(VLOOKUP($C152,'PORTIFÓLIO'!C:V,5,0),"")</f>
        <v/>
      </c>
      <c r="H152" s="254" t="str">
        <f t="array" ref="H152">IFERROR(INDEX('PORTIFÓLIO'!$H$4:$H$433,MATCH($C152,'PORTIFÓLIO'!$C$4:$C$433,0)),"")</f>
        <v/>
      </c>
      <c r="I152" s="256"/>
      <c r="J152" s="218">
        <f t="shared" si="18"/>
        <v>0</v>
      </c>
      <c r="K152" s="219" t="str">
        <f t="array" ref="K152">IFERROR(I152*INDEX('PORTIFÓLIO'!$S$4:$S$433,MATCH($C152,'PORTIFÓLIO'!$C$4:$C$433,0)),"")</f>
        <v/>
      </c>
      <c r="L152" s="219" t="str">
        <f t="array" ref="L152">IFERROR(J152*INDEX('PORTIFÓLIO'!$S$4:$S$433,MATCH($C152,'PORTIFÓLIO'!$C$4:$C$433,0)),"")</f>
        <v/>
      </c>
      <c r="M152" s="220"/>
      <c r="N152" s="220"/>
      <c r="O152" s="220"/>
      <c r="P152" s="220"/>
      <c r="Q152" s="220"/>
      <c r="R152" s="220"/>
      <c r="S152" s="220"/>
      <c r="T152" s="220"/>
      <c r="U152" s="220"/>
      <c r="V152" s="220"/>
      <c r="W152" s="220"/>
    </row>
    <row r="153" ht="15.75" customHeight="1" outlineLevel="1">
      <c r="A153" s="211"/>
      <c r="B153" s="212"/>
      <c r="C153" s="213"/>
      <c r="D153" s="214" t="str">
        <f>IFERROR(VLOOKUP($C153,'PORTIFÓLIO'!C:V,2,0),"")</f>
        <v/>
      </c>
      <c r="E153" s="211" t="str">
        <f>IFERROR(VLOOKUP($C153,'PORTIFÓLIO'!C:V,3,0),"")</f>
        <v/>
      </c>
      <c r="F153" s="211" t="str">
        <f>IFERROR(VLOOKUP($C153,'PORTIFÓLIO'!C:V,4,0),"")</f>
        <v/>
      </c>
      <c r="G153" s="215" t="str">
        <f>IFERROR(VLOOKUP($C153,'PORTIFÓLIO'!C:V,5,0),"")</f>
        <v/>
      </c>
      <c r="H153" s="254" t="str">
        <f t="array" ref="H153">IFERROR(INDEX('PORTIFÓLIO'!$H$4:$H$433,MATCH($C153,'PORTIFÓLIO'!$C$4:$C$433,0)),"")</f>
        <v/>
      </c>
      <c r="I153" s="256"/>
      <c r="J153" s="218">
        <f t="shared" si="18"/>
        <v>0</v>
      </c>
      <c r="K153" s="219" t="str">
        <f t="array" ref="K153">IFERROR(I153*INDEX('PORTIFÓLIO'!$S$4:$S$433,MATCH($C153,'PORTIFÓLIO'!$C$4:$C$433,0)),"")</f>
        <v/>
      </c>
      <c r="L153" s="219" t="str">
        <f t="array" ref="L153">IFERROR(J153*INDEX('PORTIFÓLIO'!$S$4:$S$433,MATCH($C153,'PORTIFÓLIO'!$C$4:$C$433,0)),"")</f>
        <v/>
      </c>
      <c r="M153" s="220"/>
      <c r="N153" s="220"/>
      <c r="O153" s="220"/>
      <c r="P153" s="220"/>
      <c r="Q153" s="220"/>
      <c r="R153" s="220"/>
      <c r="S153" s="220"/>
      <c r="T153" s="220"/>
      <c r="U153" s="220"/>
      <c r="V153" s="220"/>
      <c r="W153" s="220"/>
    </row>
    <row r="154" ht="15.75" customHeight="1" outlineLevel="1">
      <c r="A154" s="211"/>
      <c r="B154" s="212"/>
      <c r="C154" s="213"/>
      <c r="D154" s="214" t="str">
        <f>IFERROR(VLOOKUP($C154,'PORTIFÓLIO'!C:V,2,0),"")</f>
        <v/>
      </c>
      <c r="E154" s="211" t="str">
        <f>IFERROR(VLOOKUP($C154,'PORTIFÓLIO'!C:V,3,0),"")</f>
        <v/>
      </c>
      <c r="F154" s="211" t="str">
        <f>IFERROR(VLOOKUP($C154,'PORTIFÓLIO'!C:V,4,0),"")</f>
        <v/>
      </c>
      <c r="G154" s="215" t="str">
        <f>IFERROR(VLOOKUP($C154,'PORTIFÓLIO'!C:V,5,0),"")</f>
        <v/>
      </c>
      <c r="H154" s="254" t="str">
        <f t="array" ref="H154">IFERROR(INDEX('PORTIFÓLIO'!$H$4:$H$433,MATCH($C154,'PORTIFÓLIO'!$C$4:$C$433,0)),"")</f>
        <v/>
      </c>
      <c r="I154" s="256"/>
      <c r="J154" s="218">
        <f t="shared" si="18"/>
        <v>0</v>
      </c>
      <c r="K154" s="219" t="str">
        <f t="array" ref="K154">IFERROR(I154*INDEX('PORTIFÓLIO'!$S$4:$S$433,MATCH($C154,'PORTIFÓLIO'!$C$4:$C$433,0)),"")</f>
        <v/>
      </c>
      <c r="L154" s="219" t="str">
        <f t="array" ref="L154">IFERROR(J154*INDEX('PORTIFÓLIO'!$S$4:$S$433,MATCH($C154,'PORTIFÓLIO'!$C$4:$C$433,0)),"")</f>
        <v/>
      </c>
      <c r="M154" s="220"/>
      <c r="N154" s="220"/>
      <c r="O154" s="220"/>
      <c r="P154" s="220"/>
      <c r="Q154" s="220"/>
      <c r="R154" s="220"/>
      <c r="S154" s="220"/>
      <c r="T154" s="220"/>
      <c r="U154" s="220"/>
      <c r="V154" s="220"/>
      <c r="W154" s="220"/>
    </row>
    <row r="155" ht="15.75" customHeight="1" outlineLevel="1">
      <c r="A155" s="211"/>
      <c r="B155" s="212"/>
      <c r="C155" s="213"/>
      <c r="D155" s="214" t="str">
        <f>IFERROR(VLOOKUP($C155,'PORTIFÓLIO'!C:V,2,0),"")</f>
        <v/>
      </c>
      <c r="E155" s="211" t="str">
        <f>IFERROR(VLOOKUP($C155,'PORTIFÓLIO'!C:V,3,0),"")</f>
        <v/>
      </c>
      <c r="F155" s="211" t="str">
        <f>IFERROR(VLOOKUP($C155,'PORTIFÓLIO'!C:V,4,0),"")</f>
        <v/>
      </c>
      <c r="G155" s="215" t="str">
        <f>IFERROR(VLOOKUP($C155,'PORTIFÓLIO'!C:V,5,0),"")</f>
        <v/>
      </c>
      <c r="H155" s="254" t="str">
        <f t="array" ref="H155">IFERROR(INDEX('PORTIFÓLIO'!$H$4:$H$433,MATCH($C155,'PORTIFÓLIO'!$C$4:$C$433,0)),"")</f>
        <v/>
      </c>
      <c r="I155" s="256"/>
      <c r="J155" s="218">
        <f t="shared" si="18"/>
        <v>0</v>
      </c>
      <c r="K155" s="219" t="str">
        <f t="array" ref="K155">IFERROR(I155*INDEX('PORTIFÓLIO'!$S$4:$S$433,MATCH($C155,'PORTIFÓLIO'!$C$4:$C$433,0)),"")</f>
        <v/>
      </c>
      <c r="L155" s="219" t="str">
        <f t="array" ref="L155">IFERROR(J155*INDEX('PORTIFÓLIO'!$S$4:$S$433,MATCH($C155,'PORTIFÓLIO'!$C$4:$C$433,0)),"")</f>
        <v/>
      </c>
      <c r="M155" s="220"/>
      <c r="N155" s="220"/>
      <c r="O155" s="220"/>
      <c r="P155" s="220"/>
      <c r="Q155" s="220"/>
      <c r="R155" s="220"/>
      <c r="S155" s="220"/>
      <c r="T155" s="220"/>
      <c r="U155" s="220"/>
      <c r="V155" s="220"/>
      <c r="W155" s="220"/>
    </row>
    <row r="156" ht="15.75" customHeight="1" outlineLevel="1">
      <c r="A156" s="211"/>
      <c r="B156" s="212"/>
      <c r="C156" s="213"/>
      <c r="D156" s="214" t="str">
        <f>IFERROR(VLOOKUP($C156,'PORTIFÓLIO'!C:V,2,0),"")</f>
        <v/>
      </c>
      <c r="E156" s="211" t="str">
        <f>IFERROR(VLOOKUP($C156,'PORTIFÓLIO'!C:V,3,0),"")</f>
        <v/>
      </c>
      <c r="F156" s="211" t="str">
        <f>IFERROR(VLOOKUP($C156,'PORTIFÓLIO'!C:V,4,0),"")</f>
        <v/>
      </c>
      <c r="G156" s="215" t="str">
        <f>IFERROR(VLOOKUP($C156,'PORTIFÓLIO'!C:V,5,0),"")</f>
        <v/>
      </c>
      <c r="H156" s="254" t="str">
        <f t="array" ref="H156">IFERROR(INDEX('PORTIFÓLIO'!$H$4:$H$433,MATCH($C156,'PORTIFÓLIO'!$C$4:$C$433,0)),"")</f>
        <v/>
      </c>
      <c r="I156" s="256"/>
      <c r="J156" s="218">
        <f t="shared" si="18"/>
        <v>0</v>
      </c>
      <c r="K156" s="219" t="str">
        <f t="array" ref="K156">IFERROR(I156*INDEX('PORTIFÓLIO'!$S$4:$S$433,MATCH($C156,'PORTIFÓLIO'!$C$4:$C$433,0)),"")</f>
        <v/>
      </c>
      <c r="L156" s="219" t="str">
        <f t="array" ref="L156">IFERROR(J156*INDEX('PORTIFÓLIO'!$S$4:$S$433,MATCH($C156,'PORTIFÓLIO'!$C$4:$C$433,0)),"")</f>
        <v/>
      </c>
      <c r="M156" s="220"/>
      <c r="N156" s="220"/>
      <c r="O156" s="220"/>
      <c r="P156" s="220"/>
      <c r="Q156" s="220"/>
      <c r="R156" s="220"/>
      <c r="S156" s="220"/>
      <c r="T156" s="220"/>
      <c r="U156" s="220"/>
      <c r="V156" s="220"/>
      <c r="W156" s="220"/>
    </row>
    <row r="157" ht="15.75" customHeight="1" outlineLevel="1">
      <c r="A157" s="211"/>
      <c r="B157" s="212"/>
      <c r="C157" s="213"/>
      <c r="D157" s="214" t="str">
        <f>IFERROR(VLOOKUP($C157,'PORTIFÓLIO'!C:V,2,0),"")</f>
        <v/>
      </c>
      <c r="E157" s="211" t="str">
        <f>IFERROR(VLOOKUP($C157,'PORTIFÓLIO'!C:V,3,0),"")</f>
        <v/>
      </c>
      <c r="F157" s="211" t="str">
        <f>IFERROR(VLOOKUP($C157,'PORTIFÓLIO'!C:V,4,0),"")</f>
        <v/>
      </c>
      <c r="G157" s="215" t="str">
        <f>IFERROR(VLOOKUP($C157,'PORTIFÓLIO'!C:V,5,0),"")</f>
        <v/>
      </c>
      <c r="H157" s="254" t="str">
        <f t="array" ref="H157">IFERROR(INDEX('PORTIFÓLIO'!$H$4:$H$433,MATCH($C157,'PORTIFÓLIO'!$C$4:$C$433,0)),"")</f>
        <v/>
      </c>
      <c r="I157" s="255"/>
      <c r="J157" s="218">
        <f t="shared" si="18"/>
        <v>0</v>
      </c>
      <c r="K157" s="219" t="str">
        <f t="array" ref="K157">IFERROR(I157*INDEX('PORTIFÓLIO'!$S$4:$S$433,MATCH($C157,'PORTIFÓLIO'!$C$4:$C$433,0)),"")</f>
        <v/>
      </c>
      <c r="L157" s="219" t="str">
        <f t="array" ref="L157">IFERROR(J157*INDEX('PORTIFÓLIO'!$S$4:$S$433,MATCH($C157,'PORTIFÓLIO'!$C$4:$C$433,0)),"")</f>
        <v/>
      </c>
      <c r="M157" s="220"/>
      <c r="N157" s="220"/>
      <c r="O157" s="220"/>
      <c r="P157" s="220"/>
      <c r="Q157" s="220"/>
      <c r="R157" s="220"/>
      <c r="S157" s="220"/>
      <c r="T157" s="220"/>
      <c r="U157" s="220"/>
      <c r="V157" s="220"/>
      <c r="W157" s="220"/>
    </row>
    <row r="158" ht="15.75" customHeight="1" outlineLevel="1">
      <c r="A158" s="211"/>
      <c r="B158" s="212"/>
      <c r="C158" s="213"/>
      <c r="D158" s="214" t="str">
        <f>IFERROR(VLOOKUP($C158,'PORTIFÓLIO'!C:V,2,0),"")</f>
        <v/>
      </c>
      <c r="E158" s="211" t="str">
        <f>IFERROR(VLOOKUP($C158,'PORTIFÓLIO'!C:V,3,0),"")</f>
        <v/>
      </c>
      <c r="F158" s="211" t="str">
        <f>IFERROR(VLOOKUP($C158,'PORTIFÓLIO'!C:V,4,0),"")</f>
        <v/>
      </c>
      <c r="G158" s="215" t="str">
        <f>IFERROR(VLOOKUP($C158,'PORTIFÓLIO'!C:V,5,0),"")</f>
        <v/>
      </c>
      <c r="H158" s="254" t="str">
        <f t="array" ref="H158">IFERROR(INDEX('PORTIFÓLIO'!$H$4:$H$433,MATCH($C158,'PORTIFÓLIO'!$C$4:$C$433,0)),"")</f>
        <v/>
      </c>
      <c r="I158" s="256"/>
      <c r="J158" s="218">
        <f t="shared" si="18"/>
        <v>0</v>
      </c>
      <c r="K158" s="219" t="str">
        <f t="array" ref="K158">IFERROR(I158*INDEX('PORTIFÓLIO'!$S$4:$S$433,MATCH($C158,'PORTIFÓLIO'!$C$4:$C$433,0)),"")</f>
        <v/>
      </c>
      <c r="L158" s="219" t="str">
        <f t="array" ref="L158">IFERROR(J158*INDEX('PORTIFÓLIO'!$S$4:$S$433,MATCH($C158,'PORTIFÓLIO'!$C$4:$C$433,0)),"")</f>
        <v/>
      </c>
      <c r="M158" s="220"/>
      <c r="N158" s="220"/>
      <c r="O158" s="220"/>
      <c r="P158" s="220"/>
      <c r="Q158" s="220"/>
      <c r="R158" s="220"/>
      <c r="S158" s="220"/>
      <c r="T158" s="220"/>
      <c r="U158" s="220"/>
      <c r="V158" s="220"/>
      <c r="W158" s="220"/>
    </row>
    <row r="159" ht="15.75" customHeight="1" outlineLevel="1">
      <c r="A159" s="211"/>
      <c r="B159" s="212"/>
      <c r="C159" s="213"/>
      <c r="D159" s="214" t="str">
        <f>IFERROR(VLOOKUP($C159,'PORTIFÓLIO'!C:V,2,0),"")</f>
        <v/>
      </c>
      <c r="E159" s="211" t="str">
        <f>IFERROR(VLOOKUP($C159,'PORTIFÓLIO'!C:V,3,0),"")</f>
        <v/>
      </c>
      <c r="F159" s="211" t="str">
        <f>IFERROR(VLOOKUP($C159,'PORTIFÓLIO'!C:V,4,0),"")</f>
        <v/>
      </c>
      <c r="G159" s="215" t="str">
        <f>IFERROR(VLOOKUP($C159,'PORTIFÓLIO'!C:V,5,0),"")</f>
        <v/>
      </c>
      <c r="H159" s="254" t="str">
        <f t="array" ref="H159">IFERROR(INDEX('PORTIFÓLIO'!$H$4:$H$433,MATCH($C159,'PORTIFÓLIO'!$C$4:$C$433,0)),"")</f>
        <v/>
      </c>
      <c r="I159" s="256"/>
      <c r="J159" s="218">
        <f t="shared" si="18"/>
        <v>0</v>
      </c>
      <c r="K159" s="219" t="str">
        <f t="array" ref="K159">IFERROR(I159*INDEX('PORTIFÓLIO'!$S$4:$S$433,MATCH($C159,'PORTIFÓLIO'!$C$4:$C$433,0)),"")</f>
        <v/>
      </c>
      <c r="L159" s="219" t="str">
        <f t="array" ref="L159">IFERROR(J159*INDEX('PORTIFÓLIO'!$S$4:$S$433,MATCH($C159,'PORTIFÓLIO'!$C$4:$C$433,0)),"")</f>
        <v/>
      </c>
      <c r="M159" s="220"/>
      <c r="N159" s="220"/>
      <c r="O159" s="220"/>
      <c r="P159" s="220"/>
      <c r="Q159" s="220"/>
      <c r="R159" s="220"/>
      <c r="S159" s="220"/>
      <c r="T159" s="220"/>
      <c r="U159" s="220"/>
      <c r="V159" s="220"/>
      <c r="W159" s="220"/>
    </row>
    <row r="160" ht="15.75" customHeight="1" outlineLevel="1">
      <c r="A160" s="211"/>
      <c r="B160" s="212"/>
      <c r="C160" s="213"/>
      <c r="D160" s="214" t="str">
        <f>IFERROR(VLOOKUP($C160,'PORTIFÓLIO'!C:V,2,0),"")</f>
        <v/>
      </c>
      <c r="E160" s="211" t="str">
        <f>IFERROR(VLOOKUP($C160,'PORTIFÓLIO'!C:V,3,0),"")</f>
        <v/>
      </c>
      <c r="F160" s="211" t="str">
        <f>IFERROR(VLOOKUP($C160,'PORTIFÓLIO'!C:V,4,0),"")</f>
        <v/>
      </c>
      <c r="G160" s="215" t="str">
        <f>IFERROR(VLOOKUP($C160,'PORTIFÓLIO'!C:V,5,0),"")</f>
        <v/>
      </c>
      <c r="H160" s="254" t="str">
        <f t="array" ref="H160">IFERROR(INDEX('PORTIFÓLIO'!$H$4:$H$433,MATCH($C160,'PORTIFÓLIO'!$C$4:$C$433,0)),"")</f>
        <v/>
      </c>
      <c r="I160" s="256"/>
      <c r="J160" s="218">
        <f t="shared" si="18"/>
        <v>0</v>
      </c>
      <c r="K160" s="219" t="str">
        <f t="array" ref="K160">IFERROR(I160*INDEX('PORTIFÓLIO'!$S$4:$S$433,MATCH($C160,'PORTIFÓLIO'!$C$4:$C$433,0)),"")</f>
        <v/>
      </c>
      <c r="L160" s="219" t="str">
        <f t="array" ref="L160">IFERROR(J160*INDEX('PORTIFÓLIO'!$S$4:$S$433,MATCH($C160,'PORTIFÓLIO'!$C$4:$C$433,0)),"")</f>
        <v/>
      </c>
      <c r="M160" s="220"/>
      <c r="N160" s="220"/>
      <c r="O160" s="220"/>
      <c r="P160" s="220"/>
      <c r="Q160" s="220"/>
      <c r="R160" s="220"/>
      <c r="S160" s="220"/>
      <c r="T160" s="220"/>
      <c r="U160" s="220"/>
      <c r="V160" s="220"/>
      <c r="W160" s="220"/>
    </row>
    <row r="161" ht="15.75" customHeight="1" outlineLevel="1">
      <c r="A161" s="211"/>
      <c r="B161" s="212"/>
      <c r="C161" s="213"/>
      <c r="D161" s="214" t="str">
        <f>IFERROR(VLOOKUP($C161,'PORTIFÓLIO'!C:V,2,0),"")</f>
        <v/>
      </c>
      <c r="E161" s="211" t="str">
        <f>IFERROR(VLOOKUP($C161,'PORTIFÓLIO'!C:V,3,0),"")</f>
        <v/>
      </c>
      <c r="F161" s="211" t="str">
        <f>IFERROR(VLOOKUP($C161,'PORTIFÓLIO'!C:V,4,0),"")</f>
        <v/>
      </c>
      <c r="G161" s="215" t="str">
        <f>IFERROR(VLOOKUP($C161,'PORTIFÓLIO'!C:V,5,0),"")</f>
        <v/>
      </c>
      <c r="H161" s="254" t="str">
        <f t="array" ref="H161">IFERROR(INDEX('PORTIFÓLIO'!$H$4:$H$433,MATCH($C161,'PORTIFÓLIO'!$C$4:$C$433,0)),"")</f>
        <v/>
      </c>
      <c r="I161" s="256"/>
      <c r="J161" s="218">
        <f t="shared" si="18"/>
        <v>0</v>
      </c>
      <c r="K161" s="219" t="str">
        <f t="array" ref="K161">IFERROR(I161*INDEX('PORTIFÓLIO'!$S$4:$S$433,MATCH($C161,'PORTIFÓLIO'!$C$4:$C$433,0)),"")</f>
        <v/>
      </c>
      <c r="L161" s="219" t="str">
        <f t="array" ref="L161">IFERROR(J161*INDEX('PORTIFÓLIO'!$S$4:$S$433,MATCH($C161,'PORTIFÓLIO'!$C$4:$C$433,0)),"")</f>
        <v/>
      </c>
      <c r="M161" s="220"/>
      <c r="N161" s="220"/>
      <c r="O161" s="220"/>
      <c r="P161" s="220"/>
      <c r="Q161" s="220"/>
      <c r="R161" s="220"/>
      <c r="S161" s="220"/>
      <c r="T161" s="220"/>
      <c r="U161" s="220"/>
      <c r="V161" s="220"/>
      <c r="W161" s="220"/>
    </row>
    <row r="162" ht="15.75" customHeight="1" outlineLevel="1">
      <c r="A162" s="211"/>
      <c r="B162" s="212"/>
      <c r="C162" s="213"/>
      <c r="D162" s="214" t="str">
        <f>IFERROR(VLOOKUP($C162,'PORTIFÓLIO'!C:V,2,0),"")</f>
        <v/>
      </c>
      <c r="E162" s="211" t="str">
        <f>IFERROR(VLOOKUP($C162,'PORTIFÓLIO'!C:V,3,0),"")</f>
        <v/>
      </c>
      <c r="F162" s="211" t="str">
        <f>IFERROR(VLOOKUP($C162,'PORTIFÓLIO'!C:V,4,0),"")</f>
        <v/>
      </c>
      <c r="G162" s="215" t="str">
        <f>IFERROR(VLOOKUP($C162,'PORTIFÓLIO'!C:V,5,0),"")</f>
        <v/>
      </c>
      <c r="H162" s="254" t="str">
        <f t="array" ref="H162">IFERROR(INDEX('PORTIFÓLIO'!$H$4:$H$433,MATCH($C162,'PORTIFÓLIO'!$C$4:$C$433,0)),"")</f>
        <v/>
      </c>
      <c r="I162" s="256"/>
      <c r="J162" s="218">
        <f t="shared" si="18"/>
        <v>0</v>
      </c>
      <c r="K162" s="219" t="str">
        <f t="array" ref="K162">IFERROR(I162*INDEX('PORTIFÓLIO'!$S$4:$S$433,MATCH($C162,'PORTIFÓLIO'!$C$4:$C$433,0)),"")</f>
        <v/>
      </c>
      <c r="L162" s="219" t="str">
        <f t="array" ref="L162">IFERROR(J162*INDEX('PORTIFÓLIO'!$S$4:$S$433,MATCH($C162,'PORTIFÓLIO'!$C$4:$C$433,0)),"")</f>
        <v/>
      </c>
      <c r="M162" s="220"/>
      <c r="N162" s="220"/>
      <c r="O162" s="220"/>
      <c r="P162" s="220"/>
      <c r="Q162" s="220"/>
      <c r="R162" s="220"/>
      <c r="S162" s="220"/>
      <c r="T162" s="220"/>
      <c r="U162" s="220"/>
      <c r="V162" s="220"/>
      <c r="W162" s="220"/>
    </row>
    <row r="163" ht="15.75" customHeight="1" outlineLevel="1">
      <c r="A163" s="211"/>
      <c r="B163" s="212"/>
      <c r="C163" s="213"/>
      <c r="D163" s="214" t="str">
        <f>IFERROR(VLOOKUP($C163,'PORTIFÓLIO'!C:V,2,0),"")</f>
        <v/>
      </c>
      <c r="E163" s="211" t="str">
        <f>IFERROR(VLOOKUP($C163,'PORTIFÓLIO'!C:V,3,0),"")</f>
        <v/>
      </c>
      <c r="F163" s="211" t="str">
        <f>IFERROR(VLOOKUP($C163,'PORTIFÓLIO'!C:V,4,0),"")</f>
        <v/>
      </c>
      <c r="G163" s="215" t="str">
        <f>IFERROR(VLOOKUP($C163,'PORTIFÓLIO'!C:V,5,0),"")</f>
        <v/>
      </c>
      <c r="H163" s="254" t="str">
        <f t="array" ref="H163">IFERROR(INDEX('PORTIFÓLIO'!$H$4:$H$433,MATCH($C163,'PORTIFÓLIO'!$C$4:$C$433,0)),"")</f>
        <v/>
      </c>
      <c r="I163" s="256"/>
      <c r="J163" s="218">
        <f t="shared" si="18"/>
        <v>0</v>
      </c>
      <c r="K163" s="219" t="str">
        <f t="array" ref="K163">IFERROR(I163*INDEX('PORTIFÓLIO'!$S$4:$S$433,MATCH($C163,'PORTIFÓLIO'!$C$4:$C$433,0)),"")</f>
        <v/>
      </c>
      <c r="L163" s="219" t="str">
        <f t="array" ref="L163">IFERROR(J163*INDEX('PORTIFÓLIO'!$S$4:$S$433,MATCH($C163,'PORTIFÓLIO'!$C$4:$C$433,0)),"")</f>
        <v/>
      </c>
      <c r="M163" s="220"/>
      <c r="N163" s="220"/>
      <c r="O163" s="220"/>
      <c r="P163" s="220"/>
      <c r="Q163" s="220"/>
      <c r="R163" s="220"/>
      <c r="S163" s="220"/>
      <c r="T163" s="220"/>
      <c r="U163" s="220"/>
      <c r="V163" s="220"/>
      <c r="W163" s="220"/>
    </row>
    <row r="164" ht="15.75" customHeight="1" outlineLevel="1">
      <c r="A164" s="211"/>
      <c r="B164" s="227"/>
      <c r="C164" s="211"/>
      <c r="D164" s="214" t="str">
        <f>IFERROR(VLOOKUP($C164,'PORTIFÓLIO'!C:V,2,0),"")</f>
        <v/>
      </c>
      <c r="E164" s="211" t="str">
        <f>IFERROR(VLOOKUP($C164,'PORTIFÓLIO'!C:V,3,0),"")</f>
        <v/>
      </c>
      <c r="F164" s="211" t="str">
        <f>IFERROR(VLOOKUP($C164,'PORTIFÓLIO'!C:V,4,0),"")</f>
        <v/>
      </c>
      <c r="G164" s="215" t="str">
        <f>IFERROR(VLOOKUP($C164,'PORTIFÓLIO'!C:V,5,0),"")</f>
        <v/>
      </c>
      <c r="H164" s="254" t="str">
        <f t="array" ref="H164">IFERROR(INDEX('PORTIFÓLIO'!$H$4:$H$433,MATCH($C164,'PORTIFÓLIO'!$C$4:$C$433,0)),"")</f>
        <v/>
      </c>
      <c r="I164" s="256"/>
      <c r="J164" s="218"/>
      <c r="K164" s="219" t="str">
        <f t="array" ref="K164">IFERROR(I164*INDEX('PORTIFÓLIO'!$S$4:$S$433,MATCH($C164,'PORTIFÓLIO'!$C$4:$C$433,0)),"")</f>
        <v/>
      </c>
      <c r="L164" s="219" t="str">
        <f t="array" ref="L164">IFERROR(J164*INDEX('PORTIFÓLIO'!$S$4:$S$433,MATCH($C164,'PORTIFÓLIO'!$C$4:$C$433,0)),"")</f>
        <v/>
      </c>
      <c r="M164" s="220"/>
      <c r="N164" s="220"/>
      <c r="O164" s="220"/>
      <c r="P164" s="220"/>
      <c r="Q164" s="220"/>
      <c r="R164" s="220"/>
      <c r="S164" s="220"/>
      <c r="T164" s="220"/>
      <c r="U164" s="220"/>
      <c r="V164" s="220"/>
      <c r="W164" s="220"/>
    </row>
    <row r="165" ht="15.75" customHeight="1">
      <c r="A165" s="229" t="s">
        <v>1193</v>
      </c>
      <c r="B165" s="230"/>
      <c r="C165" s="231"/>
      <c r="D165" s="232"/>
      <c r="E165" s="231"/>
      <c r="F165" s="231"/>
      <c r="G165" s="233"/>
      <c r="H165" s="233"/>
      <c r="I165" s="258"/>
      <c r="J165" s="236"/>
      <c r="K165" s="237">
        <f t="shared" ref="K165:L165" si="19">SUBTOTAL(9,K166:K179)</f>
        <v>50.69456</v>
      </c>
      <c r="L165" s="237">
        <f t="shared" si="19"/>
        <v>4055.5648</v>
      </c>
      <c r="M165" s="220"/>
      <c r="N165" s="220"/>
      <c r="O165" s="220"/>
      <c r="P165" s="220"/>
      <c r="Q165" s="220"/>
      <c r="R165" s="220"/>
      <c r="S165" s="220"/>
      <c r="T165" s="220"/>
      <c r="U165" s="220"/>
      <c r="V165" s="220"/>
      <c r="W165" s="220"/>
    </row>
    <row r="166" ht="15.75" customHeight="1" outlineLevel="1">
      <c r="A166" s="213"/>
      <c r="B166" s="212" t="s">
        <v>1</v>
      </c>
      <c r="C166" s="213" t="s">
        <v>742</v>
      </c>
      <c r="D166" s="214" t="str">
        <f>IFERROR(VLOOKUP($C166,'PORTIFÓLIO'!C:V,2,0),"")</f>
        <v>DIQUATE</v>
      </c>
      <c r="E166" s="211">
        <f>IFERROR(VLOOKUP($C166,'PORTIFÓLIO'!C:V,3,0),"")</f>
        <v>200</v>
      </c>
      <c r="F166" s="211" t="str">
        <f>IFERROR(VLOOKUP($C166,'PORTIFÓLIO'!C:V,4,0),"")</f>
        <v>L</v>
      </c>
      <c r="G166" s="225" t="str">
        <f>IFERROR(VLOOKUP($C166,'PORTIFÓLIO'!C:V,5,0),"")</f>
        <v>📄 Ver bula</v>
      </c>
      <c r="H166" s="254">
        <f t="array" ref="H166">IFERROR(INDEX('PORTIFÓLIO'!$H$4:$H$433,MATCH($C166,'PORTIFÓLIO'!$C$4:$C$433,0)),"")</f>
        <v>2</v>
      </c>
      <c r="I166" s="255">
        <v>2.0</v>
      </c>
      <c r="J166" s="218">
        <f t="shared" ref="J166:J181" si="20">I166*$B$2</f>
        <v>160</v>
      </c>
      <c r="K166" s="219">
        <f t="array" ref="K166">IFERROR(I166*INDEX('PORTIFÓLIO'!$S$4:$S$433,MATCH($C166,'PORTIFÓLIO'!$C$4:$C$433,0)),"")</f>
        <v>47.48856</v>
      </c>
      <c r="L166" s="219">
        <f t="array" ref="L166">IFERROR(J166*INDEX('PORTIFÓLIO'!$S$4:$S$433,MATCH($C166,'PORTIFÓLIO'!$C$4:$C$433,0)),"")</f>
        <v>3799.0848</v>
      </c>
      <c r="M166" s="220"/>
      <c r="N166" s="220"/>
      <c r="O166" s="220"/>
      <c r="P166" s="220"/>
      <c r="Q166" s="220"/>
      <c r="R166" s="220"/>
      <c r="S166" s="220"/>
      <c r="T166" s="220"/>
      <c r="U166" s="220"/>
      <c r="V166" s="220"/>
      <c r="W166" s="220"/>
    </row>
    <row r="167" ht="15.75" customHeight="1" outlineLevel="1">
      <c r="A167" s="211"/>
      <c r="B167" s="212" t="s">
        <v>6</v>
      </c>
      <c r="C167" s="213" t="s">
        <v>354</v>
      </c>
      <c r="D167" s="214" t="str">
        <f>IFERROR(VLOOKUP($C167,'PORTIFÓLIO'!C:V,2,0),"")</f>
        <v>OLEO MINERAL</v>
      </c>
      <c r="E167" s="211">
        <f>IFERROR(VLOOKUP($C167,'PORTIFÓLIO'!C:V,3,0),"")</f>
        <v>761</v>
      </c>
      <c r="F167" s="211" t="str">
        <f>IFERROR(VLOOKUP($C167,'PORTIFÓLIO'!C:V,4,0),"")</f>
        <v>L</v>
      </c>
      <c r="G167" s="225" t="str">
        <f>IFERROR(VLOOKUP($C167,'PORTIFÓLIO'!C:V,5,0),"")</f>
        <v>📄 Ver bula</v>
      </c>
      <c r="H167" s="254">
        <f t="array" ref="H167">IFERROR(INDEX('PORTIFÓLIO'!$H$4:$H$433,MATCH($C167,'PORTIFÓLIO'!$C$4:$C$433,0)),"")</f>
        <v>0.2</v>
      </c>
      <c r="I167" s="255">
        <v>0.2</v>
      </c>
      <c r="J167" s="218">
        <f t="shared" si="20"/>
        <v>16</v>
      </c>
      <c r="K167" s="219">
        <f t="array" ref="K167">IFERROR(I167*INDEX('PORTIFÓLIO'!$S$4:$S$433,MATCH($C167,'PORTIFÓLIO'!$C$4:$C$433,0)),"")</f>
        <v>3.206</v>
      </c>
      <c r="L167" s="219">
        <f t="array" ref="L167">IFERROR(J167*INDEX('PORTIFÓLIO'!$S$4:$S$433,MATCH($C167,'PORTIFÓLIO'!$C$4:$C$433,0)),"")</f>
        <v>256.48</v>
      </c>
      <c r="M167" s="220"/>
      <c r="N167" s="220"/>
      <c r="O167" s="220"/>
      <c r="P167" s="220"/>
      <c r="Q167" s="220"/>
      <c r="R167" s="220"/>
      <c r="S167" s="220"/>
      <c r="T167" s="220"/>
      <c r="U167" s="220"/>
      <c r="V167" s="220"/>
      <c r="W167" s="220"/>
    </row>
    <row r="168" ht="15.75" customHeight="1" outlineLevel="1">
      <c r="A168" s="211"/>
      <c r="B168" s="212"/>
      <c r="C168" s="213"/>
      <c r="D168" s="214" t="str">
        <f>IFERROR(VLOOKUP($C168,'PORTIFÓLIO'!C:V,2,0),"")</f>
        <v/>
      </c>
      <c r="E168" s="211" t="str">
        <f>IFERROR(VLOOKUP($C168,'PORTIFÓLIO'!C:V,3,0),"")</f>
        <v/>
      </c>
      <c r="F168" s="211" t="str">
        <f>IFERROR(VLOOKUP($C168,'PORTIFÓLIO'!C:V,4,0),"")</f>
        <v/>
      </c>
      <c r="G168" s="215" t="str">
        <f>IFERROR(VLOOKUP($C168,'PORTIFÓLIO'!C:V,5,0),"")</f>
        <v/>
      </c>
      <c r="H168" s="254" t="str">
        <f t="array" ref="H168">IFERROR(INDEX('PORTIFÓLIO'!$H$4:$H$433,MATCH($C168,'PORTIFÓLIO'!$C$4:$C$433,0)),"")</f>
        <v/>
      </c>
      <c r="I168" s="256"/>
      <c r="J168" s="218">
        <f t="shared" si="20"/>
        <v>0</v>
      </c>
      <c r="K168" s="219" t="str">
        <f t="array" ref="K168">IFERROR(I168*INDEX('PORTIFÓLIO'!$S$4:$S$433,MATCH($C168,'PORTIFÓLIO'!$C$4:$C$433,0)),"")</f>
        <v/>
      </c>
      <c r="L168" s="219" t="str">
        <f t="array" ref="L168">IFERROR(J168*INDEX('PORTIFÓLIO'!$S$4:$S$433,MATCH($C168,'PORTIFÓLIO'!$C$4:$C$433,0)),"")</f>
        <v/>
      </c>
      <c r="M168" s="220"/>
      <c r="N168" s="220"/>
      <c r="O168" s="220"/>
      <c r="P168" s="220"/>
      <c r="Q168" s="220"/>
      <c r="R168" s="220"/>
      <c r="S168" s="220"/>
      <c r="T168" s="220"/>
      <c r="U168" s="220"/>
      <c r="V168" s="220"/>
      <c r="W168" s="220"/>
    </row>
    <row r="169" ht="15.75" customHeight="1" outlineLevel="1">
      <c r="A169" s="211"/>
      <c r="B169" s="212"/>
      <c r="C169" s="213"/>
      <c r="D169" s="214" t="str">
        <f>IFERROR(VLOOKUP($C169,'PORTIFÓLIO'!C:V,2,0),"")</f>
        <v/>
      </c>
      <c r="E169" s="211" t="str">
        <f>IFERROR(VLOOKUP($C169,'PORTIFÓLIO'!C:V,3,0),"")</f>
        <v/>
      </c>
      <c r="F169" s="211" t="str">
        <f>IFERROR(VLOOKUP($C169,'PORTIFÓLIO'!C:V,4,0),"")</f>
        <v/>
      </c>
      <c r="G169" s="215" t="str">
        <f>IFERROR(VLOOKUP($C169,'PORTIFÓLIO'!C:V,5,0),"")</f>
        <v/>
      </c>
      <c r="H169" s="254" t="str">
        <f t="array" ref="H169">IFERROR(INDEX('PORTIFÓLIO'!$H$4:$H$433,MATCH($C169,'PORTIFÓLIO'!$C$4:$C$433,0)),"")</f>
        <v/>
      </c>
      <c r="I169" s="256"/>
      <c r="J169" s="218">
        <f t="shared" si="20"/>
        <v>0</v>
      </c>
      <c r="K169" s="219" t="str">
        <f t="array" ref="K169">IFERROR(I169*INDEX('PORTIFÓLIO'!$S$4:$S$433,MATCH($C169,'PORTIFÓLIO'!$C$4:$C$433,0)),"")</f>
        <v/>
      </c>
      <c r="L169" s="219" t="str">
        <f t="array" ref="L169">IFERROR(J169*INDEX('PORTIFÓLIO'!$S$4:$S$433,MATCH($C169,'PORTIFÓLIO'!$C$4:$C$433,0)),"")</f>
        <v/>
      </c>
      <c r="M169" s="220"/>
      <c r="N169" s="220"/>
      <c r="O169" s="220"/>
      <c r="P169" s="220"/>
      <c r="Q169" s="220"/>
      <c r="R169" s="220"/>
      <c r="S169" s="220"/>
      <c r="T169" s="220"/>
      <c r="U169" s="220"/>
      <c r="V169" s="220"/>
      <c r="W169" s="220"/>
    </row>
    <row r="170" ht="15.75" customHeight="1" outlineLevel="1">
      <c r="A170" s="211"/>
      <c r="B170" s="212"/>
      <c r="C170" s="213"/>
      <c r="D170" s="214" t="str">
        <f>IFERROR(VLOOKUP($C170,'PORTIFÓLIO'!C:V,2,0),"")</f>
        <v/>
      </c>
      <c r="E170" s="211" t="str">
        <f>IFERROR(VLOOKUP($C170,'PORTIFÓLIO'!C:V,3,0),"")</f>
        <v/>
      </c>
      <c r="F170" s="211" t="str">
        <f>IFERROR(VLOOKUP($C170,'PORTIFÓLIO'!C:V,4,0),"")</f>
        <v/>
      </c>
      <c r="G170" s="215" t="str">
        <f>IFERROR(VLOOKUP($C170,'PORTIFÓLIO'!C:V,5,0),"")</f>
        <v/>
      </c>
      <c r="H170" s="254" t="str">
        <f t="array" ref="H170">IFERROR(INDEX('PORTIFÓLIO'!$H$4:$H$433,MATCH($C170,'PORTIFÓLIO'!$C$4:$C$433,0)),"")</f>
        <v/>
      </c>
      <c r="I170" s="256"/>
      <c r="J170" s="218">
        <f t="shared" si="20"/>
        <v>0</v>
      </c>
      <c r="K170" s="219" t="str">
        <f t="array" ref="K170">IFERROR(I170*INDEX('PORTIFÓLIO'!$S$4:$S$433,MATCH($C170,'PORTIFÓLIO'!$C$4:$C$433,0)),"")</f>
        <v/>
      </c>
      <c r="L170" s="219" t="str">
        <f t="array" ref="L170">IFERROR(J170*INDEX('PORTIFÓLIO'!$S$4:$S$433,MATCH($C170,'PORTIFÓLIO'!$C$4:$C$433,0)),"")</f>
        <v/>
      </c>
      <c r="M170" s="220"/>
      <c r="N170" s="220"/>
      <c r="O170" s="220"/>
      <c r="P170" s="220"/>
      <c r="Q170" s="220"/>
      <c r="R170" s="220"/>
      <c r="S170" s="220"/>
      <c r="T170" s="220"/>
      <c r="U170" s="220"/>
      <c r="V170" s="220"/>
      <c r="W170" s="220"/>
    </row>
    <row r="171" ht="15.75" customHeight="1" outlineLevel="1">
      <c r="A171" s="211"/>
      <c r="B171" s="212"/>
      <c r="C171" s="213"/>
      <c r="D171" s="214" t="str">
        <f>IFERROR(VLOOKUP($C171,'PORTIFÓLIO'!C:V,2,0),"")</f>
        <v/>
      </c>
      <c r="E171" s="211" t="str">
        <f>IFERROR(VLOOKUP($C171,'PORTIFÓLIO'!C:V,3,0),"")</f>
        <v/>
      </c>
      <c r="F171" s="211" t="str">
        <f>IFERROR(VLOOKUP($C171,'PORTIFÓLIO'!C:V,4,0),"")</f>
        <v/>
      </c>
      <c r="G171" s="215" t="str">
        <f>IFERROR(VLOOKUP($C171,'PORTIFÓLIO'!C:V,5,0),"")</f>
        <v/>
      </c>
      <c r="H171" s="254" t="str">
        <f t="array" ref="H171">IFERROR(INDEX('PORTIFÓLIO'!$H$4:$H$433,MATCH($C171,'PORTIFÓLIO'!$C$4:$C$433,0)),"")</f>
        <v/>
      </c>
      <c r="I171" s="256"/>
      <c r="J171" s="218">
        <f t="shared" si="20"/>
        <v>0</v>
      </c>
      <c r="K171" s="219" t="str">
        <f t="array" ref="K171">IFERROR(I171*INDEX('PORTIFÓLIO'!$S$4:$S$433,MATCH($C171,'PORTIFÓLIO'!$C$4:$C$433,0)),"")</f>
        <v/>
      </c>
      <c r="L171" s="219" t="str">
        <f t="array" ref="L171">IFERROR(J171*INDEX('PORTIFÓLIO'!$S$4:$S$433,MATCH($C171,'PORTIFÓLIO'!$C$4:$C$433,0)),"")</f>
        <v/>
      </c>
      <c r="M171" s="220"/>
      <c r="N171" s="220"/>
      <c r="O171" s="220"/>
      <c r="P171" s="220"/>
      <c r="Q171" s="220"/>
      <c r="R171" s="220"/>
      <c r="S171" s="220"/>
      <c r="T171" s="220"/>
      <c r="U171" s="220"/>
      <c r="V171" s="220"/>
      <c r="W171" s="220"/>
    </row>
    <row r="172" ht="15.75" customHeight="1" outlineLevel="1">
      <c r="A172" s="211"/>
      <c r="B172" s="212"/>
      <c r="C172" s="213"/>
      <c r="D172" s="214" t="str">
        <f>IFERROR(VLOOKUP($C172,'PORTIFÓLIO'!C:V,2,0),"")</f>
        <v/>
      </c>
      <c r="E172" s="211" t="str">
        <f>IFERROR(VLOOKUP($C172,'PORTIFÓLIO'!C:V,3,0),"")</f>
        <v/>
      </c>
      <c r="F172" s="211" t="str">
        <f>IFERROR(VLOOKUP($C172,'PORTIFÓLIO'!C:V,4,0),"")</f>
        <v/>
      </c>
      <c r="G172" s="215" t="str">
        <f>IFERROR(VLOOKUP($C172,'PORTIFÓLIO'!C:V,5,0),"")</f>
        <v/>
      </c>
      <c r="H172" s="254" t="str">
        <f t="array" ref="H172">IFERROR(INDEX('PORTIFÓLIO'!$H$4:$H$433,MATCH($C172,'PORTIFÓLIO'!$C$4:$C$433,0)),"")</f>
        <v/>
      </c>
      <c r="I172" s="256"/>
      <c r="J172" s="218">
        <f t="shared" si="20"/>
        <v>0</v>
      </c>
      <c r="K172" s="219" t="str">
        <f t="array" ref="K172">IFERROR(I172*INDEX('PORTIFÓLIO'!$S$4:$S$433,MATCH($C172,'PORTIFÓLIO'!$C$4:$C$433,0)),"")</f>
        <v/>
      </c>
      <c r="L172" s="219" t="str">
        <f t="array" ref="L172">IFERROR(J172*INDEX('PORTIFÓLIO'!$S$4:$S$433,MATCH($C172,'PORTIFÓLIO'!$C$4:$C$433,0)),"")</f>
        <v/>
      </c>
      <c r="M172" s="220"/>
      <c r="N172" s="220"/>
      <c r="O172" s="220"/>
      <c r="P172" s="220"/>
      <c r="Q172" s="220"/>
      <c r="R172" s="220"/>
      <c r="S172" s="220"/>
      <c r="T172" s="220"/>
      <c r="U172" s="220"/>
      <c r="V172" s="220"/>
      <c r="W172" s="220"/>
    </row>
    <row r="173" ht="15.75" customHeight="1" outlineLevel="1">
      <c r="A173" s="211"/>
      <c r="B173" s="212"/>
      <c r="C173" s="213"/>
      <c r="D173" s="214" t="str">
        <f>IFERROR(VLOOKUP($C173,'PORTIFÓLIO'!C:V,2,0),"")</f>
        <v/>
      </c>
      <c r="E173" s="211" t="str">
        <f>IFERROR(VLOOKUP($C173,'PORTIFÓLIO'!C:V,3,0),"")</f>
        <v/>
      </c>
      <c r="F173" s="211" t="str">
        <f>IFERROR(VLOOKUP($C173,'PORTIFÓLIO'!C:V,4,0),"")</f>
        <v/>
      </c>
      <c r="G173" s="215" t="str">
        <f>IFERROR(VLOOKUP($C173,'PORTIFÓLIO'!C:V,5,0),"")</f>
        <v/>
      </c>
      <c r="H173" s="254" t="str">
        <f t="array" ref="H173">IFERROR(INDEX('PORTIFÓLIO'!$H$4:$H$433,MATCH($C173,'PORTIFÓLIO'!$C$4:$C$433,0)),"")</f>
        <v/>
      </c>
      <c r="I173" s="256"/>
      <c r="J173" s="218">
        <f t="shared" si="20"/>
        <v>0</v>
      </c>
      <c r="K173" s="219" t="str">
        <f t="array" ref="K173">IFERROR(I173*INDEX('PORTIFÓLIO'!$S$4:$S$433,MATCH($C173,'PORTIFÓLIO'!$C$4:$C$433,0)),"")</f>
        <v/>
      </c>
      <c r="L173" s="219" t="str">
        <f t="array" ref="L173">IFERROR(J173*INDEX('PORTIFÓLIO'!$S$4:$S$433,MATCH($C173,'PORTIFÓLIO'!$C$4:$C$433,0)),"")</f>
        <v/>
      </c>
      <c r="M173" s="220"/>
      <c r="N173" s="220"/>
      <c r="O173" s="220"/>
      <c r="P173" s="220"/>
      <c r="Q173" s="220"/>
      <c r="R173" s="220"/>
      <c r="S173" s="220"/>
      <c r="T173" s="220"/>
      <c r="U173" s="220"/>
      <c r="V173" s="220"/>
      <c r="W173" s="220"/>
    </row>
    <row r="174" ht="15.75" customHeight="1" outlineLevel="1">
      <c r="A174" s="211"/>
      <c r="B174" s="212"/>
      <c r="C174" s="213"/>
      <c r="D174" s="214" t="str">
        <f>IFERROR(VLOOKUP($C174,'PORTIFÓLIO'!C:V,2,0),"")</f>
        <v/>
      </c>
      <c r="E174" s="211" t="str">
        <f>IFERROR(VLOOKUP($C174,'PORTIFÓLIO'!C:V,3,0),"")</f>
        <v/>
      </c>
      <c r="F174" s="211" t="str">
        <f>IFERROR(VLOOKUP($C174,'PORTIFÓLIO'!C:V,4,0),"")</f>
        <v/>
      </c>
      <c r="G174" s="215" t="str">
        <f>IFERROR(VLOOKUP($C174,'PORTIFÓLIO'!C:V,5,0),"")</f>
        <v/>
      </c>
      <c r="H174" s="254" t="str">
        <f t="array" ref="H174">IFERROR(INDEX('PORTIFÓLIO'!$H$4:$H$433,MATCH($C174,'PORTIFÓLIO'!$C$4:$C$433,0)),"")</f>
        <v/>
      </c>
      <c r="I174" s="255"/>
      <c r="J174" s="218">
        <f t="shared" si="20"/>
        <v>0</v>
      </c>
      <c r="K174" s="219" t="str">
        <f t="array" ref="K174">IFERROR(I174*INDEX('PORTIFÓLIO'!$S$4:$S$433,MATCH($C174,'PORTIFÓLIO'!$C$4:$C$433,0)),"")</f>
        <v/>
      </c>
      <c r="L174" s="219" t="str">
        <f t="array" ref="L174">IFERROR(J174*INDEX('PORTIFÓLIO'!$S$4:$S$433,MATCH($C174,'PORTIFÓLIO'!$C$4:$C$433,0)),"")</f>
        <v/>
      </c>
      <c r="M174" s="220"/>
      <c r="N174" s="220"/>
      <c r="O174" s="220"/>
      <c r="P174" s="220"/>
      <c r="Q174" s="220"/>
      <c r="R174" s="220"/>
      <c r="S174" s="220"/>
      <c r="T174" s="220"/>
      <c r="U174" s="220"/>
      <c r="V174" s="220"/>
      <c r="W174" s="220"/>
    </row>
    <row r="175" ht="15.75" customHeight="1" outlineLevel="1">
      <c r="A175" s="211"/>
      <c r="B175" s="212"/>
      <c r="C175" s="213"/>
      <c r="D175" s="214" t="str">
        <f>IFERROR(VLOOKUP($C175,'PORTIFÓLIO'!C:V,2,0),"")</f>
        <v/>
      </c>
      <c r="E175" s="211" t="str">
        <f>IFERROR(VLOOKUP($C175,'PORTIFÓLIO'!C:V,3,0),"")</f>
        <v/>
      </c>
      <c r="F175" s="211" t="str">
        <f>IFERROR(VLOOKUP($C175,'PORTIFÓLIO'!C:V,4,0),"")</f>
        <v/>
      </c>
      <c r="G175" s="215" t="str">
        <f>IFERROR(VLOOKUP($C175,'PORTIFÓLIO'!C:V,5,0),"")</f>
        <v/>
      </c>
      <c r="H175" s="254" t="str">
        <f t="array" ref="H175">IFERROR(INDEX('PORTIFÓLIO'!$H$4:$H$433,MATCH($C175,'PORTIFÓLIO'!$C$4:$C$433,0)),"")</f>
        <v/>
      </c>
      <c r="I175" s="256"/>
      <c r="J175" s="218">
        <f t="shared" si="20"/>
        <v>0</v>
      </c>
      <c r="K175" s="219" t="str">
        <f t="array" ref="K175">IFERROR(I175*INDEX('PORTIFÓLIO'!$S$4:$S$433,MATCH($C175,'PORTIFÓLIO'!$C$4:$C$433,0)),"")</f>
        <v/>
      </c>
      <c r="L175" s="219" t="str">
        <f t="array" ref="L175">IFERROR(J175*INDEX('PORTIFÓLIO'!$S$4:$S$433,MATCH($C175,'PORTIFÓLIO'!$C$4:$C$433,0)),"")</f>
        <v/>
      </c>
      <c r="M175" s="220"/>
      <c r="N175" s="220"/>
      <c r="O175" s="220"/>
      <c r="P175" s="220"/>
      <c r="Q175" s="220"/>
      <c r="R175" s="220"/>
      <c r="S175" s="220"/>
      <c r="T175" s="220"/>
      <c r="U175" s="220"/>
      <c r="V175" s="220"/>
      <c r="W175" s="220"/>
    </row>
    <row r="176" ht="15.75" customHeight="1" outlineLevel="1">
      <c r="A176" s="211"/>
      <c r="B176" s="212"/>
      <c r="C176" s="213"/>
      <c r="D176" s="214" t="str">
        <f>IFERROR(VLOOKUP($C176,'PORTIFÓLIO'!C:V,2,0),"")</f>
        <v/>
      </c>
      <c r="E176" s="211" t="str">
        <f>IFERROR(VLOOKUP($C176,'PORTIFÓLIO'!C:V,3,0),"")</f>
        <v/>
      </c>
      <c r="F176" s="211" t="str">
        <f>IFERROR(VLOOKUP($C176,'PORTIFÓLIO'!C:V,4,0),"")</f>
        <v/>
      </c>
      <c r="G176" s="215" t="str">
        <f>IFERROR(VLOOKUP($C176,'PORTIFÓLIO'!C:V,5,0),"")</f>
        <v/>
      </c>
      <c r="H176" s="254" t="str">
        <f t="array" ref="H176">IFERROR(INDEX('PORTIFÓLIO'!$H$4:$H$433,MATCH($C176,'PORTIFÓLIO'!$C$4:$C$433,0)),"")</f>
        <v/>
      </c>
      <c r="I176" s="256"/>
      <c r="J176" s="218">
        <f t="shared" si="20"/>
        <v>0</v>
      </c>
      <c r="K176" s="219" t="str">
        <f t="array" ref="K176">IFERROR(I176*INDEX('PORTIFÓLIO'!$S$4:$S$433,MATCH($C176,'PORTIFÓLIO'!$C$4:$C$433,0)),"")</f>
        <v/>
      </c>
      <c r="L176" s="219" t="str">
        <f t="array" ref="L176">IFERROR(J176*INDEX('PORTIFÓLIO'!$S$4:$S$433,MATCH($C176,'PORTIFÓLIO'!$C$4:$C$433,0)),"")</f>
        <v/>
      </c>
      <c r="M176" s="220"/>
      <c r="N176" s="220"/>
      <c r="O176" s="220"/>
      <c r="P176" s="220"/>
      <c r="Q176" s="220"/>
      <c r="R176" s="220"/>
      <c r="S176" s="220"/>
      <c r="T176" s="220"/>
      <c r="U176" s="220"/>
      <c r="V176" s="220"/>
      <c r="W176" s="220"/>
    </row>
    <row r="177" ht="15.75" customHeight="1" outlineLevel="1">
      <c r="A177" s="211"/>
      <c r="B177" s="212"/>
      <c r="C177" s="213"/>
      <c r="D177" s="214" t="str">
        <f>IFERROR(VLOOKUP($C177,'PORTIFÓLIO'!C:V,2,0),"")</f>
        <v/>
      </c>
      <c r="E177" s="211" t="str">
        <f>IFERROR(VLOOKUP($C177,'PORTIFÓLIO'!C:V,3,0),"")</f>
        <v/>
      </c>
      <c r="F177" s="211" t="str">
        <f>IFERROR(VLOOKUP($C177,'PORTIFÓLIO'!C:V,4,0),"")</f>
        <v/>
      </c>
      <c r="G177" s="215" t="str">
        <f>IFERROR(VLOOKUP($C177,'PORTIFÓLIO'!C:V,5,0),"")</f>
        <v/>
      </c>
      <c r="H177" s="254" t="str">
        <f t="array" ref="H177">IFERROR(INDEX('PORTIFÓLIO'!$H$4:$H$433,MATCH($C177,'PORTIFÓLIO'!$C$4:$C$433,0)),"")</f>
        <v/>
      </c>
      <c r="I177" s="256"/>
      <c r="J177" s="218">
        <f t="shared" si="20"/>
        <v>0</v>
      </c>
      <c r="K177" s="219" t="str">
        <f t="array" ref="K177">IFERROR(I177*INDEX('PORTIFÓLIO'!$S$4:$S$433,MATCH($C177,'PORTIFÓLIO'!$C$4:$C$433,0)),"")</f>
        <v/>
      </c>
      <c r="L177" s="219" t="str">
        <f t="array" ref="L177">IFERROR(J177*INDEX('PORTIFÓLIO'!$S$4:$S$433,MATCH($C177,'PORTIFÓLIO'!$C$4:$C$433,0)),"")</f>
        <v/>
      </c>
      <c r="M177" s="220"/>
      <c r="N177" s="220"/>
      <c r="O177" s="220"/>
      <c r="P177" s="220"/>
      <c r="Q177" s="220"/>
      <c r="R177" s="220"/>
      <c r="S177" s="220"/>
      <c r="T177" s="220"/>
      <c r="U177" s="220"/>
      <c r="V177" s="220"/>
      <c r="W177" s="220"/>
    </row>
    <row r="178" ht="15.75" customHeight="1" outlineLevel="1">
      <c r="A178" s="211"/>
      <c r="B178" s="212"/>
      <c r="C178" s="213"/>
      <c r="D178" s="214" t="str">
        <f>IFERROR(VLOOKUP($C178,'PORTIFÓLIO'!C:V,2,0),"")</f>
        <v/>
      </c>
      <c r="E178" s="211" t="str">
        <f>IFERROR(VLOOKUP($C178,'PORTIFÓLIO'!C:V,3,0),"")</f>
        <v/>
      </c>
      <c r="F178" s="211" t="str">
        <f>IFERROR(VLOOKUP($C178,'PORTIFÓLIO'!C:V,4,0),"")</f>
        <v/>
      </c>
      <c r="G178" s="215" t="str">
        <f>IFERROR(VLOOKUP($C178,'PORTIFÓLIO'!C:V,5,0),"")</f>
        <v/>
      </c>
      <c r="H178" s="254" t="str">
        <f t="array" ref="H178">IFERROR(INDEX('PORTIFÓLIO'!$H$4:$H$433,MATCH($C178,'PORTIFÓLIO'!$C$4:$C$433,0)),"")</f>
        <v/>
      </c>
      <c r="I178" s="256"/>
      <c r="J178" s="218">
        <f t="shared" si="20"/>
        <v>0</v>
      </c>
      <c r="K178" s="219" t="str">
        <f t="array" ref="K178">IFERROR(I178*INDEX('PORTIFÓLIO'!$S$4:$S$433,MATCH($C178,'PORTIFÓLIO'!$C$4:$C$433,0)),"")</f>
        <v/>
      </c>
      <c r="L178" s="219" t="str">
        <f t="array" ref="L178">IFERROR(J178*INDEX('PORTIFÓLIO'!$S$4:$S$433,MATCH($C178,'PORTIFÓLIO'!$C$4:$C$433,0)),"")</f>
        <v/>
      </c>
      <c r="M178" s="220"/>
      <c r="N178" s="220"/>
      <c r="O178" s="220"/>
      <c r="P178" s="220"/>
      <c r="Q178" s="220"/>
      <c r="R178" s="220"/>
      <c r="S178" s="220"/>
      <c r="T178" s="220"/>
      <c r="U178" s="220"/>
      <c r="V178" s="220"/>
      <c r="W178" s="220"/>
    </row>
    <row r="179" ht="15.75" customHeight="1" outlineLevel="1">
      <c r="A179" s="211"/>
      <c r="B179" s="212"/>
      <c r="C179" s="213"/>
      <c r="D179" s="214" t="str">
        <f>IFERROR(VLOOKUP($C179,'PORTIFÓLIO'!C:V,2,0),"")</f>
        <v/>
      </c>
      <c r="E179" s="211" t="str">
        <f>IFERROR(VLOOKUP($C179,'PORTIFÓLIO'!C:V,3,0),"")</f>
        <v/>
      </c>
      <c r="F179" s="211" t="str">
        <f>IFERROR(VLOOKUP($C179,'PORTIFÓLIO'!C:V,4,0),"")</f>
        <v/>
      </c>
      <c r="G179" s="215" t="str">
        <f>IFERROR(VLOOKUP($C179,'PORTIFÓLIO'!C:V,5,0),"")</f>
        <v/>
      </c>
      <c r="H179" s="254" t="str">
        <f t="array" ref="H179">IFERROR(INDEX('PORTIFÓLIO'!$H$4:$H$433,MATCH($C179,'PORTIFÓLIO'!$C$4:$C$433,0)),"")</f>
        <v/>
      </c>
      <c r="I179" s="256"/>
      <c r="J179" s="218">
        <f t="shared" si="20"/>
        <v>0</v>
      </c>
      <c r="K179" s="219" t="str">
        <f t="array" ref="K179">IFERROR(I179*INDEX('PORTIFÓLIO'!$S$4:$S$433,MATCH($C179,'PORTIFÓLIO'!$C$4:$C$433,0)),"")</f>
        <v/>
      </c>
      <c r="L179" s="219" t="str">
        <f t="array" ref="L179">IFERROR(J179*INDEX('PORTIFÓLIO'!$S$4:$S$433,MATCH($C179,'PORTIFÓLIO'!$C$4:$C$433,0)),"")</f>
        <v/>
      </c>
      <c r="M179" s="220"/>
      <c r="N179" s="220"/>
      <c r="O179" s="220"/>
      <c r="P179" s="220"/>
      <c r="Q179" s="220"/>
      <c r="R179" s="220"/>
      <c r="S179" s="220"/>
      <c r="T179" s="220"/>
      <c r="U179" s="220"/>
      <c r="V179" s="220"/>
      <c r="W179" s="220"/>
    </row>
    <row r="180" ht="15.75" customHeight="1" outlineLevel="1">
      <c r="A180" s="211"/>
      <c r="B180" s="212"/>
      <c r="C180" s="213"/>
      <c r="D180" s="214" t="str">
        <f>IFERROR(VLOOKUP($C180,'PORTIFÓLIO'!C:V,2,0),"")</f>
        <v/>
      </c>
      <c r="E180" s="211" t="str">
        <f>IFERROR(VLOOKUP($C180,'PORTIFÓLIO'!C:V,3,0),"")</f>
        <v/>
      </c>
      <c r="F180" s="211" t="str">
        <f>IFERROR(VLOOKUP($C180,'PORTIFÓLIO'!C:V,4,0),"")</f>
        <v/>
      </c>
      <c r="G180" s="215" t="str">
        <f>IFERROR(VLOOKUP($C180,'PORTIFÓLIO'!C:V,5,0),"")</f>
        <v/>
      </c>
      <c r="H180" s="254" t="str">
        <f t="array" ref="H180">IFERROR(INDEX('PORTIFÓLIO'!$H$4:$H$433,MATCH($C180,'PORTIFÓLIO'!$C$4:$C$433,0)),"")</f>
        <v/>
      </c>
      <c r="I180" s="256"/>
      <c r="J180" s="218">
        <f t="shared" si="20"/>
        <v>0</v>
      </c>
      <c r="K180" s="219" t="str">
        <f t="array" ref="K180">IFERROR(I180*INDEX('PORTIFÓLIO'!$S$4:$S$433,MATCH($C180,'PORTIFÓLIO'!$C$4:$C$433,0)),"")</f>
        <v/>
      </c>
      <c r="L180" s="219" t="str">
        <f t="array" ref="L180">IFERROR(J180*INDEX('PORTIFÓLIO'!$S$4:$S$433,MATCH($C180,'PORTIFÓLIO'!$C$4:$C$433,0)),"")</f>
        <v/>
      </c>
      <c r="M180" s="220"/>
      <c r="N180" s="220"/>
      <c r="O180" s="220"/>
      <c r="P180" s="220"/>
      <c r="Q180" s="220"/>
      <c r="R180" s="220"/>
      <c r="S180" s="220"/>
      <c r="T180" s="220"/>
      <c r="U180" s="220"/>
      <c r="V180" s="220"/>
      <c r="W180" s="220"/>
    </row>
    <row r="181" ht="15.75" customHeight="1" outlineLevel="1">
      <c r="A181" s="211"/>
      <c r="B181" s="227"/>
      <c r="C181" s="211"/>
      <c r="D181" s="214" t="str">
        <f>IFERROR(VLOOKUP($C181,'PORTIFÓLIO'!C:V,2,0),"")</f>
        <v/>
      </c>
      <c r="E181" s="211" t="str">
        <f>IFERROR(VLOOKUP($C181,'PORTIFÓLIO'!C:V,3,0),"")</f>
        <v/>
      </c>
      <c r="F181" s="211" t="str">
        <f>IFERROR(VLOOKUP($C181,'PORTIFÓLIO'!C:V,4,0),"")</f>
        <v/>
      </c>
      <c r="G181" s="215" t="str">
        <f>IFERROR(VLOOKUP($C181,'PORTIFÓLIO'!C:V,5,0),"")</f>
        <v/>
      </c>
      <c r="H181" s="254" t="str">
        <f t="array" ref="H181">IFERROR(INDEX('PORTIFÓLIO'!$H$4:$H$433,MATCH($C181,'PORTIFÓLIO'!$C$4:$C$433,0)),"")</f>
        <v/>
      </c>
      <c r="I181" s="256"/>
      <c r="J181" s="218">
        <f t="shared" si="20"/>
        <v>0</v>
      </c>
      <c r="K181" s="219" t="str">
        <f t="array" ref="K181">IFERROR(I181*INDEX('PORTIFÓLIO'!$S$4:$S$433,MATCH($C181,'PORTIFÓLIO'!$C$4:$C$433,0)),"")</f>
        <v/>
      </c>
      <c r="L181" s="219" t="str">
        <f t="array" ref="L181">IFERROR(J181*INDEX('PORTIFÓLIO'!$S$4:$S$433,MATCH($C181,'PORTIFÓLIO'!$C$4:$C$433,0)),"")</f>
        <v/>
      </c>
      <c r="M181" s="220"/>
      <c r="N181" s="220"/>
      <c r="O181" s="220"/>
      <c r="P181" s="220"/>
      <c r="Q181" s="220"/>
      <c r="R181" s="220"/>
      <c r="S181" s="220"/>
      <c r="T181" s="220"/>
      <c r="U181" s="220"/>
      <c r="V181" s="220"/>
      <c r="W181" s="220"/>
    </row>
    <row r="182" ht="15.75" customHeight="1">
      <c r="A182" s="229" t="s">
        <v>1194</v>
      </c>
      <c r="B182" s="230"/>
      <c r="C182" s="231"/>
      <c r="D182" s="232"/>
      <c r="E182" s="231"/>
      <c r="F182" s="231"/>
      <c r="G182" s="233"/>
      <c r="H182" s="233"/>
      <c r="I182" s="258"/>
      <c r="J182" s="236"/>
      <c r="K182" s="237">
        <f t="shared" ref="K182:L182" si="21">SUBTOTAL(9,K183:K196)</f>
        <v>339.9254902</v>
      </c>
      <c r="L182" s="237">
        <f t="shared" si="21"/>
        <v>27194.03922</v>
      </c>
      <c r="M182" s="220"/>
      <c r="N182" s="220"/>
      <c r="O182" s="220"/>
      <c r="P182" s="220"/>
      <c r="Q182" s="220"/>
      <c r="R182" s="220"/>
      <c r="S182" s="220"/>
      <c r="T182" s="220"/>
      <c r="U182" s="220"/>
      <c r="V182" s="220"/>
      <c r="W182" s="220"/>
    </row>
    <row r="183" ht="15.75" customHeight="1" outlineLevel="1">
      <c r="A183" s="213"/>
      <c r="B183" s="212" t="s">
        <v>10</v>
      </c>
      <c r="C183" s="213" t="s">
        <v>1195</v>
      </c>
      <c r="D183" s="214" t="str">
        <f>IFERROR(VLOOKUP($C183,'PORTIFÓLIO'!C:V,2,0),"")</f>
        <v/>
      </c>
      <c r="E183" s="211" t="str">
        <f>IFERROR(VLOOKUP($C183,'PORTIFÓLIO'!C:V,3,0),"")</f>
        <v/>
      </c>
      <c r="F183" s="211" t="str">
        <f>IFERROR(VLOOKUP($C183,'PORTIFÓLIO'!C:V,4,0),"")</f>
        <v>R$/Ha</v>
      </c>
      <c r="G183" s="215">
        <f t="array" ref="G183">IFERROR(INDEX('PORTIFÓLIO'!$H$4:$H$433,MATCH($C183,'PORTIFÓLIO'!$C$4:$C$433,0)),"")</f>
        <v>0.3267973856</v>
      </c>
      <c r="H183" s="254">
        <f t="array" ref="H183">IFERROR(INDEX('PORTIFÓLIO'!$H$4:$H$433,MATCH($C183,'PORTIFÓLIO'!$C$4:$C$433,0)),"")</f>
        <v>0.3267973856</v>
      </c>
      <c r="I183" s="255">
        <v>0.32</v>
      </c>
      <c r="J183" s="218">
        <f t="shared" ref="J183:J199" si="22">I183*$B$2</f>
        <v>25.6</v>
      </c>
      <c r="K183" s="219">
        <f t="array" ref="K183">IFERROR(I183*INDEX('PORTIFÓLIO'!$S$4:$S$433,MATCH($C183,'PORTIFÓLIO'!$C$4:$C$433,0)),"")</f>
        <v>36</v>
      </c>
      <c r="L183" s="219">
        <f t="array" ref="L183">IFERROR(J183*INDEX('PORTIFÓLIO'!$S$4:$S$433,MATCH($C183,'PORTIFÓLIO'!$C$4:$C$433,0)),"")</f>
        <v>2880</v>
      </c>
      <c r="M183" s="220"/>
      <c r="N183" s="220"/>
      <c r="O183" s="220"/>
      <c r="P183" s="220"/>
      <c r="Q183" s="220"/>
      <c r="R183" s="220"/>
      <c r="S183" s="220"/>
      <c r="T183" s="220"/>
      <c r="U183" s="220"/>
      <c r="V183" s="220"/>
      <c r="W183" s="220"/>
    </row>
    <row r="184" ht="15.75" customHeight="1" outlineLevel="1">
      <c r="A184" s="211"/>
      <c r="B184" s="212" t="s">
        <v>10</v>
      </c>
      <c r="C184" s="213" t="s">
        <v>1196</v>
      </c>
      <c r="D184" s="214" t="str">
        <f>IFERROR(VLOOKUP($C184,'PORTIFÓLIO'!C:V,2,0),"")</f>
        <v/>
      </c>
      <c r="E184" s="211" t="str">
        <f>IFERROR(VLOOKUP($C184,'PORTIFÓLIO'!C:V,3,0),"")</f>
        <v/>
      </c>
      <c r="F184" s="211" t="str">
        <f>IFERROR(VLOOKUP($C184,'PORTIFÓLIO'!C:V,4,0),"")</f>
        <v>R$/Ha</v>
      </c>
      <c r="G184" s="215">
        <f t="array" ref="G184">IFERROR(INDEX('PORTIFÓLIO'!$H$4:$H$433,MATCH($C184,'PORTIFÓLIO'!$C$4:$C$433,0)),"")</f>
        <v>0.04901960784</v>
      </c>
      <c r="H184" s="254">
        <f t="array" ref="H184">IFERROR(INDEX('PORTIFÓLIO'!$H$4:$H$433,MATCH($C184,'PORTIFÓLIO'!$C$4:$C$433,0)),"")</f>
        <v>0.04901960784</v>
      </c>
      <c r="I184" s="256">
        <f>G184*4</f>
        <v>0.1960784314</v>
      </c>
      <c r="J184" s="218">
        <f t="shared" si="22"/>
        <v>15.68627451</v>
      </c>
      <c r="K184" s="219">
        <f t="array" ref="K184">IFERROR(I184*INDEX('PORTIFÓLIO'!$S$4:$S$433,MATCH($C184,'PORTIFÓLIO'!$C$4:$C$433,0)),"")</f>
        <v>22.05882353</v>
      </c>
      <c r="L184" s="219">
        <f t="array" ref="L184">IFERROR(J184*INDEX('PORTIFÓLIO'!$S$4:$S$433,MATCH($C184,'PORTIFÓLIO'!$C$4:$C$433,0)),"")</f>
        <v>1764.705882</v>
      </c>
      <c r="M184" s="220"/>
      <c r="N184" s="220"/>
      <c r="O184" s="220"/>
      <c r="P184" s="220"/>
      <c r="Q184" s="220"/>
      <c r="R184" s="220"/>
      <c r="S184" s="220"/>
      <c r="T184" s="220"/>
      <c r="U184" s="220"/>
      <c r="V184" s="220"/>
      <c r="W184" s="220"/>
    </row>
    <row r="185" ht="15.75" customHeight="1" outlineLevel="1">
      <c r="A185" s="211"/>
      <c r="B185" s="212" t="s">
        <v>10</v>
      </c>
      <c r="C185" s="213" t="s">
        <v>1197</v>
      </c>
      <c r="D185" s="214" t="str">
        <f>IFERROR(VLOOKUP($C185,'PORTIFÓLIO'!C:V,2,0),"")</f>
        <v/>
      </c>
      <c r="E185" s="211" t="str">
        <f>IFERROR(VLOOKUP($C185,'PORTIFÓLIO'!C:V,3,0),"")</f>
        <v/>
      </c>
      <c r="F185" s="211" t="str">
        <f>IFERROR(VLOOKUP($C185,'PORTIFÓLIO'!C:V,4,0),"")</f>
        <v>R$/Ha</v>
      </c>
      <c r="G185" s="215">
        <f t="array" ref="G185">IFERROR(INDEX('PORTIFÓLIO'!$H$4:$H$433,MATCH($C185,'PORTIFÓLIO'!$C$4:$C$433,0)),"")</f>
        <v>0.01960784314</v>
      </c>
      <c r="H185" s="254">
        <f t="array" ref="H185">IFERROR(INDEX('PORTIFÓLIO'!$H$4:$H$433,MATCH($C185,'PORTIFÓLIO'!$C$4:$C$433,0)),"")</f>
        <v>0.01960784314</v>
      </c>
      <c r="I185" s="256">
        <f>G185*3</f>
        <v>0.05882352941</v>
      </c>
      <c r="J185" s="218">
        <f t="shared" si="22"/>
        <v>4.705882353</v>
      </c>
      <c r="K185" s="219">
        <f t="array" ref="K185">IFERROR(I185*INDEX('PORTIFÓLIO'!$S$4:$S$433,MATCH($C185,'PORTIFÓLIO'!$C$4:$C$433,0)),"")</f>
        <v>7.5</v>
      </c>
      <c r="L185" s="219">
        <f t="array" ref="L185">IFERROR(J185*INDEX('PORTIFÓLIO'!$S$4:$S$433,MATCH($C185,'PORTIFÓLIO'!$C$4:$C$433,0)),"")</f>
        <v>600</v>
      </c>
      <c r="M185" s="220"/>
      <c r="N185" s="220"/>
      <c r="O185" s="220"/>
      <c r="P185" s="220"/>
      <c r="Q185" s="220"/>
      <c r="R185" s="220"/>
      <c r="S185" s="220"/>
      <c r="T185" s="220"/>
      <c r="U185" s="220"/>
      <c r="V185" s="220"/>
      <c r="W185" s="220"/>
    </row>
    <row r="186" ht="15.75" customHeight="1" outlineLevel="1">
      <c r="A186" s="211"/>
      <c r="B186" s="212" t="s">
        <v>10</v>
      </c>
      <c r="C186" s="213" t="s">
        <v>1198</v>
      </c>
      <c r="D186" s="214" t="str">
        <f>IFERROR(VLOOKUP($C186,'PORTIFÓLIO'!C:V,2,0),"")</f>
        <v/>
      </c>
      <c r="E186" s="211" t="str">
        <f>IFERROR(VLOOKUP($C186,'PORTIFÓLIO'!C:V,3,0),"")</f>
        <v/>
      </c>
      <c r="F186" s="211" t="str">
        <f>IFERROR(VLOOKUP($C186,'PORTIFÓLIO'!C:V,4,0),"")</f>
        <v>R$/Ha</v>
      </c>
      <c r="G186" s="215">
        <f t="array" ref="G186">IFERROR(INDEX('PORTIFÓLIO'!$H$4:$H$433,MATCH($C186,'PORTIFÓLIO'!$C$4:$C$433,0)),"")</f>
        <v>0.006666666667</v>
      </c>
      <c r="H186" s="254">
        <f t="array" ref="H186">IFERROR(INDEX('PORTIFÓLIO'!$H$4:$H$433,MATCH($C186,'PORTIFÓLIO'!$C$4:$C$433,0)),"")</f>
        <v>0.006666666667</v>
      </c>
      <c r="I186" s="256">
        <f>G186*5</f>
        <v>0.03333333333</v>
      </c>
      <c r="J186" s="218">
        <f t="shared" si="22"/>
        <v>2.666666667</v>
      </c>
      <c r="K186" s="219">
        <f t="array" ref="K186">IFERROR(I186*INDEX('PORTIFÓLIO'!$S$4:$S$433,MATCH($C186,'PORTIFÓLIO'!$C$4:$C$433,0)),"")</f>
        <v>166.6666667</v>
      </c>
      <c r="L186" s="219">
        <f t="array" ref="L186">IFERROR(J186*INDEX('PORTIFÓLIO'!$S$4:$S$433,MATCH($C186,'PORTIFÓLIO'!$C$4:$C$433,0)),"")</f>
        <v>13333.33333</v>
      </c>
      <c r="M186" s="220"/>
      <c r="N186" s="220"/>
      <c r="O186" s="220"/>
      <c r="P186" s="220"/>
      <c r="Q186" s="220"/>
      <c r="R186" s="220"/>
      <c r="S186" s="220"/>
      <c r="T186" s="220"/>
      <c r="U186" s="220"/>
      <c r="V186" s="220"/>
      <c r="W186" s="220"/>
    </row>
    <row r="187" ht="15.75" customHeight="1" outlineLevel="1">
      <c r="A187" s="211"/>
      <c r="B187" s="212" t="s">
        <v>10</v>
      </c>
      <c r="C187" s="213" t="s">
        <v>1199</v>
      </c>
      <c r="D187" s="214" t="str">
        <f>IFERROR(VLOOKUP($C187,'PORTIFÓLIO'!C:V,2,0),"")</f>
        <v/>
      </c>
      <c r="E187" s="211" t="str">
        <f>IFERROR(VLOOKUP($C187,'PORTIFÓLIO'!C:V,3,0),"")</f>
        <v/>
      </c>
      <c r="F187" s="211" t="str">
        <f>IFERROR(VLOOKUP($C187,'PORTIFÓLIO'!C:V,4,0),"")</f>
        <v>R$/Ha</v>
      </c>
      <c r="G187" s="215">
        <f t="array" ref="G187">IFERROR(INDEX('PORTIFÓLIO'!$H$4:$H$433,MATCH($C187,'PORTIFÓLIO'!$C$4:$C$433,0)),"")</f>
        <v>0.08169934641</v>
      </c>
      <c r="H187" s="254">
        <f t="array" ref="H187">IFERROR(INDEX('PORTIFÓLIO'!$H$4:$H$433,MATCH($C187,'PORTIFÓLIO'!$C$4:$C$433,0)),"")</f>
        <v>0.08169934641</v>
      </c>
      <c r="I187" s="255">
        <v>0.081</v>
      </c>
      <c r="J187" s="218">
        <f t="shared" si="22"/>
        <v>6.48</v>
      </c>
      <c r="K187" s="219">
        <f t="array" ref="K187">IFERROR(I187*INDEX('PORTIFÓLIO'!$S$4:$S$433,MATCH($C187,'PORTIFÓLIO'!$C$4:$C$433,0)),"")</f>
        <v>36.45</v>
      </c>
      <c r="L187" s="219">
        <f t="array" ref="L187">IFERROR(J187*INDEX('PORTIFÓLIO'!$S$4:$S$433,MATCH($C187,'PORTIFÓLIO'!$C$4:$C$433,0)),"")</f>
        <v>2916</v>
      </c>
      <c r="M187" s="220"/>
      <c r="N187" s="220"/>
      <c r="O187" s="220"/>
      <c r="P187" s="220"/>
      <c r="Q187" s="220"/>
      <c r="R187" s="220"/>
      <c r="S187" s="220"/>
      <c r="T187" s="220"/>
      <c r="U187" s="220"/>
      <c r="V187" s="220"/>
      <c r="W187" s="220"/>
    </row>
    <row r="188" ht="15.75" customHeight="1" outlineLevel="1">
      <c r="A188" s="211"/>
      <c r="B188" s="212" t="s">
        <v>10</v>
      </c>
      <c r="C188" s="213" t="s">
        <v>1200</v>
      </c>
      <c r="D188" s="214" t="str">
        <f>IFERROR(VLOOKUP($C188,'PORTIFÓLIO'!C:V,2,0),"")</f>
        <v/>
      </c>
      <c r="E188" s="211" t="str">
        <f>IFERROR(VLOOKUP($C188,'PORTIFÓLIO'!C:V,3,0),"")</f>
        <v/>
      </c>
      <c r="F188" s="211" t="str">
        <f>IFERROR(VLOOKUP($C188,'PORTIFÓLIO'!C:V,4,0),"")</f>
        <v>R$/Ha</v>
      </c>
      <c r="G188" s="215">
        <f t="array" ref="G188">IFERROR(INDEX('PORTIFÓLIO'!$H$4:$H$433,MATCH($C188,'PORTIFÓLIO'!$C$4:$C$433,0)),"")</f>
        <v>0.1508295626</v>
      </c>
      <c r="H188" s="254">
        <f t="array" ref="H188">IFERROR(INDEX('PORTIFÓLIO'!$H$4:$H$433,MATCH($C188,'PORTIFÓLIO'!$C$4:$C$433,0)),"")</f>
        <v>0.1508295626</v>
      </c>
      <c r="I188" s="255">
        <v>0.15</v>
      </c>
      <c r="J188" s="218">
        <f t="shared" si="22"/>
        <v>12</v>
      </c>
      <c r="K188" s="219">
        <f t="array" ref="K188">IFERROR(I188*INDEX('PORTIFÓLIO'!$S$4:$S$433,MATCH($C188,'PORTIFÓLIO'!$C$4:$C$433,0)),"")</f>
        <v>56.25</v>
      </c>
      <c r="L188" s="219">
        <f t="array" ref="L188">IFERROR(J188*INDEX('PORTIFÓLIO'!$S$4:$S$433,MATCH($C188,'PORTIFÓLIO'!$C$4:$C$433,0)),"")</f>
        <v>4500</v>
      </c>
      <c r="M188" s="220"/>
      <c r="N188" s="220"/>
      <c r="O188" s="220"/>
      <c r="P188" s="220"/>
      <c r="Q188" s="220"/>
      <c r="R188" s="220"/>
      <c r="S188" s="220"/>
      <c r="T188" s="220"/>
      <c r="U188" s="220"/>
      <c r="V188" s="220"/>
      <c r="W188" s="220"/>
    </row>
    <row r="189" ht="15.75" customHeight="1" outlineLevel="1">
      <c r="A189" s="211"/>
      <c r="B189" s="212" t="s">
        <v>10</v>
      </c>
      <c r="C189" s="213" t="s">
        <v>1201</v>
      </c>
      <c r="D189" s="214" t="str">
        <f>IFERROR(VLOOKUP($C189,'PORTIFÓLIO'!C:V,2,0),"")</f>
        <v/>
      </c>
      <c r="E189" s="211" t="str">
        <f>IFERROR(VLOOKUP($C189,'PORTIFÓLIO'!C:V,3,0),"")</f>
        <v/>
      </c>
      <c r="F189" s="211" t="str">
        <f>IFERROR(VLOOKUP($C189,'PORTIFÓLIO'!C:V,4,0),"")</f>
        <v>R$/Ha</v>
      </c>
      <c r="G189" s="215">
        <f t="array" ref="G189">IFERROR(INDEX('PORTIFÓLIO'!$H$4:$H$433,MATCH($C189,'PORTIFÓLIO'!$C$4:$C$433,0)),"")</f>
        <v>0.001367989056</v>
      </c>
      <c r="H189" s="254">
        <f t="array" ref="H189">IFERROR(INDEX('PORTIFÓLIO'!$H$4:$H$433,MATCH($C189,'PORTIFÓLIO'!$C$4:$C$433,0)),"")</f>
        <v>0.001367989056</v>
      </c>
      <c r="I189" s="255">
        <v>0.1</v>
      </c>
      <c r="J189" s="218">
        <f t="shared" si="22"/>
        <v>8</v>
      </c>
      <c r="K189" s="219">
        <f t="array" ref="K189">IFERROR(I189*INDEX('PORTIFÓLIO'!$S$4:$S$433,MATCH($C189,'PORTIFÓLIO'!$C$4:$C$433,0)),"")</f>
        <v>15</v>
      </c>
      <c r="L189" s="219">
        <f t="array" ref="L189">IFERROR(J189*INDEX('PORTIFÓLIO'!$S$4:$S$433,MATCH($C189,'PORTIFÓLIO'!$C$4:$C$433,0)),"")</f>
        <v>1200</v>
      </c>
      <c r="M189" s="220"/>
      <c r="N189" s="220"/>
      <c r="O189" s="220"/>
      <c r="P189" s="220"/>
      <c r="Q189" s="220"/>
      <c r="R189" s="220"/>
      <c r="S189" s="220"/>
      <c r="T189" s="220"/>
      <c r="U189" s="220"/>
      <c r="V189" s="220"/>
      <c r="W189" s="220"/>
    </row>
    <row r="190" ht="15.75" customHeight="1" outlineLevel="1">
      <c r="A190" s="211"/>
      <c r="B190" s="212"/>
      <c r="C190" s="213"/>
      <c r="D190" s="214" t="str">
        <f>IFERROR(VLOOKUP($C190,'PORTIFÓLIO'!C:V,2,0),"")</f>
        <v/>
      </c>
      <c r="E190" s="211" t="str">
        <f>IFERROR(VLOOKUP($C190,'PORTIFÓLIO'!C:V,3,0),"")</f>
        <v/>
      </c>
      <c r="F190" s="211" t="str">
        <f>IFERROR(VLOOKUP($C190,'PORTIFÓLIO'!C:V,4,0),"")</f>
        <v/>
      </c>
      <c r="G190" s="215" t="str">
        <f>IFERROR(VLOOKUP($C190,'PORTIFÓLIO'!C:V,5,0),"")</f>
        <v/>
      </c>
      <c r="H190" s="254" t="str">
        <f t="array" ref="H190">IFERROR(INDEX('PORTIFÓLIO'!$H$4:$H$433,MATCH($C190,'PORTIFÓLIO'!$C$4:$C$433,0)),"")</f>
        <v/>
      </c>
      <c r="I190" s="256"/>
      <c r="J190" s="218">
        <f t="shared" si="22"/>
        <v>0</v>
      </c>
      <c r="K190" s="219" t="str">
        <f t="array" ref="K190">IFERROR(I190*INDEX('PORTIFÓLIO'!$S$4:$S$433,MATCH($C190,'PORTIFÓLIO'!$C$4:$C$433,0)),"")</f>
        <v/>
      </c>
      <c r="L190" s="219" t="str">
        <f t="array" ref="L190">IFERROR(J190*INDEX('PORTIFÓLIO'!$S$4:$S$433,MATCH($C190,'PORTIFÓLIO'!$C$4:$C$433,0)),"")</f>
        <v/>
      </c>
      <c r="M190" s="220"/>
      <c r="N190" s="220"/>
      <c r="O190" s="220"/>
      <c r="P190" s="220"/>
      <c r="Q190" s="220"/>
      <c r="R190" s="220"/>
      <c r="S190" s="220"/>
      <c r="T190" s="220"/>
      <c r="U190" s="220"/>
      <c r="V190" s="220"/>
      <c r="W190" s="220"/>
    </row>
    <row r="191" ht="15.75" customHeight="1" outlineLevel="1">
      <c r="A191" s="211"/>
      <c r="B191" s="212"/>
      <c r="C191" s="213"/>
      <c r="D191" s="214" t="str">
        <f>IFERROR(VLOOKUP($C191,'PORTIFÓLIO'!C:V,2,0),"")</f>
        <v/>
      </c>
      <c r="E191" s="211" t="str">
        <f>IFERROR(VLOOKUP($C191,'PORTIFÓLIO'!C:V,3,0),"")</f>
        <v/>
      </c>
      <c r="F191" s="211" t="str">
        <f>IFERROR(VLOOKUP($C191,'PORTIFÓLIO'!C:V,4,0),"")</f>
        <v/>
      </c>
      <c r="G191" s="215" t="str">
        <f>IFERROR(VLOOKUP($C191,'PORTIFÓLIO'!C:V,5,0),"")</f>
        <v/>
      </c>
      <c r="H191" s="254" t="str">
        <f t="array" ref="H191">IFERROR(INDEX('PORTIFÓLIO'!$H$4:$H$433,MATCH($C191,'PORTIFÓLIO'!$C$4:$C$433,0)),"")</f>
        <v/>
      </c>
      <c r="I191" s="255"/>
      <c r="J191" s="218">
        <f t="shared" si="22"/>
        <v>0</v>
      </c>
      <c r="K191" s="219" t="str">
        <f t="array" ref="K191">IFERROR(I191*INDEX('PORTIFÓLIO'!$S$4:$S$433,MATCH($C191,'PORTIFÓLIO'!$C$4:$C$433,0)),"")</f>
        <v/>
      </c>
      <c r="L191" s="219" t="str">
        <f t="array" ref="L191">IFERROR(J191*INDEX('PORTIFÓLIO'!$S$4:$S$433,MATCH($C191,'PORTIFÓLIO'!$C$4:$C$433,0)),"")</f>
        <v/>
      </c>
      <c r="M191" s="220"/>
      <c r="N191" s="220"/>
      <c r="O191" s="220"/>
      <c r="P191" s="220"/>
      <c r="Q191" s="220"/>
      <c r="R191" s="220"/>
      <c r="S191" s="220"/>
      <c r="T191" s="220"/>
      <c r="U191" s="220"/>
      <c r="V191" s="220"/>
      <c r="W191" s="220"/>
    </row>
    <row r="192" ht="15.75" customHeight="1" outlineLevel="1">
      <c r="A192" s="211"/>
      <c r="B192" s="212"/>
      <c r="C192" s="213"/>
      <c r="D192" s="214" t="str">
        <f>IFERROR(VLOOKUP($C192,'PORTIFÓLIO'!C:V,2,0),"")</f>
        <v/>
      </c>
      <c r="E192" s="211" t="str">
        <f>IFERROR(VLOOKUP($C192,'PORTIFÓLIO'!C:V,3,0),"")</f>
        <v/>
      </c>
      <c r="F192" s="211" t="str">
        <f>IFERROR(VLOOKUP($C192,'PORTIFÓLIO'!C:V,4,0),"")</f>
        <v/>
      </c>
      <c r="G192" s="215" t="str">
        <f>IFERROR(VLOOKUP($C192,'PORTIFÓLIO'!C:V,5,0),"")</f>
        <v/>
      </c>
      <c r="H192" s="254" t="str">
        <f t="array" ref="H192">IFERROR(INDEX('PORTIFÓLIO'!$H$4:$H$433,MATCH($C192,'PORTIFÓLIO'!$C$4:$C$433,0)),"")</f>
        <v/>
      </c>
      <c r="I192" s="256"/>
      <c r="J192" s="218">
        <f t="shared" si="22"/>
        <v>0</v>
      </c>
      <c r="K192" s="219" t="str">
        <f t="array" ref="K192">IFERROR(I192*INDEX('PORTIFÓLIO'!$S$4:$S$433,MATCH($C192,'PORTIFÓLIO'!$C$4:$C$433,0)),"")</f>
        <v/>
      </c>
      <c r="L192" s="219" t="str">
        <f t="array" ref="L192">IFERROR(J192*INDEX('PORTIFÓLIO'!$S$4:$S$433,MATCH($C192,'PORTIFÓLIO'!$C$4:$C$433,0)),"")</f>
        <v/>
      </c>
      <c r="M192" s="220"/>
      <c r="N192" s="220"/>
      <c r="O192" s="220"/>
      <c r="P192" s="220"/>
      <c r="Q192" s="220"/>
      <c r="R192" s="220"/>
      <c r="S192" s="220"/>
      <c r="T192" s="220"/>
      <c r="U192" s="220"/>
      <c r="V192" s="220"/>
      <c r="W192" s="220"/>
    </row>
    <row r="193" ht="15.75" customHeight="1" outlineLevel="1">
      <c r="A193" s="211"/>
      <c r="B193" s="212"/>
      <c r="C193" s="213"/>
      <c r="D193" s="214" t="str">
        <f>IFERROR(VLOOKUP($C193,'PORTIFÓLIO'!C:V,2,0),"")</f>
        <v/>
      </c>
      <c r="E193" s="211" t="str">
        <f>IFERROR(VLOOKUP($C193,'PORTIFÓLIO'!C:V,3,0),"")</f>
        <v/>
      </c>
      <c r="F193" s="211" t="str">
        <f>IFERROR(VLOOKUP($C193,'PORTIFÓLIO'!C:V,4,0),"")</f>
        <v/>
      </c>
      <c r="G193" s="215" t="str">
        <f>IFERROR(VLOOKUP($C193,'PORTIFÓLIO'!C:V,5,0),"")</f>
        <v/>
      </c>
      <c r="H193" s="254" t="str">
        <f t="array" ref="H193">IFERROR(INDEX('PORTIFÓLIO'!$H$4:$H$433,MATCH($C193,'PORTIFÓLIO'!$C$4:$C$433,0)),"")</f>
        <v/>
      </c>
      <c r="I193" s="256"/>
      <c r="J193" s="218">
        <f t="shared" si="22"/>
        <v>0</v>
      </c>
      <c r="K193" s="219" t="str">
        <f t="array" ref="K193">IFERROR(I193*INDEX('PORTIFÓLIO'!$S$4:$S$433,MATCH($C193,'PORTIFÓLIO'!$C$4:$C$433,0)),"")</f>
        <v/>
      </c>
      <c r="L193" s="219" t="str">
        <f t="array" ref="L193">IFERROR(J193*INDEX('PORTIFÓLIO'!$S$4:$S$433,MATCH($C193,'PORTIFÓLIO'!$C$4:$C$433,0)),"")</f>
        <v/>
      </c>
      <c r="M193" s="220"/>
      <c r="N193" s="220"/>
      <c r="O193" s="220"/>
      <c r="P193" s="220"/>
      <c r="Q193" s="220"/>
      <c r="R193" s="220"/>
      <c r="S193" s="220"/>
      <c r="T193" s="220"/>
      <c r="U193" s="220"/>
      <c r="V193" s="220"/>
      <c r="W193" s="220"/>
    </row>
    <row r="194" ht="15.75" customHeight="1" outlineLevel="1">
      <c r="A194" s="211"/>
      <c r="B194" s="212"/>
      <c r="C194" s="213"/>
      <c r="D194" s="214" t="str">
        <f>IFERROR(VLOOKUP($C194,'PORTIFÓLIO'!C:V,2,0),"")</f>
        <v/>
      </c>
      <c r="E194" s="211" t="str">
        <f>IFERROR(VLOOKUP($C194,'PORTIFÓLIO'!C:V,3,0),"")</f>
        <v/>
      </c>
      <c r="F194" s="211" t="str">
        <f>IFERROR(VLOOKUP($C194,'PORTIFÓLIO'!C:V,4,0),"")</f>
        <v/>
      </c>
      <c r="G194" s="215" t="str">
        <f>IFERROR(VLOOKUP($C194,'PORTIFÓLIO'!C:V,5,0),"")</f>
        <v/>
      </c>
      <c r="H194" s="254" t="str">
        <f t="array" ref="H194">IFERROR(INDEX('PORTIFÓLIO'!$H$4:$H$433,MATCH($C194,'PORTIFÓLIO'!$C$4:$C$433,0)),"")</f>
        <v/>
      </c>
      <c r="I194" s="256"/>
      <c r="J194" s="218">
        <f t="shared" si="22"/>
        <v>0</v>
      </c>
      <c r="K194" s="219" t="str">
        <f t="array" ref="K194">IFERROR(I194*INDEX('PORTIFÓLIO'!$S$4:$S$433,MATCH($C194,'PORTIFÓLIO'!$C$4:$C$433,0)),"")</f>
        <v/>
      </c>
      <c r="L194" s="219" t="str">
        <f t="array" ref="L194">IFERROR(J194*INDEX('PORTIFÓLIO'!$S$4:$S$433,MATCH($C194,'PORTIFÓLIO'!$C$4:$C$433,0)),"")</f>
        <v/>
      </c>
      <c r="M194" s="220"/>
      <c r="N194" s="220"/>
      <c r="O194" s="220"/>
      <c r="P194" s="220"/>
      <c r="Q194" s="220"/>
      <c r="R194" s="220"/>
      <c r="S194" s="220"/>
      <c r="T194" s="220"/>
      <c r="U194" s="220"/>
      <c r="V194" s="220"/>
      <c r="W194" s="220"/>
    </row>
    <row r="195" ht="15.75" customHeight="1" outlineLevel="1">
      <c r="A195" s="211"/>
      <c r="B195" s="212"/>
      <c r="C195" s="213"/>
      <c r="D195" s="214" t="str">
        <f>IFERROR(VLOOKUP($C195,'PORTIFÓLIO'!C:V,2,0),"")</f>
        <v/>
      </c>
      <c r="E195" s="211" t="str">
        <f>IFERROR(VLOOKUP($C195,'PORTIFÓLIO'!C:V,3,0),"")</f>
        <v/>
      </c>
      <c r="F195" s="211" t="str">
        <f>IFERROR(VLOOKUP($C195,'PORTIFÓLIO'!C:V,4,0),"")</f>
        <v/>
      </c>
      <c r="G195" s="215" t="str">
        <f>IFERROR(VLOOKUP($C195,'PORTIFÓLIO'!C:V,5,0),"")</f>
        <v/>
      </c>
      <c r="H195" s="254" t="str">
        <f t="array" ref="H195">IFERROR(INDEX('PORTIFÓLIO'!$H$4:$H$433,MATCH($C195,'PORTIFÓLIO'!$C$4:$C$433,0)),"")</f>
        <v/>
      </c>
      <c r="I195" s="256"/>
      <c r="J195" s="218">
        <f t="shared" si="22"/>
        <v>0</v>
      </c>
      <c r="K195" s="219" t="str">
        <f t="array" ref="K195">IFERROR(I195*INDEX('PORTIFÓLIO'!$S$4:$S$433,MATCH($C195,'PORTIFÓLIO'!$C$4:$C$433,0)),"")</f>
        <v/>
      </c>
      <c r="L195" s="219" t="str">
        <f t="array" ref="L195">IFERROR(J195*INDEX('PORTIFÓLIO'!$S$4:$S$433,MATCH($C195,'PORTIFÓLIO'!$C$4:$C$433,0)),"")</f>
        <v/>
      </c>
      <c r="M195" s="220"/>
      <c r="N195" s="220"/>
      <c r="O195" s="220"/>
      <c r="P195" s="220"/>
      <c r="Q195" s="220"/>
      <c r="R195" s="220"/>
      <c r="S195" s="220"/>
      <c r="T195" s="220"/>
      <c r="U195" s="220"/>
      <c r="V195" s="220"/>
      <c r="W195" s="220"/>
    </row>
    <row r="196" ht="15.75" customHeight="1" outlineLevel="1">
      <c r="A196" s="211"/>
      <c r="B196" s="212"/>
      <c r="C196" s="213"/>
      <c r="D196" s="214" t="str">
        <f>IFERROR(VLOOKUP($C196,'PORTIFÓLIO'!C:V,2,0),"")</f>
        <v/>
      </c>
      <c r="E196" s="211" t="str">
        <f>IFERROR(VLOOKUP($C196,'PORTIFÓLIO'!C:V,3,0),"")</f>
        <v/>
      </c>
      <c r="F196" s="211" t="str">
        <f>IFERROR(VLOOKUP($C196,'PORTIFÓLIO'!C:V,4,0),"")</f>
        <v/>
      </c>
      <c r="G196" s="215" t="str">
        <f>IFERROR(VLOOKUP($C196,'PORTIFÓLIO'!C:V,5,0),"")</f>
        <v/>
      </c>
      <c r="H196" s="254" t="str">
        <f t="array" ref="H196">IFERROR(INDEX('PORTIFÓLIO'!$H$4:$H$433,MATCH($C196,'PORTIFÓLIO'!$C$4:$C$433,0)),"")</f>
        <v/>
      </c>
      <c r="I196" s="256"/>
      <c r="J196" s="218">
        <f t="shared" si="22"/>
        <v>0</v>
      </c>
      <c r="K196" s="219" t="str">
        <f t="array" ref="K196">IFERROR(I196*INDEX('PORTIFÓLIO'!$S$4:$S$433,MATCH($C196,'PORTIFÓLIO'!$C$4:$C$433,0)),"")</f>
        <v/>
      </c>
      <c r="L196" s="219" t="str">
        <f t="array" ref="L196">IFERROR(J196*INDEX('PORTIFÓLIO'!$S$4:$S$433,MATCH($C196,'PORTIFÓLIO'!$C$4:$C$433,0)),"")</f>
        <v/>
      </c>
      <c r="M196" s="220"/>
      <c r="N196" s="220"/>
      <c r="O196" s="220"/>
      <c r="P196" s="220"/>
      <c r="Q196" s="220"/>
      <c r="R196" s="220"/>
      <c r="S196" s="220"/>
      <c r="T196" s="220"/>
      <c r="U196" s="220"/>
      <c r="V196" s="220"/>
      <c r="W196" s="220"/>
    </row>
    <row r="197" ht="15.75" customHeight="1" outlineLevel="1">
      <c r="A197" s="211"/>
      <c r="B197" s="212"/>
      <c r="C197" s="213"/>
      <c r="D197" s="214" t="str">
        <f>IFERROR(VLOOKUP($C197,'PORTIFÓLIO'!C:V,2,0),"")</f>
        <v/>
      </c>
      <c r="E197" s="211" t="str">
        <f>IFERROR(VLOOKUP($C197,'PORTIFÓLIO'!C:V,3,0),"")</f>
        <v/>
      </c>
      <c r="F197" s="211" t="str">
        <f>IFERROR(VLOOKUP($C197,'PORTIFÓLIO'!C:V,4,0),"")</f>
        <v/>
      </c>
      <c r="G197" s="215" t="str">
        <f>IFERROR(VLOOKUP($C197,'PORTIFÓLIO'!C:V,5,0),"")</f>
        <v/>
      </c>
      <c r="H197" s="254" t="str">
        <f t="array" ref="H197">IFERROR(INDEX('PORTIFÓLIO'!$H$4:$H$433,MATCH($C197,'PORTIFÓLIO'!$C$4:$C$433,0)),"")</f>
        <v/>
      </c>
      <c r="I197" s="256"/>
      <c r="J197" s="218">
        <f t="shared" si="22"/>
        <v>0</v>
      </c>
      <c r="K197" s="219" t="str">
        <f t="array" ref="K197">IFERROR(I197*INDEX('PORTIFÓLIO'!$S$4:$S$433,MATCH($C197,'PORTIFÓLIO'!$C$4:$C$433,0)),"")</f>
        <v/>
      </c>
      <c r="L197" s="219" t="str">
        <f t="array" ref="L197">IFERROR(J197*INDEX('PORTIFÓLIO'!$S$4:$S$433,MATCH($C197,'PORTIFÓLIO'!$C$4:$C$433,0)),"")</f>
        <v/>
      </c>
      <c r="M197" s="220"/>
      <c r="N197" s="220"/>
      <c r="O197" s="220"/>
      <c r="P197" s="220"/>
      <c r="Q197" s="220"/>
      <c r="R197" s="220"/>
      <c r="S197" s="220"/>
      <c r="T197" s="220"/>
      <c r="U197" s="220"/>
      <c r="V197" s="220"/>
      <c r="W197" s="220"/>
    </row>
    <row r="198" ht="15.75" customHeight="1" outlineLevel="1">
      <c r="A198" s="211"/>
      <c r="B198" s="227"/>
      <c r="C198" s="211"/>
      <c r="D198" s="214" t="str">
        <f>IFERROR(VLOOKUP($C198,'PORTIFÓLIO'!C:V,2,0),"")</f>
        <v/>
      </c>
      <c r="E198" s="211" t="str">
        <f>IFERROR(VLOOKUP($C198,'PORTIFÓLIO'!C:V,3,0),"")</f>
        <v/>
      </c>
      <c r="F198" s="211" t="str">
        <f>IFERROR(VLOOKUP($C198,'PORTIFÓLIO'!C:V,4,0),"")</f>
        <v/>
      </c>
      <c r="G198" s="215" t="str">
        <f>IFERROR(VLOOKUP($C198,'PORTIFÓLIO'!C:V,5,0),"")</f>
        <v/>
      </c>
      <c r="H198" s="254" t="str">
        <f t="array" ref="H198">IFERROR(INDEX('PORTIFÓLIO'!$H$4:$H$433,MATCH($C198,'PORTIFÓLIO'!$C$4:$C$433,0)),"")</f>
        <v/>
      </c>
      <c r="I198" s="256"/>
      <c r="J198" s="218">
        <f t="shared" si="22"/>
        <v>0</v>
      </c>
      <c r="K198" s="219" t="str">
        <f t="array" ref="K198">IFERROR(I198*INDEX('PORTIFÓLIO'!$S$4:$S$433,MATCH($C198,'PORTIFÓLIO'!$C$4:$C$433,0)),"")</f>
        <v/>
      </c>
      <c r="L198" s="219" t="str">
        <f t="array" ref="L198">IFERROR(J198*INDEX('PORTIFÓLIO'!$S$4:$S$433,MATCH($C198,'PORTIFÓLIO'!$C$4:$C$433,0)),"")</f>
        <v/>
      </c>
      <c r="M198" s="220"/>
      <c r="N198" s="220"/>
      <c r="O198" s="220"/>
      <c r="P198" s="220"/>
      <c r="Q198" s="220"/>
      <c r="R198" s="220"/>
      <c r="S198" s="220"/>
      <c r="T198" s="220"/>
      <c r="U198" s="220"/>
      <c r="V198" s="220"/>
      <c r="W198" s="220"/>
    </row>
    <row r="199" ht="15.75" customHeight="1" outlineLevel="1">
      <c r="A199" s="211"/>
      <c r="B199" s="227"/>
      <c r="C199" s="211"/>
      <c r="D199" s="214" t="str">
        <f>IFERROR(VLOOKUP($C199,'PORTIFÓLIO'!C:V,2,0),"")</f>
        <v/>
      </c>
      <c r="E199" s="211" t="str">
        <f>IFERROR(VLOOKUP($C199,'PORTIFÓLIO'!C:V,3,0),"")</f>
        <v/>
      </c>
      <c r="F199" s="211" t="str">
        <f>IFERROR(VLOOKUP($C199,'PORTIFÓLIO'!C:V,4,0),"")</f>
        <v/>
      </c>
      <c r="G199" s="215" t="str">
        <f>IFERROR(VLOOKUP($C199,'PORTIFÓLIO'!C:V,5,0),"")</f>
        <v/>
      </c>
      <c r="H199" s="254" t="str">
        <f t="array" ref="H199">IFERROR(INDEX('PORTIFÓLIO'!$H$4:$H$433,MATCH($C199,'PORTIFÓLIO'!$C$4:$C$433,0)),"")</f>
        <v/>
      </c>
      <c r="I199" s="256"/>
      <c r="J199" s="218">
        <f t="shared" si="22"/>
        <v>0</v>
      </c>
      <c r="K199" s="219" t="str">
        <f t="array" ref="K199">IFERROR(I199*INDEX('PORTIFÓLIO'!$S$4:$S$433,MATCH($C199,'PORTIFÓLIO'!$C$4:$C$433,0)),"")</f>
        <v/>
      </c>
      <c r="L199" s="219" t="str">
        <f t="array" ref="L199">IFERROR(J199*INDEX('PORTIFÓLIO'!$S$4:$S$433,MATCH($C199,'PORTIFÓLIO'!$C$4:$C$433,0)),"")</f>
        <v/>
      </c>
      <c r="M199" s="220"/>
      <c r="N199" s="220"/>
      <c r="O199" s="220"/>
      <c r="P199" s="220"/>
      <c r="Q199" s="220"/>
      <c r="R199" s="220"/>
      <c r="S199" s="220"/>
      <c r="T199" s="220"/>
      <c r="U199" s="220"/>
      <c r="V199" s="220"/>
      <c r="W199" s="220"/>
    </row>
    <row r="200" ht="15.75" customHeight="1">
      <c r="A200" s="229" t="s">
        <v>1202</v>
      </c>
      <c r="B200" s="230"/>
      <c r="C200" s="231"/>
      <c r="D200" s="232"/>
      <c r="E200" s="231"/>
      <c r="F200" s="231"/>
      <c r="G200" s="233"/>
      <c r="H200" s="233"/>
      <c r="I200" s="258"/>
      <c r="J200" s="236"/>
      <c r="K200" s="237">
        <f t="shared" ref="K200:L200" si="23">SUBTOTAL(9,K201:K214)</f>
        <v>0</v>
      </c>
      <c r="L200" s="237">
        <f t="shared" si="23"/>
        <v>0</v>
      </c>
      <c r="M200" s="220"/>
      <c r="N200" s="220"/>
      <c r="O200" s="220"/>
      <c r="P200" s="220"/>
      <c r="Q200" s="220"/>
      <c r="R200" s="220"/>
      <c r="S200" s="220"/>
      <c r="T200" s="220"/>
      <c r="U200" s="220"/>
      <c r="V200" s="220"/>
      <c r="W200" s="220"/>
    </row>
    <row r="201" ht="15.75" customHeight="1" outlineLevel="1">
      <c r="A201" s="213"/>
      <c r="B201" s="212"/>
      <c r="C201" s="213"/>
      <c r="D201" s="214" t="str">
        <f>IFERROR(VLOOKUP($C201,'PORTIFÓLIO'!C:V,2,0),"")</f>
        <v/>
      </c>
      <c r="E201" s="211" t="str">
        <f>IFERROR(VLOOKUP($C201,'PORTIFÓLIO'!C:V,3,0),"")</f>
        <v/>
      </c>
      <c r="F201" s="211" t="str">
        <f>IFERROR(VLOOKUP($C201,'PORTIFÓLIO'!C:V,4,0),"")</f>
        <v/>
      </c>
      <c r="G201" s="215" t="str">
        <f>IFERROR(VLOOKUP($C201,'PORTIFÓLIO'!C:V,5,0),"")</f>
        <v/>
      </c>
      <c r="H201" s="254" t="str">
        <f t="array" ref="H201">IFERROR(INDEX('PORTIFÓLIO'!$H$4:$H$433,MATCH($C201,'PORTIFÓLIO'!$C$4:$C$433,0)),"")</f>
        <v/>
      </c>
      <c r="I201" s="256"/>
      <c r="J201" s="218">
        <f t="shared" ref="J201:J224" si="24">I201*$B$2</f>
        <v>0</v>
      </c>
      <c r="K201" s="219" t="str">
        <f>IFERROR(I201* VLOOKUP($C201,'PORTIFÓLIO'!C:V,10,0),"")</f>
        <v/>
      </c>
      <c r="L201" s="219" t="str">
        <f>IFERROR(J201* VLOOKUP($C201,'PORTIFÓLIO'!C:V,10,0),"")</f>
        <v/>
      </c>
      <c r="M201" s="220"/>
      <c r="N201" s="220"/>
      <c r="O201" s="220"/>
      <c r="P201" s="220"/>
      <c r="Q201" s="220"/>
      <c r="R201" s="220"/>
      <c r="S201" s="220"/>
      <c r="T201" s="220"/>
      <c r="U201" s="220"/>
      <c r="V201" s="220"/>
      <c r="W201" s="220"/>
    </row>
    <row r="202" ht="15.75" customHeight="1" outlineLevel="1">
      <c r="A202" s="211"/>
      <c r="B202" s="212"/>
      <c r="C202" s="213"/>
      <c r="D202" s="214" t="str">
        <f>IFERROR(VLOOKUP($C202,'PORTIFÓLIO'!C:V,2,0),"")</f>
        <v/>
      </c>
      <c r="E202" s="211" t="str">
        <f>IFERROR(VLOOKUP($C202,'PORTIFÓLIO'!C:V,3,0),"")</f>
        <v/>
      </c>
      <c r="F202" s="211" t="str">
        <f>IFERROR(VLOOKUP($C202,'PORTIFÓLIO'!C:V,4,0),"")</f>
        <v/>
      </c>
      <c r="G202" s="215" t="str">
        <f>IFERROR(VLOOKUP($C202,'PORTIFÓLIO'!C:V,5,0),"")</f>
        <v/>
      </c>
      <c r="H202" s="254" t="str">
        <f t="array" ref="H202">IFERROR(INDEX('PORTIFÓLIO'!$H$4:$H$433,MATCH($C202,'PORTIFÓLIO'!$C$4:$C$433,0)),"")</f>
        <v/>
      </c>
      <c r="I202" s="256"/>
      <c r="J202" s="218">
        <f t="shared" si="24"/>
        <v>0</v>
      </c>
      <c r="K202" s="219" t="str">
        <f>IFERROR(I202* VLOOKUP($C202,'PORTIFÓLIO'!C:V,10,0),"")</f>
        <v/>
      </c>
      <c r="L202" s="219" t="str">
        <f>IFERROR(J202* VLOOKUP($C202,'PORTIFÓLIO'!C:V,10,0),"")</f>
        <v/>
      </c>
      <c r="M202" s="220"/>
      <c r="N202" s="220"/>
      <c r="O202" s="220"/>
      <c r="P202" s="220"/>
      <c r="Q202" s="220"/>
      <c r="R202" s="220"/>
      <c r="S202" s="220"/>
      <c r="T202" s="220"/>
      <c r="U202" s="220"/>
      <c r="V202" s="220"/>
      <c r="W202" s="220"/>
    </row>
    <row r="203" ht="15.75" customHeight="1" outlineLevel="1">
      <c r="A203" s="211"/>
      <c r="B203" s="212"/>
      <c r="C203" s="213"/>
      <c r="D203" s="214" t="str">
        <f>IFERROR(VLOOKUP($C203,'PORTIFÓLIO'!C:V,2,0),"")</f>
        <v/>
      </c>
      <c r="E203" s="211" t="str">
        <f>IFERROR(VLOOKUP($C203,'PORTIFÓLIO'!C:V,3,0),"")</f>
        <v/>
      </c>
      <c r="F203" s="211" t="str">
        <f>IFERROR(VLOOKUP($C203,'PORTIFÓLIO'!C:V,4,0),"")</f>
        <v/>
      </c>
      <c r="G203" s="215" t="str">
        <f>IFERROR(VLOOKUP($C203,'PORTIFÓLIO'!C:V,5,0),"")</f>
        <v/>
      </c>
      <c r="H203" s="254" t="str">
        <f t="array" ref="H203">IFERROR(INDEX('PORTIFÓLIO'!$H$4:$H$433,MATCH($C203,'PORTIFÓLIO'!$C$4:$C$433,0)),"")</f>
        <v/>
      </c>
      <c r="I203" s="256"/>
      <c r="J203" s="218">
        <f t="shared" si="24"/>
        <v>0</v>
      </c>
      <c r="K203" s="219" t="str">
        <f>IFERROR(I203* VLOOKUP($C203,'PORTIFÓLIO'!C:V,10,0),"")</f>
        <v/>
      </c>
      <c r="L203" s="219" t="str">
        <f>IFERROR(J203* VLOOKUP($C203,'PORTIFÓLIO'!C:V,10,0),"")</f>
        <v/>
      </c>
      <c r="M203" s="220"/>
      <c r="N203" s="220"/>
      <c r="O203" s="220"/>
      <c r="P203" s="220"/>
      <c r="Q203" s="220"/>
      <c r="R203" s="220"/>
      <c r="S203" s="220"/>
      <c r="T203" s="220"/>
      <c r="U203" s="220"/>
      <c r="V203" s="220"/>
      <c r="W203" s="220"/>
    </row>
    <row r="204" ht="15.75" customHeight="1" outlineLevel="1">
      <c r="A204" s="211"/>
      <c r="B204" s="212"/>
      <c r="C204" s="213"/>
      <c r="D204" s="214" t="str">
        <f>IFERROR(VLOOKUP($C204,'PORTIFÓLIO'!C:V,2,0),"")</f>
        <v/>
      </c>
      <c r="E204" s="211" t="str">
        <f>IFERROR(VLOOKUP($C204,'PORTIFÓLIO'!C:V,3,0),"")</f>
        <v/>
      </c>
      <c r="F204" s="211" t="str">
        <f>IFERROR(VLOOKUP($C204,'PORTIFÓLIO'!C:V,4,0),"")</f>
        <v/>
      </c>
      <c r="G204" s="215" t="str">
        <f>IFERROR(VLOOKUP($C204,'PORTIFÓLIO'!C:V,5,0),"")</f>
        <v/>
      </c>
      <c r="H204" s="254" t="str">
        <f t="array" ref="H204">IFERROR(INDEX('PORTIFÓLIO'!$H$4:$H$433,MATCH($C204,'PORTIFÓLIO'!$C$4:$C$433,0)),"")</f>
        <v/>
      </c>
      <c r="I204" s="256"/>
      <c r="J204" s="218">
        <f t="shared" si="24"/>
        <v>0</v>
      </c>
      <c r="K204" s="219" t="str">
        <f>IFERROR(I204* VLOOKUP($C204,'PORTIFÓLIO'!C:V,10,0),"")</f>
        <v/>
      </c>
      <c r="L204" s="219" t="str">
        <f>IFERROR(J204* VLOOKUP($C204,'PORTIFÓLIO'!C:V,10,0),"")</f>
        <v/>
      </c>
      <c r="M204" s="220"/>
      <c r="N204" s="220"/>
      <c r="O204" s="220"/>
      <c r="P204" s="220"/>
      <c r="Q204" s="220"/>
      <c r="R204" s="220"/>
      <c r="S204" s="220"/>
      <c r="T204" s="220"/>
      <c r="U204" s="220"/>
      <c r="V204" s="220"/>
      <c r="W204" s="220"/>
    </row>
    <row r="205" ht="15.75" customHeight="1" outlineLevel="1">
      <c r="A205" s="211"/>
      <c r="B205" s="212"/>
      <c r="C205" s="213"/>
      <c r="D205" s="214" t="str">
        <f>IFERROR(VLOOKUP($C205,'PORTIFÓLIO'!C:V,2,0),"")</f>
        <v/>
      </c>
      <c r="E205" s="211" t="str">
        <f>IFERROR(VLOOKUP($C205,'PORTIFÓLIO'!C:V,3,0),"")</f>
        <v/>
      </c>
      <c r="F205" s="211" t="str">
        <f>IFERROR(VLOOKUP($C205,'PORTIFÓLIO'!C:V,4,0),"")</f>
        <v/>
      </c>
      <c r="G205" s="215" t="str">
        <f>IFERROR(VLOOKUP($C205,'PORTIFÓLIO'!C:V,5,0),"")</f>
        <v/>
      </c>
      <c r="H205" s="254" t="str">
        <f t="array" ref="H205">IFERROR(INDEX('PORTIFÓLIO'!$H$4:$H$433,MATCH($C205,'PORTIFÓLIO'!$C$4:$C$433,0)),"")</f>
        <v/>
      </c>
      <c r="I205" s="256"/>
      <c r="J205" s="218">
        <f t="shared" si="24"/>
        <v>0</v>
      </c>
      <c r="K205" s="219" t="str">
        <f>IFERROR(I205* VLOOKUP($C205,'PORTIFÓLIO'!C:V,10,0),"")</f>
        <v/>
      </c>
      <c r="L205" s="219" t="str">
        <f>IFERROR(J205* VLOOKUP($C205,'PORTIFÓLIO'!C:V,10,0),"")</f>
        <v/>
      </c>
      <c r="M205" s="220"/>
      <c r="N205" s="220"/>
      <c r="O205" s="220"/>
      <c r="P205" s="220"/>
      <c r="Q205" s="220"/>
      <c r="R205" s="220"/>
      <c r="S205" s="220"/>
      <c r="T205" s="220"/>
      <c r="U205" s="220"/>
      <c r="V205" s="220"/>
      <c r="W205" s="220"/>
    </row>
    <row r="206" ht="15.75" customHeight="1" outlineLevel="1">
      <c r="A206" s="211"/>
      <c r="B206" s="212"/>
      <c r="C206" s="213"/>
      <c r="D206" s="214" t="str">
        <f>IFERROR(VLOOKUP($C206,'PORTIFÓLIO'!C:V,2,0),"")</f>
        <v/>
      </c>
      <c r="E206" s="211" t="str">
        <f>IFERROR(VLOOKUP($C206,'PORTIFÓLIO'!C:V,3,0),"")</f>
        <v/>
      </c>
      <c r="F206" s="211" t="str">
        <f>IFERROR(VLOOKUP($C206,'PORTIFÓLIO'!C:V,4,0),"")</f>
        <v/>
      </c>
      <c r="G206" s="215" t="str">
        <f>IFERROR(VLOOKUP($C206,'PORTIFÓLIO'!C:V,5,0),"")</f>
        <v/>
      </c>
      <c r="H206" s="254" t="str">
        <f t="array" ref="H206">IFERROR(INDEX('PORTIFÓLIO'!$H$4:$H$433,MATCH($C206,'PORTIFÓLIO'!$C$4:$C$433,0)),"")</f>
        <v/>
      </c>
      <c r="I206" s="256"/>
      <c r="J206" s="218">
        <f t="shared" si="24"/>
        <v>0</v>
      </c>
      <c r="K206" s="219" t="str">
        <f>IFERROR(I206* VLOOKUP($C206,'PORTIFÓLIO'!C:V,10,0),"")</f>
        <v/>
      </c>
      <c r="L206" s="219" t="str">
        <f>IFERROR(J206* VLOOKUP($C206,'PORTIFÓLIO'!C:V,10,0),"")</f>
        <v/>
      </c>
      <c r="M206" s="220"/>
      <c r="N206" s="220"/>
      <c r="O206" s="220"/>
      <c r="P206" s="220"/>
      <c r="Q206" s="220"/>
      <c r="R206" s="220"/>
      <c r="S206" s="220"/>
      <c r="T206" s="220"/>
      <c r="U206" s="220"/>
      <c r="V206" s="220"/>
      <c r="W206" s="220"/>
    </row>
    <row r="207" ht="15.75" customHeight="1" outlineLevel="1">
      <c r="A207" s="211"/>
      <c r="B207" s="212"/>
      <c r="C207" s="213"/>
      <c r="D207" s="214" t="str">
        <f>IFERROR(VLOOKUP($C207,'PORTIFÓLIO'!C:V,2,0),"")</f>
        <v/>
      </c>
      <c r="E207" s="211" t="str">
        <f>IFERROR(VLOOKUP($C207,'PORTIFÓLIO'!C:V,3,0),"")</f>
        <v/>
      </c>
      <c r="F207" s="211" t="str">
        <f>IFERROR(VLOOKUP($C207,'PORTIFÓLIO'!C:V,4,0),"")</f>
        <v/>
      </c>
      <c r="G207" s="215" t="str">
        <f>IFERROR(VLOOKUP($C207,'PORTIFÓLIO'!C:V,5,0),"")</f>
        <v/>
      </c>
      <c r="H207" s="254" t="str">
        <f t="array" ref="H207">IFERROR(INDEX('PORTIFÓLIO'!$H$4:$H$433,MATCH($C207,'PORTIFÓLIO'!$C$4:$C$433,0)),"")</f>
        <v/>
      </c>
      <c r="I207" s="256"/>
      <c r="J207" s="218">
        <f t="shared" si="24"/>
        <v>0</v>
      </c>
      <c r="K207" s="219" t="str">
        <f>IFERROR(I207* VLOOKUP($C207,'PORTIFÓLIO'!C:V,10,0),"")</f>
        <v/>
      </c>
      <c r="L207" s="219" t="str">
        <f>IFERROR(J207* VLOOKUP($C207,'PORTIFÓLIO'!C:V,10,0),"")</f>
        <v/>
      </c>
      <c r="M207" s="220"/>
      <c r="N207" s="220"/>
      <c r="O207" s="220"/>
      <c r="P207" s="220"/>
      <c r="Q207" s="220"/>
      <c r="R207" s="220"/>
      <c r="S207" s="220"/>
      <c r="T207" s="220"/>
      <c r="U207" s="220"/>
      <c r="V207" s="220"/>
      <c r="W207" s="220"/>
    </row>
    <row r="208" ht="15.75" customHeight="1" outlineLevel="1">
      <c r="A208" s="211"/>
      <c r="B208" s="212"/>
      <c r="C208" s="213"/>
      <c r="D208" s="214" t="str">
        <f>IFERROR(VLOOKUP($C208,'PORTIFÓLIO'!C:V,2,0),"")</f>
        <v/>
      </c>
      <c r="E208" s="211" t="str">
        <f>IFERROR(VLOOKUP($C208,'PORTIFÓLIO'!C:V,3,0),"")</f>
        <v/>
      </c>
      <c r="F208" s="211" t="str">
        <f>IFERROR(VLOOKUP($C208,'PORTIFÓLIO'!C:V,4,0),"")</f>
        <v/>
      </c>
      <c r="G208" s="215" t="str">
        <f>IFERROR(VLOOKUP($C208,'PORTIFÓLIO'!C:V,5,0),"")</f>
        <v/>
      </c>
      <c r="H208" s="254" t="str">
        <f t="array" ref="H208">IFERROR(INDEX('PORTIFÓLIO'!$H$4:$H$433,MATCH($C208,'PORTIFÓLIO'!$C$4:$C$433,0)),"")</f>
        <v/>
      </c>
      <c r="I208" s="256"/>
      <c r="J208" s="218">
        <f t="shared" si="24"/>
        <v>0</v>
      </c>
      <c r="K208" s="219" t="str">
        <f>IFERROR(I208* VLOOKUP($C208,'PORTIFÓLIO'!C:V,10,0),"")</f>
        <v/>
      </c>
      <c r="L208" s="219" t="str">
        <f>IFERROR(J208* VLOOKUP($C208,'PORTIFÓLIO'!C:V,10,0),"")</f>
        <v/>
      </c>
      <c r="M208" s="220"/>
      <c r="N208" s="220"/>
      <c r="O208" s="220"/>
      <c r="P208" s="220"/>
      <c r="Q208" s="220"/>
      <c r="R208" s="220"/>
      <c r="S208" s="220"/>
      <c r="T208" s="220"/>
      <c r="U208" s="220"/>
      <c r="V208" s="220"/>
      <c r="W208" s="220"/>
    </row>
    <row r="209" ht="15.75" customHeight="1" outlineLevel="1">
      <c r="A209" s="211"/>
      <c r="B209" s="212"/>
      <c r="C209" s="213"/>
      <c r="D209" s="214" t="str">
        <f>IFERROR(VLOOKUP($C209,'PORTIFÓLIO'!C:V,2,0),"")</f>
        <v/>
      </c>
      <c r="E209" s="211" t="str">
        <f>IFERROR(VLOOKUP($C209,'PORTIFÓLIO'!C:V,3,0),"")</f>
        <v/>
      </c>
      <c r="F209" s="211" t="str">
        <f>IFERROR(VLOOKUP($C209,'PORTIFÓLIO'!C:V,4,0),"")</f>
        <v/>
      </c>
      <c r="G209" s="215" t="str">
        <f>IFERROR(VLOOKUP($C209,'PORTIFÓLIO'!C:V,5,0),"")</f>
        <v/>
      </c>
      <c r="H209" s="254" t="str">
        <f t="array" ref="H209">IFERROR(INDEX('PORTIFÓLIO'!$H$4:$H$433,MATCH($C209,'PORTIFÓLIO'!$C$4:$C$433,0)),"")</f>
        <v/>
      </c>
      <c r="I209" s="256"/>
      <c r="J209" s="218">
        <f t="shared" si="24"/>
        <v>0</v>
      </c>
      <c r="K209" s="219" t="str">
        <f>IFERROR(I209* VLOOKUP($C209,'PORTIFÓLIO'!C:V,10,0),"")</f>
        <v/>
      </c>
      <c r="L209" s="219" t="str">
        <f>IFERROR(J209* VLOOKUP($C209,'PORTIFÓLIO'!C:V,10,0),"")</f>
        <v/>
      </c>
      <c r="M209" s="220"/>
      <c r="N209" s="220"/>
      <c r="O209" s="220"/>
      <c r="P209" s="220"/>
      <c r="Q209" s="220"/>
      <c r="R209" s="220"/>
      <c r="S209" s="220"/>
      <c r="T209" s="220"/>
      <c r="U209" s="220"/>
      <c r="V209" s="220"/>
      <c r="W209" s="220"/>
    </row>
    <row r="210" ht="15.75" customHeight="1" outlineLevel="1">
      <c r="A210" s="211"/>
      <c r="B210" s="212"/>
      <c r="C210" s="213"/>
      <c r="D210" s="214" t="str">
        <f>IFERROR(VLOOKUP($C210,'PORTIFÓLIO'!C:V,2,0),"")</f>
        <v/>
      </c>
      <c r="E210" s="211" t="str">
        <f>IFERROR(VLOOKUP($C210,'PORTIFÓLIO'!C:V,3,0),"")</f>
        <v/>
      </c>
      <c r="F210" s="211" t="str">
        <f>IFERROR(VLOOKUP($C210,'PORTIFÓLIO'!C:V,4,0),"")</f>
        <v/>
      </c>
      <c r="G210" s="215" t="str">
        <f>IFERROR(VLOOKUP($C210,'PORTIFÓLIO'!C:V,5,0),"")</f>
        <v/>
      </c>
      <c r="H210" s="254" t="str">
        <f t="array" ref="H210">IFERROR(INDEX('PORTIFÓLIO'!$H$4:$H$433,MATCH($C210,'PORTIFÓLIO'!$C$4:$C$433,0)),"")</f>
        <v/>
      </c>
      <c r="I210" s="256"/>
      <c r="J210" s="218">
        <f t="shared" si="24"/>
        <v>0</v>
      </c>
      <c r="K210" s="219" t="str">
        <f>IFERROR(I210* VLOOKUP($C210,'PORTIFÓLIO'!C:V,10,0),"")</f>
        <v/>
      </c>
      <c r="L210" s="219" t="str">
        <f>IFERROR(J210* VLOOKUP($C210,'PORTIFÓLIO'!C:V,10,0),"")</f>
        <v/>
      </c>
      <c r="M210" s="220"/>
      <c r="N210" s="220"/>
      <c r="O210" s="220"/>
      <c r="P210" s="220"/>
      <c r="Q210" s="220"/>
      <c r="R210" s="220"/>
      <c r="S210" s="220"/>
      <c r="T210" s="220"/>
      <c r="U210" s="220"/>
      <c r="V210" s="220"/>
      <c r="W210" s="220"/>
    </row>
    <row r="211" ht="15.75" customHeight="1" outlineLevel="1">
      <c r="A211" s="211"/>
      <c r="B211" s="212"/>
      <c r="C211" s="213"/>
      <c r="D211" s="214" t="str">
        <f>IFERROR(VLOOKUP($C211,'PORTIFÓLIO'!C:V,2,0),"")</f>
        <v/>
      </c>
      <c r="E211" s="211" t="str">
        <f>IFERROR(VLOOKUP($C211,'PORTIFÓLIO'!C:V,3,0),"")</f>
        <v/>
      </c>
      <c r="F211" s="211" t="str">
        <f>IFERROR(VLOOKUP($C211,'PORTIFÓLIO'!C:V,4,0),"")</f>
        <v/>
      </c>
      <c r="G211" s="215" t="str">
        <f>IFERROR(VLOOKUP($C211,'PORTIFÓLIO'!C:V,5,0),"")</f>
        <v/>
      </c>
      <c r="H211" s="254" t="str">
        <f t="array" ref="H211">IFERROR(INDEX('PORTIFÓLIO'!$H$4:$H$433,MATCH($C211,'PORTIFÓLIO'!$C$4:$C$433,0)),"")</f>
        <v/>
      </c>
      <c r="I211" s="256"/>
      <c r="J211" s="218">
        <f t="shared" si="24"/>
        <v>0</v>
      </c>
      <c r="K211" s="219" t="str">
        <f>IFERROR(I211* VLOOKUP($C211,'PORTIFÓLIO'!C:V,10,0),"")</f>
        <v/>
      </c>
      <c r="L211" s="219" t="str">
        <f>IFERROR(J211* VLOOKUP($C211,'PORTIFÓLIO'!C:V,10,0),"")</f>
        <v/>
      </c>
      <c r="M211" s="220"/>
      <c r="N211" s="220"/>
      <c r="O211" s="220"/>
      <c r="P211" s="220"/>
      <c r="Q211" s="220"/>
      <c r="R211" s="220"/>
      <c r="S211" s="220"/>
      <c r="T211" s="220"/>
      <c r="U211" s="220"/>
      <c r="V211" s="220"/>
      <c r="W211" s="220"/>
    </row>
    <row r="212" ht="15.75" customHeight="1" outlineLevel="1">
      <c r="A212" s="211"/>
      <c r="B212" s="212"/>
      <c r="C212" s="213"/>
      <c r="D212" s="214" t="str">
        <f>IFERROR(VLOOKUP($C212,'PORTIFÓLIO'!C:V,2,0),"")</f>
        <v/>
      </c>
      <c r="E212" s="211" t="str">
        <f>IFERROR(VLOOKUP($C212,'PORTIFÓLIO'!C:V,3,0),"")</f>
        <v/>
      </c>
      <c r="F212" s="211" t="str">
        <f>IFERROR(VLOOKUP($C212,'PORTIFÓLIO'!C:V,4,0),"")</f>
        <v/>
      </c>
      <c r="G212" s="215" t="str">
        <f>IFERROR(VLOOKUP($C212,'PORTIFÓLIO'!C:V,5,0),"")</f>
        <v/>
      </c>
      <c r="H212" s="254" t="str">
        <f t="array" ref="H212">IFERROR(INDEX('PORTIFÓLIO'!$H$4:$H$433,MATCH($C212,'PORTIFÓLIO'!$C$4:$C$433,0)),"")</f>
        <v/>
      </c>
      <c r="I212" s="256"/>
      <c r="J212" s="218">
        <f t="shared" si="24"/>
        <v>0</v>
      </c>
      <c r="K212" s="219" t="str">
        <f>IFERROR(I212* VLOOKUP($C212,'PORTIFÓLIO'!C:V,10,0),"")</f>
        <v/>
      </c>
      <c r="L212" s="219" t="str">
        <f>IFERROR(J212* VLOOKUP($C212,'PORTIFÓLIO'!C:V,10,0),"")</f>
        <v/>
      </c>
      <c r="M212" s="220"/>
      <c r="N212" s="220"/>
      <c r="O212" s="220"/>
      <c r="P212" s="220"/>
      <c r="Q212" s="220"/>
      <c r="R212" s="220"/>
      <c r="S212" s="220"/>
      <c r="T212" s="220"/>
      <c r="U212" s="220"/>
      <c r="V212" s="220"/>
      <c r="W212" s="220"/>
    </row>
    <row r="213" ht="15.75" customHeight="1" outlineLevel="1">
      <c r="A213" s="211"/>
      <c r="B213" s="212"/>
      <c r="C213" s="213"/>
      <c r="D213" s="214" t="str">
        <f>IFERROR(VLOOKUP($C213,'PORTIFÓLIO'!C:V,2,0),"")</f>
        <v/>
      </c>
      <c r="E213" s="211" t="str">
        <f>IFERROR(VLOOKUP($C213,'PORTIFÓLIO'!C:V,3,0),"")</f>
        <v/>
      </c>
      <c r="F213" s="211" t="str">
        <f>IFERROR(VLOOKUP($C213,'PORTIFÓLIO'!C:V,4,0),"")</f>
        <v/>
      </c>
      <c r="G213" s="215" t="str">
        <f>IFERROR(VLOOKUP($C213,'PORTIFÓLIO'!C:V,5,0),"")</f>
        <v/>
      </c>
      <c r="H213" s="254" t="str">
        <f t="array" ref="H213">IFERROR(INDEX('PORTIFÓLIO'!$H$4:$H$433,MATCH($C213,'PORTIFÓLIO'!$C$4:$C$433,0)),"")</f>
        <v/>
      </c>
      <c r="I213" s="256"/>
      <c r="J213" s="218">
        <f t="shared" si="24"/>
        <v>0</v>
      </c>
      <c r="K213" s="219" t="str">
        <f>IFERROR(I213* VLOOKUP($C213,'PORTIFÓLIO'!C:V,10,0),"")</f>
        <v/>
      </c>
      <c r="L213" s="219" t="str">
        <f>IFERROR(J213* VLOOKUP($C213,'PORTIFÓLIO'!C:V,10,0),"")</f>
        <v/>
      </c>
      <c r="M213" s="220"/>
      <c r="N213" s="220"/>
      <c r="O213" s="220"/>
      <c r="P213" s="220"/>
      <c r="Q213" s="220"/>
      <c r="R213" s="220"/>
      <c r="S213" s="220"/>
      <c r="T213" s="220"/>
      <c r="U213" s="220"/>
      <c r="V213" s="220"/>
      <c r="W213" s="220"/>
    </row>
    <row r="214" ht="15.75" customHeight="1" outlineLevel="1">
      <c r="A214" s="211"/>
      <c r="B214" s="212"/>
      <c r="C214" s="213"/>
      <c r="D214" s="214" t="str">
        <f>IFERROR(VLOOKUP($C214,'PORTIFÓLIO'!C:V,2,0),"")</f>
        <v/>
      </c>
      <c r="E214" s="211" t="str">
        <f>IFERROR(VLOOKUP($C214,'PORTIFÓLIO'!C:V,3,0),"")</f>
        <v/>
      </c>
      <c r="F214" s="211" t="str">
        <f>IFERROR(VLOOKUP($C214,'PORTIFÓLIO'!C:V,4,0),"")</f>
        <v/>
      </c>
      <c r="G214" s="215" t="str">
        <f>IFERROR(VLOOKUP($C214,'PORTIFÓLIO'!C:V,5,0),"")</f>
        <v/>
      </c>
      <c r="H214" s="254" t="str">
        <f t="array" ref="H214">IFERROR(INDEX('PORTIFÓLIO'!$H$4:$H$433,MATCH($C214,'PORTIFÓLIO'!$C$4:$C$433,0)),"")</f>
        <v/>
      </c>
      <c r="I214" s="256"/>
      <c r="J214" s="218">
        <f t="shared" si="24"/>
        <v>0</v>
      </c>
      <c r="K214" s="219" t="str">
        <f>IFERROR(I214* VLOOKUP($C214,'PORTIFÓLIO'!C:V,10,0),"")</f>
        <v/>
      </c>
      <c r="L214" s="219" t="str">
        <f>IFERROR(J214* VLOOKUP($C214,'PORTIFÓLIO'!C:V,10,0),"")</f>
        <v/>
      </c>
      <c r="M214" s="220"/>
      <c r="N214" s="220"/>
      <c r="O214" s="220"/>
      <c r="P214" s="220"/>
      <c r="Q214" s="220"/>
      <c r="R214" s="220"/>
      <c r="S214" s="220"/>
      <c r="T214" s="220"/>
      <c r="U214" s="220"/>
      <c r="V214" s="220"/>
      <c r="W214" s="220"/>
    </row>
    <row r="215" ht="15.75" customHeight="1" outlineLevel="1">
      <c r="A215" s="211"/>
      <c r="B215" s="212"/>
      <c r="C215" s="213"/>
      <c r="D215" s="214" t="str">
        <f>IFERROR(VLOOKUP($C215,'PORTIFÓLIO'!C:V,2,0),"")</f>
        <v/>
      </c>
      <c r="E215" s="211" t="str">
        <f>IFERROR(VLOOKUP($C215,'PORTIFÓLIO'!C:V,3,0),"")</f>
        <v/>
      </c>
      <c r="F215" s="211" t="str">
        <f>IFERROR(VLOOKUP($C215,'PORTIFÓLIO'!C:V,4,0),"")</f>
        <v/>
      </c>
      <c r="G215" s="215" t="str">
        <f>IFERROR(VLOOKUP($C215,'PORTIFÓLIO'!C:V,5,0),"")</f>
        <v/>
      </c>
      <c r="H215" s="254" t="str">
        <f t="array" ref="H215">IFERROR(INDEX('PORTIFÓLIO'!$H$4:$H$433,MATCH($C215,'PORTIFÓLIO'!$C$4:$C$433,0)),"")</f>
        <v/>
      </c>
      <c r="I215" s="256"/>
      <c r="J215" s="218">
        <f t="shared" si="24"/>
        <v>0</v>
      </c>
      <c r="K215" s="219" t="str">
        <f>IFERROR(I215* VLOOKUP($C215,'PORTIFÓLIO'!C:V,10,0),"")</f>
        <v/>
      </c>
      <c r="L215" s="219" t="str">
        <f>IFERROR(J215* VLOOKUP($C215,'PORTIFÓLIO'!C:V,10,0),"")</f>
        <v/>
      </c>
      <c r="M215" s="220"/>
      <c r="N215" s="220"/>
      <c r="O215" s="220"/>
      <c r="P215" s="220"/>
      <c r="Q215" s="220"/>
      <c r="R215" s="220"/>
      <c r="S215" s="220"/>
      <c r="T215" s="220"/>
      <c r="U215" s="220"/>
      <c r="V215" s="220"/>
      <c r="W215" s="220"/>
    </row>
    <row r="216" ht="15.75" customHeight="1" outlineLevel="1">
      <c r="A216" s="211"/>
      <c r="B216" s="227"/>
      <c r="C216" s="211"/>
      <c r="D216" s="214" t="str">
        <f>IFERROR(VLOOKUP($C216,'PORTIFÓLIO'!C:V,2,0),"")</f>
        <v/>
      </c>
      <c r="E216" s="211" t="str">
        <f>IFERROR(VLOOKUP($C216,'PORTIFÓLIO'!C:V,3,0),"")</f>
        <v/>
      </c>
      <c r="F216" s="211" t="str">
        <f>IFERROR(VLOOKUP($C216,'PORTIFÓLIO'!C:V,4,0),"")</f>
        <v/>
      </c>
      <c r="G216" s="215" t="str">
        <f>IFERROR(VLOOKUP($C216,'PORTIFÓLIO'!C:V,5,0),"")</f>
        <v/>
      </c>
      <c r="H216" s="254" t="str">
        <f t="array" ref="H216">IFERROR(INDEX('PORTIFÓLIO'!$H$4:$H$433,MATCH($C216,'PORTIFÓLIO'!$C$4:$C$433,0)),"")</f>
        <v/>
      </c>
      <c r="I216" s="256"/>
      <c r="J216" s="218">
        <f t="shared" si="24"/>
        <v>0</v>
      </c>
      <c r="K216" s="219" t="str">
        <f>IFERROR(I216* VLOOKUP($C216,'PORTIFÓLIO'!C:V,10,0),"")</f>
        <v/>
      </c>
      <c r="L216" s="219" t="str">
        <f>IFERROR(J216* VLOOKUP($C216,'PORTIFÓLIO'!C:V,10,0),"")</f>
        <v/>
      </c>
      <c r="M216" s="220"/>
      <c r="N216" s="220"/>
      <c r="O216" s="220"/>
      <c r="P216" s="220"/>
      <c r="Q216" s="220"/>
      <c r="R216" s="220"/>
      <c r="S216" s="220"/>
      <c r="T216" s="220"/>
      <c r="U216" s="220"/>
      <c r="V216" s="220"/>
      <c r="W216" s="220"/>
    </row>
    <row r="217" ht="15.75" customHeight="1" outlineLevel="1">
      <c r="A217" s="211"/>
      <c r="B217" s="227"/>
      <c r="C217" s="211"/>
      <c r="D217" s="214" t="str">
        <f>IFERROR(VLOOKUP($C217,'PORTIFÓLIO'!C:V,2,0),"")</f>
        <v/>
      </c>
      <c r="E217" s="211" t="str">
        <f>IFERROR(VLOOKUP($C217,'PORTIFÓLIO'!C:V,3,0),"")</f>
        <v/>
      </c>
      <c r="F217" s="211" t="str">
        <f>IFERROR(VLOOKUP($C217,'PORTIFÓLIO'!C:V,4,0),"")</f>
        <v/>
      </c>
      <c r="G217" s="215" t="str">
        <f>IFERROR(VLOOKUP($C217,'PORTIFÓLIO'!C:V,5,0),"")</f>
        <v/>
      </c>
      <c r="H217" s="254" t="str">
        <f t="array" ref="H217">IFERROR(INDEX('PORTIFÓLIO'!$H$4:$H$433,MATCH($C217,'PORTIFÓLIO'!$C$4:$C$433,0)),"")</f>
        <v/>
      </c>
      <c r="I217" s="256"/>
      <c r="J217" s="218">
        <f t="shared" si="24"/>
        <v>0</v>
      </c>
      <c r="K217" s="219" t="str">
        <f>IFERROR(I217* VLOOKUP($C217,'PORTIFÓLIO'!C:V,10,0),"")</f>
        <v/>
      </c>
      <c r="L217" s="219" t="str">
        <f>IFERROR(J217* VLOOKUP($C217,'PORTIFÓLIO'!C:V,10,0),"")</f>
        <v/>
      </c>
      <c r="M217" s="220"/>
      <c r="N217" s="220"/>
      <c r="O217" s="220"/>
      <c r="P217" s="220"/>
      <c r="Q217" s="220"/>
      <c r="R217" s="220"/>
      <c r="S217" s="220"/>
      <c r="T217" s="220"/>
      <c r="U217" s="220"/>
      <c r="V217" s="220"/>
      <c r="W217" s="220"/>
    </row>
    <row r="218" ht="15.75" customHeight="1" outlineLevel="1">
      <c r="A218" s="211"/>
      <c r="B218" s="227"/>
      <c r="C218" s="211"/>
      <c r="D218" s="214" t="str">
        <f>IFERROR(VLOOKUP($C218,'PORTIFÓLIO'!C:V,2,0),"")</f>
        <v/>
      </c>
      <c r="E218" s="211" t="str">
        <f>IFERROR(VLOOKUP($C218,'PORTIFÓLIO'!C:V,3,0),"")</f>
        <v/>
      </c>
      <c r="F218" s="211" t="str">
        <f>IFERROR(VLOOKUP($C218,'PORTIFÓLIO'!C:V,4,0),"")</f>
        <v/>
      </c>
      <c r="G218" s="215" t="str">
        <f>IFERROR(VLOOKUP($C218,'PORTIFÓLIO'!C:V,5,0),"")</f>
        <v/>
      </c>
      <c r="H218" s="254" t="str">
        <f t="array" ref="H218">IFERROR(INDEX('PORTIFÓLIO'!$H$4:$H$433,MATCH($C218,'PORTIFÓLIO'!$C$4:$C$433,0)),"")</f>
        <v/>
      </c>
      <c r="I218" s="256"/>
      <c r="J218" s="218">
        <f t="shared" si="24"/>
        <v>0</v>
      </c>
      <c r="K218" s="219" t="str">
        <f>IFERROR(I218* VLOOKUP($C218,'PORTIFÓLIO'!C:V,10,0),"")</f>
        <v/>
      </c>
      <c r="L218" s="219" t="str">
        <f>IFERROR(J218* VLOOKUP($C218,'PORTIFÓLIO'!C:V,10,0),"")</f>
        <v/>
      </c>
      <c r="M218" s="220"/>
      <c r="N218" s="220"/>
      <c r="O218" s="220"/>
      <c r="P218" s="220"/>
      <c r="Q218" s="220"/>
      <c r="R218" s="220"/>
      <c r="S218" s="220"/>
      <c r="T218" s="220"/>
      <c r="U218" s="220"/>
      <c r="V218" s="220"/>
      <c r="W218" s="220"/>
    </row>
    <row r="219" ht="15.75" customHeight="1" outlineLevel="1">
      <c r="A219" s="211"/>
      <c r="B219" s="227"/>
      <c r="C219" s="211"/>
      <c r="D219" s="214" t="str">
        <f>IFERROR(VLOOKUP($C219,'PORTIFÓLIO'!C:V,2,0),"")</f>
        <v/>
      </c>
      <c r="E219" s="211" t="str">
        <f>IFERROR(VLOOKUP($C219,'PORTIFÓLIO'!C:V,3,0),"")</f>
        <v/>
      </c>
      <c r="F219" s="211" t="str">
        <f>IFERROR(VLOOKUP($C219,'PORTIFÓLIO'!C:V,4,0),"")</f>
        <v/>
      </c>
      <c r="G219" s="215" t="str">
        <f>IFERROR(VLOOKUP($C219,'PORTIFÓLIO'!C:V,5,0),"")</f>
        <v/>
      </c>
      <c r="H219" s="254" t="str">
        <f t="array" ref="H219">IFERROR(INDEX('PORTIFÓLIO'!$H$4:$H$433,MATCH($C219,'PORTIFÓLIO'!$C$4:$C$433,0)),"")</f>
        <v/>
      </c>
      <c r="I219" s="256"/>
      <c r="J219" s="218">
        <f t="shared" si="24"/>
        <v>0</v>
      </c>
      <c r="K219" s="219" t="str">
        <f>IFERROR(I219* VLOOKUP($C219,'PORTIFÓLIO'!C:V,10,0),"")</f>
        <v/>
      </c>
      <c r="L219" s="219" t="str">
        <f>IFERROR(J219* VLOOKUP($C219,'PORTIFÓLIO'!C:V,10,0),"")</f>
        <v/>
      </c>
      <c r="M219" s="220"/>
      <c r="N219" s="220"/>
      <c r="O219" s="220"/>
      <c r="P219" s="220"/>
      <c r="Q219" s="220"/>
      <c r="R219" s="220"/>
      <c r="S219" s="220"/>
      <c r="T219" s="220"/>
      <c r="U219" s="220"/>
      <c r="V219" s="220"/>
      <c r="W219" s="220"/>
    </row>
    <row r="220" ht="15.75" customHeight="1" outlineLevel="1">
      <c r="A220" s="211"/>
      <c r="B220" s="227"/>
      <c r="C220" s="211"/>
      <c r="D220" s="214" t="str">
        <f>IFERROR(VLOOKUP($C220,'PORTIFÓLIO'!C:V,2,0),"")</f>
        <v/>
      </c>
      <c r="E220" s="211" t="str">
        <f>IFERROR(VLOOKUP($C220,'PORTIFÓLIO'!C:V,3,0),"")</f>
        <v/>
      </c>
      <c r="F220" s="211" t="str">
        <f>IFERROR(VLOOKUP($C220,'PORTIFÓLIO'!C:V,4,0),"")</f>
        <v/>
      </c>
      <c r="G220" s="215" t="str">
        <f>IFERROR(VLOOKUP($C220,'PORTIFÓLIO'!C:V,5,0),"")</f>
        <v/>
      </c>
      <c r="H220" s="254" t="str">
        <f t="array" ref="H220">IFERROR(INDEX('PORTIFÓLIO'!$H$4:$H$433,MATCH($C220,'PORTIFÓLIO'!$C$4:$C$433,0)),"")</f>
        <v/>
      </c>
      <c r="I220" s="256"/>
      <c r="J220" s="218">
        <f t="shared" si="24"/>
        <v>0</v>
      </c>
      <c r="K220" s="219" t="str">
        <f>IFERROR(I220* VLOOKUP($C220,'PORTIFÓLIO'!C:V,10,0),"")</f>
        <v/>
      </c>
      <c r="L220" s="219" t="str">
        <f>IFERROR(J220* VLOOKUP($C220,'PORTIFÓLIO'!C:V,10,0),"")</f>
        <v/>
      </c>
      <c r="M220" s="220"/>
      <c r="N220" s="220"/>
      <c r="O220" s="220"/>
      <c r="P220" s="220"/>
      <c r="Q220" s="220"/>
      <c r="R220" s="220"/>
      <c r="S220" s="220"/>
      <c r="T220" s="220"/>
      <c r="U220" s="220"/>
      <c r="V220" s="220"/>
      <c r="W220" s="220"/>
    </row>
    <row r="221" ht="15.75" customHeight="1" outlineLevel="1">
      <c r="A221" s="211"/>
      <c r="B221" s="227"/>
      <c r="C221" s="211"/>
      <c r="D221" s="214" t="str">
        <f>IFERROR(VLOOKUP($C221,'PORTIFÓLIO'!C:V,2,0),"")</f>
        <v/>
      </c>
      <c r="E221" s="211" t="str">
        <f>IFERROR(VLOOKUP($C221,'PORTIFÓLIO'!C:V,3,0),"")</f>
        <v/>
      </c>
      <c r="F221" s="211" t="str">
        <f>IFERROR(VLOOKUP($C221,'PORTIFÓLIO'!C:V,4,0),"")</f>
        <v/>
      </c>
      <c r="G221" s="215" t="str">
        <f>IFERROR(VLOOKUP($C221,'PORTIFÓLIO'!C:V,5,0),"")</f>
        <v/>
      </c>
      <c r="H221" s="254" t="str">
        <f t="array" ref="H221">IFERROR(INDEX('PORTIFÓLIO'!$H$4:$H$433,MATCH($C221,'PORTIFÓLIO'!$C$4:$C$433,0)),"")</f>
        <v/>
      </c>
      <c r="I221" s="256"/>
      <c r="J221" s="218">
        <f t="shared" si="24"/>
        <v>0</v>
      </c>
      <c r="K221" s="219" t="str">
        <f>IFERROR(I221* VLOOKUP($C221,'PORTIFÓLIO'!C:V,10,0),"")</f>
        <v/>
      </c>
      <c r="L221" s="219" t="str">
        <f>IFERROR(J221* VLOOKUP($C221,'PORTIFÓLIO'!C:V,10,0),"")</f>
        <v/>
      </c>
      <c r="M221" s="220"/>
      <c r="N221" s="220"/>
      <c r="O221" s="220"/>
      <c r="P221" s="220"/>
      <c r="Q221" s="220"/>
      <c r="R221" s="220"/>
      <c r="S221" s="220"/>
      <c r="T221" s="220"/>
      <c r="U221" s="220"/>
      <c r="V221" s="220"/>
      <c r="W221" s="220"/>
    </row>
    <row r="222" ht="15.75" customHeight="1" outlineLevel="1">
      <c r="A222" s="211"/>
      <c r="B222" s="227"/>
      <c r="C222" s="211"/>
      <c r="D222" s="214" t="str">
        <f>IFERROR(VLOOKUP($C222,'PORTIFÓLIO'!C:V,2,0),"")</f>
        <v/>
      </c>
      <c r="E222" s="211" t="str">
        <f>IFERROR(VLOOKUP($C222,'PORTIFÓLIO'!C:V,3,0),"")</f>
        <v/>
      </c>
      <c r="F222" s="211" t="str">
        <f>IFERROR(VLOOKUP($C222,'PORTIFÓLIO'!C:V,4,0),"")</f>
        <v/>
      </c>
      <c r="G222" s="215" t="str">
        <f>IFERROR(VLOOKUP($C222,'PORTIFÓLIO'!C:V,5,0),"")</f>
        <v/>
      </c>
      <c r="H222" s="254" t="str">
        <f t="array" ref="H222">IFERROR(INDEX('PORTIFÓLIO'!$H$4:$H$433,MATCH($C222,'PORTIFÓLIO'!$C$4:$C$433,0)),"")</f>
        <v/>
      </c>
      <c r="I222" s="256"/>
      <c r="J222" s="218">
        <f t="shared" si="24"/>
        <v>0</v>
      </c>
      <c r="K222" s="219" t="str">
        <f>IFERROR(I222* VLOOKUP($C222,'PORTIFÓLIO'!C:V,10,0),"")</f>
        <v/>
      </c>
      <c r="L222" s="219" t="str">
        <f>IFERROR(J222* VLOOKUP($C222,'PORTIFÓLIO'!C:V,10,0),"")</f>
        <v/>
      </c>
      <c r="M222" s="220"/>
      <c r="N222" s="220"/>
      <c r="O222" s="220"/>
      <c r="P222" s="220"/>
      <c r="Q222" s="220"/>
      <c r="R222" s="220"/>
      <c r="S222" s="220"/>
      <c r="T222" s="220"/>
      <c r="U222" s="220"/>
      <c r="V222" s="220"/>
      <c r="W222" s="220"/>
    </row>
    <row r="223" ht="15.75" customHeight="1" outlineLevel="1">
      <c r="A223" s="211"/>
      <c r="B223" s="227"/>
      <c r="C223" s="211"/>
      <c r="D223" s="214" t="str">
        <f>IFERROR(VLOOKUP($C223,'PORTIFÓLIO'!C:V,2,0),"")</f>
        <v/>
      </c>
      <c r="E223" s="211" t="str">
        <f>IFERROR(VLOOKUP($C223,'PORTIFÓLIO'!C:V,3,0),"")</f>
        <v/>
      </c>
      <c r="F223" s="211" t="str">
        <f>IFERROR(VLOOKUP($C223,'PORTIFÓLIO'!C:V,4,0),"")</f>
        <v/>
      </c>
      <c r="G223" s="215" t="str">
        <f>IFERROR(VLOOKUP($C223,'PORTIFÓLIO'!C:V,5,0),"")</f>
        <v/>
      </c>
      <c r="H223" s="254" t="str">
        <f t="array" ref="H223">IFERROR(INDEX('PORTIFÓLIO'!$H$4:$H$433,MATCH($C223,'PORTIFÓLIO'!$C$4:$C$433,0)),"")</f>
        <v/>
      </c>
      <c r="I223" s="256"/>
      <c r="J223" s="218">
        <f t="shared" si="24"/>
        <v>0</v>
      </c>
      <c r="K223" s="219" t="str">
        <f>IFERROR(I223* VLOOKUP($C223,'PORTIFÓLIO'!C:V,10,0),"")</f>
        <v/>
      </c>
      <c r="L223" s="219" t="str">
        <f>IFERROR(J223* VLOOKUP($C223,'PORTIFÓLIO'!C:V,10,0),"")</f>
        <v/>
      </c>
      <c r="M223" s="220"/>
      <c r="N223" s="220"/>
      <c r="O223" s="220"/>
      <c r="P223" s="220"/>
      <c r="Q223" s="220"/>
      <c r="R223" s="220"/>
      <c r="S223" s="220"/>
      <c r="T223" s="220"/>
      <c r="U223" s="220"/>
      <c r="V223" s="220"/>
      <c r="W223" s="220"/>
    </row>
    <row r="224" ht="15.75" customHeight="1" outlineLevel="1">
      <c r="A224" s="211"/>
      <c r="B224" s="227"/>
      <c r="C224" s="211"/>
      <c r="D224" s="214" t="str">
        <f>IFERROR(VLOOKUP($C224,'PORTIFÓLIO'!C:V,2,0),"")</f>
        <v/>
      </c>
      <c r="E224" s="211" t="str">
        <f>IFERROR(VLOOKUP($C224,'PORTIFÓLIO'!C:V,3,0),"")</f>
        <v/>
      </c>
      <c r="F224" s="211" t="str">
        <f>IFERROR(VLOOKUP($C224,'PORTIFÓLIO'!C:V,4,0),"")</f>
        <v/>
      </c>
      <c r="G224" s="215" t="str">
        <f>IFERROR(VLOOKUP($C224,'PORTIFÓLIO'!C:V,5,0),"")</f>
        <v/>
      </c>
      <c r="H224" s="254" t="str">
        <f t="array" ref="H224">IFERROR(INDEX('PORTIFÓLIO'!$H$4:$H$433,MATCH($C224,'PORTIFÓLIO'!$C$4:$C$433,0)),"")</f>
        <v/>
      </c>
      <c r="I224" s="256"/>
      <c r="J224" s="218">
        <f t="shared" si="24"/>
        <v>0</v>
      </c>
      <c r="K224" s="219" t="str">
        <f>IFERROR(I224* VLOOKUP($C224,'PORTIFÓLIO'!C:V,10,0),"")</f>
        <v/>
      </c>
      <c r="L224" s="219" t="str">
        <f>IFERROR(J224* VLOOKUP($C224,'PORTIFÓLIO'!C:V,10,0),"")</f>
        <v/>
      </c>
      <c r="M224" s="220"/>
      <c r="N224" s="220"/>
      <c r="O224" s="220"/>
      <c r="P224" s="220"/>
      <c r="Q224" s="220"/>
      <c r="R224" s="220"/>
      <c r="S224" s="220"/>
      <c r="T224" s="220"/>
      <c r="U224" s="220"/>
      <c r="V224" s="220"/>
      <c r="W224" s="220"/>
    </row>
    <row r="225" ht="15.75" customHeight="1">
      <c r="A225" s="227"/>
      <c r="B225" s="227"/>
      <c r="C225" s="227"/>
      <c r="D225" s="227"/>
      <c r="E225" s="227"/>
      <c r="F225" s="227"/>
      <c r="G225" s="215"/>
      <c r="H225" s="278" t="str">
        <f t="array" ref="H225">IFERROR(INDEX('PORTIFÓLIO'!$H$4:$H$433,MATCH($C225,'PORTIFÓLIO'!$C$4:$C$433,0)),"")</f>
        <v/>
      </c>
      <c r="I225" s="227"/>
      <c r="J225" s="227"/>
      <c r="K225" s="284">
        <f t="shared" ref="K225:L225" si="25">SUBTOTAL(9,K10:K200)</f>
        <v>1741.443405</v>
      </c>
      <c r="L225" s="284">
        <f t="shared" si="25"/>
        <v>139315.4724</v>
      </c>
      <c r="M225" s="220"/>
      <c r="N225" s="220"/>
      <c r="O225" s="220"/>
      <c r="P225" s="220"/>
      <c r="Q225" s="220"/>
      <c r="R225" s="220"/>
      <c r="S225" s="220"/>
      <c r="T225" s="220"/>
      <c r="U225" s="220"/>
      <c r="V225" s="220"/>
      <c r="W225" s="220"/>
    </row>
    <row r="226" ht="15.75" customHeight="1">
      <c r="A226" s="285"/>
      <c r="B226" s="285"/>
      <c r="C226" s="285"/>
      <c r="D226" s="285"/>
      <c r="E226" s="285"/>
      <c r="F226" s="285"/>
      <c r="G226" s="286"/>
      <c r="H226" s="286"/>
      <c r="I226" s="285"/>
      <c r="J226" s="285"/>
      <c r="K226" s="285"/>
      <c r="L226" s="285"/>
      <c r="M226" s="285"/>
      <c r="N226" s="285"/>
      <c r="O226" s="285"/>
      <c r="P226" s="285"/>
      <c r="Q226" s="285"/>
      <c r="R226" s="285"/>
      <c r="S226" s="285"/>
      <c r="T226" s="285"/>
      <c r="U226" s="285"/>
      <c r="V226" s="285"/>
      <c r="W226" s="285"/>
    </row>
    <row r="227" ht="15.75" customHeight="1">
      <c r="A227" s="260" t="s">
        <v>1203</v>
      </c>
      <c r="B227" s="261" t="str">
        <f>'ÁREA PLANTIO'!B14</f>
        <v>P 02</v>
      </c>
      <c r="C227" s="262" t="s">
        <v>1166</v>
      </c>
      <c r="D227" s="263">
        <f>$K$452</f>
        <v>0</v>
      </c>
      <c r="E227" s="264"/>
      <c r="F227" s="265" t="s">
        <v>1167</v>
      </c>
      <c r="G227" s="266"/>
      <c r="H227" s="287" t="str">
        <f t="array" ref="H227">IFERROR(INDEX('PORTIFÓLIO'!$H$4:$H$433,MATCH($C227,'PORTIFÓLIO'!$C$4:$C$433,0)),"")</f>
        <v/>
      </c>
      <c r="I227" s="267"/>
      <c r="J227" s="267"/>
      <c r="K227" s="266"/>
      <c r="L227" s="220"/>
      <c r="M227" s="220"/>
      <c r="N227" s="220"/>
      <c r="O227" s="220"/>
      <c r="P227" s="220"/>
      <c r="Q227" s="220"/>
      <c r="R227" s="220"/>
      <c r="S227" s="220"/>
      <c r="T227" s="220"/>
      <c r="U227" s="220"/>
      <c r="V227" s="220"/>
      <c r="W227" s="220"/>
    </row>
    <row r="228" ht="15.75" customHeight="1">
      <c r="A228" s="260" t="s">
        <v>1168</v>
      </c>
      <c r="B228" s="268">
        <f>'ÁREA PLANTIO'!E14</f>
        <v>80</v>
      </c>
      <c r="C228" s="269" t="s">
        <v>1169</v>
      </c>
      <c r="D228" s="270" t="str">
        <f>'ÁREA PLANTIO'!I14</f>
        <v/>
      </c>
      <c r="E228" s="264"/>
      <c r="F228" s="264"/>
      <c r="G228" s="266"/>
      <c r="H228" s="287" t="str">
        <f t="array" ref="H228">IFERROR(INDEX('PORTIFÓLIO'!$H$4:$H$433,MATCH($C228,'PORTIFÓLIO'!$C$4:$C$433,0)),"")</f>
        <v/>
      </c>
      <c r="I228" s="267"/>
      <c r="J228" s="267"/>
      <c r="K228" s="266"/>
      <c r="L228" s="220"/>
      <c r="M228" s="220"/>
      <c r="N228" s="220"/>
      <c r="O228" s="220"/>
      <c r="P228" s="220"/>
      <c r="Q228" s="220"/>
      <c r="R228" s="220"/>
      <c r="S228" s="220"/>
      <c r="T228" s="220"/>
      <c r="U228" s="220"/>
      <c r="V228" s="220"/>
      <c r="W228" s="220"/>
    </row>
    <row r="229" ht="15.75" customHeight="1">
      <c r="A229" s="260" t="s">
        <v>1170</v>
      </c>
      <c r="B229" s="267" t="str">
        <f>'ÁREA PLANTIO'!H14</f>
        <v/>
      </c>
      <c r="C229" s="269" t="s">
        <v>1171</v>
      </c>
      <c r="D229" s="271" t="str">
        <f>D227/D228</f>
        <v>#DIV/0!</v>
      </c>
      <c r="E229" s="264"/>
      <c r="F229" s="264"/>
      <c r="G229" s="266"/>
      <c r="H229" s="287" t="str">
        <f t="array" ref="H229">IFERROR(INDEX('PORTIFÓLIO'!$H$4:$H$433,MATCH($C229,'PORTIFÓLIO'!$C$4:$C$433,0)),"")</f>
        <v/>
      </c>
      <c r="I229" s="267"/>
      <c r="J229" s="267"/>
      <c r="K229" s="266"/>
      <c r="L229" s="220"/>
      <c r="M229" s="220"/>
      <c r="N229" s="220"/>
      <c r="O229" s="220"/>
      <c r="P229" s="220"/>
      <c r="Q229" s="220"/>
      <c r="R229" s="220"/>
      <c r="S229" s="220"/>
      <c r="T229" s="220"/>
      <c r="U229" s="220"/>
      <c r="V229" s="220"/>
      <c r="W229" s="220"/>
    </row>
    <row r="230" ht="15.75" customHeight="1">
      <c r="A230" s="272" t="s">
        <v>1172</v>
      </c>
      <c r="B230" s="273">
        <v>45606.0</v>
      </c>
      <c r="C230" s="274"/>
      <c r="D230" s="275"/>
      <c r="E230" s="276"/>
      <c r="F230" s="264"/>
      <c r="G230" s="266"/>
      <c r="H230" s="287" t="str">
        <f t="array" ref="H230">IFERROR(INDEX('PORTIFÓLIO'!$H$4:$H$433,MATCH($C230,'PORTIFÓLIO'!$C$4:$C$433,0)),"")</f>
        <v/>
      </c>
      <c r="I230" s="267"/>
      <c r="J230" s="267"/>
      <c r="K230" s="266"/>
      <c r="L230" s="220"/>
      <c r="M230" s="220"/>
      <c r="N230" s="220"/>
      <c r="O230" s="220"/>
      <c r="P230" s="220"/>
      <c r="Q230" s="220"/>
      <c r="R230" s="220"/>
      <c r="S230" s="220"/>
      <c r="T230" s="220"/>
      <c r="U230" s="220"/>
      <c r="V230" s="220"/>
      <c r="W230" s="220"/>
    </row>
    <row r="231" ht="15.75" customHeight="1">
      <c r="E231" s="277"/>
      <c r="F231" s="264"/>
      <c r="G231" s="266"/>
      <c r="H231" s="287" t="str">
        <f t="array" ref="H231">IFERROR(INDEX('PORTIFÓLIO'!$H$4:$H$433,MATCH($C231,'PORTIFÓLIO'!$C$4:$C$433,0)),"")</f>
        <v/>
      </c>
      <c r="I231" s="267"/>
      <c r="J231" s="267"/>
      <c r="K231" s="266"/>
      <c r="L231" s="220"/>
      <c r="M231" s="220"/>
      <c r="N231" s="220"/>
      <c r="O231" s="220"/>
      <c r="P231" s="220"/>
      <c r="Q231" s="220"/>
      <c r="R231" s="220"/>
      <c r="S231" s="220"/>
      <c r="T231" s="220"/>
      <c r="U231" s="220"/>
      <c r="V231" s="220"/>
      <c r="W231" s="220"/>
    </row>
    <row r="232" ht="15.75" customHeight="1">
      <c r="A232" s="260"/>
      <c r="B232" s="267"/>
      <c r="C232" s="264"/>
      <c r="D232" s="264"/>
      <c r="E232" s="264"/>
      <c r="F232" s="264"/>
      <c r="G232" s="266"/>
      <c r="H232" s="287" t="str">
        <f t="array" ref="H232">IFERROR(INDEX('PORTIFÓLIO'!$H$4:$H$433,MATCH($C232,'PORTIFÓLIO'!$C$4:$C$433,0)),"")</f>
        <v/>
      </c>
      <c r="I232" s="267"/>
      <c r="J232" s="267"/>
      <c r="K232" s="266"/>
      <c r="L232" s="220"/>
      <c r="M232" s="220"/>
      <c r="N232" s="220"/>
      <c r="O232" s="220"/>
      <c r="P232" s="220"/>
      <c r="Q232" s="220"/>
      <c r="R232" s="220"/>
      <c r="S232" s="220"/>
      <c r="T232" s="220"/>
      <c r="U232" s="220"/>
      <c r="V232" s="220"/>
      <c r="W232" s="220"/>
    </row>
    <row r="233" ht="15.75" customHeight="1">
      <c r="A233" s="267"/>
      <c r="B233" s="267"/>
      <c r="C233" s="264"/>
      <c r="D233" s="264"/>
      <c r="E233" s="264"/>
      <c r="F233" s="264"/>
      <c r="G233" s="266"/>
      <c r="H233" s="287" t="str">
        <f t="array" ref="H233">IFERROR(INDEX('PORTIFÓLIO'!$H$4:$H$433,MATCH($C233,'PORTIFÓLIO'!$C$4:$C$433,0)),"")</f>
        <v/>
      </c>
      <c r="I233" s="267"/>
      <c r="J233" s="267"/>
      <c r="K233" s="266"/>
      <c r="L233" s="220"/>
      <c r="M233" s="220"/>
      <c r="N233" s="220"/>
      <c r="O233" s="220"/>
      <c r="P233" s="220"/>
      <c r="Q233" s="220"/>
      <c r="R233" s="220"/>
      <c r="S233" s="220"/>
      <c r="T233" s="220"/>
      <c r="U233" s="220"/>
      <c r="V233" s="220"/>
      <c r="W233" s="220"/>
    </row>
    <row r="234" ht="15.75" customHeight="1">
      <c r="A234" s="267"/>
      <c r="B234" s="267"/>
      <c r="C234" s="267"/>
      <c r="D234" s="267"/>
      <c r="E234" s="264"/>
      <c r="F234" s="264"/>
      <c r="G234" s="266"/>
      <c r="H234" s="287" t="str">
        <f t="array" ref="H234">IFERROR(INDEX('PORTIFÓLIO'!$H$4:$H$433,MATCH($C234,'PORTIFÓLIO'!$C$4:$C$433,0)),"")</f>
        <v/>
      </c>
      <c r="I234" s="267"/>
      <c r="J234" s="267"/>
      <c r="K234" s="266"/>
      <c r="L234" s="220"/>
      <c r="M234" s="220"/>
      <c r="N234" s="220"/>
      <c r="O234" s="220"/>
      <c r="P234" s="220"/>
      <c r="Q234" s="220"/>
      <c r="R234" s="220"/>
      <c r="S234" s="220"/>
      <c r="T234" s="220"/>
      <c r="U234" s="220"/>
      <c r="V234" s="220"/>
      <c r="W234" s="220"/>
    </row>
    <row r="235" ht="15.75" customHeight="1">
      <c r="A235" s="267"/>
      <c r="B235" s="267"/>
      <c r="C235" s="267"/>
      <c r="D235" s="267"/>
      <c r="E235" s="267"/>
      <c r="F235" s="267"/>
      <c r="G235" s="266"/>
      <c r="H235" s="287"/>
      <c r="I235" s="287"/>
      <c r="J235" s="288"/>
      <c r="K235" s="289"/>
      <c r="L235" s="290"/>
      <c r="M235" s="220"/>
      <c r="N235" s="220"/>
      <c r="O235" s="220"/>
      <c r="P235" s="220"/>
      <c r="Q235" s="220"/>
      <c r="R235" s="220"/>
      <c r="S235" s="220"/>
      <c r="T235" s="220"/>
      <c r="U235" s="220"/>
      <c r="V235" s="220"/>
      <c r="W235" s="220"/>
    </row>
    <row r="236" ht="15.75" customHeight="1">
      <c r="A236" s="211" t="s">
        <v>1173</v>
      </c>
      <c r="B236" s="213" t="s">
        <v>1174</v>
      </c>
      <c r="C236" s="213" t="s">
        <v>1175</v>
      </c>
      <c r="D236" s="211" t="s">
        <v>1176</v>
      </c>
      <c r="E236" s="211" t="s">
        <v>1177</v>
      </c>
      <c r="F236" s="211" t="s">
        <v>1178</v>
      </c>
      <c r="G236" s="291" t="s">
        <v>1180</v>
      </c>
      <c r="H236" s="278" t="s">
        <v>1179</v>
      </c>
      <c r="I236" s="278" t="s">
        <v>1181</v>
      </c>
      <c r="J236" s="279" t="s">
        <v>1134</v>
      </c>
      <c r="K236" s="280" t="s">
        <v>1182</v>
      </c>
      <c r="L236" s="281" t="s">
        <v>339</v>
      </c>
      <c r="M236" s="220"/>
      <c r="N236" s="220"/>
      <c r="O236" s="220"/>
      <c r="P236" s="220"/>
      <c r="Q236" s="220"/>
      <c r="R236" s="220"/>
      <c r="S236" s="220"/>
      <c r="T236" s="220"/>
      <c r="U236" s="220"/>
      <c r="V236" s="220"/>
      <c r="W236" s="220"/>
    </row>
    <row r="237" ht="15.75" customHeight="1">
      <c r="A237" s="231" t="s">
        <v>1183</v>
      </c>
      <c r="B237" s="230"/>
      <c r="C237" s="231"/>
      <c r="D237" s="232"/>
      <c r="E237" s="231"/>
      <c r="F237" s="231"/>
      <c r="G237" s="233"/>
      <c r="H237" s="233"/>
      <c r="I237" s="258"/>
      <c r="J237" s="236"/>
      <c r="K237" s="237">
        <f t="shared" ref="K237:L237" si="26">SUBTOTAL(9,K238:K251)</f>
        <v>0</v>
      </c>
      <c r="L237" s="237">
        <f t="shared" si="26"/>
        <v>0</v>
      </c>
      <c r="M237" s="220"/>
      <c r="N237" s="220"/>
      <c r="O237" s="220"/>
      <c r="P237" s="220"/>
      <c r="Q237" s="220"/>
      <c r="R237" s="220"/>
      <c r="S237" s="220"/>
      <c r="T237" s="220"/>
      <c r="U237" s="220"/>
      <c r="V237" s="220"/>
      <c r="W237" s="220"/>
    </row>
    <row r="238" ht="15.75" customHeight="1" outlineLevel="1">
      <c r="A238" s="211"/>
      <c r="B238" s="212"/>
      <c r="C238" s="213"/>
      <c r="D238" s="214" t="str">
        <f>IFERROR(VLOOKUP($C238,'PORTIFÓLIO'!C:V,2,0),"")</f>
        <v/>
      </c>
      <c r="E238" s="211" t="str">
        <f>IFERROR(VLOOKUP($C238,'PORTIFÓLIO'!C:V,3,0),"")</f>
        <v/>
      </c>
      <c r="F238" s="211" t="str">
        <f>IFERROR(VLOOKUP($C238,'PORTIFÓLIO'!C:V,4,0),"")</f>
        <v/>
      </c>
      <c r="G238" s="215" t="str">
        <f>IFERROR(VLOOKUP($C238,'PORTIFÓLIO'!C:V,5,0),"")</f>
        <v/>
      </c>
      <c r="H238" s="254" t="str">
        <f t="array" ref="H238">IFERROR(INDEX('PORTIFÓLIO'!$H$4:$H$433,MATCH($C238,'PORTIFÓLIO'!$C$4:$C$433,0)),"")</f>
        <v/>
      </c>
      <c r="I238" s="255"/>
      <c r="J238" s="218">
        <f t="shared" ref="J238:J251" si="27">I238*$B$2</f>
        <v>0</v>
      </c>
      <c r="K238" s="219" t="str">
        <f t="array" ref="K238">IFERROR(I238*INDEX('PORTIFÓLIO'!$S$4:$S$433,MATCH($C238,'PORTIFÓLIO'!$C$4:$C$433,0)),"")</f>
        <v/>
      </c>
      <c r="L238" s="219" t="str">
        <f t="array" ref="L238">IFERROR(J238*INDEX('PORTIFÓLIO'!$S$4:$S$433,MATCH($C238,'PORTIFÓLIO'!$C$4:$C$433,0)),"")</f>
        <v/>
      </c>
      <c r="M238" s="220"/>
      <c r="N238" s="220"/>
      <c r="O238" s="220"/>
      <c r="P238" s="220"/>
      <c r="Q238" s="220"/>
      <c r="R238" s="220"/>
      <c r="S238" s="220"/>
      <c r="T238" s="220"/>
      <c r="U238" s="220"/>
      <c r="V238" s="220"/>
      <c r="W238" s="220"/>
    </row>
    <row r="239" ht="15.75" customHeight="1" outlineLevel="1">
      <c r="A239" s="211"/>
      <c r="B239" s="212"/>
      <c r="C239" s="213"/>
      <c r="D239" s="214" t="str">
        <f>IFERROR(VLOOKUP($C239,'PORTIFÓLIO'!C:V,2,0),"")</f>
        <v/>
      </c>
      <c r="E239" s="211" t="str">
        <f>IFERROR(VLOOKUP($C239,'PORTIFÓLIO'!C:V,3,0),"")</f>
        <v/>
      </c>
      <c r="F239" s="211" t="str">
        <f>IFERROR(VLOOKUP($C239,'PORTIFÓLIO'!C:V,4,0),"")</f>
        <v/>
      </c>
      <c r="G239" s="215" t="str">
        <f>IFERROR(VLOOKUP($C239,'PORTIFÓLIO'!C:V,5,0),"")</f>
        <v/>
      </c>
      <c r="H239" s="254" t="str">
        <f t="array" ref="H239">IFERROR(INDEX('PORTIFÓLIO'!$H$4:$H$433,MATCH($C239,'PORTIFÓLIO'!$C$4:$C$433,0)),"")</f>
        <v/>
      </c>
      <c r="I239" s="255"/>
      <c r="J239" s="218">
        <f t="shared" si="27"/>
        <v>0</v>
      </c>
      <c r="K239" s="219" t="str">
        <f t="array" ref="K239">IFERROR(I239*INDEX('PORTIFÓLIO'!$S$4:$S$433,MATCH($C239,'PORTIFÓLIO'!$C$4:$C$433,0)),"")</f>
        <v/>
      </c>
      <c r="L239" s="219" t="str">
        <f t="array" ref="L239">IFERROR(J239*INDEX('PORTIFÓLIO'!$S$4:$S$433,MATCH($C239,'PORTIFÓLIO'!$C$4:$C$433,0)),"")</f>
        <v/>
      </c>
      <c r="M239" s="220"/>
      <c r="N239" s="220"/>
      <c r="O239" s="220"/>
      <c r="P239" s="220"/>
      <c r="Q239" s="220"/>
      <c r="R239" s="220"/>
      <c r="S239" s="220"/>
      <c r="T239" s="220"/>
      <c r="U239" s="220"/>
      <c r="V239" s="220"/>
      <c r="W239" s="220"/>
    </row>
    <row r="240" ht="15.75" customHeight="1" outlineLevel="1">
      <c r="A240" s="211"/>
      <c r="B240" s="212"/>
      <c r="C240" s="213"/>
      <c r="D240" s="214" t="str">
        <f>IFERROR(VLOOKUP($C240,'PORTIFÓLIO'!C:V,2,0),"")</f>
        <v/>
      </c>
      <c r="E240" s="211" t="str">
        <f>IFERROR(VLOOKUP($C240,'PORTIFÓLIO'!C:V,3,0),"")</f>
        <v/>
      </c>
      <c r="F240" s="211" t="str">
        <f>IFERROR(VLOOKUP($C240,'PORTIFÓLIO'!C:V,4,0),"")</f>
        <v/>
      </c>
      <c r="G240" s="215" t="str">
        <f>IFERROR(VLOOKUP($C240,'PORTIFÓLIO'!C:V,5,0),"")</f>
        <v/>
      </c>
      <c r="H240" s="254" t="str">
        <f t="array" ref="H240">IFERROR(INDEX('PORTIFÓLIO'!$H$4:$H$433,MATCH($C240,'PORTIFÓLIO'!$C$4:$C$433,0)),"")</f>
        <v/>
      </c>
      <c r="I240" s="256"/>
      <c r="J240" s="218">
        <f t="shared" si="27"/>
        <v>0</v>
      </c>
      <c r="K240" s="219" t="str">
        <f t="array" ref="K240">IFERROR(I240*INDEX('PORTIFÓLIO'!$S$4:$S$433,MATCH($C240,'PORTIFÓLIO'!$C$4:$C$433,0)),"")</f>
        <v/>
      </c>
      <c r="L240" s="219" t="str">
        <f t="array" ref="L240">IFERROR(J240*INDEX('PORTIFÓLIO'!$S$4:$S$433,MATCH($C240,'PORTIFÓLIO'!$C$4:$C$433,0)),"")</f>
        <v/>
      </c>
      <c r="M240" s="220"/>
      <c r="N240" s="220"/>
      <c r="O240" s="220"/>
      <c r="P240" s="220"/>
      <c r="Q240" s="220"/>
      <c r="R240" s="220"/>
      <c r="S240" s="220"/>
      <c r="T240" s="220"/>
      <c r="U240" s="220"/>
      <c r="V240" s="220"/>
      <c r="W240" s="220"/>
    </row>
    <row r="241" ht="15.75" customHeight="1" outlineLevel="1">
      <c r="A241" s="211"/>
      <c r="B241" s="212"/>
      <c r="C241" s="213"/>
      <c r="D241" s="214" t="str">
        <f>IFERROR(VLOOKUP($C241,'PORTIFÓLIO'!C:V,2,0),"")</f>
        <v/>
      </c>
      <c r="E241" s="211" t="str">
        <f>IFERROR(VLOOKUP($C241,'PORTIFÓLIO'!C:V,3,0),"")</f>
        <v/>
      </c>
      <c r="F241" s="211" t="str">
        <f>IFERROR(VLOOKUP($C241,'PORTIFÓLIO'!C:V,4,0),"")</f>
        <v/>
      </c>
      <c r="G241" s="215" t="str">
        <f>IFERROR(VLOOKUP($C241,'PORTIFÓLIO'!C:V,5,0),"")</f>
        <v/>
      </c>
      <c r="H241" s="254" t="str">
        <f t="array" ref="H241">IFERROR(INDEX('PORTIFÓLIO'!$H$4:$H$433,MATCH($C241,'PORTIFÓLIO'!$C$4:$C$433,0)),"")</f>
        <v/>
      </c>
      <c r="I241" s="256"/>
      <c r="J241" s="218">
        <f t="shared" si="27"/>
        <v>0</v>
      </c>
      <c r="K241" s="219" t="str">
        <f t="array" ref="K241">IFERROR(I241*INDEX('PORTIFÓLIO'!$S$4:$S$433,MATCH($C241,'PORTIFÓLIO'!$C$4:$C$433,0)),"")</f>
        <v/>
      </c>
      <c r="L241" s="219" t="str">
        <f t="array" ref="L241">IFERROR(J241*INDEX('PORTIFÓLIO'!$S$4:$S$433,MATCH($C241,'PORTIFÓLIO'!$C$4:$C$433,0)),"")</f>
        <v/>
      </c>
      <c r="M241" s="220"/>
      <c r="N241" s="220"/>
      <c r="O241" s="220"/>
      <c r="P241" s="220"/>
      <c r="Q241" s="220"/>
      <c r="R241" s="220"/>
      <c r="S241" s="220"/>
      <c r="T241" s="220"/>
      <c r="U241" s="220"/>
      <c r="V241" s="220"/>
      <c r="W241" s="220"/>
    </row>
    <row r="242" ht="15.75" customHeight="1" outlineLevel="1">
      <c r="A242" s="211"/>
      <c r="B242" s="212"/>
      <c r="C242" s="213"/>
      <c r="D242" s="214" t="str">
        <f>IFERROR(VLOOKUP($C242,'PORTIFÓLIO'!C:V,2,0),"")</f>
        <v/>
      </c>
      <c r="E242" s="211" t="str">
        <f>IFERROR(VLOOKUP($C242,'PORTIFÓLIO'!C:V,3,0),"")</f>
        <v/>
      </c>
      <c r="F242" s="211" t="str">
        <f>IFERROR(VLOOKUP($C242,'PORTIFÓLIO'!C:V,4,0),"")</f>
        <v/>
      </c>
      <c r="G242" s="215" t="str">
        <f>IFERROR(VLOOKUP($C242,'PORTIFÓLIO'!C:V,5,0),"")</f>
        <v/>
      </c>
      <c r="H242" s="254" t="str">
        <f t="array" ref="H242">IFERROR(INDEX('PORTIFÓLIO'!$H$4:$H$433,MATCH($C242,'PORTIFÓLIO'!$C$4:$C$433,0)),"")</f>
        <v/>
      </c>
      <c r="I242" s="255"/>
      <c r="J242" s="218">
        <f t="shared" si="27"/>
        <v>0</v>
      </c>
      <c r="K242" s="219" t="str">
        <f t="array" ref="K242">IFERROR(I242*INDEX('PORTIFÓLIO'!$S$4:$S$433,MATCH($C242,'PORTIFÓLIO'!$C$4:$C$433,0)),"")</f>
        <v/>
      </c>
      <c r="L242" s="219" t="str">
        <f t="array" ref="L242">IFERROR(J242*INDEX('PORTIFÓLIO'!$S$4:$S$433,MATCH($C242,'PORTIFÓLIO'!$C$4:$C$433,0)),"")</f>
        <v/>
      </c>
      <c r="M242" s="220"/>
      <c r="N242" s="220"/>
      <c r="O242" s="220"/>
      <c r="P242" s="220"/>
      <c r="Q242" s="220"/>
      <c r="R242" s="220"/>
      <c r="S242" s="220"/>
      <c r="T242" s="220"/>
      <c r="U242" s="220"/>
      <c r="V242" s="220"/>
      <c r="W242" s="220"/>
    </row>
    <row r="243" ht="15.75" customHeight="1" outlineLevel="1">
      <c r="A243" s="211"/>
      <c r="B243" s="212"/>
      <c r="C243" s="213"/>
      <c r="D243" s="214" t="str">
        <f>IFERROR(VLOOKUP($C243,'PORTIFÓLIO'!C:V,2,0),"")</f>
        <v/>
      </c>
      <c r="E243" s="211" t="str">
        <f>IFERROR(VLOOKUP($C243,'PORTIFÓLIO'!C:V,3,0),"")</f>
        <v/>
      </c>
      <c r="F243" s="211" t="str">
        <f>IFERROR(VLOOKUP($C243,'PORTIFÓLIO'!C:V,4,0),"")</f>
        <v/>
      </c>
      <c r="G243" s="215" t="str">
        <f>IFERROR(VLOOKUP($C243,'PORTIFÓLIO'!C:V,5,0),"")</f>
        <v/>
      </c>
      <c r="H243" s="254" t="str">
        <f t="array" ref="H243">IFERROR(INDEX('PORTIFÓLIO'!$H$4:$H$433,MATCH($C243,'PORTIFÓLIO'!$C$4:$C$433,0)),"")</f>
        <v/>
      </c>
      <c r="I243" s="256"/>
      <c r="J243" s="218">
        <f t="shared" si="27"/>
        <v>0</v>
      </c>
      <c r="K243" s="219" t="str">
        <f t="array" ref="K243">IFERROR(I243*INDEX('PORTIFÓLIO'!$S$4:$S$433,MATCH($C243,'PORTIFÓLIO'!$C$4:$C$433,0)),"")</f>
        <v/>
      </c>
      <c r="L243" s="219" t="str">
        <f t="array" ref="L243">IFERROR(J243*INDEX('PORTIFÓLIO'!$S$4:$S$433,MATCH($C243,'PORTIFÓLIO'!$C$4:$C$433,0)),"")</f>
        <v/>
      </c>
      <c r="M243" s="220"/>
      <c r="N243" s="220"/>
      <c r="O243" s="220"/>
      <c r="P243" s="220"/>
      <c r="Q243" s="220"/>
      <c r="R243" s="220"/>
      <c r="S243" s="220"/>
      <c r="T243" s="220"/>
      <c r="U243" s="220"/>
      <c r="V243" s="220"/>
      <c r="W243" s="220"/>
    </row>
    <row r="244" ht="15.75" customHeight="1" outlineLevel="1">
      <c r="A244" s="211"/>
      <c r="B244" s="212"/>
      <c r="C244" s="213"/>
      <c r="D244" s="214" t="str">
        <f>IFERROR(VLOOKUP($C244,'PORTIFÓLIO'!C:V,2,0),"")</f>
        <v/>
      </c>
      <c r="E244" s="211" t="str">
        <f>IFERROR(VLOOKUP($C244,'PORTIFÓLIO'!C:V,3,0),"")</f>
        <v/>
      </c>
      <c r="F244" s="211" t="str">
        <f>IFERROR(VLOOKUP($C244,'PORTIFÓLIO'!C:V,4,0),"")</f>
        <v/>
      </c>
      <c r="G244" s="215" t="str">
        <f>IFERROR(VLOOKUP($C244,'PORTIFÓLIO'!C:V,5,0),"")</f>
        <v/>
      </c>
      <c r="H244" s="254" t="str">
        <f t="array" ref="H244">IFERROR(INDEX('PORTIFÓLIO'!$H$4:$H$433,MATCH($C244,'PORTIFÓLIO'!$C$4:$C$433,0)),"")</f>
        <v/>
      </c>
      <c r="I244" s="256"/>
      <c r="J244" s="218">
        <f t="shared" si="27"/>
        <v>0</v>
      </c>
      <c r="K244" s="219" t="str">
        <f t="array" ref="K244">IFERROR(I244*INDEX('PORTIFÓLIO'!$S$4:$S$433,MATCH($C244,'PORTIFÓLIO'!$C$4:$C$433,0)),"")</f>
        <v/>
      </c>
      <c r="L244" s="219" t="str">
        <f t="array" ref="L244">IFERROR(J244*INDEX('PORTIFÓLIO'!$S$4:$S$433,MATCH($C244,'PORTIFÓLIO'!$C$4:$C$433,0)),"")</f>
        <v/>
      </c>
      <c r="M244" s="220"/>
      <c r="N244" s="220"/>
      <c r="O244" s="220"/>
      <c r="P244" s="220"/>
      <c r="Q244" s="220"/>
      <c r="R244" s="220"/>
      <c r="S244" s="220"/>
      <c r="T244" s="220"/>
      <c r="U244" s="220"/>
      <c r="V244" s="220"/>
      <c r="W244" s="220"/>
    </row>
    <row r="245" ht="15.75" customHeight="1" outlineLevel="1">
      <c r="A245" s="211"/>
      <c r="B245" s="212"/>
      <c r="C245" s="213"/>
      <c r="D245" s="214" t="str">
        <f>IFERROR(VLOOKUP($C245,'PORTIFÓLIO'!C:V,2,0),"")</f>
        <v/>
      </c>
      <c r="E245" s="211" t="str">
        <f>IFERROR(VLOOKUP($C245,'PORTIFÓLIO'!C:V,3,0),"")</f>
        <v/>
      </c>
      <c r="F245" s="211" t="str">
        <f>IFERROR(VLOOKUP($C245,'PORTIFÓLIO'!C:V,4,0),"")</f>
        <v/>
      </c>
      <c r="G245" s="215" t="str">
        <f>IFERROR(VLOOKUP($C245,'PORTIFÓLIO'!C:V,5,0),"")</f>
        <v/>
      </c>
      <c r="H245" s="254" t="str">
        <f t="array" ref="H245">IFERROR(INDEX('PORTIFÓLIO'!$H$4:$H$433,MATCH($C245,'PORTIFÓLIO'!$C$4:$C$433,0)),"")</f>
        <v/>
      </c>
      <c r="I245" s="256"/>
      <c r="J245" s="218">
        <f t="shared" si="27"/>
        <v>0</v>
      </c>
      <c r="K245" s="219" t="str">
        <f t="array" ref="K245">IFERROR(I245*INDEX('PORTIFÓLIO'!$S$4:$S$433,MATCH($C245,'PORTIFÓLIO'!$C$4:$C$433,0)),"")</f>
        <v/>
      </c>
      <c r="L245" s="219" t="str">
        <f t="array" ref="L245">IFERROR(J245*INDEX('PORTIFÓLIO'!$S$4:$S$433,MATCH($C245,'PORTIFÓLIO'!$C$4:$C$433,0)),"")</f>
        <v/>
      </c>
      <c r="M245" s="220"/>
      <c r="N245" s="220"/>
      <c r="O245" s="220"/>
      <c r="P245" s="220"/>
      <c r="Q245" s="220"/>
      <c r="R245" s="220"/>
      <c r="S245" s="220"/>
      <c r="T245" s="220"/>
      <c r="U245" s="220"/>
      <c r="V245" s="220"/>
      <c r="W245" s="220"/>
    </row>
    <row r="246" ht="15.75" customHeight="1" outlineLevel="1">
      <c r="A246" s="211"/>
      <c r="B246" s="212"/>
      <c r="C246" s="213"/>
      <c r="D246" s="214" t="str">
        <f>IFERROR(VLOOKUP($C246,'PORTIFÓLIO'!C:V,2,0),"")</f>
        <v/>
      </c>
      <c r="E246" s="211" t="str">
        <f>IFERROR(VLOOKUP($C246,'PORTIFÓLIO'!C:V,3,0),"")</f>
        <v/>
      </c>
      <c r="F246" s="211" t="str">
        <f>IFERROR(VLOOKUP($C246,'PORTIFÓLIO'!C:V,4,0),"")</f>
        <v/>
      </c>
      <c r="G246" s="215" t="str">
        <f>IFERROR(VLOOKUP($C246,'PORTIFÓLIO'!C:V,5,0),"")</f>
        <v/>
      </c>
      <c r="H246" s="254" t="str">
        <f t="array" ref="H246">IFERROR(INDEX('PORTIFÓLIO'!$H$4:$H$433,MATCH($C246,'PORTIFÓLIO'!$C$4:$C$433,0)),"")</f>
        <v/>
      </c>
      <c r="I246" s="255"/>
      <c r="J246" s="218">
        <f t="shared" si="27"/>
        <v>0</v>
      </c>
      <c r="K246" s="219" t="str">
        <f t="array" ref="K246">IFERROR(I246*INDEX('PORTIFÓLIO'!$S$4:$S$433,MATCH($C246,'PORTIFÓLIO'!$C$4:$C$433,0)),"")</f>
        <v/>
      </c>
      <c r="L246" s="219" t="str">
        <f t="array" ref="L246">IFERROR(J246*INDEX('PORTIFÓLIO'!$S$4:$S$433,MATCH($C246,'PORTIFÓLIO'!$C$4:$C$433,0)),"")</f>
        <v/>
      </c>
      <c r="M246" s="220"/>
      <c r="N246" s="220"/>
      <c r="O246" s="220"/>
      <c r="P246" s="220"/>
      <c r="Q246" s="220"/>
      <c r="R246" s="220"/>
      <c r="S246" s="220"/>
      <c r="T246" s="220"/>
      <c r="U246" s="220"/>
      <c r="V246" s="220"/>
      <c r="W246" s="220"/>
    </row>
    <row r="247" ht="15.75" customHeight="1" outlineLevel="1">
      <c r="A247" s="211"/>
      <c r="B247" s="212"/>
      <c r="C247" s="213"/>
      <c r="D247" s="214" t="str">
        <f>IFERROR(VLOOKUP($C247,'PORTIFÓLIO'!C:V,2,0),"")</f>
        <v/>
      </c>
      <c r="E247" s="211" t="str">
        <f>IFERROR(VLOOKUP($C247,'PORTIFÓLIO'!C:V,3,0),"")</f>
        <v/>
      </c>
      <c r="F247" s="211" t="str">
        <f>IFERROR(VLOOKUP($C247,'PORTIFÓLIO'!C:V,4,0),"")</f>
        <v/>
      </c>
      <c r="G247" s="215" t="str">
        <f>IFERROR(VLOOKUP($C247,'PORTIFÓLIO'!C:V,5,0),"")</f>
        <v/>
      </c>
      <c r="H247" s="254" t="str">
        <f t="array" ref="H247">IFERROR(INDEX('PORTIFÓLIO'!$H$4:$H$433,MATCH($C247,'PORTIFÓLIO'!$C$4:$C$433,0)),"")</f>
        <v/>
      </c>
      <c r="I247" s="255"/>
      <c r="J247" s="218">
        <f t="shared" si="27"/>
        <v>0</v>
      </c>
      <c r="K247" s="219" t="str">
        <f t="array" ref="K247">IFERROR(I247*INDEX('PORTIFÓLIO'!$S$4:$S$433,MATCH($C247,'PORTIFÓLIO'!$C$4:$C$433,0)),"")</f>
        <v/>
      </c>
      <c r="L247" s="219" t="str">
        <f t="array" ref="L247">IFERROR(J247*INDEX('PORTIFÓLIO'!$S$4:$S$433,MATCH($C247,'PORTIFÓLIO'!$C$4:$C$433,0)),"")</f>
        <v/>
      </c>
      <c r="M247" s="220"/>
      <c r="N247" s="220"/>
      <c r="O247" s="220"/>
      <c r="P247" s="220"/>
      <c r="Q247" s="220"/>
      <c r="R247" s="220"/>
      <c r="S247" s="220"/>
      <c r="T247" s="220"/>
      <c r="U247" s="220"/>
      <c r="V247" s="220"/>
      <c r="W247" s="220"/>
    </row>
    <row r="248" ht="15.75" customHeight="1" outlineLevel="1">
      <c r="A248" s="211"/>
      <c r="B248" s="212"/>
      <c r="C248" s="213"/>
      <c r="D248" s="214" t="str">
        <f>IFERROR(VLOOKUP($C248,'PORTIFÓLIO'!C:V,2,0),"")</f>
        <v/>
      </c>
      <c r="E248" s="211" t="str">
        <f>IFERROR(VLOOKUP($C248,'PORTIFÓLIO'!C:V,3,0),"")</f>
        <v/>
      </c>
      <c r="F248" s="211" t="str">
        <f>IFERROR(VLOOKUP($C248,'PORTIFÓLIO'!C:V,4,0),"")</f>
        <v/>
      </c>
      <c r="G248" s="215" t="str">
        <f>IFERROR(VLOOKUP($C248,'PORTIFÓLIO'!C:V,5,0),"")</f>
        <v/>
      </c>
      <c r="H248" s="254" t="str">
        <f t="array" ref="H248">IFERROR(INDEX('PORTIFÓLIO'!$H$4:$H$433,MATCH($C248,'PORTIFÓLIO'!$C$4:$C$433,0)),"")</f>
        <v/>
      </c>
      <c r="I248" s="255"/>
      <c r="J248" s="218">
        <f t="shared" si="27"/>
        <v>0</v>
      </c>
      <c r="K248" s="219" t="str">
        <f t="array" ref="K248">IFERROR(I248*INDEX('PORTIFÓLIO'!$S$4:$S$433,MATCH($C248,'PORTIFÓLIO'!$C$4:$C$433,0)),"")</f>
        <v/>
      </c>
      <c r="L248" s="219" t="str">
        <f t="array" ref="L248">IFERROR(J248*INDEX('PORTIFÓLIO'!$S$4:$S$433,MATCH($C248,'PORTIFÓLIO'!$C$4:$C$433,0)),"")</f>
        <v/>
      </c>
      <c r="M248" s="220"/>
      <c r="N248" s="220"/>
      <c r="O248" s="220"/>
      <c r="P248" s="220"/>
      <c r="Q248" s="220"/>
      <c r="R248" s="220"/>
      <c r="S248" s="220"/>
      <c r="T248" s="220"/>
      <c r="U248" s="220"/>
      <c r="V248" s="220"/>
      <c r="W248" s="220"/>
    </row>
    <row r="249" ht="15.75" customHeight="1" outlineLevel="1">
      <c r="A249" s="211"/>
      <c r="B249" s="212"/>
      <c r="C249" s="213"/>
      <c r="D249" s="214" t="str">
        <f>IFERROR(VLOOKUP($C249,'PORTIFÓLIO'!C:V,2,0),"")</f>
        <v/>
      </c>
      <c r="E249" s="211" t="str">
        <f>IFERROR(VLOOKUP($C249,'PORTIFÓLIO'!C:V,3,0),"")</f>
        <v/>
      </c>
      <c r="F249" s="211" t="str">
        <f>IFERROR(VLOOKUP($C249,'PORTIFÓLIO'!C:V,4,0),"")</f>
        <v/>
      </c>
      <c r="G249" s="215" t="str">
        <f>IFERROR(VLOOKUP($C249,'PORTIFÓLIO'!C:V,5,0),"")</f>
        <v/>
      </c>
      <c r="H249" s="254" t="str">
        <f t="array" ref="H249">IFERROR(INDEX('PORTIFÓLIO'!$H$4:$H$433,MATCH($C249,'PORTIFÓLIO'!$C$4:$C$433,0)),"")</f>
        <v/>
      </c>
      <c r="I249" s="255"/>
      <c r="J249" s="218">
        <f t="shared" si="27"/>
        <v>0</v>
      </c>
      <c r="K249" s="219" t="str">
        <f t="array" ref="K249">IFERROR(I249*INDEX('PORTIFÓLIO'!$S$4:$S$433,MATCH($C249,'PORTIFÓLIO'!$C$4:$C$433,0)),"")</f>
        <v/>
      </c>
      <c r="L249" s="219" t="str">
        <f t="array" ref="L249">IFERROR(J249*INDEX('PORTIFÓLIO'!$S$4:$S$433,MATCH($C249,'PORTIFÓLIO'!$C$4:$C$433,0)),"")</f>
        <v/>
      </c>
      <c r="M249" s="220"/>
      <c r="N249" s="220"/>
      <c r="O249" s="220"/>
      <c r="P249" s="220"/>
      <c r="Q249" s="220"/>
      <c r="R249" s="220"/>
      <c r="S249" s="220"/>
      <c r="T249" s="220"/>
      <c r="U249" s="220"/>
      <c r="V249" s="220"/>
      <c r="W249" s="220"/>
    </row>
    <row r="250" ht="15.75" customHeight="1" outlineLevel="1">
      <c r="A250" s="211"/>
      <c r="B250" s="212"/>
      <c r="C250" s="213"/>
      <c r="D250" s="214" t="str">
        <f>IFERROR(VLOOKUP($C250,'PORTIFÓLIO'!C:V,2,0),"")</f>
        <v/>
      </c>
      <c r="E250" s="211" t="str">
        <f>IFERROR(VLOOKUP($C250,'PORTIFÓLIO'!C:V,3,0),"")</f>
        <v/>
      </c>
      <c r="F250" s="211" t="str">
        <f>IFERROR(VLOOKUP($C250,'PORTIFÓLIO'!C:V,4,0),"")</f>
        <v/>
      </c>
      <c r="G250" s="215" t="str">
        <f>IFERROR(VLOOKUP($C250,'PORTIFÓLIO'!C:V,5,0),"")</f>
        <v/>
      </c>
      <c r="H250" s="254" t="str">
        <f t="array" ref="H250">IFERROR(INDEX('PORTIFÓLIO'!$H$4:$H$433,MATCH($C250,'PORTIFÓLIO'!$C$4:$C$433,0)),"")</f>
        <v/>
      </c>
      <c r="I250" s="255"/>
      <c r="J250" s="218">
        <f t="shared" si="27"/>
        <v>0</v>
      </c>
      <c r="K250" s="219" t="str">
        <f t="array" ref="K250">IFERROR(I250*INDEX('PORTIFÓLIO'!$S$4:$S$433,MATCH($C250,'PORTIFÓLIO'!$C$4:$C$433,0)),"")</f>
        <v/>
      </c>
      <c r="L250" s="219" t="str">
        <f t="array" ref="L250">IFERROR(J250*INDEX('PORTIFÓLIO'!$S$4:$S$433,MATCH($C250,'PORTIFÓLIO'!$C$4:$C$433,0)),"")</f>
        <v/>
      </c>
      <c r="M250" s="220"/>
      <c r="N250" s="220"/>
      <c r="O250" s="220"/>
      <c r="P250" s="220"/>
      <c r="Q250" s="220"/>
      <c r="R250" s="220"/>
      <c r="S250" s="220"/>
      <c r="T250" s="220"/>
      <c r="U250" s="220"/>
      <c r="V250" s="220"/>
      <c r="W250" s="220"/>
    </row>
    <row r="251" ht="15.75" customHeight="1" outlineLevel="1">
      <c r="A251" s="211"/>
      <c r="B251" s="212"/>
      <c r="C251" s="213"/>
      <c r="D251" s="214" t="str">
        <f>IFERROR(VLOOKUP($C251,'PORTIFÓLIO'!C:V,2,0),"")</f>
        <v/>
      </c>
      <c r="E251" s="211" t="str">
        <f>IFERROR(VLOOKUP($C251,'PORTIFÓLIO'!C:V,3,0),"")</f>
        <v/>
      </c>
      <c r="F251" s="211" t="str">
        <f>IFERROR(VLOOKUP($C251,'PORTIFÓLIO'!C:V,4,0),"")</f>
        <v/>
      </c>
      <c r="G251" s="215" t="str">
        <f>IFERROR(VLOOKUP($C251,'PORTIFÓLIO'!C:V,5,0),"")</f>
        <v/>
      </c>
      <c r="H251" s="254" t="str">
        <f t="array" ref="H251">IFERROR(INDEX('PORTIFÓLIO'!$H$4:$H$433,MATCH($C251,'PORTIFÓLIO'!$C$4:$C$433,0)),"")</f>
        <v/>
      </c>
      <c r="I251" s="255"/>
      <c r="J251" s="218">
        <f t="shared" si="27"/>
        <v>0</v>
      </c>
      <c r="K251" s="219" t="str">
        <f t="array" ref="K251">IFERROR(I251*INDEX('PORTIFÓLIO'!$S$4:$S$433,MATCH($C251,'PORTIFÓLIO'!$C$4:$C$433,0)),"")</f>
        <v/>
      </c>
      <c r="L251" s="219" t="str">
        <f t="array" ref="L251">IFERROR(J251*INDEX('PORTIFÓLIO'!$S$4:$S$433,MATCH($C251,'PORTIFÓLIO'!$C$4:$C$433,0)),"")</f>
        <v/>
      </c>
      <c r="M251" s="220"/>
      <c r="N251" s="220"/>
      <c r="O251" s="220"/>
      <c r="P251" s="220"/>
      <c r="Q251" s="220"/>
      <c r="R251" s="220"/>
      <c r="S251" s="220"/>
      <c r="T251" s="220"/>
      <c r="U251" s="220"/>
      <c r="V251" s="220"/>
      <c r="W251" s="220"/>
    </row>
    <row r="252" ht="15.75" customHeight="1">
      <c r="A252" s="229" t="s">
        <v>1184</v>
      </c>
      <c r="B252" s="230"/>
      <c r="C252" s="231"/>
      <c r="D252" s="232"/>
      <c r="E252" s="231"/>
      <c r="F252" s="231"/>
      <c r="G252" s="233"/>
      <c r="H252" s="233"/>
      <c r="I252" s="258"/>
      <c r="J252" s="236"/>
      <c r="K252" s="237">
        <f t="shared" ref="K252:L252" si="28">SUBTOTAL(9,K253:K266)</f>
        <v>0</v>
      </c>
      <c r="L252" s="237">
        <f t="shared" si="28"/>
        <v>0</v>
      </c>
      <c r="M252" s="220"/>
      <c r="N252" s="220"/>
      <c r="O252" s="220"/>
      <c r="P252" s="220"/>
      <c r="Q252" s="220"/>
      <c r="R252" s="220"/>
      <c r="S252" s="220"/>
      <c r="T252" s="220"/>
      <c r="U252" s="220"/>
      <c r="V252" s="220"/>
      <c r="W252" s="220"/>
    </row>
    <row r="253" ht="15.75" customHeight="1" outlineLevel="1">
      <c r="A253" s="213"/>
      <c r="B253" s="212"/>
      <c r="C253" s="213"/>
      <c r="D253" s="214" t="str">
        <f>IFERROR(VLOOKUP($C253,'PORTIFÓLIO'!C:V,2,0),"")</f>
        <v/>
      </c>
      <c r="E253" s="211" t="str">
        <f>IFERROR(VLOOKUP($C253,'PORTIFÓLIO'!C:V,3,0),"")</f>
        <v/>
      </c>
      <c r="F253" s="211" t="str">
        <f>IFERROR(VLOOKUP($C253,'PORTIFÓLIO'!C:V,4,0),"")</f>
        <v/>
      </c>
      <c r="G253" s="215" t="str">
        <f>IFERROR(VLOOKUP($C253,'PORTIFÓLIO'!C:V,5,0),"")</f>
        <v/>
      </c>
      <c r="H253" s="254" t="str">
        <f t="array" ref="H253">IFERROR(INDEX('PORTIFÓLIO'!$H$4:$H$433,MATCH($C253,'PORTIFÓLIO'!$C$4:$C$433,0)),"")</f>
        <v/>
      </c>
      <c r="I253" s="255"/>
      <c r="J253" s="218">
        <f t="shared" ref="J253:J270" si="29">I253*$B$2</f>
        <v>0</v>
      </c>
      <c r="K253" s="292" t="str">
        <f t="array" ref="K253">IFERROR(I253*INDEX('PORTIFÓLIO'!$S$4:$S$433,MATCH($C253,'PORTIFÓLIO'!$C$4:$C$433,0)),"")</f>
        <v/>
      </c>
      <c r="L253" s="292" t="str">
        <f t="array" ref="L253">IFERROR(J253*INDEX('PORTIFÓLIO'!$S$4:$S$433,MATCH($C253,'PORTIFÓLIO'!$C$4:$C$433,0)),"")</f>
        <v/>
      </c>
      <c r="M253" s="220"/>
      <c r="N253" s="220"/>
      <c r="O253" s="220"/>
      <c r="P253" s="220"/>
      <c r="Q253" s="220"/>
      <c r="R253" s="220"/>
      <c r="S253" s="220"/>
      <c r="T253" s="220"/>
      <c r="U253" s="220"/>
      <c r="V253" s="220"/>
      <c r="W253" s="220"/>
    </row>
    <row r="254" ht="15.75" customHeight="1" outlineLevel="1">
      <c r="A254" s="211"/>
      <c r="B254" s="212"/>
      <c r="C254" s="213"/>
      <c r="D254" s="214" t="str">
        <f>IFERROR(VLOOKUP($C254,'PORTIFÓLIO'!C:V,2,0),"")</f>
        <v/>
      </c>
      <c r="E254" s="211" t="str">
        <f>IFERROR(VLOOKUP($C254,'PORTIFÓLIO'!C:V,3,0),"")</f>
        <v/>
      </c>
      <c r="F254" s="211" t="str">
        <f>IFERROR(VLOOKUP($C254,'PORTIFÓLIO'!C:V,4,0),"")</f>
        <v/>
      </c>
      <c r="G254" s="215" t="str">
        <f>IFERROR(VLOOKUP($C254,'PORTIFÓLIO'!C:V,5,0),"")</f>
        <v/>
      </c>
      <c r="H254" s="254" t="str">
        <f t="array" ref="H254">IFERROR(INDEX('PORTIFÓLIO'!$H$4:$H$433,MATCH($C254,'PORTIFÓLIO'!$C$4:$C$433,0)),"")</f>
        <v/>
      </c>
      <c r="I254" s="255"/>
      <c r="J254" s="218">
        <f t="shared" si="29"/>
        <v>0</v>
      </c>
      <c r="K254" s="292" t="str">
        <f t="array" ref="K254">IFERROR(I254*INDEX('PORTIFÓLIO'!$S$4:$S$433,MATCH($C254,'PORTIFÓLIO'!$C$4:$C$433,0)),"")</f>
        <v/>
      </c>
      <c r="L254" s="292" t="str">
        <f t="array" ref="L254">IFERROR(J254*INDEX('PORTIFÓLIO'!$S$4:$S$433,MATCH($C254,'PORTIFÓLIO'!$C$4:$C$433,0)),"")</f>
        <v/>
      </c>
      <c r="M254" s="220"/>
      <c r="N254" s="220"/>
      <c r="O254" s="220"/>
      <c r="P254" s="220"/>
      <c r="Q254" s="220"/>
      <c r="R254" s="220"/>
      <c r="S254" s="220"/>
      <c r="T254" s="220"/>
      <c r="U254" s="220"/>
      <c r="V254" s="220"/>
      <c r="W254" s="220"/>
    </row>
    <row r="255" ht="15.75" customHeight="1" outlineLevel="1">
      <c r="A255" s="211"/>
      <c r="B255" s="212"/>
      <c r="C255" s="213"/>
      <c r="D255" s="214" t="str">
        <f>IFERROR(VLOOKUP($C255,'PORTIFÓLIO'!C:V,2,0),"")</f>
        <v/>
      </c>
      <c r="E255" s="211" t="str">
        <f>IFERROR(VLOOKUP($C255,'PORTIFÓLIO'!C:V,3,0),"")</f>
        <v/>
      </c>
      <c r="F255" s="211" t="str">
        <f>IFERROR(VLOOKUP($C255,'PORTIFÓLIO'!C:V,4,0),"")</f>
        <v/>
      </c>
      <c r="G255" s="215" t="str">
        <f>IFERROR(VLOOKUP($C255,'PORTIFÓLIO'!C:V,5,0),"")</f>
        <v/>
      </c>
      <c r="H255" s="254" t="str">
        <f t="array" ref="H255">IFERROR(INDEX('PORTIFÓLIO'!$H$4:$H$433,MATCH($C255,'PORTIFÓLIO'!$C$4:$C$433,0)),"")</f>
        <v/>
      </c>
      <c r="I255" s="256"/>
      <c r="J255" s="218">
        <f t="shared" si="29"/>
        <v>0</v>
      </c>
      <c r="K255" s="292" t="str">
        <f t="array" ref="K255">IFERROR(I255*INDEX('PORTIFÓLIO'!$S$4:$S$433,MATCH($C255,'PORTIFÓLIO'!$C$4:$C$433,0)),"")</f>
        <v/>
      </c>
      <c r="L255" s="292" t="str">
        <f t="array" ref="L255">IFERROR(J255*INDEX('PORTIFÓLIO'!$S$4:$S$433,MATCH($C255,'PORTIFÓLIO'!$C$4:$C$433,0)),"")</f>
        <v/>
      </c>
      <c r="M255" s="220"/>
      <c r="N255" s="220"/>
      <c r="O255" s="220"/>
      <c r="P255" s="220"/>
      <c r="Q255" s="220"/>
      <c r="R255" s="220"/>
      <c r="S255" s="220"/>
      <c r="T255" s="220"/>
      <c r="U255" s="220"/>
      <c r="V255" s="220"/>
      <c r="W255" s="220"/>
    </row>
    <row r="256" ht="15.75" customHeight="1" outlineLevel="1">
      <c r="A256" s="211"/>
      <c r="B256" s="212"/>
      <c r="C256" s="213"/>
      <c r="D256" s="214" t="str">
        <f>IFERROR(VLOOKUP($C256,'PORTIFÓLIO'!C:V,2,0),"")</f>
        <v/>
      </c>
      <c r="E256" s="211" t="str">
        <f>IFERROR(VLOOKUP($C256,'PORTIFÓLIO'!C:V,3,0),"")</f>
        <v/>
      </c>
      <c r="F256" s="211" t="str">
        <f>IFERROR(VLOOKUP($C256,'PORTIFÓLIO'!C:V,4,0),"")</f>
        <v/>
      </c>
      <c r="G256" s="215" t="str">
        <f>IFERROR(VLOOKUP($C256,'PORTIFÓLIO'!C:V,5,0),"")</f>
        <v/>
      </c>
      <c r="H256" s="254" t="str">
        <f t="array" ref="H256">IFERROR(INDEX('PORTIFÓLIO'!$H$4:$H$433,MATCH($C256,'PORTIFÓLIO'!$C$4:$C$433,0)),"")</f>
        <v/>
      </c>
      <c r="I256" s="255"/>
      <c r="J256" s="218">
        <f t="shared" si="29"/>
        <v>0</v>
      </c>
      <c r="K256" s="292" t="str">
        <f t="array" ref="K256">IFERROR(I256*INDEX('PORTIFÓLIO'!$S$4:$S$433,MATCH($C256,'PORTIFÓLIO'!$C$4:$C$433,0)),"")</f>
        <v/>
      </c>
      <c r="L256" s="292" t="str">
        <f t="array" ref="L256">IFERROR(J256*INDEX('PORTIFÓLIO'!$S$4:$S$433,MATCH($C256,'PORTIFÓLIO'!$C$4:$C$433,0)),"")</f>
        <v/>
      </c>
      <c r="M256" s="220"/>
      <c r="N256" s="220"/>
      <c r="O256" s="220"/>
      <c r="P256" s="220"/>
      <c r="Q256" s="220"/>
      <c r="R256" s="220"/>
      <c r="S256" s="220"/>
      <c r="T256" s="220"/>
      <c r="U256" s="220"/>
      <c r="V256" s="220"/>
      <c r="W256" s="220"/>
    </row>
    <row r="257" ht="15.75" customHeight="1" outlineLevel="1">
      <c r="A257" s="211"/>
      <c r="B257" s="212"/>
      <c r="C257" s="213"/>
      <c r="D257" s="214" t="str">
        <f>IFERROR(VLOOKUP($C257,'PORTIFÓLIO'!C:V,2,0),"")</f>
        <v/>
      </c>
      <c r="E257" s="211" t="str">
        <f>IFERROR(VLOOKUP($C257,'PORTIFÓLIO'!C:V,3,0),"")</f>
        <v/>
      </c>
      <c r="F257" s="211" t="str">
        <f>IFERROR(VLOOKUP($C257,'PORTIFÓLIO'!C:V,4,0),"")</f>
        <v/>
      </c>
      <c r="G257" s="215" t="str">
        <f>IFERROR(VLOOKUP($C257,'PORTIFÓLIO'!C:V,5,0),"")</f>
        <v/>
      </c>
      <c r="H257" s="254" t="str">
        <f t="array" ref="H257">IFERROR(INDEX('PORTIFÓLIO'!$H$4:$H$433,MATCH($C257,'PORTIFÓLIO'!$C$4:$C$433,0)),"")</f>
        <v/>
      </c>
      <c r="I257" s="256"/>
      <c r="J257" s="218">
        <f t="shared" si="29"/>
        <v>0</v>
      </c>
      <c r="K257" s="292" t="str">
        <f t="array" ref="K257">IFERROR(I257*INDEX('PORTIFÓLIO'!$S$4:$S$433,MATCH($C257,'PORTIFÓLIO'!$C$4:$C$433,0)),"")</f>
        <v/>
      </c>
      <c r="L257" s="292" t="str">
        <f t="array" ref="L257">IFERROR(J257*INDEX('PORTIFÓLIO'!$S$4:$S$433,MATCH($C257,'PORTIFÓLIO'!$C$4:$C$433,0)),"")</f>
        <v/>
      </c>
      <c r="M257" s="220"/>
      <c r="N257" s="220"/>
      <c r="O257" s="220"/>
      <c r="P257" s="220"/>
      <c r="Q257" s="220"/>
      <c r="R257" s="220"/>
      <c r="S257" s="220"/>
      <c r="T257" s="220"/>
      <c r="U257" s="220"/>
      <c r="V257" s="220"/>
      <c r="W257" s="220"/>
    </row>
    <row r="258" ht="15.75" customHeight="1" outlineLevel="1">
      <c r="A258" s="211"/>
      <c r="B258" s="212"/>
      <c r="C258" s="213"/>
      <c r="D258" s="214" t="str">
        <f>IFERROR(VLOOKUP($C258,'PORTIFÓLIO'!C:V,2,0),"")</f>
        <v/>
      </c>
      <c r="E258" s="211" t="str">
        <f>IFERROR(VLOOKUP($C258,'PORTIFÓLIO'!C:V,3,0),"")</f>
        <v/>
      </c>
      <c r="F258" s="211" t="str">
        <f>IFERROR(VLOOKUP($C258,'PORTIFÓLIO'!C:V,4,0),"")</f>
        <v/>
      </c>
      <c r="G258" s="215" t="str">
        <f>IFERROR(VLOOKUP($C258,'PORTIFÓLIO'!C:V,5,0),"")</f>
        <v/>
      </c>
      <c r="H258" s="254" t="str">
        <f t="array" ref="H258">IFERROR(INDEX('PORTIFÓLIO'!$H$4:$H$433,MATCH($C258,'PORTIFÓLIO'!$C$4:$C$433,0)),"")</f>
        <v/>
      </c>
      <c r="I258" s="256"/>
      <c r="J258" s="218">
        <f t="shared" si="29"/>
        <v>0</v>
      </c>
      <c r="K258" s="292" t="str">
        <f t="array" ref="K258">IFERROR(I258*INDEX('PORTIFÓLIO'!$S$4:$S$433,MATCH($C258,'PORTIFÓLIO'!$C$4:$C$433,0)),"")</f>
        <v/>
      </c>
      <c r="L258" s="292" t="str">
        <f t="array" ref="L258">IFERROR(J258*INDEX('PORTIFÓLIO'!$S$4:$S$433,MATCH($C258,'PORTIFÓLIO'!$C$4:$C$433,0)),"")</f>
        <v/>
      </c>
      <c r="M258" s="220"/>
      <c r="N258" s="220"/>
      <c r="O258" s="220"/>
      <c r="P258" s="220"/>
      <c r="Q258" s="220"/>
      <c r="R258" s="220"/>
      <c r="S258" s="220"/>
      <c r="T258" s="220"/>
      <c r="U258" s="220"/>
      <c r="V258" s="220"/>
      <c r="W258" s="220"/>
    </row>
    <row r="259" ht="15.75" customHeight="1" outlineLevel="1">
      <c r="A259" s="211"/>
      <c r="B259" s="212"/>
      <c r="C259" s="213"/>
      <c r="D259" s="214" t="str">
        <f>IFERROR(VLOOKUP($C259,'PORTIFÓLIO'!C:V,2,0),"")</f>
        <v/>
      </c>
      <c r="E259" s="211" t="str">
        <f>IFERROR(VLOOKUP($C259,'PORTIFÓLIO'!C:V,3,0),"")</f>
        <v/>
      </c>
      <c r="F259" s="211" t="str">
        <f>IFERROR(VLOOKUP($C259,'PORTIFÓLIO'!C:V,4,0),"")</f>
        <v/>
      </c>
      <c r="G259" s="215" t="str">
        <f>IFERROR(VLOOKUP($C259,'PORTIFÓLIO'!C:V,5,0),"")</f>
        <v/>
      </c>
      <c r="H259" s="254" t="str">
        <f t="array" ref="H259">IFERROR(INDEX('PORTIFÓLIO'!$H$4:$H$433,MATCH($C259,'PORTIFÓLIO'!$C$4:$C$433,0)),"")</f>
        <v/>
      </c>
      <c r="I259" s="256"/>
      <c r="J259" s="218">
        <f t="shared" si="29"/>
        <v>0</v>
      </c>
      <c r="K259" s="292" t="str">
        <f t="array" ref="K259">IFERROR(I259*INDEX('PORTIFÓLIO'!$S$4:$S$433,MATCH($C259,'PORTIFÓLIO'!$C$4:$C$433,0)),"")</f>
        <v/>
      </c>
      <c r="L259" s="292" t="str">
        <f t="array" ref="L259">IFERROR(J259*INDEX('PORTIFÓLIO'!$S$4:$S$433,MATCH($C259,'PORTIFÓLIO'!$C$4:$C$433,0)),"")</f>
        <v/>
      </c>
      <c r="M259" s="220"/>
      <c r="N259" s="220"/>
      <c r="O259" s="220"/>
      <c r="P259" s="220"/>
      <c r="Q259" s="220"/>
      <c r="R259" s="220"/>
      <c r="S259" s="220"/>
      <c r="T259" s="220"/>
      <c r="U259" s="220"/>
      <c r="V259" s="220"/>
      <c r="W259" s="220"/>
    </row>
    <row r="260" ht="15.75" customHeight="1" outlineLevel="1">
      <c r="A260" s="211"/>
      <c r="B260" s="212"/>
      <c r="C260" s="213"/>
      <c r="D260" s="214" t="str">
        <f>IFERROR(VLOOKUP($C260,'PORTIFÓLIO'!C:V,2,0),"")</f>
        <v/>
      </c>
      <c r="E260" s="211" t="str">
        <f>IFERROR(VLOOKUP($C260,'PORTIFÓLIO'!C:V,3,0),"")</f>
        <v/>
      </c>
      <c r="F260" s="211" t="str">
        <f>IFERROR(VLOOKUP($C260,'PORTIFÓLIO'!C:V,4,0),"")</f>
        <v/>
      </c>
      <c r="G260" s="215" t="str">
        <f>IFERROR(VLOOKUP($C260,'PORTIFÓLIO'!C:V,5,0),"")</f>
        <v/>
      </c>
      <c r="H260" s="254" t="str">
        <f t="array" ref="H260">IFERROR(INDEX('PORTIFÓLIO'!$H$4:$H$433,MATCH($C260,'PORTIFÓLIO'!$C$4:$C$433,0)),"")</f>
        <v/>
      </c>
      <c r="I260" s="256"/>
      <c r="J260" s="218">
        <f t="shared" si="29"/>
        <v>0</v>
      </c>
      <c r="K260" s="292" t="str">
        <f t="array" ref="K260">IFERROR(I260*INDEX('PORTIFÓLIO'!$S$4:$S$433,MATCH($C260,'PORTIFÓLIO'!$C$4:$C$433,0)),"")</f>
        <v/>
      </c>
      <c r="L260" s="292" t="str">
        <f t="array" ref="L260">IFERROR(J260*INDEX('PORTIFÓLIO'!$S$4:$S$433,MATCH($C260,'PORTIFÓLIO'!$C$4:$C$433,0)),"")</f>
        <v/>
      </c>
      <c r="M260" s="220"/>
      <c r="N260" s="220"/>
      <c r="O260" s="220"/>
      <c r="P260" s="220"/>
      <c r="Q260" s="220"/>
      <c r="R260" s="220"/>
      <c r="S260" s="220"/>
      <c r="T260" s="220"/>
      <c r="U260" s="220"/>
      <c r="V260" s="220"/>
      <c r="W260" s="220"/>
    </row>
    <row r="261" ht="15.75" customHeight="1" outlineLevel="1">
      <c r="A261" s="211"/>
      <c r="B261" s="212"/>
      <c r="C261" s="213"/>
      <c r="D261" s="214" t="str">
        <f>IFERROR(VLOOKUP($C261,'PORTIFÓLIO'!C:V,2,0),"")</f>
        <v/>
      </c>
      <c r="E261" s="211" t="str">
        <f>IFERROR(VLOOKUP($C261,'PORTIFÓLIO'!C:V,3,0),"")</f>
        <v/>
      </c>
      <c r="F261" s="211" t="str">
        <f>IFERROR(VLOOKUP($C261,'PORTIFÓLIO'!C:V,4,0),"")</f>
        <v/>
      </c>
      <c r="G261" s="215" t="str">
        <f>IFERROR(VLOOKUP($C261,'PORTIFÓLIO'!C:V,5,0),"")</f>
        <v/>
      </c>
      <c r="H261" s="254" t="str">
        <f t="array" ref="H261">IFERROR(INDEX('PORTIFÓLIO'!$H$4:$H$433,MATCH($C261,'PORTIFÓLIO'!$C$4:$C$433,0)),"")</f>
        <v/>
      </c>
      <c r="I261" s="255"/>
      <c r="J261" s="218">
        <f t="shared" si="29"/>
        <v>0</v>
      </c>
      <c r="K261" s="292" t="str">
        <f t="array" ref="K261">IFERROR(I261*INDEX('PORTIFÓLIO'!$S$4:$S$433,MATCH($C261,'PORTIFÓLIO'!$C$4:$C$433,0)),"")</f>
        <v/>
      </c>
      <c r="L261" s="292" t="str">
        <f t="array" ref="L261">IFERROR(J261*INDEX('PORTIFÓLIO'!$S$4:$S$433,MATCH($C261,'PORTIFÓLIO'!$C$4:$C$433,0)),"")</f>
        <v/>
      </c>
      <c r="M261" s="220"/>
      <c r="N261" s="220"/>
      <c r="O261" s="220"/>
      <c r="P261" s="220"/>
      <c r="Q261" s="220"/>
      <c r="R261" s="220"/>
      <c r="S261" s="220"/>
      <c r="T261" s="220"/>
      <c r="U261" s="220"/>
      <c r="V261" s="220"/>
      <c r="W261" s="220"/>
    </row>
    <row r="262" ht="15.75" customHeight="1" outlineLevel="1">
      <c r="A262" s="211"/>
      <c r="B262" s="212"/>
      <c r="C262" s="213"/>
      <c r="D262" s="214" t="str">
        <f>IFERROR(VLOOKUP($C262,'PORTIFÓLIO'!C:V,2,0),"")</f>
        <v/>
      </c>
      <c r="E262" s="211" t="str">
        <f>IFERROR(VLOOKUP($C262,'PORTIFÓLIO'!C:V,3,0),"")</f>
        <v/>
      </c>
      <c r="F262" s="211" t="str">
        <f>IFERROR(VLOOKUP($C262,'PORTIFÓLIO'!C:V,4,0),"")</f>
        <v/>
      </c>
      <c r="G262" s="215" t="str">
        <f>IFERROR(VLOOKUP($C262,'PORTIFÓLIO'!C:V,5,0),"")</f>
        <v/>
      </c>
      <c r="H262" s="254" t="str">
        <f t="array" ref="H262">IFERROR(INDEX('PORTIFÓLIO'!$H$4:$H$433,MATCH($C262,'PORTIFÓLIO'!$C$4:$C$433,0)),"")</f>
        <v/>
      </c>
      <c r="I262" s="256"/>
      <c r="J262" s="218">
        <f t="shared" si="29"/>
        <v>0</v>
      </c>
      <c r="K262" s="292" t="str">
        <f t="array" ref="K262">IFERROR(I262*INDEX('PORTIFÓLIO'!$S$4:$S$433,MATCH($C262,'PORTIFÓLIO'!$C$4:$C$433,0)),"")</f>
        <v/>
      </c>
      <c r="L262" s="292" t="str">
        <f t="array" ref="L262">IFERROR(J262*INDEX('PORTIFÓLIO'!$S$4:$S$433,MATCH($C262,'PORTIFÓLIO'!$C$4:$C$433,0)),"")</f>
        <v/>
      </c>
      <c r="M262" s="220"/>
      <c r="N262" s="220"/>
      <c r="O262" s="220"/>
      <c r="P262" s="220"/>
      <c r="Q262" s="220"/>
      <c r="R262" s="220"/>
      <c r="S262" s="220"/>
      <c r="T262" s="220"/>
      <c r="U262" s="220"/>
      <c r="V262" s="220"/>
      <c r="W262" s="220"/>
    </row>
    <row r="263" ht="15.75" customHeight="1" outlineLevel="1">
      <c r="A263" s="211"/>
      <c r="B263" s="212"/>
      <c r="C263" s="213"/>
      <c r="D263" s="214" t="str">
        <f>IFERROR(VLOOKUP($C263,'PORTIFÓLIO'!C:V,2,0),"")</f>
        <v/>
      </c>
      <c r="E263" s="211" t="str">
        <f>IFERROR(VLOOKUP($C263,'PORTIFÓLIO'!C:V,3,0),"")</f>
        <v/>
      </c>
      <c r="F263" s="211" t="str">
        <f>IFERROR(VLOOKUP($C263,'PORTIFÓLIO'!C:V,4,0),"")</f>
        <v/>
      </c>
      <c r="G263" s="215" t="str">
        <f>IFERROR(VLOOKUP($C263,'PORTIFÓLIO'!C:V,5,0),"")</f>
        <v/>
      </c>
      <c r="H263" s="254" t="str">
        <f t="array" ref="H263">IFERROR(INDEX('PORTIFÓLIO'!$H$4:$H$433,MATCH($C263,'PORTIFÓLIO'!$C$4:$C$433,0)),"")</f>
        <v/>
      </c>
      <c r="I263" s="256"/>
      <c r="J263" s="218">
        <f t="shared" si="29"/>
        <v>0</v>
      </c>
      <c r="K263" s="292" t="str">
        <f t="array" ref="K263">IFERROR(I263*INDEX('PORTIFÓLIO'!$S$4:$S$433,MATCH($C263,'PORTIFÓLIO'!$C$4:$C$433,0)),"")</f>
        <v/>
      </c>
      <c r="L263" s="292" t="str">
        <f t="array" ref="L263">IFERROR(J263*INDEX('PORTIFÓLIO'!$S$4:$S$433,MATCH($C263,'PORTIFÓLIO'!$C$4:$C$433,0)),"")</f>
        <v/>
      </c>
      <c r="M263" s="220"/>
      <c r="N263" s="220"/>
      <c r="O263" s="220"/>
      <c r="P263" s="220"/>
      <c r="Q263" s="220"/>
      <c r="R263" s="220"/>
      <c r="S263" s="220"/>
      <c r="T263" s="220"/>
      <c r="U263" s="220"/>
      <c r="V263" s="220"/>
      <c r="W263" s="220"/>
    </row>
    <row r="264" ht="15.75" customHeight="1" outlineLevel="1">
      <c r="A264" s="211"/>
      <c r="B264" s="212"/>
      <c r="C264" s="213"/>
      <c r="D264" s="214" t="str">
        <f>IFERROR(VLOOKUP($C264,'PORTIFÓLIO'!C:V,2,0),"")</f>
        <v/>
      </c>
      <c r="E264" s="211" t="str">
        <f>IFERROR(VLOOKUP($C264,'PORTIFÓLIO'!C:V,3,0),"")</f>
        <v/>
      </c>
      <c r="F264" s="211" t="str">
        <f>IFERROR(VLOOKUP($C264,'PORTIFÓLIO'!C:V,4,0),"")</f>
        <v/>
      </c>
      <c r="G264" s="215" t="str">
        <f>IFERROR(VLOOKUP($C264,'PORTIFÓLIO'!C:V,5,0),"")</f>
        <v/>
      </c>
      <c r="H264" s="254" t="str">
        <f t="array" ref="H264">IFERROR(INDEX('PORTIFÓLIO'!$H$4:$H$433,MATCH($C264,'PORTIFÓLIO'!$C$4:$C$433,0)),"")</f>
        <v/>
      </c>
      <c r="I264" s="256"/>
      <c r="J264" s="218">
        <f t="shared" si="29"/>
        <v>0</v>
      </c>
      <c r="K264" s="292" t="str">
        <f t="array" ref="K264">IFERROR(I264*INDEX('PORTIFÓLIO'!$S$4:$S$433,MATCH($C264,'PORTIFÓLIO'!$C$4:$C$433,0)),"")</f>
        <v/>
      </c>
      <c r="L264" s="292" t="str">
        <f t="array" ref="L264">IFERROR(J264*INDEX('PORTIFÓLIO'!$S$4:$S$433,MATCH($C264,'PORTIFÓLIO'!$C$4:$C$433,0)),"")</f>
        <v/>
      </c>
      <c r="M264" s="220"/>
      <c r="N264" s="220"/>
      <c r="O264" s="220"/>
      <c r="P264" s="220"/>
      <c r="Q264" s="220"/>
      <c r="R264" s="220"/>
      <c r="S264" s="220"/>
      <c r="T264" s="220"/>
      <c r="U264" s="220"/>
      <c r="V264" s="220"/>
      <c r="W264" s="220"/>
    </row>
    <row r="265" ht="15.75" customHeight="1" outlineLevel="1">
      <c r="A265" s="211"/>
      <c r="B265" s="212"/>
      <c r="C265" s="213"/>
      <c r="D265" s="214" t="str">
        <f>IFERROR(VLOOKUP($C265,'PORTIFÓLIO'!C:V,2,0),"")</f>
        <v/>
      </c>
      <c r="E265" s="211" t="str">
        <f>IFERROR(VLOOKUP($C265,'PORTIFÓLIO'!C:V,3,0),"")</f>
        <v/>
      </c>
      <c r="F265" s="211" t="str">
        <f>IFERROR(VLOOKUP($C265,'PORTIFÓLIO'!C:V,4,0),"")</f>
        <v/>
      </c>
      <c r="G265" s="215" t="str">
        <f>IFERROR(VLOOKUP($C265,'PORTIFÓLIO'!C:V,5,0),"")</f>
        <v/>
      </c>
      <c r="H265" s="254" t="str">
        <f t="array" ref="H265">IFERROR(INDEX('PORTIFÓLIO'!$H$4:$H$433,MATCH($C265,'PORTIFÓLIO'!$C$4:$C$433,0)),"")</f>
        <v/>
      </c>
      <c r="I265" s="256"/>
      <c r="J265" s="218">
        <f t="shared" si="29"/>
        <v>0</v>
      </c>
      <c r="K265" s="292" t="str">
        <f t="array" ref="K265">IFERROR(I265*INDEX('PORTIFÓLIO'!$S$4:$S$433,MATCH($C265,'PORTIFÓLIO'!$C$4:$C$433,0)),"")</f>
        <v/>
      </c>
      <c r="L265" s="292" t="str">
        <f t="array" ref="L265">IFERROR(J265*INDEX('PORTIFÓLIO'!$S$4:$S$433,MATCH($C265,'PORTIFÓLIO'!$C$4:$C$433,0)),"")</f>
        <v/>
      </c>
      <c r="M265" s="220"/>
      <c r="N265" s="220"/>
      <c r="O265" s="220"/>
      <c r="P265" s="220"/>
      <c r="Q265" s="220"/>
      <c r="R265" s="220"/>
      <c r="S265" s="220"/>
      <c r="T265" s="220"/>
      <c r="U265" s="220"/>
      <c r="V265" s="220"/>
      <c r="W265" s="220"/>
    </row>
    <row r="266" ht="15.75" customHeight="1" outlineLevel="1">
      <c r="A266" s="211"/>
      <c r="B266" s="212"/>
      <c r="C266" s="213"/>
      <c r="D266" s="214" t="str">
        <f>IFERROR(VLOOKUP($C266,'PORTIFÓLIO'!C:V,2,0),"")</f>
        <v/>
      </c>
      <c r="E266" s="211" t="str">
        <f>IFERROR(VLOOKUP($C266,'PORTIFÓLIO'!C:V,3,0),"")</f>
        <v/>
      </c>
      <c r="F266" s="211" t="str">
        <f>IFERROR(VLOOKUP($C266,'PORTIFÓLIO'!C:V,4,0),"")</f>
        <v/>
      </c>
      <c r="G266" s="215" t="str">
        <f>IFERROR(VLOOKUP($C266,'PORTIFÓLIO'!C:V,5,0),"")</f>
        <v/>
      </c>
      <c r="H266" s="254" t="str">
        <f t="array" ref="H266">IFERROR(INDEX('PORTIFÓLIO'!$H$4:$H$433,MATCH($C266,'PORTIFÓLIO'!$C$4:$C$433,0)),"")</f>
        <v/>
      </c>
      <c r="I266" s="256"/>
      <c r="J266" s="218">
        <f t="shared" si="29"/>
        <v>0</v>
      </c>
      <c r="K266" s="292" t="str">
        <f t="array" ref="K266">IFERROR(I266*INDEX('PORTIFÓLIO'!$S$4:$S$433,MATCH($C266,'PORTIFÓLIO'!$C$4:$C$433,0)),"")</f>
        <v/>
      </c>
      <c r="L266" s="292" t="str">
        <f t="array" ref="L266">IFERROR(J266*INDEX('PORTIFÓLIO'!$S$4:$S$433,MATCH($C266,'PORTIFÓLIO'!$C$4:$C$433,0)),"")</f>
        <v/>
      </c>
      <c r="M266" s="220"/>
      <c r="N266" s="220"/>
      <c r="O266" s="220"/>
      <c r="P266" s="220"/>
      <c r="Q266" s="220"/>
      <c r="R266" s="220"/>
      <c r="S266" s="220"/>
      <c r="T266" s="220"/>
      <c r="U266" s="220"/>
      <c r="V266" s="220"/>
      <c r="W266" s="220"/>
    </row>
    <row r="267" ht="15.75" customHeight="1" outlineLevel="1">
      <c r="A267" s="211"/>
      <c r="B267" s="212"/>
      <c r="C267" s="213"/>
      <c r="D267" s="214" t="str">
        <f>IFERROR(VLOOKUP($C267,'PORTIFÓLIO'!C:V,2,0),"")</f>
        <v/>
      </c>
      <c r="E267" s="211" t="str">
        <f>IFERROR(VLOOKUP($C267,'PORTIFÓLIO'!C:V,3,0),"")</f>
        <v/>
      </c>
      <c r="F267" s="211" t="str">
        <f>IFERROR(VLOOKUP($C267,'PORTIFÓLIO'!C:V,4,0),"")</f>
        <v/>
      </c>
      <c r="G267" s="215" t="str">
        <f>IFERROR(VLOOKUP($C267,'PORTIFÓLIO'!C:V,5,0),"")</f>
        <v/>
      </c>
      <c r="H267" s="254" t="str">
        <f t="array" ref="H267">IFERROR(INDEX('PORTIFÓLIO'!$H$4:$H$433,MATCH($C267,'PORTIFÓLIO'!$C$4:$C$433,0)),"")</f>
        <v/>
      </c>
      <c r="I267" s="256"/>
      <c r="J267" s="218">
        <f t="shared" si="29"/>
        <v>0</v>
      </c>
      <c r="K267" s="292" t="str">
        <f t="array" ref="K267">IFERROR(I267*INDEX('PORTIFÓLIO'!$S$4:$S$433,MATCH($C267,'PORTIFÓLIO'!$C$4:$C$433,0)),"")</f>
        <v/>
      </c>
      <c r="L267" s="292" t="str">
        <f t="array" ref="L267">IFERROR(J267*INDEX('PORTIFÓLIO'!$S$4:$S$433,MATCH($C267,'PORTIFÓLIO'!$C$4:$C$433,0)),"")</f>
        <v/>
      </c>
      <c r="M267" s="220"/>
      <c r="N267" s="220"/>
      <c r="O267" s="220"/>
      <c r="P267" s="220"/>
      <c r="Q267" s="220"/>
      <c r="R267" s="220"/>
      <c r="S267" s="220"/>
      <c r="T267" s="220"/>
      <c r="U267" s="220"/>
      <c r="V267" s="220"/>
      <c r="W267" s="220"/>
    </row>
    <row r="268" ht="15.75" customHeight="1" outlineLevel="1">
      <c r="A268" s="211"/>
      <c r="B268" s="212"/>
      <c r="C268" s="213"/>
      <c r="D268" s="214" t="str">
        <f>IFERROR(VLOOKUP($C268,'PORTIFÓLIO'!C:V,2,0),"")</f>
        <v/>
      </c>
      <c r="E268" s="211" t="str">
        <f>IFERROR(VLOOKUP($C268,'PORTIFÓLIO'!C:V,3,0),"")</f>
        <v/>
      </c>
      <c r="F268" s="211" t="str">
        <f>IFERROR(VLOOKUP($C268,'PORTIFÓLIO'!C:V,4,0),"")</f>
        <v/>
      </c>
      <c r="G268" s="215" t="str">
        <f>IFERROR(VLOOKUP($C268,'PORTIFÓLIO'!C:V,5,0),"")</f>
        <v/>
      </c>
      <c r="H268" s="254" t="str">
        <f t="array" ref="H268">IFERROR(INDEX('PORTIFÓLIO'!$H$4:$H$433,MATCH($C268,'PORTIFÓLIO'!$C$4:$C$433,0)),"")</f>
        <v/>
      </c>
      <c r="I268" s="256"/>
      <c r="J268" s="218">
        <f t="shared" si="29"/>
        <v>0</v>
      </c>
      <c r="K268" s="292" t="str">
        <f t="array" ref="K268">IFERROR(I268*INDEX('PORTIFÓLIO'!$S$4:$S$433,MATCH($C268,'PORTIFÓLIO'!$C$4:$C$433,0)),"")</f>
        <v/>
      </c>
      <c r="L268" s="292" t="str">
        <f t="array" ref="L268">IFERROR(J268*INDEX('PORTIFÓLIO'!$S$4:$S$433,MATCH($C268,'PORTIFÓLIO'!$C$4:$C$433,0)),"")</f>
        <v/>
      </c>
      <c r="M268" s="220"/>
      <c r="N268" s="220"/>
      <c r="O268" s="220"/>
      <c r="P268" s="220"/>
      <c r="Q268" s="220"/>
      <c r="R268" s="220"/>
      <c r="S268" s="220"/>
      <c r="T268" s="220"/>
      <c r="U268" s="220"/>
      <c r="V268" s="220"/>
      <c r="W268" s="220"/>
    </row>
    <row r="269" ht="15.75" customHeight="1" outlineLevel="1">
      <c r="A269" s="211"/>
      <c r="B269" s="212"/>
      <c r="C269" s="213"/>
      <c r="D269" s="214" t="str">
        <f>IFERROR(VLOOKUP($C269,'PORTIFÓLIO'!C:V,2,0),"")</f>
        <v/>
      </c>
      <c r="E269" s="211" t="str">
        <f>IFERROR(VLOOKUP($C269,'PORTIFÓLIO'!C:V,3,0),"")</f>
        <v/>
      </c>
      <c r="F269" s="211" t="str">
        <f>IFERROR(VLOOKUP($C269,'PORTIFÓLIO'!C:V,4,0),"")</f>
        <v/>
      </c>
      <c r="G269" s="215" t="str">
        <f>IFERROR(VLOOKUP($C269,'PORTIFÓLIO'!C:V,5,0),"")</f>
        <v/>
      </c>
      <c r="H269" s="254" t="str">
        <f t="array" ref="H269">IFERROR(INDEX('PORTIFÓLIO'!$H$4:$H$433,MATCH($C269,'PORTIFÓLIO'!$C$4:$C$433,0)),"")</f>
        <v/>
      </c>
      <c r="I269" s="256"/>
      <c r="J269" s="218">
        <f t="shared" si="29"/>
        <v>0</v>
      </c>
      <c r="K269" s="292" t="str">
        <f t="array" ref="K269">IFERROR(I269*INDEX('PORTIFÓLIO'!$S$4:$S$433,MATCH($C269,'PORTIFÓLIO'!$C$4:$C$433,0)),"")</f>
        <v/>
      </c>
      <c r="L269" s="292" t="str">
        <f t="array" ref="L269">IFERROR(J269*INDEX('PORTIFÓLIO'!$S$4:$S$433,MATCH($C269,'PORTIFÓLIO'!$C$4:$C$433,0)),"")</f>
        <v/>
      </c>
      <c r="M269" s="220"/>
      <c r="N269" s="220"/>
      <c r="O269" s="220"/>
      <c r="P269" s="220"/>
      <c r="Q269" s="220"/>
      <c r="R269" s="220"/>
      <c r="S269" s="220"/>
      <c r="T269" s="220"/>
      <c r="U269" s="220"/>
      <c r="V269" s="220"/>
      <c r="W269" s="220"/>
    </row>
    <row r="270" ht="15.75" customHeight="1" outlineLevel="1">
      <c r="A270" s="211"/>
      <c r="B270" s="212"/>
      <c r="C270" s="213"/>
      <c r="D270" s="214" t="str">
        <f>IFERROR(VLOOKUP($C270,'PORTIFÓLIO'!C:V,2,0),"")</f>
        <v/>
      </c>
      <c r="E270" s="211" t="str">
        <f>IFERROR(VLOOKUP($C270,'PORTIFÓLIO'!C:V,3,0),"")</f>
        <v/>
      </c>
      <c r="F270" s="211" t="str">
        <f>IFERROR(VLOOKUP($C270,'PORTIFÓLIO'!C:V,4,0),"")</f>
        <v/>
      </c>
      <c r="G270" s="215" t="str">
        <f>IFERROR(VLOOKUP($C270,'PORTIFÓLIO'!C:V,5,0),"")</f>
        <v/>
      </c>
      <c r="H270" s="254" t="str">
        <f t="array" ref="H270">IFERROR(INDEX('PORTIFÓLIO'!$H$4:$H$433,MATCH($C270,'PORTIFÓLIO'!$C$4:$C$433,0)),"")</f>
        <v/>
      </c>
      <c r="I270" s="256"/>
      <c r="J270" s="218">
        <f t="shared" si="29"/>
        <v>0</v>
      </c>
      <c r="K270" s="292" t="str">
        <f t="array" ref="K270">IFERROR(I270*INDEX('PORTIFÓLIO'!$S$4:$S$433,MATCH($C270,'PORTIFÓLIO'!$C$4:$C$433,0)),"")</f>
        <v/>
      </c>
      <c r="L270" s="292" t="str">
        <f t="array" ref="L270">IFERROR(J270*INDEX('PORTIFÓLIO'!$S$4:$S$433,MATCH($C270,'PORTIFÓLIO'!$C$4:$C$433,0)),"")</f>
        <v/>
      </c>
      <c r="M270" s="220"/>
      <c r="N270" s="220"/>
      <c r="O270" s="220"/>
      <c r="P270" s="220"/>
      <c r="Q270" s="220"/>
      <c r="R270" s="220"/>
      <c r="S270" s="220"/>
      <c r="T270" s="220"/>
      <c r="U270" s="220"/>
      <c r="V270" s="220"/>
      <c r="W270" s="220"/>
    </row>
    <row r="271" ht="15.75" customHeight="1">
      <c r="A271" s="229" t="s">
        <v>1185</v>
      </c>
      <c r="B271" s="230"/>
      <c r="C271" s="231"/>
      <c r="D271" s="232"/>
      <c r="E271" s="231"/>
      <c r="F271" s="231"/>
      <c r="G271" s="233"/>
      <c r="H271" s="233"/>
      <c r="I271" s="258"/>
      <c r="J271" s="236"/>
      <c r="K271" s="237">
        <f t="shared" ref="K271:L271" si="30">SUBTOTAL(9,K272:K285)</f>
        <v>0</v>
      </c>
      <c r="L271" s="237">
        <f t="shared" si="30"/>
        <v>0</v>
      </c>
      <c r="M271" s="220"/>
      <c r="N271" s="220"/>
      <c r="O271" s="220"/>
      <c r="P271" s="220"/>
      <c r="Q271" s="220"/>
      <c r="R271" s="220"/>
      <c r="S271" s="220"/>
      <c r="T271" s="220"/>
      <c r="U271" s="220"/>
      <c r="V271" s="220"/>
      <c r="W271" s="220"/>
    </row>
    <row r="272" ht="15.75" customHeight="1" outlineLevel="1">
      <c r="A272" s="213"/>
      <c r="B272" s="212"/>
      <c r="C272" s="213"/>
      <c r="D272" s="214" t="str">
        <f>IFERROR(VLOOKUP($C272,'PORTIFÓLIO'!C:V,2,0),"")</f>
        <v/>
      </c>
      <c r="E272" s="211" t="str">
        <f>IFERROR(VLOOKUP($C272,'PORTIFÓLIO'!C:V,3,0),"")</f>
        <v/>
      </c>
      <c r="F272" s="211" t="str">
        <f>IFERROR(VLOOKUP($C272,'PORTIFÓLIO'!C:V,4,0),"")</f>
        <v/>
      </c>
      <c r="G272" s="215" t="str">
        <f>IFERROR(VLOOKUP($C272,'PORTIFÓLIO'!C:V,5,0),"")</f>
        <v/>
      </c>
      <c r="H272" s="254" t="str">
        <f t="array" ref="H272">IFERROR(INDEX('PORTIFÓLIO'!$H$4:$H$433,MATCH($C272,'PORTIFÓLIO'!$C$4:$C$433,0)),"")</f>
        <v/>
      </c>
      <c r="I272" s="255"/>
      <c r="J272" s="218">
        <f t="shared" ref="J272:J289" si="31">I272*$B$2</f>
        <v>0</v>
      </c>
      <c r="K272" s="292" t="str">
        <f t="array" ref="K272">IFERROR(I272*INDEX('PORTIFÓLIO'!$S$4:$S$433,MATCH($C272,'PORTIFÓLIO'!$C$4:$C$433,0)),"")</f>
        <v/>
      </c>
      <c r="L272" s="292" t="str">
        <f t="array" ref="L272">IFERROR(J272*INDEX('PORTIFÓLIO'!$S$4:$S$433,MATCH($C272,'PORTIFÓLIO'!$C$4:$C$433,0)),"")</f>
        <v/>
      </c>
      <c r="M272" s="220"/>
      <c r="N272" s="220"/>
      <c r="O272" s="220"/>
      <c r="P272" s="220"/>
      <c r="Q272" s="220"/>
      <c r="R272" s="220"/>
      <c r="S272" s="220"/>
      <c r="T272" s="220"/>
      <c r="U272" s="220"/>
      <c r="V272" s="220"/>
      <c r="W272" s="220"/>
    </row>
    <row r="273" ht="15.75" customHeight="1" outlineLevel="1">
      <c r="A273" s="211"/>
      <c r="B273" s="212"/>
      <c r="C273" s="213"/>
      <c r="D273" s="214" t="str">
        <f>IFERROR(VLOOKUP($C273,'PORTIFÓLIO'!C:V,2,0),"")</f>
        <v/>
      </c>
      <c r="E273" s="211" t="str">
        <f>IFERROR(VLOOKUP($C273,'PORTIFÓLIO'!C:V,3,0),"")</f>
        <v/>
      </c>
      <c r="F273" s="211" t="str">
        <f>IFERROR(VLOOKUP($C273,'PORTIFÓLIO'!C:V,4,0),"")</f>
        <v/>
      </c>
      <c r="G273" s="215" t="str">
        <f>IFERROR(VLOOKUP($C273,'PORTIFÓLIO'!C:V,5,0),"")</f>
        <v/>
      </c>
      <c r="H273" s="254" t="str">
        <f t="array" ref="H273">IFERROR(INDEX('PORTIFÓLIO'!$H$4:$H$433,MATCH($C273,'PORTIFÓLIO'!$C$4:$C$433,0)),"")</f>
        <v/>
      </c>
      <c r="I273" s="256"/>
      <c r="J273" s="218">
        <f t="shared" si="31"/>
        <v>0</v>
      </c>
      <c r="K273" s="292" t="str">
        <f t="array" ref="K273">IFERROR(I273*INDEX('PORTIFÓLIO'!$S$4:$S$433,MATCH($C273,'PORTIFÓLIO'!$C$4:$C$433,0)),"")</f>
        <v/>
      </c>
      <c r="L273" s="292" t="str">
        <f t="array" ref="L273">IFERROR(J273*INDEX('PORTIFÓLIO'!$S$4:$S$433,MATCH($C273,'PORTIFÓLIO'!$C$4:$C$433,0)),"")</f>
        <v/>
      </c>
      <c r="M273" s="220"/>
      <c r="N273" s="220"/>
      <c r="O273" s="220"/>
      <c r="P273" s="220"/>
      <c r="Q273" s="220"/>
      <c r="R273" s="220"/>
      <c r="S273" s="220"/>
      <c r="T273" s="220"/>
      <c r="U273" s="220"/>
      <c r="V273" s="220"/>
      <c r="W273" s="220"/>
    </row>
    <row r="274" ht="15.75" customHeight="1" outlineLevel="1">
      <c r="A274" s="211"/>
      <c r="B274" s="212"/>
      <c r="C274" s="213"/>
      <c r="D274" s="214" t="str">
        <f>IFERROR(VLOOKUP($C274,'PORTIFÓLIO'!C:V,2,0),"")</f>
        <v/>
      </c>
      <c r="E274" s="211" t="str">
        <f>IFERROR(VLOOKUP($C274,'PORTIFÓLIO'!C:V,3,0),"")</f>
        <v/>
      </c>
      <c r="F274" s="211" t="str">
        <f>IFERROR(VLOOKUP($C274,'PORTIFÓLIO'!C:V,4,0),"")</f>
        <v/>
      </c>
      <c r="G274" s="215" t="str">
        <f>IFERROR(VLOOKUP($C274,'PORTIFÓLIO'!C:V,5,0),"")</f>
        <v/>
      </c>
      <c r="H274" s="254" t="str">
        <f t="array" ref="H274">IFERROR(INDEX('PORTIFÓLIO'!$H$4:$H$433,MATCH($C274,'PORTIFÓLIO'!$C$4:$C$433,0)),"")</f>
        <v/>
      </c>
      <c r="I274" s="256"/>
      <c r="J274" s="218">
        <f t="shared" si="31"/>
        <v>0</v>
      </c>
      <c r="K274" s="292" t="str">
        <f t="array" ref="K274">IFERROR(I274*INDEX('PORTIFÓLIO'!$S$4:$S$433,MATCH($C274,'PORTIFÓLIO'!$C$4:$C$433,0)),"")</f>
        <v/>
      </c>
      <c r="L274" s="292" t="str">
        <f t="array" ref="L274">IFERROR(J274*INDEX('PORTIFÓLIO'!$S$4:$S$433,MATCH($C274,'PORTIFÓLIO'!$C$4:$C$433,0)),"")</f>
        <v/>
      </c>
      <c r="M274" s="220"/>
      <c r="N274" s="220"/>
      <c r="O274" s="220"/>
      <c r="P274" s="220"/>
      <c r="Q274" s="220"/>
      <c r="R274" s="220"/>
      <c r="S274" s="220"/>
      <c r="T274" s="220"/>
      <c r="U274" s="220"/>
      <c r="V274" s="220"/>
      <c r="W274" s="220"/>
    </row>
    <row r="275" ht="15.75" customHeight="1" outlineLevel="1">
      <c r="A275" s="211"/>
      <c r="B275" s="212"/>
      <c r="C275" s="213"/>
      <c r="D275" s="214" t="str">
        <f>IFERROR(VLOOKUP($C275,'PORTIFÓLIO'!C:V,2,0),"")</f>
        <v/>
      </c>
      <c r="E275" s="211" t="str">
        <f>IFERROR(VLOOKUP($C275,'PORTIFÓLIO'!C:V,3,0),"")</f>
        <v/>
      </c>
      <c r="F275" s="211" t="str">
        <f>IFERROR(VLOOKUP($C275,'PORTIFÓLIO'!C:V,4,0),"")</f>
        <v/>
      </c>
      <c r="G275" s="215" t="str">
        <f>IFERROR(VLOOKUP($C275,'PORTIFÓLIO'!C:V,5,0),"")</f>
        <v/>
      </c>
      <c r="H275" s="254" t="str">
        <f t="array" ref="H275">IFERROR(INDEX('PORTIFÓLIO'!$H$4:$H$433,MATCH($C275,'PORTIFÓLIO'!$C$4:$C$433,0)),"")</f>
        <v/>
      </c>
      <c r="I275" s="256"/>
      <c r="J275" s="218">
        <f t="shared" si="31"/>
        <v>0</v>
      </c>
      <c r="K275" s="292" t="str">
        <f t="array" ref="K275">IFERROR(I275*INDEX('PORTIFÓLIO'!$S$4:$S$433,MATCH($C275,'PORTIFÓLIO'!$C$4:$C$433,0)),"")</f>
        <v/>
      </c>
      <c r="L275" s="292" t="str">
        <f t="array" ref="L275">IFERROR(J275*INDEX('PORTIFÓLIO'!$S$4:$S$433,MATCH($C275,'PORTIFÓLIO'!$C$4:$C$433,0)),"")</f>
        <v/>
      </c>
      <c r="M275" s="220"/>
      <c r="N275" s="220"/>
      <c r="O275" s="220"/>
      <c r="P275" s="220"/>
      <c r="Q275" s="220"/>
      <c r="R275" s="220"/>
      <c r="S275" s="220"/>
      <c r="T275" s="220"/>
      <c r="U275" s="220"/>
      <c r="V275" s="220"/>
      <c r="W275" s="220"/>
    </row>
    <row r="276" ht="15.75" customHeight="1" outlineLevel="1">
      <c r="A276" s="211"/>
      <c r="B276" s="212"/>
      <c r="C276" s="213"/>
      <c r="D276" s="214" t="str">
        <f>IFERROR(VLOOKUP($C276,'PORTIFÓLIO'!C:V,2,0),"")</f>
        <v/>
      </c>
      <c r="E276" s="211" t="str">
        <f>IFERROR(VLOOKUP($C276,'PORTIFÓLIO'!C:V,3,0),"")</f>
        <v/>
      </c>
      <c r="F276" s="211" t="str">
        <f>IFERROR(VLOOKUP($C276,'PORTIFÓLIO'!C:V,4,0),"")</f>
        <v/>
      </c>
      <c r="G276" s="215" t="str">
        <f>IFERROR(VLOOKUP($C276,'PORTIFÓLIO'!C:V,5,0),"")</f>
        <v/>
      </c>
      <c r="H276" s="254" t="str">
        <f t="array" ref="H276">IFERROR(INDEX('PORTIFÓLIO'!$H$4:$H$433,MATCH($C276,'PORTIFÓLIO'!$C$4:$C$433,0)),"")</f>
        <v/>
      </c>
      <c r="I276" s="256"/>
      <c r="J276" s="218">
        <f t="shared" si="31"/>
        <v>0</v>
      </c>
      <c r="K276" s="292" t="str">
        <f t="array" ref="K276">IFERROR(I276*INDEX('PORTIFÓLIO'!$S$4:$S$433,MATCH($C276,'PORTIFÓLIO'!$C$4:$C$433,0)),"")</f>
        <v/>
      </c>
      <c r="L276" s="292" t="str">
        <f t="array" ref="L276">IFERROR(J276*INDEX('PORTIFÓLIO'!$S$4:$S$433,MATCH($C276,'PORTIFÓLIO'!$C$4:$C$433,0)),"")</f>
        <v/>
      </c>
      <c r="M276" s="220"/>
      <c r="N276" s="220"/>
      <c r="O276" s="220"/>
      <c r="P276" s="220"/>
      <c r="Q276" s="220"/>
      <c r="R276" s="220"/>
      <c r="S276" s="220"/>
      <c r="T276" s="220"/>
      <c r="U276" s="220"/>
      <c r="V276" s="220"/>
      <c r="W276" s="220"/>
    </row>
    <row r="277" ht="15.75" customHeight="1" outlineLevel="1">
      <c r="A277" s="211"/>
      <c r="B277" s="212"/>
      <c r="C277" s="213"/>
      <c r="D277" s="214" t="str">
        <f>IFERROR(VLOOKUP($C277,'PORTIFÓLIO'!C:V,2,0),"")</f>
        <v/>
      </c>
      <c r="E277" s="211" t="str">
        <f>IFERROR(VLOOKUP($C277,'PORTIFÓLIO'!C:V,3,0),"")</f>
        <v/>
      </c>
      <c r="F277" s="211" t="str">
        <f>IFERROR(VLOOKUP($C277,'PORTIFÓLIO'!C:V,4,0),"")</f>
        <v/>
      </c>
      <c r="G277" s="215" t="str">
        <f>IFERROR(VLOOKUP($C277,'PORTIFÓLIO'!C:V,5,0),"")</f>
        <v/>
      </c>
      <c r="H277" s="254" t="str">
        <f t="array" ref="H277">IFERROR(INDEX('PORTIFÓLIO'!$H$4:$H$433,MATCH($C277,'PORTIFÓLIO'!$C$4:$C$433,0)),"")</f>
        <v/>
      </c>
      <c r="I277" s="256"/>
      <c r="J277" s="218">
        <f t="shared" si="31"/>
        <v>0</v>
      </c>
      <c r="K277" s="292" t="str">
        <f t="array" ref="K277">IFERROR(I277*INDEX('PORTIFÓLIO'!$S$4:$S$433,MATCH($C277,'PORTIFÓLIO'!$C$4:$C$433,0)),"")</f>
        <v/>
      </c>
      <c r="L277" s="292" t="str">
        <f t="array" ref="L277">IFERROR(J277*INDEX('PORTIFÓLIO'!$S$4:$S$433,MATCH($C277,'PORTIFÓLIO'!$C$4:$C$433,0)),"")</f>
        <v/>
      </c>
      <c r="M277" s="220"/>
      <c r="N277" s="220"/>
      <c r="O277" s="220"/>
      <c r="P277" s="220"/>
      <c r="Q277" s="220"/>
      <c r="R277" s="220"/>
      <c r="S277" s="220"/>
      <c r="T277" s="220"/>
      <c r="U277" s="220"/>
      <c r="V277" s="220"/>
      <c r="W277" s="220"/>
    </row>
    <row r="278" ht="15.75" customHeight="1" outlineLevel="1">
      <c r="A278" s="211"/>
      <c r="B278" s="212"/>
      <c r="C278" s="213"/>
      <c r="D278" s="214" t="str">
        <f>IFERROR(VLOOKUP($C278,'PORTIFÓLIO'!C:V,2,0),"")</f>
        <v/>
      </c>
      <c r="E278" s="211" t="str">
        <f>IFERROR(VLOOKUP($C278,'PORTIFÓLIO'!C:V,3,0),"")</f>
        <v/>
      </c>
      <c r="F278" s="211" t="str">
        <f>IFERROR(VLOOKUP($C278,'PORTIFÓLIO'!C:V,4,0),"")</f>
        <v/>
      </c>
      <c r="G278" s="215" t="str">
        <f>IFERROR(VLOOKUP($C278,'PORTIFÓLIO'!C:V,5,0),"")</f>
        <v/>
      </c>
      <c r="H278" s="254" t="str">
        <f t="array" ref="H278">IFERROR(INDEX('PORTIFÓLIO'!$H$4:$H$433,MATCH($C278,'PORTIFÓLIO'!$C$4:$C$433,0)),"")</f>
        <v/>
      </c>
      <c r="I278" s="256"/>
      <c r="J278" s="218">
        <f t="shared" si="31"/>
        <v>0</v>
      </c>
      <c r="K278" s="292" t="str">
        <f t="array" ref="K278">IFERROR(I278*INDEX('PORTIFÓLIO'!$S$4:$S$433,MATCH($C278,'PORTIFÓLIO'!$C$4:$C$433,0)),"")</f>
        <v/>
      </c>
      <c r="L278" s="292" t="str">
        <f t="array" ref="L278">IFERROR(J278*INDEX('PORTIFÓLIO'!$S$4:$S$433,MATCH($C278,'PORTIFÓLIO'!$C$4:$C$433,0)),"")</f>
        <v/>
      </c>
      <c r="M278" s="220"/>
      <c r="N278" s="220"/>
      <c r="O278" s="220"/>
      <c r="P278" s="220"/>
      <c r="Q278" s="220"/>
      <c r="R278" s="220"/>
      <c r="S278" s="220"/>
      <c r="T278" s="220"/>
      <c r="U278" s="220"/>
      <c r="V278" s="220"/>
      <c r="W278" s="220"/>
    </row>
    <row r="279" ht="15.75" customHeight="1" outlineLevel="1">
      <c r="A279" s="211"/>
      <c r="B279" s="212"/>
      <c r="C279" s="213"/>
      <c r="D279" s="214" t="str">
        <f>IFERROR(VLOOKUP($C279,'PORTIFÓLIO'!C:V,2,0),"")</f>
        <v/>
      </c>
      <c r="E279" s="211" t="str">
        <f>IFERROR(VLOOKUP($C279,'PORTIFÓLIO'!C:V,3,0),"")</f>
        <v/>
      </c>
      <c r="F279" s="211" t="str">
        <f>IFERROR(VLOOKUP($C279,'PORTIFÓLIO'!C:V,4,0),"")</f>
        <v/>
      </c>
      <c r="G279" s="215" t="str">
        <f>IFERROR(VLOOKUP($C279,'PORTIFÓLIO'!C:V,5,0),"")</f>
        <v/>
      </c>
      <c r="H279" s="254" t="str">
        <f t="array" ref="H279">IFERROR(INDEX('PORTIFÓLIO'!$H$4:$H$433,MATCH($C279,'PORTIFÓLIO'!$C$4:$C$433,0)),"")</f>
        <v/>
      </c>
      <c r="I279" s="256"/>
      <c r="J279" s="218">
        <f t="shared" si="31"/>
        <v>0</v>
      </c>
      <c r="K279" s="292" t="str">
        <f t="array" ref="K279">IFERROR(I279*INDEX('PORTIFÓLIO'!$S$4:$S$433,MATCH($C279,'PORTIFÓLIO'!$C$4:$C$433,0)),"")</f>
        <v/>
      </c>
      <c r="L279" s="292" t="str">
        <f t="array" ref="L279">IFERROR(J279*INDEX('PORTIFÓLIO'!$S$4:$S$433,MATCH($C279,'PORTIFÓLIO'!$C$4:$C$433,0)),"")</f>
        <v/>
      </c>
      <c r="M279" s="220"/>
      <c r="N279" s="220"/>
      <c r="O279" s="220"/>
      <c r="P279" s="220"/>
      <c r="Q279" s="220"/>
      <c r="R279" s="220"/>
      <c r="S279" s="220"/>
      <c r="T279" s="220"/>
      <c r="U279" s="220"/>
      <c r="V279" s="220"/>
      <c r="W279" s="220"/>
    </row>
    <row r="280" ht="15.75" customHeight="1" outlineLevel="1">
      <c r="A280" s="211"/>
      <c r="B280" s="212"/>
      <c r="C280" s="213"/>
      <c r="D280" s="214" t="str">
        <f>IFERROR(VLOOKUP($C280,'PORTIFÓLIO'!C:V,2,0),"")</f>
        <v/>
      </c>
      <c r="E280" s="211" t="str">
        <f>IFERROR(VLOOKUP($C280,'PORTIFÓLIO'!C:V,3,0),"")</f>
        <v/>
      </c>
      <c r="F280" s="211" t="str">
        <f>IFERROR(VLOOKUP($C280,'PORTIFÓLIO'!C:V,4,0),"")</f>
        <v/>
      </c>
      <c r="G280" s="215" t="str">
        <f>IFERROR(VLOOKUP($C280,'PORTIFÓLIO'!C:V,5,0),"")</f>
        <v/>
      </c>
      <c r="H280" s="254" t="str">
        <f t="array" ref="H280">IFERROR(INDEX('PORTIFÓLIO'!$H$4:$H$433,MATCH($C280,'PORTIFÓLIO'!$C$4:$C$433,0)),"")</f>
        <v/>
      </c>
      <c r="I280" s="255"/>
      <c r="J280" s="218">
        <f t="shared" si="31"/>
        <v>0</v>
      </c>
      <c r="K280" s="292" t="str">
        <f t="array" ref="K280">IFERROR(I280*INDEX('PORTIFÓLIO'!$S$4:$S$433,MATCH($C280,'PORTIFÓLIO'!$C$4:$C$433,0)),"")</f>
        <v/>
      </c>
      <c r="L280" s="292" t="str">
        <f t="array" ref="L280">IFERROR(J280*INDEX('PORTIFÓLIO'!$S$4:$S$433,MATCH($C280,'PORTIFÓLIO'!$C$4:$C$433,0)),"")</f>
        <v/>
      </c>
      <c r="M280" s="220"/>
      <c r="N280" s="220"/>
      <c r="O280" s="220"/>
      <c r="P280" s="220"/>
      <c r="Q280" s="220"/>
      <c r="R280" s="220"/>
      <c r="S280" s="220"/>
      <c r="T280" s="220"/>
      <c r="U280" s="220"/>
      <c r="V280" s="220"/>
      <c r="W280" s="220"/>
    </row>
    <row r="281" ht="15.75" customHeight="1" outlineLevel="1">
      <c r="A281" s="211"/>
      <c r="B281" s="212"/>
      <c r="C281" s="213"/>
      <c r="D281" s="214" t="str">
        <f>IFERROR(VLOOKUP($C281,'PORTIFÓLIO'!C:V,2,0),"")</f>
        <v/>
      </c>
      <c r="E281" s="211" t="str">
        <f>IFERROR(VLOOKUP($C281,'PORTIFÓLIO'!C:V,3,0),"")</f>
        <v/>
      </c>
      <c r="F281" s="211" t="str">
        <f>IFERROR(VLOOKUP($C281,'PORTIFÓLIO'!C:V,4,0),"")</f>
        <v/>
      </c>
      <c r="G281" s="215" t="str">
        <f>IFERROR(VLOOKUP($C281,'PORTIFÓLIO'!C:V,5,0),"")</f>
        <v/>
      </c>
      <c r="H281" s="254" t="str">
        <f t="array" ref="H281">IFERROR(INDEX('PORTIFÓLIO'!$H$4:$H$433,MATCH($C281,'PORTIFÓLIO'!$C$4:$C$433,0)),"")</f>
        <v/>
      </c>
      <c r="I281" s="256"/>
      <c r="J281" s="218">
        <f t="shared" si="31"/>
        <v>0</v>
      </c>
      <c r="K281" s="292" t="str">
        <f t="array" ref="K281">IFERROR(I281*INDEX('PORTIFÓLIO'!$S$4:$S$433,MATCH($C281,'PORTIFÓLIO'!$C$4:$C$433,0)),"")</f>
        <v/>
      </c>
      <c r="L281" s="292" t="str">
        <f t="array" ref="L281">IFERROR(J281*INDEX('PORTIFÓLIO'!$S$4:$S$433,MATCH($C281,'PORTIFÓLIO'!$C$4:$C$433,0)),"")</f>
        <v/>
      </c>
      <c r="M281" s="220"/>
      <c r="N281" s="220"/>
      <c r="O281" s="220"/>
      <c r="P281" s="220"/>
      <c r="Q281" s="220"/>
      <c r="R281" s="220"/>
      <c r="S281" s="220"/>
      <c r="T281" s="220"/>
      <c r="U281" s="220"/>
      <c r="V281" s="220"/>
      <c r="W281" s="220"/>
    </row>
    <row r="282" ht="15.75" customHeight="1" outlineLevel="1">
      <c r="A282" s="211"/>
      <c r="B282" s="212"/>
      <c r="C282" s="213"/>
      <c r="D282" s="214" t="str">
        <f>IFERROR(VLOOKUP($C282,'PORTIFÓLIO'!C:V,2,0),"")</f>
        <v/>
      </c>
      <c r="E282" s="211" t="str">
        <f>IFERROR(VLOOKUP($C282,'PORTIFÓLIO'!C:V,3,0),"")</f>
        <v/>
      </c>
      <c r="F282" s="211" t="str">
        <f>IFERROR(VLOOKUP($C282,'PORTIFÓLIO'!C:V,4,0),"")</f>
        <v/>
      </c>
      <c r="G282" s="215" t="str">
        <f>IFERROR(VLOOKUP($C282,'PORTIFÓLIO'!C:V,5,0),"")</f>
        <v/>
      </c>
      <c r="H282" s="254" t="str">
        <f t="array" ref="H282">IFERROR(INDEX('PORTIFÓLIO'!$H$4:$H$433,MATCH($C282,'PORTIFÓLIO'!$C$4:$C$433,0)),"")</f>
        <v/>
      </c>
      <c r="I282" s="256"/>
      <c r="J282" s="218">
        <f t="shared" si="31"/>
        <v>0</v>
      </c>
      <c r="K282" s="292" t="str">
        <f t="array" ref="K282">IFERROR(I282*INDEX('PORTIFÓLIO'!$S$4:$S$433,MATCH($C282,'PORTIFÓLIO'!$C$4:$C$433,0)),"")</f>
        <v/>
      </c>
      <c r="L282" s="292" t="str">
        <f t="array" ref="L282">IFERROR(J282*INDEX('PORTIFÓLIO'!$S$4:$S$433,MATCH($C282,'PORTIFÓLIO'!$C$4:$C$433,0)),"")</f>
        <v/>
      </c>
      <c r="M282" s="220"/>
      <c r="N282" s="220"/>
      <c r="O282" s="220"/>
      <c r="P282" s="220"/>
      <c r="Q282" s="220"/>
      <c r="R282" s="220"/>
      <c r="S282" s="220"/>
      <c r="T282" s="220"/>
      <c r="U282" s="220"/>
      <c r="V282" s="220"/>
      <c r="W282" s="220"/>
    </row>
    <row r="283" ht="15.75" customHeight="1" outlineLevel="1">
      <c r="A283" s="211"/>
      <c r="B283" s="212"/>
      <c r="C283" s="213"/>
      <c r="D283" s="214" t="str">
        <f>IFERROR(VLOOKUP($C283,'PORTIFÓLIO'!C:V,2,0),"")</f>
        <v/>
      </c>
      <c r="E283" s="211" t="str">
        <f>IFERROR(VLOOKUP($C283,'PORTIFÓLIO'!C:V,3,0),"")</f>
        <v/>
      </c>
      <c r="F283" s="211" t="str">
        <f>IFERROR(VLOOKUP($C283,'PORTIFÓLIO'!C:V,4,0),"")</f>
        <v/>
      </c>
      <c r="G283" s="215" t="str">
        <f>IFERROR(VLOOKUP($C283,'PORTIFÓLIO'!C:V,5,0),"")</f>
        <v/>
      </c>
      <c r="H283" s="254" t="str">
        <f t="array" ref="H283">IFERROR(INDEX('PORTIFÓLIO'!$H$4:$H$433,MATCH($C283,'PORTIFÓLIO'!$C$4:$C$433,0)),"")</f>
        <v/>
      </c>
      <c r="I283" s="256"/>
      <c r="J283" s="218">
        <f t="shared" si="31"/>
        <v>0</v>
      </c>
      <c r="K283" s="292" t="str">
        <f t="array" ref="K283">IFERROR(I283*INDEX('PORTIFÓLIO'!$S$4:$S$433,MATCH($C283,'PORTIFÓLIO'!$C$4:$C$433,0)),"")</f>
        <v/>
      </c>
      <c r="L283" s="292" t="str">
        <f t="array" ref="L283">IFERROR(J283*INDEX('PORTIFÓLIO'!$S$4:$S$433,MATCH($C283,'PORTIFÓLIO'!$C$4:$C$433,0)),"")</f>
        <v/>
      </c>
      <c r="M283" s="220"/>
      <c r="N283" s="220"/>
      <c r="O283" s="220"/>
      <c r="P283" s="220"/>
      <c r="Q283" s="220"/>
      <c r="R283" s="220"/>
      <c r="S283" s="220"/>
      <c r="T283" s="220"/>
      <c r="U283" s="220"/>
      <c r="V283" s="220"/>
      <c r="W283" s="220"/>
    </row>
    <row r="284" ht="15.75" customHeight="1" outlineLevel="1">
      <c r="A284" s="211"/>
      <c r="B284" s="212"/>
      <c r="C284" s="213"/>
      <c r="D284" s="214" t="str">
        <f>IFERROR(VLOOKUP($C284,'PORTIFÓLIO'!C:V,2,0),"")</f>
        <v/>
      </c>
      <c r="E284" s="211" t="str">
        <f>IFERROR(VLOOKUP($C284,'PORTIFÓLIO'!C:V,3,0),"")</f>
        <v/>
      </c>
      <c r="F284" s="211" t="str">
        <f>IFERROR(VLOOKUP($C284,'PORTIFÓLIO'!C:V,4,0),"")</f>
        <v/>
      </c>
      <c r="G284" s="215" t="str">
        <f>IFERROR(VLOOKUP($C284,'PORTIFÓLIO'!C:V,5,0),"")</f>
        <v/>
      </c>
      <c r="H284" s="254" t="str">
        <f t="array" ref="H284">IFERROR(INDEX('PORTIFÓLIO'!$H$4:$H$433,MATCH($C284,'PORTIFÓLIO'!$C$4:$C$433,0)),"")</f>
        <v/>
      </c>
      <c r="I284" s="256"/>
      <c r="J284" s="218">
        <f t="shared" si="31"/>
        <v>0</v>
      </c>
      <c r="K284" s="292" t="str">
        <f t="array" ref="K284">IFERROR(I284*INDEX('PORTIFÓLIO'!$S$4:$S$433,MATCH($C284,'PORTIFÓLIO'!$C$4:$C$433,0)),"")</f>
        <v/>
      </c>
      <c r="L284" s="292" t="str">
        <f t="array" ref="L284">IFERROR(J284*INDEX('PORTIFÓLIO'!$S$4:$S$433,MATCH($C284,'PORTIFÓLIO'!$C$4:$C$433,0)),"")</f>
        <v/>
      </c>
      <c r="M284" s="220"/>
      <c r="N284" s="220"/>
      <c r="O284" s="220"/>
      <c r="P284" s="220"/>
      <c r="Q284" s="220"/>
      <c r="R284" s="220"/>
      <c r="S284" s="220"/>
      <c r="T284" s="220"/>
      <c r="U284" s="220"/>
      <c r="V284" s="220"/>
      <c r="W284" s="220"/>
    </row>
    <row r="285" ht="15.75" customHeight="1" outlineLevel="1">
      <c r="A285" s="211"/>
      <c r="B285" s="212"/>
      <c r="C285" s="213"/>
      <c r="D285" s="214" t="str">
        <f>IFERROR(VLOOKUP($C285,'PORTIFÓLIO'!C:V,2,0),"")</f>
        <v/>
      </c>
      <c r="E285" s="211" t="str">
        <f>IFERROR(VLOOKUP($C285,'PORTIFÓLIO'!C:V,3,0),"")</f>
        <v/>
      </c>
      <c r="F285" s="211" t="str">
        <f>IFERROR(VLOOKUP($C285,'PORTIFÓLIO'!C:V,4,0),"")</f>
        <v/>
      </c>
      <c r="G285" s="215" t="str">
        <f>IFERROR(VLOOKUP($C285,'PORTIFÓLIO'!C:V,5,0),"")</f>
        <v/>
      </c>
      <c r="H285" s="254" t="str">
        <f t="array" ref="H285">IFERROR(INDEX('PORTIFÓLIO'!$H$4:$H$433,MATCH($C285,'PORTIFÓLIO'!$C$4:$C$433,0)),"")</f>
        <v/>
      </c>
      <c r="I285" s="256"/>
      <c r="J285" s="218">
        <f t="shared" si="31"/>
        <v>0</v>
      </c>
      <c r="K285" s="292" t="str">
        <f t="array" ref="K285">IFERROR(I285*INDEX('PORTIFÓLIO'!$S$4:$S$433,MATCH($C285,'PORTIFÓLIO'!$C$4:$C$433,0)),"")</f>
        <v/>
      </c>
      <c r="L285" s="292" t="str">
        <f t="array" ref="L285">IFERROR(J285*INDEX('PORTIFÓLIO'!$S$4:$S$433,MATCH($C285,'PORTIFÓLIO'!$C$4:$C$433,0)),"")</f>
        <v/>
      </c>
      <c r="M285" s="220"/>
      <c r="N285" s="220"/>
      <c r="O285" s="220"/>
      <c r="P285" s="220"/>
      <c r="Q285" s="220"/>
      <c r="R285" s="220"/>
      <c r="S285" s="220"/>
      <c r="T285" s="220"/>
      <c r="U285" s="220"/>
      <c r="V285" s="220"/>
      <c r="W285" s="220"/>
    </row>
    <row r="286" ht="15.75" customHeight="1" outlineLevel="1">
      <c r="A286" s="211"/>
      <c r="B286" s="212"/>
      <c r="C286" s="213"/>
      <c r="D286" s="214" t="str">
        <f>IFERROR(VLOOKUP($C286,'PORTIFÓLIO'!C:V,2,0),"")</f>
        <v/>
      </c>
      <c r="E286" s="211" t="str">
        <f>IFERROR(VLOOKUP($C286,'PORTIFÓLIO'!C:V,3,0),"")</f>
        <v/>
      </c>
      <c r="F286" s="211" t="str">
        <f>IFERROR(VLOOKUP($C286,'PORTIFÓLIO'!C:V,4,0),"")</f>
        <v/>
      </c>
      <c r="G286" s="215" t="str">
        <f>IFERROR(VLOOKUP($C286,'PORTIFÓLIO'!C:V,5,0),"")</f>
        <v/>
      </c>
      <c r="H286" s="254" t="str">
        <f t="array" ref="H286">IFERROR(INDEX('PORTIFÓLIO'!$H$4:$H$433,MATCH($C286,'PORTIFÓLIO'!$C$4:$C$433,0)),"")</f>
        <v/>
      </c>
      <c r="I286" s="256"/>
      <c r="J286" s="218">
        <f t="shared" si="31"/>
        <v>0</v>
      </c>
      <c r="K286" s="292" t="str">
        <f t="array" ref="K286">IFERROR(I286*INDEX('PORTIFÓLIO'!$S$4:$S$433,MATCH($C286,'PORTIFÓLIO'!$C$4:$C$433,0)),"")</f>
        <v/>
      </c>
      <c r="L286" s="292" t="str">
        <f t="array" ref="L286">IFERROR(J286*INDEX('PORTIFÓLIO'!$S$4:$S$433,MATCH($C286,'PORTIFÓLIO'!$C$4:$C$433,0)),"")</f>
        <v/>
      </c>
      <c r="M286" s="220"/>
      <c r="N286" s="220"/>
      <c r="O286" s="220"/>
      <c r="P286" s="220"/>
      <c r="Q286" s="220"/>
      <c r="R286" s="220"/>
      <c r="S286" s="220"/>
      <c r="T286" s="220"/>
      <c r="U286" s="220"/>
      <c r="V286" s="220"/>
      <c r="W286" s="220"/>
    </row>
    <row r="287" ht="15.75" customHeight="1" outlineLevel="1">
      <c r="A287" s="211"/>
      <c r="B287" s="212"/>
      <c r="C287" s="213"/>
      <c r="D287" s="214" t="str">
        <f>IFERROR(VLOOKUP($C287,'PORTIFÓLIO'!C:V,2,0),"")</f>
        <v/>
      </c>
      <c r="E287" s="211" t="str">
        <f>IFERROR(VLOOKUP($C287,'PORTIFÓLIO'!C:V,3,0),"")</f>
        <v/>
      </c>
      <c r="F287" s="211" t="str">
        <f>IFERROR(VLOOKUP($C287,'PORTIFÓLIO'!C:V,4,0),"")</f>
        <v/>
      </c>
      <c r="G287" s="215" t="str">
        <f>IFERROR(VLOOKUP($C287,'PORTIFÓLIO'!C:V,5,0),"")</f>
        <v/>
      </c>
      <c r="H287" s="254" t="str">
        <f t="array" ref="H287">IFERROR(INDEX('PORTIFÓLIO'!$H$4:$H$433,MATCH($C287,'PORTIFÓLIO'!$C$4:$C$433,0)),"")</f>
        <v/>
      </c>
      <c r="I287" s="256"/>
      <c r="J287" s="218">
        <f t="shared" si="31"/>
        <v>0</v>
      </c>
      <c r="K287" s="292" t="str">
        <f t="array" ref="K287">IFERROR(I287*INDEX('PORTIFÓLIO'!$S$4:$S$433,MATCH($C287,'PORTIFÓLIO'!$C$4:$C$433,0)),"")</f>
        <v/>
      </c>
      <c r="L287" s="292" t="str">
        <f t="array" ref="L287">IFERROR(J287*INDEX('PORTIFÓLIO'!$S$4:$S$433,MATCH($C287,'PORTIFÓLIO'!$C$4:$C$433,0)),"")</f>
        <v/>
      </c>
      <c r="M287" s="220"/>
      <c r="N287" s="220"/>
      <c r="O287" s="220"/>
      <c r="P287" s="220"/>
      <c r="Q287" s="220"/>
      <c r="R287" s="220"/>
      <c r="S287" s="220"/>
      <c r="T287" s="220"/>
      <c r="U287" s="220"/>
      <c r="V287" s="220"/>
      <c r="W287" s="220"/>
    </row>
    <row r="288" ht="15.75" customHeight="1" outlineLevel="1">
      <c r="A288" s="211"/>
      <c r="B288" s="212"/>
      <c r="C288" s="213"/>
      <c r="D288" s="214" t="str">
        <f>IFERROR(VLOOKUP($C288,'PORTIFÓLIO'!C:V,2,0),"")</f>
        <v/>
      </c>
      <c r="E288" s="211" t="str">
        <f>IFERROR(VLOOKUP($C288,'PORTIFÓLIO'!C:V,3,0),"")</f>
        <v/>
      </c>
      <c r="F288" s="211" t="str">
        <f>IFERROR(VLOOKUP($C288,'PORTIFÓLIO'!C:V,4,0),"")</f>
        <v/>
      </c>
      <c r="G288" s="215" t="str">
        <f>IFERROR(VLOOKUP($C288,'PORTIFÓLIO'!C:V,5,0),"")</f>
        <v/>
      </c>
      <c r="H288" s="254" t="str">
        <f t="array" ref="H288">IFERROR(INDEX('PORTIFÓLIO'!$H$4:$H$433,MATCH($C288,'PORTIFÓLIO'!$C$4:$C$433,0)),"")</f>
        <v/>
      </c>
      <c r="I288" s="256"/>
      <c r="J288" s="218">
        <f t="shared" si="31"/>
        <v>0</v>
      </c>
      <c r="K288" s="292" t="str">
        <f t="array" ref="K288">IFERROR(I288*INDEX('PORTIFÓLIO'!$S$4:$S$433,MATCH($C288,'PORTIFÓLIO'!$C$4:$C$433,0)),"")</f>
        <v/>
      </c>
      <c r="L288" s="292" t="str">
        <f t="array" ref="L288">IFERROR(J288*INDEX('PORTIFÓLIO'!$S$4:$S$433,MATCH($C288,'PORTIFÓLIO'!$C$4:$C$433,0)),"")</f>
        <v/>
      </c>
      <c r="M288" s="220"/>
      <c r="N288" s="220"/>
      <c r="O288" s="220"/>
      <c r="P288" s="220"/>
      <c r="Q288" s="220"/>
      <c r="R288" s="220"/>
      <c r="S288" s="220"/>
      <c r="T288" s="220"/>
      <c r="U288" s="220"/>
      <c r="V288" s="220"/>
      <c r="W288" s="220"/>
    </row>
    <row r="289" ht="15.75" customHeight="1" outlineLevel="1">
      <c r="A289" s="211"/>
      <c r="B289" s="212"/>
      <c r="C289" s="213"/>
      <c r="D289" s="214" t="str">
        <f>IFERROR(VLOOKUP($C289,'PORTIFÓLIO'!C:V,2,0),"")</f>
        <v/>
      </c>
      <c r="E289" s="211" t="str">
        <f>IFERROR(VLOOKUP($C289,'PORTIFÓLIO'!C:V,3,0),"")</f>
        <v/>
      </c>
      <c r="F289" s="211" t="str">
        <f>IFERROR(VLOOKUP($C289,'PORTIFÓLIO'!C:V,4,0),"")</f>
        <v/>
      </c>
      <c r="G289" s="215" t="str">
        <f>IFERROR(VLOOKUP($C289,'PORTIFÓLIO'!C:V,5,0),"")</f>
        <v/>
      </c>
      <c r="H289" s="254" t="str">
        <f t="array" ref="H289">IFERROR(INDEX('PORTIFÓLIO'!$H$4:$H$433,MATCH($C289,'PORTIFÓLIO'!$C$4:$C$433,0)),"")</f>
        <v/>
      </c>
      <c r="I289" s="256"/>
      <c r="J289" s="218">
        <f t="shared" si="31"/>
        <v>0</v>
      </c>
      <c r="K289" s="292" t="str">
        <f t="array" ref="K289">IFERROR(I289*INDEX('PORTIFÓLIO'!$S$4:$S$433,MATCH($C289,'PORTIFÓLIO'!$C$4:$C$433,0)),"")</f>
        <v/>
      </c>
      <c r="L289" s="292" t="str">
        <f t="array" ref="L289">IFERROR(J289*INDEX('PORTIFÓLIO'!$S$4:$S$433,MATCH($C289,'PORTIFÓLIO'!$C$4:$C$433,0)),"")</f>
        <v/>
      </c>
      <c r="M289" s="220"/>
      <c r="N289" s="220"/>
      <c r="O289" s="220"/>
      <c r="P289" s="220"/>
      <c r="Q289" s="220"/>
      <c r="R289" s="220"/>
      <c r="S289" s="220"/>
      <c r="T289" s="220"/>
      <c r="U289" s="220"/>
      <c r="V289" s="220"/>
      <c r="W289" s="220"/>
    </row>
    <row r="290" ht="15.75" customHeight="1">
      <c r="A290" s="229" t="s">
        <v>1186</v>
      </c>
      <c r="B290" s="230"/>
      <c r="C290" s="231"/>
      <c r="D290" s="232"/>
      <c r="E290" s="231"/>
      <c r="F290" s="231"/>
      <c r="G290" s="233"/>
      <c r="H290" s="233"/>
      <c r="I290" s="258"/>
      <c r="J290" s="236"/>
      <c r="K290" s="237">
        <f t="shared" ref="K290:L290" si="32">SUBTOTAL(9,K291:K304)</f>
        <v>0</v>
      </c>
      <c r="L290" s="237">
        <f t="shared" si="32"/>
        <v>0</v>
      </c>
      <c r="M290" s="220"/>
      <c r="N290" s="220"/>
      <c r="O290" s="220"/>
      <c r="P290" s="220"/>
      <c r="Q290" s="220"/>
      <c r="R290" s="220"/>
      <c r="S290" s="220"/>
      <c r="T290" s="220"/>
      <c r="U290" s="220"/>
      <c r="V290" s="220"/>
      <c r="W290" s="220"/>
    </row>
    <row r="291" ht="15.75" customHeight="1" outlineLevel="1">
      <c r="A291" s="213"/>
      <c r="B291" s="212"/>
      <c r="C291" s="213"/>
      <c r="D291" s="214" t="str">
        <f>IFERROR(VLOOKUP($C291,'PORTIFÓLIO'!C:V,2,0),"")</f>
        <v/>
      </c>
      <c r="E291" s="211" t="str">
        <f>IFERROR(VLOOKUP($C291,'PORTIFÓLIO'!C:V,3,0),"")</f>
        <v/>
      </c>
      <c r="F291" s="211" t="str">
        <f>IFERROR(VLOOKUP($C291,'PORTIFÓLIO'!C:V,4,0),"")</f>
        <v/>
      </c>
      <c r="G291" s="215" t="str">
        <f>IFERROR(VLOOKUP($C291,'PORTIFÓLIO'!C:V,5,0),"")</f>
        <v/>
      </c>
      <c r="H291" s="254" t="str">
        <f t="array" ref="H291">IFERROR(INDEX('PORTIFÓLIO'!$H$4:$H$433,MATCH($C291,'PORTIFÓLIO'!$C$4:$C$433,0)),"")</f>
        <v/>
      </c>
      <c r="I291" s="255"/>
      <c r="J291" s="218">
        <f t="shared" ref="J291:J307" si="33">I291*$B$2</f>
        <v>0</v>
      </c>
      <c r="K291" s="292" t="str">
        <f t="array" ref="K291">IFERROR(I291*INDEX('PORTIFÓLIO'!$S$4:$S$433,MATCH($C291,'PORTIFÓLIO'!$C$4:$C$433,0)),"")</f>
        <v/>
      </c>
      <c r="L291" s="292" t="str">
        <f t="array" ref="L291">IFERROR(J291*INDEX('PORTIFÓLIO'!$S$4:$S$433,MATCH($C291,'PORTIFÓLIO'!$C$4:$C$433,0)),"")</f>
        <v/>
      </c>
      <c r="M291" s="220"/>
      <c r="N291" s="220"/>
      <c r="O291" s="220"/>
      <c r="P291" s="220"/>
      <c r="Q291" s="220"/>
      <c r="R291" s="220"/>
      <c r="S291" s="220"/>
      <c r="T291" s="220"/>
      <c r="U291" s="220"/>
      <c r="V291" s="220"/>
      <c r="W291" s="220"/>
    </row>
    <row r="292" ht="15.75" customHeight="1" outlineLevel="1">
      <c r="A292" s="211"/>
      <c r="B292" s="212"/>
      <c r="C292" s="213"/>
      <c r="D292" s="214" t="str">
        <f>IFERROR(VLOOKUP($C292,'PORTIFÓLIO'!C:V,2,0),"")</f>
        <v/>
      </c>
      <c r="E292" s="211" t="str">
        <f>IFERROR(VLOOKUP($C292,'PORTIFÓLIO'!C:V,3,0),"")</f>
        <v/>
      </c>
      <c r="F292" s="211" t="str">
        <f>IFERROR(VLOOKUP($C292,'PORTIFÓLIO'!C:V,4,0),"")</f>
        <v/>
      </c>
      <c r="G292" s="215" t="str">
        <f>IFERROR(VLOOKUP($C292,'PORTIFÓLIO'!C:V,5,0),"")</f>
        <v/>
      </c>
      <c r="H292" s="254" t="str">
        <f t="array" ref="H292">IFERROR(INDEX('PORTIFÓLIO'!$H$4:$H$433,MATCH($C292,'PORTIFÓLIO'!$C$4:$C$433,0)),"")</f>
        <v/>
      </c>
      <c r="I292" s="256"/>
      <c r="J292" s="218">
        <f t="shared" si="33"/>
        <v>0</v>
      </c>
      <c r="K292" s="292" t="str">
        <f t="array" ref="K292">IFERROR(I292*INDEX('PORTIFÓLIO'!$S$4:$S$433,MATCH($C292,'PORTIFÓLIO'!$C$4:$C$433,0)),"")</f>
        <v/>
      </c>
      <c r="L292" s="292" t="str">
        <f t="array" ref="L292">IFERROR(J292*INDEX('PORTIFÓLIO'!$S$4:$S$433,MATCH($C292,'PORTIFÓLIO'!$C$4:$C$433,0)),"")</f>
        <v/>
      </c>
      <c r="M292" s="220"/>
      <c r="N292" s="220"/>
      <c r="O292" s="220"/>
      <c r="P292" s="220"/>
      <c r="Q292" s="220"/>
      <c r="R292" s="220"/>
      <c r="S292" s="220"/>
      <c r="T292" s="220"/>
      <c r="U292" s="220"/>
      <c r="V292" s="220"/>
      <c r="W292" s="220"/>
    </row>
    <row r="293" ht="15.75" customHeight="1" outlineLevel="1">
      <c r="A293" s="211"/>
      <c r="B293" s="212"/>
      <c r="C293" s="213"/>
      <c r="D293" s="214" t="str">
        <f>IFERROR(VLOOKUP($C293,'PORTIFÓLIO'!C:V,2,0),"")</f>
        <v/>
      </c>
      <c r="E293" s="211" t="str">
        <f>IFERROR(VLOOKUP($C293,'PORTIFÓLIO'!C:V,3,0),"")</f>
        <v/>
      </c>
      <c r="F293" s="211" t="str">
        <f>IFERROR(VLOOKUP($C293,'PORTIFÓLIO'!C:V,4,0),"")</f>
        <v/>
      </c>
      <c r="G293" s="215" t="str">
        <f>IFERROR(VLOOKUP($C293,'PORTIFÓLIO'!C:V,5,0),"")</f>
        <v/>
      </c>
      <c r="H293" s="254" t="str">
        <f t="array" ref="H293">IFERROR(INDEX('PORTIFÓLIO'!$H$4:$H$433,MATCH($C293,'PORTIFÓLIO'!$C$4:$C$433,0)),"")</f>
        <v/>
      </c>
      <c r="I293" s="256"/>
      <c r="J293" s="218">
        <f t="shared" si="33"/>
        <v>0</v>
      </c>
      <c r="K293" s="292" t="str">
        <f t="array" ref="K293">IFERROR(I293*INDEX('PORTIFÓLIO'!$S$4:$S$433,MATCH($C293,'PORTIFÓLIO'!$C$4:$C$433,0)),"")</f>
        <v/>
      </c>
      <c r="L293" s="292" t="str">
        <f t="array" ref="L293">IFERROR(J293*INDEX('PORTIFÓLIO'!$S$4:$S$433,MATCH($C293,'PORTIFÓLIO'!$C$4:$C$433,0)),"")</f>
        <v/>
      </c>
      <c r="M293" s="220"/>
      <c r="N293" s="220"/>
      <c r="O293" s="220"/>
      <c r="P293" s="220"/>
      <c r="Q293" s="220"/>
      <c r="R293" s="220"/>
      <c r="S293" s="220"/>
      <c r="T293" s="220"/>
      <c r="U293" s="220"/>
      <c r="V293" s="220"/>
      <c r="W293" s="220"/>
    </row>
    <row r="294" ht="15.75" customHeight="1" outlineLevel="1">
      <c r="A294" s="211"/>
      <c r="B294" s="212"/>
      <c r="C294" s="213"/>
      <c r="D294" s="214" t="str">
        <f>IFERROR(VLOOKUP($C294,'PORTIFÓLIO'!C:V,2,0),"")</f>
        <v/>
      </c>
      <c r="E294" s="211" t="str">
        <f>IFERROR(VLOOKUP($C294,'PORTIFÓLIO'!C:V,3,0),"")</f>
        <v/>
      </c>
      <c r="F294" s="211" t="str">
        <f>IFERROR(VLOOKUP($C294,'PORTIFÓLIO'!C:V,4,0),"")</f>
        <v/>
      </c>
      <c r="G294" s="215" t="str">
        <f>IFERROR(VLOOKUP($C294,'PORTIFÓLIO'!C:V,5,0),"")</f>
        <v/>
      </c>
      <c r="H294" s="254" t="str">
        <f t="array" ref="H294">IFERROR(INDEX('PORTIFÓLIO'!$H$4:$H$433,MATCH($C294,'PORTIFÓLIO'!$C$4:$C$433,0)),"")</f>
        <v/>
      </c>
      <c r="I294" s="256"/>
      <c r="J294" s="218">
        <f t="shared" si="33"/>
        <v>0</v>
      </c>
      <c r="K294" s="292" t="str">
        <f t="array" ref="K294">IFERROR(I294*INDEX('PORTIFÓLIO'!$S$4:$S$433,MATCH($C294,'PORTIFÓLIO'!$C$4:$C$433,0)),"")</f>
        <v/>
      </c>
      <c r="L294" s="292" t="str">
        <f t="array" ref="L294">IFERROR(J294*INDEX('PORTIFÓLIO'!$S$4:$S$433,MATCH($C294,'PORTIFÓLIO'!$C$4:$C$433,0)),"")</f>
        <v/>
      </c>
      <c r="M294" s="220"/>
      <c r="N294" s="220"/>
      <c r="O294" s="220"/>
      <c r="P294" s="220"/>
      <c r="Q294" s="220"/>
      <c r="R294" s="220"/>
      <c r="S294" s="220"/>
      <c r="T294" s="220"/>
      <c r="U294" s="220"/>
      <c r="V294" s="220"/>
      <c r="W294" s="220"/>
    </row>
    <row r="295" ht="15.75" customHeight="1" outlineLevel="1">
      <c r="A295" s="211"/>
      <c r="B295" s="212"/>
      <c r="C295" s="213"/>
      <c r="D295" s="214" t="str">
        <f>IFERROR(VLOOKUP($C295,'PORTIFÓLIO'!C:V,2,0),"")</f>
        <v/>
      </c>
      <c r="E295" s="211" t="str">
        <f>IFERROR(VLOOKUP($C295,'PORTIFÓLIO'!C:V,3,0),"")</f>
        <v/>
      </c>
      <c r="F295" s="211" t="str">
        <f>IFERROR(VLOOKUP($C295,'PORTIFÓLIO'!C:V,4,0),"")</f>
        <v/>
      </c>
      <c r="G295" s="215" t="str">
        <f>IFERROR(VLOOKUP($C295,'PORTIFÓLIO'!C:V,5,0),"")</f>
        <v/>
      </c>
      <c r="H295" s="254" t="str">
        <f t="array" ref="H295">IFERROR(INDEX('PORTIFÓLIO'!$H$4:$H$433,MATCH($C295,'PORTIFÓLIO'!$C$4:$C$433,0)),"")</f>
        <v/>
      </c>
      <c r="I295" s="256"/>
      <c r="J295" s="218">
        <f t="shared" si="33"/>
        <v>0</v>
      </c>
      <c r="K295" s="292" t="str">
        <f t="array" ref="K295">IFERROR(I295*INDEX('PORTIFÓLIO'!$S$4:$S$433,MATCH($C295,'PORTIFÓLIO'!$C$4:$C$433,0)),"")</f>
        <v/>
      </c>
      <c r="L295" s="292" t="str">
        <f t="array" ref="L295">IFERROR(J295*INDEX('PORTIFÓLIO'!$S$4:$S$433,MATCH($C295,'PORTIFÓLIO'!$C$4:$C$433,0)),"")</f>
        <v/>
      </c>
      <c r="M295" s="220"/>
      <c r="N295" s="220"/>
      <c r="O295" s="220"/>
      <c r="P295" s="220"/>
      <c r="Q295" s="220"/>
      <c r="R295" s="220"/>
      <c r="S295" s="220"/>
      <c r="T295" s="220"/>
      <c r="U295" s="220"/>
      <c r="V295" s="220"/>
      <c r="W295" s="220"/>
    </row>
    <row r="296" ht="15.75" customHeight="1" outlineLevel="1">
      <c r="A296" s="211"/>
      <c r="B296" s="212"/>
      <c r="C296" s="213"/>
      <c r="D296" s="214" t="str">
        <f>IFERROR(VLOOKUP($C296,'PORTIFÓLIO'!C:V,2,0),"")</f>
        <v/>
      </c>
      <c r="E296" s="211" t="str">
        <f>IFERROR(VLOOKUP($C296,'PORTIFÓLIO'!C:V,3,0),"")</f>
        <v/>
      </c>
      <c r="F296" s="211" t="str">
        <f>IFERROR(VLOOKUP($C296,'PORTIFÓLIO'!C:V,4,0),"")</f>
        <v/>
      </c>
      <c r="G296" s="215" t="str">
        <f>IFERROR(VLOOKUP($C296,'PORTIFÓLIO'!C:V,5,0),"")</f>
        <v/>
      </c>
      <c r="H296" s="254" t="str">
        <f t="array" ref="H296">IFERROR(INDEX('PORTIFÓLIO'!$H$4:$H$433,MATCH($C296,'PORTIFÓLIO'!$C$4:$C$433,0)),"")</f>
        <v/>
      </c>
      <c r="I296" s="256"/>
      <c r="J296" s="218">
        <f t="shared" si="33"/>
        <v>0</v>
      </c>
      <c r="K296" s="292" t="str">
        <f t="array" ref="K296">IFERROR(I296*INDEX('PORTIFÓLIO'!$S$4:$S$433,MATCH($C296,'PORTIFÓLIO'!$C$4:$C$433,0)),"")</f>
        <v/>
      </c>
      <c r="L296" s="292" t="str">
        <f t="array" ref="L296">IFERROR(J296*INDEX('PORTIFÓLIO'!$S$4:$S$433,MATCH($C296,'PORTIFÓLIO'!$C$4:$C$433,0)),"")</f>
        <v/>
      </c>
      <c r="M296" s="220"/>
      <c r="N296" s="220"/>
      <c r="O296" s="220"/>
      <c r="P296" s="220"/>
      <c r="Q296" s="220"/>
      <c r="R296" s="220"/>
      <c r="S296" s="220"/>
      <c r="T296" s="220"/>
      <c r="U296" s="220"/>
      <c r="V296" s="220"/>
      <c r="W296" s="220"/>
    </row>
    <row r="297" ht="15.75" customHeight="1" outlineLevel="1">
      <c r="A297" s="211"/>
      <c r="B297" s="212"/>
      <c r="C297" s="213"/>
      <c r="D297" s="214" t="str">
        <f>IFERROR(VLOOKUP($C297,'PORTIFÓLIO'!C:V,2,0),"")</f>
        <v/>
      </c>
      <c r="E297" s="211" t="str">
        <f>IFERROR(VLOOKUP($C297,'PORTIFÓLIO'!C:V,3,0),"")</f>
        <v/>
      </c>
      <c r="F297" s="211" t="str">
        <f>IFERROR(VLOOKUP($C297,'PORTIFÓLIO'!C:V,4,0),"")</f>
        <v/>
      </c>
      <c r="G297" s="215" t="str">
        <f>IFERROR(VLOOKUP($C297,'PORTIFÓLIO'!C:V,5,0),"")</f>
        <v/>
      </c>
      <c r="H297" s="254" t="str">
        <f t="array" ref="H297">IFERROR(INDEX('PORTIFÓLIO'!$H$4:$H$433,MATCH($C297,'PORTIFÓLIO'!$C$4:$C$433,0)),"")</f>
        <v/>
      </c>
      <c r="I297" s="256"/>
      <c r="J297" s="218">
        <f t="shared" si="33"/>
        <v>0</v>
      </c>
      <c r="K297" s="292" t="str">
        <f t="array" ref="K297">IFERROR(I297*INDEX('PORTIFÓLIO'!$S$4:$S$433,MATCH($C297,'PORTIFÓLIO'!$C$4:$C$433,0)),"")</f>
        <v/>
      </c>
      <c r="L297" s="292" t="str">
        <f t="array" ref="L297">IFERROR(J297*INDEX('PORTIFÓLIO'!$S$4:$S$433,MATCH($C297,'PORTIFÓLIO'!$C$4:$C$433,0)),"")</f>
        <v/>
      </c>
      <c r="M297" s="220"/>
      <c r="N297" s="220"/>
      <c r="O297" s="220"/>
      <c r="P297" s="220"/>
      <c r="Q297" s="220"/>
      <c r="R297" s="220"/>
      <c r="S297" s="220"/>
      <c r="T297" s="220"/>
      <c r="U297" s="220"/>
      <c r="V297" s="220"/>
      <c r="W297" s="220"/>
    </row>
    <row r="298" ht="15.75" customHeight="1" outlineLevel="1">
      <c r="A298" s="211"/>
      <c r="B298" s="212"/>
      <c r="C298" s="213"/>
      <c r="D298" s="214" t="str">
        <f>IFERROR(VLOOKUP($C298,'PORTIFÓLIO'!C:V,2,0),"")</f>
        <v/>
      </c>
      <c r="E298" s="211" t="str">
        <f>IFERROR(VLOOKUP($C298,'PORTIFÓLIO'!C:V,3,0),"")</f>
        <v/>
      </c>
      <c r="F298" s="211" t="str">
        <f>IFERROR(VLOOKUP($C298,'PORTIFÓLIO'!C:V,4,0),"")</f>
        <v/>
      </c>
      <c r="G298" s="215" t="str">
        <f>IFERROR(VLOOKUP($C298,'PORTIFÓLIO'!C:V,5,0),"")</f>
        <v/>
      </c>
      <c r="H298" s="254" t="str">
        <f t="array" ref="H298">IFERROR(INDEX('PORTIFÓLIO'!$H$4:$H$433,MATCH($C298,'PORTIFÓLIO'!$C$4:$C$433,0)),"")</f>
        <v/>
      </c>
      <c r="I298" s="256"/>
      <c r="J298" s="218">
        <f t="shared" si="33"/>
        <v>0</v>
      </c>
      <c r="K298" s="292" t="str">
        <f t="array" ref="K298">IFERROR(I298*INDEX('PORTIFÓLIO'!$S$4:$S$433,MATCH($C298,'PORTIFÓLIO'!$C$4:$C$433,0)),"")</f>
        <v/>
      </c>
      <c r="L298" s="292" t="str">
        <f t="array" ref="L298">IFERROR(J298*INDEX('PORTIFÓLIO'!$S$4:$S$433,MATCH($C298,'PORTIFÓLIO'!$C$4:$C$433,0)),"")</f>
        <v/>
      </c>
      <c r="M298" s="220"/>
      <c r="N298" s="220"/>
      <c r="O298" s="220"/>
      <c r="P298" s="220"/>
      <c r="Q298" s="220"/>
      <c r="R298" s="220"/>
      <c r="S298" s="220"/>
      <c r="T298" s="220"/>
      <c r="U298" s="220"/>
      <c r="V298" s="220"/>
      <c r="W298" s="220"/>
    </row>
    <row r="299" ht="15.75" customHeight="1" outlineLevel="1">
      <c r="A299" s="211"/>
      <c r="B299" s="212"/>
      <c r="C299" s="213"/>
      <c r="D299" s="214" t="str">
        <f>IFERROR(VLOOKUP($C299,'PORTIFÓLIO'!C:V,2,0),"")</f>
        <v/>
      </c>
      <c r="E299" s="211" t="str">
        <f>IFERROR(VLOOKUP($C299,'PORTIFÓLIO'!C:V,3,0),"")</f>
        <v/>
      </c>
      <c r="F299" s="211" t="str">
        <f>IFERROR(VLOOKUP($C299,'PORTIFÓLIO'!C:V,4,0),"")</f>
        <v/>
      </c>
      <c r="G299" s="215" t="str">
        <f>IFERROR(VLOOKUP($C299,'PORTIFÓLIO'!C:V,5,0),"")</f>
        <v/>
      </c>
      <c r="H299" s="254" t="str">
        <f t="array" ref="H299">IFERROR(INDEX('PORTIFÓLIO'!$H$4:$H$433,MATCH($C299,'PORTIFÓLIO'!$C$4:$C$433,0)),"")</f>
        <v/>
      </c>
      <c r="I299" s="255"/>
      <c r="J299" s="218">
        <f t="shared" si="33"/>
        <v>0</v>
      </c>
      <c r="K299" s="292" t="str">
        <f t="array" ref="K299">IFERROR(I299*INDEX('PORTIFÓLIO'!$S$4:$S$433,MATCH($C299,'PORTIFÓLIO'!$C$4:$C$433,0)),"")</f>
        <v/>
      </c>
      <c r="L299" s="292" t="str">
        <f t="array" ref="L299">IFERROR(J299*INDEX('PORTIFÓLIO'!$S$4:$S$433,MATCH($C299,'PORTIFÓLIO'!$C$4:$C$433,0)),"")</f>
        <v/>
      </c>
      <c r="M299" s="220"/>
      <c r="N299" s="220"/>
      <c r="O299" s="220"/>
      <c r="P299" s="220"/>
      <c r="Q299" s="220"/>
      <c r="R299" s="220"/>
      <c r="S299" s="220"/>
      <c r="T299" s="220"/>
      <c r="U299" s="220"/>
      <c r="V299" s="220"/>
      <c r="W299" s="220"/>
    </row>
    <row r="300" ht="15.75" customHeight="1" outlineLevel="1">
      <c r="A300" s="211"/>
      <c r="B300" s="212"/>
      <c r="C300" s="213"/>
      <c r="D300" s="214" t="str">
        <f>IFERROR(VLOOKUP($C300,'PORTIFÓLIO'!C:V,2,0),"")</f>
        <v/>
      </c>
      <c r="E300" s="211" t="str">
        <f>IFERROR(VLOOKUP($C300,'PORTIFÓLIO'!C:V,3,0),"")</f>
        <v/>
      </c>
      <c r="F300" s="211" t="str">
        <f>IFERROR(VLOOKUP($C300,'PORTIFÓLIO'!C:V,4,0),"")</f>
        <v/>
      </c>
      <c r="G300" s="215" t="str">
        <f>IFERROR(VLOOKUP($C300,'PORTIFÓLIO'!C:V,5,0),"")</f>
        <v/>
      </c>
      <c r="H300" s="254" t="str">
        <f t="array" ref="H300">IFERROR(INDEX('PORTIFÓLIO'!$H$4:$H$433,MATCH($C300,'PORTIFÓLIO'!$C$4:$C$433,0)),"")</f>
        <v/>
      </c>
      <c r="I300" s="256"/>
      <c r="J300" s="218">
        <f t="shared" si="33"/>
        <v>0</v>
      </c>
      <c r="K300" s="292" t="str">
        <f t="array" ref="K300">IFERROR(I300*INDEX('PORTIFÓLIO'!$S$4:$S$433,MATCH($C300,'PORTIFÓLIO'!$C$4:$C$433,0)),"")</f>
        <v/>
      </c>
      <c r="L300" s="292" t="str">
        <f t="array" ref="L300">IFERROR(J300*INDEX('PORTIFÓLIO'!$S$4:$S$433,MATCH($C300,'PORTIFÓLIO'!$C$4:$C$433,0)),"")</f>
        <v/>
      </c>
      <c r="M300" s="220"/>
      <c r="N300" s="220"/>
      <c r="O300" s="220"/>
      <c r="P300" s="220"/>
      <c r="Q300" s="220"/>
      <c r="R300" s="220"/>
      <c r="S300" s="220"/>
      <c r="T300" s="220"/>
      <c r="U300" s="220"/>
      <c r="V300" s="220"/>
      <c r="W300" s="220"/>
    </row>
    <row r="301" ht="15.75" customHeight="1" outlineLevel="1">
      <c r="A301" s="211"/>
      <c r="B301" s="212"/>
      <c r="C301" s="213"/>
      <c r="D301" s="214" t="str">
        <f>IFERROR(VLOOKUP($C301,'PORTIFÓLIO'!C:V,2,0),"")</f>
        <v/>
      </c>
      <c r="E301" s="211" t="str">
        <f>IFERROR(VLOOKUP($C301,'PORTIFÓLIO'!C:V,3,0),"")</f>
        <v/>
      </c>
      <c r="F301" s="211" t="str">
        <f>IFERROR(VLOOKUP($C301,'PORTIFÓLIO'!C:V,4,0),"")</f>
        <v/>
      </c>
      <c r="G301" s="215" t="str">
        <f>IFERROR(VLOOKUP($C301,'PORTIFÓLIO'!C:V,5,0),"")</f>
        <v/>
      </c>
      <c r="H301" s="254" t="str">
        <f t="array" ref="H301">IFERROR(INDEX('PORTIFÓLIO'!$H$4:$H$433,MATCH($C301,'PORTIFÓLIO'!$C$4:$C$433,0)),"")</f>
        <v/>
      </c>
      <c r="I301" s="256"/>
      <c r="J301" s="218">
        <f t="shared" si="33"/>
        <v>0</v>
      </c>
      <c r="K301" s="292" t="str">
        <f t="array" ref="K301">IFERROR(I301*INDEX('PORTIFÓLIO'!$S$4:$S$433,MATCH($C301,'PORTIFÓLIO'!$C$4:$C$433,0)),"")</f>
        <v/>
      </c>
      <c r="L301" s="292" t="str">
        <f t="array" ref="L301">IFERROR(J301*INDEX('PORTIFÓLIO'!$S$4:$S$433,MATCH($C301,'PORTIFÓLIO'!$C$4:$C$433,0)),"")</f>
        <v/>
      </c>
      <c r="M301" s="220"/>
      <c r="N301" s="220"/>
      <c r="O301" s="220"/>
      <c r="P301" s="220"/>
      <c r="Q301" s="220"/>
      <c r="R301" s="220"/>
      <c r="S301" s="220"/>
      <c r="T301" s="220"/>
      <c r="U301" s="220"/>
      <c r="V301" s="220"/>
      <c r="W301" s="220"/>
    </row>
    <row r="302" ht="15.75" customHeight="1" outlineLevel="1">
      <c r="A302" s="211"/>
      <c r="B302" s="212"/>
      <c r="C302" s="213"/>
      <c r="D302" s="214" t="str">
        <f>IFERROR(VLOOKUP($C302,'PORTIFÓLIO'!C:V,2,0),"")</f>
        <v/>
      </c>
      <c r="E302" s="211" t="str">
        <f>IFERROR(VLOOKUP($C302,'PORTIFÓLIO'!C:V,3,0),"")</f>
        <v/>
      </c>
      <c r="F302" s="211" t="str">
        <f>IFERROR(VLOOKUP($C302,'PORTIFÓLIO'!C:V,4,0),"")</f>
        <v/>
      </c>
      <c r="G302" s="215" t="str">
        <f>IFERROR(VLOOKUP($C302,'PORTIFÓLIO'!C:V,5,0),"")</f>
        <v/>
      </c>
      <c r="H302" s="254" t="str">
        <f t="array" ref="H302">IFERROR(INDEX('PORTIFÓLIO'!$H$4:$H$433,MATCH($C302,'PORTIFÓLIO'!$C$4:$C$433,0)),"")</f>
        <v/>
      </c>
      <c r="I302" s="256"/>
      <c r="J302" s="218">
        <f t="shared" si="33"/>
        <v>0</v>
      </c>
      <c r="K302" s="292" t="str">
        <f t="array" ref="K302">IFERROR(I302*INDEX('PORTIFÓLIO'!$S$4:$S$433,MATCH($C302,'PORTIFÓLIO'!$C$4:$C$433,0)),"")</f>
        <v/>
      </c>
      <c r="L302" s="292" t="str">
        <f t="array" ref="L302">IFERROR(J302*INDEX('PORTIFÓLIO'!$S$4:$S$433,MATCH($C302,'PORTIFÓLIO'!$C$4:$C$433,0)),"")</f>
        <v/>
      </c>
      <c r="M302" s="220"/>
      <c r="N302" s="220"/>
      <c r="O302" s="220"/>
      <c r="P302" s="220"/>
      <c r="Q302" s="220"/>
      <c r="R302" s="220"/>
      <c r="S302" s="220"/>
      <c r="T302" s="220"/>
      <c r="U302" s="220"/>
      <c r="V302" s="220"/>
      <c r="W302" s="220"/>
    </row>
    <row r="303" ht="15.75" customHeight="1" outlineLevel="1">
      <c r="A303" s="211"/>
      <c r="B303" s="212"/>
      <c r="C303" s="213"/>
      <c r="D303" s="214" t="str">
        <f>IFERROR(VLOOKUP($C303,'PORTIFÓLIO'!C:V,2,0),"")</f>
        <v/>
      </c>
      <c r="E303" s="211" t="str">
        <f>IFERROR(VLOOKUP($C303,'PORTIFÓLIO'!C:V,3,0),"")</f>
        <v/>
      </c>
      <c r="F303" s="211" t="str">
        <f>IFERROR(VLOOKUP($C303,'PORTIFÓLIO'!C:V,4,0),"")</f>
        <v/>
      </c>
      <c r="G303" s="215" t="str">
        <f>IFERROR(VLOOKUP($C303,'PORTIFÓLIO'!C:V,5,0),"")</f>
        <v/>
      </c>
      <c r="H303" s="254" t="str">
        <f t="array" ref="H303">IFERROR(INDEX('PORTIFÓLIO'!$H$4:$H$433,MATCH($C303,'PORTIFÓLIO'!$C$4:$C$433,0)),"")</f>
        <v/>
      </c>
      <c r="I303" s="256"/>
      <c r="J303" s="218">
        <f t="shared" si="33"/>
        <v>0</v>
      </c>
      <c r="K303" s="292" t="str">
        <f t="array" ref="K303">IFERROR(I303*INDEX('PORTIFÓLIO'!$S$4:$S$433,MATCH($C303,'PORTIFÓLIO'!$C$4:$C$433,0)),"")</f>
        <v/>
      </c>
      <c r="L303" s="292" t="str">
        <f t="array" ref="L303">IFERROR(J303*INDEX('PORTIFÓLIO'!$S$4:$S$433,MATCH($C303,'PORTIFÓLIO'!$C$4:$C$433,0)),"")</f>
        <v/>
      </c>
      <c r="M303" s="220"/>
      <c r="N303" s="220"/>
      <c r="O303" s="220"/>
      <c r="P303" s="220"/>
      <c r="Q303" s="220"/>
      <c r="R303" s="220"/>
      <c r="S303" s="220"/>
      <c r="T303" s="220"/>
      <c r="U303" s="220"/>
      <c r="V303" s="220"/>
      <c r="W303" s="220"/>
    </row>
    <row r="304" ht="15.75" customHeight="1" outlineLevel="1">
      <c r="A304" s="211"/>
      <c r="B304" s="212"/>
      <c r="C304" s="213"/>
      <c r="D304" s="214" t="str">
        <f>IFERROR(VLOOKUP($C304,'PORTIFÓLIO'!C:V,2,0),"")</f>
        <v/>
      </c>
      <c r="E304" s="211" t="str">
        <f>IFERROR(VLOOKUP($C304,'PORTIFÓLIO'!C:V,3,0),"")</f>
        <v/>
      </c>
      <c r="F304" s="211" t="str">
        <f>IFERROR(VLOOKUP($C304,'PORTIFÓLIO'!C:V,4,0),"")</f>
        <v/>
      </c>
      <c r="G304" s="215" t="str">
        <f>IFERROR(VLOOKUP($C304,'PORTIFÓLIO'!C:V,5,0),"")</f>
        <v/>
      </c>
      <c r="H304" s="254" t="str">
        <f t="array" ref="H304">IFERROR(INDEX('PORTIFÓLIO'!$H$4:$H$433,MATCH($C304,'PORTIFÓLIO'!$C$4:$C$433,0)),"")</f>
        <v/>
      </c>
      <c r="I304" s="256"/>
      <c r="J304" s="218">
        <f t="shared" si="33"/>
        <v>0</v>
      </c>
      <c r="K304" s="292" t="str">
        <f t="array" ref="K304">IFERROR(I304*INDEX('PORTIFÓLIO'!$S$4:$S$433,MATCH($C304,'PORTIFÓLIO'!$C$4:$C$433,0)),"")</f>
        <v/>
      </c>
      <c r="L304" s="292" t="str">
        <f t="array" ref="L304">IFERROR(J304*INDEX('PORTIFÓLIO'!$S$4:$S$433,MATCH($C304,'PORTIFÓLIO'!$C$4:$C$433,0)),"")</f>
        <v/>
      </c>
      <c r="M304" s="220"/>
      <c r="N304" s="220"/>
      <c r="O304" s="220"/>
      <c r="P304" s="220"/>
      <c r="Q304" s="220"/>
      <c r="R304" s="220"/>
      <c r="S304" s="220"/>
      <c r="T304" s="220"/>
      <c r="U304" s="220"/>
      <c r="V304" s="220"/>
      <c r="W304" s="220"/>
    </row>
    <row r="305" ht="15.75" customHeight="1" outlineLevel="1">
      <c r="A305" s="211"/>
      <c r="B305" s="212"/>
      <c r="C305" s="213"/>
      <c r="D305" s="214" t="str">
        <f>IFERROR(VLOOKUP($C305,'PORTIFÓLIO'!C:V,2,0),"")</f>
        <v/>
      </c>
      <c r="E305" s="211" t="str">
        <f>IFERROR(VLOOKUP($C305,'PORTIFÓLIO'!C:V,3,0),"")</f>
        <v/>
      </c>
      <c r="F305" s="211" t="str">
        <f>IFERROR(VLOOKUP($C305,'PORTIFÓLIO'!C:V,4,0),"")</f>
        <v/>
      </c>
      <c r="G305" s="215" t="str">
        <f>IFERROR(VLOOKUP($C305,'PORTIFÓLIO'!C:V,5,0),"")</f>
        <v/>
      </c>
      <c r="H305" s="254" t="str">
        <f t="array" ref="H305">IFERROR(INDEX('PORTIFÓLIO'!$H$4:$H$433,MATCH($C305,'PORTIFÓLIO'!$C$4:$C$433,0)),"")</f>
        <v/>
      </c>
      <c r="I305" s="256"/>
      <c r="J305" s="218">
        <f t="shared" si="33"/>
        <v>0</v>
      </c>
      <c r="K305" s="292" t="str">
        <f t="array" ref="K305">IFERROR(I305*INDEX('PORTIFÓLIO'!$S$4:$S$433,MATCH($C305,'PORTIFÓLIO'!$C$4:$C$433,0)),"")</f>
        <v/>
      </c>
      <c r="L305" s="292" t="str">
        <f t="array" ref="L305">IFERROR(J305*INDEX('PORTIFÓLIO'!$S$4:$S$433,MATCH($C305,'PORTIFÓLIO'!$C$4:$C$433,0)),"")</f>
        <v/>
      </c>
      <c r="M305" s="220"/>
      <c r="N305" s="220"/>
      <c r="O305" s="220"/>
      <c r="P305" s="220"/>
      <c r="Q305" s="220"/>
      <c r="R305" s="220"/>
      <c r="S305" s="220"/>
      <c r="T305" s="220"/>
      <c r="U305" s="220"/>
      <c r="V305" s="220"/>
      <c r="W305" s="220"/>
    </row>
    <row r="306" ht="15.75" customHeight="1" outlineLevel="1">
      <c r="A306" s="211"/>
      <c r="B306" s="212"/>
      <c r="C306" s="213"/>
      <c r="D306" s="214" t="str">
        <f>IFERROR(VLOOKUP($C306,'PORTIFÓLIO'!C:V,2,0),"")</f>
        <v/>
      </c>
      <c r="E306" s="211" t="str">
        <f>IFERROR(VLOOKUP($C306,'PORTIFÓLIO'!C:V,3,0),"")</f>
        <v/>
      </c>
      <c r="F306" s="211" t="str">
        <f>IFERROR(VLOOKUP($C306,'PORTIFÓLIO'!C:V,4,0),"")</f>
        <v/>
      </c>
      <c r="G306" s="215" t="str">
        <f>IFERROR(VLOOKUP($C306,'PORTIFÓLIO'!C:V,5,0),"")</f>
        <v/>
      </c>
      <c r="H306" s="254" t="str">
        <f t="array" ref="H306">IFERROR(INDEX('PORTIFÓLIO'!$H$4:$H$433,MATCH($C306,'PORTIFÓLIO'!$C$4:$C$433,0)),"")</f>
        <v/>
      </c>
      <c r="I306" s="256"/>
      <c r="J306" s="218">
        <f t="shared" si="33"/>
        <v>0</v>
      </c>
      <c r="K306" s="292" t="str">
        <f t="array" ref="K306">IFERROR(I306*INDEX('PORTIFÓLIO'!$S$4:$S$433,MATCH($C306,'PORTIFÓLIO'!$C$4:$C$433,0)),"")</f>
        <v/>
      </c>
      <c r="L306" s="292" t="str">
        <f t="array" ref="L306">IFERROR(J306*INDEX('PORTIFÓLIO'!$S$4:$S$433,MATCH($C306,'PORTIFÓLIO'!$C$4:$C$433,0)),"")</f>
        <v/>
      </c>
      <c r="M306" s="220"/>
      <c r="N306" s="220"/>
      <c r="O306" s="220"/>
      <c r="P306" s="220"/>
      <c r="Q306" s="220"/>
      <c r="R306" s="220"/>
      <c r="S306" s="220"/>
      <c r="T306" s="220"/>
      <c r="U306" s="220"/>
      <c r="V306" s="220"/>
      <c r="W306" s="220"/>
    </row>
    <row r="307" ht="15.75" customHeight="1" outlineLevel="1">
      <c r="A307" s="211"/>
      <c r="B307" s="212"/>
      <c r="C307" s="213"/>
      <c r="D307" s="214" t="str">
        <f>IFERROR(VLOOKUP($C307,'PORTIFÓLIO'!C:V,2,0),"")</f>
        <v/>
      </c>
      <c r="E307" s="211" t="str">
        <f>IFERROR(VLOOKUP($C307,'PORTIFÓLIO'!C:V,3,0),"")</f>
        <v/>
      </c>
      <c r="F307" s="211" t="str">
        <f>IFERROR(VLOOKUP($C307,'PORTIFÓLIO'!C:V,4,0),"")</f>
        <v/>
      </c>
      <c r="G307" s="215" t="str">
        <f>IFERROR(VLOOKUP($C307,'PORTIFÓLIO'!C:V,5,0),"")</f>
        <v/>
      </c>
      <c r="H307" s="254" t="str">
        <f t="array" ref="H307">IFERROR(INDEX('PORTIFÓLIO'!$H$4:$H$433,MATCH($C307,'PORTIFÓLIO'!$C$4:$C$433,0)),"")</f>
        <v/>
      </c>
      <c r="I307" s="256"/>
      <c r="J307" s="218">
        <f t="shared" si="33"/>
        <v>0</v>
      </c>
      <c r="K307" s="292" t="str">
        <f t="array" ref="K307">IFERROR(I307*INDEX('PORTIFÓLIO'!$S$4:$S$433,MATCH($C307,'PORTIFÓLIO'!$C$4:$C$433,0)),"")</f>
        <v/>
      </c>
      <c r="L307" s="292" t="str">
        <f t="array" ref="L307">IFERROR(J307*INDEX('PORTIFÓLIO'!$S$4:$S$433,MATCH($C307,'PORTIFÓLIO'!$C$4:$C$433,0)),"")</f>
        <v/>
      </c>
      <c r="M307" s="220"/>
      <c r="N307" s="220"/>
      <c r="O307" s="220"/>
      <c r="P307" s="220"/>
      <c r="Q307" s="220"/>
      <c r="R307" s="220"/>
      <c r="S307" s="220"/>
      <c r="T307" s="220"/>
      <c r="U307" s="220"/>
      <c r="V307" s="220"/>
      <c r="W307" s="220"/>
    </row>
    <row r="308" ht="15.75" customHeight="1">
      <c r="A308" s="229" t="s">
        <v>1188</v>
      </c>
      <c r="B308" s="230"/>
      <c r="C308" s="231"/>
      <c r="D308" s="232"/>
      <c r="E308" s="231"/>
      <c r="F308" s="231"/>
      <c r="G308" s="233"/>
      <c r="H308" s="233"/>
      <c r="I308" s="258"/>
      <c r="J308" s="236"/>
      <c r="K308" s="237">
        <f t="shared" ref="K308:L308" si="34">SUBTOTAL(9,K309:K322)</f>
        <v>0</v>
      </c>
      <c r="L308" s="237">
        <f t="shared" si="34"/>
        <v>0</v>
      </c>
      <c r="M308" s="220"/>
      <c r="N308" s="220"/>
      <c r="O308" s="220"/>
      <c r="P308" s="220"/>
      <c r="Q308" s="220"/>
      <c r="R308" s="220"/>
      <c r="S308" s="220"/>
      <c r="T308" s="220"/>
      <c r="U308" s="220"/>
      <c r="V308" s="220"/>
      <c r="W308" s="220"/>
    </row>
    <row r="309" ht="15.75" customHeight="1" outlineLevel="1">
      <c r="A309" s="213"/>
      <c r="B309" s="212"/>
      <c r="C309" s="213"/>
      <c r="D309" s="214" t="str">
        <f>IFERROR(VLOOKUP($C309,'PORTIFÓLIO'!C:V,2,0),"")</f>
        <v/>
      </c>
      <c r="E309" s="211" t="str">
        <f>IFERROR(VLOOKUP($C309,'PORTIFÓLIO'!C:V,3,0),"")</f>
        <v/>
      </c>
      <c r="F309" s="211" t="str">
        <f>IFERROR(VLOOKUP($C309,'PORTIFÓLIO'!C:V,4,0),"")</f>
        <v/>
      </c>
      <c r="G309" s="215" t="str">
        <f>IFERROR(VLOOKUP($C309,'PORTIFÓLIO'!C:V,5,0),"")</f>
        <v/>
      </c>
      <c r="H309" s="254" t="str">
        <f t="array" ref="H309">IFERROR(INDEX('PORTIFÓLIO'!$H$4:$H$433,MATCH($C309,'PORTIFÓLIO'!$C$4:$C$433,0)),"")</f>
        <v/>
      </c>
      <c r="I309" s="255"/>
      <c r="J309" s="218">
        <f t="shared" ref="J309:J323" si="35">I309*$B$2</f>
        <v>0</v>
      </c>
      <c r="K309" s="292" t="str">
        <f t="array" ref="K309">IFERROR(I309*INDEX('PORTIFÓLIO'!$S$4:$S$433,MATCH($C309,'PORTIFÓLIO'!$C$4:$C$433,0)),"")</f>
        <v/>
      </c>
      <c r="L309" s="292" t="str">
        <f t="array" ref="L309">IFERROR(J309*INDEX('PORTIFÓLIO'!$S$4:$S$433,MATCH($C309,'PORTIFÓLIO'!$C$4:$C$433,0)),"")</f>
        <v/>
      </c>
      <c r="M309" s="220"/>
      <c r="N309" s="220"/>
      <c r="O309" s="220"/>
      <c r="P309" s="220"/>
      <c r="Q309" s="220"/>
      <c r="R309" s="220"/>
      <c r="S309" s="220"/>
      <c r="T309" s="220"/>
      <c r="U309" s="220"/>
      <c r="V309" s="220"/>
      <c r="W309" s="220"/>
    </row>
    <row r="310" ht="15.75" customHeight="1" outlineLevel="1">
      <c r="A310" s="211"/>
      <c r="B310" s="212"/>
      <c r="C310" s="213"/>
      <c r="D310" s="214" t="str">
        <f>IFERROR(VLOOKUP($C310,'PORTIFÓLIO'!C:V,2,0),"")</f>
        <v/>
      </c>
      <c r="E310" s="211" t="str">
        <f>IFERROR(VLOOKUP($C310,'PORTIFÓLIO'!C:V,3,0),"")</f>
        <v/>
      </c>
      <c r="F310" s="211" t="str">
        <f>IFERROR(VLOOKUP($C310,'PORTIFÓLIO'!C:V,4,0),"")</f>
        <v/>
      </c>
      <c r="G310" s="215" t="str">
        <f>IFERROR(VLOOKUP($C310,'PORTIFÓLIO'!C:V,5,0),"")</f>
        <v/>
      </c>
      <c r="H310" s="254" t="str">
        <f t="array" ref="H310">IFERROR(INDEX('PORTIFÓLIO'!$H$4:$H$433,MATCH($C310,'PORTIFÓLIO'!$C$4:$C$433,0)),"")</f>
        <v/>
      </c>
      <c r="I310" s="256"/>
      <c r="J310" s="218">
        <f t="shared" si="35"/>
        <v>0</v>
      </c>
      <c r="K310" s="292" t="str">
        <f t="array" ref="K310">IFERROR(I310*INDEX('PORTIFÓLIO'!$S$4:$S$433,MATCH($C310,'PORTIFÓLIO'!$C$4:$C$433,0)),"")</f>
        <v/>
      </c>
      <c r="L310" s="292" t="str">
        <f t="array" ref="L310">IFERROR(J310*INDEX('PORTIFÓLIO'!$S$4:$S$433,MATCH($C310,'PORTIFÓLIO'!$C$4:$C$433,0)),"")</f>
        <v/>
      </c>
      <c r="M310" s="220"/>
      <c r="N310" s="220"/>
      <c r="O310" s="220"/>
      <c r="P310" s="220"/>
      <c r="Q310" s="220"/>
      <c r="R310" s="220"/>
      <c r="S310" s="220"/>
      <c r="T310" s="220"/>
      <c r="U310" s="220"/>
      <c r="V310" s="220"/>
      <c r="W310" s="220"/>
    </row>
    <row r="311" ht="15.75" customHeight="1" outlineLevel="1">
      <c r="A311" s="211"/>
      <c r="B311" s="212"/>
      <c r="C311" s="213"/>
      <c r="D311" s="214" t="str">
        <f>IFERROR(VLOOKUP($C311,'PORTIFÓLIO'!C:V,2,0),"")</f>
        <v/>
      </c>
      <c r="E311" s="211" t="str">
        <f>IFERROR(VLOOKUP($C311,'PORTIFÓLIO'!C:V,3,0),"")</f>
        <v/>
      </c>
      <c r="F311" s="211" t="str">
        <f>IFERROR(VLOOKUP($C311,'PORTIFÓLIO'!C:V,4,0),"")</f>
        <v/>
      </c>
      <c r="G311" s="215" t="str">
        <f>IFERROR(VLOOKUP($C311,'PORTIFÓLIO'!C:V,5,0),"")</f>
        <v/>
      </c>
      <c r="H311" s="254" t="str">
        <f t="array" ref="H311">IFERROR(INDEX('PORTIFÓLIO'!$H$4:$H$433,MATCH($C311,'PORTIFÓLIO'!$C$4:$C$433,0)),"")</f>
        <v/>
      </c>
      <c r="I311" s="256"/>
      <c r="J311" s="218">
        <f t="shared" si="35"/>
        <v>0</v>
      </c>
      <c r="K311" s="292" t="str">
        <f t="array" ref="K311">IFERROR(I311*INDEX('PORTIFÓLIO'!$S$4:$S$433,MATCH($C311,'PORTIFÓLIO'!$C$4:$C$433,0)),"")</f>
        <v/>
      </c>
      <c r="L311" s="292" t="str">
        <f t="array" ref="L311">IFERROR(J311*INDEX('PORTIFÓLIO'!$S$4:$S$433,MATCH($C311,'PORTIFÓLIO'!$C$4:$C$433,0)),"")</f>
        <v/>
      </c>
      <c r="M311" s="220"/>
      <c r="N311" s="220"/>
      <c r="O311" s="220"/>
      <c r="P311" s="220"/>
      <c r="Q311" s="220"/>
      <c r="R311" s="220"/>
      <c r="S311" s="220"/>
      <c r="T311" s="220"/>
      <c r="U311" s="220"/>
      <c r="V311" s="220"/>
      <c r="W311" s="220"/>
    </row>
    <row r="312" ht="15.75" customHeight="1" outlineLevel="1">
      <c r="A312" s="211"/>
      <c r="B312" s="212"/>
      <c r="C312" s="213"/>
      <c r="D312" s="214" t="str">
        <f>IFERROR(VLOOKUP($C312,'PORTIFÓLIO'!C:V,2,0),"")</f>
        <v/>
      </c>
      <c r="E312" s="211" t="str">
        <f>IFERROR(VLOOKUP($C312,'PORTIFÓLIO'!C:V,3,0),"")</f>
        <v/>
      </c>
      <c r="F312" s="211" t="str">
        <f>IFERROR(VLOOKUP($C312,'PORTIFÓLIO'!C:V,4,0),"")</f>
        <v/>
      </c>
      <c r="G312" s="215" t="str">
        <f>IFERROR(VLOOKUP($C312,'PORTIFÓLIO'!C:V,5,0),"")</f>
        <v/>
      </c>
      <c r="H312" s="254" t="str">
        <f t="array" ref="H312">IFERROR(INDEX('PORTIFÓLIO'!$H$4:$H$433,MATCH($C312,'PORTIFÓLIO'!$C$4:$C$433,0)),"")</f>
        <v/>
      </c>
      <c r="I312" s="256"/>
      <c r="J312" s="218">
        <f t="shared" si="35"/>
        <v>0</v>
      </c>
      <c r="K312" s="292" t="str">
        <f t="array" ref="K312">IFERROR(I312*INDEX('PORTIFÓLIO'!$S$4:$S$433,MATCH($C312,'PORTIFÓLIO'!$C$4:$C$433,0)),"")</f>
        <v/>
      </c>
      <c r="L312" s="292" t="str">
        <f t="array" ref="L312">IFERROR(J312*INDEX('PORTIFÓLIO'!$S$4:$S$433,MATCH($C312,'PORTIFÓLIO'!$C$4:$C$433,0)),"")</f>
        <v/>
      </c>
      <c r="M312" s="220"/>
      <c r="N312" s="220"/>
      <c r="O312" s="220"/>
      <c r="P312" s="220"/>
      <c r="Q312" s="220"/>
      <c r="R312" s="220"/>
      <c r="S312" s="220"/>
      <c r="T312" s="220"/>
      <c r="U312" s="220"/>
      <c r="V312" s="220"/>
      <c r="W312" s="220"/>
    </row>
    <row r="313" ht="15.75" customHeight="1" outlineLevel="1">
      <c r="A313" s="211"/>
      <c r="B313" s="212"/>
      <c r="C313" s="213"/>
      <c r="D313" s="214" t="str">
        <f>IFERROR(VLOOKUP($C313,'PORTIFÓLIO'!C:V,2,0),"")</f>
        <v/>
      </c>
      <c r="E313" s="211" t="str">
        <f>IFERROR(VLOOKUP($C313,'PORTIFÓLIO'!C:V,3,0),"")</f>
        <v/>
      </c>
      <c r="F313" s="211" t="str">
        <f>IFERROR(VLOOKUP($C313,'PORTIFÓLIO'!C:V,4,0),"")</f>
        <v/>
      </c>
      <c r="G313" s="215" t="str">
        <f>IFERROR(VLOOKUP($C313,'PORTIFÓLIO'!C:V,5,0),"")</f>
        <v/>
      </c>
      <c r="H313" s="254" t="str">
        <f t="array" ref="H313">IFERROR(INDEX('PORTIFÓLIO'!$H$4:$H$433,MATCH($C313,'PORTIFÓLIO'!$C$4:$C$433,0)),"")</f>
        <v/>
      </c>
      <c r="I313" s="256"/>
      <c r="J313" s="218">
        <f t="shared" si="35"/>
        <v>0</v>
      </c>
      <c r="K313" s="292" t="str">
        <f t="array" ref="K313">IFERROR(I313*INDEX('PORTIFÓLIO'!$S$4:$S$433,MATCH($C313,'PORTIFÓLIO'!$C$4:$C$433,0)),"")</f>
        <v/>
      </c>
      <c r="L313" s="292" t="str">
        <f t="array" ref="L313">IFERROR(J313*INDEX('PORTIFÓLIO'!$S$4:$S$433,MATCH($C313,'PORTIFÓLIO'!$C$4:$C$433,0)),"")</f>
        <v/>
      </c>
      <c r="M313" s="220"/>
      <c r="N313" s="220"/>
      <c r="O313" s="220"/>
      <c r="P313" s="220"/>
      <c r="Q313" s="220"/>
      <c r="R313" s="220"/>
      <c r="S313" s="220"/>
      <c r="T313" s="220"/>
      <c r="U313" s="220"/>
      <c r="V313" s="220"/>
      <c r="W313" s="220"/>
    </row>
    <row r="314" ht="15.75" customHeight="1" outlineLevel="1">
      <c r="A314" s="211"/>
      <c r="B314" s="212"/>
      <c r="C314" s="213"/>
      <c r="D314" s="214" t="str">
        <f>IFERROR(VLOOKUP($C314,'PORTIFÓLIO'!C:V,2,0),"")</f>
        <v/>
      </c>
      <c r="E314" s="211" t="str">
        <f>IFERROR(VLOOKUP($C314,'PORTIFÓLIO'!C:V,3,0),"")</f>
        <v/>
      </c>
      <c r="F314" s="211" t="str">
        <f>IFERROR(VLOOKUP($C314,'PORTIFÓLIO'!C:V,4,0),"")</f>
        <v/>
      </c>
      <c r="G314" s="215" t="str">
        <f>IFERROR(VLOOKUP($C314,'PORTIFÓLIO'!C:V,5,0),"")</f>
        <v/>
      </c>
      <c r="H314" s="254" t="str">
        <f t="array" ref="H314">IFERROR(INDEX('PORTIFÓLIO'!$H$4:$H$433,MATCH($C314,'PORTIFÓLIO'!$C$4:$C$433,0)),"")</f>
        <v/>
      </c>
      <c r="I314" s="256"/>
      <c r="J314" s="218">
        <f t="shared" si="35"/>
        <v>0</v>
      </c>
      <c r="K314" s="292" t="str">
        <f t="array" ref="K314">IFERROR(I314*INDEX('PORTIFÓLIO'!$S$4:$S$433,MATCH($C314,'PORTIFÓLIO'!$C$4:$C$433,0)),"")</f>
        <v/>
      </c>
      <c r="L314" s="292" t="str">
        <f t="array" ref="L314">IFERROR(J314*INDEX('PORTIFÓLIO'!$S$4:$S$433,MATCH($C314,'PORTIFÓLIO'!$C$4:$C$433,0)),"")</f>
        <v/>
      </c>
      <c r="M314" s="220"/>
      <c r="N314" s="220"/>
      <c r="O314" s="220"/>
      <c r="P314" s="220"/>
      <c r="Q314" s="220"/>
      <c r="R314" s="220"/>
      <c r="S314" s="220"/>
      <c r="T314" s="220"/>
      <c r="U314" s="220"/>
      <c r="V314" s="220"/>
      <c r="W314" s="220"/>
    </row>
    <row r="315" ht="15.75" customHeight="1" outlineLevel="1">
      <c r="A315" s="211"/>
      <c r="B315" s="212"/>
      <c r="C315" s="213"/>
      <c r="D315" s="214" t="str">
        <f>IFERROR(VLOOKUP($C315,'PORTIFÓLIO'!C:V,2,0),"")</f>
        <v/>
      </c>
      <c r="E315" s="211" t="str">
        <f>IFERROR(VLOOKUP($C315,'PORTIFÓLIO'!C:V,3,0),"")</f>
        <v/>
      </c>
      <c r="F315" s="211" t="str">
        <f>IFERROR(VLOOKUP($C315,'PORTIFÓLIO'!C:V,4,0),"")</f>
        <v/>
      </c>
      <c r="G315" s="215" t="str">
        <f>IFERROR(VLOOKUP($C315,'PORTIFÓLIO'!C:V,5,0),"")</f>
        <v/>
      </c>
      <c r="H315" s="254" t="str">
        <f t="array" ref="H315">IFERROR(INDEX('PORTIFÓLIO'!$H$4:$H$433,MATCH($C315,'PORTIFÓLIO'!$C$4:$C$433,0)),"")</f>
        <v/>
      </c>
      <c r="I315" s="256"/>
      <c r="J315" s="218">
        <f t="shared" si="35"/>
        <v>0</v>
      </c>
      <c r="K315" s="292" t="str">
        <f t="array" ref="K315">IFERROR(I315*INDEX('PORTIFÓLIO'!$S$4:$S$433,MATCH($C315,'PORTIFÓLIO'!$C$4:$C$433,0)),"")</f>
        <v/>
      </c>
      <c r="L315" s="292" t="str">
        <f t="array" ref="L315">IFERROR(J315*INDEX('PORTIFÓLIO'!$S$4:$S$433,MATCH($C315,'PORTIFÓLIO'!$C$4:$C$433,0)),"")</f>
        <v/>
      </c>
      <c r="M315" s="220"/>
      <c r="N315" s="220"/>
      <c r="O315" s="220"/>
      <c r="P315" s="220"/>
      <c r="Q315" s="220"/>
      <c r="R315" s="220"/>
      <c r="S315" s="220"/>
      <c r="T315" s="220"/>
      <c r="U315" s="220"/>
      <c r="V315" s="220"/>
      <c r="W315" s="220"/>
    </row>
    <row r="316" ht="15.75" customHeight="1" outlineLevel="1">
      <c r="A316" s="211"/>
      <c r="B316" s="212"/>
      <c r="C316" s="213"/>
      <c r="D316" s="214" t="str">
        <f>IFERROR(VLOOKUP($C316,'PORTIFÓLIO'!C:V,2,0),"")</f>
        <v/>
      </c>
      <c r="E316" s="211" t="str">
        <f>IFERROR(VLOOKUP($C316,'PORTIFÓLIO'!C:V,3,0),"")</f>
        <v/>
      </c>
      <c r="F316" s="211" t="str">
        <f>IFERROR(VLOOKUP($C316,'PORTIFÓLIO'!C:V,4,0),"")</f>
        <v/>
      </c>
      <c r="G316" s="215" t="str">
        <f>IFERROR(VLOOKUP($C316,'PORTIFÓLIO'!C:V,5,0),"")</f>
        <v/>
      </c>
      <c r="H316" s="254" t="str">
        <f t="array" ref="H316">IFERROR(INDEX('PORTIFÓLIO'!$H$4:$H$433,MATCH($C316,'PORTIFÓLIO'!$C$4:$C$433,0)),"")</f>
        <v/>
      </c>
      <c r="I316" s="256"/>
      <c r="J316" s="218">
        <f t="shared" si="35"/>
        <v>0</v>
      </c>
      <c r="K316" s="292" t="str">
        <f t="array" ref="K316">IFERROR(I316*INDEX('PORTIFÓLIO'!$S$4:$S$433,MATCH($C316,'PORTIFÓLIO'!$C$4:$C$433,0)),"")</f>
        <v/>
      </c>
      <c r="L316" s="292" t="str">
        <f t="array" ref="L316">IFERROR(J316*INDEX('PORTIFÓLIO'!$S$4:$S$433,MATCH($C316,'PORTIFÓLIO'!$C$4:$C$433,0)),"")</f>
        <v/>
      </c>
      <c r="M316" s="220"/>
      <c r="N316" s="220"/>
      <c r="O316" s="220"/>
      <c r="P316" s="220"/>
      <c r="Q316" s="220"/>
      <c r="R316" s="220"/>
      <c r="S316" s="220"/>
      <c r="T316" s="220"/>
      <c r="U316" s="220"/>
      <c r="V316" s="220"/>
      <c r="W316" s="220"/>
    </row>
    <row r="317" ht="15.75" customHeight="1" outlineLevel="1">
      <c r="A317" s="211"/>
      <c r="B317" s="212"/>
      <c r="C317" s="213"/>
      <c r="D317" s="214" t="str">
        <f>IFERROR(VLOOKUP($C317,'PORTIFÓLIO'!C:V,2,0),"")</f>
        <v/>
      </c>
      <c r="E317" s="211" t="str">
        <f>IFERROR(VLOOKUP($C317,'PORTIFÓLIO'!C:V,3,0),"")</f>
        <v/>
      </c>
      <c r="F317" s="211" t="str">
        <f>IFERROR(VLOOKUP($C317,'PORTIFÓLIO'!C:V,4,0),"")</f>
        <v/>
      </c>
      <c r="G317" s="215" t="str">
        <f>IFERROR(VLOOKUP($C317,'PORTIFÓLIO'!C:V,5,0),"")</f>
        <v/>
      </c>
      <c r="H317" s="254" t="str">
        <f t="array" ref="H317">IFERROR(INDEX('PORTIFÓLIO'!$H$4:$H$433,MATCH($C317,'PORTIFÓLIO'!$C$4:$C$433,0)),"")</f>
        <v/>
      </c>
      <c r="I317" s="255"/>
      <c r="J317" s="218">
        <f t="shared" si="35"/>
        <v>0</v>
      </c>
      <c r="K317" s="292" t="str">
        <f t="array" ref="K317">IFERROR(I317*INDEX('PORTIFÓLIO'!$S$4:$S$433,MATCH($C317,'PORTIFÓLIO'!$C$4:$C$433,0)),"")</f>
        <v/>
      </c>
      <c r="L317" s="292" t="str">
        <f t="array" ref="L317">IFERROR(J317*INDEX('PORTIFÓLIO'!$S$4:$S$433,MATCH($C317,'PORTIFÓLIO'!$C$4:$C$433,0)),"")</f>
        <v/>
      </c>
      <c r="M317" s="220"/>
      <c r="N317" s="220"/>
      <c r="O317" s="220"/>
      <c r="P317" s="220"/>
      <c r="Q317" s="220"/>
      <c r="R317" s="220"/>
      <c r="S317" s="220"/>
      <c r="T317" s="220"/>
      <c r="U317" s="220"/>
      <c r="V317" s="220"/>
      <c r="W317" s="220"/>
    </row>
    <row r="318" ht="15.75" customHeight="1" outlineLevel="1">
      <c r="A318" s="211"/>
      <c r="B318" s="212"/>
      <c r="C318" s="213"/>
      <c r="D318" s="214" t="str">
        <f>IFERROR(VLOOKUP($C318,'PORTIFÓLIO'!C:V,2,0),"")</f>
        <v/>
      </c>
      <c r="E318" s="211" t="str">
        <f>IFERROR(VLOOKUP($C318,'PORTIFÓLIO'!C:V,3,0),"")</f>
        <v/>
      </c>
      <c r="F318" s="211" t="str">
        <f>IFERROR(VLOOKUP($C318,'PORTIFÓLIO'!C:V,4,0),"")</f>
        <v/>
      </c>
      <c r="G318" s="215" t="str">
        <f>IFERROR(VLOOKUP($C318,'PORTIFÓLIO'!C:V,5,0),"")</f>
        <v/>
      </c>
      <c r="H318" s="254" t="str">
        <f t="array" ref="H318">IFERROR(INDEX('PORTIFÓLIO'!$H$4:$H$433,MATCH($C318,'PORTIFÓLIO'!$C$4:$C$433,0)),"")</f>
        <v/>
      </c>
      <c r="I318" s="256"/>
      <c r="J318" s="218">
        <f t="shared" si="35"/>
        <v>0</v>
      </c>
      <c r="K318" s="292" t="str">
        <f t="array" ref="K318">IFERROR(I318*INDEX('PORTIFÓLIO'!$S$4:$S$433,MATCH($C318,'PORTIFÓLIO'!$C$4:$C$433,0)),"")</f>
        <v/>
      </c>
      <c r="L318" s="292" t="str">
        <f t="array" ref="L318">IFERROR(J318*INDEX('PORTIFÓLIO'!$S$4:$S$433,MATCH($C318,'PORTIFÓLIO'!$C$4:$C$433,0)),"")</f>
        <v/>
      </c>
      <c r="M318" s="220"/>
      <c r="N318" s="220"/>
      <c r="O318" s="220"/>
      <c r="P318" s="220"/>
      <c r="Q318" s="220"/>
      <c r="R318" s="220"/>
      <c r="S318" s="220"/>
      <c r="T318" s="220"/>
      <c r="U318" s="220"/>
      <c r="V318" s="220"/>
      <c r="W318" s="220"/>
    </row>
    <row r="319" ht="15.75" customHeight="1" outlineLevel="1">
      <c r="A319" s="211"/>
      <c r="B319" s="212"/>
      <c r="C319" s="213"/>
      <c r="D319" s="214" t="str">
        <f>IFERROR(VLOOKUP($C319,'PORTIFÓLIO'!C:V,2,0),"")</f>
        <v/>
      </c>
      <c r="E319" s="211" t="str">
        <f>IFERROR(VLOOKUP($C319,'PORTIFÓLIO'!C:V,3,0),"")</f>
        <v/>
      </c>
      <c r="F319" s="211" t="str">
        <f>IFERROR(VLOOKUP($C319,'PORTIFÓLIO'!C:V,4,0),"")</f>
        <v/>
      </c>
      <c r="G319" s="215" t="str">
        <f>IFERROR(VLOOKUP($C319,'PORTIFÓLIO'!C:V,5,0),"")</f>
        <v/>
      </c>
      <c r="H319" s="254" t="str">
        <f t="array" ref="H319">IFERROR(INDEX('PORTIFÓLIO'!$H$4:$H$433,MATCH($C319,'PORTIFÓLIO'!$C$4:$C$433,0)),"")</f>
        <v/>
      </c>
      <c r="I319" s="256"/>
      <c r="J319" s="218">
        <f t="shared" si="35"/>
        <v>0</v>
      </c>
      <c r="K319" s="292" t="str">
        <f t="array" ref="K319">IFERROR(I319*INDEX('PORTIFÓLIO'!$S$4:$S$433,MATCH($C319,'PORTIFÓLIO'!$C$4:$C$433,0)),"")</f>
        <v/>
      </c>
      <c r="L319" s="292" t="str">
        <f t="array" ref="L319">IFERROR(J319*INDEX('PORTIFÓLIO'!$S$4:$S$433,MATCH($C319,'PORTIFÓLIO'!$C$4:$C$433,0)),"")</f>
        <v/>
      </c>
      <c r="M319" s="220"/>
      <c r="N319" s="220"/>
      <c r="O319" s="220"/>
      <c r="P319" s="220"/>
      <c r="Q319" s="220"/>
      <c r="R319" s="220"/>
      <c r="S319" s="220"/>
      <c r="T319" s="220"/>
      <c r="U319" s="220"/>
      <c r="V319" s="220"/>
      <c r="W319" s="220"/>
    </row>
    <row r="320" ht="15.75" customHeight="1" outlineLevel="1">
      <c r="A320" s="211"/>
      <c r="B320" s="212"/>
      <c r="C320" s="213"/>
      <c r="D320" s="214" t="str">
        <f>IFERROR(VLOOKUP($C320,'PORTIFÓLIO'!C:V,2,0),"")</f>
        <v/>
      </c>
      <c r="E320" s="211" t="str">
        <f>IFERROR(VLOOKUP($C320,'PORTIFÓLIO'!C:V,3,0),"")</f>
        <v/>
      </c>
      <c r="F320" s="211" t="str">
        <f>IFERROR(VLOOKUP($C320,'PORTIFÓLIO'!C:V,4,0),"")</f>
        <v/>
      </c>
      <c r="G320" s="215" t="str">
        <f>IFERROR(VLOOKUP($C320,'PORTIFÓLIO'!C:V,5,0),"")</f>
        <v/>
      </c>
      <c r="H320" s="254" t="str">
        <f t="array" ref="H320">IFERROR(INDEX('PORTIFÓLIO'!$H$4:$H$433,MATCH($C320,'PORTIFÓLIO'!$C$4:$C$433,0)),"")</f>
        <v/>
      </c>
      <c r="I320" s="256"/>
      <c r="J320" s="218">
        <f t="shared" si="35"/>
        <v>0</v>
      </c>
      <c r="K320" s="292" t="str">
        <f t="array" ref="K320">IFERROR(I320*INDEX('PORTIFÓLIO'!$S$4:$S$433,MATCH($C320,'PORTIFÓLIO'!$C$4:$C$433,0)),"")</f>
        <v/>
      </c>
      <c r="L320" s="292" t="str">
        <f t="array" ref="L320">IFERROR(J320*INDEX('PORTIFÓLIO'!$S$4:$S$433,MATCH($C320,'PORTIFÓLIO'!$C$4:$C$433,0)),"")</f>
        <v/>
      </c>
      <c r="M320" s="220"/>
      <c r="N320" s="220"/>
      <c r="O320" s="220"/>
      <c r="P320" s="220"/>
      <c r="Q320" s="220"/>
      <c r="R320" s="220"/>
      <c r="S320" s="220"/>
      <c r="T320" s="220"/>
      <c r="U320" s="220"/>
      <c r="V320" s="220"/>
      <c r="W320" s="220"/>
    </row>
    <row r="321" ht="15.75" customHeight="1" outlineLevel="1">
      <c r="A321" s="211"/>
      <c r="B321" s="212"/>
      <c r="C321" s="213"/>
      <c r="D321" s="214" t="str">
        <f>IFERROR(VLOOKUP($C321,'PORTIFÓLIO'!C:V,2,0),"")</f>
        <v/>
      </c>
      <c r="E321" s="211" t="str">
        <f>IFERROR(VLOOKUP($C321,'PORTIFÓLIO'!C:V,3,0),"")</f>
        <v/>
      </c>
      <c r="F321" s="211" t="str">
        <f>IFERROR(VLOOKUP($C321,'PORTIFÓLIO'!C:V,4,0),"")</f>
        <v/>
      </c>
      <c r="G321" s="215" t="str">
        <f>IFERROR(VLOOKUP($C321,'PORTIFÓLIO'!C:V,5,0),"")</f>
        <v/>
      </c>
      <c r="H321" s="254" t="str">
        <f t="array" ref="H321">IFERROR(INDEX('PORTIFÓLIO'!$H$4:$H$433,MATCH($C321,'PORTIFÓLIO'!$C$4:$C$433,0)),"")</f>
        <v/>
      </c>
      <c r="I321" s="256"/>
      <c r="J321" s="218">
        <f t="shared" si="35"/>
        <v>0</v>
      </c>
      <c r="K321" s="292" t="str">
        <f t="array" ref="K321">IFERROR(I321*INDEX('PORTIFÓLIO'!$S$4:$S$433,MATCH($C321,'PORTIFÓLIO'!$C$4:$C$433,0)),"")</f>
        <v/>
      </c>
      <c r="L321" s="292" t="str">
        <f t="array" ref="L321">IFERROR(J321*INDEX('PORTIFÓLIO'!$S$4:$S$433,MATCH($C321,'PORTIFÓLIO'!$C$4:$C$433,0)),"")</f>
        <v/>
      </c>
      <c r="M321" s="220"/>
      <c r="N321" s="220"/>
      <c r="O321" s="220"/>
      <c r="P321" s="220"/>
      <c r="Q321" s="220"/>
      <c r="R321" s="220"/>
      <c r="S321" s="220"/>
      <c r="T321" s="220"/>
      <c r="U321" s="220"/>
      <c r="V321" s="220"/>
      <c r="W321" s="220"/>
    </row>
    <row r="322" ht="15.75" customHeight="1" outlineLevel="1">
      <c r="A322" s="211"/>
      <c r="B322" s="212"/>
      <c r="C322" s="213"/>
      <c r="D322" s="214" t="str">
        <f>IFERROR(VLOOKUP($C322,'PORTIFÓLIO'!C:V,2,0),"")</f>
        <v/>
      </c>
      <c r="E322" s="211" t="str">
        <f>IFERROR(VLOOKUP($C322,'PORTIFÓLIO'!C:V,3,0),"")</f>
        <v/>
      </c>
      <c r="F322" s="211" t="str">
        <f>IFERROR(VLOOKUP($C322,'PORTIFÓLIO'!C:V,4,0),"")</f>
        <v/>
      </c>
      <c r="G322" s="215" t="str">
        <f>IFERROR(VLOOKUP($C322,'PORTIFÓLIO'!C:V,5,0),"")</f>
        <v/>
      </c>
      <c r="H322" s="254" t="str">
        <f t="array" ref="H322">IFERROR(INDEX('PORTIFÓLIO'!$H$4:$H$433,MATCH($C322,'PORTIFÓLIO'!$C$4:$C$433,0)),"")</f>
        <v/>
      </c>
      <c r="I322" s="256"/>
      <c r="J322" s="218">
        <f t="shared" si="35"/>
        <v>0</v>
      </c>
      <c r="K322" s="292" t="str">
        <f t="array" ref="K322">IFERROR(I322*INDEX('PORTIFÓLIO'!$S$4:$S$433,MATCH($C322,'PORTIFÓLIO'!$C$4:$C$433,0)),"")</f>
        <v/>
      </c>
      <c r="L322" s="292" t="str">
        <f t="array" ref="L322">IFERROR(J322*INDEX('PORTIFÓLIO'!$S$4:$S$433,MATCH($C322,'PORTIFÓLIO'!$C$4:$C$433,0)),"")</f>
        <v/>
      </c>
      <c r="M322" s="220"/>
      <c r="N322" s="220"/>
      <c r="O322" s="220"/>
      <c r="P322" s="220"/>
      <c r="Q322" s="220"/>
      <c r="R322" s="220"/>
      <c r="S322" s="220"/>
      <c r="T322" s="220"/>
      <c r="U322" s="220"/>
      <c r="V322" s="220"/>
      <c r="W322" s="220"/>
    </row>
    <row r="323" ht="15.75" customHeight="1" outlineLevel="1">
      <c r="A323" s="211"/>
      <c r="B323" s="212"/>
      <c r="C323" s="213"/>
      <c r="D323" s="214" t="str">
        <f>IFERROR(VLOOKUP($C323,'PORTIFÓLIO'!C:V,2,0),"")</f>
        <v/>
      </c>
      <c r="E323" s="211" t="str">
        <f>IFERROR(VLOOKUP($C323,'PORTIFÓLIO'!C:V,3,0),"")</f>
        <v/>
      </c>
      <c r="F323" s="211" t="str">
        <f>IFERROR(VLOOKUP($C323,'PORTIFÓLIO'!C:V,4,0),"")</f>
        <v/>
      </c>
      <c r="G323" s="215" t="str">
        <f>IFERROR(VLOOKUP($C323,'PORTIFÓLIO'!C:V,5,0),"")</f>
        <v/>
      </c>
      <c r="H323" s="254" t="str">
        <f t="array" ref="H323">IFERROR(INDEX('PORTIFÓLIO'!$H$4:$H$433,MATCH($C323,'PORTIFÓLIO'!$C$4:$C$433,0)),"")</f>
        <v/>
      </c>
      <c r="I323" s="256"/>
      <c r="J323" s="218">
        <f t="shared" si="35"/>
        <v>0</v>
      </c>
      <c r="K323" s="292" t="str">
        <f t="array" ref="K323">IFERROR(I323*INDEX('PORTIFÓLIO'!$S$4:$S$433,MATCH($C323,'PORTIFÓLIO'!$C$4:$C$433,0)),"")</f>
        <v/>
      </c>
      <c r="L323" s="292" t="str">
        <f t="array" ref="L323">IFERROR(J323*INDEX('PORTIFÓLIO'!$S$4:$S$433,MATCH($C323,'PORTIFÓLIO'!$C$4:$C$433,0)),"")</f>
        <v/>
      </c>
      <c r="M323" s="220"/>
      <c r="N323" s="220"/>
      <c r="O323" s="220"/>
      <c r="P323" s="220"/>
      <c r="Q323" s="220"/>
      <c r="R323" s="220"/>
      <c r="S323" s="220"/>
      <c r="T323" s="220"/>
      <c r="U323" s="220"/>
      <c r="V323" s="220"/>
      <c r="W323" s="220"/>
    </row>
    <row r="324" ht="15.75" customHeight="1">
      <c r="A324" s="229" t="s">
        <v>1189</v>
      </c>
      <c r="B324" s="230"/>
      <c r="C324" s="231"/>
      <c r="D324" s="232"/>
      <c r="E324" s="231"/>
      <c r="F324" s="231"/>
      <c r="G324" s="233"/>
      <c r="H324" s="233"/>
      <c r="I324" s="258"/>
      <c r="J324" s="236"/>
      <c r="K324" s="237">
        <f t="shared" ref="K324:L324" si="36">SUBTOTAL(9,K325:K338)</f>
        <v>0</v>
      </c>
      <c r="L324" s="237">
        <f t="shared" si="36"/>
        <v>0</v>
      </c>
      <c r="M324" s="220"/>
      <c r="N324" s="220"/>
      <c r="O324" s="220"/>
      <c r="P324" s="220"/>
      <c r="Q324" s="220"/>
      <c r="R324" s="220"/>
      <c r="S324" s="220"/>
      <c r="T324" s="220"/>
      <c r="U324" s="220"/>
      <c r="V324" s="220"/>
      <c r="W324" s="220"/>
    </row>
    <row r="325" ht="15.75" customHeight="1" outlineLevel="1">
      <c r="A325" s="213"/>
      <c r="B325" s="212"/>
      <c r="C325" s="213"/>
      <c r="D325" s="214" t="str">
        <f>IFERROR(VLOOKUP($C325,'PORTIFÓLIO'!C:V,2,0),"")</f>
        <v/>
      </c>
      <c r="E325" s="211" t="str">
        <f>IFERROR(VLOOKUP($C325,'PORTIFÓLIO'!C:V,3,0),"")</f>
        <v/>
      </c>
      <c r="F325" s="211" t="str">
        <f>IFERROR(VLOOKUP($C325,'PORTIFÓLIO'!C:V,4,0),"")</f>
        <v/>
      </c>
      <c r="G325" s="215" t="str">
        <f>IFERROR(VLOOKUP($C325,'PORTIFÓLIO'!C:V,5,0),"")</f>
        <v/>
      </c>
      <c r="H325" s="254" t="str">
        <f t="array" ref="H325">IFERROR(INDEX('PORTIFÓLIO'!$H$4:$H$433,MATCH($C325,'PORTIFÓLIO'!$C$4:$C$433,0)),"")</f>
        <v/>
      </c>
      <c r="I325" s="255"/>
      <c r="J325" s="218">
        <f t="shared" ref="J325:J339" si="37">I325*$B$2</f>
        <v>0</v>
      </c>
      <c r="K325" s="292" t="str">
        <f t="array" ref="K325">IFERROR(I325*INDEX('PORTIFÓLIO'!$S$4:$S$433,MATCH($C325,'PORTIFÓLIO'!$C$4:$C$433,0)),"")</f>
        <v/>
      </c>
      <c r="L325" s="292" t="str">
        <f t="array" ref="L325">IFERROR(J325*INDEX('PORTIFÓLIO'!$S$4:$S$433,MATCH($C325,'PORTIFÓLIO'!$C$4:$C$433,0)),"")</f>
        <v/>
      </c>
      <c r="M325" s="220"/>
      <c r="N325" s="220"/>
      <c r="O325" s="220"/>
      <c r="P325" s="220"/>
      <c r="Q325" s="220"/>
      <c r="R325" s="220"/>
      <c r="S325" s="220"/>
      <c r="T325" s="220"/>
      <c r="U325" s="220"/>
      <c r="V325" s="220"/>
      <c r="W325" s="220"/>
    </row>
    <row r="326" ht="15.75" customHeight="1" outlineLevel="1">
      <c r="A326" s="211"/>
      <c r="B326" s="212"/>
      <c r="C326" s="213"/>
      <c r="D326" s="214" t="str">
        <f>IFERROR(VLOOKUP($C326,'PORTIFÓLIO'!C:V,2,0),"")</f>
        <v/>
      </c>
      <c r="E326" s="211" t="str">
        <f>IFERROR(VLOOKUP($C326,'PORTIFÓLIO'!C:V,3,0),"")</f>
        <v/>
      </c>
      <c r="F326" s="211" t="str">
        <f>IFERROR(VLOOKUP($C326,'PORTIFÓLIO'!C:V,4,0),"")</f>
        <v/>
      </c>
      <c r="G326" s="215" t="str">
        <f>IFERROR(VLOOKUP($C326,'PORTIFÓLIO'!C:V,5,0),"")</f>
        <v/>
      </c>
      <c r="H326" s="254" t="str">
        <f t="array" ref="H326">IFERROR(INDEX('PORTIFÓLIO'!$H$4:$H$433,MATCH($C326,'PORTIFÓLIO'!$C$4:$C$433,0)),"")</f>
        <v/>
      </c>
      <c r="I326" s="256"/>
      <c r="J326" s="218">
        <f t="shared" si="37"/>
        <v>0</v>
      </c>
      <c r="K326" s="292" t="str">
        <f t="array" ref="K326">IFERROR(I326*INDEX('PORTIFÓLIO'!$S$4:$S$433,MATCH($C326,'PORTIFÓLIO'!$C$4:$C$433,0)),"")</f>
        <v/>
      </c>
      <c r="L326" s="292" t="str">
        <f t="array" ref="L326">IFERROR(J326*INDEX('PORTIFÓLIO'!$S$4:$S$433,MATCH($C326,'PORTIFÓLIO'!$C$4:$C$433,0)),"")</f>
        <v/>
      </c>
      <c r="M326" s="220"/>
      <c r="N326" s="220"/>
      <c r="O326" s="220"/>
      <c r="P326" s="220"/>
      <c r="Q326" s="220"/>
      <c r="R326" s="220"/>
      <c r="S326" s="220"/>
      <c r="T326" s="220"/>
      <c r="U326" s="220"/>
      <c r="V326" s="220"/>
      <c r="W326" s="220"/>
    </row>
    <row r="327" ht="15.75" customHeight="1" outlineLevel="1">
      <c r="A327" s="211"/>
      <c r="B327" s="212"/>
      <c r="C327" s="213"/>
      <c r="D327" s="214" t="str">
        <f>IFERROR(VLOOKUP($C327,'PORTIFÓLIO'!C:V,2,0),"")</f>
        <v/>
      </c>
      <c r="E327" s="211" t="str">
        <f>IFERROR(VLOOKUP($C327,'PORTIFÓLIO'!C:V,3,0),"")</f>
        <v/>
      </c>
      <c r="F327" s="211" t="str">
        <f>IFERROR(VLOOKUP($C327,'PORTIFÓLIO'!C:V,4,0),"")</f>
        <v/>
      </c>
      <c r="G327" s="215" t="str">
        <f>IFERROR(VLOOKUP($C327,'PORTIFÓLIO'!C:V,5,0),"")</f>
        <v/>
      </c>
      <c r="H327" s="254" t="str">
        <f t="array" ref="H327">IFERROR(INDEX('PORTIFÓLIO'!$H$4:$H$433,MATCH($C327,'PORTIFÓLIO'!$C$4:$C$433,0)),"")</f>
        <v/>
      </c>
      <c r="I327" s="256"/>
      <c r="J327" s="218">
        <f t="shared" si="37"/>
        <v>0</v>
      </c>
      <c r="K327" s="292" t="str">
        <f t="array" ref="K327">IFERROR(I327*INDEX('PORTIFÓLIO'!$S$4:$S$433,MATCH($C327,'PORTIFÓLIO'!$C$4:$C$433,0)),"")</f>
        <v/>
      </c>
      <c r="L327" s="292" t="str">
        <f t="array" ref="L327">IFERROR(J327*INDEX('PORTIFÓLIO'!$S$4:$S$433,MATCH($C327,'PORTIFÓLIO'!$C$4:$C$433,0)),"")</f>
        <v/>
      </c>
      <c r="M327" s="220"/>
      <c r="N327" s="220"/>
      <c r="O327" s="220"/>
      <c r="P327" s="220"/>
      <c r="Q327" s="220"/>
      <c r="R327" s="220"/>
      <c r="S327" s="220"/>
      <c r="T327" s="220"/>
      <c r="U327" s="220"/>
      <c r="V327" s="220"/>
      <c r="W327" s="220"/>
    </row>
    <row r="328" ht="15.75" customHeight="1" outlineLevel="1">
      <c r="A328" s="211"/>
      <c r="B328" s="212"/>
      <c r="C328" s="213"/>
      <c r="D328" s="214" t="str">
        <f>IFERROR(VLOOKUP($C328,'PORTIFÓLIO'!C:V,2,0),"")</f>
        <v/>
      </c>
      <c r="E328" s="211" t="str">
        <f>IFERROR(VLOOKUP($C328,'PORTIFÓLIO'!C:V,3,0),"")</f>
        <v/>
      </c>
      <c r="F328" s="211" t="str">
        <f>IFERROR(VLOOKUP($C328,'PORTIFÓLIO'!C:V,4,0),"")</f>
        <v/>
      </c>
      <c r="G328" s="215" t="str">
        <f>IFERROR(VLOOKUP($C328,'PORTIFÓLIO'!C:V,5,0),"")</f>
        <v/>
      </c>
      <c r="H328" s="254" t="str">
        <f t="array" ref="H328">IFERROR(INDEX('PORTIFÓLIO'!$H$4:$H$433,MATCH($C328,'PORTIFÓLIO'!$C$4:$C$433,0)),"")</f>
        <v/>
      </c>
      <c r="I328" s="256"/>
      <c r="J328" s="218">
        <f t="shared" si="37"/>
        <v>0</v>
      </c>
      <c r="K328" s="292" t="str">
        <f t="array" ref="K328">IFERROR(I328*INDEX('PORTIFÓLIO'!$S$4:$S$433,MATCH($C328,'PORTIFÓLIO'!$C$4:$C$433,0)),"")</f>
        <v/>
      </c>
      <c r="L328" s="292" t="str">
        <f t="array" ref="L328">IFERROR(J328*INDEX('PORTIFÓLIO'!$S$4:$S$433,MATCH($C328,'PORTIFÓLIO'!$C$4:$C$433,0)),"")</f>
        <v/>
      </c>
      <c r="M328" s="220"/>
      <c r="N328" s="220"/>
      <c r="O328" s="220"/>
      <c r="P328" s="220"/>
      <c r="Q328" s="220"/>
      <c r="R328" s="220"/>
      <c r="S328" s="220"/>
      <c r="T328" s="220"/>
      <c r="U328" s="220"/>
      <c r="V328" s="220"/>
      <c r="W328" s="220"/>
    </row>
    <row r="329" ht="15.75" customHeight="1" outlineLevel="1">
      <c r="A329" s="211"/>
      <c r="B329" s="212"/>
      <c r="C329" s="213"/>
      <c r="D329" s="214" t="str">
        <f>IFERROR(VLOOKUP($C329,'PORTIFÓLIO'!C:V,2,0),"")</f>
        <v/>
      </c>
      <c r="E329" s="211" t="str">
        <f>IFERROR(VLOOKUP($C329,'PORTIFÓLIO'!C:V,3,0),"")</f>
        <v/>
      </c>
      <c r="F329" s="211" t="str">
        <f>IFERROR(VLOOKUP($C329,'PORTIFÓLIO'!C:V,4,0),"")</f>
        <v/>
      </c>
      <c r="G329" s="215" t="str">
        <f>IFERROR(VLOOKUP($C329,'PORTIFÓLIO'!C:V,5,0),"")</f>
        <v/>
      </c>
      <c r="H329" s="254" t="str">
        <f t="array" ref="H329">IFERROR(INDEX('PORTIFÓLIO'!$H$4:$H$433,MATCH($C329,'PORTIFÓLIO'!$C$4:$C$433,0)),"")</f>
        <v/>
      </c>
      <c r="I329" s="256"/>
      <c r="J329" s="218">
        <f t="shared" si="37"/>
        <v>0</v>
      </c>
      <c r="K329" s="292" t="str">
        <f t="array" ref="K329">IFERROR(I329*INDEX('PORTIFÓLIO'!$S$4:$S$433,MATCH($C329,'PORTIFÓLIO'!$C$4:$C$433,0)),"")</f>
        <v/>
      </c>
      <c r="L329" s="292" t="str">
        <f t="array" ref="L329">IFERROR(J329*INDEX('PORTIFÓLIO'!$S$4:$S$433,MATCH($C329,'PORTIFÓLIO'!$C$4:$C$433,0)),"")</f>
        <v/>
      </c>
      <c r="M329" s="220"/>
      <c r="N329" s="220"/>
      <c r="O329" s="220"/>
      <c r="P329" s="220"/>
      <c r="Q329" s="220"/>
      <c r="R329" s="220"/>
      <c r="S329" s="220"/>
      <c r="T329" s="220"/>
      <c r="U329" s="220"/>
      <c r="V329" s="220"/>
      <c r="W329" s="220"/>
    </row>
    <row r="330" ht="15.75" customHeight="1" outlineLevel="1">
      <c r="A330" s="211"/>
      <c r="B330" s="212"/>
      <c r="C330" s="213"/>
      <c r="D330" s="214" t="str">
        <f>IFERROR(VLOOKUP($C330,'PORTIFÓLIO'!C:V,2,0),"")</f>
        <v/>
      </c>
      <c r="E330" s="211" t="str">
        <f>IFERROR(VLOOKUP($C330,'PORTIFÓLIO'!C:V,3,0),"")</f>
        <v/>
      </c>
      <c r="F330" s="211" t="str">
        <f>IFERROR(VLOOKUP($C330,'PORTIFÓLIO'!C:V,4,0),"")</f>
        <v/>
      </c>
      <c r="G330" s="215" t="str">
        <f>IFERROR(VLOOKUP($C330,'PORTIFÓLIO'!C:V,5,0),"")</f>
        <v/>
      </c>
      <c r="H330" s="254" t="str">
        <f t="array" ref="H330">IFERROR(INDEX('PORTIFÓLIO'!$H$4:$H$433,MATCH($C330,'PORTIFÓLIO'!$C$4:$C$433,0)),"")</f>
        <v/>
      </c>
      <c r="I330" s="256"/>
      <c r="J330" s="218">
        <f t="shared" si="37"/>
        <v>0</v>
      </c>
      <c r="K330" s="292" t="str">
        <f t="array" ref="K330">IFERROR(I330*INDEX('PORTIFÓLIO'!$S$4:$S$433,MATCH($C330,'PORTIFÓLIO'!$C$4:$C$433,0)),"")</f>
        <v/>
      </c>
      <c r="L330" s="292" t="str">
        <f t="array" ref="L330">IFERROR(J330*INDEX('PORTIFÓLIO'!$S$4:$S$433,MATCH($C330,'PORTIFÓLIO'!$C$4:$C$433,0)),"")</f>
        <v/>
      </c>
      <c r="M330" s="220"/>
      <c r="N330" s="220"/>
      <c r="O330" s="220"/>
      <c r="P330" s="220"/>
      <c r="Q330" s="220"/>
      <c r="R330" s="220"/>
      <c r="S330" s="220"/>
      <c r="T330" s="220"/>
      <c r="U330" s="220"/>
      <c r="V330" s="220"/>
      <c r="W330" s="220"/>
    </row>
    <row r="331" ht="15.75" customHeight="1" outlineLevel="1">
      <c r="A331" s="211"/>
      <c r="B331" s="212"/>
      <c r="C331" s="213"/>
      <c r="D331" s="214" t="str">
        <f>IFERROR(VLOOKUP($C331,'PORTIFÓLIO'!C:V,2,0),"")</f>
        <v/>
      </c>
      <c r="E331" s="211" t="str">
        <f>IFERROR(VLOOKUP($C331,'PORTIFÓLIO'!C:V,3,0),"")</f>
        <v/>
      </c>
      <c r="F331" s="211" t="str">
        <f>IFERROR(VLOOKUP($C331,'PORTIFÓLIO'!C:V,4,0),"")</f>
        <v/>
      </c>
      <c r="G331" s="215" t="str">
        <f>IFERROR(VLOOKUP($C331,'PORTIFÓLIO'!C:V,5,0),"")</f>
        <v/>
      </c>
      <c r="H331" s="254" t="str">
        <f t="array" ref="H331">IFERROR(INDEX('PORTIFÓLIO'!$H$4:$H$433,MATCH($C331,'PORTIFÓLIO'!$C$4:$C$433,0)),"")</f>
        <v/>
      </c>
      <c r="I331" s="256"/>
      <c r="J331" s="218">
        <f t="shared" si="37"/>
        <v>0</v>
      </c>
      <c r="K331" s="292" t="str">
        <f t="array" ref="K331">IFERROR(I331*INDEX('PORTIFÓLIO'!$S$4:$S$433,MATCH($C331,'PORTIFÓLIO'!$C$4:$C$433,0)),"")</f>
        <v/>
      </c>
      <c r="L331" s="292" t="str">
        <f t="array" ref="L331">IFERROR(J331*INDEX('PORTIFÓLIO'!$S$4:$S$433,MATCH($C331,'PORTIFÓLIO'!$C$4:$C$433,0)),"")</f>
        <v/>
      </c>
      <c r="M331" s="220"/>
      <c r="N331" s="220"/>
      <c r="O331" s="220"/>
      <c r="P331" s="220"/>
      <c r="Q331" s="220"/>
      <c r="R331" s="220"/>
      <c r="S331" s="220"/>
      <c r="T331" s="220"/>
      <c r="U331" s="220"/>
      <c r="V331" s="220"/>
      <c r="W331" s="220"/>
    </row>
    <row r="332" ht="15.75" customHeight="1" outlineLevel="1">
      <c r="A332" s="211"/>
      <c r="B332" s="212"/>
      <c r="C332" s="213"/>
      <c r="D332" s="214" t="str">
        <f>IFERROR(VLOOKUP($C332,'PORTIFÓLIO'!C:V,2,0),"")</f>
        <v/>
      </c>
      <c r="E332" s="211" t="str">
        <f>IFERROR(VLOOKUP($C332,'PORTIFÓLIO'!C:V,3,0),"")</f>
        <v/>
      </c>
      <c r="F332" s="211" t="str">
        <f>IFERROR(VLOOKUP($C332,'PORTIFÓLIO'!C:V,4,0),"")</f>
        <v/>
      </c>
      <c r="G332" s="215" t="str">
        <f>IFERROR(VLOOKUP($C332,'PORTIFÓLIO'!C:V,5,0),"")</f>
        <v/>
      </c>
      <c r="H332" s="254" t="str">
        <f t="array" ref="H332">IFERROR(INDEX('PORTIFÓLIO'!$H$4:$H$433,MATCH($C332,'PORTIFÓLIO'!$C$4:$C$433,0)),"")</f>
        <v/>
      </c>
      <c r="I332" s="256"/>
      <c r="J332" s="218">
        <f t="shared" si="37"/>
        <v>0</v>
      </c>
      <c r="K332" s="292" t="str">
        <f t="array" ref="K332">IFERROR(I332*INDEX('PORTIFÓLIO'!$S$4:$S$433,MATCH($C332,'PORTIFÓLIO'!$C$4:$C$433,0)),"")</f>
        <v/>
      </c>
      <c r="L332" s="292" t="str">
        <f t="array" ref="L332">IFERROR(J332*INDEX('PORTIFÓLIO'!$S$4:$S$433,MATCH($C332,'PORTIFÓLIO'!$C$4:$C$433,0)),"")</f>
        <v/>
      </c>
      <c r="M332" s="220"/>
      <c r="N332" s="220"/>
      <c r="O332" s="220"/>
      <c r="P332" s="220"/>
      <c r="Q332" s="220"/>
      <c r="R332" s="220"/>
      <c r="S332" s="220"/>
      <c r="T332" s="220"/>
      <c r="U332" s="220"/>
      <c r="V332" s="220"/>
      <c r="W332" s="220"/>
    </row>
    <row r="333" ht="15.75" customHeight="1" outlineLevel="1">
      <c r="A333" s="211"/>
      <c r="B333" s="212"/>
      <c r="C333" s="213"/>
      <c r="D333" s="214" t="str">
        <f>IFERROR(VLOOKUP($C333,'PORTIFÓLIO'!C:V,2,0),"")</f>
        <v/>
      </c>
      <c r="E333" s="211" t="str">
        <f>IFERROR(VLOOKUP($C333,'PORTIFÓLIO'!C:V,3,0),"")</f>
        <v/>
      </c>
      <c r="F333" s="211" t="str">
        <f>IFERROR(VLOOKUP($C333,'PORTIFÓLIO'!C:V,4,0),"")</f>
        <v/>
      </c>
      <c r="G333" s="215" t="str">
        <f>IFERROR(VLOOKUP($C333,'PORTIFÓLIO'!C:V,5,0),"")</f>
        <v/>
      </c>
      <c r="H333" s="254" t="str">
        <f t="array" ref="H333">IFERROR(INDEX('PORTIFÓLIO'!$H$4:$H$433,MATCH($C333,'PORTIFÓLIO'!$C$4:$C$433,0)),"")</f>
        <v/>
      </c>
      <c r="I333" s="255"/>
      <c r="J333" s="218">
        <f t="shared" si="37"/>
        <v>0</v>
      </c>
      <c r="K333" s="292" t="str">
        <f t="array" ref="K333">IFERROR(I333*INDEX('PORTIFÓLIO'!$S$4:$S$433,MATCH($C333,'PORTIFÓLIO'!$C$4:$C$433,0)),"")</f>
        <v/>
      </c>
      <c r="L333" s="292" t="str">
        <f t="array" ref="L333">IFERROR(J333*INDEX('PORTIFÓLIO'!$S$4:$S$433,MATCH($C333,'PORTIFÓLIO'!$C$4:$C$433,0)),"")</f>
        <v/>
      </c>
      <c r="M333" s="220"/>
      <c r="N333" s="220"/>
      <c r="O333" s="220"/>
      <c r="P333" s="220"/>
      <c r="Q333" s="220"/>
      <c r="R333" s="220"/>
      <c r="S333" s="220"/>
      <c r="T333" s="220"/>
      <c r="U333" s="220"/>
      <c r="V333" s="220"/>
      <c r="W333" s="220"/>
    </row>
    <row r="334" ht="15.75" customHeight="1" outlineLevel="1">
      <c r="A334" s="211"/>
      <c r="B334" s="212"/>
      <c r="C334" s="213"/>
      <c r="D334" s="214" t="str">
        <f>IFERROR(VLOOKUP($C334,'PORTIFÓLIO'!C:V,2,0),"")</f>
        <v/>
      </c>
      <c r="E334" s="211" t="str">
        <f>IFERROR(VLOOKUP($C334,'PORTIFÓLIO'!C:V,3,0),"")</f>
        <v/>
      </c>
      <c r="F334" s="211" t="str">
        <f>IFERROR(VLOOKUP($C334,'PORTIFÓLIO'!C:V,4,0),"")</f>
        <v/>
      </c>
      <c r="G334" s="215" t="str">
        <f>IFERROR(VLOOKUP($C334,'PORTIFÓLIO'!C:V,5,0),"")</f>
        <v/>
      </c>
      <c r="H334" s="254" t="str">
        <f t="array" ref="H334">IFERROR(INDEX('PORTIFÓLIO'!$H$4:$H$433,MATCH($C334,'PORTIFÓLIO'!$C$4:$C$433,0)),"")</f>
        <v/>
      </c>
      <c r="I334" s="256"/>
      <c r="J334" s="218">
        <f t="shared" si="37"/>
        <v>0</v>
      </c>
      <c r="K334" s="292" t="str">
        <f t="array" ref="K334">IFERROR(I334*INDEX('PORTIFÓLIO'!$S$4:$S$433,MATCH($C334,'PORTIFÓLIO'!$C$4:$C$433,0)),"")</f>
        <v/>
      </c>
      <c r="L334" s="292" t="str">
        <f t="array" ref="L334">IFERROR(J334*INDEX('PORTIFÓLIO'!$S$4:$S$433,MATCH($C334,'PORTIFÓLIO'!$C$4:$C$433,0)),"")</f>
        <v/>
      </c>
      <c r="M334" s="220"/>
      <c r="N334" s="220"/>
      <c r="O334" s="220"/>
      <c r="P334" s="220"/>
      <c r="Q334" s="220"/>
      <c r="R334" s="220"/>
      <c r="S334" s="220"/>
      <c r="T334" s="220"/>
      <c r="U334" s="220"/>
      <c r="V334" s="220"/>
      <c r="W334" s="220"/>
    </row>
    <row r="335" ht="15.75" customHeight="1" outlineLevel="1">
      <c r="A335" s="211"/>
      <c r="B335" s="212"/>
      <c r="C335" s="213"/>
      <c r="D335" s="214" t="str">
        <f>IFERROR(VLOOKUP($C335,'PORTIFÓLIO'!C:V,2,0),"")</f>
        <v/>
      </c>
      <c r="E335" s="211" t="str">
        <f>IFERROR(VLOOKUP($C335,'PORTIFÓLIO'!C:V,3,0),"")</f>
        <v/>
      </c>
      <c r="F335" s="211" t="str">
        <f>IFERROR(VLOOKUP($C335,'PORTIFÓLIO'!C:V,4,0),"")</f>
        <v/>
      </c>
      <c r="G335" s="215" t="str">
        <f>IFERROR(VLOOKUP($C335,'PORTIFÓLIO'!C:V,5,0),"")</f>
        <v/>
      </c>
      <c r="H335" s="254" t="str">
        <f t="array" ref="H335">IFERROR(INDEX('PORTIFÓLIO'!$H$4:$H$433,MATCH($C335,'PORTIFÓLIO'!$C$4:$C$433,0)),"")</f>
        <v/>
      </c>
      <c r="I335" s="256"/>
      <c r="J335" s="218">
        <f t="shared" si="37"/>
        <v>0</v>
      </c>
      <c r="K335" s="292" t="str">
        <f t="array" ref="K335">IFERROR(I335*INDEX('PORTIFÓLIO'!$S$4:$S$433,MATCH($C335,'PORTIFÓLIO'!$C$4:$C$433,0)),"")</f>
        <v/>
      </c>
      <c r="L335" s="292" t="str">
        <f t="array" ref="L335">IFERROR(J335*INDEX('PORTIFÓLIO'!$S$4:$S$433,MATCH($C335,'PORTIFÓLIO'!$C$4:$C$433,0)),"")</f>
        <v/>
      </c>
      <c r="M335" s="220"/>
      <c r="N335" s="220"/>
      <c r="O335" s="220"/>
      <c r="P335" s="220"/>
      <c r="Q335" s="220"/>
      <c r="R335" s="220"/>
      <c r="S335" s="220"/>
      <c r="T335" s="220"/>
      <c r="U335" s="220"/>
      <c r="V335" s="220"/>
      <c r="W335" s="220"/>
    </row>
    <row r="336" ht="15.75" customHeight="1" outlineLevel="1">
      <c r="A336" s="211"/>
      <c r="B336" s="212"/>
      <c r="C336" s="213"/>
      <c r="D336" s="214" t="str">
        <f>IFERROR(VLOOKUP($C336,'PORTIFÓLIO'!C:V,2,0),"")</f>
        <v/>
      </c>
      <c r="E336" s="211" t="str">
        <f>IFERROR(VLOOKUP($C336,'PORTIFÓLIO'!C:V,3,0),"")</f>
        <v/>
      </c>
      <c r="F336" s="211" t="str">
        <f>IFERROR(VLOOKUP($C336,'PORTIFÓLIO'!C:V,4,0),"")</f>
        <v/>
      </c>
      <c r="G336" s="215" t="str">
        <f>IFERROR(VLOOKUP($C336,'PORTIFÓLIO'!C:V,5,0),"")</f>
        <v/>
      </c>
      <c r="H336" s="254" t="str">
        <f t="array" ref="H336">IFERROR(INDEX('PORTIFÓLIO'!$H$4:$H$433,MATCH($C336,'PORTIFÓLIO'!$C$4:$C$433,0)),"")</f>
        <v/>
      </c>
      <c r="I336" s="256"/>
      <c r="J336" s="218">
        <f t="shared" si="37"/>
        <v>0</v>
      </c>
      <c r="K336" s="292" t="str">
        <f t="array" ref="K336">IFERROR(I336*INDEX('PORTIFÓLIO'!$S$4:$S$433,MATCH($C336,'PORTIFÓLIO'!$C$4:$C$433,0)),"")</f>
        <v/>
      </c>
      <c r="L336" s="292" t="str">
        <f t="array" ref="L336">IFERROR(J336*INDEX('PORTIFÓLIO'!$S$4:$S$433,MATCH($C336,'PORTIFÓLIO'!$C$4:$C$433,0)),"")</f>
        <v/>
      </c>
      <c r="M336" s="220"/>
      <c r="N336" s="220"/>
      <c r="O336" s="220"/>
      <c r="P336" s="220"/>
      <c r="Q336" s="220"/>
      <c r="R336" s="220"/>
      <c r="S336" s="220"/>
      <c r="T336" s="220"/>
      <c r="U336" s="220"/>
      <c r="V336" s="220"/>
      <c r="W336" s="220"/>
    </row>
    <row r="337" ht="15.75" customHeight="1" outlineLevel="1">
      <c r="A337" s="211"/>
      <c r="B337" s="212"/>
      <c r="C337" s="213"/>
      <c r="D337" s="214" t="str">
        <f>IFERROR(VLOOKUP($C337,'PORTIFÓLIO'!C:V,2,0),"")</f>
        <v/>
      </c>
      <c r="E337" s="211" t="str">
        <f>IFERROR(VLOOKUP($C337,'PORTIFÓLIO'!C:V,3,0),"")</f>
        <v/>
      </c>
      <c r="F337" s="211" t="str">
        <f>IFERROR(VLOOKUP($C337,'PORTIFÓLIO'!C:V,4,0),"")</f>
        <v/>
      </c>
      <c r="G337" s="215" t="str">
        <f>IFERROR(VLOOKUP($C337,'PORTIFÓLIO'!C:V,5,0),"")</f>
        <v/>
      </c>
      <c r="H337" s="254" t="str">
        <f t="array" ref="H337">IFERROR(INDEX('PORTIFÓLIO'!$H$4:$H$433,MATCH($C337,'PORTIFÓLIO'!$C$4:$C$433,0)),"")</f>
        <v/>
      </c>
      <c r="I337" s="256"/>
      <c r="J337" s="218">
        <f t="shared" si="37"/>
        <v>0</v>
      </c>
      <c r="K337" s="292" t="str">
        <f t="array" ref="K337">IFERROR(I337*INDEX('PORTIFÓLIO'!$S$4:$S$433,MATCH($C337,'PORTIFÓLIO'!$C$4:$C$433,0)),"")</f>
        <v/>
      </c>
      <c r="L337" s="292" t="str">
        <f t="array" ref="L337">IFERROR(J337*INDEX('PORTIFÓLIO'!$S$4:$S$433,MATCH($C337,'PORTIFÓLIO'!$C$4:$C$433,0)),"")</f>
        <v/>
      </c>
      <c r="M337" s="220"/>
      <c r="N337" s="220"/>
      <c r="O337" s="220"/>
      <c r="P337" s="220"/>
      <c r="Q337" s="220"/>
      <c r="R337" s="220"/>
      <c r="S337" s="220"/>
      <c r="T337" s="220"/>
      <c r="U337" s="220"/>
      <c r="V337" s="220"/>
      <c r="W337" s="220"/>
    </row>
    <row r="338" ht="15.75" customHeight="1" outlineLevel="1">
      <c r="A338" s="211"/>
      <c r="B338" s="212"/>
      <c r="C338" s="213"/>
      <c r="D338" s="214" t="str">
        <f>IFERROR(VLOOKUP($C338,'PORTIFÓLIO'!C:V,2,0),"")</f>
        <v/>
      </c>
      <c r="E338" s="211" t="str">
        <f>IFERROR(VLOOKUP($C338,'PORTIFÓLIO'!C:V,3,0),"")</f>
        <v/>
      </c>
      <c r="F338" s="211" t="str">
        <f>IFERROR(VLOOKUP($C338,'PORTIFÓLIO'!C:V,4,0),"")</f>
        <v/>
      </c>
      <c r="G338" s="215" t="str">
        <f>IFERROR(VLOOKUP($C338,'PORTIFÓLIO'!C:V,5,0),"")</f>
        <v/>
      </c>
      <c r="H338" s="254" t="str">
        <f t="array" ref="H338">IFERROR(INDEX('PORTIFÓLIO'!$H$4:$H$433,MATCH($C338,'PORTIFÓLIO'!$C$4:$C$433,0)),"")</f>
        <v/>
      </c>
      <c r="I338" s="256"/>
      <c r="J338" s="218">
        <f t="shared" si="37"/>
        <v>0</v>
      </c>
      <c r="K338" s="292" t="str">
        <f t="array" ref="K338">IFERROR(I338*INDEX('PORTIFÓLIO'!$S$4:$S$433,MATCH($C338,'PORTIFÓLIO'!$C$4:$C$433,0)),"")</f>
        <v/>
      </c>
      <c r="L338" s="292" t="str">
        <f t="array" ref="L338">IFERROR(J338*INDEX('PORTIFÓLIO'!$S$4:$S$433,MATCH($C338,'PORTIFÓLIO'!$C$4:$C$433,0)),"")</f>
        <v/>
      </c>
      <c r="M338" s="220"/>
      <c r="N338" s="220"/>
      <c r="O338" s="220"/>
      <c r="P338" s="220"/>
      <c r="Q338" s="220"/>
      <c r="R338" s="220"/>
      <c r="S338" s="220"/>
      <c r="T338" s="220"/>
      <c r="U338" s="220"/>
      <c r="V338" s="220"/>
      <c r="W338" s="220"/>
    </row>
    <row r="339" ht="15.75" customHeight="1" outlineLevel="1">
      <c r="A339" s="211"/>
      <c r="B339" s="212"/>
      <c r="C339" s="213"/>
      <c r="D339" s="214" t="str">
        <f>IFERROR(VLOOKUP($C339,'PORTIFÓLIO'!C:V,2,0),"")</f>
        <v/>
      </c>
      <c r="E339" s="211" t="str">
        <f>IFERROR(VLOOKUP($C339,'PORTIFÓLIO'!C:V,3,0),"")</f>
        <v/>
      </c>
      <c r="F339" s="211" t="str">
        <f>IFERROR(VLOOKUP($C339,'PORTIFÓLIO'!C:V,4,0),"")</f>
        <v/>
      </c>
      <c r="G339" s="215" t="str">
        <f>IFERROR(VLOOKUP($C339,'PORTIFÓLIO'!C:V,5,0),"")</f>
        <v/>
      </c>
      <c r="H339" s="254" t="str">
        <f t="array" ref="H339">IFERROR(INDEX('PORTIFÓLIO'!$H$4:$H$433,MATCH($C339,'PORTIFÓLIO'!$C$4:$C$433,0)),"")</f>
        <v/>
      </c>
      <c r="I339" s="256"/>
      <c r="J339" s="218">
        <f t="shared" si="37"/>
        <v>0</v>
      </c>
      <c r="K339" s="292" t="str">
        <f t="array" ref="K339">IFERROR(I339*INDEX('PORTIFÓLIO'!$S$4:$S$433,MATCH($C339,'PORTIFÓLIO'!$C$4:$C$433,0)),"")</f>
        <v/>
      </c>
      <c r="L339" s="292" t="str">
        <f t="array" ref="L339">IFERROR(J339*INDEX('PORTIFÓLIO'!$S$4:$S$433,MATCH($C339,'PORTIFÓLIO'!$C$4:$C$433,0)),"")</f>
        <v/>
      </c>
      <c r="M339" s="220"/>
      <c r="N339" s="220"/>
      <c r="O339" s="220"/>
      <c r="P339" s="220"/>
      <c r="Q339" s="220"/>
      <c r="R339" s="220"/>
      <c r="S339" s="220"/>
      <c r="T339" s="220"/>
      <c r="U339" s="220"/>
      <c r="V339" s="220"/>
      <c r="W339" s="220"/>
    </row>
    <row r="340" ht="15.75" customHeight="1" outlineLevel="1">
      <c r="A340" s="211"/>
      <c r="B340" s="227"/>
      <c r="C340" s="211"/>
      <c r="D340" s="214" t="str">
        <f>IFERROR(VLOOKUP($C340,'PORTIFÓLIO'!C:V,2,0),"")</f>
        <v/>
      </c>
      <c r="E340" s="211" t="str">
        <f>IFERROR(VLOOKUP($C340,'PORTIFÓLIO'!C:V,3,0),"")</f>
        <v/>
      </c>
      <c r="F340" s="211" t="str">
        <f>IFERROR(VLOOKUP($C340,'PORTIFÓLIO'!C:V,4,0),"")</f>
        <v/>
      </c>
      <c r="G340" s="215" t="str">
        <f>IFERROR(VLOOKUP($C340,'PORTIFÓLIO'!C:V,5,0),"")</f>
        <v/>
      </c>
      <c r="H340" s="254" t="str">
        <f t="array" ref="H340">IFERROR(INDEX('PORTIFÓLIO'!$H$4:$H$433,MATCH($C340,'PORTIFÓLIO'!$C$4:$C$433,0)),"")</f>
        <v/>
      </c>
      <c r="I340" s="256"/>
      <c r="J340" s="218"/>
      <c r="K340" s="292" t="str">
        <f t="array" ref="K340">IFERROR(I340*INDEX('PORTIFÓLIO'!$S$4:$S$433,MATCH($C340,'PORTIFÓLIO'!$C$4:$C$433,0)),"")</f>
        <v/>
      </c>
      <c r="L340" s="292" t="str">
        <f t="array" ref="L340">IFERROR(J340*INDEX('PORTIFÓLIO'!$S$4:$S$433,MATCH($C340,'PORTIFÓLIO'!$C$4:$C$433,0)),"")</f>
        <v/>
      </c>
      <c r="M340" s="220"/>
      <c r="N340" s="220"/>
      <c r="O340" s="220"/>
      <c r="P340" s="220"/>
      <c r="Q340" s="220"/>
      <c r="R340" s="220"/>
      <c r="S340" s="220"/>
      <c r="T340" s="220"/>
      <c r="U340" s="220"/>
      <c r="V340" s="220"/>
      <c r="W340" s="220"/>
    </row>
    <row r="341" ht="15.75" customHeight="1">
      <c r="A341" s="229" t="s">
        <v>1190</v>
      </c>
      <c r="B341" s="230"/>
      <c r="C341" s="231"/>
      <c r="D341" s="232"/>
      <c r="E341" s="231"/>
      <c r="F341" s="231"/>
      <c r="G341" s="233"/>
      <c r="H341" s="233"/>
      <c r="I341" s="258"/>
      <c r="J341" s="236"/>
      <c r="K341" s="237">
        <f t="shared" ref="K341:L341" si="38">SUBTOTAL(9,K342:K355)</f>
        <v>0</v>
      </c>
      <c r="L341" s="237">
        <f t="shared" si="38"/>
        <v>0</v>
      </c>
      <c r="M341" s="220"/>
      <c r="N341" s="220"/>
      <c r="O341" s="220"/>
      <c r="P341" s="220"/>
      <c r="Q341" s="220"/>
      <c r="R341" s="220"/>
      <c r="S341" s="220"/>
      <c r="T341" s="220"/>
      <c r="U341" s="220"/>
      <c r="V341" s="220"/>
      <c r="W341" s="220"/>
    </row>
    <row r="342" ht="15.75" customHeight="1" outlineLevel="1">
      <c r="A342" s="213"/>
      <c r="B342" s="212"/>
      <c r="C342" s="213"/>
      <c r="D342" s="214" t="str">
        <f>IFERROR(VLOOKUP($C342,'PORTIFÓLIO'!C:V,2,0),"")</f>
        <v/>
      </c>
      <c r="E342" s="211" t="str">
        <f>IFERROR(VLOOKUP($C342,'PORTIFÓLIO'!C:V,3,0),"")</f>
        <v/>
      </c>
      <c r="F342" s="211" t="str">
        <f>IFERROR(VLOOKUP($C342,'PORTIFÓLIO'!C:V,4,0),"")</f>
        <v/>
      </c>
      <c r="G342" s="215" t="str">
        <f>IFERROR(VLOOKUP($C342,'PORTIFÓLIO'!C:V,5,0),"")</f>
        <v/>
      </c>
      <c r="H342" s="254" t="str">
        <f t="array" ref="H342">IFERROR(INDEX('PORTIFÓLIO'!$H$4:$H$433,MATCH($C342,'PORTIFÓLIO'!$C$4:$C$433,0)),"")</f>
        <v/>
      </c>
      <c r="I342" s="255"/>
      <c r="J342" s="218">
        <f t="shared" ref="J342:J356" si="39">I342*$B$2</f>
        <v>0</v>
      </c>
      <c r="K342" s="292" t="str">
        <f t="array" ref="K342">IFERROR(I342*INDEX('PORTIFÓLIO'!$S$4:$S$433,MATCH($C342,'PORTIFÓLIO'!$C$4:$C$433,0)),"")</f>
        <v/>
      </c>
      <c r="L342" s="292" t="str">
        <f t="array" ref="L342">IFERROR(J342*INDEX('PORTIFÓLIO'!$S$4:$S$433,MATCH($C342,'PORTIFÓLIO'!$C$4:$C$433,0)),"")</f>
        <v/>
      </c>
      <c r="M342" s="220"/>
      <c r="N342" s="220"/>
      <c r="O342" s="220"/>
      <c r="P342" s="220"/>
      <c r="Q342" s="220"/>
      <c r="R342" s="220"/>
      <c r="S342" s="220"/>
      <c r="T342" s="220"/>
      <c r="U342" s="220"/>
      <c r="V342" s="220"/>
      <c r="W342" s="220"/>
    </row>
    <row r="343" ht="15.75" customHeight="1" outlineLevel="1">
      <c r="A343" s="211"/>
      <c r="B343" s="212"/>
      <c r="C343" s="213"/>
      <c r="D343" s="214" t="str">
        <f>IFERROR(VLOOKUP($C343,'PORTIFÓLIO'!C:V,2,0),"")</f>
        <v/>
      </c>
      <c r="E343" s="211" t="str">
        <f>IFERROR(VLOOKUP($C343,'PORTIFÓLIO'!C:V,3,0),"")</f>
        <v/>
      </c>
      <c r="F343" s="211" t="str">
        <f>IFERROR(VLOOKUP($C343,'PORTIFÓLIO'!C:V,4,0),"")</f>
        <v/>
      </c>
      <c r="G343" s="215" t="str">
        <f>IFERROR(VLOOKUP($C343,'PORTIFÓLIO'!C:V,5,0),"")</f>
        <v/>
      </c>
      <c r="H343" s="254" t="str">
        <f t="array" ref="H343">IFERROR(INDEX('PORTIFÓLIO'!$H$4:$H$433,MATCH($C343,'PORTIFÓLIO'!$C$4:$C$433,0)),"")</f>
        <v/>
      </c>
      <c r="I343" s="256"/>
      <c r="J343" s="218">
        <f t="shared" si="39"/>
        <v>0</v>
      </c>
      <c r="K343" s="292" t="str">
        <f t="array" ref="K343">IFERROR(I343*INDEX('PORTIFÓLIO'!$S$4:$S$433,MATCH($C343,'PORTIFÓLIO'!$C$4:$C$433,0)),"")</f>
        <v/>
      </c>
      <c r="L343" s="292" t="str">
        <f t="array" ref="L343">IFERROR(J343*INDEX('PORTIFÓLIO'!$S$4:$S$433,MATCH($C343,'PORTIFÓLIO'!$C$4:$C$433,0)),"")</f>
        <v/>
      </c>
      <c r="M343" s="220"/>
      <c r="N343" s="220"/>
      <c r="O343" s="220"/>
      <c r="P343" s="220"/>
      <c r="Q343" s="220"/>
      <c r="R343" s="220"/>
      <c r="S343" s="220"/>
      <c r="T343" s="220"/>
      <c r="U343" s="220"/>
      <c r="V343" s="220"/>
      <c r="W343" s="220"/>
    </row>
    <row r="344" ht="15.75" customHeight="1" outlineLevel="1">
      <c r="A344" s="211"/>
      <c r="B344" s="212"/>
      <c r="C344" s="213"/>
      <c r="D344" s="214" t="str">
        <f>IFERROR(VLOOKUP($C344,'PORTIFÓLIO'!C:V,2,0),"")</f>
        <v/>
      </c>
      <c r="E344" s="211" t="str">
        <f>IFERROR(VLOOKUP($C344,'PORTIFÓLIO'!C:V,3,0),"")</f>
        <v/>
      </c>
      <c r="F344" s="211" t="str">
        <f>IFERROR(VLOOKUP($C344,'PORTIFÓLIO'!C:V,4,0),"")</f>
        <v/>
      </c>
      <c r="G344" s="215" t="str">
        <f>IFERROR(VLOOKUP($C344,'PORTIFÓLIO'!C:V,5,0),"")</f>
        <v/>
      </c>
      <c r="H344" s="254" t="str">
        <f t="array" ref="H344">IFERROR(INDEX('PORTIFÓLIO'!$H$4:$H$433,MATCH($C344,'PORTIFÓLIO'!$C$4:$C$433,0)),"")</f>
        <v/>
      </c>
      <c r="I344" s="256"/>
      <c r="J344" s="218">
        <f t="shared" si="39"/>
        <v>0</v>
      </c>
      <c r="K344" s="292" t="str">
        <f t="array" ref="K344">IFERROR(I344*INDEX('PORTIFÓLIO'!$S$4:$S$433,MATCH($C344,'PORTIFÓLIO'!$C$4:$C$433,0)),"")</f>
        <v/>
      </c>
      <c r="L344" s="292" t="str">
        <f t="array" ref="L344">IFERROR(J344*INDEX('PORTIFÓLIO'!$S$4:$S$433,MATCH($C344,'PORTIFÓLIO'!$C$4:$C$433,0)),"")</f>
        <v/>
      </c>
      <c r="M344" s="220"/>
      <c r="N344" s="220"/>
      <c r="O344" s="220"/>
      <c r="P344" s="220"/>
      <c r="Q344" s="220"/>
      <c r="R344" s="220"/>
      <c r="S344" s="220"/>
      <c r="T344" s="220"/>
      <c r="U344" s="220"/>
      <c r="V344" s="220"/>
      <c r="W344" s="220"/>
    </row>
    <row r="345" ht="15.75" customHeight="1" outlineLevel="1">
      <c r="A345" s="211"/>
      <c r="B345" s="212"/>
      <c r="C345" s="213"/>
      <c r="D345" s="214" t="str">
        <f>IFERROR(VLOOKUP($C345,'PORTIFÓLIO'!C:V,2,0),"")</f>
        <v/>
      </c>
      <c r="E345" s="211" t="str">
        <f>IFERROR(VLOOKUP($C345,'PORTIFÓLIO'!C:V,3,0),"")</f>
        <v/>
      </c>
      <c r="F345" s="211" t="str">
        <f>IFERROR(VLOOKUP($C345,'PORTIFÓLIO'!C:V,4,0),"")</f>
        <v/>
      </c>
      <c r="G345" s="215" t="str">
        <f>IFERROR(VLOOKUP($C345,'PORTIFÓLIO'!C:V,5,0),"")</f>
        <v/>
      </c>
      <c r="H345" s="254" t="str">
        <f t="array" ref="H345">IFERROR(INDEX('PORTIFÓLIO'!$H$4:$H$433,MATCH($C345,'PORTIFÓLIO'!$C$4:$C$433,0)),"")</f>
        <v/>
      </c>
      <c r="I345" s="256"/>
      <c r="J345" s="218">
        <f t="shared" si="39"/>
        <v>0</v>
      </c>
      <c r="K345" s="292" t="str">
        <f t="array" ref="K345">IFERROR(I345*INDEX('PORTIFÓLIO'!$S$4:$S$433,MATCH($C345,'PORTIFÓLIO'!$C$4:$C$433,0)),"")</f>
        <v/>
      </c>
      <c r="L345" s="292" t="str">
        <f t="array" ref="L345">IFERROR(J345*INDEX('PORTIFÓLIO'!$S$4:$S$433,MATCH($C345,'PORTIFÓLIO'!$C$4:$C$433,0)),"")</f>
        <v/>
      </c>
      <c r="M345" s="220"/>
      <c r="N345" s="220"/>
      <c r="O345" s="220"/>
      <c r="P345" s="220"/>
      <c r="Q345" s="220"/>
      <c r="R345" s="220"/>
      <c r="S345" s="220"/>
      <c r="T345" s="220"/>
      <c r="U345" s="220"/>
      <c r="V345" s="220"/>
      <c r="W345" s="220"/>
    </row>
    <row r="346" ht="15.75" customHeight="1" outlineLevel="1">
      <c r="A346" s="211"/>
      <c r="B346" s="212"/>
      <c r="C346" s="213"/>
      <c r="D346" s="214" t="str">
        <f>IFERROR(VLOOKUP($C346,'PORTIFÓLIO'!C:V,2,0),"")</f>
        <v/>
      </c>
      <c r="E346" s="211" t="str">
        <f>IFERROR(VLOOKUP($C346,'PORTIFÓLIO'!C:V,3,0),"")</f>
        <v/>
      </c>
      <c r="F346" s="211" t="str">
        <f>IFERROR(VLOOKUP($C346,'PORTIFÓLIO'!C:V,4,0),"")</f>
        <v/>
      </c>
      <c r="G346" s="215" t="str">
        <f>IFERROR(VLOOKUP($C346,'PORTIFÓLIO'!C:V,5,0),"")</f>
        <v/>
      </c>
      <c r="H346" s="254" t="str">
        <f t="array" ref="H346">IFERROR(INDEX('PORTIFÓLIO'!$H$4:$H$433,MATCH($C346,'PORTIFÓLIO'!$C$4:$C$433,0)),"")</f>
        <v/>
      </c>
      <c r="I346" s="256"/>
      <c r="J346" s="218">
        <f t="shared" si="39"/>
        <v>0</v>
      </c>
      <c r="K346" s="292" t="str">
        <f t="array" ref="K346">IFERROR(I346*INDEX('PORTIFÓLIO'!$S$4:$S$433,MATCH($C346,'PORTIFÓLIO'!$C$4:$C$433,0)),"")</f>
        <v/>
      </c>
      <c r="L346" s="292" t="str">
        <f t="array" ref="L346">IFERROR(J346*INDEX('PORTIFÓLIO'!$S$4:$S$433,MATCH($C346,'PORTIFÓLIO'!$C$4:$C$433,0)),"")</f>
        <v/>
      </c>
      <c r="M346" s="220"/>
      <c r="N346" s="220"/>
      <c r="O346" s="220"/>
      <c r="P346" s="220"/>
      <c r="Q346" s="220"/>
      <c r="R346" s="220"/>
      <c r="S346" s="220"/>
      <c r="T346" s="220"/>
      <c r="U346" s="220"/>
      <c r="V346" s="220"/>
      <c r="W346" s="220"/>
    </row>
    <row r="347" ht="15.75" customHeight="1" outlineLevel="1">
      <c r="A347" s="211"/>
      <c r="B347" s="212"/>
      <c r="C347" s="213"/>
      <c r="D347" s="214" t="str">
        <f>IFERROR(VLOOKUP($C347,'PORTIFÓLIO'!C:V,2,0),"")</f>
        <v/>
      </c>
      <c r="E347" s="211" t="str">
        <f>IFERROR(VLOOKUP($C347,'PORTIFÓLIO'!C:V,3,0),"")</f>
        <v/>
      </c>
      <c r="F347" s="211" t="str">
        <f>IFERROR(VLOOKUP($C347,'PORTIFÓLIO'!C:V,4,0),"")</f>
        <v/>
      </c>
      <c r="G347" s="215" t="str">
        <f>IFERROR(VLOOKUP($C347,'PORTIFÓLIO'!C:V,5,0),"")</f>
        <v/>
      </c>
      <c r="H347" s="254" t="str">
        <f t="array" ref="H347">IFERROR(INDEX('PORTIFÓLIO'!$H$4:$H$433,MATCH($C347,'PORTIFÓLIO'!$C$4:$C$433,0)),"")</f>
        <v/>
      </c>
      <c r="I347" s="256"/>
      <c r="J347" s="218">
        <f t="shared" si="39"/>
        <v>0</v>
      </c>
      <c r="K347" s="292" t="str">
        <f t="array" ref="K347">IFERROR(I347*INDEX('PORTIFÓLIO'!$S$4:$S$433,MATCH($C347,'PORTIFÓLIO'!$C$4:$C$433,0)),"")</f>
        <v/>
      </c>
      <c r="L347" s="292" t="str">
        <f t="array" ref="L347">IFERROR(J347*INDEX('PORTIFÓLIO'!$S$4:$S$433,MATCH($C347,'PORTIFÓLIO'!$C$4:$C$433,0)),"")</f>
        <v/>
      </c>
      <c r="M347" s="220"/>
      <c r="N347" s="220"/>
      <c r="O347" s="220"/>
      <c r="P347" s="220"/>
      <c r="Q347" s="220"/>
      <c r="R347" s="220"/>
      <c r="S347" s="220"/>
      <c r="T347" s="220"/>
      <c r="U347" s="220"/>
      <c r="V347" s="220"/>
      <c r="W347" s="220"/>
    </row>
    <row r="348" ht="15.75" customHeight="1" outlineLevel="1">
      <c r="A348" s="211"/>
      <c r="B348" s="212"/>
      <c r="C348" s="213"/>
      <c r="D348" s="214" t="str">
        <f>IFERROR(VLOOKUP($C348,'PORTIFÓLIO'!C:V,2,0),"")</f>
        <v/>
      </c>
      <c r="E348" s="211" t="str">
        <f>IFERROR(VLOOKUP($C348,'PORTIFÓLIO'!C:V,3,0),"")</f>
        <v/>
      </c>
      <c r="F348" s="211" t="str">
        <f>IFERROR(VLOOKUP($C348,'PORTIFÓLIO'!C:V,4,0),"")</f>
        <v/>
      </c>
      <c r="G348" s="215" t="str">
        <f>IFERROR(VLOOKUP($C348,'PORTIFÓLIO'!C:V,5,0),"")</f>
        <v/>
      </c>
      <c r="H348" s="254" t="str">
        <f t="array" ref="H348">IFERROR(INDEX('PORTIFÓLIO'!$H$4:$H$433,MATCH($C348,'PORTIFÓLIO'!$C$4:$C$433,0)),"")</f>
        <v/>
      </c>
      <c r="I348" s="256"/>
      <c r="J348" s="218">
        <f t="shared" si="39"/>
        <v>0</v>
      </c>
      <c r="K348" s="292" t="str">
        <f t="array" ref="K348">IFERROR(I348*INDEX('PORTIFÓLIO'!$S$4:$S$433,MATCH($C348,'PORTIFÓLIO'!$C$4:$C$433,0)),"")</f>
        <v/>
      </c>
      <c r="L348" s="292" t="str">
        <f t="array" ref="L348">IFERROR(J348*INDEX('PORTIFÓLIO'!$S$4:$S$433,MATCH($C348,'PORTIFÓLIO'!$C$4:$C$433,0)),"")</f>
        <v/>
      </c>
      <c r="M348" s="220"/>
      <c r="N348" s="220"/>
      <c r="O348" s="220"/>
      <c r="P348" s="220"/>
      <c r="Q348" s="220"/>
      <c r="R348" s="220"/>
      <c r="S348" s="220"/>
      <c r="T348" s="220"/>
      <c r="U348" s="220"/>
      <c r="V348" s="220"/>
      <c r="W348" s="220"/>
    </row>
    <row r="349" ht="15.75" customHeight="1" outlineLevel="1">
      <c r="A349" s="211"/>
      <c r="B349" s="212"/>
      <c r="C349" s="213"/>
      <c r="D349" s="214" t="str">
        <f>IFERROR(VLOOKUP($C349,'PORTIFÓLIO'!C:V,2,0),"")</f>
        <v/>
      </c>
      <c r="E349" s="211" t="str">
        <f>IFERROR(VLOOKUP($C349,'PORTIFÓLIO'!C:V,3,0),"")</f>
        <v/>
      </c>
      <c r="F349" s="211" t="str">
        <f>IFERROR(VLOOKUP($C349,'PORTIFÓLIO'!C:V,4,0),"")</f>
        <v/>
      </c>
      <c r="G349" s="215" t="str">
        <f>IFERROR(VLOOKUP($C349,'PORTIFÓLIO'!C:V,5,0),"")</f>
        <v/>
      </c>
      <c r="H349" s="254" t="str">
        <f t="array" ref="H349">IFERROR(INDEX('PORTIFÓLIO'!$H$4:$H$433,MATCH($C349,'PORTIFÓLIO'!$C$4:$C$433,0)),"")</f>
        <v/>
      </c>
      <c r="I349" s="256"/>
      <c r="J349" s="218">
        <f t="shared" si="39"/>
        <v>0</v>
      </c>
      <c r="K349" s="292" t="str">
        <f t="array" ref="K349">IFERROR(I349*INDEX('PORTIFÓLIO'!$S$4:$S$433,MATCH($C349,'PORTIFÓLIO'!$C$4:$C$433,0)),"")</f>
        <v/>
      </c>
      <c r="L349" s="292" t="str">
        <f t="array" ref="L349">IFERROR(J349*INDEX('PORTIFÓLIO'!$S$4:$S$433,MATCH($C349,'PORTIFÓLIO'!$C$4:$C$433,0)),"")</f>
        <v/>
      </c>
      <c r="M349" s="220"/>
      <c r="N349" s="220"/>
      <c r="O349" s="220"/>
      <c r="P349" s="220"/>
      <c r="Q349" s="220"/>
      <c r="R349" s="220"/>
      <c r="S349" s="220"/>
      <c r="T349" s="220"/>
      <c r="U349" s="220"/>
      <c r="V349" s="220"/>
      <c r="W349" s="220"/>
    </row>
    <row r="350" ht="15.75" customHeight="1" outlineLevel="1">
      <c r="A350" s="211"/>
      <c r="B350" s="212"/>
      <c r="C350" s="213"/>
      <c r="D350" s="214" t="str">
        <f>IFERROR(VLOOKUP($C350,'PORTIFÓLIO'!C:V,2,0),"")</f>
        <v/>
      </c>
      <c r="E350" s="211" t="str">
        <f>IFERROR(VLOOKUP($C350,'PORTIFÓLIO'!C:V,3,0),"")</f>
        <v/>
      </c>
      <c r="F350" s="211" t="str">
        <f>IFERROR(VLOOKUP($C350,'PORTIFÓLIO'!C:V,4,0),"")</f>
        <v/>
      </c>
      <c r="G350" s="215" t="str">
        <f>IFERROR(VLOOKUP($C350,'PORTIFÓLIO'!C:V,5,0),"")</f>
        <v/>
      </c>
      <c r="H350" s="254" t="str">
        <f t="array" ref="H350">IFERROR(INDEX('PORTIFÓLIO'!$H$4:$H$433,MATCH($C350,'PORTIFÓLIO'!$C$4:$C$433,0)),"")</f>
        <v/>
      </c>
      <c r="I350" s="255"/>
      <c r="J350" s="218">
        <f t="shared" si="39"/>
        <v>0</v>
      </c>
      <c r="K350" s="292" t="str">
        <f t="array" ref="K350">IFERROR(I350*INDEX('PORTIFÓLIO'!$S$4:$S$433,MATCH($C350,'PORTIFÓLIO'!$C$4:$C$433,0)),"")</f>
        <v/>
      </c>
      <c r="L350" s="292" t="str">
        <f t="array" ref="L350">IFERROR(J350*INDEX('PORTIFÓLIO'!$S$4:$S$433,MATCH($C350,'PORTIFÓLIO'!$C$4:$C$433,0)),"")</f>
        <v/>
      </c>
      <c r="M350" s="220"/>
      <c r="N350" s="220"/>
      <c r="O350" s="220"/>
      <c r="P350" s="220"/>
      <c r="Q350" s="220"/>
      <c r="R350" s="220"/>
      <c r="S350" s="220"/>
      <c r="T350" s="220"/>
      <c r="U350" s="220"/>
      <c r="V350" s="220"/>
      <c r="W350" s="220"/>
    </row>
    <row r="351" ht="15.75" customHeight="1" outlineLevel="1">
      <c r="A351" s="211"/>
      <c r="B351" s="212"/>
      <c r="C351" s="213"/>
      <c r="D351" s="214" t="str">
        <f>IFERROR(VLOOKUP($C351,'PORTIFÓLIO'!C:V,2,0),"")</f>
        <v/>
      </c>
      <c r="E351" s="211" t="str">
        <f>IFERROR(VLOOKUP($C351,'PORTIFÓLIO'!C:V,3,0),"")</f>
        <v/>
      </c>
      <c r="F351" s="211" t="str">
        <f>IFERROR(VLOOKUP($C351,'PORTIFÓLIO'!C:V,4,0),"")</f>
        <v/>
      </c>
      <c r="G351" s="215" t="str">
        <f>IFERROR(VLOOKUP($C351,'PORTIFÓLIO'!C:V,5,0),"")</f>
        <v/>
      </c>
      <c r="H351" s="254" t="str">
        <f t="array" ref="H351">IFERROR(INDEX('PORTIFÓLIO'!$H$4:$H$433,MATCH($C351,'PORTIFÓLIO'!$C$4:$C$433,0)),"")</f>
        <v/>
      </c>
      <c r="I351" s="256"/>
      <c r="J351" s="218">
        <f t="shared" si="39"/>
        <v>0</v>
      </c>
      <c r="K351" s="292" t="str">
        <f t="array" ref="K351">IFERROR(I351*INDEX('PORTIFÓLIO'!$S$4:$S$433,MATCH($C351,'PORTIFÓLIO'!$C$4:$C$433,0)),"")</f>
        <v/>
      </c>
      <c r="L351" s="292" t="str">
        <f t="array" ref="L351">IFERROR(J351*INDEX('PORTIFÓLIO'!$S$4:$S$433,MATCH($C351,'PORTIFÓLIO'!$C$4:$C$433,0)),"")</f>
        <v/>
      </c>
      <c r="M351" s="220"/>
      <c r="N351" s="220"/>
      <c r="O351" s="220"/>
      <c r="P351" s="220"/>
      <c r="Q351" s="220"/>
      <c r="R351" s="220"/>
      <c r="S351" s="220"/>
      <c r="T351" s="220"/>
      <c r="U351" s="220"/>
      <c r="V351" s="220"/>
      <c r="W351" s="220"/>
    </row>
    <row r="352" ht="15.75" customHeight="1" outlineLevel="1">
      <c r="A352" s="211"/>
      <c r="B352" s="212"/>
      <c r="C352" s="213"/>
      <c r="D352" s="214" t="str">
        <f>IFERROR(VLOOKUP($C352,'PORTIFÓLIO'!C:V,2,0),"")</f>
        <v/>
      </c>
      <c r="E352" s="211" t="str">
        <f>IFERROR(VLOOKUP($C352,'PORTIFÓLIO'!C:V,3,0),"")</f>
        <v/>
      </c>
      <c r="F352" s="211" t="str">
        <f>IFERROR(VLOOKUP($C352,'PORTIFÓLIO'!C:V,4,0),"")</f>
        <v/>
      </c>
      <c r="G352" s="215" t="str">
        <f>IFERROR(VLOOKUP($C352,'PORTIFÓLIO'!C:V,5,0),"")</f>
        <v/>
      </c>
      <c r="H352" s="254" t="str">
        <f t="array" ref="H352">IFERROR(INDEX('PORTIFÓLIO'!$H$4:$H$433,MATCH($C352,'PORTIFÓLIO'!$C$4:$C$433,0)),"")</f>
        <v/>
      </c>
      <c r="I352" s="256"/>
      <c r="J352" s="218">
        <f t="shared" si="39"/>
        <v>0</v>
      </c>
      <c r="K352" s="292" t="str">
        <f t="array" ref="K352">IFERROR(I352*INDEX('PORTIFÓLIO'!$S$4:$S$433,MATCH($C352,'PORTIFÓLIO'!$C$4:$C$433,0)),"")</f>
        <v/>
      </c>
      <c r="L352" s="292" t="str">
        <f t="array" ref="L352">IFERROR(J352*INDEX('PORTIFÓLIO'!$S$4:$S$433,MATCH($C352,'PORTIFÓLIO'!$C$4:$C$433,0)),"")</f>
        <v/>
      </c>
      <c r="M352" s="220"/>
      <c r="N352" s="220"/>
      <c r="O352" s="220"/>
      <c r="P352" s="220"/>
      <c r="Q352" s="220"/>
      <c r="R352" s="220"/>
      <c r="S352" s="220"/>
      <c r="T352" s="220"/>
      <c r="U352" s="220"/>
      <c r="V352" s="220"/>
      <c r="W352" s="220"/>
    </row>
    <row r="353" ht="15.75" customHeight="1" outlineLevel="1">
      <c r="A353" s="211"/>
      <c r="B353" s="212"/>
      <c r="C353" s="213"/>
      <c r="D353" s="214" t="str">
        <f>IFERROR(VLOOKUP($C353,'PORTIFÓLIO'!C:V,2,0),"")</f>
        <v/>
      </c>
      <c r="E353" s="211" t="str">
        <f>IFERROR(VLOOKUP($C353,'PORTIFÓLIO'!C:V,3,0),"")</f>
        <v/>
      </c>
      <c r="F353" s="211" t="str">
        <f>IFERROR(VLOOKUP($C353,'PORTIFÓLIO'!C:V,4,0),"")</f>
        <v/>
      </c>
      <c r="G353" s="215" t="str">
        <f>IFERROR(VLOOKUP($C353,'PORTIFÓLIO'!C:V,5,0),"")</f>
        <v/>
      </c>
      <c r="H353" s="254" t="str">
        <f t="array" ref="H353">IFERROR(INDEX('PORTIFÓLIO'!$H$4:$H$433,MATCH($C353,'PORTIFÓLIO'!$C$4:$C$433,0)),"")</f>
        <v/>
      </c>
      <c r="I353" s="256"/>
      <c r="J353" s="218">
        <f t="shared" si="39"/>
        <v>0</v>
      </c>
      <c r="K353" s="292" t="str">
        <f t="array" ref="K353">IFERROR(I353*INDEX('PORTIFÓLIO'!$S$4:$S$433,MATCH($C353,'PORTIFÓLIO'!$C$4:$C$433,0)),"")</f>
        <v/>
      </c>
      <c r="L353" s="292" t="str">
        <f t="array" ref="L353">IFERROR(J353*INDEX('PORTIFÓLIO'!$S$4:$S$433,MATCH($C353,'PORTIFÓLIO'!$C$4:$C$433,0)),"")</f>
        <v/>
      </c>
      <c r="M353" s="220"/>
      <c r="N353" s="220"/>
      <c r="O353" s="220"/>
      <c r="P353" s="220"/>
      <c r="Q353" s="220"/>
      <c r="R353" s="220"/>
      <c r="S353" s="220"/>
      <c r="T353" s="220"/>
      <c r="U353" s="220"/>
      <c r="V353" s="220"/>
      <c r="W353" s="220"/>
    </row>
    <row r="354" ht="15.75" customHeight="1" outlineLevel="1">
      <c r="A354" s="211"/>
      <c r="B354" s="212"/>
      <c r="C354" s="213"/>
      <c r="D354" s="214" t="str">
        <f>IFERROR(VLOOKUP($C354,'PORTIFÓLIO'!C:V,2,0),"")</f>
        <v/>
      </c>
      <c r="E354" s="211" t="str">
        <f>IFERROR(VLOOKUP($C354,'PORTIFÓLIO'!C:V,3,0),"")</f>
        <v/>
      </c>
      <c r="F354" s="211" t="str">
        <f>IFERROR(VLOOKUP($C354,'PORTIFÓLIO'!C:V,4,0),"")</f>
        <v/>
      </c>
      <c r="G354" s="215" t="str">
        <f>IFERROR(VLOOKUP($C354,'PORTIFÓLIO'!C:V,5,0),"")</f>
        <v/>
      </c>
      <c r="H354" s="254" t="str">
        <f t="array" ref="H354">IFERROR(INDEX('PORTIFÓLIO'!$H$4:$H$433,MATCH($C354,'PORTIFÓLIO'!$C$4:$C$433,0)),"")</f>
        <v/>
      </c>
      <c r="I354" s="256"/>
      <c r="J354" s="218">
        <f t="shared" si="39"/>
        <v>0</v>
      </c>
      <c r="K354" s="292" t="str">
        <f t="array" ref="K354">IFERROR(I354*INDEX('PORTIFÓLIO'!$S$4:$S$433,MATCH($C354,'PORTIFÓLIO'!$C$4:$C$433,0)),"")</f>
        <v/>
      </c>
      <c r="L354" s="292" t="str">
        <f t="array" ref="L354">IFERROR(J354*INDEX('PORTIFÓLIO'!$S$4:$S$433,MATCH($C354,'PORTIFÓLIO'!$C$4:$C$433,0)),"")</f>
        <v/>
      </c>
      <c r="M354" s="220"/>
      <c r="N354" s="220"/>
      <c r="O354" s="220"/>
      <c r="P354" s="220"/>
      <c r="Q354" s="220"/>
      <c r="R354" s="220"/>
      <c r="S354" s="220"/>
      <c r="T354" s="220"/>
      <c r="U354" s="220"/>
      <c r="V354" s="220"/>
      <c r="W354" s="220"/>
    </row>
    <row r="355" ht="15.75" customHeight="1" outlineLevel="1">
      <c r="A355" s="211"/>
      <c r="B355" s="212"/>
      <c r="C355" s="213"/>
      <c r="D355" s="214" t="str">
        <f>IFERROR(VLOOKUP($C355,'PORTIFÓLIO'!C:V,2,0),"")</f>
        <v/>
      </c>
      <c r="E355" s="211" t="str">
        <f>IFERROR(VLOOKUP($C355,'PORTIFÓLIO'!C:V,3,0),"")</f>
        <v/>
      </c>
      <c r="F355" s="211" t="str">
        <f>IFERROR(VLOOKUP($C355,'PORTIFÓLIO'!C:V,4,0),"")</f>
        <v/>
      </c>
      <c r="G355" s="215" t="str">
        <f>IFERROR(VLOOKUP($C355,'PORTIFÓLIO'!C:V,5,0),"")</f>
        <v/>
      </c>
      <c r="H355" s="254" t="str">
        <f t="array" ref="H355">IFERROR(INDEX('PORTIFÓLIO'!$H$4:$H$433,MATCH($C355,'PORTIFÓLIO'!$C$4:$C$433,0)),"")</f>
        <v/>
      </c>
      <c r="I355" s="256"/>
      <c r="J355" s="218">
        <f t="shared" si="39"/>
        <v>0</v>
      </c>
      <c r="K355" s="292" t="str">
        <f t="array" ref="K355">IFERROR(I355*INDEX('PORTIFÓLIO'!$S$4:$S$433,MATCH($C355,'PORTIFÓLIO'!$C$4:$C$433,0)),"")</f>
        <v/>
      </c>
      <c r="L355" s="292" t="str">
        <f t="array" ref="L355">IFERROR(J355*INDEX('PORTIFÓLIO'!$S$4:$S$433,MATCH($C355,'PORTIFÓLIO'!$C$4:$C$433,0)),"")</f>
        <v/>
      </c>
      <c r="M355" s="220"/>
      <c r="N355" s="220"/>
      <c r="O355" s="220"/>
      <c r="P355" s="220"/>
      <c r="Q355" s="220"/>
      <c r="R355" s="220"/>
      <c r="S355" s="220"/>
      <c r="T355" s="220"/>
      <c r="U355" s="220"/>
      <c r="V355" s="220"/>
      <c r="W355" s="220"/>
    </row>
    <row r="356" ht="15.75" customHeight="1" outlineLevel="1">
      <c r="A356" s="211"/>
      <c r="B356" s="212"/>
      <c r="C356" s="213"/>
      <c r="D356" s="214" t="str">
        <f>IFERROR(VLOOKUP($C356,'PORTIFÓLIO'!C:V,2,0),"")</f>
        <v/>
      </c>
      <c r="E356" s="211" t="str">
        <f>IFERROR(VLOOKUP($C356,'PORTIFÓLIO'!C:V,3,0),"")</f>
        <v/>
      </c>
      <c r="F356" s="211" t="str">
        <f>IFERROR(VLOOKUP($C356,'PORTIFÓLIO'!C:V,4,0),"")</f>
        <v/>
      </c>
      <c r="G356" s="215" t="str">
        <f>IFERROR(VLOOKUP($C356,'PORTIFÓLIO'!C:V,5,0),"")</f>
        <v/>
      </c>
      <c r="H356" s="254" t="str">
        <f t="array" ref="H356">IFERROR(INDEX('PORTIFÓLIO'!$H$4:$H$433,MATCH($C356,'PORTIFÓLIO'!$C$4:$C$433,0)),"")</f>
        <v/>
      </c>
      <c r="I356" s="256"/>
      <c r="J356" s="218">
        <f t="shared" si="39"/>
        <v>0</v>
      </c>
      <c r="K356" s="292" t="str">
        <f t="array" ref="K356">IFERROR(I356*INDEX('PORTIFÓLIO'!$S$4:$S$433,MATCH($C356,'PORTIFÓLIO'!$C$4:$C$433,0)),"")</f>
        <v/>
      </c>
      <c r="L356" s="292" t="str">
        <f t="array" ref="L356">IFERROR(J356*INDEX('PORTIFÓLIO'!$S$4:$S$433,MATCH($C356,'PORTIFÓLIO'!$C$4:$C$433,0)),"")</f>
        <v/>
      </c>
      <c r="M356" s="220"/>
      <c r="N356" s="220"/>
      <c r="O356" s="220"/>
      <c r="P356" s="220"/>
      <c r="Q356" s="220"/>
      <c r="R356" s="220"/>
      <c r="S356" s="220"/>
      <c r="T356" s="220"/>
      <c r="U356" s="220"/>
      <c r="V356" s="220"/>
      <c r="W356" s="220"/>
    </row>
    <row r="357" ht="15.75" customHeight="1" outlineLevel="1">
      <c r="A357" s="211"/>
      <c r="B357" s="227"/>
      <c r="C357" s="211"/>
      <c r="D357" s="214" t="str">
        <f>IFERROR(VLOOKUP($C357,'PORTIFÓLIO'!C:V,2,0),"")</f>
        <v/>
      </c>
      <c r="E357" s="211" t="str">
        <f>IFERROR(VLOOKUP($C357,'PORTIFÓLIO'!C:V,3,0),"")</f>
        <v/>
      </c>
      <c r="F357" s="211" t="str">
        <f>IFERROR(VLOOKUP($C357,'PORTIFÓLIO'!C:V,4,0),"")</f>
        <v/>
      </c>
      <c r="G357" s="215" t="str">
        <f>IFERROR(VLOOKUP($C357,'PORTIFÓLIO'!C:V,5,0),"")</f>
        <v/>
      </c>
      <c r="H357" s="254" t="str">
        <f t="array" ref="H357">IFERROR(INDEX('PORTIFÓLIO'!$H$4:$H$433,MATCH($C357,'PORTIFÓLIO'!$C$4:$C$433,0)),"")</f>
        <v/>
      </c>
      <c r="I357" s="256"/>
      <c r="J357" s="218"/>
      <c r="K357" s="292" t="str">
        <f t="array" ref="K357">IFERROR(I357*INDEX('PORTIFÓLIO'!$S$4:$S$433,MATCH($C357,'PORTIFÓLIO'!$C$4:$C$433,0)),"")</f>
        <v/>
      </c>
      <c r="L357" s="292" t="str">
        <f t="array" ref="L357">IFERROR(J357*INDEX('PORTIFÓLIO'!$S$4:$S$433,MATCH($C357,'PORTIFÓLIO'!$C$4:$C$433,0)),"")</f>
        <v/>
      </c>
      <c r="M357" s="220"/>
      <c r="N357" s="220"/>
      <c r="O357" s="220"/>
      <c r="P357" s="220"/>
      <c r="Q357" s="220"/>
      <c r="R357" s="220"/>
      <c r="S357" s="220"/>
      <c r="T357" s="220"/>
      <c r="U357" s="220"/>
      <c r="V357" s="220"/>
      <c r="W357" s="220"/>
    </row>
    <row r="358" ht="15.75" customHeight="1">
      <c r="A358" s="229" t="s">
        <v>1191</v>
      </c>
      <c r="B358" s="230"/>
      <c r="C358" s="231"/>
      <c r="D358" s="232"/>
      <c r="E358" s="231"/>
      <c r="F358" s="231"/>
      <c r="G358" s="233"/>
      <c r="H358" s="233"/>
      <c r="I358" s="258"/>
      <c r="J358" s="236"/>
      <c r="K358" s="237">
        <f t="shared" ref="K358:L358" si="40">SUBTOTAL(9,K359:K372)</f>
        <v>0</v>
      </c>
      <c r="L358" s="237">
        <f t="shared" si="40"/>
        <v>0</v>
      </c>
      <c r="M358" s="220"/>
      <c r="N358" s="220"/>
      <c r="O358" s="220"/>
      <c r="P358" s="220"/>
      <c r="Q358" s="220"/>
      <c r="R358" s="220"/>
      <c r="S358" s="220"/>
      <c r="T358" s="220"/>
      <c r="U358" s="220"/>
      <c r="V358" s="220"/>
      <c r="W358" s="220"/>
    </row>
    <row r="359" ht="15.75" customHeight="1" outlineLevel="1">
      <c r="A359" s="213"/>
      <c r="B359" s="212"/>
      <c r="C359" s="213"/>
      <c r="D359" s="214" t="str">
        <f>IFERROR(VLOOKUP($C359,'PORTIFÓLIO'!C:V,2,0),"")</f>
        <v/>
      </c>
      <c r="E359" s="211" t="str">
        <f>IFERROR(VLOOKUP($C359,'PORTIFÓLIO'!C:V,3,0),"")</f>
        <v/>
      </c>
      <c r="F359" s="211" t="str">
        <f>IFERROR(VLOOKUP($C359,'PORTIFÓLIO'!C:V,4,0),"")</f>
        <v/>
      </c>
      <c r="G359" s="215" t="str">
        <f>IFERROR(VLOOKUP($C359,'PORTIFÓLIO'!C:V,5,0),"")</f>
        <v/>
      </c>
      <c r="H359" s="254" t="str">
        <f t="array" ref="H359">IFERROR(INDEX('PORTIFÓLIO'!$H$4:$H$433,MATCH($C359,'PORTIFÓLIO'!$C$4:$C$433,0)),"")</f>
        <v/>
      </c>
      <c r="I359" s="255"/>
      <c r="J359" s="218">
        <f t="shared" ref="J359:J373" si="41">I359*$B$2</f>
        <v>0</v>
      </c>
      <c r="K359" s="292" t="str">
        <f t="array" ref="K359">IFERROR(I359*INDEX('PORTIFÓLIO'!$S$4:$S$433,MATCH($C359,'PORTIFÓLIO'!$C$4:$C$433,0)),"")</f>
        <v/>
      </c>
      <c r="L359" s="292" t="str">
        <f t="array" ref="L359">IFERROR(J359*INDEX('PORTIFÓLIO'!$S$4:$S$433,MATCH($C359,'PORTIFÓLIO'!$C$4:$C$433,0)),"")</f>
        <v/>
      </c>
      <c r="M359" s="220"/>
      <c r="N359" s="220"/>
      <c r="O359" s="220"/>
      <c r="P359" s="220"/>
      <c r="Q359" s="220"/>
      <c r="R359" s="220"/>
      <c r="S359" s="220"/>
      <c r="T359" s="220"/>
      <c r="U359" s="220"/>
      <c r="V359" s="220"/>
      <c r="W359" s="220"/>
    </row>
    <row r="360" ht="15.75" customHeight="1" outlineLevel="1">
      <c r="A360" s="211"/>
      <c r="B360" s="212"/>
      <c r="C360" s="213"/>
      <c r="D360" s="214" t="str">
        <f>IFERROR(VLOOKUP($C360,'PORTIFÓLIO'!C:V,2,0),"")</f>
        <v/>
      </c>
      <c r="E360" s="211" t="str">
        <f>IFERROR(VLOOKUP($C360,'PORTIFÓLIO'!C:V,3,0),"")</f>
        <v/>
      </c>
      <c r="F360" s="211" t="str">
        <f>IFERROR(VLOOKUP($C360,'PORTIFÓLIO'!C:V,4,0),"")</f>
        <v/>
      </c>
      <c r="G360" s="215" t="str">
        <f>IFERROR(VLOOKUP($C360,'PORTIFÓLIO'!C:V,5,0),"")</f>
        <v/>
      </c>
      <c r="H360" s="254" t="str">
        <f t="array" ref="H360">IFERROR(INDEX('PORTIFÓLIO'!$H$4:$H$433,MATCH($C360,'PORTIFÓLIO'!$C$4:$C$433,0)),"")</f>
        <v/>
      </c>
      <c r="I360" s="256"/>
      <c r="J360" s="218">
        <f t="shared" si="41"/>
        <v>0</v>
      </c>
      <c r="K360" s="292" t="str">
        <f t="array" ref="K360">IFERROR(I360*INDEX('PORTIFÓLIO'!$S$4:$S$433,MATCH($C360,'PORTIFÓLIO'!$C$4:$C$433,0)),"")</f>
        <v/>
      </c>
      <c r="L360" s="292" t="str">
        <f t="array" ref="L360">IFERROR(J360*INDEX('PORTIFÓLIO'!$S$4:$S$433,MATCH($C360,'PORTIFÓLIO'!$C$4:$C$433,0)),"")</f>
        <v/>
      </c>
      <c r="M360" s="220"/>
      <c r="N360" s="220"/>
      <c r="O360" s="220"/>
      <c r="P360" s="220"/>
      <c r="Q360" s="220"/>
      <c r="R360" s="220"/>
      <c r="S360" s="220"/>
      <c r="T360" s="220"/>
      <c r="U360" s="220"/>
      <c r="V360" s="220"/>
      <c r="W360" s="220"/>
    </row>
    <row r="361" ht="15.75" customHeight="1" outlineLevel="1">
      <c r="A361" s="211"/>
      <c r="B361" s="212"/>
      <c r="C361" s="213"/>
      <c r="D361" s="214" t="str">
        <f>IFERROR(VLOOKUP($C361,'PORTIFÓLIO'!C:V,2,0),"")</f>
        <v/>
      </c>
      <c r="E361" s="211" t="str">
        <f>IFERROR(VLOOKUP($C361,'PORTIFÓLIO'!C:V,3,0),"")</f>
        <v/>
      </c>
      <c r="F361" s="211" t="str">
        <f>IFERROR(VLOOKUP($C361,'PORTIFÓLIO'!C:V,4,0),"")</f>
        <v/>
      </c>
      <c r="G361" s="215" t="str">
        <f>IFERROR(VLOOKUP($C361,'PORTIFÓLIO'!C:V,5,0),"")</f>
        <v/>
      </c>
      <c r="H361" s="254" t="str">
        <f t="array" ref="H361">IFERROR(INDEX('PORTIFÓLIO'!$H$4:$H$433,MATCH($C361,'PORTIFÓLIO'!$C$4:$C$433,0)),"")</f>
        <v/>
      </c>
      <c r="I361" s="256"/>
      <c r="J361" s="218">
        <f t="shared" si="41"/>
        <v>0</v>
      </c>
      <c r="K361" s="292" t="str">
        <f t="array" ref="K361">IFERROR(I361*INDEX('PORTIFÓLIO'!$S$4:$S$433,MATCH($C361,'PORTIFÓLIO'!$C$4:$C$433,0)),"")</f>
        <v/>
      </c>
      <c r="L361" s="292" t="str">
        <f t="array" ref="L361">IFERROR(J361*INDEX('PORTIFÓLIO'!$S$4:$S$433,MATCH($C361,'PORTIFÓLIO'!$C$4:$C$433,0)),"")</f>
        <v/>
      </c>
      <c r="M361" s="220"/>
      <c r="N361" s="220"/>
      <c r="O361" s="220"/>
      <c r="P361" s="220"/>
      <c r="Q361" s="220"/>
      <c r="R361" s="220"/>
      <c r="S361" s="220"/>
      <c r="T361" s="220"/>
      <c r="U361" s="220"/>
      <c r="V361" s="220"/>
      <c r="W361" s="220"/>
    </row>
    <row r="362" ht="15.75" customHeight="1" outlineLevel="1">
      <c r="A362" s="211"/>
      <c r="B362" s="212"/>
      <c r="C362" s="213"/>
      <c r="D362" s="214" t="str">
        <f>IFERROR(VLOOKUP($C362,'PORTIFÓLIO'!C:V,2,0),"")</f>
        <v/>
      </c>
      <c r="E362" s="211" t="str">
        <f>IFERROR(VLOOKUP($C362,'PORTIFÓLIO'!C:V,3,0),"")</f>
        <v/>
      </c>
      <c r="F362" s="211" t="str">
        <f>IFERROR(VLOOKUP($C362,'PORTIFÓLIO'!C:V,4,0),"")</f>
        <v/>
      </c>
      <c r="G362" s="215" t="str">
        <f>IFERROR(VLOOKUP($C362,'PORTIFÓLIO'!C:V,5,0),"")</f>
        <v/>
      </c>
      <c r="H362" s="254" t="str">
        <f t="array" ref="H362">IFERROR(INDEX('PORTIFÓLIO'!$H$4:$H$433,MATCH($C362,'PORTIFÓLIO'!$C$4:$C$433,0)),"")</f>
        <v/>
      </c>
      <c r="I362" s="256"/>
      <c r="J362" s="218">
        <f t="shared" si="41"/>
        <v>0</v>
      </c>
      <c r="K362" s="292" t="str">
        <f t="array" ref="K362">IFERROR(I362*INDEX('PORTIFÓLIO'!$S$4:$S$433,MATCH($C362,'PORTIFÓLIO'!$C$4:$C$433,0)),"")</f>
        <v/>
      </c>
      <c r="L362" s="292" t="str">
        <f t="array" ref="L362">IFERROR(J362*INDEX('PORTIFÓLIO'!$S$4:$S$433,MATCH($C362,'PORTIFÓLIO'!$C$4:$C$433,0)),"")</f>
        <v/>
      </c>
      <c r="M362" s="220"/>
      <c r="N362" s="220"/>
      <c r="O362" s="220"/>
      <c r="P362" s="220"/>
      <c r="Q362" s="220"/>
      <c r="R362" s="220"/>
      <c r="S362" s="220"/>
      <c r="T362" s="220"/>
      <c r="U362" s="220"/>
      <c r="V362" s="220"/>
      <c r="W362" s="220"/>
    </row>
    <row r="363" ht="15.75" customHeight="1" outlineLevel="1">
      <c r="A363" s="211"/>
      <c r="B363" s="212"/>
      <c r="C363" s="213"/>
      <c r="D363" s="214" t="str">
        <f>IFERROR(VLOOKUP($C363,'PORTIFÓLIO'!C:V,2,0),"")</f>
        <v/>
      </c>
      <c r="E363" s="211" t="str">
        <f>IFERROR(VLOOKUP($C363,'PORTIFÓLIO'!C:V,3,0),"")</f>
        <v/>
      </c>
      <c r="F363" s="211" t="str">
        <f>IFERROR(VLOOKUP($C363,'PORTIFÓLIO'!C:V,4,0),"")</f>
        <v/>
      </c>
      <c r="G363" s="215" t="str">
        <f>IFERROR(VLOOKUP($C363,'PORTIFÓLIO'!C:V,5,0),"")</f>
        <v/>
      </c>
      <c r="H363" s="254" t="str">
        <f t="array" ref="H363">IFERROR(INDEX('PORTIFÓLIO'!$H$4:$H$433,MATCH($C363,'PORTIFÓLIO'!$C$4:$C$433,0)),"")</f>
        <v/>
      </c>
      <c r="I363" s="256"/>
      <c r="J363" s="218">
        <f t="shared" si="41"/>
        <v>0</v>
      </c>
      <c r="K363" s="292" t="str">
        <f t="array" ref="K363">IFERROR(I363*INDEX('PORTIFÓLIO'!$S$4:$S$433,MATCH($C363,'PORTIFÓLIO'!$C$4:$C$433,0)),"")</f>
        <v/>
      </c>
      <c r="L363" s="292" t="str">
        <f t="array" ref="L363">IFERROR(J363*INDEX('PORTIFÓLIO'!$S$4:$S$433,MATCH($C363,'PORTIFÓLIO'!$C$4:$C$433,0)),"")</f>
        <v/>
      </c>
      <c r="M363" s="220"/>
      <c r="N363" s="220"/>
      <c r="O363" s="220"/>
      <c r="P363" s="220"/>
      <c r="Q363" s="220"/>
      <c r="R363" s="220"/>
      <c r="S363" s="220"/>
      <c r="T363" s="220"/>
      <c r="U363" s="220"/>
      <c r="V363" s="220"/>
      <c r="W363" s="220"/>
    </row>
    <row r="364" ht="15.75" customHeight="1" outlineLevel="1">
      <c r="A364" s="211"/>
      <c r="B364" s="212"/>
      <c r="C364" s="213"/>
      <c r="D364" s="214" t="str">
        <f>IFERROR(VLOOKUP($C364,'PORTIFÓLIO'!C:V,2,0),"")</f>
        <v/>
      </c>
      <c r="E364" s="211" t="str">
        <f>IFERROR(VLOOKUP($C364,'PORTIFÓLIO'!C:V,3,0),"")</f>
        <v/>
      </c>
      <c r="F364" s="211" t="str">
        <f>IFERROR(VLOOKUP($C364,'PORTIFÓLIO'!C:V,4,0),"")</f>
        <v/>
      </c>
      <c r="G364" s="215" t="str">
        <f>IFERROR(VLOOKUP($C364,'PORTIFÓLIO'!C:V,5,0),"")</f>
        <v/>
      </c>
      <c r="H364" s="254" t="str">
        <f t="array" ref="H364">IFERROR(INDEX('PORTIFÓLIO'!$H$4:$H$433,MATCH($C364,'PORTIFÓLIO'!$C$4:$C$433,0)),"")</f>
        <v/>
      </c>
      <c r="I364" s="256"/>
      <c r="J364" s="218">
        <f t="shared" si="41"/>
        <v>0</v>
      </c>
      <c r="K364" s="292" t="str">
        <f t="array" ref="K364">IFERROR(I364*INDEX('PORTIFÓLIO'!$S$4:$S$433,MATCH($C364,'PORTIFÓLIO'!$C$4:$C$433,0)),"")</f>
        <v/>
      </c>
      <c r="L364" s="292" t="str">
        <f t="array" ref="L364">IFERROR(J364*INDEX('PORTIFÓLIO'!$S$4:$S$433,MATCH($C364,'PORTIFÓLIO'!$C$4:$C$433,0)),"")</f>
        <v/>
      </c>
      <c r="M364" s="220"/>
      <c r="N364" s="220"/>
      <c r="O364" s="220"/>
      <c r="P364" s="220"/>
      <c r="Q364" s="220"/>
      <c r="R364" s="220"/>
      <c r="S364" s="220"/>
      <c r="T364" s="220"/>
      <c r="U364" s="220"/>
      <c r="V364" s="220"/>
      <c r="W364" s="220"/>
    </row>
    <row r="365" ht="15.75" customHeight="1" outlineLevel="1">
      <c r="A365" s="211"/>
      <c r="B365" s="212"/>
      <c r="C365" s="213"/>
      <c r="D365" s="214" t="str">
        <f>IFERROR(VLOOKUP($C365,'PORTIFÓLIO'!C:V,2,0),"")</f>
        <v/>
      </c>
      <c r="E365" s="211" t="str">
        <f>IFERROR(VLOOKUP($C365,'PORTIFÓLIO'!C:V,3,0),"")</f>
        <v/>
      </c>
      <c r="F365" s="211" t="str">
        <f>IFERROR(VLOOKUP($C365,'PORTIFÓLIO'!C:V,4,0),"")</f>
        <v/>
      </c>
      <c r="G365" s="215" t="str">
        <f>IFERROR(VLOOKUP($C365,'PORTIFÓLIO'!C:V,5,0),"")</f>
        <v/>
      </c>
      <c r="H365" s="254" t="str">
        <f t="array" ref="H365">IFERROR(INDEX('PORTIFÓLIO'!$H$4:$H$433,MATCH($C365,'PORTIFÓLIO'!$C$4:$C$433,0)),"")</f>
        <v/>
      </c>
      <c r="I365" s="256"/>
      <c r="J365" s="218">
        <f t="shared" si="41"/>
        <v>0</v>
      </c>
      <c r="K365" s="292" t="str">
        <f t="array" ref="K365">IFERROR(I365*INDEX('PORTIFÓLIO'!$S$4:$S$433,MATCH($C365,'PORTIFÓLIO'!$C$4:$C$433,0)),"")</f>
        <v/>
      </c>
      <c r="L365" s="292" t="str">
        <f t="array" ref="L365">IFERROR(J365*INDEX('PORTIFÓLIO'!$S$4:$S$433,MATCH($C365,'PORTIFÓLIO'!$C$4:$C$433,0)),"")</f>
        <v/>
      </c>
      <c r="M365" s="220"/>
      <c r="N365" s="220"/>
      <c r="O365" s="220"/>
      <c r="P365" s="220"/>
      <c r="Q365" s="220"/>
      <c r="R365" s="220"/>
      <c r="S365" s="220"/>
      <c r="T365" s="220"/>
      <c r="U365" s="220"/>
      <c r="V365" s="220"/>
      <c r="W365" s="220"/>
    </row>
    <row r="366" ht="15.75" customHeight="1" outlineLevel="1">
      <c r="A366" s="211"/>
      <c r="B366" s="212"/>
      <c r="C366" s="213"/>
      <c r="D366" s="214" t="str">
        <f>IFERROR(VLOOKUP($C366,'PORTIFÓLIO'!C:V,2,0),"")</f>
        <v/>
      </c>
      <c r="E366" s="211" t="str">
        <f>IFERROR(VLOOKUP($C366,'PORTIFÓLIO'!C:V,3,0),"")</f>
        <v/>
      </c>
      <c r="F366" s="211" t="str">
        <f>IFERROR(VLOOKUP($C366,'PORTIFÓLIO'!C:V,4,0),"")</f>
        <v/>
      </c>
      <c r="G366" s="215" t="str">
        <f>IFERROR(VLOOKUP($C366,'PORTIFÓLIO'!C:V,5,0),"")</f>
        <v/>
      </c>
      <c r="H366" s="254" t="str">
        <f t="array" ref="H366">IFERROR(INDEX('PORTIFÓLIO'!$H$4:$H$433,MATCH($C366,'PORTIFÓLIO'!$C$4:$C$433,0)),"")</f>
        <v/>
      </c>
      <c r="I366" s="256"/>
      <c r="J366" s="218">
        <f t="shared" si="41"/>
        <v>0</v>
      </c>
      <c r="K366" s="292" t="str">
        <f t="array" ref="K366">IFERROR(I366*INDEX('PORTIFÓLIO'!$S$4:$S$433,MATCH($C366,'PORTIFÓLIO'!$C$4:$C$433,0)),"")</f>
        <v/>
      </c>
      <c r="L366" s="292" t="str">
        <f t="array" ref="L366">IFERROR(J366*INDEX('PORTIFÓLIO'!$S$4:$S$433,MATCH($C366,'PORTIFÓLIO'!$C$4:$C$433,0)),"")</f>
        <v/>
      </c>
      <c r="M366" s="220"/>
      <c r="N366" s="220"/>
      <c r="O366" s="220"/>
      <c r="P366" s="220"/>
      <c r="Q366" s="220"/>
      <c r="R366" s="220"/>
      <c r="S366" s="220"/>
      <c r="T366" s="220"/>
      <c r="U366" s="220"/>
      <c r="V366" s="220"/>
      <c r="W366" s="220"/>
    </row>
    <row r="367" ht="15.75" customHeight="1" outlineLevel="1">
      <c r="A367" s="211"/>
      <c r="B367" s="212"/>
      <c r="C367" s="213"/>
      <c r="D367" s="214" t="str">
        <f>IFERROR(VLOOKUP($C367,'PORTIFÓLIO'!C:V,2,0),"")</f>
        <v/>
      </c>
      <c r="E367" s="211" t="str">
        <f>IFERROR(VLOOKUP($C367,'PORTIFÓLIO'!C:V,3,0),"")</f>
        <v/>
      </c>
      <c r="F367" s="211" t="str">
        <f>IFERROR(VLOOKUP($C367,'PORTIFÓLIO'!C:V,4,0),"")</f>
        <v/>
      </c>
      <c r="G367" s="215" t="str">
        <f>IFERROR(VLOOKUP($C367,'PORTIFÓLIO'!C:V,5,0),"")</f>
        <v/>
      </c>
      <c r="H367" s="254" t="str">
        <f t="array" ref="H367">IFERROR(INDEX('PORTIFÓLIO'!$H$4:$H$433,MATCH($C367,'PORTIFÓLIO'!$C$4:$C$433,0)),"")</f>
        <v/>
      </c>
      <c r="I367" s="255"/>
      <c r="J367" s="218">
        <f t="shared" si="41"/>
        <v>0</v>
      </c>
      <c r="K367" s="292" t="str">
        <f t="array" ref="K367">IFERROR(I367*INDEX('PORTIFÓLIO'!$S$4:$S$433,MATCH($C367,'PORTIFÓLIO'!$C$4:$C$433,0)),"")</f>
        <v/>
      </c>
      <c r="L367" s="292" t="str">
        <f t="array" ref="L367">IFERROR(J367*INDEX('PORTIFÓLIO'!$S$4:$S$433,MATCH($C367,'PORTIFÓLIO'!$C$4:$C$433,0)),"")</f>
        <v/>
      </c>
      <c r="M367" s="220"/>
      <c r="N367" s="220"/>
      <c r="O367" s="220"/>
      <c r="P367" s="220"/>
      <c r="Q367" s="220"/>
      <c r="R367" s="220"/>
      <c r="S367" s="220"/>
      <c r="T367" s="220"/>
      <c r="U367" s="220"/>
      <c r="V367" s="220"/>
      <c r="W367" s="220"/>
    </row>
    <row r="368" ht="15.75" customHeight="1" outlineLevel="1">
      <c r="A368" s="211"/>
      <c r="B368" s="212"/>
      <c r="C368" s="213"/>
      <c r="D368" s="214" t="str">
        <f>IFERROR(VLOOKUP($C368,'PORTIFÓLIO'!C:V,2,0),"")</f>
        <v/>
      </c>
      <c r="E368" s="211" t="str">
        <f>IFERROR(VLOOKUP($C368,'PORTIFÓLIO'!C:V,3,0),"")</f>
        <v/>
      </c>
      <c r="F368" s="211" t="str">
        <f>IFERROR(VLOOKUP($C368,'PORTIFÓLIO'!C:V,4,0),"")</f>
        <v/>
      </c>
      <c r="G368" s="215" t="str">
        <f>IFERROR(VLOOKUP($C368,'PORTIFÓLIO'!C:V,5,0),"")</f>
        <v/>
      </c>
      <c r="H368" s="254" t="str">
        <f t="array" ref="H368">IFERROR(INDEX('PORTIFÓLIO'!$H$4:$H$433,MATCH($C368,'PORTIFÓLIO'!$C$4:$C$433,0)),"")</f>
        <v/>
      </c>
      <c r="I368" s="256"/>
      <c r="J368" s="218">
        <f t="shared" si="41"/>
        <v>0</v>
      </c>
      <c r="K368" s="292" t="str">
        <f t="array" ref="K368">IFERROR(I368*INDEX('PORTIFÓLIO'!$S$4:$S$433,MATCH($C368,'PORTIFÓLIO'!$C$4:$C$433,0)),"")</f>
        <v/>
      </c>
      <c r="L368" s="292" t="str">
        <f t="array" ref="L368">IFERROR(J368*INDEX('PORTIFÓLIO'!$S$4:$S$433,MATCH($C368,'PORTIFÓLIO'!$C$4:$C$433,0)),"")</f>
        <v/>
      </c>
      <c r="M368" s="220"/>
      <c r="N368" s="220"/>
      <c r="O368" s="220"/>
      <c r="P368" s="220"/>
      <c r="Q368" s="220"/>
      <c r="R368" s="220"/>
      <c r="S368" s="220"/>
      <c r="T368" s="220"/>
      <c r="U368" s="220"/>
      <c r="V368" s="220"/>
      <c r="W368" s="220"/>
    </row>
    <row r="369" ht="15.75" customHeight="1" outlineLevel="1">
      <c r="A369" s="211"/>
      <c r="B369" s="212"/>
      <c r="C369" s="213"/>
      <c r="D369" s="214" t="str">
        <f>IFERROR(VLOOKUP($C369,'PORTIFÓLIO'!C:V,2,0),"")</f>
        <v/>
      </c>
      <c r="E369" s="211" t="str">
        <f>IFERROR(VLOOKUP($C369,'PORTIFÓLIO'!C:V,3,0),"")</f>
        <v/>
      </c>
      <c r="F369" s="211" t="str">
        <f>IFERROR(VLOOKUP($C369,'PORTIFÓLIO'!C:V,4,0),"")</f>
        <v/>
      </c>
      <c r="G369" s="215" t="str">
        <f>IFERROR(VLOOKUP($C369,'PORTIFÓLIO'!C:V,5,0),"")</f>
        <v/>
      </c>
      <c r="H369" s="254" t="str">
        <f t="array" ref="H369">IFERROR(INDEX('PORTIFÓLIO'!$H$4:$H$433,MATCH($C369,'PORTIFÓLIO'!$C$4:$C$433,0)),"")</f>
        <v/>
      </c>
      <c r="I369" s="256"/>
      <c r="J369" s="218">
        <f t="shared" si="41"/>
        <v>0</v>
      </c>
      <c r="K369" s="292" t="str">
        <f t="array" ref="K369">IFERROR(I369*INDEX('PORTIFÓLIO'!$S$4:$S$433,MATCH($C369,'PORTIFÓLIO'!$C$4:$C$433,0)),"")</f>
        <v/>
      </c>
      <c r="L369" s="292" t="str">
        <f t="array" ref="L369">IFERROR(J369*INDEX('PORTIFÓLIO'!$S$4:$S$433,MATCH($C369,'PORTIFÓLIO'!$C$4:$C$433,0)),"")</f>
        <v/>
      </c>
      <c r="M369" s="220"/>
      <c r="N369" s="220"/>
      <c r="O369" s="220"/>
      <c r="P369" s="220"/>
      <c r="Q369" s="220"/>
      <c r="R369" s="220"/>
      <c r="S369" s="220"/>
      <c r="T369" s="220"/>
      <c r="U369" s="220"/>
      <c r="V369" s="220"/>
      <c r="W369" s="220"/>
    </row>
    <row r="370" ht="15.75" customHeight="1" outlineLevel="1">
      <c r="A370" s="211"/>
      <c r="B370" s="212"/>
      <c r="C370" s="213"/>
      <c r="D370" s="214" t="str">
        <f>IFERROR(VLOOKUP($C370,'PORTIFÓLIO'!C:V,2,0),"")</f>
        <v/>
      </c>
      <c r="E370" s="211" t="str">
        <f>IFERROR(VLOOKUP($C370,'PORTIFÓLIO'!C:V,3,0),"")</f>
        <v/>
      </c>
      <c r="F370" s="211" t="str">
        <f>IFERROR(VLOOKUP($C370,'PORTIFÓLIO'!C:V,4,0),"")</f>
        <v/>
      </c>
      <c r="G370" s="215" t="str">
        <f>IFERROR(VLOOKUP($C370,'PORTIFÓLIO'!C:V,5,0),"")</f>
        <v/>
      </c>
      <c r="H370" s="254" t="str">
        <f t="array" ref="H370">IFERROR(INDEX('PORTIFÓLIO'!$H$4:$H$433,MATCH($C370,'PORTIFÓLIO'!$C$4:$C$433,0)),"")</f>
        <v/>
      </c>
      <c r="I370" s="256"/>
      <c r="J370" s="218">
        <f t="shared" si="41"/>
        <v>0</v>
      </c>
      <c r="K370" s="292" t="str">
        <f t="array" ref="K370">IFERROR(I370*INDEX('PORTIFÓLIO'!$S$4:$S$433,MATCH($C370,'PORTIFÓLIO'!$C$4:$C$433,0)),"")</f>
        <v/>
      </c>
      <c r="L370" s="292" t="str">
        <f t="array" ref="L370">IFERROR(J370*INDEX('PORTIFÓLIO'!$S$4:$S$433,MATCH($C370,'PORTIFÓLIO'!$C$4:$C$433,0)),"")</f>
        <v/>
      </c>
      <c r="M370" s="220"/>
      <c r="N370" s="220"/>
      <c r="O370" s="220"/>
      <c r="P370" s="220"/>
      <c r="Q370" s="220"/>
      <c r="R370" s="220"/>
      <c r="S370" s="220"/>
      <c r="T370" s="220"/>
      <c r="U370" s="220"/>
      <c r="V370" s="220"/>
      <c r="W370" s="220"/>
    </row>
    <row r="371" ht="15.75" customHeight="1" outlineLevel="1">
      <c r="A371" s="211"/>
      <c r="B371" s="212"/>
      <c r="C371" s="213"/>
      <c r="D371" s="214" t="str">
        <f>IFERROR(VLOOKUP($C371,'PORTIFÓLIO'!C:V,2,0),"")</f>
        <v/>
      </c>
      <c r="E371" s="211" t="str">
        <f>IFERROR(VLOOKUP($C371,'PORTIFÓLIO'!C:V,3,0),"")</f>
        <v/>
      </c>
      <c r="F371" s="211" t="str">
        <f>IFERROR(VLOOKUP($C371,'PORTIFÓLIO'!C:V,4,0),"")</f>
        <v/>
      </c>
      <c r="G371" s="215" t="str">
        <f>IFERROR(VLOOKUP($C371,'PORTIFÓLIO'!C:V,5,0),"")</f>
        <v/>
      </c>
      <c r="H371" s="254" t="str">
        <f t="array" ref="H371">IFERROR(INDEX('PORTIFÓLIO'!$H$4:$H$433,MATCH($C371,'PORTIFÓLIO'!$C$4:$C$433,0)),"")</f>
        <v/>
      </c>
      <c r="I371" s="256"/>
      <c r="J371" s="218">
        <f t="shared" si="41"/>
        <v>0</v>
      </c>
      <c r="K371" s="292" t="str">
        <f t="array" ref="K371">IFERROR(I371*INDEX('PORTIFÓLIO'!$S$4:$S$433,MATCH($C371,'PORTIFÓLIO'!$C$4:$C$433,0)),"")</f>
        <v/>
      </c>
      <c r="L371" s="292" t="str">
        <f t="array" ref="L371">IFERROR(J371*INDEX('PORTIFÓLIO'!$S$4:$S$433,MATCH($C371,'PORTIFÓLIO'!$C$4:$C$433,0)),"")</f>
        <v/>
      </c>
      <c r="M371" s="220"/>
      <c r="N371" s="220"/>
      <c r="O371" s="220"/>
      <c r="P371" s="220"/>
      <c r="Q371" s="220"/>
      <c r="R371" s="220"/>
      <c r="S371" s="220"/>
      <c r="T371" s="220"/>
      <c r="U371" s="220"/>
      <c r="V371" s="220"/>
      <c r="W371" s="220"/>
    </row>
    <row r="372" ht="15.75" customHeight="1" outlineLevel="1">
      <c r="A372" s="211"/>
      <c r="B372" s="212"/>
      <c r="C372" s="213"/>
      <c r="D372" s="214" t="str">
        <f>IFERROR(VLOOKUP($C372,'PORTIFÓLIO'!C:V,2,0),"")</f>
        <v/>
      </c>
      <c r="E372" s="211" t="str">
        <f>IFERROR(VLOOKUP($C372,'PORTIFÓLIO'!C:V,3,0),"")</f>
        <v/>
      </c>
      <c r="F372" s="211" t="str">
        <f>IFERROR(VLOOKUP($C372,'PORTIFÓLIO'!C:V,4,0),"")</f>
        <v/>
      </c>
      <c r="G372" s="215" t="str">
        <f>IFERROR(VLOOKUP($C372,'PORTIFÓLIO'!C:V,5,0),"")</f>
        <v/>
      </c>
      <c r="H372" s="254" t="str">
        <f t="array" ref="H372">IFERROR(INDEX('PORTIFÓLIO'!$H$4:$H$433,MATCH($C372,'PORTIFÓLIO'!$C$4:$C$433,0)),"")</f>
        <v/>
      </c>
      <c r="I372" s="256"/>
      <c r="J372" s="218">
        <f t="shared" si="41"/>
        <v>0</v>
      </c>
      <c r="K372" s="292" t="str">
        <f t="array" ref="K372">IFERROR(I372*INDEX('PORTIFÓLIO'!$S$4:$S$433,MATCH($C372,'PORTIFÓLIO'!$C$4:$C$433,0)),"")</f>
        <v/>
      </c>
      <c r="L372" s="292" t="str">
        <f t="array" ref="L372">IFERROR(J372*INDEX('PORTIFÓLIO'!$S$4:$S$433,MATCH($C372,'PORTIFÓLIO'!$C$4:$C$433,0)),"")</f>
        <v/>
      </c>
      <c r="M372" s="220"/>
      <c r="N372" s="220"/>
      <c r="O372" s="220"/>
      <c r="P372" s="220"/>
      <c r="Q372" s="220"/>
      <c r="R372" s="220"/>
      <c r="S372" s="220"/>
      <c r="T372" s="220"/>
      <c r="U372" s="220"/>
      <c r="V372" s="220"/>
      <c r="W372" s="220"/>
    </row>
    <row r="373" ht="15.75" customHeight="1" outlineLevel="1">
      <c r="A373" s="211"/>
      <c r="B373" s="212"/>
      <c r="C373" s="213"/>
      <c r="D373" s="214" t="str">
        <f>IFERROR(VLOOKUP($C373,'PORTIFÓLIO'!C:V,2,0),"")</f>
        <v/>
      </c>
      <c r="E373" s="211" t="str">
        <f>IFERROR(VLOOKUP($C373,'PORTIFÓLIO'!C:V,3,0),"")</f>
        <v/>
      </c>
      <c r="F373" s="211" t="str">
        <f>IFERROR(VLOOKUP($C373,'PORTIFÓLIO'!C:V,4,0),"")</f>
        <v/>
      </c>
      <c r="G373" s="215" t="str">
        <f>IFERROR(VLOOKUP($C373,'PORTIFÓLIO'!C:V,5,0),"")</f>
        <v/>
      </c>
      <c r="H373" s="254" t="str">
        <f t="array" ref="H373">IFERROR(INDEX('PORTIFÓLIO'!$H$4:$H$433,MATCH($C373,'PORTIFÓLIO'!$C$4:$C$433,0)),"")</f>
        <v/>
      </c>
      <c r="I373" s="256"/>
      <c r="J373" s="218">
        <f t="shared" si="41"/>
        <v>0</v>
      </c>
      <c r="K373" s="292" t="str">
        <f t="array" ref="K373">IFERROR(I373*INDEX('PORTIFÓLIO'!$S$4:$S$433,MATCH($C373,'PORTIFÓLIO'!$C$4:$C$433,0)),"")</f>
        <v/>
      </c>
      <c r="L373" s="292" t="str">
        <f t="array" ref="L373">IFERROR(J373*INDEX('PORTIFÓLIO'!$S$4:$S$433,MATCH($C373,'PORTIFÓLIO'!$C$4:$C$433,0)),"")</f>
        <v/>
      </c>
      <c r="M373" s="220"/>
      <c r="N373" s="220"/>
      <c r="O373" s="220"/>
      <c r="P373" s="220"/>
      <c r="Q373" s="220"/>
      <c r="R373" s="220"/>
      <c r="S373" s="220"/>
      <c r="T373" s="220"/>
      <c r="U373" s="220"/>
      <c r="V373" s="220"/>
      <c r="W373" s="220"/>
    </row>
    <row r="374" ht="15.75" customHeight="1" outlineLevel="1">
      <c r="A374" s="211"/>
      <c r="B374" s="227"/>
      <c r="C374" s="211"/>
      <c r="D374" s="214" t="str">
        <f>IFERROR(VLOOKUP($C374,'PORTIFÓLIO'!C:V,2,0),"")</f>
        <v/>
      </c>
      <c r="E374" s="211" t="str">
        <f>IFERROR(VLOOKUP($C374,'PORTIFÓLIO'!C:V,3,0),"")</f>
        <v/>
      </c>
      <c r="F374" s="211" t="str">
        <f>IFERROR(VLOOKUP($C374,'PORTIFÓLIO'!C:V,4,0),"")</f>
        <v/>
      </c>
      <c r="G374" s="215" t="str">
        <f>IFERROR(VLOOKUP($C374,'PORTIFÓLIO'!C:V,5,0),"")</f>
        <v/>
      </c>
      <c r="H374" s="254" t="str">
        <f t="array" ref="H374">IFERROR(INDEX('PORTIFÓLIO'!$H$4:$H$433,MATCH($C374,'PORTIFÓLIO'!$C$4:$C$433,0)),"")</f>
        <v/>
      </c>
      <c r="I374" s="256"/>
      <c r="J374" s="218"/>
      <c r="K374" s="292" t="str">
        <f t="array" ref="K374">IFERROR(I374*INDEX('PORTIFÓLIO'!$S$4:$S$433,MATCH($C374,'PORTIFÓLIO'!$C$4:$C$433,0)),"")</f>
        <v/>
      </c>
      <c r="L374" s="292" t="str">
        <f t="array" ref="L374">IFERROR(J374*INDEX('PORTIFÓLIO'!$S$4:$S$433,MATCH($C374,'PORTIFÓLIO'!$C$4:$C$433,0)),"")</f>
        <v/>
      </c>
      <c r="M374" s="220"/>
      <c r="N374" s="220"/>
      <c r="O374" s="220"/>
      <c r="P374" s="220"/>
      <c r="Q374" s="220"/>
      <c r="R374" s="220"/>
      <c r="S374" s="220"/>
      <c r="T374" s="220"/>
      <c r="U374" s="220"/>
      <c r="V374" s="220"/>
      <c r="W374" s="220"/>
    </row>
    <row r="375" ht="15.75" customHeight="1">
      <c r="A375" s="229" t="s">
        <v>1192</v>
      </c>
      <c r="B375" s="230"/>
      <c r="C375" s="231"/>
      <c r="D375" s="232"/>
      <c r="E375" s="231"/>
      <c r="F375" s="231"/>
      <c r="G375" s="233"/>
      <c r="H375" s="233"/>
      <c r="I375" s="258"/>
      <c r="J375" s="236"/>
      <c r="K375" s="237">
        <f t="shared" ref="K375:L375" si="42">SUBTOTAL(9,K376:K389)</f>
        <v>0</v>
      </c>
      <c r="L375" s="237">
        <f t="shared" si="42"/>
        <v>0</v>
      </c>
      <c r="M375" s="220"/>
      <c r="N375" s="220"/>
      <c r="O375" s="220"/>
      <c r="P375" s="220"/>
      <c r="Q375" s="220"/>
      <c r="R375" s="220"/>
      <c r="S375" s="220"/>
      <c r="T375" s="220"/>
      <c r="U375" s="220"/>
      <c r="V375" s="220"/>
      <c r="W375" s="220"/>
    </row>
    <row r="376" ht="15.75" customHeight="1" outlineLevel="1">
      <c r="A376" s="213"/>
      <c r="B376" s="212"/>
      <c r="C376" s="213"/>
      <c r="D376" s="214" t="str">
        <f>IFERROR(VLOOKUP($C376,'PORTIFÓLIO'!C:V,2,0),"")</f>
        <v/>
      </c>
      <c r="E376" s="211" t="str">
        <f>IFERROR(VLOOKUP($C376,'PORTIFÓLIO'!C:V,3,0),"")</f>
        <v/>
      </c>
      <c r="F376" s="211" t="str">
        <f>IFERROR(VLOOKUP($C376,'PORTIFÓLIO'!C:V,4,0),"")</f>
        <v/>
      </c>
      <c r="G376" s="215" t="str">
        <f>IFERROR(VLOOKUP($C376,'PORTIFÓLIO'!C:V,5,0),"")</f>
        <v/>
      </c>
      <c r="H376" s="254" t="str">
        <f t="array" ref="H376">IFERROR(INDEX('PORTIFÓLIO'!$H$4:$H$433,MATCH($C376,'PORTIFÓLIO'!$C$4:$C$433,0)),"")</f>
        <v/>
      </c>
      <c r="I376" s="255"/>
      <c r="J376" s="218">
        <f t="shared" ref="J376:J390" si="43">I376*$B$2</f>
        <v>0</v>
      </c>
      <c r="K376" s="292" t="str">
        <f t="array" ref="K376">IFERROR(I376*INDEX('PORTIFÓLIO'!$S$4:$S$433,MATCH($C376,'PORTIFÓLIO'!$C$4:$C$433,0)),"")</f>
        <v/>
      </c>
      <c r="L376" s="292" t="str">
        <f t="array" ref="L376">IFERROR(J376*INDEX('PORTIFÓLIO'!$S$4:$S$433,MATCH($C376,'PORTIFÓLIO'!$C$4:$C$433,0)),"")</f>
        <v/>
      </c>
      <c r="M376" s="220"/>
      <c r="N376" s="220"/>
      <c r="O376" s="220"/>
      <c r="P376" s="220"/>
      <c r="Q376" s="220"/>
      <c r="R376" s="220"/>
      <c r="S376" s="220"/>
      <c r="T376" s="220"/>
      <c r="U376" s="220"/>
      <c r="V376" s="220"/>
      <c r="W376" s="220"/>
    </row>
    <row r="377" ht="15.75" customHeight="1" outlineLevel="1">
      <c r="A377" s="211"/>
      <c r="B377" s="212"/>
      <c r="C377" s="213"/>
      <c r="D377" s="214" t="str">
        <f>IFERROR(VLOOKUP($C377,'PORTIFÓLIO'!C:V,2,0),"")</f>
        <v/>
      </c>
      <c r="E377" s="211" t="str">
        <f>IFERROR(VLOOKUP($C377,'PORTIFÓLIO'!C:V,3,0),"")</f>
        <v/>
      </c>
      <c r="F377" s="211" t="str">
        <f>IFERROR(VLOOKUP($C377,'PORTIFÓLIO'!C:V,4,0),"")</f>
        <v/>
      </c>
      <c r="G377" s="215" t="str">
        <f>IFERROR(VLOOKUP($C377,'PORTIFÓLIO'!C:V,5,0),"")</f>
        <v/>
      </c>
      <c r="H377" s="254" t="str">
        <f t="array" ref="H377">IFERROR(INDEX('PORTIFÓLIO'!$H$4:$H$433,MATCH($C377,'PORTIFÓLIO'!$C$4:$C$433,0)),"")</f>
        <v/>
      </c>
      <c r="I377" s="256"/>
      <c r="J377" s="218">
        <f t="shared" si="43"/>
        <v>0</v>
      </c>
      <c r="K377" s="292" t="str">
        <f t="array" ref="K377">IFERROR(I377*INDEX('PORTIFÓLIO'!$S$4:$S$433,MATCH($C377,'PORTIFÓLIO'!$C$4:$C$433,0)),"")</f>
        <v/>
      </c>
      <c r="L377" s="292" t="str">
        <f t="array" ref="L377">IFERROR(J377*INDEX('PORTIFÓLIO'!$S$4:$S$433,MATCH($C377,'PORTIFÓLIO'!$C$4:$C$433,0)),"")</f>
        <v/>
      </c>
      <c r="M377" s="220"/>
      <c r="N377" s="220"/>
      <c r="O377" s="220"/>
      <c r="P377" s="220"/>
      <c r="Q377" s="220"/>
      <c r="R377" s="220"/>
      <c r="S377" s="220"/>
      <c r="T377" s="220"/>
      <c r="U377" s="220"/>
      <c r="V377" s="220"/>
      <c r="W377" s="220"/>
    </row>
    <row r="378" ht="15.75" customHeight="1" outlineLevel="1">
      <c r="A378" s="211"/>
      <c r="B378" s="212"/>
      <c r="C378" s="213"/>
      <c r="D378" s="214" t="str">
        <f>IFERROR(VLOOKUP($C378,'PORTIFÓLIO'!C:V,2,0),"")</f>
        <v/>
      </c>
      <c r="E378" s="211" t="str">
        <f>IFERROR(VLOOKUP($C378,'PORTIFÓLIO'!C:V,3,0),"")</f>
        <v/>
      </c>
      <c r="F378" s="211" t="str">
        <f>IFERROR(VLOOKUP($C378,'PORTIFÓLIO'!C:V,4,0),"")</f>
        <v/>
      </c>
      <c r="G378" s="215" t="str">
        <f>IFERROR(VLOOKUP($C378,'PORTIFÓLIO'!C:V,5,0),"")</f>
        <v/>
      </c>
      <c r="H378" s="254" t="str">
        <f t="array" ref="H378">IFERROR(INDEX('PORTIFÓLIO'!$H$4:$H$433,MATCH($C378,'PORTIFÓLIO'!$C$4:$C$433,0)),"")</f>
        <v/>
      </c>
      <c r="I378" s="256"/>
      <c r="J378" s="218">
        <f t="shared" si="43"/>
        <v>0</v>
      </c>
      <c r="K378" s="292" t="str">
        <f t="array" ref="K378">IFERROR(I378*INDEX('PORTIFÓLIO'!$S$4:$S$433,MATCH($C378,'PORTIFÓLIO'!$C$4:$C$433,0)),"")</f>
        <v/>
      </c>
      <c r="L378" s="292" t="str">
        <f t="array" ref="L378">IFERROR(J378*INDEX('PORTIFÓLIO'!$S$4:$S$433,MATCH($C378,'PORTIFÓLIO'!$C$4:$C$433,0)),"")</f>
        <v/>
      </c>
      <c r="M378" s="220"/>
      <c r="N378" s="220"/>
      <c r="O378" s="220"/>
      <c r="P378" s="220"/>
      <c r="Q378" s="220"/>
      <c r="R378" s="220"/>
      <c r="S378" s="220"/>
      <c r="T378" s="220"/>
      <c r="U378" s="220"/>
      <c r="V378" s="220"/>
      <c r="W378" s="220"/>
    </row>
    <row r="379" ht="15.75" customHeight="1" outlineLevel="1">
      <c r="A379" s="211"/>
      <c r="B379" s="212"/>
      <c r="C379" s="213"/>
      <c r="D379" s="214" t="str">
        <f>IFERROR(VLOOKUP($C379,'PORTIFÓLIO'!C:V,2,0),"")</f>
        <v/>
      </c>
      <c r="E379" s="211" t="str">
        <f>IFERROR(VLOOKUP($C379,'PORTIFÓLIO'!C:V,3,0),"")</f>
        <v/>
      </c>
      <c r="F379" s="211" t="str">
        <f>IFERROR(VLOOKUP($C379,'PORTIFÓLIO'!C:V,4,0),"")</f>
        <v/>
      </c>
      <c r="G379" s="215" t="str">
        <f>IFERROR(VLOOKUP($C379,'PORTIFÓLIO'!C:V,5,0),"")</f>
        <v/>
      </c>
      <c r="H379" s="254" t="str">
        <f t="array" ref="H379">IFERROR(INDEX('PORTIFÓLIO'!$H$4:$H$433,MATCH($C379,'PORTIFÓLIO'!$C$4:$C$433,0)),"")</f>
        <v/>
      </c>
      <c r="I379" s="256"/>
      <c r="J379" s="218">
        <f t="shared" si="43"/>
        <v>0</v>
      </c>
      <c r="K379" s="292" t="str">
        <f t="array" ref="K379">IFERROR(I379*INDEX('PORTIFÓLIO'!$S$4:$S$433,MATCH($C379,'PORTIFÓLIO'!$C$4:$C$433,0)),"")</f>
        <v/>
      </c>
      <c r="L379" s="292" t="str">
        <f t="array" ref="L379">IFERROR(J379*INDEX('PORTIFÓLIO'!$S$4:$S$433,MATCH($C379,'PORTIFÓLIO'!$C$4:$C$433,0)),"")</f>
        <v/>
      </c>
      <c r="M379" s="220"/>
      <c r="N379" s="220"/>
      <c r="O379" s="220"/>
      <c r="P379" s="220"/>
      <c r="Q379" s="220"/>
      <c r="R379" s="220"/>
      <c r="S379" s="220"/>
      <c r="T379" s="220"/>
      <c r="U379" s="220"/>
      <c r="V379" s="220"/>
      <c r="W379" s="220"/>
    </row>
    <row r="380" ht="15.75" customHeight="1" outlineLevel="1">
      <c r="A380" s="211"/>
      <c r="B380" s="212"/>
      <c r="C380" s="213"/>
      <c r="D380" s="214" t="str">
        <f>IFERROR(VLOOKUP($C380,'PORTIFÓLIO'!C:V,2,0),"")</f>
        <v/>
      </c>
      <c r="E380" s="211" t="str">
        <f>IFERROR(VLOOKUP($C380,'PORTIFÓLIO'!C:V,3,0),"")</f>
        <v/>
      </c>
      <c r="F380" s="211" t="str">
        <f>IFERROR(VLOOKUP($C380,'PORTIFÓLIO'!C:V,4,0),"")</f>
        <v/>
      </c>
      <c r="G380" s="215" t="str">
        <f>IFERROR(VLOOKUP($C380,'PORTIFÓLIO'!C:V,5,0),"")</f>
        <v/>
      </c>
      <c r="H380" s="254" t="str">
        <f t="array" ref="H380">IFERROR(INDEX('PORTIFÓLIO'!$H$4:$H$433,MATCH($C380,'PORTIFÓLIO'!$C$4:$C$433,0)),"")</f>
        <v/>
      </c>
      <c r="I380" s="256"/>
      <c r="J380" s="218">
        <f t="shared" si="43"/>
        <v>0</v>
      </c>
      <c r="K380" s="292" t="str">
        <f t="array" ref="K380">IFERROR(I380*INDEX('PORTIFÓLIO'!$S$4:$S$433,MATCH($C380,'PORTIFÓLIO'!$C$4:$C$433,0)),"")</f>
        <v/>
      </c>
      <c r="L380" s="292" t="str">
        <f t="array" ref="L380">IFERROR(J380*INDEX('PORTIFÓLIO'!$S$4:$S$433,MATCH($C380,'PORTIFÓLIO'!$C$4:$C$433,0)),"")</f>
        <v/>
      </c>
      <c r="M380" s="220"/>
      <c r="N380" s="220"/>
      <c r="O380" s="220"/>
      <c r="P380" s="220"/>
      <c r="Q380" s="220"/>
      <c r="R380" s="220"/>
      <c r="S380" s="220"/>
      <c r="T380" s="220"/>
      <c r="U380" s="220"/>
      <c r="V380" s="220"/>
      <c r="W380" s="220"/>
    </row>
    <row r="381" ht="15.75" customHeight="1" outlineLevel="1">
      <c r="A381" s="211"/>
      <c r="B381" s="212"/>
      <c r="C381" s="213"/>
      <c r="D381" s="214" t="str">
        <f>IFERROR(VLOOKUP($C381,'PORTIFÓLIO'!C:V,2,0),"")</f>
        <v/>
      </c>
      <c r="E381" s="211" t="str">
        <f>IFERROR(VLOOKUP($C381,'PORTIFÓLIO'!C:V,3,0),"")</f>
        <v/>
      </c>
      <c r="F381" s="211" t="str">
        <f>IFERROR(VLOOKUP($C381,'PORTIFÓLIO'!C:V,4,0),"")</f>
        <v/>
      </c>
      <c r="G381" s="215" t="str">
        <f>IFERROR(VLOOKUP($C381,'PORTIFÓLIO'!C:V,5,0),"")</f>
        <v/>
      </c>
      <c r="H381" s="254" t="str">
        <f t="array" ref="H381">IFERROR(INDEX('PORTIFÓLIO'!$H$4:$H$433,MATCH($C381,'PORTIFÓLIO'!$C$4:$C$433,0)),"")</f>
        <v/>
      </c>
      <c r="I381" s="256"/>
      <c r="J381" s="218">
        <f t="shared" si="43"/>
        <v>0</v>
      </c>
      <c r="K381" s="292" t="str">
        <f t="array" ref="K381">IFERROR(I381*INDEX('PORTIFÓLIO'!$S$4:$S$433,MATCH($C381,'PORTIFÓLIO'!$C$4:$C$433,0)),"")</f>
        <v/>
      </c>
      <c r="L381" s="292" t="str">
        <f t="array" ref="L381">IFERROR(J381*INDEX('PORTIFÓLIO'!$S$4:$S$433,MATCH($C381,'PORTIFÓLIO'!$C$4:$C$433,0)),"")</f>
        <v/>
      </c>
      <c r="M381" s="220"/>
      <c r="N381" s="220"/>
      <c r="O381" s="220"/>
      <c r="P381" s="220"/>
      <c r="Q381" s="220"/>
      <c r="R381" s="220"/>
      <c r="S381" s="220"/>
      <c r="T381" s="220"/>
      <c r="U381" s="220"/>
      <c r="V381" s="220"/>
      <c r="W381" s="220"/>
    </row>
    <row r="382" ht="15.75" customHeight="1" outlineLevel="1">
      <c r="A382" s="211"/>
      <c r="B382" s="212"/>
      <c r="C382" s="213"/>
      <c r="D382" s="214" t="str">
        <f>IFERROR(VLOOKUP($C382,'PORTIFÓLIO'!C:V,2,0),"")</f>
        <v/>
      </c>
      <c r="E382" s="211" t="str">
        <f>IFERROR(VLOOKUP($C382,'PORTIFÓLIO'!C:V,3,0),"")</f>
        <v/>
      </c>
      <c r="F382" s="211" t="str">
        <f>IFERROR(VLOOKUP($C382,'PORTIFÓLIO'!C:V,4,0),"")</f>
        <v/>
      </c>
      <c r="G382" s="215" t="str">
        <f>IFERROR(VLOOKUP($C382,'PORTIFÓLIO'!C:V,5,0),"")</f>
        <v/>
      </c>
      <c r="H382" s="254" t="str">
        <f t="array" ref="H382">IFERROR(INDEX('PORTIFÓLIO'!$H$4:$H$433,MATCH($C382,'PORTIFÓLIO'!$C$4:$C$433,0)),"")</f>
        <v/>
      </c>
      <c r="I382" s="256"/>
      <c r="J382" s="218">
        <f t="shared" si="43"/>
        <v>0</v>
      </c>
      <c r="K382" s="292" t="str">
        <f t="array" ref="K382">IFERROR(I382*INDEX('PORTIFÓLIO'!$S$4:$S$433,MATCH($C382,'PORTIFÓLIO'!$C$4:$C$433,0)),"")</f>
        <v/>
      </c>
      <c r="L382" s="292" t="str">
        <f t="array" ref="L382">IFERROR(J382*INDEX('PORTIFÓLIO'!$S$4:$S$433,MATCH($C382,'PORTIFÓLIO'!$C$4:$C$433,0)),"")</f>
        <v/>
      </c>
      <c r="M382" s="220"/>
      <c r="N382" s="220"/>
      <c r="O382" s="220"/>
      <c r="P382" s="220"/>
      <c r="Q382" s="220"/>
      <c r="R382" s="220"/>
      <c r="S382" s="220"/>
      <c r="T382" s="220"/>
      <c r="U382" s="220"/>
      <c r="V382" s="220"/>
      <c r="W382" s="220"/>
    </row>
    <row r="383" ht="15.75" customHeight="1" outlineLevel="1">
      <c r="A383" s="211"/>
      <c r="B383" s="212"/>
      <c r="C383" s="213"/>
      <c r="D383" s="214" t="str">
        <f>IFERROR(VLOOKUP($C383,'PORTIFÓLIO'!C:V,2,0),"")</f>
        <v/>
      </c>
      <c r="E383" s="211" t="str">
        <f>IFERROR(VLOOKUP($C383,'PORTIFÓLIO'!C:V,3,0),"")</f>
        <v/>
      </c>
      <c r="F383" s="211" t="str">
        <f>IFERROR(VLOOKUP($C383,'PORTIFÓLIO'!C:V,4,0),"")</f>
        <v/>
      </c>
      <c r="G383" s="215" t="str">
        <f>IFERROR(VLOOKUP($C383,'PORTIFÓLIO'!C:V,5,0),"")</f>
        <v/>
      </c>
      <c r="H383" s="254" t="str">
        <f t="array" ref="H383">IFERROR(INDEX('PORTIFÓLIO'!$H$4:$H$433,MATCH($C383,'PORTIFÓLIO'!$C$4:$C$433,0)),"")</f>
        <v/>
      </c>
      <c r="I383" s="256"/>
      <c r="J383" s="218">
        <f t="shared" si="43"/>
        <v>0</v>
      </c>
      <c r="K383" s="292" t="str">
        <f t="array" ref="K383">IFERROR(I383*INDEX('PORTIFÓLIO'!$S$4:$S$433,MATCH($C383,'PORTIFÓLIO'!$C$4:$C$433,0)),"")</f>
        <v/>
      </c>
      <c r="L383" s="292" t="str">
        <f t="array" ref="L383">IFERROR(J383*INDEX('PORTIFÓLIO'!$S$4:$S$433,MATCH($C383,'PORTIFÓLIO'!$C$4:$C$433,0)),"")</f>
        <v/>
      </c>
      <c r="M383" s="220"/>
      <c r="N383" s="220"/>
      <c r="O383" s="220"/>
      <c r="P383" s="220"/>
      <c r="Q383" s="220"/>
      <c r="R383" s="220"/>
      <c r="S383" s="220"/>
      <c r="T383" s="220"/>
      <c r="U383" s="220"/>
      <c r="V383" s="220"/>
      <c r="W383" s="220"/>
    </row>
    <row r="384" ht="15.75" customHeight="1" outlineLevel="1">
      <c r="A384" s="211"/>
      <c r="B384" s="212"/>
      <c r="C384" s="213"/>
      <c r="D384" s="214" t="str">
        <f>IFERROR(VLOOKUP($C384,'PORTIFÓLIO'!C:V,2,0),"")</f>
        <v/>
      </c>
      <c r="E384" s="211" t="str">
        <f>IFERROR(VLOOKUP($C384,'PORTIFÓLIO'!C:V,3,0),"")</f>
        <v/>
      </c>
      <c r="F384" s="211" t="str">
        <f>IFERROR(VLOOKUP($C384,'PORTIFÓLIO'!C:V,4,0),"")</f>
        <v/>
      </c>
      <c r="G384" s="215" t="str">
        <f>IFERROR(VLOOKUP($C384,'PORTIFÓLIO'!C:V,5,0),"")</f>
        <v/>
      </c>
      <c r="H384" s="254" t="str">
        <f t="array" ref="H384">IFERROR(INDEX('PORTIFÓLIO'!$H$4:$H$433,MATCH($C384,'PORTIFÓLIO'!$C$4:$C$433,0)),"")</f>
        <v/>
      </c>
      <c r="I384" s="255"/>
      <c r="J384" s="218">
        <f t="shared" si="43"/>
        <v>0</v>
      </c>
      <c r="K384" s="292" t="str">
        <f t="array" ref="K384">IFERROR(I384*INDEX('PORTIFÓLIO'!$S$4:$S$433,MATCH($C384,'PORTIFÓLIO'!$C$4:$C$433,0)),"")</f>
        <v/>
      </c>
      <c r="L384" s="292" t="str">
        <f t="array" ref="L384">IFERROR(J384*INDEX('PORTIFÓLIO'!$S$4:$S$433,MATCH($C384,'PORTIFÓLIO'!$C$4:$C$433,0)),"")</f>
        <v/>
      </c>
      <c r="M384" s="220"/>
      <c r="N384" s="220"/>
      <c r="O384" s="220"/>
      <c r="P384" s="220"/>
      <c r="Q384" s="220"/>
      <c r="R384" s="220"/>
      <c r="S384" s="220"/>
      <c r="T384" s="220"/>
      <c r="U384" s="220"/>
      <c r="V384" s="220"/>
      <c r="W384" s="220"/>
    </row>
    <row r="385" ht="15.75" customHeight="1" outlineLevel="1">
      <c r="A385" s="211"/>
      <c r="B385" s="212"/>
      <c r="C385" s="213"/>
      <c r="D385" s="214" t="str">
        <f>IFERROR(VLOOKUP($C385,'PORTIFÓLIO'!C:V,2,0),"")</f>
        <v/>
      </c>
      <c r="E385" s="211" t="str">
        <f>IFERROR(VLOOKUP($C385,'PORTIFÓLIO'!C:V,3,0),"")</f>
        <v/>
      </c>
      <c r="F385" s="211" t="str">
        <f>IFERROR(VLOOKUP($C385,'PORTIFÓLIO'!C:V,4,0),"")</f>
        <v/>
      </c>
      <c r="G385" s="215" t="str">
        <f>IFERROR(VLOOKUP($C385,'PORTIFÓLIO'!C:V,5,0),"")</f>
        <v/>
      </c>
      <c r="H385" s="254" t="str">
        <f t="array" ref="H385">IFERROR(INDEX('PORTIFÓLIO'!$H$4:$H$433,MATCH($C385,'PORTIFÓLIO'!$C$4:$C$433,0)),"")</f>
        <v/>
      </c>
      <c r="I385" s="256"/>
      <c r="J385" s="218">
        <f t="shared" si="43"/>
        <v>0</v>
      </c>
      <c r="K385" s="292" t="str">
        <f t="array" ref="K385">IFERROR(I385*INDEX('PORTIFÓLIO'!$S$4:$S$433,MATCH($C385,'PORTIFÓLIO'!$C$4:$C$433,0)),"")</f>
        <v/>
      </c>
      <c r="L385" s="292" t="str">
        <f t="array" ref="L385">IFERROR(J385*INDEX('PORTIFÓLIO'!$S$4:$S$433,MATCH($C385,'PORTIFÓLIO'!$C$4:$C$433,0)),"")</f>
        <v/>
      </c>
      <c r="M385" s="220"/>
      <c r="N385" s="220"/>
      <c r="O385" s="220"/>
      <c r="P385" s="220"/>
      <c r="Q385" s="220"/>
      <c r="R385" s="220"/>
      <c r="S385" s="220"/>
      <c r="T385" s="220"/>
      <c r="U385" s="220"/>
      <c r="V385" s="220"/>
      <c r="W385" s="220"/>
    </row>
    <row r="386" ht="15.75" customHeight="1" outlineLevel="1">
      <c r="A386" s="211"/>
      <c r="B386" s="212"/>
      <c r="C386" s="213"/>
      <c r="D386" s="214" t="str">
        <f>IFERROR(VLOOKUP($C386,'PORTIFÓLIO'!C:V,2,0),"")</f>
        <v/>
      </c>
      <c r="E386" s="211" t="str">
        <f>IFERROR(VLOOKUP($C386,'PORTIFÓLIO'!C:V,3,0),"")</f>
        <v/>
      </c>
      <c r="F386" s="211" t="str">
        <f>IFERROR(VLOOKUP($C386,'PORTIFÓLIO'!C:V,4,0),"")</f>
        <v/>
      </c>
      <c r="G386" s="215" t="str">
        <f>IFERROR(VLOOKUP($C386,'PORTIFÓLIO'!C:V,5,0),"")</f>
        <v/>
      </c>
      <c r="H386" s="254" t="str">
        <f t="array" ref="H386">IFERROR(INDEX('PORTIFÓLIO'!$H$4:$H$433,MATCH($C386,'PORTIFÓLIO'!$C$4:$C$433,0)),"")</f>
        <v/>
      </c>
      <c r="I386" s="256"/>
      <c r="J386" s="218">
        <f t="shared" si="43"/>
        <v>0</v>
      </c>
      <c r="K386" s="292" t="str">
        <f t="array" ref="K386">IFERROR(I386*INDEX('PORTIFÓLIO'!$S$4:$S$433,MATCH($C386,'PORTIFÓLIO'!$C$4:$C$433,0)),"")</f>
        <v/>
      </c>
      <c r="L386" s="292" t="str">
        <f t="array" ref="L386">IFERROR(J386*INDEX('PORTIFÓLIO'!$S$4:$S$433,MATCH($C386,'PORTIFÓLIO'!$C$4:$C$433,0)),"")</f>
        <v/>
      </c>
      <c r="M386" s="220"/>
      <c r="N386" s="220"/>
      <c r="O386" s="220"/>
      <c r="P386" s="220"/>
      <c r="Q386" s="220"/>
      <c r="R386" s="220"/>
      <c r="S386" s="220"/>
      <c r="T386" s="220"/>
      <c r="U386" s="220"/>
      <c r="V386" s="220"/>
      <c r="W386" s="220"/>
    </row>
    <row r="387" ht="15.75" customHeight="1" outlineLevel="1">
      <c r="A387" s="211"/>
      <c r="B387" s="212"/>
      <c r="C387" s="213"/>
      <c r="D387" s="214" t="str">
        <f>IFERROR(VLOOKUP($C387,'PORTIFÓLIO'!C:V,2,0),"")</f>
        <v/>
      </c>
      <c r="E387" s="211" t="str">
        <f>IFERROR(VLOOKUP($C387,'PORTIFÓLIO'!C:V,3,0),"")</f>
        <v/>
      </c>
      <c r="F387" s="211" t="str">
        <f>IFERROR(VLOOKUP($C387,'PORTIFÓLIO'!C:V,4,0),"")</f>
        <v/>
      </c>
      <c r="G387" s="215" t="str">
        <f>IFERROR(VLOOKUP($C387,'PORTIFÓLIO'!C:V,5,0),"")</f>
        <v/>
      </c>
      <c r="H387" s="254" t="str">
        <f t="array" ref="H387">IFERROR(INDEX('PORTIFÓLIO'!$H$4:$H$433,MATCH($C387,'PORTIFÓLIO'!$C$4:$C$433,0)),"")</f>
        <v/>
      </c>
      <c r="I387" s="256"/>
      <c r="J387" s="218">
        <f t="shared" si="43"/>
        <v>0</v>
      </c>
      <c r="K387" s="292" t="str">
        <f t="array" ref="K387">IFERROR(I387*INDEX('PORTIFÓLIO'!$S$4:$S$433,MATCH($C387,'PORTIFÓLIO'!$C$4:$C$433,0)),"")</f>
        <v/>
      </c>
      <c r="L387" s="292" t="str">
        <f t="array" ref="L387">IFERROR(J387*INDEX('PORTIFÓLIO'!$S$4:$S$433,MATCH($C387,'PORTIFÓLIO'!$C$4:$C$433,0)),"")</f>
        <v/>
      </c>
      <c r="M387" s="220"/>
      <c r="N387" s="220"/>
      <c r="O387" s="220"/>
      <c r="P387" s="220"/>
      <c r="Q387" s="220"/>
      <c r="R387" s="220"/>
      <c r="S387" s="220"/>
      <c r="T387" s="220"/>
      <c r="U387" s="220"/>
      <c r="V387" s="220"/>
      <c r="W387" s="220"/>
    </row>
    <row r="388" ht="15.75" customHeight="1" outlineLevel="1">
      <c r="A388" s="211"/>
      <c r="B388" s="212"/>
      <c r="C388" s="213"/>
      <c r="D388" s="214" t="str">
        <f>IFERROR(VLOOKUP($C388,'PORTIFÓLIO'!C:V,2,0),"")</f>
        <v/>
      </c>
      <c r="E388" s="211" t="str">
        <f>IFERROR(VLOOKUP($C388,'PORTIFÓLIO'!C:V,3,0),"")</f>
        <v/>
      </c>
      <c r="F388" s="211" t="str">
        <f>IFERROR(VLOOKUP($C388,'PORTIFÓLIO'!C:V,4,0),"")</f>
        <v/>
      </c>
      <c r="G388" s="215" t="str">
        <f>IFERROR(VLOOKUP($C388,'PORTIFÓLIO'!C:V,5,0),"")</f>
        <v/>
      </c>
      <c r="H388" s="254" t="str">
        <f t="array" ref="H388">IFERROR(INDEX('PORTIFÓLIO'!$H$4:$H$433,MATCH($C388,'PORTIFÓLIO'!$C$4:$C$433,0)),"")</f>
        <v/>
      </c>
      <c r="I388" s="256"/>
      <c r="J388" s="218">
        <f t="shared" si="43"/>
        <v>0</v>
      </c>
      <c r="K388" s="292" t="str">
        <f t="array" ref="K388">IFERROR(I388*INDEX('PORTIFÓLIO'!$S$4:$S$433,MATCH($C388,'PORTIFÓLIO'!$C$4:$C$433,0)),"")</f>
        <v/>
      </c>
      <c r="L388" s="292" t="str">
        <f t="array" ref="L388">IFERROR(J388*INDEX('PORTIFÓLIO'!$S$4:$S$433,MATCH($C388,'PORTIFÓLIO'!$C$4:$C$433,0)),"")</f>
        <v/>
      </c>
      <c r="M388" s="220"/>
      <c r="N388" s="220"/>
      <c r="O388" s="220"/>
      <c r="P388" s="220"/>
      <c r="Q388" s="220"/>
      <c r="R388" s="220"/>
      <c r="S388" s="220"/>
      <c r="T388" s="220"/>
      <c r="U388" s="220"/>
      <c r="V388" s="220"/>
      <c r="W388" s="220"/>
    </row>
    <row r="389" ht="15.75" customHeight="1" outlineLevel="1">
      <c r="A389" s="211"/>
      <c r="B389" s="212"/>
      <c r="C389" s="213"/>
      <c r="D389" s="214" t="str">
        <f>IFERROR(VLOOKUP($C389,'PORTIFÓLIO'!C:V,2,0),"")</f>
        <v/>
      </c>
      <c r="E389" s="211" t="str">
        <f>IFERROR(VLOOKUP($C389,'PORTIFÓLIO'!C:V,3,0),"")</f>
        <v/>
      </c>
      <c r="F389" s="211" t="str">
        <f>IFERROR(VLOOKUP($C389,'PORTIFÓLIO'!C:V,4,0),"")</f>
        <v/>
      </c>
      <c r="G389" s="215" t="str">
        <f>IFERROR(VLOOKUP($C389,'PORTIFÓLIO'!C:V,5,0),"")</f>
        <v/>
      </c>
      <c r="H389" s="254" t="str">
        <f t="array" ref="H389">IFERROR(INDEX('PORTIFÓLIO'!$H$4:$H$433,MATCH($C389,'PORTIFÓLIO'!$C$4:$C$433,0)),"")</f>
        <v/>
      </c>
      <c r="I389" s="256"/>
      <c r="J389" s="218">
        <f t="shared" si="43"/>
        <v>0</v>
      </c>
      <c r="K389" s="292" t="str">
        <f t="array" ref="K389">IFERROR(I389*INDEX('PORTIFÓLIO'!$S$4:$S$433,MATCH($C389,'PORTIFÓLIO'!$C$4:$C$433,0)),"")</f>
        <v/>
      </c>
      <c r="L389" s="292" t="str">
        <f t="array" ref="L389">IFERROR(J389*INDEX('PORTIFÓLIO'!$S$4:$S$433,MATCH($C389,'PORTIFÓLIO'!$C$4:$C$433,0)),"")</f>
        <v/>
      </c>
      <c r="M389" s="220"/>
      <c r="N389" s="220"/>
      <c r="O389" s="220"/>
      <c r="P389" s="220"/>
      <c r="Q389" s="220"/>
      <c r="R389" s="220"/>
      <c r="S389" s="220"/>
      <c r="T389" s="220"/>
      <c r="U389" s="220"/>
      <c r="V389" s="220"/>
      <c r="W389" s="220"/>
    </row>
    <row r="390" ht="15.75" customHeight="1" outlineLevel="1">
      <c r="A390" s="211"/>
      <c r="B390" s="212"/>
      <c r="C390" s="213"/>
      <c r="D390" s="214" t="str">
        <f>IFERROR(VLOOKUP($C390,'PORTIFÓLIO'!C:V,2,0),"")</f>
        <v/>
      </c>
      <c r="E390" s="211" t="str">
        <f>IFERROR(VLOOKUP($C390,'PORTIFÓLIO'!C:V,3,0),"")</f>
        <v/>
      </c>
      <c r="F390" s="211" t="str">
        <f>IFERROR(VLOOKUP($C390,'PORTIFÓLIO'!C:V,4,0),"")</f>
        <v/>
      </c>
      <c r="G390" s="215" t="str">
        <f>IFERROR(VLOOKUP($C390,'PORTIFÓLIO'!C:V,5,0),"")</f>
        <v/>
      </c>
      <c r="H390" s="254" t="str">
        <f t="array" ref="H390">IFERROR(INDEX('PORTIFÓLIO'!$H$4:$H$433,MATCH($C390,'PORTIFÓLIO'!$C$4:$C$433,0)),"")</f>
        <v/>
      </c>
      <c r="I390" s="256"/>
      <c r="J390" s="218">
        <f t="shared" si="43"/>
        <v>0</v>
      </c>
      <c r="K390" s="292" t="str">
        <f t="array" ref="K390">IFERROR(I390*INDEX('PORTIFÓLIO'!$S$4:$S$433,MATCH($C390,'PORTIFÓLIO'!$C$4:$C$433,0)),"")</f>
        <v/>
      </c>
      <c r="L390" s="292" t="str">
        <f t="array" ref="L390">IFERROR(J390*INDEX('PORTIFÓLIO'!$S$4:$S$433,MATCH($C390,'PORTIFÓLIO'!$C$4:$C$433,0)),"")</f>
        <v/>
      </c>
      <c r="M390" s="220"/>
      <c r="N390" s="220"/>
      <c r="O390" s="220"/>
      <c r="P390" s="220"/>
      <c r="Q390" s="220"/>
      <c r="R390" s="220"/>
      <c r="S390" s="220"/>
      <c r="T390" s="220"/>
      <c r="U390" s="220"/>
      <c r="V390" s="220"/>
      <c r="W390" s="220"/>
    </row>
    <row r="391" ht="15.75" customHeight="1" outlineLevel="1">
      <c r="A391" s="211"/>
      <c r="B391" s="227"/>
      <c r="C391" s="211"/>
      <c r="D391" s="214" t="str">
        <f>IFERROR(VLOOKUP($C391,'PORTIFÓLIO'!C:V,2,0),"")</f>
        <v/>
      </c>
      <c r="E391" s="211" t="str">
        <f>IFERROR(VLOOKUP($C391,'PORTIFÓLIO'!C:V,3,0),"")</f>
        <v/>
      </c>
      <c r="F391" s="211" t="str">
        <f>IFERROR(VLOOKUP($C391,'PORTIFÓLIO'!C:V,4,0),"")</f>
        <v/>
      </c>
      <c r="G391" s="215" t="str">
        <f>IFERROR(VLOOKUP($C391,'PORTIFÓLIO'!C:V,5,0),"")</f>
        <v/>
      </c>
      <c r="H391" s="254" t="str">
        <f t="array" ref="H391">IFERROR(INDEX('PORTIFÓLIO'!$H$4:$H$433,MATCH($C391,'PORTIFÓLIO'!$C$4:$C$433,0)),"")</f>
        <v/>
      </c>
      <c r="I391" s="256"/>
      <c r="J391" s="218"/>
      <c r="K391" s="292" t="str">
        <f t="array" ref="K391">IFERROR(I391*INDEX('PORTIFÓLIO'!$S$4:$S$433,MATCH($C391,'PORTIFÓLIO'!$C$4:$C$433,0)),"")</f>
        <v/>
      </c>
      <c r="L391" s="292" t="str">
        <f t="array" ref="L391">IFERROR(J391*INDEX('PORTIFÓLIO'!$S$4:$S$433,MATCH($C391,'PORTIFÓLIO'!$C$4:$C$433,0)),"")</f>
        <v/>
      </c>
      <c r="M391" s="220"/>
      <c r="N391" s="220"/>
      <c r="O391" s="220"/>
      <c r="P391" s="220"/>
      <c r="Q391" s="220"/>
      <c r="R391" s="220"/>
      <c r="S391" s="220"/>
      <c r="T391" s="220"/>
      <c r="U391" s="220"/>
      <c r="V391" s="220"/>
      <c r="W391" s="220"/>
    </row>
    <row r="392" ht="15.75" customHeight="1">
      <c r="A392" s="229" t="s">
        <v>1193</v>
      </c>
      <c r="B392" s="230"/>
      <c r="C392" s="231"/>
      <c r="D392" s="232"/>
      <c r="E392" s="231"/>
      <c r="F392" s="231"/>
      <c r="G392" s="233"/>
      <c r="H392" s="233"/>
      <c r="I392" s="258"/>
      <c r="J392" s="236"/>
      <c r="K392" s="237">
        <f t="shared" ref="K392:L392" si="44">SUBTOTAL(9,K393:K406)</f>
        <v>0</v>
      </c>
      <c r="L392" s="237">
        <f t="shared" si="44"/>
        <v>0</v>
      </c>
      <c r="M392" s="220"/>
      <c r="N392" s="220"/>
      <c r="O392" s="220"/>
      <c r="P392" s="220"/>
      <c r="Q392" s="220"/>
      <c r="R392" s="220"/>
      <c r="S392" s="220"/>
      <c r="T392" s="220"/>
      <c r="U392" s="220"/>
      <c r="V392" s="220"/>
      <c r="W392" s="220"/>
    </row>
    <row r="393" ht="15.75" customHeight="1" outlineLevel="1">
      <c r="A393" s="213"/>
      <c r="B393" s="212"/>
      <c r="C393" s="213"/>
      <c r="D393" s="214" t="str">
        <f>IFERROR(VLOOKUP($C393,'PORTIFÓLIO'!C:V,2,0),"")</f>
        <v/>
      </c>
      <c r="E393" s="211" t="str">
        <f>IFERROR(VLOOKUP($C393,'PORTIFÓLIO'!C:V,3,0),"")</f>
        <v/>
      </c>
      <c r="F393" s="211" t="str">
        <f>IFERROR(VLOOKUP($C393,'PORTIFÓLIO'!C:V,4,0),"")</f>
        <v/>
      </c>
      <c r="G393" s="215" t="str">
        <f>IFERROR(VLOOKUP($C393,'PORTIFÓLIO'!C:V,5,0),"")</f>
        <v/>
      </c>
      <c r="H393" s="254" t="str">
        <f t="array" ref="H393">IFERROR(INDEX('PORTIFÓLIO'!$H$4:$H$433,MATCH($C393,'PORTIFÓLIO'!$C$4:$C$433,0)),"")</f>
        <v/>
      </c>
      <c r="I393" s="255"/>
      <c r="J393" s="218">
        <f t="shared" ref="J393:J408" si="45">I393*$B$2</f>
        <v>0</v>
      </c>
      <c r="K393" s="292" t="str">
        <f t="array" ref="K393">IFERROR(I393*INDEX('PORTIFÓLIO'!$S$4:$S$433,MATCH($C393,'PORTIFÓLIO'!$C$4:$C$433,0)),"")</f>
        <v/>
      </c>
      <c r="L393" s="292" t="str">
        <f t="array" ref="L393">IFERROR(J393*INDEX('PORTIFÓLIO'!$S$4:$S$433,MATCH($C393,'PORTIFÓLIO'!$C$4:$C$433,0)),"")</f>
        <v/>
      </c>
      <c r="M393" s="220"/>
      <c r="N393" s="220"/>
      <c r="O393" s="220"/>
      <c r="P393" s="220"/>
      <c r="Q393" s="220"/>
      <c r="R393" s="220"/>
      <c r="S393" s="220"/>
      <c r="T393" s="220"/>
      <c r="U393" s="220"/>
      <c r="V393" s="220"/>
      <c r="W393" s="220"/>
    </row>
    <row r="394" ht="15.75" customHeight="1" outlineLevel="1">
      <c r="A394" s="211"/>
      <c r="B394" s="212"/>
      <c r="C394" s="213"/>
      <c r="D394" s="214" t="str">
        <f>IFERROR(VLOOKUP($C394,'PORTIFÓLIO'!C:V,2,0),"")</f>
        <v/>
      </c>
      <c r="E394" s="211" t="str">
        <f>IFERROR(VLOOKUP($C394,'PORTIFÓLIO'!C:V,3,0),"")</f>
        <v/>
      </c>
      <c r="F394" s="211" t="str">
        <f>IFERROR(VLOOKUP($C394,'PORTIFÓLIO'!C:V,4,0),"")</f>
        <v/>
      </c>
      <c r="G394" s="215" t="str">
        <f>IFERROR(VLOOKUP($C394,'PORTIFÓLIO'!C:V,5,0),"")</f>
        <v/>
      </c>
      <c r="H394" s="254" t="str">
        <f t="array" ref="H394">IFERROR(INDEX('PORTIFÓLIO'!$H$4:$H$433,MATCH($C394,'PORTIFÓLIO'!$C$4:$C$433,0)),"")</f>
        <v/>
      </c>
      <c r="I394" s="256"/>
      <c r="J394" s="218">
        <f t="shared" si="45"/>
        <v>0</v>
      </c>
      <c r="K394" s="292" t="str">
        <f t="array" ref="K394">IFERROR(I394*INDEX('PORTIFÓLIO'!$S$4:$S$433,MATCH($C394,'PORTIFÓLIO'!$C$4:$C$433,0)),"")</f>
        <v/>
      </c>
      <c r="L394" s="292" t="str">
        <f t="array" ref="L394">IFERROR(J394*INDEX('PORTIFÓLIO'!$S$4:$S$433,MATCH($C394,'PORTIFÓLIO'!$C$4:$C$433,0)),"")</f>
        <v/>
      </c>
      <c r="M394" s="220"/>
      <c r="N394" s="220"/>
      <c r="O394" s="220"/>
      <c r="P394" s="220"/>
      <c r="Q394" s="220"/>
      <c r="R394" s="220"/>
      <c r="S394" s="220"/>
      <c r="T394" s="220"/>
      <c r="U394" s="220"/>
      <c r="V394" s="220"/>
      <c r="W394" s="220"/>
    </row>
    <row r="395" ht="15.75" customHeight="1" outlineLevel="1">
      <c r="A395" s="211"/>
      <c r="B395" s="212"/>
      <c r="C395" s="213"/>
      <c r="D395" s="214" t="str">
        <f>IFERROR(VLOOKUP($C395,'PORTIFÓLIO'!C:V,2,0),"")</f>
        <v/>
      </c>
      <c r="E395" s="211" t="str">
        <f>IFERROR(VLOOKUP($C395,'PORTIFÓLIO'!C:V,3,0),"")</f>
        <v/>
      </c>
      <c r="F395" s="211" t="str">
        <f>IFERROR(VLOOKUP($C395,'PORTIFÓLIO'!C:V,4,0),"")</f>
        <v/>
      </c>
      <c r="G395" s="215" t="str">
        <f>IFERROR(VLOOKUP($C395,'PORTIFÓLIO'!C:V,5,0),"")</f>
        <v/>
      </c>
      <c r="H395" s="254" t="str">
        <f t="array" ref="H395">IFERROR(INDEX('PORTIFÓLIO'!$H$4:$H$433,MATCH($C395,'PORTIFÓLIO'!$C$4:$C$433,0)),"")</f>
        <v/>
      </c>
      <c r="I395" s="256"/>
      <c r="J395" s="218">
        <f t="shared" si="45"/>
        <v>0</v>
      </c>
      <c r="K395" s="292" t="str">
        <f t="array" ref="K395">IFERROR(I395*INDEX('PORTIFÓLIO'!$S$4:$S$433,MATCH($C395,'PORTIFÓLIO'!$C$4:$C$433,0)),"")</f>
        <v/>
      </c>
      <c r="L395" s="292" t="str">
        <f t="array" ref="L395">IFERROR(J395*INDEX('PORTIFÓLIO'!$S$4:$S$433,MATCH($C395,'PORTIFÓLIO'!$C$4:$C$433,0)),"")</f>
        <v/>
      </c>
      <c r="M395" s="220"/>
      <c r="N395" s="220"/>
      <c r="O395" s="220"/>
      <c r="P395" s="220"/>
      <c r="Q395" s="220"/>
      <c r="R395" s="220"/>
      <c r="S395" s="220"/>
      <c r="T395" s="220"/>
      <c r="U395" s="220"/>
      <c r="V395" s="220"/>
      <c r="W395" s="220"/>
    </row>
    <row r="396" ht="15.75" customHeight="1" outlineLevel="1">
      <c r="A396" s="211"/>
      <c r="B396" s="212"/>
      <c r="C396" s="213"/>
      <c r="D396" s="214" t="str">
        <f>IFERROR(VLOOKUP($C396,'PORTIFÓLIO'!C:V,2,0),"")</f>
        <v/>
      </c>
      <c r="E396" s="211" t="str">
        <f>IFERROR(VLOOKUP($C396,'PORTIFÓLIO'!C:V,3,0),"")</f>
        <v/>
      </c>
      <c r="F396" s="211" t="str">
        <f>IFERROR(VLOOKUP($C396,'PORTIFÓLIO'!C:V,4,0),"")</f>
        <v/>
      </c>
      <c r="G396" s="215" t="str">
        <f>IFERROR(VLOOKUP($C396,'PORTIFÓLIO'!C:V,5,0),"")</f>
        <v/>
      </c>
      <c r="H396" s="254" t="str">
        <f t="array" ref="H396">IFERROR(INDEX('PORTIFÓLIO'!$H$4:$H$433,MATCH($C396,'PORTIFÓLIO'!$C$4:$C$433,0)),"")</f>
        <v/>
      </c>
      <c r="I396" s="256"/>
      <c r="J396" s="218">
        <f t="shared" si="45"/>
        <v>0</v>
      </c>
      <c r="K396" s="292" t="str">
        <f t="array" ref="K396">IFERROR(I396*INDEX('PORTIFÓLIO'!$S$4:$S$433,MATCH($C396,'PORTIFÓLIO'!$C$4:$C$433,0)),"")</f>
        <v/>
      </c>
      <c r="L396" s="292" t="str">
        <f t="array" ref="L396">IFERROR(J396*INDEX('PORTIFÓLIO'!$S$4:$S$433,MATCH($C396,'PORTIFÓLIO'!$C$4:$C$433,0)),"")</f>
        <v/>
      </c>
      <c r="M396" s="220"/>
      <c r="N396" s="220"/>
      <c r="O396" s="220"/>
      <c r="P396" s="220"/>
      <c r="Q396" s="220"/>
      <c r="R396" s="220"/>
      <c r="S396" s="220"/>
      <c r="T396" s="220"/>
      <c r="U396" s="220"/>
      <c r="V396" s="220"/>
      <c r="W396" s="220"/>
    </row>
    <row r="397" ht="15.75" customHeight="1" outlineLevel="1">
      <c r="A397" s="211"/>
      <c r="B397" s="212"/>
      <c r="C397" s="213"/>
      <c r="D397" s="214" t="str">
        <f>IFERROR(VLOOKUP($C397,'PORTIFÓLIO'!C:V,2,0),"")</f>
        <v/>
      </c>
      <c r="E397" s="211" t="str">
        <f>IFERROR(VLOOKUP($C397,'PORTIFÓLIO'!C:V,3,0),"")</f>
        <v/>
      </c>
      <c r="F397" s="211" t="str">
        <f>IFERROR(VLOOKUP($C397,'PORTIFÓLIO'!C:V,4,0),"")</f>
        <v/>
      </c>
      <c r="G397" s="215" t="str">
        <f>IFERROR(VLOOKUP($C397,'PORTIFÓLIO'!C:V,5,0),"")</f>
        <v/>
      </c>
      <c r="H397" s="254" t="str">
        <f t="array" ref="H397">IFERROR(INDEX('PORTIFÓLIO'!$H$4:$H$433,MATCH($C397,'PORTIFÓLIO'!$C$4:$C$433,0)),"")</f>
        <v/>
      </c>
      <c r="I397" s="256"/>
      <c r="J397" s="218">
        <f t="shared" si="45"/>
        <v>0</v>
      </c>
      <c r="K397" s="292" t="str">
        <f t="array" ref="K397">IFERROR(I397*INDEX('PORTIFÓLIO'!$S$4:$S$433,MATCH($C397,'PORTIFÓLIO'!$C$4:$C$433,0)),"")</f>
        <v/>
      </c>
      <c r="L397" s="292" t="str">
        <f t="array" ref="L397">IFERROR(J397*INDEX('PORTIFÓLIO'!$S$4:$S$433,MATCH($C397,'PORTIFÓLIO'!$C$4:$C$433,0)),"")</f>
        <v/>
      </c>
      <c r="M397" s="220"/>
      <c r="N397" s="220"/>
      <c r="O397" s="220"/>
      <c r="P397" s="220"/>
      <c r="Q397" s="220"/>
      <c r="R397" s="220"/>
      <c r="S397" s="220"/>
      <c r="T397" s="220"/>
      <c r="U397" s="220"/>
      <c r="V397" s="220"/>
      <c r="W397" s="220"/>
    </row>
    <row r="398" ht="15.75" customHeight="1" outlineLevel="1">
      <c r="A398" s="211"/>
      <c r="B398" s="212"/>
      <c r="C398" s="213"/>
      <c r="D398" s="214" t="str">
        <f>IFERROR(VLOOKUP($C398,'PORTIFÓLIO'!C:V,2,0),"")</f>
        <v/>
      </c>
      <c r="E398" s="211" t="str">
        <f>IFERROR(VLOOKUP($C398,'PORTIFÓLIO'!C:V,3,0),"")</f>
        <v/>
      </c>
      <c r="F398" s="211" t="str">
        <f>IFERROR(VLOOKUP($C398,'PORTIFÓLIO'!C:V,4,0),"")</f>
        <v/>
      </c>
      <c r="G398" s="215" t="str">
        <f>IFERROR(VLOOKUP($C398,'PORTIFÓLIO'!C:V,5,0),"")</f>
        <v/>
      </c>
      <c r="H398" s="254" t="str">
        <f t="array" ref="H398">IFERROR(INDEX('PORTIFÓLIO'!$H$4:$H$433,MATCH($C398,'PORTIFÓLIO'!$C$4:$C$433,0)),"")</f>
        <v/>
      </c>
      <c r="I398" s="256"/>
      <c r="J398" s="218">
        <f t="shared" si="45"/>
        <v>0</v>
      </c>
      <c r="K398" s="292" t="str">
        <f t="array" ref="K398">IFERROR(I398*INDEX('PORTIFÓLIO'!$S$4:$S$433,MATCH($C398,'PORTIFÓLIO'!$C$4:$C$433,0)),"")</f>
        <v/>
      </c>
      <c r="L398" s="292" t="str">
        <f t="array" ref="L398">IFERROR(J398*INDEX('PORTIFÓLIO'!$S$4:$S$433,MATCH($C398,'PORTIFÓLIO'!$C$4:$C$433,0)),"")</f>
        <v/>
      </c>
      <c r="M398" s="220"/>
      <c r="N398" s="220"/>
      <c r="O398" s="220"/>
      <c r="P398" s="220"/>
      <c r="Q398" s="220"/>
      <c r="R398" s="220"/>
      <c r="S398" s="220"/>
      <c r="T398" s="220"/>
      <c r="U398" s="220"/>
      <c r="V398" s="220"/>
      <c r="W398" s="220"/>
    </row>
    <row r="399" ht="15.75" customHeight="1" outlineLevel="1">
      <c r="A399" s="211"/>
      <c r="B399" s="212"/>
      <c r="C399" s="213"/>
      <c r="D399" s="214" t="str">
        <f>IFERROR(VLOOKUP($C399,'PORTIFÓLIO'!C:V,2,0),"")</f>
        <v/>
      </c>
      <c r="E399" s="211" t="str">
        <f>IFERROR(VLOOKUP($C399,'PORTIFÓLIO'!C:V,3,0),"")</f>
        <v/>
      </c>
      <c r="F399" s="211" t="str">
        <f>IFERROR(VLOOKUP($C399,'PORTIFÓLIO'!C:V,4,0),"")</f>
        <v/>
      </c>
      <c r="G399" s="215" t="str">
        <f>IFERROR(VLOOKUP($C399,'PORTIFÓLIO'!C:V,5,0),"")</f>
        <v/>
      </c>
      <c r="H399" s="254" t="str">
        <f t="array" ref="H399">IFERROR(INDEX('PORTIFÓLIO'!$H$4:$H$433,MATCH($C399,'PORTIFÓLIO'!$C$4:$C$433,0)),"")</f>
        <v/>
      </c>
      <c r="I399" s="256"/>
      <c r="J399" s="218">
        <f t="shared" si="45"/>
        <v>0</v>
      </c>
      <c r="K399" s="292" t="str">
        <f t="array" ref="K399">IFERROR(I399*INDEX('PORTIFÓLIO'!$S$4:$S$433,MATCH($C399,'PORTIFÓLIO'!$C$4:$C$433,0)),"")</f>
        <v/>
      </c>
      <c r="L399" s="292" t="str">
        <f t="array" ref="L399">IFERROR(J399*INDEX('PORTIFÓLIO'!$S$4:$S$433,MATCH($C399,'PORTIFÓLIO'!$C$4:$C$433,0)),"")</f>
        <v/>
      </c>
      <c r="M399" s="220"/>
      <c r="N399" s="220"/>
      <c r="O399" s="220"/>
      <c r="P399" s="220"/>
      <c r="Q399" s="220"/>
      <c r="R399" s="220"/>
      <c r="S399" s="220"/>
      <c r="T399" s="220"/>
      <c r="U399" s="220"/>
      <c r="V399" s="220"/>
      <c r="W399" s="220"/>
    </row>
    <row r="400" ht="15.75" customHeight="1" outlineLevel="1">
      <c r="A400" s="211"/>
      <c r="B400" s="212"/>
      <c r="C400" s="213"/>
      <c r="D400" s="214" t="str">
        <f>IFERROR(VLOOKUP($C400,'PORTIFÓLIO'!C:V,2,0),"")</f>
        <v/>
      </c>
      <c r="E400" s="211" t="str">
        <f>IFERROR(VLOOKUP($C400,'PORTIFÓLIO'!C:V,3,0),"")</f>
        <v/>
      </c>
      <c r="F400" s="211" t="str">
        <f>IFERROR(VLOOKUP($C400,'PORTIFÓLIO'!C:V,4,0),"")</f>
        <v/>
      </c>
      <c r="G400" s="215" t="str">
        <f>IFERROR(VLOOKUP($C400,'PORTIFÓLIO'!C:V,5,0),"")</f>
        <v/>
      </c>
      <c r="H400" s="254" t="str">
        <f t="array" ref="H400">IFERROR(INDEX('PORTIFÓLIO'!$H$4:$H$433,MATCH($C400,'PORTIFÓLIO'!$C$4:$C$433,0)),"")</f>
        <v/>
      </c>
      <c r="I400" s="256"/>
      <c r="J400" s="218">
        <f t="shared" si="45"/>
        <v>0</v>
      </c>
      <c r="K400" s="292" t="str">
        <f t="array" ref="K400">IFERROR(I400*INDEX('PORTIFÓLIO'!$S$4:$S$433,MATCH($C400,'PORTIFÓLIO'!$C$4:$C$433,0)),"")</f>
        <v/>
      </c>
      <c r="L400" s="292" t="str">
        <f t="array" ref="L400">IFERROR(J400*INDEX('PORTIFÓLIO'!$S$4:$S$433,MATCH($C400,'PORTIFÓLIO'!$C$4:$C$433,0)),"")</f>
        <v/>
      </c>
      <c r="M400" s="220"/>
      <c r="N400" s="220"/>
      <c r="O400" s="220"/>
      <c r="P400" s="220"/>
      <c r="Q400" s="220"/>
      <c r="R400" s="220"/>
      <c r="S400" s="220"/>
      <c r="T400" s="220"/>
      <c r="U400" s="220"/>
      <c r="V400" s="220"/>
      <c r="W400" s="220"/>
    </row>
    <row r="401" ht="15.75" customHeight="1" outlineLevel="1">
      <c r="A401" s="211"/>
      <c r="B401" s="212"/>
      <c r="C401" s="213"/>
      <c r="D401" s="214" t="str">
        <f>IFERROR(VLOOKUP($C401,'PORTIFÓLIO'!C:V,2,0),"")</f>
        <v/>
      </c>
      <c r="E401" s="211" t="str">
        <f>IFERROR(VLOOKUP($C401,'PORTIFÓLIO'!C:V,3,0),"")</f>
        <v/>
      </c>
      <c r="F401" s="211" t="str">
        <f>IFERROR(VLOOKUP($C401,'PORTIFÓLIO'!C:V,4,0),"")</f>
        <v/>
      </c>
      <c r="G401" s="215" t="str">
        <f>IFERROR(VLOOKUP($C401,'PORTIFÓLIO'!C:V,5,0),"")</f>
        <v/>
      </c>
      <c r="H401" s="254" t="str">
        <f t="array" ref="H401">IFERROR(INDEX('PORTIFÓLIO'!$H$4:$H$433,MATCH($C401,'PORTIFÓLIO'!$C$4:$C$433,0)),"")</f>
        <v/>
      </c>
      <c r="I401" s="255"/>
      <c r="J401" s="218">
        <f t="shared" si="45"/>
        <v>0</v>
      </c>
      <c r="K401" s="292" t="str">
        <f t="array" ref="K401">IFERROR(I401*INDEX('PORTIFÓLIO'!$S$4:$S$433,MATCH($C401,'PORTIFÓLIO'!$C$4:$C$433,0)),"")</f>
        <v/>
      </c>
      <c r="L401" s="292" t="str">
        <f t="array" ref="L401">IFERROR(J401*INDEX('PORTIFÓLIO'!$S$4:$S$433,MATCH($C401,'PORTIFÓLIO'!$C$4:$C$433,0)),"")</f>
        <v/>
      </c>
      <c r="M401" s="220"/>
      <c r="N401" s="220"/>
      <c r="O401" s="220"/>
      <c r="P401" s="220"/>
      <c r="Q401" s="220"/>
      <c r="R401" s="220"/>
      <c r="S401" s="220"/>
      <c r="T401" s="220"/>
      <c r="U401" s="220"/>
      <c r="V401" s="220"/>
      <c r="W401" s="220"/>
    </row>
    <row r="402" ht="15.75" customHeight="1" outlineLevel="1">
      <c r="A402" s="211"/>
      <c r="B402" s="212"/>
      <c r="C402" s="213"/>
      <c r="D402" s="214" t="str">
        <f>IFERROR(VLOOKUP($C402,'PORTIFÓLIO'!C:V,2,0),"")</f>
        <v/>
      </c>
      <c r="E402" s="211" t="str">
        <f>IFERROR(VLOOKUP($C402,'PORTIFÓLIO'!C:V,3,0),"")</f>
        <v/>
      </c>
      <c r="F402" s="211" t="str">
        <f>IFERROR(VLOOKUP($C402,'PORTIFÓLIO'!C:V,4,0),"")</f>
        <v/>
      </c>
      <c r="G402" s="215" t="str">
        <f>IFERROR(VLOOKUP($C402,'PORTIFÓLIO'!C:V,5,0),"")</f>
        <v/>
      </c>
      <c r="H402" s="254" t="str">
        <f t="array" ref="H402">IFERROR(INDEX('PORTIFÓLIO'!$H$4:$H$433,MATCH($C402,'PORTIFÓLIO'!$C$4:$C$433,0)),"")</f>
        <v/>
      </c>
      <c r="I402" s="256"/>
      <c r="J402" s="218">
        <f t="shared" si="45"/>
        <v>0</v>
      </c>
      <c r="K402" s="292" t="str">
        <f t="array" ref="K402">IFERROR(I402*INDEX('PORTIFÓLIO'!$S$4:$S$433,MATCH($C402,'PORTIFÓLIO'!$C$4:$C$433,0)),"")</f>
        <v/>
      </c>
      <c r="L402" s="292" t="str">
        <f t="array" ref="L402">IFERROR(J402*INDEX('PORTIFÓLIO'!$S$4:$S$433,MATCH($C402,'PORTIFÓLIO'!$C$4:$C$433,0)),"")</f>
        <v/>
      </c>
      <c r="M402" s="220"/>
      <c r="N402" s="220"/>
      <c r="O402" s="220"/>
      <c r="P402" s="220"/>
      <c r="Q402" s="220"/>
      <c r="R402" s="220"/>
      <c r="S402" s="220"/>
      <c r="T402" s="220"/>
      <c r="U402" s="220"/>
      <c r="V402" s="220"/>
      <c r="W402" s="220"/>
    </row>
    <row r="403" ht="15.75" customHeight="1" outlineLevel="1">
      <c r="A403" s="211"/>
      <c r="B403" s="212"/>
      <c r="C403" s="213"/>
      <c r="D403" s="214" t="str">
        <f>IFERROR(VLOOKUP($C403,'PORTIFÓLIO'!C:V,2,0),"")</f>
        <v/>
      </c>
      <c r="E403" s="211" t="str">
        <f>IFERROR(VLOOKUP($C403,'PORTIFÓLIO'!C:V,3,0),"")</f>
        <v/>
      </c>
      <c r="F403" s="211" t="str">
        <f>IFERROR(VLOOKUP($C403,'PORTIFÓLIO'!C:V,4,0),"")</f>
        <v/>
      </c>
      <c r="G403" s="215" t="str">
        <f>IFERROR(VLOOKUP($C403,'PORTIFÓLIO'!C:V,5,0),"")</f>
        <v/>
      </c>
      <c r="H403" s="254" t="str">
        <f t="array" ref="H403">IFERROR(INDEX('PORTIFÓLIO'!$H$4:$H$433,MATCH($C403,'PORTIFÓLIO'!$C$4:$C$433,0)),"")</f>
        <v/>
      </c>
      <c r="I403" s="256"/>
      <c r="J403" s="218">
        <f t="shared" si="45"/>
        <v>0</v>
      </c>
      <c r="K403" s="292" t="str">
        <f t="array" ref="K403">IFERROR(I403*INDEX('PORTIFÓLIO'!$S$4:$S$433,MATCH($C403,'PORTIFÓLIO'!$C$4:$C$433,0)),"")</f>
        <v/>
      </c>
      <c r="L403" s="292" t="str">
        <f t="array" ref="L403">IFERROR(J403*INDEX('PORTIFÓLIO'!$S$4:$S$433,MATCH($C403,'PORTIFÓLIO'!$C$4:$C$433,0)),"")</f>
        <v/>
      </c>
      <c r="M403" s="220"/>
      <c r="N403" s="220"/>
      <c r="O403" s="220"/>
      <c r="P403" s="220"/>
      <c r="Q403" s="220"/>
      <c r="R403" s="220"/>
      <c r="S403" s="220"/>
      <c r="T403" s="220"/>
      <c r="U403" s="220"/>
      <c r="V403" s="220"/>
      <c r="W403" s="220"/>
    </row>
    <row r="404" ht="15.75" customHeight="1" outlineLevel="1">
      <c r="A404" s="211"/>
      <c r="B404" s="212"/>
      <c r="C404" s="213"/>
      <c r="D404" s="214" t="str">
        <f>IFERROR(VLOOKUP($C404,'PORTIFÓLIO'!C:V,2,0),"")</f>
        <v/>
      </c>
      <c r="E404" s="211" t="str">
        <f>IFERROR(VLOOKUP($C404,'PORTIFÓLIO'!C:V,3,0),"")</f>
        <v/>
      </c>
      <c r="F404" s="211" t="str">
        <f>IFERROR(VLOOKUP($C404,'PORTIFÓLIO'!C:V,4,0),"")</f>
        <v/>
      </c>
      <c r="G404" s="215" t="str">
        <f>IFERROR(VLOOKUP($C404,'PORTIFÓLIO'!C:V,5,0),"")</f>
        <v/>
      </c>
      <c r="H404" s="254" t="str">
        <f t="array" ref="H404">IFERROR(INDEX('PORTIFÓLIO'!$H$4:$H$433,MATCH($C404,'PORTIFÓLIO'!$C$4:$C$433,0)),"")</f>
        <v/>
      </c>
      <c r="I404" s="256"/>
      <c r="J404" s="218">
        <f t="shared" si="45"/>
        <v>0</v>
      </c>
      <c r="K404" s="292" t="str">
        <f t="array" ref="K404">IFERROR(I404*INDEX('PORTIFÓLIO'!$S$4:$S$433,MATCH($C404,'PORTIFÓLIO'!$C$4:$C$433,0)),"")</f>
        <v/>
      </c>
      <c r="L404" s="292" t="str">
        <f t="array" ref="L404">IFERROR(J404*INDEX('PORTIFÓLIO'!$S$4:$S$433,MATCH($C404,'PORTIFÓLIO'!$C$4:$C$433,0)),"")</f>
        <v/>
      </c>
      <c r="M404" s="220"/>
      <c r="N404" s="220"/>
      <c r="O404" s="220"/>
      <c r="P404" s="220"/>
      <c r="Q404" s="220"/>
      <c r="R404" s="220"/>
      <c r="S404" s="220"/>
      <c r="T404" s="220"/>
      <c r="U404" s="220"/>
      <c r="V404" s="220"/>
      <c r="W404" s="220"/>
    </row>
    <row r="405" ht="15.75" customHeight="1" outlineLevel="1">
      <c r="A405" s="211"/>
      <c r="B405" s="212"/>
      <c r="C405" s="213"/>
      <c r="D405" s="214" t="str">
        <f>IFERROR(VLOOKUP($C405,'PORTIFÓLIO'!C:V,2,0),"")</f>
        <v/>
      </c>
      <c r="E405" s="211" t="str">
        <f>IFERROR(VLOOKUP($C405,'PORTIFÓLIO'!C:V,3,0),"")</f>
        <v/>
      </c>
      <c r="F405" s="211" t="str">
        <f>IFERROR(VLOOKUP($C405,'PORTIFÓLIO'!C:V,4,0),"")</f>
        <v/>
      </c>
      <c r="G405" s="215" t="str">
        <f>IFERROR(VLOOKUP($C405,'PORTIFÓLIO'!C:V,5,0),"")</f>
        <v/>
      </c>
      <c r="H405" s="254" t="str">
        <f t="array" ref="H405">IFERROR(INDEX('PORTIFÓLIO'!$H$4:$H$433,MATCH($C405,'PORTIFÓLIO'!$C$4:$C$433,0)),"")</f>
        <v/>
      </c>
      <c r="I405" s="256"/>
      <c r="J405" s="218">
        <f t="shared" si="45"/>
        <v>0</v>
      </c>
      <c r="K405" s="292" t="str">
        <f t="array" ref="K405">IFERROR(I405*INDEX('PORTIFÓLIO'!$S$4:$S$433,MATCH($C405,'PORTIFÓLIO'!$C$4:$C$433,0)),"")</f>
        <v/>
      </c>
      <c r="L405" s="292" t="str">
        <f t="array" ref="L405">IFERROR(J405*INDEX('PORTIFÓLIO'!$S$4:$S$433,MATCH($C405,'PORTIFÓLIO'!$C$4:$C$433,0)),"")</f>
        <v/>
      </c>
      <c r="M405" s="220"/>
      <c r="N405" s="220"/>
      <c r="O405" s="220"/>
      <c r="P405" s="220"/>
      <c r="Q405" s="220"/>
      <c r="R405" s="220"/>
      <c r="S405" s="220"/>
      <c r="T405" s="220"/>
      <c r="U405" s="220"/>
      <c r="V405" s="220"/>
      <c r="W405" s="220"/>
    </row>
    <row r="406" ht="15.75" customHeight="1" outlineLevel="1">
      <c r="A406" s="211"/>
      <c r="B406" s="212"/>
      <c r="C406" s="213"/>
      <c r="D406" s="214" t="str">
        <f>IFERROR(VLOOKUP($C406,'PORTIFÓLIO'!C:V,2,0),"")</f>
        <v/>
      </c>
      <c r="E406" s="211" t="str">
        <f>IFERROR(VLOOKUP($C406,'PORTIFÓLIO'!C:V,3,0),"")</f>
        <v/>
      </c>
      <c r="F406" s="211" t="str">
        <f>IFERROR(VLOOKUP($C406,'PORTIFÓLIO'!C:V,4,0),"")</f>
        <v/>
      </c>
      <c r="G406" s="215" t="str">
        <f>IFERROR(VLOOKUP($C406,'PORTIFÓLIO'!C:V,5,0),"")</f>
        <v/>
      </c>
      <c r="H406" s="254" t="str">
        <f t="array" ref="H406">IFERROR(INDEX('PORTIFÓLIO'!$H$4:$H$433,MATCH($C406,'PORTIFÓLIO'!$C$4:$C$433,0)),"")</f>
        <v/>
      </c>
      <c r="I406" s="256"/>
      <c r="J406" s="218">
        <f t="shared" si="45"/>
        <v>0</v>
      </c>
      <c r="K406" s="292" t="str">
        <f t="array" ref="K406">IFERROR(I406*INDEX('PORTIFÓLIO'!$S$4:$S$433,MATCH($C406,'PORTIFÓLIO'!$C$4:$C$433,0)),"")</f>
        <v/>
      </c>
      <c r="L406" s="292" t="str">
        <f t="array" ref="L406">IFERROR(J406*INDEX('PORTIFÓLIO'!$S$4:$S$433,MATCH($C406,'PORTIFÓLIO'!$C$4:$C$433,0)),"")</f>
        <v/>
      </c>
      <c r="M406" s="220"/>
      <c r="N406" s="220"/>
      <c r="O406" s="220"/>
      <c r="P406" s="220"/>
      <c r="Q406" s="220"/>
      <c r="R406" s="220"/>
      <c r="S406" s="220"/>
      <c r="T406" s="220"/>
      <c r="U406" s="220"/>
      <c r="V406" s="220"/>
      <c r="W406" s="220"/>
    </row>
    <row r="407" ht="15.75" customHeight="1" outlineLevel="1">
      <c r="A407" s="211"/>
      <c r="B407" s="212"/>
      <c r="C407" s="213"/>
      <c r="D407" s="214" t="str">
        <f>IFERROR(VLOOKUP($C407,'PORTIFÓLIO'!C:V,2,0),"")</f>
        <v/>
      </c>
      <c r="E407" s="211" t="str">
        <f>IFERROR(VLOOKUP($C407,'PORTIFÓLIO'!C:V,3,0),"")</f>
        <v/>
      </c>
      <c r="F407" s="211" t="str">
        <f>IFERROR(VLOOKUP($C407,'PORTIFÓLIO'!C:V,4,0),"")</f>
        <v/>
      </c>
      <c r="G407" s="215" t="str">
        <f>IFERROR(VLOOKUP($C407,'PORTIFÓLIO'!C:V,5,0),"")</f>
        <v/>
      </c>
      <c r="H407" s="254" t="str">
        <f t="array" ref="H407">IFERROR(INDEX('PORTIFÓLIO'!$H$4:$H$433,MATCH($C407,'PORTIFÓLIO'!$C$4:$C$433,0)),"")</f>
        <v/>
      </c>
      <c r="I407" s="256"/>
      <c r="J407" s="218">
        <f t="shared" si="45"/>
        <v>0</v>
      </c>
      <c r="K407" s="292" t="str">
        <f t="array" ref="K407">IFERROR(I407*INDEX('PORTIFÓLIO'!$S$4:$S$433,MATCH($C407,'PORTIFÓLIO'!$C$4:$C$433,0)),"")</f>
        <v/>
      </c>
      <c r="L407" s="292" t="str">
        <f t="array" ref="L407">IFERROR(J407*INDEX('PORTIFÓLIO'!$S$4:$S$433,MATCH($C407,'PORTIFÓLIO'!$C$4:$C$433,0)),"")</f>
        <v/>
      </c>
      <c r="M407" s="220"/>
      <c r="N407" s="220"/>
      <c r="O407" s="220"/>
      <c r="P407" s="220"/>
      <c r="Q407" s="220"/>
      <c r="R407" s="220"/>
      <c r="S407" s="220"/>
      <c r="T407" s="220"/>
      <c r="U407" s="220"/>
      <c r="V407" s="220"/>
      <c r="W407" s="220"/>
    </row>
    <row r="408" ht="15.75" customHeight="1" outlineLevel="1">
      <c r="A408" s="211"/>
      <c r="B408" s="227"/>
      <c r="C408" s="211"/>
      <c r="D408" s="214" t="str">
        <f>IFERROR(VLOOKUP($C408,'PORTIFÓLIO'!C:V,2,0),"")</f>
        <v/>
      </c>
      <c r="E408" s="211" t="str">
        <f>IFERROR(VLOOKUP($C408,'PORTIFÓLIO'!C:V,3,0),"")</f>
        <v/>
      </c>
      <c r="F408" s="211" t="str">
        <f>IFERROR(VLOOKUP($C408,'PORTIFÓLIO'!C:V,4,0),"")</f>
        <v/>
      </c>
      <c r="G408" s="215" t="str">
        <f>IFERROR(VLOOKUP($C408,'PORTIFÓLIO'!C:V,5,0),"")</f>
        <v/>
      </c>
      <c r="H408" s="254" t="str">
        <f t="array" ref="H408">IFERROR(INDEX('PORTIFÓLIO'!$H$4:$H$433,MATCH($C408,'PORTIFÓLIO'!$C$4:$C$433,0)),"")</f>
        <v/>
      </c>
      <c r="I408" s="256"/>
      <c r="J408" s="218">
        <f t="shared" si="45"/>
        <v>0</v>
      </c>
      <c r="K408" s="292" t="str">
        <f t="array" ref="K408">IFERROR(I408*INDEX('PORTIFÓLIO'!$S$4:$S$433,MATCH($C408,'PORTIFÓLIO'!$C$4:$C$433,0)),"")</f>
        <v/>
      </c>
      <c r="L408" s="292" t="str">
        <f t="array" ref="L408">IFERROR(J408*INDEX('PORTIFÓLIO'!$S$4:$S$433,MATCH($C408,'PORTIFÓLIO'!$C$4:$C$433,0)),"")</f>
        <v/>
      </c>
      <c r="M408" s="220"/>
      <c r="N408" s="220"/>
      <c r="O408" s="220"/>
      <c r="P408" s="220"/>
      <c r="Q408" s="220"/>
      <c r="R408" s="220"/>
      <c r="S408" s="220"/>
      <c r="T408" s="220"/>
      <c r="U408" s="220"/>
      <c r="V408" s="220"/>
      <c r="W408" s="220"/>
    </row>
    <row r="409" ht="15.75" customHeight="1">
      <c r="A409" s="229" t="s">
        <v>1194</v>
      </c>
      <c r="B409" s="230"/>
      <c r="C409" s="231"/>
      <c r="D409" s="232"/>
      <c r="E409" s="231"/>
      <c r="F409" s="231"/>
      <c r="G409" s="233"/>
      <c r="H409" s="233"/>
      <c r="I409" s="258"/>
      <c r="J409" s="236"/>
      <c r="K409" s="237">
        <f t="shared" ref="K409:L409" si="46">SUBTOTAL(9,K410:K423)</f>
        <v>0</v>
      </c>
      <c r="L409" s="237">
        <f t="shared" si="46"/>
        <v>0</v>
      </c>
      <c r="M409" s="220"/>
      <c r="N409" s="220"/>
      <c r="O409" s="220"/>
      <c r="P409" s="220"/>
      <c r="Q409" s="220"/>
      <c r="R409" s="220"/>
      <c r="S409" s="220"/>
      <c r="T409" s="220"/>
      <c r="U409" s="220"/>
      <c r="V409" s="220"/>
      <c r="W409" s="220"/>
    </row>
    <row r="410" ht="15.75" customHeight="1" outlineLevel="1">
      <c r="A410" s="213"/>
      <c r="B410" s="212"/>
      <c r="C410" s="213"/>
      <c r="D410" s="214" t="str">
        <f>IFERROR(VLOOKUP($C410,'PORTIFÓLIO'!C:V,2,0),"")</f>
        <v/>
      </c>
      <c r="E410" s="211" t="str">
        <f>IFERROR(VLOOKUP($C410,'PORTIFÓLIO'!C:V,3,0),"")</f>
        <v/>
      </c>
      <c r="F410" s="211" t="str">
        <f>IFERROR(VLOOKUP($C410,'PORTIFÓLIO'!C:V,4,0),"")</f>
        <v/>
      </c>
      <c r="G410" s="215" t="str">
        <f>IFERROR(VLOOKUP($C410,'PORTIFÓLIO'!C:V,5,0),"")</f>
        <v/>
      </c>
      <c r="H410" s="254" t="str">
        <f t="array" ref="H410">IFERROR(INDEX('PORTIFÓLIO'!$H$4:$H$433,MATCH($C410,'PORTIFÓLIO'!$C$4:$C$433,0)),"")</f>
        <v/>
      </c>
      <c r="I410" s="255"/>
      <c r="J410" s="218">
        <f t="shared" ref="J410:J426" si="47">I410*$B$2</f>
        <v>0</v>
      </c>
      <c r="K410" s="292" t="str">
        <f t="array" ref="K410">IFERROR(I410*INDEX('PORTIFÓLIO'!$S$4:$S$433,MATCH($C410,'PORTIFÓLIO'!$C$4:$C$433,0)),"")</f>
        <v/>
      </c>
      <c r="L410" s="292" t="str">
        <f t="array" ref="L410">IFERROR(J410*INDEX('PORTIFÓLIO'!$S$4:$S$433,MATCH($C410,'PORTIFÓLIO'!$C$4:$C$433,0)),"")</f>
        <v/>
      </c>
      <c r="M410" s="220"/>
      <c r="N410" s="220"/>
      <c r="O410" s="220"/>
      <c r="P410" s="220"/>
      <c r="Q410" s="220"/>
      <c r="R410" s="220"/>
      <c r="S410" s="220"/>
      <c r="T410" s="220"/>
      <c r="U410" s="220"/>
      <c r="V410" s="220"/>
      <c r="W410" s="220"/>
    </row>
    <row r="411" ht="15.75" customHeight="1" outlineLevel="1">
      <c r="A411" s="211"/>
      <c r="B411" s="212"/>
      <c r="C411" s="213"/>
      <c r="D411" s="214" t="str">
        <f>IFERROR(VLOOKUP($C411,'PORTIFÓLIO'!C:V,2,0),"")</f>
        <v/>
      </c>
      <c r="E411" s="211" t="str">
        <f>IFERROR(VLOOKUP($C411,'PORTIFÓLIO'!C:V,3,0),"")</f>
        <v/>
      </c>
      <c r="F411" s="211" t="str">
        <f>IFERROR(VLOOKUP($C411,'PORTIFÓLIO'!C:V,4,0),"")</f>
        <v/>
      </c>
      <c r="G411" s="215" t="str">
        <f>IFERROR(VLOOKUP($C411,'PORTIFÓLIO'!C:V,5,0),"")</f>
        <v/>
      </c>
      <c r="H411" s="254" t="str">
        <f t="array" ref="H411">IFERROR(INDEX('PORTIFÓLIO'!$H$4:$H$433,MATCH($C411,'PORTIFÓLIO'!$C$4:$C$433,0)),"")</f>
        <v/>
      </c>
      <c r="I411" s="256"/>
      <c r="J411" s="218">
        <f t="shared" si="47"/>
        <v>0</v>
      </c>
      <c r="K411" s="292" t="str">
        <f t="array" ref="K411">IFERROR(I411*INDEX('PORTIFÓLIO'!$S$4:$S$433,MATCH($C411,'PORTIFÓLIO'!$C$4:$C$433,0)),"")</f>
        <v/>
      </c>
      <c r="L411" s="292" t="str">
        <f t="array" ref="L411">IFERROR(J411*INDEX('PORTIFÓLIO'!$S$4:$S$433,MATCH($C411,'PORTIFÓLIO'!$C$4:$C$433,0)),"")</f>
        <v/>
      </c>
      <c r="M411" s="220"/>
      <c r="N411" s="220"/>
      <c r="O411" s="220"/>
      <c r="P411" s="220"/>
      <c r="Q411" s="220"/>
      <c r="R411" s="220"/>
      <c r="S411" s="220"/>
      <c r="T411" s="220"/>
      <c r="U411" s="220"/>
      <c r="V411" s="220"/>
      <c r="W411" s="220"/>
    </row>
    <row r="412" ht="15.75" customHeight="1" outlineLevel="1">
      <c r="A412" s="211"/>
      <c r="B412" s="212"/>
      <c r="C412" s="213"/>
      <c r="D412" s="214" t="str">
        <f>IFERROR(VLOOKUP($C412,'PORTIFÓLIO'!C:V,2,0),"")</f>
        <v/>
      </c>
      <c r="E412" s="211" t="str">
        <f>IFERROR(VLOOKUP($C412,'PORTIFÓLIO'!C:V,3,0),"")</f>
        <v/>
      </c>
      <c r="F412" s="211" t="str">
        <f>IFERROR(VLOOKUP($C412,'PORTIFÓLIO'!C:V,4,0),"")</f>
        <v/>
      </c>
      <c r="G412" s="215" t="str">
        <f>IFERROR(VLOOKUP($C412,'PORTIFÓLIO'!C:V,5,0),"")</f>
        <v/>
      </c>
      <c r="H412" s="254" t="str">
        <f t="array" ref="H412">IFERROR(INDEX('PORTIFÓLIO'!$H$4:$H$433,MATCH($C412,'PORTIFÓLIO'!$C$4:$C$433,0)),"")</f>
        <v/>
      </c>
      <c r="I412" s="256"/>
      <c r="J412" s="218">
        <f t="shared" si="47"/>
        <v>0</v>
      </c>
      <c r="K412" s="292" t="str">
        <f t="array" ref="K412">IFERROR(I412*INDEX('PORTIFÓLIO'!$S$4:$S$433,MATCH($C412,'PORTIFÓLIO'!$C$4:$C$433,0)),"")</f>
        <v/>
      </c>
      <c r="L412" s="292" t="str">
        <f t="array" ref="L412">IFERROR(J412*INDEX('PORTIFÓLIO'!$S$4:$S$433,MATCH($C412,'PORTIFÓLIO'!$C$4:$C$433,0)),"")</f>
        <v/>
      </c>
      <c r="M412" s="220"/>
      <c r="N412" s="220"/>
      <c r="O412" s="220"/>
      <c r="P412" s="220"/>
      <c r="Q412" s="220"/>
      <c r="R412" s="220"/>
      <c r="S412" s="220"/>
      <c r="T412" s="220"/>
      <c r="U412" s="220"/>
      <c r="V412" s="220"/>
      <c r="W412" s="220"/>
    </row>
    <row r="413" ht="15.75" customHeight="1" outlineLevel="1">
      <c r="A413" s="211"/>
      <c r="B413" s="212"/>
      <c r="C413" s="213"/>
      <c r="D413" s="214" t="str">
        <f>IFERROR(VLOOKUP($C413,'PORTIFÓLIO'!C:V,2,0),"")</f>
        <v/>
      </c>
      <c r="E413" s="211" t="str">
        <f>IFERROR(VLOOKUP($C413,'PORTIFÓLIO'!C:V,3,0),"")</f>
        <v/>
      </c>
      <c r="F413" s="211" t="str">
        <f>IFERROR(VLOOKUP($C413,'PORTIFÓLIO'!C:V,4,0),"")</f>
        <v/>
      </c>
      <c r="G413" s="215" t="str">
        <f>IFERROR(VLOOKUP($C413,'PORTIFÓLIO'!C:V,5,0),"")</f>
        <v/>
      </c>
      <c r="H413" s="254" t="str">
        <f t="array" ref="H413">IFERROR(INDEX('PORTIFÓLIO'!$H$4:$H$433,MATCH($C413,'PORTIFÓLIO'!$C$4:$C$433,0)),"")</f>
        <v/>
      </c>
      <c r="I413" s="256"/>
      <c r="J413" s="218">
        <f t="shared" si="47"/>
        <v>0</v>
      </c>
      <c r="K413" s="292" t="str">
        <f t="array" ref="K413">IFERROR(I413*INDEX('PORTIFÓLIO'!$S$4:$S$433,MATCH($C413,'PORTIFÓLIO'!$C$4:$C$433,0)),"")</f>
        <v/>
      </c>
      <c r="L413" s="292" t="str">
        <f t="array" ref="L413">IFERROR(J413*INDEX('PORTIFÓLIO'!$S$4:$S$433,MATCH($C413,'PORTIFÓLIO'!$C$4:$C$433,0)),"")</f>
        <v/>
      </c>
      <c r="M413" s="220"/>
      <c r="N413" s="220"/>
      <c r="O413" s="220"/>
      <c r="P413" s="220"/>
      <c r="Q413" s="220"/>
      <c r="R413" s="220"/>
      <c r="S413" s="220"/>
      <c r="T413" s="220"/>
      <c r="U413" s="220"/>
      <c r="V413" s="220"/>
      <c r="W413" s="220"/>
    </row>
    <row r="414" ht="15.75" customHeight="1" outlineLevel="1">
      <c r="A414" s="211"/>
      <c r="B414" s="212"/>
      <c r="C414" s="213"/>
      <c r="D414" s="214" t="str">
        <f>IFERROR(VLOOKUP($C414,'PORTIFÓLIO'!C:V,2,0),"")</f>
        <v/>
      </c>
      <c r="E414" s="211" t="str">
        <f>IFERROR(VLOOKUP($C414,'PORTIFÓLIO'!C:V,3,0),"")</f>
        <v/>
      </c>
      <c r="F414" s="211" t="str">
        <f>IFERROR(VLOOKUP($C414,'PORTIFÓLIO'!C:V,4,0),"")</f>
        <v/>
      </c>
      <c r="G414" s="215" t="str">
        <f>IFERROR(VLOOKUP($C414,'PORTIFÓLIO'!C:V,5,0),"")</f>
        <v/>
      </c>
      <c r="H414" s="254" t="str">
        <f t="array" ref="H414">IFERROR(INDEX('PORTIFÓLIO'!$H$4:$H$433,MATCH($C414,'PORTIFÓLIO'!$C$4:$C$433,0)),"")</f>
        <v/>
      </c>
      <c r="I414" s="256"/>
      <c r="J414" s="218">
        <f t="shared" si="47"/>
        <v>0</v>
      </c>
      <c r="K414" s="292" t="str">
        <f t="array" ref="K414">IFERROR(I414*INDEX('PORTIFÓLIO'!$S$4:$S$433,MATCH($C414,'PORTIFÓLIO'!$C$4:$C$433,0)),"")</f>
        <v/>
      </c>
      <c r="L414" s="292" t="str">
        <f t="array" ref="L414">IFERROR(J414*INDEX('PORTIFÓLIO'!$S$4:$S$433,MATCH($C414,'PORTIFÓLIO'!$C$4:$C$433,0)),"")</f>
        <v/>
      </c>
      <c r="M414" s="220"/>
      <c r="N414" s="220"/>
      <c r="O414" s="220"/>
      <c r="P414" s="220"/>
      <c r="Q414" s="220"/>
      <c r="R414" s="220"/>
      <c r="S414" s="220"/>
      <c r="T414" s="220"/>
      <c r="U414" s="220"/>
      <c r="V414" s="220"/>
      <c r="W414" s="220"/>
    </row>
    <row r="415" ht="15.75" customHeight="1" outlineLevel="1">
      <c r="A415" s="211"/>
      <c r="B415" s="212"/>
      <c r="C415" s="213"/>
      <c r="D415" s="214" t="str">
        <f>IFERROR(VLOOKUP($C415,'PORTIFÓLIO'!C:V,2,0),"")</f>
        <v/>
      </c>
      <c r="E415" s="211" t="str">
        <f>IFERROR(VLOOKUP($C415,'PORTIFÓLIO'!C:V,3,0),"")</f>
        <v/>
      </c>
      <c r="F415" s="211" t="str">
        <f>IFERROR(VLOOKUP($C415,'PORTIFÓLIO'!C:V,4,0),"")</f>
        <v/>
      </c>
      <c r="G415" s="215" t="str">
        <f>IFERROR(VLOOKUP($C415,'PORTIFÓLIO'!C:V,5,0),"")</f>
        <v/>
      </c>
      <c r="H415" s="254" t="str">
        <f t="array" ref="H415">IFERROR(INDEX('PORTIFÓLIO'!$H$4:$H$433,MATCH($C415,'PORTIFÓLIO'!$C$4:$C$433,0)),"")</f>
        <v/>
      </c>
      <c r="I415" s="256"/>
      <c r="J415" s="218">
        <f t="shared" si="47"/>
        <v>0</v>
      </c>
      <c r="K415" s="292" t="str">
        <f t="array" ref="K415">IFERROR(I415*INDEX('PORTIFÓLIO'!$S$4:$S$433,MATCH($C415,'PORTIFÓLIO'!$C$4:$C$433,0)),"")</f>
        <v/>
      </c>
      <c r="L415" s="292" t="str">
        <f t="array" ref="L415">IFERROR(J415*INDEX('PORTIFÓLIO'!$S$4:$S$433,MATCH($C415,'PORTIFÓLIO'!$C$4:$C$433,0)),"")</f>
        <v/>
      </c>
      <c r="M415" s="220"/>
      <c r="N415" s="220"/>
      <c r="O415" s="220"/>
      <c r="P415" s="220"/>
      <c r="Q415" s="220"/>
      <c r="R415" s="220"/>
      <c r="S415" s="220"/>
      <c r="T415" s="220"/>
      <c r="U415" s="220"/>
      <c r="V415" s="220"/>
      <c r="W415" s="220"/>
    </row>
    <row r="416" ht="15.75" customHeight="1" outlineLevel="1">
      <c r="A416" s="211"/>
      <c r="B416" s="212"/>
      <c r="C416" s="213"/>
      <c r="D416" s="214" t="str">
        <f>IFERROR(VLOOKUP($C416,'PORTIFÓLIO'!C:V,2,0),"")</f>
        <v/>
      </c>
      <c r="E416" s="211" t="str">
        <f>IFERROR(VLOOKUP($C416,'PORTIFÓLIO'!C:V,3,0),"")</f>
        <v/>
      </c>
      <c r="F416" s="211" t="str">
        <f>IFERROR(VLOOKUP($C416,'PORTIFÓLIO'!C:V,4,0),"")</f>
        <v/>
      </c>
      <c r="G416" s="215" t="str">
        <f>IFERROR(VLOOKUP($C416,'PORTIFÓLIO'!C:V,5,0),"")</f>
        <v/>
      </c>
      <c r="H416" s="254" t="str">
        <f t="array" ref="H416">IFERROR(INDEX('PORTIFÓLIO'!$H$4:$H$433,MATCH($C416,'PORTIFÓLIO'!$C$4:$C$433,0)),"")</f>
        <v/>
      </c>
      <c r="I416" s="256"/>
      <c r="J416" s="218">
        <f t="shared" si="47"/>
        <v>0</v>
      </c>
      <c r="K416" s="292" t="str">
        <f t="array" ref="K416">IFERROR(I416*INDEX('PORTIFÓLIO'!$S$4:$S$433,MATCH($C416,'PORTIFÓLIO'!$C$4:$C$433,0)),"")</f>
        <v/>
      </c>
      <c r="L416" s="292" t="str">
        <f t="array" ref="L416">IFERROR(J416*INDEX('PORTIFÓLIO'!$S$4:$S$433,MATCH($C416,'PORTIFÓLIO'!$C$4:$C$433,0)),"")</f>
        <v/>
      </c>
      <c r="M416" s="220"/>
      <c r="N416" s="220"/>
      <c r="O416" s="220"/>
      <c r="P416" s="220"/>
      <c r="Q416" s="220"/>
      <c r="R416" s="220"/>
      <c r="S416" s="220"/>
      <c r="T416" s="220"/>
      <c r="U416" s="220"/>
      <c r="V416" s="220"/>
      <c r="W416" s="220"/>
    </row>
    <row r="417" ht="15.75" customHeight="1" outlineLevel="1">
      <c r="A417" s="211"/>
      <c r="B417" s="212"/>
      <c r="C417" s="213"/>
      <c r="D417" s="214" t="str">
        <f>IFERROR(VLOOKUP($C417,'PORTIFÓLIO'!C:V,2,0),"")</f>
        <v/>
      </c>
      <c r="E417" s="211" t="str">
        <f>IFERROR(VLOOKUP($C417,'PORTIFÓLIO'!C:V,3,0),"")</f>
        <v/>
      </c>
      <c r="F417" s="211" t="str">
        <f>IFERROR(VLOOKUP($C417,'PORTIFÓLIO'!C:V,4,0),"")</f>
        <v/>
      </c>
      <c r="G417" s="215" t="str">
        <f>IFERROR(VLOOKUP($C417,'PORTIFÓLIO'!C:V,5,0),"")</f>
        <v/>
      </c>
      <c r="H417" s="254" t="str">
        <f t="array" ref="H417">IFERROR(INDEX('PORTIFÓLIO'!$H$4:$H$433,MATCH($C417,'PORTIFÓLIO'!$C$4:$C$433,0)),"")</f>
        <v/>
      </c>
      <c r="I417" s="256"/>
      <c r="J417" s="218">
        <f t="shared" si="47"/>
        <v>0</v>
      </c>
      <c r="K417" s="292" t="str">
        <f t="array" ref="K417">IFERROR(I417*INDEX('PORTIFÓLIO'!$S$4:$S$433,MATCH($C417,'PORTIFÓLIO'!$C$4:$C$433,0)),"")</f>
        <v/>
      </c>
      <c r="L417" s="292" t="str">
        <f t="array" ref="L417">IFERROR(J417*INDEX('PORTIFÓLIO'!$S$4:$S$433,MATCH($C417,'PORTIFÓLIO'!$C$4:$C$433,0)),"")</f>
        <v/>
      </c>
      <c r="M417" s="220"/>
      <c r="N417" s="220"/>
      <c r="O417" s="220"/>
      <c r="P417" s="220"/>
      <c r="Q417" s="220"/>
      <c r="R417" s="220"/>
      <c r="S417" s="220"/>
      <c r="T417" s="220"/>
      <c r="U417" s="220"/>
      <c r="V417" s="220"/>
      <c r="W417" s="220"/>
    </row>
    <row r="418" ht="15.75" customHeight="1" outlineLevel="1">
      <c r="A418" s="211"/>
      <c r="B418" s="212"/>
      <c r="C418" s="213"/>
      <c r="D418" s="214" t="str">
        <f>IFERROR(VLOOKUP($C418,'PORTIFÓLIO'!C:V,2,0),"")</f>
        <v/>
      </c>
      <c r="E418" s="211" t="str">
        <f>IFERROR(VLOOKUP($C418,'PORTIFÓLIO'!C:V,3,0),"")</f>
        <v/>
      </c>
      <c r="F418" s="211" t="str">
        <f>IFERROR(VLOOKUP($C418,'PORTIFÓLIO'!C:V,4,0),"")</f>
        <v/>
      </c>
      <c r="G418" s="215" t="str">
        <f>IFERROR(VLOOKUP($C418,'PORTIFÓLIO'!C:V,5,0),"")</f>
        <v/>
      </c>
      <c r="H418" s="254" t="str">
        <f t="array" ref="H418">IFERROR(INDEX('PORTIFÓLIO'!$H$4:$H$433,MATCH($C418,'PORTIFÓLIO'!$C$4:$C$433,0)),"")</f>
        <v/>
      </c>
      <c r="I418" s="255"/>
      <c r="J418" s="218">
        <f t="shared" si="47"/>
        <v>0</v>
      </c>
      <c r="K418" s="292" t="str">
        <f t="array" ref="K418">IFERROR(I418*INDEX('PORTIFÓLIO'!$S$4:$S$433,MATCH($C418,'PORTIFÓLIO'!$C$4:$C$433,0)),"")</f>
        <v/>
      </c>
      <c r="L418" s="292" t="str">
        <f t="array" ref="L418">IFERROR(J418*INDEX('PORTIFÓLIO'!$S$4:$S$433,MATCH($C418,'PORTIFÓLIO'!$C$4:$C$433,0)),"")</f>
        <v/>
      </c>
      <c r="M418" s="220"/>
      <c r="N418" s="220"/>
      <c r="O418" s="220"/>
      <c r="P418" s="220"/>
      <c r="Q418" s="220"/>
      <c r="R418" s="220"/>
      <c r="S418" s="220"/>
      <c r="T418" s="220"/>
      <c r="U418" s="220"/>
      <c r="V418" s="220"/>
      <c r="W418" s="220"/>
    </row>
    <row r="419" ht="15.75" customHeight="1" outlineLevel="1">
      <c r="A419" s="211"/>
      <c r="B419" s="212"/>
      <c r="C419" s="213"/>
      <c r="D419" s="214" t="str">
        <f>IFERROR(VLOOKUP($C419,'PORTIFÓLIO'!C:V,2,0),"")</f>
        <v/>
      </c>
      <c r="E419" s="211" t="str">
        <f>IFERROR(VLOOKUP($C419,'PORTIFÓLIO'!C:V,3,0),"")</f>
        <v/>
      </c>
      <c r="F419" s="211" t="str">
        <f>IFERROR(VLOOKUP($C419,'PORTIFÓLIO'!C:V,4,0),"")</f>
        <v/>
      </c>
      <c r="G419" s="215" t="str">
        <f>IFERROR(VLOOKUP($C419,'PORTIFÓLIO'!C:V,5,0),"")</f>
        <v/>
      </c>
      <c r="H419" s="254" t="str">
        <f t="array" ref="H419">IFERROR(INDEX('PORTIFÓLIO'!$H$4:$H$433,MATCH($C419,'PORTIFÓLIO'!$C$4:$C$433,0)),"")</f>
        <v/>
      </c>
      <c r="I419" s="256"/>
      <c r="J419" s="218">
        <f t="shared" si="47"/>
        <v>0</v>
      </c>
      <c r="K419" s="292" t="str">
        <f t="array" ref="K419">IFERROR(I419*INDEX('PORTIFÓLIO'!$S$4:$S$433,MATCH($C419,'PORTIFÓLIO'!$C$4:$C$433,0)),"")</f>
        <v/>
      </c>
      <c r="L419" s="292" t="str">
        <f t="array" ref="L419">IFERROR(J419*INDEX('PORTIFÓLIO'!$S$4:$S$433,MATCH($C419,'PORTIFÓLIO'!$C$4:$C$433,0)),"")</f>
        <v/>
      </c>
      <c r="M419" s="220"/>
      <c r="N419" s="220"/>
      <c r="O419" s="220"/>
      <c r="P419" s="220"/>
      <c r="Q419" s="220"/>
      <c r="R419" s="220"/>
      <c r="S419" s="220"/>
      <c r="T419" s="220"/>
      <c r="U419" s="220"/>
      <c r="V419" s="220"/>
      <c r="W419" s="220"/>
    </row>
    <row r="420" ht="15.75" customHeight="1" outlineLevel="1">
      <c r="A420" s="211"/>
      <c r="B420" s="212"/>
      <c r="C420" s="213"/>
      <c r="D420" s="214" t="str">
        <f>IFERROR(VLOOKUP($C420,'PORTIFÓLIO'!C:V,2,0),"")</f>
        <v/>
      </c>
      <c r="E420" s="211" t="str">
        <f>IFERROR(VLOOKUP($C420,'PORTIFÓLIO'!C:V,3,0),"")</f>
        <v/>
      </c>
      <c r="F420" s="211" t="str">
        <f>IFERROR(VLOOKUP($C420,'PORTIFÓLIO'!C:V,4,0),"")</f>
        <v/>
      </c>
      <c r="G420" s="215" t="str">
        <f>IFERROR(VLOOKUP($C420,'PORTIFÓLIO'!C:V,5,0),"")</f>
        <v/>
      </c>
      <c r="H420" s="254" t="str">
        <f t="array" ref="H420">IFERROR(INDEX('PORTIFÓLIO'!$H$4:$H$433,MATCH($C420,'PORTIFÓLIO'!$C$4:$C$433,0)),"")</f>
        <v/>
      </c>
      <c r="I420" s="256"/>
      <c r="J420" s="218">
        <f t="shared" si="47"/>
        <v>0</v>
      </c>
      <c r="K420" s="292" t="str">
        <f t="array" ref="K420">IFERROR(I420*INDEX('PORTIFÓLIO'!$S$4:$S$433,MATCH($C420,'PORTIFÓLIO'!$C$4:$C$433,0)),"")</f>
        <v/>
      </c>
      <c r="L420" s="292" t="str">
        <f t="array" ref="L420">IFERROR(J420*INDEX('PORTIFÓLIO'!$S$4:$S$433,MATCH($C420,'PORTIFÓLIO'!$C$4:$C$433,0)),"")</f>
        <v/>
      </c>
      <c r="M420" s="220"/>
      <c r="N420" s="220"/>
      <c r="O420" s="220"/>
      <c r="P420" s="220"/>
      <c r="Q420" s="220"/>
      <c r="R420" s="220"/>
      <c r="S420" s="220"/>
      <c r="T420" s="220"/>
      <c r="U420" s="220"/>
      <c r="V420" s="220"/>
      <c r="W420" s="220"/>
    </row>
    <row r="421" ht="15.75" customHeight="1" outlineLevel="1">
      <c r="A421" s="211"/>
      <c r="B421" s="212"/>
      <c r="C421" s="213"/>
      <c r="D421" s="214" t="str">
        <f>IFERROR(VLOOKUP($C421,'PORTIFÓLIO'!C:V,2,0),"")</f>
        <v/>
      </c>
      <c r="E421" s="211" t="str">
        <f>IFERROR(VLOOKUP($C421,'PORTIFÓLIO'!C:V,3,0),"")</f>
        <v/>
      </c>
      <c r="F421" s="211" t="str">
        <f>IFERROR(VLOOKUP($C421,'PORTIFÓLIO'!C:V,4,0),"")</f>
        <v/>
      </c>
      <c r="G421" s="215" t="str">
        <f>IFERROR(VLOOKUP($C421,'PORTIFÓLIO'!C:V,5,0),"")</f>
        <v/>
      </c>
      <c r="H421" s="254" t="str">
        <f t="array" ref="H421">IFERROR(INDEX('PORTIFÓLIO'!$H$4:$H$433,MATCH($C421,'PORTIFÓLIO'!$C$4:$C$433,0)),"")</f>
        <v/>
      </c>
      <c r="I421" s="256"/>
      <c r="J421" s="218">
        <f t="shared" si="47"/>
        <v>0</v>
      </c>
      <c r="K421" s="292" t="str">
        <f t="array" ref="K421">IFERROR(I421*INDEX('PORTIFÓLIO'!$S$4:$S$433,MATCH($C421,'PORTIFÓLIO'!$C$4:$C$433,0)),"")</f>
        <v/>
      </c>
      <c r="L421" s="292" t="str">
        <f t="array" ref="L421">IFERROR(J421*INDEX('PORTIFÓLIO'!$S$4:$S$433,MATCH($C421,'PORTIFÓLIO'!$C$4:$C$433,0)),"")</f>
        <v/>
      </c>
      <c r="M421" s="220"/>
      <c r="N421" s="220"/>
      <c r="O421" s="220"/>
      <c r="P421" s="220"/>
      <c r="Q421" s="220"/>
      <c r="R421" s="220"/>
      <c r="S421" s="220"/>
      <c r="T421" s="220"/>
      <c r="U421" s="220"/>
      <c r="V421" s="220"/>
      <c r="W421" s="220"/>
    </row>
    <row r="422" ht="15.75" customHeight="1" outlineLevel="1">
      <c r="A422" s="211"/>
      <c r="B422" s="212"/>
      <c r="C422" s="213"/>
      <c r="D422" s="214" t="str">
        <f>IFERROR(VLOOKUP($C422,'PORTIFÓLIO'!C:V,2,0),"")</f>
        <v/>
      </c>
      <c r="E422" s="211" t="str">
        <f>IFERROR(VLOOKUP($C422,'PORTIFÓLIO'!C:V,3,0),"")</f>
        <v/>
      </c>
      <c r="F422" s="211" t="str">
        <f>IFERROR(VLOOKUP($C422,'PORTIFÓLIO'!C:V,4,0),"")</f>
        <v/>
      </c>
      <c r="G422" s="215" t="str">
        <f>IFERROR(VLOOKUP($C422,'PORTIFÓLIO'!C:V,5,0),"")</f>
        <v/>
      </c>
      <c r="H422" s="254" t="str">
        <f t="array" ref="H422">IFERROR(INDEX('PORTIFÓLIO'!$H$4:$H$433,MATCH($C422,'PORTIFÓLIO'!$C$4:$C$433,0)),"")</f>
        <v/>
      </c>
      <c r="I422" s="256"/>
      <c r="J422" s="218">
        <f t="shared" si="47"/>
        <v>0</v>
      </c>
      <c r="K422" s="292" t="str">
        <f t="array" ref="K422">IFERROR(I422*INDEX('PORTIFÓLIO'!$S$4:$S$433,MATCH($C422,'PORTIFÓLIO'!$C$4:$C$433,0)),"")</f>
        <v/>
      </c>
      <c r="L422" s="292" t="str">
        <f t="array" ref="L422">IFERROR(J422*INDEX('PORTIFÓLIO'!$S$4:$S$433,MATCH($C422,'PORTIFÓLIO'!$C$4:$C$433,0)),"")</f>
        <v/>
      </c>
      <c r="M422" s="220"/>
      <c r="N422" s="220"/>
      <c r="O422" s="220"/>
      <c r="P422" s="220"/>
      <c r="Q422" s="220"/>
      <c r="R422" s="220"/>
      <c r="S422" s="220"/>
      <c r="T422" s="220"/>
      <c r="U422" s="220"/>
      <c r="V422" s="220"/>
      <c r="W422" s="220"/>
    </row>
    <row r="423" ht="15.75" customHeight="1" outlineLevel="1">
      <c r="A423" s="211"/>
      <c r="B423" s="212"/>
      <c r="C423" s="213"/>
      <c r="D423" s="214" t="str">
        <f>IFERROR(VLOOKUP($C423,'PORTIFÓLIO'!C:V,2,0),"")</f>
        <v/>
      </c>
      <c r="E423" s="211" t="str">
        <f>IFERROR(VLOOKUP($C423,'PORTIFÓLIO'!C:V,3,0),"")</f>
        <v/>
      </c>
      <c r="F423" s="211" t="str">
        <f>IFERROR(VLOOKUP($C423,'PORTIFÓLIO'!C:V,4,0),"")</f>
        <v/>
      </c>
      <c r="G423" s="215" t="str">
        <f>IFERROR(VLOOKUP($C423,'PORTIFÓLIO'!C:V,5,0),"")</f>
        <v/>
      </c>
      <c r="H423" s="254" t="str">
        <f t="array" ref="H423">IFERROR(INDEX('PORTIFÓLIO'!$H$4:$H$433,MATCH($C423,'PORTIFÓLIO'!$C$4:$C$433,0)),"")</f>
        <v/>
      </c>
      <c r="I423" s="256"/>
      <c r="J423" s="218">
        <f t="shared" si="47"/>
        <v>0</v>
      </c>
      <c r="K423" s="292" t="str">
        <f t="array" ref="K423">IFERROR(I423*INDEX('PORTIFÓLIO'!$S$4:$S$433,MATCH($C423,'PORTIFÓLIO'!$C$4:$C$433,0)),"")</f>
        <v/>
      </c>
      <c r="L423" s="292" t="str">
        <f t="array" ref="L423">IFERROR(J423*INDEX('PORTIFÓLIO'!$S$4:$S$433,MATCH($C423,'PORTIFÓLIO'!$C$4:$C$433,0)),"")</f>
        <v/>
      </c>
      <c r="M423" s="220"/>
      <c r="N423" s="220"/>
      <c r="O423" s="220"/>
      <c r="P423" s="220"/>
      <c r="Q423" s="220"/>
      <c r="R423" s="220"/>
      <c r="S423" s="220"/>
      <c r="T423" s="220"/>
      <c r="U423" s="220"/>
      <c r="V423" s="220"/>
      <c r="W423" s="220"/>
    </row>
    <row r="424" ht="15.75" customHeight="1" outlineLevel="1">
      <c r="A424" s="211"/>
      <c r="B424" s="212"/>
      <c r="C424" s="213"/>
      <c r="D424" s="214" t="str">
        <f>IFERROR(VLOOKUP($C424,'PORTIFÓLIO'!C:V,2,0),"")</f>
        <v/>
      </c>
      <c r="E424" s="211" t="str">
        <f>IFERROR(VLOOKUP($C424,'PORTIFÓLIO'!C:V,3,0),"")</f>
        <v/>
      </c>
      <c r="F424" s="211" t="str">
        <f>IFERROR(VLOOKUP($C424,'PORTIFÓLIO'!C:V,4,0),"")</f>
        <v/>
      </c>
      <c r="G424" s="215" t="str">
        <f>IFERROR(VLOOKUP($C424,'PORTIFÓLIO'!C:V,5,0),"")</f>
        <v/>
      </c>
      <c r="H424" s="254" t="str">
        <f t="array" ref="H424">IFERROR(INDEX('PORTIFÓLIO'!$H$4:$H$433,MATCH($C424,'PORTIFÓLIO'!$C$4:$C$433,0)),"")</f>
        <v/>
      </c>
      <c r="I424" s="256"/>
      <c r="J424" s="218">
        <f t="shared" si="47"/>
        <v>0</v>
      </c>
      <c r="K424" s="292" t="str">
        <f t="array" ref="K424">IFERROR(I424*INDEX('PORTIFÓLIO'!$S$4:$S$433,MATCH($C424,'PORTIFÓLIO'!$C$4:$C$433,0)),"")</f>
        <v/>
      </c>
      <c r="L424" s="292" t="str">
        <f t="array" ref="L424">IFERROR(J424*INDEX('PORTIFÓLIO'!$S$4:$S$433,MATCH($C424,'PORTIFÓLIO'!$C$4:$C$433,0)),"")</f>
        <v/>
      </c>
      <c r="M424" s="220"/>
      <c r="N424" s="220"/>
      <c r="O424" s="220"/>
      <c r="P424" s="220"/>
      <c r="Q424" s="220"/>
      <c r="R424" s="220"/>
      <c r="S424" s="220"/>
      <c r="T424" s="220"/>
      <c r="U424" s="220"/>
      <c r="V424" s="220"/>
      <c r="W424" s="220"/>
    </row>
    <row r="425" ht="15.75" customHeight="1" outlineLevel="1">
      <c r="A425" s="211"/>
      <c r="B425" s="227"/>
      <c r="C425" s="211"/>
      <c r="D425" s="214" t="str">
        <f>IFERROR(VLOOKUP($C425,'PORTIFÓLIO'!C:V,2,0),"")</f>
        <v/>
      </c>
      <c r="E425" s="211" t="str">
        <f>IFERROR(VLOOKUP($C425,'PORTIFÓLIO'!C:V,3,0),"")</f>
        <v/>
      </c>
      <c r="F425" s="211" t="str">
        <f>IFERROR(VLOOKUP($C425,'PORTIFÓLIO'!C:V,4,0),"")</f>
        <v/>
      </c>
      <c r="G425" s="215" t="str">
        <f>IFERROR(VLOOKUP($C425,'PORTIFÓLIO'!C:V,5,0),"")</f>
        <v/>
      </c>
      <c r="H425" s="254" t="str">
        <f t="array" ref="H425">IFERROR(INDEX('PORTIFÓLIO'!$H$4:$H$433,MATCH($C425,'PORTIFÓLIO'!$C$4:$C$433,0)),"")</f>
        <v/>
      </c>
      <c r="I425" s="256"/>
      <c r="J425" s="218">
        <f t="shared" si="47"/>
        <v>0</v>
      </c>
      <c r="K425" s="292" t="str">
        <f t="array" ref="K425">IFERROR(I425*INDEX('PORTIFÓLIO'!$S$4:$S$433,MATCH($C425,'PORTIFÓLIO'!$C$4:$C$433,0)),"")</f>
        <v/>
      </c>
      <c r="L425" s="292" t="str">
        <f t="array" ref="L425">IFERROR(J425*INDEX('PORTIFÓLIO'!$S$4:$S$433,MATCH($C425,'PORTIFÓLIO'!$C$4:$C$433,0)),"")</f>
        <v/>
      </c>
      <c r="M425" s="220"/>
      <c r="N425" s="220"/>
      <c r="O425" s="220"/>
      <c r="P425" s="220"/>
      <c r="Q425" s="220"/>
      <c r="R425" s="220"/>
      <c r="S425" s="220"/>
      <c r="T425" s="220"/>
      <c r="U425" s="220"/>
      <c r="V425" s="220"/>
      <c r="W425" s="220"/>
    </row>
    <row r="426" ht="15.75" customHeight="1" outlineLevel="1">
      <c r="A426" s="211"/>
      <c r="B426" s="227"/>
      <c r="C426" s="211"/>
      <c r="D426" s="214" t="str">
        <f>IFERROR(VLOOKUP($C426,'PORTIFÓLIO'!C:V,2,0),"")</f>
        <v/>
      </c>
      <c r="E426" s="211" t="str">
        <f>IFERROR(VLOOKUP($C426,'PORTIFÓLIO'!C:V,3,0),"")</f>
        <v/>
      </c>
      <c r="F426" s="211" t="str">
        <f>IFERROR(VLOOKUP($C426,'PORTIFÓLIO'!C:V,4,0),"")</f>
        <v/>
      </c>
      <c r="G426" s="215" t="str">
        <f>IFERROR(VLOOKUP($C426,'PORTIFÓLIO'!C:V,5,0),"")</f>
        <v/>
      </c>
      <c r="H426" s="254" t="str">
        <f t="array" ref="H426">IFERROR(INDEX('PORTIFÓLIO'!$H$4:$H$433,MATCH($C426,'PORTIFÓLIO'!$C$4:$C$433,0)),"")</f>
        <v/>
      </c>
      <c r="I426" s="256"/>
      <c r="J426" s="218">
        <f t="shared" si="47"/>
        <v>0</v>
      </c>
      <c r="K426" s="292" t="str">
        <f t="array" ref="K426">IFERROR(I426*INDEX('PORTIFÓLIO'!$S$4:$S$433,MATCH($C426,'PORTIFÓLIO'!$C$4:$C$433,0)),"")</f>
        <v/>
      </c>
      <c r="L426" s="292" t="str">
        <f t="array" ref="L426">IFERROR(J426*INDEX('PORTIFÓLIO'!$S$4:$S$433,MATCH($C426,'PORTIFÓLIO'!$C$4:$C$433,0)),"")</f>
        <v/>
      </c>
      <c r="U426" s="79"/>
    </row>
    <row r="427" ht="15.75" customHeight="1">
      <c r="A427" s="229" t="s">
        <v>1202</v>
      </c>
      <c r="B427" s="230"/>
      <c r="C427" s="231"/>
      <c r="D427" s="232"/>
      <c r="E427" s="231"/>
      <c r="F427" s="231"/>
      <c r="G427" s="233"/>
      <c r="H427" s="233"/>
      <c r="I427" s="258"/>
      <c r="J427" s="236"/>
      <c r="K427" s="237">
        <f t="shared" ref="K427:L427" si="48">SUBTOTAL(9,K428:K441)</f>
        <v>0</v>
      </c>
      <c r="L427" s="237">
        <f t="shared" si="48"/>
        <v>0</v>
      </c>
      <c r="U427" s="79"/>
    </row>
    <row r="428" ht="15.75" customHeight="1" outlineLevel="1">
      <c r="A428" s="213"/>
      <c r="B428" s="212"/>
      <c r="C428" s="213"/>
      <c r="D428" s="214" t="str">
        <f>IFERROR(VLOOKUP($C428,'PORTIFÓLIO'!C:V,2,0),"")</f>
        <v/>
      </c>
      <c r="E428" s="211" t="str">
        <f>IFERROR(VLOOKUP($C428,'PORTIFÓLIO'!C:V,3,0),"")</f>
        <v/>
      </c>
      <c r="F428" s="211" t="str">
        <f>IFERROR(VLOOKUP($C428,'PORTIFÓLIO'!C:V,4,0),"")</f>
        <v/>
      </c>
      <c r="G428" s="215" t="str">
        <f>IFERROR(VLOOKUP($C428,'PORTIFÓLIO'!C:V,5,0),"")</f>
        <v/>
      </c>
      <c r="H428" s="254" t="str">
        <f t="array" ref="H428">IFERROR(INDEX('PORTIFÓLIO'!$H$4:$H$433,MATCH($C428,'PORTIFÓLIO'!$C$4:$C$433,0)),"")</f>
        <v/>
      </c>
      <c r="I428" s="256"/>
      <c r="J428" s="218">
        <f t="shared" ref="J428:J451" si="49">I428*$B$2</f>
        <v>0</v>
      </c>
      <c r="K428" s="292" t="str">
        <f t="array" ref="K428">IFERROR(I428*INDEX('PORTIFÓLIO'!$S$4:$S$433,MATCH($C428,'PORTIFÓLIO'!$C$4:$C$433,0)),"")</f>
        <v/>
      </c>
      <c r="L428" s="292" t="str">
        <f t="array" ref="L428">IFERROR(J428*INDEX('PORTIFÓLIO'!$S$4:$S$433,MATCH($C428,'PORTIFÓLIO'!$C$4:$C$433,0)),"")</f>
        <v/>
      </c>
      <c r="U428" s="79"/>
    </row>
    <row r="429" ht="15.75" customHeight="1" outlineLevel="1">
      <c r="A429" s="211"/>
      <c r="B429" s="212"/>
      <c r="C429" s="213"/>
      <c r="D429" s="214" t="str">
        <f>IFERROR(VLOOKUP($C429,'PORTIFÓLIO'!C:V,2,0),"")</f>
        <v/>
      </c>
      <c r="E429" s="211" t="str">
        <f>IFERROR(VLOOKUP($C429,'PORTIFÓLIO'!C:V,3,0),"")</f>
        <v/>
      </c>
      <c r="F429" s="211" t="str">
        <f>IFERROR(VLOOKUP($C429,'PORTIFÓLIO'!C:V,4,0),"")</f>
        <v/>
      </c>
      <c r="G429" s="215" t="str">
        <f>IFERROR(VLOOKUP($C429,'PORTIFÓLIO'!C:V,5,0),"")</f>
        <v/>
      </c>
      <c r="H429" s="254" t="str">
        <f t="array" ref="H429">IFERROR(INDEX('PORTIFÓLIO'!$H$4:$H$433,MATCH($C429,'PORTIFÓLIO'!$C$4:$C$433,0)),"")</f>
        <v/>
      </c>
      <c r="I429" s="256"/>
      <c r="J429" s="218">
        <f t="shared" si="49"/>
        <v>0</v>
      </c>
      <c r="K429" s="292" t="str">
        <f t="array" ref="K429">IFERROR(I429*INDEX('PORTIFÓLIO'!$S$4:$S$433,MATCH($C429,'PORTIFÓLIO'!$C$4:$C$433,0)),"")</f>
        <v/>
      </c>
      <c r="L429" s="292" t="str">
        <f t="array" ref="L429">IFERROR(J429*INDEX('PORTIFÓLIO'!$S$4:$S$433,MATCH($C429,'PORTIFÓLIO'!$C$4:$C$433,0)),"")</f>
        <v/>
      </c>
      <c r="U429" s="79"/>
    </row>
    <row r="430" ht="15.75" customHeight="1" outlineLevel="1">
      <c r="A430" s="211"/>
      <c r="B430" s="212"/>
      <c r="C430" s="213"/>
      <c r="D430" s="214" t="str">
        <f>IFERROR(VLOOKUP($C430,'PORTIFÓLIO'!C:V,2,0),"")</f>
        <v/>
      </c>
      <c r="E430" s="211" t="str">
        <f>IFERROR(VLOOKUP($C430,'PORTIFÓLIO'!C:V,3,0),"")</f>
        <v/>
      </c>
      <c r="F430" s="211" t="str">
        <f>IFERROR(VLOOKUP($C430,'PORTIFÓLIO'!C:V,4,0),"")</f>
        <v/>
      </c>
      <c r="G430" s="215" t="str">
        <f>IFERROR(VLOOKUP($C430,'PORTIFÓLIO'!C:V,5,0),"")</f>
        <v/>
      </c>
      <c r="H430" s="254" t="str">
        <f t="array" ref="H430">IFERROR(INDEX('PORTIFÓLIO'!$H$4:$H$433,MATCH($C430,'PORTIFÓLIO'!$C$4:$C$433,0)),"")</f>
        <v/>
      </c>
      <c r="I430" s="256"/>
      <c r="J430" s="218">
        <f t="shared" si="49"/>
        <v>0</v>
      </c>
      <c r="K430" s="292" t="str">
        <f t="array" ref="K430">IFERROR(I430*INDEX('PORTIFÓLIO'!$S$4:$S$433,MATCH($C430,'PORTIFÓLIO'!$C$4:$C$433,0)),"")</f>
        <v/>
      </c>
      <c r="L430" s="292" t="str">
        <f t="array" ref="L430">IFERROR(J430*INDEX('PORTIFÓLIO'!$S$4:$S$433,MATCH($C430,'PORTIFÓLIO'!$C$4:$C$433,0)),"")</f>
        <v/>
      </c>
      <c r="U430" s="79"/>
    </row>
    <row r="431" ht="15.75" customHeight="1" outlineLevel="1">
      <c r="A431" s="211"/>
      <c r="B431" s="212"/>
      <c r="C431" s="213"/>
      <c r="D431" s="214" t="str">
        <f>IFERROR(VLOOKUP($C431,'PORTIFÓLIO'!C:V,2,0),"")</f>
        <v/>
      </c>
      <c r="E431" s="211" t="str">
        <f>IFERROR(VLOOKUP($C431,'PORTIFÓLIO'!C:V,3,0),"")</f>
        <v/>
      </c>
      <c r="F431" s="211" t="str">
        <f>IFERROR(VLOOKUP($C431,'PORTIFÓLIO'!C:V,4,0),"")</f>
        <v/>
      </c>
      <c r="G431" s="215" t="str">
        <f>IFERROR(VLOOKUP($C431,'PORTIFÓLIO'!C:V,5,0),"")</f>
        <v/>
      </c>
      <c r="H431" s="254" t="str">
        <f t="array" ref="H431">IFERROR(INDEX('PORTIFÓLIO'!$H$4:$H$433,MATCH($C431,'PORTIFÓLIO'!$C$4:$C$433,0)),"")</f>
        <v/>
      </c>
      <c r="I431" s="256"/>
      <c r="J431" s="218">
        <f t="shared" si="49"/>
        <v>0</v>
      </c>
      <c r="K431" s="292" t="str">
        <f t="array" ref="K431">IFERROR(I431*INDEX('PORTIFÓLIO'!$S$4:$S$433,MATCH($C431,'PORTIFÓLIO'!$C$4:$C$433,0)),"")</f>
        <v/>
      </c>
      <c r="L431" s="292" t="str">
        <f t="array" ref="L431">IFERROR(J431*INDEX('PORTIFÓLIO'!$S$4:$S$433,MATCH($C431,'PORTIFÓLIO'!$C$4:$C$433,0)),"")</f>
        <v/>
      </c>
      <c r="U431" s="79"/>
    </row>
    <row r="432" ht="15.75" customHeight="1" outlineLevel="1">
      <c r="A432" s="211"/>
      <c r="B432" s="212"/>
      <c r="C432" s="213"/>
      <c r="D432" s="214" t="str">
        <f>IFERROR(VLOOKUP($C432,'PORTIFÓLIO'!C:V,2,0),"")</f>
        <v/>
      </c>
      <c r="E432" s="211" t="str">
        <f>IFERROR(VLOOKUP($C432,'PORTIFÓLIO'!C:V,3,0),"")</f>
        <v/>
      </c>
      <c r="F432" s="211" t="str">
        <f>IFERROR(VLOOKUP($C432,'PORTIFÓLIO'!C:V,4,0),"")</f>
        <v/>
      </c>
      <c r="G432" s="215" t="str">
        <f>IFERROR(VLOOKUP($C432,'PORTIFÓLIO'!C:V,5,0),"")</f>
        <v/>
      </c>
      <c r="H432" s="254" t="str">
        <f t="array" ref="H432">IFERROR(INDEX('PORTIFÓLIO'!$H$4:$H$433,MATCH($C432,'PORTIFÓLIO'!$C$4:$C$433,0)),"")</f>
        <v/>
      </c>
      <c r="I432" s="256"/>
      <c r="J432" s="218">
        <f t="shared" si="49"/>
        <v>0</v>
      </c>
      <c r="K432" s="292" t="str">
        <f t="array" ref="K432">IFERROR(I432*INDEX('PORTIFÓLIO'!$S$4:$S$433,MATCH($C432,'PORTIFÓLIO'!$C$4:$C$433,0)),"")</f>
        <v/>
      </c>
      <c r="L432" s="292" t="str">
        <f t="array" ref="L432">IFERROR(J432*INDEX('PORTIFÓLIO'!$S$4:$S$433,MATCH($C432,'PORTIFÓLIO'!$C$4:$C$433,0)),"")</f>
        <v/>
      </c>
      <c r="U432" s="79"/>
    </row>
    <row r="433" ht="15.75" customHeight="1" outlineLevel="1">
      <c r="A433" s="211"/>
      <c r="B433" s="212"/>
      <c r="C433" s="213"/>
      <c r="D433" s="214" t="str">
        <f>IFERROR(VLOOKUP($C433,'PORTIFÓLIO'!C:V,2,0),"")</f>
        <v/>
      </c>
      <c r="E433" s="211" t="str">
        <f>IFERROR(VLOOKUP($C433,'PORTIFÓLIO'!C:V,3,0),"")</f>
        <v/>
      </c>
      <c r="F433" s="211" t="str">
        <f>IFERROR(VLOOKUP($C433,'PORTIFÓLIO'!C:V,4,0),"")</f>
        <v/>
      </c>
      <c r="G433" s="215" t="str">
        <f>IFERROR(VLOOKUP($C433,'PORTIFÓLIO'!C:V,5,0),"")</f>
        <v/>
      </c>
      <c r="H433" s="254" t="str">
        <f t="array" ref="H433">IFERROR(INDEX('PORTIFÓLIO'!$H$4:$H$433,MATCH($C433,'PORTIFÓLIO'!$C$4:$C$433,0)),"")</f>
        <v/>
      </c>
      <c r="I433" s="256"/>
      <c r="J433" s="218">
        <f t="shared" si="49"/>
        <v>0</v>
      </c>
      <c r="K433" s="292" t="str">
        <f t="array" ref="K433">IFERROR(I433*INDEX('PORTIFÓLIO'!$S$4:$S$433,MATCH($C433,'PORTIFÓLIO'!$C$4:$C$433,0)),"")</f>
        <v/>
      </c>
      <c r="L433" s="292" t="str">
        <f t="array" ref="L433">IFERROR(J433*INDEX('PORTIFÓLIO'!$S$4:$S$433,MATCH($C433,'PORTIFÓLIO'!$C$4:$C$433,0)),"")</f>
        <v/>
      </c>
      <c r="U433" s="79"/>
    </row>
    <row r="434" ht="15.75" customHeight="1" outlineLevel="1">
      <c r="A434" s="211"/>
      <c r="B434" s="212"/>
      <c r="C434" s="213"/>
      <c r="D434" s="214" t="str">
        <f>IFERROR(VLOOKUP($C434,'PORTIFÓLIO'!C:V,2,0),"")</f>
        <v/>
      </c>
      <c r="E434" s="211" t="str">
        <f>IFERROR(VLOOKUP($C434,'PORTIFÓLIO'!C:V,3,0),"")</f>
        <v/>
      </c>
      <c r="F434" s="211" t="str">
        <f>IFERROR(VLOOKUP($C434,'PORTIFÓLIO'!C:V,4,0),"")</f>
        <v/>
      </c>
      <c r="G434" s="215" t="str">
        <f>IFERROR(VLOOKUP($C434,'PORTIFÓLIO'!C:V,5,0),"")</f>
        <v/>
      </c>
      <c r="H434" s="254" t="str">
        <f t="array" ref="H434">IFERROR(INDEX('PORTIFÓLIO'!$H$4:$H$433,MATCH($C434,'PORTIFÓLIO'!$C$4:$C$433,0)),"")</f>
        <v/>
      </c>
      <c r="I434" s="256"/>
      <c r="J434" s="218">
        <f t="shared" si="49"/>
        <v>0</v>
      </c>
      <c r="K434" s="292" t="str">
        <f t="array" ref="K434">IFERROR(I434*INDEX('PORTIFÓLIO'!$S$4:$S$433,MATCH($C434,'PORTIFÓLIO'!$C$4:$C$433,0)),"")</f>
        <v/>
      </c>
      <c r="L434" s="292" t="str">
        <f t="array" ref="L434">IFERROR(J434*INDEX('PORTIFÓLIO'!$S$4:$S$433,MATCH($C434,'PORTIFÓLIO'!$C$4:$C$433,0)),"")</f>
        <v/>
      </c>
      <c r="U434" s="79"/>
    </row>
    <row r="435" ht="15.75" customHeight="1" outlineLevel="1">
      <c r="A435" s="211"/>
      <c r="B435" s="212"/>
      <c r="C435" s="213"/>
      <c r="D435" s="214" t="str">
        <f>IFERROR(VLOOKUP($C435,'PORTIFÓLIO'!C:V,2,0),"")</f>
        <v/>
      </c>
      <c r="E435" s="211" t="str">
        <f>IFERROR(VLOOKUP($C435,'PORTIFÓLIO'!C:V,3,0),"")</f>
        <v/>
      </c>
      <c r="F435" s="211" t="str">
        <f>IFERROR(VLOOKUP($C435,'PORTIFÓLIO'!C:V,4,0),"")</f>
        <v/>
      </c>
      <c r="G435" s="215" t="str">
        <f>IFERROR(VLOOKUP($C435,'PORTIFÓLIO'!C:V,5,0),"")</f>
        <v/>
      </c>
      <c r="H435" s="254" t="str">
        <f t="array" ref="H435">IFERROR(INDEX('PORTIFÓLIO'!$H$4:$H$433,MATCH($C435,'PORTIFÓLIO'!$C$4:$C$433,0)),"")</f>
        <v/>
      </c>
      <c r="I435" s="256"/>
      <c r="J435" s="218">
        <f t="shared" si="49"/>
        <v>0</v>
      </c>
      <c r="K435" s="292" t="str">
        <f t="array" ref="K435">IFERROR(I435*INDEX('PORTIFÓLIO'!$S$4:$S$433,MATCH($C435,'PORTIFÓLIO'!$C$4:$C$433,0)),"")</f>
        <v/>
      </c>
      <c r="L435" s="292" t="str">
        <f t="array" ref="L435">IFERROR(J435*INDEX('PORTIFÓLIO'!$S$4:$S$433,MATCH($C435,'PORTIFÓLIO'!$C$4:$C$433,0)),"")</f>
        <v/>
      </c>
      <c r="U435" s="79"/>
    </row>
    <row r="436" ht="15.75" customHeight="1" outlineLevel="1">
      <c r="A436" s="211"/>
      <c r="B436" s="212"/>
      <c r="C436" s="213"/>
      <c r="D436" s="214" t="str">
        <f>IFERROR(VLOOKUP($C436,'PORTIFÓLIO'!C:V,2,0),"")</f>
        <v/>
      </c>
      <c r="E436" s="211" t="str">
        <f>IFERROR(VLOOKUP($C436,'PORTIFÓLIO'!C:V,3,0),"")</f>
        <v/>
      </c>
      <c r="F436" s="211" t="str">
        <f>IFERROR(VLOOKUP($C436,'PORTIFÓLIO'!C:V,4,0),"")</f>
        <v/>
      </c>
      <c r="G436" s="215" t="str">
        <f>IFERROR(VLOOKUP($C436,'PORTIFÓLIO'!C:V,5,0),"")</f>
        <v/>
      </c>
      <c r="H436" s="254" t="str">
        <f t="array" ref="H436">IFERROR(INDEX('PORTIFÓLIO'!$H$4:$H$433,MATCH($C436,'PORTIFÓLIO'!$C$4:$C$433,0)),"")</f>
        <v/>
      </c>
      <c r="I436" s="256"/>
      <c r="J436" s="218">
        <f t="shared" si="49"/>
        <v>0</v>
      </c>
      <c r="K436" s="292" t="str">
        <f t="array" ref="K436">IFERROR(I436*INDEX('PORTIFÓLIO'!$S$4:$S$433,MATCH($C436,'PORTIFÓLIO'!$C$4:$C$433,0)),"")</f>
        <v/>
      </c>
      <c r="L436" s="292" t="str">
        <f t="array" ref="L436">IFERROR(J436*INDEX('PORTIFÓLIO'!$S$4:$S$433,MATCH($C436,'PORTIFÓLIO'!$C$4:$C$433,0)),"")</f>
        <v/>
      </c>
      <c r="U436" s="79"/>
    </row>
    <row r="437" ht="15.75" customHeight="1" outlineLevel="1">
      <c r="A437" s="211"/>
      <c r="B437" s="212"/>
      <c r="C437" s="213"/>
      <c r="D437" s="214" t="str">
        <f>IFERROR(VLOOKUP($C437,'PORTIFÓLIO'!C:V,2,0),"")</f>
        <v/>
      </c>
      <c r="E437" s="211" t="str">
        <f>IFERROR(VLOOKUP($C437,'PORTIFÓLIO'!C:V,3,0),"")</f>
        <v/>
      </c>
      <c r="F437" s="211" t="str">
        <f>IFERROR(VLOOKUP($C437,'PORTIFÓLIO'!C:V,4,0),"")</f>
        <v/>
      </c>
      <c r="G437" s="215" t="str">
        <f>IFERROR(VLOOKUP($C437,'PORTIFÓLIO'!C:V,5,0),"")</f>
        <v/>
      </c>
      <c r="H437" s="254" t="str">
        <f t="array" ref="H437">IFERROR(INDEX('PORTIFÓLIO'!$H$4:$H$433,MATCH($C437,'PORTIFÓLIO'!$C$4:$C$433,0)),"")</f>
        <v/>
      </c>
      <c r="I437" s="256"/>
      <c r="J437" s="218">
        <f t="shared" si="49"/>
        <v>0</v>
      </c>
      <c r="K437" s="292" t="str">
        <f t="array" ref="K437">IFERROR(I437*INDEX('PORTIFÓLIO'!$S$4:$S$433,MATCH($C437,'PORTIFÓLIO'!$C$4:$C$433,0)),"")</f>
        <v/>
      </c>
      <c r="L437" s="292" t="str">
        <f t="array" ref="L437">IFERROR(J437*INDEX('PORTIFÓLIO'!$S$4:$S$433,MATCH($C437,'PORTIFÓLIO'!$C$4:$C$433,0)),"")</f>
        <v/>
      </c>
      <c r="U437" s="79"/>
    </row>
    <row r="438" ht="15.75" customHeight="1" outlineLevel="1">
      <c r="A438" s="211"/>
      <c r="B438" s="212"/>
      <c r="C438" s="213"/>
      <c r="D438" s="214" t="str">
        <f>IFERROR(VLOOKUP($C438,'PORTIFÓLIO'!C:V,2,0),"")</f>
        <v/>
      </c>
      <c r="E438" s="211" t="str">
        <f>IFERROR(VLOOKUP($C438,'PORTIFÓLIO'!C:V,3,0),"")</f>
        <v/>
      </c>
      <c r="F438" s="211" t="str">
        <f>IFERROR(VLOOKUP($C438,'PORTIFÓLIO'!C:V,4,0),"")</f>
        <v/>
      </c>
      <c r="G438" s="215" t="str">
        <f>IFERROR(VLOOKUP($C438,'PORTIFÓLIO'!C:V,5,0),"")</f>
        <v/>
      </c>
      <c r="H438" s="254" t="str">
        <f t="array" ref="H438">IFERROR(INDEX('PORTIFÓLIO'!$H$4:$H$433,MATCH($C438,'PORTIFÓLIO'!$C$4:$C$433,0)),"")</f>
        <v/>
      </c>
      <c r="I438" s="256"/>
      <c r="J438" s="218">
        <f t="shared" si="49"/>
        <v>0</v>
      </c>
      <c r="K438" s="292" t="str">
        <f t="array" ref="K438">IFERROR(I438*INDEX('PORTIFÓLIO'!$S$4:$S$433,MATCH($C438,'PORTIFÓLIO'!$C$4:$C$433,0)),"")</f>
        <v/>
      </c>
      <c r="L438" s="292" t="str">
        <f t="array" ref="L438">IFERROR(J438*INDEX('PORTIFÓLIO'!$S$4:$S$433,MATCH($C438,'PORTIFÓLIO'!$C$4:$C$433,0)),"")</f>
        <v/>
      </c>
      <c r="U438" s="79"/>
    </row>
    <row r="439" ht="15.75" customHeight="1" outlineLevel="1">
      <c r="A439" s="211"/>
      <c r="B439" s="212"/>
      <c r="C439" s="213"/>
      <c r="D439" s="214" t="str">
        <f>IFERROR(VLOOKUP($C439,'PORTIFÓLIO'!C:V,2,0),"")</f>
        <v/>
      </c>
      <c r="E439" s="211" t="str">
        <f>IFERROR(VLOOKUP($C439,'PORTIFÓLIO'!C:V,3,0),"")</f>
        <v/>
      </c>
      <c r="F439" s="211" t="str">
        <f>IFERROR(VLOOKUP($C439,'PORTIFÓLIO'!C:V,4,0),"")</f>
        <v/>
      </c>
      <c r="G439" s="215" t="str">
        <f>IFERROR(VLOOKUP($C439,'PORTIFÓLIO'!C:V,5,0),"")</f>
        <v/>
      </c>
      <c r="H439" s="254" t="str">
        <f t="array" ref="H439">IFERROR(INDEX('PORTIFÓLIO'!$H$4:$H$433,MATCH($C439,'PORTIFÓLIO'!$C$4:$C$433,0)),"")</f>
        <v/>
      </c>
      <c r="I439" s="256"/>
      <c r="J439" s="218">
        <f t="shared" si="49"/>
        <v>0</v>
      </c>
      <c r="K439" s="292" t="str">
        <f t="array" ref="K439">IFERROR(I439*INDEX('PORTIFÓLIO'!$S$4:$S$433,MATCH($C439,'PORTIFÓLIO'!$C$4:$C$433,0)),"")</f>
        <v/>
      </c>
      <c r="L439" s="292" t="str">
        <f t="array" ref="L439">IFERROR(J439*INDEX('PORTIFÓLIO'!$S$4:$S$433,MATCH($C439,'PORTIFÓLIO'!$C$4:$C$433,0)),"")</f>
        <v/>
      </c>
      <c r="U439" s="79"/>
    </row>
    <row r="440" ht="15.75" customHeight="1" outlineLevel="1">
      <c r="A440" s="211"/>
      <c r="B440" s="212"/>
      <c r="C440" s="213"/>
      <c r="D440" s="214" t="str">
        <f>IFERROR(VLOOKUP($C440,'PORTIFÓLIO'!C:V,2,0),"")</f>
        <v/>
      </c>
      <c r="E440" s="211" t="str">
        <f>IFERROR(VLOOKUP($C440,'PORTIFÓLIO'!C:V,3,0),"")</f>
        <v/>
      </c>
      <c r="F440" s="211" t="str">
        <f>IFERROR(VLOOKUP($C440,'PORTIFÓLIO'!C:V,4,0),"")</f>
        <v/>
      </c>
      <c r="G440" s="215" t="str">
        <f>IFERROR(VLOOKUP($C440,'PORTIFÓLIO'!C:V,5,0),"")</f>
        <v/>
      </c>
      <c r="H440" s="254" t="str">
        <f t="array" ref="H440">IFERROR(INDEX('PORTIFÓLIO'!$H$4:$H$433,MATCH($C440,'PORTIFÓLIO'!$C$4:$C$433,0)),"")</f>
        <v/>
      </c>
      <c r="I440" s="256"/>
      <c r="J440" s="218">
        <f t="shared" si="49"/>
        <v>0</v>
      </c>
      <c r="K440" s="292" t="str">
        <f t="array" ref="K440">IFERROR(I440*INDEX('PORTIFÓLIO'!$S$4:$S$433,MATCH($C440,'PORTIFÓLIO'!$C$4:$C$433,0)),"")</f>
        <v/>
      </c>
      <c r="L440" s="292" t="str">
        <f t="array" ref="L440">IFERROR(J440*INDEX('PORTIFÓLIO'!$S$4:$S$433,MATCH($C440,'PORTIFÓLIO'!$C$4:$C$433,0)),"")</f>
        <v/>
      </c>
      <c r="U440" s="79"/>
    </row>
    <row r="441" ht="15.75" customHeight="1" outlineLevel="1">
      <c r="A441" s="211"/>
      <c r="B441" s="212"/>
      <c r="C441" s="213"/>
      <c r="D441" s="214" t="str">
        <f>IFERROR(VLOOKUP($C441,'PORTIFÓLIO'!C:V,2,0),"")</f>
        <v/>
      </c>
      <c r="E441" s="211" t="str">
        <f>IFERROR(VLOOKUP($C441,'PORTIFÓLIO'!C:V,3,0),"")</f>
        <v/>
      </c>
      <c r="F441" s="211" t="str">
        <f>IFERROR(VLOOKUP($C441,'PORTIFÓLIO'!C:V,4,0),"")</f>
        <v/>
      </c>
      <c r="G441" s="215" t="str">
        <f>IFERROR(VLOOKUP($C441,'PORTIFÓLIO'!C:V,5,0),"")</f>
        <v/>
      </c>
      <c r="H441" s="254" t="str">
        <f t="array" ref="H441">IFERROR(INDEX('PORTIFÓLIO'!$H$4:$H$433,MATCH($C441,'PORTIFÓLIO'!$C$4:$C$433,0)),"")</f>
        <v/>
      </c>
      <c r="I441" s="256"/>
      <c r="J441" s="218">
        <f t="shared" si="49"/>
        <v>0</v>
      </c>
      <c r="K441" s="292" t="str">
        <f t="array" ref="K441">IFERROR(I441*INDEX('PORTIFÓLIO'!$S$4:$S$433,MATCH($C441,'PORTIFÓLIO'!$C$4:$C$433,0)),"")</f>
        <v/>
      </c>
      <c r="L441" s="292" t="str">
        <f t="array" ref="L441">IFERROR(J441*INDEX('PORTIFÓLIO'!$S$4:$S$433,MATCH($C441,'PORTIFÓLIO'!$C$4:$C$433,0)),"")</f>
        <v/>
      </c>
      <c r="U441" s="79"/>
    </row>
    <row r="442" ht="15.75" customHeight="1" outlineLevel="1">
      <c r="A442" s="211"/>
      <c r="B442" s="212"/>
      <c r="C442" s="213"/>
      <c r="D442" s="214" t="str">
        <f>IFERROR(VLOOKUP($C442,'PORTIFÓLIO'!C:V,2,0),"")</f>
        <v/>
      </c>
      <c r="E442" s="211" t="str">
        <f>IFERROR(VLOOKUP($C442,'PORTIFÓLIO'!C:V,3,0),"")</f>
        <v/>
      </c>
      <c r="F442" s="211" t="str">
        <f>IFERROR(VLOOKUP($C442,'PORTIFÓLIO'!C:V,4,0),"")</f>
        <v/>
      </c>
      <c r="G442" s="215" t="str">
        <f>IFERROR(VLOOKUP($C442,'PORTIFÓLIO'!C:V,5,0),"")</f>
        <v/>
      </c>
      <c r="H442" s="254" t="str">
        <f t="array" ref="H442">IFERROR(INDEX('PORTIFÓLIO'!$H$4:$H$433,MATCH($C442,'PORTIFÓLIO'!$C$4:$C$433,0)),"")</f>
        <v/>
      </c>
      <c r="I442" s="256"/>
      <c r="J442" s="218">
        <f t="shared" si="49"/>
        <v>0</v>
      </c>
      <c r="K442" s="292" t="str">
        <f t="array" ref="K442">IFERROR(I442*INDEX('PORTIFÓLIO'!$S$4:$S$433,MATCH($C442,'PORTIFÓLIO'!$C$4:$C$433,0)),"")</f>
        <v/>
      </c>
      <c r="L442" s="292" t="str">
        <f t="array" ref="L442">IFERROR(J442*INDEX('PORTIFÓLIO'!$S$4:$S$433,MATCH($C442,'PORTIFÓLIO'!$C$4:$C$433,0)),"")</f>
        <v/>
      </c>
      <c r="U442" s="79"/>
    </row>
    <row r="443" ht="15.75" customHeight="1" outlineLevel="1">
      <c r="A443" s="211"/>
      <c r="B443" s="227"/>
      <c r="C443" s="211"/>
      <c r="D443" s="214" t="str">
        <f>IFERROR(VLOOKUP($C443,'PORTIFÓLIO'!C:V,2,0),"")</f>
        <v/>
      </c>
      <c r="E443" s="211" t="str">
        <f>IFERROR(VLOOKUP($C443,'PORTIFÓLIO'!C:V,3,0),"")</f>
        <v/>
      </c>
      <c r="F443" s="211" t="str">
        <f>IFERROR(VLOOKUP($C443,'PORTIFÓLIO'!C:V,4,0),"")</f>
        <v/>
      </c>
      <c r="G443" s="215" t="str">
        <f>IFERROR(VLOOKUP($C443,'PORTIFÓLIO'!C:V,5,0),"")</f>
        <v/>
      </c>
      <c r="H443" s="254" t="str">
        <f t="array" ref="H443">IFERROR(INDEX('PORTIFÓLIO'!$H$4:$H$433,MATCH($C443,'PORTIFÓLIO'!$C$4:$C$433,0)),"")</f>
        <v/>
      </c>
      <c r="I443" s="256"/>
      <c r="J443" s="218">
        <f t="shared" si="49"/>
        <v>0</v>
      </c>
      <c r="K443" s="292" t="str">
        <f t="array" ref="K443">IFERROR(I443*INDEX('PORTIFÓLIO'!$S$4:$S$433,MATCH($C443,'PORTIFÓLIO'!$C$4:$C$433,0)),"")</f>
        <v/>
      </c>
      <c r="L443" s="292" t="str">
        <f t="array" ref="L443">IFERROR(J443*INDEX('PORTIFÓLIO'!$S$4:$S$433,MATCH($C443,'PORTIFÓLIO'!$C$4:$C$433,0)),"")</f>
        <v/>
      </c>
      <c r="U443" s="79"/>
    </row>
    <row r="444" ht="15.75" customHeight="1" outlineLevel="1">
      <c r="A444" s="211"/>
      <c r="B444" s="227"/>
      <c r="C444" s="211"/>
      <c r="D444" s="214" t="str">
        <f>IFERROR(VLOOKUP($C444,'PORTIFÓLIO'!C:V,2,0),"")</f>
        <v/>
      </c>
      <c r="E444" s="211" t="str">
        <f>IFERROR(VLOOKUP($C444,'PORTIFÓLIO'!C:V,3,0),"")</f>
        <v/>
      </c>
      <c r="F444" s="211" t="str">
        <f>IFERROR(VLOOKUP($C444,'PORTIFÓLIO'!C:V,4,0),"")</f>
        <v/>
      </c>
      <c r="G444" s="215" t="str">
        <f>IFERROR(VLOOKUP($C444,'PORTIFÓLIO'!C:V,5,0),"")</f>
        <v/>
      </c>
      <c r="H444" s="254" t="str">
        <f t="array" ref="H444">IFERROR(INDEX('PORTIFÓLIO'!$H$4:$H$433,MATCH($C444,'PORTIFÓLIO'!$C$4:$C$433,0)),"")</f>
        <v/>
      </c>
      <c r="I444" s="256"/>
      <c r="J444" s="218">
        <f t="shared" si="49"/>
        <v>0</v>
      </c>
      <c r="K444" s="292" t="str">
        <f t="array" ref="K444">IFERROR(I444*INDEX('PORTIFÓLIO'!$S$4:$S$433,MATCH($C444,'PORTIFÓLIO'!$C$4:$C$433,0)),"")</f>
        <v/>
      </c>
      <c r="L444" s="292" t="str">
        <f t="array" ref="L444">IFERROR(J444*INDEX('PORTIFÓLIO'!$S$4:$S$433,MATCH($C444,'PORTIFÓLIO'!$C$4:$C$433,0)),"")</f>
        <v/>
      </c>
      <c r="U444" s="79"/>
    </row>
    <row r="445" ht="15.75" customHeight="1" outlineLevel="1">
      <c r="A445" s="211"/>
      <c r="B445" s="227"/>
      <c r="C445" s="211"/>
      <c r="D445" s="214" t="str">
        <f>IFERROR(VLOOKUP($C445,'PORTIFÓLIO'!C:V,2,0),"")</f>
        <v/>
      </c>
      <c r="E445" s="211" t="str">
        <f>IFERROR(VLOOKUP($C445,'PORTIFÓLIO'!C:V,3,0),"")</f>
        <v/>
      </c>
      <c r="F445" s="211" t="str">
        <f>IFERROR(VLOOKUP($C445,'PORTIFÓLIO'!C:V,4,0),"")</f>
        <v/>
      </c>
      <c r="G445" s="215" t="str">
        <f>IFERROR(VLOOKUP($C445,'PORTIFÓLIO'!C:V,5,0),"")</f>
        <v/>
      </c>
      <c r="H445" s="254" t="str">
        <f t="array" ref="H445">IFERROR(INDEX('PORTIFÓLIO'!$H$4:$H$433,MATCH($C445,'PORTIFÓLIO'!$C$4:$C$433,0)),"")</f>
        <v/>
      </c>
      <c r="I445" s="256"/>
      <c r="J445" s="218">
        <f t="shared" si="49"/>
        <v>0</v>
      </c>
      <c r="K445" s="292" t="str">
        <f t="array" ref="K445">IFERROR(I445*INDEX('PORTIFÓLIO'!$S$4:$S$433,MATCH($C445,'PORTIFÓLIO'!$C$4:$C$433,0)),"")</f>
        <v/>
      </c>
      <c r="L445" s="292" t="str">
        <f t="array" ref="L445">IFERROR(J445*INDEX('PORTIFÓLIO'!$S$4:$S$433,MATCH($C445,'PORTIFÓLIO'!$C$4:$C$433,0)),"")</f>
        <v/>
      </c>
      <c r="U445" s="79"/>
    </row>
    <row r="446" ht="15.75" customHeight="1" outlineLevel="1">
      <c r="A446" s="211"/>
      <c r="B446" s="227"/>
      <c r="C446" s="211"/>
      <c r="D446" s="214" t="str">
        <f>IFERROR(VLOOKUP($C446,'PORTIFÓLIO'!C:V,2,0),"")</f>
        <v/>
      </c>
      <c r="E446" s="211" t="str">
        <f>IFERROR(VLOOKUP($C446,'PORTIFÓLIO'!C:V,3,0),"")</f>
        <v/>
      </c>
      <c r="F446" s="211" t="str">
        <f>IFERROR(VLOOKUP($C446,'PORTIFÓLIO'!C:V,4,0),"")</f>
        <v/>
      </c>
      <c r="G446" s="215" t="str">
        <f>IFERROR(VLOOKUP($C446,'PORTIFÓLIO'!C:V,5,0),"")</f>
        <v/>
      </c>
      <c r="H446" s="254" t="str">
        <f t="array" ref="H446">IFERROR(INDEX('PORTIFÓLIO'!$H$4:$H$433,MATCH($C446,'PORTIFÓLIO'!$C$4:$C$433,0)),"")</f>
        <v/>
      </c>
      <c r="I446" s="256"/>
      <c r="J446" s="218">
        <f t="shared" si="49"/>
        <v>0</v>
      </c>
      <c r="K446" s="292" t="str">
        <f t="array" ref="K446">IFERROR(I446*INDEX('PORTIFÓLIO'!$S$4:$S$433,MATCH($C446,'PORTIFÓLIO'!$C$4:$C$433,0)),"")</f>
        <v/>
      </c>
      <c r="L446" s="292" t="str">
        <f t="array" ref="L446">IFERROR(J446*INDEX('PORTIFÓLIO'!$S$4:$S$433,MATCH($C446,'PORTIFÓLIO'!$C$4:$C$433,0)),"")</f>
        <v/>
      </c>
      <c r="U446" s="79"/>
    </row>
    <row r="447" ht="15.75" customHeight="1" outlineLevel="1">
      <c r="A447" s="211"/>
      <c r="B447" s="227"/>
      <c r="C447" s="211"/>
      <c r="D447" s="214" t="str">
        <f>IFERROR(VLOOKUP($C447,'PORTIFÓLIO'!C:V,2,0),"")</f>
        <v/>
      </c>
      <c r="E447" s="211" t="str">
        <f>IFERROR(VLOOKUP($C447,'PORTIFÓLIO'!C:V,3,0),"")</f>
        <v/>
      </c>
      <c r="F447" s="211" t="str">
        <f>IFERROR(VLOOKUP($C447,'PORTIFÓLIO'!C:V,4,0),"")</f>
        <v/>
      </c>
      <c r="G447" s="215" t="str">
        <f>IFERROR(VLOOKUP($C447,'PORTIFÓLIO'!C:V,5,0),"")</f>
        <v/>
      </c>
      <c r="H447" s="254" t="str">
        <f t="array" ref="H447">IFERROR(INDEX('PORTIFÓLIO'!$H$4:$H$433,MATCH($C447,'PORTIFÓLIO'!$C$4:$C$433,0)),"")</f>
        <v/>
      </c>
      <c r="I447" s="256"/>
      <c r="J447" s="218">
        <f t="shared" si="49"/>
        <v>0</v>
      </c>
      <c r="K447" s="292" t="str">
        <f t="array" ref="K447">IFERROR(I447*INDEX('PORTIFÓLIO'!$S$4:$S$433,MATCH($C447,'PORTIFÓLIO'!$C$4:$C$433,0)),"")</f>
        <v/>
      </c>
      <c r="L447" s="292" t="str">
        <f t="array" ref="L447">IFERROR(J447*INDEX('PORTIFÓLIO'!$S$4:$S$433,MATCH($C447,'PORTIFÓLIO'!$C$4:$C$433,0)),"")</f>
        <v/>
      </c>
      <c r="U447" s="79"/>
    </row>
    <row r="448" ht="15.75" customHeight="1" outlineLevel="1">
      <c r="A448" s="211"/>
      <c r="B448" s="227"/>
      <c r="C448" s="211"/>
      <c r="D448" s="214" t="str">
        <f>IFERROR(VLOOKUP($C448,'PORTIFÓLIO'!C:V,2,0),"")</f>
        <v/>
      </c>
      <c r="E448" s="211" t="str">
        <f>IFERROR(VLOOKUP($C448,'PORTIFÓLIO'!C:V,3,0),"")</f>
        <v/>
      </c>
      <c r="F448" s="211" t="str">
        <f>IFERROR(VLOOKUP($C448,'PORTIFÓLIO'!C:V,4,0),"")</f>
        <v/>
      </c>
      <c r="G448" s="215" t="str">
        <f>IFERROR(VLOOKUP($C448,'PORTIFÓLIO'!C:V,5,0),"")</f>
        <v/>
      </c>
      <c r="H448" s="254" t="str">
        <f t="array" ref="H448">IFERROR(INDEX('PORTIFÓLIO'!$H$4:$H$433,MATCH($C448,'PORTIFÓLIO'!$C$4:$C$433,0)),"")</f>
        <v/>
      </c>
      <c r="I448" s="256"/>
      <c r="J448" s="218">
        <f t="shared" si="49"/>
        <v>0</v>
      </c>
      <c r="K448" s="292" t="str">
        <f t="array" ref="K448">IFERROR(I448*INDEX('PORTIFÓLIO'!$S$4:$S$433,MATCH($C448,'PORTIFÓLIO'!$C$4:$C$433,0)),"")</f>
        <v/>
      </c>
      <c r="L448" s="292" t="str">
        <f t="array" ref="L448">IFERROR(J448*INDEX('PORTIFÓLIO'!$S$4:$S$433,MATCH($C448,'PORTIFÓLIO'!$C$4:$C$433,0)),"")</f>
        <v/>
      </c>
      <c r="U448" s="79"/>
    </row>
    <row r="449" ht="15.75" customHeight="1" outlineLevel="1">
      <c r="A449" s="211"/>
      <c r="B449" s="227"/>
      <c r="C449" s="211"/>
      <c r="D449" s="214" t="str">
        <f>IFERROR(VLOOKUP($C449,'PORTIFÓLIO'!C:V,2,0),"")</f>
        <v/>
      </c>
      <c r="E449" s="211" t="str">
        <f>IFERROR(VLOOKUP($C449,'PORTIFÓLIO'!C:V,3,0),"")</f>
        <v/>
      </c>
      <c r="F449" s="211" t="str">
        <f>IFERROR(VLOOKUP($C449,'PORTIFÓLIO'!C:V,4,0),"")</f>
        <v/>
      </c>
      <c r="G449" s="215" t="str">
        <f>IFERROR(VLOOKUP($C449,'PORTIFÓLIO'!C:V,5,0),"")</f>
        <v/>
      </c>
      <c r="H449" s="254" t="str">
        <f t="array" ref="H449">IFERROR(INDEX('PORTIFÓLIO'!$H$4:$H$433,MATCH($C449,'PORTIFÓLIO'!$C$4:$C$433,0)),"")</f>
        <v/>
      </c>
      <c r="I449" s="256"/>
      <c r="J449" s="218">
        <f t="shared" si="49"/>
        <v>0</v>
      </c>
      <c r="K449" s="292" t="str">
        <f t="array" ref="K449">IFERROR(I449*INDEX('PORTIFÓLIO'!$S$4:$S$433,MATCH($C449,'PORTIFÓLIO'!$C$4:$C$433,0)),"")</f>
        <v/>
      </c>
      <c r="L449" s="292" t="str">
        <f t="array" ref="L449">IFERROR(J449*INDEX('PORTIFÓLIO'!$S$4:$S$433,MATCH($C449,'PORTIFÓLIO'!$C$4:$C$433,0)),"")</f>
        <v/>
      </c>
      <c r="U449" s="79"/>
    </row>
    <row r="450" ht="15.75" customHeight="1" outlineLevel="1">
      <c r="A450" s="211"/>
      <c r="B450" s="227"/>
      <c r="C450" s="211"/>
      <c r="D450" s="214" t="str">
        <f>IFERROR(VLOOKUP($C450,'PORTIFÓLIO'!C:V,2,0),"")</f>
        <v/>
      </c>
      <c r="E450" s="211" t="str">
        <f>IFERROR(VLOOKUP($C450,'PORTIFÓLIO'!C:V,3,0),"")</f>
        <v/>
      </c>
      <c r="F450" s="211" t="str">
        <f>IFERROR(VLOOKUP($C450,'PORTIFÓLIO'!C:V,4,0),"")</f>
        <v/>
      </c>
      <c r="G450" s="215" t="str">
        <f>IFERROR(VLOOKUP($C450,'PORTIFÓLIO'!C:V,5,0),"")</f>
        <v/>
      </c>
      <c r="H450" s="254" t="str">
        <f t="array" ref="H450">IFERROR(INDEX('PORTIFÓLIO'!$H$4:$H$433,MATCH($C450,'PORTIFÓLIO'!$C$4:$C$433,0)),"")</f>
        <v/>
      </c>
      <c r="I450" s="256"/>
      <c r="J450" s="218">
        <f t="shared" si="49"/>
        <v>0</v>
      </c>
      <c r="K450" s="292" t="str">
        <f t="array" ref="K450">IFERROR(I450*INDEX('PORTIFÓLIO'!$S$4:$S$433,MATCH($C450,'PORTIFÓLIO'!$C$4:$C$433,0)),"")</f>
        <v/>
      </c>
      <c r="L450" s="292" t="str">
        <f t="array" ref="L450">IFERROR(J450*INDEX('PORTIFÓLIO'!$S$4:$S$433,MATCH($C450,'PORTIFÓLIO'!$C$4:$C$433,0)),"")</f>
        <v/>
      </c>
      <c r="U450" s="79"/>
    </row>
    <row r="451" ht="15.75" customHeight="1" outlineLevel="1">
      <c r="A451" s="211"/>
      <c r="B451" s="227"/>
      <c r="C451" s="211"/>
      <c r="D451" s="214" t="str">
        <f>IFERROR(VLOOKUP($C451,'PORTIFÓLIO'!C:V,2,0),"")</f>
        <v/>
      </c>
      <c r="E451" s="211" t="str">
        <f>IFERROR(VLOOKUP($C451,'PORTIFÓLIO'!C:V,3,0),"")</f>
        <v/>
      </c>
      <c r="F451" s="211" t="str">
        <f>IFERROR(VLOOKUP($C451,'PORTIFÓLIO'!C:V,4,0),"")</f>
        <v/>
      </c>
      <c r="G451" s="215" t="str">
        <f>IFERROR(VLOOKUP($C451,'PORTIFÓLIO'!C:V,5,0),"")</f>
        <v/>
      </c>
      <c r="H451" s="254" t="str">
        <f t="array" ref="H451">IFERROR(INDEX('PORTIFÓLIO'!$H$4:$H$433,MATCH($C451,'PORTIFÓLIO'!$C$4:$C$433,0)),"")</f>
        <v/>
      </c>
      <c r="I451" s="256"/>
      <c r="J451" s="218">
        <f t="shared" si="49"/>
        <v>0</v>
      </c>
      <c r="K451" s="292" t="str">
        <f t="array" ref="K451">IFERROR(I451*INDEX('PORTIFÓLIO'!$S$4:$S$433,MATCH($C451,'PORTIFÓLIO'!$C$4:$C$433,0)),"")</f>
        <v/>
      </c>
      <c r="L451" s="292" t="str">
        <f t="array" ref="L451">IFERROR(J451*INDEX('PORTIFÓLIO'!$S$4:$S$433,MATCH($C451,'PORTIFÓLIO'!$C$4:$C$433,0)),"")</f>
        <v/>
      </c>
      <c r="U451" s="79"/>
    </row>
    <row r="452" ht="15.75" customHeight="1">
      <c r="A452" s="227"/>
      <c r="B452" s="227"/>
      <c r="C452" s="227"/>
      <c r="D452" s="227"/>
      <c r="E452" s="227"/>
      <c r="F452" s="227"/>
      <c r="G452" s="215"/>
      <c r="H452" s="227"/>
      <c r="I452" s="227"/>
      <c r="J452" s="227"/>
      <c r="K452" s="293">
        <f t="shared" ref="K452:L452" si="50">SUBTOTAL(9,K237:K427)</f>
        <v>0</v>
      </c>
      <c r="L452" s="293">
        <f t="shared" si="50"/>
        <v>0</v>
      </c>
      <c r="U452" s="79"/>
    </row>
    <row r="453" ht="15.75" customHeight="1">
      <c r="U453" s="79"/>
    </row>
    <row r="454" ht="15.75" customHeight="1">
      <c r="U454" s="79"/>
    </row>
    <row r="455" ht="15.75" customHeight="1">
      <c r="U455" s="79"/>
    </row>
    <row r="456" ht="15.75" customHeight="1">
      <c r="U456" s="79"/>
    </row>
    <row r="457" ht="15.75" customHeight="1">
      <c r="U457" s="79"/>
    </row>
    <row r="458" ht="15.75" customHeight="1">
      <c r="U458" s="79"/>
    </row>
    <row r="459" ht="15.75" customHeight="1">
      <c r="U459" s="79"/>
    </row>
    <row r="460" ht="15.75" customHeight="1">
      <c r="U460" s="79"/>
    </row>
    <row r="461" ht="15.75" customHeight="1">
      <c r="U461" s="79"/>
    </row>
    <row r="462" ht="15.75" customHeight="1">
      <c r="U462" s="79"/>
    </row>
    <row r="463" ht="15.75" customHeight="1">
      <c r="U463" s="79"/>
    </row>
    <row r="464" ht="15.75" customHeight="1">
      <c r="U464" s="79"/>
    </row>
    <row r="465" ht="15.75" customHeight="1">
      <c r="U465" s="79"/>
    </row>
    <row r="466" ht="15.75" customHeight="1">
      <c r="U466" s="79"/>
    </row>
    <row r="467" ht="15.75" customHeight="1">
      <c r="U467" s="79"/>
    </row>
    <row r="468" ht="15.75" customHeight="1">
      <c r="U468" s="79"/>
    </row>
    <row r="469" ht="15.75" customHeight="1">
      <c r="U469" s="79"/>
    </row>
    <row r="470" ht="15.75" customHeight="1">
      <c r="U470" s="79"/>
    </row>
    <row r="471" ht="15.75" customHeight="1">
      <c r="U471" s="79"/>
    </row>
    <row r="472" ht="15.75" customHeight="1">
      <c r="U472" s="79"/>
    </row>
    <row r="473" ht="15.75" customHeight="1">
      <c r="U473" s="79"/>
    </row>
    <row r="474" ht="15.75" customHeight="1">
      <c r="U474" s="79"/>
    </row>
    <row r="475" ht="15.75" customHeight="1">
      <c r="U475" s="79"/>
    </row>
    <row r="476" ht="15.75" customHeight="1">
      <c r="U476" s="79"/>
    </row>
    <row r="477" ht="15.75" customHeight="1">
      <c r="U477" s="79"/>
    </row>
    <row r="478" ht="15.75" customHeight="1">
      <c r="U478" s="79"/>
    </row>
    <row r="479" ht="15.75" customHeight="1">
      <c r="U479" s="79"/>
    </row>
    <row r="480" ht="15.75" customHeight="1">
      <c r="U480" s="79"/>
    </row>
    <row r="481" ht="15.75" customHeight="1">
      <c r="U481" s="79"/>
    </row>
    <row r="482" ht="15.75" customHeight="1">
      <c r="U482" s="79"/>
    </row>
    <row r="483" ht="15.75" customHeight="1">
      <c r="U483" s="79"/>
    </row>
    <row r="484" ht="15.75" customHeight="1">
      <c r="U484" s="79"/>
    </row>
    <row r="485" ht="15.75" customHeight="1">
      <c r="U485" s="79"/>
    </row>
    <row r="486" ht="15.75" customHeight="1">
      <c r="U486" s="79"/>
    </row>
    <row r="487" ht="15.75" customHeight="1">
      <c r="U487" s="79"/>
    </row>
    <row r="488" ht="15.75" customHeight="1">
      <c r="U488" s="79"/>
    </row>
    <row r="489" ht="15.75" customHeight="1">
      <c r="U489" s="79"/>
    </row>
    <row r="490" ht="15.75" customHeight="1">
      <c r="U490" s="79"/>
    </row>
    <row r="491" ht="15.75" customHeight="1">
      <c r="U491" s="79"/>
    </row>
    <row r="492" ht="15.75" customHeight="1">
      <c r="U492" s="79"/>
    </row>
    <row r="493" ht="15.75" customHeight="1">
      <c r="U493" s="79"/>
    </row>
    <row r="494" ht="15.75" customHeight="1">
      <c r="U494" s="79"/>
    </row>
    <row r="495" ht="15.75" customHeight="1">
      <c r="U495" s="79"/>
    </row>
    <row r="496" ht="15.75" customHeight="1">
      <c r="U496" s="79"/>
    </row>
    <row r="497" ht="15.75" customHeight="1">
      <c r="U497" s="79"/>
    </row>
    <row r="498" ht="15.75" customHeight="1">
      <c r="U498" s="79"/>
    </row>
    <row r="499" ht="15.75" customHeight="1">
      <c r="U499" s="79"/>
    </row>
    <row r="500" ht="15.75" customHeight="1">
      <c r="U500" s="79"/>
    </row>
    <row r="501" ht="15.75" customHeight="1">
      <c r="U501" s="79"/>
    </row>
    <row r="502" ht="15.75" customHeight="1">
      <c r="U502" s="79"/>
    </row>
    <row r="503" ht="15.75" customHeight="1">
      <c r="U503" s="79"/>
    </row>
    <row r="504" ht="15.75" customHeight="1">
      <c r="U504" s="79"/>
    </row>
    <row r="505" ht="15.75" customHeight="1">
      <c r="U505" s="79"/>
    </row>
    <row r="506" ht="15.75" customHeight="1">
      <c r="U506" s="79"/>
    </row>
    <row r="507" ht="15.75" customHeight="1">
      <c r="U507" s="79"/>
    </row>
    <row r="508" ht="15.75" customHeight="1">
      <c r="U508" s="79"/>
    </row>
    <row r="509" ht="15.75" customHeight="1">
      <c r="U509" s="79"/>
    </row>
    <row r="510" ht="15.75" customHeight="1">
      <c r="U510" s="79"/>
    </row>
    <row r="511" ht="15.75" customHeight="1">
      <c r="U511" s="79"/>
    </row>
    <row r="512" ht="15.75" customHeight="1">
      <c r="U512" s="79"/>
    </row>
    <row r="513" ht="15.75" customHeight="1">
      <c r="U513" s="79"/>
    </row>
    <row r="514" ht="15.75" customHeight="1">
      <c r="U514" s="79"/>
    </row>
    <row r="515" ht="15.75" customHeight="1">
      <c r="U515" s="79"/>
    </row>
    <row r="516" ht="15.75" customHeight="1">
      <c r="U516" s="79"/>
    </row>
    <row r="517" ht="15.75" customHeight="1">
      <c r="U517" s="79"/>
    </row>
    <row r="518" ht="15.75" customHeight="1">
      <c r="U518" s="79"/>
    </row>
    <row r="519" ht="15.75" customHeight="1">
      <c r="U519" s="79"/>
    </row>
    <row r="520" ht="15.75" customHeight="1">
      <c r="U520" s="79"/>
    </row>
    <row r="521" ht="15.75" customHeight="1">
      <c r="U521" s="79"/>
    </row>
    <row r="522" ht="15.75" customHeight="1">
      <c r="U522" s="79"/>
    </row>
    <row r="523" ht="15.75" customHeight="1">
      <c r="U523" s="79"/>
    </row>
    <row r="524" ht="15.75" customHeight="1">
      <c r="U524" s="79"/>
    </row>
    <row r="525" ht="15.75" customHeight="1">
      <c r="U525" s="79"/>
    </row>
    <row r="526" ht="15.75" customHeight="1">
      <c r="U526" s="79"/>
    </row>
    <row r="527" ht="15.75" customHeight="1">
      <c r="U527" s="79"/>
    </row>
    <row r="528" ht="15.75" customHeight="1">
      <c r="U528" s="79"/>
    </row>
    <row r="529" ht="15.75" customHeight="1">
      <c r="U529" s="79"/>
    </row>
    <row r="530" ht="15.75" customHeight="1">
      <c r="U530" s="79"/>
    </row>
    <row r="531" ht="15.75" customHeight="1">
      <c r="U531" s="79"/>
    </row>
    <row r="532" ht="15.75" customHeight="1">
      <c r="U532" s="79"/>
    </row>
    <row r="533" ht="15.75" customHeight="1">
      <c r="U533" s="79"/>
    </row>
    <row r="534" ht="15.75" customHeight="1">
      <c r="U534" s="79"/>
    </row>
    <row r="535" ht="15.75" customHeight="1">
      <c r="U535" s="79"/>
    </row>
    <row r="536" ht="15.75" customHeight="1">
      <c r="U536" s="79"/>
    </row>
    <row r="537" ht="15.75" customHeight="1">
      <c r="U537" s="79"/>
    </row>
    <row r="538" ht="15.75" customHeight="1">
      <c r="U538" s="79"/>
    </row>
    <row r="539" ht="15.75" customHeight="1">
      <c r="U539" s="79"/>
    </row>
    <row r="540" ht="15.75" customHeight="1">
      <c r="U540" s="79"/>
    </row>
    <row r="541" ht="15.75" customHeight="1">
      <c r="U541" s="79"/>
    </row>
    <row r="542" ht="15.75" customHeight="1">
      <c r="U542" s="79"/>
    </row>
    <row r="543" ht="15.75" customHeight="1">
      <c r="U543" s="79"/>
    </row>
    <row r="544" ht="15.75" customHeight="1">
      <c r="U544" s="79"/>
    </row>
    <row r="545" ht="15.75" customHeight="1">
      <c r="U545" s="79"/>
    </row>
    <row r="546" ht="15.75" customHeight="1">
      <c r="U546" s="79"/>
    </row>
    <row r="547" ht="15.75" customHeight="1">
      <c r="U547" s="79"/>
    </row>
    <row r="548" ht="15.75" customHeight="1">
      <c r="U548" s="79"/>
    </row>
    <row r="549" ht="15.75" customHeight="1">
      <c r="U549" s="79"/>
    </row>
    <row r="550" ht="15.75" customHeight="1">
      <c r="U550" s="79"/>
    </row>
    <row r="551" ht="15.75" customHeight="1">
      <c r="U551" s="79"/>
    </row>
    <row r="552" ht="15.75" customHeight="1">
      <c r="U552" s="79"/>
    </row>
    <row r="553" ht="15.75" customHeight="1">
      <c r="U553" s="79"/>
    </row>
    <row r="554" ht="15.75" customHeight="1">
      <c r="U554" s="79"/>
    </row>
    <row r="555" ht="15.75" customHeight="1">
      <c r="U555" s="79"/>
    </row>
    <row r="556" ht="15.75" customHeight="1">
      <c r="U556" s="79"/>
    </row>
    <row r="557" ht="15.75" customHeight="1">
      <c r="U557" s="79"/>
    </row>
    <row r="558" ht="15.75" customHeight="1">
      <c r="U558" s="79"/>
    </row>
    <row r="559" ht="15.75" customHeight="1">
      <c r="U559" s="79"/>
    </row>
    <row r="560" ht="15.75" customHeight="1">
      <c r="U560" s="79"/>
    </row>
    <row r="561" ht="15.75" customHeight="1">
      <c r="U561" s="79"/>
    </row>
    <row r="562" ht="15.75" customHeight="1">
      <c r="U562" s="79"/>
    </row>
    <row r="563" ht="15.75" customHeight="1">
      <c r="U563" s="79"/>
    </row>
    <row r="564" ht="15.75" customHeight="1">
      <c r="U564" s="79"/>
    </row>
    <row r="565" ht="15.75" customHeight="1">
      <c r="U565" s="79"/>
    </row>
    <row r="566" ht="15.75" customHeight="1">
      <c r="U566" s="79"/>
    </row>
    <row r="567" ht="15.75" customHeight="1">
      <c r="U567" s="79"/>
    </row>
    <row r="568" ht="15.75" customHeight="1">
      <c r="U568" s="79"/>
    </row>
    <row r="569" ht="15.75" customHeight="1">
      <c r="U569" s="79"/>
    </row>
    <row r="570" ht="15.75" customHeight="1">
      <c r="U570" s="79"/>
    </row>
    <row r="571" ht="15.75" customHeight="1">
      <c r="U571" s="79"/>
    </row>
    <row r="572" ht="15.75" customHeight="1">
      <c r="U572" s="79"/>
    </row>
    <row r="573" ht="15.75" customHeight="1">
      <c r="U573" s="79"/>
    </row>
    <row r="574" ht="15.75" customHeight="1">
      <c r="U574" s="79"/>
    </row>
    <row r="575" ht="15.75" customHeight="1">
      <c r="U575" s="79"/>
    </row>
    <row r="576" ht="15.75" customHeight="1">
      <c r="U576" s="79"/>
    </row>
    <row r="577" ht="15.75" customHeight="1">
      <c r="U577" s="79"/>
    </row>
    <row r="578" ht="15.75" customHeight="1">
      <c r="U578" s="79"/>
    </row>
    <row r="579" ht="15.75" customHeight="1">
      <c r="U579" s="79"/>
    </row>
    <row r="580" ht="15.75" customHeight="1">
      <c r="U580" s="79"/>
    </row>
    <row r="581" ht="15.75" customHeight="1">
      <c r="U581" s="79"/>
    </row>
    <row r="582" ht="15.75" customHeight="1">
      <c r="U582" s="79"/>
    </row>
    <row r="583" ht="15.75" customHeight="1">
      <c r="U583" s="79"/>
    </row>
    <row r="584" ht="15.75" customHeight="1">
      <c r="U584" s="79"/>
    </row>
    <row r="585" ht="15.75" customHeight="1">
      <c r="U585" s="79"/>
    </row>
    <row r="586" ht="15.75" customHeight="1">
      <c r="U586" s="79"/>
    </row>
    <row r="587" ht="15.75" customHeight="1">
      <c r="U587" s="79"/>
    </row>
    <row r="588" ht="15.75" customHeight="1">
      <c r="U588" s="79"/>
    </row>
    <row r="589" ht="15.75" customHeight="1">
      <c r="U589" s="79"/>
    </row>
    <row r="590" ht="15.75" customHeight="1">
      <c r="U590" s="79"/>
    </row>
    <row r="591" ht="15.75" customHeight="1">
      <c r="U591" s="79"/>
    </row>
    <row r="592" ht="15.75" customHeight="1">
      <c r="U592" s="79"/>
    </row>
    <row r="593" ht="15.75" customHeight="1">
      <c r="U593" s="79"/>
    </row>
    <row r="594" ht="15.75" customHeight="1">
      <c r="U594" s="79"/>
    </row>
    <row r="595" ht="15.75" customHeight="1">
      <c r="U595" s="79"/>
    </row>
    <row r="596" ht="15.75" customHeight="1">
      <c r="U596" s="79"/>
    </row>
    <row r="597" ht="15.75" customHeight="1">
      <c r="U597" s="79"/>
    </row>
    <row r="598" ht="15.75" customHeight="1">
      <c r="U598" s="79"/>
    </row>
    <row r="599" ht="15.75" customHeight="1">
      <c r="U599" s="79"/>
    </row>
    <row r="600" ht="15.75" customHeight="1">
      <c r="U600" s="79"/>
    </row>
    <row r="601" ht="15.75" customHeight="1">
      <c r="U601" s="79"/>
    </row>
    <row r="602" ht="15.75" customHeight="1">
      <c r="U602" s="79"/>
    </row>
    <row r="603" ht="15.75" customHeight="1">
      <c r="U603" s="79"/>
    </row>
    <row r="604" ht="15.75" customHeight="1">
      <c r="U604" s="79"/>
    </row>
    <row r="605" ht="15.75" customHeight="1">
      <c r="U605" s="79"/>
    </row>
    <row r="606" ht="15.75" customHeight="1">
      <c r="U606" s="79"/>
    </row>
    <row r="607" ht="15.75" customHeight="1">
      <c r="U607" s="79"/>
    </row>
    <row r="608" ht="15.75" customHeight="1">
      <c r="U608" s="79"/>
    </row>
    <row r="609" ht="15.75" customHeight="1">
      <c r="U609" s="79"/>
    </row>
    <row r="610" ht="15.75" customHeight="1">
      <c r="U610" s="79"/>
    </row>
    <row r="611" ht="15.75" customHeight="1">
      <c r="U611" s="79"/>
    </row>
    <row r="612" ht="15.75" customHeight="1">
      <c r="U612" s="79"/>
    </row>
    <row r="613" ht="15.75" customHeight="1">
      <c r="U613" s="79"/>
    </row>
    <row r="614" ht="15.75" customHeight="1">
      <c r="U614" s="79"/>
    </row>
    <row r="615" ht="15.75" customHeight="1">
      <c r="U615" s="79"/>
    </row>
    <row r="616" ht="15.75" customHeight="1">
      <c r="U616" s="79"/>
    </row>
    <row r="617" ht="15.75" customHeight="1">
      <c r="U617" s="79"/>
    </row>
    <row r="618" ht="15.75" customHeight="1">
      <c r="U618" s="79"/>
    </row>
    <row r="619" ht="15.75" customHeight="1">
      <c r="U619" s="79"/>
    </row>
    <row r="620" ht="15.75" customHeight="1">
      <c r="U620" s="79"/>
    </row>
    <row r="621" ht="15.75" customHeight="1">
      <c r="U621" s="79"/>
    </row>
    <row r="622" ht="15.75" customHeight="1">
      <c r="U622" s="79"/>
    </row>
    <row r="623" ht="15.75" customHeight="1">
      <c r="U623" s="79"/>
    </row>
    <row r="624" ht="15.75" customHeight="1">
      <c r="U624" s="79"/>
    </row>
    <row r="625" ht="15.75" customHeight="1">
      <c r="U625" s="79"/>
    </row>
    <row r="626" ht="15.75" customHeight="1">
      <c r="U626" s="79"/>
    </row>
    <row r="627" ht="15.75" customHeight="1">
      <c r="U627" s="79"/>
    </row>
    <row r="628" ht="15.75" customHeight="1">
      <c r="U628" s="79"/>
    </row>
    <row r="629" ht="15.75" customHeight="1">
      <c r="U629" s="79"/>
    </row>
    <row r="630" ht="15.75" customHeight="1">
      <c r="U630" s="79"/>
    </row>
    <row r="631" ht="15.75" customHeight="1">
      <c r="U631" s="79"/>
    </row>
    <row r="632" ht="15.75" customHeight="1">
      <c r="U632" s="79"/>
    </row>
    <row r="633" ht="15.75" customHeight="1">
      <c r="U633" s="79"/>
    </row>
    <row r="634" ht="15.75" customHeight="1">
      <c r="U634" s="79"/>
    </row>
    <row r="635" ht="15.75" customHeight="1">
      <c r="U635" s="79"/>
    </row>
    <row r="636" ht="15.75" customHeight="1">
      <c r="U636" s="79"/>
    </row>
    <row r="637" ht="15.75" customHeight="1">
      <c r="U637" s="79"/>
    </row>
    <row r="638" ht="15.75" customHeight="1">
      <c r="U638" s="79"/>
    </row>
    <row r="639" ht="15.75" customHeight="1">
      <c r="U639" s="79"/>
    </row>
    <row r="640" ht="15.75" customHeight="1">
      <c r="U640" s="79"/>
    </row>
    <row r="641" ht="15.75" customHeight="1">
      <c r="U641" s="79"/>
    </row>
    <row r="642" ht="15.75" customHeight="1">
      <c r="U642" s="79"/>
    </row>
    <row r="643" ht="15.75" customHeight="1">
      <c r="U643" s="79"/>
    </row>
    <row r="644" ht="15.75" customHeight="1">
      <c r="U644" s="79"/>
    </row>
    <row r="645" ht="15.75" customHeight="1">
      <c r="U645" s="79"/>
    </row>
    <row r="646" ht="15.75" customHeight="1">
      <c r="U646" s="79"/>
    </row>
    <row r="647" ht="15.75" customHeight="1">
      <c r="U647" s="79"/>
    </row>
    <row r="648" ht="15.75" customHeight="1">
      <c r="U648" s="79"/>
    </row>
    <row r="649" ht="15.75" customHeight="1">
      <c r="U649" s="79"/>
    </row>
    <row r="650" ht="15.75" customHeight="1">
      <c r="U650" s="79"/>
    </row>
    <row r="651" ht="15.75" customHeight="1">
      <c r="U651" s="79"/>
    </row>
    <row r="652" ht="15.75" customHeight="1">
      <c r="U652" s="79"/>
    </row>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K10:L224 K237:L451">
    <cfRule type="cellIs" dxfId="9" priority="1" operator="equal">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2">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3">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4">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5">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6">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7">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8">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9">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0">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1">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2">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3">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4">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5">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6">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7">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8">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9">
      <colorScale>
        <cfvo type="min"/>
        <cfvo type="percentile" val="50"/>
        <cfvo type="max"/>
        <color rgb="FF63BE7B"/>
        <color rgb="FFFCFCFF"/>
        <color rgb="FFF8696B"/>
      </colorScale>
    </cfRule>
  </conditionalFormatting>
  <conditionalFormatting sqref="A64:A67 A82:A85 A98:A101 A115:A118 A132:A135 A149:A152 A166:A169 A183:A186 A201:A204 A290:A294 A309:A312 A325:A328 A342:A345 A359:A362 A376:A379 A393:A396 A410:A413 A428:A431">
    <cfRule type="colorScale" priority="20">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1">
      <colorScale>
        <cfvo type="min"/>
        <cfvo type="percentile" val="50"/>
        <cfvo type="max"/>
        <color rgb="FF63BE7B"/>
        <color rgb="FFFCFCFF"/>
        <color rgb="FFF8696B"/>
      </colorScale>
    </cfRule>
  </conditionalFormatting>
  <conditionalFormatting sqref="A67:A68 A86 A102 A119 A136 A153 A170 A187 A205 A294:A295 A313 A329 A346 A363 A380 A397 A414 A432">
    <cfRule type="colorScale" priority="22">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3">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4">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5">
      <colorScale>
        <cfvo type="min"/>
        <cfvo type="percentile" val="50"/>
        <cfvo type="max"/>
        <color rgb="FF63BE7B"/>
        <color rgb="FFFCFCFF"/>
        <color rgb="FFF8696B"/>
      </colorScale>
    </cfRule>
  </conditionalFormatting>
  <conditionalFormatting sqref="A82:A86 A98:A102 A115:A119 A132:A136 A149:A153 A166:A170 A183:A187 A201:A205 A290 A309:A313 A325:A329 A342:A346 A359:A363 A376:A380 A393:A397 A410:A414 A428:A432">
    <cfRule type="colorScale" priority="26">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7">
      <colorScale>
        <cfvo type="min"/>
        <cfvo type="percentile" val="50"/>
        <cfvo type="max"/>
        <color rgb="FF63BE7B"/>
        <color rgb="FFFCFCFF"/>
        <color rgb="FFF8696B"/>
      </colorScale>
    </cfRule>
  </conditionalFormatting>
  <conditionalFormatting sqref="A87 A103 A120 A137 A154 A171 A188 A206 A314 A330 A347 A364 A381 A398 A415 A433">
    <cfRule type="colorScale" priority="28">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9">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0">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1">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2">
      <colorScale>
        <cfvo type="min"/>
        <cfvo type="percentile" val="50"/>
        <cfvo type="max"/>
        <color rgb="FF63BE7B"/>
        <color rgb="FFFCFCFF"/>
        <color rgb="FFF8696B"/>
      </colorScale>
    </cfRule>
  </conditionalFormatting>
  <conditionalFormatting sqref="A81:A84 A97:A100 A114:A117 A131:A134 A148:A151 A165:A168 A182:A185 A200:A203 A308:A311 A324:A327 A341:A344 A358:A361 A375:A378 A392:A395 A409:A412 A427:A430">
    <cfRule type="colorScale" priority="33">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4">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5">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6">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7">
      <colorScale>
        <cfvo type="min"/>
        <cfvo type="percentile" val="50"/>
        <cfvo type="max"/>
        <color rgb="FF63BE7B"/>
        <color rgb="FFFCFCFF"/>
        <color rgb="FFF8696B"/>
      </colorScale>
    </cfRule>
  </conditionalFormatting>
  <conditionalFormatting sqref="A82:A84 A98:A100 A115:A117 A132:A134 A149:A151 A166:A168 A183:A185 A201:A203 A309:A311 A325:A327 A342:A344 A359:A361 A376:A378 A393:A395 A410:A412 A428:A430">
    <cfRule type="colorScale" priority="38">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9">
      <colorScale>
        <cfvo type="min"/>
        <cfvo type="percentile" val="50"/>
        <cfvo type="max"/>
        <color rgb="FF63BE7B"/>
        <color rgb="FFFCFCFF"/>
        <color rgb="FFF8696B"/>
      </colorScale>
    </cfRule>
  </conditionalFormatting>
  <conditionalFormatting sqref="A85 A101 A118 A135 A152 A169 A186 A204 A312 A328 A345 A362 A379 A396 A413 A431">
    <cfRule type="colorScale" priority="40">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1">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42">
      <colorScale>
        <cfvo type="min"/>
        <cfvo type="percentile" val="50"/>
        <cfvo type="max"/>
        <color rgb="FF63BE7B"/>
        <color rgb="FFFFEB84"/>
        <color rgb="FFF8696B"/>
      </colorScale>
    </cfRule>
  </conditionalFormatting>
  <conditionalFormatting sqref="A98 A325">
    <cfRule type="colorScale" priority="43">
      <colorScale>
        <cfvo type="min"/>
        <cfvo type="percentile" val="50"/>
        <cfvo type="max"/>
        <color rgb="FF63BE7B"/>
        <color rgb="FFFCFCFF"/>
        <color rgb="FFF8696B"/>
      </colorScale>
    </cfRule>
  </conditionalFormatting>
  <conditionalFormatting sqref="A98 A325">
    <cfRule type="colorScale" priority="44">
      <colorScale>
        <cfvo type="min"/>
        <cfvo type="percentile" val="50"/>
        <cfvo type="max"/>
        <color rgb="FF63BE7B"/>
        <color rgb="FFFFEB84"/>
        <color rgb="FFF8696B"/>
      </colorScale>
    </cfRule>
  </conditionalFormatting>
  <conditionalFormatting sqref="A99 A326">
    <cfRule type="colorScale" priority="45">
      <colorScale>
        <cfvo type="min"/>
        <cfvo type="percentile" val="50"/>
        <cfvo type="max"/>
        <color rgb="FF63BE7B"/>
        <color rgb="FFFFEB84"/>
        <color rgb="FFF8696B"/>
      </colorScale>
    </cfRule>
  </conditionalFormatting>
  <conditionalFormatting sqref="A100:A104 A327:A331">
    <cfRule type="colorScale" priority="46">
      <colorScale>
        <cfvo type="min"/>
        <cfvo type="percentile" val="50"/>
        <cfvo type="max"/>
        <color rgb="FF63BE7B"/>
        <color rgb="FFFFEB84"/>
        <color rgb="FFF8696B"/>
      </colorScale>
    </cfRule>
  </conditionalFormatting>
  <conditionalFormatting sqref="A115 A342">
    <cfRule type="colorScale" priority="47">
      <colorScale>
        <cfvo type="min"/>
        <cfvo type="percentile" val="50"/>
        <cfvo type="max"/>
        <color rgb="FF63BE7B"/>
        <color rgb="FFFCFCFF"/>
        <color rgb="FFF8696B"/>
      </colorScale>
    </cfRule>
  </conditionalFormatting>
  <conditionalFormatting sqref="A115 A342">
    <cfRule type="colorScale" priority="48">
      <colorScale>
        <cfvo type="min"/>
        <cfvo type="percentile" val="50"/>
        <cfvo type="max"/>
        <color rgb="FF63BE7B"/>
        <color rgb="FFFFEB84"/>
        <color rgb="FFF8696B"/>
      </colorScale>
    </cfRule>
  </conditionalFormatting>
  <conditionalFormatting sqref="A116:A129 A343:A356">
    <cfRule type="colorScale" priority="49">
      <colorScale>
        <cfvo type="min"/>
        <cfvo type="percentile" val="50"/>
        <cfvo type="max"/>
        <color rgb="FF63BE7B"/>
        <color rgb="FFFFEB84"/>
        <color rgb="FFF8696B"/>
      </colorScale>
    </cfRule>
  </conditionalFormatting>
  <conditionalFormatting sqref="A132:A133 A359:A360">
    <cfRule type="colorScale" priority="50">
      <colorScale>
        <cfvo type="min"/>
        <cfvo type="percentile" val="50"/>
        <cfvo type="max"/>
        <color rgb="FF63BE7B"/>
        <color rgb="FFFFEB84"/>
        <color rgb="FFF8696B"/>
      </colorScale>
    </cfRule>
  </conditionalFormatting>
  <conditionalFormatting sqref="A149:A163 A376:A390">
    <cfRule type="colorScale" priority="51">
      <colorScale>
        <cfvo type="min"/>
        <cfvo type="percentile" val="50"/>
        <cfvo type="max"/>
        <color rgb="FF63BE7B"/>
        <color rgb="FFFFEB84"/>
        <color rgb="FFF8696B"/>
      </colorScale>
    </cfRule>
  </conditionalFormatting>
  <conditionalFormatting sqref="A166:A180 A393:A407">
    <cfRule type="colorScale" priority="52">
      <colorScale>
        <cfvo type="min"/>
        <cfvo type="percentile" val="50"/>
        <cfvo type="max"/>
        <color rgb="FF63BE7B"/>
        <color rgb="FFFFEB84"/>
        <color rgb="FFF8696B"/>
      </colorScale>
    </cfRule>
  </conditionalFormatting>
  <conditionalFormatting sqref="A183:A185 A410:A412">
    <cfRule type="colorScale" priority="53">
      <colorScale>
        <cfvo type="min"/>
        <cfvo type="percentile" val="50"/>
        <cfvo type="max"/>
        <color rgb="FF63BE7B"/>
        <color rgb="FFFFEB84"/>
        <color rgb="FFF8696B"/>
      </colorScale>
    </cfRule>
  </conditionalFormatting>
  <conditionalFormatting sqref="A201:A203 A428:A430">
    <cfRule type="colorScale" priority="54">
      <colorScale>
        <cfvo type="min"/>
        <cfvo type="percentile" val="50"/>
        <cfvo type="max"/>
        <color rgb="FF63BE7B"/>
        <color rgb="FFFFEB84"/>
        <color rgb="FFF8696B"/>
      </colorScale>
    </cfRule>
  </conditionalFormatting>
  <conditionalFormatting sqref="A208:A210 A435:A437">
    <cfRule type="colorScale" priority="55">
      <colorScale>
        <cfvo type="min"/>
        <cfvo type="percentile" val="50"/>
        <cfvo type="max"/>
        <color rgb="FF63BE7B"/>
        <color rgb="FFFFEB84"/>
        <color rgb="FFF8696B"/>
      </colorScale>
    </cfRule>
  </conditionalFormatting>
  <conditionalFormatting sqref="A211:A224 A438:A451">
    <cfRule type="colorScale" priority="56">
      <colorScale>
        <cfvo type="min"/>
        <cfvo type="percentile" val="50"/>
        <cfvo type="max"/>
        <color rgb="FF63BE7B"/>
        <color rgb="FFFFEB84"/>
        <color rgb="FFF8696B"/>
      </colorScale>
    </cfRule>
  </conditionalFormatting>
  <conditionalFormatting sqref="J10:L224 J237:L451">
    <cfRule type="cellIs" dxfId="8" priority="57" operator="equal">
      <formula>0</formula>
    </cfRule>
  </conditionalFormatting>
  <dataValidations>
    <dataValidation type="list" allowBlank="1" sqref="C12:C14 C87 C137 C152 C154 C169 C171 C204 C206 C241 C243 C256 C258 C275 C277 C294 C296 C312 C314 C328 C330 C345 C347 C362 C364 C379 C381 C396 C398 C413 C415 C431 C433">
      <formula1>"I-ACTIVE,MAP,KCL 60%,05-37-00,10-46-00 + S,08-42-00,SSP 21,03-15-07 +14%CO,URÉIA,SULFATO DE AMÔNIO,BOROGRAN,SUPER DUO,08-40-00 - 100M,AURUS 500,00-01-00+Cu2 Mn8 Zn7"</formula1>
    </dataValidation>
    <dataValidation type="list" allowBlank="1" sqref="C183">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formula1>
    </dataValidation>
    <dataValidation type="list" allowBlank="1" sqref="C68">
      <formula1>"UTRISHA N,PRESENCE FULL,Now Lock,Now Guard,Now Force,Now Raze,Now Bolt,Now Active,Now React,Now Cover,Now Pulse,Now Sprint,Bio Az,Bio ND,Tec Catp Pro,Bio Elipso,Tec Bug,Solu Shield,Solu Strong,Solu Leaf,Bio Hidric,Bio Bokashi,Bio Oil,Carbon Pro,Essencial "&amp;"Mg,Expelir,Primafert,Reserva,Tec Catp Pro Kit On-farm,Tec Bug Kit On-farm,Solu Shield Kit On-farm,Solu Strong Kit On-farm,Solu Leaf Kit On-farm,Bio Hidric Kit On-farm,Bio Bokashi Kit On-farm,Tec White Kit On-farm,Bio Solubilize Kit On-farm,Bio Release Kit"&amp;" On-farm,Bio Raiz Plus Kit On-farm,Bio Balance Kit On-farm,SoluBio Raiz Performance Kit On-farm,Tec Isaria Kit On-farm"</formula1>
    </dataValidation>
    <dataValidation type="list" allowBlank="1" sqref="C26:C27 C45:C47 C82:C83">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type="custom" allowBlank="1" showDropDown="1" sqref="G10:L224 G237:L451">
      <formula1>AND(ISNUMBER(G10),(NOT(OR(NOT(ISERROR(DATEVALUE(G10))), AND(ISNUMBER(G10), LEFT(CELL("format", G10))="D")))))</formula1>
    </dataValidation>
    <dataValidation type="list" allowBlank="1" sqref="C28 C48 C103 C120 C135 C151">
      <formula1>"RUMBA,ASSIST,MEES,AUREO,JOINT ULTRA,ADGREEN,ENERGIC,EXTRAVON,OCHIMA"</formula1>
    </dataValidation>
    <dataValidation type="list" allowBlank="1" sqref="C67">
      <formula1>"ENDOFUSE,ENDOMAXX,RIZOLIQ LLI,PROVILAR,REVERB,ARVATICO,VERANGO PRIME,FIPRONIL NORTOX MAX,MAXIM ADVANCED,MAXIM XL,VICTRATO,SPECTRO,STANDAK TOP,CRUISER ADVANCED,PLUST,SOMBRERO,CROPSTAR,DERMACOR,OPTERASEED,AVICTA 500 FS,CRUISER 350 FS,FORTENZA 600 FS,ILEVO,P"&amp;"ERMIT STAR"</formula1>
    </dataValidation>
    <dataValidation type="list" allowBlank="1" sqref="C33 C52 C89 C105 C139 C156 C166 C173 C190 C202 C208 C245 C254 C260 C273 C279 C292 C298 C310 C316 C326 C332 C343 C349 C360 C366 C377 C383 C394 C400 C411 C417 C429 C435">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type="list" allowBlank="1" sqref="C17:C18">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formula1>
    </dataValidation>
    <dataValidation type="list" allowBlank="1" sqref="C29:C30 C49 C100:C102 C118:C119 C134">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type="list" allowBlank="1" sqref="C20:C24 C43 C62 C80 C247:C251 C270 C289 C307">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type="list" allowBlank="1" sqref="C11 C88 C138 C155 C172 C207 C244 C259 C278 C297 C315 C331 C348 C365 C382 C399 C416 C434">
      <formula1>"CALCÁRIO DOLOMITICO,GESSO AGRICOLA"</formula1>
    </dataValidation>
    <dataValidation type="list" allowBlank="1" sqref="C19">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formula1>
    </dataValidation>
    <dataValidation type="list" allowBlank="1" sqref="C64 C86 C136 C153 C170 C205 C242 C257 C272 C276 C291 C295 C309 C313 C325 C329 C342 C346 C359 C363 C376 C380 C393 C397 C410 C414 C432">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type="list" allowBlank="1" sqref="C31 C72">
      <formula1>"RADIFARM,MEGAFOL,OCTABORATO,BOP,METAL NUTRE,MONIC,AP MAGNÉSIO,GRANO KMG,AP MANGANÊS,AMINOS Mn,MICROBOX,ACRESECENT ALGA,RAIZ F,ACRESCENTE SOLUS F,SALUT,MATRIZ D,BRAVERO,Glyfort,Fergsum,Spander,Halattus,Sallvare Complex,Zinctaus Complex,Emezine Complex,Bora"&amp;"tus Complex,Magmill Complex,Brave K,Brave Max Up,MAX RAIZ,Polyamine,Sulfato de Magnésio,Map Purificado,MANGAN 10,NHT ZINCO,KELLUS CUPPER,MOLIBIDENIO 16,ZINCO 10,Potenza NiCoMo"</formula1>
    </dataValidation>
    <dataValidation type="list" allowBlank="1" sqref="C85 C167">
      <formula1>"RUMBA,ASSIST,MEES,AUREO EC,JOINT ULTRA,ENERGIC,EXTRAVON,OCHIMA,STRIDES"</formula1>
    </dataValidation>
    <dataValidation type="list" allowBlank="1" sqref="C84 C98 C104 C115 C117 C132:C133 C149:C150">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type="list" allowBlank="1" sqref="C69:C71">
      <formula1>"UTRISHA N,PRESENCE FULL,Now Lock,Now Guard,Now Force,Now Raze,Now Bolt,Now Active,Now React,Now Cover,Now Pulse,Now Sprint,Bio Az,Bio ND,Tec Catp Pro,Bio Elipso,Tec Bug,Solu Shield,Solu Strong,Solu Leaf,Bio Hidric,Bio Bokashi,Bio Oil,Carbon Pro,Essencial "&amp;"Mg,Expelir,Potenza NiCoMo,Primafert,Reserva,Tec White,Bio Solubilize,Bio Release,Bio Raiz Plus,Bio Balance,SoluBio Raiz Performance,Tec Isaria"</formula1>
    </dataValidation>
    <dataValidation type="list" allowBlank="1" showErrorMessage="1" sqref="B10:B224 B237:B451">
      <formula1>#REF!</formula1>
    </dataValidation>
    <dataValidation type="list" allowBlank="1" sqref="C65:C66 C168 C203 C240 C255 C274 C293 C311 C327 C344 C361 C378 C395 C412 C430">
      <formula1>"SOMBRERO,STANDAK TOP,CROPSTAR,DERMACOR,PERMIT STAR,PRESENCE FULL,PLUST,CRUISER 350 FS,CRUISER ADVANCED,FORTENZA 600 FS,MAXIM ADVANCED,MAXIM XL,SPECTRO,BIOZYME,NIMAXXA,VITAVAX-THIRAM 200 SC"</formula1>
    </dataValidation>
    <dataValidation type="list" allowBlank="1" sqref="C184:C189">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formula1>
    </dataValidation>
    <dataValidation type="list" allowBlank="1" sqref="C34 C53:C54 C59 C73 C90:C91 C96 C106:C107 C112 C123:C124 C129 C140:C141 C146 C157:C158 C163 C174:C175 C180 C191:C192 C197 C209:C210 C215 C246 C253 C261:C262 C267 C280:C281 C286 C299:C300 C317:C318 C323 C333:C334 C339 C350:C351 C356 C367:C368 C373 C384:C385 C390 C401:C402 C407 C418:C419 C424 C436:C437 C442">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display="ÁREA PLANTIO" location="'ÁREA PLANTIO'!A1" ref="F1"/>
    <hyperlink display="ÁREA PLANTIO" location="'ÁREA PLANTIO'!A1" ref="F227"/>
  </hyperlinks>
  <printOptions/>
  <pageMargins bottom="0.787401575" footer="0.0" header="0.0" left="0.511811024" right="0.511811024" top="0.787401575"/>
  <pageSetup orientation="landscape"/>
  <drawing r:id="rId1"/>
  <tableParts count="2">
    <tablePart r:id="rId4"/>
    <tablePart r:id="rId5"/>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13.88"/>
    <col customWidth="1" min="2" max="2" width="22.75"/>
    <col customWidth="1" min="3" max="3" width="33.63"/>
    <col customWidth="1" min="4" max="4" width="40.25"/>
    <col customWidth="1" min="5" max="5" width="20.13"/>
    <col customWidth="1" min="6" max="6" width="13.13"/>
    <col customWidth="1" min="7" max="7" width="13.75"/>
    <col customWidth="1" min="8" max="9" width="10.38"/>
    <col customWidth="1" min="10" max="10" width="14.0"/>
    <col customWidth="1" min="11" max="23" width="14.38"/>
  </cols>
  <sheetData>
    <row r="1" ht="15.75" customHeight="1">
      <c r="A1" s="260" t="s">
        <v>1203</v>
      </c>
      <c r="B1" s="261" t="str">
        <f>'ÁREA PLANTIO'!B15</f>
        <v>P 03</v>
      </c>
      <c r="C1" s="262" t="s">
        <v>1166</v>
      </c>
      <c r="D1" s="263">
        <f>$K$225</f>
        <v>1740.964095</v>
      </c>
      <c r="E1" s="264"/>
      <c r="F1" s="265" t="s">
        <v>1167</v>
      </c>
      <c r="G1" s="266"/>
      <c r="H1" s="267"/>
      <c r="I1" s="267"/>
      <c r="J1" s="267"/>
      <c r="K1" s="266"/>
      <c r="L1" s="220"/>
      <c r="M1" s="220"/>
      <c r="N1" s="220"/>
      <c r="O1" s="220"/>
      <c r="P1" s="220"/>
      <c r="Q1" s="220"/>
      <c r="R1" s="220"/>
      <c r="S1" s="220"/>
      <c r="T1" s="220"/>
      <c r="U1" s="220"/>
      <c r="V1" s="220"/>
      <c r="W1" s="220"/>
    </row>
    <row r="2" ht="15.75" customHeight="1">
      <c r="A2" s="260" t="s">
        <v>1168</v>
      </c>
      <c r="B2" s="268">
        <f>'ÁREA PLANTIO'!E15</f>
        <v>120</v>
      </c>
      <c r="C2" s="269" t="s">
        <v>1169</v>
      </c>
      <c r="D2" s="270">
        <f>'ÁREA PLANTIO'!D15</f>
        <v>65</v>
      </c>
      <c r="E2" s="264"/>
      <c r="F2" s="264"/>
      <c r="G2" s="266"/>
      <c r="H2" s="267"/>
      <c r="I2" s="267"/>
      <c r="J2" s="267"/>
      <c r="K2" s="266"/>
      <c r="L2" s="220"/>
      <c r="M2" s="220"/>
      <c r="N2" s="220"/>
      <c r="O2" s="220"/>
      <c r="P2" s="220"/>
      <c r="Q2" s="220"/>
      <c r="R2" s="220"/>
      <c r="S2" s="220"/>
      <c r="T2" s="220"/>
      <c r="U2" s="220"/>
      <c r="V2" s="220"/>
      <c r="W2" s="220"/>
    </row>
    <row r="3" ht="15.75" customHeight="1">
      <c r="A3" s="260" t="s">
        <v>1170</v>
      </c>
      <c r="B3" s="267" t="str">
        <f>'ÁREA PLANTIO'!C15</f>
        <v>FE-SOJA IRRIGADO-26/27</v>
      </c>
      <c r="C3" s="269" t="s">
        <v>1171</v>
      </c>
      <c r="D3" s="271">
        <f>D1/D2</f>
        <v>26.784063</v>
      </c>
      <c r="E3" s="264"/>
      <c r="F3" s="264"/>
      <c r="G3" s="266"/>
      <c r="H3" s="267"/>
      <c r="I3" s="267"/>
      <c r="J3" s="267"/>
      <c r="K3" s="266"/>
      <c r="L3" s="220"/>
      <c r="M3" s="220"/>
      <c r="N3" s="220"/>
      <c r="O3" s="220"/>
      <c r="P3" s="220"/>
      <c r="Q3" s="220"/>
      <c r="R3" s="220"/>
      <c r="S3" s="220"/>
      <c r="T3" s="220"/>
      <c r="U3" s="220"/>
      <c r="V3" s="220"/>
      <c r="W3" s="220"/>
    </row>
    <row r="4" ht="15.75" customHeight="1">
      <c r="A4" s="272" t="s">
        <v>1172</v>
      </c>
      <c r="B4" s="273">
        <v>45606.0</v>
      </c>
      <c r="C4" s="274"/>
      <c r="D4" s="275"/>
      <c r="E4" s="276"/>
      <c r="F4" s="264"/>
      <c r="G4" s="266"/>
      <c r="H4" s="267"/>
      <c r="I4" s="267"/>
      <c r="J4" s="267"/>
      <c r="K4" s="266"/>
      <c r="L4" s="220"/>
      <c r="M4" s="220"/>
      <c r="N4" s="220"/>
      <c r="O4" s="220"/>
      <c r="P4" s="220"/>
      <c r="Q4" s="220"/>
      <c r="R4" s="220"/>
      <c r="S4" s="220"/>
      <c r="T4" s="220"/>
      <c r="U4" s="220"/>
      <c r="V4" s="220"/>
      <c r="W4" s="220"/>
    </row>
    <row r="5" ht="15.75" customHeight="1">
      <c r="E5" s="277"/>
      <c r="F5" s="264"/>
      <c r="G5" s="266"/>
      <c r="H5" s="267"/>
      <c r="I5" s="267"/>
      <c r="J5" s="267"/>
      <c r="K5" s="266"/>
      <c r="L5" s="220"/>
      <c r="M5" s="220"/>
      <c r="N5" s="220"/>
      <c r="O5" s="220"/>
      <c r="P5" s="220"/>
      <c r="Q5" s="220"/>
      <c r="R5" s="220"/>
      <c r="S5" s="220"/>
      <c r="T5" s="220"/>
      <c r="U5" s="220"/>
      <c r="V5" s="220"/>
      <c r="W5" s="220"/>
    </row>
    <row r="6" ht="15.75" customHeight="1">
      <c r="A6" s="260"/>
      <c r="B6" s="267"/>
      <c r="C6" s="264"/>
      <c r="D6" s="264"/>
      <c r="E6" s="264"/>
      <c r="F6" s="264"/>
      <c r="G6" s="266"/>
      <c r="H6" s="267"/>
      <c r="I6" s="267"/>
      <c r="J6" s="267"/>
      <c r="K6" s="266"/>
      <c r="L6" s="220"/>
      <c r="M6" s="220"/>
      <c r="N6" s="220"/>
      <c r="O6" s="220"/>
      <c r="P6" s="220"/>
      <c r="Q6" s="220"/>
      <c r="R6" s="220"/>
      <c r="S6" s="220"/>
      <c r="T6" s="220"/>
      <c r="U6" s="220"/>
      <c r="V6" s="220"/>
      <c r="W6" s="220"/>
    </row>
    <row r="7" ht="15.75" customHeight="1">
      <c r="A7" s="267"/>
      <c r="B7" s="267"/>
      <c r="C7" s="264"/>
      <c r="D7" s="264"/>
      <c r="E7" s="264"/>
      <c r="F7" s="264"/>
      <c r="G7" s="266"/>
      <c r="H7" s="267"/>
      <c r="I7" s="267"/>
      <c r="J7" s="267"/>
      <c r="K7" s="266"/>
      <c r="L7" s="220"/>
      <c r="M7" s="220"/>
      <c r="N7" s="220"/>
      <c r="O7" s="220"/>
      <c r="P7" s="220"/>
      <c r="Q7" s="220"/>
      <c r="R7" s="220"/>
      <c r="S7" s="220"/>
      <c r="T7" s="220"/>
      <c r="U7" s="220"/>
      <c r="V7" s="220"/>
      <c r="W7" s="220"/>
    </row>
    <row r="8" ht="15.75" customHeight="1">
      <c r="A8" s="267"/>
      <c r="B8" s="267"/>
      <c r="C8" s="267"/>
      <c r="D8" s="267"/>
      <c r="E8" s="264"/>
      <c r="F8" s="264"/>
      <c r="G8" s="266"/>
      <c r="H8" s="267"/>
      <c r="I8" s="267"/>
      <c r="J8" s="267"/>
      <c r="K8" s="266"/>
      <c r="L8" s="220"/>
      <c r="M8" s="220"/>
      <c r="N8" s="220"/>
      <c r="O8" s="220"/>
      <c r="P8" s="220"/>
      <c r="Q8" s="220"/>
      <c r="R8" s="220"/>
      <c r="S8" s="220"/>
      <c r="T8" s="220"/>
      <c r="U8" s="220"/>
      <c r="V8" s="220"/>
      <c r="W8" s="220"/>
    </row>
    <row r="9" ht="15.75" customHeight="1">
      <c r="A9" s="211" t="s">
        <v>1173</v>
      </c>
      <c r="B9" s="213" t="s">
        <v>1174</v>
      </c>
      <c r="C9" s="213" t="s">
        <v>1175</v>
      </c>
      <c r="D9" s="211" t="s">
        <v>1176</v>
      </c>
      <c r="E9" s="211" t="s">
        <v>1177</v>
      </c>
      <c r="F9" s="211" t="s">
        <v>1178</v>
      </c>
      <c r="G9" s="278" t="s">
        <v>1179</v>
      </c>
      <c r="H9" s="278" t="s">
        <v>1180</v>
      </c>
      <c r="I9" s="278" t="s">
        <v>1181</v>
      </c>
      <c r="J9" s="279" t="s">
        <v>1134</v>
      </c>
      <c r="K9" s="280" t="s">
        <v>1182</v>
      </c>
      <c r="L9" s="281" t="s">
        <v>339</v>
      </c>
      <c r="M9" s="220"/>
      <c r="N9" s="220"/>
      <c r="O9" s="220"/>
      <c r="P9" s="220"/>
      <c r="Q9" s="220"/>
      <c r="R9" s="220"/>
      <c r="S9" s="220"/>
      <c r="T9" s="220"/>
      <c r="U9" s="220"/>
      <c r="V9" s="220"/>
      <c r="W9" s="220"/>
    </row>
    <row r="10" ht="15.75" customHeight="1">
      <c r="A10" s="231" t="s">
        <v>1183</v>
      </c>
      <c r="B10" s="230"/>
      <c r="C10" s="231"/>
      <c r="D10" s="232" t="s">
        <v>216</v>
      </c>
      <c r="E10" s="231"/>
      <c r="F10" s="231"/>
      <c r="G10" s="233"/>
      <c r="H10" s="282"/>
      <c r="I10" s="258"/>
      <c r="J10" s="236"/>
      <c r="K10" s="237">
        <f t="shared" ref="K10:L10" si="1">SUBTOTAL(9,K11:K24)</f>
        <v>0</v>
      </c>
      <c r="L10" s="237">
        <f t="shared" si="1"/>
        <v>0</v>
      </c>
      <c r="M10" s="220"/>
      <c r="N10" s="220"/>
      <c r="O10" s="220"/>
      <c r="P10" s="220"/>
      <c r="Q10" s="220"/>
      <c r="R10" s="220"/>
      <c r="S10" s="220"/>
      <c r="T10" s="220"/>
      <c r="U10" s="220"/>
      <c r="V10" s="220"/>
      <c r="W10" s="220"/>
    </row>
    <row r="11" outlineLevel="1">
      <c r="A11" s="213"/>
      <c r="B11" s="212" t="s">
        <v>8</v>
      </c>
      <c r="C11" s="213" t="s">
        <v>397</v>
      </c>
      <c r="D11" s="214" t="str">
        <f>IFERROR(VLOOKUP($C11,'PORTIFÓLIO'!C:V,2,0),"")</f>
        <v>CaO 38%  MgO 18%</v>
      </c>
      <c r="E11" s="211" t="str">
        <f>IFERROR(VLOOKUP($C11,'PORTIFÓLIO'!C:V,3,0),"")</f>
        <v/>
      </c>
      <c r="F11" s="211" t="str">
        <f>IFERROR(VLOOKUP($C11,'PORTIFÓLIO'!C:V,4,0),"")</f>
        <v>Ton</v>
      </c>
      <c r="G11" s="215" t="str">
        <f>IFERROR(VLOOKUP($C11,'PORTIFÓLIO'!C:V,5,0),"")</f>
        <v/>
      </c>
      <c r="H11" s="254" t="str">
        <f t="array" ref="H11">IFERROR(INDEX('PORTIFÓLIO'!$H$4:$H$433,MATCH($C11,'PORTIFÓLIO'!$C$4:$C$433,0)),"")</f>
        <v/>
      </c>
      <c r="I11" s="255">
        <v>3.0</v>
      </c>
      <c r="J11" s="218">
        <f t="shared" ref="J11:J24" si="2">I11*$B$2</f>
        <v>360</v>
      </c>
      <c r="K11" s="219">
        <f t="array" ref="K11">IFERROR(I11*INDEX('PORTIFÓLIO'!$S$4:$S$433,MATCH($C11,'PORTIFÓLIO'!$C$4:$C$433,0)),"")</f>
        <v>0</v>
      </c>
      <c r="L11" s="219">
        <f t="array" ref="L11">IFERROR(J11*INDEX('PORTIFÓLIO'!$S$4:$S$433,MATCH($C11,'PORTIFÓLIO'!$C$4:$C$433,0)),"")</f>
        <v>0</v>
      </c>
      <c r="M11" s="220"/>
      <c r="N11" s="220"/>
      <c r="O11" s="220"/>
      <c r="P11" s="220"/>
      <c r="Q11" s="220"/>
      <c r="R11" s="220"/>
      <c r="S11" s="220"/>
      <c r="T11" s="220"/>
      <c r="U11" s="220" t="str">
        <f>IFERROR(__xludf.DUMMYFUNCTION("FILTER('PORTIFÓLIO'!C:C, 'PORTIFÓLIO'!B:B=B11)"),"#REF!")</f>
        <v>#REF!</v>
      </c>
      <c r="V11" s="220"/>
      <c r="W11" s="220"/>
    </row>
    <row r="12" outlineLevel="1">
      <c r="A12" s="213"/>
      <c r="B12" s="212" t="s">
        <v>7</v>
      </c>
      <c r="C12" s="213" t="s">
        <v>413</v>
      </c>
      <c r="D12" s="214" t="str">
        <f>IFERROR(VLOOKUP($C12,'PORTIFÓLIO'!C:V,2,0),"")</f>
        <v>P 21%</v>
      </c>
      <c r="E12" s="211" t="str">
        <f>IFERROR(VLOOKUP($C12,'PORTIFÓLIO'!C:V,3,0),"")</f>
        <v/>
      </c>
      <c r="F12" s="211" t="str">
        <f>IFERROR(VLOOKUP($C12,'PORTIFÓLIO'!C:V,4,0),"")</f>
        <v>Ton</v>
      </c>
      <c r="G12" s="215" t="str">
        <f>IFERROR(VLOOKUP($C12,'PORTIFÓLIO'!C:V,5,0),"")</f>
        <v/>
      </c>
      <c r="H12" s="254" t="str">
        <f t="array" ref="H12">IFERROR(INDEX('PORTIFÓLIO'!$H$4:$H$433,MATCH($C12,'PORTIFÓLIO'!$C$4:$C$433,0)),"")</f>
        <v/>
      </c>
      <c r="I12" s="255">
        <v>0.2</v>
      </c>
      <c r="J12" s="218">
        <f t="shared" si="2"/>
        <v>24</v>
      </c>
      <c r="K12" s="219">
        <f t="array" ref="K12">IFERROR(I12*INDEX('PORTIFÓLIO'!$S$4:$S$433,MATCH($C12,'PORTIFÓLIO'!$C$4:$C$433,0)),"")</f>
        <v>0</v>
      </c>
      <c r="L12" s="219">
        <f t="array" ref="L12">IFERROR(J12*INDEX('PORTIFÓLIO'!$S$4:$S$433,MATCH($C12,'PORTIFÓLIO'!$C$4:$C$433,0)),"")</f>
        <v>0</v>
      </c>
      <c r="M12" s="220"/>
      <c r="N12" s="220"/>
      <c r="O12" s="220"/>
      <c r="P12" s="220"/>
      <c r="Q12" s="220"/>
      <c r="R12" s="220"/>
      <c r="S12" s="220"/>
      <c r="T12" s="220"/>
      <c r="U12" s="220" t="str">
        <f>IFERROR(__xludf.DUMMYFUNCTION("FILTER('PORTIFÓLIO'!C:C, 'PORTIFÓLIO'!B:B=B12)"),"#REF!")</f>
        <v>#REF!</v>
      </c>
      <c r="V12" s="220"/>
      <c r="W12" s="220"/>
    </row>
    <row r="13" outlineLevel="1">
      <c r="A13" s="213"/>
      <c r="B13" s="212" t="s">
        <v>7</v>
      </c>
      <c r="C13" s="213" t="s">
        <v>405</v>
      </c>
      <c r="D13" s="214" t="str">
        <f>IFERROR(VLOOKUP($C13,'PORTIFÓLIO'!C:V,2,0),"")</f>
        <v>K2O 60%</v>
      </c>
      <c r="E13" s="211" t="str">
        <f>IFERROR(VLOOKUP($C13,'PORTIFÓLIO'!C:V,3,0),"")</f>
        <v/>
      </c>
      <c r="F13" s="211" t="str">
        <f>IFERROR(VLOOKUP($C13,'PORTIFÓLIO'!C:V,4,0),"")</f>
        <v>Ton</v>
      </c>
      <c r="G13" s="215" t="str">
        <f>IFERROR(VLOOKUP($C13,'PORTIFÓLIO'!C:V,5,0),"")</f>
        <v/>
      </c>
      <c r="H13" s="254" t="str">
        <f t="array" ref="H13">IFERROR(INDEX('PORTIFÓLIO'!$H$4:$H$433,MATCH($C13,'PORTIFÓLIO'!$C$4:$C$433,0)),"")</f>
        <v/>
      </c>
      <c r="I13" s="255">
        <v>0.3</v>
      </c>
      <c r="J13" s="218">
        <f t="shared" si="2"/>
        <v>36</v>
      </c>
      <c r="K13" s="219">
        <f t="array" ref="K13">IFERROR(I13*INDEX('PORTIFÓLIO'!$S$4:$S$433,MATCH($C13,'PORTIFÓLIO'!$C$4:$C$433,0)),"")</f>
        <v>0</v>
      </c>
      <c r="L13" s="219">
        <f t="array" ref="L13">IFERROR(J13*INDEX('PORTIFÓLIO'!$S$4:$S$433,MATCH($C13,'PORTIFÓLIO'!$C$4:$C$433,0)),"")</f>
        <v>0</v>
      </c>
      <c r="M13" s="220"/>
      <c r="N13" s="220"/>
      <c r="O13" s="220"/>
      <c r="P13" s="220"/>
      <c r="Q13" s="220"/>
      <c r="R13" s="220"/>
      <c r="S13" s="220"/>
      <c r="T13" s="220"/>
      <c r="U13" s="220" t="str">
        <f>IFERROR(__xludf.DUMMYFUNCTION("FILTER('PORTIFÓLIO'!C:C, 'PORTIFÓLIO'!B:B=B13)"),"#REF!")</f>
        <v>#REF!</v>
      </c>
      <c r="V13" s="220"/>
      <c r="W13" s="220"/>
    </row>
    <row r="14" outlineLevel="1">
      <c r="A14" s="211"/>
      <c r="B14" s="212" t="s">
        <v>7</v>
      </c>
      <c r="C14" s="213" t="s">
        <v>429</v>
      </c>
      <c r="D14" s="214" t="str">
        <f>IFERROR(VLOOKUP($C14,'PORTIFÓLIO'!C:V,2,0),"")</f>
        <v>Cu 2% Mn 8% Zn 7% </v>
      </c>
      <c r="E14" s="211" t="str">
        <f>IFERROR(VLOOKUP($C14,'PORTIFÓLIO'!C:V,3,0),"")</f>
        <v/>
      </c>
      <c r="F14" s="211" t="str">
        <f>IFERROR(VLOOKUP($C14,'PORTIFÓLIO'!C:V,4,0),"")</f>
        <v>Ton</v>
      </c>
      <c r="G14" s="215" t="str">
        <f>IFERROR(VLOOKUP($C14,'PORTIFÓLIO'!C:V,5,0),"")</f>
        <v/>
      </c>
      <c r="H14" s="254" t="str">
        <f t="array" ref="H14">IFERROR(INDEX('PORTIFÓLIO'!$H$4:$H$433,MATCH($C14,'PORTIFÓLIO'!$C$4:$C$433,0)),"")</f>
        <v/>
      </c>
      <c r="I14" s="255">
        <v>0.05</v>
      </c>
      <c r="J14" s="218">
        <f t="shared" si="2"/>
        <v>6</v>
      </c>
      <c r="K14" s="219">
        <f t="array" ref="K14">IFERROR(I14*INDEX('PORTIFÓLIO'!$S$4:$S$433,MATCH($C14,'PORTIFÓLIO'!$C$4:$C$433,0)),"")</f>
        <v>0</v>
      </c>
      <c r="L14" s="219">
        <f t="array" ref="L14">IFERROR(J14*INDEX('PORTIFÓLIO'!$S$4:$S$433,MATCH($C14,'PORTIFÓLIO'!$C$4:$C$433,0)),"")</f>
        <v>0</v>
      </c>
      <c r="M14" s="220"/>
      <c r="N14" s="220"/>
      <c r="O14" s="220"/>
      <c r="P14" s="220"/>
      <c r="Q14" s="220"/>
      <c r="R14" s="220"/>
      <c r="S14" s="220"/>
      <c r="T14" s="220"/>
      <c r="U14" s="220" t="str">
        <f>IFERROR(__xludf.DUMMYFUNCTION("FILTER('PORTIFÓLIO'!C:C, 'PORTIFÓLIO'!B:B=B14)"),"#REF!")</f>
        <v>#REF!</v>
      </c>
      <c r="V14" s="220"/>
      <c r="W14" s="220"/>
    </row>
    <row r="15" outlineLevel="1">
      <c r="A15" s="211"/>
      <c r="B15" s="212"/>
      <c r="C15" s="213"/>
      <c r="D15" s="214" t="str">
        <f>IFERROR(VLOOKUP($C15,'PORTIFÓLIO'!C:V,2,0),"")</f>
        <v/>
      </c>
      <c r="E15" s="211" t="str">
        <f>IFERROR(VLOOKUP($C15,'PORTIFÓLIO'!C:V,3,0),"")</f>
        <v/>
      </c>
      <c r="F15" s="211" t="str">
        <f>IFERROR(VLOOKUP($C15,'PORTIFÓLIO'!C:V,4,0),"")</f>
        <v/>
      </c>
      <c r="G15" s="215" t="str">
        <f>IFERROR(VLOOKUP($C15,'PORTIFÓLIO'!C:V,5,0),"")</f>
        <v/>
      </c>
      <c r="H15" s="254" t="str">
        <f t="array" ref="H15">IFERROR(INDEX('PORTIFÓLIO'!$H$4:$H$433,MATCH($C15,'PORTIFÓLIO'!$C$4:$C$433,0)),"")</f>
        <v/>
      </c>
      <c r="I15" s="255"/>
      <c r="J15" s="218">
        <f t="shared" si="2"/>
        <v>0</v>
      </c>
      <c r="K15" s="219" t="str">
        <f t="array" ref="K15">IFERROR(I15*INDEX('PORTIFÓLIO'!$S$4:$S$433,MATCH($C15,'PORTIFÓLIO'!$C$4:$C$433,0)),"")</f>
        <v/>
      </c>
      <c r="L15" s="219" t="str">
        <f t="array" ref="L15">IFERROR(J15*INDEX('PORTIFÓLIO'!$S$4:$S$433,MATCH($C15,'PORTIFÓLIO'!$C$4:$C$433,0)),"")</f>
        <v/>
      </c>
      <c r="M15" s="220"/>
      <c r="N15" s="220"/>
      <c r="O15" s="220"/>
      <c r="P15" s="220"/>
      <c r="Q15" s="220"/>
      <c r="R15" s="220"/>
      <c r="S15" s="220"/>
      <c r="T15" s="220"/>
      <c r="U15" s="220" t="str">
        <f>IFERROR(__xludf.DUMMYFUNCTION("FILTER('PORTIFÓLIO'!C:C, 'PORTIFÓLIO'!B:B=B15)"),"#REF!")</f>
        <v>#REF!</v>
      </c>
      <c r="V15" s="220"/>
      <c r="W15" s="220"/>
    </row>
    <row r="16" outlineLevel="1">
      <c r="A16" s="211"/>
      <c r="B16" s="212"/>
      <c r="C16" s="213"/>
      <c r="D16" s="214" t="str">
        <f>IFERROR(VLOOKUP($C16,'PORTIFÓLIO'!C:V,2,0),"")</f>
        <v/>
      </c>
      <c r="E16" s="211" t="str">
        <f>IFERROR(VLOOKUP($C16,'PORTIFÓLIO'!C:V,3,0),"")</f>
        <v/>
      </c>
      <c r="F16" s="211" t="str">
        <f>IFERROR(VLOOKUP($C16,'PORTIFÓLIO'!C:V,4,0),"")</f>
        <v/>
      </c>
      <c r="G16" s="215" t="str">
        <f>IFERROR(VLOOKUP($C16,'PORTIFÓLIO'!C:V,5,0),"")</f>
        <v/>
      </c>
      <c r="H16" s="254" t="str">
        <f t="array" ref="H16">IFERROR(INDEX('PORTIFÓLIO'!$H$4:$H$433,MATCH($C16,'PORTIFÓLIO'!$C$4:$C$433,0)),"")</f>
        <v/>
      </c>
      <c r="I16" s="255"/>
      <c r="J16" s="218">
        <f t="shared" si="2"/>
        <v>0</v>
      </c>
      <c r="K16" s="219" t="str">
        <f t="array" ref="K16">IFERROR(I16*INDEX('PORTIFÓLIO'!$S$4:$S$433,MATCH($C16,'PORTIFÓLIO'!$C$4:$C$433,0)),"")</f>
        <v/>
      </c>
      <c r="L16" s="219" t="str">
        <f t="array" ref="L16">IFERROR(J16*INDEX('PORTIFÓLIO'!$S$4:$S$433,MATCH($C16,'PORTIFÓLIO'!$C$4:$C$433,0)),"")</f>
        <v/>
      </c>
      <c r="M16" s="220"/>
      <c r="N16" s="220"/>
      <c r="O16" s="220"/>
      <c r="P16" s="220"/>
      <c r="Q16" s="220"/>
      <c r="R16" s="220"/>
      <c r="S16" s="220"/>
      <c r="T16" s="220"/>
      <c r="U16" s="220" t="str">
        <f>IFERROR(__xludf.DUMMYFUNCTION("FILTER('PORTIFÓLIO'!C:C, 'PORTIFÓLIO'!B:B=B16)"),"#REF!")</f>
        <v>#REF!</v>
      </c>
      <c r="V16" s="220"/>
      <c r="W16" s="220"/>
    </row>
    <row r="17" outlineLevel="1">
      <c r="A17" s="211"/>
      <c r="B17" s="212"/>
      <c r="C17" s="213"/>
      <c r="D17" s="214" t="str">
        <f>IFERROR(VLOOKUP($C17,'PORTIFÓLIO'!C:V,2,0),"")</f>
        <v/>
      </c>
      <c r="E17" s="211" t="str">
        <f>IFERROR(VLOOKUP($C17,'PORTIFÓLIO'!C:V,3,0),"")</f>
        <v/>
      </c>
      <c r="F17" s="211" t="str">
        <f>IFERROR(VLOOKUP($C17,'PORTIFÓLIO'!C:V,4,0),"")</f>
        <v/>
      </c>
      <c r="G17" s="215" t="str">
        <f>IFERROR(VLOOKUP($C17,'PORTIFÓLIO'!C:V,5,0),"")</f>
        <v/>
      </c>
      <c r="H17" s="254" t="str">
        <f t="array" ref="H17">IFERROR(INDEX('PORTIFÓLIO'!$H$4:$H$433,MATCH($C17,'PORTIFÓLIO'!$C$4:$C$433,0)),"")</f>
        <v/>
      </c>
      <c r="I17" s="255"/>
      <c r="J17" s="218">
        <f t="shared" si="2"/>
        <v>0</v>
      </c>
      <c r="K17" s="219" t="str">
        <f t="array" ref="K17">IFERROR(I17*INDEX('PORTIFÓLIO'!$S$4:$S$433,MATCH($C17,'PORTIFÓLIO'!$C$4:$C$433,0)),"")</f>
        <v/>
      </c>
      <c r="L17" s="219" t="str">
        <f t="array" ref="L17">IFERROR(J17*INDEX('PORTIFÓLIO'!$S$4:$S$433,MATCH($C17,'PORTIFÓLIO'!$C$4:$C$433,0)),"")</f>
        <v/>
      </c>
      <c r="M17" s="220"/>
      <c r="N17" s="220"/>
      <c r="O17" s="220"/>
      <c r="P17" s="220"/>
      <c r="Q17" s="220"/>
      <c r="R17" s="220"/>
      <c r="S17" s="220"/>
      <c r="T17" s="220"/>
      <c r="U17" s="220" t="str">
        <f>IFERROR(__xludf.DUMMYFUNCTION("FILTER('PORTIFÓLIO'!C:C, 'PORTIFÓLIO'!B:B=B17)"),"#REF!")</f>
        <v>#REF!</v>
      </c>
      <c r="V17" s="220"/>
      <c r="W17" s="220"/>
    </row>
    <row r="18" outlineLevel="1">
      <c r="A18" s="211"/>
      <c r="B18" s="212"/>
      <c r="C18" s="213"/>
      <c r="D18" s="214" t="str">
        <f>IFERROR(VLOOKUP($C18,'PORTIFÓLIO'!C:V,2,0),"")</f>
        <v/>
      </c>
      <c r="E18" s="211" t="str">
        <f>IFERROR(VLOOKUP($C18,'PORTIFÓLIO'!C:V,3,0),"")</f>
        <v/>
      </c>
      <c r="F18" s="211" t="str">
        <f>IFERROR(VLOOKUP($C18,'PORTIFÓLIO'!C:V,4,0),"")</f>
        <v/>
      </c>
      <c r="G18" s="215" t="str">
        <f>IFERROR(VLOOKUP($C18,'PORTIFÓLIO'!C:V,5,0),"")</f>
        <v/>
      </c>
      <c r="H18" s="254" t="str">
        <f t="array" ref="H18">IFERROR(INDEX('PORTIFÓLIO'!$H$4:$H$433,MATCH($C18,'PORTIFÓLIO'!$C$4:$C$433,0)),"")</f>
        <v/>
      </c>
      <c r="I18" s="255"/>
      <c r="J18" s="218">
        <f t="shared" si="2"/>
        <v>0</v>
      </c>
      <c r="K18" s="219" t="str">
        <f t="array" ref="K18">IFERROR(I18*INDEX('PORTIFÓLIO'!$S$4:$S$433,MATCH($C18,'PORTIFÓLIO'!$C$4:$C$433,0)),"")</f>
        <v/>
      </c>
      <c r="L18" s="219" t="str">
        <f t="array" ref="L18">IFERROR(J18*INDEX('PORTIFÓLIO'!$S$4:$S$433,MATCH($C18,'PORTIFÓLIO'!$C$4:$C$433,0)),"")</f>
        <v/>
      </c>
      <c r="M18" s="220"/>
      <c r="N18" s="220"/>
      <c r="O18" s="220"/>
      <c r="P18" s="220"/>
      <c r="Q18" s="220"/>
      <c r="R18" s="220"/>
      <c r="S18" s="220"/>
      <c r="T18" s="220"/>
      <c r="U18" s="220" t="str">
        <f>IFERROR(__xludf.DUMMYFUNCTION("FILTER('PORTIFÓLIO'!C:C, 'PORTIFÓLIO'!B:B=B18)"),"#REF!")</f>
        <v>#REF!</v>
      </c>
      <c r="V18" s="220"/>
      <c r="W18" s="220"/>
    </row>
    <row r="19" outlineLevel="1">
      <c r="A19" s="211"/>
      <c r="B19" s="212"/>
      <c r="C19" s="213"/>
      <c r="D19" s="214" t="str">
        <f>IFERROR(VLOOKUP($C19,'PORTIFÓLIO'!C:V,2,0),"")</f>
        <v/>
      </c>
      <c r="E19" s="211" t="str">
        <f>IFERROR(VLOOKUP($C19,'PORTIFÓLIO'!C:V,3,0),"")</f>
        <v/>
      </c>
      <c r="F19" s="211" t="str">
        <f>IFERROR(VLOOKUP($C19,'PORTIFÓLIO'!C:V,4,0),"")</f>
        <v/>
      </c>
      <c r="G19" s="215" t="str">
        <f>IFERROR(VLOOKUP($C19,'PORTIFÓLIO'!C:V,5,0),"")</f>
        <v/>
      </c>
      <c r="H19" s="254" t="str">
        <f t="array" ref="H19">IFERROR(INDEX('PORTIFÓLIO'!$H$4:$H$433,MATCH($C19,'PORTIFÓLIO'!$C$4:$C$433,0)),"")</f>
        <v/>
      </c>
      <c r="I19" s="255"/>
      <c r="J19" s="218">
        <f t="shared" si="2"/>
        <v>0</v>
      </c>
      <c r="K19" s="219" t="str">
        <f t="array" ref="K19">IFERROR(I19*INDEX('PORTIFÓLIO'!$S$4:$S$433,MATCH($C19,'PORTIFÓLIO'!$C$4:$C$433,0)),"")</f>
        <v/>
      </c>
      <c r="L19" s="219" t="str">
        <f t="array" ref="L19">IFERROR(J19*INDEX('PORTIFÓLIO'!$S$4:$S$433,MATCH($C19,'PORTIFÓLIO'!$C$4:$C$433,0)),"")</f>
        <v/>
      </c>
      <c r="M19" s="220"/>
      <c r="N19" s="220"/>
      <c r="O19" s="220"/>
      <c r="P19" s="220"/>
      <c r="Q19" s="220"/>
      <c r="R19" s="220"/>
      <c r="S19" s="220"/>
      <c r="T19" s="220"/>
      <c r="U19" s="220" t="str">
        <f>IFERROR(__xludf.DUMMYFUNCTION("FILTER('PORTIFÓLIO'!C:C, 'PORTIFÓLIO'!B:B=B19)"),"")</f>
        <v/>
      </c>
      <c r="V19" s="220"/>
      <c r="W19" s="220"/>
    </row>
    <row r="20" outlineLevel="1">
      <c r="A20" s="211"/>
      <c r="B20" s="212"/>
      <c r="C20" s="213"/>
      <c r="D20" s="214" t="str">
        <f>IFERROR(VLOOKUP($C20,'PORTIFÓLIO'!C:V,2,0),"")</f>
        <v/>
      </c>
      <c r="E20" s="211" t="str">
        <f>IFERROR(VLOOKUP($C20,'PORTIFÓLIO'!C:V,3,0),"")</f>
        <v/>
      </c>
      <c r="F20" s="211" t="str">
        <f>IFERROR(VLOOKUP($C20,'PORTIFÓLIO'!C:V,4,0),"")</f>
        <v/>
      </c>
      <c r="G20" s="215" t="str">
        <f>IFERROR(VLOOKUP($C20,'PORTIFÓLIO'!C:V,5,0),"")</f>
        <v/>
      </c>
      <c r="H20" s="254" t="str">
        <f t="array" ref="H20">IFERROR(INDEX('PORTIFÓLIO'!$H$4:$H$433,MATCH($C20,'PORTIFÓLIO'!$C$4:$C$433,0)),"")</f>
        <v/>
      </c>
      <c r="I20" s="255"/>
      <c r="J20" s="218">
        <f t="shared" si="2"/>
        <v>0</v>
      </c>
      <c r="K20" s="219" t="str">
        <f t="array" ref="K20">IFERROR(I20*INDEX('PORTIFÓLIO'!$S$4:$S$433,MATCH($C20,'PORTIFÓLIO'!$C$4:$C$433,0)),"")</f>
        <v/>
      </c>
      <c r="L20" s="219" t="str">
        <f t="array" ref="L20">IFERROR(J20*INDEX('PORTIFÓLIO'!$S$4:$S$433,MATCH($C20,'PORTIFÓLIO'!$C$4:$C$433,0)),"")</f>
        <v/>
      </c>
      <c r="M20" s="220"/>
      <c r="N20" s="220"/>
      <c r="O20" s="220"/>
      <c r="P20" s="220"/>
      <c r="Q20" s="220"/>
      <c r="R20" s="220"/>
      <c r="S20" s="220"/>
      <c r="T20" s="220"/>
      <c r="U20" s="220"/>
      <c r="V20" s="220"/>
      <c r="W20" s="220"/>
    </row>
    <row r="21" ht="15.75" customHeight="1" outlineLevel="1">
      <c r="A21" s="211"/>
      <c r="B21" s="212"/>
      <c r="C21" s="213"/>
      <c r="D21" s="214" t="str">
        <f>IFERROR(VLOOKUP($C21,'PORTIFÓLIO'!C:V,2,0),"")</f>
        <v/>
      </c>
      <c r="E21" s="211" t="str">
        <f>IFERROR(VLOOKUP($C21,'PORTIFÓLIO'!C:V,3,0),"")</f>
        <v/>
      </c>
      <c r="F21" s="211" t="str">
        <f>IFERROR(VLOOKUP($C21,'PORTIFÓLIO'!C:V,4,0),"")</f>
        <v/>
      </c>
      <c r="G21" s="215" t="str">
        <f>IFERROR(VLOOKUP($C21,'PORTIFÓLIO'!C:V,5,0),"")</f>
        <v/>
      </c>
      <c r="H21" s="254" t="str">
        <f t="array" ref="H21">IFERROR(INDEX('PORTIFÓLIO'!$H$4:$H$433,MATCH($C21,'PORTIFÓLIO'!$C$4:$C$433,0)),"")</f>
        <v/>
      </c>
      <c r="I21" s="255"/>
      <c r="J21" s="218">
        <f t="shared" si="2"/>
        <v>0</v>
      </c>
      <c r="K21" s="219" t="str">
        <f t="array" ref="K21">IFERROR(I21*INDEX('PORTIFÓLIO'!$S$4:$S$433,MATCH($C21,'PORTIFÓLIO'!$C$4:$C$433,0)),"")</f>
        <v/>
      </c>
      <c r="L21" s="219" t="str">
        <f t="array" ref="L21">IFERROR(J21*INDEX('PORTIFÓLIO'!$S$4:$S$433,MATCH($C21,'PORTIFÓLIO'!$C$4:$C$433,0)),"")</f>
        <v/>
      </c>
      <c r="M21" s="220"/>
      <c r="N21" s="220"/>
      <c r="O21" s="220"/>
      <c r="P21" s="220"/>
      <c r="Q21" s="220"/>
      <c r="R21" s="220"/>
      <c r="S21" s="220"/>
      <c r="T21" s="220"/>
      <c r="U21" s="220"/>
      <c r="V21" s="220"/>
      <c r="W21" s="220"/>
    </row>
    <row r="22" ht="15.75" customHeight="1" outlineLevel="1">
      <c r="A22" s="211"/>
      <c r="B22" s="212"/>
      <c r="C22" s="213"/>
      <c r="D22" s="214" t="str">
        <f>IFERROR(VLOOKUP($C22,'PORTIFÓLIO'!C:V,2,0),"")</f>
        <v/>
      </c>
      <c r="E22" s="211" t="str">
        <f>IFERROR(VLOOKUP($C22,'PORTIFÓLIO'!C:V,3,0),"")</f>
        <v/>
      </c>
      <c r="F22" s="211" t="str">
        <f>IFERROR(VLOOKUP($C22,'PORTIFÓLIO'!C:V,4,0),"")</f>
        <v/>
      </c>
      <c r="G22" s="215" t="str">
        <f>IFERROR(VLOOKUP($C22,'PORTIFÓLIO'!C:V,5,0),"")</f>
        <v/>
      </c>
      <c r="H22" s="254" t="str">
        <f t="array" ref="H22">IFERROR(INDEX('PORTIFÓLIO'!$H$4:$H$433,MATCH($C22,'PORTIFÓLIO'!$C$4:$C$433,0)),"")</f>
        <v/>
      </c>
      <c r="I22" s="255"/>
      <c r="J22" s="218">
        <f t="shared" si="2"/>
        <v>0</v>
      </c>
      <c r="K22" s="219" t="str">
        <f t="array" ref="K22">IFERROR(I22*INDEX('PORTIFÓLIO'!$S$4:$S$433,MATCH($C22,'PORTIFÓLIO'!$C$4:$C$433,0)),"")</f>
        <v/>
      </c>
      <c r="L22" s="219" t="str">
        <f t="array" ref="L22">IFERROR(J22*INDEX('PORTIFÓLIO'!$S$4:$S$433,MATCH($C22,'PORTIFÓLIO'!$C$4:$C$433,0)),"")</f>
        <v/>
      </c>
      <c r="M22" s="220"/>
      <c r="N22" s="220"/>
      <c r="O22" s="220"/>
      <c r="P22" s="220"/>
      <c r="Q22" s="220"/>
      <c r="R22" s="220"/>
      <c r="S22" s="220"/>
      <c r="T22" s="220"/>
      <c r="U22" s="220"/>
      <c r="V22" s="220"/>
      <c r="W22" s="220"/>
    </row>
    <row r="23" ht="15.75" customHeight="1" outlineLevel="1">
      <c r="A23" s="211"/>
      <c r="B23" s="212"/>
      <c r="C23" s="213"/>
      <c r="D23" s="214" t="str">
        <f>IFERROR(VLOOKUP($C23,'PORTIFÓLIO'!C:V,2,0),"")</f>
        <v/>
      </c>
      <c r="E23" s="211" t="str">
        <f>IFERROR(VLOOKUP($C23,'PORTIFÓLIO'!C:V,3,0),"")</f>
        <v/>
      </c>
      <c r="F23" s="211" t="str">
        <f>IFERROR(VLOOKUP($C23,'PORTIFÓLIO'!C:V,4,0),"")</f>
        <v/>
      </c>
      <c r="G23" s="215" t="str">
        <f>IFERROR(VLOOKUP($C23,'PORTIFÓLIO'!C:V,5,0),"")</f>
        <v/>
      </c>
      <c r="H23" s="254" t="str">
        <f t="array" ref="H23">IFERROR(INDEX('PORTIFÓLIO'!$H$4:$H$433,MATCH($C23,'PORTIFÓLIO'!$C$4:$C$433,0)),"")</f>
        <v/>
      </c>
      <c r="I23" s="255"/>
      <c r="J23" s="218">
        <f t="shared" si="2"/>
        <v>0</v>
      </c>
      <c r="K23" s="219" t="str">
        <f t="array" ref="K23">IFERROR(I23*INDEX('PORTIFÓLIO'!$S$4:$S$433,MATCH($C23,'PORTIFÓLIO'!$C$4:$C$433,0)),"")</f>
        <v/>
      </c>
      <c r="L23" s="219" t="str">
        <f t="array" ref="L23">IFERROR(J23*INDEX('PORTIFÓLIO'!$S$4:$S$433,MATCH($C23,'PORTIFÓLIO'!$C$4:$C$433,0)),"")</f>
        <v/>
      </c>
      <c r="M23" s="220"/>
      <c r="N23" s="220"/>
      <c r="O23" s="220"/>
      <c r="P23" s="220"/>
      <c r="Q23" s="220"/>
      <c r="R23" s="220"/>
      <c r="S23" s="220"/>
      <c r="T23" s="220"/>
      <c r="U23" s="220"/>
      <c r="V23" s="220"/>
      <c r="W23" s="220"/>
    </row>
    <row r="24" ht="15.75" customHeight="1" outlineLevel="1">
      <c r="A24" s="211"/>
      <c r="B24" s="212"/>
      <c r="C24" s="213"/>
      <c r="D24" s="214" t="str">
        <f>IFERROR(VLOOKUP($C24,'PORTIFÓLIO'!C:V,2,0),"")</f>
        <v/>
      </c>
      <c r="E24" s="211" t="str">
        <f>IFERROR(VLOOKUP($C24,'PORTIFÓLIO'!C:V,3,0),"")</f>
        <v/>
      </c>
      <c r="F24" s="211" t="str">
        <f>IFERROR(VLOOKUP($C24,'PORTIFÓLIO'!C:V,4,0),"")</f>
        <v/>
      </c>
      <c r="G24" s="215" t="str">
        <f>IFERROR(VLOOKUP($C24,'PORTIFÓLIO'!C:V,5,0),"")</f>
        <v/>
      </c>
      <c r="H24" s="254" t="str">
        <f t="array" ref="H24">IFERROR(INDEX('PORTIFÓLIO'!$H$4:$H$433,MATCH($C24,'PORTIFÓLIO'!$C$4:$C$433,0)),"")</f>
        <v/>
      </c>
      <c r="I24" s="255"/>
      <c r="J24" s="218">
        <f t="shared" si="2"/>
        <v>0</v>
      </c>
      <c r="K24" s="219" t="str">
        <f t="array" ref="K24">IFERROR(I24*INDEX('PORTIFÓLIO'!$S$4:$S$433,MATCH($C24,'PORTIFÓLIO'!$C$4:$C$433,0)),"")</f>
        <v/>
      </c>
      <c r="L24" s="219" t="str">
        <f t="array" ref="L24">IFERROR(J24*INDEX('PORTIFÓLIO'!$S$4:$S$433,MATCH($C24,'PORTIFÓLIO'!$C$4:$C$433,0)),"")</f>
        <v/>
      </c>
      <c r="M24" s="220"/>
      <c r="N24" s="220"/>
      <c r="O24" s="220"/>
      <c r="P24" s="220"/>
      <c r="Q24" s="220"/>
      <c r="R24" s="220"/>
      <c r="S24" s="220"/>
      <c r="T24" s="220"/>
      <c r="U24" s="220"/>
      <c r="V24" s="220"/>
      <c r="W24" s="220"/>
    </row>
    <row r="25" ht="15.75" customHeight="1">
      <c r="A25" s="229" t="s">
        <v>1184</v>
      </c>
      <c r="B25" s="230"/>
      <c r="C25" s="231"/>
      <c r="D25" s="232"/>
      <c r="E25" s="231"/>
      <c r="F25" s="231"/>
      <c r="G25" s="233"/>
      <c r="H25" s="233"/>
      <c r="I25" s="258"/>
      <c r="J25" s="236"/>
      <c r="K25" s="237">
        <f t="shared" ref="K25:L25" si="3">SUBTOTAL(9,K26:K39)</f>
        <v>178.4188912</v>
      </c>
      <c r="L25" s="237">
        <f t="shared" si="3"/>
        <v>21410.26694</v>
      </c>
      <c r="M25" s="220"/>
      <c r="N25" s="220"/>
      <c r="O25" s="220"/>
      <c r="P25" s="220"/>
      <c r="Q25" s="220"/>
      <c r="R25" s="220"/>
      <c r="S25" s="220"/>
      <c r="T25" s="220"/>
      <c r="U25" s="220"/>
      <c r="V25" s="220"/>
      <c r="W25" s="220"/>
    </row>
    <row r="26" ht="15.75" customHeight="1" outlineLevel="1">
      <c r="A26" s="213"/>
      <c r="B26" s="212" t="s">
        <v>1</v>
      </c>
      <c r="C26" s="213" t="s">
        <v>637</v>
      </c>
      <c r="D26" s="214" t="str">
        <f>IFERROR(VLOOKUP($C26,'PORTIFÓLIO'!C:V,2,0),"")</f>
        <v>GLIFOSATO-SAL DE AMÔNIO</v>
      </c>
      <c r="E26" s="211">
        <f>IFERROR(VLOOKUP($C26,'PORTIFÓLIO'!C:V,3,0),"")</f>
        <v>720</v>
      </c>
      <c r="F26" s="211" t="str">
        <f>IFERROR(VLOOKUP($C26,'PORTIFÓLIO'!C:V,4,0),"")</f>
        <v>L</v>
      </c>
      <c r="G26" s="225" t="str">
        <f>IFERROR(VLOOKUP($C26,'PORTIFÓLIO'!C:V,5,0),"")</f>
        <v>📄 Ver bula</v>
      </c>
      <c r="H26" s="254">
        <f t="array" ref="H26">IFERROR(INDEX('PORTIFÓLIO'!$H$4:$H$433,MATCH($C26,'PORTIFÓLIO'!$C$4:$C$433,0)),"")</f>
        <v>2</v>
      </c>
      <c r="I26" s="255">
        <v>2.0</v>
      </c>
      <c r="J26" s="218">
        <f t="shared" ref="J26:J43" si="4">I26*$B$2</f>
        <v>240</v>
      </c>
      <c r="K26" s="219">
        <f t="array" ref="K26">IFERROR(I26*INDEX('PORTIFÓLIO'!$S$4:$S$433,MATCH($C26,'PORTIFÓLIO'!$C$4:$C$433,0)),"")</f>
        <v>49.16</v>
      </c>
      <c r="L26" s="219">
        <f t="array" ref="L26">IFERROR(J26*INDEX('PORTIFÓLIO'!$S$4:$S$433,MATCH($C26,'PORTIFÓLIO'!$C$4:$C$433,0)),"")</f>
        <v>5899.2</v>
      </c>
      <c r="M26" s="220"/>
      <c r="N26" s="220"/>
      <c r="O26" s="220"/>
      <c r="P26" s="220"/>
      <c r="Q26" s="220"/>
      <c r="R26" s="220"/>
      <c r="S26" s="220"/>
      <c r="T26" s="220"/>
      <c r="U26" s="220"/>
      <c r="V26" s="220"/>
      <c r="W26" s="220"/>
    </row>
    <row r="27" ht="15.75" customHeight="1" outlineLevel="1">
      <c r="A27" s="211"/>
      <c r="B27" s="212" t="s">
        <v>1</v>
      </c>
      <c r="C27" s="213" t="s">
        <v>610</v>
      </c>
      <c r="D27" s="214" t="str">
        <f>IFERROR(VLOOKUP($C27,'PORTIFÓLIO'!C:V,2,0),"")</f>
        <v>CLETODIM + FLUROXIPIR-MEPTÍLICO</v>
      </c>
      <c r="E27" s="211" t="str">
        <f>IFERROR(VLOOKUP($C27,'PORTIFÓLIO'!C:V,3,0),"")</f>
        <v>140 + 288</v>
      </c>
      <c r="F27" s="211" t="str">
        <f>IFERROR(VLOOKUP($C27,'PORTIFÓLIO'!C:V,4,0),"")</f>
        <v>L</v>
      </c>
      <c r="G27" s="225" t="str">
        <f>IFERROR(VLOOKUP($C27,'PORTIFÓLIO'!C:V,5,0),"")</f>
        <v>📄 Ver bula</v>
      </c>
      <c r="H27" s="254">
        <f t="array" ref="H27">IFERROR(INDEX('PORTIFÓLIO'!$H$4:$H$433,MATCH($C27,'PORTIFÓLIO'!$C$4:$C$433,0)),"")</f>
        <v>1</v>
      </c>
      <c r="I27" s="255">
        <v>1.0</v>
      </c>
      <c r="J27" s="218">
        <f t="shared" si="4"/>
        <v>120</v>
      </c>
      <c r="K27" s="219">
        <f t="array" ref="K27">IFERROR(I27*INDEX('PORTIFÓLIO'!$S$4:$S$433,MATCH($C27,'PORTIFÓLIO'!$C$4:$C$433,0)),"")</f>
        <v>60.04894</v>
      </c>
      <c r="L27" s="219">
        <f t="array" ref="L27">IFERROR(J27*INDEX('PORTIFÓLIO'!$S$4:$S$433,MATCH($C27,'PORTIFÓLIO'!$C$4:$C$433,0)),"")</f>
        <v>7205.8728</v>
      </c>
      <c r="M27" s="220"/>
      <c r="N27" s="220"/>
      <c r="O27" s="220"/>
      <c r="P27" s="220"/>
      <c r="Q27" s="220"/>
      <c r="R27" s="220"/>
      <c r="S27" s="220"/>
      <c r="T27" s="220"/>
      <c r="U27" s="220"/>
      <c r="V27" s="220"/>
      <c r="W27" s="220"/>
    </row>
    <row r="28" ht="15.75" customHeight="1" outlineLevel="1">
      <c r="A28" s="211"/>
      <c r="B28" s="212" t="s">
        <v>6</v>
      </c>
      <c r="C28" s="213" t="s">
        <v>354</v>
      </c>
      <c r="D28" s="214" t="str">
        <f>IFERROR(VLOOKUP($C28,'PORTIFÓLIO'!C:V,2,0),"")</f>
        <v>OLEO MINERAL</v>
      </c>
      <c r="E28" s="211">
        <f>IFERROR(VLOOKUP($C28,'PORTIFÓLIO'!C:V,3,0),"")</f>
        <v>761</v>
      </c>
      <c r="F28" s="211" t="str">
        <f>IFERROR(VLOOKUP($C28,'PORTIFÓLIO'!C:V,4,0),"")</f>
        <v>L</v>
      </c>
      <c r="G28" s="225" t="str">
        <f>IFERROR(VLOOKUP($C28,'PORTIFÓLIO'!C:V,5,0),"")</f>
        <v>📄 Ver bula</v>
      </c>
      <c r="H28" s="254">
        <f t="array" ref="H28">IFERROR(INDEX('PORTIFÓLIO'!$H$4:$H$433,MATCH($C28,'PORTIFÓLIO'!$C$4:$C$433,0)),"")</f>
        <v>0.2</v>
      </c>
      <c r="I28" s="255">
        <v>0.2</v>
      </c>
      <c r="J28" s="218">
        <f t="shared" si="4"/>
        <v>24</v>
      </c>
      <c r="K28" s="219">
        <f t="array" ref="K28">IFERROR(I28*INDEX('PORTIFÓLIO'!$S$4:$S$433,MATCH($C28,'PORTIFÓLIO'!$C$4:$C$433,0)),"")</f>
        <v>3.206</v>
      </c>
      <c r="L28" s="219">
        <f t="array" ref="L28">IFERROR(J28*INDEX('PORTIFÓLIO'!$S$4:$S$433,MATCH($C28,'PORTIFÓLIO'!$C$4:$C$433,0)),"")</f>
        <v>384.72</v>
      </c>
      <c r="M28" s="220"/>
      <c r="N28" s="220"/>
      <c r="O28" s="220"/>
      <c r="P28" s="220"/>
      <c r="Q28" s="220"/>
      <c r="R28" s="220"/>
      <c r="S28" s="220"/>
      <c r="T28" s="220"/>
      <c r="U28" s="220"/>
      <c r="V28" s="220"/>
      <c r="W28" s="220"/>
    </row>
    <row r="29" ht="15.75" customHeight="1" outlineLevel="1">
      <c r="A29" s="211"/>
      <c r="B29" s="212" t="s">
        <v>2</v>
      </c>
      <c r="C29" s="213" t="s">
        <v>824</v>
      </c>
      <c r="D29" s="214" t="str">
        <f>IFERROR(VLOOKUP($C29,'PORTIFÓLIO'!C:V,2,0),"")</f>
        <v>CLORANTRANILIPROLE</v>
      </c>
      <c r="E29" s="211">
        <f>IFERROR(VLOOKUP($C29,'PORTIFÓLIO'!C:V,3,0),"")</f>
        <v>200</v>
      </c>
      <c r="F29" s="211" t="str">
        <f>IFERROR(VLOOKUP($C29,'PORTIFÓLIO'!C:V,4,0),"")</f>
        <v>L</v>
      </c>
      <c r="G29" s="225" t="str">
        <f>IFERROR(VLOOKUP($C29,'PORTIFÓLIO'!C:V,5,0),"")</f>
        <v>📄 Ver bula</v>
      </c>
      <c r="H29" s="254">
        <f t="array" ref="H29">IFERROR(INDEX('PORTIFÓLIO'!$H$4:$H$433,MATCH($C29,'PORTIFÓLIO'!$C$4:$C$433,0)),"")</f>
        <v>0.1</v>
      </c>
      <c r="I29" s="255">
        <v>0.04</v>
      </c>
      <c r="J29" s="218">
        <f t="shared" si="4"/>
        <v>4.8</v>
      </c>
      <c r="K29" s="219">
        <f t="array" ref="K29">IFERROR(I29*INDEX('PORTIFÓLIO'!$S$4:$S$433,MATCH($C29,'PORTIFÓLIO'!$C$4:$C$433,0)),"")</f>
        <v>11.31855</v>
      </c>
      <c r="L29" s="219">
        <f t="array" ref="L29">IFERROR(J29*INDEX('PORTIFÓLIO'!$S$4:$S$433,MATCH($C29,'PORTIFÓLIO'!$C$4:$C$433,0)),"")</f>
        <v>1358.226</v>
      </c>
      <c r="M29" s="220"/>
      <c r="N29" s="220"/>
      <c r="O29" s="220"/>
      <c r="P29" s="220"/>
      <c r="Q29" s="220"/>
      <c r="R29" s="220"/>
      <c r="S29" s="220"/>
      <c r="T29" s="220"/>
      <c r="U29" s="220"/>
      <c r="V29" s="220"/>
      <c r="W29" s="220"/>
    </row>
    <row r="30" ht="15.75" customHeight="1" outlineLevel="1">
      <c r="A30" s="211"/>
      <c r="B30" s="212" t="s">
        <v>2</v>
      </c>
      <c r="C30" s="213" t="s">
        <v>788</v>
      </c>
      <c r="D30" s="214" t="str">
        <f>IFERROR(VLOOKUP($C30,'PORTIFÓLIO'!C:V,2,0),"")</f>
        <v>FIPRONIL</v>
      </c>
      <c r="E30" s="211">
        <f>IFERROR(VLOOKUP($C30,'PORTIFÓLIO'!C:V,3,0),"")</f>
        <v>800</v>
      </c>
      <c r="F30" s="211" t="str">
        <f>IFERROR(VLOOKUP($C30,'PORTIFÓLIO'!C:V,4,0),"")</f>
        <v>L</v>
      </c>
      <c r="G30" s="225" t="str">
        <f>IFERROR(VLOOKUP($C30,'PORTIFÓLIO'!C:V,5,0),"")</f>
        <v>📄 Ver bula</v>
      </c>
      <c r="H30" s="254">
        <f t="array" ref="H30">IFERROR(INDEX('PORTIFÓLIO'!$H$4:$H$433,MATCH($C30,'PORTIFÓLIO'!$C$4:$C$433,0)),"")</f>
        <v>0.04</v>
      </c>
      <c r="I30" s="255">
        <v>0.04</v>
      </c>
      <c r="J30" s="218">
        <f t="shared" si="4"/>
        <v>4.8</v>
      </c>
      <c r="K30" s="219">
        <f t="array" ref="K30">IFERROR(I30*INDEX('PORTIFÓLIO'!$S$4:$S$433,MATCH($C30,'PORTIFÓLIO'!$C$4:$C$433,0)),"")</f>
        <v>9.9054012</v>
      </c>
      <c r="L30" s="219">
        <f t="array" ref="L30">IFERROR(J30*INDEX('PORTIFÓLIO'!$S$4:$S$433,MATCH($C30,'PORTIFÓLIO'!$C$4:$C$433,0)),"")</f>
        <v>1188.648144</v>
      </c>
      <c r="M30" s="220"/>
      <c r="N30" s="220"/>
      <c r="O30" s="220"/>
      <c r="P30" s="220"/>
      <c r="Q30" s="220"/>
      <c r="R30" s="220"/>
      <c r="S30" s="220"/>
      <c r="T30" s="220"/>
      <c r="U30" s="220"/>
      <c r="V30" s="220"/>
      <c r="W30" s="220"/>
    </row>
    <row r="31" ht="15.75" customHeight="1" outlineLevel="1">
      <c r="A31" s="211"/>
      <c r="B31" s="212" t="s">
        <v>9</v>
      </c>
      <c r="C31" s="213" t="s">
        <v>933</v>
      </c>
      <c r="D31" s="214" t="str">
        <f>IFERROR(VLOOKUP($C31,'PORTIFÓLIO'!C:V,2,0),"")</f>
        <v>N1%;B9,5%</v>
      </c>
      <c r="E31" s="211" t="str">
        <f>IFERROR(VLOOKUP($C31,'PORTIFÓLIO'!C:V,3,0),"")</f>
        <v>13,8g/l + 131,1g/l</v>
      </c>
      <c r="F31" s="211" t="str">
        <f>IFERROR(VLOOKUP($C31,'PORTIFÓLIO'!C:V,4,0),"")</f>
        <v>L</v>
      </c>
      <c r="G31" s="215" t="str">
        <f>IFERROR(VLOOKUP($C31,'PORTIFÓLIO'!C:V,5,0),"")</f>
        <v/>
      </c>
      <c r="H31" s="254">
        <f t="array" ref="H31">IFERROR(INDEX('PORTIFÓLIO'!$H$4:$H$433,MATCH($C31,'PORTIFÓLIO'!$C$4:$C$433,0)),"")</f>
        <v>2</v>
      </c>
      <c r="I31" s="255">
        <v>1.0</v>
      </c>
      <c r="J31" s="218">
        <f t="shared" si="4"/>
        <v>120</v>
      </c>
      <c r="K31" s="219">
        <f t="array" ref="K31">IFERROR(I31*INDEX('PORTIFÓLIO'!$S$4:$S$433,MATCH($C31,'PORTIFÓLIO'!$C$4:$C$433,0)),"")</f>
        <v>44.78</v>
      </c>
      <c r="L31" s="219">
        <f t="array" ref="L31">IFERROR(J31*INDEX('PORTIFÓLIO'!$S$4:$S$433,MATCH($C31,'PORTIFÓLIO'!$C$4:$C$433,0)),"")</f>
        <v>5373.6</v>
      </c>
      <c r="M31" s="220"/>
      <c r="N31" s="220"/>
      <c r="O31" s="220"/>
      <c r="P31" s="220"/>
      <c r="Q31" s="220"/>
      <c r="R31" s="220"/>
      <c r="S31" s="220"/>
      <c r="T31" s="220"/>
      <c r="U31" s="220"/>
      <c r="V31" s="220"/>
      <c r="W31" s="220"/>
    </row>
    <row r="32" ht="15.75" customHeight="1" outlineLevel="1">
      <c r="A32" s="211"/>
      <c r="B32" s="212"/>
      <c r="C32" s="213"/>
      <c r="D32" s="214" t="str">
        <f>IFERROR(VLOOKUP($C32,'PORTIFÓLIO'!C:V,2,0),"")</f>
        <v/>
      </c>
      <c r="E32" s="211" t="str">
        <f>IFERROR(VLOOKUP($C32,'PORTIFÓLIO'!C:V,3,0),"")</f>
        <v/>
      </c>
      <c r="F32" s="211" t="str">
        <f>IFERROR(VLOOKUP($C32,'PORTIFÓLIO'!C:V,4,0),"")</f>
        <v/>
      </c>
      <c r="G32" s="215" t="str">
        <f>IFERROR(VLOOKUP($C32,'PORTIFÓLIO'!C:V,5,0),"")</f>
        <v/>
      </c>
      <c r="H32" s="254" t="str">
        <f t="array" ref="H32">IFERROR(INDEX('PORTIFÓLIO'!$H$4:$H$433,MATCH($C32,'PORTIFÓLIO'!$C$4:$C$433,0)),"")</f>
        <v/>
      </c>
      <c r="I32" s="256"/>
      <c r="J32" s="218">
        <f t="shared" si="4"/>
        <v>0</v>
      </c>
      <c r="K32" s="219" t="str">
        <f t="array" ref="K32">IFERROR(I32*INDEX('PORTIFÓLIO'!$S$4:$S$433,MATCH($C32,'PORTIFÓLIO'!$C$4:$C$433,0)),"")</f>
        <v/>
      </c>
      <c r="L32" s="219" t="str">
        <f t="array" ref="L32">IFERROR(J32*INDEX('PORTIFÓLIO'!$S$4:$S$433,MATCH($C32,'PORTIFÓLIO'!$C$4:$C$433,0)),"")</f>
        <v/>
      </c>
      <c r="M32" s="220"/>
      <c r="N32" s="220"/>
      <c r="O32" s="220"/>
      <c r="P32" s="220"/>
      <c r="Q32" s="220"/>
      <c r="R32" s="220"/>
      <c r="S32" s="220"/>
      <c r="T32" s="220"/>
      <c r="U32" s="220"/>
      <c r="V32" s="220"/>
      <c r="W32" s="220"/>
    </row>
    <row r="33" ht="15.75" customHeight="1" outlineLevel="1">
      <c r="A33" s="211"/>
      <c r="B33" s="212"/>
      <c r="C33" s="213"/>
      <c r="D33" s="214" t="str">
        <f>IFERROR(VLOOKUP($C33,'PORTIFÓLIO'!C:V,2,0),"")</f>
        <v/>
      </c>
      <c r="E33" s="211" t="str">
        <f>IFERROR(VLOOKUP($C33,'PORTIFÓLIO'!C:V,3,0),"")</f>
        <v/>
      </c>
      <c r="F33" s="211" t="str">
        <f>IFERROR(VLOOKUP($C33,'PORTIFÓLIO'!C:V,4,0),"")</f>
        <v/>
      </c>
      <c r="G33" s="215" t="str">
        <f>IFERROR(VLOOKUP($C33,'PORTIFÓLIO'!C:V,5,0),"")</f>
        <v/>
      </c>
      <c r="H33" s="254" t="str">
        <f t="array" ref="H33">IFERROR(INDEX('PORTIFÓLIO'!$H$4:$H$433,MATCH($C33,'PORTIFÓLIO'!$C$4:$C$433,0)),"")</f>
        <v/>
      </c>
      <c r="I33" s="256"/>
      <c r="J33" s="218">
        <f t="shared" si="4"/>
        <v>0</v>
      </c>
      <c r="K33" s="219" t="str">
        <f t="array" ref="K33">IFERROR(I33*INDEX('PORTIFÓLIO'!$S$4:$S$433,MATCH($C33,'PORTIFÓLIO'!$C$4:$C$433,0)),"")</f>
        <v/>
      </c>
      <c r="L33" s="219" t="str">
        <f t="array" ref="L33">IFERROR(J33*INDEX('PORTIFÓLIO'!$S$4:$S$433,MATCH($C33,'PORTIFÓLIO'!$C$4:$C$433,0)),"")</f>
        <v/>
      </c>
      <c r="M33" s="220"/>
      <c r="N33" s="220"/>
      <c r="O33" s="220"/>
      <c r="P33" s="220"/>
      <c r="Q33" s="220"/>
      <c r="R33" s="220"/>
      <c r="S33" s="220"/>
      <c r="T33" s="220"/>
      <c r="U33" s="220"/>
      <c r="V33" s="220"/>
      <c r="W33" s="220"/>
    </row>
    <row r="34" ht="15.75" customHeight="1" outlineLevel="1">
      <c r="A34" s="211"/>
      <c r="B34" s="212"/>
      <c r="C34" s="213"/>
      <c r="D34" s="214" t="str">
        <f>IFERROR(VLOOKUP($C34,'PORTIFÓLIO'!C:V,2,0),"")</f>
        <v/>
      </c>
      <c r="E34" s="211" t="str">
        <f>IFERROR(VLOOKUP($C34,'PORTIFÓLIO'!C:V,3,0),"")</f>
        <v/>
      </c>
      <c r="F34" s="211" t="str">
        <f>IFERROR(VLOOKUP($C34,'PORTIFÓLIO'!C:V,4,0),"")</f>
        <v/>
      </c>
      <c r="G34" s="215" t="str">
        <f>IFERROR(VLOOKUP($C34,'PORTIFÓLIO'!C:V,5,0),"")</f>
        <v/>
      </c>
      <c r="H34" s="254" t="str">
        <f t="array" ref="H34">IFERROR(INDEX('PORTIFÓLIO'!$H$4:$H$433,MATCH($C34,'PORTIFÓLIO'!$C$4:$C$433,0)),"")</f>
        <v/>
      </c>
      <c r="I34" s="255"/>
      <c r="J34" s="218">
        <f t="shared" si="4"/>
        <v>0</v>
      </c>
      <c r="K34" s="219" t="str">
        <f t="array" ref="K34">IFERROR(I34*INDEX('PORTIFÓLIO'!$S$4:$S$433,MATCH($C34,'PORTIFÓLIO'!$C$4:$C$433,0)),"")</f>
        <v/>
      </c>
      <c r="L34" s="219" t="str">
        <f t="array" ref="L34">IFERROR(J34*INDEX('PORTIFÓLIO'!$S$4:$S$433,MATCH($C34,'PORTIFÓLIO'!$C$4:$C$433,0)),"")</f>
        <v/>
      </c>
      <c r="M34" s="220"/>
      <c r="N34" s="220"/>
      <c r="O34" s="220"/>
      <c r="P34" s="220"/>
      <c r="Q34" s="220"/>
      <c r="R34" s="220"/>
      <c r="S34" s="220"/>
      <c r="T34" s="220"/>
      <c r="U34" s="220"/>
      <c r="V34" s="220"/>
      <c r="W34" s="220"/>
    </row>
    <row r="35" ht="15.75" customHeight="1" outlineLevel="1">
      <c r="A35" s="211"/>
      <c r="B35" s="212"/>
      <c r="C35" s="213"/>
      <c r="D35" s="214" t="str">
        <f>IFERROR(VLOOKUP($C35,'PORTIFÓLIO'!C:V,2,0),"")</f>
        <v/>
      </c>
      <c r="E35" s="211" t="str">
        <f>IFERROR(VLOOKUP($C35,'PORTIFÓLIO'!C:V,3,0),"")</f>
        <v/>
      </c>
      <c r="F35" s="211" t="str">
        <f>IFERROR(VLOOKUP($C35,'PORTIFÓLIO'!C:V,4,0),"")</f>
        <v/>
      </c>
      <c r="G35" s="215" t="str">
        <f>IFERROR(VLOOKUP($C35,'PORTIFÓLIO'!C:V,5,0),"")</f>
        <v/>
      </c>
      <c r="H35" s="254" t="str">
        <f t="array" ref="H35">IFERROR(INDEX('PORTIFÓLIO'!$H$4:$H$433,MATCH($C35,'PORTIFÓLIO'!$C$4:$C$433,0)),"")</f>
        <v/>
      </c>
      <c r="I35" s="256"/>
      <c r="J35" s="218">
        <f t="shared" si="4"/>
        <v>0</v>
      </c>
      <c r="K35" s="219" t="str">
        <f t="array" ref="K35">IFERROR(I35*INDEX('PORTIFÓLIO'!$S$4:$S$433,MATCH($C35,'PORTIFÓLIO'!$C$4:$C$433,0)),"")</f>
        <v/>
      </c>
      <c r="L35" s="219" t="str">
        <f t="array" ref="L35">IFERROR(J35*INDEX('PORTIFÓLIO'!$S$4:$S$433,MATCH($C35,'PORTIFÓLIO'!$C$4:$C$433,0)),"")</f>
        <v/>
      </c>
      <c r="M35" s="220"/>
      <c r="N35" s="220"/>
      <c r="O35" s="220"/>
      <c r="P35" s="220"/>
      <c r="Q35" s="220"/>
      <c r="R35" s="220"/>
      <c r="S35" s="220"/>
      <c r="T35" s="220"/>
      <c r="U35" s="220"/>
      <c r="V35" s="220"/>
      <c r="W35" s="220"/>
    </row>
    <row r="36" ht="15.75" customHeight="1" outlineLevel="1">
      <c r="A36" s="211"/>
      <c r="B36" s="212"/>
      <c r="C36" s="213"/>
      <c r="D36" s="214" t="str">
        <f>IFERROR(VLOOKUP($C36,'PORTIFÓLIO'!C:V,2,0),"")</f>
        <v/>
      </c>
      <c r="E36" s="211" t="str">
        <f>IFERROR(VLOOKUP($C36,'PORTIFÓLIO'!C:V,3,0),"")</f>
        <v/>
      </c>
      <c r="F36" s="211" t="str">
        <f>IFERROR(VLOOKUP($C36,'PORTIFÓLIO'!C:V,4,0),"")</f>
        <v/>
      </c>
      <c r="G36" s="215" t="str">
        <f>IFERROR(VLOOKUP($C36,'PORTIFÓLIO'!C:V,5,0),"")</f>
        <v/>
      </c>
      <c r="H36" s="254" t="str">
        <f t="array" ref="H36">IFERROR(INDEX('PORTIFÓLIO'!$H$4:$H$433,MATCH($C36,'PORTIFÓLIO'!$C$4:$C$433,0)),"")</f>
        <v/>
      </c>
      <c r="I36" s="256"/>
      <c r="J36" s="218">
        <f t="shared" si="4"/>
        <v>0</v>
      </c>
      <c r="K36" s="219" t="str">
        <f t="array" ref="K36">IFERROR(I36*INDEX('PORTIFÓLIO'!$S$4:$S$433,MATCH($C36,'PORTIFÓLIO'!$C$4:$C$433,0)),"")</f>
        <v/>
      </c>
      <c r="L36" s="219" t="str">
        <f t="array" ref="L36">IFERROR(J36*INDEX('PORTIFÓLIO'!$S$4:$S$433,MATCH($C36,'PORTIFÓLIO'!$C$4:$C$433,0)),"")</f>
        <v/>
      </c>
      <c r="M36" s="220"/>
      <c r="N36" s="220"/>
      <c r="O36" s="220"/>
      <c r="P36" s="220"/>
      <c r="Q36" s="220"/>
      <c r="R36" s="220"/>
      <c r="S36" s="220"/>
      <c r="T36" s="220"/>
      <c r="U36" s="220"/>
      <c r="V36" s="220"/>
      <c r="W36" s="220"/>
    </row>
    <row r="37" ht="15.75" customHeight="1" outlineLevel="1">
      <c r="A37" s="211"/>
      <c r="B37" s="212"/>
      <c r="C37" s="213"/>
      <c r="D37" s="214" t="str">
        <f>IFERROR(VLOOKUP($C37,'PORTIFÓLIO'!C:V,2,0),"")</f>
        <v/>
      </c>
      <c r="E37" s="211" t="str">
        <f>IFERROR(VLOOKUP($C37,'PORTIFÓLIO'!C:V,3,0),"")</f>
        <v/>
      </c>
      <c r="F37" s="211" t="str">
        <f>IFERROR(VLOOKUP($C37,'PORTIFÓLIO'!C:V,4,0),"")</f>
        <v/>
      </c>
      <c r="G37" s="215" t="str">
        <f>IFERROR(VLOOKUP($C37,'PORTIFÓLIO'!C:V,5,0),"")</f>
        <v/>
      </c>
      <c r="H37" s="254" t="str">
        <f t="array" ref="H37">IFERROR(INDEX('PORTIFÓLIO'!$H$4:$H$433,MATCH($C37,'PORTIFÓLIO'!$C$4:$C$433,0)),"")</f>
        <v/>
      </c>
      <c r="I37" s="256"/>
      <c r="J37" s="218">
        <f t="shared" si="4"/>
        <v>0</v>
      </c>
      <c r="K37" s="219" t="str">
        <f t="array" ref="K37">IFERROR(I37*INDEX('PORTIFÓLIO'!$S$4:$S$433,MATCH($C37,'PORTIFÓLIO'!$C$4:$C$433,0)),"")</f>
        <v/>
      </c>
      <c r="L37" s="219" t="str">
        <f t="array" ref="L37">IFERROR(J37*INDEX('PORTIFÓLIO'!$S$4:$S$433,MATCH($C37,'PORTIFÓLIO'!$C$4:$C$433,0)),"")</f>
        <v/>
      </c>
      <c r="M37" s="220"/>
      <c r="N37" s="220"/>
      <c r="O37" s="220"/>
      <c r="P37" s="220"/>
      <c r="Q37" s="220"/>
      <c r="R37" s="220"/>
      <c r="S37" s="220"/>
      <c r="T37" s="220"/>
      <c r="U37" s="220"/>
      <c r="V37" s="220"/>
      <c r="W37" s="220"/>
    </row>
    <row r="38" ht="15.75" customHeight="1" outlineLevel="1">
      <c r="A38" s="211"/>
      <c r="B38" s="212"/>
      <c r="C38" s="213"/>
      <c r="D38" s="214" t="str">
        <f>IFERROR(VLOOKUP($C38,'PORTIFÓLIO'!C:V,2,0),"")</f>
        <v/>
      </c>
      <c r="E38" s="211" t="str">
        <f>IFERROR(VLOOKUP($C38,'PORTIFÓLIO'!C:V,3,0),"")</f>
        <v/>
      </c>
      <c r="F38" s="211" t="str">
        <f>IFERROR(VLOOKUP($C38,'PORTIFÓLIO'!C:V,4,0),"")</f>
        <v/>
      </c>
      <c r="G38" s="215" t="str">
        <f>IFERROR(VLOOKUP($C38,'PORTIFÓLIO'!C:V,5,0),"")</f>
        <v/>
      </c>
      <c r="H38" s="254" t="str">
        <f t="array" ref="H38">IFERROR(INDEX('PORTIFÓLIO'!$H$4:$H$433,MATCH($C38,'PORTIFÓLIO'!$C$4:$C$433,0)),"")</f>
        <v/>
      </c>
      <c r="I38" s="256"/>
      <c r="J38" s="218">
        <f t="shared" si="4"/>
        <v>0</v>
      </c>
      <c r="K38" s="219" t="str">
        <f t="array" ref="K38">IFERROR(I38*INDEX('PORTIFÓLIO'!$S$4:$S$433,MATCH($C38,'PORTIFÓLIO'!$C$4:$C$433,0)),"")</f>
        <v/>
      </c>
      <c r="L38" s="219" t="str">
        <f t="array" ref="L38">IFERROR(J38*INDEX('PORTIFÓLIO'!$S$4:$S$433,MATCH($C38,'PORTIFÓLIO'!$C$4:$C$433,0)),"")</f>
        <v/>
      </c>
      <c r="M38" s="220"/>
      <c r="N38" s="220"/>
      <c r="O38" s="220"/>
      <c r="P38" s="220"/>
      <c r="Q38" s="220"/>
      <c r="R38" s="220"/>
      <c r="S38" s="220"/>
      <c r="T38" s="220"/>
      <c r="U38" s="220"/>
      <c r="V38" s="220"/>
      <c r="W38" s="220"/>
    </row>
    <row r="39" ht="15.75" customHeight="1" outlineLevel="1">
      <c r="A39" s="211"/>
      <c r="B39" s="212"/>
      <c r="C39" s="213"/>
      <c r="D39" s="214" t="str">
        <f>IFERROR(VLOOKUP($C39,'PORTIFÓLIO'!C:V,2,0),"")</f>
        <v/>
      </c>
      <c r="E39" s="211" t="str">
        <f>IFERROR(VLOOKUP($C39,'PORTIFÓLIO'!C:V,3,0),"")</f>
        <v/>
      </c>
      <c r="F39" s="211" t="str">
        <f>IFERROR(VLOOKUP($C39,'PORTIFÓLIO'!C:V,4,0),"")</f>
        <v/>
      </c>
      <c r="G39" s="215" t="str">
        <f>IFERROR(VLOOKUP($C39,'PORTIFÓLIO'!C:V,5,0),"")</f>
        <v/>
      </c>
      <c r="H39" s="254" t="str">
        <f t="array" ref="H39">IFERROR(INDEX('PORTIFÓLIO'!$H$4:$H$433,MATCH($C39,'PORTIFÓLIO'!$C$4:$C$433,0)),"")</f>
        <v/>
      </c>
      <c r="I39" s="256"/>
      <c r="J39" s="218">
        <f t="shared" si="4"/>
        <v>0</v>
      </c>
      <c r="K39" s="219" t="str">
        <f t="array" ref="K39">IFERROR(I39*INDEX('PORTIFÓLIO'!$S$4:$S$433,MATCH($C39,'PORTIFÓLIO'!$C$4:$C$433,0)),"")</f>
        <v/>
      </c>
      <c r="L39" s="219" t="str">
        <f t="array" ref="L39">IFERROR(J39*INDEX('PORTIFÓLIO'!$S$4:$S$433,MATCH($C39,'PORTIFÓLIO'!$C$4:$C$433,0)),"")</f>
        <v/>
      </c>
      <c r="M39" s="220"/>
      <c r="N39" s="220"/>
      <c r="O39" s="220"/>
      <c r="P39" s="220"/>
      <c r="Q39" s="220"/>
      <c r="R39" s="220"/>
      <c r="S39" s="220"/>
      <c r="T39" s="220"/>
      <c r="U39" s="220"/>
      <c r="V39" s="220"/>
      <c r="W39" s="220"/>
    </row>
    <row r="40" ht="15.75" customHeight="1" outlineLevel="1">
      <c r="A40" s="211"/>
      <c r="B40" s="212"/>
      <c r="C40" s="213"/>
      <c r="D40" s="214" t="str">
        <f>IFERROR(VLOOKUP($C40,'PORTIFÓLIO'!C:V,2,0),"")</f>
        <v/>
      </c>
      <c r="E40" s="211" t="str">
        <f>IFERROR(VLOOKUP($C40,'PORTIFÓLIO'!C:V,3,0),"")</f>
        <v/>
      </c>
      <c r="F40" s="211" t="str">
        <f>IFERROR(VLOOKUP($C40,'PORTIFÓLIO'!C:V,4,0),"")</f>
        <v/>
      </c>
      <c r="G40" s="215" t="str">
        <f>IFERROR(VLOOKUP($C40,'PORTIFÓLIO'!C:V,5,0),"")</f>
        <v/>
      </c>
      <c r="H40" s="254" t="str">
        <f t="array" ref="H40">IFERROR(INDEX('PORTIFÓLIO'!$H$4:$H$433,MATCH($C40,'PORTIFÓLIO'!$C$4:$C$433,0)),"")</f>
        <v/>
      </c>
      <c r="I40" s="256"/>
      <c r="J40" s="218">
        <f t="shared" si="4"/>
        <v>0</v>
      </c>
      <c r="K40" s="219" t="str">
        <f t="array" ref="K40">IFERROR(I40*INDEX('PORTIFÓLIO'!$S$4:$S$433,MATCH($C40,'PORTIFÓLIO'!$C$4:$C$433,0)),"")</f>
        <v/>
      </c>
      <c r="L40" s="219" t="str">
        <f t="array" ref="L40">IFERROR(J40*INDEX('PORTIFÓLIO'!$S$4:$S$433,MATCH($C40,'PORTIFÓLIO'!$C$4:$C$433,0)),"")</f>
        <v/>
      </c>
      <c r="M40" s="220"/>
      <c r="N40" s="220"/>
      <c r="O40" s="220"/>
      <c r="P40" s="220"/>
      <c r="Q40" s="220"/>
      <c r="R40" s="220"/>
      <c r="S40" s="220"/>
      <c r="T40" s="220"/>
      <c r="U40" s="220"/>
      <c r="V40" s="220"/>
      <c r="W40" s="220"/>
    </row>
    <row r="41" ht="15.75" customHeight="1" outlineLevel="1">
      <c r="A41" s="211"/>
      <c r="B41" s="212"/>
      <c r="C41" s="213"/>
      <c r="D41" s="214" t="str">
        <f>IFERROR(VLOOKUP($C41,'PORTIFÓLIO'!C:V,2,0),"")</f>
        <v/>
      </c>
      <c r="E41" s="211" t="str">
        <f>IFERROR(VLOOKUP($C41,'PORTIFÓLIO'!C:V,3,0),"")</f>
        <v/>
      </c>
      <c r="F41" s="211" t="str">
        <f>IFERROR(VLOOKUP($C41,'PORTIFÓLIO'!C:V,4,0),"")</f>
        <v/>
      </c>
      <c r="G41" s="215" t="str">
        <f>IFERROR(VLOOKUP($C41,'PORTIFÓLIO'!C:V,5,0),"")</f>
        <v/>
      </c>
      <c r="H41" s="254" t="str">
        <f t="array" ref="H41">IFERROR(INDEX('PORTIFÓLIO'!$H$4:$H$433,MATCH($C41,'PORTIFÓLIO'!$C$4:$C$433,0)),"")</f>
        <v/>
      </c>
      <c r="I41" s="256"/>
      <c r="J41" s="218">
        <f t="shared" si="4"/>
        <v>0</v>
      </c>
      <c r="K41" s="219" t="str">
        <f t="array" ref="K41">IFERROR(I41*INDEX('PORTIFÓLIO'!$S$4:$S$433,MATCH($C41,'PORTIFÓLIO'!$C$4:$C$433,0)),"")</f>
        <v/>
      </c>
      <c r="L41" s="219" t="str">
        <f t="array" ref="L41">IFERROR(J41*INDEX('PORTIFÓLIO'!$S$4:$S$433,MATCH($C41,'PORTIFÓLIO'!$C$4:$C$433,0)),"")</f>
        <v/>
      </c>
      <c r="M41" s="220"/>
      <c r="N41" s="220"/>
      <c r="O41" s="220"/>
      <c r="P41" s="220"/>
      <c r="Q41" s="220"/>
      <c r="R41" s="220"/>
      <c r="S41" s="220"/>
      <c r="T41" s="220"/>
      <c r="U41" s="220"/>
      <c r="V41" s="220"/>
      <c r="W41" s="220"/>
    </row>
    <row r="42" ht="15.75" customHeight="1" outlineLevel="1">
      <c r="A42" s="211"/>
      <c r="B42" s="212"/>
      <c r="C42" s="213"/>
      <c r="D42" s="214" t="str">
        <f>IFERROR(VLOOKUP($C42,'PORTIFÓLIO'!C:V,2,0),"")</f>
        <v/>
      </c>
      <c r="E42" s="211" t="str">
        <f>IFERROR(VLOOKUP($C42,'PORTIFÓLIO'!C:V,3,0),"")</f>
        <v/>
      </c>
      <c r="F42" s="211" t="str">
        <f>IFERROR(VLOOKUP($C42,'PORTIFÓLIO'!C:V,4,0),"")</f>
        <v/>
      </c>
      <c r="G42" s="215" t="str">
        <f>IFERROR(VLOOKUP($C42,'PORTIFÓLIO'!C:V,5,0),"")</f>
        <v/>
      </c>
      <c r="H42" s="254" t="str">
        <f t="array" ref="H42">IFERROR(INDEX('PORTIFÓLIO'!$H$4:$H$433,MATCH($C42,'PORTIFÓLIO'!$C$4:$C$433,0)),"")</f>
        <v/>
      </c>
      <c r="I42" s="256"/>
      <c r="J42" s="218">
        <f t="shared" si="4"/>
        <v>0</v>
      </c>
      <c r="K42" s="219" t="str">
        <f t="array" ref="K42">IFERROR(I42*INDEX('PORTIFÓLIO'!$S$4:$S$433,MATCH($C42,'PORTIFÓLIO'!$C$4:$C$433,0)),"")</f>
        <v/>
      </c>
      <c r="L42" s="219" t="str">
        <f t="array" ref="L42">IFERROR(J42*INDEX('PORTIFÓLIO'!$S$4:$S$433,MATCH($C42,'PORTIFÓLIO'!$C$4:$C$433,0)),"")</f>
        <v/>
      </c>
      <c r="M42" s="220"/>
      <c r="N42" s="220"/>
      <c r="O42" s="220"/>
      <c r="P42" s="220"/>
      <c r="Q42" s="220"/>
      <c r="R42" s="220"/>
      <c r="S42" s="220"/>
      <c r="T42" s="220"/>
      <c r="U42" s="220"/>
      <c r="V42" s="220"/>
      <c r="W42" s="220"/>
    </row>
    <row r="43" ht="15.75" customHeight="1" outlineLevel="1">
      <c r="A43" s="211"/>
      <c r="B43" s="212"/>
      <c r="C43" s="213"/>
      <c r="D43" s="214" t="str">
        <f>IFERROR(VLOOKUP($C43,'PORTIFÓLIO'!C:V,2,0),"")</f>
        <v/>
      </c>
      <c r="E43" s="211" t="str">
        <f>IFERROR(VLOOKUP($C43,'PORTIFÓLIO'!C:V,3,0),"")</f>
        <v/>
      </c>
      <c r="F43" s="211" t="str">
        <f>IFERROR(VLOOKUP($C43,'PORTIFÓLIO'!C:V,4,0),"")</f>
        <v/>
      </c>
      <c r="G43" s="215" t="str">
        <f>IFERROR(VLOOKUP($C43,'PORTIFÓLIO'!C:V,5,0),"")</f>
        <v/>
      </c>
      <c r="H43" s="254" t="str">
        <f t="array" ref="H43">IFERROR(INDEX('PORTIFÓLIO'!$H$4:$H$433,MATCH($C43,'PORTIFÓLIO'!$C$4:$C$433,0)),"")</f>
        <v/>
      </c>
      <c r="I43" s="256"/>
      <c r="J43" s="218">
        <f t="shared" si="4"/>
        <v>0</v>
      </c>
      <c r="K43" s="219" t="str">
        <f t="array" ref="K43">IFERROR(I43*INDEX('PORTIFÓLIO'!$S$4:$S$433,MATCH($C43,'PORTIFÓLIO'!$C$4:$C$433,0)),"")</f>
        <v/>
      </c>
      <c r="L43" s="219" t="str">
        <f t="array" ref="L43">IFERROR(J43*INDEX('PORTIFÓLIO'!$S$4:$S$433,MATCH($C43,'PORTIFÓLIO'!$C$4:$C$433,0)),"")</f>
        <v/>
      </c>
      <c r="M43" s="220"/>
      <c r="N43" s="220"/>
      <c r="O43" s="220"/>
      <c r="P43" s="220"/>
      <c r="Q43" s="220"/>
      <c r="R43" s="220"/>
      <c r="S43" s="220"/>
      <c r="T43" s="220"/>
      <c r="U43" s="220"/>
      <c r="V43" s="220"/>
      <c r="W43" s="220"/>
    </row>
    <row r="44" ht="15.75" customHeight="1">
      <c r="A44" s="229" t="s">
        <v>1185</v>
      </c>
      <c r="B44" s="230"/>
      <c r="C44" s="231"/>
      <c r="D44" s="232" t="s">
        <v>216</v>
      </c>
      <c r="E44" s="231"/>
      <c r="F44" s="231"/>
      <c r="G44" s="233"/>
      <c r="H44" s="233"/>
      <c r="I44" s="258"/>
      <c r="J44" s="236"/>
      <c r="K44" s="237">
        <f t="shared" ref="K44:L44" si="5">SUBTOTAL(9,K45:K58)</f>
        <v>134.7822</v>
      </c>
      <c r="L44" s="237">
        <f t="shared" si="5"/>
        <v>16173.864</v>
      </c>
      <c r="M44" s="220"/>
      <c r="N44" s="220"/>
      <c r="O44" s="220"/>
      <c r="P44" s="220"/>
      <c r="Q44" s="220"/>
      <c r="R44" s="220"/>
      <c r="S44" s="220"/>
      <c r="T44" s="220"/>
      <c r="U44" s="220"/>
      <c r="V44" s="220"/>
      <c r="W44" s="220"/>
    </row>
    <row r="45" ht="15.75" customHeight="1" outlineLevel="1">
      <c r="A45" s="213"/>
      <c r="B45" s="212" t="s">
        <v>1</v>
      </c>
      <c r="C45" s="213" t="s">
        <v>683</v>
      </c>
      <c r="D45" s="214" t="str">
        <f>IFERROR(VLOOKUP($C45,'PORTIFÓLIO'!C:V,2,0),"")</f>
        <v>GLUFOSINATO - SAL DE AMONIO</v>
      </c>
      <c r="E45" s="211">
        <f>IFERROR(VLOOKUP($C45,'PORTIFÓLIO'!C:V,3,0),"")</f>
        <v>880</v>
      </c>
      <c r="F45" s="211" t="str">
        <f>IFERROR(VLOOKUP($C45,'PORTIFÓLIO'!C:V,4,0),"")</f>
        <v>L</v>
      </c>
      <c r="G45" s="225" t="str">
        <f>IFERROR(VLOOKUP($C45,'PORTIFÓLIO'!C:V,5,0),"")</f>
        <v>📄 Ver bula</v>
      </c>
      <c r="H45" s="254">
        <f t="array" ref="H45">IFERROR(INDEX('PORTIFÓLIO'!$H$4:$H$433,MATCH($C45,'PORTIFÓLIO'!$C$4:$C$433,0)),"")</f>
        <v>0.5</v>
      </c>
      <c r="I45" s="255">
        <v>0.5</v>
      </c>
      <c r="J45" s="218">
        <f t="shared" ref="J45:J62" si="6">I45*$B$2</f>
        <v>60</v>
      </c>
      <c r="K45" s="219">
        <f t="array" ref="K45">IFERROR(I45*INDEX('PORTIFÓLIO'!$S$4:$S$433,MATCH($C45,'PORTIFÓLIO'!$C$4:$C$433,0)),"")</f>
        <v>23.01917</v>
      </c>
      <c r="L45" s="219">
        <f t="array" ref="L45">IFERROR(J45*INDEX('PORTIFÓLIO'!$S$4:$S$433,MATCH($C45,'PORTIFÓLIO'!$C$4:$C$433,0)),"")</f>
        <v>2762.3004</v>
      </c>
      <c r="M45" s="220"/>
      <c r="N45" s="220"/>
      <c r="O45" s="220"/>
      <c r="P45" s="220"/>
      <c r="Q45" s="220"/>
      <c r="R45" s="220"/>
      <c r="S45" s="220"/>
      <c r="T45" s="220"/>
      <c r="U45" s="220"/>
      <c r="V45" s="220"/>
      <c r="W45" s="220"/>
    </row>
    <row r="46" ht="15.75" customHeight="1" outlineLevel="1">
      <c r="A46" s="211"/>
      <c r="B46" s="212" t="s">
        <v>1</v>
      </c>
      <c r="C46" s="213" t="s">
        <v>695</v>
      </c>
      <c r="D46" s="214" t="str">
        <f>IFERROR(VLOOKUP($C46,'PORTIFÓLIO'!C:V,2,0),"")</f>
        <v>DIUROM + SULFENTRAZONA</v>
      </c>
      <c r="E46" s="211" t="str">
        <f>IFERROR(VLOOKUP($C46,'PORTIFÓLIO'!C:V,3,0),"")</f>
        <v>350 + 175</v>
      </c>
      <c r="F46" s="211" t="str">
        <f>IFERROR(VLOOKUP($C46,'PORTIFÓLIO'!C:V,4,0),"")</f>
        <v>L</v>
      </c>
      <c r="G46" s="225" t="str">
        <f>IFERROR(VLOOKUP($C46,'PORTIFÓLIO'!C:V,5,0),"")</f>
        <v>📄 Ver bula</v>
      </c>
      <c r="H46" s="254" t="str">
        <f t="array" ref="H46">IFERROR(INDEX('PORTIFÓLIO'!$H$4:$H$433,MATCH($C46,'PORTIFÓLIO'!$C$4:$C$433,0)),"")</f>
        <v/>
      </c>
      <c r="I46" s="255">
        <v>1.0</v>
      </c>
      <c r="J46" s="218">
        <f t="shared" si="6"/>
        <v>120</v>
      </c>
      <c r="K46" s="219">
        <f t="array" ref="K46">IFERROR(I46*INDEX('PORTIFÓLIO'!$S$4:$S$433,MATCH($C46,'PORTIFÓLIO'!$C$4:$C$433,0)),"")</f>
        <v>68.11118</v>
      </c>
      <c r="L46" s="219">
        <f t="array" ref="L46">IFERROR(J46*INDEX('PORTIFÓLIO'!$S$4:$S$433,MATCH($C46,'PORTIFÓLIO'!$C$4:$C$433,0)),"")</f>
        <v>8173.3416</v>
      </c>
      <c r="M46" s="220"/>
      <c r="N46" s="220"/>
      <c r="O46" s="220"/>
      <c r="P46" s="220"/>
      <c r="Q46" s="220"/>
      <c r="R46" s="220"/>
      <c r="S46" s="220"/>
      <c r="T46" s="220"/>
      <c r="U46" s="220"/>
      <c r="V46" s="220"/>
      <c r="W46" s="220"/>
    </row>
    <row r="47" ht="15.75" customHeight="1" outlineLevel="1">
      <c r="A47" s="211"/>
      <c r="B47" s="212" t="s">
        <v>1</v>
      </c>
      <c r="C47" s="213" t="s">
        <v>728</v>
      </c>
      <c r="D47" s="214" t="str">
        <f>IFERROR(VLOOKUP($C47,'PORTIFÓLIO'!C:V,2,0),"")</f>
        <v>S-METOLACLORO</v>
      </c>
      <c r="E47" s="211">
        <f>IFERROR(VLOOKUP($C47,'PORTIFÓLIO'!C:V,3,0),"")</f>
        <v>960</v>
      </c>
      <c r="F47" s="211" t="str">
        <f>IFERROR(VLOOKUP($C47,'PORTIFÓLIO'!C:V,4,0),"")</f>
        <v>KG</v>
      </c>
      <c r="G47" s="225" t="str">
        <f>IFERROR(VLOOKUP($C47,'PORTIFÓLIO'!C:V,5,0),"")</f>
        <v>📄 Ver bula</v>
      </c>
      <c r="H47" s="254">
        <f t="array" ref="H47">IFERROR(INDEX('PORTIFÓLIO'!$H$4:$H$433,MATCH($C47,'PORTIFÓLIO'!$C$4:$C$433,0)),"")</f>
        <v>2</v>
      </c>
      <c r="I47" s="255">
        <v>1.0</v>
      </c>
      <c r="J47" s="218">
        <f t="shared" si="6"/>
        <v>120</v>
      </c>
      <c r="K47" s="219">
        <f t="array" ref="K47">IFERROR(I47*INDEX('PORTIFÓLIO'!$S$4:$S$433,MATCH($C47,'PORTIFÓLIO'!$C$4:$C$433,0)),"")</f>
        <v>29.1273</v>
      </c>
      <c r="L47" s="219">
        <f t="array" ref="L47">IFERROR(J47*INDEX('PORTIFÓLIO'!$S$4:$S$433,MATCH($C47,'PORTIFÓLIO'!$C$4:$C$433,0)),"")</f>
        <v>3495.276</v>
      </c>
      <c r="M47" s="220"/>
      <c r="N47" s="220"/>
      <c r="O47" s="220"/>
      <c r="P47" s="220"/>
      <c r="Q47" s="220"/>
      <c r="R47" s="220"/>
      <c r="S47" s="220"/>
      <c r="T47" s="220"/>
      <c r="U47" s="220"/>
      <c r="V47" s="220"/>
      <c r="W47" s="220"/>
    </row>
    <row r="48" ht="15.75" customHeight="1" outlineLevel="1">
      <c r="A48" s="211"/>
      <c r="B48" s="212" t="s">
        <v>6</v>
      </c>
      <c r="C48" s="213" t="s">
        <v>354</v>
      </c>
      <c r="D48" s="214" t="str">
        <f>IFERROR(VLOOKUP($C48,'PORTIFÓLIO'!C:V,2,0),"")</f>
        <v>OLEO MINERAL</v>
      </c>
      <c r="E48" s="211">
        <f>IFERROR(VLOOKUP($C48,'PORTIFÓLIO'!C:V,3,0),"")</f>
        <v>761</v>
      </c>
      <c r="F48" s="211" t="str">
        <f>IFERROR(VLOOKUP($C48,'PORTIFÓLIO'!C:V,4,0),"")</f>
        <v>L</v>
      </c>
      <c r="G48" s="225" t="str">
        <f>IFERROR(VLOOKUP($C48,'PORTIFÓLIO'!C:V,5,0),"")</f>
        <v>📄 Ver bula</v>
      </c>
      <c r="H48" s="254">
        <f t="array" ref="H48">IFERROR(INDEX('PORTIFÓLIO'!$H$4:$H$433,MATCH($C48,'PORTIFÓLIO'!$C$4:$C$433,0)),"")</f>
        <v>0.2</v>
      </c>
      <c r="I48" s="255">
        <v>0.2</v>
      </c>
      <c r="J48" s="218">
        <f t="shared" si="6"/>
        <v>24</v>
      </c>
      <c r="K48" s="219">
        <f t="array" ref="K48">IFERROR(I48*INDEX('PORTIFÓLIO'!$S$4:$S$433,MATCH($C48,'PORTIFÓLIO'!$C$4:$C$433,0)),"")</f>
        <v>3.206</v>
      </c>
      <c r="L48" s="219">
        <f t="array" ref="L48">IFERROR(J48*INDEX('PORTIFÓLIO'!$S$4:$S$433,MATCH($C48,'PORTIFÓLIO'!$C$4:$C$433,0)),"")</f>
        <v>384.72</v>
      </c>
      <c r="M48" s="220"/>
      <c r="N48" s="220"/>
      <c r="O48" s="220"/>
      <c r="P48" s="220"/>
      <c r="Q48" s="220"/>
      <c r="R48" s="220"/>
      <c r="S48" s="220"/>
      <c r="T48" s="220"/>
      <c r="U48" s="220"/>
      <c r="V48" s="220"/>
      <c r="W48" s="220"/>
    </row>
    <row r="49" ht="15.75" customHeight="1" outlineLevel="1">
      <c r="A49" s="211"/>
      <c r="B49" s="212" t="s">
        <v>2</v>
      </c>
      <c r="C49" s="213" t="s">
        <v>824</v>
      </c>
      <c r="D49" s="214" t="str">
        <f>IFERROR(VLOOKUP($C49,'PORTIFÓLIO'!C:V,2,0),"")</f>
        <v>CLORANTRANILIPROLE</v>
      </c>
      <c r="E49" s="211">
        <f>IFERROR(VLOOKUP($C49,'PORTIFÓLIO'!C:V,3,0),"")</f>
        <v>200</v>
      </c>
      <c r="F49" s="211" t="str">
        <f>IFERROR(VLOOKUP($C49,'PORTIFÓLIO'!C:V,4,0),"")</f>
        <v>L</v>
      </c>
      <c r="G49" s="225" t="str">
        <f>IFERROR(VLOOKUP($C49,'PORTIFÓLIO'!C:V,5,0),"")</f>
        <v>📄 Ver bula</v>
      </c>
      <c r="H49" s="254">
        <f t="array" ref="H49">IFERROR(INDEX('PORTIFÓLIO'!$H$4:$H$433,MATCH($C49,'PORTIFÓLIO'!$C$4:$C$433,0)),"")</f>
        <v>0.1</v>
      </c>
      <c r="I49" s="255">
        <v>0.04</v>
      </c>
      <c r="J49" s="218">
        <f t="shared" si="6"/>
        <v>4.8</v>
      </c>
      <c r="K49" s="219">
        <f t="array" ref="K49">IFERROR(I49*INDEX('PORTIFÓLIO'!$S$4:$S$433,MATCH($C49,'PORTIFÓLIO'!$C$4:$C$433,0)),"")</f>
        <v>11.31855</v>
      </c>
      <c r="L49" s="219">
        <f t="array" ref="L49">IFERROR(J49*INDEX('PORTIFÓLIO'!$S$4:$S$433,MATCH($C49,'PORTIFÓLIO'!$C$4:$C$433,0)),"")</f>
        <v>1358.226</v>
      </c>
      <c r="M49" s="220"/>
      <c r="N49" s="220"/>
      <c r="O49" s="220"/>
      <c r="P49" s="220"/>
      <c r="Q49" s="220"/>
      <c r="R49" s="220"/>
      <c r="S49" s="220"/>
      <c r="T49" s="220"/>
      <c r="U49" s="220"/>
      <c r="V49" s="220"/>
      <c r="W49" s="220"/>
    </row>
    <row r="50" ht="15.75" customHeight="1" outlineLevel="1">
      <c r="A50" s="211"/>
      <c r="B50" s="212"/>
      <c r="C50" s="213"/>
      <c r="D50" s="214" t="str">
        <f>IFERROR(VLOOKUP($C50,'PORTIFÓLIO'!C:V,2,0),"")</f>
        <v/>
      </c>
      <c r="E50" s="211" t="str">
        <f>IFERROR(VLOOKUP($C50,'PORTIFÓLIO'!C:V,3,0),"")</f>
        <v/>
      </c>
      <c r="F50" s="211" t="str">
        <f>IFERROR(VLOOKUP($C50,'PORTIFÓLIO'!C:V,4,0),"")</f>
        <v/>
      </c>
      <c r="G50" s="215" t="str">
        <f>IFERROR(VLOOKUP($C50,'PORTIFÓLIO'!C:V,5,0),"")</f>
        <v/>
      </c>
      <c r="H50" s="254" t="str">
        <f t="array" ref="H50">IFERROR(INDEX('PORTIFÓLIO'!$H$4:$H$433,MATCH($C50,'PORTIFÓLIO'!$C$4:$C$433,0)),"")</f>
        <v/>
      </c>
      <c r="I50" s="255"/>
      <c r="J50" s="218">
        <f t="shared" si="6"/>
        <v>0</v>
      </c>
      <c r="K50" s="219" t="str">
        <f t="array" ref="K50">IFERROR(I50*INDEX('PORTIFÓLIO'!$S$4:$S$433,MATCH($C50,'PORTIFÓLIO'!$C$4:$C$433,0)),"")</f>
        <v/>
      </c>
      <c r="L50" s="219" t="str">
        <f t="array" ref="L50">IFERROR(J50*INDEX('PORTIFÓLIO'!$S$4:$S$433,MATCH($C50,'PORTIFÓLIO'!$C$4:$C$433,0)),"")</f>
        <v/>
      </c>
      <c r="M50" s="220"/>
      <c r="N50" s="220"/>
      <c r="O50" s="220"/>
      <c r="P50" s="220"/>
      <c r="Q50" s="220"/>
      <c r="R50" s="220"/>
      <c r="S50" s="220"/>
      <c r="T50" s="220"/>
      <c r="U50" s="220"/>
      <c r="V50" s="220"/>
      <c r="W50" s="220"/>
    </row>
    <row r="51" ht="15.75" customHeight="1" outlineLevel="1">
      <c r="A51" s="211"/>
      <c r="B51" s="212"/>
      <c r="C51" s="213"/>
      <c r="D51" s="214" t="str">
        <f>IFERROR(VLOOKUP($C51,'PORTIFÓLIO'!C:V,2,0),"")</f>
        <v/>
      </c>
      <c r="E51" s="211" t="str">
        <f>IFERROR(VLOOKUP($C51,'PORTIFÓLIO'!C:V,3,0),"")</f>
        <v/>
      </c>
      <c r="F51" s="211" t="str">
        <f>IFERROR(VLOOKUP($C51,'PORTIFÓLIO'!C:V,4,0),"")</f>
        <v/>
      </c>
      <c r="G51" s="215" t="str">
        <f>IFERROR(VLOOKUP($C51,'PORTIFÓLIO'!C:V,5,0),"")</f>
        <v/>
      </c>
      <c r="H51" s="254" t="str">
        <f t="array" ref="H51">IFERROR(INDEX('PORTIFÓLIO'!$H$4:$H$433,MATCH($C51,'PORTIFÓLIO'!$C$4:$C$433,0)),"")</f>
        <v/>
      </c>
      <c r="I51" s="255"/>
      <c r="J51" s="218">
        <f t="shared" si="6"/>
        <v>0</v>
      </c>
      <c r="K51" s="219" t="str">
        <f t="array" ref="K51">IFERROR(I51*INDEX('PORTIFÓLIO'!$S$4:$S$433,MATCH($C51,'PORTIFÓLIO'!$C$4:$C$433,0)),"")</f>
        <v/>
      </c>
      <c r="L51" s="219" t="str">
        <f t="array" ref="L51">IFERROR(J51*INDEX('PORTIFÓLIO'!$S$4:$S$433,MATCH($C51,'PORTIFÓLIO'!$C$4:$C$433,0)),"")</f>
        <v/>
      </c>
      <c r="M51" s="220"/>
      <c r="N51" s="220"/>
      <c r="O51" s="220"/>
      <c r="P51" s="220"/>
      <c r="Q51" s="220"/>
      <c r="R51" s="220"/>
      <c r="S51" s="220"/>
      <c r="T51" s="220"/>
      <c r="U51" s="220"/>
      <c r="V51" s="220"/>
      <c r="W51" s="220"/>
    </row>
    <row r="52" ht="15.75" customHeight="1" outlineLevel="1">
      <c r="A52" s="211"/>
      <c r="B52" s="212"/>
      <c r="C52" s="213"/>
      <c r="D52" s="214" t="str">
        <f>IFERROR(VLOOKUP($C52,'PORTIFÓLIO'!C:V,2,0),"")</f>
        <v/>
      </c>
      <c r="E52" s="211" t="str">
        <f>IFERROR(VLOOKUP($C52,'PORTIFÓLIO'!C:V,3,0),"")</f>
        <v/>
      </c>
      <c r="F52" s="211" t="str">
        <f>IFERROR(VLOOKUP($C52,'PORTIFÓLIO'!C:V,4,0),"")</f>
        <v/>
      </c>
      <c r="G52" s="215" t="str">
        <f>IFERROR(VLOOKUP($C52,'PORTIFÓLIO'!C:V,5,0),"")</f>
        <v/>
      </c>
      <c r="H52" s="254" t="str">
        <f t="array" ref="H52">IFERROR(INDEX('PORTIFÓLIO'!$H$4:$H$433,MATCH($C52,'PORTIFÓLIO'!$C$4:$C$433,0)),"")</f>
        <v/>
      </c>
      <c r="I52" s="256"/>
      <c r="J52" s="218">
        <f t="shared" si="6"/>
        <v>0</v>
      </c>
      <c r="K52" s="219" t="str">
        <f t="array" ref="K52">IFERROR(I52*INDEX('PORTIFÓLIO'!$S$4:$S$433,MATCH($C52,'PORTIFÓLIO'!$C$4:$C$433,0)),"")</f>
        <v/>
      </c>
      <c r="L52" s="219" t="str">
        <f t="array" ref="L52">IFERROR(J52*INDEX('PORTIFÓLIO'!$S$4:$S$433,MATCH($C52,'PORTIFÓLIO'!$C$4:$C$433,0)),"")</f>
        <v/>
      </c>
      <c r="M52" s="220"/>
      <c r="N52" s="220"/>
      <c r="O52" s="220"/>
      <c r="P52" s="220"/>
      <c r="Q52" s="220"/>
      <c r="R52" s="220"/>
      <c r="S52" s="220"/>
      <c r="T52" s="220"/>
      <c r="U52" s="220"/>
      <c r="V52" s="220"/>
      <c r="W52" s="220"/>
    </row>
    <row r="53" ht="15.75" customHeight="1" outlineLevel="1">
      <c r="A53" s="211"/>
      <c r="B53" s="212"/>
      <c r="C53" s="213"/>
      <c r="D53" s="214" t="str">
        <f>IFERROR(VLOOKUP($C53,'PORTIFÓLIO'!C:V,2,0),"")</f>
        <v/>
      </c>
      <c r="E53" s="211" t="str">
        <f>IFERROR(VLOOKUP($C53,'PORTIFÓLIO'!C:V,3,0),"")</f>
        <v/>
      </c>
      <c r="F53" s="211" t="str">
        <f>IFERROR(VLOOKUP($C53,'PORTIFÓLIO'!C:V,4,0),"")</f>
        <v/>
      </c>
      <c r="G53" s="215" t="str">
        <f>IFERROR(VLOOKUP($C53,'PORTIFÓLIO'!C:V,5,0),"")</f>
        <v/>
      </c>
      <c r="H53" s="254" t="str">
        <f t="array" ref="H53">IFERROR(INDEX('PORTIFÓLIO'!$H$4:$H$433,MATCH($C53,'PORTIFÓLIO'!$C$4:$C$433,0)),"")</f>
        <v/>
      </c>
      <c r="I53" s="255"/>
      <c r="J53" s="218">
        <f t="shared" si="6"/>
        <v>0</v>
      </c>
      <c r="K53" s="219" t="str">
        <f t="array" ref="K53">IFERROR(I53*INDEX('PORTIFÓLIO'!$S$4:$S$433,MATCH($C53,'PORTIFÓLIO'!$C$4:$C$433,0)),"")</f>
        <v/>
      </c>
      <c r="L53" s="219" t="str">
        <f t="array" ref="L53">IFERROR(J53*INDEX('PORTIFÓLIO'!$S$4:$S$433,MATCH($C53,'PORTIFÓLIO'!$C$4:$C$433,0)),"")</f>
        <v/>
      </c>
      <c r="M53" s="220"/>
      <c r="N53" s="220"/>
      <c r="O53" s="220"/>
      <c r="P53" s="220"/>
      <c r="Q53" s="220"/>
      <c r="R53" s="220"/>
      <c r="S53" s="220"/>
      <c r="T53" s="220"/>
      <c r="U53" s="220"/>
      <c r="V53" s="220"/>
      <c r="W53" s="220"/>
    </row>
    <row r="54" ht="15.75" customHeight="1" outlineLevel="1">
      <c r="A54" s="211"/>
      <c r="B54" s="212"/>
      <c r="C54" s="213"/>
      <c r="D54" s="214" t="str">
        <f>IFERROR(VLOOKUP($C54,'PORTIFÓLIO'!C:V,2,0),"")</f>
        <v/>
      </c>
      <c r="E54" s="211" t="str">
        <f>IFERROR(VLOOKUP($C54,'PORTIFÓLIO'!C:V,3,0),"")</f>
        <v/>
      </c>
      <c r="F54" s="211" t="str">
        <f>IFERROR(VLOOKUP($C54,'PORTIFÓLIO'!C:V,4,0),"")</f>
        <v/>
      </c>
      <c r="G54" s="215" t="str">
        <f>IFERROR(VLOOKUP($C54,'PORTIFÓLIO'!C:V,5,0),"")</f>
        <v/>
      </c>
      <c r="H54" s="254" t="str">
        <f t="array" ref="H54">IFERROR(INDEX('PORTIFÓLIO'!$H$4:$H$433,MATCH($C54,'PORTIFÓLIO'!$C$4:$C$433,0)),"")</f>
        <v/>
      </c>
      <c r="I54" s="256"/>
      <c r="J54" s="218">
        <f t="shared" si="6"/>
        <v>0</v>
      </c>
      <c r="K54" s="219" t="str">
        <f t="array" ref="K54">IFERROR(I54*INDEX('PORTIFÓLIO'!$S$4:$S$433,MATCH($C54,'PORTIFÓLIO'!$C$4:$C$433,0)),"")</f>
        <v/>
      </c>
      <c r="L54" s="219" t="str">
        <f t="array" ref="L54">IFERROR(J54*INDEX('PORTIFÓLIO'!$S$4:$S$433,MATCH($C54,'PORTIFÓLIO'!$C$4:$C$433,0)),"")</f>
        <v/>
      </c>
      <c r="M54" s="220"/>
      <c r="N54" s="220"/>
      <c r="O54" s="220"/>
      <c r="P54" s="220"/>
      <c r="Q54" s="220"/>
      <c r="R54" s="220"/>
      <c r="S54" s="220"/>
      <c r="T54" s="220"/>
      <c r="U54" s="220"/>
      <c r="V54" s="220"/>
      <c r="W54" s="220"/>
    </row>
    <row r="55" ht="15.75" customHeight="1" outlineLevel="1">
      <c r="A55" s="211"/>
      <c r="B55" s="212"/>
      <c r="C55" s="213"/>
      <c r="D55" s="214" t="str">
        <f>IFERROR(VLOOKUP($C55,'PORTIFÓLIO'!C:V,2,0),"")</f>
        <v/>
      </c>
      <c r="E55" s="211" t="str">
        <f>IFERROR(VLOOKUP($C55,'PORTIFÓLIO'!C:V,3,0),"")</f>
        <v/>
      </c>
      <c r="F55" s="211" t="str">
        <f>IFERROR(VLOOKUP($C55,'PORTIFÓLIO'!C:V,4,0),"")</f>
        <v/>
      </c>
      <c r="G55" s="215" t="str">
        <f>IFERROR(VLOOKUP($C55,'PORTIFÓLIO'!C:V,5,0),"")</f>
        <v/>
      </c>
      <c r="H55" s="254" t="str">
        <f t="array" ref="H55">IFERROR(INDEX('PORTIFÓLIO'!$H$4:$H$433,MATCH($C55,'PORTIFÓLIO'!$C$4:$C$433,0)),"")</f>
        <v/>
      </c>
      <c r="I55" s="256"/>
      <c r="J55" s="218">
        <f t="shared" si="6"/>
        <v>0</v>
      </c>
      <c r="K55" s="219" t="str">
        <f t="array" ref="K55">IFERROR(I55*INDEX('PORTIFÓLIO'!$S$4:$S$433,MATCH($C55,'PORTIFÓLIO'!$C$4:$C$433,0)),"")</f>
        <v/>
      </c>
      <c r="L55" s="219" t="str">
        <f t="array" ref="L55">IFERROR(J55*INDEX('PORTIFÓLIO'!$S$4:$S$433,MATCH($C55,'PORTIFÓLIO'!$C$4:$C$433,0)),"")</f>
        <v/>
      </c>
      <c r="M55" s="220"/>
      <c r="N55" s="220"/>
      <c r="O55" s="220"/>
      <c r="P55" s="220"/>
      <c r="Q55" s="220"/>
      <c r="R55" s="220"/>
      <c r="S55" s="220"/>
      <c r="T55" s="220"/>
      <c r="U55" s="220"/>
      <c r="V55" s="220"/>
      <c r="W55" s="220"/>
    </row>
    <row r="56" ht="15.75" customHeight="1" outlineLevel="1">
      <c r="A56" s="211"/>
      <c r="B56" s="212"/>
      <c r="C56" s="213"/>
      <c r="D56" s="214" t="str">
        <f>IFERROR(VLOOKUP($C56,'PORTIFÓLIO'!C:V,2,0),"")</f>
        <v/>
      </c>
      <c r="E56" s="211" t="str">
        <f>IFERROR(VLOOKUP($C56,'PORTIFÓLIO'!C:V,3,0),"")</f>
        <v/>
      </c>
      <c r="F56" s="211" t="str">
        <f>IFERROR(VLOOKUP($C56,'PORTIFÓLIO'!C:V,4,0),"")</f>
        <v/>
      </c>
      <c r="G56" s="215" t="str">
        <f>IFERROR(VLOOKUP($C56,'PORTIFÓLIO'!C:V,5,0),"")</f>
        <v/>
      </c>
      <c r="H56" s="254" t="str">
        <f t="array" ref="H56">IFERROR(INDEX('PORTIFÓLIO'!$H$4:$H$433,MATCH($C56,'PORTIFÓLIO'!$C$4:$C$433,0)),"")</f>
        <v/>
      </c>
      <c r="I56" s="256"/>
      <c r="J56" s="218">
        <f t="shared" si="6"/>
        <v>0</v>
      </c>
      <c r="K56" s="219" t="str">
        <f t="array" ref="K56">IFERROR(I56*INDEX('PORTIFÓLIO'!$S$4:$S$433,MATCH($C56,'PORTIFÓLIO'!$C$4:$C$433,0)),"")</f>
        <v/>
      </c>
      <c r="L56" s="219" t="str">
        <f t="array" ref="L56">IFERROR(J56*INDEX('PORTIFÓLIO'!$S$4:$S$433,MATCH($C56,'PORTIFÓLIO'!$C$4:$C$433,0)),"")</f>
        <v/>
      </c>
      <c r="M56" s="220"/>
      <c r="N56" s="220"/>
      <c r="O56" s="220"/>
      <c r="P56" s="220"/>
      <c r="Q56" s="220"/>
      <c r="R56" s="220"/>
      <c r="S56" s="220"/>
      <c r="T56" s="220"/>
      <c r="U56" s="220"/>
      <c r="V56" s="220"/>
      <c r="W56" s="220"/>
    </row>
    <row r="57" ht="15.75" customHeight="1" outlineLevel="1">
      <c r="A57" s="211"/>
      <c r="B57" s="212"/>
      <c r="C57" s="213"/>
      <c r="D57" s="214" t="str">
        <f>IFERROR(VLOOKUP($C57,'PORTIFÓLIO'!C:V,2,0),"")</f>
        <v/>
      </c>
      <c r="E57" s="211" t="str">
        <f>IFERROR(VLOOKUP($C57,'PORTIFÓLIO'!C:V,3,0),"")</f>
        <v/>
      </c>
      <c r="F57" s="211" t="str">
        <f>IFERROR(VLOOKUP($C57,'PORTIFÓLIO'!C:V,4,0),"")</f>
        <v/>
      </c>
      <c r="G57" s="215" t="str">
        <f>IFERROR(VLOOKUP($C57,'PORTIFÓLIO'!C:V,5,0),"")</f>
        <v/>
      </c>
      <c r="H57" s="254" t="str">
        <f t="array" ref="H57">IFERROR(INDEX('PORTIFÓLIO'!$H$4:$H$433,MATCH($C57,'PORTIFÓLIO'!$C$4:$C$433,0)),"")</f>
        <v/>
      </c>
      <c r="I57" s="256"/>
      <c r="J57" s="218">
        <f t="shared" si="6"/>
        <v>0</v>
      </c>
      <c r="K57" s="219" t="str">
        <f t="array" ref="K57">IFERROR(I57*INDEX('PORTIFÓLIO'!$S$4:$S$433,MATCH($C57,'PORTIFÓLIO'!$C$4:$C$433,0)),"")</f>
        <v/>
      </c>
      <c r="L57" s="219" t="str">
        <f t="array" ref="L57">IFERROR(J57*INDEX('PORTIFÓLIO'!$S$4:$S$433,MATCH($C57,'PORTIFÓLIO'!$C$4:$C$433,0)),"")</f>
        <v/>
      </c>
      <c r="M57" s="220"/>
      <c r="N57" s="220"/>
      <c r="O57" s="220"/>
      <c r="P57" s="220"/>
      <c r="Q57" s="220"/>
      <c r="R57" s="220"/>
      <c r="S57" s="220"/>
      <c r="T57" s="220"/>
      <c r="U57" s="220"/>
      <c r="V57" s="220"/>
      <c r="W57" s="220"/>
    </row>
    <row r="58" ht="15.75" customHeight="1" outlineLevel="1">
      <c r="A58" s="211"/>
      <c r="B58" s="212"/>
      <c r="C58" s="213"/>
      <c r="D58" s="214" t="str">
        <f>IFERROR(VLOOKUP($C58,'PORTIFÓLIO'!C:V,2,0),"")</f>
        <v/>
      </c>
      <c r="E58" s="211" t="str">
        <f>IFERROR(VLOOKUP($C58,'PORTIFÓLIO'!C:V,3,0),"")</f>
        <v/>
      </c>
      <c r="F58" s="211" t="str">
        <f>IFERROR(VLOOKUP($C58,'PORTIFÓLIO'!C:V,4,0),"")</f>
        <v/>
      </c>
      <c r="G58" s="215" t="str">
        <f>IFERROR(VLOOKUP($C58,'PORTIFÓLIO'!C:V,5,0),"")</f>
        <v/>
      </c>
      <c r="H58" s="254" t="str">
        <f t="array" ref="H58">IFERROR(INDEX('PORTIFÓLIO'!$H$4:$H$433,MATCH($C58,'PORTIFÓLIO'!$C$4:$C$433,0)),"")</f>
        <v/>
      </c>
      <c r="I58" s="256"/>
      <c r="J58" s="218">
        <f t="shared" si="6"/>
        <v>0</v>
      </c>
      <c r="K58" s="219" t="str">
        <f t="array" ref="K58">IFERROR(I58*INDEX('PORTIFÓLIO'!$S$4:$S$433,MATCH($C58,'PORTIFÓLIO'!$C$4:$C$433,0)),"")</f>
        <v/>
      </c>
      <c r="L58" s="219" t="str">
        <f t="array" ref="L58">IFERROR(J58*INDEX('PORTIFÓLIO'!$S$4:$S$433,MATCH($C58,'PORTIFÓLIO'!$C$4:$C$433,0)),"")</f>
        <v/>
      </c>
      <c r="M58" s="220"/>
      <c r="N58" s="220"/>
      <c r="O58" s="220"/>
      <c r="P58" s="220"/>
      <c r="Q58" s="220"/>
      <c r="R58" s="220"/>
      <c r="S58" s="220"/>
      <c r="T58" s="220"/>
      <c r="U58" s="220"/>
      <c r="V58" s="220"/>
      <c r="W58" s="220"/>
    </row>
    <row r="59" ht="15.75" customHeight="1" outlineLevel="1">
      <c r="A59" s="211"/>
      <c r="B59" s="212"/>
      <c r="C59" s="213"/>
      <c r="D59" s="214" t="str">
        <f>IFERROR(VLOOKUP($C59,'PORTIFÓLIO'!C:V,2,0),"")</f>
        <v/>
      </c>
      <c r="E59" s="211" t="str">
        <f>IFERROR(VLOOKUP($C59,'PORTIFÓLIO'!C:V,3,0),"")</f>
        <v/>
      </c>
      <c r="F59" s="211" t="str">
        <f>IFERROR(VLOOKUP($C59,'PORTIFÓLIO'!C:V,4,0),"")</f>
        <v/>
      </c>
      <c r="G59" s="215" t="str">
        <f>IFERROR(VLOOKUP($C59,'PORTIFÓLIO'!C:V,5,0),"")</f>
        <v/>
      </c>
      <c r="H59" s="254" t="str">
        <f t="array" ref="H59">IFERROR(INDEX('PORTIFÓLIO'!$H$4:$H$433,MATCH($C59,'PORTIFÓLIO'!$C$4:$C$433,0)),"")</f>
        <v/>
      </c>
      <c r="I59" s="256"/>
      <c r="J59" s="218">
        <f t="shared" si="6"/>
        <v>0</v>
      </c>
      <c r="K59" s="219" t="str">
        <f t="array" ref="K59">IFERROR(I59*INDEX('PORTIFÓLIO'!$S$4:$S$433,MATCH($C59,'PORTIFÓLIO'!$C$4:$C$433,0)),"")</f>
        <v/>
      </c>
      <c r="L59" s="219" t="str">
        <f t="array" ref="L59">IFERROR(J59*INDEX('PORTIFÓLIO'!$S$4:$S$433,MATCH($C59,'PORTIFÓLIO'!$C$4:$C$433,0)),"")</f>
        <v/>
      </c>
      <c r="M59" s="220"/>
      <c r="N59" s="220"/>
      <c r="O59" s="220"/>
      <c r="P59" s="220"/>
      <c r="Q59" s="220"/>
      <c r="R59" s="220"/>
      <c r="S59" s="220"/>
      <c r="T59" s="220"/>
      <c r="U59" s="220"/>
      <c r="V59" s="220"/>
      <c r="W59" s="220"/>
    </row>
    <row r="60" ht="15.75" customHeight="1" outlineLevel="1">
      <c r="A60" s="211"/>
      <c r="B60" s="212"/>
      <c r="C60" s="213"/>
      <c r="D60" s="214" t="str">
        <f>IFERROR(VLOOKUP($C60,'PORTIFÓLIO'!C:V,2,0),"")</f>
        <v/>
      </c>
      <c r="E60" s="211" t="str">
        <f>IFERROR(VLOOKUP($C60,'PORTIFÓLIO'!C:V,3,0),"")</f>
        <v/>
      </c>
      <c r="F60" s="211" t="str">
        <f>IFERROR(VLOOKUP($C60,'PORTIFÓLIO'!C:V,4,0),"")</f>
        <v/>
      </c>
      <c r="G60" s="215" t="str">
        <f>IFERROR(VLOOKUP($C60,'PORTIFÓLIO'!C:V,5,0),"")</f>
        <v/>
      </c>
      <c r="H60" s="254" t="str">
        <f t="array" ref="H60">IFERROR(INDEX('PORTIFÓLIO'!$H$4:$H$433,MATCH($C60,'PORTIFÓLIO'!$C$4:$C$433,0)),"")</f>
        <v/>
      </c>
      <c r="I60" s="256"/>
      <c r="J60" s="218">
        <f t="shared" si="6"/>
        <v>0</v>
      </c>
      <c r="K60" s="219" t="str">
        <f t="array" ref="K60">IFERROR(I60*INDEX('PORTIFÓLIO'!$S$4:$S$433,MATCH($C60,'PORTIFÓLIO'!$C$4:$C$433,0)),"")</f>
        <v/>
      </c>
      <c r="L60" s="219" t="str">
        <f t="array" ref="L60">IFERROR(J60*INDEX('PORTIFÓLIO'!$S$4:$S$433,MATCH($C60,'PORTIFÓLIO'!$C$4:$C$433,0)),"")</f>
        <v/>
      </c>
      <c r="M60" s="220"/>
      <c r="N60" s="220"/>
      <c r="O60" s="220"/>
      <c r="P60" s="220"/>
      <c r="Q60" s="220"/>
      <c r="R60" s="220"/>
      <c r="S60" s="220"/>
      <c r="T60" s="220"/>
      <c r="U60" s="220"/>
      <c r="V60" s="220"/>
      <c r="W60" s="220"/>
    </row>
    <row r="61" ht="15.75" customHeight="1" outlineLevel="1">
      <c r="A61" s="211"/>
      <c r="B61" s="212"/>
      <c r="C61" s="213"/>
      <c r="D61" s="214" t="str">
        <f>IFERROR(VLOOKUP($C61,'PORTIFÓLIO'!C:V,2,0),"")</f>
        <v/>
      </c>
      <c r="E61" s="211" t="str">
        <f>IFERROR(VLOOKUP($C61,'PORTIFÓLIO'!C:V,3,0),"")</f>
        <v/>
      </c>
      <c r="F61" s="211" t="str">
        <f>IFERROR(VLOOKUP($C61,'PORTIFÓLIO'!C:V,4,0),"")</f>
        <v/>
      </c>
      <c r="G61" s="215" t="str">
        <f>IFERROR(VLOOKUP($C61,'PORTIFÓLIO'!C:V,5,0),"")</f>
        <v/>
      </c>
      <c r="H61" s="254" t="str">
        <f t="array" ref="H61">IFERROR(INDEX('PORTIFÓLIO'!$H$4:$H$433,MATCH($C61,'PORTIFÓLIO'!$C$4:$C$433,0)),"")</f>
        <v/>
      </c>
      <c r="I61" s="256"/>
      <c r="J61" s="218">
        <f t="shared" si="6"/>
        <v>0</v>
      </c>
      <c r="K61" s="219" t="str">
        <f t="array" ref="K61">IFERROR(I61*INDEX('PORTIFÓLIO'!$S$4:$S$433,MATCH($C61,'PORTIFÓLIO'!$C$4:$C$433,0)),"")</f>
        <v/>
      </c>
      <c r="L61" s="219" t="str">
        <f t="array" ref="L61">IFERROR(J61*INDEX('PORTIFÓLIO'!$S$4:$S$433,MATCH($C61,'PORTIFÓLIO'!$C$4:$C$433,0)),"")</f>
        <v/>
      </c>
      <c r="M61" s="220"/>
      <c r="N61" s="220"/>
      <c r="O61" s="220"/>
      <c r="P61" s="220"/>
      <c r="Q61" s="220"/>
      <c r="R61" s="220"/>
      <c r="S61" s="220"/>
      <c r="T61" s="220"/>
      <c r="U61" s="220"/>
      <c r="V61" s="220"/>
      <c r="W61" s="220"/>
    </row>
    <row r="62" ht="15.75" customHeight="1" outlineLevel="1">
      <c r="A62" s="211"/>
      <c r="B62" s="212"/>
      <c r="C62" s="213"/>
      <c r="D62" s="214" t="str">
        <f>IFERROR(VLOOKUP($C62,'PORTIFÓLIO'!C:V,2,0),"")</f>
        <v/>
      </c>
      <c r="E62" s="211" t="str">
        <f>IFERROR(VLOOKUP($C62,'PORTIFÓLIO'!C:V,3,0),"")</f>
        <v/>
      </c>
      <c r="F62" s="211" t="str">
        <f>IFERROR(VLOOKUP($C62,'PORTIFÓLIO'!C:V,4,0),"")</f>
        <v/>
      </c>
      <c r="G62" s="215" t="str">
        <f>IFERROR(VLOOKUP($C62,'PORTIFÓLIO'!C:V,5,0),"")</f>
        <v/>
      </c>
      <c r="H62" s="254" t="str">
        <f t="array" ref="H62">IFERROR(INDEX('PORTIFÓLIO'!$H$4:$H$433,MATCH($C62,'PORTIFÓLIO'!$C$4:$C$433,0)),"")</f>
        <v/>
      </c>
      <c r="I62" s="256"/>
      <c r="J62" s="218">
        <f t="shared" si="6"/>
        <v>0</v>
      </c>
      <c r="K62" s="219" t="str">
        <f t="array" ref="K62">IFERROR(I62*INDEX('PORTIFÓLIO'!$S$4:$S$433,MATCH($C62,'PORTIFÓLIO'!$C$4:$C$433,0)),"")</f>
        <v/>
      </c>
      <c r="L62" s="219" t="str">
        <f t="array" ref="L62">IFERROR(J62*INDEX('PORTIFÓLIO'!$S$4:$S$433,MATCH($C62,'PORTIFÓLIO'!$C$4:$C$433,0)),"")</f>
        <v/>
      </c>
      <c r="M62" s="220"/>
      <c r="N62" s="220"/>
      <c r="O62" s="220"/>
      <c r="P62" s="220"/>
      <c r="Q62" s="220"/>
      <c r="R62" s="220"/>
      <c r="S62" s="220"/>
      <c r="T62" s="220"/>
      <c r="U62" s="220"/>
      <c r="V62" s="220"/>
      <c r="W62" s="220"/>
    </row>
    <row r="63" ht="15.75" customHeight="1">
      <c r="A63" s="229" t="s">
        <v>1186</v>
      </c>
      <c r="B63" s="230"/>
      <c r="C63" s="231"/>
      <c r="D63" s="232"/>
      <c r="E63" s="231"/>
      <c r="F63" s="231"/>
      <c r="G63" s="233"/>
      <c r="H63" s="233"/>
      <c r="I63" s="258"/>
      <c r="J63" s="236"/>
      <c r="K63" s="237">
        <f t="shared" ref="K63:L63" si="7">SUBTOTAL(9,K64:K76)</f>
        <v>442.19122</v>
      </c>
      <c r="L63" s="237">
        <f t="shared" si="7"/>
        <v>53062.9464</v>
      </c>
      <c r="M63" s="220"/>
      <c r="N63" s="220"/>
      <c r="O63" s="220"/>
      <c r="P63" s="220"/>
      <c r="Q63" s="220"/>
      <c r="R63" s="220"/>
      <c r="S63" s="220"/>
      <c r="T63" s="220"/>
      <c r="U63" s="220"/>
      <c r="V63" s="220"/>
      <c r="W63" s="220"/>
    </row>
    <row r="64" ht="15.75" customHeight="1" outlineLevel="1">
      <c r="A64" s="213"/>
      <c r="B64" s="212" t="s">
        <v>5</v>
      </c>
      <c r="C64" s="213" t="s">
        <v>1057</v>
      </c>
      <c r="D64" s="214" t="str">
        <f>IFERROR(VLOOKUP($C64,'PORTIFÓLIO'!C:V,2,0),"")</f>
        <v/>
      </c>
      <c r="E64" s="211" t="str">
        <f>IFERROR(VLOOKUP($C64,'PORTIFÓLIO'!C:V,3,0),"")</f>
        <v/>
      </c>
      <c r="F64" s="211" t="str">
        <f>IFERROR(VLOOKUP($C64,'PORTIFÓLIO'!C:V,4,0),"")</f>
        <v>5MM</v>
      </c>
      <c r="G64" s="225" t="str">
        <f>IFERROR(VLOOKUP($C64,'PORTIFÓLIO'!C:V,5,0),"")</f>
        <v>📄 Ver bula</v>
      </c>
      <c r="H64" s="254" t="str">
        <f t="array" ref="H64">IFERROR(INDEX('PORTIFÓLIO'!$H$4:$H$433,MATCH($C64,'PORTIFÓLIO'!$C$4:$C$433,0)),"")</f>
        <v/>
      </c>
      <c r="I64" s="255">
        <v>0.04</v>
      </c>
      <c r="J64" s="218">
        <f t="shared" ref="J64:J80" si="8">I64*$B$2</f>
        <v>4.8</v>
      </c>
      <c r="K64" s="219">
        <f t="array" ref="K64">IFERROR(I64*INDEX('PORTIFÓLIO'!$S$4:$S$433,MATCH($C64,'PORTIFÓLIO'!$C$4:$C$433,0)),"")</f>
        <v>0</v>
      </c>
      <c r="L64" s="219">
        <f t="array" ref="L64">IFERROR(J64*INDEX('PORTIFÓLIO'!$S$4:$S$433,MATCH($C64,'PORTIFÓLIO'!$C$4:$C$433,0)),"")</f>
        <v>0</v>
      </c>
      <c r="M64" s="220"/>
      <c r="N64" s="220"/>
      <c r="O64" s="220"/>
      <c r="P64" s="220"/>
      <c r="Q64" s="220"/>
      <c r="R64" s="220"/>
      <c r="S64" s="220"/>
      <c r="T64" s="220"/>
      <c r="U64" s="220"/>
      <c r="V64" s="220"/>
      <c r="W64" s="220"/>
    </row>
    <row r="65" ht="15.75" customHeight="1" outlineLevel="1">
      <c r="A65" s="211"/>
      <c r="B65" s="212" t="s">
        <v>3</v>
      </c>
      <c r="C65" s="213" t="s">
        <v>1011</v>
      </c>
      <c r="D65" s="214" t="str">
        <f>IFERROR(VLOOKUP($C65,'PORTIFÓLIO'!C:V,2,0),"")</f>
        <v>METALAXIL-M + TIABENDAZOL + FLUDIOXONIL +
 TIAMETOXAM</v>
      </c>
      <c r="E65" s="211" t="str">
        <f>IFERROR(VLOOKUP($C65,'PORTIFÓLIO'!C:V,3,0),"")</f>
        <v>20 + 150 + 25 + 350</v>
      </c>
      <c r="F65" s="211" t="str">
        <f>IFERROR(VLOOKUP($C65,'PORTIFÓLIO'!C:V,4,0),"")</f>
        <v/>
      </c>
      <c r="G65" s="225" t="str">
        <f>IFERROR(VLOOKUP($C65,'PORTIFÓLIO'!C:V,5,0),"")</f>
        <v>📄 Ver bula</v>
      </c>
      <c r="H65" s="254">
        <f t="array" ref="H65">IFERROR(INDEX('PORTIFÓLIO'!$H$4:$H$433,MATCH($C65,'PORTIFÓLIO'!$C$4:$C$433,0)),"")</f>
        <v>0.05</v>
      </c>
      <c r="I65" s="255">
        <v>0.05</v>
      </c>
      <c r="J65" s="218">
        <f t="shared" si="8"/>
        <v>6</v>
      </c>
      <c r="K65" s="219">
        <f t="array" ref="K65">IFERROR(I65*INDEX('PORTIFÓLIO'!$S$4:$S$433,MATCH($C65,'PORTIFÓLIO'!$C$4:$C$433,0)),"")</f>
        <v>25.27</v>
      </c>
      <c r="L65" s="219">
        <f t="array" ref="L65">IFERROR(J65*INDEX('PORTIFÓLIO'!$S$4:$S$433,MATCH($C65,'PORTIFÓLIO'!$C$4:$C$433,0)),"")</f>
        <v>3032.4</v>
      </c>
      <c r="M65" s="220"/>
      <c r="N65" s="220"/>
      <c r="O65" s="220"/>
      <c r="P65" s="220"/>
      <c r="Q65" s="220"/>
      <c r="R65" s="220"/>
      <c r="S65" s="220"/>
      <c r="T65" s="220"/>
      <c r="U65" s="220"/>
      <c r="V65" s="220"/>
      <c r="W65" s="220"/>
    </row>
    <row r="66" ht="15.75" customHeight="1" outlineLevel="1">
      <c r="A66" s="211"/>
      <c r="B66" s="212" t="s">
        <v>3</v>
      </c>
      <c r="C66" s="213" t="s">
        <v>1007</v>
      </c>
      <c r="D66" s="214" t="str">
        <f>IFERROR(VLOOKUP($C66,'PORTIFÓLIO'!C:V,2,0),"")</f>
        <v>DIFENOCONAZOL</v>
      </c>
      <c r="E66" s="211">
        <f>IFERROR(VLOOKUP($C66,'PORTIFÓLIO'!C:V,3,0),"")</f>
        <v>150</v>
      </c>
      <c r="F66" s="211" t="str">
        <f>IFERROR(VLOOKUP($C66,'PORTIFÓLIO'!C:V,4,0),"")</f>
        <v/>
      </c>
      <c r="G66" s="225" t="str">
        <f>IFERROR(VLOOKUP($C66,'PORTIFÓLIO'!C:V,5,0),"")</f>
        <v>📄 Ver bula</v>
      </c>
      <c r="H66" s="254">
        <f t="array" ref="H66">IFERROR(INDEX('PORTIFÓLIO'!$H$4:$H$433,MATCH($C66,'PORTIFÓLIO'!$C$4:$C$433,0)),"")</f>
        <v>0.015</v>
      </c>
      <c r="I66" s="255">
        <v>0.02</v>
      </c>
      <c r="J66" s="218">
        <f t="shared" si="8"/>
        <v>2.4</v>
      </c>
      <c r="K66" s="219">
        <f t="array" ref="K66">IFERROR(I66*INDEX('PORTIFÓLIO'!$S$4:$S$433,MATCH($C66,'PORTIFÓLIO'!$C$4:$C$433,0)),"")</f>
        <v>1.78486</v>
      </c>
      <c r="L66" s="219">
        <f t="array" ref="L66">IFERROR(J66*INDEX('PORTIFÓLIO'!$S$4:$S$433,MATCH($C66,'PORTIFÓLIO'!$C$4:$C$433,0)),"")</f>
        <v>214.1832</v>
      </c>
      <c r="M66" s="220"/>
      <c r="N66" s="220"/>
      <c r="O66" s="220"/>
      <c r="P66" s="220"/>
      <c r="Q66" s="220"/>
      <c r="R66" s="220"/>
      <c r="S66" s="220"/>
      <c r="T66" s="220"/>
      <c r="U66" s="220"/>
      <c r="V66" s="220"/>
      <c r="W66" s="220"/>
    </row>
    <row r="67" ht="15.75" customHeight="1" outlineLevel="1">
      <c r="A67" s="211"/>
      <c r="B67" s="212" t="s">
        <v>3</v>
      </c>
      <c r="C67" s="213" t="s">
        <v>1005</v>
      </c>
      <c r="D67" s="214" t="str">
        <f>IFERROR(VLOOKUP($C67,'PORTIFÓLIO'!C:V,2,0),"")</f>
        <v>CICLOBUTRIFLURAM</v>
      </c>
      <c r="E67" s="211">
        <f>IFERROR(VLOOKUP($C67,'PORTIFÓLIO'!C:V,3,0),"")</f>
        <v>500</v>
      </c>
      <c r="F67" s="211" t="str">
        <f>IFERROR(VLOOKUP($C67,'PORTIFÓLIO'!C:V,4,0),"")</f>
        <v/>
      </c>
      <c r="G67" s="225" t="str">
        <f>IFERROR(VLOOKUP($C67,'PORTIFÓLIO'!C:V,5,0),"")</f>
        <v>📄 Ver bula</v>
      </c>
      <c r="H67" s="254">
        <f t="array" ref="H67">IFERROR(INDEX('PORTIFÓLIO'!$H$4:$H$433,MATCH($C67,'PORTIFÓLIO'!$C$4:$C$433,0)),"")</f>
        <v>0.02</v>
      </c>
      <c r="I67" s="255">
        <v>0.04</v>
      </c>
      <c r="J67" s="218">
        <f t="shared" si="8"/>
        <v>4.8</v>
      </c>
      <c r="K67" s="219">
        <f t="array" ref="K67">IFERROR(I67*INDEX('PORTIFÓLIO'!$S$4:$S$433,MATCH($C67,'PORTIFÓLIO'!$C$4:$C$433,0)),"")</f>
        <v>175.41636</v>
      </c>
      <c r="L67" s="219">
        <f t="array" ref="L67">IFERROR(J67*INDEX('PORTIFÓLIO'!$S$4:$S$433,MATCH($C67,'PORTIFÓLIO'!$C$4:$C$433,0)),"")</f>
        <v>21049.9632</v>
      </c>
      <c r="M67" s="220"/>
      <c r="N67" s="220"/>
      <c r="O67" s="220"/>
      <c r="P67" s="220"/>
      <c r="Q67" s="220"/>
      <c r="R67" s="220"/>
      <c r="S67" s="220"/>
      <c r="T67" s="220"/>
      <c r="U67" s="220"/>
      <c r="V67" s="220"/>
      <c r="W67" s="220"/>
    </row>
    <row r="68" ht="15.75" customHeight="1" outlineLevel="1">
      <c r="A68" s="211"/>
      <c r="B68" s="212" t="s">
        <v>4</v>
      </c>
      <c r="C68" s="213" t="s">
        <v>1094</v>
      </c>
      <c r="D68" s="214" t="str">
        <f>IFERROR(VLOOKUP($C68,'PORTIFÓLIO'!C:V,2,0),"")</f>
        <v>Bradyrhizobium sp.</v>
      </c>
      <c r="E68" s="211" t="str">
        <f>IFERROR(VLOOKUP($C68,'PORTIFÓLIO'!C:V,3,0),"")</f>
        <v/>
      </c>
      <c r="F68" s="211" t="str">
        <f>IFERROR(VLOOKUP($C68,'PORTIFÓLIO'!C:V,4,0),"")</f>
        <v>L</v>
      </c>
      <c r="G68" s="225" t="str">
        <f>IFERROR(VLOOKUP($C68,'PORTIFÓLIO'!C:V,5,0),"")</f>
        <v>📄 Ver bula</v>
      </c>
      <c r="H68" s="254">
        <f t="array" ref="H68">IFERROR(INDEX('PORTIFÓLIO'!$H$4:$H$433,MATCH($C68,'PORTIFÓLIO'!$C$4:$C$433,0)),"")</f>
        <v>2</v>
      </c>
      <c r="I68" s="255">
        <v>4.0</v>
      </c>
      <c r="J68" s="218">
        <f t="shared" si="8"/>
        <v>480</v>
      </c>
      <c r="K68" s="219">
        <f t="array" ref="K68">IFERROR(I68*INDEX('PORTIFÓLIO'!$S$4:$S$433,MATCH($C68,'PORTIFÓLIO'!$C$4:$C$433,0)),"")</f>
        <v>104</v>
      </c>
      <c r="L68" s="219">
        <f t="array" ref="L68">IFERROR(J68*INDEX('PORTIFÓLIO'!$S$4:$S$433,MATCH($C68,'PORTIFÓLIO'!$C$4:$C$433,0)),"")</f>
        <v>12480</v>
      </c>
      <c r="M68" s="220"/>
      <c r="N68" s="220"/>
      <c r="O68" s="220"/>
      <c r="P68" s="220"/>
      <c r="Q68" s="220"/>
      <c r="R68" s="220"/>
      <c r="S68" s="220"/>
      <c r="T68" s="220"/>
      <c r="U68" s="220"/>
      <c r="V68" s="220"/>
      <c r="W68" s="220"/>
    </row>
    <row r="69" ht="15.75" customHeight="1" outlineLevel="1">
      <c r="A69" s="211"/>
      <c r="B69" s="212" t="s">
        <v>4</v>
      </c>
      <c r="C69" s="213" t="s">
        <v>1092</v>
      </c>
      <c r="D69" s="214" t="str">
        <f>IFERROR(VLOOKUP($C69,'PORTIFÓLIO'!C:V,2,0),"")</f>
        <v>Azospirillum brasiliense</v>
      </c>
      <c r="E69" s="211" t="str">
        <f>IFERROR(VLOOKUP($C69,'PORTIFÓLIO'!C:V,3,0),"")</f>
        <v/>
      </c>
      <c r="F69" s="211" t="str">
        <f>IFERROR(VLOOKUP($C69,'PORTIFÓLIO'!C:V,4,0),"")</f>
        <v>L</v>
      </c>
      <c r="G69" s="225" t="str">
        <f>IFERROR(VLOOKUP($C69,'PORTIFÓLIO'!C:V,5,0),"")</f>
        <v>📄 Ver bula</v>
      </c>
      <c r="H69" s="254">
        <f t="array" ref="H69">IFERROR(INDEX('PORTIFÓLIO'!$H$4:$H$433,MATCH($C69,'PORTIFÓLIO'!$C$4:$C$433,0)),"")</f>
        <v>2</v>
      </c>
      <c r="I69" s="255">
        <v>1.0</v>
      </c>
      <c r="J69" s="218">
        <f t="shared" si="8"/>
        <v>120</v>
      </c>
      <c r="K69" s="219">
        <f t="array" ref="K69">IFERROR(I69*INDEX('PORTIFÓLIO'!$S$4:$S$433,MATCH($C69,'PORTIFÓLIO'!$C$4:$C$433,0)),"")</f>
        <v>36.4</v>
      </c>
      <c r="L69" s="219">
        <f t="array" ref="L69">IFERROR(J69*INDEX('PORTIFÓLIO'!$S$4:$S$433,MATCH($C69,'PORTIFÓLIO'!$C$4:$C$433,0)),"")</f>
        <v>4368</v>
      </c>
      <c r="M69" s="220"/>
      <c r="N69" s="220"/>
      <c r="O69" s="220"/>
      <c r="P69" s="220"/>
      <c r="Q69" s="220"/>
      <c r="R69" s="220"/>
      <c r="S69" s="220"/>
      <c r="T69" s="220"/>
      <c r="U69" s="220"/>
      <c r="V69" s="220"/>
      <c r="W69" s="220"/>
    </row>
    <row r="70" ht="15.75" customHeight="1" outlineLevel="1">
      <c r="A70" s="211"/>
      <c r="B70" s="212" t="s">
        <v>4</v>
      </c>
      <c r="C70" s="213" t="s">
        <v>1107</v>
      </c>
      <c r="D70" s="214" t="str">
        <f>IFERROR(VLOOKUP($C70,'PORTIFÓLIO'!C:V,2,0),"")</f>
        <v>Priestia aryabhattai</v>
      </c>
      <c r="E70" s="211" t="str">
        <f>IFERROR(VLOOKUP($C70,'PORTIFÓLIO'!C:V,3,0),"")</f>
        <v/>
      </c>
      <c r="F70" s="211" t="str">
        <f>IFERROR(VLOOKUP($C70,'PORTIFÓLIO'!C:V,4,0),"")</f>
        <v/>
      </c>
      <c r="G70" s="225" t="str">
        <f>IFERROR(VLOOKUP($C70,'PORTIFÓLIO'!C:V,5,0),"")</f>
        <v>📄 Ver bula</v>
      </c>
      <c r="H70" s="254">
        <f t="array" ref="H70">IFERROR(INDEX('PORTIFÓLIO'!$H$4:$H$433,MATCH($C70,'PORTIFÓLIO'!$C$4:$C$433,0)),"")</f>
        <v>2</v>
      </c>
      <c r="I70" s="255">
        <v>1.0</v>
      </c>
      <c r="J70" s="218">
        <f t="shared" si="8"/>
        <v>120</v>
      </c>
      <c r="K70" s="219">
        <f t="array" ref="K70">IFERROR(I70*INDEX('PORTIFÓLIO'!$S$4:$S$433,MATCH($C70,'PORTIFÓLIO'!$C$4:$C$433,0)),"")</f>
        <v>81.12</v>
      </c>
      <c r="L70" s="219">
        <f t="array" ref="L70">IFERROR(J70*INDEX('PORTIFÓLIO'!$S$4:$S$433,MATCH($C70,'PORTIFÓLIO'!$C$4:$C$433,0)),"")</f>
        <v>9734.4</v>
      </c>
      <c r="M70" s="220"/>
      <c r="N70" s="220"/>
      <c r="O70" s="220"/>
      <c r="P70" s="220"/>
      <c r="Q70" s="220"/>
      <c r="R70" s="220"/>
      <c r="S70" s="220"/>
      <c r="T70" s="220"/>
      <c r="U70" s="220"/>
      <c r="V70" s="220"/>
      <c r="W70" s="220"/>
    </row>
    <row r="71" ht="15.75" customHeight="1" outlineLevel="1">
      <c r="A71" s="211"/>
      <c r="B71" s="212" t="s">
        <v>4</v>
      </c>
      <c r="C71" s="213" t="s">
        <v>1187</v>
      </c>
      <c r="D71" s="214" t="str">
        <f>IFERROR(VLOOKUP($C71,'PORTIFÓLIO'!C:V,2,0),"")</f>
        <v/>
      </c>
      <c r="E71" s="211" t="str">
        <f>IFERROR(VLOOKUP($C71,'PORTIFÓLIO'!C:V,3,0),"")</f>
        <v/>
      </c>
      <c r="F71" s="211" t="str">
        <f>IFERROR(VLOOKUP($C71,'PORTIFÓLIO'!C:V,4,0),"")</f>
        <v/>
      </c>
      <c r="G71" s="215" t="str">
        <f>IFERROR(VLOOKUP($C71,'PORTIFÓLIO'!C:V,5,0),"")</f>
        <v/>
      </c>
      <c r="H71" s="254" t="str">
        <f t="array" ref="H71">IFERROR(INDEX('PORTIFÓLIO'!$H$4:$H$433,MATCH($C71,'PORTIFÓLIO'!$C$4:$C$433,0)),"")</f>
        <v/>
      </c>
      <c r="I71" s="255">
        <v>1.0</v>
      </c>
      <c r="J71" s="218">
        <f t="shared" si="8"/>
        <v>120</v>
      </c>
      <c r="K71" s="219" t="str">
        <f t="array" ref="K71">IFERROR(I71*INDEX('PORTIFÓLIO'!$S$4:$S$433,MATCH($C71,'PORTIFÓLIO'!$C$4:$C$433,0)),"")</f>
        <v/>
      </c>
      <c r="L71" s="219" t="str">
        <f t="array" ref="L71">IFERROR(J71*INDEX('PORTIFÓLIO'!$S$4:$S$433,MATCH($C71,'PORTIFÓLIO'!$C$4:$C$433,0)),"")</f>
        <v/>
      </c>
      <c r="M71" s="220"/>
      <c r="N71" s="220"/>
      <c r="O71" s="220"/>
      <c r="P71" s="220"/>
      <c r="Q71" s="220"/>
      <c r="R71" s="220"/>
      <c r="S71" s="220"/>
      <c r="T71" s="220"/>
      <c r="U71" s="220"/>
      <c r="V71" s="220"/>
      <c r="W71" s="220"/>
    </row>
    <row r="72" ht="15.75" customHeight="1" outlineLevel="1">
      <c r="A72" s="211"/>
      <c r="B72" s="212" t="s">
        <v>9</v>
      </c>
      <c r="C72" s="213" t="s">
        <v>1115</v>
      </c>
      <c r="D72" s="214" t="str">
        <f>IFERROR(VLOOKUP($C72,'PORTIFÓLIO'!C:V,2,0),"")</f>
        <v>Nutrifarm</v>
      </c>
      <c r="E72" s="211" t="str">
        <f>IFERROR(VLOOKUP($C72,'PORTIFÓLIO'!C:V,3,0),"")</f>
        <v/>
      </c>
      <c r="F72" s="211" t="str">
        <f>IFERROR(VLOOKUP($C72,'PORTIFÓLIO'!C:V,4,0),"")</f>
        <v>L</v>
      </c>
      <c r="G72" s="225" t="str">
        <f>IFERROR(VLOOKUP($C72,'PORTIFÓLIO'!C:V,5,0),"")</f>
        <v>📄 Ver bula</v>
      </c>
      <c r="H72" s="254">
        <f t="array" ref="H72">IFERROR(INDEX('PORTIFÓLIO'!$H$4:$H$433,MATCH($C72,'PORTIFÓLIO'!$C$4:$C$433,0)),"")</f>
        <v>0.2</v>
      </c>
      <c r="I72" s="255">
        <v>0.1</v>
      </c>
      <c r="J72" s="218">
        <f t="shared" si="8"/>
        <v>12</v>
      </c>
      <c r="K72" s="219">
        <f t="array" ref="K72">IFERROR(I72*INDEX('PORTIFÓLIO'!$S$4:$S$433,MATCH($C72,'PORTIFÓLIO'!$C$4:$C$433,0)),"")</f>
        <v>18.2</v>
      </c>
      <c r="L72" s="219">
        <f t="array" ref="L72">IFERROR(J72*INDEX('PORTIFÓLIO'!$S$4:$S$433,MATCH($C72,'PORTIFÓLIO'!$C$4:$C$433,0)),"")</f>
        <v>2184</v>
      </c>
      <c r="M72" s="220"/>
      <c r="N72" s="220"/>
      <c r="O72" s="220"/>
      <c r="P72" s="220"/>
      <c r="Q72" s="220"/>
      <c r="R72" s="220"/>
      <c r="S72" s="220"/>
      <c r="T72" s="220"/>
      <c r="U72" s="220"/>
      <c r="V72" s="220"/>
      <c r="W72" s="220"/>
    </row>
    <row r="73" ht="15.75" customHeight="1" outlineLevel="1">
      <c r="A73" s="211"/>
      <c r="B73" s="212"/>
      <c r="C73" s="213"/>
      <c r="D73" s="214" t="str">
        <f>IFERROR(VLOOKUP($C73,'PORTIFÓLIO'!C:V,2,0),"")</f>
        <v/>
      </c>
      <c r="E73" s="211" t="str">
        <f>IFERROR(VLOOKUP($C73,'PORTIFÓLIO'!C:V,3,0),"")</f>
        <v/>
      </c>
      <c r="F73" s="211" t="str">
        <f>IFERROR(VLOOKUP($C73,'PORTIFÓLIO'!C:V,4,0),"")</f>
        <v/>
      </c>
      <c r="G73" s="215" t="str">
        <f>IFERROR(VLOOKUP($C73,'PORTIFÓLIO'!C:V,5,0),"")</f>
        <v/>
      </c>
      <c r="H73" s="254" t="str">
        <f t="array" ref="H73">IFERROR(INDEX('PORTIFÓLIO'!$H$4:$H$433,MATCH($C73,'PORTIFÓLIO'!$C$4:$C$433,0)),"")</f>
        <v/>
      </c>
      <c r="I73" s="256"/>
      <c r="J73" s="218">
        <f t="shared" si="8"/>
        <v>0</v>
      </c>
      <c r="K73" s="219" t="str">
        <f t="array" ref="K73">IFERROR(I73*INDEX('PORTIFÓLIO'!$S$4:$S$433,MATCH($C73,'PORTIFÓLIO'!$C$4:$C$433,0)),"")</f>
        <v/>
      </c>
      <c r="L73" s="219" t="str">
        <f t="array" ref="L73">IFERROR(J73*INDEX('PORTIFÓLIO'!$S$4:$S$433,MATCH($C73,'PORTIFÓLIO'!$C$4:$C$433,0)),"")</f>
        <v/>
      </c>
      <c r="M73" s="220"/>
      <c r="N73" s="220"/>
      <c r="O73" s="220"/>
      <c r="P73" s="220"/>
      <c r="Q73" s="220"/>
      <c r="R73" s="220"/>
      <c r="S73" s="220"/>
      <c r="T73" s="220"/>
      <c r="U73" s="220"/>
      <c r="V73" s="220"/>
      <c r="W73" s="220"/>
    </row>
    <row r="74" ht="15.75" customHeight="1" outlineLevel="1">
      <c r="A74" s="211"/>
      <c r="B74" s="212"/>
      <c r="C74" s="213"/>
      <c r="D74" s="214" t="str">
        <f>IFERROR(VLOOKUP($C74,'PORTIFÓLIO'!C:V,2,0),"")</f>
        <v/>
      </c>
      <c r="E74" s="211" t="str">
        <f>IFERROR(VLOOKUP($C74,'PORTIFÓLIO'!C:V,3,0),"")</f>
        <v/>
      </c>
      <c r="F74" s="211" t="str">
        <f>IFERROR(VLOOKUP($C74,'PORTIFÓLIO'!C:V,4,0),"")</f>
        <v/>
      </c>
      <c r="G74" s="215" t="str">
        <f>IFERROR(VLOOKUP($C74,'PORTIFÓLIO'!C:V,5,0),"")</f>
        <v/>
      </c>
      <c r="H74" s="254" t="str">
        <f t="array" ref="H74">IFERROR(INDEX('PORTIFÓLIO'!$H$4:$H$433,MATCH($C74,'PORTIFÓLIO'!$C$4:$C$433,0)),"")</f>
        <v/>
      </c>
      <c r="I74" s="256"/>
      <c r="J74" s="218">
        <f t="shared" si="8"/>
        <v>0</v>
      </c>
      <c r="K74" s="219" t="str">
        <f t="array" ref="K74">IFERROR(I74*INDEX('PORTIFÓLIO'!$S$4:$S$433,MATCH($C74,'PORTIFÓLIO'!$C$4:$C$433,0)),"")</f>
        <v/>
      </c>
      <c r="L74" s="219" t="str">
        <f t="array" ref="L74">IFERROR(J74*INDEX('PORTIFÓLIO'!$S$4:$S$433,MATCH($C74,'PORTIFÓLIO'!$C$4:$C$433,0)),"")</f>
        <v/>
      </c>
      <c r="M74" s="220"/>
      <c r="N74" s="220"/>
      <c r="O74" s="220"/>
      <c r="P74" s="220"/>
      <c r="Q74" s="220"/>
      <c r="R74" s="220"/>
      <c r="S74" s="220"/>
      <c r="T74" s="220"/>
      <c r="U74" s="220"/>
      <c r="V74" s="220"/>
      <c r="W74" s="220"/>
    </row>
    <row r="75" ht="15.75" customHeight="1" outlineLevel="1">
      <c r="A75" s="211"/>
      <c r="B75" s="212"/>
      <c r="C75" s="213"/>
      <c r="D75" s="214" t="str">
        <f>IFERROR(VLOOKUP($C75,'PORTIFÓLIO'!C:V,2,0),"")</f>
        <v/>
      </c>
      <c r="E75" s="211" t="str">
        <f>IFERROR(VLOOKUP($C75,'PORTIFÓLIO'!C:V,3,0),"")</f>
        <v/>
      </c>
      <c r="F75" s="211" t="str">
        <f>IFERROR(VLOOKUP($C75,'PORTIFÓLIO'!C:V,4,0),"")</f>
        <v/>
      </c>
      <c r="G75" s="215" t="str">
        <f>IFERROR(VLOOKUP($C75,'PORTIFÓLIO'!C:V,5,0),"")</f>
        <v/>
      </c>
      <c r="H75" s="254" t="str">
        <f t="array" ref="H75">IFERROR(INDEX('PORTIFÓLIO'!$H$4:$H$433,MATCH($C75,'PORTIFÓLIO'!$C$4:$C$433,0)),"")</f>
        <v/>
      </c>
      <c r="I75" s="256"/>
      <c r="J75" s="218">
        <f t="shared" si="8"/>
        <v>0</v>
      </c>
      <c r="K75" s="219" t="str">
        <f t="array" ref="K75">IFERROR(I75*INDEX('PORTIFÓLIO'!$S$4:$S$433,MATCH($C75,'PORTIFÓLIO'!$C$4:$C$433,0)),"")</f>
        <v/>
      </c>
      <c r="L75" s="219" t="str">
        <f t="array" ref="L75">IFERROR(J75*INDEX('PORTIFÓLIO'!$S$4:$S$433,MATCH($C75,'PORTIFÓLIO'!$C$4:$C$433,0)),"")</f>
        <v/>
      </c>
      <c r="M75" s="220"/>
      <c r="N75" s="220"/>
      <c r="O75" s="220"/>
      <c r="P75" s="220"/>
      <c r="Q75" s="220"/>
      <c r="R75" s="220"/>
      <c r="S75" s="220"/>
      <c r="T75" s="220"/>
      <c r="U75" s="220"/>
      <c r="V75" s="220"/>
      <c r="W75" s="220"/>
    </row>
    <row r="76" ht="15.75" customHeight="1" outlineLevel="1">
      <c r="A76" s="211"/>
      <c r="B76" s="212"/>
      <c r="C76" s="213"/>
      <c r="D76" s="214" t="str">
        <f>IFERROR(VLOOKUP($C76,'PORTIFÓLIO'!C:V,2,0),"")</f>
        <v/>
      </c>
      <c r="E76" s="211" t="str">
        <f>IFERROR(VLOOKUP($C76,'PORTIFÓLIO'!C:V,3,0),"")</f>
        <v/>
      </c>
      <c r="F76" s="211" t="str">
        <f>IFERROR(VLOOKUP($C76,'PORTIFÓLIO'!C:V,4,0),"")</f>
        <v/>
      </c>
      <c r="G76" s="215" t="str">
        <f>IFERROR(VLOOKUP($C76,'PORTIFÓLIO'!C:V,5,0),"")</f>
        <v/>
      </c>
      <c r="H76" s="254" t="str">
        <f t="array" ref="H76">IFERROR(INDEX('PORTIFÓLIO'!$H$4:$H$433,MATCH($C76,'PORTIFÓLIO'!$C$4:$C$433,0)),"")</f>
        <v/>
      </c>
      <c r="I76" s="256"/>
      <c r="J76" s="218">
        <f t="shared" si="8"/>
        <v>0</v>
      </c>
      <c r="K76" s="219" t="str">
        <f t="array" ref="K76">IFERROR(I76*INDEX('PORTIFÓLIO'!$S$4:$S$433,MATCH($C76,'PORTIFÓLIO'!$C$4:$C$433,0)),"")</f>
        <v/>
      </c>
      <c r="L76" s="219" t="str">
        <f t="array" ref="L76">IFERROR(J76*INDEX('PORTIFÓLIO'!$S$4:$S$433,MATCH($C76,'PORTIFÓLIO'!$C$4:$C$433,0)),"")</f>
        <v/>
      </c>
      <c r="M76" s="220"/>
      <c r="N76" s="220"/>
      <c r="O76" s="220"/>
      <c r="P76" s="220"/>
      <c r="Q76" s="220"/>
      <c r="R76" s="220"/>
      <c r="S76" s="220"/>
      <c r="T76" s="220"/>
      <c r="U76" s="220"/>
      <c r="V76" s="220"/>
      <c r="W76" s="220"/>
    </row>
    <row r="77" ht="15.75" customHeight="1" outlineLevel="1">
      <c r="A77" s="211"/>
      <c r="B77" s="212"/>
      <c r="C77" s="213"/>
      <c r="D77" s="214" t="str">
        <f>IFERROR(VLOOKUP($C77,'PORTIFÓLIO'!C:V,2,0),"")</f>
        <v/>
      </c>
      <c r="E77" s="211" t="str">
        <f>IFERROR(VLOOKUP($C77,'PORTIFÓLIO'!C:V,3,0),"")</f>
        <v/>
      </c>
      <c r="F77" s="211" t="str">
        <f>IFERROR(VLOOKUP($C77,'PORTIFÓLIO'!C:V,4,0),"")</f>
        <v/>
      </c>
      <c r="G77" s="215" t="str">
        <f>IFERROR(VLOOKUP($C77,'PORTIFÓLIO'!C:V,5,0),"")</f>
        <v/>
      </c>
      <c r="H77" s="254" t="str">
        <f t="array" ref="H77">IFERROR(INDEX('PORTIFÓLIO'!$H$4:$H$433,MATCH($C77,'PORTIFÓLIO'!$C$4:$C$433,0)),"")</f>
        <v/>
      </c>
      <c r="I77" s="256"/>
      <c r="J77" s="218">
        <f t="shared" si="8"/>
        <v>0</v>
      </c>
      <c r="K77" s="219" t="str">
        <f t="array" ref="K77">IFERROR(I77*INDEX('PORTIFÓLIO'!$S$4:$S$433,MATCH($C77,'PORTIFÓLIO'!$C$4:$C$433,0)),"")</f>
        <v/>
      </c>
      <c r="L77" s="219" t="str">
        <f t="array" ref="L77">IFERROR(J77*INDEX('PORTIFÓLIO'!$S$4:$S$433,MATCH($C77,'PORTIFÓLIO'!$C$4:$C$433,0)),"")</f>
        <v/>
      </c>
      <c r="M77" s="220"/>
      <c r="N77" s="220"/>
      <c r="O77" s="220"/>
      <c r="P77" s="220"/>
      <c r="Q77" s="220"/>
      <c r="R77" s="220"/>
      <c r="S77" s="220"/>
      <c r="T77" s="220"/>
      <c r="U77" s="220"/>
      <c r="V77" s="220"/>
      <c r="W77" s="220"/>
    </row>
    <row r="78" ht="15.75" customHeight="1" outlineLevel="1">
      <c r="A78" s="211"/>
      <c r="B78" s="212"/>
      <c r="C78" s="213"/>
      <c r="D78" s="214" t="str">
        <f>IFERROR(VLOOKUP($C78,'PORTIFÓLIO'!C:V,2,0),"")</f>
        <v/>
      </c>
      <c r="E78" s="211" t="str">
        <f>IFERROR(VLOOKUP($C78,'PORTIFÓLIO'!C:V,3,0),"")</f>
        <v/>
      </c>
      <c r="F78" s="211" t="str">
        <f>IFERROR(VLOOKUP($C78,'PORTIFÓLIO'!C:V,4,0),"")</f>
        <v/>
      </c>
      <c r="G78" s="215" t="str">
        <f>IFERROR(VLOOKUP($C78,'PORTIFÓLIO'!C:V,5,0),"")</f>
        <v/>
      </c>
      <c r="H78" s="254" t="str">
        <f t="array" ref="H78">IFERROR(INDEX('PORTIFÓLIO'!$H$4:$H$433,MATCH($C78,'PORTIFÓLIO'!$C$4:$C$433,0)),"")</f>
        <v/>
      </c>
      <c r="I78" s="256"/>
      <c r="J78" s="218">
        <f t="shared" si="8"/>
        <v>0</v>
      </c>
      <c r="K78" s="219" t="str">
        <f t="array" ref="K78">IFERROR(I78*INDEX('PORTIFÓLIO'!$S$4:$S$433,MATCH($C78,'PORTIFÓLIO'!$C$4:$C$433,0)),"")</f>
        <v/>
      </c>
      <c r="L78" s="219" t="str">
        <f t="array" ref="L78">IFERROR(J78*INDEX('PORTIFÓLIO'!$S$4:$S$433,MATCH($C78,'PORTIFÓLIO'!$C$4:$C$433,0)),"")</f>
        <v/>
      </c>
      <c r="M78" s="220"/>
      <c r="N78" s="220"/>
      <c r="O78" s="220"/>
      <c r="P78" s="220"/>
      <c r="Q78" s="220"/>
      <c r="R78" s="220"/>
      <c r="S78" s="220"/>
      <c r="T78" s="220"/>
      <c r="U78" s="220"/>
      <c r="V78" s="220"/>
      <c r="W78" s="220"/>
    </row>
    <row r="79" ht="15.75" customHeight="1" outlineLevel="1">
      <c r="A79" s="211"/>
      <c r="B79" s="212"/>
      <c r="C79" s="213"/>
      <c r="D79" s="214" t="str">
        <f>IFERROR(VLOOKUP($C79,'PORTIFÓLIO'!C:V,2,0),"")</f>
        <v/>
      </c>
      <c r="E79" s="211" t="str">
        <f>IFERROR(VLOOKUP($C79,'PORTIFÓLIO'!C:V,3,0),"")</f>
        <v/>
      </c>
      <c r="F79" s="211" t="str">
        <f>IFERROR(VLOOKUP($C79,'PORTIFÓLIO'!C:V,4,0),"")</f>
        <v/>
      </c>
      <c r="G79" s="215" t="str">
        <f>IFERROR(VLOOKUP($C79,'PORTIFÓLIO'!C:V,5,0),"")</f>
        <v/>
      </c>
      <c r="H79" s="254" t="str">
        <f t="array" ref="H79">IFERROR(INDEX('PORTIFÓLIO'!$H$4:$H$433,MATCH($C79,'PORTIFÓLIO'!$C$4:$C$433,0)),"")</f>
        <v/>
      </c>
      <c r="I79" s="256"/>
      <c r="J79" s="218">
        <f t="shared" si="8"/>
        <v>0</v>
      </c>
      <c r="K79" s="219" t="str">
        <f t="array" ref="K79">IFERROR(I79*INDEX('PORTIFÓLIO'!$S$4:$S$433,MATCH($C79,'PORTIFÓLIO'!$C$4:$C$433,0)),"")</f>
        <v/>
      </c>
      <c r="L79" s="219" t="str">
        <f t="array" ref="L79">IFERROR(J79*INDEX('PORTIFÓLIO'!$S$4:$S$433,MATCH($C79,'PORTIFÓLIO'!$C$4:$C$433,0)),"")</f>
        <v/>
      </c>
      <c r="M79" s="220"/>
      <c r="N79" s="220"/>
      <c r="O79" s="220"/>
      <c r="P79" s="220"/>
      <c r="Q79" s="220"/>
      <c r="R79" s="220"/>
      <c r="S79" s="220"/>
      <c r="T79" s="220"/>
      <c r="U79" s="220"/>
      <c r="V79" s="220"/>
      <c r="W79" s="220"/>
    </row>
    <row r="80" ht="15.75" customHeight="1" outlineLevel="1">
      <c r="A80" s="211"/>
      <c r="B80" s="212"/>
      <c r="C80" s="213"/>
      <c r="D80" s="214" t="str">
        <f>IFERROR(VLOOKUP($C80,'PORTIFÓLIO'!C:V,2,0),"")</f>
        <v/>
      </c>
      <c r="E80" s="211" t="str">
        <f>IFERROR(VLOOKUP($C80,'PORTIFÓLIO'!C:V,3,0),"")</f>
        <v/>
      </c>
      <c r="F80" s="211" t="str">
        <f>IFERROR(VLOOKUP($C80,'PORTIFÓLIO'!C:V,4,0),"")</f>
        <v/>
      </c>
      <c r="G80" s="215" t="str">
        <f>IFERROR(VLOOKUP($C80,'PORTIFÓLIO'!C:V,5,0),"")</f>
        <v/>
      </c>
      <c r="H80" s="254" t="str">
        <f t="array" ref="H80">IFERROR(INDEX('PORTIFÓLIO'!$H$4:$H$433,MATCH($C80,'PORTIFÓLIO'!$C$4:$C$433,0)),"")</f>
        <v/>
      </c>
      <c r="I80" s="256"/>
      <c r="J80" s="218">
        <f t="shared" si="8"/>
        <v>0</v>
      </c>
      <c r="K80" s="219" t="str">
        <f t="array" ref="K80">IFERROR(I80*INDEX('PORTIFÓLIO'!$S$4:$S$433,MATCH($C80,'PORTIFÓLIO'!$C$4:$C$433,0)),"")</f>
        <v/>
      </c>
      <c r="L80" s="219" t="str">
        <f t="array" ref="L80">IFERROR(J80*INDEX('PORTIFÓLIO'!$S$4:$S$433,MATCH($C80,'PORTIFÓLIO'!$C$4:$C$433,0)),"")</f>
        <v/>
      </c>
      <c r="M80" s="220"/>
      <c r="N80" s="220"/>
      <c r="O80" s="220"/>
      <c r="P80" s="220"/>
      <c r="Q80" s="220"/>
      <c r="R80" s="220"/>
      <c r="S80" s="220"/>
      <c r="T80" s="220"/>
      <c r="U80" s="220"/>
      <c r="V80" s="220"/>
      <c r="W80" s="220"/>
    </row>
    <row r="81" ht="15.75" customHeight="1">
      <c r="A81" s="229" t="s">
        <v>1188</v>
      </c>
      <c r="B81" s="230"/>
      <c r="C81" s="231"/>
      <c r="D81" s="232" t="s">
        <v>216</v>
      </c>
      <c r="E81" s="231"/>
      <c r="F81" s="231"/>
      <c r="G81" s="233"/>
      <c r="H81" s="233"/>
      <c r="I81" s="258"/>
      <c r="J81" s="236"/>
      <c r="K81" s="237">
        <f t="shared" ref="K81:L81" si="9">SUBTOTAL(9,K82:K95)</f>
        <v>83.234856</v>
      </c>
      <c r="L81" s="237">
        <f t="shared" si="9"/>
        <v>9988.18272</v>
      </c>
      <c r="M81" s="220"/>
      <c r="N81" s="220"/>
      <c r="O81" s="220"/>
      <c r="P81" s="220"/>
      <c r="Q81" s="220"/>
      <c r="R81" s="220"/>
      <c r="S81" s="220"/>
      <c r="T81" s="220"/>
      <c r="U81" s="220"/>
      <c r="V81" s="220"/>
      <c r="W81" s="220"/>
    </row>
    <row r="82" ht="15.75" customHeight="1" outlineLevel="1">
      <c r="A82" s="213"/>
      <c r="B82" s="212" t="s">
        <v>1</v>
      </c>
      <c r="C82" s="213" t="s">
        <v>637</v>
      </c>
      <c r="D82" s="214" t="str">
        <f>IFERROR(VLOOKUP($C82,'PORTIFÓLIO'!C:V,2,0),"")</f>
        <v>GLIFOSATO-SAL DE AMÔNIO</v>
      </c>
      <c r="E82" s="211">
        <f>IFERROR(VLOOKUP($C82,'PORTIFÓLIO'!C:V,3,0),"")</f>
        <v>720</v>
      </c>
      <c r="F82" s="211" t="str">
        <f>IFERROR(VLOOKUP($C82,'PORTIFÓLIO'!C:V,4,0),"")</f>
        <v>L</v>
      </c>
      <c r="G82" s="225" t="str">
        <f>IFERROR(VLOOKUP($C82,'PORTIFÓLIO'!C:V,5,0),"")</f>
        <v>📄 Ver bula</v>
      </c>
      <c r="H82" s="254">
        <f t="array" ref="H82">IFERROR(INDEX('PORTIFÓLIO'!$H$4:$H$433,MATCH($C82,'PORTIFÓLIO'!$C$4:$C$433,0)),"")</f>
        <v>2</v>
      </c>
      <c r="I82" s="255">
        <v>2.0</v>
      </c>
      <c r="J82" s="218">
        <f t="shared" ref="J82:J96" si="10">I82*$B$2</f>
        <v>240</v>
      </c>
      <c r="K82" s="219">
        <f t="array" ref="K82">IFERROR(I82*INDEX('PORTIFÓLIO'!$S$4:$S$433,MATCH($C82,'PORTIFÓLIO'!$C$4:$C$433,0)),"")</f>
        <v>49.16</v>
      </c>
      <c r="L82" s="219">
        <f t="array" ref="L82">IFERROR(J82*INDEX('PORTIFÓLIO'!$S$4:$S$433,MATCH($C82,'PORTIFÓLIO'!$C$4:$C$433,0)),"")</f>
        <v>5899.2</v>
      </c>
      <c r="M82" s="220"/>
      <c r="N82" s="220"/>
      <c r="O82" s="220"/>
      <c r="P82" s="220"/>
      <c r="Q82" s="220"/>
      <c r="R82" s="220"/>
      <c r="S82" s="220"/>
      <c r="T82" s="220"/>
      <c r="U82" s="220"/>
      <c r="V82" s="220"/>
      <c r="W82" s="220"/>
    </row>
    <row r="83" ht="15.75" customHeight="1" outlineLevel="1">
      <c r="A83" s="211"/>
      <c r="B83" s="212" t="s">
        <v>1</v>
      </c>
      <c r="C83" s="213" t="s">
        <v>616</v>
      </c>
      <c r="D83" s="214" t="str">
        <f>IFERROR(VLOOKUP($C83,'PORTIFÓLIO'!C:V,2,0),"")</f>
        <v>CLETODIM</v>
      </c>
      <c r="E83" s="211">
        <f>IFERROR(VLOOKUP($C83,'PORTIFÓLIO'!C:V,3,0),"")</f>
        <v>240</v>
      </c>
      <c r="F83" s="211" t="str">
        <f>IFERROR(VLOOKUP($C83,'PORTIFÓLIO'!C:V,4,0),"")</f>
        <v>L</v>
      </c>
      <c r="G83" s="225" t="str">
        <f>IFERROR(VLOOKUP($C83,'PORTIFÓLIO'!C:V,5,0),"")</f>
        <v>📄 Ver bula</v>
      </c>
      <c r="H83" s="254">
        <f t="array" ref="H83">IFERROR(INDEX('PORTIFÓLIO'!$H$4:$H$433,MATCH($C83,'PORTIFÓLIO'!$C$4:$C$433,0)),"")</f>
        <v>0.4</v>
      </c>
      <c r="I83" s="255">
        <v>0.4</v>
      </c>
      <c r="J83" s="218">
        <f t="shared" si="10"/>
        <v>48</v>
      </c>
      <c r="K83" s="219">
        <f t="array" ref="K83">IFERROR(I83*INDEX('PORTIFÓLIO'!$S$4:$S$433,MATCH($C83,'PORTIFÓLIO'!$C$4:$C$433,0)),"")</f>
        <v>13.204376</v>
      </c>
      <c r="L83" s="219">
        <f t="array" ref="L83">IFERROR(J83*INDEX('PORTIFÓLIO'!$S$4:$S$433,MATCH($C83,'PORTIFÓLIO'!$C$4:$C$433,0)),"")</f>
        <v>1584.52512</v>
      </c>
      <c r="M83" s="220"/>
      <c r="N83" s="220"/>
      <c r="O83" s="220"/>
      <c r="P83" s="220"/>
      <c r="Q83" s="220"/>
      <c r="R83" s="220"/>
      <c r="S83" s="220"/>
      <c r="T83" s="220"/>
      <c r="U83" s="220"/>
      <c r="V83" s="220"/>
      <c r="W83" s="220"/>
    </row>
    <row r="84" ht="15.75" customHeight="1" outlineLevel="1">
      <c r="A84" s="211"/>
      <c r="B84" s="212" t="s">
        <v>0</v>
      </c>
      <c r="C84" s="213" t="s">
        <v>434</v>
      </c>
      <c r="D84" s="214" t="str">
        <f>IFERROR(VLOOKUP($C84,'PORTIFÓLIO'!C:V,2,0),"")</f>
        <v>AZOXISTROBINA + TEBUCONAZOL</v>
      </c>
      <c r="E84" s="211" t="str">
        <f>IFERROR(VLOOKUP($C84,'PORTIFÓLIO'!C:V,3,0),"")</f>
        <v>120 + 200</v>
      </c>
      <c r="F84" s="211" t="str">
        <f>IFERROR(VLOOKUP($C84,'PORTIFÓLIO'!C:V,4,0),"")</f>
        <v>L</v>
      </c>
      <c r="G84" s="225" t="str">
        <f>IFERROR(VLOOKUP($C84,'PORTIFÓLIO'!C:V,5,0),"")</f>
        <v>📄 Ver bula</v>
      </c>
      <c r="H84" s="254">
        <f t="array" ref="H84">IFERROR(INDEX('PORTIFÓLIO'!$H$4:$H$433,MATCH($C84,'PORTIFÓLIO'!$C$4:$C$433,0)),"")</f>
        <v>0.5</v>
      </c>
      <c r="I84" s="255">
        <v>0.5</v>
      </c>
      <c r="J84" s="218">
        <f t="shared" si="10"/>
        <v>60</v>
      </c>
      <c r="K84" s="219">
        <f t="array" ref="K84">IFERROR(I84*INDEX('PORTIFÓLIO'!$S$4:$S$433,MATCH($C84,'PORTIFÓLIO'!$C$4:$C$433,0)),"")</f>
        <v>17.66448</v>
      </c>
      <c r="L84" s="219">
        <f t="array" ref="L84">IFERROR(J84*INDEX('PORTIFÓLIO'!$S$4:$S$433,MATCH($C84,'PORTIFÓLIO'!$C$4:$C$433,0)),"")</f>
        <v>2119.7376</v>
      </c>
      <c r="M84" s="220"/>
      <c r="N84" s="220"/>
      <c r="O84" s="220"/>
      <c r="P84" s="220"/>
      <c r="Q84" s="220"/>
      <c r="R84" s="220"/>
      <c r="S84" s="220"/>
      <c r="T84" s="220"/>
      <c r="U84" s="220"/>
      <c r="V84" s="220"/>
      <c r="W84" s="220"/>
    </row>
    <row r="85" ht="15.75" customHeight="1" outlineLevel="1">
      <c r="A85" s="211"/>
      <c r="B85" s="212" t="s">
        <v>6</v>
      </c>
      <c r="C85" s="213" t="s">
        <v>354</v>
      </c>
      <c r="D85" s="214" t="str">
        <f>IFERROR(VLOOKUP($C85,'PORTIFÓLIO'!C:V,2,0),"")</f>
        <v>OLEO MINERAL</v>
      </c>
      <c r="E85" s="211">
        <f>IFERROR(VLOOKUP($C85,'PORTIFÓLIO'!C:V,3,0),"")</f>
        <v>761</v>
      </c>
      <c r="F85" s="211" t="str">
        <f>IFERROR(VLOOKUP($C85,'PORTIFÓLIO'!C:V,4,0),"")</f>
        <v>L</v>
      </c>
      <c r="G85" s="225" t="str">
        <f>IFERROR(VLOOKUP($C85,'PORTIFÓLIO'!C:V,5,0),"")</f>
        <v>📄 Ver bula</v>
      </c>
      <c r="H85" s="254">
        <f t="array" ref="H85">IFERROR(INDEX('PORTIFÓLIO'!$H$4:$H$433,MATCH($C85,'PORTIFÓLIO'!$C$4:$C$433,0)),"")</f>
        <v>0.2</v>
      </c>
      <c r="I85" s="255">
        <v>0.2</v>
      </c>
      <c r="J85" s="218">
        <f t="shared" si="10"/>
        <v>24</v>
      </c>
      <c r="K85" s="219">
        <f t="array" ref="K85">IFERROR(I85*INDEX('PORTIFÓLIO'!$S$4:$S$433,MATCH($C85,'PORTIFÓLIO'!$C$4:$C$433,0)),"")</f>
        <v>3.206</v>
      </c>
      <c r="L85" s="219">
        <f t="array" ref="L85">IFERROR(J85*INDEX('PORTIFÓLIO'!$S$4:$S$433,MATCH($C85,'PORTIFÓLIO'!$C$4:$C$433,0)),"")</f>
        <v>384.72</v>
      </c>
      <c r="M85" s="220"/>
      <c r="N85" s="220"/>
      <c r="O85" s="220"/>
      <c r="P85" s="220"/>
      <c r="Q85" s="220"/>
      <c r="R85" s="220"/>
      <c r="S85" s="220"/>
      <c r="T85" s="220"/>
      <c r="U85" s="220"/>
      <c r="V85" s="220"/>
      <c r="W85" s="220"/>
    </row>
    <row r="86" ht="15.75" customHeight="1" outlineLevel="1">
      <c r="A86" s="211"/>
      <c r="B86" s="212"/>
      <c r="C86" s="213"/>
      <c r="D86" s="214" t="str">
        <f>IFERROR(VLOOKUP($C86,'PORTIFÓLIO'!C:V,2,0),"")</f>
        <v/>
      </c>
      <c r="E86" s="211" t="str">
        <f>IFERROR(VLOOKUP($C86,'PORTIFÓLIO'!C:V,3,0),"")</f>
        <v/>
      </c>
      <c r="F86" s="211" t="str">
        <f>IFERROR(VLOOKUP($C86,'PORTIFÓLIO'!C:V,4,0),"")</f>
        <v/>
      </c>
      <c r="G86" s="215" t="str">
        <f>IFERROR(VLOOKUP($C86,'PORTIFÓLIO'!C:V,5,0),"")</f>
        <v/>
      </c>
      <c r="H86" s="254" t="str">
        <f t="array" ref="H86">IFERROR(INDEX('PORTIFÓLIO'!$H$4:$H$433,MATCH($C86,'PORTIFÓLIO'!$C$4:$C$433,0)),"")</f>
        <v/>
      </c>
      <c r="I86" s="256"/>
      <c r="J86" s="218">
        <f t="shared" si="10"/>
        <v>0</v>
      </c>
      <c r="K86" s="219" t="str">
        <f t="array" ref="K86">IFERROR(I86*INDEX('PORTIFÓLIO'!$S$4:$S$433,MATCH($C86,'PORTIFÓLIO'!$C$4:$C$433,0)),"")</f>
        <v/>
      </c>
      <c r="L86" s="219" t="str">
        <f t="array" ref="L86">IFERROR(J86*INDEX('PORTIFÓLIO'!$S$4:$S$433,MATCH($C86,'PORTIFÓLIO'!$C$4:$C$433,0)),"")</f>
        <v/>
      </c>
      <c r="M86" s="220"/>
      <c r="N86" s="220"/>
      <c r="O86" s="220"/>
      <c r="P86" s="220"/>
      <c r="Q86" s="220"/>
      <c r="R86" s="220"/>
      <c r="S86" s="220"/>
      <c r="T86" s="220"/>
      <c r="U86" s="220"/>
      <c r="V86" s="220"/>
      <c r="W86" s="220"/>
    </row>
    <row r="87" ht="15.75" customHeight="1" outlineLevel="1">
      <c r="A87" s="211"/>
      <c r="B87" s="212"/>
      <c r="C87" s="213"/>
      <c r="D87" s="214" t="str">
        <f>IFERROR(VLOOKUP($C87,'PORTIFÓLIO'!C:V,2,0),"")</f>
        <v/>
      </c>
      <c r="E87" s="211" t="str">
        <f>IFERROR(VLOOKUP($C87,'PORTIFÓLIO'!C:V,3,0),"")</f>
        <v/>
      </c>
      <c r="F87" s="211" t="str">
        <f>IFERROR(VLOOKUP($C87,'PORTIFÓLIO'!C:V,4,0),"")</f>
        <v/>
      </c>
      <c r="G87" s="215" t="str">
        <f>IFERROR(VLOOKUP($C87,'PORTIFÓLIO'!C:V,5,0),"")</f>
        <v/>
      </c>
      <c r="H87" s="254" t="str">
        <f t="array" ref="H87">IFERROR(INDEX('PORTIFÓLIO'!$H$4:$H$433,MATCH($C87,'PORTIFÓLIO'!$C$4:$C$433,0)),"")</f>
        <v/>
      </c>
      <c r="I87" s="256"/>
      <c r="J87" s="218">
        <f t="shared" si="10"/>
        <v>0</v>
      </c>
      <c r="K87" s="219" t="str">
        <f t="array" ref="K87">IFERROR(I87*INDEX('PORTIFÓLIO'!$S$4:$S$433,MATCH($C87,'PORTIFÓLIO'!$C$4:$C$433,0)),"")</f>
        <v/>
      </c>
      <c r="L87" s="219" t="str">
        <f t="array" ref="L87">IFERROR(J87*INDEX('PORTIFÓLIO'!$S$4:$S$433,MATCH($C87,'PORTIFÓLIO'!$C$4:$C$433,0)),"")</f>
        <v/>
      </c>
      <c r="M87" s="220"/>
      <c r="N87" s="220"/>
      <c r="O87" s="220"/>
      <c r="P87" s="220"/>
      <c r="Q87" s="220"/>
      <c r="R87" s="220"/>
      <c r="S87" s="220"/>
      <c r="T87" s="220"/>
      <c r="U87" s="220"/>
      <c r="V87" s="220"/>
      <c r="W87" s="220"/>
    </row>
    <row r="88" ht="15.75" customHeight="1" outlineLevel="1">
      <c r="A88" s="211"/>
      <c r="B88" s="212"/>
      <c r="C88" s="213"/>
      <c r="D88" s="214" t="str">
        <f>IFERROR(VLOOKUP($C88,'PORTIFÓLIO'!C:V,2,0),"")</f>
        <v/>
      </c>
      <c r="E88" s="211" t="str">
        <f>IFERROR(VLOOKUP($C88,'PORTIFÓLIO'!C:V,3,0),"")</f>
        <v/>
      </c>
      <c r="F88" s="211" t="str">
        <f>IFERROR(VLOOKUP($C88,'PORTIFÓLIO'!C:V,4,0),"")</f>
        <v/>
      </c>
      <c r="G88" s="215" t="str">
        <f>IFERROR(VLOOKUP($C88,'PORTIFÓLIO'!C:V,5,0),"")</f>
        <v/>
      </c>
      <c r="H88" s="254" t="str">
        <f t="array" ref="H88">IFERROR(INDEX('PORTIFÓLIO'!$H$4:$H$433,MATCH($C88,'PORTIFÓLIO'!$C$4:$C$433,0)),"")</f>
        <v/>
      </c>
      <c r="I88" s="256"/>
      <c r="J88" s="218">
        <f t="shared" si="10"/>
        <v>0</v>
      </c>
      <c r="K88" s="219" t="str">
        <f t="array" ref="K88">IFERROR(I88*INDEX('PORTIFÓLIO'!$S$4:$S$433,MATCH($C88,'PORTIFÓLIO'!$C$4:$C$433,0)),"")</f>
        <v/>
      </c>
      <c r="L88" s="219" t="str">
        <f t="array" ref="L88">IFERROR(J88*INDEX('PORTIFÓLIO'!$S$4:$S$433,MATCH($C88,'PORTIFÓLIO'!$C$4:$C$433,0)),"")</f>
        <v/>
      </c>
      <c r="M88" s="220"/>
      <c r="N88" s="220"/>
      <c r="O88" s="220"/>
      <c r="P88" s="220"/>
      <c r="Q88" s="220"/>
      <c r="R88" s="220"/>
      <c r="S88" s="220"/>
      <c r="T88" s="220"/>
      <c r="U88" s="220"/>
      <c r="V88" s="220"/>
      <c r="W88" s="220"/>
    </row>
    <row r="89" ht="15.75" customHeight="1" outlineLevel="1">
      <c r="A89" s="211"/>
      <c r="B89" s="212"/>
      <c r="C89" s="213"/>
      <c r="D89" s="214" t="str">
        <f>IFERROR(VLOOKUP($C89,'PORTIFÓLIO'!C:V,2,0),"")</f>
        <v/>
      </c>
      <c r="E89" s="211" t="str">
        <f>IFERROR(VLOOKUP($C89,'PORTIFÓLIO'!C:V,3,0),"")</f>
        <v/>
      </c>
      <c r="F89" s="211" t="str">
        <f>IFERROR(VLOOKUP($C89,'PORTIFÓLIO'!C:V,4,0),"")</f>
        <v/>
      </c>
      <c r="G89" s="215" t="str">
        <f>IFERROR(VLOOKUP($C89,'PORTIFÓLIO'!C:V,5,0),"")</f>
        <v/>
      </c>
      <c r="H89" s="254" t="str">
        <f t="array" ref="H89">IFERROR(INDEX('PORTIFÓLIO'!$H$4:$H$433,MATCH($C89,'PORTIFÓLIO'!$C$4:$C$433,0)),"")</f>
        <v/>
      </c>
      <c r="I89" s="256"/>
      <c r="J89" s="218">
        <f t="shared" si="10"/>
        <v>0</v>
      </c>
      <c r="K89" s="219" t="str">
        <f t="array" ref="K89">IFERROR(I89*INDEX('PORTIFÓLIO'!$S$4:$S$433,MATCH($C89,'PORTIFÓLIO'!$C$4:$C$433,0)),"")</f>
        <v/>
      </c>
      <c r="L89" s="219" t="str">
        <f t="array" ref="L89">IFERROR(J89*INDEX('PORTIFÓLIO'!$S$4:$S$433,MATCH($C89,'PORTIFÓLIO'!$C$4:$C$433,0)),"")</f>
        <v/>
      </c>
      <c r="M89" s="220"/>
      <c r="N89" s="220"/>
      <c r="O89" s="220"/>
      <c r="P89" s="220"/>
      <c r="Q89" s="220"/>
      <c r="R89" s="220"/>
      <c r="S89" s="220"/>
      <c r="T89" s="220"/>
      <c r="U89" s="220"/>
      <c r="V89" s="220"/>
      <c r="W89" s="220"/>
    </row>
    <row r="90" ht="15.75" customHeight="1" outlineLevel="1">
      <c r="A90" s="211"/>
      <c r="B90" s="212"/>
      <c r="C90" s="213"/>
      <c r="D90" s="214" t="str">
        <f>IFERROR(VLOOKUP($C90,'PORTIFÓLIO'!C:V,2,0),"")</f>
        <v/>
      </c>
      <c r="E90" s="211" t="str">
        <f>IFERROR(VLOOKUP($C90,'PORTIFÓLIO'!C:V,3,0),"")</f>
        <v/>
      </c>
      <c r="F90" s="211" t="str">
        <f>IFERROR(VLOOKUP($C90,'PORTIFÓLIO'!C:V,4,0),"")</f>
        <v/>
      </c>
      <c r="G90" s="215" t="str">
        <f>IFERROR(VLOOKUP($C90,'PORTIFÓLIO'!C:V,5,0),"")</f>
        <v/>
      </c>
      <c r="H90" s="254" t="str">
        <f t="array" ref="H90">IFERROR(INDEX('PORTIFÓLIO'!$H$4:$H$433,MATCH($C90,'PORTIFÓLIO'!$C$4:$C$433,0)),"")</f>
        <v/>
      </c>
      <c r="I90" s="255"/>
      <c r="J90" s="218">
        <f t="shared" si="10"/>
        <v>0</v>
      </c>
      <c r="K90" s="219" t="str">
        <f t="array" ref="K90">IFERROR(I90*INDEX('PORTIFÓLIO'!$S$4:$S$433,MATCH($C90,'PORTIFÓLIO'!$C$4:$C$433,0)),"")</f>
        <v/>
      </c>
      <c r="L90" s="219" t="str">
        <f t="array" ref="L90">IFERROR(J90*INDEX('PORTIFÓLIO'!$S$4:$S$433,MATCH($C90,'PORTIFÓLIO'!$C$4:$C$433,0)),"")</f>
        <v/>
      </c>
      <c r="M90" s="220"/>
      <c r="N90" s="220"/>
      <c r="O90" s="220"/>
      <c r="P90" s="220"/>
      <c r="Q90" s="220"/>
      <c r="R90" s="220"/>
      <c r="S90" s="220"/>
      <c r="T90" s="220"/>
      <c r="U90" s="220"/>
      <c r="V90" s="220"/>
      <c r="W90" s="220"/>
    </row>
    <row r="91" ht="15.75" customHeight="1" outlineLevel="1">
      <c r="A91" s="211"/>
      <c r="B91" s="212"/>
      <c r="C91" s="213"/>
      <c r="D91" s="214" t="str">
        <f>IFERROR(VLOOKUP($C91,'PORTIFÓLIO'!C:V,2,0),"")</f>
        <v/>
      </c>
      <c r="E91" s="211" t="str">
        <f>IFERROR(VLOOKUP($C91,'PORTIFÓLIO'!C:V,3,0),"")</f>
        <v/>
      </c>
      <c r="F91" s="211" t="str">
        <f>IFERROR(VLOOKUP($C91,'PORTIFÓLIO'!C:V,4,0),"")</f>
        <v/>
      </c>
      <c r="G91" s="215" t="str">
        <f>IFERROR(VLOOKUP($C91,'PORTIFÓLIO'!C:V,5,0),"")</f>
        <v/>
      </c>
      <c r="H91" s="254" t="str">
        <f t="array" ref="H91">IFERROR(INDEX('PORTIFÓLIO'!$H$4:$H$433,MATCH($C91,'PORTIFÓLIO'!$C$4:$C$433,0)),"")</f>
        <v/>
      </c>
      <c r="I91" s="256"/>
      <c r="J91" s="218">
        <f t="shared" si="10"/>
        <v>0</v>
      </c>
      <c r="K91" s="219" t="str">
        <f t="array" ref="K91">IFERROR(I91*INDEX('PORTIFÓLIO'!$S$4:$S$433,MATCH($C91,'PORTIFÓLIO'!$C$4:$C$433,0)),"")</f>
        <v/>
      </c>
      <c r="L91" s="219" t="str">
        <f t="array" ref="L91">IFERROR(J91*INDEX('PORTIFÓLIO'!$S$4:$S$433,MATCH($C91,'PORTIFÓLIO'!$C$4:$C$433,0)),"")</f>
        <v/>
      </c>
      <c r="M91" s="220"/>
      <c r="N91" s="220"/>
      <c r="O91" s="220"/>
      <c r="P91" s="220"/>
      <c r="Q91" s="220"/>
      <c r="R91" s="220"/>
      <c r="S91" s="220"/>
      <c r="T91" s="220"/>
      <c r="U91" s="220"/>
      <c r="V91" s="220"/>
      <c r="W91" s="220"/>
    </row>
    <row r="92" ht="15.75" customHeight="1" outlineLevel="1">
      <c r="A92" s="211"/>
      <c r="B92" s="212"/>
      <c r="C92" s="213"/>
      <c r="D92" s="214" t="str">
        <f>IFERROR(VLOOKUP($C92,'PORTIFÓLIO'!C:V,2,0),"")</f>
        <v/>
      </c>
      <c r="E92" s="211" t="str">
        <f>IFERROR(VLOOKUP($C92,'PORTIFÓLIO'!C:V,3,0),"")</f>
        <v/>
      </c>
      <c r="F92" s="211" t="str">
        <f>IFERROR(VLOOKUP($C92,'PORTIFÓLIO'!C:V,4,0),"")</f>
        <v/>
      </c>
      <c r="G92" s="215" t="str">
        <f>IFERROR(VLOOKUP($C92,'PORTIFÓLIO'!C:V,5,0),"")</f>
        <v/>
      </c>
      <c r="H92" s="254" t="str">
        <f t="array" ref="H92">IFERROR(INDEX('PORTIFÓLIO'!$H$4:$H$433,MATCH($C92,'PORTIFÓLIO'!$C$4:$C$433,0)),"")</f>
        <v/>
      </c>
      <c r="I92" s="256"/>
      <c r="J92" s="218">
        <f t="shared" si="10"/>
        <v>0</v>
      </c>
      <c r="K92" s="219" t="str">
        <f t="array" ref="K92">IFERROR(I92*INDEX('PORTIFÓLIO'!$S$4:$S$433,MATCH($C92,'PORTIFÓLIO'!$C$4:$C$433,0)),"")</f>
        <v/>
      </c>
      <c r="L92" s="219" t="str">
        <f t="array" ref="L92">IFERROR(J92*INDEX('PORTIFÓLIO'!$S$4:$S$433,MATCH($C92,'PORTIFÓLIO'!$C$4:$C$433,0)),"")</f>
        <v/>
      </c>
      <c r="M92" s="220"/>
      <c r="N92" s="220"/>
      <c r="O92" s="220"/>
      <c r="P92" s="220"/>
      <c r="Q92" s="220"/>
      <c r="R92" s="220"/>
      <c r="S92" s="220"/>
      <c r="T92" s="220"/>
      <c r="U92" s="220"/>
      <c r="V92" s="220"/>
      <c r="W92" s="220"/>
    </row>
    <row r="93" ht="15.75" customHeight="1" outlineLevel="1">
      <c r="A93" s="211"/>
      <c r="B93" s="212"/>
      <c r="C93" s="213"/>
      <c r="D93" s="214" t="str">
        <f>IFERROR(VLOOKUP($C93,'PORTIFÓLIO'!C:V,2,0),"")</f>
        <v/>
      </c>
      <c r="E93" s="211" t="str">
        <f>IFERROR(VLOOKUP($C93,'PORTIFÓLIO'!C:V,3,0),"")</f>
        <v/>
      </c>
      <c r="F93" s="211" t="str">
        <f>IFERROR(VLOOKUP($C93,'PORTIFÓLIO'!C:V,4,0),"")</f>
        <v/>
      </c>
      <c r="G93" s="215" t="str">
        <f>IFERROR(VLOOKUP($C93,'PORTIFÓLIO'!C:V,5,0),"")</f>
        <v/>
      </c>
      <c r="H93" s="254" t="str">
        <f t="array" ref="H93">IFERROR(INDEX('PORTIFÓLIO'!$H$4:$H$433,MATCH($C93,'PORTIFÓLIO'!$C$4:$C$433,0)),"")</f>
        <v/>
      </c>
      <c r="I93" s="256"/>
      <c r="J93" s="218">
        <f t="shared" si="10"/>
        <v>0</v>
      </c>
      <c r="K93" s="219" t="str">
        <f t="array" ref="K93">IFERROR(I93*INDEX('PORTIFÓLIO'!$S$4:$S$433,MATCH($C93,'PORTIFÓLIO'!$C$4:$C$433,0)),"")</f>
        <v/>
      </c>
      <c r="L93" s="219" t="str">
        <f t="array" ref="L93">IFERROR(J93*INDEX('PORTIFÓLIO'!$S$4:$S$433,MATCH($C93,'PORTIFÓLIO'!$C$4:$C$433,0)),"")</f>
        <v/>
      </c>
      <c r="M93" s="220"/>
      <c r="N93" s="220"/>
      <c r="O93" s="220"/>
      <c r="P93" s="220"/>
      <c r="Q93" s="220"/>
      <c r="R93" s="220"/>
      <c r="S93" s="220"/>
      <c r="T93" s="220"/>
      <c r="U93" s="220"/>
      <c r="V93" s="220"/>
      <c r="W93" s="220"/>
    </row>
    <row r="94" ht="15.75" customHeight="1" outlineLevel="1">
      <c r="A94" s="211"/>
      <c r="B94" s="212"/>
      <c r="C94" s="213"/>
      <c r="D94" s="214" t="str">
        <f>IFERROR(VLOOKUP($C94,'PORTIFÓLIO'!C:V,2,0),"")</f>
        <v/>
      </c>
      <c r="E94" s="211" t="str">
        <f>IFERROR(VLOOKUP($C94,'PORTIFÓLIO'!C:V,3,0),"")</f>
        <v/>
      </c>
      <c r="F94" s="211" t="str">
        <f>IFERROR(VLOOKUP($C94,'PORTIFÓLIO'!C:V,4,0),"")</f>
        <v/>
      </c>
      <c r="G94" s="215" t="str">
        <f>IFERROR(VLOOKUP($C94,'PORTIFÓLIO'!C:V,5,0),"")</f>
        <v/>
      </c>
      <c r="H94" s="254" t="str">
        <f t="array" ref="H94">IFERROR(INDEX('PORTIFÓLIO'!$H$4:$H$433,MATCH($C94,'PORTIFÓLIO'!$C$4:$C$433,0)),"")</f>
        <v/>
      </c>
      <c r="I94" s="256"/>
      <c r="J94" s="218">
        <f t="shared" si="10"/>
        <v>0</v>
      </c>
      <c r="K94" s="219" t="str">
        <f t="array" ref="K94">IFERROR(I94*INDEX('PORTIFÓLIO'!$S$4:$S$433,MATCH($C94,'PORTIFÓLIO'!$C$4:$C$433,0)),"")</f>
        <v/>
      </c>
      <c r="L94" s="219" t="str">
        <f t="array" ref="L94">IFERROR(J94*INDEX('PORTIFÓLIO'!$S$4:$S$433,MATCH($C94,'PORTIFÓLIO'!$C$4:$C$433,0)),"")</f>
        <v/>
      </c>
      <c r="M94" s="220"/>
      <c r="N94" s="220"/>
      <c r="O94" s="220"/>
      <c r="P94" s="220"/>
      <c r="Q94" s="220"/>
      <c r="R94" s="220"/>
      <c r="S94" s="220"/>
      <c r="T94" s="220"/>
      <c r="U94" s="220"/>
      <c r="V94" s="220"/>
      <c r="W94" s="220"/>
    </row>
    <row r="95" ht="15.75" customHeight="1" outlineLevel="1">
      <c r="A95" s="211"/>
      <c r="B95" s="212"/>
      <c r="C95" s="213"/>
      <c r="D95" s="214" t="str">
        <f>IFERROR(VLOOKUP($C95,'PORTIFÓLIO'!C:V,2,0),"")</f>
        <v/>
      </c>
      <c r="E95" s="211" t="str">
        <f>IFERROR(VLOOKUP($C95,'PORTIFÓLIO'!C:V,3,0),"")</f>
        <v/>
      </c>
      <c r="F95" s="211" t="str">
        <f>IFERROR(VLOOKUP($C95,'PORTIFÓLIO'!C:V,4,0),"")</f>
        <v/>
      </c>
      <c r="G95" s="215" t="str">
        <f>IFERROR(VLOOKUP($C95,'PORTIFÓLIO'!C:V,5,0),"")</f>
        <v/>
      </c>
      <c r="H95" s="254" t="str">
        <f t="array" ref="H95">IFERROR(INDEX('PORTIFÓLIO'!$H$4:$H$433,MATCH($C95,'PORTIFÓLIO'!$C$4:$C$433,0)),"")</f>
        <v/>
      </c>
      <c r="I95" s="256"/>
      <c r="J95" s="218">
        <f t="shared" si="10"/>
        <v>0</v>
      </c>
      <c r="K95" s="219" t="str">
        <f t="array" ref="K95">IFERROR(I95*INDEX('PORTIFÓLIO'!$S$4:$S$433,MATCH($C95,'PORTIFÓLIO'!$C$4:$C$433,0)),"")</f>
        <v/>
      </c>
      <c r="L95" s="219" t="str">
        <f t="array" ref="L95">IFERROR(J95*INDEX('PORTIFÓLIO'!$S$4:$S$433,MATCH($C95,'PORTIFÓLIO'!$C$4:$C$433,0)),"")</f>
        <v/>
      </c>
      <c r="M95" s="220"/>
      <c r="N95" s="220"/>
      <c r="O95" s="220"/>
      <c r="P95" s="220"/>
      <c r="Q95" s="220"/>
      <c r="R95" s="220"/>
      <c r="S95" s="220"/>
      <c r="T95" s="220"/>
      <c r="U95" s="220"/>
      <c r="V95" s="220"/>
      <c r="W95" s="220"/>
    </row>
    <row r="96" ht="15.75" customHeight="1" outlineLevel="1">
      <c r="A96" s="211"/>
      <c r="B96" s="212"/>
      <c r="C96" s="213"/>
      <c r="D96" s="214" t="str">
        <f>IFERROR(VLOOKUP($C96,'PORTIFÓLIO'!C:V,2,0),"")</f>
        <v/>
      </c>
      <c r="E96" s="211" t="str">
        <f>IFERROR(VLOOKUP($C96,'PORTIFÓLIO'!C:V,3,0),"")</f>
        <v/>
      </c>
      <c r="F96" s="211" t="str">
        <f>IFERROR(VLOOKUP($C96,'PORTIFÓLIO'!C:V,4,0),"")</f>
        <v/>
      </c>
      <c r="G96" s="215" t="str">
        <f>IFERROR(VLOOKUP($C96,'PORTIFÓLIO'!C:V,5,0),"")</f>
        <v/>
      </c>
      <c r="H96" s="254" t="str">
        <f t="array" ref="H96">IFERROR(INDEX('PORTIFÓLIO'!$H$4:$H$433,MATCH($C96,'PORTIFÓLIO'!$C$4:$C$433,0)),"")</f>
        <v/>
      </c>
      <c r="I96" s="256"/>
      <c r="J96" s="218">
        <f t="shared" si="10"/>
        <v>0</v>
      </c>
      <c r="K96" s="219" t="str">
        <f t="array" ref="K96">IFERROR(I96*INDEX('PORTIFÓLIO'!$S$4:$S$433,MATCH($C96,'PORTIFÓLIO'!$C$4:$C$433,0)),"")</f>
        <v/>
      </c>
      <c r="L96" s="219" t="str">
        <f t="array" ref="L96">IFERROR(J96*INDEX('PORTIFÓLIO'!$S$4:$S$433,MATCH($C96,'PORTIFÓLIO'!$C$4:$C$433,0)),"")</f>
        <v/>
      </c>
      <c r="M96" s="220"/>
      <c r="N96" s="220"/>
      <c r="O96" s="220"/>
      <c r="P96" s="220"/>
      <c r="Q96" s="220"/>
      <c r="R96" s="220"/>
      <c r="S96" s="220"/>
      <c r="T96" s="220"/>
      <c r="U96" s="220"/>
      <c r="V96" s="220"/>
      <c r="W96" s="220"/>
    </row>
    <row r="97" ht="15.75" customHeight="1">
      <c r="A97" s="229" t="s">
        <v>1189</v>
      </c>
      <c r="B97" s="230"/>
      <c r="C97" s="231"/>
      <c r="D97" s="232"/>
      <c r="E97" s="231"/>
      <c r="F97" s="231"/>
      <c r="G97" s="233"/>
      <c r="H97" s="233"/>
      <c r="I97" s="258"/>
      <c r="J97" s="236"/>
      <c r="K97" s="237">
        <f t="shared" ref="K97:L97" si="11">SUBTOTAL(9,K98:K111)</f>
        <v>184.2679845</v>
      </c>
      <c r="L97" s="237">
        <f t="shared" si="11"/>
        <v>22112.15814</v>
      </c>
      <c r="M97" s="220"/>
      <c r="N97" s="220"/>
      <c r="O97" s="220"/>
      <c r="P97" s="220"/>
      <c r="Q97" s="220"/>
      <c r="R97" s="220"/>
      <c r="S97" s="220"/>
      <c r="T97" s="220"/>
      <c r="U97" s="220"/>
      <c r="V97" s="220"/>
      <c r="W97" s="220"/>
    </row>
    <row r="98" ht="15.75" customHeight="1" outlineLevel="1">
      <c r="A98" s="213"/>
      <c r="B98" s="212" t="s">
        <v>0</v>
      </c>
      <c r="C98" s="213" t="s">
        <v>443</v>
      </c>
      <c r="D98" s="214" t="str">
        <f>IFERROR(VLOOKUP($C98,'PORTIFÓLIO'!C:V,2,0),"")</f>
        <v>MEFENTRIFLUCONAZOL + PIRACLOSTROBINA +
 FLUXAPIROXADE</v>
      </c>
      <c r="E98" s="211" t="str">
        <f>IFERROR(VLOOKUP($C98,'PORTIFÓLIO'!C:V,3,0),"")</f>
        <v>133,3 + 177,8 + 88,9</v>
      </c>
      <c r="F98" s="211" t="str">
        <f>IFERROR(VLOOKUP($C98,'PORTIFÓLIO'!C:V,4,0),"")</f>
        <v>L</v>
      </c>
      <c r="G98" s="225" t="str">
        <f>IFERROR(VLOOKUP($C98,'PORTIFÓLIO'!C:V,5,0),"")</f>
        <v>📄 Ver bula</v>
      </c>
      <c r="H98" s="254">
        <f t="array" ref="H98">IFERROR(INDEX('PORTIFÓLIO'!$H$4:$H$433,MATCH($C98,'PORTIFÓLIO'!$C$4:$C$433,0)),"")</f>
        <v>0.7</v>
      </c>
      <c r="I98" s="255">
        <v>0.7</v>
      </c>
      <c r="J98" s="218">
        <f t="shared" ref="J98:J112" si="12">I98*$B$2</f>
        <v>84</v>
      </c>
      <c r="K98" s="219">
        <f t="array" ref="K98">IFERROR(I98*INDEX('PORTIFÓLIO'!$S$4:$S$433,MATCH($C98,'PORTIFÓLIO'!$C$4:$C$433,0)),"")</f>
        <v>119.38752</v>
      </c>
      <c r="L98" s="219">
        <f t="array" ref="L98">IFERROR(J98*INDEX('PORTIFÓLIO'!$S$4:$S$433,MATCH($C98,'PORTIFÓLIO'!$C$4:$C$433,0)),"")</f>
        <v>14326.5024</v>
      </c>
      <c r="M98" s="220"/>
      <c r="N98" s="220"/>
      <c r="O98" s="220"/>
      <c r="P98" s="220"/>
      <c r="Q98" s="220"/>
      <c r="R98" s="220"/>
      <c r="S98" s="220"/>
      <c r="T98" s="220"/>
      <c r="U98" s="220"/>
      <c r="V98" s="220"/>
      <c r="W98" s="220"/>
    </row>
    <row r="99" ht="15.75" customHeight="1" outlineLevel="1">
      <c r="A99" s="211"/>
      <c r="B99" s="212"/>
      <c r="C99" s="213"/>
      <c r="D99" s="214" t="str">
        <f>IFERROR(VLOOKUP($C99,'PORTIFÓLIO'!C:V,2,0),"")</f>
        <v/>
      </c>
      <c r="E99" s="211" t="str">
        <f>IFERROR(VLOOKUP($C99,'PORTIFÓLIO'!C:V,3,0),"")</f>
        <v/>
      </c>
      <c r="F99" s="211" t="str">
        <f>IFERROR(VLOOKUP($C99,'PORTIFÓLIO'!C:V,4,0),"")</f>
        <v/>
      </c>
      <c r="G99" s="215" t="str">
        <f>IFERROR(VLOOKUP($C99,'PORTIFÓLIO'!C:V,5,0),"")</f>
        <v/>
      </c>
      <c r="H99" s="254" t="str">
        <f t="array" ref="H99">IFERROR(INDEX('PORTIFÓLIO'!$H$4:$H$433,MATCH($C99,'PORTIFÓLIO'!$C$4:$C$433,0)),"")</f>
        <v/>
      </c>
      <c r="I99" s="255"/>
      <c r="J99" s="218">
        <f t="shared" si="12"/>
        <v>0</v>
      </c>
      <c r="K99" s="219" t="str">
        <f t="array" ref="K99">IFERROR(I99*INDEX('PORTIFÓLIO'!$S$4:$S$433,MATCH($C99,'PORTIFÓLIO'!$C$4:$C$433,0)),"")</f>
        <v/>
      </c>
      <c r="L99" s="219" t="str">
        <f t="array" ref="L99">IFERROR(J99*INDEX('PORTIFÓLIO'!$S$4:$S$433,MATCH($C99,'PORTIFÓLIO'!$C$4:$C$433,0)),"")</f>
        <v/>
      </c>
      <c r="M99" s="220"/>
      <c r="N99" s="220"/>
      <c r="O99" s="220"/>
      <c r="P99" s="220"/>
      <c r="Q99" s="220"/>
      <c r="R99" s="220"/>
      <c r="S99" s="220"/>
      <c r="T99" s="220"/>
      <c r="U99" s="220"/>
      <c r="V99" s="220"/>
      <c r="W99" s="220"/>
    </row>
    <row r="100" ht="15.75" customHeight="1" outlineLevel="1">
      <c r="A100" s="211"/>
      <c r="B100" s="212" t="s">
        <v>2</v>
      </c>
      <c r="C100" s="213" t="s">
        <v>829</v>
      </c>
      <c r="D100" s="214" t="str">
        <f>IFERROR(VLOOKUP($C100,'PORTIFÓLIO'!C:V,2,0),"")</f>
        <v>BIFENTRINA</v>
      </c>
      <c r="E100" s="211">
        <f>IFERROR(VLOOKUP($C100,'PORTIFÓLIO'!C:V,3,0),"")</f>
        <v>400</v>
      </c>
      <c r="F100" s="211" t="str">
        <f>IFERROR(VLOOKUP($C100,'PORTIFÓLIO'!C:V,4,0),"")</f>
        <v>L</v>
      </c>
      <c r="G100" s="225" t="str">
        <f>IFERROR(VLOOKUP($C100,'PORTIFÓLIO'!C:V,5,0),"")</f>
        <v>📄 Ver bula</v>
      </c>
      <c r="H100" s="254">
        <f t="array" ref="H100">IFERROR(INDEX('PORTIFÓLIO'!$H$4:$H$433,MATCH($C100,'PORTIFÓLIO'!$C$4:$C$433,0)),"")</f>
        <v>0.05</v>
      </c>
      <c r="I100" s="255">
        <v>0.05</v>
      </c>
      <c r="J100" s="218">
        <f t="shared" si="12"/>
        <v>6</v>
      </c>
      <c r="K100" s="219">
        <f t="array" ref="K100">IFERROR(I100*INDEX('PORTIFÓLIO'!$S$4:$S$433,MATCH($C100,'PORTIFÓLIO'!$C$4:$C$433,0)),"")</f>
        <v>3.076419</v>
      </c>
      <c r="L100" s="219">
        <f t="array" ref="L100">IFERROR(J100*INDEX('PORTIFÓLIO'!$S$4:$S$433,MATCH($C100,'PORTIFÓLIO'!$C$4:$C$433,0)),"")</f>
        <v>369.17028</v>
      </c>
      <c r="M100" s="220"/>
      <c r="N100" s="220"/>
      <c r="O100" s="220"/>
      <c r="P100" s="220"/>
      <c r="Q100" s="220"/>
      <c r="R100" s="220"/>
      <c r="S100" s="220"/>
      <c r="T100" s="220"/>
      <c r="U100" s="220"/>
      <c r="V100" s="220"/>
      <c r="W100" s="220"/>
    </row>
    <row r="101" ht="15.75" customHeight="1" outlineLevel="1">
      <c r="A101" s="211"/>
      <c r="B101" s="212" t="s">
        <v>2</v>
      </c>
      <c r="C101" s="213" t="s">
        <v>842</v>
      </c>
      <c r="D101" s="214" t="str">
        <f>IFERROR(VLOOKUP($C101,'PORTIFÓLIO'!C:V,2,0),"")</f>
        <v>IMIDACLOPRIDO</v>
      </c>
      <c r="E101" s="211">
        <f>IFERROR(VLOOKUP($C101,'PORTIFÓLIO'!C:V,3,0),"")</f>
        <v>480</v>
      </c>
      <c r="F101" s="211" t="str">
        <f>IFERROR(VLOOKUP($C101,'PORTIFÓLIO'!C:V,4,0),"")</f>
        <v>L</v>
      </c>
      <c r="G101" s="225" t="str">
        <f>IFERROR(VLOOKUP($C101,'PORTIFÓLIO'!C:V,5,0),"")</f>
        <v>📄 Ver bula</v>
      </c>
      <c r="H101" s="254">
        <f t="array" ref="H101">IFERROR(INDEX('PORTIFÓLIO'!$H$4:$H$433,MATCH($C101,'PORTIFÓLIO'!$C$4:$C$433,0)),"")</f>
        <v>0.25</v>
      </c>
      <c r="I101" s="255">
        <v>0.25</v>
      </c>
      <c r="J101" s="218">
        <f t="shared" si="12"/>
        <v>30</v>
      </c>
      <c r="K101" s="219">
        <f t="array" ref="K101">IFERROR(I101*INDEX('PORTIFÓLIO'!$S$4:$S$433,MATCH($C101,'PORTIFÓLIO'!$C$4:$C$433,0)),"")</f>
        <v>14.0554125</v>
      </c>
      <c r="L101" s="219">
        <f t="array" ref="L101">IFERROR(J101*INDEX('PORTIFÓLIO'!$S$4:$S$433,MATCH($C101,'PORTIFÓLIO'!$C$4:$C$433,0)),"")</f>
        <v>1686.6495</v>
      </c>
      <c r="M101" s="220"/>
      <c r="N101" s="220"/>
      <c r="O101" s="220"/>
      <c r="P101" s="220"/>
      <c r="Q101" s="220"/>
      <c r="R101" s="220"/>
      <c r="S101" s="220"/>
      <c r="T101" s="220"/>
      <c r="U101" s="220"/>
      <c r="V101" s="220"/>
      <c r="W101" s="220"/>
    </row>
    <row r="102" ht="15.75" customHeight="1" outlineLevel="1">
      <c r="A102" s="211"/>
      <c r="B102" s="212" t="s">
        <v>2</v>
      </c>
      <c r="C102" s="213" t="s">
        <v>786</v>
      </c>
      <c r="D102" s="214" t="str">
        <f>IFERROR(VLOOKUP($C102,'PORTIFÓLIO'!C:V,2,0),"")</f>
        <v>DIFLUBENZUROM</v>
      </c>
      <c r="E102" s="211">
        <f>IFERROR(VLOOKUP($C102,'PORTIFÓLIO'!C:V,3,0),"")</f>
        <v>480</v>
      </c>
      <c r="F102" s="211" t="str">
        <f>IFERROR(VLOOKUP($C102,'PORTIFÓLIO'!C:V,4,0),"")</f>
        <v>KG</v>
      </c>
      <c r="G102" s="225" t="str">
        <f>IFERROR(VLOOKUP($C102,'PORTIFÓLIO'!C:V,5,0),"")</f>
        <v>📄 Ver bula</v>
      </c>
      <c r="H102" s="254">
        <f t="array" ref="H102">IFERROR(INDEX('PORTIFÓLIO'!$H$4:$H$433,MATCH($C102,'PORTIFÓLIO'!$C$4:$C$433,0)),"")</f>
        <v>0.04</v>
      </c>
      <c r="I102" s="255">
        <v>0.05</v>
      </c>
      <c r="J102" s="218">
        <f t="shared" si="12"/>
        <v>6</v>
      </c>
      <c r="K102" s="219">
        <f t="array" ref="K102">IFERROR(I102*INDEX('PORTIFÓLIO'!$S$4:$S$433,MATCH($C102,'PORTIFÓLIO'!$C$4:$C$433,0)),"")</f>
        <v>2.927979</v>
      </c>
      <c r="L102" s="219">
        <f t="array" ref="L102">IFERROR(J102*INDEX('PORTIFÓLIO'!$S$4:$S$433,MATCH($C102,'PORTIFÓLIO'!$C$4:$C$433,0)),"")</f>
        <v>351.35748</v>
      </c>
      <c r="M102" s="220"/>
      <c r="N102" s="220"/>
      <c r="O102" s="220"/>
      <c r="P102" s="220"/>
      <c r="Q102" s="220"/>
      <c r="R102" s="220"/>
      <c r="S102" s="220"/>
      <c r="T102" s="220"/>
      <c r="U102" s="220"/>
      <c r="V102" s="220"/>
      <c r="W102" s="220"/>
    </row>
    <row r="103" ht="15.75" customHeight="1" outlineLevel="1">
      <c r="A103" s="211"/>
      <c r="B103" s="212" t="s">
        <v>6</v>
      </c>
      <c r="C103" s="213" t="s">
        <v>341</v>
      </c>
      <c r="D103" s="214" t="str">
        <f>IFERROR(VLOOKUP($C103,'PORTIFÓLIO'!C:V,2,0),"")</f>
        <v>ESTER METILICO DE SOJA</v>
      </c>
      <c r="E103" s="211">
        <f>IFERROR(VLOOKUP($C103,'PORTIFÓLIO'!C:V,3,0),"")</f>
        <v>765</v>
      </c>
      <c r="F103" s="211" t="str">
        <f>IFERROR(VLOOKUP($C103,'PORTIFÓLIO'!C:V,4,0),"")</f>
        <v>L</v>
      </c>
      <c r="G103" s="225" t="str">
        <f>IFERROR(VLOOKUP($C103,'PORTIFÓLIO'!C:V,5,0),"")</f>
        <v>📄 Ver bula</v>
      </c>
      <c r="H103" s="254">
        <f t="array" ref="H103">IFERROR(INDEX('PORTIFÓLIO'!$H$4:$H$433,MATCH($C103,'PORTIFÓLIO'!$C$4:$C$433,0)),"")</f>
        <v>0.2</v>
      </c>
      <c r="I103" s="255">
        <v>0.2</v>
      </c>
      <c r="J103" s="218">
        <f t="shared" si="12"/>
        <v>24</v>
      </c>
      <c r="K103" s="219">
        <f t="array" ref="K103">IFERROR(I103*INDEX('PORTIFÓLIO'!$S$4:$S$433,MATCH($C103,'PORTIFÓLIO'!$C$4:$C$433,0)),"")</f>
        <v>3.298974</v>
      </c>
      <c r="L103" s="219">
        <f t="array" ref="L103">IFERROR(J103*INDEX('PORTIFÓLIO'!$S$4:$S$433,MATCH($C103,'PORTIFÓLIO'!$C$4:$C$433,0)),"")</f>
        <v>395.87688</v>
      </c>
      <c r="M103" s="220"/>
      <c r="N103" s="220"/>
      <c r="O103" s="220"/>
      <c r="P103" s="220"/>
      <c r="Q103" s="220"/>
      <c r="R103" s="220"/>
      <c r="S103" s="220"/>
      <c r="T103" s="220"/>
      <c r="U103" s="220"/>
      <c r="V103" s="220"/>
      <c r="W103" s="220"/>
    </row>
    <row r="104" ht="15.75" customHeight="1" outlineLevel="1">
      <c r="A104" s="211"/>
      <c r="B104" s="212" t="s">
        <v>0</v>
      </c>
      <c r="C104" s="213" t="s">
        <v>484</v>
      </c>
      <c r="D104" s="214" t="str">
        <f>IFERROR(VLOOKUP($C104,'PORTIFÓLIO'!C:V,2,0),"")</f>
        <v>MANCOZEBE</v>
      </c>
      <c r="E104" s="211">
        <f>IFERROR(VLOOKUP($C104,'PORTIFÓLIO'!C:V,3,0),"")</f>
        <v>750</v>
      </c>
      <c r="F104" s="211" t="str">
        <f>IFERROR(VLOOKUP($C104,'PORTIFÓLIO'!C:V,4,0),"")</f>
        <v>L</v>
      </c>
      <c r="G104" s="225" t="str">
        <f>IFERROR(VLOOKUP($C104,'PORTIFÓLIO'!C:V,5,0),"")</f>
        <v>📄 Ver bula</v>
      </c>
      <c r="H104" s="254">
        <f t="array" ref="H104">IFERROR(INDEX('PORTIFÓLIO'!$H$4:$H$433,MATCH($C104,'PORTIFÓLIO'!$C$4:$C$433,0)),"")</f>
        <v>1.5</v>
      </c>
      <c r="I104" s="255">
        <v>1.5</v>
      </c>
      <c r="J104" s="218">
        <f t="shared" si="12"/>
        <v>180</v>
      </c>
      <c r="K104" s="219">
        <f t="array" ref="K104">IFERROR(I104*INDEX('PORTIFÓLIO'!$S$4:$S$433,MATCH($C104,'PORTIFÓLIO'!$C$4:$C$433,0)),"")</f>
        <v>41.52168</v>
      </c>
      <c r="L104" s="219">
        <f t="array" ref="L104">IFERROR(J104*INDEX('PORTIFÓLIO'!$S$4:$S$433,MATCH($C104,'PORTIFÓLIO'!$C$4:$C$433,0)),"")</f>
        <v>4982.6016</v>
      </c>
      <c r="M104" s="220"/>
      <c r="N104" s="220"/>
      <c r="O104" s="220"/>
      <c r="P104" s="220"/>
      <c r="Q104" s="220"/>
      <c r="R104" s="220"/>
      <c r="S104" s="220"/>
      <c r="T104" s="220"/>
      <c r="U104" s="220"/>
      <c r="V104" s="220"/>
      <c r="W104" s="220"/>
    </row>
    <row r="105" ht="15.75" customHeight="1" outlineLevel="1">
      <c r="A105" s="211"/>
      <c r="B105" s="212"/>
      <c r="C105" s="213"/>
      <c r="D105" s="214" t="str">
        <f>IFERROR(VLOOKUP($C105,'PORTIFÓLIO'!C:V,2,0),"")</f>
        <v/>
      </c>
      <c r="E105" s="211" t="str">
        <f>IFERROR(VLOOKUP($C105,'PORTIFÓLIO'!C:V,3,0),"")</f>
        <v/>
      </c>
      <c r="F105" s="211" t="str">
        <f>IFERROR(VLOOKUP($C105,'PORTIFÓLIO'!C:V,4,0),"")</f>
        <v/>
      </c>
      <c r="G105" s="215" t="str">
        <f>IFERROR(VLOOKUP($C105,'PORTIFÓLIO'!C:V,5,0),"")</f>
        <v/>
      </c>
      <c r="H105" s="254" t="str">
        <f t="array" ref="H105">IFERROR(INDEX('PORTIFÓLIO'!$H$4:$H$433,MATCH($C105,'PORTIFÓLIO'!$C$4:$C$433,0)),"")</f>
        <v/>
      </c>
      <c r="I105" s="256"/>
      <c r="J105" s="218">
        <f t="shared" si="12"/>
        <v>0</v>
      </c>
      <c r="K105" s="219" t="str">
        <f t="array" ref="K105">IFERROR(I105*INDEX('PORTIFÓLIO'!$S$4:$S$433,MATCH($C105,'PORTIFÓLIO'!$C$4:$C$433,0)),"")</f>
        <v/>
      </c>
      <c r="L105" s="219" t="str">
        <f t="array" ref="L105">IFERROR(J105*INDEX('PORTIFÓLIO'!$S$4:$S$433,MATCH($C105,'PORTIFÓLIO'!$C$4:$C$433,0)),"")</f>
        <v/>
      </c>
      <c r="M105" s="220"/>
      <c r="N105" s="220"/>
      <c r="O105" s="220"/>
      <c r="P105" s="220"/>
      <c r="Q105" s="220"/>
      <c r="R105" s="220"/>
      <c r="S105" s="220"/>
      <c r="T105" s="220"/>
      <c r="U105" s="220"/>
      <c r="V105" s="220"/>
      <c r="W105" s="220"/>
    </row>
    <row r="106" ht="15.75" customHeight="1" outlineLevel="1">
      <c r="A106" s="211"/>
      <c r="B106" s="212"/>
      <c r="C106" s="213"/>
      <c r="D106" s="214" t="str">
        <f>IFERROR(VLOOKUP($C106,'PORTIFÓLIO'!C:V,2,0),"")</f>
        <v/>
      </c>
      <c r="E106" s="211" t="str">
        <f>IFERROR(VLOOKUP($C106,'PORTIFÓLIO'!C:V,3,0),"")</f>
        <v/>
      </c>
      <c r="F106" s="211" t="str">
        <f>IFERROR(VLOOKUP($C106,'PORTIFÓLIO'!C:V,4,0),"")</f>
        <v/>
      </c>
      <c r="G106" s="215" t="str">
        <f>IFERROR(VLOOKUP($C106,'PORTIFÓLIO'!C:V,5,0),"")</f>
        <v/>
      </c>
      <c r="H106" s="254" t="str">
        <f t="array" ref="H106">IFERROR(INDEX('PORTIFÓLIO'!$H$4:$H$433,MATCH($C106,'PORTIFÓLIO'!$C$4:$C$433,0)),"")</f>
        <v/>
      </c>
      <c r="I106" s="255"/>
      <c r="J106" s="218">
        <f t="shared" si="12"/>
        <v>0</v>
      </c>
      <c r="K106" s="219" t="str">
        <f t="array" ref="K106">IFERROR(I106*INDEX('PORTIFÓLIO'!$S$4:$S$433,MATCH($C106,'PORTIFÓLIO'!$C$4:$C$433,0)),"")</f>
        <v/>
      </c>
      <c r="L106" s="219" t="str">
        <f t="array" ref="L106">IFERROR(J106*INDEX('PORTIFÓLIO'!$S$4:$S$433,MATCH($C106,'PORTIFÓLIO'!$C$4:$C$433,0)),"")</f>
        <v/>
      </c>
      <c r="M106" s="220"/>
      <c r="N106" s="220"/>
      <c r="O106" s="220"/>
      <c r="P106" s="220"/>
      <c r="Q106" s="220"/>
      <c r="R106" s="220"/>
      <c r="S106" s="220"/>
      <c r="T106" s="220"/>
      <c r="U106" s="220"/>
      <c r="V106" s="220"/>
      <c r="W106" s="220"/>
    </row>
    <row r="107" ht="15.75" customHeight="1" outlineLevel="1">
      <c r="A107" s="211"/>
      <c r="B107" s="212"/>
      <c r="C107" s="213"/>
      <c r="D107" s="214" t="str">
        <f>IFERROR(VLOOKUP($C107,'PORTIFÓLIO'!C:V,2,0),"")</f>
        <v/>
      </c>
      <c r="E107" s="211" t="str">
        <f>IFERROR(VLOOKUP($C107,'PORTIFÓLIO'!C:V,3,0),"")</f>
        <v/>
      </c>
      <c r="F107" s="211" t="str">
        <f>IFERROR(VLOOKUP($C107,'PORTIFÓLIO'!C:V,4,0),"")</f>
        <v/>
      </c>
      <c r="G107" s="215" t="str">
        <f>IFERROR(VLOOKUP($C107,'PORTIFÓLIO'!C:V,5,0),"")</f>
        <v/>
      </c>
      <c r="H107" s="254" t="str">
        <f t="array" ref="H107">IFERROR(INDEX('PORTIFÓLIO'!$H$4:$H$433,MATCH($C107,'PORTIFÓLIO'!$C$4:$C$433,0)),"")</f>
        <v/>
      </c>
      <c r="I107" s="256"/>
      <c r="J107" s="218">
        <f t="shared" si="12"/>
        <v>0</v>
      </c>
      <c r="K107" s="219" t="str">
        <f t="array" ref="K107">IFERROR(I107*INDEX('PORTIFÓLIO'!$S$4:$S$433,MATCH($C107,'PORTIFÓLIO'!$C$4:$C$433,0)),"")</f>
        <v/>
      </c>
      <c r="L107" s="219" t="str">
        <f t="array" ref="L107">IFERROR(J107*INDEX('PORTIFÓLIO'!$S$4:$S$433,MATCH($C107,'PORTIFÓLIO'!$C$4:$C$433,0)),"")</f>
        <v/>
      </c>
      <c r="M107" s="220"/>
      <c r="N107" s="220"/>
      <c r="O107" s="220"/>
      <c r="P107" s="220"/>
      <c r="Q107" s="220"/>
      <c r="R107" s="220"/>
      <c r="S107" s="220"/>
      <c r="T107" s="220"/>
      <c r="U107" s="220"/>
      <c r="V107" s="220"/>
      <c r="W107" s="220"/>
    </row>
    <row r="108" ht="15.75" customHeight="1" outlineLevel="1">
      <c r="A108" s="211"/>
      <c r="B108" s="212"/>
      <c r="C108" s="213"/>
      <c r="D108" s="214" t="str">
        <f>IFERROR(VLOOKUP($C108,'PORTIFÓLIO'!C:V,2,0),"")</f>
        <v/>
      </c>
      <c r="E108" s="211" t="str">
        <f>IFERROR(VLOOKUP($C108,'PORTIFÓLIO'!C:V,3,0),"")</f>
        <v/>
      </c>
      <c r="F108" s="211" t="str">
        <f>IFERROR(VLOOKUP($C108,'PORTIFÓLIO'!C:V,4,0),"")</f>
        <v/>
      </c>
      <c r="G108" s="215" t="str">
        <f>IFERROR(VLOOKUP($C108,'PORTIFÓLIO'!C:V,5,0),"")</f>
        <v/>
      </c>
      <c r="H108" s="254" t="str">
        <f t="array" ref="H108">IFERROR(INDEX('PORTIFÓLIO'!$H$4:$H$433,MATCH($C108,'PORTIFÓLIO'!$C$4:$C$433,0)),"")</f>
        <v/>
      </c>
      <c r="I108" s="256"/>
      <c r="J108" s="218">
        <f t="shared" si="12"/>
        <v>0</v>
      </c>
      <c r="K108" s="219" t="str">
        <f t="array" ref="K108">IFERROR(I108*INDEX('PORTIFÓLIO'!$S$4:$S$433,MATCH($C108,'PORTIFÓLIO'!$C$4:$C$433,0)),"")</f>
        <v/>
      </c>
      <c r="L108" s="219" t="str">
        <f t="array" ref="L108">IFERROR(J108*INDEX('PORTIFÓLIO'!$S$4:$S$433,MATCH($C108,'PORTIFÓLIO'!$C$4:$C$433,0)),"")</f>
        <v/>
      </c>
      <c r="M108" s="220"/>
      <c r="N108" s="220"/>
      <c r="O108" s="220"/>
      <c r="P108" s="220"/>
      <c r="Q108" s="220"/>
      <c r="R108" s="220"/>
      <c r="S108" s="220"/>
      <c r="T108" s="220"/>
      <c r="U108" s="220"/>
      <c r="V108" s="220"/>
      <c r="W108" s="220"/>
    </row>
    <row r="109" ht="15.75" customHeight="1" outlineLevel="1">
      <c r="A109" s="211"/>
      <c r="B109" s="212"/>
      <c r="C109" s="213"/>
      <c r="D109" s="214" t="str">
        <f>IFERROR(VLOOKUP($C109,'PORTIFÓLIO'!C:V,2,0),"")</f>
        <v/>
      </c>
      <c r="E109" s="211" t="str">
        <f>IFERROR(VLOOKUP($C109,'PORTIFÓLIO'!C:V,3,0),"")</f>
        <v/>
      </c>
      <c r="F109" s="211" t="str">
        <f>IFERROR(VLOOKUP($C109,'PORTIFÓLIO'!C:V,4,0),"")</f>
        <v/>
      </c>
      <c r="G109" s="215" t="str">
        <f>IFERROR(VLOOKUP($C109,'PORTIFÓLIO'!C:V,5,0),"")</f>
        <v/>
      </c>
      <c r="H109" s="254" t="str">
        <f t="array" ref="H109">IFERROR(INDEX('PORTIFÓLIO'!$H$4:$H$433,MATCH($C109,'PORTIFÓLIO'!$C$4:$C$433,0)),"")</f>
        <v/>
      </c>
      <c r="I109" s="256"/>
      <c r="J109" s="218">
        <f t="shared" si="12"/>
        <v>0</v>
      </c>
      <c r="K109" s="219" t="str">
        <f t="array" ref="K109">IFERROR(I109*INDEX('PORTIFÓLIO'!$S$4:$S$433,MATCH($C109,'PORTIFÓLIO'!$C$4:$C$433,0)),"")</f>
        <v/>
      </c>
      <c r="L109" s="219" t="str">
        <f t="array" ref="L109">IFERROR(J109*INDEX('PORTIFÓLIO'!$S$4:$S$433,MATCH($C109,'PORTIFÓLIO'!$C$4:$C$433,0)),"")</f>
        <v/>
      </c>
      <c r="M109" s="220"/>
      <c r="N109" s="220"/>
      <c r="O109" s="220"/>
      <c r="P109" s="220"/>
      <c r="Q109" s="220"/>
      <c r="R109" s="220"/>
      <c r="S109" s="220"/>
      <c r="T109" s="220"/>
      <c r="U109" s="220"/>
      <c r="V109" s="220"/>
      <c r="W109" s="220"/>
    </row>
    <row r="110" ht="15.75" customHeight="1" outlineLevel="1">
      <c r="A110" s="211"/>
      <c r="B110" s="212"/>
      <c r="C110" s="213"/>
      <c r="D110" s="214" t="str">
        <f>IFERROR(VLOOKUP($C110,'PORTIFÓLIO'!C:V,2,0),"")</f>
        <v/>
      </c>
      <c r="E110" s="211" t="str">
        <f>IFERROR(VLOOKUP($C110,'PORTIFÓLIO'!C:V,3,0),"")</f>
        <v/>
      </c>
      <c r="F110" s="211" t="str">
        <f>IFERROR(VLOOKUP($C110,'PORTIFÓLIO'!C:V,4,0),"")</f>
        <v/>
      </c>
      <c r="G110" s="215" t="str">
        <f>IFERROR(VLOOKUP($C110,'PORTIFÓLIO'!C:V,5,0),"")</f>
        <v/>
      </c>
      <c r="H110" s="254" t="str">
        <f t="array" ref="H110">IFERROR(INDEX('PORTIFÓLIO'!$H$4:$H$433,MATCH($C110,'PORTIFÓLIO'!$C$4:$C$433,0)),"")</f>
        <v/>
      </c>
      <c r="I110" s="256"/>
      <c r="J110" s="218">
        <f t="shared" si="12"/>
        <v>0</v>
      </c>
      <c r="K110" s="219" t="str">
        <f t="array" ref="K110">IFERROR(I110*INDEX('PORTIFÓLIO'!$S$4:$S$433,MATCH($C110,'PORTIFÓLIO'!$C$4:$C$433,0)),"")</f>
        <v/>
      </c>
      <c r="L110" s="219" t="str">
        <f t="array" ref="L110">IFERROR(J110*INDEX('PORTIFÓLIO'!$S$4:$S$433,MATCH($C110,'PORTIFÓLIO'!$C$4:$C$433,0)),"")</f>
        <v/>
      </c>
      <c r="M110" s="220"/>
      <c r="N110" s="220"/>
      <c r="O110" s="220"/>
      <c r="P110" s="220"/>
      <c r="Q110" s="220"/>
      <c r="R110" s="220"/>
      <c r="S110" s="220"/>
      <c r="T110" s="220"/>
      <c r="U110" s="220"/>
      <c r="V110" s="220"/>
      <c r="W110" s="220"/>
    </row>
    <row r="111" ht="15.75" customHeight="1" outlineLevel="1">
      <c r="A111" s="211"/>
      <c r="B111" s="212"/>
      <c r="C111" s="213"/>
      <c r="D111" s="214" t="str">
        <f>IFERROR(VLOOKUP($C111,'PORTIFÓLIO'!C:V,2,0),"")</f>
        <v/>
      </c>
      <c r="E111" s="211" t="str">
        <f>IFERROR(VLOOKUP($C111,'PORTIFÓLIO'!C:V,3,0),"")</f>
        <v/>
      </c>
      <c r="F111" s="211" t="str">
        <f>IFERROR(VLOOKUP($C111,'PORTIFÓLIO'!C:V,4,0),"")</f>
        <v/>
      </c>
      <c r="G111" s="215" t="str">
        <f>IFERROR(VLOOKUP($C111,'PORTIFÓLIO'!C:V,5,0),"")</f>
        <v/>
      </c>
      <c r="H111" s="254" t="str">
        <f t="array" ref="H111">IFERROR(INDEX('PORTIFÓLIO'!$H$4:$H$433,MATCH($C111,'PORTIFÓLIO'!$C$4:$C$433,0)),"")</f>
        <v/>
      </c>
      <c r="I111" s="256"/>
      <c r="J111" s="218">
        <f t="shared" si="12"/>
        <v>0</v>
      </c>
      <c r="K111" s="219" t="str">
        <f t="array" ref="K111">IFERROR(I111*INDEX('PORTIFÓLIO'!$S$4:$S$433,MATCH($C111,'PORTIFÓLIO'!$C$4:$C$433,0)),"")</f>
        <v/>
      </c>
      <c r="L111" s="219" t="str">
        <f t="array" ref="L111">IFERROR(J111*INDEX('PORTIFÓLIO'!$S$4:$S$433,MATCH($C111,'PORTIFÓLIO'!$C$4:$C$433,0)),"")</f>
        <v/>
      </c>
      <c r="M111" s="220"/>
      <c r="N111" s="220"/>
      <c r="O111" s="220"/>
      <c r="P111" s="220"/>
      <c r="Q111" s="220"/>
      <c r="R111" s="220"/>
      <c r="S111" s="220"/>
      <c r="T111" s="220"/>
      <c r="U111" s="220"/>
      <c r="V111" s="220"/>
      <c r="W111" s="220"/>
    </row>
    <row r="112" ht="15.75" customHeight="1" outlineLevel="1">
      <c r="A112" s="211"/>
      <c r="B112" s="212"/>
      <c r="C112" s="213"/>
      <c r="D112" s="214" t="str">
        <f>IFERROR(VLOOKUP($C112,'PORTIFÓLIO'!C:V,2,0),"")</f>
        <v/>
      </c>
      <c r="E112" s="211" t="str">
        <f>IFERROR(VLOOKUP($C112,'PORTIFÓLIO'!C:V,3,0),"")</f>
        <v/>
      </c>
      <c r="F112" s="211" t="str">
        <f>IFERROR(VLOOKUP($C112,'PORTIFÓLIO'!C:V,4,0),"")</f>
        <v/>
      </c>
      <c r="G112" s="215" t="str">
        <f>IFERROR(VLOOKUP($C112,'PORTIFÓLIO'!C:V,5,0),"")</f>
        <v/>
      </c>
      <c r="H112" s="254" t="str">
        <f t="array" ref="H112">IFERROR(INDEX('PORTIFÓLIO'!$H$4:$H$433,MATCH($C112,'PORTIFÓLIO'!$C$4:$C$433,0)),"")</f>
        <v/>
      </c>
      <c r="I112" s="256"/>
      <c r="J112" s="218">
        <f t="shared" si="12"/>
        <v>0</v>
      </c>
      <c r="K112" s="219" t="str">
        <f t="array" ref="K112">IFERROR(I112*INDEX('PORTIFÓLIO'!$S$4:$S$433,MATCH($C112,'PORTIFÓLIO'!$C$4:$C$433,0)),"")</f>
        <v/>
      </c>
      <c r="L112" s="219" t="str">
        <f t="array" ref="L112">IFERROR(J112*INDEX('PORTIFÓLIO'!$S$4:$S$433,MATCH($C112,'PORTIFÓLIO'!$C$4:$C$433,0)),"")</f>
        <v/>
      </c>
      <c r="M112" s="220"/>
      <c r="N112" s="220"/>
      <c r="O112" s="220"/>
      <c r="P112" s="220"/>
      <c r="Q112" s="220"/>
      <c r="R112" s="220"/>
      <c r="S112" s="220"/>
      <c r="T112" s="220"/>
      <c r="U112" s="220"/>
      <c r="V112" s="220"/>
      <c r="W112" s="220"/>
    </row>
    <row r="113" ht="15.75" customHeight="1" outlineLevel="1">
      <c r="A113" s="211"/>
      <c r="B113" s="212"/>
      <c r="C113" s="211"/>
      <c r="D113" s="214" t="str">
        <f>IFERROR(VLOOKUP($C113,'PORTIFÓLIO'!C:V,2,0),"")</f>
        <v/>
      </c>
      <c r="E113" s="211" t="str">
        <f>IFERROR(VLOOKUP($C113,'PORTIFÓLIO'!C:V,3,0),"")</f>
        <v/>
      </c>
      <c r="F113" s="211" t="str">
        <f>IFERROR(VLOOKUP($C113,'PORTIFÓLIO'!C:V,4,0),"")</f>
        <v/>
      </c>
      <c r="G113" s="215" t="str">
        <f>IFERROR(VLOOKUP($C113,'PORTIFÓLIO'!C:V,5,0),"")</f>
        <v/>
      </c>
      <c r="H113" s="254" t="str">
        <f t="array" ref="H113">IFERROR(INDEX('PORTIFÓLIO'!$H$4:$H$433,MATCH($C113,'PORTIFÓLIO'!$C$4:$C$433,0)),"")</f>
        <v/>
      </c>
      <c r="I113" s="256"/>
      <c r="J113" s="218"/>
      <c r="K113" s="219" t="str">
        <f t="array" ref="K113">IFERROR(I113*INDEX('PORTIFÓLIO'!$S$4:$S$433,MATCH($C113,'PORTIFÓLIO'!$C$4:$C$433,0)),"")</f>
        <v/>
      </c>
      <c r="L113" s="219" t="str">
        <f t="array" ref="L113">IFERROR(J113*INDEX('PORTIFÓLIO'!$S$4:$S$433,MATCH($C113,'PORTIFÓLIO'!$C$4:$C$433,0)),"")</f>
        <v/>
      </c>
      <c r="M113" s="220"/>
      <c r="N113" s="220"/>
      <c r="O113" s="220"/>
      <c r="P113" s="220"/>
      <c r="Q113" s="220"/>
      <c r="R113" s="220"/>
      <c r="S113" s="220"/>
      <c r="T113" s="220"/>
      <c r="U113" s="220"/>
      <c r="V113" s="220"/>
      <c r="W113" s="220"/>
    </row>
    <row r="114" ht="15.75" customHeight="1">
      <c r="A114" s="229" t="s">
        <v>1190</v>
      </c>
      <c r="B114" s="230"/>
      <c r="C114" s="231"/>
      <c r="D114" s="232"/>
      <c r="E114" s="231"/>
      <c r="F114" s="231"/>
      <c r="G114" s="233"/>
      <c r="H114" s="233"/>
      <c r="I114" s="258"/>
      <c r="J114" s="236"/>
      <c r="K114" s="237">
        <f t="shared" ref="K114:L114" si="13">SUBTOTAL(9,K115:K128)</f>
        <v>169.005179</v>
      </c>
      <c r="L114" s="237">
        <f t="shared" si="13"/>
        <v>20280.62148</v>
      </c>
      <c r="M114" s="220"/>
      <c r="N114" s="220"/>
      <c r="O114" s="220"/>
      <c r="P114" s="220"/>
      <c r="Q114" s="220"/>
      <c r="R114" s="220"/>
      <c r="S114" s="220"/>
      <c r="T114" s="220"/>
      <c r="U114" s="220"/>
      <c r="V114" s="220"/>
      <c r="W114" s="220"/>
    </row>
    <row r="115" ht="15.75" customHeight="1" outlineLevel="1">
      <c r="A115" s="213"/>
      <c r="B115" s="212" t="s">
        <v>0</v>
      </c>
      <c r="C115" s="283" t="s">
        <v>467</v>
      </c>
      <c r="D115" s="214" t="str">
        <f>IFERROR(VLOOKUP($C115,'PORTIFÓLIO'!C:V,2,0),"")</f>
        <v>BIXAFEM + PROTIOCONAZOL + TRIFLOXISTROBINA</v>
      </c>
      <c r="E115" s="211" t="str">
        <f>IFERROR(VLOOKUP($C115,'PORTIFÓLIO'!C:V,3,0),"")</f>
        <v>125 + 175 + 150</v>
      </c>
      <c r="F115" s="211" t="str">
        <f>IFERROR(VLOOKUP($C115,'PORTIFÓLIO'!C:V,4,0),"")</f>
        <v>L</v>
      </c>
      <c r="G115" s="225" t="str">
        <f>IFERROR(VLOOKUP($C115,'PORTIFÓLIO'!C:V,5,0),"")</f>
        <v>📄 Ver bula</v>
      </c>
      <c r="H115" s="254">
        <f t="array" ref="H115">IFERROR(INDEX('PORTIFÓLIO'!$H$4:$H$433,MATCH($C115,'PORTIFÓLIO'!$C$4:$C$433,0)),"")</f>
        <v>0.5</v>
      </c>
      <c r="I115" s="255">
        <v>0.5</v>
      </c>
      <c r="J115" s="218">
        <f t="shared" ref="J115:J129" si="14">I115*$B$2</f>
        <v>60</v>
      </c>
      <c r="K115" s="219">
        <f t="array" ref="K115">IFERROR(I115*INDEX('PORTIFÓLIO'!$S$4:$S$433,MATCH($C115,'PORTIFÓLIO'!$C$4:$C$433,0)),"")</f>
        <v>99.08352</v>
      </c>
      <c r="L115" s="219">
        <f t="array" ref="L115">IFERROR(J115*INDEX('PORTIFÓLIO'!$S$4:$S$433,MATCH($C115,'PORTIFÓLIO'!$C$4:$C$433,0)),"")</f>
        <v>11890.0224</v>
      </c>
      <c r="M115" s="220"/>
      <c r="N115" s="220"/>
      <c r="O115" s="220"/>
      <c r="P115" s="220"/>
      <c r="Q115" s="220"/>
      <c r="R115" s="220"/>
      <c r="S115" s="220"/>
      <c r="T115" s="220"/>
      <c r="U115" s="220"/>
      <c r="V115" s="220"/>
      <c r="W115" s="220"/>
    </row>
    <row r="116" ht="15.75" customHeight="1" outlineLevel="1">
      <c r="A116" s="211"/>
      <c r="B116" s="212"/>
      <c r="C116" s="283"/>
      <c r="D116" s="214" t="str">
        <f>IFERROR(VLOOKUP($C116,'PORTIFÓLIO'!C:V,2,0),"")</f>
        <v/>
      </c>
      <c r="E116" s="211" t="str">
        <f>IFERROR(VLOOKUP($C116,'PORTIFÓLIO'!C:V,3,0),"")</f>
        <v/>
      </c>
      <c r="F116" s="211" t="str">
        <f>IFERROR(VLOOKUP($C116,'PORTIFÓLIO'!C:V,4,0),"")</f>
        <v/>
      </c>
      <c r="G116" s="215" t="str">
        <f>IFERROR(VLOOKUP($C116,'PORTIFÓLIO'!C:V,5,0),"")</f>
        <v/>
      </c>
      <c r="H116" s="254" t="str">
        <f t="array" ref="H116">IFERROR(INDEX('PORTIFÓLIO'!$H$4:$H$433,MATCH($C116,'PORTIFÓLIO'!$C$4:$C$433,0)),"")</f>
        <v/>
      </c>
      <c r="I116" s="255"/>
      <c r="J116" s="218">
        <f t="shared" si="14"/>
        <v>0</v>
      </c>
      <c r="K116" s="219" t="str">
        <f t="array" ref="K116">IFERROR(I116*INDEX('PORTIFÓLIO'!$S$4:$S$433,MATCH($C116,'PORTIFÓLIO'!$C$4:$C$433,0)),"")</f>
        <v/>
      </c>
      <c r="L116" s="219" t="str">
        <f t="array" ref="L116">IFERROR(J116*INDEX('PORTIFÓLIO'!$S$4:$S$433,MATCH($C116,'PORTIFÓLIO'!$C$4:$C$433,0)),"")</f>
        <v/>
      </c>
      <c r="M116" s="220"/>
      <c r="N116" s="220"/>
      <c r="O116" s="220"/>
      <c r="P116" s="220"/>
      <c r="Q116" s="220"/>
      <c r="R116" s="220"/>
      <c r="S116" s="220"/>
      <c r="T116" s="220"/>
      <c r="U116" s="220"/>
      <c r="V116" s="220"/>
      <c r="W116" s="220"/>
    </row>
    <row r="117" ht="15.75" customHeight="1" outlineLevel="1">
      <c r="A117" s="211"/>
      <c r="B117" s="212" t="s">
        <v>0</v>
      </c>
      <c r="C117" s="283" t="s">
        <v>484</v>
      </c>
      <c r="D117" s="214" t="str">
        <f>IFERROR(VLOOKUP($C117,'PORTIFÓLIO'!C:V,2,0),"")</f>
        <v>MANCOZEBE</v>
      </c>
      <c r="E117" s="211">
        <f>IFERROR(VLOOKUP($C117,'PORTIFÓLIO'!C:V,3,0),"")</f>
        <v>750</v>
      </c>
      <c r="F117" s="211" t="str">
        <f>IFERROR(VLOOKUP($C117,'PORTIFÓLIO'!C:V,4,0),"")</f>
        <v>L</v>
      </c>
      <c r="G117" s="225" t="str">
        <f>IFERROR(VLOOKUP($C117,'PORTIFÓLIO'!C:V,5,0),"")</f>
        <v>📄 Ver bula</v>
      </c>
      <c r="H117" s="254">
        <f t="array" ref="H117">IFERROR(INDEX('PORTIFÓLIO'!$H$4:$H$433,MATCH($C117,'PORTIFÓLIO'!$C$4:$C$433,0)),"")</f>
        <v>1.5</v>
      </c>
      <c r="I117" s="255">
        <v>1.5</v>
      </c>
      <c r="J117" s="218">
        <f t="shared" si="14"/>
        <v>180</v>
      </c>
      <c r="K117" s="219">
        <f t="array" ref="K117">IFERROR(I117*INDEX('PORTIFÓLIO'!$S$4:$S$433,MATCH($C117,'PORTIFÓLIO'!$C$4:$C$433,0)),"")</f>
        <v>41.52168</v>
      </c>
      <c r="L117" s="219">
        <f t="array" ref="L117">IFERROR(J117*INDEX('PORTIFÓLIO'!$S$4:$S$433,MATCH($C117,'PORTIFÓLIO'!$C$4:$C$433,0)),"")</f>
        <v>4982.6016</v>
      </c>
      <c r="M117" s="220"/>
      <c r="N117" s="220"/>
      <c r="O117" s="220"/>
      <c r="P117" s="220"/>
      <c r="Q117" s="220"/>
      <c r="R117" s="220"/>
      <c r="S117" s="220"/>
      <c r="T117" s="220"/>
      <c r="U117" s="220"/>
      <c r="V117" s="220"/>
      <c r="W117" s="220"/>
    </row>
    <row r="118" ht="15.75" customHeight="1" outlineLevel="1">
      <c r="A118" s="211"/>
      <c r="B118" s="212" t="s">
        <v>2</v>
      </c>
      <c r="C118" s="283" t="s">
        <v>752</v>
      </c>
      <c r="D118" s="214" t="str">
        <f>IFERROR(VLOOKUP($C118,'PORTIFÓLIO'!C:V,2,0),"")</f>
        <v>ACEFATO</v>
      </c>
      <c r="E118" s="211">
        <f>IFERROR(VLOOKUP($C118,'PORTIFÓLIO'!C:V,3,0),"")</f>
        <v>970</v>
      </c>
      <c r="F118" s="211" t="str">
        <f>IFERROR(VLOOKUP($C118,'PORTIFÓLIO'!C:V,4,0),"")</f>
        <v>L</v>
      </c>
      <c r="G118" s="225" t="str">
        <f>IFERROR(VLOOKUP($C118,'PORTIFÓLIO'!C:V,5,0),"")</f>
        <v>📄 Ver bula</v>
      </c>
      <c r="H118" s="254">
        <f t="array" ref="H118">IFERROR(INDEX('PORTIFÓLIO'!$H$4:$H$433,MATCH($C118,'PORTIFÓLIO'!$C$4:$C$433,0)),"")</f>
        <v>0.6</v>
      </c>
      <c r="I118" s="255">
        <v>0.6</v>
      </c>
      <c r="J118" s="218">
        <f t="shared" si="14"/>
        <v>72</v>
      </c>
      <c r="K118" s="219">
        <f t="array" ref="K118">IFERROR(I118*INDEX('PORTIFÓLIO'!$S$4:$S$433,MATCH($C118,'PORTIFÓLIO'!$C$4:$C$433,0)),"")</f>
        <v>22.266</v>
      </c>
      <c r="L118" s="219">
        <f t="array" ref="L118">IFERROR(J118*INDEX('PORTIFÓLIO'!$S$4:$S$433,MATCH($C118,'PORTIFÓLIO'!$C$4:$C$433,0)),"")</f>
        <v>2671.92</v>
      </c>
      <c r="M118" s="220"/>
      <c r="N118" s="220"/>
      <c r="O118" s="220"/>
      <c r="P118" s="220"/>
      <c r="Q118" s="220"/>
      <c r="R118" s="220"/>
      <c r="S118" s="220"/>
      <c r="T118" s="220"/>
      <c r="U118" s="220"/>
      <c r="V118" s="220"/>
      <c r="W118" s="220"/>
    </row>
    <row r="119" ht="15.75" customHeight="1" outlineLevel="1">
      <c r="A119" s="211"/>
      <c r="B119" s="212" t="s">
        <v>2</v>
      </c>
      <c r="C119" s="283" t="s">
        <v>786</v>
      </c>
      <c r="D119" s="214" t="str">
        <f>IFERROR(VLOOKUP($C119,'PORTIFÓLIO'!C:V,2,0),"")</f>
        <v>DIFLUBENZUROM</v>
      </c>
      <c r="E119" s="211">
        <f>IFERROR(VLOOKUP($C119,'PORTIFÓLIO'!C:V,3,0),"")</f>
        <v>480</v>
      </c>
      <c r="F119" s="211" t="str">
        <f>IFERROR(VLOOKUP($C119,'PORTIFÓLIO'!C:V,4,0),"")</f>
        <v>KG</v>
      </c>
      <c r="G119" s="225" t="str">
        <f>IFERROR(VLOOKUP($C119,'PORTIFÓLIO'!C:V,5,0),"")</f>
        <v>📄 Ver bula</v>
      </c>
      <c r="H119" s="254">
        <f t="array" ref="H119">IFERROR(INDEX('PORTIFÓLIO'!$H$4:$H$433,MATCH($C119,'PORTIFÓLIO'!$C$4:$C$433,0)),"")</f>
        <v>0.04</v>
      </c>
      <c r="I119" s="255">
        <v>0.05</v>
      </c>
      <c r="J119" s="218">
        <f t="shared" si="14"/>
        <v>6</v>
      </c>
      <c r="K119" s="219">
        <f t="array" ref="K119">IFERROR(I119*INDEX('PORTIFÓLIO'!$S$4:$S$433,MATCH($C119,'PORTIFÓLIO'!$C$4:$C$433,0)),"")</f>
        <v>2.927979</v>
      </c>
      <c r="L119" s="219">
        <f t="array" ref="L119">IFERROR(J119*INDEX('PORTIFÓLIO'!$S$4:$S$433,MATCH($C119,'PORTIFÓLIO'!$C$4:$C$433,0)),"")</f>
        <v>351.35748</v>
      </c>
      <c r="M119" s="220"/>
      <c r="N119" s="220"/>
      <c r="O119" s="220"/>
      <c r="P119" s="220"/>
      <c r="Q119" s="220"/>
      <c r="R119" s="220"/>
      <c r="S119" s="220"/>
      <c r="T119" s="220"/>
      <c r="U119" s="220"/>
      <c r="V119" s="220"/>
      <c r="W119" s="220"/>
    </row>
    <row r="120" ht="15.75" customHeight="1" outlineLevel="1">
      <c r="A120" s="211"/>
      <c r="B120" s="212" t="s">
        <v>6</v>
      </c>
      <c r="C120" s="213" t="s">
        <v>354</v>
      </c>
      <c r="D120" s="214" t="str">
        <f>IFERROR(VLOOKUP($C120,'PORTIFÓLIO'!C:V,2,0),"")</f>
        <v>OLEO MINERAL</v>
      </c>
      <c r="E120" s="211">
        <f>IFERROR(VLOOKUP($C120,'PORTIFÓLIO'!C:V,3,0),"")</f>
        <v>761</v>
      </c>
      <c r="F120" s="211" t="str">
        <f>IFERROR(VLOOKUP($C120,'PORTIFÓLIO'!C:V,4,0),"")</f>
        <v>L</v>
      </c>
      <c r="G120" s="225" t="str">
        <f>IFERROR(VLOOKUP($C120,'PORTIFÓLIO'!C:V,5,0),"")</f>
        <v>📄 Ver bula</v>
      </c>
      <c r="H120" s="254">
        <f t="array" ref="H120">IFERROR(INDEX('PORTIFÓLIO'!$H$4:$H$433,MATCH($C120,'PORTIFÓLIO'!$C$4:$C$433,0)),"")</f>
        <v>0.2</v>
      </c>
      <c r="I120" s="255">
        <v>0.2</v>
      </c>
      <c r="J120" s="218">
        <f t="shared" si="14"/>
        <v>24</v>
      </c>
      <c r="K120" s="219">
        <f t="array" ref="K120">IFERROR(I120*INDEX('PORTIFÓLIO'!$S$4:$S$433,MATCH($C120,'PORTIFÓLIO'!$C$4:$C$433,0)),"")</f>
        <v>3.206</v>
      </c>
      <c r="L120" s="219">
        <f t="array" ref="L120">IFERROR(J120*INDEX('PORTIFÓLIO'!$S$4:$S$433,MATCH($C120,'PORTIFÓLIO'!$C$4:$C$433,0)),"")</f>
        <v>384.72</v>
      </c>
      <c r="M120" s="220"/>
      <c r="N120" s="220"/>
      <c r="O120" s="220"/>
      <c r="P120" s="220"/>
      <c r="Q120" s="220"/>
      <c r="R120" s="220"/>
      <c r="S120" s="220"/>
      <c r="T120" s="220"/>
      <c r="U120" s="220"/>
      <c r="V120" s="220"/>
      <c r="W120" s="220"/>
    </row>
    <row r="121" ht="15.75" customHeight="1" outlineLevel="1">
      <c r="A121" s="211"/>
      <c r="B121" s="212"/>
      <c r="C121" s="213"/>
      <c r="D121" s="214" t="str">
        <f>IFERROR(VLOOKUP($C121,'PORTIFÓLIO'!C:V,2,0),"")</f>
        <v/>
      </c>
      <c r="E121" s="211" t="str">
        <f>IFERROR(VLOOKUP($C121,'PORTIFÓLIO'!C:V,3,0),"")</f>
        <v/>
      </c>
      <c r="F121" s="211" t="str">
        <f>IFERROR(VLOOKUP($C121,'PORTIFÓLIO'!C:V,4,0),"")</f>
        <v/>
      </c>
      <c r="G121" s="215" t="str">
        <f>IFERROR(VLOOKUP($C121,'PORTIFÓLIO'!C:V,5,0),"")</f>
        <v/>
      </c>
      <c r="H121" s="254" t="str">
        <f t="array" ref="H121">IFERROR(INDEX('PORTIFÓLIO'!$H$4:$H$433,MATCH($C121,'PORTIFÓLIO'!$C$4:$C$433,0)),"")</f>
        <v/>
      </c>
      <c r="I121" s="255"/>
      <c r="J121" s="218">
        <f t="shared" si="14"/>
        <v>0</v>
      </c>
      <c r="K121" s="219" t="str">
        <f t="array" ref="K121">IFERROR(I121*INDEX('PORTIFÓLIO'!$S$4:$S$433,MATCH($C121,'PORTIFÓLIO'!$C$4:$C$433,0)),"")</f>
        <v/>
      </c>
      <c r="L121" s="219" t="str">
        <f t="array" ref="L121">IFERROR(J121*INDEX('PORTIFÓLIO'!$S$4:$S$433,MATCH($C121,'PORTIFÓLIO'!$C$4:$C$433,0)),"")</f>
        <v/>
      </c>
      <c r="M121" s="220"/>
      <c r="N121" s="220"/>
      <c r="O121" s="220"/>
      <c r="P121" s="220"/>
      <c r="Q121" s="220"/>
      <c r="R121" s="220"/>
      <c r="S121" s="220"/>
      <c r="T121" s="220"/>
      <c r="U121" s="220"/>
      <c r="V121" s="220"/>
      <c r="W121" s="220"/>
    </row>
    <row r="122" ht="15.75" customHeight="1" outlineLevel="1">
      <c r="A122" s="211"/>
      <c r="B122" s="212"/>
      <c r="C122" s="213"/>
      <c r="D122" s="214" t="str">
        <f>IFERROR(VLOOKUP($C122,'PORTIFÓLIO'!C:V,2,0),"")</f>
        <v/>
      </c>
      <c r="E122" s="211" t="str">
        <f>IFERROR(VLOOKUP($C122,'PORTIFÓLIO'!C:V,3,0),"")</f>
        <v/>
      </c>
      <c r="F122" s="211" t="str">
        <f>IFERROR(VLOOKUP($C122,'PORTIFÓLIO'!C:V,4,0),"")</f>
        <v/>
      </c>
      <c r="G122" s="215" t="str">
        <f>IFERROR(VLOOKUP($C122,'PORTIFÓLIO'!C:V,5,0),"")</f>
        <v/>
      </c>
      <c r="H122" s="254" t="str">
        <f t="array" ref="H122">IFERROR(INDEX('PORTIFÓLIO'!$H$4:$H$433,MATCH($C122,'PORTIFÓLIO'!$C$4:$C$433,0)),"")</f>
        <v/>
      </c>
      <c r="I122" s="255"/>
      <c r="J122" s="218">
        <f t="shared" si="14"/>
        <v>0</v>
      </c>
      <c r="K122" s="219" t="str">
        <f t="array" ref="K122">IFERROR(I122*INDEX('PORTIFÓLIO'!$S$4:$S$433,MATCH($C122,'PORTIFÓLIO'!$C$4:$C$433,0)),"")</f>
        <v/>
      </c>
      <c r="L122" s="219" t="str">
        <f t="array" ref="L122">IFERROR(J122*INDEX('PORTIFÓLIO'!$S$4:$S$433,MATCH($C122,'PORTIFÓLIO'!$C$4:$C$433,0)),"")</f>
        <v/>
      </c>
      <c r="M122" s="220"/>
      <c r="N122" s="220"/>
      <c r="O122" s="220"/>
      <c r="P122" s="220"/>
      <c r="Q122" s="220"/>
      <c r="R122" s="220"/>
      <c r="S122" s="220"/>
      <c r="T122" s="220"/>
      <c r="U122" s="220"/>
      <c r="V122" s="220"/>
      <c r="W122" s="220"/>
    </row>
    <row r="123" ht="15.75" customHeight="1" outlineLevel="1">
      <c r="A123" s="211"/>
      <c r="B123" s="212"/>
      <c r="C123" s="213"/>
      <c r="D123" s="214" t="str">
        <f>IFERROR(VLOOKUP($C123,'PORTIFÓLIO'!C:V,2,0),"")</f>
        <v/>
      </c>
      <c r="E123" s="211" t="str">
        <f>IFERROR(VLOOKUP($C123,'PORTIFÓLIO'!C:V,3,0),"")</f>
        <v/>
      </c>
      <c r="F123" s="211" t="str">
        <f>IFERROR(VLOOKUP($C123,'PORTIFÓLIO'!C:V,4,0),"")</f>
        <v/>
      </c>
      <c r="G123" s="215" t="str">
        <f>IFERROR(VLOOKUP($C123,'PORTIFÓLIO'!C:V,5,0),"")</f>
        <v/>
      </c>
      <c r="H123" s="254" t="str">
        <f t="array" ref="H123">IFERROR(INDEX('PORTIFÓLIO'!$H$4:$H$433,MATCH($C123,'PORTIFÓLIO'!$C$4:$C$433,0)),"")</f>
        <v/>
      </c>
      <c r="I123" s="255"/>
      <c r="J123" s="218">
        <f t="shared" si="14"/>
        <v>0</v>
      </c>
      <c r="K123" s="219" t="str">
        <f t="array" ref="K123">IFERROR(I123*INDEX('PORTIFÓLIO'!$S$4:$S$433,MATCH($C123,'PORTIFÓLIO'!$C$4:$C$433,0)),"")</f>
        <v/>
      </c>
      <c r="L123" s="219" t="str">
        <f t="array" ref="L123">IFERROR(J123*INDEX('PORTIFÓLIO'!$S$4:$S$433,MATCH($C123,'PORTIFÓLIO'!$C$4:$C$433,0)),"")</f>
        <v/>
      </c>
      <c r="M123" s="220"/>
      <c r="N123" s="220"/>
      <c r="O123" s="220"/>
      <c r="P123" s="220"/>
      <c r="Q123" s="220"/>
      <c r="R123" s="220"/>
      <c r="S123" s="220"/>
      <c r="T123" s="220"/>
      <c r="U123" s="220"/>
      <c r="V123" s="220"/>
      <c r="W123" s="220"/>
    </row>
    <row r="124" ht="15.75" customHeight="1" outlineLevel="1">
      <c r="A124" s="211"/>
      <c r="B124" s="212"/>
      <c r="C124" s="213"/>
      <c r="D124" s="214" t="str">
        <f>IFERROR(VLOOKUP($C124,'PORTIFÓLIO'!C:V,2,0),"")</f>
        <v/>
      </c>
      <c r="E124" s="211" t="str">
        <f>IFERROR(VLOOKUP($C124,'PORTIFÓLIO'!C:V,3,0),"")</f>
        <v/>
      </c>
      <c r="F124" s="211" t="str">
        <f>IFERROR(VLOOKUP($C124,'PORTIFÓLIO'!C:V,4,0),"")</f>
        <v/>
      </c>
      <c r="G124" s="215" t="str">
        <f>IFERROR(VLOOKUP($C124,'PORTIFÓLIO'!C:V,5,0),"")</f>
        <v/>
      </c>
      <c r="H124" s="254" t="str">
        <f t="array" ref="H124">IFERROR(INDEX('PORTIFÓLIO'!$H$4:$H$433,MATCH($C124,'PORTIFÓLIO'!$C$4:$C$433,0)),"")</f>
        <v/>
      </c>
      <c r="I124" s="256"/>
      <c r="J124" s="218">
        <f t="shared" si="14"/>
        <v>0</v>
      </c>
      <c r="K124" s="219" t="str">
        <f t="array" ref="K124">IFERROR(I124*INDEX('PORTIFÓLIO'!$S$4:$S$433,MATCH($C124,'PORTIFÓLIO'!$C$4:$C$433,0)),"")</f>
        <v/>
      </c>
      <c r="L124" s="219" t="str">
        <f t="array" ref="L124">IFERROR(J124*INDEX('PORTIFÓLIO'!$S$4:$S$433,MATCH($C124,'PORTIFÓLIO'!$C$4:$C$433,0)),"")</f>
        <v/>
      </c>
      <c r="M124" s="220"/>
      <c r="N124" s="220"/>
      <c r="O124" s="220"/>
      <c r="P124" s="220"/>
      <c r="Q124" s="220"/>
      <c r="R124" s="220"/>
      <c r="S124" s="220"/>
      <c r="T124" s="220"/>
      <c r="U124" s="220"/>
      <c r="V124" s="220"/>
      <c r="W124" s="220"/>
    </row>
    <row r="125" ht="15.75" customHeight="1" outlineLevel="1">
      <c r="A125" s="211"/>
      <c r="B125" s="212"/>
      <c r="C125" s="213"/>
      <c r="D125" s="214" t="str">
        <f>IFERROR(VLOOKUP($C125,'PORTIFÓLIO'!C:V,2,0),"")</f>
        <v/>
      </c>
      <c r="E125" s="211" t="str">
        <f>IFERROR(VLOOKUP($C125,'PORTIFÓLIO'!C:V,3,0),"")</f>
        <v/>
      </c>
      <c r="F125" s="211" t="str">
        <f>IFERROR(VLOOKUP($C125,'PORTIFÓLIO'!C:V,4,0),"")</f>
        <v/>
      </c>
      <c r="G125" s="215" t="str">
        <f>IFERROR(VLOOKUP($C125,'PORTIFÓLIO'!C:V,5,0),"")</f>
        <v/>
      </c>
      <c r="H125" s="254" t="str">
        <f t="array" ref="H125">IFERROR(INDEX('PORTIFÓLIO'!$H$4:$H$433,MATCH($C125,'PORTIFÓLIO'!$C$4:$C$433,0)),"")</f>
        <v/>
      </c>
      <c r="I125" s="256"/>
      <c r="J125" s="218">
        <f t="shared" si="14"/>
        <v>0</v>
      </c>
      <c r="K125" s="219" t="str">
        <f t="array" ref="K125">IFERROR(I125*INDEX('PORTIFÓLIO'!$S$4:$S$433,MATCH($C125,'PORTIFÓLIO'!$C$4:$C$433,0)),"")</f>
        <v/>
      </c>
      <c r="L125" s="219" t="str">
        <f t="array" ref="L125">IFERROR(J125*INDEX('PORTIFÓLIO'!$S$4:$S$433,MATCH($C125,'PORTIFÓLIO'!$C$4:$C$433,0)),"")</f>
        <v/>
      </c>
      <c r="M125" s="220"/>
      <c r="N125" s="220"/>
      <c r="O125" s="220"/>
      <c r="P125" s="220"/>
      <c r="Q125" s="220"/>
      <c r="R125" s="220"/>
      <c r="S125" s="220"/>
      <c r="T125" s="220"/>
      <c r="U125" s="220"/>
      <c r="V125" s="220"/>
      <c r="W125" s="220"/>
    </row>
    <row r="126" ht="15.75" customHeight="1" outlineLevel="1">
      <c r="A126" s="211"/>
      <c r="B126" s="212"/>
      <c r="C126" s="213"/>
      <c r="D126" s="214" t="str">
        <f>IFERROR(VLOOKUP($C126,'PORTIFÓLIO'!C:V,2,0),"")</f>
        <v/>
      </c>
      <c r="E126" s="211" t="str">
        <f>IFERROR(VLOOKUP($C126,'PORTIFÓLIO'!C:V,3,0),"")</f>
        <v/>
      </c>
      <c r="F126" s="211" t="str">
        <f>IFERROR(VLOOKUP($C126,'PORTIFÓLIO'!C:V,4,0),"")</f>
        <v/>
      </c>
      <c r="G126" s="215" t="str">
        <f>IFERROR(VLOOKUP($C126,'PORTIFÓLIO'!C:V,5,0),"")</f>
        <v/>
      </c>
      <c r="H126" s="254" t="str">
        <f t="array" ref="H126">IFERROR(INDEX('PORTIFÓLIO'!$H$4:$H$433,MATCH($C126,'PORTIFÓLIO'!$C$4:$C$433,0)),"")</f>
        <v/>
      </c>
      <c r="I126" s="256"/>
      <c r="J126" s="218">
        <f t="shared" si="14"/>
        <v>0</v>
      </c>
      <c r="K126" s="219" t="str">
        <f t="array" ref="K126">IFERROR(I126*INDEX('PORTIFÓLIO'!$S$4:$S$433,MATCH($C126,'PORTIFÓLIO'!$C$4:$C$433,0)),"")</f>
        <v/>
      </c>
      <c r="L126" s="219" t="str">
        <f t="array" ref="L126">IFERROR(J126*INDEX('PORTIFÓLIO'!$S$4:$S$433,MATCH($C126,'PORTIFÓLIO'!$C$4:$C$433,0)),"")</f>
        <v/>
      </c>
      <c r="M126" s="220"/>
      <c r="N126" s="220"/>
      <c r="O126" s="220"/>
      <c r="P126" s="220"/>
      <c r="Q126" s="220"/>
      <c r="R126" s="220"/>
      <c r="S126" s="220"/>
      <c r="T126" s="220"/>
      <c r="U126" s="220"/>
      <c r="V126" s="220"/>
      <c r="W126" s="220"/>
    </row>
    <row r="127" ht="15.75" customHeight="1" outlineLevel="1">
      <c r="A127" s="211"/>
      <c r="B127" s="212"/>
      <c r="C127" s="213"/>
      <c r="D127" s="214" t="str">
        <f>IFERROR(VLOOKUP($C127,'PORTIFÓLIO'!C:V,2,0),"")</f>
        <v/>
      </c>
      <c r="E127" s="211" t="str">
        <f>IFERROR(VLOOKUP($C127,'PORTIFÓLIO'!C:V,3,0),"")</f>
        <v/>
      </c>
      <c r="F127" s="211" t="str">
        <f>IFERROR(VLOOKUP($C127,'PORTIFÓLIO'!C:V,4,0),"")</f>
        <v/>
      </c>
      <c r="G127" s="215" t="str">
        <f>IFERROR(VLOOKUP($C127,'PORTIFÓLIO'!C:V,5,0),"")</f>
        <v/>
      </c>
      <c r="H127" s="254" t="str">
        <f t="array" ref="H127">IFERROR(INDEX('PORTIFÓLIO'!$H$4:$H$433,MATCH($C127,'PORTIFÓLIO'!$C$4:$C$433,0)),"")</f>
        <v/>
      </c>
      <c r="I127" s="256"/>
      <c r="J127" s="218">
        <f t="shared" si="14"/>
        <v>0</v>
      </c>
      <c r="K127" s="219" t="str">
        <f t="array" ref="K127">IFERROR(I127*INDEX('PORTIFÓLIO'!$S$4:$S$433,MATCH($C127,'PORTIFÓLIO'!$C$4:$C$433,0)),"")</f>
        <v/>
      </c>
      <c r="L127" s="219" t="str">
        <f t="array" ref="L127">IFERROR(J127*INDEX('PORTIFÓLIO'!$S$4:$S$433,MATCH($C127,'PORTIFÓLIO'!$C$4:$C$433,0)),"")</f>
        <v/>
      </c>
      <c r="M127" s="220"/>
      <c r="N127" s="220"/>
      <c r="O127" s="220"/>
      <c r="P127" s="220"/>
      <c r="Q127" s="220"/>
      <c r="R127" s="220"/>
      <c r="S127" s="220"/>
      <c r="T127" s="220"/>
      <c r="U127" s="220"/>
      <c r="V127" s="220"/>
      <c r="W127" s="220"/>
    </row>
    <row r="128" ht="15.75" customHeight="1" outlineLevel="1">
      <c r="A128" s="211"/>
      <c r="B128" s="212"/>
      <c r="C128" s="213"/>
      <c r="D128" s="214" t="str">
        <f>IFERROR(VLOOKUP($C128,'PORTIFÓLIO'!C:V,2,0),"")</f>
        <v/>
      </c>
      <c r="E128" s="211" t="str">
        <f>IFERROR(VLOOKUP($C128,'PORTIFÓLIO'!C:V,3,0),"")</f>
        <v/>
      </c>
      <c r="F128" s="211" t="str">
        <f>IFERROR(VLOOKUP($C128,'PORTIFÓLIO'!C:V,4,0),"")</f>
        <v/>
      </c>
      <c r="G128" s="215" t="str">
        <f>IFERROR(VLOOKUP($C128,'PORTIFÓLIO'!C:V,5,0),"")</f>
        <v/>
      </c>
      <c r="H128" s="254" t="str">
        <f t="array" ref="H128">IFERROR(INDEX('PORTIFÓLIO'!$H$4:$H$433,MATCH($C128,'PORTIFÓLIO'!$C$4:$C$433,0)),"")</f>
        <v/>
      </c>
      <c r="I128" s="256"/>
      <c r="J128" s="218">
        <f t="shared" si="14"/>
        <v>0</v>
      </c>
      <c r="K128" s="219" t="str">
        <f t="array" ref="K128">IFERROR(I128*INDEX('PORTIFÓLIO'!$S$4:$S$433,MATCH($C128,'PORTIFÓLIO'!$C$4:$C$433,0)),"")</f>
        <v/>
      </c>
      <c r="L128" s="219" t="str">
        <f t="array" ref="L128">IFERROR(J128*INDEX('PORTIFÓLIO'!$S$4:$S$433,MATCH($C128,'PORTIFÓLIO'!$C$4:$C$433,0)),"")</f>
        <v/>
      </c>
      <c r="M128" s="220"/>
      <c r="N128" s="220"/>
      <c r="O128" s="220"/>
      <c r="P128" s="220"/>
      <c r="Q128" s="220"/>
      <c r="R128" s="220"/>
      <c r="S128" s="220"/>
      <c r="T128" s="220"/>
      <c r="U128" s="220"/>
      <c r="V128" s="220"/>
      <c r="W128" s="220"/>
    </row>
    <row r="129" ht="15.75" customHeight="1" outlineLevel="1">
      <c r="A129" s="211"/>
      <c r="B129" s="212"/>
      <c r="C129" s="213"/>
      <c r="D129" s="214" t="str">
        <f>IFERROR(VLOOKUP($C129,'PORTIFÓLIO'!C:V,2,0),"")</f>
        <v/>
      </c>
      <c r="E129" s="211" t="str">
        <f>IFERROR(VLOOKUP($C129,'PORTIFÓLIO'!C:V,3,0),"")</f>
        <v/>
      </c>
      <c r="F129" s="211" t="str">
        <f>IFERROR(VLOOKUP($C129,'PORTIFÓLIO'!C:V,4,0),"")</f>
        <v/>
      </c>
      <c r="G129" s="215" t="str">
        <f>IFERROR(VLOOKUP($C129,'PORTIFÓLIO'!C:V,5,0),"")</f>
        <v/>
      </c>
      <c r="H129" s="254" t="str">
        <f t="array" ref="H129">IFERROR(INDEX('PORTIFÓLIO'!$H$4:$H$433,MATCH($C129,'PORTIFÓLIO'!$C$4:$C$433,0)),"")</f>
        <v/>
      </c>
      <c r="I129" s="256"/>
      <c r="J129" s="218">
        <f t="shared" si="14"/>
        <v>0</v>
      </c>
      <c r="K129" s="219" t="str">
        <f t="array" ref="K129">IFERROR(I129*INDEX('PORTIFÓLIO'!$S$4:$S$433,MATCH($C129,'PORTIFÓLIO'!$C$4:$C$433,0)),"")</f>
        <v/>
      </c>
      <c r="L129" s="219" t="str">
        <f t="array" ref="L129">IFERROR(J129*INDEX('PORTIFÓLIO'!$S$4:$S$433,MATCH($C129,'PORTIFÓLIO'!$C$4:$C$433,0)),"")</f>
        <v/>
      </c>
      <c r="M129" s="220"/>
      <c r="N129" s="220"/>
      <c r="O129" s="220"/>
      <c r="P129" s="220"/>
      <c r="Q129" s="220"/>
      <c r="R129" s="220"/>
      <c r="S129" s="220"/>
      <c r="T129" s="220"/>
      <c r="U129" s="220"/>
      <c r="V129" s="220"/>
      <c r="W129" s="220"/>
    </row>
    <row r="130" ht="15.75" customHeight="1" outlineLevel="1">
      <c r="A130" s="211"/>
      <c r="B130" s="227"/>
      <c r="C130" s="211"/>
      <c r="D130" s="214" t="str">
        <f>IFERROR(VLOOKUP($C130,'PORTIFÓLIO'!C:V,2,0),"")</f>
        <v/>
      </c>
      <c r="E130" s="211" t="str">
        <f>IFERROR(VLOOKUP($C130,'PORTIFÓLIO'!C:V,3,0),"")</f>
        <v/>
      </c>
      <c r="F130" s="211" t="str">
        <f>IFERROR(VLOOKUP($C130,'PORTIFÓLIO'!C:V,4,0),"")</f>
        <v/>
      </c>
      <c r="G130" s="215" t="str">
        <f>IFERROR(VLOOKUP($C130,'PORTIFÓLIO'!C:V,5,0),"")</f>
        <v/>
      </c>
      <c r="H130" s="254" t="str">
        <f t="array" ref="H130">IFERROR(INDEX('PORTIFÓLIO'!$H$4:$H$433,MATCH($C130,'PORTIFÓLIO'!$C$4:$C$433,0)),"")</f>
        <v/>
      </c>
      <c r="I130" s="256"/>
      <c r="J130" s="218"/>
      <c r="K130" s="219" t="str">
        <f t="array" ref="K130">IFERROR(I130*INDEX('PORTIFÓLIO'!$S$4:$S$433,MATCH($C130,'PORTIFÓLIO'!$C$4:$C$433,0)),"")</f>
        <v/>
      </c>
      <c r="L130" s="219" t="str">
        <f t="array" ref="L130">IFERROR(J130*INDEX('PORTIFÓLIO'!$S$4:$S$433,MATCH($C130,'PORTIFÓLIO'!$C$4:$C$433,0)),"")</f>
        <v/>
      </c>
      <c r="M130" s="220"/>
      <c r="N130" s="220"/>
      <c r="O130" s="220"/>
      <c r="P130" s="220"/>
      <c r="Q130" s="220"/>
      <c r="R130" s="220"/>
      <c r="S130" s="220"/>
      <c r="T130" s="220"/>
      <c r="U130" s="220"/>
      <c r="V130" s="220"/>
      <c r="W130" s="220"/>
    </row>
    <row r="131" ht="15.75" customHeight="1">
      <c r="A131" s="229" t="s">
        <v>1191</v>
      </c>
      <c r="B131" s="230"/>
      <c r="C131" s="231"/>
      <c r="D131" s="232"/>
      <c r="E131" s="231"/>
      <c r="F131" s="231"/>
      <c r="G131" s="233"/>
      <c r="H131" s="233"/>
      <c r="I131" s="258"/>
      <c r="J131" s="236"/>
      <c r="K131" s="237">
        <f t="shared" ref="K131:L131" si="15">SUBTOTAL(9,K132:K145)</f>
        <v>101.229074</v>
      </c>
      <c r="L131" s="237">
        <f t="shared" si="15"/>
        <v>12147.48888</v>
      </c>
      <c r="M131" s="220"/>
      <c r="N131" s="220"/>
      <c r="O131" s="220"/>
      <c r="P131" s="220"/>
      <c r="Q131" s="220"/>
      <c r="R131" s="220"/>
      <c r="S131" s="220"/>
      <c r="T131" s="220"/>
      <c r="U131" s="220"/>
      <c r="V131" s="220"/>
      <c r="W131" s="220"/>
    </row>
    <row r="132" ht="15.75" customHeight="1" outlineLevel="1">
      <c r="A132" s="213"/>
      <c r="B132" s="212" t="s">
        <v>0</v>
      </c>
      <c r="C132" s="213" t="s">
        <v>487</v>
      </c>
      <c r="D132" s="214" t="str">
        <f>IFERROR(VLOOKUP($C132,'PORTIFÓLIO'!C:V,2,0),"")</f>
        <v>PICOXISTROBINA + CIPROCONAZOL</v>
      </c>
      <c r="E132" s="211" t="str">
        <f>IFERROR(VLOOKUP($C132,'PORTIFÓLIO'!C:V,3,0),"")</f>
        <v>90 + 40</v>
      </c>
      <c r="F132" s="211" t="str">
        <f>IFERROR(VLOOKUP($C132,'PORTIFÓLIO'!C:V,4,0),"")</f>
        <v>L</v>
      </c>
      <c r="G132" s="225" t="str">
        <f>IFERROR(VLOOKUP($C132,'PORTIFÓLIO'!C:V,5,0),"")</f>
        <v>📄 Ver bula</v>
      </c>
      <c r="H132" s="254">
        <f t="array" ref="H132">IFERROR(INDEX('PORTIFÓLIO'!$H$4:$H$433,MATCH($C132,'PORTIFÓLIO'!$C$4:$C$433,0)),"")</f>
        <v>0.6</v>
      </c>
      <c r="I132" s="255">
        <v>0.6</v>
      </c>
      <c r="J132" s="218">
        <f t="shared" ref="J132:J146" si="16">I132*$B$2</f>
        <v>72</v>
      </c>
      <c r="K132" s="219">
        <f t="array" ref="K132">IFERROR(I132*INDEX('PORTIFÓLIO'!$S$4:$S$433,MATCH($C132,'PORTIFÓLIO'!$C$4:$C$433,0)),"")</f>
        <v>39.349152</v>
      </c>
      <c r="L132" s="219">
        <f t="array" ref="L132">IFERROR(J132*INDEX('PORTIFÓLIO'!$S$4:$S$433,MATCH($C132,'PORTIFÓLIO'!$C$4:$C$433,0)),"")</f>
        <v>4721.89824</v>
      </c>
      <c r="M132" s="220"/>
      <c r="N132" s="220"/>
      <c r="O132" s="220"/>
      <c r="P132" s="220"/>
      <c r="Q132" s="220"/>
      <c r="R132" s="220"/>
      <c r="S132" s="220"/>
      <c r="T132" s="220"/>
      <c r="U132" s="220"/>
      <c r="V132" s="220"/>
      <c r="W132" s="220"/>
    </row>
    <row r="133" ht="15.75" customHeight="1" outlineLevel="1">
      <c r="A133" s="211"/>
      <c r="B133" s="212" t="s">
        <v>0</v>
      </c>
      <c r="C133" s="213" t="s">
        <v>484</v>
      </c>
      <c r="D133" s="214" t="str">
        <f>IFERROR(VLOOKUP($C133,'PORTIFÓLIO'!C:V,2,0),"")</f>
        <v>MANCOZEBE</v>
      </c>
      <c r="E133" s="211">
        <f>IFERROR(VLOOKUP($C133,'PORTIFÓLIO'!C:V,3,0),"")</f>
        <v>750</v>
      </c>
      <c r="F133" s="211" t="str">
        <f>IFERROR(VLOOKUP($C133,'PORTIFÓLIO'!C:V,4,0),"")</f>
        <v>L</v>
      </c>
      <c r="G133" s="225" t="str">
        <f>IFERROR(VLOOKUP($C133,'PORTIFÓLIO'!C:V,5,0),"")</f>
        <v>📄 Ver bula</v>
      </c>
      <c r="H133" s="254">
        <f t="array" ref="H133">IFERROR(INDEX('PORTIFÓLIO'!$H$4:$H$433,MATCH($C133,'PORTIFÓLIO'!$C$4:$C$433,0)),"")</f>
        <v>1.5</v>
      </c>
      <c r="I133" s="255">
        <v>1.5</v>
      </c>
      <c r="J133" s="218">
        <f t="shared" si="16"/>
        <v>180</v>
      </c>
      <c r="K133" s="219">
        <f t="array" ref="K133">IFERROR(I133*INDEX('PORTIFÓLIO'!$S$4:$S$433,MATCH($C133,'PORTIFÓLIO'!$C$4:$C$433,0)),"")</f>
        <v>41.52168</v>
      </c>
      <c r="L133" s="219">
        <f t="array" ref="L133">IFERROR(J133*INDEX('PORTIFÓLIO'!$S$4:$S$433,MATCH($C133,'PORTIFÓLIO'!$C$4:$C$433,0)),"")</f>
        <v>4982.6016</v>
      </c>
      <c r="M133" s="220"/>
      <c r="N133" s="220"/>
      <c r="O133" s="220"/>
      <c r="P133" s="220"/>
      <c r="Q133" s="220"/>
      <c r="R133" s="220"/>
      <c r="S133" s="220"/>
      <c r="T133" s="220"/>
      <c r="U133" s="220"/>
      <c r="V133" s="220"/>
      <c r="W133" s="220"/>
    </row>
    <row r="134" ht="15.75" customHeight="1" outlineLevel="1">
      <c r="A134" s="211"/>
      <c r="B134" s="212" t="s">
        <v>2</v>
      </c>
      <c r="C134" s="213" t="s">
        <v>881</v>
      </c>
      <c r="D134" s="214" t="str">
        <f>IFERROR(VLOOKUP($C134,'PORTIFÓLIO'!C:V,2,0),"")</f>
        <v>TIAMETOXAM + LAMBDA-CIALOTRINA</v>
      </c>
      <c r="E134" s="211" t="str">
        <f>IFERROR(VLOOKUP($C134,'PORTIFÓLIO'!C:V,3,0),"")</f>
        <v>141 + 106</v>
      </c>
      <c r="F134" s="211" t="str">
        <f>IFERROR(VLOOKUP($C134,'PORTIFÓLIO'!C:V,4,0),"")</f>
        <v>L</v>
      </c>
      <c r="G134" s="225" t="str">
        <f>IFERROR(VLOOKUP($C134,'PORTIFÓLIO'!C:V,5,0),"")</f>
        <v>📄 Ver bula</v>
      </c>
      <c r="H134" s="254">
        <f t="array" ref="H134">IFERROR(INDEX('PORTIFÓLIO'!$H$4:$H$433,MATCH($C134,'PORTIFÓLIO'!$C$4:$C$433,0)),"")</f>
        <v>0.2</v>
      </c>
      <c r="I134" s="255">
        <v>0.2</v>
      </c>
      <c r="J134" s="218">
        <f t="shared" si="16"/>
        <v>24</v>
      </c>
      <c r="K134" s="219">
        <f t="array" ref="K134">IFERROR(I134*INDEX('PORTIFÓLIO'!$S$4:$S$433,MATCH($C134,'PORTIFÓLIO'!$C$4:$C$433,0)),"")</f>
        <v>17.152242</v>
      </c>
      <c r="L134" s="219">
        <f t="array" ref="L134">IFERROR(J134*INDEX('PORTIFÓLIO'!$S$4:$S$433,MATCH($C134,'PORTIFÓLIO'!$C$4:$C$433,0)),"")</f>
        <v>2058.26904</v>
      </c>
      <c r="M134" s="220"/>
      <c r="N134" s="220"/>
      <c r="O134" s="220"/>
      <c r="P134" s="220"/>
      <c r="Q134" s="220"/>
      <c r="R134" s="220"/>
      <c r="S134" s="220"/>
      <c r="T134" s="220"/>
      <c r="U134" s="220"/>
      <c r="V134" s="220"/>
      <c r="W134" s="220"/>
    </row>
    <row r="135" ht="15.75" customHeight="1" outlineLevel="1">
      <c r="A135" s="211"/>
      <c r="B135" s="212" t="s">
        <v>6</v>
      </c>
      <c r="C135" s="213" t="s">
        <v>354</v>
      </c>
      <c r="D135" s="214" t="str">
        <f>IFERROR(VLOOKUP($C135,'PORTIFÓLIO'!C:V,2,0),"")</f>
        <v>OLEO MINERAL</v>
      </c>
      <c r="E135" s="211">
        <f>IFERROR(VLOOKUP($C135,'PORTIFÓLIO'!C:V,3,0),"")</f>
        <v>761</v>
      </c>
      <c r="F135" s="211" t="str">
        <f>IFERROR(VLOOKUP($C135,'PORTIFÓLIO'!C:V,4,0),"")</f>
        <v>L</v>
      </c>
      <c r="G135" s="225" t="str">
        <f>IFERROR(VLOOKUP($C135,'PORTIFÓLIO'!C:V,5,0),"")</f>
        <v>📄 Ver bula</v>
      </c>
      <c r="H135" s="254">
        <f t="array" ref="H135">IFERROR(INDEX('PORTIFÓLIO'!$H$4:$H$433,MATCH($C135,'PORTIFÓLIO'!$C$4:$C$433,0)),"")</f>
        <v>0.2</v>
      </c>
      <c r="I135" s="255">
        <v>0.2</v>
      </c>
      <c r="J135" s="218">
        <f t="shared" si="16"/>
        <v>24</v>
      </c>
      <c r="K135" s="219">
        <f t="array" ref="K135">IFERROR(I135*INDEX('PORTIFÓLIO'!$S$4:$S$433,MATCH($C135,'PORTIFÓLIO'!$C$4:$C$433,0)),"")</f>
        <v>3.206</v>
      </c>
      <c r="L135" s="219">
        <f t="array" ref="L135">IFERROR(J135*INDEX('PORTIFÓLIO'!$S$4:$S$433,MATCH($C135,'PORTIFÓLIO'!$C$4:$C$433,0)),"")</f>
        <v>384.72</v>
      </c>
      <c r="M135" s="220"/>
      <c r="N135" s="220"/>
      <c r="O135" s="220"/>
      <c r="P135" s="220"/>
      <c r="Q135" s="220"/>
      <c r="R135" s="220"/>
      <c r="S135" s="220"/>
      <c r="T135" s="220"/>
      <c r="U135" s="220"/>
      <c r="V135" s="220"/>
      <c r="W135" s="220"/>
    </row>
    <row r="136" ht="15.75" customHeight="1" outlineLevel="1">
      <c r="A136" s="211"/>
      <c r="B136" s="212"/>
      <c r="C136" s="213"/>
      <c r="D136" s="214" t="str">
        <f>IFERROR(VLOOKUP($C136,'PORTIFÓLIO'!C:V,2,0),"")</f>
        <v/>
      </c>
      <c r="E136" s="211" t="str">
        <f>IFERROR(VLOOKUP($C136,'PORTIFÓLIO'!C:V,3,0),"")</f>
        <v/>
      </c>
      <c r="F136" s="211" t="str">
        <f>IFERROR(VLOOKUP($C136,'PORTIFÓLIO'!C:V,4,0),"")</f>
        <v/>
      </c>
      <c r="G136" s="215" t="str">
        <f>IFERROR(VLOOKUP($C136,'PORTIFÓLIO'!C:V,5,0),"")</f>
        <v/>
      </c>
      <c r="H136" s="254" t="str">
        <f t="array" ref="H136">IFERROR(INDEX('PORTIFÓLIO'!$H$4:$H$433,MATCH($C136,'PORTIFÓLIO'!$C$4:$C$433,0)),"")</f>
        <v/>
      </c>
      <c r="I136" s="256"/>
      <c r="J136" s="218">
        <f t="shared" si="16"/>
        <v>0</v>
      </c>
      <c r="K136" s="219" t="str">
        <f t="array" ref="K136">IFERROR(I136*INDEX('PORTIFÓLIO'!$S$4:$S$433,MATCH($C136,'PORTIFÓLIO'!$C$4:$C$433,0)),"")</f>
        <v/>
      </c>
      <c r="L136" s="219" t="str">
        <f t="array" ref="L136">IFERROR(J136*INDEX('PORTIFÓLIO'!$S$4:$S$433,MATCH($C136,'PORTIFÓLIO'!$C$4:$C$433,0)),"")</f>
        <v/>
      </c>
      <c r="M136" s="220"/>
      <c r="N136" s="220"/>
      <c r="O136" s="220"/>
      <c r="P136" s="220"/>
      <c r="Q136" s="220"/>
      <c r="R136" s="220"/>
      <c r="S136" s="220"/>
      <c r="T136" s="220"/>
      <c r="U136" s="220"/>
      <c r="V136" s="220"/>
      <c r="W136" s="220"/>
    </row>
    <row r="137" ht="15.75" customHeight="1" outlineLevel="1">
      <c r="A137" s="211"/>
      <c r="B137" s="212"/>
      <c r="C137" s="213"/>
      <c r="D137" s="214" t="str">
        <f>IFERROR(VLOOKUP($C137,'PORTIFÓLIO'!C:V,2,0),"")</f>
        <v/>
      </c>
      <c r="E137" s="211" t="str">
        <f>IFERROR(VLOOKUP($C137,'PORTIFÓLIO'!C:V,3,0),"")</f>
        <v/>
      </c>
      <c r="F137" s="211" t="str">
        <f>IFERROR(VLOOKUP($C137,'PORTIFÓLIO'!C:V,4,0),"")</f>
        <v/>
      </c>
      <c r="G137" s="215" t="str">
        <f>IFERROR(VLOOKUP($C137,'PORTIFÓLIO'!C:V,5,0),"")</f>
        <v/>
      </c>
      <c r="H137" s="254" t="str">
        <f t="array" ref="H137">IFERROR(INDEX('PORTIFÓLIO'!$H$4:$H$433,MATCH($C137,'PORTIFÓLIO'!$C$4:$C$433,0)),"")</f>
        <v/>
      </c>
      <c r="I137" s="256"/>
      <c r="J137" s="218">
        <f t="shared" si="16"/>
        <v>0</v>
      </c>
      <c r="K137" s="219" t="str">
        <f t="array" ref="K137">IFERROR(I137*INDEX('PORTIFÓLIO'!$S$4:$S$433,MATCH($C137,'PORTIFÓLIO'!$C$4:$C$433,0)),"")</f>
        <v/>
      </c>
      <c r="L137" s="219" t="str">
        <f t="array" ref="L137">IFERROR(J137*INDEX('PORTIFÓLIO'!$S$4:$S$433,MATCH($C137,'PORTIFÓLIO'!$C$4:$C$433,0)),"")</f>
        <v/>
      </c>
      <c r="M137" s="220"/>
      <c r="N137" s="220"/>
      <c r="O137" s="220"/>
      <c r="P137" s="220"/>
      <c r="Q137" s="220"/>
      <c r="R137" s="220"/>
      <c r="S137" s="220"/>
      <c r="T137" s="220"/>
      <c r="U137" s="220"/>
      <c r="V137" s="220"/>
      <c r="W137" s="220"/>
    </row>
    <row r="138" ht="15.75" customHeight="1" outlineLevel="1">
      <c r="A138" s="211"/>
      <c r="B138" s="212"/>
      <c r="C138" s="213"/>
      <c r="D138" s="214" t="str">
        <f>IFERROR(VLOOKUP($C138,'PORTIFÓLIO'!C:V,2,0),"")</f>
        <v/>
      </c>
      <c r="E138" s="211" t="str">
        <f>IFERROR(VLOOKUP($C138,'PORTIFÓLIO'!C:V,3,0),"")</f>
        <v/>
      </c>
      <c r="F138" s="211" t="str">
        <f>IFERROR(VLOOKUP($C138,'PORTIFÓLIO'!C:V,4,0),"")</f>
        <v/>
      </c>
      <c r="G138" s="215" t="str">
        <f>IFERROR(VLOOKUP($C138,'PORTIFÓLIO'!C:V,5,0),"")</f>
        <v/>
      </c>
      <c r="H138" s="254" t="str">
        <f t="array" ref="H138">IFERROR(INDEX('PORTIFÓLIO'!$H$4:$H$433,MATCH($C138,'PORTIFÓLIO'!$C$4:$C$433,0)),"")</f>
        <v/>
      </c>
      <c r="I138" s="256"/>
      <c r="J138" s="218">
        <f t="shared" si="16"/>
        <v>0</v>
      </c>
      <c r="K138" s="219" t="str">
        <f t="array" ref="K138">IFERROR(I138*INDEX('PORTIFÓLIO'!$S$4:$S$433,MATCH($C138,'PORTIFÓLIO'!$C$4:$C$433,0)),"")</f>
        <v/>
      </c>
      <c r="L138" s="219" t="str">
        <f t="array" ref="L138">IFERROR(J138*INDEX('PORTIFÓLIO'!$S$4:$S$433,MATCH($C138,'PORTIFÓLIO'!$C$4:$C$433,0)),"")</f>
        <v/>
      </c>
      <c r="M138" s="220"/>
      <c r="N138" s="220"/>
      <c r="O138" s="220"/>
      <c r="P138" s="220"/>
      <c r="Q138" s="220"/>
      <c r="R138" s="220"/>
      <c r="S138" s="220"/>
      <c r="T138" s="220"/>
      <c r="U138" s="220"/>
      <c r="V138" s="220"/>
      <c r="W138" s="220"/>
    </row>
    <row r="139" ht="15.75" customHeight="1" outlineLevel="1">
      <c r="A139" s="211"/>
      <c r="B139" s="212"/>
      <c r="C139" s="213"/>
      <c r="D139" s="214" t="str">
        <f>IFERROR(VLOOKUP($C139,'PORTIFÓLIO'!C:V,2,0),"")</f>
        <v/>
      </c>
      <c r="E139" s="211" t="str">
        <f>IFERROR(VLOOKUP($C139,'PORTIFÓLIO'!C:V,3,0),"")</f>
        <v/>
      </c>
      <c r="F139" s="211" t="str">
        <f>IFERROR(VLOOKUP($C139,'PORTIFÓLIO'!C:V,4,0),"")</f>
        <v/>
      </c>
      <c r="G139" s="215" t="str">
        <f>IFERROR(VLOOKUP($C139,'PORTIFÓLIO'!C:V,5,0),"")</f>
        <v/>
      </c>
      <c r="H139" s="254" t="str">
        <f t="array" ref="H139">IFERROR(INDEX('PORTIFÓLIO'!$H$4:$H$433,MATCH($C139,'PORTIFÓLIO'!$C$4:$C$433,0)),"")</f>
        <v/>
      </c>
      <c r="I139" s="256"/>
      <c r="J139" s="218">
        <f t="shared" si="16"/>
        <v>0</v>
      </c>
      <c r="K139" s="219" t="str">
        <f t="array" ref="K139">IFERROR(I139*INDEX('PORTIFÓLIO'!$S$4:$S$433,MATCH($C139,'PORTIFÓLIO'!$C$4:$C$433,0)),"")</f>
        <v/>
      </c>
      <c r="L139" s="219" t="str">
        <f t="array" ref="L139">IFERROR(J139*INDEX('PORTIFÓLIO'!$S$4:$S$433,MATCH($C139,'PORTIFÓLIO'!$C$4:$C$433,0)),"")</f>
        <v/>
      </c>
      <c r="M139" s="220"/>
      <c r="N139" s="220"/>
      <c r="O139" s="220"/>
      <c r="P139" s="220"/>
      <c r="Q139" s="220"/>
      <c r="R139" s="220"/>
      <c r="S139" s="220"/>
      <c r="T139" s="220"/>
      <c r="U139" s="220"/>
      <c r="V139" s="220"/>
      <c r="W139" s="220"/>
    </row>
    <row r="140" ht="15.75" customHeight="1" outlineLevel="1">
      <c r="A140" s="211"/>
      <c r="B140" s="212"/>
      <c r="C140" s="213"/>
      <c r="D140" s="214" t="str">
        <f>IFERROR(VLOOKUP($C140,'PORTIFÓLIO'!C:V,2,0),"")</f>
        <v/>
      </c>
      <c r="E140" s="211" t="str">
        <f>IFERROR(VLOOKUP($C140,'PORTIFÓLIO'!C:V,3,0),"")</f>
        <v/>
      </c>
      <c r="F140" s="211" t="str">
        <f>IFERROR(VLOOKUP($C140,'PORTIFÓLIO'!C:V,4,0),"")</f>
        <v/>
      </c>
      <c r="G140" s="215" t="str">
        <f>IFERROR(VLOOKUP($C140,'PORTIFÓLIO'!C:V,5,0),"")</f>
        <v/>
      </c>
      <c r="H140" s="254" t="str">
        <f t="array" ref="H140">IFERROR(INDEX('PORTIFÓLIO'!$H$4:$H$433,MATCH($C140,'PORTIFÓLIO'!$C$4:$C$433,0)),"")</f>
        <v/>
      </c>
      <c r="I140" s="255"/>
      <c r="J140" s="218">
        <f t="shared" si="16"/>
        <v>0</v>
      </c>
      <c r="K140" s="219" t="str">
        <f t="array" ref="K140">IFERROR(I140*INDEX('PORTIFÓLIO'!$S$4:$S$433,MATCH($C140,'PORTIFÓLIO'!$C$4:$C$433,0)),"")</f>
        <v/>
      </c>
      <c r="L140" s="219" t="str">
        <f t="array" ref="L140">IFERROR(J140*INDEX('PORTIFÓLIO'!$S$4:$S$433,MATCH($C140,'PORTIFÓLIO'!$C$4:$C$433,0)),"")</f>
        <v/>
      </c>
      <c r="M140" s="220"/>
      <c r="N140" s="220"/>
      <c r="O140" s="220"/>
      <c r="P140" s="220"/>
      <c r="Q140" s="220"/>
      <c r="R140" s="220"/>
      <c r="S140" s="220"/>
      <c r="T140" s="220"/>
      <c r="U140" s="220"/>
      <c r="V140" s="220"/>
      <c r="W140" s="220"/>
    </row>
    <row r="141" ht="15.75" customHeight="1" outlineLevel="1">
      <c r="A141" s="211"/>
      <c r="B141" s="212"/>
      <c r="C141" s="213"/>
      <c r="D141" s="214" t="str">
        <f>IFERROR(VLOOKUP($C141,'PORTIFÓLIO'!C:V,2,0),"")</f>
        <v/>
      </c>
      <c r="E141" s="211" t="str">
        <f>IFERROR(VLOOKUP($C141,'PORTIFÓLIO'!C:V,3,0),"")</f>
        <v/>
      </c>
      <c r="F141" s="211" t="str">
        <f>IFERROR(VLOOKUP($C141,'PORTIFÓLIO'!C:V,4,0),"")</f>
        <v/>
      </c>
      <c r="G141" s="215" t="str">
        <f>IFERROR(VLOOKUP($C141,'PORTIFÓLIO'!C:V,5,0),"")</f>
        <v/>
      </c>
      <c r="H141" s="254" t="str">
        <f t="array" ref="H141">IFERROR(INDEX('PORTIFÓLIO'!$H$4:$H$433,MATCH($C141,'PORTIFÓLIO'!$C$4:$C$433,0)),"")</f>
        <v/>
      </c>
      <c r="I141" s="256"/>
      <c r="J141" s="218">
        <f t="shared" si="16"/>
        <v>0</v>
      </c>
      <c r="K141" s="219" t="str">
        <f t="array" ref="K141">IFERROR(I141*INDEX('PORTIFÓLIO'!$S$4:$S$433,MATCH($C141,'PORTIFÓLIO'!$C$4:$C$433,0)),"")</f>
        <v/>
      </c>
      <c r="L141" s="219" t="str">
        <f t="array" ref="L141">IFERROR(J141*INDEX('PORTIFÓLIO'!$S$4:$S$433,MATCH($C141,'PORTIFÓLIO'!$C$4:$C$433,0)),"")</f>
        <v/>
      </c>
      <c r="M141" s="220"/>
      <c r="N141" s="220"/>
      <c r="O141" s="220"/>
      <c r="P141" s="220"/>
      <c r="Q141" s="220"/>
      <c r="R141" s="220"/>
      <c r="S141" s="220"/>
      <c r="T141" s="220"/>
      <c r="U141" s="220"/>
      <c r="V141" s="220"/>
      <c r="W141" s="220"/>
    </row>
    <row r="142" ht="15.75" customHeight="1" outlineLevel="1">
      <c r="A142" s="211"/>
      <c r="B142" s="212"/>
      <c r="C142" s="213"/>
      <c r="D142" s="214" t="str">
        <f>IFERROR(VLOOKUP($C142,'PORTIFÓLIO'!C:V,2,0),"")</f>
        <v/>
      </c>
      <c r="E142" s="211" t="str">
        <f>IFERROR(VLOOKUP($C142,'PORTIFÓLIO'!C:V,3,0),"")</f>
        <v/>
      </c>
      <c r="F142" s="211" t="str">
        <f>IFERROR(VLOOKUP($C142,'PORTIFÓLIO'!C:V,4,0),"")</f>
        <v/>
      </c>
      <c r="G142" s="215" t="str">
        <f>IFERROR(VLOOKUP($C142,'PORTIFÓLIO'!C:V,5,0),"")</f>
        <v/>
      </c>
      <c r="H142" s="254" t="str">
        <f t="array" ref="H142">IFERROR(INDEX('PORTIFÓLIO'!$H$4:$H$433,MATCH($C142,'PORTIFÓLIO'!$C$4:$C$433,0)),"")</f>
        <v/>
      </c>
      <c r="I142" s="256"/>
      <c r="J142" s="218">
        <f t="shared" si="16"/>
        <v>0</v>
      </c>
      <c r="K142" s="219" t="str">
        <f t="array" ref="K142">IFERROR(I142*INDEX('PORTIFÓLIO'!$S$4:$S$433,MATCH($C142,'PORTIFÓLIO'!$C$4:$C$433,0)),"")</f>
        <v/>
      </c>
      <c r="L142" s="219" t="str">
        <f t="array" ref="L142">IFERROR(J142*INDEX('PORTIFÓLIO'!$S$4:$S$433,MATCH($C142,'PORTIFÓLIO'!$C$4:$C$433,0)),"")</f>
        <v/>
      </c>
      <c r="M142" s="220"/>
      <c r="N142" s="220"/>
      <c r="O142" s="220"/>
      <c r="P142" s="220"/>
      <c r="Q142" s="220"/>
      <c r="R142" s="220"/>
      <c r="S142" s="220"/>
      <c r="T142" s="220"/>
      <c r="U142" s="220"/>
      <c r="V142" s="220"/>
      <c r="W142" s="220"/>
    </row>
    <row r="143" ht="15.75" customHeight="1" outlineLevel="1">
      <c r="A143" s="211"/>
      <c r="B143" s="212"/>
      <c r="C143" s="213"/>
      <c r="D143" s="214" t="str">
        <f>IFERROR(VLOOKUP($C143,'PORTIFÓLIO'!C:V,2,0),"")</f>
        <v/>
      </c>
      <c r="E143" s="211" t="str">
        <f>IFERROR(VLOOKUP($C143,'PORTIFÓLIO'!C:V,3,0),"")</f>
        <v/>
      </c>
      <c r="F143" s="211" t="str">
        <f>IFERROR(VLOOKUP($C143,'PORTIFÓLIO'!C:V,4,0),"")</f>
        <v/>
      </c>
      <c r="G143" s="215" t="str">
        <f>IFERROR(VLOOKUP($C143,'PORTIFÓLIO'!C:V,5,0),"")</f>
        <v/>
      </c>
      <c r="H143" s="254" t="str">
        <f t="array" ref="H143">IFERROR(INDEX('PORTIFÓLIO'!$H$4:$H$433,MATCH($C143,'PORTIFÓLIO'!$C$4:$C$433,0)),"")</f>
        <v/>
      </c>
      <c r="I143" s="256"/>
      <c r="J143" s="218">
        <f t="shared" si="16"/>
        <v>0</v>
      </c>
      <c r="K143" s="219" t="str">
        <f t="array" ref="K143">IFERROR(I143*INDEX('PORTIFÓLIO'!$S$4:$S$433,MATCH($C143,'PORTIFÓLIO'!$C$4:$C$433,0)),"")</f>
        <v/>
      </c>
      <c r="L143" s="219" t="str">
        <f t="array" ref="L143">IFERROR(J143*INDEX('PORTIFÓLIO'!$S$4:$S$433,MATCH($C143,'PORTIFÓLIO'!$C$4:$C$433,0)),"")</f>
        <v/>
      </c>
      <c r="M143" s="220"/>
      <c r="N143" s="220"/>
      <c r="O143" s="220"/>
      <c r="P143" s="220"/>
      <c r="Q143" s="220"/>
      <c r="R143" s="220"/>
      <c r="S143" s="220"/>
      <c r="T143" s="220"/>
      <c r="U143" s="220"/>
      <c r="V143" s="220"/>
      <c r="W143" s="220"/>
    </row>
    <row r="144" ht="15.75" customHeight="1" outlineLevel="1">
      <c r="A144" s="211"/>
      <c r="B144" s="212"/>
      <c r="C144" s="213"/>
      <c r="D144" s="214" t="str">
        <f>IFERROR(VLOOKUP($C144,'PORTIFÓLIO'!C:V,2,0),"")</f>
        <v/>
      </c>
      <c r="E144" s="211" t="str">
        <f>IFERROR(VLOOKUP($C144,'PORTIFÓLIO'!C:V,3,0),"")</f>
        <v/>
      </c>
      <c r="F144" s="211" t="str">
        <f>IFERROR(VLOOKUP($C144,'PORTIFÓLIO'!C:V,4,0),"")</f>
        <v/>
      </c>
      <c r="G144" s="215" t="str">
        <f>IFERROR(VLOOKUP($C144,'PORTIFÓLIO'!C:V,5,0),"")</f>
        <v/>
      </c>
      <c r="H144" s="254" t="str">
        <f t="array" ref="H144">IFERROR(INDEX('PORTIFÓLIO'!$H$4:$H$433,MATCH($C144,'PORTIFÓLIO'!$C$4:$C$433,0)),"")</f>
        <v/>
      </c>
      <c r="I144" s="256"/>
      <c r="J144" s="218">
        <f t="shared" si="16"/>
        <v>0</v>
      </c>
      <c r="K144" s="219" t="str">
        <f t="array" ref="K144">IFERROR(I144*INDEX('PORTIFÓLIO'!$S$4:$S$433,MATCH($C144,'PORTIFÓLIO'!$C$4:$C$433,0)),"")</f>
        <v/>
      </c>
      <c r="L144" s="219" t="str">
        <f t="array" ref="L144">IFERROR(J144*INDEX('PORTIFÓLIO'!$S$4:$S$433,MATCH($C144,'PORTIFÓLIO'!$C$4:$C$433,0)),"")</f>
        <v/>
      </c>
      <c r="M144" s="220"/>
      <c r="N144" s="220"/>
      <c r="O144" s="220"/>
      <c r="P144" s="220"/>
      <c r="Q144" s="220"/>
      <c r="R144" s="220"/>
      <c r="S144" s="220"/>
      <c r="T144" s="220"/>
      <c r="U144" s="220"/>
      <c r="V144" s="220"/>
      <c r="W144" s="220"/>
    </row>
    <row r="145" ht="15.75" customHeight="1" outlineLevel="1">
      <c r="A145" s="211"/>
      <c r="B145" s="212"/>
      <c r="C145" s="213"/>
      <c r="D145" s="214" t="str">
        <f>IFERROR(VLOOKUP($C145,'PORTIFÓLIO'!C:V,2,0),"")</f>
        <v/>
      </c>
      <c r="E145" s="211" t="str">
        <f>IFERROR(VLOOKUP($C145,'PORTIFÓLIO'!C:V,3,0),"")</f>
        <v/>
      </c>
      <c r="F145" s="211" t="str">
        <f>IFERROR(VLOOKUP($C145,'PORTIFÓLIO'!C:V,4,0),"")</f>
        <v/>
      </c>
      <c r="G145" s="215" t="str">
        <f>IFERROR(VLOOKUP($C145,'PORTIFÓLIO'!C:V,5,0),"")</f>
        <v/>
      </c>
      <c r="H145" s="254" t="str">
        <f t="array" ref="H145">IFERROR(INDEX('PORTIFÓLIO'!$H$4:$H$433,MATCH($C145,'PORTIFÓLIO'!$C$4:$C$433,0)),"")</f>
        <v/>
      </c>
      <c r="I145" s="256"/>
      <c r="J145" s="218">
        <f t="shared" si="16"/>
        <v>0</v>
      </c>
      <c r="K145" s="219" t="str">
        <f t="array" ref="K145">IFERROR(I145*INDEX('PORTIFÓLIO'!$S$4:$S$433,MATCH($C145,'PORTIFÓLIO'!$C$4:$C$433,0)),"")</f>
        <v/>
      </c>
      <c r="L145" s="219" t="str">
        <f t="array" ref="L145">IFERROR(J145*INDEX('PORTIFÓLIO'!$S$4:$S$433,MATCH($C145,'PORTIFÓLIO'!$C$4:$C$433,0)),"")</f>
        <v/>
      </c>
      <c r="M145" s="220"/>
      <c r="N145" s="220"/>
      <c r="O145" s="220"/>
      <c r="P145" s="220"/>
      <c r="Q145" s="220"/>
      <c r="R145" s="220"/>
      <c r="S145" s="220"/>
      <c r="T145" s="220"/>
      <c r="U145" s="220"/>
      <c r="V145" s="220"/>
      <c r="W145" s="220"/>
    </row>
    <row r="146" ht="15.75" customHeight="1" outlineLevel="1">
      <c r="A146" s="211"/>
      <c r="B146" s="212"/>
      <c r="C146" s="213"/>
      <c r="D146" s="214" t="str">
        <f>IFERROR(VLOOKUP($C146,'PORTIFÓLIO'!C:V,2,0),"")</f>
        <v/>
      </c>
      <c r="E146" s="211" t="str">
        <f>IFERROR(VLOOKUP($C146,'PORTIFÓLIO'!C:V,3,0),"")</f>
        <v/>
      </c>
      <c r="F146" s="211" t="str">
        <f>IFERROR(VLOOKUP($C146,'PORTIFÓLIO'!C:V,4,0),"")</f>
        <v/>
      </c>
      <c r="G146" s="215" t="str">
        <f>IFERROR(VLOOKUP($C146,'PORTIFÓLIO'!C:V,5,0),"")</f>
        <v/>
      </c>
      <c r="H146" s="254" t="str">
        <f t="array" ref="H146">IFERROR(INDEX('PORTIFÓLIO'!$H$4:$H$433,MATCH($C146,'PORTIFÓLIO'!$C$4:$C$433,0)),"")</f>
        <v/>
      </c>
      <c r="I146" s="256"/>
      <c r="J146" s="218">
        <f t="shared" si="16"/>
        <v>0</v>
      </c>
      <c r="K146" s="219" t="str">
        <f t="array" ref="K146">IFERROR(I146*INDEX('PORTIFÓLIO'!$S$4:$S$433,MATCH($C146,'PORTIFÓLIO'!$C$4:$C$433,0)),"")</f>
        <v/>
      </c>
      <c r="L146" s="219" t="str">
        <f t="array" ref="L146">IFERROR(J146*INDEX('PORTIFÓLIO'!$S$4:$S$433,MATCH($C146,'PORTIFÓLIO'!$C$4:$C$433,0)),"")</f>
        <v/>
      </c>
      <c r="M146" s="220"/>
      <c r="N146" s="220"/>
      <c r="O146" s="220"/>
      <c r="P146" s="220"/>
      <c r="Q146" s="220"/>
      <c r="R146" s="220"/>
      <c r="S146" s="220"/>
      <c r="T146" s="220"/>
      <c r="U146" s="220"/>
      <c r="V146" s="220"/>
      <c r="W146" s="220"/>
    </row>
    <row r="147" ht="15.75" customHeight="1" outlineLevel="1">
      <c r="A147" s="211"/>
      <c r="B147" s="227"/>
      <c r="C147" s="211"/>
      <c r="D147" s="214" t="str">
        <f>IFERROR(VLOOKUP($C147,'PORTIFÓLIO'!C:V,2,0),"")</f>
        <v/>
      </c>
      <c r="E147" s="211" t="str">
        <f>IFERROR(VLOOKUP($C147,'PORTIFÓLIO'!C:V,3,0),"")</f>
        <v/>
      </c>
      <c r="F147" s="211" t="str">
        <f>IFERROR(VLOOKUP($C147,'PORTIFÓLIO'!C:V,4,0),"")</f>
        <v/>
      </c>
      <c r="G147" s="215" t="str">
        <f>IFERROR(VLOOKUP($C147,'PORTIFÓLIO'!C:V,5,0),"")</f>
        <v/>
      </c>
      <c r="H147" s="254" t="str">
        <f t="array" ref="H147">IFERROR(INDEX('PORTIFÓLIO'!$H$4:$H$433,MATCH($C147,'PORTIFÓLIO'!$C$4:$C$433,0)),"")</f>
        <v/>
      </c>
      <c r="I147" s="256"/>
      <c r="J147" s="218"/>
      <c r="K147" s="219" t="str">
        <f t="array" ref="K147">IFERROR(I147*INDEX('PORTIFÓLIO'!$S$4:$S$433,MATCH($C147,'PORTIFÓLIO'!$C$4:$C$433,0)),"")</f>
        <v/>
      </c>
      <c r="L147" s="219" t="str">
        <f t="array" ref="L147">IFERROR(J147*INDEX('PORTIFÓLIO'!$S$4:$S$433,MATCH($C147,'PORTIFÓLIO'!$C$4:$C$433,0)),"")</f>
        <v/>
      </c>
      <c r="M147" s="220"/>
      <c r="N147" s="220"/>
      <c r="O147" s="220"/>
      <c r="P147" s="220"/>
      <c r="Q147" s="220"/>
      <c r="R147" s="220"/>
      <c r="S147" s="220"/>
      <c r="T147" s="220"/>
      <c r="U147" s="220"/>
      <c r="V147" s="220"/>
      <c r="W147" s="220"/>
    </row>
    <row r="148" ht="15.75" customHeight="1">
      <c r="A148" s="229" t="s">
        <v>1192</v>
      </c>
      <c r="B148" s="230"/>
      <c r="C148" s="231"/>
      <c r="D148" s="232"/>
      <c r="E148" s="231"/>
      <c r="F148" s="231"/>
      <c r="G148" s="233"/>
      <c r="H148" s="233"/>
      <c r="I148" s="258"/>
      <c r="J148" s="236"/>
      <c r="K148" s="237">
        <f t="shared" ref="K148:L148" si="17">SUBTOTAL(9,K149:K162)</f>
        <v>57.21464</v>
      </c>
      <c r="L148" s="237">
        <f t="shared" si="17"/>
        <v>6865.7568</v>
      </c>
      <c r="M148" s="220"/>
      <c r="N148" s="220"/>
      <c r="O148" s="220"/>
      <c r="P148" s="220"/>
      <c r="Q148" s="220"/>
      <c r="R148" s="220"/>
      <c r="S148" s="220"/>
      <c r="T148" s="220"/>
      <c r="U148" s="220"/>
      <c r="V148" s="220"/>
      <c r="W148" s="220"/>
    </row>
    <row r="149" ht="15.75" customHeight="1" outlineLevel="1">
      <c r="A149" s="213"/>
      <c r="B149" s="212" t="s">
        <v>0</v>
      </c>
      <c r="C149" s="213" t="s">
        <v>434</v>
      </c>
      <c r="D149" s="214" t="str">
        <f>IFERROR(VLOOKUP($C149,'PORTIFÓLIO'!C:V,2,0),"")</f>
        <v>AZOXISTROBINA + TEBUCONAZOL</v>
      </c>
      <c r="E149" s="211" t="str">
        <f>IFERROR(VLOOKUP($C149,'PORTIFÓLIO'!C:V,3,0),"")</f>
        <v>120 + 200</v>
      </c>
      <c r="F149" s="211" t="str">
        <f>IFERROR(VLOOKUP($C149,'PORTIFÓLIO'!C:V,4,0),"")</f>
        <v>L</v>
      </c>
      <c r="G149" s="225" t="str">
        <f>IFERROR(VLOOKUP($C149,'PORTIFÓLIO'!C:V,5,0),"")</f>
        <v>📄 Ver bula</v>
      </c>
      <c r="H149" s="254">
        <f t="array" ref="H149">IFERROR(INDEX('PORTIFÓLIO'!$H$4:$H$433,MATCH($C149,'PORTIFÓLIO'!$C$4:$C$433,0)),"")</f>
        <v>0.5</v>
      </c>
      <c r="I149" s="255">
        <v>0.5</v>
      </c>
      <c r="J149" s="218">
        <f t="shared" ref="J149:J163" si="18">I149*$B$2</f>
        <v>60</v>
      </c>
      <c r="K149" s="219">
        <f t="array" ref="K149">IFERROR(I149*INDEX('PORTIFÓLIO'!$S$4:$S$433,MATCH($C149,'PORTIFÓLIO'!$C$4:$C$433,0)),"")</f>
        <v>17.66448</v>
      </c>
      <c r="L149" s="219">
        <f t="array" ref="L149">IFERROR(J149*INDEX('PORTIFÓLIO'!$S$4:$S$433,MATCH($C149,'PORTIFÓLIO'!$C$4:$C$433,0)),"")</f>
        <v>2119.7376</v>
      </c>
      <c r="M149" s="220"/>
      <c r="N149" s="220"/>
      <c r="O149" s="220"/>
      <c r="P149" s="220"/>
      <c r="Q149" s="220"/>
      <c r="R149" s="220"/>
      <c r="S149" s="220"/>
      <c r="T149" s="220"/>
      <c r="U149" s="220"/>
      <c r="V149" s="220"/>
      <c r="W149" s="220"/>
    </row>
    <row r="150" ht="15.75" customHeight="1" outlineLevel="1">
      <c r="A150" s="211"/>
      <c r="B150" s="212" t="s">
        <v>0</v>
      </c>
      <c r="C150" s="213" t="s">
        <v>572</v>
      </c>
      <c r="D150" s="214" t="str">
        <f>IFERROR(VLOOKUP($C150,'PORTIFÓLIO'!C:V,2,0),"")</f>
        <v>CLOROTALONIL</v>
      </c>
      <c r="E150" s="211">
        <f>IFERROR(VLOOKUP($C150,'PORTIFÓLIO'!C:V,3,0),"")</f>
        <v>720</v>
      </c>
      <c r="F150" s="211" t="str">
        <f>IFERROR(VLOOKUP($C150,'PORTIFÓLIO'!C:V,4,0),"")</f>
        <v>KG</v>
      </c>
      <c r="G150" s="225" t="str">
        <f>IFERROR(VLOOKUP($C150,'PORTIFÓLIO'!C:V,5,0),"")</f>
        <v>📄 Ver bula</v>
      </c>
      <c r="H150" s="254">
        <f t="array" ref="H150">IFERROR(INDEX('PORTIFÓLIO'!$H$4:$H$433,MATCH($C150,'PORTIFÓLIO'!$C$4:$C$433,0)),"")</f>
        <v>1.5</v>
      </c>
      <c r="I150" s="255">
        <v>1.5</v>
      </c>
      <c r="J150" s="218">
        <f t="shared" si="18"/>
        <v>180</v>
      </c>
      <c r="K150" s="219">
        <f t="array" ref="K150">IFERROR(I150*INDEX('PORTIFÓLIO'!$S$4:$S$433,MATCH($C150,'PORTIFÓLIO'!$C$4:$C$433,0)),"")</f>
        <v>36.34416</v>
      </c>
      <c r="L150" s="219">
        <f t="array" ref="L150">IFERROR(J150*INDEX('PORTIFÓLIO'!$S$4:$S$433,MATCH($C150,'PORTIFÓLIO'!$C$4:$C$433,0)),"")</f>
        <v>4361.2992</v>
      </c>
      <c r="M150" s="220"/>
      <c r="N150" s="220"/>
      <c r="O150" s="220"/>
      <c r="P150" s="220"/>
      <c r="Q150" s="220"/>
      <c r="R150" s="220"/>
      <c r="S150" s="220"/>
      <c r="T150" s="220"/>
      <c r="U150" s="220"/>
      <c r="V150" s="220"/>
      <c r="W150" s="220"/>
    </row>
    <row r="151" ht="15.75" customHeight="1" outlineLevel="1">
      <c r="A151" s="211"/>
      <c r="B151" s="212" t="s">
        <v>6</v>
      </c>
      <c r="C151" s="213" t="s">
        <v>354</v>
      </c>
      <c r="D151" s="214" t="str">
        <f>IFERROR(VLOOKUP($C151,'PORTIFÓLIO'!C:V,2,0),"")</f>
        <v>OLEO MINERAL</v>
      </c>
      <c r="E151" s="211">
        <f>IFERROR(VLOOKUP($C151,'PORTIFÓLIO'!C:V,3,0),"")</f>
        <v>761</v>
      </c>
      <c r="F151" s="211" t="str">
        <f>IFERROR(VLOOKUP($C151,'PORTIFÓLIO'!C:V,4,0),"")</f>
        <v>L</v>
      </c>
      <c r="G151" s="225" t="str">
        <f>IFERROR(VLOOKUP($C151,'PORTIFÓLIO'!C:V,5,0),"")</f>
        <v>📄 Ver bula</v>
      </c>
      <c r="H151" s="254">
        <f t="array" ref="H151">IFERROR(INDEX('PORTIFÓLIO'!$H$4:$H$433,MATCH($C151,'PORTIFÓLIO'!$C$4:$C$433,0)),"")</f>
        <v>0.2</v>
      </c>
      <c r="I151" s="255">
        <v>0.2</v>
      </c>
      <c r="J151" s="218">
        <f t="shared" si="18"/>
        <v>24</v>
      </c>
      <c r="K151" s="219">
        <f t="array" ref="K151">IFERROR(I151*INDEX('PORTIFÓLIO'!$S$4:$S$433,MATCH($C151,'PORTIFÓLIO'!$C$4:$C$433,0)),"")</f>
        <v>3.206</v>
      </c>
      <c r="L151" s="219">
        <f t="array" ref="L151">IFERROR(J151*INDEX('PORTIFÓLIO'!$S$4:$S$433,MATCH($C151,'PORTIFÓLIO'!$C$4:$C$433,0)),"")</f>
        <v>384.72</v>
      </c>
      <c r="M151" s="220"/>
      <c r="N151" s="220"/>
      <c r="O151" s="220"/>
      <c r="P151" s="220"/>
      <c r="Q151" s="220"/>
      <c r="R151" s="220"/>
      <c r="S151" s="220"/>
      <c r="T151" s="220"/>
      <c r="U151" s="220"/>
      <c r="V151" s="220"/>
      <c r="W151" s="220"/>
    </row>
    <row r="152" ht="15.75" customHeight="1" outlineLevel="1">
      <c r="A152" s="211"/>
      <c r="B152" s="212"/>
      <c r="C152" s="213"/>
      <c r="D152" s="214" t="str">
        <f>IFERROR(VLOOKUP($C152,'PORTIFÓLIO'!C:V,2,0),"")</f>
        <v/>
      </c>
      <c r="E152" s="211" t="str">
        <f>IFERROR(VLOOKUP($C152,'PORTIFÓLIO'!C:V,3,0),"")</f>
        <v/>
      </c>
      <c r="F152" s="211" t="str">
        <f>IFERROR(VLOOKUP($C152,'PORTIFÓLIO'!C:V,4,0),"")</f>
        <v/>
      </c>
      <c r="G152" s="215" t="str">
        <f>IFERROR(VLOOKUP($C152,'PORTIFÓLIO'!C:V,5,0),"")</f>
        <v/>
      </c>
      <c r="H152" s="254" t="str">
        <f t="array" ref="H152">IFERROR(INDEX('PORTIFÓLIO'!$H$4:$H$433,MATCH($C152,'PORTIFÓLIO'!$C$4:$C$433,0)),"")</f>
        <v/>
      </c>
      <c r="I152" s="256"/>
      <c r="J152" s="218">
        <f t="shared" si="18"/>
        <v>0</v>
      </c>
      <c r="K152" s="219" t="str">
        <f t="array" ref="K152">IFERROR(I152*INDEX('PORTIFÓLIO'!$S$4:$S$433,MATCH($C152,'PORTIFÓLIO'!$C$4:$C$433,0)),"")</f>
        <v/>
      </c>
      <c r="L152" s="219" t="str">
        <f t="array" ref="L152">IFERROR(J152*INDEX('PORTIFÓLIO'!$S$4:$S$433,MATCH($C152,'PORTIFÓLIO'!$C$4:$C$433,0)),"")</f>
        <v/>
      </c>
      <c r="M152" s="220"/>
      <c r="N152" s="220"/>
      <c r="O152" s="220"/>
      <c r="P152" s="220"/>
      <c r="Q152" s="220"/>
      <c r="R152" s="220"/>
      <c r="S152" s="220"/>
      <c r="T152" s="220"/>
      <c r="U152" s="220"/>
      <c r="V152" s="220"/>
      <c r="W152" s="220"/>
    </row>
    <row r="153" ht="15.75" customHeight="1" outlineLevel="1">
      <c r="A153" s="211"/>
      <c r="B153" s="212"/>
      <c r="C153" s="213"/>
      <c r="D153" s="214" t="str">
        <f>IFERROR(VLOOKUP($C153,'PORTIFÓLIO'!C:V,2,0),"")</f>
        <v/>
      </c>
      <c r="E153" s="211" t="str">
        <f>IFERROR(VLOOKUP($C153,'PORTIFÓLIO'!C:V,3,0),"")</f>
        <v/>
      </c>
      <c r="F153" s="211" t="str">
        <f>IFERROR(VLOOKUP($C153,'PORTIFÓLIO'!C:V,4,0),"")</f>
        <v/>
      </c>
      <c r="G153" s="215" t="str">
        <f>IFERROR(VLOOKUP($C153,'PORTIFÓLIO'!C:V,5,0),"")</f>
        <v/>
      </c>
      <c r="H153" s="254" t="str">
        <f t="array" ref="H153">IFERROR(INDEX('PORTIFÓLIO'!$H$4:$H$433,MATCH($C153,'PORTIFÓLIO'!$C$4:$C$433,0)),"")</f>
        <v/>
      </c>
      <c r="I153" s="256"/>
      <c r="J153" s="218">
        <f t="shared" si="18"/>
        <v>0</v>
      </c>
      <c r="K153" s="219" t="str">
        <f t="array" ref="K153">IFERROR(I153*INDEX('PORTIFÓLIO'!$S$4:$S$433,MATCH($C153,'PORTIFÓLIO'!$C$4:$C$433,0)),"")</f>
        <v/>
      </c>
      <c r="L153" s="219" t="str">
        <f t="array" ref="L153">IFERROR(J153*INDEX('PORTIFÓLIO'!$S$4:$S$433,MATCH($C153,'PORTIFÓLIO'!$C$4:$C$433,0)),"")</f>
        <v/>
      </c>
      <c r="M153" s="220"/>
      <c r="N153" s="220"/>
      <c r="O153" s="220"/>
      <c r="P153" s="220"/>
      <c r="Q153" s="220"/>
      <c r="R153" s="220"/>
      <c r="S153" s="220"/>
      <c r="T153" s="220"/>
      <c r="U153" s="220"/>
      <c r="V153" s="220"/>
      <c r="W153" s="220"/>
    </row>
    <row r="154" ht="15.75" customHeight="1" outlineLevel="1">
      <c r="A154" s="211"/>
      <c r="B154" s="212"/>
      <c r="C154" s="213"/>
      <c r="D154" s="214" t="str">
        <f>IFERROR(VLOOKUP($C154,'PORTIFÓLIO'!C:V,2,0),"")</f>
        <v/>
      </c>
      <c r="E154" s="211" t="str">
        <f>IFERROR(VLOOKUP($C154,'PORTIFÓLIO'!C:V,3,0),"")</f>
        <v/>
      </c>
      <c r="F154" s="211" t="str">
        <f>IFERROR(VLOOKUP($C154,'PORTIFÓLIO'!C:V,4,0),"")</f>
        <v/>
      </c>
      <c r="G154" s="215" t="str">
        <f>IFERROR(VLOOKUP($C154,'PORTIFÓLIO'!C:V,5,0),"")</f>
        <v/>
      </c>
      <c r="H154" s="254" t="str">
        <f t="array" ref="H154">IFERROR(INDEX('PORTIFÓLIO'!$H$4:$H$433,MATCH($C154,'PORTIFÓLIO'!$C$4:$C$433,0)),"")</f>
        <v/>
      </c>
      <c r="I154" s="256"/>
      <c r="J154" s="218">
        <f t="shared" si="18"/>
        <v>0</v>
      </c>
      <c r="K154" s="219" t="str">
        <f t="array" ref="K154">IFERROR(I154*INDEX('PORTIFÓLIO'!$S$4:$S$433,MATCH($C154,'PORTIFÓLIO'!$C$4:$C$433,0)),"")</f>
        <v/>
      </c>
      <c r="L154" s="219" t="str">
        <f t="array" ref="L154">IFERROR(J154*INDEX('PORTIFÓLIO'!$S$4:$S$433,MATCH($C154,'PORTIFÓLIO'!$C$4:$C$433,0)),"")</f>
        <v/>
      </c>
      <c r="M154" s="220"/>
      <c r="N154" s="220"/>
      <c r="O154" s="220"/>
      <c r="P154" s="220"/>
      <c r="Q154" s="220"/>
      <c r="R154" s="220"/>
      <c r="S154" s="220"/>
      <c r="T154" s="220"/>
      <c r="U154" s="220"/>
      <c r="V154" s="220"/>
      <c r="W154" s="220"/>
    </row>
    <row r="155" ht="15.75" customHeight="1" outlineLevel="1">
      <c r="A155" s="211"/>
      <c r="B155" s="212"/>
      <c r="C155" s="213"/>
      <c r="D155" s="214" t="str">
        <f>IFERROR(VLOOKUP($C155,'PORTIFÓLIO'!C:V,2,0),"")</f>
        <v/>
      </c>
      <c r="E155" s="211" t="str">
        <f>IFERROR(VLOOKUP($C155,'PORTIFÓLIO'!C:V,3,0),"")</f>
        <v/>
      </c>
      <c r="F155" s="211" t="str">
        <f>IFERROR(VLOOKUP($C155,'PORTIFÓLIO'!C:V,4,0),"")</f>
        <v/>
      </c>
      <c r="G155" s="215" t="str">
        <f>IFERROR(VLOOKUP($C155,'PORTIFÓLIO'!C:V,5,0),"")</f>
        <v/>
      </c>
      <c r="H155" s="254" t="str">
        <f t="array" ref="H155">IFERROR(INDEX('PORTIFÓLIO'!$H$4:$H$433,MATCH($C155,'PORTIFÓLIO'!$C$4:$C$433,0)),"")</f>
        <v/>
      </c>
      <c r="I155" s="256"/>
      <c r="J155" s="218">
        <f t="shared" si="18"/>
        <v>0</v>
      </c>
      <c r="K155" s="219" t="str">
        <f t="array" ref="K155">IFERROR(I155*INDEX('PORTIFÓLIO'!$S$4:$S$433,MATCH($C155,'PORTIFÓLIO'!$C$4:$C$433,0)),"")</f>
        <v/>
      </c>
      <c r="L155" s="219" t="str">
        <f t="array" ref="L155">IFERROR(J155*INDEX('PORTIFÓLIO'!$S$4:$S$433,MATCH($C155,'PORTIFÓLIO'!$C$4:$C$433,0)),"")</f>
        <v/>
      </c>
      <c r="M155" s="220"/>
      <c r="N155" s="220"/>
      <c r="O155" s="220"/>
      <c r="P155" s="220"/>
      <c r="Q155" s="220"/>
      <c r="R155" s="220"/>
      <c r="S155" s="220"/>
      <c r="T155" s="220"/>
      <c r="U155" s="220"/>
      <c r="V155" s="220"/>
      <c r="W155" s="220"/>
    </row>
    <row r="156" ht="15.75" customHeight="1" outlineLevel="1">
      <c r="A156" s="211"/>
      <c r="B156" s="212"/>
      <c r="C156" s="213"/>
      <c r="D156" s="214" t="str">
        <f>IFERROR(VLOOKUP($C156,'PORTIFÓLIO'!C:V,2,0),"")</f>
        <v/>
      </c>
      <c r="E156" s="211" t="str">
        <f>IFERROR(VLOOKUP($C156,'PORTIFÓLIO'!C:V,3,0),"")</f>
        <v/>
      </c>
      <c r="F156" s="211" t="str">
        <f>IFERROR(VLOOKUP($C156,'PORTIFÓLIO'!C:V,4,0),"")</f>
        <v/>
      </c>
      <c r="G156" s="215" t="str">
        <f>IFERROR(VLOOKUP($C156,'PORTIFÓLIO'!C:V,5,0),"")</f>
        <v/>
      </c>
      <c r="H156" s="254" t="str">
        <f t="array" ref="H156">IFERROR(INDEX('PORTIFÓLIO'!$H$4:$H$433,MATCH($C156,'PORTIFÓLIO'!$C$4:$C$433,0)),"")</f>
        <v/>
      </c>
      <c r="I156" s="256"/>
      <c r="J156" s="218">
        <f t="shared" si="18"/>
        <v>0</v>
      </c>
      <c r="K156" s="219" t="str">
        <f t="array" ref="K156">IFERROR(I156*INDEX('PORTIFÓLIO'!$S$4:$S$433,MATCH($C156,'PORTIFÓLIO'!$C$4:$C$433,0)),"")</f>
        <v/>
      </c>
      <c r="L156" s="219" t="str">
        <f t="array" ref="L156">IFERROR(J156*INDEX('PORTIFÓLIO'!$S$4:$S$433,MATCH($C156,'PORTIFÓLIO'!$C$4:$C$433,0)),"")</f>
        <v/>
      </c>
      <c r="M156" s="220"/>
      <c r="N156" s="220"/>
      <c r="O156" s="220"/>
      <c r="P156" s="220"/>
      <c r="Q156" s="220"/>
      <c r="R156" s="220"/>
      <c r="S156" s="220"/>
      <c r="T156" s="220"/>
      <c r="U156" s="220"/>
      <c r="V156" s="220"/>
      <c r="W156" s="220"/>
    </row>
    <row r="157" ht="15.75" customHeight="1" outlineLevel="1">
      <c r="A157" s="211"/>
      <c r="B157" s="212"/>
      <c r="C157" s="213"/>
      <c r="D157" s="214" t="str">
        <f>IFERROR(VLOOKUP($C157,'PORTIFÓLIO'!C:V,2,0),"")</f>
        <v/>
      </c>
      <c r="E157" s="211" t="str">
        <f>IFERROR(VLOOKUP($C157,'PORTIFÓLIO'!C:V,3,0),"")</f>
        <v/>
      </c>
      <c r="F157" s="211" t="str">
        <f>IFERROR(VLOOKUP($C157,'PORTIFÓLIO'!C:V,4,0),"")</f>
        <v/>
      </c>
      <c r="G157" s="215" t="str">
        <f>IFERROR(VLOOKUP($C157,'PORTIFÓLIO'!C:V,5,0),"")</f>
        <v/>
      </c>
      <c r="H157" s="254" t="str">
        <f t="array" ref="H157">IFERROR(INDEX('PORTIFÓLIO'!$H$4:$H$433,MATCH($C157,'PORTIFÓLIO'!$C$4:$C$433,0)),"")</f>
        <v/>
      </c>
      <c r="I157" s="255"/>
      <c r="J157" s="218">
        <f t="shared" si="18"/>
        <v>0</v>
      </c>
      <c r="K157" s="219" t="str">
        <f t="array" ref="K157">IFERROR(I157*INDEX('PORTIFÓLIO'!$S$4:$S$433,MATCH($C157,'PORTIFÓLIO'!$C$4:$C$433,0)),"")</f>
        <v/>
      </c>
      <c r="L157" s="219" t="str">
        <f t="array" ref="L157">IFERROR(J157*INDEX('PORTIFÓLIO'!$S$4:$S$433,MATCH($C157,'PORTIFÓLIO'!$C$4:$C$433,0)),"")</f>
        <v/>
      </c>
      <c r="M157" s="220"/>
      <c r="N157" s="220"/>
      <c r="O157" s="220"/>
      <c r="P157" s="220"/>
      <c r="Q157" s="220"/>
      <c r="R157" s="220"/>
      <c r="S157" s="220"/>
      <c r="T157" s="220"/>
      <c r="U157" s="220"/>
      <c r="V157" s="220"/>
      <c r="W157" s="220"/>
    </row>
    <row r="158" ht="15.75" customHeight="1" outlineLevel="1">
      <c r="A158" s="211"/>
      <c r="B158" s="212"/>
      <c r="C158" s="213"/>
      <c r="D158" s="214" t="str">
        <f>IFERROR(VLOOKUP($C158,'PORTIFÓLIO'!C:V,2,0),"")</f>
        <v/>
      </c>
      <c r="E158" s="211" t="str">
        <f>IFERROR(VLOOKUP($C158,'PORTIFÓLIO'!C:V,3,0),"")</f>
        <v/>
      </c>
      <c r="F158" s="211" t="str">
        <f>IFERROR(VLOOKUP($C158,'PORTIFÓLIO'!C:V,4,0),"")</f>
        <v/>
      </c>
      <c r="G158" s="215" t="str">
        <f>IFERROR(VLOOKUP($C158,'PORTIFÓLIO'!C:V,5,0),"")</f>
        <v/>
      </c>
      <c r="H158" s="254" t="str">
        <f t="array" ref="H158">IFERROR(INDEX('PORTIFÓLIO'!$H$4:$H$433,MATCH($C158,'PORTIFÓLIO'!$C$4:$C$433,0)),"")</f>
        <v/>
      </c>
      <c r="I158" s="256"/>
      <c r="J158" s="218">
        <f t="shared" si="18"/>
        <v>0</v>
      </c>
      <c r="K158" s="219" t="str">
        <f t="array" ref="K158">IFERROR(I158*INDEX('PORTIFÓLIO'!$S$4:$S$433,MATCH($C158,'PORTIFÓLIO'!$C$4:$C$433,0)),"")</f>
        <v/>
      </c>
      <c r="L158" s="219" t="str">
        <f t="array" ref="L158">IFERROR(J158*INDEX('PORTIFÓLIO'!$S$4:$S$433,MATCH($C158,'PORTIFÓLIO'!$C$4:$C$433,0)),"")</f>
        <v/>
      </c>
      <c r="M158" s="220"/>
      <c r="N158" s="220"/>
      <c r="O158" s="220"/>
      <c r="P158" s="220"/>
      <c r="Q158" s="220"/>
      <c r="R158" s="220"/>
      <c r="S158" s="220"/>
      <c r="T158" s="220"/>
      <c r="U158" s="220"/>
      <c r="V158" s="220"/>
      <c r="W158" s="220"/>
    </row>
    <row r="159" ht="15.75" customHeight="1" outlineLevel="1">
      <c r="A159" s="211"/>
      <c r="B159" s="212"/>
      <c r="C159" s="213"/>
      <c r="D159" s="214" t="str">
        <f>IFERROR(VLOOKUP($C159,'PORTIFÓLIO'!C:V,2,0),"")</f>
        <v/>
      </c>
      <c r="E159" s="211" t="str">
        <f>IFERROR(VLOOKUP($C159,'PORTIFÓLIO'!C:V,3,0),"")</f>
        <v/>
      </c>
      <c r="F159" s="211" t="str">
        <f>IFERROR(VLOOKUP($C159,'PORTIFÓLIO'!C:V,4,0),"")</f>
        <v/>
      </c>
      <c r="G159" s="215" t="str">
        <f>IFERROR(VLOOKUP($C159,'PORTIFÓLIO'!C:V,5,0),"")</f>
        <v/>
      </c>
      <c r="H159" s="254" t="str">
        <f t="array" ref="H159">IFERROR(INDEX('PORTIFÓLIO'!$H$4:$H$433,MATCH($C159,'PORTIFÓLIO'!$C$4:$C$433,0)),"")</f>
        <v/>
      </c>
      <c r="I159" s="256"/>
      <c r="J159" s="218">
        <f t="shared" si="18"/>
        <v>0</v>
      </c>
      <c r="K159" s="219" t="str">
        <f t="array" ref="K159">IFERROR(I159*INDEX('PORTIFÓLIO'!$S$4:$S$433,MATCH($C159,'PORTIFÓLIO'!$C$4:$C$433,0)),"")</f>
        <v/>
      </c>
      <c r="L159" s="219" t="str">
        <f t="array" ref="L159">IFERROR(J159*INDEX('PORTIFÓLIO'!$S$4:$S$433,MATCH($C159,'PORTIFÓLIO'!$C$4:$C$433,0)),"")</f>
        <v/>
      </c>
      <c r="M159" s="220"/>
      <c r="N159" s="220"/>
      <c r="O159" s="220"/>
      <c r="P159" s="220"/>
      <c r="Q159" s="220"/>
      <c r="R159" s="220"/>
      <c r="S159" s="220"/>
      <c r="T159" s="220"/>
      <c r="U159" s="220"/>
      <c r="V159" s="220"/>
      <c r="W159" s="220"/>
    </row>
    <row r="160" ht="15.75" customHeight="1" outlineLevel="1">
      <c r="A160" s="211"/>
      <c r="B160" s="212"/>
      <c r="C160" s="213"/>
      <c r="D160" s="214" t="str">
        <f>IFERROR(VLOOKUP($C160,'PORTIFÓLIO'!C:V,2,0),"")</f>
        <v/>
      </c>
      <c r="E160" s="211" t="str">
        <f>IFERROR(VLOOKUP($C160,'PORTIFÓLIO'!C:V,3,0),"")</f>
        <v/>
      </c>
      <c r="F160" s="211" t="str">
        <f>IFERROR(VLOOKUP($C160,'PORTIFÓLIO'!C:V,4,0),"")</f>
        <v/>
      </c>
      <c r="G160" s="215" t="str">
        <f>IFERROR(VLOOKUP($C160,'PORTIFÓLIO'!C:V,5,0),"")</f>
        <v/>
      </c>
      <c r="H160" s="254" t="str">
        <f t="array" ref="H160">IFERROR(INDEX('PORTIFÓLIO'!$H$4:$H$433,MATCH($C160,'PORTIFÓLIO'!$C$4:$C$433,0)),"")</f>
        <v/>
      </c>
      <c r="I160" s="256"/>
      <c r="J160" s="218">
        <f t="shared" si="18"/>
        <v>0</v>
      </c>
      <c r="K160" s="219" t="str">
        <f t="array" ref="K160">IFERROR(I160*INDEX('PORTIFÓLIO'!$S$4:$S$433,MATCH($C160,'PORTIFÓLIO'!$C$4:$C$433,0)),"")</f>
        <v/>
      </c>
      <c r="L160" s="219" t="str">
        <f t="array" ref="L160">IFERROR(J160*INDEX('PORTIFÓLIO'!$S$4:$S$433,MATCH($C160,'PORTIFÓLIO'!$C$4:$C$433,0)),"")</f>
        <v/>
      </c>
      <c r="M160" s="220"/>
      <c r="N160" s="220"/>
      <c r="O160" s="220"/>
      <c r="P160" s="220"/>
      <c r="Q160" s="220"/>
      <c r="R160" s="220"/>
      <c r="S160" s="220"/>
      <c r="T160" s="220"/>
      <c r="U160" s="220"/>
      <c r="V160" s="220"/>
      <c r="W160" s="220"/>
    </row>
    <row r="161" ht="15.75" customHeight="1" outlineLevel="1">
      <c r="A161" s="211"/>
      <c r="B161" s="212"/>
      <c r="C161" s="213"/>
      <c r="D161" s="214" t="str">
        <f>IFERROR(VLOOKUP($C161,'PORTIFÓLIO'!C:V,2,0),"")</f>
        <v/>
      </c>
      <c r="E161" s="211" t="str">
        <f>IFERROR(VLOOKUP($C161,'PORTIFÓLIO'!C:V,3,0),"")</f>
        <v/>
      </c>
      <c r="F161" s="211" t="str">
        <f>IFERROR(VLOOKUP($C161,'PORTIFÓLIO'!C:V,4,0),"")</f>
        <v/>
      </c>
      <c r="G161" s="215" t="str">
        <f>IFERROR(VLOOKUP($C161,'PORTIFÓLIO'!C:V,5,0),"")</f>
        <v/>
      </c>
      <c r="H161" s="254" t="str">
        <f t="array" ref="H161">IFERROR(INDEX('PORTIFÓLIO'!$H$4:$H$433,MATCH($C161,'PORTIFÓLIO'!$C$4:$C$433,0)),"")</f>
        <v/>
      </c>
      <c r="I161" s="256"/>
      <c r="J161" s="218">
        <f t="shared" si="18"/>
        <v>0</v>
      </c>
      <c r="K161" s="219" t="str">
        <f t="array" ref="K161">IFERROR(I161*INDEX('PORTIFÓLIO'!$S$4:$S$433,MATCH($C161,'PORTIFÓLIO'!$C$4:$C$433,0)),"")</f>
        <v/>
      </c>
      <c r="L161" s="219" t="str">
        <f t="array" ref="L161">IFERROR(J161*INDEX('PORTIFÓLIO'!$S$4:$S$433,MATCH($C161,'PORTIFÓLIO'!$C$4:$C$433,0)),"")</f>
        <v/>
      </c>
      <c r="M161" s="220"/>
      <c r="N161" s="220"/>
      <c r="O161" s="220"/>
      <c r="P161" s="220"/>
      <c r="Q161" s="220"/>
      <c r="R161" s="220"/>
      <c r="S161" s="220"/>
      <c r="T161" s="220"/>
      <c r="U161" s="220"/>
      <c r="V161" s="220"/>
      <c r="W161" s="220"/>
    </row>
    <row r="162" ht="15.75" customHeight="1" outlineLevel="1">
      <c r="A162" s="211"/>
      <c r="B162" s="212"/>
      <c r="C162" s="213"/>
      <c r="D162" s="214" t="str">
        <f>IFERROR(VLOOKUP($C162,'PORTIFÓLIO'!C:V,2,0),"")</f>
        <v/>
      </c>
      <c r="E162" s="211" t="str">
        <f>IFERROR(VLOOKUP($C162,'PORTIFÓLIO'!C:V,3,0),"")</f>
        <v/>
      </c>
      <c r="F162" s="211" t="str">
        <f>IFERROR(VLOOKUP($C162,'PORTIFÓLIO'!C:V,4,0),"")</f>
        <v/>
      </c>
      <c r="G162" s="215" t="str">
        <f>IFERROR(VLOOKUP($C162,'PORTIFÓLIO'!C:V,5,0),"")</f>
        <v/>
      </c>
      <c r="H162" s="254" t="str">
        <f t="array" ref="H162">IFERROR(INDEX('PORTIFÓLIO'!$H$4:$H$433,MATCH($C162,'PORTIFÓLIO'!$C$4:$C$433,0)),"")</f>
        <v/>
      </c>
      <c r="I162" s="256"/>
      <c r="J162" s="218">
        <f t="shared" si="18"/>
        <v>0</v>
      </c>
      <c r="K162" s="219" t="str">
        <f t="array" ref="K162">IFERROR(I162*INDEX('PORTIFÓLIO'!$S$4:$S$433,MATCH($C162,'PORTIFÓLIO'!$C$4:$C$433,0)),"")</f>
        <v/>
      </c>
      <c r="L162" s="219" t="str">
        <f t="array" ref="L162">IFERROR(J162*INDEX('PORTIFÓLIO'!$S$4:$S$433,MATCH($C162,'PORTIFÓLIO'!$C$4:$C$433,0)),"")</f>
        <v/>
      </c>
      <c r="M162" s="220"/>
      <c r="N162" s="220"/>
      <c r="O162" s="220"/>
      <c r="P162" s="220"/>
      <c r="Q162" s="220"/>
      <c r="R162" s="220"/>
      <c r="S162" s="220"/>
      <c r="T162" s="220"/>
      <c r="U162" s="220"/>
      <c r="V162" s="220"/>
      <c r="W162" s="220"/>
    </row>
    <row r="163" ht="15.75" customHeight="1" outlineLevel="1">
      <c r="A163" s="211"/>
      <c r="B163" s="212"/>
      <c r="C163" s="213"/>
      <c r="D163" s="214" t="str">
        <f>IFERROR(VLOOKUP($C163,'PORTIFÓLIO'!C:V,2,0),"")</f>
        <v/>
      </c>
      <c r="E163" s="211" t="str">
        <f>IFERROR(VLOOKUP($C163,'PORTIFÓLIO'!C:V,3,0),"")</f>
        <v/>
      </c>
      <c r="F163" s="211" t="str">
        <f>IFERROR(VLOOKUP($C163,'PORTIFÓLIO'!C:V,4,0),"")</f>
        <v/>
      </c>
      <c r="G163" s="215" t="str">
        <f>IFERROR(VLOOKUP($C163,'PORTIFÓLIO'!C:V,5,0),"")</f>
        <v/>
      </c>
      <c r="H163" s="254" t="str">
        <f t="array" ref="H163">IFERROR(INDEX('PORTIFÓLIO'!$H$4:$H$433,MATCH($C163,'PORTIFÓLIO'!$C$4:$C$433,0)),"")</f>
        <v/>
      </c>
      <c r="I163" s="256"/>
      <c r="J163" s="218">
        <f t="shared" si="18"/>
        <v>0</v>
      </c>
      <c r="K163" s="219" t="str">
        <f t="array" ref="K163">IFERROR(I163*INDEX('PORTIFÓLIO'!$S$4:$S$433,MATCH($C163,'PORTIFÓLIO'!$C$4:$C$433,0)),"")</f>
        <v/>
      </c>
      <c r="L163" s="219" t="str">
        <f t="array" ref="L163">IFERROR(J163*INDEX('PORTIFÓLIO'!$S$4:$S$433,MATCH($C163,'PORTIFÓLIO'!$C$4:$C$433,0)),"")</f>
        <v/>
      </c>
      <c r="M163" s="220"/>
      <c r="N163" s="220"/>
      <c r="O163" s="220"/>
      <c r="P163" s="220"/>
      <c r="Q163" s="220"/>
      <c r="R163" s="220"/>
      <c r="S163" s="220"/>
      <c r="T163" s="220"/>
      <c r="U163" s="220"/>
      <c r="V163" s="220"/>
      <c r="W163" s="220"/>
    </row>
    <row r="164" ht="15.75" customHeight="1" outlineLevel="1">
      <c r="A164" s="211"/>
      <c r="B164" s="227"/>
      <c r="C164" s="211"/>
      <c r="D164" s="214" t="str">
        <f>IFERROR(VLOOKUP($C164,'PORTIFÓLIO'!C:V,2,0),"")</f>
        <v/>
      </c>
      <c r="E164" s="211" t="str">
        <f>IFERROR(VLOOKUP($C164,'PORTIFÓLIO'!C:V,3,0),"")</f>
        <v/>
      </c>
      <c r="F164" s="211" t="str">
        <f>IFERROR(VLOOKUP($C164,'PORTIFÓLIO'!C:V,4,0),"")</f>
        <v/>
      </c>
      <c r="G164" s="215" t="str">
        <f>IFERROR(VLOOKUP($C164,'PORTIFÓLIO'!C:V,5,0),"")</f>
        <v/>
      </c>
      <c r="H164" s="254" t="str">
        <f t="array" ref="H164">IFERROR(INDEX('PORTIFÓLIO'!$H$4:$H$433,MATCH($C164,'PORTIFÓLIO'!$C$4:$C$433,0)),"")</f>
        <v/>
      </c>
      <c r="I164" s="256"/>
      <c r="J164" s="218"/>
      <c r="K164" s="219" t="str">
        <f t="array" ref="K164">IFERROR(I164*INDEX('PORTIFÓLIO'!$S$4:$S$433,MATCH($C164,'PORTIFÓLIO'!$C$4:$C$433,0)),"")</f>
        <v/>
      </c>
      <c r="L164" s="219" t="str">
        <f t="array" ref="L164">IFERROR(J164*INDEX('PORTIFÓLIO'!$S$4:$S$433,MATCH($C164,'PORTIFÓLIO'!$C$4:$C$433,0)),"")</f>
        <v/>
      </c>
      <c r="M164" s="220"/>
      <c r="N164" s="220"/>
      <c r="O164" s="220"/>
      <c r="P164" s="220"/>
      <c r="Q164" s="220"/>
      <c r="R164" s="220"/>
      <c r="S164" s="220"/>
      <c r="T164" s="220"/>
      <c r="U164" s="220"/>
      <c r="V164" s="220"/>
      <c r="W164" s="220"/>
    </row>
    <row r="165" ht="15.75" customHeight="1">
      <c r="A165" s="229" t="s">
        <v>1193</v>
      </c>
      <c r="B165" s="230"/>
      <c r="C165" s="231"/>
      <c r="D165" s="232"/>
      <c r="E165" s="231"/>
      <c r="F165" s="231"/>
      <c r="G165" s="233"/>
      <c r="H165" s="233"/>
      <c r="I165" s="258"/>
      <c r="J165" s="236"/>
      <c r="K165" s="237">
        <f t="shared" ref="K165:L165" si="19">SUBTOTAL(9,K166:K179)</f>
        <v>50.69456</v>
      </c>
      <c r="L165" s="237">
        <f t="shared" si="19"/>
        <v>6083.3472</v>
      </c>
      <c r="M165" s="220"/>
      <c r="N165" s="220"/>
      <c r="O165" s="220"/>
      <c r="P165" s="220"/>
      <c r="Q165" s="220"/>
      <c r="R165" s="220"/>
      <c r="S165" s="220"/>
      <c r="T165" s="220"/>
      <c r="U165" s="220"/>
      <c r="V165" s="220"/>
      <c r="W165" s="220"/>
    </row>
    <row r="166" ht="15.75" customHeight="1" outlineLevel="1">
      <c r="A166" s="213"/>
      <c r="B166" s="212" t="s">
        <v>1</v>
      </c>
      <c r="C166" s="213" t="s">
        <v>742</v>
      </c>
      <c r="D166" s="214" t="str">
        <f>IFERROR(VLOOKUP($C166,'PORTIFÓLIO'!C:V,2,0),"")</f>
        <v>DIQUATE</v>
      </c>
      <c r="E166" s="211">
        <f>IFERROR(VLOOKUP($C166,'PORTIFÓLIO'!C:V,3,0),"")</f>
        <v>200</v>
      </c>
      <c r="F166" s="211" t="str">
        <f>IFERROR(VLOOKUP($C166,'PORTIFÓLIO'!C:V,4,0),"")</f>
        <v>L</v>
      </c>
      <c r="G166" s="225" t="str">
        <f>IFERROR(VLOOKUP($C166,'PORTIFÓLIO'!C:V,5,0),"")</f>
        <v>📄 Ver bula</v>
      </c>
      <c r="H166" s="254">
        <f t="array" ref="H166">IFERROR(INDEX('PORTIFÓLIO'!$H$4:$H$433,MATCH($C166,'PORTIFÓLIO'!$C$4:$C$433,0)),"")</f>
        <v>2</v>
      </c>
      <c r="I166" s="255">
        <v>2.0</v>
      </c>
      <c r="J166" s="218">
        <f t="shared" ref="J166:J181" si="20">I166*$B$2</f>
        <v>240</v>
      </c>
      <c r="K166" s="219">
        <f t="array" ref="K166">IFERROR(I166*INDEX('PORTIFÓLIO'!$S$4:$S$433,MATCH($C166,'PORTIFÓLIO'!$C$4:$C$433,0)),"")</f>
        <v>47.48856</v>
      </c>
      <c r="L166" s="219">
        <f t="array" ref="L166">IFERROR(J166*INDEX('PORTIFÓLIO'!$S$4:$S$433,MATCH($C166,'PORTIFÓLIO'!$C$4:$C$433,0)),"")</f>
        <v>5698.6272</v>
      </c>
      <c r="M166" s="220"/>
      <c r="N166" s="220"/>
      <c r="O166" s="220"/>
      <c r="P166" s="220"/>
      <c r="Q166" s="220"/>
      <c r="R166" s="220"/>
      <c r="S166" s="220"/>
      <c r="T166" s="220"/>
      <c r="U166" s="220"/>
      <c r="V166" s="220"/>
      <c r="W166" s="220"/>
    </row>
    <row r="167" ht="15.75" customHeight="1" outlineLevel="1">
      <c r="A167" s="211"/>
      <c r="B167" s="212" t="s">
        <v>6</v>
      </c>
      <c r="C167" s="213" t="s">
        <v>354</v>
      </c>
      <c r="D167" s="214" t="str">
        <f>IFERROR(VLOOKUP($C167,'PORTIFÓLIO'!C:V,2,0),"")</f>
        <v>OLEO MINERAL</v>
      </c>
      <c r="E167" s="211">
        <f>IFERROR(VLOOKUP($C167,'PORTIFÓLIO'!C:V,3,0),"")</f>
        <v>761</v>
      </c>
      <c r="F167" s="211" t="str">
        <f>IFERROR(VLOOKUP($C167,'PORTIFÓLIO'!C:V,4,0),"")</f>
        <v>L</v>
      </c>
      <c r="G167" s="225" t="str">
        <f>IFERROR(VLOOKUP($C167,'PORTIFÓLIO'!C:V,5,0),"")</f>
        <v>📄 Ver bula</v>
      </c>
      <c r="H167" s="254">
        <f t="array" ref="H167">IFERROR(INDEX('PORTIFÓLIO'!$H$4:$H$433,MATCH($C167,'PORTIFÓLIO'!$C$4:$C$433,0)),"")</f>
        <v>0.2</v>
      </c>
      <c r="I167" s="255">
        <v>0.2</v>
      </c>
      <c r="J167" s="218">
        <f t="shared" si="20"/>
        <v>24</v>
      </c>
      <c r="K167" s="219">
        <f t="array" ref="K167">IFERROR(I167*INDEX('PORTIFÓLIO'!$S$4:$S$433,MATCH($C167,'PORTIFÓLIO'!$C$4:$C$433,0)),"")</f>
        <v>3.206</v>
      </c>
      <c r="L167" s="219">
        <f t="array" ref="L167">IFERROR(J167*INDEX('PORTIFÓLIO'!$S$4:$S$433,MATCH($C167,'PORTIFÓLIO'!$C$4:$C$433,0)),"")</f>
        <v>384.72</v>
      </c>
      <c r="M167" s="220"/>
      <c r="N167" s="220"/>
      <c r="O167" s="220"/>
      <c r="P167" s="220"/>
      <c r="Q167" s="220"/>
      <c r="R167" s="220"/>
      <c r="S167" s="220"/>
      <c r="T167" s="220"/>
      <c r="U167" s="220"/>
      <c r="V167" s="220"/>
      <c r="W167" s="220"/>
    </row>
    <row r="168" ht="15.75" customHeight="1" outlineLevel="1">
      <c r="A168" s="211"/>
      <c r="B168" s="212"/>
      <c r="C168" s="213"/>
      <c r="D168" s="214" t="str">
        <f>IFERROR(VLOOKUP($C168,'PORTIFÓLIO'!C:V,2,0),"")</f>
        <v/>
      </c>
      <c r="E168" s="211" t="str">
        <f>IFERROR(VLOOKUP($C168,'PORTIFÓLIO'!C:V,3,0),"")</f>
        <v/>
      </c>
      <c r="F168" s="211" t="str">
        <f>IFERROR(VLOOKUP($C168,'PORTIFÓLIO'!C:V,4,0),"")</f>
        <v/>
      </c>
      <c r="G168" s="215" t="str">
        <f>IFERROR(VLOOKUP($C168,'PORTIFÓLIO'!C:V,5,0),"")</f>
        <v/>
      </c>
      <c r="H168" s="254" t="str">
        <f t="array" ref="H168">IFERROR(INDEX('PORTIFÓLIO'!$H$4:$H$433,MATCH($C168,'PORTIFÓLIO'!$C$4:$C$433,0)),"")</f>
        <v/>
      </c>
      <c r="I168" s="256"/>
      <c r="J168" s="218">
        <f t="shared" si="20"/>
        <v>0</v>
      </c>
      <c r="K168" s="219" t="str">
        <f t="array" ref="K168">IFERROR(I168*INDEX('PORTIFÓLIO'!$S$4:$S$433,MATCH($C168,'PORTIFÓLIO'!$C$4:$C$433,0)),"")</f>
        <v/>
      </c>
      <c r="L168" s="219" t="str">
        <f t="array" ref="L168">IFERROR(J168*INDEX('PORTIFÓLIO'!$S$4:$S$433,MATCH($C168,'PORTIFÓLIO'!$C$4:$C$433,0)),"")</f>
        <v/>
      </c>
      <c r="M168" s="220"/>
      <c r="N168" s="220"/>
      <c r="O168" s="220"/>
      <c r="P168" s="220"/>
      <c r="Q168" s="220"/>
      <c r="R168" s="220"/>
      <c r="S168" s="220"/>
      <c r="T168" s="220"/>
      <c r="U168" s="220"/>
      <c r="V168" s="220"/>
      <c r="W168" s="220"/>
    </row>
    <row r="169" ht="15.75" customHeight="1" outlineLevel="1">
      <c r="A169" s="211"/>
      <c r="B169" s="212"/>
      <c r="C169" s="213"/>
      <c r="D169" s="214" t="str">
        <f>IFERROR(VLOOKUP($C169,'PORTIFÓLIO'!C:V,2,0),"")</f>
        <v/>
      </c>
      <c r="E169" s="211" t="str">
        <f>IFERROR(VLOOKUP($C169,'PORTIFÓLIO'!C:V,3,0),"")</f>
        <v/>
      </c>
      <c r="F169" s="211" t="str">
        <f>IFERROR(VLOOKUP($C169,'PORTIFÓLIO'!C:V,4,0),"")</f>
        <v/>
      </c>
      <c r="G169" s="215" t="str">
        <f>IFERROR(VLOOKUP($C169,'PORTIFÓLIO'!C:V,5,0),"")</f>
        <v/>
      </c>
      <c r="H169" s="254" t="str">
        <f t="array" ref="H169">IFERROR(INDEX('PORTIFÓLIO'!$H$4:$H$433,MATCH($C169,'PORTIFÓLIO'!$C$4:$C$433,0)),"")</f>
        <v/>
      </c>
      <c r="I169" s="256"/>
      <c r="J169" s="218">
        <f t="shared" si="20"/>
        <v>0</v>
      </c>
      <c r="K169" s="219" t="str">
        <f t="array" ref="K169">IFERROR(I169*INDEX('PORTIFÓLIO'!$S$4:$S$433,MATCH($C169,'PORTIFÓLIO'!$C$4:$C$433,0)),"")</f>
        <v/>
      </c>
      <c r="L169" s="219" t="str">
        <f t="array" ref="L169">IFERROR(J169*INDEX('PORTIFÓLIO'!$S$4:$S$433,MATCH($C169,'PORTIFÓLIO'!$C$4:$C$433,0)),"")</f>
        <v/>
      </c>
      <c r="M169" s="220"/>
      <c r="N169" s="220"/>
      <c r="O169" s="220"/>
      <c r="P169" s="220"/>
      <c r="Q169" s="220"/>
      <c r="R169" s="220"/>
      <c r="S169" s="220"/>
      <c r="T169" s="220"/>
      <c r="U169" s="220"/>
      <c r="V169" s="220"/>
      <c r="W169" s="220"/>
    </row>
    <row r="170" ht="15.75" customHeight="1" outlineLevel="1">
      <c r="A170" s="211"/>
      <c r="B170" s="212"/>
      <c r="C170" s="213"/>
      <c r="D170" s="214" t="str">
        <f>IFERROR(VLOOKUP($C170,'PORTIFÓLIO'!C:V,2,0),"")</f>
        <v/>
      </c>
      <c r="E170" s="211" t="str">
        <f>IFERROR(VLOOKUP($C170,'PORTIFÓLIO'!C:V,3,0),"")</f>
        <v/>
      </c>
      <c r="F170" s="211" t="str">
        <f>IFERROR(VLOOKUP($C170,'PORTIFÓLIO'!C:V,4,0),"")</f>
        <v/>
      </c>
      <c r="G170" s="215" t="str">
        <f>IFERROR(VLOOKUP($C170,'PORTIFÓLIO'!C:V,5,0),"")</f>
        <v/>
      </c>
      <c r="H170" s="254" t="str">
        <f t="array" ref="H170">IFERROR(INDEX('PORTIFÓLIO'!$H$4:$H$433,MATCH($C170,'PORTIFÓLIO'!$C$4:$C$433,0)),"")</f>
        <v/>
      </c>
      <c r="I170" s="256"/>
      <c r="J170" s="218">
        <f t="shared" si="20"/>
        <v>0</v>
      </c>
      <c r="K170" s="219" t="str">
        <f t="array" ref="K170">IFERROR(I170*INDEX('PORTIFÓLIO'!$S$4:$S$433,MATCH($C170,'PORTIFÓLIO'!$C$4:$C$433,0)),"")</f>
        <v/>
      </c>
      <c r="L170" s="219" t="str">
        <f t="array" ref="L170">IFERROR(J170*INDEX('PORTIFÓLIO'!$S$4:$S$433,MATCH($C170,'PORTIFÓLIO'!$C$4:$C$433,0)),"")</f>
        <v/>
      </c>
      <c r="M170" s="220"/>
      <c r="N170" s="220"/>
      <c r="O170" s="220"/>
      <c r="P170" s="220"/>
      <c r="Q170" s="220"/>
      <c r="R170" s="220"/>
      <c r="S170" s="220"/>
      <c r="T170" s="220"/>
      <c r="U170" s="220"/>
      <c r="V170" s="220"/>
      <c r="W170" s="220"/>
    </row>
    <row r="171" ht="15.75" customHeight="1" outlineLevel="1">
      <c r="A171" s="211"/>
      <c r="B171" s="212"/>
      <c r="C171" s="213"/>
      <c r="D171" s="214" t="str">
        <f>IFERROR(VLOOKUP($C171,'PORTIFÓLIO'!C:V,2,0),"")</f>
        <v/>
      </c>
      <c r="E171" s="211" t="str">
        <f>IFERROR(VLOOKUP($C171,'PORTIFÓLIO'!C:V,3,0),"")</f>
        <v/>
      </c>
      <c r="F171" s="211" t="str">
        <f>IFERROR(VLOOKUP($C171,'PORTIFÓLIO'!C:V,4,0),"")</f>
        <v/>
      </c>
      <c r="G171" s="215" t="str">
        <f>IFERROR(VLOOKUP($C171,'PORTIFÓLIO'!C:V,5,0),"")</f>
        <v/>
      </c>
      <c r="H171" s="254" t="str">
        <f t="array" ref="H171">IFERROR(INDEX('PORTIFÓLIO'!$H$4:$H$433,MATCH($C171,'PORTIFÓLIO'!$C$4:$C$433,0)),"")</f>
        <v/>
      </c>
      <c r="I171" s="256"/>
      <c r="J171" s="218">
        <f t="shared" si="20"/>
        <v>0</v>
      </c>
      <c r="K171" s="219" t="str">
        <f t="array" ref="K171">IFERROR(I171*INDEX('PORTIFÓLIO'!$S$4:$S$433,MATCH($C171,'PORTIFÓLIO'!$C$4:$C$433,0)),"")</f>
        <v/>
      </c>
      <c r="L171" s="219" t="str">
        <f t="array" ref="L171">IFERROR(J171*INDEX('PORTIFÓLIO'!$S$4:$S$433,MATCH($C171,'PORTIFÓLIO'!$C$4:$C$433,0)),"")</f>
        <v/>
      </c>
      <c r="M171" s="220"/>
      <c r="N171" s="220"/>
      <c r="O171" s="220"/>
      <c r="P171" s="220"/>
      <c r="Q171" s="220"/>
      <c r="R171" s="220"/>
      <c r="S171" s="220"/>
      <c r="T171" s="220"/>
      <c r="U171" s="220"/>
      <c r="V171" s="220"/>
      <c r="W171" s="220"/>
    </row>
    <row r="172" ht="15.75" customHeight="1" outlineLevel="1">
      <c r="A172" s="211"/>
      <c r="B172" s="212"/>
      <c r="C172" s="213"/>
      <c r="D172" s="214" t="str">
        <f>IFERROR(VLOOKUP($C172,'PORTIFÓLIO'!C:V,2,0),"")</f>
        <v/>
      </c>
      <c r="E172" s="211" t="str">
        <f>IFERROR(VLOOKUP($C172,'PORTIFÓLIO'!C:V,3,0),"")</f>
        <v/>
      </c>
      <c r="F172" s="211" t="str">
        <f>IFERROR(VLOOKUP($C172,'PORTIFÓLIO'!C:V,4,0),"")</f>
        <v/>
      </c>
      <c r="G172" s="215" t="str">
        <f>IFERROR(VLOOKUP($C172,'PORTIFÓLIO'!C:V,5,0),"")</f>
        <v/>
      </c>
      <c r="H172" s="254" t="str">
        <f t="array" ref="H172">IFERROR(INDEX('PORTIFÓLIO'!$H$4:$H$433,MATCH($C172,'PORTIFÓLIO'!$C$4:$C$433,0)),"")</f>
        <v/>
      </c>
      <c r="I172" s="256"/>
      <c r="J172" s="218">
        <f t="shared" si="20"/>
        <v>0</v>
      </c>
      <c r="K172" s="219" t="str">
        <f t="array" ref="K172">IFERROR(I172*INDEX('PORTIFÓLIO'!$S$4:$S$433,MATCH($C172,'PORTIFÓLIO'!$C$4:$C$433,0)),"")</f>
        <v/>
      </c>
      <c r="L172" s="219" t="str">
        <f t="array" ref="L172">IFERROR(J172*INDEX('PORTIFÓLIO'!$S$4:$S$433,MATCH($C172,'PORTIFÓLIO'!$C$4:$C$433,0)),"")</f>
        <v/>
      </c>
      <c r="M172" s="220"/>
      <c r="N172" s="220"/>
      <c r="O172" s="220"/>
      <c r="P172" s="220"/>
      <c r="Q172" s="220"/>
      <c r="R172" s="220"/>
      <c r="S172" s="220"/>
      <c r="T172" s="220"/>
      <c r="U172" s="220"/>
      <c r="V172" s="220"/>
      <c r="W172" s="220"/>
    </row>
    <row r="173" ht="15.75" customHeight="1" outlineLevel="1">
      <c r="A173" s="211"/>
      <c r="B173" s="212"/>
      <c r="C173" s="213"/>
      <c r="D173" s="214" t="str">
        <f>IFERROR(VLOOKUP($C173,'PORTIFÓLIO'!C:V,2,0),"")</f>
        <v/>
      </c>
      <c r="E173" s="211" t="str">
        <f>IFERROR(VLOOKUP($C173,'PORTIFÓLIO'!C:V,3,0),"")</f>
        <v/>
      </c>
      <c r="F173" s="211" t="str">
        <f>IFERROR(VLOOKUP($C173,'PORTIFÓLIO'!C:V,4,0),"")</f>
        <v/>
      </c>
      <c r="G173" s="215" t="str">
        <f>IFERROR(VLOOKUP($C173,'PORTIFÓLIO'!C:V,5,0),"")</f>
        <v/>
      </c>
      <c r="H173" s="254" t="str">
        <f t="array" ref="H173">IFERROR(INDEX('PORTIFÓLIO'!$H$4:$H$433,MATCH($C173,'PORTIFÓLIO'!$C$4:$C$433,0)),"")</f>
        <v/>
      </c>
      <c r="I173" s="256"/>
      <c r="J173" s="218">
        <f t="shared" si="20"/>
        <v>0</v>
      </c>
      <c r="K173" s="219" t="str">
        <f t="array" ref="K173">IFERROR(I173*INDEX('PORTIFÓLIO'!$S$4:$S$433,MATCH($C173,'PORTIFÓLIO'!$C$4:$C$433,0)),"")</f>
        <v/>
      </c>
      <c r="L173" s="219" t="str">
        <f t="array" ref="L173">IFERROR(J173*INDEX('PORTIFÓLIO'!$S$4:$S$433,MATCH($C173,'PORTIFÓLIO'!$C$4:$C$433,0)),"")</f>
        <v/>
      </c>
      <c r="M173" s="220"/>
      <c r="N173" s="220"/>
      <c r="O173" s="220"/>
      <c r="P173" s="220"/>
      <c r="Q173" s="220"/>
      <c r="R173" s="220"/>
      <c r="S173" s="220"/>
      <c r="T173" s="220"/>
      <c r="U173" s="220"/>
      <c r="V173" s="220"/>
      <c r="W173" s="220"/>
    </row>
    <row r="174" ht="15.75" customHeight="1" outlineLevel="1">
      <c r="A174" s="211"/>
      <c r="B174" s="212"/>
      <c r="C174" s="213"/>
      <c r="D174" s="214" t="str">
        <f>IFERROR(VLOOKUP($C174,'PORTIFÓLIO'!C:V,2,0),"")</f>
        <v/>
      </c>
      <c r="E174" s="211" t="str">
        <f>IFERROR(VLOOKUP($C174,'PORTIFÓLIO'!C:V,3,0),"")</f>
        <v/>
      </c>
      <c r="F174" s="211" t="str">
        <f>IFERROR(VLOOKUP($C174,'PORTIFÓLIO'!C:V,4,0),"")</f>
        <v/>
      </c>
      <c r="G174" s="215" t="str">
        <f>IFERROR(VLOOKUP($C174,'PORTIFÓLIO'!C:V,5,0),"")</f>
        <v/>
      </c>
      <c r="H174" s="254" t="str">
        <f t="array" ref="H174">IFERROR(INDEX('PORTIFÓLIO'!$H$4:$H$433,MATCH($C174,'PORTIFÓLIO'!$C$4:$C$433,0)),"")</f>
        <v/>
      </c>
      <c r="I174" s="255"/>
      <c r="J174" s="218">
        <f t="shared" si="20"/>
        <v>0</v>
      </c>
      <c r="K174" s="219" t="str">
        <f t="array" ref="K174">IFERROR(I174*INDEX('PORTIFÓLIO'!$S$4:$S$433,MATCH($C174,'PORTIFÓLIO'!$C$4:$C$433,0)),"")</f>
        <v/>
      </c>
      <c r="L174" s="219" t="str">
        <f t="array" ref="L174">IFERROR(J174*INDEX('PORTIFÓLIO'!$S$4:$S$433,MATCH($C174,'PORTIFÓLIO'!$C$4:$C$433,0)),"")</f>
        <v/>
      </c>
      <c r="M174" s="220"/>
      <c r="N174" s="220"/>
      <c r="O174" s="220"/>
      <c r="P174" s="220"/>
      <c r="Q174" s="220"/>
      <c r="R174" s="220"/>
      <c r="S174" s="220"/>
      <c r="T174" s="220"/>
      <c r="U174" s="220"/>
      <c r="V174" s="220"/>
      <c r="W174" s="220"/>
    </row>
    <row r="175" ht="15.75" customHeight="1" outlineLevel="1">
      <c r="A175" s="211"/>
      <c r="B175" s="212"/>
      <c r="C175" s="213"/>
      <c r="D175" s="214" t="str">
        <f>IFERROR(VLOOKUP($C175,'PORTIFÓLIO'!C:V,2,0),"")</f>
        <v/>
      </c>
      <c r="E175" s="211" t="str">
        <f>IFERROR(VLOOKUP($C175,'PORTIFÓLIO'!C:V,3,0),"")</f>
        <v/>
      </c>
      <c r="F175" s="211" t="str">
        <f>IFERROR(VLOOKUP($C175,'PORTIFÓLIO'!C:V,4,0),"")</f>
        <v/>
      </c>
      <c r="G175" s="215" t="str">
        <f>IFERROR(VLOOKUP($C175,'PORTIFÓLIO'!C:V,5,0),"")</f>
        <v/>
      </c>
      <c r="H175" s="254" t="str">
        <f t="array" ref="H175">IFERROR(INDEX('PORTIFÓLIO'!$H$4:$H$433,MATCH($C175,'PORTIFÓLIO'!$C$4:$C$433,0)),"")</f>
        <v/>
      </c>
      <c r="I175" s="256"/>
      <c r="J175" s="218">
        <f t="shared" si="20"/>
        <v>0</v>
      </c>
      <c r="K175" s="219" t="str">
        <f t="array" ref="K175">IFERROR(I175*INDEX('PORTIFÓLIO'!$S$4:$S$433,MATCH($C175,'PORTIFÓLIO'!$C$4:$C$433,0)),"")</f>
        <v/>
      </c>
      <c r="L175" s="219" t="str">
        <f t="array" ref="L175">IFERROR(J175*INDEX('PORTIFÓLIO'!$S$4:$S$433,MATCH($C175,'PORTIFÓLIO'!$C$4:$C$433,0)),"")</f>
        <v/>
      </c>
      <c r="M175" s="220"/>
      <c r="N175" s="220"/>
      <c r="O175" s="220"/>
      <c r="P175" s="220"/>
      <c r="Q175" s="220"/>
      <c r="R175" s="220"/>
      <c r="S175" s="220"/>
      <c r="T175" s="220"/>
      <c r="U175" s="220"/>
      <c r="V175" s="220"/>
      <c r="W175" s="220"/>
    </row>
    <row r="176" ht="15.75" customHeight="1" outlineLevel="1">
      <c r="A176" s="211"/>
      <c r="B176" s="212"/>
      <c r="C176" s="213"/>
      <c r="D176" s="214" t="str">
        <f>IFERROR(VLOOKUP($C176,'PORTIFÓLIO'!C:V,2,0),"")</f>
        <v/>
      </c>
      <c r="E176" s="211" t="str">
        <f>IFERROR(VLOOKUP($C176,'PORTIFÓLIO'!C:V,3,0),"")</f>
        <v/>
      </c>
      <c r="F176" s="211" t="str">
        <f>IFERROR(VLOOKUP($C176,'PORTIFÓLIO'!C:V,4,0),"")</f>
        <v/>
      </c>
      <c r="G176" s="215" t="str">
        <f>IFERROR(VLOOKUP($C176,'PORTIFÓLIO'!C:V,5,0),"")</f>
        <v/>
      </c>
      <c r="H176" s="254" t="str">
        <f t="array" ref="H176">IFERROR(INDEX('PORTIFÓLIO'!$H$4:$H$433,MATCH($C176,'PORTIFÓLIO'!$C$4:$C$433,0)),"")</f>
        <v/>
      </c>
      <c r="I176" s="256"/>
      <c r="J176" s="218">
        <f t="shared" si="20"/>
        <v>0</v>
      </c>
      <c r="K176" s="219" t="str">
        <f t="array" ref="K176">IFERROR(I176*INDEX('PORTIFÓLIO'!$S$4:$S$433,MATCH($C176,'PORTIFÓLIO'!$C$4:$C$433,0)),"")</f>
        <v/>
      </c>
      <c r="L176" s="219" t="str">
        <f t="array" ref="L176">IFERROR(J176*INDEX('PORTIFÓLIO'!$S$4:$S$433,MATCH($C176,'PORTIFÓLIO'!$C$4:$C$433,0)),"")</f>
        <v/>
      </c>
      <c r="M176" s="220"/>
      <c r="N176" s="220"/>
      <c r="O176" s="220"/>
      <c r="P176" s="220"/>
      <c r="Q176" s="220"/>
      <c r="R176" s="220"/>
      <c r="S176" s="220"/>
      <c r="T176" s="220"/>
      <c r="U176" s="220"/>
      <c r="V176" s="220"/>
      <c r="W176" s="220"/>
    </row>
    <row r="177" ht="15.75" customHeight="1" outlineLevel="1">
      <c r="A177" s="211"/>
      <c r="B177" s="212"/>
      <c r="C177" s="213"/>
      <c r="D177" s="214" t="str">
        <f>IFERROR(VLOOKUP($C177,'PORTIFÓLIO'!C:V,2,0),"")</f>
        <v/>
      </c>
      <c r="E177" s="211" t="str">
        <f>IFERROR(VLOOKUP($C177,'PORTIFÓLIO'!C:V,3,0),"")</f>
        <v/>
      </c>
      <c r="F177" s="211" t="str">
        <f>IFERROR(VLOOKUP($C177,'PORTIFÓLIO'!C:V,4,0),"")</f>
        <v/>
      </c>
      <c r="G177" s="215" t="str">
        <f>IFERROR(VLOOKUP($C177,'PORTIFÓLIO'!C:V,5,0),"")</f>
        <v/>
      </c>
      <c r="H177" s="254" t="str">
        <f t="array" ref="H177">IFERROR(INDEX('PORTIFÓLIO'!$H$4:$H$433,MATCH($C177,'PORTIFÓLIO'!$C$4:$C$433,0)),"")</f>
        <v/>
      </c>
      <c r="I177" s="256"/>
      <c r="J177" s="218">
        <f t="shared" si="20"/>
        <v>0</v>
      </c>
      <c r="K177" s="219" t="str">
        <f t="array" ref="K177">IFERROR(I177*INDEX('PORTIFÓLIO'!$S$4:$S$433,MATCH($C177,'PORTIFÓLIO'!$C$4:$C$433,0)),"")</f>
        <v/>
      </c>
      <c r="L177" s="219" t="str">
        <f t="array" ref="L177">IFERROR(J177*INDEX('PORTIFÓLIO'!$S$4:$S$433,MATCH($C177,'PORTIFÓLIO'!$C$4:$C$433,0)),"")</f>
        <v/>
      </c>
      <c r="M177" s="220"/>
      <c r="N177" s="220"/>
      <c r="O177" s="220"/>
      <c r="P177" s="220"/>
      <c r="Q177" s="220"/>
      <c r="R177" s="220"/>
      <c r="S177" s="220"/>
      <c r="T177" s="220"/>
      <c r="U177" s="220"/>
      <c r="V177" s="220"/>
      <c r="W177" s="220"/>
    </row>
    <row r="178" ht="15.75" customHeight="1" outlineLevel="1">
      <c r="A178" s="211"/>
      <c r="B178" s="212"/>
      <c r="C178" s="213"/>
      <c r="D178" s="214" t="str">
        <f>IFERROR(VLOOKUP($C178,'PORTIFÓLIO'!C:V,2,0),"")</f>
        <v/>
      </c>
      <c r="E178" s="211" t="str">
        <f>IFERROR(VLOOKUP($C178,'PORTIFÓLIO'!C:V,3,0),"")</f>
        <v/>
      </c>
      <c r="F178" s="211" t="str">
        <f>IFERROR(VLOOKUP($C178,'PORTIFÓLIO'!C:V,4,0),"")</f>
        <v/>
      </c>
      <c r="G178" s="215" t="str">
        <f>IFERROR(VLOOKUP($C178,'PORTIFÓLIO'!C:V,5,0),"")</f>
        <v/>
      </c>
      <c r="H178" s="254" t="str">
        <f t="array" ref="H178">IFERROR(INDEX('PORTIFÓLIO'!$H$4:$H$433,MATCH($C178,'PORTIFÓLIO'!$C$4:$C$433,0)),"")</f>
        <v/>
      </c>
      <c r="I178" s="256"/>
      <c r="J178" s="218">
        <f t="shared" si="20"/>
        <v>0</v>
      </c>
      <c r="K178" s="219" t="str">
        <f t="array" ref="K178">IFERROR(I178*INDEX('PORTIFÓLIO'!$S$4:$S$433,MATCH($C178,'PORTIFÓLIO'!$C$4:$C$433,0)),"")</f>
        <v/>
      </c>
      <c r="L178" s="219" t="str">
        <f t="array" ref="L178">IFERROR(J178*INDEX('PORTIFÓLIO'!$S$4:$S$433,MATCH($C178,'PORTIFÓLIO'!$C$4:$C$433,0)),"")</f>
        <v/>
      </c>
      <c r="M178" s="220"/>
      <c r="N178" s="220"/>
      <c r="O178" s="220"/>
      <c r="P178" s="220"/>
      <c r="Q178" s="220"/>
      <c r="R178" s="220"/>
      <c r="S178" s="220"/>
      <c r="T178" s="220"/>
      <c r="U178" s="220"/>
      <c r="V178" s="220"/>
      <c r="W178" s="220"/>
    </row>
    <row r="179" ht="15.75" customHeight="1" outlineLevel="1">
      <c r="A179" s="211"/>
      <c r="B179" s="212"/>
      <c r="C179" s="213"/>
      <c r="D179" s="214" t="str">
        <f>IFERROR(VLOOKUP($C179,'PORTIFÓLIO'!C:V,2,0),"")</f>
        <v/>
      </c>
      <c r="E179" s="211" t="str">
        <f>IFERROR(VLOOKUP($C179,'PORTIFÓLIO'!C:V,3,0),"")</f>
        <v/>
      </c>
      <c r="F179" s="211" t="str">
        <f>IFERROR(VLOOKUP($C179,'PORTIFÓLIO'!C:V,4,0),"")</f>
        <v/>
      </c>
      <c r="G179" s="215" t="str">
        <f>IFERROR(VLOOKUP($C179,'PORTIFÓLIO'!C:V,5,0),"")</f>
        <v/>
      </c>
      <c r="H179" s="254" t="str">
        <f t="array" ref="H179">IFERROR(INDEX('PORTIFÓLIO'!$H$4:$H$433,MATCH($C179,'PORTIFÓLIO'!$C$4:$C$433,0)),"")</f>
        <v/>
      </c>
      <c r="I179" s="256"/>
      <c r="J179" s="218">
        <f t="shared" si="20"/>
        <v>0</v>
      </c>
      <c r="K179" s="219" t="str">
        <f t="array" ref="K179">IFERROR(I179*INDEX('PORTIFÓLIO'!$S$4:$S$433,MATCH($C179,'PORTIFÓLIO'!$C$4:$C$433,0)),"")</f>
        <v/>
      </c>
      <c r="L179" s="219" t="str">
        <f t="array" ref="L179">IFERROR(J179*INDEX('PORTIFÓLIO'!$S$4:$S$433,MATCH($C179,'PORTIFÓLIO'!$C$4:$C$433,0)),"")</f>
        <v/>
      </c>
      <c r="M179" s="220"/>
      <c r="N179" s="220"/>
      <c r="O179" s="220"/>
      <c r="P179" s="220"/>
      <c r="Q179" s="220"/>
      <c r="R179" s="220"/>
      <c r="S179" s="220"/>
      <c r="T179" s="220"/>
      <c r="U179" s="220"/>
      <c r="V179" s="220"/>
      <c r="W179" s="220"/>
    </row>
    <row r="180" ht="15.75" customHeight="1" outlineLevel="1">
      <c r="A180" s="211"/>
      <c r="B180" s="212"/>
      <c r="C180" s="213"/>
      <c r="D180" s="214" t="str">
        <f>IFERROR(VLOOKUP($C180,'PORTIFÓLIO'!C:V,2,0),"")</f>
        <v/>
      </c>
      <c r="E180" s="211" t="str">
        <f>IFERROR(VLOOKUP($C180,'PORTIFÓLIO'!C:V,3,0),"")</f>
        <v/>
      </c>
      <c r="F180" s="211" t="str">
        <f>IFERROR(VLOOKUP($C180,'PORTIFÓLIO'!C:V,4,0),"")</f>
        <v/>
      </c>
      <c r="G180" s="215" t="str">
        <f>IFERROR(VLOOKUP($C180,'PORTIFÓLIO'!C:V,5,0),"")</f>
        <v/>
      </c>
      <c r="H180" s="254" t="str">
        <f t="array" ref="H180">IFERROR(INDEX('PORTIFÓLIO'!$H$4:$H$433,MATCH($C180,'PORTIFÓLIO'!$C$4:$C$433,0)),"")</f>
        <v/>
      </c>
      <c r="I180" s="256"/>
      <c r="J180" s="218">
        <f t="shared" si="20"/>
        <v>0</v>
      </c>
      <c r="K180" s="219" t="str">
        <f t="array" ref="K180">IFERROR(I180*INDEX('PORTIFÓLIO'!$S$4:$S$433,MATCH($C180,'PORTIFÓLIO'!$C$4:$C$433,0)),"")</f>
        <v/>
      </c>
      <c r="L180" s="219" t="str">
        <f t="array" ref="L180">IFERROR(J180*INDEX('PORTIFÓLIO'!$S$4:$S$433,MATCH($C180,'PORTIFÓLIO'!$C$4:$C$433,0)),"")</f>
        <v/>
      </c>
      <c r="M180" s="220"/>
      <c r="N180" s="220"/>
      <c r="O180" s="220"/>
      <c r="P180" s="220"/>
      <c r="Q180" s="220"/>
      <c r="R180" s="220"/>
      <c r="S180" s="220"/>
      <c r="T180" s="220"/>
      <c r="U180" s="220"/>
      <c r="V180" s="220"/>
      <c r="W180" s="220"/>
    </row>
    <row r="181" ht="15.75" customHeight="1" outlineLevel="1">
      <c r="A181" s="211"/>
      <c r="B181" s="227"/>
      <c r="C181" s="211"/>
      <c r="D181" s="214" t="str">
        <f>IFERROR(VLOOKUP($C181,'PORTIFÓLIO'!C:V,2,0),"")</f>
        <v/>
      </c>
      <c r="E181" s="211" t="str">
        <f>IFERROR(VLOOKUP($C181,'PORTIFÓLIO'!C:V,3,0),"")</f>
        <v/>
      </c>
      <c r="F181" s="211" t="str">
        <f>IFERROR(VLOOKUP($C181,'PORTIFÓLIO'!C:V,4,0),"")</f>
        <v/>
      </c>
      <c r="G181" s="215" t="str">
        <f>IFERROR(VLOOKUP($C181,'PORTIFÓLIO'!C:V,5,0),"")</f>
        <v/>
      </c>
      <c r="H181" s="254" t="str">
        <f t="array" ref="H181">IFERROR(INDEX('PORTIFÓLIO'!$H$4:$H$433,MATCH($C181,'PORTIFÓLIO'!$C$4:$C$433,0)),"")</f>
        <v/>
      </c>
      <c r="I181" s="256"/>
      <c r="J181" s="218">
        <f t="shared" si="20"/>
        <v>0</v>
      </c>
      <c r="K181" s="219" t="str">
        <f t="array" ref="K181">IFERROR(I181*INDEX('PORTIFÓLIO'!$S$4:$S$433,MATCH($C181,'PORTIFÓLIO'!$C$4:$C$433,0)),"")</f>
        <v/>
      </c>
      <c r="L181" s="219" t="str">
        <f t="array" ref="L181">IFERROR(J181*INDEX('PORTIFÓLIO'!$S$4:$S$433,MATCH($C181,'PORTIFÓLIO'!$C$4:$C$433,0)),"")</f>
        <v/>
      </c>
      <c r="M181" s="220"/>
      <c r="N181" s="220"/>
      <c r="O181" s="220"/>
      <c r="P181" s="220"/>
      <c r="Q181" s="220"/>
      <c r="R181" s="220"/>
      <c r="S181" s="220"/>
      <c r="T181" s="220"/>
      <c r="U181" s="220"/>
      <c r="V181" s="220"/>
      <c r="W181" s="220"/>
    </row>
    <row r="182" ht="15.75" customHeight="1">
      <c r="A182" s="229" t="s">
        <v>1194</v>
      </c>
      <c r="B182" s="230"/>
      <c r="C182" s="231"/>
      <c r="D182" s="232"/>
      <c r="E182" s="231"/>
      <c r="F182" s="231"/>
      <c r="G182" s="233"/>
      <c r="H182" s="233"/>
      <c r="I182" s="258"/>
      <c r="J182" s="236"/>
      <c r="K182" s="237">
        <f t="shared" ref="K182:L182" si="21">SUBTOTAL(9,K183:K196)</f>
        <v>339.9254902</v>
      </c>
      <c r="L182" s="237">
        <f t="shared" si="21"/>
        <v>40791.05882</v>
      </c>
      <c r="M182" s="220"/>
      <c r="N182" s="220"/>
      <c r="O182" s="220"/>
      <c r="P182" s="220"/>
      <c r="Q182" s="220"/>
      <c r="R182" s="220"/>
      <c r="S182" s="220"/>
      <c r="T182" s="220"/>
      <c r="U182" s="220"/>
      <c r="V182" s="220"/>
      <c r="W182" s="220"/>
    </row>
    <row r="183" ht="15.75" customHeight="1" outlineLevel="1">
      <c r="A183" s="213"/>
      <c r="B183" s="212" t="s">
        <v>10</v>
      </c>
      <c r="C183" s="213" t="s">
        <v>1195</v>
      </c>
      <c r="D183" s="214" t="str">
        <f>IFERROR(VLOOKUP($C183,'PORTIFÓLIO'!C:V,2,0),"")</f>
        <v/>
      </c>
      <c r="E183" s="211" t="str">
        <f>IFERROR(VLOOKUP($C183,'PORTIFÓLIO'!C:V,3,0),"")</f>
        <v/>
      </c>
      <c r="F183" s="211" t="str">
        <f>IFERROR(VLOOKUP($C183,'PORTIFÓLIO'!C:V,4,0),"")</f>
        <v>R$/Ha</v>
      </c>
      <c r="G183" s="215">
        <f t="array" ref="G183">IFERROR(INDEX('PORTIFÓLIO'!$H$4:$H$433,MATCH($C183,'PORTIFÓLIO'!$C$4:$C$433,0)),"")</f>
        <v>0.3267973856</v>
      </c>
      <c r="H183" s="254">
        <f t="array" ref="H183">IFERROR(INDEX('PORTIFÓLIO'!$H$4:$H$433,MATCH($C183,'PORTIFÓLIO'!$C$4:$C$433,0)),"")</f>
        <v>0.3267973856</v>
      </c>
      <c r="I183" s="255">
        <v>0.32</v>
      </c>
      <c r="J183" s="218">
        <f t="shared" ref="J183:J199" si="22">I183*$B$2</f>
        <v>38.4</v>
      </c>
      <c r="K183" s="219">
        <f t="array" ref="K183">IFERROR(I183*INDEX('PORTIFÓLIO'!$S$4:$S$433,MATCH($C183,'PORTIFÓLIO'!$C$4:$C$433,0)),"")</f>
        <v>36</v>
      </c>
      <c r="L183" s="219">
        <f t="array" ref="L183">IFERROR(J183*INDEX('PORTIFÓLIO'!$S$4:$S$433,MATCH($C183,'PORTIFÓLIO'!$C$4:$C$433,0)),"")</f>
        <v>4320</v>
      </c>
      <c r="M183" s="220"/>
      <c r="N183" s="220"/>
      <c r="O183" s="220"/>
      <c r="P183" s="220"/>
      <c r="Q183" s="220"/>
      <c r="R183" s="220"/>
      <c r="S183" s="220"/>
      <c r="T183" s="220"/>
      <c r="U183" s="220"/>
      <c r="V183" s="220"/>
      <c r="W183" s="220"/>
    </row>
    <row r="184" ht="15.75" customHeight="1" outlineLevel="1">
      <c r="A184" s="211"/>
      <c r="B184" s="212" t="s">
        <v>10</v>
      </c>
      <c r="C184" s="213" t="s">
        <v>1196</v>
      </c>
      <c r="D184" s="214" t="str">
        <f>IFERROR(VLOOKUP($C184,'PORTIFÓLIO'!C:V,2,0),"")</f>
        <v/>
      </c>
      <c r="E184" s="211" t="str">
        <f>IFERROR(VLOOKUP($C184,'PORTIFÓLIO'!C:V,3,0),"")</f>
        <v/>
      </c>
      <c r="F184" s="211" t="str">
        <f>IFERROR(VLOOKUP($C184,'PORTIFÓLIO'!C:V,4,0),"")</f>
        <v>R$/Ha</v>
      </c>
      <c r="G184" s="215">
        <f t="array" ref="G184">IFERROR(INDEX('PORTIFÓLIO'!$H$4:$H$433,MATCH($C184,'PORTIFÓLIO'!$C$4:$C$433,0)),"")</f>
        <v>0.04901960784</v>
      </c>
      <c r="H184" s="254">
        <f t="array" ref="H184">IFERROR(INDEX('PORTIFÓLIO'!$H$4:$H$433,MATCH($C184,'PORTIFÓLIO'!$C$4:$C$433,0)),"")</f>
        <v>0.04901960784</v>
      </c>
      <c r="I184" s="256">
        <f>G184*4</f>
        <v>0.1960784314</v>
      </c>
      <c r="J184" s="218">
        <f t="shared" si="22"/>
        <v>23.52941176</v>
      </c>
      <c r="K184" s="219">
        <f t="array" ref="K184">IFERROR(I184*INDEX('PORTIFÓLIO'!$S$4:$S$433,MATCH($C184,'PORTIFÓLIO'!$C$4:$C$433,0)),"")</f>
        <v>22.05882353</v>
      </c>
      <c r="L184" s="219">
        <f t="array" ref="L184">IFERROR(J184*INDEX('PORTIFÓLIO'!$S$4:$S$433,MATCH($C184,'PORTIFÓLIO'!$C$4:$C$433,0)),"")</f>
        <v>2647.058824</v>
      </c>
      <c r="M184" s="220"/>
      <c r="N184" s="220"/>
      <c r="O184" s="220"/>
      <c r="P184" s="220"/>
      <c r="Q184" s="220"/>
      <c r="R184" s="220"/>
      <c r="S184" s="220"/>
      <c r="T184" s="220"/>
      <c r="U184" s="220"/>
      <c r="V184" s="220"/>
      <c r="W184" s="220"/>
    </row>
    <row r="185" ht="15.75" customHeight="1" outlineLevel="1">
      <c r="A185" s="211"/>
      <c r="B185" s="212" t="s">
        <v>10</v>
      </c>
      <c r="C185" s="213" t="s">
        <v>1197</v>
      </c>
      <c r="D185" s="214" t="str">
        <f>IFERROR(VLOOKUP($C185,'PORTIFÓLIO'!C:V,2,0),"")</f>
        <v/>
      </c>
      <c r="E185" s="211" t="str">
        <f>IFERROR(VLOOKUP($C185,'PORTIFÓLIO'!C:V,3,0),"")</f>
        <v/>
      </c>
      <c r="F185" s="211" t="str">
        <f>IFERROR(VLOOKUP($C185,'PORTIFÓLIO'!C:V,4,0),"")</f>
        <v>R$/Ha</v>
      </c>
      <c r="G185" s="215">
        <f t="array" ref="G185">IFERROR(INDEX('PORTIFÓLIO'!$H$4:$H$433,MATCH($C185,'PORTIFÓLIO'!$C$4:$C$433,0)),"")</f>
        <v>0.01960784314</v>
      </c>
      <c r="H185" s="254">
        <f t="array" ref="H185">IFERROR(INDEX('PORTIFÓLIO'!$H$4:$H$433,MATCH($C185,'PORTIFÓLIO'!$C$4:$C$433,0)),"")</f>
        <v>0.01960784314</v>
      </c>
      <c r="I185" s="256">
        <f>G185*3</f>
        <v>0.05882352941</v>
      </c>
      <c r="J185" s="218">
        <f t="shared" si="22"/>
        <v>7.058823529</v>
      </c>
      <c r="K185" s="219">
        <f t="array" ref="K185">IFERROR(I185*INDEX('PORTIFÓLIO'!$S$4:$S$433,MATCH($C185,'PORTIFÓLIO'!$C$4:$C$433,0)),"")</f>
        <v>7.5</v>
      </c>
      <c r="L185" s="219">
        <f t="array" ref="L185">IFERROR(J185*INDEX('PORTIFÓLIO'!$S$4:$S$433,MATCH($C185,'PORTIFÓLIO'!$C$4:$C$433,0)),"")</f>
        <v>900</v>
      </c>
      <c r="M185" s="220"/>
      <c r="N185" s="220"/>
      <c r="O185" s="220"/>
      <c r="P185" s="220"/>
      <c r="Q185" s="220"/>
      <c r="R185" s="220"/>
      <c r="S185" s="220"/>
      <c r="T185" s="220"/>
      <c r="U185" s="220"/>
      <c r="V185" s="220"/>
      <c r="W185" s="220"/>
    </row>
    <row r="186" ht="15.75" customHeight="1" outlineLevel="1">
      <c r="A186" s="211"/>
      <c r="B186" s="212" t="s">
        <v>10</v>
      </c>
      <c r="C186" s="213" t="s">
        <v>1198</v>
      </c>
      <c r="D186" s="214" t="str">
        <f>IFERROR(VLOOKUP($C186,'PORTIFÓLIO'!C:V,2,0),"")</f>
        <v/>
      </c>
      <c r="E186" s="211" t="str">
        <f>IFERROR(VLOOKUP($C186,'PORTIFÓLIO'!C:V,3,0),"")</f>
        <v/>
      </c>
      <c r="F186" s="211" t="str">
        <f>IFERROR(VLOOKUP($C186,'PORTIFÓLIO'!C:V,4,0),"")</f>
        <v>R$/Ha</v>
      </c>
      <c r="G186" s="215">
        <f t="array" ref="G186">IFERROR(INDEX('PORTIFÓLIO'!$H$4:$H$433,MATCH($C186,'PORTIFÓLIO'!$C$4:$C$433,0)),"")</f>
        <v>0.006666666667</v>
      </c>
      <c r="H186" s="254">
        <f t="array" ref="H186">IFERROR(INDEX('PORTIFÓLIO'!$H$4:$H$433,MATCH($C186,'PORTIFÓLIO'!$C$4:$C$433,0)),"")</f>
        <v>0.006666666667</v>
      </c>
      <c r="I186" s="256">
        <f>G186*5</f>
        <v>0.03333333333</v>
      </c>
      <c r="J186" s="218">
        <f t="shared" si="22"/>
        <v>4</v>
      </c>
      <c r="K186" s="219">
        <f t="array" ref="K186">IFERROR(I186*INDEX('PORTIFÓLIO'!$S$4:$S$433,MATCH($C186,'PORTIFÓLIO'!$C$4:$C$433,0)),"")</f>
        <v>166.6666667</v>
      </c>
      <c r="L186" s="219">
        <f t="array" ref="L186">IFERROR(J186*INDEX('PORTIFÓLIO'!$S$4:$S$433,MATCH($C186,'PORTIFÓLIO'!$C$4:$C$433,0)),"")</f>
        <v>20000</v>
      </c>
      <c r="M186" s="220"/>
      <c r="N186" s="220"/>
      <c r="O186" s="220"/>
      <c r="P186" s="220"/>
      <c r="Q186" s="220"/>
      <c r="R186" s="220"/>
      <c r="S186" s="220"/>
      <c r="T186" s="220"/>
      <c r="U186" s="220"/>
      <c r="V186" s="220"/>
      <c r="W186" s="220"/>
    </row>
    <row r="187" ht="15.75" customHeight="1" outlineLevel="1">
      <c r="A187" s="211"/>
      <c r="B187" s="212" t="s">
        <v>10</v>
      </c>
      <c r="C187" s="213" t="s">
        <v>1199</v>
      </c>
      <c r="D187" s="214" t="str">
        <f>IFERROR(VLOOKUP($C187,'PORTIFÓLIO'!C:V,2,0),"")</f>
        <v/>
      </c>
      <c r="E187" s="211" t="str">
        <f>IFERROR(VLOOKUP($C187,'PORTIFÓLIO'!C:V,3,0),"")</f>
        <v/>
      </c>
      <c r="F187" s="211" t="str">
        <f>IFERROR(VLOOKUP($C187,'PORTIFÓLIO'!C:V,4,0),"")</f>
        <v>R$/Ha</v>
      </c>
      <c r="G187" s="215">
        <f t="array" ref="G187">IFERROR(INDEX('PORTIFÓLIO'!$H$4:$H$433,MATCH($C187,'PORTIFÓLIO'!$C$4:$C$433,0)),"")</f>
        <v>0.08169934641</v>
      </c>
      <c r="H187" s="254">
        <f t="array" ref="H187">IFERROR(INDEX('PORTIFÓLIO'!$H$4:$H$433,MATCH($C187,'PORTIFÓLIO'!$C$4:$C$433,0)),"")</f>
        <v>0.08169934641</v>
      </c>
      <c r="I187" s="255">
        <v>0.081</v>
      </c>
      <c r="J187" s="218">
        <f t="shared" si="22"/>
        <v>9.72</v>
      </c>
      <c r="K187" s="219">
        <f t="array" ref="K187">IFERROR(I187*INDEX('PORTIFÓLIO'!$S$4:$S$433,MATCH($C187,'PORTIFÓLIO'!$C$4:$C$433,0)),"")</f>
        <v>36.45</v>
      </c>
      <c r="L187" s="219">
        <f t="array" ref="L187">IFERROR(J187*INDEX('PORTIFÓLIO'!$S$4:$S$433,MATCH($C187,'PORTIFÓLIO'!$C$4:$C$433,0)),"")</f>
        <v>4374</v>
      </c>
      <c r="M187" s="220"/>
      <c r="N187" s="220"/>
      <c r="O187" s="220"/>
      <c r="P187" s="220"/>
      <c r="Q187" s="220"/>
      <c r="R187" s="220"/>
      <c r="S187" s="220"/>
      <c r="T187" s="220"/>
      <c r="U187" s="220"/>
      <c r="V187" s="220"/>
      <c r="W187" s="220"/>
    </row>
    <row r="188" ht="15.75" customHeight="1" outlineLevel="1">
      <c r="A188" s="211"/>
      <c r="B188" s="212" t="s">
        <v>10</v>
      </c>
      <c r="C188" s="213" t="s">
        <v>1200</v>
      </c>
      <c r="D188" s="214" t="str">
        <f>IFERROR(VLOOKUP($C188,'PORTIFÓLIO'!C:V,2,0),"")</f>
        <v/>
      </c>
      <c r="E188" s="211" t="str">
        <f>IFERROR(VLOOKUP($C188,'PORTIFÓLIO'!C:V,3,0),"")</f>
        <v/>
      </c>
      <c r="F188" s="211" t="str">
        <f>IFERROR(VLOOKUP($C188,'PORTIFÓLIO'!C:V,4,0),"")</f>
        <v>R$/Ha</v>
      </c>
      <c r="G188" s="215">
        <f t="array" ref="G188">IFERROR(INDEX('PORTIFÓLIO'!$H$4:$H$433,MATCH($C188,'PORTIFÓLIO'!$C$4:$C$433,0)),"")</f>
        <v>0.1508295626</v>
      </c>
      <c r="H188" s="254">
        <f t="array" ref="H188">IFERROR(INDEX('PORTIFÓLIO'!$H$4:$H$433,MATCH($C188,'PORTIFÓLIO'!$C$4:$C$433,0)),"")</f>
        <v>0.1508295626</v>
      </c>
      <c r="I188" s="255">
        <v>0.15</v>
      </c>
      <c r="J188" s="218">
        <f t="shared" si="22"/>
        <v>18</v>
      </c>
      <c r="K188" s="219">
        <f t="array" ref="K188">IFERROR(I188*INDEX('PORTIFÓLIO'!$S$4:$S$433,MATCH($C188,'PORTIFÓLIO'!$C$4:$C$433,0)),"")</f>
        <v>56.25</v>
      </c>
      <c r="L188" s="219">
        <f t="array" ref="L188">IFERROR(J188*INDEX('PORTIFÓLIO'!$S$4:$S$433,MATCH($C188,'PORTIFÓLIO'!$C$4:$C$433,0)),"")</f>
        <v>6750</v>
      </c>
      <c r="M188" s="220"/>
      <c r="N188" s="220"/>
      <c r="O188" s="220"/>
      <c r="P188" s="220"/>
      <c r="Q188" s="220"/>
      <c r="R188" s="220"/>
      <c r="S188" s="220"/>
      <c r="T188" s="220"/>
      <c r="U188" s="220"/>
      <c r="V188" s="220"/>
      <c r="W188" s="220"/>
    </row>
    <row r="189" ht="15.75" customHeight="1" outlineLevel="1">
      <c r="A189" s="211"/>
      <c r="B189" s="212" t="s">
        <v>10</v>
      </c>
      <c r="C189" s="213" t="s">
        <v>1201</v>
      </c>
      <c r="D189" s="214" t="str">
        <f>IFERROR(VLOOKUP($C189,'PORTIFÓLIO'!C:V,2,0),"")</f>
        <v/>
      </c>
      <c r="E189" s="211" t="str">
        <f>IFERROR(VLOOKUP($C189,'PORTIFÓLIO'!C:V,3,0),"")</f>
        <v/>
      </c>
      <c r="F189" s="211" t="str">
        <f>IFERROR(VLOOKUP($C189,'PORTIFÓLIO'!C:V,4,0),"")</f>
        <v>R$/Ha</v>
      </c>
      <c r="G189" s="215">
        <f t="array" ref="G189">IFERROR(INDEX('PORTIFÓLIO'!$H$4:$H$433,MATCH($C189,'PORTIFÓLIO'!$C$4:$C$433,0)),"")</f>
        <v>0.001367989056</v>
      </c>
      <c r="H189" s="254">
        <f t="array" ref="H189">IFERROR(INDEX('PORTIFÓLIO'!$H$4:$H$433,MATCH($C189,'PORTIFÓLIO'!$C$4:$C$433,0)),"")</f>
        <v>0.001367989056</v>
      </c>
      <c r="I189" s="255">
        <v>0.1</v>
      </c>
      <c r="J189" s="218">
        <f t="shared" si="22"/>
        <v>12</v>
      </c>
      <c r="K189" s="219">
        <f t="array" ref="K189">IFERROR(I189*INDEX('PORTIFÓLIO'!$S$4:$S$433,MATCH($C189,'PORTIFÓLIO'!$C$4:$C$433,0)),"")</f>
        <v>15</v>
      </c>
      <c r="L189" s="219">
        <f t="array" ref="L189">IFERROR(J189*INDEX('PORTIFÓLIO'!$S$4:$S$433,MATCH($C189,'PORTIFÓLIO'!$C$4:$C$433,0)),"")</f>
        <v>1800</v>
      </c>
      <c r="M189" s="220"/>
      <c r="N189" s="220"/>
      <c r="O189" s="220"/>
      <c r="P189" s="220"/>
      <c r="Q189" s="220"/>
      <c r="R189" s="220"/>
      <c r="S189" s="220"/>
      <c r="T189" s="220"/>
      <c r="U189" s="220"/>
      <c r="V189" s="220"/>
      <c r="W189" s="220"/>
    </row>
    <row r="190" ht="15.75" customHeight="1" outlineLevel="1">
      <c r="A190" s="211"/>
      <c r="B190" s="212"/>
      <c r="C190" s="213"/>
      <c r="D190" s="214" t="str">
        <f>IFERROR(VLOOKUP($C190,'PORTIFÓLIO'!C:V,2,0),"")</f>
        <v/>
      </c>
      <c r="E190" s="211" t="str">
        <f>IFERROR(VLOOKUP($C190,'PORTIFÓLIO'!C:V,3,0),"")</f>
        <v/>
      </c>
      <c r="F190" s="211" t="str">
        <f>IFERROR(VLOOKUP($C190,'PORTIFÓLIO'!C:V,4,0),"")</f>
        <v/>
      </c>
      <c r="G190" s="215" t="str">
        <f>IFERROR(VLOOKUP($C190,'PORTIFÓLIO'!C:V,5,0),"")</f>
        <v/>
      </c>
      <c r="H190" s="254" t="str">
        <f t="array" ref="H190">IFERROR(INDEX('PORTIFÓLIO'!$H$4:$H$433,MATCH($C190,'PORTIFÓLIO'!$C$4:$C$433,0)),"")</f>
        <v/>
      </c>
      <c r="I190" s="256"/>
      <c r="J190" s="218">
        <f t="shared" si="22"/>
        <v>0</v>
      </c>
      <c r="K190" s="219" t="str">
        <f t="array" ref="K190">IFERROR(I190*INDEX('PORTIFÓLIO'!$S$4:$S$433,MATCH($C190,'PORTIFÓLIO'!$C$4:$C$433,0)),"")</f>
        <v/>
      </c>
      <c r="L190" s="219" t="str">
        <f t="array" ref="L190">IFERROR(J190*INDEX('PORTIFÓLIO'!$S$4:$S$433,MATCH($C190,'PORTIFÓLIO'!$C$4:$C$433,0)),"")</f>
        <v/>
      </c>
      <c r="M190" s="220"/>
      <c r="N190" s="220"/>
      <c r="O190" s="220"/>
      <c r="P190" s="220"/>
      <c r="Q190" s="220"/>
      <c r="R190" s="220"/>
      <c r="S190" s="220"/>
      <c r="T190" s="220"/>
      <c r="U190" s="220"/>
      <c r="V190" s="220"/>
      <c r="W190" s="220"/>
    </row>
    <row r="191" ht="15.75" customHeight="1" outlineLevel="1">
      <c r="A191" s="211"/>
      <c r="B191" s="212"/>
      <c r="C191" s="213"/>
      <c r="D191" s="214" t="str">
        <f>IFERROR(VLOOKUP($C191,'PORTIFÓLIO'!C:V,2,0),"")</f>
        <v/>
      </c>
      <c r="E191" s="211" t="str">
        <f>IFERROR(VLOOKUP($C191,'PORTIFÓLIO'!C:V,3,0),"")</f>
        <v/>
      </c>
      <c r="F191" s="211" t="str">
        <f>IFERROR(VLOOKUP($C191,'PORTIFÓLIO'!C:V,4,0),"")</f>
        <v/>
      </c>
      <c r="G191" s="215" t="str">
        <f>IFERROR(VLOOKUP($C191,'PORTIFÓLIO'!C:V,5,0),"")</f>
        <v/>
      </c>
      <c r="H191" s="254" t="str">
        <f t="array" ref="H191">IFERROR(INDEX('PORTIFÓLIO'!$H$4:$H$433,MATCH($C191,'PORTIFÓLIO'!$C$4:$C$433,0)),"")</f>
        <v/>
      </c>
      <c r="I191" s="255"/>
      <c r="J191" s="218">
        <f t="shared" si="22"/>
        <v>0</v>
      </c>
      <c r="K191" s="219" t="str">
        <f t="array" ref="K191">IFERROR(I191*INDEX('PORTIFÓLIO'!$S$4:$S$433,MATCH($C191,'PORTIFÓLIO'!$C$4:$C$433,0)),"")</f>
        <v/>
      </c>
      <c r="L191" s="219" t="str">
        <f t="array" ref="L191">IFERROR(J191*INDEX('PORTIFÓLIO'!$S$4:$S$433,MATCH($C191,'PORTIFÓLIO'!$C$4:$C$433,0)),"")</f>
        <v/>
      </c>
      <c r="M191" s="220"/>
      <c r="N191" s="220"/>
      <c r="O191" s="220"/>
      <c r="P191" s="220"/>
      <c r="Q191" s="220"/>
      <c r="R191" s="220"/>
      <c r="S191" s="220"/>
      <c r="T191" s="220"/>
      <c r="U191" s="220"/>
      <c r="V191" s="220"/>
      <c r="W191" s="220"/>
    </row>
    <row r="192" ht="15.75" customHeight="1" outlineLevel="1">
      <c r="A192" s="211"/>
      <c r="B192" s="212"/>
      <c r="C192" s="213"/>
      <c r="D192" s="214" t="str">
        <f>IFERROR(VLOOKUP($C192,'PORTIFÓLIO'!C:V,2,0),"")</f>
        <v/>
      </c>
      <c r="E192" s="211" t="str">
        <f>IFERROR(VLOOKUP($C192,'PORTIFÓLIO'!C:V,3,0),"")</f>
        <v/>
      </c>
      <c r="F192" s="211" t="str">
        <f>IFERROR(VLOOKUP($C192,'PORTIFÓLIO'!C:V,4,0),"")</f>
        <v/>
      </c>
      <c r="G192" s="215" t="str">
        <f>IFERROR(VLOOKUP($C192,'PORTIFÓLIO'!C:V,5,0),"")</f>
        <v/>
      </c>
      <c r="H192" s="254" t="str">
        <f t="array" ref="H192">IFERROR(INDEX('PORTIFÓLIO'!$H$4:$H$433,MATCH($C192,'PORTIFÓLIO'!$C$4:$C$433,0)),"")</f>
        <v/>
      </c>
      <c r="I192" s="256"/>
      <c r="J192" s="218">
        <f t="shared" si="22"/>
        <v>0</v>
      </c>
      <c r="K192" s="219" t="str">
        <f t="array" ref="K192">IFERROR(I192*INDEX('PORTIFÓLIO'!$S$4:$S$433,MATCH($C192,'PORTIFÓLIO'!$C$4:$C$433,0)),"")</f>
        <v/>
      </c>
      <c r="L192" s="219" t="str">
        <f t="array" ref="L192">IFERROR(J192*INDEX('PORTIFÓLIO'!$S$4:$S$433,MATCH($C192,'PORTIFÓLIO'!$C$4:$C$433,0)),"")</f>
        <v/>
      </c>
      <c r="M192" s="220"/>
      <c r="N192" s="220"/>
      <c r="O192" s="220"/>
      <c r="P192" s="220"/>
      <c r="Q192" s="220"/>
      <c r="R192" s="220"/>
      <c r="S192" s="220"/>
      <c r="T192" s="220"/>
      <c r="U192" s="220"/>
      <c r="V192" s="220"/>
      <c r="W192" s="220"/>
    </row>
    <row r="193" ht="15.75" customHeight="1" outlineLevel="1">
      <c r="A193" s="211"/>
      <c r="B193" s="212"/>
      <c r="C193" s="213"/>
      <c r="D193" s="214" t="str">
        <f>IFERROR(VLOOKUP($C193,'PORTIFÓLIO'!C:V,2,0),"")</f>
        <v/>
      </c>
      <c r="E193" s="211" t="str">
        <f>IFERROR(VLOOKUP($C193,'PORTIFÓLIO'!C:V,3,0),"")</f>
        <v/>
      </c>
      <c r="F193" s="211" t="str">
        <f>IFERROR(VLOOKUP($C193,'PORTIFÓLIO'!C:V,4,0),"")</f>
        <v/>
      </c>
      <c r="G193" s="215" t="str">
        <f>IFERROR(VLOOKUP($C193,'PORTIFÓLIO'!C:V,5,0),"")</f>
        <v/>
      </c>
      <c r="H193" s="254" t="str">
        <f t="array" ref="H193">IFERROR(INDEX('PORTIFÓLIO'!$H$4:$H$433,MATCH($C193,'PORTIFÓLIO'!$C$4:$C$433,0)),"")</f>
        <v/>
      </c>
      <c r="I193" s="256"/>
      <c r="J193" s="218">
        <f t="shared" si="22"/>
        <v>0</v>
      </c>
      <c r="K193" s="219" t="str">
        <f t="array" ref="K193">IFERROR(I193*INDEX('PORTIFÓLIO'!$S$4:$S$433,MATCH($C193,'PORTIFÓLIO'!$C$4:$C$433,0)),"")</f>
        <v/>
      </c>
      <c r="L193" s="219" t="str">
        <f t="array" ref="L193">IFERROR(J193*INDEX('PORTIFÓLIO'!$S$4:$S$433,MATCH($C193,'PORTIFÓLIO'!$C$4:$C$433,0)),"")</f>
        <v/>
      </c>
      <c r="M193" s="220"/>
      <c r="N193" s="220"/>
      <c r="O193" s="220"/>
      <c r="P193" s="220"/>
      <c r="Q193" s="220"/>
      <c r="R193" s="220"/>
      <c r="S193" s="220"/>
      <c r="T193" s="220"/>
      <c r="U193" s="220"/>
      <c r="V193" s="220"/>
      <c r="W193" s="220"/>
    </row>
    <row r="194" ht="15.75" customHeight="1" outlineLevel="1">
      <c r="A194" s="211"/>
      <c r="B194" s="212"/>
      <c r="C194" s="213"/>
      <c r="D194" s="214" t="str">
        <f>IFERROR(VLOOKUP($C194,'PORTIFÓLIO'!C:V,2,0),"")</f>
        <v/>
      </c>
      <c r="E194" s="211" t="str">
        <f>IFERROR(VLOOKUP($C194,'PORTIFÓLIO'!C:V,3,0),"")</f>
        <v/>
      </c>
      <c r="F194" s="211" t="str">
        <f>IFERROR(VLOOKUP($C194,'PORTIFÓLIO'!C:V,4,0),"")</f>
        <v/>
      </c>
      <c r="G194" s="215" t="str">
        <f>IFERROR(VLOOKUP($C194,'PORTIFÓLIO'!C:V,5,0),"")</f>
        <v/>
      </c>
      <c r="H194" s="254" t="str">
        <f t="array" ref="H194">IFERROR(INDEX('PORTIFÓLIO'!$H$4:$H$433,MATCH($C194,'PORTIFÓLIO'!$C$4:$C$433,0)),"")</f>
        <v/>
      </c>
      <c r="I194" s="256"/>
      <c r="J194" s="218">
        <f t="shared" si="22"/>
        <v>0</v>
      </c>
      <c r="K194" s="219" t="str">
        <f t="array" ref="K194">IFERROR(I194*INDEX('PORTIFÓLIO'!$S$4:$S$433,MATCH($C194,'PORTIFÓLIO'!$C$4:$C$433,0)),"")</f>
        <v/>
      </c>
      <c r="L194" s="219" t="str">
        <f t="array" ref="L194">IFERROR(J194*INDEX('PORTIFÓLIO'!$S$4:$S$433,MATCH($C194,'PORTIFÓLIO'!$C$4:$C$433,0)),"")</f>
        <v/>
      </c>
      <c r="M194" s="220"/>
      <c r="N194" s="220"/>
      <c r="O194" s="220"/>
      <c r="P194" s="220"/>
      <c r="Q194" s="220"/>
      <c r="R194" s="220"/>
      <c r="S194" s="220"/>
      <c r="T194" s="220"/>
      <c r="U194" s="220"/>
      <c r="V194" s="220"/>
      <c r="W194" s="220"/>
    </row>
    <row r="195" ht="15.75" customHeight="1" outlineLevel="1">
      <c r="A195" s="211"/>
      <c r="B195" s="212"/>
      <c r="C195" s="213"/>
      <c r="D195" s="214" t="str">
        <f>IFERROR(VLOOKUP($C195,'PORTIFÓLIO'!C:V,2,0),"")</f>
        <v/>
      </c>
      <c r="E195" s="211" t="str">
        <f>IFERROR(VLOOKUP($C195,'PORTIFÓLIO'!C:V,3,0),"")</f>
        <v/>
      </c>
      <c r="F195" s="211" t="str">
        <f>IFERROR(VLOOKUP($C195,'PORTIFÓLIO'!C:V,4,0),"")</f>
        <v/>
      </c>
      <c r="G195" s="215" t="str">
        <f>IFERROR(VLOOKUP($C195,'PORTIFÓLIO'!C:V,5,0),"")</f>
        <v/>
      </c>
      <c r="H195" s="254" t="str">
        <f t="array" ref="H195">IFERROR(INDEX('PORTIFÓLIO'!$H$4:$H$433,MATCH($C195,'PORTIFÓLIO'!$C$4:$C$433,0)),"")</f>
        <v/>
      </c>
      <c r="I195" s="256"/>
      <c r="J195" s="218">
        <f t="shared" si="22"/>
        <v>0</v>
      </c>
      <c r="K195" s="219" t="str">
        <f t="array" ref="K195">IFERROR(I195*INDEX('PORTIFÓLIO'!$S$4:$S$433,MATCH($C195,'PORTIFÓLIO'!$C$4:$C$433,0)),"")</f>
        <v/>
      </c>
      <c r="L195" s="219" t="str">
        <f t="array" ref="L195">IFERROR(J195*INDEX('PORTIFÓLIO'!$S$4:$S$433,MATCH($C195,'PORTIFÓLIO'!$C$4:$C$433,0)),"")</f>
        <v/>
      </c>
      <c r="M195" s="220"/>
      <c r="N195" s="220"/>
      <c r="O195" s="220"/>
      <c r="P195" s="220"/>
      <c r="Q195" s="220"/>
      <c r="R195" s="220"/>
      <c r="S195" s="220"/>
      <c r="T195" s="220"/>
      <c r="U195" s="220"/>
      <c r="V195" s="220"/>
      <c r="W195" s="220"/>
    </row>
    <row r="196" ht="15.75" customHeight="1" outlineLevel="1">
      <c r="A196" s="211"/>
      <c r="B196" s="212"/>
      <c r="C196" s="213"/>
      <c r="D196" s="214" t="str">
        <f>IFERROR(VLOOKUP($C196,'PORTIFÓLIO'!C:V,2,0),"")</f>
        <v/>
      </c>
      <c r="E196" s="211" t="str">
        <f>IFERROR(VLOOKUP($C196,'PORTIFÓLIO'!C:V,3,0),"")</f>
        <v/>
      </c>
      <c r="F196" s="211" t="str">
        <f>IFERROR(VLOOKUP($C196,'PORTIFÓLIO'!C:V,4,0),"")</f>
        <v/>
      </c>
      <c r="G196" s="215" t="str">
        <f>IFERROR(VLOOKUP($C196,'PORTIFÓLIO'!C:V,5,0),"")</f>
        <v/>
      </c>
      <c r="H196" s="254" t="str">
        <f t="array" ref="H196">IFERROR(INDEX('PORTIFÓLIO'!$H$4:$H$433,MATCH($C196,'PORTIFÓLIO'!$C$4:$C$433,0)),"")</f>
        <v/>
      </c>
      <c r="I196" s="256"/>
      <c r="J196" s="218">
        <f t="shared" si="22"/>
        <v>0</v>
      </c>
      <c r="K196" s="219" t="str">
        <f t="array" ref="K196">IFERROR(I196*INDEX('PORTIFÓLIO'!$S$4:$S$433,MATCH($C196,'PORTIFÓLIO'!$C$4:$C$433,0)),"")</f>
        <v/>
      </c>
      <c r="L196" s="219" t="str">
        <f t="array" ref="L196">IFERROR(J196*INDEX('PORTIFÓLIO'!$S$4:$S$433,MATCH($C196,'PORTIFÓLIO'!$C$4:$C$433,0)),"")</f>
        <v/>
      </c>
      <c r="M196" s="220"/>
      <c r="N196" s="220"/>
      <c r="O196" s="220"/>
      <c r="P196" s="220"/>
      <c r="Q196" s="220"/>
      <c r="R196" s="220"/>
      <c r="S196" s="220"/>
      <c r="T196" s="220"/>
      <c r="U196" s="220"/>
      <c r="V196" s="220"/>
      <c r="W196" s="220"/>
    </row>
    <row r="197" ht="15.75" customHeight="1" outlineLevel="1">
      <c r="A197" s="211"/>
      <c r="B197" s="212"/>
      <c r="C197" s="213"/>
      <c r="D197" s="214" t="str">
        <f>IFERROR(VLOOKUP($C197,'PORTIFÓLIO'!C:V,2,0),"")</f>
        <v/>
      </c>
      <c r="E197" s="211" t="str">
        <f>IFERROR(VLOOKUP($C197,'PORTIFÓLIO'!C:V,3,0),"")</f>
        <v/>
      </c>
      <c r="F197" s="211" t="str">
        <f>IFERROR(VLOOKUP($C197,'PORTIFÓLIO'!C:V,4,0),"")</f>
        <v/>
      </c>
      <c r="G197" s="215" t="str">
        <f>IFERROR(VLOOKUP($C197,'PORTIFÓLIO'!C:V,5,0),"")</f>
        <v/>
      </c>
      <c r="H197" s="254" t="str">
        <f t="array" ref="H197">IFERROR(INDEX('PORTIFÓLIO'!$H$4:$H$433,MATCH($C197,'PORTIFÓLIO'!$C$4:$C$433,0)),"")</f>
        <v/>
      </c>
      <c r="I197" s="256"/>
      <c r="J197" s="218">
        <f t="shared" si="22"/>
        <v>0</v>
      </c>
      <c r="K197" s="219" t="str">
        <f t="array" ref="K197">IFERROR(I197*INDEX('PORTIFÓLIO'!$S$4:$S$433,MATCH($C197,'PORTIFÓLIO'!$C$4:$C$433,0)),"")</f>
        <v/>
      </c>
      <c r="L197" s="219" t="str">
        <f t="array" ref="L197">IFERROR(J197*INDEX('PORTIFÓLIO'!$S$4:$S$433,MATCH($C197,'PORTIFÓLIO'!$C$4:$C$433,0)),"")</f>
        <v/>
      </c>
      <c r="M197" s="220"/>
      <c r="N197" s="220"/>
      <c r="O197" s="220"/>
      <c r="P197" s="220"/>
      <c r="Q197" s="220"/>
      <c r="R197" s="220"/>
      <c r="S197" s="220"/>
      <c r="T197" s="220"/>
      <c r="U197" s="220"/>
      <c r="V197" s="220"/>
      <c r="W197" s="220"/>
    </row>
    <row r="198" ht="15.75" customHeight="1" outlineLevel="1">
      <c r="A198" s="211"/>
      <c r="B198" s="227"/>
      <c r="C198" s="211"/>
      <c r="D198" s="214" t="str">
        <f>IFERROR(VLOOKUP($C198,'PORTIFÓLIO'!C:V,2,0),"")</f>
        <v/>
      </c>
      <c r="E198" s="211" t="str">
        <f>IFERROR(VLOOKUP($C198,'PORTIFÓLIO'!C:V,3,0),"")</f>
        <v/>
      </c>
      <c r="F198" s="211" t="str">
        <f>IFERROR(VLOOKUP($C198,'PORTIFÓLIO'!C:V,4,0),"")</f>
        <v/>
      </c>
      <c r="G198" s="215" t="str">
        <f>IFERROR(VLOOKUP($C198,'PORTIFÓLIO'!C:V,5,0),"")</f>
        <v/>
      </c>
      <c r="H198" s="254" t="str">
        <f t="array" ref="H198">IFERROR(INDEX('PORTIFÓLIO'!$H$4:$H$433,MATCH($C198,'PORTIFÓLIO'!$C$4:$C$433,0)),"")</f>
        <v/>
      </c>
      <c r="I198" s="256"/>
      <c r="J198" s="218">
        <f t="shared" si="22"/>
        <v>0</v>
      </c>
      <c r="K198" s="219" t="str">
        <f t="array" ref="K198">IFERROR(I198*INDEX('PORTIFÓLIO'!$S$4:$S$433,MATCH($C198,'PORTIFÓLIO'!$C$4:$C$433,0)),"")</f>
        <v/>
      </c>
      <c r="L198" s="219" t="str">
        <f t="array" ref="L198">IFERROR(J198*INDEX('PORTIFÓLIO'!$S$4:$S$433,MATCH($C198,'PORTIFÓLIO'!$C$4:$C$433,0)),"")</f>
        <v/>
      </c>
      <c r="M198" s="220"/>
      <c r="N198" s="220"/>
      <c r="O198" s="220"/>
      <c r="P198" s="220"/>
      <c r="Q198" s="220"/>
      <c r="R198" s="220"/>
      <c r="S198" s="220"/>
      <c r="T198" s="220"/>
      <c r="U198" s="220"/>
      <c r="V198" s="220"/>
      <c r="W198" s="220"/>
    </row>
    <row r="199" ht="15.75" customHeight="1" outlineLevel="1">
      <c r="A199" s="211"/>
      <c r="B199" s="227"/>
      <c r="C199" s="211"/>
      <c r="D199" s="214" t="str">
        <f>IFERROR(VLOOKUP($C199,'PORTIFÓLIO'!C:V,2,0),"")</f>
        <v/>
      </c>
      <c r="E199" s="211" t="str">
        <f>IFERROR(VLOOKUP($C199,'PORTIFÓLIO'!C:V,3,0),"")</f>
        <v/>
      </c>
      <c r="F199" s="211" t="str">
        <f>IFERROR(VLOOKUP($C199,'PORTIFÓLIO'!C:V,4,0),"")</f>
        <v/>
      </c>
      <c r="G199" s="215" t="str">
        <f>IFERROR(VLOOKUP($C199,'PORTIFÓLIO'!C:V,5,0),"")</f>
        <v/>
      </c>
      <c r="H199" s="254" t="str">
        <f t="array" ref="H199">IFERROR(INDEX('PORTIFÓLIO'!$H$4:$H$433,MATCH($C199,'PORTIFÓLIO'!$C$4:$C$433,0)),"")</f>
        <v/>
      </c>
      <c r="I199" s="256"/>
      <c r="J199" s="218">
        <f t="shared" si="22"/>
        <v>0</v>
      </c>
      <c r="K199" s="219" t="str">
        <f t="array" ref="K199">IFERROR(I199*INDEX('PORTIFÓLIO'!$S$4:$S$433,MATCH($C199,'PORTIFÓLIO'!$C$4:$C$433,0)),"")</f>
        <v/>
      </c>
      <c r="L199" s="219" t="str">
        <f t="array" ref="L199">IFERROR(J199*INDEX('PORTIFÓLIO'!$S$4:$S$433,MATCH($C199,'PORTIFÓLIO'!$C$4:$C$433,0)),"")</f>
        <v/>
      </c>
      <c r="M199" s="220"/>
      <c r="N199" s="220"/>
      <c r="O199" s="220"/>
      <c r="P199" s="220"/>
      <c r="Q199" s="220"/>
      <c r="R199" s="220"/>
      <c r="S199" s="220"/>
      <c r="T199" s="220"/>
      <c r="U199" s="220"/>
      <c r="V199" s="220"/>
      <c r="W199" s="220"/>
    </row>
    <row r="200" ht="15.75" customHeight="1">
      <c r="A200" s="229" t="s">
        <v>1202</v>
      </c>
      <c r="B200" s="230"/>
      <c r="C200" s="231"/>
      <c r="D200" s="232"/>
      <c r="E200" s="231"/>
      <c r="F200" s="231"/>
      <c r="G200" s="233"/>
      <c r="H200" s="233"/>
      <c r="I200" s="258"/>
      <c r="J200" s="236"/>
      <c r="K200" s="237">
        <f t="shared" ref="K200:L200" si="23">SUBTOTAL(9,K201:K214)</f>
        <v>0</v>
      </c>
      <c r="L200" s="237">
        <f t="shared" si="23"/>
        <v>0</v>
      </c>
      <c r="M200" s="220"/>
      <c r="N200" s="220"/>
      <c r="O200" s="220"/>
      <c r="P200" s="220"/>
      <c r="Q200" s="220"/>
      <c r="R200" s="220"/>
      <c r="S200" s="220"/>
      <c r="T200" s="220"/>
      <c r="U200" s="220"/>
      <c r="V200" s="220"/>
      <c r="W200" s="220"/>
    </row>
    <row r="201" ht="15.75" customHeight="1" outlineLevel="1">
      <c r="A201" s="213"/>
      <c r="B201" s="212"/>
      <c r="C201" s="213"/>
      <c r="D201" s="214" t="str">
        <f>IFERROR(VLOOKUP($C201,'PORTIFÓLIO'!C:V,2,0),"")</f>
        <v/>
      </c>
      <c r="E201" s="211" t="str">
        <f>IFERROR(VLOOKUP($C201,'PORTIFÓLIO'!C:V,3,0),"")</f>
        <v/>
      </c>
      <c r="F201" s="211" t="str">
        <f>IFERROR(VLOOKUP($C201,'PORTIFÓLIO'!C:V,4,0),"")</f>
        <v/>
      </c>
      <c r="G201" s="215" t="str">
        <f>IFERROR(VLOOKUP($C201,'PORTIFÓLIO'!C:V,5,0),"")</f>
        <v/>
      </c>
      <c r="H201" s="254" t="str">
        <f t="array" ref="H201">IFERROR(INDEX('PORTIFÓLIO'!$H$4:$H$433,MATCH($C201,'PORTIFÓLIO'!$C$4:$C$433,0)),"")</f>
        <v/>
      </c>
      <c r="I201" s="256"/>
      <c r="J201" s="218">
        <f t="shared" ref="J201:J224" si="24">I201*$B$2</f>
        <v>0</v>
      </c>
      <c r="K201" s="219" t="str">
        <f>IFERROR(I201* VLOOKUP($C201,'PORTIFÓLIO'!C:V,10,0),"")</f>
        <v/>
      </c>
      <c r="L201" s="219" t="str">
        <f>IFERROR(J201* VLOOKUP($C201,'PORTIFÓLIO'!C:V,10,0),"")</f>
        <v/>
      </c>
      <c r="M201" s="220"/>
      <c r="N201" s="220"/>
      <c r="O201" s="220"/>
      <c r="P201" s="220"/>
      <c r="Q201" s="220"/>
      <c r="R201" s="220"/>
      <c r="S201" s="220"/>
      <c r="T201" s="220"/>
      <c r="U201" s="220"/>
      <c r="V201" s="220"/>
      <c r="W201" s="220"/>
    </row>
    <row r="202" ht="15.75" customHeight="1" outlineLevel="1">
      <c r="A202" s="211"/>
      <c r="B202" s="212"/>
      <c r="C202" s="213"/>
      <c r="D202" s="214" t="str">
        <f>IFERROR(VLOOKUP($C202,'PORTIFÓLIO'!C:V,2,0),"")</f>
        <v/>
      </c>
      <c r="E202" s="211" t="str">
        <f>IFERROR(VLOOKUP($C202,'PORTIFÓLIO'!C:V,3,0),"")</f>
        <v/>
      </c>
      <c r="F202" s="211" t="str">
        <f>IFERROR(VLOOKUP($C202,'PORTIFÓLIO'!C:V,4,0),"")</f>
        <v/>
      </c>
      <c r="G202" s="215" t="str">
        <f>IFERROR(VLOOKUP($C202,'PORTIFÓLIO'!C:V,5,0),"")</f>
        <v/>
      </c>
      <c r="H202" s="254" t="str">
        <f t="array" ref="H202">IFERROR(INDEX('PORTIFÓLIO'!$H$4:$H$433,MATCH($C202,'PORTIFÓLIO'!$C$4:$C$433,0)),"")</f>
        <v/>
      </c>
      <c r="I202" s="256"/>
      <c r="J202" s="218">
        <f t="shared" si="24"/>
        <v>0</v>
      </c>
      <c r="K202" s="219" t="str">
        <f>IFERROR(I202* VLOOKUP($C202,'PORTIFÓLIO'!C:V,10,0),"")</f>
        <v/>
      </c>
      <c r="L202" s="219" t="str">
        <f>IFERROR(J202* VLOOKUP($C202,'PORTIFÓLIO'!C:V,10,0),"")</f>
        <v/>
      </c>
      <c r="M202" s="220"/>
      <c r="N202" s="220"/>
      <c r="O202" s="220"/>
      <c r="P202" s="220"/>
      <c r="Q202" s="220"/>
      <c r="R202" s="220"/>
      <c r="S202" s="220"/>
      <c r="T202" s="220"/>
      <c r="U202" s="220"/>
      <c r="V202" s="220"/>
      <c r="W202" s="220"/>
    </row>
    <row r="203" ht="15.75" customHeight="1" outlineLevel="1">
      <c r="A203" s="211"/>
      <c r="B203" s="212"/>
      <c r="C203" s="213"/>
      <c r="D203" s="214" t="str">
        <f>IFERROR(VLOOKUP($C203,'PORTIFÓLIO'!C:V,2,0),"")</f>
        <v/>
      </c>
      <c r="E203" s="211" t="str">
        <f>IFERROR(VLOOKUP($C203,'PORTIFÓLIO'!C:V,3,0),"")</f>
        <v/>
      </c>
      <c r="F203" s="211" t="str">
        <f>IFERROR(VLOOKUP($C203,'PORTIFÓLIO'!C:V,4,0),"")</f>
        <v/>
      </c>
      <c r="G203" s="215" t="str">
        <f>IFERROR(VLOOKUP($C203,'PORTIFÓLIO'!C:V,5,0),"")</f>
        <v/>
      </c>
      <c r="H203" s="254" t="str">
        <f t="array" ref="H203">IFERROR(INDEX('PORTIFÓLIO'!$H$4:$H$433,MATCH($C203,'PORTIFÓLIO'!$C$4:$C$433,0)),"")</f>
        <v/>
      </c>
      <c r="I203" s="256"/>
      <c r="J203" s="218">
        <f t="shared" si="24"/>
        <v>0</v>
      </c>
      <c r="K203" s="219" t="str">
        <f>IFERROR(I203* VLOOKUP($C203,'PORTIFÓLIO'!C:V,10,0),"")</f>
        <v/>
      </c>
      <c r="L203" s="219" t="str">
        <f>IFERROR(J203* VLOOKUP($C203,'PORTIFÓLIO'!C:V,10,0),"")</f>
        <v/>
      </c>
      <c r="M203" s="220"/>
      <c r="N203" s="220"/>
      <c r="O203" s="220"/>
      <c r="P203" s="220"/>
      <c r="Q203" s="220"/>
      <c r="R203" s="220"/>
      <c r="S203" s="220"/>
      <c r="T203" s="220"/>
      <c r="U203" s="220"/>
      <c r="V203" s="220"/>
      <c r="W203" s="220"/>
    </row>
    <row r="204" ht="15.75" customHeight="1" outlineLevel="1">
      <c r="A204" s="211"/>
      <c r="B204" s="212"/>
      <c r="C204" s="213"/>
      <c r="D204" s="214" t="str">
        <f>IFERROR(VLOOKUP($C204,'PORTIFÓLIO'!C:V,2,0),"")</f>
        <v/>
      </c>
      <c r="E204" s="211" t="str">
        <f>IFERROR(VLOOKUP($C204,'PORTIFÓLIO'!C:V,3,0),"")</f>
        <v/>
      </c>
      <c r="F204" s="211" t="str">
        <f>IFERROR(VLOOKUP($C204,'PORTIFÓLIO'!C:V,4,0),"")</f>
        <v/>
      </c>
      <c r="G204" s="215" t="str">
        <f>IFERROR(VLOOKUP($C204,'PORTIFÓLIO'!C:V,5,0),"")</f>
        <v/>
      </c>
      <c r="H204" s="254" t="str">
        <f t="array" ref="H204">IFERROR(INDEX('PORTIFÓLIO'!$H$4:$H$433,MATCH($C204,'PORTIFÓLIO'!$C$4:$C$433,0)),"")</f>
        <v/>
      </c>
      <c r="I204" s="256"/>
      <c r="J204" s="218">
        <f t="shared" si="24"/>
        <v>0</v>
      </c>
      <c r="K204" s="219" t="str">
        <f>IFERROR(I204* VLOOKUP($C204,'PORTIFÓLIO'!C:V,10,0),"")</f>
        <v/>
      </c>
      <c r="L204" s="219" t="str">
        <f>IFERROR(J204* VLOOKUP($C204,'PORTIFÓLIO'!C:V,10,0),"")</f>
        <v/>
      </c>
      <c r="M204" s="220"/>
      <c r="N204" s="220"/>
      <c r="O204" s="220"/>
      <c r="P204" s="220"/>
      <c r="Q204" s="220"/>
      <c r="R204" s="220"/>
      <c r="S204" s="220"/>
      <c r="T204" s="220"/>
      <c r="U204" s="220"/>
      <c r="V204" s="220"/>
      <c r="W204" s="220"/>
    </row>
    <row r="205" ht="15.75" customHeight="1" outlineLevel="1">
      <c r="A205" s="211"/>
      <c r="B205" s="212"/>
      <c r="C205" s="213"/>
      <c r="D205" s="214" t="str">
        <f>IFERROR(VLOOKUP($C205,'PORTIFÓLIO'!C:V,2,0),"")</f>
        <v/>
      </c>
      <c r="E205" s="211" t="str">
        <f>IFERROR(VLOOKUP($C205,'PORTIFÓLIO'!C:V,3,0),"")</f>
        <v/>
      </c>
      <c r="F205" s="211" t="str">
        <f>IFERROR(VLOOKUP($C205,'PORTIFÓLIO'!C:V,4,0),"")</f>
        <v/>
      </c>
      <c r="G205" s="215" t="str">
        <f>IFERROR(VLOOKUP($C205,'PORTIFÓLIO'!C:V,5,0),"")</f>
        <v/>
      </c>
      <c r="H205" s="254" t="str">
        <f t="array" ref="H205">IFERROR(INDEX('PORTIFÓLIO'!$H$4:$H$433,MATCH($C205,'PORTIFÓLIO'!$C$4:$C$433,0)),"")</f>
        <v/>
      </c>
      <c r="I205" s="256"/>
      <c r="J205" s="218">
        <f t="shared" si="24"/>
        <v>0</v>
      </c>
      <c r="K205" s="219" t="str">
        <f>IFERROR(I205* VLOOKUP($C205,'PORTIFÓLIO'!C:V,10,0),"")</f>
        <v/>
      </c>
      <c r="L205" s="219" t="str">
        <f>IFERROR(J205* VLOOKUP($C205,'PORTIFÓLIO'!C:V,10,0),"")</f>
        <v/>
      </c>
      <c r="M205" s="220"/>
      <c r="N205" s="220"/>
      <c r="O205" s="220"/>
      <c r="P205" s="220"/>
      <c r="Q205" s="220"/>
      <c r="R205" s="220"/>
      <c r="S205" s="220"/>
      <c r="T205" s="220"/>
      <c r="U205" s="220"/>
      <c r="V205" s="220"/>
      <c r="W205" s="220"/>
    </row>
    <row r="206" ht="15.75" customHeight="1" outlineLevel="1">
      <c r="A206" s="211"/>
      <c r="B206" s="212"/>
      <c r="C206" s="213"/>
      <c r="D206" s="214" t="str">
        <f>IFERROR(VLOOKUP($C206,'PORTIFÓLIO'!C:V,2,0),"")</f>
        <v/>
      </c>
      <c r="E206" s="211" t="str">
        <f>IFERROR(VLOOKUP($C206,'PORTIFÓLIO'!C:V,3,0),"")</f>
        <v/>
      </c>
      <c r="F206" s="211" t="str">
        <f>IFERROR(VLOOKUP($C206,'PORTIFÓLIO'!C:V,4,0),"")</f>
        <v/>
      </c>
      <c r="G206" s="215" t="str">
        <f>IFERROR(VLOOKUP($C206,'PORTIFÓLIO'!C:V,5,0),"")</f>
        <v/>
      </c>
      <c r="H206" s="254" t="str">
        <f t="array" ref="H206">IFERROR(INDEX('PORTIFÓLIO'!$H$4:$H$433,MATCH($C206,'PORTIFÓLIO'!$C$4:$C$433,0)),"")</f>
        <v/>
      </c>
      <c r="I206" s="256"/>
      <c r="J206" s="218">
        <f t="shared" si="24"/>
        <v>0</v>
      </c>
      <c r="K206" s="219" t="str">
        <f>IFERROR(I206* VLOOKUP($C206,'PORTIFÓLIO'!C:V,10,0),"")</f>
        <v/>
      </c>
      <c r="L206" s="219" t="str">
        <f>IFERROR(J206* VLOOKUP($C206,'PORTIFÓLIO'!C:V,10,0),"")</f>
        <v/>
      </c>
      <c r="M206" s="220"/>
      <c r="N206" s="220"/>
      <c r="O206" s="220"/>
      <c r="P206" s="220"/>
      <c r="Q206" s="220"/>
      <c r="R206" s="220"/>
      <c r="S206" s="220"/>
      <c r="T206" s="220"/>
      <c r="U206" s="220"/>
      <c r="V206" s="220"/>
      <c r="W206" s="220"/>
    </row>
    <row r="207" ht="15.75" customHeight="1" outlineLevel="1">
      <c r="A207" s="211"/>
      <c r="B207" s="212"/>
      <c r="C207" s="213"/>
      <c r="D207" s="214" t="str">
        <f>IFERROR(VLOOKUP($C207,'PORTIFÓLIO'!C:V,2,0),"")</f>
        <v/>
      </c>
      <c r="E207" s="211" t="str">
        <f>IFERROR(VLOOKUP($C207,'PORTIFÓLIO'!C:V,3,0),"")</f>
        <v/>
      </c>
      <c r="F207" s="211" t="str">
        <f>IFERROR(VLOOKUP($C207,'PORTIFÓLIO'!C:V,4,0),"")</f>
        <v/>
      </c>
      <c r="G207" s="215" t="str">
        <f>IFERROR(VLOOKUP($C207,'PORTIFÓLIO'!C:V,5,0),"")</f>
        <v/>
      </c>
      <c r="H207" s="254" t="str">
        <f t="array" ref="H207">IFERROR(INDEX('PORTIFÓLIO'!$H$4:$H$433,MATCH($C207,'PORTIFÓLIO'!$C$4:$C$433,0)),"")</f>
        <v/>
      </c>
      <c r="I207" s="256"/>
      <c r="J207" s="218">
        <f t="shared" si="24"/>
        <v>0</v>
      </c>
      <c r="K207" s="219" t="str">
        <f>IFERROR(I207* VLOOKUP($C207,'PORTIFÓLIO'!C:V,10,0),"")</f>
        <v/>
      </c>
      <c r="L207" s="219" t="str">
        <f>IFERROR(J207* VLOOKUP($C207,'PORTIFÓLIO'!C:V,10,0),"")</f>
        <v/>
      </c>
      <c r="M207" s="220"/>
      <c r="N207" s="220"/>
      <c r="O207" s="220"/>
      <c r="P207" s="220"/>
      <c r="Q207" s="220"/>
      <c r="R207" s="220"/>
      <c r="S207" s="220"/>
      <c r="T207" s="220"/>
      <c r="U207" s="220"/>
      <c r="V207" s="220"/>
      <c r="W207" s="220"/>
    </row>
    <row r="208" ht="15.75" customHeight="1" outlineLevel="1">
      <c r="A208" s="211"/>
      <c r="B208" s="212"/>
      <c r="C208" s="213"/>
      <c r="D208" s="214" t="str">
        <f>IFERROR(VLOOKUP($C208,'PORTIFÓLIO'!C:V,2,0),"")</f>
        <v/>
      </c>
      <c r="E208" s="211" t="str">
        <f>IFERROR(VLOOKUP($C208,'PORTIFÓLIO'!C:V,3,0),"")</f>
        <v/>
      </c>
      <c r="F208" s="211" t="str">
        <f>IFERROR(VLOOKUP($C208,'PORTIFÓLIO'!C:V,4,0),"")</f>
        <v/>
      </c>
      <c r="G208" s="215" t="str">
        <f>IFERROR(VLOOKUP($C208,'PORTIFÓLIO'!C:V,5,0),"")</f>
        <v/>
      </c>
      <c r="H208" s="254" t="str">
        <f t="array" ref="H208">IFERROR(INDEX('PORTIFÓLIO'!$H$4:$H$433,MATCH($C208,'PORTIFÓLIO'!$C$4:$C$433,0)),"")</f>
        <v/>
      </c>
      <c r="I208" s="256"/>
      <c r="J208" s="218">
        <f t="shared" si="24"/>
        <v>0</v>
      </c>
      <c r="K208" s="219" t="str">
        <f>IFERROR(I208* VLOOKUP($C208,'PORTIFÓLIO'!C:V,10,0),"")</f>
        <v/>
      </c>
      <c r="L208" s="219" t="str">
        <f>IFERROR(J208* VLOOKUP($C208,'PORTIFÓLIO'!C:V,10,0),"")</f>
        <v/>
      </c>
      <c r="M208" s="220"/>
      <c r="N208" s="220"/>
      <c r="O208" s="220"/>
      <c r="P208" s="220"/>
      <c r="Q208" s="220"/>
      <c r="R208" s="220"/>
      <c r="S208" s="220"/>
      <c r="T208" s="220"/>
      <c r="U208" s="220"/>
      <c r="V208" s="220"/>
      <c r="W208" s="220"/>
    </row>
    <row r="209" ht="15.75" customHeight="1" outlineLevel="1">
      <c r="A209" s="211"/>
      <c r="B209" s="212"/>
      <c r="C209" s="213"/>
      <c r="D209" s="214" t="str">
        <f>IFERROR(VLOOKUP($C209,'PORTIFÓLIO'!C:V,2,0),"")</f>
        <v/>
      </c>
      <c r="E209" s="211" t="str">
        <f>IFERROR(VLOOKUP($C209,'PORTIFÓLIO'!C:V,3,0),"")</f>
        <v/>
      </c>
      <c r="F209" s="211" t="str">
        <f>IFERROR(VLOOKUP($C209,'PORTIFÓLIO'!C:V,4,0),"")</f>
        <v/>
      </c>
      <c r="G209" s="215" t="str">
        <f>IFERROR(VLOOKUP($C209,'PORTIFÓLIO'!C:V,5,0),"")</f>
        <v/>
      </c>
      <c r="H209" s="254" t="str">
        <f t="array" ref="H209">IFERROR(INDEX('PORTIFÓLIO'!$H$4:$H$433,MATCH($C209,'PORTIFÓLIO'!$C$4:$C$433,0)),"")</f>
        <v/>
      </c>
      <c r="I209" s="256"/>
      <c r="J209" s="218">
        <f t="shared" si="24"/>
        <v>0</v>
      </c>
      <c r="K209" s="219" t="str">
        <f>IFERROR(I209* VLOOKUP($C209,'PORTIFÓLIO'!C:V,10,0),"")</f>
        <v/>
      </c>
      <c r="L209" s="219" t="str">
        <f>IFERROR(J209* VLOOKUP($C209,'PORTIFÓLIO'!C:V,10,0),"")</f>
        <v/>
      </c>
      <c r="M209" s="220"/>
      <c r="N209" s="220"/>
      <c r="O209" s="220"/>
      <c r="P209" s="220"/>
      <c r="Q209" s="220"/>
      <c r="R209" s="220"/>
      <c r="S209" s="220"/>
      <c r="T209" s="220"/>
      <c r="U209" s="220"/>
      <c r="V209" s="220"/>
      <c r="W209" s="220"/>
    </row>
    <row r="210" ht="15.75" customHeight="1" outlineLevel="1">
      <c r="A210" s="211"/>
      <c r="B210" s="212"/>
      <c r="C210" s="213"/>
      <c r="D210" s="214" t="str">
        <f>IFERROR(VLOOKUP($C210,'PORTIFÓLIO'!C:V,2,0),"")</f>
        <v/>
      </c>
      <c r="E210" s="211" t="str">
        <f>IFERROR(VLOOKUP($C210,'PORTIFÓLIO'!C:V,3,0),"")</f>
        <v/>
      </c>
      <c r="F210" s="211" t="str">
        <f>IFERROR(VLOOKUP($C210,'PORTIFÓLIO'!C:V,4,0),"")</f>
        <v/>
      </c>
      <c r="G210" s="215" t="str">
        <f>IFERROR(VLOOKUP($C210,'PORTIFÓLIO'!C:V,5,0),"")</f>
        <v/>
      </c>
      <c r="H210" s="254" t="str">
        <f t="array" ref="H210">IFERROR(INDEX('PORTIFÓLIO'!$H$4:$H$433,MATCH($C210,'PORTIFÓLIO'!$C$4:$C$433,0)),"")</f>
        <v/>
      </c>
      <c r="I210" s="256"/>
      <c r="J210" s="218">
        <f t="shared" si="24"/>
        <v>0</v>
      </c>
      <c r="K210" s="219" t="str">
        <f>IFERROR(I210* VLOOKUP($C210,'PORTIFÓLIO'!C:V,10,0),"")</f>
        <v/>
      </c>
      <c r="L210" s="219" t="str">
        <f>IFERROR(J210* VLOOKUP($C210,'PORTIFÓLIO'!C:V,10,0),"")</f>
        <v/>
      </c>
      <c r="M210" s="220"/>
      <c r="N210" s="220"/>
      <c r="O210" s="220"/>
      <c r="P210" s="220"/>
      <c r="Q210" s="220"/>
      <c r="R210" s="220"/>
      <c r="S210" s="220"/>
      <c r="T210" s="220"/>
      <c r="U210" s="220"/>
      <c r="V210" s="220"/>
      <c r="W210" s="220"/>
    </row>
    <row r="211" ht="15.75" customHeight="1" outlineLevel="1">
      <c r="A211" s="211"/>
      <c r="B211" s="212"/>
      <c r="C211" s="213"/>
      <c r="D211" s="214" t="str">
        <f>IFERROR(VLOOKUP($C211,'PORTIFÓLIO'!C:V,2,0),"")</f>
        <v/>
      </c>
      <c r="E211" s="211" t="str">
        <f>IFERROR(VLOOKUP($C211,'PORTIFÓLIO'!C:V,3,0),"")</f>
        <v/>
      </c>
      <c r="F211" s="211" t="str">
        <f>IFERROR(VLOOKUP($C211,'PORTIFÓLIO'!C:V,4,0),"")</f>
        <v/>
      </c>
      <c r="G211" s="215" t="str">
        <f>IFERROR(VLOOKUP($C211,'PORTIFÓLIO'!C:V,5,0),"")</f>
        <v/>
      </c>
      <c r="H211" s="254" t="str">
        <f t="array" ref="H211">IFERROR(INDEX('PORTIFÓLIO'!$H$4:$H$433,MATCH($C211,'PORTIFÓLIO'!$C$4:$C$433,0)),"")</f>
        <v/>
      </c>
      <c r="I211" s="256"/>
      <c r="J211" s="218">
        <f t="shared" si="24"/>
        <v>0</v>
      </c>
      <c r="K211" s="219" t="str">
        <f>IFERROR(I211* VLOOKUP($C211,'PORTIFÓLIO'!C:V,10,0),"")</f>
        <v/>
      </c>
      <c r="L211" s="219" t="str">
        <f>IFERROR(J211* VLOOKUP($C211,'PORTIFÓLIO'!C:V,10,0),"")</f>
        <v/>
      </c>
      <c r="M211" s="220"/>
      <c r="N211" s="220"/>
      <c r="O211" s="220"/>
      <c r="P211" s="220"/>
      <c r="Q211" s="220"/>
      <c r="R211" s="220"/>
      <c r="S211" s="220"/>
      <c r="T211" s="220"/>
      <c r="U211" s="220"/>
      <c r="V211" s="220"/>
      <c r="W211" s="220"/>
    </row>
    <row r="212" ht="15.75" customHeight="1" outlineLevel="1">
      <c r="A212" s="211"/>
      <c r="B212" s="212"/>
      <c r="C212" s="213"/>
      <c r="D212" s="214" t="str">
        <f>IFERROR(VLOOKUP($C212,'PORTIFÓLIO'!C:V,2,0),"")</f>
        <v/>
      </c>
      <c r="E212" s="211" t="str">
        <f>IFERROR(VLOOKUP($C212,'PORTIFÓLIO'!C:V,3,0),"")</f>
        <v/>
      </c>
      <c r="F212" s="211" t="str">
        <f>IFERROR(VLOOKUP($C212,'PORTIFÓLIO'!C:V,4,0),"")</f>
        <v/>
      </c>
      <c r="G212" s="215" t="str">
        <f>IFERROR(VLOOKUP($C212,'PORTIFÓLIO'!C:V,5,0),"")</f>
        <v/>
      </c>
      <c r="H212" s="254" t="str">
        <f t="array" ref="H212">IFERROR(INDEX('PORTIFÓLIO'!$H$4:$H$433,MATCH($C212,'PORTIFÓLIO'!$C$4:$C$433,0)),"")</f>
        <v/>
      </c>
      <c r="I212" s="256"/>
      <c r="J212" s="218">
        <f t="shared" si="24"/>
        <v>0</v>
      </c>
      <c r="K212" s="219" t="str">
        <f>IFERROR(I212* VLOOKUP($C212,'PORTIFÓLIO'!C:V,10,0),"")</f>
        <v/>
      </c>
      <c r="L212" s="219" t="str">
        <f>IFERROR(J212* VLOOKUP($C212,'PORTIFÓLIO'!C:V,10,0),"")</f>
        <v/>
      </c>
      <c r="M212" s="220"/>
      <c r="N212" s="220"/>
      <c r="O212" s="220"/>
      <c r="P212" s="220"/>
      <c r="Q212" s="220"/>
      <c r="R212" s="220"/>
      <c r="S212" s="220"/>
      <c r="T212" s="220"/>
      <c r="U212" s="220"/>
      <c r="V212" s="220"/>
      <c r="W212" s="220"/>
    </row>
    <row r="213" ht="15.75" customHeight="1" outlineLevel="1">
      <c r="A213" s="211"/>
      <c r="B213" s="212"/>
      <c r="C213" s="213"/>
      <c r="D213" s="214" t="str">
        <f>IFERROR(VLOOKUP($C213,'PORTIFÓLIO'!C:V,2,0),"")</f>
        <v/>
      </c>
      <c r="E213" s="211" t="str">
        <f>IFERROR(VLOOKUP($C213,'PORTIFÓLIO'!C:V,3,0),"")</f>
        <v/>
      </c>
      <c r="F213" s="211" t="str">
        <f>IFERROR(VLOOKUP($C213,'PORTIFÓLIO'!C:V,4,0),"")</f>
        <v/>
      </c>
      <c r="G213" s="215" t="str">
        <f>IFERROR(VLOOKUP($C213,'PORTIFÓLIO'!C:V,5,0),"")</f>
        <v/>
      </c>
      <c r="H213" s="254" t="str">
        <f t="array" ref="H213">IFERROR(INDEX('PORTIFÓLIO'!$H$4:$H$433,MATCH($C213,'PORTIFÓLIO'!$C$4:$C$433,0)),"")</f>
        <v/>
      </c>
      <c r="I213" s="256"/>
      <c r="J213" s="218">
        <f t="shared" si="24"/>
        <v>0</v>
      </c>
      <c r="K213" s="219" t="str">
        <f>IFERROR(I213* VLOOKUP($C213,'PORTIFÓLIO'!C:V,10,0),"")</f>
        <v/>
      </c>
      <c r="L213" s="219" t="str">
        <f>IFERROR(J213* VLOOKUP($C213,'PORTIFÓLIO'!C:V,10,0),"")</f>
        <v/>
      </c>
      <c r="M213" s="220"/>
      <c r="N213" s="220"/>
      <c r="O213" s="220"/>
      <c r="P213" s="220"/>
      <c r="Q213" s="220"/>
      <c r="R213" s="220"/>
      <c r="S213" s="220"/>
      <c r="T213" s="220"/>
      <c r="U213" s="220"/>
      <c r="V213" s="220"/>
      <c r="W213" s="220"/>
    </row>
    <row r="214" ht="15.75" customHeight="1" outlineLevel="1">
      <c r="A214" s="211"/>
      <c r="B214" s="212"/>
      <c r="C214" s="213"/>
      <c r="D214" s="214" t="str">
        <f>IFERROR(VLOOKUP($C214,'PORTIFÓLIO'!C:V,2,0),"")</f>
        <v/>
      </c>
      <c r="E214" s="211" t="str">
        <f>IFERROR(VLOOKUP($C214,'PORTIFÓLIO'!C:V,3,0),"")</f>
        <v/>
      </c>
      <c r="F214" s="211" t="str">
        <f>IFERROR(VLOOKUP($C214,'PORTIFÓLIO'!C:V,4,0),"")</f>
        <v/>
      </c>
      <c r="G214" s="215" t="str">
        <f>IFERROR(VLOOKUP($C214,'PORTIFÓLIO'!C:V,5,0),"")</f>
        <v/>
      </c>
      <c r="H214" s="254" t="str">
        <f t="array" ref="H214">IFERROR(INDEX('PORTIFÓLIO'!$H$4:$H$433,MATCH($C214,'PORTIFÓLIO'!$C$4:$C$433,0)),"")</f>
        <v/>
      </c>
      <c r="I214" s="256"/>
      <c r="J214" s="218">
        <f t="shared" si="24"/>
        <v>0</v>
      </c>
      <c r="K214" s="219" t="str">
        <f>IFERROR(I214* VLOOKUP($C214,'PORTIFÓLIO'!C:V,10,0),"")</f>
        <v/>
      </c>
      <c r="L214" s="219" t="str">
        <f>IFERROR(J214* VLOOKUP($C214,'PORTIFÓLIO'!C:V,10,0),"")</f>
        <v/>
      </c>
      <c r="M214" s="220"/>
      <c r="N214" s="220"/>
      <c r="O214" s="220"/>
      <c r="P214" s="220"/>
      <c r="Q214" s="220"/>
      <c r="R214" s="220"/>
      <c r="S214" s="220"/>
      <c r="T214" s="220"/>
      <c r="U214" s="220"/>
      <c r="V214" s="220"/>
      <c r="W214" s="220"/>
    </row>
    <row r="215" ht="15.75" customHeight="1" outlineLevel="1">
      <c r="A215" s="211"/>
      <c r="B215" s="212"/>
      <c r="C215" s="213"/>
      <c r="D215" s="214" t="str">
        <f>IFERROR(VLOOKUP($C215,'PORTIFÓLIO'!C:V,2,0),"")</f>
        <v/>
      </c>
      <c r="E215" s="211" t="str">
        <f>IFERROR(VLOOKUP($C215,'PORTIFÓLIO'!C:V,3,0),"")</f>
        <v/>
      </c>
      <c r="F215" s="211" t="str">
        <f>IFERROR(VLOOKUP($C215,'PORTIFÓLIO'!C:V,4,0),"")</f>
        <v/>
      </c>
      <c r="G215" s="215" t="str">
        <f>IFERROR(VLOOKUP($C215,'PORTIFÓLIO'!C:V,5,0),"")</f>
        <v/>
      </c>
      <c r="H215" s="254" t="str">
        <f t="array" ref="H215">IFERROR(INDEX('PORTIFÓLIO'!$H$4:$H$433,MATCH($C215,'PORTIFÓLIO'!$C$4:$C$433,0)),"")</f>
        <v/>
      </c>
      <c r="I215" s="256"/>
      <c r="J215" s="218">
        <f t="shared" si="24"/>
        <v>0</v>
      </c>
      <c r="K215" s="219" t="str">
        <f>IFERROR(I215* VLOOKUP($C215,'PORTIFÓLIO'!C:V,10,0),"")</f>
        <v/>
      </c>
      <c r="L215" s="219" t="str">
        <f>IFERROR(J215* VLOOKUP($C215,'PORTIFÓLIO'!C:V,10,0),"")</f>
        <v/>
      </c>
      <c r="M215" s="220"/>
      <c r="N215" s="220"/>
      <c r="O215" s="220"/>
      <c r="P215" s="220"/>
      <c r="Q215" s="220"/>
      <c r="R215" s="220"/>
      <c r="S215" s="220"/>
      <c r="T215" s="220"/>
      <c r="U215" s="220"/>
      <c r="V215" s="220"/>
      <c r="W215" s="220"/>
    </row>
    <row r="216" ht="15.75" customHeight="1" outlineLevel="1">
      <c r="A216" s="211"/>
      <c r="B216" s="227"/>
      <c r="C216" s="211"/>
      <c r="D216" s="214" t="str">
        <f>IFERROR(VLOOKUP($C216,'PORTIFÓLIO'!C:V,2,0),"")</f>
        <v/>
      </c>
      <c r="E216" s="211" t="str">
        <f>IFERROR(VLOOKUP($C216,'PORTIFÓLIO'!C:V,3,0),"")</f>
        <v/>
      </c>
      <c r="F216" s="211" t="str">
        <f>IFERROR(VLOOKUP($C216,'PORTIFÓLIO'!C:V,4,0),"")</f>
        <v/>
      </c>
      <c r="G216" s="215" t="str">
        <f>IFERROR(VLOOKUP($C216,'PORTIFÓLIO'!C:V,5,0),"")</f>
        <v/>
      </c>
      <c r="H216" s="254" t="str">
        <f t="array" ref="H216">IFERROR(INDEX('PORTIFÓLIO'!$H$4:$H$433,MATCH($C216,'PORTIFÓLIO'!$C$4:$C$433,0)),"")</f>
        <v/>
      </c>
      <c r="I216" s="256"/>
      <c r="J216" s="218">
        <f t="shared" si="24"/>
        <v>0</v>
      </c>
      <c r="K216" s="219" t="str">
        <f>IFERROR(I216* VLOOKUP($C216,'PORTIFÓLIO'!C:V,10,0),"")</f>
        <v/>
      </c>
      <c r="L216" s="219" t="str">
        <f>IFERROR(J216* VLOOKUP($C216,'PORTIFÓLIO'!C:V,10,0),"")</f>
        <v/>
      </c>
      <c r="M216" s="220"/>
      <c r="N216" s="220"/>
      <c r="O216" s="220"/>
      <c r="P216" s="220"/>
      <c r="Q216" s="220"/>
      <c r="R216" s="220"/>
      <c r="S216" s="220"/>
      <c r="T216" s="220"/>
      <c r="U216" s="220"/>
      <c r="V216" s="220"/>
      <c r="W216" s="220"/>
    </row>
    <row r="217" ht="15.75" customHeight="1" outlineLevel="1">
      <c r="A217" s="211"/>
      <c r="B217" s="227"/>
      <c r="C217" s="211"/>
      <c r="D217" s="214" t="str">
        <f>IFERROR(VLOOKUP($C217,'PORTIFÓLIO'!C:V,2,0),"")</f>
        <v/>
      </c>
      <c r="E217" s="211" t="str">
        <f>IFERROR(VLOOKUP($C217,'PORTIFÓLIO'!C:V,3,0),"")</f>
        <v/>
      </c>
      <c r="F217" s="211" t="str">
        <f>IFERROR(VLOOKUP($C217,'PORTIFÓLIO'!C:V,4,0),"")</f>
        <v/>
      </c>
      <c r="G217" s="215" t="str">
        <f>IFERROR(VLOOKUP($C217,'PORTIFÓLIO'!C:V,5,0),"")</f>
        <v/>
      </c>
      <c r="H217" s="254" t="str">
        <f t="array" ref="H217">IFERROR(INDEX('PORTIFÓLIO'!$H$4:$H$433,MATCH($C217,'PORTIFÓLIO'!$C$4:$C$433,0)),"")</f>
        <v/>
      </c>
      <c r="I217" s="256"/>
      <c r="J217" s="218">
        <f t="shared" si="24"/>
        <v>0</v>
      </c>
      <c r="K217" s="219" t="str">
        <f>IFERROR(I217* VLOOKUP($C217,'PORTIFÓLIO'!C:V,10,0),"")</f>
        <v/>
      </c>
      <c r="L217" s="219" t="str">
        <f>IFERROR(J217* VLOOKUP($C217,'PORTIFÓLIO'!C:V,10,0),"")</f>
        <v/>
      </c>
      <c r="M217" s="220"/>
      <c r="N217" s="220"/>
      <c r="O217" s="220"/>
      <c r="P217" s="220"/>
      <c r="Q217" s="220"/>
      <c r="R217" s="220"/>
      <c r="S217" s="220"/>
      <c r="T217" s="220"/>
      <c r="U217" s="220"/>
      <c r="V217" s="220"/>
      <c r="W217" s="220"/>
    </row>
    <row r="218" ht="15.75" customHeight="1" outlineLevel="1">
      <c r="A218" s="211"/>
      <c r="B218" s="227"/>
      <c r="C218" s="211"/>
      <c r="D218" s="214" t="str">
        <f>IFERROR(VLOOKUP($C218,'PORTIFÓLIO'!C:V,2,0),"")</f>
        <v/>
      </c>
      <c r="E218" s="211" t="str">
        <f>IFERROR(VLOOKUP($C218,'PORTIFÓLIO'!C:V,3,0),"")</f>
        <v/>
      </c>
      <c r="F218" s="211" t="str">
        <f>IFERROR(VLOOKUP($C218,'PORTIFÓLIO'!C:V,4,0),"")</f>
        <v/>
      </c>
      <c r="G218" s="215" t="str">
        <f>IFERROR(VLOOKUP($C218,'PORTIFÓLIO'!C:V,5,0),"")</f>
        <v/>
      </c>
      <c r="H218" s="254" t="str">
        <f t="array" ref="H218">IFERROR(INDEX('PORTIFÓLIO'!$H$4:$H$433,MATCH($C218,'PORTIFÓLIO'!$C$4:$C$433,0)),"")</f>
        <v/>
      </c>
      <c r="I218" s="256"/>
      <c r="J218" s="218">
        <f t="shared" si="24"/>
        <v>0</v>
      </c>
      <c r="K218" s="219" t="str">
        <f>IFERROR(I218* VLOOKUP($C218,'PORTIFÓLIO'!C:V,10,0),"")</f>
        <v/>
      </c>
      <c r="L218" s="219" t="str">
        <f>IFERROR(J218* VLOOKUP($C218,'PORTIFÓLIO'!C:V,10,0),"")</f>
        <v/>
      </c>
      <c r="M218" s="220"/>
      <c r="N218" s="220"/>
      <c r="O218" s="220"/>
      <c r="P218" s="220"/>
      <c r="Q218" s="220"/>
      <c r="R218" s="220"/>
      <c r="S218" s="220"/>
      <c r="T218" s="220"/>
      <c r="U218" s="220"/>
      <c r="V218" s="220"/>
      <c r="W218" s="220"/>
    </row>
    <row r="219" ht="15.75" customHeight="1" outlineLevel="1">
      <c r="A219" s="211"/>
      <c r="B219" s="227"/>
      <c r="C219" s="211"/>
      <c r="D219" s="214" t="str">
        <f>IFERROR(VLOOKUP($C219,'PORTIFÓLIO'!C:V,2,0),"")</f>
        <v/>
      </c>
      <c r="E219" s="211" t="str">
        <f>IFERROR(VLOOKUP($C219,'PORTIFÓLIO'!C:V,3,0),"")</f>
        <v/>
      </c>
      <c r="F219" s="211" t="str">
        <f>IFERROR(VLOOKUP($C219,'PORTIFÓLIO'!C:V,4,0),"")</f>
        <v/>
      </c>
      <c r="G219" s="215" t="str">
        <f>IFERROR(VLOOKUP($C219,'PORTIFÓLIO'!C:V,5,0),"")</f>
        <v/>
      </c>
      <c r="H219" s="254" t="str">
        <f t="array" ref="H219">IFERROR(INDEX('PORTIFÓLIO'!$H$4:$H$433,MATCH($C219,'PORTIFÓLIO'!$C$4:$C$433,0)),"")</f>
        <v/>
      </c>
      <c r="I219" s="256"/>
      <c r="J219" s="218">
        <f t="shared" si="24"/>
        <v>0</v>
      </c>
      <c r="K219" s="219" t="str">
        <f>IFERROR(I219* VLOOKUP($C219,'PORTIFÓLIO'!C:V,10,0),"")</f>
        <v/>
      </c>
      <c r="L219" s="219" t="str">
        <f>IFERROR(J219* VLOOKUP($C219,'PORTIFÓLIO'!C:V,10,0),"")</f>
        <v/>
      </c>
      <c r="M219" s="220"/>
      <c r="N219" s="220"/>
      <c r="O219" s="220"/>
      <c r="P219" s="220"/>
      <c r="Q219" s="220"/>
      <c r="R219" s="220"/>
      <c r="S219" s="220"/>
      <c r="T219" s="220"/>
      <c r="U219" s="220"/>
      <c r="V219" s="220"/>
      <c r="W219" s="220"/>
    </row>
    <row r="220" ht="15.75" customHeight="1" outlineLevel="1">
      <c r="A220" s="211"/>
      <c r="B220" s="227"/>
      <c r="C220" s="211"/>
      <c r="D220" s="214" t="str">
        <f>IFERROR(VLOOKUP($C220,'PORTIFÓLIO'!C:V,2,0),"")</f>
        <v/>
      </c>
      <c r="E220" s="211" t="str">
        <f>IFERROR(VLOOKUP($C220,'PORTIFÓLIO'!C:V,3,0),"")</f>
        <v/>
      </c>
      <c r="F220" s="211" t="str">
        <f>IFERROR(VLOOKUP($C220,'PORTIFÓLIO'!C:V,4,0),"")</f>
        <v/>
      </c>
      <c r="G220" s="215" t="str">
        <f>IFERROR(VLOOKUP($C220,'PORTIFÓLIO'!C:V,5,0),"")</f>
        <v/>
      </c>
      <c r="H220" s="254" t="str">
        <f t="array" ref="H220">IFERROR(INDEX('PORTIFÓLIO'!$H$4:$H$433,MATCH($C220,'PORTIFÓLIO'!$C$4:$C$433,0)),"")</f>
        <v/>
      </c>
      <c r="I220" s="256"/>
      <c r="J220" s="218">
        <f t="shared" si="24"/>
        <v>0</v>
      </c>
      <c r="K220" s="219" t="str">
        <f>IFERROR(I220* VLOOKUP($C220,'PORTIFÓLIO'!C:V,10,0),"")</f>
        <v/>
      </c>
      <c r="L220" s="219" t="str">
        <f>IFERROR(J220* VLOOKUP($C220,'PORTIFÓLIO'!C:V,10,0),"")</f>
        <v/>
      </c>
      <c r="M220" s="220"/>
      <c r="N220" s="220"/>
      <c r="O220" s="220"/>
      <c r="P220" s="220"/>
      <c r="Q220" s="220"/>
      <c r="R220" s="220"/>
      <c r="S220" s="220"/>
      <c r="T220" s="220"/>
      <c r="U220" s="220"/>
      <c r="V220" s="220"/>
      <c r="W220" s="220"/>
    </row>
    <row r="221" ht="15.75" customHeight="1" outlineLevel="1">
      <c r="A221" s="211"/>
      <c r="B221" s="227"/>
      <c r="C221" s="211"/>
      <c r="D221" s="214" t="str">
        <f>IFERROR(VLOOKUP($C221,'PORTIFÓLIO'!C:V,2,0),"")</f>
        <v/>
      </c>
      <c r="E221" s="211" t="str">
        <f>IFERROR(VLOOKUP($C221,'PORTIFÓLIO'!C:V,3,0),"")</f>
        <v/>
      </c>
      <c r="F221" s="211" t="str">
        <f>IFERROR(VLOOKUP($C221,'PORTIFÓLIO'!C:V,4,0),"")</f>
        <v/>
      </c>
      <c r="G221" s="215" t="str">
        <f>IFERROR(VLOOKUP($C221,'PORTIFÓLIO'!C:V,5,0),"")</f>
        <v/>
      </c>
      <c r="H221" s="254" t="str">
        <f t="array" ref="H221">IFERROR(INDEX('PORTIFÓLIO'!$H$4:$H$433,MATCH($C221,'PORTIFÓLIO'!$C$4:$C$433,0)),"")</f>
        <v/>
      </c>
      <c r="I221" s="256"/>
      <c r="J221" s="218">
        <f t="shared" si="24"/>
        <v>0</v>
      </c>
      <c r="K221" s="219" t="str">
        <f>IFERROR(I221* VLOOKUP($C221,'PORTIFÓLIO'!C:V,10,0),"")</f>
        <v/>
      </c>
      <c r="L221" s="219" t="str">
        <f>IFERROR(J221* VLOOKUP($C221,'PORTIFÓLIO'!C:V,10,0),"")</f>
        <v/>
      </c>
      <c r="M221" s="220"/>
      <c r="N221" s="220"/>
      <c r="O221" s="220"/>
      <c r="P221" s="220"/>
      <c r="Q221" s="220"/>
      <c r="R221" s="220"/>
      <c r="S221" s="220"/>
      <c r="T221" s="220"/>
      <c r="U221" s="220"/>
      <c r="V221" s="220"/>
      <c r="W221" s="220"/>
    </row>
    <row r="222" ht="15.75" customHeight="1" outlineLevel="1">
      <c r="A222" s="211"/>
      <c r="B222" s="227"/>
      <c r="C222" s="211"/>
      <c r="D222" s="214" t="str">
        <f>IFERROR(VLOOKUP($C222,'PORTIFÓLIO'!C:V,2,0),"")</f>
        <v/>
      </c>
      <c r="E222" s="211" t="str">
        <f>IFERROR(VLOOKUP($C222,'PORTIFÓLIO'!C:V,3,0),"")</f>
        <v/>
      </c>
      <c r="F222" s="211" t="str">
        <f>IFERROR(VLOOKUP($C222,'PORTIFÓLIO'!C:V,4,0),"")</f>
        <v/>
      </c>
      <c r="G222" s="215" t="str">
        <f>IFERROR(VLOOKUP($C222,'PORTIFÓLIO'!C:V,5,0),"")</f>
        <v/>
      </c>
      <c r="H222" s="254" t="str">
        <f t="array" ref="H222">IFERROR(INDEX('PORTIFÓLIO'!$H$4:$H$433,MATCH($C222,'PORTIFÓLIO'!$C$4:$C$433,0)),"")</f>
        <v/>
      </c>
      <c r="I222" s="256"/>
      <c r="J222" s="218">
        <f t="shared" si="24"/>
        <v>0</v>
      </c>
      <c r="K222" s="219" t="str">
        <f>IFERROR(I222* VLOOKUP($C222,'PORTIFÓLIO'!C:V,10,0),"")</f>
        <v/>
      </c>
      <c r="L222" s="219" t="str">
        <f>IFERROR(J222* VLOOKUP($C222,'PORTIFÓLIO'!C:V,10,0),"")</f>
        <v/>
      </c>
      <c r="M222" s="220"/>
      <c r="N222" s="220"/>
      <c r="O222" s="220"/>
      <c r="P222" s="220"/>
      <c r="Q222" s="220"/>
      <c r="R222" s="220"/>
      <c r="S222" s="220"/>
      <c r="T222" s="220"/>
      <c r="U222" s="220"/>
      <c r="V222" s="220"/>
      <c r="W222" s="220"/>
    </row>
    <row r="223" ht="15.75" customHeight="1" outlineLevel="1">
      <c r="A223" s="211"/>
      <c r="B223" s="227"/>
      <c r="C223" s="211"/>
      <c r="D223" s="214" t="str">
        <f>IFERROR(VLOOKUP($C223,'PORTIFÓLIO'!C:V,2,0),"")</f>
        <v/>
      </c>
      <c r="E223" s="211" t="str">
        <f>IFERROR(VLOOKUP($C223,'PORTIFÓLIO'!C:V,3,0),"")</f>
        <v/>
      </c>
      <c r="F223" s="211" t="str">
        <f>IFERROR(VLOOKUP($C223,'PORTIFÓLIO'!C:V,4,0),"")</f>
        <v/>
      </c>
      <c r="G223" s="215" t="str">
        <f>IFERROR(VLOOKUP($C223,'PORTIFÓLIO'!C:V,5,0),"")</f>
        <v/>
      </c>
      <c r="H223" s="254" t="str">
        <f t="array" ref="H223">IFERROR(INDEX('PORTIFÓLIO'!$H$4:$H$433,MATCH($C223,'PORTIFÓLIO'!$C$4:$C$433,0)),"")</f>
        <v/>
      </c>
      <c r="I223" s="256"/>
      <c r="J223" s="218">
        <f t="shared" si="24"/>
        <v>0</v>
      </c>
      <c r="K223" s="219" t="str">
        <f>IFERROR(I223* VLOOKUP($C223,'PORTIFÓLIO'!C:V,10,0),"")</f>
        <v/>
      </c>
      <c r="L223" s="219" t="str">
        <f>IFERROR(J223* VLOOKUP($C223,'PORTIFÓLIO'!C:V,10,0),"")</f>
        <v/>
      </c>
      <c r="M223" s="220"/>
      <c r="N223" s="220"/>
      <c r="O223" s="220"/>
      <c r="P223" s="220"/>
      <c r="Q223" s="220"/>
      <c r="R223" s="220"/>
      <c r="S223" s="220"/>
      <c r="T223" s="220"/>
      <c r="U223" s="220"/>
      <c r="V223" s="220"/>
      <c r="W223" s="220"/>
    </row>
    <row r="224" ht="15.75" customHeight="1" outlineLevel="1">
      <c r="A224" s="211"/>
      <c r="B224" s="227"/>
      <c r="C224" s="211"/>
      <c r="D224" s="214" t="str">
        <f>IFERROR(VLOOKUP($C224,'PORTIFÓLIO'!C:V,2,0),"")</f>
        <v/>
      </c>
      <c r="E224" s="211" t="str">
        <f>IFERROR(VLOOKUP($C224,'PORTIFÓLIO'!C:V,3,0),"")</f>
        <v/>
      </c>
      <c r="F224" s="211" t="str">
        <f>IFERROR(VLOOKUP($C224,'PORTIFÓLIO'!C:V,4,0),"")</f>
        <v/>
      </c>
      <c r="G224" s="215" t="str">
        <f>IFERROR(VLOOKUP($C224,'PORTIFÓLIO'!C:V,5,0),"")</f>
        <v/>
      </c>
      <c r="H224" s="254" t="str">
        <f t="array" ref="H224">IFERROR(INDEX('PORTIFÓLIO'!$H$4:$H$433,MATCH($C224,'PORTIFÓLIO'!$C$4:$C$433,0)),"")</f>
        <v/>
      </c>
      <c r="I224" s="256"/>
      <c r="J224" s="218">
        <f t="shared" si="24"/>
        <v>0</v>
      </c>
      <c r="K224" s="219" t="str">
        <f>IFERROR(I224* VLOOKUP($C224,'PORTIFÓLIO'!C:V,10,0),"")</f>
        <v/>
      </c>
      <c r="L224" s="219" t="str">
        <f>IFERROR(J224* VLOOKUP($C224,'PORTIFÓLIO'!C:V,10,0),"")</f>
        <v/>
      </c>
      <c r="M224" s="220"/>
      <c r="N224" s="220"/>
      <c r="O224" s="220"/>
      <c r="P224" s="220"/>
      <c r="Q224" s="220"/>
      <c r="R224" s="220"/>
      <c r="S224" s="220"/>
      <c r="T224" s="220"/>
      <c r="U224" s="220"/>
      <c r="V224" s="220"/>
      <c r="W224" s="220"/>
    </row>
    <row r="225" ht="15.75" customHeight="1">
      <c r="A225" s="227"/>
      <c r="B225" s="227"/>
      <c r="C225" s="227"/>
      <c r="D225" s="227"/>
      <c r="E225" s="227"/>
      <c r="F225" s="227"/>
      <c r="G225" s="215"/>
      <c r="H225" s="278" t="str">
        <f t="array" ref="H225">IFERROR(INDEX('PORTIFÓLIO'!$H$4:$H$433,MATCH($C225,'PORTIFÓLIO'!$C$4:$C$433,0)),"")</f>
        <v/>
      </c>
      <c r="I225" s="227"/>
      <c r="J225" s="227"/>
      <c r="K225" s="284">
        <f t="shared" ref="K225:L225" si="25">SUBTOTAL(9,K10:K200)</f>
        <v>1740.964095</v>
      </c>
      <c r="L225" s="284">
        <f t="shared" si="25"/>
        <v>208915.6914</v>
      </c>
      <c r="M225" s="220"/>
      <c r="N225" s="220"/>
      <c r="O225" s="220"/>
      <c r="P225" s="220"/>
      <c r="Q225" s="220"/>
      <c r="R225" s="220"/>
      <c r="S225" s="220"/>
      <c r="T225" s="220"/>
      <c r="U225" s="220"/>
      <c r="V225" s="220"/>
      <c r="W225" s="220"/>
    </row>
    <row r="226" ht="15.75" customHeight="1">
      <c r="A226" s="285"/>
      <c r="B226" s="285"/>
      <c r="C226" s="285"/>
      <c r="D226" s="285"/>
      <c r="E226" s="285"/>
      <c r="F226" s="285"/>
      <c r="G226" s="286"/>
      <c r="H226" s="286"/>
      <c r="I226" s="285"/>
      <c r="J226" s="285"/>
      <c r="K226" s="285"/>
      <c r="L226" s="285"/>
      <c r="M226" s="285"/>
      <c r="N226" s="285"/>
      <c r="O226" s="285"/>
      <c r="P226" s="285"/>
      <c r="Q226" s="285"/>
      <c r="R226" s="285"/>
      <c r="S226" s="285"/>
      <c r="T226" s="285"/>
      <c r="U226" s="285"/>
      <c r="V226" s="285"/>
      <c r="W226" s="285"/>
    </row>
    <row r="227" ht="15.75" customHeight="1">
      <c r="A227" s="260" t="s">
        <v>1203</v>
      </c>
      <c r="B227" s="261" t="str">
        <f>'ÁREA PLANTIO'!B15</f>
        <v>P 03</v>
      </c>
      <c r="C227" s="262" t="s">
        <v>1166</v>
      </c>
      <c r="D227" s="263">
        <f>$K$452</f>
        <v>0</v>
      </c>
      <c r="E227" s="264"/>
      <c r="F227" s="265" t="s">
        <v>1167</v>
      </c>
      <c r="G227" s="266"/>
      <c r="H227" s="287" t="str">
        <f t="array" ref="H227">IFERROR(INDEX('PORTIFÓLIO'!$H$4:$H$433,MATCH($C227,'PORTIFÓLIO'!$C$4:$C$433,0)),"")</f>
        <v/>
      </c>
      <c r="I227" s="267"/>
      <c r="J227" s="267"/>
      <c r="K227" s="266"/>
      <c r="L227" s="220"/>
      <c r="M227" s="220"/>
      <c r="N227" s="220"/>
      <c r="O227" s="220"/>
      <c r="P227" s="220"/>
      <c r="Q227" s="220"/>
      <c r="R227" s="220"/>
      <c r="S227" s="220"/>
      <c r="T227" s="220"/>
      <c r="U227" s="220"/>
      <c r="V227" s="220"/>
      <c r="W227" s="220"/>
    </row>
    <row r="228" ht="15.75" customHeight="1">
      <c r="A228" s="260" t="s">
        <v>1168</v>
      </c>
      <c r="B228" s="268">
        <f>'ÁREA PLANTIO'!E15</f>
        <v>120</v>
      </c>
      <c r="C228" s="269" t="s">
        <v>1169</v>
      </c>
      <c r="D228" s="270" t="str">
        <f>'ÁREA PLANTIO'!I15</f>
        <v/>
      </c>
      <c r="E228" s="264"/>
      <c r="F228" s="264"/>
      <c r="G228" s="266"/>
      <c r="H228" s="287" t="str">
        <f t="array" ref="H228">IFERROR(INDEX('PORTIFÓLIO'!$H$4:$H$433,MATCH($C228,'PORTIFÓLIO'!$C$4:$C$433,0)),"")</f>
        <v/>
      </c>
      <c r="I228" s="267"/>
      <c r="J228" s="267"/>
      <c r="K228" s="266"/>
      <c r="L228" s="220"/>
      <c r="M228" s="220"/>
      <c r="N228" s="220"/>
      <c r="O228" s="220"/>
      <c r="P228" s="220"/>
      <c r="Q228" s="220"/>
      <c r="R228" s="220"/>
      <c r="S228" s="220"/>
      <c r="T228" s="220"/>
      <c r="U228" s="220"/>
      <c r="V228" s="220"/>
      <c r="W228" s="220"/>
    </row>
    <row r="229" ht="15.75" customHeight="1">
      <c r="A229" s="260" t="s">
        <v>1170</v>
      </c>
      <c r="B229" s="267" t="str">
        <f>'ÁREA PLANTIO'!H15</f>
        <v/>
      </c>
      <c r="C229" s="269" t="s">
        <v>1171</v>
      </c>
      <c r="D229" s="271" t="str">
        <f>D227/D228</f>
        <v>#DIV/0!</v>
      </c>
      <c r="E229" s="264"/>
      <c r="F229" s="264"/>
      <c r="G229" s="266"/>
      <c r="H229" s="287" t="str">
        <f t="array" ref="H229">IFERROR(INDEX('PORTIFÓLIO'!$H$4:$H$433,MATCH($C229,'PORTIFÓLIO'!$C$4:$C$433,0)),"")</f>
        <v/>
      </c>
      <c r="I229" s="267"/>
      <c r="J229" s="267"/>
      <c r="K229" s="266"/>
      <c r="L229" s="220"/>
      <c r="M229" s="220"/>
      <c r="N229" s="220"/>
      <c r="O229" s="220"/>
      <c r="P229" s="220"/>
      <c r="Q229" s="220"/>
      <c r="R229" s="220"/>
      <c r="S229" s="220"/>
      <c r="T229" s="220"/>
      <c r="U229" s="220"/>
      <c r="V229" s="220"/>
      <c r="W229" s="220"/>
    </row>
    <row r="230" ht="15.75" customHeight="1">
      <c r="A230" s="272" t="s">
        <v>1172</v>
      </c>
      <c r="B230" s="273">
        <v>45606.0</v>
      </c>
      <c r="C230" s="274"/>
      <c r="D230" s="275"/>
      <c r="E230" s="276"/>
      <c r="F230" s="264"/>
      <c r="G230" s="266"/>
      <c r="H230" s="287" t="str">
        <f t="array" ref="H230">IFERROR(INDEX('PORTIFÓLIO'!$H$4:$H$433,MATCH($C230,'PORTIFÓLIO'!$C$4:$C$433,0)),"")</f>
        <v/>
      </c>
      <c r="I230" s="267"/>
      <c r="J230" s="267"/>
      <c r="K230" s="266"/>
      <c r="L230" s="220"/>
      <c r="M230" s="220"/>
      <c r="N230" s="220"/>
      <c r="O230" s="220"/>
      <c r="P230" s="220"/>
      <c r="Q230" s="220"/>
      <c r="R230" s="220"/>
      <c r="S230" s="220"/>
      <c r="T230" s="220"/>
      <c r="U230" s="220"/>
      <c r="V230" s="220"/>
      <c r="W230" s="220"/>
    </row>
    <row r="231" ht="15.75" customHeight="1">
      <c r="E231" s="277"/>
      <c r="F231" s="264"/>
      <c r="G231" s="266"/>
      <c r="H231" s="287" t="str">
        <f t="array" ref="H231">IFERROR(INDEX('PORTIFÓLIO'!$H$4:$H$433,MATCH($C231,'PORTIFÓLIO'!$C$4:$C$433,0)),"")</f>
        <v/>
      </c>
      <c r="I231" s="267"/>
      <c r="J231" s="267"/>
      <c r="K231" s="266"/>
      <c r="L231" s="220"/>
      <c r="M231" s="220"/>
      <c r="N231" s="220"/>
      <c r="O231" s="220"/>
      <c r="P231" s="220"/>
      <c r="Q231" s="220"/>
      <c r="R231" s="220"/>
      <c r="S231" s="220"/>
      <c r="T231" s="220"/>
      <c r="U231" s="220"/>
      <c r="V231" s="220"/>
      <c r="W231" s="220"/>
    </row>
    <row r="232" ht="15.75" customHeight="1">
      <c r="A232" s="260"/>
      <c r="B232" s="267"/>
      <c r="C232" s="264"/>
      <c r="D232" s="264"/>
      <c r="E232" s="264"/>
      <c r="F232" s="264"/>
      <c r="G232" s="266"/>
      <c r="H232" s="287" t="str">
        <f t="array" ref="H232">IFERROR(INDEX('PORTIFÓLIO'!$H$4:$H$433,MATCH($C232,'PORTIFÓLIO'!$C$4:$C$433,0)),"")</f>
        <v/>
      </c>
      <c r="I232" s="267"/>
      <c r="J232" s="267"/>
      <c r="K232" s="266"/>
      <c r="L232" s="220"/>
      <c r="M232" s="220"/>
      <c r="N232" s="220"/>
      <c r="O232" s="220"/>
      <c r="P232" s="220"/>
      <c r="Q232" s="220"/>
      <c r="R232" s="220"/>
      <c r="S232" s="220"/>
      <c r="T232" s="220"/>
      <c r="U232" s="220"/>
      <c r="V232" s="220"/>
      <c r="W232" s="220"/>
    </row>
    <row r="233" ht="15.75" customHeight="1">
      <c r="A233" s="267"/>
      <c r="B233" s="267"/>
      <c r="C233" s="264"/>
      <c r="D233" s="264"/>
      <c r="E233" s="264"/>
      <c r="F233" s="264"/>
      <c r="G233" s="266"/>
      <c r="H233" s="287" t="str">
        <f t="array" ref="H233">IFERROR(INDEX('PORTIFÓLIO'!$H$4:$H$433,MATCH($C233,'PORTIFÓLIO'!$C$4:$C$433,0)),"")</f>
        <v/>
      </c>
      <c r="I233" s="267"/>
      <c r="J233" s="267"/>
      <c r="K233" s="266"/>
      <c r="L233" s="220"/>
      <c r="M233" s="220"/>
      <c r="N233" s="220"/>
      <c r="O233" s="220"/>
      <c r="P233" s="220"/>
      <c r="Q233" s="220"/>
      <c r="R233" s="220"/>
      <c r="S233" s="220"/>
      <c r="T233" s="220"/>
      <c r="U233" s="220"/>
      <c r="V233" s="220"/>
      <c r="W233" s="220"/>
    </row>
    <row r="234" ht="15.75" customHeight="1">
      <c r="A234" s="267"/>
      <c r="B234" s="267"/>
      <c r="C234" s="267"/>
      <c r="D234" s="267"/>
      <c r="E234" s="264"/>
      <c r="F234" s="264"/>
      <c r="G234" s="266"/>
      <c r="H234" s="287" t="str">
        <f t="array" ref="H234">IFERROR(INDEX('PORTIFÓLIO'!$H$4:$H$433,MATCH($C234,'PORTIFÓLIO'!$C$4:$C$433,0)),"")</f>
        <v/>
      </c>
      <c r="I234" s="267"/>
      <c r="J234" s="267"/>
      <c r="K234" s="266"/>
      <c r="L234" s="220"/>
      <c r="M234" s="220"/>
      <c r="N234" s="220"/>
      <c r="O234" s="220"/>
      <c r="P234" s="220"/>
      <c r="Q234" s="220"/>
      <c r="R234" s="220"/>
      <c r="S234" s="220"/>
      <c r="T234" s="220"/>
      <c r="U234" s="220"/>
      <c r="V234" s="220"/>
      <c r="W234" s="220"/>
    </row>
    <row r="235" ht="15.75" customHeight="1">
      <c r="A235" s="267"/>
      <c r="B235" s="267"/>
      <c r="C235" s="267"/>
      <c r="D235" s="267"/>
      <c r="E235" s="267"/>
      <c r="F235" s="267"/>
      <c r="G235" s="266"/>
      <c r="H235" s="287"/>
      <c r="I235" s="287"/>
      <c r="J235" s="288"/>
      <c r="K235" s="289"/>
      <c r="L235" s="290"/>
      <c r="M235" s="220"/>
      <c r="N235" s="220"/>
      <c r="O235" s="220"/>
      <c r="P235" s="220"/>
      <c r="Q235" s="220"/>
      <c r="R235" s="220"/>
      <c r="S235" s="220"/>
      <c r="T235" s="220"/>
      <c r="U235" s="220"/>
      <c r="V235" s="220"/>
      <c r="W235" s="220"/>
    </row>
    <row r="236" ht="15.75" customHeight="1">
      <c r="A236" s="211" t="s">
        <v>1173</v>
      </c>
      <c r="B236" s="213" t="s">
        <v>1174</v>
      </c>
      <c r="C236" s="213" t="s">
        <v>1175</v>
      </c>
      <c r="D236" s="211" t="s">
        <v>1176</v>
      </c>
      <c r="E236" s="211" t="s">
        <v>1177</v>
      </c>
      <c r="F236" s="211" t="s">
        <v>1178</v>
      </c>
      <c r="G236" s="291" t="s">
        <v>1180</v>
      </c>
      <c r="H236" s="278" t="s">
        <v>1179</v>
      </c>
      <c r="I236" s="278" t="s">
        <v>1181</v>
      </c>
      <c r="J236" s="279" t="s">
        <v>1134</v>
      </c>
      <c r="K236" s="280" t="s">
        <v>1182</v>
      </c>
      <c r="L236" s="281" t="s">
        <v>339</v>
      </c>
      <c r="M236" s="220"/>
      <c r="N236" s="220"/>
      <c r="O236" s="220"/>
      <c r="P236" s="220"/>
      <c r="Q236" s="220"/>
      <c r="R236" s="220"/>
      <c r="S236" s="220"/>
      <c r="T236" s="220"/>
      <c r="U236" s="220"/>
      <c r="V236" s="220"/>
      <c r="W236" s="220"/>
    </row>
    <row r="237" ht="15.75" customHeight="1">
      <c r="A237" s="231" t="s">
        <v>1183</v>
      </c>
      <c r="B237" s="230"/>
      <c r="C237" s="231"/>
      <c r="D237" s="232"/>
      <c r="E237" s="231"/>
      <c r="F237" s="231"/>
      <c r="G237" s="233"/>
      <c r="H237" s="233"/>
      <c r="I237" s="258"/>
      <c r="J237" s="236"/>
      <c r="K237" s="237">
        <f t="shared" ref="K237:L237" si="26">SUBTOTAL(9,K238:K251)</f>
        <v>0</v>
      </c>
      <c r="L237" s="237">
        <f t="shared" si="26"/>
        <v>0</v>
      </c>
      <c r="M237" s="220"/>
      <c r="N237" s="220"/>
      <c r="O237" s="220"/>
      <c r="P237" s="220"/>
      <c r="Q237" s="220"/>
      <c r="R237" s="220"/>
      <c r="S237" s="220"/>
      <c r="T237" s="220"/>
      <c r="U237" s="220"/>
      <c r="V237" s="220"/>
      <c r="W237" s="220"/>
    </row>
    <row r="238" ht="15.75" customHeight="1" outlineLevel="1">
      <c r="A238" s="211"/>
      <c r="B238" s="212"/>
      <c r="C238" s="213"/>
      <c r="D238" s="214" t="str">
        <f>IFERROR(VLOOKUP($C238,'PORTIFÓLIO'!C:V,2,0),"")</f>
        <v/>
      </c>
      <c r="E238" s="211" t="str">
        <f>IFERROR(VLOOKUP($C238,'PORTIFÓLIO'!C:V,3,0),"")</f>
        <v/>
      </c>
      <c r="F238" s="211" t="str">
        <f>IFERROR(VLOOKUP($C238,'PORTIFÓLIO'!C:V,4,0),"")</f>
        <v/>
      </c>
      <c r="G238" s="215" t="str">
        <f>IFERROR(VLOOKUP($C238,'PORTIFÓLIO'!C:V,5,0),"")</f>
        <v/>
      </c>
      <c r="H238" s="254" t="str">
        <f t="array" ref="H238">IFERROR(INDEX('PORTIFÓLIO'!$H$4:$H$433,MATCH($C238,'PORTIFÓLIO'!$C$4:$C$433,0)),"")</f>
        <v/>
      </c>
      <c r="I238" s="255"/>
      <c r="J238" s="218">
        <f t="shared" ref="J238:J251" si="27">I238*$B$2</f>
        <v>0</v>
      </c>
      <c r="K238" s="219" t="str">
        <f t="array" ref="K238">IFERROR(I238*INDEX('PORTIFÓLIO'!$S$4:$S$433,MATCH($C238,'PORTIFÓLIO'!$C$4:$C$433,0)),"")</f>
        <v/>
      </c>
      <c r="L238" s="219" t="str">
        <f t="array" ref="L238">IFERROR(J238*INDEX('PORTIFÓLIO'!$S$4:$S$433,MATCH($C238,'PORTIFÓLIO'!$C$4:$C$433,0)),"")</f>
        <v/>
      </c>
      <c r="M238" s="220"/>
      <c r="N238" s="220"/>
      <c r="O238" s="220"/>
      <c r="P238" s="220"/>
      <c r="Q238" s="220"/>
      <c r="R238" s="220"/>
      <c r="S238" s="220"/>
      <c r="T238" s="220"/>
      <c r="U238" s="220"/>
      <c r="V238" s="220"/>
      <c r="W238" s="220"/>
    </row>
    <row r="239" ht="15.75" customHeight="1" outlineLevel="1">
      <c r="A239" s="211"/>
      <c r="B239" s="212"/>
      <c r="C239" s="213"/>
      <c r="D239" s="214" t="str">
        <f>IFERROR(VLOOKUP($C239,'PORTIFÓLIO'!C:V,2,0),"")</f>
        <v/>
      </c>
      <c r="E239" s="211" t="str">
        <f>IFERROR(VLOOKUP($C239,'PORTIFÓLIO'!C:V,3,0),"")</f>
        <v/>
      </c>
      <c r="F239" s="211" t="str">
        <f>IFERROR(VLOOKUP($C239,'PORTIFÓLIO'!C:V,4,0),"")</f>
        <v/>
      </c>
      <c r="G239" s="215" t="str">
        <f>IFERROR(VLOOKUP($C239,'PORTIFÓLIO'!C:V,5,0),"")</f>
        <v/>
      </c>
      <c r="H239" s="254" t="str">
        <f t="array" ref="H239">IFERROR(INDEX('PORTIFÓLIO'!$H$4:$H$433,MATCH($C239,'PORTIFÓLIO'!$C$4:$C$433,0)),"")</f>
        <v/>
      </c>
      <c r="I239" s="255"/>
      <c r="J239" s="218">
        <f t="shared" si="27"/>
        <v>0</v>
      </c>
      <c r="K239" s="219" t="str">
        <f t="array" ref="K239">IFERROR(I239*INDEX('PORTIFÓLIO'!$S$4:$S$433,MATCH($C239,'PORTIFÓLIO'!$C$4:$C$433,0)),"")</f>
        <v/>
      </c>
      <c r="L239" s="219" t="str">
        <f t="array" ref="L239">IFERROR(J239*INDEX('PORTIFÓLIO'!$S$4:$S$433,MATCH($C239,'PORTIFÓLIO'!$C$4:$C$433,0)),"")</f>
        <v/>
      </c>
      <c r="M239" s="220"/>
      <c r="N239" s="220"/>
      <c r="O239" s="220"/>
      <c r="P239" s="220"/>
      <c r="Q239" s="220"/>
      <c r="R239" s="220"/>
      <c r="S239" s="220"/>
      <c r="T239" s="220"/>
      <c r="U239" s="220"/>
      <c r="V239" s="220"/>
      <c r="W239" s="220"/>
    </row>
    <row r="240" ht="15.75" customHeight="1" outlineLevel="1">
      <c r="A240" s="211"/>
      <c r="B240" s="212"/>
      <c r="C240" s="213"/>
      <c r="D240" s="214" t="str">
        <f>IFERROR(VLOOKUP($C240,'PORTIFÓLIO'!C:V,2,0),"")</f>
        <v/>
      </c>
      <c r="E240" s="211" t="str">
        <f>IFERROR(VLOOKUP($C240,'PORTIFÓLIO'!C:V,3,0),"")</f>
        <v/>
      </c>
      <c r="F240" s="211" t="str">
        <f>IFERROR(VLOOKUP($C240,'PORTIFÓLIO'!C:V,4,0),"")</f>
        <v/>
      </c>
      <c r="G240" s="215" t="str">
        <f>IFERROR(VLOOKUP($C240,'PORTIFÓLIO'!C:V,5,0),"")</f>
        <v/>
      </c>
      <c r="H240" s="254" t="str">
        <f t="array" ref="H240">IFERROR(INDEX('PORTIFÓLIO'!$H$4:$H$433,MATCH($C240,'PORTIFÓLIO'!$C$4:$C$433,0)),"")</f>
        <v/>
      </c>
      <c r="I240" s="256"/>
      <c r="J240" s="218">
        <f t="shared" si="27"/>
        <v>0</v>
      </c>
      <c r="K240" s="219" t="str">
        <f t="array" ref="K240">IFERROR(I240*INDEX('PORTIFÓLIO'!$S$4:$S$433,MATCH($C240,'PORTIFÓLIO'!$C$4:$C$433,0)),"")</f>
        <v/>
      </c>
      <c r="L240" s="219" t="str">
        <f t="array" ref="L240">IFERROR(J240*INDEX('PORTIFÓLIO'!$S$4:$S$433,MATCH($C240,'PORTIFÓLIO'!$C$4:$C$433,0)),"")</f>
        <v/>
      </c>
      <c r="M240" s="220"/>
      <c r="N240" s="220"/>
      <c r="O240" s="220"/>
      <c r="P240" s="220"/>
      <c r="Q240" s="220"/>
      <c r="R240" s="220"/>
      <c r="S240" s="220"/>
      <c r="T240" s="220"/>
      <c r="U240" s="220"/>
      <c r="V240" s="220"/>
      <c r="W240" s="220"/>
    </row>
    <row r="241" ht="15.75" customHeight="1" outlineLevel="1">
      <c r="A241" s="211"/>
      <c r="B241" s="212"/>
      <c r="C241" s="213"/>
      <c r="D241" s="214" t="str">
        <f>IFERROR(VLOOKUP($C241,'PORTIFÓLIO'!C:V,2,0),"")</f>
        <v/>
      </c>
      <c r="E241" s="211" t="str">
        <f>IFERROR(VLOOKUP($C241,'PORTIFÓLIO'!C:V,3,0),"")</f>
        <v/>
      </c>
      <c r="F241" s="211" t="str">
        <f>IFERROR(VLOOKUP($C241,'PORTIFÓLIO'!C:V,4,0),"")</f>
        <v/>
      </c>
      <c r="G241" s="215" t="str">
        <f>IFERROR(VLOOKUP($C241,'PORTIFÓLIO'!C:V,5,0),"")</f>
        <v/>
      </c>
      <c r="H241" s="254" t="str">
        <f t="array" ref="H241">IFERROR(INDEX('PORTIFÓLIO'!$H$4:$H$433,MATCH($C241,'PORTIFÓLIO'!$C$4:$C$433,0)),"")</f>
        <v/>
      </c>
      <c r="I241" s="256"/>
      <c r="J241" s="218">
        <f t="shared" si="27"/>
        <v>0</v>
      </c>
      <c r="K241" s="219" t="str">
        <f t="array" ref="K241">IFERROR(I241*INDEX('PORTIFÓLIO'!$S$4:$S$433,MATCH($C241,'PORTIFÓLIO'!$C$4:$C$433,0)),"")</f>
        <v/>
      </c>
      <c r="L241" s="219" t="str">
        <f t="array" ref="L241">IFERROR(J241*INDEX('PORTIFÓLIO'!$S$4:$S$433,MATCH($C241,'PORTIFÓLIO'!$C$4:$C$433,0)),"")</f>
        <v/>
      </c>
      <c r="M241" s="220"/>
      <c r="N241" s="220"/>
      <c r="O241" s="220"/>
      <c r="P241" s="220"/>
      <c r="Q241" s="220"/>
      <c r="R241" s="220"/>
      <c r="S241" s="220"/>
      <c r="T241" s="220"/>
      <c r="U241" s="220"/>
      <c r="V241" s="220"/>
      <c r="W241" s="220"/>
    </row>
    <row r="242" ht="15.75" customHeight="1" outlineLevel="1">
      <c r="A242" s="211"/>
      <c r="B242" s="212"/>
      <c r="C242" s="213"/>
      <c r="D242" s="214" t="str">
        <f>IFERROR(VLOOKUP($C242,'PORTIFÓLIO'!C:V,2,0),"")</f>
        <v/>
      </c>
      <c r="E242" s="211" t="str">
        <f>IFERROR(VLOOKUP($C242,'PORTIFÓLIO'!C:V,3,0),"")</f>
        <v/>
      </c>
      <c r="F242" s="211" t="str">
        <f>IFERROR(VLOOKUP($C242,'PORTIFÓLIO'!C:V,4,0),"")</f>
        <v/>
      </c>
      <c r="G242" s="215" t="str">
        <f>IFERROR(VLOOKUP($C242,'PORTIFÓLIO'!C:V,5,0),"")</f>
        <v/>
      </c>
      <c r="H242" s="254" t="str">
        <f t="array" ref="H242">IFERROR(INDEX('PORTIFÓLIO'!$H$4:$H$433,MATCH($C242,'PORTIFÓLIO'!$C$4:$C$433,0)),"")</f>
        <v/>
      </c>
      <c r="I242" s="255"/>
      <c r="J242" s="218">
        <f t="shared" si="27"/>
        <v>0</v>
      </c>
      <c r="K242" s="219" t="str">
        <f t="array" ref="K242">IFERROR(I242*INDEX('PORTIFÓLIO'!$S$4:$S$433,MATCH($C242,'PORTIFÓLIO'!$C$4:$C$433,0)),"")</f>
        <v/>
      </c>
      <c r="L242" s="219" t="str">
        <f t="array" ref="L242">IFERROR(J242*INDEX('PORTIFÓLIO'!$S$4:$S$433,MATCH($C242,'PORTIFÓLIO'!$C$4:$C$433,0)),"")</f>
        <v/>
      </c>
      <c r="M242" s="220"/>
      <c r="N242" s="220"/>
      <c r="O242" s="220"/>
      <c r="P242" s="220"/>
      <c r="Q242" s="220"/>
      <c r="R242" s="220"/>
      <c r="S242" s="220"/>
      <c r="T242" s="220"/>
      <c r="U242" s="220"/>
      <c r="V242" s="220"/>
      <c r="W242" s="220"/>
    </row>
    <row r="243" ht="15.75" customHeight="1" outlineLevel="1">
      <c r="A243" s="211"/>
      <c r="B243" s="212"/>
      <c r="C243" s="213"/>
      <c r="D243" s="214" t="str">
        <f>IFERROR(VLOOKUP($C243,'PORTIFÓLIO'!C:V,2,0),"")</f>
        <v/>
      </c>
      <c r="E243" s="211" t="str">
        <f>IFERROR(VLOOKUP($C243,'PORTIFÓLIO'!C:V,3,0),"")</f>
        <v/>
      </c>
      <c r="F243" s="211" t="str">
        <f>IFERROR(VLOOKUP($C243,'PORTIFÓLIO'!C:V,4,0),"")</f>
        <v/>
      </c>
      <c r="G243" s="215" t="str">
        <f>IFERROR(VLOOKUP($C243,'PORTIFÓLIO'!C:V,5,0),"")</f>
        <v/>
      </c>
      <c r="H243" s="254" t="str">
        <f t="array" ref="H243">IFERROR(INDEX('PORTIFÓLIO'!$H$4:$H$433,MATCH($C243,'PORTIFÓLIO'!$C$4:$C$433,0)),"")</f>
        <v/>
      </c>
      <c r="I243" s="256"/>
      <c r="J243" s="218">
        <f t="shared" si="27"/>
        <v>0</v>
      </c>
      <c r="K243" s="219" t="str">
        <f t="array" ref="K243">IFERROR(I243*INDEX('PORTIFÓLIO'!$S$4:$S$433,MATCH($C243,'PORTIFÓLIO'!$C$4:$C$433,0)),"")</f>
        <v/>
      </c>
      <c r="L243" s="219" t="str">
        <f t="array" ref="L243">IFERROR(J243*INDEX('PORTIFÓLIO'!$S$4:$S$433,MATCH($C243,'PORTIFÓLIO'!$C$4:$C$433,0)),"")</f>
        <v/>
      </c>
      <c r="M243" s="220"/>
      <c r="N243" s="220"/>
      <c r="O243" s="220"/>
      <c r="P243" s="220"/>
      <c r="Q243" s="220"/>
      <c r="R243" s="220"/>
      <c r="S243" s="220"/>
      <c r="T243" s="220"/>
      <c r="U243" s="220"/>
      <c r="V243" s="220"/>
      <c r="W243" s="220"/>
    </row>
    <row r="244" ht="15.75" customHeight="1" outlineLevel="1">
      <c r="A244" s="211"/>
      <c r="B244" s="212"/>
      <c r="C244" s="213"/>
      <c r="D244" s="214" t="str">
        <f>IFERROR(VLOOKUP($C244,'PORTIFÓLIO'!C:V,2,0),"")</f>
        <v/>
      </c>
      <c r="E244" s="211" t="str">
        <f>IFERROR(VLOOKUP($C244,'PORTIFÓLIO'!C:V,3,0),"")</f>
        <v/>
      </c>
      <c r="F244" s="211" t="str">
        <f>IFERROR(VLOOKUP($C244,'PORTIFÓLIO'!C:V,4,0),"")</f>
        <v/>
      </c>
      <c r="G244" s="215" t="str">
        <f>IFERROR(VLOOKUP($C244,'PORTIFÓLIO'!C:V,5,0),"")</f>
        <v/>
      </c>
      <c r="H244" s="254" t="str">
        <f t="array" ref="H244">IFERROR(INDEX('PORTIFÓLIO'!$H$4:$H$433,MATCH($C244,'PORTIFÓLIO'!$C$4:$C$433,0)),"")</f>
        <v/>
      </c>
      <c r="I244" s="256"/>
      <c r="J244" s="218">
        <f t="shared" si="27"/>
        <v>0</v>
      </c>
      <c r="K244" s="219" t="str">
        <f t="array" ref="K244">IFERROR(I244*INDEX('PORTIFÓLIO'!$S$4:$S$433,MATCH($C244,'PORTIFÓLIO'!$C$4:$C$433,0)),"")</f>
        <v/>
      </c>
      <c r="L244" s="219" t="str">
        <f t="array" ref="L244">IFERROR(J244*INDEX('PORTIFÓLIO'!$S$4:$S$433,MATCH($C244,'PORTIFÓLIO'!$C$4:$C$433,0)),"")</f>
        <v/>
      </c>
      <c r="M244" s="220"/>
      <c r="N244" s="220"/>
      <c r="O244" s="220"/>
      <c r="P244" s="220"/>
      <c r="Q244" s="220"/>
      <c r="R244" s="220"/>
      <c r="S244" s="220"/>
      <c r="T244" s="220"/>
      <c r="U244" s="220"/>
      <c r="V244" s="220"/>
      <c r="W244" s="220"/>
    </row>
    <row r="245" ht="15.75" customHeight="1" outlineLevel="1">
      <c r="A245" s="211"/>
      <c r="B245" s="212"/>
      <c r="C245" s="213"/>
      <c r="D245" s="214" t="str">
        <f>IFERROR(VLOOKUP($C245,'PORTIFÓLIO'!C:V,2,0),"")</f>
        <v/>
      </c>
      <c r="E245" s="211" t="str">
        <f>IFERROR(VLOOKUP($C245,'PORTIFÓLIO'!C:V,3,0),"")</f>
        <v/>
      </c>
      <c r="F245" s="211" t="str">
        <f>IFERROR(VLOOKUP($C245,'PORTIFÓLIO'!C:V,4,0),"")</f>
        <v/>
      </c>
      <c r="G245" s="215" t="str">
        <f>IFERROR(VLOOKUP($C245,'PORTIFÓLIO'!C:V,5,0),"")</f>
        <v/>
      </c>
      <c r="H245" s="254" t="str">
        <f t="array" ref="H245">IFERROR(INDEX('PORTIFÓLIO'!$H$4:$H$433,MATCH($C245,'PORTIFÓLIO'!$C$4:$C$433,0)),"")</f>
        <v/>
      </c>
      <c r="I245" s="256"/>
      <c r="J245" s="218">
        <f t="shared" si="27"/>
        <v>0</v>
      </c>
      <c r="K245" s="219" t="str">
        <f t="array" ref="K245">IFERROR(I245*INDEX('PORTIFÓLIO'!$S$4:$S$433,MATCH($C245,'PORTIFÓLIO'!$C$4:$C$433,0)),"")</f>
        <v/>
      </c>
      <c r="L245" s="219" t="str">
        <f t="array" ref="L245">IFERROR(J245*INDEX('PORTIFÓLIO'!$S$4:$S$433,MATCH($C245,'PORTIFÓLIO'!$C$4:$C$433,0)),"")</f>
        <v/>
      </c>
      <c r="M245" s="220"/>
      <c r="N245" s="220"/>
      <c r="O245" s="220"/>
      <c r="P245" s="220"/>
      <c r="Q245" s="220"/>
      <c r="R245" s="220"/>
      <c r="S245" s="220"/>
      <c r="T245" s="220"/>
      <c r="U245" s="220"/>
      <c r="V245" s="220"/>
      <c r="W245" s="220"/>
    </row>
    <row r="246" ht="15.75" customHeight="1" outlineLevel="1">
      <c r="A246" s="211"/>
      <c r="B246" s="212"/>
      <c r="C246" s="213"/>
      <c r="D246" s="214" t="str">
        <f>IFERROR(VLOOKUP($C246,'PORTIFÓLIO'!C:V,2,0),"")</f>
        <v/>
      </c>
      <c r="E246" s="211" t="str">
        <f>IFERROR(VLOOKUP($C246,'PORTIFÓLIO'!C:V,3,0),"")</f>
        <v/>
      </c>
      <c r="F246" s="211" t="str">
        <f>IFERROR(VLOOKUP($C246,'PORTIFÓLIO'!C:V,4,0),"")</f>
        <v/>
      </c>
      <c r="G246" s="215" t="str">
        <f>IFERROR(VLOOKUP($C246,'PORTIFÓLIO'!C:V,5,0),"")</f>
        <v/>
      </c>
      <c r="H246" s="254" t="str">
        <f t="array" ref="H246">IFERROR(INDEX('PORTIFÓLIO'!$H$4:$H$433,MATCH($C246,'PORTIFÓLIO'!$C$4:$C$433,0)),"")</f>
        <v/>
      </c>
      <c r="I246" s="255"/>
      <c r="J246" s="218">
        <f t="shared" si="27"/>
        <v>0</v>
      </c>
      <c r="K246" s="219" t="str">
        <f t="array" ref="K246">IFERROR(I246*INDEX('PORTIFÓLIO'!$S$4:$S$433,MATCH($C246,'PORTIFÓLIO'!$C$4:$C$433,0)),"")</f>
        <v/>
      </c>
      <c r="L246" s="219" t="str">
        <f t="array" ref="L246">IFERROR(J246*INDEX('PORTIFÓLIO'!$S$4:$S$433,MATCH($C246,'PORTIFÓLIO'!$C$4:$C$433,0)),"")</f>
        <v/>
      </c>
      <c r="M246" s="220"/>
      <c r="N246" s="220"/>
      <c r="O246" s="220"/>
      <c r="P246" s="220"/>
      <c r="Q246" s="220"/>
      <c r="R246" s="220"/>
      <c r="S246" s="220"/>
      <c r="T246" s="220"/>
      <c r="U246" s="220"/>
      <c r="V246" s="220"/>
      <c r="W246" s="220"/>
    </row>
    <row r="247" ht="15.75" customHeight="1" outlineLevel="1">
      <c r="A247" s="211"/>
      <c r="B247" s="212"/>
      <c r="C247" s="213"/>
      <c r="D247" s="214" t="str">
        <f>IFERROR(VLOOKUP($C247,'PORTIFÓLIO'!C:V,2,0),"")</f>
        <v/>
      </c>
      <c r="E247" s="211" t="str">
        <f>IFERROR(VLOOKUP($C247,'PORTIFÓLIO'!C:V,3,0),"")</f>
        <v/>
      </c>
      <c r="F247" s="211" t="str">
        <f>IFERROR(VLOOKUP($C247,'PORTIFÓLIO'!C:V,4,0),"")</f>
        <v/>
      </c>
      <c r="G247" s="215" t="str">
        <f>IFERROR(VLOOKUP($C247,'PORTIFÓLIO'!C:V,5,0),"")</f>
        <v/>
      </c>
      <c r="H247" s="254" t="str">
        <f t="array" ref="H247">IFERROR(INDEX('PORTIFÓLIO'!$H$4:$H$433,MATCH($C247,'PORTIFÓLIO'!$C$4:$C$433,0)),"")</f>
        <v/>
      </c>
      <c r="I247" s="255"/>
      <c r="J247" s="218">
        <f t="shared" si="27"/>
        <v>0</v>
      </c>
      <c r="K247" s="219" t="str">
        <f t="array" ref="K247">IFERROR(I247*INDEX('PORTIFÓLIO'!$S$4:$S$433,MATCH($C247,'PORTIFÓLIO'!$C$4:$C$433,0)),"")</f>
        <v/>
      </c>
      <c r="L247" s="219" t="str">
        <f t="array" ref="L247">IFERROR(J247*INDEX('PORTIFÓLIO'!$S$4:$S$433,MATCH($C247,'PORTIFÓLIO'!$C$4:$C$433,0)),"")</f>
        <v/>
      </c>
      <c r="M247" s="220"/>
      <c r="N247" s="220"/>
      <c r="O247" s="220"/>
      <c r="P247" s="220"/>
      <c r="Q247" s="220"/>
      <c r="R247" s="220"/>
      <c r="S247" s="220"/>
      <c r="T247" s="220"/>
      <c r="U247" s="220"/>
      <c r="V247" s="220"/>
      <c r="W247" s="220"/>
    </row>
    <row r="248" ht="15.75" customHeight="1" outlineLevel="1">
      <c r="A248" s="211"/>
      <c r="B248" s="212"/>
      <c r="C248" s="213"/>
      <c r="D248" s="214" t="str">
        <f>IFERROR(VLOOKUP($C248,'PORTIFÓLIO'!C:V,2,0),"")</f>
        <v/>
      </c>
      <c r="E248" s="211" t="str">
        <f>IFERROR(VLOOKUP($C248,'PORTIFÓLIO'!C:V,3,0),"")</f>
        <v/>
      </c>
      <c r="F248" s="211" t="str">
        <f>IFERROR(VLOOKUP($C248,'PORTIFÓLIO'!C:V,4,0),"")</f>
        <v/>
      </c>
      <c r="G248" s="215" t="str">
        <f>IFERROR(VLOOKUP($C248,'PORTIFÓLIO'!C:V,5,0),"")</f>
        <v/>
      </c>
      <c r="H248" s="254" t="str">
        <f t="array" ref="H248">IFERROR(INDEX('PORTIFÓLIO'!$H$4:$H$433,MATCH($C248,'PORTIFÓLIO'!$C$4:$C$433,0)),"")</f>
        <v/>
      </c>
      <c r="I248" s="255"/>
      <c r="J248" s="218">
        <f t="shared" si="27"/>
        <v>0</v>
      </c>
      <c r="K248" s="219" t="str">
        <f t="array" ref="K248">IFERROR(I248*INDEX('PORTIFÓLIO'!$S$4:$S$433,MATCH($C248,'PORTIFÓLIO'!$C$4:$C$433,0)),"")</f>
        <v/>
      </c>
      <c r="L248" s="219" t="str">
        <f t="array" ref="L248">IFERROR(J248*INDEX('PORTIFÓLIO'!$S$4:$S$433,MATCH($C248,'PORTIFÓLIO'!$C$4:$C$433,0)),"")</f>
        <v/>
      </c>
      <c r="M248" s="220"/>
      <c r="N248" s="220"/>
      <c r="O248" s="220"/>
      <c r="P248" s="220"/>
      <c r="Q248" s="220"/>
      <c r="R248" s="220"/>
      <c r="S248" s="220"/>
      <c r="T248" s="220"/>
      <c r="U248" s="220"/>
      <c r="V248" s="220"/>
      <c r="W248" s="220"/>
    </row>
    <row r="249" ht="15.75" customHeight="1" outlineLevel="1">
      <c r="A249" s="211"/>
      <c r="B249" s="212"/>
      <c r="C249" s="213"/>
      <c r="D249" s="214" t="str">
        <f>IFERROR(VLOOKUP($C249,'PORTIFÓLIO'!C:V,2,0),"")</f>
        <v/>
      </c>
      <c r="E249" s="211" t="str">
        <f>IFERROR(VLOOKUP($C249,'PORTIFÓLIO'!C:V,3,0),"")</f>
        <v/>
      </c>
      <c r="F249" s="211" t="str">
        <f>IFERROR(VLOOKUP($C249,'PORTIFÓLIO'!C:V,4,0),"")</f>
        <v/>
      </c>
      <c r="G249" s="215" t="str">
        <f>IFERROR(VLOOKUP($C249,'PORTIFÓLIO'!C:V,5,0),"")</f>
        <v/>
      </c>
      <c r="H249" s="254" t="str">
        <f t="array" ref="H249">IFERROR(INDEX('PORTIFÓLIO'!$H$4:$H$433,MATCH($C249,'PORTIFÓLIO'!$C$4:$C$433,0)),"")</f>
        <v/>
      </c>
      <c r="I249" s="255"/>
      <c r="J249" s="218">
        <f t="shared" si="27"/>
        <v>0</v>
      </c>
      <c r="K249" s="219" t="str">
        <f t="array" ref="K249">IFERROR(I249*INDEX('PORTIFÓLIO'!$S$4:$S$433,MATCH($C249,'PORTIFÓLIO'!$C$4:$C$433,0)),"")</f>
        <v/>
      </c>
      <c r="L249" s="219" t="str">
        <f t="array" ref="L249">IFERROR(J249*INDEX('PORTIFÓLIO'!$S$4:$S$433,MATCH($C249,'PORTIFÓLIO'!$C$4:$C$433,0)),"")</f>
        <v/>
      </c>
      <c r="M249" s="220"/>
      <c r="N249" s="220"/>
      <c r="O249" s="220"/>
      <c r="P249" s="220"/>
      <c r="Q249" s="220"/>
      <c r="R249" s="220"/>
      <c r="S249" s="220"/>
      <c r="T249" s="220"/>
      <c r="U249" s="220"/>
      <c r="V249" s="220"/>
      <c r="W249" s="220"/>
    </row>
    <row r="250" ht="15.75" customHeight="1" outlineLevel="1">
      <c r="A250" s="211"/>
      <c r="B250" s="212"/>
      <c r="C250" s="213"/>
      <c r="D250" s="214" t="str">
        <f>IFERROR(VLOOKUP($C250,'PORTIFÓLIO'!C:V,2,0),"")</f>
        <v/>
      </c>
      <c r="E250" s="211" t="str">
        <f>IFERROR(VLOOKUP($C250,'PORTIFÓLIO'!C:V,3,0),"")</f>
        <v/>
      </c>
      <c r="F250" s="211" t="str">
        <f>IFERROR(VLOOKUP($C250,'PORTIFÓLIO'!C:V,4,0),"")</f>
        <v/>
      </c>
      <c r="G250" s="215" t="str">
        <f>IFERROR(VLOOKUP($C250,'PORTIFÓLIO'!C:V,5,0),"")</f>
        <v/>
      </c>
      <c r="H250" s="254" t="str">
        <f t="array" ref="H250">IFERROR(INDEX('PORTIFÓLIO'!$H$4:$H$433,MATCH($C250,'PORTIFÓLIO'!$C$4:$C$433,0)),"")</f>
        <v/>
      </c>
      <c r="I250" s="255"/>
      <c r="J250" s="218">
        <f t="shared" si="27"/>
        <v>0</v>
      </c>
      <c r="K250" s="219" t="str">
        <f t="array" ref="K250">IFERROR(I250*INDEX('PORTIFÓLIO'!$S$4:$S$433,MATCH($C250,'PORTIFÓLIO'!$C$4:$C$433,0)),"")</f>
        <v/>
      </c>
      <c r="L250" s="219" t="str">
        <f t="array" ref="L250">IFERROR(J250*INDEX('PORTIFÓLIO'!$S$4:$S$433,MATCH($C250,'PORTIFÓLIO'!$C$4:$C$433,0)),"")</f>
        <v/>
      </c>
      <c r="M250" s="220"/>
      <c r="N250" s="220"/>
      <c r="O250" s="220"/>
      <c r="P250" s="220"/>
      <c r="Q250" s="220"/>
      <c r="R250" s="220"/>
      <c r="S250" s="220"/>
      <c r="T250" s="220"/>
      <c r="U250" s="220"/>
      <c r="V250" s="220"/>
      <c r="W250" s="220"/>
    </row>
    <row r="251" ht="15.75" customHeight="1" outlineLevel="1">
      <c r="A251" s="211"/>
      <c r="B251" s="212"/>
      <c r="C251" s="213"/>
      <c r="D251" s="214" t="str">
        <f>IFERROR(VLOOKUP($C251,'PORTIFÓLIO'!C:V,2,0),"")</f>
        <v/>
      </c>
      <c r="E251" s="211" t="str">
        <f>IFERROR(VLOOKUP($C251,'PORTIFÓLIO'!C:V,3,0),"")</f>
        <v/>
      </c>
      <c r="F251" s="211" t="str">
        <f>IFERROR(VLOOKUP($C251,'PORTIFÓLIO'!C:V,4,0),"")</f>
        <v/>
      </c>
      <c r="G251" s="215" t="str">
        <f>IFERROR(VLOOKUP($C251,'PORTIFÓLIO'!C:V,5,0),"")</f>
        <v/>
      </c>
      <c r="H251" s="254" t="str">
        <f t="array" ref="H251">IFERROR(INDEX('PORTIFÓLIO'!$H$4:$H$433,MATCH($C251,'PORTIFÓLIO'!$C$4:$C$433,0)),"")</f>
        <v/>
      </c>
      <c r="I251" s="255"/>
      <c r="J251" s="218">
        <f t="shared" si="27"/>
        <v>0</v>
      </c>
      <c r="K251" s="219" t="str">
        <f t="array" ref="K251">IFERROR(I251*INDEX('PORTIFÓLIO'!$S$4:$S$433,MATCH($C251,'PORTIFÓLIO'!$C$4:$C$433,0)),"")</f>
        <v/>
      </c>
      <c r="L251" s="219" t="str">
        <f t="array" ref="L251">IFERROR(J251*INDEX('PORTIFÓLIO'!$S$4:$S$433,MATCH($C251,'PORTIFÓLIO'!$C$4:$C$433,0)),"")</f>
        <v/>
      </c>
      <c r="M251" s="220"/>
      <c r="N251" s="220"/>
      <c r="O251" s="220"/>
      <c r="P251" s="220"/>
      <c r="Q251" s="220"/>
      <c r="R251" s="220"/>
      <c r="S251" s="220"/>
      <c r="T251" s="220"/>
      <c r="U251" s="220"/>
      <c r="V251" s="220"/>
      <c r="W251" s="220"/>
    </row>
    <row r="252" ht="15.75" customHeight="1">
      <c r="A252" s="229" t="s">
        <v>1184</v>
      </c>
      <c r="B252" s="230"/>
      <c r="C252" s="231"/>
      <c r="D252" s="232"/>
      <c r="E252" s="231"/>
      <c r="F252" s="231"/>
      <c r="G252" s="233"/>
      <c r="H252" s="233"/>
      <c r="I252" s="258"/>
      <c r="J252" s="236"/>
      <c r="K252" s="237">
        <f t="shared" ref="K252:L252" si="28">SUBTOTAL(9,K253:K266)</f>
        <v>0</v>
      </c>
      <c r="L252" s="237">
        <f t="shared" si="28"/>
        <v>0</v>
      </c>
      <c r="M252" s="220"/>
      <c r="N252" s="220"/>
      <c r="O252" s="220"/>
      <c r="P252" s="220"/>
      <c r="Q252" s="220"/>
      <c r="R252" s="220"/>
      <c r="S252" s="220"/>
      <c r="T252" s="220"/>
      <c r="U252" s="220"/>
      <c r="V252" s="220"/>
      <c r="W252" s="220"/>
    </row>
    <row r="253" ht="15.75" customHeight="1" outlineLevel="1">
      <c r="A253" s="213"/>
      <c r="B253" s="212"/>
      <c r="C253" s="213"/>
      <c r="D253" s="214" t="str">
        <f>IFERROR(VLOOKUP($C253,'PORTIFÓLIO'!C:V,2,0),"")</f>
        <v/>
      </c>
      <c r="E253" s="211" t="str">
        <f>IFERROR(VLOOKUP($C253,'PORTIFÓLIO'!C:V,3,0),"")</f>
        <v/>
      </c>
      <c r="F253" s="211" t="str">
        <f>IFERROR(VLOOKUP($C253,'PORTIFÓLIO'!C:V,4,0),"")</f>
        <v/>
      </c>
      <c r="G253" s="215" t="str">
        <f>IFERROR(VLOOKUP($C253,'PORTIFÓLIO'!C:V,5,0),"")</f>
        <v/>
      </c>
      <c r="H253" s="254" t="str">
        <f t="array" ref="H253">IFERROR(INDEX('PORTIFÓLIO'!$H$4:$H$433,MATCH($C253,'PORTIFÓLIO'!$C$4:$C$433,0)),"")</f>
        <v/>
      </c>
      <c r="I253" s="255"/>
      <c r="J253" s="218">
        <f t="shared" ref="J253:J270" si="29">I253*$B$2</f>
        <v>0</v>
      </c>
      <c r="K253" s="292" t="str">
        <f t="array" ref="K253">IFERROR(I253*INDEX('PORTIFÓLIO'!$S$4:$S$433,MATCH($C253,'PORTIFÓLIO'!$C$4:$C$433,0)),"")</f>
        <v/>
      </c>
      <c r="L253" s="292" t="str">
        <f t="array" ref="L253">IFERROR(J253*INDEX('PORTIFÓLIO'!$S$4:$S$433,MATCH($C253,'PORTIFÓLIO'!$C$4:$C$433,0)),"")</f>
        <v/>
      </c>
      <c r="M253" s="220"/>
      <c r="N253" s="220"/>
      <c r="O253" s="220"/>
      <c r="P253" s="220"/>
      <c r="Q253" s="220"/>
      <c r="R253" s="220"/>
      <c r="S253" s="220"/>
      <c r="T253" s="220"/>
      <c r="U253" s="220"/>
      <c r="V253" s="220"/>
      <c r="W253" s="220"/>
    </row>
    <row r="254" ht="15.75" customHeight="1" outlineLevel="1">
      <c r="A254" s="211"/>
      <c r="B254" s="212"/>
      <c r="C254" s="213"/>
      <c r="D254" s="214" t="str">
        <f>IFERROR(VLOOKUP($C254,'PORTIFÓLIO'!C:V,2,0),"")</f>
        <v/>
      </c>
      <c r="E254" s="211" t="str">
        <f>IFERROR(VLOOKUP($C254,'PORTIFÓLIO'!C:V,3,0),"")</f>
        <v/>
      </c>
      <c r="F254" s="211" t="str">
        <f>IFERROR(VLOOKUP($C254,'PORTIFÓLIO'!C:V,4,0),"")</f>
        <v/>
      </c>
      <c r="G254" s="215" t="str">
        <f>IFERROR(VLOOKUP($C254,'PORTIFÓLIO'!C:V,5,0),"")</f>
        <v/>
      </c>
      <c r="H254" s="254" t="str">
        <f t="array" ref="H254">IFERROR(INDEX('PORTIFÓLIO'!$H$4:$H$433,MATCH($C254,'PORTIFÓLIO'!$C$4:$C$433,0)),"")</f>
        <v/>
      </c>
      <c r="I254" s="255"/>
      <c r="J254" s="218">
        <f t="shared" si="29"/>
        <v>0</v>
      </c>
      <c r="K254" s="292" t="str">
        <f t="array" ref="K254">IFERROR(I254*INDEX('PORTIFÓLIO'!$S$4:$S$433,MATCH($C254,'PORTIFÓLIO'!$C$4:$C$433,0)),"")</f>
        <v/>
      </c>
      <c r="L254" s="292" t="str">
        <f t="array" ref="L254">IFERROR(J254*INDEX('PORTIFÓLIO'!$S$4:$S$433,MATCH($C254,'PORTIFÓLIO'!$C$4:$C$433,0)),"")</f>
        <v/>
      </c>
      <c r="M254" s="220"/>
      <c r="N254" s="220"/>
      <c r="O254" s="220"/>
      <c r="P254" s="220"/>
      <c r="Q254" s="220"/>
      <c r="R254" s="220"/>
      <c r="S254" s="220"/>
      <c r="T254" s="220"/>
      <c r="U254" s="220"/>
      <c r="V254" s="220"/>
      <c r="W254" s="220"/>
    </row>
    <row r="255" ht="15.75" customHeight="1" outlineLevel="1">
      <c r="A255" s="211"/>
      <c r="B255" s="212"/>
      <c r="C255" s="213"/>
      <c r="D255" s="214" t="str">
        <f>IFERROR(VLOOKUP($C255,'PORTIFÓLIO'!C:V,2,0),"")</f>
        <v/>
      </c>
      <c r="E255" s="211" t="str">
        <f>IFERROR(VLOOKUP($C255,'PORTIFÓLIO'!C:V,3,0),"")</f>
        <v/>
      </c>
      <c r="F255" s="211" t="str">
        <f>IFERROR(VLOOKUP($C255,'PORTIFÓLIO'!C:V,4,0),"")</f>
        <v/>
      </c>
      <c r="G255" s="215" t="str">
        <f>IFERROR(VLOOKUP($C255,'PORTIFÓLIO'!C:V,5,0),"")</f>
        <v/>
      </c>
      <c r="H255" s="254" t="str">
        <f t="array" ref="H255">IFERROR(INDEX('PORTIFÓLIO'!$H$4:$H$433,MATCH($C255,'PORTIFÓLIO'!$C$4:$C$433,0)),"")</f>
        <v/>
      </c>
      <c r="I255" s="256"/>
      <c r="J255" s="218">
        <f t="shared" si="29"/>
        <v>0</v>
      </c>
      <c r="K255" s="292" t="str">
        <f t="array" ref="K255">IFERROR(I255*INDEX('PORTIFÓLIO'!$S$4:$S$433,MATCH($C255,'PORTIFÓLIO'!$C$4:$C$433,0)),"")</f>
        <v/>
      </c>
      <c r="L255" s="292" t="str">
        <f t="array" ref="L255">IFERROR(J255*INDEX('PORTIFÓLIO'!$S$4:$S$433,MATCH($C255,'PORTIFÓLIO'!$C$4:$C$433,0)),"")</f>
        <v/>
      </c>
      <c r="M255" s="220"/>
      <c r="N255" s="220"/>
      <c r="O255" s="220"/>
      <c r="P255" s="220"/>
      <c r="Q255" s="220"/>
      <c r="R255" s="220"/>
      <c r="S255" s="220"/>
      <c r="T255" s="220"/>
      <c r="U255" s="220"/>
      <c r="V255" s="220"/>
      <c r="W255" s="220"/>
    </row>
    <row r="256" ht="15.75" customHeight="1" outlineLevel="1">
      <c r="A256" s="211"/>
      <c r="B256" s="212"/>
      <c r="C256" s="213"/>
      <c r="D256" s="214" t="str">
        <f>IFERROR(VLOOKUP($C256,'PORTIFÓLIO'!C:V,2,0),"")</f>
        <v/>
      </c>
      <c r="E256" s="211" t="str">
        <f>IFERROR(VLOOKUP($C256,'PORTIFÓLIO'!C:V,3,0),"")</f>
        <v/>
      </c>
      <c r="F256" s="211" t="str">
        <f>IFERROR(VLOOKUP($C256,'PORTIFÓLIO'!C:V,4,0),"")</f>
        <v/>
      </c>
      <c r="G256" s="215" t="str">
        <f>IFERROR(VLOOKUP($C256,'PORTIFÓLIO'!C:V,5,0),"")</f>
        <v/>
      </c>
      <c r="H256" s="254" t="str">
        <f t="array" ref="H256">IFERROR(INDEX('PORTIFÓLIO'!$H$4:$H$433,MATCH($C256,'PORTIFÓLIO'!$C$4:$C$433,0)),"")</f>
        <v/>
      </c>
      <c r="I256" s="255"/>
      <c r="J256" s="218">
        <f t="shared" si="29"/>
        <v>0</v>
      </c>
      <c r="K256" s="292" t="str">
        <f t="array" ref="K256">IFERROR(I256*INDEX('PORTIFÓLIO'!$S$4:$S$433,MATCH($C256,'PORTIFÓLIO'!$C$4:$C$433,0)),"")</f>
        <v/>
      </c>
      <c r="L256" s="292" t="str">
        <f t="array" ref="L256">IFERROR(J256*INDEX('PORTIFÓLIO'!$S$4:$S$433,MATCH($C256,'PORTIFÓLIO'!$C$4:$C$433,0)),"")</f>
        <v/>
      </c>
      <c r="M256" s="220"/>
      <c r="N256" s="220"/>
      <c r="O256" s="220"/>
      <c r="P256" s="220"/>
      <c r="Q256" s="220"/>
      <c r="R256" s="220"/>
      <c r="S256" s="220"/>
      <c r="T256" s="220"/>
      <c r="U256" s="220"/>
      <c r="V256" s="220"/>
      <c r="W256" s="220"/>
    </row>
    <row r="257" ht="15.75" customHeight="1" outlineLevel="1">
      <c r="A257" s="211"/>
      <c r="B257" s="212"/>
      <c r="C257" s="213"/>
      <c r="D257" s="214" t="str">
        <f>IFERROR(VLOOKUP($C257,'PORTIFÓLIO'!C:V,2,0),"")</f>
        <v/>
      </c>
      <c r="E257" s="211" t="str">
        <f>IFERROR(VLOOKUP($C257,'PORTIFÓLIO'!C:V,3,0),"")</f>
        <v/>
      </c>
      <c r="F257" s="211" t="str">
        <f>IFERROR(VLOOKUP($C257,'PORTIFÓLIO'!C:V,4,0),"")</f>
        <v/>
      </c>
      <c r="G257" s="215" t="str">
        <f>IFERROR(VLOOKUP($C257,'PORTIFÓLIO'!C:V,5,0),"")</f>
        <v/>
      </c>
      <c r="H257" s="254" t="str">
        <f t="array" ref="H257">IFERROR(INDEX('PORTIFÓLIO'!$H$4:$H$433,MATCH($C257,'PORTIFÓLIO'!$C$4:$C$433,0)),"")</f>
        <v/>
      </c>
      <c r="I257" s="256"/>
      <c r="J257" s="218">
        <f t="shared" si="29"/>
        <v>0</v>
      </c>
      <c r="K257" s="292" t="str">
        <f t="array" ref="K257">IFERROR(I257*INDEX('PORTIFÓLIO'!$S$4:$S$433,MATCH($C257,'PORTIFÓLIO'!$C$4:$C$433,0)),"")</f>
        <v/>
      </c>
      <c r="L257" s="292" t="str">
        <f t="array" ref="L257">IFERROR(J257*INDEX('PORTIFÓLIO'!$S$4:$S$433,MATCH($C257,'PORTIFÓLIO'!$C$4:$C$433,0)),"")</f>
        <v/>
      </c>
      <c r="M257" s="220"/>
      <c r="N257" s="220"/>
      <c r="O257" s="220"/>
      <c r="P257" s="220"/>
      <c r="Q257" s="220"/>
      <c r="R257" s="220"/>
      <c r="S257" s="220"/>
      <c r="T257" s="220"/>
      <c r="U257" s="220"/>
      <c r="V257" s="220"/>
      <c r="W257" s="220"/>
    </row>
    <row r="258" ht="15.75" customHeight="1" outlineLevel="1">
      <c r="A258" s="211"/>
      <c r="B258" s="212"/>
      <c r="C258" s="213"/>
      <c r="D258" s="214" t="str">
        <f>IFERROR(VLOOKUP($C258,'PORTIFÓLIO'!C:V,2,0),"")</f>
        <v/>
      </c>
      <c r="E258" s="211" t="str">
        <f>IFERROR(VLOOKUP($C258,'PORTIFÓLIO'!C:V,3,0),"")</f>
        <v/>
      </c>
      <c r="F258" s="211" t="str">
        <f>IFERROR(VLOOKUP($C258,'PORTIFÓLIO'!C:V,4,0),"")</f>
        <v/>
      </c>
      <c r="G258" s="215" t="str">
        <f>IFERROR(VLOOKUP($C258,'PORTIFÓLIO'!C:V,5,0),"")</f>
        <v/>
      </c>
      <c r="H258" s="254" t="str">
        <f t="array" ref="H258">IFERROR(INDEX('PORTIFÓLIO'!$H$4:$H$433,MATCH($C258,'PORTIFÓLIO'!$C$4:$C$433,0)),"")</f>
        <v/>
      </c>
      <c r="I258" s="256"/>
      <c r="J258" s="218">
        <f t="shared" si="29"/>
        <v>0</v>
      </c>
      <c r="K258" s="292" t="str">
        <f t="array" ref="K258">IFERROR(I258*INDEX('PORTIFÓLIO'!$S$4:$S$433,MATCH($C258,'PORTIFÓLIO'!$C$4:$C$433,0)),"")</f>
        <v/>
      </c>
      <c r="L258" s="292" t="str">
        <f t="array" ref="L258">IFERROR(J258*INDEX('PORTIFÓLIO'!$S$4:$S$433,MATCH($C258,'PORTIFÓLIO'!$C$4:$C$433,0)),"")</f>
        <v/>
      </c>
      <c r="M258" s="220"/>
      <c r="N258" s="220"/>
      <c r="O258" s="220"/>
      <c r="P258" s="220"/>
      <c r="Q258" s="220"/>
      <c r="R258" s="220"/>
      <c r="S258" s="220"/>
      <c r="T258" s="220"/>
      <c r="U258" s="220"/>
      <c r="V258" s="220"/>
      <c r="W258" s="220"/>
    </row>
    <row r="259" ht="15.75" customHeight="1" outlineLevel="1">
      <c r="A259" s="211"/>
      <c r="B259" s="212"/>
      <c r="C259" s="213"/>
      <c r="D259" s="214" t="str">
        <f>IFERROR(VLOOKUP($C259,'PORTIFÓLIO'!C:V,2,0),"")</f>
        <v/>
      </c>
      <c r="E259" s="211" t="str">
        <f>IFERROR(VLOOKUP($C259,'PORTIFÓLIO'!C:V,3,0),"")</f>
        <v/>
      </c>
      <c r="F259" s="211" t="str">
        <f>IFERROR(VLOOKUP($C259,'PORTIFÓLIO'!C:V,4,0),"")</f>
        <v/>
      </c>
      <c r="G259" s="215" t="str">
        <f>IFERROR(VLOOKUP($C259,'PORTIFÓLIO'!C:V,5,0),"")</f>
        <v/>
      </c>
      <c r="H259" s="254" t="str">
        <f t="array" ref="H259">IFERROR(INDEX('PORTIFÓLIO'!$H$4:$H$433,MATCH($C259,'PORTIFÓLIO'!$C$4:$C$433,0)),"")</f>
        <v/>
      </c>
      <c r="I259" s="256"/>
      <c r="J259" s="218">
        <f t="shared" si="29"/>
        <v>0</v>
      </c>
      <c r="K259" s="292" t="str">
        <f t="array" ref="K259">IFERROR(I259*INDEX('PORTIFÓLIO'!$S$4:$S$433,MATCH($C259,'PORTIFÓLIO'!$C$4:$C$433,0)),"")</f>
        <v/>
      </c>
      <c r="L259" s="292" t="str">
        <f t="array" ref="L259">IFERROR(J259*INDEX('PORTIFÓLIO'!$S$4:$S$433,MATCH($C259,'PORTIFÓLIO'!$C$4:$C$433,0)),"")</f>
        <v/>
      </c>
      <c r="M259" s="220"/>
      <c r="N259" s="220"/>
      <c r="O259" s="220"/>
      <c r="P259" s="220"/>
      <c r="Q259" s="220"/>
      <c r="R259" s="220"/>
      <c r="S259" s="220"/>
      <c r="T259" s="220"/>
      <c r="U259" s="220"/>
      <c r="V259" s="220"/>
      <c r="W259" s="220"/>
    </row>
    <row r="260" ht="15.75" customHeight="1" outlineLevel="1">
      <c r="A260" s="211"/>
      <c r="B260" s="212"/>
      <c r="C260" s="213"/>
      <c r="D260" s="214" t="str">
        <f>IFERROR(VLOOKUP($C260,'PORTIFÓLIO'!C:V,2,0),"")</f>
        <v/>
      </c>
      <c r="E260" s="211" t="str">
        <f>IFERROR(VLOOKUP($C260,'PORTIFÓLIO'!C:V,3,0),"")</f>
        <v/>
      </c>
      <c r="F260" s="211" t="str">
        <f>IFERROR(VLOOKUP($C260,'PORTIFÓLIO'!C:V,4,0),"")</f>
        <v/>
      </c>
      <c r="G260" s="215" t="str">
        <f>IFERROR(VLOOKUP($C260,'PORTIFÓLIO'!C:V,5,0),"")</f>
        <v/>
      </c>
      <c r="H260" s="254" t="str">
        <f t="array" ref="H260">IFERROR(INDEX('PORTIFÓLIO'!$H$4:$H$433,MATCH($C260,'PORTIFÓLIO'!$C$4:$C$433,0)),"")</f>
        <v/>
      </c>
      <c r="I260" s="256"/>
      <c r="J260" s="218">
        <f t="shared" si="29"/>
        <v>0</v>
      </c>
      <c r="K260" s="292" t="str">
        <f t="array" ref="K260">IFERROR(I260*INDEX('PORTIFÓLIO'!$S$4:$S$433,MATCH($C260,'PORTIFÓLIO'!$C$4:$C$433,0)),"")</f>
        <v/>
      </c>
      <c r="L260" s="292" t="str">
        <f t="array" ref="L260">IFERROR(J260*INDEX('PORTIFÓLIO'!$S$4:$S$433,MATCH($C260,'PORTIFÓLIO'!$C$4:$C$433,0)),"")</f>
        <v/>
      </c>
      <c r="M260" s="220"/>
      <c r="N260" s="220"/>
      <c r="O260" s="220"/>
      <c r="P260" s="220"/>
      <c r="Q260" s="220"/>
      <c r="R260" s="220"/>
      <c r="S260" s="220"/>
      <c r="T260" s="220"/>
      <c r="U260" s="220"/>
      <c r="V260" s="220"/>
      <c r="W260" s="220"/>
    </row>
    <row r="261" ht="15.75" customHeight="1" outlineLevel="1">
      <c r="A261" s="211"/>
      <c r="B261" s="212"/>
      <c r="C261" s="213"/>
      <c r="D261" s="214" t="str">
        <f>IFERROR(VLOOKUP($C261,'PORTIFÓLIO'!C:V,2,0),"")</f>
        <v/>
      </c>
      <c r="E261" s="211" t="str">
        <f>IFERROR(VLOOKUP($C261,'PORTIFÓLIO'!C:V,3,0),"")</f>
        <v/>
      </c>
      <c r="F261" s="211" t="str">
        <f>IFERROR(VLOOKUP($C261,'PORTIFÓLIO'!C:V,4,0),"")</f>
        <v/>
      </c>
      <c r="G261" s="215" t="str">
        <f>IFERROR(VLOOKUP($C261,'PORTIFÓLIO'!C:V,5,0),"")</f>
        <v/>
      </c>
      <c r="H261" s="254" t="str">
        <f t="array" ref="H261">IFERROR(INDEX('PORTIFÓLIO'!$H$4:$H$433,MATCH($C261,'PORTIFÓLIO'!$C$4:$C$433,0)),"")</f>
        <v/>
      </c>
      <c r="I261" s="255"/>
      <c r="J261" s="218">
        <f t="shared" si="29"/>
        <v>0</v>
      </c>
      <c r="K261" s="292" t="str">
        <f t="array" ref="K261">IFERROR(I261*INDEX('PORTIFÓLIO'!$S$4:$S$433,MATCH($C261,'PORTIFÓLIO'!$C$4:$C$433,0)),"")</f>
        <v/>
      </c>
      <c r="L261" s="292" t="str">
        <f t="array" ref="L261">IFERROR(J261*INDEX('PORTIFÓLIO'!$S$4:$S$433,MATCH($C261,'PORTIFÓLIO'!$C$4:$C$433,0)),"")</f>
        <v/>
      </c>
      <c r="M261" s="220"/>
      <c r="N261" s="220"/>
      <c r="O261" s="220"/>
      <c r="P261" s="220"/>
      <c r="Q261" s="220"/>
      <c r="R261" s="220"/>
      <c r="S261" s="220"/>
      <c r="T261" s="220"/>
      <c r="U261" s="220"/>
      <c r="V261" s="220"/>
      <c r="W261" s="220"/>
    </row>
    <row r="262" ht="15.75" customHeight="1" outlineLevel="1">
      <c r="A262" s="211"/>
      <c r="B262" s="212"/>
      <c r="C262" s="213"/>
      <c r="D262" s="214" t="str">
        <f>IFERROR(VLOOKUP($C262,'PORTIFÓLIO'!C:V,2,0),"")</f>
        <v/>
      </c>
      <c r="E262" s="211" t="str">
        <f>IFERROR(VLOOKUP($C262,'PORTIFÓLIO'!C:V,3,0),"")</f>
        <v/>
      </c>
      <c r="F262" s="211" t="str">
        <f>IFERROR(VLOOKUP($C262,'PORTIFÓLIO'!C:V,4,0),"")</f>
        <v/>
      </c>
      <c r="G262" s="215" t="str">
        <f>IFERROR(VLOOKUP($C262,'PORTIFÓLIO'!C:V,5,0),"")</f>
        <v/>
      </c>
      <c r="H262" s="254" t="str">
        <f t="array" ref="H262">IFERROR(INDEX('PORTIFÓLIO'!$H$4:$H$433,MATCH($C262,'PORTIFÓLIO'!$C$4:$C$433,0)),"")</f>
        <v/>
      </c>
      <c r="I262" s="256"/>
      <c r="J262" s="218">
        <f t="shared" si="29"/>
        <v>0</v>
      </c>
      <c r="K262" s="292" t="str">
        <f t="array" ref="K262">IFERROR(I262*INDEX('PORTIFÓLIO'!$S$4:$S$433,MATCH($C262,'PORTIFÓLIO'!$C$4:$C$433,0)),"")</f>
        <v/>
      </c>
      <c r="L262" s="292" t="str">
        <f t="array" ref="L262">IFERROR(J262*INDEX('PORTIFÓLIO'!$S$4:$S$433,MATCH($C262,'PORTIFÓLIO'!$C$4:$C$433,0)),"")</f>
        <v/>
      </c>
      <c r="M262" s="220"/>
      <c r="N262" s="220"/>
      <c r="O262" s="220"/>
      <c r="P262" s="220"/>
      <c r="Q262" s="220"/>
      <c r="R262" s="220"/>
      <c r="S262" s="220"/>
      <c r="T262" s="220"/>
      <c r="U262" s="220"/>
      <c r="V262" s="220"/>
      <c r="W262" s="220"/>
    </row>
    <row r="263" ht="15.75" customHeight="1" outlineLevel="1">
      <c r="A263" s="211"/>
      <c r="B263" s="212"/>
      <c r="C263" s="213"/>
      <c r="D263" s="214" t="str">
        <f>IFERROR(VLOOKUP($C263,'PORTIFÓLIO'!C:V,2,0),"")</f>
        <v/>
      </c>
      <c r="E263" s="211" t="str">
        <f>IFERROR(VLOOKUP($C263,'PORTIFÓLIO'!C:V,3,0),"")</f>
        <v/>
      </c>
      <c r="F263" s="211" t="str">
        <f>IFERROR(VLOOKUP($C263,'PORTIFÓLIO'!C:V,4,0),"")</f>
        <v/>
      </c>
      <c r="G263" s="215" t="str">
        <f>IFERROR(VLOOKUP($C263,'PORTIFÓLIO'!C:V,5,0),"")</f>
        <v/>
      </c>
      <c r="H263" s="254" t="str">
        <f t="array" ref="H263">IFERROR(INDEX('PORTIFÓLIO'!$H$4:$H$433,MATCH($C263,'PORTIFÓLIO'!$C$4:$C$433,0)),"")</f>
        <v/>
      </c>
      <c r="I263" s="256"/>
      <c r="J263" s="218">
        <f t="shared" si="29"/>
        <v>0</v>
      </c>
      <c r="K263" s="292" t="str">
        <f t="array" ref="K263">IFERROR(I263*INDEX('PORTIFÓLIO'!$S$4:$S$433,MATCH($C263,'PORTIFÓLIO'!$C$4:$C$433,0)),"")</f>
        <v/>
      </c>
      <c r="L263" s="292" t="str">
        <f t="array" ref="L263">IFERROR(J263*INDEX('PORTIFÓLIO'!$S$4:$S$433,MATCH($C263,'PORTIFÓLIO'!$C$4:$C$433,0)),"")</f>
        <v/>
      </c>
      <c r="M263" s="220"/>
      <c r="N263" s="220"/>
      <c r="O263" s="220"/>
      <c r="P263" s="220"/>
      <c r="Q263" s="220"/>
      <c r="R263" s="220"/>
      <c r="S263" s="220"/>
      <c r="T263" s="220"/>
      <c r="U263" s="220"/>
      <c r="V263" s="220"/>
      <c r="W263" s="220"/>
    </row>
    <row r="264" ht="15.75" customHeight="1" outlineLevel="1">
      <c r="A264" s="211"/>
      <c r="B264" s="212"/>
      <c r="C264" s="213"/>
      <c r="D264" s="214" t="str">
        <f>IFERROR(VLOOKUP($C264,'PORTIFÓLIO'!C:V,2,0),"")</f>
        <v/>
      </c>
      <c r="E264" s="211" t="str">
        <f>IFERROR(VLOOKUP($C264,'PORTIFÓLIO'!C:V,3,0),"")</f>
        <v/>
      </c>
      <c r="F264" s="211" t="str">
        <f>IFERROR(VLOOKUP($C264,'PORTIFÓLIO'!C:V,4,0),"")</f>
        <v/>
      </c>
      <c r="G264" s="215" t="str">
        <f>IFERROR(VLOOKUP($C264,'PORTIFÓLIO'!C:V,5,0),"")</f>
        <v/>
      </c>
      <c r="H264" s="254" t="str">
        <f t="array" ref="H264">IFERROR(INDEX('PORTIFÓLIO'!$H$4:$H$433,MATCH($C264,'PORTIFÓLIO'!$C$4:$C$433,0)),"")</f>
        <v/>
      </c>
      <c r="I264" s="256"/>
      <c r="J264" s="218">
        <f t="shared" si="29"/>
        <v>0</v>
      </c>
      <c r="K264" s="292" t="str">
        <f t="array" ref="K264">IFERROR(I264*INDEX('PORTIFÓLIO'!$S$4:$S$433,MATCH($C264,'PORTIFÓLIO'!$C$4:$C$433,0)),"")</f>
        <v/>
      </c>
      <c r="L264" s="292" t="str">
        <f t="array" ref="L264">IFERROR(J264*INDEX('PORTIFÓLIO'!$S$4:$S$433,MATCH($C264,'PORTIFÓLIO'!$C$4:$C$433,0)),"")</f>
        <v/>
      </c>
      <c r="M264" s="220"/>
      <c r="N264" s="220"/>
      <c r="O264" s="220"/>
      <c r="P264" s="220"/>
      <c r="Q264" s="220"/>
      <c r="R264" s="220"/>
      <c r="S264" s="220"/>
      <c r="T264" s="220"/>
      <c r="U264" s="220"/>
      <c r="V264" s="220"/>
      <c r="W264" s="220"/>
    </row>
    <row r="265" ht="15.75" customHeight="1" outlineLevel="1">
      <c r="A265" s="211"/>
      <c r="B265" s="212"/>
      <c r="C265" s="213"/>
      <c r="D265" s="214" t="str">
        <f>IFERROR(VLOOKUP($C265,'PORTIFÓLIO'!C:V,2,0),"")</f>
        <v/>
      </c>
      <c r="E265" s="211" t="str">
        <f>IFERROR(VLOOKUP($C265,'PORTIFÓLIO'!C:V,3,0),"")</f>
        <v/>
      </c>
      <c r="F265" s="211" t="str">
        <f>IFERROR(VLOOKUP($C265,'PORTIFÓLIO'!C:V,4,0),"")</f>
        <v/>
      </c>
      <c r="G265" s="215" t="str">
        <f>IFERROR(VLOOKUP($C265,'PORTIFÓLIO'!C:V,5,0),"")</f>
        <v/>
      </c>
      <c r="H265" s="254" t="str">
        <f t="array" ref="H265">IFERROR(INDEX('PORTIFÓLIO'!$H$4:$H$433,MATCH($C265,'PORTIFÓLIO'!$C$4:$C$433,0)),"")</f>
        <v/>
      </c>
      <c r="I265" s="256"/>
      <c r="J265" s="218">
        <f t="shared" si="29"/>
        <v>0</v>
      </c>
      <c r="K265" s="292" t="str">
        <f t="array" ref="K265">IFERROR(I265*INDEX('PORTIFÓLIO'!$S$4:$S$433,MATCH($C265,'PORTIFÓLIO'!$C$4:$C$433,0)),"")</f>
        <v/>
      </c>
      <c r="L265" s="292" t="str">
        <f t="array" ref="L265">IFERROR(J265*INDEX('PORTIFÓLIO'!$S$4:$S$433,MATCH($C265,'PORTIFÓLIO'!$C$4:$C$433,0)),"")</f>
        <v/>
      </c>
      <c r="M265" s="220"/>
      <c r="N265" s="220"/>
      <c r="O265" s="220"/>
      <c r="P265" s="220"/>
      <c r="Q265" s="220"/>
      <c r="R265" s="220"/>
      <c r="S265" s="220"/>
      <c r="T265" s="220"/>
      <c r="U265" s="220"/>
      <c r="V265" s="220"/>
      <c r="W265" s="220"/>
    </row>
    <row r="266" ht="15.75" customHeight="1" outlineLevel="1">
      <c r="A266" s="211"/>
      <c r="B266" s="212"/>
      <c r="C266" s="213"/>
      <c r="D266" s="214" t="str">
        <f>IFERROR(VLOOKUP($C266,'PORTIFÓLIO'!C:V,2,0),"")</f>
        <v/>
      </c>
      <c r="E266" s="211" t="str">
        <f>IFERROR(VLOOKUP($C266,'PORTIFÓLIO'!C:V,3,0),"")</f>
        <v/>
      </c>
      <c r="F266" s="211" t="str">
        <f>IFERROR(VLOOKUP($C266,'PORTIFÓLIO'!C:V,4,0),"")</f>
        <v/>
      </c>
      <c r="G266" s="215" t="str">
        <f>IFERROR(VLOOKUP($C266,'PORTIFÓLIO'!C:V,5,0),"")</f>
        <v/>
      </c>
      <c r="H266" s="254" t="str">
        <f t="array" ref="H266">IFERROR(INDEX('PORTIFÓLIO'!$H$4:$H$433,MATCH($C266,'PORTIFÓLIO'!$C$4:$C$433,0)),"")</f>
        <v/>
      </c>
      <c r="I266" s="256"/>
      <c r="J266" s="218">
        <f t="shared" si="29"/>
        <v>0</v>
      </c>
      <c r="K266" s="292" t="str">
        <f t="array" ref="K266">IFERROR(I266*INDEX('PORTIFÓLIO'!$S$4:$S$433,MATCH($C266,'PORTIFÓLIO'!$C$4:$C$433,0)),"")</f>
        <v/>
      </c>
      <c r="L266" s="292" t="str">
        <f t="array" ref="L266">IFERROR(J266*INDEX('PORTIFÓLIO'!$S$4:$S$433,MATCH($C266,'PORTIFÓLIO'!$C$4:$C$433,0)),"")</f>
        <v/>
      </c>
      <c r="M266" s="220"/>
      <c r="N266" s="220"/>
      <c r="O266" s="220"/>
      <c r="P266" s="220"/>
      <c r="Q266" s="220"/>
      <c r="R266" s="220"/>
      <c r="S266" s="220"/>
      <c r="T266" s="220"/>
      <c r="U266" s="220"/>
      <c r="V266" s="220"/>
      <c r="W266" s="220"/>
    </row>
    <row r="267" ht="15.75" customHeight="1" outlineLevel="1">
      <c r="A267" s="211"/>
      <c r="B267" s="212"/>
      <c r="C267" s="213"/>
      <c r="D267" s="214" t="str">
        <f>IFERROR(VLOOKUP($C267,'PORTIFÓLIO'!C:V,2,0),"")</f>
        <v/>
      </c>
      <c r="E267" s="211" t="str">
        <f>IFERROR(VLOOKUP($C267,'PORTIFÓLIO'!C:V,3,0),"")</f>
        <v/>
      </c>
      <c r="F267" s="211" t="str">
        <f>IFERROR(VLOOKUP($C267,'PORTIFÓLIO'!C:V,4,0),"")</f>
        <v/>
      </c>
      <c r="G267" s="215" t="str">
        <f>IFERROR(VLOOKUP($C267,'PORTIFÓLIO'!C:V,5,0),"")</f>
        <v/>
      </c>
      <c r="H267" s="254" t="str">
        <f t="array" ref="H267">IFERROR(INDEX('PORTIFÓLIO'!$H$4:$H$433,MATCH($C267,'PORTIFÓLIO'!$C$4:$C$433,0)),"")</f>
        <v/>
      </c>
      <c r="I267" s="256"/>
      <c r="J267" s="218">
        <f t="shared" si="29"/>
        <v>0</v>
      </c>
      <c r="K267" s="292" t="str">
        <f t="array" ref="K267">IFERROR(I267*INDEX('PORTIFÓLIO'!$S$4:$S$433,MATCH($C267,'PORTIFÓLIO'!$C$4:$C$433,0)),"")</f>
        <v/>
      </c>
      <c r="L267" s="292" t="str">
        <f t="array" ref="L267">IFERROR(J267*INDEX('PORTIFÓLIO'!$S$4:$S$433,MATCH($C267,'PORTIFÓLIO'!$C$4:$C$433,0)),"")</f>
        <v/>
      </c>
      <c r="M267" s="220"/>
      <c r="N267" s="220"/>
      <c r="O267" s="220"/>
      <c r="P267" s="220"/>
      <c r="Q267" s="220"/>
      <c r="R267" s="220"/>
      <c r="S267" s="220"/>
      <c r="T267" s="220"/>
      <c r="U267" s="220"/>
      <c r="V267" s="220"/>
      <c r="W267" s="220"/>
    </row>
    <row r="268" ht="15.75" customHeight="1" outlineLevel="1">
      <c r="A268" s="211"/>
      <c r="B268" s="212"/>
      <c r="C268" s="213"/>
      <c r="D268" s="214" t="str">
        <f>IFERROR(VLOOKUP($C268,'PORTIFÓLIO'!C:V,2,0),"")</f>
        <v/>
      </c>
      <c r="E268" s="211" t="str">
        <f>IFERROR(VLOOKUP($C268,'PORTIFÓLIO'!C:V,3,0),"")</f>
        <v/>
      </c>
      <c r="F268" s="211" t="str">
        <f>IFERROR(VLOOKUP($C268,'PORTIFÓLIO'!C:V,4,0),"")</f>
        <v/>
      </c>
      <c r="G268" s="215" t="str">
        <f>IFERROR(VLOOKUP($C268,'PORTIFÓLIO'!C:V,5,0),"")</f>
        <v/>
      </c>
      <c r="H268" s="254" t="str">
        <f t="array" ref="H268">IFERROR(INDEX('PORTIFÓLIO'!$H$4:$H$433,MATCH($C268,'PORTIFÓLIO'!$C$4:$C$433,0)),"")</f>
        <v/>
      </c>
      <c r="I268" s="256"/>
      <c r="J268" s="218">
        <f t="shared" si="29"/>
        <v>0</v>
      </c>
      <c r="K268" s="292" t="str">
        <f t="array" ref="K268">IFERROR(I268*INDEX('PORTIFÓLIO'!$S$4:$S$433,MATCH($C268,'PORTIFÓLIO'!$C$4:$C$433,0)),"")</f>
        <v/>
      </c>
      <c r="L268" s="292" t="str">
        <f t="array" ref="L268">IFERROR(J268*INDEX('PORTIFÓLIO'!$S$4:$S$433,MATCH($C268,'PORTIFÓLIO'!$C$4:$C$433,0)),"")</f>
        <v/>
      </c>
      <c r="M268" s="220"/>
      <c r="N268" s="220"/>
      <c r="O268" s="220"/>
      <c r="P268" s="220"/>
      <c r="Q268" s="220"/>
      <c r="R268" s="220"/>
      <c r="S268" s="220"/>
      <c r="T268" s="220"/>
      <c r="U268" s="220"/>
      <c r="V268" s="220"/>
      <c r="W268" s="220"/>
    </row>
    <row r="269" ht="15.75" customHeight="1" outlineLevel="1">
      <c r="A269" s="211"/>
      <c r="B269" s="212"/>
      <c r="C269" s="213"/>
      <c r="D269" s="214" t="str">
        <f>IFERROR(VLOOKUP($C269,'PORTIFÓLIO'!C:V,2,0),"")</f>
        <v/>
      </c>
      <c r="E269" s="211" t="str">
        <f>IFERROR(VLOOKUP($C269,'PORTIFÓLIO'!C:V,3,0),"")</f>
        <v/>
      </c>
      <c r="F269" s="211" t="str">
        <f>IFERROR(VLOOKUP($C269,'PORTIFÓLIO'!C:V,4,0),"")</f>
        <v/>
      </c>
      <c r="G269" s="215" t="str">
        <f>IFERROR(VLOOKUP($C269,'PORTIFÓLIO'!C:V,5,0),"")</f>
        <v/>
      </c>
      <c r="H269" s="254" t="str">
        <f t="array" ref="H269">IFERROR(INDEX('PORTIFÓLIO'!$H$4:$H$433,MATCH($C269,'PORTIFÓLIO'!$C$4:$C$433,0)),"")</f>
        <v/>
      </c>
      <c r="I269" s="256"/>
      <c r="J269" s="218">
        <f t="shared" si="29"/>
        <v>0</v>
      </c>
      <c r="K269" s="292" t="str">
        <f t="array" ref="K269">IFERROR(I269*INDEX('PORTIFÓLIO'!$S$4:$S$433,MATCH($C269,'PORTIFÓLIO'!$C$4:$C$433,0)),"")</f>
        <v/>
      </c>
      <c r="L269" s="292" t="str">
        <f t="array" ref="L269">IFERROR(J269*INDEX('PORTIFÓLIO'!$S$4:$S$433,MATCH($C269,'PORTIFÓLIO'!$C$4:$C$433,0)),"")</f>
        <v/>
      </c>
      <c r="M269" s="220"/>
      <c r="N269" s="220"/>
      <c r="O269" s="220"/>
      <c r="P269" s="220"/>
      <c r="Q269" s="220"/>
      <c r="R269" s="220"/>
      <c r="S269" s="220"/>
      <c r="T269" s="220"/>
      <c r="U269" s="220"/>
      <c r="V269" s="220"/>
      <c r="W269" s="220"/>
    </row>
    <row r="270" ht="15.75" customHeight="1" outlineLevel="1">
      <c r="A270" s="211"/>
      <c r="B270" s="212"/>
      <c r="C270" s="213"/>
      <c r="D270" s="214" t="str">
        <f>IFERROR(VLOOKUP($C270,'PORTIFÓLIO'!C:V,2,0),"")</f>
        <v/>
      </c>
      <c r="E270" s="211" t="str">
        <f>IFERROR(VLOOKUP($C270,'PORTIFÓLIO'!C:V,3,0),"")</f>
        <v/>
      </c>
      <c r="F270" s="211" t="str">
        <f>IFERROR(VLOOKUP($C270,'PORTIFÓLIO'!C:V,4,0),"")</f>
        <v/>
      </c>
      <c r="G270" s="215" t="str">
        <f>IFERROR(VLOOKUP($C270,'PORTIFÓLIO'!C:V,5,0),"")</f>
        <v/>
      </c>
      <c r="H270" s="254" t="str">
        <f t="array" ref="H270">IFERROR(INDEX('PORTIFÓLIO'!$H$4:$H$433,MATCH($C270,'PORTIFÓLIO'!$C$4:$C$433,0)),"")</f>
        <v/>
      </c>
      <c r="I270" s="256"/>
      <c r="J270" s="218">
        <f t="shared" si="29"/>
        <v>0</v>
      </c>
      <c r="K270" s="292" t="str">
        <f t="array" ref="K270">IFERROR(I270*INDEX('PORTIFÓLIO'!$S$4:$S$433,MATCH($C270,'PORTIFÓLIO'!$C$4:$C$433,0)),"")</f>
        <v/>
      </c>
      <c r="L270" s="292" t="str">
        <f t="array" ref="L270">IFERROR(J270*INDEX('PORTIFÓLIO'!$S$4:$S$433,MATCH($C270,'PORTIFÓLIO'!$C$4:$C$433,0)),"")</f>
        <v/>
      </c>
      <c r="M270" s="220"/>
      <c r="N270" s="220"/>
      <c r="O270" s="220"/>
      <c r="P270" s="220"/>
      <c r="Q270" s="220"/>
      <c r="R270" s="220"/>
      <c r="S270" s="220"/>
      <c r="T270" s="220"/>
      <c r="U270" s="220"/>
      <c r="V270" s="220"/>
      <c r="W270" s="220"/>
    </row>
    <row r="271" ht="15.75" customHeight="1">
      <c r="A271" s="229" t="s">
        <v>1185</v>
      </c>
      <c r="B271" s="230"/>
      <c r="C271" s="231"/>
      <c r="D271" s="232"/>
      <c r="E271" s="231"/>
      <c r="F271" s="231"/>
      <c r="G271" s="233"/>
      <c r="H271" s="233"/>
      <c r="I271" s="258"/>
      <c r="J271" s="236"/>
      <c r="K271" s="237">
        <f t="shared" ref="K271:L271" si="30">SUBTOTAL(9,K272:K285)</f>
        <v>0</v>
      </c>
      <c r="L271" s="237">
        <f t="shared" si="30"/>
        <v>0</v>
      </c>
      <c r="M271" s="220"/>
      <c r="N271" s="220"/>
      <c r="O271" s="220"/>
      <c r="P271" s="220"/>
      <c r="Q271" s="220"/>
      <c r="R271" s="220"/>
      <c r="S271" s="220"/>
      <c r="T271" s="220"/>
      <c r="U271" s="220"/>
      <c r="V271" s="220"/>
      <c r="W271" s="220"/>
    </row>
    <row r="272" ht="15.75" customHeight="1" outlineLevel="1">
      <c r="A272" s="213"/>
      <c r="B272" s="212"/>
      <c r="C272" s="213"/>
      <c r="D272" s="214" t="str">
        <f>IFERROR(VLOOKUP($C272,'PORTIFÓLIO'!C:V,2,0),"")</f>
        <v/>
      </c>
      <c r="E272" s="211" t="str">
        <f>IFERROR(VLOOKUP($C272,'PORTIFÓLIO'!C:V,3,0),"")</f>
        <v/>
      </c>
      <c r="F272" s="211" t="str">
        <f>IFERROR(VLOOKUP($C272,'PORTIFÓLIO'!C:V,4,0),"")</f>
        <v/>
      </c>
      <c r="G272" s="215" t="str">
        <f>IFERROR(VLOOKUP($C272,'PORTIFÓLIO'!C:V,5,0),"")</f>
        <v/>
      </c>
      <c r="H272" s="254" t="str">
        <f t="array" ref="H272">IFERROR(INDEX('PORTIFÓLIO'!$H$4:$H$433,MATCH($C272,'PORTIFÓLIO'!$C$4:$C$433,0)),"")</f>
        <v/>
      </c>
      <c r="I272" s="255"/>
      <c r="J272" s="218">
        <f t="shared" ref="J272:J289" si="31">I272*$B$2</f>
        <v>0</v>
      </c>
      <c r="K272" s="292" t="str">
        <f t="array" ref="K272">IFERROR(I272*INDEX('PORTIFÓLIO'!$S$4:$S$433,MATCH($C272,'PORTIFÓLIO'!$C$4:$C$433,0)),"")</f>
        <v/>
      </c>
      <c r="L272" s="292" t="str">
        <f t="array" ref="L272">IFERROR(J272*INDEX('PORTIFÓLIO'!$S$4:$S$433,MATCH($C272,'PORTIFÓLIO'!$C$4:$C$433,0)),"")</f>
        <v/>
      </c>
      <c r="M272" s="220"/>
      <c r="N272" s="220"/>
      <c r="O272" s="220"/>
      <c r="P272" s="220"/>
      <c r="Q272" s="220"/>
      <c r="R272" s="220"/>
      <c r="S272" s="220"/>
      <c r="T272" s="220"/>
      <c r="U272" s="220"/>
      <c r="V272" s="220"/>
      <c r="W272" s="220"/>
    </row>
    <row r="273" ht="15.75" customHeight="1" outlineLevel="1">
      <c r="A273" s="211"/>
      <c r="B273" s="212"/>
      <c r="C273" s="213"/>
      <c r="D273" s="214" t="str">
        <f>IFERROR(VLOOKUP($C273,'PORTIFÓLIO'!C:V,2,0),"")</f>
        <v/>
      </c>
      <c r="E273" s="211" t="str">
        <f>IFERROR(VLOOKUP($C273,'PORTIFÓLIO'!C:V,3,0),"")</f>
        <v/>
      </c>
      <c r="F273" s="211" t="str">
        <f>IFERROR(VLOOKUP($C273,'PORTIFÓLIO'!C:V,4,0),"")</f>
        <v/>
      </c>
      <c r="G273" s="215" t="str">
        <f>IFERROR(VLOOKUP($C273,'PORTIFÓLIO'!C:V,5,0),"")</f>
        <v/>
      </c>
      <c r="H273" s="254" t="str">
        <f t="array" ref="H273">IFERROR(INDEX('PORTIFÓLIO'!$H$4:$H$433,MATCH($C273,'PORTIFÓLIO'!$C$4:$C$433,0)),"")</f>
        <v/>
      </c>
      <c r="I273" s="256"/>
      <c r="J273" s="218">
        <f t="shared" si="31"/>
        <v>0</v>
      </c>
      <c r="K273" s="292" t="str">
        <f t="array" ref="K273">IFERROR(I273*INDEX('PORTIFÓLIO'!$S$4:$S$433,MATCH($C273,'PORTIFÓLIO'!$C$4:$C$433,0)),"")</f>
        <v/>
      </c>
      <c r="L273" s="292" t="str">
        <f t="array" ref="L273">IFERROR(J273*INDEX('PORTIFÓLIO'!$S$4:$S$433,MATCH($C273,'PORTIFÓLIO'!$C$4:$C$433,0)),"")</f>
        <v/>
      </c>
      <c r="M273" s="220"/>
      <c r="N273" s="220"/>
      <c r="O273" s="220"/>
      <c r="P273" s="220"/>
      <c r="Q273" s="220"/>
      <c r="R273" s="220"/>
      <c r="S273" s="220"/>
      <c r="T273" s="220"/>
      <c r="U273" s="220"/>
      <c r="V273" s="220"/>
      <c r="W273" s="220"/>
    </row>
    <row r="274" ht="15.75" customHeight="1" outlineLevel="1">
      <c r="A274" s="211"/>
      <c r="B274" s="212"/>
      <c r="C274" s="213"/>
      <c r="D274" s="214" t="str">
        <f>IFERROR(VLOOKUP($C274,'PORTIFÓLIO'!C:V,2,0),"")</f>
        <v/>
      </c>
      <c r="E274" s="211" t="str">
        <f>IFERROR(VLOOKUP($C274,'PORTIFÓLIO'!C:V,3,0),"")</f>
        <v/>
      </c>
      <c r="F274" s="211" t="str">
        <f>IFERROR(VLOOKUP($C274,'PORTIFÓLIO'!C:V,4,0),"")</f>
        <v/>
      </c>
      <c r="G274" s="215" t="str">
        <f>IFERROR(VLOOKUP($C274,'PORTIFÓLIO'!C:V,5,0),"")</f>
        <v/>
      </c>
      <c r="H274" s="254" t="str">
        <f t="array" ref="H274">IFERROR(INDEX('PORTIFÓLIO'!$H$4:$H$433,MATCH($C274,'PORTIFÓLIO'!$C$4:$C$433,0)),"")</f>
        <v/>
      </c>
      <c r="I274" s="256"/>
      <c r="J274" s="218">
        <f t="shared" si="31"/>
        <v>0</v>
      </c>
      <c r="K274" s="292" t="str">
        <f t="array" ref="K274">IFERROR(I274*INDEX('PORTIFÓLIO'!$S$4:$S$433,MATCH($C274,'PORTIFÓLIO'!$C$4:$C$433,0)),"")</f>
        <v/>
      </c>
      <c r="L274" s="292" t="str">
        <f t="array" ref="L274">IFERROR(J274*INDEX('PORTIFÓLIO'!$S$4:$S$433,MATCH($C274,'PORTIFÓLIO'!$C$4:$C$433,0)),"")</f>
        <v/>
      </c>
      <c r="M274" s="220"/>
      <c r="N274" s="220"/>
      <c r="O274" s="220"/>
      <c r="P274" s="220"/>
      <c r="Q274" s="220"/>
      <c r="R274" s="220"/>
      <c r="S274" s="220"/>
      <c r="T274" s="220"/>
      <c r="U274" s="220"/>
      <c r="V274" s="220"/>
      <c r="W274" s="220"/>
    </row>
    <row r="275" ht="15.75" customHeight="1" outlineLevel="1">
      <c r="A275" s="211"/>
      <c r="B275" s="212"/>
      <c r="C275" s="213"/>
      <c r="D275" s="214" t="str">
        <f>IFERROR(VLOOKUP($C275,'PORTIFÓLIO'!C:V,2,0),"")</f>
        <v/>
      </c>
      <c r="E275" s="211" t="str">
        <f>IFERROR(VLOOKUP($C275,'PORTIFÓLIO'!C:V,3,0),"")</f>
        <v/>
      </c>
      <c r="F275" s="211" t="str">
        <f>IFERROR(VLOOKUP($C275,'PORTIFÓLIO'!C:V,4,0),"")</f>
        <v/>
      </c>
      <c r="G275" s="215" t="str">
        <f>IFERROR(VLOOKUP($C275,'PORTIFÓLIO'!C:V,5,0),"")</f>
        <v/>
      </c>
      <c r="H275" s="254" t="str">
        <f t="array" ref="H275">IFERROR(INDEX('PORTIFÓLIO'!$H$4:$H$433,MATCH($C275,'PORTIFÓLIO'!$C$4:$C$433,0)),"")</f>
        <v/>
      </c>
      <c r="I275" s="256"/>
      <c r="J275" s="218">
        <f t="shared" si="31"/>
        <v>0</v>
      </c>
      <c r="K275" s="292" t="str">
        <f t="array" ref="K275">IFERROR(I275*INDEX('PORTIFÓLIO'!$S$4:$S$433,MATCH($C275,'PORTIFÓLIO'!$C$4:$C$433,0)),"")</f>
        <v/>
      </c>
      <c r="L275" s="292" t="str">
        <f t="array" ref="L275">IFERROR(J275*INDEX('PORTIFÓLIO'!$S$4:$S$433,MATCH($C275,'PORTIFÓLIO'!$C$4:$C$433,0)),"")</f>
        <v/>
      </c>
      <c r="M275" s="220"/>
      <c r="N275" s="220"/>
      <c r="O275" s="220"/>
      <c r="P275" s="220"/>
      <c r="Q275" s="220"/>
      <c r="R275" s="220"/>
      <c r="S275" s="220"/>
      <c r="T275" s="220"/>
      <c r="U275" s="220"/>
      <c r="V275" s="220"/>
      <c r="W275" s="220"/>
    </row>
    <row r="276" ht="15.75" customHeight="1" outlineLevel="1">
      <c r="A276" s="211"/>
      <c r="B276" s="212"/>
      <c r="C276" s="213"/>
      <c r="D276" s="214" t="str">
        <f>IFERROR(VLOOKUP($C276,'PORTIFÓLIO'!C:V,2,0),"")</f>
        <v/>
      </c>
      <c r="E276" s="211" t="str">
        <f>IFERROR(VLOOKUP($C276,'PORTIFÓLIO'!C:V,3,0),"")</f>
        <v/>
      </c>
      <c r="F276" s="211" t="str">
        <f>IFERROR(VLOOKUP($C276,'PORTIFÓLIO'!C:V,4,0),"")</f>
        <v/>
      </c>
      <c r="G276" s="215" t="str">
        <f>IFERROR(VLOOKUP($C276,'PORTIFÓLIO'!C:V,5,0),"")</f>
        <v/>
      </c>
      <c r="H276" s="254" t="str">
        <f t="array" ref="H276">IFERROR(INDEX('PORTIFÓLIO'!$H$4:$H$433,MATCH($C276,'PORTIFÓLIO'!$C$4:$C$433,0)),"")</f>
        <v/>
      </c>
      <c r="I276" s="256"/>
      <c r="J276" s="218">
        <f t="shared" si="31"/>
        <v>0</v>
      </c>
      <c r="K276" s="292" t="str">
        <f t="array" ref="K276">IFERROR(I276*INDEX('PORTIFÓLIO'!$S$4:$S$433,MATCH($C276,'PORTIFÓLIO'!$C$4:$C$433,0)),"")</f>
        <v/>
      </c>
      <c r="L276" s="292" t="str">
        <f t="array" ref="L276">IFERROR(J276*INDEX('PORTIFÓLIO'!$S$4:$S$433,MATCH($C276,'PORTIFÓLIO'!$C$4:$C$433,0)),"")</f>
        <v/>
      </c>
      <c r="M276" s="220"/>
      <c r="N276" s="220"/>
      <c r="O276" s="220"/>
      <c r="P276" s="220"/>
      <c r="Q276" s="220"/>
      <c r="R276" s="220"/>
      <c r="S276" s="220"/>
      <c r="T276" s="220"/>
      <c r="U276" s="220"/>
      <c r="V276" s="220"/>
      <c r="W276" s="220"/>
    </row>
    <row r="277" ht="15.75" customHeight="1" outlineLevel="1">
      <c r="A277" s="211"/>
      <c r="B277" s="212"/>
      <c r="C277" s="213"/>
      <c r="D277" s="214" t="str">
        <f>IFERROR(VLOOKUP($C277,'PORTIFÓLIO'!C:V,2,0),"")</f>
        <v/>
      </c>
      <c r="E277" s="211" t="str">
        <f>IFERROR(VLOOKUP($C277,'PORTIFÓLIO'!C:V,3,0),"")</f>
        <v/>
      </c>
      <c r="F277" s="211" t="str">
        <f>IFERROR(VLOOKUP($C277,'PORTIFÓLIO'!C:V,4,0),"")</f>
        <v/>
      </c>
      <c r="G277" s="215" t="str">
        <f>IFERROR(VLOOKUP($C277,'PORTIFÓLIO'!C:V,5,0),"")</f>
        <v/>
      </c>
      <c r="H277" s="254" t="str">
        <f t="array" ref="H277">IFERROR(INDEX('PORTIFÓLIO'!$H$4:$H$433,MATCH($C277,'PORTIFÓLIO'!$C$4:$C$433,0)),"")</f>
        <v/>
      </c>
      <c r="I277" s="256"/>
      <c r="J277" s="218">
        <f t="shared" si="31"/>
        <v>0</v>
      </c>
      <c r="K277" s="292" t="str">
        <f t="array" ref="K277">IFERROR(I277*INDEX('PORTIFÓLIO'!$S$4:$S$433,MATCH($C277,'PORTIFÓLIO'!$C$4:$C$433,0)),"")</f>
        <v/>
      </c>
      <c r="L277" s="292" t="str">
        <f t="array" ref="L277">IFERROR(J277*INDEX('PORTIFÓLIO'!$S$4:$S$433,MATCH($C277,'PORTIFÓLIO'!$C$4:$C$433,0)),"")</f>
        <v/>
      </c>
      <c r="M277" s="220"/>
      <c r="N277" s="220"/>
      <c r="O277" s="220"/>
      <c r="P277" s="220"/>
      <c r="Q277" s="220"/>
      <c r="R277" s="220"/>
      <c r="S277" s="220"/>
      <c r="T277" s="220"/>
      <c r="U277" s="220"/>
      <c r="V277" s="220"/>
      <c r="W277" s="220"/>
    </row>
    <row r="278" ht="15.75" customHeight="1" outlineLevel="1">
      <c r="A278" s="211"/>
      <c r="B278" s="212"/>
      <c r="C278" s="213"/>
      <c r="D278" s="214" t="str">
        <f>IFERROR(VLOOKUP($C278,'PORTIFÓLIO'!C:V,2,0),"")</f>
        <v/>
      </c>
      <c r="E278" s="211" t="str">
        <f>IFERROR(VLOOKUP($C278,'PORTIFÓLIO'!C:V,3,0),"")</f>
        <v/>
      </c>
      <c r="F278" s="211" t="str">
        <f>IFERROR(VLOOKUP($C278,'PORTIFÓLIO'!C:V,4,0),"")</f>
        <v/>
      </c>
      <c r="G278" s="215" t="str">
        <f>IFERROR(VLOOKUP($C278,'PORTIFÓLIO'!C:V,5,0),"")</f>
        <v/>
      </c>
      <c r="H278" s="254" t="str">
        <f t="array" ref="H278">IFERROR(INDEX('PORTIFÓLIO'!$H$4:$H$433,MATCH($C278,'PORTIFÓLIO'!$C$4:$C$433,0)),"")</f>
        <v/>
      </c>
      <c r="I278" s="256"/>
      <c r="J278" s="218">
        <f t="shared" si="31"/>
        <v>0</v>
      </c>
      <c r="K278" s="292" t="str">
        <f t="array" ref="K278">IFERROR(I278*INDEX('PORTIFÓLIO'!$S$4:$S$433,MATCH($C278,'PORTIFÓLIO'!$C$4:$C$433,0)),"")</f>
        <v/>
      </c>
      <c r="L278" s="292" t="str">
        <f t="array" ref="L278">IFERROR(J278*INDEX('PORTIFÓLIO'!$S$4:$S$433,MATCH($C278,'PORTIFÓLIO'!$C$4:$C$433,0)),"")</f>
        <v/>
      </c>
      <c r="M278" s="220"/>
      <c r="N278" s="220"/>
      <c r="O278" s="220"/>
      <c r="P278" s="220"/>
      <c r="Q278" s="220"/>
      <c r="R278" s="220"/>
      <c r="S278" s="220"/>
      <c r="T278" s="220"/>
      <c r="U278" s="220"/>
      <c r="V278" s="220"/>
      <c r="W278" s="220"/>
    </row>
    <row r="279" ht="15.75" customHeight="1" outlineLevel="1">
      <c r="A279" s="211"/>
      <c r="B279" s="212"/>
      <c r="C279" s="213"/>
      <c r="D279" s="214" t="str">
        <f>IFERROR(VLOOKUP($C279,'PORTIFÓLIO'!C:V,2,0),"")</f>
        <v/>
      </c>
      <c r="E279" s="211" t="str">
        <f>IFERROR(VLOOKUP($C279,'PORTIFÓLIO'!C:V,3,0),"")</f>
        <v/>
      </c>
      <c r="F279" s="211" t="str">
        <f>IFERROR(VLOOKUP($C279,'PORTIFÓLIO'!C:V,4,0),"")</f>
        <v/>
      </c>
      <c r="G279" s="215" t="str">
        <f>IFERROR(VLOOKUP($C279,'PORTIFÓLIO'!C:V,5,0),"")</f>
        <v/>
      </c>
      <c r="H279" s="254" t="str">
        <f t="array" ref="H279">IFERROR(INDEX('PORTIFÓLIO'!$H$4:$H$433,MATCH($C279,'PORTIFÓLIO'!$C$4:$C$433,0)),"")</f>
        <v/>
      </c>
      <c r="I279" s="256"/>
      <c r="J279" s="218">
        <f t="shared" si="31"/>
        <v>0</v>
      </c>
      <c r="K279" s="292" t="str">
        <f t="array" ref="K279">IFERROR(I279*INDEX('PORTIFÓLIO'!$S$4:$S$433,MATCH($C279,'PORTIFÓLIO'!$C$4:$C$433,0)),"")</f>
        <v/>
      </c>
      <c r="L279" s="292" t="str">
        <f t="array" ref="L279">IFERROR(J279*INDEX('PORTIFÓLIO'!$S$4:$S$433,MATCH($C279,'PORTIFÓLIO'!$C$4:$C$433,0)),"")</f>
        <v/>
      </c>
      <c r="M279" s="220"/>
      <c r="N279" s="220"/>
      <c r="O279" s="220"/>
      <c r="P279" s="220"/>
      <c r="Q279" s="220"/>
      <c r="R279" s="220"/>
      <c r="S279" s="220"/>
      <c r="T279" s="220"/>
      <c r="U279" s="220"/>
      <c r="V279" s="220"/>
      <c r="W279" s="220"/>
    </row>
    <row r="280" ht="15.75" customHeight="1" outlineLevel="1">
      <c r="A280" s="211"/>
      <c r="B280" s="212"/>
      <c r="C280" s="213"/>
      <c r="D280" s="214" t="str">
        <f>IFERROR(VLOOKUP($C280,'PORTIFÓLIO'!C:V,2,0),"")</f>
        <v/>
      </c>
      <c r="E280" s="211" t="str">
        <f>IFERROR(VLOOKUP($C280,'PORTIFÓLIO'!C:V,3,0),"")</f>
        <v/>
      </c>
      <c r="F280" s="211" t="str">
        <f>IFERROR(VLOOKUP($C280,'PORTIFÓLIO'!C:V,4,0),"")</f>
        <v/>
      </c>
      <c r="G280" s="215" t="str">
        <f>IFERROR(VLOOKUP($C280,'PORTIFÓLIO'!C:V,5,0),"")</f>
        <v/>
      </c>
      <c r="H280" s="254" t="str">
        <f t="array" ref="H280">IFERROR(INDEX('PORTIFÓLIO'!$H$4:$H$433,MATCH($C280,'PORTIFÓLIO'!$C$4:$C$433,0)),"")</f>
        <v/>
      </c>
      <c r="I280" s="255"/>
      <c r="J280" s="218">
        <f t="shared" si="31"/>
        <v>0</v>
      </c>
      <c r="K280" s="292" t="str">
        <f t="array" ref="K280">IFERROR(I280*INDEX('PORTIFÓLIO'!$S$4:$S$433,MATCH($C280,'PORTIFÓLIO'!$C$4:$C$433,0)),"")</f>
        <v/>
      </c>
      <c r="L280" s="292" t="str">
        <f t="array" ref="L280">IFERROR(J280*INDEX('PORTIFÓLIO'!$S$4:$S$433,MATCH($C280,'PORTIFÓLIO'!$C$4:$C$433,0)),"")</f>
        <v/>
      </c>
      <c r="M280" s="220"/>
      <c r="N280" s="220"/>
      <c r="O280" s="220"/>
      <c r="P280" s="220"/>
      <c r="Q280" s="220"/>
      <c r="R280" s="220"/>
      <c r="S280" s="220"/>
      <c r="T280" s="220"/>
      <c r="U280" s="220"/>
      <c r="V280" s="220"/>
      <c r="W280" s="220"/>
    </row>
    <row r="281" ht="15.75" customHeight="1" outlineLevel="1">
      <c r="A281" s="211"/>
      <c r="B281" s="212"/>
      <c r="C281" s="213"/>
      <c r="D281" s="214" t="str">
        <f>IFERROR(VLOOKUP($C281,'PORTIFÓLIO'!C:V,2,0),"")</f>
        <v/>
      </c>
      <c r="E281" s="211" t="str">
        <f>IFERROR(VLOOKUP($C281,'PORTIFÓLIO'!C:V,3,0),"")</f>
        <v/>
      </c>
      <c r="F281" s="211" t="str">
        <f>IFERROR(VLOOKUP($C281,'PORTIFÓLIO'!C:V,4,0),"")</f>
        <v/>
      </c>
      <c r="G281" s="215" t="str">
        <f>IFERROR(VLOOKUP($C281,'PORTIFÓLIO'!C:V,5,0),"")</f>
        <v/>
      </c>
      <c r="H281" s="254" t="str">
        <f t="array" ref="H281">IFERROR(INDEX('PORTIFÓLIO'!$H$4:$H$433,MATCH($C281,'PORTIFÓLIO'!$C$4:$C$433,0)),"")</f>
        <v/>
      </c>
      <c r="I281" s="256"/>
      <c r="J281" s="218">
        <f t="shared" si="31"/>
        <v>0</v>
      </c>
      <c r="K281" s="292" t="str">
        <f t="array" ref="K281">IFERROR(I281*INDEX('PORTIFÓLIO'!$S$4:$S$433,MATCH($C281,'PORTIFÓLIO'!$C$4:$C$433,0)),"")</f>
        <v/>
      </c>
      <c r="L281" s="292" t="str">
        <f t="array" ref="L281">IFERROR(J281*INDEX('PORTIFÓLIO'!$S$4:$S$433,MATCH($C281,'PORTIFÓLIO'!$C$4:$C$433,0)),"")</f>
        <v/>
      </c>
      <c r="M281" s="220"/>
      <c r="N281" s="220"/>
      <c r="O281" s="220"/>
      <c r="P281" s="220"/>
      <c r="Q281" s="220"/>
      <c r="R281" s="220"/>
      <c r="S281" s="220"/>
      <c r="T281" s="220"/>
      <c r="U281" s="220"/>
      <c r="V281" s="220"/>
      <c r="W281" s="220"/>
    </row>
    <row r="282" ht="15.75" customHeight="1" outlineLevel="1">
      <c r="A282" s="211"/>
      <c r="B282" s="212"/>
      <c r="C282" s="213"/>
      <c r="D282" s="214" t="str">
        <f>IFERROR(VLOOKUP($C282,'PORTIFÓLIO'!C:V,2,0),"")</f>
        <v/>
      </c>
      <c r="E282" s="211" t="str">
        <f>IFERROR(VLOOKUP($C282,'PORTIFÓLIO'!C:V,3,0),"")</f>
        <v/>
      </c>
      <c r="F282" s="211" t="str">
        <f>IFERROR(VLOOKUP($C282,'PORTIFÓLIO'!C:V,4,0),"")</f>
        <v/>
      </c>
      <c r="G282" s="215" t="str">
        <f>IFERROR(VLOOKUP($C282,'PORTIFÓLIO'!C:V,5,0),"")</f>
        <v/>
      </c>
      <c r="H282" s="254" t="str">
        <f t="array" ref="H282">IFERROR(INDEX('PORTIFÓLIO'!$H$4:$H$433,MATCH($C282,'PORTIFÓLIO'!$C$4:$C$433,0)),"")</f>
        <v/>
      </c>
      <c r="I282" s="256"/>
      <c r="J282" s="218">
        <f t="shared" si="31"/>
        <v>0</v>
      </c>
      <c r="K282" s="292" t="str">
        <f t="array" ref="K282">IFERROR(I282*INDEX('PORTIFÓLIO'!$S$4:$S$433,MATCH($C282,'PORTIFÓLIO'!$C$4:$C$433,0)),"")</f>
        <v/>
      </c>
      <c r="L282" s="292" t="str">
        <f t="array" ref="L282">IFERROR(J282*INDEX('PORTIFÓLIO'!$S$4:$S$433,MATCH($C282,'PORTIFÓLIO'!$C$4:$C$433,0)),"")</f>
        <v/>
      </c>
      <c r="M282" s="220"/>
      <c r="N282" s="220"/>
      <c r="O282" s="220"/>
      <c r="P282" s="220"/>
      <c r="Q282" s="220"/>
      <c r="R282" s="220"/>
      <c r="S282" s="220"/>
      <c r="T282" s="220"/>
      <c r="U282" s="220"/>
      <c r="V282" s="220"/>
      <c r="W282" s="220"/>
    </row>
    <row r="283" ht="15.75" customHeight="1" outlineLevel="1">
      <c r="A283" s="211"/>
      <c r="B283" s="212"/>
      <c r="C283" s="213"/>
      <c r="D283" s="214" t="str">
        <f>IFERROR(VLOOKUP($C283,'PORTIFÓLIO'!C:V,2,0),"")</f>
        <v/>
      </c>
      <c r="E283" s="211" t="str">
        <f>IFERROR(VLOOKUP($C283,'PORTIFÓLIO'!C:V,3,0),"")</f>
        <v/>
      </c>
      <c r="F283" s="211" t="str">
        <f>IFERROR(VLOOKUP($C283,'PORTIFÓLIO'!C:V,4,0),"")</f>
        <v/>
      </c>
      <c r="G283" s="215" t="str">
        <f>IFERROR(VLOOKUP($C283,'PORTIFÓLIO'!C:V,5,0),"")</f>
        <v/>
      </c>
      <c r="H283" s="254" t="str">
        <f t="array" ref="H283">IFERROR(INDEX('PORTIFÓLIO'!$H$4:$H$433,MATCH($C283,'PORTIFÓLIO'!$C$4:$C$433,0)),"")</f>
        <v/>
      </c>
      <c r="I283" s="256"/>
      <c r="J283" s="218">
        <f t="shared" si="31"/>
        <v>0</v>
      </c>
      <c r="K283" s="292" t="str">
        <f t="array" ref="K283">IFERROR(I283*INDEX('PORTIFÓLIO'!$S$4:$S$433,MATCH($C283,'PORTIFÓLIO'!$C$4:$C$433,0)),"")</f>
        <v/>
      </c>
      <c r="L283" s="292" t="str">
        <f t="array" ref="L283">IFERROR(J283*INDEX('PORTIFÓLIO'!$S$4:$S$433,MATCH($C283,'PORTIFÓLIO'!$C$4:$C$433,0)),"")</f>
        <v/>
      </c>
      <c r="M283" s="220"/>
      <c r="N283" s="220"/>
      <c r="O283" s="220"/>
      <c r="P283" s="220"/>
      <c r="Q283" s="220"/>
      <c r="R283" s="220"/>
      <c r="S283" s="220"/>
      <c r="T283" s="220"/>
      <c r="U283" s="220"/>
      <c r="V283" s="220"/>
      <c r="W283" s="220"/>
    </row>
    <row r="284" ht="15.75" customHeight="1" outlineLevel="1">
      <c r="A284" s="211"/>
      <c r="B284" s="212"/>
      <c r="C284" s="213"/>
      <c r="D284" s="214" t="str">
        <f>IFERROR(VLOOKUP($C284,'PORTIFÓLIO'!C:V,2,0),"")</f>
        <v/>
      </c>
      <c r="E284" s="211" t="str">
        <f>IFERROR(VLOOKUP($C284,'PORTIFÓLIO'!C:V,3,0),"")</f>
        <v/>
      </c>
      <c r="F284" s="211" t="str">
        <f>IFERROR(VLOOKUP($C284,'PORTIFÓLIO'!C:V,4,0),"")</f>
        <v/>
      </c>
      <c r="G284" s="215" t="str">
        <f>IFERROR(VLOOKUP($C284,'PORTIFÓLIO'!C:V,5,0),"")</f>
        <v/>
      </c>
      <c r="H284" s="254" t="str">
        <f t="array" ref="H284">IFERROR(INDEX('PORTIFÓLIO'!$H$4:$H$433,MATCH($C284,'PORTIFÓLIO'!$C$4:$C$433,0)),"")</f>
        <v/>
      </c>
      <c r="I284" s="256"/>
      <c r="J284" s="218">
        <f t="shared" si="31"/>
        <v>0</v>
      </c>
      <c r="K284" s="292" t="str">
        <f t="array" ref="K284">IFERROR(I284*INDEX('PORTIFÓLIO'!$S$4:$S$433,MATCH($C284,'PORTIFÓLIO'!$C$4:$C$433,0)),"")</f>
        <v/>
      </c>
      <c r="L284" s="292" t="str">
        <f t="array" ref="L284">IFERROR(J284*INDEX('PORTIFÓLIO'!$S$4:$S$433,MATCH($C284,'PORTIFÓLIO'!$C$4:$C$433,0)),"")</f>
        <v/>
      </c>
      <c r="M284" s="220"/>
      <c r="N284" s="220"/>
      <c r="O284" s="220"/>
      <c r="P284" s="220"/>
      <c r="Q284" s="220"/>
      <c r="R284" s="220"/>
      <c r="S284" s="220"/>
      <c r="T284" s="220"/>
      <c r="U284" s="220"/>
      <c r="V284" s="220"/>
      <c r="W284" s="220"/>
    </row>
    <row r="285" ht="15.75" customHeight="1" outlineLevel="1">
      <c r="A285" s="211"/>
      <c r="B285" s="212"/>
      <c r="C285" s="213"/>
      <c r="D285" s="214" t="str">
        <f>IFERROR(VLOOKUP($C285,'PORTIFÓLIO'!C:V,2,0),"")</f>
        <v/>
      </c>
      <c r="E285" s="211" t="str">
        <f>IFERROR(VLOOKUP($C285,'PORTIFÓLIO'!C:V,3,0),"")</f>
        <v/>
      </c>
      <c r="F285" s="211" t="str">
        <f>IFERROR(VLOOKUP($C285,'PORTIFÓLIO'!C:V,4,0),"")</f>
        <v/>
      </c>
      <c r="G285" s="215" t="str">
        <f>IFERROR(VLOOKUP($C285,'PORTIFÓLIO'!C:V,5,0),"")</f>
        <v/>
      </c>
      <c r="H285" s="254" t="str">
        <f t="array" ref="H285">IFERROR(INDEX('PORTIFÓLIO'!$H$4:$H$433,MATCH($C285,'PORTIFÓLIO'!$C$4:$C$433,0)),"")</f>
        <v/>
      </c>
      <c r="I285" s="256"/>
      <c r="J285" s="218">
        <f t="shared" si="31"/>
        <v>0</v>
      </c>
      <c r="K285" s="292" t="str">
        <f t="array" ref="K285">IFERROR(I285*INDEX('PORTIFÓLIO'!$S$4:$S$433,MATCH($C285,'PORTIFÓLIO'!$C$4:$C$433,0)),"")</f>
        <v/>
      </c>
      <c r="L285" s="292" t="str">
        <f t="array" ref="L285">IFERROR(J285*INDEX('PORTIFÓLIO'!$S$4:$S$433,MATCH($C285,'PORTIFÓLIO'!$C$4:$C$433,0)),"")</f>
        <v/>
      </c>
      <c r="M285" s="220"/>
      <c r="N285" s="220"/>
      <c r="O285" s="220"/>
      <c r="P285" s="220"/>
      <c r="Q285" s="220"/>
      <c r="R285" s="220"/>
      <c r="S285" s="220"/>
      <c r="T285" s="220"/>
      <c r="U285" s="220"/>
      <c r="V285" s="220"/>
      <c r="W285" s="220"/>
    </row>
    <row r="286" ht="15.75" customHeight="1" outlineLevel="1">
      <c r="A286" s="211"/>
      <c r="B286" s="212"/>
      <c r="C286" s="213"/>
      <c r="D286" s="214" t="str">
        <f>IFERROR(VLOOKUP($C286,'PORTIFÓLIO'!C:V,2,0),"")</f>
        <v/>
      </c>
      <c r="E286" s="211" t="str">
        <f>IFERROR(VLOOKUP($C286,'PORTIFÓLIO'!C:V,3,0),"")</f>
        <v/>
      </c>
      <c r="F286" s="211" t="str">
        <f>IFERROR(VLOOKUP($C286,'PORTIFÓLIO'!C:V,4,0),"")</f>
        <v/>
      </c>
      <c r="G286" s="215" t="str">
        <f>IFERROR(VLOOKUP($C286,'PORTIFÓLIO'!C:V,5,0),"")</f>
        <v/>
      </c>
      <c r="H286" s="254" t="str">
        <f t="array" ref="H286">IFERROR(INDEX('PORTIFÓLIO'!$H$4:$H$433,MATCH($C286,'PORTIFÓLIO'!$C$4:$C$433,0)),"")</f>
        <v/>
      </c>
      <c r="I286" s="256"/>
      <c r="J286" s="218">
        <f t="shared" si="31"/>
        <v>0</v>
      </c>
      <c r="K286" s="292" t="str">
        <f t="array" ref="K286">IFERROR(I286*INDEX('PORTIFÓLIO'!$S$4:$S$433,MATCH($C286,'PORTIFÓLIO'!$C$4:$C$433,0)),"")</f>
        <v/>
      </c>
      <c r="L286" s="292" t="str">
        <f t="array" ref="L286">IFERROR(J286*INDEX('PORTIFÓLIO'!$S$4:$S$433,MATCH($C286,'PORTIFÓLIO'!$C$4:$C$433,0)),"")</f>
        <v/>
      </c>
      <c r="M286" s="220"/>
      <c r="N286" s="220"/>
      <c r="O286" s="220"/>
      <c r="P286" s="220"/>
      <c r="Q286" s="220"/>
      <c r="R286" s="220"/>
      <c r="S286" s="220"/>
      <c r="T286" s="220"/>
      <c r="U286" s="220"/>
      <c r="V286" s="220"/>
      <c r="W286" s="220"/>
    </row>
    <row r="287" ht="15.75" customHeight="1" outlineLevel="1">
      <c r="A287" s="211"/>
      <c r="B287" s="212"/>
      <c r="C287" s="213"/>
      <c r="D287" s="214" t="str">
        <f>IFERROR(VLOOKUP($C287,'PORTIFÓLIO'!C:V,2,0),"")</f>
        <v/>
      </c>
      <c r="E287" s="211" t="str">
        <f>IFERROR(VLOOKUP($C287,'PORTIFÓLIO'!C:V,3,0),"")</f>
        <v/>
      </c>
      <c r="F287" s="211" t="str">
        <f>IFERROR(VLOOKUP($C287,'PORTIFÓLIO'!C:V,4,0),"")</f>
        <v/>
      </c>
      <c r="G287" s="215" t="str">
        <f>IFERROR(VLOOKUP($C287,'PORTIFÓLIO'!C:V,5,0),"")</f>
        <v/>
      </c>
      <c r="H287" s="254" t="str">
        <f t="array" ref="H287">IFERROR(INDEX('PORTIFÓLIO'!$H$4:$H$433,MATCH($C287,'PORTIFÓLIO'!$C$4:$C$433,0)),"")</f>
        <v/>
      </c>
      <c r="I287" s="256"/>
      <c r="J287" s="218">
        <f t="shared" si="31"/>
        <v>0</v>
      </c>
      <c r="K287" s="292" t="str">
        <f t="array" ref="K287">IFERROR(I287*INDEX('PORTIFÓLIO'!$S$4:$S$433,MATCH($C287,'PORTIFÓLIO'!$C$4:$C$433,0)),"")</f>
        <v/>
      </c>
      <c r="L287" s="292" t="str">
        <f t="array" ref="L287">IFERROR(J287*INDEX('PORTIFÓLIO'!$S$4:$S$433,MATCH($C287,'PORTIFÓLIO'!$C$4:$C$433,0)),"")</f>
        <v/>
      </c>
      <c r="M287" s="220"/>
      <c r="N287" s="220"/>
      <c r="O287" s="220"/>
      <c r="P287" s="220"/>
      <c r="Q287" s="220"/>
      <c r="R287" s="220"/>
      <c r="S287" s="220"/>
      <c r="T287" s="220"/>
      <c r="U287" s="220"/>
      <c r="V287" s="220"/>
      <c r="W287" s="220"/>
    </row>
    <row r="288" ht="15.75" customHeight="1" outlineLevel="1">
      <c r="A288" s="211"/>
      <c r="B288" s="212"/>
      <c r="C288" s="213"/>
      <c r="D288" s="214" t="str">
        <f>IFERROR(VLOOKUP($C288,'PORTIFÓLIO'!C:V,2,0),"")</f>
        <v/>
      </c>
      <c r="E288" s="211" t="str">
        <f>IFERROR(VLOOKUP($C288,'PORTIFÓLIO'!C:V,3,0),"")</f>
        <v/>
      </c>
      <c r="F288" s="211" t="str">
        <f>IFERROR(VLOOKUP($C288,'PORTIFÓLIO'!C:V,4,0),"")</f>
        <v/>
      </c>
      <c r="G288" s="215" t="str">
        <f>IFERROR(VLOOKUP($C288,'PORTIFÓLIO'!C:V,5,0),"")</f>
        <v/>
      </c>
      <c r="H288" s="254" t="str">
        <f t="array" ref="H288">IFERROR(INDEX('PORTIFÓLIO'!$H$4:$H$433,MATCH($C288,'PORTIFÓLIO'!$C$4:$C$433,0)),"")</f>
        <v/>
      </c>
      <c r="I288" s="256"/>
      <c r="J288" s="218">
        <f t="shared" si="31"/>
        <v>0</v>
      </c>
      <c r="K288" s="292" t="str">
        <f t="array" ref="K288">IFERROR(I288*INDEX('PORTIFÓLIO'!$S$4:$S$433,MATCH($C288,'PORTIFÓLIO'!$C$4:$C$433,0)),"")</f>
        <v/>
      </c>
      <c r="L288" s="292" t="str">
        <f t="array" ref="L288">IFERROR(J288*INDEX('PORTIFÓLIO'!$S$4:$S$433,MATCH($C288,'PORTIFÓLIO'!$C$4:$C$433,0)),"")</f>
        <v/>
      </c>
      <c r="M288" s="220"/>
      <c r="N288" s="220"/>
      <c r="O288" s="220"/>
      <c r="P288" s="220"/>
      <c r="Q288" s="220"/>
      <c r="R288" s="220"/>
      <c r="S288" s="220"/>
      <c r="T288" s="220"/>
      <c r="U288" s="220"/>
      <c r="V288" s="220"/>
      <c r="W288" s="220"/>
    </row>
    <row r="289" ht="15.75" customHeight="1" outlineLevel="1">
      <c r="A289" s="211"/>
      <c r="B289" s="212"/>
      <c r="C289" s="213"/>
      <c r="D289" s="214" t="str">
        <f>IFERROR(VLOOKUP($C289,'PORTIFÓLIO'!C:V,2,0),"")</f>
        <v/>
      </c>
      <c r="E289" s="211" t="str">
        <f>IFERROR(VLOOKUP($C289,'PORTIFÓLIO'!C:V,3,0),"")</f>
        <v/>
      </c>
      <c r="F289" s="211" t="str">
        <f>IFERROR(VLOOKUP($C289,'PORTIFÓLIO'!C:V,4,0),"")</f>
        <v/>
      </c>
      <c r="G289" s="215" t="str">
        <f>IFERROR(VLOOKUP($C289,'PORTIFÓLIO'!C:V,5,0),"")</f>
        <v/>
      </c>
      <c r="H289" s="254" t="str">
        <f t="array" ref="H289">IFERROR(INDEX('PORTIFÓLIO'!$H$4:$H$433,MATCH($C289,'PORTIFÓLIO'!$C$4:$C$433,0)),"")</f>
        <v/>
      </c>
      <c r="I289" s="256"/>
      <c r="J289" s="218">
        <f t="shared" si="31"/>
        <v>0</v>
      </c>
      <c r="K289" s="292" t="str">
        <f t="array" ref="K289">IFERROR(I289*INDEX('PORTIFÓLIO'!$S$4:$S$433,MATCH($C289,'PORTIFÓLIO'!$C$4:$C$433,0)),"")</f>
        <v/>
      </c>
      <c r="L289" s="292" t="str">
        <f t="array" ref="L289">IFERROR(J289*INDEX('PORTIFÓLIO'!$S$4:$S$433,MATCH($C289,'PORTIFÓLIO'!$C$4:$C$433,0)),"")</f>
        <v/>
      </c>
      <c r="M289" s="220"/>
      <c r="N289" s="220"/>
      <c r="O289" s="220"/>
      <c r="P289" s="220"/>
      <c r="Q289" s="220"/>
      <c r="R289" s="220"/>
      <c r="S289" s="220"/>
      <c r="T289" s="220"/>
      <c r="U289" s="220"/>
      <c r="V289" s="220"/>
      <c r="W289" s="220"/>
    </row>
    <row r="290" ht="15.75" customHeight="1">
      <c r="A290" s="229" t="s">
        <v>1186</v>
      </c>
      <c r="B290" s="230"/>
      <c r="C290" s="231"/>
      <c r="D290" s="232"/>
      <c r="E290" s="231"/>
      <c r="F290" s="231"/>
      <c r="G290" s="233"/>
      <c r="H290" s="233"/>
      <c r="I290" s="258"/>
      <c r="J290" s="236"/>
      <c r="K290" s="237">
        <f t="shared" ref="K290:L290" si="32">SUBTOTAL(9,K291:K304)</f>
        <v>0</v>
      </c>
      <c r="L290" s="237">
        <f t="shared" si="32"/>
        <v>0</v>
      </c>
      <c r="M290" s="220"/>
      <c r="N290" s="220"/>
      <c r="O290" s="220"/>
      <c r="P290" s="220"/>
      <c r="Q290" s="220"/>
      <c r="R290" s="220"/>
      <c r="S290" s="220"/>
      <c r="T290" s="220"/>
      <c r="U290" s="220"/>
      <c r="V290" s="220"/>
      <c r="W290" s="220"/>
    </row>
    <row r="291" ht="15.75" customHeight="1" outlineLevel="1">
      <c r="A291" s="213"/>
      <c r="B291" s="212"/>
      <c r="C291" s="213"/>
      <c r="D291" s="214" t="str">
        <f>IFERROR(VLOOKUP($C291,'PORTIFÓLIO'!C:V,2,0),"")</f>
        <v/>
      </c>
      <c r="E291" s="211" t="str">
        <f>IFERROR(VLOOKUP($C291,'PORTIFÓLIO'!C:V,3,0),"")</f>
        <v/>
      </c>
      <c r="F291" s="211" t="str">
        <f>IFERROR(VLOOKUP($C291,'PORTIFÓLIO'!C:V,4,0),"")</f>
        <v/>
      </c>
      <c r="G291" s="215" t="str">
        <f>IFERROR(VLOOKUP($C291,'PORTIFÓLIO'!C:V,5,0),"")</f>
        <v/>
      </c>
      <c r="H291" s="254" t="str">
        <f t="array" ref="H291">IFERROR(INDEX('PORTIFÓLIO'!$H$4:$H$433,MATCH($C291,'PORTIFÓLIO'!$C$4:$C$433,0)),"")</f>
        <v/>
      </c>
      <c r="I291" s="255"/>
      <c r="J291" s="218">
        <f t="shared" ref="J291:J307" si="33">I291*$B$2</f>
        <v>0</v>
      </c>
      <c r="K291" s="292" t="str">
        <f t="array" ref="K291">IFERROR(I291*INDEX('PORTIFÓLIO'!$S$4:$S$433,MATCH($C291,'PORTIFÓLIO'!$C$4:$C$433,0)),"")</f>
        <v/>
      </c>
      <c r="L291" s="292" t="str">
        <f t="array" ref="L291">IFERROR(J291*INDEX('PORTIFÓLIO'!$S$4:$S$433,MATCH($C291,'PORTIFÓLIO'!$C$4:$C$433,0)),"")</f>
        <v/>
      </c>
      <c r="M291" s="220"/>
      <c r="N291" s="220"/>
      <c r="O291" s="220"/>
      <c r="P291" s="220"/>
      <c r="Q291" s="220"/>
      <c r="R291" s="220"/>
      <c r="S291" s="220"/>
      <c r="T291" s="220"/>
      <c r="U291" s="220"/>
      <c r="V291" s="220"/>
      <c r="W291" s="220"/>
    </row>
    <row r="292" ht="15.75" customHeight="1" outlineLevel="1">
      <c r="A292" s="211"/>
      <c r="B292" s="212"/>
      <c r="C292" s="213"/>
      <c r="D292" s="214" t="str">
        <f>IFERROR(VLOOKUP($C292,'PORTIFÓLIO'!C:V,2,0),"")</f>
        <v/>
      </c>
      <c r="E292" s="211" t="str">
        <f>IFERROR(VLOOKUP($C292,'PORTIFÓLIO'!C:V,3,0),"")</f>
        <v/>
      </c>
      <c r="F292" s="211" t="str">
        <f>IFERROR(VLOOKUP($C292,'PORTIFÓLIO'!C:V,4,0),"")</f>
        <v/>
      </c>
      <c r="G292" s="215" t="str">
        <f>IFERROR(VLOOKUP($C292,'PORTIFÓLIO'!C:V,5,0),"")</f>
        <v/>
      </c>
      <c r="H292" s="254" t="str">
        <f t="array" ref="H292">IFERROR(INDEX('PORTIFÓLIO'!$H$4:$H$433,MATCH($C292,'PORTIFÓLIO'!$C$4:$C$433,0)),"")</f>
        <v/>
      </c>
      <c r="I292" s="256"/>
      <c r="J292" s="218">
        <f t="shared" si="33"/>
        <v>0</v>
      </c>
      <c r="K292" s="292" t="str">
        <f t="array" ref="K292">IFERROR(I292*INDEX('PORTIFÓLIO'!$S$4:$S$433,MATCH($C292,'PORTIFÓLIO'!$C$4:$C$433,0)),"")</f>
        <v/>
      </c>
      <c r="L292" s="292" t="str">
        <f t="array" ref="L292">IFERROR(J292*INDEX('PORTIFÓLIO'!$S$4:$S$433,MATCH($C292,'PORTIFÓLIO'!$C$4:$C$433,0)),"")</f>
        <v/>
      </c>
      <c r="M292" s="220"/>
      <c r="N292" s="220"/>
      <c r="O292" s="220"/>
      <c r="P292" s="220"/>
      <c r="Q292" s="220"/>
      <c r="R292" s="220"/>
      <c r="S292" s="220"/>
      <c r="T292" s="220"/>
      <c r="U292" s="220"/>
      <c r="V292" s="220"/>
      <c r="W292" s="220"/>
    </row>
    <row r="293" ht="15.75" customHeight="1" outlineLevel="1">
      <c r="A293" s="211"/>
      <c r="B293" s="212"/>
      <c r="C293" s="213"/>
      <c r="D293" s="214" t="str">
        <f>IFERROR(VLOOKUP($C293,'PORTIFÓLIO'!C:V,2,0),"")</f>
        <v/>
      </c>
      <c r="E293" s="211" t="str">
        <f>IFERROR(VLOOKUP($C293,'PORTIFÓLIO'!C:V,3,0),"")</f>
        <v/>
      </c>
      <c r="F293" s="211" t="str">
        <f>IFERROR(VLOOKUP($C293,'PORTIFÓLIO'!C:V,4,0),"")</f>
        <v/>
      </c>
      <c r="G293" s="215" t="str">
        <f>IFERROR(VLOOKUP($C293,'PORTIFÓLIO'!C:V,5,0),"")</f>
        <v/>
      </c>
      <c r="H293" s="254" t="str">
        <f t="array" ref="H293">IFERROR(INDEX('PORTIFÓLIO'!$H$4:$H$433,MATCH($C293,'PORTIFÓLIO'!$C$4:$C$433,0)),"")</f>
        <v/>
      </c>
      <c r="I293" s="256"/>
      <c r="J293" s="218">
        <f t="shared" si="33"/>
        <v>0</v>
      </c>
      <c r="K293" s="292" t="str">
        <f t="array" ref="K293">IFERROR(I293*INDEX('PORTIFÓLIO'!$S$4:$S$433,MATCH($C293,'PORTIFÓLIO'!$C$4:$C$433,0)),"")</f>
        <v/>
      </c>
      <c r="L293" s="292" t="str">
        <f t="array" ref="L293">IFERROR(J293*INDEX('PORTIFÓLIO'!$S$4:$S$433,MATCH($C293,'PORTIFÓLIO'!$C$4:$C$433,0)),"")</f>
        <v/>
      </c>
      <c r="M293" s="220"/>
      <c r="N293" s="220"/>
      <c r="O293" s="220"/>
      <c r="P293" s="220"/>
      <c r="Q293" s="220"/>
      <c r="R293" s="220"/>
      <c r="S293" s="220"/>
      <c r="T293" s="220"/>
      <c r="U293" s="220"/>
      <c r="V293" s="220"/>
      <c r="W293" s="220"/>
    </row>
    <row r="294" ht="15.75" customHeight="1" outlineLevel="1">
      <c r="A294" s="211"/>
      <c r="B294" s="212"/>
      <c r="C294" s="213"/>
      <c r="D294" s="214" t="str">
        <f>IFERROR(VLOOKUP($C294,'PORTIFÓLIO'!C:V,2,0),"")</f>
        <v/>
      </c>
      <c r="E294" s="211" t="str">
        <f>IFERROR(VLOOKUP($C294,'PORTIFÓLIO'!C:V,3,0),"")</f>
        <v/>
      </c>
      <c r="F294" s="211" t="str">
        <f>IFERROR(VLOOKUP($C294,'PORTIFÓLIO'!C:V,4,0),"")</f>
        <v/>
      </c>
      <c r="G294" s="215" t="str">
        <f>IFERROR(VLOOKUP($C294,'PORTIFÓLIO'!C:V,5,0),"")</f>
        <v/>
      </c>
      <c r="H294" s="254" t="str">
        <f t="array" ref="H294">IFERROR(INDEX('PORTIFÓLIO'!$H$4:$H$433,MATCH($C294,'PORTIFÓLIO'!$C$4:$C$433,0)),"")</f>
        <v/>
      </c>
      <c r="I294" s="256"/>
      <c r="J294" s="218">
        <f t="shared" si="33"/>
        <v>0</v>
      </c>
      <c r="K294" s="292" t="str">
        <f t="array" ref="K294">IFERROR(I294*INDEX('PORTIFÓLIO'!$S$4:$S$433,MATCH($C294,'PORTIFÓLIO'!$C$4:$C$433,0)),"")</f>
        <v/>
      </c>
      <c r="L294" s="292" t="str">
        <f t="array" ref="L294">IFERROR(J294*INDEX('PORTIFÓLIO'!$S$4:$S$433,MATCH($C294,'PORTIFÓLIO'!$C$4:$C$433,0)),"")</f>
        <v/>
      </c>
      <c r="M294" s="220"/>
      <c r="N294" s="220"/>
      <c r="O294" s="220"/>
      <c r="P294" s="220"/>
      <c r="Q294" s="220"/>
      <c r="R294" s="220"/>
      <c r="S294" s="220"/>
      <c r="T294" s="220"/>
      <c r="U294" s="220"/>
      <c r="V294" s="220"/>
      <c r="W294" s="220"/>
    </row>
    <row r="295" ht="15.75" customHeight="1" outlineLevel="1">
      <c r="A295" s="211"/>
      <c r="B295" s="212"/>
      <c r="C295" s="213"/>
      <c r="D295" s="214" t="str">
        <f>IFERROR(VLOOKUP($C295,'PORTIFÓLIO'!C:V,2,0),"")</f>
        <v/>
      </c>
      <c r="E295" s="211" t="str">
        <f>IFERROR(VLOOKUP($C295,'PORTIFÓLIO'!C:V,3,0),"")</f>
        <v/>
      </c>
      <c r="F295" s="211" t="str">
        <f>IFERROR(VLOOKUP($C295,'PORTIFÓLIO'!C:V,4,0),"")</f>
        <v/>
      </c>
      <c r="G295" s="215" t="str">
        <f>IFERROR(VLOOKUP($C295,'PORTIFÓLIO'!C:V,5,0),"")</f>
        <v/>
      </c>
      <c r="H295" s="254" t="str">
        <f t="array" ref="H295">IFERROR(INDEX('PORTIFÓLIO'!$H$4:$H$433,MATCH($C295,'PORTIFÓLIO'!$C$4:$C$433,0)),"")</f>
        <v/>
      </c>
      <c r="I295" s="256"/>
      <c r="J295" s="218">
        <f t="shared" si="33"/>
        <v>0</v>
      </c>
      <c r="K295" s="292" t="str">
        <f t="array" ref="K295">IFERROR(I295*INDEX('PORTIFÓLIO'!$S$4:$S$433,MATCH($C295,'PORTIFÓLIO'!$C$4:$C$433,0)),"")</f>
        <v/>
      </c>
      <c r="L295" s="292" t="str">
        <f t="array" ref="L295">IFERROR(J295*INDEX('PORTIFÓLIO'!$S$4:$S$433,MATCH($C295,'PORTIFÓLIO'!$C$4:$C$433,0)),"")</f>
        <v/>
      </c>
      <c r="M295" s="220"/>
      <c r="N295" s="220"/>
      <c r="O295" s="220"/>
      <c r="P295" s="220"/>
      <c r="Q295" s="220"/>
      <c r="R295" s="220"/>
      <c r="S295" s="220"/>
      <c r="T295" s="220"/>
      <c r="U295" s="220"/>
      <c r="V295" s="220"/>
      <c r="W295" s="220"/>
    </row>
    <row r="296" ht="15.75" customHeight="1" outlineLevel="1">
      <c r="A296" s="211"/>
      <c r="B296" s="212"/>
      <c r="C296" s="213"/>
      <c r="D296" s="214" t="str">
        <f>IFERROR(VLOOKUP($C296,'PORTIFÓLIO'!C:V,2,0),"")</f>
        <v/>
      </c>
      <c r="E296" s="211" t="str">
        <f>IFERROR(VLOOKUP($C296,'PORTIFÓLIO'!C:V,3,0),"")</f>
        <v/>
      </c>
      <c r="F296" s="211" t="str">
        <f>IFERROR(VLOOKUP($C296,'PORTIFÓLIO'!C:V,4,0),"")</f>
        <v/>
      </c>
      <c r="G296" s="215" t="str">
        <f>IFERROR(VLOOKUP($C296,'PORTIFÓLIO'!C:V,5,0),"")</f>
        <v/>
      </c>
      <c r="H296" s="254" t="str">
        <f t="array" ref="H296">IFERROR(INDEX('PORTIFÓLIO'!$H$4:$H$433,MATCH($C296,'PORTIFÓLIO'!$C$4:$C$433,0)),"")</f>
        <v/>
      </c>
      <c r="I296" s="256"/>
      <c r="J296" s="218">
        <f t="shared" si="33"/>
        <v>0</v>
      </c>
      <c r="K296" s="292" t="str">
        <f t="array" ref="K296">IFERROR(I296*INDEX('PORTIFÓLIO'!$S$4:$S$433,MATCH($C296,'PORTIFÓLIO'!$C$4:$C$433,0)),"")</f>
        <v/>
      </c>
      <c r="L296" s="292" t="str">
        <f t="array" ref="L296">IFERROR(J296*INDEX('PORTIFÓLIO'!$S$4:$S$433,MATCH($C296,'PORTIFÓLIO'!$C$4:$C$433,0)),"")</f>
        <v/>
      </c>
      <c r="M296" s="220"/>
      <c r="N296" s="220"/>
      <c r="O296" s="220"/>
      <c r="P296" s="220"/>
      <c r="Q296" s="220"/>
      <c r="R296" s="220"/>
      <c r="S296" s="220"/>
      <c r="T296" s="220"/>
      <c r="U296" s="220"/>
      <c r="V296" s="220"/>
      <c r="W296" s="220"/>
    </row>
    <row r="297" ht="15.75" customHeight="1" outlineLevel="1">
      <c r="A297" s="211"/>
      <c r="B297" s="212"/>
      <c r="C297" s="213"/>
      <c r="D297" s="214" t="str">
        <f>IFERROR(VLOOKUP($C297,'PORTIFÓLIO'!C:V,2,0),"")</f>
        <v/>
      </c>
      <c r="E297" s="211" t="str">
        <f>IFERROR(VLOOKUP($C297,'PORTIFÓLIO'!C:V,3,0),"")</f>
        <v/>
      </c>
      <c r="F297" s="211" t="str">
        <f>IFERROR(VLOOKUP($C297,'PORTIFÓLIO'!C:V,4,0),"")</f>
        <v/>
      </c>
      <c r="G297" s="215" t="str">
        <f>IFERROR(VLOOKUP($C297,'PORTIFÓLIO'!C:V,5,0),"")</f>
        <v/>
      </c>
      <c r="H297" s="254" t="str">
        <f t="array" ref="H297">IFERROR(INDEX('PORTIFÓLIO'!$H$4:$H$433,MATCH($C297,'PORTIFÓLIO'!$C$4:$C$433,0)),"")</f>
        <v/>
      </c>
      <c r="I297" s="256"/>
      <c r="J297" s="218">
        <f t="shared" si="33"/>
        <v>0</v>
      </c>
      <c r="K297" s="292" t="str">
        <f t="array" ref="K297">IFERROR(I297*INDEX('PORTIFÓLIO'!$S$4:$S$433,MATCH($C297,'PORTIFÓLIO'!$C$4:$C$433,0)),"")</f>
        <v/>
      </c>
      <c r="L297" s="292" t="str">
        <f t="array" ref="L297">IFERROR(J297*INDEX('PORTIFÓLIO'!$S$4:$S$433,MATCH($C297,'PORTIFÓLIO'!$C$4:$C$433,0)),"")</f>
        <v/>
      </c>
      <c r="M297" s="220"/>
      <c r="N297" s="220"/>
      <c r="O297" s="220"/>
      <c r="P297" s="220"/>
      <c r="Q297" s="220"/>
      <c r="R297" s="220"/>
      <c r="S297" s="220"/>
      <c r="T297" s="220"/>
      <c r="U297" s="220"/>
      <c r="V297" s="220"/>
      <c r="W297" s="220"/>
    </row>
    <row r="298" ht="15.75" customHeight="1" outlineLevel="1">
      <c r="A298" s="211"/>
      <c r="B298" s="212"/>
      <c r="C298" s="213"/>
      <c r="D298" s="214" t="str">
        <f>IFERROR(VLOOKUP($C298,'PORTIFÓLIO'!C:V,2,0),"")</f>
        <v/>
      </c>
      <c r="E298" s="211" t="str">
        <f>IFERROR(VLOOKUP($C298,'PORTIFÓLIO'!C:V,3,0),"")</f>
        <v/>
      </c>
      <c r="F298" s="211" t="str">
        <f>IFERROR(VLOOKUP($C298,'PORTIFÓLIO'!C:V,4,0),"")</f>
        <v/>
      </c>
      <c r="G298" s="215" t="str">
        <f>IFERROR(VLOOKUP($C298,'PORTIFÓLIO'!C:V,5,0),"")</f>
        <v/>
      </c>
      <c r="H298" s="254" t="str">
        <f t="array" ref="H298">IFERROR(INDEX('PORTIFÓLIO'!$H$4:$H$433,MATCH($C298,'PORTIFÓLIO'!$C$4:$C$433,0)),"")</f>
        <v/>
      </c>
      <c r="I298" s="256"/>
      <c r="J298" s="218">
        <f t="shared" si="33"/>
        <v>0</v>
      </c>
      <c r="K298" s="292" t="str">
        <f t="array" ref="K298">IFERROR(I298*INDEX('PORTIFÓLIO'!$S$4:$S$433,MATCH($C298,'PORTIFÓLIO'!$C$4:$C$433,0)),"")</f>
        <v/>
      </c>
      <c r="L298" s="292" t="str">
        <f t="array" ref="L298">IFERROR(J298*INDEX('PORTIFÓLIO'!$S$4:$S$433,MATCH($C298,'PORTIFÓLIO'!$C$4:$C$433,0)),"")</f>
        <v/>
      </c>
      <c r="M298" s="220"/>
      <c r="N298" s="220"/>
      <c r="O298" s="220"/>
      <c r="P298" s="220"/>
      <c r="Q298" s="220"/>
      <c r="R298" s="220"/>
      <c r="S298" s="220"/>
      <c r="T298" s="220"/>
      <c r="U298" s="220"/>
      <c r="V298" s="220"/>
      <c r="W298" s="220"/>
    </row>
    <row r="299" ht="15.75" customHeight="1" outlineLevel="1">
      <c r="A299" s="211"/>
      <c r="B299" s="212"/>
      <c r="C299" s="213"/>
      <c r="D299" s="214" t="str">
        <f>IFERROR(VLOOKUP($C299,'PORTIFÓLIO'!C:V,2,0),"")</f>
        <v/>
      </c>
      <c r="E299" s="211" t="str">
        <f>IFERROR(VLOOKUP($C299,'PORTIFÓLIO'!C:V,3,0),"")</f>
        <v/>
      </c>
      <c r="F299" s="211" t="str">
        <f>IFERROR(VLOOKUP($C299,'PORTIFÓLIO'!C:V,4,0),"")</f>
        <v/>
      </c>
      <c r="G299" s="215" t="str">
        <f>IFERROR(VLOOKUP($C299,'PORTIFÓLIO'!C:V,5,0),"")</f>
        <v/>
      </c>
      <c r="H299" s="254" t="str">
        <f t="array" ref="H299">IFERROR(INDEX('PORTIFÓLIO'!$H$4:$H$433,MATCH($C299,'PORTIFÓLIO'!$C$4:$C$433,0)),"")</f>
        <v/>
      </c>
      <c r="I299" s="255"/>
      <c r="J299" s="218">
        <f t="shared" si="33"/>
        <v>0</v>
      </c>
      <c r="K299" s="292" t="str">
        <f t="array" ref="K299">IFERROR(I299*INDEX('PORTIFÓLIO'!$S$4:$S$433,MATCH($C299,'PORTIFÓLIO'!$C$4:$C$433,0)),"")</f>
        <v/>
      </c>
      <c r="L299" s="292" t="str">
        <f t="array" ref="L299">IFERROR(J299*INDEX('PORTIFÓLIO'!$S$4:$S$433,MATCH($C299,'PORTIFÓLIO'!$C$4:$C$433,0)),"")</f>
        <v/>
      </c>
      <c r="M299" s="220"/>
      <c r="N299" s="220"/>
      <c r="O299" s="220"/>
      <c r="P299" s="220"/>
      <c r="Q299" s="220"/>
      <c r="R299" s="220"/>
      <c r="S299" s="220"/>
      <c r="T299" s="220"/>
      <c r="U299" s="220"/>
      <c r="V299" s="220"/>
      <c r="W299" s="220"/>
    </row>
    <row r="300" ht="15.75" customHeight="1" outlineLevel="1">
      <c r="A300" s="211"/>
      <c r="B300" s="212"/>
      <c r="C300" s="213"/>
      <c r="D300" s="214" t="str">
        <f>IFERROR(VLOOKUP($C300,'PORTIFÓLIO'!C:V,2,0),"")</f>
        <v/>
      </c>
      <c r="E300" s="211" t="str">
        <f>IFERROR(VLOOKUP($C300,'PORTIFÓLIO'!C:V,3,0),"")</f>
        <v/>
      </c>
      <c r="F300" s="211" t="str">
        <f>IFERROR(VLOOKUP($C300,'PORTIFÓLIO'!C:V,4,0),"")</f>
        <v/>
      </c>
      <c r="G300" s="215" t="str">
        <f>IFERROR(VLOOKUP($C300,'PORTIFÓLIO'!C:V,5,0),"")</f>
        <v/>
      </c>
      <c r="H300" s="254" t="str">
        <f t="array" ref="H300">IFERROR(INDEX('PORTIFÓLIO'!$H$4:$H$433,MATCH($C300,'PORTIFÓLIO'!$C$4:$C$433,0)),"")</f>
        <v/>
      </c>
      <c r="I300" s="256"/>
      <c r="J300" s="218">
        <f t="shared" si="33"/>
        <v>0</v>
      </c>
      <c r="K300" s="292" t="str">
        <f t="array" ref="K300">IFERROR(I300*INDEX('PORTIFÓLIO'!$S$4:$S$433,MATCH($C300,'PORTIFÓLIO'!$C$4:$C$433,0)),"")</f>
        <v/>
      </c>
      <c r="L300" s="292" t="str">
        <f t="array" ref="L300">IFERROR(J300*INDEX('PORTIFÓLIO'!$S$4:$S$433,MATCH($C300,'PORTIFÓLIO'!$C$4:$C$433,0)),"")</f>
        <v/>
      </c>
      <c r="M300" s="220"/>
      <c r="N300" s="220"/>
      <c r="O300" s="220"/>
      <c r="P300" s="220"/>
      <c r="Q300" s="220"/>
      <c r="R300" s="220"/>
      <c r="S300" s="220"/>
      <c r="T300" s="220"/>
      <c r="U300" s="220"/>
      <c r="V300" s="220"/>
      <c r="W300" s="220"/>
    </row>
    <row r="301" ht="15.75" customHeight="1" outlineLevel="1">
      <c r="A301" s="211"/>
      <c r="B301" s="212"/>
      <c r="C301" s="213"/>
      <c r="D301" s="214" t="str">
        <f>IFERROR(VLOOKUP($C301,'PORTIFÓLIO'!C:V,2,0),"")</f>
        <v/>
      </c>
      <c r="E301" s="211" t="str">
        <f>IFERROR(VLOOKUP($C301,'PORTIFÓLIO'!C:V,3,0),"")</f>
        <v/>
      </c>
      <c r="F301" s="211" t="str">
        <f>IFERROR(VLOOKUP($C301,'PORTIFÓLIO'!C:V,4,0),"")</f>
        <v/>
      </c>
      <c r="G301" s="215" t="str">
        <f>IFERROR(VLOOKUP($C301,'PORTIFÓLIO'!C:V,5,0),"")</f>
        <v/>
      </c>
      <c r="H301" s="254" t="str">
        <f t="array" ref="H301">IFERROR(INDEX('PORTIFÓLIO'!$H$4:$H$433,MATCH($C301,'PORTIFÓLIO'!$C$4:$C$433,0)),"")</f>
        <v/>
      </c>
      <c r="I301" s="256"/>
      <c r="J301" s="218">
        <f t="shared" si="33"/>
        <v>0</v>
      </c>
      <c r="K301" s="292" t="str">
        <f t="array" ref="K301">IFERROR(I301*INDEX('PORTIFÓLIO'!$S$4:$S$433,MATCH($C301,'PORTIFÓLIO'!$C$4:$C$433,0)),"")</f>
        <v/>
      </c>
      <c r="L301" s="292" t="str">
        <f t="array" ref="L301">IFERROR(J301*INDEX('PORTIFÓLIO'!$S$4:$S$433,MATCH($C301,'PORTIFÓLIO'!$C$4:$C$433,0)),"")</f>
        <v/>
      </c>
      <c r="M301" s="220"/>
      <c r="N301" s="220"/>
      <c r="O301" s="220"/>
      <c r="P301" s="220"/>
      <c r="Q301" s="220"/>
      <c r="R301" s="220"/>
      <c r="S301" s="220"/>
      <c r="T301" s="220"/>
      <c r="U301" s="220"/>
      <c r="V301" s="220"/>
      <c r="W301" s="220"/>
    </row>
    <row r="302" ht="15.75" customHeight="1" outlineLevel="1">
      <c r="A302" s="211"/>
      <c r="B302" s="212"/>
      <c r="C302" s="213"/>
      <c r="D302" s="214" t="str">
        <f>IFERROR(VLOOKUP($C302,'PORTIFÓLIO'!C:V,2,0),"")</f>
        <v/>
      </c>
      <c r="E302" s="211" t="str">
        <f>IFERROR(VLOOKUP($C302,'PORTIFÓLIO'!C:V,3,0),"")</f>
        <v/>
      </c>
      <c r="F302" s="211" t="str">
        <f>IFERROR(VLOOKUP($C302,'PORTIFÓLIO'!C:V,4,0),"")</f>
        <v/>
      </c>
      <c r="G302" s="215" t="str">
        <f>IFERROR(VLOOKUP($C302,'PORTIFÓLIO'!C:V,5,0),"")</f>
        <v/>
      </c>
      <c r="H302" s="254" t="str">
        <f t="array" ref="H302">IFERROR(INDEX('PORTIFÓLIO'!$H$4:$H$433,MATCH($C302,'PORTIFÓLIO'!$C$4:$C$433,0)),"")</f>
        <v/>
      </c>
      <c r="I302" s="256"/>
      <c r="J302" s="218">
        <f t="shared" si="33"/>
        <v>0</v>
      </c>
      <c r="K302" s="292" t="str">
        <f t="array" ref="K302">IFERROR(I302*INDEX('PORTIFÓLIO'!$S$4:$S$433,MATCH($C302,'PORTIFÓLIO'!$C$4:$C$433,0)),"")</f>
        <v/>
      </c>
      <c r="L302" s="292" t="str">
        <f t="array" ref="L302">IFERROR(J302*INDEX('PORTIFÓLIO'!$S$4:$S$433,MATCH($C302,'PORTIFÓLIO'!$C$4:$C$433,0)),"")</f>
        <v/>
      </c>
      <c r="M302" s="220"/>
      <c r="N302" s="220"/>
      <c r="O302" s="220"/>
      <c r="P302" s="220"/>
      <c r="Q302" s="220"/>
      <c r="R302" s="220"/>
      <c r="S302" s="220"/>
      <c r="T302" s="220"/>
      <c r="U302" s="220"/>
      <c r="V302" s="220"/>
      <c r="W302" s="220"/>
    </row>
    <row r="303" ht="15.75" customHeight="1" outlineLevel="1">
      <c r="A303" s="211"/>
      <c r="B303" s="212"/>
      <c r="C303" s="213"/>
      <c r="D303" s="214" t="str">
        <f>IFERROR(VLOOKUP($C303,'PORTIFÓLIO'!C:V,2,0),"")</f>
        <v/>
      </c>
      <c r="E303" s="211" t="str">
        <f>IFERROR(VLOOKUP($C303,'PORTIFÓLIO'!C:V,3,0),"")</f>
        <v/>
      </c>
      <c r="F303" s="211" t="str">
        <f>IFERROR(VLOOKUP($C303,'PORTIFÓLIO'!C:V,4,0),"")</f>
        <v/>
      </c>
      <c r="G303" s="215" t="str">
        <f>IFERROR(VLOOKUP($C303,'PORTIFÓLIO'!C:V,5,0),"")</f>
        <v/>
      </c>
      <c r="H303" s="254" t="str">
        <f t="array" ref="H303">IFERROR(INDEX('PORTIFÓLIO'!$H$4:$H$433,MATCH($C303,'PORTIFÓLIO'!$C$4:$C$433,0)),"")</f>
        <v/>
      </c>
      <c r="I303" s="256"/>
      <c r="J303" s="218">
        <f t="shared" si="33"/>
        <v>0</v>
      </c>
      <c r="K303" s="292" t="str">
        <f t="array" ref="K303">IFERROR(I303*INDEX('PORTIFÓLIO'!$S$4:$S$433,MATCH($C303,'PORTIFÓLIO'!$C$4:$C$433,0)),"")</f>
        <v/>
      </c>
      <c r="L303" s="292" t="str">
        <f t="array" ref="L303">IFERROR(J303*INDEX('PORTIFÓLIO'!$S$4:$S$433,MATCH($C303,'PORTIFÓLIO'!$C$4:$C$433,0)),"")</f>
        <v/>
      </c>
      <c r="M303" s="220"/>
      <c r="N303" s="220"/>
      <c r="O303" s="220"/>
      <c r="P303" s="220"/>
      <c r="Q303" s="220"/>
      <c r="R303" s="220"/>
      <c r="S303" s="220"/>
      <c r="T303" s="220"/>
      <c r="U303" s="220"/>
      <c r="V303" s="220"/>
      <c r="W303" s="220"/>
    </row>
    <row r="304" ht="15.75" customHeight="1" outlineLevel="1">
      <c r="A304" s="211"/>
      <c r="B304" s="212"/>
      <c r="C304" s="213"/>
      <c r="D304" s="214" t="str">
        <f>IFERROR(VLOOKUP($C304,'PORTIFÓLIO'!C:V,2,0),"")</f>
        <v/>
      </c>
      <c r="E304" s="211" t="str">
        <f>IFERROR(VLOOKUP($C304,'PORTIFÓLIO'!C:V,3,0),"")</f>
        <v/>
      </c>
      <c r="F304" s="211" t="str">
        <f>IFERROR(VLOOKUP($C304,'PORTIFÓLIO'!C:V,4,0),"")</f>
        <v/>
      </c>
      <c r="G304" s="215" t="str">
        <f>IFERROR(VLOOKUP($C304,'PORTIFÓLIO'!C:V,5,0),"")</f>
        <v/>
      </c>
      <c r="H304" s="254" t="str">
        <f t="array" ref="H304">IFERROR(INDEX('PORTIFÓLIO'!$H$4:$H$433,MATCH($C304,'PORTIFÓLIO'!$C$4:$C$433,0)),"")</f>
        <v/>
      </c>
      <c r="I304" s="256"/>
      <c r="J304" s="218">
        <f t="shared" si="33"/>
        <v>0</v>
      </c>
      <c r="K304" s="292" t="str">
        <f t="array" ref="K304">IFERROR(I304*INDEX('PORTIFÓLIO'!$S$4:$S$433,MATCH($C304,'PORTIFÓLIO'!$C$4:$C$433,0)),"")</f>
        <v/>
      </c>
      <c r="L304" s="292" t="str">
        <f t="array" ref="L304">IFERROR(J304*INDEX('PORTIFÓLIO'!$S$4:$S$433,MATCH($C304,'PORTIFÓLIO'!$C$4:$C$433,0)),"")</f>
        <v/>
      </c>
      <c r="M304" s="220"/>
      <c r="N304" s="220"/>
      <c r="O304" s="220"/>
      <c r="P304" s="220"/>
      <c r="Q304" s="220"/>
      <c r="R304" s="220"/>
      <c r="S304" s="220"/>
      <c r="T304" s="220"/>
      <c r="U304" s="220"/>
      <c r="V304" s="220"/>
      <c r="W304" s="220"/>
    </row>
    <row r="305" ht="15.75" customHeight="1" outlineLevel="1">
      <c r="A305" s="211"/>
      <c r="B305" s="212"/>
      <c r="C305" s="213"/>
      <c r="D305" s="214" t="str">
        <f>IFERROR(VLOOKUP($C305,'PORTIFÓLIO'!C:V,2,0),"")</f>
        <v/>
      </c>
      <c r="E305" s="211" t="str">
        <f>IFERROR(VLOOKUP($C305,'PORTIFÓLIO'!C:V,3,0),"")</f>
        <v/>
      </c>
      <c r="F305" s="211" t="str">
        <f>IFERROR(VLOOKUP($C305,'PORTIFÓLIO'!C:V,4,0),"")</f>
        <v/>
      </c>
      <c r="G305" s="215" t="str">
        <f>IFERROR(VLOOKUP($C305,'PORTIFÓLIO'!C:V,5,0),"")</f>
        <v/>
      </c>
      <c r="H305" s="254" t="str">
        <f t="array" ref="H305">IFERROR(INDEX('PORTIFÓLIO'!$H$4:$H$433,MATCH($C305,'PORTIFÓLIO'!$C$4:$C$433,0)),"")</f>
        <v/>
      </c>
      <c r="I305" s="256"/>
      <c r="J305" s="218">
        <f t="shared" si="33"/>
        <v>0</v>
      </c>
      <c r="K305" s="292" t="str">
        <f t="array" ref="K305">IFERROR(I305*INDEX('PORTIFÓLIO'!$S$4:$S$433,MATCH($C305,'PORTIFÓLIO'!$C$4:$C$433,0)),"")</f>
        <v/>
      </c>
      <c r="L305" s="292" t="str">
        <f t="array" ref="L305">IFERROR(J305*INDEX('PORTIFÓLIO'!$S$4:$S$433,MATCH($C305,'PORTIFÓLIO'!$C$4:$C$433,0)),"")</f>
        <v/>
      </c>
      <c r="M305" s="220"/>
      <c r="N305" s="220"/>
      <c r="O305" s="220"/>
      <c r="P305" s="220"/>
      <c r="Q305" s="220"/>
      <c r="R305" s="220"/>
      <c r="S305" s="220"/>
      <c r="T305" s="220"/>
      <c r="U305" s="220"/>
      <c r="V305" s="220"/>
      <c r="W305" s="220"/>
    </row>
    <row r="306" ht="15.75" customHeight="1" outlineLevel="1">
      <c r="A306" s="211"/>
      <c r="B306" s="212"/>
      <c r="C306" s="213"/>
      <c r="D306" s="214" t="str">
        <f>IFERROR(VLOOKUP($C306,'PORTIFÓLIO'!C:V,2,0),"")</f>
        <v/>
      </c>
      <c r="E306" s="211" t="str">
        <f>IFERROR(VLOOKUP($C306,'PORTIFÓLIO'!C:V,3,0),"")</f>
        <v/>
      </c>
      <c r="F306" s="211" t="str">
        <f>IFERROR(VLOOKUP($C306,'PORTIFÓLIO'!C:V,4,0),"")</f>
        <v/>
      </c>
      <c r="G306" s="215" t="str">
        <f>IFERROR(VLOOKUP($C306,'PORTIFÓLIO'!C:V,5,0),"")</f>
        <v/>
      </c>
      <c r="H306" s="254" t="str">
        <f t="array" ref="H306">IFERROR(INDEX('PORTIFÓLIO'!$H$4:$H$433,MATCH($C306,'PORTIFÓLIO'!$C$4:$C$433,0)),"")</f>
        <v/>
      </c>
      <c r="I306" s="256"/>
      <c r="J306" s="218">
        <f t="shared" si="33"/>
        <v>0</v>
      </c>
      <c r="K306" s="292" t="str">
        <f t="array" ref="K306">IFERROR(I306*INDEX('PORTIFÓLIO'!$S$4:$S$433,MATCH($C306,'PORTIFÓLIO'!$C$4:$C$433,0)),"")</f>
        <v/>
      </c>
      <c r="L306" s="292" t="str">
        <f t="array" ref="L306">IFERROR(J306*INDEX('PORTIFÓLIO'!$S$4:$S$433,MATCH($C306,'PORTIFÓLIO'!$C$4:$C$433,0)),"")</f>
        <v/>
      </c>
      <c r="M306" s="220"/>
      <c r="N306" s="220"/>
      <c r="O306" s="220"/>
      <c r="P306" s="220"/>
      <c r="Q306" s="220"/>
      <c r="R306" s="220"/>
      <c r="S306" s="220"/>
      <c r="T306" s="220"/>
      <c r="U306" s="220"/>
      <c r="V306" s="220"/>
      <c r="W306" s="220"/>
    </row>
    <row r="307" ht="15.75" customHeight="1" outlineLevel="1">
      <c r="A307" s="211"/>
      <c r="B307" s="212"/>
      <c r="C307" s="213"/>
      <c r="D307" s="214" t="str">
        <f>IFERROR(VLOOKUP($C307,'PORTIFÓLIO'!C:V,2,0),"")</f>
        <v/>
      </c>
      <c r="E307" s="211" t="str">
        <f>IFERROR(VLOOKUP($C307,'PORTIFÓLIO'!C:V,3,0),"")</f>
        <v/>
      </c>
      <c r="F307" s="211" t="str">
        <f>IFERROR(VLOOKUP($C307,'PORTIFÓLIO'!C:V,4,0),"")</f>
        <v/>
      </c>
      <c r="G307" s="215" t="str">
        <f>IFERROR(VLOOKUP($C307,'PORTIFÓLIO'!C:V,5,0),"")</f>
        <v/>
      </c>
      <c r="H307" s="254" t="str">
        <f t="array" ref="H307">IFERROR(INDEX('PORTIFÓLIO'!$H$4:$H$433,MATCH($C307,'PORTIFÓLIO'!$C$4:$C$433,0)),"")</f>
        <v/>
      </c>
      <c r="I307" s="256"/>
      <c r="J307" s="218">
        <f t="shared" si="33"/>
        <v>0</v>
      </c>
      <c r="K307" s="292" t="str">
        <f t="array" ref="K307">IFERROR(I307*INDEX('PORTIFÓLIO'!$S$4:$S$433,MATCH($C307,'PORTIFÓLIO'!$C$4:$C$433,0)),"")</f>
        <v/>
      </c>
      <c r="L307" s="292" t="str">
        <f t="array" ref="L307">IFERROR(J307*INDEX('PORTIFÓLIO'!$S$4:$S$433,MATCH($C307,'PORTIFÓLIO'!$C$4:$C$433,0)),"")</f>
        <v/>
      </c>
      <c r="M307" s="220"/>
      <c r="N307" s="220"/>
      <c r="O307" s="220"/>
      <c r="P307" s="220"/>
      <c r="Q307" s="220"/>
      <c r="R307" s="220"/>
      <c r="S307" s="220"/>
      <c r="T307" s="220"/>
      <c r="U307" s="220"/>
      <c r="V307" s="220"/>
      <c r="W307" s="220"/>
    </row>
    <row r="308" ht="15.75" customHeight="1">
      <c r="A308" s="229" t="s">
        <v>1188</v>
      </c>
      <c r="B308" s="230"/>
      <c r="C308" s="231"/>
      <c r="D308" s="232"/>
      <c r="E308" s="231"/>
      <c r="F308" s="231"/>
      <c r="G308" s="233"/>
      <c r="H308" s="233"/>
      <c r="I308" s="258"/>
      <c r="J308" s="236"/>
      <c r="K308" s="237">
        <f t="shared" ref="K308:L308" si="34">SUBTOTAL(9,K309:K322)</f>
        <v>0</v>
      </c>
      <c r="L308" s="237">
        <f t="shared" si="34"/>
        <v>0</v>
      </c>
      <c r="M308" s="220"/>
      <c r="N308" s="220"/>
      <c r="O308" s="220"/>
      <c r="P308" s="220"/>
      <c r="Q308" s="220"/>
      <c r="R308" s="220"/>
      <c r="S308" s="220"/>
      <c r="T308" s="220"/>
      <c r="U308" s="220"/>
      <c r="V308" s="220"/>
      <c r="W308" s="220"/>
    </row>
    <row r="309" ht="15.75" customHeight="1" outlineLevel="1">
      <c r="A309" s="213"/>
      <c r="B309" s="212"/>
      <c r="C309" s="213"/>
      <c r="D309" s="214" t="str">
        <f>IFERROR(VLOOKUP($C309,'PORTIFÓLIO'!C:V,2,0),"")</f>
        <v/>
      </c>
      <c r="E309" s="211" t="str">
        <f>IFERROR(VLOOKUP($C309,'PORTIFÓLIO'!C:V,3,0),"")</f>
        <v/>
      </c>
      <c r="F309" s="211" t="str">
        <f>IFERROR(VLOOKUP($C309,'PORTIFÓLIO'!C:V,4,0),"")</f>
        <v/>
      </c>
      <c r="G309" s="215" t="str">
        <f>IFERROR(VLOOKUP($C309,'PORTIFÓLIO'!C:V,5,0),"")</f>
        <v/>
      </c>
      <c r="H309" s="254" t="str">
        <f t="array" ref="H309">IFERROR(INDEX('PORTIFÓLIO'!$H$4:$H$433,MATCH($C309,'PORTIFÓLIO'!$C$4:$C$433,0)),"")</f>
        <v/>
      </c>
      <c r="I309" s="255"/>
      <c r="J309" s="218">
        <f t="shared" ref="J309:J323" si="35">I309*$B$2</f>
        <v>0</v>
      </c>
      <c r="K309" s="292" t="str">
        <f t="array" ref="K309">IFERROR(I309*INDEX('PORTIFÓLIO'!$S$4:$S$433,MATCH($C309,'PORTIFÓLIO'!$C$4:$C$433,0)),"")</f>
        <v/>
      </c>
      <c r="L309" s="292" t="str">
        <f t="array" ref="L309">IFERROR(J309*INDEX('PORTIFÓLIO'!$S$4:$S$433,MATCH($C309,'PORTIFÓLIO'!$C$4:$C$433,0)),"")</f>
        <v/>
      </c>
      <c r="M309" s="220"/>
      <c r="N309" s="220"/>
      <c r="O309" s="220"/>
      <c r="P309" s="220"/>
      <c r="Q309" s="220"/>
      <c r="R309" s="220"/>
      <c r="S309" s="220"/>
      <c r="T309" s="220"/>
      <c r="U309" s="220"/>
      <c r="V309" s="220"/>
      <c r="W309" s="220"/>
    </row>
    <row r="310" ht="15.75" customHeight="1" outlineLevel="1">
      <c r="A310" s="211"/>
      <c r="B310" s="212"/>
      <c r="C310" s="213"/>
      <c r="D310" s="214" t="str">
        <f>IFERROR(VLOOKUP($C310,'PORTIFÓLIO'!C:V,2,0),"")</f>
        <v/>
      </c>
      <c r="E310" s="211" t="str">
        <f>IFERROR(VLOOKUP($C310,'PORTIFÓLIO'!C:V,3,0),"")</f>
        <v/>
      </c>
      <c r="F310" s="211" t="str">
        <f>IFERROR(VLOOKUP($C310,'PORTIFÓLIO'!C:V,4,0),"")</f>
        <v/>
      </c>
      <c r="G310" s="215" t="str">
        <f>IFERROR(VLOOKUP($C310,'PORTIFÓLIO'!C:V,5,0),"")</f>
        <v/>
      </c>
      <c r="H310" s="254" t="str">
        <f t="array" ref="H310">IFERROR(INDEX('PORTIFÓLIO'!$H$4:$H$433,MATCH($C310,'PORTIFÓLIO'!$C$4:$C$433,0)),"")</f>
        <v/>
      </c>
      <c r="I310" s="256"/>
      <c r="J310" s="218">
        <f t="shared" si="35"/>
        <v>0</v>
      </c>
      <c r="K310" s="292" t="str">
        <f t="array" ref="K310">IFERROR(I310*INDEX('PORTIFÓLIO'!$S$4:$S$433,MATCH($C310,'PORTIFÓLIO'!$C$4:$C$433,0)),"")</f>
        <v/>
      </c>
      <c r="L310" s="292" t="str">
        <f t="array" ref="L310">IFERROR(J310*INDEX('PORTIFÓLIO'!$S$4:$S$433,MATCH($C310,'PORTIFÓLIO'!$C$4:$C$433,0)),"")</f>
        <v/>
      </c>
      <c r="M310" s="220"/>
      <c r="N310" s="220"/>
      <c r="O310" s="220"/>
      <c r="P310" s="220"/>
      <c r="Q310" s="220"/>
      <c r="R310" s="220"/>
      <c r="S310" s="220"/>
      <c r="T310" s="220"/>
      <c r="U310" s="220"/>
      <c r="V310" s="220"/>
      <c r="W310" s="220"/>
    </row>
    <row r="311" ht="15.75" customHeight="1" outlineLevel="1">
      <c r="A311" s="211"/>
      <c r="B311" s="212"/>
      <c r="C311" s="213"/>
      <c r="D311" s="214" t="str">
        <f>IFERROR(VLOOKUP($C311,'PORTIFÓLIO'!C:V,2,0),"")</f>
        <v/>
      </c>
      <c r="E311" s="211" t="str">
        <f>IFERROR(VLOOKUP($C311,'PORTIFÓLIO'!C:V,3,0),"")</f>
        <v/>
      </c>
      <c r="F311" s="211" t="str">
        <f>IFERROR(VLOOKUP($C311,'PORTIFÓLIO'!C:V,4,0),"")</f>
        <v/>
      </c>
      <c r="G311" s="215" t="str">
        <f>IFERROR(VLOOKUP($C311,'PORTIFÓLIO'!C:V,5,0),"")</f>
        <v/>
      </c>
      <c r="H311" s="254" t="str">
        <f t="array" ref="H311">IFERROR(INDEX('PORTIFÓLIO'!$H$4:$H$433,MATCH($C311,'PORTIFÓLIO'!$C$4:$C$433,0)),"")</f>
        <v/>
      </c>
      <c r="I311" s="256"/>
      <c r="J311" s="218">
        <f t="shared" si="35"/>
        <v>0</v>
      </c>
      <c r="K311" s="292" t="str">
        <f t="array" ref="K311">IFERROR(I311*INDEX('PORTIFÓLIO'!$S$4:$S$433,MATCH($C311,'PORTIFÓLIO'!$C$4:$C$433,0)),"")</f>
        <v/>
      </c>
      <c r="L311" s="292" t="str">
        <f t="array" ref="L311">IFERROR(J311*INDEX('PORTIFÓLIO'!$S$4:$S$433,MATCH($C311,'PORTIFÓLIO'!$C$4:$C$433,0)),"")</f>
        <v/>
      </c>
      <c r="M311" s="220"/>
      <c r="N311" s="220"/>
      <c r="O311" s="220"/>
      <c r="P311" s="220"/>
      <c r="Q311" s="220"/>
      <c r="R311" s="220"/>
      <c r="S311" s="220"/>
      <c r="T311" s="220"/>
      <c r="U311" s="220"/>
      <c r="V311" s="220"/>
      <c r="W311" s="220"/>
    </row>
    <row r="312" ht="15.75" customHeight="1" outlineLevel="1">
      <c r="A312" s="211"/>
      <c r="B312" s="212"/>
      <c r="C312" s="213"/>
      <c r="D312" s="214" t="str">
        <f>IFERROR(VLOOKUP($C312,'PORTIFÓLIO'!C:V,2,0),"")</f>
        <v/>
      </c>
      <c r="E312" s="211" t="str">
        <f>IFERROR(VLOOKUP($C312,'PORTIFÓLIO'!C:V,3,0),"")</f>
        <v/>
      </c>
      <c r="F312" s="211" t="str">
        <f>IFERROR(VLOOKUP($C312,'PORTIFÓLIO'!C:V,4,0),"")</f>
        <v/>
      </c>
      <c r="G312" s="215" t="str">
        <f>IFERROR(VLOOKUP($C312,'PORTIFÓLIO'!C:V,5,0),"")</f>
        <v/>
      </c>
      <c r="H312" s="254" t="str">
        <f t="array" ref="H312">IFERROR(INDEX('PORTIFÓLIO'!$H$4:$H$433,MATCH($C312,'PORTIFÓLIO'!$C$4:$C$433,0)),"")</f>
        <v/>
      </c>
      <c r="I312" s="256"/>
      <c r="J312" s="218">
        <f t="shared" si="35"/>
        <v>0</v>
      </c>
      <c r="K312" s="292" t="str">
        <f t="array" ref="K312">IFERROR(I312*INDEX('PORTIFÓLIO'!$S$4:$S$433,MATCH($C312,'PORTIFÓLIO'!$C$4:$C$433,0)),"")</f>
        <v/>
      </c>
      <c r="L312" s="292" t="str">
        <f t="array" ref="L312">IFERROR(J312*INDEX('PORTIFÓLIO'!$S$4:$S$433,MATCH($C312,'PORTIFÓLIO'!$C$4:$C$433,0)),"")</f>
        <v/>
      </c>
      <c r="M312" s="220"/>
      <c r="N312" s="220"/>
      <c r="O312" s="220"/>
      <c r="P312" s="220"/>
      <c r="Q312" s="220"/>
      <c r="R312" s="220"/>
      <c r="S312" s="220"/>
      <c r="T312" s="220"/>
      <c r="U312" s="220"/>
      <c r="V312" s="220"/>
      <c r="W312" s="220"/>
    </row>
    <row r="313" ht="15.75" customHeight="1" outlineLevel="1">
      <c r="A313" s="211"/>
      <c r="B313" s="212"/>
      <c r="C313" s="213"/>
      <c r="D313" s="214" t="str">
        <f>IFERROR(VLOOKUP($C313,'PORTIFÓLIO'!C:V,2,0),"")</f>
        <v/>
      </c>
      <c r="E313" s="211" t="str">
        <f>IFERROR(VLOOKUP($C313,'PORTIFÓLIO'!C:V,3,0),"")</f>
        <v/>
      </c>
      <c r="F313" s="211" t="str">
        <f>IFERROR(VLOOKUP($C313,'PORTIFÓLIO'!C:V,4,0),"")</f>
        <v/>
      </c>
      <c r="G313" s="215" t="str">
        <f>IFERROR(VLOOKUP($C313,'PORTIFÓLIO'!C:V,5,0),"")</f>
        <v/>
      </c>
      <c r="H313" s="254" t="str">
        <f t="array" ref="H313">IFERROR(INDEX('PORTIFÓLIO'!$H$4:$H$433,MATCH($C313,'PORTIFÓLIO'!$C$4:$C$433,0)),"")</f>
        <v/>
      </c>
      <c r="I313" s="256"/>
      <c r="J313" s="218">
        <f t="shared" si="35"/>
        <v>0</v>
      </c>
      <c r="K313" s="292" t="str">
        <f t="array" ref="K313">IFERROR(I313*INDEX('PORTIFÓLIO'!$S$4:$S$433,MATCH($C313,'PORTIFÓLIO'!$C$4:$C$433,0)),"")</f>
        <v/>
      </c>
      <c r="L313" s="292" t="str">
        <f t="array" ref="L313">IFERROR(J313*INDEX('PORTIFÓLIO'!$S$4:$S$433,MATCH($C313,'PORTIFÓLIO'!$C$4:$C$433,0)),"")</f>
        <v/>
      </c>
      <c r="M313" s="220"/>
      <c r="N313" s="220"/>
      <c r="O313" s="220"/>
      <c r="P313" s="220"/>
      <c r="Q313" s="220"/>
      <c r="R313" s="220"/>
      <c r="S313" s="220"/>
      <c r="T313" s="220"/>
      <c r="U313" s="220"/>
      <c r="V313" s="220"/>
      <c r="W313" s="220"/>
    </row>
    <row r="314" ht="15.75" customHeight="1" outlineLevel="1">
      <c r="A314" s="211"/>
      <c r="B314" s="212"/>
      <c r="C314" s="213"/>
      <c r="D314" s="214" t="str">
        <f>IFERROR(VLOOKUP($C314,'PORTIFÓLIO'!C:V,2,0),"")</f>
        <v/>
      </c>
      <c r="E314" s="211" t="str">
        <f>IFERROR(VLOOKUP($C314,'PORTIFÓLIO'!C:V,3,0),"")</f>
        <v/>
      </c>
      <c r="F314" s="211" t="str">
        <f>IFERROR(VLOOKUP($C314,'PORTIFÓLIO'!C:V,4,0),"")</f>
        <v/>
      </c>
      <c r="G314" s="215" t="str">
        <f>IFERROR(VLOOKUP($C314,'PORTIFÓLIO'!C:V,5,0),"")</f>
        <v/>
      </c>
      <c r="H314" s="254" t="str">
        <f t="array" ref="H314">IFERROR(INDEX('PORTIFÓLIO'!$H$4:$H$433,MATCH($C314,'PORTIFÓLIO'!$C$4:$C$433,0)),"")</f>
        <v/>
      </c>
      <c r="I314" s="256"/>
      <c r="J314" s="218">
        <f t="shared" si="35"/>
        <v>0</v>
      </c>
      <c r="K314" s="292" t="str">
        <f t="array" ref="K314">IFERROR(I314*INDEX('PORTIFÓLIO'!$S$4:$S$433,MATCH($C314,'PORTIFÓLIO'!$C$4:$C$433,0)),"")</f>
        <v/>
      </c>
      <c r="L314" s="292" t="str">
        <f t="array" ref="L314">IFERROR(J314*INDEX('PORTIFÓLIO'!$S$4:$S$433,MATCH($C314,'PORTIFÓLIO'!$C$4:$C$433,0)),"")</f>
        <v/>
      </c>
      <c r="M314" s="220"/>
      <c r="N314" s="220"/>
      <c r="O314" s="220"/>
      <c r="P314" s="220"/>
      <c r="Q314" s="220"/>
      <c r="R314" s="220"/>
      <c r="S314" s="220"/>
      <c r="T314" s="220"/>
      <c r="U314" s="220"/>
      <c r="V314" s="220"/>
      <c r="W314" s="220"/>
    </row>
    <row r="315" ht="15.75" customHeight="1" outlineLevel="1">
      <c r="A315" s="211"/>
      <c r="B315" s="212"/>
      <c r="C315" s="213"/>
      <c r="D315" s="214" t="str">
        <f>IFERROR(VLOOKUP($C315,'PORTIFÓLIO'!C:V,2,0),"")</f>
        <v/>
      </c>
      <c r="E315" s="211" t="str">
        <f>IFERROR(VLOOKUP($C315,'PORTIFÓLIO'!C:V,3,0),"")</f>
        <v/>
      </c>
      <c r="F315" s="211" t="str">
        <f>IFERROR(VLOOKUP($C315,'PORTIFÓLIO'!C:V,4,0),"")</f>
        <v/>
      </c>
      <c r="G315" s="215" t="str">
        <f>IFERROR(VLOOKUP($C315,'PORTIFÓLIO'!C:V,5,0),"")</f>
        <v/>
      </c>
      <c r="H315" s="254" t="str">
        <f t="array" ref="H315">IFERROR(INDEX('PORTIFÓLIO'!$H$4:$H$433,MATCH($C315,'PORTIFÓLIO'!$C$4:$C$433,0)),"")</f>
        <v/>
      </c>
      <c r="I315" s="256"/>
      <c r="J315" s="218">
        <f t="shared" si="35"/>
        <v>0</v>
      </c>
      <c r="K315" s="292" t="str">
        <f t="array" ref="K315">IFERROR(I315*INDEX('PORTIFÓLIO'!$S$4:$S$433,MATCH($C315,'PORTIFÓLIO'!$C$4:$C$433,0)),"")</f>
        <v/>
      </c>
      <c r="L315" s="292" t="str">
        <f t="array" ref="L315">IFERROR(J315*INDEX('PORTIFÓLIO'!$S$4:$S$433,MATCH($C315,'PORTIFÓLIO'!$C$4:$C$433,0)),"")</f>
        <v/>
      </c>
      <c r="M315" s="220"/>
      <c r="N315" s="220"/>
      <c r="O315" s="220"/>
      <c r="P315" s="220"/>
      <c r="Q315" s="220"/>
      <c r="R315" s="220"/>
      <c r="S315" s="220"/>
      <c r="T315" s="220"/>
      <c r="U315" s="220"/>
      <c r="V315" s="220"/>
      <c r="W315" s="220"/>
    </row>
    <row r="316" ht="15.75" customHeight="1" outlineLevel="1">
      <c r="A316" s="211"/>
      <c r="B316" s="212"/>
      <c r="C316" s="213"/>
      <c r="D316" s="214" t="str">
        <f>IFERROR(VLOOKUP($C316,'PORTIFÓLIO'!C:V,2,0),"")</f>
        <v/>
      </c>
      <c r="E316" s="211" t="str">
        <f>IFERROR(VLOOKUP($C316,'PORTIFÓLIO'!C:V,3,0),"")</f>
        <v/>
      </c>
      <c r="F316" s="211" t="str">
        <f>IFERROR(VLOOKUP($C316,'PORTIFÓLIO'!C:V,4,0),"")</f>
        <v/>
      </c>
      <c r="G316" s="215" t="str">
        <f>IFERROR(VLOOKUP($C316,'PORTIFÓLIO'!C:V,5,0),"")</f>
        <v/>
      </c>
      <c r="H316" s="254" t="str">
        <f t="array" ref="H316">IFERROR(INDEX('PORTIFÓLIO'!$H$4:$H$433,MATCH($C316,'PORTIFÓLIO'!$C$4:$C$433,0)),"")</f>
        <v/>
      </c>
      <c r="I316" s="256"/>
      <c r="J316" s="218">
        <f t="shared" si="35"/>
        <v>0</v>
      </c>
      <c r="K316" s="292" t="str">
        <f t="array" ref="K316">IFERROR(I316*INDEX('PORTIFÓLIO'!$S$4:$S$433,MATCH($C316,'PORTIFÓLIO'!$C$4:$C$433,0)),"")</f>
        <v/>
      </c>
      <c r="L316" s="292" t="str">
        <f t="array" ref="L316">IFERROR(J316*INDEX('PORTIFÓLIO'!$S$4:$S$433,MATCH($C316,'PORTIFÓLIO'!$C$4:$C$433,0)),"")</f>
        <v/>
      </c>
      <c r="M316" s="220"/>
      <c r="N316" s="220"/>
      <c r="O316" s="220"/>
      <c r="P316" s="220"/>
      <c r="Q316" s="220"/>
      <c r="R316" s="220"/>
      <c r="S316" s="220"/>
      <c r="T316" s="220"/>
      <c r="U316" s="220"/>
      <c r="V316" s="220"/>
      <c r="W316" s="220"/>
    </row>
    <row r="317" ht="15.75" customHeight="1" outlineLevel="1">
      <c r="A317" s="211"/>
      <c r="B317" s="212"/>
      <c r="C317" s="213"/>
      <c r="D317" s="214" t="str">
        <f>IFERROR(VLOOKUP($C317,'PORTIFÓLIO'!C:V,2,0),"")</f>
        <v/>
      </c>
      <c r="E317" s="211" t="str">
        <f>IFERROR(VLOOKUP($C317,'PORTIFÓLIO'!C:V,3,0),"")</f>
        <v/>
      </c>
      <c r="F317" s="211" t="str">
        <f>IFERROR(VLOOKUP($C317,'PORTIFÓLIO'!C:V,4,0),"")</f>
        <v/>
      </c>
      <c r="G317" s="215" t="str">
        <f>IFERROR(VLOOKUP($C317,'PORTIFÓLIO'!C:V,5,0),"")</f>
        <v/>
      </c>
      <c r="H317" s="254" t="str">
        <f t="array" ref="H317">IFERROR(INDEX('PORTIFÓLIO'!$H$4:$H$433,MATCH($C317,'PORTIFÓLIO'!$C$4:$C$433,0)),"")</f>
        <v/>
      </c>
      <c r="I317" s="255"/>
      <c r="J317" s="218">
        <f t="shared" si="35"/>
        <v>0</v>
      </c>
      <c r="K317" s="292" t="str">
        <f t="array" ref="K317">IFERROR(I317*INDEX('PORTIFÓLIO'!$S$4:$S$433,MATCH($C317,'PORTIFÓLIO'!$C$4:$C$433,0)),"")</f>
        <v/>
      </c>
      <c r="L317" s="292" t="str">
        <f t="array" ref="L317">IFERROR(J317*INDEX('PORTIFÓLIO'!$S$4:$S$433,MATCH($C317,'PORTIFÓLIO'!$C$4:$C$433,0)),"")</f>
        <v/>
      </c>
      <c r="M317" s="220"/>
      <c r="N317" s="220"/>
      <c r="O317" s="220"/>
      <c r="P317" s="220"/>
      <c r="Q317" s="220"/>
      <c r="R317" s="220"/>
      <c r="S317" s="220"/>
      <c r="T317" s="220"/>
      <c r="U317" s="220"/>
      <c r="V317" s="220"/>
      <c r="W317" s="220"/>
    </row>
    <row r="318" ht="15.75" customHeight="1" outlineLevel="1">
      <c r="A318" s="211"/>
      <c r="B318" s="212"/>
      <c r="C318" s="213"/>
      <c r="D318" s="214" t="str">
        <f>IFERROR(VLOOKUP($C318,'PORTIFÓLIO'!C:V,2,0),"")</f>
        <v/>
      </c>
      <c r="E318" s="211" t="str">
        <f>IFERROR(VLOOKUP($C318,'PORTIFÓLIO'!C:V,3,0),"")</f>
        <v/>
      </c>
      <c r="F318" s="211" t="str">
        <f>IFERROR(VLOOKUP($C318,'PORTIFÓLIO'!C:V,4,0),"")</f>
        <v/>
      </c>
      <c r="G318" s="215" t="str">
        <f>IFERROR(VLOOKUP($C318,'PORTIFÓLIO'!C:V,5,0),"")</f>
        <v/>
      </c>
      <c r="H318" s="254" t="str">
        <f t="array" ref="H318">IFERROR(INDEX('PORTIFÓLIO'!$H$4:$H$433,MATCH($C318,'PORTIFÓLIO'!$C$4:$C$433,0)),"")</f>
        <v/>
      </c>
      <c r="I318" s="256"/>
      <c r="J318" s="218">
        <f t="shared" si="35"/>
        <v>0</v>
      </c>
      <c r="K318" s="292" t="str">
        <f t="array" ref="K318">IFERROR(I318*INDEX('PORTIFÓLIO'!$S$4:$S$433,MATCH($C318,'PORTIFÓLIO'!$C$4:$C$433,0)),"")</f>
        <v/>
      </c>
      <c r="L318" s="292" t="str">
        <f t="array" ref="L318">IFERROR(J318*INDEX('PORTIFÓLIO'!$S$4:$S$433,MATCH($C318,'PORTIFÓLIO'!$C$4:$C$433,0)),"")</f>
        <v/>
      </c>
      <c r="M318" s="220"/>
      <c r="N318" s="220"/>
      <c r="O318" s="220"/>
      <c r="P318" s="220"/>
      <c r="Q318" s="220"/>
      <c r="R318" s="220"/>
      <c r="S318" s="220"/>
      <c r="T318" s="220"/>
      <c r="U318" s="220"/>
      <c r="V318" s="220"/>
      <c r="W318" s="220"/>
    </row>
    <row r="319" ht="15.75" customHeight="1" outlineLevel="1">
      <c r="A319" s="211"/>
      <c r="B319" s="212"/>
      <c r="C319" s="213"/>
      <c r="D319" s="214" t="str">
        <f>IFERROR(VLOOKUP($C319,'PORTIFÓLIO'!C:V,2,0),"")</f>
        <v/>
      </c>
      <c r="E319" s="211" t="str">
        <f>IFERROR(VLOOKUP($C319,'PORTIFÓLIO'!C:V,3,0),"")</f>
        <v/>
      </c>
      <c r="F319" s="211" t="str">
        <f>IFERROR(VLOOKUP($C319,'PORTIFÓLIO'!C:V,4,0),"")</f>
        <v/>
      </c>
      <c r="G319" s="215" t="str">
        <f>IFERROR(VLOOKUP($C319,'PORTIFÓLIO'!C:V,5,0),"")</f>
        <v/>
      </c>
      <c r="H319" s="254" t="str">
        <f t="array" ref="H319">IFERROR(INDEX('PORTIFÓLIO'!$H$4:$H$433,MATCH($C319,'PORTIFÓLIO'!$C$4:$C$433,0)),"")</f>
        <v/>
      </c>
      <c r="I319" s="256"/>
      <c r="J319" s="218">
        <f t="shared" si="35"/>
        <v>0</v>
      </c>
      <c r="K319" s="292" t="str">
        <f t="array" ref="K319">IFERROR(I319*INDEX('PORTIFÓLIO'!$S$4:$S$433,MATCH($C319,'PORTIFÓLIO'!$C$4:$C$433,0)),"")</f>
        <v/>
      </c>
      <c r="L319" s="292" t="str">
        <f t="array" ref="L319">IFERROR(J319*INDEX('PORTIFÓLIO'!$S$4:$S$433,MATCH($C319,'PORTIFÓLIO'!$C$4:$C$433,0)),"")</f>
        <v/>
      </c>
      <c r="M319" s="220"/>
      <c r="N319" s="220"/>
      <c r="O319" s="220"/>
      <c r="P319" s="220"/>
      <c r="Q319" s="220"/>
      <c r="R319" s="220"/>
      <c r="S319" s="220"/>
      <c r="T319" s="220"/>
      <c r="U319" s="220"/>
      <c r="V319" s="220"/>
      <c r="W319" s="220"/>
    </row>
    <row r="320" ht="15.75" customHeight="1" outlineLevel="1">
      <c r="A320" s="211"/>
      <c r="B320" s="212"/>
      <c r="C320" s="213"/>
      <c r="D320" s="214" t="str">
        <f>IFERROR(VLOOKUP($C320,'PORTIFÓLIO'!C:V,2,0),"")</f>
        <v/>
      </c>
      <c r="E320" s="211" t="str">
        <f>IFERROR(VLOOKUP($C320,'PORTIFÓLIO'!C:V,3,0),"")</f>
        <v/>
      </c>
      <c r="F320" s="211" t="str">
        <f>IFERROR(VLOOKUP($C320,'PORTIFÓLIO'!C:V,4,0),"")</f>
        <v/>
      </c>
      <c r="G320" s="215" t="str">
        <f>IFERROR(VLOOKUP($C320,'PORTIFÓLIO'!C:V,5,0),"")</f>
        <v/>
      </c>
      <c r="H320" s="254" t="str">
        <f t="array" ref="H320">IFERROR(INDEX('PORTIFÓLIO'!$H$4:$H$433,MATCH($C320,'PORTIFÓLIO'!$C$4:$C$433,0)),"")</f>
        <v/>
      </c>
      <c r="I320" s="256"/>
      <c r="J320" s="218">
        <f t="shared" si="35"/>
        <v>0</v>
      </c>
      <c r="K320" s="292" t="str">
        <f t="array" ref="K320">IFERROR(I320*INDEX('PORTIFÓLIO'!$S$4:$S$433,MATCH($C320,'PORTIFÓLIO'!$C$4:$C$433,0)),"")</f>
        <v/>
      </c>
      <c r="L320" s="292" t="str">
        <f t="array" ref="L320">IFERROR(J320*INDEX('PORTIFÓLIO'!$S$4:$S$433,MATCH($C320,'PORTIFÓLIO'!$C$4:$C$433,0)),"")</f>
        <v/>
      </c>
      <c r="M320" s="220"/>
      <c r="N320" s="220"/>
      <c r="O320" s="220"/>
      <c r="P320" s="220"/>
      <c r="Q320" s="220"/>
      <c r="R320" s="220"/>
      <c r="S320" s="220"/>
      <c r="T320" s="220"/>
      <c r="U320" s="220"/>
      <c r="V320" s="220"/>
      <c r="W320" s="220"/>
    </row>
    <row r="321" ht="15.75" customHeight="1" outlineLevel="1">
      <c r="A321" s="211"/>
      <c r="B321" s="212"/>
      <c r="C321" s="213"/>
      <c r="D321" s="214" t="str">
        <f>IFERROR(VLOOKUP($C321,'PORTIFÓLIO'!C:V,2,0),"")</f>
        <v/>
      </c>
      <c r="E321" s="211" t="str">
        <f>IFERROR(VLOOKUP($C321,'PORTIFÓLIO'!C:V,3,0),"")</f>
        <v/>
      </c>
      <c r="F321" s="211" t="str">
        <f>IFERROR(VLOOKUP($C321,'PORTIFÓLIO'!C:V,4,0),"")</f>
        <v/>
      </c>
      <c r="G321" s="215" t="str">
        <f>IFERROR(VLOOKUP($C321,'PORTIFÓLIO'!C:V,5,0),"")</f>
        <v/>
      </c>
      <c r="H321" s="254" t="str">
        <f t="array" ref="H321">IFERROR(INDEX('PORTIFÓLIO'!$H$4:$H$433,MATCH($C321,'PORTIFÓLIO'!$C$4:$C$433,0)),"")</f>
        <v/>
      </c>
      <c r="I321" s="256"/>
      <c r="J321" s="218">
        <f t="shared" si="35"/>
        <v>0</v>
      </c>
      <c r="K321" s="292" t="str">
        <f t="array" ref="K321">IFERROR(I321*INDEX('PORTIFÓLIO'!$S$4:$S$433,MATCH($C321,'PORTIFÓLIO'!$C$4:$C$433,0)),"")</f>
        <v/>
      </c>
      <c r="L321" s="292" t="str">
        <f t="array" ref="L321">IFERROR(J321*INDEX('PORTIFÓLIO'!$S$4:$S$433,MATCH($C321,'PORTIFÓLIO'!$C$4:$C$433,0)),"")</f>
        <v/>
      </c>
      <c r="M321" s="220"/>
      <c r="N321" s="220"/>
      <c r="O321" s="220"/>
      <c r="P321" s="220"/>
      <c r="Q321" s="220"/>
      <c r="R321" s="220"/>
      <c r="S321" s="220"/>
      <c r="T321" s="220"/>
      <c r="U321" s="220"/>
      <c r="V321" s="220"/>
      <c r="W321" s="220"/>
    </row>
    <row r="322" ht="15.75" customHeight="1" outlineLevel="1">
      <c r="A322" s="211"/>
      <c r="B322" s="212"/>
      <c r="C322" s="213"/>
      <c r="D322" s="214" t="str">
        <f>IFERROR(VLOOKUP($C322,'PORTIFÓLIO'!C:V,2,0),"")</f>
        <v/>
      </c>
      <c r="E322" s="211" t="str">
        <f>IFERROR(VLOOKUP($C322,'PORTIFÓLIO'!C:V,3,0),"")</f>
        <v/>
      </c>
      <c r="F322" s="211" t="str">
        <f>IFERROR(VLOOKUP($C322,'PORTIFÓLIO'!C:V,4,0),"")</f>
        <v/>
      </c>
      <c r="G322" s="215" t="str">
        <f>IFERROR(VLOOKUP($C322,'PORTIFÓLIO'!C:V,5,0),"")</f>
        <v/>
      </c>
      <c r="H322" s="254" t="str">
        <f t="array" ref="H322">IFERROR(INDEX('PORTIFÓLIO'!$H$4:$H$433,MATCH($C322,'PORTIFÓLIO'!$C$4:$C$433,0)),"")</f>
        <v/>
      </c>
      <c r="I322" s="256"/>
      <c r="J322" s="218">
        <f t="shared" si="35"/>
        <v>0</v>
      </c>
      <c r="K322" s="292" t="str">
        <f t="array" ref="K322">IFERROR(I322*INDEX('PORTIFÓLIO'!$S$4:$S$433,MATCH($C322,'PORTIFÓLIO'!$C$4:$C$433,0)),"")</f>
        <v/>
      </c>
      <c r="L322" s="292" t="str">
        <f t="array" ref="L322">IFERROR(J322*INDEX('PORTIFÓLIO'!$S$4:$S$433,MATCH($C322,'PORTIFÓLIO'!$C$4:$C$433,0)),"")</f>
        <v/>
      </c>
      <c r="M322" s="220"/>
      <c r="N322" s="220"/>
      <c r="O322" s="220"/>
      <c r="P322" s="220"/>
      <c r="Q322" s="220"/>
      <c r="R322" s="220"/>
      <c r="S322" s="220"/>
      <c r="T322" s="220"/>
      <c r="U322" s="220"/>
      <c r="V322" s="220"/>
      <c r="W322" s="220"/>
    </row>
    <row r="323" ht="15.75" customHeight="1" outlineLevel="1">
      <c r="A323" s="211"/>
      <c r="B323" s="212"/>
      <c r="C323" s="213"/>
      <c r="D323" s="214" t="str">
        <f>IFERROR(VLOOKUP($C323,'PORTIFÓLIO'!C:V,2,0),"")</f>
        <v/>
      </c>
      <c r="E323" s="211" t="str">
        <f>IFERROR(VLOOKUP($C323,'PORTIFÓLIO'!C:V,3,0),"")</f>
        <v/>
      </c>
      <c r="F323" s="211" t="str">
        <f>IFERROR(VLOOKUP($C323,'PORTIFÓLIO'!C:V,4,0),"")</f>
        <v/>
      </c>
      <c r="G323" s="215" t="str">
        <f>IFERROR(VLOOKUP($C323,'PORTIFÓLIO'!C:V,5,0),"")</f>
        <v/>
      </c>
      <c r="H323" s="254" t="str">
        <f t="array" ref="H323">IFERROR(INDEX('PORTIFÓLIO'!$H$4:$H$433,MATCH($C323,'PORTIFÓLIO'!$C$4:$C$433,0)),"")</f>
        <v/>
      </c>
      <c r="I323" s="256"/>
      <c r="J323" s="218">
        <f t="shared" si="35"/>
        <v>0</v>
      </c>
      <c r="K323" s="292" t="str">
        <f t="array" ref="K323">IFERROR(I323*INDEX('PORTIFÓLIO'!$S$4:$S$433,MATCH($C323,'PORTIFÓLIO'!$C$4:$C$433,0)),"")</f>
        <v/>
      </c>
      <c r="L323" s="292" t="str">
        <f t="array" ref="L323">IFERROR(J323*INDEX('PORTIFÓLIO'!$S$4:$S$433,MATCH($C323,'PORTIFÓLIO'!$C$4:$C$433,0)),"")</f>
        <v/>
      </c>
      <c r="M323" s="220"/>
      <c r="N323" s="220"/>
      <c r="O323" s="220"/>
      <c r="P323" s="220"/>
      <c r="Q323" s="220"/>
      <c r="R323" s="220"/>
      <c r="S323" s="220"/>
      <c r="T323" s="220"/>
      <c r="U323" s="220"/>
      <c r="V323" s="220"/>
      <c r="W323" s="220"/>
    </row>
    <row r="324" ht="15.75" customHeight="1">
      <c r="A324" s="229" t="s">
        <v>1189</v>
      </c>
      <c r="B324" s="230"/>
      <c r="C324" s="231"/>
      <c r="D324" s="232"/>
      <c r="E324" s="231"/>
      <c r="F324" s="231"/>
      <c r="G324" s="233"/>
      <c r="H324" s="233"/>
      <c r="I324" s="258"/>
      <c r="J324" s="236"/>
      <c r="K324" s="237">
        <f t="shared" ref="K324:L324" si="36">SUBTOTAL(9,K325:K338)</f>
        <v>0</v>
      </c>
      <c r="L324" s="237">
        <f t="shared" si="36"/>
        <v>0</v>
      </c>
      <c r="M324" s="220"/>
      <c r="N324" s="220"/>
      <c r="O324" s="220"/>
      <c r="P324" s="220"/>
      <c r="Q324" s="220"/>
      <c r="R324" s="220"/>
      <c r="S324" s="220"/>
      <c r="T324" s="220"/>
      <c r="U324" s="220"/>
      <c r="V324" s="220"/>
      <c r="W324" s="220"/>
    </row>
    <row r="325" ht="15.75" customHeight="1" outlineLevel="1">
      <c r="A325" s="213"/>
      <c r="B325" s="212"/>
      <c r="C325" s="213"/>
      <c r="D325" s="214" t="str">
        <f>IFERROR(VLOOKUP($C325,'PORTIFÓLIO'!C:V,2,0),"")</f>
        <v/>
      </c>
      <c r="E325" s="211" t="str">
        <f>IFERROR(VLOOKUP($C325,'PORTIFÓLIO'!C:V,3,0),"")</f>
        <v/>
      </c>
      <c r="F325" s="211" t="str">
        <f>IFERROR(VLOOKUP($C325,'PORTIFÓLIO'!C:V,4,0),"")</f>
        <v/>
      </c>
      <c r="G325" s="215" t="str">
        <f>IFERROR(VLOOKUP($C325,'PORTIFÓLIO'!C:V,5,0),"")</f>
        <v/>
      </c>
      <c r="H325" s="254" t="str">
        <f t="array" ref="H325">IFERROR(INDEX('PORTIFÓLIO'!$H$4:$H$433,MATCH($C325,'PORTIFÓLIO'!$C$4:$C$433,0)),"")</f>
        <v/>
      </c>
      <c r="I325" s="255"/>
      <c r="J325" s="218">
        <f t="shared" ref="J325:J339" si="37">I325*$B$2</f>
        <v>0</v>
      </c>
      <c r="K325" s="292" t="str">
        <f t="array" ref="K325">IFERROR(I325*INDEX('PORTIFÓLIO'!$S$4:$S$433,MATCH($C325,'PORTIFÓLIO'!$C$4:$C$433,0)),"")</f>
        <v/>
      </c>
      <c r="L325" s="292" t="str">
        <f t="array" ref="L325">IFERROR(J325*INDEX('PORTIFÓLIO'!$S$4:$S$433,MATCH($C325,'PORTIFÓLIO'!$C$4:$C$433,0)),"")</f>
        <v/>
      </c>
      <c r="M325" s="220"/>
      <c r="N325" s="220"/>
      <c r="O325" s="220"/>
      <c r="P325" s="220"/>
      <c r="Q325" s="220"/>
      <c r="R325" s="220"/>
      <c r="S325" s="220"/>
      <c r="T325" s="220"/>
      <c r="U325" s="220"/>
      <c r="V325" s="220"/>
      <c r="W325" s="220"/>
    </row>
    <row r="326" ht="15.75" customHeight="1" outlineLevel="1">
      <c r="A326" s="211"/>
      <c r="B326" s="212"/>
      <c r="C326" s="213"/>
      <c r="D326" s="214" t="str">
        <f>IFERROR(VLOOKUP($C326,'PORTIFÓLIO'!C:V,2,0),"")</f>
        <v/>
      </c>
      <c r="E326" s="211" t="str">
        <f>IFERROR(VLOOKUP($C326,'PORTIFÓLIO'!C:V,3,0),"")</f>
        <v/>
      </c>
      <c r="F326" s="211" t="str">
        <f>IFERROR(VLOOKUP($C326,'PORTIFÓLIO'!C:V,4,0),"")</f>
        <v/>
      </c>
      <c r="G326" s="215" t="str">
        <f>IFERROR(VLOOKUP($C326,'PORTIFÓLIO'!C:V,5,0),"")</f>
        <v/>
      </c>
      <c r="H326" s="254" t="str">
        <f t="array" ref="H326">IFERROR(INDEX('PORTIFÓLIO'!$H$4:$H$433,MATCH($C326,'PORTIFÓLIO'!$C$4:$C$433,0)),"")</f>
        <v/>
      </c>
      <c r="I326" s="256"/>
      <c r="J326" s="218">
        <f t="shared" si="37"/>
        <v>0</v>
      </c>
      <c r="K326" s="292" t="str">
        <f t="array" ref="K326">IFERROR(I326*INDEX('PORTIFÓLIO'!$S$4:$S$433,MATCH($C326,'PORTIFÓLIO'!$C$4:$C$433,0)),"")</f>
        <v/>
      </c>
      <c r="L326" s="292" t="str">
        <f t="array" ref="L326">IFERROR(J326*INDEX('PORTIFÓLIO'!$S$4:$S$433,MATCH($C326,'PORTIFÓLIO'!$C$4:$C$433,0)),"")</f>
        <v/>
      </c>
      <c r="M326" s="220"/>
      <c r="N326" s="220"/>
      <c r="O326" s="220"/>
      <c r="P326" s="220"/>
      <c r="Q326" s="220"/>
      <c r="R326" s="220"/>
      <c r="S326" s="220"/>
      <c r="T326" s="220"/>
      <c r="U326" s="220"/>
      <c r="V326" s="220"/>
      <c r="W326" s="220"/>
    </row>
    <row r="327" ht="15.75" customHeight="1" outlineLevel="1">
      <c r="A327" s="211"/>
      <c r="B327" s="212"/>
      <c r="C327" s="213"/>
      <c r="D327" s="214" t="str">
        <f>IFERROR(VLOOKUP($C327,'PORTIFÓLIO'!C:V,2,0),"")</f>
        <v/>
      </c>
      <c r="E327" s="211" t="str">
        <f>IFERROR(VLOOKUP($C327,'PORTIFÓLIO'!C:V,3,0),"")</f>
        <v/>
      </c>
      <c r="F327" s="211" t="str">
        <f>IFERROR(VLOOKUP($C327,'PORTIFÓLIO'!C:V,4,0),"")</f>
        <v/>
      </c>
      <c r="G327" s="215" t="str">
        <f>IFERROR(VLOOKUP($C327,'PORTIFÓLIO'!C:V,5,0),"")</f>
        <v/>
      </c>
      <c r="H327" s="254" t="str">
        <f t="array" ref="H327">IFERROR(INDEX('PORTIFÓLIO'!$H$4:$H$433,MATCH($C327,'PORTIFÓLIO'!$C$4:$C$433,0)),"")</f>
        <v/>
      </c>
      <c r="I327" s="256"/>
      <c r="J327" s="218">
        <f t="shared" si="37"/>
        <v>0</v>
      </c>
      <c r="K327" s="292" t="str">
        <f t="array" ref="K327">IFERROR(I327*INDEX('PORTIFÓLIO'!$S$4:$S$433,MATCH($C327,'PORTIFÓLIO'!$C$4:$C$433,0)),"")</f>
        <v/>
      </c>
      <c r="L327" s="292" t="str">
        <f t="array" ref="L327">IFERROR(J327*INDEX('PORTIFÓLIO'!$S$4:$S$433,MATCH($C327,'PORTIFÓLIO'!$C$4:$C$433,0)),"")</f>
        <v/>
      </c>
      <c r="M327" s="220"/>
      <c r="N327" s="220"/>
      <c r="O327" s="220"/>
      <c r="P327" s="220"/>
      <c r="Q327" s="220"/>
      <c r="R327" s="220"/>
      <c r="S327" s="220"/>
      <c r="T327" s="220"/>
      <c r="U327" s="220"/>
      <c r="V327" s="220"/>
      <c r="W327" s="220"/>
    </row>
    <row r="328" ht="15.75" customHeight="1" outlineLevel="1">
      <c r="A328" s="211"/>
      <c r="B328" s="212"/>
      <c r="C328" s="213"/>
      <c r="D328" s="214" t="str">
        <f>IFERROR(VLOOKUP($C328,'PORTIFÓLIO'!C:V,2,0),"")</f>
        <v/>
      </c>
      <c r="E328" s="211" t="str">
        <f>IFERROR(VLOOKUP($C328,'PORTIFÓLIO'!C:V,3,0),"")</f>
        <v/>
      </c>
      <c r="F328" s="211" t="str">
        <f>IFERROR(VLOOKUP($C328,'PORTIFÓLIO'!C:V,4,0),"")</f>
        <v/>
      </c>
      <c r="G328" s="215" t="str">
        <f>IFERROR(VLOOKUP($C328,'PORTIFÓLIO'!C:V,5,0),"")</f>
        <v/>
      </c>
      <c r="H328" s="254" t="str">
        <f t="array" ref="H328">IFERROR(INDEX('PORTIFÓLIO'!$H$4:$H$433,MATCH($C328,'PORTIFÓLIO'!$C$4:$C$433,0)),"")</f>
        <v/>
      </c>
      <c r="I328" s="256"/>
      <c r="J328" s="218">
        <f t="shared" si="37"/>
        <v>0</v>
      </c>
      <c r="K328" s="292" t="str">
        <f t="array" ref="K328">IFERROR(I328*INDEX('PORTIFÓLIO'!$S$4:$S$433,MATCH($C328,'PORTIFÓLIO'!$C$4:$C$433,0)),"")</f>
        <v/>
      </c>
      <c r="L328" s="292" t="str">
        <f t="array" ref="L328">IFERROR(J328*INDEX('PORTIFÓLIO'!$S$4:$S$433,MATCH($C328,'PORTIFÓLIO'!$C$4:$C$433,0)),"")</f>
        <v/>
      </c>
      <c r="M328" s="220"/>
      <c r="N328" s="220"/>
      <c r="O328" s="220"/>
      <c r="P328" s="220"/>
      <c r="Q328" s="220"/>
      <c r="R328" s="220"/>
      <c r="S328" s="220"/>
      <c r="T328" s="220"/>
      <c r="U328" s="220"/>
      <c r="V328" s="220"/>
      <c r="W328" s="220"/>
    </row>
    <row r="329" ht="15.75" customHeight="1" outlineLevel="1">
      <c r="A329" s="211"/>
      <c r="B329" s="212"/>
      <c r="C329" s="213"/>
      <c r="D329" s="214" t="str">
        <f>IFERROR(VLOOKUP($C329,'PORTIFÓLIO'!C:V,2,0),"")</f>
        <v/>
      </c>
      <c r="E329" s="211" t="str">
        <f>IFERROR(VLOOKUP($C329,'PORTIFÓLIO'!C:V,3,0),"")</f>
        <v/>
      </c>
      <c r="F329" s="211" t="str">
        <f>IFERROR(VLOOKUP($C329,'PORTIFÓLIO'!C:V,4,0),"")</f>
        <v/>
      </c>
      <c r="G329" s="215" t="str">
        <f>IFERROR(VLOOKUP($C329,'PORTIFÓLIO'!C:V,5,0),"")</f>
        <v/>
      </c>
      <c r="H329" s="254" t="str">
        <f t="array" ref="H329">IFERROR(INDEX('PORTIFÓLIO'!$H$4:$H$433,MATCH($C329,'PORTIFÓLIO'!$C$4:$C$433,0)),"")</f>
        <v/>
      </c>
      <c r="I329" s="256"/>
      <c r="J329" s="218">
        <f t="shared" si="37"/>
        <v>0</v>
      </c>
      <c r="K329" s="292" t="str">
        <f t="array" ref="K329">IFERROR(I329*INDEX('PORTIFÓLIO'!$S$4:$S$433,MATCH($C329,'PORTIFÓLIO'!$C$4:$C$433,0)),"")</f>
        <v/>
      </c>
      <c r="L329" s="292" t="str">
        <f t="array" ref="L329">IFERROR(J329*INDEX('PORTIFÓLIO'!$S$4:$S$433,MATCH($C329,'PORTIFÓLIO'!$C$4:$C$433,0)),"")</f>
        <v/>
      </c>
      <c r="M329" s="220"/>
      <c r="N329" s="220"/>
      <c r="O329" s="220"/>
      <c r="P329" s="220"/>
      <c r="Q329" s="220"/>
      <c r="R329" s="220"/>
      <c r="S329" s="220"/>
      <c r="T329" s="220"/>
      <c r="U329" s="220"/>
      <c r="V329" s="220"/>
      <c r="W329" s="220"/>
    </row>
    <row r="330" ht="15.75" customHeight="1" outlineLevel="1">
      <c r="A330" s="211"/>
      <c r="B330" s="212"/>
      <c r="C330" s="213"/>
      <c r="D330" s="214" t="str">
        <f>IFERROR(VLOOKUP($C330,'PORTIFÓLIO'!C:V,2,0),"")</f>
        <v/>
      </c>
      <c r="E330" s="211" t="str">
        <f>IFERROR(VLOOKUP($C330,'PORTIFÓLIO'!C:V,3,0),"")</f>
        <v/>
      </c>
      <c r="F330" s="211" t="str">
        <f>IFERROR(VLOOKUP($C330,'PORTIFÓLIO'!C:V,4,0),"")</f>
        <v/>
      </c>
      <c r="G330" s="215" t="str">
        <f>IFERROR(VLOOKUP($C330,'PORTIFÓLIO'!C:V,5,0),"")</f>
        <v/>
      </c>
      <c r="H330" s="254" t="str">
        <f t="array" ref="H330">IFERROR(INDEX('PORTIFÓLIO'!$H$4:$H$433,MATCH($C330,'PORTIFÓLIO'!$C$4:$C$433,0)),"")</f>
        <v/>
      </c>
      <c r="I330" s="256"/>
      <c r="J330" s="218">
        <f t="shared" si="37"/>
        <v>0</v>
      </c>
      <c r="K330" s="292" t="str">
        <f t="array" ref="K330">IFERROR(I330*INDEX('PORTIFÓLIO'!$S$4:$S$433,MATCH($C330,'PORTIFÓLIO'!$C$4:$C$433,0)),"")</f>
        <v/>
      </c>
      <c r="L330" s="292" t="str">
        <f t="array" ref="L330">IFERROR(J330*INDEX('PORTIFÓLIO'!$S$4:$S$433,MATCH($C330,'PORTIFÓLIO'!$C$4:$C$433,0)),"")</f>
        <v/>
      </c>
      <c r="M330" s="220"/>
      <c r="N330" s="220"/>
      <c r="O330" s="220"/>
      <c r="P330" s="220"/>
      <c r="Q330" s="220"/>
      <c r="R330" s="220"/>
      <c r="S330" s="220"/>
      <c r="T330" s="220"/>
      <c r="U330" s="220"/>
      <c r="V330" s="220"/>
      <c r="W330" s="220"/>
    </row>
    <row r="331" ht="15.75" customHeight="1" outlineLevel="1">
      <c r="A331" s="211"/>
      <c r="B331" s="212"/>
      <c r="C331" s="213"/>
      <c r="D331" s="214" t="str">
        <f>IFERROR(VLOOKUP($C331,'PORTIFÓLIO'!C:V,2,0),"")</f>
        <v/>
      </c>
      <c r="E331" s="211" t="str">
        <f>IFERROR(VLOOKUP($C331,'PORTIFÓLIO'!C:V,3,0),"")</f>
        <v/>
      </c>
      <c r="F331" s="211" t="str">
        <f>IFERROR(VLOOKUP($C331,'PORTIFÓLIO'!C:V,4,0),"")</f>
        <v/>
      </c>
      <c r="G331" s="215" t="str">
        <f>IFERROR(VLOOKUP($C331,'PORTIFÓLIO'!C:V,5,0),"")</f>
        <v/>
      </c>
      <c r="H331" s="254" t="str">
        <f t="array" ref="H331">IFERROR(INDEX('PORTIFÓLIO'!$H$4:$H$433,MATCH($C331,'PORTIFÓLIO'!$C$4:$C$433,0)),"")</f>
        <v/>
      </c>
      <c r="I331" s="256"/>
      <c r="J331" s="218">
        <f t="shared" si="37"/>
        <v>0</v>
      </c>
      <c r="K331" s="292" t="str">
        <f t="array" ref="K331">IFERROR(I331*INDEX('PORTIFÓLIO'!$S$4:$S$433,MATCH($C331,'PORTIFÓLIO'!$C$4:$C$433,0)),"")</f>
        <v/>
      </c>
      <c r="L331" s="292" t="str">
        <f t="array" ref="L331">IFERROR(J331*INDEX('PORTIFÓLIO'!$S$4:$S$433,MATCH($C331,'PORTIFÓLIO'!$C$4:$C$433,0)),"")</f>
        <v/>
      </c>
      <c r="M331" s="220"/>
      <c r="N331" s="220"/>
      <c r="O331" s="220"/>
      <c r="P331" s="220"/>
      <c r="Q331" s="220"/>
      <c r="R331" s="220"/>
      <c r="S331" s="220"/>
      <c r="T331" s="220"/>
      <c r="U331" s="220"/>
      <c r="V331" s="220"/>
      <c r="W331" s="220"/>
    </row>
    <row r="332" ht="15.75" customHeight="1" outlineLevel="1">
      <c r="A332" s="211"/>
      <c r="B332" s="212"/>
      <c r="C332" s="213"/>
      <c r="D332" s="214" t="str">
        <f>IFERROR(VLOOKUP($C332,'PORTIFÓLIO'!C:V,2,0),"")</f>
        <v/>
      </c>
      <c r="E332" s="211" t="str">
        <f>IFERROR(VLOOKUP($C332,'PORTIFÓLIO'!C:V,3,0),"")</f>
        <v/>
      </c>
      <c r="F332" s="211" t="str">
        <f>IFERROR(VLOOKUP($C332,'PORTIFÓLIO'!C:V,4,0),"")</f>
        <v/>
      </c>
      <c r="G332" s="215" t="str">
        <f>IFERROR(VLOOKUP($C332,'PORTIFÓLIO'!C:V,5,0),"")</f>
        <v/>
      </c>
      <c r="H332" s="254" t="str">
        <f t="array" ref="H332">IFERROR(INDEX('PORTIFÓLIO'!$H$4:$H$433,MATCH($C332,'PORTIFÓLIO'!$C$4:$C$433,0)),"")</f>
        <v/>
      </c>
      <c r="I332" s="256"/>
      <c r="J332" s="218">
        <f t="shared" si="37"/>
        <v>0</v>
      </c>
      <c r="K332" s="292" t="str">
        <f t="array" ref="K332">IFERROR(I332*INDEX('PORTIFÓLIO'!$S$4:$S$433,MATCH($C332,'PORTIFÓLIO'!$C$4:$C$433,0)),"")</f>
        <v/>
      </c>
      <c r="L332" s="292" t="str">
        <f t="array" ref="L332">IFERROR(J332*INDEX('PORTIFÓLIO'!$S$4:$S$433,MATCH($C332,'PORTIFÓLIO'!$C$4:$C$433,0)),"")</f>
        <v/>
      </c>
      <c r="M332" s="220"/>
      <c r="N332" s="220"/>
      <c r="O332" s="220"/>
      <c r="P332" s="220"/>
      <c r="Q332" s="220"/>
      <c r="R332" s="220"/>
      <c r="S332" s="220"/>
      <c r="T332" s="220"/>
      <c r="U332" s="220"/>
      <c r="V332" s="220"/>
      <c r="W332" s="220"/>
    </row>
    <row r="333" ht="15.75" customHeight="1" outlineLevel="1">
      <c r="A333" s="211"/>
      <c r="B333" s="212"/>
      <c r="C333" s="213"/>
      <c r="D333" s="214" t="str">
        <f>IFERROR(VLOOKUP($C333,'PORTIFÓLIO'!C:V,2,0),"")</f>
        <v/>
      </c>
      <c r="E333" s="211" t="str">
        <f>IFERROR(VLOOKUP($C333,'PORTIFÓLIO'!C:V,3,0),"")</f>
        <v/>
      </c>
      <c r="F333" s="211" t="str">
        <f>IFERROR(VLOOKUP($C333,'PORTIFÓLIO'!C:V,4,0),"")</f>
        <v/>
      </c>
      <c r="G333" s="215" t="str">
        <f>IFERROR(VLOOKUP($C333,'PORTIFÓLIO'!C:V,5,0),"")</f>
        <v/>
      </c>
      <c r="H333" s="254" t="str">
        <f t="array" ref="H333">IFERROR(INDEX('PORTIFÓLIO'!$H$4:$H$433,MATCH($C333,'PORTIFÓLIO'!$C$4:$C$433,0)),"")</f>
        <v/>
      </c>
      <c r="I333" s="255"/>
      <c r="J333" s="218">
        <f t="shared" si="37"/>
        <v>0</v>
      </c>
      <c r="K333" s="292" t="str">
        <f t="array" ref="K333">IFERROR(I333*INDEX('PORTIFÓLIO'!$S$4:$S$433,MATCH($C333,'PORTIFÓLIO'!$C$4:$C$433,0)),"")</f>
        <v/>
      </c>
      <c r="L333" s="292" t="str">
        <f t="array" ref="L333">IFERROR(J333*INDEX('PORTIFÓLIO'!$S$4:$S$433,MATCH($C333,'PORTIFÓLIO'!$C$4:$C$433,0)),"")</f>
        <v/>
      </c>
      <c r="M333" s="220"/>
      <c r="N333" s="220"/>
      <c r="O333" s="220"/>
      <c r="P333" s="220"/>
      <c r="Q333" s="220"/>
      <c r="R333" s="220"/>
      <c r="S333" s="220"/>
      <c r="T333" s="220"/>
      <c r="U333" s="220"/>
      <c r="V333" s="220"/>
      <c r="W333" s="220"/>
    </row>
    <row r="334" ht="15.75" customHeight="1" outlineLevel="1">
      <c r="A334" s="211"/>
      <c r="B334" s="212"/>
      <c r="C334" s="213"/>
      <c r="D334" s="214" t="str">
        <f>IFERROR(VLOOKUP($C334,'PORTIFÓLIO'!C:V,2,0),"")</f>
        <v/>
      </c>
      <c r="E334" s="211" t="str">
        <f>IFERROR(VLOOKUP($C334,'PORTIFÓLIO'!C:V,3,0),"")</f>
        <v/>
      </c>
      <c r="F334" s="211" t="str">
        <f>IFERROR(VLOOKUP($C334,'PORTIFÓLIO'!C:V,4,0),"")</f>
        <v/>
      </c>
      <c r="G334" s="215" t="str">
        <f>IFERROR(VLOOKUP($C334,'PORTIFÓLIO'!C:V,5,0),"")</f>
        <v/>
      </c>
      <c r="H334" s="254" t="str">
        <f t="array" ref="H334">IFERROR(INDEX('PORTIFÓLIO'!$H$4:$H$433,MATCH($C334,'PORTIFÓLIO'!$C$4:$C$433,0)),"")</f>
        <v/>
      </c>
      <c r="I334" s="256"/>
      <c r="J334" s="218">
        <f t="shared" si="37"/>
        <v>0</v>
      </c>
      <c r="K334" s="292" t="str">
        <f t="array" ref="K334">IFERROR(I334*INDEX('PORTIFÓLIO'!$S$4:$S$433,MATCH($C334,'PORTIFÓLIO'!$C$4:$C$433,0)),"")</f>
        <v/>
      </c>
      <c r="L334" s="292" t="str">
        <f t="array" ref="L334">IFERROR(J334*INDEX('PORTIFÓLIO'!$S$4:$S$433,MATCH($C334,'PORTIFÓLIO'!$C$4:$C$433,0)),"")</f>
        <v/>
      </c>
      <c r="M334" s="220"/>
      <c r="N334" s="220"/>
      <c r="O334" s="220"/>
      <c r="P334" s="220"/>
      <c r="Q334" s="220"/>
      <c r="R334" s="220"/>
      <c r="S334" s="220"/>
      <c r="T334" s="220"/>
      <c r="U334" s="220"/>
      <c r="V334" s="220"/>
      <c r="W334" s="220"/>
    </row>
    <row r="335" ht="15.75" customHeight="1" outlineLevel="1">
      <c r="A335" s="211"/>
      <c r="B335" s="212"/>
      <c r="C335" s="213"/>
      <c r="D335" s="214" t="str">
        <f>IFERROR(VLOOKUP($C335,'PORTIFÓLIO'!C:V,2,0),"")</f>
        <v/>
      </c>
      <c r="E335" s="211" t="str">
        <f>IFERROR(VLOOKUP($C335,'PORTIFÓLIO'!C:V,3,0),"")</f>
        <v/>
      </c>
      <c r="F335" s="211" t="str">
        <f>IFERROR(VLOOKUP($C335,'PORTIFÓLIO'!C:V,4,0),"")</f>
        <v/>
      </c>
      <c r="G335" s="215" t="str">
        <f>IFERROR(VLOOKUP($C335,'PORTIFÓLIO'!C:V,5,0),"")</f>
        <v/>
      </c>
      <c r="H335" s="254" t="str">
        <f t="array" ref="H335">IFERROR(INDEX('PORTIFÓLIO'!$H$4:$H$433,MATCH($C335,'PORTIFÓLIO'!$C$4:$C$433,0)),"")</f>
        <v/>
      </c>
      <c r="I335" s="256"/>
      <c r="J335" s="218">
        <f t="shared" si="37"/>
        <v>0</v>
      </c>
      <c r="K335" s="292" t="str">
        <f t="array" ref="K335">IFERROR(I335*INDEX('PORTIFÓLIO'!$S$4:$S$433,MATCH($C335,'PORTIFÓLIO'!$C$4:$C$433,0)),"")</f>
        <v/>
      </c>
      <c r="L335" s="292" t="str">
        <f t="array" ref="L335">IFERROR(J335*INDEX('PORTIFÓLIO'!$S$4:$S$433,MATCH($C335,'PORTIFÓLIO'!$C$4:$C$433,0)),"")</f>
        <v/>
      </c>
      <c r="M335" s="220"/>
      <c r="N335" s="220"/>
      <c r="O335" s="220"/>
      <c r="P335" s="220"/>
      <c r="Q335" s="220"/>
      <c r="R335" s="220"/>
      <c r="S335" s="220"/>
      <c r="T335" s="220"/>
      <c r="U335" s="220"/>
      <c r="V335" s="220"/>
      <c r="W335" s="220"/>
    </row>
    <row r="336" ht="15.75" customHeight="1" outlineLevel="1">
      <c r="A336" s="211"/>
      <c r="B336" s="212"/>
      <c r="C336" s="213"/>
      <c r="D336" s="214" t="str">
        <f>IFERROR(VLOOKUP($C336,'PORTIFÓLIO'!C:V,2,0),"")</f>
        <v/>
      </c>
      <c r="E336" s="211" t="str">
        <f>IFERROR(VLOOKUP($C336,'PORTIFÓLIO'!C:V,3,0),"")</f>
        <v/>
      </c>
      <c r="F336" s="211" t="str">
        <f>IFERROR(VLOOKUP($C336,'PORTIFÓLIO'!C:V,4,0),"")</f>
        <v/>
      </c>
      <c r="G336" s="215" t="str">
        <f>IFERROR(VLOOKUP($C336,'PORTIFÓLIO'!C:V,5,0),"")</f>
        <v/>
      </c>
      <c r="H336" s="254" t="str">
        <f t="array" ref="H336">IFERROR(INDEX('PORTIFÓLIO'!$H$4:$H$433,MATCH($C336,'PORTIFÓLIO'!$C$4:$C$433,0)),"")</f>
        <v/>
      </c>
      <c r="I336" s="256"/>
      <c r="J336" s="218">
        <f t="shared" si="37"/>
        <v>0</v>
      </c>
      <c r="K336" s="292" t="str">
        <f t="array" ref="K336">IFERROR(I336*INDEX('PORTIFÓLIO'!$S$4:$S$433,MATCH($C336,'PORTIFÓLIO'!$C$4:$C$433,0)),"")</f>
        <v/>
      </c>
      <c r="L336" s="292" t="str">
        <f t="array" ref="L336">IFERROR(J336*INDEX('PORTIFÓLIO'!$S$4:$S$433,MATCH($C336,'PORTIFÓLIO'!$C$4:$C$433,0)),"")</f>
        <v/>
      </c>
      <c r="M336" s="220"/>
      <c r="N336" s="220"/>
      <c r="O336" s="220"/>
      <c r="P336" s="220"/>
      <c r="Q336" s="220"/>
      <c r="R336" s="220"/>
      <c r="S336" s="220"/>
      <c r="T336" s="220"/>
      <c r="U336" s="220"/>
      <c r="V336" s="220"/>
      <c r="W336" s="220"/>
    </row>
    <row r="337" ht="15.75" customHeight="1" outlineLevel="1">
      <c r="A337" s="211"/>
      <c r="B337" s="212"/>
      <c r="C337" s="213"/>
      <c r="D337" s="214" t="str">
        <f>IFERROR(VLOOKUP($C337,'PORTIFÓLIO'!C:V,2,0),"")</f>
        <v/>
      </c>
      <c r="E337" s="211" t="str">
        <f>IFERROR(VLOOKUP($C337,'PORTIFÓLIO'!C:V,3,0),"")</f>
        <v/>
      </c>
      <c r="F337" s="211" t="str">
        <f>IFERROR(VLOOKUP($C337,'PORTIFÓLIO'!C:V,4,0),"")</f>
        <v/>
      </c>
      <c r="G337" s="215" t="str">
        <f>IFERROR(VLOOKUP($C337,'PORTIFÓLIO'!C:V,5,0),"")</f>
        <v/>
      </c>
      <c r="H337" s="254" t="str">
        <f t="array" ref="H337">IFERROR(INDEX('PORTIFÓLIO'!$H$4:$H$433,MATCH($C337,'PORTIFÓLIO'!$C$4:$C$433,0)),"")</f>
        <v/>
      </c>
      <c r="I337" s="256"/>
      <c r="J337" s="218">
        <f t="shared" si="37"/>
        <v>0</v>
      </c>
      <c r="K337" s="292" t="str">
        <f t="array" ref="K337">IFERROR(I337*INDEX('PORTIFÓLIO'!$S$4:$S$433,MATCH($C337,'PORTIFÓLIO'!$C$4:$C$433,0)),"")</f>
        <v/>
      </c>
      <c r="L337" s="292" t="str">
        <f t="array" ref="L337">IFERROR(J337*INDEX('PORTIFÓLIO'!$S$4:$S$433,MATCH($C337,'PORTIFÓLIO'!$C$4:$C$433,0)),"")</f>
        <v/>
      </c>
      <c r="M337" s="220"/>
      <c r="N337" s="220"/>
      <c r="O337" s="220"/>
      <c r="P337" s="220"/>
      <c r="Q337" s="220"/>
      <c r="R337" s="220"/>
      <c r="S337" s="220"/>
      <c r="T337" s="220"/>
      <c r="U337" s="220"/>
      <c r="V337" s="220"/>
      <c r="W337" s="220"/>
    </row>
    <row r="338" ht="15.75" customHeight="1" outlineLevel="1">
      <c r="A338" s="211"/>
      <c r="B338" s="212"/>
      <c r="C338" s="213"/>
      <c r="D338" s="214" t="str">
        <f>IFERROR(VLOOKUP($C338,'PORTIFÓLIO'!C:V,2,0),"")</f>
        <v/>
      </c>
      <c r="E338" s="211" t="str">
        <f>IFERROR(VLOOKUP($C338,'PORTIFÓLIO'!C:V,3,0),"")</f>
        <v/>
      </c>
      <c r="F338" s="211" t="str">
        <f>IFERROR(VLOOKUP($C338,'PORTIFÓLIO'!C:V,4,0),"")</f>
        <v/>
      </c>
      <c r="G338" s="215" t="str">
        <f>IFERROR(VLOOKUP($C338,'PORTIFÓLIO'!C:V,5,0),"")</f>
        <v/>
      </c>
      <c r="H338" s="254" t="str">
        <f t="array" ref="H338">IFERROR(INDEX('PORTIFÓLIO'!$H$4:$H$433,MATCH($C338,'PORTIFÓLIO'!$C$4:$C$433,0)),"")</f>
        <v/>
      </c>
      <c r="I338" s="256"/>
      <c r="J338" s="218">
        <f t="shared" si="37"/>
        <v>0</v>
      </c>
      <c r="K338" s="292" t="str">
        <f t="array" ref="K338">IFERROR(I338*INDEX('PORTIFÓLIO'!$S$4:$S$433,MATCH($C338,'PORTIFÓLIO'!$C$4:$C$433,0)),"")</f>
        <v/>
      </c>
      <c r="L338" s="292" t="str">
        <f t="array" ref="L338">IFERROR(J338*INDEX('PORTIFÓLIO'!$S$4:$S$433,MATCH($C338,'PORTIFÓLIO'!$C$4:$C$433,0)),"")</f>
        <v/>
      </c>
      <c r="M338" s="220"/>
      <c r="N338" s="220"/>
      <c r="O338" s="220"/>
      <c r="P338" s="220"/>
      <c r="Q338" s="220"/>
      <c r="R338" s="220"/>
      <c r="S338" s="220"/>
      <c r="T338" s="220"/>
      <c r="U338" s="220"/>
      <c r="V338" s="220"/>
      <c r="W338" s="220"/>
    </row>
    <row r="339" ht="15.75" customHeight="1" outlineLevel="1">
      <c r="A339" s="211"/>
      <c r="B339" s="212"/>
      <c r="C339" s="213"/>
      <c r="D339" s="214" t="str">
        <f>IFERROR(VLOOKUP($C339,'PORTIFÓLIO'!C:V,2,0),"")</f>
        <v/>
      </c>
      <c r="E339" s="211" t="str">
        <f>IFERROR(VLOOKUP($C339,'PORTIFÓLIO'!C:V,3,0),"")</f>
        <v/>
      </c>
      <c r="F339" s="211" t="str">
        <f>IFERROR(VLOOKUP($C339,'PORTIFÓLIO'!C:V,4,0),"")</f>
        <v/>
      </c>
      <c r="G339" s="215" t="str">
        <f>IFERROR(VLOOKUP($C339,'PORTIFÓLIO'!C:V,5,0),"")</f>
        <v/>
      </c>
      <c r="H339" s="254" t="str">
        <f t="array" ref="H339">IFERROR(INDEX('PORTIFÓLIO'!$H$4:$H$433,MATCH($C339,'PORTIFÓLIO'!$C$4:$C$433,0)),"")</f>
        <v/>
      </c>
      <c r="I339" s="256"/>
      <c r="J339" s="218">
        <f t="shared" si="37"/>
        <v>0</v>
      </c>
      <c r="K339" s="292" t="str">
        <f t="array" ref="K339">IFERROR(I339*INDEX('PORTIFÓLIO'!$S$4:$S$433,MATCH($C339,'PORTIFÓLIO'!$C$4:$C$433,0)),"")</f>
        <v/>
      </c>
      <c r="L339" s="292" t="str">
        <f t="array" ref="L339">IFERROR(J339*INDEX('PORTIFÓLIO'!$S$4:$S$433,MATCH($C339,'PORTIFÓLIO'!$C$4:$C$433,0)),"")</f>
        <v/>
      </c>
      <c r="M339" s="220"/>
      <c r="N339" s="220"/>
      <c r="O339" s="220"/>
      <c r="P339" s="220"/>
      <c r="Q339" s="220"/>
      <c r="R339" s="220"/>
      <c r="S339" s="220"/>
      <c r="T339" s="220"/>
      <c r="U339" s="220"/>
      <c r="V339" s="220"/>
      <c r="W339" s="220"/>
    </row>
    <row r="340" ht="15.75" customHeight="1" outlineLevel="1">
      <c r="A340" s="211"/>
      <c r="B340" s="227"/>
      <c r="C340" s="211"/>
      <c r="D340" s="214" t="str">
        <f>IFERROR(VLOOKUP($C340,'PORTIFÓLIO'!C:V,2,0),"")</f>
        <v/>
      </c>
      <c r="E340" s="211" t="str">
        <f>IFERROR(VLOOKUP($C340,'PORTIFÓLIO'!C:V,3,0),"")</f>
        <v/>
      </c>
      <c r="F340" s="211" t="str">
        <f>IFERROR(VLOOKUP($C340,'PORTIFÓLIO'!C:V,4,0),"")</f>
        <v/>
      </c>
      <c r="G340" s="215" t="str">
        <f>IFERROR(VLOOKUP($C340,'PORTIFÓLIO'!C:V,5,0),"")</f>
        <v/>
      </c>
      <c r="H340" s="254" t="str">
        <f t="array" ref="H340">IFERROR(INDEX('PORTIFÓLIO'!$H$4:$H$433,MATCH($C340,'PORTIFÓLIO'!$C$4:$C$433,0)),"")</f>
        <v/>
      </c>
      <c r="I340" s="256"/>
      <c r="J340" s="218"/>
      <c r="K340" s="292" t="str">
        <f t="array" ref="K340">IFERROR(I340*INDEX('PORTIFÓLIO'!$S$4:$S$433,MATCH($C340,'PORTIFÓLIO'!$C$4:$C$433,0)),"")</f>
        <v/>
      </c>
      <c r="L340" s="292" t="str">
        <f t="array" ref="L340">IFERROR(J340*INDEX('PORTIFÓLIO'!$S$4:$S$433,MATCH($C340,'PORTIFÓLIO'!$C$4:$C$433,0)),"")</f>
        <v/>
      </c>
      <c r="M340" s="220"/>
      <c r="N340" s="220"/>
      <c r="O340" s="220"/>
      <c r="P340" s="220"/>
      <c r="Q340" s="220"/>
      <c r="R340" s="220"/>
      <c r="S340" s="220"/>
      <c r="T340" s="220"/>
      <c r="U340" s="220"/>
      <c r="V340" s="220"/>
      <c r="W340" s="220"/>
    </row>
    <row r="341" ht="15.75" customHeight="1">
      <c r="A341" s="229" t="s">
        <v>1190</v>
      </c>
      <c r="B341" s="230"/>
      <c r="C341" s="231"/>
      <c r="D341" s="232"/>
      <c r="E341" s="231"/>
      <c r="F341" s="231"/>
      <c r="G341" s="233"/>
      <c r="H341" s="233"/>
      <c r="I341" s="258"/>
      <c r="J341" s="236"/>
      <c r="K341" s="237">
        <f t="shared" ref="K341:L341" si="38">SUBTOTAL(9,K342:K355)</f>
        <v>0</v>
      </c>
      <c r="L341" s="237">
        <f t="shared" si="38"/>
        <v>0</v>
      </c>
      <c r="M341" s="220"/>
      <c r="N341" s="220"/>
      <c r="O341" s="220"/>
      <c r="P341" s="220"/>
      <c r="Q341" s="220"/>
      <c r="R341" s="220"/>
      <c r="S341" s="220"/>
      <c r="T341" s="220"/>
      <c r="U341" s="220"/>
      <c r="V341" s="220"/>
      <c r="W341" s="220"/>
    </row>
    <row r="342" ht="15.75" customHeight="1" outlineLevel="1">
      <c r="A342" s="213"/>
      <c r="B342" s="212"/>
      <c r="C342" s="213"/>
      <c r="D342" s="214" t="str">
        <f>IFERROR(VLOOKUP($C342,'PORTIFÓLIO'!C:V,2,0),"")</f>
        <v/>
      </c>
      <c r="E342" s="211" t="str">
        <f>IFERROR(VLOOKUP($C342,'PORTIFÓLIO'!C:V,3,0),"")</f>
        <v/>
      </c>
      <c r="F342" s="211" t="str">
        <f>IFERROR(VLOOKUP($C342,'PORTIFÓLIO'!C:V,4,0),"")</f>
        <v/>
      </c>
      <c r="G342" s="215" t="str">
        <f>IFERROR(VLOOKUP($C342,'PORTIFÓLIO'!C:V,5,0),"")</f>
        <v/>
      </c>
      <c r="H342" s="254" t="str">
        <f t="array" ref="H342">IFERROR(INDEX('PORTIFÓLIO'!$H$4:$H$433,MATCH($C342,'PORTIFÓLIO'!$C$4:$C$433,0)),"")</f>
        <v/>
      </c>
      <c r="I342" s="255"/>
      <c r="J342" s="218">
        <f t="shared" ref="J342:J356" si="39">I342*$B$2</f>
        <v>0</v>
      </c>
      <c r="K342" s="292" t="str">
        <f t="array" ref="K342">IFERROR(I342*INDEX('PORTIFÓLIO'!$S$4:$S$433,MATCH($C342,'PORTIFÓLIO'!$C$4:$C$433,0)),"")</f>
        <v/>
      </c>
      <c r="L342" s="292" t="str">
        <f t="array" ref="L342">IFERROR(J342*INDEX('PORTIFÓLIO'!$S$4:$S$433,MATCH($C342,'PORTIFÓLIO'!$C$4:$C$433,0)),"")</f>
        <v/>
      </c>
      <c r="M342" s="220"/>
      <c r="N342" s="220"/>
      <c r="O342" s="220"/>
      <c r="P342" s="220"/>
      <c r="Q342" s="220"/>
      <c r="R342" s="220"/>
      <c r="S342" s="220"/>
      <c r="T342" s="220"/>
      <c r="U342" s="220"/>
      <c r="V342" s="220"/>
      <c r="W342" s="220"/>
    </row>
    <row r="343" ht="15.75" customHeight="1" outlineLevel="1">
      <c r="A343" s="211"/>
      <c r="B343" s="212"/>
      <c r="C343" s="213"/>
      <c r="D343" s="214" t="str">
        <f>IFERROR(VLOOKUP($C343,'PORTIFÓLIO'!C:V,2,0),"")</f>
        <v/>
      </c>
      <c r="E343" s="211" t="str">
        <f>IFERROR(VLOOKUP($C343,'PORTIFÓLIO'!C:V,3,0),"")</f>
        <v/>
      </c>
      <c r="F343" s="211" t="str">
        <f>IFERROR(VLOOKUP($C343,'PORTIFÓLIO'!C:V,4,0),"")</f>
        <v/>
      </c>
      <c r="G343" s="215" t="str">
        <f>IFERROR(VLOOKUP($C343,'PORTIFÓLIO'!C:V,5,0),"")</f>
        <v/>
      </c>
      <c r="H343" s="254" t="str">
        <f t="array" ref="H343">IFERROR(INDEX('PORTIFÓLIO'!$H$4:$H$433,MATCH($C343,'PORTIFÓLIO'!$C$4:$C$433,0)),"")</f>
        <v/>
      </c>
      <c r="I343" s="256"/>
      <c r="J343" s="218">
        <f t="shared" si="39"/>
        <v>0</v>
      </c>
      <c r="K343" s="292" t="str">
        <f t="array" ref="K343">IFERROR(I343*INDEX('PORTIFÓLIO'!$S$4:$S$433,MATCH($C343,'PORTIFÓLIO'!$C$4:$C$433,0)),"")</f>
        <v/>
      </c>
      <c r="L343" s="292" t="str">
        <f t="array" ref="L343">IFERROR(J343*INDEX('PORTIFÓLIO'!$S$4:$S$433,MATCH($C343,'PORTIFÓLIO'!$C$4:$C$433,0)),"")</f>
        <v/>
      </c>
      <c r="M343" s="220"/>
      <c r="N343" s="220"/>
      <c r="O343" s="220"/>
      <c r="P343" s="220"/>
      <c r="Q343" s="220"/>
      <c r="R343" s="220"/>
      <c r="S343" s="220"/>
      <c r="T343" s="220"/>
      <c r="U343" s="220"/>
      <c r="V343" s="220"/>
      <c r="W343" s="220"/>
    </row>
    <row r="344" ht="15.75" customHeight="1" outlineLevel="1">
      <c r="A344" s="211"/>
      <c r="B344" s="212"/>
      <c r="C344" s="213"/>
      <c r="D344" s="214" t="str">
        <f>IFERROR(VLOOKUP($C344,'PORTIFÓLIO'!C:V,2,0),"")</f>
        <v/>
      </c>
      <c r="E344" s="211" t="str">
        <f>IFERROR(VLOOKUP($C344,'PORTIFÓLIO'!C:V,3,0),"")</f>
        <v/>
      </c>
      <c r="F344" s="211" t="str">
        <f>IFERROR(VLOOKUP($C344,'PORTIFÓLIO'!C:V,4,0),"")</f>
        <v/>
      </c>
      <c r="G344" s="215" t="str">
        <f>IFERROR(VLOOKUP($C344,'PORTIFÓLIO'!C:V,5,0),"")</f>
        <v/>
      </c>
      <c r="H344" s="254" t="str">
        <f t="array" ref="H344">IFERROR(INDEX('PORTIFÓLIO'!$H$4:$H$433,MATCH($C344,'PORTIFÓLIO'!$C$4:$C$433,0)),"")</f>
        <v/>
      </c>
      <c r="I344" s="256"/>
      <c r="J344" s="218">
        <f t="shared" si="39"/>
        <v>0</v>
      </c>
      <c r="K344" s="292" t="str">
        <f t="array" ref="K344">IFERROR(I344*INDEX('PORTIFÓLIO'!$S$4:$S$433,MATCH($C344,'PORTIFÓLIO'!$C$4:$C$433,0)),"")</f>
        <v/>
      </c>
      <c r="L344" s="292" t="str">
        <f t="array" ref="L344">IFERROR(J344*INDEX('PORTIFÓLIO'!$S$4:$S$433,MATCH($C344,'PORTIFÓLIO'!$C$4:$C$433,0)),"")</f>
        <v/>
      </c>
      <c r="M344" s="220"/>
      <c r="N344" s="220"/>
      <c r="O344" s="220"/>
      <c r="P344" s="220"/>
      <c r="Q344" s="220"/>
      <c r="R344" s="220"/>
      <c r="S344" s="220"/>
      <c r="T344" s="220"/>
      <c r="U344" s="220"/>
      <c r="V344" s="220"/>
      <c r="W344" s="220"/>
    </row>
    <row r="345" ht="15.75" customHeight="1" outlineLevel="1">
      <c r="A345" s="211"/>
      <c r="B345" s="212"/>
      <c r="C345" s="213"/>
      <c r="D345" s="214" t="str">
        <f>IFERROR(VLOOKUP($C345,'PORTIFÓLIO'!C:V,2,0),"")</f>
        <v/>
      </c>
      <c r="E345" s="211" t="str">
        <f>IFERROR(VLOOKUP($C345,'PORTIFÓLIO'!C:V,3,0),"")</f>
        <v/>
      </c>
      <c r="F345" s="211" t="str">
        <f>IFERROR(VLOOKUP($C345,'PORTIFÓLIO'!C:V,4,0),"")</f>
        <v/>
      </c>
      <c r="G345" s="215" t="str">
        <f>IFERROR(VLOOKUP($C345,'PORTIFÓLIO'!C:V,5,0),"")</f>
        <v/>
      </c>
      <c r="H345" s="254" t="str">
        <f t="array" ref="H345">IFERROR(INDEX('PORTIFÓLIO'!$H$4:$H$433,MATCH($C345,'PORTIFÓLIO'!$C$4:$C$433,0)),"")</f>
        <v/>
      </c>
      <c r="I345" s="256"/>
      <c r="J345" s="218">
        <f t="shared" si="39"/>
        <v>0</v>
      </c>
      <c r="K345" s="292" t="str">
        <f t="array" ref="K345">IFERROR(I345*INDEX('PORTIFÓLIO'!$S$4:$S$433,MATCH($C345,'PORTIFÓLIO'!$C$4:$C$433,0)),"")</f>
        <v/>
      </c>
      <c r="L345" s="292" t="str">
        <f t="array" ref="L345">IFERROR(J345*INDEX('PORTIFÓLIO'!$S$4:$S$433,MATCH($C345,'PORTIFÓLIO'!$C$4:$C$433,0)),"")</f>
        <v/>
      </c>
      <c r="M345" s="220"/>
      <c r="N345" s="220"/>
      <c r="O345" s="220"/>
      <c r="P345" s="220"/>
      <c r="Q345" s="220"/>
      <c r="R345" s="220"/>
      <c r="S345" s="220"/>
      <c r="T345" s="220"/>
      <c r="U345" s="220"/>
      <c r="V345" s="220"/>
      <c r="W345" s="220"/>
    </row>
    <row r="346" ht="15.75" customHeight="1" outlineLevel="1">
      <c r="A346" s="211"/>
      <c r="B346" s="212"/>
      <c r="C346" s="213"/>
      <c r="D346" s="214" t="str">
        <f>IFERROR(VLOOKUP($C346,'PORTIFÓLIO'!C:V,2,0),"")</f>
        <v/>
      </c>
      <c r="E346" s="211" t="str">
        <f>IFERROR(VLOOKUP($C346,'PORTIFÓLIO'!C:V,3,0),"")</f>
        <v/>
      </c>
      <c r="F346" s="211" t="str">
        <f>IFERROR(VLOOKUP($C346,'PORTIFÓLIO'!C:V,4,0),"")</f>
        <v/>
      </c>
      <c r="G346" s="215" t="str">
        <f>IFERROR(VLOOKUP($C346,'PORTIFÓLIO'!C:V,5,0),"")</f>
        <v/>
      </c>
      <c r="H346" s="254" t="str">
        <f t="array" ref="H346">IFERROR(INDEX('PORTIFÓLIO'!$H$4:$H$433,MATCH($C346,'PORTIFÓLIO'!$C$4:$C$433,0)),"")</f>
        <v/>
      </c>
      <c r="I346" s="256"/>
      <c r="J346" s="218">
        <f t="shared" si="39"/>
        <v>0</v>
      </c>
      <c r="K346" s="292" t="str">
        <f t="array" ref="K346">IFERROR(I346*INDEX('PORTIFÓLIO'!$S$4:$S$433,MATCH($C346,'PORTIFÓLIO'!$C$4:$C$433,0)),"")</f>
        <v/>
      </c>
      <c r="L346" s="292" t="str">
        <f t="array" ref="L346">IFERROR(J346*INDEX('PORTIFÓLIO'!$S$4:$S$433,MATCH($C346,'PORTIFÓLIO'!$C$4:$C$433,0)),"")</f>
        <v/>
      </c>
      <c r="M346" s="220"/>
      <c r="N346" s="220"/>
      <c r="O346" s="220"/>
      <c r="P346" s="220"/>
      <c r="Q346" s="220"/>
      <c r="R346" s="220"/>
      <c r="S346" s="220"/>
      <c r="T346" s="220"/>
      <c r="U346" s="220"/>
      <c r="V346" s="220"/>
      <c r="W346" s="220"/>
    </row>
    <row r="347" ht="15.75" customHeight="1" outlineLevel="1">
      <c r="A347" s="211"/>
      <c r="B347" s="212"/>
      <c r="C347" s="213"/>
      <c r="D347" s="214" t="str">
        <f>IFERROR(VLOOKUP($C347,'PORTIFÓLIO'!C:V,2,0),"")</f>
        <v/>
      </c>
      <c r="E347" s="211" t="str">
        <f>IFERROR(VLOOKUP($C347,'PORTIFÓLIO'!C:V,3,0),"")</f>
        <v/>
      </c>
      <c r="F347" s="211" t="str">
        <f>IFERROR(VLOOKUP($C347,'PORTIFÓLIO'!C:V,4,0),"")</f>
        <v/>
      </c>
      <c r="G347" s="215" t="str">
        <f>IFERROR(VLOOKUP($C347,'PORTIFÓLIO'!C:V,5,0),"")</f>
        <v/>
      </c>
      <c r="H347" s="254" t="str">
        <f t="array" ref="H347">IFERROR(INDEX('PORTIFÓLIO'!$H$4:$H$433,MATCH($C347,'PORTIFÓLIO'!$C$4:$C$433,0)),"")</f>
        <v/>
      </c>
      <c r="I347" s="256"/>
      <c r="J347" s="218">
        <f t="shared" si="39"/>
        <v>0</v>
      </c>
      <c r="K347" s="292" t="str">
        <f t="array" ref="K347">IFERROR(I347*INDEX('PORTIFÓLIO'!$S$4:$S$433,MATCH($C347,'PORTIFÓLIO'!$C$4:$C$433,0)),"")</f>
        <v/>
      </c>
      <c r="L347" s="292" t="str">
        <f t="array" ref="L347">IFERROR(J347*INDEX('PORTIFÓLIO'!$S$4:$S$433,MATCH($C347,'PORTIFÓLIO'!$C$4:$C$433,0)),"")</f>
        <v/>
      </c>
      <c r="M347" s="220"/>
      <c r="N347" s="220"/>
      <c r="O347" s="220"/>
      <c r="P347" s="220"/>
      <c r="Q347" s="220"/>
      <c r="R347" s="220"/>
      <c r="S347" s="220"/>
      <c r="T347" s="220"/>
      <c r="U347" s="220"/>
      <c r="V347" s="220"/>
      <c r="W347" s="220"/>
    </row>
    <row r="348" ht="15.75" customHeight="1" outlineLevel="1">
      <c r="A348" s="211"/>
      <c r="B348" s="212"/>
      <c r="C348" s="213"/>
      <c r="D348" s="214" t="str">
        <f>IFERROR(VLOOKUP($C348,'PORTIFÓLIO'!C:V,2,0),"")</f>
        <v/>
      </c>
      <c r="E348" s="211" t="str">
        <f>IFERROR(VLOOKUP($C348,'PORTIFÓLIO'!C:V,3,0),"")</f>
        <v/>
      </c>
      <c r="F348" s="211" t="str">
        <f>IFERROR(VLOOKUP($C348,'PORTIFÓLIO'!C:V,4,0),"")</f>
        <v/>
      </c>
      <c r="G348" s="215" t="str">
        <f>IFERROR(VLOOKUP($C348,'PORTIFÓLIO'!C:V,5,0),"")</f>
        <v/>
      </c>
      <c r="H348" s="254" t="str">
        <f t="array" ref="H348">IFERROR(INDEX('PORTIFÓLIO'!$H$4:$H$433,MATCH($C348,'PORTIFÓLIO'!$C$4:$C$433,0)),"")</f>
        <v/>
      </c>
      <c r="I348" s="256"/>
      <c r="J348" s="218">
        <f t="shared" si="39"/>
        <v>0</v>
      </c>
      <c r="K348" s="292" t="str">
        <f t="array" ref="K348">IFERROR(I348*INDEX('PORTIFÓLIO'!$S$4:$S$433,MATCH($C348,'PORTIFÓLIO'!$C$4:$C$433,0)),"")</f>
        <v/>
      </c>
      <c r="L348" s="292" t="str">
        <f t="array" ref="L348">IFERROR(J348*INDEX('PORTIFÓLIO'!$S$4:$S$433,MATCH($C348,'PORTIFÓLIO'!$C$4:$C$433,0)),"")</f>
        <v/>
      </c>
      <c r="M348" s="220"/>
      <c r="N348" s="220"/>
      <c r="O348" s="220"/>
      <c r="P348" s="220"/>
      <c r="Q348" s="220"/>
      <c r="R348" s="220"/>
      <c r="S348" s="220"/>
      <c r="T348" s="220"/>
      <c r="U348" s="220"/>
      <c r="V348" s="220"/>
      <c r="W348" s="220"/>
    </row>
    <row r="349" ht="15.75" customHeight="1" outlineLevel="1">
      <c r="A349" s="211"/>
      <c r="B349" s="212"/>
      <c r="C349" s="213"/>
      <c r="D349" s="214" t="str">
        <f>IFERROR(VLOOKUP($C349,'PORTIFÓLIO'!C:V,2,0),"")</f>
        <v/>
      </c>
      <c r="E349" s="211" t="str">
        <f>IFERROR(VLOOKUP($C349,'PORTIFÓLIO'!C:V,3,0),"")</f>
        <v/>
      </c>
      <c r="F349" s="211" t="str">
        <f>IFERROR(VLOOKUP($C349,'PORTIFÓLIO'!C:V,4,0),"")</f>
        <v/>
      </c>
      <c r="G349" s="215" t="str">
        <f>IFERROR(VLOOKUP($C349,'PORTIFÓLIO'!C:V,5,0),"")</f>
        <v/>
      </c>
      <c r="H349" s="254" t="str">
        <f t="array" ref="H349">IFERROR(INDEX('PORTIFÓLIO'!$H$4:$H$433,MATCH($C349,'PORTIFÓLIO'!$C$4:$C$433,0)),"")</f>
        <v/>
      </c>
      <c r="I349" s="256"/>
      <c r="J349" s="218">
        <f t="shared" si="39"/>
        <v>0</v>
      </c>
      <c r="K349" s="292" t="str">
        <f t="array" ref="K349">IFERROR(I349*INDEX('PORTIFÓLIO'!$S$4:$S$433,MATCH($C349,'PORTIFÓLIO'!$C$4:$C$433,0)),"")</f>
        <v/>
      </c>
      <c r="L349" s="292" t="str">
        <f t="array" ref="L349">IFERROR(J349*INDEX('PORTIFÓLIO'!$S$4:$S$433,MATCH($C349,'PORTIFÓLIO'!$C$4:$C$433,0)),"")</f>
        <v/>
      </c>
      <c r="M349" s="220"/>
      <c r="N349" s="220"/>
      <c r="O349" s="220"/>
      <c r="P349" s="220"/>
      <c r="Q349" s="220"/>
      <c r="R349" s="220"/>
      <c r="S349" s="220"/>
      <c r="T349" s="220"/>
      <c r="U349" s="220"/>
      <c r="V349" s="220"/>
      <c r="W349" s="220"/>
    </row>
    <row r="350" ht="15.75" customHeight="1" outlineLevel="1">
      <c r="A350" s="211"/>
      <c r="B350" s="212"/>
      <c r="C350" s="213"/>
      <c r="D350" s="214" t="str">
        <f>IFERROR(VLOOKUP($C350,'PORTIFÓLIO'!C:V,2,0),"")</f>
        <v/>
      </c>
      <c r="E350" s="211" t="str">
        <f>IFERROR(VLOOKUP($C350,'PORTIFÓLIO'!C:V,3,0),"")</f>
        <v/>
      </c>
      <c r="F350" s="211" t="str">
        <f>IFERROR(VLOOKUP($C350,'PORTIFÓLIO'!C:V,4,0),"")</f>
        <v/>
      </c>
      <c r="G350" s="215" t="str">
        <f>IFERROR(VLOOKUP($C350,'PORTIFÓLIO'!C:V,5,0),"")</f>
        <v/>
      </c>
      <c r="H350" s="254" t="str">
        <f t="array" ref="H350">IFERROR(INDEX('PORTIFÓLIO'!$H$4:$H$433,MATCH($C350,'PORTIFÓLIO'!$C$4:$C$433,0)),"")</f>
        <v/>
      </c>
      <c r="I350" s="255"/>
      <c r="J350" s="218">
        <f t="shared" si="39"/>
        <v>0</v>
      </c>
      <c r="K350" s="292" t="str">
        <f t="array" ref="K350">IFERROR(I350*INDEX('PORTIFÓLIO'!$S$4:$S$433,MATCH($C350,'PORTIFÓLIO'!$C$4:$C$433,0)),"")</f>
        <v/>
      </c>
      <c r="L350" s="292" t="str">
        <f t="array" ref="L350">IFERROR(J350*INDEX('PORTIFÓLIO'!$S$4:$S$433,MATCH($C350,'PORTIFÓLIO'!$C$4:$C$433,0)),"")</f>
        <v/>
      </c>
      <c r="M350" s="220"/>
      <c r="N350" s="220"/>
      <c r="O350" s="220"/>
      <c r="P350" s="220"/>
      <c r="Q350" s="220"/>
      <c r="R350" s="220"/>
      <c r="S350" s="220"/>
      <c r="T350" s="220"/>
      <c r="U350" s="220"/>
      <c r="V350" s="220"/>
      <c r="W350" s="220"/>
    </row>
    <row r="351" ht="15.75" customHeight="1" outlineLevel="1">
      <c r="A351" s="211"/>
      <c r="B351" s="212"/>
      <c r="C351" s="213"/>
      <c r="D351" s="214" t="str">
        <f>IFERROR(VLOOKUP($C351,'PORTIFÓLIO'!C:V,2,0),"")</f>
        <v/>
      </c>
      <c r="E351" s="211" t="str">
        <f>IFERROR(VLOOKUP($C351,'PORTIFÓLIO'!C:V,3,0),"")</f>
        <v/>
      </c>
      <c r="F351" s="211" t="str">
        <f>IFERROR(VLOOKUP($C351,'PORTIFÓLIO'!C:V,4,0),"")</f>
        <v/>
      </c>
      <c r="G351" s="215" t="str">
        <f>IFERROR(VLOOKUP($C351,'PORTIFÓLIO'!C:V,5,0),"")</f>
        <v/>
      </c>
      <c r="H351" s="254" t="str">
        <f t="array" ref="H351">IFERROR(INDEX('PORTIFÓLIO'!$H$4:$H$433,MATCH($C351,'PORTIFÓLIO'!$C$4:$C$433,0)),"")</f>
        <v/>
      </c>
      <c r="I351" s="256"/>
      <c r="J351" s="218">
        <f t="shared" si="39"/>
        <v>0</v>
      </c>
      <c r="K351" s="292" t="str">
        <f t="array" ref="K351">IFERROR(I351*INDEX('PORTIFÓLIO'!$S$4:$S$433,MATCH($C351,'PORTIFÓLIO'!$C$4:$C$433,0)),"")</f>
        <v/>
      </c>
      <c r="L351" s="292" t="str">
        <f t="array" ref="L351">IFERROR(J351*INDEX('PORTIFÓLIO'!$S$4:$S$433,MATCH($C351,'PORTIFÓLIO'!$C$4:$C$433,0)),"")</f>
        <v/>
      </c>
      <c r="M351" s="220"/>
      <c r="N351" s="220"/>
      <c r="O351" s="220"/>
      <c r="P351" s="220"/>
      <c r="Q351" s="220"/>
      <c r="R351" s="220"/>
      <c r="S351" s="220"/>
      <c r="T351" s="220"/>
      <c r="U351" s="220"/>
      <c r="V351" s="220"/>
      <c r="W351" s="220"/>
    </row>
    <row r="352" ht="15.75" customHeight="1" outlineLevel="1">
      <c r="A352" s="211"/>
      <c r="B352" s="212"/>
      <c r="C352" s="213"/>
      <c r="D352" s="214" t="str">
        <f>IFERROR(VLOOKUP($C352,'PORTIFÓLIO'!C:V,2,0),"")</f>
        <v/>
      </c>
      <c r="E352" s="211" t="str">
        <f>IFERROR(VLOOKUP($C352,'PORTIFÓLIO'!C:V,3,0),"")</f>
        <v/>
      </c>
      <c r="F352" s="211" t="str">
        <f>IFERROR(VLOOKUP($C352,'PORTIFÓLIO'!C:V,4,0),"")</f>
        <v/>
      </c>
      <c r="G352" s="215" t="str">
        <f>IFERROR(VLOOKUP($C352,'PORTIFÓLIO'!C:V,5,0),"")</f>
        <v/>
      </c>
      <c r="H352" s="254" t="str">
        <f t="array" ref="H352">IFERROR(INDEX('PORTIFÓLIO'!$H$4:$H$433,MATCH($C352,'PORTIFÓLIO'!$C$4:$C$433,0)),"")</f>
        <v/>
      </c>
      <c r="I352" s="256"/>
      <c r="J352" s="218">
        <f t="shared" si="39"/>
        <v>0</v>
      </c>
      <c r="K352" s="292" t="str">
        <f t="array" ref="K352">IFERROR(I352*INDEX('PORTIFÓLIO'!$S$4:$S$433,MATCH($C352,'PORTIFÓLIO'!$C$4:$C$433,0)),"")</f>
        <v/>
      </c>
      <c r="L352" s="292" t="str">
        <f t="array" ref="L352">IFERROR(J352*INDEX('PORTIFÓLIO'!$S$4:$S$433,MATCH($C352,'PORTIFÓLIO'!$C$4:$C$433,0)),"")</f>
        <v/>
      </c>
      <c r="M352" s="220"/>
      <c r="N352" s="220"/>
      <c r="O352" s="220"/>
      <c r="P352" s="220"/>
      <c r="Q352" s="220"/>
      <c r="R352" s="220"/>
      <c r="S352" s="220"/>
      <c r="T352" s="220"/>
      <c r="U352" s="220"/>
      <c r="V352" s="220"/>
      <c r="W352" s="220"/>
    </row>
    <row r="353" ht="15.75" customHeight="1" outlineLevel="1">
      <c r="A353" s="211"/>
      <c r="B353" s="212"/>
      <c r="C353" s="213"/>
      <c r="D353" s="214" t="str">
        <f>IFERROR(VLOOKUP($C353,'PORTIFÓLIO'!C:V,2,0),"")</f>
        <v/>
      </c>
      <c r="E353" s="211" t="str">
        <f>IFERROR(VLOOKUP($C353,'PORTIFÓLIO'!C:V,3,0),"")</f>
        <v/>
      </c>
      <c r="F353" s="211" t="str">
        <f>IFERROR(VLOOKUP($C353,'PORTIFÓLIO'!C:V,4,0),"")</f>
        <v/>
      </c>
      <c r="G353" s="215" t="str">
        <f>IFERROR(VLOOKUP($C353,'PORTIFÓLIO'!C:V,5,0),"")</f>
        <v/>
      </c>
      <c r="H353" s="254" t="str">
        <f t="array" ref="H353">IFERROR(INDEX('PORTIFÓLIO'!$H$4:$H$433,MATCH($C353,'PORTIFÓLIO'!$C$4:$C$433,0)),"")</f>
        <v/>
      </c>
      <c r="I353" s="256"/>
      <c r="J353" s="218">
        <f t="shared" si="39"/>
        <v>0</v>
      </c>
      <c r="K353" s="292" t="str">
        <f t="array" ref="K353">IFERROR(I353*INDEX('PORTIFÓLIO'!$S$4:$S$433,MATCH($C353,'PORTIFÓLIO'!$C$4:$C$433,0)),"")</f>
        <v/>
      </c>
      <c r="L353" s="292" t="str">
        <f t="array" ref="L353">IFERROR(J353*INDEX('PORTIFÓLIO'!$S$4:$S$433,MATCH($C353,'PORTIFÓLIO'!$C$4:$C$433,0)),"")</f>
        <v/>
      </c>
      <c r="M353" s="220"/>
      <c r="N353" s="220"/>
      <c r="O353" s="220"/>
      <c r="P353" s="220"/>
      <c r="Q353" s="220"/>
      <c r="R353" s="220"/>
      <c r="S353" s="220"/>
      <c r="T353" s="220"/>
      <c r="U353" s="220"/>
      <c r="V353" s="220"/>
      <c r="W353" s="220"/>
    </row>
    <row r="354" ht="15.75" customHeight="1" outlineLevel="1">
      <c r="A354" s="211"/>
      <c r="B354" s="212"/>
      <c r="C354" s="213"/>
      <c r="D354" s="214" t="str">
        <f>IFERROR(VLOOKUP($C354,'PORTIFÓLIO'!C:V,2,0),"")</f>
        <v/>
      </c>
      <c r="E354" s="211" t="str">
        <f>IFERROR(VLOOKUP($C354,'PORTIFÓLIO'!C:V,3,0),"")</f>
        <v/>
      </c>
      <c r="F354" s="211" t="str">
        <f>IFERROR(VLOOKUP($C354,'PORTIFÓLIO'!C:V,4,0),"")</f>
        <v/>
      </c>
      <c r="G354" s="215" t="str">
        <f>IFERROR(VLOOKUP($C354,'PORTIFÓLIO'!C:V,5,0),"")</f>
        <v/>
      </c>
      <c r="H354" s="254" t="str">
        <f t="array" ref="H354">IFERROR(INDEX('PORTIFÓLIO'!$H$4:$H$433,MATCH($C354,'PORTIFÓLIO'!$C$4:$C$433,0)),"")</f>
        <v/>
      </c>
      <c r="I354" s="256"/>
      <c r="J354" s="218">
        <f t="shared" si="39"/>
        <v>0</v>
      </c>
      <c r="K354" s="292" t="str">
        <f t="array" ref="K354">IFERROR(I354*INDEX('PORTIFÓLIO'!$S$4:$S$433,MATCH($C354,'PORTIFÓLIO'!$C$4:$C$433,0)),"")</f>
        <v/>
      </c>
      <c r="L354" s="292" t="str">
        <f t="array" ref="L354">IFERROR(J354*INDEX('PORTIFÓLIO'!$S$4:$S$433,MATCH($C354,'PORTIFÓLIO'!$C$4:$C$433,0)),"")</f>
        <v/>
      </c>
      <c r="M354" s="220"/>
      <c r="N354" s="220"/>
      <c r="O354" s="220"/>
      <c r="P354" s="220"/>
      <c r="Q354" s="220"/>
      <c r="R354" s="220"/>
      <c r="S354" s="220"/>
      <c r="T354" s="220"/>
      <c r="U354" s="220"/>
      <c r="V354" s="220"/>
      <c r="W354" s="220"/>
    </row>
    <row r="355" ht="15.75" customHeight="1" outlineLevel="1">
      <c r="A355" s="211"/>
      <c r="B355" s="212"/>
      <c r="C355" s="213"/>
      <c r="D355" s="214" t="str">
        <f>IFERROR(VLOOKUP($C355,'PORTIFÓLIO'!C:V,2,0),"")</f>
        <v/>
      </c>
      <c r="E355" s="211" t="str">
        <f>IFERROR(VLOOKUP($C355,'PORTIFÓLIO'!C:V,3,0),"")</f>
        <v/>
      </c>
      <c r="F355" s="211" t="str">
        <f>IFERROR(VLOOKUP($C355,'PORTIFÓLIO'!C:V,4,0),"")</f>
        <v/>
      </c>
      <c r="G355" s="215" t="str">
        <f>IFERROR(VLOOKUP($C355,'PORTIFÓLIO'!C:V,5,0),"")</f>
        <v/>
      </c>
      <c r="H355" s="254" t="str">
        <f t="array" ref="H355">IFERROR(INDEX('PORTIFÓLIO'!$H$4:$H$433,MATCH($C355,'PORTIFÓLIO'!$C$4:$C$433,0)),"")</f>
        <v/>
      </c>
      <c r="I355" s="256"/>
      <c r="J355" s="218">
        <f t="shared" si="39"/>
        <v>0</v>
      </c>
      <c r="K355" s="292" t="str">
        <f t="array" ref="K355">IFERROR(I355*INDEX('PORTIFÓLIO'!$S$4:$S$433,MATCH($C355,'PORTIFÓLIO'!$C$4:$C$433,0)),"")</f>
        <v/>
      </c>
      <c r="L355" s="292" t="str">
        <f t="array" ref="L355">IFERROR(J355*INDEX('PORTIFÓLIO'!$S$4:$S$433,MATCH($C355,'PORTIFÓLIO'!$C$4:$C$433,0)),"")</f>
        <v/>
      </c>
      <c r="M355" s="220"/>
      <c r="N355" s="220"/>
      <c r="O355" s="220"/>
      <c r="P355" s="220"/>
      <c r="Q355" s="220"/>
      <c r="R355" s="220"/>
      <c r="S355" s="220"/>
      <c r="T355" s="220"/>
      <c r="U355" s="220"/>
      <c r="V355" s="220"/>
      <c r="W355" s="220"/>
    </row>
    <row r="356" ht="15.75" customHeight="1" outlineLevel="1">
      <c r="A356" s="211"/>
      <c r="B356" s="212"/>
      <c r="C356" s="213"/>
      <c r="D356" s="214" t="str">
        <f>IFERROR(VLOOKUP($C356,'PORTIFÓLIO'!C:V,2,0),"")</f>
        <v/>
      </c>
      <c r="E356" s="211" t="str">
        <f>IFERROR(VLOOKUP($C356,'PORTIFÓLIO'!C:V,3,0),"")</f>
        <v/>
      </c>
      <c r="F356" s="211" t="str">
        <f>IFERROR(VLOOKUP($C356,'PORTIFÓLIO'!C:V,4,0),"")</f>
        <v/>
      </c>
      <c r="G356" s="215" t="str">
        <f>IFERROR(VLOOKUP($C356,'PORTIFÓLIO'!C:V,5,0),"")</f>
        <v/>
      </c>
      <c r="H356" s="254" t="str">
        <f t="array" ref="H356">IFERROR(INDEX('PORTIFÓLIO'!$H$4:$H$433,MATCH($C356,'PORTIFÓLIO'!$C$4:$C$433,0)),"")</f>
        <v/>
      </c>
      <c r="I356" s="256"/>
      <c r="J356" s="218">
        <f t="shared" si="39"/>
        <v>0</v>
      </c>
      <c r="K356" s="292" t="str">
        <f t="array" ref="K356">IFERROR(I356*INDEX('PORTIFÓLIO'!$S$4:$S$433,MATCH($C356,'PORTIFÓLIO'!$C$4:$C$433,0)),"")</f>
        <v/>
      </c>
      <c r="L356" s="292" t="str">
        <f t="array" ref="L356">IFERROR(J356*INDEX('PORTIFÓLIO'!$S$4:$S$433,MATCH($C356,'PORTIFÓLIO'!$C$4:$C$433,0)),"")</f>
        <v/>
      </c>
      <c r="M356" s="220"/>
      <c r="N356" s="220"/>
      <c r="O356" s="220"/>
      <c r="P356" s="220"/>
      <c r="Q356" s="220"/>
      <c r="R356" s="220"/>
      <c r="S356" s="220"/>
      <c r="T356" s="220"/>
      <c r="U356" s="220"/>
      <c r="V356" s="220"/>
      <c r="W356" s="220"/>
    </row>
    <row r="357" ht="15.75" customHeight="1" outlineLevel="1">
      <c r="A357" s="211"/>
      <c r="B357" s="227"/>
      <c r="C357" s="211"/>
      <c r="D357" s="214" t="str">
        <f>IFERROR(VLOOKUP($C357,'PORTIFÓLIO'!C:V,2,0),"")</f>
        <v/>
      </c>
      <c r="E357" s="211" t="str">
        <f>IFERROR(VLOOKUP($C357,'PORTIFÓLIO'!C:V,3,0),"")</f>
        <v/>
      </c>
      <c r="F357" s="211" t="str">
        <f>IFERROR(VLOOKUP($C357,'PORTIFÓLIO'!C:V,4,0),"")</f>
        <v/>
      </c>
      <c r="G357" s="215" t="str">
        <f>IFERROR(VLOOKUP($C357,'PORTIFÓLIO'!C:V,5,0),"")</f>
        <v/>
      </c>
      <c r="H357" s="254" t="str">
        <f t="array" ref="H357">IFERROR(INDEX('PORTIFÓLIO'!$H$4:$H$433,MATCH($C357,'PORTIFÓLIO'!$C$4:$C$433,0)),"")</f>
        <v/>
      </c>
      <c r="I357" s="256"/>
      <c r="J357" s="218"/>
      <c r="K357" s="292" t="str">
        <f t="array" ref="K357">IFERROR(I357*INDEX('PORTIFÓLIO'!$S$4:$S$433,MATCH($C357,'PORTIFÓLIO'!$C$4:$C$433,0)),"")</f>
        <v/>
      </c>
      <c r="L357" s="292" t="str">
        <f t="array" ref="L357">IFERROR(J357*INDEX('PORTIFÓLIO'!$S$4:$S$433,MATCH($C357,'PORTIFÓLIO'!$C$4:$C$433,0)),"")</f>
        <v/>
      </c>
      <c r="M357" s="220"/>
      <c r="N357" s="220"/>
      <c r="O357" s="220"/>
      <c r="P357" s="220"/>
      <c r="Q357" s="220"/>
      <c r="R357" s="220"/>
      <c r="S357" s="220"/>
      <c r="T357" s="220"/>
      <c r="U357" s="220"/>
      <c r="V357" s="220"/>
      <c r="W357" s="220"/>
    </row>
    <row r="358" ht="15.75" customHeight="1">
      <c r="A358" s="229" t="s">
        <v>1191</v>
      </c>
      <c r="B358" s="230"/>
      <c r="C358" s="231"/>
      <c r="D358" s="232"/>
      <c r="E358" s="231"/>
      <c r="F358" s="231"/>
      <c r="G358" s="233"/>
      <c r="H358" s="233"/>
      <c r="I358" s="258"/>
      <c r="J358" s="236"/>
      <c r="K358" s="237">
        <f t="shared" ref="K358:L358" si="40">SUBTOTAL(9,K359:K372)</f>
        <v>0</v>
      </c>
      <c r="L358" s="237">
        <f t="shared" si="40"/>
        <v>0</v>
      </c>
      <c r="M358" s="220"/>
      <c r="N358" s="220"/>
      <c r="O358" s="220"/>
      <c r="P358" s="220"/>
      <c r="Q358" s="220"/>
      <c r="R358" s="220"/>
      <c r="S358" s="220"/>
      <c r="T358" s="220"/>
      <c r="U358" s="220"/>
      <c r="V358" s="220"/>
      <c r="W358" s="220"/>
    </row>
    <row r="359" ht="15.75" customHeight="1" outlineLevel="1">
      <c r="A359" s="213"/>
      <c r="B359" s="212"/>
      <c r="C359" s="213"/>
      <c r="D359" s="214" t="str">
        <f>IFERROR(VLOOKUP($C359,'PORTIFÓLIO'!C:V,2,0),"")</f>
        <v/>
      </c>
      <c r="E359" s="211" t="str">
        <f>IFERROR(VLOOKUP($C359,'PORTIFÓLIO'!C:V,3,0),"")</f>
        <v/>
      </c>
      <c r="F359" s="211" t="str">
        <f>IFERROR(VLOOKUP($C359,'PORTIFÓLIO'!C:V,4,0),"")</f>
        <v/>
      </c>
      <c r="G359" s="215" t="str">
        <f>IFERROR(VLOOKUP($C359,'PORTIFÓLIO'!C:V,5,0),"")</f>
        <v/>
      </c>
      <c r="H359" s="254" t="str">
        <f t="array" ref="H359">IFERROR(INDEX('PORTIFÓLIO'!$H$4:$H$433,MATCH($C359,'PORTIFÓLIO'!$C$4:$C$433,0)),"")</f>
        <v/>
      </c>
      <c r="I359" s="255"/>
      <c r="J359" s="218">
        <f t="shared" ref="J359:J373" si="41">I359*$B$2</f>
        <v>0</v>
      </c>
      <c r="K359" s="292" t="str">
        <f t="array" ref="K359">IFERROR(I359*INDEX('PORTIFÓLIO'!$S$4:$S$433,MATCH($C359,'PORTIFÓLIO'!$C$4:$C$433,0)),"")</f>
        <v/>
      </c>
      <c r="L359" s="292" t="str">
        <f t="array" ref="L359">IFERROR(J359*INDEX('PORTIFÓLIO'!$S$4:$S$433,MATCH($C359,'PORTIFÓLIO'!$C$4:$C$433,0)),"")</f>
        <v/>
      </c>
      <c r="M359" s="220"/>
      <c r="N359" s="220"/>
      <c r="O359" s="220"/>
      <c r="P359" s="220"/>
      <c r="Q359" s="220"/>
      <c r="R359" s="220"/>
      <c r="S359" s="220"/>
      <c r="T359" s="220"/>
      <c r="U359" s="220"/>
      <c r="V359" s="220"/>
      <c r="W359" s="220"/>
    </row>
    <row r="360" ht="15.75" customHeight="1" outlineLevel="1">
      <c r="A360" s="211"/>
      <c r="B360" s="212"/>
      <c r="C360" s="213"/>
      <c r="D360" s="214" t="str">
        <f>IFERROR(VLOOKUP($C360,'PORTIFÓLIO'!C:V,2,0),"")</f>
        <v/>
      </c>
      <c r="E360" s="211" t="str">
        <f>IFERROR(VLOOKUP($C360,'PORTIFÓLIO'!C:V,3,0),"")</f>
        <v/>
      </c>
      <c r="F360" s="211" t="str">
        <f>IFERROR(VLOOKUP($C360,'PORTIFÓLIO'!C:V,4,0),"")</f>
        <v/>
      </c>
      <c r="G360" s="215" t="str">
        <f>IFERROR(VLOOKUP($C360,'PORTIFÓLIO'!C:V,5,0),"")</f>
        <v/>
      </c>
      <c r="H360" s="254" t="str">
        <f t="array" ref="H360">IFERROR(INDEX('PORTIFÓLIO'!$H$4:$H$433,MATCH($C360,'PORTIFÓLIO'!$C$4:$C$433,0)),"")</f>
        <v/>
      </c>
      <c r="I360" s="256"/>
      <c r="J360" s="218">
        <f t="shared" si="41"/>
        <v>0</v>
      </c>
      <c r="K360" s="292" t="str">
        <f t="array" ref="K360">IFERROR(I360*INDEX('PORTIFÓLIO'!$S$4:$S$433,MATCH($C360,'PORTIFÓLIO'!$C$4:$C$433,0)),"")</f>
        <v/>
      </c>
      <c r="L360" s="292" t="str">
        <f t="array" ref="L360">IFERROR(J360*INDEX('PORTIFÓLIO'!$S$4:$S$433,MATCH($C360,'PORTIFÓLIO'!$C$4:$C$433,0)),"")</f>
        <v/>
      </c>
      <c r="M360" s="220"/>
      <c r="N360" s="220"/>
      <c r="O360" s="220"/>
      <c r="P360" s="220"/>
      <c r="Q360" s="220"/>
      <c r="R360" s="220"/>
      <c r="S360" s="220"/>
      <c r="T360" s="220"/>
      <c r="U360" s="220"/>
      <c r="V360" s="220"/>
      <c r="W360" s="220"/>
    </row>
    <row r="361" ht="15.75" customHeight="1" outlineLevel="1">
      <c r="A361" s="211"/>
      <c r="B361" s="212"/>
      <c r="C361" s="213"/>
      <c r="D361" s="214" t="str">
        <f>IFERROR(VLOOKUP($C361,'PORTIFÓLIO'!C:V,2,0),"")</f>
        <v/>
      </c>
      <c r="E361" s="211" t="str">
        <f>IFERROR(VLOOKUP($C361,'PORTIFÓLIO'!C:V,3,0),"")</f>
        <v/>
      </c>
      <c r="F361" s="211" t="str">
        <f>IFERROR(VLOOKUP($C361,'PORTIFÓLIO'!C:V,4,0),"")</f>
        <v/>
      </c>
      <c r="G361" s="215" t="str">
        <f>IFERROR(VLOOKUP($C361,'PORTIFÓLIO'!C:V,5,0),"")</f>
        <v/>
      </c>
      <c r="H361" s="254" t="str">
        <f t="array" ref="H361">IFERROR(INDEX('PORTIFÓLIO'!$H$4:$H$433,MATCH($C361,'PORTIFÓLIO'!$C$4:$C$433,0)),"")</f>
        <v/>
      </c>
      <c r="I361" s="256"/>
      <c r="J361" s="218">
        <f t="shared" si="41"/>
        <v>0</v>
      </c>
      <c r="K361" s="292" t="str">
        <f t="array" ref="K361">IFERROR(I361*INDEX('PORTIFÓLIO'!$S$4:$S$433,MATCH($C361,'PORTIFÓLIO'!$C$4:$C$433,0)),"")</f>
        <v/>
      </c>
      <c r="L361" s="292" t="str">
        <f t="array" ref="L361">IFERROR(J361*INDEX('PORTIFÓLIO'!$S$4:$S$433,MATCH($C361,'PORTIFÓLIO'!$C$4:$C$433,0)),"")</f>
        <v/>
      </c>
      <c r="M361" s="220"/>
      <c r="N361" s="220"/>
      <c r="O361" s="220"/>
      <c r="P361" s="220"/>
      <c r="Q361" s="220"/>
      <c r="R361" s="220"/>
      <c r="S361" s="220"/>
      <c r="T361" s="220"/>
      <c r="U361" s="220"/>
      <c r="V361" s="220"/>
      <c r="W361" s="220"/>
    </row>
    <row r="362" ht="15.75" customHeight="1" outlineLevel="1">
      <c r="A362" s="211"/>
      <c r="B362" s="212"/>
      <c r="C362" s="213"/>
      <c r="D362" s="214" t="str">
        <f>IFERROR(VLOOKUP($C362,'PORTIFÓLIO'!C:V,2,0),"")</f>
        <v/>
      </c>
      <c r="E362" s="211" t="str">
        <f>IFERROR(VLOOKUP($C362,'PORTIFÓLIO'!C:V,3,0),"")</f>
        <v/>
      </c>
      <c r="F362" s="211" t="str">
        <f>IFERROR(VLOOKUP($C362,'PORTIFÓLIO'!C:V,4,0),"")</f>
        <v/>
      </c>
      <c r="G362" s="215" t="str">
        <f>IFERROR(VLOOKUP($C362,'PORTIFÓLIO'!C:V,5,0),"")</f>
        <v/>
      </c>
      <c r="H362" s="254" t="str">
        <f t="array" ref="H362">IFERROR(INDEX('PORTIFÓLIO'!$H$4:$H$433,MATCH($C362,'PORTIFÓLIO'!$C$4:$C$433,0)),"")</f>
        <v/>
      </c>
      <c r="I362" s="256"/>
      <c r="J362" s="218">
        <f t="shared" si="41"/>
        <v>0</v>
      </c>
      <c r="K362" s="292" t="str">
        <f t="array" ref="K362">IFERROR(I362*INDEX('PORTIFÓLIO'!$S$4:$S$433,MATCH($C362,'PORTIFÓLIO'!$C$4:$C$433,0)),"")</f>
        <v/>
      </c>
      <c r="L362" s="292" t="str">
        <f t="array" ref="L362">IFERROR(J362*INDEX('PORTIFÓLIO'!$S$4:$S$433,MATCH($C362,'PORTIFÓLIO'!$C$4:$C$433,0)),"")</f>
        <v/>
      </c>
      <c r="M362" s="220"/>
      <c r="N362" s="220"/>
      <c r="O362" s="220"/>
      <c r="P362" s="220"/>
      <c r="Q362" s="220"/>
      <c r="R362" s="220"/>
      <c r="S362" s="220"/>
      <c r="T362" s="220"/>
      <c r="U362" s="220"/>
      <c r="V362" s="220"/>
      <c r="W362" s="220"/>
    </row>
    <row r="363" ht="15.75" customHeight="1" outlineLevel="1">
      <c r="A363" s="211"/>
      <c r="B363" s="212"/>
      <c r="C363" s="213"/>
      <c r="D363" s="214" t="str">
        <f>IFERROR(VLOOKUP($C363,'PORTIFÓLIO'!C:V,2,0),"")</f>
        <v/>
      </c>
      <c r="E363" s="211" t="str">
        <f>IFERROR(VLOOKUP($C363,'PORTIFÓLIO'!C:V,3,0),"")</f>
        <v/>
      </c>
      <c r="F363" s="211" t="str">
        <f>IFERROR(VLOOKUP($C363,'PORTIFÓLIO'!C:V,4,0),"")</f>
        <v/>
      </c>
      <c r="G363" s="215" t="str">
        <f>IFERROR(VLOOKUP($C363,'PORTIFÓLIO'!C:V,5,0),"")</f>
        <v/>
      </c>
      <c r="H363" s="254" t="str">
        <f t="array" ref="H363">IFERROR(INDEX('PORTIFÓLIO'!$H$4:$H$433,MATCH($C363,'PORTIFÓLIO'!$C$4:$C$433,0)),"")</f>
        <v/>
      </c>
      <c r="I363" s="256"/>
      <c r="J363" s="218">
        <f t="shared" si="41"/>
        <v>0</v>
      </c>
      <c r="K363" s="292" t="str">
        <f t="array" ref="K363">IFERROR(I363*INDEX('PORTIFÓLIO'!$S$4:$S$433,MATCH($C363,'PORTIFÓLIO'!$C$4:$C$433,0)),"")</f>
        <v/>
      </c>
      <c r="L363" s="292" t="str">
        <f t="array" ref="L363">IFERROR(J363*INDEX('PORTIFÓLIO'!$S$4:$S$433,MATCH($C363,'PORTIFÓLIO'!$C$4:$C$433,0)),"")</f>
        <v/>
      </c>
      <c r="M363" s="220"/>
      <c r="N363" s="220"/>
      <c r="O363" s="220"/>
      <c r="P363" s="220"/>
      <c r="Q363" s="220"/>
      <c r="R363" s="220"/>
      <c r="S363" s="220"/>
      <c r="T363" s="220"/>
      <c r="U363" s="220"/>
      <c r="V363" s="220"/>
      <c r="W363" s="220"/>
    </row>
    <row r="364" ht="15.75" customHeight="1" outlineLevel="1">
      <c r="A364" s="211"/>
      <c r="B364" s="212"/>
      <c r="C364" s="213"/>
      <c r="D364" s="214" t="str">
        <f>IFERROR(VLOOKUP($C364,'PORTIFÓLIO'!C:V,2,0),"")</f>
        <v/>
      </c>
      <c r="E364" s="211" t="str">
        <f>IFERROR(VLOOKUP($C364,'PORTIFÓLIO'!C:V,3,0),"")</f>
        <v/>
      </c>
      <c r="F364" s="211" t="str">
        <f>IFERROR(VLOOKUP($C364,'PORTIFÓLIO'!C:V,4,0),"")</f>
        <v/>
      </c>
      <c r="G364" s="215" t="str">
        <f>IFERROR(VLOOKUP($C364,'PORTIFÓLIO'!C:V,5,0),"")</f>
        <v/>
      </c>
      <c r="H364" s="254" t="str">
        <f t="array" ref="H364">IFERROR(INDEX('PORTIFÓLIO'!$H$4:$H$433,MATCH($C364,'PORTIFÓLIO'!$C$4:$C$433,0)),"")</f>
        <v/>
      </c>
      <c r="I364" s="256"/>
      <c r="J364" s="218">
        <f t="shared" si="41"/>
        <v>0</v>
      </c>
      <c r="K364" s="292" t="str">
        <f t="array" ref="K364">IFERROR(I364*INDEX('PORTIFÓLIO'!$S$4:$S$433,MATCH($C364,'PORTIFÓLIO'!$C$4:$C$433,0)),"")</f>
        <v/>
      </c>
      <c r="L364" s="292" t="str">
        <f t="array" ref="L364">IFERROR(J364*INDEX('PORTIFÓLIO'!$S$4:$S$433,MATCH($C364,'PORTIFÓLIO'!$C$4:$C$433,0)),"")</f>
        <v/>
      </c>
      <c r="M364" s="220"/>
      <c r="N364" s="220"/>
      <c r="O364" s="220"/>
      <c r="P364" s="220"/>
      <c r="Q364" s="220"/>
      <c r="R364" s="220"/>
      <c r="S364" s="220"/>
      <c r="T364" s="220"/>
      <c r="U364" s="220"/>
      <c r="V364" s="220"/>
      <c r="W364" s="220"/>
    </row>
    <row r="365" ht="15.75" customHeight="1" outlineLevel="1">
      <c r="A365" s="211"/>
      <c r="B365" s="212"/>
      <c r="C365" s="213"/>
      <c r="D365" s="214" t="str">
        <f>IFERROR(VLOOKUP($C365,'PORTIFÓLIO'!C:V,2,0),"")</f>
        <v/>
      </c>
      <c r="E365" s="211" t="str">
        <f>IFERROR(VLOOKUP($C365,'PORTIFÓLIO'!C:V,3,0),"")</f>
        <v/>
      </c>
      <c r="F365" s="211" t="str">
        <f>IFERROR(VLOOKUP($C365,'PORTIFÓLIO'!C:V,4,0),"")</f>
        <v/>
      </c>
      <c r="G365" s="215" t="str">
        <f>IFERROR(VLOOKUP($C365,'PORTIFÓLIO'!C:V,5,0),"")</f>
        <v/>
      </c>
      <c r="H365" s="254" t="str">
        <f t="array" ref="H365">IFERROR(INDEX('PORTIFÓLIO'!$H$4:$H$433,MATCH($C365,'PORTIFÓLIO'!$C$4:$C$433,0)),"")</f>
        <v/>
      </c>
      <c r="I365" s="256"/>
      <c r="J365" s="218">
        <f t="shared" si="41"/>
        <v>0</v>
      </c>
      <c r="K365" s="292" t="str">
        <f t="array" ref="K365">IFERROR(I365*INDEX('PORTIFÓLIO'!$S$4:$S$433,MATCH($C365,'PORTIFÓLIO'!$C$4:$C$433,0)),"")</f>
        <v/>
      </c>
      <c r="L365" s="292" t="str">
        <f t="array" ref="L365">IFERROR(J365*INDEX('PORTIFÓLIO'!$S$4:$S$433,MATCH($C365,'PORTIFÓLIO'!$C$4:$C$433,0)),"")</f>
        <v/>
      </c>
      <c r="M365" s="220"/>
      <c r="N365" s="220"/>
      <c r="O365" s="220"/>
      <c r="P365" s="220"/>
      <c r="Q365" s="220"/>
      <c r="R365" s="220"/>
      <c r="S365" s="220"/>
      <c r="T365" s="220"/>
      <c r="U365" s="220"/>
      <c r="V365" s="220"/>
      <c r="W365" s="220"/>
    </row>
    <row r="366" ht="15.75" customHeight="1" outlineLevel="1">
      <c r="A366" s="211"/>
      <c r="B366" s="212"/>
      <c r="C366" s="213"/>
      <c r="D366" s="214" t="str">
        <f>IFERROR(VLOOKUP($C366,'PORTIFÓLIO'!C:V,2,0),"")</f>
        <v/>
      </c>
      <c r="E366" s="211" t="str">
        <f>IFERROR(VLOOKUP($C366,'PORTIFÓLIO'!C:V,3,0),"")</f>
        <v/>
      </c>
      <c r="F366" s="211" t="str">
        <f>IFERROR(VLOOKUP($C366,'PORTIFÓLIO'!C:V,4,0),"")</f>
        <v/>
      </c>
      <c r="G366" s="215" t="str">
        <f>IFERROR(VLOOKUP($C366,'PORTIFÓLIO'!C:V,5,0),"")</f>
        <v/>
      </c>
      <c r="H366" s="254" t="str">
        <f t="array" ref="H366">IFERROR(INDEX('PORTIFÓLIO'!$H$4:$H$433,MATCH($C366,'PORTIFÓLIO'!$C$4:$C$433,0)),"")</f>
        <v/>
      </c>
      <c r="I366" s="256"/>
      <c r="J366" s="218">
        <f t="shared" si="41"/>
        <v>0</v>
      </c>
      <c r="K366" s="292" t="str">
        <f t="array" ref="K366">IFERROR(I366*INDEX('PORTIFÓLIO'!$S$4:$S$433,MATCH($C366,'PORTIFÓLIO'!$C$4:$C$433,0)),"")</f>
        <v/>
      </c>
      <c r="L366" s="292" t="str">
        <f t="array" ref="L366">IFERROR(J366*INDEX('PORTIFÓLIO'!$S$4:$S$433,MATCH($C366,'PORTIFÓLIO'!$C$4:$C$433,0)),"")</f>
        <v/>
      </c>
      <c r="M366" s="220"/>
      <c r="N366" s="220"/>
      <c r="O366" s="220"/>
      <c r="P366" s="220"/>
      <c r="Q366" s="220"/>
      <c r="R366" s="220"/>
      <c r="S366" s="220"/>
      <c r="T366" s="220"/>
      <c r="U366" s="220"/>
      <c r="V366" s="220"/>
      <c r="W366" s="220"/>
    </row>
    <row r="367" ht="15.75" customHeight="1" outlineLevel="1">
      <c r="A367" s="211"/>
      <c r="B367" s="212"/>
      <c r="C367" s="213"/>
      <c r="D367" s="214" t="str">
        <f>IFERROR(VLOOKUP($C367,'PORTIFÓLIO'!C:V,2,0),"")</f>
        <v/>
      </c>
      <c r="E367" s="211" t="str">
        <f>IFERROR(VLOOKUP($C367,'PORTIFÓLIO'!C:V,3,0),"")</f>
        <v/>
      </c>
      <c r="F367" s="211" t="str">
        <f>IFERROR(VLOOKUP($C367,'PORTIFÓLIO'!C:V,4,0),"")</f>
        <v/>
      </c>
      <c r="G367" s="215" t="str">
        <f>IFERROR(VLOOKUP($C367,'PORTIFÓLIO'!C:V,5,0),"")</f>
        <v/>
      </c>
      <c r="H367" s="254" t="str">
        <f t="array" ref="H367">IFERROR(INDEX('PORTIFÓLIO'!$H$4:$H$433,MATCH($C367,'PORTIFÓLIO'!$C$4:$C$433,0)),"")</f>
        <v/>
      </c>
      <c r="I367" s="255"/>
      <c r="J367" s="218">
        <f t="shared" si="41"/>
        <v>0</v>
      </c>
      <c r="K367" s="292" t="str">
        <f t="array" ref="K367">IFERROR(I367*INDEX('PORTIFÓLIO'!$S$4:$S$433,MATCH($C367,'PORTIFÓLIO'!$C$4:$C$433,0)),"")</f>
        <v/>
      </c>
      <c r="L367" s="292" t="str">
        <f t="array" ref="L367">IFERROR(J367*INDEX('PORTIFÓLIO'!$S$4:$S$433,MATCH($C367,'PORTIFÓLIO'!$C$4:$C$433,0)),"")</f>
        <v/>
      </c>
      <c r="M367" s="220"/>
      <c r="N367" s="220"/>
      <c r="O367" s="220"/>
      <c r="P367" s="220"/>
      <c r="Q367" s="220"/>
      <c r="R367" s="220"/>
      <c r="S367" s="220"/>
      <c r="T367" s="220"/>
      <c r="U367" s="220"/>
      <c r="V367" s="220"/>
      <c r="W367" s="220"/>
    </row>
    <row r="368" ht="15.75" customHeight="1" outlineLevel="1">
      <c r="A368" s="211"/>
      <c r="B368" s="212"/>
      <c r="C368" s="213"/>
      <c r="D368" s="214" t="str">
        <f>IFERROR(VLOOKUP($C368,'PORTIFÓLIO'!C:V,2,0),"")</f>
        <v/>
      </c>
      <c r="E368" s="211" t="str">
        <f>IFERROR(VLOOKUP($C368,'PORTIFÓLIO'!C:V,3,0),"")</f>
        <v/>
      </c>
      <c r="F368" s="211" t="str">
        <f>IFERROR(VLOOKUP($C368,'PORTIFÓLIO'!C:V,4,0),"")</f>
        <v/>
      </c>
      <c r="G368" s="215" t="str">
        <f>IFERROR(VLOOKUP($C368,'PORTIFÓLIO'!C:V,5,0),"")</f>
        <v/>
      </c>
      <c r="H368" s="254" t="str">
        <f t="array" ref="H368">IFERROR(INDEX('PORTIFÓLIO'!$H$4:$H$433,MATCH($C368,'PORTIFÓLIO'!$C$4:$C$433,0)),"")</f>
        <v/>
      </c>
      <c r="I368" s="256"/>
      <c r="J368" s="218">
        <f t="shared" si="41"/>
        <v>0</v>
      </c>
      <c r="K368" s="292" t="str">
        <f t="array" ref="K368">IFERROR(I368*INDEX('PORTIFÓLIO'!$S$4:$S$433,MATCH($C368,'PORTIFÓLIO'!$C$4:$C$433,0)),"")</f>
        <v/>
      </c>
      <c r="L368" s="292" t="str">
        <f t="array" ref="L368">IFERROR(J368*INDEX('PORTIFÓLIO'!$S$4:$S$433,MATCH($C368,'PORTIFÓLIO'!$C$4:$C$433,0)),"")</f>
        <v/>
      </c>
      <c r="M368" s="220"/>
      <c r="N368" s="220"/>
      <c r="O368" s="220"/>
      <c r="P368" s="220"/>
      <c r="Q368" s="220"/>
      <c r="R368" s="220"/>
      <c r="S368" s="220"/>
      <c r="T368" s="220"/>
      <c r="U368" s="220"/>
      <c r="V368" s="220"/>
      <c r="W368" s="220"/>
    </row>
    <row r="369" ht="15.75" customHeight="1" outlineLevel="1">
      <c r="A369" s="211"/>
      <c r="B369" s="212"/>
      <c r="C369" s="213"/>
      <c r="D369" s="214" t="str">
        <f>IFERROR(VLOOKUP($C369,'PORTIFÓLIO'!C:V,2,0),"")</f>
        <v/>
      </c>
      <c r="E369" s="211" t="str">
        <f>IFERROR(VLOOKUP($C369,'PORTIFÓLIO'!C:V,3,0),"")</f>
        <v/>
      </c>
      <c r="F369" s="211" t="str">
        <f>IFERROR(VLOOKUP($C369,'PORTIFÓLIO'!C:V,4,0),"")</f>
        <v/>
      </c>
      <c r="G369" s="215" t="str">
        <f>IFERROR(VLOOKUP($C369,'PORTIFÓLIO'!C:V,5,0),"")</f>
        <v/>
      </c>
      <c r="H369" s="254" t="str">
        <f t="array" ref="H369">IFERROR(INDEX('PORTIFÓLIO'!$H$4:$H$433,MATCH($C369,'PORTIFÓLIO'!$C$4:$C$433,0)),"")</f>
        <v/>
      </c>
      <c r="I369" s="256"/>
      <c r="J369" s="218">
        <f t="shared" si="41"/>
        <v>0</v>
      </c>
      <c r="K369" s="292" t="str">
        <f t="array" ref="K369">IFERROR(I369*INDEX('PORTIFÓLIO'!$S$4:$S$433,MATCH($C369,'PORTIFÓLIO'!$C$4:$C$433,0)),"")</f>
        <v/>
      </c>
      <c r="L369" s="292" t="str">
        <f t="array" ref="L369">IFERROR(J369*INDEX('PORTIFÓLIO'!$S$4:$S$433,MATCH($C369,'PORTIFÓLIO'!$C$4:$C$433,0)),"")</f>
        <v/>
      </c>
      <c r="M369" s="220"/>
      <c r="N369" s="220"/>
      <c r="O369" s="220"/>
      <c r="P369" s="220"/>
      <c r="Q369" s="220"/>
      <c r="R369" s="220"/>
      <c r="S369" s="220"/>
      <c r="T369" s="220"/>
      <c r="U369" s="220"/>
      <c r="V369" s="220"/>
      <c r="W369" s="220"/>
    </row>
    <row r="370" ht="15.75" customHeight="1" outlineLevel="1">
      <c r="A370" s="211"/>
      <c r="B370" s="212"/>
      <c r="C370" s="213"/>
      <c r="D370" s="214" t="str">
        <f>IFERROR(VLOOKUP($C370,'PORTIFÓLIO'!C:V,2,0),"")</f>
        <v/>
      </c>
      <c r="E370" s="211" t="str">
        <f>IFERROR(VLOOKUP($C370,'PORTIFÓLIO'!C:V,3,0),"")</f>
        <v/>
      </c>
      <c r="F370" s="211" t="str">
        <f>IFERROR(VLOOKUP($C370,'PORTIFÓLIO'!C:V,4,0),"")</f>
        <v/>
      </c>
      <c r="G370" s="215" t="str">
        <f>IFERROR(VLOOKUP($C370,'PORTIFÓLIO'!C:V,5,0),"")</f>
        <v/>
      </c>
      <c r="H370" s="254" t="str">
        <f t="array" ref="H370">IFERROR(INDEX('PORTIFÓLIO'!$H$4:$H$433,MATCH($C370,'PORTIFÓLIO'!$C$4:$C$433,0)),"")</f>
        <v/>
      </c>
      <c r="I370" s="256"/>
      <c r="J370" s="218">
        <f t="shared" si="41"/>
        <v>0</v>
      </c>
      <c r="K370" s="292" t="str">
        <f t="array" ref="K370">IFERROR(I370*INDEX('PORTIFÓLIO'!$S$4:$S$433,MATCH($C370,'PORTIFÓLIO'!$C$4:$C$433,0)),"")</f>
        <v/>
      </c>
      <c r="L370" s="292" t="str">
        <f t="array" ref="L370">IFERROR(J370*INDEX('PORTIFÓLIO'!$S$4:$S$433,MATCH($C370,'PORTIFÓLIO'!$C$4:$C$433,0)),"")</f>
        <v/>
      </c>
      <c r="M370" s="220"/>
      <c r="N370" s="220"/>
      <c r="O370" s="220"/>
      <c r="P370" s="220"/>
      <c r="Q370" s="220"/>
      <c r="R370" s="220"/>
      <c r="S370" s="220"/>
      <c r="T370" s="220"/>
      <c r="U370" s="220"/>
      <c r="V370" s="220"/>
      <c r="W370" s="220"/>
    </row>
    <row r="371" ht="15.75" customHeight="1" outlineLevel="1">
      <c r="A371" s="211"/>
      <c r="B371" s="212"/>
      <c r="C371" s="213"/>
      <c r="D371" s="214" t="str">
        <f>IFERROR(VLOOKUP($C371,'PORTIFÓLIO'!C:V,2,0),"")</f>
        <v/>
      </c>
      <c r="E371" s="211" t="str">
        <f>IFERROR(VLOOKUP($C371,'PORTIFÓLIO'!C:V,3,0),"")</f>
        <v/>
      </c>
      <c r="F371" s="211" t="str">
        <f>IFERROR(VLOOKUP($C371,'PORTIFÓLIO'!C:V,4,0),"")</f>
        <v/>
      </c>
      <c r="G371" s="215" t="str">
        <f>IFERROR(VLOOKUP($C371,'PORTIFÓLIO'!C:V,5,0),"")</f>
        <v/>
      </c>
      <c r="H371" s="254" t="str">
        <f t="array" ref="H371">IFERROR(INDEX('PORTIFÓLIO'!$H$4:$H$433,MATCH($C371,'PORTIFÓLIO'!$C$4:$C$433,0)),"")</f>
        <v/>
      </c>
      <c r="I371" s="256"/>
      <c r="J371" s="218">
        <f t="shared" si="41"/>
        <v>0</v>
      </c>
      <c r="K371" s="292" t="str">
        <f t="array" ref="K371">IFERROR(I371*INDEX('PORTIFÓLIO'!$S$4:$S$433,MATCH($C371,'PORTIFÓLIO'!$C$4:$C$433,0)),"")</f>
        <v/>
      </c>
      <c r="L371" s="292" t="str">
        <f t="array" ref="L371">IFERROR(J371*INDEX('PORTIFÓLIO'!$S$4:$S$433,MATCH($C371,'PORTIFÓLIO'!$C$4:$C$433,0)),"")</f>
        <v/>
      </c>
      <c r="M371" s="220"/>
      <c r="N371" s="220"/>
      <c r="O371" s="220"/>
      <c r="P371" s="220"/>
      <c r="Q371" s="220"/>
      <c r="R371" s="220"/>
      <c r="S371" s="220"/>
      <c r="T371" s="220"/>
      <c r="U371" s="220"/>
      <c r="V371" s="220"/>
      <c r="W371" s="220"/>
    </row>
    <row r="372" ht="15.75" customHeight="1" outlineLevel="1">
      <c r="A372" s="211"/>
      <c r="B372" s="212"/>
      <c r="C372" s="213"/>
      <c r="D372" s="214" t="str">
        <f>IFERROR(VLOOKUP($C372,'PORTIFÓLIO'!C:V,2,0),"")</f>
        <v/>
      </c>
      <c r="E372" s="211" t="str">
        <f>IFERROR(VLOOKUP($C372,'PORTIFÓLIO'!C:V,3,0),"")</f>
        <v/>
      </c>
      <c r="F372" s="211" t="str">
        <f>IFERROR(VLOOKUP($C372,'PORTIFÓLIO'!C:V,4,0),"")</f>
        <v/>
      </c>
      <c r="G372" s="215" t="str">
        <f>IFERROR(VLOOKUP($C372,'PORTIFÓLIO'!C:V,5,0),"")</f>
        <v/>
      </c>
      <c r="H372" s="254" t="str">
        <f t="array" ref="H372">IFERROR(INDEX('PORTIFÓLIO'!$H$4:$H$433,MATCH($C372,'PORTIFÓLIO'!$C$4:$C$433,0)),"")</f>
        <v/>
      </c>
      <c r="I372" s="256"/>
      <c r="J372" s="218">
        <f t="shared" si="41"/>
        <v>0</v>
      </c>
      <c r="K372" s="292" t="str">
        <f t="array" ref="K372">IFERROR(I372*INDEX('PORTIFÓLIO'!$S$4:$S$433,MATCH($C372,'PORTIFÓLIO'!$C$4:$C$433,0)),"")</f>
        <v/>
      </c>
      <c r="L372" s="292" t="str">
        <f t="array" ref="L372">IFERROR(J372*INDEX('PORTIFÓLIO'!$S$4:$S$433,MATCH($C372,'PORTIFÓLIO'!$C$4:$C$433,0)),"")</f>
        <v/>
      </c>
      <c r="M372" s="220"/>
      <c r="N372" s="220"/>
      <c r="O372" s="220"/>
      <c r="P372" s="220"/>
      <c r="Q372" s="220"/>
      <c r="R372" s="220"/>
      <c r="S372" s="220"/>
      <c r="T372" s="220"/>
      <c r="U372" s="220"/>
      <c r="V372" s="220"/>
      <c r="W372" s="220"/>
    </row>
    <row r="373" ht="15.75" customHeight="1" outlineLevel="1">
      <c r="A373" s="211"/>
      <c r="B373" s="212"/>
      <c r="C373" s="213"/>
      <c r="D373" s="214" t="str">
        <f>IFERROR(VLOOKUP($C373,'PORTIFÓLIO'!C:V,2,0),"")</f>
        <v/>
      </c>
      <c r="E373" s="211" t="str">
        <f>IFERROR(VLOOKUP($C373,'PORTIFÓLIO'!C:V,3,0),"")</f>
        <v/>
      </c>
      <c r="F373" s="211" t="str">
        <f>IFERROR(VLOOKUP($C373,'PORTIFÓLIO'!C:V,4,0),"")</f>
        <v/>
      </c>
      <c r="G373" s="215" t="str">
        <f>IFERROR(VLOOKUP($C373,'PORTIFÓLIO'!C:V,5,0),"")</f>
        <v/>
      </c>
      <c r="H373" s="254" t="str">
        <f t="array" ref="H373">IFERROR(INDEX('PORTIFÓLIO'!$H$4:$H$433,MATCH($C373,'PORTIFÓLIO'!$C$4:$C$433,0)),"")</f>
        <v/>
      </c>
      <c r="I373" s="256"/>
      <c r="J373" s="218">
        <f t="shared" si="41"/>
        <v>0</v>
      </c>
      <c r="K373" s="292" t="str">
        <f t="array" ref="K373">IFERROR(I373*INDEX('PORTIFÓLIO'!$S$4:$S$433,MATCH($C373,'PORTIFÓLIO'!$C$4:$C$433,0)),"")</f>
        <v/>
      </c>
      <c r="L373" s="292" t="str">
        <f t="array" ref="L373">IFERROR(J373*INDEX('PORTIFÓLIO'!$S$4:$S$433,MATCH($C373,'PORTIFÓLIO'!$C$4:$C$433,0)),"")</f>
        <v/>
      </c>
      <c r="M373" s="220"/>
      <c r="N373" s="220"/>
      <c r="O373" s="220"/>
      <c r="P373" s="220"/>
      <c r="Q373" s="220"/>
      <c r="R373" s="220"/>
      <c r="S373" s="220"/>
      <c r="T373" s="220"/>
      <c r="U373" s="220"/>
      <c r="V373" s="220"/>
      <c r="W373" s="220"/>
    </row>
    <row r="374" ht="15.75" customHeight="1" outlineLevel="1">
      <c r="A374" s="211"/>
      <c r="B374" s="227"/>
      <c r="C374" s="211"/>
      <c r="D374" s="214" t="str">
        <f>IFERROR(VLOOKUP($C374,'PORTIFÓLIO'!C:V,2,0),"")</f>
        <v/>
      </c>
      <c r="E374" s="211" t="str">
        <f>IFERROR(VLOOKUP($C374,'PORTIFÓLIO'!C:V,3,0),"")</f>
        <v/>
      </c>
      <c r="F374" s="211" t="str">
        <f>IFERROR(VLOOKUP($C374,'PORTIFÓLIO'!C:V,4,0),"")</f>
        <v/>
      </c>
      <c r="G374" s="215" t="str">
        <f>IFERROR(VLOOKUP($C374,'PORTIFÓLIO'!C:V,5,0),"")</f>
        <v/>
      </c>
      <c r="H374" s="254" t="str">
        <f t="array" ref="H374">IFERROR(INDEX('PORTIFÓLIO'!$H$4:$H$433,MATCH($C374,'PORTIFÓLIO'!$C$4:$C$433,0)),"")</f>
        <v/>
      </c>
      <c r="I374" s="256"/>
      <c r="J374" s="218"/>
      <c r="K374" s="292" t="str">
        <f t="array" ref="K374">IFERROR(I374*INDEX('PORTIFÓLIO'!$S$4:$S$433,MATCH($C374,'PORTIFÓLIO'!$C$4:$C$433,0)),"")</f>
        <v/>
      </c>
      <c r="L374" s="292" t="str">
        <f t="array" ref="L374">IFERROR(J374*INDEX('PORTIFÓLIO'!$S$4:$S$433,MATCH($C374,'PORTIFÓLIO'!$C$4:$C$433,0)),"")</f>
        <v/>
      </c>
      <c r="M374" s="220"/>
      <c r="N374" s="220"/>
      <c r="O374" s="220"/>
      <c r="P374" s="220"/>
      <c r="Q374" s="220"/>
      <c r="R374" s="220"/>
      <c r="S374" s="220"/>
      <c r="T374" s="220"/>
      <c r="U374" s="220"/>
      <c r="V374" s="220"/>
      <c r="W374" s="220"/>
    </row>
    <row r="375" ht="15.75" customHeight="1">
      <c r="A375" s="229" t="s">
        <v>1192</v>
      </c>
      <c r="B375" s="230"/>
      <c r="C375" s="231"/>
      <c r="D375" s="232"/>
      <c r="E375" s="231"/>
      <c r="F375" s="231"/>
      <c r="G375" s="233"/>
      <c r="H375" s="233"/>
      <c r="I375" s="258"/>
      <c r="J375" s="236"/>
      <c r="K375" s="237">
        <f t="shared" ref="K375:L375" si="42">SUBTOTAL(9,K376:K389)</f>
        <v>0</v>
      </c>
      <c r="L375" s="237">
        <f t="shared" si="42"/>
        <v>0</v>
      </c>
      <c r="M375" s="220"/>
      <c r="N375" s="220"/>
      <c r="O375" s="220"/>
      <c r="P375" s="220"/>
      <c r="Q375" s="220"/>
      <c r="R375" s="220"/>
      <c r="S375" s="220"/>
      <c r="T375" s="220"/>
      <c r="U375" s="220"/>
      <c r="V375" s="220"/>
      <c r="W375" s="220"/>
    </row>
    <row r="376" ht="15.75" customHeight="1" outlineLevel="1">
      <c r="A376" s="213"/>
      <c r="B376" s="212"/>
      <c r="C376" s="213"/>
      <c r="D376" s="214" t="str">
        <f>IFERROR(VLOOKUP($C376,'PORTIFÓLIO'!C:V,2,0),"")</f>
        <v/>
      </c>
      <c r="E376" s="211" t="str">
        <f>IFERROR(VLOOKUP($C376,'PORTIFÓLIO'!C:V,3,0),"")</f>
        <v/>
      </c>
      <c r="F376" s="211" t="str">
        <f>IFERROR(VLOOKUP($C376,'PORTIFÓLIO'!C:V,4,0),"")</f>
        <v/>
      </c>
      <c r="G376" s="215" t="str">
        <f>IFERROR(VLOOKUP($C376,'PORTIFÓLIO'!C:V,5,0),"")</f>
        <v/>
      </c>
      <c r="H376" s="254" t="str">
        <f t="array" ref="H376">IFERROR(INDEX('PORTIFÓLIO'!$H$4:$H$433,MATCH($C376,'PORTIFÓLIO'!$C$4:$C$433,0)),"")</f>
        <v/>
      </c>
      <c r="I376" s="255"/>
      <c r="J376" s="218">
        <f t="shared" ref="J376:J390" si="43">I376*$B$2</f>
        <v>0</v>
      </c>
      <c r="K376" s="292" t="str">
        <f t="array" ref="K376">IFERROR(I376*INDEX('PORTIFÓLIO'!$S$4:$S$433,MATCH($C376,'PORTIFÓLIO'!$C$4:$C$433,0)),"")</f>
        <v/>
      </c>
      <c r="L376" s="292" t="str">
        <f t="array" ref="L376">IFERROR(J376*INDEX('PORTIFÓLIO'!$S$4:$S$433,MATCH($C376,'PORTIFÓLIO'!$C$4:$C$433,0)),"")</f>
        <v/>
      </c>
      <c r="M376" s="220"/>
      <c r="N376" s="220"/>
      <c r="O376" s="220"/>
      <c r="P376" s="220"/>
      <c r="Q376" s="220"/>
      <c r="R376" s="220"/>
      <c r="S376" s="220"/>
      <c r="T376" s="220"/>
      <c r="U376" s="220"/>
      <c r="V376" s="220"/>
      <c r="W376" s="220"/>
    </row>
    <row r="377" ht="15.75" customHeight="1" outlineLevel="1">
      <c r="A377" s="211"/>
      <c r="B377" s="212"/>
      <c r="C377" s="213"/>
      <c r="D377" s="214" t="str">
        <f>IFERROR(VLOOKUP($C377,'PORTIFÓLIO'!C:V,2,0),"")</f>
        <v/>
      </c>
      <c r="E377" s="211" t="str">
        <f>IFERROR(VLOOKUP($C377,'PORTIFÓLIO'!C:V,3,0),"")</f>
        <v/>
      </c>
      <c r="F377" s="211" t="str">
        <f>IFERROR(VLOOKUP($C377,'PORTIFÓLIO'!C:V,4,0),"")</f>
        <v/>
      </c>
      <c r="G377" s="215" t="str">
        <f>IFERROR(VLOOKUP($C377,'PORTIFÓLIO'!C:V,5,0),"")</f>
        <v/>
      </c>
      <c r="H377" s="254" t="str">
        <f t="array" ref="H377">IFERROR(INDEX('PORTIFÓLIO'!$H$4:$H$433,MATCH($C377,'PORTIFÓLIO'!$C$4:$C$433,0)),"")</f>
        <v/>
      </c>
      <c r="I377" s="256"/>
      <c r="J377" s="218">
        <f t="shared" si="43"/>
        <v>0</v>
      </c>
      <c r="K377" s="292" t="str">
        <f t="array" ref="K377">IFERROR(I377*INDEX('PORTIFÓLIO'!$S$4:$S$433,MATCH($C377,'PORTIFÓLIO'!$C$4:$C$433,0)),"")</f>
        <v/>
      </c>
      <c r="L377" s="292" t="str">
        <f t="array" ref="L377">IFERROR(J377*INDEX('PORTIFÓLIO'!$S$4:$S$433,MATCH($C377,'PORTIFÓLIO'!$C$4:$C$433,0)),"")</f>
        <v/>
      </c>
      <c r="M377" s="220"/>
      <c r="N377" s="220"/>
      <c r="O377" s="220"/>
      <c r="P377" s="220"/>
      <c r="Q377" s="220"/>
      <c r="R377" s="220"/>
      <c r="S377" s="220"/>
      <c r="T377" s="220"/>
      <c r="U377" s="220"/>
      <c r="V377" s="220"/>
      <c r="W377" s="220"/>
    </row>
    <row r="378" ht="15.75" customHeight="1" outlineLevel="1">
      <c r="A378" s="211"/>
      <c r="B378" s="212"/>
      <c r="C378" s="213"/>
      <c r="D378" s="214" t="str">
        <f>IFERROR(VLOOKUP($C378,'PORTIFÓLIO'!C:V,2,0),"")</f>
        <v/>
      </c>
      <c r="E378" s="211" t="str">
        <f>IFERROR(VLOOKUP($C378,'PORTIFÓLIO'!C:V,3,0),"")</f>
        <v/>
      </c>
      <c r="F378" s="211" t="str">
        <f>IFERROR(VLOOKUP($C378,'PORTIFÓLIO'!C:V,4,0),"")</f>
        <v/>
      </c>
      <c r="G378" s="215" t="str">
        <f>IFERROR(VLOOKUP($C378,'PORTIFÓLIO'!C:V,5,0),"")</f>
        <v/>
      </c>
      <c r="H378" s="254" t="str">
        <f t="array" ref="H378">IFERROR(INDEX('PORTIFÓLIO'!$H$4:$H$433,MATCH($C378,'PORTIFÓLIO'!$C$4:$C$433,0)),"")</f>
        <v/>
      </c>
      <c r="I378" s="256"/>
      <c r="J378" s="218">
        <f t="shared" si="43"/>
        <v>0</v>
      </c>
      <c r="K378" s="292" t="str">
        <f t="array" ref="K378">IFERROR(I378*INDEX('PORTIFÓLIO'!$S$4:$S$433,MATCH($C378,'PORTIFÓLIO'!$C$4:$C$433,0)),"")</f>
        <v/>
      </c>
      <c r="L378" s="292" t="str">
        <f t="array" ref="L378">IFERROR(J378*INDEX('PORTIFÓLIO'!$S$4:$S$433,MATCH($C378,'PORTIFÓLIO'!$C$4:$C$433,0)),"")</f>
        <v/>
      </c>
      <c r="M378" s="220"/>
      <c r="N378" s="220"/>
      <c r="O378" s="220"/>
      <c r="P378" s="220"/>
      <c r="Q378" s="220"/>
      <c r="R378" s="220"/>
      <c r="S378" s="220"/>
      <c r="T378" s="220"/>
      <c r="U378" s="220"/>
      <c r="V378" s="220"/>
      <c r="W378" s="220"/>
    </row>
    <row r="379" ht="15.75" customHeight="1" outlineLevel="1">
      <c r="A379" s="211"/>
      <c r="B379" s="212"/>
      <c r="C379" s="213"/>
      <c r="D379" s="214" t="str">
        <f>IFERROR(VLOOKUP($C379,'PORTIFÓLIO'!C:V,2,0),"")</f>
        <v/>
      </c>
      <c r="E379" s="211" t="str">
        <f>IFERROR(VLOOKUP($C379,'PORTIFÓLIO'!C:V,3,0),"")</f>
        <v/>
      </c>
      <c r="F379" s="211" t="str">
        <f>IFERROR(VLOOKUP($C379,'PORTIFÓLIO'!C:V,4,0),"")</f>
        <v/>
      </c>
      <c r="G379" s="215" t="str">
        <f>IFERROR(VLOOKUP($C379,'PORTIFÓLIO'!C:V,5,0),"")</f>
        <v/>
      </c>
      <c r="H379" s="254" t="str">
        <f t="array" ref="H379">IFERROR(INDEX('PORTIFÓLIO'!$H$4:$H$433,MATCH($C379,'PORTIFÓLIO'!$C$4:$C$433,0)),"")</f>
        <v/>
      </c>
      <c r="I379" s="256"/>
      <c r="J379" s="218">
        <f t="shared" si="43"/>
        <v>0</v>
      </c>
      <c r="K379" s="292" t="str">
        <f t="array" ref="K379">IFERROR(I379*INDEX('PORTIFÓLIO'!$S$4:$S$433,MATCH($C379,'PORTIFÓLIO'!$C$4:$C$433,0)),"")</f>
        <v/>
      </c>
      <c r="L379" s="292" t="str">
        <f t="array" ref="L379">IFERROR(J379*INDEX('PORTIFÓLIO'!$S$4:$S$433,MATCH($C379,'PORTIFÓLIO'!$C$4:$C$433,0)),"")</f>
        <v/>
      </c>
      <c r="M379" s="220"/>
      <c r="N379" s="220"/>
      <c r="O379" s="220"/>
      <c r="P379" s="220"/>
      <c r="Q379" s="220"/>
      <c r="R379" s="220"/>
      <c r="S379" s="220"/>
      <c r="T379" s="220"/>
      <c r="U379" s="220"/>
      <c r="V379" s="220"/>
      <c r="W379" s="220"/>
    </row>
    <row r="380" ht="15.75" customHeight="1" outlineLevel="1">
      <c r="A380" s="211"/>
      <c r="B380" s="212"/>
      <c r="C380" s="213"/>
      <c r="D380" s="214" t="str">
        <f>IFERROR(VLOOKUP($C380,'PORTIFÓLIO'!C:V,2,0),"")</f>
        <v/>
      </c>
      <c r="E380" s="211" t="str">
        <f>IFERROR(VLOOKUP($C380,'PORTIFÓLIO'!C:V,3,0),"")</f>
        <v/>
      </c>
      <c r="F380" s="211" t="str">
        <f>IFERROR(VLOOKUP($C380,'PORTIFÓLIO'!C:V,4,0),"")</f>
        <v/>
      </c>
      <c r="G380" s="215" t="str">
        <f>IFERROR(VLOOKUP($C380,'PORTIFÓLIO'!C:V,5,0),"")</f>
        <v/>
      </c>
      <c r="H380" s="254" t="str">
        <f t="array" ref="H380">IFERROR(INDEX('PORTIFÓLIO'!$H$4:$H$433,MATCH($C380,'PORTIFÓLIO'!$C$4:$C$433,0)),"")</f>
        <v/>
      </c>
      <c r="I380" s="256"/>
      <c r="J380" s="218">
        <f t="shared" si="43"/>
        <v>0</v>
      </c>
      <c r="K380" s="292" t="str">
        <f t="array" ref="K380">IFERROR(I380*INDEX('PORTIFÓLIO'!$S$4:$S$433,MATCH($C380,'PORTIFÓLIO'!$C$4:$C$433,0)),"")</f>
        <v/>
      </c>
      <c r="L380" s="292" t="str">
        <f t="array" ref="L380">IFERROR(J380*INDEX('PORTIFÓLIO'!$S$4:$S$433,MATCH($C380,'PORTIFÓLIO'!$C$4:$C$433,0)),"")</f>
        <v/>
      </c>
      <c r="M380" s="220"/>
      <c r="N380" s="220"/>
      <c r="O380" s="220"/>
      <c r="P380" s="220"/>
      <c r="Q380" s="220"/>
      <c r="R380" s="220"/>
      <c r="S380" s="220"/>
      <c r="T380" s="220"/>
      <c r="U380" s="220"/>
      <c r="V380" s="220"/>
      <c r="W380" s="220"/>
    </row>
    <row r="381" ht="15.75" customHeight="1" outlineLevel="1">
      <c r="A381" s="211"/>
      <c r="B381" s="212"/>
      <c r="C381" s="213"/>
      <c r="D381" s="214" t="str">
        <f>IFERROR(VLOOKUP($C381,'PORTIFÓLIO'!C:V,2,0),"")</f>
        <v/>
      </c>
      <c r="E381" s="211" t="str">
        <f>IFERROR(VLOOKUP($C381,'PORTIFÓLIO'!C:V,3,0),"")</f>
        <v/>
      </c>
      <c r="F381" s="211" t="str">
        <f>IFERROR(VLOOKUP($C381,'PORTIFÓLIO'!C:V,4,0),"")</f>
        <v/>
      </c>
      <c r="G381" s="215" t="str">
        <f>IFERROR(VLOOKUP($C381,'PORTIFÓLIO'!C:V,5,0),"")</f>
        <v/>
      </c>
      <c r="H381" s="254" t="str">
        <f t="array" ref="H381">IFERROR(INDEX('PORTIFÓLIO'!$H$4:$H$433,MATCH($C381,'PORTIFÓLIO'!$C$4:$C$433,0)),"")</f>
        <v/>
      </c>
      <c r="I381" s="256"/>
      <c r="J381" s="218">
        <f t="shared" si="43"/>
        <v>0</v>
      </c>
      <c r="K381" s="292" t="str">
        <f t="array" ref="K381">IFERROR(I381*INDEX('PORTIFÓLIO'!$S$4:$S$433,MATCH($C381,'PORTIFÓLIO'!$C$4:$C$433,0)),"")</f>
        <v/>
      </c>
      <c r="L381" s="292" t="str">
        <f t="array" ref="L381">IFERROR(J381*INDEX('PORTIFÓLIO'!$S$4:$S$433,MATCH($C381,'PORTIFÓLIO'!$C$4:$C$433,0)),"")</f>
        <v/>
      </c>
      <c r="M381" s="220"/>
      <c r="N381" s="220"/>
      <c r="O381" s="220"/>
      <c r="P381" s="220"/>
      <c r="Q381" s="220"/>
      <c r="R381" s="220"/>
      <c r="S381" s="220"/>
      <c r="T381" s="220"/>
      <c r="U381" s="220"/>
      <c r="V381" s="220"/>
      <c r="W381" s="220"/>
    </row>
    <row r="382" ht="15.75" customHeight="1" outlineLevel="1">
      <c r="A382" s="211"/>
      <c r="B382" s="212"/>
      <c r="C382" s="213"/>
      <c r="D382" s="214" t="str">
        <f>IFERROR(VLOOKUP($C382,'PORTIFÓLIO'!C:V,2,0),"")</f>
        <v/>
      </c>
      <c r="E382" s="211" t="str">
        <f>IFERROR(VLOOKUP($C382,'PORTIFÓLIO'!C:V,3,0),"")</f>
        <v/>
      </c>
      <c r="F382" s="211" t="str">
        <f>IFERROR(VLOOKUP($C382,'PORTIFÓLIO'!C:V,4,0),"")</f>
        <v/>
      </c>
      <c r="G382" s="215" t="str">
        <f>IFERROR(VLOOKUP($C382,'PORTIFÓLIO'!C:V,5,0),"")</f>
        <v/>
      </c>
      <c r="H382" s="254" t="str">
        <f t="array" ref="H382">IFERROR(INDEX('PORTIFÓLIO'!$H$4:$H$433,MATCH($C382,'PORTIFÓLIO'!$C$4:$C$433,0)),"")</f>
        <v/>
      </c>
      <c r="I382" s="256"/>
      <c r="J382" s="218">
        <f t="shared" si="43"/>
        <v>0</v>
      </c>
      <c r="K382" s="292" t="str">
        <f t="array" ref="K382">IFERROR(I382*INDEX('PORTIFÓLIO'!$S$4:$S$433,MATCH($C382,'PORTIFÓLIO'!$C$4:$C$433,0)),"")</f>
        <v/>
      </c>
      <c r="L382" s="292" t="str">
        <f t="array" ref="L382">IFERROR(J382*INDEX('PORTIFÓLIO'!$S$4:$S$433,MATCH($C382,'PORTIFÓLIO'!$C$4:$C$433,0)),"")</f>
        <v/>
      </c>
      <c r="M382" s="220"/>
      <c r="N382" s="220"/>
      <c r="O382" s="220"/>
      <c r="P382" s="220"/>
      <c r="Q382" s="220"/>
      <c r="R382" s="220"/>
      <c r="S382" s="220"/>
      <c r="T382" s="220"/>
      <c r="U382" s="220"/>
      <c r="V382" s="220"/>
      <c r="W382" s="220"/>
    </row>
    <row r="383" ht="15.75" customHeight="1" outlineLevel="1">
      <c r="A383" s="211"/>
      <c r="B383" s="212"/>
      <c r="C383" s="213"/>
      <c r="D383" s="214" t="str">
        <f>IFERROR(VLOOKUP($C383,'PORTIFÓLIO'!C:V,2,0),"")</f>
        <v/>
      </c>
      <c r="E383" s="211" t="str">
        <f>IFERROR(VLOOKUP($C383,'PORTIFÓLIO'!C:V,3,0),"")</f>
        <v/>
      </c>
      <c r="F383" s="211" t="str">
        <f>IFERROR(VLOOKUP($C383,'PORTIFÓLIO'!C:V,4,0),"")</f>
        <v/>
      </c>
      <c r="G383" s="215" t="str">
        <f>IFERROR(VLOOKUP($C383,'PORTIFÓLIO'!C:V,5,0),"")</f>
        <v/>
      </c>
      <c r="H383" s="254" t="str">
        <f t="array" ref="H383">IFERROR(INDEX('PORTIFÓLIO'!$H$4:$H$433,MATCH($C383,'PORTIFÓLIO'!$C$4:$C$433,0)),"")</f>
        <v/>
      </c>
      <c r="I383" s="256"/>
      <c r="J383" s="218">
        <f t="shared" si="43"/>
        <v>0</v>
      </c>
      <c r="K383" s="292" t="str">
        <f t="array" ref="K383">IFERROR(I383*INDEX('PORTIFÓLIO'!$S$4:$S$433,MATCH($C383,'PORTIFÓLIO'!$C$4:$C$433,0)),"")</f>
        <v/>
      </c>
      <c r="L383" s="292" t="str">
        <f t="array" ref="L383">IFERROR(J383*INDEX('PORTIFÓLIO'!$S$4:$S$433,MATCH($C383,'PORTIFÓLIO'!$C$4:$C$433,0)),"")</f>
        <v/>
      </c>
      <c r="M383" s="220"/>
      <c r="N383" s="220"/>
      <c r="O383" s="220"/>
      <c r="P383" s="220"/>
      <c r="Q383" s="220"/>
      <c r="R383" s="220"/>
      <c r="S383" s="220"/>
      <c r="T383" s="220"/>
      <c r="U383" s="220"/>
      <c r="V383" s="220"/>
      <c r="W383" s="220"/>
    </row>
    <row r="384" ht="15.75" customHeight="1" outlineLevel="1">
      <c r="A384" s="211"/>
      <c r="B384" s="212"/>
      <c r="C384" s="213"/>
      <c r="D384" s="214" t="str">
        <f>IFERROR(VLOOKUP($C384,'PORTIFÓLIO'!C:V,2,0),"")</f>
        <v/>
      </c>
      <c r="E384" s="211" t="str">
        <f>IFERROR(VLOOKUP($C384,'PORTIFÓLIO'!C:V,3,0),"")</f>
        <v/>
      </c>
      <c r="F384" s="211" t="str">
        <f>IFERROR(VLOOKUP($C384,'PORTIFÓLIO'!C:V,4,0),"")</f>
        <v/>
      </c>
      <c r="G384" s="215" t="str">
        <f>IFERROR(VLOOKUP($C384,'PORTIFÓLIO'!C:V,5,0),"")</f>
        <v/>
      </c>
      <c r="H384" s="254" t="str">
        <f t="array" ref="H384">IFERROR(INDEX('PORTIFÓLIO'!$H$4:$H$433,MATCH($C384,'PORTIFÓLIO'!$C$4:$C$433,0)),"")</f>
        <v/>
      </c>
      <c r="I384" s="255"/>
      <c r="J384" s="218">
        <f t="shared" si="43"/>
        <v>0</v>
      </c>
      <c r="K384" s="292" t="str">
        <f t="array" ref="K384">IFERROR(I384*INDEX('PORTIFÓLIO'!$S$4:$S$433,MATCH($C384,'PORTIFÓLIO'!$C$4:$C$433,0)),"")</f>
        <v/>
      </c>
      <c r="L384" s="292" t="str">
        <f t="array" ref="L384">IFERROR(J384*INDEX('PORTIFÓLIO'!$S$4:$S$433,MATCH($C384,'PORTIFÓLIO'!$C$4:$C$433,0)),"")</f>
        <v/>
      </c>
      <c r="M384" s="220"/>
      <c r="N384" s="220"/>
      <c r="O384" s="220"/>
      <c r="P384" s="220"/>
      <c r="Q384" s="220"/>
      <c r="R384" s="220"/>
      <c r="S384" s="220"/>
      <c r="T384" s="220"/>
      <c r="U384" s="220"/>
      <c r="V384" s="220"/>
      <c r="W384" s="220"/>
    </row>
    <row r="385" ht="15.75" customHeight="1" outlineLevel="1">
      <c r="A385" s="211"/>
      <c r="B385" s="212"/>
      <c r="C385" s="213"/>
      <c r="D385" s="214" t="str">
        <f>IFERROR(VLOOKUP($C385,'PORTIFÓLIO'!C:V,2,0),"")</f>
        <v/>
      </c>
      <c r="E385" s="211" t="str">
        <f>IFERROR(VLOOKUP($C385,'PORTIFÓLIO'!C:V,3,0),"")</f>
        <v/>
      </c>
      <c r="F385" s="211" t="str">
        <f>IFERROR(VLOOKUP($C385,'PORTIFÓLIO'!C:V,4,0),"")</f>
        <v/>
      </c>
      <c r="G385" s="215" t="str">
        <f>IFERROR(VLOOKUP($C385,'PORTIFÓLIO'!C:V,5,0),"")</f>
        <v/>
      </c>
      <c r="H385" s="254" t="str">
        <f t="array" ref="H385">IFERROR(INDEX('PORTIFÓLIO'!$H$4:$H$433,MATCH($C385,'PORTIFÓLIO'!$C$4:$C$433,0)),"")</f>
        <v/>
      </c>
      <c r="I385" s="256"/>
      <c r="J385" s="218">
        <f t="shared" si="43"/>
        <v>0</v>
      </c>
      <c r="K385" s="292" t="str">
        <f t="array" ref="K385">IFERROR(I385*INDEX('PORTIFÓLIO'!$S$4:$S$433,MATCH($C385,'PORTIFÓLIO'!$C$4:$C$433,0)),"")</f>
        <v/>
      </c>
      <c r="L385" s="292" t="str">
        <f t="array" ref="L385">IFERROR(J385*INDEX('PORTIFÓLIO'!$S$4:$S$433,MATCH($C385,'PORTIFÓLIO'!$C$4:$C$433,0)),"")</f>
        <v/>
      </c>
      <c r="M385" s="220"/>
      <c r="N385" s="220"/>
      <c r="O385" s="220"/>
      <c r="P385" s="220"/>
      <c r="Q385" s="220"/>
      <c r="R385" s="220"/>
      <c r="S385" s="220"/>
      <c r="T385" s="220"/>
      <c r="U385" s="220"/>
      <c r="V385" s="220"/>
      <c r="W385" s="220"/>
    </row>
    <row r="386" ht="15.75" customHeight="1" outlineLevel="1">
      <c r="A386" s="211"/>
      <c r="B386" s="212"/>
      <c r="C386" s="213"/>
      <c r="D386" s="214" t="str">
        <f>IFERROR(VLOOKUP($C386,'PORTIFÓLIO'!C:V,2,0),"")</f>
        <v/>
      </c>
      <c r="E386" s="211" t="str">
        <f>IFERROR(VLOOKUP($C386,'PORTIFÓLIO'!C:V,3,0),"")</f>
        <v/>
      </c>
      <c r="F386" s="211" t="str">
        <f>IFERROR(VLOOKUP($C386,'PORTIFÓLIO'!C:V,4,0),"")</f>
        <v/>
      </c>
      <c r="G386" s="215" t="str">
        <f>IFERROR(VLOOKUP($C386,'PORTIFÓLIO'!C:V,5,0),"")</f>
        <v/>
      </c>
      <c r="H386" s="254" t="str">
        <f t="array" ref="H386">IFERROR(INDEX('PORTIFÓLIO'!$H$4:$H$433,MATCH($C386,'PORTIFÓLIO'!$C$4:$C$433,0)),"")</f>
        <v/>
      </c>
      <c r="I386" s="256"/>
      <c r="J386" s="218">
        <f t="shared" si="43"/>
        <v>0</v>
      </c>
      <c r="K386" s="292" t="str">
        <f t="array" ref="K386">IFERROR(I386*INDEX('PORTIFÓLIO'!$S$4:$S$433,MATCH($C386,'PORTIFÓLIO'!$C$4:$C$433,0)),"")</f>
        <v/>
      </c>
      <c r="L386" s="292" t="str">
        <f t="array" ref="L386">IFERROR(J386*INDEX('PORTIFÓLIO'!$S$4:$S$433,MATCH($C386,'PORTIFÓLIO'!$C$4:$C$433,0)),"")</f>
        <v/>
      </c>
      <c r="M386" s="220"/>
      <c r="N386" s="220"/>
      <c r="O386" s="220"/>
      <c r="P386" s="220"/>
      <c r="Q386" s="220"/>
      <c r="R386" s="220"/>
      <c r="S386" s="220"/>
      <c r="T386" s="220"/>
      <c r="U386" s="220"/>
      <c r="V386" s="220"/>
      <c r="W386" s="220"/>
    </row>
    <row r="387" ht="15.75" customHeight="1" outlineLevel="1">
      <c r="A387" s="211"/>
      <c r="B387" s="212"/>
      <c r="C387" s="213"/>
      <c r="D387" s="214" t="str">
        <f>IFERROR(VLOOKUP($C387,'PORTIFÓLIO'!C:V,2,0),"")</f>
        <v/>
      </c>
      <c r="E387" s="211" t="str">
        <f>IFERROR(VLOOKUP($C387,'PORTIFÓLIO'!C:V,3,0),"")</f>
        <v/>
      </c>
      <c r="F387" s="211" t="str">
        <f>IFERROR(VLOOKUP($C387,'PORTIFÓLIO'!C:V,4,0),"")</f>
        <v/>
      </c>
      <c r="G387" s="215" t="str">
        <f>IFERROR(VLOOKUP($C387,'PORTIFÓLIO'!C:V,5,0),"")</f>
        <v/>
      </c>
      <c r="H387" s="254" t="str">
        <f t="array" ref="H387">IFERROR(INDEX('PORTIFÓLIO'!$H$4:$H$433,MATCH($C387,'PORTIFÓLIO'!$C$4:$C$433,0)),"")</f>
        <v/>
      </c>
      <c r="I387" s="256"/>
      <c r="J387" s="218">
        <f t="shared" si="43"/>
        <v>0</v>
      </c>
      <c r="K387" s="292" t="str">
        <f t="array" ref="K387">IFERROR(I387*INDEX('PORTIFÓLIO'!$S$4:$S$433,MATCH($C387,'PORTIFÓLIO'!$C$4:$C$433,0)),"")</f>
        <v/>
      </c>
      <c r="L387" s="292" t="str">
        <f t="array" ref="L387">IFERROR(J387*INDEX('PORTIFÓLIO'!$S$4:$S$433,MATCH($C387,'PORTIFÓLIO'!$C$4:$C$433,0)),"")</f>
        <v/>
      </c>
      <c r="M387" s="220"/>
      <c r="N387" s="220"/>
      <c r="O387" s="220"/>
      <c r="P387" s="220"/>
      <c r="Q387" s="220"/>
      <c r="R387" s="220"/>
      <c r="S387" s="220"/>
      <c r="T387" s="220"/>
      <c r="U387" s="220"/>
      <c r="V387" s="220"/>
      <c r="W387" s="220"/>
    </row>
    <row r="388" ht="15.75" customHeight="1" outlineLevel="1">
      <c r="A388" s="211"/>
      <c r="B388" s="212"/>
      <c r="C388" s="213"/>
      <c r="D388" s="214" t="str">
        <f>IFERROR(VLOOKUP($C388,'PORTIFÓLIO'!C:V,2,0),"")</f>
        <v/>
      </c>
      <c r="E388" s="211" t="str">
        <f>IFERROR(VLOOKUP($C388,'PORTIFÓLIO'!C:V,3,0),"")</f>
        <v/>
      </c>
      <c r="F388" s="211" t="str">
        <f>IFERROR(VLOOKUP($C388,'PORTIFÓLIO'!C:V,4,0),"")</f>
        <v/>
      </c>
      <c r="G388" s="215" t="str">
        <f>IFERROR(VLOOKUP($C388,'PORTIFÓLIO'!C:V,5,0),"")</f>
        <v/>
      </c>
      <c r="H388" s="254" t="str">
        <f t="array" ref="H388">IFERROR(INDEX('PORTIFÓLIO'!$H$4:$H$433,MATCH($C388,'PORTIFÓLIO'!$C$4:$C$433,0)),"")</f>
        <v/>
      </c>
      <c r="I388" s="256"/>
      <c r="J388" s="218">
        <f t="shared" si="43"/>
        <v>0</v>
      </c>
      <c r="K388" s="292" t="str">
        <f t="array" ref="K388">IFERROR(I388*INDEX('PORTIFÓLIO'!$S$4:$S$433,MATCH($C388,'PORTIFÓLIO'!$C$4:$C$433,0)),"")</f>
        <v/>
      </c>
      <c r="L388" s="292" t="str">
        <f t="array" ref="L388">IFERROR(J388*INDEX('PORTIFÓLIO'!$S$4:$S$433,MATCH($C388,'PORTIFÓLIO'!$C$4:$C$433,0)),"")</f>
        <v/>
      </c>
      <c r="M388" s="220"/>
      <c r="N388" s="220"/>
      <c r="O388" s="220"/>
      <c r="P388" s="220"/>
      <c r="Q388" s="220"/>
      <c r="R388" s="220"/>
      <c r="S388" s="220"/>
      <c r="T388" s="220"/>
      <c r="U388" s="220"/>
      <c r="V388" s="220"/>
      <c r="W388" s="220"/>
    </row>
    <row r="389" ht="15.75" customHeight="1" outlineLevel="1">
      <c r="A389" s="211"/>
      <c r="B389" s="212"/>
      <c r="C389" s="213"/>
      <c r="D389" s="214" t="str">
        <f>IFERROR(VLOOKUP($C389,'PORTIFÓLIO'!C:V,2,0),"")</f>
        <v/>
      </c>
      <c r="E389" s="211" t="str">
        <f>IFERROR(VLOOKUP($C389,'PORTIFÓLIO'!C:V,3,0),"")</f>
        <v/>
      </c>
      <c r="F389" s="211" t="str">
        <f>IFERROR(VLOOKUP($C389,'PORTIFÓLIO'!C:V,4,0),"")</f>
        <v/>
      </c>
      <c r="G389" s="215" t="str">
        <f>IFERROR(VLOOKUP($C389,'PORTIFÓLIO'!C:V,5,0),"")</f>
        <v/>
      </c>
      <c r="H389" s="254" t="str">
        <f t="array" ref="H389">IFERROR(INDEX('PORTIFÓLIO'!$H$4:$H$433,MATCH($C389,'PORTIFÓLIO'!$C$4:$C$433,0)),"")</f>
        <v/>
      </c>
      <c r="I389" s="256"/>
      <c r="J389" s="218">
        <f t="shared" si="43"/>
        <v>0</v>
      </c>
      <c r="K389" s="292" t="str">
        <f t="array" ref="K389">IFERROR(I389*INDEX('PORTIFÓLIO'!$S$4:$S$433,MATCH($C389,'PORTIFÓLIO'!$C$4:$C$433,0)),"")</f>
        <v/>
      </c>
      <c r="L389" s="292" t="str">
        <f t="array" ref="L389">IFERROR(J389*INDEX('PORTIFÓLIO'!$S$4:$S$433,MATCH($C389,'PORTIFÓLIO'!$C$4:$C$433,0)),"")</f>
        <v/>
      </c>
      <c r="M389" s="220"/>
      <c r="N389" s="220"/>
      <c r="O389" s="220"/>
      <c r="P389" s="220"/>
      <c r="Q389" s="220"/>
      <c r="R389" s="220"/>
      <c r="S389" s="220"/>
      <c r="T389" s="220"/>
      <c r="U389" s="220"/>
      <c r="V389" s="220"/>
      <c r="W389" s="220"/>
    </row>
    <row r="390" ht="15.75" customHeight="1" outlineLevel="1">
      <c r="A390" s="211"/>
      <c r="B390" s="212"/>
      <c r="C390" s="213"/>
      <c r="D390" s="214" t="str">
        <f>IFERROR(VLOOKUP($C390,'PORTIFÓLIO'!C:V,2,0),"")</f>
        <v/>
      </c>
      <c r="E390" s="211" t="str">
        <f>IFERROR(VLOOKUP($C390,'PORTIFÓLIO'!C:V,3,0),"")</f>
        <v/>
      </c>
      <c r="F390" s="211" t="str">
        <f>IFERROR(VLOOKUP($C390,'PORTIFÓLIO'!C:V,4,0),"")</f>
        <v/>
      </c>
      <c r="G390" s="215" t="str">
        <f>IFERROR(VLOOKUP($C390,'PORTIFÓLIO'!C:V,5,0),"")</f>
        <v/>
      </c>
      <c r="H390" s="254" t="str">
        <f t="array" ref="H390">IFERROR(INDEX('PORTIFÓLIO'!$H$4:$H$433,MATCH($C390,'PORTIFÓLIO'!$C$4:$C$433,0)),"")</f>
        <v/>
      </c>
      <c r="I390" s="256"/>
      <c r="J390" s="218">
        <f t="shared" si="43"/>
        <v>0</v>
      </c>
      <c r="K390" s="292" t="str">
        <f t="array" ref="K390">IFERROR(I390*INDEX('PORTIFÓLIO'!$S$4:$S$433,MATCH($C390,'PORTIFÓLIO'!$C$4:$C$433,0)),"")</f>
        <v/>
      </c>
      <c r="L390" s="292" t="str">
        <f t="array" ref="L390">IFERROR(J390*INDEX('PORTIFÓLIO'!$S$4:$S$433,MATCH($C390,'PORTIFÓLIO'!$C$4:$C$433,0)),"")</f>
        <v/>
      </c>
      <c r="M390" s="220"/>
      <c r="N390" s="220"/>
      <c r="O390" s="220"/>
      <c r="P390" s="220"/>
      <c r="Q390" s="220"/>
      <c r="R390" s="220"/>
      <c r="S390" s="220"/>
      <c r="T390" s="220"/>
      <c r="U390" s="220"/>
      <c r="V390" s="220"/>
      <c r="W390" s="220"/>
    </row>
    <row r="391" ht="15.75" customHeight="1" outlineLevel="1">
      <c r="A391" s="211"/>
      <c r="B391" s="227"/>
      <c r="C391" s="211"/>
      <c r="D391" s="214" t="str">
        <f>IFERROR(VLOOKUP($C391,'PORTIFÓLIO'!C:V,2,0),"")</f>
        <v/>
      </c>
      <c r="E391" s="211" t="str">
        <f>IFERROR(VLOOKUP($C391,'PORTIFÓLIO'!C:V,3,0),"")</f>
        <v/>
      </c>
      <c r="F391" s="211" t="str">
        <f>IFERROR(VLOOKUP($C391,'PORTIFÓLIO'!C:V,4,0),"")</f>
        <v/>
      </c>
      <c r="G391" s="215" t="str">
        <f>IFERROR(VLOOKUP($C391,'PORTIFÓLIO'!C:V,5,0),"")</f>
        <v/>
      </c>
      <c r="H391" s="254" t="str">
        <f t="array" ref="H391">IFERROR(INDEX('PORTIFÓLIO'!$H$4:$H$433,MATCH($C391,'PORTIFÓLIO'!$C$4:$C$433,0)),"")</f>
        <v/>
      </c>
      <c r="I391" s="256"/>
      <c r="J391" s="218"/>
      <c r="K391" s="292" t="str">
        <f t="array" ref="K391">IFERROR(I391*INDEX('PORTIFÓLIO'!$S$4:$S$433,MATCH($C391,'PORTIFÓLIO'!$C$4:$C$433,0)),"")</f>
        <v/>
      </c>
      <c r="L391" s="292" t="str">
        <f t="array" ref="L391">IFERROR(J391*INDEX('PORTIFÓLIO'!$S$4:$S$433,MATCH($C391,'PORTIFÓLIO'!$C$4:$C$433,0)),"")</f>
        <v/>
      </c>
      <c r="M391" s="220"/>
      <c r="N391" s="220"/>
      <c r="O391" s="220"/>
      <c r="P391" s="220"/>
      <c r="Q391" s="220"/>
      <c r="R391" s="220"/>
      <c r="S391" s="220"/>
      <c r="T391" s="220"/>
      <c r="U391" s="220"/>
      <c r="V391" s="220"/>
      <c r="W391" s="220"/>
    </row>
    <row r="392" ht="15.75" customHeight="1">
      <c r="A392" s="229" t="s">
        <v>1193</v>
      </c>
      <c r="B392" s="230"/>
      <c r="C392" s="231"/>
      <c r="D392" s="232"/>
      <c r="E392" s="231"/>
      <c r="F392" s="231"/>
      <c r="G392" s="233"/>
      <c r="H392" s="233"/>
      <c r="I392" s="258"/>
      <c r="J392" s="236"/>
      <c r="K392" s="237">
        <f t="shared" ref="K392:L392" si="44">SUBTOTAL(9,K393:K406)</f>
        <v>0</v>
      </c>
      <c r="L392" s="237">
        <f t="shared" si="44"/>
        <v>0</v>
      </c>
      <c r="M392" s="220"/>
      <c r="N392" s="220"/>
      <c r="O392" s="220"/>
      <c r="P392" s="220"/>
      <c r="Q392" s="220"/>
      <c r="R392" s="220"/>
      <c r="S392" s="220"/>
      <c r="T392" s="220"/>
      <c r="U392" s="220"/>
      <c r="V392" s="220"/>
      <c r="W392" s="220"/>
    </row>
    <row r="393" ht="15.75" customHeight="1" outlineLevel="1">
      <c r="A393" s="213"/>
      <c r="B393" s="212"/>
      <c r="C393" s="213"/>
      <c r="D393" s="214" t="str">
        <f>IFERROR(VLOOKUP($C393,'PORTIFÓLIO'!C:V,2,0),"")</f>
        <v/>
      </c>
      <c r="E393" s="211" t="str">
        <f>IFERROR(VLOOKUP($C393,'PORTIFÓLIO'!C:V,3,0),"")</f>
        <v/>
      </c>
      <c r="F393" s="211" t="str">
        <f>IFERROR(VLOOKUP($C393,'PORTIFÓLIO'!C:V,4,0),"")</f>
        <v/>
      </c>
      <c r="G393" s="215" t="str">
        <f>IFERROR(VLOOKUP($C393,'PORTIFÓLIO'!C:V,5,0),"")</f>
        <v/>
      </c>
      <c r="H393" s="254" t="str">
        <f t="array" ref="H393">IFERROR(INDEX('PORTIFÓLIO'!$H$4:$H$433,MATCH($C393,'PORTIFÓLIO'!$C$4:$C$433,0)),"")</f>
        <v/>
      </c>
      <c r="I393" s="255"/>
      <c r="J393" s="218">
        <f t="shared" ref="J393:J408" si="45">I393*$B$2</f>
        <v>0</v>
      </c>
      <c r="K393" s="292" t="str">
        <f t="array" ref="K393">IFERROR(I393*INDEX('PORTIFÓLIO'!$S$4:$S$433,MATCH($C393,'PORTIFÓLIO'!$C$4:$C$433,0)),"")</f>
        <v/>
      </c>
      <c r="L393" s="292" t="str">
        <f t="array" ref="L393">IFERROR(J393*INDEX('PORTIFÓLIO'!$S$4:$S$433,MATCH($C393,'PORTIFÓLIO'!$C$4:$C$433,0)),"")</f>
        <v/>
      </c>
      <c r="M393" s="220"/>
      <c r="N393" s="220"/>
      <c r="O393" s="220"/>
      <c r="P393" s="220"/>
      <c r="Q393" s="220"/>
      <c r="R393" s="220"/>
      <c r="S393" s="220"/>
      <c r="T393" s="220"/>
      <c r="U393" s="220"/>
      <c r="V393" s="220"/>
      <c r="W393" s="220"/>
    </row>
    <row r="394" ht="15.75" customHeight="1" outlineLevel="1">
      <c r="A394" s="211"/>
      <c r="B394" s="212"/>
      <c r="C394" s="213"/>
      <c r="D394" s="214" t="str">
        <f>IFERROR(VLOOKUP($C394,'PORTIFÓLIO'!C:V,2,0),"")</f>
        <v/>
      </c>
      <c r="E394" s="211" t="str">
        <f>IFERROR(VLOOKUP($C394,'PORTIFÓLIO'!C:V,3,0),"")</f>
        <v/>
      </c>
      <c r="F394" s="211" t="str">
        <f>IFERROR(VLOOKUP($C394,'PORTIFÓLIO'!C:V,4,0),"")</f>
        <v/>
      </c>
      <c r="G394" s="215" t="str">
        <f>IFERROR(VLOOKUP($C394,'PORTIFÓLIO'!C:V,5,0),"")</f>
        <v/>
      </c>
      <c r="H394" s="254" t="str">
        <f t="array" ref="H394">IFERROR(INDEX('PORTIFÓLIO'!$H$4:$H$433,MATCH($C394,'PORTIFÓLIO'!$C$4:$C$433,0)),"")</f>
        <v/>
      </c>
      <c r="I394" s="256"/>
      <c r="J394" s="218">
        <f t="shared" si="45"/>
        <v>0</v>
      </c>
      <c r="K394" s="292" t="str">
        <f t="array" ref="K394">IFERROR(I394*INDEX('PORTIFÓLIO'!$S$4:$S$433,MATCH($C394,'PORTIFÓLIO'!$C$4:$C$433,0)),"")</f>
        <v/>
      </c>
      <c r="L394" s="292" t="str">
        <f t="array" ref="L394">IFERROR(J394*INDEX('PORTIFÓLIO'!$S$4:$S$433,MATCH($C394,'PORTIFÓLIO'!$C$4:$C$433,0)),"")</f>
        <v/>
      </c>
      <c r="M394" s="220"/>
      <c r="N394" s="220"/>
      <c r="O394" s="220"/>
      <c r="P394" s="220"/>
      <c r="Q394" s="220"/>
      <c r="R394" s="220"/>
      <c r="S394" s="220"/>
      <c r="T394" s="220"/>
      <c r="U394" s="220"/>
      <c r="V394" s="220"/>
      <c r="W394" s="220"/>
    </row>
    <row r="395" ht="15.75" customHeight="1" outlineLevel="1">
      <c r="A395" s="211"/>
      <c r="B395" s="212"/>
      <c r="C395" s="213"/>
      <c r="D395" s="214" t="str">
        <f>IFERROR(VLOOKUP($C395,'PORTIFÓLIO'!C:V,2,0),"")</f>
        <v/>
      </c>
      <c r="E395" s="211" t="str">
        <f>IFERROR(VLOOKUP($C395,'PORTIFÓLIO'!C:V,3,0),"")</f>
        <v/>
      </c>
      <c r="F395" s="211" t="str">
        <f>IFERROR(VLOOKUP($C395,'PORTIFÓLIO'!C:V,4,0),"")</f>
        <v/>
      </c>
      <c r="G395" s="215" t="str">
        <f>IFERROR(VLOOKUP($C395,'PORTIFÓLIO'!C:V,5,0),"")</f>
        <v/>
      </c>
      <c r="H395" s="254" t="str">
        <f t="array" ref="H395">IFERROR(INDEX('PORTIFÓLIO'!$H$4:$H$433,MATCH($C395,'PORTIFÓLIO'!$C$4:$C$433,0)),"")</f>
        <v/>
      </c>
      <c r="I395" s="256"/>
      <c r="J395" s="218">
        <f t="shared" si="45"/>
        <v>0</v>
      </c>
      <c r="K395" s="292" t="str">
        <f t="array" ref="K395">IFERROR(I395*INDEX('PORTIFÓLIO'!$S$4:$S$433,MATCH($C395,'PORTIFÓLIO'!$C$4:$C$433,0)),"")</f>
        <v/>
      </c>
      <c r="L395" s="292" t="str">
        <f t="array" ref="L395">IFERROR(J395*INDEX('PORTIFÓLIO'!$S$4:$S$433,MATCH($C395,'PORTIFÓLIO'!$C$4:$C$433,0)),"")</f>
        <v/>
      </c>
      <c r="M395" s="220"/>
      <c r="N395" s="220"/>
      <c r="O395" s="220"/>
      <c r="P395" s="220"/>
      <c r="Q395" s="220"/>
      <c r="R395" s="220"/>
      <c r="S395" s="220"/>
      <c r="T395" s="220"/>
      <c r="U395" s="220"/>
      <c r="V395" s="220"/>
      <c r="W395" s="220"/>
    </row>
    <row r="396" ht="15.75" customHeight="1" outlineLevel="1">
      <c r="A396" s="211"/>
      <c r="B396" s="212"/>
      <c r="C396" s="213"/>
      <c r="D396" s="214" t="str">
        <f>IFERROR(VLOOKUP($C396,'PORTIFÓLIO'!C:V,2,0),"")</f>
        <v/>
      </c>
      <c r="E396" s="211" t="str">
        <f>IFERROR(VLOOKUP($C396,'PORTIFÓLIO'!C:V,3,0),"")</f>
        <v/>
      </c>
      <c r="F396" s="211" t="str">
        <f>IFERROR(VLOOKUP($C396,'PORTIFÓLIO'!C:V,4,0),"")</f>
        <v/>
      </c>
      <c r="G396" s="215" t="str">
        <f>IFERROR(VLOOKUP($C396,'PORTIFÓLIO'!C:V,5,0),"")</f>
        <v/>
      </c>
      <c r="H396" s="254" t="str">
        <f t="array" ref="H396">IFERROR(INDEX('PORTIFÓLIO'!$H$4:$H$433,MATCH($C396,'PORTIFÓLIO'!$C$4:$C$433,0)),"")</f>
        <v/>
      </c>
      <c r="I396" s="256"/>
      <c r="J396" s="218">
        <f t="shared" si="45"/>
        <v>0</v>
      </c>
      <c r="K396" s="292" t="str">
        <f t="array" ref="K396">IFERROR(I396*INDEX('PORTIFÓLIO'!$S$4:$S$433,MATCH($C396,'PORTIFÓLIO'!$C$4:$C$433,0)),"")</f>
        <v/>
      </c>
      <c r="L396" s="292" t="str">
        <f t="array" ref="L396">IFERROR(J396*INDEX('PORTIFÓLIO'!$S$4:$S$433,MATCH($C396,'PORTIFÓLIO'!$C$4:$C$433,0)),"")</f>
        <v/>
      </c>
      <c r="M396" s="220"/>
      <c r="N396" s="220"/>
      <c r="O396" s="220"/>
      <c r="P396" s="220"/>
      <c r="Q396" s="220"/>
      <c r="R396" s="220"/>
      <c r="S396" s="220"/>
      <c r="T396" s="220"/>
      <c r="U396" s="220"/>
      <c r="V396" s="220"/>
      <c r="W396" s="220"/>
    </row>
    <row r="397" ht="15.75" customHeight="1" outlineLevel="1">
      <c r="A397" s="211"/>
      <c r="B397" s="212"/>
      <c r="C397" s="213"/>
      <c r="D397" s="214" t="str">
        <f>IFERROR(VLOOKUP($C397,'PORTIFÓLIO'!C:V,2,0),"")</f>
        <v/>
      </c>
      <c r="E397" s="211" t="str">
        <f>IFERROR(VLOOKUP($C397,'PORTIFÓLIO'!C:V,3,0),"")</f>
        <v/>
      </c>
      <c r="F397" s="211" t="str">
        <f>IFERROR(VLOOKUP($C397,'PORTIFÓLIO'!C:V,4,0),"")</f>
        <v/>
      </c>
      <c r="G397" s="215" t="str">
        <f>IFERROR(VLOOKUP($C397,'PORTIFÓLIO'!C:V,5,0),"")</f>
        <v/>
      </c>
      <c r="H397" s="254" t="str">
        <f t="array" ref="H397">IFERROR(INDEX('PORTIFÓLIO'!$H$4:$H$433,MATCH($C397,'PORTIFÓLIO'!$C$4:$C$433,0)),"")</f>
        <v/>
      </c>
      <c r="I397" s="256"/>
      <c r="J397" s="218">
        <f t="shared" si="45"/>
        <v>0</v>
      </c>
      <c r="K397" s="292" t="str">
        <f t="array" ref="K397">IFERROR(I397*INDEX('PORTIFÓLIO'!$S$4:$S$433,MATCH($C397,'PORTIFÓLIO'!$C$4:$C$433,0)),"")</f>
        <v/>
      </c>
      <c r="L397" s="292" t="str">
        <f t="array" ref="L397">IFERROR(J397*INDEX('PORTIFÓLIO'!$S$4:$S$433,MATCH($C397,'PORTIFÓLIO'!$C$4:$C$433,0)),"")</f>
        <v/>
      </c>
      <c r="M397" s="220"/>
      <c r="N397" s="220"/>
      <c r="O397" s="220"/>
      <c r="P397" s="220"/>
      <c r="Q397" s="220"/>
      <c r="R397" s="220"/>
      <c r="S397" s="220"/>
      <c r="T397" s="220"/>
      <c r="U397" s="220"/>
      <c r="V397" s="220"/>
      <c r="W397" s="220"/>
    </row>
    <row r="398" ht="15.75" customHeight="1" outlineLevel="1">
      <c r="A398" s="211"/>
      <c r="B398" s="212"/>
      <c r="C398" s="213"/>
      <c r="D398" s="214" t="str">
        <f>IFERROR(VLOOKUP($C398,'PORTIFÓLIO'!C:V,2,0),"")</f>
        <v/>
      </c>
      <c r="E398" s="211" t="str">
        <f>IFERROR(VLOOKUP($C398,'PORTIFÓLIO'!C:V,3,0),"")</f>
        <v/>
      </c>
      <c r="F398" s="211" t="str">
        <f>IFERROR(VLOOKUP($C398,'PORTIFÓLIO'!C:V,4,0),"")</f>
        <v/>
      </c>
      <c r="G398" s="215" t="str">
        <f>IFERROR(VLOOKUP($C398,'PORTIFÓLIO'!C:V,5,0),"")</f>
        <v/>
      </c>
      <c r="H398" s="254" t="str">
        <f t="array" ref="H398">IFERROR(INDEX('PORTIFÓLIO'!$H$4:$H$433,MATCH($C398,'PORTIFÓLIO'!$C$4:$C$433,0)),"")</f>
        <v/>
      </c>
      <c r="I398" s="256"/>
      <c r="J398" s="218">
        <f t="shared" si="45"/>
        <v>0</v>
      </c>
      <c r="K398" s="292" t="str">
        <f t="array" ref="K398">IFERROR(I398*INDEX('PORTIFÓLIO'!$S$4:$S$433,MATCH($C398,'PORTIFÓLIO'!$C$4:$C$433,0)),"")</f>
        <v/>
      </c>
      <c r="L398" s="292" t="str">
        <f t="array" ref="L398">IFERROR(J398*INDEX('PORTIFÓLIO'!$S$4:$S$433,MATCH($C398,'PORTIFÓLIO'!$C$4:$C$433,0)),"")</f>
        <v/>
      </c>
      <c r="M398" s="220"/>
      <c r="N398" s="220"/>
      <c r="O398" s="220"/>
      <c r="P398" s="220"/>
      <c r="Q398" s="220"/>
      <c r="R398" s="220"/>
      <c r="S398" s="220"/>
      <c r="T398" s="220"/>
      <c r="U398" s="220"/>
      <c r="V398" s="220"/>
      <c r="W398" s="220"/>
    </row>
    <row r="399" ht="15.75" customHeight="1" outlineLevel="1">
      <c r="A399" s="211"/>
      <c r="B399" s="212"/>
      <c r="C399" s="213"/>
      <c r="D399" s="214" t="str">
        <f>IFERROR(VLOOKUP($C399,'PORTIFÓLIO'!C:V,2,0),"")</f>
        <v/>
      </c>
      <c r="E399" s="211" t="str">
        <f>IFERROR(VLOOKUP($C399,'PORTIFÓLIO'!C:V,3,0),"")</f>
        <v/>
      </c>
      <c r="F399" s="211" t="str">
        <f>IFERROR(VLOOKUP($C399,'PORTIFÓLIO'!C:V,4,0),"")</f>
        <v/>
      </c>
      <c r="G399" s="215" t="str">
        <f>IFERROR(VLOOKUP($C399,'PORTIFÓLIO'!C:V,5,0),"")</f>
        <v/>
      </c>
      <c r="H399" s="254" t="str">
        <f t="array" ref="H399">IFERROR(INDEX('PORTIFÓLIO'!$H$4:$H$433,MATCH($C399,'PORTIFÓLIO'!$C$4:$C$433,0)),"")</f>
        <v/>
      </c>
      <c r="I399" s="256"/>
      <c r="J399" s="218">
        <f t="shared" si="45"/>
        <v>0</v>
      </c>
      <c r="K399" s="292" t="str">
        <f t="array" ref="K399">IFERROR(I399*INDEX('PORTIFÓLIO'!$S$4:$S$433,MATCH($C399,'PORTIFÓLIO'!$C$4:$C$433,0)),"")</f>
        <v/>
      </c>
      <c r="L399" s="292" t="str">
        <f t="array" ref="L399">IFERROR(J399*INDEX('PORTIFÓLIO'!$S$4:$S$433,MATCH($C399,'PORTIFÓLIO'!$C$4:$C$433,0)),"")</f>
        <v/>
      </c>
      <c r="M399" s="220"/>
      <c r="N399" s="220"/>
      <c r="O399" s="220"/>
      <c r="P399" s="220"/>
      <c r="Q399" s="220"/>
      <c r="R399" s="220"/>
      <c r="S399" s="220"/>
      <c r="T399" s="220"/>
      <c r="U399" s="220"/>
      <c r="V399" s="220"/>
      <c r="W399" s="220"/>
    </row>
    <row r="400" ht="15.75" customHeight="1" outlineLevel="1">
      <c r="A400" s="211"/>
      <c r="B400" s="212"/>
      <c r="C400" s="213"/>
      <c r="D400" s="214" t="str">
        <f>IFERROR(VLOOKUP($C400,'PORTIFÓLIO'!C:V,2,0),"")</f>
        <v/>
      </c>
      <c r="E400" s="211" t="str">
        <f>IFERROR(VLOOKUP($C400,'PORTIFÓLIO'!C:V,3,0),"")</f>
        <v/>
      </c>
      <c r="F400" s="211" t="str">
        <f>IFERROR(VLOOKUP($C400,'PORTIFÓLIO'!C:V,4,0),"")</f>
        <v/>
      </c>
      <c r="G400" s="215" t="str">
        <f>IFERROR(VLOOKUP($C400,'PORTIFÓLIO'!C:V,5,0),"")</f>
        <v/>
      </c>
      <c r="H400" s="254" t="str">
        <f t="array" ref="H400">IFERROR(INDEX('PORTIFÓLIO'!$H$4:$H$433,MATCH($C400,'PORTIFÓLIO'!$C$4:$C$433,0)),"")</f>
        <v/>
      </c>
      <c r="I400" s="256"/>
      <c r="J400" s="218">
        <f t="shared" si="45"/>
        <v>0</v>
      </c>
      <c r="K400" s="292" t="str">
        <f t="array" ref="K400">IFERROR(I400*INDEX('PORTIFÓLIO'!$S$4:$S$433,MATCH($C400,'PORTIFÓLIO'!$C$4:$C$433,0)),"")</f>
        <v/>
      </c>
      <c r="L400" s="292" t="str">
        <f t="array" ref="L400">IFERROR(J400*INDEX('PORTIFÓLIO'!$S$4:$S$433,MATCH($C400,'PORTIFÓLIO'!$C$4:$C$433,0)),"")</f>
        <v/>
      </c>
      <c r="M400" s="220"/>
      <c r="N400" s="220"/>
      <c r="O400" s="220"/>
      <c r="P400" s="220"/>
      <c r="Q400" s="220"/>
      <c r="R400" s="220"/>
      <c r="S400" s="220"/>
      <c r="T400" s="220"/>
      <c r="U400" s="220"/>
      <c r="V400" s="220"/>
      <c r="W400" s="220"/>
    </row>
    <row r="401" ht="15.75" customHeight="1" outlineLevel="1">
      <c r="A401" s="211"/>
      <c r="B401" s="212"/>
      <c r="C401" s="213"/>
      <c r="D401" s="214" t="str">
        <f>IFERROR(VLOOKUP($C401,'PORTIFÓLIO'!C:V,2,0),"")</f>
        <v/>
      </c>
      <c r="E401" s="211" t="str">
        <f>IFERROR(VLOOKUP($C401,'PORTIFÓLIO'!C:V,3,0),"")</f>
        <v/>
      </c>
      <c r="F401" s="211" t="str">
        <f>IFERROR(VLOOKUP($C401,'PORTIFÓLIO'!C:V,4,0),"")</f>
        <v/>
      </c>
      <c r="G401" s="215" t="str">
        <f>IFERROR(VLOOKUP($C401,'PORTIFÓLIO'!C:V,5,0),"")</f>
        <v/>
      </c>
      <c r="H401" s="254" t="str">
        <f t="array" ref="H401">IFERROR(INDEX('PORTIFÓLIO'!$H$4:$H$433,MATCH($C401,'PORTIFÓLIO'!$C$4:$C$433,0)),"")</f>
        <v/>
      </c>
      <c r="I401" s="255"/>
      <c r="J401" s="218">
        <f t="shared" si="45"/>
        <v>0</v>
      </c>
      <c r="K401" s="292" t="str">
        <f t="array" ref="K401">IFERROR(I401*INDEX('PORTIFÓLIO'!$S$4:$S$433,MATCH($C401,'PORTIFÓLIO'!$C$4:$C$433,0)),"")</f>
        <v/>
      </c>
      <c r="L401" s="292" t="str">
        <f t="array" ref="L401">IFERROR(J401*INDEX('PORTIFÓLIO'!$S$4:$S$433,MATCH($C401,'PORTIFÓLIO'!$C$4:$C$433,0)),"")</f>
        <v/>
      </c>
      <c r="M401" s="220"/>
      <c r="N401" s="220"/>
      <c r="O401" s="220"/>
      <c r="P401" s="220"/>
      <c r="Q401" s="220"/>
      <c r="R401" s="220"/>
      <c r="S401" s="220"/>
      <c r="T401" s="220"/>
      <c r="U401" s="220"/>
      <c r="V401" s="220"/>
      <c r="W401" s="220"/>
    </row>
    <row r="402" ht="15.75" customHeight="1" outlineLevel="1">
      <c r="A402" s="211"/>
      <c r="B402" s="212"/>
      <c r="C402" s="213"/>
      <c r="D402" s="214" t="str">
        <f>IFERROR(VLOOKUP($C402,'PORTIFÓLIO'!C:V,2,0),"")</f>
        <v/>
      </c>
      <c r="E402" s="211" t="str">
        <f>IFERROR(VLOOKUP($C402,'PORTIFÓLIO'!C:V,3,0),"")</f>
        <v/>
      </c>
      <c r="F402" s="211" t="str">
        <f>IFERROR(VLOOKUP($C402,'PORTIFÓLIO'!C:V,4,0),"")</f>
        <v/>
      </c>
      <c r="G402" s="215" t="str">
        <f>IFERROR(VLOOKUP($C402,'PORTIFÓLIO'!C:V,5,0),"")</f>
        <v/>
      </c>
      <c r="H402" s="254" t="str">
        <f t="array" ref="H402">IFERROR(INDEX('PORTIFÓLIO'!$H$4:$H$433,MATCH($C402,'PORTIFÓLIO'!$C$4:$C$433,0)),"")</f>
        <v/>
      </c>
      <c r="I402" s="256"/>
      <c r="J402" s="218">
        <f t="shared" si="45"/>
        <v>0</v>
      </c>
      <c r="K402" s="292" t="str">
        <f t="array" ref="K402">IFERROR(I402*INDEX('PORTIFÓLIO'!$S$4:$S$433,MATCH($C402,'PORTIFÓLIO'!$C$4:$C$433,0)),"")</f>
        <v/>
      </c>
      <c r="L402" s="292" t="str">
        <f t="array" ref="L402">IFERROR(J402*INDEX('PORTIFÓLIO'!$S$4:$S$433,MATCH($C402,'PORTIFÓLIO'!$C$4:$C$433,0)),"")</f>
        <v/>
      </c>
      <c r="M402" s="220"/>
      <c r="N402" s="220"/>
      <c r="O402" s="220"/>
      <c r="P402" s="220"/>
      <c r="Q402" s="220"/>
      <c r="R402" s="220"/>
      <c r="S402" s="220"/>
      <c r="T402" s="220"/>
      <c r="U402" s="220"/>
      <c r="V402" s="220"/>
      <c r="W402" s="220"/>
    </row>
    <row r="403" ht="15.75" customHeight="1" outlineLevel="1">
      <c r="A403" s="211"/>
      <c r="B403" s="212"/>
      <c r="C403" s="213"/>
      <c r="D403" s="214" t="str">
        <f>IFERROR(VLOOKUP($C403,'PORTIFÓLIO'!C:V,2,0),"")</f>
        <v/>
      </c>
      <c r="E403" s="211" t="str">
        <f>IFERROR(VLOOKUP($C403,'PORTIFÓLIO'!C:V,3,0),"")</f>
        <v/>
      </c>
      <c r="F403" s="211" t="str">
        <f>IFERROR(VLOOKUP($C403,'PORTIFÓLIO'!C:V,4,0),"")</f>
        <v/>
      </c>
      <c r="G403" s="215" t="str">
        <f>IFERROR(VLOOKUP($C403,'PORTIFÓLIO'!C:V,5,0),"")</f>
        <v/>
      </c>
      <c r="H403" s="254" t="str">
        <f t="array" ref="H403">IFERROR(INDEX('PORTIFÓLIO'!$H$4:$H$433,MATCH($C403,'PORTIFÓLIO'!$C$4:$C$433,0)),"")</f>
        <v/>
      </c>
      <c r="I403" s="256"/>
      <c r="J403" s="218">
        <f t="shared" si="45"/>
        <v>0</v>
      </c>
      <c r="K403" s="292" t="str">
        <f t="array" ref="K403">IFERROR(I403*INDEX('PORTIFÓLIO'!$S$4:$S$433,MATCH($C403,'PORTIFÓLIO'!$C$4:$C$433,0)),"")</f>
        <v/>
      </c>
      <c r="L403" s="292" t="str">
        <f t="array" ref="L403">IFERROR(J403*INDEX('PORTIFÓLIO'!$S$4:$S$433,MATCH($C403,'PORTIFÓLIO'!$C$4:$C$433,0)),"")</f>
        <v/>
      </c>
      <c r="M403" s="220"/>
      <c r="N403" s="220"/>
      <c r="O403" s="220"/>
      <c r="P403" s="220"/>
      <c r="Q403" s="220"/>
      <c r="R403" s="220"/>
      <c r="S403" s="220"/>
      <c r="T403" s="220"/>
      <c r="U403" s="220"/>
      <c r="V403" s="220"/>
      <c r="W403" s="220"/>
    </row>
    <row r="404" ht="15.75" customHeight="1" outlineLevel="1">
      <c r="A404" s="211"/>
      <c r="B404" s="212"/>
      <c r="C404" s="213"/>
      <c r="D404" s="214" t="str">
        <f>IFERROR(VLOOKUP($C404,'PORTIFÓLIO'!C:V,2,0),"")</f>
        <v/>
      </c>
      <c r="E404" s="211" t="str">
        <f>IFERROR(VLOOKUP($C404,'PORTIFÓLIO'!C:V,3,0),"")</f>
        <v/>
      </c>
      <c r="F404" s="211" t="str">
        <f>IFERROR(VLOOKUP($C404,'PORTIFÓLIO'!C:V,4,0),"")</f>
        <v/>
      </c>
      <c r="G404" s="215" t="str">
        <f>IFERROR(VLOOKUP($C404,'PORTIFÓLIO'!C:V,5,0),"")</f>
        <v/>
      </c>
      <c r="H404" s="254" t="str">
        <f t="array" ref="H404">IFERROR(INDEX('PORTIFÓLIO'!$H$4:$H$433,MATCH($C404,'PORTIFÓLIO'!$C$4:$C$433,0)),"")</f>
        <v/>
      </c>
      <c r="I404" s="256"/>
      <c r="J404" s="218">
        <f t="shared" si="45"/>
        <v>0</v>
      </c>
      <c r="K404" s="292" t="str">
        <f t="array" ref="K404">IFERROR(I404*INDEX('PORTIFÓLIO'!$S$4:$S$433,MATCH($C404,'PORTIFÓLIO'!$C$4:$C$433,0)),"")</f>
        <v/>
      </c>
      <c r="L404" s="292" t="str">
        <f t="array" ref="L404">IFERROR(J404*INDEX('PORTIFÓLIO'!$S$4:$S$433,MATCH($C404,'PORTIFÓLIO'!$C$4:$C$433,0)),"")</f>
        <v/>
      </c>
      <c r="M404" s="220"/>
      <c r="N404" s="220"/>
      <c r="O404" s="220"/>
      <c r="P404" s="220"/>
      <c r="Q404" s="220"/>
      <c r="R404" s="220"/>
      <c r="S404" s="220"/>
      <c r="T404" s="220"/>
      <c r="U404" s="220"/>
      <c r="V404" s="220"/>
      <c r="W404" s="220"/>
    </row>
    <row r="405" ht="15.75" customHeight="1" outlineLevel="1">
      <c r="A405" s="211"/>
      <c r="B405" s="212"/>
      <c r="C405" s="213"/>
      <c r="D405" s="214" t="str">
        <f>IFERROR(VLOOKUP($C405,'PORTIFÓLIO'!C:V,2,0),"")</f>
        <v/>
      </c>
      <c r="E405" s="211" t="str">
        <f>IFERROR(VLOOKUP($C405,'PORTIFÓLIO'!C:V,3,0),"")</f>
        <v/>
      </c>
      <c r="F405" s="211" t="str">
        <f>IFERROR(VLOOKUP($C405,'PORTIFÓLIO'!C:V,4,0),"")</f>
        <v/>
      </c>
      <c r="G405" s="215" t="str">
        <f>IFERROR(VLOOKUP($C405,'PORTIFÓLIO'!C:V,5,0),"")</f>
        <v/>
      </c>
      <c r="H405" s="254" t="str">
        <f t="array" ref="H405">IFERROR(INDEX('PORTIFÓLIO'!$H$4:$H$433,MATCH($C405,'PORTIFÓLIO'!$C$4:$C$433,0)),"")</f>
        <v/>
      </c>
      <c r="I405" s="256"/>
      <c r="J405" s="218">
        <f t="shared" si="45"/>
        <v>0</v>
      </c>
      <c r="K405" s="292" t="str">
        <f t="array" ref="K405">IFERROR(I405*INDEX('PORTIFÓLIO'!$S$4:$S$433,MATCH($C405,'PORTIFÓLIO'!$C$4:$C$433,0)),"")</f>
        <v/>
      </c>
      <c r="L405" s="292" t="str">
        <f t="array" ref="L405">IFERROR(J405*INDEX('PORTIFÓLIO'!$S$4:$S$433,MATCH($C405,'PORTIFÓLIO'!$C$4:$C$433,0)),"")</f>
        <v/>
      </c>
      <c r="M405" s="220"/>
      <c r="N405" s="220"/>
      <c r="O405" s="220"/>
      <c r="P405" s="220"/>
      <c r="Q405" s="220"/>
      <c r="R405" s="220"/>
      <c r="S405" s="220"/>
      <c r="T405" s="220"/>
      <c r="U405" s="220"/>
      <c r="V405" s="220"/>
      <c r="W405" s="220"/>
    </row>
    <row r="406" ht="15.75" customHeight="1" outlineLevel="1">
      <c r="A406" s="211"/>
      <c r="B406" s="212"/>
      <c r="C406" s="213"/>
      <c r="D406" s="214" t="str">
        <f>IFERROR(VLOOKUP($C406,'PORTIFÓLIO'!C:V,2,0),"")</f>
        <v/>
      </c>
      <c r="E406" s="211" t="str">
        <f>IFERROR(VLOOKUP($C406,'PORTIFÓLIO'!C:V,3,0),"")</f>
        <v/>
      </c>
      <c r="F406" s="211" t="str">
        <f>IFERROR(VLOOKUP($C406,'PORTIFÓLIO'!C:V,4,0),"")</f>
        <v/>
      </c>
      <c r="G406" s="215" t="str">
        <f>IFERROR(VLOOKUP($C406,'PORTIFÓLIO'!C:V,5,0),"")</f>
        <v/>
      </c>
      <c r="H406" s="254" t="str">
        <f t="array" ref="H406">IFERROR(INDEX('PORTIFÓLIO'!$H$4:$H$433,MATCH($C406,'PORTIFÓLIO'!$C$4:$C$433,0)),"")</f>
        <v/>
      </c>
      <c r="I406" s="256"/>
      <c r="J406" s="218">
        <f t="shared" si="45"/>
        <v>0</v>
      </c>
      <c r="K406" s="292" t="str">
        <f t="array" ref="K406">IFERROR(I406*INDEX('PORTIFÓLIO'!$S$4:$S$433,MATCH($C406,'PORTIFÓLIO'!$C$4:$C$433,0)),"")</f>
        <v/>
      </c>
      <c r="L406" s="292" t="str">
        <f t="array" ref="L406">IFERROR(J406*INDEX('PORTIFÓLIO'!$S$4:$S$433,MATCH($C406,'PORTIFÓLIO'!$C$4:$C$433,0)),"")</f>
        <v/>
      </c>
      <c r="M406" s="220"/>
      <c r="N406" s="220"/>
      <c r="O406" s="220"/>
      <c r="P406" s="220"/>
      <c r="Q406" s="220"/>
      <c r="R406" s="220"/>
      <c r="S406" s="220"/>
      <c r="T406" s="220"/>
      <c r="U406" s="220"/>
      <c r="V406" s="220"/>
      <c r="W406" s="220"/>
    </row>
    <row r="407" ht="15.75" customHeight="1" outlineLevel="1">
      <c r="A407" s="211"/>
      <c r="B407" s="212"/>
      <c r="C407" s="213"/>
      <c r="D407" s="214" t="str">
        <f>IFERROR(VLOOKUP($C407,'PORTIFÓLIO'!C:V,2,0),"")</f>
        <v/>
      </c>
      <c r="E407" s="211" t="str">
        <f>IFERROR(VLOOKUP($C407,'PORTIFÓLIO'!C:V,3,0),"")</f>
        <v/>
      </c>
      <c r="F407" s="211" t="str">
        <f>IFERROR(VLOOKUP($C407,'PORTIFÓLIO'!C:V,4,0),"")</f>
        <v/>
      </c>
      <c r="G407" s="215" t="str">
        <f>IFERROR(VLOOKUP($C407,'PORTIFÓLIO'!C:V,5,0),"")</f>
        <v/>
      </c>
      <c r="H407" s="254" t="str">
        <f t="array" ref="H407">IFERROR(INDEX('PORTIFÓLIO'!$H$4:$H$433,MATCH($C407,'PORTIFÓLIO'!$C$4:$C$433,0)),"")</f>
        <v/>
      </c>
      <c r="I407" s="256"/>
      <c r="J407" s="218">
        <f t="shared" si="45"/>
        <v>0</v>
      </c>
      <c r="K407" s="292" t="str">
        <f t="array" ref="K407">IFERROR(I407*INDEX('PORTIFÓLIO'!$S$4:$S$433,MATCH($C407,'PORTIFÓLIO'!$C$4:$C$433,0)),"")</f>
        <v/>
      </c>
      <c r="L407" s="292" t="str">
        <f t="array" ref="L407">IFERROR(J407*INDEX('PORTIFÓLIO'!$S$4:$S$433,MATCH($C407,'PORTIFÓLIO'!$C$4:$C$433,0)),"")</f>
        <v/>
      </c>
      <c r="M407" s="220"/>
      <c r="N407" s="220"/>
      <c r="O407" s="220"/>
      <c r="P407" s="220"/>
      <c r="Q407" s="220"/>
      <c r="R407" s="220"/>
      <c r="S407" s="220"/>
      <c r="T407" s="220"/>
      <c r="U407" s="220"/>
      <c r="V407" s="220"/>
      <c r="W407" s="220"/>
    </row>
    <row r="408" ht="15.75" customHeight="1" outlineLevel="1">
      <c r="A408" s="211"/>
      <c r="B408" s="227"/>
      <c r="C408" s="211"/>
      <c r="D408" s="214" t="str">
        <f>IFERROR(VLOOKUP($C408,'PORTIFÓLIO'!C:V,2,0),"")</f>
        <v/>
      </c>
      <c r="E408" s="211" t="str">
        <f>IFERROR(VLOOKUP($C408,'PORTIFÓLIO'!C:V,3,0),"")</f>
        <v/>
      </c>
      <c r="F408" s="211" t="str">
        <f>IFERROR(VLOOKUP($C408,'PORTIFÓLIO'!C:V,4,0),"")</f>
        <v/>
      </c>
      <c r="G408" s="215" t="str">
        <f>IFERROR(VLOOKUP($C408,'PORTIFÓLIO'!C:V,5,0),"")</f>
        <v/>
      </c>
      <c r="H408" s="254" t="str">
        <f t="array" ref="H408">IFERROR(INDEX('PORTIFÓLIO'!$H$4:$H$433,MATCH($C408,'PORTIFÓLIO'!$C$4:$C$433,0)),"")</f>
        <v/>
      </c>
      <c r="I408" s="256"/>
      <c r="J408" s="218">
        <f t="shared" si="45"/>
        <v>0</v>
      </c>
      <c r="K408" s="292" t="str">
        <f t="array" ref="K408">IFERROR(I408*INDEX('PORTIFÓLIO'!$S$4:$S$433,MATCH($C408,'PORTIFÓLIO'!$C$4:$C$433,0)),"")</f>
        <v/>
      </c>
      <c r="L408" s="292" t="str">
        <f t="array" ref="L408">IFERROR(J408*INDEX('PORTIFÓLIO'!$S$4:$S$433,MATCH($C408,'PORTIFÓLIO'!$C$4:$C$433,0)),"")</f>
        <v/>
      </c>
      <c r="M408" s="220"/>
      <c r="N408" s="220"/>
      <c r="O408" s="220"/>
      <c r="P408" s="220"/>
      <c r="Q408" s="220"/>
      <c r="R408" s="220"/>
      <c r="S408" s="220"/>
      <c r="T408" s="220"/>
      <c r="U408" s="220"/>
      <c r="V408" s="220"/>
      <c r="W408" s="220"/>
    </row>
    <row r="409" ht="15.75" customHeight="1">
      <c r="A409" s="229" t="s">
        <v>1194</v>
      </c>
      <c r="B409" s="230"/>
      <c r="C409" s="231"/>
      <c r="D409" s="232"/>
      <c r="E409" s="231"/>
      <c r="F409" s="231"/>
      <c r="G409" s="233"/>
      <c r="H409" s="233"/>
      <c r="I409" s="258"/>
      <c r="J409" s="236"/>
      <c r="K409" s="237">
        <f t="shared" ref="K409:L409" si="46">SUBTOTAL(9,K410:K423)</f>
        <v>0</v>
      </c>
      <c r="L409" s="237">
        <f t="shared" si="46"/>
        <v>0</v>
      </c>
      <c r="M409" s="220"/>
      <c r="N409" s="220"/>
      <c r="O409" s="220"/>
      <c r="P409" s="220"/>
      <c r="Q409" s="220"/>
      <c r="R409" s="220"/>
      <c r="S409" s="220"/>
      <c r="T409" s="220"/>
      <c r="U409" s="220"/>
      <c r="V409" s="220"/>
      <c r="W409" s="220"/>
    </row>
    <row r="410" ht="15.75" customHeight="1" outlineLevel="1">
      <c r="A410" s="213"/>
      <c r="B410" s="212"/>
      <c r="C410" s="213"/>
      <c r="D410" s="214" t="str">
        <f>IFERROR(VLOOKUP($C410,'PORTIFÓLIO'!C:V,2,0),"")</f>
        <v/>
      </c>
      <c r="E410" s="211" t="str">
        <f>IFERROR(VLOOKUP($C410,'PORTIFÓLIO'!C:V,3,0),"")</f>
        <v/>
      </c>
      <c r="F410" s="211" t="str">
        <f>IFERROR(VLOOKUP($C410,'PORTIFÓLIO'!C:V,4,0),"")</f>
        <v/>
      </c>
      <c r="G410" s="215" t="str">
        <f>IFERROR(VLOOKUP($C410,'PORTIFÓLIO'!C:V,5,0),"")</f>
        <v/>
      </c>
      <c r="H410" s="254" t="str">
        <f t="array" ref="H410">IFERROR(INDEX('PORTIFÓLIO'!$H$4:$H$433,MATCH($C410,'PORTIFÓLIO'!$C$4:$C$433,0)),"")</f>
        <v/>
      </c>
      <c r="I410" s="255"/>
      <c r="J410" s="218">
        <f t="shared" ref="J410:J426" si="47">I410*$B$2</f>
        <v>0</v>
      </c>
      <c r="K410" s="292" t="str">
        <f t="array" ref="K410">IFERROR(I410*INDEX('PORTIFÓLIO'!$S$4:$S$433,MATCH($C410,'PORTIFÓLIO'!$C$4:$C$433,0)),"")</f>
        <v/>
      </c>
      <c r="L410" s="292" t="str">
        <f t="array" ref="L410">IFERROR(J410*INDEX('PORTIFÓLIO'!$S$4:$S$433,MATCH($C410,'PORTIFÓLIO'!$C$4:$C$433,0)),"")</f>
        <v/>
      </c>
      <c r="M410" s="220"/>
      <c r="N410" s="220"/>
      <c r="O410" s="220"/>
      <c r="P410" s="220"/>
      <c r="Q410" s="220"/>
      <c r="R410" s="220"/>
      <c r="S410" s="220"/>
      <c r="T410" s="220"/>
      <c r="U410" s="220"/>
      <c r="V410" s="220"/>
      <c r="W410" s="220"/>
    </row>
    <row r="411" ht="15.75" customHeight="1" outlineLevel="1">
      <c r="A411" s="211"/>
      <c r="B411" s="212"/>
      <c r="C411" s="213"/>
      <c r="D411" s="214" t="str">
        <f>IFERROR(VLOOKUP($C411,'PORTIFÓLIO'!C:V,2,0),"")</f>
        <v/>
      </c>
      <c r="E411" s="211" t="str">
        <f>IFERROR(VLOOKUP($C411,'PORTIFÓLIO'!C:V,3,0),"")</f>
        <v/>
      </c>
      <c r="F411" s="211" t="str">
        <f>IFERROR(VLOOKUP($C411,'PORTIFÓLIO'!C:V,4,0),"")</f>
        <v/>
      </c>
      <c r="G411" s="215" t="str">
        <f>IFERROR(VLOOKUP($C411,'PORTIFÓLIO'!C:V,5,0),"")</f>
        <v/>
      </c>
      <c r="H411" s="254" t="str">
        <f t="array" ref="H411">IFERROR(INDEX('PORTIFÓLIO'!$H$4:$H$433,MATCH($C411,'PORTIFÓLIO'!$C$4:$C$433,0)),"")</f>
        <v/>
      </c>
      <c r="I411" s="256"/>
      <c r="J411" s="218">
        <f t="shared" si="47"/>
        <v>0</v>
      </c>
      <c r="K411" s="292" t="str">
        <f t="array" ref="K411">IFERROR(I411*INDEX('PORTIFÓLIO'!$S$4:$S$433,MATCH($C411,'PORTIFÓLIO'!$C$4:$C$433,0)),"")</f>
        <v/>
      </c>
      <c r="L411" s="292" t="str">
        <f t="array" ref="L411">IFERROR(J411*INDEX('PORTIFÓLIO'!$S$4:$S$433,MATCH($C411,'PORTIFÓLIO'!$C$4:$C$433,0)),"")</f>
        <v/>
      </c>
      <c r="M411" s="220"/>
      <c r="N411" s="220"/>
      <c r="O411" s="220"/>
      <c r="P411" s="220"/>
      <c r="Q411" s="220"/>
      <c r="R411" s="220"/>
      <c r="S411" s="220"/>
      <c r="T411" s="220"/>
      <c r="U411" s="220"/>
      <c r="V411" s="220"/>
      <c r="W411" s="220"/>
    </row>
    <row r="412" ht="15.75" customHeight="1" outlineLevel="1">
      <c r="A412" s="211"/>
      <c r="B412" s="212"/>
      <c r="C412" s="213"/>
      <c r="D412" s="214" t="str">
        <f>IFERROR(VLOOKUP($C412,'PORTIFÓLIO'!C:V,2,0),"")</f>
        <v/>
      </c>
      <c r="E412" s="211" t="str">
        <f>IFERROR(VLOOKUP($C412,'PORTIFÓLIO'!C:V,3,0),"")</f>
        <v/>
      </c>
      <c r="F412" s="211" t="str">
        <f>IFERROR(VLOOKUP($C412,'PORTIFÓLIO'!C:V,4,0),"")</f>
        <v/>
      </c>
      <c r="G412" s="215" t="str">
        <f>IFERROR(VLOOKUP($C412,'PORTIFÓLIO'!C:V,5,0),"")</f>
        <v/>
      </c>
      <c r="H412" s="254" t="str">
        <f t="array" ref="H412">IFERROR(INDEX('PORTIFÓLIO'!$H$4:$H$433,MATCH($C412,'PORTIFÓLIO'!$C$4:$C$433,0)),"")</f>
        <v/>
      </c>
      <c r="I412" s="256"/>
      <c r="J412" s="218">
        <f t="shared" si="47"/>
        <v>0</v>
      </c>
      <c r="K412" s="292" t="str">
        <f t="array" ref="K412">IFERROR(I412*INDEX('PORTIFÓLIO'!$S$4:$S$433,MATCH($C412,'PORTIFÓLIO'!$C$4:$C$433,0)),"")</f>
        <v/>
      </c>
      <c r="L412" s="292" t="str">
        <f t="array" ref="L412">IFERROR(J412*INDEX('PORTIFÓLIO'!$S$4:$S$433,MATCH($C412,'PORTIFÓLIO'!$C$4:$C$433,0)),"")</f>
        <v/>
      </c>
      <c r="M412" s="220"/>
      <c r="N412" s="220"/>
      <c r="O412" s="220"/>
      <c r="P412" s="220"/>
      <c r="Q412" s="220"/>
      <c r="R412" s="220"/>
      <c r="S412" s="220"/>
      <c r="T412" s="220"/>
      <c r="U412" s="220"/>
      <c r="V412" s="220"/>
      <c r="W412" s="220"/>
    </row>
    <row r="413" ht="15.75" customHeight="1" outlineLevel="1">
      <c r="A413" s="211"/>
      <c r="B413" s="212"/>
      <c r="C413" s="213"/>
      <c r="D413" s="214" t="str">
        <f>IFERROR(VLOOKUP($C413,'PORTIFÓLIO'!C:V,2,0),"")</f>
        <v/>
      </c>
      <c r="E413" s="211" t="str">
        <f>IFERROR(VLOOKUP($C413,'PORTIFÓLIO'!C:V,3,0),"")</f>
        <v/>
      </c>
      <c r="F413" s="211" t="str">
        <f>IFERROR(VLOOKUP($C413,'PORTIFÓLIO'!C:V,4,0),"")</f>
        <v/>
      </c>
      <c r="G413" s="215" t="str">
        <f>IFERROR(VLOOKUP($C413,'PORTIFÓLIO'!C:V,5,0),"")</f>
        <v/>
      </c>
      <c r="H413" s="254" t="str">
        <f t="array" ref="H413">IFERROR(INDEX('PORTIFÓLIO'!$H$4:$H$433,MATCH($C413,'PORTIFÓLIO'!$C$4:$C$433,0)),"")</f>
        <v/>
      </c>
      <c r="I413" s="256"/>
      <c r="J413" s="218">
        <f t="shared" si="47"/>
        <v>0</v>
      </c>
      <c r="K413" s="292" t="str">
        <f t="array" ref="K413">IFERROR(I413*INDEX('PORTIFÓLIO'!$S$4:$S$433,MATCH($C413,'PORTIFÓLIO'!$C$4:$C$433,0)),"")</f>
        <v/>
      </c>
      <c r="L413" s="292" t="str">
        <f t="array" ref="L413">IFERROR(J413*INDEX('PORTIFÓLIO'!$S$4:$S$433,MATCH($C413,'PORTIFÓLIO'!$C$4:$C$433,0)),"")</f>
        <v/>
      </c>
      <c r="M413" s="220"/>
      <c r="N413" s="220"/>
      <c r="O413" s="220"/>
      <c r="P413" s="220"/>
      <c r="Q413" s="220"/>
      <c r="R413" s="220"/>
      <c r="S413" s="220"/>
      <c r="T413" s="220"/>
      <c r="U413" s="220"/>
      <c r="V413" s="220"/>
      <c r="W413" s="220"/>
    </row>
    <row r="414" ht="15.75" customHeight="1" outlineLevel="1">
      <c r="A414" s="211"/>
      <c r="B414" s="212"/>
      <c r="C414" s="213"/>
      <c r="D414" s="214" t="str">
        <f>IFERROR(VLOOKUP($C414,'PORTIFÓLIO'!C:V,2,0),"")</f>
        <v/>
      </c>
      <c r="E414" s="211" t="str">
        <f>IFERROR(VLOOKUP($C414,'PORTIFÓLIO'!C:V,3,0),"")</f>
        <v/>
      </c>
      <c r="F414" s="211" t="str">
        <f>IFERROR(VLOOKUP($C414,'PORTIFÓLIO'!C:V,4,0),"")</f>
        <v/>
      </c>
      <c r="G414" s="215" t="str">
        <f>IFERROR(VLOOKUP($C414,'PORTIFÓLIO'!C:V,5,0),"")</f>
        <v/>
      </c>
      <c r="H414" s="254" t="str">
        <f t="array" ref="H414">IFERROR(INDEX('PORTIFÓLIO'!$H$4:$H$433,MATCH($C414,'PORTIFÓLIO'!$C$4:$C$433,0)),"")</f>
        <v/>
      </c>
      <c r="I414" s="256"/>
      <c r="J414" s="218">
        <f t="shared" si="47"/>
        <v>0</v>
      </c>
      <c r="K414" s="292" t="str">
        <f t="array" ref="K414">IFERROR(I414*INDEX('PORTIFÓLIO'!$S$4:$S$433,MATCH($C414,'PORTIFÓLIO'!$C$4:$C$433,0)),"")</f>
        <v/>
      </c>
      <c r="L414" s="292" t="str">
        <f t="array" ref="L414">IFERROR(J414*INDEX('PORTIFÓLIO'!$S$4:$S$433,MATCH($C414,'PORTIFÓLIO'!$C$4:$C$433,0)),"")</f>
        <v/>
      </c>
      <c r="M414" s="220"/>
      <c r="N414" s="220"/>
      <c r="O414" s="220"/>
      <c r="P414" s="220"/>
      <c r="Q414" s="220"/>
      <c r="R414" s="220"/>
      <c r="S414" s="220"/>
      <c r="T414" s="220"/>
      <c r="U414" s="220"/>
      <c r="V414" s="220"/>
      <c r="W414" s="220"/>
    </row>
    <row r="415" ht="15.75" customHeight="1" outlineLevel="1">
      <c r="A415" s="211"/>
      <c r="B415" s="212"/>
      <c r="C415" s="213"/>
      <c r="D415" s="214" t="str">
        <f>IFERROR(VLOOKUP($C415,'PORTIFÓLIO'!C:V,2,0),"")</f>
        <v/>
      </c>
      <c r="E415" s="211" t="str">
        <f>IFERROR(VLOOKUP($C415,'PORTIFÓLIO'!C:V,3,0),"")</f>
        <v/>
      </c>
      <c r="F415" s="211" t="str">
        <f>IFERROR(VLOOKUP($C415,'PORTIFÓLIO'!C:V,4,0),"")</f>
        <v/>
      </c>
      <c r="G415" s="215" t="str">
        <f>IFERROR(VLOOKUP($C415,'PORTIFÓLIO'!C:V,5,0),"")</f>
        <v/>
      </c>
      <c r="H415" s="254" t="str">
        <f t="array" ref="H415">IFERROR(INDEX('PORTIFÓLIO'!$H$4:$H$433,MATCH($C415,'PORTIFÓLIO'!$C$4:$C$433,0)),"")</f>
        <v/>
      </c>
      <c r="I415" s="256"/>
      <c r="J415" s="218">
        <f t="shared" si="47"/>
        <v>0</v>
      </c>
      <c r="K415" s="292" t="str">
        <f t="array" ref="K415">IFERROR(I415*INDEX('PORTIFÓLIO'!$S$4:$S$433,MATCH($C415,'PORTIFÓLIO'!$C$4:$C$433,0)),"")</f>
        <v/>
      </c>
      <c r="L415" s="292" t="str">
        <f t="array" ref="L415">IFERROR(J415*INDEX('PORTIFÓLIO'!$S$4:$S$433,MATCH($C415,'PORTIFÓLIO'!$C$4:$C$433,0)),"")</f>
        <v/>
      </c>
      <c r="M415" s="220"/>
      <c r="N415" s="220"/>
      <c r="O415" s="220"/>
      <c r="P415" s="220"/>
      <c r="Q415" s="220"/>
      <c r="R415" s="220"/>
      <c r="S415" s="220"/>
      <c r="T415" s="220"/>
      <c r="U415" s="220"/>
      <c r="V415" s="220"/>
      <c r="W415" s="220"/>
    </row>
    <row r="416" ht="15.75" customHeight="1" outlineLevel="1">
      <c r="A416" s="211"/>
      <c r="B416" s="212"/>
      <c r="C416" s="213"/>
      <c r="D416" s="214" t="str">
        <f>IFERROR(VLOOKUP($C416,'PORTIFÓLIO'!C:V,2,0),"")</f>
        <v/>
      </c>
      <c r="E416" s="211" t="str">
        <f>IFERROR(VLOOKUP($C416,'PORTIFÓLIO'!C:V,3,0),"")</f>
        <v/>
      </c>
      <c r="F416" s="211" t="str">
        <f>IFERROR(VLOOKUP($C416,'PORTIFÓLIO'!C:V,4,0),"")</f>
        <v/>
      </c>
      <c r="G416" s="215" t="str">
        <f>IFERROR(VLOOKUP($C416,'PORTIFÓLIO'!C:V,5,0),"")</f>
        <v/>
      </c>
      <c r="H416" s="254" t="str">
        <f t="array" ref="H416">IFERROR(INDEX('PORTIFÓLIO'!$H$4:$H$433,MATCH($C416,'PORTIFÓLIO'!$C$4:$C$433,0)),"")</f>
        <v/>
      </c>
      <c r="I416" s="256"/>
      <c r="J416" s="218">
        <f t="shared" si="47"/>
        <v>0</v>
      </c>
      <c r="K416" s="292" t="str">
        <f t="array" ref="K416">IFERROR(I416*INDEX('PORTIFÓLIO'!$S$4:$S$433,MATCH($C416,'PORTIFÓLIO'!$C$4:$C$433,0)),"")</f>
        <v/>
      </c>
      <c r="L416" s="292" t="str">
        <f t="array" ref="L416">IFERROR(J416*INDEX('PORTIFÓLIO'!$S$4:$S$433,MATCH($C416,'PORTIFÓLIO'!$C$4:$C$433,0)),"")</f>
        <v/>
      </c>
      <c r="M416" s="220"/>
      <c r="N416" s="220"/>
      <c r="O416" s="220"/>
      <c r="P416" s="220"/>
      <c r="Q416" s="220"/>
      <c r="R416" s="220"/>
      <c r="S416" s="220"/>
      <c r="T416" s="220"/>
      <c r="U416" s="220"/>
      <c r="V416" s="220"/>
      <c r="W416" s="220"/>
    </row>
    <row r="417" ht="15.75" customHeight="1" outlineLevel="1">
      <c r="A417" s="211"/>
      <c r="B417" s="212"/>
      <c r="C417" s="213"/>
      <c r="D417" s="214" t="str">
        <f>IFERROR(VLOOKUP($C417,'PORTIFÓLIO'!C:V,2,0),"")</f>
        <v/>
      </c>
      <c r="E417" s="211" t="str">
        <f>IFERROR(VLOOKUP($C417,'PORTIFÓLIO'!C:V,3,0),"")</f>
        <v/>
      </c>
      <c r="F417" s="211" t="str">
        <f>IFERROR(VLOOKUP($C417,'PORTIFÓLIO'!C:V,4,0),"")</f>
        <v/>
      </c>
      <c r="G417" s="215" t="str">
        <f>IFERROR(VLOOKUP($C417,'PORTIFÓLIO'!C:V,5,0),"")</f>
        <v/>
      </c>
      <c r="H417" s="254" t="str">
        <f t="array" ref="H417">IFERROR(INDEX('PORTIFÓLIO'!$H$4:$H$433,MATCH($C417,'PORTIFÓLIO'!$C$4:$C$433,0)),"")</f>
        <v/>
      </c>
      <c r="I417" s="256"/>
      <c r="J417" s="218">
        <f t="shared" si="47"/>
        <v>0</v>
      </c>
      <c r="K417" s="292" t="str">
        <f t="array" ref="K417">IFERROR(I417*INDEX('PORTIFÓLIO'!$S$4:$S$433,MATCH($C417,'PORTIFÓLIO'!$C$4:$C$433,0)),"")</f>
        <v/>
      </c>
      <c r="L417" s="292" t="str">
        <f t="array" ref="L417">IFERROR(J417*INDEX('PORTIFÓLIO'!$S$4:$S$433,MATCH($C417,'PORTIFÓLIO'!$C$4:$C$433,0)),"")</f>
        <v/>
      </c>
      <c r="M417" s="220"/>
      <c r="N417" s="220"/>
      <c r="O417" s="220"/>
      <c r="P417" s="220"/>
      <c r="Q417" s="220"/>
      <c r="R417" s="220"/>
      <c r="S417" s="220"/>
      <c r="T417" s="220"/>
      <c r="U417" s="220"/>
      <c r="V417" s="220"/>
      <c r="W417" s="220"/>
    </row>
    <row r="418" ht="15.75" customHeight="1" outlineLevel="1">
      <c r="A418" s="211"/>
      <c r="B418" s="212"/>
      <c r="C418" s="213"/>
      <c r="D418" s="214" t="str">
        <f>IFERROR(VLOOKUP($C418,'PORTIFÓLIO'!C:V,2,0),"")</f>
        <v/>
      </c>
      <c r="E418" s="211" t="str">
        <f>IFERROR(VLOOKUP($C418,'PORTIFÓLIO'!C:V,3,0),"")</f>
        <v/>
      </c>
      <c r="F418" s="211" t="str">
        <f>IFERROR(VLOOKUP($C418,'PORTIFÓLIO'!C:V,4,0),"")</f>
        <v/>
      </c>
      <c r="G418" s="215" t="str">
        <f>IFERROR(VLOOKUP($C418,'PORTIFÓLIO'!C:V,5,0),"")</f>
        <v/>
      </c>
      <c r="H418" s="254" t="str">
        <f t="array" ref="H418">IFERROR(INDEX('PORTIFÓLIO'!$H$4:$H$433,MATCH($C418,'PORTIFÓLIO'!$C$4:$C$433,0)),"")</f>
        <v/>
      </c>
      <c r="I418" s="255"/>
      <c r="J418" s="218">
        <f t="shared" si="47"/>
        <v>0</v>
      </c>
      <c r="K418" s="292" t="str">
        <f t="array" ref="K418">IFERROR(I418*INDEX('PORTIFÓLIO'!$S$4:$S$433,MATCH($C418,'PORTIFÓLIO'!$C$4:$C$433,0)),"")</f>
        <v/>
      </c>
      <c r="L418" s="292" t="str">
        <f t="array" ref="L418">IFERROR(J418*INDEX('PORTIFÓLIO'!$S$4:$S$433,MATCH($C418,'PORTIFÓLIO'!$C$4:$C$433,0)),"")</f>
        <v/>
      </c>
      <c r="M418" s="220"/>
      <c r="N418" s="220"/>
      <c r="O418" s="220"/>
      <c r="P418" s="220"/>
      <c r="Q418" s="220"/>
      <c r="R418" s="220"/>
      <c r="S418" s="220"/>
      <c r="T418" s="220"/>
      <c r="U418" s="220"/>
      <c r="V418" s="220"/>
      <c r="W418" s="220"/>
    </row>
    <row r="419" ht="15.75" customHeight="1" outlineLevel="1">
      <c r="A419" s="211"/>
      <c r="B419" s="212"/>
      <c r="C419" s="213"/>
      <c r="D419" s="214" t="str">
        <f>IFERROR(VLOOKUP($C419,'PORTIFÓLIO'!C:V,2,0),"")</f>
        <v/>
      </c>
      <c r="E419" s="211" t="str">
        <f>IFERROR(VLOOKUP($C419,'PORTIFÓLIO'!C:V,3,0),"")</f>
        <v/>
      </c>
      <c r="F419" s="211" t="str">
        <f>IFERROR(VLOOKUP($C419,'PORTIFÓLIO'!C:V,4,0),"")</f>
        <v/>
      </c>
      <c r="G419" s="215" t="str">
        <f>IFERROR(VLOOKUP($C419,'PORTIFÓLIO'!C:V,5,0),"")</f>
        <v/>
      </c>
      <c r="H419" s="254" t="str">
        <f t="array" ref="H419">IFERROR(INDEX('PORTIFÓLIO'!$H$4:$H$433,MATCH($C419,'PORTIFÓLIO'!$C$4:$C$433,0)),"")</f>
        <v/>
      </c>
      <c r="I419" s="256"/>
      <c r="J419" s="218">
        <f t="shared" si="47"/>
        <v>0</v>
      </c>
      <c r="K419" s="292" t="str">
        <f t="array" ref="K419">IFERROR(I419*INDEX('PORTIFÓLIO'!$S$4:$S$433,MATCH($C419,'PORTIFÓLIO'!$C$4:$C$433,0)),"")</f>
        <v/>
      </c>
      <c r="L419" s="292" t="str">
        <f t="array" ref="L419">IFERROR(J419*INDEX('PORTIFÓLIO'!$S$4:$S$433,MATCH($C419,'PORTIFÓLIO'!$C$4:$C$433,0)),"")</f>
        <v/>
      </c>
      <c r="M419" s="220"/>
      <c r="N419" s="220"/>
      <c r="O419" s="220"/>
      <c r="P419" s="220"/>
      <c r="Q419" s="220"/>
      <c r="R419" s="220"/>
      <c r="S419" s="220"/>
      <c r="T419" s="220"/>
      <c r="U419" s="220"/>
      <c r="V419" s="220"/>
      <c r="W419" s="220"/>
    </row>
    <row r="420" ht="15.75" customHeight="1" outlineLevel="1">
      <c r="A420" s="211"/>
      <c r="B420" s="212"/>
      <c r="C420" s="213"/>
      <c r="D420" s="214" t="str">
        <f>IFERROR(VLOOKUP($C420,'PORTIFÓLIO'!C:V,2,0),"")</f>
        <v/>
      </c>
      <c r="E420" s="211" t="str">
        <f>IFERROR(VLOOKUP($C420,'PORTIFÓLIO'!C:V,3,0),"")</f>
        <v/>
      </c>
      <c r="F420" s="211" t="str">
        <f>IFERROR(VLOOKUP($C420,'PORTIFÓLIO'!C:V,4,0),"")</f>
        <v/>
      </c>
      <c r="G420" s="215" t="str">
        <f>IFERROR(VLOOKUP($C420,'PORTIFÓLIO'!C:V,5,0),"")</f>
        <v/>
      </c>
      <c r="H420" s="254" t="str">
        <f t="array" ref="H420">IFERROR(INDEX('PORTIFÓLIO'!$H$4:$H$433,MATCH($C420,'PORTIFÓLIO'!$C$4:$C$433,0)),"")</f>
        <v/>
      </c>
      <c r="I420" s="256"/>
      <c r="J420" s="218">
        <f t="shared" si="47"/>
        <v>0</v>
      </c>
      <c r="K420" s="292" t="str">
        <f t="array" ref="K420">IFERROR(I420*INDEX('PORTIFÓLIO'!$S$4:$S$433,MATCH($C420,'PORTIFÓLIO'!$C$4:$C$433,0)),"")</f>
        <v/>
      </c>
      <c r="L420" s="292" t="str">
        <f t="array" ref="L420">IFERROR(J420*INDEX('PORTIFÓLIO'!$S$4:$S$433,MATCH($C420,'PORTIFÓLIO'!$C$4:$C$433,0)),"")</f>
        <v/>
      </c>
      <c r="M420" s="220"/>
      <c r="N420" s="220"/>
      <c r="O420" s="220"/>
      <c r="P420" s="220"/>
      <c r="Q420" s="220"/>
      <c r="R420" s="220"/>
      <c r="S420" s="220"/>
      <c r="T420" s="220"/>
      <c r="U420" s="220"/>
      <c r="V420" s="220"/>
      <c r="W420" s="220"/>
    </row>
    <row r="421" ht="15.75" customHeight="1" outlineLevel="1">
      <c r="A421" s="211"/>
      <c r="B421" s="212"/>
      <c r="C421" s="213"/>
      <c r="D421" s="214" t="str">
        <f>IFERROR(VLOOKUP($C421,'PORTIFÓLIO'!C:V,2,0),"")</f>
        <v/>
      </c>
      <c r="E421" s="211" t="str">
        <f>IFERROR(VLOOKUP($C421,'PORTIFÓLIO'!C:V,3,0),"")</f>
        <v/>
      </c>
      <c r="F421" s="211" t="str">
        <f>IFERROR(VLOOKUP($C421,'PORTIFÓLIO'!C:V,4,0),"")</f>
        <v/>
      </c>
      <c r="G421" s="215" t="str">
        <f>IFERROR(VLOOKUP($C421,'PORTIFÓLIO'!C:V,5,0),"")</f>
        <v/>
      </c>
      <c r="H421" s="254" t="str">
        <f t="array" ref="H421">IFERROR(INDEX('PORTIFÓLIO'!$H$4:$H$433,MATCH($C421,'PORTIFÓLIO'!$C$4:$C$433,0)),"")</f>
        <v/>
      </c>
      <c r="I421" s="256"/>
      <c r="J421" s="218">
        <f t="shared" si="47"/>
        <v>0</v>
      </c>
      <c r="K421" s="292" t="str">
        <f t="array" ref="K421">IFERROR(I421*INDEX('PORTIFÓLIO'!$S$4:$S$433,MATCH($C421,'PORTIFÓLIO'!$C$4:$C$433,0)),"")</f>
        <v/>
      </c>
      <c r="L421" s="292" t="str">
        <f t="array" ref="L421">IFERROR(J421*INDEX('PORTIFÓLIO'!$S$4:$S$433,MATCH($C421,'PORTIFÓLIO'!$C$4:$C$433,0)),"")</f>
        <v/>
      </c>
      <c r="M421" s="220"/>
      <c r="N421" s="220"/>
      <c r="O421" s="220"/>
      <c r="P421" s="220"/>
      <c r="Q421" s="220"/>
      <c r="R421" s="220"/>
      <c r="S421" s="220"/>
      <c r="T421" s="220"/>
      <c r="U421" s="220"/>
      <c r="V421" s="220"/>
      <c r="W421" s="220"/>
    </row>
    <row r="422" ht="15.75" customHeight="1" outlineLevel="1">
      <c r="A422" s="211"/>
      <c r="B422" s="212"/>
      <c r="C422" s="213"/>
      <c r="D422" s="214" t="str">
        <f>IFERROR(VLOOKUP($C422,'PORTIFÓLIO'!C:V,2,0),"")</f>
        <v/>
      </c>
      <c r="E422" s="211" t="str">
        <f>IFERROR(VLOOKUP($C422,'PORTIFÓLIO'!C:V,3,0),"")</f>
        <v/>
      </c>
      <c r="F422" s="211" t="str">
        <f>IFERROR(VLOOKUP($C422,'PORTIFÓLIO'!C:V,4,0),"")</f>
        <v/>
      </c>
      <c r="G422" s="215" t="str">
        <f>IFERROR(VLOOKUP($C422,'PORTIFÓLIO'!C:V,5,0),"")</f>
        <v/>
      </c>
      <c r="H422" s="254" t="str">
        <f t="array" ref="H422">IFERROR(INDEX('PORTIFÓLIO'!$H$4:$H$433,MATCH($C422,'PORTIFÓLIO'!$C$4:$C$433,0)),"")</f>
        <v/>
      </c>
      <c r="I422" s="256"/>
      <c r="J422" s="218">
        <f t="shared" si="47"/>
        <v>0</v>
      </c>
      <c r="K422" s="292" t="str">
        <f t="array" ref="K422">IFERROR(I422*INDEX('PORTIFÓLIO'!$S$4:$S$433,MATCH($C422,'PORTIFÓLIO'!$C$4:$C$433,0)),"")</f>
        <v/>
      </c>
      <c r="L422" s="292" t="str">
        <f t="array" ref="L422">IFERROR(J422*INDEX('PORTIFÓLIO'!$S$4:$S$433,MATCH($C422,'PORTIFÓLIO'!$C$4:$C$433,0)),"")</f>
        <v/>
      </c>
      <c r="M422" s="220"/>
      <c r="N422" s="220"/>
      <c r="O422" s="220"/>
      <c r="P422" s="220"/>
      <c r="Q422" s="220"/>
      <c r="R422" s="220"/>
      <c r="S422" s="220"/>
      <c r="T422" s="220"/>
      <c r="U422" s="220"/>
      <c r="V422" s="220"/>
      <c r="W422" s="220"/>
    </row>
    <row r="423" ht="15.75" customHeight="1" outlineLevel="1">
      <c r="A423" s="211"/>
      <c r="B423" s="212"/>
      <c r="C423" s="213"/>
      <c r="D423" s="214" t="str">
        <f>IFERROR(VLOOKUP($C423,'PORTIFÓLIO'!C:V,2,0),"")</f>
        <v/>
      </c>
      <c r="E423" s="211" t="str">
        <f>IFERROR(VLOOKUP($C423,'PORTIFÓLIO'!C:V,3,0),"")</f>
        <v/>
      </c>
      <c r="F423" s="211" t="str">
        <f>IFERROR(VLOOKUP($C423,'PORTIFÓLIO'!C:V,4,0),"")</f>
        <v/>
      </c>
      <c r="G423" s="215" t="str">
        <f>IFERROR(VLOOKUP($C423,'PORTIFÓLIO'!C:V,5,0),"")</f>
        <v/>
      </c>
      <c r="H423" s="254" t="str">
        <f t="array" ref="H423">IFERROR(INDEX('PORTIFÓLIO'!$H$4:$H$433,MATCH($C423,'PORTIFÓLIO'!$C$4:$C$433,0)),"")</f>
        <v/>
      </c>
      <c r="I423" s="256"/>
      <c r="J423" s="218">
        <f t="shared" si="47"/>
        <v>0</v>
      </c>
      <c r="K423" s="292" t="str">
        <f t="array" ref="K423">IFERROR(I423*INDEX('PORTIFÓLIO'!$S$4:$S$433,MATCH($C423,'PORTIFÓLIO'!$C$4:$C$433,0)),"")</f>
        <v/>
      </c>
      <c r="L423" s="292" t="str">
        <f t="array" ref="L423">IFERROR(J423*INDEX('PORTIFÓLIO'!$S$4:$S$433,MATCH($C423,'PORTIFÓLIO'!$C$4:$C$433,0)),"")</f>
        <v/>
      </c>
      <c r="M423" s="220"/>
      <c r="N423" s="220"/>
      <c r="O423" s="220"/>
      <c r="P423" s="220"/>
      <c r="Q423" s="220"/>
      <c r="R423" s="220"/>
      <c r="S423" s="220"/>
      <c r="T423" s="220"/>
      <c r="U423" s="220"/>
      <c r="V423" s="220"/>
      <c r="W423" s="220"/>
    </row>
    <row r="424" ht="15.75" customHeight="1" outlineLevel="1">
      <c r="A424" s="211"/>
      <c r="B424" s="212"/>
      <c r="C424" s="213"/>
      <c r="D424" s="214" t="str">
        <f>IFERROR(VLOOKUP($C424,'PORTIFÓLIO'!C:V,2,0),"")</f>
        <v/>
      </c>
      <c r="E424" s="211" t="str">
        <f>IFERROR(VLOOKUP($C424,'PORTIFÓLIO'!C:V,3,0),"")</f>
        <v/>
      </c>
      <c r="F424" s="211" t="str">
        <f>IFERROR(VLOOKUP($C424,'PORTIFÓLIO'!C:V,4,0),"")</f>
        <v/>
      </c>
      <c r="G424" s="215" t="str">
        <f>IFERROR(VLOOKUP($C424,'PORTIFÓLIO'!C:V,5,0),"")</f>
        <v/>
      </c>
      <c r="H424" s="254" t="str">
        <f t="array" ref="H424">IFERROR(INDEX('PORTIFÓLIO'!$H$4:$H$433,MATCH($C424,'PORTIFÓLIO'!$C$4:$C$433,0)),"")</f>
        <v/>
      </c>
      <c r="I424" s="256"/>
      <c r="J424" s="218">
        <f t="shared" si="47"/>
        <v>0</v>
      </c>
      <c r="K424" s="292" t="str">
        <f t="array" ref="K424">IFERROR(I424*INDEX('PORTIFÓLIO'!$S$4:$S$433,MATCH($C424,'PORTIFÓLIO'!$C$4:$C$433,0)),"")</f>
        <v/>
      </c>
      <c r="L424" s="292" t="str">
        <f t="array" ref="L424">IFERROR(J424*INDEX('PORTIFÓLIO'!$S$4:$S$433,MATCH($C424,'PORTIFÓLIO'!$C$4:$C$433,0)),"")</f>
        <v/>
      </c>
      <c r="M424" s="220"/>
      <c r="N424" s="220"/>
      <c r="O424" s="220"/>
      <c r="P424" s="220"/>
      <c r="Q424" s="220"/>
      <c r="R424" s="220"/>
      <c r="S424" s="220"/>
      <c r="T424" s="220"/>
      <c r="U424" s="220"/>
      <c r="V424" s="220"/>
      <c r="W424" s="220"/>
    </row>
    <row r="425" ht="15.75" customHeight="1" outlineLevel="1">
      <c r="A425" s="211"/>
      <c r="B425" s="227"/>
      <c r="C425" s="211"/>
      <c r="D425" s="214" t="str">
        <f>IFERROR(VLOOKUP($C425,'PORTIFÓLIO'!C:V,2,0),"")</f>
        <v/>
      </c>
      <c r="E425" s="211" t="str">
        <f>IFERROR(VLOOKUP($C425,'PORTIFÓLIO'!C:V,3,0),"")</f>
        <v/>
      </c>
      <c r="F425" s="211" t="str">
        <f>IFERROR(VLOOKUP($C425,'PORTIFÓLIO'!C:V,4,0),"")</f>
        <v/>
      </c>
      <c r="G425" s="215" t="str">
        <f>IFERROR(VLOOKUP($C425,'PORTIFÓLIO'!C:V,5,0),"")</f>
        <v/>
      </c>
      <c r="H425" s="254" t="str">
        <f t="array" ref="H425">IFERROR(INDEX('PORTIFÓLIO'!$H$4:$H$433,MATCH($C425,'PORTIFÓLIO'!$C$4:$C$433,0)),"")</f>
        <v/>
      </c>
      <c r="I425" s="256"/>
      <c r="J425" s="218">
        <f t="shared" si="47"/>
        <v>0</v>
      </c>
      <c r="K425" s="292" t="str">
        <f t="array" ref="K425">IFERROR(I425*INDEX('PORTIFÓLIO'!$S$4:$S$433,MATCH($C425,'PORTIFÓLIO'!$C$4:$C$433,0)),"")</f>
        <v/>
      </c>
      <c r="L425" s="292" t="str">
        <f t="array" ref="L425">IFERROR(J425*INDEX('PORTIFÓLIO'!$S$4:$S$433,MATCH($C425,'PORTIFÓLIO'!$C$4:$C$433,0)),"")</f>
        <v/>
      </c>
      <c r="M425" s="220"/>
      <c r="N425" s="220"/>
      <c r="O425" s="220"/>
      <c r="P425" s="220"/>
      <c r="Q425" s="220"/>
      <c r="R425" s="220"/>
      <c r="S425" s="220"/>
      <c r="T425" s="220"/>
      <c r="U425" s="220"/>
      <c r="V425" s="220"/>
      <c r="W425" s="220"/>
    </row>
    <row r="426" ht="15.75" customHeight="1" outlineLevel="1">
      <c r="A426" s="211"/>
      <c r="B426" s="227"/>
      <c r="C426" s="211"/>
      <c r="D426" s="214" t="str">
        <f>IFERROR(VLOOKUP($C426,'PORTIFÓLIO'!C:V,2,0),"")</f>
        <v/>
      </c>
      <c r="E426" s="211" t="str">
        <f>IFERROR(VLOOKUP($C426,'PORTIFÓLIO'!C:V,3,0),"")</f>
        <v/>
      </c>
      <c r="F426" s="211" t="str">
        <f>IFERROR(VLOOKUP($C426,'PORTIFÓLIO'!C:V,4,0),"")</f>
        <v/>
      </c>
      <c r="G426" s="215" t="str">
        <f>IFERROR(VLOOKUP($C426,'PORTIFÓLIO'!C:V,5,0),"")</f>
        <v/>
      </c>
      <c r="H426" s="254" t="str">
        <f t="array" ref="H426">IFERROR(INDEX('PORTIFÓLIO'!$H$4:$H$433,MATCH($C426,'PORTIFÓLIO'!$C$4:$C$433,0)),"")</f>
        <v/>
      </c>
      <c r="I426" s="256"/>
      <c r="J426" s="218">
        <f t="shared" si="47"/>
        <v>0</v>
      </c>
      <c r="K426" s="292" t="str">
        <f t="array" ref="K426">IFERROR(I426*INDEX('PORTIFÓLIO'!$S$4:$S$433,MATCH($C426,'PORTIFÓLIO'!$C$4:$C$433,0)),"")</f>
        <v/>
      </c>
      <c r="L426" s="292" t="str">
        <f t="array" ref="L426">IFERROR(J426*INDEX('PORTIFÓLIO'!$S$4:$S$433,MATCH($C426,'PORTIFÓLIO'!$C$4:$C$433,0)),"")</f>
        <v/>
      </c>
      <c r="U426" s="79"/>
    </row>
    <row r="427" ht="15.75" customHeight="1">
      <c r="A427" s="229" t="s">
        <v>1202</v>
      </c>
      <c r="B427" s="230"/>
      <c r="C427" s="231"/>
      <c r="D427" s="232"/>
      <c r="E427" s="231"/>
      <c r="F427" s="231"/>
      <c r="G427" s="233"/>
      <c r="H427" s="233"/>
      <c r="I427" s="258"/>
      <c r="J427" s="236"/>
      <c r="K427" s="237">
        <f t="shared" ref="K427:L427" si="48">SUBTOTAL(9,K428:K441)</f>
        <v>0</v>
      </c>
      <c r="L427" s="237">
        <f t="shared" si="48"/>
        <v>0</v>
      </c>
      <c r="U427" s="79"/>
    </row>
    <row r="428" ht="15.75" customHeight="1" outlineLevel="1">
      <c r="A428" s="213"/>
      <c r="B428" s="212"/>
      <c r="C428" s="213"/>
      <c r="D428" s="214" t="str">
        <f>IFERROR(VLOOKUP($C428,'PORTIFÓLIO'!C:V,2,0),"")</f>
        <v/>
      </c>
      <c r="E428" s="211" t="str">
        <f>IFERROR(VLOOKUP($C428,'PORTIFÓLIO'!C:V,3,0),"")</f>
        <v/>
      </c>
      <c r="F428" s="211" t="str">
        <f>IFERROR(VLOOKUP($C428,'PORTIFÓLIO'!C:V,4,0),"")</f>
        <v/>
      </c>
      <c r="G428" s="215" t="str">
        <f>IFERROR(VLOOKUP($C428,'PORTIFÓLIO'!C:V,5,0),"")</f>
        <v/>
      </c>
      <c r="H428" s="254" t="str">
        <f t="array" ref="H428">IFERROR(INDEX('PORTIFÓLIO'!$H$4:$H$433,MATCH($C428,'PORTIFÓLIO'!$C$4:$C$433,0)),"")</f>
        <v/>
      </c>
      <c r="I428" s="256"/>
      <c r="J428" s="218">
        <f t="shared" ref="J428:J451" si="49">I428*$B$2</f>
        <v>0</v>
      </c>
      <c r="K428" s="292" t="str">
        <f t="array" ref="K428">IFERROR(I428*INDEX('PORTIFÓLIO'!$S$4:$S$433,MATCH($C428,'PORTIFÓLIO'!$C$4:$C$433,0)),"")</f>
        <v/>
      </c>
      <c r="L428" s="292" t="str">
        <f t="array" ref="L428">IFERROR(J428*INDEX('PORTIFÓLIO'!$S$4:$S$433,MATCH($C428,'PORTIFÓLIO'!$C$4:$C$433,0)),"")</f>
        <v/>
      </c>
      <c r="U428" s="79"/>
    </row>
    <row r="429" ht="15.75" customHeight="1" outlineLevel="1">
      <c r="A429" s="211"/>
      <c r="B429" s="212"/>
      <c r="C429" s="213"/>
      <c r="D429" s="214" t="str">
        <f>IFERROR(VLOOKUP($C429,'PORTIFÓLIO'!C:V,2,0),"")</f>
        <v/>
      </c>
      <c r="E429" s="211" t="str">
        <f>IFERROR(VLOOKUP($C429,'PORTIFÓLIO'!C:V,3,0),"")</f>
        <v/>
      </c>
      <c r="F429" s="211" t="str">
        <f>IFERROR(VLOOKUP($C429,'PORTIFÓLIO'!C:V,4,0),"")</f>
        <v/>
      </c>
      <c r="G429" s="215" t="str">
        <f>IFERROR(VLOOKUP($C429,'PORTIFÓLIO'!C:V,5,0),"")</f>
        <v/>
      </c>
      <c r="H429" s="254" t="str">
        <f t="array" ref="H429">IFERROR(INDEX('PORTIFÓLIO'!$H$4:$H$433,MATCH($C429,'PORTIFÓLIO'!$C$4:$C$433,0)),"")</f>
        <v/>
      </c>
      <c r="I429" s="256"/>
      <c r="J429" s="218">
        <f t="shared" si="49"/>
        <v>0</v>
      </c>
      <c r="K429" s="292" t="str">
        <f t="array" ref="K429">IFERROR(I429*INDEX('PORTIFÓLIO'!$S$4:$S$433,MATCH($C429,'PORTIFÓLIO'!$C$4:$C$433,0)),"")</f>
        <v/>
      </c>
      <c r="L429" s="292" t="str">
        <f t="array" ref="L429">IFERROR(J429*INDEX('PORTIFÓLIO'!$S$4:$S$433,MATCH($C429,'PORTIFÓLIO'!$C$4:$C$433,0)),"")</f>
        <v/>
      </c>
      <c r="U429" s="79"/>
    </row>
    <row r="430" ht="15.75" customHeight="1" outlineLevel="1">
      <c r="A430" s="211"/>
      <c r="B430" s="212"/>
      <c r="C430" s="213"/>
      <c r="D430" s="214" t="str">
        <f>IFERROR(VLOOKUP($C430,'PORTIFÓLIO'!C:V,2,0),"")</f>
        <v/>
      </c>
      <c r="E430" s="211" t="str">
        <f>IFERROR(VLOOKUP($C430,'PORTIFÓLIO'!C:V,3,0),"")</f>
        <v/>
      </c>
      <c r="F430" s="211" t="str">
        <f>IFERROR(VLOOKUP($C430,'PORTIFÓLIO'!C:V,4,0),"")</f>
        <v/>
      </c>
      <c r="G430" s="215" t="str">
        <f>IFERROR(VLOOKUP($C430,'PORTIFÓLIO'!C:V,5,0),"")</f>
        <v/>
      </c>
      <c r="H430" s="254" t="str">
        <f t="array" ref="H430">IFERROR(INDEX('PORTIFÓLIO'!$H$4:$H$433,MATCH($C430,'PORTIFÓLIO'!$C$4:$C$433,0)),"")</f>
        <v/>
      </c>
      <c r="I430" s="256"/>
      <c r="J430" s="218">
        <f t="shared" si="49"/>
        <v>0</v>
      </c>
      <c r="K430" s="292" t="str">
        <f t="array" ref="K430">IFERROR(I430*INDEX('PORTIFÓLIO'!$S$4:$S$433,MATCH($C430,'PORTIFÓLIO'!$C$4:$C$433,0)),"")</f>
        <v/>
      </c>
      <c r="L430" s="292" t="str">
        <f t="array" ref="L430">IFERROR(J430*INDEX('PORTIFÓLIO'!$S$4:$S$433,MATCH($C430,'PORTIFÓLIO'!$C$4:$C$433,0)),"")</f>
        <v/>
      </c>
      <c r="U430" s="79"/>
    </row>
    <row r="431" ht="15.75" customHeight="1" outlineLevel="1">
      <c r="A431" s="211"/>
      <c r="B431" s="212"/>
      <c r="C431" s="213"/>
      <c r="D431" s="214" t="str">
        <f>IFERROR(VLOOKUP($C431,'PORTIFÓLIO'!C:V,2,0),"")</f>
        <v/>
      </c>
      <c r="E431" s="211" t="str">
        <f>IFERROR(VLOOKUP($C431,'PORTIFÓLIO'!C:V,3,0),"")</f>
        <v/>
      </c>
      <c r="F431" s="211" t="str">
        <f>IFERROR(VLOOKUP($C431,'PORTIFÓLIO'!C:V,4,0),"")</f>
        <v/>
      </c>
      <c r="G431" s="215" t="str">
        <f>IFERROR(VLOOKUP($C431,'PORTIFÓLIO'!C:V,5,0),"")</f>
        <v/>
      </c>
      <c r="H431" s="254" t="str">
        <f t="array" ref="H431">IFERROR(INDEX('PORTIFÓLIO'!$H$4:$H$433,MATCH($C431,'PORTIFÓLIO'!$C$4:$C$433,0)),"")</f>
        <v/>
      </c>
      <c r="I431" s="256"/>
      <c r="J431" s="218">
        <f t="shared" si="49"/>
        <v>0</v>
      </c>
      <c r="K431" s="292" t="str">
        <f t="array" ref="K431">IFERROR(I431*INDEX('PORTIFÓLIO'!$S$4:$S$433,MATCH($C431,'PORTIFÓLIO'!$C$4:$C$433,0)),"")</f>
        <v/>
      </c>
      <c r="L431" s="292" t="str">
        <f t="array" ref="L431">IFERROR(J431*INDEX('PORTIFÓLIO'!$S$4:$S$433,MATCH($C431,'PORTIFÓLIO'!$C$4:$C$433,0)),"")</f>
        <v/>
      </c>
      <c r="U431" s="79"/>
    </row>
    <row r="432" ht="15.75" customHeight="1" outlineLevel="1">
      <c r="A432" s="211"/>
      <c r="B432" s="212"/>
      <c r="C432" s="213"/>
      <c r="D432" s="214" t="str">
        <f>IFERROR(VLOOKUP($C432,'PORTIFÓLIO'!C:V,2,0),"")</f>
        <v/>
      </c>
      <c r="E432" s="211" t="str">
        <f>IFERROR(VLOOKUP($C432,'PORTIFÓLIO'!C:V,3,0),"")</f>
        <v/>
      </c>
      <c r="F432" s="211" t="str">
        <f>IFERROR(VLOOKUP($C432,'PORTIFÓLIO'!C:V,4,0),"")</f>
        <v/>
      </c>
      <c r="G432" s="215" t="str">
        <f>IFERROR(VLOOKUP($C432,'PORTIFÓLIO'!C:V,5,0),"")</f>
        <v/>
      </c>
      <c r="H432" s="254" t="str">
        <f t="array" ref="H432">IFERROR(INDEX('PORTIFÓLIO'!$H$4:$H$433,MATCH($C432,'PORTIFÓLIO'!$C$4:$C$433,0)),"")</f>
        <v/>
      </c>
      <c r="I432" s="256"/>
      <c r="J432" s="218">
        <f t="shared" si="49"/>
        <v>0</v>
      </c>
      <c r="K432" s="292" t="str">
        <f t="array" ref="K432">IFERROR(I432*INDEX('PORTIFÓLIO'!$S$4:$S$433,MATCH($C432,'PORTIFÓLIO'!$C$4:$C$433,0)),"")</f>
        <v/>
      </c>
      <c r="L432" s="292" t="str">
        <f t="array" ref="L432">IFERROR(J432*INDEX('PORTIFÓLIO'!$S$4:$S$433,MATCH($C432,'PORTIFÓLIO'!$C$4:$C$433,0)),"")</f>
        <v/>
      </c>
      <c r="U432" s="79"/>
    </row>
    <row r="433" ht="15.75" customHeight="1" outlineLevel="1">
      <c r="A433" s="211"/>
      <c r="B433" s="212"/>
      <c r="C433" s="213"/>
      <c r="D433" s="214" t="str">
        <f>IFERROR(VLOOKUP($C433,'PORTIFÓLIO'!C:V,2,0),"")</f>
        <v/>
      </c>
      <c r="E433" s="211" t="str">
        <f>IFERROR(VLOOKUP($C433,'PORTIFÓLIO'!C:V,3,0),"")</f>
        <v/>
      </c>
      <c r="F433" s="211" t="str">
        <f>IFERROR(VLOOKUP($C433,'PORTIFÓLIO'!C:V,4,0),"")</f>
        <v/>
      </c>
      <c r="G433" s="215" t="str">
        <f>IFERROR(VLOOKUP($C433,'PORTIFÓLIO'!C:V,5,0),"")</f>
        <v/>
      </c>
      <c r="H433" s="254" t="str">
        <f t="array" ref="H433">IFERROR(INDEX('PORTIFÓLIO'!$H$4:$H$433,MATCH($C433,'PORTIFÓLIO'!$C$4:$C$433,0)),"")</f>
        <v/>
      </c>
      <c r="I433" s="256"/>
      <c r="J433" s="218">
        <f t="shared" si="49"/>
        <v>0</v>
      </c>
      <c r="K433" s="292" t="str">
        <f t="array" ref="K433">IFERROR(I433*INDEX('PORTIFÓLIO'!$S$4:$S$433,MATCH($C433,'PORTIFÓLIO'!$C$4:$C$433,0)),"")</f>
        <v/>
      </c>
      <c r="L433" s="292" t="str">
        <f t="array" ref="L433">IFERROR(J433*INDEX('PORTIFÓLIO'!$S$4:$S$433,MATCH($C433,'PORTIFÓLIO'!$C$4:$C$433,0)),"")</f>
        <v/>
      </c>
      <c r="U433" s="79"/>
    </row>
    <row r="434" ht="15.75" customHeight="1" outlineLevel="1">
      <c r="A434" s="211"/>
      <c r="B434" s="212"/>
      <c r="C434" s="213"/>
      <c r="D434" s="214" t="str">
        <f>IFERROR(VLOOKUP($C434,'PORTIFÓLIO'!C:V,2,0),"")</f>
        <v/>
      </c>
      <c r="E434" s="211" t="str">
        <f>IFERROR(VLOOKUP($C434,'PORTIFÓLIO'!C:V,3,0),"")</f>
        <v/>
      </c>
      <c r="F434" s="211" t="str">
        <f>IFERROR(VLOOKUP($C434,'PORTIFÓLIO'!C:V,4,0),"")</f>
        <v/>
      </c>
      <c r="G434" s="215" t="str">
        <f>IFERROR(VLOOKUP($C434,'PORTIFÓLIO'!C:V,5,0),"")</f>
        <v/>
      </c>
      <c r="H434" s="254" t="str">
        <f t="array" ref="H434">IFERROR(INDEX('PORTIFÓLIO'!$H$4:$H$433,MATCH($C434,'PORTIFÓLIO'!$C$4:$C$433,0)),"")</f>
        <v/>
      </c>
      <c r="I434" s="256"/>
      <c r="J434" s="218">
        <f t="shared" si="49"/>
        <v>0</v>
      </c>
      <c r="K434" s="292" t="str">
        <f t="array" ref="K434">IFERROR(I434*INDEX('PORTIFÓLIO'!$S$4:$S$433,MATCH($C434,'PORTIFÓLIO'!$C$4:$C$433,0)),"")</f>
        <v/>
      </c>
      <c r="L434" s="292" t="str">
        <f t="array" ref="L434">IFERROR(J434*INDEX('PORTIFÓLIO'!$S$4:$S$433,MATCH($C434,'PORTIFÓLIO'!$C$4:$C$433,0)),"")</f>
        <v/>
      </c>
      <c r="U434" s="79"/>
    </row>
    <row r="435" ht="15.75" customHeight="1" outlineLevel="1">
      <c r="A435" s="211"/>
      <c r="B435" s="212"/>
      <c r="C435" s="213"/>
      <c r="D435" s="214" t="str">
        <f>IFERROR(VLOOKUP($C435,'PORTIFÓLIO'!C:V,2,0),"")</f>
        <v/>
      </c>
      <c r="E435" s="211" t="str">
        <f>IFERROR(VLOOKUP($C435,'PORTIFÓLIO'!C:V,3,0),"")</f>
        <v/>
      </c>
      <c r="F435" s="211" t="str">
        <f>IFERROR(VLOOKUP($C435,'PORTIFÓLIO'!C:V,4,0),"")</f>
        <v/>
      </c>
      <c r="G435" s="215" t="str">
        <f>IFERROR(VLOOKUP($C435,'PORTIFÓLIO'!C:V,5,0),"")</f>
        <v/>
      </c>
      <c r="H435" s="254" t="str">
        <f t="array" ref="H435">IFERROR(INDEX('PORTIFÓLIO'!$H$4:$H$433,MATCH($C435,'PORTIFÓLIO'!$C$4:$C$433,0)),"")</f>
        <v/>
      </c>
      <c r="I435" s="256"/>
      <c r="J435" s="218">
        <f t="shared" si="49"/>
        <v>0</v>
      </c>
      <c r="K435" s="292" t="str">
        <f t="array" ref="K435">IFERROR(I435*INDEX('PORTIFÓLIO'!$S$4:$S$433,MATCH($C435,'PORTIFÓLIO'!$C$4:$C$433,0)),"")</f>
        <v/>
      </c>
      <c r="L435" s="292" t="str">
        <f t="array" ref="L435">IFERROR(J435*INDEX('PORTIFÓLIO'!$S$4:$S$433,MATCH($C435,'PORTIFÓLIO'!$C$4:$C$433,0)),"")</f>
        <v/>
      </c>
      <c r="U435" s="79"/>
    </row>
    <row r="436" ht="15.75" customHeight="1" outlineLevel="1">
      <c r="A436" s="211"/>
      <c r="B436" s="212"/>
      <c r="C436" s="213"/>
      <c r="D436" s="214" t="str">
        <f>IFERROR(VLOOKUP($C436,'PORTIFÓLIO'!C:V,2,0),"")</f>
        <v/>
      </c>
      <c r="E436" s="211" t="str">
        <f>IFERROR(VLOOKUP($C436,'PORTIFÓLIO'!C:V,3,0),"")</f>
        <v/>
      </c>
      <c r="F436" s="211" t="str">
        <f>IFERROR(VLOOKUP($C436,'PORTIFÓLIO'!C:V,4,0),"")</f>
        <v/>
      </c>
      <c r="G436" s="215" t="str">
        <f>IFERROR(VLOOKUP($C436,'PORTIFÓLIO'!C:V,5,0),"")</f>
        <v/>
      </c>
      <c r="H436" s="254" t="str">
        <f t="array" ref="H436">IFERROR(INDEX('PORTIFÓLIO'!$H$4:$H$433,MATCH($C436,'PORTIFÓLIO'!$C$4:$C$433,0)),"")</f>
        <v/>
      </c>
      <c r="I436" s="256"/>
      <c r="J436" s="218">
        <f t="shared" si="49"/>
        <v>0</v>
      </c>
      <c r="K436" s="292" t="str">
        <f t="array" ref="K436">IFERROR(I436*INDEX('PORTIFÓLIO'!$S$4:$S$433,MATCH($C436,'PORTIFÓLIO'!$C$4:$C$433,0)),"")</f>
        <v/>
      </c>
      <c r="L436" s="292" t="str">
        <f t="array" ref="L436">IFERROR(J436*INDEX('PORTIFÓLIO'!$S$4:$S$433,MATCH($C436,'PORTIFÓLIO'!$C$4:$C$433,0)),"")</f>
        <v/>
      </c>
      <c r="U436" s="79"/>
    </row>
    <row r="437" ht="15.75" customHeight="1" outlineLevel="1">
      <c r="A437" s="211"/>
      <c r="B437" s="212"/>
      <c r="C437" s="213"/>
      <c r="D437" s="214" t="str">
        <f>IFERROR(VLOOKUP($C437,'PORTIFÓLIO'!C:V,2,0),"")</f>
        <v/>
      </c>
      <c r="E437" s="211" t="str">
        <f>IFERROR(VLOOKUP($C437,'PORTIFÓLIO'!C:V,3,0),"")</f>
        <v/>
      </c>
      <c r="F437" s="211" t="str">
        <f>IFERROR(VLOOKUP($C437,'PORTIFÓLIO'!C:V,4,0),"")</f>
        <v/>
      </c>
      <c r="G437" s="215" t="str">
        <f>IFERROR(VLOOKUP($C437,'PORTIFÓLIO'!C:V,5,0),"")</f>
        <v/>
      </c>
      <c r="H437" s="254" t="str">
        <f t="array" ref="H437">IFERROR(INDEX('PORTIFÓLIO'!$H$4:$H$433,MATCH($C437,'PORTIFÓLIO'!$C$4:$C$433,0)),"")</f>
        <v/>
      </c>
      <c r="I437" s="256"/>
      <c r="J437" s="218">
        <f t="shared" si="49"/>
        <v>0</v>
      </c>
      <c r="K437" s="292" t="str">
        <f t="array" ref="K437">IFERROR(I437*INDEX('PORTIFÓLIO'!$S$4:$S$433,MATCH($C437,'PORTIFÓLIO'!$C$4:$C$433,0)),"")</f>
        <v/>
      </c>
      <c r="L437" s="292" t="str">
        <f t="array" ref="L437">IFERROR(J437*INDEX('PORTIFÓLIO'!$S$4:$S$433,MATCH($C437,'PORTIFÓLIO'!$C$4:$C$433,0)),"")</f>
        <v/>
      </c>
      <c r="U437" s="79"/>
    </row>
    <row r="438" ht="15.75" customHeight="1" outlineLevel="1">
      <c r="A438" s="211"/>
      <c r="B438" s="212"/>
      <c r="C438" s="213"/>
      <c r="D438" s="214" t="str">
        <f>IFERROR(VLOOKUP($C438,'PORTIFÓLIO'!C:V,2,0),"")</f>
        <v/>
      </c>
      <c r="E438" s="211" t="str">
        <f>IFERROR(VLOOKUP($C438,'PORTIFÓLIO'!C:V,3,0),"")</f>
        <v/>
      </c>
      <c r="F438" s="211" t="str">
        <f>IFERROR(VLOOKUP($C438,'PORTIFÓLIO'!C:V,4,0),"")</f>
        <v/>
      </c>
      <c r="G438" s="215" t="str">
        <f>IFERROR(VLOOKUP($C438,'PORTIFÓLIO'!C:V,5,0),"")</f>
        <v/>
      </c>
      <c r="H438" s="254" t="str">
        <f t="array" ref="H438">IFERROR(INDEX('PORTIFÓLIO'!$H$4:$H$433,MATCH($C438,'PORTIFÓLIO'!$C$4:$C$433,0)),"")</f>
        <v/>
      </c>
      <c r="I438" s="256"/>
      <c r="J438" s="218">
        <f t="shared" si="49"/>
        <v>0</v>
      </c>
      <c r="K438" s="292" t="str">
        <f t="array" ref="K438">IFERROR(I438*INDEX('PORTIFÓLIO'!$S$4:$S$433,MATCH($C438,'PORTIFÓLIO'!$C$4:$C$433,0)),"")</f>
        <v/>
      </c>
      <c r="L438" s="292" t="str">
        <f t="array" ref="L438">IFERROR(J438*INDEX('PORTIFÓLIO'!$S$4:$S$433,MATCH($C438,'PORTIFÓLIO'!$C$4:$C$433,0)),"")</f>
        <v/>
      </c>
      <c r="U438" s="79"/>
    </row>
    <row r="439" ht="15.75" customHeight="1" outlineLevel="1">
      <c r="A439" s="211"/>
      <c r="B439" s="212"/>
      <c r="C439" s="213"/>
      <c r="D439" s="214" t="str">
        <f>IFERROR(VLOOKUP($C439,'PORTIFÓLIO'!C:V,2,0),"")</f>
        <v/>
      </c>
      <c r="E439" s="211" t="str">
        <f>IFERROR(VLOOKUP($C439,'PORTIFÓLIO'!C:V,3,0),"")</f>
        <v/>
      </c>
      <c r="F439" s="211" t="str">
        <f>IFERROR(VLOOKUP($C439,'PORTIFÓLIO'!C:V,4,0),"")</f>
        <v/>
      </c>
      <c r="G439" s="215" t="str">
        <f>IFERROR(VLOOKUP($C439,'PORTIFÓLIO'!C:V,5,0),"")</f>
        <v/>
      </c>
      <c r="H439" s="254" t="str">
        <f t="array" ref="H439">IFERROR(INDEX('PORTIFÓLIO'!$H$4:$H$433,MATCH($C439,'PORTIFÓLIO'!$C$4:$C$433,0)),"")</f>
        <v/>
      </c>
      <c r="I439" s="256"/>
      <c r="J439" s="218">
        <f t="shared" si="49"/>
        <v>0</v>
      </c>
      <c r="K439" s="292" t="str">
        <f t="array" ref="K439">IFERROR(I439*INDEX('PORTIFÓLIO'!$S$4:$S$433,MATCH($C439,'PORTIFÓLIO'!$C$4:$C$433,0)),"")</f>
        <v/>
      </c>
      <c r="L439" s="292" t="str">
        <f t="array" ref="L439">IFERROR(J439*INDEX('PORTIFÓLIO'!$S$4:$S$433,MATCH($C439,'PORTIFÓLIO'!$C$4:$C$433,0)),"")</f>
        <v/>
      </c>
      <c r="U439" s="79"/>
    </row>
    <row r="440" ht="15.75" customHeight="1" outlineLevel="1">
      <c r="A440" s="211"/>
      <c r="B440" s="212"/>
      <c r="C440" s="213"/>
      <c r="D440" s="214" t="str">
        <f>IFERROR(VLOOKUP($C440,'PORTIFÓLIO'!C:V,2,0),"")</f>
        <v/>
      </c>
      <c r="E440" s="211" t="str">
        <f>IFERROR(VLOOKUP($C440,'PORTIFÓLIO'!C:V,3,0),"")</f>
        <v/>
      </c>
      <c r="F440" s="211" t="str">
        <f>IFERROR(VLOOKUP($C440,'PORTIFÓLIO'!C:V,4,0),"")</f>
        <v/>
      </c>
      <c r="G440" s="215" t="str">
        <f>IFERROR(VLOOKUP($C440,'PORTIFÓLIO'!C:V,5,0),"")</f>
        <v/>
      </c>
      <c r="H440" s="254" t="str">
        <f t="array" ref="H440">IFERROR(INDEX('PORTIFÓLIO'!$H$4:$H$433,MATCH($C440,'PORTIFÓLIO'!$C$4:$C$433,0)),"")</f>
        <v/>
      </c>
      <c r="I440" s="256"/>
      <c r="J440" s="218">
        <f t="shared" si="49"/>
        <v>0</v>
      </c>
      <c r="K440" s="292" t="str">
        <f t="array" ref="K440">IFERROR(I440*INDEX('PORTIFÓLIO'!$S$4:$S$433,MATCH($C440,'PORTIFÓLIO'!$C$4:$C$433,0)),"")</f>
        <v/>
      </c>
      <c r="L440" s="292" t="str">
        <f t="array" ref="L440">IFERROR(J440*INDEX('PORTIFÓLIO'!$S$4:$S$433,MATCH($C440,'PORTIFÓLIO'!$C$4:$C$433,0)),"")</f>
        <v/>
      </c>
      <c r="U440" s="79"/>
    </row>
    <row r="441" ht="15.75" customHeight="1" outlineLevel="1">
      <c r="A441" s="211"/>
      <c r="B441" s="212"/>
      <c r="C441" s="213"/>
      <c r="D441" s="214" t="str">
        <f>IFERROR(VLOOKUP($C441,'PORTIFÓLIO'!C:V,2,0),"")</f>
        <v/>
      </c>
      <c r="E441" s="211" t="str">
        <f>IFERROR(VLOOKUP($C441,'PORTIFÓLIO'!C:V,3,0),"")</f>
        <v/>
      </c>
      <c r="F441" s="211" t="str">
        <f>IFERROR(VLOOKUP($C441,'PORTIFÓLIO'!C:V,4,0),"")</f>
        <v/>
      </c>
      <c r="G441" s="215" t="str">
        <f>IFERROR(VLOOKUP($C441,'PORTIFÓLIO'!C:V,5,0),"")</f>
        <v/>
      </c>
      <c r="H441" s="254" t="str">
        <f t="array" ref="H441">IFERROR(INDEX('PORTIFÓLIO'!$H$4:$H$433,MATCH($C441,'PORTIFÓLIO'!$C$4:$C$433,0)),"")</f>
        <v/>
      </c>
      <c r="I441" s="256"/>
      <c r="J441" s="218">
        <f t="shared" si="49"/>
        <v>0</v>
      </c>
      <c r="K441" s="292" t="str">
        <f t="array" ref="K441">IFERROR(I441*INDEX('PORTIFÓLIO'!$S$4:$S$433,MATCH($C441,'PORTIFÓLIO'!$C$4:$C$433,0)),"")</f>
        <v/>
      </c>
      <c r="L441" s="292" t="str">
        <f t="array" ref="L441">IFERROR(J441*INDEX('PORTIFÓLIO'!$S$4:$S$433,MATCH($C441,'PORTIFÓLIO'!$C$4:$C$433,0)),"")</f>
        <v/>
      </c>
      <c r="U441" s="79"/>
    </row>
    <row r="442" ht="15.75" customHeight="1" outlineLevel="1">
      <c r="A442" s="211"/>
      <c r="B442" s="212"/>
      <c r="C442" s="213"/>
      <c r="D442" s="214" t="str">
        <f>IFERROR(VLOOKUP($C442,'PORTIFÓLIO'!C:V,2,0),"")</f>
        <v/>
      </c>
      <c r="E442" s="211" t="str">
        <f>IFERROR(VLOOKUP($C442,'PORTIFÓLIO'!C:V,3,0),"")</f>
        <v/>
      </c>
      <c r="F442" s="211" t="str">
        <f>IFERROR(VLOOKUP($C442,'PORTIFÓLIO'!C:V,4,0),"")</f>
        <v/>
      </c>
      <c r="G442" s="215" t="str">
        <f>IFERROR(VLOOKUP($C442,'PORTIFÓLIO'!C:V,5,0),"")</f>
        <v/>
      </c>
      <c r="H442" s="254" t="str">
        <f t="array" ref="H442">IFERROR(INDEX('PORTIFÓLIO'!$H$4:$H$433,MATCH($C442,'PORTIFÓLIO'!$C$4:$C$433,0)),"")</f>
        <v/>
      </c>
      <c r="I442" s="256"/>
      <c r="J442" s="218">
        <f t="shared" si="49"/>
        <v>0</v>
      </c>
      <c r="K442" s="292" t="str">
        <f t="array" ref="K442">IFERROR(I442*INDEX('PORTIFÓLIO'!$S$4:$S$433,MATCH($C442,'PORTIFÓLIO'!$C$4:$C$433,0)),"")</f>
        <v/>
      </c>
      <c r="L442" s="292" t="str">
        <f t="array" ref="L442">IFERROR(J442*INDEX('PORTIFÓLIO'!$S$4:$S$433,MATCH($C442,'PORTIFÓLIO'!$C$4:$C$433,0)),"")</f>
        <v/>
      </c>
      <c r="U442" s="79"/>
    </row>
    <row r="443" ht="15.75" customHeight="1" outlineLevel="1">
      <c r="A443" s="211"/>
      <c r="B443" s="227"/>
      <c r="C443" s="211"/>
      <c r="D443" s="214" t="str">
        <f>IFERROR(VLOOKUP($C443,'PORTIFÓLIO'!C:V,2,0),"")</f>
        <v/>
      </c>
      <c r="E443" s="211" t="str">
        <f>IFERROR(VLOOKUP($C443,'PORTIFÓLIO'!C:V,3,0),"")</f>
        <v/>
      </c>
      <c r="F443" s="211" t="str">
        <f>IFERROR(VLOOKUP($C443,'PORTIFÓLIO'!C:V,4,0),"")</f>
        <v/>
      </c>
      <c r="G443" s="215" t="str">
        <f>IFERROR(VLOOKUP($C443,'PORTIFÓLIO'!C:V,5,0),"")</f>
        <v/>
      </c>
      <c r="H443" s="254" t="str">
        <f t="array" ref="H443">IFERROR(INDEX('PORTIFÓLIO'!$H$4:$H$433,MATCH($C443,'PORTIFÓLIO'!$C$4:$C$433,0)),"")</f>
        <v/>
      </c>
      <c r="I443" s="256"/>
      <c r="J443" s="218">
        <f t="shared" si="49"/>
        <v>0</v>
      </c>
      <c r="K443" s="292" t="str">
        <f t="array" ref="K443">IFERROR(I443*INDEX('PORTIFÓLIO'!$S$4:$S$433,MATCH($C443,'PORTIFÓLIO'!$C$4:$C$433,0)),"")</f>
        <v/>
      </c>
      <c r="L443" s="292" t="str">
        <f t="array" ref="L443">IFERROR(J443*INDEX('PORTIFÓLIO'!$S$4:$S$433,MATCH($C443,'PORTIFÓLIO'!$C$4:$C$433,0)),"")</f>
        <v/>
      </c>
      <c r="U443" s="79"/>
    </row>
    <row r="444" ht="15.75" customHeight="1" outlineLevel="1">
      <c r="A444" s="211"/>
      <c r="B444" s="227"/>
      <c r="C444" s="211"/>
      <c r="D444" s="214" t="str">
        <f>IFERROR(VLOOKUP($C444,'PORTIFÓLIO'!C:V,2,0),"")</f>
        <v/>
      </c>
      <c r="E444" s="211" t="str">
        <f>IFERROR(VLOOKUP($C444,'PORTIFÓLIO'!C:V,3,0),"")</f>
        <v/>
      </c>
      <c r="F444" s="211" t="str">
        <f>IFERROR(VLOOKUP($C444,'PORTIFÓLIO'!C:V,4,0),"")</f>
        <v/>
      </c>
      <c r="G444" s="215" t="str">
        <f>IFERROR(VLOOKUP($C444,'PORTIFÓLIO'!C:V,5,0),"")</f>
        <v/>
      </c>
      <c r="H444" s="254" t="str">
        <f t="array" ref="H444">IFERROR(INDEX('PORTIFÓLIO'!$H$4:$H$433,MATCH($C444,'PORTIFÓLIO'!$C$4:$C$433,0)),"")</f>
        <v/>
      </c>
      <c r="I444" s="256"/>
      <c r="J444" s="218">
        <f t="shared" si="49"/>
        <v>0</v>
      </c>
      <c r="K444" s="292" t="str">
        <f t="array" ref="K444">IFERROR(I444*INDEX('PORTIFÓLIO'!$S$4:$S$433,MATCH($C444,'PORTIFÓLIO'!$C$4:$C$433,0)),"")</f>
        <v/>
      </c>
      <c r="L444" s="292" t="str">
        <f t="array" ref="L444">IFERROR(J444*INDEX('PORTIFÓLIO'!$S$4:$S$433,MATCH($C444,'PORTIFÓLIO'!$C$4:$C$433,0)),"")</f>
        <v/>
      </c>
      <c r="U444" s="79"/>
    </row>
    <row r="445" ht="15.75" customHeight="1" outlineLevel="1">
      <c r="A445" s="211"/>
      <c r="B445" s="227"/>
      <c r="C445" s="211"/>
      <c r="D445" s="214" t="str">
        <f>IFERROR(VLOOKUP($C445,'PORTIFÓLIO'!C:V,2,0),"")</f>
        <v/>
      </c>
      <c r="E445" s="211" t="str">
        <f>IFERROR(VLOOKUP($C445,'PORTIFÓLIO'!C:V,3,0),"")</f>
        <v/>
      </c>
      <c r="F445" s="211" t="str">
        <f>IFERROR(VLOOKUP($C445,'PORTIFÓLIO'!C:V,4,0),"")</f>
        <v/>
      </c>
      <c r="G445" s="215" t="str">
        <f>IFERROR(VLOOKUP($C445,'PORTIFÓLIO'!C:V,5,0),"")</f>
        <v/>
      </c>
      <c r="H445" s="254" t="str">
        <f t="array" ref="H445">IFERROR(INDEX('PORTIFÓLIO'!$H$4:$H$433,MATCH($C445,'PORTIFÓLIO'!$C$4:$C$433,0)),"")</f>
        <v/>
      </c>
      <c r="I445" s="256"/>
      <c r="J445" s="218">
        <f t="shared" si="49"/>
        <v>0</v>
      </c>
      <c r="K445" s="292" t="str">
        <f t="array" ref="K445">IFERROR(I445*INDEX('PORTIFÓLIO'!$S$4:$S$433,MATCH($C445,'PORTIFÓLIO'!$C$4:$C$433,0)),"")</f>
        <v/>
      </c>
      <c r="L445" s="292" t="str">
        <f t="array" ref="L445">IFERROR(J445*INDEX('PORTIFÓLIO'!$S$4:$S$433,MATCH($C445,'PORTIFÓLIO'!$C$4:$C$433,0)),"")</f>
        <v/>
      </c>
      <c r="U445" s="79"/>
    </row>
    <row r="446" ht="15.75" customHeight="1" outlineLevel="1">
      <c r="A446" s="211"/>
      <c r="B446" s="227"/>
      <c r="C446" s="211"/>
      <c r="D446" s="214" t="str">
        <f>IFERROR(VLOOKUP($C446,'PORTIFÓLIO'!C:V,2,0),"")</f>
        <v/>
      </c>
      <c r="E446" s="211" t="str">
        <f>IFERROR(VLOOKUP($C446,'PORTIFÓLIO'!C:V,3,0),"")</f>
        <v/>
      </c>
      <c r="F446" s="211" t="str">
        <f>IFERROR(VLOOKUP($C446,'PORTIFÓLIO'!C:V,4,0),"")</f>
        <v/>
      </c>
      <c r="G446" s="215" t="str">
        <f>IFERROR(VLOOKUP($C446,'PORTIFÓLIO'!C:V,5,0),"")</f>
        <v/>
      </c>
      <c r="H446" s="254" t="str">
        <f t="array" ref="H446">IFERROR(INDEX('PORTIFÓLIO'!$H$4:$H$433,MATCH($C446,'PORTIFÓLIO'!$C$4:$C$433,0)),"")</f>
        <v/>
      </c>
      <c r="I446" s="256"/>
      <c r="J446" s="218">
        <f t="shared" si="49"/>
        <v>0</v>
      </c>
      <c r="K446" s="292" t="str">
        <f t="array" ref="K446">IFERROR(I446*INDEX('PORTIFÓLIO'!$S$4:$S$433,MATCH($C446,'PORTIFÓLIO'!$C$4:$C$433,0)),"")</f>
        <v/>
      </c>
      <c r="L446" s="292" t="str">
        <f t="array" ref="L446">IFERROR(J446*INDEX('PORTIFÓLIO'!$S$4:$S$433,MATCH($C446,'PORTIFÓLIO'!$C$4:$C$433,0)),"")</f>
        <v/>
      </c>
      <c r="U446" s="79"/>
    </row>
    <row r="447" ht="15.75" customHeight="1" outlineLevel="1">
      <c r="A447" s="211"/>
      <c r="B447" s="227"/>
      <c r="C447" s="211"/>
      <c r="D447" s="214" t="str">
        <f>IFERROR(VLOOKUP($C447,'PORTIFÓLIO'!C:V,2,0),"")</f>
        <v/>
      </c>
      <c r="E447" s="211" t="str">
        <f>IFERROR(VLOOKUP($C447,'PORTIFÓLIO'!C:V,3,0),"")</f>
        <v/>
      </c>
      <c r="F447" s="211" t="str">
        <f>IFERROR(VLOOKUP($C447,'PORTIFÓLIO'!C:V,4,0),"")</f>
        <v/>
      </c>
      <c r="G447" s="215" t="str">
        <f>IFERROR(VLOOKUP($C447,'PORTIFÓLIO'!C:V,5,0),"")</f>
        <v/>
      </c>
      <c r="H447" s="254" t="str">
        <f t="array" ref="H447">IFERROR(INDEX('PORTIFÓLIO'!$H$4:$H$433,MATCH($C447,'PORTIFÓLIO'!$C$4:$C$433,0)),"")</f>
        <v/>
      </c>
      <c r="I447" s="256"/>
      <c r="J447" s="218">
        <f t="shared" si="49"/>
        <v>0</v>
      </c>
      <c r="K447" s="292" t="str">
        <f t="array" ref="K447">IFERROR(I447*INDEX('PORTIFÓLIO'!$S$4:$S$433,MATCH($C447,'PORTIFÓLIO'!$C$4:$C$433,0)),"")</f>
        <v/>
      </c>
      <c r="L447" s="292" t="str">
        <f t="array" ref="L447">IFERROR(J447*INDEX('PORTIFÓLIO'!$S$4:$S$433,MATCH($C447,'PORTIFÓLIO'!$C$4:$C$433,0)),"")</f>
        <v/>
      </c>
      <c r="U447" s="79"/>
    </row>
    <row r="448" ht="15.75" customHeight="1" outlineLevel="1">
      <c r="A448" s="211"/>
      <c r="B448" s="227"/>
      <c r="C448" s="211"/>
      <c r="D448" s="214" t="str">
        <f>IFERROR(VLOOKUP($C448,'PORTIFÓLIO'!C:V,2,0),"")</f>
        <v/>
      </c>
      <c r="E448" s="211" t="str">
        <f>IFERROR(VLOOKUP($C448,'PORTIFÓLIO'!C:V,3,0),"")</f>
        <v/>
      </c>
      <c r="F448" s="211" t="str">
        <f>IFERROR(VLOOKUP($C448,'PORTIFÓLIO'!C:V,4,0),"")</f>
        <v/>
      </c>
      <c r="G448" s="215" t="str">
        <f>IFERROR(VLOOKUP($C448,'PORTIFÓLIO'!C:V,5,0),"")</f>
        <v/>
      </c>
      <c r="H448" s="254" t="str">
        <f t="array" ref="H448">IFERROR(INDEX('PORTIFÓLIO'!$H$4:$H$433,MATCH($C448,'PORTIFÓLIO'!$C$4:$C$433,0)),"")</f>
        <v/>
      </c>
      <c r="I448" s="256"/>
      <c r="J448" s="218">
        <f t="shared" si="49"/>
        <v>0</v>
      </c>
      <c r="K448" s="292" t="str">
        <f t="array" ref="K448">IFERROR(I448*INDEX('PORTIFÓLIO'!$S$4:$S$433,MATCH($C448,'PORTIFÓLIO'!$C$4:$C$433,0)),"")</f>
        <v/>
      </c>
      <c r="L448" s="292" t="str">
        <f t="array" ref="L448">IFERROR(J448*INDEX('PORTIFÓLIO'!$S$4:$S$433,MATCH($C448,'PORTIFÓLIO'!$C$4:$C$433,0)),"")</f>
        <v/>
      </c>
      <c r="U448" s="79"/>
    </row>
    <row r="449" ht="15.75" customHeight="1" outlineLevel="1">
      <c r="A449" s="211"/>
      <c r="B449" s="227"/>
      <c r="C449" s="211"/>
      <c r="D449" s="214" t="str">
        <f>IFERROR(VLOOKUP($C449,'PORTIFÓLIO'!C:V,2,0),"")</f>
        <v/>
      </c>
      <c r="E449" s="211" t="str">
        <f>IFERROR(VLOOKUP($C449,'PORTIFÓLIO'!C:V,3,0),"")</f>
        <v/>
      </c>
      <c r="F449" s="211" t="str">
        <f>IFERROR(VLOOKUP($C449,'PORTIFÓLIO'!C:V,4,0),"")</f>
        <v/>
      </c>
      <c r="G449" s="215" t="str">
        <f>IFERROR(VLOOKUP($C449,'PORTIFÓLIO'!C:V,5,0),"")</f>
        <v/>
      </c>
      <c r="H449" s="254" t="str">
        <f t="array" ref="H449">IFERROR(INDEX('PORTIFÓLIO'!$H$4:$H$433,MATCH($C449,'PORTIFÓLIO'!$C$4:$C$433,0)),"")</f>
        <v/>
      </c>
      <c r="I449" s="256"/>
      <c r="J449" s="218">
        <f t="shared" si="49"/>
        <v>0</v>
      </c>
      <c r="K449" s="292" t="str">
        <f t="array" ref="K449">IFERROR(I449*INDEX('PORTIFÓLIO'!$S$4:$S$433,MATCH($C449,'PORTIFÓLIO'!$C$4:$C$433,0)),"")</f>
        <v/>
      </c>
      <c r="L449" s="292" t="str">
        <f t="array" ref="L449">IFERROR(J449*INDEX('PORTIFÓLIO'!$S$4:$S$433,MATCH($C449,'PORTIFÓLIO'!$C$4:$C$433,0)),"")</f>
        <v/>
      </c>
      <c r="U449" s="79"/>
    </row>
    <row r="450" ht="15.75" customHeight="1" outlineLevel="1">
      <c r="A450" s="211"/>
      <c r="B450" s="227"/>
      <c r="C450" s="211"/>
      <c r="D450" s="214" t="str">
        <f>IFERROR(VLOOKUP($C450,'PORTIFÓLIO'!C:V,2,0),"")</f>
        <v/>
      </c>
      <c r="E450" s="211" t="str">
        <f>IFERROR(VLOOKUP($C450,'PORTIFÓLIO'!C:V,3,0),"")</f>
        <v/>
      </c>
      <c r="F450" s="211" t="str">
        <f>IFERROR(VLOOKUP($C450,'PORTIFÓLIO'!C:V,4,0),"")</f>
        <v/>
      </c>
      <c r="G450" s="215" t="str">
        <f>IFERROR(VLOOKUP($C450,'PORTIFÓLIO'!C:V,5,0),"")</f>
        <v/>
      </c>
      <c r="H450" s="254" t="str">
        <f t="array" ref="H450">IFERROR(INDEX('PORTIFÓLIO'!$H$4:$H$433,MATCH($C450,'PORTIFÓLIO'!$C$4:$C$433,0)),"")</f>
        <v/>
      </c>
      <c r="I450" s="256"/>
      <c r="J450" s="218">
        <f t="shared" si="49"/>
        <v>0</v>
      </c>
      <c r="K450" s="292" t="str">
        <f t="array" ref="K450">IFERROR(I450*INDEX('PORTIFÓLIO'!$S$4:$S$433,MATCH($C450,'PORTIFÓLIO'!$C$4:$C$433,0)),"")</f>
        <v/>
      </c>
      <c r="L450" s="292" t="str">
        <f t="array" ref="L450">IFERROR(J450*INDEX('PORTIFÓLIO'!$S$4:$S$433,MATCH($C450,'PORTIFÓLIO'!$C$4:$C$433,0)),"")</f>
        <v/>
      </c>
      <c r="U450" s="79"/>
    </row>
    <row r="451" ht="15.75" customHeight="1" outlineLevel="1">
      <c r="A451" s="211"/>
      <c r="B451" s="227"/>
      <c r="C451" s="211"/>
      <c r="D451" s="214" t="str">
        <f>IFERROR(VLOOKUP($C451,'PORTIFÓLIO'!C:V,2,0),"")</f>
        <v/>
      </c>
      <c r="E451" s="211" t="str">
        <f>IFERROR(VLOOKUP($C451,'PORTIFÓLIO'!C:V,3,0),"")</f>
        <v/>
      </c>
      <c r="F451" s="211" t="str">
        <f>IFERROR(VLOOKUP($C451,'PORTIFÓLIO'!C:V,4,0),"")</f>
        <v/>
      </c>
      <c r="G451" s="215" t="str">
        <f>IFERROR(VLOOKUP($C451,'PORTIFÓLIO'!C:V,5,0),"")</f>
        <v/>
      </c>
      <c r="H451" s="254" t="str">
        <f t="array" ref="H451">IFERROR(INDEX('PORTIFÓLIO'!$H$4:$H$433,MATCH($C451,'PORTIFÓLIO'!$C$4:$C$433,0)),"")</f>
        <v/>
      </c>
      <c r="I451" s="256"/>
      <c r="J451" s="218">
        <f t="shared" si="49"/>
        <v>0</v>
      </c>
      <c r="K451" s="292" t="str">
        <f t="array" ref="K451">IFERROR(I451*INDEX('PORTIFÓLIO'!$S$4:$S$433,MATCH($C451,'PORTIFÓLIO'!$C$4:$C$433,0)),"")</f>
        <v/>
      </c>
      <c r="L451" s="292" t="str">
        <f t="array" ref="L451">IFERROR(J451*INDEX('PORTIFÓLIO'!$S$4:$S$433,MATCH($C451,'PORTIFÓLIO'!$C$4:$C$433,0)),"")</f>
        <v/>
      </c>
      <c r="U451" s="79"/>
    </row>
    <row r="452" ht="15.75" customHeight="1">
      <c r="A452" s="227"/>
      <c r="B452" s="227"/>
      <c r="C452" s="227"/>
      <c r="D452" s="227"/>
      <c r="E452" s="227"/>
      <c r="F452" s="227"/>
      <c r="G452" s="215"/>
      <c r="H452" s="227"/>
      <c r="I452" s="227"/>
      <c r="J452" s="227"/>
      <c r="K452" s="293">
        <f t="shared" ref="K452:L452" si="50">SUBTOTAL(9,K237:K427)</f>
        <v>0</v>
      </c>
      <c r="L452" s="293">
        <f t="shared" si="50"/>
        <v>0</v>
      </c>
      <c r="U452" s="79"/>
    </row>
    <row r="453" ht="15.75" customHeight="1">
      <c r="U453" s="79"/>
    </row>
    <row r="454" ht="15.75" customHeight="1">
      <c r="U454" s="79"/>
    </row>
    <row r="455" ht="15.75" customHeight="1">
      <c r="U455" s="79"/>
    </row>
    <row r="456" ht="15.75" customHeight="1">
      <c r="U456" s="79"/>
    </row>
    <row r="457" ht="15.75" customHeight="1">
      <c r="U457" s="79"/>
    </row>
    <row r="458" ht="15.75" customHeight="1">
      <c r="U458" s="79"/>
    </row>
    <row r="459" ht="15.75" customHeight="1">
      <c r="U459" s="79"/>
    </row>
    <row r="460" ht="15.75" customHeight="1">
      <c r="U460" s="79"/>
    </row>
    <row r="461" ht="15.75" customHeight="1">
      <c r="U461" s="79"/>
    </row>
    <row r="462" ht="15.75" customHeight="1">
      <c r="U462" s="79"/>
    </row>
    <row r="463" ht="15.75" customHeight="1">
      <c r="U463" s="79"/>
    </row>
    <row r="464" ht="15.75" customHeight="1">
      <c r="U464" s="79"/>
    </row>
    <row r="465" ht="15.75" customHeight="1">
      <c r="U465" s="79"/>
    </row>
    <row r="466" ht="15.75" customHeight="1">
      <c r="U466" s="79"/>
    </row>
    <row r="467" ht="15.75" customHeight="1">
      <c r="U467" s="79"/>
    </row>
    <row r="468" ht="15.75" customHeight="1">
      <c r="U468" s="79"/>
    </row>
    <row r="469" ht="15.75" customHeight="1">
      <c r="U469" s="79"/>
    </row>
    <row r="470" ht="15.75" customHeight="1">
      <c r="U470" s="79"/>
    </row>
    <row r="471" ht="15.75" customHeight="1">
      <c r="U471" s="79"/>
    </row>
    <row r="472" ht="15.75" customHeight="1">
      <c r="U472" s="79"/>
    </row>
    <row r="473" ht="15.75" customHeight="1">
      <c r="U473" s="79"/>
    </row>
    <row r="474" ht="15.75" customHeight="1">
      <c r="U474" s="79"/>
    </row>
    <row r="475" ht="15.75" customHeight="1">
      <c r="U475" s="79"/>
    </row>
    <row r="476" ht="15.75" customHeight="1">
      <c r="U476" s="79"/>
    </row>
    <row r="477" ht="15.75" customHeight="1">
      <c r="U477" s="79"/>
    </row>
    <row r="478" ht="15.75" customHeight="1">
      <c r="U478" s="79"/>
    </row>
    <row r="479" ht="15.75" customHeight="1">
      <c r="U479" s="79"/>
    </row>
    <row r="480" ht="15.75" customHeight="1">
      <c r="U480" s="79"/>
    </row>
    <row r="481" ht="15.75" customHeight="1">
      <c r="U481" s="79"/>
    </row>
    <row r="482" ht="15.75" customHeight="1">
      <c r="U482" s="79"/>
    </row>
    <row r="483" ht="15.75" customHeight="1">
      <c r="U483" s="79"/>
    </row>
    <row r="484" ht="15.75" customHeight="1">
      <c r="U484" s="79"/>
    </row>
    <row r="485" ht="15.75" customHeight="1">
      <c r="U485" s="79"/>
    </row>
    <row r="486" ht="15.75" customHeight="1">
      <c r="U486" s="79"/>
    </row>
    <row r="487" ht="15.75" customHeight="1">
      <c r="U487" s="79"/>
    </row>
    <row r="488" ht="15.75" customHeight="1">
      <c r="U488" s="79"/>
    </row>
    <row r="489" ht="15.75" customHeight="1">
      <c r="U489" s="79"/>
    </row>
    <row r="490" ht="15.75" customHeight="1">
      <c r="U490" s="79"/>
    </row>
    <row r="491" ht="15.75" customHeight="1">
      <c r="U491" s="79"/>
    </row>
    <row r="492" ht="15.75" customHeight="1">
      <c r="U492" s="79"/>
    </row>
    <row r="493" ht="15.75" customHeight="1">
      <c r="U493" s="79"/>
    </row>
    <row r="494" ht="15.75" customHeight="1">
      <c r="U494" s="79"/>
    </row>
    <row r="495" ht="15.75" customHeight="1">
      <c r="U495" s="79"/>
    </row>
    <row r="496" ht="15.75" customHeight="1">
      <c r="U496" s="79"/>
    </row>
    <row r="497" ht="15.75" customHeight="1">
      <c r="U497" s="79"/>
    </row>
    <row r="498" ht="15.75" customHeight="1">
      <c r="U498" s="79"/>
    </row>
    <row r="499" ht="15.75" customHeight="1">
      <c r="U499" s="79"/>
    </row>
    <row r="500" ht="15.75" customHeight="1">
      <c r="U500" s="79"/>
    </row>
    <row r="501" ht="15.75" customHeight="1">
      <c r="U501" s="79"/>
    </row>
    <row r="502" ht="15.75" customHeight="1">
      <c r="U502" s="79"/>
    </row>
    <row r="503" ht="15.75" customHeight="1">
      <c r="U503" s="79"/>
    </row>
    <row r="504" ht="15.75" customHeight="1">
      <c r="U504" s="79"/>
    </row>
    <row r="505" ht="15.75" customHeight="1">
      <c r="U505" s="79"/>
    </row>
    <row r="506" ht="15.75" customHeight="1">
      <c r="U506" s="79"/>
    </row>
    <row r="507" ht="15.75" customHeight="1">
      <c r="U507" s="79"/>
    </row>
    <row r="508" ht="15.75" customHeight="1">
      <c r="U508" s="79"/>
    </row>
    <row r="509" ht="15.75" customHeight="1">
      <c r="U509" s="79"/>
    </row>
    <row r="510" ht="15.75" customHeight="1">
      <c r="U510" s="79"/>
    </row>
    <row r="511" ht="15.75" customHeight="1">
      <c r="U511" s="79"/>
    </row>
    <row r="512" ht="15.75" customHeight="1">
      <c r="U512" s="79"/>
    </row>
    <row r="513" ht="15.75" customHeight="1">
      <c r="U513" s="79"/>
    </row>
    <row r="514" ht="15.75" customHeight="1">
      <c r="U514" s="79"/>
    </row>
    <row r="515" ht="15.75" customHeight="1">
      <c r="U515" s="79"/>
    </row>
    <row r="516" ht="15.75" customHeight="1">
      <c r="U516" s="79"/>
    </row>
    <row r="517" ht="15.75" customHeight="1">
      <c r="U517" s="79"/>
    </row>
    <row r="518" ht="15.75" customHeight="1">
      <c r="U518" s="79"/>
    </row>
    <row r="519" ht="15.75" customHeight="1">
      <c r="U519" s="79"/>
    </row>
    <row r="520" ht="15.75" customHeight="1">
      <c r="U520" s="79"/>
    </row>
    <row r="521" ht="15.75" customHeight="1">
      <c r="U521" s="79"/>
    </row>
    <row r="522" ht="15.75" customHeight="1">
      <c r="U522" s="79"/>
    </row>
    <row r="523" ht="15.75" customHeight="1">
      <c r="U523" s="79"/>
    </row>
    <row r="524" ht="15.75" customHeight="1">
      <c r="U524" s="79"/>
    </row>
    <row r="525" ht="15.75" customHeight="1">
      <c r="U525" s="79"/>
    </row>
    <row r="526" ht="15.75" customHeight="1">
      <c r="U526" s="79"/>
    </row>
    <row r="527" ht="15.75" customHeight="1">
      <c r="U527" s="79"/>
    </row>
    <row r="528" ht="15.75" customHeight="1">
      <c r="U528" s="79"/>
    </row>
    <row r="529" ht="15.75" customHeight="1">
      <c r="U529" s="79"/>
    </row>
    <row r="530" ht="15.75" customHeight="1">
      <c r="U530" s="79"/>
    </row>
    <row r="531" ht="15.75" customHeight="1">
      <c r="U531" s="79"/>
    </row>
    <row r="532" ht="15.75" customHeight="1">
      <c r="U532" s="79"/>
    </row>
    <row r="533" ht="15.75" customHeight="1">
      <c r="U533" s="79"/>
    </row>
    <row r="534" ht="15.75" customHeight="1">
      <c r="U534" s="79"/>
    </row>
    <row r="535" ht="15.75" customHeight="1">
      <c r="U535" s="79"/>
    </row>
    <row r="536" ht="15.75" customHeight="1">
      <c r="U536" s="79"/>
    </row>
    <row r="537" ht="15.75" customHeight="1">
      <c r="U537" s="79"/>
    </row>
    <row r="538" ht="15.75" customHeight="1">
      <c r="U538" s="79"/>
    </row>
    <row r="539" ht="15.75" customHeight="1">
      <c r="U539" s="79"/>
    </row>
    <row r="540" ht="15.75" customHeight="1">
      <c r="U540" s="79"/>
    </row>
    <row r="541" ht="15.75" customHeight="1">
      <c r="U541" s="79"/>
    </row>
    <row r="542" ht="15.75" customHeight="1">
      <c r="U542" s="79"/>
    </row>
    <row r="543" ht="15.75" customHeight="1">
      <c r="U543" s="79"/>
    </row>
    <row r="544" ht="15.75" customHeight="1">
      <c r="U544" s="79"/>
    </row>
    <row r="545" ht="15.75" customHeight="1">
      <c r="U545" s="79"/>
    </row>
    <row r="546" ht="15.75" customHeight="1">
      <c r="U546" s="79"/>
    </row>
    <row r="547" ht="15.75" customHeight="1">
      <c r="U547" s="79"/>
    </row>
    <row r="548" ht="15.75" customHeight="1">
      <c r="U548" s="79"/>
    </row>
    <row r="549" ht="15.75" customHeight="1">
      <c r="U549" s="79"/>
    </row>
    <row r="550" ht="15.75" customHeight="1">
      <c r="U550" s="79"/>
    </row>
    <row r="551" ht="15.75" customHeight="1">
      <c r="U551" s="79"/>
    </row>
    <row r="552" ht="15.75" customHeight="1">
      <c r="U552" s="79"/>
    </row>
    <row r="553" ht="15.75" customHeight="1">
      <c r="U553" s="79"/>
    </row>
    <row r="554" ht="15.75" customHeight="1">
      <c r="U554" s="79"/>
    </row>
    <row r="555" ht="15.75" customHeight="1">
      <c r="U555" s="79"/>
    </row>
    <row r="556" ht="15.75" customHeight="1">
      <c r="U556" s="79"/>
    </row>
    <row r="557" ht="15.75" customHeight="1">
      <c r="U557" s="79"/>
    </row>
    <row r="558" ht="15.75" customHeight="1">
      <c r="U558" s="79"/>
    </row>
    <row r="559" ht="15.75" customHeight="1">
      <c r="U559" s="79"/>
    </row>
    <row r="560" ht="15.75" customHeight="1">
      <c r="U560" s="79"/>
    </row>
    <row r="561" ht="15.75" customHeight="1">
      <c r="U561" s="79"/>
    </row>
    <row r="562" ht="15.75" customHeight="1">
      <c r="U562" s="79"/>
    </row>
    <row r="563" ht="15.75" customHeight="1">
      <c r="U563" s="79"/>
    </row>
    <row r="564" ht="15.75" customHeight="1">
      <c r="U564" s="79"/>
    </row>
    <row r="565" ht="15.75" customHeight="1">
      <c r="U565" s="79"/>
    </row>
    <row r="566" ht="15.75" customHeight="1">
      <c r="U566" s="79"/>
    </row>
    <row r="567" ht="15.75" customHeight="1">
      <c r="U567" s="79"/>
    </row>
    <row r="568" ht="15.75" customHeight="1">
      <c r="U568" s="79"/>
    </row>
    <row r="569" ht="15.75" customHeight="1">
      <c r="U569" s="79"/>
    </row>
    <row r="570" ht="15.75" customHeight="1">
      <c r="U570" s="79"/>
    </row>
    <row r="571" ht="15.75" customHeight="1">
      <c r="U571" s="79"/>
    </row>
    <row r="572" ht="15.75" customHeight="1">
      <c r="U572" s="79"/>
    </row>
    <row r="573" ht="15.75" customHeight="1">
      <c r="U573" s="79"/>
    </row>
    <row r="574" ht="15.75" customHeight="1">
      <c r="U574" s="79"/>
    </row>
    <row r="575" ht="15.75" customHeight="1">
      <c r="U575" s="79"/>
    </row>
    <row r="576" ht="15.75" customHeight="1">
      <c r="U576" s="79"/>
    </row>
    <row r="577" ht="15.75" customHeight="1">
      <c r="U577" s="79"/>
    </row>
    <row r="578" ht="15.75" customHeight="1">
      <c r="U578" s="79"/>
    </row>
    <row r="579" ht="15.75" customHeight="1">
      <c r="U579" s="79"/>
    </row>
    <row r="580" ht="15.75" customHeight="1">
      <c r="U580" s="79"/>
    </row>
    <row r="581" ht="15.75" customHeight="1">
      <c r="U581" s="79"/>
    </row>
    <row r="582" ht="15.75" customHeight="1">
      <c r="U582" s="79"/>
    </row>
    <row r="583" ht="15.75" customHeight="1">
      <c r="U583" s="79"/>
    </row>
    <row r="584" ht="15.75" customHeight="1">
      <c r="U584" s="79"/>
    </row>
    <row r="585" ht="15.75" customHeight="1">
      <c r="U585" s="79"/>
    </row>
    <row r="586" ht="15.75" customHeight="1">
      <c r="U586" s="79"/>
    </row>
    <row r="587" ht="15.75" customHeight="1">
      <c r="U587" s="79"/>
    </row>
    <row r="588" ht="15.75" customHeight="1">
      <c r="U588" s="79"/>
    </row>
    <row r="589" ht="15.75" customHeight="1">
      <c r="U589" s="79"/>
    </row>
    <row r="590" ht="15.75" customHeight="1">
      <c r="U590" s="79"/>
    </row>
    <row r="591" ht="15.75" customHeight="1">
      <c r="U591" s="79"/>
    </row>
    <row r="592" ht="15.75" customHeight="1">
      <c r="U592" s="79"/>
    </row>
    <row r="593" ht="15.75" customHeight="1">
      <c r="U593" s="79"/>
    </row>
    <row r="594" ht="15.75" customHeight="1">
      <c r="U594" s="79"/>
    </row>
    <row r="595" ht="15.75" customHeight="1">
      <c r="U595" s="79"/>
    </row>
    <row r="596" ht="15.75" customHeight="1">
      <c r="U596" s="79"/>
    </row>
    <row r="597" ht="15.75" customHeight="1">
      <c r="U597" s="79"/>
    </row>
    <row r="598" ht="15.75" customHeight="1">
      <c r="U598" s="79"/>
    </row>
    <row r="599" ht="15.75" customHeight="1">
      <c r="U599" s="79"/>
    </row>
    <row r="600" ht="15.75" customHeight="1">
      <c r="U600" s="79"/>
    </row>
    <row r="601" ht="15.75" customHeight="1">
      <c r="U601" s="79"/>
    </row>
    <row r="602" ht="15.75" customHeight="1">
      <c r="U602" s="79"/>
    </row>
    <row r="603" ht="15.75" customHeight="1">
      <c r="U603" s="79"/>
    </row>
    <row r="604" ht="15.75" customHeight="1">
      <c r="U604" s="79"/>
    </row>
    <row r="605" ht="15.75" customHeight="1">
      <c r="U605" s="79"/>
    </row>
    <row r="606" ht="15.75" customHeight="1">
      <c r="U606" s="79"/>
    </row>
    <row r="607" ht="15.75" customHeight="1">
      <c r="U607" s="79"/>
    </row>
    <row r="608" ht="15.75" customHeight="1">
      <c r="U608" s="79"/>
    </row>
    <row r="609" ht="15.75" customHeight="1">
      <c r="U609" s="79"/>
    </row>
    <row r="610" ht="15.75" customHeight="1">
      <c r="U610" s="79"/>
    </row>
    <row r="611" ht="15.75" customHeight="1">
      <c r="U611" s="79"/>
    </row>
    <row r="612" ht="15.75" customHeight="1">
      <c r="U612" s="79"/>
    </row>
    <row r="613" ht="15.75" customHeight="1">
      <c r="U613" s="79"/>
    </row>
    <row r="614" ht="15.75" customHeight="1">
      <c r="U614" s="79"/>
    </row>
    <row r="615" ht="15.75" customHeight="1">
      <c r="U615" s="79"/>
    </row>
    <row r="616" ht="15.75" customHeight="1">
      <c r="U616" s="79"/>
    </row>
    <row r="617" ht="15.75" customHeight="1">
      <c r="U617" s="79"/>
    </row>
    <row r="618" ht="15.75" customHeight="1">
      <c r="U618" s="79"/>
    </row>
    <row r="619" ht="15.75" customHeight="1">
      <c r="U619" s="79"/>
    </row>
    <row r="620" ht="15.75" customHeight="1">
      <c r="U620" s="79"/>
    </row>
    <row r="621" ht="15.75" customHeight="1">
      <c r="U621" s="79"/>
    </row>
    <row r="622" ht="15.75" customHeight="1">
      <c r="U622" s="79"/>
    </row>
    <row r="623" ht="15.75" customHeight="1">
      <c r="U623" s="79"/>
    </row>
    <row r="624" ht="15.75" customHeight="1">
      <c r="U624" s="79"/>
    </row>
    <row r="625" ht="15.75" customHeight="1">
      <c r="U625" s="79"/>
    </row>
    <row r="626" ht="15.75" customHeight="1">
      <c r="U626" s="79"/>
    </row>
    <row r="627" ht="15.75" customHeight="1">
      <c r="U627" s="79"/>
    </row>
    <row r="628" ht="15.75" customHeight="1">
      <c r="U628" s="79"/>
    </row>
    <row r="629" ht="15.75" customHeight="1">
      <c r="U629" s="79"/>
    </row>
    <row r="630" ht="15.75" customHeight="1">
      <c r="U630" s="79"/>
    </row>
    <row r="631" ht="15.75" customHeight="1">
      <c r="U631" s="79"/>
    </row>
    <row r="632" ht="15.75" customHeight="1">
      <c r="U632" s="79"/>
    </row>
    <row r="633" ht="15.75" customHeight="1">
      <c r="U633" s="79"/>
    </row>
    <row r="634" ht="15.75" customHeight="1">
      <c r="U634" s="79"/>
    </row>
    <row r="635" ht="15.75" customHeight="1">
      <c r="U635" s="79"/>
    </row>
    <row r="636" ht="15.75" customHeight="1">
      <c r="U636" s="79"/>
    </row>
    <row r="637" ht="15.75" customHeight="1">
      <c r="U637" s="79"/>
    </row>
    <row r="638" ht="15.75" customHeight="1">
      <c r="U638" s="79"/>
    </row>
    <row r="639" ht="15.75" customHeight="1">
      <c r="U639" s="79"/>
    </row>
    <row r="640" ht="15.75" customHeight="1">
      <c r="U640" s="79"/>
    </row>
    <row r="641" ht="15.75" customHeight="1">
      <c r="U641" s="79"/>
    </row>
    <row r="642" ht="15.75" customHeight="1">
      <c r="U642" s="79"/>
    </row>
    <row r="643" ht="15.75" customHeight="1">
      <c r="U643" s="79"/>
    </row>
    <row r="644" ht="15.75" customHeight="1">
      <c r="U644" s="79"/>
    </row>
    <row r="645" ht="15.75" customHeight="1">
      <c r="U645" s="79"/>
    </row>
    <row r="646" ht="15.75" customHeight="1">
      <c r="U646" s="79"/>
    </row>
    <row r="647" ht="15.75" customHeight="1">
      <c r="U647" s="79"/>
    </row>
    <row r="648" ht="15.75" customHeight="1">
      <c r="U648" s="79"/>
    </row>
    <row r="649" ht="15.75" customHeight="1">
      <c r="U649" s="79"/>
    </row>
    <row r="650" ht="15.75" customHeight="1">
      <c r="U650" s="79"/>
    </row>
    <row r="651" ht="15.75" customHeight="1">
      <c r="U651" s="79"/>
    </row>
    <row r="652" ht="15.75" customHeight="1">
      <c r="U652" s="79"/>
    </row>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K10:L224 K237:L451">
    <cfRule type="cellIs" dxfId="9" priority="1" operator="equal">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2">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3">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4">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5">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6">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7">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8">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9">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0">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1">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2">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3">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4">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5">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6">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7">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8">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9">
      <colorScale>
        <cfvo type="min"/>
        <cfvo type="percentile" val="50"/>
        <cfvo type="max"/>
        <color rgb="FF63BE7B"/>
        <color rgb="FFFCFCFF"/>
        <color rgb="FFF8696B"/>
      </colorScale>
    </cfRule>
  </conditionalFormatting>
  <conditionalFormatting sqref="A64:A67 A82:A85 A98:A101 A115:A118 A132:A135 A149:A152 A166:A169 A183:A186 A201:A204 A290:A294 A309:A312 A325:A328 A342:A345 A359:A362 A376:A379 A393:A396 A410:A413 A428:A431">
    <cfRule type="colorScale" priority="20">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1">
      <colorScale>
        <cfvo type="min"/>
        <cfvo type="percentile" val="50"/>
        <cfvo type="max"/>
        <color rgb="FF63BE7B"/>
        <color rgb="FFFCFCFF"/>
        <color rgb="FFF8696B"/>
      </colorScale>
    </cfRule>
  </conditionalFormatting>
  <conditionalFormatting sqref="A67:A68 A86 A102 A119 A136 A153 A170 A187 A205 A294:A295 A313 A329 A346 A363 A380 A397 A414 A432">
    <cfRule type="colorScale" priority="22">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3">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4">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5">
      <colorScale>
        <cfvo type="min"/>
        <cfvo type="percentile" val="50"/>
        <cfvo type="max"/>
        <color rgb="FF63BE7B"/>
        <color rgb="FFFCFCFF"/>
        <color rgb="FFF8696B"/>
      </colorScale>
    </cfRule>
  </conditionalFormatting>
  <conditionalFormatting sqref="A82:A86 A98:A102 A115:A119 A132:A136 A149:A153 A166:A170 A183:A187 A201:A205 A290 A309:A313 A325:A329 A342:A346 A359:A363 A376:A380 A393:A397 A410:A414 A428:A432">
    <cfRule type="colorScale" priority="26">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7">
      <colorScale>
        <cfvo type="min"/>
        <cfvo type="percentile" val="50"/>
        <cfvo type="max"/>
        <color rgb="FF63BE7B"/>
        <color rgb="FFFCFCFF"/>
        <color rgb="FFF8696B"/>
      </colorScale>
    </cfRule>
  </conditionalFormatting>
  <conditionalFormatting sqref="A87 A103 A120 A137 A154 A171 A188 A206 A314 A330 A347 A364 A381 A398 A415 A433">
    <cfRule type="colorScale" priority="28">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9">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0">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1">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2">
      <colorScale>
        <cfvo type="min"/>
        <cfvo type="percentile" val="50"/>
        <cfvo type="max"/>
        <color rgb="FF63BE7B"/>
        <color rgb="FFFCFCFF"/>
        <color rgb="FFF8696B"/>
      </colorScale>
    </cfRule>
  </conditionalFormatting>
  <conditionalFormatting sqref="A81:A84 A97:A100 A114:A117 A131:A134 A148:A151 A165:A168 A182:A185 A200:A203 A308:A311 A324:A327 A341:A344 A358:A361 A375:A378 A392:A395 A409:A412 A427:A430">
    <cfRule type="colorScale" priority="33">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4">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5">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6">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7">
      <colorScale>
        <cfvo type="min"/>
        <cfvo type="percentile" val="50"/>
        <cfvo type="max"/>
        <color rgb="FF63BE7B"/>
        <color rgb="FFFCFCFF"/>
        <color rgb="FFF8696B"/>
      </colorScale>
    </cfRule>
  </conditionalFormatting>
  <conditionalFormatting sqref="A82:A84 A98:A100 A115:A117 A132:A134 A149:A151 A166:A168 A183:A185 A201:A203 A309:A311 A325:A327 A342:A344 A359:A361 A376:A378 A393:A395 A410:A412 A428:A430">
    <cfRule type="colorScale" priority="38">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9">
      <colorScale>
        <cfvo type="min"/>
        <cfvo type="percentile" val="50"/>
        <cfvo type="max"/>
        <color rgb="FF63BE7B"/>
        <color rgb="FFFCFCFF"/>
        <color rgb="FFF8696B"/>
      </colorScale>
    </cfRule>
  </conditionalFormatting>
  <conditionalFormatting sqref="A85 A101 A118 A135 A152 A169 A186 A204 A312 A328 A345 A362 A379 A396 A413 A431">
    <cfRule type="colorScale" priority="40">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1">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42">
      <colorScale>
        <cfvo type="min"/>
        <cfvo type="percentile" val="50"/>
        <cfvo type="max"/>
        <color rgb="FF63BE7B"/>
        <color rgb="FFFFEB84"/>
        <color rgb="FFF8696B"/>
      </colorScale>
    </cfRule>
  </conditionalFormatting>
  <conditionalFormatting sqref="A98 A325">
    <cfRule type="colorScale" priority="43">
      <colorScale>
        <cfvo type="min"/>
        <cfvo type="percentile" val="50"/>
        <cfvo type="max"/>
        <color rgb="FF63BE7B"/>
        <color rgb="FFFCFCFF"/>
        <color rgb="FFF8696B"/>
      </colorScale>
    </cfRule>
  </conditionalFormatting>
  <conditionalFormatting sqref="A98 A325">
    <cfRule type="colorScale" priority="44">
      <colorScale>
        <cfvo type="min"/>
        <cfvo type="percentile" val="50"/>
        <cfvo type="max"/>
        <color rgb="FF63BE7B"/>
        <color rgb="FFFFEB84"/>
        <color rgb="FFF8696B"/>
      </colorScale>
    </cfRule>
  </conditionalFormatting>
  <conditionalFormatting sqref="A99 A326">
    <cfRule type="colorScale" priority="45">
      <colorScale>
        <cfvo type="min"/>
        <cfvo type="percentile" val="50"/>
        <cfvo type="max"/>
        <color rgb="FF63BE7B"/>
        <color rgb="FFFFEB84"/>
        <color rgb="FFF8696B"/>
      </colorScale>
    </cfRule>
  </conditionalFormatting>
  <conditionalFormatting sqref="A100:A104 A327:A331">
    <cfRule type="colorScale" priority="46">
      <colorScale>
        <cfvo type="min"/>
        <cfvo type="percentile" val="50"/>
        <cfvo type="max"/>
        <color rgb="FF63BE7B"/>
        <color rgb="FFFFEB84"/>
        <color rgb="FFF8696B"/>
      </colorScale>
    </cfRule>
  </conditionalFormatting>
  <conditionalFormatting sqref="A115 A342">
    <cfRule type="colorScale" priority="47">
      <colorScale>
        <cfvo type="min"/>
        <cfvo type="percentile" val="50"/>
        <cfvo type="max"/>
        <color rgb="FF63BE7B"/>
        <color rgb="FFFCFCFF"/>
        <color rgb="FFF8696B"/>
      </colorScale>
    </cfRule>
  </conditionalFormatting>
  <conditionalFormatting sqref="A115 A342">
    <cfRule type="colorScale" priority="48">
      <colorScale>
        <cfvo type="min"/>
        <cfvo type="percentile" val="50"/>
        <cfvo type="max"/>
        <color rgb="FF63BE7B"/>
        <color rgb="FFFFEB84"/>
        <color rgb="FFF8696B"/>
      </colorScale>
    </cfRule>
  </conditionalFormatting>
  <conditionalFormatting sqref="A116:A129 A343:A356">
    <cfRule type="colorScale" priority="49">
      <colorScale>
        <cfvo type="min"/>
        <cfvo type="percentile" val="50"/>
        <cfvo type="max"/>
        <color rgb="FF63BE7B"/>
        <color rgb="FFFFEB84"/>
        <color rgb="FFF8696B"/>
      </colorScale>
    </cfRule>
  </conditionalFormatting>
  <conditionalFormatting sqref="A132:A133 A359:A360">
    <cfRule type="colorScale" priority="50">
      <colorScale>
        <cfvo type="min"/>
        <cfvo type="percentile" val="50"/>
        <cfvo type="max"/>
        <color rgb="FF63BE7B"/>
        <color rgb="FFFFEB84"/>
        <color rgb="FFF8696B"/>
      </colorScale>
    </cfRule>
  </conditionalFormatting>
  <conditionalFormatting sqref="A149:A163 A376:A390">
    <cfRule type="colorScale" priority="51">
      <colorScale>
        <cfvo type="min"/>
        <cfvo type="percentile" val="50"/>
        <cfvo type="max"/>
        <color rgb="FF63BE7B"/>
        <color rgb="FFFFEB84"/>
        <color rgb="FFF8696B"/>
      </colorScale>
    </cfRule>
  </conditionalFormatting>
  <conditionalFormatting sqref="A166:A180 A393:A407">
    <cfRule type="colorScale" priority="52">
      <colorScale>
        <cfvo type="min"/>
        <cfvo type="percentile" val="50"/>
        <cfvo type="max"/>
        <color rgb="FF63BE7B"/>
        <color rgb="FFFFEB84"/>
        <color rgb="FFF8696B"/>
      </colorScale>
    </cfRule>
  </conditionalFormatting>
  <conditionalFormatting sqref="A183:A185 A410:A412">
    <cfRule type="colorScale" priority="53">
      <colorScale>
        <cfvo type="min"/>
        <cfvo type="percentile" val="50"/>
        <cfvo type="max"/>
        <color rgb="FF63BE7B"/>
        <color rgb="FFFFEB84"/>
        <color rgb="FFF8696B"/>
      </colorScale>
    </cfRule>
  </conditionalFormatting>
  <conditionalFormatting sqref="A201:A203 A428:A430">
    <cfRule type="colorScale" priority="54">
      <colorScale>
        <cfvo type="min"/>
        <cfvo type="percentile" val="50"/>
        <cfvo type="max"/>
        <color rgb="FF63BE7B"/>
        <color rgb="FFFFEB84"/>
        <color rgb="FFF8696B"/>
      </colorScale>
    </cfRule>
  </conditionalFormatting>
  <conditionalFormatting sqref="A208:A210 A435:A437">
    <cfRule type="colorScale" priority="55">
      <colorScale>
        <cfvo type="min"/>
        <cfvo type="percentile" val="50"/>
        <cfvo type="max"/>
        <color rgb="FF63BE7B"/>
        <color rgb="FFFFEB84"/>
        <color rgb="FFF8696B"/>
      </colorScale>
    </cfRule>
  </conditionalFormatting>
  <conditionalFormatting sqref="A211:A224 A438:A451">
    <cfRule type="colorScale" priority="56">
      <colorScale>
        <cfvo type="min"/>
        <cfvo type="percentile" val="50"/>
        <cfvo type="max"/>
        <color rgb="FF63BE7B"/>
        <color rgb="FFFFEB84"/>
        <color rgb="FFF8696B"/>
      </colorScale>
    </cfRule>
  </conditionalFormatting>
  <conditionalFormatting sqref="J10:L224 J237:L451">
    <cfRule type="cellIs" dxfId="8" priority="57" operator="equal">
      <formula>0</formula>
    </cfRule>
  </conditionalFormatting>
  <dataValidations>
    <dataValidation type="list" allowBlank="1" sqref="C12:C14 C87 C137 C152 C154 C169 C171 C204 C206 C241 C243 C256 C258 C275 C277 C294 C296 C312 C314 C328 C330 C345 C347 C362 C364 C379 C381 C396 C398 C413 C415 C431 C433">
      <formula1>"I-ACTIVE,MAP,KCL 60%,05-37-00,10-46-00 + S,08-42-00,SSP 21,03-15-07 +14%CO,URÉIA,SULFATO DE AMÔNIO,BOROGRAN,SUPER DUO,08-40-00 - 100M,AURUS 500,00-01-00+Cu2 Mn8 Zn7"</formula1>
    </dataValidation>
    <dataValidation type="list" allowBlank="1" sqref="C183">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formula1>
    </dataValidation>
    <dataValidation type="list" allowBlank="1" sqref="C68">
      <formula1>"UTRISHA N,PRESENCE FULL,Now Lock,Now Guard,Now Force,Now Raze,Now Bolt,Now Active,Now React,Now Cover,Now Pulse,Now Sprint,Bio Az,Bio ND,Tec Catp Pro,Bio Elipso,Tec Bug,Solu Shield,Solu Strong,Solu Leaf,Bio Hidric,Bio Bokashi,Bio Oil,Carbon Pro,Essencial "&amp;"Mg,Expelir,Primafert,Reserva,Tec Catp Pro Kit On-farm,Tec Bug Kit On-farm,Solu Shield Kit On-farm,Solu Strong Kit On-farm,Solu Leaf Kit On-farm,Bio Hidric Kit On-farm,Bio Bokashi Kit On-farm,Tec White Kit On-farm,Bio Solubilize Kit On-farm,Bio Release Kit"&amp;" On-farm,Bio Raiz Plus Kit On-farm,Bio Balance Kit On-farm,SoluBio Raiz Performance Kit On-farm,Tec Isaria Kit On-farm"</formula1>
    </dataValidation>
    <dataValidation type="list" allowBlank="1" sqref="C26:C27 C45:C47 C82:C83">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type="custom" allowBlank="1" showDropDown="1" sqref="G10:L224 G237:L451">
      <formula1>AND(ISNUMBER(G10),(NOT(OR(NOT(ISERROR(DATEVALUE(G10))), AND(ISNUMBER(G10), LEFT(CELL("format", G10))="D")))))</formula1>
    </dataValidation>
    <dataValidation type="list" allowBlank="1" sqref="C28 C48 C103 C120 C135 C151">
      <formula1>"RUMBA,ASSIST,MEES,AUREO,JOINT ULTRA,ADGREEN,ENERGIC,EXTRAVON,OCHIMA"</formula1>
    </dataValidation>
    <dataValidation type="list" allowBlank="1" sqref="C67">
      <formula1>"ENDOFUSE,ENDOMAXX,RIZOLIQ LLI,PROVILAR,REVERB,ARVATICO,VERANGO PRIME,FIPRONIL NORTOX MAX,MAXIM ADVANCED,MAXIM XL,VICTRATO,SPECTRO,STANDAK TOP,CRUISER ADVANCED,PLUST,SOMBRERO,CROPSTAR,DERMACOR,OPTERASEED,AVICTA 500 FS,CRUISER 350 FS,FORTENZA 600 FS,ILEVO,P"&amp;"ERMIT STAR"</formula1>
    </dataValidation>
    <dataValidation type="list" allowBlank="1" sqref="C33 C52 C89 C105 C139 C156 C166 C173 C190 C202 C208 C245 C254 C260 C273 C279 C292 C298 C310 C316 C326 C332 C343 C349 C360 C366 C377 C383 C394 C400 C411 C417 C429 C435">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type="list" allowBlank="1" sqref="C17:C18">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formula1>
    </dataValidation>
    <dataValidation type="list" allowBlank="1" sqref="C29:C30 C49 C100:C102 C118:C119 C134">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type="list" allowBlank="1" sqref="C20:C24 C43 C62 C80 C247:C251 C270 C289 C307">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type="list" allowBlank="1" sqref="C11 C88 C138 C155 C172 C207 C244 C259 C278 C297 C315 C331 C348 C365 C382 C399 C416 C434">
      <formula1>"CALCÁRIO DOLOMITICO,GESSO AGRICOLA"</formula1>
    </dataValidation>
    <dataValidation type="list" allowBlank="1" sqref="C19">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formula1>
    </dataValidation>
    <dataValidation type="list" allowBlank="1" sqref="C64 C86 C136 C153 C170 C205 C242 C257 C272 C276 C291 C295 C309 C313 C325 C329 C342 C346 C359 C363 C376 C380 C393 C397 C410 C414 C432">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type="list" allowBlank="1" sqref="C31 C72">
      <formula1>"RADIFARM,MEGAFOL,OCTABORATO,BOP,METAL NUTRE,MONIC,AP MAGNÉSIO,GRANO KMG,AP MANGANÊS,AMINOS Mn,MICROBOX,ACRESECENT ALGA,RAIZ F,ACRESCENTE SOLUS F,SALUT,MATRIZ D,BRAVERO,Glyfort,Fergsum,Spander,Halattus,Sallvare Complex,Zinctaus Complex,Emezine Complex,Bora"&amp;"tus Complex,Magmill Complex,Brave K,Brave Max Up,MAX RAIZ,Polyamine,Sulfato de Magnésio,Map Purificado,MANGAN 10,NHT ZINCO,KELLUS CUPPER,MOLIBIDENIO 16,ZINCO 10,Potenza NiCoMo"</formula1>
    </dataValidation>
    <dataValidation type="list" allowBlank="1" sqref="C85 C167">
      <formula1>"RUMBA,ASSIST,MEES,AUREO EC,JOINT ULTRA,ENERGIC,EXTRAVON,OCHIMA,STRIDES"</formula1>
    </dataValidation>
    <dataValidation type="list" allowBlank="1" sqref="C84 C98 C104 C115 C117 C132:C133 C149:C150">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type="list" allowBlank="1" sqref="C69:C71">
      <formula1>"UTRISHA N,PRESENCE FULL,Now Lock,Now Guard,Now Force,Now Raze,Now Bolt,Now Active,Now React,Now Cover,Now Pulse,Now Sprint,Bio Az,Bio ND,Tec Catp Pro,Bio Elipso,Tec Bug,Solu Shield,Solu Strong,Solu Leaf,Bio Hidric,Bio Bokashi,Bio Oil,Carbon Pro,Essencial "&amp;"Mg,Expelir,Potenza NiCoMo,Primafert,Reserva,Tec White,Bio Solubilize,Bio Release,Bio Raiz Plus,Bio Balance,SoluBio Raiz Performance,Tec Isaria"</formula1>
    </dataValidation>
    <dataValidation type="list" allowBlank="1" showErrorMessage="1" sqref="B10:B224 B237:B451">
      <formula1>#REF!</formula1>
    </dataValidation>
    <dataValidation type="list" allowBlank="1" sqref="C65:C66 C168 C203 C240 C255 C274 C293 C311 C327 C344 C361 C378 C395 C412 C430">
      <formula1>"SOMBRERO,STANDAK TOP,CROPSTAR,DERMACOR,PERMIT STAR,PRESENCE FULL,PLUST,CRUISER 350 FS,CRUISER ADVANCED,FORTENZA 600 FS,MAXIM ADVANCED,MAXIM XL,SPECTRO,BIOZYME,NIMAXXA,VITAVAX-THIRAM 200 SC"</formula1>
    </dataValidation>
    <dataValidation type="list" allowBlank="1" sqref="C184:C189">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formula1>
    </dataValidation>
    <dataValidation type="list" allowBlank="1" sqref="C34 C53:C54 C59 C73 C90:C91 C96 C106:C107 C112 C123:C124 C129 C140:C141 C146 C157:C158 C163 C174:C175 C180 C191:C192 C197 C209:C210 C215 C246 C253 C261:C262 C267 C280:C281 C286 C299:C300 C317:C318 C323 C333:C334 C339 C350:C351 C356 C367:C368 C373 C384:C385 C390 C401:C402 C407 C418:C419 C424 C436:C437 C442">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display="ÁREA PLANTIO" location="'ÁREA PLANTIO'!A1" ref="F1"/>
    <hyperlink display="ÁREA PLANTIO" location="'ÁREA PLANTIO'!A1" ref="F227"/>
  </hyperlinks>
  <printOptions/>
  <pageMargins bottom="0.787401575" footer="0.0" header="0.0" left="0.511811024" right="0.511811024" top="0.787401575"/>
  <pageSetup orientation="landscape"/>
  <drawing r:id="rId1"/>
  <tableParts count="2">
    <tablePart r:id="rId4"/>
    <tablePart r:id="rId5"/>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13.88"/>
    <col customWidth="1" min="2" max="2" width="22.75"/>
    <col customWidth="1" min="3" max="3" width="33.63"/>
    <col customWidth="1" min="4" max="4" width="40.25"/>
    <col customWidth="1" min="5" max="5" width="20.13"/>
    <col customWidth="1" min="6" max="6" width="13.13"/>
    <col customWidth="1" min="7" max="7" width="13.75"/>
    <col customWidth="1" min="8" max="9" width="10.38"/>
    <col customWidth="1" min="10" max="10" width="14.0"/>
    <col customWidth="1" min="11" max="23" width="14.38"/>
  </cols>
  <sheetData>
    <row r="1" ht="15.75" customHeight="1">
      <c r="A1" s="260" t="s">
        <v>1203</v>
      </c>
      <c r="B1" s="261" t="str">
        <f>'ÁREA PLANTIO'!B17</f>
        <v>P 05</v>
      </c>
      <c r="C1" s="262" t="s">
        <v>1166</v>
      </c>
      <c r="D1" s="263">
        <f>$K$225</f>
        <v>880.3181359</v>
      </c>
      <c r="E1" s="264"/>
      <c r="F1" s="265" t="s">
        <v>1167</v>
      </c>
      <c r="G1" s="266"/>
      <c r="H1" s="267"/>
      <c r="I1" s="267"/>
      <c r="J1" s="267"/>
      <c r="K1" s="266"/>
      <c r="L1" s="220"/>
      <c r="M1" s="220"/>
      <c r="N1" s="220"/>
      <c r="O1" s="220"/>
      <c r="P1" s="220"/>
      <c r="Q1" s="220"/>
      <c r="R1" s="220"/>
      <c r="S1" s="220"/>
      <c r="T1" s="220"/>
      <c r="U1" s="220"/>
      <c r="V1" s="220"/>
      <c r="W1" s="220"/>
    </row>
    <row r="2" ht="15.75" customHeight="1">
      <c r="A2" s="260" t="s">
        <v>1168</v>
      </c>
      <c r="B2" s="268">
        <f>'ÁREA PLANTIO'!E17</f>
        <v>140</v>
      </c>
      <c r="C2" s="269" t="s">
        <v>1169</v>
      </c>
      <c r="D2" s="270">
        <f>'ÁREA PLANTIO'!D17</f>
        <v>65</v>
      </c>
      <c r="E2" s="264"/>
      <c r="F2" s="264"/>
      <c r="G2" s="266"/>
      <c r="H2" s="267"/>
      <c r="I2" s="267"/>
      <c r="J2" s="267"/>
      <c r="K2" s="266"/>
      <c r="L2" s="220"/>
      <c r="M2" s="220"/>
      <c r="N2" s="220"/>
      <c r="O2" s="220"/>
      <c r="P2" s="220"/>
      <c r="Q2" s="220"/>
      <c r="R2" s="220"/>
      <c r="S2" s="220"/>
      <c r="T2" s="220"/>
      <c r="U2" s="220"/>
      <c r="V2" s="220"/>
      <c r="W2" s="220"/>
    </row>
    <row r="3" ht="15.75" customHeight="1">
      <c r="A3" s="260" t="s">
        <v>1170</v>
      </c>
      <c r="B3" s="267" t="str">
        <f>'ÁREA PLANTIO'!C17</f>
        <v>FE-BRACHIARIA-26/27</v>
      </c>
      <c r="C3" s="269" t="s">
        <v>1171</v>
      </c>
      <c r="D3" s="271">
        <f>D1/D2</f>
        <v>13.54335594</v>
      </c>
      <c r="E3" s="264"/>
      <c r="F3" s="264"/>
      <c r="G3" s="266"/>
      <c r="H3" s="267"/>
      <c r="I3" s="267"/>
      <c r="J3" s="267"/>
      <c r="K3" s="266"/>
      <c r="L3" s="220"/>
      <c r="M3" s="220"/>
      <c r="N3" s="220"/>
      <c r="O3" s="220"/>
      <c r="P3" s="220"/>
      <c r="Q3" s="220"/>
      <c r="R3" s="220"/>
      <c r="S3" s="220"/>
      <c r="T3" s="220"/>
      <c r="U3" s="220"/>
      <c r="V3" s="220"/>
      <c r="W3" s="220"/>
    </row>
    <row r="4" ht="15.75" customHeight="1">
      <c r="A4" s="272" t="s">
        <v>1172</v>
      </c>
      <c r="B4" s="273">
        <v>45606.0</v>
      </c>
      <c r="C4" s="274"/>
      <c r="D4" s="275"/>
      <c r="E4" s="276"/>
      <c r="F4" s="264"/>
      <c r="G4" s="266"/>
      <c r="H4" s="267"/>
      <c r="I4" s="267"/>
      <c r="J4" s="267"/>
      <c r="K4" s="266"/>
      <c r="L4" s="220"/>
      <c r="M4" s="220"/>
      <c r="N4" s="220"/>
      <c r="O4" s="220"/>
      <c r="P4" s="220"/>
      <c r="Q4" s="220"/>
      <c r="R4" s="220"/>
      <c r="S4" s="220"/>
      <c r="T4" s="220"/>
      <c r="U4" s="220"/>
      <c r="V4" s="220"/>
      <c r="W4" s="220"/>
    </row>
    <row r="5" ht="15.75" customHeight="1">
      <c r="E5" s="277"/>
      <c r="F5" s="264"/>
      <c r="G5" s="266"/>
      <c r="H5" s="267"/>
      <c r="I5" s="267"/>
      <c r="J5" s="267"/>
      <c r="K5" s="266"/>
      <c r="L5" s="220"/>
      <c r="M5" s="220"/>
      <c r="N5" s="220"/>
      <c r="O5" s="220"/>
      <c r="P5" s="220"/>
      <c r="Q5" s="220"/>
      <c r="R5" s="220"/>
      <c r="S5" s="220"/>
      <c r="T5" s="220"/>
      <c r="U5" s="220"/>
      <c r="V5" s="220"/>
      <c r="W5" s="220"/>
    </row>
    <row r="6" ht="15.75" customHeight="1">
      <c r="A6" s="260"/>
      <c r="B6" s="267"/>
      <c r="C6" s="264"/>
      <c r="D6" s="264"/>
      <c r="E6" s="264"/>
      <c r="F6" s="264"/>
      <c r="G6" s="266"/>
      <c r="H6" s="267"/>
      <c r="I6" s="267"/>
      <c r="J6" s="267"/>
      <c r="K6" s="266"/>
      <c r="L6" s="220"/>
      <c r="M6" s="220"/>
      <c r="N6" s="220"/>
      <c r="O6" s="220"/>
      <c r="P6" s="220"/>
      <c r="Q6" s="220"/>
      <c r="R6" s="220"/>
      <c r="S6" s="220"/>
      <c r="T6" s="220"/>
      <c r="U6" s="220"/>
      <c r="V6" s="220"/>
      <c r="W6" s="220"/>
    </row>
    <row r="7" ht="15.75" customHeight="1">
      <c r="A7" s="267"/>
      <c r="B7" s="267"/>
      <c r="C7" s="264"/>
      <c r="D7" s="264"/>
      <c r="E7" s="264"/>
      <c r="F7" s="264"/>
      <c r="G7" s="266"/>
      <c r="H7" s="267"/>
      <c r="I7" s="267"/>
      <c r="J7" s="267"/>
      <c r="K7" s="266"/>
      <c r="L7" s="220"/>
      <c r="M7" s="220"/>
      <c r="N7" s="220"/>
      <c r="O7" s="220"/>
      <c r="P7" s="220"/>
      <c r="Q7" s="220"/>
      <c r="R7" s="220"/>
      <c r="S7" s="220"/>
      <c r="T7" s="220"/>
      <c r="U7" s="220"/>
      <c r="V7" s="220"/>
      <c r="W7" s="220"/>
    </row>
    <row r="8" ht="15.75" customHeight="1">
      <c r="A8" s="267"/>
      <c r="B8" s="267"/>
      <c r="C8" s="267"/>
      <c r="D8" s="267"/>
      <c r="E8" s="264"/>
      <c r="F8" s="264"/>
      <c r="G8" s="266"/>
      <c r="H8" s="267"/>
      <c r="I8" s="267"/>
      <c r="J8" s="267"/>
      <c r="K8" s="266"/>
      <c r="L8" s="220"/>
      <c r="M8" s="220"/>
      <c r="N8" s="220"/>
      <c r="O8" s="220"/>
      <c r="P8" s="220"/>
      <c r="Q8" s="220"/>
      <c r="R8" s="220"/>
      <c r="S8" s="220"/>
      <c r="T8" s="220"/>
      <c r="U8" s="220"/>
      <c r="V8" s="220"/>
      <c r="W8" s="220"/>
    </row>
    <row r="9" ht="15.75" customHeight="1">
      <c r="A9" s="211" t="s">
        <v>1173</v>
      </c>
      <c r="B9" s="213" t="s">
        <v>1174</v>
      </c>
      <c r="C9" s="213" t="s">
        <v>1175</v>
      </c>
      <c r="D9" s="211" t="s">
        <v>1176</v>
      </c>
      <c r="E9" s="211" t="s">
        <v>1177</v>
      </c>
      <c r="F9" s="211" t="s">
        <v>1178</v>
      </c>
      <c r="G9" s="278" t="s">
        <v>1179</v>
      </c>
      <c r="H9" s="278" t="s">
        <v>1180</v>
      </c>
      <c r="I9" s="278" t="s">
        <v>1181</v>
      </c>
      <c r="J9" s="279" t="s">
        <v>1134</v>
      </c>
      <c r="K9" s="280" t="s">
        <v>1182</v>
      </c>
      <c r="L9" s="281" t="s">
        <v>339</v>
      </c>
      <c r="M9" s="220"/>
      <c r="N9" s="220"/>
      <c r="O9" s="220"/>
      <c r="P9" s="220"/>
      <c r="Q9" s="220"/>
      <c r="R9" s="220"/>
      <c r="S9" s="220"/>
      <c r="T9" s="220"/>
      <c r="U9" s="220"/>
      <c r="V9" s="220"/>
      <c r="W9" s="220"/>
    </row>
    <row r="10" ht="15.75" customHeight="1">
      <c r="A10" s="231" t="s">
        <v>1183</v>
      </c>
      <c r="B10" s="230"/>
      <c r="C10" s="231"/>
      <c r="D10" s="232" t="s">
        <v>216</v>
      </c>
      <c r="E10" s="231"/>
      <c r="F10" s="231"/>
      <c r="G10" s="233"/>
      <c r="H10" s="282"/>
      <c r="I10" s="258"/>
      <c r="J10" s="236"/>
      <c r="K10" s="237">
        <f t="shared" ref="K10:L10" si="1">SUBTOTAL(9,K11:K24)</f>
        <v>0</v>
      </c>
      <c r="L10" s="237">
        <f t="shared" si="1"/>
        <v>0</v>
      </c>
      <c r="M10" s="220"/>
      <c r="N10" s="220"/>
      <c r="O10" s="220"/>
      <c r="P10" s="220"/>
      <c r="Q10" s="220"/>
      <c r="R10" s="220"/>
      <c r="S10" s="220"/>
      <c r="T10" s="220"/>
      <c r="U10" s="220"/>
      <c r="V10" s="220"/>
      <c r="W10" s="220"/>
    </row>
    <row r="11" outlineLevel="1">
      <c r="A11" s="213"/>
      <c r="B11" s="212" t="s">
        <v>8</v>
      </c>
      <c r="C11" s="213" t="s">
        <v>397</v>
      </c>
      <c r="D11" s="214" t="str">
        <f>IFERROR(VLOOKUP($C11,'PORTIFÓLIO'!C:V,2,0),"")</f>
        <v>CaO 38%  MgO 18%</v>
      </c>
      <c r="E11" s="211" t="str">
        <f>IFERROR(VLOOKUP($C11,'PORTIFÓLIO'!C:V,3,0),"")</f>
        <v/>
      </c>
      <c r="F11" s="211" t="str">
        <f>IFERROR(VLOOKUP($C11,'PORTIFÓLIO'!C:V,4,0),"")</f>
        <v>Ton</v>
      </c>
      <c r="G11" s="215" t="str">
        <f>IFERROR(VLOOKUP($C11,'PORTIFÓLIO'!C:V,5,0),"")</f>
        <v/>
      </c>
      <c r="H11" s="254" t="str">
        <f t="array" ref="H11">IFERROR(INDEX('PORTIFÓLIO'!$H$4:$H$433,MATCH($C11,'PORTIFÓLIO'!$C$4:$C$433,0)),"")</f>
        <v/>
      </c>
      <c r="I11" s="255">
        <v>3.0</v>
      </c>
      <c r="J11" s="218">
        <f t="shared" ref="J11:J24" si="2">I11*$B$2</f>
        <v>420</v>
      </c>
      <c r="K11" s="219">
        <f t="array" ref="K11">IFERROR(I11*INDEX('PORTIFÓLIO'!$S$4:$S$433,MATCH($C11,'PORTIFÓLIO'!$C$4:$C$433,0)),"")</f>
        <v>0</v>
      </c>
      <c r="L11" s="219">
        <f t="array" ref="L11">IFERROR(J11*INDEX('PORTIFÓLIO'!$S$4:$S$433,MATCH($C11,'PORTIFÓLIO'!$C$4:$C$433,0)),"")</f>
        <v>0</v>
      </c>
      <c r="M11" s="220"/>
      <c r="N11" s="220"/>
      <c r="O11" s="220"/>
      <c r="P11" s="220"/>
      <c r="Q11" s="220"/>
      <c r="R11" s="220"/>
      <c r="S11" s="220"/>
      <c r="T11" s="220"/>
      <c r="U11" s="220" t="str">
        <f>IFERROR(__xludf.DUMMYFUNCTION("FILTER('PORTIFÓLIO'!C:C, 'PORTIFÓLIO'!B:B=B11)"),"#REF!")</f>
        <v>#REF!</v>
      </c>
      <c r="V11" s="220"/>
      <c r="W11" s="220"/>
    </row>
    <row r="12" outlineLevel="1">
      <c r="A12" s="213"/>
      <c r="B12" s="212" t="s">
        <v>7</v>
      </c>
      <c r="C12" s="213" t="s">
        <v>413</v>
      </c>
      <c r="D12" s="214" t="str">
        <f>IFERROR(VLOOKUP($C12,'PORTIFÓLIO'!C:V,2,0),"")</f>
        <v>P 21%</v>
      </c>
      <c r="E12" s="211" t="str">
        <f>IFERROR(VLOOKUP($C12,'PORTIFÓLIO'!C:V,3,0),"")</f>
        <v/>
      </c>
      <c r="F12" s="211" t="str">
        <f>IFERROR(VLOOKUP($C12,'PORTIFÓLIO'!C:V,4,0),"")</f>
        <v>Ton</v>
      </c>
      <c r="G12" s="215" t="str">
        <f>IFERROR(VLOOKUP($C12,'PORTIFÓLIO'!C:V,5,0),"")</f>
        <v/>
      </c>
      <c r="H12" s="254" t="str">
        <f t="array" ref="H12">IFERROR(INDEX('PORTIFÓLIO'!$H$4:$H$433,MATCH($C12,'PORTIFÓLIO'!$C$4:$C$433,0)),"")</f>
        <v/>
      </c>
      <c r="I12" s="255">
        <v>0.2</v>
      </c>
      <c r="J12" s="218">
        <f t="shared" si="2"/>
        <v>28</v>
      </c>
      <c r="K12" s="219">
        <f t="array" ref="K12">IFERROR(I12*INDEX('PORTIFÓLIO'!$S$4:$S$433,MATCH($C12,'PORTIFÓLIO'!$C$4:$C$433,0)),"")</f>
        <v>0</v>
      </c>
      <c r="L12" s="219">
        <f t="array" ref="L12">IFERROR(J12*INDEX('PORTIFÓLIO'!$S$4:$S$433,MATCH($C12,'PORTIFÓLIO'!$C$4:$C$433,0)),"")</f>
        <v>0</v>
      </c>
      <c r="M12" s="220"/>
      <c r="N12" s="220"/>
      <c r="O12" s="220"/>
      <c r="P12" s="220"/>
      <c r="Q12" s="220"/>
      <c r="R12" s="220"/>
      <c r="S12" s="220"/>
      <c r="T12" s="220"/>
      <c r="U12" s="220" t="str">
        <f>IFERROR(__xludf.DUMMYFUNCTION("FILTER('PORTIFÓLIO'!C:C, 'PORTIFÓLIO'!B:B=B12)"),"#REF!")</f>
        <v>#REF!</v>
      </c>
      <c r="V12" s="220"/>
      <c r="W12" s="220"/>
    </row>
    <row r="13" outlineLevel="1">
      <c r="A13" s="213"/>
      <c r="B13" s="212" t="s">
        <v>7</v>
      </c>
      <c r="C13" s="213" t="s">
        <v>405</v>
      </c>
      <c r="D13" s="214" t="str">
        <f>IFERROR(VLOOKUP($C13,'PORTIFÓLIO'!C:V,2,0),"")</f>
        <v>K2O 60%</v>
      </c>
      <c r="E13" s="211" t="str">
        <f>IFERROR(VLOOKUP($C13,'PORTIFÓLIO'!C:V,3,0),"")</f>
        <v/>
      </c>
      <c r="F13" s="211" t="str">
        <f>IFERROR(VLOOKUP($C13,'PORTIFÓLIO'!C:V,4,0),"")</f>
        <v>Ton</v>
      </c>
      <c r="G13" s="215" t="str">
        <f>IFERROR(VLOOKUP($C13,'PORTIFÓLIO'!C:V,5,0),"")</f>
        <v/>
      </c>
      <c r="H13" s="254" t="str">
        <f t="array" ref="H13">IFERROR(INDEX('PORTIFÓLIO'!$H$4:$H$433,MATCH($C13,'PORTIFÓLIO'!$C$4:$C$433,0)),"")</f>
        <v/>
      </c>
      <c r="I13" s="255">
        <v>0.25</v>
      </c>
      <c r="J13" s="218">
        <f t="shared" si="2"/>
        <v>35</v>
      </c>
      <c r="K13" s="219">
        <f t="array" ref="K13">IFERROR(I13*INDEX('PORTIFÓLIO'!$S$4:$S$433,MATCH($C13,'PORTIFÓLIO'!$C$4:$C$433,0)),"")</f>
        <v>0</v>
      </c>
      <c r="L13" s="219">
        <f t="array" ref="L13">IFERROR(J13*INDEX('PORTIFÓLIO'!$S$4:$S$433,MATCH($C13,'PORTIFÓLIO'!$C$4:$C$433,0)),"")</f>
        <v>0</v>
      </c>
      <c r="M13" s="220"/>
      <c r="N13" s="220"/>
      <c r="O13" s="220"/>
      <c r="P13" s="220"/>
      <c r="Q13" s="220"/>
      <c r="R13" s="220"/>
      <c r="S13" s="220"/>
      <c r="T13" s="220"/>
      <c r="U13" s="220" t="str">
        <f>IFERROR(__xludf.DUMMYFUNCTION("FILTER('PORTIFÓLIO'!C:C, 'PORTIFÓLIO'!B:B=B13)"),"#REF!")</f>
        <v>#REF!</v>
      </c>
      <c r="V13" s="220"/>
      <c r="W13" s="220"/>
    </row>
    <row r="14" outlineLevel="1">
      <c r="A14" s="211"/>
      <c r="B14" s="212" t="s">
        <v>7</v>
      </c>
      <c r="C14" s="213" t="s">
        <v>429</v>
      </c>
      <c r="D14" s="214" t="str">
        <f>IFERROR(VLOOKUP($C14,'PORTIFÓLIO'!C:V,2,0),"")</f>
        <v>Cu 2% Mn 8% Zn 7% </v>
      </c>
      <c r="E14" s="211" t="str">
        <f>IFERROR(VLOOKUP($C14,'PORTIFÓLIO'!C:V,3,0),"")</f>
        <v/>
      </c>
      <c r="F14" s="211" t="str">
        <f>IFERROR(VLOOKUP($C14,'PORTIFÓLIO'!C:V,4,0),"")</f>
        <v>Ton</v>
      </c>
      <c r="G14" s="215" t="str">
        <f>IFERROR(VLOOKUP($C14,'PORTIFÓLIO'!C:V,5,0),"")</f>
        <v/>
      </c>
      <c r="H14" s="254" t="str">
        <f t="array" ref="H14">IFERROR(INDEX('PORTIFÓLIO'!$H$4:$H$433,MATCH($C14,'PORTIFÓLIO'!$C$4:$C$433,0)),"")</f>
        <v/>
      </c>
      <c r="I14" s="255">
        <v>0.05</v>
      </c>
      <c r="J14" s="218">
        <f t="shared" si="2"/>
        <v>7</v>
      </c>
      <c r="K14" s="219">
        <f t="array" ref="K14">IFERROR(I14*INDEX('PORTIFÓLIO'!$S$4:$S$433,MATCH($C14,'PORTIFÓLIO'!$C$4:$C$433,0)),"")</f>
        <v>0</v>
      </c>
      <c r="L14" s="219">
        <f t="array" ref="L14">IFERROR(J14*INDEX('PORTIFÓLIO'!$S$4:$S$433,MATCH($C14,'PORTIFÓLIO'!$C$4:$C$433,0)),"")</f>
        <v>0</v>
      </c>
      <c r="M14" s="220"/>
      <c r="N14" s="220"/>
      <c r="O14" s="220"/>
      <c r="P14" s="220"/>
      <c r="Q14" s="220"/>
      <c r="R14" s="220"/>
      <c r="S14" s="220"/>
      <c r="T14" s="220"/>
      <c r="U14" s="220" t="str">
        <f>IFERROR(__xludf.DUMMYFUNCTION("FILTER('PORTIFÓLIO'!C:C, 'PORTIFÓLIO'!B:B=B14)"),"#REF!")</f>
        <v>#REF!</v>
      </c>
      <c r="V14" s="220"/>
      <c r="W14" s="220"/>
    </row>
    <row r="15" outlineLevel="1">
      <c r="A15" s="211"/>
      <c r="B15" s="212" t="s">
        <v>7</v>
      </c>
      <c r="C15" s="213" t="s">
        <v>417</v>
      </c>
      <c r="D15" s="214" t="str">
        <f>IFERROR(VLOOKUP($C15,'PORTIFÓLIO'!C:V,2,0),"")</f>
        <v>N 44</v>
      </c>
      <c r="E15" s="211" t="str">
        <f>IFERROR(VLOOKUP($C15,'PORTIFÓLIO'!C:V,3,0),"")</f>
        <v/>
      </c>
      <c r="F15" s="211" t="str">
        <f>IFERROR(VLOOKUP($C15,'PORTIFÓLIO'!C:V,4,0),"")</f>
        <v>Ton</v>
      </c>
      <c r="G15" s="215" t="str">
        <f>IFERROR(VLOOKUP($C15,'PORTIFÓLIO'!C:V,5,0),"")</f>
        <v/>
      </c>
      <c r="H15" s="254" t="str">
        <f t="array" ref="H15">IFERROR(INDEX('PORTIFÓLIO'!$H$4:$H$433,MATCH($C15,'PORTIFÓLIO'!$C$4:$C$433,0)),"")</f>
        <v/>
      </c>
      <c r="I15" s="255">
        <v>0.2</v>
      </c>
      <c r="J15" s="218">
        <f t="shared" si="2"/>
        <v>28</v>
      </c>
      <c r="K15" s="219">
        <f t="array" ref="K15">IFERROR(I15*INDEX('PORTIFÓLIO'!$S$4:$S$433,MATCH($C15,'PORTIFÓLIO'!$C$4:$C$433,0)),"")</f>
        <v>0</v>
      </c>
      <c r="L15" s="219">
        <f t="array" ref="L15">IFERROR(J15*INDEX('PORTIFÓLIO'!$S$4:$S$433,MATCH($C15,'PORTIFÓLIO'!$C$4:$C$433,0)),"")</f>
        <v>0</v>
      </c>
      <c r="M15" s="220"/>
      <c r="N15" s="220"/>
      <c r="O15" s="220"/>
      <c r="P15" s="220"/>
      <c r="Q15" s="220"/>
      <c r="R15" s="220"/>
      <c r="S15" s="220"/>
      <c r="T15" s="220"/>
      <c r="U15" s="220" t="str">
        <f>IFERROR(__xludf.DUMMYFUNCTION("FILTER('PORTIFÓLIO'!C:C, 'PORTIFÓLIO'!B:B=B15)"),"#REF!")</f>
        <v>#REF!</v>
      </c>
      <c r="V15" s="220"/>
      <c r="W15" s="220"/>
    </row>
    <row r="16" outlineLevel="1">
      <c r="A16" s="211"/>
      <c r="B16" s="212" t="s">
        <v>7</v>
      </c>
      <c r="C16" s="213" t="s">
        <v>419</v>
      </c>
      <c r="D16" s="214" t="str">
        <f>IFERROR(VLOOKUP($C16,'PORTIFÓLIO'!C:V,2,0),"")</f>
        <v>N 22</v>
      </c>
      <c r="E16" s="211" t="str">
        <f>IFERROR(VLOOKUP($C16,'PORTIFÓLIO'!C:V,3,0),"")</f>
        <v/>
      </c>
      <c r="F16" s="211" t="str">
        <f>IFERROR(VLOOKUP($C16,'PORTIFÓLIO'!C:V,4,0),"")</f>
        <v>Ton</v>
      </c>
      <c r="G16" s="215" t="str">
        <f>IFERROR(VLOOKUP($C16,'PORTIFÓLIO'!C:V,5,0),"")</f>
        <v/>
      </c>
      <c r="H16" s="254" t="str">
        <f t="array" ref="H16">IFERROR(INDEX('PORTIFÓLIO'!$H$4:$H$433,MATCH($C16,'PORTIFÓLIO'!$C$4:$C$433,0)),"")</f>
        <v/>
      </c>
      <c r="I16" s="255">
        <v>0.25</v>
      </c>
      <c r="J16" s="218">
        <f t="shared" si="2"/>
        <v>35</v>
      </c>
      <c r="K16" s="219">
        <f t="array" ref="K16">IFERROR(I16*INDEX('PORTIFÓLIO'!$S$4:$S$433,MATCH($C16,'PORTIFÓLIO'!$C$4:$C$433,0)),"")</f>
        <v>0</v>
      </c>
      <c r="L16" s="219">
        <f t="array" ref="L16">IFERROR(J16*INDEX('PORTIFÓLIO'!$S$4:$S$433,MATCH($C16,'PORTIFÓLIO'!$C$4:$C$433,0)),"")</f>
        <v>0</v>
      </c>
      <c r="M16" s="220"/>
      <c r="N16" s="220"/>
      <c r="O16" s="220"/>
      <c r="P16" s="220"/>
      <c r="Q16" s="220"/>
      <c r="R16" s="220"/>
      <c r="S16" s="220"/>
      <c r="T16" s="220"/>
      <c r="U16" s="220" t="str">
        <f>IFERROR(__xludf.DUMMYFUNCTION("FILTER('PORTIFÓLIO'!C:C, 'PORTIFÓLIO'!B:B=B16)"),"#REF!")</f>
        <v>#REF!</v>
      </c>
      <c r="V16" s="220"/>
      <c r="W16" s="220"/>
    </row>
    <row r="17" outlineLevel="1">
      <c r="A17" s="211"/>
      <c r="B17" s="212"/>
      <c r="C17" s="213"/>
      <c r="D17" s="214" t="str">
        <f>IFERROR(VLOOKUP($C17,'PORTIFÓLIO'!C:V,2,0),"")</f>
        <v/>
      </c>
      <c r="E17" s="211" t="str">
        <f>IFERROR(VLOOKUP($C17,'PORTIFÓLIO'!C:V,3,0),"")</f>
        <v/>
      </c>
      <c r="F17" s="211" t="str">
        <f>IFERROR(VLOOKUP($C17,'PORTIFÓLIO'!C:V,4,0),"")</f>
        <v/>
      </c>
      <c r="G17" s="215" t="str">
        <f>IFERROR(VLOOKUP($C17,'PORTIFÓLIO'!C:V,5,0),"")</f>
        <v/>
      </c>
      <c r="H17" s="254" t="str">
        <f t="array" ref="H17">IFERROR(INDEX('PORTIFÓLIO'!$H$4:$H$433,MATCH($C17,'PORTIFÓLIO'!$C$4:$C$433,0)),"")</f>
        <v/>
      </c>
      <c r="I17" s="256"/>
      <c r="J17" s="218">
        <f t="shared" si="2"/>
        <v>0</v>
      </c>
      <c r="K17" s="219" t="str">
        <f t="array" ref="K17">IFERROR(I17*INDEX('PORTIFÓLIO'!$S$4:$S$433,MATCH($C17,'PORTIFÓLIO'!$C$4:$C$433,0)),"")</f>
        <v/>
      </c>
      <c r="L17" s="219" t="str">
        <f t="array" ref="L17">IFERROR(J17*INDEX('PORTIFÓLIO'!$S$4:$S$433,MATCH($C17,'PORTIFÓLIO'!$C$4:$C$433,0)),"")</f>
        <v/>
      </c>
      <c r="M17" s="220"/>
      <c r="N17" s="220"/>
      <c r="O17" s="220"/>
      <c r="P17" s="220"/>
      <c r="Q17" s="220"/>
      <c r="R17" s="220"/>
      <c r="S17" s="220"/>
      <c r="T17" s="220"/>
      <c r="U17" s="220" t="str">
        <f>IFERROR(__xludf.DUMMYFUNCTION("FILTER('PORTIFÓLIO'!C:C, 'PORTIFÓLIO'!B:B=B17)"),"#REF!")</f>
        <v>#REF!</v>
      </c>
      <c r="V17" s="220"/>
      <c r="W17" s="220"/>
    </row>
    <row r="18" outlineLevel="1">
      <c r="A18" s="211"/>
      <c r="B18" s="212"/>
      <c r="C18" s="213"/>
      <c r="D18" s="214" t="str">
        <f>IFERROR(VLOOKUP($C18,'PORTIFÓLIO'!C:V,2,0),"")</f>
        <v/>
      </c>
      <c r="E18" s="211" t="str">
        <f>IFERROR(VLOOKUP($C18,'PORTIFÓLIO'!C:V,3,0),"")</f>
        <v/>
      </c>
      <c r="F18" s="211" t="str">
        <f>IFERROR(VLOOKUP($C18,'PORTIFÓLIO'!C:V,4,0),"")</f>
        <v/>
      </c>
      <c r="G18" s="215" t="str">
        <f>IFERROR(VLOOKUP($C18,'PORTIFÓLIO'!C:V,5,0),"")</f>
        <v/>
      </c>
      <c r="H18" s="254" t="str">
        <f t="array" ref="H18">IFERROR(INDEX('PORTIFÓLIO'!$H$4:$H$433,MATCH($C18,'PORTIFÓLIO'!$C$4:$C$433,0)),"")</f>
        <v/>
      </c>
      <c r="I18" s="256"/>
      <c r="J18" s="218">
        <f t="shared" si="2"/>
        <v>0</v>
      </c>
      <c r="K18" s="219" t="str">
        <f t="array" ref="K18">IFERROR(I18*INDEX('PORTIFÓLIO'!$S$4:$S$433,MATCH($C18,'PORTIFÓLIO'!$C$4:$C$433,0)),"")</f>
        <v/>
      </c>
      <c r="L18" s="219" t="str">
        <f t="array" ref="L18">IFERROR(J18*INDEX('PORTIFÓLIO'!$S$4:$S$433,MATCH($C18,'PORTIFÓLIO'!$C$4:$C$433,0)),"")</f>
        <v/>
      </c>
      <c r="M18" s="220"/>
      <c r="N18" s="220"/>
      <c r="O18" s="220"/>
      <c r="P18" s="220"/>
      <c r="Q18" s="220"/>
      <c r="R18" s="220"/>
      <c r="S18" s="220"/>
      <c r="T18" s="220"/>
      <c r="U18" s="220" t="str">
        <f>IFERROR(__xludf.DUMMYFUNCTION("FILTER('PORTIFÓLIO'!C:C, 'PORTIFÓLIO'!B:B=B18)"),"#REF!")</f>
        <v>#REF!</v>
      </c>
      <c r="V18" s="220"/>
      <c r="W18" s="220"/>
    </row>
    <row r="19" outlineLevel="1">
      <c r="A19" s="211"/>
      <c r="B19" s="212"/>
      <c r="C19" s="213"/>
      <c r="D19" s="214" t="str">
        <f>IFERROR(VLOOKUP($C19,'PORTIFÓLIO'!C:V,2,0),"")</f>
        <v/>
      </c>
      <c r="E19" s="211" t="str">
        <f>IFERROR(VLOOKUP($C19,'PORTIFÓLIO'!C:V,3,0),"")</f>
        <v/>
      </c>
      <c r="F19" s="211" t="str">
        <f>IFERROR(VLOOKUP($C19,'PORTIFÓLIO'!C:V,4,0),"")</f>
        <v/>
      </c>
      <c r="G19" s="215" t="str">
        <f>IFERROR(VLOOKUP($C19,'PORTIFÓLIO'!C:V,5,0),"")</f>
        <v/>
      </c>
      <c r="H19" s="254" t="str">
        <f t="array" ref="H19">IFERROR(INDEX('PORTIFÓLIO'!$H$4:$H$433,MATCH($C19,'PORTIFÓLIO'!$C$4:$C$433,0)),"")</f>
        <v/>
      </c>
      <c r="I19" s="255"/>
      <c r="J19" s="218">
        <f t="shared" si="2"/>
        <v>0</v>
      </c>
      <c r="K19" s="219" t="str">
        <f t="array" ref="K19">IFERROR(I19*INDEX('PORTIFÓLIO'!$S$4:$S$433,MATCH($C19,'PORTIFÓLIO'!$C$4:$C$433,0)),"")</f>
        <v/>
      </c>
      <c r="L19" s="219" t="str">
        <f t="array" ref="L19">IFERROR(J19*INDEX('PORTIFÓLIO'!$S$4:$S$433,MATCH($C19,'PORTIFÓLIO'!$C$4:$C$433,0)),"")</f>
        <v/>
      </c>
      <c r="M19" s="220"/>
      <c r="N19" s="220"/>
      <c r="O19" s="220"/>
      <c r="P19" s="220"/>
      <c r="Q19" s="220"/>
      <c r="R19" s="220"/>
      <c r="S19" s="220"/>
      <c r="T19" s="220"/>
      <c r="U19" s="220" t="str">
        <f>IFERROR(__xludf.DUMMYFUNCTION("FILTER('PORTIFÓLIO'!C:C, 'PORTIFÓLIO'!B:B=B19)"),"")</f>
        <v/>
      </c>
      <c r="V19" s="220"/>
      <c r="W19" s="220"/>
    </row>
    <row r="20" outlineLevel="1">
      <c r="A20" s="211"/>
      <c r="B20" s="212"/>
      <c r="C20" s="213"/>
      <c r="D20" s="214" t="str">
        <f>IFERROR(VLOOKUP($C20,'PORTIFÓLIO'!C:V,2,0),"")</f>
        <v/>
      </c>
      <c r="E20" s="211" t="str">
        <f>IFERROR(VLOOKUP($C20,'PORTIFÓLIO'!C:V,3,0),"")</f>
        <v/>
      </c>
      <c r="F20" s="211" t="str">
        <f>IFERROR(VLOOKUP($C20,'PORTIFÓLIO'!C:V,4,0),"")</f>
        <v/>
      </c>
      <c r="G20" s="215" t="str">
        <f>IFERROR(VLOOKUP($C20,'PORTIFÓLIO'!C:V,5,0),"")</f>
        <v/>
      </c>
      <c r="H20" s="254" t="str">
        <f t="array" ref="H20">IFERROR(INDEX('PORTIFÓLIO'!$H$4:$H$433,MATCH($C20,'PORTIFÓLIO'!$C$4:$C$433,0)),"")</f>
        <v/>
      </c>
      <c r="I20" s="255"/>
      <c r="J20" s="218">
        <f t="shared" si="2"/>
        <v>0</v>
      </c>
      <c r="K20" s="219" t="str">
        <f t="array" ref="K20">IFERROR(I20*INDEX('PORTIFÓLIO'!$S$4:$S$433,MATCH($C20,'PORTIFÓLIO'!$C$4:$C$433,0)),"")</f>
        <v/>
      </c>
      <c r="L20" s="219" t="str">
        <f t="array" ref="L20">IFERROR(J20*INDEX('PORTIFÓLIO'!$S$4:$S$433,MATCH($C20,'PORTIFÓLIO'!$C$4:$C$433,0)),"")</f>
        <v/>
      </c>
      <c r="M20" s="220"/>
      <c r="N20" s="220"/>
      <c r="O20" s="220"/>
      <c r="P20" s="220"/>
      <c r="Q20" s="220"/>
      <c r="R20" s="220"/>
      <c r="S20" s="220"/>
      <c r="T20" s="220"/>
      <c r="U20" s="220"/>
      <c r="V20" s="220"/>
      <c r="W20" s="220"/>
    </row>
    <row r="21" ht="15.75" customHeight="1" outlineLevel="1">
      <c r="A21" s="211"/>
      <c r="B21" s="212"/>
      <c r="C21" s="213"/>
      <c r="D21" s="214" t="str">
        <f>IFERROR(VLOOKUP($C21,'PORTIFÓLIO'!C:V,2,0),"")</f>
        <v/>
      </c>
      <c r="E21" s="211" t="str">
        <f>IFERROR(VLOOKUP($C21,'PORTIFÓLIO'!C:V,3,0),"")</f>
        <v/>
      </c>
      <c r="F21" s="211" t="str">
        <f>IFERROR(VLOOKUP($C21,'PORTIFÓLIO'!C:V,4,0),"")</f>
        <v/>
      </c>
      <c r="G21" s="215" t="str">
        <f>IFERROR(VLOOKUP($C21,'PORTIFÓLIO'!C:V,5,0),"")</f>
        <v/>
      </c>
      <c r="H21" s="254" t="str">
        <f t="array" ref="H21">IFERROR(INDEX('PORTIFÓLIO'!$H$4:$H$433,MATCH($C21,'PORTIFÓLIO'!$C$4:$C$433,0)),"")</f>
        <v/>
      </c>
      <c r="I21" s="255"/>
      <c r="J21" s="218">
        <f t="shared" si="2"/>
        <v>0</v>
      </c>
      <c r="K21" s="219" t="str">
        <f t="array" ref="K21">IFERROR(I21*INDEX('PORTIFÓLIO'!$S$4:$S$433,MATCH($C21,'PORTIFÓLIO'!$C$4:$C$433,0)),"")</f>
        <v/>
      </c>
      <c r="L21" s="219" t="str">
        <f t="array" ref="L21">IFERROR(J21*INDEX('PORTIFÓLIO'!$S$4:$S$433,MATCH($C21,'PORTIFÓLIO'!$C$4:$C$433,0)),"")</f>
        <v/>
      </c>
      <c r="M21" s="220"/>
      <c r="N21" s="220"/>
      <c r="O21" s="220"/>
      <c r="P21" s="220"/>
      <c r="Q21" s="220"/>
      <c r="R21" s="220"/>
      <c r="S21" s="220"/>
      <c r="T21" s="220"/>
      <c r="U21" s="220"/>
      <c r="V21" s="220"/>
      <c r="W21" s="220"/>
    </row>
    <row r="22" ht="15.75" customHeight="1" outlineLevel="1">
      <c r="A22" s="211"/>
      <c r="B22" s="212"/>
      <c r="C22" s="213"/>
      <c r="D22" s="214" t="str">
        <f>IFERROR(VLOOKUP($C22,'PORTIFÓLIO'!C:V,2,0),"")</f>
        <v/>
      </c>
      <c r="E22" s="211" t="str">
        <f>IFERROR(VLOOKUP($C22,'PORTIFÓLIO'!C:V,3,0),"")</f>
        <v/>
      </c>
      <c r="F22" s="211" t="str">
        <f>IFERROR(VLOOKUP($C22,'PORTIFÓLIO'!C:V,4,0),"")</f>
        <v/>
      </c>
      <c r="G22" s="215" t="str">
        <f>IFERROR(VLOOKUP($C22,'PORTIFÓLIO'!C:V,5,0),"")</f>
        <v/>
      </c>
      <c r="H22" s="254" t="str">
        <f t="array" ref="H22">IFERROR(INDEX('PORTIFÓLIO'!$H$4:$H$433,MATCH($C22,'PORTIFÓLIO'!$C$4:$C$433,0)),"")</f>
        <v/>
      </c>
      <c r="I22" s="255"/>
      <c r="J22" s="218">
        <f t="shared" si="2"/>
        <v>0</v>
      </c>
      <c r="K22" s="219" t="str">
        <f t="array" ref="K22">IFERROR(I22*INDEX('PORTIFÓLIO'!$S$4:$S$433,MATCH($C22,'PORTIFÓLIO'!$C$4:$C$433,0)),"")</f>
        <v/>
      </c>
      <c r="L22" s="219" t="str">
        <f t="array" ref="L22">IFERROR(J22*INDEX('PORTIFÓLIO'!$S$4:$S$433,MATCH($C22,'PORTIFÓLIO'!$C$4:$C$433,0)),"")</f>
        <v/>
      </c>
      <c r="M22" s="220"/>
      <c r="N22" s="220"/>
      <c r="O22" s="220"/>
      <c r="P22" s="220"/>
      <c r="Q22" s="220"/>
      <c r="R22" s="220"/>
      <c r="S22" s="220"/>
      <c r="T22" s="220"/>
      <c r="U22" s="220"/>
      <c r="V22" s="220"/>
      <c r="W22" s="220"/>
    </row>
    <row r="23" ht="15.75" customHeight="1" outlineLevel="1">
      <c r="A23" s="211"/>
      <c r="B23" s="212"/>
      <c r="C23" s="213"/>
      <c r="D23" s="214" t="str">
        <f>IFERROR(VLOOKUP($C23,'PORTIFÓLIO'!C:V,2,0),"")</f>
        <v/>
      </c>
      <c r="E23" s="211" t="str">
        <f>IFERROR(VLOOKUP($C23,'PORTIFÓLIO'!C:V,3,0),"")</f>
        <v/>
      </c>
      <c r="F23" s="211" t="str">
        <f>IFERROR(VLOOKUP($C23,'PORTIFÓLIO'!C:V,4,0),"")</f>
        <v/>
      </c>
      <c r="G23" s="215" t="str">
        <f>IFERROR(VLOOKUP($C23,'PORTIFÓLIO'!C:V,5,0),"")</f>
        <v/>
      </c>
      <c r="H23" s="254" t="str">
        <f t="array" ref="H23">IFERROR(INDEX('PORTIFÓLIO'!$H$4:$H$433,MATCH($C23,'PORTIFÓLIO'!$C$4:$C$433,0)),"")</f>
        <v/>
      </c>
      <c r="I23" s="255"/>
      <c r="J23" s="218">
        <f t="shared" si="2"/>
        <v>0</v>
      </c>
      <c r="K23" s="219" t="str">
        <f t="array" ref="K23">IFERROR(I23*INDEX('PORTIFÓLIO'!$S$4:$S$433,MATCH($C23,'PORTIFÓLIO'!$C$4:$C$433,0)),"")</f>
        <v/>
      </c>
      <c r="L23" s="219" t="str">
        <f t="array" ref="L23">IFERROR(J23*INDEX('PORTIFÓLIO'!$S$4:$S$433,MATCH($C23,'PORTIFÓLIO'!$C$4:$C$433,0)),"")</f>
        <v/>
      </c>
      <c r="M23" s="220"/>
      <c r="N23" s="220"/>
      <c r="O23" s="220"/>
      <c r="P23" s="220"/>
      <c r="Q23" s="220"/>
      <c r="R23" s="220"/>
      <c r="S23" s="220"/>
      <c r="T23" s="220"/>
      <c r="U23" s="220"/>
      <c r="V23" s="220"/>
      <c r="W23" s="220"/>
    </row>
    <row r="24" ht="15.75" customHeight="1" outlineLevel="1">
      <c r="A24" s="211"/>
      <c r="B24" s="212"/>
      <c r="C24" s="213"/>
      <c r="D24" s="214" t="str">
        <f>IFERROR(VLOOKUP($C24,'PORTIFÓLIO'!C:V,2,0),"")</f>
        <v/>
      </c>
      <c r="E24" s="211" t="str">
        <f>IFERROR(VLOOKUP($C24,'PORTIFÓLIO'!C:V,3,0),"")</f>
        <v/>
      </c>
      <c r="F24" s="211" t="str">
        <f>IFERROR(VLOOKUP($C24,'PORTIFÓLIO'!C:V,4,0),"")</f>
        <v/>
      </c>
      <c r="G24" s="215" t="str">
        <f>IFERROR(VLOOKUP($C24,'PORTIFÓLIO'!C:V,5,0),"")</f>
        <v/>
      </c>
      <c r="H24" s="254" t="str">
        <f t="array" ref="H24">IFERROR(INDEX('PORTIFÓLIO'!$H$4:$H$433,MATCH($C24,'PORTIFÓLIO'!$C$4:$C$433,0)),"")</f>
        <v/>
      </c>
      <c r="I24" s="255"/>
      <c r="J24" s="218">
        <f t="shared" si="2"/>
        <v>0</v>
      </c>
      <c r="K24" s="219" t="str">
        <f t="array" ref="K24">IFERROR(I24*INDEX('PORTIFÓLIO'!$S$4:$S$433,MATCH($C24,'PORTIFÓLIO'!$C$4:$C$433,0)),"")</f>
        <v/>
      </c>
      <c r="L24" s="219" t="str">
        <f t="array" ref="L24">IFERROR(J24*INDEX('PORTIFÓLIO'!$S$4:$S$433,MATCH($C24,'PORTIFÓLIO'!$C$4:$C$433,0)),"")</f>
        <v/>
      </c>
      <c r="M24" s="220"/>
      <c r="N24" s="220"/>
      <c r="O24" s="220"/>
      <c r="P24" s="220"/>
      <c r="Q24" s="220"/>
      <c r="R24" s="220"/>
      <c r="S24" s="220"/>
      <c r="T24" s="220"/>
      <c r="U24" s="220"/>
      <c r="V24" s="220"/>
      <c r="W24" s="220"/>
    </row>
    <row r="25" ht="15.75" customHeight="1">
      <c r="A25" s="229" t="s">
        <v>1184</v>
      </c>
      <c r="B25" s="230"/>
      <c r="C25" s="231"/>
      <c r="D25" s="232"/>
      <c r="E25" s="231"/>
      <c r="F25" s="231"/>
      <c r="G25" s="233"/>
      <c r="H25" s="233"/>
      <c r="I25" s="258"/>
      <c r="J25" s="236"/>
      <c r="K25" s="237">
        <f t="shared" ref="K25:L25" si="3">SUBTOTAL(9,K26:K39)</f>
        <v>75.38517</v>
      </c>
      <c r="L25" s="237">
        <f t="shared" si="3"/>
        <v>10553.9238</v>
      </c>
      <c r="M25" s="220"/>
      <c r="N25" s="220"/>
      <c r="O25" s="220"/>
      <c r="P25" s="220"/>
      <c r="Q25" s="220"/>
      <c r="R25" s="220"/>
      <c r="S25" s="220"/>
      <c r="T25" s="220"/>
      <c r="U25" s="220"/>
      <c r="V25" s="220"/>
      <c r="W25" s="220"/>
    </row>
    <row r="26" ht="15.75" customHeight="1" outlineLevel="1">
      <c r="A26" s="213"/>
      <c r="B26" s="212" t="s">
        <v>1</v>
      </c>
      <c r="C26" s="213" t="s">
        <v>637</v>
      </c>
      <c r="D26" s="214" t="str">
        <f>IFERROR(VLOOKUP($C26,'PORTIFÓLIO'!C:V,2,0),"")</f>
        <v>GLIFOSATO-SAL DE AMÔNIO</v>
      </c>
      <c r="E26" s="211">
        <f>IFERROR(VLOOKUP($C26,'PORTIFÓLIO'!C:V,3,0),"")</f>
        <v>720</v>
      </c>
      <c r="F26" s="211" t="str">
        <f>IFERROR(VLOOKUP($C26,'PORTIFÓLIO'!C:V,4,0),"")</f>
        <v>L</v>
      </c>
      <c r="G26" s="225" t="str">
        <f>IFERROR(VLOOKUP($C26,'PORTIFÓLIO'!C:V,5,0),"")</f>
        <v>📄 Ver bula</v>
      </c>
      <c r="H26" s="254">
        <f t="array" ref="H26">IFERROR(INDEX('PORTIFÓLIO'!$H$4:$H$433,MATCH($C26,'PORTIFÓLIO'!$C$4:$C$433,0)),"")</f>
        <v>2</v>
      </c>
      <c r="I26" s="255">
        <v>2.0</v>
      </c>
      <c r="J26" s="218">
        <f t="shared" ref="J26:J43" si="4">I26*$B$2</f>
        <v>280</v>
      </c>
      <c r="K26" s="219">
        <f t="array" ref="K26">IFERROR(I26*INDEX('PORTIFÓLIO'!$S$4:$S$433,MATCH($C26,'PORTIFÓLIO'!$C$4:$C$433,0)),"")</f>
        <v>49.16</v>
      </c>
      <c r="L26" s="219">
        <f t="array" ref="L26">IFERROR(J26*INDEX('PORTIFÓLIO'!$S$4:$S$433,MATCH($C26,'PORTIFÓLIO'!$C$4:$C$433,0)),"")</f>
        <v>6882.4</v>
      </c>
      <c r="M26" s="220"/>
      <c r="N26" s="220"/>
      <c r="O26" s="220"/>
      <c r="P26" s="220"/>
      <c r="Q26" s="220"/>
      <c r="R26" s="220"/>
      <c r="S26" s="220"/>
      <c r="T26" s="220"/>
      <c r="U26" s="220"/>
      <c r="V26" s="220"/>
      <c r="W26" s="220"/>
    </row>
    <row r="27" ht="15.75" customHeight="1" outlineLevel="1">
      <c r="A27" s="211"/>
      <c r="B27" s="212" t="s">
        <v>6</v>
      </c>
      <c r="C27" s="213" t="s">
        <v>354</v>
      </c>
      <c r="D27" s="214" t="str">
        <f>IFERROR(VLOOKUP($C27,'PORTIFÓLIO'!C:V,2,0),"")</f>
        <v>OLEO MINERAL</v>
      </c>
      <c r="E27" s="211">
        <f>IFERROR(VLOOKUP($C27,'PORTIFÓLIO'!C:V,3,0),"")</f>
        <v>761</v>
      </c>
      <c r="F27" s="211" t="str">
        <f>IFERROR(VLOOKUP($C27,'PORTIFÓLIO'!C:V,4,0),"")</f>
        <v>L</v>
      </c>
      <c r="G27" s="225" t="str">
        <f>IFERROR(VLOOKUP($C27,'PORTIFÓLIO'!C:V,5,0),"")</f>
        <v>📄 Ver bula</v>
      </c>
      <c r="H27" s="254">
        <f t="array" ref="H27">IFERROR(INDEX('PORTIFÓLIO'!$H$4:$H$433,MATCH($C27,'PORTIFÓLIO'!$C$4:$C$433,0)),"")</f>
        <v>0.2</v>
      </c>
      <c r="I27" s="255">
        <v>0.2</v>
      </c>
      <c r="J27" s="218">
        <f t="shared" si="4"/>
        <v>28</v>
      </c>
      <c r="K27" s="219">
        <f t="array" ref="K27">IFERROR(I27*INDEX('PORTIFÓLIO'!$S$4:$S$433,MATCH($C27,'PORTIFÓLIO'!$C$4:$C$433,0)),"")</f>
        <v>3.206</v>
      </c>
      <c r="L27" s="219">
        <f t="array" ref="L27">IFERROR(J27*INDEX('PORTIFÓLIO'!$S$4:$S$433,MATCH($C27,'PORTIFÓLIO'!$C$4:$C$433,0)),"")</f>
        <v>448.84</v>
      </c>
      <c r="M27" s="220"/>
      <c r="N27" s="220"/>
      <c r="O27" s="220"/>
      <c r="P27" s="220"/>
      <c r="Q27" s="220"/>
      <c r="R27" s="220"/>
      <c r="S27" s="220"/>
      <c r="T27" s="220"/>
      <c r="U27" s="220"/>
      <c r="V27" s="220"/>
      <c r="W27" s="220"/>
    </row>
    <row r="28" ht="15.75" customHeight="1" outlineLevel="1">
      <c r="A28" s="211"/>
      <c r="B28" s="212" t="s">
        <v>1</v>
      </c>
      <c r="C28" s="213" t="s">
        <v>683</v>
      </c>
      <c r="D28" s="214" t="str">
        <f>IFERROR(VLOOKUP($C28,'PORTIFÓLIO'!C:V,2,0),"")</f>
        <v>GLUFOSINATO - SAL DE AMONIO</v>
      </c>
      <c r="E28" s="211">
        <f>IFERROR(VLOOKUP($C28,'PORTIFÓLIO'!C:V,3,0),"")</f>
        <v>880</v>
      </c>
      <c r="F28" s="211" t="str">
        <f>IFERROR(VLOOKUP($C28,'PORTIFÓLIO'!C:V,4,0),"")</f>
        <v>L</v>
      </c>
      <c r="G28" s="225" t="str">
        <f>IFERROR(VLOOKUP($C28,'PORTIFÓLIO'!C:V,5,0),"")</f>
        <v>📄 Ver bula</v>
      </c>
      <c r="H28" s="254">
        <f t="array" ref="H28">IFERROR(INDEX('PORTIFÓLIO'!$H$4:$H$433,MATCH($C28,'PORTIFÓLIO'!$C$4:$C$433,0)),"")</f>
        <v>0.5</v>
      </c>
      <c r="I28" s="255">
        <v>0.5</v>
      </c>
      <c r="J28" s="218">
        <f t="shared" si="4"/>
        <v>70</v>
      </c>
      <c r="K28" s="219">
        <f t="array" ref="K28">IFERROR(I28*INDEX('PORTIFÓLIO'!$S$4:$S$433,MATCH($C28,'PORTIFÓLIO'!$C$4:$C$433,0)),"")</f>
        <v>23.01917</v>
      </c>
      <c r="L28" s="219">
        <f t="array" ref="L28">IFERROR(J28*INDEX('PORTIFÓLIO'!$S$4:$S$433,MATCH($C28,'PORTIFÓLIO'!$C$4:$C$433,0)),"")</f>
        <v>3222.6838</v>
      </c>
      <c r="M28" s="220"/>
      <c r="N28" s="220"/>
      <c r="O28" s="220"/>
      <c r="P28" s="220"/>
      <c r="Q28" s="220"/>
      <c r="R28" s="220"/>
      <c r="S28" s="220"/>
      <c r="T28" s="220"/>
      <c r="U28" s="220"/>
      <c r="V28" s="220"/>
      <c r="W28" s="220"/>
    </row>
    <row r="29" ht="15.75" customHeight="1" outlineLevel="1">
      <c r="A29" s="211"/>
      <c r="B29" s="212"/>
      <c r="C29" s="213"/>
      <c r="D29" s="214" t="str">
        <f>IFERROR(VLOOKUP($C29,'PORTIFÓLIO'!C:V,2,0),"")</f>
        <v/>
      </c>
      <c r="E29" s="211" t="str">
        <f>IFERROR(VLOOKUP($C29,'PORTIFÓLIO'!C:V,3,0),"")</f>
        <v/>
      </c>
      <c r="F29" s="211" t="str">
        <f>IFERROR(VLOOKUP($C29,'PORTIFÓLIO'!C:V,4,0),"")</f>
        <v/>
      </c>
      <c r="G29" s="215" t="str">
        <f>IFERROR(VLOOKUP($C29,'PORTIFÓLIO'!C:V,5,0),"")</f>
        <v/>
      </c>
      <c r="H29" s="254" t="str">
        <f t="array" ref="H29">IFERROR(INDEX('PORTIFÓLIO'!$H$4:$H$433,MATCH($C29,'PORTIFÓLIO'!$C$4:$C$433,0)),"")</f>
        <v/>
      </c>
      <c r="I29" s="255"/>
      <c r="J29" s="218">
        <f t="shared" si="4"/>
        <v>0</v>
      </c>
      <c r="K29" s="219" t="str">
        <f t="array" ref="K29">IFERROR(I29*INDEX('PORTIFÓLIO'!$S$4:$S$433,MATCH($C29,'PORTIFÓLIO'!$C$4:$C$433,0)),"")</f>
        <v/>
      </c>
      <c r="L29" s="219" t="str">
        <f t="array" ref="L29">IFERROR(J29*INDEX('PORTIFÓLIO'!$S$4:$S$433,MATCH($C29,'PORTIFÓLIO'!$C$4:$C$433,0)),"")</f>
        <v/>
      </c>
      <c r="M29" s="220"/>
      <c r="N29" s="220"/>
      <c r="O29" s="220"/>
      <c r="P29" s="220"/>
      <c r="Q29" s="220"/>
      <c r="R29" s="220"/>
      <c r="S29" s="220"/>
      <c r="T29" s="220"/>
      <c r="U29" s="220"/>
      <c r="V29" s="220"/>
      <c r="W29" s="220"/>
    </row>
    <row r="30" ht="15.75" customHeight="1" outlineLevel="1">
      <c r="A30" s="211"/>
      <c r="B30" s="212"/>
      <c r="C30" s="213"/>
      <c r="D30" s="214" t="str">
        <f>IFERROR(VLOOKUP($C30,'PORTIFÓLIO'!C:V,2,0),"")</f>
        <v/>
      </c>
      <c r="E30" s="211" t="str">
        <f>IFERROR(VLOOKUP($C30,'PORTIFÓLIO'!C:V,3,0),"")</f>
        <v/>
      </c>
      <c r="F30" s="211" t="str">
        <f>IFERROR(VLOOKUP($C30,'PORTIFÓLIO'!C:V,4,0),"")</f>
        <v/>
      </c>
      <c r="G30" s="215" t="str">
        <f>IFERROR(VLOOKUP($C30,'PORTIFÓLIO'!C:V,5,0),"")</f>
        <v/>
      </c>
      <c r="H30" s="254" t="str">
        <f t="array" ref="H30">IFERROR(INDEX('PORTIFÓLIO'!$H$4:$H$433,MATCH($C30,'PORTIFÓLIO'!$C$4:$C$433,0)),"")</f>
        <v/>
      </c>
      <c r="I30" s="255"/>
      <c r="J30" s="218">
        <f t="shared" si="4"/>
        <v>0</v>
      </c>
      <c r="K30" s="219" t="str">
        <f t="array" ref="K30">IFERROR(I30*INDEX('PORTIFÓLIO'!$S$4:$S$433,MATCH($C30,'PORTIFÓLIO'!$C$4:$C$433,0)),"")</f>
        <v/>
      </c>
      <c r="L30" s="219" t="str">
        <f t="array" ref="L30">IFERROR(J30*INDEX('PORTIFÓLIO'!$S$4:$S$433,MATCH($C30,'PORTIFÓLIO'!$C$4:$C$433,0)),"")</f>
        <v/>
      </c>
      <c r="M30" s="220"/>
      <c r="N30" s="220"/>
      <c r="O30" s="220"/>
      <c r="P30" s="220"/>
      <c r="Q30" s="220"/>
      <c r="R30" s="220"/>
      <c r="S30" s="220"/>
      <c r="T30" s="220"/>
      <c r="U30" s="220"/>
      <c r="V30" s="220"/>
      <c r="W30" s="220"/>
    </row>
    <row r="31" ht="15.75" customHeight="1" outlineLevel="1">
      <c r="A31" s="211"/>
      <c r="B31" s="212"/>
      <c r="C31" s="213"/>
      <c r="D31" s="214" t="str">
        <f>IFERROR(VLOOKUP($C31,'PORTIFÓLIO'!C:V,2,0),"")</f>
        <v/>
      </c>
      <c r="E31" s="211" t="str">
        <f>IFERROR(VLOOKUP($C31,'PORTIFÓLIO'!C:V,3,0),"")</f>
        <v/>
      </c>
      <c r="F31" s="211" t="str">
        <f>IFERROR(VLOOKUP($C31,'PORTIFÓLIO'!C:V,4,0),"")</f>
        <v/>
      </c>
      <c r="G31" s="215" t="str">
        <f>IFERROR(VLOOKUP($C31,'PORTIFÓLIO'!C:V,5,0),"")</f>
        <v/>
      </c>
      <c r="H31" s="254" t="str">
        <f t="array" ref="H31">IFERROR(INDEX('PORTIFÓLIO'!$H$4:$H$433,MATCH($C31,'PORTIFÓLIO'!$C$4:$C$433,0)),"")</f>
        <v/>
      </c>
      <c r="I31" s="255"/>
      <c r="J31" s="218">
        <f t="shared" si="4"/>
        <v>0</v>
      </c>
      <c r="K31" s="219" t="str">
        <f t="array" ref="K31">IFERROR(I31*INDEX('PORTIFÓLIO'!$S$4:$S$433,MATCH($C31,'PORTIFÓLIO'!$C$4:$C$433,0)),"")</f>
        <v/>
      </c>
      <c r="L31" s="219" t="str">
        <f t="array" ref="L31">IFERROR(J31*INDEX('PORTIFÓLIO'!$S$4:$S$433,MATCH($C31,'PORTIFÓLIO'!$C$4:$C$433,0)),"")</f>
        <v/>
      </c>
      <c r="M31" s="220"/>
      <c r="N31" s="220"/>
      <c r="O31" s="220"/>
      <c r="P31" s="220"/>
      <c r="Q31" s="220"/>
      <c r="R31" s="220"/>
      <c r="S31" s="220"/>
      <c r="T31" s="220"/>
      <c r="U31" s="220"/>
      <c r="V31" s="220"/>
      <c r="W31" s="220"/>
    </row>
    <row r="32" ht="15.75" customHeight="1" outlineLevel="1">
      <c r="A32" s="211"/>
      <c r="B32" s="212"/>
      <c r="C32" s="213"/>
      <c r="D32" s="214" t="str">
        <f>IFERROR(VLOOKUP($C32,'PORTIFÓLIO'!C:V,2,0),"")</f>
        <v/>
      </c>
      <c r="E32" s="211" t="str">
        <f>IFERROR(VLOOKUP($C32,'PORTIFÓLIO'!C:V,3,0),"")</f>
        <v/>
      </c>
      <c r="F32" s="211" t="str">
        <f>IFERROR(VLOOKUP($C32,'PORTIFÓLIO'!C:V,4,0),"")</f>
        <v/>
      </c>
      <c r="G32" s="215" t="str">
        <f>IFERROR(VLOOKUP($C32,'PORTIFÓLIO'!C:V,5,0),"")</f>
        <v/>
      </c>
      <c r="H32" s="254" t="str">
        <f t="array" ref="H32">IFERROR(INDEX('PORTIFÓLIO'!$H$4:$H$433,MATCH($C32,'PORTIFÓLIO'!$C$4:$C$433,0)),"")</f>
        <v/>
      </c>
      <c r="I32" s="256"/>
      <c r="J32" s="218">
        <f t="shared" si="4"/>
        <v>0</v>
      </c>
      <c r="K32" s="219" t="str">
        <f t="array" ref="K32">IFERROR(I32*INDEX('PORTIFÓLIO'!$S$4:$S$433,MATCH($C32,'PORTIFÓLIO'!$C$4:$C$433,0)),"")</f>
        <v/>
      </c>
      <c r="L32" s="219" t="str">
        <f t="array" ref="L32">IFERROR(J32*INDEX('PORTIFÓLIO'!$S$4:$S$433,MATCH($C32,'PORTIFÓLIO'!$C$4:$C$433,0)),"")</f>
        <v/>
      </c>
      <c r="M32" s="220"/>
      <c r="N32" s="220"/>
      <c r="O32" s="220"/>
      <c r="P32" s="220"/>
      <c r="Q32" s="220"/>
      <c r="R32" s="220"/>
      <c r="S32" s="220"/>
      <c r="T32" s="220"/>
      <c r="U32" s="220"/>
      <c r="V32" s="220"/>
      <c r="W32" s="220"/>
    </row>
    <row r="33" ht="15.75" customHeight="1" outlineLevel="1">
      <c r="A33" s="211"/>
      <c r="B33" s="212"/>
      <c r="C33" s="213"/>
      <c r="D33" s="214" t="str">
        <f>IFERROR(VLOOKUP($C33,'PORTIFÓLIO'!C:V,2,0),"")</f>
        <v/>
      </c>
      <c r="E33" s="211" t="str">
        <f>IFERROR(VLOOKUP($C33,'PORTIFÓLIO'!C:V,3,0),"")</f>
        <v/>
      </c>
      <c r="F33" s="211" t="str">
        <f>IFERROR(VLOOKUP($C33,'PORTIFÓLIO'!C:V,4,0),"")</f>
        <v/>
      </c>
      <c r="G33" s="215" t="str">
        <f>IFERROR(VLOOKUP($C33,'PORTIFÓLIO'!C:V,5,0),"")</f>
        <v/>
      </c>
      <c r="H33" s="254" t="str">
        <f t="array" ref="H33">IFERROR(INDEX('PORTIFÓLIO'!$H$4:$H$433,MATCH($C33,'PORTIFÓLIO'!$C$4:$C$433,0)),"")</f>
        <v/>
      </c>
      <c r="I33" s="256"/>
      <c r="J33" s="218">
        <f t="shared" si="4"/>
        <v>0</v>
      </c>
      <c r="K33" s="219" t="str">
        <f t="array" ref="K33">IFERROR(I33*INDEX('PORTIFÓLIO'!$S$4:$S$433,MATCH($C33,'PORTIFÓLIO'!$C$4:$C$433,0)),"")</f>
        <v/>
      </c>
      <c r="L33" s="219" t="str">
        <f t="array" ref="L33">IFERROR(J33*INDEX('PORTIFÓLIO'!$S$4:$S$433,MATCH($C33,'PORTIFÓLIO'!$C$4:$C$433,0)),"")</f>
        <v/>
      </c>
      <c r="M33" s="220"/>
      <c r="N33" s="220"/>
      <c r="O33" s="220"/>
      <c r="P33" s="220"/>
      <c r="Q33" s="220"/>
      <c r="R33" s="220"/>
      <c r="S33" s="220"/>
      <c r="T33" s="220"/>
      <c r="U33" s="220"/>
      <c r="V33" s="220"/>
      <c r="W33" s="220"/>
    </row>
    <row r="34" ht="15.75" customHeight="1" outlineLevel="1">
      <c r="A34" s="211"/>
      <c r="B34" s="212"/>
      <c r="C34" s="213"/>
      <c r="D34" s="214" t="str">
        <f>IFERROR(VLOOKUP($C34,'PORTIFÓLIO'!C:V,2,0),"")</f>
        <v/>
      </c>
      <c r="E34" s="211" t="str">
        <f>IFERROR(VLOOKUP($C34,'PORTIFÓLIO'!C:V,3,0),"")</f>
        <v/>
      </c>
      <c r="F34" s="211" t="str">
        <f>IFERROR(VLOOKUP($C34,'PORTIFÓLIO'!C:V,4,0),"")</f>
        <v/>
      </c>
      <c r="G34" s="215" t="str">
        <f>IFERROR(VLOOKUP($C34,'PORTIFÓLIO'!C:V,5,0),"")</f>
        <v/>
      </c>
      <c r="H34" s="254" t="str">
        <f t="array" ref="H34">IFERROR(INDEX('PORTIFÓLIO'!$H$4:$H$433,MATCH($C34,'PORTIFÓLIO'!$C$4:$C$433,0)),"")</f>
        <v/>
      </c>
      <c r="I34" s="255"/>
      <c r="J34" s="218">
        <f t="shared" si="4"/>
        <v>0</v>
      </c>
      <c r="K34" s="219" t="str">
        <f t="array" ref="K34">IFERROR(I34*INDEX('PORTIFÓLIO'!$S$4:$S$433,MATCH($C34,'PORTIFÓLIO'!$C$4:$C$433,0)),"")</f>
        <v/>
      </c>
      <c r="L34" s="219" t="str">
        <f t="array" ref="L34">IFERROR(J34*INDEX('PORTIFÓLIO'!$S$4:$S$433,MATCH($C34,'PORTIFÓLIO'!$C$4:$C$433,0)),"")</f>
        <v/>
      </c>
      <c r="M34" s="220"/>
      <c r="N34" s="220"/>
      <c r="O34" s="220"/>
      <c r="P34" s="220"/>
      <c r="Q34" s="220"/>
      <c r="R34" s="220"/>
      <c r="S34" s="220"/>
      <c r="T34" s="220"/>
      <c r="U34" s="220"/>
      <c r="V34" s="220"/>
      <c r="W34" s="220"/>
    </row>
    <row r="35" ht="15.75" customHeight="1" outlineLevel="1">
      <c r="A35" s="211"/>
      <c r="B35" s="212"/>
      <c r="C35" s="213"/>
      <c r="D35" s="214" t="str">
        <f>IFERROR(VLOOKUP($C35,'PORTIFÓLIO'!C:V,2,0),"")</f>
        <v/>
      </c>
      <c r="E35" s="211" t="str">
        <f>IFERROR(VLOOKUP($C35,'PORTIFÓLIO'!C:V,3,0),"")</f>
        <v/>
      </c>
      <c r="F35" s="211" t="str">
        <f>IFERROR(VLOOKUP($C35,'PORTIFÓLIO'!C:V,4,0),"")</f>
        <v/>
      </c>
      <c r="G35" s="215" t="str">
        <f>IFERROR(VLOOKUP($C35,'PORTIFÓLIO'!C:V,5,0),"")</f>
        <v/>
      </c>
      <c r="H35" s="254" t="str">
        <f t="array" ref="H35">IFERROR(INDEX('PORTIFÓLIO'!$H$4:$H$433,MATCH($C35,'PORTIFÓLIO'!$C$4:$C$433,0)),"")</f>
        <v/>
      </c>
      <c r="I35" s="256"/>
      <c r="J35" s="218">
        <f t="shared" si="4"/>
        <v>0</v>
      </c>
      <c r="K35" s="219" t="str">
        <f t="array" ref="K35">IFERROR(I35*INDEX('PORTIFÓLIO'!$S$4:$S$433,MATCH($C35,'PORTIFÓLIO'!$C$4:$C$433,0)),"")</f>
        <v/>
      </c>
      <c r="L35" s="219" t="str">
        <f t="array" ref="L35">IFERROR(J35*INDEX('PORTIFÓLIO'!$S$4:$S$433,MATCH($C35,'PORTIFÓLIO'!$C$4:$C$433,0)),"")</f>
        <v/>
      </c>
      <c r="M35" s="220"/>
      <c r="N35" s="220"/>
      <c r="O35" s="220"/>
      <c r="P35" s="220"/>
      <c r="Q35" s="220"/>
      <c r="R35" s="220"/>
      <c r="S35" s="220"/>
      <c r="T35" s="220"/>
      <c r="U35" s="220"/>
      <c r="V35" s="220"/>
      <c r="W35" s="220"/>
    </row>
    <row r="36" ht="15.75" customHeight="1" outlineLevel="1">
      <c r="A36" s="211"/>
      <c r="B36" s="212"/>
      <c r="C36" s="213"/>
      <c r="D36" s="214" t="str">
        <f>IFERROR(VLOOKUP($C36,'PORTIFÓLIO'!C:V,2,0),"")</f>
        <v/>
      </c>
      <c r="E36" s="211" t="str">
        <f>IFERROR(VLOOKUP($C36,'PORTIFÓLIO'!C:V,3,0),"")</f>
        <v/>
      </c>
      <c r="F36" s="211" t="str">
        <f>IFERROR(VLOOKUP($C36,'PORTIFÓLIO'!C:V,4,0),"")</f>
        <v/>
      </c>
      <c r="G36" s="215" t="str">
        <f>IFERROR(VLOOKUP($C36,'PORTIFÓLIO'!C:V,5,0),"")</f>
        <v/>
      </c>
      <c r="H36" s="254" t="str">
        <f t="array" ref="H36">IFERROR(INDEX('PORTIFÓLIO'!$H$4:$H$433,MATCH($C36,'PORTIFÓLIO'!$C$4:$C$433,0)),"")</f>
        <v/>
      </c>
      <c r="I36" s="256"/>
      <c r="J36" s="218">
        <f t="shared" si="4"/>
        <v>0</v>
      </c>
      <c r="K36" s="219" t="str">
        <f t="array" ref="K36">IFERROR(I36*INDEX('PORTIFÓLIO'!$S$4:$S$433,MATCH($C36,'PORTIFÓLIO'!$C$4:$C$433,0)),"")</f>
        <v/>
      </c>
      <c r="L36" s="219" t="str">
        <f t="array" ref="L36">IFERROR(J36*INDEX('PORTIFÓLIO'!$S$4:$S$433,MATCH($C36,'PORTIFÓLIO'!$C$4:$C$433,0)),"")</f>
        <v/>
      </c>
      <c r="M36" s="220"/>
      <c r="N36" s="220"/>
      <c r="O36" s="220"/>
      <c r="P36" s="220"/>
      <c r="Q36" s="220"/>
      <c r="R36" s="220"/>
      <c r="S36" s="220"/>
      <c r="T36" s="220"/>
      <c r="U36" s="220"/>
      <c r="V36" s="220"/>
      <c r="W36" s="220"/>
    </row>
    <row r="37" ht="15.75" customHeight="1" outlineLevel="1">
      <c r="A37" s="211"/>
      <c r="B37" s="212"/>
      <c r="C37" s="213"/>
      <c r="D37" s="214" t="str">
        <f>IFERROR(VLOOKUP($C37,'PORTIFÓLIO'!C:V,2,0),"")</f>
        <v/>
      </c>
      <c r="E37" s="211" t="str">
        <f>IFERROR(VLOOKUP($C37,'PORTIFÓLIO'!C:V,3,0),"")</f>
        <v/>
      </c>
      <c r="F37" s="211" t="str">
        <f>IFERROR(VLOOKUP($C37,'PORTIFÓLIO'!C:V,4,0),"")</f>
        <v/>
      </c>
      <c r="G37" s="215" t="str">
        <f>IFERROR(VLOOKUP($C37,'PORTIFÓLIO'!C:V,5,0),"")</f>
        <v/>
      </c>
      <c r="H37" s="254" t="str">
        <f t="array" ref="H37">IFERROR(INDEX('PORTIFÓLIO'!$H$4:$H$433,MATCH($C37,'PORTIFÓLIO'!$C$4:$C$433,0)),"")</f>
        <v/>
      </c>
      <c r="I37" s="256"/>
      <c r="J37" s="218">
        <f t="shared" si="4"/>
        <v>0</v>
      </c>
      <c r="K37" s="219" t="str">
        <f t="array" ref="K37">IFERROR(I37*INDEX('PORTIFÓLIO'!$S$4:$S$433,MATCH($C37,'PORTIFÓLIO'!$C$4:$C$433,0)),"")</f>
        <v/>
      </c>
      <c r="L37" s="219" t="str">
        <f t="array" ref="L37">IFERROR(J37*INDEX('PORTIFÓLIO'!$S$4:$S$433,MATCH($C37,'PORTIFÓLIO'!$C$4:$C$433,0)),"")</f>
        <v/>
      </c>
      <c r="M37" s="220"/>
      <c r="N37" s="220"/>
      <c r="O37" s="220"/>
      <c r="P37" s="220"/>
      <c r="Q37" s="220"/>
      <c r="R37" s="220"/>
      <c r="S37" s="220"/>
      <c r="T37" s="220"/>
      <c r="U37" s="220"/>
      <c r="V37" s="220"/>
      <c r="W37" s="220"/>
    </row>
    <row r="38" ht="15.75" customHeight="1" outlineLevel="1">
      <c r="A38" s="211"/>
      <c r="B38" s="212"/>
      <c r="C38" s="213"/>
      <c r="D38" s="214" t="str">
        <f>IFERROR(VLOOKUP($C38,'PORTIFÓLIO'!C:V,2,0),"")</f>
        <v/>
      </c>
      <c r="E38" s="211" t="str">
        <f>IFERROR(VLOOKUP($C38,'PORTIFÓLIO'!C:V,3,0),"")</f>
        <v/>
      </c>
      <c r="F38" s="211" t="str">
        <f>IFERROR(VLOOKUP($C38,'PORTIFÓLIO'!C:V,4,0),"")</f>
        <v/>
      </c>
      <c r="G38" s="215" t="str">
        <f>IFERROR(VLOOKUP($C38,'PORTIFÓLIO'!C:V,5,0),"")</f>
        <v/>
      </c>
      <c r="H38" s="254" t="str">
        <f t="array" ref="H38">IFERROR(INDEX('PORTIFÓLIO'!$H$4:$H$433,MATCH($C38,'PORTIFÓLIO'!$C$4:$C$433,0)),"")</f>
        <v/>
      </c>
      <c r="I38" s="256"/>
      <c r="J38" s="218">
        <f t="shared" si="4"/>
        <v>0</v>
      </c>
      <c r="K38" s="219" t="str">
        <f t="array" ref="K38">IFERROR(I38*INDEX('PORTIFÓLIO'!$S$4:$S$433,MATCH($C38,'PORTIFÓLIO'!$C$4:$C$433,0)),"")</f>
        <v/>
      </c>
      <c r="L38" s="219" t="str">
        <f t="array" ref="L38">IFERROR(J38*INDEX('PORTIFÓLIO'!$S$4:$S$433,MATCH($C38,'PORTIFÓLIO'!$C$4:$C$433,0)),"")</f>
        <v/>
      </c>
      <c r="M38" s="220"/>
      <c r="N38" s="220"/>
      <c r="O38" s="220"/>
      <c r="P38" s="220"/>
      <c r="Q38" s="220"/>
      <c r="R38" s="220"/>
      <c r="S38" s="220"/>
      <c r="T38" s="220"/>
      <c r="U38" s="220"/>
      <c r="V38" s="220"/>
      <c r="W38" s="220"/>
    </row>
    <row r="39" ht="15.75" customHeight="1" outlineLevel="1">
      <c r="A39" s="211"/>
      <c r="B39" s="212"/>
      <c r="C39" s="213"/>
      <c r="D39" s="214" t="str">
        <f>IFERROR(VLOOKUP($C39,'PORTIFÓLIO'!C:V,2,0),"")</f>
        <v/>
      </c>
      <c r="E39" s="211" t="str">
        <f>IFERROR(VLOOKUP($C39,'PORTIFÓLIO'!C:V,3,0),"")</f>
        <v/>
      </c>
      <c r="F39" s="211" t="str">
        <f>IFERROR(VLOOKUP($C39,'PORTIFÓLIO'!C:V,4,0),"")</f>
        <v/>
      </c>
      <c r="G39" s="215" t="str">
        <f>IFERROR(VLOOKUP($C39,'PORTIFÓLIO'!C:V,5,0),"")</f>
        <v/>
      </c>
      <c r="H39" s="254" t="str">
        <f t="array" ref="H39">IFERROR(INDEX('PORTIFÓLIO'!$H$4:$H$433,MATCH($C39,'PORTIFÓLIO'!$C$4:$C$433,0)),"")</f>
        <v/>
      </c>
      <c r="I39" s="256"/>
      <c r="J39" s="218">
        <f t="shared" si="4"/>
        <v>0</v>
      </c>
      <c r="K39" s="219" t="str">
        <f t="array" ref="K39">IFERROR(I39*INDEX('PORTIFÓLIO'!$S$4:$S$433,MATCH($C39,'PORTIFÓLIO'!$C$4:$C$433,0)),"")</f>
        <v/>
      </c>
      <c r="L39" s="219" t="str">
        <f t="array" ref="L39">IFERROR(J39*INDEX('PORTIFÓLIO'!$S$4:$S$433,MATCH($C39,'PORTIFÓLIO'!$C$4:$C$433,0)),"")</f>
        <v/>
      </c>
      <c r="M39" s="220"/>
      <c r="N39" s="220"/>
      <c r="O39" s="220"/>
      <c r="P39" s="220"/>
      <c r="Q39" s="220"/>
      <c r="R39" s="220"/>
      <c r="S39" s="220"/>
      <c r="T39" s="220"/>
      <c r="U39" s="220"/>
      <c r="V39" s="220"/>
      <c r="W39" s="220"/>
    </row>
    <row r="40" ht="15.75" customHeight="1" outlineLevel="1">
      <c r="A40" s="211"/>
      <c r="B40" s="212"/>
      <c r="C40" s="213"/>
      <c r="D40" s="214" t="str">
        <f>IFERROR(VLOOKUP($C40,'PORTIFÓLIO'!C:V,2,0),"")</f>
        <v/>
      </c>
      <c r="E40" s="211" t="str">
        <f>IFERROR(VLOOKUP($C40,'PORTIFÓLIO'!C:V,3,0),"")</f>
        <v/>
      </c>
      <c r="F40" s="211" t="str">
        <f>IFERROR(VLOOKUP($C40,'PORTIFÓLIO'!C:V,4,0),"")</f>
        <v/>
      </c>
      <c r="G40" s="215" t="str">
        <f>IFERROR(VLOOKUP($C40,'PORTIFÓLIO'!C:V,5,0),"")</f>
        <v/>
      </c>
      <c r="H40" s="254" t="str">
        <f t="array" ref="H40">IFERROR(INDEX('PORTIFÓLIO'!$H$4:$H$433,MATCH($C40,'PORTIFÓLIO'!$C$4:$C$433,0)),"")</f>
        <v/>
      </c>
      <c r="I40" s="256"/>
      <c r="J40" s="218">
        <f t="shared" si="4"/>
        <v>0</v>
      </c>
      <c r="K40" s="219" t="str">
        <f t="array" ref="K40">IFERROR(I40*INDEX('PORTIFÓLIO'!$S$4:$S$433,MATCH($C40,'PORTIFÓLIO'!$C$4:$C$433,0)),"")</f>
        <v/>
      </c>
      <c r="L40" s="219" t="str">
        <f t="array" ref="L40">IFERROR(J40*INDEX('PORTIFÓLIO'!$S$4:$S$433,MATCH($C40,'PORTIFÓLIO'!$C$4:$C$433,0)),"")</f>
        <v/>
      </c>
      <c r="M40" s="220"/>
      <c r="N40" s="220"/>
      <c r="O40" s="220"/>
      <c r="P40" s="220"/>
      <c r="Q40" s="220"/>
      <c r="R40" s="220"/>
      <c r="S40" s="220"/>
      <c r="T40" s="220"/>
      <c r="U40" s="220"/>
      <c r="V40" s="220"/>
      <c r="W40" s="220"/>
    </row>
    <row r="41" ht="15.75" customHeight="1" outlineLevel="1">
      <c r="A41" s="211"/>
      <c r="B41" s="212"/>
      <c r="C41" s="213"/>
      <c r="D41" s="214" t="str">
        <f>IFERROR(VLOOKUP($C41,'PORTIFÓLIO'!C:V,2,0),"")</f>
        <v/>
      </c>
      <c r="E41" s="211" t="str">
        <f>IFERROR(VLOOKUP($C41,'PORTIFÓLIO'!C:V,3,0),"")</f>
        <v/>
      </c>
      <c r="F41" s="211" t="str">
        <f>IFERROR(VLOOKUP($C41,'PORTIFÓLIO'!C:V,4,0),"")</f>
        <v/>
      </c>
      <c r="G41" s="215" t="str">
        <f>IFERROR(VLOOKUP($C41,'PORTIFÓLIO'!C:V,5,0),"")</f>
        <v/>
      </c>
      <c r="H41" s="254" t="str">
        <f t="array" ref="H41">IFERROR(INDEX('PORTIFÓLIO'!$H$4:$H$433,MATCH($C41,'PORTIFÓLIO'!$C$4:$C$433,0)),"")</f>
        <v/>
      </c>
      <c r="I41" s="256"/>
      <c r="J41" s="218">
        <f t="shared" si="4"/>
        <v>0</v>
      </c>
      <c r="K41" s="219" t="str">
        <f t="array" ref="K41">IFERROR(I41*INDEX('PORTIFÓLIO'!$S$4:$S$433,MATCH($C41,'PORTIFÓLIO'!$C$4:$C$433,0)),"")</f>
        <v/>
      </c>
      <c r="L41" s="219" t="str">
        <f t="array" ref="L41">IFERROR(J41*INDEX('PORTIFÓLIO'!$S$4:$S$433,MATCH($C41,'PORTIFÓLIO'!$C$4:$C$433,0)),"")</f>
        <v/>
      </c>
      <c r="M41" s="220"/>
      <c r="N41" s="220"/>
      <c r="O41" s="220"/>
      <c r="P41" s="220"/>
      <c r="Q41" s="220"/>
      <c r="R41" s="220"/>
      <c r="S41" s="220"/>
      <c r="T41" s="220"/>
      <c r="U41" s="220"/>
      <c r="V41" s="220"/>
      <c r="W41" s="220"/>
    </row>
    <row r="42" ht="15.75" customHeight="1" outlineLevel="1">
      <c r="A42" s="211"/>
      <c r="B42" s="212"/>
      <c r="C42" s="213"/>
      <c r="D42" s="214" t="str">
        <f>IFERROR(VLOOKUP($C42,'PORTIFÓLIO'!C:V,2,0),"")</f>
        <v/>
      </c>
      <c r="E42" s="211" t="str">
        <f>IFERROR(VLOOKUP($C42,'PORTIFÓLIO'!C:V,3,0),"")</f>
        <v/>
      </c>
      <c r="F42" s="211" t="str">
        <f>IFERROR(VLOOKUP($C42,'PORTIFÓLIO'!C:V,4,0),"")</f>
        <v/>
      </c>
      <c r="G42" s="215" t="str">
        <f>IFERROR(VLOOKUP($C42,'PORTIFÓLIO'!C:V,5,0),"")</f>
        <v/>
      </c>
      <c r="H42" s="254" t="str">
        <f t="array" ref="H42">IFERROR(INDEX('PORTIFÓLIO'!$H$4:$H$433,MATCH($C42,'PORTIFÓLIO'!$C$4:$C$433,0)),"")</f>
        <v/>
      </c>
      <c r="I42" s="256"/>
      <c r="J42" s="218">
        <f t="shared" si="4"/>
        <v>0</v>
      </c>
      <c r="K42" s="219" t="str">
        <f t="array" ref="K42">IFERROR(I42*INDEX('PORTIFÓLIO'!$S$4:$S$433,MATCH($C42,'PORTIFÓLIO'!$C$4:$C$433,0)),"")</f>
        <v/>
      </c>
      <c r="L42" s="219" t="str">
        <f t="array" ref="L42">IFERROR(J42*INDEX('PORTIFÓLIO'!$S$4:$S$433,MATCH($C42,'PORTIFÓLIO'!$C$4:$C$433,0)),"")</f>
        <v/>
      </c>
      <c r="M42" s="220"/>
      <c r="N42" s="220"/>
      <c r="O42" s="220"/>
      <c r="P42" s="220"/>
      <c r="Q42" s="220"/>
      <c r="R42" s="220"/>
      <c r="S42" s="220"/>
      <c r="T42" s="220"/>
      <c r="U42" s="220"/>
      <c r="V42" s="220"/>
      <c r="W42" s="220"/>
    </row>
    <row r="43" ht="15.75" customHeight="1" outlineLevel="1">
      <c r="A43" s="211"/>
      <c r="B43" s="212"/>
      <c r="C43" s="213"/>
      <c r="D43" s="214" t="str">
        <f>IFERROR(VLOOKUP($C43,'PORTIFÓLIO'!C:V,2,0),"")</f>
        <v/>
      </c>
      <c r="E43" s="211" t="str">
        <f>IFERROR(VLOOKUP($C43,'PORTIFÓLIO'!C:V,3,0),"")</f>
        <v/>
      </c>
      <c r="F43" s="211" t="str">
        <f>IFERROR(VLOOKUP($C43,'PORTIFÓLIO'!C:V,4,0),"")</f>
        <v/>
      </c>
      <c r="G43" s="215" t="str">
        <f>IFERROR(VLOOKUP($C43,'PORTIFÓLIO'!C:V,5,0),"")</f>
        <v/>
      </c>
      <c r="H43" s="254" t="str">
        <f t="array" ref="H43">IFERROR(INDEX('PORTIFÓLIO'!$H$4:$H$433,MATCH($C43,'PORTIFÓLIO'!$C$4:$C$433,0)),"")</f>
        <v/>
      </c>
      <c r="I43" s="256"/>
      <c r="J43" s="218">
        <f t="shared" si="4"/>
        <v>0</v>
      </c>
      <c r="K43" s="219" t="str">
        <f t="array" ref="K43">IFERROR(I43*INDEX('PORTIFÓLIO'!$S$4:$S$433,MATCH($C43,'PORTIFÓLIO'!$C$4:$C$433,0)),"")</f>
        <v/>
      </c>
      <c r="L43" s="219" t="str">
        <f t="array" ref="L43">IFERROR(J43*INDEX('PORTIFÓLIO'!$S$4:$S$433,MATCH($C43,'PORTIFÓLIO'!$C$4:$C$433,0)),"")</f>
        <v/>
      </c>
      <c r="M43" s="220"/>
      <c r="N43" s="220"/>
      <c r="O43" s="220"/>
      <c r="P43" s="220"/>
      <c r="Q43" s="220"/>
      <c r="R43" s="220"/>
      <c r="S43" s="220"/>
      <c r="T43" s="220"/>
      <c r="U43" s="220"/>
      <c r="V43" s="220"/>
      <c r="W43" s="220"/>
    </row>
    <row r="44" ht="15.75" customHeight="1">
      <c r="A44" s="229" t="s">
        <v>1185</v>
      </c>
      <c r="B44" s="230"/>
      <c r="C44" s="231"/>
      <c r="D44" s="232" t="s">
        <v>216</v>
      </c>
      <c r="E44" s="231"/>
      <c r="F44" s="231"/>
      <c r="G44" s="233"/>
      <c r="H44" s="233"/>
      <c r="I44" s="258"/>
      <c r="J44" s="236"/>
      <c r="K44" s="237">
        <f t="shared" ref="K44:L44" si="5">SUBTOTAL(9,K45:K58)</f>
        <v>0</v>
      </c>
      <c r="L44" s="237">
        <f t="shared" si="5"/>
        <v>0</v>
      </c>
      <c r="M44" s="220"/>
      <c r="N44" s="220"/>
      <c r="O44" s="220"/>
      <c r="P44" s="220"/>
      <c r="Q44" s="220"/>
      <c r="R44" s="220"/>
      <c r="S44" s="220"/>
      <c r="T44" s="220"/>
      <c r="U44" s="220"/>
      <c r="V44" s="220"/>
      <c r="W44" s="220"/>
    </row>
    <row r="45" ht="15.75" customHeight="1" outlineLevel="1">
      <c r="A45" s="213"/>
      <c r="B45" s="212" t="s">
        <v>5</v>
      </c>
      <c r="C45" s="213" t="s">
        <v>1067</v>
      </c>
      <c r="D45" s="214" t="str">
        <f>IFERROR(VLOOKUP($C45,'PORTIFÓLIO'!C:V,2,0),"")</f>
        <v/>
      </c>
      <c r="E45" s="211" t="str">
        <f>IFERROR(VLOOKUP($C45,'PORTIFÓLIO'!C:V,3,0),"")</f>
        <v/>
      </c>
      <c r="F45" s="211" t="str">
        <f>IFERROR(VLOOKUP($C45,'PORTIFÓLIO'!C:V,4,0),"")</f>
        <v>KG</v>
      </c>
      <c r="G45" s="225" t="str">
        <f>IFERROR(VLOOKUP($C45,'PORTIFÓLIO'!C:V,5,0),"")</f>
        <v>📄 Ver bula</v>
      </c>
      <c r="H45" s="254" t="str">
        <f t="array" ref="H45">IFERROR(INDEX('PORTIFÓLIO'!$H$4:$H$433,MATCH($C45,'PORTIFÓLIO'!$C$4:$C$433,0)),"")</f>
        <v/>
      </c>
      <c r="I45" s="255">
        <v>3.0</v>
      </c>
      <c r="J45" s="218">
        <f t="shared" ref="J45:J62" si="6">I45*$B$2</f>
        <v>420</v>
      </c>
      <c r="K45" s="219">
        <f t="array" ref="K45">IFERROR(I45*INDEX('PORTIFÓLIO'!$S$4:$S$433,MATCH($C45,'PORTIFÓLIO'!$C$4:$C$433,0)),"")</f>
        <v>0</v>
      </c>
      <c r="L45" s="219">
        <f t="array" ref="L45">IFERROR(J45*INDEX('PORTIFÓLIO'!$S$4:$S$433,MATCH($C45,'PORTIFÓLIO'!$C$4:$C$433,0)),"")</f>
        <v>0</v>
      </c>
      <c r="M45" s="220"/>
      <c r="N45" s="220"/>
      <c r="O45" s="220"/>
      <c r="P45" s="220"/>
      <c r="Q45" s="220"/>
      <c r="R45" s="220"/>
      <c r="S45" s="220"/>
      <c r="T45" s="220"/>
      <c r="U45" s="220"/>
      <c r="V45" s="220"/>
      <c r="W45" s="220"/>
    </row>
    <row r="46" ht="15.75" customHeight="1" outlineLevel="1">
      <c r="A46" s="211"/>
      <c r="B46" s="212"/>
      <c r="C46" s="213"/>
      <c r="D46" s="214" t="str">
        <f>IFERROR(VLOOKUP($C46,'PORTIFÓLIO'!C:V,2,0),"")</f>
        <v/>
      </c>
      <c r="E46" s="211" t="str">
        <f>IFERROR(VLOOKUP($C46,'PORTIFÓLIO'!C:V,3,0),"")</f>
        <v/>
      </c>
      <c r="F46" s="211" t="str">
        <f>IFERROR(VLOOKUP($C46,'PORTIFÓLIO'!C:V,4,0),"")</f>
        <v/>
      </c>
      <c r="G46" s="215" t="str">
        <f>IFERROR(VLOOKUP($C46,'PORTIFÓLIO'!C:V,5,0),"")</f>
        <v/>
      </c>
      <c r="H46" s="254" t="str">
        <f t="array" ref="H46">IFERROR(INDEX('PORTIFÓLIO'!$H$4:$H$433,MATCH($C46,'PORTIFÓLIO'!$C$4:$C$433,0)),"")</f>
        <v/>
      </c>
      <c r="I46" s="255"/>
      <c r="J46" s="218">
        <f t="shared" si="6"/>
        <v>0</v>
      </c>
      <c r="K46" s="219" t="str">
        <f t="array" ref="K46">IFERROR(I46*INDEX('PORTIFÓLIO'!$S$4:$S$433,MATCH($C46,'PORTIFÓLIO'!$C$4:$C$433,0)),"")</f>
        <v/>
      </c>
      <c r="L46" s="219" t="str">
        <f t="array" ref="L46">IFERROR(J46*INDEX('PORTIFÓLIO'!$S$4:$S$433,MATCH($C46,'PORTIFÓLIO'!$C$4:$C$433,0)),"")</f>
        <v/>
      </c>
      <c r="M46" s="220"/>
      <c r="N46" s="220"/>
      <c r="O46" s="220"/>
      <c r="P46" s="220"/>
      <c r="Q46" s="220"/>
      <c r="R46" s="220"/>
      <c r="S46" s="220"/>
      <c r="T46" s="220"/>
      <c r="U46" s="220"/>
      <c r="V46" s="220"/>
      <c r="W46" s="220"/>
    </row>
    <row r="47" ht="15.75" customHeight="1" outlineLevel="1">
      <c r="A47" s="211"/>
      <c r="B47" s="212"/>
      <c r="C47" s="213"/>
      <c r="D47" s="214" t="str">
        <f>IFERROR(VLOOKUP($C47,'PORTIFÓLIO'!C:V,2,0),"")</f>
        <v/>
      </c>
      <c r="E47" s="211" t="str">
        <f>IFERROR(VLOOKUP($C47,'PORTIFÓLIO'!C:V,3,0),"")</f>
        <v/>
      </c>
      <c r="F47" s="211" t="str">
        <f>IFERROR(VLOOKUP($C47,'PORTIFÓLIO'!C:V,4,0),"")</f>
        <v/>
      </c>
      <c r="G47" s="215" t="str">
        <f>IFERROR(VLOOKUP($C47,'PORTIFÓLIO'!C:V,5,0),"")</f>
        <v/>
      </c>
      <c r="H47" s="254" t="str">
        <f t="array" ref="H47">IFERROR(INDEX('PORTIFÓLIO'!$H$4:$H$433,MATCH($C47,'PORTIFÓLIO'!$C$4:$C$433,0)),"")</f>
        <v/>
      </c>
      <c r="I47" s="255"/>
      <c r="J47" s="218">
        <f t="shared" si="6"/>
        <v>0</v>
      </c>
      <c r="K47" s="219" t="str">
        <f t="array" ref="K47">IFERROR(I47*INDEX('PORTIFÓLIO'!$S$4:$S$433,MATCH($C47,'PORTIFÓLIO'!$C$4:$C$433,0)),"")</f>
        <v/>
      </c>
      <c r="L47" s="219" t="str">
        <f t="array" ref="L47">IFERROR(J47*INDEX('PORTIFÓLIO'!$S$4:$S$433,MATCH($C47,'PORTIFÓLIO'!$C$4:$C$433,0)),"")</f>
        <v/>
      </c>
      <c r="M47" s="220"/>
      <c r="N47" s="220"/>
      <c r="O47" s="220"/>
      <c r="P47" s="220"/>
      <c r="Q47" s="220"/>
      <c r="R47" s="220"/>
      <c r="S47" s="220"/>
      <c r="T47" s="220"/>
      <c r="U47" s="220"/>
      <c r="V47" s="220"/>
      <c r="W47" s="220"/>
    </row>
    <row r="48" ht="15.75" customHeight="1" outlineLevel="1">
      <c r="A48" s="211"/>
      <c r="B48" s="212"/>
      <c r="C48" s="213"/>
      <c r="D48" s="214" t="str">
        <f>IFERROR(VLOOKUP($C48,'PORTIFÓLIO'!C:V,2,0),"")</f>
        <v/>
      </c>
      <c r="E48" s="211" t="str">
        <f>IFERROR(VLOOKUP($C48,'PORTIFÓLIO'!C:V,3,0),"")</f>
        <v/>
      </c>
      <c r="F48" s="211" t="str">
        <f>IFERROR(VLOOKUP($C48,'PORTIFÓLIO'!C:V,4,0),"")</f>
        <v/>
      </c>
      <c r="G48" s="215" t="str">
        <f>IFERROR(VLOOKUP($C48,'PORTIFÓLIO'!C:V,5,0),"")</f>
        <v/>
      </c>
      <c r="H48" s="254" t="str">
        <f t="array" ref="H48">IFERROR(INDEX('PORTIFÓLIO'!$H$4:$H$433,MATCH($C48,'PORTIFÓLIO'!$C$4:$C$433,0)),"")</f>
        <v/>
      </c>
      <c r="I48" s="255"/>
      <c r="J48" s="218">
        <f t="shared" si="6"/>
        <v>0</v>
      </c>
      <c r="K48" s="219" t="str">
        <f t="array" ref="K48">IFERROR(I48*INDEX('PORTIFÓLIO'!$S$4:$S$433,MATCH($C48,'PORTIFÓLIO'!$C$4:$C$433,0)),"")</f>
        <v/>
      </c>
      <c r="L48" s="219" t="str">
        <f t="array" ref="L48">IFERROR(J48*INDEX('PORTIFÓLIO'!$S$4:$S$433,MATCH($C48,'PORTIFÓLIO'!$C$4:$C$433,0)),"")</f>
        <v/>
      </c>
      <c r="M48" s="220"/>
      <c r="N48" s="220"/>
      <c r="O48" s="220"/>
      <c r="P48" s="220"/>
      <c r="Q48" s="220"/>
      <c r="R48" s="220"/>
      <c r="S48" s="220"/>
      <c r="T48" s="220"/>
      <c r="U48" s="220"/>
      <c r="V48" s="220"/>
      <c r="W48" s="220"/>
    </row>
    <row r="49" ht="15.75" customHeight="1" outlineLevel="1">
      <c r="A49" s="211"/>
      <c r="B49" s="212"/>
      <c r="C49" s="213"/>
      <c r="D49" s="214" t="str">
        <f>IFERROR(VLOOKUP($C49,'PORTIFÓLIO'!C:V,2,0),"")</f>
        <v/>
      </c>
      <c r="E49" s="211" t="str">
        <f>IFERROR(VLOOKUP($C49,'PORTIFÓLIO'!C:V,3,0),"")</f>
        <v/>
      </c>
      <c r="F49" s="211" t="str">
        <f>IFERROR(VLOOKUP($C49,'PORTIFÓLIO'!C:V,4,0),"")</f>
        <v/>
      </c>
      <c r="G49" s="215" t="str">
        <f>IFERROR(VLOOKUP($C49,'PORTIFÓLIO'!C:V,5,0),"")</f>
        <v/>
      </c>
      <c r="H49" s="254" t="str">
        <f t="array" ref="H49">IFERROR(INDEX('PORTIFÓLIO'!$H$4:$H$433,MATCH($C49,'PORTIFÓLIO'!$C$4:$C$433,0)),"")</f>
        <v/>
      </c>
      <c r="I49" s="256"/>
      <c r="J49" s="218">
        <f t="shared" si="6"/>
        <v>0</v>
      </c>
      <c r="K49" s="219" t="str">
        <f t="array" ref="K49">IFERROR(I49*INDEX('PORTIFÓLIO'!$S$4:$S$433,MATCH($C49,'PORTIFÓLIO'!$C$4:$C$433,0)),"")</f>
        <v/>
      </c>
      <c r="L49" s="219" t="str">
        <f t="array" ref="L49">IFERROR(J49*INDEX('PORTIFÓLIO'!$S$4:$S$433,MATCH($C49,'PORTIFÓLIO'!$C$4:$C$433,0)),"")</f>
        <v/>
      </c>
      <c r="M49" s="220"/>
      <c r="N49" s="220"/>
      <c r="O49" s="220"/>
      <c r="P49" s="220"/>
      <c r="Q49" s="220"/>
      <c r="R49" s="220"/>
      <c r="S49" s="220"/>
      <c r="T49" s="220"/>
      <c r="U49" s="220"/>
      <c r="V49" s="220"/>
      <c r="W49" s="220"/>
    </row>
    <row r="50" ht="15.75" customHeight="1" outlineLevel="1">
      <c r="A50" s="211"/>
      <c r="B50" s="212"/>
      <c r="C50" s="213"/>
      <c r="D50" s="214" t="str">
        <f>IFERROR(VLOOKUP($C50,'PORTIFÓLIO'!C:V,2,0),"")</f>
        <v/>
      </c>
      <c r="E50" s="211" t="str">
        <f>IFERROR(VLOOKUP($C50,'PORTIFÓLIO'!C:V,3,0),"")</f>
        <v/>
      </c>
      <c r="F50" s="211" t="str">
        <f>IFERROR(VLOOKUP($C50,'PORTIFÓLIO'!C:V,4,0),"")</f>
        <v/>
      </c>
      <c r="G50" s="215" t="str">
        <f>IFERROR(VLOOKUP($C50,'PORTIFÓLIO'!C:V,5,0),"")</f>
        <v/>
      </c>
      <c r="H50" s="254" t="str">
        <f t="array" ref="H50">IFERROR(INDEX('PORTIFÓLIO'!$H$4:$H$433,MATCH($C50,'PORTIFÓLIO'!$C$4:$C$433,0)),"")</f>
        <v/>
      </c>
      <c r="I50" s="256"/>
      <c r="J50" s="218">
        <f t="shared" si="6"/>
        <v>0</v>
      </c>
      <c r="K50" s="219" t="str">
        <f t="array" ref="K50">IFERROR(I50*INDEX('PORTIFÓLIO'!$S$4:$S$433,MATCH($C50,'PORTIFÓLIO'!$C$4:$C$433,0)),"")</f>
        <v/>
      </c>
      <c r="L50" s="219" t="str">
        <f t="array" ref="L50">IFERROR(J50*INDEX('PORTIFÓLIO'!$S$4:$S$433,MATCH($C50,'PORTIFÓLIO'!$C$4:$C$433,0)),"")</f>
        <v/>
      </c>
      <c r="M50" s="220"/>
      <c r="N50" s="220"/>
      <c r="O50" s="220"/>
      <c r="P50" s="220"/>
      <c r="Q50" s="220"/>
      <c r="R50" s="220"/>
      <c r="S50" s="220"/>
      <c r="T50" s="220"/>
      <c r="U50" s="220"/>
      <c r="V50" s="220"/>
      <c r="W50" s="220"/>
    </row>
    <row r="51" ht="15.75" customHeight="1" outlineLevel="1">
      <c r="A51" s="211"/>
      <c r="B51" s="212"/>
      <c r="C51" s="213"/>
      <c r="D51" s="214" t="str">
        <f>IFERROR(VLOOKUP($C51,'PORTIFÓLIO'!C:V,2,0),"")</f>
        <v/>
      </c>
      <c r="E51" s="211" t="str">
        <f>IFERROR(VLOOKUP($C51,'PORTIFÓLIO'!C:V,3,0),"")</f>
        <v/>
      </c>
      <c r="F51" s="211" t="str">
        <f>IFERROR(VLOOKUP($C51,'PORTIFÓLIO'!C:V,4,0),"")</f>
        <v/>
      </c>
      <c r="G51" s="215" t="str">
        <f>IFERROR(VLOOKUP($C51,'PORTIFÓLIO'!C:V,5,0),"")</f>
        <v/>
      </c>
      <c r="H51" s="254" t="str">
        <f t="array" ref="H51">IFERROR(INDEX('PORTIFÓLIO'!$H$4:$H$433,MATCH($C51,'PORTIFÓLIO'!$C$4:$C$433,0)),"")</f>
        <v/>
      </c>
      <c r="I51" s="256"/>
      <c r="J51" s="218">
        <f t="shared" si="6"/>
        <v>0</v>
      </c>
      <c r="K51" s="219" t="str">
        <f t="array" ref="K51">IFERROR(I51*INDEX('PORTIFÓLIO'!$S$4:$S$433,MATCH($C51,'PORTIFÓLIO'!$C$4:$C$433,0)),"")</f>
        <v/>
      </c>
      <c r="L51" s="219" t="str">
        <f t="array" ref="L51">IFERROR(J51*INDEX('PORTIFÓLIO'!$S$4:$S$433,MATCH($C51,'PORTIFÓLIO'!$C$4:$C$433,0)),"")</f>
        <v/>
      </c>
      <c r="M51" s="220"/>
      <c r="N51" s="220"/>
      <c r="O51" s="220"/>
      <c r="P51" s="220"/>
      <c r="Q51" s="220"/>
      <c r="R51" s="220"/>
      <c r="S51" s="220"/>
      <c r="T51" s="220"/>
      <c r="U51" s="220"/>
      <c r="V51" s="220"/>
      <c r="W51" s="220"/>
    </row>
    <row r="52" ht="15.75" customHeight="1" outlineLevel="1">
      <c r="A52" s="211"/>
      <c r="B52" s="212"/>
      <c r="C52" s="213"/>
      <c r="D52" s="214" t="str">
        <f>IFERROR(VLOOKUP($C52,'PORTIFÓLIO'!C:V,2,0),"")</f>
        <v/>
      </c>
      <c r="E52" s="211" t="str">
        <f>IFERROR(VLOOKUP($C52,'PORTIFÓLIO'!C:V,3,0),"")</f>
        <v/>
      </c>
      <c r="F52" s="211" t="str">
        <f>IFERROR(VLOOKUP($C52,'PORTIFÓLIO'!C:V,4,0),"")</f>
        <v/>
      </c>
      <c r="G52" s="215" t="str">
        <f>IFERROR(VLOOKUP($C52,'PORTIFÓLIO'!C:V,5,0),"")</f>
        <v/>
      </c>
      <c r="H52" s="254" t="str">
        <f t="array" ref="H52">IFERROR(INDEX('PORTIFÓLIO'!$H$4:$H$433,MATCH($C52,'PORTIFÓLIO'!$C$4:$C$433,0)),"")</f>
        <v/>
      </c>
      <c r="I52" s="256"/>
      <c r="J52" s="218">
        <f t="shared" si="6"/>
        <v>0</v>
      </c>
      <c r="K52" s="219" t="str">
        <f t="array" ref="K52">IFERROR(I52*INDEX('PORTIFÓLIO'!$S$4:$S$433,MATCH($C52,'PORTIFÓLIO'!$C$4:$C$433,0)),"")</f>
        <v/>
      </c>
      <c r="L52" s="219" t="str">
        <f t="array" ref="L52">IFERROR(J52*INDEX('PORTIFÓLIO'!$S$4:$S$433,MATCH($C52,'PORTIFÓLIO'!$C$4:$C$433,0)),"")</f>
        <v/>
      </c>
      <c r="M52" s="220"/>
      <c r="N52" s="220"/>
      <c r="O52" s="220"/>
      <c r="P52" s="220"/>
      <c r="Q52" s="220"/>
      <c r="R52" s="220"/>
      <c r="S52" s="220"/>
      <c r="T52" s="220"/>
      <c r="U52" s="220"/>
      <c r="V52" s="220"/>
      <c r="W52" s="220"/>
    </row>
    <row r="53" ht="15.75" customHeight="1" outlineLevel="1">
      <c r="A53" s="211"/>
      <c r="B53" s="212"/>
      <c r="C53" s="213"/>
      <c r="D53" s="214" t="str">
        <f>IFERROR(VLOOKUP($C53,'PORTIFÓLIO'!C:V,2,0),"")</f>
        <v/>
      </c>
      <c r="E53" s="211" t="str">
        <f>IFERROR(VLOOKUP($C53,'PORTIFÓLIO'!C:V,3,0),"")</f>
        <v/>
      </c>
      <c r="F53" s="211" t="str">
        <f>IFERROR(VLOOKUP($C53,'PORTIFÓLIO'!C:V,4,0),"")</f>
        <v/>
      </c>
      <c r="G53" s="215" t="str">
        <f>IFERROR(VLOOKUP($C53,'PORTIFÓLIO'!C:V,5,0),"")</f>
        <v/>
      </c>
      <c r="H53" s="254" t="str">
        <f t="array" ref="H53">IFERROR(INDEX('PORTIFÓLIO'!$H$4:$H$433,MATCH($C53,'PORTIFÓLIO'!$C$4:$C$433,0)),"")</f>
        <v/>
      </c>
      <c r="I53" s="255"/>
      <c r="J53" s="218">
        <f t="shared" si="6"/>
        <v>0</v>
      </c>
      <c r="K53" s="219" t="str">
        <f t="array" ref="K53">IFERROR(I53*INDEX('PORTIFÓLIO'!$S$4:$S$433,MATCH($C53,'PORTIFÓLIO'!$C$4:$C$433,0)),"")</f>
        <v/>
      </c>
      <c r="L53" s="219" t="str">
        <f t="array" ref="L53">IFERROR(J53*INDEX('PORTIFÓLIO'!$S$4:$S$433,MATCH($C53,'PORTIFÓLIO'!$C$4:$C$433,0)),"")</f>
        <v/>
      </c>
      <c r="M53" s="220"/>
      <c r="N53" s="220"/>
      <c r="O53" s="220"/>
      <c r="P53" s="220"/>
      <c r="Q53" s="220"/>
      <c r="R53" s="220"/>
      <c r="S53" s="220"/>
      <c r="T53" s="220"/>
      <c r="U53" s="220"/>
      <c r="V53" s="220"/>
      <c r="W53" s="220"/>
    </row>
    <row r="54" ht="15.75" customHeight="1" outlineLevel="1">
      <c r="A54" s="211"/>
      <c r="B54" s="212"/>
      <c r="C54" s="213"/>
      <c r="D54" s="214" t="str">
        <f>IFERROR(VLOOKUP($C54,'PORTIFÓLIO'!C:V,2,0),"")</f>
        <v/>
      </c>
      <c r="E54" s="211" t="str">
        <f>IFERROR(VLOOKUP($C54,'PORTIFÓLIO'!C:V,3,0),"")</f>
        <v/>
      </c>
      <c r="F54" s="211" t="str">
        <f>IFERROR(VLOOKUP($C54,'PORTIFÓLIO'!C:V,4,0),"")</f>
        <v/>
      </c>
      <c r="G54" s="215" t="str">
        <f>IFERROR(VLOOKUP($C54,'PORTIFÓLIO'!C:V,5,0),"")</f>
        <v/>
      </c>
      <c r="H54" s="254" t="str">
        <f t="array" ref="H54">IFERROR(INDEX('PORTIFÓLIO'!$H$4:$H$433,MATCH($C54,'PORTIFÓLIO'!$C$4:$C$433,0)),"")</f>
        <v/>
      </c>
      <c r="I54" s="256"/>
      <c r="J54" s="218">
        <f t="shared" si="6"/>
        <v>0</v>
      </c>
      <c r="K54" s="219" t="str">
        <f t="array" ref="K54">IFERROR(I54*INDEX('PORTIFÓLIO'!$S$4:$S$433,MATCH($C54,'PORTIFÓLIO'!$C$4:$C$433,0)),"")</f>
        <v/>
      </c>
      <c r="L54" s="219" t="str">
        <f t="array" ref="L54">IFERROR(J54*INDEX('PORTIFÓLIO'!$S$4:$S$433,MATCH($C54,'PORTIFÓLIO'!$C$4:$C$433,0)),"")</f>
        <v/>
      </c>
      <c r="M54" s="220"/>
      <c r="N54" s="220"/>
      <c r="O54" s="220"/>
      <c r="P54" s="220"/>
      <c r="Q54" s="220"/>
      <c r="R54" s="220"/>
      <c r="S54" s="220"/>
      <c r="T54" s="220"/>
      <c r="U54" s="220"/>
      <c r="V54" s="220"/>
      <c r="W54" s="220"/>
    </row>
    <row r="55" ht="15.75" customHeight="1" outlineLevel="1">
      <c r="A55" s="211"/>
      <c r="B55" s="212"/>
      <c r="C55" s="213"/>
      <c r="D55" s="214" t="str">
        <f>IFERROR(VLOOKUP($C55,'PORTIFÓLIO'!C:V,2,0),"")</f>
        <v/>
      </c>
      <c r="E55" s="211" t="str">
        <f>IFERROR(VLOOKUP($C55,'PORTIFÓLIO'!C:V,3,0),"")</f>
        <v/>
      </c>
      <c r="F55" s="211" t="str">
        <f>IFERROR(VLOOKUP($C55,'PORTIFÓLIO'!C:V,4,0),"")</f>
        <v/>
      </c>
      <c r="G55" s="215" t="str">
        <f>IFERROR(VLOOKUP($C55,'PORTIFÓLIO'!C:V,5,0),"")</f>
        <v/>
      </c>
      <c r="H55" s="254" t="str">
        <f t="array" ref="H55">IFERROR(INDEX('PORTIFÓLIO'!$H$4:$H$433,MATCH($C55,'PORTIFÓLIO'!$C$4:$C$433,0)),"")</f>
        <v/>
      </c>
      <c r="I55" s="256"/>
      <c r="J55" s="218">
        <f t="shared" si="6"/>
        <v>0</v>
      </c>
      <c r="K55" s="219" t="str">
        <f t="array" ref="K55">IFERROR(I55*INDEX('PORTIFÓLIO'!$S$4:$S$433,MATCH($C55,'PORTIFÓLIO'!$C$4:$C$433,0)),"")</f>
        <v/>
      </c>
      <c r="L55" s="219" t="str">
        <f t="array" ref="L55">IFERROR(J55*INDEX('PORTIFÓLIO'!$S$4:$S$433,MATCH($C55,'PORTIFÓLIO'!$C$4:$C$433,0)),"")</f>
        <v/>
      </c>
      <c r="M55" s="220"/>
      <c r="N55" s="220"/>
      <c r="O55" s="220"/>
      <c r="P55" s="220"/>
      <c r="Q55" s="220"/>
      <c r="R55" s="220"/>
      <c r="S55" s="220"/>
      <c r="T55" s="220"/>
      <c r="U55" s="220"/>
      <c r="V55" s="220"/>
      <c r="W55" s="220"/>
    </row>
    <row r="56" ht="15.75" customHeight="1" outlineLevel="1">
      <c r="A56" s="211"/>
      <c r="B56" s="212"/>
      <c r="C56" s="213"/>
      <c r="D56" s="214" t="str">
        <f>IFERROR(VLOOKUP($C56,'PORTIFÓLIO'!C:V,2,0),"")</f>
        <v/>
      </c>
      <c r="E56" s="211" t="str">
        <f>IFERROR(VLOOKUP($C56,'PORTIFÓLIO'!C:V,3,0),"")</f>
        <v/>
      </c>
      <c r="F56" s="211" t="str">
        <f>IFERROR(VLOOKUP($C56,'PORTIFÓLIO'!C:V,4,0),"")</f>
        <v/>
      </c>
      <c r="G56" s="215" t="str">
        <f>IFERROR(VLOOKUP($C56,'PORTIFÓLIO'!C:V,5,0),"")</f>
        <v/>
      </c>
      <c r="H56" s="254" t="str">
        <f t="array" ref="H56">IFERROR(INDEX('PORTIFÓLIO'!$H$4:$H$433,MATCH($C56,'PORTIFÓLIO'!$C$4:$C$433,0)),"")</f>
        <v/>
      </c>
      <c r="I56" s="256"/>
      <c r="J56" s="218">
        <f t="shared" si="6"/>
        <v>0</v>
      </c>
      <c r="K56" s="219" t="str">
        <f t="array" ref="K56">IFERROR(I56*INDEX('PORTIFÓLIO'!$S$4:$S$433,MATCH($C56,'PORTIFÓLIO'!$C$4:$C$433,0)),"")</f>
        <v/>
      </c>
      <c r="L56" s="219" t="str">
        <f t="array" ref="L56">IFERROR(J56*INDEX('PORTIFÓLIO'!$S$4:$S$433,MATCH($C56,'PORTIFÓLIO'!$C$4:$C$433,0)),"")</f>
        <v/>
      </c>
      <c r="M56" s="220"/>
      <c r="N56" s="220"/>
      <c r="O56" s="220"/>
      <c r="P56" s="220"/>
      <c r="Q56" s="220"/>
      <c r="R56" s="220"/>
      <c r="S56" s="220"/>
      <c r="T56" s="220"/>
      <c r="U56" s="220"/>
      <c r="V56" s="220"/>
      <c r="W56" s="220"/>
    </row>
    <row r="57" ht="15.75" customHeight="1" outlineLevel="1">
      <c r="A57" s="211"/>
      <c r="B57" s="212"/>
      <c r="C57" s="213"/>
      <c r="D57" s="214" t="str">
        <f>IFERROR(VLOOKUP($C57,'PORTIFÓLIO'!C:V,2,0),"")</f>
        <v/>
      </c>
      <c r="E57" s="211" t="str">
        <f>IFERROR(VLOOKUP($C57,'PORTIFÓLIO'!C:V,3,0),"")</f>
        <v/>
      </c>
      <c r="F57" s="211" t="str">
        <f>IFERROR(VLOOKUP($C57,'PORTIFÓLIO'!C:V,4,0),"")</f>
        <v/>
      </c>
      <c r="G57" s="215" t="str">
        <f>IFERROR(VLOOKUP($C57,'PORTIFÓLIO'!C:V,5,0),"")</f>
        <v/>
      </c>
      <c r="H57" s="254" t="str">
        <f t="array" ref="H57">IFERROR(INDEX('PORTIFÓLIO'!$H$4:$H$433,MATCH($C57,'PORTIFÓLIO'!$C$4:$C$433,0)),"")</f>
        <v/>
      </c>
      <c r="I57" s="256"/>
      <c r="J57" s="218">
        <f t="shared" si="6"/>
        <v>0</v>
      </c>
      <c r="K57" s="219" t="str">
        <f t="array" ref="K57">IFERROR(I57*INDEX('PORTIFÓLIO'!$S$4:$S$433,MATCH($C57,'PORTIFÓLIO'!$C$4:$C$433,0)),"")</f>
        <v/>
      </c>
      <c r="L57" s="219" t="str">
        <f t="array" ref="L57">IFERROR(J57*INDEX('PORTIFÓLIO'!$S$4:$S$433,MATCH($C57,'PORTIFÓLIO'!$C$4:$C$433,0)),"")</f>
        <v/>
      </c>
      <c r="M57" s="220"/>
      <c r="N57" s="220"/>
      <c r="O57" s="220"/>
      <c r="P57" s="220"/>
      <c r="Q57" s="220"/>
      <c r="R57" s="220"/>
      <c r="S57" s="220"/>
      <c r="T57" s="220"/>
      <c r="U57" s="220"/>
      <c r="V57" s="220"/>
      <c r="W57" s="220"/>
    </row>
    <row r="58" ht="15.75" customHeight="1" outlineLevel="1">
      <c r="A58" s="211"/>
      <c r="B58" s="212"/>
      <c r="C58" s="213"/>
      <c r="D58" s="214" t="str">
        <f>IFERROR(VLOOKUP($C58,'PORTIFÓLIO'!C:V,2,0),"")</f>
        <v/>
      </c>
      <c r="E58" s="211" t="str">
        <f>IFERROR(VLOOKUP($C58,'PORTIFÓLIO'!C:V,3,0),"")</f>
        <v/>
      </c>
      <c r="F58" s="211" t="str">
        <f>IFERROR(VLOOKUP($C58,'PORTIFÓLIO'!C:V,4,0),"")</f>
        <v/>
      </c>
      <c r="G58" s="215" t="str">
        <f>IFERROR(VLOOKUP($C58,'PORTIFÓLIO'!C:V,5,0),"")</f>
        <v/>
      </c>
      <c r="H58" s="254" t="str">
        <f t="array" ref="H58">IFERROR(INDEX('PORTIFÓLIO'!$H$4:$H$433,MATCH($C58,'PORTIFÓLIO'!$C$4:$C$433,0)),"")</f>
        <v/>
      </c>
      <c r="I58" s="256"/>
      <c r="J58" s="218">
        <f t="shared" si="6"/>
        <v>0</v>
      </c>
      <c r="K58" s="219" t="str">
        <f t="array" ref="K58">IFERROR(I58*INDEX('PORTIFÓLIO'!$S$4:$S$433,MATCH($C58,'PORTIFÓLIO'!$C$4:$C$433,0)),"")</f>
        <v/>
      </c>
      <c r="L58" s="219" t="str">
        <f t="array" ref="L58">IFERROR(J58*INDEX('PORTIFÓLIO'!$S$4:$S$433,MATCH($C58,'PORTIFÓLIO'!$C$4:$C$433,0)),"")</f>
        <v/>
      </c>
      <c r="M58" s="220"/>
      <c r="N58" s="220"/>
      <c r="O58" s="220"/>
      <c r="P58" s="220"/>
      <c r="Q58" s="220"/>
      <c r="R58" s="220"/>
      <c r="S58" s="220"/>
      <c r="T58" s="220"/>
      <c r="U58" s="220"/>
      <c r="V58" s="220"/>
      <c r="W58" s="220"/>
    </row>
    <row r="59" ht="15.75" customHeight="1" outlineLevel="1">
      <c r="A59" s="211"/>
      <c r="B59" s="212"/>
      <c r="C59" s="213"/>
      <c r="D59" s="214" t="str">
        <f>IFERROR(VLOOKUP($C59,'PORTIFÓLIO'!C:V,2,0),"")</f>
        <v/>
      </c>
      <c r="E59" s="211" t="str">
        <f>IFERROR(VLOOKUP($C59,'PORTIFÓLIO'!C:V,3,0),"")</f>
        <v/>
      </c>
      <c r="F59" s="211" t="str">
        <f>IFERROR(VLOOKUP($C59,'PORTIFÓLIO'!C:V,4,0),"")</f>
        <v/>
      </c>
      <c r="G59" s="215" t="str">
        <f>IFERROR(VLOOKUP($C59,'PORTIFÓLIO'!C:V,5,0),"")</f>
        <v/>
      </c>
      <c r="H59" s="254" t="str">
        <f t="array" ref="H59">IFERROR(INDEX('PORTIFÓLIO'!$H$4:$H$433,MATCH($C59,'PORTIFÓLIO'!$C$4:$C$433,0)),"")</f>
        <v/>
      </c>
      <c r="I59" s="256"/>
      <c r="J59" s="218">
        <f t="shared" si="6"/>
        <v>0</v>
      </c>
      <c r="K59" s="219" t="str">
        <f t="array" ref="K59">IFERROR(I59*INDEX('PORTIFÓLIO'!$S$4:$S$433,MATCH($C59,'PORTIFÓLIO'!$C$4:$C$433,0)),"")</f>
        <v/>
      </c>
      <c r="L59" s="219" t="str">
        <f t="array" ref="L59">IFERROR(J59*INDEX('PORTIFÓLIO'!$S$4:$S$433,MATCH($C59,'PORTIFÓLIO'!$C$4:$C$433,0)),"")</f>
        <v/>
      </c>
      <c r="M59" s="220"/>
      <c r="N59" s="220"/>
      <c r="O59" s="220"/>
      <c r="P59" s="220"/>
      <c r="Q59" s="220"/>
      <c r="R59" s="220"/>
      <c r="S59" s="220"/>
      <c r="T59" s="220"/>
      <c r="U59" s="220"/>
      <c r="V59" s="220"/>
      <c r="W59" s="220"/>
    </row>
    <row r="60" ht="15.75" customHeight="1" outlineLevel="1">
      <c r="A60" s="211"/>
      <c r="B60" s="212"/>
      <c r="C60" s="213"/>
      <c r="D60" s="214" t="str">
        <f>IFERROR(VLOOKUP($C60,'PORTIFÓLIO'!C:V,2,0),"")</f>
        <v/>
      </c>
      <c r="E60" s="211" t="str">
        <f>IFERROR(VLOOKUP($C60,'PORTIFÓLIO'!C:V,3,0),"")</f>
        <v/>
      </c>
      <c r="F60" s="211" t="str">
        <f>IFERROR(VLOOKUP($C60,'PORTIFÓLIO'!C:V,4,0),"")</f>
        <v/>
      </c>
      <c r="G60" s="215" t="str">
        <f>IFERROR(VLOOKUP($C60,'PORTIFÓLIO'!C:V,5,0),"")</f>
        <v/>
      </c>
      <c r="H60" s="254" t="str">
        <f t="array" ref="H60">IFERROR(INDEX('PORTIFÓLIO'!$H$4:$H$433,MATCH($C60,'PORTIFÓLIO'!$C$4:$C$433,0)),"")</f>
        <v/>
      </c>
      <c r="I60" s="256"/>
      <c r="J60" s="218">
        <f t="shared" si="6"/>
        <v>0</v>
      </c>
      <c r="K60" s="219" t="str">
        <f t="array" ref="K60">IFERROR(I60*INDEX('PORTIFÓLIO'!$S$4:$S$433,MATCH($C60,'PORTIFÓLIO'!$C$4:$C$433,0)),"")</f>
        <v/>
      </c>
      <c r="L60" s="219" t="str">
        <f t="array" ref="L60">IFERROR(J60*INDEX('PORTIFÓLIO'!$S$4:$S$433,MATCH($C60,'PORTIFÓLIO'!$C$4:$C$433,0)),"")</f>
        <v/>
      </c>
      <c r="M60" s="220"/>
      <c r="N60" s="220"/>
      <c r="O60" s="220"/>
      <c r="P60" s="220"/>
      <c r="Q60" s="220"/>
      <c r="R60" s="220"/>
      <c r="S60" s="220"/>
      <c r="T60" s="220"/>
      <c r="U60" s="220"/>
      <c r="V60" s="220"/>
      <c r="W60" s="220"/>
    </row>
    <row r="61" ht="15.75" customHeight="1" outlineLevel="1">
      <c r="A61" s="211"/>
      <c r="B61" s="212"/>
      <c r="C61" s="213"/>
      <c r="D61" s="214" t="str">
        <f>IFERROR(VLOOKUP($C61,'PORTIFÓLIO'!C:V,2,0),"")</f>
        <v/>
      </c>
      <c r="E61" s="211" t="str">
        <f>IFERROR(VLOOKUP($C61,'PORTIFÓLIO'!C:V,3,0),"")</f>
        <v/>
      </c>
      <c r="F61" s="211" t="str">
        <f>IFERROR(VLOOKUP($C61,'PORTIFÓLIO'!C:V,4,0),"")</f>
        <v/>
      </c>
      <c r="G61" s="215" t="str">
        <f>IFERROR(VLOOKUP($C61,'PORTIFÓLIO'!C:V,5,0),"")</f>
        <v/>
      </c>
      <c r="H61" s="254" t="str">
        <f t="array" ref="H61">IFERROR(INDEX('PORTIFÓLIO'!$H$4:$H$433,MATCH($C61,'PORTIFÓLIO'!$C$4:$C$433,0)),"")</f>
        <v/>
      </c>
      <c r="I61" s="256"/>
      <c r="J61" s="218">
        <f t="shared" si="6"/>
        <v>0</v>
      </c>
      <c r="K61" s="219" t="str">
        <f t="array" ref="K61">IFERROR(I61*INDEX('PORTIFÓLIO'!$S$4:$S$433,MATCH($C61,'PORTIFÓLIO'!$C$4:$C$433,0)),"")</f>
        <v/>
      </c>
      <c r="L61" s="219" t="str">
        <f t="array" ref="L61">IFERROR(J61*INDEX('PORTIFÓLIO'!$S$4:$S$433,MATCH($C61,'PORTIFÓLIO'!$C$4:$C$433,0)),"")</f>
        <v/>
      </c>
      <c r="M61" s="220"/>
      <c r="N61" s="220"/>
      <c r="O61" s="220"/>
      <c r="P61" s="220"/>
      <c r="Q61" s="220"/>
      <c r="R61" s="220"/>
      <c r="S61" s="220"/>
      <c r="T61" s="220"/>
      <c r="U61" s="220"/>
      <c r="V61" s="220"/>
      <c r="W61" s="220"/>
    </row>
    <row r="62" ht="15.75" customHeight="1" outlineLevel="1">
      <c r="A62" s="211"/>
      <c r="B62" s="212"/>
      <c r="C62" s="213"/>
      <c r="D62" s="214" t="str">
        <f>IFERROR(VLOOKUP($C62,'PORTIFÓLIO'!C:V,2,0),"")</f>
        <v/>
      </c>
      <c r="E62" s="211" t="str">
        <f>IFERROR(VLOOKUP($C62,'PORTIFÓLIO'!C:V,3,0),"")</f>
        <v/>
      </c>
      <c r="F62" s="211" t="str">
        <f>IFERROR(VLOOKUP($C62,'PORTIFÓLIO'!C:V,4,0),"")</f>
        <v/>
      </c>
      <c r="G62" s="215" t="str">
        <f>IFERROR(VLOOKUP($C62,'PORTIFÓLIO'!C:V,5,0),"")</f>
        <v/>
      </c>
      <c r="H62" s="254" t="str">
        <f t="array" ref="H62">IFERROR(INDEX('PORTIFÓLIO'!$H$4:$H$433,MATCH($C62,'PORTIFÓLIO'!$C$4:$C$433,0)),"")</f>
        <v/>
      </c>
      <c r="I62" s="256"/>
      <c r="J62" s="218">
        <f t="shared" si="6"/>
        <v>0</v>
      </c>
      <c r="K62" s="219" t="str">
        <f t="array" ref="K62">IFERROR(I62*INDEX('PORTIFÓLIO'!$S$4:$S$433,MATCH($C62,'PORTIFÓLIO'!$C$4:$C$433,0)),"")</f>
        <v/>
      </c>
      <c r="L62" s="219" t="str">
        <f t="array" ref="L62">IFERROR(J62*INDEX('PORTIFÓLIO'!$S$4:$S$433,MATCH($C62,'PORTIFÓLIO'!$C$4:$C$433,0)),"")</f>
        <v/>
      </c>
      <c r="M62" s="220"/>
      <c r="N62" s="220"/>
      <c r="O62" s="220"/>
      <c r="P62" s="220"/>
      <c r="Q62" s="220"/>
      <c r="R62" s="220"/>
      <c r="S62" s="220"/>
      <c r="T62" s="220"/>
      <c r="U62" s="220"/>
      <c r="V62" s="220"/>
      <c r="W62" s="220"/>
    </row>
    <row r="63" ht="15.75" customHeight="1">
      <c r="A63" s="229" t="s">
        <v>1186</v>
      </c>
      <c r="B63" s="230"/>
      <c r="C63" s="231"/>
      <c r="D63" s="232"/>
      <c r="E63" s="231"/>
      <c r="F63" s="231"/>
      <c r="G63" s="233"/>
      <c r="H63" s="233"/>
      <c r="I63" s="258"/>
      <c r="J63" s="236"/>
      <c r="K63" s="237">
        <f t="shared" ref="K63:L63" si="7">SUBTOTAL(9,K64:K76)</f>
        <v>68.0478706</v>
      </c>
      <c r="L63" s="237">
        <f t="shared" si="7"/>
        <v>9526.701884</v>
      </c>
      <c r="M63" s="220"/>
      <c r="N63" s="220"/>
      <c r="O63" s="220"/>
      <c r="P63" s="220"/>
      <c r="Q63" s="220"/>
      <c r="R63" s="220"/>
      <c r="S63" s="220"/>
      <c r="T63" s="220"/>
      <c r="U63" s="220"/>
      <c r="V63" s="220"/>
      <c r="W63" s="220"/>
    </row>
    <row r="64" ht="15.75" customHeight="1" outlineLevel="1">
      <c r="A64" s="213"/>
      <c r="B64" s="212" t="s">
        <v>1</v>
      </c>
      <c r="C64" s="213" t="s">
        <v>637</v>
      </c>
      <c r="D64" s="214" t="str">
        <f>IFERROR(VLOOKUP($C64,'PORTIFÓLIO'!C:V,2,0),"")</f>
        <v>GLIFOSATO-SAL DE AMÔNIO</v>
      </c>
      <c r="E64" s="211">
        <f>IFERROR(VLOOKUP($C64,'PORTIFÓLIO'!C:V,3,0),"")</f>
        <v>720</v>
      </c>
      <c r="F64" s="211" t="str">
        <f>IFERROR(VLOOKUP($C64,'PORTIFÓLIO'!C:V,4,0),"")</f>
        <v>L</v>
      </c>
      <c r="G64" s="225" t="str">
        <f>IFERROR(VLOOKUP($C64,'PORTIFÓLIO'!C:V,5,0),"")</f>
        <v>📄 Ver bula</v>
      </c>
      <c r="H64" s="254">
        <f t="array" ref="H64">IFERROR(INDEX('PORTIFÓLIO'!$H$4:$H$433,MATCH($C64,'PORTIFÓLIO'!$C$4:$C$433,0)),"")</f>
        <v>2</v>
      </c>
      <c r="I64" s="255">
        <v>1.5</v>
      </c>
      <c r="J64" s="218">
        <f t="shared" ref="J64:J80" si="8">I64*$B$2</f>
        <v>210</v>
      </c>
      <c r="K64" s="219">
        <f t="array" ref="K64">IFERROR(I64*INDEX('PORTIFÓLIO'!$S$4:$S$433,MATCH($C64,'PORTIFÓLIO'!$C$4:$C$433,0)),"")</f>
        <v>36.87</v>
      </c>
      <c r="L64" s="219">
        <f t="array" ref="L64">IFERROR(J64*INDEX('PORTIFÓLIO'!$S$4:$S$433,MATCH($C64,'PORTIFÓLIO'!$C$4:$C$433,0)),"")</f>
        <v>5161.8</v>
      </c>
      <c r="M64" s="220"/>
      <c r="N64" s="220"/>
      <c r="O64" s="220"/>
      <c r="P64" s="220"/>
      <c r="Q64" s="220"/>
      <c r="R64" s="220"/>
      <c r="S64" s="220"/>
      <c r="T64" s="220"/>
      <c r="U64" s="220"/>
      <c r="V64" s="220"/>
      <c r="W64" s="220"/>
    </row>
    <row r="65" ht="15.75" customHeight="1" outlineLevel="1">
      <c r="A65" s="211"/>
      <c r="B65" s="212" t="s">
        <v>6</v>
      </c>
      <c r="C65" s="213" t="s">
        <v>354</v>
      </c>
      <c r="D65" s="214" t="str">
        <f>IFERROR(VLOOKUP($C65,'PORTIFÓLIO'!C:V,2,0),"")</f>
        <v>OLEO MINERAL</v>
      </c>
      <c r="E65" s="211">
        <f>IFERROR(VLOOKUP($C65,'PORTIFÓLIO'!C:V,3,0),"")</f>
        <v>761</v>
      </c>
      <c r="F65" s="211" t="str">
        <f>IFERROR(VLOOKUP($C65,'PORTIFÓLIO'!C:V,4,0),"")</f>
        <v>L</v>
      </c>
      <c r="G65" s="225" t="str">
        <f>IFERROR(VLOOKUP($C65,'PORTIFÓLIO'!C:V,5,0),"")</f>
        <v>📄 Ver bula</v>
      </c>
      <c r="H65" s="254">
        <f t="array" ref="H65">IFERROR(INDEX('PORTIFÓLIO'!$H$4:$H$433,MATCH($C65,'PORTIFÓLIO'!$C$4:$C$433,0)),"")</f>
        <v>0.2</v>
      </c>
      <c r="I65" s="255">
        <v>0.2</v>
      </c>
      <c r="J65" s="218">
        <f t="shared" si="8"/>
        <v>28</v>
      </c>
      <c r="K65" s="219">
        <f t="array" ref="K65">IFERROR(I65*INDEX('PORTIFÓLIO'!$S$4:$S$433,MATCH($C65,'PORTIFÓLIO'!$C$4:$C$433,0)),"")</f>
        <v>3.206</v>
      </c>
      <c r="L65" s="219">
        <f t="array" ref="L65">IFERROR(J65*INDEX('PORTIFÓLIO'!$S$4:$S$433,MATCH($C65,'PORTIFÓLIO'!$C$4:$C$433,0)),"")</f>
        <v>448.84</v>
      </c>
      <c r="M65" s="220"/>
      <c r="N65" s="220"/>
      <c r="O65" s="220"/>
      <c r="P65" s="220"/>
      <c r="Q65" s="220"/>
      <c r="R65" s="220"/>
      <c r="S65" s="220"/>
      <c r="T65" s="220"/>
      <c r="U65" s="220"/>
      <c r="V65" s="220"/>
      <c r="W65" s="220"/>
    </row>
    <row r="66" ht="15.75" customHeight="1" outlineLevel="1">
      <c r="A66" s="211"/>
      <c r="B66" s="212" t="s">
        <v>2</v>
      </c>
      <c r="C66" s="213" t="s">
        <v>788</v>
      </c>
      <c r="D66" s="214" t="str">
        <f>IFERROR(VLOOKUP($C66,'PORTIFÓLIO'!C:V,2,0),"")</f>
        <v>FIPRONIL</v>
      </c>
      <c r="E66" s="211">
        <f>IFERROR(VLOOKUP($C66,'PORTIFÓLIO'!C:V,3,0),"")</f>
        <v>800</v>
      </c>
      <c r="F66" s="211" t="str">
        <f>IFERROR(VLOOKUP($C66,'PORTIFÓLIO'!C:V,4,0),"")</f>
        <v>L</v>
      </c>
      <c r="G66" s="225" t="str">
        <f>IFERROR(VLOOKUP($C66,'PORTIFÓLIO'!C:V,5,0),"")</f>
        <v>📄 Ver bula</v>
      </c>
      <c r="H66" s="254">
        <f t="array" ref="H66">IFERROR(INDEX('PORTIFÓLIO'!$H$4:$H$433,MATCH($C66,'PORTIFÓLIO'!$C$4:$C$433,0)),"")</f>
        <v>0.04</v>
      </c>
      <c r="I66" s="255">
        <v>0.02</v>
      </c>
      <c r="J66" s="218">
        <f t="shared" si="8"/>
        <v>2.8</v>
      </c>
      <c r="K66" s="219">
        <f t="array" ref="K66">IFERROR(I66*INDEX('PORTIFÓLIO'!$S$4:$S$433,MATCH($C66,'PORTIFÓLIO'!$C$4:$C$433,0)),"")</f>
        <v>4.9527006</v>
      </c>
      <c r="L66" s="219">
        <f t="array" ref="L66">IFERROR(J66*INDEX('PORTIFÓLIO'!$S$4:$S$433,MATCH($C66,'PORTIFÓLIO'!$C$4:$C$433,0)),"")</f>
        <v>693.378084</v>
      </c>
      <c r="M66" s="220"/>
      <c r="N66" s="220"/>
      <c r="O66" s="220"/>
      <c r="P66" s="220"/>
      <c r="Q66" s="220"/>
      <c r="R66" s="220"/>
      <c r="S66" s="220"/>
      <c r="T66" s="220"/>
      <c r="U66" s="220"/>
      <c r="V66" s="220"/>
      <c r="W66" s="220"/>
    </row>
    <row r="67" ht="15.75" customHeight="1" outlineLevel="1">
      <c r="A67" s="211"/>
      <c r="B67" s="212" t="s">
        <v>1</v>
      </c>
      <c r="C67" s="213" t="s">
        <v>683</v>
      </c>
      <c r="D67" s="214" t="str">
        <f>IFERROR(VLOOKUP($C67,'PORTIFÓLIO'!C:V,2,0),"")</f>
        <v>GLUFOSINATO - SAL DE AMONIO</v>
      </c>
      <c r="E67" s="211">
        <f>IFERROR(VLOOKUP($C67,'PORTIFÓLIO'!C:V,3,0),"")</f>
        <v>880</v>
      </c>
      <c r="F67" s="211" t="str">
        <f>IFERROR(VLOOKUP($C67,'PORTIFÓLIO'!C:V,4,0),"")</f>
        <v>L</v>
      </c>
      <c r="G67" s="225" t="str">
        <f>IFERROR(VLOOKUP($C67,'PORTIFÓLIO'!C:V,5,0),"")</f>
        <v>📄 Ver bula</v>
      </c>
      <c r="H67" s="254">
        <f t="array" ref="H67">IFERROR(INDEX('PORTIFÓLIO'!$H$4:$H$433,MATCH($C67,'PORTIFÓLIO'!$C$4:$C$433,0)),"")</f>
        <v>0.5</v>
      </c>
      <c r="I67" s="255">
        <v>0.5</v>
      </c>
      <c r="J67" s="218">
        <f t="shared" si="8"/>
        <v>70</v>
      </c>
      <c r="K67" s="219">
        <f t="array" ref="K67">IFERROR(I67*INDEX('PORTIFÓLIO'!$S$4:$S$433,MATCH($C67,'PORTIFÓLIO'!$C$4:$C$433,0)),"")</f>
        <v>23.01917</v>
      </c>
      <c r="L67" s="219">
        <f t="array" ref="L67">IFERROR(J67*INDEX('PORTIFÓLIO'!$S$4:$S$433,MATCH($C67,'PORTIFÓLIO'!$C$4:$C$433,0)),"")</f>
        <v>3222.6838</v>
      </c>
      <c r="M67" s="220"/>
      <c r="N67" s="220"/>
      <c r="O67" s="220"/>
      <c r="P67" s="220"/>
      <c r="Q67" s="220"/>
      <c r="R67" s="220"/>
      <c r="S67" s="220"/>
      <c r="T67" s="220"/>
      <c r="U67" s="220"/>
      <c r="V67" s="220"/>
      <c r="W67" s="220"/>
    </row>
    <row r="68" ht="15.75" customHeight="1" outlineLevel="1">
      <c r="A68" s="211"/>
      <c r="B68" s="212"/>
      <c r="C68" s="213"/>
      <c r="D68" s="214" t="str">
        <f>IFERROR(VLOOKUP($C68,'PORTIFÓLIO'!C:V,2,0),"")</f>
        <v/>
      </c>
      <c r="E68" s="211" t="str">
        <f>IFERROR(VLOOKUP($C68,'PORTIFÓLIO'!C:V,3,0),"")</f>
        <v/>
      </c>
      <c r="F68" s="211" t="str">
        <f>IFERROR(VLOOKUP($C68,'PORTIFÓLIO'!C:V,4,0),"")</f>
        <v/>
      </c>
      <c r="G68" s="215" t="str">
        <f>IFERROR(VLOOKUP($C68,'PORTIFÓLIO'!C:V,5,0),"")</f>
        <v/>
      </c>
      <c r="H68" s="254" t="str">
        <f t="array" ref="H68">IFERROR(INDEX('PORTIFÓLIO'!$H$4:$H$433,MATCH($C68,'PORTIFÓLIO'!$C$4:$C$433,0)),"")</f>
        <v/>
      </c>
      <c r="I68" s="256"/>
      <c r="J68" s="218">
        <f t="shared" si="8"/>
        <v>0</v>
      </c>
      <c r="K68" s="219" t="str">
        <f t="array" ref="K68">IFERROR(I68*INDEX('PORTIFÓLIO'!$S$4:$S$433,MATCH($C68,'PORTIFÓLIO'!$C$4:$C$433,0)),"")</f>
        <v/>
      </c>
      <c r="L68" s="219" t="str">
        <f t="array" ref="L68">IFERROR(J68*INDEX('PORTIFÓLIO'!$S$4:$S$433,MATCH($C68,'PORTIFÓLIO'!$C$4:$C$433,0)),"")</f>
        <v/>
      </c>
      <c r="M68" s="220"/>
      <c r="N68" s="220"/>
      <c r="O68" s="220"/>
      <c r="P68" s="220"/>
      <c r="Q68" s="220"/>
      <c r="R68" s="220"/>
      <c r="S68" s="220"/>
      <c r="T68" s="220"/>
      <c r="U68" s="220"/>
      <c r="V68" s="220"/>
      <c r="W68" s="220"/>
    </row>
    <row r="69" ht="15.75" customHeight="1" outlineLevel="1">
      <c r="A69" s="211"/>
      <c r="B69" s="212"/>
      <c r="C69" s="213"/>
      <c r="D69" s="214" t="str">
        <f>IFERROR(VLOOKUP($C69,'PORTIFÓLIO'!C:V,2,0),"")</f>
        <v/>
      </c>
      <c r="E69" s="211" t="str">
        <f>IFERROR(VLOOKUP($C69,'PORTIFÓLIO'!C:V,3,0),"")</f>
        <v/>
      </c>
      <c r="F69" s="211" t="str">
        <f>IFERROR(VLOOKUP($C69,'PORTIFÓLIO'!C:V,4,0),"")</f>
        <v/>
      </c>
      <c r="G69" s="215" t="str">
        <f>IFERROR(VLOOKUP($C69,'PORTIFÓLIO'!C:V,5,0),"")</f>
        <v/>
      </c>
      <c r="H69" s="254" t="str">
        <f t="array" ref="H69">IFERROR(INDEX('PORTIFÓLIO'!$H$4:$H$433,MATCH($C69,'PORTIFÓLIO'!$C$4:$C$433,0)),"")</f>
        <v/>
      </c>
      <c r="I69" s="256"/>
      <c r="J69" s="218">
        <f t="shared" si="8"/>
        <v>0</v>
      </c>
      <c r="K69" s="219" t="str">
        <f t="array" ref="K69">IFERROR(I69*INDEX('PORTIFÓLIO'!$S$4:$S$433,MATCH($C69,'PORTIFÓLIO'!$C$4:$C$433,0)),"")</f>
        <v/>
      </c>
      <c r="L69" s="219" t="str">
        <f t="array" ref="L69">IFERROR(J69*INDEX('PORTIFÓLIO'!$S$4:$S$433,MATCH($C69,'PORTIFÓLIO'!$C$4:$C$433,0)),"")</f>
        <v/>
      </c>
      <c r="M69" s="220"/>
      <c r="N69" s="220"/>
      <c r="O69" s="220"/>
      <c r="P69" s="220"/>
      <c r="Q69" s="220"/>
      <c r="R69" s="220"/>
      <c r="S69" s="220"/>
      <c r="T69" s="220"/>
      <c r="U69" s="220"/>
      <c r="V69" s="220"/>
      <c r="W69" s="220"/>
    </row>
    <row r="70" ht="15.75" customHeight="1" outlineLevel="1">
      <c r="A70" s="211"/>
      <c r="B70" s="212"/>
      <c r="C70" s="213"/>
      <c r="D70" s="214" t="str">
        <f>IFERROR(VLOOKUP($C70,'PORTIFÓLIO'!C:V,2,0),"")</f>
        <v/>
      </c>
      <c r="E70" s="211" t="str">
        <f>IFERROR(VLOOKUP($C70,'PORTIFÓLIO'!C:V,3,0),"")</f>
        <v/>
      </c>
      <c r="F70" s="211" t="str">
        <f>IFERROR(VLOOKUP($C70,'PORTIFÓLIO'!C:V,4,0),"")</f>
        <v/>
      </c>
      <c r="G70" s="215" t="str">
        <f>IFERROR(VLOOKUP($C70,'PORTIFÓLIO'!C:V,5,0),"")</f>
        <v/>
      </c>
      <c r="H70" s="254" t="str">
        <f t="array" ref="H70">IFERROR(INDEX('PORTIFÓLIO'!$H$4:$H$433,MATCH($C70,'PORTIFÓLIO'!$C$4:$C$433,0)),"")</f>
        <v/>
      </c>
      <c r="I70" s="256"/>
      <c r="J70" s="218">
        <f t="shared" si="8"/>
        <v>0</v>
      </c>
      <c r="K70" s="219" t="str">
        <f t="array" ref="K70">IFERROR(I70*INDEX('PORTIFÓLIO'!$S$4:$S$433,MATCH($C70,'PORTIFÓLIO'!$C$4:$C$433,0)),"")</f>
        <v/>
      </c>
      <c r="L70" s="219" t="str">
        <f t="array" ref="L70">IFERROR(J70*INDEX('PORTIFÓLIO'!$S$4:$S$433,MATCH($C70,'PORTIFÓLIO'!$C$4:$C$433,0)),"")</f>
        <v/>
      </c>
      <c r="M70" s="220"/>
      <c r="N70" s="220"/>
      <c r="O70" s="220"/>
      <c r="P70" s="220"/>
      <c r="Q70" s="220"/>
      <c r="R70" s="220"/>
      <c r="S70" s="220"/>
      <c r="T70" s="220"/>
      <c r="U70" s="220"/>
      <c r="V70" s="220"/>
      <c r="W70" s="220"/>
    </row>
    <row r="71" ht="15.75" customHeight="1" outlineLevel="1">
      <c r="A71" s="211"/>
      <c r="B71" s="212"/>
      <c r="C71" s="213"/>
      <c r="D71" s="214" t="str">
        <f>IFERROR(VLOOKUP($C71,'PORTIFÓLIO'!C:V,2,0),"")</f>
        <v/>
      </c>
      <c r="E71" s="211" t="str">
        <f>IFERROR(VLOOKUP($C71,'PORTIFÓLIO'!C:V,3,0),"")</f>
        <v/>
      </c>
      <c r="F71" s="211" t="str">
        <f>IFERROR(VLOOKUP($C71,'PORTIFÓLIO'!C:V,4,0),"")</f>
        <v/>
      </c>
      <c r="G71" s="215" t="str">
        <f>IFERROR(VLOOKUP($C71,'PORTIFÓLIO'!C:V,5,0),"")</f>
        <v/>
      </c>
      <c r="H71" s="254" t="str">
        <f t="array" ref="H71">IFERROR(INDEX('PORTIFÓLIO'!$H$4:$H$433,MATCH($C71,'PORTIFÓLIO'!$C$4:$C$433,0)),"")</f>
        <v/>
      </c>
      <c r="I71" s="256"/>
      <c r="J71" s="218">
        <f t="shared" si="8"/>
        <v>0</v>
      </c>
      <c r="K71" s="219" t="str">
        <f t="array" ref="K71">IFERROR(I71*INDEX('PORTIFÓLIO'!$S$4:$S$433,MATCH($C71,'PORTIFÓLIO'!$C$4:$C$433,0)),"")</f>
        <v/>
      </c>
      <c r="L71" s="219" t="str">
        <f t="array" ref="L71">IFERROR(J71*INDEX('PORTIFÓLIO'!$S$4:$S$433,MATCH($C71,'PORTIFÓLIO'!$C$4:$C$433,0)),"")</f>
        <v/>
      </c>
      <c r="M71" s="220"/>
      <c r="N71" s="220"/>
      <c r="O71" s="220"/>
      <c r="P71" s="220"/>
      <c r="Q71" s="220"/>
      <c r="R71" s="220"/>
      <c r="S71" s="220"/>
      <c r="T71" s="220"/>
      <c r="U71" s="220"/>
      <c r="V71" s="220"/>
      <c r="W71" s="220"/>
    </row>
    <row r="72" ht="15.75" customHeight="1" outlineLevel="1">
      <c r="A72" s="211"/>
      <c r="B72" s="212"/>
      <c r="C72" s="213"/>
      <c r="D72" s="214" t="str">
        <f>IFERROR(VLOOKUP($C72,'PORTIFÓLIO'!C:V,2,0),"")</f>
        <v/>
      </c>
      <c r="E72" s="211" t="str">
        <f>IFERROR(VLOOKUP($C72,'PORTIFÓLIO'!C:V,3,0),"")</f>
        <v/>
      </c>
      <c r="F72" s="211" t="str">
        <f>IFERROR(VLOOKUP($C72,'PORTIFÓLIO'!C:V,4,0),"")</f>
        <v/>
      </c>
      <c r="G72" s="215" t="str">
        <f>IFERROR(VLOOKUP($C72,'PORTIFÓLIO'!C:V,5,0),"")</f>
        <v/>
      </c>
      <c r="H72" s="254" t="str">
        <f t="array" ref="H72">IFERROR(INDEX('PORTIFÓLIO'!$H$4:$H$433,MATCH($C72,'PORTIFÓLIO'!$C$4:$C$433,0)),"")</f>
        <v/>
      </c>
      <c r="I72" s="255"/>
      <c r="J72" s="218">
        <f t="shared" si="8"/>
        <v>0</v>
      </c>
      <c r="K72" s="219" t="str">
        <f t="array" ref="K72">IFERROR(I72*INDEX('PORTIFÓLIO'!$S$4:$S$433,MATCH($C72,'PORTIFÓLIO'!$C$4:$C$433,0)),"")</f>
        <v/>
      </c>
      <c r="L72" s="219" t="str">
        <f t="array" ref="L72">IFERROR(J72*INDEX('PORTIFÓLIO'!$S$4:$S$433,MATCH($C72,'PORTIFÓLIO'!$C$4:$C$433,0)),"")</f>
        <v/>
      </c>
      <c r="M72" s="220"/>
      <c r="N72" s="220"/>
      <c r="O72" s="220"/>
      <c r="P72" s="220"/>
      <c r="Q72" s="220"/>
      <c r="R72" s="220"/>
      <c r="S72" s="220"/>
      <c r="T72" s="220"/>
      <c r="U72" s="220"/>
      <c r="V72" s="220"/>
      <c r="W72" s="220"/>
    </row>
    <row r="73" ht="15.75" customHeight="1" outlineLevel="1">
      <c r="A73" s="211"/>
      <c r="B73" s="212"/>
      <c r="C73" s="213"/>
      <c r="D73" s="214" t="str">
        <f>IFERROR(VLOOKUP($C73,'PORTIFÓLIO'!C:V,2,0),"")</f>
        <v/>
      </c>
      <c r="E73" s="211" t="str">
        <f>IFERROR(VLOOKUP($C73,'PORTIFÓLIO'!C:V,3,0),"")</f>
        <v/>
      </c>
      <c r="F73" s="211" t="str">
        <f>IFERROR(VLOOKUP($C73,'PORTIFÓLIO'!C:V,4,0),"")</f>
        <v/>
      </c>
      <c r="G73" s="215" t="str">
        <f>IFERROR(VLOOKUP($C73,'PORTIFÓLIO'!C:V,5,0),"")</f>
        <v/>
      </c>
      <c r="H73" s="254" t="str">
        <f t="array" ref="H73">IFERROR(INDEX('PORTIFÓLIO'!$H$4:$H$433,MATCH($C73,'PORTIFÓLIO'!$C$4:$C$433,0)),"")</f>
        <v/>
      </c>
      <c r="I73" s="256"/>
      <c r="J73" s="218">
        <f t="shared" si="8"/>
        <v>0</v>
      </c>
      <c r="K73" s="219" t="str">
        <f t="array" ref="K73">IFERROR(I73*INDEX('PORTIFÓLIO'!$S$4:$S$433,MATCH($C73,'PORTIFÓLIO'!$C$4:$C$433,0)),"")</f>
        <v/>
      </c>
      <c r="L73" s="219" t="str">
        <f t="array" ref="L73">IFERROR(J73*INDEX('PORTIFÓLIO'!$S$4:$S$433,MATCH($C73,'PORTIFÓLIO'!$C$4:$C$433,0)),"")</f>
        <v/>
      </c>
      <c r="M73" s="220"/>
      <c r="N73" s="220"/>
      <c r="O73" s="220"/>
      <c r="P73" s="220"/>
      <c r="Q73" s="220"/>
      <c r="R73" s="220"/>
      <c r="S73" s="220"/>
      <c r="T73" s="220"/>
      <c r="U73" s="220"/>
      <c r="V73" s="220"/>
      <c r="W73" s="220"/>
    </row>
    <row r="74" ht="15.75" customHeight="1" outlineLevel="1">
      <c r="A74" s="211"/>
      <c r="B74" s="212"/>
      <c r="C74" s="213"/>
      <c r="D74" s="214" t="str">
        <f>IFERROR(VLOOKUP($C74,'PORTIFÓLIO'!C:V,2,0),"")</f>
        <v/>
      </c>
      <c r="E74" s="211" t="str">
        <f>IFERROR(VLOOKUP($C74,'PORTIFÓLIO'!C:V,3,0),"")</f>
        <v/>
      </c>
      <c r="F74" s="211" t="str">
        <f>IFERROR(VLOOKUP($C74,'PORTIFÓLIO'!C:V,4,0),"")</f>
        <v/>
      </c>
      <c r="G74" s="215" t="str">
        <f>IFERROR(VLOOKUP($C74,'PORTIFÓLIO'!C:V,5,0),"")</f>
        <v/>
      </c>
      <c r="H74" s="254" t="str">
        <f t="array" ref="H74">IFERROR(INDEX('PORTIFÓLIO'!$H$4:$H$433,MATCH($C74,'PORTIFÓLIO'!$C$4:$C$433,0)),"")</f>
        <v/>
      </c>
      <c r="I74" s="256"/>
      <c r="J74" s="218">
        <f t="shared" si="8"/>
        <v>0</v>
      </c>
      <c r="K74" s="219" t="str">
        <f t="array" ref="K74">IFERROR(I74*INDEX('PORTIFÓLIO'!$S$4:$S$433,MATCH($C74,'PORTIFÓLIO'!$C$4:$C$433,0)),"")</f>
        <v/>
      </c>
      <c r="L74" s="219" t="str">
        <f t="array" ref="L74">IFERROR(J74*INDEX('PORTIFÓLIO'!$S$4:$S$433,MATCH($C74,'PORTIFÓLIO'!$C$4:$C$433,0)),"")</f>
        <v/>
      </c>
      <c r="M74" s="220"/>
      <c r="N74" s="220"/>
      <c r="O74" s="220"/>
      <c r="P74" s="220"/>
      <c r="Q74" s="220"/>
      <c r="R74" s="220"/>
      <c r="S74" s="220"/>
      <c r="T74" s="220"/>
      <c r="U74" s="220"/>
      <c r="V74" s="220"/>
      <c r="W74" s="220"/>
    </row>
    <row r="75" ht="15.75" customHeight="1" outlineLevel="1">
      <c r="A75" s="211"/>
      <c r="B75" s="212"/>
      <c r="C75" s="213"/>
      <c r="D75" s="214" t="str">
        <f>IFERROR(VLOOKUP($C75,'PORTIFÓLIO'!C:V,2,0),"")</f>
        <v/>
      </c>
      <c r="E75" s="211" t="str">
        <f>IFERROR(VLOOKUP($C75,'PORTIFÓLIO'!C:V,3,0),"")</f>
        <v/>
      </c>
      <c r="F75" s="211" t="str">
        <f>IFERROR(VLOOKUP($C75,'PORTIFÓLIO'!C:V,4,0),"")</f>
        <v/>
      </c>
      <c r="G75" s="215" t="str">
        <f>IFERROR(VLOOKUP($C75,'PORTIFÓLIO'!C:V,5,0),"")</f>
        <v/>
      </c>
      <c r="H75" s="254" t="str">
        <f t="array" ref="H75">IFERROR(INDEX('PORTIFÓLIO'!$H$4:$H$433,MATCH($C75,'PORTIFÓLIO'!$C$4:$C$433,0)),"")</f>
        <v/>
      </c>
      <c r="I75" s="256"/>
      <c r="J75" s="218">
        <f t="shared" si="8"/>
        <v>0</v>
      </c>
      <c r="K75" s="219" t="str">
        <f t="array" ref="K75">IFERROR(I75*INDEX('PORTIFÓLIO'!$S$4:$S$433,MATCH($C75,'PORTIFÓLIO'!$C$4:$C$433,0)),"")</f>
        <v/>
      </c>
      <c r="L75" s="219" t="str">
        <f t="array" ref="L75">IFERROR(J75*INDEX('PORTIFÓLIO'!$S$4:$S$433,MATCH($C75,'PORTIFÓLIO'!$C$4:$C$433,0)),"")</f>
        <v/>
      </c>
      <c r="M75" s="220"/>
      <c r="N75" s="220"/>
      <c r="O75" s="220"/>
      <c r="P75" s="220"/>
      <c r="Q75" s="220"/>
      <c r="R75" s="220"/>
      <c r="S75" s="220"/>
      <c r="T75" s="220"/>
      <c r="U75" s="220"/>
      <c r="V75" s="220"/>
      <c r="W75" s="220"/>
    </row>
    <row r="76" ht="15.75" customHeight="1" outlineLevel="1">
      <c r="A76" s="211"/>
      <c r="B76" s="212"/>
      <c r="C76" s="213"/>
      <c r="D76" s="214" t="str">
        <f>IFERROR(VLOOKUP($C76,'PORTIFÓLIO'!C:V,2,0),"")</f>
        <v/>
      </c>
      <c r="E76" s="211" t="str">
        <f>IFERROR(VLOOKUP($C76,'PORTIFÓLIO'!C:V,3,0),"")</f>
        <v/>
      </c>
      <c r="F76" s="211" t="str">
        <f>IFERROR(VLOOKUP($C76,'PORTIFÓLIO'!C:V,4,0),"")</f>
        <v/>
      </c>
      <c r="G76" s="215" t="str">
        <f>IFERROR(VLOOKUP($C76,'PORTIFÓLIO'!C:V,5,0),"")</f>
        <v/>
      </c>
      <c r="H76" s="254" t="str">
        <f t="array" ref="H76">IFERROR(INDEX('PORTIFÓLIO'!$H$4:$H$433,MATCH($C76,'PORTIFÓLIO'!$C$4:$C$433,0)),"")</f>
        <v/>
      </c>
      <c r="I76" s="256"/>
      <c r="J76" s="218">
        <f t="shared" si="8"/>
        <v>0</v>
      </c>
      <c r="K76" s="219" t="str">
        <f t="array" ref="K76">IFERROR(I76*INDEX('PORTIFÓLIO'!$S$4:$S$433,MATCH($C76,'PORTIFÓLIO'!$C$4:$C$433,0)),"")</f>
        <v/>
      </c>
      <c r="L76" s="219" t="str">
        <f t="array" ref="L76">IFERROR(J76*INDEX('PORTIFÓLIO'!$S$4:$S$433,MATCH($C76,'PORTIFÓLIO'!$C$4:$C$433,0)),"")</f>
        <v/>
      </c>
      <c r="M76" s="220"/>
      <c r="N76" s="220"/>
      <c r="O76" s="220"/>
      <c r="P76" s="220"/>
      <c r="Q76" s="220"/>
      <c r="R76" s="220"/>
      <c r="S76" s="220"/>
      <c r="T76" s="220"/>
      <c r="U76" s="220"/>
      <c r="V76" s="220"/>
      <c r="W76" s="220"/>
    </row>
    <row r="77" ht="15.75" customHeight="1" outlineLevel="1">
      <c r="A77" s="211"/>
      <c r="B77" s="212"/>
      <c r="C77" s="213"/>
      <c r="D77" s="214" t="str">
        <f>IFERROR(VLOOKUP($C77,'PORTIFÓLIO'!C:V,2,0),"")</f>
        <v/>
      </c>
      <c r="E77" s="211" t="str">
        <f>IFERROR(VLOOKUP($C77,'PORTIFÓLIO'!C:V,3,0),"")</f>
        <v/>
      </c>
      <c r="F77" s="211" t="str">
        <f>IFERROR(VLOOKUP($C77,'PORTIFÓLIO'!C:V,4,0),"")</f>
        <v/>
      </c>
      <c r="G77" s="215" t="str">
        <f>IFERROR(VLOOKUP($C77,'PORTIFÓLIO'!C:V,5,0),"")</f>
        <v/>
      </c>
      <c r="H77" s="254" t="str">
        <f t="array" ref="H77">IFERROR(INDEX('PORTIFÓLIO'!$H$4:$H$433,MATCH($C77,'PORTIFÓLIO'!$C$4:$C$433,0)),"")</f>
        <v/>
      </c>
      <c r="I77" s="256"/>
      <c r="J77" s="218">
        <f t="shared" si="8"/>
        <v>0</v>
      </c>
      <c r="K77" s="219" t="str">
        <f t="array" ref="K77">IFERROR(I77*INDEX('PORTIFÓLIO'!$S$4:$S$433,MATCH($C77,'PORTIFÓLIO'!$C$4:$C$433,0)),"")</f>
        <v/>
      </c>
      <c r="L77" s="219" t="str">
        <f t="array" ref="L77">IFERROR(J77*INDEX('PORTIFÓLIO'!$S$4:$S$433,MATCH($C77,'PORTIFÓLIO'!$C$4:$C$433,0)),"")</f>
        <v/>
      </c>
      <c r="M77" s="220"/>
      <c r="N77" s="220"/>
      <c r="O77" s="220"/>
      <c r="P77" s="220"/>
      <c r="Q77" s="220"/>
      <c r="R77" s="220"/>
      <c r="S77" s="220"/>
      <c r="T77" s="220"/>
      <c r="U77" s="220"/>
      <c r="V77" s="220"/>
      <c r="W77" s="220"/>
    </row>
    <row r="78" ht="15.75" customHeight="1" outlineLevel="1">
      <c r="A78" s="211"/>
      <c r="B78" s="212"/>
      <c r="C78" s="213"/>
      <c r="D78" s="214" t="str">
        <f>IFERROR(VLOOKUP($C78,'PORTIFÓLIO'!C:V,2,0),"")</f>
        <v/>
      </c>
      <c r="E78" s="211" t="str">
        <f>IFERROR(VLOOKUP($C78,'PORTIFÓLIO'!C:V,3,0),"")</f>
        <v/>
      </c>
      <c r="F78" s="211" t="str">
        <f>IFERROR(VLOOKUP($C78,'PORTIFÓLIO'!C:V,4,0),"")</f>
        <v/>
      </c>
      <c r="G78" s="215" t="str">
        <f>IFERROR(VLOOKUP($C78,'PORTIFÓLIO'!C:V,5,0),"")</f>
        <v/>
      </c>
      <c r="H78" s="254" t="str">
        <f t="array" ref="H78">IFERROR(INDEX('PORTIFÓLIO'!$H$4:$H$433,MATCH($C78,'PORTIFÓLIO'!$C$4:$C$433,0)),"")</f>
        <v/>
      </c>
      <c r="I78" s="256"/>
      <c r="J78" s="218">
        <f t="shared" si="8"/>
        <v>0</v>
      </c>
      <c r="K78" s="219" t="str">
        <f t="array" ref="K78">IFERROR(I78*INDEX('PORTIFÓLIO'!$S$4:$S$433,MATCH($C78,'PORTIFÓLIO'!$C$4:$C$433,0)),"")</f>
        <v/>
      </c>
      <c r="L78" s="219" t="str">
        <f t="array" ref="L78">IFERROR(J78*INDEX('PORTIFÓLIO'!$S$4:$S$433,MATCH($C78,'PORTIFÓLIO'!$C$4:$C$433,0)),"")</f>
        <v/>
      </c>
      <c r="M78" s="220"/>
      <c r="N78" s="220"/>
      <c r="O78" s="220"/>
      <c r="P78" s="220"/>
      <c r="Q78" s="220"/>
      <c r="R78" s="220"/>
      <c r="S78" s="220"/>
      <c r="T78" s="220"/>
      <c r="U78" s="220"/>
      <c r="V78" s="220"/>
      <c r="W78" s="220"/>
    </row>
    <row r="79" ht="15.75" customHeight="1" outlineLevel="1">
      <c r="A79" s="211"/>
      <c r="B79" s="212"/>
      <c r="C79" s="213"/>
      <c r="D79" s="214" t="str">
        <f>IFERROR(VLOOKUP($C79,'PORTIFÓLIO'!C:V,2,0),"")</f>
        <v/>
      </c>
      <c r="E79" s="211" t="str">
        <f>IFERROR(VLOOKUP($C79,'PORTIFÓLIO'!C:V,3,0),"")</f>
        <v/>
      </c>
      <c r="F79" s="211" t="str">
        <f>IFERROR(VLOOKUP($C79,'PORTIFÓLIO'!C:V,4,0),"")</f>
        <v/>
      </c>
      <c r="G79" s="215" t="str">
        <f>IFERROR(VLOOKUP($C79,'PORTIFÓLIO'!C:V,5,0),"")</f>
        <v/>
      </c>
      <c r="H79" s="254" t="str">
        <f t="array" ref="H79">IFERROR(INDEX('PORTIFÓLIO'!$H$4:$H$433,MATCH($C79,'PORTIFÓLIO'!$C$4:$C$433,0)),"")</f>
        <v/>
      </c>
      <c r="I79" s="256"/>
      <c r="J79" s="218">
        <f t="shared" si="8"/>
        <v>0</v>
      </c>
      <c r="K79" s="219" t="str">
        <f t="array" ref="K79">IFERROR(I79*INDEX('PORTIFÓLIO'!$S$4:$S$433,MATCH($C79,'PORTIFÓLIO'!$C$4:$C$433,0)),"")</f>
        <v/>
      </c>
      <c r="L79" s="219" t="str">
        <f t="array" ref="L79">IFERROR(J79*INDEX('PORTIFÓLIO'!$S$4:$S$433,MATCH($C79,'PORTIFÓLIO'!$C$4:$C$433,0)),"")</f>
        <v/>
      </c>
      <c r="M79" s="220"/>
      <c r="N79" s="220"/>
      <c r="O79" s="220"/>
      <c r="P79" s="220"/>
      <c r="Q79" s="220"/>
      <c r="R79" s="220"/>
      <c r="S79" s="220"/>
      <c r="T79" s="220"/>
      <c r="U79" s="220"/>
      <c r="V79" s="220"/>
      <c r="W79" s="220"/>
    </row>
    <row r="80" ht="15.75" customHeight="1" outlineLevel="1">
      <c r="A80" s="211"/>
      <c r="B80" s="212"/>
      <c r="C80" s="213"/>
      <c r="D80" s="214" t="str">
        <f>IFERROR(VLOOKUP($C80,'PORTIFÓLIO'!C:V,2,0),"")</f>
        <v/>
      </c>
      <c r="E80" s="211" t="str">
        <f>IFERROR(VLOOKUP($C80,'PORTIFÓLIO'!C:V,3,0),"")</f>
        <v/>
      </c>
      <c r="F80" s="211" t="str">
        <f>IFERROR(VLOOKUP($C80,'PORTIFÓLIO'!C:V,4,0),"")</f>
        <v/>
      </c>
      <c r="G80" s="215" t="str">
        <f>IFERROR(VLOOKUP($C80,'PORTIFÓLIO'!C:V,5,0),"")</f>
        <v/>
      </c>
      <c r="H80" s="254" t="str">
        <f t="array" ref="H80">IFERROR(INDEX('PORTIFÓLIO'!$H$4:$H$433,MATCH($C80,'PORTIFÓLIO'!$C$4:$C$433,0)),"")</f>
        <v/>
      </c>
      <c r="I80" s="256"/>
      <c r="J80" s="218">
        <f t="shared" si="8"/>
        <v>0</v>
      </c>
      <c r="K80" s="219" t="str">
        <f t="array" ref="K80">IFERROR(I80*INDEX('PORTIFÓLIO'!$S$4:$S$433,MATCH($C80,'PORTIFÓLIO'!$C$4:$C$433,0)),"")</f>
        <v/>
      </c>
      <c r="L80" s="219" t="str">
        <f t="array" ref="L80">IFERROR(J80*INDEX('PORTIFÓLIO'!$S$4:$S$433,MATCH($C80,'PORTIFÓLIO'!$C$4:$C$433,0)),"")</f>
        <v/>
      </c>
      <c r="M80" s="220"/>
      <c r="N80" s="220"/>
      <c r="O80" s="220"/>
      <c r="P80" s="220"/>
      <c r="Q80" s="220"/>
      <c r="R80" s="220"/>
      <c r="S80" s="220"/>
      <c r="T80" s="220"/>
      <c r="U80" s="220"/>
      <c r="V80" s="220"/>
      <c r="W80" s="220"/>
    </row>
    <row r="81" ht="15.75" customHeight="1">
      <c r="A81" s="229" t="s">
        <v>1188</v>
      </c>
      <c r="B81" s="230"/>
      <c r="C81" s="231"/>
      <c r="D81" s="232" t="s">
        <v>216</v>
      </c>
      <c r="E81" s="231"/>
      <c r="F81" s="231"/>
      <c r="G81" s="233"/>
      <c r="H81" s="233"/>
      <c r="I81" s="258"/>
      <c r="J81" s="236"/>
      <c r="K81" s="237">
        <f t="shared" ref="K81:L81" si="9">SUBTOTAL(9,K82:K95)</f>
        <v>98.11463</v>
      </c>
      <c r="L81" s="237">
        <f t="shared" si="9"/>
        <v>13736.0482</v>
      </c>
      <c r="M81" s="220"/>
      <c r="N81" s="220"/>
      <c r="O81" s="220"/>
      <c r="P81" s="220"/>
      <c r="Q81" s="220"/>
      <c r="R81" s="220"/>
      <c r="S81" s="220"/>
      <c r="T81" s="220"/>
      <c r="U81" s="220"/>
      <c r="V81" s="220"/>
      <c r="W81" s="220"/>
    </row>
    <row r="82" ht="15.75" customHeight="1" outlineLevel="1">
      <c r="A82" s="213"/>
      <c r="B82" s="212" t="s">
        <v>1</v>
      </c>
      <c r="C82" s="213" t="s">
        <v>707</v>
      </c>
      <c r="D82" s="214" t="str">
        <f>IFERROR(VLOOKUP($C82,'PORTIFÓLIO'!C:V,2,0),"")</f>
        <v>IMAZETAPIR</v>
      </c>
      <c r="E82" s="211">
        <f>IFERROR(VLOOKUP($C82,'PORTIFÓLIO'!C:V,3,0),"")</f>
        <v>212</v>
      </c>
      <c r="F82" s="211" t="str">
        <f>IFERROR(VLOOKUP($C82,'PORTIFÓLIO'!C:V,4,0),"")</f>
        <v>L</v>
      </c>
      <c r="G82" s="225" t="str">
        <f>IFERROR(VLOOKUP($C82,'PORTIFÓLIO'!C:V,5,0),"")</f>
        <v>📄 Ver bula</v>
      </c>
      <c r="H82" s="254">
        <f t="array" ref="H82">IFERROR(INDEX('PORTIFÓLIO'!$H$4:$H$433,MATCH($C82,'PORTIFÓLIO'!$C$4:$C$433,0)),"")</f>
        <v>1</v>
      </c>
      <c r="I82" s="255">
        <v>1.0</v>
      </c>
      <c r="J82" s="218">
        <f t="shared" ref="J82:J96" si="10">I82*$B$2</f>
        <v>140</v>
      </c>
      <c r="K82" s="219">
        <f t="array" ref="K82">IFERROR(I82*INDEX('PORTIFÓLIO'!$S$4:$S$433,MATCH($C82,'PORTIFÓLIO'!$C$4:$C$433,0)),"")</f>
        <v>41.36814</v>
      </c>
      <c r="L82" s="219">
        <f t="array" ref="L82">IFERROR(J82*INDEX('PORTIFÓLIO'!$S$4:$S$433,MATCH($C82,'PORTIFÓLIO'!$C$4:$C$433,0)),"")</f>
        <v>5791.5396</v>
      </c>
      <c r="M82" s="220"/>
      <c r="N82" s="220"/>
      <c r="O82" s="220"/>
      <c r="P82" s="220"/>
      <c r="Q82" s="220"/>
      <c r="R82" s="220"/>
      <c r="S82" s="220"/>
      <c r="T82" s="220"/>
      <c r="U82" s="220"/>
      <c r="V82" s="220"/>
      <c r="W82" s="220"/>
    </row>
    <row r="83" ht="15.75" customHeight="1" outlineLevel="1">
      <c r="A83" s="211"/>
      <c r="B83" s="212" t="s">
        <v>1</v>
      </c>
      <c r="C83" s="213" t="s">
        <v>605</v>
      </c>
      <c r="D83" s="214" t="str">
        <f>IFERROR(VLOOKUP($C83,'PORTIFÓLIO'!C:V,2,0),"")</f>
        <v>2,4-D-DIMETILAMINA</v>
      </c>
      <c r="E83" s="211">
        <f>IFERROR(VLOOKUP($C83,'PORTIFÓLIO'!C:V,3,0),"")</f>
        <v>806</v>
      </c>
      <c r="F83" s="211" t="str">
        <f>IFERROR(VLOOKUP($C83,'PORTIFÓLIO'!C:V,4,0),"")</f>
        <v>KG</v>
      </c>
      <c r="G83" s="225" t="str">
        <f>IFERROR(VLOOKUP($C83,'PORTIFÓLIO'!C:V,5,0),"")</f>
        <v>📄 Ver bula</v>
      </c>
      <c r="H83" s="254">
        <f t="array" ref="H83">IFERROR(INDEX('PORTIFÓLIO'!$H$4:$H$433,MATCH($C83,'PORTIFÓLIO'!$C$4:$C$433,0)),"")</f>
        <v>1</v>
      </c>
      <c r="I83" s="255">
        <v>1.0</v>
      </c>
      <c r="J83" s="218">
        <f t="shared" si="10"/>
        <v>140</v>
      </c>
      <c r="K83" s="219">
        <f t="array" ref="K83">IFERROR(I83*INDEX('PORTIFÓLIO'!$S$4:$S$433,MATCH($C83,'PORTIFÓLIO'!$C$4:$C$433,0)),"")</f>
        <v>18.1892</v>
      </c>
      <c r="L83" s="219">
        <f t="array" ref="L83">IFERROR(J83*INDEX('PORTIFÓLIO'!$S$4:$S$433,MATCH($C83,'PORTIFÓLIO'!$C$4:$C$433,0)),"")</f>
        <v>2546.488</v>
      </c>
      <c r="M83" s="220"/>
      <c r="N83" s="220"/>
      <c r="O83" s="220"/>
      <c r="P83" s="220"/>
      <c r="Q83" s="220"/>
      <c r="R83" s="220"/>
      <c r="S83" s="220"/>
      <c r="T83" s="220"/>
      <c r="U83" s="220"/>
      <c r="V83" s="220"/>
      <c r="W83" s="220"/>
    </row>
    <row r="84" ht="15.75" customHeight="1" outlineLevel="1">
      <c r="A84" s="211"/>
      <c r="B84" s="212" t="s">
        <v>2</v>
      </c>
      <c r="C84" s="213" t="s">
        <v>837</v>
      </c>
      <c r="D84" s="214" t="str">
        <f>IFERROR(VLOOKUP($C84,'PORTIFÓLIO'!C:V,2,0),"")</f>
        <v>CLORFENAPIR</v>
      </c>
      <c r="E84" s="211">
        <f>IFERROR(VLOOKUP($C84,'PORTIFÓLIO'!C:V,3,0),"")</f>
        <v>240</v>
      </c>
      <c r="F84" s="211" t="str">
        <f>IFERROR(VLOOKUP($C84,'PORTIFÓLIO'!C:V,4,0),"")</f>
        <v>KG</v>
      </c>
      <c r="G84" s="225" t="str">
        <f>IFERROR(VLOOKUP($C84,'PORTIFÓLIO'!C:V,5,0),"")</f>
        <v>📄 Ver bula</v>
      </c>
      <c r="H84" s="254">
        <f t="array" ref="H84">IFERROR(INDEX('PORTIFÓLIO'!$H$4:$H$433,MATCH($C84,'PORTIFÓLIO'!$C$4:$C$433,0)),"")</f>
        <v>1</v>
      </c>
      <c r="I84" s="255">
        <v>1.0</v>
      </c>
      <c r="J84" s="218">
        <f t="shared" si="10"/>
        <v>140</v>
      </c>
      <c r="K84" s="219">
        <f t="array" ref="K84">IFERROR(I84*INDEX('PORTIFÓLIO'!$S$4:$S$433,MATCH($C84,'PORTIFÓLIO'!$C$4:$C$433,0)),"")</f>
        <v>38.55729</v>
      </c>
      <c r="L84" s="219">
        <f t="array" ref="L84">IFERROR(J84*INDEX('PORTIFÓLIO'!$S$4:$S$433,MATCH($C84,'PORTIFÓLIO'!$C$4:$C$433,0)),"")</f>
        <v>5398.0206</v>
      </c>
      <c r="M84" s="220"/>
      <c r="N84" s="220"/>
      <c r="O84" s="220"/>
      <c r="P84" s="220"/>
      <c r="Q84" s="220"/>
      <c r="R84" s="220"/>
      <c r="S84" s="220"/>
      <c r="T84" s="220"/>
      <c r="U84" s="220"/>
      <c r="V84" s="220"/>
      <c r="W84" s="220"/>
    </row>
    <row r="85" ht="15.75" customHeight="1" outlineLevel="1">
      <c r="A85" s="211"/>
      <c r="B85" s="212"/>
      <c r="C85" s="213"/>
      <c r="D85" s="214" t="str">
        <f>IFERROR(VLOOKUP($C85,'PORTIFÓLIO'!C:V,2,0),"")</f>
        <v/>
      </c>
      <c r="E85" s="211" t="str">
        <f>IFERROR(VLOOKUP($C85,'PORTIFÓLIO'!C:V,3,0),"")</f>
        <v/>
      </c>
      <c r="F85" s="211" t="str">
        <f>IFERROR(VLOOKUP($C85,'PORTIFÓLIO'!C:V,4,0),"")</f>
        <v/>
      </c>
      <c r="G85" s="215" t="str">
        <f>IFERROR(VLOOKUP($C85,'PORTIFÓLIO'!C:V,5,0),"")</f>
        <v/>
      </c>
      <c r="H85" s="254" t="str">
        <f t="array" ref="H85">IFERROR(INDEX('PORTIFÓLIO'!$H$4:$H$433,MATCH($C85,'PORTIFÓLIO'!$C$4:$C$433,0)),"")</f>
        <v/>
      </c>
      <c r="I85" s="255"/>
      <c r="J85" s="218">
        <f t="shared" si="10"/>
        <v>0</v>
      </c>
      <c r="K85" s="219" t="str">
        <f t="array" ref="K85">IFERROR(I85*INDEX('PORTIFÓLIO'!$S$4:$S$433,MATCH($C85,'PORTIFÓLIO'!$C$4:$C$433,0)),"")</f>
        <v/>
      </c>
      <c r="L85" s="219" t="str">
        <f t="array" ref="L85">IFERROR(J85*INDEX('PORTIFÓLIO'!$S$4:$S$433,MATCH($C85,'PORTIFÓLIO'!$C$4:$C$433,0)),"")</f>
        <v/>
      </c>
      <c r="M85" s="220"/>
      <c r="N85" s="220"/>
      <c r="O85" s="220"/>
      <c r="P85" s="220"/>
      <c r="Q85" s="220"/>
      <c r="R85" s="220"/>
      <c r="S85" s="220"/>
      <c r="T85" s="220"/>
      <c r="U85" s="220"/>
      <c r="V85" s="220"/>
      <c r="W85" s="220"/>
    </row>
    <row r="86" ht="15.75" customHeight="1" outlineLevel="1">
      <c r="A86" s="211"/>
      <c r="B86" s="212"/>
      <c r="C86" s="213"/>
      <c r="D86" s="214" t="str">
        <f>IFERROR(VLOOKUP($C86,'PORTIFÓLIO'!C:V,2,0),"")</f>
        <v/>
      </c>
      <c r="E86" s="211" t="str">
        <f>IFERROR(VLOOKUP($C86,'PORTIFÓLIO'!C:V,3,0),"")</f>
        <v/>
      </c>
      <c r="F86" s="211" t="str">
        <f>IFERROR(VLOOKUP($C86,'PORTIFÓLIO'!C:V,4,0),"")</f>
        <v/>
      </c>
      <c r="G86" s="215" t="str">
        <f>IFERROR(VLOOKUP($C86,'PORTIFÓLIO'!C:V,5,0),"")</f>
        <v/>
      </c>
      <c r="H86" s="254" t="str">
        <f t="array" ref="H86">IFERROR(INDEX('PORTIFÓLIO'!$H$4:$H$433,MATCH($C86,'PORTIFÓLIO'!$C$4:$C$433,0)),"")</f>
        <v/>
      </c>
      <c r="I86" s="256"/>
      <c r="J86" s="218">
        <f t="shared" si="10"/>
        <v>0</v>
      </c>
      <c r="K86" s="219" t="str">
        <f t="array" ref="K86">IFERROR(I86*INDEX('PORTIFÓLIO'!$S$4:$S$433,MATCH($C86,'PORTIFÓLIO'!$C$4:$C$433,0)),"")</f>
        <v/>
      </c>
      <c r="L86" s="219" t="str">
        <f t="array" ref="L86">IFERROR(J86*INDEX('PORTIFÓLIO'!$S$4:$S$433,MATCH($C86,'PORTIFÓLIO'!$C$4:$C$433,0)),"")</f>
        <v/>
      </c>
      <c r="M86" s="220"/>
      <c r="N86" s="220"/>
      <c r="O86" s="220"/>
      <c r="P86" s="220"/>
      <c r="Q86" s="220"/>
      <c r="R86" s="220"/>
      <c r="S86" s="220"/>
      <c r="T86" s="220"/>
      <c r="U86" s="220"/>
      <c r="V86" s="220"/>
      <c r="W86" s="220"/>
    </row>
    <row r="87" ht="15.75" customHeight="1" outlineLevel="1">
      <c r="A87" s="211"/>
      <c r="B87" s="212"/>
      <c r="C87" s="213"/>
      <c r="D87" s="214" t="str">
        <f>IFERROR(VLOOKUP($C87,'PORTIFÓLIO'!C:V,2,0),"")</f>
        <v/>
      </c>
      <c r="E87" s="211" t="str">
        <f>IFERROR(VLOOKUP($C87,'PORTIFÓLIO'!C:V,3,0),"")</f>
        <v/>
      </c>
      <c r="F87" s="211" t="str">
        <f>IFERROR(VLOOKUP($C87,'PORTIFÓLIO'!C:V,4,0),"")</f>
        <v/>
      </c>
      <c r="G87" s="215" t="str">
        <f>IFERROR(VLOOKUP($C87,'PORTIFÓLIO'!C:V,5,0),"")</f>
        <v/>
      </c>
      <c r="H87" s="254" t="str">
        <f t="array" ref="H87">IFERROR(INDEX('PORTIFÓLIO'!$H$4:$H$433,MATCH($C87,'PORTIFÓLIO'!$C$4:$C$433,0)),"")</f>
        <v/>
      </c>
      <c r="I87" s="256"/>
      <c r="J87" s="218">
        <f t="shared" si="10"/>
        <v>0</v>
      </c>
      <c r="K87" s="219" t="str">
        <f t="array" ref="K87">IFERROR(I87*INDEX('PORTIFÓLIO'!$S$4:$S$433,MATCH($C87,'PORTIFÓLIO'!$C$4:$C$433,0)),"")</f>
        <v/>
      </c>
      <c r="L87" s="219" t="str">
        <f t="array" ref="L87">IFERROR(J87*INDEX('PORTIFÓLIO'!$S$4:$S$433,MATCH($C87,'PORTIFÓLIO'!$C$4:$C$433,0)),"")</f>
        <v/>
      </c>
      <c r="M87" s="220"/>
      <c r="N87" s="220"/>
      <c r="O87" s="220"/>
      <c r="P87" s="220"/>
      <c r="Q87" s="220"/>
      <c r="R87" s="220"/>
      <c r="S87" s="220"/>
      <c r="T87" s="220"/>
      <c r="U87" s="220"/>
      <c r="V87" s="220"/>
      <c r="W87" s="220"/>
    </row>
    <row r="88" ht="15.75" customHeight="1" outlineLevel="1">
      <c r="A88" s="211"/>
      <c r="B88" s="212"/>
      <c r="C88" s="213"/>
      <c r="D88" s="214" t="str">
        <f>IFERROR(VLOOKUP($C88,'PORTIFÓLIO'!C:V,2,0),"")</f>
        <v/>
      </c>
      <c r="E88" s="211" t="str">
        <f>IFERROR(VLOOKUP($C88,'PORTIFÓLIO'!C:V,3,0),"")</f>
        <v/>
      </c>
      <c r="F88" s="211" t="str">
        <f>IFERROR(VLOOKUP($C88,'PORTIFÓLIO'!C:V,4,0),"")</f>
        <v/>
      </c>
      <c r="G88" s="215" t="str">
        <f>IFERROR(VLOOKUP($C88,'PORTIFÓLIO'!C:V,5,0),"")</f>
        <v/>
      </c>
      <c r="H88" s="254" t="str">
        <f t="array" ref="H88">IFERROR(INDEX('PORTIFÓLIO'!$H$4:$H$433,MATCH($C88,'PORTIFÓLIO'!$C$4:$C$433,0)),"")</f>
        <v/>
      </c>
      <c r="I88" s="256"/>
      <c r="J88" s="218">
        <f t="shared" si="10"/>
        <v>0</v>
      </c>
      <c r="K88" s="219" t="str">
        <f t="array" ref="K88">IFERROR(I88*INDEX('PORTIFÓLIO'!$S$4:$S$433,MATCH($C88,'PORTIFÓLIO'!$C$4:$C$433,0)),"")</f>
        <v/>
      </c>
      <c r="L88" s="219" t="str">
        <f t="array" ref="L88">IFERROR(J88*INDEX('PORTIFÓLIO'!$S$4:$S$433,MATCH($C88,'PORTIFÓLIO'!$C$4:$C$433,0)),"")</f>
        <v/>
      </c>
      <c r="M88" s="220"/>
      <c r="N88" s="220"/>
      <c r="O88" s="220"/>
      <c r="P88" s="220"/>
      <c r="Q88" s="220"/>
      <c r="R88" s="220"/>
      <c r="S88" s="220"/>
      <c r="T88" s="220"/>
      <c r="U88" s="220"/>
      <c r="V88" s="220"/>
      <c r="W88" s="220"/>
    </row>
    <row r="89" ht="15.75" customHeight="1" outlineLevel="1">
      <c r="A89" s="211"/>
      <c r="B89" s="212"/>
      <c r="C89" s="213"/>
      <c r="D89" s="214" t="str">
        <f>IFERROR(VLOOKUP($C89,'PORTIFÓLIO'!C:V,2,0),"")</f>
        <v/>
      </c>
      <c r="E89" s="211" t="str">
        <f>IFERROR(VLOOKUP($C89,'PORTIFÓLIO'!C:V,3,0),"")</f>
        <v/>
      </c>
      <c r="F89" s="211" t="str">
        <f>IFERROR(VLOOKUP($C89,'PORTIFÓLIO'!C:V,4,0),"")</f>
        <v/>
      </c>
      <c r="G89" s="215" t="str">
        <f>IFERROR(VLOOKUP($C89,'PORTIFÓLIO'!C:V,5,0),"")</f>
        <v/>
      </c>
      <c r="H89" s="254" t="str">
        <f t="array" ref="H89">IFERROR(INDEX('PORTIFÓLIO'!$H$4:$H$433,MATCH($C89,'PORTIFÓLIO'!$C$4:$C$433,0)),"")</f>
        <v/>
      </c>
      <c r="I89" s="256"/>
      <c r="J89" s="218">
        <f t="shared" si="10"/>
        <v>0</v>
      </c>
      <c r="K89" s="219" t="str">
        <f t="array" ref="K89">IFERROR(I89*INDEX('PORTIFÓLIO'!$S$4:$S$433,MATCH($C89,'PORTIFÓLIO'!$C$4:$C$433,0)),"")</f>
        <v/>
      </c>
      <c r="L89" s="219" t="str">
        <f t="array" ref="L89">IFERROR(J89*INDEX('PORTIFÓLIO'!$S$4:$S$433,MATCH($C89,'PORTIFÓLIO'!$C$4:$C$433,0)),"")</f>
        <v/>
      </c>
      <c r="M89" s="220"/>
      <c r="N89" s="220"/>
      <c r="O89" s="220"/>
      <c r="P89" s="220"/>
      <c r="Q89" s="220"/>
      <c r="R89" s="220"/>
      <c r="S89" s="220"/>
      <c r="T89" s="220"/>
      <c r="U89" s="220"/>
      <c r="V89" s="220"/>
      <c r="W89" s="220"/>
    </row>
    <row r="90" ht="15.75" customHeight="1" outlineLevel="1">
      <c r="A90" s="211"/>
      <c r="B90" s="212"/>
      <c r="C90" s="213"/>
      <c r="D90" s="214" t="str">
        <f>IFERROR(VLOOKUP($C90,'PORTIFÓLIO'!C:V,2,0),"")</f>
        <v/>
      </c>
      <c r="E90" s="211" t="str">
        <f>IFERROR(VLOOKUP($C90,'PORTIFÓLIO'!C:V,3,0),"")</f>
        <v/>
      </c>
      <c r="F90" s="211" t="str">
        <f>IFERROR(VLOOKUP($C90,'PORTIFÓLIO'!C:V,4,0),"")</f>
        <v/>
      </c>
      <c r="G90" s="215" t="str">
        <f>IFERROR(VLOOKUP($C90,'PORTIFÓLIO'!C:V,5,0),"")</f>
        <v/>
      </c>
      <c r="H90" s="254" t="str">
        <f t="array" ref="H90">IFERROR(INDEX('PORTIFÓLIO'!$H$4:$H$433,MATCH($C90,'PORTIFÓLIO'!$C$4:$C$433,0)),"")</f>
        <v/>
      </c>
      <c r="I90" s="255"/>
      <c r="J90" s="218">
        <f t="shared" si="10"/>
        <v>0</v>
      </c>
      <c r="K90" s="219" t="str">
        <f t="array" ref="K90">IFERROR(I90*INDEX('PORTIFÓLIO'!$S$4:$S$433,MATCH($C90,'PORTIFÓLIO'!$C$4:$C$433,0)),"")</f>
        <v/>
      </c>
      <c r="L90" s="219" t="str">
        <f t="array" ref="L90">IFERROR(J90*INDEX('PORTIFÓLIO'!$S$4:$S$433,MATCH($C90,'PORTIFÓLIO'!$C$4:$C$433,0)),"")</f>
        <v/>
      </c>
      <c r="M90" s="220"/>
      <c r="N90" s="220"/>
      <c r="O90" s="220"/>
      <c r="P90" s="220"/>
      <c r="Q90" s="220"/>
      <c r="R90" s="220"/>
      <c r="S90" s="220"/>
      <c r="T90" s="220"/>
      <c r="U90" s="220"/>
      <c r="V90" s="220"/>
      <c r="W90" s="220"/>
    </row>
    <row r="91" ht="15.75" customHeight="1" outlineLevel="1">
      <c r="A91" s="211"/>
      <c r="B91" s="212"/>
      <c r="C91" s="213"/>
      <c r="D91" s="214" t="str">
        <f>IFERROR(VLOOKUP($C91,'PORTIFÓLIO'!C:V,2,0),"")</f>
        <v/>
      </c>
      <c r="E91" s="211" t="str">
        <f>IFERROR(VLOOKUP($C91,'PORTIFÓLIO'!C:V,3,0),"")</f>
        <v/>
      </c>
      <c r="F91" s="211" t="str">
        <f>IFERROR(VLOOKUP($C91,'PORTIFÓLIO'!C:V,4,0),"")</f>
        <v/>
      </c>
      <c r="G91" s="215" t="str">
        <f>IFERROR(VLOOKUP($C91,'PORTIFÓLIO'!C:V,5,0),"")</f>
        <v/>
      </c>
      <c r="H91" s="254" t="str">
        <f t="array" ref="H91">IFERROR(INDEX('PORTIFÓLIO'!$H$4:$H$433,MATCH($C91,'PORTIFÓLIO'!$C$4:$C$433,0)),"")</f>
        <v/>
      </c>
      <c r="I91" s="256"/>
      <c r="J91" s="218">
        <f t="shared" si="10"/>
        <v>0</v>
      </c>
      <c r="K91" s="219" t="str">
        <f t="array" ref="K91">IFERROR(I91*INDEX('PORTIFÓLIO'!$S$4:$S$433,MATCH($C91,'PORTIFÓLIO'!$C$4:$C$433,0)),"")</f>
        <v/>
      </c>
      <c r="L91" s="219" t="str">
        <f t="array" ref="L91">IFERROR(J91*INDEX('PORTIFÓLIO'!$S$4:$S$433,MATCH($C91,'PORTIFÓLIO'!$C$4:$C$433,0)),"")</f>
        <v/>
      </c>
      <c r="M91" s="220"/>
      <c r="N91" s="220"/>
      <c r="O91" s="220"/>
      <c r="P91" s="220"/>
      <c r="Q91" s="220"/>
      <c r="R91" s="220"/>
      <c r="S91" s="220"/>
      <c r="T91" s="220"/>
      <c r="U91" s="220"/>
      <c r="V91" s="220"/>
      <c r="W91" s="220"/>
    </row>
    <row r="92" ht="15.75" customHeight="1" outlineLevel="1">
      <c r="A92" s="211"/>
      <c r="B92" s="212"/>
      <c r="C92" s="213"/>
      <c r="D92" s="214" t="str">
        <f>IFERROR(VLOOKUP($C92,'PORTIFÓLIO'!C:V,2,0),"")</f>
        <v/>
      </c>
      <c r="E92" s="211" t="str">
        <f>IFERROR(VLOOKUP($C92,'PORTIFÓLIO'!C:V,3,0),"")</f>
        <v/>
      </c>
      <c r="F92" s="211" t="str">
        <f>IFERROR(VLOOKUP($C92,'PORTIFÓLIO'!C:V,4,0),"")</f>
        <v/>
      </c>
      <c r="G92" s="215" t="str">
        <f>IFERROR(VLOOKUP($C92,'PORTIFÓLIO'!C:V,5,0),"")</f>
        <v/>
      </c>
      <c r="H92" s="254" t="str">
        <f t="array" ref="H92">IFERROR(INDEX('PORTIFÓLIO'!$H$4:$H$433,MATCH($C92,'PORTIFÓLIO'!$C$4:$C$433,0)),"")</f>
        <v/>
      </c>
      <c r="I92" s="256"/>
      <c r="J92" s="218">
        <f t="shared" si="10"/>
        <v>0</v>
      </c>
      <c r="K92" s="219" t="str">
        <f t="array" ref="K92">IFERROR(I92*INDEX('PORTIFÓLIO'!$S$4:$S$433,MATCH($C92,'PORTIFÓLIO'!$C$4:$C$433,0)),"")</f>
        <v/>
      </c>
      <c r="L92" s="219" t="str">
        <f t="array" ref="L92">IFERROR(J92*INDEX('PORTIFÓLIO'!$S$4:$S$433,MATCH($C92,'PORTIFÓLIO'!$C$4:$C$433,0)),"")</f>
        <v/>
      </c>
      <c r="M92" s="220"/>
      <c r="N92" s="220"/>
      <c r="O92" s="220"/>
      <c r="P92" s="220"/>
      <c r="Q92" s="220"/>
      <c r="R92" s="220"/>
      <c r="S92" s="220"/>
      <c r="T92" s="220"/>
      <c r="U92" s="220"/>
      <c r="V92" s="220"/>
      <c r="W92" s="220"/>
    </row>
    <row r="93" ht="15.75" customHeight="1" outlineLevel="1">
      <c r="A93" s="211"/>
      <c r="B93" s="212"/>
      <c r="C93" s="213"/>
      <c r="D93" s="214" t="str">
        <f>IFERROR(VLOOKUP($C93,'PORTIFÓLIO'!C:V,2,0),"")</f>
        <v/>
      </c>
      <c r="E93" s="211" t="str">
        <f>IFERROR(VLOOKUP($C93,'PORTIFÓLIO'!C:V,3,0),"")</f>
        <v/>
      </c>
      <c r="F93" s="211" t="str">
        <f>IFERROR(VLOOKUP($C93,'PORTIFÓLIO'!C:V,4,0),"")</f>
        <v/>
      </c>
      <c r="G93" s="215" t="str">
        <f>IFERROR(VLOOKUP($C93,'PORTIFÓLIO'!C:V,5,0),"")</f>
        <v/>
      </c>
      <c r="H93" s="254" t="str">
        <f t="array" ref="H93">IFERROR(INDEX('PORTIFÓLIO'!$H$4:$H$433,MATCH($C93,'PORTIFÓLIO'!$C$4:$C$433,0)),"")</f>
        <v/>
      </c>
      <c r="I93" s="256"/>
      <c r="J93" s="218">
        <f t="shared" si="10"/>
        <v>0</v>
      </c>
      <c r="K93" s="219" t="str">
        <f t="array" ref="K93">IFERROR(I93*INDEX('PORTIFÓLIO'!$S$4:$S$433,MATCH($C93,'PORTIFÓLIO'!$C$4:$C$433,0)),"")</f>
        <v/>
      </c>
      <c r="L93" s="219" t="str">
        <f t="array" ref="L93">IFERROR(J93*INDEX('PORTIFÓLIO'!$S$4:$S$433,MATCH($C93,'PORTIFÓLIO'!$C$4:$C$433,0)),"")</f>
        <v/>
      </c>
      <c r="M93" s="220"/>
      <c r="N93" s="220"/>
      <c r="O93" s="220"/>
      <c r="P93" s="220"/>
      <c r="Q93" s="220"/>
      <c r="R93" s="220"/>
      <c r="S93" s="220"/>
      <c r="T93" s="220"/>
      <c r="U93" s="220"/>
      <c r="V93" s="220"/>
      <c r="W93" s="220"/>
    </row>
    <row r="94" ht="15.75" customHeight="1" outlineLevel="1">
      <c r="A94" s="211"/>
      <c r="B94" s="212"/>
      <c r="C94" s="213"/>
      <c r="D94" s="214" t="str">
        <f>IFERROR(VLOOKUP($C94,'PORTIFÓLIO'!C:V,2,0),"")</f>
        <v/>
      </c>
      <c r="E94" s="211" t="str">
        <f>IFERROR(VLOOKUP($C94,'PORTIFÓLIO'!C:V,3,0),"")</f>
        <v/>
      </c>
      <c r="F94" s="211" t="str">
        <f>IFERROR(VLOOKUP($C94,'PORTIFÓLIO'!C:V,4,0),"")</f>
        <v/>
      </c>
      <c r="G94" s="215" t="str">
        <f>IFERROR(VLOOKUP($C94,'PORTIFÓLIO'!C:V,5,0),"")</f>
        <v/>
      </c>
      <c r="H94" s="254" t="str">
        <f t="array" ref="H94">IFERROR(INDEX('PORTIFÓLIO'!$H$4:$H$433,MATCH($C94,'PORTIFÓLIO'!$C$4:$C$433,0)),"")</f>
        <v/>
      </c>
      <c r="I94" s="256"/>
      <c r="J94" s="218">
        <f t="shared" si="10"/>
        <v>0</v>
      </c>
      <c r="K94" s="219" t="str">
        <f t="array" ref="K94">IFERROR(I94*INDEX('PORTIFÓLIO'!$S$4:$S$433,MATCH($C94,'PORTIFÓLIO'!$C$4:$C$433,0)),"")</f>
        <v/>
      </c>
      <c r="L94" s="219" t="str">
        <f t="array" ref="L94">IFERROR(J94*INDEX('PORTIFÓLIO'!$S$4:$S$433,MATCH($C94,'PORTIFÓLIO'!$C$4:$C$433,0)),"")</f>
        <v/>
      </c>
      <c r="M94" s="220"/>
      <c r="N94" s="220"/>
      <c r="O94" s="220"/>
      <c r="P94" s="220"/>
      <c r="Q94" s="220"/>
      <c r="R94" s="220"/>
      <c r="S94" s="220"/>
      <c r="T94" s="220"/>
      <c r="U94" s="220"/>
      <c r="V94" s="220"/>
      <c r="W94" s="220"/>
    </row>
    <row r="95" ht="15.75" customHeight="1" outlineLevel="1">
      <c r="A95" s="211"/>
      <c r="B95" s="212"/>
      <c r="C95" s="213"/>
      <c r="D95" s="214" t="str">
        <f>IFERROR(VLOOKUP($C95,'PORTIFÓLIO'!C:V,2,0),"")</f>
        <v/>
      </c>
      <c r="E95" s="211" t="str">
        <f>IFERROR(VLOOKUP($C95,'PORTIFÓLIO'!C:V,3,0),"")</f>
        <v/>
      </c>
      <c r="F95" s="211" t="str">
        <f>IFERROR(VLOOKUP($C95,'PORTIFÓLIO'!C:V,4,0),"")</f>
        <v/>
      </c>
      <c r="G95" s="215" t="str">
        <f>IFERROR(VLOOKUP($C95,'PORTIFÓLIO'!C:V,5,0),"")</f>
        <v/>
      </c>
      <c r="H95" s="254" t="str">
        <f t="array" ref="H95">IFERROR(INDEX('PORTIFÓLIO'!$H$4:$H$433,MATCH($C95,'PORTIFÓLIO'!$C$4:$C$433,0)),"")</f>
        <v/>
      </c>
      <c r="I95" s="256"/>
      <c r="J95" s="218">
        <f t="shared" si="10"/>
        <v>0</v>
      </c>
      <c r="K95" s="219" t="str">
        <f t="array" ref="K95">IFERROR(I95*INDEX('PORTIFÓLIO'!$S$4:$S$433,MATCH($C95,'PORTIFÓLIO'!$C$4:$C$433,0)),"")</f>
        <v/>
      </c>
      <c r="L95" s="219" t="str">
        <f t="array" ref="L95">IFERROR(J95*INDEX('PORTIFÓLIO'!$S$4:$S$433,MATCH($C95,'PORTIFÓLIO'!$C$4:$C$433,0)),"")</f>
        <v/>
      </c>
      <c r="M95" s="220"/>
      <c r="N95" s="220"/>
      <c r="O95" s="220"/>
      <c r="P95" s="220"/>
      <c r="Q95" s="220"/>
      <c r="R95" s="220"/>
      <c r="S95" s="220"/>
      <c r="T95" s="220"/>
      <c r="U95" s="220"/>
      <c r="V95" s="220"/>
      <c r="W95" s="220"/>
    </row>
    <row r="96" ht="15.75" customHeight="1" outlineLevel="1">
      <c r="A96" s="211"/>
      <c r="B96" s="212"/>
      <c r="C96" s="213"/>
      <c r="D96" s="214" t="str">
        <f>IFERROR(VLOOKUP($C96,'PORTIFÓLIO'!C:V,2,0),"")</f>
        <v/>
      </c>
      <c r="E96" s="211" t="str">
        <f>IFERROR(VLOOKUP($C96,'PORTIFÓLIO'!C:V,3,0),"")</f>
        <v/>
      </c>
      <c r="F96" s="211" t="str">
        <f>IFERROR(VLOOKUP($C96,'PORTIFÓLIO'!C:V,4,0),"")</f>
        <v/>
      </c>
      <c r="G96" s="215" t="str">
        <f>IFERROR(VLOOKUP($C96,'PORTIFÓLIO'!C:V,5,0),"")</f>
        <v/>
      </c>
      <c r="H96" s="254" t="str">
        <f t="array" ref="H96">IFERROR(INDEX('PORTIFÓLIO'!$H$4:$H$433,MATCH($C96,'PORTIFÓLIO'!$C$4:$C$433,0)),"")</f>
        <v/>
      </c>
      <c r="I96" s="256"/>
      <c r="J96" s="218">
        <f t="shared" si="10"/>
        <v>0</v>
      </c>
      <c r="K96" s="219" t="str">
        <f t="array" ref="K96">IFERROR(I96*INDEX('PORTIFÓLIO'!$S$4:$S$433,MATCH($C96,'PORTIFÓLIO'!$C$4:$C$433,0)),"")</f>
        <v/>
      </c>
      <c r="L96" s="219" t="str">
        <f t="array" ref="L96">IFERROR(J96*INDEX('PORTIFÓLIO'!$S$4:$S$433,MATCH($C96,'PORTIFÓLIO'!$C$4:$C$433,0)),"")</f>
        <v/>
      </c>
      <c r="M96" s="220"/>
      <c r="N96" s="220"/>
      <c r="O96" s="220"/>
      <c r="P96" s="220"/>
      <c r="Q96" s="220"/>
      <c r="R96" s="220"/>
      <c r="S96" s="220"/>
      <c r="T96" s="220"/>
      <c r="U96" s="220"/>
      <c r="V96" s="220"/>
      <c r="W96" s="220"/>
    </row>
    <row r="97" ht="15.75" customHeight="1">
      <c r="A97" s="229" t="s">
        <v>1189</v>
      </c>
      <c r="B97" s="230"/>
      <c r="C97" s="231"/>
      <c r="D97" s="232"/>
      <c r="E97" s="231"/>
      <c r="F97" s="231"/>
      <c r="G97" s="233"/>
      <c r="H97" s="233"/>
      <c r="I97" s="258"/>
      <c r="J97" s="236"/>
      <c r="K97" s="237">
        <f t="shared" ref="K97:L97" si="11">SUBTOTAL(9,K98:K111)</f>
        <v>70.984595</v>
      </c>
      <c r="L97" s="237">
        <f t="shared" si="11"/>
        <v>9937.8433</v>
      </c>
      <c r="M97" s="220"/>
      <c r="N97" s="220"/>
      <c r="O97" s="220"/>
      <c r="P97" s="220"/>
      <c r="Q97" s="220"/>
      <c r="R97" s="220"/>
      <c r="S97" s="220"/>
      <c r="T97" s="220"/>
      <c r="U97" s="220"/>
      <c r="V97" s="220"/>
      <c r="W97" s="220"/>
    </row>
    <row r="98" ht="15.75" customHeight="1" outlineLevel="1">
      <c r="A98" s="213"/>
      <c r="B98" s="212" t="s">
        <v>0</v>
      </c>
      <c r="C98" s="213" t="s">
        <v>434</v>
      </c>
      <c r="D98" s="214" t="str">
        <f>IFERROR(VLOOKUP($C98,'PORTIFÓLIO'!C:V,2,0),"")</f>
        <v>AZOXISTROBINA + TEBUCONAZOL</v>
      </c>
      <c r="E98" s="211" t="str">
        <f>IFERROR(VLOOKUP($C98,'PORTIFÓLIO'!C:V,3,0),"")</f>
        <v>120 + 200</v>
      </c>
      <c r="F98" s="211" t="str">
        <f>IFERROR(VLOOKUP($C98,'PORTIFÓLIO'!C:V,4,0),"")</f>
        <v>L</v>
      </c>
      <c r="G98" s="225" t="str">
        <f>IFERROR(VLOOKUP($C98,'PORTIFÓLIO'!C:V,5,0),"")</f>
        <v>📄 Ver bula</v>
      </c>
      <c r="H98" s="254">
        <f t="array" ref="H98">IFERROR(INDEX('PORTIFÓLIO'!$H$4:$H$433,MATCH($C98,'PORTIFÓLIO'!$C$4:$C$433,0)),"")</f>
        <v>0.5</v>
      </c>
      <c r="I98" s="255">
        <v>0.5</v>
      </c>
      <c r="J98" s="218">
        <f t="shared" ref="J98:J112" si="12">I98*$B$2</f>
        <v>70</v>
      </c>
      <c r="K98" s="219">
        <f t="array" ref="K98">IFERROR(I98*INDEX('PORTIFÓLIO'!$S$4:$S$433,MATCH($C98,'PORTIFÓLIO'!$C$4:$C$433,0)),"")</f>
        <v>17.66448</v>
      </c>
      <c r="L98" s="219">
        <f t="array" ref="L98">IFERROR(J98*INDEX('PORTIFÓLIO'!$S$4:$S$433,MATCH($C98,'PORTIFÓLIO'!$C$4:$C$433,0)),"")</f>
        <v>2473.0272</v>
      </c>
      <c r="M98" s="220"/>
      <c r="N98" s="220"/>
      <c r="O98" s="220"/>
      <c r="P98" s="220"/>
      <c r="Q98" s="220"/>
      <c r="R98" s="220"/>
      <c r="S98" s="220"/>
      <c r="T98" s="220"/>
      <c r="U98" s="220"/>
      <c r="V98" s="220"/>
      <c r="W98" s="220"/>
    </row>
    <row r="99" ht="15.75" customHeight="1" outlineLevel="1">
      <c r="A99" s="211"/>
      <c r="B99" s="212" t="s">
        <v>0</v>
      </c>
      <c r="C99" s="213" t="s">
        <v>484</v>
      </c>
      <c r="D99" s="214" t="str">
        <f>IFERROR(VLOOKUP($C99,'PORTIFÓLIO'!C:V,2,0),"")</f>
        <v>MANCOZEBE</v>
      </c>
      <c r="E99" s="211">
        <f>IFERROR(VLOOKUP($C99,'PORTIFÓLIO'!C:V,3,0),"")</f>
        <v>750</v>
      </c>
      <c r="F99" s="211" t="str">
        <f>IFERROR(VLOOKUP($C99,'PORTIFÓLIO'!C:V,4,0),"")</f>
        <v>L</v>
      </c>
      <c r="G99" s="225" t="str">
        <f>IFERROR(VLOOKUP($C99,'PORTIFÓLIO'!C:V,5,0),"")</f>
        <v>📄 Ver bula</v>
      </c>
      <c r="H99" s="254">
        <f t="array" ref="H99">IFERROR(INDEX('PORTIFÓLIO'!$H$4:$H$433,MATCH($C99,'PORTIFÓLIO'!$C$4:$C$433,0)),"")</f>
        <v>1.5</v>
      </c>
      <c r="I99" s="255">
        <v>1.0</v>
      </c>
      <c r="J99" s="218">
        <f t="shared" si="12"/>
        <v>140</v>
      </c>
      <c r="K99" s="219">
        <f t="array" ref="K99">IFERROR(I99*INDEX('PORTIFÓLIO'!$S$4:$S$433,MATCH($C99,'PORTIFÓLIO'!$C$4:$C$433,0)),"")</f>
        <v>27.68112</v>
      </c>
      <c r="L99" s="219">
        <f t="array" ref="L99">IFERROR(J99*INDEX('PORTIFÓLIO'!$S$4:$S$433,MATCH($C99,'PORTIFÓLIO'!$C$4:$C$433,0)),"")</f>
        <v>3875.3568</v>
      </c>
      <c r="M99" s="220"/>
      <c r="N99" s="220"/>
      <c r="O99" s="220"/>
      <c r="P99" s="220"/>
      <c r="Q99" s="220"/>
      <c r="R99" s="220"/>
      <c r="S99" s="220"/>
      <c r="T99" s="220"/>
      <c r="U99" s="220"/>
      <c r="V99" s="220"/>
      <c r="W99" s="220"/>
    </row>
    <row r="100" ht="15.75" customHeight="1" outlineLevel="1">
      <c r="A100" s="211"/>
      <c r="B100" s="212" t="s">
        <v>2</v>
      </c>
      <c r="C100" s="213" t="s">
        <v>844</v>
      </c>
      <c r="D100" s="214" t="str">
        <f>IFERROR(VLOOKUP($C100,'PORTIFÓLIO'!C:V,2,0),"")</f>
        <v>METOMIL</v>
      </c>
      <c r="E100" s="211">
        <f>IFERROR(VLOOKUP($C100,'PORTIFÓLIO'!C:V,3,0),"")</f>
        <v>215</v>
      </c>
      <c r="F100" s="211" t="str">
        <f>IFERROR(VLOOKUP($C100,'PORTIFÓLIO'!C:V,4,0),"")</f>
        <v>L</v>
      </c>
      <c r="G100" s="225" t="str">
        <f>IFERROR(VLOOKUP($C100,'PORTIFÓLIO'!C:V,5,0),"")</f>
        <v>📄 Ver bula</v>
      </c>
      <c r="H100" s="254">
        <f t="array" ref="H100">IFERROR(INDEX('PORTIFÓLIO'!$H$4:$H$433,MATCH($C100,'PORTIFÓLIO'!$C$4:$C$433,0)),"")</f>
        <v>1</v>
      </c>
      <c r="I100" s="255">
        <v>1.5</v>
      </c>
      <c r="J100" s="218">
        <f t="shared" si="12"/>
        <v>210</v>
      </c>
      <c r="K100" s="219">
        <f t="array" ref="K100">IFERROR(I100*INDEX('PORTIFÓLIO'!$S$4:$S$433,MATCH($C100,'PORTIFÓLIO'!$C$4:$C$433,0)),"")</f>
        <v>22.432995</v>
      </c>
      <c r="L100" s="219">
        <f t="array" ref="L100">IFERROR(J100*INDEX('PORTIFÓLIO'!$S$4:$S$433,MATCH($C100,'PORTIFÓLIO'!$C$4:$C$433,0)),"")</f>
        <v>3140.6193</v>
      </c>
      <c r="M100" s="220"/>
      <c r="N100" s="220"/>
      <c r="O100" s="220"/>
      <c r="P100" s="220"/>
      <c r="Q100" s="220"/>
      <c r="R100" s="220"/>
      <c r="S100" s="220"/>
      <c r="T100" s="220"/>
      <c r="U100" s="220"/>
      <c r="V100" s="220"/>
      <c r="W100" s="220"/>
    </row>
    <row r="101" ht="15.75" customHeight="1" outlineLevel="1">
      <c r="A101" s="211"/>
      <c r="B101" s="212" t="s">
        <v>6</v>
      </c>
      <c r="C101" s="213" t="s">
        <v>354</v>
      </c>
      <c r="D101" s="214" t="str">
        <f>IFERROR(VLOOKUP($C101,'PORTIFÓLIO'!C:V,2,0),"")</f>
        <v>OLEO MINERAL</v>
      </c>
      <c r="E101" s="211">
        <f>IFERROR(VLOOKUP($C101,'PORTIFÓLIO'!C:V,3,0),"")</f>
        <v>761</v>
      </c>
      <c r="F101" s="211" t="str">
        <f>IFERROR(VLOOKUP($C101,'PORTIFÓLIO'!C:V,4,0),"")</f>
        <v>L</v>
      </c>
      <c r="G101" s="225" t="str">
        <f>IFERROR(VLOOKUP($C101,'PORTIFÓLIO'!C:V,5,0),"")</f>
        <v>📄 Ver bula</v>
      </c>
      <c r="H101" s="254">
        <f t="array" ref="H101">IFERROR(INDEX('PORTIFÓLIO'!$H$4:$H$433,MATCH($C101,'PORTIFÓLIO'!$C$4:$C$433,0)),"")</f>
        <v>0.2</v>
      </c>
      <c r="I101" s="255">
        <v>0.2</v>
      </c>
      <c r="J101" s="218">
        <f t="shared" si="12"/>
        <v>28</v>
      </c>
      <c r="K101" s="219">
        <f t="array" ref="K101">IFERROR(I101*INDEX('PORTIFÓLIO'!$S$4:$S$433,MATCH($C101,'PORTIFÓLIO'!$C$4:$C$433,0)),"")</f>
        <v>3.206</v>
      </c>
      <c r="L101" s="219">
        <f t="array" ref="L101">IFERROR(J101*INDEX('PORTIFÓLIO'!$S$4:$S$433,MATCH($C101,'PORTIFÓLIO'!$C$4:$C$433,0)),"")</f>
        <v>448.84</v>
      </c>
      <c r="M101" s="220"/>
      <c r="N101" s="220"/>
      <c r="O101" s="220"/>
      <c r="P101" s="220"/>
      <c r="Q101" s="220"/>
      <c r="R101" s="220"/>
      <c r="S101" s="220"/>
      <c r="T101" s="220"/>
      <c r="U101" s="220"/>
      <c r="V101" s="220"/>
      <c r="W101" s="220"/>
    </row>
    <row r="102" ht="15.75" customHeight="1" outlineLevel="1">
      <c r="A102" s="211"/>
      <c r="B102" s="212"/>
      <c r="C102" s="213"/>
      <c r="D102" s="214" t="str">
        <f>IFERROR(VLOOKUP($C102,'PORTIFÓLIO'!C:V,2,0),"")</f>
        <v/>
      </c>
      <c r="E102" s="211" t="str">
        <f>IFERROR(VLOOKUP($C102,'PORTIFÓLIO'!C:V,3,0),"")</f>
        <v/>
      </c>
      <c r="F102" s="211" t="str">
        <f>IFERROR(VLOOKUP($C102,'PORTIFÓLIO'!C:V,4,0),"")</f>
        <v/>
      </c>
      <c r="G102" s="215" t="str">
        <f>IFERROR(VLOOKUP($C102,'PORTIFÓLIO'!C:V,5,0),"")</f>
        <v/>
      </c>
      <c r="H102" s="254" t="str">
        <f t="array" ref="H102">IFERROR(INDEX('PORTIFÓLIO'!$H$4:$H$433,MATCH($C102,'PORTIFÓLIO'!$C$4:$C$433,0)),"")</f>
        <v/>
      </c>
      <c r="I102" s="256"/>
      <c r="J102" s="218">
        <f t="shared" si="12"/>
        <v>0</v>
      </c>
      <c r="K102" s="219" t="str">
        <f t="array" ref="K102">IFERROR(I102*INDEX('PORTIFÓLIO'!$S$4:$S$433,MATCH($C102,'PORTIFÓLIO'!$C$4:$C$433,0)),"")</f>
        <v/>
      </c>
      <c r="L102" s="219" t="str">
        <f t="array" ref="L102">IFERROR(J102*INDEX('PORTIFÓLIO'!$S$4:$S$433,MATCH($C102,'PORTIFÓLIO'!$C$4:$C$433,0)),"")</f>
        <v/>
      </c>
      <c r="M102" s="220"/>
      <c r="N102" s="220"/>
      <c r="O102" s="220"/>
      <c r="P102" s="220"/>
      <c r="Q102" s="220"/>
      <c r="R102" s="220"/>
      <c r="S102" s="220"/>
      <c r="T102" s="220"/>
      <c r="U102" s="220"/>
      <c r="V102" s="220"/>
      <c r="W102" s="220"/>
    </row>
    <row r="103" ht="15.75" customHeight="1" outlineLevel="1">
      <c r="A103" s="211"/>
      <c r="B103" s="212"/>
      <c r="C103" s="213"/>
      <c r="D103" s="214" t="str">
        <f>IFERROR(VLOOKUP($C103,'PORTIFÓLIO'!C:V,2,0),"")</f>
        <v/>
      </c>
      <c r="E103" s="211" t="str">
        <f>IFERROR(VLOOKUP($C103,'PORTIFÓLIO'!C:V,3,0),"")</f>
        <v/>
      </c>
      <c r="F103" s="211" t="str">
        <f>IFERROR(VLOOKUP($C103,'PORTIFÓLIO'!C:V,4,0),"")</f>
        <v/>
      </c>
      <c r="G103" s="215" t="str">
        <f>IFERROR(VLOOKUP($C103,'PORTIFÓLIO'!C:V,5,0),"")</f>
        <v/>
      </c>
      <c r="H103" s="254" t="str">
        <f t="array" ref="H103">IFERROR(INDEX('PORTIFÓLIO'!$H$4:$H$433,MATCH($C103,'PORTIFÓLIO'!$C$4:$C$433,0)),"")</f>
        <v/>
      </c>
      <c r="I103" s="256"/>
      <c r="J103" s="218">
        <f t="shared" si="12"/>
        <v>0</v>
      </c>
      <c r="K103" s="219" t="str">
        <f t="array" ref="K103">IFERROR(I103*INDEX('PORTIFÓLIO'!$S$4:$S$433,MATCH($C103,'PORTIFÓLIO'!$C$4:$C$433,0)),"")</f>
        <v/>
      </c>
      <c r="L103" s="219" t="str">
        <f t="array" ref="L103">IFERROR(J103*INDEX('PORTIFÓLIO'!$S$4:$S$433,MATCH($C103,'PORTIFÓLIO'!$C$4:$C$433,0)),"")</f>
        <v/>
      </c>
      <c r="M103" s="220"/>
      <c r="N103" s="220"/>
      <c r="O103" s="220"/>
      <c r="P103" s="220"/>
      <c r="Q103" s="220"/>
      <c r="R103" s="220"/>
      <c r="S103" s="220"/>
      <c r="T103" s="220"/>
      <c r="U103" s="220"/>
      <c r="V103" s="220"/>
      <c r="W103" s="220"/>
    </row>
    <row r="104" ht="15.75" customHeight="1" outlineLevel="1">
      <c r="A104" s="211"/>
      <c r="B104" s="212"/>
      <c r="C104" s="213"/>
      <c r="D104" s="214" t="str">
        <f>IFERROR(VLOOKUP($C104,'PORTIFÓLIO'!C:V,2,0),"")</f>
        <v/>
      </c>
      <c r="E104" s="211" t="str">
        <f>IFERROR(VLOOKUP($C104,'PORTIFÓLIO'!C:V,3,0),"")</f>
        <v/>
      </c>
      <c r="F104" s="211" t="str">
        <f>IFERROR(VLOOKUP($C104,'PORTIFÓLIO'!C:V,4,0),"")</f>
        <v/>
      </c>
      <c r="G104" s="215" t="str">
        <f>IFERROR(VLOOKUP($C104,'PORTIFÓLIO'!C:V,5,0),"")</f>
        <v/>
      </c>
      <c r="H104" s="254" t="str">
        <f t="array" ref="H104">IFERROR(INDEX('PORTIFÓLIO'!$H$4:$H$433,MATCH($C104,'PORTIFÓLIO'!$C$4:$C$433,0)),"")</f>
        <v/>
      </c>
      <c r="I104" s="256"/>
      <c r="J104" s="218">
        <f t="shared" si="12"/>
        <v>0</v>
      </c>
      <c r="K104" s="219" t="str">
        <f t="array" ref="K104">IFERROR(I104*INDEX('PORTIFÓLIO'!$S$4:$S$433,MATCH($C104,'PORTIFÓLIO'!$C$4:$C$433,0)),"")</f>
        <v/>
      </c>
      <c r="L104" s="219" t="str">
        <f t="array" ref="L104">IFERROR(J104*INDEX('PORTIFÓLIO'!$S$4:$S$433,MATCH($C104,'PORTIFÓLIO'!$C$4:$C$433,0)),"")</f>
        <v/>
      </c>
      <c r="M104" s="220"/>
      <c r="N104" s="220"/>
      <c r="O104" s="220"/>
      <c r="P104" s="220"/>
      <c r="Q104" s="220"/>
      <c r="R104" s="220"/>
      <c r="S104" s="220"/>
      <c r="T104" s="220"/>
      <c r="U104" s="220"/>
      <c r="V104" s="220"/>
      <c r="W104" s="220"/>
    </row>
    <row r="105" ht="15.75" customHeight="1" outlineLevel="1">
      <c r="A105" s="211"/>
      <c r="B105" s="212"/>
      <c r="C105" s="213"/>
      <c r="D105" s="214" t="str">
        <f>IFERROR(VLOOKUP($C105,'PORTIFÓLIO'!C:V,2,0),"")</f>
        <v/>
      </c>
      <c r="E105" s="211" t="str">
        <f>IFERROR(VLOOKUP($C105,'PORTIFÓLIO'!C:V,3,0),"")</f>
        <v/>
      </c>
      <c r="F105" s="211" t="str">
        <f>IFERROR(VLOOKUP($C105,'PORTIFÓLIO'!C:V,4,0),"")</f>
        <v/>
      </c>
      <c r="G105" s="215" t="str">
        <f>IFERROR(VLOOKUP($C105,'PORTIFÓLIO'!C:V,5,0),"")</f>
        <v/>
      </c>
      <c r="H105" s="254" t="str">
        <f t="array" ref="H105">IFERROR(INDEX('PORTIFÓLIO'!$H$4:$H$433,MATCH($C105,'PORTIFÓLIO'!$C$4:$C$433,0)),"")</f>
        <v/>
      </c>
      <c r="I105" s="256"/>
      <c r="J105" s="218">
        <f t="shared" si="12"/>
        <v>0</v>
      </c>
      <c r="K105" s="219" t="str">
        <f t="array" ref="K105">IFERROR(I105*INDEX('PORTIFÓLIO'!$S$4:$S$433,MATCH($C105,'PORTIFÓLIO'!$C$4:$C$433,0)),"")</f>
        <v/>
      </c>
      <c r="L105" s="219" t="str">
        <f t="array" ref="L105">IFERROR(J105*INDEX('PORTIFÓLIO'!$S$4:$S$433,MATCH($C105,'PORTIFÓLIO'!$C$4:$C$433,0)),"")</f>
        <v/>
      </c>
      <c r="M105" s="220"/>
      <c r="N105" s="220"/>
      <c r="O105" s="220"/>
      <c r="P105" s="220"/>
      <c r="Q105" s="220"/>
      <c r="R105" s="220"/>
      <c r="S105" s="220"/>
      <c r="T105" s="220"/>
      <c r="U105" s="220"/>
      <c r="V105" s="220"/>
      <c r="W105" s="220"/>
    </row>
    <row r="106" ht="15.75" customHeight="1" outlineLevel="1">
      <c r="A106" s="211"/>
      <c r="B106" s="212"/>
      <c r="C106" s="213"/>
      <c r="D106" s="214" t="str">
        <f>IFERROR(VLOOKUP($C106,'PORTIFÓLIO'!C:V,2,0),"")</f>
        <v/>
      </c>
      <c r="E106" s="211" t="str">
        <f>IFERROR(VLOOKUP($C106,'PORTIFÓLIO'!C:V,3,0),"")</f>
        <v/>
      </c>
      <c r="F106" s="211" t="str">
        <f>IFERROR(VLOOKUP($C106,'PORTIFÓLIO'!C:V,4,0),"")</f>
        <v/>
      </c>
      <c r="G106" s="215" t="str">
        <f>IFERROR(VLOOKUP($C106,'PORTIFÓLIO'!C:V,5,0),"")</f>
        <v/>
      </c>
      <c r="H106" s="254" t="str">
        <f t="array" ref="H106">IFERROR(INDEX('PORTIFÓLIO'!$H$4:$H$433,MATCH($C106,'PORTIFÓLIO'!$C$4:$C$433,0)),"")</f>
        <v/>
      </c>
      <c r="I106" s="255"/>
      <c r="J106" s="218">
        <f t="shared" si="12"/>
        <v>0</v>
      </c>
      <c r="K106" s="219" t="str">
        <f t="array" ref="K106">IFERROR(I106*INDEX('PORTIFÓLIO'!$S$4:$S$433,MATCH($C106,'PORTIFÓLIO'!$C$4:$C$433,0)),"")</f>
        <v/>
      </c>
      <c r="L106" s="219" t="str">
        <f t="array" ref="L106">IFERROR(J106*INDEX('PORTIFÓLIO'!$S$4:$S$433,MATCH($C106,'PORTIFÓLIO'!$C$4:$C$433,0)),"")</f>
        <v/>
      </c>
      <c r="M106" s="220"/>
      <c r="N106" s="220"/>
      <c r="O106" s="220"/>
      <c r="P106" s="220"/>
      <c r="Q106" s="220"/>
      <c r="R106" s="220"/>
      <c r="S106" s="220"/>
      <c r="T106" s="220"/>
      <c r="U106" s="220"/>
      <c r="V106" s="220"/>
      <c r="W106" s="220"/>
    </row>
    <row r="107" ht="15.75" customHeight="1" outlineLevel="1">
      <c r="A107" s="211"/>
      <c r="B107" s="212"/>
      <c r="C107" s="213"/>
      <c r="D107" s="214" t="str">
        <f>IFERROR(VLOOKUP($C107,'PORTIFÓLIO'!C:V,2,0),"")</f>
        <v/>
      </c>
      <c r="E107" s="211" t="str">
        <f>IFERROR(VLOOKUP($C107,'PORTIFÓLIO'!C:V,3,0),"")</f>
        <v/>
      </c>
      <c r="F107" s="211" t="str">
        <f>IFERROR(VLOOKUP($C107,'PORTIFÓLIO'!C:V,4,0),"")</f>
        <v/>
      </c>
      <c r="G107" s="215" t="str">
        <f>IFERROR(VLOOKUP($C107,'PORTIFÓLIO'!C:V,5,0),"")</f>
        <v/>
      </c>
      <c r="H107" s="254" t="str">
        <f t="array" ref="H107">IFERROR(INDEX('PORTIFÓLIO'!$H$4:$H$433,MATCH($C107,'PORTIFÓLIO'!$C$4:$C$433,0)),"")</f>
        <v/>
      </c>
      <c r="I107" s="256"/>
      <c r="J107" s="218">
        <f t="shared" si="12"/>
        <v>0</v>
      </c>
      <c r="K107" s="219" t="str">
        <f t="array" ref="K107">IFERROR(I107*INDEX('PORTIFÓLIO'!$S$4:$S$433,MATCH($C107,'PORTIFÓLIO'!$C$4:$C$433,0)),"")</f>
        <v/>
      </c>
      <c r="L107" s="219" t="str">
        <f t="array" ref="L107">IFERROR(J107*INDEX('PORTIFÓLIO'!$S$4:$S$433,MATCH($C107,'PORTIFÓLIO'!$C$4:$C$433,0)),"")</f>
        <v/>
      </c>
      <c r="M107" s="220"/>
      <c r="N107" s="220"/>
      <c r="O107" s="220"/>
      <c r="P107" s="220"/>
      <c r="Q107" s="220"/>
      <c r="R107" s="220"/>
      <c r="S107" s="220"/>
      <c r="T107" s="220"/>
      <c r="U107" s="220"/>
      <c r="V107" s="220"/>
      <c r="W107" s="220"/>
    </row>
    <row r="108" ht="15.75" customHeight="1" outlineLevel="1">
      <c r="A108" s="211"/>
      <c r="B108" s="212"/>
      <c r="C108" s="213"/>
      <c r="D108" s="214" t="str">
        <f>IFERROR(VLOOKUP($C108,'PORTIFÓLIO'!C:V,2,0),"")</f>
        <v/>
      </c>
      <c r="E108" s="211" t="str">
        <f>IFERROR(VLOOKUP($C108,'PORTIFÓLIO'!C:V,3,0),"")</f>
        <v/>
      </c>
      <c r="F108" s="211" t="str">
        <f>IFERROR(VLOOKUP($C108,'PORTIFÓLIO'!C:V,4,0),"")</f>
        <v/>
      </c>
      <c r="G108" s="215" t="str">
        <f>IFERROR(VLOOKUP($C108,'PORTIFÓLIO'!C:V,5,0),"")</f>
        <v/>
      </c>
      <c r="H108" s="254" t="str">
        <f t="array" ref="H108">IFERROR(INDEX('PORTIFÓLIO'!$H$4:$H$433,MATCH($C108,'PORTIFÓLIO'!$C$4:$C$433,0)),"")</f>
        <v/>
      </c>
      <c r="I108" s="256"/>
      <c r="J108" s="218">
        <f t="shared" si="12"/>
        <v>0</v>
      </c>
      <c r="K108" s="219" t="str">
        <f t="array" ref="K108">IFERROR(I108*INDEX('PORTIFÓLIO'!$S$4:$S$433,MATCH($C108,'PORTIFÓLIO'!$C$4:$C$433,0)),"")</f>
        <v/>
      </c>
      <c r="L108" s="219" t="str">
        <f t="array" ref="L108">IFERROR(J108*INDEX('PORTIFÓLIO'!$S$4:$S$433,MATCH($C108,'PORTIFÓLIO'!$C$4:$C$433,0)),"")</f>
        <v/>
      </c>
      <c r="M108" s="220"/>
      <c r="N108" s="220"/>
      <c r="O108" s="220"/>
      <c r="P108" s="220"/>
      <c r="Q108" s="220"/>
      <c r="R108" s="220"/>
      <c r="S108" s="220"/>
      <c r="T108" s="220"/>
      <c r="U108" s="220"/>
      <c r="V108" s="220"/>
      <c r="W108" s="220"/>
    </row>
    <row r="109" ht="15.75" customHeight="1" outlineLevel="1">
      <c r="A109" s="211"/>
      <c r="B109" s="212"/>
      <c r="C109" s="213"/>
      <c r="D109" s="214" t="str">
        <f>IFERROR(VLOOKUP($C109,'PORTIFÓLIO'!C:V,2,0),"")</f>
        <v/>
      </c>
      <c r="E109" s="211" t="str">
        <f>IFERROR(VLOOKUP($C109,'PORTIFÓLIO'!C:V,3,0),"")</f>
        <v/>
      </c>
      <c r="F109" s="211" t="str">
        <f>IFERROR(VLOOKUP($C109,'PORTIFÓLIO'!C:V,4,0),"")</f>
        <v/>
      </c>
      <c r="G109" s="215" t="str">
        <f>IFERROR(VLOOKUP($C109,'PORTIFÓLIO'!C:V,5,0),"")</f>
        <v/>
      </c>
      <c r="H109" s="254" t="str">
        <f t="array" ref="H109">IFERROR(INDEX('PORTIFÓLIO'!$H$4:$H$433,MATCH($C109,'PORTIFÓLIO'!$C$4:$C$433,0)),"")</f>
        <v/>
      </c>
      <c r="I109" s="256"/>
      <c r="J109" s="218">
        <f t="shared" si="12"/>
        <v>0</v>
      </c>
      <c r="K109" s="219" t="str">
        <f t="array" ref="K109">IFERROR(I109*INDEX('PORTIFÓLIO'!$S$4:$S$433,MATCH($C109,'PORTIFÓLIO'!$C$4:$C$433,0)),"")</f>
        <v/>
      </c>
      <c r="L109" s="219" t="str">
        <f t="array" ref="L109">IFERROR(J109*INDEX('PORTIFÓLIO'!$S$4:$S$433,MATCH($C109,'PORTIFÓLIO'!$C$4:$C$433,0)),"")</f>
        <v/>
      </c>
      <c r="M109" s="220"/>
      <c r="N109" s="220"/>
      <c r="O109" s="220"/>
      <c r="P109" s="220"/>
      <c r="Q109" s="220"/>
      <c r="R109" s="220"/>
      <c r="S109" s="220"/>
      <c r="T109" s="220"/>
      <c r="U109" s="220"/>
      <c r="V109" s="220"/>
      <c r="W109" s="220"/>
    </row>
    <row r="110" ht="15.75" customHeight="1" outlineLevel="1">
      <c r="A110" s="211"/>
      <c r="B110" s="212"/>
      <c r="C110" s="213"/>
      <c r="D110" s="214" t="str">
        <f>IFERROR(VLOOKUP($C110,'PORTIFÓLIO'!C:V,2,0),"")</f>
        <v/>
      </c>
      <c r="E110" s="211" t="str">
        <f>IFERROR(VLOOKUP($C110,'PORTIFÓLIO'!C:V,3,0),"")</f>
        <v/>
      </c>
      <c r="F110" s="211" t="str">
        <f>IFERROR(VLOOKUP($C110,'PORTIFÓLIO'!C:V,4,0),"")</f>
        <v/>
      </c>
      <c r="G110" s="215" t="str">
        <f>IFERROR(VLOOKUP($C110,'PORTIFÓLIO'!C:V,5,0),"")</f>
        <v/>
      </c>
      <c r="H110" s="254" t="str">
        <f t="array" ref="H110">IFERROR(INDEX('PORTIFÓLIO'!$H$4:$H$433,MATCH($C110,'PORTIFÓLIO'!$C$4:$C$433,0)),"")</f>
        <v/>
      </c>
      <c r="I110" s="256"/>
      <c r="J110" s="218">
        <f t="shared" si="12"/>
        <v>0</v>
      </c>
      <c r="K110" s="219" t="str">
        <f t="array" ref="K110">IFERROR(I110*INDEX('PORTIFÓLIO'!$S$4:$S$433,MATCH($C110,'PORTIFÓLIO'!$C$4:$C$433,0)),"")</f>
        <v/>
      </c>
      <c r="L110" s="219" t="str">
        <f t="array" ref="L110">IFERROR(J110*INDEX('PORTIFÓLIO'!$S$4:$S$433,MATCH($C110,'PORTIFÓLIO'!$C$4:$C$433,0)),"")</f>
        <v/>
      </c>
      <c r="M110" s="220"/>
      <c r="N110" s="220"/>
      <c r="O110" s="220"/>
      <c r="P110" s="220"/>
      <c r="Q110" s="220"/>
      <c r="R110" s="220"/>
      <c r="S110" s="220"/>
      <c r="T110" s="220"/>
      <c r="U110" s="220"/>
      <c r="V110" s="220"/>
      <c r="W110" s="220"/>
    </row>
    <row r="111" ht="15.75" customHeight="1" outlineLevel="1">
      <c r="A111" s="211"/>
      <c r="B111" s="212"/>
      <c r="C111" s="213"/>
      <c r="D111" s="214" t="str">
        <f>IFERROR(VLOOKUP($C111,'PORTIFÓLIO'!C:V,2,0),"")</f>
        <v/>
      </c>
      <c r="E111" s="211" t="str">
        <f>IFERROR(VLOOKUP($C111,'PORTIFÓLIO'!C:V,3,0),"")</f>
        <v/>
      </c>
      <c r="F111" s="211" t="str">
        <f>IFERROR(VLOOKUP($C111,'PORTIFÓLIO'!C:V,4,0),"")</f>
        <v/>
      </c>
      <c r="G111" s="215" t="str">
        <f>IFERROR(VLOOKUP($C111,'PORTIFÓLIO'!C:V,5,0),"")</f>
        <v/>
      </c>
      <c r="H111" s="254" t="str">
        <f t="array" ref="H111">IFERROR(INDEX('PORTIFÓLIO'!$H$4:$H$433,MATCH($C111,'PORTIFÓLIO'!$C$4:$C$433,0)),"")</f>
        <v/>
      </c>
      <c r="I111" s="256"/>
      <c r="J111" s="218">
        <f t="shared" si="12"/>
        <v>0</v>
      </c>
      <c r="K111" s="219" t="str">
        <f t="array" ref="K111">IFERROR(I111*INDEX('PORTIFÓLIO'!$S$4:$S$433,MATCH($C111,'PORTIFÓLIO'!$C$4:$C$433,0)),"")</f>
        <v/>
      </c>
      <c r="L111" s="219" t="str">
        <f t="array" ref="L111">IFERROR(J111*INDEX('PORTIFÓLIO'!$S$4:$S$433,MATCH($C111,'PORTIFÓLIO'!$C$4:$C$433,0)),"")</f>
        <v/>
      </c>
      <c r="M111" s="220"/>
      <c r="N111" s="220"/>
      <c r="O111" s="220"/>
      <c r="P111" s="220"/>
      <c r="Q111" s="220"/>
      <c r="R111" s="220"/>
      <c r="S111" s="220"/>
      <c r="T111" s="220"/>
      <c r="U111" s="220"/>
      <c r="V111" s="220"/>
      <c r="W111" s="220"/>
    </row>
    <row r="112" ht="15.75" customHeight="1" outlineLevel="1">
      <c r="A112" s="211"/>
      <c r="B112" s="212"/>
      <c r="C112" s="213"/>
      <c r="D112" s="214" t="str">
        <f>IFERROR(VLOOKUP($C112,'PORTIFÓLIO'!C:V,2,0),"")</f>
        <v/>
      </c>
      <c r="E112" s="211" t="str">
        <f>IFERROR(VLOOKUP($C112,'PORTIFÓLIO'!C:V,3,0),"")</f>
        <v/>
      </c>
      <c r="F112" s="211" t="str">
        <f>IFERROR(VLOOKUP($C112,'PORTIFÓLIO'!C:V,4,0),"")</f>
        <v/>
      </c>
      <c r="G112" s="215" t="str">
        <f>IFERROR(VLOOKUP($C112,'PORTIFÓLIO'!C:V,5,0),"")</f>
        <v/>
      </c>
      <c r="H112" s="254" t="str">
        <f t="array" ref="H112">IFERROR(INDEX('PORTIFÓLIO'!$H$4:$H$433,MATCH($C112,'PORTIFÓLIO'!$C$4:$C$433,0)),"")</f>
        <v/>
      </c>
      <c r="I112" s="256"/>
      <c r="J112" s="218">
        <f t="shared" si="12"/>
        <v>0</v>
      </c>
      <c r="K112" s="219" t="str">
        <f t="array" ref="K112">IFERROR(I112*INDEX('PORTIFÓLIO'!$S$4:$S$433,MATCH($C112,'PORTIFÓLIO'!$C$4:$C$433,0)),"")</f>
        <v/>
      </c>
      <c r="L112" s="219" t="str">
        <f t="array" ref="L112">IFERROR(J112*INDEX('PORTIFÓLIO'!$S$4:$S$433,MATCH($C112,'PORTIFÓLIO'!$C$4:$C$433,0)),"")</f>
        <v/>
      </c>
      <c r="M112" s="220"/>
      <c r="N112" s="220"/>
      <c r="O112" s="220"/>
      <c r="P112" s="220"/>
      <c r="Q112" s="220"/>
      <c r="R112" s="220"/>
      <c r="S112" s="220"/>
      <c r="T112" s="220"/>
      <c r="U112" s="220"/>
      <c r="V112" s="220"/>
      <c r="W112" s="220"/>
    </row>
    <row r="113" ht="15.75" customHeight="1" outlineLevel="1">
      <c r="A113" s="211"/>
      <c r="B113" s="212"/>
      <c r="C113" s="211"/>
      <c r="D113" s="214" t="str">
        <f>IFERROR(VLOOKUP($C113,'PORTIFÓLIO'!C:V,2,0),"")</f>
        <v/>
      </c>
      <c r="E113" s="211" t="str">
        <f>IFERROR(VLOOKUP($C113,'PORTIFÓLIO'!C:V,3,0),"")</f>
        <v/>
      </c>
      <c r="F113" s="211" t="str">
        <f>IFERROR(VLOOKUP($C113,'PORTIFÓLIO'!C:V,4,0),"")</f>
        <v/>
      </c>
      <c r="G113" s="215" t="str">
        <f>IFERROR(VLOOKUP($C113,'PORTIFÓLIO'!C:V,5,0),"")</f>
        <v/>
      </c>
      <c r="H113" s="254" t="str">
        <f t="array" ref="H113">IFERROR(INDEX('PORTIFÓLIO'!$H$4:$H$433,MATCH($C113,'PORTIFÓLIO'!$C$4:$C$433,0)),"")</f>
        <v/>
      </c>
      <c r="I113" s="256"/>
      <c r="J113" s="218"/>
      <c r="K113" s="219" t="str">
        <f t="array" ref="K113">IFERROR(I113*INDEX('PORTIFÓLIO'!$S$4:$S$433,MATCH($C113,'PORTIFÓLIO'!$C$4:$C$433,0)),"")</f>
        <v/>
      </c>
      <c r="L113" s="219" t="str">
        <f t="array" ref="L113">IFERROR(J113*INDEX('PORTIFÓLIO'!$S$4:$S$433,MATCH($C113,'PORTIFÓLIO'!$C$4:$C$433,0)),"")</f>
        <v/>
      </c>
      <c r="M113" s="220"/>
      <c r="N113" s="220"/>
      <c r="O113" s="220"/>
      <c r="P113" s="220"/>
      <c r="Q113" s="220"/>
      <c r="R113" s="220"/>
      <c r="S113" s="220"/>
      <c r="T113" s="220"/>
      <c r="U113" s="220"/>
      <c r="V113" s="220"/>
      <c r="W113" s="220"/>
    </row>
    <row r="114" ht="15.75" customHeight="1">
      <c r="A114" s="229" t="s">
        <v>1190</v>
      </c>
      <c r="B114" s="230"/>
      <c r="C114" s="231"/>
      <c r="D114" s="232"/>
      <c r="E114" s="231"/>
      <c r="F114" s="231"/>
      <c r="G114" s="233"/>
      <c r="H114" s="233"/>
      <c r="I114" s="258"/>
      <c r="J114" s="236"/>
      <c r="K114" s="237">
        <f t="shared" ref="K114:L114" si="13">SUBTOTAL(9,K115:K128)</f>
        <v>100.94945</v>
      </c>
      <c r="L114" s="237">
        <f t="shared" si="13"/>
        <v>14132.923</v>
      </c>
      <c r="M114" s="220"/>
      <c r="N114" s="220"/>
      <c r="O114" s="220"/>
      <c r="P114" s="220"/>
      <c r="Q114" s="220"/>
      <c r="R114" s="220"/>
      <c r="S114" s="220"/>
      <c r="T114" s="220"/>
      <c r="U114" s="220"/>
      <c r="V114" s="220"/>
      <c r="W114" s="220"/>
    </row>
    <row r="115" ht="15.75" customHeight="1" outlineLevel="1">
      <c r="A115" s="213"/>
      <c r="B115" s="212" t="s">
        <v>0</v>
      </c>
      <c r="C115" s="283" t="s">
        <v>434</v>
      </c>
      <c r="D115" s="214" t="str">
        <f>IFERROR(VLOOKUP($C115,'PORTIFÓLIO'!C:V,2,0),"")</f>
        <v>AZOXISTROBINA + TEBUCONAZOL</v>
      </c>
      <c r="E115" s="211" t="str">
        <f>IFERROR(VLOOKUP($C115,'PORTIFÓLIO'!C:V,3,0),"")</f>
        <v>120 + 200</v>
      </c>
      <c r="F115" s="211" t="str">
        <f>IFERROR(VLOOKUP($C115,'PORTIFÓLIO'!C:V,4,0),"")</f>
        <v>L</v>
      </c>
      <c r="G115" s="225" t="str">
        <f>IFERROR(VLOOKUP($C115,'PORTIFÓLIO'!C:V,5,0),"")</f>
        <v>📄 Ver bula</v>
      </c>
      <c r="H115" s="254">
        <f t="array" ref="H115">IFERROR(INDEX('PORTIFÓLIO'!$H$4:$H$433,MATCH($C115,'PORTIFÓLIO'!$C$4:$C$433,0)),"")</f>
        <v>0.5</v>
      </c>
      <c r="I115" s="255">
        <v>0.5</v>
      </c>
      <c r="J115" s="218">
        <f t="shared" ref="J115:J129" si="14">I115*$B$2</f>
        <v>70</v>
      </c>
      <c r="K115" s="219">
        <f t="array" ref="K115">IFERROR(I115*INDEX('PORTIFÓLIO'!$S$4:$S$433,MATCH($C115,'PORTIFÓLIO'!$C$4:$C$433,0)),"")</f>
        <v>17.66448</v>
      </c>
      <c r="L115" s="219">
        <f t="array" ref="L115">IFERROR(J115*INDEX('PORTIFÓLIO'!$S$4:$S$433,MATCH($C115,'PORTIFÓLIO'!$C$4:$C$433,0)),"")</f>
        <v>2473.0272</v>
      </c>
      <c r="M115" s="220"/>
      <c r="N115" s="220"/>
      <c r="O115" s="220"/>
      <c r="P115" s="220"/>
      <c r="Q115" s="220"/>
      <c r="R115" s="220"/>
      <c r="S115" s="220"/>
      <c r="T115" s="220"/>
      <c r="U115" s="220"/>
      <c r="V115" s="220"/>
      <c r="W115" s="220"/>
    </row>
    <row r="116" ht="15.75" customHeight="1" outlineLevel="1">
      <c r="A116" s="211"/>
      <c r="B116" s="212" t="s">
        <v>0</v>
      </c>
      <c r="C116" s="283" t="s">
        <v>484</v>
      </c>
      <c r="D116" s="214" t="str">
        <f>IFERROR(VLOOKUP($C116,'PORTIFÓLIO'!C:V,2,0),"")</f>
        <v>MANCOZEBE</v>
      </c>
      <c r="E116" s="211">
        <f>IFERROR(VLOOKUP($C116,'PORTIFÓLIO'!C:V,3,0),"")</f>
        <v>750</v>
      </c>
      <c r="F116" s="211" t="str">
        <f>IFERROR(VLOOKUP($C116,'PORTIFÓLIO'!C:V,4,0),"")</f>
        <v>L</v>
      </c>
      <c r="G116" s="225" t="str">
        <f>IFERROR(VLOOKUP($C116,'PORTIFÓLIO'!C:V,5,0),"")</f>
        <v>📄 Ver bula</v>
      </c>
      <c r="H116" s="254">
        <f t="array" ref="H116">IFERROR(INDEX('PORTIFÓLIO'!$H$4:$H$433,MATCH($C116,'PORTIFÓLIO'!$C$4:$C$433,0)),"")</f>
        <v>1.5</v>
      </c>
      <c r="I116" s="255">
        <v>1.5</v>
      </c>
      <c r="J116" s="218">
        <f t="shared" si="14"/>
        <v>210</v>
      </c>
      <c r="K116" s="219">
        <f t="array" ref="K116">IFERROR(I116*INDEX('PORTIFÓLIO'!$S$4:$S$433,MATCH($C116,'PORTIFÓLIO'!$C$4:$C$433,0)),"")</f>
        <v>41.52168</v>
      </c>
      <c r="L116" s="219">
        <f t="array" ref="L116">IFERROR(J116*INDEX('PORTIFÓLIO'!$S$4:$S$433,MATCH($C116,'PORTIFÓLIO'!$C$4:$C$433,0)),"")</f>
        <v>5813.0352</v>
      </c>
      <c r="M116" s="220"/>
      <c r="N116" s="220"/>
      <c r="O116" s="220"/>
      <c r="P116" s="220"/>
      <c r="Q116" s="220"/>
      <c r="R116" s="220"/>
      <c r="S116" s="220"/>
      <c r="T116" s="220"/>
      <c r="U116" s="220"/>
      <c r="V116" s="220"/>
      <c r="W116" s="220"/>
    </row>
    <row r="117" ht="15.75" customHeight="1" outlineLevel="1">
      <c r="A117" s="211"/>
      <c r="B117" s="212" t="s">
        <v>2</v>
      </c>
      <c r="C117" s="283" t="s">
        <v>837</v>
      </c>
      <c r="D117" s="214" t="str">
        <f>IFERROR(VLOOKUP($C117,'PORTIFÓLIO'!C:V,2,0),"")</f>
        <v>CLORFENAPIR</v>
      </c>
      <c r="E117" s="211">
        <f>IFERROR(VLOOKUP($C117,'PORTIFÓLIO'!C:V,3,0),"")</f>
        <v>240</v>
      </c>
      <c r="F117" s="211" t="str">
        <f>IFERROR(VLOOKUP($C117,'PORTIFÓLIO'!C:V,4,0),"")</f>
        <v>KG</v>
      </c>
      <c r="G117" s="225" t="str">
        <f>IFERROR(VLOOKUP($C117,'PORTIFÓLIO'!C:V,5,0),"")</f>
        <v>📄 Ver bula</v>
      </c>
      <c r="H117" s="254">
        <f t="array" ref="H117">IFERROR(INDEX('PORTIFÓLIO'!$H$4:$H$433,MATCH($C117,'PORTIFÓLIO'!$C$4:$C$433,0)),"")</f>
        <v>1</v>
      </c>
      <c r="I117" s="255">
        <v>1.0</v>
      </c>
      <c r="J117" s="218">
        <f t="shared" si="14"/>
        <v>140</v>
      </c>
      <c r="K117" s="219">
        <f t="array" ref="K117">IFERROR(I117*INDEX('PORTIFÓLIO'!$S$4:$S$433,MATCH($C117,'PORTIFÓLIO'!$C$4:$C$433,0)),"")</f>
        <v>38.55729</v>
      </c>
      <c r="L117" s="219">
        <f t="array" ref="L117">IFERROR(J117*INDEX('PORTIFÓLIO'!$S$4:$S$433,MATCH($C117,'PORTIFÓLIO'!$C$4:$C$433,0)),"")</f>
        <v>5398.0206</v>
      </c>
      <c r="M117" s="220"/>
      <c r="N117" s="220"/>
      <c r="O117" s="220"/>
      <c r="P117" s="220"/>
      <c r="Q117" s="220"/>
      <c r="R117" s="220"/>
      <c r="S117" s="220"/>
      <c r="T117" s="220"/>
      <c r="U117" s="220"/>
      <c r="V117" s="220"/>
      <c r="W117" s="220"/>
    </row>
    <row r="118" ht="15.75" customHeight="1" outlineLevel="1">
      <c r="A118" s="211"/>
      <c r="B118" s="212" t="s">
        <v>6</v>
      </c>
      <c r="C118" s="283" t="s">
        <v>354</v>
      </c>
      <c r="D118" s="214" t="str">
        <f>IFERROR(VLOOKUP($C118,'PORTIFÓLIO'!C:V,2,0),"")</f>
        <v>OLEO MINERAL</v>
      </c>
      <c r="E118" s="211">
        <f>IFERROR(VLOOKUP($C118,'PORTIFÓLIO'!C:V,3,0),"")</f>
        <v>761</v>
      </c>
      <c r="F118" s="211" t="str">
        <f>IFERROR(VLOOKUP($C118,'PORTIFÓLIO'!C:V,4,0),"")</f>
        <v>L</v>
      </c>
      <c r="G118" s="225" t="str">
        <f>IFERROR(VLOOKUP($C118,'PORTIFÓLIO'!C:V,5,0),"")</f>
        <v>📄 Ver bula</v>
      </c>
      <c r="H118" s="254">
        <f t="array" ref="H118">IFERROR(INDEX('PORTIFÓLIO'!$H$4:$H$433,MATCH($C118,'PORTIFÓLIO'!$C$4:$C$433,0)),"")</f>
        <v>0.2</v>
      </c>
      <c r="I118" s="255">
        <v>0.2</v>
      </c>
      <c r="J118" s="218">
        <f t="shared" si="14"/>
        <v>28</v>
      </c>
      <c r="K118" s="219">
        <f t="array" ref="K118">IFERROR(I118*INDEX('PORTIFÓLIO'!$S$4:$S$433,MATCH($C118,'PORTIFÓLIO'!$C$4:$C$433,0)),"")</f>
        <v>3.206</v>
      </c>
      <c r="L118" s="219">
        <f t="array" ref="L118">IFERROR(J118*INDEX('PORTIFÓLIO'!$S$4:$S$433,MATCH($C118,'PORTIFÓLIO'!$C$4:$C$433,0)),"")</f>
        <v>448.84</v>
      </c>
      <c r="M118" s="220"/>
      <c r="N118" s="220"/>
      <c r="O118" s="220"/>
      <c r="P118" s="220"/>
      <c r="Q118" s="220"/>
      <c r="R118" s="220"/>
      <c r="S118" s="220"/>
      <c r="T118" s="220"/>
      <c r="U118" s="220"/>
      <c r="V118" s="220"/>
      <c r="W118" s="220"/>
    </row>
    <row r="119" ht="15.75" customHeight="1" outlineLevel="1">
      <c r="A119" s="211"/>
      <c r="B119" s="212"/>
      <c r="C119" s="283"/>
      <c r="D119" s="214" t="str">
        <f>IFERROR(VLOOKUP($C119,'PORTIFÓLIO'!C:V,2,0),"")</f>
        <v/>
      </c>
      <c r="E119" s="211" t="str">
        <f>IFERROR(VLOOKUP($C119,'PORTIFÓLIO'!C:V,3,0),"")</f>
        <v/>
      </c>
      <c r="F119" s="211" t="str">
        <f>IFERROR(VLOOKUP($C119,'PORTIFÓLIO'!C:V,4,0),"")</f>
        <v/>
      </c>
      <c r="G119" s="215" t="str">
        <f>IFERROR(VLOOKUP($C119,'PORTIFÓLIO'!C:V,5,0),"")</f>
        <v/>
      </c>
      <c r="H119" s="254" t="str">
        <f t="array" ref="H119">IFERROR(INDEX('PORTIFÓLIO'!$H$4:$H$433,MATCH($C119,'PORTIFÓLIO'!$C$4:$C$433,0)),"")</f>
        <v/>
      </c>
      <c r="I119" s="255"/>
      <c r="J119" s="218">
        <f t="shared" si="14"/>
        <v>0</v>
      </c>
      <c r="K119" s="219" t="str">
        <f t="array" ref="K119">IFERROR(I119*INDEX('PORTIFÓLIO'!$S$4:$S$433,MATCH($C119,'PORTIFÓLIO'!$C$4:$C$433,0)),"")</f>
        <v/>
      </c>
      <c r="L119" s="219" t="str">
        <f t="array" ref="L119">IFERROR(J119*INDEX('PORTIFÓLIO'!$S$4:$S$433,MATCH($C119,'PORTIFÓLIO'!$C$4:$C$433,0)),"")</f>
        <v/>
      </c>
      <c r="M119" s="220"/>
      <c r="N119" s="220"/>
      <c r="O119" s="220"/>
      <c r="P119" s="220"/>
      <c r="Q119" s="220"/>
      <c r="R119" s="220"/>
      <c r="S119" s="220"/>
      <c r="T119" s="220"/>
      <c r="U119" s="220"/>
      <c r="V119" s="220"/>
      <c r="W119" s="220"/>
    </row>
    <row r="120" ht="15.75" customHeight="1" outlineLevel="1">
      <c r="A120" s="211"/>
      <c r="B120" s="212"/>
      <c r="C120" s="213"/>
      <c r="D120" s="214" t="str">
        <f>IFERROR(VLOOKUP($C120,'PORTIFÓLIO'!C:V,2,0),"")</f>
        <v/>
      </c>
      <c r="E120" s="211" t="str">
        <f>IFERROR(VLOOKUP($C120,'PORTIFÓLIO'!C:V,3,0),"")</f>
        <v/>
      </c>
      <c r="F120" s="211" t="str">
        <f>IFERROR(VLOOKUP($C120,'PORTIFÓLIO'!C:V,4,0),"")</f>
        <v/>
      </c>
      <c r="G120" s="215" t="str">
        <f>IFERROR(VLOOKUP($C120,'PORTIFÓLIO'!C:V,5,0),"")</f>
        <v/>
      </c>
      <c r="H120" s="254" t="str">
        <f t="array" ref="H120">IFERROR(INDEX('PORTIFÓLIO'!$H$4:$H$433,MATCH($C120,'PORTIFÓLIO'!$C$4:$C$433,0)),"")</f>
        <v/>
      </c>
      <c r="I120" s="255"/>
      <c r="J120" s="218">
        <f t="shared" si="14"/>
        <v>0</v>
      </c>
      <c r="K120" s="219" t="str">
        <f t="array" ref="K120">IFERROR(I120*INDEX('PORTIFÓLIO'!$S$4:$S$433,MATCH($C120,'PORTIFÓLIO'!$C$4:$C$433,0)),"")</f>
        <v/>
      </c>
      <c r="L120" s="219" t="str">
        <f t="array" ref="L120">IFERROR(J120*INDEX('PORTIFÓLIO'!$S$4:$S$433,MATCH($C120,'PORTIFÓLIO'!$C$4:$C$433,0)),"")</f>
        <v/>
      </c>
      <c r="M120" s="220"/>
      <c r="N120" s="220"/>
      <c r="O120" s="220"/>
      <c r="P120" s="220"/>
      <c r="Q120" s="220"/>
      <c r="R120" s="220"/>
      <c r="S120" s="220"/>
      <c r="T120" s="220"/>
      <c r="U120" s="220"/>
      <c r="V120" s="220"/>
      <c r="W120" s="220"/>
    </row>
    <row r="121" ht="15.75" customHeight="1" outlineLevel="1">
      <c r="A121" s="211"/>
      <c r="B121" s="212"/>
      <c r="C121" s="213"/>
      <c r="D121" s="214" t="str">
        <f>IFERROR(VLOOKUP($C121,'PORTIFÓLIO'!C:V,2,0),"")</f>
        <v/>
      </c>
      <c r="E121" s="211" t="str">
        <f>IFERROR(VLOOKUP($C121,'PORTIFÓLIO'!C:V,3,0),"")</f>
        <v/>
      </c>
      <c r="F121" s="211" t="str">
        <f>IFERROR(VLOOKUP($C121,'PORTIFÓLIO'!C:V,4,0),"")</f>
        <v/>
      </c>
      <c r="G121" s="215" t="str">
        <f>IFERROR(VLOOKUP($C121,'PORTIFÓLIO'!C:V,5,0),"")</f>
        <v/>
      </c>
      <c r="H121" s="254" t="str">
        <f t="array" ref="H121">IFERROR(INDEX('PORTIFÓLIO'!$H$4:$H$433,MATCH($C121,'PORTIFÓLIO'!$C$4:$C$433,0)),"")</f>
        <v/>
      </c>
      <c r="I121" s="256"/>
      <c r="J121" s="218">
        <f t="shared" si="14"/>
        <v>0</v>
      </c>
      <c r="K121" s="219" t="str">
        <f t="array" ref="K121">IFERROR(I121*INDEX('PORTIFÓLIO'!$S$4:$S$433,MATCH($C121,'PORTIFÓLIO'!$C$4:$C$433,0)),"")</f>
        <v/>
      </c>
      <c r="L121" s="219" t="str">
        <f t="array" ref="L121">IFERROR(J121*INDEX('PORTIFÓLIO'!$S$4:$S$433,MATCH($C121,'PORTIFÓLIO'!$C$4:$C$433,0)),"")</f>
        <v/>
      </c>
      <c r="M121" s="220"/>
      <c r="N121" s="220"/>
      <c r="O121" s="220"/>
      <c r="P121" s="220"/>
      <c r="Q121" s="220"/>
      <c r="R121" s="220"/>
      <c r="S121" s="220"/>
      <c r="T121" s="220"/>
      <c r="U121" s="220"/>
      <c r="V121" s="220"/>
      <c r="W121" s="220"/>
    </row>
    <row r="122" ht="15.75" customHeight="1" outlineLevel="1">
      <c r="A122" s="211"/>
      <c r="B122" s="212"/>
      <c r="C122" s="213"/>
      <c r="D122" s="214" t="str">
        <f>IFERROR(VLOOKUP($C122,'PORTIFÓLIO'!C:V,2,0),"")</f>
        <v/>
      </c>
      <c r="E122" s="211" t="str">
        <f>IFERROR(VLOOKUP($C122,'PORTIFÓLIO'!C:V,3,0),"")</f>
        <v/>
      </c>
      <c r="F122" s="211" t="str">
        <f>IFERROR(VLOOKUP($C122,'PORTIFÓLIO'!C:V,4,0),"")</f>
        <v/>
      </c>
      <c r="G122" s="215" t="str">
        <f>IFERROR(VLOOKUP($C122,'PORTIFÓLIO'!C:V,5,0),"")</f>
        <v/>
      </c>
      <c r="H122" s="254" t="str">
        <f t="array" ref="H122">IFERROR(INDEX('PORTIFÓLIO'!$H$4:$H$433,MATCH($C122,'PORTIFÓLIO'!$C$4:$C$433,0)),"")</f>
        <v/>
      </c>
      <c r="I122" s="256"/>
      <c r="J122" s="218">
        <f t="shared" si="14"/>
        <v>0</v>
      </c>
      <c r="K122" s="219" t="str">
        <f t="array" ref="K122">IFERROR(I122*INDEX('PORTIFÓLIO'!$S$4:$S$433,MATCH($C122,'PORTIFÓLIO'!$C$4:$C$433,0)),"")</f>
        <v/>
      </c>
      <c r="L122" s="219" t="str">
        <f t="array" ref="L122">IFERROR(J122*INDEX('PORTIFÓLIO'!$S$4:$S$433,MATCH($C122,'PORTIFÓLIO'!$C$4:$C$433,0)),"")</f>
        <v/>
      </c>
      <c r="M122" s="220"/>
      <c r="N122" s="220"/>
      <c r="O122" s="220"/>
      <c r="P122" s="220"/>
      <c r="Q122" s="220"/>
      <c r="R122" s="220"/>
      <c r="S122" s="220"/>
      <c r="T122" s="220"/>
      <c r="U122" s="220"/>
      <c r="V122" s="220"/>
      <c r="W122" s="220"/>
    </row>
    <row r="123" ht="15.75" customHeight="1" outlineLevel="1">
      <c r="A123" s="211"/>
      <c r="B123" s="212"/>
      <c r="C123" s="213"/>
      <c r="D123" s="214" t="str">
        <f>IFERROR(VLOOKUP($C123,'PORTIFÓLIO'!C:V,2,0),"")</f>
        <v/>
      </c>
      <c r="E123" s="211" t="str">
        <f>IFERROR(VLOOKUP($C123,'PORTIFÓLIO'!C:V,3,0),"")</f>
        <v/>
      </c>
      <c r="F123" s="211" t="str">
        <f>IFERROR(VLOOKUP($C123,'PORTIFÓLIO'!C:V,4,0),"")</f>
        <v/>
      </c>
      <c r="G123" s="215" t="str">
        <f>IFERROR(VLOOKUP($C123,'PORTIFÓLIO'!C:V,5,0),"")</f>
        <v/>
      </c>
      <c r="H123" s="254" t="str">
        <f t="array" ref="H123">IFERROR(INDEX('PORTIFÓLIO'!$H$4:$H$433,MATCH($C123,'PORTIFÓLIO'!$C$4:$C$433,0)),"")</f>
        <v/>
      </c>
      <c r="I123" s="255"/>
      <c r="J123" s="218">
        <f t="shared" si="14"/>
        <v>0</v>
      </c>
      <c r="K123" s="219" t="str">
        <f t="array" ref="K123">IFERROR(I123*INDEX('PORTIFÓLIO'!$S$4:$S$433,MATCH($C123,'PORTIFÓLIO'!$C$4:$C$433,0)),"")</f>
        <v/>
      </c>
      <c r="L123" s="219" t="str">
        <f t="array" ref="L123">IFERROR(J123*INDEX('PORTIFÓLIO'!$S$4:$S$433,MATCH($C123,'PORTIFÓLIO'!$C$4:$C$433,0)),"")</f>
        <v/>
      </c>
      <c r="M123" s="220"/>
      <c r="N123" s="220"/>
      <c r="O123" s="220"/>
      <c r="P123" s="220"/>
      <c r="Q123" s="220"/>
      <c r="R123" s="220"/>
      <c r="S123" s="220"/>
      <c r="T123" s="220"/>
      <c r="U123" s="220"/>
      <c r="V123" s="220"/>
      <c r="W123" s="220"/>
    </row>
    <row r="124" ht="15.75" customHeight="1" outlineLevel="1">
      <c r="A124" s="211"/>
      <c r="B124" s="212"/>
      <c r="C124" s="213"/>
      <c r="D124" s="214" t="str">
        <f>IFERROR(VLOOKUP($C124,'PORTIFÓLIO'!C:V,2,0),"")</f>
        <v/>
      </c>
      <c r="E124" s="211" t="str">
        <f>IFERROR(VLOOKUP($C124,'PORTIFÓLIO'!C:V,3,0),"")</f>
        <v/>
      </c>
      <c r="F124" s="211" t="str">
        <f>IFERROR(VLOOKUP($C124,'PORTIFÓLIO'!C:V,4,0),"")</f>
        <v/>
      </c>
      <c r="G124" s="215" t="str">
        <f>IFERROR(VLOOKUP($C124,'PORTIFÓLIO'!C:V,5,0),"")</f>
        <v/>
      </c>
      <c r="H124" s="254" t="str">
        <f t="array" ref="H124">IFERROR(INDEX('PORTIFÓLIO'!$H$4:$H$433,MATCH($C124,'PORTIFÓLIO'!$C$4:$C$433,0)),"")</f>
        <v/>
      </c>
      <c r="I124" s="256"/>
      <c r="J124" s="218">
        <f t="shared" si="14"/>
        <v>0</v>
      </c>
      <c r="K124" s="219" t="str">
        <f t="array" ref="K124">IFERROR(I124*INDEX('PORTIFÓLIO'!$S$4:$S$433,MATCH($C124,'PORTIFÓLIO'!$C$4:$C$433,0)),"")</f>
        <v/>
      </c>
      <c r="L124" s="219" t="str">
        <f t="array" ref="L124">IFERROR(J124*INDEX('PORTIFÓLIO'!$S$4:$S$433,MATCH($C124,'PORTIFÓLIO'!$C$4:$C$433,0)),"")</f>
        <v/>
      </c>
      <c r="M124" s="220"/>
      <c r="N124" s="220"/>
      <c r="O124" s="220"/>
      <c r="P124" s="220"/>
      <c r="Q124" s="220"/>
      <c r="R124" s="220"/>
      <c r="S124" s="220"/>
      <c r="T124" s="220"/>
      <c r="U124" s="220"/>
      <c r="V124" s="220"/>
      <c r="W124" s="220"/>
    </row>
    <row r="125" ht="15.75" customHeight="1" outlineLevel="1">
      <c r="A125" s="211"/>
      <c r="B125" s="212"/>
      <c r="C125" s="213"/>
      <c r="D125" s="214" t="str">
        <f>IFERROR(VLOOKUP($C125,'PORTIFÓLIO'!C:V,2,0),"")</f>
        <v/>
      </c>
      <c r="E125" s="211" t="str">
        <f>IFERROR(VLOOKUP($C125,'PORTIFÓLIO'!C:V,3,0),"")</f>
        <v/>
      </c>
      <c r="F125" s="211" t="str">
        <f>IFERROR(VLOOKUP($C125,'PORTIFÓLIO'!C:V,4,0),"")</f>
        <v/>
      </c>
      <c r="G125" s="215" t="str">
        <f>IFERROR(VLOOKUP($C125,'PORTIFÓLIO'!C:V,5,0),"")</f>
        <v/>
      </c>
      <c r="H125" s="254" t="str">
        <f t="array" ref="H125">IFERROR(INDEX('PORTIFÓLIO'!$H$4:$H$433,MATCH($C125,'PORTIFÓLIO'!$C$4:$C$433,0)),"")</f>
        <v/>
      </c>
      <c r="I125" s="256"/>
      <c r="J125" s="218">
        <f t="shared" si="14"/>
        <v>0</v>
      </c>
      <c r="K125" s="219" t="str">
        <f t="array" ref="K125">IFERROR(I125*INDEX('PORTIFÓLIO'!$S$4:$S$433,MATCH($C125,'PORTIFÓLIO'!$C$4:$C$433,0)),"")</f>
        <v/>
      </c>
      <c r="L125" s="219" t="str">
        <f t="array" ref="L125">IFERROR(J125*INDEX('PORTIFÓLIO'!$S$4:$S$433,MATCH($C125,'PORTIFÓLIO'!$C$4:$C$433,0)),"")</f>
        <v/>
      </c>
      <c r="M125" s="220"/>
      <c r="N125" s="220"/>
      <c r="O125" s="220"/>
      <c r="P125" s="220"/>
      <c r="Q125" s="220"/>
      <c r="R125" s="220"/>
      <c r="S125" s="220"/>
      <c r="T125" s="220"/>
      <c r="U125" s="220"/>
      <c r="V125" s="220"/>
      <c r="W125" s="220"/>
    </row>
    <row r="126" ht="15.75" customHeight="1" outlineLevel="1">
      <c r="A126" s="211"/>
      <c r="B126" s="212"/>
      <c r="C126" s="213"/>
      <c r="D126" s="214" t="str">
        <f>IFERROR(VLOOKUP($C126,'PORTIFÓLIO'!C:V,2,0),"")</f>
        <v/>
      </c>
      <c r="E126" s="211" t="str">
        <f>IFERROR(VLOOKUP($C126,'PORTIFÓLIO'!C:V,3,0),"")</f>
        <v/>
      </c>
      <c r="F126" s="211" t="str">
        <f>IFERROR(VLOOKUP($C126,'PORTIFÓLIO'!C:V,4,0),"")</f>
        <v/>
      </c>
      <c r="G126" s="215" t="str">
        <f>IFERROR(VLOOKUP($C126,'PORTIFÓLIO'!C:V,5,0),"")</f>
        <v/>
      </c>
      <c r="H126" s="254" t="str">
        <f t="array" ref="H126">IFERROR(INDEX('PORTIFÓLIO'!$H$4:$H$433,MATCH($C126,'PORTIFÓLIO'!$C$4:$C$433,0)),"")</f>
        <v/>
      </c>
      <c r="I126" s="256"/>
      <c r="J126" s="218">
        <f t="shared" si="14"/>
        <v>0</v>
      </c>
      <c r="K126" s="219" t="str">
        <f t="array" ref="K126">IFERROR(I126*INDEX('PORTIFÓLIO'!$S$4:$S$433,MATCH($C126,'PORTIFÓLIO'!$C$4:$C$433,0)),"")</f>
        <v/>
      </c>
      <c r="L126" s="219" t="str">
        <f t="array" ref="L126">IFERROR(J126*INDEX('PORTIFÓLIO'!$S$4:$S$433,MATCH($C126,'PORTIFÓLIO'!$C$4:$C$433,0)),"")</f>
        <v/>
      </c>
      <c r="M126" s="220"/>
      <c r="N126" s="220"/>
      <c r="O126" s="220"/>
      <c r="P126" s="220"/>
      <c r="Q126" s="220"/>
      <c r="R126" s="220"/>
      <c r="S126" s="220"/>
      <c r="T126" s="220"/>
      <c r="U126" s="220"/>
      <c r="V126" s="220"/>
      <c r="W126" s="220"/>
    </row>
    <row r="127" ht="15.75" customHeight="1" outlineLevel="1">
      <c r="A127" s="211"/>
      <c r="B127" s="212"/>
      <c r="C127" s="213"/>
      <c r="D127" s="214" t="str">
        <f>IFERROR(VLOOKUP($C127,'PORTIFÓLIO'!C:V,2,0),"")</f>
        <v/>
      </c>
      <c r="E127" s="211" t="str">
        <f>IFERROR(VLOOKUP($C127,'PORTIFÓLIO'!C:V,3,0),"")</f>
        <v/>
      </c>
      <c r="F127" s="211" t="str">
        <f>IFERROR(VLOOKUP($C127,'PORTIFÓLIO'!C:V,4,0),"")</f>
        <v/>
      </c>
      <c r="G127" s="215" t="str">
        <f>IFERROR(VLOOKUP($C127,'PORTIFÓLIO'!C:V,5,0),"")</f>
        <v/>
      </c>
      <c r="H127" s="254" t="str">
        <f t="array" ref="H127">IFERROR(INDEX('PORTIFÓLIO'!$H$4:$H$433,MATCH($C127,'PORTIFÓLIO'!$C$4:$C$433,0)),"")</f>
        <v/>
      </c>
      <c r="I127" s="256"/>
      <c r="J127" s="218">
        <f t="shared" si="14"/>
        <v>0</v>
      </c>
      <c r="K127" s="219" t="str">
        <f t="array" ref="K127">IFERROR(I127*INDEX('PORTIFÓLIO'!$S$4:$S$433,MATCH($C127,'PORTIFÓLIO'!$C$4:$C$433,0)),"")</f>
        <v/>
      </c>
      <c r="L127" s="219" t="str">
        <f t="array" ref="L127">IFERROR(J127*INDEX('PORTIFÓLIO'!$S$4:$S$433,MATCH($C127,'PORTIFÓLIO'!$C$4:$C$433,0)),"")</f>
        <v/>
      </c>
      <c r="M127" s="220"/>
      <c r="N127" s="220"/>
      <c r="O127" s="220"/>
      <c r="P127" s="220"/>
      <c r="Q127" s="220"/>
      <c r="R127" s="220"/>
      <c r="S127" s="220"/>
      <c r="T127" s="220"/>
      <c r="U127" s="220"/>
      <c r="V127" s="220"/>
      <c r="W127" s="220"/>
    </row>
    <row r="128" ht="15.75" customHeight="1" outlineLevel="1">
      <c r="A128" s="211"/>
      <c r="B128" s="212"/>
      <c r="C128" s="213"/>
      <c r="D128" s="214" t="str">
        <f>IFERROR(VLOOKUP($C128,'PORTIFÓLIO'!C:V,2,0),"")</f>
        <v/>
      </c>
      <c r="E128" s="211" t="str">
        <f>IFERROR(VLOOKUP($C128,'PORTIFÓLIO'!C:V,3,0),"")</f>
        <v/>
      </c>
      <c r="F128" s="211" t="str">
        <f>IFERROR(VLOOKUP($C128,'PORTIFÓLIO'!C:V,4,0),"")</f>
        <v/>
      </c>
      <c r="G128" s="215" t="str">
        <f>IFERROR(VLOOKUP($C128,'PORTIFÓLIO'!C:V,5,0),"")</f>
        <v/>
      </c>
      <c r="H128" s="254" t="str">
        <f t="array" ref="H128">IFERROR(INDEX('PORTIFÓLIO'!$H$4:$H$433,MATCH($C128,'PORTIFÓLIO'!$C$4:$C$433,0)),"")</f>
        <v/>
      </c>
      <c r="I128" s="256"/>
      <c r="J128" s="218">
        <f t="shared" si="14"/>
        <v>0</v>
      </c>
      <c r="K128" s="219" t="str">
        <f t="array" ref="K128">IFERROR(I128*INDEX('PORTIFÓLIO'!$S$4:$S$433,MATCH($C128,'PORTIFÓLIO'!$C$4:$C$433,0)),"")</f>
        <v/>
      </c>
      <c r="L128" s="219" t="str">
        <f t="array" ref="L128">IFERROR(J128*INDEX('PORTIFÓLIO'!$S$4:$S$433,MATCH($C128,'PORTIFÓLIO'!$C$4:$C$433,0)),"")</f>
        <v/>
      </c>
      <c r="M128" s="220"/>
      <c r="N128" s="220"/>
      <c r="O128" s="220"/>
      <c r="P128" s="220"/>
      <c r="Q128" s="220"/>
      <c r="R128" s="220"/>
      <c r="S128" s="220"/>
      <c r="T128" s="220"/>
      <c r="U128" s="220"/>
      <c r="V128" s="220"/>
      <c r="W128" s="220"/>
    </row>
    <row r="129" ht="15.75" customHeight="1" outlineLevel="1">
      <c r="A129" s="211"/>
      <c r="B129" s="212"/>
      <c r="C129" s="213"/>
      <c r="D129" s="214" t="str">
        <f>IFERROR(VLOOKUP($C129,'PORTIFÓLIO'!C:V,2,0),"")</f>
        <v/>
      </c>
      <c r="E129" s="211" t="str">
        <f>IFERROR(VLOOKUP($C129,'PORTIFÓLIO'!C:V,3,0),"")</f>
        <v/>
      </c>
      <c r="F129" s="211" t="str">
        <f>IFERROR(VLOOKUP($C129,'PORTIFÓLIO'!C:V,4,0),"")</f>
        <v/>
      </c>
      <c r="G129" s="215" t="str">
        <f>IFERROR(VLOOKUP($C129,'PORTIFÓLIO'!C:V,5,0),"")</f>
        <v/>
      </c>
      <c r="H129" s="254" t="str">
        <f t="array" ref="H129">IFERROR(INDEX('PORTIFÓLIO'!$H$4:$H$433,MATCH($C129,'PORTIFÓLIO'!$C$4:$C$433,0)),"")</f>
        <v/>
      </c>
      <c r="I129" s="256"/>
      <c r="J129" s="218">
        <f t="shared" si="14"/>
        <v>0</v>
      </c>
      <c r="K129" s="219" t="str">
        <f t="array" ref="K129">IFERROR(I129*INDEX('PORTIFÓLIO'!$S$4:$S$433,MATCH($C129,'PORTIFÓLIO'!$C$4:$C$433,0)),"")</f>
        <v/>
      </c>
      <c r="L129" s="219" t="str">
        <f t="array" ref="L129">IFERROR(J129*INDEX('PORTIFÓLIO'!$S$4:$S$433,MATCH($C129,'PORTIFÓLIO'!$C$4:$C$433,0)),"")</f>
        <v/>
      </c>
      <c r="M129" s="220"/>
      <c r="N129" s="220"/>
      <c r="O129" s="220"/>
      <c r="P129" s="220"/>
      <c r="Q129" s="220"/>
      <c r="R129" s="220"/>
      <c r="S129" s="220"/>
      <c r="T129" s="220"/>
      <c r="U129" s="220"/>
      <c r="V129" s="220"/>
      <c r="W129" s="220"/>
    </row>
    <row r="130" ht="15.75" customHeight="1" outlineLevel="1">
      <c r="A130" s="211"/>
      <c r="B130" s="227"/>
      <c r="C130" s="211"/>
      <c r="D130" s="214" t="str">
        <f>IFERROR(VLOOKUP($C130,'PORTIFÓLIO'!C:V,2,0),"")</f>
        <v/>
      </c>
      <c r="E130" s="211" t="str">
        <f>IFERROR(VLOOKUP($C130,'PORTIFÓLIO'!C:V,3,0),"")</f>
        <v/>
      </c>
      <c r="F130" s="211" t="str">
        <f>IFERROR(VLOOKUP($C130,'PORTIFÓLIO'!C:V,4,0),"")</f>
        <v/>
      </c>
      <c r="G130" s="215" t="str">
        <f>IFERROR(VLOOKUP($C130,'PORTIFÓLIO'!C:V,5,0),"")</f>
        <v/>
      </c>
      <c r="H130" s="254" t="str">
        <f t="array" ref="H130">IFERROR(INDEX('PORTIFÓLIO'!$H$4:$H$433,MATCH($C130,'PORTIFÓLIO'!$C$4:$C$433,0)),"")</f>
        <v/>
      </c>
      <c r="I130" s="256"/>
      <c r="J130" s="218"/>
      <c r="K130" s="219" t="str">
        <f t="array" ref="K130">IFERROR(I130*INDEX('PORTIFÓLIO'!$S$4:$S$433,MATCH($C130,'PORTIFÓLIO'!$C$4:$C$433,0)),"")</f>
        <v/>
      </c>
      <c r="L130" s="219" t="str">
        <f t="array" ref="L130">IFERROR(J130*INDEX('PORTIFÓLIO'!$S$4:$S$433,MATCH($C130,'PORTIFÓLIO'!$C$4:$C$433,0)),"")</f>
        <v/>
      </c>
      <c r="M130" s="220"/>
      <c r="N130" s="220"/>
      <c r="O130" s="220"/>
      <c r="P130" s="220"/>
      <c r="Q130" s="220"/>
      <c r="R130" s="220"/>
      <c r="S130" s="220"/>
      <c r="T130" s="220"/>
      <c r="U130" s="220"/>
      <c r="V130" s="220"/>
      <c r="W130" s="220"/>
    </row>
    <row r="131" ht="15.75" customHeight="1">
      <c r="A131" s="229" t="s">
        <v>1191</v>
      </c>
      <c r="B131" s="230"/>
      <c r="C131" s="231"/>
      <c r="D131" s="232"/>
      <c r="E131" s="231"/>
      <c r="F131" s="231"/>
      <c r="G131" s="233"/>
      <c r="H131" s="233"/>
      <c r="I131" s="258"/>
      <c r="J131" s="236"/>
      <c r="K131" s="237">
        <f t="shared" ref="K131:L131" si="15">SUBTOTAL(9,K132:K145)</f>
        <v>137.671094</v>
      </c>
      <c r="L131" s="237">
        <f t="shared" si="15"/>
        <v>19273.95316</v>
      </c>
      <c r="M131" s="220"/>
      <c r="N131" s="220"/>
      <c r="O131" s="220"/>
      <c r="P131" s="220"/>
      <c r="Q131" s="220"/>
      <c r="R131" s="220"/>
      <c r="S131" s="220"/>
      <c r="T131" s="220"/>
      <c r="U131" s="220"/>
      <c r="V131" s="220"/>
      <c r="W131" s="220"/>
    </row>
    <row r="132" ht="15.75" customHeight="1" outlineLevel="1">
      <c r="A132" s="213"/>
      <c r="B132" s="212" t="s">
        <v>0</v>
      </c>
      <c r="C132" s="213" t="s">
        <v>487</v>
      </c>
      <c r="D132" s="214" t="str">
        <f>IFERROR(VLOOKUP($C132,'PORTIFÓLIO'!C:V,2,0),"")</f>
        <v>PICOXISTROBINA + CIPROCONAZOL</v>
      </c>
      <c r="E132" s="211" t="str">
        <f>IFERROR(VLOOKUP($C132,'PORTIFÓLIO'!C:V,3,0),"")</f>
        <v>90 + 40</v>
      </c>
      <c r="F132" s="211" t="str">
        <f>IFERROR(VLOOKUP($C132,'PORTIFÓLIO'!C:V,4,0),"")</f>
        <v>L</v>
      </c>
      <c r="G132" s="225" t="str">
        <f>IFERROR(VLOOKUP($C132,'PORTIFÓLIO'!C:V,5,0),"")</f>
        <v>📄 Ver bula</v>
      </c>
      <c r="H132" s="254">
        <f t="array" ref="H132">IFERROR(INDEX('PORTIFÓLIO'!$H$4:$H$433,MATCH($C132,'PORTIFÓLIO'!$C$4:$C$433,0)),"")</f>
        <v>0.6</v>
      </c>
      <c r="I132" s="255">
        <v>0.6</v>
      </c>
      <c r="J132" s="218">
        <f t="shared" ref="J132:J146" si="16">I132*$B$2</f>
        <v>84</v>
      </c>
      <c r="K132" s="219">
        <f t="array" ref="K132">IFERROR(I132*INDEX('PORTIFÓLIO'!$S$4:$S$433,MATCH($C132,'PORTIFÓLIO'!$C$4:$C$433,0)),"")</f>
        <v>39.349152</v>
      </c>
      <c r="L132" s="219">
        <f t="array" ref="L132">IFERROR(J132*INDEX('PORTIFÓLIO'!$S$4:$S$433,MATCH($C132,'PORTIFÓLIO'!$C$4:$C$433,0)),"")</f>
        <v>5508.88128</v>
      </c>
      <c r="M132" s="220"/>
      <c r="N132" s="220"/>
      <c r="O132" s="220"/>
      <c r="P132" s="220"/>
      <c r="Q132" s="220"/>
      <c r="R132" s="220"/>
      <c r="S132" s="220"/>
      <c r="T132" s="220"/>
      <c r="U132" s="220"/>
      <c r="V132" s="220"/>
      <c r="W132" s="220"/>
    </row>
    <row r="133" ht="15.75" customHeight="1" outlineLevel="1">
      <c r="A133" s="211"/>
      <c r="B133" s="212" t="s">
        <v>0</v>
      </c>
      <c r="C133" s="213" t="s">
        <v>484</v>
      </c>
      <c r="D133" s="214" t="str">
        <f>IFERROR(VLOOKUP($C133,'PORTIFÓLIO'!C:V,2,0),"")</f>
        <v>MANCOZEBE</v>
      </c>
      <c r="E133" s="211">
        <f>IFERROR(VLOOKUP($C133,'PORTIFÓLIO'!C:V,3,0),"")</f>
        <v>750</v>
      </c>
      <c r="F133" s="211" t="str">
        <f>IFERROR(VLOOKUP($C133,'PORTIFÓLIO'!C:V,4,0),"")</f>
        <v>L</v>
      </c>
      <c r="G133" s="225" t="str">
        <f>IFERROR(VLOOKUP($C133,'PORTIFÓLIO'!C:V,5,0),"")</f>
        <v>📄 Ver bula</v>
      </c>
      <c r="H133" s="254">
        <f t="array" ref="H133">IFERROR(INDEX('PORTIFÓLIO'!$H$4:$H$433,MATCH($C133,'PORTIFÓLIO'!$C$4:$C$433,0)),"")</f>
        <v>1.5</v>
      </c>
      <c r="I133" s="255">
        <v>1.5</v>
      </c>
      <c r="J133" s="218">
        <f t="shared" si="16"/>
        <v>210</v>
      </c>
      <c r="K133" s="219">
        <f t="array" ref="K133">IFERROR(I133*INDEX('PORTIFÓLIO'!$S$4:$S$433,MATCH($C133,'PORTIFÓLIO'!$C$4:$C$433,0)),"")</f>
        <v>41.52168</v>
      </c>
      <c r="L133" s="219">
        <f t="array" ref="L133">IFERROR(J133*INDEX('PORTIFÓLIO'!$S$4:$S$433,MATCH($C133,'PORTIFÓLIO'!$C$4:$C$433,0)),"")</f>
        <v>5813.0352</v>
      </c>
      <c r="M133" s="220"/>
      <c r="N133" s="220"/>
      <c r="O133" s="220"/>
      <c r="P133" s="220"/>
      <c r="Q133" s="220"/>
      <c r="R133" s="220"/>
      <c r="S133" s="220"/>
      <c r="T133" s="220"/>
      <c r="U133" s="220"/>
      <c r="V133" s="220"/>
      <c r="W133" s="220"/>
    </row>
    <row r="134" ht="15.75" customHeight="1" outlineLevel="1">
      <c r="A134" s="211"/>
      <c r="B134" s="212" t="s">
        <v>2</v>
      </c>
      <c r="C134" s="213" t="s">
        <v>752</v>
      </c>
      <c r="D134" s="214" t="str">
        <f>IFERROR(VLOOKUP($C134,'PORTIFÓLIO'!C:V,2,0),"")</f>
        <v>ACEFATO</v>
      </c>
      <c r="E134" s="211">
        <f>IFERROR(VLOOKUP($C134,'PORTIFÓLIO'!C:V,3,0),"")</f>
        <v>970</v>
      </c>
      <c r="F134" s="211" t="str">
        <f>IFERROR(VLOOKUP($C134,'PORTIFÓLIO'!C:V,4,0),"")</f>
        <v>L</v>
      </c>
      <c r="G134" s="225" t="str">
        <f>IFERROR(VLOOKUP($C134,'PORTIFÓLIO'!C:V,5,0),"")</f>
        <v>📄 Ver bula</v>
      </c>
      <c r="H134" s="254">
        <f t="array" ref="H134">IFERROR(INDEX('PORTIFÓLIO'!$H$4:$H$433,MATCH($C134,'PORTIFÓLIO'!$C$4:$C$433,0)),"")</f>
        <v>0.6</v>
      </c>
      <c r="I134" s="255">
        <v>1.0</v>
      </c>
      <c r="J134" s="218">
        <f t="shared" si="16"/>
        <v>140</v>
      </c>
      <c r="K134" s="219">
        <f t="array" ref="K134">IFERROR(I134*INDEX('PORTIFÓLIO'!$S$4:$S$433,MATCH($C134,'PORTIFÓLIO'!$C$4:$C$433,0)),"")</f>
        <v>37.11</v>
      </c>
      <c r="L134" s="219">
        <f t="array" ref="L134">IFERROR(J134*INDEX('PORTIFÓLIO'!$S$4:$S$433,MATCH($C134,'PORTIFÓLIO'!$C$4:$C$433,0)),"")</f>
        <v>5195.4</v>
      </c>
      <c r="M134" s="220"/>
      <c r="N134" s="220"/>
      <c r="O134" s="220"/>
      <c r="P134" s="220"/>
      <c r="Q134" s="220"/>
      <c r="R134" s="220"/>
      <c r="S134" s="220"/>
      <c r="T134" s="220"/>
      <c r="U134" s="220"/>
      <c r="V134" s="220"/>
      <c r="W134" s="220"/>
    </row>
    <row r="135" ht="15.75" customHeight="1" outlineLevel="1">
      <c r="A135" s="211"/>
      <c r="B135" s="212" t="s">
        <v>6</v>
      </c>
      <c r="C135" s="213" t="s">
        <v>354</v>
      </c>
      <c r="D135" s="214" t="str">
        <f>IFERROR(VLOOKUP($C135,'PORTIFÓLIO'!C:V,2,0),"")</f>
        <v>OLEO MINERAL</v>
      </c>
      <c r="E135" s="211">
        <f>IFERROR(VLOOKUP($C135,'PORTIFÓLIO'!C:V,3,0),"")</f>
        <v>761</v>
      </c>
      <c r="F135" s="211" t="str">
        <f>IFERROR(VLOOKUP($C135,'PORTIFÓLIO'!C:V,4,0),"")</f>
        <v>L</v>
      </c>
      <c r="G135" s="225" t="str">
        <f>IFERROR(VLOOKUP($C135,'PORTIFÓLIO'!C:V,5,0),"")</f>
        <v>📄 Ver bula</v>
      </c>
      <c r="H135" s="254">
        <f t="array" ref="H135">IFERROR(INDEX('PORTIFÓLIO'!$H$4:$H$433,MATCH($C135,'PORTIFÓLIO'!$C$4:$C$433,0)),"")</f>
        <v>0.2</v>
      </c>
      <c r="I135" s="255">
        <v>0.2</v>
      </c>
      <c r="J135" s="218">
        <f t="shared" si="16"/>
        <v>28</v>
      </c>
      <c r="K135" s="219">
        <f t="array" ref="K135">IFERROR(I135*INDEX('PORTIFÓLIO'!$S$4:$S$433,MATCH($C135,'PORTIFÓLIO'!$C$4:$C$433,0)),"")</f>
        <v>3.206</v>
      </c>
      <c r="L135" s="219">
        <f t="array" ref="L135">IFERROR(J135*INDEX('PORTIFÓLIO'!$S$4:$S$433,MATCH($C135,'PORTIFÓLIO'!$C$4:$C$433,0)),"")</f>
        <v>448.84</v>
      </c>
      <c r="M135" s="220"/>
      <c r="N135" s="220"/>
      <c r="O135" s="220"/>
      <c r="P135" s="220"/>
      <c r="Q135" s="220"/>
      <c r="R135" s="220"/>
      <c r="S135" s="220"/>
      <c r="T135" s="220"/>
      <c r="U135" s="220"/>
      <c r="V135" s="220"/>
      <c r="W135" s="220"/>
    </row>
    <row r="136" ht="15.75" customHeight="1" outlineLevel="1">
      <c r="A136" s="211"/>
      <c r="B136" s="212" t="s">
        <v>2</v>
      </c>
      <c r="C136" s="213" t="s">
        <v>798</v>
      </c>
      <c r="D136" s="214" t="str">
        <f>IFERROR(VLOOKUP($C136,'PORTIFÓLIO'!C:V,2,0),"")</f>
        <v>METOXIFENOZIDA</v>
      </c>
      <c r="E136" s="211">
        <f>IFERROR(VLOOKUP($C136,'PORTIFÓLIO'!C:V,3,0),"")</f>
        <v>240</v>
      </c>
      <c r="F136" s="211" t="str">
        <f>IFERROR(VLOOKUP($C136,'PORTIFÓLIO'!C:V,4,0),"")</f>
        <v>L</v>
      </c>
      <c r="G136" s="225" t="str">
        <f>IFERROR(VLOOKUP($C136,'PORTIFÓLIO'!C:V,5,0),"")</f>
        <v>📄 Ver bula</v>
      </c>
      <c r="H136" s="254">
        <f t="array" ref="H136">IFERROR(INDEX('PORTIFÓLIO'!$H$4:$H$433,MATCH($C136,'PORTIFÓLIO'!$C$4:$C$433,0)),"")</f>
        <v>0.5</v>
      </c>
      <c r="I136" s="255">
        <v>0.2</v>
      </c>
      <c r="J136" s="218">
        <f t="shared" si="16"/>
        <v>28</v>
      </c>
      <c r="K136" s="219">
        <f t="array" ref="K136">IFERROR(I136*INDEX('PORTIFÓLIO'!$S$4:$S$433,MATCH($C136,'PORTIFÓLIO'!$C$4:$C$433,0)),"")</f>
        <v>16.484262</v>
      </c>
      <c r="L136" s="219">
        <f t="array" ref="L136">IFERROR(J136*INDEX('PORTIFÓLIO'!$S$4:$S$433,MATCH($C136,'PORTIFÓLIO'!$C$4:$C$433,0)),"")</f>
        <v>2307.79668</v>
      </c>
      <c r="M136" s="220"/>
      <c r="N136" s="220"/>
      <c r="O136" s="220"/>
      <c r="P136" s="220"/>
      <c r="Q136" s="220"/>
      <c r="R136" s="220"/>
      <c r="S136" s="220"/>
      <c r="T136" s="220"/>
      <c r="U136" s="220"/>
      <c r="V136" s="220"/>
      <c r="W136" s="220"/>
    </row>
    <row r="137" ht="15.75" customHeight="1" outlineLevel="1">
      <c r="A137" s="211"/>
      <c r="B137" s="212"/>
      <c r="C137" s="213"/>
      <c r="D137" s="214" t="str">
        <f>IFERROR(VLOOKUP($C137,'PORTIFÓLIO'!C:V,2,0),"")</f>
        <v/>
      </c>
      <c r="E137" s="211" t="str">
        <f>IFERROR(VLOOKUP($C137,'PORTIFÓLIO'!C:V,3,0),"")</f>
        <v/>
      </c>
      <c r="F137" s="211" t="str">
        <f>IFERROR(VLOOKUP($C137,'PORTIFÓLIO'!C:V,4,0),"")</f>
        <v/>
      </c>
      <c r="G137" s="215" t="str">
        <f>IFERROR(VLOOKUP($C137,'PORTIFÓLIO'!C:V,5,0),"")</f>
        <v/>
      </c>
      <c r="H137" s="254" t="str">
        <f t="array" ref="H137">IFERROR(INDEX('PORTIFÓLIO'!$H$4:$H$433,MATCH($C137,'PORTIFÓLIO'!$C$4:$C$433,0)),"")</f>
        <v/>
      </c>
      <c r="I137" s="256"/>
      <c r="J137" s="218">
        <f t="shared" si="16"/>
        <v>0</v>
      </c>
      <c r="K137" s="219" t="str">
        <f t="array" ref="K137">IFERROR(I137*INDEX('PORTIFÓLIO'!$S$4:$S$433,MATCH($C137,'PORTIFÓLIO'!$C$4:$C$433,0)),"")</f>
        <v/>
      </c>
      <c r="L137" s="219" t="str">
        <f t="array" ref="L137">IFERROR(J137*INDEX('PORTIFÓLIO'!$S$4:$S$433,MATCH($C137,'PORTIFÓLIO'!$C$4:$C$433,0)),"")</f>
        <v/>
      </c>
      <c r="M137" s="220"/>
      <c r="N137" s="220"/>
      <c r="O137" s="220"/>
      <c r="P137" s="220"/>
      <c r="Q137" s="220"/>
      <c r="R137" s="220"/>
      <c r="S137" s="220"/>
      <c r="T137" s="220"/>
      <c r="U137" s="220"/>
      <c r="V137" s="220"/>
      <c r="W137" s="220"/>
    </row>
    <row r="138" ht="15.75" customHeight="1" outlineLevel="1">
      <c r="A138" s="211"/>
      <c r="B138" s="212"/>
      <c r="C138" s="213"/>
      <c r="D138" s="214" t="str">
        <f>IFERROR(VLOOKUP($C138,'PORTIFÓLIO'!C:V,2,0),"")</f>
        <v/>
      </c>
      <c r="E138" s="211" t="str">
        <f>IFERROR(VLOOKUP($C138,'PORTIFÓLIO'!C:V,3,0),"")</f>
        <v/>
      </c>
      <c r="F138" s="211" t="str">
        <f>IFERROR(VLOOKUP($C138,'PORTIFÓLIO'!C:V,4,0),"")</f>
        <v/>
      </c>
      <c r="G138" s="215" t="str">
        <f>IFERROR(VLOOKUP($C138,'PORTIFÓLIO'!C:V,5,0),"")</f>
        <v/>
      </c>
      <c r="H138" s="254" t="str">
        <f t="array" ref="H138">IFERROR(INDEX('PORTIFÓLIO'!$H$4:$H$433,MATCH($C138,'PORTIFÓLIO'!$C$4:$C$433,0)),"")</f>
        <v/>
      </c>
      <c r="I138" s="256"/>
      <c r="J138" s="218">
        <f t="shared" si="16"/>
        <v>0</v>
      </c>
      <c r="K138" s="219" t="str">
        <f t="array" ref="K138">IFERROR(I138*INDEX('PORTIFÓLIO'!$S$4:$S$433,MATCH($C138,'PORTIFÓLIO'!$C$4:$C$433,0)),"")</f>
        <v/>
      </c>
      <c r="L138" s="219" t="str">
        <f t="array" ref="L138">IFERROR(J138*INDEX('PORTIFÓLIO'!$S$4:$S$433,MATCH($C138,'PORTIFÓLIO'!$C$4:$C$433,0)),"")</f>
        <v/>
      </c>
      <c r="M138" s="220"/>
      <c r="N138" s="220"/>
      <c r="O138" s="220"/>
      <c r="P138" s="220"/>
      <c r="Q138" s="220"/>
      <c r="R138" s="220"/>
      <c r="S138" s="220"/>
      <c r="T138" s="220"/>
      <c r="U138" s="220"/>
      <c r="V138" s="220"/>
      <c r="W138" s="220"/>
    </row>
    <row r="139" ht="15.75" customHeight="1" outlineLevel="1">
      <c r="A139" s="211"/>
      <c r="B139" s="212"/>
      <c r="C139" s="213"/>
      <c r="D139" s="214" t="str">
        <f>IFERROR(VLOOKUP($C139,'PORTIFÓLIO'!C:V,2,0),"")</f>
        <v/>
      </c>
      <c r="E139" s="211" t="str">
        <f>IFERROR(VLOOKUP($C139,'PORTIFÓLIO'!C:V,3,0),"")</f>
        <v/>
      </c>
      <c r="F139" s="211" t="str">
        <f>IFERROR(VLOOKUP($C139,'PORTIFÓLIO'!C:V,4,0),"")</f>
        <v/>
      </c>
      <c r="G139" s="215" t="str">
        <f>IFERROR(VLOOKUP($C139,'PORTIFÓLIO'!C:V,5,0),"")</f>
        <v/>
      </c>
      <c r="H139" s="254" t="str">
        <f t="array" ref="H139">IFERROR(INDEX('PORTIFÓLIO'!$H$4:$H$433,MATCH($C139,'PORTIFÓLIO'!$C$4:$C$433,0)),"")</f>
        <v/>
      </c>
      <c r="I139" s="256"/>
      <c r="J139" s="218">
        <f t="shared" si="16"/>
        <v>0</v>
      </c>
      <c r="K139" s="219" t="str">
        <f t="array" ref="K139">IFERROR(I139*INDEX('PORTIFÓLIO'!$S$4:$S$433,MATCH($C139,'PORTIFÓLIO'!$C$4:$C$433,0)),"")</f>
        <v/>
      </c>
      <c r="L139" s="219" t="str">
        <f t="array" ref="L139">IFERROR(J139*INDEX('PORTIFÓLIO'!$S$4:$S$433,MATCH($C139,'PORTIFÓLIO'!$C$4:$C$433,0)),"")</f>
        <v/>
      </c>
      <c r="M139" s="220"/>
      <c r="N139" s="220"/>
      <c r="O139" s="220"/>
      <c r="P139" s="220"/>
      <c r="Q139" s="220"/>
      <c r="R139" s="220"/>
      <c r="S139" s="220"/>
      <c r="T139" s="220"/>
      <c r="U139" s="220"/>
      <c r="V139" s="220"/>
      <c r="W139" s="220"/>
    </row>
    <row r="140" ht="15.75" customHeight="1" outlineLevel="1">
      <c r="A140" s="211"/>
      <c r="B140" s="212"/>
      <c r="C140" s="213"/>
      <c r="D140" s="214" t="str">
        <f>IFERROR(VLOOKUP($C140,'PORTIFÓLIO'!C:V,2,0),"")</f>
        <v/>
      </c>
      <c r="E140" s="211" t="str">
        <f>IFERROR(VLOOKUP($C140,'PORTIFÓLIO'!C:V,3,0),"")</f>
        <v/>
      </c>
      <c r="F140" s="211" t="str">
        <f>IFERROR(VLOOKUP($C140,'PORTIFÓLIO'!C:V,4,0),"")</f>
        <v/>
      </c>
      <c r="G140" s="215" t="str">
        <f>IFERROR(VLOOKUP($C140,'PORTIFÓLIO'!C:V,5,0),"")</f>
        <v/>
      </c>
      <c r="H140" s="254" t="str">
        <f t="array" ref="H140">IFERROR(INDEX('PORTIFÓLIO'!$H$4:$H$433,MATCH($C140,'PORTIFÓLIO'!$C$4:$C$433,0)),"")</f>
        <v/>
      </c>
      <c r="I140" s="255"/>
      <c r="J140" s="218">
        <f t="shared" si="16"/>
        <v>0</v>
      </c>
      <c r="K140" s="219" t="str">
        <f t="array" ref="K140">IFERROR(I140*INDEX('PORTIFÓLIO'!$S$4:$S$433,MATCH($C140,'PORTIFÓLIO'!$C$4:$C$433,0)),"")</f>
        <v/>
      </c>
      <c r="L140" s="219" t="str">
        <f t="array" ref="L140">IFERROR(J140*INDEX('PORTIFÓLIO'!$S$4:$S$433,MATCH($C140,'PORTIFÓLIO'!$C$4:$C$433,0)),"")</f>
        <v/>
      </c>
      <c r="M140" s="220"/>
      <c r="N140" s="220"/>
      <c r="O140" s="220"/>
      <c r="P140" s="220"/>
      <c r="Q140" s="220"/>
      <c r="R140" s="220"/>
      <c r="S140" s="220"/>
      <c r="T140" s="220"/>
      <c r="U140" s="220"/>
      <c r="V140" s="220"/>
      <c r="W140" s="220"/>
    </row>
    <row r="141" ht="15.75" customHeight="1" outlineLevel="1">
      <c r="A141" s="211"/>
      <c r="B141" s="212"/>
      <c r="C141" s="213"/>
      <c r="D141" s="214" t="str">
        <f>IFERROR(VLOOKUP($C141,'PORTIFÓLIO'!C:V,2,0),"")</f>
        <v/>
      </c>
      <c r="E141" s="211" t="str">
        <f>IFERROR(VLOOKUP($C141,'PORTIFÓLIO'!C:V,3,0),"")</f>
        <v/>
      </c>
      <c r="F141" s="211" t="str">
        <f>IFERROR(VLOOKUP($C141,'PORTIFÓLIO'!C:V,4,0),"")</f>
        <v/>
      </c>
      <c r="G141" s="215" t="str">
        <f>IFERROR(VLOOKUP($C141,'PORTIFÓLIO'!C:V,5,0),"")</f>
        <v/>
      </c>
      <c r="H141" s="254" t="str">
        <f t="array" ref="H141">IFERROR(INDEX('PORTIFÓLIO'!$H$4:$H$433,MATCH($C141,'PORTIFÓLIO'!$C$4:$C$433,0)),"")</f>
        <v/>
      </c>
      <c r="I141" s="256"/>
      <c r="J141" s="218">
        <f t="shared" si="16"/>
        <v>0</v>
      </c>
      <c r="K141" s="219" t="str">
        <f t="array" ref="K141">IFERROR(I141*INDEX('PORTIFÓLIO'!$S$4:$S$433,MATCH($C141,'PORTIFÓLIO'!$C$4:$C$433,0)),"")</f>
        <v/>
      </c>
      <c r="L141" s="219" t="str">
        <f t="array" ref="L141">IFERROR(J141*INDEX('PORTIFÓLIO'!$S$4:$S$433,MATCH($C141,'PORTIFÓLIO'!$C$4:$C$433,0)),"")</f>
        <v/>
      </c>
      <c r="M141" s="220"/>
      <c r="N141" s="220"/>
      <c r="O141" s="220"/>
      <c r="P141" s="220"/>
      <c r="Q141" s="220"/>
      <c r="R141" s="220"/>
      <c r="S141" s="220"/>
      <c r="T141" s="220"/>
      <c r="U141" s="220"/>
      <c r="V141" s="220"/>
      <c r="W141" s="220"/>
    </row>
    <row r="142" ht="15.75" customHeight="1" outlineLevel="1">
      <c r="A142" s="211"/>
      <c r="B142" s="212"/>
      <c r="C142" s="213"/>
      <c r="D142" s="214" t="str">
        <f>IFERROR(VLOOKUP($C142,'PORTIFÓLIO'!C:V,2,0),"")</f>
        <v/>
      </c>
      <c r="E142" s="211" t="str">
        <f>IFERROR(VLOOKUP($C142,'PORTIFÓLIO'!C:V,3,0),"")</f>
        <v/>
      </c>
      <c r="F142" s="211" t="str">
        <f>IFERROR(VLOOKUP($C142,'PORTIFÓLIO'!C:V,4,0),"")</f>
        <v/>
      </c>
      <c r="G142" s="215" t="str">
        <f>IFERROR(VLOOKUP($C142,'PORTIFÓLIO'!C:V,5,0),"")</f>
        <v/>
      </c>
      <c r="H142" s="254" t="str">
        <f t="array" ref="H142">IFERROR(INDEX('PORTIFÓLIO'!$H$4:$H$433,MATCH($C142,'PORTIFÓLIO'!$C$4:$C$433,0)),"")</f>
        <v/>
      </c>
      <c r="I142" s="256"/>
      <c r="J142" s="218">
        <f t="shared" si="16"/>
        <v>0</v>
      </c>
      <c r="K142" s="219" t="str">
        <f t="array" ref="K142">IFERROR(I142*INDEX('PORTIFÓLIO'!$S$4:$S$433,MATCH($C142,'PORTIFÓLIO'!$C$4:$C$433,0)),"")</f>
        <v/>
      </c>
      <c r="L142" s="219" t="str">
        <f t="array" ref="L142">IFERROR(J142*INDEX('PORTIFÓLIO'!$S$4:$S$433,MATCH($C142,'PORTIFÓLIO'!$C$4:$C$433,0)),"")</f>
        <v/>
      </c>
      <c r="M142" s="220"/>
      <c r="N142" s="220"/>
      <c r="O142" s="220"/>
      <c r="P142" s="220"/>
      <c r="Q142" s="220"/>
      <c r="R142" s="220"/>
      <c r="S142" s="220"/>
      <c r="T142" s="220"/>
      <c r="U142" s="220"/>
      <c r="V142" s="220"/>
      <c r="W142" s="220"/>
    </row>
    <row r="143" ht="15.75" customHeight="1" outlineLevel="1">
      <c r="A143" s="211"/>
      <c r="B143" s="212"/>
      <c r="C143" s="213"/>
      <c r="D143" s="214" t="str">
        <f>IFERROR(VLOOKUP($C143,'PORTIFÓLIO'!C:V,2,0),"")</f>
        <v/>
      </c>
      <c r="E143" s="211" t="str">
        <f>IFERROR(VLOOKUP($C143,'PORTIFÓLIO'!C:V,3,0),"")</f>
        <v/>
      </c>
      <c r="F143" s="211" t="str">
        <f>IFERROR(VLOOKUP($C143,'PORTIFÓLIO'!C:V,4,0),"")</f>
        <v/>
      </c>
      <c r="G143" s="215" t="str">
        <f>IFERROR(VLOOKUP($C143,'PORTIFÓLIO'!C:V,5,0),"")</f>
        <v/>
      </c>
      <c r="H143" s="254" t="str">
        <f t="array" ref="H143">IFERROR(INDEX('PORTIFÓLIO'!$H$4:$H$433,MATCH($C143,'PORTIFÓLIO'!$C$4:$C$433,0)),"")</f>
        <v/>
      </c>
      <c r="I143" s="256"/>
      <c r="J143" s="218">
        <f t="shared" si="16"/>
        <v>0</v>
      </c>
      <c r="K143" s="219" t="str">
        <f t="array" ref="K143">IFERROR(I143*INDEX('PORTIFÓLIO'!$S$4:$S$433,MATCH($C143,'PORTIFÓLIO'!$C$4:$C$433,0)),"")</f>
        <v/>
      </c>
      <c r="L143" s="219" t="str">
        <f t="array" ref="L143">IFERROR(J143*INDEX('PORTIFÓLIO'!$S$4:$S$433,MATCH($C143,'PORTIFÓLIO'!$C$4:$C$433,0)),"")</f>
        <v/>
      </c>
      <c r="M143" s="220"/>
      <c r="N143" s="220"/>
      <c r="O143" s="220"/>
      <c r="P143" s="220"/>
      <c r="Q143" s="220"/>
      <c r="R143" s="220"/>
      <c r="S143" s="220"/>
      <c r="T143" s="220"/>
      <c r="U143" s="220"/>
      <c r="V143" s="220"/>
      <c r="W143" s="220"/>
    </row>
    <row r="144" ht="15.75" customHeight="1" outlineLevel="1">
      <c r="A144" s="211"/>
      <c r="B144" s="212"/>
      <c r="C144" s="213"/>
      <c r="D144" s="214" t="str">
        <f>IFERROR(VLOOKUP($C144,'PORTIFÓLIO'!C:V,2,0),"")</f>
        <v/>
      </c>
      <c r="E144" s="211" t="str">
        <f>IFERROR(VLOOKUP($C144,'PORTIFÓLIO'!C:V,3,0),"")</f>
        <v/>
      </c>
      <c r="F144" s="211" t="str">
        <f>IFERROR(VLOOKUP($C144,'PORTIFÓLIO'!C:V,4,0),"")</f>
        <v/>
      </c>
      <c r="G144" s="215" t="str">
        <f>IFERROR(VLOOKUP($C144,'PORTIFÓLIO'!C:V,5,0),"")</f>
        <v/>
      </c>
      <c r="H144" s="254" t="str">
        <f t="array" ref="H144">IFERROR(INDEX('PORTIFÓLIO'!$H$4:$H$433,MATCH($C144,'PORTIFÓLIO'!$C$4:$C$433,0)),"")</f>
        <v/>
      </c>
      <c r="I144" s="256"/>
      <c r="J144" s="218">
        <f t="shared" si="16"/>
        <v>0</v>
      </c>
      <c r="K144" s="219" t="str">
        <f t="array" ref="K144">IFERROR(I144*INDEX('PORTIFÓLIO'!$S$4:$S$433,MATCH($C144,'PORTIFÓLIO'!$C$4:$C$433,0)),"")</f>
        <v/>
      </c>
      <c r="L144" s="219" t="str">
        <f t="array" ref="L144">IFERROR(J144*INDEX('PORTIFÓLIO'!$S$4:$S$433,MATCH($C144,'PORTIFÓLIO'!$C$4:$C$433,0)),"")</f>
        <v/>
      </c>
      <c r="M144" s="220"/>
      <c r="N144" s="220"/>
      <c r="O144" s="220"/>
      <c r="P144" s="220"/>
      <c r="Q144" s="220"/>
      <c r="R144" s="220"/>
      <c r="S144" s="220"/>
      <c r="T144" s="220"/>
      <c r="U144" s="220"/>
      <c r="V144" s="220"/>
      <c r="W144" s="220"/>
    </row>
    <row r="145" ht="15.75" customHeight="1" outlineLevel="1">
      <c r="A145" s="211"/>
      <c r="B145" s="212"/>
      <c r="C145" s="213"/>
      <c r="D145" s="214" t="str">
        <f>IFERROR(VLOOKUP($C145,'PORTIFÓLIO'!C:V,2,0),"")</f>
        <v/>
      </c>
      <c r="E145" s="211" t="str">
        <f>IFERROR(VLOOKUP($C145,'PORTIFÓLIO'!C:V,3,0),"")</f>
        <v/>
      </c>
      <c r="F145" s="211" t="str">
        <f>IFERROR(VLOOKUP($C145,'PORTIFÓLIO'!C:V,4,0),"")</f>
        <v/>
      </c>
      <c r="G145" s="215" t="str">
        <f>IFERROR(VLOOKUP($C145,'PORTIFÓLIO'!C:V,5,0),"")</f>
        <v/>
      </c>
      <c r="H145" s="254" t="str">
        <f t="array" ref="H145">IFERROR(INDEX('PORTIFÓLIO'!$H$4:$H$433,MATCH($C145,'PORTIFÓLIO'!$C$4:$C$433,0)),"")</f>
        <v/>
      </c>
      <c r="I145" s="256"/>
      <c r="J145" s="218">
        <f t="shared" si="16"/>
        <v>0</v>
      </c>
      <c r="K145" s="219" t="str">
        <f t="array" ref="K145">IFERROR(I145*INDEX('PORTIFÓLIO'!$S$4:$S$433,MATCH($C145,'PORTIFÓLIO'!$C$4:$C$433,0)),"")</f>
        <v/>
      </c>
      <c r="L145" s="219" t="str">
        <f t="array" ref="L145">IFERROR(J145*INDEX('PORTIFÓLIO'!$S$4:$S$433,MATCH($C145,'PORTIFÓLIO'!$C$4:$C$433,0)),"")</f>
        <v/>
      </c>
      <c r="M145" s="220"/>
      <c r="N145" s="220"/>
      <c r="O145" s="220"/>
      <c r="P145" s="220"/>
      <c r="Q145" s="220"/>
      <c r="R145" s="220"/>
      <c r="S145" s="220"/>
      <c r="T145" s="220"/>
      <c r="U145" s="220"/>
      <c r="V145" s="220"/>
      <c r="W145" s="220"/>
    </row>
    <row r="146" ht="15.75" customHeight="1" outlineLevel="1">
      <c r="A146" s="211"/>
      <c r="B146" s="212"/>
      <c r="C146" s="213"/>
      <c r="D146" s="214" t="str">
        <f>IFERROR(VLOOKUP($C146,'PORTIFÓLIO'!C:V,2,0),"")</f>
        <v/>
      </c>
      <c r="E146" s="211" t="str">
        <f>IFERROR(VLOOKUP($C146,'PORTIFÓLIO'!C:V,3,0),"")</f>
        <v/>
      </c>
      <c r="F146" s="211" t="str">
        <f>IFERROR(VLOOKUP($C146,'PORTIFÓLIO'!C:V,4,0),"")</f>
        <v/>
      </c>
      <c r="G146" s="215" t="str">
        <f>IFERROR(VLOOKUP($C146,'PORTIFÓLIO'!C:V,5,0),"")</f>
        <v/>
      </c>
      <c r="H146" s="254" t="str">
        <f t="array" ref="H146">IFERROR(INDEX('PORTIFÓLIO'!$H$4:$H$433,MATCH($C146,'PORTIFÓLIO'!$C$4:$C$433,0)),"")</f>
        <v/>
      </c>
      <c r="I146" s="256"/>
      <c r="J146" s="218">
        <f t="shared" si="16"/>
        <v>0</v>
      </c>
      <c r="K146" s="219" t="str">
        <f t="array" ref="K146">IFERROR(I146*INDEX('PORTIFÓLIO'!$S$4:$S$433,MATCH($C146,'PORTIFÓLIO'!$C$4:$C$433,0)),"")</f>
        <v/>
      </c>
      <c r="L146" s="219" t="str">
        <f t="array" ref="L146">IFERROR(J146*INDEX('PORTIFÓLIO'!$S$4:$S$433,MATCH($C146,'PORTIFÓLIO'!$C$4:$C$433,0)),"")</f>
        <v/>
      </c>
      <c r="M146" s="220"/>
      <c r="N146" s="220"/>
      <c r="O146" s="220"/>
      <c r="P146" s="220"/>
      <c r="Q146" s="220"/>
      <c r="R146" s="220"/>
      <c r="S146" s="220"/>
      <c r="T146" s="220"/>
      <c r="U146" s="220"/>
      <c r="V146" s="220"/>
      <c r="W146" s="220"/>
    </row>
    <row r="147" ht="15.75" customHeight="1" outlineLevel="1">
      <c r="A147" s="211"/>
      <c r="B147" s="227"/>
      <c r="C147" s="211"/>
      <c r="D147" s="214" t="str">
        <f>IFERROR(VLOOKUP($C147,'PORTIFÓLIO'!C:V,2,0),"")</f>
        <v/>
      </c>
      <c r="E147" s="211" t="str">
        <f>IFERROR(VLOOKUP($C147,'PORTIFÓLIO'!C:V,3,0),"")</f>
        <v/>
      </c>
      <c r="F147" s="211" t="str">
        <f>IFERROR(VLOOKUP($C147,'PORTIFÓLIO'!C:V,4,0),"")</f>
        <v/>
      </c>
      <c r="G147" s="215" t="str">
        <f>IFERROR(VLOOKUP($C147,'PORTIFÓLIO'!C:V,5,0),"")</f>
        <v/>
      </c>
      <c r="H147" s="254" t="str">
        <f t="array" ref="H147">IFERROR(INDEX('PORTIFÓLIO'!$H$4:$H$433,MATCH($C147,'PORTIFÓLIO'!$C$4:$C$433,0)),"")</f>
        <v/>
      </c>
      <c r="I147" s="256"/>
      <c r="J147" s="218"/>
      <c r="K147" s="219" t="str">
        <f t="array" ref="K147">IFERROR(I147*INDEX('PORTIFÓLIO'!$S$4:$S$433,MATCH($C147,'PORTIFÓLIO'!$C$4:$C$433,0)),"")</f>
        <v/>
      </c>
      <c r="L147" s="219" t="str">
        <f t="array" ref="L147">IFERROR(J147*INDEX('PORTIFÓLIO'!$S$4:$S$433,MATCH($C147,'PORTIFÓLIO'!$C$4:$C$433,0)),"")</f>
        <v/>
      </c>
      <c r="M147" s="220"/>
      <c r="N147" s="220"/>
      <c r="O147" s="220"/>
      <c r="P147" s="220"/>
      <c r="Q147" s="220"/>
      <c r="R147" s="220"/>
      <c r="S147" s="220"/>
      <c r="T147" s="220"/>
      <c r="U147" s="220"/>
      <c r="V147" s="220"/>
      <c r="W147" s="220"/>
    </row>
    <row r="148" ht="15.75" customHeight="1">
      <c r="A148" s="229" t="s">
        <v>1192</v>
      </c>
      <c r="B148" s="230"/>
      <c r="C148" s="231"/>
      <c r="D148" s="232"/>
      <c r="E148" s="231"/>
      <c r="F148" s="231"/>
      <c r="G148" s="233"/>
      <c r="H148" s="233"/>
      <c r="I148" s="258"/>
      <c r="J148" s="236"/>
      <c r="K148" s="237">
        <f t="shared" ref="K148:L148" si="17">SUBTOTAL(9,K149:K162)</f>
        <v>94.32464</v>
      </c>
      <c r="L148" s="237">
        <f t="shared" si="17"/>
        <v>13205.4496</v>
      </c>
      <c r="M148" s="220"/>
      <c r="N148" s="220"/>
      <c r="O148" s="220"/>
      <c r="P148" s="220"/>
      <c r="Q148" s="220"/>
      <c r="R148" s="220"/>
      <c r="S148" s="220"/>
      <c r="T148" s="220"/>
      <c r="U148" s="220"/>
      <c r="V148" s="220"/>
      <c r="W148" s="220"/>
    </row>
    <row r="149" ht="15.75" customHeight="1" outlineLevel="1">
      <c r="A149" s="213"/>
      <c r="B149" s="212" t="s">
        <v>0</v>
      </c>
      <c r="C149" s="213" t="s">
        <v>434</v>
      </c>
      <c r="D149" s="214" t="str">
        <f>IFERROR(VLOOKUP($C149,'PORTIFÓLIO'!C:V,2,0),"")</f>
        <v>AZOXISTROBINA + TEBUCONAZOL</v>
      </c>
      <c r="E149" s="211" t="str">
        <f>IFERROR(VLOOKUP($C149,'PORTIFÓLIO'!C:V,3,0),"")</f>
        <v>120 + 200</v>
      </c>
      <c r="F149" s="211" t="str">
        <f>IFERROR(VLOOKUP($C149,'PORTIFÓLIO'!C:V,4,0),"")</f>
        <v>L</v>
      </c>
      <c r="G149" s="225" t="str">
        <f>IFERROR(VLOOKUP($C149,'PORTIFÓLIO'!C:V,5,0),"")</f>
        <v>📄 Ver bula</v>
      </c>
      <c r="H149" s="254">
        <f t="array" ref="H149">IFERROR(INDEX('PORTIFÓLIO'!$H$4:$H$433,MATCH($C149,'PORTIFÓLIO'!$C$4:$C$433,0)),"")</f>
        <v>0.5</v>
      </c>
      <c r="I149" s="255">
        <v>0.5</v>
      </c>
      <c r="J149" s="218">
        <f t="shared" ref="J149:J163" si="18">I149*$B$2</f>
        <v>70</v>
      </c>
      <c r="K149" s="219">
        <f t="array" ref="K149">IFERROR(I149*INDEX('PORTIFÓLIO'!$S$4:$S$433,MATCH($C149,'PORTIFÓLIO'!$C$4:$C$433,0)),"")</f>
        <v>17.66448</v>
      </c>
      <c r="L149" s="219">
        <f t="array" ref="L149">IFERROR(J149*INDEX('PORTIFÓLIO'!$S$4:$S$433,MATCH($C149,'PORTIFÓLIO'!$C$4:$C$433,0)),"")</f>
        <v>2473.0272</v>
      </c>
      <c r="M149" s="220"/>
      <c r="N149" s="220"/>
      <c r="O149" s="220"/>
      <c r="P149" s="220"/>
      <c r="Q149" s="220"/>
      <c r="R149" s="220"/>
      <c r="S149" s="220"/>
      <c r="T149" s="220"/>
      <c r="U149" s="220"/>
      <c r="V149" s="220"/>
      <c r="W149" s="220"/>
    </row>
    <row r="150" ht="15.75" customHeight="1" outlineLevel="1">
      <c r="A150" s="211"/>
      <c r="B150" s="212" t="s">
        <v>0</v>
      </c>
      <c r="C150" s="213" t="s">
        <v>572</v>
      </c>
      <c r="D150" s="214" t="str">
        <f>IFERROR(VLOOKUP($C150,'PORTIFÓLIO'!C:V,2,0),"")</f>
        <v>CLOROTALONIL</v>
      </c>
      <c r="E150" s="211">
        <f>IFERROR(VLOOKUP($C150,'PORTIFÓLIO'!C:V,3,0),"")</f>
        <v>720</v>
      </c>
      <c r="F150" s="211" t="str">
        <f>IFERROR(VLOOKUP($C150,'PORTIFÓLIO'!C:V,4,0),"")</f>
        <v>KG</v>
      </c>
      <c r="G150" s="225" t="str">
        <f>IFERROR(VLOOKUP($C150,'PORTIFÓLIO'!C:V,5,0),"")</f>
        <v>📄 Ver bula</v>
      </c>
      <c r="H150" s="254">
        <f t="array" ref="H150">IFERROR(INDEX('PORTIFÓLIO'!$H$4:$H$433,MATCH($C150,'PORTIFÓLIO'!$C$4:$C$433,0)),"")</f>
        <v>1.5</v>
      </c>
      <c r="I150" s="255">
        <v>1.5</v>
      </c>
      <c r="J150" s="218">
        <f t="shared" si="18"/>
        <v>210</v>
      </c>
      <c r="K150" s="219">
        <f t="array" ref="K150">IFERROR(I150*INDEX('PORTIFÓLIO'!$S$4:$S$433,MATCH($C150,'PORTIFÓLIO'!$C$4:$C$433,0)),"")</f>
        <v>36.34416</v>
      </c>
      <c r="L150" s="219">
        <f t="array" ref="L150">IFERROR(J150*INDEX('PORTIFÓLIO'!$S$4:$S$433,MATCH($C150,'PORTIFÓLIO'!$C$4:$C$433,0)),"")</f>
        <v>5088.1824</v>
      </c>
      <c r="M150" s="220"/>
      <c r="N150" s="220"/>
      <c r="O150" s="220"/>
      <c r="P150" s="220"/>
      <c r="Q150" s="220"/>
      <c r="R150" s="220"/>
      <c r="S150" s="220"/>
      <c r="T150" s="220"/>
      <c r="U150" s="220"/>
      <c r="V150" s="220"/>
      <c r="W150" s="220"/>
    </row>
    <row r="151" ht="15.75" customHeight="1" outlineLevel="1">
      <c r="A151" s="211"/>
      <c r="B151" s="212" t="s">
        <v>6</v>
      </c>
      <c r="C151" s="213" t="s">
        <v>354</v>
      </c>
      <c r="D151" s="214" t="str">
        <f>IFERROR(VLOOKUP($C151,'PORTIFÓLIO'!C:V,2,0),"")</f>
        <v>OLEO MINERAL</v>
      </c>
      <c r="E151" s="211">
        <f>IFERROR(VLOOKUP($C151,'PORTIFÓLIO'!C:V,3,0),"")</f>
        <v>761</v>
      </c>
      <c r="F151" s="211" t="str">
        <f>IFERROR(VLOOKUP($C151,'PORTIFÓLIO'!C:V,4,0),"")</f>
        <v>L</v>
      </c>
      <c r="G151" s="225" t="str">
        <f>IFERROR(VLOOKUP($C151,'PORTIFÓLIO'!C:V,5,0),"")</f>
        <v>📄 Ver bula</v>
      </c>
      <c r="H151" s="254">
        <f t="array" ref="H151">IFERROR(INDEX('PORTIFÓLIO'!$H$4:$H$433,MATCH($C151,'PORTIFÓLIO'!$C$4:$C$433,0)),"")</f>
        <v>0.2</v>
      </c>
      <c r="I151" s="255">
        <v>0.2</v>
      </c>
      <c r="J151" s="218">
        <f t="shared" si="18"/>
        <v>28</v>
      </c>
      <c r="K151" s="219">
        <f t="array" ref="K151">IFERROR(I151*INDEX('PORTIFÓLIO'!$S$4:$S$433,MATCH($C151,'PORTIFÓLIO'!$C$4:$C$433,0)),"")</f>
        <v>3.206</v>
      </c>
      <c r="L151" s="219">
        <f t="array" ref="L151">IFERROR(J151*INDEX('PORTIFÓLIO'!$S$4:$S$433,MATCH($C151,'PORTIFÓLIO'!$C$4:$C$433,0)),"")</f>
        <v>448.84</v>
      </c>
      <c r="M151" s="220"/>
      <c r="N151" s="220"/>
      <c r="O151" s="220"/>
      <c r="P151" s="220"/>
      <c r="Q151" s="220"/>
      <c r="R151" s="220"/>
      <c r="S151" s="220"/>
      <c r="T151" s="220"/>
      <c r="U151" s="220"/>
      <c r="V151" s="220"/>
      <c r="W151" s="220"/>
    </row>
    <row r="152" ht="15.75" customHeight="1" outlineLevel="1">
      <c r="A152" s="211"/>
      <c r="B152" s="212" t="s">
        <v>2</v>
      </c>
      <c r="C152" s="213" t="s">
        <v>752</v>
      </c>
      <c r="D152" s="214" t="str">
        <f>IFERROR(VLOOKUP($C152,'PORTIFÓLIO'!C:V,2,0),"")</f>
        <v>ACEFATO</v>
      </c>
      <c r="E152" s="211">
        <f>IFERROR(VLOOKUP($C152,'PORTIFÓLIO'!C:V,3,0),"")</f>
        <v>970</v>
      </c>
      <c r="F152" s="211" t="str">
        <f>IFERROR(VLOOKUP($C152,'PORTIFÓLIO'!C:V,4,0),"")</f>
        <v>L</v>
      </c>
      <c r="G152" s="225" t="str">
        <f>IFERROR(VLOOKUP($C152,'PORTIFÓLIO'!C:V,5,0),"")</f>
        <v>📄 Ver bula</v>
      </c>
      <c r="H152" s="254">
        <f t="array" ref="H152">IFERROR(INDEX('PORTIFÓLIO'!$H$4:$H$433,MATCH($C152,'PORTIFÓLIO'!$C$4:$C$433,0)),"")</f>
        <v>0.6</v>
      </c>
      <c r="I152" s="255">
        <v>1.0</v>
      </c>
      <c r="J152" s="218">
        <f t="shared" si="18"/>
        <v>140</v>
      </c>
      <c r="K152" s="219">
        <f t="array" ref="K152">IFERROR(I152*INDEX('PORTIFÓLIO'!$S$4:$S$433,MATCH($C152,'PORTIFÓLIO'!$C$4:$C$433,0)),"")</f>
        <v>37.11</v>
      </c>
      <c r="L152" s="219">
        <f t="array" ref="L152">IFERROR(J152*INDEX('PORTIFÓLIO'!$S$4:$S$433,MATCH($C152,'PORTIFÓLIO'!$C$4:$C$433,0)),"")</f>
        <v>5195.4</v>
      </c>
      <c r="M152" s="220"/>
      <c r="N152" s="220"/>
      <c r="O152" s="220"/>
      <c r="P152" s="220"/>
      <c r="Q152" s="220"/>
      <c r="R152" s="220"/>
      <c r="S152" s="220"/>
      <c r="T152" s="220"/>
      <c r="U152" s="220"/>
      <c r="V152" s="220"/>
      <c r="W152" s="220"/>
    </row>
    <row r="153" ht="15.75" customHeight="1" outlineLevel="1">
      <c r="A153" s="211"/>
      <c r="B153" s="212"/>
      <c r="C153" s="213"/>
      <c r="D153" s="214" t="str">
        <f>IFERROR(VLOOKUP($C153,'PORTIFÓLIO'!C:V,2,0),"")</f>
        <v/>
      </c>
      <c r="E153" s="211" t="str">
        <f>IFERROR(VLOOKUP($C153,'PORTIFÓLIO'!C:V,3,0),"")</f>
        <v/>
      </c>
      <c r="F153" s="211" t="str">
        <f>IFERROR(VLOOKUP($C153,'PORTIFÓLIO'!C:V,4,0),"")</f>
        <v/>
      </c>
      <c r="G153" s="215" t="str">
        <f>IFERROR(VLOOKUP($C153,'PORTIFÓLIO'!C:V,5,0),"")</f>
        <v/>
      </c>
      <c r="H153" s="254" t="str">
        <f t="array" ref="H153">IFERROR(INDEX('PORTIFÓLIO'!$H$4:$H$433,MATCH($C153,'PORTIFÓLIO'!$C$4:$C$433,0)),"")</f>
        <v/>
      </c>
      <c r="I153" s="256"/>
      <c r="J153" s="218">
        <f t="shared" si="18"/>
        <v>0</v>
      </c>
      <c r="K153" s="219" t="str">
        <f t="array" ref="K153">IFERROR(I153*INDEX('PORTIFÓLIO'!$S$4:$S$433,MATCH($C153,'PORTIFÓLIO'!$C$4:$C$433,0)),"")</f>
        <v/>
      </c>
      <c r="L153" s="219" t="str">
        <f t="array" ref="L153">IFERROR(J153*INDEX('PORTIFÓLIO'!$S$4:$S$433,MATCH($C153,'PORTIFÓLIO'!$C$4:$C$433,0)),"")</f>
        <v/>
      </c>
      <c r="M153" s="220"/>
      <c r="N153" s="220"/>
      <c r="O153" s="220"/>
      <c r="P153" s="220"/>
      <c r="Q153" s="220"/>
      <c r="R153" s="220"/>
      <c r="S153" s="220"/>
      <c r="T153" s="220"/>
      <c r="U153" s="220"/>
      <c r="V153" s="220"/>
      <c r="W153" s="220"/>
    </row>
    <row r="154" ht="15.75" customHeight="1" outlineLevel="1">
      <c r="A154" s="211"/>
      <c r="B154" s="212"/>
      <c r="C154" s="213"/>
      <c r="D154" s="214" t="str">
        <f>IFERROR(VLOOKUP($C154,'PORTIFÓLIO'!C:V,2,0),"")</f>
        <v/>
      </c>
      <c r="E154" s="211" t="str">
        <f>IFERROR(VLOOKUP($C154,'PORTIFÓLIO'!C:V,3,0),"")</f>
        <v/>
      </c>
      <c r="F154" s="211" t="str">
        <f>IFERROR(VLOOKUP($C154,'PORTIFÓLIO'!C:V,4,0),"")</f>
        <v/>
      </c>
      <c r="G154" s="215" t="str">
        <f>IFERROR(VLOOKUP($C154,'PORTIFÓLIO'!C:V,5,0),"")</f>
        <v/>
      </c>
      <c r="H154" s="254" t="str">
        <f t="array" ref="H154">IFERROR(INDEX('PORTIFÓLIO'!$H$4:$H$433,MATCH($C154,'PORTIFÓLIO'!$C$4:$C$433,0)),"")</f>
        <v/>
      </c>
      <c r="I154" s="256"/>
      <c r="J154" s="218">
        <f t="shared" si="18"/>
        <v>0</v>
      </c>
      <c r="K154" s="219" t="str">
        <f t="array" ref="K154">IFERROR(I154*INDEX('PORTIFÓLIO'!$S$4:$S$433,MATCH($C154,'PORTIFÓLIO'!$C$4:$C$433,0)),"")</f>
        <v/>
      </c>
      <c r="L154" s="219" t="str">
        <f t="array" ref="L154">IFERROR(J154*INDEX('PORTIFÓLIO'!$S$4:$S$433,MATCH($C154,'PORTIFÓLIO'!$C$4:$C$433,0)),"")</f>
        <v/>
      </c>
      <c r="M154" s="220"/>
      <c r="N154" s="220"/>
      <c r="O154" s="220"/>
      <c r="P154" s="220"/>
      <c r="Q154" s="220"/>
      <c r="R154" s="220"/>
      <c r="S154" s="220"/>
      <c r="T154" s="220"/>
      <c r="U154" s="220"/>
      <c r="V154" s="220"/>
      <c r="W154" s="220"/>
    </row>
    <row r="155" ht="15.75" customHeight="1" outlineLevel="1">
      <c r="A155" s="211"/>
      <c r="B155" s="212"/>
      <c r="C155" s="213"/>
      <c r="D155" s="214" t="str">
        <f>IFERROR(VLOOKUP($C155,'PORTIFÓLIO'!C:V,2,0),"")</f>
        <v/>
      </c>
      <c r="E155" s="211" t="str">
        <f>IFERROR(VLOOKUP($C155,'PORTIFÓLIO'!C:V,3,0),"")</f>
        <v/>
      </c>
      <c r="F155" s="211" t="str">
        <f>IFERROR(VLOOKUP($C155,'PORTIFÓLIO'!C:V,4,0),"")</f>
        <v/>
      </c>
      <c r="G155" s="215" t="str">
        <f>IFERROR(VLOOKUP($C155,'PORTIFÓLIO'!C:V,5,0),"")</f>
        <v/>
      </c>
      <c r="H155" s="254" t="str">
        <f t="array" ref="H155">IFERROR(INDEX('PORTIFÓLIO'!$H$4:$H$433,MATCH($C155,'PORTIFÓLIO'!$C$4:$C$433,0)),"")</f>
        <v/>
      </c>
      <c r="I155" s="256"/>
      <c r="J155" s="218">
        <f t="shared" si="18"/>
        <v>0</v>
      </c>
      <c r="K155" s="219" t="str">
        <f t="array" ref="K155">IFERROR(I155*INDEX('PORTIFÓLIO'!$S$4:$S$433,MATCH($C155,'PORTIFÓLIO'!$C$4:$C$433,0)),"")</f>
        <v/>
      </c>
      <c r="L155" s="219" t="str">
        <f t="array" ref="L155">IFERROR(J155*INDEX('PORTIFÓLIO'!$S$4:$S$433,MATCH($C155,'PORTIFÓLIO'!$C$4:$C$433,0)),"")</f>
        <v/>
      </c>
      <c r="M155" s="220"/>
      <c r="N155" s="220"/>
      <c r="O155" s="220"/>
      <c r="P155" s="220"/>
      <c r="Q155" s="220"/>
      <c r="R155" s="220"/>
      <c r="S155" s="220"/>
      <c r="T155" s="220"/>
      <c r="U155" s="220"/>
      <c r="V155" s="220"/>
      <c r="W155" s="220"/>
    </row>
    <row r="156" ht="15.75" customHeight="1" outlineLevel="1">
      <c r="A156" s="211"/>
      <c r="B156" s="212"/>
      <c r="C156" s="213"/>
      <c r="D156" s="214" t="str">
        <f>IFERROR(VLOOKUP($C156,'PORTIFÓLIO'!C:V,2,0),"")</f>
        <v/>
      </c>
      <c r="E156" s="211" t="str">
        <f>IFERROR(VLOOKUP($C156,'PORTIFÓLIO'!C:V,3,0),"")</f>
        <v/>
      </c>
      <c r="F156" s="211" t="str">
        <f>IFERROR(VLOOKUP($C156,'PORTIFÓLIO'!C:V,4,0),"")</f>
        <v/>
      </c>
      <c r="G156" s="215" t="str">
        <f>IFERROR(VLOOKUP($C156,'PORTIFÓLIO'!C:V,5,0),"")</f>
        <v/>
      </c>
      <c r="H156" s="254" t="str">
        <f t="array" ref="H156">IFERROR(INDEX('PORTIFÓLIO'!$H$4:$H$433,MATCH($C156,'PORTIFÓLIO'!$C$4:$C$433,0)),"")</f>
        <v/>
      </c>
      <c r="I156" s="256"/>
      <c r="J156" s="218">
        <f t="shared" si="18"/>
        <v>0</v>
      </c>
      <c r="K156" s="219" t="str">
        <f t="array" ref="K156">IFERROR(I156*INDEX('PORTIFÓLIO'!$S$4:$S$433,MATCH($C156,'PORTIFÓLIO'!$C$4:$C$433,0)),"")</f>
        <v/>
      </c>
      <c r="L156" s="219" t="str">
        <f t="array" ref="L156">IFERROR(J156*INDEX('PORTIFÓLIO'!$S$4:$S$433,MATCH($C156,'PORTIFÓLIO'!$C$4:$C$433,0)),"")</f>
        <v/>
      </c>
      <c r="M156" s="220"/>
      <c r="N156" s="220"/>
      <c r="O156" s="220"/>
      <c r="P156" s="220"/>
      <c r="Q156" s="220"/>
      <c r="R156" s="220"/>
      <c r="S156" s="220"/>
      <c r="T156" s="220"/>
      <c r="U156" s="220"/>
      <c r="V156" s="220"/>
      <c r="W156" s="220"/>
    </row>
    <row r="157" ht="15.75" customHeight="1" outlineLevel="1">
      <c r="A157" s="211"/>
      <c r="B157" s="212"/>
      <c r="C157" s="213"/>
      <c r="D157" s="214" t="str">
        <f>IFERROR(VLOOKUP($C157,'PORTIFÓLIO'!C:V,2,0),"")</f>
        <v/>
      </c>
      <c r="E157" s="211" t="str">
        <f>IFERROR(VLOOKUP($C157,'PORTIFÓLIO'!C:V,3,0),"")</f>
        <v/>
      </c>
      <c r="F157" s="211" t="str">
        <f>IFERROR(VLOOKUP($C157,'PORTIFÓLIO'!C:V,4,0),"")</f>
        <v/>
      </c>
      <c r="G157" s="215" t="str">
        <f>IFERROR(VLOOKUP($C157,'PORTIFÓLIO'!C:V,5,0),"")</f>
        <v/>
      </c>
      <c r="H157" s="254" t="str">
        <f t="array" ref="H157">IFERROR(INDEX('PORTIFÓLIO'!$H$4:$H$433,MATCH($C157,'PORTIFÓLIO'!$C$4:$C$433,0)),"")</f>
        <v/>
      </c>
      <c r="I157" s="255"/>
      <c r="J157" s="218">
        <f t="shared" si="18"/>
        <v>0</v>
      </c>
      <c r="K157" s="219" t="str">
        <f t="array" ref="K157">IFERROR(I157*INDEX('PORTIFÓLIO'!$S$4:$S$433,MATCH($C157,'PORTIFÓLIO'!$C$4:$C$433,0)),"")</f>
        <v/>
      </c>
      <c r="L157" s="219" t="str">
        <f t="array" ref="L157">IFERROR(J157*INDEX('PORTIFÓLIO'!$S$4:$S$433,MATCH($C157,'PORTIFÓLIO'!$C$4:$C$433,0)),"")</f>
        <v/>
      </c>
      <c r="M157" s="220"/>
      <c r="N157" s="220"/>
      <c r="O157" s="220"/>
      <c r="P157" s="220"/>
      <c r="Q157" s="220"/>
      <c r="R157" s="220"/>
      <c r="S157" s="220"/>
      <c r="T157" s="220"/>
      <c r="U157" s="220"/>
      <c r="V157" s="220"/>
      <c r="W157" s="220"/>
    </row>
    <row r="158" ht="15.75" customHeight="1" outlineLevel="1">
      <c r="A158" s="211"/>
      <c r="B158" s="212"/>
      <c r="C158" s="213"/>
      <c r="D158" s="214" t="str">
        <f>IFERROR(VLOOKUP($C158,'PORTIFÓLIO'!C:V,2,0),"")</f>
        <v/>
      </c>
      <c r="E158" s="211" t="str">
        <f>IFERROR(VLOOKUP($C158,'PORTIFÓLIO'!C:V,3,0),"")</f>
        <v/>
      </c>
      <c r="F158" s="211" t="str">
        <f>IFERROR(VLOOKUP($C158,'PORTIFÓLIO'!C:V,4,0),"")</f>
        <v/>
      </c>
      <c r="G158" s="215" t="str">
        <f>IFERROR(VLOOKUP($C158,'PORTIFÓLIO'!C:V,5,0),"")</f>
        <v/>
      </c>
      <c r="H158" s="254" t="str">
        <f t="array" ref="H158">IFERROR(INDEX('PORTIFÓLIO'!$H$4:$H$433,MATCH($C158,'PORTIFÓLIO'!$C$4:$C$433,0)),"")</f>
        <v/>
      </c>
      <c r="I158" s="256"/>
      <c r="J158" s="218">
        <f t="shared" si="18"/>
        <v>0</v>
      </c>
      <c r="K158" s="219" t="str">
        <f t="array" ref="K158">IFERROR(I158*INDEX('PORTIFÓLIO'!$S$4:$S$433,MATCH($C158,'PORTIFÓLIO'!$C$4:$C$433,0)),"")</f>
        <v/>
      </c>
      <c r="L158" s="219" t="str">
        <f t="array" ref="L158">IFERROR(J158*INDEX('PORTIFÓLIO'!$S$4:$S$433,MATCH($C158,'PORTIFÓLIO'!$C$4:$C$433,0)),"")</f>
        <v/>
      </c>
      <c r="M158" s="220"/>
      <c r="N158" s="220"/>
      <c r="O158" s="220"/>
      <c r="P158" s="220"/>
      <c r="Q158" s="220"/>
      <c r="R158" s="220"/>
      <c r="S158" s="220"/>
      <c r="T158" s="220"/>
      <c r="U158" s="220"/>
      <c r="V158" s="220"/>
      <c r="W158" s="220"/>
    </row>
    <row r="159" ht="15.75" customHeight="1" outlineLevel="1">
      <c r="A159" s="211"/>
      <c r="B159" s="212"/>
      <c r="C159" s="213"/>
      <c r="D159" s="214" t="str">
        <f>IFERROR(VLOOKUP($C159,'PORTIFÓLIO'!C:V,2,0),"")</f>
        <v/>
      </c>
      <c r="E159" s="211" t="str">
        <f>IFERROR(VLOOKUP($C159,'PORTIFÓLIO'!C:V,3,0),"")</f>
        <v/>
      </c>
      <c r="F159" s="211" t="str">
        <f>IFERROR(VLOOKUP($C159,'PORTIFÓLIO'!C:V,4,0),"")</f>
        <v/>
      </c>
      <c r="G159" s="215" t="str">
        <f>IFERROR(VLOOKUP($C159,'PORTIFÓLIO'!C:V,5,0),"")</f>
        <v/>
      </c>
      <c r="H159" s="254" t="str">
        <f t="array" ref="H159">IFERROR(INDEX('PORTIFÓLIO'!$H$4:$H$433,MATCH($C159,'PORTIFÓLIO'!$C$4:$C$433,0)),"")</f>
        <v/>
      </c>
      <c r="I159" s="256"/>
      <c r="J159" s="218">
        <f t="shared" si="18"/>
        <v>0</v>
      </c>
      <c r="K159" s="219" t="str">
        <f t="array" ref="K159">IFERROR(I159*INDEX('PORTIFÓLIO'!$S$4:$S$433,MATCH($C159,'PORTIFÓLIO'!$C$4:$C$433,0)),"")</f>
        <v/>
      </c>
      <c r="L159" s="219" t="str">
        <f t="array" ref="L159">IFERROR(J159*INDEX('PORTIFÓLIO'!$S$4:$S$433,MATCH($C159,'PORTIFÓLIO'!$C$4:$C$433,0)),"")</f>
        <v/>
      </c>
      <c r="M159" s="220"/>
      <c r="N159" s="220"/>
      <c r="O159" s="220"/>
      <c r="P159" s="220"/>
      <c r="Q159" s="220"/>
      <c r="R159" s="220"/>
      <c r="S159" s="220"/>
      <c r="T159" s="220"/>
      <c r="U159" s="220"/>
      <c r="V159" s="220"/>
      <c r="W159" s="220"/>
    </row>
    <row r="160" ht="15.75" customHeight="1" outlineLevel="1">
      <c r="A160" s="211"/>
      <c r="B160" s="212"/>
      <c r="C160" s="213"/>
      <c r="D160" s="214" t="str">
        <f>IFERROR(VLOOKUP($C160,'PORTIFÓLIO'!C:V,2,0),"")</f>
        <v/>
      </c>
      <c r="E160" s="211" t="str">
        <f>IFERROR(VLOOKUP($C160,'PORTIFÓLIO'!C:V,3,0),"")</f>
        <v/>
      </c>
      <c r="F160" s="211" t="str">
        <f>IFERROR(VLOOKUP($C160,'PORTIFÓLIO'!C:V,4,0),"")</f>
        <v/>
      </c>
      <c r="G160" s="215" t="str">
        <f>IFERROR(VLOOKUP($C160,'PORTIFÓLIO'!C:V,5,0),"")</f>
        <v/>
      </c>
      <c r="H160" s="254" t="str">
        <f t="array" ref="H160">IFERROR(INDEX('PORTIFÓLIO'!$H$4:$H$433,MATCH($C160,'PORTIFÓLIO'!$C$4:$C$433,0)),"")</f>
        <v/>
      </c>
      <c r="I160" s="256"/>
      <c r="J160" s="218">
        <f t="shared" si="18"/>
        <v>0</v>
      </c>
      <c r="K160" s="219" t="str">
        <f t="array" ref="K160">IFERROR(I160*INDEX('PORTIFÓLIO'!$S$4:$S$433,MATCH($C160,'PORTIFÓLIO'!$C$4:$C$433,0)),"")</f>
        <v/>
      </c>
      <c r="L160" s="219" t="str">
        <f t="array" ref="L160">IFERROR(J160*INDEX('PORTIFÓLIO'!$S$4:$S$433,MATCH($C160,'PORTIFÓLIO'!$C$4:$C$433,0)),"")</f>
        <v/>
      </c>
      <c r="M160" s="220"/>
      <c r="N160" s="220"/>
      <c r="O160" s="220"/>
      <c r="P160" s="220"/>
      <c r="Q160" s="220"/>
      <c r="R160" s="220"/>
      <c r="S160" s="220"/>
      <c r="T160" s="220"/>
      <c r="U160" s="220"/>
      <c r="V160" s="220"/>
      <c r="W160" s="220"/>
    </row>
    <row r="161" ht="15.75" customHeight="1" outlineLevel="1">
      <c r="A161" s="211"/>
      <c r="B161" s="212"/>
      <c r="C161" s="213"/>
      <c r="D161" s="214" t="str">
        <f>IFERROR(VLOOKUP($C161,'PORTIFÓLIO'!C:V,2,0),"")</f>
        <v/>
      </c>
      <c r="E161" s="211" t="str">
        <f>IFERROR(VLOOKUP($C161,'PORTIFÓLIO'!C:V,3,0),"")</f>
        <v/>
      </c>
      <c r="F161" s="211" t="str">
        <f>IFERROR(VLOOKUP($C161,'PORTIFÓLIO'!C:V,4,0),"")</f>
        <v/>
      </c>
      <c r="G161" s="215" t="str">
        <f>IFERROR(VLOOKUP($C161,'PORTIFÓLIO'!C:V,5,0),"")</f>
        <v/>
      </c>
      <c r="H161" s="254" t="str">
        <f t="array" ref="H161">IFERROR(INDEX('PORTIFÓLIO'!$H$4:$H$433,MATCH($C161,'PORTIFÓLIO'!$C$4:$C$433,0)),"")</f>
        <v/>
      </c>
      <c r="I161" s="256"/>
      <c r="J161" s="218">
        <f t="shared" si="18"/>
        <v>0</v>
      </c>
      <c r="K161" s="219" t="str">
        <f t="array" ref="K161">IFERROR(I161*INDEX('PORTIFÓLIO'!$S$4:$S$433,MATCH($C161,'PORTIFÓLIO'!$C$4:$C$433,0)),"")</f>
        <v/>
      </c>
      <c r="L161" s="219" t="str">
        <f t="array" ref="L161">IFERROR(J161*INDEX('PORTIFÓLIO'!$S$4:$S$433,MATCH($C161,'PORTIFÓLIO'!$C$4:$C$433,0)),"")</f>
        <v/>
      </c>
      <c r="M161" s="220"/>
      <c r="N161" s="220"/>
      <c r="O161" s="220"/>
      <c r="P161" s="220"/>
      <c r="Q161" s="220"/>
      <c r="R161" s="220"/>
      <c r="S161" s="220"/>
      <c r="T161" s="220"/>
      <c r="U161" s="220"/>
      <c r="V161" s="220"/>
      <c r="W161" s="220"/>
    </row>
    <row r="162" ht="15.75" customHeight="1" outlineLevel="1">
      <c r="A162" s="211"/>
      <c r="B162" s="212"/>
      <c r="C162" s="213"/>
      <c r="D162" s="214" t="str">
        <f>IFERROR(VLOOKUP($C162,'PORTIFÓLIO'!C:V,2,0),"")</f>
        <v/>
      </c>
      <c r="E162" s="211" t="str">
        <f>IFERROR(VLOOKUP($C162,'PORTIFÓLIO'!C:V,3,0),"")</f>
        <v/>
      </c>
      <c r="F162" s="211" t="str">
        <f>IFERROR(VLOOKUP($C162,'PORTIFÓLIO'!C:V,4,0),"")</f>
        <v/>
      </c>
      <c r="G162" s="215" t="str">
        <f>IFERROR(VLOOKUP($C162,'PORTIFÓLIO'!C:V,5,0),"")</f>
        <v/>
      </c>
      <c r="H162" s="254" t="str">
        <f t="array" ref="H162">IFERROR(INDEX('PORTIFÓLIO'!$H$4:$H$433,MATCH($C162,'PORTIFÓLIO'!$C$4:$C$433,0)),"")</f>
        <v/>
      </c>
      <c r="I162" s="256"/>
      <c r="J162" s="218">
        <f t="shared" si="18"/>
        <v>0</v>
      </c>
      <c r="K162" s="219" t="str">
        <f t="array" ref="K162">IFERROR(I162*INDEX('PORTIFÓLIO'!$S$4:$S$433,MATCH($C162,'PORTIFÓLIO'!$C$4:$C$433,0)),"")</f>
        <v/>
      </c>
      <c r="L162" s="219" t="str">
        <f t="array" ref="L162">IFERROR(J162*INDEX('PORTIFÓLIO'!$S$4:$S$433,MATCH($C162,'PORTIFÓLIO'!$C$4:$C$433,0)),"")</f>
        <v/>
      </c>
      <c r="M162" s="220"/>
      <c r="N162" s="220"/>
      <c r="O162" s="220"/>
      <c r="P162" s="220"/>
      <c r="Q162" s="220"/>
      <c r="R162" s="220"/>
      <c r="S162" s="220"/>
      <c r="T162" s="220"/>
      <c r="U162" s="220"/>
      <c r="V162" s="220"/>
      <c r="W162" s="220"/>
    </row>
    <row r="163" ht="15.75" customHeight="1" outlineLevel="1">
      <c r="A163" s="211"/>
      <c r="B163" s="212"/>
      <c r="C163" s="213"/>
      <c r="D163" s="214" t="str">
        <f>IFERROR(VLOOKUP($C163,'PORTIFÓLIO'!C:V,2,0),"")</f>
        <v/>
      </c>
      <c r="E163" s="211" t="str">
        <f>IFERROR(VLOOKUP($C163,'PORTIFÓLIO'!C:V,3,0),"")</f>
        <v/>
      </c>
      <c r="F163" s="211" t="str">
        <f>IFERROR(VLOOKUP($C163,'PORTIFÓLIO'!C:V,4,0),"")</f>
        <v/>
      </c>
      <c r="G163" s="215" t="str">
        <f>IFERROR(VLOOKUP($C163,'PORTIFÓLIO'!C:V,5,0),"")</f>
        <v/>
      </c>
      <c r="H163" s="254" t="str">
        <f t="array" ref="H163">IFERROR(INDEX('PORTIFÓLIO'!$H$4:$H$433,MATCH($C163,'PORTIFÓLIO'!$C$4:$C$433,0)),"")</f>
        <v/>
      </c>
      <c r="I163" s="256"/>
      <c r="J163" s="218">
        <f t="shared" si="18"/>
        <v>0</v>
      </c>
      <c r="K163" s="219" t="str">
        <f t="array" ref="K163">IFERROR(I163*INDEX('PORTIFÓLIO'!$S$4:$S$433,MATCH($C163,'PORTIFÓLIO'!$C$4:$C$433,0)),"")</f>
        <v/>
      </c>
      <c r="L163" s="219" t="str">
        <f t="array" ref="L163">IFERROR(J163*INDEX('PORTIFÓLIO'!$S$4:$S$433,MATCH($C163,'PORTIFÓLIO'!$C$4:$C$433,0)),"")</f>
        <v/>
      </c>
      <c r="M163" s="220"/>
      <c r="N163" s="220"/>
      <c r="O163" s="220"/>
      <c r="P163" s="220"/>
      <c r="Q163" s="220"/>
      <c r="R163" s="220"/>
      <c r="S163" s="220"/>
      <c r="T163" s="220"/>
      <c r="U163" s="220"/>
      <c r="V163" s="220"/>
      <c r="W163" s="220"/>
    </row>
    <row r="164" ht="15.75" customHeight="1" outlineLevel="1">
      <c r="A164" s="211"/>
      <c r="B164" s="227"/>
      <c r="C164" s="211"/>
      <c r="D164" s="214" t="str">
        <f>IFERROR(VLOOKUP($C164,'PORTIFÓLIO'!C:V,2,0),"")</f>
        <v/>
      </c>
      <c r="E164" s="211" t="str">
        <f>IFERROR(VLOOKUP($C164,'PORTIFÓLIO'!C:V,3,0),"")</f>
        <v/>
      </c>
      <c r="F164" s="211" t="str">
        <f>IFERROR(VLOOKUP($C164,'PORTIFÓLIO'!C:V,4,0),"")</f>
        <v/>
      </c>
      <c r="G164" s="215" t="str">
        <f>IFERROR(VLOOKUP($C164,'PORTIFÓLIO'!C:V,5,0),"")</f>
        <v/>
      </c>
      <c r="H164" s="254" t="str">
        <f t="array" ref="H164">IFERROR(INDEX('PORTIFÓLIO'!$H$4:$H$433,MATCH($C164,'PORTIFÓLIO'!$C$4:$C$433,0)),"")</f>
        <v/>
      </c>
      <c r="I164" s="256"/>
      <c r="J164" s="218"/>
      <c r="K164" s="219" t="str">
        <f t="array" ref="K164">IFERROR(I164*INDEX('PORTIFÓLIO'!$S$4:$S$433,MATCH($C164,'PORTIFÓLIO'!$C$4:$C$433,0)),"")</f>
        <v/>
      </c>
      <c r="L164" s="219" t="str">
        <f t="array" ref="L164">IFERROR(J164*INDEX('PORTIFÓLIO'!$S$4:$S$433,MATCH($C164,'PORTIFÓLIO'!$C$4:$C$433,0)),"")</f>
        <v/>
      </c>
      <c r="M164" s="220"/>
      <c r="N164" s="220"/>
      <c r="O164" s="220"/>
      <c r="P164" s="220"/>
      <c r="Q164" s="220"/>
      <c r="R164" s="220"/>
      <c r="S164" s="220"/>
      <c r="T164" s="220"/>
      <c r="U164" s="220"/>
      <c r="V164" s="220"/>
      <c r="W164" s="220"/>
    </row>
    <row r="165" ht="15.75" customHeight="1">
      <c r="A165" s="229" t="s">
        <v>1193</v>
      </c>
      <c r="B165" s="230"/>
      <c r="C165" s="231"/>
      <c r="D165" s="232"/>
      <c r="E165" s="231"/>
      <c r="F165" s="231"/>
      <c r="G165" s="233"/>
      <c r="H165" s="233"/>
      <c r="I165" s="258"/>
      <c r="J165" s="236"/>
      <c r="K165" s="237">
        <f t="shared" ref="K165:L165" si="19">SUBTOTAL(9,K166:K179)</f>
        <v>0</v>
      </c>
      <c r="L165" s="237">
        <f t="shared" si="19"/>
        <v>0</v>
      </c>
      <c r="M165" s="220"/>
      <c r="N165" s="220"/>
      <c r="O165" s="220"/>
      <c r="P165" s="220"/>
      <c r="Q165" s="220"/>
      <c r="R165" s="220"/>
      <c r="S165" s="220"/>
      <c r="T165" s="220"/>
      <c r="U165" s="220"/>
      <c r="V165" s="220"/>
      <c r="W165" s="220"/>
    </row>
    <row r="166" ht="15.75" customHeight="1" outlineLevel="1">
      <c r="A166" s="213"/>
      <c r="B166" s="212"/>
      <c r="C166" s="213"/>
      <c r="D166" s="214" t="str">
        <f>IFERROR(VLOOKUP($C166,'PORTIFÓLIO'!C:V,2,0),"")</f>
        <v/>
      </c>
      <c r="E166" s="211" t="str">
        <f>IFERROR(VLOOKUP($C166,'PORTIFÓLIO'!C:V,3,0),"")</f>
        <v/>
      </c>
      <c r="F166" s="211" t="str">
        <f>IFERROR(VLOOKUP($C166,'PORTIFÓLIO'!C:V,4,0),"")</f>
        <v/>
      </c>
      <c r="G166" s="215" t="str">
        <f>IFERROR(VLOOKUP($C166,'PORTIFÓLIO'!C:V,5,0),"")</f>
        <v/>
      </c>
      <c r="H166" s="254" t="str">
        <f t="array" ref="H166">IFERROR(INDEX('PORTIFÓLIO'!$H$4:$H$433,MATCH($C166,'PORTIFÓLIO'!$C$4:$C$433,0)),"")</f>
        <v/>
      </c>
      <c r="I166" s="255"/>
      <c r="J166" s="218">
        <f t="shared" ref="J166:J181" si="20">I166*$B$2</f>
        <v>0</v>
      </c>
      <c r="K166" s="219" t="str">
        <f t="array" ref="K166">IFERROR(I166*INDEX('PORTIFÓLIO'!$S$4:$S$433,MATCH($C166,'PORTIFÓLIO'!$C$4:$C$433,0)),"")</f>
        <v/>
      </c>
      <c r="L166" s="219" t="str">
        <f t="array" ref="L166">IFERROR(J166*INDEX('PORTIFÓLIO'!$S$4:$S$433,MATCH($C166,'PORTIFÓLIO'!$C$4:$C$433,0)),"")</f>
        <v/>
      </c>
      <c r="M166" s="220"/>
      <c r="N166" s="220"/>
      <c r="O166" s="220"/>
      <c r="P166" s="220"/>
      <c r="Q166" s="220"/>
      <c r="R166" s="220"/>
      <c r="S166" s="220"/>
      <c r="T166" s="220"/>
      <c r="U166" s="220"/>
      <c r="V166" s="220"/>
      <c r="W166" s="220"/>
    </row>
    <row r="167" ht="15.75" customHeight="1" outlineLevel="1">
      <c r="A167" s="211"/>
      <c r="B167" s="212"/>
      <c r="C167" s="213"/>
      <c r="D167" s="214" t="str">
        <f>IFERROR(VLOOKUP($C167,'PORTIFÓLIO'!C:V,2,0),"")</f>
        <v/>
      </c>
      <c r="E167" s="211" t="str">
        <f>IFERROR(VLOOKUP($C167,'PORTIFÓLIO'!C:V,3,0),"")</f>
        <v/>
      </c>
      <c r="F167" s="211" t="str">
        <f>IFERROR(VLOOKUP($C167,'PORTIFÓLIO'!C:V,4,0),"")</f>
        <v/>
      </c>
      <c r="G167" s="215" t="str">
        <f>IFERROR(VLOOKUP($C167,'PORTIFÓLIO'!C:V,5,0),"")</f>
        <v/>
      </c>
      <c r="H167" s="254" t="str">
        <f t="array" ref="H167">IFERROR(INDEX('PORTIFÓLIO'!$H$4:$H$433,MATCH($C167,'PORTIFÓLIO'!$C$4:$C$433,0)),"")</f>
        <v/>
      </c>
      <c r="I167" s="255"/>
      <c r="J167" s="218">
        <f t="shared" si="20"/>
        <v>0</v>
      </c>
      <c r="K167" s="219" t="str">
        <f t="array" ref="K167">IFERROR(I167*INDEX('PORTIFÓLIO'!$S$4:$S$433,MATCH($C167,'PORTIFÓLIO'!$C$4:$C$433,0)),"")</f>
        <v/>
      </c>
      <c r="L167" s="219" t="str">
        <f t="array" ref="L167">IFERROR(J167*INDEX('PORTIFÓLIO'!$S$4:$S$433,MATCH($C167,'PORTIFÓLIO'!$C$4:$C$433,0)),"")</f>
        <v/>
      </c>
      <c r="M167" s="220"/>
      <c r="N167" s="220"/>
      <c r="O167" s="220"/>
      <c r="P167" s="220"/>
      <c r="Q167" s="220"/>
      <c r="R167" s="220"/>
      <c r="S167" s="220"/>
      <c r="T167" s="220"/>
      <c r="U167" s="220"/>
      <c r="V167" s="220"/>
      <c r="W167" s="220"/>
    </row>
    <row r="168" ht="15.75" customHeight="1" outlineLevel="1">
      <c r="A168" s="211"/>
      <c r="B168" s="212"/>
      <c r="C168" s="213"/>
      <c r="D168" s="214" t="str">
        <f>IFERROR(VLOOKUP($C168,'PORTIFÓLIO'!C:V,2,0),"")</f>
        <v/>
      </c>
      <c r="E168" s="211" t="str">
        <f>IFERROR(VLOOKUP($C168,'PORTIFÓLIO'!C:V,3,0),"")</f>
        <v/>
      </c>
      <c r="F168" s="211" t="str">
        <f>IFERROR(VLOOKUP($C168,'PORTIFÓLIO'!C:V,4,0),"")</f>
        <v/>
      </c>
      <c r="G168" s="215" t="str">
        <f>IFERROR(VLOOKUP($C168,'PORTIFÓLIO'!C:V,5,0),"")</f>
        <v/>
      </c>
      <c r="H168" s="254" t="str">
        <f t="array" ref="H168">IFERROR(INDEX('PORTIFÓLIO'!$H$4:$H$433,MATCH($C168,'PORTIFÓLIO'!$C$4:$C$433,0)),"")</f>
        <v/>
      </c>
      <c r="I168" s="256"/>
      <c r="J168" s="218">
        <f t="shared" si="20"/>
        <v>0</v>
      </c>
      <c r="K168" s="219" t="str">
        <f t="array" ref="K168">IFERROR(I168*INDEX('PORTIFÓLIO'!$S$4:$S$433,MATCH($C168,'PORTIFÓLIO'!$C$4:$C$433,0)),"")</f>
        <v/>
      </c>
      <c r="L168" s="219" t="str">
        <f t="array" ref="L168">IFERROR(J168*INDEX('PORTIFÓLIO'!$S$4:$S$433,MATCH($C168,'PORTIFÓLIO'!$C$4:$C$433,0)),"")</f>
        <v/>
      </c>
      <c r="M168" s="220"/>
      <c r="N168" s="220"/>
      <c r="O168" s="220"/>
      <c r="P168" s="220"/>
      <c r="Q168" s="220"/>
      <c r="R168" s="220"/>
      <c r="S168" s="220"/>
      <c r="T168" s="220"/>
      <c r="U168" s="220"/>
      <c r="V168" s="220"/>
      <c r="W168" s="220"/>
    </row>
    <row r="169" ht="15.75" customHeight="1" outlineLevel="1">
      <c r="A169" s="211"/>
      <c r="B169" s="212"/>
      <c r="C169" s="213"/>
      <c r="D169" s="214" t="str">
        <f>IFERROR(VLOOKUP($C169,'PORTIFÓLIO'!C:V,2,0),"")</f>
        <v/>
      </c>
      <c r="E169" s="211" t="str">
        <f>IFERROR(VLOOKUP($C169,'PORTIFÓLIO'!C:V,3,0),"")</f>
        <v/>
      </c>
      <c r="F169" s="211" t="str">
        <f>IFERROR(VLOOKUP($C169,'PORTIFÓLIO'!C:V,4,0),"")</f>
        <v/>
      </c>
      <c r="G169" s="215" t="str">
        <f>IFERROR(VLOOKUP($C169,'PORTIFÓLIO'!C:V,5,0),"")</f>
        <v/>
      </c>
      <c r="H169" s="254" t="str">
        <f t="array" ref="H169">IFERROR(INDEX('PORTIFÓLIO'!$H$4:$H$433,MATCH($C169,'PORTIFÓLIO'!$C$4:$C$433,0)),"")</f>
        <v/>
      </c>
      <c r="I169" s="256"/>
      <c r="J169" s="218">
        <f t="shared" si="20"/>
        <v>0</v>
      </c>
      <c r="K169" s="219" t="str">
        <f t="array" ref="K169">IFERROR(I169*INDEX('PORTIFÓLIO'!$S$4:$S$433,MATCH($C169,'PORTIFÓLIO'!$C$4:$C$433,0)),"")</f>
        <v/>
      </c>
      <c r="L169" s="219" t="str">
        <f t="array" ref="L169">IFERROR(J169*INDEX('PORTIFÓLIO'!$S$4:$S$433,MATCH($C169,'PORTIFÓLIO'!$C$4:$C$433,0)),"")</f>
        <v/>
      </c>
      <c r="M169" s="220"/>
      <c r="N169" s="220"/>
      <c r="O169" s="220"/>
      <c r="P169" s="220"/>
      <c r="Q169" s="220"/>
      <c r="R169" s="220"/>
      <c r="S169" s="220"/>
      <c r="T169" s="220"/>
      <c r="U169" s="220"/>
      <c r="V169" s="220"/>
      <c r="W169" s="220"/>
    </row>
    <row r="170" ht="15.75" customHeight="1" outlineLevel="1">
      <c r="A170" s="211"/>
      <c r="B170" s="212"/>
      <c r="C170" s="213"/>
      <c r="D170" s="214" t="str">
        <f>IFERROR(VLOOKUP($C170,'PORTIFÓLIO'!C:V,2,0),"")</f>
        <v/>
      </c>
      <c r="E170" s="211" t="str">
        <f>IFERROR(VLOOKUP($C170,'PORTIFÓLIO'!C:V,3,0),"")</f>
        <v/>
      </c>
      <c r="F170" s="211" t="str">
        <f>IFERROR(VLOOKUP($C170,'PORTIFÓLIO'!C:V,4,0),"")</f>
        <v/>
      </c>
      <c r="G170" s="215" t="str">
        <f>IFERROR(VLOOKUP($C170,'PORTIFÓLIO'!C:V,5,0),"")</f>
        <v/>
      </c>
      <c r="H170" s="254" t="str">
        <f t="array" ref="H170">IFERROR(INDEX('PORTIFÓLIO'!$H$4:$H$433,MATCH($C170,'PORTIFÓLIO'!$C$4:$C$433,0)),"")</f>
        <v/>
      </c>
      <c r="I170" s="256"/>
      <c r="J170" s="218">
        <f t="shared" si="20"/>
        <v>0</v>
      </c>
      <c r="K170" s="219" t="str">
        <f t="array" ref="K170">IFERROR(I170*INDEX('PORTIFÓLIO'!$S$4:$S$433,MATCH($C170,'PORTIFÓLIO'!$C$4:$C$433,0)),"")</f>
        <v/>
      </c>
      <c r="L170" s="219" t="str">
        <f t="array" ref="L170">IFERROR(J170*INDEX('PORTIFÓLIO'!$S$4:$S$433,MATCH($C170,'PORTIFÓLIO'!$C$4:$C$433,0)),"")</f>
        <v/>
      </c>
      <c r="M170" s="220"/>
      <c r="N170" s="220"/>
      <c r="O170" s="220"/>
      <c r="P170" s="220"/>
      <c r="Q170" s="220"/>
      <c r="R170" s="220"/>
      <c r="S170" s="220"/>
      <c r="T170" s="220"/>
      <c r="U170" s="220"/>
      <c r="V170" s="220"/>
      <c r="W170" s="220"/>
    </row>
    <row r="171" ht="15.75" customHeight="1" outlineLevel="1">
      <c r="A171" s="211"/>
      <c r="B171" s="212"/>
      <c r="C171" s="213"/>
      <c r="D171" s="214" t="str">
        <f>IFERROR(VLOOKUP($C171,'PORTIFÓLIO'!C:V,2,0),"")</f>
        <v/>
      </c>
      <c r="E171" s="211" t="str">
        <f>IFERROR(VLOOKUP($C171,'PORTIFÓLIO'!C:V,3,0),"")</f>
        <v/>
      </c>
      <c r="F171" s="211" t="str">
        <f>IFERROR(VLOOKUP($C171,'PORTIFÓLIO'!C:V,4,0),"")</f>
        <v/>
      </c>
      <c r="G171" s="215" t="str">
        <f>IFERROR(VLOOKUP($C171,'PORTIFÓLIO'!C:V,5,0),"")</f>
        <v/>
      </c>
      <c r="H171" s="254" t="str">
        <f t="array" ref="H171">IFERROR(INDEX('PORTIFÓLIO'!$H$4:$H$433,MATCH($C171,'PORTIFÓLIO'!$C$4:$C$433,0)),"")</f>
        <v/>
      </c>
      <c r="I171" s="256"/>
      <c r="J171" s="218">
        <f t="shared" si="20"/>
        <v>0</v>
      </c>
      <c r="K171" s="219" t="str">
        <f t="array" ref="K171">IFERROR(I171*INDEX('PORTIFÓLIO'!$S$4:$S$433,MATCH($C171,'PORTIFÓLIO'!$C$4:$C$433,0)),"")</f>
        <v/>
      </c>
      <c r="L171" s="219" t="str">
        <f t="array" ref="L171">IFERROR(J171*INDEX('PORTIFÓLIO'!$S$4:$S$433,MATCH($C171,'PORTIFÓLIO'!$C$4:$C$433,0)),"")</f>
        <v/>
      </c>
      <c r="M171" s="220"/>
      <c r="N171" s="220"/>
      <c r="O171" s="220"/>
      <c r="P171" s="220"/>
      <c r="Q171" s="220"/>
      <c r="R171" s="220"/>
      <c r="S171" s="220"/>
      <c r="T171" s="220"/>
      <c r="U171" s="220"/>
      <c r="V171" s="220"/>
      <c r="W171" s="220"/>
    </row>
    <row r="172" ht="15.75" customHeight="1" outlineLevel="1">
      <c r="A172" s="211"/>
      <c r="B172" s="212"/>
      <c r="C172" s="213"/>
      <c r="D172" s="214" t="str">
        <f>IFERROR(VLOOKUP($C172,'PORTIFÓLIO'!C:V,2,0),"")</f>
        <v/>
      </c>
      <c r="E172" s="211" t="str">
        <f>IFERROR(VLOOKUP($C172,'PORTIFÓLIO'!C:V,3,0),"")</f>
        <v/>
      </c>
      <c r="F172" s="211" t="str">
        <f>IFERROR(VLOOKUP($C172,'PORTIFÓLIO'!C:V,4,0),"")</f>
        <v/>
      </c>
      <c r="G172" s="215" t="str">
        <f>IFERROR(VLOOKUP($C172,'PORTIFÓLIO'!C:V,5,0),"")</f>
        <v/>
      </c>
      <c r="H172" s="254" t="str">
        <f t="array" ref="H172">IFERROR(INDEX('PORTIFÓLIO'!$H$4:$H$433,MATCH($C172,'PORTIFÓLIO'!$C$4:$C$433,0)),"")</f>
        <v/>
      </c>
      <c r="I172" s="256"/>
      <c r="J172" s="218">
        <f t="shared" si="20"/>
        <v>0</v>
      </c>
      <c r="K172" s="219" t="str">
        <f t="array" ref="K172">IFERROR(I172*INDEX('PORTIFÓLIO'!$S$4:$S$433,MATCH($C172,'PORTIFÓLIO'!$C$4:$C$433,0)),"")</f>
        <v/>
      </c>
      <c r="L172" s="219" t="str">
        <f t="array" ref="L172">IFERROR(J172*INDEX('PORTIFÓLIO'!$S$4:$S$433,MATCH($C172,'PORTIFÓLIO'!$C$4:$C$433,0)),"")</f>
        <v/>
      </c>
      <c r="M172" s="220"/>
      <c r="N172" s="220"/>
      <c r="O172" s="220"/>
      <c r="P172" s="220"/>
      <c r="Q172" s="220"/>
      <c r="R172" s="220"/>
      <c r="S172" s="220"/>
      <c r="T172" s="220"/>
      <c r="U172" s="220"/>
      <c r="V172" s="220"/>
      <c r="W172" s="220"/>
    </row>
    <row r="173" ht="15.75" customHeight="1" outlineLevel="1">
      <c r="A173" s="211"/>
      <c r="B173" s="212"/>
      <c r="C173" s="213"/>
      <c r="D173" s="214" t="str">
        <f>IFERROR(VLOOKUP($C173,'PORTIFÓLIO'!C:V,2,0),"")</f>
        <v/>
      </c>
      <c r="E173" s="211" t="str">
        <f>IFERROR(VLOOKUP($C173,'PORTIFÓLIO'!C:V,3,0),"")</f>
        <v/>
      </c>
      <c r="F173" s="211" t="str">
        <f>IFERROR(VLOOKUP($C173,'PORTIFÓLIO'!C:V,4,0),"")</f>
        <v/>
      </c>
      <c r="G173" s="215" t="str">
        <f>IFERROR(VLOOKUP($C173,'PORTIFÓLIO'!C:V,5,0),"")</f>
        <v/>
      </c>
      <c r="H173" s="254" t="str">
        <f t="array" ref="H173">IFERROR(INDEX('PORTIFÓLIO'!$H$4:$H$433,MATCH($C173,'PORTIFÓLIO'!$C$4:$C$433,0)),"")</f>
        <v/>
      </c>
      <c r="I173" s="256"/>
      <c r="J173" s="218">
        <f t="shared" si="20"/>
        <v>0</v>
      </c>
      <c r="K173" s="219" t="str">
        <f t="array" ref="K173">IFERROR(I173*INDEX('PORTIFÓLIO'!$S$4:$S$433,MATCH($C173,'PORTIFÓLIO'!$C$4:$C$433,0)),"")</f>
        <v/>
      </c>
      <c r="L173" s="219" t="str">
        <f t="array" ref="L173">IFERROR(J173*INDEX('PORTIFÓLIO'!$S$4:$S$433,MATCH($C173,'PORTIFÓLIO'!$C$4:$C$433,0)),"")</f>
        <v/>
      </c>
      <c r="M173" s="220"/>
      <c r="N173" s="220"/>
      <c r="O173" s="220"/>
      <c r="P173" s="220"/>
      <c r="Q173" s="220"/>
      <c r="R173" s="220"/>
      <c r="S173" s="220"/>
      <c r="T173" s="220"/>
      <c r="U173" s="220"/>
      <c r="V173" s="220"/>
      <c r="W173" s="220"/>
    </row>
    <row r="174" ht="15.75" customHeight="1" outlineLevel="1">
      <c r="A174" s="211"/>
      <c r="B174" s="212"/>
      <c r="C174" s="213"/>
      <c r="D174" s="214" t="str">
        <f>IFERROR(VLOOKUP($C174,'PORTIFÓLIO'!C:V,2,0),"")</f>
        <v/>
      </c>
      <c r="E174" s="211" t="str">
        <f>IFERROR(VLOOKUP($C174,'PORTIFÓLIO'!C:V,3,0),"")</f>
        <v/>
      </c>
      <c r="F174" s="211" t="str">
        <f>IFERROR(VLOOKUP($C174,'PORTIFÓLIO'!C:V,4,0),"")</f>
        <v/>
      </c>
      <c r="G174" s="215" t="str">
        <f>IFERROR(VLOOKUP($C174,'PORTIFÓLIO'!C:V,5,0),"")</f>
        <v/>
      </c>
      <c r="H174" s="254" t="str">
        <f t="array" ref="H174">IFERROR(INDEX('PORTIFÓLIO'!$H$4:$H$433,MATCH($C174,'PORTIFÓLIO'!$C$4:$C$433,0)),"")</f>
        <v/>
      </c>
      <c r="I174" s="255"/>
      <c r="J174" s="218">
        <f t="shared" si="20"/>
        <v>0</v>
      </c>
      <c r="K174" s="219" t="str">
        <f t="array" ref="K174">IFERROR(I174*INDEX('PORTIFÓLIO'!$S$4:$S$433,MATCH($C174,'PORTIFÓLIO'!$C$4:$C$433,0)),"")</f>
        <v/>
      </c>
      <c r="L174" s="219" t="str">
        <f t="array" ref="L174">IFERROR(J174*INDEX('PORTIFÓLIO'!$S$4:$S$433,MATCH($C174,'PORTIFÓLIO'!$C$4:$C$433,0)),"")</f>
        <v/>
      </c>
      <c r="M174" s="220"/>
      <c r="N174" s="220"/>
      <c r="O174" s="220"/>
      <c r="P174" s="220"/>
      <c r="Q174" s="220"/>
      <c r="R174" s="220"/>
      <c r="S174" s="220"/>
      <c r="T174" s="220"/>
      <c r="U174" s="220"/>
      <c r="V174" s="220"/>
      <c r="W174" s="220"/>
    </row>
    <row r="175" ht="15.75" customHeight="1" outlineLevel="1">
      <c r="A175" s="211"/>
      <c r="B175" s="212"/>
      <c r="C175" s="213"/>
      <c r="D175" s="214" t="str">
        <f>IFERROR(VLOOKUP($C175,'PORTIFÓLIO'!C:V,2,0),"")</f>
        <v/>
      </c>
      <c r="E175" s="211" t="str">
        <f>IFERROR(VLOOKUP($C175,'PORTIFÓLIO'!C:V,3,0),"")</f>
        <v/>
      </c>
      <c r="F175" s="211" t="str">
        <f>IFERROR(VLOOKUP($C175,'PORTIFÓLIO'!C:V,4,0),"")</f>
        <v/>
      </c>
      <c r="G175" s="215" t="str">
        <f>IFERROR(VLOOKUP($C175,'PORTIFÓLIO'!C:V,5,0),"")</f>
        <v/>
      </c>
      <c r="H175" s="254" t="str">
        <f t="array" ref="H175">IFERROR(INDEX('PORTIFÓLIO'!$H$4:$H$433,MATCH($C175,'PORTIFÓLIO'!$C$4:$C$433,0)),"")</f>
        <v/>
      </c>
      <c r="I175" s="256"/>
      <c r="J175" s="218">
        <f t="shared" si="20"/>
        <v>0</v>
      </c>
      <c r="K175" s="219" t="str">
        <f t="array" ref="K175">IFERROR(I175*INDEX('PORTIFÓLIO'!$S$4:$S$433,MATCH($C175,'PORTIFÓLIO'!$C$4:$C$433,0)),"")</f>
        <v/>
      </c>
      <c r="L175" s="219" t="str">
        <f t="array" ref="L175">IFERROR(J175*INDEX('PORTIFÓLIO'!$S$4:$S$433,MATCH($C175,'PORTIFÓLIO'!$C$4:$C$433,0)),"")</f>
        <v/>
      </c>
      <c r="M175" s="220"/>
      <c r="N175" s="220"/>
      <c r="O175" s="220"/>
      <c r="P175" s="220"/>
      <c r="Q175" s="220"/>
      <c r="R175" s="220"/>
      <c r="S175" s="220"/>
      <c r="T175" s="220"/>
      <c r="U175" s="220"/>
      <c r="V175" s="220"/>
      <c r="W175" s="220"/>
    </row>
    <row r="176" ht="15.75" customHeight="1" outlineLevel="1">
      <c r="A176" s="211"/>
      <c r="B176" s="212"/>
      <c r="C176" s="213"/>
      <c r="D176" s="214" t="str">
        <f>IFERROR(VLOOKUP($C176,'PORTIFÓLIO'!C:V,2,0),"")</f>
        <v/>
      </c>
      <c r="E176" s="211" t="str">
        <f>IFERROR(VLOOKUP($C176,'PORTIFÓLIO'!C:V,3,0),"")</f>
        <v/>
      </c>
      <c r="F176" s="211" t="str">
        <f>IFERROR(VLOOKUP($C176,'PORTIFÓLIO'!C:V,4,0),"")</f>
        <v/>
      </c>
      <c r="G176" s="215" t="str">
        <f>IFERROR(VLOOKUP($C176,'PORTIFÓLIO'!C:V,5,0),"")</f>
        <v/>
      </c>
      <c r="H176" s="254" t="str">
        <f t="array" ref="H176">IFERROR(INDEX('PORTIFÓLIO'!$H$4:$H$433,MATCH($C176,'PORTIFÓLIO'!$C$4:$C$433,0)),"")</f>
        <v/>
      </c>
      <c r="I176" s="256"/>
      <c r="J176" s="218">
        <f t="shared" si="20"/>
        <v>0</v>
      </c>
      <c r="K176" s="219" t="str">
        <f t="array" ref="K176">IFERROR(I176*INDEX('PORTIFÓLIO'!$S$4:$S$433,MATCH($C176,'PORTIFÓLIO'!$C$4:$C$433,0)),"")</f>
        <v/>
      </c>
      <c r="L176" s="219" t="str">
        <f t="array" ref="L176">IFERROR(J176*INDEX('PORTIFÓLIO'!$S$4:$S$433,MATCH($C176,'PORTIFÓLIO'!$C$4:$C$433,0)),"")</f>
        <v/>
      </c>
      <c r="M176" s="220"/>
      <c r="N176" s="220"/>
      <c r="O176" s="220"/>
      <c r="P176" s="220"/>
      <c r="Q176" s="220"/>
      <c r="R176" s="220"/>
      <c r="S176" s="220"/>
      <c r="T176" s="220"/>
      <c r="U176" s="220"/>
      <c r="V176" s="220"/>
      <c r="W176" s="220"/>
    </row>
    <row r="177" ht="15.75" customHeight="1" outlineLevel="1">
      <c r="A177" s="211"/>
      <c r="B177" s="212"/>
      <c r="C177" s="213"/>
      <c r="D177" s="214" t="str">
        <f>IFERROR(VLOOKUP($C177,'PORTIFÓLIO'!C:V,2,0),"")</f>
        <v/>
      </c>
      <c r="E177" s="211" t="str">
        <f>IFERROR(VLOOKUP($C177,'PORTIFÓLIO'!C:V,3,0),"")</f>
        <v/>
      </c>
      <c r="F177" s="211" t="str">
        <f>IFERROR(VLOOKUP($C177,'PORTIFÓLIO'!C:V,4,0),"")</f>
        <v/>
      </c>
      <c r="G177" s="215" t="str">
        <f>IFERROR(VLOOKUP($C177,'PORTIFÓLIO'!C:V,5,0),"")</f>
        <v/>
      </c>
      <c r="H177" s="254" t="str">
        <f t="array" ref="H177">IFERROR(INDEX('PORTIFÓLIO'!$H$4:$H$433,MATCH($C177,'PORTIFÓLIO'!$C$4:$C$433,0)),"")</f>
        <v/>
      </c>
      <c r="I177" s="256"/>
      <c r="J177" s="218">
        <f t="shared" si="20"/>
        <v>0</v>
      </c>
      <c r="K177" s="219" t="str">
        <f t="array" ref="K177">IFERROR(I177*INDEX('PORTIFÓLIO'!$S$4:$S$433,MATCH($C177,'PORTIFÓLIO'!$C$4:$C$433,0)),"")</f>
        <v/>
      </c>
      <c r="L177" s="219" t="str">
        <f t="array" ref="L177">IFERROR(J177*INDEX('PORTIFÓLIO'!$S$4:$S$433,MATCH($C177,'PORTIFÓLIO'!$C$4:$C$433,0)),"")</f>
        <v/>
      </c>
      <c r="M177" s="220"/>
      <c r="N177" s="220"/>
      <c r="O177" s="220"/>
      <c r="P177" s="220"/>
      <c r="Q177" s="220"/>
      <c r="R177" s="220"/>
      <c r="S177" s="220"/>
      <c r="T177" s="220"/>
      <c r="U177" s="220"/>
      <c r="V177" s="220"/>
      <c r="W177" s="220"/>
    </row>
    <row r="178" ht="15.75" customHeight="1" outlineLevel="1">
      <c r="A178" s="211"/>
      <c r="B178" s="212"/>
      <c r="C178" s="213"/>
      <c r="D178" s="214" t="str">
        <f>IFERROR(VLOOKUP($C178,'PORTIFÓLIO'!C:V,2,0),"")</f>
        <v/>
      </c>
      <c r="E178" s="211" t="str">
        <f>IFERROR(VLOOKUP($C178,'PORTIFÓLIO'!C:V,3,0),"")</f>
        <v/>
      </c>
      <c r="F178" s="211" t="str">
        <f>IFERROR(VLOOKUP($C178,'PORTIFÓLIO'!C:V,4,0),"")</f>
        <v/>
      </c>
      <c r="G178" s="215" t="str">
        <f>IFERROR(VLOOKUP($C178,'PORTIFÓLIO'!C:V,5,0),"")</f>
        <v/>
      </c>
      <c r="H178" s="254" t="str">
        <f t="array" ref="H178">IFERROR(INDEX('PORTIFÓLIO'!$H$4:$H$433,MATCH($C178,'PORTIFÓLIO'!$C$4:$C$433,0)),"")</f>
        <v/>
      </c>
      <c r="I178" s="256"/>
      <c r="J178" s="218">
        <f t="shared" si="20"/>
        <v>0</v>
      </c>
      <c r="K178" s="219" t="str">
        <f t="array" ref="K178">IFERROR(I178*INDEX('PORTIFÓLIO'!$S$4:$S$433,MATCH($C178,'PORTIFÓLIO'!$C$4:$C$433,0)),"")</f>
        <v/>
      </c>
      <c r="L178" s="219" t="str">
        <f t="array" ref="L178">IFERROR(J178*INDEX('PORTIFÓLIO'!$S$4:$S$433,MATCH($C178,'PORTIFÓLIO'!$C$4:$C$433,0)),"")</f>
        <v/>
      </c>
      <c r="M178" s="220"/>
      <c r="N178" s="220"/>
      <c r="O178" s="220"/>
      <c r="P178" s="220"/>
      <c r="Q178" s="220"/>
      <c r="R178" s="220"/>
      <c r="S178" s="220"/>
      <c r="T178" s="220"/>
      <c r="U178" s="220"/>
      <c r="V178" s="220"/>
      <c r="W178" s="220"/>
    </row>
    <row r="179" ht="15.75" customHeight="1" outlineLevel="1">
      <c r="A179" s="211"/>
      <c r="B179" s="212"/>
      <c r="C179" s="213"/>
      <c r="D179" s="214" t="str">
        <f>IFERROR(VLOOKUP($C179,'PORTIFÓLIO'!C:V,2,0),"")</f>
        <v/>
      </c>
      <c r="E179" s="211" t="str">
        <f>IFERROR(VLOOKUP($C179,'PORTIFÓLIO'!C:V,3,0),"")</f>
        <v/>
      </c>
      <c r="F179" s="211" t="str">
        <f>IFERROR(VLOOKUP($C179,'PORTIFÓLIO'!C:V,4,0),"")</f>
        <v/>
      </c>
      <c r="G179" s="215" t="str">
        <f>IFERROR(VLOOKUP($C179,'PORTIFÓLIO'!C:V,5,0),"")</f>
        <v/>
      </c>
      <c r="H179" s="254" t="str">
        <f t="array" ref="H179">IFERROR(INDEX('PORTIFÓLIO'!$H$4:$H$433,MATCH($C179,'PORTIFÓLIO'!$C$4:$C$433,0)),"")</f>
        <v/>
      </c>
      <c r="I179" s="256"/>
      <c r="J179" s="218">
        <f t="shared" si="20"/>
        <v>0</v>
      </c>
      <c r="K179" s="219" t="str">
        <f t="array" ref="K179">IFERROR(I179*INDEX('PORTIFÓLIO'!$S$4:$S$433,MATCH($C179,'PORTIFÓLIO'!$C$4:$C$433,0)),"")</f>
        <v/>
      </c>
      <c r="L179" s="219" t="str">
        <f t="array" ref="L179">IFERROR(J179*INDEX('PORTIFÓLIO'!$S$4:$S$433,MATCH($C179,'PORTIFÓLIO'!$C$4:$C$433,0)),"")</f>
        <v/>
      </c>
      <c r="M179" s="220"/>
      <c r="N179" s="220"/>
      <c r="O179" s="220"/>
      <c r="P179" s="220"/>
      <c r="Q179" s="220"/>
      <c r="R179" s="220"/>
      <c r="S179" s="220"/>
      <c r="T179" s="220"/>
      <c r="U179" s="220"/>
      <c r="V179" s="220"/>
      <c r="W179" s="220"/>
    </row>
    <row r="180" ht="15.75" customHeight="1" outlineLevel="1">
      <c r="A180" s="211"/>
      <c r="B180" s="212"/>
      <c r="C180" s="213"/>
      <c r="D180" s="214" t="str">
        <f>IFERROR(VLOOKUP($C180,'PORTIFÓLIO'!C:V,2,0),"")</f>
        <v/>
      </c>
      <c r="E180" s="211" t="str">
        <f>IFERROR(VLOOKUP($C180,'PORTIFÓLIO'!C:V,3,0),"")</f>
        <v/>
      </c>
      <c r="F180" s="211" t="str">
        <f>IFERROR(VLOOKUP($C180,'PORTIFÓLIO'!C:V,4,0),"")</f>
        <v/>
      </c>
      <c r="G180" s="215" t="str">
        <f>IFERROR(VLOOKUP($C180,'PORTIFÓLIO'!C:V,5,0),"")</f>
        <v/>
      </c>
      <c r="H180" s="254" t="str">
        <f t="array" ref="H180">IFERROR(INDEX('PORTIFÓLIO'!$H$4:$H$433,MATCH($C180,'PORTIFÓLIO'!$C$4:$C$433,0)),"")</f>
        <v/>
      </c>
      <c r="I180" s="256"/>
      <c r="J180" s="218">
        <f t="shared" si="20"/>
        <v>0</v>
      </c>
      <c r="K180" s="219" t="str">
        <f t="array" ref="K180">IFERROR(I180*INDEX('PORTIFÓLIO'!$S$4:$S$433,MATCH($C180,'PORTIFÓLIO'!$C$4:$C$433,0)),"")</f>
        <v/>
      </c>
      <c r="L180" s="219" t="str">
        <f t="array" ref="L180">IFERROR(J180*INDEX('PORTIFÓLIO'!$S$4:$S$433,MATCH($C180,'PORTIFÓLIO'!$C$4:$C$433,0)),"")</f>
        <v/>
      </c>
      <c r="M180" s="220"/>
      <c r="N180" s="220"/>
      <c r="O180" s="220"/>
      <c r="P180" s="220"/>
      <c r="Q180" s="220"/>
      <c r="R180" s="220"/>
      <c r="S180" s="220"/>
      <c r="T180" s="220"/>
      <c r="U180" s="220"/>
      <c r="V180" s="220"/>
      <c r="W180" s="220"/>
    </row>
    <row r="181" ht="15.75" customHeight="1" outlineLevel="1">
      <c r="A181" s="211"/>
      <c r="B181" s="227"/>
      <c r="C181" s="211"/>
      <c r="D181" s="214" t="str">
        <f>IFERROR(VLOOKUP($C181,'PORTIFÓLIO'!C:V,2,0),"")</f>
        <v/>
      </c>
      <c r="E181" s="211" t="str">
        <f>IFERROR(VLOOKUP($C181,'PORTIFÓLIO'!C:V,3,0),"")</f>
        <v/>
      </c>
      <c r="F181" s="211" t="str">
        <f>IFERROR(VLOOKUP($C181,'PORTIFÓLIO'!C:V,4,0),"")</f>
        <v/>
      </c>
      <c r="G181" s="215" t="str">
        <f>IFERROR(VLOOKUP($C181,'PORTIFÓLIO'!C:V,5,0),"")</f>
        <v/>
      </c>
      <c r="H181" s="254" t="str">
        <f t="array" ref="H181">IFERROR(INDEX('PORTIFÓLIO'!$H$4:$H$433,MATCH($C181,'PORTIFÓLIO'!$C$4:$C$433,0)),"")</f>
        <v/>
      </c>
      <c r="I181" s="256"/>
      <c r="J181" s="218">
        <f t="shared" si="20"/>
        <v>0</v>
      </c>
      <c r="K181" s="219" t="str">
        <f t="array" ref="K181">IFERROR(I181*INDEX('PORTIFÓLIO'!$S$4:$S$433,MATCH($C181,'PORTIFÓLIO'!$C$4:$C$433,0)),"")</f>
        <v/>
      </c>
      <c r="L181" s="219" t="str">
        <f t="array" ref="L181">IFERROR(J181*INDEX('PORTIFÓLIO'!$S$4:$S$433,MATCH($C181,'PORTIFÓLIO'!$C$4:$C$433,0)),"")</f>
        <v/>
      </c>
      <c r="M181" s="220"/>
      <c r="N181" s="220"/>
      <c r="O181" s="220"/>
      <c r="P181" s="220"/>
      <c r="Q181" s="220"/>
      <c r="R181" s="220"/>
      <c r="S181" s="220"/>
      <c r="T181" s="220"/>
      <c r="U181" s="220"/>
      <c r="V181" s="220"/>
      <c r="W181" s="220"/>
    </row>
    <row r="182" ht="15.75" customHeight="1">
      <c r="A182" s="229" t="s">
        <v>1194</v>
      </c>
      <c r="B182" s="230"/>
      <c r="C182" s="231"/>
      <c r="D182" s="232"/>
      <c r="E182" s="231"/>
      <c r="F182" s="231"/>
      <c r="G182" s="233"/>
      <c r="H182" s="233"/>
      <c r="I182" s="258"/>
      <c r="J182" s="236"/>
      <c r="K182" s="237">
        <f t="shared" ref="K182:L182" si="21">SUBTOTAL(9,K183:K196)</f>
        <v>234.8406863</v>
      </c>
      <c r="L182" s="237">
        <f t="shared" si="21"/>
        <v>32877.69608</v>
      </c>
      <c r="M182" s="220"/>
      <c r="N182" s="220"/>
      <c r="O182" s="220"/>
      <c r="P182" s="220"/>
      <c r="Q182" s="220"/>
      <c r="R182" s="220"/>
      <c r="S182" s="220"/>
      <c r="T182" s="220"/>
      <c r="U182" s="220"/>
      <c r="V182" s="220"/>
      <c r="W182" s="220"/>
    </row>
    <row r="183" ht="15.75" customHeight="1" outlineLevel="1">
      <c r="A183" s="213"/>
      <c r="B183" s="212" t="s">
        <v>10</v>
      </c>
      <c r="C183" s="213" t="s">
        <v>1209</v>
      </c>
      <c r="D183" s="214" t="str">
        <f>IFERROR(VLOOKUP($C183,'PORTIFÓLIO'!C:V,2,0),"")</f>
        <v/>
      </c>
      <c r="E183" s="211" t="str">
        <f>IFERROR(VLOOKUP($C183,'PORTIFÓLIO'!C:V,3,0),"")</f>
        <v/>
      </c>
      <c r="F183" s="211" t="str">
        <f>IFERROR(VLOOKUP($C183,'PORTIFÓLIO'!C:V,4,0),"")</f>
        <v>R$/Ha</v>
      </c>
      <c r="G183" s="215">
        <f t="array" ref="G183">IFERROR(INDEX('PORTIFÓLIO'!$H$4:$H$433,MATCH($C183,'PORTIFÓLIO'!$C$4:$C$433,0)),"")</f>
        <v>0.09803921569</v>
      </c>
      <c r="H183" s="254">
        <f t="array" ref="H183">IFERROR(INDEX('PORTIFÓLIO'!$H$4:$H$433,MATCH($C183,'PORTIFÓLIO'!$C$4:$C$433,0)),"")</f>
        <v>0.09803921569</v>
      </c>
      <c r="I183" s="255">
        <v>0.1</v>
      </c>
      <c r="J183" s="218">
        <f t="shared" ref="J183:J199" si="22">I183*$B$2</f>
        <v>14</v>
      </c>
      <c r="K183" s="219">
        <f t="array" ref="K183">IFERROR(I183*INDEX('PORTIFÓLIO'!$S$4:$S$433,MATCH($C183,'PORTIFÓLIO'!$C$4:$C$433,0)),"")</f>
        <v>18.75</v>
      </c>
      <c r="L183" s="219">
        <f t="array" ref="L183">IFERROR(J183*INDEX('PORTIFÓLIO'!$S$4:$S$433,MATCH($C183,'PORTIFÓLIO'!$C$4:$C$433,0)),"")</f>
        <v>2625</v>
      </c>
      <c r="M183" s="220"/>
      <c r="N183" s="220"/>
      <c r="O183" s="220"/>
      <c r="P183" s="220"/>
      <c r="Q183" s="220"/>
      <c r="R183" s="220"/>
      <c r="S183" s="220"/>
      <c r="T183" s="220"/>
      <c r="U183" s="220"/>
      <c r="V183" s="220"/>
      <c r="W183" s="220"/>
    </row>
    <row r="184" ht="15.75" customHeight="1" outlineLevel="1">
      <c r="A184" s="211"/>
      <c r="B184" s="212" t="s">
        <v>10</v>
      </c>
      <c r="C184" s="213" t="s">
        <v>1196</v>
      </c>
      <c r="D184" s="214" t="str">
        <f>IFERROR(VLOOKUP($C184,'PORTIFÓLIO'!C:V,2,0),"")</f>
        <v/>
      </c>
      <c r="E184" s="211" t="str">
        <f>IFERROR(VLOOKUP($C184,'PORTIFÓLIO'!C:V,3,0),"")</f>
        <v/>
      </c>
      <c r="F184" s="211" t="str">
        <f>IFERROR(VLOOKUP($C184,'PORTIFÓLIO'!C:V,4,0),"")</f>
        <v>R$/Ha</v>
      </c>
      <c r="G184" s="215">
        <f t="array" ref="G184">IFERROR(INDEX('PORTIFÓLIO'!$H$4:$H$433,MATCH($C184,'PORTIFÓLIO'!$C$4:$C$433,0)),"")</f>
        <v>0.04901960784</v>
      </c>
      <c r="H184" s="254">
        <f t="array" ref="H184">IFERROR(INDEX('PORTIFÓLIO'!$H$4:$H$433,MATCH($C184,'PORTIFÓLIO'!$C$4:$C$433,0)),"")</f>
        <v>0.04901960784</v>
      </c>
      <c r="I184" s="256">
        <f>H184*5</f>
        <v>0.2450980392</v>
      </c>
      <c r="J184" s="218">
        <f t="shared" si="22"/>
        <v>34.31372549</v>
      </c>
      <c r="K184" s="219">
        <f t="array" ref="K184">IFERROR(I184*INDEX('PORTIFÓLIO'!$S$4:$S$433,MATCH($C184,'PORTIFÓLIO'!$C$4:$C$433,0)),"")</f>
        <v>27.57352941</v>
      </c>
      <c r="L184" s="219">
        <f t="array" ref="L184">IFERROR(J184*INDEX('PORTIFÓLIO'!$S$4:$S$433,MATCH($C184,'PORTIFÓLIO'!$C$4:$C$433,0)),"")</f>
        <v>3860.294118</v>
      </c>
      <c r="M184" s="220"/>
      <c r="N184" s="220"/>
      <c r="O184" s="220"/>
      <c r="P184" s="220"/>
      <c r="Q184" s="220"/>
      <c r="R184" s="220"/>
      <c r="S184" s="220"/>
      <c r="T184" s="220"/>
      <c r="U184" s="220"/>
      <c r="V184" s="220"/>
      <c r="W184" s="220"/>
    </row>
    <row r="185" ht="15.75" customHeight="1" outlineLevel="1">
      <c r="A185" s="211"/>
      <c r="B185" s="212" t="s">
        <v>10</v>
      </c>
      <c r="C185" s="213" t="s">
        <v>1210</v>
      </c>
      <c r="D185" s="214" t="str">
        <f>IFERROR(VLOOKUP($C185,'PORTIFÓLIO'!C:V,2,0),"")</f>
        <v/>
      </c>
      <c r="E185" s="211" t="str">
        <f>IFERROR(VLOOKUP($C185,'PORTIFÓLIO'!C:V,3,0),"")</f>
        <v/>
      </c>
      <c r="F185" s="211" t="str">
        <f>IFERROR(VLOOKUP($C185,'PORTIFÓLIO'!C:V,4,0),"")</f>
        <v>R$/Ha</v>
      </c>
      <c r="G185" s="215">
        <f t="array" ref="G185">IFERROR(INDEX('PORTIFÓLIO'!$H$4:$H$433,MATCH($C185,'PORTIFÓLIO'!$C$4:$C$433,0)),"")</f>
        <v>0.0306372549</v>
      </c>
      <c r="H185" s="254">
        <f t="array" ref="H185">IFERROR(INDEX('PORTIFÓLIO'!$H$4:$H$433,MATCH($C185,'PORTIFÓLIO'!$C$4:$C$433,0)),"")</f>
        <v>0.0306372549</v>
      </c>
      <c r="I185" s="256">
        <f>H185*4</f>
        <v>0.1225490196</v>
      </c>
      <c r="J185" s="218">
        <f t="shared" si="22"/>
        <v>17.15686275</v>
      </c>
      <c r="K185" s="219">
        <f t="array" ref="K185">IFERROR(I185*INDEX('PORTIFÓLIO'!$S$4:$S$433,MATCH($C185,'PORTIFÓLIO'!$C$4:$C$433,0)),"")</f>
        <v>6.433823529</v>
      </c>
      <c r="L185" s="219">
        <f t="array" ref="L185">IFERROR(J185*INDEX('PORTIFÓLIO'!$S$4:$S$433,MATCH($C185,'PORTIFÓLIO'!$C$4:$C$433,0)),"")</f>
        <v>900.7352941</v>
      </c>
      <c r="M185" s="220"/>
      <c r="N185" s="220"/>
      <c r="O185" s="220"/>
      <c r="P185" s="220"/>
      <c r="Q185" s="220"/>
      <c r="R185" s="220"/>
      <c r="S185" s="220"/>
      <c r="T185" s="220"/>
      <c r="U185" s="220"/>
      <c r="V185" s="220"/>
      <c r="W185" s="220"/>
    </row>
    <row r="186" ht="15.75" customHeight="1" outlineLevel="1">
      <c r="A186" s="211"/>
      <c r="B186" s="212" t="s">
        <v>10</v>
      </c>
      <c r="C186" s="213" t="s">
        <v>1211</v>
      </c>
      <c r="D186" s="214" t="str">
        <f>IFERROR(VLOOKUP($C186,'PORTIFÓLIO'!C:V,2,0),"")</f>
        <v/>
      </c>
      <c r="E186" s="211" t="str">
        <f>IFERROR(VLOOKUP($C186,'PORTIFÓLIO'!C:V,3,0),"")</f>
        <v/>
      </c>
      <c r="F186" s="211" t="str">
        <f>IFERROR(VLOOKUP($C186,'PORTIFÓLIO'!C:V,4,0),"")</f>
        <v>R$/Ha</v>
      </c>
      <c r="G186" s="215">
        <f t="array" ref="G186">IFERROR(INDEX('PORTIFÓLIO'!$H$4:$H$433,MATCH($C186,'PORTIFÓLIO'!$C$4:$C$433,0)),"")</f>
        <v>0.2585649644</v>
      </c>
      <c r="H186" s="254">
        <f t="array" ref="H186">IFERROR(INDEX('PORTIFÓLIO'!$H$4:$H$433,MATCH($C186,'PORTIFÓLIO'!$C$4:$C$433,0)),"")</f>
        <v>0.2585649644</v>
      </c>
      <c r="I186" s="255">
        <v>0.26</v>
      </c>
      <c r="J186" s="218">
        <f t="shared" si="22"/>
        <v>36.4</v>
      </c>
      <c r="K186" s="219">
        <f t="array" ref="K186">IFERROR(I186*INDEX('PORTIFÓLIO'!$S$4:$S$433,MATCH($C186,'PORTIFÓLIO'!$C$4:$C$433,0)),"")</f>
        <v>48.75</v>
      </c>
      <c r="L186" s="219">
        <f t="array" ref="L186">IFERROR(J186*INDEX('PORTIFÓLIO'!$S$4:$S$433,MATCH($C186,'PORTIFÓLIO'!$C$4:$C$433,0)),"")</f>
        <v>6825</v>
      </c>
      <c r="M186" s="220"/>
      <c r="N186" s="220"/>
      <c r="O186" s="220"/>
      <c r="P186" s="220"/>
      <c r="Q186" s="220"/>
      <c r="R186" s="220"/>
      <c r="S186" s="220"/>
      <c r="T186" s="220"/>
      <c r="U186" s="220"/>
      <c r="V186" s="220"/>
      <c r="W186" s="220"/>
    </row>
    <row r="187" ht="15.75" customHeight="1" outlineLevel="1">
      <c r="A187" s="211"/>
      <c r="B187" s="212" t="s">
        <v>10</v>
      </c>
      <c r="C187" s="213" t="s">
        <v>1198</v>
      </c>
      <c r="D187" s="214" t="str">
        <f>IFERROR(VLOOKUP($C187,'PORTIFÓLIO'!C:V,2,0),"")</f>
        <v/>
      </c>
      <c r="E187" s="211" t="str">
        <f>IFERROR(VLOOKUP($C187,'PORTIFÓLIO'!C:V,3,0),"")</f>
        <v/>
      </c>
      <c r="F187" s="211" t="str">
        <f>IFERROR(VLOOKUP($C187,'PORTIFÓLIO'!C:V,4,0),"")</f>
        <v>R$/Ha</v>
      </c>
      <c r="G187" s="215">
        <f t="array" ref="G187">IFERROR(INDEX('PORTIFÓLIO'!$H$4:$H$433,MATCH($C187,'PORTIFÓLIO'!$C$4:$C$433,0)),"")</f>
        <v>0.006666666667</v>
      </c>
      <c r="H187" s="254">
        <f t="array" ref="H187">IFERROR(INDEX('PORTIFÓLIO'!$H$4:$H$433,MATCH($C187,'PORTIFÓLIO'!$C$4:$C$433,0)),"")</f>
        <v>0.006666666667</v>
      </c>
      <c r="I187" s="256">
        <f>H187*4</f>
        <v>0.02666666667</v>
      </c>
      <c r="J187" s="218">
        <f t="shared" si="22"/>
        <v>3.733333333</v>
      </c>
      <c r="K187" s="219">
        <f t="array" ref="K187">IFERROR(I187*INDEX('PORTIFÓLIO'!$S$4:$S$433,MATCH($C187,'PORTIFÓLIO'!$C$4:$C$433,0)),"")</f>
        <v>133.3333333</v>
      </c>
      <c r="L187" s="219">
        <f t="array" ref="L187">IFERROR(J187*INDEX('PORTIFÓLIO'!$S$4:$S$433,MATCH($C187,'PORTIFÓLIO'!$C$4:$C$433,0)),"")</f>
        <v>18666.66667</v>
      </c>
      <c r="M187" s="220"/>
      <c r="N187" s="220"/>
      <c r="O187" s="220"/>
      <c r="P187" s="220"/>
      <c r="Q187" s="220"/>
      <c r="R187" s="220"/>
      <c r="S187" s="220"/>
      <c r="T187" s="220"/>
      <c r="U187" s="220"/>
      <c r="V187" s="220"/>
      <c r="W187" s="220"/>
    </row>
    <row r="188" ht="15.75" customHeight="1" outlineLevel="1">
      <c r="A188" s="211"/>
      <c r="B188" s="212"/>
      <c r="C188" s="213"/>
      <c r="D188" s="214" t="str">
        <f>IFERROR(VLOOKUP($C188,'PORTIFÓLIO'!C:V,2,0),"")</f>
        <v/>
      </c>
      <c r="E188" s="211" t="str">
        <f>IFERROR(VLOOKUP($C188,'PORTIFÓLIO'!C:V,3,0),"")</f>
        <v/>
      </c>
      <c r="F188" s="211" t="str">
        <f>IFERROR(VLOOKUP($C188,'PORTIFÓLIO'!C:V,4,0),"")</f>
        <v/>
      </c>
      <c r="G188" s="215" t="str">
        <f t="array" ref="G188">IFERROR(INDEX('PORTIFÓLIO'!$H$4:$H$433,MATCH($C188,'PORTIFÓLIO'!$C$4:$C$433,0)),"")</f>
        <v/>
      </c>
      <c r="H188" s="254" t="str">
        <f t="array" ref="H188">IFERROR(INDEX('PORTIFÓLIO'!$H$4:$H$433,MATCH($C188,'PORTIFÓLIO'!$C$4:$C$433,0)),"")</f>
        <v/>
      </c>
      <c r="I188" s="256"/>
      <c r="J188" s="218">
        <f t="shared" si="22"/>
        <v>0</v>
      </c>
      <c r="K188" s="219" t="str">
        <f t="array" ref="K188">IFERROR(I188*INDEX('PORTIFÓLIO'!$S$4:$S$433,MATCH($C188,'PORTIFÓLIO'!$C$4:$C$433,0)),"")</f>
        <v/>
      </c>
      <c r="L188" s="219" t="str">
        <f t="array" ref="L188">IFERROR(J188*INDEX('PORTIFÓLIO'!$S$4:$S$433,MATCH($C188,'PORTIFÓLIO'!$C$4:$C$433,0)),"")</f>
        <v/>
      </c>
      <c r="M188" s="220"/>
      <c r="N188" s="220"/>
      <c r="O188" s="220"/>
      <c r="P188" s="220"/>
      <c r="Q188" s="220"/>
      <c r="R188" s="220"/>
      <c r="S188" s="220"/>
      <c r="T188" s="220"/>
      <c r="U188" s="220"/>
      <c r="V188" s="220"/>
      <c r="W188" s="220"/>
    </row>
    <row r="189" ht="15.75" customHeight="1" outlineLevel="1">
      <c r="A189" s="211"/>
      <c r="B189" s="212"/>
      <c r="C189" s="213"/>
      <c r="D189" s="214" t="str">
        <f>IFERROR(VLOOKUP($C189,'PORTIFÓLIO'!C:V,2,0),"")</f>
        <v/>
      </c>
      <c r="E189" s="211" t="str">
        <f>IFERROR(VLOOKUP($C189,'PORTIFÓLIO'!C:V,3,0),"")</f>
        <v/>
      </c>
      <c r="F189" s="211" t="str">
        <f>IFERROR(VLOOKUP($C189,'PORTIFÓLIO'!C:V,4,0),"")</f>
        <v/>
      </c>
      <c r="G189" s="215" t="str">
        <f t="array" ref="G189">IFERROR(INDEX('PORTIFÓLIO'!$H$4:$H$433,MATCH($C189,'PORTIFÓLIO'!$C$4:$C$433,0)),"")</f>
        <v/>
      </c>
      <c r="H189" s="254" t="str">
        <f t="array" ref="H189">IFERROR(INDEX('PORTIFÓLIO'!$H$4:$H$433,MATCH($C189,'PORTIFÓLIO'!$C$4:$C$433,0)),"")</f>
        <v/>
      </c>
      <c r="I189" s="256"/>
      <c r="J189" s="218">
        <f t="shared" si="22"/>
        <v>0</v>
      </c>
      <c r="K189" s="219" t="str">
        <f t="array" ref="K189">IFERROR(I189*INDEX('PORTIFÓLIO'!$S$4:$S$433,MATCH($C189,'PORTIFÓLIO'!$C$4:$C$433,0)),"")</f>
        <v/>
      </c>
      <c r="L189" s="219" t="str">
        <f t="array" ref="L189">IFERROR(J189*INDEX('PORTIFÓLIO'!$S$4:$S$433,MATCH($C189,'PORTIFÓLIO'!$C$4:$C$433,0)),"")</f>
        <v/>
      </c>
      <c r="M189" s="220"/>
      <c r="N189" s="220"/>
      <c r="O189" s="220"/>
      <c r="P189" s="220"/>
      <c r="Q189" s="220"/>
      <c r="R189" s="220"/>
      <c r="S189" s="220"/>
      <c r="T189" s="220"/>
      <c r="U189" s="220"/>
      <c r="V189" s="220"/>
      <c r="W189" s="220"/>
    </row>
    <row r="190" ht="15.75" customHeight="1" outlineLevel="1">
      <c r="A190" s="211"/>
      <c r="B190" s="212"/>
      <c r="C190" s="213"/>
      <c r="D190" s="214" t="str">
        <f>IFERROR(VLOOKUP($C190,'PORTIFÓLIO'!C:V,2,0),"")</f>
        <v/>
      </c>
      <c r="E190" s="211" t="str">
        <f>IFERROR(VLOOKUP($C190,'PORTIFÓLIO'!C:V,3,0),"")</f>
        <v/>
      </c>
      <c r="F190" s="211" t="str">
        <f>IFERROR(VLOOKUP($C190,'PORTIFÓLIO'!C:V,4,0),"")</f>
        <v/>
      </c>
      <c r="G190" s="215" t="str">
        <f>IFERROR(VLOOKUP($C190,'PORTIFÓLIO'!C:V,5,0),"")</f>
        <v/>
      </c>
      <c r="H190" s="254" t="str">
        <f t="array" ref="H190">IFERROR(INDEX('PORTIFÓLIO'!$H$4:$H$433,MATCH($C190,'PORTIFÓLIO'!$C$4:$C$433,0)),"")</f>
        <v/>
      </c>
      <c r="I190" s="256"/>
      <c r="J190" s="218">
        <f t="shared" si="22"/>
        <v>0</v>
      </c>
      <c r="K190" s="219" t="str">
        <f t="array" ref="K190">IFERROR(I190*INDEX('PORTIFÓLIO'!$S$4:$S$433,MATCH($C190,'PORTIFÓLIO'!$C$4:$C$433,0)),"")</f>
        <v/>
      </c>
      <c r="L190" s="219" t="str">
        <f t="array" ref="L190">IFERROR(J190*INDEX('PORTIFÓLIO'!$S$4:$S$433,MATCH($C190,'PORTIFÓLIO'!$C$4:$C$433,0)),"")</f>
        <v/>
      </c>
      <c r="M190" s="220"/>
      <c r="N190" s="220"/>
      <c r="O190" s="220"/>
      <c r="P190" s="220"/>
      <c r="Q190" s="220"/>
      <c r="R190" s="220"/>
      <c r="S190" s="220"/>
      <c r="T190" s="220"/>
      <c r="U190" s="220"/>
      <c r="V190" s="220"/>
      <c r="W190" s="220"/>
    </row>
    <row r="191" ht="15.75" customHeight="1" outlineLevel="1">
      <c r="A191" s="211"/>
      <c r="B191" s="212"/>
      <c r="C191" s="213"/>
      <c r="D191" s="214" t="str">
        <f>IFERROR(VLOOKUP($C191,'PORTIFÓLIO'!C:V,2,0),"")</f>
        <v/>
      </c>
      <c r="E191" s="211" t="str">
        <f>IFERROR(VLOOKUP($C191,'PORTIFÓLIO'!C:V,3,0),"")</f>
        <v/>
      </c>
      <c r="F191" s="211" t="str">
        <f>IFERROR(VLOOKUP($C191,'PORTIFÓLIO'!C:V,4,0),"")</f>
        <v/>
      </c>
      <c r="G191" s="215" t="str">
        <f>IFERROR(VLOOKUP($C191,'PORTIFÓLIO'!C:V,5,0),"")</f>
        <v/>
      </c>
      <c r="H191" s="254" t="str">
        <f t="array" ref="H191">IFERROR(INDEX('PORTIFÓLIO'!$H$4:$H$433,MATCH($C191,'PORTIFÓLIO'!$C$4:$C$433,0)),"")</f>
        <v/>
      </c>
      <c r="I191" s="255"/>
      <c r="J191" s="218">
        <f t="shared" si="22"/>
        <v>0</v>
      </c>
      <c r="K191" s="219" t="str">
        <f t="array" ref="K191">IFERROR(I191*INDEX('PORTIFÓLIO'!$S$4:$S$433,MATCH($C191,'PORTIFÓLIO'!$C$4:$C$433,0)),"")</f>
        <v/>
      </c>
      <c r="L191" s="219" t="str">
        <f t="array" ref="L191">IFERROR(J191*INDEX('PORTIFÓLIO'!$S$4:$S$433,MATCH($C191,'PORTIFÓLIO'!$C$4:$C$433,0)),"")</f>
        <v/>
      </c>
      <c r="M191" s="220"/>
      <c r="N191" s="220"/>
      <c r="O191" s="220"/>
      <c r="P191" s="220"/>
      <c r="Q191" s="220"/>
      <c r="R191" s="220"/>
      <c r="S191" s="220"/>
      <c r="T191" s="220"/>
      <c r="U191" s="220"/>
      <c r="V191" s="220"/>
      <c r="W191" s="220"/>
    </row>
    <row r="192" ht="15.75" customHeight="1" outlineLevel="1">
      <c r="A192" s="211"/>
      <c r="B192" s="212"/>
      <c r="C192" s="213"/>
      <c r="D192" s="214" t="str">
        <f>IFERROR(VLOOKUP($C192,'PORTIFÓLIO'!C:V,2,0),"")</f>
        <v/>
      </c>
      <c r="E192" s="211" t="str">
        <f>IFERROR(VLOOKUP($C192,'PORTIFÓLIO'!C:V,3,0),"")</f>
        <v/>
      </c>
      <c r="F192" s="211" t="str">
        <f>IFERROR(VLOOKUP($C192,'PORTIFÓLIO'!C:V,4,0),"")</f>
        <v/>
      </c>
      <c r="G192" s="215" t="str">
        <f>IFERROR(VLOOKUP($C192,'PORTIFÓLIO'!C:V,5,0),"")</f>
        <v/>
      </c>
      <c r="H192" s="254" t="str">
        <f t="array" ref="H192">IFERROR(INDEX('PORTIFÓLIO'!$H$4:$H$433,MATCH($C192,'PORTIFÓLIO'!$C$4:$C$433,0)),"")</f>
        <v/>
      </c>
      <c r="I192" s="256"/>
      <c r="J192" s="218">
        <f t="shared" si="22"/>
        <v>0</v>
      </c>
      <c r="K192" s="219" t="str">
        <f t="array" ref="K192">IFERROR(I192*INDEX('PORTIFÓLIO'!$S$4:$S$433,MATCH($C192,'PORTIFÓLIO'!$C$4:$C$433,0)),"")</f>
        <v/>
      </c>
      <c r="L192" s="219" t="str">
        <f t="array" ref="L192">IFERROR(J192*INDEX('PORTIFÓLIO'!$S$4:$S$433,MATCH($C192,'PORTIFÓLIO'!$C$4:$C$433,0)),"")</f>
        <v/>
      </c>
      <c r="M192" s="220"/>
      <c r="N192" s="220"/>
      <c r="O192" s="220"/>
      <c r="P192" s="220"/>
      <c r="Q192" s="220"/>
      <c r="R192" s="220"/>
      <c r="S192" s="220"/>
      <c r="T192" s="220"/>
      <c r="U192" s="220"/>
      <c r="V192" s="220"/>
      <c r="W192" s="220"/>
    </row>
    <row r="193" ht="15.75" customHeight="1" outlineLevel="1">
      <c r="A193" s="211"/>
      <c r="B193" s="212"/>
      <c r="C193" s="213"/>
      <c r="D193" s="214" t="str">
        <f>IFERROR(VLOOKUP($C193,'PORTIFÓLIO'!C:V,2,0),"")</f>
        <v/>
      </c>
      <c r="E193" s="211" t="str">
        <f>IFERROR(VLOOKUP($C193,'PORTIFÓLIO'!C:V,3,0),"")</f>
        <v/>
      </c>
      <c r="F193" s="211" t="str">
        <f>IFERROR(VLOOKUP($C193,'PORTIFÓLIO'!C:V,4,0),"")</f>
        <v/>
      </c>
      <c r="G193" s="215" t="str">
        <f>IFERROR(VLOOKUP($C193,'PORTIFÓLIO'!C:V,5,0),"")</f>
        <v/>
      </c>
      <c r="H193" s="254" t="str">
        <f t="array" ref="H193">IFERROR(INDEX('PORTIFÓLIO'!$H$4:$H$433,MATCH($C193,'PORTIFÓLIO'!$C$4:$C$433,0)),"")</f>
        <v/>
      </c>
      <c r="I193" s="256"/>
      <c r="J193" s="218">
        <f t="shared" si="22"/>
        <v>0</v>
      </c>
      <c r="K193" s="219" t="str">
        <f t="array" ref="K193">IFERROR(I193*INDEX('PORTIFÓLIO'!$S$4:$S$433,MATCH($C193,'PORTIFÓLIO'!$C$4:$C$433,0)),"")</f>
        <v/>
      </c>
      <c r="L193" s="219" t="str">
        <f t="array" ref="L193">IFERROR(J193*INDEX('PORTIFÓLIO'!$S$4:$S$433,MATCH($C193,'PORTIFÓLIO'!$C$4:$C$433,0)),"")</f>
        <v/>
      </c>
      <c r="M193" s="220"/>
      <c r="N193" s="220"/>
      <c r="O193" s="220"/>
      <c r="P193" s="220"/>
      <c r="Q193" s="220"/>
      <c r="R193" s="220"/>
      <c r="S193" s="220"/>
      <c r="T193" s="220"/>
      <c r="U193" s="220"/>
      <c r="V193" s="220"/>
      <c r="W193" s="220"/>
    </row>
    <row r="194" ht="15.75" customHeight="1" outlineLevel="1">
      <c r="A194" s="211"/>
      <c r="B194" s="212"/>
      <c r="C194" s="213"/>
      <c r="D194" s="214" t="str">
        <f>IFERROR(VLOOKUP($C194,'PORTIFÓLIO'!C:V,2,0),"")</f>
        <v/>
      </c>
      <c r="E194" s="211" t="str">
        <f>IFERROR(VLOOKUP($C194,'PORTIFÓLIO'!C:V,3,0),"")</f>
        <v/>
      </c>
      <c r="F194" s="211" t="str">
        <f>IFERROR(VLOOKUP($C194,'PORTIFÓLIO'!C:V,4,0),"")</f>
        <v/>
      </c>
      <c r="G194" s="215" t="str">
        <f>IFERROR(VLOOKUP($C194,'PORTIFÓLIO'!C:V,5,0),"")</f>
        <v/>
      </c>
      <c r="H194" s="254" t="str">
        <f t="array" ref="H194">IFERROR(INDEX('PORTIFÓLIO'!$H$4:$H$433,MATCH($C194,'PORTIFÓLIO'!$C$4:$C$433,0)),"")</f>
        <v/>
      </c>
      <c r="I194" s="256"/>
      <c r="J194" s="218">
        <f t="shared" si="22"/>
        <v>0</v>
      </c>
      <c r="K194" s="219" t="str">
        <f t="array" ref="K194">IFERROR(I194*INDEX('PORTIFÓLIO'!$S$4:$S$433,MATCH($C194,'PORTIFÓLIO'!$C$4:$C$433,0)),"")</f>
        <v/>
      </c>
      <c r="L194" s="219" t="str">
        <f t="array" ref="L194">IFERROR(J194*INDEX('PORTIFÓLIO'!$S$4:$S$433,MATCH($C194,'PORTIFÓLIO'!$C$4:$C$433,0)),"")</f>
        <v/>
      </c>
      <c r="M194" s="220"/>
      <c r="N194" s="220"/>
      <c r="O194" s="220"/>
      <c r="P194" s="220"/>
      <c r="Q194" s="220"/>
      <c r="R194" s="220"/>
      <c r="S194" s="220"/>
      <c r="T194" s="220"/>
      <c r="U194" s="220"/>
      <c r="V194" s="220"/>
      <c r="W194" s="220"/>
    </row>
    <row r="195" ht="15.75" customHeight="1" outlineLevel="1">
      <c r="A195" s="211"/>
      <c r="B195" s="212"/>
      <c r="C195" s="213"/>
      <c r="D195" s="214" t="str">
        <f>IFERROR(VLOOKUP($C195,'PORTIFÓLIO'!C:V,2,0),"")</f>
        <v/>
      </c>
      <c r="E195" s="211" t="str">
        <f>IFERROR(VLOOKUP($C195,'PORTIFÓLIO'!C:V,3,0),"")</f>
        <v/>
      </c>
      <c r="F195" s="211" t="str">
        <f>IFERROR(VLOOKUP($C195,'PORTIFÓLIO'!C:V,4,0),"")</f>
        <v/>
      </c>
      <c r="G195" s="215" t="str">
        <f>IFERROR(VLOOKUP($C195,'PORTIFÓLIO'!C:V,5,0),"")</f>
        <v/>
      </c>
      <c r="H195" s="254" t="str">
        <f t="array" ref="H195">IFERROR(INDEX('PORTIFÓLIO'!$H$4:$H$433,MATCH($C195,'PORTIFÓLIO'!$C$4:$C$433,0)),"")</f>
        <v/>
      </c>
      <c r="I195" s="256"/>
      <c r="J195" s="218">
        <f t="shared" si="22"/>
        <v>0</v>
      </c>
      <c r="K195" s="219" t="str">
        <f t="array" ref="K195">IFERROR(I195*INDEX('PORTIFÓLIO'!$S$4:$S$433,MATCH($C195,'PORTIFÓLIO'!$C$4:$C$433,0)),"")</f>
        <v/>
      </c>
      <c r="L195" s="219" t="str">
        <f t="array" ref="L195">IFERROR(J195*INDEX('PORTIFÓLIO'!$S$4:$S$433,MATCH($C195,'PORTIFÓLIO'!$C$4:$C$433,0)),"")</f>
        <v/>
      </c>
      <c r="M195" s="220"/>
      <c r="N195" s="220"/>
      <c r="O195" s="220"/>
      <c r="P195" s="220"/>
      <c r="Q195" s="220"/>
      <c r="R195" s="220"/>
      <c r="S195" s="220"/>
      <c r="T195" s="220"/>
      <c r="U195" s="220"/>
      <c r="V195" s="220"/>
      <c r="W195" s="220"/>
    </row>
    <row r="196" ht="15.75" customHeight="1" outlineLevel="1">
      <c r="A196" s="211"/>
      <c r="B196" s="212"/>
      <c r="C196" s="213"/>
      <c r="D196" s="214" t="str">
        <f>IFERROR(VLOOKUP($C196,'PORTIFÓLIO'!C:V,2,0),"")</f>
        <v/>
      </c>
      <c r="E196" s="211" t="str">
        <f>IFERROR(VLOOKUP($C196,'PORTIFÓLIO'!C:V,3,0),"")</f>
        <v/>
      </c>
      <c r="F196" s="211" t="str">
        <f>IFERROR(VLOOKUP($C196,'PORTIFÓLIO'!C:V,4,0),"")</f>
        <v/>
      </c>
      <c r="G196" s="215" t="str">
        <f>IFERROR(VLOOKUP($C196,'PORTIFÓLIO'!C:V,5,0),"")</f>
        <v/>
      </c>
      <c r="H196" s="254" t="str">
        <f t="array" ref="H196">IFERROR(INDEX('PORTIFÓLIO'!$H$4:$H$433,MATCH($C196,'PORTIFÓLIO'!$C$4:$C$433,0)),"")</f>
        <v/>
      </c>
      <c r="I196" s="256"/>
      <c r="J196" s="218">
        <f t="shared" si="22"/>
        <v>0</v>
      </c>
      <c r="K196" s="219" t="str">
        <f t="array" ref="K196">IFERROR(I196*INDEX('PORTIFÓLIO'!$S$4:$S$433,MATCH($C196,'PORTIFÓLIO'!$C$4:$C$433,0)),"")</f>
        <v/>
      </c>
      <c r="L196" s="219" t="str">
        <f t="array" ref="L196">IFERROR(J196*INDEX('PORTIFÓLIO'!$S$4:$S$433,MATCH($C196,'PORTIFÓLIO'!$C$4:$C$433,0)),"")</f>
        <v/>
      </c>
      <c r="M196" s="220"/>
      <c r="N196" s="220"/>
      <c r="O196" s="220"/>
      <c r="P196" s="220"/>
      <c r="Q196" s="220"/>
      <c r="R196" s="220"/>
      <c r="S196" s="220"/>
      <c r="T196" s="220"/>
      <c r="U196" s="220"/>
      <c r="V196" s="220"/>
      <c r="W196" s="220"/>
    </row>
    <row r="197" ht="15.75" customHeight="1" outlineLevel="1">
      <c r="A197" s="211"/>
      <c r="B197" s="212"/>
      <c r="C197" s="213"/>
      <c r="D197" s="214" t="str">
        <f>IFERROR(VLOOKUP($C197,'PORTIFÓLIO'!C:V,2,0),"")</f>
        <v/>
      </c>
      <c r="E197" s="211" t="str">
        <f>IFERROR(VLOOKUP($C197,'PORTIFÓLIO'!C:V,3,0),"")</f>
        <v/>
      </c>
      <c r="F197" s="211" t="str">
        <f>IFERROR(VLOOKUP($C197,'PORTIFÓLIO'!C:V,4,0),"")</f>
        <v/>
      </c>
      <c r="G197" s="215" t="str">
        <f>IFERROR(VLOOKUP($C197,'PORTIFÓLIO'!C:V,5,0),"")</f>
        <v/>
      </c>
      <c r="H197" s="254" t="str">
        <f t="array" ref="H197">IFERROR(INDEX('PORTIFÓLIO'!$H$4:$H$433,MATCH($C197,'PORTIFÓLIO'!$C$4:$C$433,0)),"")</f>
        <v/>
      </c>
      <c r="I197" s="256"/>
      <c r="J197" s="218">
        <f t="shared" si="22"/>
        <v>0</v>
      </c>
      <c r="K197" s="219" t="str">
        <f t="array" ref="K197">IFERROR(I197*INDEX('PORTIFÓLIO'!$S$4:$S$433,MATCH($C197,'PORTIFÓLIO'!$C$4:$C$433,0)),"")</f>
        <v/>
      </c>
      <c r="L197" s="219" t="str">
        <f t="array" ref="L197">IFERROR(J197*INDEX('PORTIFÓLIO'!$S$4:$S$433,MATCH($C197,'PORTIFÓLIO'!$C$4:$C$433,0)),"")</f>
        <v/>
      </c>
      <c r="M197" s="220"/>
      <c r="N197" s="220"/>
      <c r="O197" s="220"/>
      <c r="P197" s="220"/>
      <c r="Q197" s="220"/>
      <c r="R197" s="220"/>
      <c r="S197" s="220"/>
      <c r="T197" s="220"/>
      <c r="U197" s="220"/>
      <c r="V197" s="220"/>
      <c r="W197" s="220"/>
    </row>
    <row r="198" ht="15.75" customHeight="1" outlineLevel="1">
      <c r="A198" s="211"/>
      <c r="B198" s="227"/>
      <c r="C198" s="211"/>
      <c r="D198" s="214" t="str">
        <f>IFERROR(VLOOKUP($C198,'PORTIFÓLIO'!C:V,2,0),"")</f>
        <v/>
      </c>
      <c r="E198" s="211" t="str">
        <f>IFERROR(VLOOKUP($C198,'PORTIFÓLIO'!C:V,3,0),"")</f>
        <v/>
      </c>
      <c r="F198" s="211" t="str">
        <f>IFERROR(VLOOKUP($C198,'PORTIFÓLIO'!C:V,4,0),"")</f>
        <v/>
      </c>
      <c r="G198" s="215" t="str">
        <f>IFERROR(VLOOKUP($C198,'PORTIFÓLIO'!C:V,5,0),"")</f>
        <v/>
      </c>
      <c r="H198" s="254" t="str">
        <f t="array" ref="H198">IFERROR(INDEX('PORTIFÓLIO'!$H$4:$H$433,MATCH($C198,'PORTIFÓLIO'!$C$4:$C$433,0)),"")</f>
        <v/>
      </c>
      <c r="I198" s="256"/>
      <c r="J198" s="218">
        <f t="shared" si="22"/>
        <v>0</v>
      </c>
      <c r="K198" s="219" t="str">
        <f t="array" ref="K198">IFERROR(I198*INDEX('PORTIFÓLIO'!$S$4:$S$433,MATCH($C198,'PORTIFÓLIO'!$C$4:$C$433,0)),"")</f>
        <v/>
      </c>
      <c r="L198" s="219" t="str">
        <f t="array" ref="L198">IFERROR(J198*INDEX('PORTIFÓLIO'!$S$4:$S$433,MATCH($C198,'PORTIFÓLIO'!$C$4:$C$433,0)),"")</f>
        <v/>
      </c>
      <c r="M198" s="220"/>
      <c r="N198" s="220"/>
      <c r="O198" s="220"/>
      <c r="P198" s="220"/>
      <c r="Q198" s="220"/>
      <c r="R198" s="220"/>
      <c r="S198" s="220"/>
      <c r="T198" s="220"/>
      <c r="U198" s="220"/>
      <c r="V198" s="220"/>
      <c r="W198" s="220"/>
    </row>
    <row r="199" ht="15.75" customHeight="1" outlineLevel="1">
      <c r="A199" s="211"/>
      <c r="B199" s="227"/>
      <c r="C199" s="211"/>
      <c r="D199" s="214" t="str">
        <f>IFERROR(VLOOKUP($C199,'PORTIFÓLIO'!C:V,2,0),"")</f>
        <v/>
      </c>
      <c r="E199" s="211" t="str">
        <f>IFERROR(VLOOKUP($C199,'PORTIFÓLIO'!C:V,3,0),"")</f>
        <v/>
      </c>
      <c r="F199" s="211" t="str">
        <f>IFERROR(VLOOKUP($C199,'PORTIFÓLIO'!C:V,4,0),"")</f>
        <v/>
      </c>
      <c r="G199" s="215" t="str">
        <f>IFERROR(VLOOKUP($C199,'PORTIFÓLIO'!C:V,5,0),"")</f>
        <v/>
      </c>
      <c r="H199" s="254" t="str">
        <f t="array" ref="H199">IFERROR(INDEX('PORTIFÓLIO'!$H$4:$H$433,MATCH($C199,'PORTIFÓLIO'!$C$4:$C$433,0)),"")</f>
        <v/>
      </c>
      <c r="I199" s="256"/>
      <c r="J199" s="218">
        <f t="shared" si="22"/>
        <v>0</v>
      </c>
      <c r="K199" s="219" t="str">
        <f t="array" ref="K199">IFERROR(I199*INDEX('PORTIFÓLIO'!$S$4:$S$433,MATCH($C199,'PORTIFÓLIO'!$C$4:$C$433,0)),"")</f>
        <v/>
      </c>
      <c r="L199" s="219" t="str">
        <f t="array" ref="L199">IFERROR(J199*INDEX('PORTIFÓLIO'!$S$4:$S$433,MATCH($C199,'PORTIFÓLIO'!$C$4:$C$433,0)),"")</f>
        <v/>
      </c>
      <c r="M199" s="220"/>
      <c r="N199" s="220"/>
      <c r="O199" s="220"/>
      <c r="P199" s="220"/>
      <c r="Q199" s="220"/>
      <c r="R199" s="220"/>
      <c r="S199" s="220"/>
      <c r="T199" s="220"/>
      <c r="U199" s="220"/>
      <c r="V199" s="220"/>
      <c r="W199" s="220"/>
    </row>
    <row r="200" ht="15.75" customHeight="1">
      <c r="A200" s="229" t="s">
        <v>1202</v>
      </c>
      <c r="B200" s="230"/>
      <c r="C200" s="231"/>
      <c r="D200" s="232"/>
      <c r="E200" s="231"/>
      <c r="F200" s="231"/>
      <c r="G200" s="233"/>
      <c r="H200" s="233"/>
      <c r="I200" s="258"/>
      <c r="J200" s="236"/>
      <c r="K200" s="237">
        <f t="shared" ref="K200:L200" si="23">SUBTOTAL(9,K201:K214)</f>
        <v>0</v>
      </c>
      <c r="L200" s="237">
        <f t="shared" si="23"/>
        <v>0</v>
      </c>
      <c r="M200" s="220"/>
      <c r="N200" s="220"/>
      <c r="O200" s="220"/>
      <c r="P200" s="220"/>
      <c r="Q200" s="220"/>
      <c r="R200" s="220"/>
      <c r="S200" s="220"/>
      <c r="T200" s="220"/>
      <c r="U200" s="220"/>
      <c r="V200" s="220"/>
      <c r="W200" s="220"/>
    </row>
    <row r="201" ht="15.75" customHeight="1" outlineLevel="1">
      <c r="A201" s="213"/>
      <c r="B201" s="212"/>
      <c r="C201" s="213"/>
      <c r="D201" s="214" t="str">
        <f>IFERROR(VLOOKUP($C201,'PORTIFÓLIO'!C:V,2,0),"")</f>
        <v/>
      </c>
      <c r="E201" s="211" t="str">
        <f>IFERROR(VLOOKUP($C201,'PORTIFÓLIO'!C:V,3,0),"")</f>
        <v/>
      </c>
      <c r="F201" s="211" t="str">
        <f>IFERROR(VLOOKUP($C201,'PORTIFÓLIO'!C:V,4,0),"")</f>
        <v/>
      </c>
      <c r="G201" s="215" t="str">
        <f>IFERROR(VLOOKUP($C201,'PORTIFÓLIO'!C:V,5,0),"")</f>
        <v/>
      </c>
      <c r="H201" s="254" t="str">
        <f t="array" ref="H201">IFERROR(INDEX('PORTIFÓLIO'!$H$4:$H$433,MATCH($C201,'PORTIFÓLIO'!$C$4:$C$433,0)),"")</f>
        <v/>
      </c>
      <c r="I201" s="256"/>
      <c r="J201" s="218">
        <f t="shared" ref="J201:J224" si="24">I201*$B$2</f>
        <v>0</v>
      </c>
      <c r="K201" s="219" t="str">
        <f>IFERROR(I201* VLOOKUP($C201,'PORTIFÓLIO'!C:V,10,0),"")</f>
        <v/>
      </c>
      <c r="L201" s="219" t="str">
        <f>IFERROR(J201* VLOOKUP($C201,'PORTIFÓLIO'!C:V,10,0),"")</f>
        <v/>
      </c>
      <c r="M201" s="220"/>
      <c r="N201" s="220"/>
      <c r="O201" s="220"/>
      <c r="P201" s="220"/>
      <c r="Q201" s="220"/>
      <c r="R201" s="220"/>
      <c r="S201" s="220"/>
      <c r="T201" s="220"/>
      <c r="U201" s="220"/>
      <c r="V201" s="220"/>
      <c r="W201" s="220"/>
    </row>
    <row r="202" ht="15.75" customHeight="1" outlineLevel="1">
      <c r="A202" s="211"/>
      <c r="B202" s="212"/>
      <c r="C202" s="213"/>
      <c r="D202" s="214" t="str">
        <f>IFERROR(VLOOKUP($C202,'PORTIFÓLIO'!C:V,2,0),"")</f>
        <v/>
      </c>
      <c r="E202" s="211" t="str">
        <f>IFERROR(VLOOKUP($C202,'PORTIFÓLIO'!C:V,3,0),"")</f>
        <v/>
      </c>
      <c r="F202" s="211" t="str">
        <f>IFERROR(VLOOKUP($C202,'PORTIFÓLIO'!C:V,4,0),"")</f>
        <v/>
      </c>
      <c r="G202" s="215" t="str">
        <f>IFERROR(VLOOKUP($C202,'PORTIFÓLIO'!C:V,5,0),"")</f>
        <v/>
      </c>
      <c r="H202" s="254" t="str">
        <f t="array" ref="H202">IFERROR(INDEX('PORTIFÓLIO'!$H$4:$H$433,MATCH($C202,'PORTIFÓLIO'!$C$4:$C$433,0)),"")</f>
        <v/>
      </c>
      <c r="I202" s="256"/>
      <c r="J202" s="218">
        <f t="shared" si="24"/>
        <v>0</v>
      </c>
      <c r="K202" s="219" t="str">
        <f>IFERROR(I202* VLOOKUP($C202,'PORTIFÓLIO'!C:V,10,0),"")</f>
        <v/>
      </c>
      <c r="L202" s="219" t="str">
        <f>IFERROR(J202* VLOOKUP($C202,'PORTIFÓLIO'!C:V,10,0),"")</f>
        <v/>
      </c>
      <c r="M202" s="220"/>
      <c r="N202" s="220"/>
      <c r="O202" s="220"/>
      <c r="P202" s="220"/>
      <c r="Q202" s="220"/>
      <c r="R202" s="220"/>
      <c r="S202" s="220"/>
      <c r="T202" s="220"/>
      <c r="U202" s="220"/>
      <c r="V202" s="220"/>
      <c r="W202" s="220"/>
    </row>
    <row r="203" ht="15.75" customHeight="1" outlineLevel="1">
      <c r="A203" s="211"/>
      <c r="B203" s="212"/>
      <c r="C203" s="213"/>
      <c r="D203" s="214" t="str">
        <f>IFERROR(VLOOKUP($C203,'PORTIFÓLIO'!C:V,2,0),"")</f>
        <v/>
      </c>
      <c r="E203" s="211" t="str">
        <f>IFERROR(VLOOKUP($C203,'PORTIFÓLIO'!C:V,3,0),"")</f>
        <v/>
      </c>
      <c r="F203" s="211" t="str">
        <f>IFERROR(VLOOKUP($C203,'PORTIFÓLIO'!C:V,4,0),"")</f>
        <v/>
      </c>
      <c r="G203" s="215" t="str">
        <f>IFERROR(VLOOKUP($C203,'PORTIFÓLIO'!C:V,5,0),"")</f>
        <v/>
      </c>
      <c r="H203" s="254" t="str">
        <f t="array" ref="H203">IFERROR(INDEX('PORTIFÓLIO'!$H$4:$H$433,MATCH($C203,'PORTIFÓLIO'!$C$4:$C$433,0)),"")</f>
        <v/>
      </c>
      <c r="I203" s="256"/>
      <c r="J203" s="218">
        <f t="shared" si="24"/>
        <v>0</v>
      </c>
      <c r="K203" s="219" t="str">
        <f>IFERROR(I203* VLOOKUP($C203,'PORTIFÓLIO'!C:V,10,0),"")</f>
        <v/>
      </c>
      <c r="L203" s="219" t="str">
        <f>IFERROR(J203* VLOOKUP($C203,'PORTIFÓLIO'!C:V,10,0),"")</f>
        <v/>
      </c>
      <c r="M203" s="220"/>
      <c r="N203" s="220"/>
      <c r="O203" s="220"/>
      <c r="P203" s="220"/>
      <c r="Q203" s="220"/>
      <c r="R203" s="220"/>
      <c r="S203" s="220"/>
      <c r="T203" s="220"/>
      <c r="U203" s="220"/>
      <c r="V203" s="220"/>
      <c r="W203" s="220"/>
    </row>
    <row r="204" ht="15.75" customHeight="1" outlineLevel="1">
      <c r="A204" s="211"/>
      <c r="B204" s="212"/>
      <c r="C204" s="213"/>
      <c r="D204" s="214" t="str">
        <f>IFERROR(VLOOKUP($C204,'PORTIFÓLIO'!C:V,2,0),"")</f>
        <v/>
      </c>
      <c r="E204" s="211" t="str">
        <f>IFERROR(VLOOKUP($C204,'PORTIFÓLIO'!C:V,3,0),"")</f>
        <v/>
      </c>
      <c r="F204" s="211" t="str">
        <f>IFERROR(VLOOKUP($C204,'PORTIFÓLIO'!C:V,4,0),"")</f>
        <v/>
      </c>
      <c r="G204" s="215" t="str">
        <f>IFERROR(VLOOKUP($C204,'PORTIFÓLIO'!C:V,5,0),"")</f>
        <v/>
      </c>
      <c r="H204" s="254" t="str">
        <f t="array" ref="H204">IFERROR(INDEX('PORTIFÓLIO'!$H$4:$H$433,MATCH($C204,'PORTIFÓLIO'!$C$4:$C$433,0)),"")</f>
        <v/>
      </c>
      <c r="I204" s="256"/>
      <c r="J204" s="218">
        <f t="shared" si="24"/>
        <v>0</v>
      </c>
      <c r="K204" s="219" t="str">
        <f>IFERROR(I204* VLOOKUP($C204,'PORTIFÓLIO'!C:V,10,0),"")</f>
        <v/>
      </c>
      <c r="L204" s="219" t="str">
        <f>IFERROR(J204* VLOOKUP($C204,'PORTIFÓLIO'!C:V,10,0),"")</f>
        <v/>
      </c>
      <c r="M204" s="220"/>
      <c r="N204" s="220"/>
      <c r="O204" s="220"/>
      <c r="P204" s="220"/>
      <c r="Q204" s="220"/>
      <c r="R204" s="220"/>
      <c r="S204" s="220"/>
      <c r="T204" s="220"/>
      <c r="U204" s="220"/>
      <c r="V204" s="220"/>
      <c r="W204" s="220"/>
    </row>
    <row r="205" ht="15.75" customHeight="1" outlineLevel="1">
      <c r="A205" s="211"/>
      <c r="B205" s="212"/>
      <c r="C205" s="213"/>
      <c r="D205" s="214" t="str">
        <f>IFERROR(VLOOKUP($C205,'PORTIFÓLIO'!C:V,2,0),"")</f>
        <v/>
      </c>
      <c r="E205" s="211" t="str">
        <f>IFERROR(VLOOKUP($C205,'PORTIFÓLIO'!C:V,3,0),"")</f>
        <v/>
      </c>
      <c r="F205" s="211" t="str">
        <f>IFERROR(VLOOKUP($C205,'PORTIFÓLIO'!C:V,4,0),"")</f>
        <v/>
      </c>
      <c r="G205" s="215" t="str">
        <f>IFERROR(VLOOKUP($C205,'PORTIFÓLIO'!C:V,5,0),"")</f>
        <v/>
      </c>
      <c r="H205" s="254" t="str">
        <f t="array" ref="H205">IFERROR(INDEX('PORTIFÓLIO'!$H$4:$H$433,MATCH($C205,'PORTIFÓLIO'!$C$4:$C$433,0)),"")</f>
        <v/>
      </c>
      <c r="I205" s="256"/>
      <c r="J205" s="218">
        <f t="shared" si="24"/>
        <v>0</v>
      </c>
      <c r="K205" s="219" t="str">
        <f>IFERROR(I205* VLOOKUP($C205,'PORTIFÓLIO'!C:V,10,0),"")</f>
        <v/>
      </c>
      <c r="L205" s="219" t="str">
        <f>IFERROR(J205* VLOOKUP($C205,'PORTIFÓLIO'!C:V,10,0),"")</f>
        <v/>
      </c>
      <c r="M205" s="220"/>
      <c r="N205" s="220"/>
      <c r="O205" s="220"/>
      <c r="P205" s="220"/>
      <c r="Q205" s="220"/>
      <c r="R205" s="220"/>
      <c r="S205" s="220"/>
      <c r="T205" s="220"/>
      <c r="U205" s="220"/>
      <c r="V205" s="220"/>
      <c r="W205" s="220"/>
    </row>
    <row r="206" ht="15.75" customHeight="1" outlineLevel="1">
      <c r="A206" s="211"/>
      <c r="B206" s="212"/>
      <c r="C206" s="213"/>
      <c r="D206" s="214" t="str">
        <f>IFERROR(VLOOKUP($C206,'PORTIFÓLIO'!C:V,2,0),"")</f>
        <v/>
      </c>
      <c r="E206" s="211" t="str">
        <f>IFERROR(VLOOKUP($C206,'PORTIFÓLIO'!C:V,3,0),"")</f>
        <v/>
      </c>
      <c r="F206" s="211" t="str">
        <f>IFERROR(VLOOKUP($C206,'PORTIFÓLIO'!C:V,4,0),"")</f>
        <v/>
      </c>
      <c r="G206" s="215" t="str">
        <f>IFERROR(VLOOKUP($C206,'PORTIFÓLIO'!C:V,5,0),"")</f>
        <v/>
      </c>
      <c r="H206" s="254" t="str">
        <f t="array" ref="H206">IFERROR(INDEX('PORTIFÓLIO'!$H$4:$H$433,MATCH($C206,'PORTIFÓLIO'!$C$4:$C$433,0)),"")</f>
        <v/>
      </c>
      <c r="I206" s="256"/>
      <c r="J206" s="218">
        <f t="shared" si="24"/>
        <v>0</v>
      </c>
      <c r="K206" s="219" t="str">
        <f>IFERROR(I206* VLOOKUP($C206,'PORTIFÓLIO'!C:V,10,0),"")</f>
        <v/>
      </c>
      <c r="L206" s="219" t="str">
        <f>IFERROR(J206* VLOOKUP($C206,'PORTIFÓLIO'!C:V,10,0),"")</f>
        <v/>
      </c>
      <c r="M206" s="220"/>
      <c r="N206" s="220"/>
      <c r="O206" s="220"/>
      <c r="P206" s="220"/>
      <c r="Q206" s="220"/>
      <c r="R206" s="220"/>
      <c r="S206" s="220"/>
      <c r="T206" s="220"/>
      <c r="U206" s="220"/>
      <c r="V206" s="220"/>
      <c r="W206" s="220"/>
    </row>
    <row r="207" ht="15.75" customHeight="1" outlineLevel="1">
      <c r="A207" s="211"/>
      <c r="B207" s="212"/>
      <c r="C207" s="213"/>
      <c r="D207" s="214" t="str">
        <f>IFERROR(VLOOKUP($C207,'PORTIFÓLIO'!C:V,2,0),"")</f>
        <v/>
      </c>
      <c r="E207" s="211" t="str">
        <f>IFERROR(VLOOKUP($C207,'PORTIFÓLIO'!C:V,3,0),"")</f>
        <v/>
      </c>
      <c r="F207" s="211" t="str">
        <f>IFERROR(VLOOKUP($C207,'PORTIFÓLIO'!C:V,4,0),"")</f>
        <v/>
      </c>
      <c r="G207" s="215" t="str">
        <f>IFERROR(VLOOKUP($C207,'PORTIFÓLIO'!C:V,5,0),"")</f>
        <v/>
      </c>
      <c r="H207" s="254" t="str">
        <f t="array" ref="H207">IFERROR(INDEX('PORTIFÓLIO'!$H$4:$H$433,MATCH($C207,'PORTIFÓLIO'!$C$4:$C$433,0)),"")</f>
        <v/>
      </c>
      <c r="I207" s="256"/>
      <c r="J207" s="218">
        <f t="shared" si="24"/>
        <v>0</v>
      </c>
      <c r="K207" s="219" t="str">
        <f>IFERROR(I207* VLOOKUP($C207,'PORTIFÓLIO'!C:V,10,0),"")</f>
        <v/>
      </c>
      <c r="L207" s="219" t="str">
        <f>IFERROR(J207* VLOOKUP($C207,'PORTIFÓLIO'!C:V,10,0),"")</f>
        <v/>
      </c>
      <c r="M207" s="220"/>
      <c r="N207" s="220"/>
      <c r="O207" s="220"/>
      <c r="P207" s="220"/>
      <c r="Q207" s="220"/>
      <c r="R207" s="220"/>
      <c r="S207" s="220"/>
      <c r="T207" s="220"/>
      <c r="U207" s="220"/>
      <c r="V207" s="220"/>
      <c r="W207" s="220"/>
    </row>
    <row r="208" ht="15.75" customHeight="1" outlineLevel="1">
      <c r="A208" s="211"/>
      <c r="B208" s="212"/>
      <c r="C208" s="213"/>
      <c r="D208" s="214" t="str">
        <f>IFERROR(VLOOKUP($C208,'PORTIFÓLIO'!C:V,2,0),"")</f>
        <v/>
      </c>
      <c r="E208" s="211" t="str">
        <f>IFERROR(VLOOKUP($C208,'PORTIFÓLIO'!C:V,3,0),"")</f>
        <v/>
      </c>
      <c r="F208" s="211" t="str">
        <f>IFERROR(VLOOKUP($C208,'PORTIFÓLIO'!C:V,4,0),"")</f>
        <v/>
      </c>
      <c r="G208" s="215" t="str">
        <f>IFERROR(VLOOKUP($C208,'PORTIFÓLIO'!C:V,5,0),"")</f>
        <v/>
      </c>
      <c r="H208" s="254" t="str">
        <f t="array" ref="H208">IFERROR(INDEX('PORTIFÓLIO'!$H$4:$H$433,MATCH($C208,'PORTIFÓLIO'!$C$4:$C$433,0)),"")</f>
        <v/>
      </c>
      <c r="I208" s="256"/>
      <c r="J208" s="218">
        <f t="shared" si="24"/>
        <v>0</v>
      </c>
      <c r="K208" s="219" t="str">
        <f>IFERROR(I208* VLOOKUP($C208,'PORTIFÓLIO'!C:V,10,0),"")</f>
        <v/>
      </c>
      <c r="L208" s="219" t="str">
        <f>IFERROR(J208* VLOOKUP($C208,'PORTIFÓLIO'!C:V,10,0),"")</f>
        <v/>
      </c>
      <c r="M208" s="220"/>
      <c r="N208" s="220"/>
      <c r="O208" s="220"/>
      <c r="P208" s="220"/>
      <c r="Q208" s="220"/>
      <c r="R208" s="220"/>
      <c r="S208" s="220"/>
      <c r="T208" s="220"/>
      <c r="U208" s="220"/>
      <c r="V208" s="220"/>
      <c r="W208" s="220"/>
    </row>
    <row r="209" ht="15.75" customHeight="1" outlineLevel="1">
      <c r="A209" s="211"/>
      <c r="B209" s="212"/>
      <c r="C209" s="213"/>
      <c r="D209" s="214" t="str">
        <f>IFERROR(VLOOKUP($C209,'PORTIFÓLIO'!C:V,2,0),"")</f>
        <v/>
      </c>
      <c r="E209" s="211" t="str">
        <f>IFERROR(VLOOKUP($C209,'PORTIFÓLIO'!C:V,3,0),"")</f>
        <v/>
      </c>
      <c r="F209" s="211" t="str">
        <f>IFERROR(VLOOKUP($C209,'PORTIFÓLIO'!C:V,4,0),"")</f>
        <v/>
      </c>
      <c r="G209" s="215" t="str">
        <f>IFERROR(VLOOKUP($C209,'PORTIFÓLIO'!C:V,5,0),"")</f>
        <v/>
      </c>
      <c r="H209" s="254" t="str">
        <f t="array" ref="H209">IFERROR(INDEX('PORTIFÓLIO'!$H$4:$H$433,MATCH($C209,'PORTIFÓLIO'!$C$4:$C$433,0)),"")</f>
        <v/>
      </c>
      <c r="I209" s="256"/>
      <c r="J209" s="218">
        <f t="shared" si="24"/>
        <v>0</v>
      </c>
      <c r="K209" s="219" t="str">
        <f>IFERROR(I209* VLOOKUP($C209,'PORTIFÓLIO'!C:V,10,0),"")</f>
        <v/>
      </c>
      <c r="L209" s="219" t="str">
        <f>IFERROR(J209* VLOOKUP($C209,'PORTIFÓLIO'!C:V,10,0),"")</f>
        <v/>
      </c>
      <c r="M209" s="220"/>
      <c r="N209" s="220"/>
      <c r="O209" s="220"/>
      <c r="P209" s="220"/>
      <c r="Q209" s="220"/>
      <c r="R209" s="220"/>
      <c r="S209" s="220"/>
      <c r="T209" s="220"/>
      <c r="U209" s="220"/>
      <c r="V209" s="220"/>
      <c r="W209" s="220"/>
    </row>
    <row r="210" ht="15.75" customHeight="1" outlineLevel="1">
      <c r="A210" s="211"/>
      <c r="B210" s="212"/>
      <c r="C210" s="213"/>
      <c r="D210" s="214" t="str">
        <f>IFERROR(VLOOKUP($C210,'PORTIFÓLIO'!C:V,2,0),"")</f>
        <v/>
      </c>
      <c r="E210" s="211" t="str">
        <f>IFERROR(VLOOKUP($C210,'PORTIFÓLIO'!C:V,3,0),"")</f>
        <v/>
      </c>
      <c r="F210" s="211" t="str">
        <f>IFERROR(VLOOKUP($C210,'PORTIFÓLIO'!C:V,4,0),"")</f>
        <v/>
      </c>
      <c r="G210" s="215" t="str">
        <f>IFERROR(VLOOKUP($C210,'PORTIFÓLIO'!C:V,5,0),"")</f>
        <v/>
      </c>
      <c r="H210" s="254" t="str">
        <f t="array" ref="H210">IFERROR(INDEX('PORTIFÓLIO'!$H$4:$H$433,MATCH($C210,'PORTIFÓLIO'!$C$4:$C$433,0)),"")</f>
        <v/>
      </c>
      <c r="I210" s="256"/>
      <c r="J210" s="218">
        <f t="shared" si="24"/>
        <v>0</v>
      </c>
      <c r="K210" s="219" t="str">
        <f>IFERROR(I210* VLOOKUP($C210,'PORTIFÓLIO'!C:V,10,0),"")</f>
        <v/>
      </c>
      <c r="L210" s="219" t="str">
        <f>IFERROR(J210* VLOOKUP($C210,'PORTIFÓLIO'!C:V,10,0),"")</f>
        <v/>
      </c>
      <c r="M210" s="220"/>
      <c r="N210" s="220"/>
      <c r="O210" s="220"/>
      <c r="P210" s="220"/>
      <c r="Q210" s="220"/>
      <c r="R210" s="220"/>
      <c r="S210" s="220"/>
      <c r="T210" s="220"/>
      <c r="U210" s="220"/>
      <c r="V210" s="220"/>
      <c r="W210" s="220"/>
    </row>
    <row r="211" ht="15.75" customHeight="1" outlineLevel="1">
      <c r="A211" s="211"/>
      <c r="B211" s="212"/>
      <c r="C211" s="213"/>
      <c r="D211" s="214" t="str">
        <f>IFERROR(VLOOKUP($C211,'PORTIFÓLIO'!C:V,2,0),"")</f>
        <v/>
      </c>
      <c r="E211" s="211" t="str">
        <f>IFERROR(VLOOKUP($C211,'PORTIFÓLIO'!C:V,3,0),"")</f>
        <v/>
      </c>
      <c r="F211" s="211" t="str">
        <f>IFERROR(VLOOKUP($C211,'PORTIFÓLIO'!C:V,4,0),"")</f>
        <v/>
      </c>
      <c r="G211" s="215" t="str">
        <f>IFERROR(VLOOKUP($C211,'PORTIFÓLIO'!C:V,5,0),"")</f>
        <v/>
      </c>
      <c r="H211" s="254" t="str">
        <f t="array" ref="H211">IFERROR(INDEX('PORTIFÓLIO'!$H$4:$H$433,MATCH($C211,'PORTIFÓLIO'!$C$4:$C$433,0)),"")</f>
        <v/>
      </c>
      <c r="I211" s="256"/>
      <c r="J211" s="218">
        <f t="shared" si="24"/>
        <v>0</v>
      </c>
      <c r="K211" s="219" t="str">
        <f>IFERROR(I211* VLOOKUP($C211,'PORTIFÓLIO'!C:V,10,0),"")</f>
        <v/>
      </c>
      <c r="L211" s="219" t="str">
        <f>IFERROR(J211* VLOOKUP($C211,'PORTIFÓLIO'!C:V,10,0),"")</f>
        <v/>
      </c>
      <c r="M211" s="220"/>
      <c r="N211" s="220"/>
      <c r="O211" s="220"/>
      <c r="P211" s="220"/>
      <c r="Q211" s="220"/>
      <c r="R211" s="220"/>
      <c r="S211" s="220"/>
      <c r="T211" s="220"/>
      <c r="U211" s="220"/>
      <c r="V211" s="220"/>
      <c r="W211" s="220"/>
    </row>
    <row r="212" ht="15.75" customHeight="1" outlineLevel="1">
      <c r="A212" s="211"/>
      <c r="B212" s="212"/>
      <c r="C212" s="213"/>
      <c r="D212" s="214" t="str">
        <f>IFERROR(VLOOKUP($C212,'PORTIFÓLIO'!C:V,2,0),"")</f>
        <v/>
      </c>
      <c r="E212" s="211" t="str">
        <f>IFERROR(VLOOKUP($C212,'PORTIFÓLIO'!C:V,3,0),"")</f>
        <v/>
      </c>
      <c r="F212" s="211" t="str">
        <f>IFERROR(VLOOKUP($C212,'PORTIFÓLIO'!C:V,4,0),"")</f>
        <v/>
      </c>
      <c r="G212" s="215" t="str">
        <f>IFERROR(VLOOKUP($C212,'PORTIFÓLIO'!C:V,5,0),"")</f>
        <v/>
      </c>
      <c r="H212" s="254" t="str">
        <f t="array" ref="H212">IFERROR(INDEX('PORTIFÓLIO'!$H$4:$H$433,MATCH($C212,'PORTIFÓLIO'!$C$4:$C$433,0)),"")</f>
        <v/>
      </c>
      <c r="I212" s="256"/>
      <c r="J212" s="218">
        <f t="shared" si="24"/>
        <v>0</v>
      </c>
      <c r="K212" s="219" t="str">
        <f>IFERROR(I212* VLOOKUP($C212,'PORTIFÓLIO'!C:V,10,0),"")</f>
        <v/>
      </c>
      <c r="L212" s="219" t="str">
        <f>IFERROR(J212* VLOOKUP($C212,'PORTIFÓLIO'!C:V,10,0),"")</f>
        <v/>
      </c>
      <c r="M212" s="220"/>
      <c r="N212" s="220"/>
      <c r="O212" s="220"/>
      <c r="P212" s="220"/>
      <c r="Q212" s="220"/>
      <c r="R212" s="220"/>
      <c r="S212" s="220"/>
      <c r="T212" s="220"/>
      <c r="U212" s="220"/>
      <c r="V212" s="220"/>
      <c r="W212" s="220"/>
    </row>
    <row r="213" ht="15.75" customHeight="1" outlineLevel="1">
      <c r="A213" s="211"/>
      <c r="B213" s="212"/>
      <c r="C213" s="213"/>
      <c r="D213" s="214" t="str">
        <f>IFERROR(VLOOKUP($C213,'PORTIFÓLIO'!C:V,2,0),"")</f>
        <v/>
      </c>
      <c r="E213" s="211" t="str">
        <f>IFERROR(VLOOKUP($C213,'PORTIFÓLIO'!C:V,3,0),"")</f>
        <v/>
      </c>
      <c r="F213" s="211" t="str">
        <f>IFERROR(VLOOKUP($C213,'PORTIFÓLIO'!C:V,4,0),"")</f>
        <v/>
      </c>
      <c r="G213" s="215" t="str">
        <f>IFERROR(VLOOKUP($C213,'PORTIFÓLIO'!C:V,5,0),"")</f>
        <v/>
      </c>
      <c r="H213" s="254" t="str">
        <f t="array" ref="H213">IFERROR(INDEX('PORTIFÓLIO'!$H$4:$H$433,MATCH($C213,'PORTIFÓLIO'!$C$4:$C$433,0)),"")</f>
        <v/>
      </c>
      <c r="I213" s="256"/>
      <c r="J213" s="218">
        <f t="shared" si="24"/>
        <v>0</v>
      </c>
      <c r="K213" s="219" t="str">
        <f>IFERROR(I213* VLOOKUP($C213,'PORTIFÓLIO'!C:V,10,0),"")</f>
        <v/>
      </c>
      <c r="L213" s="219" t="str">
        <f>IFERROR(J213* VLOOKUP($C213,'PORTIFÓLIO'!C:V,10,0),"")</f>
        <v/>
      </c>
      <c r="M213" s="220"/>
      <c r="N213" s="220"/>
      <c r="O213" s="220"/>
      <c r="P213" s="220"/>
      <c r="Q213" s="220"/>
      <c r="R213" s="220"/>
      <c r="S213" s="220"/>
      <c r="T213" s="220"/>
      <c r="U213" s="220"/>
      <c r="V213" s="220"/>
      <c r="W213" s="220"/>
    </row>
    <row r="214" ht="15.75" customHeight="1" outlineLevel="1">
      <c r="A214" s="211"/>
      <c r="B214" s="212"/>
      <c r="C214" s="213"/>
      <c r="D214" s="214" t="str">
        <f>IFERROR(VLOOKUP($C214,'PORTIFÓLIO'!C:V,2,0),"")</f>
        <v/>
      </c>
      <c r="E214" s="211" t="str">
        <f>IFERROR(VLOOKUP($C214,'PORTIFÓLIO'!C:V,3,0),"")</f>
        <v/>
      </c>
      <c r="F214" s="211" t="str">
        <f>IFERROR(VLOOKUP($C214,'PORTIFÓLIO'!C:V,4,0),"")</f>
        <v/>
      </c>
      <c r="G214" s="215" t="str">
        <f>IFERROR(VLOOKUP($C214,'PORTIFÓLIO'!C:V,5,0),"")</f>
        <v/>
      </c>
      <c r="H214" s="254" t="str">
        <f t="array" ref="H214">IFERROR(INDEX('PORTIFÓLIO'!$H$4:$H$433,MATCH($C214,'PORTIFÓLIO'!$C$4:$C$433,0)),"")</f>
        <v/>
      </c>
      <c r="I214" s="256"/>
      <c r="J214" s="218">
        <f t="shared" si="24"/>
        <v>0</v>
      </c>
      <c r="K214" s="219" t="str">
        <f>IFERROR(I214* VLOOKUP($C214,'PORTIFÓLIO'!C:V,10,0),"")</f>
        <v/>
      </c>
      <c r="L214" s="219" t="str">
        <f>IFERROR(J214* VLOOKUP($C214,'PORTIFÓLIO'!C:V,10,0),"")</f>
        <v/>
      </c>
      <c r="M214" s="220"/>
      <c r="N214" s="220"/>
      <c r="O214" s="220"/>
      <c r="P214" s="220"/>
      <c r="Q214" s="220"/>
      <c r="R214" s="220"/>
      <c r="S214" s="220"/>
      <c r="T214" s="220"/>
      <c r="U214" s="220"/>
      <c r="V214" s="220"/>
      <c r="W214" s="220"/>
    </row>
    <row r="215" ht="15.75" customHeight="1" outlineLevel="1">
      <c r="A215" s="211"/>
      <c r="B215" s="212"/>
      <c r="C215" s="213"/>
      <c r="D215" s="214" t="str">
        <f>IFERROR(VLOOKUP($C215,'PORTIFÓLIO'!C:V,2,0),"")</f>
        <v/>
      </c>
      <c r="E215" s="211" t="str">
        <f>IFERROR(VLOOKUP($C215,'PORTIFÓLIO'!C:V,3,0),"")</f>
        <v/>
      </c>
      <c r="F215" s="211" t="str">
        <f>IFERROR(VLOOKUP($C215,'PORTIFÓLIO'!C:V,4,0),"")</f>
        <v/>
      </c>
      <c r="G215" s="215" t="str">
        <f>IFERROR(VLOOKUP($C215,'PORTIFÓLIO'!C:V,5,0),"")</f>
        <v/>
      </c>
      <c r="H215" s="254" t="str">
        <f t="array" ref="H215">IFERROR(INDEX('PORTIFÓLIO'!$H$4:$H$433,MATCH($C215,'PORTIFÓLIO'!$C$4:$C$433,0)),"")</f>
        <v/>
      </c>
      <c r="I215" s="256"/>
      <c r="J215" s="218">
        <f t="shared" si="24"/>
        <v>0</v>
      </c>
      <c r="K215" s="219" t="str">
        <f>IFERROR(I215* VLOOKUP($C215,'PORTIFÓLIO'!C:V,10,0),"")</f>
        <v/>
      </c>
      <c r="L215" s="219" t="str">
        <f>IFERROR(J215* VLOOKUP($C215,'PORTIFÓLIO'!C:V,10,0),"")</f>
        <v/>
      </c>
      <c r="M215" s="220"/>
      <c r="N215" s="220"/>
      <c r="O215" s="220"/>
      <c r="P215" s="220"/>
      <c r="Q215" s="220"/>
      <c r="R215" s="220"/>
      <c r="S215" s="220"/>
      <c r="T215" s="220"/>
      <c r="U215" s="220"/>
      <c r="V215" s="220"/>
      <c r="W215" s="220"/>
    </row>
    <row r="216" ht="15.75" customHeight="1" outlineLevel="1">
      <c r="A216" s="211"/>
      <c r="B216" s="227"/>
      <c r="C216" s="211"/>
      <c r="D216" s="214" t="str">
        <f>IFERROR(VLOOKUP($C216,'PORTIFÓLIO'!C:V,2,0),"")</f>
        <v/>
      </c>
      <c r="E216" s="211" t="str">
        <f>IFERROR(VLOOKUP($C216,'PORTIFÓLIO'!C:V,3,0),"")</f>
        <v/>
      </c>
      <c r="F216" s="211" t="str">
        <f>IFERROR(VLOOKUP($C216,'PORTIFÓLIO'!C:V,4,0),"")</f>
        <v/>
      </c>
      <c r="G216" s="215" t="str">
        <f>IFERROR(VLOOKUP($C216,'PORTIFÓLIO'!C:V,5,0),"")</f>
        <v/>
      </c>
      <c r="H216" s="254" t="str">
        <f t="array" ref="H216">IFERROR(INDEX('PORTIFÓLIO'!$H$4:$H$433,MATCH($C216,'PORTIFÓLIO'!$C$4:$C$433,0)),"")</f>
        <v/>
      </c>
      <c r="I216" s="256"/>
      <c r="J216" s="218">
        <f t="shared" si="24"/>
        <v>0</v>
      </c>
      <c r="K216" s="219" t="str">
        <f>IFERROR(I216* VLOOKUP($C216,'PORTIFÓLIO'!C:V,10,0),"")</f>
        <v/>
      </c>
      <c r="L216" s="219" t="str">
        <f>IFERROR(J216* VLOOKUP($C216,'PORTIFÓLIO'!C:V,10,0),"")</f>
        <v/>
      </c>
      <c r="M216" s="220"/>
      <c r="N216" s="220"/>
      <c r="O216" s="220"/>
      <c r="P216" s="220"/>
      <c r="Q216" s="220"/>
      <c r="R216" s="220"/>
      <c r="S216" s="220"/>
      <c r="T216" s="220"/>
      <c r="U216" s="220"/>
      <c r="V216" s="220"/>
      <c r="W216" s="220"/>
    </row>
    <row r="217" ht="15.75" customHeight="1" outlineLevel="1">
      <c r="A217" s="211"/>
      <c r="B217" s="227"/>
      <c r="C217" s="211"/>
      <c r="D217" s="214" t="str">
        <f>IFERROR(VLOOKUP($C217,'PORTIFÓLIO'!C:V,2,0),"")</f>
        <v/>
      </c>
      <c r="E217" s="211" t="str">
        <f>IFERROR(VLOOKUP($C217,'PORTIFÓLIO'!C:V,3,0),"")</f>
        <v/>
      </c>
      <c r="F217" s="211" t="str">
        <f>IFERROR(VLOOKUP($C217,'PORTIFÓLIO'!C:V,4,0),"")</f>
        <v/>
      </c>
      <c r="G217" s="215" t="str">
        <f>IFERROR(VLOOKUP($C217,'PORTIFÓLIO'!C:V,5,0),"")</f>
        <v/>
      </c>
      <c r="H217" s="254" t="str">
        <f t="array" ref="H217">IFERROR(INDEX('PORTIFÓLIO'!$H$4:$H$433,MATCH($C217,'PORTIFÓLIO'!$C$4:$C$433,0)),"")</f>
        <v/>
      </c>
      <c r="I217" s="256"/>
      <c r="J217" s="218">
        <f t="shared" si="24"/>
        <v>0</v>
      </c>
      <c r="K217" s="219" t="str">
        <f>IFERROR(I217* VLOOKUP($C217,'PORTIFÓLIO'!C:V,10,0),"")</f>
        <v/>
      </c>
      <c r="L217" s="219" t="str">
        <f>IFERROR(J217* VLOOKUP($C217,'PORTIFÓLIO'!C:V,10,0),"")</f>
        <v/>
      </c>
      <c r="M217" s="220"/>
      <c r="N217" s="220"/>
      <c r="O217" s="220"/>
      <c r="P217" s="220"/>
      <c r="Q217" s="220"/>
      <c r="R217" s="220"/>
      <c r="S217" s="220"/>
      <c r="T217" s="220"/>
      <c r="U217" s="220"/>
      <c r="V217" s="220"/>
      <c r="W217" s="220"/>
    </row>
    <row r="218" ht="15.75" customHeight="1" outlineLevel="1">
      <c r="A218" s="211"/>
      <c r="B218" s="227"/>
      <c r="C218" s="211"/>
      <c r="D218" s="214" t="str">
        <f>IFERROR(VLOOKUP($C218,'PORTIFÓLIO'!C:V,2,0),"")</f>
        <v/>
      </c>
      <c r="E218" s="211" t="str">
        <f>IFERROR(VLOOKUP($C218,'PORTIFÓLIO'!C:V,3,0),"")</f>
        <v/>
      </c>
      <c r="F218" s="211" t="str">
        <f>IFERROR(VLOOKUP($C218,'PORTIFÓLIO'!C:V,4,0),"")</f>
        <v/>
      </c>
      <c r="G218" s="215" t="str">
        <f>IFERROR(VLOOKUP($C218,'PORTIFÓLIO'!C:V,5,0),"")</f>
        <v/>
      </c>
      <c r="H218" s="254" t="str">
        <f t="array" ref="H218">IFERROR(INDEX('PORTIFÓLIO'!$H$4:$H$433,MATCH($C218,'PORTIFÓLIO'!$C$4:$C$433,0)),"")</f>
        <v/>
      </c>
      <c r="I218" s="256"/>
      <c r="J218" s="218">
        <f t="shared" si="24"/>
        <v>0</v>
      </c>
      <c r="K218" s="219" t="str">
        <f>IFERROR(I218* VLOOKUP($C218,'PORTIFÓLIO'!C:V,10,0),"")</f>
        <v/>
      </c>
      <c r="L218" s="219" t="str">
        <f>IFERROR(J218* VLOOKUP($C218,'PORTIFÓLIO'!C:V,10,0),"")</f>
        <v/>
      </c>
      <c r="M218" s="220"/>
      <c r="N218" s="220"/>
      <c r="O218" s="220"/>
      <c r="P218" s="220"/>
      <c r="Q218" s="220"/>
      <c r="R218" s="220"/>
      <c r="S218" s="220"/>
      <c r="T218" s="220"/>
      <c r="U218" s="220"/>
      <c r="V218" s="220"/>
      <c r="W218" s="220"/>
    </row>
    <row r="219" ht="15.75" customHeight="1" outlineLevel="1">
      <c r="A219" s="211"/>
      <c r="B219" s="227"/>
      <c r="C219" s="211"/>
      <c r="D219" s="214" t="str">
        <f>IFERROR(VLOOKUP($C219,'PORTIFÓLIO'!C:V,2,0),"")</f>
        <v/>
      </c>
      <c r="E219" s="211" t="str">
        <f>IFERROR(VLOOKUP($C219,'PORTIFÓLIO'!C:V,3,0),"")</f>
        <v/>
      </c>
      <c r="F219" s="211" t="str">
        <f>IFERROR(VLOOKUP($C219,'PORTIFÓLIO'!C:V,4,0),"")</f>
        <v/>
      </c>
      <c r="G219" s="215" t="str">
        <f>IFERROR(VLOOKUP($C219,'PORTIFÓLIO'!C:V,5,0),"")</f>
        <v/>
      </c>
      <c r="H219" s="254" t="str">
        <f t="array" ref="H219">IFERROR(INDEX('PORTIFÓLIO'!$H$4:$H$433,MATCH($C219,'PORTIFÓLIO'!$C$4:$C$433,0)),"")</f>
        <v/>
      </c>
      <c r="I219" s="256"/>
      <c r="J219" s="218">
        <f t="shared" si="24"/>
        <v>0</v>
      </c>
      <c r="K219" s="219" t="str">
        <f>IFERROR(I219* VLOOKUP($C219,'PORTIFÓLIO'!C:V,10,0),"")</f>
        <v/>
      </c>
      <c r="L219" s="219" t="str">
        <f>IFERROR(J219* VLOOKUP($C219,'PORTIFÓLIO'!C:V,10,0),"")</f>
        <v/>
      </c>
      <c r="M219" s="220"/>
      <c r="N219" s="220"/>
      <c r="O219" s="220"/>
      <c r="P219" s="220"/>
      <c r="Q219" s="220"/>
      <c r="R219" s="220"/>
      <c r="S219" s="220"/>
      <c r="T219" s="220"/>
      <c r="U219" s="220"/>
      <c r="V219" s="220"/>
      <c r="W219" s="220"/>
    </row>
    <row r="220" ht="15.75" customHeight="1" outlineLevel="1">
      <c r="A220" s="211"/>
      <c r="B220" s="227"/>
      <c r="C220" s="211"/>
      <c r="D220" s="214" t="str">
        <f>IFERROR(VLOOKUP($C220,'PORTIFÓLIO'!C:V,2,0),"")</f>
        <v/>
      </c>
      <c r="E220" s="211" t="str">
        <f>IFERROR(VLOOKUP($C220,'PORTIFÓLIO'!C:V,3,0),"")</f>
        <v/>
      </c>
      <c r="F220" s="211" t="str">
        <f>IFERROR(VLOOKUP($C220,'PORTIFÓLIO'!C:V,4,0),"")</f>
        <v/>
      </c>
      <c r="G220" s="215" t="str">
        <f>IFERROR(VLOOKUP($C220,'PORTIFÓLIO'!C:V,5,0),"")</f>
        <v/>
      </c>
      <c r="H220" s="254" t="str">
        <f t="array" ref="H220">IFERROR(INDEX('PORTIFÓLIO'!$H$4:$H$433,MATCH($C220,'PORTIFÓLIO'!$C$4:$C$433,0)),"")</f>
        <v/>
      </c>
      <c r="I220" s="256"/>
      <c r="J220" s="218">
        <f t="shared" si="24"/>
        <v>0</v>
      </c>
      <c r="K220" s="219" t="str">
        <f>IFERROR(I220* VLOOKUP($C220,'PORTIFÓLIO'!C:V,10,0),"")</f>
        <v/>
      </c>
      <c r="L220" s="219" t="str">
        <f>IFERROR(J220* VLOOKUP($C220,'PORTIFÓLIO'!C:V,10,0),"")</f>
        <v/>
      </c>
      <c r="M220" s="220"/>
      <c r="N220" s="220"/>
      <c r="O220" s="220"/>
      <c r="P220" s="220"/>
      <c r="Q220" s="220"/>
      <c r="R220" s="220"/>
      <c r="S220" s="220"/>
      <c r="T220" s="220"/>
      <c r="U220" s="220"/>
      <c r="V220" s="220"/>
      <c r="W220" s="220"/>
    </row>
    <row r="221" ht="15.75" customHeight="1" outlineLevel="1">
      <c r="A221" s="211"/>
      <c r="B221" s="227"/>
      <c r="C221" s="211"/>
      <c r="D221" s="214" t="str">
        <f>IFERROR(VLOOKUP($C221,'PORTIFÓLIO'!C:V,2,0),"")</f>
        <v/>
      </c>
      <c r="E221" s="211" t="str">
        <f>IFERROR(VLOOKUP($C221,'PORTIFÓLIO'!C:V,3,0),"")</f>
        <v/>
      </c>
      <c r="F221" s="211" t="str">
        <f>IFERROR(VLOOKUP($C221,'PORTIFÓLIO'!C:V,4,0),"")</f>
        <v/>
      </c>
      <c r="G221" s="215" t="str">
        <f>IFERROR(VLOOKUP($C221,'PORTIFÓLIO'!C:V,5,0),"")</f>
        <v/>
      </c>
      <c r="H221" s="254" t="str">
        <f t="array" ref="H221">IFERROR(INDEX('PORTIFÓLIO'!$H$4:$H$433,MATCH($C221,'PORTIFÓLIO'!$C$4:$C$433,0)),"")</f>
        <v/>
      </c>
      <c r="I221" s="256"/>
      <c r="J221" s="218">
        <f t="shared" si="24"/>
        <v>0</v>
      </c>
      <c r="K221" s="219" t="str">
        <f>IFERROR(I221* VLOOKUP($C221,'PORTIFÓLIO'!C:V,10,0),"")</f>
        <v/>
      </c>
      <c r="L221" s="219" t="str">
        <f>IFERROR(J221* VLOOKUP($C221,'PORTIFÓLIO'!C:V,10,0),"")</f>
        <v/>
      </c>
      <c r="M221" s="220"/>
      <c r="N221" s="220"/>
      <c r="O221" s="220"/>
      <c r="P221" s="220"/>
      <c r="Q221" s="220"/>
      <c r="R221" s="220"/>
      <c r="S221" s="220"/>
      <c r="T221" s="220"/>
      <c r="U221" s="220"/>
      <c r="V221" s="220"/>
      <c r="W221" s="220"/>
    </row>
    <row r="222" ht="15.75" customHeight="1" outlineLevel="1">
      <c r="A222" s="211"/>
      <c r="B222" s="227"/>
      <c r="C222" s="211"/>
      <c r="D222" s="214" t="str">
        <f>IFERROR(VLOOKUP($C222,'PORTIFÓLIO'!C:V,2,0),"")</f>
        <v/>
      </c>
      <c r="E222" s="211" t="str">
        <f>IFERROR(VLOOKUP($C222,'PORTIFÓLIO'!C:V,3,0),"")</f>
        <v/>
      </c>
      <c r="F222" s="211" t="str">
        <f>IFERROR(VLOOKUP($C222,'PORTIFÓLIO'!C:V,4,0),"")</f>
        <v/>
      </c>
      <c r="G222" s="215" t="str">
        <f>IFERROR(VLOOKUP($C222,'PORTIFÓLIO'!C:V,5,0),"")</f>
        <v/>
      </c>
      <c r="H222" s="254" t="str">
        <f t="array" ref="H222">IFERROR(INDEX('PORTIFÓLIO'!$H$4:$H$433,MATCH($C222,'PORTIFÓLIO'!$C$4:$C$433,0)),"")</f>
        <v/>
      </c>
      <c r="I222" s="256"/>
      <c r="J222" s="218">
        <f t="shared" si="24"/>
        <v>0</v>
      </c>
      <c r="K222" s="219" t="str">
        <f>IFERROR(I222* VLOOKUP($C222,'PORTIFÓLIO'!C:V,10,0),"")</f>
        <v/>
      </c>
      <c r="L222" s="219" t="str">
        <f>IFERROR(J222* VLOOKUP($C222,'PORTIFÓLIO'!C:V,10,0),"")</f>
        <v/>
      </c>
      <c r="M222" s="220"/>
      <c r="N222" s="220"/>
      <c r="O222" s="220"/>
      <c r="P222" s="220"/>
      <c r="Q222" s="220"/>
      <c r="R222" s="220"/>
      <c r="S222" s="220"/>
      <c r="T222" s="220"/>
      <c r="U222" s="220"/>
      <c r="V222" s="220"/>
      <c r="W222" s="220"/>
    </row>
    <row r="223" ht="15.75" customHeight="1" outlineLevel="1">
      <c r="A223" s="211"/>
      <c r="B223" s="227"/>
      <c r="C223" s="211"/>
      <c r="D223" s="214" t="str">
        <f>IFERROR(VLOOKUP($C223,'PORTIFÓLIO'!C:V,2,0),"")</f>
        <v/>
      </c>
      <c r="E223" s="211" t="str">
        <f>IFERROR(VLOOKUP($C223,'PORTIFÓLIO'!C:V,3,0),"")</f>
        <v/>
      </c>
      <c r="F223" s="211" t="str">
        <f>IFERROR(VLOOKUP($C223,'PORTIFÓLIO'!C:V,4,0),"")</f>
        <v/>
      </c>
      <c r="G223" s="215" t="str">
        <f>IFERROR(VLOOKUP($C223,'PORTIFÓLIO'!C:V,5,0),"")</f>
        <v/>
      </c>
      <c r="H223" s="254" t="str">
        <f t="array" ref="H223">IFERROR(INDEX('PORTIFÓLIO'!$H$4:$H$433,MATCH($C223,'PORTIFÓLIO'!$C$4:$C$433,0)),"")</f>
        <v/>
      </c>
      <c r="I223" s="256"/>
      <c r="J223" s="218">
        <f t="shared" si="24"/>
        <v>0</v>
      </c>
      <c r="K223" s="219" t="str">
        <f>IFERROR(I223* VLOOKUP($C223,'PORTIFÓLIO'!C:V,10,0),"")</f>
        <v/>
      </c>
      <c r="L223" s="219" t="str">
        <f>IFERROR(J223* VLOOKUP($C223,'PORTIFÓLIO'!C:V,10,0),"")</f>
        <v/>
      </c>
      <c r="M223" s="220"/>
      <c r="N223" s="220"/>
      <c r="O223" s="220"/>
      <c r="P223" s="220"/>
      <c r="Q223" s="220"/>
      <c r="R223" s="220"/>
      <c r="S223" s="220"/>
      <c r="T223" s="220"/>
      <c r="U223" s="220"/>
      <c r="V223" s="220"/>
      <c r="W223" s="220"/>
    </row>
    <row r="224" ht="15.75" customHeight="1" outlineLevel="1">
      <c r="A224" s="211"/>
      <c r="B224" s="227"/>
      <c r="C224" s="211"/>
      <c r="D224" s="214" t="str">
        <f>IFERROR(VLOOKUP($C224,'PORTIFÓLIO'!C:V,2,0),"")</f>
        <v/>
      </c>
      <c r="E224" s="211" t="str">
        <f>IFERROR(VLOOKUP($C224,'PORTIFÓLIO'!C:V,3,0),"")</f>
        <v/>
      </c>
      <c r="F224" s="211" t="str">
        <f>IFERROR(VLOOKUP($C224,'PORTIFÓLIO'!C:V,4,0),"")</f>
        <v/>
      </c>
      <c r="G224" s="215" t="str">
        <f>IFERROR(VLOOKUP($C224,'PORTIFÓLIO'!C:V,5,0),"")</f>
        <v/>
      </c>
      <c r="H224" s="254" t="str">
        <f t="array" ref="H224">IFERROR(INDEX('PORTIFÓLIO'!$H$4:$H$433,MATCH($C224,'PORTIFÓLIO'!$C$4:$C$433,0)),"")</f>
        <v/>
      </c>
      <c r="I224" s="256"/>
      <c r="J224" s="218">
        <f t="shared" si="24"/>
        <v>0</v>
      </c>
      <c r="K224" s="219" t="str">
        <f>IFERROR(I224* VLOOKUP($C224,'PORTIFÓLIO'!C:V,10,0),"")</f>
        <v/>
      </c>
      <c r="L224" s="219" t="str">
        <f>IFERROR(J224* VLOOKUP($C224,'PORTIFÓLIO'!C:V,10,0),"")</f>
        <v/>
      </c>
      <c r="M224" s="220"/>
      <c r="N224" s="220"/>
      <c r="O224" s="220"/>
      <c r="P224" s="220"/>
      <c r="Q224" s="220"/>
      <c r="R224" s="220"/>
      <c r="S224" s="220"/>
      <c r="T224" s="220"/>
      <c r="U224" s="220"/>
      <c r="V224" s="220"/>
      <c r="W224" s="220"/>
    </row>
    <row r="225" ht="15.75" customHeight="1">
      <c r="A225" s="227"/>
      <c r="B225" s="227"/>
      <c r="C225" s="227"/>
      <c r="D225" s="227"/>
      <c r="E225" s="227"/>
      <c r="F225" s="227"/>
      <c r="G225" s="215"/>
      <c r="H225" s="278" t="str">
        <f t="array" ref="H225">IFERROR(INDEX('PORTIFÓLIO'!$H$4:$H$433,MATCH($C225,'PORTIFÓLIO'!$C$4:$C$433,0)),"")</f>
        <v/>
      </c>
      <c r="I225" s="227"/>
      <c r="J225" s="227"/>
      <c r="K225" s="284">
        <f t="shared" ref="K225:L225" si="25">SUBTOTAL(9,K10:K200)</f>
        <v>880.3181359</v>
      </c>
      <c r="L225" s="284">
        <f t="shared" si="25"/>
        <v>123244.539</v>
      </c>
      <c r="M225" s="220"/>
      <c r="N225" s="220"/>
      <c r="O225" s="220"/>
      <c r="P225" s="220"/>
      <c r="Q225" s="220"/>
      <c r="R225" s="220"/>
      <c r="S225" s="220"/>
      <c r="T225" s="220"/>
      <c r="U225" s="220"/>
      <c r="V225" s="220"/>
      <c r="W225" s="220"/>
    </row>
    <row r="226" ht="15.75" customHeight="1">
      <c r="A226" s="285"/>
      <c r="B226" s="285"/>
      <c r="C226" s="285"/>
      <c r="D226" s="285"/>
      <c r="E226" s="285"/>
      <c r="F226" s="285"/>
      <c r="G226" s="286"/>
      <c r="H226" s="286"/>
      <c r="I226" s="285"/>
      <c r="J226" s="285"/>
      <c r="K226" s="285"/>
      <c r="L226" s="285"/>
      <c r="M226" s="285"/>
      <c r="N226" s="285"/>
      <c r="O226" s="285"/>
      <c r="P226" s="285"/>
      <c r="Q226" s="285"/>
      <c r="R226" s="285"/>
      <c r="S226" s="285"/>
      <c r="T226" s="285"/>
      <c r="U226" s="285"/>
      <c r="V226" s="285"/>
      <c r="W226" s="285"/>
    </row>
    <row r="227" ht="15.75" customHeight="1">
      <c r="A227" s="260" t="s">
        <v>1203</v>
      </c>
      <c r="B227" s="261" t="str">
        <f>'ÁREA PLANTIO'!B17</f>
        <v>P 05</v>
      </c>
      <c r="C227" s="262" t="s">
        <v>1166</v>
      </c>
      <c r="D227" s="263">
        <f>$K$452</f>
        <v>0</v>
      </c>
      <c r="E227" s="264"/>
      <c r="F227" s="265" t="s">
        <v>1167</v>
      </c>
      <c r="G227" s="266"/>
      <c r="H227" s="287" t="str">
        <f t="array" ref="H227">IFERROR(INDEX('PORTIFÓLIO'!$H$4:$H$433,MATCH($C227,'PORTIFÓLIO'!$C$4:$C$433,0)),"")</f>
        <v/>
      </c>
      <c r="I227" s="267"/>
      <c r="J227" s="267"/>
      <c r="K227" s="266"/>
      <c r="L227" s="220"/>
      <c r="M227" s="220"/>
      <c r="N227" s="220"/>
      <c r="O227" s="220"/>
      <c r="P227" s="220"/>
      <c r="Q227" s="220"/>
      <c r="R227" s="220"/>
      <c r="S227" s="220"/>
      <c r="T227" s="220"/>
      <c r="U227" s="220"/>
      <c r="V227" s="220"/>
      <c r="W227" s="220"/>
    </row>
    <row r="228" ht="15.75" customHeight="1">
      <c r="A228" s="260" t="s">
        <v>1168</v>
      </c>
      <c r="B228" s="268">
        <f>'ÁREA PLANTIO'!E17</f>
        <v>140</v>
      </c>
      <c r="C228" s="269" t="s">
        <v>1169</v>
      </c>
      <c r="D228" s="270" t="str">
        <f>'ÁREA PLANTIO'!I17</f>
        <v/>
      </c>
      <c r="E228" s="264"/>
      <c r="F228" s="264"/>
      <c r="G228" s="266"/>
      <c r="H228" s="287" t="str">
        <f t="array" ref="H228">IFERROR(INDEX('PORTIFÓLIO'!$H$4:$H$433,MATCH($C228,'PORTIFÓLIO'!$C$4:$C$433,0)),"")</f>
        <v/>
      </c>
      <c r="I228" s="267"/>
      <c r="J228" s="267"/>
      <c r="K228" s="266"/>
      <c r="L228" s="220"/>
      <c r="M228" s="220"/>
      <c r="N228" s="220"/>
      <c r="O228" s="220"/>
      <c r="P228" s="220"/>
      <c r="Q228" s="220"/>
      <c r="R228" s="220"/>
      <c r="S228" s="220"/>
      <c r="T228" s="220"/>
      <c r="U228" s="220"/>
      <c r="V228" s="220"/>
      <c r="W228" s="220"/>
    </row>
    <row r="229" ht="15.75" customHeight="1">
      <c r="A229" s="260" t="s">
        <v>1170</v>
      </c>
      <c r="B229" s="267" t="str">
        <f>'ÁREA PLANTIO'!H17</f>
        <v/>
      </c>
      <c r="C229" s="269" t="s">
        <v>1171</v>
      </c>
      <c r="D229" s="271" t="str">
        <f>D227/D228</f>
        <v>#DIV/0!</v>
      </c>
      <c r="E229" s="264"/>
      <c r="F229" s="264"/>
      <c r="G229" s="266"/>
      <c r="H229" s="287" t="str">
        <f t="array" ref="H229">IFERROR(INDEX('PORTIFÓLIO'!$H$4:$H$433,MATCH($C229,'PORTIFÓLIO'!$C$4:$C$433,0)),"")</f>
        <v/>
      </c>
      <c r="I229" s="267"/>
      <c r="J229" s="267"/>
      <c r="K229" s="266"/>
      <c r="L229" s="220"/>
      <c r="M229" s="220"/>
      <c r="N229" s="220"/>
      <c r="O229" s="220"/>
      <c r="P229" s="220"/>
      <c r="Q229" s="220"/>
      <c r="R229" s="220"/>
      <c r="S229" s="220"/>
      <c r="T229" s="220"/>
      <c r="U229" s="220"/>
      <c r="V229" s="220"/>
      <c r="W229" s="220"/>
    </row>
    <row r="230" ht="15.75" customHeight="1">
      <c r="A230" s="272" t="s">
        <v>1172</v>
      </c>
      <c r="B230" s="273">
        <v>45606.0</v>
      </c>
      <c r="C230" s="274"/>
      <c r="D230" s="275"/>
      <c r="E230" s="276"/>
      <c r="F230" s="264"/>
      <c r="G230" s="266"/>
      <c r="H230" s="287" t="str">
        <f t="array" ref="H230">IFERROR(INDEX('PORTIFÓLIO'!$H$4:$H$433,MATCH($C230,'PORTIFÓLIO'!$C$4:$C$433,0)),"")</f>
        <v/>
      </c>
      <c r="I230" s="267"/>
      <c r="J230" s="267"/>
      <c r="K230" s="266"/>
      <c r="L230" s="220"/>
      <c r="M230" s="220"/>
      <c r="N230" s="220"/>
      <c r="O230" s="220"/>
      <c r="P230" s="220"/>
      <c r="Q230" s="220"/>
      <c r="R230" s="220"/>
      <c r="S230" s="220"/>
      <c r="T230" s="220"/>
      <c r="U230" s="220"/>
      <c r="V230" s="220"/>
      <c r="W230" s="220"/>
    </row>
    <row r="231" ht="15.75" customHeight="1">
      <c r="E231" s="277"/>
      <c r="F231" s="264"/>
      <c r="G231" s="266"/>
      <c r="H231" s="287" t="str">
        <f t="array" ref="H231">IFERROR(INDEX('PORTIFÓLIO'!$H$4:$H$433,MATCH($C231,'PORTIFÓLIO'!$C$4:$C$433,0)),"")</f>
        <v/>
      </c>
      <c r="I231" s="267"/>
      <c r="J231" s="267"/>
      <c r="K231" s="266"/>
      <c r="L231" s="220"/>
      <c r="M231" s="220"/>
      <c r="N231" s="220"/>
      <c r="O231" s="220"/>
      <c r="P231" s="220"/>
      <c r="Q231" s="220"/>
      <c r="R231" s="220"/>
      <c r="S231" s="220"/>
      <c r="T231" s="220"/>
      <c r="U231" s="220"/>
      <c r="V231" s="220"/>
      <c r="W231" s="220"/>
    </row>
    <row r="232" ht="15.75" customHeight="1">
      <c r="A232" s="260"/>
      <c r="B232" s="267"/>
      <c r="C232" s="264"/>
      <c r="D232" s="264"/>
      <c r="E232" s="264"/>
      <c r="F232" s="264"/>
      <c r="G232" s="266"/>
      <c r="H232" s="287" t="str">
        <f t="array" ref="H232">IFERROR(INDEX('PORTIFÓLIO'!$H$4:$H$433,MATCH($C232,'PORTIFÓLIO'!$C$4:$C$433,0)),"")</f>
        <v/>
      </c>
      <c r="I232" s="267"/>
      <c r="J232" s="267"/>
      <c r="K232" s="266"/>
      <c r="L232" s="220"/>
      <c r="M232" s="220"/>
      <c r="N232" s="220"/>
      <c r="O232" s="220"/>
      <c r="P232" s="220"/>
      <c r="Q232" s="220"/>
      <c r="R232" s="220"/>
      <c r="S232" s="220"/>
      <c r="T232" s="220"/>
      <c r="U232" s="220"/>
      <c r="V232" s="220"/>
      <c r="W232" s="220"/>
    </row>
    <row r="233" ht="15.75" customHeight="1">
      <c r="A233" s="267"/>
      <c r="B233" s="267"/>
      <c r="C233" s="264"/>
      <c r="D233" s="264"/>
      <c r="E233" s="264"/>
      <c r="F233" s="264"/>
      <c r="G233" s="266"/>
      <c r="H233" s="287" t="str">
        <f t="array" ref="H233">IFERROR(INDEX('PORTIFÓLIO'!$H$4:$H$433,MATCH($C233,'PORTIFÓLIO'!$C$4:$C$433,0)),"")</f>
        <v/>
      </c>
      <c r="I233" s="267"/>
      <c r="J233" s="267"/>
      <c r="K233" s="266"/>
      <c r="L233" s="220"/>
      <c r="M233" s="220"/>
      <c r="N233" s="220"/>
      <c r="O233" s="220"/>
      <c r="P233" s="220"/>
      <c r="Q233" s="220"/>
      <c r="R233" s="220"/>
      <c r="S233" s="220"/>
      <c r="T233" s="220"/>
      <c r="U233" s="220"/>
      <c r="V233" s="220"/>
      <c r="W233" s="220"/>
    </row>
    <row r="234" ht="15.75" customHeight="1">
      <c r="A234" s="267"/>
      <c r="B234" s="267"/>
      <c r="C234" s="267"/>
      <c r="D234" s="267"/>
      <c r="E234" s="264"/>
      <c r="F234" s="264"/>
      <c r="G234" s="266"/>
      <c r="H234" s="287" t="str">
        <f t="array" ref="H234">IFERROR(INDEX('PORTIFÓLIO'!$H$4:$H$433,MATCH($C234,'PORTIFÓLIO'!$C$4:$C$433,0)),"")</f>
        <v/>
      </c>
      <c r="I234" s="267"/>
      <c r="J234" s="267"/>
      <c r="K234" s="266"/>
      <c r="L234" s="220"/>
      <c r="M234" s="220"/>
      <c r="N234" s="220"/>
      <c r="O234" s="220"/>
      <c r="P234" s="220"/>
      <c r="Q234" s="220"/>
      <c r="R234" s="220"/>
      <c r="S234" s="220"/>
      <c r="T234" s="220"/>
      <c r="U234" s="220"/>
      <c r="V234" s="220"/>
      <c r="W234" s="220"/>
    </row>
    <row r="235" ht="15.75" customHeight="1">
      <c r="A235" s="267"/>
      <c r="B235" s="267"/>
      <c r="C235" s="267"/>
      <c r="D235" s="267"/>
      <c r="E235" s="267"/>
      <c r="F235" s="267"/>
      <c r="G235" s="266"/>
      <c r="H235" s="287"/>
      <c r="I235" s="287"/>
      <c r="J235" s="288"/>
      <c r="K235" s="289"/>
      <c r="L235" s="290"/>
      <c r="M235" s="220"/>
      <c r="N235" s="220"/>
      <c r="O235" s="220"/>
      <c r="P235" s="220"/>
      <c r="Q235" s="220"/>
      <c r="R235" s="220"/>
      <c r="S235" s="220"/>
      <c r="T235" s="220"/>
      <c r="U235" s="220"/>
      <c r="V235" s="220"/>
      <c r="W235" s="220"/>
    </row>
    <row r="236" ht="15.75" customHeight="1">
      <c r="A236" s="211" t="s">
        <v>1173</v>
      </c>
      <c r="B236" s="211" t="s">
        <v>1204</v>
      </c>
      <c r="C236" s="211" t="s">
        <v>1212</v>
      </c>
      <c r="D236" s="211" t="s">
        <v>1176</v>
      </c>
      <c r="E236" s="211" t="s">
        <v>1177</v>
      </c>
      <c r="F236" s="211" t="s">
        <v>1178</v>
      </c>
      <c r="G236" s="291" t="s">
        <v>1180</v>
      </c>
      <c r="H236" s="278" t="s">
        <v>1179</v>
      </c>
      <c r="I236" s="278" t="s">
        <v>1181</v>
      </c>
      <c r="J236" s="279" t="s">
        <v>1134</v>
      </c>
      <c r="K236" s="280" t="s">
        <v>1182</v>
      </c>
      <c r="L236" s="281" t="s">
        <v>339</v>
      </c>
      <c r="M236" s="220"/>
      <c r="N236" s="220"/>
      <c r="O236" s="220"/>
      <c r="P236" s="220"/>
      <c r="Q236" s="220"/>
      <c r="R236" s="220"/>
      <c r="S236" s="220"/>
      <c r="T236" s="220"/>
      <c r="U236" s="220"/>
      <c r="V236" s="220"/>
      <c r="W236" s="220"/>
    </row>
    <row r="237" ht="15.75" customHeight="1">
      <c r="A237" s="231" t="s">
        <v>1183</v>
      </c>
      <c r="B237" s="230"/>
      <c r="C237" s="231"/>
      <c r="D237" s="232"/>
      <c r="E237" s="231"/>
      <c r="F237" s="231"/>
      <c r="G237" s="233"/>
      <c r="H237" s="233"/>
      <c r="I237" s="258"/>
      <c r="J237" s="236"/>
      <c r="K237" s="237">
        <f t="shared" ref="K237:L237" si="26">SUBTOTAL(9,K238:K251)</f>
        <v>0</v>
      </c>
      <c r="L237" s="237">
        <f t="shared" si="26"/>
        <v>0</v>
      </c>
      <c r="M237" s="220"/>
      <c r="N237" s="220"/>
      <c r="O237" s="220"/>
      <c r="P237" s="220"/>
      <c r="Q237" s="220"/>
      <c r="R237" s="220"/>
      <c r="S237" s="220"/>
      <c r="T237" s="220"/>
      <c r="U237" s="220"/>
      <c r="V237" s="220"/>
      <c r="W237" s="220"/>
    </row>
    <row r="238" ht="15.75" customHeight="1" outlineLevel="1">
      <c r="A238" s="211"/>
      <c r="B238" s="212"/>
      <c r="C238" s="213"/>
      <c r="D238" s="214" t="str">
        <f>IFERROR(VLOOKUP($C238,'PORTIFÓLIO'!C:V,2,0),"")</f>
        <v/>
      </c>
      <c r="E238" s="211" t="str">
        <f>IFERROR(VLOOKUP($C238,'PORTIFÓLIO'!C:V,3,0),"")</f>
        <v/>
      </c>
      <c r="F238" s="211" t="str">
        <f>IFERROR(VLOOKUP($C238,'PORTIFÓLIO'!C:V,4,0),"")</f>
        <v/>
      </c>
      <c r="G238" s="215" t="str">
        <f>IFERROR(VLOOKUP($C238,'PORTIFÓLIO'!C:V,5,0),"")</f>
        <v/>
      </c>
      <c r="H238" s="254" t="str">
        <f t="array" ref="H238">IFERROR(INDEX('PORTIFÓLIO'!$H$4:$H$433,MATCH($C238,'PORTIFÓLIO'!$C$4:$C$433,0)),"")</f>
        <v/>
      </c>
      <c r="I238" s="255"/>
      <c r="J238" s="218">
        <f t="shared" ref="J238:J251" si="27">I238*$B$2</f>
        <v>0</v>
      </c>
      <c r="K238" s="219" t="str">
        <f t="array" ref="K238">IFERROR(I238*INDEX('PORTIFÓLIO'!$S$4:$S$433,MATCH($C238,'PORTIFÓLIO'!$C$4:$C$433,0)),"")</f>
        <v/>
      </c>
      <c r="L238" s="219" t="str">
        <f t="array" ref="L238">IFERROR(J238*INDEX('PORTIFÓLIO'!$S$4:$S$433,MATCH($C238,'PORTIFÓLIO'!$C$4:$C$433,0)),"")</f>
        <v/>
      </c>
      <c r="M238" s="220"/>
      <c r="N238" s="220"/>
      <c r="O238" s="220"/>
      <c r="P238" s="220"/>
      <c r="Q238" s="220"/>
      <c r="R238" s="220"/>
      <c r="S238" s="220"/>
      <c r="T238" s="220"/>
      <c r="U238" s="220"/>
      <c r="V238" s="220"/>
      <c r="W238" s="220"/>
    </row>
    <row r="239" ht="15.75" customHeight="1" outlineLevel="1">
      <c r="A239" s="211"/>
      <c r="B239" s="212"/>
      <c r="C239" s="213"/>
      <c r="D239" s="214" t="str">
        <f>IFERROR(VLOOKUP($C239,'PORTIFÓLIO'!C:V,2,0),"")</f>
        <v/>
      </c>
      <c r="E239" s="211" t="str">
        <f>IFERROR(VLOOKUP($C239,'PORTIFÓLIO'!C:V,3,0),"")</f>
        <v/>
      </c>
      <c r="F239" s="211" t="str">
        <f>IFERROR(VLOOKUP($C239,'PORTIFÓLIO'!C:V,4,0),"")</f>
        <v/>
      </c>
      <c r="G239" s="215" t="str">
        <f>IFERROR(VLOOKUP($C239,'PORTIFÓLIO'!C:V,5,0),"")</f>
        <v/>
      </c>
      <c r="H239" s="254" t="str">
        <f t="array" ref="H239">IFERROR(INDEX('PORTIFÓLIO'!$H$4:$H$433,MATCH($C239,'PORTIFÓLIO'!$C$4:$C$433,0)),"")</f>
        <v/>
      </c>
      <c r="I239" s="255"/>
      <c r="J239" s="218">
        <f t="shared" si="27"/>
        <v>0</v>
      </c>
      <c r="K239" s="219" t="str">
        <f t="array" ref="K239">IFERROR(I239*INDEX('PORTIFÓLIO'!$S$4:$S$433,MATCH($C239,'PORTIFÓLIO'!$C$4:$C$433,0)),"")</f>
        <v/>
      </c>
      <c r="L239" s="219" t="str">
        <f t="array" ref="L239">IFERROR(J239*INDEX('PORTIFÓLIO'!$S$4:$S$433,MATCH($C239,'PORTIFÓLIO'!$C$4:$C$433,0)),"")</f>
        <v/>
      </c>
      <c r="M239" s="220"/>
      <c r="N239" s="220"/>
      <c r="O239" s="220"/>
      <c r="P239" s="220"/>
      <c r="Q239" s="220"/>
      <c r="R239" s="220"/>
      <c r="S239" s="220"/>
      <c r="T239" s="220"/>
      <c r="U239" s="220"/>
      <c r="V239" s="220"/>
      <c r="W239" s="220"/>
    </row>
    <row r="240" ht="15.75" customHeight="1" outlineLevel="1">
      <c r="A240" s="211"/>
      <c r="B240" s="212"/>
      <c r="C240" s="213"/>
      <c r="D240" s="214" t="str">
        <f>IFERROR(VLOOKUP($C240,'PORTIFÓLIO'!C:V,2,0),"")</f>
        <v/>
      </c>
      <c r="E240" s="211" t="str">
        <f>IFERROR(VLOOKUP($C240,'PORTIFÓLIO'!C:V,3,0),"")</f>
        <v/>
      </c>
      <c r="F240" s="211" t="str">
        <f>IFERROR(VLOOKUP($C240,'PORTIFÓLIO'!C:V,4,0),"")</f>
        <v/>
      </c>
      <c r="G240" s="215" t="str">
        <f>IFERROR(VLOOKUP($C240,'PORTIFÓLIO'!C:V,5,0),"")</f>
        <v/>
      </c>
      <c r="H240" s="254" t="str">
        <f t="array" ref="H240">IFERROR(INDEX('PORTIFÓLIO'!$H$4:$H$433,MATCH($C240,'PORTIFÓLIO'!$C$4:$C$433,0)),"")</f>
        <v/>
      </c>
      <c r="I240" s="256"/>
      <c r="J240" s="218">
        <f t="shared" si="27"/>
        <v>0</v>
      </c>
      <c r="K240" s="219" t="str">
        <f t="array" ref="K240">IFERROR(I240*INDEX('PORTIFÓLIO'!$S$4:$S$433,MATCH($C240,'PORTIFÓLIO'!$C$4:$C$433,0)),"")</f>
        <v/>
      </c>
      <c r="L240" s="219" t="str">
        <f t="array" ref="L240">IFERROR(J240*INDEX('PORTIFÓLIO'!$S$4:$S$433,MATCH($C240,'PORTIFÓLIO'!$C$4:$C$433,0)),"")</f>
        <v/>
      </c>
      <c r="M240" s="220"/>
      <c r="N240" s="220"/>
      <c r="O240" s="220"/>
      <c r="P240" s="220"/>
      <c r="Q240" s="220"/>
      <c r="R240" s="220"/>
      <c r="S240" s="220"/>
      <c r="T240" s="220"/>
      <c r="U240" s="220"/>
      <c r="V240" s="220"/>
      <c r="W240" s="220"/>
    </row>
    <row r="241" ht="15.75" customHeight="1" outlineLevel="1">
      <c r="A241" s="211"/>
      <c r="B241" s="212"/>
      <c r="C241" s="213"/>
      <c r="D241" s="214" t="str">
        <f>IFERROR(VLOOKUP($C241,'PORTIFÓLIO'!C:V,2,0),"")</f>
        <v/>
      </c>
      <c r="E241" s="211" t="str">
        <f>IFERROR(VLOOKUP($C241,'PORTIFÓLIO'!C:V,3,0),"")</f>
        <v/>
      </c>
      <c r="F241" s="211" t="str">
        <f>IFERROR(VLOOKUP($C241,'PORTIFÓLIO'!C:V,4,0),"")</f>
        <v/>
      </c>
      <c r="G241" s="215" t="str">
        <f>IFERROR(VLOOKUP($C241,'PORTIFÓLIO'!C:V,5,0),"")</f>
        <v/>
      </c>
      <c r="H241" s="254" t="str">
        <f t="array" ref="H241">IFERROR(INDEX('PORTIFÓLIO'!$H$4:$H$433,MATCH($C241,'PORTIFÓLIO'!$C$4:$C$433,0)),"")</f>
        <v/>
      </c>
      <c r="I241" s="256"/>
      <c r="J241" s="218">
        <f t="shared" si="27"/>
        <v>0</v>
      </c>
      <c r="K241" s="219" t="str">
        <f t="array" ref="K241">IFERROR(I241*INDEX('PORTIFÓLIO'!$S$4:$S$433,MATCH($C241,'PORTIFÓLIO'!$C$4:$C$433,0)),"")</f>
        <v/>
      </c>
      <c r="L241" s="219" t="str">
        <f t="array" ref="L241">IFERROR(J241*INDEX('PORTIFÓLIO'!$S$4:$S$433,MATCH($C241,'PORTIFÓLIO'!$C$4:$C$433,0)),"")</f>
        <v/>
      </c>
      <c r="M241" s="220"/>
      <c r="N241" s="220"/>
      <c r="O241" s="220"/>
      <c r="P241" s="220"/>
      <c r="Q241" s="220"/>
      <c r="R241" s="220"/>
      <c r="S241" s="220"/>
      <c r="T241" s="220"/>
      <c r="U241" s="220"/>
      <c r="V241" s="220"/>
      <c r="W241" s="220"/>
    </row>
    <row r="242" ht="15.75" customHeight="1" outlineLevel="1">
      <c r="A242" s="211"/>
      <c r="B242" s="212"/>
      <c r="C242" s="213"/>
      <c r="D242" s="214" t="str">
        <f>IFERROR(VLOOKUP($C242,'PORTIFÓLIO'!C:V,2,0),"")</f>
        <v/>
      </c>
      <c r="E242" s="211" t="str">
        <f>IFERROR(VLOOKUP($C242,'PORTIFÓLIO'!C:V,3,0),"")</f>
        <v/>
      </c>
      <c r="F242" s="211" t="str">
        <f>IFERROR(VLOOKUP($C242,'PORTIFÓLIO'!C:V,4,0),"")</f>
        <v/>
      </c>
      <c r="G242" s="215" t="str">
        <f>IFERROR(VLOOKUP($C242,'PORTIFÓLIO'!C:V,5,0),"")</f>
        <v/>
      </c>
      <c r="H242" s="254" t="str">
        <f t="array" ref="H242">IFERROR(INDEX('PORTIFÓLIO'!$H$4:$H$433,MATCH($C242,'PORTIFÓLIO'!$C$4:$C$433,0)),"")</f>
        <v/>
      </c>
      <c r="I242" s="255"/>
      <c r="J242" s="218">
        <f t="shared" si="27"/>
        <v>0</v>
      </c>
      <c r="K242" s="219" t="str">
        <f t="array" ref="K242">IFERROR(I242*INDEX('PORTIFÓLIO'!$S$4:$S$433,MATCH($C242,'PORTIFÓLIO'!$C$4:$C$433,0)),"")</f>
        <v/>
      </c>
      <c r="L242" s="219" t="str">
        <f t="array" ref="L242">IFERROR(J242*INDEX('PORTIFÓLIO'!$S$4:$S$433,MATCH($C242,'PORTIFÓLIO'!$C$4:$C$433,0)),"")</f>
        <v/>
      </c>
      <c r="M242" s="220"/>
      <c r="N242" s="220"/>
      <c r="O242" s="220"/>
      <c r="P242" s="220"/>
      <c r="Q242" s="220"/>
      <c r="R242" s="220"/>
      <c r="S242" s="220"/>
      <c r="T242" s="220"/>
      <c r="U242" s="220"/>
      <c r="V242" s="220"/>
      <c r="W242" s="220"/>
    </row>
    <row r="243" ht="15.75" customHeight="1" outlineLevel="1">
      <c r="A243" s="211"/>
      <c r="B243" s="212"/>
      <c r="C243" s="213"/>
      <c r="D243" s="214" t="str">
        <f>IFERROR(VLOOKUP($C243,'PORTIFÓLIO'!C:V,2,0),"")</f>
        <v/>
      </c>
      <c r="E243" s="211" t="str">
        <f>IFERROR(VLOOKUP($C243,'PORTIFÓLIO'!C:V,3,0),"")</f>
        <v/>
      </c>
      <c r="F243" s="211" t="str">
        <f>IFERROR(VLOOKUP($C243,'PORTIFÓLIO'!C:V,4,0),"")</f>
        <v/>
      </c>
      <c r="G243" s="215" t="str">
        <f>IFERROR(VLOOKUP($C243,'PORTIFÓLIO'!C:V,5,0),"")</f>
        <v/>
      </c>
      <c r="H243" s="254" t="str">
        <f t="array" ref="H243">IFERROR(INDEX('PORTIFÓLIO'!$H$4:$H$433,MATCH($C243,'PORTIFÓLIO'!$C$4:$C$433,0)),"")</f>
        <v/>
      </c>
      <c r="I243" s="256"/>
      <c r="J243" s="218">
        <f t="shared" si="27"/>
        <v>0</v>
      </c>
      <c r="K243" s="219" t="str">
        <f t="array" ref="K243">IFERROR(I243*INDEX('PORTIFÓLIO'!$S$4:$S$433,MATCH($C243,'PORTIFÓLIO'!$C$4:$C$433,0)),"")</f>
        <v/>
      </c>
      <c r="L243" s="219" t="str">
        <f t="array" ref="L243">IFERROR(J243*INDEX('PORTIFÓLIO'!$S$4:$S$433,MATCH($C243,'PORTIFÓLIO'!$C$4:$C$433,0)),"")</f>
        <v/>
      </c>
      <c r="M243" s="220"/>
      <c r="N243" s="220"/>
      <c r="O243" s="220"/>
      <c r="P243" s="220"/>
      <c r="Q243" s="220"/>
      <c r="R243" s="220"/>
      <c r="S243" s="220"/>
      <c r="T243" s="220"/>
      <c r="U243" s="220"/>
      <c r="V243" s="220"/>
      <c r="W243" s="220"/>
    </row>
    <row r="244" ht="15.75" customHeight="1" outlineLevel="1">
      <c r="A244" s="211"/>
      <c r="B244" s="212"/>
      <c r="C244" s="213"/>
      <c r="D244" s="214" t="str">
        <f>IFERROR(VLOOKUP($C244,'PORTIFÓLIO'!C:V,2,0),"")</f>
        <v/>
      </c>
      <c r="E244" s="211" t="str">
        <f>IFERROR(VLOOKUP($C244,'PORTIFÓLIO'!C:V,3,0),"")</f>
        <v/>
      </c>
      <c r="F244" s="211" t="str">
        <f>IFERROR(VLOOKUP($C244,'PORTIFÓLIO'!C:V,4,0),"")</f>
        <v/>
      </c>
      <c r="G244" s="215" t="str">
        <f>IFERROR(VLOOKUP($C244,'PORTIFÓLIO'!C:V,5,0),"")</f>
        <v/>
      </c>
      <c r="H244" s="254" t="str">
        <f t="array" ref="H244">IFERROR(INDEX('PORTIFÓLIO'!$H$4:$H$433,MATCH($C244,'PORTIFÓLIO'!$C$4:$C$433,0)),"")</f>
        <v/>
      </c>
      <c r="I244" s="256"/>
      <c r="J244" s="218">
        <f t="shared" si="27"/>
        <v>0</v>
      </c>
      <c r="K244" s="219" t="str">
        <f t="array" ref="K244">IFERROR(I244*INDEX('PORTIFÓLIO'!$S$4:$S$433,MATCH($C244,'PORTIFÓLIO'!$C$4:$C$433,0)),"")</f>
        <v/>
      </c>
      <c r="L244" s="219" t="str">
        <f t="array" ref="L244">IFERROR(J244*INDEX('PORTIFÓLIO'!$S$4:$S$433,MATCH($C244,'PORTIFÓLIO'!$C$4:$C$433,0)),"")</f>
        <v/>
      </c>
      <c r="M244" s="220"/>
      <c r="N244" s="220"/>
      <c r="O244" s="220"/>
      <c r="P244" s="220"/>
      <c r="Q244" s="220"/>
      <c r="R244" s="220"/>
      <c r="S244" s="220"/>
      <c r="T244" s="220"/>
      <c r="U244" s="220"/>
      <c r="V244" s="220"/>
      <c r="W244" s="220"/>
    </row>
    <row r="245" ht="15.75" customHeight="1" outlineLevel="1">
      <c r="A245" s="211"/>
      <c r="B245" s="212"/>
      <c r="C245" s="213"/>
      <c r="D245" s="214" t="str">
        <f>IFERROR(VLOOKUP($C245,'PORTIFÓLIO'!C:V,2,0),"")</f>
        <v/>
      </c>
      <c r="E245" s="211" t="str">
        <f>IFERROR(VLOOKUP($C245,'PORTIFÓLIO'!C:V,3,0),"")</f>
        <v/>
      </c>
      <c r="F245" s="211" t="str">
        <f>IFERROR(VLOOKUP($C245,'PORTIFÓLIO'!C:V,4,0),"")</f>
        <v/>
      </c>
      <c r="G245" s="215" t="str">
        <f>IFERROR(VLOOKUP($C245,'PORTIFÓLIO'!C:V,5,0),"")</f>
        <v/>
      </c>
      <c r="H245" s="254" t="str">
        <f t="array" ref="H245">IFERROR(INDEX('PORTIFÓLIO'!$H$4:$H$433,MATCH($C245,'PORTIFÓLIO'!$C$4:$C$433,0)),"")</f>
        <v/>
      </c>
      <c r="I245" s="256"/>
      <c r="J245" s="218">
        <f t="shared" si="27"/>
        <v>0</v>
      </c>
      <c r="K245" s="219" t="str">
        <f t="array" ref="K245">IFERROR(I245*INDEX('PORTIFÓLIO'!$S$4:$S$433,MATCH($C245,'PORTIFÓLIO'!$C$4:$C$433,0)),"")</f>
        <v/>
      </c>
      <c r="L245" s="219" t="str">
        <f t="array" ref="L245">IFERROR(J245*INDEX('PORTIFÓLIO'!$S$4:$S$433,MATCH($C245,'PORTIFÓLIO'!$C$4:$C$433,0)),"")</f>
        <v/>
      </c>
      <c r="M245" s="220"/>
      <c r="N245" s="220"/>
      <c r="O245" s="220"/>
      <c r="P245" s="220"/>
      <c r="Q245" s="220"/>
      <c r="R245" s="220"/>
      <c r="S245" s="220"/>
      <c r="T245" s="220"/>
      <c r="U245" s="220"/>
      <c r="V245" s="220"/>
      <c r="W245" s="220"/>
    </row>
    <row r="246" ht="15.75" customHeight="1" outlineLevel="1">
      <c r="A246" s="211"/>
      <c r="B246" s="212"/>
      <c r="C246" s="213"/>
      <c r="D246" s="214" t="str">
        <f>IFERROR(VLOOKUP($C246,'PORTIFÓLIO'!C:V,2,0),"")</f>
        <v/>
      </c>
      <c r="E246" s="211" t="str">
        <f>IFERROR(VLOOKUP($C246,'PORTIFÓLIO'!C:V,3,0),"")</f>
        <v/>
      </c>
      <c r="F246" s="211" t="str">
        <f>IFERROR(VLOOKUP($C246,'PORTIFÓLIO'!C:V,4,0),"")</f>
        <v/>
      </c>
      <c r="G246" s="215" t="str">
        <f>IFERROR(VLOOKUP($C246,'PORTIFÓLIO'!C:V,5,0),"")</f>
        <v/>
      </c>
      <c r="H246" s="254" t="str">
        <f t="array" ref="H246">IFERROR(INDEX('PORTIFÓLIO'!$H$4:$H$433,MATCH($C246,'PORTIFÓLIO'!$C$4:$C$433,0)),"")</f>
        <v/>
      </c>
      <c r="I246" s="255"/>
      <c r="J246" s="218">
        <f t="shared" si="27"/>
        <v>0</v>
      </c>
      <c r="K246" s="219" t="str">
        <f t="array" ref="K246">IFERROR(I246*INDEX('PORTIFÓLIO'!$S$4:$S$433,MATCH($C246,'PORTIFÓLIO'!$C$4:$C$433,0)),"")</f>
        <v/>
      </c>
      <c r="L246" s="219" t="str">
        <f t="array" ref="L246">IFERROR(J246*INDEX('PORTIFÓLIO'!$S$4:$S$433,MATCH($C246,'PORTIFÓLIO'!$C$4:$C$433,0)),"")</f>
        <v/>
      </c>
      <c r="M246" s="220"/>
      <c r="N246" s="220"/>
      <c r="O246" s="220"/>
      <c r="P246" s="220"/>
      <c r="Q246" s="220"/>
      <c r="R246" s="220"/>
      <c r="S246" s="220"/>
      <c r="T246" s="220"/>
      <c r="U246" s="220"/>
      <c r="V246" s="220"/>
      <c r="W246" s="220"/>
    </row>
    <row r="247" ht="15.75" customHeight="1" outlineLevel="1">
      <c r="A247" s="211"/>
      <c r="B247" s="212"/>
      <c r="C247" s="213"/>
      <c r="D247" s="214" t="str">
        <f>IFERROR(VLOOKUP($C247,'PORTIFÓLIO'!C:V,2,0),"")</f>
        <v/>
      </c>
      <c r="E247" s="211" t="str">
        <f>IFERROR(VLOOKUP($C247,'PORTIFÓLIO'!C:V,3,0),"")</f>
        <v/>
      </c>
      <c r="F247" s="211" t="str">
        <f>IFERROR(VLOOKUP($C247,'PORTIFÓLIO'!C:V,4,0),"")</f>
        <v/>
      </c>
      <c r="G247" s="215" t="str">
        <f>IFERROR(VLOOKUP($C247,'PORTIFÓLIO'!C:V,5,0),"")</f>
        <v/>
      </c>
      <c r="H247" s="254" t="str">
        <f t="array" ref="H247">IFERROR(INDEX('PORTIFÓLIO'!$H$4:$H$433,MATCH($C247,'PORTIFÓLIO'!$C$4:$C$433,0)),"")</f>
        <v/>
      </c>
      <c r="I247" s="255"/>
      <c r="J247" s="218">
        <f t="shared" si="27"/>
        <v>0</v>
      </c>
      <c r="K247" s="219" t="str">
        <f t="array" ref="K247">IFERROR(I247*INDEX('PORTIFÓLIO'!$S$4:$S$433,MATCH($C247,'PORTIFÓLIO'!$C$4:$C$433,0)),"")</f>
        <v/>
      </c>
      <c r="L247" s="219" t="str">
        <f t="array" ref="L247">IFERROR(J247*INDEX('PORTIFÓLIO'!$S$4:$S$433,MATCH($C247,'PORTIFÓLIO'!$C$4:$C$433,0)),"")</f>
        <v/>
      </c>
      <c r="M247" s="220"/>
      <c r="N247" s="220"/>
      <c r="O247" s="220"/>
      <c r="P247" s="220"/>
      <c r="Q247" s="220"/>
      <c r="R247" s="220"/>
      <c r="S247" s="220"/>
      <c r="T247" s="220"/>
      <c r="U247" s="220"/>
      <c r="V247" s="220"/>
      <c r="W247" s="220"/>
    </row>
    <row r="248" ht="15.75" customHeight="1" outlineLevel="1">
      <c r="A248" s="211"/>
      <c r="B248" s="212"/>
      <c r="C248" s="213"/>
      <c r="D248" s="214" t="str">
        <f>IFERROR(VLOOKUP($C248,'PORTIFÓLIO'!C:V,2,0),"")</f>
        <v/>
      </c>
      <c r="E248" s="211" t="str">
        <f>IFERROR(VLOOKUP($C248,'PORTIFÓLIO'!C:V,3,0),"")</f>
        <v/>
      </c>
      <c r="F248" s="211" t="str">
        <f>IFERROR(VLOOKUP($C248,'PORTIFÓLIO'!C:V,4,0),"")</f>
        <v/>
      </c>
      <c r="G248" s="215" t="str">
        <f>IFERROR(VLOOKUP($C248,'PORTIFÓLIO'!C:V,5,0),"")</f>
        <v/>
      </c>
      <c r="H248" s="254" t="str">
        <f t="array" ref="H248">IFERROR(INDEX('PORTIFÓLIO'!$H$4:$H$433,MATCH($C248,'PORTIFÓLIO'!$C$4:$C$433,0)),"")</f>
        <v/>
      </c>
      <c r="I248" s="255"/>
      <c r="J248" s="218">
        <f t="shared" si="27"/>
        <v>0</v>
      </c>
      <c r="K248" s="219" t="str">
        <f t="array" ref="K248">IFERROR(I248*INDEX('PORTIFÓLIO'!$S$4:$S$433,MATCH($C248,'PORTIFÓLIO'!$C$4:$C$433,0)),"")</f>
        <v/>
      </c>
      <c r="L248" s="219" t="str">
        <f t="array" ref="L248">IFERROR(J248*INDEX('PORTIFÓLIO'!$S$4:$S$433,MATCH($C248,'PORTIFÓLIO'!$C$4:$C$433,0)),"")</f>
        <v/>
      </c>
      <c r="M248" s="220"/>
      <c r="N248" s="220"/>
      <c r="O248" s="220"/>
      <c r="P248" s="220"/>
      <c r="Q248" s="220"/>
      <c r="R248" s="220"/>
      <c r="S248" s="220"/>
      <c r="T248" s="220"/>
      <c r="U248" s="220"/>
      <c r="V248" s="220"/>
      <c r="W248" s="220"/>
    </row>
    <row r="249" ht="15.75" customHeight="1" outlineLevel="1">
      <c r="A249" s="211"/>
      <c r="B249" s="212"/>
      <c r="C249" s="213"/>
      <c r="D249" s="214" t="str">
        <f>IFERROR(VLOOKUP($C249,'PORTIFÓLIO'!C:V,2,0),"")</f>
        <v/>
      </c>
      <c r="E249" s="211" t="str">
        <f>IFERROR(VLOOKUP($C249,'PORTIFÓLIO'!C:V,3,0),"")</f>
        <v/>
      </c>
      <c r="F249" s="211" t="str">
        <f>IFERROR(VLOOKUP($C249,'PORTIFÓLIO'!C:V,4,0),"")</f>
        <v/>
      </c>
      <c r="G249" s="215" t="str">
        <f>IFERROR(VLOOKUP($C249,'PORTIFÓLIO'!C:V,5,0),"")</f>
        <v/>
      </c>
      <c r="H249" s="254" t="str">
        <f t="array" ref="H249">IFERROR(INDEX('PORTIFÓLIO'!$H$4:$H$433,MATCH($C249,'PORTIFÓLIO'!$C$4:$C$433,0)),"")</f>
        <v/>
      </c>
      <c r="I249" s="255"/>
      <c r="J249" s="218">
        <f t="shared" si="27"/>
        <v>0</v>
      </c>
      <c r="K249" s="219" t="str">
        <f t="array" ref="K249">IFERROR(I249*INDEX('PORTIFÓLIO'!$S$4:$S$433,MATCH($C249,'PORTIFÓLIO'!$C$4:$C$433,0)),"")</f>
        <v/>
      </c>
      <c r="L249" s="219" t="str">
        <f t="array" ref="L249">IFERROR(J249*INDEX('PORTIFÓLIO'!$S$4:$S$433,MATCH($C249,'PORTIFÓLIO'!$C$4:$C$433,0)),"")</f>
        <v/>
      </c>
      <c r="M249" s="220"/>
      <c r="N249" s="220"/>
      <c r="O249" s="220"/>
      <c r="P249" s="220"/>
      <c r="Q249" s="220"/>
      <c r="R249" s="220"/>
      <c r="S249" s="220"/>
      <c r="T249" s="220"/>
      <c r="U249" s="220"/>
      <c r="V249" s="220"/>
      <c r="W249" s="220"/>
    </row>
    <row r="250" ht="15.75" customHeight="1" outlineLevel="1">
      <c r="A250" s="211"/>
      <c r="B250" s="212"/>
      <c r="C250" s="213"/>
      <c r="D250" s="214" t="str">
        <f>IFERROR(VLOOKUP($C250,'PORTIFÓLIO'!C:V,2,0),"")</f>
        <v/>
      </c>
      <c r="E250" s="211" t="str">
        <f>IFERROR(VLOOKUP($C250,'PORTIFÓLIO'!C:V,3,0),"")</f>
        <v/>
      </c>
      <c r="F250" s="211" t="str">
        <f>IFERROR(VLOOKUP($C250,'PORTIFÓLIO'!C:V,4,0),"")</f>
        <v/>
      </c>
      <c r="G250" s="215" t="str">
        <f>IFERROR(VLOOKUP($C250,'PORTIFÓLIO'!C:V,5,0),"")</f>
        <v/>
      </c>
      <c r="H250" s="254" t="str">
        <f t="array" ref="H250">IFERROR(INDEX('PORTIFÓLIO'!$H$4:$H$433,MATCH($C250,'PORTIFÓLIO'!$C$4:$C$433,0)),"")</f>
        <v/>
      </c>
      <c r="I250" s="255"/>
      <c r="J250" s="218">
        <f t="shared" si="27"/>
        <v>0</v>
      </c>
      <c r="K250" s="219" t="str">
        <f t="array" ref="K250">IFERROR(I250*INDEX('PORTIFÓLIO'!$S$4:$S$433,MATCH($C250,'PORTIFÓLIO'!$C$4:$C$433,0)),"")</f>
        <v/>
      </c>
      <c r="L250" s="219" t="str">
        <f t="array" ref="L250">IFERROR(J250*INDEX('PORTIFÓLIO'!$S$4:$S$433,MATCH($C250,'PORTIFÓLIO'!$C$4:$C$433,0)),"")</f>
        <v/>
      </c>
      <c r="M250" s="220"/>
      <c r="N250" s="220"/>
      <c r="O250" s="220"/>
      <c r="P250" s="220"/>
      <c r="Q250" s="220"/>
      <c r="R250" s="220"/>
      <c r="S250" s="220"/>
      <c r="T250" s="220"/>
      <c r="U250" s="220"/>
      <c r="V250" s="220"/>
      <c r="W250" s="220"/>
    </row>
    <row r="251" ht="15.75" customHeight="1" outlineLevel="1">
      <c r="A251" s="211"/>
      <c r="B251" s="212"/>
      <c r="C251" s="213"/>
      <c r="D251" s="214" t="str">
        <f>IFERROR(VLOOKUP($C251,'PORTIFÓLIO'!C:V,2,0),"")</f>
        <v/>
      </c>
      <c r="E251" s="211" t="str">
        <f>IFERROR(VLOOKUP($C251,'PORTIFÓLIO'!C:V,3,0),"")</f>
        <v/>
      </c>
      <c r="F251" s="211" t="str">
        <f>IFERROR(VLOOKUP($C251,'PORTIFÓLIO'!C:V,4,0),"")</f>
        <v/>
      </c>
      <c r="G251" s="215" t="str">
        <f>IFERROR(VLOOKUP($C251,'PORTIFÓLIO'!C:V,5,0),"")</f>
        <v/>
      </c>
      <c r="H251" s="254" t="str">
        <f t="array" ref="H251">IFERROR(INDEX('PORTIFÓLIO'!$H$4:$H$433,MATCH($C251,'PORTIFÓLIO'!$C$4:$C$433,0)),"")</f>
        <v/>
      </c>
      <c r="I251" s="255"/>
      <c r="J251" s="218">
        <f t="shared" si="27"/>
        <v>0</v>
      </c>
      <c r="K251" s="219" t="str">
        <f t="array" ref="K251">IFERROR(I251*INDEX('PORTIFÓLIO'!$S$4:$S$433,MATCH($C251,'PORTIFÓLIO'!$C$4:$C$433,0)),"")</f>
        <v/>
      </c>
      <c r="L251" s="219" t="str">
        <f t="array" ref="L251">IFERROR(J251*INDEX('PORTIFÓLIO'!$S$4:$S$433,MATCH($C251,'PORTIFÓLIO'!$C$4:$C$433,0)),"")</f>
        <v/>
      </c>
      <c r="M251" s="220"/>
      <c r="N251" s="220"/>
      <c r="O251" s="220"/>
      <c r="P251" s="220"/>
      <c r="Q251" s="220"/>
      <c r="R251" s="220"/>
      <c r="S251" s="220"/>
      <c r="T251" s="220"/>
      <c r="U251" s="220"/>
      <c r="V251" s="220"/>
      <c r="W251" s="220"/>
    </row>
    <row r="252" ht="15.75" customHeight="1">
      <c r="A252" s="229" t="s">
        <v>1184</v>
      </c>
      <c r="B252" s="230"/>
      <c r="C252" s="231"/>
      <c r="D252" s="232"/>
      <c r="E252" s="231"/>
      <c r="F252" s="231"/>
      <c r="G252" s="233"/>
      <c r="H252" s="233"/>
      <c r="I252" s="258"/>
      <c r="J252" s="236"/>
      <c r="K252" s="237">
        <f t="shared" ref="K252:L252" si="28">SUBTOTAL(9,K253:K266)</f>
        <v>0</v>
      </c>
      <c r="L252" s="237">
        <f t="shared" si="28"/>
        <v>0</v>
      </c>
      <c r="M252" s="220"/>
      <c r="N252" s="220"/>
      <c r="O252" s="220"/>
      <c r="P252" s="220"/>
      <c r="Q252" s="220"/>
      <c r="R252" s="220"/>
      <c r="S252" s="220"/>
      <c r="T252" s="220"/>
      <c r="U252" s="220"/>
      <c r="V252" s="220"/>
      <c r="W252" s="220"/>
    </row>
    <row r="253" ht="15.75" customHeight="1" outlineLevel="1">
      <c r="A253" s="213"/>
      <c r="B253" s="212"/>
      <c r="C253" s="213"/>
      <c r="D253" s="214" t="str">
        <f>IFERROR(VLOOKUP($C253,'PORTIFÓLIO'!C:V,2,0),"")</f>
        <v/>
      </c>
      <c r="E253" s="211" t="str">
        <f>IFERROR(VLOOKUP($C253,'PORTIFÓLIO'!C:V,3,0),"")</f>
        <v/>
      </c>
      <c r="F253" s="211" t="str">
        <f>IFERROR(VLOOKUP($C253,'PORTIFÓLIO'!C:V,4,0),"")</f>
        <v/>
      </c>
      <c r="G253" s="215" t="str">
        <f>IFERROR(VLOOKUP($C253,'PORTIFÓLIO'!C:V,5,0),"")</f>
        <v/>
      </c>
      <c r="H253" s="254" t="str">
        <f t="array" ref="H253">IFERROR(INDEX('PORTIFÓLIO'!$H$4:$H$433,MATCH($C253,'PORTIFÓLIO'!$C$4:$C$433,0)),"")</f>
        <v/>
      </c>
      <c r="I253" s="255"/>
      <c r="J253" s="218">
        <f t="shared" ref="J253:J270" si="29">I253*$B$2</f>
        <v>0</v>
      </c>
      <c r="K253" s="292" t="str">
        <f t="array" ref="K253">IFERROR(I253*INDEX('PORTIFÓLIO'!$S$4:$S$433,MATCH($C253,'PORTIFÓLIO'!$C$4:$C$433,0)),"")</f>
        <v/>
      </c>
      <c r="L253" s="292" t="str">
        <f t="array" ref="L253">IFERROR(J253*INDEX('PORTIFÓLIO'!$S$4:$S$433,MATCH($C253,'PORTIFÓLIO'!$C$4:$C$433,0)),"")</f>
        <v/>
      </c>
      <c r="M253" s="220"/>
      <c r="N253" s="220"/>
      <c r="O253" s="220"/>
      <c r="P253" s="220"/>
      <c r="Q253" s="220"/>
      <c r="R253" s="220"/>
      <c r="S253" s="220"/>
      <c r="T253" s="220"/>
      <c r="U253" s="220"/>
      <c r="V253" s="220"/>
      <c r="W253" s="220"/>
    </row>
    <row r="254" ht="15.75" customHeight="1" outlineLevel="1">
      <c r="A254" s="211"/>
      <c r="B254" s="212"/>
      <c r="C254" s="213"/>
      <c r="D254" s="214" t="str">
        <f>IFERROR(VLOOKUP($C254,'PORTIFÓLIO'!C:V,2,0),"")</f>
        <v/>
      </c>
      <c r="E254" s="211" t="str">
        <f>IFERROR(VLOOKUP($C254,'PORTIFÓLIO'!C:V,3,0),"")</f>
        <v/>
      </c>
      <c r="F254" s="211" t="str">
        <f>IFERROR(VLOOKUP($C254,'PORTIFÓLIO'!C:V,4,0),"")</f>
        <v/>
      </c>
      <c r="G254" s="215" t="str">
        <f>IFERROR(VLOOKUP($C254,'PORTIFÓLIO'!C:V,5,0),"")</f>
        <v/>
      </c>
      <c r="H254" s="254" t="str">
        <f t="array" ref="H254">IFERROR(INDEX('PORTIFÓLIO'!$H$4:$H$433,MATCH($C254,'PORTIFÓLIO'!$C$4:$C$433,0)),"")</f>
        <v/>
      </c>
      <c r="I254" s="255"/>
      <c r="J254" s="218">
        <f t="shared" si="29"/>
        <v>0</v>
      </c>
      <c r="K254" s="292" t="str">
        <f t="array" ref="K254">IFERROR(I254*INDEX('PORTIFÓLIO'!$S$4:$S$433,MATCH($C254,'PORTIFÓLIO'!$C$4:$C$433,0)),"")</f>
        <v/>
      </c>
      <c r="L254" s="292" t="str">
        <f t="array" ref="L254">IFERROR(J254*INDEX('PORTIFÓLIO'!$S$4:$S$433,MATCH($C254,'PORTIFÓLIO'!$C$4:$C$433,0)),"")</f>
        <v/>
      </c>
      <c r="M254" s="220"/>
      <c r="N254" s="220"/>
      <c r="O254" s="220"/>
      <c r="P254" s="220"/>
      <c r="Q254" s="220"/>
      <c r="R254" s="220"/>
      <c r="S254" s="220"/>
      <c r="T254" s="220"/>
      <c r="U254" s="220"/>
      <c r="V254" s="220"/>
      <c r="W254" s="220"/>
    </row>
    <row r="255" ht="15.75" customHeight="1" outlineLevel="1">
      <c r="A255" s="211"/>
      <c r="B255" s="212"/>
      <c r="C255" s="213"/>
      <c r="D255" s="214" t="str">
        <f>IFERROR(VLOOKUP($C255,'PORTIFÓLIO'!C:V,2,0),"")</f>
        <v/>
      </c>
      <c r="E255" s="211" t="str">
        <f>IFERROR(VLOOKUP($C255,'PORTIFÓLIO'!C:V,3,0),"")</f>
        <v/>
      </c>
      <c r="F255" s="211" t="str">
        <f>IFERROR(VLOOKUP($C255,'PORTIFÓLIO'!C:V,4,0),"")</f>
        <v/>
      </c>
      <c r="G255" s="215" t="str">
        <f>IFERROR(VLOOKUP($C255,'PORTIFÓLIO'!C:V,5,0),"")</f>
        <v/>
      </c>
      <c r="H255" s="254" t="str">
        <f t="array" ref="H255">IFERROR(INDEX('PORTIFÓLIO'!$H$4:$H$433,MATCH($C255,'PORTIFÓLIO'!$C$4:$C$433,0)),"")</f>
        <v/>
      </c>
      <c r="I255" s="256"/>
      <c r="J255" s="218">
        <f t="shared" si="29"/>
        <v>0</v>
      </c>
      <c r="K255" s="292" t="str">
        <f t="array" ref="K255">IFERROR(I255*INDEX('PORTIFÓLIO'!$S$4:$S$433,MATCH($C255,'PORTIFÓLIO'!$C$4:$C$433,0)),"")</f>
        <v/>
      </c>
      <c r="L255" s="292" t="str">
        <f t="array" ref="L255">IFERROR(J255*INDEX('PORTIFÓLIO'!$S$4:$S$433,MATCH($C255,'PORTIFÓLIO'!$C$4:$C$433,0)),"")</f>
        <v/>
      </c>
      <c r="M255" s="220"/>
      <c r="N255" s="220"/>
      <c r="O255" s="220"/>
      <c r="P255" s="220"/>
      <c r="Q255" s="220"/>
      <c r="R255" s="220"/>
      <c r="S255" s="220"/>
      <c r="T255" s="220"/>
      <c r="U255" s="220"/>
      <c r="V255" s="220"/>
      <c r="W255" s="220"/>
    </row>
    <row r="256" ht="15.75" customHeight="1" outlineLevel="1">
      <c r="A256" s="211"/>
      <c r="B256" s="212"/>
      <c r="C256" s="213"/>
      <c r="D256" s="214" t="str">
        <f>IFERROR(VLOOKUP($C256,'PORTIFÓLIO'!C:V,2,0),"")</f>
        <v/>
      </c>
      <c r="E256" s="211" t="str">
        <f>IFERROR(VLOOKUP($C256,'PORTIFÓLIO'!C:V,3,0),"")</f>
        <v/>
      </c>
      <c r="F256" s="211" t="str">
        <f>IFERROR(VLOOKUP($C256,'PORTIFÓLIO'!C:V,4,0),"")</f>
        <v/>
      </c>
      <c r="G256" s="215" t="str">
        <f>IFERROR(VLOOKUP($C256,'PORTIFÓLIO'!C:V,5,0),"")</f>
        <v/>
      </c>
      <c r="H256" s="254" t="str">
        <f t="array" ref="H256">IFERROR(INDEX('PORTIFÓLIO'!$H$4:$H$433,MATCH($C256,'PORTIFÓLIO'!$C$4:$C$433,0)),"")</f>
        <v/>
      </c>
      <c r="I256" s="255"/>
      <c r="J256" s="218">
        <f t="shared" si="29"/>
        <v>0</v>
      </c>
      <c r="K256" s="292" t="str">
        <f t="array" ref="K256">IFERROR(I256*INDEX('PORTIFÓLIO'!$S$4:$S$433,MATCH($C256,'PORTIFÓLIO'!$C$4:$C$433,0)),"")</f>
        <v/>
      </c>
      <c r="L256" s="292" t="str">
        <f t="array" ref="L256">IFERROR(J256*INDEX('PORTIFÓLIO'!$S$4:$S$433,MATCH($C256,'PORTIFÓLIO'!$C$4:$C$433,0)),"")</f>
        <v/>
      </c>
      <c r="M256" s="220"/>
      <c r="N256" s="220"/>
      <c r="O256" s="220"/>
      <c r="P256" s="220"/>
      <c r="Q256" s="220"/>
      <c r="R256" s="220"/>
      <c r="S256" s="220"/>
      <c r="T256" s="220"/>
      <c r="U256" s="220"/>
      <c r="V256" s="220"/>
      <c r="W256" s="220"/>
    </row>
    <row r="257" ht="15.75" customHeight="1" outlineLevel="1">
      <c r="A257" s="211"/>
      <c r="B257" s="212"/>
      <c r="C257" s="213"/>
      <c r="D257" s="214" t="str">
        <f>IFERROR(VLOOKUP($C257,'PORTIFÓLIO'!C:V,2,0),"")</f>
        <v/>
      </c>
      <c r="E257" s="211" t="str">
        <f>IFERROR(VLOOKUP($C257,'PORTIFÓLIO'!C:V,3,0),"")</f>
        <v/>
      </c>
      <c r="F257" s="211" t="str">
        <f>IFERROR(VLOOKUP($C257,'PORTIFÓLIO'!C:V,4,0),"")</f>
        <v/>
      </c>
      <c r="G257" s="215" t="str">
        <f>IFERROR(VLOOKUP($C257,'PORTIFÓLIO'!C:V,5,0),"")</f>
        <v/>
      </c>
      <c r="H257" s="254" t="str">
        <f t="array" ref="H257">IFERROR(INDEX('PORTIFÓLIO'!$H$4:$H$433,MATCH($C257,'PORTIFÓLIO'!$C$4:$C$433,0)),"")</f>
        <v/>
      </c>
      <c r="I257" s="256"/>
      <c r="J257" s="218">
        <f t="shared" si="29"/>
        <v>0</v>
      </c>
      <c r="K257" s="292" t="str">
        <f t="array" ref="K257">IFERROR(I257*INDEX('PORTIFÓLIO'!$S$4:$S$433,MATCH($C257,'PORTIFÓLIO'!$C$4:$C$433,0)),"")</f>
        <v/>
      </c>
      <c r="L257" s="292" t="str">
        <f t="array" ref="L257">IFERROR(J257*INDEX('PORTIFÓLIO'!$S$4:$S$433,MATCH($C257,'PORTIFÓLIO'!$C$4:$C$433,0)),"")</f>
        <v/>
      </c>
      <c r="M257" s="220"/>
      <c r="N257" s="220"/>
      <c r="O257" s="220"/>
      <c r="P257" s="220"/>
      <c r="Q257" s="220"/>
      <c r="R257" s="220"/>
      <c r="S257" s="220"/>
      <c r="T257" s="220"/>
      <c r="U257" s="220"/>
      <c r="V257" s="220"/>
      <c r="W257" s="220"/>
    </row>
    <row r="258" ht="15.75" customHeight="1" outlineLevel="1">
      <c r="A258" s="211"/>
      <c r="B258" s="212"/>
      <c r="C258" s="213"/>
      <c r="D258" s="214" t="str">
        <f>IFERROR(VLOOKUP($C258,'PORTIFÓLIO'!C:V,2,0),"")</f>
        <v/>
      </c>
      <c r="E258" s="211" t="str">
        <f>IFERROR(VLOOKUP($C258,'PORTIFÓLIO'!C:V,3,0),"")</f>
        <v/>
      </c>
      <c r="F258" s="211" t="str">
        <f>IFERROR(VLOOKUP($C258,'PORTIFÓLIO'!C:V,4,0),"")</f>
        <v/>
      </c>
      <c r="G258" s="215" t="str">
        <f>IFERROR(VLOOKUP($C258,'PORTIFÓLIO'!C:V,5,0),"")</f>
        <v/>
      </c>
      <c r="H258" s="254" t="str">
        <f t="array" ref="H258">IFERROR(INDEX('PORTIFÓLIO'!$H$4:$H$433,MATCH($C258,'PORTIFÓLIO'!$C$4:$C$433,0)),"")</f>
        <v/>
      </c>
      <c r="I258" s="256"/>
      <c r="J258" s="218">
        <f t="shared" si="29"/>
        <v>0</v>
      </c>
      <c r="K258" s="292" t="str">
        <f t="array" ref="K258">IFERROR(I258*INDEX('PORTIFÓLIO'!$S$4:$S$433,MATCH($C258,'PORTIFÓLIO'!$C$4:$C$433,0)),"")</f>
        <v/>
      </c>
      <c r="L258" s="292" t="str">
        <f t="array" ref="L258">IFERROR(J258*INDEX('PORTIFÓLIO'!$S$4:$S$433,MATCH($C258,'PORTIFÓLIO'!$C$4:$C$433,0)),"")</f>
        <v/>
      </c>
      <c r="M258" s="220"/>
      <c r="N258" s="220"/>
      <c r="O258" s="220"/>
      <c r="P258" s="220"/>
      <c r="Q258" s="220"/>
      <c r="R258" s="220"/>
      <c r="S258" s="220"/>
      <c r="T258" s="220"/>
      <c r="U258" s="220"/>
      <c r="V258" s="220"/>
      <c r="W258" s="220"/>
    </row>
    <row r="259" ht="15.75" customHeight="1" outlineLevel="1">
      <c r="A259" s="211"/>
      <c r="B259" s="212"/>
      <c r="C259" s="213"/>
      <c r="D259" s="214" t="str">
        <f>IFERROR(VLOOKUP($C259,'PORTIFÓLIO'!C:V,2,0),"")</f>
        <v/>
      </c>
      <c r="E259" s="211" t="str">
        <f>IFERROR(VLOOKUP($C259,'PORTIFÓLIO'!C:V,3,0),"")</f>
        <v/>
      </c>
      <c r="F259" s="211" t="str">
        <f>IFERROR(VLOOKUP($C259,'PORTIFÓLIO'!C:V,4,0),"")</f>
        <v/>
      </c>
      <c r="G259" s="215" t="str">
        <f>IFERROR(VLOOKUP($C259,'PORTIFÓLIO'!C:V,5,0),"")</f>
        <v/>
      </c>
      <c r="H259" s="254" t="str">
        <f t="array" ref="H259">IFERROR(INDEX('PORTIFÓLIO'!$H$4:$H$433,MATCH($C259,'PORTIFÓLIO'!$C$4:$C$433,0)),"")</f>
        <v/>
      </c>
      <c r="I259" s="256"/>
      <c r="J259" s="218">
        <f t="shared" si="29"/>
        <v>0</v>
      </c>
      <c r="K259" s="292" t="str">
        <f t="array" ref="K259">IFERROR(I259*INDEX('PORTIFÓLIO'!$S$4:$S$433,MATCH($C259,'PORTIFÓLIO'!$C$4:$C$433,0)),"")</f>
        <v/>
      </c>
      <c r="L259" s="292" t="str">
        <f t="array" ref="L259">IFERROR(J259*INDEX('PORTIFÓLIO'!$S$4:$S$433,MATCH($C259,'PORTIFÓLIO'!$C$4:$C$433,0)),"")</f>
        <v/>
      </c>
      <c r="M259" s="220"/>
      <c r="N259" s="220"/>
      <c r="O259" s="220"/>
      <c r="P259" s="220"/>
      <c r="Q259" s="220"/>
      <c r="R259" s="220"/>
      <c r="S259" s="220"/>
      <c r="T259" s="220"/>
      <c r="U259" s="220"/>
      <c r="V259" s="220"/>
      <c r="W259" s="220"/>
    </row>
    <row r="260" ht="15.75" customHeight="1" outlineLevel="1">
      <c r="A260" s="211"/>
      <c r="B260" s="212"/>
      <c r="C260" s="213"/>
      <c r="D260" s="214" t="str">
        <f>IFERROR(VLOOKUP($C260,'PORTIFÓLIO'!C:V,2,0),"")</f>
        <v/>
      </c>
      <c r="E260" s="211" t="str">
        <f>IFERROR(VLOOKUP($C260,'PORTIFÓLIO'!C:V,3,0),"")</f>
        <v/>
      </c>
      <c r="F260" s="211" t="str">
        <f>IFERROR(VLOOKUP($C260,'PORTIFÓLIO'!C:V,4,0),"")</f>
        <v/>
      </c>
      <c r="G260" s="215" t="str">
        <f>IFERROR(VLOOKUP($C260,'PORTIFÓLIO'!C:V,5,0),"")</f>
        <v/>
      </c>
      <c r="H260" s="254" t="str">
        <f t="array" ref="H260">IFERROR(INDEX('PORTIFÓLIO'!$H$4:$H$433,MATCH($C260,'PORTIFÓLIO'!$C$4:$C$433,0)),"")</f>
        <v/>
      </c>
      <c r="I260" s="256"/>
      <c r="J260" s="218">
        <f t="shared" si="29"/>
        <v>0</v>
      </c>
      <c r="K260" s="292" t="str">
        <f t="array" ref="K260">IFERROR(I260*INDEX('PORTIFÓLIO'!$S$4:$S$433,MATCH($C260,'PORTIFÓLIO'!$C$4:$C$433,0)),"")</f>
        <v/>
      </c>
      <c r="L260" s="292" t="str">
        <f t="array" ref="L260">IFERROR(J260*INDEX('PORTIFÓLIO'!$S$4:$S$433,MATCH($C260,'PORTIFÓLIO'!$C$4:$C$433,0)),"")</f>
        <v/>
      </c>
      <c r="M260" s="220"/>
      <c r="N260" s="220"/>
      <c r="O260" s="220"/>
      <c r="P260" s="220"/>
      <c r="Q260" s="220"/>
      <c r="R260" s="220"/>
      <c r="S260" s="220"/>
      <c r="T260" s="220"/>
      <c r="U260" s="220"/>
      <c r="V260" s="220"/>
      <c r="W260" s="220"/>
    </row>
    <row r="261" ht="15.75" customHeight="1" outlineLevel="1">
      <c r="A261" s="211"/>
      <c r="B261" s="212"/>
      <c r="C261" s="213"/>
      <c r="D261" s="214" t="str">
        <f>IFERROR(VLOOKUP($C261,'PORTIFÓLIO'!C:V,2,0),"")</f>
        <v/>
      </c>
      <c r="E261" s="211" t="str">
        <f>IFERROR(VLOOKUP($C261,'PORTIFÓLIO'!C:V,3,0),"")</f>
        <v/>
      </c>
      <c r="F261" s="211" t="str">
        <f>IFERROR(VLOOKUP($C261,'PORTIFÓLIO'!C:V,4,0),"")</f>
        <v/>
      </c>
      <c r="G261" s="215" t="str">
        <f>IFERROR(VLOOKUP($C261,'PORTIFÓLIO'!C:V,5,0),"")</f>
        <v/>
      </c>
      <c r="H261" s="254" t="str">
        <f t="array" ref="H261">IFERROR(INDEX('PORTIFÓLIO'!$H$4:$H$433,MATCH($C261,'PORTIFÓLIO'!$C$4:$C$433,0)),"")</f>
        <v/>
      </c>
      <c r="I261" s="255"/>
      <c r="J261" s="218">
        <f t="shared" si="29"/>
        <v>0</v>
      </c>
      <c r="K261" s="292" t="str">
        <f t="array" ref="K261">IFERROR(I261*INDEX('PORTIFÓLIO'!$S$4:$S$433,MATCH($C261,'PORTIFÓLIO'!$C$4:$C$433,0)),"")</f>
        <v/>
      </c>
      <c r="L261" s="292" t="str">
        <f t="array" ref="L261">IFERROR(J261*INDEX('PORTIFÓLIO'!$S$4:$S$433,MATCH($C261,'PORTIFÓLIO'!$C$4:$C$433,0)),"")</f>
        <v/>
      </c>
      <c r="M261" s="220"/>
      <c r="N261" s="220"/>
      <c r="O261" s="220"/>
      <c r="P261" s="220"/>
      <c r="Q261" s="220"/>
      <c r="R261" s="220"/>
      <c r="S261" s="220"/>
      <c r="T261" s="220"/>
      <c r="U261" s="220"/>
      <c r="V261" s="220"/>
      <c r="W261" s="220"/>
    </row>
    <row r="262" ht="15.75" customHeight="1" outlineLevel="1">
      <c r="A262" s="211"/>
      <c r="B262" s="212"/>
      <c r="C262" s="213"/>
      <c r="D262" s="214" t="str">
        <f>IFERROR(VLOOKUP($C262,'PORTIFÓLIO'!C:V,2,0),"")</f>
        <v/>
      </c>
      <c r="E262" s="211" t="str">
        <f>IFERROR(VLOOKUP($C262,'PORTIFÓLIO'!C:V,3,0),"")</f>
        <v/>
      </c>
      <c r="F262" s="211" t="str">
        <f>IFERROR(VLOOKUP($C262,'PORTIFÓLIO'!C:V,4,0),"")</f>
        <v/>
      </c>
      <c r="G262" s="215" t="str">
        <f>IFERROR(VLOOKUP($C262,'PORTIFÓLIO'!C:V,5,0),"")</f>
        <v/>
      </c>
      <c r="H262" s="254" t="str">
        <f t="array" ref="H262">IFERROR(INDEX('PORTIFÓLIO'!$H$4:$H$433,MATCH($C262,'PORTIFÓLIO'!$C$4:$C$433,0)),"")</f>
        <v/>
      </c>
      <c r="I262" s="256"/>
      <c r="J262" s="218">
        <f t="shared" si="29"/>
        <v>0</v>
      </c>
      <c r="K262" s="292" t="str">
        <f t="array" ref="K262">IFERROR(I262*INDEX('PORTIFÓLIO'!$S$4:$S$433,MATCH($C262,'PORTIFÓLIO'!$C$4:$C$433,0)),"")</f>
        <v/>
      </c>
      <c r="L262" s="292" t="str">
        <f t="array" ref="L262">IFERROR(J262*INDEX('PORTIFÓLIO'!$S$4:$S$433,MATCH($C262,'PORTIFÓLIO'!$C$4:$C$433,0)),"")</f>
        <v/>
      </c>
      <c r="M262" s="220"/>
      <c r="N262" s="220"/>
      <c r="O262" s="220"/>
      <c r="P262" s="220"/>
      <c r="Q262" s="220"/>
      <c r="R262" s="220"/>
      <c r="S262" s="220"/>
      <c r="T262" s="220"/>
      <c r="U262" s="220"/>
      <c r="V262" s="220"/>
      <c r="W262" s="220"/>
    </row>
    <row r="263" ht="15.75" customHeight="1" outlineLevel="1">
      <c r="A263" s="211"/>
      <c r="B263" s="212"/>
      <c r="C263" s="213"/>
      <c r="D263" s="214" t="str">
        <f>IFERROR(VLOOKUP($C263,'PORTIFÓLIO'!C:V,2,0),"")</f>
        <v/>
      </c>
      <c r="E263" s="211" t="str">
        <f>IFERROR(VLOOKUP($C263,'PORTIFÓLIO'!C:V,3,0),"")</f>
        <v/>
      </c>
      <c r="F263" s="211" t="str">
        <f>IFERROR(VLOOKUP($C263,'PORTIFÓLIO'!C:V,4,0),"")</f>
        <v/>
      </c>
      <c r="G263" s="215" t="str">
        <f>IFERROR(VLOOKUP($C263,'PORTIFÓLIO'!C:V,5,0),"")</f>
        <v/>
      </c>
      <c r="H263" s="254" t="str">
        <f t="array" ref="H263">IFERROR(INDEX('PORTIFÓLIO'!$H$4:$H$433,MATCH($C263,'PORTIFÓLIO'!$C$4:$C$433,0)),"")</f>
        <v/>
      </c>
      <c r="I263" s="256"/>
      <c r="J263" s="218">
        <f t="shared" si="29"/>
        <v>0</v>
      </c>
      <c r="K263" s="292" t="str">
        <f t="array" ref="K263">IFERROR(I263*INDEX('PORTIFÓLIO'!$S$4:$S$433,MATCH($C263,'PORTIFÓLIO'!$C$4:$C$433,0)),"")</f>
        <v/>
      </c>
      <c r="L263" s="292" t="str">
        <f t="array" ref="L263">IFERROR(J263*INDEX('PORTIFÓLIO'!$S$4:$S$433,MATCH($C263,'PORTIFÓLIO'!$C$4:$C$433,0)),"")</f>
        <v/>
      </c>
      <c r="M263" s="220"/>
      <c r="N263" s="220"/>
      <c r="O263" s="220"/>
      <c r="P263" s="220"/>
      <c r="Q263" s="220"/>
      <c r="R263" s="220"/>
      <c r="S263" s="220"/>
      <c r="T263" s="220"/>
      <c r="U263" s="220"/>
      <c r="V263" s="220"/>
      <c r="W263" s="220"/>
    </row>
    <row r="264" ht="15.75" customHeight="1" outlineLevel="1">
      <c r="A264" s="211"/>
      <c r="B264" s="212"/>
      <c r="C264" s="213"/>
      <c r="D264" s="214" t="str">
        <f>IFERROR(VLOOKUP($C264,'PORTIFÓLIO'!C:V,2,0),"")</f>
        <v/>
      </c>
      <c r="E264" s="211" t="str">
        <f>IFERROR(VLOOKUP($C264,'PORTIFÓLIO'!C:V,3,0),"")</f>
        <v/>
      </c>
      <c r="F264" s="211" t="str">
        <f>IFERROR(VLOOKUP($C264,'PORTIFÓLIO'!C:V,4,0),"")</f>
        <v/>
      </c>
      <c r="G264" s="215" t="str">
        <f>IFERROR(VLOOKUP($C264,'PORTIFÓLIO'!C:V,5,0),"")</f>
        <v/>
      </c>
      <c r="H264" s="254" t="str">
        <f t="array" ref="H264">IFERROR(INDEX('PORTIFÓLIO'!$H$4:$H$433,MATCH($C264,'PORTIFÓLIO'!$C$4:$C$433,0)),"")</f>
        <v/>
      </c>
      <c r="I264" s="256"/>
      <c r="J264" s="218">
        <f t="shared" si="29"/>
        <v>0</v>
      </c>
      <c r="K264" s="292" t="str">
        <f t="array" ref="K264">IFERROR(I264*INDEX('PORTIFÓLIO'!$S$4:$S$433,MATCH($C264,'PORTIFÓLIO'!$C$4:$C$433,0)),"")</f>
        <v/>
      </c>
      <c r="L264" s="292" t="str">
        <f t="array" ref="L264">IFERROR(J264*INDEX('PORTIFÓLIO'!$S$4:$S$433,MATCH($C264,'PORTIFÓLIO'!$C$4:$C$433,0)),"")</f>
        <v/>
      </c>
      <c r="M264" s="220"/>
      <c r="N264" s="220"/>
      <c r="O264" s="220"/>
      <c r="P264" s="220"/>
      <c r="Q264" s="220"/>
      <c r="R264" s="220"/>
      <c r="S264" s="220"/>
      <c r="T264" s="220"/>
      <c r="U264" s="220"/>
      <c r="V264" s="220"/>
      <c r="W264" s="220"/>
    </row>
    <row r="265" ht="15.75" customHeight="1" outlineLevel="1">
      <c r="A265" s="211"/>
      <c r="B265" s="212"/>
      <c r="C265" s="213"/>
      <c r="D265" s="214" t="str">
        <f>IFERROR(VLOOKUP($C265,'PORTIFÓLIO'!C:V,2,0),"")</f>
        <v/>
      </c>
      <c r="E265" s="211" t="str">
        <f>IFERROR(VLOOKUP($C265,'PORTIFÓLIO'!C:V,3,0),"")</f>
        <v/>
      </c>
      <c r="F265" s="211" t="str">
        <f>IFERROR(VLOOKUP($C265,'PORTIFÓLIO'!C:V,4,0),"")</f>
        <v/>
      </c>
      <c r="G265" s="215" t="str">
        <f>IFERROR(VLOOKUP($C265,'PORTIFÓLIO'!C:V,5,0),"")</f>
        <v/>
      </c>
      <c r="H265" s="254" t="str">
        <f t="array" ref="H265">IFERROR(INDEX('PORTIFÓLIO'!$H$4:$H$433,MATCH($C265,'PORTIFÓLIO'!$C$4:$C$433,0)),"")</f>
        <v/>
      </c>
      <c r="I265" s="256"/>
      <c r="J265" s="218">
        <f t="shared" si="29"/>
        <v>0</v>
      </c>
      <c r="K265" s="292" t="str">
        <f t="array" ref="K265">IFERROR(I265*INDEX('PORTIFÓLIO'!$S$4:$S$433,MATCH($C265,'PORTIFÓLIO'!$C$4:$C$433,0)),"")</f>
        <v/>
      </c>
      <c r="L265" s="292" t="str">
        <f t="array" ref="L265">IFERROR(J265*INDEX('PORTIFÓLIO'!$S$4:$S$433,MATCH($C265,'PORTIFÓLIO'!$C$4:$C$433,0)),"")</f>
        <v/>
      </c>
      <c r="M265" s="220"/>
      <c r="N265" s="220"/>
      <c r="O265" s="220"/>
      <c r="P265" s="220"/>
      <c r="Q265" s="220"/>
      <c r="R265" s="220"/>
      <c r="S265" s="220"/>
      <c r="T265" s="220"/>
      <c r="U265" s="220"/>
      <c r="V265" s="220"/>
      <c r="W265" s="220"/>
    </row>
    <row r="266" ht="15.75" customHeight="1" outlineLevel="1">
      <c r="A266" s="211"/>
      <c r="B266" s="212"/>
      <c r="C266" s="213"/>
      <c r="D266" s="214" t="str">
        <f>IFERROR(VLOOKUP($C266,'PORTIFÓLIO'!C:V,2,0),"")</f>
        <v/>
      </c>
      <c r="E266" s="211" t="str">
        <f>IFERROR(VLOOKUP($C266,'PORTIFÓLIO'!C:V,3,0),"")</f>
        <v/>
      </c>
      <c r="F266" s="211" t="str">
        <f>IFERROR(VLOOKUP($C266,'PORTIFÓLIO'!C:V,4,0),"")</f>
        <v/>
      </c>
      <c r="G266" s="215" t="str">
        <f>IFERROR(VLOOKUP($C266,'PORTIFÓLIO'!C:V,5,0),"")</f>
        <v/>
      </c>
      <c r="H266" s="254" t="str">
        <f t="array" ref="H266">IFERROR(INDEX('PORTIFÓLIO'!$H$4:$H$433,MATCH($C266,'PORTIFÓLIO'!$C$4:$C$433,0)),"")</f>
        <v/>
      </c>
      <c r="I266" s="256"/>
      <c r="J266" s="218">
        <f t="shared" si="29"/>
        <v>0</v>
      </c>
      <c r="K266" s="292" t="str">
        <f t="array" ref="K266">IFERROR(I266*INDEX('PORTIFÓLIO'!$S$4:$S$433,MATCH($C266,'PORTIFÓLIO'!$C$4:$C$433,0)),"")</f>
        <v/>
      </c>
      <c r="L266" s="292" t="str">
        <f t="array" ref="L266">IFERROR(J266*INDEX('PORTIFÓLIO'!$S$4:$S$433,MATCH($C266,'PORTIFÓLIO'!$C$4:$C$433,0)),"")</f>
        <v/>
      </c>
      <c r="M266" s="220"/>
      <c r="N266" s="220"/>
      <c r="O266" s="220"/>
      <c r="P266" s="220"/>
      <c r="Q266" s="220"/>
      <c r="R266" s="220"/>
      <c r="S266" s="220"/>
      <c r="T266" s="220"/>
      <c r="U266" s="220"/>
      <c r="V266" s="220"/>
      <c r="W266" s="220"/>
    </row>
    <row r="267" ht="15.75" customHeight="1" outlineLevel="1">
      <c r="A267" s="211"/>
      <c r="B267" s="212"/>
      <c r="C267" s="213"/>
      <c r="D267" s="214" t="str">
        <f>IFERROR(VLOOKUP($C267,'PORTIFÓLIO'!C:V,2,0),"")</f>
        <v/>
      </c>
      <c r="E267" s="211" t="str">
        <f>IFERROR(VLOOKUP($C267,'PORTIFÓLIO'!C:V,3,0),"")</f>
        <v/>
      </c>
      <c r="F267" s="211" t="str">
        <f>IFERROR(VLOOKUP($C267,'PORTIFÓLIO'!C:V,4,0),"")</f>
        <v/>
      </c>
      <c r="G267" s="215" t="str">
        <f>IFERROR(VLOOKUP($C267,'PORTIFÓLIO'!C:V,5,0),"")</f>
        <v/>
      </c>
      <c r="H267" s="254" t="str">
        <f t="array" ref="H267">IFERROR(INDEX('PORTIFÓLIO'!$H$4:$H$433,MATCH($C267,'PORTIFÓLIO'!$C$4:$C$433,0)),"")</f>
        <v/>
      </c>
      <c r="I267" s="256"/>
      <c r="J267" s="218">
        <f t="shared" si="29"/>
        <v>0</v>
      </c>
      <c r="K267" s="292" t="str">
        <f t="array" ref="K267">IFERROR(I267*INDEX('PORTIFÓLIO'!$S$4:$S$433,MATCH($C267,'PORTIFÓLIO'!$C$4:$C$433,0)),"")</f>
        <v/>
      </c>
      <c r="L267" s="292" t="str">
        <f t="array" ref="L267">IFERROR(J267*INDEX('PORTIFÓLIO'!$S$4:$S$433,MATCH($C267,'PORTIFÓLIO'!$C$4:$C$433,0)),"")</f>
        <v/>
      </c>
      <c r="M267" s="220"/>
      <c r="N267" s="220"/>
      <c r="O267" s="220"/>
      <c r="P267" s="220"/>
      <c r="Q267" s="220"/>
      <c r="R267" s="220"/>
      <c r="S267" s="220"/>
      <c r="T267" s="220"/>
      <c r="U267" s="220"/>
      <c r="V267" s="220"/>
      <c r="W267" s="220"/>
    </row>
    <row r="268" ht="15.75" customHeight="1" outlineLevel="1">
      <c r="A268" s="211"/>
      <c r="B268" s="212"/>
      <c r="C268" s="213"/>
      <c r="D268" s="214" t="str">
        <f>IFERROR(VLOOKUP($C268,'PORTIFÓLIO'!C:V,2,0),"")</f>
        <v/>
      </c>
      <c r="E268" s="211" t="str">
        <f>IFERROR(VLOOKUP($C268,'PORTIFÓLIO'!C:V,3,0),"")</f>
        <v/>
      </c>
      <c r="F268" s="211" t="str">
        <f>IFERROR(VLOOKUP($C268,'PORTIFÓLIO'!C:V,4,0),"")</f>
        <v/>
      </c>
      <c r="G268" s="215" t="str">
        <f>IFERROR(VLOOKUP($C268,'PORTIFÓLIO'!C:V,5,0),"")</f>
        <v/>
      </c>
      <c r="H268" s="254" t="str">
        <f t="array" ref="H268">IFERROR(INDEX('PORTIFÓLIO'!$H$4:$H$433,MATCH($C268,'PORTIFÓLIO'!$C$4:$C$433,0)),"")</f>
        <v/>
      </c>
      <c r="I268" s="256"/>
      <c r="J268" s="218">
        <f t="shared" si="29"/>
        <v>0</v>
      </c>
      <c r="K268" s="292" t="str">
        <f t="array" ref="K268">IFERROR(I268*INDEX('PORTIFÓLIO'!$S$4:$S$433,MATCH($C268,'PORTIFÓLIO'!$C$4:$C$433,0)),"")</f>
        <v/>
      </c>
      <c r="L268" s="292" t="str">
        <f t="array" ref="L268">IFERROR(J268*INDEX('PORTIFÓLIO'!$S$4:$S$433,MATCH($C268,'PORTIFÓLIO'!$C$4:$C$433,0)),"")</f>
        <v/>
      </c>
      <c r="M268" s="220"/>
      <c r="N268" s="220"/>
      <c r="O268" s="220"/>
      <c r="P268" s="220"/>
      <c r="Q268" s="220"/>
      <c r="R268" s="220"/>
      <c r="S268" s="220"/>
      <c r="T268" s="220"/>
      <c r="U268" s="220"/>
      <c r="V268" s="220"/>
      <c r="W268" s="220"/>
    </row>
    <row r="269" ht="15.75" customHeight="1" outlineLevel="1">
      <c r="A269" s="211"/>
      <c r="B269" s="212"/>
      <c r="C269" s="213"/>
      <c r="D269" s="214" t="str">
        <f>IFERROR(VLOOKUP($C269,'PORTIFÓLIO'!C:V,2,0),"")</f>
        <v/>
      </c>
      <c r="E269" s="211" t="str">
        <f>IFERROR(VLOOKUP($C269,'PORTIFÓLIO'!C:V,3,0),"")</f>
        <v/>
      </c>
      <c r="F269" s="211" t="str">
        <f>IFERROR(VLOOKUP($C269,'PORTIFÓLIO'!C:V,4,0),"")</f>
        <v/>
      </c>
      <c r="G269" s="215" t="str">
        <f>IFERROR(VLOOKUP($C269,'PORTIFÓLIO'!C:V,5,0),"")</f>
        <v/>
      </c>
      <c r="H269" s="254" t="str">
        <f t="array" ref="H269">IFERROR(INDEX('PORTIFÓLIO'!$H$4:$H$433,MATCH($C269,'PORTIFÓLIO'!$C$4:$C$433,0)),"")</f>
        <v/>
      </c>
      <c r="I269" s="256"/>
      <c r="J269" s="218">
        <f t="shared" si="29"/>
        <v>0</v>
      </c>
      <c r="K269" s="292" t="str">
        <f t="array" ref="K269">IFERROR(I269*INDEX('PORTIFÓLIO'!$S$4:$S$433,MATCH($C269,'PORTIFÓLIO'!$C$4:$C$433,0)),"")</f>
        <v/>
      </c>
      <c r="L269" s="292" t="str">
        <f t="array" ref="L269">IFERROR(J269*INDEX('PORTIFÓLIO'!$S$4:$S$433,MATCH($C269,'PORTIFÓLIO'!$C$4:$C$433,0)),"")</f>
        <v/>
      </c>
      <c r="M269" s="220"/>
      <c r="N269" s="220"/>
      <c r="O269" s="220"/>
      <c r="P269" s="220"/>
      <c r="Q269" s="220"/>
      <c r="R269" s="220"/>
      <c r="S269" s="220"/>
      <c r="T269" s="220"/>
      <c r="U269" s="220"/>
      <c r="V269" s="220"/>
      <c r="W269" s="220"/>
    </row>
    <row r="270" ht="15.75" customHeight="1" outlineLevel="1">
      <c r="A270" s="211"/>
      <c r="B270" s="212"/>
      <c r="C270" s="213"/>
      <c r="D270" s="214" t="str">
        <f>IFERROR(VLOOKUP($C270,'PORTIFÓLIO'!C:V,2,0),"")</f>
        <v/>
      </c>
      <c r="E270" s="211" t="str">
        <f>IFERROR(VLOOKUP($C270,'PORTIFÓLIO'!C:V,3,0),"")</f>
        <v/>
      </c>
      <c r="F270" s="211" t="str">
        <f>IFERROR(VLOOKUP($C270,'PORTIFÓLIO'!C:V,4,0),"")</f>
        <v/>
      </c>
      <c r="G270" s="215" t="str">
        <f>IFERROR(VLOOKUP($C270,'PORTIFÓLIO'!C:V,5,0),"")</f>
        <v/>
      </c>
      <c r="H270" s="254" t="str">
        <f t="array" ref="H270">IFERROR(INDEX('PORTIFÓLIO'!$H$4:$H$433,MATCH($C270,'PORTIFÓLIO'!$C$4:$C$433,0)),"")</f>
        <v/>
      </c>
      <c r="I270" s="256"/>
      <c r="J270" s="218">
        <f t="shared" si="29"/>
        <v>0</v>
      </c>
      <c r="K270" s="292" t="str">
        <f t="array" ref="K270">IFERROR(I270*INDEX('PORTIFÓLIO'!$S$4:$S$433,MATCH($C270,'PORTIFÓLIO'!$C$4:$C$433,0)),"")</f>
        <v/>
      </c>
      <c r="L270" s="292" t="str">
        <f t="array" ref="L270">IFERROR(J270*INDEX('PORTIFÓLIO'!$S$4:$S$433,MATCH($C270,'PORTIFÓLIO'!$C$4:$C$433,0)),"")</f>
        <v/>
      </c>
      <c r="M270" s="220"/>
      <c r="N270" s="220"/>
      <c r="O270" s="220"/>
      <c r="P270" s="220"/>
      <c r="Q270" s="220"/>
      <c r="R270" s="220"/>
      <c r="S270" s="220"/>
      <c r="T270" s="220"/>
      <c r="U270" s="220"/>
      <c r="V270" s="220"/>
      <c r="W270" s="220"/>
    </row>
    <row r="271" ht="15.75" customHeight="1">
      <c r="A271" s="229" t="s">
        <v>1185</v>
      </c>
      <c r="B271" s="230"/>
      <c r="C271" s="231"/>
      <c r="D271" s="232"/>
      <c r="E271" s="231"/>
      <c r="F271" s="231"/>
      <c r="G271" s="233"/>
      <c r="H271" s="233"/>
      <c r="I271" s="258"/>
      <c r="J271" s="236"/>
      <c r="K271" s="237">
        <f t="shared" ref="K271:L271" si="30">SUBTOTAL(9,K272:K285)</f>
        <v>0</v>
      </c>
      <c r="L271" s="237">
        <f t="shared" si="30"/>
        <v>0</v>
      </c>
      <c r="M271" s="220"/>
      <c r="N271" s="220"/>
      <c r="O271" s="220"/>
      <c r="P271" s="220"/>
      <c r="Q271" s="220"/>
      <c r="R271" s="220"/>
      <c r="S271" s="220"/>
      <c r="T271" s="220"/>
      <c r="U271" s="220"/>
      <c r="V271" s="220"/>
      <c r="W271" s="220"/>
    </row>
    <row r="272" ht="15.75" customHeight="1" outlineLevel="1">
      <c r="A272" s="213"/>
      <c r="B272" s="212"/>
      <c r="C272" s="213"/>
      <c r="D272" s="214" t="str">
        <f>IFERROR(VLOOKUP($C272,'PORTIFÓLIO'!C:V,2,0),"")</f>
        <v/>
      </c>
      <c r="E272" s="211" t="str">
        <f>IFERROR(VLOOKUP($C272,'PORTIFÓLIO'!C:V,3,0),"")</f>
        <v/>
      </c>
      <c r="F272" s="211" t="str">
        <f>IFERROR(VLOOKUP($C272,'PORTIFÓLIO'!C:V,4,0),"")</f>
        <v/>
      </c>
      <c r="G272" s="215" t="str">
        <f>IFERROR(VLOOKUP($C272,'PORTIFÓLIO'!C:V,5,0),"")</f>
        <v/>
      </c>
      <c r="H272" s="254" t="str">
        <f t="array" ref="H272">IFERROR(INDEX('PORTIFÓLIO'!$H$4:$H$433,MATCH($C272,'PORTIFÓLIO'!$C$4:$C$433,0)),"")</f>
        <v/>
      </c>
      <c r="I272" s="255"/>
      <c r="J272" s="218">
        <f t="shared" ref="J272:J289" si="31">I272*$B$2</f>
        <v>0</v>
      </c>
      <c r="K272" s="292" t="str">
        <f t="array" ref="K272">IFERROR(I272*INDEX('PORTIFÓLIO'!$S$4:$S$433,MATCH($C272,'PORTIFÓLIO'!$C$4:$C$433,0)),"")</f>
        <v/>
      </c>
      <c r="L272" s="292" t="str">
        <f t="array" ref="L272">IFERROR(J272*INDEX('PORTIFÓLIO'!$S$4:$S$433,MATCH($C272,'PORTIFÓLIO'!$C$4:$C$433,0)),"")</f>
        <v/>
      </c>
      <c r="M272" s="220"/>
      <c r="N272" s="220"/>
      <c r="O272" s="220"/>
      <c r="P272" s="220"/>
      <c r="Q272" s="220"/>
      <c r="R272" s="220"/>
      <c r="S272" s="220"/>
      <c r="T272" s="220"/>
      <c r="U272" s="220"/>
      <c r="V272" s="220"/>
      <c r="W272" s="220"/>
    </row>
    <row r="273" ht="15.75" customHeight="1" outlineLevel="1">
      <c r="A273" s="211"/>
      <c r="B273" s="212"/>
      <c r="C273" s="213"/>
      <c r="D273" s="214" t="str">
        <f>IFERROR(VLOOKUP($C273,'PORTIFÓLIO'!C:V,2,0),"")</f>
        <v/>
      </c>
      <c r="E273" s="211" t="str">
        <f>IFERROR(VLOOKUP($C273,'PORTIFÓLIO'!C:V,3,0),"")</f>
        <v/>
      </c>
      <c r="F273" s="211" t="str">
        <f>IFERROR(VLOOKUP($C273,'PORTIFÓLIO'!C:V,4,0),"")</f>
        <v/>
      </c>
      <c r="G273" s="215" t="str">
        <f>IFERROR(VLOOKUP($C273,'PORTIFÓLIO'!C:V,5,0),"")</f>
        <v/>
      </c>
      <c r="H273" s="254" t="str">
        <f t="array" ref="H273">IFERROR(INDEX('PORTIFÓLIO'!$H$4:$H$433,MATCH($C273,'PORTIFÓLIO'!$C$4:$C$433,0)),"")</f>
        <v/>
      </c>
      <c r="I273" s="256"/>
      <c r="J273" s="218">
        <f t="shared" si="31"/>
        <v>0</v>
      </c>
      <c r="K273" s="292" t="str">
        <f t="array" ref="K273">IFERROR(I273*INDEX('PORTIFÓLIO'!$S$4:$S$433,MATCH($C273,'PORTIFÓLIO'!$C$4:$C$433,0)),"")</f>
        <v/>
      </c>
      <c r="L273" s="292" t="str">
        <f t="array" ref="L273">IFERROR(J273*INDEX('PORTIFÓLIO'!$S$4:$S$433,MATCH($C273,'PORTIFÓLIO'!$C$4:$C$433,0)),"")</f>
        <v/>
      </c>
      <c r="M273" s="220"/>
      <c r="N273" s="220"/>
      <c r="O273" s="220"/>
      <c r="P273" s="220"/>
      <c r="Q273" s="220"/>
      <c r="R273" s="220"/>
      <c r="S273" s="220"/>
      <c r="T273" s="220"/>
      <c r="U273" s="220"/>
      <c r="V273" s="220"/>
      <c r="W273" s="220"/>
    </row>
    <row r="274" ht="15.75" customHeight="1" outlineLevel="1">
      <c r="A274" s="211"/>
      <c r="B274" s="212"/>
      <c r="C274" s="213"/>
      <c r="D274" s="214" t="str">
        <f>IFERROR(VLOOKUP($C274,'PORTIFÓLIO'!C:V,2,0),"")</f>
        <v/>
      </c>
      <c r="E274" s="211" t="str">
        <f>IFERROR(VLOOKUP($C274,'PORTIFÓLIO'!C:V,3,0),"")</f>
        <v/>
      </c>
      <c r="F274" s="211" t="str">
        <f>IFERROR(VLOOKUP($C274,'PORTIFÓLIO'!C:V,4,0),"")</f>
        <v/>
      </c>
      <c r="G274" s="215" t="str">
        <f>IFERROR(VLOOKUP($C274,'PORTIFÓLIO'!C:V,5,0),"")</f>
        <v/>
      </c>
      <c r="H274" s="254" t="str">
        <f t="array" ref="H274">IFERROR(INDEX('PORTIFÓLIO'!$H$4:$H$433,MATCH($C274,'PORTIFÓLIO'!$C$4:$C$433,0)),"")</f>
        <v/>
      </c>
      <c r="I274" s="256"/>
      <c r="J274" s="218">
        <f t="shared" si="31"/>
        <v>0</v>
      </c>
      <c r="K274" s="292" t="str">
        <f t="array" ref="K274">IFERROR(I274*INDEX('PORTIFÓLIO'!$S$4:$S$433,MATCH($C274,'PORTIFÓLIO'!$C$4:$C$433,0)),"")</f>
        <v/>
      </c>
      <c r="L274" s="292" t="str">
        <f t="array" ref="L274">IFERROR(J274*INDEX('PORTIFÓLIO'!$S$4:$S$433,MATCH($C274,'PORTIFÓLIO'!$C$4:$C$433,0)),"")</f>
        <v/>
      </c>
      <c r="M274" s="220"/>
      <c r="N274" s="220"/>
      <c r="O274" s="220"/>
      <c r="P274" s="220"/>
      <c r="Q274" s="220"/>
      <c r="R274" s="220"/>
      <c r="S274" s="220"/>
      <c r="T274" s="220"/>
      <c r="U274" s="220"/>
      <c r="V274" s="220"/>
      <c r="W274" s="220"/>
    </row>
    <row r="275" ht="15.75" customHeight="1" outlineLevel="1">
      <c r="A275" s="211"/>
      <c r="B275" s="212"/>
      <c r="C275" s="213"/>
      <c r="D275" s="214" t="str">
        <f>IFERROR(VLOOKUP($C275,'PORTIFÓLIO'!C:V,2,0),"")</f>
        <v/>
      </c>
      <c r="E275" s="211" t="str">
        <f>IFERROR(VLOOKUP($C275,'PORTIFÓLIO'!C:V,3,0),"")</f>
        <v/>
      </c>
      <c r="F275" s="211" t="str">
        <f>IFERROR(VLOOKUP($C275,'PORTIFÓLIO'!C:V,4,0),"")</f>
        <v/>
      </c>
      <c r="G275" s="215" t="str">
        <f>IFERROR(VLOOKUP($C275,'PORTIFÓLIO'!C:V,5,0),"")</f>
        <v/>
      </c>
      <c r="H275" s="254" t="str">
        <f t="array" ref="H275">IFERROR(INDEX('PORTIFÓLIO'!$H$4:$H$433,MATCH($C275,'PORTIFÓLIO'!$C$4:$C$433,0)),"")</f>
        <v/>
      </c>
      <c r="I275" s="256"/>
      <c r="J275" s="218">
        <f t="shared" si="31"/>
        <v>0</v>
      </c>
      <c r="K275" s="292" t="str">
        <f t="array" ref="K275">IFERROR(I275*INDEX('PORTIFÓLIO'!$S$4:$S$433,MATCH($C275,'PORTIFÓLIO'!$C$4:$C$433,0)),"")</f>
        <v/>
      </c>
      <c r="L275" s="292" t="str">
        <f t="array" ref="L275">IFERROR(J275*INDEX('PORTIFÓLIO'!$S$4:$S$433,MATCH($C275,'PORTIFÓLIO'!$C$4:$C$433,0)),"")</f>
        <v/>
      </c>
      <c r="M275" s="220"/>
      <c r="N275" s="220"/>
      <c r="O275" s="220"/>
      <c r="P275" s="220"/>
      <c r="Q275" s="220"/>
      <c r="R275" s="220"/>
      <c r="S275" s="220"/>
      <c r="T275" s="220"/>
      <c r="U275" s="220"/>
      <c r="V275" s="220"/>
      <c r="W275" s="220"/>
    </row>
    <row r="276" ht="15.75" customHeight="1" outlineLevel="1">
      <c r="A276" s="211"/>
      <c r="B276" s="212"/>
      <c r="C276" s="213"/>
      <c r="D276" s="214" t="str">
        <f>IFERROR(VLOOKUP($C276,'PORTIFÓLIO'!C:V,2,0),"")</f>
        <v/>
      </c>
      <c r="E276" s="211" t="str">
        <f>IFERROR(VLOOKUP($C276,'PORTIFÓLIO'!C:V,3,0),"")</f>
        <v/>
      </c>
      <c r="F276" s="211" t="str">
        <f>IFERROR(VLOOKUP($C276,'PORTIFÓLIO'!C:V,4,0),"")</f>
        <v/>
      </c>
      <c r="G276" s="215" t="str">
        <f>IFERROR(VLOOKUP($C276,'PORTIFÓLIO'!C:V,5,0),"")</f>
        <v/>
      </c>
      <c r="H276" s="254" t="str">
        <f t="array" ref="H276">IFERROR(INDEX('PORTIFÓLIO'!$H$4:$H$433,MATCH($C276,'PORTIFÓLIO'!$C$4:$C$433,0)),"")</f>
        <v/>
      </c>
      <c r="I276" s="256"/>
      <c r="J276" s="218">
        <f t="shared" si="31"/>
        <v>0</v>
      </c>
      <c r="K276" s="292" t="str">
        <f t="array" ref="K276">IFERROR(I276*INDEX('PORTIFÓLIO'!$S$4:$S$433,MATCH($C276,'PORTIFÓLIO'!$C$4:$C$433,0)),"")</f>
        <v/>
      </c>
      <c r="L276" s="292" t="str">
        <f t="array" ref="L276">IFERROR(J276*INDEX('PORTIFÓLIO'!$S$4:$S$433,MATCH($C276,'PORTIFÓLIO'!$C$4:$C$433,0)),"")</f>
        <v/>
      </c>
      <c r="M276" s="220"/>
      <c r="N276" s="220"/>
      <c r="O276" s="220"/>
      <c r="P276" s="220"/>
      <c r="Q276" s="220"/>
      <c r="R276" s="220"/>
      <c r="S276" s="220"/>
      <c r="T276" s="220"/>
      <c r="U276" s="220"/>
      <c r="V276" s="220"/>
      <c r="W276" s="220"/>
    </row>
    <row r="277" ht="15.75" customHeight="1" outlineLevel="1">
      <c r="A277" s="211"/>
      <c r="B277" s="212"/>
      <c r="C277" s="213"/>
      <c r="D277" s="214" t="str">
        <f>IFERROR(VLOOKUP($C277,'PORTIFÓLIO'!C:V,2,0),"")</f>
        <v/>
      </c>
      <c r="E277" s="211" t="str">
        <f>IFERROR(VLOOKUP($C277,'PORTIFÓLIO'!C:V,3,0),"")</f>
        <v/>
      </c>
      <c r="F277" s="211" t="str">
        <f>IFERROR(VLOOKUP($C277,'PORTIFÓLIO'!C:V,4,0),"")</f>
        <v/>
      </c>
      <c r="G277" s="215" t="str">
        <f>IFERROR(VLOOKUP($C277,'PORTIFÓLIO'!C:V,5,0),"")</f>
        <v/>
      </c>
      <c r="H277" s="254" t="str">
        <f t="array" ref="H277">IFERROR(INDEX('PORTIFÓLIO'!$H$4:$H$433,MATCH($C277,'PORTIFÓLIO'!$C$4:$C$433,0)),"")</f>
        <v/>
      </c>
      <c r="I277" s="256"/>
      <c r="J277" s="218">
        <f t="shared" si="31"/>
        <v>0</v>
      </c>
      <c r="K277" s="292" t="str">
        <f t="array" ref="K277">IFERROR(I277*INDEX('PORTIFÓLIO'!$S$4:$S$433,MATCH($C277,'PORTIFÓLIO'!$C$4:$C$433,0)),"")</f>
        <v/>
      </c>
      <c r="L277" s="292" t="str">
        <f t="array" ref="L277">IFERROR(J277*INDEX('PORTIFÓLIO'!$S$4:$S$433,MATCH($C277,'PORTIFÓLIO'!$C$4:$C$433,0)),"")</f>
        <v/>
      </c>
      <c r="M277" s="220"/>
      <c r="N277" s="220"/>
      <c r="O277" s="220"/>
      <c r="P277" s="220"/>
      <c r="Q277" s="220"/>
      <c r="R277" s="220"/>
      <c r="S277" s="220"/>
      <c r="T277" s="220"/>
      <c r="U277" s="220"/>
      <c r="V277" s="220"/>
      <c r="W277" s="220"/>
    </row>
    <row r="278" ht="15.75" customHeight="1" outlineLevel="1">
      <c r="A278" s="211"/>
      <c r="B278" s="212"/>
      <c r="C278" s="213"/>
      <c r="D278" s="214" t="str">
        <f>IFERROR(VLOOKUP($C278,'PORTIFÓLIO'!C:V,2,0),"")</f>
        <v/>
      </c>
      <c r="E278" s="211" t="str">
        <f>IFERROR(VLOOKUP($C278,'PORTIFÓLIO'!C:V,3,0),"")</f>
        <v/>
      </c>
      <c r="F278" s="211" t="str">
        <f>IFERROR(VLOOKUP($C278,'PORTIFÓLIO'!C:V,4,0),"")</f>
        <v/>
      </c>
      <c r="G278" s="215" t="str">
        <f>IFERROR(VLOOKUP($C278,'PORTIFÓLIO'!C:V,5,0),"")</f>
        <v/>
      </c>
      <c r="H278" s="254" t="str">
        <f t="array" ref="H278">IFERROR(INDEX('PORTIFÓLIO'!$H$4:$H$433,MATCH($C278,'PORTIFÓLIO'!$C$4:$C$433,0)),"")</f>
        <v/>
      </c>
      <c r="I278" s="256"/>
      <c r="J278" s="218">
        <f t="shared" si="31"/>
        <v>0</v>
      </c>
      <c r="K278" s="292" t="str">
        <f t="array" ref="K278">IFERROR(I278*INDEX('PORTIFÓLIO'!$S$4:$S$433,MATCH($C278,'PORTIFÓLIO'!$C$4:$C$433,0)),"")</f>
        <v/>
      </c>
      <c r="L278" s="292" t="str">
        <f t="array" ref="L278">IFERROR(J278*INDEX('PORTIFÓLIO'!$S$4:$S$433,MATCH($C278,'PORTIFÓLIO'!$C$4:$C$433,0)),"")</f>
        <v/>
      </c>
      <c r="M278" s="220"/>
      <c r="N278" s="220"/>
      <c r="O278" s="220"/>
      <c r="P278" s="220"/>
      <c r="Q278" s="220"/>
      <c r="R278" s="220"/>
      <c r="S278" s="220"/>
      <c r="T278" s="220"/>
      <c r="U278" s="220"/>
      <c r="V278" s="220"/>
      <c r="W278" s="220"/>
    </row>
    <row r="279" ht="15.75" customHeight="1" outlineLevel="1">
      <c r="A279" s="211"/>
      <c r="B279" s="212"/>
      <c r="C279" s="213"/>
      <c r="D279" s="214" t="str">
        <f>IFERROR(VLOOKUP($C279,'PORTIFÓLIO'!C:V,2,0),"")</f>
        <v/>
      </c>
      <c r="E279" s="211" t="str">
        <f>IFERROR(VLOOKUP($C279,'PORTIFÓLIO'!C:V,3,0),"")</f>
        <v/>
      </c>
      <c r="F279" s="211" t="str">
        <f>IFERROR(VLOOKUP($C279,'PORTIFÓLIO'!C:V,4,0),"")</f>
        <v/>
      </c>
      <c r="G279" s="215" t="str">
        <f>IFERROR(VLOOKUP($C279,'PORTIFÓLIO'!C:V,5,0),"")</f>
        <v/>
      </c>
      <c r="H279" s="254" t="str">
        <f t="array" ref="H279">IFERROR(INDEX('PORTIFÓLIO'!$H$4:$H$433,MATCH($C279,'PORTIFÓLIO'!$C$4:$C$433,0)),"")</f>
        <v/>
      </c>
      <c r="I279" s="256"/>
      <c r="J279" s="218">
        <f t="shared" si="31"/>
        <v>0</v>
      </c>
      <c r="K279" s="292" t="str">
        <f t="array" ref="K279">IFERROR(I279*INDEX('PORTIFÓLIO'!$S$4:$S$433,MATCH($C279,'PORTIFÓLIO'!$C$4:$C$433,0)),"")</f>
        <v/>
      </c>
      <c r="L279" s="292" t="str">
        <f t="array" ref="L279">IFERROR(J279*INDEX('PORTIFÓLIO'!$S$4:$S$433,MATCH($C279,'PORTIFÓLIO'!$C$4:$C$433,0)),"")</f>
        <v/>
      </c>
      <c r="M279" s="220"/>
      <c r="N279" s="220"/>
      <c r="O279" s="220"/>
      <c r="P279" s="220"/>
      <c r="Q279" s="220"/>
      <c r="R279" s="220"/>
      <c r="S279" s="220"/>
      <c r="T279" s="220"/>
      <c r="U279" s="220"/>
      <c r="V279" s="220"/>
      <c r="W279" s="220"/>
    </row>
    <row r="280" ht="15.75" customHeight="1" outlineLevel="1">
      <c r="A280" s="211"/>
      <c r="B280" s="212"/>
      <c r="C280" s="213"/>
      <c r="D280" s="214" t="str">
        <f>IFERROR(VLOOKUP($C280,'PORTIFÓLIO'!C:V,2,0),"")</f>
        <v/>
      </c>
      <c r="E280" s="211" t="str">
        <f>IFERROR(VLOOKUP($C280,'PORTIFÓLIO'!C:V,3,0),"")</f>
        <v/>
      </c>
      <c r="F280" s="211" t="str">
        <f>IFERROR(VLOOKUP($C280,'PORTIFÓLIO'!C:V,4,0),"")</f>
        <v/>
      </c>
      <c r="G280" s="215" t="str">
        <f>IFERROR(VLOOKUP($C280,'PORTIFÓLIO'!C:V,5,0),"")</f>
        <v/>
      </c>
      <c r="H280" s="254" t="str">
        <f t="array" ref="H280">IFERROR(INDEX('PORTIFÓLIO'!$H$4:$H$433,MATCH($C280,'PORTIFÓLIO'!$C$4:$C$433,0)),"")</f>
        <v/>
      </c>
      <c r="I280" s="255"/>
      <c r="J280" s="218">
        <f t="shared" si="31"/>
        <v>0</v>
      </c>
      <c r="K280" s="292" t="str">
        <f t="array" ref="K280">IFERROR(I280*INDEX('PORTIFÓLIO'!$S$4:$S$433,MATCH($C280,'PORTIFÓLIO'!$C$4:$C$433,0)),"")</f>
        <v/>
      </c>
      <c r="L280" s="292" t="str">
        <f t="array" ref="L280">IFERROR(J280*INDEX('PORTIFÓLIO'!$S$4:$S$433,MATCH($C280,'PORTIFÓLIO'!$C$4:$C$433,0)),"")</f>
        <v/>
      </c>
      <c r="M280" s="220"/>
      <c r="N280" s="220"/>
      <c r="O280" s="220"/>
      <c r="P280" s="220"/>
      <c r="Q280" s="220"/>
      <c r="R280" s="220"/>
      <c r="S280" s="220"/>
      <c r="T280" s="220"/>
      <c r="U280" s="220"/>
      <c r="V280" s="220"/>
      <c r="W280" s="220"/>
    </row>
    <row r="281" ht="15.75" customHeight="1" outlineLevel="1">
      <c r="A281" s="211"/>
      <c r="B281" s="212"/>
      <c r="C281" s="213"/>
      <c r="D281" s="214" t="str">
        <f>IFERROR(VLOOKUP($C281,'PORTIFÓLIO'!C:V,2,0),"")</f>
        <v/>
      </c>
      <c r="E281" s="211" t="str">
        <f>IFERROR(VLOOKUP($C281,'PORTIFÓLIO'!C:V,3,0),"")</f>
        <v/>
      </c>
      <c r="F281" s="211" t="str">
        <f>IFERROR(VLOOKUP($C281,'PORTIFÓLIO'!C:V,4,0),"")</f>
        <v/>
      </c>
      <c r="G281" s="215" t="str">
        <f>IFERROR(VLOOKUP($C281,'PORTIFÓLIO'!C:V,5,0),"")</f>
        <v/>
      </c>
      <c r="H281" s="254" t="str">
        <f t="array" ref="H281">IFERROR(INDEX('PORTIFÓLIO'!$H$4:$H$433,MATCH($C281,'PORTIFÓLIO'!$C$4:$C$433,0)),"")</f>
        <v/>
      </c>
      <c r="I281" s="256"/>
      <c r="J281" s="218">
        <f t="shared" si="31"/>
        <v>0</v>
      </c>
      <c r="K281" s="292" t="str">
        <f t="array" ref="K281">IFERROR(I281*INDEX('PORTIFÓLIO'!$S$4:$S$433,MATCH($C281,'PORTIFÓLIO'!$C$4:$C$433,0)),"")</f>
        <v/>
      </c>
      <c r="L281" s="292" t="str">
        <f t="array" ref="L281">IFERROR(J281*INDEX('PORTIFÓLIO'!$S$4:$S$433,MATCH($C281,'PORTIFÓLIO'!$C$4:$C$433,0)),"")</f>
        <v/>
      </c>
      <c r="M281" s="220"/>
      <c r="N281" s="220"/>
      <c r="O281" s="220"/>
      <c r="P281" s="220"/>
      <c r="Q281" s="220"/>
      <c r="R281" s="220"/>
      <c r="S281" s="220"/>
      <c r="T281" s="220"/>
      <c r="U281" s="220"/>
      <c r="V281" s="220"/>
      <c r="W281" s="220"/>
    </row>
    <row r="282" ht="15.75" customHeight="1" outlineLevel="1">
      <c r="A282" s="211"/>
      <c r="B282" s="212"/>
      <c r="C282" s="213"/>
      <c r="D282" s="214" t="str">
        <f>IFERROR(VLOOKUP($C282,'PORTIFÓLIO'!C:V,2,0),"")</f>
        <v/>
      </c>
      <c r="E282" s="211" t="str">
        <f>IFERROR(VLOOKUP($C282,'PORTIFÓLIO'!C:V,3,0),"")</f>
        <v/>
      </c>
      <c r="F282" s="211" t="str">
        <f>IFERROR(VLOOKUP($C282,'PORTIFÓLIO'!C:V,4,0),"")</f>
        <v/>
      </c>
      <c r="G282" s="215" t="str">
        <f>IFERROR(VLOOKUP($C282,'PORTIFÓLIO'!C:V,5,0),"")</f>
        <v/>
      </c>
      <c r="H282" s="254" t="str">
        <f t="array" ref="H282">IFERROR(INDEX('PORTIFÓLIO'!$H$4:$H$433,MATCH($C282,'PORTIFÓLIO'!$C$4:$C$433,0)),"")</f>
        <v/>
      </c>
      <c r="I282" s="256"/>
      <c r="J282" s="218">
        <f t="shared" si="31"/>
        <v>0</v>
      </c>
      <c r="K282" s="292" t="str">
        <f t="array" ref="K282">IFERROR(I282*INDEX('PORTIFÓLIO'!$S$4:$S$433,MATCH($C282,'PORTIFÓLIO'!$C$4:$C$433,0)),"")</f>
        <v/>
      </c>
      <c r="L282" s="292" t="str">
        <f t="array" ref="L282">IFERROR(J282*INDEX('PORTIFÓLIO'!$S$4:$S$433,MATCH($C282,'PORTIFÓLIO'!$C$4:$C$433,0)),"")</f>
        <v/>
      </c>
      <c r="M282" s="220"/>
      <c r="N282" s="220"/>
      <c r="O282" s="220"/>
      <c r="P282" s="220"/>
      <c r="Q282" s="220"/>
      <c r="R282" s="220"/>
      <c r="S282" s="220"/>
      <c r="T282" s="220"/>
      <c r="U282" s="220"/>
      <c r="V282" s="220"/>
      <c r="W282" s="220"/>
    </row>
    <row r="283" ht="15.75" customHeight="1" outlineLevel="1">
      <c r="A283" s="211"/>
      <c r="B283" s="212"/>
      <c r="C283" s="213"/>
      <c r="D283" s="214" t="str">
        <f>IFERROR(VLOOKUP($C283,'PORTIFÓLIO'!C:V,2,0),"")</f>
        <v/>
      </c>
      <c r="E283" s="211" t="str">
        <f>IFERROR(VLOOKUP($C283,'PORTIFÓLIO'!C:V,3,0),"")</f>
        <v/>
      </c>
      <c r="F283" s="211" t="str">
        <f>IFERROR(VLOOKUP($C283,'PORTIFÓLIO'!C:V,4,0),"")</f>
        <v/>
      </c>
      <c r="G283" s="215" t="str">
        <f>IFERROR(VLOOKUP($C283,'PORTIFÓLIO'!C:V,5,0),"")</f>
        <v/>
      </c>
      <c r="H283" s="254" t="str">
        <f t="array" ref="H283">IFERROR(INDEX('PORTIFÓLIO'!$H$4:$H$433,MATCH($C283,'PORTIFÓLIO'!$C$4:$C$433,0)),"")</f>
        <v/>
      </c>
      <c r="I283" s="256"/>
      <c r="J283" s="218">
        <f t="shared" si="31"/>
        <v>0</v>
      </c>
      <c r="K283" s="292" t="str">
        <f t="array" ref="K283">IFERROR(I283*INDEX('PORTIFÓLIO'!$S$4:$S$433,MATCH($C283,'PORTIFÓLIO'!$C$4:$C$433,0)),"")</f>
        <v/>
      </c>
      <c r="L283" s="292" t="str">
        <f t="array" ref="L283">IFERROR(J283*INDEX('PORTIFÓLIO'!$S$4:$S$433,MATCH($C283,'PORTIFÓLIO'!$C$4:$C$433,0)),"")</f>
        <v/>
      </c>
      <c r="M283" s="220"/>
      <c r="N283" s="220"/>
      <c r="O283" s="220"/>
      <c r="P283" s="220"/>
      <c r="Q283" s="220"/>
      <c r="R283" s="220"/>
      <c r="S283" s="220"/>
      <c r="T283" s="220"/>
      <c r="U283" s="220"/>
      <c r="V283" s="220"/>
      <c r="W283" s="220"/>
    </row>
    <row r="284" ht="15.75" customHeight="1" outlineLevel="1">
      <c r="A284" s="211"/>
      <c r="B284" s="212"/>
      <c r="C284" s="213"/>
      <c r="D284" s="214" t="str">
        <f>IFERROR(VLOOKUP($C284,'PORTIFÓLIO'!C:V,2,0),"")</f>
        <v/>
      </c>
      <c r="E284" s="211" t="str">
        <f>IFERROR(VLOOKUP($C284,'PORTIFÓLIO'!C:V,3,0),"")</f>
        <v/>
      </c>
      <c r="F284" s="211" t="str">
        <f>IFERROR(VLOOKUP($C284,'PORTIFÓLIO'!C:V,4,0),"")</f>
        <v/>
      </c>
      <c r="G284" s="215" t="str">
        <f>IFERROR(VLOOKUP($C284,'PORTIFÓLIO'!C:V,5,0),"")</f>
        <v/>
      </c>
      <c r="H284" s="254" t="str">
        <f t="array" ref="H284">IFERROR(INDEX('PORTIFÓLIO'!$H$4:$H$433,MATCH($C284,'PORTIFÓLIO'!$C$4:$C$433,0)),"")</f>
        <v/>
      </c>
      <c r="I284" s="256"/>
      <c r="J284" s="218">
        <f t="shared" si="31"/>
        <v>0</v>
      </c>
      <c r="K284" s="292" t="str">
        <f t="array" ref="K284">IFERROR(I284*INDEX('PORTIFÓLIO'!$S$4:$S$433,MATCH($C284,'PORTIFÓLIO'!$C$4:$C$433,0)),"")</f>
        <v/>
      </c>
      <c r="L284" s="292" t="str">
        <f t="array" ref="L284">IFERROR(J284*INDEX('PORTIFÓLIO'!$S$4:$S$433,MATCH($C284,'PORTIFÓLIO'!$C$4:$C$433,0)),"")</f>
        <v/>
      </c>
      <c r="M284" s="220"/>
      <c r="N284" s="220"/>
      <c r="O284" s="220"/>
      <c r="P284" s="220"/>
      <c r="Q284" s="220"/>
      <c r="R284" s="220"/>
      <c r="S284" s="220"/>
      <c r="T284" s="220"/>
      <c r="U284" s="220"/>
      <c r="V284" s="220"/>
      <c r="W284" s="220"/>
    </row>
    <row r="285" ht="15.75" customHeight="1" outlineLevel="1">
      <c r="A285" s="211"/>
      <c r="B285" s="212"/>
      <c r="C285" s="213"/>
      <c r="D285" s="214" t="str">
        <f>IFERROR(VLOOKUP($C285,'PORTIFÓLIO'!C:V,2,0),"")</f>
        <v/>
      </c>
      <c r="E285" s="211" t="str">
        <f>IFERROR(VLOOKUP($C285,'PORTIFÓLIO'!C:V,3,0),"")</f>
        <v/>
      </c>
      <c r="F285" s="211" t="str">
        <f>IFERROR(VLOOKUP($C285,'PORTIFÓLIO'!C:V,4,0),"")</f>
        <v/>
      </c>
      <c r="G285" s="215" t="str">
        <f>IFERROR(VLOOKUP($C285,'PORTIFÓLIO'!C:V,5,0),"")</f>
        <v/>
      </c>
      <c r="H285" s="254" t="str">
        <f t="array" ref="H285">IFERROR(INDEX('PORTIFÓLIO'!$H$4:$H$433,MATCH($C285,'PORTIFÓLIO'!$C$4:$C$433,0)),"")</f>
        <v/>
      </c>
      <c r="I285" s="256"/>
      <c r="J285" s="218">
        <f t="shared" si="31"/>
        <v>0</v>
      </c>
      <c r="K285" s="292" t="str">
        <f t="array" ref="K285">IFERROR(I285*INDEX('PORTIFÓLIO'!$S$4:$S$433,MATCH($C285,'PORTIFÓLIO'!$C$4:$C$433,0)),"")</f>
        <v/>
      </c>
      <c r="L285" s="292" t="str">
        <f t="array" ref="L285">IFERROR(J285*INDEX('PORTIFÓLIO'!$S$4:$S$433,MATCH($C285,'PORTIFÓLIO'!$C$4:$C$433,0)),"")</f>
        <v/>
      </c>
      <c r="M285" s="220"/>
      <c r="N285" s="220"/>
      <c r="O285" s="220"/>
      <c r="P285" s="220"/>
      <c r="Q285" s="220"/>
      <c r="R285" s="220"/>
      <c r="S285" s="220"/>
      <c r="T285" s="220"/>
      <c r="U285" s="220"/>
      <c r="V285" s="220"/>
      <c r="W285" s="220"/>
    </row>
    <row r="286" ht="15.75" customHeight="1" outlineLevel="1">
      <c r="A286" s="211"/>
      <c r="B286" s="212"/>
      <c r="C286" s="213"/>
      <c r="D286" s="214" t="str">
        <f>IFERROR(VLOOKUP($C286,'PORTIFÓLIO'!C:V,2,0),"")</f>
        <v/>
      </c>
      <c r="E286" s="211" t="str">
        <f>IFERROR(VLOOKUP($C286,'PORTIFÓLIO'!C:V,3,0),"")</f>
        <v/>
      </c>
      <c r="F286" s="211" t="str">
        <f>IFERROR(VLOOKUP($C286,'PORTIFÓLIO'!C:V,4,0),"")</f>
        <v/>
      </c>
      <c r="G286" s="215" t="str">
        <f>IFERROR(VLOOKUP($C286,'PORTIFÓLIO'!C:V,5,0),"")</f>
        <v/>
      </c>
      <c r="H286" s="254" t="str">
        <f t="array" ref="H286">IFERROR(INDEX('PORTIFÓLIO'!$H$4:$H$433,MATCH($C286,'PORTIFÓLIO'!$C$4:$C$433,0)),"")</f>
        <v/>
      </c>
      <c r="I286" s="256"/>
      <c r="J286" s="218">
        <f t="shared" si="31"/>
        <v>0</v>
      </c>
      <c r="K286" s="292" t="str">
        <f t="array" ref="K286">IFERROR(I286*INDEX('PORTIFÓLIO'!$S$4:$S$433,MATCH($C286,'PORTIFÓLIO'!$C$4:$C$433,0)),"")</f>
        <v/>
      </c>
      <c r="L286" s="292" t="str">
        <f t="array" ref="L286">IFERROR(J286*INDEX('PORTIFÓLIO'!$S$4:$S$433,MATCH($C286,'PORTIFÓLIO'!$C$4:$C$433,0)),"")</f>
        <v/>
      </c>
      <c r="M286" s="220"/>
      <c r="N286" s="220"/>
      <c r="O286" s="220"/>
      <c r="P286" s="220"/>
      <c r="Q286" s="220"/>
      <c r="R286" s="220"/>
      <c r="S286" s="220"/>
      <c r="T286" s="220"/>
      <c r="U286" s="220"/>
      <c r="V286" s="220"/>
      <c r="W286" s="220"/>
    </row>
    <row r="287" ht="15.75" customHeight="1" outlineLevel="1">
      <c r="A287" s="211"/>
      <c r="B287" s="212"/>
      <c r="C287" s="213"/>
      <c r="D287" s="214" t="str">
        <f>IFERROR(VLOOKUP($C287,'PORTIFÓLIO'!C:V,2,0),"")</f>
        <v/>
      </c>
      <c r="E287" s="211" t="str">
        <f>IFERROR(VLOOKUP($C287,'PORTIFÓLIO'!C:V,3,0),"")</f>
        <v/>
      </c>
      <c r="F287" s="211" t="str">
        <f>IFERROR(VLOOKUP($C287,'PORTIFÓLIO'!C:V,4,0),"")</f>
        <v/>
      </c>
      <c r="G287" s="215" t="str">
        <f>IFERROR(VLOOKUP($C287,'PORTIFÓLIO'!C:V,5,0),"")</f>
        <v/>
      </c>
      <c r="H287" s="254" t="str">
        <f t="array" ref="H287">IFERROR(INDEX('PORTIFÓLIO'!$H$4:$H$433,MATCH($C287,'PORTIFÓLIO'!$C$4:$C$433,0)),"")</f>
        <v/>
      </c>
      <c r="I287" s="256"/>
      <c r="J287" s="218">
        <f t="shared" si="31"/>
        <v>0</v>
      </c>
      <c r="K287" s="292" t="str">
        <f t="array" ref="K287">IFERROR(I287*INDEX('PORTIFÓLIO'!$S$4:$S$433,MATCH($C287,'PORTIFÓLIO'!$C$4:$C$433,0)),"")</f>
        <v/>
      </c>
      <c r="L287" s="292" t="str">
        <f t="array" ref="L287">IFERROR(J287*INDEX('PORTIFÓLIO'!$S$4:$S$433,MATCH($C287,'PORTIFÓLIO'!$C$4:$C$433,0)),"")</f>
        <v/>
      </c>
      <c r="M287" s="220"/>
      <c r="N287" s="220"/>
      <c r="O287" s="220"/>
      <c r="P287" s="220"/>
      <c r="Q287" s="220"/>
      <c r="R287" s="220"/>
      <c r="S287" s="220"/>
      <c r="T287" s="220"/>
      <c r="U287" s="220"/>
      <c r="V287" s="220"/>
      <c r="W287" s="220"/>
    </row>
    <row r="288" ht="15.75" customHeight="1" outlineLevel="1">
      <c r="A288" s="211"/>
      <c r="B288" s="212"/>
      <c r="C288" s="213"/>
      <c r="D288" s="214" t="str">
        <f>IFERROR(VLOOKUP($C288,'PORTIFÓLIO'!C:V,2,0),"")</f>
        <v/>
      </c>
      <c r="E288" s="211" t="str">
        <f>IFERROR(VLOOKUP($C288,'PORTIFÓLIO'!C:V,3,0),"")</f>
        <v/>
      </c>
      <c r="F288" s="211" t="str">
        <f>IFERROR(VLOOKUP($C288,'PORTIFÓLIO'!C:V,4,0),"")</f>
        <v/>
      </c>
      <c r="G288" s="215" t="str">
        <f>IFERROR(VLOOKUP($C288,'PORTIFÓLIO'!C:V,5,0),"")</f>
        <v/>
      </c>
      <c r="H288" s="254" t="str">
        <f t="array" ref="H288">IFERROR(INDEX('PORTIFÓLIO'!$H$4:$H$433,MATCH($C288,'PORTIFÓLIO'!$C$4:$C$433,0)),"")</f>
        <v/>
      </c>
      <c r="I288" s="256"/>
      <c r="J288" s="218">
        <f t="shared" si="31"/>
        <v>0</v>
      </c>
      <c r="K288" s="292" t="str">
        <f t="array" ref="K288">IFERROR(I288*INDEX('PORTIFÓLIO'!$S$4:$S$433,MATCH($C288,'PORTIFÓLIO'!$C$4:$C$433,0)),"")</f>
        <v/>
      </c>
      <c r="L288" s="292" t="str">
        <f t="array" ref="L288">IFERROR(J288*INDEX('PORTIFÓLIO'!$S$4:$S$433,MATCH($C288,'PORTIFÓLIO'!$C$4:$C$433,0)),"")</f>
        <v/>
      </c>
      <c r="M288" s="220"/>
      <c r="N288" s="220"/>
      <c r="O288" s="220"/>
      <c r="P288" s="220"/>
      <c r="Q288" s="220"/>
      <c r="R288" s="220"/>
      <c r="S288" s="220"/>
      <c r="T288" s="220"/>
      <c r="U288" s="220"/>
      <c r="V288" s="220"/>
      <c r="W288" s="220"/>
    </row>
    <row r="289" ht="15.75" customHeight="1" outlineLevel="1">
      <c r="A289" s="211"/>
      <c r="B289" s="212"/>
      <c r="C289" s="213"/>
      <c r="D289" s="214" t="str">
        <f>IFERROR(VLOOKUP($C289,'PORTIFÓLIO'!C:V,2,0),"")</f>
        <v/>
      </c>
      <c r="E289" s="211" t="str">
        <f>IFERROR(VLOOKUP($C289,'PORTIFÓLIO'!C:V,3,0),"")</f>
        <v/>
      </c>
      <c r="F289" s="211" t="str">
        <f>IFERROR(VLOOKUP($C289,'PORTIFÓLIO'!C:V,4,0),"")</f>
        <v/>
      </c>
      <c r="G289" s="215" t="str">
        <f>IFERROR(VLOOKUP($C289,'PORTIFÓLIO'!C:V,5,0),"")</f>
        <v/>
      </c>
      <c r="H289" s="254" t="str">
        <f t="array" ref="H289">IFERROR(INDEX('PORTIFÓLIO'!$H$4:$H$433,MATCH($C289,'PORTIFÓLIO'!$C$4:$C$433,0)),"")</f>
        <v/>
      </c>
      <c r="I289" s="256"/>
      <c r="J289" s="218">
        <f t="shared" si="31"/>
        <v>0</v>
      </c>
      <c r="K289" s="292" t="str">
        <f t="array" ref="K289">IFERROR(I289*INDEX('PORTIFÓLIO'!$S$4:$S$433,MATCH($C289,'PORTIFÓLIO'!$C$4:$C$433,0)),"")</f>
        <v/>
      </c>
      <c r="L289" s="292" t="str">
        <f t="array" ref="L289">IFERROR(J289*INDEX('PORTIFÓLIO'!$S$4:$S$433,MATCH($C289,'PORTIFÓLIO'!$C$4:$C$433,0)),"")</f>
        <v/>
      </c>
      <c r="M289" s="220"/>
      <c r="N289" s="220"/>
      <c r="O289" s="220"/>
      <c r="P289" s="220"/>
      <c r="Q289" s="220"/>
      <c r="R289" s="220"/>
      <c r="S289" s="220"/>
      <c r="T289" s="220"/>
      <c r="U289" s="220"/>
      <c r="V289" s="220"/>
      <c r="W289" s="220"/>
    </row>
    <row r="290" ht="15.75" customHeight="1">
      <c r="A290" s="229" t="s">
        <v>1186</v>
      </c>
      <c r="B290" s="230"/>
      <c r="C290" s="231"/>
      <c r="D290" s="232"/>
      <c r="E290" s="231"/>
      <c r="F290" s="231"/>
      <c r="G290" s="233"/>
      <c r="H290" s="233"/>
      <c r="I290" s="258"/>
      <c r="J290" s="236"/>
      <c r="K290" s="237">
        <f t="shared" ref="K290:L290" si="32">SUBTOTAL(9,K291:K304)</f>
        <v>0</v>
      </c>
      <c r="L290" s="237">
        <f t="shared" si="32"/>
        <v>0</v>
      </c>
      <c r="M290" s="220"/>
      <c r="N290" s="220"/>
      <c r="O290" s="220"/>
      <c r="P290" s="220"/>
      <c r="Q290" s="220"/>
      <c r="R290" s="220"/>
      <c r="S290" s="220"/>
      <c r="T290" s="220"/>
      <c r="U290" s="220"/>
      <c r="V290" s="220"/>
      <c r="W290" s="220"/>
    </row>
    <row r="291" ht="15.75" customHeight="1" outlineLevel="1">
      <c r="A291" s="213"/>
      <c r="B291" s="212"/>
      <c r="C291" s="213"/>
      <c r="D291" s="214" t="str">
        <f>IFERROR(VLOOKUP($C291,'PORTIFÓLIO'!C:V,2,0),"")</f>
        <v/>
      </c>
      <c r="E291" s="211" t="str">
        <f>IFERROR(VLOOKUP($C291,'PORTIFÓLIO'!C:V,3,0),"")</f>
        <v/>
      </c>
      <c r="F291" s="211" t="str">
        <f>IFERROR(VLOOKUP($C291,'PORTIFÓLIO'!C:V,4,0),"")</f>
        <v/>
      </c>
      <c r="G291" s="215" t="str">
        <f>IFERROR(VLOOKUP($C291,'PORTIFÓLIO'!C:V,5,0),"")</f>
        <v/>
      </c>
      <c r="H291" s="254" t="str">
        <f t="array" ref="H291">IFERROR(INDEX('PORTIFÓLIO'!$H$4:$H$433,MATCH($C291,'PORTIFÓLIO'!$C$4:$C$433,0)),"")</f>
        <v/>
      </c>
      <c r="I291" s="255"/>
      <c r="J291" s="218">
        <f t="shared" ref="J291:J307" si="33">I291*$B$2</f>
        <v>0</v>
      </c>
      <c r="K291" s="292" t="str">
        <f t="array" ref="K291">IFERROR(I291*INDEX('PORTIFÓLIO'!$S$4:$S$433,MATCH($C291,'PORTIFÓLIO'!$C$4:$C$433,0)),"")</f>
        <v/>
      </c>
      <c r="L291" s="292" t="str">
        <f t="array" ref="L291">IFERROR(J291*INDEX('PORTIFÓLIO'!$S$4:$S$433,MATCH($C291,'PORTIFÓLIO'!$C$4:$C$433,0)),"")</f>
        <v/>
      </c>
      <c r="M291" s="220"/>
      <c r="N291" s="220"/>
      <c r="O291" s="220"/>
      <c r="P291" s="220"/>
      <c r="Q291" s="220"/>
      <c r="R291" s="220"/>
      <c r="S291" s="220"/>
      <c r="T291" s="220"/>
      <c r="U291" s="220"/>
      <c r="V291" s="220"/>
      <c r="W291" s="220"/>
    </row>
    <row r="292" ht="15.75" customHeight="1" outlineLevel="1">
      <c r="A292" s="211"/>
      <c r="B292" s="212"/>
      <c r="C292" s="213"/>
      <c r="D292" s="214" t="str">
        <f>IFERROR(VLOOKUP($C292,'PORTIFÓLIO'!C:V,2,0),"")</f>
        <v/>
      </c>
      <c r="E292" s="211" t="str">
        <f>IFERROR(VLOOKUP($C292,'PORTIFÓLIO'!C:V,3,0),"")</f>
        <v/>
      </c>
      <c r="F292" s="211" t="str">
        <f>IFERROR(VLOOKUP($C292,'PORTIFÓLIO'!C:V,4,0),"")</f>
        <v/>
      </c>
      <c r="G292" s="215" t="str">
        <f>IFERROR(VLOOKUP($C292,'PORTIFÓLIO'!C:V,5,0),"")</f>
        <v/>
      </c>
      <c r="H292" s="254" t="str">
        <f t="array" ref="H292">IFERROR(INDEX('PORTIFÓLIO'!$H$4:$H$433,MATCH($C292,'PORTIFÓLIO'!$C$4:$C$433,0)),"")</f>
        <v/>
      </c>
      <c r="I292" s="256"/>
      <c r="J292" s="218">
        <f t="shared" si="33"/>
        <v>0</v>
      </c>
      <c r="K292" s="292" t="str">
        <f t="array" ref="K292">IFERROR(I292*INDEX('PORTIFÓLIO'!$S$4:$S$433,MATCH($C292,'PORTIFÓLIO'!$C$4:$C$433,0)),"")</f>
        <v/>
      </c>
      <c r="L292" s="292" t="str">
        <f t="array" ref="L292">IFERROR(J292*INDEX('PORTIFÓLIO'!$S$4:$S$433,MATCH($C292,'PORTIFÓLIO'!$C$4:$C$433,0)),"")</f>
        <v/>
      </c>
      <c r="M292" s="220"/>
      <c r="N292" s="220"/>
      <c r="O292" s="220"/>
      <c r="P292" s="220"/>
      <c r="Q292" s="220"/>
      <c r="R292" s="220"/>
      <c r="S292" s="220"/>
      <c r="T292" s="220"/>
      <c r="U292" s="220"/>
      <c r="V292" s="220"/>
      <c r="W292" s="220"/>
    </row>
    <row r="293" ht="15.75" customHeight="1" outlineLevel="1">
      <c r="A293" s="211"/>
      <c r="B293" s="212"/>
      <c r="C293" s="213"/>
      <c r="D293" s="214" t="str">
        <f>IFERROR(VLOOKUP($C293,'PORTIFÓLIO'!C:V,2,0),"")</f>
        <v/>
      </c>
      <c r="E293" s="211" t="str">
        <f>IFERROR(VLOOKUP($C293,'PORTIFÓLIO'!C:V,3,0),"")</f>
        <v/>
      </c>
      <c r="F293" s="211" t="str">
        <f>IFERROR(VLOOKUP($C293,'PORTIFÓLIO'!C:V,4,0),"")</f>
        <v/>
      </c>
      <c r="G293" s="215" t="str">
        <f>IFERROR(VLOOKUP($C293,'PORTIFÓLIO'!C:V,5,0),"")</f>
        <v/>
      </c>
      <c r="H293" s="254" t="str">
        <f t="array" ref="H293">IFERROR(INDEX('PORTIFÓLIO'!$H$4:$H$433,MATCH($C293,'PORTIFÓLIO'!$C$4:$C$433,0)),"")</f>
        <v/>
      </c>
      <c r="I293" s="256"/>
      <c r="J293" s="218">
        <f t="shared" si="33"/>
        <v>0</v>
      </c>
      <c r="K293" s="292" t="str">
        <f t="array" ref="K293">IFERROR(I293*INDEX('PORTIFÓLIO'!$S$4:$S$433,MATCH($C293,'PORTIFÓLIO'!$C$4:$C$433,0)),"")</f>
        <v/>
      </c>
      <c r="L293" s="292" t="str">
        <f t="array" ref="L293">IFERROR(J293*INDEX('PORTIFÓLIO'!$S$4:$S$433,MATCH($C293,'PORTIFÓLIO'!$C$4:$C$433,0)),"")</f>
        <v/>
      </c>
      <c r="M293" s="220"/>
      <c r="N293" s="220"/>
      <c r="O293" s="220"/>
      <c r="P293" s="220"/>
      <c r="Q293" s="220"/>
      <c r="R293" s="220"/>
      <c r="S293" s="220"/>
      <c r="T293" s="220"/>
      <c r="U293" s="220"/>
      <c r="V293" s="220"/>
      <c r="W293" s="220"/>
    </row>
    <row r="294" ht="15.75" customHeight="1" outlineLevel="1">
      <c r="A294" s="211"/>
      <c r="B294" s="212"/>
      <c r="C294" s="213"/>
      <c r="D294" s="214" t="str">
        <f>IFERROR(VLOOKUP($C294,'PORTIFÓLIO'!C:V,2,0),"")</f>
        <v/>
      </c>
      <c r="E294" s="211" t="str">
        <f>IFERROR(VLOOKUP($C294,'PORTIFÓLIO'!C:V,3,0),"")</f>
        <v/>
      </c>
      <c r="F294" s="211" t="str">
        <f>IFERROR(VLOOKUP($C294,'PORTIFÓLIO'!C:V,4,0),"")</f>
        <v/>
      </c>
      <c r="G294" s="215" t="str">
        <f>IFERROR(VLOOKUP($C294,'PORTIFÓLIO'!C:V,5,0),"")</f>
        <v/>
      </c>
      <c r="H294" s="254" t="str">
        <f t="array" ref="H294">IFERROR(INDEX('PORTIFÓLIO'!$H$4:$H$433,MATCH($C294,'PORTIFÓLIO'!$C$4:$C$433,0)),"")</f>
        <v/>
      </c>
      <c r="I294" s="256"/>
      <c r="J294" s="218">
        <f t="shared" si="33"/>
        <v>0</v>
      </c>
      <c r="K294" s="292" t="str">
        <f t="array" ref="K294">IFERROR(I294*INDEX('PORTIFÓLIO'!$S$4:$S$433,MATCH($C294,'PORTIFÓLIO'!$C$4:$C$433,0)),"")</f>
        <v/>
      </c>
      <c r="L294" s="292" t="str">
        <f t="array" ref="L294">IFERROR(J294*INDEX('PORTIFÓLIO'!$S$4:$S$433,MATCH($C294,'PORTIFÓLIO'!$C$4:$C$433,0)),"")</f>
        <v/>
      </c>
      <c r="M294" s="220"/>
      <c r="N294" s="220"/>
      <c r="O294" s="220"/>
      <c r="P294" s="220"/>
      <c r="Q294" s="220"/>
      <c r="R294" s="220"/>
      <c r="S294" s="220"/>
      <c r="T294" s="220"/>
      <c r="U294" s="220"/>
      <c r="V294" s="220"/>
      <c r="W294" s="220"/>
    </row>
    <row r="295" ht="15.75" customHeight="1" outlineLevel="1">
      <c r="A295" s="211"/>
      <c r="B295" s="212"/>
      <c r="C295" s="213"/>
      <c r="D295" s="214" t="str">
        <f>IFERROR(VLOOKUP($C295,'PORTIFÓLIO'!C:V,2,0),"")</f>
        <v/>
      </c>
      <c r="E295" s="211" t="str">
        <f>IFERROR(VLOOKUP($C295,'PORTIFÓLIO'!C:V,3,0),"")</f>
        <v/>
      </c>
      <c r="F295" s="211" t="str">
        <f>IFERROR(VLOOKUP($C295,'PORTIFÓLIO'!C:V,4,0),"")</f>
        <v/>
      </c>
      <c r="G295" s="215" t="str">
        <f>IFERROR(VLOOKUP($C295,'PORTIFÓLIO'!C:V,5,0),"")</f>
        <v/>
      </c>
      <c r="H295" s="254" t="str">
        <f t="array" ref="H295">IFERROR(INDEX('PORTIFÓLIO'!$H$4:$H$433,MATCH($C295,'PORTIFÓLIO'!$C$4:$C$433,0)),"")</f>
        <v/>
      </c>
      <c r="I295" s="256"/>
      <c r="J295" s="218">
        <f t="shared" si="33"/>
        <v>0</v>
      </c>
      <c r="K295" s="292" t="str">
        <f t="array" ref="K295">IFERROR(I295*INDEX('PORTIFÓLIO'!$S$4:$S$433,MATCH($C295,'PORTIFÓLIO'!$C$4:$C$433,0)),"")</f>
        <v/>
      </c>
      <c r="L295" s="292" t="str">
        <f t="array" ref="L295">IFERROR(J295*INDEX('PORTIFÓLIO'!$S$4:$S$433,MATCH($C295,'PORTIFÓLIO'!$C$4:$C$433,0)),"")</f>
        <v/>
      </c>
      <c r="M295" s="220"/>
      <c r="N295" s="220"/>
      <c r="O295" s="220"/>
      <c r="P295" s="220"/>
      <c r="Q295" s="220"/>
      <c r="R295" s="220"/>
      <c r="S295" s="220"/>
      <c r="T295" s="220"/>
      <c r="U295" s="220"/>
      <c r="V295" s="220"/>
      <c r="W295" s="220"/>
    </row>
    <row r="296" ht="15.75" customHeight="1" outlineLevel="1">
      <c r="A296" s="211"/>
      <c r="B296" s="212"/>
      <c r="C296" s="213"/>
      <c r="D296" s="214" t="str">
        <f>IFERROR(VLOOKUP($C296,'PORTIFÓLIO'!C:V,2,0),"")</f>
        <v/>
      </c>
      <c r="E296" s="211" t="str">
        <f>IFERROR(VLOOKUP($C296,'PORTIFÓLIO'!C:V,3,0),"")</f>
        <v/>
      </c>
      <c r="F296" s="211" t="str">
        <f>IFERROR(VLOOKUP($C296,'PORTIFÓLIO'!C:V,4,0),"")</f>
        <v/>
      </c>
      <c r="G296" s="215" t="str">
        <f>IFERROR(VLOOKUP($C296,'PORTIFÓLIO'!C:V,5,0),"")</f>
        <v/>
      </c>
      <c r="H296" s="254" t="str">
        <f t="array" ref="H296">IFERROR(INDEX('PORTIFÓLIO'!$H$4:$H$433,MATCH($C296,'PORTIFÓLIO'!$C$4:$C$433,0)),"")</f>
        <v/>
      </c>
      <c r="I296" s="256"/>
      <c r="J296" s="218">
        <f t="shared" si="33"/>
        <v>0</v>
      </c>
      <c r="K296" s="292" t="str">
        <f t="array" ref="K296">IFERROR(I296*INDEX('PORTIFÓLIO'!$S$4:$S$433,MATCH($C296,'PORTIFÓLIO'!$C$4:$C$433,0)),"")</f>
        <v/>
      </c>
      <c r="L296" s="292" t="str">
        <f t="array" ref="L296">IFERROR(J296*INDEX('PORTIFÓLIO'!$S$4:$S$433,MATCH($C296,'PORTIFÓLIO'!$C$4:$C$433,0)),"")</f>
        <v/>
      </c>
      <c r="M296" s="220"/>
      <c r="N296" s="220"/>
      <c r="O296" s="220"/>
      <c r="P296" s="220"/>
      <c r="Q296" s="220"/>
      <c r="R296" s="220"/>
      <c r="S296" s="220"/>
      <c r="T296" s="220"/>
      <c r="U296" s="220"/>
      <c r="V296" s="220"/>
      <c r="W296" s="220"/>
    </row>
    <row r="297" ht="15.75" customHeight="1" outlineLevel="1">
      <c r="A297" s="211"/>
      <c r="B297" s="212"/>
      <c r="C297" s="213"/>
      <c r="D297" s="214" t="str">
        <f>IFERROR(VLOOKUP($C297,'PORTIFÓLIO'!C:V,2,0),"")</f>
        <v/>
      </c>
      <c r="E297" s="211" t="str">
        <f>IFERROR(VLOOKUP($C297,'PORTIFÓLIO'!C:V,3,0),"")</f>
        <v/>
      </c>
      <c r="F297" s="211" t="str">
        <f>IFERROR(VLOOKUP($C297,'PORTIFÓLIO'!C:V,4,0),"")</f>
        <v/>
      </c>
      <c r="G297" s="215" t="str">
        <f>IFERROR(VLOOKUP($C297,'PORTIFÓLIO'!C:V,5,0),"")</f>
        <v/>
      </c>
      <c r="H297" s="254" t="str">
        <f t="array" ref="H297">IFERROR(INDEX('PORTIFÓLIO'!$H$4:$H$433,MATCH($C297,'PORTIFÓLIO'!$C$4:$C$433,0)),"")</f>
        <v/>
      </c>
      <c r="I297" s="256"/>
      <c r="J297" s="218">
        <f t="shared" si="33"/>
        <v>0</v>
      </c>
      <c r="K297" s="292" t="str">
        <f t="array" ref="K297">IFERROR(I297*INDEX('PORTIFÓLIO'!$S$4:$S$433,MATCH($C297,'PORTIFÓLIO'!$C$4:$C$433,0)),"")</f>
        <v/>
      </c>
      <c r="L297" s="292" t="str">
        <f t="array" ref="L297">IFERROR(J297*INDEX('PORTIFÓLIO'!$S$4:$S$433,MATCH($C297,'PORTIFÓLIO'!$C$4:$C$433,0)),"")</f>
        <v/>
      </c>
      <c r="M297" s="220"/>
      <c r="N297" s="220"/>
      <c r="O297" s="220"/>
      <c r="P297" s="220"/>
      <c r="Q297" s="220"/>
      <c r="R297" s="220"/>
      <c r="S297" s="220"/>
      <c r="T297" s="220"/>
      <c r="U297" s="220"/>
      <c r="V297" s="220"/>
      <c r="W297" s="220"/>
    </row>
    <row r="298" ht="15.75" customHeight="1" outlineLevel="1">
      <c r="A298" s="211"/>
      <c r="B298" s="212"/>
      <c r="C298" s="213"/>
      <c r="D298" s="214" t="str">
        <f>IFERROR(VLOOKUP($C298,'PORTIFÓLIO'!C:V,2,0),"")</f>
        <v/>
      </c>
      <c r="E298" s="211" t="str">
        <f>IFERROR(VLOOKUP($C298,'PORTIFÓLIO'!C:V,3,0),"")</f>
        <v/>
      </c>
      <c r="F298" s="211" t="str">
        <f>IFERROR(VLOOKUP($C298,'PORTIFÓLIO'!C:V,4,0),"")</f>
        <v/>
      </c>
      <c r="G298" s="215" t="str">
        <f>IFERROR(VLOOKUP($C298,'PORTIFÓLIO'!C:V,5,0),"")</f>
        <v/>
      </c>
      <c r="H298" s="254" t="str">
        <f t="array" ref="H298">IFERROR(INDEX('PORTIFÓLIO'!$H$4:$H$433,MATCH($C298,'PORTIFÓLIO'!$C$4:$C$433,0)),"")</f>
        <v/>
      </c>
      <c r="I298" s="256"/>
      <c r="J298" s="218">
        <f t="shared" si="33"/>
        <v>0</v>
      </c>
      <c r="K298" s="292" t="str">
        <f t="array" ref="K298">IFERROR(I298*INDEX('PORTIFÓLIO'!$S$4:$S$433,MATCH($C298,'PORTIFÓLIO'!$C$4:$C$433,0)),"")</f>
        <v/>
      </c>
      <c r="L298" s="292" t="str">
        <f t="array" ref="L298">IFERROR(J298*INDEX('PORTIFÓLIO'!$S$4:$S$433,MATCH($C298,'PORTIFÓLIO'!$C$4:$C$433,0)),"")</f>
        <v/>
      </c>
      <c r="M298" s="220"/>
      <c r="N298" s="220"/>
      <c r="O298" s="220"/>
      <c r="P298" s="220"/>
      <c r="Q298" s="220"/>
      <c r="R298" s="220"/>
      <c r="S298" s="220"/>
      <c r="T298" s="220"/>
      <c r="U298" s="220"/>
      <c r="V298" s="220"/>
      <c r="W298" s="220"/>
    </row>
    <row r="299" ht="15.75" customHeight="1" outlineLevel="1">
      <c r="A299" s="211"/>
      <c r="B299" s="212"/>
      <c r="C299" s="213"/>
      <c r="D299" s="214" t="str">
        <f>IFERROR(VLOOKUP($C299,'PORTIFÓLIO'!C:V,2,0),"")</f>
        <v/>
      </c>
      <c r="E299" s="211" t="str">
        <f>IFERROR(VLOOKUP($C299,'PORTIFÓLIO'!C:V,3,0),"")</f>
        <v/>
      </c>
      <c r="F299" s="211" t="str">
        <f>IFERROR(VLOOKUP($C299,'PORTIFÓLIO'!C:V,4,0),"")</f>
        <v/>
      </c>
      <c r="G299" s="215" t="str">
        <f>IFERROR(VLOOKUP($C299,'PORTIFÓLIO'!C:V,5,0),"")</f>
        <v/>
      </c>
      <c r="H299" s="254" t="str">
        <f t="array" ref="H299">IFERROR(INDEX('PORTIFÓLIO'!$H$4:$H$433,MATCH($C299,'PORTIFÓLIO'!$C$4:$C$433,0)),"")</f>
        <v/>
      </c>
      <c r="I299" s="255"/>
      <c r="J299" s="218">
        <f t="shared" si="33"/>
        <v>0</v>
      </c>
      <c r="K299" s="292" t="str">
        <f t="array" ref="K299">IFERROR(I299*INDEX('PORTIFÓLIO'!$S$4:$S$433,MATCH($C299,'PORTIFÓLIO'!$C$4:$C$433,0)),"")</f>
        <v/>
      </c>
      <c r="L299" s="292" t="str">
        <f t="array" ref="L299">IFERROR(J299*INDEX('PORTIFÓLIO'!$S$4:$S$433,MATCH($C299,'PORTIFÓLIO'!$C$4:$C$433,0)),"")</f>
        <v/>
      </c>
      <c r="M299" s="220"/>
      <c r="N299" s="220"/>
      <c r="O299" s="220"/>
      <c r="P299" s="220"/>
      <c r="Q299" s="220"/>
      <c r="R299" s="220"/>
      <c r="S299" s="220"/>
      <c r="T299" s="220"/>
      <c r="U299" s="220"/>
      <c r="V299" s="220"/>
      <c r="W299" s="220"/>
    </row>
    <row r="300" ht="15.75" customHeight="1" outlineLevel="1">
      <c r="A300" s="211"/>
      <c r="B300" s="212"/>
      <c r="C300" s="213"/>
      <c r="D300" s="214" t="str">
        <f>IFERROR(VLOOKUP($C300,'PORTIFÓLIO'!C:V,2,0),"")</f>
        <v/>
      </c>
      <c r="E300" s="211" t="str">
        <f>IFERROR(VLOOKUP($C300,'PORTIFÓLIO'!C:V,3,0),"")</f>
        <v/>
      </c>
      <c r="F300" s="211" t="str">
        <f>IFERROR(VLOOKUP($C300,'PORTIFÓLIO'!C:V,4,0),"")</f>
        <v/>
      </c>
      <c r="G300" s="215" t="str">
        <f>IFERROR(VLOOKUP($C300,'PORTIFÓLIO'!C:V,5,0),"")</f>
        <v/>
      </c>
      <c r="H300" s="254" t="str">
        <f t="array" ref="H300">IFERROR(INDEX('PORTIFÓLIO'!$H$4:$H$433,MATCH($C300,'PORTIFÓLIO'!$C$4:$C$433,0)),"")</f>
        <v/>
      </c>
      <c r="I300" s="256"/>
      <c r="J300" s="218">
        <f t="shared" si="33"/>
        <v>0</v>
      </c>
      <c r="K300" s="292" t="str">
        <f t="array" ref="K300">IFERROR(I300*INDEX('PORTIFÓLIO'!$S$4:$S$433,MATCH($C300,'PORTIFÓLIO'!$C$4:$C$433,0)),"")</f>
        <v/>
      </c>
      <c r="L300" s="292" t="str">
        <f t="array" ref="L300">IFERROR(J300*INDEX('PORTIFÓLIO'!$S$4:$S$433,MATCH($C300,'PORTIFÓLIO'!$C$4:$C$433,0)),"")</f>
        <v/>
      </c>
      <c r="M300" s="220"/>
      <c r="N300" s="220"/>
      <c r="O300" s="220"/>
      <c r="P300" s="220"/>
      <c r="Q300" s="220"/>
      <c r="R300" s="220"/>
      <c r="S300" s="220"/>
      <c r="T300" s="220"/>
      <c r="U300" s="220"/>
      <c r="V300" s="220"/>
      <c r="W300" s="220"/>
    </row>
    <row r="301" ht="15.75" customHeight="1" outlineLevel="1">
      <c r="A301" s="211"/>
      <c r="B301" s="212"/>
      <c r="C301" s="213"/>
      <c r="D301" s="214" t="str">
        <f>IFERROR(VLOOKUP($C301,'PORTIFÓLIO'!C:V,2,0),"")</f>
        <v/>
      </c>
      <c r="E301" s="211" t="str">
        <f>IFERROR(VLOOKUP($C301,'PORTIFÓLIO'!C:V,3,0),"")</f>
        <v/>
      </c>
      <c r="F301" s="211" t="str">
        <f>IFERROR(VLOOKUP($C301,'PORTIFÓLIO'!C:V,4,0),"")</f>
        <v/>
      </c>
      <c r="G301" s="215" t="str">
        <f>IFERROR(VLOOKUP($C301,'PORTIFÓLIO'!C:V,5,0),"")</f>
        <v/>
      </c>
      <c r="H301" s="254" t="str">
        <f t="array" ref="H301">IFERROR(INDEX('PORTIFÓLIO'!$H$4:$H$433,MATCH($C301,'PORTIFÓLIO'!$C$4:$C$433,0)),"")</f>
        <v/>
      </c>
      <c r="I301" s="256"/>
      <c r="J301" s="218">
        <f t="shared" si="33"/>
        <v>0</v>
      </c>
      <c r="K301" s="292" t="str">
        <f t="array" ref="K301">IFERROR(I301*INDEX('PORTIFÓLIO'!$S$4:$S$433,MATCH($C301,'PORTIFÓLIO'!$C$4:$C$433,0)),"")</f>
        <v/>
      </c>
      <c r="L301" s="292" t="str">
        <f t="array" ref="L301">IFERROR(J301*INDEX('PORTIFÓLIO'!$S$4:$S$433,MATCH($C301,'PORTIFÓLIO'!$C$4:$C$433,0)),"")</f>
        <v/>
      </c>
      <c r="M301" s="220"/>
      <c r="N301" s="220"/>
      <c r="O301" s="220"/>
      <c r="P301" s="220"/>
      <c r="Q301" s="220"/>
      <c r="R301" s="220"/>
      <c r="S301" s="220"/>
      <c r="T301" s="220"/>
      <c r="U301" s="220"/>
      <c r="V301" s="220"/>
      <c r="W301" s="220"/>
    </row>
    <row r="302" ht="15.75" customHeight="1" outlineLevel="1">
      <c r="A302" s="211"/>
      <c r="B302" s="212"/>
      <c r="C302" s="213"/>
      <c r="D302" s="214" t="str">
        <f>IFERROR(VLOOKUP($C302,'PORTIFÓLIO'!C:V,2,0),"")</f>
        <v/>
      </c>
      <c r="E302" s="211" t="str">
        <f>IFERROR(VLOOKUP($C302,'PORTIFÓLIO'!C:V,3,0),"")</f>
        <v/>
      </c>
      <c r="F302" s="211" t="str">
        <f>IFERROR(VLOOKUP($C302,'PORTIFÓLIO'!C:V,4,0),"")</f>
        <v/>
      </c>
      <c r="G302" s="215" t="str">
        <f>IFERROR(VLOOKUP($C302,'PORTIFÓLIO'!C:V,5,0),"")</f>
        <v/>
      </c>
      <c r="H302" s="254" t="str">
        <f t="array" ref="H302">IFERROR(INDEX('PORTIFÓLIO'!$H$4:$H$433,MATCH($C302,'PORTIFÓLIO'!$C$4:$C$433,0)),"")</f>
        <v/>
      </c>
      <c r="I302" s="256"/>
      <c r="J302" s="218">
        <f t="shared" si="33"/>
        <v>0</v>
      </c>
      <c r="K302" s="292" t="str">
        <f t="array" ref="K302">IFERROR(I302*INDEX('PORTIFÓLIO'!$S$4:$S$433,MATCH($C302,'PORTIFÓLIO'!$C$4:$C$433,0)),"")</f>
        <v/>
      </c>
      <c r="L302" s="292" t="str">
        <f t="array" ref="L302">IFERROR(J302*INDEX('PORTIFÓLIO'!$S$4:$S$433,MATCH($C302,'PORTIFÓLIO'!$C$4:$C$433,0)),"")</f>
        <v/>
      </c>
      <c r="M302" s="220"/>
      <c r="N302" s="220"/>
      <c r="O302" s="220"/>
      <c r="P302" s="220"/>
      <c r="Q302" s="220"/>
      <c r="R302" s="220"/>
      <c r="S302" s="220"/>
      <c r="T302" s="220"/>
      <c r="U302" s="220"/>
      <c r="V302" s="220"/>
      <c r="W302" s="220"/>
    </row>
    <row r="303" ht="15.75" customHeight="1" outlineLevel="1">
      <c r="A303" s="211"/>
      <c r="B303" s="212"/>
      <c r="C303" s="213"/>
      <c r="D303" s="214" t="str">
        <f>IFERROR(VLOOKUP($C303,'PORTIFÓLIO'!C:V,2,0),"")</f>
        <v/>
      </c>
      <c r="E303" s="211" t="str">
        <f>IFERROR(VLOOKUP($C303,'PORTIFÓLIO'!C:V,3,0),"")</f>
        <v/>
      </c>
      <c r="F303" s="211" t="str">
        <f>IFERROR(VLOOKUP($C303,'PORTIFÓLIO'!C:V,4,0),"")</f>
        <v/>
      </c>
      <c r="G303" s="215" t="str">
        <f>IFERROR(VLOOKUP($C303,'PORTIFÓLIO'!C:V,5,0),"")</f>
        <v/>
      </c>
      <c r="H303" s="254" t="str">
        <f t="array" ref="H303">IFERROR(INDEX('PORTIFÓLIO'!$H$4:$H$433,MATCH($C303,'PORTIFÓLIO'!$C$4:$C$433,0)),"")</f>
        <v/>
      </c>
      <c r="I303" s="256"/>
      <c r="J303" s="218">
        <f t="shared" si="33"/>
        <v>0</v>
      </c>
      <c r="K303" s="292" t="str">
        <f t="array" ref="K303">IFERROR(I303*INDEX('PORTIFÓLIO'!$S$4:$S$433,MATCH($C303,'PORTIFÓLIO'!$C$4:$C$433,0)),"")</f>
        <v/>
      </c>
      <c r="L303" s="292" t="str">
        <f t="array" ref="L303">IFERROR(J303*INDEX('PORTIFÓLIO'!$S$4:$S$433,MATCH($C303,'PORTIFÓLIO'!$C$4:$C$433,0)),"")</f>
        <v/>
      </c>
      <c r="M303" s="220"/>
      <c r="N303" s="220"/>
      <c r="O303" s="220"/>
      <c r="P303" s="220"/>
      <c r="Q303" s="220"/>
      <c r="R303" s="220"/>
      <c r="S303" s="220"/>
      <c r="T303" s="220"/>
      <c r="U303" s="220"/>
      <c r="V303" s="220"/>
      <c r="W303" s="220"/>
    </row>
    <row r="304" ht="15.75" customHeight="1" outlineLevel="1">
      <c r="A304" s="211"/>
      <c r="B304" s="212"/>
      <c r="C304" s="213"/>
      <c r="D304" s="214" t="str">
        <f>IFERROR(VLOOKUP($C304,'PORTIFÓLIO'!C:V,2,0),"")</f>
        <v/>
      </c>
      <c r="E304" s="211" t="str">
        <f>IFERROR(VLOOKUP($C304,'PORTIFÓLIO'!C:V,3,0),"")</f>
        <v/>
      </c>
      <c r="F304" s="211" t="str">
        <f>IFERROR(VLOOKUP($C304,'PORTIFÓLIO'!C:V,4,0),"")</f>
        <v/>
      </c>
      <c r="G304" s="215" t="str">
        <f>IFERROR(VLOOKUP($C304,'PORTIFÓLIO'!C:V,5,0),"")</f>
        <v/>
      </c>
      <c r="H304" s="254" t="str">
        <f t="array" ref="H304">IFERROR(INDEX('PORTIFÓLIO'!$H$4:$H$433,MATCH($C304,'PORTIFÓLIO'!$C$4:$C$433,0)),"")</f>
        <v/>
      </c>
      <c r="I304" s="256"/>
      <c r="J304" s="218">
        <f t="shared" si="33"/>
        <v>0</v>
      </c>
      <c r="K304" s="292" t="str">
        <f t="array" ref="K304">IFERROR(I304*INDEX('PORTIFÓLIO'!$S$4:$S$433,MATCH($C304,'PORTIFÓLIO'!$C$4:$C$433,0)),"")</f>
        <v/>
      </c>
      <c r="L304" s="292" t="str">
        <f t="array" ref="L304">IFERROR(J304*INDEX('PORTIFÓLIO'!$S$4:$S$433,MATCH($C304,'PORTIFÓLIO'!$C$4:$C$433,0)),"")</f>
        <v/>
      </c>
      <c r="M304" s="220"/>
      <c r="N304" s="220"/>
      <c r="O304" s="220"/>
      <c r="P304" s="220"/>
      <c r="Q304" s="220"/>
      <c r="R304" s="220"/>
      <c r="S304" s="220"/>
      <c r="T304" s="220"/>
      <c r="U304" s="220"/>
      <c r="V304" s="220"/>
      <c r="W304" s="220"/>
    </row>
    <row r="305" ht="15.75" customHeight="1" outlineLevel="1">
      <c r="A305" s="211"/>
      <c r="B305" s="212"/>
      <c r="C305" s="213"/>
      <c r="D305" s="214" t="str">
        <f>IFERROR(VLOOKUP($C305,'PORTIFÓLIO'!C:V,2,0),"")</f>
        <v/>
      </c>
      <c r="E305" s="211" t="str">
        <f>IFERROR(VLOOKUP($C305,'PORTIFÓLIO'!C:V,3,0),"")</f>
        <v/>
      </c>
      <c r="F305" s="211" t="str">
        <f>IFERROR(VLOOKUP($C305,'PORTIFÓLIO'!C:V,4,0),"")</f>
        <v/>
      </c>
      <c r="G305" s="215" t="str">
        <f>IFERROR(VLOOKUP($C305,'PORTIFÓLIO'!C:V,5,0),"")</f>
        <v/>
      </c>
      <c r="H305" s="254" t="str">
        <f t="array" ref="H305">IFERROR(INDEX('PORTIFÓLIO'!$H$4:$H$433,MATCH($C305,'PORTIFÓLIO'!$C$4:$C$433,0)),"")</f>
        <v/>
      </c>
      <c r="I305" s="256"/>
      <c r="J305" s="218">
        <f t="shared" si="33"/>
        <v>0</v>
      </c>
      <c r="K305" s="292" t="str">
        <f t="array" ref="K305">IFERROR(I305*INDEX('PORTIFÓLIO'!$S$4:$S$433,MATCH($C305,'PORTIFÓLIO'!$C$4:$C$433,0)),"")</f>
        <v/>
      </c>
      <c r="L305" s="292" t="str">
        <f t="array" ref="L305">IFERROR(J305*INDEX('PORTIFÓLIO'!$S$4:$S$433,MATCH($C305,'PORTIFÓLIO'!$C$4:$C$433,0)),"")</f>
        <v/>
      </c>
      <c r="M305" s="220"/>
      <c r="N305" s="220"/>
      <c r="O305" s="220"/>
      <c r="P305" s="220"/>
      <c r="Q305" s="220"/>
      <c r="R305" s="220"/>
      <c r="S305" s="220"/>
      <c r="T305" s="220"/>
      <c r="U305" s="220"/>
      <c r="V305" s="220"/>
      <c r="W305" s="220"/>
    </row>
    <row r="306" ht="15.75" customHeight="1" outlineLevel="1">
      <c r="A306" s="211"/>
      <c r="B306" s="212"/>
      <c r="C306" s="213"/>
      <c r="D306" s="214" t="str">
        <f>IFERROR(VLOOKUP($C306,'PORTIFÓLIO'!C:V,2,0),"")</f>
        <v/>
      </c>
      <c r="E306" s="211" t="str">
        <f>IFERROR(VLOOKUP($C306,'PORTIFÓLIO'!C:V,3,0),"")</f>
        <v/>
      </c>
      <c r="F306" s="211" t="str">
        <f>IFERROR(VLOOKUP($C306,'PORTIFÓLIO'!C:V,4,0),"")</f>
        <v/>
      </c>
      <c r="G306" s="215" t="str">
        <f>IFERROR(VLOOKUP($C306,'PORTIFÓLIO'!C:V,5,0),"")</f>
        <v/>
      </c>
      <c r="H306" s="254" t="str">
        <f t="array" ref="H306">IFERROR(INDEX('PORTIFÓLIO'!$H$4:$H$433,MATCH($C306,'PORTIFÓLIO'!$C$4:$C$433,0)),"")</f>
        <v/>
      </c>
      <c r="I306" s="256"/>
      <c r="J306" s="218">
        <f t="shared" si="33"/>
        <v>0</v>
      </c>
      <c r="K306" s="292" t="str">
        <f t="array" ref="K306">IFERROR(I306*INDEX('PORTIFÓLIO'!$S$4:$S$433,MATCH($C306,'PORTIFÓLIO'!$C$4:$C$433,0)),"")</f>
        <v/>
      </c>
      <c r="L306" s="292" t="str">
        <f t="array" ref="L306">IFERROR(J306*INDEX('PORTIFÓLIO'!$S$4:$S$433,MATCH($C306,'PORTIFÓLIO'!$C$4:$C$433,0)),"")</f>
        <v/>
      </c>
      <c r="M306" s="220"/>
      <c r="N306" s="220"/>
      <c r="O306" s="220"/>
      <c r="P306" s="220"/>
      <c r="Q306" s="220"/>
      <c r="R306" s="220"/>
      <c r="S306" s="220"/>
      <c r="T306" s="220"/>
      <c r="U306" s="220"/>
      <c r="V306" s="220"/>
      <c r="W306" s="220"/>
    </row>
    <row r="307" ht="15.75" customHeight="1" outlineLevel="1">
      <c r="A307" s="211"/>
      <c r="B307" s="212"/>
      <c r="C307" s="213"/>
      <c r="D307" s="214" t="str">
        <f>IFERROR(VLOOKUP($C307,'PORTIFÓLIO'!C:V,2,0),"")</f>
        <v/>
      </c>
      <c r="E307" s="211" t="str">
        <f>IFERROR(VLOOKUP($C307,'PORTIFÓLIO'!C:V,3,0),"")</f>
        <v/>
      </c>
      <c r="F307" s="211" t="str">
        <f>IFERROR(VLOOKUP($C307,'PORTIFÓLIO'!C:V,4,0),"")</f>
        <v/>
      </c>
      <c r="G307" s="215" t="str">
        <f>IFERROR(VLOOKUP($C307,'PORTIFÓLIO'!C:V,5,0),"")</f>
        <v/>
      </c>
      <c r="H307" s="254" t="str">
        <f t="array" ref="H307">IFERROR(INDEX('PORTIFÓLIO'!$H$4:$H$433,MATCH($C307,'PORTIFÓLIO'!$C$4:$C$433,0)),"")</f>
        <v/>
      </c>
      <c r="I307" s="256"/>
      <c r="J307" s="218">
        <f t="shared" si="33"/>
        <v>0</v>
      </c>
      <c r="K307" s="292" t="str">
        <f t="array" ref="K307">IFERROR(I307*INDEX('PORTIFÓLIO'!$S$4:$S$433,MATCH($C307,'PORTIFÓLIO'!$C$4:$C$433,0)),"")</f>
        <v/>
      </c>
      <c r="L307" s="292" t="str">
        <f t="array" ref="L307">IFERROR(J307*INDEX('PORTIFÓLIO'!$S$4:$S$433,MATCH($C307,'PORTIFÓLIO'!$C$4:$C$433,0)),"")</f>
        <v/>
      </c>
      <c r="M307" s="220"/>
      <c r="N307" s="220"/>
      <c r="O307" s="220"/>
      <c r="P307" s="220"/>
      <c r="Q307" s="220"/>
      <c r="R307" s="220"/>
      <c r="S307" s="220"/>
      <c r="T307" s="220"/>
      <c r="U307" s="220"/>
      <c r="V307" s="220"/>
      <c r="W307" s="220"/>
    </row>
    <row r="308" ht="15.75" customHeight="1">
      <c r="A308" s="229" t="s">
        <v>1188</v>
      </c>
      <c r="B308" s="230"/>
      <c r="C308" s="231"/>
      <c r="D308" s="232"/>
      <c r="E308" s="231"/>
      <c r="F308" s="231"/>
      <c r="G308" s="233"/>
      <c r="H308" s="233"/>
      <c r="I308" s="258"/>
      <c r="J308" s="236"/>
      <c r="K308" s="237">
        <f t="shared" ref="K308:L308" si="34">SUBTOTAL(9,K309:K322)</f>
        <v>0</v>
      </c>
      <c r="L308" s="237">
        <f t="shared" si="34"/>
        <v>0</v>
      </c>
      <c r="M308" s="220"/>
      <c r="N308" s="220"/>
      <c r="O308" s="220"/>
      <c r="P308" s="220"/>
      <c r="Q308" s="220"/>
      <c r="R308" s="220"/>
      <c r="S308" s="220"/>
      <c r="T308" s="220"/>
      <c r="U308" s="220"/>
      <c r="V308" s="220"/>
      <c r="W308" s="220"/>
    </row>
    <row r="309" ht="15.75" customHeight="1" outlineLevel="1">
      <c r="A309" s="213"/>
      <c r="B309" s="212"/>
      <c r="C309" s="213"/>
      <c r="D309" s="214" t="str">
        <f>IFERROR(VLOOKUP($C309,'PORTIFÓLIO'!C:V,2,0),"")</f>
        <v/>
      </c>
      <c r="E309" s="211" t="str">
        <f>IFERROR(VLOOKUP($C309,'PORTIFÓLIO'!C:V,3,0),"")</f>
        <v/>
      </c>
      <c r="F309" s="211" t="str">
        <f>IFERROR(VLOOKUP($C309,'PORTIFÓLIO'!C:V,4,0),"")</f>
        <v/>
      </c>
      <c r="G309" s="215" t="str">
        <f>IFERROR(VLOOKUP($C309,'PORTIFÓLIO'!C:V,5,0),"")</f>
        <v/>
      </c>
      <c r="H309" s="254" t="str">
        <f t="array" ref="H309">IFERROR(INDEX('PORTIFÓLIO'!$H$4:$H$433,MATCH($C309,'PORTIFÓLIO'!$C$4:$C$433,0)),"")</f>
        <v/>
      </c>
      <c r="I309" s="255"/>
      <c r="J309" s="218">
        <f t="shared" ref="J309:J323" si="35">I309*$B$2</f>
        <v>0</v>
      </c>
      <c r="K309" s="292" t="str">
        <f t="array" ref="K309">IFERROR(I309*INDEX('PORTIFÓLIO'!$S$4:$S$433,MATCH($C309,'PORTIFÓLIO'!$C$4:$C$433,0)),"")</f>
        <v/>
      </c>
      <c r="L309" s="292" t="str">
        <f t="array" ref="L309">IFERROR(J309*INDEX('PORTIFÓLIO'!$S$4:$S$433,MATCH($C309,'PORTIFÓLIO'!$C$4:$C$433,0)),"")</f>
        <v/>
      </c>
      <c r="M309" s="220"/>
      <c r="N309" s="220"/>
      <c r="O309" s="220"/>
      <c r="P309" s="220"/>
      <c r="Q309" s="220"/>
      <c r="R309" s="220"/>
      <c r="S309" s="220"/>
      <c r="T309" s="220"/>
      <c r="U309" s="220"/>
      <c r="V309" s="220"/>
      <c r="W309" s="220"/>
    </row>
    <row r="310" ht="15.75" customHeight="1" outlineLevel="1">
      <c r="A310" s="211"/>
      <c r="B310" s="212"/>
      <c r="C310" s="213"/>
      <c r="D310" s="214" t="str">
        <f>IFERROR(VLOOKUP($C310,'PORTIFÓLIO'!C:V,2,0),"")</f>
        <v/>
      </c>
      <c r="E310" s="211" t="str">
        <f>IFERROR(VLOOKUP($C310,'PORTIFÓLIO'!C:V,3,0),"")</f>
        <v/>
      </c>
      <c r="F310" s="211" t="str">
        <f>IFERROR(VLOOKUP($C310,'PORTIFÓLIO'!C:V,4,0),"")</f>
        <v/>
      </c>
      <c r="G310" s="215" t="str">
        <f>IFERROR(VLOOKUP($C310,'PORTIFÓLIO'!C:V,5,0),"")</f>
        <v/>
      </c>
      <c r="H310" s="254" t="str">
        <f t="array" ref="H310">IFERROR(INDEX('PORTIFÓLIO'!$H$4:$H$433,MATCH($C310,'PORTIFÓLIO'!$C$4:$C$433,0)),"")</f>
        <v/>
      </c>
      <c r="I310" s="256"/>
      <c r="J310" s="218">
        <f t="shared" si="35"/>
        <v>0</v>
      </c>
      <c r="K310" s="292" t="str">
        <f t="array" ref="K310">IFERROR(I310*INDEX('PORTIFÓLIO'!$S$4:$S$433,MATCH($C310,'PORTIFÓLIO'!$C$4:$C$433,0)),"")</f>
        <v/>
      </c>
      <c r="L310" s="292" t="str">
        <f t="array" ref="L310">IFERROR(J310*INDEX('PORTIFÓLIO'!$S$4:$S$433,MATCH($C310,'PORTIFÓLIO'!$C$4:$C$433,0)),"")</f>
        <v/>
      </c>
      <c r="M310" s="220"/>
      <c r="N310" s="220"/>
      <c r="O310" s="220"/>
      <c r="P310" s="220"/>
      <c r="Q310" s="220"/>
      <c r="R310" s="220"/>
      <c r="S310" s="220"/>
      <c r="T310" s="220"/>
      <c r="U310" s="220"/>
      <c r="V310" s="220"/>
      <c r="W310" s="220"/>
    </row>
    <row r="311" ht="15.75" customHeight="1" outlineLevel="1">
      <c r="A311" s="211"/>
      <c r="B311" s="212"/>
      <c r="C311" s="213"/>
      <c r="D311" s="214" t="str">
        <f>IFERROR(VLOOKUP($C311,'PORTIFÓLIO'!C:V,2,0),"")</f>
        <v/>
      </c>
      <c r="E311" s="211" t="str">
        <f>IFERROR(VLOOKUP($C311,'PORTIFÓLIO'!C:V,3,0),"")</f>
        <v/>
      </c>
      <c r="F311" s="211" t="str">
        <f>IFERROR(VLOOKUP($C311,'PORTIFÓLIO'!C:V,4,0),"")</f>
        <v/>
      </c>
      <c r="G311" s="215" t="str">
        <f>IFERROR(VLOOKUP($C311,'PORTIFÓLIO'!C:V,5,0),"")</f>
        <v/>
      </c>
      <c r="H311" s="254" t="str">
        <f t="array" ref="H311">IFERROR(INDEX('PORTIFÓLIO'!$H$4:$H$433,MATCH($C311,'PORTIFÓLIO'!$C$4:$C$433,0)),"")</f>
        <v/>
      </c>
      <c r="I311" s="256"/>
      <c r="J311" s="218">
        <f t="shared" si="35"/>
        <v>0</v>
      </c>
      <c r="K311" s="292" t="str">
        <f t="array" ref="K311">IFERROR(I311*INDEX('PORTIFÓLIO'!$S$4:$S$433,MATCH($C311,'PORTIFÓLIO'!$C$4:$C$433,0)),"")</f>
        <v/>
      </c>
      <c r="L311" s="292" t="str">
        <f t="array" ref="L311">IFERROR(J311*INDEX('PORTIFÓLIO'!$S$4:$S$433,MATCH($C311,'PORTIFÓLIO'!$C$4:$C$433,0)),"")</f>
        <v/>
      </c>
      <c r="M311" s="220"/>
      <c r="N311" s="220"/>
      <c r="O311" s="220"/>
      <c r="P311" s="220"/>
      <c r="Q311" s="220"/>
      <c r="R311" s="220"/>
      <c r="S311" s="220"/>
      <c r="T311" s="220"/>
      <c r="U311" s="220"/>
      <c r="V311" s="220"/>
      <c r="W311" s="220"/>
    </row>
    <row r="312" ht="15.75" customHeight="1" outlineLevel="1">
      <c r="A312" s="211"/>
      <c r="B312" s="212"/>
      <c r="C312" s="213"/>
      <c r="D312" s="214" t="str">
        <f>IFERROR(VLOOKUP($C312,'PORTIFÓLIO'!C:V,2,0),"")</f>
        <v/>
      </c>
      <c r="E312" s="211" t="str">
        <f>IFERROR(VLOOKUP($C312,'PORTIFÓLIO'!C:V,3,0),"")</f>
        <v/>
      </c>
      <c r="F312" s="211" t="str">
        <f>IFERROR(VLOOKUP($C312,'PORTIFÓLIO'!C:V,4,0),"")</f>
        <v/>
      </c>
      <c r="G312" s="215" t="str">
        <f>IFERROR(VLOOKUP($C312,'PORTIFÓLIO'!C:V,5,0),"")</f>
        <v/>
      </c>
      <c r="H312" s="254" t="str">
        <f t="array" ref="H312">IFERROR(INDEX('PORTIFÓLIO'!$H$4:$H$433,MATCH($C312,'PORTIFÓLIO'!$C$4:$C$433,0)),"")</f>
        <v/>
      </c>
      <c r="I312" s="256"/>
      <c r="J312" s="218">
        <f t="shared" si="35"/>
        <v>0</v>
      </c>
      <c r="K312" s="292" t="str">
        <f t="array" ref="K312">IFERROR(I312*INDEX('PORTIFÓLIO'!$S$4:$S$433,MATCH($C312,'PORTIFÓLIO'!$C$4:$C$433,0)),"")</f>
        <v/>
      </c>
      <c r="L312" s="292" t="str">
        <f t="array" ref="L312">IFERROR(J312*INDEX('PORTIFÓLIO'!$S$4:$S$433,MATCH($C312,'PORTIFÓLIO'!$C$4:$C$433,0)),"")</f>
        <v/>
      </c>
      <c r="M312" s="220"/>
      <c r="N312" s="220"/>
      <c r="O312" s="220"/>
      <c r="P312" s="220"/>
      <c r="Q312" s="220"/>
      <c r="R312" s="220"/>
      <c r="S312" s="220"/>
      <c r="T312" s="220"/>
      <c r="U312" s="220"/>
      <c r="V312" s="220"/>
      <c r="W312" s="220"/>
    </row>
    <row r="313" ht="15.75" customHeight="1" outlineLevel="1">
      <c r="A313" s="211"/>
      <c r="B313" s="212"/>
      <c r="C313" s="213"/>
      <c r="D313" s="214" t="str">
        <f>IFERROR(VLOOKUP($C313,'PORTIFÓLIO'!C:V,2,0),"")</f>
        <v/>
      </c>
      <c r="E313" s="211" t="str">
        <f>IFERROR(VLOOKUP($C313,'PORTIFÓLIO'!C:V,3,0),"")</f>
        <v/>
      </c>
      <c r="F313" s="211" t="str">
        <f>IFERROR(VLOOKUP($C313,'PORTIFÓLIO'!C:V,4,0),"")</f>
        <v/>
      </c>
      <c r="G313" s="215" t="str">
        <f>IFERROR(VLOOKUP($C313,'PORTIFÓLIO'!C:V,5,0),"")</f>
        <v/>
      </c>
      <c r="H313" s="254" t="str">
        <f t="array" ref="H313">IFERROR(INDEX('PORTIFÓLIO'!$H$4:$H$433,MATCH($C313,'PORTIFÓLIO'!$C$4:$C$433,0)),"")</f>
        <v/>
      </c>
      <c r="I313" s="256"/>
      <c r="J313" s="218">
        <f t="shared" si="35"/>
        <v>0</v>
      </c>
      <c r="K313" s="292" t="str">
        <f t="array" ref="K313">IFERROR(I313*INDEX('PORTIFÓLIO'!$S$4:$S$433,MATCH($C313,'PORTIFÓLIO'!$C$4:$C$433,0)),"")</f>
        <v/>
      </c>
      <c r="L313" s="292" t="str">
        <f t="array" ref="L313">IFERROR(J313*INDEX('PORTIFÓLIO'!$S$4:$S$433,MATCH($C313,'PORTIFÓLIO'!$C$4:$C$433,0)),"")</f>
        <v/>
      </c>
      <c r="M313" s="220"/>
      <c r="N313" s="220"/>
      <c r="O313" s="220"/>
      <c r="P313" s="220"/>
      <c r="Q313" s="220"/>
      <c r="R313" s="220"/>
      <c r="S313" s="220"/>
      <c r="T313" s="220"/>
      <c r="U313" s="220"/>
      <c r="V313" s="220"/>
      <c r="W313" s="220"/>
    </row>
    <row r="314" ht="15.75" customHeight="1" outlineLevel="1">
      <c r="A314" s="211"/>
      <c r="B314" s="212"/>
      <c r="C314" s="213"/>
      <c r="D314" s="214" t="str">
        <f>IFERROR(VLOOKUP($C314,'PORTIFÓLIO'!C:V,2,0),"")</f>
        <v/>
      </c>
      <c r="E314" s="211" t="str">
        <f>IFERROR(VLOOKUP($C314,'PORTIFÓLIO'!C:V,3,0),"")</f>
        <v/>
      </c>
      <c r="F314" s="211" t="str">
        <f>IFERROR(VLOOKUP($C314,'PORTIFÓLIO'!C:V,4,0),"")</f>
        <v/>
      </c>
      <c r="G314" s="215" t="str">
        <f>IFERROR(VLOOKUP($C314,'PORTIFÓLIO'!C:V,5,0),"")</f>
        <v/>
      </c>
      <c r="H314" s="254" t="str">
        <f t="array" ref="H314">IFERROR(INDEX('PORTIFÓLIO'!$H$4:$H$433,MATCH($C314,'PORTIFÓLIO'!$C$4:$C$433,0)),"")</f>
        <v/>
      </c>
      <c r="I314" s="256"/>
      <c r="J314" s="218">
        <f t="shared" si="35"/>
        <v>0</v>
      </c>
      <c r="K314" s="292" t="str">
        <f t="array" ref="K314">IFERROR(I314*INDEX('PORTIFÓLIO'!$S$4:$S$433,MATCH($C314,'PORTIFÓLIO'!$C$4:$C$433,0)),"")</f>
        <v/>
      </c>
      <c r="L314" s="292" t="str">
        <f t="array" ref="L314">IFERROR(J314*INDEX('PORTIFÓLIO'!$S$4:$S$433,MATCH($C314,'PORTIFÓLIO'!$C$4:$C$433,0)),"")</f>
        <v/>
      </c>
      <c r="M314" s="220"/>
      <c r="N314" s="220"/>
      <c r="O314" s="220"/>
      <c r="P314" s="220"/>
      <c r="Q314" s="220"/>
      <c r="R314" s="220"/>
      <c r="S314" s="220"/>
      <c r="T314" s="220"/>
      <c r="U314" s="220"/>
      <c r="V314" s="220"/>
      <c r="W314" s="220"/>
    </row>
    <row r="315" ht="15.75" customHeight="1" outlineLevel="1">
      <c r="A315" s="211"/>
      <c r="B315" s="212"/>
      <c r="C315" s="213"/>
      <c r="D315" s="214" t="str">
        <f>IFERROR(VLOOKUP($C315,'PORTIFÓLIO'!C:V,2,0),"")</f>
        <v/>
      </c>
      <c r="E315" s="211" t="str">
        <f>IFERROR(VLOOKUP($C315,'PORTIFÓLIO'!C:V,3,0),"")</f>
        <v/>
      </c>
      <c r="F315" s="211" t="str">
        <f>IFERROR(VLOOKUP($C315,'PORTIFÓLIO'!C:V,4,0),"")</f>
        <v/>
      </c>
      <c r="G315" s="215" t="str">
        <f>IFERROR(VLOOKUP($C315,'PORTIFÓLIO'!C:V,5,0),"")</f>
        <v/>
      </c>
      <c r="H315" s="254" t="str">
        <f t="array" ref="H315">IFERROR(INDEX('PORTIFÓLIO'!$H$4:$H$433,MATCH($C315,'PORTIFÓLIO'!$C$4:$C$433,0)),"")</f>
        <v/>
      </c>
      <c r="I315" s="256"/>
      <c r="J315" s="218">
        <f t="shared" si="35"/>
        <v>0</v>
      </c>
      <c r="K315" s="292" t="str">
        <f t="array" ref="K315">IFERROR(I315*INDEX('PORTIFÓLIO'!$S$4:$S$433,MATCH($C315,'PORTIFÓLIO'!$C$4:$C$433,0)),"")</f>
        <v/>
      </c>
      <c r="L315" s="292" t="str">
        <f t="array" ref="L315">IFERROR(J315*INDEX('PORTIFÓLIO'!$S$4:$S$433,MATCH($C315,'PORTIFÓLIO'!$C$4:$C$433,0)),"")</f>
        <v/>
      </c>
      <c r="M315" s="220"/>
      <c r="N315" s="220"/>
      <c r="O315" s="220"/>
      <c r="P315" s="220"/>
      <c r="Q315" s="220"/>
      <c r="R315" s="220"/>
      <c r="S315" s="220"/>
      <c r="T315" s="220"/>
      <c r="U315" s="220"/>
      <c r="V315" s="220"/>
      <c r="W315" s="220"/>
    </row>
    <row r="316" ht="15.75" customHeight="1" outlineLevel="1">
      <c r="A316" s="211"/>
      <c r="B316" s="212"/>
      <c r="C316" s="213"/>
      <c r="D316" s="214" t="str">
        <f>IFERROR(VLOOKUP($C316,'PORTIFÓLIO'!C:V,2,0),"")</f>
        <v/>
      </c>
      <c r="E316" s="211" t="str">
        <f>IFERROR(VLOOKUP($C316,'PORTIFÓLIO'!C:V,3,0),"")</f>
        <v/>
      </c>
      <c r="F316" s="211" t="str">
        <f>IFERROR(VLOOKUP($C316,'PORTIFÓLIO'!C:V,4,0),"")</f>
        <v/>
      </c>
      <c r="G316" s="215" t="str">
        <f>IFERROR(VLOOKUP($C316,'PORTIFÓLIO'!C:V,5,0),"")</f>
        <v/>
      </c>
      <c r="H316" s="254" t="str">
        <f t="array" ref="H316">IFERROR(INDEX('PORTIFÓLIO'!$H$4:$H$433,MATCH($C316,'PORTIFÓLIO'!$C$4:$C$433,0)),"")</f>
        <v/>
      </c>
      <c r="I316" s="256"/>
      <c r="J316" s="218">
        <f t="shared" si="35"/>
        <v>0</v>
      </c>
      <c r="K316" s="292" t="str">
        <f t="array" ref="K316">IFERROR(I316*INDEX('PORTIFÓLIO'!$S$4:$S$433,MATCH($C316,'PORTIFÓLIO'!$C$4:$C$433,0)),"")</f>
        <v/>
      </c>
      <c r="L316" s="292" t="str">
        <f t="array" ref="L316">IFERROR(J316*INDEX('PORTIFÓLIO'!$S$4:$S$433,MATCH($C316,'PORTIFÓLIO'!$C$4:$C$433,0)),"")</f>
        <v/>
      </c>
      <c r="M316" s="220"/>
      <c r="N316" s="220"/>
      <c r="O316" s="220"/>
      <c r="P316" s="220"/>
      <c r="Q316" s="220"/>
      <c r="R316" s="220"/>
      <c r="S316" s="220"/>
      <c r="T316" s="220"/>
      <c r="U316" s="220"/>
      <c r="V316" s="220"/>
      <c r="W316" s="220"/>
    </row>
    <row r="317" ht="15.75" customHeight="1" outlineLevel="1">
      <c r="A317" s="211"/>
      <c r="B317" s="212"/>
      <c r="C317" s="213"/>
      <c r="D317" s="214" t="str">
        <f>IFERROR(VLOOKUP($C317,'PORTIFÓLIO'!C:V,2,0),"")</f>
        <v/>
      </c>
      <c r="E317" s="211" t="str">
        <f>IFERROR(VLOOKUP($C317,'PORTIFÓLIO'!C:V,3,0),"")</f>
        <v/>
      </c>
      <c r="F317" s="211" t="str">
        <f>IFERROR(VLOOKUP($C317,'PORTIFÓLIO'!C:V,4,0),"")</f>
        <v/>
      </c>
      <c r="G317" s="215" t="str">
        <f>IFERROR(VLOOKUP($C317,'PORTIFÓLIO'!C:V,5,0),"")</f>
        <v/>
      </c>
      <c r="H317" s="254" t="str">
        <f t="array" ref="H317">IFERROR(INDEX('PORTIFÓLIO'!$H$4:$H$433,MATCH($C317,'PORTIFÓLIO'!$C$4:$C$433,0)),"")</f>
        <v/>
      </c>
      <c r="I317" s="255"/>
      <c r="J317" s="218">
        <f t="shared" si="35"/>
        <v>0</v>
      </c>
      <c r="K317" s="292" t="str">
        <f t="array" ref="K317">IFERROR(I317*INDEX('PORTIFÓLIO'!$S$4:$S$433,MATCH($C317,'PORTIFÓLIO'!$C$4:$C$433,0)),"")</f>
        <v/>
      </c>
      <c r="L317" s="292" t="str">
        <f t="array" ref="L317">IFERROR(J317*INDEX('PORTIFÓLIO'!$S$4:$S$433,MATCH($C317,'PORTIFÓLIO'!$C$4:$C$433,0)),"")</f>
        <v/>
      </c>
      <c r="M317" s="220"/>
      <c r="N317" s="220"/>
      <c r="O317" s="220"/>
      <c r="P317" s="220"/>
      <c r="Q317" s="220"/>
      <c r="R317" s="220"/>
      <c r="S317" s="220"/>
      <c r="T317" s="220"/>
      <c r="U317" s="220"/>
      <c r="V317" s="220"/>
      <c r="W317" s="220"/>
    </row>
    <row r="318" ht="15.75" customHeight="1" outlineLevel="1">
      <c r="A318" s="211"/>
      <c r="B318" s="212"/>
      <c r="C318" s="213"/>
      <c r="D318" s="214" t="str">
        <f>IFERROR(VLOOKUP($C318,'PORTIFÓLIO'!C:V,2,0),"")</f>
        <v/>
      </c>
      <c r="E318" s="211" t="str">
        <f>IFERROR(VLOOKUP($C318,'PORTIFÓLIO'!C:V,3,0),"")</f>
        <v/>
      </c>
      <c r="F318" s="211" t="str">
        <f>IFERROR(VLOOKUP($C318,'PORTIFÓLIO'!C:V,4,0),"")</f>
        <v/>
      </c>
      <c r="G318" s="215" t="str">
        <f>IFERROR(VLOOKUP($C318,'PORTIFÓLIO'!C:V,5,0),"")</f>
        <v/>
      </c>
      <c r="H318" s="254" t="str">
        <f t="array" ref="H318">IFERROR(INDEX('PORTIFÓLIO'!$H$4:$H$433,MATCH($C318,'PORTIFÓLIO'!$C$4:$C$433,0)),"")</f>
        <v/>
      </c>
      <c r="I318" s="256"/>
      <c r="J318" s="218">
        <f t="shared" si="35"/>
        <v>0</v>
      </c>
      <c r="K318" s="292" t="str">
        <f t="array" ref="K318">IFERROR(I318*INDEX('PORTIFÓLIO'!$S$4:$S$433,MATCH($C318,'PORTIFÓLIO'!$C$4:$C$433,0)),"")</f>
        <v/>
      </c>
      <c r="L318" s="292" t="str">
        <f t="array" ref="L318">IFERROR(J318*INDEX('PORTIFÓLIO'!$S$4:$S$433,MATCH($C318,'PORTIFÓLIO'!$C$4:$C$433,0)),"")</f>
        <v/>
      </c>
      <c r="M318" s="220"/>
      <c r="N318" s="220"/>
      <c r="O318" s="220"/>
      <c r="P318" s="220"/>
      <c r="Q318" s="220"/>
      <c r="R318" s="220"/>
      <c r="S318" s="220"/>
      <c r="T318" s="220"/>
      <c r="U318" s="220"/>
      <c r="V318" s="220"/>
      <c r="W318" s="220"/>
    </row>
    <row r="319" ht="15.75" customHeight="1" outlineLevel="1">
      <c r="A319" s="211"/>
      <c r="B319" s="212"/>
      <c r="C319" s="213"/>
      <c r="D319" s="214" t="str">
        <f>IFERROR(VLOOKUP($C319,'PORTIFÓLIO'!C:V,2,0),"")</f>
        <v/>
      </c>
      <c r="E319" s="211" t="str">
        <f>IFERROR(VLOOKUP($C319,'PORTIFÓLIO'!C:V,3,0),"")</f>
        <v/>
      </c>
      <c r="F319" s="211" t="str">
        <f>IFERROR(VLOOKUP($C319,'PORTIFÓLIO'!C:V,4,0),"")</f>
        <v/>
      </c>
      <c r="G319" s="215" t="str">
        <f>IFERROR(VLOOKUP($C319,'PORTIFÓLIO'!C:V,5,0),"")</f>
        <v/>
      </c>
      <c r="H319" s="254" t="str">
        <f t="array" ref="H319">IFERROR(INDEX('PORTIFÓLIO'!$H$4:$H$433,MATCH($C319,'PORTIFÓLIO'!$C$4:$C$433,0)),"")</f>
        <v/>
      </c>
      <c r="I319" s="256"/>
      <c r="J319" s="218">
        <f t="shared" si="35"/>
        <v>0</v>
      </c>
      <c r="K319" s="292" t="str">
        <f t="array" ref="K319">IFERROR(I319*INDEX('PORTIFÓLIO'!$S$4:$S$433,MATCH($C319,'PORTIFÓLIO'!$C$4:$C$433,0)),"")</f>
        <v/>
      </c>
      <c r="L319" s="292" t="str">
        <f t="array" ref="L319">IFERROR(J319*INDEX('PORTIFÓLIO'!$S$4:$S$433,MATCH($C319,'PORTIFÓLIO'!$C$4:$C$433,0)),"")</f>
        <v/>
      </c>
      <c r="M319" s="220"/>
      <c r="N319" s="220"/>
      <c r="O319" s="220"/>
      <c r="P319" s="220"/>
      <c r="Q319" s="220"/>
      <c r="R319" s="220"/>
      <c r="S319" s="220"/>
      <c r="T319" s="220"/>
      <c r="U319" s="220"/>
      <c r="V319" s="220"/>
      <c r="W319" s="220"/>
    </row>
    <row r="320" ht="15.75" customHeight="1" outlineLevel="1">
      <c r="A320" s="211"/>
      <c r="B320" s="212"/>
      <c r="C320" s="213"/>
      <c r="D320" s="214" t="str">
        <f>IFERROR(VLOOKUP($C320,'PORTIFÓLIO'!C:V,2,0),"")</f>
        <v/>
      </c>
      <c r="E320" s="211" t="str">
        <f>IFERROR(VLOOKUP($C320,'PORTIFÓLIO'!C:V,3,0),"")</f>
        <v/>
      </c>
      <c r="F320" s="211" t="str">
        <f>IFERROR(VLOOKUP($C320,'PORTIFÓLIO'!C:V,4,0),"")</f>
        <v/>
      </c>
      <c r="G320" s="215" t="str">
        <f>IFERROR(VLOOKUP($C320,'PORTIFÓLIO'!C:V,5,0),"")</f>
        <v/>
      </c>
      <c r="H320" s="254" t="str">
        <f t="array" ref="H320">IFERROR(INDEX('PORTIFÓLIO'!$H$4:$H$433,MATCH($C320,'PORTIFÓLIO'!$C$4:$C$433,0)),"")</f>
        <v/>
      </c>
      <c r="I320" s="256"/>
      <c r="J320" s="218">
        <f t="shared" si="35"/>
        <v>0</v>
      </c>
      <c r="K320" s="292" t="str">
        <f t="array" ref="K320">IFERROR(I320*INDEX('PORTIFÓLIO'!$S$4:$S$433,MATCH($C320,'PORTIFÓLIO'!$C$4:$C$433,0)),"")</f>
        <v/>
      </c>
      <c r="L320" s="292" t="str">
        <f t="array" ref="L320">IFERROR(J320*INDEX('PORTIFÓLIO'!$S$4:$S$433,MATCH($C320,'PORTIFÓLIO'!$C$4:$C$433,0)),"")</f>
        <v/>
      </c>
      <c r="M320" s="220"/>
      <c r="N320" s="220"/>
      <c r="O320" s="220"/>
      <c r="P320" s="220"/>
      <c r="Q320" s="220"/>
      <c r="R320" s="220"/>
      <c r="S320" s="220"/>
      <c r="T320" s="220"/>
      <c r="U320" s="220"/>
      <c r="V320" s="220"/>
      <c r="W320" s="220"/>
    </row>
    <row r="321" ht="15.75" customHeight="1" outlineLevel="1">
      <c r="A321" s="211"/>
      <c r="B321" s="212"/>
      <c r="C321" s="213"/>
      <c r="D321" s="214" t="str">
        <f>IFERROR(VLOOKUP($C321,'PORTIFÓLIO'!C:V,2,0),"")</f>
        <v/>
      </c>
      <c r="E321" s="211" t="str">
        <f>IFERROR(VLOOKUP($C321,'PORTIFÓLIO'!C:V,3,0),"")</f>
        <v/>
      </c>
      <c r="F321" s="211" t="str">
        <f>IFERROR(VLOOKUP($C321,'PORTIFÓLIO'!C:V,4,0),"")</f>
        <v/>
      </c>
      <c r="G321" s="215" t="str">
        <f>IFERROR(VLOOKUP($C321,'PORTIFÓLIO'!C:V,5,0),"")</f>
        <v/>
      </c>
      <c r="H321" s="254" t="str">
        <f t="array" ref="H321">IFERROR(INDEX('PORTIFÓLIO'!$H$4:$H$433,MATCH($C321,'PORTIFÓLIO'!$C$4:$C$433,0)),"")</f>
        <v/>
      </c>
      <c r="I321" s="256"/>
      <c r="J321" s="218">
        <f t="shared" si="35"/>
        <v>0</v>
      </c>
      <c r="K321" s="292" t="str">
        <f t="array" ref="K321">IFERROR(I321*INDEX('PORTIFÓLIO'!$S$4:$S$433,MATCH($C321,'PORTIFÓLIO'!$C$4:$C$433,0)),"")</f>
        <v/>
      </c>
      <c r="L321" s="292" t="str">
        <f t="array" ref="L321">IFERROR(J321*INDEX('PORTIFÓLIO'!$S$4:$S$433,MATCH($C321,'PORTIFÓLIO'!$C$4:$C$433,0)),"")</f>
        <v/>
      </c>
      <c r="M321" s="220"/>
      <c r="N321" s="220"/>
      <c r="O321" s="220"/>
      <c r="P321" s="220"/>
      <c r="Q321" s="220"/>
      <c r="R321" s="220"/>
      <c r="S321" s="220"/>
      <c r="T321" s="220"/>
      <c r="U321" s="220"/>
      <c r="V321" s="220"/>
      <c r="W321" s="220"/>
    </row>
    <row r="322" ht="15.75" customHeight="1" outlineLevel="1">
      <c r="A322" s="211"/>
      <c r="B322" s="212"/>
      <c r="C322" s="213"/>
      <c r="D322" s="214" t="str">
        <f>IFERROR(VLOOKUP($C322,'PORTIFÓLIO'!C:V,2,0),"")</f>
        <v/>
      </c>
      <c r="E322" s="211" t="str">
        <f>IFERROR(VLOOKUP($C322,'PORTIFÓLIO'!C:V,3,0),"")</f>
        <v/>
      </c>
      <c r="F322" s="211" t="str">
        <f>IFERROR(VLOOKUP($C322,'PORTIFÓLIO'!C:V,4,0),"")</f>
        <v/>
      </c>
      <c r="G322" s="215" t="str">
        <f>IFERROR(VLOOKUP($C322,'PORTIFÓLIO'!C:V,5,0),"")</f>
        <v/>
      </c>
      <c r="H322" s="254" t="str">
        <f t="array" ref="H322">IFERROR(INDEX('PORTIFÓLIO'!$H$4:$H$433,MATCH($C322,'PORTIFÓLIO'!$C$4:$C$433,0)),"")</f>
        <v/>
      </c>
      <c r="I322" s="256"/>
      <c r="J322" s="218">
        <f t="shared" si="35"/>
        <v>0</v>
      </c>
      <c r="K322" s="292" t="str">
        <f t="array" ref="K322">IFERROR(I322*INDEX('PORTIFÓLIO'!$S$4:$S$433,MATCH($C322,'PORTIFÓLIO'!$C$4:$C$433,0)),"")</f>
        <v/>
      </c>
      <c r="L322" s="292" t="str">
        <f t="array" ref="L322">IFERROR(J322*INDEX('PORTIFÓLIO'!$S$4:$S$433,MATCH($C322,'PORTIFÓLIO'!$C$4:$C$433,0)),"")</f>
        <v/>
      </c>
      <c r="M322" s="220"/>
      <c r="N322" s="220"/>
      <c r="O322" s="220"/>
      <c r="P322" s="220"/>
      <c r="Q322" s="220"/>
      <c r="R322" s="220"/>
      <c r="S322" s="220"/>
      <c r="T322" s="220"/>
      <c r="U322" s="220"/>
      <c r="V322" s="220"/>
      <c r="W322" s="220"/>
    </row>
    <row r="323" ht="15.75" customHeight="1" outlineLevel="1">
      <c r="A323" s="211"/>
      <c r="B323" s="212"/>
      <c r="C323" s="213"/>
      <c r="D323" s="214" t="str">
        <f>IFERROR(VLOOKUP($C323,'PORTIFÓLIO'!C:V,2,0),"")</f>
        <v/>
      </c>
      <c r="E323" s="211" t="str">
        <f>IFERROR(VLOOKUP($C323,'PORTIFÓLIO'!C:V,3,0),"")</f>
        <v/>
      </c>
      <c r="F323" s="211" t="str">
        <f>IFERROR(VLOOKUP($C323,'PORTIFÓLIO'!C:V,4,0),"")</f>
        <v/>
      </c>
      <c r="G323" s="215" t="str">
        <f>IFERROR(VLOOKUP($C323,'PORTIFÓLIO'!C:V,5,0),"")</f>
        <v/>
      </c>
      <c r="H323" s="254" t="str">
        <f t="array" ref="H323">IFERROR(INDEX('PORTIFÓLIO'!$H$4:$H$433,MATCH($C323,'PORTIFÓLIO'!$C$4:$C$433,0)),"")</f>
        <v/>
      </c>
      <c r="I323" s="256"/>
      <c r="J323" s="218">
        <f t="shared" si="35"/>
        <v>0</v>
      </c>
      <c r="K323" s="292" t="str">
        <f t="array" ref="K323">IFERROR(I323*INDEX('PORTIFÓLIO'!$S$4:$S$433,MATCH($C323,'PORTIFÓLIO'!$C$4:$C$433,0)),"")</f>
        <v/>
      </c>
      <c r="L323" s="292" t="str">
        <f t="array" ref="L323">IFERROR(J323*INDEX('PORTIFÓLIO'!$S$4:$S$433,MATCH($C323,'PORTIFÓLIO'!$C$4:$C$433,0)),"")</f>
        <v/>
      </c>
      <c r="M323" s="220"/>
      <c r="N323" s="220"/>
      <c r="O323" s="220"/>
      <c r="P323" s="220"/>
      <c r="Q323" s="220"/>
      <c r="R323" s="220"/>
      <c r="S323" s="220"/>
      <c r="T323" s="220"/>
      <c r="U323" s="220"/>
      <c r="V323" s="220"/>
      <c r="W323" s="220"/>
    </row>
    <row r="324" ht="15.75" customHeight="1">
      <c r="A324" s="229" t="s">
        <v>1189</v>
      </c>
      <c r="B324" s="230"/>
      <c r="C324" s="231"/>
      <c r="D324" s="232"/>
      <c r="E324" s="231"/>
      <c r="F324" s="231"/>
      <c r="G324" s="233"/>
      <c r="H324" s="233"/>
      <c r="I324" s="258"/>
      <c r="J324" s="236"/>
      <c r="K324" s="237">
        <f t="shared" ref="K324:L324" si="36">SUBTOTAL(9,K325:K338)</f>
        <v>0</v>
      </c>
      <c r="L324" s="237">
        <f t="shared" si="36"/>
        <v>0</v>
      </c>
      <c r="M324" s="220"/>
      <c r="N324" s="220"/>
      <c r="O324" s="220"/>
      <c r="P324" s="220"/>
      <c r="Q324" s="220"/>
      <c r="R324" s="220"/>
      <c r="S324" s="220"/>
      <c r="T324" s="220"/>
      <c r="U324" s="220"/>
      <c r="V324" s="220"/>
      <c r="W324" s="220"/>
    </row>
    <row r="325" ht="15.75" customHeight="1" outlineLevel="1">
      <c r="A325" s="213"/>
      <c r="B325" s="212"/>
      <c r="C325" s="213"/>
      <c r="D325" s="214" t="str">
        <f>IFERROR(VLOOKUP($C325,'PORTIFÓLIO'!C:V,2,0),"")</f>
        <v/>
      </c>
      <c r="E325" s="211" t="str">
        <f>IFERROR(VLOOKUP($C325,'PORTIFÓLIO'!C:V,3,0),"")</f>
        <v/>
      </c>
      <c r="F325" s="211" t="str">
        <f>IFERROR(VLOOKUP($C325,'PORTIFÓLIO'!C:V,4,0),"")</f>
        <v/>
      </c>
      <c r="G325" s="215" t="str">
        <f>IFERROR(VLOOKUP($C325,'PORTIFÓLIO'!C:V,5,0),"")</f>
        <v/>
      </c>
      <c r="H325" s="254" t="str">
        <f t="array" ref="H325">IFERROR(INDEX('PORTIFÓLIO'!$H$4:$H$433,MATCH($C325,'PORTIFÓLIO'!$C$4:$C$433,0)),"")</f>
        <v/>
      </c>
      <c r="I325" s="255"/>
      <c r="J325" s="218">
        <f t="shared" ref="J325:J339" si="37">I325*$B$2</f>
        <v>0</v>
      </c>
      <c r="K325" s="292" t="str">
        <f t="array" ref="K325">IFERROR(I325*INDEX('PORTIFÓLIO'!$S$4:$S$433,MATCH($C325,'PORTIFÓLIO'!$C$4:$C$433,0)),"")</f>
        <v/>
      </c>
      <c r="L325" s="292" t="str">
        <f t="array" ref="L325">IFERROR(J325*INDEX('PORTIFÓLIO'!$S$4:$S$433,MATCH($C325,'PORTIFÓLIO'!$C$4:$C$433,0)),"")</f>
        <v/>
      </c>
      <c r="M325" s="220"/>
      <c r="N325" s="220"/>
      <c r="O325" s="220"/>
      <c r="P325" s="220"/>
      <c r="Q325" s="220"/>
      <c r="R325" s="220"/>
      <c r="S325" s="220"/>
      <c r="T325" s="220"/>
      <c r="U325" s="220"/>
      <c r="V325" s="220"/>
      <c r="W325" s="220"/>
    </row>
    <row r="326" ht="15.75" customHeight="1" outlineLevel="1">
      <c r="A326" s="211"/>
      <c r="B326" s="212"/>
      <c r="C326" s="213"/>
      <c r="D326" s="214" t="str">
        <f>IFERROR(VLOOKUP($C326,'PORTIFÓLIO'!C:V,2,0),"")</f>
        <v/>
      </c>
      <c r="E326" s="211" t="str">
        <f>IFERROR(VLOOKUP($C326,'PORTIFÓLIO'!C:V,3,0),"")</f>
        <v/>
      </c>
      <c r="F326" s="211" t="str">
        <f>IFERROR(VLOOKUP($C326,'PORTIFÓLIO'!C:V,4,0),"")</f>
        <v/>
      </c>
      <c r="G326" s="215" t="str">
        <f>IFERROR(VLOOKUP($C326,'PORTIFÓLIO'!C:V,5,0),"")</f>
        <v/>
      </c>
      <c r="H326" s="254" t="str">
        <f t="array" ref="H326">IFERROR(INDEX('PORTIFÓLIO'!$H$4:$H$433,MATCH($C326,'PORTIFÓLIO'!$C$4:$C$433,0)),"")</f>
        <v/>
      </c>
      <c r="I326" s="256"/>
      <c r="J326" s="218">
        <f t="shared" si="37"/>
        <v>0</v>
      </c>
      <c r="K326" s="292" t="str">
        <f t="array" ref="K326">IFERROR(I326*INDEX('PORTIFÓLIO'!$S$4:$S$433,MATCH($C326,'PORTIFÓLIO'!$C$4:$C$433,0)),"")</f>
        <v/>
      </c>
      <c r="L326" s="292" t="str">
        <f t="array" ref="L326">IFERROR(J326*INDEX('PORTIFÓLIO'!$S$4:$S$433,MATCH($C326,'PORTIFÓLIO'!$C$4:$C$433,0)),"")</f>
        <v/>
      </c>
      <c r="M326" s="220"/>
      <c r="N326" s="220"/>
      <c r="O326" s="220"/>
      <c r="P326" s="220"/>
      <c r="Q326" s="220"/>
      <c r="R326" s="220"/>
      <c r="S326" s="220"/>
      <c r="T326" s="220"/>
      <c r="U326" s="220"/>
      <c r="V326" s="220"/>
      <c r="W326" s="220"/>
    </row>
    <row r="327" ht="15.75" customHeight="1" outlineLevel="1">
      <c r="A327" s="211"/>
      <c r="B327" s="212"/>
      <c r="C327" s="213"/>
      <c r="D327" s="214" t="str">
        <f>IFERROR(VLOOKUP($C327,'PORTIFÓLIO'!C:V,2,0),"")</f>
        <v/>
      </c>
      <c r="E327" s="211" t="str">
        <f>IFERROR(VLOOKUP($C327,'PORTIFÓLIO'!C:V,3,0),"")</f>
        <v/>
      </c>
      <c r="F327" s="211" t="str">
        <f>IFERROR(VLOOKUP($C327,'PORTIFÓLIO'!C:V,4,0),"")</f>
        <v/>
      </c>
      <c r="G327" s="215" t="str">
        <f>IFERROR(VLOOKUP($C327,'PORTIFÓLIO'!C:V,5,0),"")</f>
        <v/>
      </c>
      <c r="H327" s="254" t="str">
        <f t="array" ref="H327">IFERROR(INDEX('PORTIFÓLIO'!$H$4:$H$433,MATCH($C327,'PORTIFÓLIO'!$C$4:$C$433,0)),"")</f>
        <v/>
      </c>
      <c r="I327" s="256"/>
      <c r="J327" s="218">
        <f t="shared" si="37"/>
        <v>0</v>
      </c>
      <c r="K327" s="292" t="str">
        <f t="array" ref="K327">IFERROR(I327*INDEX('PORTIFÓLIO'!$S$4:$S$433,MATCH($C327,'PORTIFÓLIO'!$C$4:$C$433,0)),"")</f>
        <v/>
      </c>
      <c r="L327" s="292" t="str">
        <f t="array" ref="L327">IFERROR(J327*INDEX('PORTIFÓLIO'!$S$4:$S$433,MATCH($C327,'PORTIFÓLIO'!$C$4:$C$433,0)),"")</f>
        <v/>
      </c>
      <c r="M327" s="220"/>
      <c r="N327" s="220"/>
      <c r="O327" s="220"/>
      <c r="P327" s="220"/>
      <c r="Q327" s="220"/>
      <c r="R327" s="220"/>
      <c r="S327" s="220"/>
      <c r="T327" s="220"/>
      <c r="U327" s="220"/>
      <c r="V327" s="220"/>
      <c r="W327" s="220"/>
    </row>
    <row r="328" ht="15.75" customHeight="1" outlineLevel="1">
      <c r="A328" s="211"/>
      <c r="B328" s="212"/>
      <c r="C328" s="213"/>
      <c r="D328" s="214" t="str">
        <f>IFERROR(VLOOKUP($C328,'PORTIFÓLIO'!C:V,2,0),"")</f>
        <v/>
      </c>
      <c r="E328" s="211" t="str">
        <f>IFERROR(VLOOKUP($C328,'PORTIFÓLIO'!C:V,3,0),"")</f>
        <v/>
      </c>
      <c r="F328" s="211" t="str">
        <f>IFERROR(VLOOKUP($C328,'PORTIFÓLIO'!C:V,4,0),"")</f>
        <v/>
      </c>
      <c r="G328" s="215" t="str">
        <f>IFERROR(VLOOKUP($C328,'PORTIFÓLIO'!C:V,5,0),"")</f>
        <v/>
      </c>
      <c r="H328" s="254" t="str">
        <f t="array" ref="H328">IFERROR(INDEX('PORTIFÓLIO'!$H$4:$H$433,MATCH($C328,'PORTIFÓLIO'!$C$4:$C$433,0)),"")</f>
        <v/>
      </c>
      <c r="I328" s="256"/>
      <c r="J328" s="218">
        <f t="shared" si="37"/>
        <v>0</v>
      </c>
      <c r="K328" s="292" t="str">
        <f t="array" ref="K328">IFERROR(I328*INDEX('PORTIFÓLIO'!$S$4:$S$433,MATCH($C328,'PORTIFÓLIO'!$C$4:$C$433,0)),"")</f>
        <v/>
      </c>
      <c r="L328" s="292" t="str">
        <f t="array" ref="L328">IFERROR(J328*INDEX('PORTIFÓLIO'!$S$4:$S$433,MATCH($C328,'PORTIFÓLIO'!$C$4:$C$433,0)),"")</f>
        <v/>
      </c>
      <c r="M328" s="220"/>
      <c r="N328" s="220"/>
      <c r="O328" s="220"/>
      <c r="P328" s="220"/>
      <c r="Q328" s="220"/>
      <c r="R328" s="220"/>
      <c r="S328" s="220"/>
      <c r="T328" s="220"/>
      <c r="U328" s="220"/>
      <c r="V328" s="220"/>
      <c r="W328" s="220"/>
    </row>
    <row r="329" ht="15.75" customHeight="1" outlineLevel="1">
      <c r="A329" s="211"/>
      <c r="B329" s="212"/>
      <c r="C329" s="213"/>
      <c r="D329" s="214" t="str">
        <f>IFERROR(VLOOKUP($C329,'PORTIFÓLIO'!C:V,2,0),"")</f>
        <v/>
      </c>
      <c r="E329" s="211" t="str">
        <f>IFERROR(VLOOKUP($C329,'PORTIFÓLIO'!C:V,3,0),"")</f>
        <v/>
      </c>
      <c r="F329" s="211" t="str">
        <f>IFERROR(VLOOKUP($C329,'PORTIFÓLIO'!C:V,4,0),"")</f>
        <v/>
      </c>
      <c r="G329" s="215" t="str">
        <f>IFERROR(VLOOKUP($C329,'PORTIFÓLIO'!C:V,5,0),"")</f>
        <v/>
      </c>
      <c r="H329" s="254" t="str">
        <f t="array" ref="H329">IFERROR(INDEX('PORTIFÓLIO'!$H$4:$H$433,MATCH($C329,'PORTIFÓLIO'!$C$4:$C$433,0)),"")</f>
        <v/>
      </c>
      <c r="I329" s="256"/>
      <c r="J329" s="218">
        <f t="shared" si="37"/>
        <v>0</v>
      </c>
      <c r="K329" s="292" t="str">
        <f t="array" ref="K329">IFERROR(I329*INDEX('PORTIFÓLIO'!$S$4:$S$433,MATCH($C329,'PORTIFÓLIO'!$C$4:$C$433,0)),"")</f>
        <v/>
      </c>
      <c r="L329" s="292" t="str">
        <f t="array" ref="L329">IFERROR(J329*INDEX('PORTIFÓLIO'!$S$4:$S$433,MATCH($C329,'PORTIFÓLIO'!$C$4:$C$433,0)),"")</f>
        <v/>
      </c>
      <c r="M329" s="220"/>
      <c r="N329" s="220"/>
      <c r="O329" s="220"/>
      <c r="P329" s="220"/>
      <c r="Q329" s="220"/>
      <c r="R329" s="220"/>
      <c r="S329" s="220"/>
      <c r="T329" s="220"/>
      <c r="U329" s="220"/>
      <c r="V329" s="220"/>
      <c r="W329" s="220"/>
    </row>
    <row r="330" ht="15.75" customHeight="1" outlineLevel="1">
      <c r="A330" s="211"/>
      <c r="B330" s="212"/>
      <c r="C330" s="213"/>
      <c r="D330" s="214" t="str">
        <f>IFERROR(VLOOKUP($C330,'PORTIFÓLIO'!C:V,2,0),"")</f>
        <v/>
      </c>
      <c r="E330" s="211" t="str">
        <f>IFERROR(VLOOKUP($C330,'PORTIFÓLIO'!C:V,3,0),"")</f>
        <v/>
      </c>
      <c r="F330" s="211" t="str">
        <f>IFERROR(VLOOKUP($C330,'PORTIFÓLIO'!C:V,4,0),"")</f>
        <v/>
      </c>
      <c r="G330" s="215" t="str">
        <f>IFERROR(VLOOKUP($C330,'PORTIFÓLIO'!C:V,5,0),"")</f>
        <v/>
      </c>
      <c r="H330" s="254" t="str">
        <f t="array" ref="H330">IFERROR(INDEX('PORTIFÓLIO'!$H$4:$H$433,MATCH($C330,'PORTIFÓLIO'!$C$4:$C$433,0)),"")</f>
        <v/>
      </c>
      <c r="I330" s="256"/>
      <c r="J330" s="218">
        <f t="shared" si="37"/>
        <v>0</v>
      </c>
      <c r="K330" s="292" t="str">
        <f t="array" ref="K330">IFERROR(I330*INDEX('PORTIFÓLIO'!$S$4:$S$433,MATCH($C330,'PORTIFÓLIO'!$C$4:$C$433,0)),"")</f>
        <v/>
      </c>
      <c r="L330" s="292" t="str">
        <f t="array" ref="L330">IFERROR(J330*INDEX('PORTIFÓLIO'!$S$4:$S$433,MATCH($C330,'PORTIFÓLIO'!$C$4:$C$433,0)),"")</f>
        <v/>
      </c>
      <c r="M330" s="220"/>
      <c r="N330" s="220"/>
      <c r="O330" s="220"/>
      <c r="P330" s="220"/>
      <c r="Q330" s="220"/>
      <c r="R330" s="220"/>
      <c r="S330" s="220"/>
      <c r="T330" s="220"/>
      <c r="U330" s="220"/>
      <c r="V330" s="220"/>
      <c r="W330" s="220"/>
    </row>
    <row r="331" ht="15.75" customHeight="1" outlineLevel="1">
      <c r="A331" s="211"/>
      <c r="B331" s="212"/>
      <c r="C331" s="213"/>
      <c r="D331" s="214" t="str">
        <f>IFERROR(VLOOKUP($C331,'PORTIFÓLIO'!C:V,2,0),"")</f>
        <v/>
      </c>
      <c r="E331" s="211" t="str">
        <f>IFERROR(VLOOKUP($C331,'PORTIFÓLIO'!C:V,3,0),"")</f>
        <v/>
      </c>
      <c r="F331" s="211" t="str">
        <f>IFERROR(VLOOKUP($C331,'PORTIFÓLIO'!C:V,4,0),"")</f>
        <v/>
      </c>
      <c r="G331" s="215" t="str">
        <f>IFERROR(VLOOKUP($C331,'PORTIFÓLIO'!C:V,5,0),"")</f>
        <v/>
      </c>
      <c r="H331" s="254" t="str">
        <f t="array" ref="H331">IFERROR(INDEX('PORTIFÓLIO'!$H$4:$H$433,MATCH($C331,'PORTIFÓLIO'!$C$4:$C$433,0)),"")</f>
        <v/>
      </c>
      <c r="I331" s="256"/>
      <c r="J331" s="218">
        <f t="shared" si="37"/>
        <v>0</v>
      </c>
      <c r="K331" s="292" t="str">
        <f t="array" ref="K331">IFERROR(I331*INDEX('PORTIFÓLIO'!$S$4:$S$433,MATCH($C331,'PORTIFÓLIO'!$C$4:$C$433,0)),"")</f>
        <v/>
      </c>
      <c r="L331" s="292" t="str">
        <f t="array" ref="L331">IFERROR(J331*INDEX('PORTIFÓLIO'!$S$4:$S$433,MATCH($C331,'PORTIFÓLIO'!$C$4:$C$433,0)),"")</f>
        <v/>
      </c>
      <c r="M331" s="220"/>
      <c r="N331" s="220"/>
      <c r="O331" s="220"/>
      <c r="P331" s="220"/>
      <c r="Q331" s="220"/>
      <c r="R331" s="220"/>
      <c r="S331" s="220"/>
      <c r="T331" s="220"/>
      <c r="U331" s="220"/>
      <c r="V331" s="220"/>
      <c r="W331" s="220"/>
    </row>
    <row r="332" ht="15.75" customHeight="1" outlineLevel="1">
      <c r="A332" s="211"/>
      <c r="B332" s="212"/>
      <c r="C332" s="213"/>
      <c r="D332" s="214" t="str">
        <f>IFERROR(VLOOKUP($C332,'PORTIFÓLIO'!C:V,2,0),"")</f>
        <v/>
      </c>
      <c r="E332" s="211" t="str">
        <f>IFERROR(VLOOKUP($C332,'PORTIFÓLIO'!C:V,3,0),"")</f>
        <v/>
      </c>
      <c r="F332" s="211" t="str">
        <f>IFERROR(VLOOKUP($C332,'PORTIFÓLIO'!C:V,4,0),"")</f>
        <v/>
      </c>
      <c r="G332" s="215" t="str">
        <f>IFERROR(VLOOKUP($C332,'PORTIFÓLIO'!C:V,5,0),"")</f>
        <v/>
      </c>
      <c r="H332" s="254" t="str">
        <f t="array" ref="H332">IFERROR(INDEX('PORTIFÓLIO'!$H$4:$H$433,MATCH($C332,'PORTIFÓLIO'!$C$4:$C$433,0)),"")</f>
        <v/>
      </c>
      <c r="I332" s="256"/>
      <c r="J332" s="218">
        <f t="shared" si="37"/>
        <v>0</v>
      </c>
      <c r="K332" s="292" t="str">
        <f t="array" ref="K332">IFERROR(I332*INDEX('PORTIFÓLIO'!$S$4:$S$433,MATCH($C332,'PORTIFÓLIO'!$C$4:$C$433,0)),"")</f>
        <v/>
      </c>
      <c r="L332" s="292" t="str">
        <f t="array" ref="L332">IFERROR(J332*INDEX('PORTIFÓLIO'!$S$4:$S$433,MATCH($C332,'PORTIFÓLIO'!$C$4:$C$433,0)),"")</f>
        <v/>
      </c>
      <c r="M332" s="220"/>
      <c r="N332" s="220"/>
      <c r="O332" s="220"/>
      <c r="P332" s="220"/>
      <c r="Q332" s="220"/>
      <c r="R332" s="220"/>
      <c r="S332" s="220"/>
      <c r="T332" s="220"/>
      <c r="U332" s="220"/>
      <c r="V332" s="220"/>
      <c r="W332" s="220"/>
    </row>
    <row r="333" ht="15.75" customHeight="1" outlineLevel="1">
      <c r="A333" s="211"/>
      <c r="B333" s="212"/>
      <c r="C333" s="213"/>
      <c r="D333" s="214" t="str">
        <f>IFERROR(VLOOKUP($C333,'PORTIFÓLIO'!C:V,2,0),"")</f>
        <v/>
      </c>
      <c r="E333" s="211" t="str">
        <f>IFERROR(VLOOKUP($C333,'PORTIFÓLIO'!C:V,3,0),"")</f>
        <v/>
      </c>
      <c r="F333" s="211" t="str">
        <f>IFERROR(VLOOKUP($C333,'PORTIFÓLIO'!C:V,4,0),"")</f>
        <v/>
      </c>
      <c r="G333" s="215" t="str">
        <f>IFERROR(VLOOKUP($C333,'PORTIFÓLIO'!C:V,5,0),"")</f>
        <v/>
      </c>
      <c r="H333" s="254" t="str">
        <f t="array" ref="H333">IFERROR(INDEX('PORTIFÓLIO'!$H$4:$H$433,MATCH($C333,'PORTIFÓLIO'!$C$4:$C$433,0)),"")</f>
        <v/>
      </c>
      <c r="I333" s="255"/>
      <c r="J333" s="218">
        <f t="shared" si="37"/>
        <v>0</v>
      </c>
      <c r="K333" s="292" t="str">
        <f t="array" ref="K333">IFERROR(I333*INDEX('PORTIFÓLIO'!$S$4:$S$433,MATCH($C333,'PORTIFÓLIO'!$C$4:$C$433,0)),"")</f>
        <v/>
      </c>
      <c r="L333" s="292" t="str">
        <f t="array" ref="L333">IFERROR(J333*INDEX('PORTIFÓLIO'!$S$4:$S$433,MATCH($C333,'PORTIFÓLIO'!$C$4:$C$433,0)),"")</f>
        <v/>
      </c>
      <c r="M333" s="220"/>
      <c r="N333" s="220"/>
      <c r="O333" s="220"/>
      <c r="P333" s="220"/>
      <c r="Q333" s="220"/>
      <c r="R333" s="220"/>
      <c r="S333" s="220"/>
      <c r="T333" s="220"/>
      <c r="U333" s="220"/>
      <c r="V333" s="220"/>
      <c r="W333" s="220"/>
    </row>
    <row r="334" ht="15.75" customHeight="1" outlineLevel="1">
      <c r="A334" s="211"/>
      <c r="B334" s="212"/>
      <c r="C334" s="213"/>
      <c r="D334" s="214" t="str">
        <f>IFERROR(VLOOKUP($C334,'PORTIFÓLIO'!C:V,2,0),"")</f>
        <v/>
      </c>
      <c r="E334" s="211" t="str">
        <f>IFERROR(VLOOKUP($C334,'PORTIFÓLIO'!C:V,3,0),"")</f>
        <v/>
      </c>
      <c r="F334" s="211" t="str">
        <f>IFERROR(VLOOKUP($C334,'PORTIFÓLIO'!C:V,4,0),"")</f>
        <v/>
      </c>
      <c r="G334" s="215" t="str">
        <f>IFERROR(VLOOKUP($C334,'PORTIFÓLIO'!C:V,5,0),"")</f>
        <v/>
      </c>
      <c r="H334" s="254" t="str">
        <f t="array" ref="H334">IFERROR(INDEX('PORTIFÓLIO'!$H$4:$H$433,MATCH($C334,'PORTIFÓLIO'!$C$4:$C$433,0)),"")</f>
        <v/>
      </c>
      <c r="I334" s="256"/>
      <c r="J334" s="218">
        <f t="shared" si="37"/>
        <v>0</v>
      </c>
      <c r="K334" s="292" t="str">
        <f t="array" ref="K334">IFERROR(I334*INDEX('PORTIFÓLIO'!$S$4:$S$433,MATCH($C334,'PORTIFÓLIO'!$C$4:$C$433,0)),"")</f>
        <v/>
      </c>
      <c r="L334" s="292" t="str">
        <f t="array" ref="L334">IFERROR(J334*INDEX('PORTIFÓLIO'!$S$4:$S$433,MATCH($C334,'PORTIFÓLIO'!$C$4:$C$433,0)),"")</f>
        <v/>
      </c>
      <c r="M334" s="220"/>
      <c r="N334" s="220"/>
      <c r="O334" s="220"/>
      <c r="P334" s="220"/>
      <c r="Q334" s="220"/>
      <c r="R334" s="220"/>
      <c r="S334" s="220"/>
      <c r="T334" s="220"/>
      <c r="U334" s="220"/>
      <c r="V334" s="220"/>
      <c r="W334" s="220"/>
    </row>
    <row r="335" ht="15.75" customHeight="1" outlineLevel="1">
      <c r="A335" s="211"/>
      <c r="B335" s="212"/>
      <c r="C335" s="213"/>
      <c r="D335" s="214" t="str">
        <f>IFERROR(VLOOKUP($C335,'PORTIFÓLIO'!C:V,2,0),"")</f>
        <v/>
      </c>
      <c r="E335" s="211" t="str">
        <f>IFERROR(VLOOKUP($C335,'PORTIFÓLIO'!C:V,3,0),"")</f>
        <v/>
      </c>
      <c r="F335" s="211" t="str">
        <f>IFERROR(VLOOKUP($C335,'PORTIFÓLIO'!C:V,4,0),"")</f>
        <v/>
      </c>
      <c r="G335" s="215" t="str">
        <f>IFERROR(VLOOKUP($C335,'PORTIFÓLIO'!C:V,5,0),"")</f>
        <v/>
      </c>
      <c r="H335" s="254" t="str">
        <f t="array" ref="H335">IFERROR(INDEX('PORTIFÓLIO'!$H$4:$H$433,MATCH($C335,'PORTIFÓLIO'!$C$4:$C$433,0)),"")</f>
        <v/>
      </c>
      <c r="I335" s="256"/>
      <c r="J335" s="218">
        <f t="shared" si="37"/>
        <v>0</v>
      </c>
      <c r="K335" s="292" t="str">
        <f t="array" ref="K335">IFERROR(I335*INDEX('PORTIFÓLIO'!$S$4:$S$433,MATCH($C335,'PORTIFÓLIO'!$C$4:$C$433,0)),"")</f>
        <v/>
      </c>
      <c r="L335" s="292" t="str">
        <f t="array" ref="L335">IFERROR(J335*INDEX('PORTIFÓLIO'!$S$4:$S$433,MATCH($C335,'PORTIFÓLIO'!$C$4:$C$433,0)),"")</f>
        <v/>
      </c>
      <c r="M335" s="220"/>
      <c r="N335" s="220"/>
      <c r="O335" s="220"/>
      <c r="P335" s="220"/>
      <c r="Q335" s="220"/>
      <c r="R335" s="220"/>
      <c r="S335" s="220"/>
      <c r="T335" s="220"/>
      <c r="U335" s="220"/>
      <c r="V335" s="220"/>
      <c r="W335" s="220"/>
    </row>
    <row r="336" ht="15.75" customHeight="1" outlineLevel="1">
      <c r="A336" s="211"/>
      <c r="B336" s="212"/>
      <c r="C336" s="213"/>
      <c r="D336" s="214" t="str">
        <f>IFERROR(VLOOKUP($C336,'PORTIFÓLIO'!C:V,2,0),"")</f>
        <v/>
      </c>
      <c r="E336" s="211" t="str">
        <f>IFERROR(VLOOKUP($C336,'PORTIFÓLIO'!C:V,3,0),"")</f>
        <v/>
      </c>
      <c r="F336" s="211" t="str">
        <f>IFERROR(VLOOKUP($C336,'PORTIFÓLIO'!C:V,4,0),"")</f>
        <v/>
      </c>
      <c r="G336" s="215" t="str">
        <f>IFERROR(VLOOKUP($C336,'PORTIFÓLIO'!C:V,5,0),"")</f>
        <v/>
      </c>
      <c r="H336" s="254" t="str">
        <f t="array" ref="H336">IFERROR(INDEX('PORTIFÓLIO'!$H$4:$H$433,MATCH($C336,'PORTIFÓLIO'!$C$4:$C$433,0)),"")</f>
        <v/>
      </c>
      <c r="I336" s="256"/>
      <c r="J336" s="218">
        <f t="shared" si="37"/>
        <v>0</v>
      </c>
      <c r="K336" s="292" t="str">
        <f t="array" ref="K336">IFERROR(I336*INDEX('PORTIFÓLIO'!$S$4:$S$433,MATCH($C336,'PORTIFÓLIO'!$C$4:$C$433,0)),"")</f>
        <v/>
      </c>
      <c r="L336" s="292" t="str">
        <f t="array" ref="L336">IFERROR(J336*INDEX('PORTIFÓLIO'!$S$4:$S$433,MATCH($C336,'PORTIFÓLIO'!$C$4:$C$433,0)),"")</f>
        <v/>
      </c>
      <c r="M336" s="220"/>
      <c r="N336" s="220"/>
      <c r="O336" s="220"/>
      <c r="P336" s="220"/>
      <c r="Q336" s="220"/>
      <c r="R336" s="220"/>
      <c r="S336" s="220"/>
      <c r="T336" s="220"/>
      <c r="U336" s="220"/>
      <c r="V336" s="220"/>
      <c r="W336" s="220"/>
    </row>
    <row r="337" ht="15.75" customHeight="1" outlineLevel="1">
      <c r="A337" s="211"/>
      <c r="B337" s="212"/>
      <c r="C337" s="213"/>
      <c r="D337" s="214" t="str">
        <f>IFERROR(VLOOKUP($C337,'PORTIFÓLIO'!C:V,2,0),"")</f>
        <v/>
      </c>
      <c r="E337" s="211" t="str">
        <f>IFERROR(VLOOKUP($C337,'PORTIFÓLIO'!C:V,3,0),"")</f>
        <v/>
      </c>
      <c r="F337" s="211" t="str">
        <f>IFERROR(VLOOKUP($C337,'PORTIFÓLIO'!C:V,4,0),"")</f>
        <v/>
      </c>
      <c r="G337" s="215" t="str">
        <f>IFERROR(VLOOKUP($C337,'PORTIFÓLIO'!C:V,5,0),"")</f>
        <v/>
      </c>
      <c r="H337" s="254" t="str">
        <f t="array" ref="H337">IFERROR(INDEX('PORTIFÓLIO'!$H$4:$H$433,MATCH($C337,'PORTIFÓLIO'!$C$4:$C$433,0)),"")</f>
        <v/>
      </c>
      <c r="I337" s="256"/>
      <c r="J337" s="218">
        <f t="shared" si="37"/>
        <v>0</v>
      </c>
      <c r="K337" s="292" t="str">
        <f t="array" ref="K337">IFERROR(I337*INDEX('PORTIFÓLIO'!$S$4:$S$433,MATCH($C337,'PORTIFÓLIO'!$C$4:$C$433,0)),"")</f>
        <v/>
      </c>
      <c r="L337" s="292" t="str">
        <f t="array" ref="L337">IFERROR(J337*INDEX('PORTIFÓLIO'!$S$4:$S$433,MATCH($C337,'PORTIFÓLIO'!$C$4:$C$433,0)),"")</f>
        <v/>
      </c>
      <c r="M337" s="220"/>
      <c r="N337" s="220"/>
      <c r="O337" s="220"/>
      <c r="P337" s="220"/>
      <c r="Q337" s="220"/>
      <c r="R337" s="220"/>
      <c r="S337" s="220"/>
      <c r="T337" s="220"/>
      <c r="U337" s="220"/>
      <c r="V337" s="220"/>
      <c r="W337" s="220"/>
    </row>
    <row r="338" ht="15.75" customHeight="1" outlineLevel="1">
      <c r="A338" s="211"/>
      <c r="B338" s="212"/>
      <c r="C338" s="213"/>
      <c r="D338" s="214" t="str">
        <f>IFERROR(VLOOKUP($C338,'PORTIFÓLIO'!C:V,2,0),"")</f>
        <v/>
      </c>
      <c r="E338" s="211" t="str">
        <f>IFERROR(VLOOKUP($C338,'PORTIFÓLIO'!C:V,3,0),"")</f>
        <v/>
      </c>
      <c r="F338" s="211" t="str">
        <f>IFERROR(VLOOKUP($C338,'PORTIFÓLIO'!C:V,4,0),"")</f>
        <v/>
      </c>
      <c r="G338" s="215" t="str">
        <f>IFERROR(VLOOKUP($C338,'PORTIFÓLIO'!C:V,5,0),"")</f>
        <v/>
      </c>
      <c r="H338" s="254" t="str">
        <f t="array" ref="H338">IFERROR(INDEX('PORTIFÓLIO'!$H$4:$H$433,MATCH($C338,'PORTIFÓLIO'!$C$4:$C$433,0)),"")</f>
        <v/>
      </c>
      <c r="I338" s="256"/>
      <c r="J338" s="218">
        <f t="shared" si="37"/>
        <v>0</v>
      </c>
      <c r="K338" s="292" t="str">
        <f t="array" ref="K338">IFERROR(I338*INDEX('PORTIFÓLIO'!$S$4:$S$433,MATCH($C338,'PORTIFÓLIO'!$C$4:$C$433,0)),"")</f>
        <v/>
      </c>
      <c r="L338" s="292" t="str">
        <f t="array" ref="L338">IFERROR(J338*INDEX('PORTIFÓLIO'!$S$4:$S$433,MATCH($C338,'PORTIFÓLIO'!$C$4:$C$433,0)),"")</f>
        <v/>
      </c>
      <c r="M338" s="220"/>
      <c r="N338" s="220"/>
      <c r="O338" s="220"/>
      <c r="P338" s="220"/>
      <c r="Q338" s="220"/>
      <c r="R338" s="220"/>
      <c r="S338" s="220"/>
      <c r="T338" s="220"/>
      <c r="U338" s="220"/>
      <c r="V338" s="220"/>
      <c r="W338" s="220"/>
    </row>
    <row r="339" ht="15.75" customHeight="1" outlineLevel="1">
      <c r="A339" s="211"/>
      <c r="B339" s="212"/>
      <c r="C339" s="213"/>
      <c r="D339" s="214" t="str">
        <f>IFERROR(VLOOKUP($C339,'PORTIFÓLIO'!C:V,2,0),"")</f>
        <v/>
      </c>
      <c r="E339" s="211" t="str">
        <f>IFERROR(VLOOKUP($C339,'PORTIFÓLIO'!C:V,3,0),"")</f>
        <v/>
      </c>
      <c r="F339" s="211" t="str">
        <f>IFERROR(VLOOKUP($C339,'PORTIFÓLIO'!C:V,4,0),"")</f>
        <v/>
      </c>
      <c r="G339" s="215" t="str">
        <f>IFERROR(VLOOKUP($C339,'PORTIFÓLIO'!C:V,5,0),"")</f>
        <v/>
      </c>
      <c r="H339" s="254" t="str">
        <f t="array" ref="H339">IFERROR(INDEX('PORTIFÓLIO'!$H$4:$H$433,MATCH($C339,'PORTIFÓLIO'!$C$4:$C$433,0)),"")</f>
        <v/>
      </c>
      <c r="I339" s="256"/>
      <c r="J339" s="218">
        <f t="shared" si="37"/>
        <v>0</v>
      </c>
      <c r="K339" s="292" t="str">
        <f t="array" ref="K339">IFERROR(I339*INDEX('PORTIFÓLIO'!$S$4:$S$433,MATCH($C339,'PORTIFÓLIO'!$C$4:$C$433,0)),"")</f>
        <v/>
      </c>
      <c r="L339" s="292" t="str">
        <f t="array" ref="L339">IFERROR(J339*INDEX('PORTIFÓLIO'!$S$4:$S$433,MATCH($C339,'PORTIFÓLIO'!$C$4:$C$433,0)),"")</f>
        <v/>
      </c>
      <c r="M339" s="220"/>
      <c r="N339" s="220"/>
      <c r="O339" s="220"/>
      <c r="P339" s="220"/>
      <c r="Q339" s="220"/>
      <c r="R339" s="220"/>
      <c r="S339" s="220"/>
      <c r="T339" s="220"/>
      <c r="U339" s="220"/>
      <c r="V339" s="220"/>
      <c r="W339" s="220"/>
    </row>
    <row r="340" ht="15.75" customHeight="1" outlineLevel="1">
      <c r="A340" s="211"/>
      <c r="B340" s="227"/>
      <c r="C340" s="211"/>
      <c r="D340" s="214" t="str">
        <f>IFERROR(VLOOKUP($C340,'PORTIFÓLIO'!C:V,2,0),"")</f>
        <v/>
      </c>
      <c r="E340" s="211" t="str">
        <f>IFERROR(VLOOKUP($C340,'PORTIFÓLIO'!C:V,3,0),"")</f>
        <v/>
      </c>
      <c r="F340" s="211" t="str">
        <f>IFERROR(VLOOKUP($C340,'PORTIFÓLIO'!C:V,4,0),"")</f>
        <v/>
      </c>
      <c r="G340" s="215" t="str">
        <f>IFERROR(VLOOKUP($C340,'PORTIFÓLIO'!C:V,5,0),"")</f>
        <v/>
      </c>
      <c r="H340" s="254" t="str">
        <f t="array" ref="H340">IFERROR(INDEX('PORTIFÓLIO'!$H$4:$H$433,MATCH($C340,'PORTIFÓLIO'!$C$4:$C$433,0)),"")</f>
        <v/>
      </c>
      <c r="I340" s="256"/>
      <c r="J340" s="218"/>
      <c r="K340" s="292" t="str">
        <f t="array" ref="K340">IFERROR(I340*INDEX('PORTIFÓLIO'!$S$4:$S$433,MATCH($C340,'PORTIFÓLIO'!$C$4:$C$433,0)),"")</f>
        <v/>
      </c>
      <c r="L340" s="292" t="str">
        <f t="array" ref="L340">IFERROR(J340*INDEX('PORTIFÓLIO'!$S$4:$S$433,MATCH($C340,'PORTIFÓLIO'!$C$4:$C$433,0)),"")</f>
        <v/>
      </c>
      <c r="M340" s="220"/>
      <c r="N340" s="220"/>
      <c r="O340" s="220"/>
      <c r="P340" s="220"/>
      <c r="Q340" s="220"/>
      <c r="R340" s="220"/>
      <c r="S340" s="220"/>
      <c r="T340" s="220"/>
      <c r="U340" s="220"/>
      <c r="V340" s="220"/>
      <c r="W340" s="220"/>
    </row>
    <row r="341" ht="15.75" customHeight="1">
      <c r="A341" s="229" t="s">
        <v>1190</v>
      </c>
      <c r="B341" s="230"/>
      <c r="C341" s="231"/>
      <c r="D341" s="232"/>
      <c r="E341" s="231"/>
      <c r="F341" s="231"/>
      <c r="G341" s="233"/>
      <c r="H341" s="233"/>
      <c r="I341" s="258"/>
      <c r="J341" s="236"/>
      <c r="K341" s="237">
        <f t="shared" ref="K341:L341" si="38">SUBTOTAL(9,K342:K355)</f>
        <v>0</v>
      </c>
      <c r="L341" s="237">
        <f t="shared" si="38"/>
        <v>0</v>
      </c>
      <c r="M341" s="220"/>
      <c r="N341" s="220"/>
      <c r="O341" s="220"/>
      <c r="P341" s="220"/>
      <c r="Q341" s="220"/>
      <c r="R341" s="220"/>
      <c r="S341" s="220"/>
      <c r="T341" s="220"/>
      <c r="U341" s="220"/>
      <c r="V341" s="220"/>
      <c r="W341" s="220"/>
    </row>
    <row r="342" ht="15.75" customHeight="1" outlineLevel="1">
      <c r="A342" s="213"/>
      <c r="B342" s="212"/>
      <c r="C342" s="213"/>
      <c r="D342" s="214" t="str">
        <f>IFERROR(VLOOKUP($C342,'PORTIFÓLIO'!C:V,2,0),"")</f>
        <v/>
      </c>
      <c r="E342" s="211" t="str">
        <f>IFERROR(VLOOKUP($C342,'PORTIFÓLIO'!C:V,3,0),"")</f>
        <v/>
      </c>
      <c r="F342" s="211" t="str">
        <f>IFERROR(VLOOKUP($C342,'PORTIFÓLIO'!C:V,4,0),"")</f>
        <v/>
      </c>
      <c r="G342" s="215" t="str">
        <f>IFERROR(VLOOKUP($C342,'PORTIFÓLIO'!C:V,5,0),"")</f>
        <v/>
      </c>
      <c r="H342" s="254" t="str">
        <f t="array" ref="H342">IFERROR(INDEX('PORTIFÓLIO'!$H$4:$H$433,MATCH($C342,'PORTIFÓLIO'!$C$4:$C$433,0)),"")</f>
        <v/>
      </c>
      <c r="I342" s="255"/>
      <c r="J342" s="218">
        <f t="shared" ref="J342:J356" si="39">I342*$B$2</f>
        <v>0</v>
      </c>
      <c r="K342" s="292" t="str">
        <f t="array" ref="K342">IFERROR(I342*INDEX('PORTIFÓLIO'!$S$4:$S$433,MATCH($C342,'PORTIFÓLIO'!$C$4:$C$433,0)),"")</f>
        <v/>
      </c>
      <c r="L342" s="292" t="str">
        <f t="array" ref="L342">IFERROR(J342*INDEX('PORTIFÓLIO'!$S$4:$S$433,MATCH($C342,'PORTIFÓLIO'!$C$4:$C$433,0)),"")</f>
        <v/>
      </c>
      <c r="M342" s="220"/>
      <c r="N342" s="220"/>
      <c r="O342" s="220"/>
      <c r="P342" s="220"/>
      <c r="Q342" s="220"/>
      <c r="R342" s="220"/>
      <c r="S342" s="220"/>
      <c r="T342" s="220"/>
      <c r="U342" s="220"/>
      <c r="V342" s="220"/>
      <c r="W342" s="220"/>
    </row>
    <row r="343" ht="15.75" customHeight="1" outlineLevel="1">
      <c r="A343" s="211"/>
      <c r="B343" s="212"/>
      <c r="C343" s="213"/>
      <c r="D343" s="214" t="str">
        <f>IFERROR(VLOOKUP($C343,'PORTIFÓLIO'!C:V,2,0),"")</f>
        <v/>
      </c>
      <c r="E343" s="211" t="str">
        <f>IFERROR(VLOOKUP($C343,'PORTIFÓLIO'!C:V,3,0),"")</f>
        <v/>
      </c>
      <c r="F343" s="211" t="str">
        <f>IFERROR(VLOOKUP($C343,'PORTIFÓLIO'!C:V,4,0),"")</f>
        <v/>
      </c>
      <c r="G343" s="215" t="str">
        <f>IFERROR(VLOOKUP($C343,'PORTIFÓLIO'!C:V,5,0),"")</f>
        <v/>
      </c>
      <c r="H343" s="254" t="str">
        <f t="array" ref="H343">IFERROR(INDEX('PORTIFÓLIO'!$H$4:$H$433,MATCH($C343,'PORTIFÓLIO'!$C$4:$C$433,0)),"")</f>
        <v/>
      </c>
      <c r="I343" s="256"/>
      <c r="J343" s="218">
        <f t="shared" si="39"/>
        <v>0</v>
      </c>
      <c r="K343" s="292" t="str">
        <f t="array" ref="K343">IFERROR(I343*INDEX('PORTIFÓLIO'!$S$4:$S$433,MATCH($C343,'PORTIFÓLIO'!$C$4:$C$433,0)),"")</f>
        <v/>
      </c>
      <c r="L343" s="292" t="str">
        <f t="array" ref="L343">IFERROR(J343*INDEX('PORTIFÓLIO'!$S$4:$S$433,MATCH($C343,'PORTIFÓLIO'!$C$4:$C$433,0)),"")</f>
        <v/>
      </c>
      <c r="M343" s="220"/>
      <c r="N343" s="220"/>
      <c r="O343" s="220"/>
      <c r="P343" s="220"/>
      <c r="Q343" s="220"/>
      <c r="R343" s="220"/>
      <c r="S343" s="220"/>
      <c r="T343" s="220"/>
      <c r="U343" s="220"/>
      <c r="V343" s="220"/>
      <c r="W343" s="220"/>
    </row>
    <row r="344" ht="15.75" customHeight="1" outlineLevel="1">
      <c r="A344" s="211"/>
      <c r="B344" s="212"/>
      <c r="C344" s="213"/>
      <c r="D344" s="214" t="str">
        <f>IFERROR(VLOOKUP($C344,'PORTIFÓLIO'!C:V,2,0),"")</f>
        <v/>
      </c>
      <c r="E344" s="211" t="str">
        <f>IFERROR(VLOOKUP($C344,'PORTIFÓLIO'!C:V,3,0),"")</f>
        <v/>
      </c>
      <c r="F344" s="211" t="str">
        <f>IFERROR(VLOOKUP($C344,'PORTIFÓLIO'!C:V,4,0),"")</f>
        <v/>
      </c>
      <c r="G344" s="215" t="str">
        <f>IFERROR(VLOOKUP($C344,'PORTIFÓLIO'!C:V,5,0),"")</f>
        <v/>
      </c>
      <c r="H344" s="254" t="str">
        <f t="array" ref="H344">IFERROR(INDEX('PORTIFÓLIO'!$H$4:$H$433,MATCH($C344,'PORTIFÓLIO'!$C$4:$C$433,0)),"")</f>
        <v/>
      </c>
      <c r="I344" s="256"/>
      <c r="J344" s="218">
        <f t="shared" si="39"/>
        <v>0</v>
      </c>
      <c r="K344" s="292" t="str">
        <f t="array" ref="K344">IFERROR(I344*INDEX('PORTIFÓLIO'!$S$4:$S$433,MATCH($C344,'PORTIFÓLIO'!$C$4:$C$433,0)),"")</f>
        <v/>
      </c>
      <c r="L344" s="292" t="str">
        <f t="array" ref="L344">IFERROR(J344*INDEX('PORTIFÓLIO'!$S$4:$S$433,MATCH($C344,'PORTIFÓLIO'!$C$4:$C$433,0)),"")</f>
        <v/>
      </c>
      <c r="M344" s="220"/>
      <c r="N344" s="220"/>
      <c r="O344" s="220"/>
      <c r="P344" s="220"/>
      <c r="Q344" s="220"/>
      <c r="R344" s="220"/>
      <c r="S344" s="220"/>
      <c r="T344" s="220"/>
      <c r="U344" s="220"/>
      <c r="V344" s="220"/>
      <c r="W344" s="220"/>
    </row>
    <row r="345" ht="15.75" customHeight="1" outlineLevel="1">
      <c r="A345" s="211"/>
      <c r="B345" s="212"/>
      <c r="C345" s="213"/>
      <c r="D345" s="214" t="str">
        <f>IFERROR(VLOOKUP($C345,'PORTIFÓLIO'!C:V,2,0),"")</f>
        <v/>
      </c>
      <c r="E345" s="211" t="str">
        <f>IFERROR(VLOOKUP($C345,'PORTIFÓLIO'!C:V,3,0),"")</f>
        <v/>
      </c>
      <c r="F345" s="211" t="str">
        <f>IFERROR(VLOOKUP($C345,'PORTIFÓLIO'!C:V,4,0),"")</f>
        <v/>
      </c>
      <c r="G345" s="215" t="str">
        <f>IFERROR(VLOOKUP($C345,'PORTIFÓLIO'!C:V,5,0),"")</f>
        <v/>
      </c>
      <c r="H345" s="254" t="str">
        <f t="array" ref="H345">IFERROR(INDEX('PORTIFÓLIO'!$H$4:$H$433,MATCH($C345,'PORTIFÓLIO'!$C$4:$C$433,0)),"")</f>
        <v/>
      </c>
      <c r="I345" s="256"/>
      <c r="J345" s="218">
        <f t="shared" si="39"/>
        <v>0</v>
      </c>
      <c r="K345" s="292" t="str">
        <f t="array" ref="K345">IFERROR(I345*INDEX('PORTIFÓLIO'!$S$4:$S$433,MATCH($C345,'PORTIFÓLIO'!$C$4:$C$433,0)),"")</f>
        <v/>
      </c>
      <c r="L345" s="292" t="str">
        <f t="array" ref="L345">IFERROR(J345*INDEX('PORTIFÓLIO'!$S$4:$S$433,MATCH($C345,'PORTIFÓLIO'!$C$4:$C$433,0)),"")</f>
        <v/>
      </c>
      <c r="M345" s="220"/>
      <c r="N345" s="220"/>
      <c r="O345" s="220"/>
      <c r="P345" s="220"/>
      <c r="Q345" s="220"/>
      <c r="R345" s="220"/>
      <c r="S345" s="220"/>
      <c r="T345" s="220"/>
      <c r="U345" s="220"/>
      <c r="V345" s="220"/>
      <c r="W345" s="220"/>
    </row>
    <row r="346" ht="15.75" customHeight="1" outlineLevel="1">
      <c r="A346" s="211"/>
      <c r="B346" s="212"/>
      <c r="C346" s="213"/>
      <c r="D346" s="214" t="str">
        <f>IFERROR(VLOOKUP($C346,'PORTIFÓLIO'!C:V,2,0),"")</f>
        <v/>
      </c>
      <c r="E346" s="211" t="str">
        <f>IFERROR(VLOOKUP($C346,'PORTIFÓLIO'!C:V,3,0),"")</f>
        <v/>
      </c>
      <c r="F346" s="211" t="str">
        <f>IFERROR(VLOOKUP($C346,'PORTIFÓLIO'!C:V,4,0),"")</f>
        <v/>
      </c>
      <c r="G346" s="215" t="str">
        <f>IFERROR(VLOOKUP($C346,'PORTIFÓLIO'!C:V,5,0),"")</f>
        <v/>
      </c>
      <c r="H346" s="254" t="str">
        <f t="array" ref="H346">IFERROR(INDEX('PORTIFÓLIO'!$H$4:$H$433,MATCH($C346,'PORTIFÓLIO'!$C$4:$C$433,0)),"")</f>
        <v/>
      </c>
      <c r="I346" s="256"/>
      <c r="J346" s="218">
        <f t="shared" si="39"/>
        <v>0</v>
      </c>
      <c r="K346" s="292" t="str">
        <f t="array" ref="K346">IFERROR(I346*INDEX('PORTIFÓLIO'!$S$4:$S$433,MATCH($C346,'PORTIFÓLIO'!$C$4:$C$433,0)),"")</f>
        <v/>
      </c>
      <c r="L346" s="292" t="str">
        <f t="array" ref="L346">IFERROR(J346*INDEX('PORTIFÓLIO'!$S$4:$S$433,MATCH($C346,'PORTIFÓLIO'!$C$4:$C$433,0)),"")</f>
        <v/>
      </c>
      <c r="M346" s="220"/>
      <c r="N346" s="220"/>
      <c r="O346" s="220"/>
      <c r="P346" s="220"/>
      <c r="Q346" s="220"/>
      <c r="R346" s="220"/>
      <c r="S346" s="220"/>
      <c r="T346" s="220"/>
      <c r="U346" s="220"/>
      <c r="V346" s="220"/>
      <c r="W346" s="220"/>
    </row>
    <row r="347" ht="15.75" customHeight="1" outlineLevel="1">
      <c r="A347" s="211"/>
      <c r="B347" s="212"/>
      <c r="C347" s="213"/>
      <c r="D347" s="214" t="str">
        <f>IFERROR(VLOOKUP($C347,'PORTIFÓLIO'!C:V,2,0),"")</f>
        <v/>
      </c>
      <c r="E347" s="211" t="str">
        <f>IFERROR(VLOOKUP($C347,'PORTIFÓLIO'!C:V,3,0),"")</f>
        <v/>
      </c>
      <c r="F347" s="211" t="str">
        <f>IFERROR(VLOOKUP($C347,'PORTIFÓLIO'!C:V,4,0),"")</f>
        <v/>
      </c>
      <c r="G347" s="215" t="str">
        <f>IFERROR(VLOOKUP($C347,'PORTIFÓLIO'!C:V,5,0),"")</f>
        <v/>
      </c>
      <c r="H347" s="254" t="str">
        <f t="array" ref="H347">IFERROR(INDEX('PORTIFÓLIO'!$H$4:$H$433,MATCH($C347,'PORTIFÓLIO'!$C$4:$C$433,0)),"")</f>
        <v/>
      </c>
      <c r="I347" s="256"/>
      <c r="J347" s="218">
        <f t="shared" si="39"/>
        <v>0</v>
      </c>
      <c r="K347" s="292" t="str">
        <f t="array" ref="K347">IFERROR(I347*INDEX('PORTIFÓLIO'!$S$4:$S$433,MATCH($C347,'PORTIFÓLIO'!$C$4:$C$433,0)),"")</f>
        <v/>
      </c>
      <c r="L347" s="292" t="str">
        <f t="array" ref="L347">IFERROR(J347*INDEX('PORTIFÓLIO'!$S$4:$S$433,MATCH($C347,'PORTIFÓLIO'!$C$4:$C$433,0)),"")</f>
        <v/>
      </c>
      <c r="M347" s="220"/>
      <c r="N347" s="220"/>
      <c r="O347" s="220"/>
      <c r="P347" s="220"/>
      <c r="Q347" s="220"/>
      <c r="R347" s="220"/>
      <c r="S347" s="220"/>
      <c r="T347" s="220"/>
      <c r="U347" s="220"/>
      <c r="V347" s="220"/>
      <c r="W347" s="220"/>
    </row>
    <row r="348" ht="15.75" customHeight="1" outlineLevel="1">
      <c r="A348" s="211"/>
      <c r="B348" s="212"/>
      <c r="C348" s="213"/>
      <c r="D348" s="214" t="str">
        <f>IFERROR(VLOOKUP($C348,'PORTIFÓLIO'!C:V,2,0),"")</f>
        <v/>
      </c>
      <c r="E348" s="211" t="str">
        <f>IFERROR(VLOOKUP($C348,'PORTIFÓLIO'!C:V,3,0),"")</f>
        <v/>
      </c>
      <c r="F348" s="211" t="str">
        <f>IFERROR(VLOOKUP($C348,'PORTIFÓLIO'!C:V,4,0),"")</f>
        <v/>
      </c>
      <c r="G348" s="215" t="str">
        <f>IFERROR(VLOOKUP($C348,'PORTIFÓLIO'!C:V,5,0),"")</f>
        <v/>
      </c>
      <c r="H348" s="254" t="str">
        <f t="array" ref="H348">IFERROR(INDEX('PORTIFÓLIO'!$H$4:$H$433,MATCH($C348,'PORTIFÓLIO'!$C$4:$C$433,0)),"")</f>
        <v/>
      </c>
      <c r="I348" s="256"/>
      <c r="J348" s="218">
        <f t="shared" si="39"/>
        <v>0</v>
      </c>
      <c r="K348" s="292" t="str">
        <f t="array" ref="K348">IFERROR(I348*INDEX('PORTIFÓLIO'!$S$4:$S$433,MATCH($C348,'PORTIFÓLIO'!$C$4:$C$433,0)),"")</f>
        <v/>
      </c>
      <c r="L348" s="292" t="str">
        <f t="array" ref="L348">IFERROR(J348*INDEX('PORTIFÓLIO'!$S$4:$S$433,MATCH($C348,'PORTIFÓLIO'!$C$4:$C$433,0)),"")</f>
        <v/>
      </c>
      <c r="M348" s="220"/>
      <c r="N348" s="220"/>
      <c r="O348" s="220"/>
      <c r="P348" s="220"/>
      <c r="Q348" s="220"/>
      <c r="R348" s="220"/>
      <c r="S348" s="220"/>
      <c r="T348" s="220"/>
      <c r="U348" s="220"/>
      <c r="V348" s="220"/>
      <c r="W348" s="220"/>
    </row>
    <row r="349" ht="15.75" customHeight="1" outlineLevel="1">
      <c r="A349" s="211"/>
      <c r="B349" s="212"/>
      <c r="C349" s="213"/>
      <c r="D349" s="214" t="str">
        <f>IFERROR(VLOOKUP($C349,'PORTIFÓLIO'!C:V,2,0),"")</f>
        <v/>
      </c>
      <c r="E349" s="211" t="str">
        <f>IFERROR(VLOOKUP($C349,'PORTIFÓLIO'!C:V,3,0),"")</f>
        <v/>
      </c>
      <c r="F349" s="211" t="str">
        <f>IFERROR(VLOOKUP($C349,'PORTIFÓLIO'!C:V,4,0),"")</f>
        <v/>
      </c>
      <c r="G349" s="215" t="str">
        <f>IFERROR(VLOOKUP($C349,'PORTIFÓLIO'!C:V,5,0),"")</f>
        <v/>
      </c>
      <c r="H349" s="254" t="str">
        <f t="array" ref="H349">IFERROR(INDEX('PORTIFÓLIO'!$H$4:$H$433,MATCH($C349,'PORTIFÓLIO'!$C$4:$C$433,0)),"")</f>
        <v/>
      </c>
      <c r="I349" s="256"/>
      <c r="J349" s="218">
        <f t="shared" si="39"/>
        <v>0</v>
      </c>
      <c r="K349" s="292" t="str">
        <f t="array" ref="K349">IFERROR(I349*INDEX('PORTIFÓLIO'!$S$4:$S$433,MATCH($C349,'PORTIFÓLIO'!$C$4:$C$433,0)),"")</f>
        <v/>
      </c>
      <c r="L349" s="292" t="str">
        <f t="array" ref="L349">IFERROR(J349*INDEX('PORTIFÓLIO'!$S$4:$S$433,MATCH($C349,'PORTIFÓLIO'!$C$4:$C$433,0)),"")</f>
        <v/>
      </c>
      <c r="M349" s="220"/>
      <c r="N349" s="220"/>
      <c r="O349" s="220"/>
      <c r="P349" s="220"/>
      <c r="Q349" s="220"/>
      <c r="R349" s="220"/>
      <c r="S349" s="220"/>
      <c r="T349" s="220"/>
      <c r="U349" s="220"/>
      <c r="V349" s="220"/>
      <c r="W349" s="220"/>
    </row>
    <row r="350" ht="15.75" customHeight="1" outlineLevel="1">
      <c r="A350" s="211"/>
      <c r="B350" s="212"/>
      <c r="C350" s="213"/>
      <c r="D350" s="214" t="str">
        <f>IFERROR(VLOOKUP($C350,'PORTIFÓLIO'!C:V,2,0),"")</f>
        <v/>
      </c>
      <c r="E350" s="211" t="str">
        <f>IFERROR(VLOOKUP($C350,'PORTIFÓLIO'!C:V,3,0),"")</f>
        <v/>
      </c>
      <c r="F350" s="211" t="str">
        <f>IFERROR(VLOOKUP($C350,'PORTIFÓLIO'!C:V,4,0),"")</f>
        <v/>
      </c>
      <c r="G350" s="215" t="str">
        <f>IFERROR(VLOOKUP($C350,'PORTIFÓLIO'!C:V,5,0),"")</f>
        <v/>
      </c>
      <c r="H350" s="254" t="str">
        <f t="array" ref="H350">IFERROR(INDEX('PORTIFÓLIO'!$H$4:$H$433,MATCH($C350,'PORTIFÓLIO'!$C$4:$C$433,0)),"")</f>
        <v/>
      </c>
      <c r="I350" s="255"/>
      <c r="J350" s="218">
        <f t="shared" si="39"/>
        <v>0</v>
      </c>
      <c r="K350" s="292" t="str">
        <f t="array" ref="K350">IFERROR(I350*INDEX('PORTIFÓLIO'!$S$4:$S$433,MATCH($C350,'PORTIFÓLIO'!$C$4:$C$433,0)),"")</f>
        <v/>
      </c>
      <c r="L350" s="292" t="str">
        <f t="array" ref="L350">IFERROR(J350*INDEX('PORTIFÓLIO'!$S$4:$S$433,MATCH($C350,'PORTIFÓLIO'!$C$4:$C$433,0)),"")</f>
        <v/>
      </c>
      <c r="M350" s="220"/>
      <c r="N350" s="220"/>
      <c r="O350" s="220"/>
      <c r="P350" s="220"/>
      <c r="Q350" s="220"/>
      <c r="R350" s="220"/>
      <c r="S350" s="220"/>
      <c r="T350" s="220"/>
      <c r="U350" s="220"/>
      <c r="V350" s="220"/>
      <c r="W350" s="220"/>
    </row>
    <row r="351" ht="15.75" customHeight="1" outlineLevel="1">
      <c r="A351" s="211"/>
      <c r="B351" s="212"/>
      <c r="C351" s="213"/>
      <c r="D351" s="214" t="str">
        <f>IFERROR(VLOOKUP($C351,'PORTIFÓLIO'!C:V,2,0),"")</f>
        <v/>
      </c>
      <c r="E351" s="211" t="str">
        <f>IFERROR(VLOOKUP($C351,'PORTIFÓLIO'!C:V,3,0),"")</f>
        <v/>
      </c>
      <c r="F351" s="211" t="str">
        <f>IFERROR(VLOOKUP($C351,'PORTIFÓLIO'!C:V,4,0),"")</f>
        <v/>
      </c>
      <c r="G351" s="215" t="str">
        <f>IFERROR(VLOOKUP($C351,'PORTIFÓLIO'!C:V,5,0),"")</f>
        <v/>
      </c>
      <c r="H351" s="254" t="str">
        <f t="array" ref="H351">IFERROR(INDEX('PORTIFÓLIO'!$H$4:$H$433,MATCH($C351,'PORTIFÓLIO'!$C$4:$C$433,0)),"")</f>
        <v/>
      </c>
      <c r="I351" s="256"/>
      <c r="J351" s="218">
        <f t="shared" si="39"/>
        <v>0</v>
      </c>
      <c r="K351" s="292" t="str">
        <f t="array" ref="K351">IFERROR(I351*INDEX('PORTIFÓLIO'!$S$4:$S$433,MATCH($C351,'PORTIFÓLIO'!$C$4:$C$433,0)),"")</f>
        <v/>
      </c>
      <c r="L351" s="292" t="str">
        <f t="array" ref="L351">IFERROR(J351*INDEX('PORTIFÓLIO'!$S$4:$S$433,MATCH($C351,'PORTIFÓLIO'!$C$4:$C$433,0)),"")</f>
        <v/>
      </c>
      <c r="M351" s="220"/>
      <c r="N351" s="220"/>
      <c r="O351" s="220"/>
      <c r="P351" s="220"/>
      <c r="Q351" s="220"/>
      <c r="R351" s="220"/>
      <c r="S351" s="220"/>
      <c r="T351" s="220"/>
      <c r="U351" s="220"/>
      <c r="V351" s="220"/>
      <c r="W351" s="220"/>
    </row>
    <row r="352" ht="15.75" customHeight="1" outlineLevel="1">
      <c r="A352" s="211"/>
      <c r="B352" s="212"/>
      <c r="C352" s="213"/>
      <c r="D352" s="214" t="str">
        <f>IFERROR(VLOOKUP($C352,'PORTIFÓLIO'!C:V,2,0),"")</f>
        <v/>
      </c>
      <c r="E352" s="211" t="str">
        <f>IFERROR(VLOOKUP($C352,'PORTIFÓLIO'!C:V,3,0),"")</f>
        <v/>
      </c>
      <c r="F352" s="211" t="str">
        <f>IFERROR(VLOOKUP($C352,'PORTIFÓLIO'!C:V,4,0),"")</f>
        <v/>
      </c>
      <c r="G352" s="215" t="str">
        <f>IFERROR(VLOOKUP($C352,'PORTIFÓLIO'!C:V,5,0),"")</f>
        <v/>
      </c>
      <c r="H352" s="254" t="str">
        <f t="array" ref="H352">IFERROR(INDEX('PORTIFÓLIO'!$H$4:$H$433,MATCH($C352,'PORTIFÓLIO'!$C$4:$C$433,0)),"")</f>
        <v/>
      </c>
      <c r="I352" s="256"/>
      <c r="J352" s="218">
        <f t="shared" si="39"/>
        <v>0</v>
      </c>
      <c r="K352" s="292" t="str">
        <f t="array" ref="K352">IFERROR(I352*INDEX('PORTIFÓLIO'!$S$4:$S$433,MATCH($C352,'PORTIFÓLIO'!$C$4:$C$433,0)),"")</f>
        <v/>
      </c>
      <c r="L352" s="292" t="str">
        <f t="array" ref="L352">IFERROR(J352*INDEX('PORTIFÓLIO'!$S$4:$S$433,MATCH($C352,'PORTIFÓLIO'!$C$4:$C$433,0)),"")</f>
        <v/>
      </c>
      <c r="M352" s="220"/>
      <c r="N352" s="220"/>
      <c r="O352" s="220"/>
      <c r="P352" s="220"/>
      <c r="Q352" s="220"/>
      <c r="R352" s="220"/>
      <c r="S352" s="220"/>
      <c r="T352" s="220"/>
      <c r="U352" s="220"/>
      <c r="V352" s="220"/>
      <c r="W352" s="220"/>
    </row>
    <row r="353" ht="15.75" customHeight="1" outlineLevel="1">
      <c r="A353" s="211"/>
      <c r="B353" s="212"/>
      <c r="C353" s="213"/>
      <c r="D353" s="214" t="str">
        <f>IFERROR(VLOOKUP($C353,'PORTIFÓLIO'!C:V,2,0),"")</f>
        <v/>
      </c>
      <c r="E353" s="211" t="str">
        <f>IFERROR(VLOOKUP($C353,'PORTIFÓLIO'!C:V,3,0),"")</f>
        <v/>
      </c>
      <c r="F353" s="211" t="str">
        <f>IFERROR(VLOOKUP($C353,'PORTIFÓLIO'!C:V,4,0),"")</f>
        <v/>
      </c>
      <c r="G353" s="215" t="str">
        <f>IFERROR(VLOOKUP($C353,'PORTIFÓLIO'!C:V,5,0),"")</f>
        <v/>
      </c>
      <c r="H353" s="254" t="str">
        <f t="array" ref="H353">IFERROR(INDEX('PORTIFÓLIO'!$H$4:$H$433,MATCH($C353,'PORTIFÓLIO'!$C$4:$C$433,0)),"")</f>
        <v/>
      </c>
      <c r="I353" s="256"/>
      <c r="J353" s="218">
        <f t="shared" si="39"/>
        <v>0</v>
      </c>
      <c r="K353" s="292" t="str">
        <f t="array" ref="K353">IFERROR(I353*INDEX('PORTIFÓLIO'!$S$4:$S$433,MATCH($C353,'PORTIFÓLIO'!$C$4:$C$433,0)),"")</f>
        <v/>
      </c>
      <c r="L353" s="292" t="str">
        <f t="array" ref="L353">IFERROR(J353*INDEX('PORTIFÓLIO'!$S$4:$S$433,MATCH($C353,'PORTIFÓLIO'!$C$4:$C$433,0)),"")</f>
        <v/>
      </c>
      <c r="M353" s="220"/>
      <c r="N353" s="220"/>
      <c r="O353" s="220"/>
      <c r="P353" s="220"/>
      <c r="Q353" s="220"/>
      <c r="R353" s="220"/>
      <c r="S353" s="220"/>
      <c r="T353" s="220"/>
      <c r="U353" s="220"/>
      <c r="V353" s="220"/>
      <c r="W353" s="220"/>
    </row>
    <row r="354" ht="15.75" customHeight="1" outlineLevel="1">
      <c r="A354" s="211"/>
      <c r="B354" s="212"/>
      <c r="C354" s="213"/>
      <c r="D354" s="214" t="str">
        <f>IFERROR(VLOOKUP($C354,'PORTIFÓLIO'!C:V,2,0),"")</f>
        <v/>
      </c>
      <c r="E354" s="211" t="str">
        <f>IFERROR(VLOOKUP($C354,'PORTIFÓLIO'!C:V,3,0),"")</f>
        <v/>
      </c>
      <c r="F354" s="211" t="str">
        <f>IFERROR(VLOOKUP($C354,'PORTIFÓLIO'!C:V,4,0),"")</f>
        <v/>
      </c>
      <c r="G354" s="215" t="str">
        <f>IFERROR(VLOOKUP($C354,'PORTIFÓLIO'!C:V,5,0),"")</f>
        <v/>
      </c>
      <c r="H354" s="254" t="str">
        <f t="array" ref="H354">IFERROR(INDEX('PORTIFÓLIO'!$H$4:$H$433,MATCH($C354,'PORTIFÓLIO'!$C$4:$C$433,0)),"")</f>
        <v/>
      </c>
      <c r="I354" s="256"/>
      <c r="J354" s="218">
        <f t="shared" si="39"/>
        <v>0</v>
      </c>
      <c r="K354" s="292" t="str">
        <f t="array" ref="K354">IFERROR(I354*INDEX('PORTIFÓLIO'!$S$4:$S$433,MATCH($C354,'PORTIFÓLIO'!$C$4:$C$433,0)),"")</f>
        <v/>
      </c>
      <c r="L354" s="292" t="str">
        <f t="array" ref="L354">IFERROR(J354*INDEX('PORTIFÓLIO'!$S$4:$S$433,MATCH($C354,'PORTIFÓLIO'!$C$4:$C$433,0)),"")</f>
        <v/>
      </c>
      <c r="M354" s="220"/>
      <c r="N354" s="220"/>
      <c r="O354" s="220"/>
      <c r="P354" s="220"/>
      <c r="Q354" s="220"/>
      <c r="R354" s="220"/>
      <c r="S354" s="220"/>
      <c r="T354" s="220"/>
      <c r="U354" s="220"/>
      <c r="V354" s="220"/>
      <c r="W354" s="220"/>
    </row>
    <row r="355" ht="15.75" customHeight="1" outlineLevel="1">
      <c r="A355" s="211"/>
      <c r="B355" s="212"/>
      <c r="C355" s="213"/>
      <c r="D355" s="214" t="str">
        <f>IFERROR(VLOOKUP($C355,'PORTIFÓLIO'!C:V,2,0),"")</f>
        <v/>
      </c>
      <c r="E355" s="211" t="str">
        <f>IFERROR(VLOOKUP($C355,'PORTIFÓLIO'!C:V,3,0),"")</f>
        <v/>
      </c>
      <c r="F355" s="211" t="str">
        <f>IFERROR(VLOOKUP($C355,'PORTIFÓLIO'!C:V,4,0),"")</f>
        <v/>
      </c>
      <c r="G355" s="215" t="str">
        <f>IFERROR(VLOOKUP($C355,'PORTIFÓLIO'!C:V,5,0),"")</f>
        <v/>
      </c>
      <c r="H355" s="254" t="str">
        <f t="array" ref="H355">IFERROR(INDEX('PORTIFÓLIO'!$H$4:$H$433,MATCH($C355,'PORTIFÓLIO'!$C$4:$C$433,0)),"")</f>
        <v/>
      </c>
      <c r="I355" s="256"/>
      <c r="J355" s="218">
        <f t="shared" si="39"/>
        <v>0</v>
      </c>
      <c r="K355" s="292" t="str">
        <f t="array" ref="K355">IFERROR(I355*INDEX('PORTIFÓLIO'!$S$4:$S$433,MATCH($C355,'PORTIFÓLIO'!$C$4:$C$433,0)),"")</f>
        <v/>
      </c>
      <c r="L355" s="292" t="str">
        <f t="array" ref="L355">IFERROR(J355*INDEX('PORTIFÓLIO'!$S$4:$S$433,MATCH($C355,'PORTIFÓLIO'!$C$4:$C$433,0)),"")</f>
        <v/>
      </c>
      <c r="M355" s="220"/>
      <c r="N355" s="220"/>
      <c r="O355" s="220"/>
      <c r="P355" s="220"/>
      <c r="Q355" s="220"/>
      <c r="R355" s="220"/>
      <c r="S355" s="220"/>
      <c r="T355" s="220"/>
      <c r="U355" s="220"/>
      <c r="V355" s="220"/>
      <c r="W355" s="220"/>
    </row>
    <row r="356" ht="15.75" customHeight="1" outlineLevel="1">
      <c r="A356" s="211"/>
      <c r="B356" s="212"/>
      <c r="C356" s="213"/>
      <c r="D356" s="214" t="str">
        <f>IFERROR(VLOOKUP($C356,'PORTIFÓLIO'!C:V,2,0),"")</f>
        <v/>
      </c>
      <c r="E356" s="211" t="str">
        <f>IFERROR(VLOOKUP($C356,'PORTIFÓLIO'!C:V,3,0),"")</f>
        <v/>
      </c>
      <c r="F356" s="211" t="str">
        <f>IFERROR(VLOOKUP($C356,'PORTIFÓLIO'!C:V,4,0),"")</f>
        <v/>
      </c>
      <c r="G356" s="215" t="str">
        <f>IFERROR(VLOOKUP($C356,'PORTIFÓLIO'!C:V,5,0),"")</f>
        <v/>
      </c>
      <c r="H356" s="254" t="str">
        <f t="array" ref="H356">IFERROR(INDEX('PORTIFÓLIO'!$H$4:$H$433,MATCH($C356,'PORTIFÓLIO'!$C$4:$C$433,0)),"")</f>
        <v/>
      </c>
      <c r="I356" s="256"/>
      <c r="J356" s="218">
        <f t="shared" si="39"/>
        <v>0</v>
      </c>
      <c r="K356" s="292" t="str">
        <f t="array" ref="K356">IFERROR(I356*INDEX('PORTIFÓLIO'!$S$4:$S$433,MATCH($C356,'PORTIFÓLIO'!$C$4:$C$433,0)),"")</f>
        <v/>
      </c>
      <c r="L356" s="292" t="str">
        <f t="array" ref="L356">IFERROR(J356*INDEX('PORTIFÓLIO'!$S$4:$S$433,MATCH($C356,'PORTIFÓLIO'!$C$4:$C$433,0)),"")</f>
        <v/>
      </c>
      <c r="M356" s="220"/>
      <c r="N356" s="220"/>
      <c r="O356" s="220"/>
      <c r="P356" s="220"/>
      <c r="Q356" s="220"/>
      <c r="R356" s="220"/>
      <c r="S356" s="220"/>
      <c r="T356" s="220"/>
      <c r="U356" s="220"/>
      <c r="V356" s="220"/>
      <c r="W356" s="220"/>
    </row>
    <row r="357" ht="15.75" customHeight="1" outlineLevel="1">
      <c r="A357" s="211"/>
      <c r="B357" s="227"/>
      <c r="C357" s="211"/>
      <c r="D357" s="214" t="str">
        <f>IFERROR(VLOOKUP($C357,'PORTIFÓLIO'!C:V,2,0),"")</f>
        <v/>
      </c>
      <c r="E357" s="211" t="str">
        <f>IFERROR(VLOOKUP($C357,'PORTIFÓLIO'!C:V,3,0),"")</f>
        <v/>
      </c>
      <c r="F357" s="211" t="str">
        <f>IFERROR(VLOOKUP($C357,'PORTIFÓLIO'!C:V,4,0),"")</f>
        <v/>
      </c>
      <c r="G357" s="215" t="str">
        <f>IFERROR(VLOOKUP($C357,'PORTIFÓLIO'!C:V,5,0),"")</f>
        <v/>
      </c>
      <c r="H357" s="254" t="str">
        <f t="array" ref="H357">IFERROR(INDEX('PORTIFÓLIO'!$H$4:$H$433,MATCH($C357,'PORTIFÓLIO'!$C$4:$C$433,0)),"")</f>
        <v/>
      </c>
      <c r="I357" s="256"/>
      <c r="J357" s="218"/>
      <c r="K357" s="292" t="str">
        <f t="array" ref="K357">IFERROR(I357*INDEX('PORTIFÓLIO'!$S$4:$S$433,MATCH($C357,'PORTIFÓLIO'!$C$4:$C$433,0)),"")</f>
        <v/>
      </c>
      <c r="L357" s="292" t="str">
        <f t="array" ref="L357">IFERROR(J357*INDEX('PORTIFÓLIO'!$S$4:$S$433,MATCH($C357,'PORTIFÓLIO'!$C$4:$C$433,0)),"")</f>
        <v/>
      </c>
      <c r="M357" s="220"/>
      <c r="N357" s="220"/>
      <c r="O357" s="220"/>
      <c r="P357" s="220"/>
      <c r="Q357" s="220"/>
      <c r="R357" s="220"/>
      <c r="S357" s="220"/>
      <c r="T357" s="220"/>
      <c r="U357" s="220"/>
      <c r="V357" s="220"/>
      <c r="W357" s="220"/>
    </row>
    <row r="358" ht="15.75" customHeight="1">
      <c r="A358" s="229" t="s">
        <v>1191</v>
      </c>
      <c r="B358" s="230"/>
      <c r="C358" s="231"/>
      <c r="D358" s="232"/>
      <c r="E358" s="231"/>
      <c r="F358" s="231"/>
      <c r="G358" s="233"/>
      <c r="H358" s="233"/>
      <c r="I358" s="258"/>
      <c r="J358" s="236"/>
      <c r="K358" s="237">
        <f t="shared" ref="K358:L358" si="40">SUBTOTAL(9,K359:K372)</f>
        <v>0</v>
      </c>
      <c r="L358" s="237">
        <f t="shared" si="40"/>
        <v>0</v>
      </c>
      <c r="M358" s="220"/>
      <c r="N358" s="220"/>
      <c r="O358" s="220"/>
      <c r="P358" s="220"/>
      <c r="Q358" s="220"/>
      <c r="R358" s="220"/>
      <c r="S358" s="220"/>
      <c r="T358" s="220"/>
      <c r="U358" s="220"/>
      <c r="V358" s="220"/>
      <c r="W358" s="220"/>
    </row>
    <row r="359" ht="15.75" customHeight="1" outlineLevel="1">
      <c r="A359" s="213"/>
      <c r="B359" s="212"/>
      <c r="C359" s="213"/>
      <c r="D359" s="214" t="str">
        <f>IFERROR(VLOOKUP($C359,'PORTIFÓLIO'!C:V,2,0),"")</f>
        <v/>
      </c>
      <c r="E359" s="211" t="str">
        <f>IFERROR(VLOOKUP($C359,'PORTIFÓLIO'!C:V,3,0),"")</f>
        <v/>
      </c>
      <c r="F359" s="211" t="str">
        <f>IFERROR(VLOOKUP($C359,'PORTIFÓLIO'!C:V,4,0),"")</f>
        <v/>
      </c>
      <c r="G359" s="215" t="str">
        <f>IFERROR(VLOOKUP($C359,'PORTIFÓLIO'!C:V,5,0),"")</f>
        <v/>
      </c>
      <c r="H359" s="254" t="str">
        <f t="array" ref="H359">IFERROR(INDEX('PORTIFÓLIO'!$H$4:$H$433,MATCH($C359,'PORTIFÓLIO'!$C$4:$C$433,0)),"")</f>
        <v/>
      </c>
      <c r="I359" s="255"/>
      <c r="J359" s="218">
        <f t="shared" ref="J359:J373" si="41">I359*$B$2</f>
        <v>0</v>
      </c>
      <c r="K359" s="292" t="str">
        <f t="array" ref="K359">IFERROR(I359*INDEX('PORTIFÓLIO'!$S$4:$S$433,MATCH($C359,'PORTIFÓLIO'!$C$4:$C$433,0)),"")</f>
        <v/>
      </c>
      <c r="L359" s="292" t="str">
        <f t="array" ref="L359">IFERROR(J359*INDEX('PORTIFÓLIO'!$S$4:$S$433,MATCH($C359,'PORTIFÓLIO'!$C$4:$C$433,0)),"")</f>
        <v/>
      </c>
      <c r="M359" s="220"/>
      <c r="N359" s="220"/>
      <c r="O359" s="220"/>
      <c r="P359" s="220"/>
      <c r="Q359" s="220"/>
      <c r="R359" s="220"/>
      <c r="S359" s="220"/>
      <c r="T359" s="220"/>
      <c r="U359" s="220"/>
      <c r="V359" s="220"/>
      <c r="W359" s="220"/>
    </row>
    <row r="360" ht="15.75" customHeight="1" outlineLevel="1">
      <c r="A360" s="211"/>
      <c r="B360" s="212"/>
      <c r="C360" s="213"/>
      <c r="D360" s="214" t="str">
        <f>IFERROR(VLOOKUP($C360,'PORTIFÓLIO'!C:V,2,0),"")</f>
        <v/>
      </c>
      <c r="E360" s="211" t="str">
        <f>IFERROR(VLOOKUP($C360,'PORTIFÓLIO'!C:V,3,0),"")</f>
        <v/>
      </c>
      <c r="F360" s="211" t="str">
        <f>IFERROR(VLOOKUP($C360,'PORTIFÓLIO'!C:V,4,0),"")</f>
        <v/>
      </c>
      <c r="G360" s="215" t="str">
        <f>IFERROR(VLOOKUP($C360,'PORTIFÓLIO'!C:V,5,0),"")</f>
        <v/>
      </c>
      <c r="H360" s="254" t="str">
        <f t="array" ref="H360">IFERROR(INDEX('PORTIFÓLIO'!$H$4:$H$433,MATCH($C360,'PORTIFÓLIO'!$C$4:$C$433,0)),"")</f>
        <v/>
      </c>
      <c r="I360" s="256"/>
      <c r="J360" s="218">
        <f t="shared" si="41"/>
        <v>0</v>
      </c>
      <c r="K360" s="292" t="str">
        <f t="array" ref="K360">IFERROR(I360*INDEX('PORTIFÓLIO'!$S$4:$S$433,MATCH($C360,'PORTIFÓLIO'!$C$4:$C$433,0)),"")</f>
        <v/>
      </c>
      <c r="L360" s="292" t="str">
        <f t="array" ref="L360">IFERROR(J360*INDEX('PORTIFÓLIO'!$S$4:$S$433,MATCH($C360,'PORTIFÓLIO'!$C$4:$C$433,0)),"")</f>
        <v/>
      </c>
      <c r="M360" s="220"/>
      <c r="N360" s="220"/>
      <c r="O360" s="220"/>
      <c r="P360" s="220"/>
      <c r="Q360" s="220"/>
      <c r="R360" s="220"/>
      <c r="S360" s="220"/>
      <c r="T360" s="220"/>
      <c r="U360" s="220"/>
      <c r="V360" s="220"/>
      <c r="W360" s="220"/>
    </row>
    <row r="361" ht="15.75" customHeight="1" outlineLevel="1">
      <c r="A361" s="211"/>
      <c r="B361" s="212"/>
      <c r="C361" s="213"/>
      <c r="D361" s="214" t="str">
        <f>IFERROR(VLOOKUP($C361,'PORTIFÓLIO'!C:V,2,0),"")</f>
        <v/>
      </c>
      <c r="E361" s="211" t="str">
        <f>IFERROR(VLOOKUP($C361,'PORTIFÓLIO'!C:V,3,0),"")</f>
        <v/>
      </c>
      <c r="F361" s="211" t="str">
        <f>IFERROR(VLOOKUP($C361,'PORTIFÓLIO'!C:V,4,0),"")</f>
        <v/>
      </c>
      <c r="G361" s="215" t="str">
        <f>IFERROR(VLOOKUP($C361,'PORTIFÓLIO'!C:V,5,0),"")</f>
        <v/>
      </c>
      <c r="H361" s="254" t="str">
        <f t="array" ref="H361">IFERROR(INDEX('PORTIFÓLIO'!$H$4:$H$433,MATCH($C361,'PORTIFÓLIO'!$C$4:$C$433,0)),"")</f>
        <v/>
      </c>
      <c r="I361" s="256"/>
      <c r="J361" s="218">
        <f t="shared" si="41"/>
        <v>0</v>
      </c>
      <c r="K361" s="292" t="str">
        <f t="array" ref="K361">IFERROR(I361*INDEX('PORTIFÓLIO'!$S$4:$S$433,MATCH($C361,'PORTIFÓLIO'!$C$4:$C$433,0)),"")</f>
        <v/>
      </c>
      <c r="L361" s="292" t="str">
        <f t="array" ref="L361">IFERROR(J361*INDEX('PORTIFÓLIO'!$S$4:$S$433,MATCH($C361,'PORTIFÓLIO'!$C$4:$C$433,0)),"")</f>
        <v/>
      </c>
      <c r="M361" s="220"/>
      <c r="N361" s="220"/>
      <c r="O361" s="220"/>
      <c r="P361" s="220"/>
      <c r="Q361" s="220"/>
      <c r="R361" s="220"/>
      <c r="S361" s="220"/>
      <c r="T361" s="220"/>
      <c r="U361" s="220"/>
      <c r="V361" s="220"/>
      <c r="W361" s="220"/>
    </row>
    <row r="362" ht="15.75" customHeight="1" outlineLevel="1">
      <c r="A362" s="211"/>
      <c r="B362" s="212"/>
      <c r="C362" s="213"/>
      <c r="D362" s="214" t="str">
        <f>IFERROR(VLOOKUP($C362,'PORTIFÓLIO'!C:V,2,0),"")</f>
        <v/>
      </c>
      <c r="E362" s="211" t="str">
        <f>IFERROR(VLOOKUP($C362,'PORTIFÓLIO'!C:V,3,0),"")</f>
        <v/>
      </c>
      <c r="F362" s="211" t="str">
        <f>IFERROR(VLOOKUP($C362,'PORTIFÓLIO'!C:V,4,0),"")</f>
        <v/>
      </c>
      <c r="G362" s="215" t="str">
        <f>IFERROR(VLOOKUP($C362,'PORTIFÓLIO'!C:V,5,0),"")</f>
        <v/>
      </c>
      <c r="H362" s="254" t="str">
        <f t="array" ref="H362">IFERROR(INDEX('PORTIFÓLIO'!$H$4:$H$433,MATCH($C362,'PORTIFÓLIO'!$C$4:$C$433,0)),"")</f>
        <v/>
      </c>
      <c r="I362" s="256"/>
      <c r="J362" s="218">
        <f t="shared" si="41"/>
        <v>0</v>
      </c>
      <c r="K362" s="292" t="str">
        <f t="array" ref="K362">IFERROR(I362*INDEX('PORTIFÓLIO'!$S$4:$S$433,MATCH($C362,'PORTIFÓLIO'!$C$4:$C$433,0)),"")</f>
        <v/>
      </c>
      <c r="L362" s="292" t="str">
        <f t="array" ref="L362">IFERROR(J362*INDEX('PORTIFÓLIO'!$S$4:$S$433,MATCH($C362,'PORTIFÓLIO'!$C$4:$C$433,0)),"")</f>
        <v/>
      </c>
      <c r="M362" s="220"/>
      <c r="N362" s="220"/>
      <c r="O362" s="220"/>
      <c r="P362" s="220"/>
      <c r="Q362" s="220"/>
      <c r="R362" s="220"/>
      <c r="S362" s="220"/>
      <c r="T362" s="220"/>
      <c r="U362" s="220"/>
      <c r="V362" s="220"/>
      <c r="W362" s="220"/>
    </row>
    <row r="363" ht="15.75" customHeight="1" outlineLevel="1">
      <c r="A363" s="211"/>
      <c r="B363" s="212"/>
      <c r="C363" s="213"/>
      <c r="D363" s="214" t="str">
        <f>IFERROR(VLOOKUP($C363,'PORTIFÓLIO'!C:V,2,0),"")</f>
        <v/>
      </c>
      <c r="E363" s="211" t="str">
        <f>IFERROR(VLOOKUP($C363,'PORTIFÓLIO'!C:V,3,0),"")</f>
        <v/>
      </c>
      <c r="F363" s="211" t="str">
        <f>IFERROR(VLOOKUP($C363,'PORTIFÓLIO'!C:V,4,0),"")</f>
        <v/>
      </c>
      <c r="G363" s="215" t="str">
        <f>IFERROR(VLOOKUP($C363,'PORTIFÓLIO'!C:V,5,0),"")</f>
        <v/>
      </c>
      <c r="H363" s="254" t="str">
        <f t="array" ref="H363">IFERROR(INDEX('PORTIFÓLIO'!$H$4:$H$433,MATCH($C363,'PORTIFÓLIO'!$C$4:$C$433,0)),"")</f>
        <v/>
      </c>
      <c r="I363" s="256"/>
      <c r="J363" s="218">
        <f t="shared" si="41"/>
        <v>0</v>
      </c>
      <c r="K363" s="292" t="str">
        <f t="array" ref="K363">IFERROR(I363*INDEX('PORTIFÓLIO'!$S$4:$S$433,MATCH($C363,'PORTIFÓLIO'!$C$4:$C$433,0)),"")</f>
        <v/>
      </c>
      <c r="L363" s="292" t="str">
        <f t="array" ref="L363">IFERROR(J363*INDEX('PORTIFÓLIO'!$S$4:$S$433,MATCH($C363,'PORTIFÓLIO'!$C$4:$C$433,0)),"")</f>
        <v/>
      </c>
      <c r="M363" s="220"/>
      <c r="N363" s="220"/>
      <c r="O363" s="220"/>
      <c r="P363" s="220"/>
      <c r="Q363" s="220"/>
      <c r="R363" s="220"/>
      <c r="S363" s="220"/>
      <c r="T363" s="220"/>
      <c r="U363" s="220"/>
      <c r="V363" s="220"/>
      <c r="W363" s="220"/>
    </row>
    <row r="364" ht="15.75" customHeight="1" outlineLevel="1">
      <c r="A364" s="211"/>
      <c r="B364" s="212"/>
      <c r="C364" s="213"/>
      <c r="D364" s="214" t="str">
        <f>IFERROR(VLOOKUP($C364,'PORTIFÓLIO'!C:V,2,0),"")</f>
        <v/>
      </c>
      <c r="E364" s="211" t="str">
        <f>IFERROR(VLOOKUP($C364,'PORTIFÓLIO'!C:V,3,0),"")</f>
        <v/>
      </c>
      <c r="F364" s="211" t="str">
        <f>IFERROR(VLOOKUP($C364,'PORTIFÓLIO'!C:V,4,0),"")</f>
        <v/>
      </c>
      <c r="G364" s="215" t="str">
        <f>IFERROR(VLOOKUP($C364,'PORTIFÓLIO'!C:V,5,0),"")</f>
        <v/>
      </c>
      <c r="H364" s="254" t="str">
        <f t="array" ref="H364">IFERROR(INDEX('PORTIFÓLIO'!$H$4:$H$433,MATCH($C364,'PORTIFÓLIO'!$C$4:$C$433,0)),"")</f>
        <v/>
      </c>
      <c r="I364" s="256"/>
      <c r="J364" s="218">
        <f t="shared" si="41"/>
        <v>0</v>
      </c>
      <c r="K364" s="292" t="str">
        <f t="array" ref="K364">IFERROR(I364*INDEX('PORTIFÓLIO'!$S$4:$S$433,MATCH($C364,'PORTIFÓLIO'!$C$4:$C$433,0)),"")</f>
        <v/>
      </c>
      <c r="L364" s="292" t="str">
        <f t="array" ref="L364">IFERROR(J364*INDEX('PORTIFÓLIO'!$S$4:$S$433,MATCH($C364,'PORTIFÓLIO'!$C$4:$C$433,0)),"")</f>
        <v/>
      </c>
      <c r="M364" s="220"/>
      <c r="N364" s="220"/>
      <c r="O364" s="220"/>
      <c r="P364" s="220"/>
      <c r="Q364" s="220"/>
      <c r="R364" s="220"/>
      <c r="S364" s="220"/>
      <c r="T364" s="220"/>
      <c r="U364" s="220"/>
      <c r="V364" s="220"/>
      <c r="W364" s="220"/>
    </row>
    <row r="365" ht="15.75" customHeight="1" outlineLevel="1">
      <c r="A365" s="211"/>
      <c r="B365" s="212"/>
      <c r="C365" s="213"/>
      <c r="D365" s="214" t="str">
        <f>IFERROR(VLOOKUP($C365,'PORTIFÓLIO'!C:V,2,0),"")</f>
        <v/>
      </c>
      <c r="E365" s="211" t="str">
        <f>IFERROR(VLOOKUP($C365,'PORTIFÓLIO'!C:V,3,0),"")</f>
        <v/>
      </c>
      <c r="F365" s="211" t="str">
        <f>IFERROR(VLOOKUP($C365,'PORTIFÓLIO'!C:V,4,0),"")</f>
        <v/>
      </c>
      <c r="G365" s="215" t="str">
        <f>IFERROR(VLOOKUP($C365,'PORTIFÓLIO'!C:V,5,0),"")</f>
        <v/>
      </c>
      <c r="H365" s="254" t="str">
        <f t="array" ref="H365">IFERROR(INDEX('PORTIFÓLIO'!$H$4:$H$433,MATCH($C365,'PORTIFÓLIO'!$C$4:$C$433,0)),"")</f>
        <v/>
      </c>
      <c r="I365" s="256"/>
      <c r="J365" s="218">
        <f t="shared" si="41"/>
        <v>0</v>
      </c>
      <c r="K365" s="292" t="str">
        <f t="array" ref="K365">IFERROR(I365*INDEX('PORTIFÓLIO'!$S$4:$S$433,MATCH($C365,'PORTIFÓLIO'!$C$4:$C$433,0)),"")</f>
        <v/>
      </c>
      <c r="L365" s="292" t="str">
        <f t="array" ref="L365">IFERROR(J365*INDEX('PORTIFÓLIO'!$S$4:$S$433,MATCH($C365,'PORTIFÓLIO'!$C$4:$C$433,0)),"")</f>
        <v/>
      </c>
      <c r="M365" s="220"/>
      <c r="N365" s="220"/>
      <c r="O365" s="220"/>
      <c r="P365" s="220"/>
      <c r="Q365" s="220"/>
      <c r="R365" s="220"/>
      <c r="S365" s="220"/>
      <c r="T365" s="220"/>
      <c r="U365" s="220"/>
      <c r="V365" s="220"/>
      <c r="W365" s="220"/>
    </row>
    <row r="366" ht="15.75" customHeight="1" outlineLevel="1">
      <c r="A366" s="211"/>
      <c r="B366" s="212"/>
      <c r="C366" s="213"/>
      <c r="D366" s="214" t="str">
        <f>IFERROR(VLOOKUP($C366,'PORTIFÓLIO'!C:V,2,0),"")</f>
        <v/>
      </c>
      <c r="E366" s="211" t="str">
        <f>IFERROR(VLOOKUP($C366,'PORTIFÓLIO'!C:V,3,0),"")</f>
        <v/>
      </c>
      <c r="F366" s="211" t="str">
        <f>IFERROR(VLOOKUP($C366,'PORTIFÓLIO'!C:V,4,0),"")</f>
        <v/>
      </c>
      <c r="G366" s="215" t="str">
        <f>IFERROR(VLOOKUP($C366,'PORTIFÓLIO'!C:V,5,0),"")</f>
        <v/>
      </c>
      <c r="H366" s="254" t="str">
        <f t="array" ref="H366">IFERROR(INDEX('PORTIFÓLIO'!$H$4:$H$433,MATCH($C366,'PORTIFÓLIO'!$C$4:$C$433,0)),"")</f>
        <v/>
      </c>
      <c r="I366" s="256"/>
      <c r="J366" s="218">
        <f t="shared" si="41"/>
        <v>0</v>
      </c>
      <c r="K366" s="292" t="str">
        <f t="array" ref="K366">IFERROR(I366*INDEX('PORTIFÓLIO'!$S$4:$S$433,MATCH($C366,'PORTIFÓLIO'!$C$4:$C$433,0)),"")</f>
        <v/>
      </c>
      <c r="L366" s="292" t="str">
        <f t="array" ref="L366">IFERROR(J366*INDEX('PORTIFÓLIO'!$S$4:$S$433,MATCH($C366,'PORTIFÓLIO'!$C$4:$C$433,0)),"")</f>
        <v/>
      </c>
      <c r="M366" s="220"/>
      <c r="N366" s="220"/>
      <c r="O366" s="220"/>
      <c r="P366" s="220"/>
      <c r="Q366" s="220"/>
      <c r="R366" s="220"/>
      <c r="S366" s="220"/>
      <c r="T366" s="220"/>
      <c r="U366" s="220"/>
      <c r="V366" s="220"/>
      <c r="W366" s="220"/>
    </row>
    <row r="367" ht="15.75" customHeight="1" outlineLevel="1">
      <c r="A367" s="211"/>
      <c r="B367" s="212"/>
      <c r="C367" s="213"/>
      <c r="D367" s="214" t="str">
        <f>IFERROR(VLOOKUP($C367,'PORTIFÓLIO'!C:V,2,0),"")</f>
        <v/>
      </c>
      <c r="E367" s="211" t="str">
        <f>IFERROR(VLOOKUP($C367,'PORTIFÓLIO'!C:V,3,0),"")</f>
        <v/>
      </c>
      <c r="F367" s="211" t="str">
        <f>IFERROR(VLOOKUP($C367,'PORTIFÓLIO'!C:V,4,0),"")</f>
        <v/>
      </c>
      <c r="G367" s="215" t="str">
        <f>IFERROR(VLOOKUP($C367,'PORTIFÓLIO'!C:V,5,0),"")</f>
        <v/>
      </c>
      <c r="H367" s="254" t="str">
        <f t="array" ref="H367">IFERROR(INDEX('PORTIFÓLIO'!$H$4:$H$433,MATCH($C367,'PORTIFÓLIO'!$C$4:$C$433,0)),"")</f>
        <v/>
      </c>
      <c r="I367" s="255"/>
      <c r="J367" s="218">
        <f t="shared" si="41"/>
        <v>0</v>
      </c>
      <c r="K367" s="292" t="str">
        <f t="array" ref="K367">IFERROR(I367*INDEX('PORTIFÓLIO'!$S$4:$S$433,MATCH($C367,'PORTIFÓLIO'!$C$4:$C$433,0)),"")</f>
        <v/>
      </c>
      <c r="L367" s="292" t="str">
        <f t="array" ref="L367">IFERROR(J367*INDEX('PORTIFÓLIO'!$S$4:$S$433,MATCH($C367,'PORTIFÓLIO'!$C$4:$C$433,0)),"")</f>
        <v/>
      </c>
      <c r="M367" s="220"/>
      <c r="N367" s="220"/>
      <c r="O367" s="220"/>
      <c r="P367" s="220"/>
      <c r="Q367" s="220"/>
      <c r="R367" s="220"/>
      <c r="S367" s="220"/>
      <c r="T367" s="220"/>
      <c r="U367" s="220"/>
      <c r="V367" s="220"/>
      <c r="W367" s="220"/>
    </row>
    <row r="368" ht="15.75" customHeight="1" outlineLevel="1">
      <c r="A368" s="211"/>
      <c r="B368" s="212"/>
      <c r="C368" s="213"/>
      <c r="D368" s="214" t="str">
        <f>IFERROR(VLOOKUP($C368,'PORTIFÓLIO'!C:V,2,0),"")</f>
        <v/>
      </c>
      <c r="E368" s="211" t="str">
        <f>IFERROR(VLOOKUP($C368,'PORTIFÓLIO'!C:V,3,0),"")</f>
        <v/>
      </c>
      <c r="F368" s="211" t="str">
        <f>IFERROR(VLOOKUP($C368,'PORTIFÓLIO'!C:V,4,0),"")</f>
        <v/>
      </c>
      <c r="G368" s="215" t="str">
        <f>IFERROR(VLOOKUP($C368,'PORTIFÓLIO'!C:V,5,0),"")</f>
        <v/>
      </c>
      <c r="H368" s="254" t="str">
        <f t="array" ref="H368">IFERROR(INDEX('PORTIFÓLIO'!$H$4:$H$433,MATCH($C368,'PORTIFÓLIO'!$C$4:$C$433,0)),"")</f>
        <v/>
      </c>
      <c r="I368" s="256"/>
      <c r="J368" s="218">
        <f t="shared" si="41"/>
        <v>0</v>
      </c>
      <c r="K368" s="292" t="str">
        <f t="array" ref="K368">IFERROR(I368*INDEX('PORTIFÓLIO'!$S$4:$S$433,MATCH($C368,'PORTIFÓLIO'!$C$4:$C$433,0)),"")</f>
        <v/>
      </c>
      <c r="L368" s="292" t="str">
        <f t="array" ref="L368">IFERROR(J368*INDEX('PORTIFÓLIO'!$S$4:$S$433,MATCH($C368,'PORTIFÓLIO'!$C$4:$C$433,0)),"")</f>
        <v/>
      </c>
      <c r="M368" s="220"/>
      <c r="N368" s="220"/>
      <c r="O368" s="220"/>
      <c r="P368" s="220"/>
      <c r="Q368" s="220"/>
      <c r="R368" s="220"/>
      <c r="S368" s="220"/>
      <c r="T368" s="220"/>
      <c r="U368" s="220"/>
      <c r="V368" s="220"/>
      <c r="W368" s="220"/>
    </row>
    <row r="369" ht="15.75" customHeight="1" outlineLevel="1">
      <c r="A369" s="211"/>
      <c r="B369" s="212"/>
      <c r="C369" s="213"/>
      <c r="D369" s="214" t="str">
        <f>IFERROR(VLOOKUP($C369,'PORTIFÓLIO'!C:V,2,0),"")</f>
        <v/>
      </c>
      <c r="E369" s="211" t="str">
        <f>IFERROR(VLOOKUP($C369,'PORTIFÓLIO'!C:V,3,0),"")</f>
        <v/>
      </c>
      <c r="F369" s="211" t="str">
        <f>IFERROR(VLOOKUP($C369,'PORTIFÓLIO'!C:V,4,0),"")</f>
        <v/>
      </c>
      <c r="G369" s="215" t="str">
        <f>IFERROR(VLOOKUP($C369,'PORTIFÓLIO'!C:V,5,0),"")</f>
        <v/>
      </c>
      <c r="H369" s="254" t="str">
        <f t="array" ref="H369">IFERROR(INDEX('PORTIFÓLIO'!$H$4:$H$433,MATCH($C369,'PORTIFÓLIO'!$C$4:$C$433,0)),"")</f>
        <v/>
      </c>
      <c r="I369" s="256"/>
      <c r="J369" s="218">
        <f t="shared" si="41"/>
        <v>0</v>
      </c>
      <c r="K369" s="292" t="str">
        <f t="array" ref="K369">IFERROR(I369*INDEX('PORTIFÓLIO'!$S$4:$S$433,MATCH($C369,'PORTIFÓLIO'!$C$4:$C$433,0)),"")</f>
        <v/>
      </c>
      <c r="L369" s="292" t="str">
        <f t="array" ref="L369">IFERROR(J369*INDEX('PORTIFÓLIO'!$S$4:$S$433,MATCH($C369,'PORTIFÓLIO'!$C$4:$C$433,0)),"")</f>
        <v/>
      </c>
      <c r="M369" s="220"/>
      <c r="N369" s="220"/>
      <c r="O369" s="220"/>
      <c r="P369" s="220"/>
      <c r="Q369" s="220"/>
      <c r="R369" s="220"/>
      <c r="S369" s="220"/>
      <c r="T369" s="220"/>
      <c r="U369" s="220"/>
      <c r="V369" s="220"/>
      <c r="W369" s="220"/>
    </row>
    <row r="370" ht="15.75" customHeight="1" outlineLevel="1">
      <c r="A370" s="211"/>
      <c r="B370" s="212"/>
      <c r="C370" s="213"/>
      <c r="D370" s="214" t="str">
        <f>IFERROR(VLOOKUP($C370,'PORTIFÓLIO'!C:V,2,0),"")</f>
        <v/>
      </c>
      <c r="E370" s="211" t="str">
        <f>IFERROR(VLOOKUP($C370,'PORTIFÓLIO'!C:V,3,0),"")</f>
        <v/>
      </c>
      <c r="F370" s="211" t="str">
        <f>IFERROR(VLOOKUP($C370,'PORTIFÓLIO'!C:V,4,0),"")</f>
        <v/>
      </c>
      <c r="G370" s="215" t="str">
        <f>IFERROR(VLOOKUP($C370,'PORTIFÓLIO'!C:V,5,0),"")</f>
        <v/>
      </c>
      <c r="H370" s="254" t="str">
        <f t="array" ref="H370">IFERROR(INDEX('PORTIFÓLIO'!$H$4:$H$433,MATCH($C370,'PORTIFÓLIO'!$C$4:$C$433,0)),"")</f>
        <v/>
      </c>
      <c r="I370" s="256"/>
      <c r="J370" s="218">
        <f t="shared" si="41"/>
        <v>0</v>
      </c>
      <c r="K370" s="292" t="str">
        <f t="array" ref="K370">IFERROR(I370*INDEX('PORTIFÓLIO'!$S$4:$S$433,MATCH($C370,'PORTIFÓLIO'!$C$4:$C$433,0)),"")</f>
        <v/>
      </c>
      <c r="L370" s="292" t="str">
        <f t="array" ref="L370">IFERROR(J370*INDEX('PORTIFÓLIO'!$S$4:$S$433,MATCH($C370,'PORTIFÓLIO'!$C$4:$C$433,0)),"")</f>
        <v/>
      </c>
      <c r="M370" s="220"/>
      <c r="N370" s="220"/>
      <c r="O370" s="220"/>
      <c r="P370" s="220"/>
      <c r="Q370" s="220"/>
      <c r="R370" s="220"/>
      <c r="S370" s="220"/>
      <c r="T370" s="220"/>
      <c r="U370" s="220"/>
      <c r="V370" s="220"/>
      <c r="W370" s="220"/>
    </row>
    <row r="371" ht="15.75" customHeight="1" outlineLevel="1">
      <c r="A371" s="211"/>
      <c r="B371" s="212"/>
      <c r="C371" s="213"/>
      <c r="D371" s="214" t="str">
        <f>IFERROR(VLOOKUP($C371,'PORTIFÓLIO'!C:V,2,0),"")</f>
        <v/>
      </c>
      <c r="E371" s="211" t="str">
        <f>IFERROR(VLOOKUP($C371,'PORTIFÓLIO'!C:V,3,0),"")</f>
        <v/>
      </c>
      <c r="F371" s="211" t="str">
        <f>IFERROR(VLOOKUP($C371,'PORTIFÓLIO'!C:V,4,0),"")</f>
        <v/>
      </c>
      <c r="G371" s="215" t="str">
        <f>IFERROR(VLOOKUP($C371,'PORTIFÓLIO'!C:V,5,0),"")</f>
        <v/>
      </c>
      <c r="H371" s="254" t="str">
        <f t="array" ref="H371">IFERROR(INDEX('PORTIFÓLIO'!$H$4:$H$433,MATCH($C371,'PORTIFÓLIO'!$C$4:$C$433,0)),"")</f>
        <v/>
      </c>
      <c r="I371" s="256"/>
      <c r="J371" s="218">
        <f t="shared" si="41"/>
        <v>0</v>
      </c>
      <c r="K371" s="292" t="str">
        <f t="array" ref="K371">IFERROR(I371*INDEX('PORTIFÓLIO'!$S$4:$S$433,MATCH($C371,'PORTIFÓLIO'!$C$4:$C$433,0)),"")</f>
        <v/>
      </c>
      <c r="L371" s="292" t="str">
        <f t="array" ref="L371">IFERROR(J371*INDEX('PORTIFÓLIO'!$S$4:$S$433,MATCH($C371,'PORTIFÓLIO'!$C$4:$C$433,0)),"")</f>
        <v/>
      </c>
      <c r="M371" s="220"/>
      <c r="N371" s="220"/>
      <c r="O371" s="220"/>
      <c r="P371" s="220"/>
      <c r="Q371" s="220"/>
      <c r="R371" s="220"/>
      <c r="S371" s="220"/>
      <c r="T371" s="220"/>
      <c r="U371" s="220"/>
      <c r="V371" s="220"/>
      <c r="W371" s="220"/>
    </row>
    <row r="372" ht="15.75" customHeight="1" outlineLevel="1">
      <c r="A372" s="211"/>
      <c r="B372" s="212"/>
      <c r="C372" s="213"/>
      <c r="D372" s="214" t="str">
        <f>IFERROR(VLOOKUP($C372,'PORTIFÓLIO'!C:V,2,0),"")</f>
        <v/>
      </c>
      <c r="E372" s="211" t="str">
        <f>IFERROR(VLOOKUP($C372,'PORTIFÓLIO'!C:V,3,0),"")</f>
        <v/>
      </c>
      <c r="F372" s="211" t="str">
        <f>IFERROR(VLOOKUP($C372,'PORTIFÓLIO'!C:V,4,0),"")</f>
        <v/>
      </c>
      <c r="G372" s="215" t="str">
        <f>IFERROR(VLOOKUP($C372,'PORTIFÓLIO'!C:V,5,0),"")</f>
        <v/>
      </c>
      <c r="H372" s="254" t="str">
        <f t="array" ref="H372">IFERROR(INDEX('PORTIFÓLIO'!$H$4:$H$433,MATCH($C372,'PORTIFÓLIO'!$C$4:$C$433,0)),"")</f>
        <v/>
      </c>
      <c r="I372" s="256"/>
      <c r="J372" s="218">
        <f t="shared" si="41"/>
        <v>0</v>
      </c>
      <c r="K372" s="292" t="str">
        <f t="array" ref="K372">IFERROR(I372*INDEX('PORTIFÓLIO'!$S$4:$S$433,MATCH($C372,'PORTIFÓLIO'!$C$4:$C$433,0)),"")</f>
        <v/>
      </c>
      <c r="L372" s="292" t="str">
        <f t="array" ref="L372">IFERROR(J372*INDEX('PORTIFÓLIO'!$S$4:$S$433,MATCH($C372,'PORTIFÓLIO'!$C$4:$C$433,0)),"")</f>
        <v/>
      </c>
      <c r="M372" s="220"/>
      <c r="N372" s="220"/>
      <c r="O372" s="220"/>
      <c r="P372" s="220"/>
      <c r="Q372" s="220"/>
      <c r="R372" s="220"/>
      <c r="S372" s="220"/>
      <c r="T372" s="220"/>
      <c r="U372" s="220"/>
      <c r="V372" s="220"/>
      <c r="W372" s="220"/>
    </row>
    <row r="373" ht="15.75" customHeight="1" outlineLevel="1">
      <c r="A373" s="211"/>
      <c r="B373" s="212"/>
      <c r="C373" s="213"/>
      <c r="D373" s="214" t="str">
        <f>IFERROR(VLOOKUP($C373,'PORTIFÓLIO'!C:V,2,0),"")</f>
        <v/>
      </c>
      <c r="E373" s="211" t="str">
        <f>IFERROR(VLOOKUP($C373,'PORTIFÓLIO'!C:V,3,0),"")</f>
        <v/>
      </c>
      <c r="F373" s="211" t="str">
        <f>IFERROR(VLOOKUP($C373,'PORTIFÓLIO'!C:V,4,0),"")</f>
        <v/>
      </c>
      <c r="G373" s="215" t="str">
        <f>IFERROR(VLOOKUP($C373,'PORTIFÓLIO'!C:V,5,0),"")</f>
        <v/>
      </c>
      <c r="H373" s="254" t="str">
        <f t="array" ref="H373">IFERROR(INDEX('PORTIFÓLIO'!$H$4:$H$433,MATCH($C373,'PORTIFÓLIO'!$C$4:$C$433,0)),"")</f>
        <v/>
      </c>
      <c r="I373" s="256"/>
      <c r="J373" s="218">
        <f t="shared" si="41"/>
        <v>0</v>
      </c>
      <c r="K373" s="292" t="str">
        <f t="array" ref="K373">IFERROR(I373*INDEX('PORTIFÓLIO'!$S$4:$S$433,MATCH($C373,'PORTIFÓLIO'!$C$4:$C$433,0)),"")</f>
        <v/>
      </c>
      <c r="L373" s="292" t="str">
        <f t="array" ref="L373">IFERROR(J373*INDEX('PORTIFÓLIO'!$S$4:$S$433,MATCH($C373,'PORTIFÓLIO'!$C$4:$C$433,0)),"")</f>
        <v/>
      </c>
      <c r="M373" s="220"/>
      <c r="N373" s="220"/>
      <c r="O373" s="220"/>
      <c r="P373" s="220"/>
      <c r="Q373" s="220"/>
      <c r="R373" s="220"/>
      <c r="S373" s="220"/>
      <c r="T373" s="220"/>
      <c r="U373" s="220"/>
      <c r="V373" s="220"/>
      <c r="W373" s="220"/>
    </row>
    <row r="374" ht="15.75" customHeight="1" outlineLevel="1">
      <c r="A374" s="211"/>
      <c r="B374" s="227"/>
      <c r="C374" s="211"/>
      <c r="D374" s="214" t="str">
        <f>IFERROR(VLOOKUP($C374,'PORTIFÓLIO'!C:V,2,0),"")</f>
        <v/>
      </c>
      <c r="E374" s="211" t="str">
        <f>IFERROR(VLOOKUP($C374,'PORTIFÓLIO'!C:V,3,0),"")</f>
        <v/>
      </c>
      <c r="F374" s="211" t="str">
        <f>IFERROR(VLOOKUP($C374,'PORTIFÓLIO'!C:V,4,0),"")</f>
        <v/>
      </c>
      <c r="G374" s="215" t="str">
        <f>IFERROR(VLOOKUP($C374,'PORTIFÓLIO'!C:V,5,0),"")</f>
        <v/>
      </c>
      <c r="H374" s="254" t="str">
        <f t="array" ref="H374">IFERROR(INDEX('PORTIFÓLIO'!$H$4:$H$433,MATCH($C374,'PORTIFÓLIO'!$C$4:$C$433,0)),"")</f>
        <v/>
      </c>
      <c r="I374" s="256"/>
      <c r="J374" s="218"/>
      <c r="K374" s="292" t="str">
        <f t="array" ref="K374">IFERROR(I374*INDEX('PORTIFÓLIO'!$S$4:$S$433,MATCH($C374,'PORTIFÓLIO'!$C$4:$C$433,0)),"")</f>
        <v/>
      </c>
      <c r="L374" s="292" t="str">
        <f t="array" ref="L374">IFERROR(J374*INDEX('PORTIFÓLIO'!$S$4:$S$433,MATCH($C374,'PORTIFÓLIO'!$C$4:$C$433,0)),"")</f>
        <v/>
      </c>
      <c r="M374" s="220"/>
      <c r="N374" s="220"/>
      <c r="O374" s="220"/>
      <c r="P374" s="220"/>
      <c r="Q374" s="220"/>
      <c r="R374" s="220"/>
      <c r="S374" s="220"/>
      <c r="T374" s="220"/>
      <c r="U374" s="220"/>
      <c r="V374" s="220"/>
      <c r="W374" s="220"/>
    </row>
    <row r="375" ht="15.75" customHeight="1">
      <c r="A375" s="229" t="s">
        <v>1192</v>
      </c>
      <c r="B375" s="230"/>
      <c r="C375" s="231"/>
      <c r="D375" s="232"/>
      <c r="E375" s="231"/>
      <c r="F375" s="231"/>
      <c r="G375" s="233"/>
      <c r="H375" s="233"/>
      <c r="I375" s="258"/>
      <c r="J375" s="236"/>
      <c r="K375" s="237">
        <f t="shared" ref="K375:L375" si="42">SUBTOTAL(9,K376:K389)</f>
        <v>0</v>
      </c>
      <c r="L375" s="237">
        <f t="shared" si="42"/>
        <v>0</v>
      </c>
      <c r="M375" s="220"/>
      <c r="N375" s="220"/>
      <c r="O375" s="220"/>
      <c r="P375" s="220"/>
      <c r="Q375" s="220"/>
      <c r="R375" s="220"/>
      <c r="S375" s="220"/>
      <c r="T375" s="220"/>
      <c r="U375" s="220"/>
      <c r="V375" s="220"/>
      <c r="W375" s="220"/>
    </row>
    <row r="376" ht="15.75" customHeight="1" outlineLevel="1">
      <c r="A376" s="213"/>
      <c r="B376" s="212"/>
      <c r="C376" s="213"/>
      <c r="D376" s="214" t="str">
        <f>IFERROR(VLOOKUP($C376,'PORTIFÓLIO'!C:V,2,0),"")</f>
        <v/>
      </c>
      <c r="E376" s="211" t="str">
        <f>IFERROR(VLOOKUP($C376,'PORTIFÓLIO'!C:V,3,0),"")</f>
        <v/>
      </c>
      <c r="F376" s="211" t="str">
        <f>IFERROR(VLOOKUP($C376,'PORTIFÓLIO'!C:V,4,0),"")</f>
        <v/>
      </c>
      <c r="G376" s="215" t="str">
        <f>IFERROR(VLOOKUP($C376,'PORTIFÓLIO'!C:V,5,0),"")</f>
        <v/>
      </c>
      <c r="H376" s="254" t="str">
        <f t="array" ref="H376">IFERROR(INDEX('PORTIFÓLIO'!$H$4:$H$433,MATCH($C376,'PORTIFÓLIO'!$C$4:$C$433,0)),"")</f>
        <v/>
      </c>
      <c r="I376" s="255"/>
      <c r="J376" s="218">
        <f t="shared" ref="J376:J390" si="43">I376*$B$2</f>
        <v>0</v>
      </c>
      <c r="K376" s="292" t="str">
        <f t="array" ref="K376">IFERROR(I376*INDEX('PORTIFÓLIO'!$S$4:$S$433,MATCH($C376,'PORTIFÓLIO'!$C$4:$C$433,0)),"")</f>
        <v/>
      </c>
      <c r="L376" s="292" t="str">
        <f t="array" ref="L376">IFERROR(J376*INDEX('PORTIFÓLIO'!$S$4:$S$433,MATCH($C376,'PORTIFÓLIO'!$C$4:$C$433,0)),"")</f>
        <v/>
      </c>
      <c r="M376" s="220"/>
      <c r="N376" s="220"/>
      <c r="O376" s="220"/>
      <c r="P376" s="220"/>
      <c r="Q376" s="220"/>
      <c r="R376" s="220"/>
      <c r="S376" s="220"/>
      <c r="T376" s="220"/>
      <c r="U376" s="220"/>
      <c r="V376" s="220"/>
      <c r="W376" s="220"/>
    </row>
    <row r="377" ht="15.75" customHeight="1" outlineLevel="1">
      <c r="A377" s="211"/>
      <c r="B377" s="212"/>
      <c r="C377" s="213"/>
      <c r="D377" s="214" t="str">
        <f>IFERROR(VLOOKUP($C377,'PORTIFÓLIO'!C:V,2,0),"")</f>
        <v/>
      </c>
      <c r="E377" s="211" t="str">
        <f>IFERROR(VLOOKUP($C377,'PORTIFÓLIO'!C:V,3,0),"")</f>
        <v/>
      </c>
      <c r="F377" s="211" t="str">
        <f>IFERROR(VLOOKUP($C377,'PORTIFÓLIO'!C:V,4,0),"")</f>
        <v/>
      </c>
      <c r="G377" s="215" t="str">
        <f>IFERROR(VLOOKUP($C377,'PORTIFÓLIO'!C:V,5,0),"")</f>
        <v/>
      </c>
      <c r="H377" s="254" t="str">
        <f t="array" ref="H377">IFERROR(INDEX('PORTIFÓLIO'!$H$4:$H$433,MATCH($C377,'PORTIFÓLIO'!$C$4:$C$433,0)),"")</f>
        <v/>
      </c>
      <c r="I377" s="256"/>
      <c r="J377" s="218">
        <f t="shared" si="43"/>
        <v>0</v>
      </c>
      <c r="K377" s="292" t="str">
        <f t="array" ref="K377">IFERROR(I377*INDEX('PORTIFÓLIO'!$S$4:$S$433,MATCH($C377,'PORTIFÓLIO'!$C$4:$C$433,0)),"")</f>
        <v/>
      </c>
      <c r="L377" s="292" t="str">
        <f t="array" ref="L377">IFERROR(J377*INDEX('PORTIFÓLIO'!$S$4:$S$433,MATCH($C377,'PORTIFÓLIO'!$C$4:$C$433,0)),"")</f>
        <v/>
      </c>
      <c r="M377" s="220"/>
      <c r="N377" s="220"/>
      <c r="O377" s="220"/>
      <c r="P377" s="220"/>
      <c r="Q377" s="220"/>
      <c r="R377" s="220"/>
      <c r="S377" s="220"/>
      <c r="T377" s="220"/>
      <c r="U377" s="220"/>
      <c r="V377" s="220"/>
      <c r="W377" s="220"/>
    </row>
    <row r="378" ht="15.75" customHeight="1" outlineLevel="1">
      <c r="A378" s="211"/>
      <c r="B378" s="212"/>
      <c r="C378" s="213"/>
      <c r="D378" s="214" t="str">
        <f>IFERROR(VLOOKUP($C378,'PORTIFÓLIO'!C:V,2,0),"")</f>
        <v/>
      </c>
      <c r="E378" s="211" t="str">
        <f>IFERROR(VLOOKUP($C378,'PORTIFÓLIO'!C:V,3,0),"")</f>
        <v/>
      </c>
      <c r="F378" s="211" t="str">
        <f>IFERROR(VLOOKUP($C378,'PORTIFÓLIO'!C:V,4,0),"")</f>
        <v/>
      </c>
      <c r="G378" s="215" t="str">
        <f>IFERROR(VLOOKUP($C378,'PORTIFÓLIO'!C:V,5,0),"")</f>
        <v/>
      </c>
      <c r="H378" s="254" t="str">
        <f t="array" ref="H378">IFERROR(INDEX('PORTIFÓLIO'!$H$4:$H$433,MATCH($C378,'PORTIFÓLIO'!$C$4:$C$433,0)),"")</f>
        <v/>
      </c>
      <c r="I378" s="256"/>
      <c r="J378" s="218">
        <f t="shared" si="43"/>
        <v>0</v>
      </c>
      <c r="K378" s="292" t="str">
        <f t="array" ref="K378">IFERROR(I378*INDEX('PORTIFÓLIO'!$S$4:$S$433,MATCH($C378,'PORTIFÓLIO'!$C$4:$C$433,0)),"")</f>
        <v/>
      </c>
      <c r="L378" s="292" t="str">
        <f t="array" ref="L378">IFERROR(J378*INDEX('PORTIFÓLIO'!$S$4:$S$433,MATCH($C378,'PORTIFÓLIO'!$C$4:$C$433,0)),"")</f>
        <v/>
      </c>
      <c r="M378" s="220"/>
      <c r="N378" s="220"/>
      <c r="O378" s="220"/>
      <c r="P378" s="220"/>
      <c r="Q378" s="220"/>
      <c r="R378" s="220"/>
      <c r="S378" s="220"/>
      <c r="T378" s="220"/>
      <c r="U378" s="220"/>
      <c r="V378" s="220"/>
      <c r="W378" s="220"/>
    </row>
    <row r="379" ht="15.75" customHeight="1" outlineLevel="1">
      <c r="A379" s="211"/>
      <c r="B379" s="212"/>
      <c r="C379" s="213"/>
      <c r="D379" s="214" t="str">
        <f>IFERROR(VLOOKUP($C379,'PORTIFÓLIO'!C:V,2,0),"")</f>
        <v/>
      </c>
      <c r="E379" s="211" t="str">
        <f>IFERROR(VLOOKUP($C379,'PORTIFÓLIO'!C:V,3,0),"")</f>
        <v/>
      </c>
      <c r="F379" s="211" t="str">
        <f>IFERROR(VLOOKUP($C379,'PORTIFÓLIO'!C:V,4,0),"")</f>
        <v/>
      </c>
      <c r="G379" s="215" t="str">
        <f>IFERROR(VLOOKUP($C379,'PORTIFÓLIO'!C:V,5,0),"")</f>
        <v/>
      </c>
      <c r="H379" s="254" t="str">
        <f t="array" ref="H379">IFERROR(INDEX('PORTIFÓLIO'!$H$4:$H$433,MATCH($C379,'PORTIFÓLIO'!$C$4:$C$433,0)),"")</f>
        <v/>
      </c>
      <c r="I379" s="256"/>
      <c r="J379" s="218">
        <f t="shared" si="43"/>
        <v>0</v>
      </c>
      <c r="K379" s="292" t="str">
        <f t="array" ref="K379">IFERROR(I379*INDEX('PORTIFÓLIO'!$S$4:$S$433,MATCH($C379,'PORTIFÓLIO'!$C$4:$C$433,0)),"")</f>
        <v/>
      </c>
      <c r="L379" s="292" t="str">
        <f t="array" ref="L379">IFERROR(J379*INDEX('PORTIFÓLIO'!$S$4:$S$433,MATCH($C379,'PORTIFÓLIO'!$C$4:$C$433,0)),"")</f>
        <v/>
      </c>
      <c r="M379" s="220"/>
      <c r="N379" s="220"/>
      <c r="O379" s="220"/>
      <c r="P379" s="220"/>
      <c r="Q379" s="220"/>
      <c r="R379" s="220"/>
      <c r="S379" s="220"/>
      <c r="T379" s="220"/>
      <c r="U379" s="220"/>
      <c r="V379" s="220"/>
      <c r="W379" s="220"/>
    </row>
    <row r="380" ht="15.75" customHeight="1" outlineLevel="1">
      <c r="A380" s="211"/>
      <c r="B380" s="212"/>
      <c r="C380" s="213"/>
      <c r="D380" s="214" t="str">
        <f>IFERROR(VLOOKUP($C380,'PORTIFÓLIO'!C:V,2,0),"")</f>
        <v/>
      </c>
      <c r="E380" s="211" t="str">
        <f>IFERROR(VLOOKUP($C380,'PORTIFÓLIO'!C:V,3,0),"")</f>
        <v/>
      </c>
      <c r="F380" s="211" t="str">
        <f>IFERROR(VLOOKUP($C380,'PORTIFÓLIO'!C:V,4,0),"")</f>
        <v/>
      </c>
      <c r="G380" s="215" t="str">
        <f>IFERROR(VLOOKUP($C380,'PORTIFÓLIO'!C:V,5,0),"")</f>
        <v/>
      </c>
      <c r="H380" s="254" t="str">
        <f t="array" ref="H380">IFERROR(INDEX('PORTIFÓLIO'!$H$4:$H$433,MATCH($C380,'PORTIFÓLIO'!$C$4:$C$433,0)),"")</f>
        <v/>
      </c>
      <c r="I380" s="256"/>
      <c r="J380" s="218">
        <f t="shared" si="43"/>
        <v>0</v>
      </c>
      <c r="K380" s="292" t="str">
        <f t="array" ref="K380">IFERROR(I380*INDEX('PORTIFÓLIO'!$S$4:$S$433,MATCH($C380,'PORTIFÓLIO'!$C$4:$C$433,0)),"")</f>
        <v/>
      </c>
      <c r="L380" s="292" t="str">
        <f t="array" ref="L380">IFERROR(J380*INDEX('PORTIFÓLIO'!$S$4:$S$433,MATCH($C380,'PORTIFÓLIO'!$C$4:$C$433,0)),"")</f>
        <v/>
      </c>
      <c r="M380" s="220"/>
      <c r="N380" s="220"/>
      <c r="O380" s="220"/>
      <c r="P380" s="220"/>
      <c r="Q380" s="220"/>
      <c r="R380" s="220"/>
      <c r="S380" s="220"/>
      <c r="T380" s="220"/>
      <c r="U380" s="220"/>
      <c r="V380" s="220"/>
      <c r="W380" s="220"/>
    </row>
    <row r="381" ht="15.75" customHeight="1" outlineLevel="1">
      <c r="A381" s="211"/>
      <c r="B381" s="212"/>
      <c r="C381" s="213"/>
      <c r="D381" s="214" t="str">
        <f>IFERROR(VLOOKUP($C381,'PORTIFÓLIO'!C:V,2,0),"")</f>
        <v/>
      </c>
      <c r="E381" s="211" t="str">
        <f>IFERROR(VLOOKUP($C381,'PORTIFÓLIO'!C:V,3,0),"")</f>
        <v/>
      </c>
      <c r="F381" s="211" t="str">
        <f>IFERROR(VLOOKUP($C381,'PORTIFÓLIO'!C:V,4,0),"")</f>
        <v/>
      </c>
      <c r="G381" s="215" t="str">
        <f>IFERROR(VLOOKUP($C381,'PORTIFÓLIO'!C:V,5,0),"")</f>
        <v/>
      </c>
      <c r="H381" s="254" t="str">
        <f t="array" ref="H381">IFERROR(INDEX('PORTIFÓLIO'!$H$4:$H$433,MATCH($C381,'PORTIFÓLIO'!$C$4:$C$433,0)),"")</f>
        <v/>
      </c>
      <c r="I381" s="256"/>
      <c r="J381" s="218">
        <f t="shared" si="43"/>
        <v>0</v>
      </c>
      <c r="K381" s="292" t="str">
        <f t="array" ref="K381">IFERROR(I381*INDEX('PORTIFÓLIO'!$S$4:$S$433,MATCH($C381,'PORTIFÓLIO'!$C$4:$C$433,0)),"")</f>
        <v/>
      </c>
      <c r="L381" s="292" t="str">
        <f t="array" ref="L381">IFERROR(J381*INDEX('PORTIFÓLIO'!$S$4:$S$433,MATCH($C381,'PORTIFÓLIO'!$C$4:$C$433,0)),"")</f>
        <v/>
      </c>
      <c r="M381" s="220"/>
      <c r="N381" s="220"/>
      <c r="O381" s="220"/>
      <c r="P381" s="220"/>
      <c r="Q381" s="220"/>
      <c r="R381" s="220"/>
      <c r="S381" s="220"/>
      <c r="T381" s="220"/>
      <c r="U381" s="220"/>
      <c r="V381" s="220"/>
      <c r="W381" s="220"/>
    </row>
    <row r="382" ht="15.75" customHeight="1" outlineLevel="1">
      <c r="A382" s="211"/>
      <c r="B382" s="212"/>
      <c r="C382" s="213"/>
      <c r="D382" s="214" t="str">
        <f>IFERROR(VLOOKUP($C382,'PORTIFÓLIO'!C:V,2,0),"")</f>
        <v/>
      </c>
      <c r="E382" s="211" t="str">
        <f>IFERROR(VLOOKUP($C382,'PORTIFÓLIO'!C:V,3,0),"")</f>
        <v/>
      </c>
      <c r="F382" s="211" t="str">
        <f>IFERROR(VLOOKUP($C382,'PORTIFÓLIO'!C:V,4,0),"")</f>
        <v/>
      </c>
      <c r="G382" s="215" t="str">
        <f>IFERROR(VLOOKUP($C382,'PORTIFÓLIO'!C:V,5,0),"")</f>
        <v/>
      </c>
      <c r="H382" s="254" t="str">
        <f t="array" ref="H382">IFERROR(INDEX('PORTIFÓLIO'!$H$4:$H$433,MATCH($C382,'PORTIFÓLIO'!$C$4:$C$433,0)),"")</f>
        <v/>
      </c>
      <c r="I382" s="256"/>
      <c r="J382" s="218">
        <f t="shared" si="43"/>
        <v>0</v>
      </c>
      <c r="K382" s="292" t="str">
        <f t="array" ref="K382">IFERROR(I382*INDEX('PORTIFÓLIO'!$S$4:$S$433,MATCH($C382,'PORTIFÓLIO'!$C$4:$C$433,0)),"")</f>
        <v/>
      </c>
      <c r="L382" s="292" t="str">
        <f t="array" ref="L382">IFERROR(J382*INDEX('PORTIFÓLIO'!$S$4:$S$433,MATCH($C382,'PORTIFÓLIO'!$C$4:$C$433,0)),"")</f>
        <v/>
      </c>
      <c r="M382" s="220"/>
      <c r="N382" s="220"/>
      <c r="O382" s="220"/>
      <c r="P382" s="220"/>
      <c r="Q382" s="220"/>
      <c r="R382" s="220"/>
      <c r="S382" s="220"/>
      <c r="T382" s="220"/>
      <c r="U382" s="220"/>
      <c r="V382" s="220"/>
      <c r="W382" s="220"/>
    </row>
    <row r="383" ht="15.75" customHeight="1" outlineLevel="1">
      <c r="A383" s="211"/>
      <c r="B383" s="212"/>
      <c r="C383" s="213"/>
      <c r="D383" s="214" t="str">
        <f>IFERROR(VLOOKUP($C383,'PORTIFÓLIO'!C:V,2,0),"")</f>
        <v/>
      </c>
      <c r="E383" s="211" t="str">
        <f>IFERROR(VLOOKUP($C383,'PORTIFÓLIO'!C:V,3,0),"")</f>
        <v/>
      </c>
      <c r="F383" s="211" t="str">
        <f>IFERROR(VLOOKUP($C383,'PORTIFÓLIO'!C:V,4,0),"")</f>
        <v/>
      </c>
      <c r="G383" s="215" t="str">
        <f>IFERROR(VLOOKUP($C383,'PORTIFÓLIO'!C:V,5,0),"")</f>
        <v/>
      </c>
      <c r="H383" s="254" t="str">
        <f t="array" ref="H383">IFERROR(INDEX('PORTIFÓLIO'!$H$4:$H$433,MATCH($C383,'PORTIFÓLIO'!$C$4:$C$433,0)),"")</f>
        <v/>
      </c>
      <c r="I383" s="256"/>
      <c r="J383" s="218">
        <f t="shared" si="43"/>
        <v>0</v>
      </c>
      <c r="K383" s="292" t="str">
        <f t="array" ref="K383">IFERROR(I383*INDEX('PORTIFÓLIO'!$S$4:$S$433,MATCH($C383,'PORTIFÓLIO'!$C$4:$C$433,0)),"")</f>
        <v/>
      </c>
      <c r="L383" s="292" t="str">
        <f t="array" ref="L383">IFERROR(J383*INDEX('PORTIFÓLIO'!$S$4:$S$433,MATCH($C383,'PORTIFÓLIO'!$C$4:$C$433,0)),"")</f>
        <v/>
      </c>
      <c r="M383" s="220"/>
      <c r="N383" s="220"/>
      <c r="O383" s="220"/>
      <c r="P383" s="220"/>
      <c r="Q383" s="220"/>
      <c r="R383" s="220"/>
      <c r="S383" s="220"/>
      <c r="T383" s="220"/>
      <c r="U383" s="220"/>
      <c r="V383" s="220"/>
      <c r="W383" s="220"/>
    </row>
    <row r="384" ht="15.75" customHeight="1" outlineLevel="1">
      <c r="A384" s="211"/>
      <c r="B384" s="212"/>
      <c r="C384" s="213"/>
      <c r="D384" s="214" t="str">
        <f>IFERROR(VLOOKUP($C384,'PORTIFÓLIO'!C:V,2,0),"")</f>
        <v/>
      </c>
      <c r="E384" s="211" t="str">
        <f>IFERROR(VLOOKUP($C384,'PORTIFÓLIO'!C:V,3,0),"")</f>
        <v/>
      </c>
      <c r="F384" s="211" t="str">
        <f>IFERROR(VLOOKUP($C384,'PORTIFÓLIO'!C:V,4,0),"")</f>
        <v/>
      </c>
      <c r="G384" s="215" t="str">
        <f>IFERROR(VLOOKUP($C384,'PORTIFÓLIO'!C:V,5,0),"")</f>
        <v/>
      </c>
      <c r="H384" s="254" t="str">
        <f t="array" ref="H384">IFERROR(INDEX('PORTIFÓLIO'!$H$4:$H$433,MATCH($C384,'PORTIFÓLIO'!$C$4:$C$433,0)),"")</f>
        <v/>
      </c>
      <c r="I384" s="255"/>
      <c r="J384" s="218">
        <f t="shared" si="43"/>
        <v>0</v>
      </c>
      <c r="K384" s="292" t="str">
        <f t="array" ref="K384">IFERROR(I384*INDEX('PORTIFÓLIO'!$S$4:$S$433,MATCH($C384,'PORTIFÓLIO'!$C$4:$C$433,0)),"")</f>
        <v/>
      </c>
      <c r="L384" s="292" t="str">
        <f t="array" ref="L384">IFERROR(J384*INDEX('PORTIFÓLIO'!$S$4:$S$433,MATCH($C384,'PORTIFÓLIO'!$C$4:$C$433,0)),"")</f>
        <v/>
      </c>
      <c r="M384" s="220"/>
      <c r="N384" s="220"/>
      <c r="O384" s="220"/>
      <c r="P384" s="220"/>
      <c r="Q384" s="220"/>
      <c r="R384" s="220"/>
      <c r="S384" s="220"/>
      <c r="T384" s="220"/>
      <c r="U384" s="220"/>
      <c r="V384" s="220"/>
      <c r="W384" s="220"/>
    </row>
    <row r="385" ht="15.75" customHeight="1" outlineLevel="1">
      <c r="A385" s="211"/>
      <c r="B385" s="212"/>
      <c r="C385" s="213"/>
      <c r="D385" s="214" t="str">
        <f>IFERROR(VLOOKUP($C385,'PORTIFÓLIO'!C:V,2,0),"")</f>
        <v/>
      </c>
      <c r="E385" s="211" t="str">
        <f>IFERROR(VLOOKUP($C385,'PORTIFÓLIO'!C:V,3,0),"")</f>
        <v/>
      </c>
      <c r="F385" s="211" t="str">
        <f>IFERROR(VLOOKUP($C385,'PORTIFÓLIO'!C:V,4,0),"")</f>
        <v/>
      </c>
      <c r="G385" s="215" t="str">
        <f>IFERROR(VLOOKUP($C385,'PORTIFÓLIO'!C:V,5,0),"")</f>
        <v/>
      </c>
      <c r="H385" s="254" t="str">
        <f t="array" ref="H385">IFERROR(INDEX('PORTIFÓLIO'!$H$4:$H$433,MATCH($C385,'PORTIFÓLIO'!$C$4:$C$433,0)),"")</f>
        <v/>
      </c>
      <c r="I385" s="256"/>
      <c r="J385" s="218">
        <f t="shared" si="43"/>
        <v>0</v>
      </c>
      <c r="K385" s="292" t="str">
        <f t="array" ref="K385">IFERROR(I385*INDEX('PORTIFÓLIO'!$S$4:$S$433,MATCH($C385,'PORTIFÓLIO'!$C$4:$C$433,0)),"")</f>
        <v/>
      </c>
      <c r="L385" s="292" t="str">
        <f t="array" ref="L385">IFERROR(J385*INDEX('PORTIFÓLIO'!$S$4:$S$433,MATCH($C385,'PORTIFÓLIO'!$C$4:$C$433,0)),"")</f>
        <v/>
      </c>
      <c r="M385" s="220"/>
      <c r="N385" s="220"/>
      <c r="O385" s="220"/>
      <c r="P385" s="220"/>
      <c r="Q385" s="220"/>
      <c r="R385" s="220"/>
      <c r="S385" s="220"/>
      <c r="T385" s="220"/>
      <c r="U385" s="220"/>
      <c r="V385" s="220"/>
      <c r="W385" s="220"/>
    </row>
    <row r="386" ht="15.75" customHeight="1" outlineLevel="1">
      <c r="A386" s="211"/>
      <c r="B386" s="212"/>
      <c r="C386" s="213"/>
      <c r="D386" s="214" t="str">
        <f>IFERROR(VLOOKUP($C386,'PORTIFÓLIO'!C:V,2,0),"")</f>
        <v/>
      </c>
      <c r="E386" s="211" t="str">
        <f>IFERROR(VLOOKUP($C386,'PORTIFÓLIO'!C:V,3,0),"")</f>
        <v/>
      </c>
      <c r="F386" s="211" t="str">
        <f>IFERROR(VLOOKUP($C386,'PORTIFÓLIO'!C:V,4,0),"")</f>
        <v/>
      </c>
      <c r="G386" s="215" t="str">
        <f>IFERROR(VLOOKUP($C386,'PORTIFÓLIO'!C:V,5,0),"")</f>
        <v/>
      </c>
      <c r="H386" s="254" t="str">
        <f t="array" ref="H386">IFERROR(INDEX('PORTIFÓLIO'!$H$4:$H$433,MATCH($C386,'PORTIFÓLIO'!$C$4:$C$433,0)),"")</f>
        <v/>
      </c>
      <c r="I386" s="256"/>
      <c r="J386" s="218">
        <f t="shared" si="43"/>
        <v>0</v>
      </c>
      <c r="K386" s="292" t="str">
        <f t="array" ref="K386">IFERROR(I386*INDEX('PORTIFÓLIO'!$S$4:$S$433,MATCH($C386,'PORTIFÓLIO'!$C$4:$C$433,0)),"")</f>
        <v/>
      </c>
      <c r="L386" s="292" t="str">
        <f t="array" ref="L386">IFERROR(J386*INDEX('PORTIFÓLIO'!$S$4:$S$433,MATCH($C386,'PORTIFÓLIO'!$C$4:$C$433,0)),"")</f>
        <v/>
      </c>
      <c r="M386" s="220"/>
      <c r="N386" s="220"/>
      <c r="O386" s="220"/>
      <c r="P386" s="220"/>
      <c r="Q386" s="220"/>
      <c r="R386" s="220"/>
      <c r="S386" s="220"/>
      <c r="T386" s="220"/>
      <c r="U386" s="220"/>
      <c r="V386" s="220"/>
      <c r="W386" s="220"/>
    </row>
    <row r="387" ht="15.75" customHeight="1" outlineLevel="1">
      <c r="A387" s="211"/>
      <c r="B387" s="212"/>
      <c r="C387" s="213"/>
      <c r="D387" s="214" t="str">
        <f>IFERROR(VLOOKUP($C387,'PORTIFÓLIO'!C:V,2,0),"")</f>
        <v/>
      </c>
      <c r="E387" s="211" t="str">
        <f>IFERROR(VLOOKUP($C387,'PORTIFÓLIO'!C:V,3,0),"")</f>
        <v/>
      </c>
      <c r="F387" s="211" t="str">
        <f>IFERROR(VLOOKUP($C387,'PORTIFÓLIO'!C:V,4,0),"")</f>
        <v/>
      </c>
      <c r="G387" s="215" t="str">
        <f>IFERROR(VLOOKUP($C387,'PORTIFÓLIO'!C:V,5,0),"")</f>
        <v/>
      </c>
      <c r="H387" s="254" t="str">
        <f t="array" ref="H387">IFERROR(INDEX('PORTIFÓLIO'!$H$4:$H$433,MATCH($C387,'PORTIFÓLIO'!$C$4:$C$433,0)),"")</f>
        <v/>
      </c>
      <c r="I387" s="256"/>
      <c r="J387" s="218">
        <f t="shared" si="43"/>
        <v>0</v>
      </c>
      <c r="K387" s="292" t="str">
        <f t="array" ref="K387">IFERROR(I387*INDEX('PORTIFÓLIO'!$S$4:$S$433,MATCH($C387,'PORTIFÓLIO'!$C$4:$C$433,0)),"")</f>
        <v/>
      </c>
      <c r="L387" s="292" t="str">
        <f t="array" ref="L387">IFERROR(J387*INDEX('PORTIFÓLIO'!$S$4:$S$433,MATCH($C387,'PORTIFÓLIO'!$C$4:$C$433,0)),"")</f>
        <v/>
      </c>
      <c r="M387" s="220"/>
      <c r="N387" s="220"/>
      <c r="O387" s="220"/>
      <c r="P387" s="220"/>
      <c r="Q387" s="220"/>
      <c r="R387" s="220"/>
      <c r="S387" s="220"/>
      <c r="T387" s="220"/>
      <c r="U387" s="220"/>
      <c r="V387" s="220"/>
      <c r="W387" s="220"/>
    </row>
    <row r="388" ht="15.75" customHeight="1" outlineLevel="1">
      <c r="A388" s="211"/>
      <c r="B388" s="212"/>
      <c r="C388" s="213"/>
      <c r="D388" s="214" t="str">
        <f>IFERROR(VLOOKUP($C388,'PORTIFÓLIO'!C:V,2,0),"")</f>
        <v/>
      </c>
      <c r="E388" s="211" t="str">
        <f>IFERROR(VLOOKUP($C388,'PORTIFÓLIO'!C:V,3,0),"")</f>
        <v/>
      </c>
      <c r="F388" s="211" t="str">
        <f>IFERROR(VLOOKUP($C388,'PORTIFÓLIO'!C:V,4,0),"")</f>
        <v/>
      </c>
      <c r="G388" s="215" t="str">
        <f>IFERROR(VLOOKUP($C388,'PORTIFÓLIO'!C:V,5,0),"")</f>
        <v/>
      </c>
      <c r="H388" s="254" t="str">
        <f t="array" ref="H388">IFERROR(INDEX('PORTIFÓLIO'!$H$4:$H$433,MATCH($C388,'PORTIFÓLIO'!$C$4:$C$433,0)),"")</f>
        <v/>
      </c>
      <c r="I388" s="256"/>
      <c r="J388" s="218">
        <f t="shared" si="43"/>
        <v>0</v>
      </c>
      <c r="K388" s="292" t="str">
        <f t="array" ref="K388">IFERROR(I388*INDEX('PORTIFÓLIO'!$S$4:$S$433,MATCH($C388,'PORTIFÓLIO'!$C$4:$C$433,0)),"")</f>
        <v/>
      </c>
      <c r="L388" s="292" t="str">
        <f t="array" ref="L388">IFERROR(J388*INDEX('PORTIFÓLIO'!$S$4:$S$433,MATCH($C388,'PORTIFÓLIO'!$C$4:$C$433,0)),"")</f>
        <v/>
      </c>
      <c r="M388" s="220"/>
      <c r="N388" s="220"/>
      <c r="O388" s="220"/>
      <c r="P388" s="220"/>
      <c r="Q388" s="220"/>
      <c r="R388" s="220"/>
      <c r="S388" s="220"/>
      <c r="T388" s="220"/>
      <c r="U388" s="220"/>
      <c r="V388" s="220"/>
      <c r="W388" s="220"/>
    </row>
    <row r="389" ht="15.75" customHeight="1" outlineLevel="1">
      <c r="A389" s="211"/>
      <c r="B389" s="212"/>
      <c r="C389" s="213"/>
      <c r="D389" s="214" t="str">
        <f>IFERROR(VLOOKUP($C389,'PORTIFÓLIO'!C:V,2,0),"")</f>
        <v/>
      </c>
      <c r="E389" s="211" t="str">
        <f>IFERROR(VLOOKUP($C389,'PORTIFÓLIO'!C:V,3,0),"")</f>
        <v/>
      </c>
      <c r="F389" s="211" t="str">
        <f>IFERROR(VLOOKUP($C389,'PORTIFÓLIO'!C:V,4,0),"")</f>
        <v/>
      </c>
      <c r="G389" s="215" t="str">
        <f>IFERROR(VLOOKUP($C389,'PORTIFÓLIO'!C:V,5,0),"")</f>
        <v/>
      </c>
      <c r="H389" s="254" t="str">
        <f t="array" ref="H389">IFERROR(INDEX('PORTIFÓLIO'!$H$4:$H$433,MATCH($C389,'PORTIFÓLIO'!$C$4:$C$433,0)),"")</f>
        <v/>
      </c>
      <c r="I389" s="256"/>
      <c r="J389" s="218">
        <f t="shared" si="43"/>
        <v>0</v>
      </c>
      <c r="K389" s="292" t="str">
        <f t="array" ref="K389">IFERROR(I389*INDEX('PORTIFÓLIO'!$S$4:$S$433,MATCH($C389,'PORTIFÓLIO'!$C$4:$C$433,0)),"")</f>
        <v/>
      </c>
      <c r="L389" s="292" t="str">
        <f t="array" ref="L389">IFERROR(J389*INDEX('PORTIFÓLIO'!$S$4:$S$433,MATCH($C389,'PORTIFÓLIO'!$C$4:$C$433,0)),"")</f>
        <v/>
      </c>
      <c r="M389" s="220"/>
      <c r="N389" s="220"/>
      <c r="O389" s="220"/>
      <c r="P389" s="220"/>
      <c r="Q389" s="220"/>
      <c r="R389" s="220"/>
      <c r="S389" s="220"/>
      <c r="T389" s="220"/>
      <c r="U389" s="220"/>
      <c r="V389" s="220"/>
      <c r="W389" s="220"/>
    </row>
    <row r="390" ht="15.75" customHeight="1" outlineLevel="1">
      <c r="A390" s="211"/>
      <c r="B390" s="212"/>
      <c r="C390" s="213"/>
      <c r="D390" s="214" t="str">
        <f>IFERROR(VLOOKUP($C390,'PORTIFÓLIO'!C:V,2,0),"")</f>
        <v/>
      </c>
      <c r="E390" s="211" t="str">
        <f>IFERROR(VLOOKUP($C390,'PORTIFÓLIO'!C:V,3,0),"")</f>
        <v/>
      </c>
      <c r="F390" s="211" t="str">
        <f>IFERROR(VLOOKUP($C390,'PORTIFÓLIO'!C:V,4,0),"")</f>
        <v/>
      </c>
      <c r="G390" s="215" t="str">
        <f>IFERROR(VLOOKUP($C390,'PORTIFÓLIO'!C:V,5,0),"")</f>
        <v/>
      </c>
      <c r="H390" s="254" t="str">
        <f t="array" ref="H390">IFERROR(INDEX('PORTIFÓLIO'!$H$4:$H$433,MATCH($C390,'PORTIFÓLIO'!$C$4:$C$433,0)),"")</f>
        <v/>
      </c>
      <c r="I390" s="256"/>
      <c r="J390" s="218">
        <f t="shared" si="43"/>
        <v>0</v>
      </c>
      <c r="K390" s="292" t="str">
        <f t="array" ref="K390">IFERROR(I390*INDEX('PORTIFÓLIO'!$S$4:$S$433,MATCH($C390,'PORTIFÓLIO'!$C$4:$C$433,0)),"")</f>
        <v/>
      </c>
      <c r="L390" s="292" t="str">
        <f t="array" ref="L390">IFERROR(J390*INDEX('PORTIFÓLIO'!$S$4:$S$433,MATCH($C390,'PORTIFÓLIO'!$C$4:$C$433,0)),"")</f>
        <v/>
      </c>
      <c r="M390" s="220"/>
      <c r="N390" s="220"/>
      <c r="O390" s="220"/>
      <c r="P390" s="220"/>
      <c r="Q390" s="220"/>
      <c r="R390" s="220"/>
      <c r="S390" s="220"/>
      <c r="T390" s="220"/>
      <c r="U390" s="220"/>
      <c r="V390" s="220"/>
      <c r="W390" s="220"/>
    </row>
    <row r="391" ht="15.75" customHeight="1" outlineLevel="1">
      <c r="A391" s="211"/>
      <c r="B391" s="227"/>
      <c r="C391" s="211"/>
      <c r="D391" s="214" t="str">
        <f>IFERROR(VLOOKUP($C391,'PORTIFÓLIO'!C:V,2,0),"")</f>
        <v/>
      </c>
      <c r="E391" s="211" t="str">
        <f>IFERROR(VLOOKUP($C391,'PORTIFÓLIO'!C:V,3,0),"")</f>
        <v/>
      </c>
      <c r="F391" s="211" t="str">
        <f>IFERROR(VLOOKUP($C391,'PORTIFÓLIO'!C:V,4,0),"")</f>
        <v/>
      </c>
      <c r="G391" s="215" t="str">
        <f>IFERROR(VLOOKUP($C391,'PORTIFÓLIO'!C:V,5,0),"")</f>
        <v/>
      </c>
      <c r="H391" s="254" t="str">
        <f t="array" ref="H391">IFERROR(INDEX('PORTIFÓLIO'!$H$4:$H$433,MATCH($C391,'PORTIFÓLIO'!$C$4:$C$433,0)),"")</f>
        <v/>
      </c>
      <c r="I391" s="256"/>
      <c r="J391" s="218"/>
      <c r="K391" s="292" t="str">
        <f t="array" ref="K391">IFERROR(I391*INDEX('PORTIFÓLIO'!$S$4:$S$433,MATCH($C391,'PORTIFÓLIO'!$C$4:$C$433,0)),"")</f>
        <v/>
      </c>
      <c r="L391" s="292" t="str">
        <f t="array" ref="L391">IFERROR(J391*INDEX('PORTIFÓLIO'!$S$4:$S$433,MATCH($C391,'PORTIFÓLIO'!$C$4:$C$433,0)),"")</f>
        <v/>
      </c>
      <c r="M391" s="220"/>
      <c r="N391" s="220"/>
      <c r="O391" s="220"/>
      <c r="P391" s="220"/>
      <c r="Q391" s="220"/>
      <c r="R391" s="220"/>
      <c r="S391" s="220"/>
      <c r="T391" s="220"/>
      <c r="U391" s="220"/>
      <c r="V391" s="220"/>
      <c r="W391" s="220"/>
    </row>
    <row r="392" ht="15.75" customHeight="1">
      <c r="A392" s="229" t="s">
        <v>1193</v>
      </c>
      <c r="B392" s="230"/>
      <c r="C392" s="231"/>
      <c r="D392" s="232"/>
      <c r="E392" s="231"/>
      <c r="F392" s="231"/>
      <c r="G392" s="233"/>
      <c r="H392" s="233"/>
      <c r="I392" s="258"/>
      <c r="J392" s="236"/>
      <c r="K392" s="237">
        <f t="shared" ref="K392:L392" si="44">SUBTOTAL(9,K393:K406)</f>
        <v>0</v>
      </c>
      <c r="L392" s="237">
        <f t="shared" si="44"/>
        <v>0</v>
      </c>
      <c r="M392" s="220"/>
      <c r="N392" s="220"/>
      <c r="O392" s="220"/>
      <c r="P392" s="220"/>
      <c r="Q392" s="220"/>
      <c r="R392" s="220"/>
      <c r="S392" s="220"/>
      <c r="T392" s="220"/>
      <c r="U392" s="220"/>
      <c r="V392" s="220"/>
      <c r="W392" s="220"/>
    </row>
    <row r="393" ht="15.75" customHeight="1" outlineLevel="1">
      <c r="A393" s="213"/>
      <c r="B393" s="212"/>
      <c r="C393" s="213"/>
      <c r="D393" s="214" t="str">
        <f>IFERROR(VLOOKUP($C393,'PORTIFÓLIO'!C:V,2,0),"")</f>
        <v/>
      </c>
      <c r="E393" s="211" t="str">
        <f>IFERROR(VLOOKUP($C393,'PORTIFÓLIO'!C:V,3,0),"")</f>
        <v/>
      </c>
      <c r="F393" s="211" t="str">
        <f>IFERROR(VLOOKUP($C393,'PORTIFÓLIO'!C:V,4,0),"")</f>
        <v/>
      </c>
      <c r="G393" s="215" t="str">
        <f>IFERROR(VLOOKUP($C393,'PORTIFÓLIO'!C:V,5,0),"")</f>
        <v/>
      </c>
      <c r="H393" s="254" t="str">
        <f t="array" ref="H393">IFERROR(INDEX('PORTIFÓLIO'!$H$4:$H$433,MATCH($C393,'PORTIFÓLIO'!$C$4:$C$433,0)),"")</f>
        <v/>
      </c>
      <c r="I393" s="255"/>
      <c r="J393" s="218">
        <f t="shared" ref="J393:J408" si="45">I393*$B$2</f>
        <v>0</v>
      </c>
      <c r="K393" s="292" t="str">
        <f t="array" ref="K393">IFERROR(I393*INDEX('PORTIFÓLIO'!$S$4:$S$433,MATCH($C393,'PORTIFÓLIO'!$C$4:$C$433,0)),"")</f>
        <v/>
      </c>
      <c r="L393" s="292" t="str">
        <f t="array" ref="L393">IFERROR(J393*INDEX('PORTIFÓLIO'!$S$4:$S$433,MATCH($C393,'PORTIFÓLIO'!$C$4:$C$433,0)),"")</f>
        <v/>
      </c>
      <c r="M393" s="220"/>
      <c r="N393" s="220"/>
      <c r="O393" s="220"/>
      <c r="P393" s="220"/>
      <c r="Q393" s="220"/>
      <c r="R393" s="220"/>
      <c r="S393" s="220"/>
      <c r="T393" s="220"/>
      <c r="U393" s="220"/>
      <c r="V393" s="220"/>
      <c r="W393" s="220"/>
    </row>
    <row r="394" ht="15.75" customHeight="1" outlineLevel="1">
      <c r="A394" s="211"/>
      <c r="B394" s="212"/>
      <c r="C394" s="213"/>
      <c r="D394" s="214" t="str">
        <f>IFERROR(VLOOKUP($C394,'PORTIFÓLIO'!C:V,2,0),"")</f>
        <v/>
      </c>
      <c r="E394" s="211" t="str">
        <f>IFERROR(VLOOKUP($C394,'PORTIFÓLIO'!C:V,3,0),"")</f>
        <v/>
      </c>
      <c r="F394" s="211" t="str">
        <f>IFERROR(VLOOKUP($C394,'PORTIFÓLIO'!C:V,4,0),"")</f>
        <v/>
      </c>
      <c r="G394" s="215" t="str">
        <f>IFERROR(VLOOKUP($C394,'PORTIFÓLIO'!C:V,5,0),"")</f>
        <v/>
      </c>
      <c r="H394" s="254" t="str">
        <f t="array" ref="H394">IFERROR(INDEX('PORTIFÓLIO'!$H$4:$H$433,MATCH($C394,'PORTIFÓLIO'!$C$4:$C$433,0)),"")</f>
        <v/>
      </c>
      <c r="I394" s="256"/>
      <c r="J394" s="218">
        <f t="shared" si="45"/>
        <v>0</v>
      </c>
      <c r="K394" s="292" t="str">
        <f t="array" ref="K394">IFERROR(I394*INDEX('PORTIFÓLIO'!$S$4:$S$433,MATCH($C394,'PORTIFÓLIO'!$C$4:$C$433,0)),"")</f>
        <v/>
      </c>
      <c r="L394" s="292" t="str">
        <f t="array" ref="L394">IFERROR(J394*INDEX('PORTIFÓLIO'!$S$4:$S$433,MATCH($C394,'PORTIFÓLIO'!$C$4:$C$433,0)),"")</f>
        <v/>
      </c>
      <c r="M394" s="220"/>
      <c r="N394" s="220"/>
      <c r="O394" s="220"/>
      <c r="P394" s="220"/>
      <c r="Q394" s="220"/>
      <c r="R394" s="220"/>
      <c r="S394" s="220"/>
      <c r="T394" s="220"/>
      <c r="U394" s="220"/>
      <c r="V394" s="220"/>
      <c r="W394" s="220"/>
    </row>
    <row r="395" ht="15.75" customHeight="1" outlineLevel="1">
      <c r="A395" s="211"/>
      <c r="B395" s="212"/>
      <c r="C395" s="213"/>
      <c r="D395" s="214" t="str">
        <f>IFERROR(VLOOKUP($C395,'PORTIFÓLIO'!C:V,2,0),"")</f>
        <v/>
      </c>
      <c r="E395" s="211" t="str">
        <f>IFERROR(VLOOKUP($C395,'PORTIFÓLIO'!C:V,3,0),"")</f>
        <v/>
      </c>
      <c r="F395" s="211" t="str">
        <f>IFERROR(VLOOKUP($C395,'PORTIFÓLIO'!C:V,4,0),"")</f>
        <v/>
      </c>
      <c r="G395" s="215" t="str">
        <f>IFERROR(VLOOKUP($C395,'PORTIFÓLIO'!C:V,5,0),"")</f>
        <v/>
      </c>
      <c r="H395" s="254" t="str">
        <f t="array" ref="H395">IFERROR(INDEX('PORTIFÓLIO'!$H$4:$H$433,MATCH($C395,'PORTIFÓLIO'!$C$4:$C$433,0)),"")</f>
        <v/>
      </c>
      <c r="I395" s="256"/>
      <c r="J395" s="218">
        <f t="shared" si="45"/>
        <v>0</v>
      </c>
      <c r="K395" s="292" t="str">
        <f t="array" ref="K395">IFERROR(I395*INDEX('PORTIFÓLIO'!$S$4:$S$433,MATCH($C395,'PORTIFÓLIO'!$C$4:$C$433,0)),"")</f>
        <v/>
      </c>
      <c r="L395" s="292" t="str">
        <f t="array" ref="L395">IFERROR(J395*INDEX('PORTIFÓLIO'!$S$4:$S$433,MATCH($C395,'PORTIFÓLIO'!$C$4:$C$433,0)),"")</f>
        <v/>
      </c>
      <c r="M395" s="220"/>
      <c r="N395" s="220"/>
      <c r="O395" s="220"/>
      <c r="P395" s="220"/>
      <c r="Q395" s="220"/>
      <c r="R395" s="220"/>
      <c r="S395" s="220"/>
      <c r="T395" s="220"/>
      <c r="U395" s="220"/>
      <c r="V395" s="220"/>
      <c r="W395" s="220"/>
    </row>
    <row r="396" ht="15.75" customHeight="1" outlineLevel="1">
      <c r="A396" s="211"/>
      <c r="B396" s="212"/>
      <c r="C396" s="213"/>
      <c r="D396" s="214" t="str">
        <f>IFERROR(VLOOKUP($C396,'PORTIFÓLIO'!C:V,2,0),"")</f>
        <v/>
      </c>
      <c r="E396" s="211" t="str">
        <f>IFERROR(VLOOKUP($C396,'PORTIFÓLIO'!C:V,3,0),"")</f>
        <v/>
      </c>
      <c r="F396" s="211" t="str">
        <f>IFERROR(VLOOKUP($C396,'PORTIFÓLIO'!C:V,4,0),"")</f>
        <v/>
      </c>
      <c r="G396" s="215" t="str">
        <f>IFERROR(VLOOKUP($C396,'PORTIFÓLIO'!C:V,5,0),"")</f>
        <v/>
      </c>
      <c r="H396" s="254" t="str">
        <f t="array" ref="H396">IFERROR(INDEX('PORTIFÓLIO'!$H$4:$H$433,MATCH($C396,'PORTIFÓLIO'!$C$4:$C$433,0)),"")</f>
        <v/>
      </c>
      <c r="I396" s="256"/>
      <c r="J396" s="218">
        <f t="shared" si="45"/>
        <v>0</v>
      </c>
      <c r="K396" s="292" t="str">
        <f t="array" ref="K396">IFERROR(I396*INDEX('PORTIFÓLIO'!$S$4:$S$433,MATCH($C396,'PORTIFÓLIO'!$C$4:$C$433,0)),"")</f>
        <v/>
      </c>
      <c r="L396" s="292" t="str">
        <f t="array" ref="L396">IFERROR(J396*INDEX('PORTIFÓLIO'!$S$4:$S$433,MATCH($C396,'PORTIFÓLIO'!$C$4:$C$433,0)),"")</f>
        <v/>
      </c>
      <c r="M396" s="220"/>
      <c r="N396" s="220"/>
      <c r="O396" s="220"/>
      <c r="P396" s="220"/>
      <c r="Q396" s="220"/>
      <c r="R396" s="220"/>
      <c r="S396" s="220"/>
      <c r="T396" s="220"/>
      <c r="U396" s="220"/>
      <c r="V396" s="220"/>
      <c r="W396" s="220"/>
    </row>
    <row r="397" ht="15.75" customHeight="1" outlineLevel="1">
      <c r="A397" s="211"/>
      <c r="B397" s="212"/>
      <c r="C397" s="213"/>
      <c r="D397" s="214" t="str">
        <f>IFERROR(VLOOKUP($C397,'PORTIFÓLIO'!C:V,2,0),"")</f>
        <v/>
      </c>
      <c r="E397" s="211" t="str">
        <f>IFERROR(VLOOKUP($C397,'PORTIFÓLIO'!C:V,3,0),"")</f>
        <v/>
      </c>
      <c r="F397" s="211" t="str">
        <f>IFERROR(VLOOKUP($C397,'PORTIFÓLIO'!C:V,4,0),"")</f>
        <v/>
      </c>
      <c r="G397" s="215" t="str">
        <f>IFERROR(VLOOKUP($C397,'PORTIFÓLIO'!C:V,5,0),"")</f>
        <v/>
      </c>
      <c r="H397" s="254" t="str">
        <f t="array" ref="H397">IFERROR(INDEX('PORTIFÓLIO'!$H$4:$H$433,MATCH($C397,'PORTIFÓLIO'!$C$4:$C$433,0)),"")</f>
        <v/>
      </c>
      <c r="I397" s="256"/>
      <c r="J397" s="218">
        <f t="shared" si="45"/>
        <v>0</v>
      </c>
      <c r="K397" s="292" t="str">
        <f t="array" ref="K397">IFERROR(I397*INDEX('PORTIFÓLIO'!$S$4:$S$433,MATCH($C397,'PORTIFÓLIO'!$C$4:$C$433,0)),"")</f>
        <v/>
      </c>
      <c r="L397" s="292" t="str">
        <f t="array" ref="L397">IFERROR(J397*INDEX('PORTIFÓLIO'!$S$4:$S$433,MATCH($C397,'PORTIFÓLIO'!$C$4:$C$433,0)),"")</f>
        <v/>
      </c>
      <c r="M397" s="220"/>
      <c r="N397" s="220"/>
      <c r="O397" s="220"/>
      <c r="P397" s="220"/>
      <c r="Q397" s="220"/>
      <c r="R397" s="220"/>
      <c r="S397" s="220"/>
      <c r="T397" s="220"/>
      <c r="U397" s="220"/>
      <c r="V397" s="220"/>
      <c r="W397" s="220"/>
    </row>
    <row r="398" ht="15.75" customHeight="1" outlineLevel="1">
      <c r="A398" s="211"/>
      <c r="B398" s="212"/>
      <c r="C398" s="213"/>
      <c r="D398" s="214" t="str">
        <f>IFERROR(VLOOKUP($C398,'PORTIFÓLIO'!C:V,2,0),"")</f>
        <v/>
      </c>
      <c r="E398" s="211" t="str">
        <f>IFERROR(VLOOKUP($C398,'PORTIFÓLIO'!C:V,3,0),"")</f>
        <v/>
      </c>
      <c r="F398" s="211" t="str">
        <f>IFERROR(VLOOKUP($C398,'PORTIFÓLIO'!C:V,4,0),"")</f>
        <v/>
      </c>
      <c r="G398" s="215" t="str">
        <f>IFERROR(VLOOKUP($C398,'PORTIFÓLIO'!C:V,5,0),"")</f>
        <v/>
      </c>
      <c r="H398" s="254" t="str">
        <f t="array" ref="H398">IFERROR(INDEX('PORTIFÓLIO'!$H$4:$H$433,MATCH($C398,'PORTIFÓLIO'!$C$4:$C$433,0)),"")</f>
        <v/>
      </c>
      <c r="I398" s="256"/>
      <c r="J398" s="218">
        <f t="shared" si="45"/>
        <v>0</v>
      </c>
      <c r="K398" s="292" t="str">
        <f t="array" ref="K398">IFERROR(I398*INDEX('PORTIFÓLIO'!$S$4:$S$433,MATCH($C398,'PORTIFÓLIO'!$C$4:$C$433,0)),"")</f>
        <v/>
      </c>
      <c r="L398" s="292" t="str">
        <f t="array" ref="L398">IFERROR(J398*INDEX('PORTIFÓLIO'!$S$4:$S$433,MATCH($C398,'PORTIFÓLIO'!$C$4:$C$433,0)),"")</f>
        <v/>
      </c>
      <c r="M398" s="220"/>
      <c r="N398" s="220"/>
      <c r="O398" s="220"/>
      <c r="P398" s="220"/>
      <c r="Q398" s="220"/>
      <c r="R398" s="220"/>
      <c r="S398" s="220"/>
      <c r="T398" s="220"/>
      <c r="U398" s="220"/>
      <c r="V398" s="220"/>
      <c r="W398" s="220"/>
    </row>
    <row r="399" ht="15.75" customHeight="1" outlineLevel="1">
      <c r="A399" s="211"/>
      <c r="B399" s="212"/>
      <c r="C399" s="213"/>
      <c r="D399" s="214" t="str">
        <f>IFERROR(VLOOKUP($C399,'PORTIFÓLIO'!C:V,2,0),"")</f>
        <v/>
      </c>
      <c r="E399" s="211" t="str">
        <f>IFERROR(VLOOKUP($C399,'PORTIFÓLIO'!C:V,3,0),"")</f>
        <v/>
      </c>
      <c r="F399" s="211" t="str">
        <f>IFERROR(VLOOKUP($C399,'PORTIFÓLIO'!C:V,4,0),"")</f>
        <v/>
      </c>
      <c r="G399" s="215" t="str">
        <f>IFERROR(VLOOKUP($C399,'PORTIFÓLIO'!C:V,5,0),"")</f>
        <v/>
      </c>
      <c r="H399" s="254" t="str">
        <f t="array" ref="H399">IFERROR(INDEX('PORTIFÓLIO'!$H$4:$H$433,MATCH($C399,'PORTIFÓLIO'!$C$4:$C$433,0)),"")</f>
        <v/>
      </c>
      <c r="I399" s="256"/>
      <c r="J399" s="218">
        <f t="shared" si="45"/>
        <v>0</v>
      </c>
      <c r="K399" s="292" t="str">
        <f t="array" ref="K399">IFERROR(I399*INDEX('PORTIFÓLIO'!$S$4:$S$433,MATCH($C399,'PORTIFÓLIO'!$C$4:$C$433,0)),"")</f>
        <v/>
      </c>
      <c r="L399" s="292" t="str">
        <f t="array" ref="L399">IFERROR(J399*INDEX('PORTIFÓLIO'!$S$4:$S$433,MATCH($C399,'PORTIFÓLIO'!$C$4:$C$433,0)),"")</f>
        <v/>
      </c>
      <c r="M399" s="220"/>
      <c r="N399" s="220"/>
      <c r="O399" s="220"/>
      <c r="P399" s="220"/>
      <c r="Q399" s="220"/>
      <c r="R399" s="220"/>
      <c r="S399" s="220"/>
      <c r="T399" s="220"/>
      <c r="U399" s="220"/>
      <c r="V399" s="220"/>
      <c r="W399" s="220"/>
    </row>
    <row r="400" ht="15.75" customHeight="1" outlineLevel="1">
      <c r="A400" s="211"/>
      <c r="B400" s="212"/>
      <c r="C400" s="213"/>
      <c r="D400" s="214" t="str">
        <f>IFERROR(VLOOKUP($C400,'PORTIFÓLIO'!C:V,2,0),"")</f>
        <v/>
      </c>
      <c r="E400" s="211" t="str">
        <f>IFERROR(VLOOKUP($C400,'PORTIFÓLIO'!C:V,3,0),"")</f>
        <v/>
      </c>
      <c r="F400" s="211" t="str">
        <f>IFERROR(VLOOKUP($C400,'PORTIFÓLIO'!C:V,4,0),"")</f>
        <v/>
      </c>
      <c r="G400" s="215" t="str">
        <f>IFERROR(VLOOKUP($C400,'PORTIFÓLIO'!C:V,5,0),"")</f>
        <v/>
      </c>
      <c r="H400" s="254" t="str">
        <f t="array" ref="H400">IFERROR(INDEX('PORTIFÓLIO'!$H$4:$H$433,MATCH($C400,'PORTIFÓLIO'!$C$4:$C$433,0)),"")</f>
        <v/>
      </c>
      <c r="I400" s="256"/>
      <c r="J400" s="218">
        <f t="shared" si="45"/>
        <v>0</v>
      </c>
      <c r="K400" s="292" t="str">
        <f t="array" ref="K400">IFERROR(I400*INDEX('PORTIFÓLIO'!$S$4:$S$433,MATCH($C400,'PORTIFÓLIO'!$C$4:$C$433,0)),"")</f>
        <v/>
      </c>
      <c r="L400" s="292" t="str">
        <f t="array" ref="L400">IFERROR(J400*INDEX('PORTIFÓLIO'!$S$4:$S$433,MATCH($C400,'PORTIFÓLIO'!$C$4:$C$433,0)),"")</f>
        <v/>
      </c>
      <c r="M400" s="220"/>
      <c r="N400" s="220"/>
      <c r="O400" s="220"/>
      <c r="P400" s="220"/>
      <c r="Q400" s="220"/>
      <c r="R400" s="220"/>
      <c r="S400" s="220"/>
      <c r="T400" s="220"/>
      <c r="U400" s="220"/>
      <c r="V400" s="220"/>
      <c r="W400" s="220"/>
    </row>
    <row r="401" ht="15.75" customHeight="1" outlineLevel="1">
      <c r="A401" s="211"/>
      <c r="B401" s="212"/>
      <c r="C401" s="213"/>
      <c r="D401" s="214" t="str">
        <f>IFERROR(VLOOKUP($C401,'PORTIFÓLIO'!C:V,2,0),"")</f>
        <v/>
      </c>
      <c r="E401" s="211" t="str">
        <f>IFERROR(VLOOKUP($C401,'PORTIFÓLIO'!C:V,3,0),"")</f>
        <v/>
      </c>
      <c r="F401" s="211" t="str">
        <f>IFERROR(VLOOKUP($C401,'PORTIFÓLIO'!C:V,4,0),"")</f>
        <v/>
      </c>
      <c r="G401" s="215" t="str">
        <f>IFERROR(VLOOKUP($C401,'PORTIFÓLIO'!C:V,5,0),"")</f>
        <v/>
      </c>
      <c r="H401" s="254" t="str">
        <f t="array" ref="H401">IFERROR(INDEX('PORTIFÓLIO'!$H$4:$H$433,MATCH($C401,'PORTIFÓLIO'!$C$4:$C$433,0)),"")</f>
        <v/>
      </c>
      <c r="I401" s="255"/>
      <c r="J401" s="218">
        <f t="shared" si="45"/>
        <v>0</v>
      </c>
      <c r="K401" s="292" t="str">
        <f t="array" ref="K401">IFERROR(I401*INDEX('PORTIFÓLIO'!$S$4:$S$433,MATCH($C401,'PORTIFÓLIO'!$C$4:$C$433,0)),"")</f>
        <v/>
      </c>
      <c r="L401" s="292" t="str">
        <f t="array" ref="L401">IFERROR(J401*INDEX('PORTIFÓLIO'!$S$4:$S$433,MATCH($C401,'PORTIFÓLIO'!$C$4:$C$433,0)),"")</f>
        <v/>
      </c>
      <c r="M401" s="220"/>
      <c r="N401" s="220"/>
      <c r="O401" s="220"/>
      <c r="P401" s="220"/>
      <c r="Q401" s="220"/>
      <c r="R401" s="220"/>
      <c r="S401" s="220"/>
      <c r="T401" s="220"/>
      <c r="U401" s="220"/>
      <c r="V401" s="220"/>
      <c r="W401" s="220"/>
    </row>
    <row r="402" ht="15.75" customHeight="1" outlineLevel="1">
      <c r="A402" s="211"/>
      <c r="B402" s="212"/>
      <c r="C402" s="213"/>
      <c r="D402" s="214" t="str">
        <f>IFERROR(VLOOKUP($C402,'PORTIFÓLIO'!C:V,2,0),"")</f>
        <v/>
      </c>
      <c r="E402" s="211" t="str">
        <f>IFERROR(VLOOKUP($C402,'PORTIFÓLIO'!C:V,3,0),"")</f>
        <v/>
      </c>
      <c r="F402" s="211" t="str">
        <f>IFERROR(VLOOKUP($C402,'PORTIFÓLIO'!C:V,4,0),"")</f>
        <v/>
      </c>
      <c r="G402" s="215" t="str">
        <f>IFERROR(VLOOKUP($C402,'PORTIFÓLIO'!C:V,5,0),"")</f>
        <v/>
      </c>
      <c r="H402" s="254" t="str">
        <f t="array" ref="H402">IFERROR(INDEX('PORTIFÓLIO'!$H$4:$H$433,MATCH($C402,'PORTIFÓLIO'!$C$4:$C$433,0)),"")</f>
        <v/>
      </c>
      <c r="I402" s="256"/>
      <c r="J402" s="218">
        <f t="shared" si="45"/>
        <v>0</v>
      </c>
      <c r="K402" s="292" t="str">
        <f t="array" ref="K402">IFERROR(I402*INDEX('PORTIFÓLIO'!$S$4:$S$433,MATCH($C402,'PORTIFÓLIO'!$C$4:$C$433,0)),"")</f>
        <v/>
      </c>
      <c r="L402" s="292" t="str">
        <f t="array" ref="L402">IFERROR(J402*INDEX('PORTIFÓLIO'!$S$4:$S$433,MATCH($C402,'PORTIFÓLIO'!$C$4:$C$433,0)),"")</f>
        <v/>
      </c>
      <c r="M402" s="220"/>
      <c r="N402" s="220"/>
      <c r="O402" s="220"/>
      <c r="P402" s="220"/>
      <c r="Q402" s="220"/>
      <c r="R402" s="220"/>
      <c r="S402" s="220"/>
      <c r="T402" s="220"/>
      <c r="U402" s="220"/>
      <c r="V402" s="220"/>
      <c r="W402" s="220"/>
    </row>
    <row r="403" ht="15.75" customHeight="1" outlineLevel="1">
      <c r="A403" s="211"/>
      <c r="B403" s="212"/>
      <c r="C403" s="213"/>
      <c r="D403" s="214" t="str">
        <f>IFERROR(VLOOKUP($C403,'PORTIFÓLIO'!C:V,2,0),"")</f>
        <v/>
      </c>
      <c r="E403" s="211" t="str">
        <f>IFERROR(VLOOKUP($C403,'PORTIFÓLIO'!C:V,3,0),"")</f>
        <v/>
      </c>
      <c r="F403" s="211" t="str">
        <f>IFERROR(VLOOKUP($C403,'PORTIFÓLIO'!C:V,4,0),"")</f>
        <v/>
      </c>
      <c r="G403" s="215" t="str">
        <f>IFERROR(VLOOKUP($C403,'PORTIFÓLIO'!C:V,5,0),"")</f>
        <v/>
      </c>
      <c r="H403" s="254" t="str">
        <f t="array" ref="H403">IFERROR(INDEX('PORTIFÓLIO'!$H$4:$H$433,MATCH($C403,'PORTIFÓLIO'!$C$4:$C$433,0)),"")</f>
        <v/>
      </c>
      <c r="I403" s="256"/>
      <c r="J403" s="218">
        <f t="shared" si="45"/>
        <v>0</v>
      </c>
      <c r="K403" s="292" t="str">
        <f t="array" ref="K403">IFERROR(I403*INDEX('PORTIFÓLIO'!$S$4:$S$433,MATCH($C403,'PORTIFÓLIO'!$C$4:$C$433,0)),"")</f>
        <v/>
      </c>
      <c r="L403" s="292" t="str">
        <f t="array" ref="L403">IFERROR(J403*INDEX('PORTIFÓLIO'!$S$4:$S$433,MATCH($C403,'PORTIFÓLIO'!$C$4:$C$433,0)),"")</f>
        <v/>
      </c>
      <c r="M403" s="220"/>
      <c r="N403" s="220"/>
      <c r="O403" s="220"/>
      <c r="P403" s="220"/>
      <c r="Q403" s="220"/>
      <c r="R403" s="220"/>
      <c r="S403" s="220"/>
      <c r="T403" s="220"/>
      <c r="U403" s="220"/>
      <c r="V403" s="220"/>
      <c r="W403" s="220"/>
    </row>
    <row r="404" ht="15.75" customHeight="1" outlineLevel="1">
      <c r="A404" s="211"/>
      <c r="B404" s="212"/>
      <c r="C404" s="213"/>
      <c r="D404" s="214" t="str">
        <f>IFERROR(VLOOKUP($C404,'PORTIFÓLIO'!C:V,2,0),"")</f>
        <v/>
      </c>
      <c r="E404" s="211" t="str">
        <f>IFERROR(VLOOKUP($C404,'PORTIFÓLIO'!C:V,3,0),"")</f>
        <v/>
      </c>
      <c r="F404" s="211" t="str">
        <f>IFERROR(VLOOKUP($C404,'PORTIFÓLIO'!C:V,4,0),"")</f>
        <v/>
      </c>
      <c r="G404" s="215" t="str">
        <f>IFERROR(VLOOKUP($C404,'PORTIFÓLIO'!C:V,5,0),"")</f>
        <v/>
      </c>
      <c r="H404" s="254" t="str">
        <f t="array" ref="H404">IFERROR(INDEX('PORTIFÓLIO'!$H$4:$H$433,MATCH($C404,'PORTIFÓLIO'!$C$4:$C$433,0)),"")</f>
        <v/>
      </c>
      <c r="I404" s="256"/>
      <c r="J404" s="218">
        <f t="shared" si="45"/>
        <v>0</v>
      </c>
      <c r="K404" s="292" t="str">
        <f t="array" ref="K404">IFERROR(I404*INDEX('PORTIFÓLIO'!$S$4:$S$433,MATCH($C404,'PORTIFÓLIO'!$C$4:$C$433,0)),"")</f>
        <v/>
      </c>
      <c r="L404" s="292" t="str">
        <f t="array" ref="L404">IFERROR(J404*INDEX('PORTIFÓLIO'!$S$4:$S$433,MATCH($C404,'PORTIFÓLIO'!$C$4:$C$433,0)),"")</f>
        <v/>
      </c>
      <c r="M404" s="220"/>
      <c r="N404" s="220"/>
      <c r="O404" s="220"/>
      <c r="P404" s="220"/>
      <c r="Q404" s="220"/>
      <c r="R404" s="220"/>
      <c r="S404" s="220"/>
      <c r="T404" s="220"/>
      <c r="U404" s="220"/>
      <c r="V404" s="220"/>
      <c r="W404" s="220"/>
    </row>
    <row r="405" ht="15.75" customHeight="1" outlineLevel="1">
      <c r="A405" s="211"/>
      <c r="B405" s="212"/>
      <c r="C405" s="213"/>
      <c r="D405" s="214" t="str">
        <f>IFERROR(VLOOKUP($C405,'PORTIFÓLIO'!C:V,2,0),"")</f>
        <v/>
      </c>
      <c r="E405" s="211" t="str">
        <f>IFERROR(VLOOKUP($C405,'PORTIFÓLIO'!C:V,3,0),"")</f>
        <v/>
      </c>
      <c r="F405" s="211" t="str">
        <f>IFERROR(VLOOKUP($C405,'PORTIFÓLIO'!C:V,4,0),"")</f>
        <v/>
      </c>
      <c r="G405" s="215" t="str">
        <f>IFERROR(VLOOKUP($C405,'PORTIFÓLIO'!C:V,5,0),"")</f>
        <v/>
      </c>
      <c r="H405" s="254" t="str">
        <f t="array" ref="H405">IFERROR(INDEX('PORTIFÓLIO'!$H$4:$H$433,MATCH($C405,'PORTIFÓLIO'!$C$4:$C$433,0)),"")</f>
        <v/>
      </c>
      <c r="I405" s="256"/>
      <c r="J405" s="218">
        <f t="shared" si="45"/>
        <v>0</v>
      </c>
      <c r="K405" s="292" t="str">
        <f t="array" ref="K405">IFERROR(I405*INDEX('PORTIFÓLIO'!$S$4:$S$433,MATCH($C405,'PORTIFÓLIO'!$C$4:$C$433,0)),"")</f>
        <v/>
      </c>
      <c r="L405" s="292" t="str">
        <f t="array" ref="L405">IFERROR(J405*INDEX('PORTIFÓLIO'!$S$4:$S$433,MATCH($C405,'PORTIFÓLIO'!$C$4:$C$433,0)),"")</f>
        <v/>
      </c>
      <c r="M405" s="220"/>
      <c r="N405" s="220"/>
      <c r="O405" s="220"/>
      <c r="P405" s="220"/>
      <c r="Q405" s="220"/>
      <c r="R405" s="220"/>
      <c r="S405" s="220"/>
      <c r="T405" s="220"/>
      <c r="U405" s="220"/>
      <c r="V405" s="220"/>
      <c r="W405" s="220"/>
    </row>
    <row r="406" ht="15.75" customHeight="1" outlineLevel="1">
      <c r="A406" s="211"/>
      <c r="B406" s="212"/>
      <c r="C406" s="213"/>
      <c r="D406" s="214" t="str">
        <f>IFERROR(VLOOKUP($C406,'PORTIFÓLIO'!C:V,2,0),"")</f>
        <v/>
      </c>
      <c r="E406" s="211" t="str">
        <f>IFERROR(VLOOKUP($C406,'PORTIFÓLIO'!C:V,3,0),"")</f>
        <v/>
      </c>
      <c r="F406" s="211" t="str">
        <f>IFERROR(VLOOKUP($C406,'PORTIFÓLIO'!C:V,4,0),"")</f>
        <v/>
      </c>
      <c r="G406" s="215" t="str">
        <f>IFERROR(VLOOKUP($C406,'PORTIFÓLIO'!C:V,5,0),"")</f>
        <v/>
      </c>
      <c r="H406" s="254" t="str">
        <f t="array" ref="H406">IFERROR(INDEX('PORTIFÓLIO'!$H$4:$H$433,MATCH($C406,'PORTIFÓLIO'!$C$4:$C$433,0)),"")</f>
        <v/>
      </c>
      <c r="I406" s="256"/>
      <c r="J406" s="218">
        <f t="shared" si="45"/>
        <v>0</v>
      </c>
      <c r="K406" s="292" t="str">
        <f t="array" ref="K406">IFERROR(I406*INDEX('PORTIFÓLIO'!$S$4:$S$433,MATCH($C406,'PORTIFÓLIO'!$C$4:$C$433,0)),"")</f>
        <v/>
      </c>
      <c r="L406" s="292" t="str">
        <f t="array" ref="L406">IFERROR(J406*INDEX('PORTIFÓLIO'!$S$4:$S$433,MATCH($C406,'PORTIFÓLIO'!$C$4:$C$433,0)),"")</f>
        <v/>
      </c>
      <c r="M406" s="220"/>
      <c r="N406" s="220"/>
      <c r="O406" s="220"/>
      <c r="P406" s="220"/>
      <c r="Q406" s="220"/>
      <c r="R406" s="220"/>
      <c r="S406" s="220"/>
      <c r="T406" s="220"/>
      <c r="U406" s="220"/>
      <c r="V406" s="220"/>
      <c r="W406" s="220"/>
    </row>
    <row r="407" ht="15.75" customHeight="1" outlineLevel="1">
      <c r="A407" s="211"/>
      <c r="B407" s="212"/>
      <c r="C407" s="213"/>
      <c r="D407" s="214" t="str">
        <f>IFERROR(VLOOKUP($C407,'PORTIFÓLIO'!C:V,2,0),"")</f>
        <v/>
      </c>
      <c r="E407" s="211" t="str">
        <f>IFERROR(VLOOKUP($C407,'PORTIFÓLIO'!C:V,3,0),"")</f>
        <v/>
      </c>
      <c r="F407" s="211" t="str">
        <f>IFERROR(VLOOKUP($C407,'PORTIFÓLIO'!C:V,4,0),"")</f>
        <v/>
      </c>
      <c r="G407" s="215" t="str">
        <f>IFERROR(VLOOKUP($C407,'PORTIFÓLIO'!C:V,5,0),"")</f>
        <v/>
      </c>
      <c r="H407" s="254" t="str">
        <f t="array" ref="H407">IFERROR(INDEX('PORTIFÓLIO'!$H$4:$H$433,MATCH($C407,'PORTIFÓLIO'!$C$4:$C$433,0)),"")</f>
        <v/>
      </c>
      <c r="I407" s="256"/>
      <c r="J407" s="218">
        <f t="shared" si="45"/>
        <v>0</v>
      </c>
      <c r="K407" s="292" t="str">
        <f t="array" ref="K407">IFERROR(I407*INDEX('PORTIFÓLIO'!$S$4:$S$433,MATCH($C407,'PORTIFÓLIO'!$C$4:$C$433,0)),"")</f>
        <v/>
      </c>
      <c r="L407" s="292" t="str">
        <f t="array" ref="L407">IFERROR(J407*INDEX('PORTIFÓLIO'!$S$4:$S$433,MATCH($C407,'PORTIFÓLIO'!$C$4:$C$433,0)),"")</f>
        <v/>
      </c>
      <c r="M407" s="220"/>
      <c r="N407" s="220"/>
      <c r="O407" s="220"/>
      <c r="P407" s="220"/>
      <c r="Q407" s="220"/>
      <c r="R407" s="220"/>
      <c r="S407" s="220"/>
      <c r="T407" s="220"/>
      <c r="U407" s="220"/>
      <c r="V407" s="220"/>
      <c r="W407" s="220"/>
    </row>
    <row r="408" ht="15.75" customHeight="1" outlineLevel="1">
      <c r="A408" s="211"/>
      <c r="B408" s="227"/>
      <c r="C408" s="211"/>
      <c r="D408" s="214" t="str">
        <f>IFERROR(VLOOKUP($C408,'PORTIFÓLIO'!C:V,2,0),"")</f>
        <v/>
      </c>
      <c r="E408" s="211" t="str">
        <f>IFERROR(VLOOKUP($C408,'PORTIFÓLIO'!C:V,3,0),"")</f>
        <v/>
      </c>
      <c r="F408" s="211" t="str">
        <f>IFERROR(VLOOKUP($C408,'PORTIFÓLIO'!C:V,4,0),"")</f>
        <v/>
      </c>
      <c r="G408" s="215" t="str">
        <f>IFERROR(VLOOKUP($C408,'PORTIFÓLIO'!C:V,5,0),"")</f>
        <v/>
      </c>
      <c r="H408" s="254" t="str">
        <f t="array" ref="H408">IFERROR(INDEX('PORTIFÓLIO'!$H$4:$H$433,MATCH($C408,'PORTIFÓLIO'!$C$4:$C$433,0)),"")</f>
        <v/>
      </c>
      <c r="I408" s="256"/>
      <c r="J408" s="218">
        <f t="shared" si="45"/>
        <v>0</v>
      </c>
      <c r="K408" s="292" t="str">
        <f t="array" ref="K408">IFERROR(I408*INDEX('PORTIFÓLIO'!$S$4:$S$433,MATCH($C408,'PORTIFÓLIO'!$C$4:$C$433,0)),"")</f>
        <v/>
      </c>
      <c r="L408" s="292" t="str">
        <f t="array" ref="L408">IFERROR(J408*INDEX('PORTIFÓLIO'!$S$4:$S$433,MATCH($C408,'PORTIFÓLIO'!$C$4:$C$433,0)),"")</f>
        <v/>
      </c>
      <c r="M408" s="220"/>
      <c r="N408" s="220"/>
      <c r="O408" s="220"/>
      <c r="P408" s="220"/>
      <c r="Q408" s="220"/>
      <c r="R408" s="220"/>
      <c r="S408" s="220"/>
      <c r="T408" s="220"/>
      <c r="U408" s="220"/>
      <c r="V408" s="220"/>
      <c r="W408" s="220"/>
    </row>
    <row r="409" ht="15.75" customHeight="1">
      <c r="A409" s="229" t="s">
        <v>1194</v>
      </c>
      <c r="B409" s="230"/>
      <c r="C409" s="231"/>
      <c r="D409" s="232"/>
      <c r="E409" s="231"/>
      <c r="F409" s="231"/>
      <c r="G409" s="233"/>
      <c r="H409" s="233"/>
      <c r="I409" s="258"/>
      <c r="J409" s="236"/>
      <c r="K409" s="237">
        <f t="shared" ref="K409:L409" si="46">SUBTOTAL(9,K410:K423)</f>
        <v>0</v>
      </c>
      <c r="L409" s="237">
        <f t="shared" si="46"/>
        <v>0</v>
      </c>
      <c r="M409" s="220"/>
      <c r="N409" s="220"/>
      <c r="O409" s="220"/>
      <c r="P409" s="220"/>
      <c r="Q409" s="220"/>
      <c r="R409" s="220"/>
      <c r="S409" s="220"/>
      <c r="T409" s="220"/>
      <c r="U409" s="220"/>
      <c r="V409" s="220"/>
      <c r="W409" s="220"/>
    </row>
    <row r="410" ht="15.75" customHeight="1" outlineLevel="1">
      <c r="A410" s="213"/>
      <c r="B410" s="212"/>
      <c r="C410" s="213"/>
      <c r="D410" s="214" t="str">
        <f>IFERROR(VLOOKUP($C410,'PORTIFÓLIO'!C:V,2,0),"")</f>
        <v/>
      </c>
      <c r="E410" s="211" t="str">
        <f>IFERROR(VLOOKUP($C410,'PORTIFÓLIO'!C:V,3,0),"")</f>
        <v/>
      </c>
      <c r="F410" s="211" t="str">
        <f>IFERROR(VLOOKUP($C410,'PORTIFÓLIO'!C:V,4,0),"")</f>
        <v/>
      </c>
      <c r="G410" s="215" t="str">
        <f>IFERROR(VLOOKUP($C410,'PORTIFÓLIO'!C:V,5,0),"")</f>
        <v/>
      </c>
      <c r="H410" s="254" t="str">
        <f t="array" ref="H410">IFERROR(INDEX('PORTIFÓLIO'!$H$4:$H$433,MATCH($C410,'PORTIFÓLIO'!$C$4:$C$433,0)),"")</f>
        <v/>
      </c>
      <c r="I410" s="255"/>
      <c r="J410" s="218">
        <f t="shared" ref="J410:J426" si="47">I410*$B$2</f>
        <v>0</v>
      </c>
      <c r="K410" s="292" t="str">
        <f t="array" ref="K410">IFERROR(I410*INDEX('PORTIFÓLIO'!$S$4:$S$433,MATCH($C410,'PORTIFÓLIO'!$C$4:$C$433,0)),"")</f>
        <v/>
      </c>
      <c r="L410" s="292" t="str">
        <f t="array" ref="L410">IFERROR(J410*INDEX('PORTIFÓLIO'!$S$4:$S$433,MATCH($C410,'PORTIFÓLIO'!$C$4:$C$433,0)),"")</f>
        <v/>
      </c>
      <c r="M410" s="220"/>
      <c r="N410" s="220"/>
      <c r="O410" s="220"/>
      <c r="P410" s="220"/>
      <c r="Q410" s="220"/>
      <c r="R410" s="220"/>
      <c r="S410" s="220"/>
      <c r="T410" s="220"/>
      <c r="U410" s="220"/>
      <c r="V410" s="220"/>
      <c r="W410" s="220"/>
    </row>
    <row r="411" ht="15.75" customHeight="1" outlineLevel="1">
      <c r="A411" s="211"/>
      <c r="B411" s="212"/>
      <c r="C411" s="213"/>
      <c r="D411" s="214" t="str">
        <f>IFERROR(VLOOKUP($C411,'PORTIFÓLIO'!C:V,2,0),"")</f>
        <v/>
      </c>
      <c r="E411" s="211" t="str">
        <f>IFERROR(VLOOKUP($C411,'PORTIFÓLIO'!C:V,3,0),"")</f>
        <v/>
      </c>
      <c r="F411" s="211" t="str">
        <f>IFERROR(VLOOKUP($C411,'PORTIFÓLIO'!C:V,4,0),"")</f>
        <v/>
      </c>
      <c r="G411" s="215" t="str">
        <f>IFERROR(VLOOKUP($C411,'PORTIFÓLIO'!C:V,5,0),"")</f>
        <v/>
      </c>
      <c r="H411" s="254" t="str">
        <f t="array" ref="H411">IFERROR(INDEX('PORTIFÓLIO'!$H$4:$H$433,MATCH($C411,'PORTIFÓLIO'!$C$4:$C$433,0)),"")</f>
        <v/>
      </c>
      <c r="I411" s="256"/>
      <c r="J411" s="218">
        <f t="shared" si="47"/>
        <v>0</v>
      </c>
      <c r="K411" s="292" t="str">
        <f t="array" ref="K411">IFERROR(I411*INDEX('PORTIFÓLIO'!$S$4:$S$433,MATCH($C411,'PORTIFÓLIO'!$C$4:$C$433,0)),"")</f>
        <v/>
      </c>
      <c r="L411" s="292" t="str">
        <f t="array" ref="L411">IFERROR(J411*INDEX('PORTIFÓLIO'!$S$4:$S$433,MATCH($C411,'PORTIFÓLIO'!$C$4:$C$433,0)),"")</f>
        <v/>
      </c>
      <c r="M411" s="220"/>
      <c r="N411" s="220"/>
      <c r="O411" s="220"/>
      <c r="P411" s="220"/>
      <c r="Q411" s="220"/>
      <c r="R411" s="220"/>
      <c r="S411" s="220"/>
      <c r="T411" s="220"/>
      <c r="U411" s="220"/>
      <c r="V411" s="220"/>
      <c r="W411" s="220"/>
    </row>
    <row r="412" ht="15.75" customHeight="1" outlineLevel="1">
      <c r="A412" s="211"/>
      <c r="B412" s="212"/>
      <c r="C412" s="213"/>
      <c r="D412" s="214" t="str">
        <f>IFERROR(VLOOKUP($C412,'PORTIFÓLIO'!C:V,2,0),"")</f>
        <v/>
      </c>
      <c r="E412" s="211" t="str">
        <f>IFERROR(VLOOKUP($C412,'PORTIFÓLIO'!C:V,3,0),"")</f>
        <v/>
      </c>
      <c r="F412" s="211" t="str">
        <f>IFERROR(VLOOKUP($C412,'PORTIFÓLIO'!C:V,4,0),"")</f>
        <v/>
      </c>
      <c r="G412" s="215" t="str">
        <f>IFERROR(VLOOKUP($C412,'PORTIFÓLIO'!C:V,5,0),"")</f>
        <v/>
      </c>
      <c r="H412" s="254" t="str">
        <f t="array" ref="H412">IFERROR(INDEX('PORTIFÓLIO'!$H$4:$H$433,MATCH($C412,'PORTIFÓLIO'!$C$4:$C$433,0)),"")</f>
        <v/>
      </c>
      <c r="I412" s="256"/>
      <c r="J412" s="218">
        <f t="shared" si="47"/>
        <v>0</v>
      </c>
      <c r="K412" s="292" t="str">
        <f t="array" ref="K412">IFERROR(I412*INDEX('PORTIFÓLIO'!$S$4:$S$433,MATCH($C412,'PORTIFÓLIO'!$C$4:$C$433,0)),"")</f>
        <v/>
      </c>
      <c r="L412" s="292" t="str">
        <f t="array" ref="L412">IFERROR(J412*INDEX('PORTIFÓLIO'!$S$4:$S$433,MATCH($C412,'PORTIFÓLIO'!$C$4:$C$433,0)),"")</f>
        <v/>
      </c>
      <c r="M412" s="220"/>
      <c r="N412" s="220"/>
      <c r="O412" s="220"/>
      <c r="P412" s="220"/>
      <c r="Q412" s="220"/>
      <c r="R412" s="220"/>
      <c r="S412" s="220"/>
      <c r="T412" s="220"/>
      <c r="U412" s="220"/>
      <c r="V412" s="220"/>
      <c r="W412" s="220"/>
    </row>
    <row r="413" ht="15.75" customHeight="1" outlineLevel="1">
      <c r="A413" s="211"/>
      <c r="B413" s="212"/>
      <c r="C413" s="213"/>
      <c r="D413" s="214" t="str">
        <f>IFERROR(VLOOKUP($C413,'PORTIFÓLIO'!C:V,2,0),"")</f>
        <v/>
      </c>
      <c r="E413" s="211" t="str">
        <f>IFERROR(VLOOKUP($C413,'PORTIFÓLIO'!C:V,3,0),"")</f>
        <v/>
      </c>
      <c r="F413" s="211" t="str">
        <f>IFERROR(VLOOKUP($C413,'PORTIFÓLIO'!C:V,4,0),"")</f>
        <v/>
      </c>
      <c r="G413" s="215" t="str">
        <f>IFERROR(VLOOKUP($C413,'PORTIFÓLIO'!C:V,5,0),"")</f>
        <v/>
      </c>
      <c r="H413" s="254" t="str">
        <f t="array" ref="H413">IFERROR(INDEX('PORTIFÓLIO'!$H$4:$H$433,MATCH($C413,'PORTIFÓLIO'!$C$4:$C$433,0)),"")</f>
        <v/>
      </c>
      <c r="I413" s="256"/>
      <c r="J413" s="218">
        <f t="shared" si="47"/>
        <v>0</v>
      </c>
      <c r="K413" s="292" t="str">
        <f t="array" ref="K413">IFERROR(I413*INDEX('PORTIFÓLIO'!$S$4:$S$433,MATCH($C413,'PORTIFÓLIO'!$C$4:$C$433,0)),"")</f>
        <v/>
      </c>
      <c r="L413" s="292" t="str">
        <f t="array" ref="L413">IFERROR(J413*INDEX('PORTIFÓLIO'!$S$4:$S$433,MATCH($C413,'PORTIFÓLIO'!$C$4:$C$433,0)),"")</f>
        <v/>
      </c>
      <c r="M413" s="220"/>
      <c r="N413" s="220"/>
      <c r="O413" s="220"/>
      <c r="P413" s="220"/>
      <c r="Q413" s="220"/>
      <c r="R413" s="220"/>
      <c r="S413" s="220"/>
      <c r="T413" s="220"/>
      <c r="U413" s="220"/>
      <c r="V413" s="220"/>
      <c r="W413" s="220"/>
    </row>
    <row r="414" ht="15.75" customHeight="1" outlineLevel="1">
      <c r="A414" s="211"/>
      <c r="B414" s="212"/>
      <c r="C414" s="213"/>
      <c r="D414" s="214" t="str">
        <f>IFERROR(VLOOKUP($C414,'PORTIFÓLIO'!C:V,2,0),"")</f>
        <v/>
      </c>
      <c r="E414" s="211" t="str">
        <f>IFERROR(VLOOKUP($C414,'PORTIFÓLIO'!C:V,3,0),"")</f>
        <v/>
      </c>
      <c r="F414" s="211" t="str">
        <f>IFERROR(VLOOKUP($C414,'PORTIFÓLIO'!C:V,4,0),"")</f>
        <v/>
      </c>
      <c r="G414" s="215" t="str">
        <f>IFERROR(VLOOKUP($C414,'PORTIFÓLIO'!C:V,5,0),"")</f>
        <v/>
      </c>
      <c r="H414" s="254" t="str">
        <f t="array" ref="H414">IFERROR(INDEX('PORTIFÓLIO'!$H$4:$H$433,MATCH($C414,'PORTIFÓLIO'!$C$4:$C$433,0)),"")</f>
        <v/>
      </c>
      <c r="I414" s="256"/>
      <c r="J414" s="218">
        <f t="shared" si="47"/>
        <v>0</v>
      </c>
      <c r="K414" s="292" t="str">
        <f t="array" ref="K414">IFERROR(I414*INDEX('PORTIFÓLIO'!$S$4:$S$433,MATCH($C414,'PORTIFÓLIO'!$C$4:$C$433,0)),"")</f>
        <v/>
      </c>
      <c r="L414" s="292" t="str">
        <f t="array" ref="L414">IFERROR(J414*INDEX('PORTIFÓLIO'!$S$4:$S$433,MATCH($C414,'PORTIFÓLIO'!$C$4:$C$433,0)),"")</f>
        <v/>
      </c>
      <c r="M414" s="220"/>
      <c r="N414" s="220"/>
      <c r="O414" s="220"/>
      <c r="P414" s="220"/>
      <c r="Q414" s="220"/>
      <c r="R414" s="220"/>
      <c r="S414" s="220"/>
      <c r="T414" s="220"/>
      <c r="U414" s="220"/>
      <c r="V414" s="220"/>
      <c r="W414" s="220"/>
    </row>
    <row r="415" ht="15.75" customHeight="1" outlineLevel="1">
      <c r="A415" s="211"/>
      <c r="B415" s="212"/>
      <c r="C415" s="213"/>
      <c r="D415" s="214" t="str">
        <f>IFERROR(VLOOKUP($C415,'PORTIFÓLIO'!C:V,2,0),"")</f>
        <v/>
      </c>
      <c r="E415" s="211" t="str">
        <f>IFERROR(VLOOKUP($C415,'PORTIFÓLIO'!C:V,3,0),"")</f>
        <v/>
      </c>
      <c r="F415" s="211" t="str">
        <f>IFERROR(VLOOKUP($C415,'PORTIFÓLIO'!C:V,4,0),"")</f>
        <v/>
      </c>
      <c r="G415" s="215" t="str">
        <f>IFERROR(VLOOKUP($C415,'PORTIFÓLIO'!C:V,5,0),"")</f>
        <v/>
      </c>
      <c r="H415" s="254" t="str">
        <f t="array" ref="H415">IFERROR(INDEX('PORTIFÓLIO'!$H$4:$H$433,MATCH($C415,'PORTIFÓLIO'!$C$4:$C$433,0)),"")</f>
        <v/>
      </c>
      <c r="I415" s="256"/>
      <c r="J415" s="218">
        <f t="shared" si="47"/>
        <v>0</v>
      </c>
      <c r="K415" s="292" t="str">
        <f t="array" ref="K415">IFERROR(I415*INDEX('PORTIFÓLIO'!$S$4:$S$433,MATCH($C415,'PORTIFÓLIO'!$C$4:$C$433,0)),"")</f>
        <v/>
      </c>
      <c r="L415" s="292" t="str">
        <f t="array" ref="L415">IFERROR(J415*INDEX('PORTIFÓLIO'!$S$4:$S$433,MATCH($C415,'PORTIFÓLIO'!$C$4:$C$433,0)),"")</f>
        <v/>
      </c>
      <c r="M415" s="220"/>
      <c r="N415" s="220"/>
      <c r="O415" s="220"/>
      <c r="P415" s="220"/>
      <c r="Q415" s="220"/>
      <c r="R415" s="220"/>
      <c r="S415" s="220"/>
      <c r="T415" s="220"/>
      <c r="U415" s="220"/>
      <c r="V415" s="220"/>
      <c r="W415" s="220"/>
    </row>
    <row r="416" ht="15.75" customHeight="1" outlineLevel="1">
      <c r="A416" s="211"/>
      <c r="B416" s="212"/>
      <c r="C416" s="213"/>
      <c r="D416" s="214" t="str">
        <f>IFERROR(VLOOKUP($C416,'PORTIFÓLIO'!C:V,2,0),"")</f>
        <v/>
      </c>
      <c r="E416" s="211" t="str">
        <f>IFERROR(VLOOKUP($C416,'PORTIFÓLIO'!C:V,3,0),"")</f>
        <v/>
      </c>
      <c r="F416" s="211" t="str">
        <f>IFERROR(VLOOKUP($C416,'PORTIFÓLIO'!C:V,4,0),"")</f>
        <v/>
      </c>
      <c r="G416" s="215" t="str">
        <f>IFERROR(VLOOKUP($C416,'PORTIFÓLIO'!C:V,5,0),"")</f>
        <v/>
      </c>
      <c r="H416" s="254" t="str">
        <f t="array" ref="H416">IFERROR(INDEX('PORTIFÓLIO'!$H$4:$H$433,MATCH($C416,'PORTIFÓLIO'!$C$4:$C$433,0)),"")</f>
        <v/>
      </c>
      <c r="I416" s="256"/>
      <c r="J416" s="218">
        <f t="shared" si="47"/>
        <v>0</v>
      </c>
      <c r="K416" s="292" t="str">
        <f t="array" ref="K416">IFERROR(I416*INDEX('PORTIFÓLIO'!$S$4:$S$433,MATCH($C416,'PORTIFÓLIO'!$C$4:$C$433,0)),"")</f>
        <v/>
      </c>
      <c r="L416" s="292" t="str">
        <f t="array" ref="L416">IFERROR(J416*INDEX('PORTIFÓLIO'!$S$4:$S$433,MATCH($C416,'PORTIFÓLIO'!$C$4:$C$433,0)),"")</f>
        <v/>
      </c>
      <c r="M416" s="220"/>
      <c r="N416" s="220"/>
      <c r="O416" s="220"/>
      <c r="P416" s="220"/>
      <c r="Q416" s="220"/>
      <c r="R416" s="220"/>
      <c r="S416" s="220"/>
      <c r="T416" s="220"/>
      <c r="U416" s="220"/>
      <c r="V416" s="220"/>
      <c r="W416" s="220"/>
    </row>
    <row r="417" ht="15.75" customHeight="1" outlineLevel="1">
      <c r="A417" s="211"/>
      <c r="B417" s="212"/>
      <c r="C417" s="213"/>
      <c r="D417" s="214" t="str">
        <f>IFERROR(VLOOKUP($C417,'PORTIFÓLIO'!C:V,2,0),"")</f>
        <v/>
      </c>
      <c r="E417" s="211" t="str">
        <f>IFERROR(VLOOKUP($C417,'PORTIFÓLIO'!C:V,3,0),"")</f>
        <v/>
      </c>
      <c r="F417" s="211" t="str">
        <f>IFERROR(VLOOKUP($C417,'PORTIFÓLIO'!C:V,4,0),"")</f>
        <v/>
      </c>
      <c r="G417" s="215" t="str">
        <f>IFERROR(VLOOKUP($C417,'PORTIFÓLIO'!C:V,5,0),"")</f>
        <v/>
      </c>
      <c r="H417" s="254" t="str">
        <f t="array" ref="H417">IFERROR(INDEX('PORTIFÓLIO'!$H$4:$H$433,MATCH($C417,'PORTIFÓLIO'!$C$4:$C$433,0)),"")</f>
        <v/>
      </c>
      <c r="I417" s="256"/>
      <c r="J417" s="218">
        <f t="shared" si="47"/>
        <v>0</v>
      </c>
      <c r="K417" s="292" t="str">
        <f t="array" ref="K417">IFERROR(I417*INDEX('PORTIFÓLIO'!$S$4:$S$433,MATCH($C417,'PORTIFÓLIO'!$C$4:$C$433,0)),"")</f>
        <v/>
      </c>
      <c r="L417" s="292" t="str">
        <f t="array" ref="L417">IFERROR(J417*INDEX('PORTIFÓLIO'!$S$4:$S$433,MATCH($C417,'PORTIFÓLIO'!$C$4:$C$433,0)),"")</f>
        <v/>
      </c>
      <c r="M417" s="220"/>
      <c r="N417" s="220"/>
      <c r="O417" s="220"/>
      <c r="P417" s="220"/>
      <c r="Q417" s="220"/>
      <c r="R417" s="220"/>
      <c r="S417" s="220"/>
      <c r="T417" s="220"/>
      <c r="U417" s="220"/>
      <c r="V417" s="220"/>
      <c r="W417" s="220"/>
    </row>
    <row r="418" ht="15.75" customHeight="1" outlineLevel="1">
      <c r="A418" s="211"/>
      <c r="B418" s="212"/>
      <c r="C418" s="213"/>
      <c r="D418" s="214" t="str">
        <f>IFERROR(VLOOKUP($C418,'PORTIFÓLIO'!C:V,2,0),"")</f>
        <v/>
      </c>
      <c r="E418" s="211" t="str">
        <f>IFERROR(VLOOKUP($C418,'PORTIFÓLIO'!C:V,3,0),"")</f>
        <v/>
      </c>
      <c r="F418" s="211" t="str">
        <f>IFERROR(VLOOKUP($C418,'PORTIFÓLIO'!C:V,4,0),"")</f>
        <v/>
      </c>
      <c r="G418" s="215" t="str">
        <f>IFERROR(VLOOKUP($C418,'PORTIFÓLIO'!C:V,5,0),"")</f>
        <v/>
      </c>
      <c r="H418" s="254" t="str">
        <f t="array" ref="H418">IFERROR(INDEX('PORTIFÓLIO'!$H$4:$H$433,MATCH($C418,'PORTIFÓLIO'!$C$4:$C$433,0)),"")</f>
        <v/>
      </c>
      <c r="I418" s="255"/>
      <c r="J418" s="218">
        <f t="shared" si="47"/>
        <v>0</v>
      </c>
      <c r="K418" s="292" t="str">
        <f t="array" ref="K418">IFERROR(I418*INDEX('PORTIFÓLIO'!$S$4:$S$433,MATCH($C418,'PORTIFÓLIO'!$C$4:$C$433,0)),"")</f>
        <v/>
      </c>
      <c r="L418" s="292" t="str">
        <f t="array" ref="L418">IFERROR(J418*INDEX('PORTIFÓLIO'!$S$4:$S$433,MATCH($C418,'PORTIFÓLIO'!$C$4:$C$433,0)),"")</f>
        <v/>
      </c>
      <c r="M418" s="220"/>
      <c r="N418" s="220"/>
      <c r="O418" s="220"/>
      <c r="P418" s="220"/>
      <c r="Q418" s="220"/>
      <c r="R418" s="220"/>
      <c r="S418" s="220"/>
      <c r="T418" s="220"/>
      <c r="U418" s="220"/>
      <c r="V418" s="220"/>
      <c r="W418" s="220"/>
    </row>
    <row r="419" ht="15.75" customHeight="1" outlineLevel="1">
      <c r="A419" s="211"/>
      <c r="B419" s="212"/>
      <c r="C419" s="213"/>
      <c r="D419" s="214" t="str">
        <f>IFERROR(VLOOKUP($C419,'PORTIFÓLIO'!C:V,2,0),"")</f>
        <v/>
      </c>
      <c r="E419" s="211" t="str">
        <f>IFERROR(VLOOKUP($C419,'PORTIFÓLIO'!C:V,3,0),"")</f>
        <v/>
      </c>
      <c r="F419" s="211" t="str">
        <f>IFERROR(VLOOKUP($C419,'PORTIFÓLIO'!C:V,4,0),"")</f>
        <v/>
      </c>
      <c r="G419" s="215" t="str">
        <f>IFERROR(VLOOKUP($C419,'PORTIFÓLIO'!C:V,5,0),"")</f>
        <v/>
      </c>
      <c r="H419" s="254" t="str">
        <f t="array" ref="H419">IFERROR(INDEX('PORTIFÓLIO'!$H$4:$H$433,MATCH($C419,'PORTIFÓLIO'!$C$4:$C$433,0)),"")</f>
        <v/>
      </c>
      <c r="I419" s="256"/>
      <c r="J419" s="218">
        <f t="shared" si="47"/>
        <v>0</v>
      </c>
      <c r="K419" s="292" t="str">
        <f t="array" ref="K419">IFERROR(I419*INDEX('PORTIFÓLIO'!$S$4:$S$433,MATCH($C419,'PORTIFÓLIO'!$C$4:$C$433,0)),"")</f>
        <v/>
      </c>
      <c r="L419" s="292" t="str">
        <f t="array" ref="L419">IFERROR(J419*INDEX('PORTIFÓLIO'!$S$4:$S$433,MATCH($C419,'PORTIFÓLIO'!$C$4:$C$433,0)),"")</f>
        <v/>
      </c>
      <c r="M419" s="220"/>
      <c r="N419" s="220"/>
      <c r="O419" s="220"/>
      <c r="P419" s="220"/>
      <c r="Q419" s="220"/>
      <c r="R419" s="220"/>
      <c r="S419" s="220"/>
      <c r="T419" s="220"/>
      <c r="U419" s="220"/>
      <c r="V419" s="220"/>
      <c r="W419" s="220"/>
    </row>
    <row r="420" ht="15.75" customHeight="1" outlineLevel="1">
      <c r="A420" s="211"/>
      <c r="B420" s="212"/>
      <c r="C420" s="213"/>
      <c r="D420" s="214" t="str">
        <f>IFERROR(VLOOKUP($C420,'PORTIFÓLIO'!C:V,2,0),"")</f>
        <v/>
      </c>
      <c r="E420" s="211" t="str">
        <f>IFERROR(VLOOKUP($C420,'PORTIFÓLIO'!C:V,3,0),"")</f>
        <v/>
      </c>
      <c r="F420" s="211" t="str">
        <f>IFERROR(VLOOKUP($C420,'PORTIFÓLIO'!C:V,4,0),"")</f>
        <v/>
      </c>
      <c r="G420" s="215" t="str">
        <f>IFERROR(VLOOKUP($C420,'PORTIFÓLIO'!C:V,5,0),"")</f>
        <v/>
      </c>
      <c r="H420" s="254" t="str">
        <f t="array" ref="H420">IFERROR(INDEX('PORTIFÓLIO'!$H$4:$H$433,MATCH($C420,'PORTIFÓLIO'!$C$4:$C$433,0)),"")</f>
        <v/>
      </c>
      <c r="I420" s="256"/>
      <c r="J420" s="218">
        <f t="shared" si="47"/>
        <v>0</v>
      </c>
      <c r="K420" s="292" t="str">
        <f t="array" ref="K420">IFERROR(I420*INDEX('PORTIFÓLIO'!$S$4:$S$433,MATCH($C420,'PORTIFÓLIO'!$C$4:$C$433,0)),"")</f>
        <v/>
      </c>
      <c r="L420" s="292" t="str">
        <f t="array" ref="L420">IFERROR(J420*INDEX('PORTIFÓLIO'!$S$4:$S$433,MATCH($C420,'PORTIFÓLIO'!$C$4:$C$433,0)),"")</f>
        <v/>
      </c>
      <c r="M420" s="220"/>
      <c r="N420" s="220"/>
      <c r="O420" s="220"/>
      <c r="P420" s="220"/>
      <c r="Q420" s="220"/>
      <c r="R420" s="220"/>
      <c r="S420" s="220"/>
      <c r="T420" s="220"/>
      <c r="U420" s="220"/>
      <c r="V420" s="220"/>
      <c r="W420" s="220"/>
    </row>
    <row r="421" ht="15.75" customHeight="1" outlineLevel="1">
      <c r="A421" s="211"/>
      <c r="B421" s="212"/>
      <c r="C421" s="213"/>
      <c r="D421" s="214" t="str">
        <f>IFERROR(VLOOKUP($C421,'PORTIFÓLIO'!C:V,2,0),"")</f>
        <v/>
      </c>
      <c r="E421" s="211" t="str">
        <f>IFERROR(VLOOKUP($C421,'PORTIFÓLIO'!C:V,3,0),"")</f>
        <v/>
      </c>
      <c r="F421" s="211" t="str">
        <f>IFERROR(VLOOKUP($C421,'PORTIFÓLIO'!C:V,4,0),"")</f>
        <v/>
      </c>
      <c r="G421" s="215" t="str">
        <f>IFERROR(VLOOKUP($C421,'PORTIFÓLIO'!C:V,5,0),"")</f>
        <v/>
      </c>
      <c r="H421" s="254" t="str">
        <f t="array" ref="H421">IFERROR(INDEX('PORTIFÓLIO'!$H$4:$H$433,MATCH($C421,'PORTIFÓLIO'!$C$4:$C$433,0)),"")</f>
        <v/>
      </c>
      <c r="I421" s="256"/>
      <c r="J421" s="218">
        <f t="shared" si="47"/>
        <v>0</v>
      </c>
      <c r="K421" s="292" t="str">
        <f t="array" ref="K421">IFERROR(I421*INDEX('PORTIFÓLIO'!$S$4:$S$433,MATCH($C421,'PORTIFÓLIO'!$C$4:$C$433,0)),"")</f>
        <v/>
      </c>
      <c r="L421" s="292" t="str">
        <f t="array" ref="L421">IFERROR(J421*INDEX('PORTIFÓLIO'!$S$4:$S$433,MATCH($C421,'PORTIFÓLIO'!$C$4:$C$433,0)),"")</f>
        <v/>
      </c>
      <c r="M421" s="220"/>
      <c r="N421" s="220"/>
      <c r="O421" s="220"/>
      <c r="P421" s="220"/>
      <c r="Q421" s="220"/>
      <c r="R421" s="220"/>
      <c r="S421" s="220"/>
      <c r="T421" s="220"/>
      <c r="U421" s="220"/>
      <c r="V421" s="220"/>
      <c r="W421" s="220"/>
    </row>
    <row r="422" ht="15.75" customHeight="1" outlineLevel="1">
      <c r="A422" s="211"/>
      <c r="B422" s="212"/>
      <c r="C422" s="213"/>
      <c r="D422" s="214" t="str">
        <f>IFERROR(VLOOKUP($C422,'PORTIFÓLIO'!C:V,2,0),"")</f>
        <v/>
      </c>
      <c r="E422" s="211" t="str">
        <f>IFERROR(VLOOKUP($C422,'PORTIFÓLIO'!C:V,3,0),"")</f>
        <v/>
      </c>
      <c r="F422" s="211" t="str">
        <f>IFERROR(VLOOKUP($C422,'PORTIFÓLIO'!C:V,4,0),"")</f>
        <v/>
      </c>
      <c r="G422" s="215" t="str">
        <f>IFERROR(VLOOKUP($C422,'PORTIFÓLIO'!C:V,5,0),"")</f>
        <v/>
      </c>
      <c r="H422" s="254" t="str">
        <f t="array" ref="H422">IFERROR(INDEX('PORTIFÓLIO'!$H$4:$H$433,MATCH($C422,'PORTIFÓLIO'!$C$4:$C$433,0)),"")</f>
        <v/>
      </c>
      <c r="I422" s="256"/>
      <c r="J422" s="218">
        <f t="shared" si="47"/>
        <v>0</v>
      </c>
      <c r="K422" s="292" t="str">
        <f t="array" ref="K422">IFERROR(I422*INDEX('PORTIFÓLIO'!$S$4:$S$433,MATCH($C422,'PORTIFÓLIO'!$C$4:$C$433,0)),"")</f>
        <v/>
      </c>
      <c r="L422" s="292" t="str">
        <f t="array" ref="L422">IFERROR(J422*INDEX('PORTIFÓLIO'!$S$4:$S$433,MATCH($C422,'PORTIFÓLIO'!$C$4:$C$433,0)),"")</f>
        <v/>
      </c>
      <c r="M422" s="220"/>
      <c r="N422" s="220"/>
      <c r="O422" s="220"/>
      <c r="P422" s="220"/>
      <c r="Q422" s="220"/>
      <c r="R422" s="220"/>
      <c r="S422" s="220"/>
      <c r="T422" s="220"/>
      <c r="U422" s="220"/>
      <c r="V422" s="220"/>
      <c r="W422" s="220"/>
    </row>
    <row r="423" ht="15.75" customHeight="1" outlineLevel="1">
      <c r="A423" s="211"/>
      <c r="B423" s="212"/>
      <c r="C423" s="213"/>
      <c r="D423" s="214" t="str">
        <f>IFERROR(VLOOKUP($C423,'PORTIFÓLIO'!C:V,2,0),"")</f>
        <v/>
      </c>
      <c r="E423" s="211" t="str">
        <f>IFERROR(VLOOKUP($C423,'PORTIFÓLIO'!C:V,3,0),"")</f>
        <v/>
      </c>
      <c r="F423" s="211" t="str">
        <f>IFERROR(VLOOKUP($C423,'PORTIFÓLIO'!C:V,4,0),"")</f>
        <v/>
      </c>
      <c r="G423" s="215" t="str">
        <f>IFERROR(VLOOKUP($C423,'PORTIFÓLIO'!C:V,5,0),"")</f>
        <v/>
      </c>
      <c r="H423" s="254" t="str">
        <f t="array" ref="H423">IFERROR(INDEX('PORTIFÓLIO'!$H$4:$H$433,MATCH($C423,'PORTIFÓLIO'!$C$4:$C$433,0)),"")</f>
        <v/>
      </c>
      <c r="I423" s="256"/>
      <c r="J423" s="218">
        <f t="shared" si="47"/>
        <v>0</v>
      </c>
      <c r="K423" s="292" t="str">
        <f t="array" ref="K423">IFERROR(I423*INDEX('PORTIFÓLIO'!$S$4:$S$433,MATCH($C423,'PORTIFÓLIO'!$C$4:$C$433,0)),"")</f>
        <v/>
      </c>
      <c r="L423" s="292" t="str">
        <f t="array" ref="L423">IFERROR(J423*INDEX('PORTIFÓLIO'!$S$4:$S$433,MATCH($C423,'PORTIFÓLIO'!$C$4:$C$433,0)),"")</f>
        <v/>
      </c>
      <c r="M423" s="220"/>
      <c r="N423" s="220"/>
      <c r="O423" s="220"/>
      <c r="P423" s="220"/>
      <c r="Q423" s="220"/>
      <c r="R423" s="220"/>
      <c r="S423" s="220"/>
      <c r="T423" s="220"/>
      <c r="U423" s="220"/>
      <c r="V423" s="220"/>
      <c r="W423" s="220"/>
    </row>
    <row r="424" ht="15.75" customHeight="1" outlineLevel="1">
      <c r="A424" s="211"/>
      <c r="B424" s="212"/>
      <c r="C424" s="213"/>
      <c r="D424" s="214" t="str">
        <f>IFERROR(VLOOKUP($C424,'PORTIFÓLIO'!C:V,2,0),"")</f>
        <v/>
      </c>
      <c r="E424" s="211" t="str">
        <f>IFERROR(VLOOKUP($C424,'PORTIFÓLIO'!C:V,3,0),"")</f>
        <v/>
      </c>
      <c r="F424" s="211" t="str">
        <f>IFERROR(VLOOKUP($C424,'PORTIFÓLIO'!C:V,4,0),"")</f>
        <v/>
      </c>
      <c r="G424" s="215" t="str">
        <f>IFERROR(VLOOKUP($C424,'PORTIFÓLIO'!C:V,5,0),"")</f>
        <v/>
      </c>
      <c r="H424" s="254" t="str">
        <f t="array" ref="H424">IFERROR(INDEX('PORTIFÓLIO'!$H$4:$H$433,MATCH($C424,'PORTIFÓLIO'!$C$4:$C$433,0)),"")</f>
        <v/>
      </c>
      <c r="I424" s="256"/>
      <c r="J424" s="218">
        <f t="shared" si="47"/>
        <v>0</v>
      </c>
      <c r="K424" s="292" t="str">
        <f t="array" ref="K424">IFERROR(I424*INDEX('PORTIFÓLIO'!$S$4:$S$433,MATCH($C424,'PORTIFÓLIO'!$C$4:$C$433,0)),"")</f>
        <v/>
      </c>
      <c r="L424" s="292" t="str">
        <f t="array" ref="L424">IFERROR(J424*INDEX('PORTIFÓLIO'!$S$4:$S$433,MATCH($C424,'PORTIFÓLIO'!$C$4:$C$433,0)),"")</f>
        <v/>
      </c>
      <c r="M424" s="220"/>
      <c r="N424" s="220"/>
      <c r="O424" s="220"/>
      <c r="P424" s="220"/>
      <c r="Q424" s="220"/>
      <c r="R424" s="220"/>
      <c r="S424" s="220"/>
      <c r="T424" s="220"/>
      <c r="U424" s="220"/>
      <c r="V424" s="220"/>
      <c r="W424" s="220"/>
    </row>
    <row r="425" ht="15.75" customHeight="1" outlineLevel="1">
      <c r="A425" s="211"/>
      <c r="B425" s="227"/>
      <c r="C425" s="211"/>
      <c r="D425" s="214" t="str">
        <f>IFERROR(VLOOKUP($C425,'PORTIFÓLIO'!C:V,2,0),"")</f>
        <v/>
      </c>
      <c r="E425" s="211" t="str">
        <f>IFERROR(VLOOKUP($C425,'PORTIFÓLIO'!C:V,3,0),"")</f>
        <v/>
      </c>
      <c r="F425" s="211" t="str">
        <f>IFERROR(VLOOKUP($C425,'PORTIFÓLIO'!C:V,4,0),"")</f>
        <v/>
      </c>
      <c r="G425" s="215" t="str">
        <f>IFERROR(VLOOKUP($C425,'PORTIFÓLIO'!C:V,5,0),"")</f>
        <v/>
      </c>
      <c r="H425" s="254" t="str">
        <f t="array" ref="H425">IFERROR(INDEX('PORTIFÓLIO'!$H$4:$H$433,MATCH($C425,'PORTIFÓLIO'!$C$4:$C$433,0)),"")</f>
        <v/>
      </c>
      <c r="I425" s="256"/>
      <c r="J425" s="218">
        <f t="shared" si="47"/>
        <v>0</v>
      </c>
      <c r="K425" s="292" t="str">
        <f t="array" ref="K425">IFERROR(I425*INDEX('PORTIFÓLIO'!$S$4:$S$433,MATCH($C425,'PORTIFÓLIO'!$C$4:$C$433,0)),"")</f>
        <v/>
      </c>
      <c r="L425" s="292" t="str">
        <f t="array" ref="L425">IFERROR(J425*INDEX('PORTIFÓLIO'!$S$4:$S$433,MATCH($C425,'PORTIFÓLIO'!$C$4:$C$433,0)),"")</f>
        <v/>
      </c>
      <c r="M425" s="220"/>
      <c r="N425" s="220"/>
      <c r="O425" s="220"/>
      <c r="P425" s="220"/>
      <c r="Q425" s="220"/>
      <c r="R425" s="220"/>
      <c r="S425" s="220"/>
      <c r="T425" s="220"/>
      <c r="U425" s="220"/>
      <c r="V425" s="220"/>
      <c r="W425" s="220"/>
    </row>
    <row r="426" ht="15.75" customHeight="1" outlineLevel="1">
      <c r="A426" s="211"/>
      <c r="B426" s="227"/>
      <c r="C426" s="211"/>
      <c r="D426" s="214" t="str">
        <f>IFERROR(VLOOKUP($C426,'PORTIFÓLIO'!C:V,2,0),"")</f>
        <v/>
      </c>
      <c r="E426" s="211" t="str">
        <f>IFERROR(VLOOKUP($C426,'PORTIFÓLIO'!C:V,3,0),"")</f>
        <v/>
      </c>
      <c r="F426" s="211" t="str">
        <f>IFERROR(VLOOKUP($C426,'PORTIFÓLIO'!C:V,4,0),"")</f>
        <v/>
      </c>
      <c r="G426" s="215" t="str">
        <f>IFERROR(VLOOKUP($C426,'PORTIFÓLIO'!C:V,5,0),"")</f>
        <v/>
      </c>
      <c r="H426" s="254" t="str">
        <f t="array" ref="H426">IFERROR(INDEX('PORTIFÓLIO'!$H$4:$H$433,MATCH($C426,'PORTIFÓLIO'!$C$4:$C$433,0)),"")</f>
        <v/>
      </c>
      <c r="I426" s="256"/>
      <c r="J426" s="218">
        <f t="shared" si="47"/>
        <v>0</v>
      </c>
      <c r="K426" s="292" t="str">
        <f t="array" ref="K426">IFERROR(I426*INDEX('PORTIFÓLIO'!$S$4:$S$433,MATCH($C426,'PORTIFÓLIO'!$C$4:$C$433,0)),"")</f>
        <v/>
      </c>
      <c r="L426" s="292" t="str">
        <f t="array" ref="L426">IFERROR(J426*INDEX('PORTIFÓLIO'!$S$4:$S$433,MATCH($C426,'PORTIFÓLIO'!$C$4:$C$433,0)),"")</f>
        <v/>
      </c>
      <c r="U426" s="79"/>
    </row>
    <row r="427" ht="15.75" customHeight="1">
      <c r="A427" s="229" t="s">
        <v>1202</v>
      </c>
      <c r="B427" s="230"/>
      <c r="C427" s="231"/>
      <c r="D427" s="232"/>
      <c r="E427" s="231"/>
      <c r="F427" s="231"/>
      <c r="G427" s="233"/>
      <c r="H427" s="233"/>
      <c r="I427" s="258"/>
      <c r="J427" s="236"/>
      <c r="K427" s="237">
        <f t="shared" ref="K427:L427" si="48">SUBTOTAL(9,K428:K441)</f>
        <v>0</v>
      </c>
      <c r="L427" s="237">
        <f t="shared" si="48"/>
        <v>0</v>
      </c>
      <c r="U427" s="79"/>
    </row>
    <row r="428" ht="15.75" customHeight="1" outlineLevel="1">
      <c r="A428" s="213"/>
      <c r="B428" s="212"/>
      <c r="C428" s="213"/>
      <c r="D428" s="214" t="str">
        <f>IFERROR(VLOOKUP($C428,'PORTIFÓLIO'!C:V,2,0),"")</f>
        <v/>
      </c>
      <c r="E428" s="211" t="str">
        <f>IFERROR(VLOOKUP($C428,'PORTIFÓLIO'!C:V,3,0),"")</f>
        <v/>
      </c>
      <c r="F428" s="211" t="str">
        <f>IFERROR(VLOOKUP($C428,'PORTIFÓLIO'!C:V,4,0),"")</f>
        <v/>
      </c>
      <c r="G428" s="215" t="str">
        <f>IFERROR(VLOOKUP($C428,'PORTIFÓLIO'!C:V,5,0),"")</f>
        <v/>
      </c>
      <c r="H428" s="254" t="str">
        <f t="array" ref="H428">IFERROR(INDEX('PORTIFÓLIO'!$H$4:$H$433,MATCH($C428,'PORTIFÓLIO'!$C$4:$C$433,0)),"")</f>
        <v/>
      </c>
      <c r="I428" s="256"/>
      <c r="J428" s="218">
        <f t="shared" ref="J428:J451" si="49">I428*$B$2</f>
        <v>0</v>
      </c>
      <c r="K428" s="292" t="str">
        <f t="array" ref="K428">IFERROR(I428*INDEX('PORTIFÓLIO'!$S$4:$S$433,MATCH($C428,'PORTIFÓLIO'!$C$4:$C$433,0)),"")</f>
        <v/>
      </c>
      <c r="L428" s="292" t="str">
        <f t="array" ref="L428">IFERROR(J428*INDEX('PORTIFÓLIO'!$S$4:$S$433,MATCH($C428,'PORTIFÓLIO'!$C$4:$C$433,0)),"")</f>
        <v/>
      </c>
      <c r="U428" s="79"/>
    </row>
    <row r="429" ht="15.75" customHeight="1" outlineLevel="1">
      <c r="A429" s="211"/>
      <c r="B429" s="212"/>
      <c r="C429" s="213"/>
      <c r="D429" s="214" t="str">
        <f>IFERROR(VLOOKUP($C429,'PORTIFÓLIO'!C:V,2,0),"")</f>
        <v/>
      </c>
      <c r="E429" s="211" t="str">
        <f>IFERROR(VLOOKUP($C429,'PORTIFÓLIO'!C:V,3,0),"")</f>
        <v/>
      </c>
      <c r="F429" s="211" t="str">
        <f>IFERROR(VLOOKUP($C429,'PORTIFÓLIO'!C:V,4,0),"")</f>
        <v/>
      </c>
      <c r="G429" s="215" t="str">
        <f>IFERROR(VLOOKUP($C429,'PORTIFÓLIO'!C:V,5,0),"")</f>
        <v/>
      </c>
      <c r="H429" s="254" t="str">
        <f t="array" ref="H429">IFERROR(INDEX('PORTIFÓLIO'!$H$4:$H$433,MATCH($C429,'PORTIFÓLIO'!$C$4:$C$433,0)),"")</f>
        <v/>
      </c>
      <c r="I429" s="256"/>
      <c r="J429" s="218">
        <f t="shared" si="49"/>
        <v>0</v>
      </c>
      <c r="K429" s="292" t="str">
        <f t="array" ref="K429">IFERROR(I429*INDEX('PORTIFÓLIO'!$S$4:$S$433,MATCH($C429,'PORTIFÓLIO'!$C$4:$C$433,0)),"")</f>
        <v/>
      </c>
      <c r="L429" s="292" t="str">
        <f t="array" ref="L429">IFERROR(J429*INDEX('PORTIFÓLIO'!$S$4:$S$433,MATCH($C429,'PORTIFÓLIO'!$C$4:$C$433,0)),"")</f>
        <v/>
      </c>
      <c r="U429" s="79"/>
    </row>
    <row r="430" ht="15.75" customHeight="1" outlineLevel="1">
      <c r="A430" s="211"/>
      <c r="B430" s="212"/>
      <c r="C430" s="213"/>
      <c r="D430" s="214" t="str">
        <f>IFERROR(VLOOKUP($C430,'PORTIFÓLIO'!C:V,2,0),"")</f>
        <v/>
      </c>
      <c r="E430" s="211" t="str">
        <f>IFERROR(VLOOKUP($C430,'PORTIFÓLIO'!C:V,3,0),"")</f>
        <v/>
      </c>
      <c r="F430" s="211" t="str">
        <f>IFERROR(VLOOKUP($C430,'PORTIFÓLIO'!C:V,4,0),"")</f>
        <v/>
      </c>
      <c r="G430" s="215" t="str">
        <f>IFERROR(VLOOKUP($C430,'PORTIFÓLIO'!C:V,5,0),"")</f>
        <v/>
      </c>
      <c r="H430" s="254" t="str">
        <f t="array" ref="H430">IFERROR(INDEX('PORTIFÓLIO'!$H$4:$H$433,MATCH($C430,'PORTIFÓLIO'!$C$4:$C$433,0)),"")</f>
        <v/>
      </c>
      <c r="I430" s="256"/>
      <c r="J430" s="218">
        <f t="shared" si="49"/>
        <v>0</v>
      </c>
      <c r="K430" s="292" t="str">
        <f t="array" ref="K430">IFERROR(I430*INDEX('PORTIFÓLIO'!$S$4:$S$433,MATCH($C430,'PORTIFÓLIO'!$C$4:$C$433,0)),"")</f>
        <v/>
      </c>
      <c r="L430" s="292" t="str">
        <f t="array" ref="L430">IFERROR(J430*INDEX('PORTIFÓLIO'!$S$4:$S$433,MATCH($C430,'PORTIFÓLIO'!$C$4:$C$433,0)),"")</f>
        <v/>
      </c>
      <c r="U430" s="79"/>
    </row>
    <row r="431" ht="15.75" customHeight="1" outlineLevel="1">
      <c r="A431" s="211"/>
      <c r="B431" s="212"/>
      <c r="C431" s="213"/>
      <c r="D431" s="214" t="str">
        <f>IFERROR(VLOOKUP($C431,'PORTIFÓLIO'!C:V,2,0),"")</f>
        <v/>
      </c>
      <c r="E431" s="211" t="str">
        <f>IFERROR(VLOOKUP($C431,'PORTIFÓLIO'!C:V,3,0),"")</f>
        <v/>
      </c>
      <c r="F431" s="211" t="str">
        <f>IFERROR(VLOOKUP($C431,'PORTIFÓLIO'!C:V,4,0),"")</f>
        <v/>
      </c>
      <c r="G431" s="215" t="str">
        <f>IFERROR(VLOOKUP($C431,'PORTIFÓLIO'!C:V,5,0),"")</f>
        <v/>
      </c>
      <c r="H431" s="254" t="str">
        <f t="array" ref="H431">IFERROR(INDEX('PORTIFÓLIO'!$H$4:$H$433,MATCH($C431,'PORTIFÓLIO'!$C$4:$C$433,0)),"")</f>
        <v/>
      </c>
      <c r="I431" s="256"/>
      <c r="J431" s="218">
        <f t="shared" si="49"/>
        <v>0</v>
      </c>
      <c r="K431" s="292" t="str">
        <f t="array" ref="K431">IFERROR(I431*INDEX('PORTIFÓLIO'!$S$4:$S$433,MATCH($C431,'PORTIFÓLIO'!$C$4:$C$433,0)),"")</f>
        <v/>
      </c>
      <c r="L431" s="292" t="str">
        <f t="array" ref="L431">IFERROR(J431*INDEX('PORTIFÓLIO'!$S$4:$S$433,MATCH($C431,'PORTIFÓLIO'!$C$4:$C$433,0)),"")</f>
        <v/>
      </c>
      <c r="U431" s="79"/>
    </row>
    <row r="432" ht="15.75" customHeight="1" outlineLevel="1">
      <c r="A432" s="211"/>
      <c r="B432" s="212"/>
      <c r="C432" s="213"/>
      <c r="D432" s="214" t="str">
        <f>IFERROR(VLOOKUP($C432,'PORTIFÓLIO'!C:V,2,0),"")</f>
        <v/>
      </c>
      <c r="E432" s="211" t="str">
        <f>IFERROR(VLOOKUP($C432,'PORTIFÓLIO'!C:V,3,0),"")</f>
        <v/>
      </c>
      <c r="F432" s="211" t="str">
        <f>IFERROR(VLOOKUP($C432,'PORTIFÓLIO'!C:V,4,0),"")</f>
        <v/>
      </c>
      <c r="G432" s="215" t="str">
        <f>IFERROR(VLOOKUP($C432,'PORTIFÓLIO'!C:V,5,0),"")</f>
        <v/>
      </c>
      <c r="H432" s="254" t="str">
        <f t="array" ref="H432">IFERROR(INDEX('PORTIFÓLIO'!$H$4:$H$433,MATCH($C432,'PORTIFÓLIO'!$C$4:$C$433,0)),"")</f>
        <v/>
      </c>
      <c r="I432" s="256"/>
      <c r="J432" s="218">
        <f t="shared" si="49"/>
        <v>0</v>
      </c>
      <c r="K432" s="292" t="str">
        <f t="array" ref="K432">IFERROR(I432*INDEX('PORTIFÓLIO'!$S$4:$S$433,MATCH($C432,'PORTIFÓLIO'!$C$4:$C$433,0)),"")</f>
        <v/>
      </c>
      <c r="L432" s="292" t="str">
        <f t="array" ref="L432">IFERROR(J432*INDEX('PORTIFÓLIO'!$S$4:$S$433,MATCH($C432,'PORTIFÓLIO'!$C$4:$C$433,0)),"")</f>
        <v/>
      </c>
      <c r="U432" s="79"/>
    </row>
    <row r="433" ht="15.75" customHeight="1" outlineLevel="1">
      <c r="A433" s="211"/>
      <c r="B433" s="212"/>
      <c r="C433" s="213"/>
      <c r="D433" s="214" t="str">
        <f>IFERROR(VLOOKUP($C433,'PORTIFÓLIO'!C:V,2,0),"")</f>
        <v/>
      </c>
      <c r="E433" s="211" t="str">
        <f>IFERROR(VLOOKUP($C433,'PORTIFÓLIO'!C:V,3,0),"")</f>
        <v/>
      </c>
      <c r="F433" s="211" t="str">
        <f>IFERROR(VLOOKUP($C433,'PORTIFÓLIO'!C:V,4,0),"")</f>
        <v/>
      </c>
      <c r="G433" s="215" t="str">
        <f>IFERROR(VLOOKUP($C433,'PORTIFÓLIO'!C:V,5,0),"")</f>
        <v/>
      </c>
      <c r="H433" s="254" t="str">
        <f t="array" ref="H433">IFERROR(INDEX('PORTIFÓLIO'!$H$4:$H$433,MATCH($C433,'PORTIFÓLIO'!$C$4:$C$433,0)),"")</f>
        <v/>
      </c>
      <c r="I433" s="256"/>
      <c r="J433" s="218">
        <f t="shared" si="49"/>
        <v>0</v>
      </c>
      <c r="K433" s="292" t="str">
        <f t="array" ref="K433">IFERROR(I433*INDEX('PORTIFÓLIO'!$S$4:$S$433,MATCH($C433,'PORTIFÓLIO'!$C$4:$C$433,0)),"")</f>
        <v/>
      </c>
      <c r="L433" s="292" t="str">
        <f t="array" ref="L433">IFERROR(J433*INDEX('PORTIFÓLIO'!$S$4:$S$433,MATCH($C433,'PORTIFÓLIO'!$C$4:$C$433,0)),"")</f>
        <v/>
      </c>
      <c r="U433" s="79"/>
    </row>
    <row r="434" ht="15.75" customHeight="1" outlineLevel="1">
      <c r="A434" s="211"/>
      <c r="B434" s="212"/>
      <c r="C434" s="213"/>
      <c r="D434" s="214" t="str">
        <f>IFERROR(VLOOKUP($C434,'PORTIFÓLIO'!C:V,2,0),"")</f>
        <v/>
      </c>
      <c r="E434" s="211" t="str">
        <f>IFERROR(VLOOKUP($C434,'PORTIFÓLIO'!C:V,3,0),"")</f>
        <v/>
      </c>
      <c r="F434" s="211" t="str">
        <f>IFERROR(VLOOKUP($C434,'PORTIFÓLIO'!C:V,4,0),"")</f>
        <v/>
      </c>
      <c r="G434" s="215" t="str">
        <f>IFERROR(VLOOKUP($C434,'PORTIFÓLIO'!C:V,5,0),"")</f>
        <v/>
      </c>
      <c r="H434" s="254" t="str">
        <f t="array" ref="H434">IFERROR(INDEX('PORTIFÓLIO'!$H$4:$H$433,MATCH($C434,'PORTIFÓLIO'!$C$4:$C$433,0)),"")</f>
        <v/>
      </c>
      <c r="I434" s="256"/>
      <c r="J434" s="218">
        <f t="shared" si="49"/>
        <v>0</v>
      </c>
      <c r="K434" s="292" t="str">
        <f t="array" ref="K434">IFERROR(I434*INDEX('PORTIFÓLIO'!$S$4:$S$433,MATCH($C434,'PORTIFÓLIO'!$C$4:$C$433,0)),"")</f>
        <v/>
      </c>
      <c r="L434" s="292" t="str">
        <f t="array" ref="L434">IFERROR(J434*INDEX('PORTIFÓLIO'!$S$4:$S$433,MATCH($C434,'PORTIFÓLIO'!$C$4:$C$433,0)),"")</f>
        <v/>
      </c>
      <c r="U434" s="79"/>
    </row>
    <row r="435" ht="15.75" customHeight="1" outlineLevel="1">
      <c r="A435" s="211"/>
      <c r="B435" s="212"/>
      <c r="C435" s="213"/>
      <c r="D435" s="214" t="str">
        <f>IFERROR(VLOOKUP($C435,'PORTIFÓLIO'!C:V,2,0),"")</f>
        <v/>
      </c>
      <c r="E435" s="211" t="str">
        <f>IFERROR(VLOOKUP($C435,'PORTIFÓLIO'!C:V,3,0),"")</f>
        <v/>
      </c>
      <c r="F435" s="211" t="str">
        <f>IFERROR(VLOOKUP($C435,'PORTIFÓLIO'!C:V,4,0),"")</f>
        <v/>
      </c>
      <c r="G435" s="215" t="str">
        <f>IFERROR(VLOOKUP($C435,'PORTIFÓLIO'!C:V,5,0),"")</f>
        <v/>
      </c>
      <c r="H435" s="254" t="str">
        <f t="array" ref="H435">IFERROR(INDEX('PORTIFÓLIO'!$H$4:$H$433,MATCH($C435,'PORTIFÓLIO'!$C$4:$C$433,0)),"")</f>
        <v/>
      </c>
      <c r="I435" s="256"/>
      <c r="J435" s="218">
        <f t="shared" si="49"/>
        <v>0</v>
      </c>
      <c r="K435" s="292" t="str">
        <f t="array" ref="K435">IFERROR(I435*INDEX('PORTIFÓLIO'!$S$4:$S$433,MATCH($C435,'PORTIFÓLIO'!$C$4:$C$433,0)),"")</f>
        <v/>
      </c>
      <c r="L435" s="292" t="str">
        <f t="array" ref="L435">IFERROR(J435*INDEX('PORTIFÓLIO'!$S$4:$S$433,MATCH($C435,'PORTIFÓLIO'!$C$4:$C$433,0)),"")</f>
        <v/>
      </c>
      <c r="U435" s="79"/>
    </row>
    <row r="436" ht="15.75" customHeight="1" outlineLevel="1">
      <c r="A436" s="211"/>
      <c r="B436" s="212"/>
      <c r="C436" s="213"/>
      <c r="D436" s="214" t="str">
        <f>IFERROR(VLOOKUP($C436,'PORTIFÓLIO'!C:V,2,0),"")</f>
        <v/>
      </c>
      <c r="E436" s="211" t="str">
        <f>IFERROR(VLOOKUP($C436,'PORTIFÓLIO'!C:V,3,0),"")</f>
        <v/>
      </c>
      <c r="F436" s="211" t="str">
        <f>IFERROR(VLOOKUP($C436,'PORTIFÓLIO'!C:V,4,0),"")</f>
        <v/>
      </c>
      <c r="G436" s="215" t="str">
        <f>IFERROR(VLOOKUP($C436,'PORTIFÓLIO'!C:V,5,0),"")</f>
        <v/>
      </c>
      <c r="H436" s="254" t="str">
        <f t="array" ref="H436">IFERROR(INDEX('PORTIFÓLIO'!$H$4:$H$433,MATCH($C436,'PORTIFÓLIO'!$C$4:$C$433,0)),"")</f>
        <v/>
      </c>
      <c r="I436" s="256"/>
      <c r="J436" s="218">
        <f t="shared" si="49"/>
        <v>0</v>
      </c>
      <c r="K436" s="292" t="str">
        <f t="array" ref="K436">IFERROR(I436*INDEX('PORTIFÓLIO'!$S$4:$S$433,MATCH($C436,'PORTIFÓLIO'!$C$4:$C$433,0)),"")</f>
        <v/>
      </c>
      <c r="L436" s="292" t="str">
        <f t="array" ref="L436">IFERROR(J436*INDEX('PORTIFÓLIO'!$S$4:$S$433,MATCH($C436,'PORTIFÓLIO'!$C$4:$C$433,0)),"")</f>
        <v/>
      </c>
      <c r="U436" s="79"/>
    </row>
    <row r="437" ht="15.75" customHeight="1" outlineLevel="1">
      <c r="A437" s="211"/>
      <c r="B437" s="212"/>
      <c r="C437" s="213"/>
      <c r="D437" s="214" t="str">
        <f>IFERROR(VLOOKUP($C437,'PORTIFÓLIO'!C:V,2,0),"")</f>
        <v/>
      </c>
      <c r="E437" s="211" t="str">
        <f>IFERROR(VLOOKUP($C437,'PORTIFÓLIO'!C:V,3,0),"")</f>
        <v/>
      </c>
      <c r="F437" s="211" t="str">
        <f>IFERROR(VLOOKUP($C437,'PORTIFÓLIO'!C:V,4,0),"")</f>
        <v/>
      </c>
      <c r="G437" s="215" t="str">
        <f>IFERROR(VLOOKUP($C437,'PORTIFÓLIO'!C:V,5,0),"")</f>
        <v/>
      </c>
      <c r="H437" s="254" t="str">
        <f t="array" ref="H437">IFERROR(INDEX('PORTIFÓLIO'!$H$4:$H$433,MATCH($C437,'PORTIFÓLIO'!$C$4:$C$433,0)),"")</f>
        <v/>
      </c>
      <c r="I437" s="256"/>
      <c r="J437" s="218">
        <f t="shared" si="49"/>
        <v>0</v>
      </c>
      <c r="K437" s="292" t="str">
        <f t="array" ref="K437">IFERROR(I437*INDEX('PORTIFÓLIO'!$S$4:$S$433,MATCH($C437,'PORTIFÓLIO'!$C$4:$C$433,0)),"")</f>
        <v/>
      </c>
      <c r="L437" s="292" t="str">
        <f t="array" ref="L437">IFERROR(J437*INDEX('PORTIFÓLIO'!$S$4:$S$433,MATCH($C437,'PORTIFÓLIO'!$C$4:$C$433,0)),"")</f>
        <v/>
      </c>
      <c r="U437" s="79"/>
    </row>
    <row r="438" ht="15.75" customHeight="1" outlineLevel="1">
      <c r="A438" s="211"/>
      <c r="B438" s="212"/>
      <c r="C438" s="213"/>
      <c r="D438" s="214" t="str">
        <f>IFERROR(VLOOKUP($C438,'PORTIFÓLIO'!C:V,2,0),"")</f>
        <v/>
      </c>
      <c r="E438" s="211" t="str">
        <f>IFERROR(VLOOKUP($C438,'PORTIFÓLIO'!C:V,3,0),"")</f>
        <v/>
      </c>
      <c r="F438" s="211" t="str">
        <f>IFERROR(VLOOKUP($C438,'PORTIFÓLIO'!C:V,4,0),"")</f>
        <v/>
      </c>
      <c r="G438" s="215" t="str">
        <f>IFERROR(VLOOKUP($C438,'PORTIFÓLIO'!C:V,5,0),"")</f>
        <v/>
      </c>
      <c r="H438" s="254" t="str">
        <f t="array" ref="H438">IFERROR(INDEX('PORTIFÓLIO'!$H$4:$H$433,MATCH($C438,'PORTIFÓLIO'!$C$4:$C$433,0)),"")</f>
        <v/>
      </c>
      <c r="I438" s="256"/>
      <c r="J438" s="218">
        <f t="shared" si="49"/>
        <v>0</v>
      </c>
      <c r="K438" s="292" t="str">
        <f t="array" ref="K438">IFERROR(I438*INDEX('PORTIFÓLIO'!$S$4:$S$433,MATCH($C438,'PORTIFÓLIO'!$C$4:$C$433,0)),"")</f>
        <v/>
      </c>
      <c r="L438" s="292" t="str">
        <f t="array" ref="L438">IFERROR(J438*INDEX('PORTIFÓLIO'!$S$4:$S$433,MATCH($C438,'PORTIFÓLIO'!$C$4:$C$433,0)),"")</f>
        <v/>
      </c>
      <c r="U438" s="79"/>
    </row>
    <row r="439" ht="15.75" customHeight="1" outlineLevel="1">
      <c r="A439" s="211"/>
      <c r="B439" s="212"/>
      <c r="C439" s="213"/>
      <c r="D439" s="214" t="str">
        <f>IFERROR(VLOOKUP($C439,'PORTIFÓLIO'!C:V,2,0),"")</f>
        <v/>
      </c>
      <c r="E439" s="211" t="str">
        <f>IFERROR(VLOOKUP($C439,'PORTIFÓLIO'!C:V,3,0),"")</f>
        <v/>
      </c>
      <c r="F439" s="211" t="str">
        <f>IFERROR(VLOOKUP($C439,'PORTIFÓLIO'!C:V,4,0),"")</f>
        <v/>
      </c>
      <c r="G439" s="215" t="str">
        <f>IFERROR(VLOOKUP($C439,'PORTIFÓLIO'!C:V,5,0),"")</f>
        <v/>
      </c>
      <c r="H439" s="254" t="str">
        <f t="array" ref="H439">IFERROR(INDEX('PORTIFÓLIO'!$H$4:$H$433,MATCH($C439,'PORTIFÓLIO'!$C$4:$C$433,0)),"")</f>
        <v/>
      </c>
      <c r="I439" s="256"/>
      <c r="J439" s="218">
        <f t="shared" si="49"/>
        <v>0</v>
      </c>
      <c r="K439" s="292" t="str">
        <f t="array" ref="K439">IFERROR(I439*INDEX('PORTIFÓLIO'!$S$4:$S$433,MATCH($C439,'PORTIFÓLIO'!$C$4:$C$433,0)),"")</f>
        <v/>
      </c>
      <c r="L439" s="292" t="str">
        <f t="array" ref="L439">IFERROR(J439*INDEX('PORTIFÓLIO'!$S$4:$S$433,MATCH($C439,'PORTIFÓLIO'!$C$4:$C$433,0)),"")</f>
        <v/>
      </c>
      <c r="U439" s="79"/>
    </row>
    <row r="440" ht="15.75" customHeight="1" outlineLevel="1">
      <c r="A440" s="211"/>
      <c r="B440" s="212"/>
      <c r="C440" s="213"/>
      <c r="D440" s="214" t="str">
        <f>IFERROR(VLOOKUP($C440,'PORTIFÓLIO'!C:V,2,0),"")</f>
        <v/>
      </c>
      <c r="E440" s="211" t="str">
        <f>IFERROR(VLOOKUP($C440,'PORTIFÓLIO'!C:V,3,0),"")</f>
        <v/>
      </c>
      <c r="F440" s="211" t="str">
        <f>IFERROR(VLOOKUP($C440,'PORTIFÓLIO'!C:V,4,0),"")</f>
        <v/>
      </c>
      <c r="G440" s="215" t="str">
        <f>IFERROR(VLOOKUP($C440,'PORTIFÓLIO'!C:V,5,0),"")</f>
        <v/>
      </c>
      <c r="H440" s="254" t="str">
        <f t="array" ref="H440">IFERROR(INDEX('PORTIFÓLIO'!$H$4:$H$433,MATCH($C440,'PORTIFÓLIO'!$C$4:$C$433,0)),"")</f>
        <v/>
      </c>
      <c r="I440" s="256"/>
      <c r="J440" s="218">
        <f t="shared" si="49"/>
        <v>0</v>
      </c>
      <c r="K440" s="292" t="str">
        <f t="array" ref="K440">IFERROR(I440*INDEX('PORTIFÓLIO'!$S$4:$S$433,MATCH($C440,'PORTIFÓLIO'!$C$4:$C$433,0)),"")</f>
        <v/>
      </c>
      <c r="L440" s="292" t="str">
        <f t="array" ref="L440">IFERROR(J440*INDEX('PORTIFÓLIO'!$S$4:$S$433,MATCH($C440,'PORTIFÓLIO'!$C$4:$C$433,0)),"")</f>
        <v/>
      </c>
      <c r="U440" s="79"/>
    </row>
    <row r="441" ht="15.75" customHeight="1" outlineLevel="1">
      <c r="A441" s="211"/>
      <c r="B441" s="212"/>
      <c r="C441" s="213"/>
      <c r="D441" s="214" t="str">
        <f>IFERROR(VLOOKUP($C441,'PORTIFÓLIO'!C:V,2,0),"")</f>
        <v/>
      </c>
      <c r="E441" s="211" t="str">
        <f>IFERROR(VLOOKUP($C441,'PORTIFÓLIO'!C:V,3,0),"")</f>
        <v/>
      </c>
      <c r="F441" s="211" t="str">
        <f>IFERROR(VLOOKUP($C441,'PORTIFÓLIO'!C:V,4,0),"")</f>
        <v/>
      </c>
      <c r="G441" s="215" t="str">
        <f>IFERROR(VLOOKUP($C441,'PORTIFÓLIO'!C:V,5,0),"")</f>
        <v/>
      </c>
      <c r="H441" s="254" t="str">
        <f t="array" ref="H441">IFERROR(INDEX('PORTIFÓLIO'!$H$4:$H$433,MATCH($C441,'PORTIFÓLIO'!$C$4:$C$433,0)),"")</f>
        <v/>
      </c>
      <c r="I441" s="256"/>
      <c r="J441" s="218">
        <f t="shared" si="49"/>
        <v>0</v>
      </c>
      <c r="K441" s="292" t="str">
        <f t="array" ref="K441">IFERROR(I441*INDEX('PORTIFÓLIO'!$S$4:$S$433,MATCH($C441,'PORTIFÓLIO'!$C$4:$C$433,0)),"")</f>
        <v/>
      </c>
      <c r="L441" s="292" t="str">
        <f t="array" ref="L441">IFERROR(J441*INDEX('PORTIFÓLIO'!$S$4:$S$433,MATCH($C441,'PORTIFÓLIO'!$C$4:$C$433,0)),"")</f>
        <v/>
      </c>
      <c r="U441" s="79"/>
    </row>
    <row r="442" ht="15.75" customHeight="1" outlineLevel="1">
      <c r="A442" s="211"/>
      <c r="B442" s="212"/>
      <c r="C442" s="213"/>
      <c r="D442" s="214" t="str">
        <f>IFERROR(VLOOKUP($C442,'PORTIFÓLIO'!C:V,2,0),"")</f>
        <v/>
      </c>
      <c r="E442" s="211" t="str">
        <f>IFERROR(VLOOKUP($C442,'PORTIFÓLIO'!C:V,3,0),"")</f>
        <v/>
      </c>
      <c r="F442" s="211" t="str">
        <f>IFERROR(VLOOKUP($C442,'PORTIFÓLIO'!C:V,4,0),"")</f>
        <v/>
      </c>
      <c r="G442" s="215" t="str">
        <f>IFERROR(VLOOKUP($C442,'PORTIFÓLIO'!C:V,5,0),"")</f>
        <v/>
      </c>
      <c r="H442" s="254" t="str">
        <f t="array" ref="H442">IFERROR(INDEX('PORTIFÓLIO'!$H$4:$H$433,MATCH($C442,'PORTIFÓLIO'!$C$4:$C$433,0)),"")</f>
        <v/>
      </c>
      <c r="I442" s="256"/>
      <c r="J442" s="218">
        <f t="shared" si="49"/>
        <v>0</v>
      </c>
      <c r="K442" s="292" t="str">
        <f t="array" ref="K442">IFERROR(I442*INDEX('PORTIFÓLIO'!$S$4:$S$433,MATCH($C442,'PORTIFÓLIO'!$C$4:$C$433,0)),"")</f>
        <v/>
      </c>
      <c r="L442" s="292" t="str">
        <f t="array" ref="L442">IFERROR(J442*INDEX('PORTIFÓLIO'!$S$4:$S$433,MATCH($C442,'PORTIFÓLIO'!$C$4:$C$433,0)),"")</f>
        <v/>
      </c>
      <c r="U442" s="79"/>
    </row>
    <row r="443" ht="15.75" customHeight="1" outlineLevel="1">
      <c r="A443" s="211"/>
      <c r="B443" s="227"/>
      <c r="C443" s="211"/>
      <c r="D443" s="214" t="str">
        <f>IFERROR(VLOOKUP($C443,'PORTIFÓLIO'!C:V,2,0),"")</f>
        <v/>
      </c>
      <c r="E443" s="211" t="str">
        <f>IFERROR(VLOOKUP($C443,'PORTIFÓLIO'!C:V,3,0),"")</f>
        <v/>
      </c>
      <c r="F443" s="211" t="str">
        <f>IFERROR(VLOOKUP($C443,'PORTIFÓLIO'!C:V,4,0),"")</f>
        <v/>
      </c>
      <c r="G443" s="215" t="str">
        <f>IFERROR(VLOOKUP($C443,'PORTIFÓLIO'!C:V,5,0),"")</f>
        <v/>
      </c>
      <c r="H443" s="254" t="str">
        <f t="array" ref="H443">IFERROR(INDEX('PORTIFÓLIO'!$H$4:$H$433,MATCH($C443,'PORTIFÓLIO'!$C$4:$C$433,0)),"")</f>
        <v/>
      </c>
      <c r="I443" s="256"/>
      <c r="J443" s="218">
        <f t="shared" si="49"/>
        <v>0</v>
      </c>
      <c r="K443" s="292" t="str">
        <f t="array" ref="K443">IFERROR(I443*INDEX('PORTIFÓLIO'!$S$4:$S$433,MATCH($C443,'PORTIFÓLIO'!$C$4:$C$433,0)),"")</f>
        <v/>
      </c>
      <c r="L443" s="292" t="str">
        <f t="array" ref="L443">IFERROR(J443*INDEX('PORTIFÓLIO'!$S$4:$S$433,MATCH($C443,'PORTIFÓLIO'!$C$4:$C$433,0)),"")</f>
        <v/>
      </c>
      <c r="U443" s="79"/>
    </row>
    <row r="444" ht="15.75" customHeight="1" outlineLevel="1">
      <c r="A444" s="211"/>
      <c r="B444" s="227"/>
      <c r="C444" s="211"/>
      <c r="D444" s="214" t="str">
        <f>IFERROR(VLOOKUP($C444,'PORTIFÓLIO'!C:V,2,0),"")</f>
        <v/>
      </c>
      <c r="E444" s="211" t="str">
        <f>IFERROR(VLOOKUP($C444,'PORTIFÓLIO'!C:V,3,0),"")</f>
        <v/>
      </c>
      <c r="F444" s="211" t="str">
        <f>IFERROR(VLOOKUP($C444,'PORTIFÓLIO'!C:V,4,0),"")</f>
        <v/>
      </c>
      <c r="G444" s="215" t="str">
        <f>IFERROR(VLOOKUP($C444,'PORTIFÓLIO'!C:V,5,0),"")</f>
        <v/>
      </c>
      <c r="H444" s="254" t="str">
        <f t="array" ref="H444">IFERROR(INDEX('PORTIFÓLIO'!$H$4:$H$433,MATCH($C444,'PORTIFÓLIO'!$C$4:$C$433,0)),"")</f>
        <v/>
      </c>
      <c r="I444" s="256"/>
      <c r="J444" s="218">
        <f t="shared" si="49"/>
        <v>0</v>
      </c>
      <c r="K444" s="292" t="str">
        <f t="array" ref="K444">IFERROR(I444*INDEX('PORTIFÓLIO'!$S$4:$S$433,MATCH($C444,'PORTIFÓLIO'!$C$4:$C$433,0)),"")</f>
        <v/>
      </c>
      <c r="L444" s="292" t="str">
        <f t="array" ref="L444">IFERROR(J444*INDEX('PORTIFÓLIO'!$S$4:$S$433,MATCH($C444,'PORTIFÓLIO'!$C$4:$C$433,0)),"")</f>
        <v/>
      </c>
      <c r="U444" s="79"/>
    </row>
    <row r="445" ht="15.75" customHeight="1" outlineLevel="1">
      <c r="A445" s="211"/>
      <c r="B445" s="227"/>
      <c r="C445" s="211"/>
      <c r="D445" s="214" t="str">
        <f>IFERROR(VLOOKUP($C445,'PORTIFÓLIO'!C:V,2,0),"")</f>
        <v/>
      </c>
      <c r="E445" s="211" t="str">
        <f>IFERROR(VLOOKUP($C445,'PORTIFÓLIO'!C:V,3,0),"")</f>
        <v/>
      </c>
      <c r="F445" s="211" t="str">
        <f>IFERROR(VLOOKUP($C445,'PORTIFÓLIO'!C:V,4,0),"")</f>
        <v/>
      </c>
      <c r="G445" s="215" t="str">
        <f>IFERROR(VLOOKUP($C445,'PORTIFÓLIO'!C:V,5,0),"")</f>
        <v/>
      </c>
      <c r="H445" s="254" t="str">
        <f t="array" ref="H445">IFERROR(INDEX('PORTIFÓLIO'!$H$4:$H$433,MATCH($C445,'PORTIFÓLIO'!$C$4:$C$433,0)),"")</f>
        <v/>
      </c>
      <c r="I445" s="256"/>
      <c r="J445" s="218">
        <f t="shared" si="49"/>
        <v>0</v>
      </c>
      <c r="K445" s="292" t="str">
        <f t="array" ref="K445">IFERROR(I445*INDEX('PORTIFÓLIO'!$S$4:$S$433,MATCH($C445,'PORTIFÓLIO'!$C$4:$C$433,0)),"")</f>
        <v/>
      </c>
      <c r="L445" s="292" t="str">
        <f t="array" ref="L445">IFERROR(J445*INDEX('PORTIFÓLIO'!$S$4:$S$433,MATCH($C445,'PORTIFÓLIO'!$C$4:$C$433,0)),"")</f>
        <v/>
      </c>
      <c r="U445" s="79"/>
    </row>
    <row r="446" ht="15.75" customHeight="1" outlineLevel="1">
      <c r="A446" s="211"/>
      <c r="B446" s="227"/>
      <c r="C446" s="211"/>
      <c r="D446" s="214" t="str">
        <f>IFERROR(VLOOKUP($C446,'PORTIFÓLIO'!C:V,2,0),"")</f>
        <v/>
      </c>
      <c r="E446" s="211" t="str">
        <f>IFERROR(VLOOKUP($C446,'PORTIFÓLIO'!C:V,3,0),"")</f>
        <v/>
      </c>
      <c r="F446" s="211" t="str">
        <f>IFERROR(VLOOKUP($C446,'PORTIFÓLIO'!C:V,4,0),"")</f>
        <v/>
      </c>
      <c r="G446" s="215" t="str">
        <f>IFERROR(VLOOKUP($C446,'PORTIFÓLIO'!C:V,5,0),"")</f>
        <v/>
      </c>
      <c r="H446" s="254" t="str">
        <f t="array" ref="H446">IFERROR(INDEX('PORTIFÓLIO'!$H$4:$H$433,MATCH($C446,'PORTIFÓLIO'!$C$4:$C$433,0)),"")</f>
        <v/>
      </c>
      <c r="I446" s="256"/>
      <c r="J446" s="218">
        <f t="shared" si="49"/>
        <v>0</v>
      </c>
      <c r="K446" s="292" t="str">
        <f t="array" ref="K446">IFERROR(I446*INDEX('PORTIFÓLIO'!$S$4:$S$433,MATCH($C446,'PORTIFÓLIO'!$C$4:$C$433,0)),"")</f>
        <v/>
      </c>
      <c r="L446" s="292" t="str">
        <f t="array" ref="L446">IFERROR(J446*INDEX('PORTIFÓLIO'!$S$4:$S$433,MATCH($C446,'PORTIFÓLIO'!$C$4:$C$433,0)),"")</f>
        <v/>
      </c>
      <c r="U446" s="79"/>
    </row>
    <row r="447" ht="15.75" customHeight="1" outlineLevel="1">
      <c r="A447" s="211"/>
      <c r="B447" s="227"/>
      <c r="C447" s="211"/>
      <c r="D447" s="214" t="str">
        <f>IFERROR(VLOOKUP($C447,'PORTIFÓLIO'!C:V,2,0),"")</f>
        <v/>
      </c>
      <c r="E447" s="211" t="str">
        <f>IFERROR(VLOOKUP($C447,'PORTIFÓLIO'!C:V,3,0),"")</f>
        <v/>
      </c>
      <c r="F447" s="211" t="str">
        <f>IFERROR(VLOOKUP($C447,'PORTIFÓLIO'!C:V,4,0),"")</f>
        <v/>
      </c>
      <c r="G447" s="215" t="str">
        <f>IFERROR(VLOOKUP($C447,'PORTIFÓLIO'!C:V,5,0),"")</f>
        <v/>
      </c>
      <c r="H447" s="254" t="str">
        <f t="array" ref="H447">IFERROR(INDEX('PORTIFÓLIO'!$H$4:$H$433,MATCH($C447,'PORTIFÓLIO'!$C$4:$C$433,0)),"")</f>
        <v/>
      </c>
      <c r="I447" s="256"/>
      <c r="J447" s="218">
        <f t="shared" si="49"/>
        <v>0</v>
      </c>
      <c r="K447" s="292" t="str">
        <f t="array" ref="K447">IFERROR(I447*INDEX('PORTIFÓLIO'!$S$4:$S$433,MATCH($C447,'PORTIFÓLIO'!$C$4:$C$433,0)),"")</f>
        <v/>
      </c>
      <c r="L447" s="292" t="str">
        <f t="array" ref="L447">IFERROR(J447*INDEX('PORTIFÓLIO'!$S$4:$S$433,MATCH($C447,'PORTIFÓLIO'!$C$4:$C$433,0)),"")</f>
        <v/>
      </c>
      <c r="U447" s="79"/>
    </row>
    <row r="448" ht="15.75" customHeight="1" outlineLevel="1">
      <c r="A448" s="211"/>
      <c r="B448" s="227"/>
      <c r="C448" s="211"/>
      <c r="D448" s="214" t="str">
        <f>IFERROR(VLOOKUP($C448,'PORTIFÓLIO'!C:V,2,0),"")</f>
        <v/>
      </c>
      <c r="E448" s="211" t="str">
        <f>IFERROR(VLOOKUP($C448,'PORTIFÓLIO'!C:V,3,0),"")</f>
        <v/>
      </c>
      <c r="F448" s="211" t="str">
        <f>IFERROR(VLOOKUP($C448,'PORTIFÓLIO'!C:V,4,0),"")</f>
        <v/>
      </c>
      <c r="G448" s="215" t="str">
        <f>IFERROR(VLOOKUP($C448,'PORTIFÓLIO'!C:V,5,0),"")</f>
        <v/>
      </c>
      <c r="H448" s="254" t="str">
        <f t="array" ref="H448">IFERROR(INDEX('PORTIFÓLIO'!$H$4:$H$433,MATCH($C448,'PORTIFÓLIO'!$C$4:$C$433,0)),"")</f>
        <v/>
      </c>
      <c r="I448" s="256"/>
      <c r="J448" s="218">
        <f t="shared" si="49"/>
        <v>0</v>
      </c>
      <c r="K448" s="292" t="str">
        <f t="array" ref="K448">IFERROR(I448*INDEX('PORTIFÓLIO'!$S$4:$S$433,MATCH($C448,'PORTIFÓLIO'!$C$4:$C$433,0)),"")</f>
        <v/>
      </c>
      <c r="L448" s="292" t="str">
        <f t="array" ref="L448">IFERROR(J448*INDEX('PORTIFÓLIO'!$S$4:$S$433,MATCH($C448,'PORTIFÓLIO'!$C$4:$C$433,0)),"")</f>
        <v/>
      </c>
      <c r="U448" s="79"/>
    </row>
    <row r="449" ht="15.75" customHeight="1" outlineLevel="1">
      <c r="A449" s="211"/>
      <c r="B449" s="227"/>
      <c r="C449" s="211"/>
      <c r="D449" s="214" t="str">
        <f>IFERROR(VLOOKUP($C449,'PORTIFÓLIO'!C:V,2,0),"")</f>
        <v/>
      </c>
      <c r="E449" s="211" t="str">
        <f>IFERROR(VLOOKUP($C449,'PORTIFÓLIO'!C:V,3,0),"")</f>
        <v/>
      </c>
      <c r="F449" s="211" t="str">
        <f>IFERROR(VLOOKUP($C449,'PORTIFÓLIO'!C:V,4,0),"")</f>
        <v/>
      </c>
      <c r="G449" s="215" t="str">
        <f>IFERROR(VLOOKUP($C449,'PORTIFÓLIO'!C:V,5,0),"")</f>
        <v/>
      </c>
      <c r="H449" s="254" t="str">
        <f t="array" ref="H449">IFERROR(INDEX('PORTIFÓLIO'!$H$4:$H$433,MATCH($C449,'PORTIFÓLIO'!$C$4:$C$433,0)),"")</f>
        <v/>
      </c>
      <c r="I449" s="256"/>
      <c r="J449" s="218">
        <f t="shared" si="49"/>
        <v>0</v>
      </c>
      <c r="K449" s="292" t="str">
        <f t="array" ref="K449">IFERROR(I449*INDEX('PORTIFÓLIO'!$S$4:$S$433,MATCH($C449,'PORTIFÓLIO'!$C$4:$C$433,0)),"")</f>
        <v/>
      </c>
      <c r="L449" s="292" t="str">
        <f t="array" ref="L449">IFERROR(J449*INDEX('PORTIFÓLIO'!$S$4:$S$433,MATCH($C449,'PORTIFÓLIO'!$C$4:$C$433,0)),"")</f>
        <v/>
      </c>
      <c r="U449" s="79"/>
    </row>
    <row r="450" ht="15.75" customHeight="1" outlineLevel="1">
      <c r="A450" s="211"/>
      <c r="B450" s="227"/>
      <c r="C450" s="211"/>
      <c r="D450" s="214" t="str">
        <f>IFERROR(VLOOKUP($C450,'PORTIFÓLIO'!C:V,2,0),"")</f>
        <v/>
      </c>
      <c r="E450" s="211" t="str">
        <f>IFERROR(VLOOKUP($C450,'PORTIFÓLIO'!C:V,3,0),"")</f>
        <v/>
      </c>
      <c r="F450" s="211" t="str">
        <f>IFERROR(VLOOKUP($C450,'PORTIFÓLIO'!C:V,4,0),"")</f>
        <v/>
      </c>
      <c r="G450" s="215" t="str">
        <f>IFERROR(VLOOKUP($C450,'PORTIFÓLIO'!C:V,5,0),"")</f>
        <v/>
      </c>
      <c r="H450" s="254" t="str">
        <f t="array" ref="H450">IFERROR(INDEX('PORTIFÓLIO'!$H$4:$H$433,MATCH($C450,'PORTIFÓLIO'!$C$4:$C$433,0)),"")</f>
        <v/>
      </c>
      <c r="I450" s="256"/>
      <c r="J450" s="218">
        <f t="shared" si="49"/>
        <v>0</v>
      </c>
      <c r="K450" s="292" t="str">
        <f t="array" ref="K450">IFERROR(I450*INDEX('PORTIFÓLIO'!$S$4:$S$433,MATCH($C450,'PORTIFÓLIO'!$C$4:$C$433,0)),"")</f>
        <v/>
      </c>
      <c r="L450" s="292" t="str">
        <f t="array" ref="L450">IFERROR(J450*INDEX('PORTIFÓLIO'!$S$4:$S$433,MATCH($C450,'PORTIFÓLIO'!$C$4:$C$433,0)),"")</f>
        <v/>
      </c>
      <c r="U450" s="79"/>
    </row>
    <row r="451" ht="15.75" customHeight="1" outlineLevel="1">
      <c r="A451" s="211"/>
      <c r="B451" s="227"/>
      <c r="C451" s="211"/>
      <c r="D451" s="214" t="str">
        <f>IFERROR(VLOOKUP($C451,'PORTIFÓLIO'!C:V,2,0),"")</f>
        <v/>
      </c>
      <c r="E451" s="211" t="str">
        <f>IFERROR(VLOOKUP($C451,'PORTIFÓLIO'!C:V,3,0),"")</f>
        <v/>
      </c>
      <c r="F451" s="211" t="str">
        <f>IFERROR(VLOOKUP($C451,'PORTIFÓLIO'!C:V,4,0),"")</f>
        <v/>
      </c>
      <c r="G451" s="215" t="str">
        <f>IFERROR(VLOOKUP($C451,'PORTIFÓLIO'!C:V,5,0),"")</f>
        <v/>
      </c>
      <c r="H451" s="254" t="str">
        <f t="array" ref="H451">IFERROR(INDEX('PORTIFÓLIO'!$H$4:$H$433,MATCH($C451,'PORTIFÓLIO'!$C$4:$C$433,0)),"")</f>
        <v/>
      </c>
      <c r="I451" s="256"/>
      <c r="J451" s="218">
        <f t="shared" si="49"/>
        <v>0</v>
      </c>
      <c r="K451" s="292" t="str">
        <f t="array" ref="K451">IFERROR(I451*INDEX('PORTIFÓLIO'!$S$4:$S$433,MATCH($C451,'PORTIFÓLIO'!$C$4:$C$433,0)),"")</f>
        <v/>
      </c>
      <c r="L451" s="292" t="str">
        <f t="array" ref="L451">IFERROR(J451*INDEX('PORTIFÓLIO'!$S$4:$S$433,MATCH($C451,'PORTIFÓLIO'!$C$4:$C$433,0)),"")</f>
        <v/>
      </c>
      <c r="U451" s="79"/>
    </row>
    <row r="452" ht="15.75" customHeight="1">
      <c r="A452" s="227"/>
      <c r="B452" s="227"/>
      <c r="C452" s="227"/>
      <c r="D452" s="227"/>
      <c r="E452" s="227"/>
      <c r="F452" s="227"/>
      <c r="G452" s="215"/>
      <c r="H452" s="227"/>
      <c r="I452" s="227"/>
      <c r="J452" s="227"/>
      <c r="K452" s="293">
        <f t="shared" ref="K452:L452" si="50">SUBTOTAL(9,K237:K427)</f>
        <v>0</v>
      </c>
      <c r="L452" s="293">
        <f t="shared" si="50"/>
        <v>0</v>
      </c>
      <c r="U452" s="79"/>
    </row>
    <row r="453" ht="15.75" customHeight="1">
      <c r="U453" s="79"/>
    </row>
    <row r="454" ht="15.75" customHeight="1">
      <c r="U454" s="79"/>
    </row>
    <row r="455" ht="15.75" customHeight="1">
      <c r="U455" s="79"/>
    </row>
    <row r="456" ht="15.75" customHeight="1">
      <c r="U456" s="79"/>
    </row>
    <row r="457" ht="15.75" customHeight="1">
      <c r="U457" s="79"/>
    </row>
    <row r="458" ht="15.75" customHeight="1">
      <c r="U458" s="79"/>
    </row>
    <row r="459" ht="15.75" customHeight="1">
      <c r="U459" s="79"/>
    </row>
    <row r="460" ht="15.75" customHeight="1">
      <c r="U460" s="79"/>
    </row>
    <row r="461" ht="15.75" customHeight="1">
      <c r="U461" s="79"/>
    </row>
    <row r="462" ht="15.75" customHeight="1">
      <c r="U462" s="79"/>
    </row>
    <row r="463" ht="15.75" customHeight="1">
      <c r="U463" s="79"/>
    </row>
    <row r="464" ht="15.75" customHeight="1">
      <c r="U464" s="79"/>
    </row>
    <row r="465" ht="15.75" customHeight="1">
      <c r="U465" s="79"/>
    </row>
    <row r="466" ht="15.75" customHeight="1">
      <c r="U466" s="79"/>
    </row>
    <row r="467" ht="15.75" customHeight="1">
      <c r="U467" s="79"/>
    </row>
    <row r="468" ht="15.75" customHeight="1">
      <c r="U468" s="79"/>
    </row>
    <row r="469" ht="15.75" customHeight="1">
      <c r="U469" s="79"/>
    </row>
    <row r="470" ht="15.75" customHeight="1">
      <c r="U470" s="79"/>
    </row>
    <row r="471" ht="15.75" customHeight="1">
      <c r="U471" s="79"/>
    </row>
    <row r="472" ht="15.75" customHeight="1">
      <c r="U472" s="79"/>
    </row>
    <row r="473" ht="15.75" customHeight="1">
      <c r="U473" s="79"/>
    </row>
    <row r="474" ht="15.75" customHeight="1">
      <c r="U474" s="79"/>
    </row>
    <row r="475" ht="15.75" customHeight="1">
      <c r="U475" s="79"/>
    </row>
    <row r="476" ht="15.75" customHeight="1">
      <c r="U476" s="79"/>
    </row>
    <row r="477" ht="15.75" customHeight="1">
      <c r="U477" s="79"/>
    </row>
    <row r="478" ht="15.75" customHeight="1">
      <c r="U478" s="79"/>
    </row>
    <row r="479" ht="15.75" customHeight="1">
      <c r="U479" s="79"/>
    </row>
    <row r="480" ht="15.75" customHeight="1">
      <c r="U480" s="79"/>
    </row>
    <row r="481" ht="15.75" customHeight="1">
      <c r="U481" s="79"/>
    </row>
    <row r="482" ht="15.75" customHeight="1">
      <c r="U482" s="79"/>
    </row>
    <row r="483" ht="15.75" customHeight="1">
      <c r="U483" s="79"/>
    </row>
    <row r="484" ht="15.75" customHeight="1">
      <c r="U484" s="79"/>
    </row>
    <row r="485" ht="15.75" customHeight="1">
      <c r="U485" s="79"/>
    </row>
    <row r="486" ht="15.75" customHeight="1">
      <c r="U486" s="79"/>
    </row>
    <row r="487" ht="15.75" customHeight="1">
      <c r="U487" s="79"/>
    </row>
    <row r="488" ht="15.75" customHeight="1">
      <c r="U488" s="79"/>
    </row>
    <row r="489" ht="15.75" customHeight="1">
      <c r="U489" s="79"/>
    </row>
    <row r="490" ht="15.75" customHeight="1">
      <c r="U490" s="79"/>
    </row>
    <row r="491" ht="15.75" customHeight="1">
      <c r="U491" s="79"/>
    </row>
    <row r="492" ht="15.75" customHeight="1">
      <c r="U492" s="79"/>
    </row>
    <row r="493" ht="15.75" customHeight="1">
      <c r="U493" s="79"/>
    </row>
    <row r="494" ht="15.75" customHeight="1">
      <c r="U494" s="79"/>
    </row>
    <row r="495" ht="15.75" customHeight="1">
      <c r="U495" s="79"/>
    </row>
    <row r="496" ht="15.75" customHeight="1">
      <c r="U496" s="79"/>
    </row>
    <row r="497" ht="15.75" customHeight="1">
      <c r="U497" s="79"/>
    </row>
    <row r="498" ht="15.75" customHeight="1">
      <c r="U498" s="79"/>
    </row>
    <row r="499" ht="15.75" customHeight="1">
      <c r="U499" s="79"/>
    </row>
    <row r="500" ht="15.75" customHeight="1">
      <c r="U500" s="79"/>
    </row>
    <row r="501" ht="15.75" customHeight="1">
      <c r="U501" s="79"/>
    </row>
    <row r="502" ht="15.75" customHeight="1">
      <c r="U502" s="79"/>
    </row>
    <row r="503" ht="15.75" customHeight="1">
      <c r="U503" s="79"/>
    </row>
    <row r="504" ht="15.75" customHeight="1">
      <c r="U504" s="79"/>
    </row>
    <row r="505" ht="15.75" customHeight="1">
      <c r="U505" s="79"/>
    </row>
    <row r="506" ht="15.75" customHeight="1">
      <c r="U506" s="79"/>
    </row>
    <row r="507" ht="15.75" customHeight="1">
      <c r="U507" s="79"/>
    </row>
    <row r="508" ht="15.75" customHeight="1">
      <c r="U508" s="79"/>
    </row>
    <row r="509" ht="15.75" customHeight="1">
      <c r="U509" s="79"/>
    </row>
    <row r="510" ht="15.75" customHeight="1">
      <c r="U510" s="79"/>
    </row>
    <row r="511" ht="15.75" customHeight="1">
      <c r="U511" s="79"/>
    </row>
    <row r="512" ht="15.75" customHeight="1">
      <c r="U512" s="79"/>
    </row>
    <row r="513" ht="15.75" customHeight="1">
      <c r="U513" s="79"/>
    </row>
    <row r="514" ht="15.75" customHeight="1">
      <c r="U514" s="79"/>
    </row>
    <row r="515" ht="15.75" customHeight="1">
      <c r="U515" s="79"/>
    </row>
    <row r="516" ht="15.75" customHeight="1">
      <c r="U516" s="79"/>
    </row>
    <row r="517" ht="15.75" customHeight="1">
      <c r="U517" s="79"/>
    </row>
    <row r="518" ht="15.75" customHeight="1">
      <c r="U518" s="79"/>
    </row>
    <row r="519" ht="15.75" customHeight="1">
      <c r="U519" s="79"/>
    </row>
    <row r="520" ht="15.75" customHeight="1">
      <c r="U520" s="79"/>
    </row>
    <row r="521" ht="15.75" customHeight="1">
      <c r="U521" s="79"/>
    </row>
    <row r="522" ht="15.75" customHeight="1">
      <c r="U522" s="79"/>
    </row>
    <row r="523" ht="15.75" customHeight="1">
      <c r="U523" s="79"/>
    </row>
    <row r="524" ht="15.75" customHeight="1">
      <c r="U524" s="79"/>
    </row>
    <row r="525" ht="15.75" customHeight="1">
      <c r="U525" s="79"/>
    </row>
    <row r="526" ht="15.75" customHeight="1">
      <c r="U526" s="79"/>
    </row>
    <row r="527" ht="15.75" customHeight="1">
      <c r="U527" s="79"/>
    </row>
    <row r="528" ht="15.75" customHeight="1">
      <c r="U528" s="79"/>
    </row>
    <row r="529" ht="15.75" customHeight="1">
      <c r="U529" s="79"/>
    </row>
    <row r="530" ht="15.75" customHeight="1">
      <c r="U530" s="79"/>
    </row>
    <row r="531" ht="15.75" customHeight="1">
      <c r="U531" s="79"/>
    </row>
    <row r="532" ht="15.75" customHeight="1">
      <c r="U532" s="79"/>
    </row>
    <row r="533" ht="15.75" customHeight="1">
      <c r="U533" s="79"/>
    </row>
    <row r="534" ht="15.75" customHeight="1">
      <c r="U534" s="79"/>
    </row>
    <row r="535" ht="15.75" customHeight="1">
      <c r="U535" s="79"/>
    </row>
    <row r="536" ht="15.75" customHeight="1">
      <c r="U536" s="79"/>
    </row>
    <row r="537" ht="15.75" customHeight="1">
      <c r="U537" s="79"/>
    </row>
    <row r="538" ht="15.75" customHeight="1">
      <c r="U538" s="79"/>
    </row>
    <row r="539" ht="15.75" customHeight="1">
      <c r="U539" s="79"/>
    </row>
    <row r="540" ht="15.75" customHeight="1">
      <c r="U540" s="79"/>
    </row>
    <row r="541" ht="15.75" customHeight="1">
      <c r="U541" s="79"/>
    </row>
    <row r="542" ht="15.75" customHeight="1">
      <c r="U542" s="79"/>
    </row>
    <row r="543" ht="15.75" customHeight="1">
      <c r="U543" s="79"/>
    </row>
    <row r="544" ht="15.75" customHeight="1">
      <c r="U544" s="79"/>
    </row>
    <row r="545" ht="15.75" customHeight="1">
      <c r="U545" s="79"/>
    </row>
    <row r="546" ht="15.75" customHeight="1">
      <c r="U546" s="79"/>
    </row>
    <row r="547" ht="15.75" customHeight="1">
      <c r="U547" s="79"/>
    </row>
    <row r="548" ht="15.75" customHeight="1">
      <c r="U548" s="79"/>
    </row>
    <row r="549" ht="15.75" customHeight="1">
      <c r="U549" s="79"/>
    </row>
    <row r="550" ht="15.75" customHeight="1">
      <c r="U550" s="79"/>
    </row>
    <row r="551" ht="15.75" customHeight="1">
      <c r="U551" s="79"/>
    </row>
    <row r="552" ht="15.75" customHeight="1">
      <c r="U552" s="79"/>
    </row>
    <row r="553" ht="15.75" customHeight="1">
      <c r="U553" s="79"/>
    </row>
    <row r="554" ht="15.75" customHeight="1">
      <c r="U554" s="79"/>
    </row>
    <row r="555" ht="15.75" customHeight="1">
      <c r="U555" s="79"/>
    </row>
    <row r="556" ht="15.75" customHeight="1">
      <c r="U556" s="79"/>
    </row>
    <row r="557" ht="15.75" customHeight="1">
      <c r="U557" s="79"/>
    </row>
    <row r="558" ht="15.75" customHeight="1">
      <c r="U558" s="79"/>
    </row>
    <row r="559" ht="15.75" customHeight="1">
      <c r="U559" s="79"/>
    </row>
    <row r="560" ht="15.75" customHeight="1">
      <c r="U560" s="79"/>
    </row>
    <row r="561" ht="15.75" customHeight="1">
      <c r="U561" s="79"/>
    </row>
    <row r="562" ht="15.75" customHeight="1">
      <c r="U562" s="79"/>
    </row>
    <row r="563" ht="15.75" customHeight="1">
      <c r="U563" s="79"/>
    </row>
    <row r="564" ht="15.75" customHeight="1">
      <c r="U564" s="79"/>
    </row>
    <row r="565" ht="15.75" customHeight="1">
      <c r="U565" s="79"/>
    </row>
    <row r="566" ht="15.75" customHeight="1">
      <c r="U566" s="79"/>
    </row>
    <row r="567" ht="15.75" customHeight="1">
      <c r="U567" s="79"/>
    </row>
    <row r="568" ht="15.75" customHeight="1">
      <c r="U568" s="79"/>
    </row>
    <row r="569" ht="15.75" customHeight="1">
      <c r="U569" s="79"/>
    </row>
    <row r="570" ht="15.75" customHeight="1">
      <c r="U570" s="79"/>
    </row>
    <row r="571" ht="15.75" customHeight="1">
      <c r="U571" s="79"/>
    </row>
    <row r="572" ht="15.75" customHeight="1">
      <c r="U572" s="79"/>
    </row>
    <row r="573" ht="15.75" customHeight="1">
      <c r="U573" s="79"/>
    </row>
    <row r="574" ht="15.75" customHeight="1">
      <c r="U574" s="79"/>
    </row>
    <row r="575" ht="15.75" customHeight="1">
      <c r="U575" s="79"/>
    </row>
    <row r="576" ht="15.75" customHeight="1">
      <c r="U576" s="79"/>
    </row>
    <row r="577" ht="15.75" customHeight="1">
      <c r="U577" s="79"/>
    </row>
    <row r="578" ht="15.75" customHeight="1">
      <c r="U578" s="79"/>
    </row>
    <row r="579" ht="15.75" customHeight="1">
      <c r="U579" s="79"/>
    </row>
    <row r="580" ht="15.75" customHeight="1">
      <c r="U580" s="79"/>
    </row>
    <row r="581" ht="15.75" customHeight="1">
      <c r="U581" s="79"/>
    </row>
    <row r="582" ht="15.75" customHeight="1">
      <c r="U582" s="79"/>
    </row>
    <row r="583" ht="15.75" customHeight="1">
      <c r="U583" s="79"/>
    </row>
    <row r="584" ht="15.75" customHeight="1">
      <c r="U584" s="79"/>
    </row>
    <row r="585" ht="15.75" customHeight="1">
      <c r="U585" s="79"/>
    </row>
    <row r="586" ht="15.75" customHeight="1">
      <c r="U586" s="79"/>
    </row>
    <row r="587" ht="15.75" customHeight="1">
      <c r="U587" s="79"/>
    </row>
    <row r="588" ht="15.75" customHeight="1">
      <c r="U588" s="79"/>
    </row>
    <row r="589" ht="15.75" customHeight="1">
      <c r="U589" s="79"/>
    </row>
    <row r="590" ht="15.75" customHeight="1">
      <c r="U590" s="79"/>
    </row>
    <row r="591" ht="15.75" customHeight="1">
      <c r="U591" s="79"/>
    </row>
    <row r="592" ht="15.75" customHeight="1">
      <c r="U592" s="79"/>
    </row>
    <row r="593" ht="15.75" customHeight="1">
      <c r="U593" s="79"/>
    </row>
    <row r="594" ht="15.75" customHeight="1">
      <c r="U594" s="79"/>
    </row>
    <row r="595" ht="15.75" customHeight="1">
      <c r="U595" s="79"/>
    </row>
    <row r="596" ht="15.75" customHeight="1">
      <c r="U596" s="79"/>
    </row>
    <row r="597" ht="15.75" customHeight="1">
      <c r="U597" s="79"/>
    </row>
    <row r="598" ht="15.75" customHeight="1">
      <c r="U598" s="79"/>
    </row>
    <row r="599" ht="15.75" customHeight="1">
      <c r="U599" s="79"/>
    </row>
    <row r="600" ht="15.75" customHeight="1">
      <c r="U600" s="79"/>
    </row>
    <row r="601" ht="15.75" customHeight="1">
      <c r="U601" s="79"/>
    </row>
    <row r="602" ht="15.75" customHeight="1">
      <c r="U602" s="79"/>
    </row>
    <row r="603" ht="15.75" customHeight="1">
      <c r="U603" s="79"/>
    </row>
    <row r="604" ht="15.75" customHeight="1">
      <c r="U604" s="79"/>
    </row>
    <row r="605" ht="15.75" customHeight="1">
      <c r="U605" s="79"/>
    </row>
    <row r="606" ht="15.75" customHeight="1">
      <c r="U606" s="79"/>
    </row>
    <row r="607" ht="15.75" customHeight="1">
      <c r="U607" s="79"/>
    </row>
    <row r="608" ht="15.75" customHeight="1">
      <c r="U608" s="79"/>
    </row>
    <row r="609" ht="15.75" customHeight="1">
      <c r="U609" s="79"/>
    </row>
    <row r="610" ht="15.75" customHeight="1">
      <c r="U610" s="79"/>
    </row>
    <row r="611" ht="15.75" customHeight="1">
      <c r="U611" s="79"/>
    </row>
    <row r="612" ht="15.75" customHeight="1">
      <c r="U612" s="79"/>
    </row>
    <row r="613" ht="15.75" customHeight="1">
      <c r="U613" s="79"/>
    </row>
    <row r="614" ht="15.75" customHeight="1">
      <c r="U614" s="79"/>
    </row>
    <row r="615" ht="15.75" customHeight="1">
      <c r="U615" s="79"/>
    </row>
    <row r="616" ht="15.75" customHeight="1">
      <c r="U616" s="79"/>
    </row>
    <row r="617" ht="15.75" customHeight="1">
      <c r="U617" s="79"/>
    </row>
    <row r="618" ht="15.75" customHeight="1">
      <c r="U618" s="79"/>
    </row>
    <row r="619" ht="15.75" customHeight="1">
      <c r="U619" s="79"/>
    </row>
    <row r="620" ht="15.75" customHeight="1">
      <c r="U620" s="79"/>
    </row>
    <row r="621" ht="15.75" customHeight="1">
      <c r="U621" s="79"/>
    </row>
    <row r="622" ht="15.75" customHeight="1">
      <c r="U622" s="79"/>
    </row>
    <row r="623" ht="15.75" customHeight="1">
      <c r="U623" s="79"/>
    </row>
    <row r="624" ht="15.75" customHeight="1">
      <c r="U624" s="79"/>
    </row>
    <row r="625" ht="15.75" customHeight="1">
      <c r="U625" s="79"/>
    </row>
    <row r="626" ht="15.75" customHeight="1">
      <c r="U626" s="79"/>
    </row>
    <row r="627" ht="15.75" customHeight="1">
      <c r="U627" s="79"/>
    </row>
    <row r="628" ht="15.75" customHeight="1">
      <c r="U628" s="79"/>
    </row>
    <row r="629" ht="15.75" customHeight="1">
      <c r="U629" s="79"/>
    </row>
    <row r="630" ht="15.75" customHeight="1">
      <c r="U630" s="79"/>
    </row>
    <row r="631" ht="15.75" customHeight="1">
      <c r="U631" s="79"/>
    </row>
    <row r="632" ht="15.75" customHeight="1">
      <c r="U632" s="79"/>
    </row>
    <row r="633" ht="15.75" customHeight="1">
      <c r="U633" s="79"/>
    </row>
    <row r="634" ht="15.75" customHeight="1">
      <c r="U634" s="79"/>
    </row>
    <row r="635" ht="15.75" customHeight="1">
      <c r="U635" s="79"/>
    </row>
    <row r="636" ht="15.75" customHeight="1">
      <c r="U636" s="79"/>
    </row>
    <row r="637" ht="15.75" customHeight="1">
      <c r="U637" s="79"/>
    </row>
    <row r="638" ht="15.75" customHeight="1">
      <c r="U638" s="79"/>
    </row>
    <row r="639" ht="15.75" customHeight="1">
      <c r="U639" s="79"/>
    </row>
    <row r="640" ht="15.75" customHeight="1">
      <c r="U640" s="79"/>
    </row>
    <row r="641" ht="15.75" customHeight="1">
      <c r="U641" s="79"/>
    </row>
    <row r="642" ht="15.75" customHeight="1">
      <c r="U642" s="79"/>
    </row>
    <row r="643" ht="15.75" customHeight="1">
      <c r="U643" s="79"/>
    </row>
    <row r="644" ht="15.75" customHeight="1">
      <c r="U644" s="79"/>
    </row>
    <row r="645" ht="15.75" customHeight="1">
      <c r="U645" s="79"/>
    </row>
    <row r="646" ht="15.75" customHeight="1">
      <c r="U646" s="79"/>
    </row>
    <row r="647" ht="15.75" customHeight="1">
      <c r="U647" s="79"/>
    </row>
    <row r="648" ht="15.75" customHeight="1">
      <c r="U648" s="79"/>
    </row>
    <row r="649" ht="15.75" customHeight="1">
      <c r="U649" s="79"/>
    </row>
    <row r="650" ht="15.75" customHeight="1">
      <c r="U650" s="79"/>
    </row>
    <row r="651" ht="15.75" customHeight="1">
      <c r="U651" s="79"/>
    </row>
    <row r="652" ht="15.75" customHeight="1">
      <c r="U652" s="79"/>
    </row>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K10:L224 K237:L451">
    <cfRule type="cellIs" dxfId="9" priority="1" operator="equal">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2">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3">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4">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5">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6">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7">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8">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9">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0">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1">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2">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3">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4">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5">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6">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7">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8">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9">
      <colorScale>
        <cfvo type="min"/>
        <cfvo type="percentile" val="50"/>
        <cfvo type="max"/>
        <color rgb="FF63BE7B"/>
        <color rgb="FFFCFCFF"/>
        <color rgb="FFF8696B"/>
      </colorScale>
    </cfRule>
  </conditionalFormatting>
  <conditionalFormatting sqref="A64:A67 A82:A85 A98:A101 A115:A118 A132:A135 A149:A152 A166:A169 A183:A186 A201:A204 A290:A294 A309:A312 A325:A328 A342:A345 A359:A362 A376:A379 A393:A396 A410:A413 A428:A431">
    <cfRule type="colorScale" priority="20">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1">
      <colorScale>
        <cfvo type="min"/>
        <cfvo type="percentile" val="50"/>
        <cfvo type="max"/>
        <color rgb="FF63BE7B"/>
        <color rgb="FFFCFCFF"/>
        <color rgb="FFF8696B"/>
      </colorScale>
    </cfRule>
  </conditionalFormatting>
  <conditionalFormatting sqref="A67:A68 A86 A102 A119 A136 A153 A170 A187 A205 A294:A295 A313 A329 A346 A363 A380 A397 A414 A432">
    <cfRule type="colorScale" priority="22">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3">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4">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5">
      <colorScale>
        <cfvo type="min"/>
        <cfvo type="percentile" val="50"/>
        <cfvo type="max"/>
        <color rgb="FF63BE7B"/>
        <color rgb="FFFCFCFF"/>
        <color rgb="FFF8696B"/>
      </colorScale>
    </cfRule>
  </conditionalFormatting>
  <conditionalFormatting sqref="A82:A86 A98:A102 A115:A119 A132:A136 A149:A153 A166:A170 A183:A187 A201:A205 A290 A309:A313 A325:A329 A342:A346 A359:A363 A376:A380 A393:A397 A410:A414 A428:A432">
    <cfRule type="colorScale" priority="26">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7">
      <colorScale>
        <cfvo type="min"/>
        <cfvo type="percentile" val="50"/>
        <cfvo type="max"/>
        <color rgb="FF63BE7B"/>
        <color rgb="FFFCFCFF"/>
        <color rgb="FFF8696B"/>
      </colorScale>
    </cfRule>
  </conditionalFormatting>
  <conditionalFormatting sqref="A87 A103 A120 A137 A154 A171 A188 A206 A314 A330 A347 A364 A381 A398 A415 A433">
    <cfRule type="colorScale" priority="28">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9">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0">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1">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2">
      <colorScale>
        <cfvo type="min"/>
        <cfvo type="percentile" val="50"/>
        <cfvo type="max"/>
        <color rgb="FF63BE7B"/>
        <color rgb="FFFCFCFF"/>
        <color rgb="FFF8696B"/>
      </colorScale>
    </cfRule>
  </conditionalFormatting>
  <conditionalFormatting sqref="A81:A84 A97:A100 A114:A117 A131:A134 A148:A151 A165:A168 A182:A185 A200:A203 A308:A311 A324:A327 A341:A344 A358:A361 A375:A378 A392:A395 A409:A412 A427:A430">
    <cfRule type="colorScale" priority="33">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4">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5">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6">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7">
      <colorScale>
        <cfvo type="min"/>
        <cfvo type="percentile" val="50"/>
        <cfvo type="max"/>
        <color rgb="FF63BE7B"/>
        <color rgb="FFFCFCFF"/>
        <color rgb="FFF8696B"/>
      </colorScale>
    </cfRule>
  </conditionalFormatting>
  <conditionalFormatting sqref="A82:A84 A98:A100 A115:A117 A132:A134 A149:A151 A166:A168 A183:A185 A201:A203 A309:A311 A325:A327 A342:A344 A359:A361 A376:A378 A393:A395 A410:A412 A428:A430">
    <cfRule type="colorScale" priority="38">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9">
      <colorScale>
        <cfvo type="min"/>
        <cfvo type="percentile" val="50"/>
        <cfvo type="max"/>
        <color rgb="FF63BE7B"/>
        <color rgb="FFFCFCFF"/>
        <color rgb="FFF8696B"/>
      </colorScale>
    </cfRule>
  </conditionalFormatting>
  <conditionalFormatting sqref="A85 A101 A118 A135 A152 A169 A186 A204 A312 A328 A345 A362 A379 A396 A413 A431">
    <cfRule type="colorScale" priority="40">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1">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42">
      <colorScale>
        <cfvo type="min"/>
        <cfvo type="percentile" val="50"/>
        <cfvo type="max"/>
        <color rgb="FF63BE7B"/>
        <color rgb="FFFFEB84"/>
        <color rgb="FFF8696B"/>
      </colorScale>
    </cfRule>
  </conditionalFormatting>
  <conditionalFormatting sqref="A98 A325">
    <cfRule type="colorScale" priority="43">
      <colorScale>
        <cfvo type="min"/>
        <cfvo type="percentile" val="50"/>
        <cfvo type="max"/>
        <color rgb="FF63BE7B"/>
        <color rgb="FFFCFCFF"/>
        <color rgb="FFF8696B"/>
      </colorScale>
    </cfRule>
  </conditionalFormatting>
  <conditionalFormatting sqref="A98 A325">
    <cfRule type="colorScale" priority="44">
      <colorScale>
        <cfvo type="min"/>
        <cfvo type="percentile" val="50"/>
        <cfvo type="max"/>
        <color rgb="FF63BE7B"/>
        <color rgb="FFFFEB84"/>
        <color rgb="FFF8696B"/>
      </colorScale>
    </cfRule>
  </conditionalFormatting>
  <conditionalFormatting sqref="A99 A326">
    <cfRule type="colorScale" priority="45">
      <colorScale>
        <cfvo type="min"/>
        <cfvo type="percentile" val="50"/>
        <cfvo type="max"/>
        <color rgb="FF63BE7B"/>
        <color rgb="FFFFEB84"/>
        <color rgb="FFF8696B"/>
      </colorScale>
    </cfRule>
  </conditionalFormatting>
  <conditionalFormatting sqref="A100:A104 A327:A331">
    <cfRule type="colorScale" priority="46">
      <colorScale>
        <cfvo type="min"/>
        <cfvo type="percentile" val="50"/>
        <cfvo type="max"/>
        <color rgb="FF63BE7B"/>
        <color rgb="FFFFEB84"/>
        <color rgb="FFF8696B"/>
      </colorScale>
    </cfRule>
  </conditionalFormatting>
  <conditionalFormatting sqref="A115 A342">
    <cfRule type="colorScale" priority="47">
      <colorScale>
        <cfvo type="min"/>
        <cfvo type="percentile" val="50"/>
        <cfvo type="max"/>
        <color rgb="FF63BE7B"/>
        <color rgb="FFFCFCFF"/>
        <color rgb="FFF8696B"/>
      </colorScale>
    </cfRule>
  </conditionalFormatting>
  <conditionalFormatting sqref="A115 A342">
    <cfRule type="colorScale" priority="48">
      <colorScale>
        <cfvo type="min"/>
        <cfvo type="percentile" val="50"/>
        <cfvo type="max"/>
        <color rgb="FF63BE7B"/>
        <color rgb="FFFFEB84"/>
        <color rgb="FFF8696B"/>
      </colorScale>
    </cfRule>
  </conditionalFormatting>
  <conditionalFormatting sqref="A116:A129 A343:A356">
    <cfRule type="colorScale" priority="49">
      <colorScale>
        <cfvo type="min"/>
        <cfvo type="percentile" val="50"/>
        <cfvo type="max"/>
        <color rgb="FF63BE7B"/>
        <color rgb="FFFFEB84"/>
        <color rgb="FFF8696B"/>
      </colorScale>
    </cfRule>
  </conditionalFormatting>
  <conditionalFormatting sqref="A132:A133 A359:A360">
    <cfRule type="colorScale" priority="50">
      <colorScale>
        <cfvo type="min"/>
        <cfvo type="percentile" val="50"/>
        <cfvo type="max"/>
        <color rgb="FF63BE7B"/>
        <color rgb="FFFFEB84"/>
        <color rgb="FFF8696B"/>
      </colorScale>
    </cfRule>
  </conditionalFormatting>
  <conditionalFormatting sqref="A149:A163 A376:A390">
    <cfRule type="colorScale" priority="51">
      <colorScale>
        <cfvo type="min"/>
        <cfvo type="percentile" val="50"/>
        <cfvo type="max"/>
        <color rgb="FF63BE7B"/>
        <color rgb="FFFFEB84"/>
        <color rgb="FFF8696B"/>
      </colorScale>
    </cfRule>
  </conditionalFormatting>
  <conditionalFormatting sqref="A166:A180 A393:A407">
    <cfRule type="colorScale" priority="52">
      <colorScale>
        <cfvo type="min"/>
        <cfvo type="percentile" val="50"/>
        <cfvo type="max"/>
        <color rgb="FF63BE7B"/>
        <color rgb="FFFFEB84"/>
        <color rgb="FFF8696B"/>
      </colorScale>
    </cfRule>
  </conditionalFormatting>
  <conditionalFormatting sqref="A183:A185 A410:A412">
    <cfRule type="colorScale" priority="53">
      <colorScale>
        <cfvo type="min"/>
        <cfvo type="percentile" val="50"/>
        <cfvo type="max"/>
        <color rgb="FF63BE7B"/>
        <color rgb="FFFFEB84"/>
        <color rgb="FFF8696B"/>
      </colorScale>
    </cfRule>
  </conditionalFormatting>
  <conditionalFormatting sqref="A201:A203 A428:A430">
    <cfRule type="colorScale" priority="54">
      <colorScale>
        <cfvo type="min"/>
        <cfvo type="percentile" val="50"/>
        <cfvo type="max"/>
        <color rgb="FF63BE7B"/>
        <color rgb="FFFFEB84"/>
        <color rgb="FFF8696B"/>
      </colorScale>
    </cfRule>
  </conditionalFormatting>
  <conditionalFormatting sqref="A208:A210 A435:A437">
    <cfRule type="colorScale" priority="55">
      <colorScale>
        <cfvo type="min"/>
        <cfvo type="percentile" val="50"/>
        <cfvo type="max"/>
        <color rgb="FF63BE7B"/>
        <color rgb="FFFFEB84"/>
        <color rgb="FFF8696B"/>
      </colorScale>
    </cfRule>
  </conditionalFormatting>
  <conditionalFormatting sqref="A211:A224 A438:A451">
    <cfRule type="colorScale" priority="56">
      <colorScale>
        <cfvo type="min"/>
        <cfvo type="percentile" val="50"/>
        <cfvo type="max"/>
        <color rgb="FF63BE7B"/>
        <color rgb="FFFFEB84"/>
        <color rgb="FFF8696B"/>
      </colorScale>
    </cfRule>
  </conditionalFormatting>
  <conditionalFormatting sqref="J10:L224 J237:L451">
    <cfRule type="cellIs" dxfId="8" priority="57" operator="equal">
      <formula>0</formula>
    </cfRule>
  </conditionalFormatting>
  <dataValidations>
    <dataValidation type="list" allowBlank="1" sqref="C12:C16 C50 C69 C87 C103 C137 C154 C169 C171 C188 C204 C206 C241 C243 C256 C258 C275 C277 C294 C296 C312 C314 C328 C330 C345 C347 C362 C364 C379 C381 C396 C398 C413 C415 C431 C433">
      <formula1>"I-ACTIVE,MAP,KCL 60%,05-37-00,10-46-00 + S,08-42-00,SSP 21,03-15-07 +14%CO,URÉIA,SULFATO DE AMÔNIO,BOROGRAN,SUPER DUO,08-40-00 - 100M,AURUS 500,00-01-00+Cu2 Mn8 Zn7"</formula1>
    </dataValidation>
    <dataValidation type="list" allowBlank="1" sqref="C183:C184">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formula1>
    </dataValidation>
    <dataValidation type="list" allowBlank="1" sqref="C185">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30PES,JACTO UNIPORT 2000 + JACTO UNIPORT 2000,+"</formula1>
    </dataValidation>
    <dataValidation type="list" allowBlank="1" sqref="C28 C64 C67 C82:C83">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type="custom" allowBlank="1" showDropDown="1" sqref="G10:L224 G237:L451">
      <formula1>AND(ISNUMBER(G10),(NOT(OR(NOT(ISERROR(DATEVALUE(G10))), AND(ISNUMBER(G10), LEFT(CELL("format", G10))="D")))))</formula1>
    </dataValidation>
    <dataValidation type="list" allowBlank="1" sqref="C18 C26 C33 C46 C52 C71 C89 C105 C122 C139 C156 C173 C190 C202 C208 C245 C254 C260 C273 C279 C292 C298 C310 C316 C326 C332 C343 C349 C360 C366 C377 C383 C394 C400 C411 C417 C429 C435">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type="list" allowBlank="1" sqref="C66 C100 C134 C136 C152">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type="list" allowBlank="1" sqref="C20:C24 C43 C62 C80 C132 C149 C247:C251 C270 C289 C307">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type="list" allowBlank="1" sqref="C11 C17 C51 C70 C88 C104 C121 C138 C155 C172 C189 C207 C244 C259 C278 C297 C315 C331 C348 C365 C382 C399 C416 C434">
      <formula1>"CALCÁRIO DOLOMITICO,GESSO AGRICOLA"</formula1>
    </dataValidation>
    <dataValidation type="list" allowBlank="1" sqref="C45 C49 C68 C86 C102 C153 C170 C205 C242 C257 C272 C276 C291 C295 C309 C313 C325 C329 C342 C346 C359 C363 C376 C380 C393 C397 C410 C414 C432">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type="list" allowBlank="1" sqref="C27 C31 C47 C65 C85 C101 C118 C135 C151 C167">
      <formula1>"RUMBA,ASSIST,MEES,AUREO EC,JOINT ULTRA,ENERGIC,EXTRAVON,OCHIMA,STRIDES"</formula1>
    </dataValidation>
    <dataValidation type="list" allowBlank="1" sqref="C98:C99 C115:C116 C133 C150">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type="list" allowBlank="1" showErrorMessage="1" sqref="B10:B224 B237:B451">
      <formula1>#REF!</formula1>
    </dataValidation>
    <dataValidation type="list" allowBlank="1" sqref="C168 C203 C240 C255 C274 C293 C311 C327 C344 C361 C378 C395 C412 C430">
      <formula1>"SOMBRERO,STANDAK TOP,CROPSTAR,DERMACOR,PERMIT STAR,PRESENCE FULL,PLUST,CRUISER 350 FS,CRUISER ADVANCED,FORTENZA 600 FS,MAXIM ADVANCED,MAXIM XL,SPECTRO,BIOZYME,NIMAXXA,VITAVAX-THIRAM 200 SC"</formula1>
    </dataValidation>
    <dataValidation type="list" allowBlank="1" sqref="C186:C187">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30PES,JACTO UNIPORT 2000 + JACTO UNIPORT 2000,NH T7.260 + CASE 2213,+"</formula1>
    </dataValidation>
    <dataValidation type="list" allowBlank="1" sqref="C19 C30 C34 C48 C53:C54 C59 C72:C73 C84 C90:C91 C96 C106:C107 C112 C117 C123:C124 C129 C140:C141 C146 C157:C158 C163 C174:C175 C180 C191:C192 C197 C209:C210 C215 C246 C253 C261:C262 C267 C280:C281 C286 C299:C300 C317:C318 C323 C333:C334 C339 C350:C351 C356 C367:C368 C373 C384:C385 C390 C401:C402 C407 C418:C419 C424 C436:C437 C442">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display="ÁREA PLANTIO" location="'ÁREA PLANTIO'!A1" ref="F1"/>
    <hyperlink display="ÁREA PLANTIO" location="'ÁREA PLANTIO'!A1" ref="F227"/>
  </hyperlinks>
  <printOptions/>
  <pageMargins bottom="0.787401575" footer="0.0" header="0.0" left="0.511811024" right="0.511811024" top="0.787401575"/>
  <pageSetup orientation="landscape"/>
  <drawing r:id="rId1"/>
  <tableParts count="2">
    <tablePart r:id="rId4"/>
    <tablePart r:id="rId5"/>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outlineLevelRow="1"/>
  <cols>
    <col customWidth="1" min="1" max="1" width="13.88"/>
    <col customWidth="1" min="2" max="2" width="22.75"/>
    <col customWidth="1" min="3" max="3" width="33.63"/>
    <col customWidth="1" min="4" max="4" width="40.25"/>
    <col customWidth="1" min="5" max="5" width="20.13"/>
    <col customWidth="1" min="6" max="6" width="13.13"/>
    <col customWidth="1" min="7" max="7" width="13.75"/>
    <col customWidth="1" min="8" max="9" width="10.38"/>
    <col customWidth="1" min="10" max="10" width="14.0"/>
    <col customWidth="1" min="11" max="23" width="14.38"/>
  </cols>
  <sheetData>
    <row r="1" ht="15.75" customHeight="1">
      <c r="A1" s="260" t="s">
        <v>1203</v>
      </c>
      <c r="B1" s="261" t="str">
        <f>'ÁREA PLANTIO'!B16</f>
        <v>P 04</v>
      </c>
      <c r="C1" s="262" t="s">
        <v>1166</v>
      </c>
      <c r="D1" s="263">
        <f>$K$225</f>
        <v>657.7674496</v>
      </c>
      <c r="E1" s="264"/>
      <c r="F1" s="265" t="s">
        <v>1167</v>
      </c>
      <c r="G1" s="266"/>
      <c r="H1" s="267"/>
      <c r="I1" s="267"/>
      <c r="J1" s="267"/>
      <c r="K1" s="266"/>
      <c r="L1" s="220"/>
      <c r="M1" s="220"/>
      <c r="N1" s="220"/>
      <c r="O1" s="220"/>
      <c r="P1" s="220"/>
      <c r="Q1" s="220"/>
      <c r="R1" s="220"/>
      <c r="S1" s="220"/>
      <c r="T1" s="220"/>
      <c r="U1" s="220"/>
      <c r="V1" s="220"/>
      <c r="W1" s="220"/>
    </row>
    <row r="2" ht="15.75" customHeight="1">
      <c r="A2" s="260" t="s">
        <v>1168</v>
      </c>
      <c r="B2" s="268">
        <f>'ÁREA PLANTIO'!E16</f>
        <v>130</v>
      </c>
      <c r="C2" s="269" t="s">
        <v>1169</v>
      </c>
      <c r="D2" s="270">
        <f>'ÁREA PLANTIO'!D16</f>
        <v>65</v>
      </c>
      <c r="E2" s="264"/>
      <c r="F2" s="264"/>
      <c r="G2" s="266"/>
      <c r="H2" s="267"/>
      <c r="I2" s="267"/>
      <c r="J2" s="267"/>
      <c r="K2" s="266"/>
      <c r="L2" s="220"/>
      <c r="M2" s="220"/>
      <c r="N2" s="220"/>
      <c r="O2" s="220"/>
      <c r="P2" s="220"/>
      <c r="Q2" s="220"/>
      <c r="R2" s="220"/>
      <c r="S2" s="220"/>
      <c r="T2" s="220"/>
      <c r="U2" s="220"/>
      <c r="V2" s="220"/>
      <c r="W2" s="220"/>
    </row>
    <row r="3" ht="15.75" customHeight="1">
      <c r="A3" s="260" t="s">
        <v>1170</v>
      </c>
      <c r="B3" s="267" t="str">
        <f>'ÁREA PLANTIO'!C16</f>
        <v>FE-BRACHIARIA-26/27</v>
      </c>
      <c r="C3" s="269" t="s">
        <v>1171</v>
      </c>
      <c r="D3" s="271">
        <f>D1/D2</f>
        <v>10.11949922</v>
      </c>
      <c r="E3" s="264"/>
      <c r="F3" s="264"/>
      <c r="G3" s="266"/>
      <c r="H3" s="267"/>
      <c r="I3" s="267"/>
      <c r="J3" s="267"/>
      <c r="K3" s="266"/>
      <c r="L3" s="220"/>
      <c r="M3" s="220"/>
      <c r="N3" s="220"/>
      <c r="O3" s="220"/>
      <c r="P3" s="220"/>
      <c r="Q3" s="220"/>
      <c r="R3" s="220"/>
      <c r="S3" s="220"/>
      <c r="T3" s="220"/>
      <c r="U3" s="220"/>
      <c r="V3" s="220"/>
      <c r="W3" s="220"/>
    </row>
    <row r="4" ht="15.75" customHeight="1">
      <c r="A4" s="272" t="s">
        <v>1172</v>
      </c>
      <c r="B4" s="273">
        <v>45606.0</v>
      </c>
      <c r="C4" s="274"/>
      <c r="D4" s="275"/>
      <c r="E4" s="276"/>
      <c r="F4" s="264"/>
      <c r="G4" s="266"/>
      <c r="H4" s="267"/>
      <c r="I4" s="267"/>
      <c r="J4" s="267"/>
      <c r="K4" s="266"/>
      <c r="L4" s="220"/>
      <c r="M4" s="220"/>
      <c r="N4" s="220"/>
      <c r="O4" s="220"/>
      <c r="P4" s="220"/>
      <c r="Q4" s="220"/>
      <c r="R4" s="220"/>
      <c r="S4" s="220"/>
      <c r="T4" s="220"/>
      <c r="U4" s="220"/>
      <c r="V4" s="220"/>
      <c r="W4" s="220"/>
    </row>
    <row r="5" ht="15.75" customHeight="1">
      <c r="E5" s="277"/>
      <c r="F5" s="264"/>
      <c r="G5" s="266"/>
      <c r="H5" s="267"/>
      <c r="I5" s="267"/>
      <c r="J5" s="267"/>
      <c r="K5" s="266"/>
      <c r="L5" s="220"/>
      <c r="M5" s="220"/>
      <c r="N5" s="220"/>
      <c r="O5" s="220"/>
      <c r="P5" s="220"/>
      <c r="Q5" s="220"/>
      <c r="R5" s="220"/>
      <c r="S5" s="220"/>
      <c r="T5" s="220"/>
      <c r="U5" s="220"/>
      <c r="V5" s="220"/>
      <c r="W5" s="220"/>
    </row>
    <row r="6" ht="15.75" customHeight="1">
      <c r="A6" s="260"/>
      <c r="B6" s="267"/>
      <c r="C6" s="264"/>
      <c r="D6" s="264"/>
      <c r="E6" s="264"/>
      <c r="F6" s="264"/>
      <c r="G6" s="266"/>
      <c r="H6" s="267"/>
      <c r="I6" s="267"/>
      <c r="J6" s="267"/>
      <c r="K6" s="266"/>
      <c r="L6" s="220"/>
      <c r="M6" s="220"/>
      <c r="N6" s="220"/>
      <c r="O6" s="220"/>
      <c r="P6" s="220"/>
      <c r="Q6" s="220"/>
      <c r="R6" s="220"/>
      <c r="S6" s="220"/>
      <c r="T6" s="220"/>
      <c r="U6" s="220"/>
      <c r="V6" s="220"/>
      <c r="W6" s="220"/>
    </row>
    <row r="7" ht="15.75" customHeight="1">
      <c r="A7" s="267"/>
      <c r="B7" s="267"/>
      <c r="C7" s="264"/>
      <c r="D7" s="264"/>
      <c r="E7" s="264"/>
      <c r="F7" s="264"/>
      <c r="G7" s="266"/>
      <c r="H7" s="267"/>
      <c r="I7" s="267"/>
      <c r="J7" s="267"/>
      <c r="K7" s="266"/>
      <c r="L7" s="220"/>
      <c r="M7" s="220"/>
      <c r="N7" s="220"/>
      <c r="O7" s="220"/>
      <c r="P7" s="220"/>
      <c r="Q7" s="220"/>
      <c r="R7" s="220"/>
      <c r="S7" s="220"/>
      <c r="T7" s="220"/>
      <c r="U7" s="220"/>
      <c r="V7" s="220"/>
      <c r="W7" s="220"/>
    </row>
    <row r="8" ht="15.75" customHeight="1">
      <c r="A8" s="267"/>
      <c r="B8" s="267"/>
      <c r="C8" s="267"/>
      <c r="D8" s="267"/>
      <c r="E8" s="264"/>
      <c r="F8" s="264"/>
      <c r="G8" s="266"/>
      <c r="H8" s="267"/>
      <c r="I8" s="267"/>
      <c r="J8" s="267"/>
      <c r="K8" s="266"/>
      <c r="L8" s="220"/>
      <c r="M8" s="220"/>
      <c r="N8" s="220"/>
      <c r="O8" s="220"/>
      <c r="P8" s="220"/>
      <c r="Q8" s="220"/>
      <c r="R8" s="220"/>
      <c r="S8" s="220"/>
      <c r="T8" s="220"/>
      <c r="U8" s="220"/>
      <c r="V8" s="220"/>
      <c r="W8" s="220"/>
    </row>
    <row r="9" ht="15.75" customHeight="1">
      <c r="A9" s="213" t="s">
        <v>1173</v>
      </c>
      <c r="B9" s="213" t="s">
        <v>1174</v>
      </c>
      <c r="C9" s="213" t="s">
        <v>1175</v>
      </c>
      <c r="D9" s="211" t="s">
        <v>1176</v>
      </c>
      <c r="E9" s="211" t="s">
        <v>1177</v>
      </c>
      <c r="F9" s="211" t="s">
        <v>1178</v>
      </c>
      <c r="G9" s="278" t="s">
        <v>1179</v>
      </c>
      <c r="H9" s="278" t="s">
        <v>1180</v>
      </c>
      <c r="I9" s="278" t="s">
        <v>1181</v>
      </c>
      <c r="J9" s="279" t="s">
        <v>1134</v>
      </c>
      <c r="K9" s="280" t="s">
        <v>1182</v>
      </c>
      <c r="L9" s="281" t="s">
        <v>339</v>
      </c>
      <c r="M9" s="220"/>
      <c r="N9" s="220"/>
      <c r="O9" s="220"/>
      <c r="P9" s="220"/>
      <c r="Q9" s="220"/>
      <c r="R9" s="220"/>
      <c r="S9" s="220"/>
      <c r="T9" s="220"/>
      <c r="U9" s="220"/>
      <c r="V9" s="220"/>
      <c r="W9" s="220"/>
    </row>
    <row r="10" ht="15.75" customHeight="1">
      <c r="A10" s="231" t="s">
        <v>1183</v>
      </c>
      <c r="B10" s="230"/>
      <c r="C10" s="231"/>
      <c r="D10" s="232" t="s">
        <v>216</v>
      </c>
      <c r="E10" s="231"/>
      <c r="F10" s="231"/>
      <c r="G10" s="233"/>
      <c r="H10" s="282"/>
      <c r="I10" s="258"/>
      <c r="J10" s="236"/>
      <c r="K10" s="237">
        <f t="shared" ref="K10:L10" si="1">SUBTOTAL(9,K11:K24)</f>
        <v>0</v>
      </c>
      <c r="L10" s="237">
        <f t="shared" si="1"/>
        <v>0</v>
      </c>
      <c r="M10" s="220"/>
      <c r="N10" s="220"/>
      <c r="O10" s="220"/>
      <c r="P10" s="220"/>
      <c r="Q10" s="220"/>
      <c r="R10" s="220"/>
      <c r="S10" s="220"/>
      <c r="T10" s="220"/>
      <c r="U10" s="220"/>
      <c r="V10" s="220"/>
      <c r="W10" s="220"/>
    </row>
    <row r="11" outlineLevel="1">
      <c r="A11" s="213"/>
      <c r="B11" s="212" t="s">
        <v>8</v>
      </c>
      <c r="C11" s="213" t="s">
        <v>397</v>
      </c>
      <c r="D11" s="214" t="str">
        <f>IFERROR(VLOOKUP($C11,'PORTIFÓLIO'!C:V,2,0),"")</f>
        <v>CaO 38%  MgO 18%</v>
      </c>
      <c r="E11" s="211" t="str">
        <f>IFERROR(VLOOKUP($C11,'PORTIFÓLIO'!C:V,3,0),"")</f>
        <v/>
      </c>
      <c r="F11" s="211" t="str">
        <f>IFERROR(VLOOKUP($C11,'PORTIFÓLIO'!C:V,4,0),"")</f>
        <v>Ton</v>
      </c>
      <c r="G11" s="215" t="str">
        <f>IFERROR(VLOOKUP($C11,'PORTIFÓLIO'!C:V,5,0),"")</f>
        <v/>
      </c>
      <c r="H11" s="254" t="str">
        <f t="array" ref="H11">IFERROR(INDEX('PORTIFÓLIO'!$H$4:$H$433,MATCH($C11,'PORTIFÓLIO'!$C$4:$C$433,0)),"")</f>
        <v/>
      </c>
      <c r="I11" s="255">
        <v>3.0</v>
      </c>
      <c r="J11" s="218">
        <f t="shared" ref="J11:J24" si="2">I11*$B$2</f>
        <v>390</v>
      </c>
      <c r="K11" s="219">
        <f t="array" ref="K11">IFERROR(I11*INDEX('PORTIFÓLIO'!$S$4:$S$433,MATCH($C11,'PORTIFÓLIO'!$C$4:$C$433,0)),"")</f>
        <v>0</v>
      </c>
      <c r="L11" s="219">
        <f t="array" ref="L11">IFERROR(J11*INDEX('PORTIFÓLIO'!$S$4:$S$433,MATCH($C11,'PORTIFÓLIO'!$C$4:$C$433,0)),"")</f>
        <v>0</v>
      </c>
      <c r="M11" s="220"/>
      <c r="N11" s="220"/>
      <c r="O11" s="220"/>
      <c r="P11" s="220"/>
      <c r="Q11" s="220"/>
      <c r="R11" s="220"/>
      <c r="S11" s="220"/>
      <c r="T11" s="220"/>
      <c r="U11" s="220" t="str">
        <f>IFERROR(__xludf.DUMMYFUNCTION("FILTER('PORTIFÓLIO'!C:C, 'PORTIFÓLIO'!B:B=B11)"),"#REF!")</f>
        <v>#REF!</v>
      </c>
      <c r="V11" s="220"/>
      <c r="W11" s="220"/>
    </row>
    <row r="12" outlineLevel="1">
      <c r="A12" s="213"/>
      <c r="B12" s="212" t="s">
        <v>7</v>
      </c>
      <c r="C12" s="213" t="s">
        <v>413</v>
      </c>
      <c r="D12" s="214" t="str">
        <f>IFERROR(VLOOKUP($C12,'PORTIFÓLIO'!C:V,2,0),"")</f>
        <v>P 21%</v>
      </c>
      <c r="E12" s="211" t="str">
        <f>IFERROR(VLOOKUP($C12,'PORTIFÓLIO'!C:V,3,0),"")</f>
        <v/>
      </c>
      <c r="F12" s="211" t="str">
        <f>IFERROR(VLOOKUP($C12,'PORTIFÓLIO'!C:V,4,0),"")</f>
        <v>Ton</v>
      </c>
      <c r="G12" s="215" t="str">
        <f>IFERROR(VLOOKUP($C12,'PORTIFÓLIO'!C:V,5,0),"")</f>
        <v/>
      </c>
      <c r="H12" s="254" t="str">
        <f t="array" ref="H12">IFERROR(INDEX('PORTIFÓLIO'!$H$4:$H$433,MATCH($C12,'PORTIFÓLIO'!$C$4:$C$433,0)),"")</f>
        <v/>
      </c>
      <c r="I12" s="255">
        <v>0.2</v>
      </c>
      <c r="J12" s="218">
        <f t="shared" si="2"/>
        <v>26</v>
      </c>
      <c r="K12" s="219">
        <f t="array" ref="K12">IFERROR(I12*INDEX('PORTIFÓLIO'!$S$4:$S$433,MATCH($C12,'PORTIFÓLIO'!$C$4:$C$433,0)),"")</f>
        <v>0</v>
      </c>
      <c r="L12" s="219">
        <f t="array" ref="L12">IFERROR(J12*INDEX('PORTIFÓLIO'!$S$4:$S$433,MATCH($C12,'PORTIFÓLIO'!$C$4:$C$433,0)),"")</f>
        <v>0</v>
      </c>
      <c r="M12" s="220"/>
      <c r="N12" s="220"/>
      <c r="O12" s="220"/>
      <c r="P12" s="220"/>
      <c r="Q12" s="220"/>
      <c r="R12" s="220"/>
      <c r="S12" s="220"/>
      <c r="T12" s="220"/>
      <c r="U12" s="220" t="str">
        <f>IFERROR(__xludf.DUMMYFUNCTION("FILTER('PORTIFÓLIO'!C:C, 'PORTIFÓLIO'!B:B=B12)"),"#REF!")</f>
        <v>#REF!</v>
      </c>
      <c r="V12" s="220"/>
      <c r="W12" s="220"/>
    </row>
    <row r="13" outlineLevel="1">
      <c r="A13" s="213"/>
      <c r="B13" s="212" t="s">
        <v>7</v>
      </c>
      <c r="C13" s="213" t="s">
        <v>405</v>
      </c>
      <c r="D13" s="214" t="str">
        <f>IFERROR(VLOOKUP($C13,'PORTIFÓLIO'!C:V,2,0),"")</f>
        <v>K2O 60%</v>
      </c>
      <c r="E13" s="211" t="str">
        <f>IFERROR(VLOOKUP($C13,'PORTIFÓLIO'!C:V,3,0),"")</f>
        <v/>
      </c>
      <c r="F13" s="211" t="str">
        <f>IFERROR(VLOOKUP($C13,'PORTIFÓLIO'!C:V,4,0),"")</f>
        <v>Ton</v>
      </c>
      <c r="G13" s="215" t="str">
        <f>IFERROR(VLOOKUP($C13,'PORTIFÓLIO'!C:V,5,0),"")</f>
        <v/>
      </c>
      <c r="H13" s="254" t="str">
        <f t="array" ref="H13">IFERROR(INDEX('PORTIFÓLIO'!$H$4:$H$433,MATCH($C13,'PORTIFÓLIO'!$C$4:$C$433,0)),"")</f>
        <v/>
      </c>
      <c r="I13" s="255">
        <v>0.25</v>
      </c>
      <c r="J13" s="218">
        <f t="shared" si="2"/>
        <v>32.5</v>
      </c>
      <c r="K13" s="219">
        <f t="array" ref="K13">IFERROR(I13*INDEX('PORTIFÓLIO'!$S$4:$S$433,MATCH($C13,'PORTIFÓLIO'!$C$4:$C$433,0)),"")</f>
        <v>0</v>
      </c>
      <c r="L13" s="219">
        <f t="array" ref="L13">IFERROR(J13*INDEX('PORTIFÓLIO'!$S$4:$S$433,MATCH($C13,'PORTIFÓLIO'!$C$4:$C$433,0)),"")</f>
        <v>0</v>
      </c>
      <c r="M13" s="220"/>
      <c r="N13" s="220"/>
      <c r="O13" s="220"/>
      <c r="P13" s="220"/>
      <c r="Q13" s="220"/>
      <c r="R13" s="220"/>
      <c r="S13" s="220"/>
      <c r="T13" s="220"/>
      <c r="U13" s="220" t="str">
        <f>IFERROR(__xludf.DUMMYFUNCTION("FILTER('PORTIFÓLIO'!C:C, 'PORTIFÓLIO'!B:B=B13)"),"#REF!")</f>
        <v>#REF!</v>
      </c>
      <c r="V13" s="220"/>
      <c r="W13" s="220"/>
    </row>
    <row r="14" outlineLevel="1">
      <c r="A14" s="211"/>
      <c r="B14" s="212" t="s">
        <v>7</v>
      </c>
      <c r="C14" s="213" t="s">
        <v>429</v>
      </c>
      <c r="D14" s="214" t="str">
        <f>IFERROR(VLOOKUP($C14,'PORTIFÓLIO'!C:V,2,0),"")</f>
        <v>Cu 2% Mn 8% Zn 7% </v>
      </c>
      <c r="E14" s="211" t="str">
        <f>IFERROR(VLOOKUP($C14,'PORTIFÓLIO'!C:V,3,0),"")</f>
        <v/>
      </c>
      <c r="F14" s="211" t="str">
        <f>IFERROR(VLOOKUP($C14,'PORTIFÓLIO'!C:V,4,0),"")</f>
        <v>Ton</v>
      </c>
      <c r="G14" s="215" t="str">
        <f>IFERROR(VLOOKUP($C14,'PORTIFÓLIO'!C:V,5,0),"")</f>
        <v/>
      </c>
      <c r="H14" s="254" t="str">
        <f t="array" ref="H14">IFERROR(INDEX('PORTIFÓLIO'!$H$4:$H$433,MATCH($C14,'PORTIFÓLIO'!$C$4:$C$433,0)),"")</f>
        <v/>
      </c>
      <c r="I14" s="255">
        <v>0.05</v>
      </c>
      <c r="J14" s="218">
        <f t="shared" si="2"/>
        <v>6.5</v>
      </c>
      <c r="K14" s="219">
        <f t="array" ref="K14">IFERROR(I14*INDEX('PORTIFÓLIO'!$S$4:$S$433,MATCH($C14,'PORTIFÓLIO'!$C$4:$C$433,0)),"")</f>
        <v>0</v>
      </c>
      <c r="L14" s="219">
        <f t="array" ref="L14">IFERROR(J14*INDEX('PORTIFÓLIO'!$S$4:$S$433,MATCH($C14,'PORTIFÓLIO'!$C$4:$C$433,0)),"")</f>
        <v>0</v>
      </c>
      <c r="M14" s="220"/>
      <c r="N14" s="220"/>
      <c r="O14" s="220"/>
      <c r="P14" s="220"/>
      <c r="Q14" s="220"/>
      <c r="R14" s="220"/>
      <c r="S14" s="220"/>
      <c r="T14" s="220"/>
      <c r="U14" s="220" t="str">
        <f>IFERROR(__xludf.DUMMYFUNCTION("FILTER('PORTIFÓLIO'!C:C, 'PORTIFÓLIO'!B:B=B14)"),"#REF!")</f>
        <v>#REF!</v>
      </c>
      <c r="V14" s="220"/>
      <c r="W14" s="220"/>
    </row>
    <row r="15" outlineLevel="1">
      <c r="A15" s="211"/>
      <c r="B15" s="212" t="s">
        <v>7</v>
      </c>
      <c r="C15" s="213" t="s">
        <v>417</v>
      </c>
      <c r="D15" s="214" t="str">
        <f>IFERROR(VLOOKUP($C15,'PORTIFÓLIO'!C:V,2,0),"")</f>
        <v>N 44</v>
      </c>
      <c r="E15" s="211" t="str">
        <f>IFERROR(VLOOKUP($C15,'PORTIFÓLIO'!C:V,3,0),"")</f>
        <v/>
      </c>
      <c r="F15" s="211" t="str">
        <f>IFERROR(VLOOKUP($C15,'PORTIFÓLIO'!C:V,4,0),"")</f>
        <v>Ton</v>
      </c>
      <c r="G15" s="215" t="str">
        <f>IFERROR(VLOOKUP($C15,'PORTIFÓLIO'!C:V,5,0),"")</f>
        <v/>
      </c>
      <c r="H15" s="254" t="str">
        <f t="array" ref="H15">IFERROR(INDEX('PORTIFÓLIO'!$H$4:$H$433,MATCH($C15,'PORTIFÓLIO'!$C$4:$C$433,0)),"")</f>
        <v/>
      </c>
      <c r="I15" s="255">
        <v>0.2</v>
      </c>
      <c r="J15" s="218">
        <f t="shared" si="2"/>
        <v>26</v>
      </c>
      <c r="K15" s="219">
        <f t="array" ref="K15">IFERROR(I15*INDEX('PORTIFÓLIO'!$S$4:$S$433,MATCH($C15,'PORTIFÓLIO'!$C$4:$C$433,0)),"")</f>
        <v>0</v>
      </c>
      <c r="L15" s="219">
        <f t="array" ref="L15">IFERROR(J15*INDEX('PORTIFÓLIO'!$S$4:$S$433,MATCH($C15,'PORTIFÓLIO'!$C$4:$C$433,0)),"")</f>
        <v>0</v>
      </c>
      <c r="M15" s="220"/>
      <c r="N15" s="220"/>
      <c r="O15" s="220"/>
      <c r="P15" s="220"/>
      <c r="Q15" s="220"/>
      <c r="R15" s="220"/>
      <c r="S15" s="220"/>
      <c r="T15" s="220"/>
      <c r="U15" s="220" t="str">
        <f>IFERROR(__xludf.DUMMYFUNCTION("FILTER('PORTIFÓLIO'!C:C, 'PORTIFÓLIO'!B:B=B15)"),"#REF!")</f>
        <v>#REF!</v>
      </c>
      <c r="V15" s="220"/>
      <c r="W15" s="220"/>
    </row>
    <row r="16" outlineLevel="1">
      <c r="A16" s="211"/>
      <c r="B16" s="212" t="s">
        <v>7</v>
      </c>
      <c r="C16" s="213" t="s">
        <v>419</v>
      </c>
      <c r="D16" s="214" t="str">
        <f>IFERROR(VLOOKUP($C16,'PORTIFÓLIO'!C:V,2,0),"")</f>
        <v>N 22</v>
      </c>
      <c r="E16" s="211" t="str">
        <f>IFERROR(VLOOKUP($C16,'PORTIFÓLIO'!C:V,3,0),"")</f>
        <v/>
      </c>
      <c r="F16" s="211" t="str">
        <f>IFERROR(VLOOKUP($C16,'PORTIFÓLIO'!C:V,4,0),"")</f>
        <v>Ton</v>
      </c>
      <c r="G16" s="215" t="str">
        <f>IFERROR(VLOOKUP($C16,'PORTIFÓLIO'!C:V,5,0),"")</f>
        <v/>
      </c>
      <c r="H16" s="254" t="str">
        <f t="array" ref="H16">IFERROR(INDEX('PORTIFÓLIO'!$H$4:$H$433,MATCH($C16,'PORTIFÓLIO'!$C$4:$C$433,0)),"")</f>
        <v/>
      </c>
      <c r="I16" s="255">
        <v>0.25</v>
      </c>
      <c r="J16" s="218">
        <f t="shared" si="2"/>
        <v>32.5</v>
      </c>
      <c r="K16" s="219">
        <f t="array" ref="K16">IFERROR(I16*INDEX('PORTIFÓLIO'!$S$4:$S$433,MATCH($C16,'PORTIFÓLIO'!$C$4:$C$433,0)),"")</f>
        <v>0</v>
      </c>
      <c r="L16" s="219">
        <f t="array" ref="L16">IFERROR(J16*INDEX('PORTIFÓLIO'!$S$4:$S$433,MATCH($C16,'PORTIFÓLIO'!$C$4:$C$433,0)),"")</f>
        <v>0</v>
      </c>
      <c r="M16" s="220"/>
      <c r="N16" s="220"/>
      <c r="O16" s="220"/>
      <c r="P16" s="220"/>
      <c r="Q16" s="220"/>
      <c r="R16" s="220"/>
      <c r="S16" s="220"/>
      <c r="T16" s="220"/>
      <c r="U16" s="220" t="str">
        <f>IFERROR(__xludf.DUMMYFUNCTION("FILTER('PORTIFÓLIO'!C:C, 'PORTIFÓLIO'!B:B=B16)"),"#REF!")</f>
        <v>#REF!</v>
      </c>
      <c r="V16" s="220"/>
      <c r="W16" s="220"/>
    </row>
    <row r="17" outlineLevel="1">
      <c r="A17" s="211"/>
      <c r="B17" s="212"/>
      <c r="C17" s="213"/>
      <c r="D17" s="214" t="str">
        <f>IFERROR(VLOOKUP($C17,'PORTIFÓLIO'!C:V,2,0),"")</f>
        <v/>
      </c>
      <c r="E17" s="211" t="str">
        <f>IFERROR(VLOOKUP($C17,'PORTIFÓLIO'!C:V,3,0),"")</f>
        <v/>
      </c>
      <c r="F17" s="211" t="str">
        <f>IFERROR(VLOOKUP($C17,'PORTIFÓLIO'!C:V,4,0),"")</f>
        <v/>
      </c>
      <c r="G17" s="215" t="str">
        <f>IFERROR(VLOOKUP($C17,'PORTIFÓLIO'!C:V,5,0),"")</f>
        <v/>
      </c>
      <c r="H17" s="254" t="str">
        <f t="array" ref="H17">IFERROR(INDEX('PORTIFÓLIO'!$H$4:$H$433,MATCH($C17,'PORTIFÓLIO'!$C$4:$C$433,0)),"")</f>
        <v/>
      </c>
      <c r="I17" s="256"/>
      <c r="J17" s="218">
        <f t="shared" si="2"/>
        <v>0</v>
      </c>
      <c r="K17" s="219" t="str">
        <f t="array" ref="K17">IFERROR(I17*INDEX('PORTIFÓLIO'!$S$4:$S$433,MATCH($C17,'PORTIFÓLIO'!$C$4:$C$433,0)),"")</f>
        <v/>
      </c>
      <c r="L17" s="219" t="str">
        <f t="array" ref="L17">IFERROR(J17*INDEX('PORTIFÓLIO'!$S$4:$S$433,MATCH($C17,'PORTIFÓLIO'!$C$4:$C$433,0)),"")</f>
        <v/>
      </c>
      <c r="M17" s="220"/>
      <c r="N17" s="220"/>
      <c r="O17" s="220"/>
      <c r="P17" s="220"/>
      <c r="Q17" s="220"/>
      <c r="R17" s="220"/>
      <c r="S17" s="220"/>
      <c r="T17" s="220"/>
      <c r="U17" s="220" t="str">
        <f>IFERROR(__xludf.DUMMYFUNCTION("FILTER('PORTIFÓLIO'!C:C, 'PORTIFÓLIO'!B:B=B17)"),"#REF!")</f>
        <v>#REF!</v>
      </c>
      <c r="V17" s="220"/>
      <c r="W17" s="220"/>
    </row>
    <row r="18" outlineLevel="1">
      <c r="A18" s="211"/>
      <c r="B18" s="212"/>
      <c r="C18" s="213"/>
      <c r="D18" s="214" t="str">
        <f>IFERROR(VLOOKUP($C18,'PORTIFÓLIO'!C:V,2,0),"")</f>
        <v/>
      </c>
      <c r="E18" s="211" t="str">
        <f>IFERROR(VLOOKUP($C18,'PORTIFÓLIO'!C:V,3,0),"")</f>
        <v/>
      </c>
      <c r="F18" s="211" t="str">
        <f>IFERROR(VLOOKUP($C18,'PORTIFÓLIO'!C:V,4,0),"")</f>
        <v/>
      </c>
      <c r="G18" s="215" t="str">
        <f>IFERROR(VLOOKUP($C18,'PORTIFÓLIO'!C:V,5,0),"")</f>
        <v/>
      </c>
      <c r="H18" s="254" t="str">
        <f t="array" ref="H18">IFERROR(INDEX('PORTIFÓLIO'!$H$4:$H$433,MATCH($C18,'PORTIFÓLIO'!$C$4:$C$433,0)),"")</f>
        <v/>
      </c>
      <c r="I18" s="256"/>
      <c r="J18" s="218">
        <f t="shared" si="2"/>
        <v>0</v>
      </c>
      <c r="K18" s="219" t="str">
        <f t="array" ref="K18">IFERROR(I18*INDEX('PORTIFÓLIO'!$S$4:$S$433,MATCH($C18,'PORTIFÓLIO'!$C$4:$C$433,0)),"")</f>
        <v/>
      </c>
      <c r="L18" s="219" t="str">
        <f t="array" ref="L18">IFERROR(J18*INDEX('PORTIFÓLIO'!$S$4:$S$433,MATCH($C18,'PORTIFÓLIO'!$C$4:$C$433,0)),"")</f>
        <v/>
      </c>
      <c r="M18" s="220"/>
      <c r="N18" s="220"/>
      <c r="O18" s="220"/>
      <c r="P18" s="220"/>
      <c r="Q18" s="220"/>
      <c r="R18" s="220"/>
      <c r="S18" s="220"/>
      <c r="T18" s="220"/>
      <c r="U18" s="220" t="str">
        <f>IFERROR(__xludf.DUMMYFUNCTION("FILTER('PORTIFÓLIO'!C:C, 'PORTIFÓLIO'!B:B=B18)"),"#REF!")</f>
        <v>#REF!</v>
      </c>
      <c r="V18" s="220"/>
      <c r="W18" s="220"/>
    </row>
    <row r="19" outlineLevel="1">
      <c r="A19" s="211"/>
      <c r="B19" s="212"/>
      <c r="C19" s="213"/>
      <c r="D19" s="214" t="str">
        <f>IFERROR(VLOOKUP($C19,'PORTIFÓLIO'!C:V,2,0),"")</f>
        <v/>
      </c>
      <c r="E19" s="211" t="str">
        <f>IFERROR(VLOOKUP($C19,'PORTIFÓLIO'!C:V,3,0),"")</f>
        <v/>
      </c>
      <c r="F19" s="211" t="str">
        <f>IFERROR(VLOOKUP($C19,'PORTIFÓLIO'!C:V,4,0),"")</f>
        <v/>
      </c>
      <c r="G19" s="215" t="str">
        <f>IFERROR(VLOOKUP($C19,'PORTIFÓLIO'!C:V,5,0),"")</f>
        <v/>
      </c>
      <c r="H19" s="254" t="str">
        <f t="array" ref="H19">IFERROR(INDEX('PORTIFÓLIO'!$H$4:$H$433,MATCH($C19,'PORTIFÓLIO'!$C$4:$C$433,0)),"")</f>
        <v/>
      </c>
      <c r="I19" s="255"/>
      <c r="J19" s="218">
        <f t="shared" si="2"/>
        <v>0</v>
      </c>
      <c r="K19" s="219" t="str">
        <f t="array" ref="K19">IFERROR(I19*INDEX('PORTIFÓLIO'!$S$4:$S$433,MATCH($C19,'PORTIFÓLIO'!$C$4:$C$433,0)),"")</f>
        <v/>
      </c>
      <c r="L19" s="219" t="str">
        <f t="array" ref="L19">IFERROR(J19*INDEX('PORTIFÓLIO'!$S$4:$S$433,MATCH($C19,'PORTIFÓLIO'!$C$4:$C$433,0)),"")</f>
        <v/>
      </c>
      <c r="M19" s="220"/>
      <c r="N19" s="220"/>
      <c r="O19" s="220"/>
      <c r="P19" s="220"/>
      <c r="Q19" s="220"/>
      <c r="R19" s="220"/>
      <c r="S19" s="220"/>
      <c r="T19" s="220"/>
      <c r="U19" s="220" t="str">
        <f>IFERROR(__xludf.DUMMYFUNCTION("FILTER('PORTIFÓLIO'!C:C, 'PORTIFÓLIO'!B:B=B19)"),"")</f>
        <v/>
      </c>
      <c r="V19" s="220"/>
      <c r="W19" s="220"/>
    </row>
    <row r="20" outlineLevel="1">
      <c r="A20" s="211"/>
      <c r="B20" s="212"/>
      <c r="C20" s="213"/>
      <c r="D20" s="214" t="str">
        <f>IFERROR(VLOOKUP($C20,'PORTIFÓLIO'!C:V,2,0),"")</f>
        <v/>
      </c>
      <c r="E20" s="211" t="str">
        <f>IFERROR(VLOOKUP($C20,'PORTIFÓLIO'!C:V,3,0),"")</f>
        <v/>
      </c>
      <c r="F20" s="211" t="str">
        <f>IFERROR(VLOOKUP($C20,'PORTIFÓLIO'!C:V,4,0),"")</f>
        <v/>
      </c>
      <c r="G20" s="215" t="str">
        <f>IFERROR(VLOOKUP($C20,'PORTIFÓLIO'!C:V,5,0),"")</f>
        <v/>
      </c>
      <c r="H20" s="254" t="str">
        <f t="array" ref="H20">IFERROR(INDEX('PORTIFÓLIO'!$H$4:$H$433,MATCH($C20,'PORTIFÓLIO'!$C$4:$C$433,0)),"")</f>
        <v/>
      </c>
      <c r="I20" s="255"/>
      <c r="J20" s="218">
        <f t="shared" si="2"/>
        <v>0</v>
      </c>
      <c r="K20" s="219" t="str">
        <f t="array" ref="K20">IFERROR(I20*INDEX('PORTIFÓLIO'!$S$4:$S$433,MATCH($C20,'PORTIFÓLIO'!$C$4:$C$433,0)),"")</f>
        <v/>
      </c>
      <c r="L20" s="219" t="str">
        <f t="array" ref="L20">IFERROR(J20*INDEX('PORTIFÓLIO'!$S$4:$S$433,MATCH($C20,'PORTIFÓLIO'!$C$4:$C$433,0)),"")</f>
        <v/>
      </c>
      <c r="M20" s="220"/>
      <c r="N20" s="220"/>
      <c r="O20" s="220"/>
      <c r="P20" s="220"/>
      <c r="Q20" s="220"/>
      <c r="R20" s="220"/>
      <c r="S20" s="220"/>
      <c r="T20" s="220"/>
      <c r="U20" s="220"/>
      <c r="V20" s="220"/>
      <c r="W20" s="220"/>
    </row>
    <row r="21" ht="15.75" customHeight="1" outlineLevel="1">
      <c r="A21" s="211"/>
      <c r="B21" s="212"/>
      <c r="C21" s="213"/>
      <c r="D21" s="214" t="str">
        <f>IFERROR(VLOOKUP($C21,'PORTIFÓLIO'!C:V,2,0),"")</f>
        <v/>
      </c>
      <c r="E21" s="211" t="str">
        <f>IFERROR(VLOOKUP($C21,'PORTIFÓLIO'!C:V,3,0),"")</f>
        <v/>
      </c>
      <c r="F21" s="211" t="str">
        <f>IFERROR(VLOOKUP($C21,'PORTIFÓLIO'!C:V,4,0),"")</f>
        <v/>
      </c>
      <c r="G21" s="215" t="str">
        <f>IFERROR(VLOOKUP($C21,'PORTIFÓLIO'!C:V,5,0),"")</f>
        <v/>
      </c>
      <c r="H21" s="254" t="str">
        <f t="array" ref="H21">IFERROR(INDEX('PORTIFÓLIO'!$H$4:$H$433,MATCH($C21,'PORTIFÓLIO'!$C$4:$C$433,0)),"")</f>
        <v/>
      </c>
      <c r="I21" s="255"/>
      <c r="J21" s="218">
        <f t="shared" si="2"/>
        <v>0</v>
      </c>
      <c r="K21" s="219" t="str">
        <f t="array" ref="K21">IFERROR(I21*INDEX('PORTIFÓLIO'!$S$4:$S$433,MATCH($C21,'PORTIFÓLIO'!$C$4:$C$433,0)),"")</f>
        <v/>
      </c>
      <c r="L21" s="219" t="str">
        <f t="array" ref="L21">IFERROR(J21*INDEX('PORTIFÓLIO'!$S$4:$S$433,MATCH($C21,'PORTIFÓLIO'!$C$4:$C$433,0)),"")</f>
        <v/>
      </c>
      <c r="M21" s="220"/>
      <c r="N21" s="220"/>
      <c r="O21" s="220"/>
      <c r="P21" s="220"/>
      <c r="Q21" s="220"/>
      <c r="R21" s="220"/>
      <c r="S21" s="220"/>
      <c r="T21" s="220"/>
      <c r="U21" s="220"/>
      <c r="V21" s="220"/>
      <c r="W21" s="220"/>
    </row>
    <row r="22" ht="15.75" customHeight="1" outlineLevel="1">
      <c r="A22" s="211"/>
      <c r="B22" s="212"/>
      <c r="C22" s="213"/>
      <c r="D22" s="214" t="str">
        <f>IFERROR(VLOOKUP($C22,'PORTIFÓLIO'!C:V,2,0),"")</f>
        <v/>
      </c>
      <c r="E22" s="211" t="str">
        <f>IFERROR(VLOOKUP($C22,'PORTIFÓLIO'!C:V,3,0),"")</f>
        <v/>
      </c>
      <c r="F22" s="211" t="str">
        <f>IFERROR(VLOOKUP($C22,'PORTIFÓLIO'!C:V,4,0),"")</f>
        <v/>
      </c>
      <c r="G22" s="215" t="str">
        <f>IFERROR(VLOOKUP($C22,'PORTIFÓLIO'!C:V,5,0),"")</f>
        <v/>
      </c>
      <c r="H22" s="254" t="str">
        <f t="array" ref="H22">IFERROR(INDEX('PORTIFÓLIO'!$H$4:$H$433,MATCH($C22,'PORTIFÓLIO'!$C$4:$C$433,0)),"")</f>
        <v/>
      </c>
      <c r="I22" s="255"/>
      <c r="J22" s="218">
        <f t="shared" si="2"/>
        <v>0</v>
      </c>
      <c r="K22" s="219" t="str">
        <f t="array" ref="K22">IFERROR(I22*INDEX('PORTIFÓLIO'!$S$4:$S$433,MATCH($C22,'PORTIFÓLIO'!$C$4:$C$433,0)),"")</f>
        <v/>
      </c>
      <c r="L22" s="219" t="str">
        <f t="array" ref="L22">IFERROR(J22*INDEX('PORTIFÓLIO'!$S$4:$S$433,MATCH($C22,'PORTIFÓLIO'!$C$4:$C$433,0)),"")</f>
        <v/>
      </c>
      <c r="M22" s="220"/>
      <c r="N22" s="220"/>
      <c r="O22" s="220"/>
      <c r="P22" s="220"/>
      <c r="Q22" s="220"/>
      <c r="R22" s="220"/>
      <c r="S22" s="220"/>
      <c r="T22" s="220"/>
      <c r="U22" s="220"/>
      <c r="V22" s="220"/>
      <c r="W22" s="220"/>
    </row>
    <row r="23" ht="15.75" customHeight="1" outlineLevel="1">
      <c r="A23" s="211"/>
      <c r="B23" s="212"/>
      <c r="C23" s="213"/>
      <c r="D23" s="214" t="str">
        <f>IFERROR(VLOOKUP($C23,'PORTIFÓLIO'!C:V,2,0),"")</f>
        <v/>
      </c>
      <c r="E23" s="211" t="str">
        <f>IFERROR(VLOOKUP($C23,'PORTIFÓLIO'!C:V,3,0),"")</f>
        <v/>
      </c>
      <c r="F23" s="211" t="str">
        <f>IFERROR(VLOOKUP($C23,'PORTIFÓLIO'!C:V,4,0),"")</f>
        <v/>
      </c>
      <c r="G23" s="215" t="str">
        <f>IFERROR(VLOOKUP($C23,'PORTIFÓLIO'!C:V,5,0),"")</f>
        <v/>
      </c>
      <c r="H23" s="254" t="str">
        <f t="array" ref="H23">IFERROR(INDEX('PORTIFÓLIO'!$H$4:$H$433,MATCH($C23,'PORTIFÓLIO'!$C$4:$C$433,0)),"")</f>
        <v/>
      </c>
      <c r="I23" s="255"/>
      <c r="J23" s="218">
        <f t="shared" si="2"/>
        <v>0</v>
      </c>
      <c r="K23" s="219" t="str">
        <f t="array" ref="K23">IFERROR(I23*INDEX('PORTIFÓLIO'!$S$4:$S$433,MATCH($C23,'PORTIFÓLIO'!$C$4:$C$433,0)),"")</f>
        <v/>
      </c>
      <c r="L23" s="219" t="str">
        <f t="array" ref="L23">IFERROR(J23*INDEX('PORTIFÓLIO'!$S$4:$S$433,MATCH($C23,'PORTIFÓLIO'!$C$4:$C$433,0)),"")</f>
        <v/>
      </c>
      <c r="M23" s="220"/>
      <c r="N23" s="220"/>
      <c r="O23" s="220"/>
      <c r="P23" s="220"/>
      <c r="Q23" s="220"/>
      <c r="R23" s="220"/>
      <c r="S23" s="220"/>
      <c r="T23" s="220"/>
      <c r="U23" s="220"/>
      <c r="V23" s="220"/>
      <c r="W23" s="220"/>
    </row>
    <row r="24" ht="15.75" customHeight="1" outlineLevel="1">
      <c r="A24" s="211"/>
      <c r="B24" s="212"/>
      <c r="C24" s="213"/>
      <c r="D24" s="214" t="str">
        <f>IFERROR(VLOOKUP($C24,'PORTIFÓLIO'!C:V,2,0),"")</f>
        <v/>
      </c>
      <c r="E24" s="211" t="str">
        <f>IFERROR(VLOOKUP($C24,'PORTIFÓLIO'!C:V,3,0),"")</f>
        <v/>
      </c>
      <c r="F24" s="211" t="str">
        <f>IFERROR(VLOOKUP($C24,'PORTIFÓLIO'!C:V,4,0),"")</f>
        <v/>
      </c>
      <c r="G24" s="215" t="str">
        <f>IFERROR(VLOOKUP($C24,'PORTIFÓLIO'!C:V,5,0),"")</f>
        <v/>
      </c>
      <c r="H24" s="254" t="str">
        <f t="array" ref="H24">IFERROR(INDEX('PORTIFÓLIO'!$H$4:$H$433,MATCH($C24,'PORTIFÓLIO'!$C$4:$C$433,0)),"")</f>
        <v/>
      </c>
      <c r="I24" s="255"/>
      <c r="J24" s="218">
        <f t="shared" si="2"/>
        <v>0</v>
      </c>
      <c r="K24" s="219" t="str">
        <f t="array" ref="K24">IFERROR(I24*INDEX('PORTIFÓLIO'!$S$4:$S$433,MATCH($C24,'PORTIFÓLIO'!$C$4:$C$433,0)),"")</f>
        <v/>
      </c>
      <c r="L24" s="219" t="str">
        <f t="array" ref="L24">IFERROR(J24*INDEX('PORTIFÓLIO'!$S$4:$S$433,MATCH($C24,'PORTIFÓLIO'!$C$4:$C$433,0)),"")</f>
        <v/>
      </c>
      <c r="M24" s="220"/>
      <c r="N24" s="220"/>
      <c r="O24" s="220"/>
      <c r="P24" s="220"/>
      <c r="Q24" s="220"/>
      <c r="R24" s="220"/>
      <c r="S24" s="220"/>
      <c r="T24" s="220"/>
      <c r="U24" s="220"/>
      <c r="V24" s="220"/>
      <c r="W24" s="220"/>
    </row>
    <row r="25" ht="15.75" customHeight="1">
      <c r="A25" s="229" t="s">
        <v>1184</v>
      </c>
      <c r="B25" s="230"/>
      <c r="C25" s="231"/>
      <c r="D25" s="232"/>
      <c r="E25" s="231"/>
      <c r="F25" s="231"/>
      <c r="G25" s="233"/>
      <c r="H25" s="233"/>
      <c r="I25" s="258"/>
      <c r="J25" s="236"/>
      <c r="K25" s="237">
        <f t="shared" ref="K25:L25" si="3">SUBTOTAL(9,K26:K39)</f>
        <v>75.38517</v>
      </c>
      <c r="L25" s="237">
        <f t="shared" si="3"/>
        <v>9800.0721</v>
      </c>
      <c r="M25" s="220"/>
      <c r="N25" s="220"/>
      <c r="O25" s="220"/>
      <c r="P25" s="220"/>
      <c r="Q25" s="220"/>
      <c r="R25" s="220"/>
      <c r="S25" s="220"/>
      <c r="T25" s="220"/>
      <c r="U25" s="220"/>
      <c r="V25" s="220"/>
      <c r="W25" s="220"/>
    </row>
    <row r="26" ht="15.75" customHeight="1" outlineLevel="1">
      <c r="A26" s="213"/>
      <c r="B26" s="212" t="s">
        <v>1</v>
      </c>
      <c r="C26" s="213" t="s">
        <v>637</v>
      </c>
      <c r="D26" s="214" t="str">
        <f>IFERROR(VLOOKUP($C26,'PORTIFÓLIO'!C:V,2,0),"")</f>
        <v>GLIFOSATO-SAL DE AMÔNIO</v>
      </c>
      <c r="E26" s="211">
        <f>IFERROR(VLOOKUP($C26,'PORTIFÓLIO'!C:V,3,0),"")</f>
        <v>720</v>
      </c>
      <c r="F26" s="211" t="str">
        <f>IFERROR(VLOOKUP($C26,'PORTIFÓLIO'!C:V,4,0),"")</f>
        <v>L</v>
      </c>
      <c r="G26" s="225" t="str">
        <f>IFERROR(VLOOKUP($C26,'PORTIFÓLIO'!C:V,5,0),"")</f>
        <v>📄 Ver bula</v>
      </c>
      <c r="H26" s="254">
        <f t="array" ref="H26">IFERROR(INDEX('PORTIFÓLIO'!$H$4:$H$433,MATCH($C26,'PORTIFÓLIO'!$C$4:$C$433,0)),"")</f>
        <v>2</v>
      </c>
      <c r="I26" s="255">
        <v>2.0</v>
      </c>
      <c r="J26" s="218">
        <f t="shared" ref="J26:J43" si="4">I26*$B$2</f>
        <v>260</v>
      </c>
      <c r="K26" s="219">
        <f t="array" ref="K26">IFERROR(I26*INDEX('PORTIFÓLIO'!$S$4:$S$433,MATCH($C26,'PORTIFÓLIO'!$C$4:$C$433,0)),"")</f>
        <v>49.16</v>
      </c>
      <c r="L26" s="219">
        <f t="array" ref="L26">IFERROR(J26*INDEX('PORTIFÓLIO'!$S$4:$S$433,MATCH($C26,'PORTIFÓLIO'!$C$4:$C$433,0)),"")</f>
        <v>6390.8</v>
      </c>
      <c r="M26" s="220"/>
      <c r="N26" s="220"/>
      <c r="O26" s="220"/>
      <c r="P26" s="220"/>
      <c r="Q26" s="220"/>
      <c r="R26" s="220"/>
      <c r="S26" s="220"/>
      <c r="T26" s="220"/>
      <c r="U26" s="220"/>
      <c r="V26" s="220"/>
      <c r="W26" s="220"/>
    </row>
    <row r="27" ht="15.75" customHeight="1" outlineLevel="1">
      <c r="A27" s="211"/>
      <c r="B27" s="212" t="s">
        <v>6</v>
      </c>
      <c r="C27" s="213" t="s">
        <v>354</v>
      </c>
      <c r="D27" s="214" t="str">
        <f>IFERROR(VLOOKUP($C27,'PORTIFÓLIO'!C:V,2,0),"")</f>
        <v>OLEO MINERAL</v>
      </c>
      <c r="E27" s="211">
        <f>IFERROR(VLOOKUP($C27,'PORTIFÓLIO'!C:V,3,0),"")</f>
        <v>761</v>
      </c>
      <c r="F27" s="211" t="str">
        <f>IFERROR(VLOOKUP($C27,'PORTIFÓLIO'!C:V,4,0),"")</f>
        <v>L</v>
      </c>
      <c r="G27" s="225" t="str">
        <f>IFERROR(VLOOKUP($C27,'PORTIFÓLIO'!C:V,5,0),"")</f>
        <v>📄 Ver bula</v>
      </c>
      <c r="H27" s="254">
        <f t="array" ref="H27">IFERROR(INDEX('PORTIFÓLIO'!$H$4:$H$433,MATCH($C27,'PORTIFÓLIO'!$C$4:$C$433,0)),"")</f>
        <v>0.2</v>
      </c>
      <c r="I27" s="255">
        <v>0.2</v>
      </c>
      <c r="J27" s="218">
        <f t="shared" si="4"/>
        <v>26</v>
      </c>
      <c r="K27" s="219">
        <f t="array" ref="K27">IFERROR(I27*INDEX('PORTIFÓLIO'!$S$4:$S$433,MATCH($C27,'PORTIFÓLIO'!$C$4:$C$433,0)),"")</f>
        <v>3.206</v>
      </c>
      <c r="L27" s="219">
        <f t="array" ref="L27">IFERROR(J27*INDEX('PORTIFÓLIO'!$S$4:$S$433,MATCH($C27,'PORTIFÓLIO'!$C$4:$C$433,0)),"")</f>
        <v>416.78</v>
      </c>
      <c r="M27" s="220"/>
      <c r="N27" s="220"/>
      <c r="O27" s="220"/>
      <c r="P27" s="220"/>
      <c r="Q27" s="220"/>
      <c r="R27" s="220"/>
      <c r="S27" s="220"/>
      <c r="T27" s="220"/>
      <c r="U27" s="220"/>
      <c r="V27" s="220"/>
      <c r="W27" s="220"/>
    </row>
    <row r="28" ht="15.75" customHeight="1" outlineLevel="1">
      <c r="A28" s="211"/>
      <c r="B28" s="212" t="s">
        <v>1</v>
      </c>
      <c r="C28" s="213" t="s">
        <v>683</v>
      </c>
      <c r="D28" s="214" t="str">
        <f>IFERROR(VLOOKUP($C28,'PORTIFÓLIO'!C:V,2,0),"")</f>
        <v>GLUFOSINATO - SAL DE AMONIO</v>
      </c>
      <c r="E28" s="211">
        <f>IFERROR(VLOOKUP($C28,'PORTIFÓLIO'!C:V,3,0),"")</f>
        <v>880</v>
      </c>
      <c r="F28" s="211" t="str">
        <f>IFERROR(VLOOKUP($C28,'PORTIFÓLIO'!C:V,4,0),"")</f>
        <v>L</v>
      </c>
      <c r="G28" s="225" t="str">
        <f>IFERROR(VLOOKUP($C28,'PORTIFÓLIO'!C:V,5,0),"")</f>
        <v>📄 Ver bula</v>
      </c>
      <c r="H28" s="254">
        <f t="array" ref="H28">IFERROR(INDEX('PORTIFÓLIO'!$H$4:$H$433,MATCH($C28,'PORTIFÓLIO'!$C$4:$C$433,0)),"")</f>
        <v>0.5</v>
      </c>
      <c r="I28" s="255">
        <v>0.5</v>
      </c>
      <c r="J28" s="218">
        <f t="shared" si="4"/>
        <v>65</v>
      </c>
      <c r="K28" s="219">
        <f t="array" ref="K28">IFERROR(I28*INDEX('PORTIFÓLIO'!$S$4:$S$433,MATCH($C28,'PORTIFÓLIO'!$C$4:$C$433,0)),"")</f>
        <v>23.01917</v>
      </c>
      <c r="L28" s="219">
        <f t="array" ref="L28">IFERROR(J28*INDEX('PORTIFÓLIO'!$S$4:$S$433,MATCH($C28,'PORTIFÓLIO'!$C$4:$C$433,0)),"")</f>
        <v>2992.4921</v>
      </c>
      <c r="M28" s="220"/>
      <c r="N28" s="220"/>
      <c r="O28" s="220"/>
      <c r="P28" s="220"/>
      <c r="Q28" s="220"/>
      <c r="R28" s="220"/>
      <c r="S28" s="220"/>
      <c r="T28" s="220"/>
      <c r="U28" s="220"/>
      <c r="V28" s="220"/>
      <c r="W28" s="220"/>
    </row>
    <row r="29" ht="15.75" customHeight="1" outlineLevel="1">
      <c r="A29" s="211"/>
      <c r="B29" s="212"/>
      <c r="C29" s="213"/>
      <c r="D29" s="214" t="str">
        <f>IFERROR(VLOOKUP($C29,'PORTIFÓLIO'!C:V,2,0),"")</f>
        <v/>
      </c>
      <c r="E29" s="211" t="str">
        <f>IFERROR(VLOOKUP($C29,'PORTIFÓLIO'!C:V,3,0),"")</f>
        <v/>
      </c>
      <c r="F29" s="211" t="str">
        <f>IFERROR(VLOOKUP($C29,'PORTIFÓLIO'!C:V,4,0),"")</f>
        <v/>
      </c>
      <c r="G29" s="215" t="str">
        <f>IFERROR(VLOOKUP($C29,'PORTIFÓLIO'!C:V,5,0),"")</f>
        <v/>
      </c>
      <c r="H29" s="254" t="str">
        <f t="array" ref="H29">IFERROR(INDEX('PORTIFÓLIO'!$H$4:$H$433,MATCH($C29,'PORTIFÓLIO'!$C$4:$C$433,0)),"")</f>
        <v/>
      </c>
      <c r="I29" s="255"/>
      <c r="J29" s="218">
        <f t="shared" si="4"/>
        <v>0</v>
      </c>
      <c r="K29" s="219" t="str">
        <f t="array" ref="K29">IFERROR(I29*INDEX('PORTIFÓLIO'!$S$4:$S$433,MATCH($C29,'PORTIFÓLIO'!$C$4:$C$433,0)),"")</f>
        <v/>
      </c>
      <c r="L29" s="219" t="str">
        <f t="array" ref="L29">IFERROR(J29*INDEX('PORTIFÓLIO'!$S$4:$S$433,MATCH($C29,'PORTIFÓLIO'!$C$4:$C$433,0)),"")</f>
        <v/>
      </c>
      <c r="M29" s="220"/>
      <c r="N29" s="220"/>
      <c r="O29" s="220"/>
      <c r="P29" s="220"/>
      <c r="Q29" s="220"/>
      <c r="R29" s="220"/>
      <c r="S29" s="220"/>
      <c r="T29" s="220"/>
      <c r="U29" s="220"/>
      <c r="V29" s="220"/>
      <c r="W29" s="220"/>
    </row>
    <row r="30" ht="15.75" customHeight="1" outlineLevel="1">
      <c r="A30" s="211"/>
      <c r="B30" s="212"/>
      <c r="C30" s="213"/>
      <c r="D30" s="214" t="str">
        <f>IFERROR(VLOOKUP($C30,'PORTIFÓLIO'!C:V,2,0),"")</f>
        <v/>
      </c>
      <c r="E30" s="211" t="str">
        <f>IFERROR(VLOOKUP($C30,'PORTIFÓLIO'!C:V,3,0),"")</f>
        <v/>
      </c>
      <c r="F30" s="211" t="str">
        <f>IFERROR(VLOOKUP($C30,'PORTIFÓLIO'!C:V,4,0),"")</f>
        <v/>
      </c>
      <c r="G30" s="215" t="str">
        <f>IFERROR(VLOOKUP($C30,'PORTIFÓLIO'!C:V,5,0),"")</f>
        <v/>
      </c>
      <c r="H30" s="254" t="str">
        <f t="array" ref="H30">IFERROR(INDEX('PORTIFÓLIO'!$H$4:$H$433,MATCH($C30,'PORTIFÓLIO'!$C$4:$C$433,0)),"")</f>
        <v/>
      </c>
      <c r="I30" s="255"/>
      <c r="J30" s="218">
        <f t="shared" si="4"/>
        <v>0</v>
      </c>
      <c r="K30" s="219" t="str">
        <f t="array" ref="K30">IFERROR(I30*INDEX('PORTIFÓLIO'!$S$4:$S$433,MATCH($C30,'PORTIFÓLIO'!$C$4:$C$433,0)),"")</f>
        <v/>
      </c>
      <c r="L30" s="219" t="str">
        <f t="array" ref="L30">IFERROR(J30*INDEX('PORTIFÓLIO'!$S$4:$S$433,MATCH($C30,'PORTIFÓLIO'!$C$4:$C$433,0)),"")</f>
        <v/>
      </c>
      <c r="M30" s="220"/>
      <c r="N30" s="220"/>
      <c r="O30" s="220"/>
      <c r="P30" s="220"/>
      <c r="Q30" s="220"/>
      <c r="R30" s="220"/>
      <c r="S30" s="220"/>
      <c r="T30" s="220"/>
      <c r="U30" s="220"/>
      <c r="V30" s="220"/>
      <c r="W30" s="220"/>
    </row>
    <row r="31" ht="15.75" customHeight="1" outlineLevel="1">
      <c r="A31" s="211"/>
      <c r="B31" s="212"/>
      <c r="C31" s="213"/>
      <c r="D31" s="214" t="str">
        <f>IFERROR(VLOOKUP($C31,'PORTIFÓLIO'!C:V,2,0),"")</f>
        <v/>
      </c>
      <c r="E31" s="211" t="str">
        <f>IFERROR(VLOOKUP($C31,'PORTIFÓLIO'!C:V,3,0),"")</f>
        <v/>
      </c>
      <c r="F31" s="211" t="str">
        <f>IFERROR(VLOOKUP($C31,'PORTIFÓLIO'!C:V,4,0),"")</f>
        <v/>
      </c>
      <c r="G31" s="215" t="str">
        <f>IFERROR(VLOOKUP($C31,'PORTIFÓLIO'!C:V,5,0),"")</f>
        <v/>
      </c>
      <c r="H31" s="254" t="str">
        <f t="array" ref="H31">IFERROR(INDEX('PORTIFÓLIO'!$H$4:$H$433,MATCH($C31,'PORTIFÓLIO'!$C$4:$C$433,0)),"")</f>
        <v/>
      </c>
      <c r="I31" s="255"/>
      <c r="J31" s="218">
        <f t="shared" si="4"/>
        <v>0</v>
      </c>
      <c r="K31" s="219" t="str">
        <f t="array" ref="K31">IFERROR(I31*INDEX('PORTIFÓLIO'!$S$4:$S$433,MATCH($C31,'PORTIFÓLIO'!$C$4:$C$433,0)),"")</f>
        <v/>
      </c>
      <c r="L31" s="219" t="str">
        <f t="array" ref="L31">IFERROR(J31*INDEX('PORTIFÓLIO'!$S$4:$S$433,MATCH($C31,'PORTIFÓLIO'!$C$4:$C$433,0)),"")</f>
        <v/>
      </c>
      <c r="M31" s="220"/>
      <c r="N31" s="220"/>
      <c r="O31" s="220"/>
      <c r="P31" s="220"/>
      <c r="Q31" s="220"/>
      <c r="R31" s="220"/>
      <c r="S31" s="220"/>
      <c r="T31" s="220"/>
      <c r="U31" s="220"/>
      <c r="V31" s="220"/>
      <c r="W31" s="220"/>
    </row>
    <row r="32" ht="15.75" customHeight="1" outlineLevel="1">
      <c r="A32" s="211"/>
      <c r="B32" s="212"/>
      <c r="C32" s="213"/>
      <c r="D32" s="214" t="str">
        <f>IFERROR(VLOOKUP($C32,'PORTIFÓLIO'!C:V,2,0),"")</f>
        <v/>
      </c>
      <c r="E32" s="211" t="str">
        <f>IFERROR(VLOOKUP($C32,'PORTIFÓLIO'!C:V,3,0),"")</f>
        <v/>
      </c>
      <c r="F32" s="211" t="str">
        <f>IFERROR(VLOOKUP($C32,'PORTIFÓLIO'!C:V,4,0),"")</f>
        <v/>
      </c>
      <c r="G32" s="215" t="str">
        <f>IFERROR(VLOOKUP($C32,'PORTIFÓLIO'!C:V,5,0),"")</f>
        <v/>
      </c>
      <c r="H32" s="254" t="str">
        <f t="array" ref="H32">IFERROR(INDEX('PORTIFÓLIO'!$H$4:$H$433,MATCH($C32,'PORTIFÓLIO'!$C$4:$C$433,0)),"")</f>
        <v/>
      </c>
      <c r="I32" s="256"/>
      <c r="J32" s="218">
        <f t="shared" si="4"/>
        <v>0</v>
      </c>
      <c r="K32" s="219" t="str">
        <f t="array" ref="K32">IFERROR(I32*INDEX('PORTIFÓLIO'!$S$4:$S$433,MATCH($C32,'PORTIFÓLIO'!$C$4:$C$433,0)),"")</f>
        <v/>
      </c>
      <c r="L32" s="219" t="str">
        <f t="array" ref="L32">IFERROR(J32*INDEX('PORTIFÓLIO'!$S$4:$S$433,MATCH($C32,'PORTIFÓLIO'!$C$4:$C$433,0)),"")</f>
        <v/>
      </c>
      <c r="M32" s="220"/>
      <c r="N32" s="220"/>
      <c r="O32" s="220"/>
      <c r="P32" s="220"/>
      <c r="Q32" s="220"/>
      <c r="R32" s="220"/>
      <c r="S32" s="220"/>
      <c r="T32" s="220"/>
      <c r="U32" s="220"/>
      <c r="V32" s="220"/>
      <c r="W32" s="220"/>
    </row>
    <row r="33" ht="15.75" customHeight="1" outlineLevel="1">
      <c r="A33" s="211"/>
      <c r="B33" s="212"/>
      <c r="C33" s="213"/>
      <c r="D33" s="214" t="str">
        <f>IFERROR(VLOOKUP($C33,'PORTIFÓLIO'!C:V,2,0),"")</f>
        <v/>
      </c>
      <c r="E33" s="211" t="str">
        <f>IFERROR(VLOOKUP($C33,'PORTIFÓLIO'!C:V,3,0),"")</f>
        <v/>
      </c>
      <c r="F33" s="211" t="str">
        <f>IFERROR(VLOOKUP($C33,'PORTIFÓLIO'!C:V,4,0),"")</f>
        <v/>
      </c>
      <c r="G33" s="215" t="str">
        <f>IFERROR(VLOOKUP($C33,'PORTIFÓLIO'!C:V,5,0),"")</f>
        <v/>
      </c>
      <c r="H33" s="254" t="str">
        <f t="array" ref="H33">IFERROR(INDEX('PORTIFÓLIO'!$H$4:$H$433,MATCH($C33,'PORTIFÓLIO'!$C$4:$C$433,0)),"")</f>
        <v/>
      </c>
      <c r="I33" s="256"/>
      <c r="J33" s="218">
        <f t="shared" si="4"/>
        <v>0</v>
      </c>
      <c r="K33" s="219" t="str">
        <f t="array" ref="K33">IFERROR(I33*INDEX('PORTIFÓLIO'!$S$4:$S$433,MATCH($C33,'PORTIFÓLIO'!$C$4:$C$433,0)),"")</f>
        <v/>
      </c>
      <c r="L33" s="219" t="str">
        <f t="array" ref="L33">IFERROR(J33*INDEX('PORTIFÓLIO'!$S$4:$S$433,MATCH($C33,'PORTIFÓLIO'!$C$4:$C$433,0)),"")</f>
        <v/>
      </c>
      <c r="M33" s="220"/>
      <c r="N33" s="220"/>
      <c r="O33" s="220"/>
      <c r="P33" s="220"/>
      <c r="Q33" s="220"/>
      <c r="R33" s="220"/>
      <c r="S33" s="220"/>
      <c r="T33" s="220"/>
      <c r="U33" s="220"/>
      <c r="V33" s="220"/>
      <c r="W33" s="220"/>
    </row>
    <row r="34" ht="15.75" customHeight="1" outlineLevel="1">
      <c r="A34" s="211"/>
      <c r="B34" s="212"/>
      <c r="C34" s="213"/>
      <c r="D34" s="214" t="str">
        <f>IFERROR(VLOOKUP($C34,'PORTIFÓLIO'!C:V,2,0),"")</f>
        <v/>
      </c>
      <c r="E34" s="211" t="str">
        <f>IFERROR(VLOOKUP($C34,'PORTIFÓLIO'!C:V,3,0),"")</f>
        <v/>
      </c>
      <c r="F34" s="211" t="str">
        <f>IFERROR(VLOOKUP($C34,'PORTIFÓLIO'!C:V,4,0),"")</f>
        <v/>
      </c>
      <c r="G34" s="215" t="str">
        <f>IFERROR(VLOOKUP($C34,'PORTIFÓLIO'!C:V,5,0),"")</f>
        <v/>
      </c>
      <c r="H34" s="254" t="str">
        <f t="array" ref="H34">IFERROR(INDEX('PORTIFÓLIO'!$H$4:$H$433,MATCH($C34,'PORTIFÓLIO'!$C$4:$C$433,0)),"")</f>
        <v/>
      </c>
      <c r="I34" s="255"/>
      <c r="J34" s="218">
        <f t="shared" si="4"/>
        <v>0</v>
      </c>
      <c r="K34" s="219" t="str">
        <f t="array" ref="K34">IFERROR(I34*INDEX('PORTIFÓLIO'!$S$4:$S$433,MATCH($C34,'PORTIFÓLIO'!$C$4:$C$433,0)),"")</f>
        <v/>
      </c>
      <c r="L34" s="219" t="str">
        <f t="array" ref="L34">IFERROR(J34*INDEX('PORTIFÓLIO'!$S$4:$S$433,MATCH($C34,'PORTIFÓLIO'!$C$4:$C$433,0)),"")</f>
        <v/>
      </c>
      <c r="M34" s="220"/>
      <c r="N34" s="220"/>
      <c r="O34" s="220"/>
      <c r="P34" s="220"/>
      <c r="Q34" s="220"/>
      <c r="R34" s="220"/>
      <c r="S34" s="220"/>
      <c r="T34" s="220"/>
      <c r="U34" s="220"/>
      <c r="V34" s="220"/>
      <c r="W34" s="220"/>
    </row>
    <row r="35" ht="15.75" customHeight="1" outlineLevel="1">
      <c r="A35" s="211"/>
      <c r="B35" s="212"/>
      <c r="C35" s="213"/>
      <c r="D35" s="214" t="str">
        <f>IFERROR(VLOOKUP($C35,'PORTIFÓLIO'!C:V,2,0),"")</f>
        <v/>
      </c>
      <c r="E35" s="211" t="str">
        <f>IFERROR(VLOOKUP($C35,'PORTIFÓLIO'!C:V,3,0),"")</f>
        <v/>
      </c>
      <c r="F35" s="211" t="str">
        <f>IFERROR(VLOOKUP($C35,'PORTIFÓLIO'!C:V,4,0),"")</f>
        <v/>
      </c>
      <c r="G35" s="215" t="str">
        <f>IFERROR(VLOOKUP($C35,'PORTIFÓLIO'!C:V,5,0),"")</f>
        <v/>
      </c>
      <c r="H35" s="254" t="str">
        <f t="array" ref="H35">IFERROR(INDEX('PORTIFÓLIO'!$H$4:$H$433,MATCH($C35,'PORTIFÓLIO'!$C$4:$C$433,0)),"")</f>
        <v/>
      </c>
      <c r="I35" s="256"/>
      <c r="J35" s="218">
        <f t="shared" si="4"/>
        <v>0</v>
      </c>
      <c r="K35" s="219" t="str">
        <f t="array" ref="K35">IFERROR(I35*INDEX('PORTIFÓLIO'!$S$4:$S$433,MATCH($C35,'PORTIFÓLIO'!$C$4:$C$433,0)),"")</f>
        <v/>
      </c>
      <c r="L35" s="219" t="str">
        <f t="array" ref="L35">IFERROR(J35*INDEX('PORTIFÓLIO'!$S$4:$S$433,MATCH($C35,'PORTIFÓLIO'!$C$4:$C$433,0)),"")</f>
        <v/>
      </c>
      <c r="M35" s="220"/>
      <c r="N35" s="220"/>
      <c r="O35" s="220"/>
      <c r="P35" s="220"/>
      <c r="Q35" s="220"/>
      <c r="R35" s="220"/>
      <c r="S35" s="220"/>
      <c r="T35" s="220"/>
      <c r="U35" s="220"/>
      <c r="V35" s="220"/>
      <c r="W35" s="220"/>
    </row>
    <row r="36" ht="15.75" customHeight="1" outlineLevel="1">
      <c r="A36" s="211"/>
      <c r="B36" s="212"/>
      <c r="C36" s="213"/>
      <c r="D36" s="214" t="str">
        <f>IFERROR(VLOOKUP($C36,'PORTIFÓLIO'!C:V,2,0),"")</f>
        <v/>
      </c>
      <c r="E36" s="211" t="str">
        <f>IFERROR(VLOOKUP($C36,'PORTIFÓLIO'!C:V,3,0),"")</f>
        <v/>
      </c>
      <c r="F36" s="211" t="str">
        <f>IFERROR(VLOOKUP($C36,'PORTIFÓLIO'!C:V,4,0),"")</f>
        <v/>
      </c>
      <c r="G36" s="215" t="str">
        <f>IFERROR(VLOOKUP($C36,'PORTIFÓLIO'!C:V,5,0),"")</f>
        <v/>
      </c>
      <c r="H36" s="254" t="str">
        <f t="array" ref="H36">IFERROR(INDEX('PORTIFÓLIO'!$H$4:$H$433,MATCH($C36,'PORTIFÓLIO'!$C$4:$C$433,0)),"")</f>
        <v/>
      </c>
      <c r="I36" s="256"/>
      <c r="J36" s="218">
        <f t="shared" si="4"/>
        <v>0</v>
      </c>
      <c r="K36" s="219" t="str">
        <f t="array" ref="K36">IFERROR(I36*INDEX('PORTIFÓLIO'!$S$4:$S$433,MATCH($C36,'PORTIFÓLIO'!$C$4:$C$433,0)),"")</f>
        <v/>
      </c>
      <c r="L36" s="219" t="str">
        <f t="array" ref="L36">IFERROR(J36*INDEX('PORTIFÓLIO'!$S$4:$S$433,MATCH($C36,'PORTIFÓLIO'!$C$4:$C$433,0)),"")</f>
        <v/>
      </c>
      <c r="M36" s="220"/>
      <c r="N36" s="220"/>
      <c r="O36" s="220"/>
      <c r="P36" s="220"/>
      <c r="Q36" s="220"/>
      <c r="R36" s="220"/>
      <c r="S36" s="220"/>
      <c r="T36" s="220"/>
      <c r="U36" s="220"/>
      <c r="V36" s="220"/>
      <c r="W36" s="220"/>
    </row>
    <row r="37" ht="15.75" customHeight="1" outlineLevel="1">
      <c r="A37" s="211"/>
      <c r="B37" s="212"/>
      <c r="C37" s="213"/>
      <c r="D37" s="214" t="str">
        <f>IFERROR(VLOOKUP($C37,'PORTIFÓLIO'!C:V,2,0),"")</f>
        <v/>
      </c>
      <c r="E37" s="211" t="str">
        <f>IFERROR(VLOOKUP($C37,'PORTIFÓLIO'!C:V,3,0),"")</f>
        <v/>
      </c>
      <c r="F37" s="211" t="str">
        <f>IFERROR(VLOOKUP($C37,'PORTIFÓLIO'!C:V,4,0),"")</f>
        <v/>
      </c>
      <c r="G37" s="215" t="str">
        <f>IFERROR(VLOOKUP($C37,'PORTIFÓLIO'!C:V,5,0),"")</f>
        <v/>
      </c>
      <c r="H37" s="254" t="str">
        <f t="array" ref="H37">IFERROR(INDEX('PORTIFÓLIO'!$H$4:$H$433,MATCH($C37,'PORTIFÓLIO'!$C$4:$C$433,0)),"")</f>
        <v/>
      </c>
      <c r="I37" s="256"/>
      <c r="J37" s="218">
        <f t="shared" si="4"/>
        <v>0</v>
      </c>
      <c r="K37" s="219" t="str">
        <f t="array" ref="K37">IFERROR(I37*INDEX('PORTIFÓLIO'!$S$4:$S$433,MATCH($C37,'PORTIFÓLIO'!$C$4:$C$433,0)),"")</f>
        <v/>
      </c>
      <c r="L37" s="219" t="str">
        <f t="array" ref="L37">IFERROR(J37*INDEX('PORTIFÓLIO'!$S$4:$S$433,MATCH($C37,'PORTIFÓLIO'!$C$4:$C$433,0)),"")</f>
        <v/>
      </c>
      <c r="M37" s="220"/>
      <c r="N37" s="220"/>
      <c r="O37" s="220"/>
      <c r="P37" s="220"/>
      <c r="Q37" s="220"/>
      <c r="R37" s="220"/>
      <c r="S37" s="220"/>
      <c r="T37" s="220"/>
      <c r="U37" s="220"/>
      <c r="V37" s="220"/>
      <c r="W37" s="220"/>
    </row>
    <row r="38" ht="15.75" customHeight="1" outlineLevel="1">
      <c r="A38" s="211"/>
      <c r="B38" s="212"/>
      <c r="C38" s="213"/>
      <c r="D38" s="214" t="str">
        <f>IFERROR(VLOOKUP($C38,'PORTIFÓLIO'!C:V,2,0),"")</f>
        <v/>
      </c>
      <c r="E38" s="211" t="str">
        <f>IFERROR(VLOOKUP($C38,'PORTIFÓLIO'!C:V,3,0),"")</f>
        <v/>
      </c>
      <c r="F38" s="211" t="str">
        <f>IFERROR(VLOOKUP($C38,'PORTIFÓLIO'!C:V,4,0),"")</f>
        <v/>
      </c>
      <c r="G38" s="215" t="str">
        <f>IFERROR(VLOOKUP($C38,'PORTIFÓLIO'!C:V,5,0),"")</f>
        <v/>
      </c>
      <c r="H38" s="254" t="str">
        <f t="array" ref="H38">IFERROR(INDEX('PORTIFÓLIO'!$H$4:$H$433,MATCH($C38,'PORTIFÓLIO'!$C$4:$C$433,0)),"")</f>
        <v/>
      </c>
      <c r="I38" s="256"/>
      <c r="J38" s="218">
        <f t="shared" si="4"/>
        <v>0</v>
      </c>
      <c r="K38" s="219" t="str">
        <f t="array" ref="K38">IFERROR(I38*INDEX('PORTIFÓLIO'!$S$4:$S$433,MATCH($C38,'PORTIFÓLIO'!$C$4:$C$433,0)),"")</f>
        <v/>
      </c>
      <c r="L38" s="219" t="str">
        <f t="array" ref="L38">IFERROR(J38*INDEX('PORTIFÓLIO'!$S$4:$S$433,MATCH($C38,'PORTIFÓLIO'!$C$4:$C$433,0)),"")</f>
        <v/>
      </c>
      <c r="M38" s="220"/>
      <c r="N38" s="220"/>
      <c r="O38" s="220"/>
      <c r="P38" s="220"/>
      <c r="Q38" s="220"/>
      <c r="R38" s="220"/>
      <c r="S38" s="220"/>
      <c r="T38" s="220"/>
      <c r="U38" s="220"/>
      <c r="V38" s="220"/>
      <c r="W38" s="220"/>
    </row>
    <row r="39" ht="15.75" customHeight="1" outlineLevel="1">
      <c r="A39" s="211"/>
      <c r="B39" s="212"/>
      <c r="C39" s="213"/>
      <c r="D39" s="214" t="str">
        <f>IFERROR(VLOOKUP($C39,'PORTIFÓLIO'!C:V,2,0),"")</f>
        <v/>
      </c>
      <c r="E39" s="211" t="str">
        <f>IFERROR(VLOOKUP($C39,'PORTIFÓLIO'!C:V,3,0),"")</f>
        <v/>
      </c>
      <c r="F39" s="211" t="str">
        <f>IFERROR(VLOOKUP($C39,'PORTIFÓLIO'!C:V,4,0),"")</f>
        <v/>
      </c>
      <c r="G39" s="215" t="str">
        <f>IFERROR(VLOOKUP($C39,'PORTIFÓLIO'!C:V,5,0),"")</f>
        <v/>
      </c>
      <c r="H39" s="254" t="str">
        <f t="array" ref="H39">IFERROR(INDEX('PORTIFÓLIO'!$H$4:$H$433,MATCH($C39,'PORTIFÓLIO'!$C$4:$C$433,0)),"")</f>
        <v/>
      </c>
      <c r="I39" s="256"/>
      <c r="J39" s="218">
        <f t="shared" si="4"/>
        <v>0</v>
      </c>
      <c r="K39" s="219" t="str">
        <f t="array" ref="K39">IFERROR(I39*INDEX('PORTIFÓLIO'!$S$4:$S$433,MATCH($C39,'PORTIFÓLIO'!$C$4:$C$433,0)),"")</f>
        <v/>
      </c>
      <c r="L39" s="219" t="str">
        <f t="array" ref="L39">IFERROR(J39*INDEX('PORTIFÓLIO'!$S$4:$S$433,MATCH($C39,'PORTIFÓLIO'!$C$4:$C$433,0)),"")</f>
        <v/>
      </c>
      <c r="M39" s="220"/>
      <c r="N39" s="220"/>
      <c r="O39" s="220"/>
      <c r="P39" s="220"/>
      <c r="Q39" s="220"/>
      <c r="R39" s="220"/>
      <c r="S39" s="220"/>
      <c r="T39" s="220"/>
      <c r="U39" s="220"/>
      <c r="V39" s="220"/>
      <c r="W39" s="220"/>
    </row>
    <row r="40" ht="15.75" customHeight="1" outlineLevel="1">
      <c r="A40" s="211"/>
      <c r="B40" s="212"/>
      <c r="C40" s="213"/>
      <c r="D40" s="214" t="str">
        <f>IFERROR(VLOOKUP($C40,'PORTIFÓLIO'!C:V,2,0),"")</f>
        <v/>
      </c>
      <c r="E40" s="211" t="str">
        <f>IFERROR(VLOOKUP($C40,'PORTIFÓLIO'!C:V,3,0),"")</f>
        <v/>
      </c>
      <c r="F40" s="211" t="str">
        <f>IFERROR(VLOOKUP($C40,'PORTIFÓLIO'!C:V,4,0),"")</f>
        <v/>
      </c>
      <c r="G40" s="215" t="str">
        <f>IFERROR(VLOOKUP($C40,'PORTIFÓLIO'!C:V,5,0),"")</f>
        <v/>
      </c>
      <c r="H40" s="254" t="str">
        <f t="array" ref="H40">IFERROR(INDEX('PORTIFÓLIO'!$H$4:$H$433,MATCH($C40,'PORTIFÓLIO'!$C$4:$C$433,0)),"")</f>
        <v/>
      </c>
      <c r="I40" s="256"/>
      <c r="J40" s="218">
        <f t="shared" si="4"/>
        <v>0</v>
      </c>
      <c r="K40" s="219" t="str">
        <f t="array" ref="K40">IFERROR(I40*INDEX('PORTIFÓLIO'!$S$4:$S$433,MATCH($C40,'PORTIFÓLIO'!$C$4:$C$433,0)),"")</f>
        <v/>
      </c>
      <c r="L40" s="219" t="str">
        <f t="array" ref="L40">IFERROR(J40*INDEX('PORTIFÓLIO'!$S$4:$S$433,MATCH($C40,'PORTIFÓLIO'!$C$4:$C$433,0)),"")</f>
        <v/>
      </c>
      <c r="M40" s="220"/>
      <c r="N40" s="220"/>
      <c r="O40" s="220"/>
      <c r="P40" s="220"/>
      <c r="Q40" s="220"/>
      <c r="R40" s="220"/>
      <c r="S40" s="220"/>
      <c r="T40" s="220"/>
      <c r="U40" s="220"/>
      <c r="V40" s="220"/>
      <c r="W40" s="220"/>
    </row>
    <row r="41" ht="15.75" customHeight="1" outlineLevel="1">
      <c r="A41" s="211"/>
      <c r="B41" s="212"/>
      <c r="C41" s="213"/>
      <c r="D41" s="214" t="str">
        <f>IFERROR(VLOOKUP($C41,'PORTIFÓLIO'!C:V,2,0),"")</f>
        <v/>
      </c>
      <c r="E41" s="211" t="str">
        <f>IFERROR(VLOOKUP($C41,'PORTIFÓLIO'!C:V,3,0),"")</f>
        <v/>
      </c>
      <c r="F41" s="211" t="str">
        <f>IFERROR(VLOOKUP($C41,'PORTIFÓLIO'!C:V,4,0),"")</f>
        <v/>
      </c>
      <c r="G41" s="215" t="str">
        <f>IFERROR(VLOOKUP($C41,'PORTIFÓLIO'!C:V,5,0),"")</f>
        <v/>
      </c>
      <c r="H41" s="254" t="str">
        <f t="array" ref="H41">IFERROR(INDEX('PORTIFÓLIO'!$H$4:$H$433,MATCH($C41,'PORTIFÓLIO'!$C$4:$C$433,0)),"")</f>
        <v/>
      </c>
      <c r="I41" s="256"/>
      <c r="J41" s="218">
        <f t="shared" si="4"/>
        <v>0</v>
      </c>
      <c r="K41" s="219" t="str">
        <f t="array" ref="K41">IFERROR(I41*INDEX('PORTIFÓLIO'!$S$4:$S$433,MATCH($C41,'PORTIFÓLIO'!$C$4:$C$433,0)),"")</f>
        <v/>
      </c>
      <c r="L41" s="219" t="str">
        <f t="array" ref="L41">IFERROR(J41*INDEX('PORTIFÓLIO'!$S$4:$S$433,MATCH($C41,'PORTIFÓLIO'!$C$4:$C$433,0)),"")</f>
        <v/>
      </c>
      <c r="M41" s="220"/>
      <c r="N41" s="220"/>
      <c r="O41" s="220"/>
      <c r="P41" s="220"/>
      <c r="Q41" s="220"/>
      <c r="R41" s="220"/>
      <c r="S41" s="220"/>
      <c r="T41" s="220"/>
      <c r="U41" s="220"/>
      <c r="V41" s="220"/>
      <c r="W41" s="220"/>
    </row>
    <row r="42" ht="15.75" customHeight="1" outlineLevel="1">
      <c r="A42" s="211"/>
      <c r="B42" s="212"/>
      <c r="C42" s="213"/>
      <c r="D42" s="214" t="str">
        <f>IFERROR(VLOOKUP($C42,'PORTIFÓLIO'!C:V,2,0),"")</f>
        <v/>
      </c>
      <c r="E42" s="211" t="str">
        <f>IFERROR(VLOOKUP($C42,'PORTIFÓLIO'!C:V,3,0),"")</f>
        <v/>
      </c>
      <c r="F42" s="211" t="str">
        <f>IFERROR(VLOOKUP($C42,'PORTIFÓLIO'!C:V,4,0),"")</f>
        <v/>
      </c>
      <c r="G42" s="215" t="str">
        <f>IFERROR(VLOOKUP($C42,'PORTIFÓLIO'!C:V,5,0),"")</f>
        <v/>
      </c>
      <c r="H42" s="254" t="str">
        <f t="array" ref="H42">IFERROR(INDEX('PORTIFÓLIO'!$H$4:$H$433,MATCH($C42,'PORTIFÓLIO'!$C$4:$C$433,0)),"")</f>
        <v/>
      </c>
      <c r="I42" s="256"/>
      <c r="J42" s="218">
        <f t="shared" si="4"/>
        <v>0</v>
      </c>
      <c r="K42" s="219" t="str">
        <f t="array" ref="K42">IFERROR(I42*INDEX('PORTIFÓLIO'!$S$4:$S$433,MATCH($C42,'PORTIFÓLIO'!$C$4:$C$433,0)),"")</f>
        <v/>
      </c>
      <c r="L42" s="219" t="str">
        <f t="array" ref="L42">IFERROR(J42*INDEX('PORTIFÓLIO'!$S$4:$S$433,MATCH($C42,'PORTIFÓLIO'!$C$4:$C$433,0)),"")</f>
        <v/>
      </c>
      <c r="M42" s="220"/>
      <c r="N42" s="220"/>
      <c r="O42" s="220"/>
      <c r="P42" s="220"/>
      <c r="Q42" s="220"/>
      <c r="R42" s="220"/>
      <c r="S42" s="220"/>
      <c r="T42" s="220"/>
      <c r="U42" s="220"/>
      <c r="V42" s="220"/>
      <c r="W42" s="220"/>
    </row>
    <row r="43" ht="15.75" customHeight="1" outlineLevel="1">
      <c r="A43" s="211"/>
      <c r="B43" s="212"/>
      <c r="C43" s="213"/>
      <c r="D43" s="214" t="str">
        <f>IFERROR(VLOOKUP($C43,'PORTIFÓLIO'!C:V,2,0),"")</f>
        <v/>
      </c>
      <c r="E43" s="211" t="str">
        <f>IFERROR(VLOOKUP($C43,'PORTIFÓLIO'!C:V,3,0),"")</f>
        <v/>
      </c>
      <c r="F43" s="211" t="str">
        <f>IFERROR(VLOOKUP($C43,'PORTIFÓLIO'!C:V,4,0),"")</f>
        <v/>
      </c>
      <c r="G43" s="215" t="str">
        <f>IFERROR(VLOOKUP($C43,'PORTIFÓLIO'!C:V,5,0),"")</f>
        <v/>
      </c>
      <c r="H43" s="254" t="str">
        <f t="array" ref="H43">IFERROR(INDEX('PORTIFÓLIO'!$H$4:$H$433,MATCH($C43,'PORTIFÓLIO'!$C$4:$C$433,0)),"")</f>
        <v/>
      </c>
      <c r="I43" s="256"/>
      <c r="J43" s="218">
        <f t="shared" si="4"/>
        <v>0</v>
      </c>
      <c r="K43" s="219" t="str">
        <f t="array" ref="K43">IFERROR(I43*INDEX('PORTIFÓLIO'!$S$4:$S$433,MATCH($C43,'PORTIFÓLIO'!$C$4:$C$433,0)),"")</f>
        <v/>
      </c>
      <c r="L43" s="219" t="str">
        <f t="array" ref="L43">IFERROR(J43*INDEX('PORTIFÓLIO'!$S$4:$S$433,MATCH($C43,'PORTIFÓLIO'!$C$4:$C$433,0)),"")</f>
        <v/>
      </c>
      <c r="M43" s="220"/>
      <c r="N43" s="220"/>
      <c r="O43" s="220"/>
      <c r="P43" s="220"/>
      <c r="Q43" s="220"/>
      <c r="R43" s="220"/>
      <c r="S43" s="220"/>
      <c r="T43" s="220"/>
      <c r="U43" s="220"/>
      <c r="V43" s="220"/>
      <c r="W43" s="220"/>
    </row>
    <row r="44" ht="15.75" customHeight="1">
      <c r="A44" s="229" t="s">
        <v>1185</v>
      </c>
      <c r="B44" s="230"/>
      <c r="C44" s="231"/>
      <c r="D44" s="232" t="s">
        <v>216</v>
      </c>
      <c r="E44" s="231"/>
      <c r="F44" s="231"/>
      <c r="G44" s="233"/>
      <c r="H44" s="233"/>
      <c r="I44" s="258"/>
      <c r="J44" s="236"/>
      <c r="K44" s="237">
        <f t="shared" ref="K44:L44" si="5">SUBTOTAL(9,K45:K58)</f>
        <v>0</v>
      </c>
      <c r="L44" s="237">
        <f t="shared" si="5"/>
        <v>0</v>
      </c>
      <c r="M44" s="220"/>
      <c r="N44" s="220"/>
      <c r="O44" s="220"/>
      <c r="P44" s="220"/>
      <c r="Q44" s="220"/>
      <c r="R44" s="220"/>
      <c r="S44" s="220"/>
      <c r="T44" s="220"/>
      <c r="U44" s="220"/>
      <c r="V44" s="220"/>
      <c r="W44" s="220"/>
    </row>
    <row r="45" ht="15.75" customHeight="1" outlineLevel="1">
      <c r="A45" s="213"/>
      <c r="B45" s="212" t="s">
        <v>5</v>
      </c>
      <c r="C45" s="213" t="s">
        <v>1067</v>
      </c>
      <c r="D45" s="214" t="str">
        <f>IFERROR(VLOOKUP($C45,'PORTIFÓLIO'!C:V,2,0),"")</f>
        <v/>
      </c>
      <c r="E45" s="211" t="str">
        <f>IFERROR(VLOOKUP($C45,'PORTIFÓLIO'!C:V,3,0),"")</f>
        <v/>
      </c>
      <c r="F45" s="211" t="str">
        <f>IFERROR(VLOOKUP($C45,'PORTIFÓLIO'!C:V,4,0),"")</f>
        <v>KG</v>
      </c>
      <c r="G45" s="225" t="str">
        <f>IFERROR(VLOOKUP($C45,'PORTIFÓLIO'!C:V,5,0),"")</f>
        <v>📄 Ver bula</v>
      </c>
      <c r="H45" s="254" t="str">
        <f t="array" ref="H45">IFERROR(INDEX('PORTIFÓLIO'!$H$4:$H$433,MATCH($C45,'PORTIFÓLIO'!$C$4:$C$433,0)),"")</f>
        <v/>
      </c>
      <c r="I45" s="255">
        <v>3.0</v>
      </c>
      <c r="J45" s="218">
        <f t="shared" ref="J45:J62" si="6">I45*$B$2</f>
        <v>390</v>
      </c>
      <c r="K45" s="219">
        <f t="array" ref="K45">IFERROR(I45*INDEX('PORTIFÓLIO'!$S$4:$S$433,MATCH($C45,'PORTIFÓLIO'!$C$4:$C$433,0)),"")</f>
        <v>0</v>
      </c>
      <c r="L45" s="219">
        <f t="array" ref="L45">IFERROR(J45*INDEX('PORTIFÓLIO'!$S$4:$S$433,MATCH($C45,'PORTIFÓLIO'!$C$4:$C$433,0)),"")</f>
        <v>0</v>
      </c>
      <c r="M45" s="220"/>
      <c r="N45" s="220"/>
      <c r="O45" s="220"/>
      <c r="P45" s="220"/>
      <c r="Q45" s="220"/>
      <c r="R45" s="220"/>
      <c r="S45" s="220"/>
      <c r="T45" s="220"/>
      <c r="U45" s="220"/>
      <c r="V45" s="220"/>
      <c r="W45" s="220"/>
    </row>
    <row r="46" ht="15.75" customHeight="1" outlineLevel="1">
      <c r="A46" s="211"/>
      <c r="B46" s="212"/>
      <c r="C46" s="213"/>
      <c r="D46" s="214" t="str">
        <f>IFERROR(VLOOKUP($C46,'PORTIFÓLIO'!C:V,2,0),"")</f>
        <v/>
      </c>
      <c r="E46" s="211" t="str">
        <f>IFERROR(VLOOKUP($C46,'PORTIFÓLIO'!C:V,3,0),"")</f>
        <v/>
      </c>
      <c r="F46" s="211" t="str">
        <f>IFERROR(VLOOKUP($C46,'PORTIFÓLIO'!C:V,4,0),"")</f>
        <v/>
      </c>
      <c r="G46" s="215" t="str">
        <f>IFERROR(VLOOKUP($C46,'PORTIFÓLIO'!C:V,5,0),"")</f>
        <v/>
      </c>
      <c r="H46" s="254" t="str">
        <f t="array" ref="H46">IFERROR(INDEX('PORTIFÓLIO'!$H$4:$H$433,MATCH($C46,'PORTIFÓLIO'!$C$4:$C$433,0)),"")</f>
        <v/>
      </c>
      <c r="I46" s="255"/>
      <c r="J46" s="218">
        <f t="shared" si="6"/>
        <v>0</v>
      </c>
      <c r="K46" s="219" t="str">
        <f t="array" ref="K46">IFERROR(I46*INDEX('PORTIFÓLIO'!$S$4:$S$433,MATCH($C46,'PORTIFÓLIO'!$C$4:$C$433,0)),"")</f>
        <v/>
      </c>
      <c r="L46" s="219" t="str">
        <f t="array" ref="L46">IFERROR(J46*INDEX('PORTIFÓLIO'!$S$4:$S$433,MATCH($C46,'PORTIFÓLIO'!$C$4:$C$433,0)),"")</f>
        <v/>
      </c>
      <c r="M46" s="220"/>
      <c r="N46" s="220"/>
      <c r="O46" s="220"/>
      <c r="P46" s="220"/>
      <c r="Q46" s="220"/>
      <c r="R46" s="220"/>
      <c r="S46" s="220"/>
      <c r="T46" s="220"/>
      <c r="U46" s="220"/>
      <c r="V46" s="220"/>
      <c r="W46" s="220"/>
    </row>
    <row r="47" ht="15.75" customHeight="1" outlineLevel="1">
      <c r="A47" s="211"/>
      <c r="B47" s="212"/>
      <c r="C47" s="213"/>
      <c r="D47" s="214" t="str">
        <f>IFERROR(VLOOKUP($C47,'PORTIFÓLIO'!C:V,2,0),"")</f>
        <v/>
      </c>
      <c r="E47" s="211" t="str">
        <f>IFERROR(VLOOKUP($C47,'PORTIFÓLIO'!C:V,3,0),"")</f>
        <v/>
      </c>
      <c r="F47" s="211" t="str">
        <f>IFERROR(VLOOKUP($C47,'PORTIFÓLIO'!C:V,4,0),"")</f>
        <v/>
      </c>
      <c r="G47" s="215" t="str">
        <f>IFERROR(VLOOKUP($C47,'PORTIFÓLIO'!C:V,5,0),"")</f>
        <v/>
      </c>
      <c r="H47" s="254" t="str">
        <f t="array" ref="H47">IFERROR(INDEX('PORTIFÓLIO'!$H$4:$H$433,MATCH($C47,'PORTIFÓLIO'!$C$4:$C$433,0)),"")</f>
        <v/>
      </c>
      <c r="I47" s="255"/>
      <c r="J47" s="218">
        <f t="shared" si="6"/>
        <v>0</v>
      </c>
      <c r="K47" s="219" t="str">
        <f t="array" ref="K47">IFERROR(I47*INDEX('PORTIFÓLIO'!$S$4:$S$433,MATCH($C47,'PORTIFÓLIO'!$C$4:$C$433,0)),"")</f>
        <v/>
      </c>
      <c r="L47" s="219" t="str">
        <f t="array" ref="L47">IFERROR(J47*INDEX('PORTIFÓLIO'!$S$4:$S$433,MATCH($C47,'PORTIFÓLIO'!$C$4:$C$433,0)),"")</f>
        <v/>
      </c>
      <c r="M47" s="220"/>
      <c r="N47" s="220"/>
      <c r="O47" s="220"/>
      <c r="P47" s="220"/>
      <c r="Q47" s="220"/>
      <c r="R47" s="220"/>
      <c r="S47" s="220"/>
      <c r="T47" s="220"/>
      <c r="U47" s="220"/>
      <c r="V47" s="220"/>
      <c r="W47" s="220"/>
    </row>
    <row r="48" ht="15.75" customHeight="1" outlineLevel="1">
      <c r="A48" s="211"/>
      <c r="B48" s="212"/>
      <c r="C48" s="213"/>
      <c r="D48" s="214" t="str">
        <f>IFERROR(VLOOKUP($C48,'PORTIFÓLIO'!C:V,2,0),"")</f>
        <v/>
      </c>
      <c r="E48" s="211" t="str">
        <f>IFERROR(VLOOKUP($C48,'PORTIFÓLIO'!C:V,3,0),"")</f>
        <v/>
      </c>
      <c r="F48" s="211" t="str">
        <f>IFERROR(VLOOKUP($C48,'PORTIFÓLIO'!C:V,4,0),"")</f>
        <v/>
      </c>
      <c r="G48" s="215" t="str">
        <f>IFERROR(VLOOKUP($C48,'PORTIFÓLIO'!C:V,5,0),"")</f>
        <v/>
      </c>
      <c r="H48" s="254" t="str">
        <f t="array" ref="H48">IFERROR(INDEX('PORTIFÓLIO'!$H$4:$H$433,MATCH($C48,'PORTIFÓLIO'!$C$4:$C$433,0)),"")</f>
        <v/>
      </c>
      <c r="I48" s="255"/>
      <c r="J48" s="218">
        <f t="shared" si="6"/>
        <v>0</v>
      </c>
      <c r="K48" s="219" t="str">
        <f t="array" ref="K48">IFERROR(I48*INDEX('PORTIFÓLIO'!$S$4:$S$433,MATCH($C48,'PORTIFÓLIO'!$C$4:$C$433,0)),"")</f>
        <v/>
      </c>
      <c r="L48" s="219" t="str">
        <f t="array" ref="L48">IFERROR(J48*INDEX('PORTIFÓLIO'!$S$4:$S$433,MATCH($C48,'PORTIFÓLIO'!$C$4:$C$433,0)),"")</f>
        <v/>
      </c>
      <c r="M48" s="220"/>
      <c r="N48" s="220"/>
      <c r="O48" s="220"/>
      <c r="P48" s="220"/>
      <c r="Q48" s="220"/>
      <c r="R48" s="220"/>
      <c r="S48" s="220"/>
      <c r="T48" s="220"/>
      <c r="U48" s="220"/>
      <c r="V48" s="220"/>
      <c r="W48" s="220"/>
    </row>
    <row r="49" ht="15.75" customHeight="1" outlineLevel="1">
      <c r="A49" s="211"/>
      <c r="B49" s="212"/>
      <c r="C49" s="213"/>
      <c r="D49" s="214" t="str">
        <f>IFERROR(VLOOKUP($C49,'PORTIFÓLIO'!C:V,2,0),"")</f>
        <v/>
      </c>
      <c r="E49" s="211" t="str">
        <f>IFERROR(VLOOKUP($C49,'PORTIFÓLIO'!C:V,3,0),"")</f>
        <v/>
      </c>
      <c r="F49" s="211" t="str">
        <f>IFERROR(VLOOKUP($C49,'PORTIFÓLIO'!C:V,4,0),"")</f>
        <v/>
      </c>
      <c r="G49" s="215" t="str">
        <f>IFERROR(VLOOKUP($C49,'PORTIFÓLIO'!C:V,5,0),"")</f>
        <v/>
      </c>
      <c r="H49" s="254" t="str">
        <f t="array" ref="H49">IFERROR(INDEX('PORTIFÓLIO'!$H$4:$H$433,MATCH($C49,'PORTIFÓLIO'!$C$4:$C$433,0)),"")</f>
        <v/>
      </c>
      <c r="I49" s="256"/>
      <c r="J49" s="218">
        <f t="shared" si="6"/>
        <v>0</v>
      </c>
      <c r="K49" s="219" t="str">
        <f t="array" ref="K49">IFERROR(I49*INDEX('PORTIFÓLIO'!$S$4:$S$433,MATCH($C49,'PORTIFÓLIO'!$C$4:$C$433,0)),"")</f>
        <v/>
      </c>
      <c r="L49" s="219" t="str">
        <f t="array" ref="L49">IFERROR(J49*INDEX('PORTIFÓLIO'!$S$4:$S$433,MATCH($C49,'PORTIFÓLIO'!$C$4:$C$433,0)),"")</f>
        <v/>
      </c>
      <c r="M49" s="220"/>
      <c r="N49" s="220"/>
      <c r="O49" s="220"/>
      <c r="P49" s="220"/>
      <c r="Q49" s="220"/>
      <c r="R49" s="220"/>
      <c r="S49" s="220"/>
      <c r="T49" s="220"/>
      <c r="U49" s="220"/>
      <c r="V49" s="220"/>
      <c r="W49" s="220"/>
    </row>
    <row r="50" ht="15.75" customHeight="1" outlineLevel="1">
      <c r="A50" s="211"/>
      <c r="B50" s="212"/>
      <c r="C50" s="213"/>
      <c r="D50" s="214" t="str">
        <f>IFERROR(VLOOKUP($C50,'PORTIFÓLIO'!C:V,2,0),"")</f>
        <v/>
      </c>
      <c r="E50" s="211" t="str">
        <f>IFERROR(VLOOKUP($C50,'PORTIFÓLIO'!C:V,3,0),"")</f>
        <v/>
      </c>
      <c r="F50" s="211" t="str">
        <f>IFERROR(VLOOKUP($C50,'PORTIFÓLIO'!C:V,4,0),"")</f>
        <v/>
      </c>
      <c r="G50" s="215" t="str">
        <f>IFERROR(VLOOKUP($C50,'PORTIFÓLIO'!C:V,5,0),"")</f>
        <v/>
      </c>
      <c r="H50" s="254" t="str">
        <f t="array" ref="H50">IFERROR(INDEX('PORTIFÓLIO'!$H$4:$H$433,MATCH($C50,'PORTIFÓLIO'!$C$4:$C$433,0)),"")</f>
        <v/>
      </c>
      <c r="I50" s="256"/>
      <c r="J50" s="218">
        <f t="shared" si="6"/>
        <v>0</v>
      </c>
      <c r="K50" s="219" t="str">
        <f t="array" ref="K50">IFERROR(I50*INDEX('PORTIFÓLIO'!$S$4:$S$433,MATCH($C50,'PORTIFÓLIO'!$C$4:$C$433,0)),"")</f>
        <v/>
      </c>
      <c r="L50" s="219" t="str">
        <f t="array" ref="L50">IFERROR(J50*INDEX('PORTIFÓLIO'!$S$4:$S$433,MATCH($C50,'PORTIFÓLIO'!$C$4:$C$433,0)),"")</f>
        <v/>
      </c>
      <c r="M50" s="220"/>
      <c r="N50" s="220"/>
      <c r="O50" s="220"/>
      <c r="P50" s="220"/>
      <c r="Q50" s="220"/>
      <c r="R50" s="220"/>
      <c r="S50" s="220"/>
      <c r="T50" s="220"/>
      <c r="U50" s="220"/>
      <c r="V50" s="220"/>
      <c r="W50" s="220"/>
    </row>
    <row r="51" ht="15.75" customHeight="1" outlineLevel="1">
      <c r="A51" s="211"/>
      <c r="B51" s="212"/>
      <c r="C51" s="213"/>
      <c r="D51" s="214" t="str">
        <f>IFERROR(VLOOKUP($C51,'PORTIFÓLIO'!C:V,2,0),"")</f>
        <v/>
      </c>
      <c r="E51" s="211" t="str">
        <f>IFERROR(VLOOKUP($C51,'PORTIFÓLIO'!C:V,3,0),"")</f>
        <v/>
      </c>
      <c r="F51" s="211" t="str">
        <f>IFERROR(VLOOKUP($C51,'PORTIFÓLIO'!C:V,4,0),"")</f>
        <v/>
      </c>
      <c r="G51" s="215" t="str">
        <f>IFERROR(VLOOKUP($C51,'PORTIFÓLIO'!C:V,5,0),"")</f>
        <v/>
      </c>
      <c r="H51" s="254" t="str">
        <f t="array" ref="H51">IFERROR(INDEX('PORTIFÓLIO'!$H$4:$H$433,MATCH($C51,'PORTIFÓLIO'!$C$4:$C$433,0)),"")</f>
        <v/>
      </c>
      <c r="I51" s="256"/>
      <c r="J51" s="218">
        <f t="shared" si="6"/>
        <v>0</v>
      </c>
      <c r="K51" s="219" t="str">
        <f t="array" ref="K51">IFERROR(I51*INDEX('PORTIFÓLIO'!$S$4:$S$433,MATCH($C51,'PORTIFÓLIO'!$C$4:$C$433,0)),"")</f>
        <v/>
      </c>
      <c r="L51" s="219" t="str">
        <f t="array" ref="L51">IFERROR(J51*INDEX('PORTIFÓLIO'!$S$4:$S$433,MATCH($C51,'PORTIFÓLIO'!$C$4:$C$433,0)),"")</f>
        <v/>
      </c>
      <c r="M51" s="220"/>
      <c r="N51" s="220"/>
      <c r="O51" s="220"/>
      <c r="P51" s="220"/>
      <c r="Q51" s="220"/>
      <c r="R51" s="220"/>
      <c r="S51" s="220"/>
      <c r="T51" s="220"/>
      <c r="U51" s="220"/>
      <c r="V51" s="220"/>
      <c r="W51" s="220"/>
    </row>
    <row r="52" ht="15.75" customHeight="1" outlineLevel="1">
      <c r="A52" s="211"/>
      <c r="B52" s="212"/>
      <c r="C52" s="213"/>
      <c r="D52" s="214" t="str">
        <f>IFERROR(VLOOKUP($C52,'PORTIFÓLIO'!C:V,2,0),"")</f>
        <v/>
      </c>
      <c r="E52" s="211" t="str">
        <f>IFERROR(VLOOKUP($C52,'PORTIFÓLIO'!C:V,3,0),"")</f>
        <v/>
      </c>
      <c r="F52" s="211" t="str">
        <f>IFERROR(VLOOKUP($C52,'PORTIFÓLIO'!C:V,4,0),"")</f>
        <v/>
      </c>
      <c r="G52" s="215" t="str">
        <f>IFERROR(VLOOKUP($C52,'PORTIFÓLIO'!C:V,5,0),"")</f>
        <v/>
      </c>
      <c r="H52" s="254" t="str">
        <f t="array" ref="H52">IFERROR(INDEX('PORTIFÓLIO'!$H$4:$H$433,MATCH($C52,'PORTIFÓLIO'!$C$4:$C$433,0)),"")</f>
        <v/>
      </c>
      <c r="I52" s="256"/>
      <c r="J52" s="218">
        <f t="shared" si="6"/>
        <v>0</v>
      </c>
      <c r="K52" s="219" t="str">
        <f t="array" ref="K52">IFERROR(I52*INDEX('PORTIFÓLIO'!$S$4:$S$433,MATCH($C52,'PORTIFÓLIO'!$C$4:$C$433,0)),"")</f>
        <v/>
      </c>
      <c r="L52" s="219" t="str">
        <f t="array" ref="L52">IFERROR(J52*INDEX('PORTIFÓLIO'!$S$4:$S$433,MATCH($C52,'PORTIFÓLIO'!$C$4:$C$433,0)),"")</f>
        <v/>
      </c>
      <c r="M52" s="220"/>
      <c r="N52" s="220"/>
      <c r="O52" s="220"/>
      <c r="P52" s="220"/>
      <c r="Q52" s="220"/>
      <c r="R52" s="220"/>
      <c r="S52" s="220"/>
      <c r="T52" s="220"/>
      <c r="U52" s="220"/>
      <c r="V52" s="220"/>
      <c r="W52" s="220"/>
    </row>
    <row r="53" ht="15.75" customHeight="1" outlineLevel="1">
      <c r="A53" s="211"/>
      <c r="B53" s="212"/>
      <c r="C53" s="213"/>
      <c r="D53" s="214" t="str">
        <f>IFERROR(VLOOKUP($C53,'PORTIFÓLIO'!C:V,2,0),"")</f>
        <v/>
      </c>
      <c r="E53" s="211" t="str">
        <f>IFERROR(VLOOKUP($C53,'PORTIFÓLIO'!C:V,3,0),"")</f>
        <v/>
      </c>
      <c r="F53" s="211" t="str">
        <f>IFERROR(VLOOKUP($C53,'PORTIFÓLIO'!C:V,4,0),"")</f>
        <v/>
      </c>
      <c r="G53" s="215" t="str">
        <f>IFERROR(VLOOKUP($C53,'PORTIFÓLIO'!C:V,5,0),"")</f>
        <v/>
      </c>
      <c r="H53" s="254" t="str">
        <f t="array" ref="H53">IFERROR(INDEX('PORTIFÓLIO'!$H$4:$H$433,MATCH($C53,'PORTIFÓLIO'!$C$4:$C$433,0)),"")</f>
        <v/>
      </c>
      <c r="I53" s="255"/>
      <c r="J53" s="218">
        <f t="shared" si="6"/>
        <v>0</v>
      </c>
      <c r="K53" s="219" t="str">
        <f t="array" ref="K53">IFERROR(I53*INDEX('PORTIFÓLIO'!$S$4:$S$433,MATCH($C53,'PORTIFÓLIO'!$C$4:$C$433,0)),"")</f>
        <v/>
      </c>
      <c r="L53" s="219" t="str">
        <f t="array" ref="L53">IFERROR(J53*INDEX('PORTIFÓLIO'!$S$4:$S$433,MATCH($C53,'PORTIFÓLIO'!$C$4:$C$433,0)),"")</f>
        <v/>
      </c>
      <c r="M53" s="220"/>
      <c r="N53" s="220"/>
      <c r="O53" s="220"/>
      <c r="P53" s="220"/>
      <c r="Q53" s="220"/>
      <c r="R53" s="220"/>
      <c r="S53" s="220"/>
      <c r="T53" s="220"/>
      <c r="U53" s="220"/>
      <c r="V53" s="220"/>
      <c r="W53" s="220"/>
    </row>
    <row r="54" ht="15.75" customHeight="1" outlineLevel="1">
      <c r="A54" s="211"/>
      <c r="B54" s="212"/>
      <c r="C54" s="213"/>
      <c r="D54" s="214" t="str">
        <f>IFERROR(VLOOKUP($C54,'PORTIFÓLIO'!C:V,2,0),"")</f>
        <v/>
      </c>
      <c r="E54" s="211" t="str">
        <f>IFERROR(VLOOKUP($C54,'PORTIFÓLIO'!C:V,3,0),"")</f>
        <v/>
      </c>
      <c r="F54" s="211" t="str">
        <f>IFERROR(VLOOKUP($C54,'PORTIFÓLIO'!C:V,4,0),"")</f>
        <v/>
      </c>
      <c r="G54" s="215" t="str">
        <f>IFERROR(VLOOKUP($C54,'PORTIFÓLIO'!C:V,5,0),"")</f>
        <v/>
      </c>
      <c r="H54" s="254" t="str">
        <f t="array" ref="H54">IFERROR(INDEX('PORTIFÓLIO'!$H$4:$H$433,MATCH($C54,'PORTIFÓLIO'!$C$4:$C$433,0)),"")</f>
        <v/>
      </c>
      <c r="I54" s="256"/>
      <c r="J54" s="218">
        <f t="shared" si="6"/>
        <v>0</v>
      </c>
      <c r="K54" s="219" t="str">
        <f t="array" ref="K54">IFERROR(I54*INDEX('PORTIFÓLIO'!$S$4:$S$433,MATCH($C54,'PORTIFÓLIO'!$C$4:$C$433,0)),"")</f>
        <v/>
      </c>
      <c r="L54" s="219" t="str">
        <f t="array" ref="L54">IFERROR(J54*INDEX('PORTIFÓLIO'!$S$4:$S$433,MATCH($C54,'PORTIFÓLIO'!$C$4:$C$433,0)),"")</f>
        <v/>
      </c>
      <c r="M54" s="220"/>
      <c r="N54" s="220"/>
      <c r="O54" s="220"/>
      <c r="P54" s="220"/>
      <c r="Q54" s="220"/>
      <c r="R54" s="220"/>
      <c r="S54" s="220"/>
      <c r="T54" s="220"/>
      <c r="U54" s="220"/>
      <c r="V54" s="220"/>
      <c r="W54" s="220"/>
    </row>
    <row r="55" ht="15.75" customHeight="1" outlineLevel="1">
      <c r="A55" s="211"/>
      <c r="B55" s="212"/>
      <c r="C55" s="213"/>
      <c r="D55" s="214" t="str">
        <f>IFERROR(VLOOKUP($C55,'PORTIFÓLIO'!C:V,2,0),"")</f>
        <v/>
      </c>
      <c r="E55" s="211" t="str">
        <f>IFERROR(VLOOKUP($C55,'PORTIFÓLIO'!C:V,3,0),"")</f>
        <v/>
      </c>
      <c r="F55" s="211" t="str">
        <f>IFERROR(VLOOKUP($C55,'PORTIFÓLIO'!C:V,4,0),"")</f>
        <v/>
      </c>
      <c r="G55" s="215" t="str">
        <f>IFERROR(VLOOKUP($C55,'PORTIFÓLIO'!C:V,5,0),"")</f>
        <v/>
      </c>
      <c r="H55" s="254" t="str">
        <f t="array" ref="H55">IFERROR(INDEX('PORTIFÓLIO'!$H$4:$H$433,MATCH($C55,'PORTIFÓLIO'!$C$4:$C$433,0)),"")</f>
        <v/>
      </c>
      <c r="I55" s="256"/>
      <c r="J55" s="218">
        <f t="shared" si="6"/>
        <v>0</v>
      </c>
      <c r="K55" s="219" t="str">
        <f t="array" ref="K55">IFERROR(I55*INDEX('PORTIFÓLIO'!$S$4:$S$433,MATCH($C55,'PORTIFÓLIO'!$C$4:$C$433,0)),"")</f>
        <v/>
      </c>
      <c r="L55" s="219" t="str">
        <f t="array" ref="L55">IFERROR(J55*INDEX('PORTIFÓLIO'!$S$4:$S$433,MATCH($C55,'PORTIFÓLIO'!$C$4:$C$433,0)),"")</f>
        <v/>
      </c>
      <c r="M55" s="220"/>
      <c r="N55" s="220"/>
      <c r="O55" s="220"/>
      <c r="P55" s="220"/>
      <c r="Q55" s="220"/>
      <c r="R55" s="220"/>
      <c r="S55" s="220"/>
      <c r="T55" s="220"/>
      <c r="U55" s="220"/>
      <c r="V55" s="220"/>
      <c r="W55" s="220"/>
    </row>
    <row r="56" ht="15.75" customHeight="1" outlineLevel="1">
      <c r="A56" s="211"/>
      <c r="B56" s="212"/>
      <c r="C56" s="213"/>
      <c r="D56" s="214" t="str">
        <f>IFERROR(VLOOKUP($C56,'PORTIFÓLIO'!C:V,2,0),"")</f>
        <v/>
      </c>
      <c r="E56" s="211" t="str">
        <f>IFERROR(VLOOKUP($C56,'PORTIFÓLIO'!C:V,3,0),"")</f>
        <v/>
      </c>
      <c r="F56" s="211" t="str">
        <f>IFERROR(VLOOKUP($C56,'PORTIFÓLIO'!C:V,4,0),"")</f>
        <v/>
      </c>
      <c r="G56" s="215" t="str">
        <f>IFERROR(VLOOKUP($C56,'PORTIFÓLIO'!C:V,5,0),"")</f>
        <v/>
      </c>
      <c r="H56" s="254" t="str">
        <f t="array" ref="H56">IFERROR(INDEX('PORTIFÓLIO'!$H$4:$H$433,MATCH($C56,'PORTIFÓLIO'!$C$4:$C$433,0)),"")</f>
        <v/>
      </c>
      <c r="I56" s="256"/>
      <c r="J56" s="218">
        <f t="shared" si="6"/>
        <v>0</v>
      </c>
      <c r="K56" s="219" t="str">
        <f t="array" ref="K56">IFERROR(I56*INDEX('PORTIFÓLIO'!$S$4:$S$433,MATCH($C56,'PORTIFÓLIO'!$C$4:$C$433,0)),"")</f>
        <v/>
      </c>
      <c r="L56" s="219" t="str">
        <f t="array" ref="L56">IFERROR(J56*INDEX('PORTIFÓLIO'!$S$4:$S$433,MATCH($C56,'PORTIFÓLIO'!$C$4:$C$433,0)),"")</f>
        <v/>
      </c>
      <c r="M56" s="220"/>
      <c r="N56" s="220"/>
      <c r="O56" s="220"/>
      <c r="P56" s="220"/>
      <c r="Q56" s="220"/>
      <c r="R56" s="220"/>
      <c r="S56" s="220"/>
      <c r="T56" s="220"/>
      <c r="U56" s="220"/>
      <c r="V56" s="220"/>
      <c r="W56" s="220"/>
    </row>
    <row r="57" ht="15.75" customHeight="1" outlineLevel="1">
      <c r="A57" s="211"/>
      <c r="B57" s="212"/>
      <c r="C57" s="213"/>
      <c r="D57" s="214" t="str">
        <f>IFERROR(VLOOKUP($C57,'PORTIFÓLIO'!C:V,2,0),"")</f>
        <v/>
      </c>
      <c r="E57" s="211" t="str">
        <f>IFERROR(VLOOKUP($C57,'PORTIFÓLIO'!C:V,3,0),"")</f>
        <v/>
      </c>
      <c r="F57" s="211" t="str">
        <f>IFERROR(VLOOKUP($C57,'PORTIFÓLIO'!C:V,4,0),"")</f>
        <v/>
      </c>
      <c r="G57" s="215" t="str">
        <f>IFERROR(VLOOKUP($C57,'PORTIFÓLIO'!C:V,5,0),"")</f>
        <v/>
      </c>
      <c r="H57" s="254" t="str">
        <f t="array" ref="H57">IFERROR(INDEX('PORTIFÓLIO'!$H$4:$H$433,MATCH($C57,'PORTIFÓLIO'!$C$4:$C$433,0)),"")</f>
        <v/>
      </c>
      <c r="I57" s="256"/>
      <c r="J57" s="218">
        <f t="shared" si="6"/>
        <v>0</v>
      </c>
      <c r="K57" s="219" t="str">
        <f t="array" ref="K57">IFERROR(I57*INDEX('PORTIFÓLIO'!$S$4:$S$433,MATCH($C57,'PORTIFÓLIO'!$C$4:$C$433,0)),"")</f>
        <v/>
      </c>
      <c r="L57" s="219" t="str">
        <f t="array" ref="L57">IFERROR(J57*INDEX('PORTIFÓLIO'!$S$4:$S$433,MATCH($C57,'PORTIFÓLIO'!$C$4:$C$433,0)),"")</f>
        <v/>
      </c>
      <c r="M57" s="220"/>
      <c r="N57" s="220"/>
      <c r="O57" s="220"/>
      <c r="P57" s="220"/>
      <c r="Q57" s="220"/>
      <c r="R57" s="220"/>
      <c r="S57" s="220"/>
      <c r="T57" s="220"/>
      <c r="U57" s="220"/>
      <c r="V57" s="220"/>
      <c r="W57" s="220"/>
    </row>
    <row r="58" ht="15.75" customHeight="1" outlineLevel="1">
      <c r="A58" s="211"/>
      <c r="B58" s="212"/>
      <c r="C58" s="213"/>
      <c r="D58" s="214" t="str">
        <f>IFERROR(VLOOKUP($C58,'PORTIFÓLIO'!C:V,2,0),"")</f>
        <v/>
      </c>
      <c r="E58" s="211" t="str">
        <f>IFERROR(VLOOKUP($C58,'PORTIFÓLIO'!C:V,3,0),"")</f>
        <v/>
      </c>
      <c r="F58" s="211" t="str">
        <f>IFERROR(VLOOKUP($C58,'PORTIFÓLIO'!C:V,4,0),"")</f>
        <v/>
      </c>
      <c r="G58" s="215" t="str">
        <f>IFERROR(VLOOKUP($C58,'PORTIFÓLIO'!C:V,5,0),"")</f>
        <v/>
      </c>
      <c r="H58" s="254" t="str">
        <f t="array" ref="H58">IFERROR(INDEX('PORTIFÓLIO'!$H$4:$H$433,MATCH($C58,'PORTIFÓLIO'!$C$4:$C$433,0)),"")</f>
        <v/>
      </c>
      <c r="I58" s="256"/>
      <c r="J58" s="218">
        <f t="shared" si="6"/>
        <v>0</v>
      </c>
      <c r="K58" s="219" t="str">
        <f t="array" ref="K58">IFERROR(I58*INDEX('PORTIFÓLIO'!$S$4:$S$433,MATCH($C58,'PORTIFÓLIO'!$C$4:$C$433,0)),"")</f>
        <v/>
      </c>
      <c r="L58" s="219" t="str">
        <f t="array" ref="L58">IFERROR(J58*INDEX('PORTIFÓLIO'!$S$4:$S$433,MATCH($C58,'PORTIFÓLIO'!$C$4:$C$433,0)),"")</f>
        <v/>
      </c>
      <c r="M58" s="220"/>
      <c r="N58" s="220"/>
      <c r="O58" s="220"/>
      <c r="P58" s="220"/>
      <c r="Q58" s="220"/>
      <c r="R58" s="220"/>
      <c r="S58" s="220"/>
      <c r="T58" s="220"/>
      <c r="U58" s="220"/>
      <c r="V58" s="220"/>
      <c r="W58" s="220"/>
    </row>
    <row r="59" ht="15.75" customHeight="1" outlineLevel="1">
      <c r="A59" s="211"/>
      <c r="B59" s="212"/>
      <c r="C59" s="213"/>
      <c r="D59" s="214" t="str">
        <f>IFERROR(VLOOKUP($C59,'PORTIFÓLIO'!C:V,2,0),"")</f>
        <v/>
      </c>
      <c r="E59" s="211" t="str">
        <f>IFERROR(VLOOKUP($C59,'PORTIFÓLIO'!C:V,3,0),"")</f>
        <v/>
      </c>
      <c r="F59" s="211" t="str">
        <f>IFERROR(VLOOKUP($C59,'PORTIFÓLIO'!C:V,4,0),"")</f>
        <v/>
      </c>
      <c r="G59" s="215" t="str">
        <f>IFERROR(VLOOKUP($C59,'PORTIFÓLIO'!C:V,5,0),"")</f>
        <v/>
      </c>
      <c r="H59" s="254" t="str">
        <f t="array" ref="H59">IFERROR(INDEX('PORTIFÓLIO'!$H$4:$H$433,MATCH($C59,'PORTIFÓLIO'!$C$4:$C$433,0)),"")</f>
        <v/>
      </c>
      <c r="I59" s="256"/>
      <c r="J59" s="218">
        <f t="shared" si="6"/>
        <v>0</v>
      </c>
      <c r="K59" s="219" t="str">
        <f t="array" ref="K59">IFERROR(I59*INDEX('PORTIFÓLIO'!$S$4:$S$433,MATCH($C59,'PORTIFÓLIO'!$C$4:$C$433,0)),"")</f>
        <v/>
      </c>
      <c r="L59" s="219" t="str">
        <f t="array" ref="L59">IFERROR(J59*INDEX('PORTIFÓLIO'!$S$4:$S$433,MATCH($C59,'PORTIFÓLIO'!$C$4:$C$433,0)),"")</f>
        <v/>
      </c>
      <c r="M59" s="220"/>
      <c r="N59" s="220"/>
      <c r="O59" s="220"/>
      <c r="P59" s="220"/>
      <c r="Q59" s="220"/>
      <c r="R59" s="220"/>
      <c r="S59" s="220"/>
      <c r="T59" s="220"/>
      <c r="U59" s="220"/>
      <c r="V59" s="220"/>
      <c r="W59" s="220"/>
    </row>
    <row r="60" ht="15.75" customHeight="1" outlineLevel="1">
      <c r="A60" s="211"/>
      <c r="B60" s="212"/>
      <c r="C60" s="213"/>
      <c r="D60" s="214" t="str">
        <f>IFERROR(VLOOKUP($C60,'PORTIFÓLIO'!C:V,2,0),"")</f>
        <v/>
      </c>
      <c r="E60" s="211" t="str">
        <f>IFERROR(VLOOKUP($C60,'PORTIFÓLIO'!C:V,3,0),"")</f>
        <v/>
      </c>
      <c r="F60" s="211" t="str">
        <f>IFERROR(VLOOKUP($C60,'PORTIFÓLIO'!C:V,4,0),"")</f>
        <v/>
      </c>
      <c r="G60" s="215" t="str">
        <f>IFERROR(VLOOKUP($C60,'PORTIFÓLIO'!C:V,5,0),"")</f>
        <v/>
      </c>
      <c r="H60" s="254" t="str">
        <f t="array" ref="H60">IFERROR(INDEX('PORTIFÓLIO'!$H$4:$H$433,MATCH($C60,'PORTIFÓLIO'!$C$4:$C$433,0)),"")</f>
        <v/>
      </c>
      <c r="I60" s="256"/>
      <c r="J60" s="218">
        <f t="shared" si="6"/>
        <v>0</v>
      </c>
      <c r="K60" s="219" t="str">
        <f t="array" ref="K60">IFERROR(I60*INDEX('PORTIFÓLIO'!$S$4:$S$433,MATCH($C60,'PORTIFÓLIO'!$C$4:$C$433,0)),"")</f>
        <v/>
      </c>
      <c r="L60" s="219" t="str">
        <f t="array" ref="L60">IFERROR(J60*INDEX('PORTIFÓLIO'!$S$4:$S$433,MATCH($C60,'PORTIFÓLIO'!$C$4:$C$433,0)),"")</f>
        <v/>
      </c>
      <c r="M60" s="220"/>
      <c r="N60" s="220"/>
      <c r="O60" s="220"/>
      <c r="P60" s="220"/>
      <c r="Q60" s="220"/>
      <c r="R60" s="220"/>
      <c r="S60" s="220"/>
      <c r="T60" s="220"/>
      <c r="U60" s="220"/>
      <c r="V60" s="220"/>
      <c r="W60" s="220"/>
    </row>
    <row r="61" ht="15.75" customHeight="1" outlineLevel="1">
      <c r="A61" s="211"/>
      <c r="B61" s="212"/>
      <c r="C61" s="213"/>
      <c r="D61" s="214" t="str">
        <f>IFERROR(VLOOKUP($C61,'PORTIFÓLIO'!C:V,2,0),"")</f>
        <v/>
      </c>
      <c r="E61" s="211" t="str">
        <f>IFERROR(VLOOKUP($C61,'PORTIFÓLIO'!C:V,3,0),"")</f>
        <v/>
      </c>
      <c r="F61" s="211" t="str">
        <f>IFERROR(VLOOKUP($C61,'PORTIFÓLIO'!C:V,4,0),"")</f>
        <v/>
      </c>
      <c r="G61" s="215" t="str">
        <f>IFERROR(VLOOKUP($C61,'PORTIFÓLIO'!C:V,5,0),"")</f>
        <v/>
      </c>
      <c r="H61" s="254" t="str">
        <f t="array" ref="H61">IFERROR(INDEX('PORTIFÓLIO'!$H$4:$H$433,MATCH($C61,'PORTIFÓLIO'!$C$4:$C$433,0)),"")</f>
        <v/>
      </c>
      <c r="I61" s="256"/>
      <c r="J61" s="218">
        <f t="shared" si="6"/>
        <v>0</v>
      </c>
      <c r="K61" s="219" t="str">
        <f t="array" ref="K61">IFERROR(I61*INDEX('PORTIFÓLIO'!$S$4:$S$433,MATCH($C61,'PORTIFÓLIO'!$C$4:$C$433,0)),"")</f>
        <v/>
      </c>
      <c r="L61" s="219" t="str">
        <f t="array" ref="L61">IFERROR(J61*INDEX('PORTIFÓLIO'!$S$4:$S$433,MATCH($C61,'PORTIFÓLIO'!$C$4:$C$433,0)),"")</f>
        <v/>
      </c>
      <c r="M61" s="220"/>
      <c r="N61" s="220"/>
      <c r="O61" s="220"/>
      <c r="P61" s="220"/>
      <c r="Q61" s="220"/>
      <c r="R61" s="220"/>
      <c r="S61" s="220"/>
      <c r="T61" s="220"/>
      <c r="U61" s="220"/>
      <c r="V61" s="220"/>
      <c r="W61" s="220"/>
    </row>
    <row r="62" ht="15.75" customHeight="1" outlineLevel="1">
      <c r="A62" s="211"/>
      <c r="B62" s="212"/>
      <c r="C62" s="213"/>
      <c r="D62" s="214" t="str">
        <f>IFERROR(VLOOKUP($C62,'PORTIFÓLIO'!C:V,2,0),"")</f>
        <v/>
      </c>
      <c r="E62" s="211" t="str">
        <f>IFERROR(VLOOKUP($C62,'PORTIFÓLIO'!C:V,3,0),"")</f>
        <v/>
      </c>
      <c r="F62" s="211" t="str">
        <f>IFERROR(VLOOKUP($C62,'PORTIFÓLIO'!C:V,4,0),"")</f>
        <v/>
      </c>
      <c r="G62" s="215" t="str">
        <f>IFERROR(VLOOKUP($C62,'PORTIFÓLIO'!C:V,5,0),"")</f>
        <v/>
      </c>
      <c r="H62" s="254" t="str">
        <f t="array" ref="H62">IFERROR(INDEX('PORTIFÓLIO'!$H$4:$H$433,MATCH($C62,'PORTIFÓLIO'!$C$4:$C$433,0)),"")</f>
        <v/>
      </c>
      <c r="I62" s="256"/>
      <c r="J62" s="218">
        <f t="shared" si="6"/>
        <v>0</v>
      </c>
      <c r="K62" s="219" t="str">
        <f t="array" ref="K62">IFERROR(I62*INDEX('PORTIFÓLIO'!$S$4:$S$433,MATCH($C62,'PORTIFÓLIO'!$C$4:$C$433,0)),"")</f>
        <v/>
      </c>
      <c r="L62" s="219" t="str">
        <f t="array" ref="L62">IFERROR(J62*INDEX('PORTIFÓLIO'!$S$4:$S$433,MATCH($C62,'PORTIFÓLIO'!$C$4:$C$433,0)),"")</f>
        <v/>
      </c>
      <c r="M62" s="220"/>
      <c r="N62" s="220"/>
      <c r="O62" s="220"/>
      <c r="P62" s="220"/>
      <c r="Q62" s="220"/>
      <c r="R62" s="220"/>
      <c r="S62" s="220"/>
      <c r="T62" s="220"/>
      <c r="U62" s="220"/>
      <c r="V62" s="220"/>
      <c r="W62" s="220"/>
    </row>
    <row r="63" ht="15.75" customHeight="1">
      <c r="A63" s="229" t="s">
        <v>1186</v>
      </c>
      <c r="B63" s="230"/>
      <c r="C63" s="231"/>
      <c r="D63" s="232"/>
      <c r="E63" s="231"/>
      <c r="F63" s="231"/>
      <c r="G63" s="233"/>
      <c r="H63" s="233"/>
      <c r="I63" s="258"/>
      <c r="J63" s="236"/>
      <c r="K63" s="237">
        <f t="shared" ref="K63:L63" si="7">SUBTOTAL(9,K64:K76)</f>
        <v>80.3378706</v>
      </c>
      <c r="L63" s="237">
        <f t="shared" si="7"/>
        <v>10443.92318</v>
      </c>
      <c r="M63" s="220"/>
      <c r="N63" s="220"/>
      <c r="O63" s="220"/>
      <c r="P63" s="220"/>
      <c r="Q63" s="220"/>
      <c r="R63" s="220"/>
      <c r="S63" s="220"/>
      <c r="T63" s="220"/>
      <c r="U63" s="220"/>
      <c r="V63" s="220"/>
      <c r="W63" s="220"/>
    </row>
    <row r="64" ht="15.75" customHeight="1" outlineLevel="1">
      <c r="A64" s="213"/>
      <c r="B64" s="212" t="s">
        <v>1</v>
      </c>
      <c r="C64" s="213" t="s">
        <v>683</v>
      </c>
      <c r="D64" s="214" t="str">
        <f>IFERROR(VLOOKUP($C64,'PORTIFÓLIO'!C:V,2,0),"")</f>
        <v>GLUFOSINATO - SAL DE AMONIO</v>
      </c>
      <c r="E64" s="211">
        <f>IFERROR(VLOOKUP($C64,'PORTIFÓLIO'!C:V,3,0),"")</f>
        <v>880</v>
      </c>
      <c r="F64" s="211" t="str">
        <f>IFERROR(VLOOKUP($C64,'PORTIFÓLIO'!C:V,4,0),"")</f>
        <v>L</v>
      </c>
      <c r="G64" s="225" t="str">
        <f>IFERROR(VLOOKUP($C64,'PORTIFÓLIO'!C:V,5,0),"")</f>
        <v>📄 Ver bula</v>
      </c>
      <c r="H64" s="254">
        <f t="array" ref="H64">IFERROR(INDEX('PORTIFÓLIO'!$H$4:$H$433,MATCH($C64,'PORTIFÓLIO'!$C$4:$C$433,0)),"")</f>
        <v>0.5</v>
      </c>
      <c r="I64" s="255">
        <v>0.5</v>
      </c>
      <c r="J64" s="218">
        <f t="shared" ref="J64:J80" si="8">I64*$B$2</f>
        <v>65</v>
      </c>
      <c r="K64" s="219">
        <f t="array" ref="K64">IFERROR(I64*INDEX('PORTIFÓLIO'!$S$4:$S$433,MATCH($C64,'PORTIFÓLIO'!$C$4:$C$433,0)),"")</f>
        <v>23.01917</v>
      </c>
      <c r="L64" s="219">
        <f t="array" ref="L64">IFERROR(J64*INDEX('PORTIFÓLIO'!$S$4:$S$433,MATCH($C64,'PORTIFÓLIO'!$C$4:$C$433,0)),"")</f>
        <v>2992.4921</v>
      </c>
      <c r="M64" s="220"/>
      <c r="N64" s="220"/>
      <c r="O64" s="220"/>
      <c r="P64" s="220"/>
      <c r="Q64" s="220"/>
      <c r="R64" s="220"/>
      <c r="S64" s="220"/>
      <c r="T64" s="220"/>
      <c r="U64" s="220"/>
      <c r="V64" s="220"/>
      <c r="W64" s="220"/>
    </row>
    <row r="65" ht="15.75" customHeight="1" outlineLevel="1">
      <c r="A65" s="211"/>
      <c r="B65" s="212" t="s">
        <v>6</v>
      </c>
      <c r="C65" s="213" t="s">
        <v>354</v>
      </c>
      <c r="D65" s="214" t="str">
        <f>IFERROR(VLOOKUP($C65,'PORTIFÓLIO'!C:V,2,0),"")</f>
        <v>OLEO MINERAL</v>
      </c>
      <c r="E65" s="211">
        <f>IFERROR(VLOOKUP($C65,'PORTIFÓLIO'!C:V,3,0),"")</f>
        <v>761</v>
      </c>
      <c r="F65" s="211" t="str">
        <f>IFERROR(VLOOKUP($C65,'PORTIFÓLIO'!C:V,4,0),"")</f>
        <v>L</v>
      </c>
      <c r="G65" s="225" t="str">
        <f>IFERROR(VLOOKUP($C65,'PORTIFÓLIO'!C:V,5,0),"")</f>
        <v>📄 Ver bula</v>
      </c>
      <c r="H65" s="254">
        <f t="array" ref="H65">IFERROR(INDEX('PORTIFÓLIO'!$H$4:$H$433,MATCH($C65,'PORTIFÓLIO'!$C$4:$C$433,0)),"")</f>
        <v>0.2</v>
      </c>
      <c r="I65" s="255">
        <v>0.2</v>
      </c>
      <c r="J65" s="218">
        <f t="shared" si="8"/>
        <v>26</v>
      </c>
      <c r="K65" s="219">
        <f t="array" ref="K65">IFERROR(I65*INDEX('PORTIFÓLIO'!$S$4:$S$433,MATCH($C65,'PORTIFÓLIO'!$C$4:$C$433,0)),"")</f>
        <v>3.206</v>
      </c>
      <c r="L65" s="219">
        <f t="array" ref="L65">IFERROR(J65*INDEX('PORTIFÓLIO'!$S$4:$S$433,MATCH($C65,'PORTIFÓLIO'!$C$4:$C$433,0)),"")</f>
        <v>416.78</v>
      </c>
      <c r="M65" s="220"/>
      <c r="N65" s="220"/>
      <c r="O65" s="220"/>
      <c r="P65" s="220"/>
      <c r="Q65" s="220"/>
      <c r="R65" s="220"/>
      <c r="S65" s="220"/>
      <c r="T65" s="220"/>
      <c r="U65" s="220"/>
      <c r="V65" s="220"/>
      <c r="W65" s="220"/>
    </row>
    <row r="66" ht="15.75" customHeight="1" outlineLevel="1">
      <c r="A66" s="211"/>
      <c r="B66" s="212" t="s">
        <v>2</v>
      </c>
      <c r="C66" s="213" t="s">
        <v>788</v>
      </c>
      <c r="D66" s="214" t="str">
        <f>IFERROR(VLOOKUP($C66,'PORTIFÓLIO'!C:V,2,0),"")</f>
        <v>FIPRONIL</v>
      </c>
      <c r="E66" s="211">
        <f>IFERROR(VLOOKUP($C66,'PORTIFÓLIO'!C:V,3,0),"")</f>
        <v>800</v>
      </c>
      <c r="F66" s="211" t="str">
        <f>IFERROR(VLOOKUP($C66,'PORTIFÓLIO'!C:V,4,0),"")</f>
        <v>L</v>
      </c>
      <c r="G66" s="225" t="str">
        <f>IFERROR(VLOOKUP($C66,'PORTIFÓLIO'!C:V,5,0),"")</f>
        <v>📄 Ver bula</v>
      </c>
      <c r="H66" s="254">
        <f t="array" ref="H66">IFERROR(INDEX('PORTIFÓLIO'!$H$4:$H$433,MATCH($C66,'PORTIFÓLIO'!$C$4:$C$433,0)),"")</f>
        <v>0.04</v>
      </c>
      <c r="I66" s="255">
        <v>0.02</v>
      </c>
      <c r="J66" s="218">
        <f t="shared" si="8"/>
        <v>2.6</v>
      </c>
      <c r="K66" s="219">
        <f t="array" ref="K66">IFERROR(I66*INDEX('PORTIFÓLIO'!$S$4:$S$433,MATCH($C66,'PORTIFÓLIO'!$C$4:$C$433,0)),"")</f>
        <v>4.9527006</v>
      </c>
      <c r="L66" s="219">
        <f t="array" ref="L66">IFERROR(J66*INDEX('PORTIFÓLIO'!$S$4:$S$433,MATCH($C66,'PORTIFÓLIO'!$C$4:$C$433,0)),"")</f>
        <v>643.851078</v>
      </c>
      <c r="M66" s="220"/>
      <c r="N66" s="220"/>
      <c r="O66" s="220"/>
      <c r="P66" s="220"/>
      <c r="Q66" s="220"/>
      <c r="R66" s="220"/>
      <c r="S66" s="220"/>
      <c r="T66" s="220"/>
      <c r="U66" s="220"/>
      <c r="V66" s="220"/>
      <c r="W66" s="220"/>
    </row>
    <row r="67" ht="15.75" customHeight="1" outlineLevel="1">
      <c r="A67" s="211"/>
      <c r="B67" s="212" t="s">
        <v>1</v>
      </c>
      <c r="C67" s="213" t="s">
        <v>637</v>
      </c>
      <c r="D67" s="214" t="str">
        <f>IFERROR(VLOOKUP($C67,'PORTIFÓLIO'!C:V,2,0),"")</f>
        <v>GLIFOSATO-SAL DE AMÔNIO</v>
      </c>
      <c r="E67" s="211">
        <f>IFERROR(VLOOKUP($C67,'PORTIFÓLIO'!C:V,3,0),"")</f>
        <v>720</v>
      </c>
      <c r="F67" s="211" t="str">
        <f>IFERROR(VLOOKUP($C67,'PORTIFÓLIO'!C:V,4,0),"")</f>
        <v>L</v>
      </c>
      <c r="G67" s="225" t="str">
        <f>IFERROR(VLOOKUP($C67,'PORTIFÓLIO'!C:V,5,0),"")</f>
        <v>📄 Ver bula</v>
      </c>
      <c r="H67" s="254">
        <f t="array" ref="H67">IFERROR(INDEX('PORTIFÓLIO'!$H$4:$H$433,MATCH($C67,'PORTIFÓLIO'!$C$4:$C$433,0)),"")</f>
        <v>2</v>
      </c>
      <c r="I67" s="255">
        <v>2.0</v>
      </c>
      <c r="J67" s="218">
        <f t="shared" si="8"/>
        <v>260</v>
      </c>
      <c r="K67" s="219">
        <f t="array" ref="K67">IFERROR(I67*INDEX('PORTIFÓLIO'!$S$4:$S$433,MATCH($C67,'PORTIFÓLIO'!$C$4:$C$433,0)),"")</f>
        <v>49.16</v>
      </c>
      <c r="L67" s="219">
        <f t="array" ref="L67">IFERROR(J67*INDEX('PORTIFÓLIO'!$S$4:$S$433,MATCH($C67,'PORTIFÓLIO'!$C$4:$C$433,0)),"")</f>
        <v>6390.8</v>
      </c>
      <c r="M67" s="220"/>
      <c r="N67" s="220"/>
      <c r="O67" s="220"/>
      <c r="P67" s="220"/>
      <c r="Q67" s="220"/>
      <c r="R67" s="220"/>
      <c r="S67" s="220"/>
      <c r="T67" s="220"/>
      <c r="U67" s="220"/>
      <c r="V67" s="220"/>
      <c r="W67" s="220"/>
    </row>
    <row r="68" ht="15.75" customHeight="1" outlineLevel="1">
      <c r="A68" s="211"/>
      <c r="B68" s="212"/>
      <c r="C68" s="213"/>
      <c r="D68" s="214" t="str">
        <f>IFERROR(VLOOKUP($C68,'PORTIFÓLIO'!C:V,2,0),"")</f>
        <v/>
      </c>
      <c r="E68" s="211" t="str">
        <f>IFERROR(VLOOKUP($C68,'PORTIFÓLIO'!C:V,3,0),"")</f>
        <v/>
      </c>
      <c r="F68" s="211" t="str">
        <f>IFERROR(VLOOKUP($C68,'PORTIFÓLIO'!C:V,4,0),"")</f>
        <v/>
      </c>
      <c r="G68" s="215" t="str">
        <f>IFERROR(VLOOKUP($C68,'PORTIFÓLIO'!C:V,5,0),"")</f>
        <v/>
      </c>
      <c r="H68" s="254" t="str">
        <f t="array" ref="H68">IFERROR(INDEX('PORTIFÓLIO'!$H$4:$H$433,MATCH($C68,'PORTIFÓLIO'!$C$4:$C$433,0)),"")</f>
        <v/>
      </c>
      <c r="I68" s="256"/>
      <c r="J68" s="218">
        <f t="shared" si="8"/>
        <v>0</v>
      </c>
      <c r="K68" s="219" t="str">
        <f t="array" ref="K68">IFERROR(I68*INDEX('PORTIFÓLIO'!$S$4:$S$433,MATCH($C68,'PORTIFÓLIO'!$C$4:$C$433,0)),"")</f>
        <v/>
      </c>
      <c r="L68" s="219" t="str">
        <f t="array" ref="L68">IFERROR(J68*INDEX('PORTIFÓLIO'!$S$4:$S$433,MATCH($C68,'PORTIFÓLIO'!$C$4:$C$433,0)),"")</f>
        <v/>
      </c>
      <c r="M68" s="220"/>
      <c r="N68" s="220"/>
      <c r="O68" s="220"/>
      <c r="P68" s="220"/>
      <c r="Q68" s="220"/>
      <c r="R68" s="220"/>
      <c r="S68" s="220"/>
      <c r="T68" s="220"/>
      <c r="U68" s="220"/>
      <c r="V68" s="220"/>
      <c r="W68" s="220"/>
    </row>
    <row r="69" ht="15.75" customHeight="1" outlineLevel="1">
      <c r="A69" s="211"/>
      <c r="B69" s="212"/>
      <c r="C69" s="213"/>
      <c r="D69" s="214" t="str">
        <f>IFERROR(VLOOKUP($C69,'PORTIFÓLIO'!C:V,2,0),"")</f>
        <v/>
      </c>
      <c r="E69" s="211" t="str">
        <f>IFERROR(VLOOKUP($C69,'PORTIFÓLIO'!C:V,3,0),"")</f>
        <v/>
      </c>
      <c r="F69" s="211" t="str">
        <f>IFERROR(VLOOKUP($C69,'PORTIFÓLIO'!C:V,4,0),"")</f>
        <v/>
      </c>
      <c r="G69" s="215" t="str">
        <f>IFERROR(VLOOKUP($C69,'PORTIFÓLIO'!C:V,5,0),"")</f>
        <v/>
      </c>
      <c r="H69" s="254" t="str">
        <f t="array" ref="H69">IFERROR(INDEX('PORTIFÓLIO'!$H$4:$H$433,MATCH($C69,'PORTIFÓLIO'!$C$4:$C$433,0)),"")</f>
        <v/>
      </c>
      <c r="I69" s="256"/>
      <c r="J69" s="218">
        <f t="shared" si="8"/>
        <v>0</v>
      </c>
      <c r="K69" s="219" t="str">
        <f t="array" ref="K69">IFERROR(I69*INDEX('PORTIFÓLIO'!$S$4:$S$433,MATCH($C69,'PORTIFÓLIO'!$C$4:$C$433,0)),"")</f>
        <v/>
      </c>
      <c r="L69" s="219" t="str">
        <f t="array" ref="L69">IFERROR(J69*INDEX('PORTIFÓLIO'!$S$4:$S$433,MATCH($C69,'PORTIFÓLIO'!$C$4:$C$433,0)),"")</f>
        <v/>
      </c>
      <c r="M69" s="220"/>
      <c r="N69" s="220"/>
      <c r="O69" s="220"/>
      <c r="P69" s="220"/>
      <c r="Q69" s="220"/>
      <c r="R69" s="220"/>
      <c r="S69" s="220"/>
      <c r="T69" s="220"/>
      <c r="U69" s="220"/>
      <c r="V69" s="220"/>
      <c r="W69" s="220"/>
    </row>
    <row r="70" ht="15.75" customHeight="1" outlineLevel="1">
      <c r="A70" s="211"/>
      <c r="B70" s="212"/>
      <c r="C70" s="213"/>
      <c r="D70" s="214" t="str">
        <f>IFERROR(VLOOKUP($C70,'PORTIFÓLIO'!C:V,2,0),"")</f>
        <v/>
      </c>
      <c r="E70" s="211" t="str">
        <f>IFERROR(VLOOKUP($C70,'PORTIFÓLIO'!C:V,3,0),"")</f>
        <v/>
      </c>
      <c r="F70" s="211" t="str">
        <f>IFERROR(VLOOKUP($C70,'PORTIFÓLIO'!C:V,4,0),"")</f>
        <v/>
      </c>
      <c r="G70" s="215" t="str">
        <f>IFERROR(VLOOKUP($C70,'PORTIFÓLIO'!C:V,5,0),"")</f>
        <v/>
      </c>
      <c r="H70" s="254" t="str">
        <f t="array" ref="H70">IFERROR(INDEX('PORTIFÓLIO'!$H$4:$H$433,MATCH($C70,'PORTIFÓLIO'!$C$4:$C$433,0)),"")</f>
        <v/>
      </c>
      <c r="I70" s="256"/>
      <c r="J70" s="218">
        <f t="shared" si="8"/>
        <v>0</v>
      </c>
      <c r="K70" s="219" t="str">
        <f t="array" ref="K70">IFERROR(I70*INDEX('PORTIFÓLIO'!$S$4:$S$433,MATCH($C70,'PORTIFÓLIO'!$C$4:$C$433,0)),"")</f>
        <v/>
      </c>
      <c r="L70" s="219" t="str">
        <f t="array" ref="L70">IFERROR(J70*INDEX('PORTIFÓLIO'!$S$4:$S$433,MATCH($C70,'PORTIFÓLIO'!$C$4:$C$433,0)),"")</f>
        <v/>
      </c>
      <c r="M70" s="220"/>
      <c r="N70" s="220"/>
      <c r="O70" s="220"/>
      <c r="P70" s="220"/>
      <c r="Q70" s="220"/>
      <c r="R70" s="220"/>
      <c r="S70" s="220"/>
      <c r="T70" s="220"/>
      <c r="U70" s="220"/>
      <c r="V70" s="220"/>
      <c r="W70" s="220"/>
    </row>
    <row r="71" ht="15.75" customHeight="1" outlineLevel="1">
      <c r="A71" s="211"/>
      <c r="B71" s="212"/>
      <c r="C71" s="213"/>
      <c r="D71" s="214" t="str">
        <f>IFERROR(VLOOKUP($C71,'PORTIFÓLIO'!C:V,2,0),"")</f>
        <v/>
      </c>
      <c r="E71" s="211" t="str">
        <f>IFERROR(VLOOKUP($C71,'PORTIFÓLIO'!C:V,3,0),"")</f>
        <v/>
      </c>
      <c r="F71" s="211" t="str">
        <f>IFERROR(VLOOKUP($C71,'PORTIFÓLIO'!C:V,4,0),"")</f>
        <v/>
      </c>
      <c r="G71" s="215" t="str">
        <f>IFERROR(VLOOKUP($C71,'PORTIFÓLIO'!C:V,5,0),"")</f>
        <v/>
      </c>
      <c r="H71" s="254" t="str">
        <f t="array" ref="H71">IFERROR(INDEX('PORTIFÓLIO'!$H$4:$H$433,MATCH($C71,'PORTIFÓLIO'!$C$4:$C$433,0)),"")</f>
        <v/>
      </c>
      <c r="I71" s="256"/>
      <c r="J71" s="218">
        <f t="shared" si="8"/>
        <v>0</v>
      </c>
      <c r="K71" s="219" t="str">
        <f t="array" ref="K71">IFERROR(I71*INDEX('PORTIFÓLIO'!$S$4:$S$433,MATCH($C71,'PORTIFÓLIO'!$C$4:$C$433,0)),"")</f>
        <v/>
      </c>
      <c r="L71" s="219" t="str">
        <f t="array" ref="L71">IFERROR(J71*INDEX('PORTIFÓLIO'!$S$4:$S$433,MATCH($C71,'PORTIFÓLIO'!$C$4:$C$433,0)),"")</f>
        <v/>
      </c>
      <c r="M71" s="220"/>
      <c r="N71" s="220"/>
      <c r="O71" s="220"/>
      <c r="P71" s="220"/>
      <c r="Q71" s="220"/>
      <c r="R71" s="220"/>
      <c r="S71" s="220"/>
      <c r="T71" s="220"/>
      <c r="U71" s="220"/>
      <c r="V71" s="220"/>
      <c r="W71" s="220"/>
    </row>
    <row r="72" ht="15.75" customHeight="1" outlineLevel="1">
      <c r="A72" s="211"/>
      <c r="B72" s="212"/>
      <c r="C72" s="213"/>
      <c r="D72" s="214" t="str">
        <f>IFERROR(VLOOKUP($C72,'PORTIFÓLIO'!C:V,2,0),"")</f>
        <v/>
      </c>
      <c r="E72" s="211" t="str">
        <f>IFERROR(VLOOKUP($C72,'PORTIFÓLIO'!C:V,3,0),"")</f>
        <v/>
      </c>
      <c r="F72" s="211" t="str">
        <f>IFERROR(VLOOKUP($C72,'PORTIFÓLIO'!C:V,4,0),"")</f>
        <v/>
      </c>
      <c r="G72" s="215" t="str">
        <f>IFERROR(VLOOKUP($C72,'PORTIFÓLIO'!C:V,5,0),"")</f>
        <v/>
      </c>
      <c r="H72" s="254" t="str">
        <f t="array" ref="H72">IFERROR(INDEX('PORTIFÓLIO'!$H$4:$H$433,MATCH($C72,'PORTIFÓLIO'!$C$4:$C$433,0)),"")</f>
        <v/>
      </c>
      <c r="I72" s="255"/>
      <c r="J72" s="218">
        <f t="shared" si="8"/>
        <v>0</v>
      </c>
      <c r="K72" s="219" t="str">
        <f t="array" ref="K72">IFERROR(I72*INDEX('PORTIFÓLIO'!$S$4:$S$433,MATCH($C72,'PORTIFÓLIO'!$C$4:$C$433,0)),"")</f>
        <v/>
      </c>
      <c r="L72" s="219" t="str">
        <f t="array" ref="L72">IFERROR(J72*INDEX('PORTIFÓLIO'!$S$4:$S$433,MATCH($C72,'PORTIFÓLIO'!$C$4:$C$433,0)),"")</f>
        <v/>
      </c>
      <c r="M72" s="220"/>
      <c r="N72" s="220"/>
      <c r="O72" s="220"/>
      <c r="P72" s="220"/>
      <c r="Q72" s="220"/>
      <c r="R72" s="220"/>
      <c r="S72" s="220"/>
      <c r="T72" s="220"/>
      <c r="U72" s="220"/>
      <c r="V72" s="220"/>
      <c r="W72" s="220"/>
    </row>
    <row r="73" ht="15.75" customHeight="1" outlineLevel="1">
      <c r="A73" s="211"/>
      <c r="B73" s="212"/>
      <c r="C73" s="213"/>
      <c r="D73" s="214" t="str">
        <f>IFERROR(VLOOKUP($C73,'PORTIFÓLIO'!C:V,2,0),"")</f>
        <v/>
      </c>
      <c r="E73" s="211" t="str">
        <f>IFERROR(VLOOKUP($C73,'PORTIFÓLIO'!C:V,3,0),"")</f>
        <v/>
      </c>
      <c r="F73" s="211" t="str">
        <f>IFERROR(VLOOKUP($C73,'PORTIFÓLIO'!C:V,4,0),"")</f>
        <v/>
      </c>
      <c r="G73" s="215" t="str">
        <f>IFERROR(VLOOKUP($C73,'PORTIFÓLIO'!C:V,5,0),"")</f>
        <v/>
      </c>
      <c r="H73" s="254" t="str">
        <f t="array" ref="H73">IFERROR(INDEX('PORTIFÓLIO'!$H$4:$H$433,MATCH($C73,'PORTIFÓLIO'!$C$4:$C$433,0)),"")</f>
        <v/>
      </c>
      <c r="I73" s="256"/>
      <c r="J73" s="218">
        <f t="shared" si="8"/>
        <v>0</v>
      </c>
      <c r="K73" s="219" t="str">
        <f t="array" ref="K73">IFERROR(I73*INDEX('PORTIFÓLIO'!$S$4:$S$433,MATCH($C73,'PORTIFÓLIO'!$C$4:$C$433,0)),"")</f>
        <v/>
      </c>
      <c r="L73" s="219" t="str">
        <f t="array" ref="L73">IFERROR(J73*INDEX('PORTIFÓLIO'!$S$4:$S$433,MATCH($C73,'PORTIFÓLIO'!$C$4:$C$433,0)),"")</f>
        <v/>
      </c>
      <c r="M73" s="220"/>
      <c r="N73" s="220"/>
      <c r="O73" s="220"/>
      <c r="P73" s="220"/>
      <c r="Q73" s="220"/>
      <c r="R73" s="220"/>
      <c r="S73" s="220"/>
      <c r="T73" s="220"/>
      <c r="U73" s="220"/>
      <c r="V73" s="220"/>
      <c r="W73" s="220"/>
    </row>
    <row r="74" ht="15.75" customHeight="1" outlineLevel="1">
      <c r="A74" s="211"/>
      <c r="B74" s="212"/>
      <c r="C74" s="213"/>
      <c r="D74" s="214" t="str">
        <f>IFERROR(VLOOKUP($C74,'PORTIFÓLIO'!C:V,2,0),"")</f>
        <v/>
      </c>
      <c r="E74" s="211" t="str">
        <f>IFERROR(VLOOKUP($C74,'PORTIFÓLIO'!C:V,3,0),"")</f>
        <v/>
      </c>
      <c r="F74" s="211" t="str">
        <f>IFERROR(VLOOKUP($C74,'PORTIFÓLIO'!C:V,4,0),"")</f>
        <v/>
      </c>
      <c r="G74" s="215" t="str">
        <f>IFERROR(VLOOKUP($C74,'PORTIFÓLIO'!C:V,5,0),"")</f>
        <v/>
      </c>
      <c r="H74" s="254" t="str">
        <f t="array" ref="H74">IFERROR(INDEX('PORTIFÓLIO'!$H$4:$H$433,MATCH($C74,'PORTIFÓLIO'!$C$4:$C$433,0)),"")</f>
        <v/>
      </c>
      <c r="I74" s="256"/>
      <c r="J74" s="218">
        <f t="shared" si="8"/>
        <v>0</v>
      </c>
      <c r="K74" s="219" t="str">
        <f t="array" ref="K74">IFERROR(I74*INDEX('PORTIFÓLIO'!$S$4:$S$433,MATCH($C74,'PORTIFÓLIO'!$C$4:$C$433,0)),"")</f>
        <v/>
      </c>
      <c r="L74" s="219" t="str">
        <f t="array" ref="L74">IFERROR(J74*INDEX('PORTIFÓLIO'!$S$4:$S$433,MATCH($C74,'PORTIFÓLIO'!$C$4:$C$433,0)),"")</f>
        <v/>
      </c>
      <c r="M74" s="220"/>
      <c r="N74" s="220"/>
      <c r="O74" s="220"/>
      <c r="P74" s="220"/>
      <c r="Q74" s="220"/>
      <c r="R74" s="220"/>
      <c r="S74" s="220"/>
      <c r="T74" s="220"/>
      <c r="U74" s="220"/>
      <c r="V74" s="220"/>
      <c r="W74" s="220"/>
    </row>
    <row r="75" ht="15.75" customHeight="1" outlineLevel="1">
      <c r="A75" s="211"/>
      <c r="B75" s="212"/>
      <c r="C75" s="213"/>
      <c r="D75" s="214" t="str">
        <f>IFERROR(VLOOKUP($C75,'PORTIFÓLIO'!C:V,2,0),"")</f>
        <v/>
      </c>
      <c r="E75" s="211" t="str">
        <f>IFERROR(VLOOKUP($C75,'PORTIFÓLIO'!C:V,3,0),"")</f>
        <v/>
      </c>
      <c r="F75" s="211" t="str">
        <f>IFERROR(VLOOKUP($C75,'PORTIFÓLIO'!C:V,4,0),"")</f>
        <v/>
      </c>
      <c r="G75" s="215" t="str">
        <f>IFERROR(VLOOKUP($C75,'PORTIFÓLIO'!C:V,5,0),"")</f>
        <v/>
      </c>
      <c r="H75" s="254" t="str">
        <f t="array" ref="H75">IFERROR(INDEX('PORTIFÓLIO'!$H$4:$H$433,MATCH($C75,'PORTIFÓLIO'!$C$4:$C$433,0)),"")</f>
        <v/>
      </c>
      <c r="I75" s="256"/>
      <c r="J75" s="218">
        <f t="shared" si="8"/>
        <v>0</v>
      </c>
      <c r="K75" s="219" t="str">
        <f t="array" ref="K75">IFERROR(I75*INDEX('PORTIFÓLIO'!$S$4:$S$433,MATCH($C75,'PORTIFÓLIO'!$C$4:$C$433,0)),"")</f>
        <v/>
      </c>
      <c r="L75" s="219" t="str">
        <f t="array" ref="L75">IFERROR(J75*INDEX('PORTIFÓLIO'!$S$4:$S$433,MATCH($C75,'PORTIFÓLIO'!$C$4:$C$433,0)),"")</f>
        <v/>
      </c>
      <c r="M75" s="220"/>
      <c r="N75" s="220"/>
      <c r="O75" s="220"/>
      <c r="P75" s="220"/>
      <c r="Q75" s="220"/>
      <c r="R75" s="220"/>
      <c r="S75" s="220"/>
      <c r="T75" s="220"/>
      <c r="U75" s="220"/>
      <c r="V75" s="220"/>
      <c r="W75" s="220"/>
    </row>
    <row r="76" ht="15.75" customHeight="1" outlineLevel="1">
      <c r="A76" s="211"/>
      <c r="B76" s="212"/>
      <c r="C76" s="213"/>
      <c r="D76" s="214" t="str">
        <f>IFERROR(VLOOKUP($C76,'PORTIFÓLIO'!C:V,2,0),"")</f>
        <v/>
      </c>
      <c r="E76" s="211" t="str">
        <f>IFERROR(VLOOKUP($C76,'PORTIFÓLIO'!C:V,3,0),"")</f>
        <v/>
      </c>
      <c r="F76" s="211" t="str">
        <f>IFERROR(VLOOKUP($C76,'PORTIFÓLIO'!C:V,4,0),"")</f>
        <v/>
      </c>
      <c r="G76" s="215" t="str">
        <f>IFERROR(VLOOKUP($C76,'PORTIFÓLIO'!C:V,5,0),"")</f>
        <v/>
      </c>
      <c r="H76" s="254" t="str">
        <f t="array" ref="H76">IFERROR(INDEX('PORTIFÓLIO'!$H$4:$H$433,MATCH($C76,'PORTIFÓLIO'!$C$4:$C$433,0)),"")</f>
        <v/>
      </c>
      <c r="I76" s="256"/>
      <c r="J76" s="218">
        <f t="shared" si="8"/>
        <v>0</v>
      </c>
      <c r="K76" s="219" t="str">
        <f t="array" ref="K76">IFERROR(I76*INDEX('PORTIFÓLIO'!$S$4:$S$433,MATCH($C76,'PORTIFÓLIO'!$C$4:$C$433,0)),"")</f>
        <v/>
      </c>
      <c r="L76" s="219" t="str">
        <f t="array" ref="L76">IFERROR(J76*INDEX('PORTIFÓLIO'!$S$4:$S$433,MATCH($C76,'PORTIFÓLIO'!$C$4:$C$433,0)),"")</f>
        <v/>
      </c>
      <c r="M76" s="220"/>
      <c r="N76" s="220"/>
      <c r="O76" s="220"/>
      <c r="P76" s="220"/>
      <c r="Q76" s="220"/>
      <c r="R76" s="220"/>
      <c r="S76" s="220"/>
      <c r="T76" s="220"/>
      <c r="U76" s="220"/>
      <c r="V76" s="220"/>
      <c r="W76" s="220"/>
    </row>
    <row r="77" ht="15.75" customHeight="1" outlineLevel="1">
      <c r="A77" s="211"/>
      <c r="B77" s="212"/>
      <c r="C77" s="213"/>
      <c r="D77" s="214" t="str">
        <f>IFERROR(VLOOKUP($C77,'PORTIFÓLIO'!C:V,2,0),"")</f>
        <v/>
      </c>
      <c r="E77" s="211" t="str">
        <f>IFERROR(VLOOKUP($C77,'PORTIFÓLIO'!C:V,3,0),"")</f>
        <v/>
      </c>
      <c r="F77" s="211" t="str">
        <f>IFERROR(VLOOKUP($C77,'PORTIFÓLIO'!C:V,4,0),"")</f>
        <v/>
      </c>
      <c r="G77" s="215" t="str">
        <f>IFERROR(VLOOKUP($C77,'PORTIFÓLIO'!C:V,5,0),"")</f>
        <v/>
      </c>
      <c r="H77" s="254" t="str">
        <f t="array" ref="H77">IFERROR(INDEX('PORTIFÓLIO'!$H$4:$H$433,MATCH($C77,'PORTIFÓLIO'!$C$4:$C$433,0)),"")</f>
        <v/>
      </c>
      <c r="I77" s="256"/>
      <c r="J77" s="218">
        <f t="shared" si="8"/>
        <v>0</v>
      </c>
      <c r="K77" s="219" t="str">
        <f t="array" ref="K77">IFERROR(I77*INDEX('PORTIFÓLIO'!$S$4:$S$433,MATCH($C77,'PORTIFÓLIO'!$C$4:$C$433,0)),"")</f>
        <v/>
      </c>
      <c r="L77" s="219" t="str">
        <f t="array" ref="L77">IFERROR(J77*INDEX('PORTIFÓLIO'!$S$4:$S$433,MATCH($C77,'PORTIFÓLIO'!$C$4:$C$433,0)),"")</f>
        <v/>
      </c>
      <c r="M77" s="220"/>
      <c r="N77" s="220"/>
      <c r="O77" s="220"/>
      <c r="P77" s="220"/>
      <c r="Q77" s="220"/>
      <c r="R77" s="220"/>
      <c r="S77" s="220"/>
      <c r="T77" s="220"/>
      <c r="U77" s="220"/>
      <c r="V77" s="220"/>
      <c r="W77" s="220"/>
    </row>
    <row r="78" ht="15.75" customHeight="1" outlineLevel="1">
      <c r="A78" s="211"/>
      <c r="B78" s="212"/>
      <c r="C78" s="213"/>
      <c r="D78" s="214" t="str">
        <f>IFERROR(VLOOKUP($C78,'PORTIFÓLIO'!C:V,2,0),"")</f>
        <v/>
      </c>
      <c r="E78" s="211" t="str">
        <f>IFERROR(VLOOKUP($C78,'PORTIFÓLIO'!C:V,3,0),"")</f>
        <v/>
      </c>
      <c r="F78" s="211" t="str">
        <f>IFERROR(VLOOKUP($C78,'PORTIFÓLIO'!C:V,4,0),"")</f>
        <v/>
      </c>
      <c r="G78" s="215" t="str">
        <f>IFERROR(VLOOKUP($C78,'PORTIFÓLIO'!C:V,5,0),"")</f>
        <v/>
      </c>
      <c r="H78" s="254" t="str">
        <f t="array" ref="H78">IFERROR(INDEX('PORTIFÓLIO'!$H$4:$H$433,MATCH($C78,'PORTIFÓLIO'!$C$4:$C$433,0)),"")</f>
        <v/>
      </c>
      <c r="I78" s="256"/>
      <c r="J78" s="218">
        <f t="shared" si="8"/>
        <v>0</v>
      </c>
      <c r="K78" s="219" t="str">
        <f t="array" ref="K78">IFERROR(I78*INDEX('PORTIFÓLIO'!$S$4:$S$433,MATCH($C78,'PORTIFÓLIO'!$C$4:$C$433,0)),"")</f>
        <v/>
      </c>
      <c r="L78" s="219" t="str">
        <f t="array" ref="L78">IFERROR(J78*INDEX('PORTIFÓLIO'!$S$4:$S$433,MATCH($C78,'PORTIFÓLIO'!$C$4:$C$433,0)),"")</f>
        <v/>
      </c>
      <c r="M78" s="220"/>
      <c r="N78" s="220"/>
      <c r="O78" s="220"/>
      <c r="P78" s="220"/>
      <c r="Q78" s="220"/>
      <c r="R78" s="220"/>
      <c r="S78" s="220"/>
      <c r="T78" s="220"/>
      <c r="U78" s="220"/>
      <c r="V78" s="220"/>
      <c r="W78" s="220"/>
    </row>
    <row r="79" ht="15.75" customHeight="1" outlineLevel="1">
      <c r="A79" s="211"/>
      <c r="B79" s="212"/>
      <c r="C79" s="213"/>
      <c r="D79" s="214" t="str">
        <f>IFERROR(VLOOKUP($C79,'PORTIFÓLIO'!C:V,2,0),"")</f>
        <v/>
      </c>
      <c r="E79" s="211" t="str">
        <f>IFERROR(VLOOKUP($C79,'PORTIFÓLIO'!C:V,3,0),"")</f>
        <v/>
      </c>
      <c r="F79" s="211" t="str">
        <f>IFERROR(VLOOKUP($C79,'PORTIFÓLIO'!C:V,4,0),"")</f>
        <v/>
      </c>
      <c r="G79" s="215" t="str">
        <f>IFERROR(VLOOKUP($C79,'PORTIFÓLIO'!C:V,5,0),"")</f>
        <v/>
      </c>
      <c r="H79" s="254" t="str">
        <f t="array" ref="H79">IFERROR(INDEX('PORTIFÓLIO'!$H$4:$H$433,MATCH($C79,'PORTIFÓLIO'!$C$4:$C$433,0)),"")</f>
        <v/>
      </c>
      <c r="I79" s="256"/>
      <c r="J79" s="218">
        <f t="shared" si="8"/>
        <v>0</v>
      </c>
      <c r="K79" s="219" t="str">
        <f t="array" ref="K79">IFERROR(I79*INDEX('PORTIFÓLIO'!$S$4:$S$433,MATCH($C79,'PORTIFÓLIO'!$C$4:$C$433,0)),"")</f>
        <v/>
      </c>
      <c r="L79" s="219" t="str">
        <f t="array" ref="L79">IFERROR(J79*INDEX('PORTIFÓLIO'!$S$4:$S$433,MATCH($C79,'PORTIFÓLIO'!$C$4:$C$433,0)),"")</f>
        <v/>
      </c>
      <c r="M79" s="220"/>
      <c r="N79" s="220"/>
      <c r="O79" s="220"/>
      <c r="P79" s="220"/>
      <c r="Q79" s="220"/>
      <c r="R79" s="220"/>
      <c r="S79" s="220"/>
      <c r="T79" s="220"/>
      <c r="U79" s="220"/>
      <c r="V79" s="220"/>
      <c r="W79" s="220"/>
    </row>
    <row r="80" ht="15.75" customHeight="1" outlineLevel="1">
      <c r="A80" s="211"/>
      <c r="B80" s="212"/>
      <c r="C80" s="213"/>
      <c r="D80" s="214" t="str">
        <f>IFERROR(VLOOKUP($C80,'PORTIFÓLIO'!C:V,2,0),"")</f>
        <v/>
      </c>
      <c r="E80" s="211" t="str">
        <f>IFERROR(VLOOKUP($C80,'PORTIFÓLIO'!C:V,3,0),"")</f>
        <v/>
      </c>
      <c r="F80" s="211" t="str">
        <f>IFERROR(VLOOKUP($C80,'PORTIFÓLIO'!C:V,4,0),"")</f>
        <v/>
      </c>
      <c r="G80" s="215" t="str">
        <f>IFERROR(VLOOKUP($C80,'PORTIFÓLIO'!C:V,5,0),"")</f>
        <v/>
      </c>
      <c r="H80" s="254" t="str">
        <f t="array" ref="H80">IFERROR(INDEX('PORTIFÓLIO'!$H$4:$H$433,MATCH($C80,'PORTIFÓLIO'!$C$4:$C$433,0)),"")</f>
        <v/>
      </c>
      <c r="I80" s="256"/>
      <c r="J80" s="218">
        <f t="shared" si="8"/>
        <v>0</v>
      </c>
      <c r="K80" s="219" t="str">
        <f t="array" ref="K80">IFERROR(I80*INDEX('PORTIFÓLIO'!$S$4:$S$433,MATCH($C80,'PORTIFÓLIO'!$C$4:$C$433,0)),"")</f>
        <v/>
      </c>
      <c r="L80" s="219" t="str">
        <f t="array" ref="L80">IFERROR(J80*INDEX('PORTIFÓLIO'!$S$4:$S$433,MATCH($C80,'PORTIFÓLIO'!$C$4:$C$433,0)),"")</f>
        <v/>
      </c>
      <c r="M80" s="220"/>
      <c r="N80" s="220"/>
      <c r="O80" s="220"/>
      <c r="P80" s="220"/>
      <c r="Q80" s="220"/>
      <c r="R80" s="220"/>
      <c r="S80" s="220"/>
      <c r="T80" s="220"/>
      <c r="U80" s="220"/>
      <c r="V80" s="220"/>
      <c r="W80" s="220"/>
    </row>
    <row r="81" ht="15.75" customHeight="1">
      <c r="A81" s="229" t="s">
        <v>1188</v>
      </c>
      <c r="B81" s="230"/>
      <c r="C81" s="231"/>
      <c r="D81" s="232" t="s">
        <v>216</v>
      </c>
      <c r="E81" s="231"/>
      <c r="F81" s="231"/>
      <c r="G81" s="233"/>
      <c r="H81" s="233"/>
      <c r="I81" s="258"/>
      <c r="J81" s="236"/>
      <c r="K81" s="237">
        <f t="shared" ref="K81:L81" si="9">SUBTOTAL(9,K82:K95)</f>
        <v>98.11463</v>
      </c>
      <c r="L81" s="237">
        <f t="shared" si="9"/>
        <v>12754.9019</v>
      </c>
      <c r="M81" s="220"/>
      <c r="N81" s="220"/>
      <c r="O81" s="220"/>
      <c r="P81" s="220"/>
      <c r="Q81" s="220"/>
      <c r="R81" s="220"/>
      <c r="S81" s="220"/>
      <c r="T81" s="220"/>
      <c r="U81" s="220"/>
      <c r="V81" s="220"/>
      <c r="W81" s="220"/>
    </row>
    <row r="82" ht="15.75" customHeight="1" outlineLevel="1">
      <c r="A82" s="213"/>
      <c r="B82" s="212" t="s">
        <v>1</v>
      </c>
      <c r="C82" s="213" t="s">
        <v>707</v>
      </c>
      <c r="D82" s="214" t="str">
        <f>IFERROR(VLOOKUP($C82,'PORTIFÓLIO'!C:V,2,0),"")</f>
        <v>IMAZETAPIR</v>
      </c>
      <c r="E82" s="211">
        <f>IFERROR(VLOOKUP($C82,'PORTIFÓLIO'!C:V,3,0),"")</f>
        <v>212</v>
      </c>
      <c r="F82" s="211" t="str">
        <f>IFERROR(VLOOKUP($C82,'PORTIFÓLIO'!C:V,4,0),"")</f>
        <v>L</v>
      </c>
      <c r="G82" s="225" t="str">
        <f>IFERROR(VLOOKUP($C82,'PORTIFÓLIO'!C:V,5,0),"")</f>
        <v>📄 Ver bula</v>
      </c>
      <c r="H82" s="254">
        <f t="array" ref="H82">IFERROR(INDEX('PORTIFÓLIO'!$H$4:$H$433,MATCH($C82,'PORTIFÓLIO'!$C$4:$C$433,0)),"")</f>
        <v>1</v>
      </c>
      <c r="I82" s="255">
        <v>1.0</v>
      </c>
      <c r="J82" s="218">
        <f t="shared" ref="J82:J96" si="10">I82*$B$2</f>
        <v>130</v>
      </c>
      <c r="K82" s="219">
        <f t="array" ref="K82">IFERROR(I82*INDEX('PORTIFÓLIO'!$S$4:$S$433,MATCH($C82,'PORTIFÓLIO'!$C$4:$C$433,0)),"")</f>
        <v>41.36814</v>
      </c>
      <c r="L82" s="219">
        <f t="array" ref="L82">IFERROR(J82*INDEX('PORTIFÓLIO'!$S$4:$S$433,MATCH($C82,'PORTIFÓLIO'!$C$4:$C$433,0)),"")</f>
        <v>5377.8582</v>
      </c>
      <c r="M82" s="220"/>
      <c r="N82" s="220"/>
      <c r="O82" s="220"/>
      <c r="P82" s="220"/>
      <c r="Q82" s="220"/>
      <c r="R82" s="220"/>
      <c r="S82" s="220"/>
      <c r="T82" s="220"/>
      <c r="U82" s="220"/>
      <c r="V82" s="220"/>
      <c r="W82" s="220"/>
    </row>
    <row r="83" ht="15.75" customHeight="1" outlineLevel="1">
      <c r="A83" s="211"/>
      <c r="B83" s="212" t="s">
        <v>1</v>
      </c>
      <c r="C83" s="213" t="s">
        <v>605</v>
      </c>
      <c r="D83" s="214" t="str">
        <f>IFERROR(VLOOKUP($C83,'PORTIFÓLIO'!C:V,2,0),"")</f>
        <v>2,4-D-DIMETILAMINA</v>
      </c>
      <c r="E83" s="211">
        <f>IFERROR(VLOOKUP($C83,'PORTIFÓLIO'!C:V,3,0),"")</f>
        <v>806</v>
      </c>
      <c r="F83" s="211" t="str">
        <f>IFERROR(VLOOKUP($C83,'PORTIFÓLIO'!C:V,4,0),"")</f>
        <v>KG</v>
      </c>
      <c r="G83" s="225" t="str">
        <f>IFERROR(VLOOKUP($C83,'PORTIFÓLIO'!C:V,5,0),"")</f>
        <v>📄 Ver bula</v>
      </c>
      <c r="H83" s="254">
        <f t="array" ref="H83">IFERROR(INDEX('PORTIFÓLIO'!$H$4:$H$433,MATCH($C83,'PORTIFÓLIO'!$C$4:$C$433,0)),"")</f>
        <v>1</v>
      </c>
      <c r="I83" s="255">
        <v>1.0</v>
      </c>
      <c r="J83" s="218">
        <f t="shared" si="10"/>
        <v>130</v>
      </c>
      <c r="K83" s="219">
        <f t="array" ref="K83">IFERROR(I83*INDEX('PORTIFÓLIO'!$S$4:$S$433,MATCH($C83,'PORTIFÓLIO'!$C$4:$C$433,0)),"")</f>
        <v>18.1892</v>
      </c>
      <c r="L83" s="219">
        <f t="array" ref="L83">IFERROR(J83*INDEX('PORTIFÓLIO'!$S$4:$S$433,MATCH($C83,'PORTIFÓLIO'!$C$4:$C$433,0)),"")</f>
        <v>2364.596</v>
      </c>
      <c r="M83" s="220"/>
      <c r="N83" s="220"/>
      <c r="O83" s="220"/>
      <c r="P83" s="220"/>
      <c r="Q83" s="220"/>
      <c r="R83" s="220"/>
      <c r="S83" s="220"/>
      <c r="T83" s="220"/>
      <c r="U83" s="220"/>
      <c r="V83" s="220"/>
      <c r="W83" s="220"/>
    </row>
    <row r="84" ht="15.75" customHeight="1" outlineLevel="1">
      <c r="A84" s="211"/>
      <c r="B84" s="212" t="s">
        <v>2</v>
      </c>
      <c r="C84" s="213" t="s">
        <v>837</v>
      </c>
      <c r="D84" s="214" t="str">
        <f>IFERROR(VLOOKUP($C84,'PORTIFÓLIO'!C:V,2,0),"")</f>
        <v>CLORFENAPIR</v>
      </c>
      <c r="E84" s="211">
        <f>IFERROR(VLOOKUP($C84,'PORTIFÓLIO'!C:V,3,0),"")</f>
        <v>240</v>
      </c>
      <c r="F84" s="211" t="str">
        <f>IFERROR(VLOOKUP($C84,'PORTIFÓLIO'!C:V,4,0),"")</f>
        <v>KG</v>
      </c>
      <c r="G84" s="225" t="str">
        <f>IFERROR(VLOOKUP($C84,'PORTIFÓLIO'!C:V,5,0),"")</f>
        <v>📄 Ver bula</v>
      </c>
      <c r="H84" s="254">
        <f t="array" ref="H84">IFERROR(INDEX('PORTIFÓLIO'!$H$4:$H$433,MATCH($C84,'PORTIFÓLIO'!$C$4:$C$433,0)),"")</f>
        <v>1</v>
      </c>
      <c r="I84" s="255">
        <v>1.0</v>
      </c>
      <c r="J84" s="218">
        <f t="shared" si="10"/>
        <v>130</v>
      </c>
      <c r="K84" s="219">
        <f t="array" ref="K84">IFERROR(I84*INDEX('PORTIFÓLIO'!$S$4:$S$433,MATCH($C84,'PORTIFÓLIO'!$C$4:$C$433,0)),"")</f>
        <v>38.55729</v>
      </c>
      <c r="L84" s="219">
        <f t="array" ref="L84">IFERROR(J84*INDEX('PORTIFÓLIO'!$S$4:$S$433,MATCH($C84,'PORTIFÓLIO'!$C$4:$C$433,0)),"")</f>
        <v>5012.4477</v>
      </c>
      <c r="M84" s="220"/>
      <c r="N84" s="220"/>
      <c r="O84" s="220"/>
      <c r="P84" s="220"/>
      <c r="Q84" s="220"/>
      <c r="R84" s="220"/>
      <c r="S84" s="220"/>
      <c r="T84" s="220"/>
      <c r="U84" s="220"/>
      <c r="V84" s="220"/>
      <c r="W84" s="220"/>
    </row>
    <row r="85" ht="15.75" customHeight="1" outlineLevel="1">
      <c r="A85" s="211"/>
      <c r="B85" s="212"/>
      <c r="C85" s="213"/>
      <c r="D85" s="214" t="str">
        <f>IFERROR(VLOOKUP($C85,'PORTIFÓLIO'!C:V,2,0),"")</f>
        <v/>
      </c>
      <c r="E85" s="211" t="str">
        <f>IFERROR(VLOOKUP($C85,'PORTIFÓLIO'!C:V,3,0),"")</f>
        <v/>
      </c>
      <c r="F85" s="211" t="str">
        <f>IFERROR(VLOOKUP($C85,'PORTIFÓLIO'!C:V,4,0),"")</f>
        <v/>
      </c>
      <c r="G85" s="215" t="str">
        <f>IFERROR(VLOOKUP($C85,'PORTIFÓLIO'!C:V,5,0),"")</f>
        <v/>
      </c>
      <c r="H85" s="254" t="str">
        <f t="array" ref="H85">IFERROR(INDEX('PORTIFÓLIO'!$H$4:$H$433,MATCH($C85,'PORTIFÓLIO'!$C$4:$C$433,0)),"")</f>
        <v/>
      </c>
      <c r="I85" s="255"/>
      <c r="J85" s="218">
        <f t="shared" si="10"/>
        <v>0</v>
      </c>
      <c r="K85" s="219" t="str">
        <f t="array" ref="K85">IFERROR(I85*INDEX('PORTIFÓLIO'!$S$4:$S$433,MATCH($C85,'PORTIFÓLIO'!$C$4:$C$433,0)),"")</f>
        <v/>
      </c>
      <c r="L85" s="219" t="str">
        <f t="array" ref="L85">IFERROR(J85*INDEX('PORTIFÓLIO'!$S$4:$S$433,MATCH($C85,'PORTIFÓLIO'!$C$4:$C$433,0)),"")</f>
        <v/>
      </c>
      <c r="M85" s="220"/>
      <c r="N85" s="220"/>
      <c r="O85" s="220"/>
      <c r="P85" s="220"/>
      <c r="Q85" s="220"/>
      <c r="R85" s="220"/>
      <c r="S85" s="220"/>
      <c r="T85" s="220"/>
      <c r="U85" s="220"/>
      <c r="V85" s="220"/>
      <c r="W85" s="220"/>
    </row>
    <row r="86" ht="15.75" customHeight="1" outlineLevel="1">
      <c r="A86" s="211"/>
      <c r="B86" s="212"/>
      <c r="C86" s="213"/>
      <c r="D86" s="214" t="str">
        <f>IFERROR(VLOOKUP($C86,'PORTIFÓLIO'!C:V,2,0),"")</f>
        <v/>
      </c>
      <c r="E86" s="211" t="str">
        <f>IFERROR(VLOOKUP($C86,'PORTIFÓLIO'!C:V,3,0),"")</f>
        <v/>
      </c>
      <c r="F86" s="211" t="str">
        <f>IFERROR(VLOOKUP($C86,'PORTIFÓLIO'!C:V,4,0),"")</f>
        <v/>
      </c>
      <c r="G86" s="215" t="str">
        <f>IFERROR(VLOOKUP($C86,'PORTIFÓLIO'!C:V,5,0),"")</f>
        <v/>
      </c>
      <c r="H86" s="254" t="str">
        <f t="array" ref="H86">IFERROR(INDEX('PORTIFÓLIO'!$H$4:$H$433,MATCH($C86,'PORTIFÓLIO'!$C$4:$C$433,0)),"")</f>
        <v/>
      </c>
      <c r="I86" s="256"/>
      <c r="J86" s="218">
        <f t="shared" si="10"/>
        <v>0</v>
      </c>
      <c r="K86" s="219" t="str">
        <f t="array" ref="K86">IFERROR(I86*INDEX('PORTIFÓLIO'!$S$4:$S$433,MATCH($C86,'PORTIFÓLIO'!$C$4:$C$433,0)),"")</f>
        <v/>
      </c>
      <c r="L86" s="219" t="str">
        <f t="array" ref="L86">IFERROR(J86*INDEX('PORTIFÓLIO'!$S$4:$S$433,MATCH($C86,'PORTIFÓLIO'!$C$4:$C$433,0)),"")</f>
        <v/>
      </c>
      <c r="M86" s="220"/>
      <c r="N86" s="220"/>
      <c r="O86" s="220"/>
      <c r="P86" s="220"/>
      <c r="Q86" s="220"/>
      <c r="R86" s="220"/>
      <c r="S86" s="220"/>
      <c r="T86" s="220"/>
      <c r="U86" s="220"/>
      <c r="V86" s="220"/>
      <c r="W86" s="220"/>
    </row>
    <row r="87" ht="15.75" customHeight="1" outlineLevel="1">
      <c r="A87" s="211"/>
      <c r="B87" s="212"/>
      <c r="C87" s="213"/>
      <c r="D87" s="214" t="str">
        <f>IFERROR(VLOOKUP($C87,'PORTIFÓLIO'!C:V,2,0),"")</f>
        <v/>
      </c>
      <c r="E87" s="211" t="str">
        <f>IFERROR(VLOOKUP($C87,'PORTIFÓLIO'!C:V,3,0),"")</f>
        <v/>
      </c>
      <c r="F87" s="211" t="str">
        <f>IFERROR(VLOOKUP($C87,'PORTIFÓLIO'!C:V,4,0),"")</f>
        <v/>
      </c>
      <c r="G87" s="215" t="str">
        <f>IFERROR(VLOOKUP($C87,'PORTIFÓLIO'!C:V,5,0),"")</f>
        <v/>
      </c>
      <c r="H87" s="254" t="str">
        <f t="array" ref="H87">IFERROR(INDEX('PORTIFÓLIO'!$H$4:$H$433,MATCH($C87,'PORTIFÓLIO'!$C$4:$C$433,0)),"")</f>
        <v/>
      </c>
      <c r="I87" s="256"/>
      <c r="J87" s="218">
        <f t="shared" si="10"/>
        <v>0</v>
      </c>
      <c r="K87" s="219" t="str">
        <f t="array" ref="K87">IFERROR(I87*INDEX('PORTIFÓLIO'!$S$4:$S$433,MATCH($C87,'PORTIFÓLIO'!$C$4:$C$433,0)),"")</f>
        <v/>
      </c>
      <c r="L87" s="219" t="str">
        <f t="array" ref="L87">IFERROR(J87*INDEX('PORTIFÓLIO'!$S$4:$S$433,MATCH($C87,'PORTIFÓLIO'!$C$4:$C$433,0)),"")</f>
        <v/>
      </c>
      <c r="M87" s="220"/>
      <c r="N87" s="220"/>
      <c r="O87" s="220"/>
      <c r="P87" s="220"/>
      <c r="Q87" s="220"/>
      <c r="R87" s="220"/>
      <c r="S87" s="220"/>
      <c r="T87" s="220"/>
      <c r="U87" s="220"/>
      <c r="V87" s="220"/>
      <c r="W87" s="220"/>
    </row>
    <row r="88" ht="15.75" customHeight="1" outlineLevel="1">
      <c r="A88" s="211"/>
      <c r="B88" s="212"/>
      <c r="C88" s="213"/>
      <c r="D88" s="214" t="str">
        <f>IFERROR(VLOOKUP($C88,'PORTIFÓLIO'!C:V,2,0),"")</f>
        <v/>
      </c>
      <c r="E88" s="211" t="str">
        <f>IFERROR(VLOOKUP($C88,'PORTIFÓLIO'!C:V,3,0),"")</f>
        <v/>
      </c>
      <c r="F88" s="211" t="str">
        <f>IFERROR(VLOOKUP($C88,'PORTIFÓLIO'!C:V,4,0),"")</f>
        <v/>
      </c>
      <c r="G88" s="215" t="str">
        <f>IFERROR(VLOOKUP($C88,'PORTIFÓLIO'!C:V,5,0),"")</f>
        <v/>
      </c>
      <c r="H88" s="254" t="str">
        <f t="array" ref="H88">IFERROR(INDEX('PORTIFÓLIO'!$H$4:$H$433,MATCH($C88,'PORTIFÓLIO'!$C$4:$C$433,0)),"")</f>
        <v/>
      </c>
      <c r="I88" s="256"/>
      <c r="J88" s="218">
        <f t="shared" si="10"/>
        <v>0</v>
      </c>
      <c r="K88" s="219" t="str">
        <f t="array" ref="K88">IFERROR(I88*INDEX('PORTIFÓLIO'!$S$4:$S$433,MATCH($C88,'PORTIFÓLIO'!$C$4:$C$433,0)),"")</f>
        <v/>
      </c>
      <c r="L88" s="219" t="str">
        <f t="array" ref="L88">IFERROR(J88*INDEX('PORTIFÓLIO'!$S$4:$S$433,MATCH($C88,'PORTIFÓLIO'!$C$4:$C$433,0)),"")</f>
        <v/>
      </c>
      <c r="M88" s="220"/>
      <c r="N88" s="220"/>
      <c r="O88" s="220"/>
      <c r="P88" s="220"/>
      <c r="Q88" s="220"/>
      <c r="R88" s="220"/>
      <c r="S88" s="220"/>
      <c r="T88" s="220"/>
      <c r="U88" s="220"/>
      <c r="V88" s="220"/>
      <c r="W88" s="220"/>
    </row>
    <row r="89" ht="15.75" customHeight="1" outlineLevel="1">
      <c r="A89" s="211"/>
      <c r="B89" s="212"/>
      <c r="C89" s="213"/>
      <c r="D89" s="214" t="str">
        <f>IFERROR(VLOOKUP($C89,'PORTIFÓLIO'!C:V,2,0),"")</f>
        <v/>
      </c>
      <c r="E89" s="211" t="str">
        <f>IFERROR(VLOOKUP($C89,'PORTIFÓLIO'!C:V,3,0),"")</f>
        <v/>
      </c>
      <c r="F89" s="211" t="str">
        <f>IFERROR(VLOOKUP($C89,'PORTIFÓLIO'!C:V,4,0),"")</f>
        <v/>
      </c>
      <c r="G89" s="215" t="str">
        <f>IFERROR(VLOOKUP($C89,'PORTIFÓLIO'!C:V,5,0),"")</f>
        <v/>
      </c>
      <c r="H89" s="254" t="str">
        <f t="array" ref="H89">IFERROR(INDEX('PORTIFÓLIO'!$H$4:$H$433,MATCH($C89,'PORTIFÓLIO'!$C$4:$C$433,0)),"")</f>
        <v/>
      </c>
      <c r="I89" s="256"/>
      <c r="J89" s="218">
        <f t="shared" si="10"/>
        <v>0</v>
      </c>
      <c r="K89" s="219" t="str">
        <f t="array" ref="K89">IFERROR(I89*INDEX('PORTIFÓLIO'!$S$4:$S$433,MATCH($C89,'PORTIFÓLIO'!$C$4:$C$433,0)),"")</f>
        <v/>
      </c>
      <c r="L89" s="219" t="str">
        <f t="array" ref="L89">IFERROR(J89*INDEX('PORTIFÓLIO'!$S$4:$S$433,MATCH($C89,'PORTIFÓLIO'!$C$4:$C$433,0)),"")</f>
        <v/>
      </c>
      <c r="M89" s="220"/>
      <c r="N89" s="220"/>
      <c r="O89" s="220"/>
      <c r="P89" s="220"/>
      <c r="Q89" s="220"/>
      <c r="R89" s="220"/>
      <c r="S89" s="220"/>
      <c r="T89" s="220"/>
      <c r="U89" s="220"/>
      <c r="V89" s="220"/>
      <c r="W89" s="220"/>
    </row>
    <row r="90" ht="15.75" customHeight="1" outlineLevel="1">
      <c r="A90" s="211"/>
      <c r="B90" s="212"/>
      <c r="C90" s="213"/>
      <c r="D90" s="214" t="str">
        <f>IFERROR(VLOOKUP($C90,'PORTIFÓLIO'!C:V,2,0),"")</f>
        <v/>
      </c>
      <c r="E90" s="211" t="str">
        <f>IFERROR(VLOOKUP($C90,'PORTIFÓLIO'!C:V,3,0),"")</f>
        <v/>
      </c>
      <c r="F90" s="211" t="str">
        <f>IFERROR(VLOOKUP($C90,'PORTIFÓLIO'!C:V,4,0),"")</f>
        <v/>
      </c>
      <c r="G90" s="215" t="str">
        <f>IFERROR(VLOOKUP($C90,'PORTIFÓLIO'!C:V,5,0),"")</f>
        <v/>
      </c>
      <c r="H90" s="254" t="str">
        <f t="array" ref="H90">IFERROR(INDEX('PORTIFÓLIO'!$H$4:$H$433,MATCH($C90,'PORTIFÓLIO'!$C$4:$C$433,0)),"")</f>
        <v/>
      </c>
      <c r="I90" s="255"/>
      <c r="J90" s="218">
        <f t="shared" si="10"/>
        <v>0</v>
      </c>
      <c r="K90" s="219" t="str">
        <f t="array" ref="K90">IFERROR(I90*INDEX('PORTIFÓLIO'!$S$4:$S$433,MATCH($C90,'PORTIFÓLIO'!$C$4:$C$433,0)),"")</f>
        <v/>
      </c>
      <c r="L90" s="219" t="str">
        <f t="array" ref="L90">IFERROR(J90*INDEX('PORTIFÓLIO'!$S$4:$S$433,MATCH($C90,'PORTIFÓLIO'!$C$4:$C$433,0)),"")</f>
        <v/>
      </c>
      <c r="M90" s="220"/>
      <c r="N90" s="220"/>
      <c r="O90" s="220"/>
      <c r="P90" s="220"/>
      <c r="Q90" s="220"/>
      <c r="R90" s="220"/>
      <c r="S90" s="220"/>
      <c r="T90" s="220"/>
      <c r="U90" s="220"/>
      <c r="V90" s="220"/>
      <c r="W90" s="220"/>
    </row>
    <row r="91" ht="15.75" customHeight="1" outlineLevel="1">
      <c r="A91" s="211"/>
      <c r="B91" s="212"/>
      <c r="C91" s="213"/>
      <c r="D91" s="214" t="str">
        <f>IFERROR(VLOOKUP($C91,'PORTIFÓLIO'!C:V,2,0),"")</f>
        <v/>
      </c>
      <c r="E91" s="211" t="str">
        <f>IFERROR(VLOOKUP($C91,'PORTIFÓLIO'!C:V,3,0),"")</f>
        <v/>
      </c>
      <c r="F91" s="211" t="str">
        <f>IFERROR(VLOOKUP($C91,'PORTIFÓLIO'!C:V,4,0),"")</f>
        <v/>
      </c>
      <c r="G91" s="215" t="str">
        <f>IFERROR(VLOOKUP($C91,'PORTIFÓLIO'!C:V,5,0),"")</f>
        <v/>
      </c>
      <c r="H91" s="254" t="str">
        <f t="array" ref="H91">IFERROR(INDEX('PORTIFÓLIO'!$H$4:$H$433,MATCH($C91,'PORTIFÓLIO'!$C$4:$C$433,0)),"")</f>
        <v/>
      </c>
      <c r="I91" s="256"/>
      <c r="J91" s="218">
        <f t="shared" si="10"/>
        <v>0</v>
      </c>
      <c r="K91" s="219" t="str">
        <f t="array" ref="K91">IFERROR(I91*INDEX('PORTIFÓLIO'!$S$4:$S$433,MATCH($C91,'PORTIFÓLIO'!$C$4:$C$433,0)),"")</f>
        <v/>
      </c>
      <c r="L91" s="219" t="str">
        <f t="array" ref="L91">IFERROR(J91*INDEX('PORTIFÓLIO'!$S$4:$S$433,MATCH($C91,'PORTIFÓLIO'!$C$4:$C$433,0)),"")</f>
        <v/>
      </c>
      <c r="M91" s="220"/>
      <c r="N91" s="220"/>
      <c r="O91" s="220"/>
      <c r="P91" s="220"/>
      <c r="Q91" s="220"/>
      <c r="R91" s="220"/>
      <c r="S91" s="220"/>
      <c r="T91" s="220"/>
      <c r="U91" s="220"/>
      <c r="V91" s="220"/>
      <c r="W91" s="220"/>
    </row>
    <row r="92" ht="15.75" customHeight="1" outlineLevel="1">
      <c r="A92" s="211"/>
      <c r="B92" s="212"/>
      <c r="C92" s="213"/>
      <c r="D92" s="214" t="str">
        <f>IFERROR(VLOOKUP($C92,'PORTIFÓLIO'!C:V,2,0),"")</f>
        <v/>
      </c>
      <c r="E92" s="211" t="str">
        <f>IFERROR(VLOOKUP($C92,'PORTIFÓLIO'!C:V,3,0),"")</f>
        <v/>
      </c>
      <c r="F92" s="211" t="str">
        <f>IFERROR(VLOOKUP($C92,'PORTIFÓLIO'!C:V,4,0),"")</f>
        <v/>
      </c>
      <c r="G92" s="215" t="str">
        <f>IFERROR(VLOOKUP($C92,'PORTIFÓLIO'!C:V,5,0),"")</f>
        <v/>
      </c>
      <c r="H92" s="254" t="str">
        <f t="array" ref="H92">IFERROR(INDEX('PORTIFÓLIO'!$H$4:$H$433,MATCH($C92,'PORTIFÓLIO'!$C$4:$C$433,0)),"")</f>
        <v/>
      </c>
      <c r="I92" s="256"/>
      <c r="J92" s="218">
        <f t="shared" si="10"/>
        <v>0</v>
      </c>
      <c r="K92" s="219" t="str">
        <f t="array" ref="K92">IFERROR(I92*INDEX('PORTIFÓLIO'!$S$4:$S$433,MATCH($C92,'PORTIFÓLIO'!$C$4:$C$433,0)),"")</f>
        <v/>
      </c>
      <c r="L92" s="219" t="str">
        <f t="array" ref="L92">IFERROR(J92*INDEX('PORTIFÓLIO'!$S$4:$S$433,MATCH($C92,'PORTIFÓLIO'!$C$4:$C$433,0)),"")</f>
        <v/>
      </c>
      <c r="M92" s="220"/>
      <c r="N92" s="220"/>
      <c r="O92" s="220"/>
      <c r="P92" s="220"/>
      <c r="Q92" s="220"/>
      <c r="R92" s="220"/>
      <c r="S92" s="220"/>
      <c r="T92" s="220"/>
      <c r="U92" s="220"/>
      <c r="V92" s="220"/>
      <c r="W92" s="220"/>
    </row>
    <row r="93" ht="15.75" customHeight="1" outlineLevel="1">
      <c r="A93" s="211"/>
      <c r="B93" s="212"/>
      <c r="C93" s="213"/>
      <c r="D93" s="214" t="str">
        <f>IFERROR(VLOOKUP($C93,'PORTIFÓLIO'!C:V,2,0),"")</f>
        <v/>
      </c>
      <c r="E93" s="211" t="str">
        <f>IFERROR(VLOOKUP($C93,'PORTIFÓLIO'!C:V,3,0),"")</f>
        <v/>
      </c>
      <c r="F93" s="211" t="str">
        <f>IFERROR(VLOOKUP($C93,'PORTIFÓLIO'!C:V,4,0),"")</f>
        <v/>
      </c>
      <c r="G93" s="215" t="str">
        <f>IFERROR(VLOOKUP($C93,'PORTIFÓLIO'!C:V,5,0),"")</f>
        <v/>
      </c>
      <c r="H93" s="254" t="str">
        <f t="array" ref="H93">IFERROR(INDEX('PORTIFÓLIO'!$H$4:$H$433,MATCH($C93,'PORTIFÓLIO'!$C$4:$C$433,0)),"")</f>
        <v/>
      </c>
      <c r="I93" s="256"/>
      <c r="J93" s="218">
        <f t="shared" si="10"/>
        <v>0</v>
      </c>
      <c r="K93" s="219" t="str">
        <f t="array" ref="K93">IFERROR(I93*INDEX('PORTIFÓLIO'!$S$4:$S$433,MATCH($C93,'PORTIFÓLIO'!$C$4:$C$433,0)),"")</f>
        <v/>
      </c>
      <c r="L93" s="219" t="str">
        <f t="array" ref="L93">IFERROR(J93*INDEX('PORTIFÓLIO'!$S$4:$S$433,MATCH($C93,'PORTIFÓLIO'!$C$4:$C$433,0)),"")</f>
        <v/>
      </c>
      <c r="M93" s="220"/>
      <c r="N93" s="220"/>
      <c r="O93" s="220"/>
      <c r="P93" s="220"/>
      <c r="Q93" s="220"/>
      <c r="R93" s="220"/>
      <c r="S93" s="220"/>
      <c r="T93" s="220"/>
      <c r="U93" s="220"/>
      <c r="V93" s="220"/>
      <c r="W93" s="220"/>
    </row>
    <row r="94" ht="15.75" customHeight="1" outlineLevel="1">
      <c r="A94" s="211"/>
      <c r="B94" s="212"/>
      <c r="C94" s="213"/>
      <c r="D94" s="214" t="str">
        <f>IFERROR(VLOOKUP($C94,'PORTIFÓLIO'!C:V,2,0),"")</f>
        <v/>
      </c>
      <c r="E94" s="211" t="str">
        <f>IFERROR(VLOOKUP($C94,'PORTIFÓLIO'!C:V,3,0),"")</f>
        <v/>
      </c>
      <c r="F94" s="211" t="str">
        <f>IFERROR(VLOOKUP($C94,'PORTIFÓLIO'!C:V,4,0),"")</f>
        <v/>
      </c>
      <c r="G94" s="215" t="str">
        <f>IFERROR(VLOOKUP($C94,'PORTIFÓLIO'!C:V,5,0),"")</f>
        <v/>
      </c>
      <c r="H94" s="254" t="str">
        <f t="array" ref="H94">IFERROR(INDEX('PORTIFÓLIO'!$H$4:$H$433,MATCH($C94,'PORTIFÓLIO'!$C$4:$C$433,0)),"")</f>
        <v/>
      </c>
      <c r="I94" s="256"/>
      <c r="J94" s="218">
        <f t="shared" si="10"/>
        <v>0</v>
      </c>
      <c r="K94" s="219" t="str">
        <f t="array" ref="K94">IFERROR(I94*INDEX('PORTIFÓLIO'!$S$4:$S$433,MATCH($C94,'PORTIFÓLIO'!$C$4:$C$433,0)),"")</f>
        <v/>
      </c>
      <c r="L94" s="219" t="str">
        <f t="array" ref="L94">IFERROR(J94*INDEX('PORTIFÓLIO'!$S$4:$S$433,MATCH($C94,'PORTIFÓLIO'!$C$4:$C$433,0)),"")</f>
        <v/>
      </c>
      <c r="M94" s="220"/>
      <c r="N94" s="220"/>
      <c r="O94" s="220"/>
      <c r="P94" s="220"/>
      <c r="Q94" s="220"/>
      <c r="R94" s="220"/>
      <c r="S94" s="220"/>
      <c r="T94" s="220"/>
      <c r="U94" s="220"/>
      <c r="V94" s="220"/>
      <c r="W94" s="220"/>
    </row>
    <row r="95" ht="15.75" customHeight="1" outlineLevel="1">
      <c r="A95" s="211"/>
      <c r="B95" s="212"/>
      <c r="C95" s="213"/>
      <c r="D95" s="214" t="str">
        <f>IFERROR(VLOOKUP($C95,'PORTIFÓLIO'!C:V,2,0),"")</f>
        <v/>
      </c>
      <c r="E95" s="211" t="str">
        <f>IFERROR(VLOOKUP($C95,'PORTIFÓLIO'!C:V,3,0),"")</f>
        <v/>
      </c>
      <c r="F95" s="211" t="str">
        <f>IFERROR(VLOOKUP($C95,'PORTIFÓLIO'!C:V,4,0),"")</f>
        <v/>
      </c>
      <c r="G95" s="215" t="str">
        <f>IFERROR(VLOOKUP($C95,'PORTIFÓLIO'!C:V,5,0),"")</f>
        <v/>
      </c>
      <c r="H95" s="254" t="str">
        <f t="array" ref="H95">IFERROR(INDEX('PORTIFÓLIO'!$H$4:$H$433,MATCH($C95,'PORTIFÓLIO'!$C$4:$C$433,0)),"")</f>
        <v/>
      </c>
      <c r="I95" s="256"/>
      <c r="J95" s="218">
        <f t="shared" si="10"/>
        <v>0</v>
      </c>
      <c r="K95" s="219" t="str">
        <f t="array" ref="K95">IFERROR(I95*INDEX('PORTIFÓLIO'!$S$4:$S$433,MATCH($C95,'PORTIFÓLIO'!$C$4:$C$433,0)),"")</f>
        <v/>
      </c>
      <c r="L95" s="219" t="str">
        <f t="array" ref="L95">IFERROR(J95*INDEX('PORTIFÓLIO'!$S$4:$S$433,MATCH($C95,'PORTIFÓLIO'!$C$4:$C$433,0)),"")</f>
        <v/>
      </c>
      <c r="M95" s="220"/>
      <c r="N95" s="220"/>
      <c r="O95" s="220"/>
      <c r="P95" s="220"/>
      <c r="Q95" s="220"/>
      <c r="R95" s="220"/>
      <c r="S95" s="220"/>
      <c r="T95" s="220"/>
      <c r="U95" s="220"/>
      <c r="V95" s="220"/>
      <c r="W95" s="220"/>
    </row>
    <row r="96" ht="15.75" customHeight="1" outlineLevel="1">
      <c r="A96" s="211"/>
      <c r="B96" s="212"/>
      <c r="C96" s="213"/>
      <c r="D96" s="214" t="str">
        <f>IFERROR(VLOOKUP($C96,'PORTIFÓLIO'!C:V,2,0),"")</f>
        <v/>
      </c>
      <c r="E96" s="211" t="str">
        <f>IFERROR(VLOOKUP($C96,'PORTIFÓLIO'!C:V,3,0),"")</f>
        <v/>
      </c>
      <c r="F96" s="211" t="str">
        <f>IFERROR(VLOOKUP($C96,'PORTIFÓLIO'!C:V,4,0),"")</f>
        <v/>
      </c>
      <c r="G96" s="215" t="str">
        <f>IFERROR(VLOOKUP($C96,'PORTIFÓLIO'!C:V,5,0),"")</f>
        <v/>
      </c>
      <c r="H96" s="254" t="str">
        <f t="array" ref="H96">IFERROR(INDEX('PORTIFÓLIO'!$H$4:$H$433,MATCH($C96,'PORTIFÓLIO'!$C$4:$C$433,0)),"")</f>
        <v/>
      </c>
      <c r="I96" s="256"/>
      <c r="J96" s="218">
        <f t="shared" si="10"/>
        <v>0</v>
      </c>
      <c r="K96" s="219" t="str">
        <f t="array" ref="K96">IFERROR(I96*INDEX('PORTIFÓLIO'!$S$4:$S$433,MATCH($C96,'PORTIFÓLIO'!$C$4:$C$433,0)),"")</f>
        <v/>
      </c>
      <c r="L96" s="219" t="str">
        <f t="array" ref="L96">IFERROR(J96*INDEX('PORTIFÓLIO'!$S$4:$S$433,MATCH($C96,'PORTIFÓLIO'!$C$4:$C$433,0)),"")</f>
        <v/>
      </c>
      <c r="M96" s="220"/>
      <c r="N96" s="220"/>
      <c r="O96" s="220"/>
      <c r="P96" s="220"/>
      <c r="Q96" s="220"/>
      <c r="R96" s="220"/>
      <c r="S96" s="220"/>
      <c r="T96" s="220"/>
      <c r="U96" s="220"/>
      <c r="V96" s="220"/>
      <c r="W96" s="220"/>
    </row>
    <row r="97" ht="15.75" customHeight="1">
      <c r="A97" s="229" t="s">
        <v>1189</v>
      </c>
      <c r="B97" s="230"/>
      <c r="C97" s="231"/>
      <c r="D97" s="232"/>
      <c r="E97" s="231"/>
      <c r="F97" s="231"/>
      <c r="G97" s="233"/>
      <c r="H97" s="233"/>
      <c r="I97" s="258"/>
      <c r="J97" s="236"/>
      <c r="K97" s="237">
        <f t="shared" ref="K97:L97" si="11">SUBTOTAL(9,K98:K111)</f>
        <v>70.984595</v>
      </c>
      <c r="L97" s="237">
        <f t="shared" si="11"/>
        <v>9227.99735</v>
      </c>
      <c r="M97" s="220"/>
      <c r="N97" s="220"/>
      <c r="O97" s="220"/>
      <c r="P97" s="220"/>
      <c r="Q97" s="220"/>
      <c r="R97" s="220"/>
      <c r="S97" s="220"/>
      <c r="T97" s="220"/>
      <c r="U97" s="220"/>
      <c r="V97" s="220"/>
      <c r="W97" s="220"/>
    </row>
    <row r="98" ht="15.75" customHeight="1" outlineLevel="1">
      <c r="A98" s="213"/>
      <c r="B98" s="212" t="s">
        <v>0</v>
      </c>
      <c r="C98" s="213" t="s">
        <v>434</v>
      </c>
      <c r="D98" s="214" t="str">
        <f>IFERROR(VLOOKUP($C98,'PORTIFÓLIO'!C:V,2,0),"")</f>
        <v>AZOXISTROBINA + TEBUCONAZOL</v>
      </c>
      <c r="E98" s="211" t="str">
        <f>IFERROR(VLOOKUP($C98,'PORTIFÓLIO'!C:V,3,0),"")</f>
        <v>120 + 200</v>
      </c>
      <c r="F98" s="211" t="str">
        <f>IFERROR(VLOOKUP($C98,'PORTIFÓLIO'!C:V,4,0),"")</f>
        <v>L</v>
      </c>
      <c r="G98" s="225" t="str">
        <f>IFERROR(VLOOKUP($C98,'PORTIFÓLIO'!C:V,5,0),"")</f>
        <v>📄 Ver bula</v>
      </c>
      <c r="H98" s="254">
        <f t="array" ref="H98">IFERROR(INDEX('PORTIFÓLIO'!$H$4:$H$433,MATCH($C98,'PORTIFÓLIO'!$C$4:$C$433,0)),"")</f>
        <v>0.5</v>
      </c>
      <c r="I98" s="255">
        <v>0.5</v>
      </c>
      <c r="J98" s="218">
        <f t="shared" ref="J98:J112" si="12">I98*$B$2</f>
        <v>65</v>
      </c>
      <c r="K98" s="219">
        <f t="array" ref="K98">IFERROR(I98*INDEX('PORTIFÓLIO'!$S$4:$S$433,MATCH($C98,'PORTIFÓLIO'!$C$4:$C$433,0)),"")</f>
        <v>17.66448</v>
      </c>
      <c r="L98" s="219">
        <f t="array" ref="L98">IFERROR(J98*INDEX('PORTIFÓLIO'!$S$4:$S$433,MATCH($C98,'PORTIFÓLIO'!$C$4:$C$433,0)),"")</f>
        <v>2296.3824</v>
      </c>
      <c r="M98" s="220"/>
      <c r="N98" s="220"/>
      <c r="O98" s="220"/>
      <c r="P98" s="220"/>
      <c r="Q98" s="220"/>
      <c r="R98" s="220"/>
      <c r="S98" s="220"/>
      <c r="T98" s="220"/>
      <c r="U98" s="220"/>
      <c r="V98" s="220"/>
      <c r="W98" s="220"/>
    </row>
    <row r="99" ht="15.75" customHeight="1" outlineLevel="1">
      <c r="A99" s="211"/>
      <c r="B99" s="212" t="s">
        <v>0</v>
      </c>
      <c r="C99" s="213" t="s">
        <v>484</v>
      </c>
      <c r="D99" s="214" t="str">
        <f>IFERROR(VLOOKUP($C99,'PORTIFÓLIO'!C:V,2,0),"")</f>
        <v>MANCOZEBE</v>
      </c>
      <c r="E99" s="211">
        <f>IFERROR(VLOOKUP($C99,'PORTIFÓLIO'!C:V,3,0),"")</f>
        <v>750</v>
      </c>
      <c r="F99" s="211" t="str">
        <f>IFERROR(VLOOKUP($C99,'PORTIFÓLIO'!C:V,4,0),"")</f>
        <v>L</v>
      </c>
      <c r="G99" s="225" t="str">
        <f>IFERROR(VLOOKUP($C99,'PORTIFÓLIO'!C:V,5,0),"")</f>
        <v>📄 Ver bula</v>
      </c>
      <c r="H99" s="254">
        <f t="array" ref="H99">IFERROR(INDEX('PORTIFÓLIO'!$H$4:$H$433,MATCH($C99,'PORTIFÓLIO'!$C$4:$C$433,0)),"")</f>
        <v>1.5</v>
      </c>
      <c r="I99" s="255">
        <v>1.0</v>
      </c>
      <c r="J99" s="218">
        <f t="shared" si="12"/>
        <v>130</v>
      </c>
      <c r="K99" s="219">
        <f t="array" ref="K99">IFERROR(I99*INDEX('PORTIFÓLIO'!$S$4:$S$433,MATCH($C99,'PORTIFÓLIO'!$C$4:$C$433,0)),"")</f>
        <v>27.68112</v>
      </c>
      <c r="L99" s="219">
        <f t="array" ref="L99">IFERROR(J99*INDEX('PORTIFÓLIO'!$S$4:$S$433,MATCH($C99,'PORTIFÓLIO'!$C$4:$C$433,0)),"")</f>
        <v>3598.5456</v>
      </c>
      <c r="M99" s="220"/>
      <c r="N99" s="220"/>
      <c r="O99" s="220"/>
      <c r="P99" s="220"/>
      <c r="Q99" s="220"/>
      <c r="R99" s="220"/>
      <c r="S99" s="220"/>
      <c r="T99" s="220"/>
      <c r="U99" s="220"/>
      <c r="V99" s="220"/>
      <c r="W99" s="220"/>
    </row>
    <row r="100" ht="15.75" customHeight="1" outlineLevel="1">
      <c r="A100" s="211"/>
      <c r="B100" s="212" t="s">
        <v>2</v>
      </c>
      <c r="C100" s="213" t="s">
        <v>844</v>
      </c>
      <c r="D100" s="214" t="str">
        <f>IFERROR(VLOOKUP($C100,'PORTIFÓLIO'!C:V,2,0),"")</f>
        <v>METOMIL</v>
      </c>
      <c r="E100" s="211">
        <f>IFERROR(VLOOKUP($C100,'PORTIFÓLIO'!C:V,3,0),"")</f>
        <v>215</v>
      </c>
      <c r="F100" s="211" t="str">
        <f>IFERROR(VLOOKUP($C100,'PORTIFÓLIO'!C:V,4,0),"")</f>
        <v>L</v>
      </c>
      <c r="G100" s="225" t="str">
        <f>IFERROR(VLOOKUP($C100,'PORTIFÓLIO'!C:V,5,0),"")</f>
        <v>📄 Ver bula</v>
      </c>
      <c r="H100" s="254">
        <f t="array" ref="H100">IFERROR(INDEX('PORTIFÓLIO'!$H$4:$H$433,MATCH($C100,'PORTIFÓLIO'!$C$4:$C$433,0)),"")</f>
        <v>1</v>
      </c>
      <c r="I100" s="255">
        <v>1.5</v>
      </c>
      <c r="J100" s="218">
        <f t="shared" si="12"/>
        <v>195</v>
      </c>
      <c r="K100" s="219">
        <f t="array" ref="K100">IFERROR(I100*INDEX('PORTIFÓLIO'!$S$4:$S$433,MATCH($C100,'PORTIFÓLIO'!$C$4:$C$433,0)),"")</f>
        <v>22.432995</v>
      </c>
      <c r="L100" s="219">
        <f t="array" ref="L100">IFERROR(J100*INDEX('PORTIFÓLIO'!$S$4:$S$433,MATCH($C100,'PORTIFÓLIO'!$C$4:$C$433,0)),"")</f>
        <v>2916.28935</v>
      </c>
      <c r="M100" s="220"/>
      <c r="N100" s="220"/>
      <c r="O100" s="220"/>
      <c r="P100" s="220"/>
      <c r="Q100" s="220"/>
      <c r="R100" s="220"/>
      <c r="S100" s="220"/>
      <c r="T100" s="220"/>
      <c r="U100" s="220"/>
      <c r="V100" s="220"/>
      <c r="W100" s="220"/>
    </row>
    <row r="101" ht="15.75" customHeight="1" outlineLevel="1">
      <c r="A101" s="211"/>
      <c r="B101" s="212" t="s">
        <v>6</v>
      </c>
      <c r="C101" s="213" t="s">
        <v>354</v>
      </c>
      <c r="D101" s="214" t="str">
        <f>IFERROR(VLOOKUP($C101,'PORTIFÓLIO'!C:V,2,0),"")</f>
        <v>OLEO MINERAL</v>
      </c>
      <c r="E101" s="211">
        <f>IFERROR(VLOOKUP($C101,'PORTIFÓLIO'!C:V,3,0),"")</f>
        <v>761</v>
      </c>
      <c r="F101" s="211" t="str">
        <f>IFERROR(VLOOKUP($C101,'PORTIFÓLIO'!C:V,4,0),"")</f>
        <v>L</v>
      </c>
      <c r="G101" s="225" t="str">
        <f>IFERROR(VLOOKUP($C101,'PORTIFÓLIO'!C:V,5,0),"")</f>
        <v>📄 Ver bula</v>
      </c>
      <c r="H101" s="254">
        <f t="array" ref="H101">IFERROR(INDEX('PORTIFÓLIO'!$H$4:$H$433,MATCH($C101,'PORTIFÓLIO'!$C$4:$C$433,0)),"")</f>
        <v>0.2</v>
      </c>
      <c r="I101" s="255">
        <v>0.2</v>
      </c>
      <c r="J101" s="218">
        <f t="shared" si="12"/>
        <v>26</v>
      </c>
      <c r="K101" s="219">
        <f t="array" ref="K101">IFERROR(I101*INDEX('PORTIFÓLIO'!$S$4:$S$433,MATCH($C101,'PORTIFÓLIO'!$C$4:$C$433,0)),"")</f>
        <v>3.206</v>
      </c>
      <c r="L101" s="219">
        <f t="array" ref="L101">IFERROR(J101*INDEX('PORTIFÓLIO'!$S$4:$S$433,MATCH($C101,'PORTIFÓLIO'!$C$4:$C$433,0)),"")</f>
        <v>416.78</v>
      </c>
      <c r="M101" s="220"/>
      <c r="N101" s="220"/>
      <c r="O101" s="220"/>
      <c r="P101" s="220"/>
      <c r="Q101" s="220"/>
      <c r="R101" s="220"/>
      <c r="S101" s="220"/>
      <c r="T101" s="220"/>
      <c r="U101" s="220"/>
      <c r="V101" s="220"/>
      <c r="W101" s="220"/>
    </row>
    <row r="102" ht="15.75" customHeight="1" outlineLevel="1">
      <c r="A102" s="211"/>
      <c r="B102" s="212"/>
      <c r="C102" s="213"/>
      <c r="D102" s="214" t="str">
        <f>IFERROR(VLOOKUP($C102,'PORTIFÓLIO'!C:V,2,0),"")</f>
        <v/>
      </c>
      <c r="E102" s="211" t="str">
        <f>IFERROR(VLOOKUP($C102,'PORTIFÓLIO'!C:V,3,0),"")</f>
        <v/>
      </c>
      <c r="F102" s="211" t="str">
        <f>IFERROR(VLOOKUP($C102,'PORTIFÓLIO'!C:V,4,0),"")</f>
        <v/>
      </c>
      <c r="G102" s="215" t="str">
        <f>IFERROR(VLOOKUP($C102,'PORTIFÓLIO'!C:V,5,0),"")</f>
        <v/>
      </c>
      <c r="H102" s="254" t="str">
        <f t="array" ref="H102">IFERROR(INDEX('PORTIFÓLIO'!$H$4:$H$433,MATCH($C102,'PORTIFÓLIO'!$C$4:$C$433,0)),"")</f>
        <v/>
      </c>
      <c r="I102" s="256"/>
      <c r="J102" s="218">
        <f t="shared" si="12"/>
        <v>0</v>
      </c>
      <c r="K102" s="219" t="str">
        <f t="array" ref="K102">IFERROR(I102*INDEX('PORTIFÓLIO'!$S$4:$S$433,MATCH($C102,'PORTIFÓLIO'!$C$4:$C$433,0)),"")</f>
        <v/>
      </c>
      <c r="L102" s="219" t="str">
        <f t="array" ref="L102">IFERROR(J102*INDEX('PORTIFÓLIO'!$S$4:$S$433,MATCH($C102,'PORTIFÓLIO'!$C$4:$C$433,0)),"")</f>
        <v/>
      </c>
      <c r="M102" s="220"/>
      <c r="N102" s="220"/>
      <c r="O102" s="220"/>
      <c r="P102" s="220"/>
      <c r="Q102" s="220"/>
      <c r="R102" s="220"/>
      <c r="S102" s="220"/>
      <c r="T102" s="220"/>
      <c r="U102" s="220"/>
      <c r="V102" s="220"/>
      <c r="W102" s="220"/>
    </row>
    <row r="103" ht="15.75" customHeight="1" outlineLevel="1">
      <c r="A103" s="211"/>
      <c r="B103" s="212"/>
      <c r="C103" s="213"/>
      <c r="D103" s="214" t="str">
        <f>IFERROR(VLOOKUP($C103,'PORTIFÓLIO'!C:V,2,0),"")</f>
        <v/>
      </c>
      <c r="E103" s="211" t="str">
        <f>IFERROR(VLOOKUP($C103,'PORTIFÓLIO'!C:V,3,0),"")</f>
        <v/>
      </c>
      <c r="F103" s="211" t="str">
        <f>IFERROR(VLOOKUP($C103,'PORTIFÓLIO'!C:V,4,0),"")</f>
        <v/>
      </c>
      <c r="G103" s="215" t="str">
        <f>IFERROR(VLOOKUP($C103,'PORTIFÓLIO'!C:V,5,0),"")</f>
        <v/>
      </c>
      <c r="H103" s="254" t="str">
        <f t="array" ref="H103">IFERROR(INDEX('PORTIFÓLIO'!$H$4:$H$433,MATCH($C103,'PORTIFÓLIO'!$C$4:$C$433,0)),"")</f>
        <v/>
      </c>
      <c r="I103" s="256"/>
      <c r="J103" s="218">
        <f t="shared" si="12"/>
        <v>0</v>
      </c>
      <c r="K103" s="219" t="str">
        <f t="array" ref="K103">IFERROR(I103*INDEX('PORTIFÓLIO'!$S$4:$S$433,MATCH($C103,'PORTIFÓLIO'!$C$4:$C$433,0)),"")</f>
        <v/>
      </c>
      <c r="L103" s="219" t="str">
        <f t="array" ref="L103">IFERROR(J103*INDEX('PORTIFÓLIO'!$S$4:$S$433,MATCH($C103,'PORTIFÓLIO'!$C$4:$C$433,0)),"")</f>
        <v/>
      </c>
      <c r="M103" s="220"/>
      <c r="N103" s="220"/>
      <c r="O103" s="220"/>
      <c r="P103" s="220"/>
      <c r="Q103" s="220"/>
      <c r="R103" s="220"/>
      <c r="S103" s="220"/>
      <c r="T103" s="220"/>
      <c r="U103" s="220"/>
      <c r="V103" s="220"/>
      <c r="W103" s="220"/>
    </row>
    <row r="104" ht="15.75" customHeight="1" outlineLevel="1">
      <c r="A104" s="211"/>
      <c r="B104" s="212"/>
      <c r="C104" s="213"/>
      <c r="D104" s="214" t="str">
        <f>IFERROR(VLOOKUP($C104,'PORTIFÓLIO'!C:V,2,0),"")</f>
        <v/>
      </c>
      <c r="E104" s="211" t="str">
        <f>IFERROR(VLOOKUP($C104,'PORTIFÓLIO'!C:V,3,0),"")</f>
        <v/>
      </c>
      <c r="F104" s="211" t="str">
        <f>IFERROR(VLOOKUP($C104,'PORTIFÓLIO'!C:V,4,0),"")</f>
        <v/>
      </c>
      <c r="G104" s="215" t="str">
        <f>IFERROR(VLOOKUP($C104,'PORTIFÓLIO'!C:V,5,0),"")</f>
        <v/>
      </c>
      <c r="H104" s="254" t="str">
        <f t="array" ref="H104">IFERROR(INDEX('PORTIFÓLIO'!$H$4:$H$433,MATCH($C104,'PORTIFÓLIO'!$C$4:$C$433,0)),"")</f>
        <v/>
      </c>
      <c r="I104" s="256"/>
      <c r="J104" s="218">
        <f t="shared" si="12"/>
        <v>0</v>
      </c>
      <c r="K104" s="219" t="str">
        <f t="array" ref="K104">IFERROR(I104*INDEX('PORTIFÓLIO'!$S$4:$S$433,MATCH($C104,'PORTIFÓLIO'!$C$4:$C$433,0)),"")</f>
        <v/>
      </c>
      <c r="L104" s="219" t="str">
        <f t="array" ref="L104">IFERROR(J104*INDEX('PORTIFÓLIO'!$S$4:$S$433,MATCH($C104,'PORTIFÓLIO'!$C$4:$C$433,0)),"")</f>
        <v/>
      </c>
      <c r="M104" s="220"/>
      <c r="N104" s="220"/>
      <c r="O104" s="220"/>
      <c r="P104" s="220"/>
      <c r="Q104" s="220"/>
      <c r="R104" s="220"/>
      <c r="S104" s="220"/>
      <c r="T104" s="220"/>
      <c r="U104" s="220"/>
      <c r="V104" s="220"/>
      <c r="W104" s="220"/>
    </row>
    <row r="105" ht="15.75" customHeight="1" outlineLevel="1">
      <c r="A105" s="211"/>
      <c r="B105" s="212"/>
      <c r="C105" s="213"/>
      <c r="D105" s="214" t="str">
        <f>IFERROR(VLOOKUP($C105,'PORTIFÓLIO'!C:V,2,0),"")</f>
        <v/>
      </c>
      <c r="E105" s="211" t="str">
        <f>IFERROR(VLOOKUP($C105,'PORTIFÓLIO'!C:V,3,0),"")</f>
        <v/>
      </c>
      <c r="F105" s="211" t="str">
        <f>IFERROR(VLOOKUP($C105,'PORTIFÓLIO'!C:V,4,0),"")</f>
        <v/>
      </c>
      <c r="G105" s="215" t="str">
        <f>IFERROR(VLOOKUP($C105,'PORTIFÓLIO'!C:V,5,0),"")</f>
        <v/>
      </c>
      <c r="H105" s="254" t="str">
        <f t="array" ref="H105">IFERROR(INDEX('PORTIFÓLIO'!$H$4:$H$433,MATCH($C105,'PORTIFÓLIO'!$C$4:$C$433,0)),"")</f>
        <v/>
      </c>
      <c r="I105" s="256"/>
      <c r="J105" s="218">
        <f t="shared" si="12"/>
        <v>0</v>
      </c>
      <c r="K105" s="219" t="str">
        <f t="array" ref="K105">IFERROR(I105*INDEX('PORTIFÓLIO'!$S$4:$S$433,MATCH($C105,'PORTIFÓLIO'!$C$4:$C$433,0)),"")</f>
        <v/>
      </c>
      <c r="L105" s="219" t="str">
        <f t="array" ref="L105">IFERROR(J105*INDEX('PORTIFÓLIO'!$S$4:$S$433,MATCH($C105,'PORTIFÓLIO'!$C$4:$C$433,0)),"")</f>
        <v/>
      </c>
      <c r="M105" s="220"/>
      <c r="N105" s="220"/>
      <c r="O105" s="220"/>
      <c r="P105" s="220"/>
      <c r="Q105" s="220"/>
      <c r="R105" s="220"/>
      <c r="S105" s="220"/>
      <c r="T105" s="220"/>
      <c r="U105" s="220"/>
      <c r="V105" s="220"/>
      <c r="W105" s="220"/>
    </row>
    <row r="106" ht="15.75" customHeight="1" outlineLevel="1">
      <c r="A106" s="211"/>
      <c r="B106" s="212"/>
      <c r="C106" s="213"/>
      <c r="D106" s="214" t="str">
        <f>IFERROR(VLOOKUP($C106,'PORTIFÓLIO'!C:V,2,0),"")</f>
        <v/>
      </c>
      <c r="E106" s="211" t="str">
        <f>IFERROR(VLOOKUP($C106,'PORTIFÓLIO'!C:V,3,0),"")</f>
        <v/>
      </c>
      <c r="F106" s="211" t="str">
        <f>IFERROR(VLOOKUP($C106,'PORTIFÓLIO'!C:V,4,0),"")</f>
        <v/>
      </c>
      <c r="G106" s="215" t="str">
        <f>IFERROR(VLOOKUP($C106,'PORTIFÓLIO'!C:V,5,0),"")</f>
        <v/>
      </c>
      <c r="H106" s="254" t="str">
        <f t="array" ref="H106">IFERROR(INDEX('PORTIFÓLIO'!$H$4:$H$433,MATCH($C106,'PORTIFÓLIO'!$C$4:$C$433,0)),"")</f>
        <v/>
      </c>
      <c r="I106" s="255"/>
      <c r="J106" s="218">
        <f t="shared" si="12"/>
        <v>0</v>
      </c>
      <c r="K106" s="219" t="str">
        <f t="array" ref="K106">IFERROR(I106*INDEX('PORTIFÓLIO'!$S$4:$S$433,MATCH($C106,'PORTIFÓLIO'!$C$4:$C$433,0)),"")</f>
        <v/>
      </c>
      <c r="L106" s="219" t="str">
        <f t="array" ref="L106">IFERROR(J106*INDEX('PORTIFÓLIO'!$S$4:$S$433,MATCH($C106,'PORTIFÓLIO'!$C$4:$C$433,0)),"")</f>
        <v/>
      </c>
      <c r="M106" s="220"/>
      <c r="N106" s="220"/>
      <c r="O106" s="220"/>
      <c r="P106" s="220"/>
      <c r="Q106" s="220"/>
      <c r="R106" s="220"/>
      <c r="S106" s="220"/>
      <c r="T106" s="220"/>
      <c r="U106" s="220"/>
      <c r="V106" s="220"/>
      <c r="W106" s="220"/>
    </row>
    <row r="107" ht="15.75" customHeight="1" outlineLevel="1">
      <c r="A107" s="211"/>
      <c r="B107" s="212"/>
      <c r="C107" s="213"/>
      <c r="D107" s="214" t="str">
        <f>IFERROR(VLOOKUP($C107,'PORTIFÓLIO'!C:V,2,0),"")</f>
        <v/>
      </c>
      <c r="E107" s="211" t="str">
        <f>IFERROR(VLOOKUP($C107,'PORTIFÓLIO'!C:V,3,0),"")</f>
        <v/>
      </c>
      <c r="F107" s="211" t="str">
        <f>IFERROR(VLOOKUP($C107,'PORTIFÓLIO'!C:V,4,0),"")</f>
        <v/>
      </c>
      <c r="G107" s="215" t="str">
        <f>IFERROR(VLOOKUP($C107,'PORTIFÓLIO'!C:V,5,0),"")</f>
        <v/>
      </c>
      <c r="H107" s="254" t="str">
        <f t="array" ref="H107">IFERROR(INDEX('PORTIFÓLIO'!$H$4:$H$433,MATCH($C107,'PORTIFÓLIO'!$C$4:$C$433,0)),"")</f>
        <v/>
      </c>
      <c r="I107" s="256"/>
      <c r="J107" s="218">
        <f t="shared" si="12"/>
        <v>0</v>
      </c>
      <c r="K107" s="219" t="str">
        <f t="array" ref="K107">IFERROR(I107*INDEX('PORTIFÓLIO'!$S$4:$S$433,MATCH($C107,'PORTIFÓLIO'!$C$4:$C$433,0)),"")</f>
        <v/>
      </c>
      <c r="L107" s="219" t="str">
        <f t="array" ref="L107">IFERROR(J107*INDEX('PORTIFÓLIO'!$S$4:$S$433,MATCH($C107,'PORTIFÓLIO'!$C$4:$C$433,0)),"")</f>
        <v/>
      </c>
      <c r="M107" s="220"/>
      <c r="N107" s="220"/>
      <c r="O107" s="220"/>
      <c r="P107" s="220"/>
      <c r="Q107" s="220"/>
      <c r="R107" s="220"/>
      <c r="S107" s="220"/>
      <c r="T107" s="220"/>
      <c r="U107" s="220"/>
      <c r="V107" s="220"/>
      <c r="W107" s="220"/>
    </row>
    <row r="108" ht="15.75" customHeight="1" outlineLevel="1">
      <c r="A108" s="211"/>
      <c r="B108" s="212"/>
      <c r="C108" s="213"/>
      <c r="D108" s="214" t="str">
        <f>IFERROR(VLOOKUP($C108,'PORTIFÓLIO'!C:V,2,0),"")</f>
        <v/>
      </c>
      <c r="E108" s="211" t="str">
        <f>IFERROR(VLOOKUP($C108,'PORTIFÓLIO'!C:V,3,0),"")</f>
        <v/>
      </c>
      <c r="F108" s="211" t="str">
        <f>IFERROR(VLOOKUP($C108,'PORTIFÓLIO'!C:V,4,0),"")</f>
        <v/>
      </c>
      <c r="G108" s="215" t="str">
        <f>IFERROR(VLOOKUP($C108,'PORTIFÓLIO'!C:V,5,0),"")</f>
        <v/>
      </c>
      <c r="H108" s="254" t="str">
        <f t="array" ref="H108">IFERROR(INDEX('PORTIFÓLIO'!$H$4:$H$433,MATCH($C108,'PORTIFÓLIO'!$C$4:$C$433,0)),"")</f>
        <v/>
      </c>
      <c r="I108" s="256"/>
      <c r="J108" s="218">
        <f t="shared" si="12"/>
        <v>0</v>
      </c>
      <c r="K108" s="219" t="str">
        <f t="array" ref="K108">IFERROR(I108*INDEX('PORTIFÓLIO'!$S$4:$S$433,MATCH($C108,'PORTIFÓLIO'!$C$4:$C$433,0)),"")</f>
        <v/>
      </c>
      <c r="L108" s="219" t="str">
        <f t="array" ref="L108">IFERROR(J108*INDEX('PORTIFÓLIO'!$S$4:$S$433,MATCH($C108,'PORTIFÓLIO'!$C$4:$C$433,0)),"")</f>
        <v/>
      </c>
      <c r="M108" s="220"/>
      <c r="N108" s="220"/>
      <c r="O108" s="220"/>
      <c r="P108" s="220"/>
      <c r="Q108" s="220"/>
      <c r="R108" s="220"/>
      <c r="S108" s="220"/>
      <c r="T108" s="220"/>
      <c r="U108" s="220"/>
      <c r="V108" s="220"/>
      <c r="W108" s="220"/>
    </row>
    <row r="109" ht="15.75" customHeight="1" outlineLevel="1">
      <c r="A109" s="211"/>
      <c r="B109" s="212"/>
      <c r="C109" s="213"/>
      <c r="D109" s="214" t="str">
        <f>IFERROR(VLOOKUP($C109,'PORTIFÓLIO'!C:V,2,0),"")</f>
        <v/>
      </c>
      <c r="E109" s="211" t="str">
        <f>IFERROR(VLOOKUP($C109,'PORTIFÓLIO'!C:V,3,0),"")</f>
        <v/>
      </c>
      <c r="F109" s="211" t="str">
        <f>IFERROR(VLOOKUP($C109,'PORTIFÓLIO'!C:V,4,0),"")</f>
        <v/>
      </c>
      <c r="G109" s="215" t="str">
        <f>IFERROR(VLOOKUP($C109,'PORTIFÓLIO'!C:V,5,0),"")</f>
        <v/>
      </c>
      <c r="H109" s="254" t="str">
        <f t="array" ref="H109">IFERROR(INDEX('PORTIFÓLIO'!$H$4:$H$433,MATCH($C109,'PORTIFÓLIO'!$C$4:$C$433,0)),"")</f>
        <v/>
      </c>
      <c r="I109" s="256"/>
      <c r="J109" s="218">
        <f t="shared" si="12"/>
        <v>0</v>
      </c>
      <c r="K109" s="219" t="str">
        <f t="array" ref="K109">IFERROR(I109*INDEX('PORTIFÓLIO'!$S$4:$S$433,MATCH($C109,'PORTIFÓLIO'!$C$4:$C$433,0)),"")</f>
        <v/>
      </c>
      <c r="L109" s="219" t="str">
        <f t="array" ref="L109">IFERROR(J109*INDEX('PORTIFÓLIO'!$S$4:$S$433,MATCH($C109,'PORTIFÓLIO'!$C$4:$C$433,0)),"")</f>
        <v/>
      </c>
      <c r="M109" s="220"/>
      <c r="N109" s="220"/>
      <c r="O109" s="220"/>
      <c r="P109" s="220"/>
      <c r="Q109" s="220"/>
      <c r="R109" s="220"/>
      <c r="S109" s="220"/>
      <c r="T109" s="220"/>
      <c r="U109" s="220"/>
      <c r="V109" s="220"/>
      <c r="W109" s="220"/>
    </row>
    <row r="110" ht="15.75" customHeight="1" outlineLevel="1">
      <c r="A110" s="211"/>
      <c r="B110" s="212"/>
      <c r="C110" s="213"/>
      <c r="D110" s="214" t="str">
        <f>IFERROR(VLOOKUP($C110,'PORTIFÓLIO'!C:V,2,0),"")</f>
        <v/>
      </c>
      <c r="E110" s="211" t="str">
        <f>IFERROR(VLOOKUP($C110,'PORTIFÓLIO'!C:V,3,0),"")</f>
        <v/>
      </c>
      <c r="F110" s="211" t="str">
        <f>IFERROR(VLOOKUP($C110,'PORTIFÓLIO'!C:V,4,0),"")</f>
        <v/>
      </c>
      <c r="G110" s="215" t="str">
        <f>IFERROR(VLOOKUP($C110,'PORTIFÓLIO'!C:V,5,0),"")</f>
        <v/>
      </c>
      <c r="H110" s="254" t="str">
        <f t="array" ref="H110">IFERROR(INDEX('PORTIFÓLIO'!$H$4:$H$433,MATCH($C110,'PORTIFÓLIO'!$C$4:$C$433,0)),"")</f>
        <v/>
      </c>
      <c r="I110" s="256"/>
      <c r="J110" s="218">
        <f t="shared" si="12"/>
        <v>0</v>
      </c>
      <c r="K110" s="219" t="str">
        <f t="array" ref="K110">IFERROR(I110*INDEX('PORTIFÓLIO'!$S$4:$S$433,MATCH($C110,'PORTIFÓLIO'!$C$4:$C$433,0)),"")</f>
        <v/>
      </c>
      <c r="L110" s="219" t="str">
        <f t="array" ref="L110">IFERROR(J110*INDEX('PORTIFÓLIO'!$S$4:$S$433,MATCH($C110,'PORTIFÓLIO'!$C$4:$C$433,0)),"")</f>
        <v/>
      </c>
      <c r="M110" s="220"/>
      <c r="N110" s="220"/>
      <c r="O110" s="220"/>
      <c r="P110" s="220"/>
      <c r="Q110" s="220"/>
      <c r="R110" s="220"/>
      <c r="S110" s="220"/>
      <c r="T110" s="220"/>
      <c r="U110" s="220"/>
      <c r="V110" s="220"/>
      <c r="W110" s="220"/>
    </row>
    <row r="111" ht="15.75" customHeight="1" outlineLevel="1">
      <c r="A111" s="211"/>
      <c r="B111" s="212"/>
      <c r="C111" s="213"/>
      <c r="D111" s="214" t="str">
        <f>IFERROR(VLOOKUP($C111,'PORTIFÓLIO'!C:V,2,0),"")</f>
        <v/>
      </c>
      <c r="E111" s="211" t="str">
        <f>IFERROR(VLOOKUP($C111,'PORTIFÓLIO'!C:V,3,0),"")</f>
        <v/>
      </c>
      <c r="F111" s="211" t="str">
        <f>IFERROR(VLOOKUP($C111,'PORTIFÓLIO'!C:V,4,0),"")</f>
        <v/>
      </c>
      <c r="G111" s="215" t="str">
        <f>IFERROR(VLOOKUP($C111,'PORTIFÓLIO'!C:V,5,0),"")</f>
        <v/>
      </c>
      <c r="H111" s="254" t="str">
        <f t="array" ref="H111">IFERROR(INDEX('PORTIFÓLIO'!$H$4:$H$433,MATCH($C111,'PORTIFÓLIO'!$C$4:$C$433,0)),"")</f>
        <v/>
      </c>
      <c r="I111" s="256"/>
      <c r="J111" s="218">
        <f t="shared" si="12"/>
        <v>0</v>
      </c>
      <c r="K111" s="219" t="str">
        <f t="array" ref="K111">IFERROR(I111*INDEX('PORTIFÓLIO'!$S$4:$S$433,MATCH($C111,'PORTIFÓLIO'!$C$4:$C$433,0)),"")</f>
        <v/>
      </c>
      <c r="L111" s="219" t="str">
        <f t="array" ref="L111">IFERROR(J111*INDEX('PORTIFÓLIO'!$S$4:$S$433,MATCH($C111,'PORTIFÓLIO'!$C$4:$C$433,0)),"")</f>
        <v/>
      </c>
      <c r="M111" s="220"/>
      <c r="N111" s="220"/>
      <c r="O111" s="220"/>
      <c r="P111" s="220"/>
      <c r="Q111" s="220"/>
      <c r="R111" s="220"/>
      <c r="S111" s="220"/>
      <c r="T111" s="220"/>
      <c r="U111" s="220"/>
      <c r="V111" s="220"/>
      <c r="W111" s="220"/>
    </row>
    <row r="112" ht="15.75" customHeight="1" outlineLevel="1">
      <c r="A112" s="211"/>
      <c r="B112" s="212"/>
      <c r="C112" s="213"/>
      <c r="D112" s="214" t="str">
        <f>IFERROR(VLOOKUP($C112,'PORTIFÓLIO'!C:V,2,0),"")</f>
        <v/>
      </c>
      <c r="E112" s="211" t="str">
        <f>IFERROR(VLOOKUP($C112,'PORTIFÓLIO'!C:V,3,0),"")</f>
        <v/>
      </c>
      <c r="F112" s="211" t="str">
        <f>IFERROR(VLOOKUP($C112,'PORTIFÓLIO'!C:V,4,0),"")</f>
        <v/>
      </c>
      <c r="G112" s="215" t="str">
        <f>IFERROR(VLOOKUP($C112,'PORTIFÓLIO'!C:V,5,0),"")</f>
        <v/>
      </c>
      <c r="H112" s="254" t="str">
        <f t="array" ref="H112">IFERROR(INDEX('PORTIFÓLIO'!$H$4:$H$433,MATCH($C112,'PORTIFÓLIO'!$C$4:$C$433,0)),"")</f>
        <v/>
      </c>
      <c r="I112" s="256"/>
      <c r="J112" s="218">
        <f t="shared" si="12"/>
        <v>0</v>
      </c>
      <c r="K112" s="219" t="str">
        <f t="array" ref="K112">IFERROR(I112*INDEX('PORTIFÓLIO'!$S$4:$S$433,MATCH($C112,'PORTIFÓLIO'!$C$4:$C$433,0)),"")</f>
        <v/>
      </c>
      <c r="L112" s="219" t="str">
        <f t="array" ref="L112">IFERROR(J112*INDEX('PORTIFÓLIO'!$S$4:$S$433,MATCH($C112,'PORTIFÓLIO'!$C$4:$C$433,0)),"")</f>
        <v/>
      </c>
      <c r="M112" s="220"/>
      <c r="N112" s="220"/>
      <c r="O112" s="220"/>
      <c r="P112" s="220"/>
      <c r="Q112" s="220"/>
      <c r="R112" s="220"/>
      <c r="S112" s="220"/>
      <c r="T112" s="220"/>
      <c r="U112" s="220"/>
      <c r="V112" s="220"/>
      <c r="W112" s="220"/>
    </row>
    <row r="113" ht="15.75" customHeight="1" outlineLevel="1">
      <c r="A113" s="211"/>
      <c r="B113" s="212"/>
      <c r="C113" s="211"/>
      <c r="D113" s="214" t="str">
        <f>IFERROR(VLOOKUP($C113,'PORTIFÓLIO'!C:V,2,0),"")</f>
        <v/>
      </c>
      <c r="E113" s="211" t="str">
        <f>IFERROR(VLOOKUP($C113,'PORTIFÓLIO'!C:V,3,0),"")</f>
        <v/>
      </c>
      <c r="F113" s="211" t="str">
        <f>IFERROR(VLOOKUP($C113,'PORTIFÓLIO'!C:V,4,0),"")</f>
        <v/>
      </c>
      <c r="G113" s="215" t="str">
        <f>IFERROR(VLOOKUP($C113,'PORTIFÓLIO'!C:V,5,0),"")</f>
        <v/>
      </c>
      <c r="H113" s="254" t="str">
        <f t="array" ref="H113">IFERROR(INDEX('PORTIFÓLIO'!$H$4:$H$433,MATCH($C113,'PORTIFÓLIO'!$C$4:$C$433,0)),"")</f>
        <v/>
      </c>
      <c r="I113" s="256"/>
      <c r="J113" s="218"/>
      <c r="K113" s="219" t="str">
        <f t="array" ref="K113">IFERROR(I113*INDEX('PORTIFÓLIO'!$S$4:$S$433,MATCH($C113,'PORTIFÓLIO'!$C$4:$C$433,0)),"")</f>
        <v/>
      </c>
      <c r="L113" s="219" t="str">
        <f t="array" ref="L113">IFERROR(J113*INDEX('PORTIFÓLIO'!$S$4:$S$433,MATCH($C113,'PORTIFÓLIO'!$C$4:$C$433,0)),"")</f>
        <v/>
      </c>
      <c r="M113" s="220"/>
      <c r="N113" s="220"/>
      <c r="O113" s="220"/>
      <c r="P113" s="220"/>
      <c r="Q113" s="220"/>
      <c r="R113" s="220"/>
      <c r="S113" s="220"/>
      <c r="T113" s="220"/>
      <c r="U113" s="220"/>
      <c r="V113" s="220"/>
      <c r="W113" s="220"/>
    </row>
    <row r="114" ht="15.75" customHeight="1">
      <c r="A114" s="229" t="s">
        <v>1190</v>
      </c>
      <c r="B114" s="230"/>
      <c r="C114" s="231"/>
      <c r="D114" s="232"/>
      <c r="E114" s="231"/>
      <c r="F114" s="231"/>
      <c r="G114" s="233"/>
      <c r="H114" s="233"/>
      <c r="I114" s="258"/>
      <c r="J114" s="236"/>
      <c r="K114" s="237">
        <f t="shared" ref="K114:L114" si="13">SUBTOTAL(9,K115:K128)</f>
        <v>100.94945</v>
      </c>
      <c r="L114" s="237">
        <f t="shared" si="13"/>
        <v>13123.4285</v>
      </c>
      <c r="M114" s="220"/>
      <c r="N114" s="220"/>
      <c r="O114" s="220"/>
      <c r="P114" s="220"/>
      <c r="Q114" s="220"/>
      <c r="R114" s="220"/>
      <c r="S114" s="220"/>
      <c r="T114" s="220"/>
      <c r="U114" s="220"/>
      <c r="V114" s="220"/>
      <c r="W114" s="220"/>
    </row>
    <row r="115" ht="15.75" customHeight="1" outlineLevel="1">
      <c r="A115" s="213"/>
      <c r="B115" s="212" t="s">
        <v>0</v>
      </c>
      <c r="C115" s="283" t="s">
        <v>434</v>
      </c>
      <c r="D115" s="214" t="str">
        <f>IFERROR(VLOOKUP($C115,'PORTIFÓLIO'!C:V,2,0),"")</f>
        <v>AZOXISTROBINA + TEBUCONAZOL</v>
      </c>
      <c r="E115" s="211" t="str">
        <f>IFERROR(VLOOKUP($C115,'PORTIFÓLIO'!C:V,3,0),"")</f>
        <v>120 + 200</v>
      </c>
      <c r="F115" s="211" t="str">
        <f>IFERROR(VLOOKUP($C115,'PORTIFÓLIO'!C:V,4,0),"")</f>
        <v>L</v>
      </c>
      <c r="G115" s="225" t="str">
        <f>IFERROR(VLOOKUP($C115,'PORTIFÓLIO'!C:V,5,0),"")</f>
        <v>📄 Ver bula</v>
      </c>
      <c r="H115" s="254">
        <f t="array" ref="H115">IFERROR(INDEX('PORTIFÓLIO'!$H$4:$H$433,MATCH($C115,'PORTIFÓLIO'!$C$4:$C$433,0)),"")</f>
        <v>0.5</v>
      </c>
      <c r="I115" s="255">
        <v>0.5</v>
      </c>
      <c r="J115" s="218">
        <f t="shared" ref="J115:J129" si="14">I115*$B$2</f>
        <v>65</v>
      </c>
      <c r="K115" s="219">
        <f t="array" ref="K115">IFERROR(I115*INDEX('PORTIFÓLIO'!$S$4:$S$433,MATCH($C115,'PORTIFÓLIO'!$C$4:$C$433,0)),"")</f>
        <v>17.66448</v>
      </c>
      <c r="L115" s="219">
        <f t="array" ref="L115">IFERROR(J115*INDEX('PORTIFÓLIO'!$S$4:$S$433,MATCH($C115,'PORTIFÓLIO'!$C$4:$C$433,0)),"")</f>
        <v>2296.3824</v>
      </c>
      <c r="M115" s="220"/>
      <c r="N115" s="220"/>
      <c r="O115" s="220"/>
      <c r="P115" s="220"/>
      <c r="Q115" s="220"/>
      <c r="R115" s="220"/>
      <c r="S115" s="220"/>
      <c r="T115" s="220"/>
      <c r="U115" s="220"/>
      <c r="V115" s="220"/>
      <c r="W115" s="220"/>
    </row>
    <row r="116" ht="15.75" customHeight="1" outlineLevel="1">
      <c r="A116" s="211"/>
      <c r="B116" s="212" t="s">
        <v>0</v>
      </c>
      <c r="C116" s="283" t="s">
        <v>484</v>
      </c>
      <c r="D116" s="214" t="str">
        <f>IFERROR(VLOOKUP($C116,'PORTIFÓLIO'!C:V,2,0),"")</f>
        <v>MANCOZEBE</v>
      </c>
      <c r="E116" s="211">
        <f>IFERROR(VLOOKUP($C116,'PORTIFÓLIO'!C:V,3,0),"")</f>
        <v>750</v>
      </c>
      <c r="F116" s="211" t="str">
        <f>IFERROR(VLOOKUP($C116,'PORTIFÓLIO'!C:V,4,0),"")</f>
        <v>L</v>
      </c>
      <c r="G116" s="225" t="str">
        <f>IFERROR(VLOOKUP($C116,'PORTIFÓLIO'!C:V,5,0),"")</f>
        <v>📄 Ver bula</v>
      </c>
      <c r="H116" s="254">
        <f t="array" ref="H116">IFERROR(INDEX('PORTIFÓLIO'!$H$4:$H$433,MATCH($C116,'PORTIFÓLIO'!$C$4:$C$433,0)),"")</f>
        <v>1.5</v>
      </c>
      <c r="I116" s="255">
        <v>1.5</v>
      </c>
      <c r="J116" s="218">
        <f t="shared" si="14"/>
        <v>195</v>
      </c>
      <c r="K116" s="219">
        <f t="array" ref="K116">IFERROR(I116*INDEX('PORTIFÓLIO'!$S$4:$S$433,MATCH($C116,'PORTIFÓLIO'!$C$4:$C$433,0)),"")</f>
        <v>41.52168</v>
      </c>
      <c r="L116" s="219">
        <f t="array" ref="L116">IFERROR(J116*INDEX('PORTIFÓLIO'!$S$4:$S$433,MATCH($C116,'PORTIFÓLIO'!$C$4:$C$433,0)),"")</f>
        <v>5397.8184</v>
      </c>
      <c r="M116" s="220"/>
      <c r="N116" s="220"/>
      <c r="O116" s="220"/>
      <c r="P116" s="220"/>
      <c r="Q116" s="220"/>
      <c r="R116" s="220"/>
      <c r="S116" s="220"/>
      <c r="T116" s="220"/>
      <c r="U116" s="220"/>
      <c r="V116" s="220"/>
      <c r="W116" s="220"/>
    </row>
    <row r="117" ht="15.75" customHeight="1" outlineLevel="1">
      <c r="A117" s="211"/>
      <c r="B117" s="212" t="s">
        <v>2</v>
      </c>
      <c r="C117" s="283" t="s">
        <v>837</v>
      </c>
      <c r="D117" s="214" t="str">
        <f>IFERROR(VLOOKUP($C117,'PORTIFÓLIO'!C:V,2,0),"")</f>
        <v>CLORFENAPIR</v>
      </c>
      <c r="E117" s="211">
        <f>IFERROR(VLOOKUP($C117,'PORTIFÓLIO'!C:V,3,0),"")</f>
        <v>240</v>
      </c>
      <c r="F117" s="211" t="str">
        <f>IFERROR(VLOOKUP($C117,'PORTIFÓLIO'!C:V,4,0),"")</f>
        <v>KG</v>
      </c>
      <c r="G117" s="225" t="str">
        <f>IFERROR(VLOOKUP($C117,'PORTIFÓLIO'!C:V,5,0),"")</f>
        <v>📄 Ver bula</v>
      </c>
      <c r="H117" s="254">
        <f t="array" ref="H117">IFERROR(INDEX('PORTIFÓLIO'!$H$4:$H$433,MATCH($C117,'PORTIFÓLIO'!$C$4:$C$433,0)),"")</f>
        <v>1</v>
      </c>
      <c r="I117" s="255">
        <v>1.0</v>
      </c>
      <c r="J117" s="218">
        <f t="shared" si="14"/>
        <v>130</v>
      </c>
      <c r="K117" s="219">
        <f t="array" ref="K117">IFERROR(I117*INDEX('PORTIFÓLIO'!$S$4:$S$433,MATCH($C117,'PORTIFÓLIO'!$C$4:$C$433,0)),"")</f>
        <v>38.55729</v>
      </c>
      <c r="L117" s="219">
        <f t="array" ref="L117">IFERROR(J117*INDEX('PORTIFÓLIO'!$S$4:$S$433,MATCH($C117,'PORTIFÓLIO'!$C$4:$C$433,0)),"")</f>
        <v>5012.4477</v>
      </c>
      <c r="M117" s="220"/>
      <c r="N117" s="220"/>
      <c r="O117" s="220"/>
      <c r="P117" s="220"/>
      <c r="Q117" s="220"/>
      <c r="R117" s="220"/>
      <c r="S117" s="220"/>
      <c r="T117" s="220"/>
      <c r="U117" s="220"/>
      <c r="V117" s="220"/>
      <c r="W117" s="220"/>
    </row>
    <row r="118" ht="15.75" customHeight="1" outlineLevel="1">
      <c r="A118" s="211"/>
      <c r="B118" s="212" t="s">
        <v>6</v>
      </c>
      <c r="C118" s="283" t="s">
        <v>354</v>
      </c>
      <c r="D118" s="214" t="str">
        <f>IFERROR(VLOOKUP($C118,'PORTIFÓLIO'!C:V,2,0),"")</f>
        <v>OLEO MINERAL</v>
      </c>
      <c r="E118" s="211">
        <f>IFERROR(VLOOKUP($C118,'PORTIFÓLIO'!C:V,3,0),"")</f>
        <v>761</v>
      </c>
      <c r="F118" s="211" t="str">
        <f>IFERROR(VLOOKUP($C118,'PORTIFÓLIO'!C:V,4,0),"")</f>
        <v>L</v>
      </c>
      <c r="G118" s="225" t="str">
        <f>IFERROR(VLOOKUP($C118,'PORTIFÓLIO'!C:V,5,0),"")</f>
        <v>📄 Ver bula</v>
      </c>
      <c r="H118" s="254">
        <f t="array" ref="H118">IFERROR(INDEX('PORTIFÓLIO'!$H$4:$H$433,MATCH($C118,'PORTIFÓLIO'!$C$4:$C$433,0)),"")</f>
        <v>0.2</v>
      </c>
      <c r="I118" s="255">
        <v>0.2</v>
      </c>
      <c r="J118" s="218">
        <f t="shared" si="14"/>
        <v>26</v>
      </c>
      <c r="K118" s="219">
        <f t="array" ref="K118">IFERROR(I118*INDEX('PORTIFÓLIO'!$S$4:$S$433,MATCH($C118,'PORTIFÓLIO'!$C$4:$C$433,0)),"")</f>
        <v>3.206</v>
      </c>
      <c r="L118" s="219">
        <f t="array" ref="L118">IFERROR(J118*INDEX('PORTIFÓLIO'!$S$4:$S$433,MATCH($C118,'PORTIFÓLIO'!$C$4:$C$433,0)),"")</f>
        <v>416.78</v>
      </c>
      <c r="M118" s="220"/>
      <c r="N118" s="220"/>
      <c r="O118" s="220"/>
      <c r="P118" s="220"/>
      <c r="Q118" s="220"/>
      <c r="R118" s="220"/>
      <c r="S118" s="220"/>
      <c r="T118" s="220"/>
      <c r="U118" s="220"/>
      <c r="V118" s="220"/>
      <c r="W118" s="220"/>
    </row>
    <row r="119" ht="15.75" customHeight="1" outlineLevel="1">
      <c r="A119" s="211"/>
      <c r="B119" s="212"/>
      <c r="C119" s="283"/>
      <c r="D119" s="214" t="str">
        <f>IFERROR(VLOOKUP($C119,'PORTIFÓLIO'!C:V,2,0),"")</f>
        <v/>
      </c>
      <c r="E119" s="211" t="str">
        <f>IFERROR(VLOOKUP($C119,'PORTIFÓLIO'!C:V,3,0),"")</f>
        <v/>
      </c>
      <c r="F119" s="211" t="str">
        <f>IFERROR(VLOOKUP($C119,'PORTIFÓLIO'!C:V,4,0),"")</f>
        <v/>
      </c>
      <c r="G119" s="215" t="str">
        <f>IFERROR(VLOOKUP($C119,'PORTIFÓLIO'!C:V,5,0),"")</f>
        <v/>
      </c>
      <c r="H119" s="254" t="str">
        <f t="array" ref="H119">IFERROR(INDEX('PORTIFÓLIO'!$H$4:$H$433,MATCH($C119,'PORTIFÓLIO'!$C$4:$C$433,0)),"")</f>
        <v/>
      </c>
      <c r="I119" s="255"/>
      <c r="J119" s="218">
        <f t="shared" si="14"/>
        <v>0</v>
      </c>
      <c r="K119" s="219" t="str">
        <f t="array" ref="K119">IFERROR(I119*INDEX('PORTIFÓLIO'!$S$4:$S$433,MATCH($C119,'PORTIFÓLIO'!$C$4:$C$433,0)),"")</f>
        <v/>
      </c>
      <c r="L119" s="219" t="str">
        <f t="array" ref="L119">IFERROR(J119*INDEX('PORTIFÓLIO'!$S$4:$S$433,MATCH($C119,'PORTIFÓLIO'!$C$4:$C$433,0)),"")</f>
        <v/>
      </c>
      <c r="M119" s="220"/>
      <c r="N119" s="220"/>
      <c r="O119" s="220"/>
      <c r="P119" s="220"/>
      <c r="Q119" s="220"/>
      <c r="R119" s="220"/>
      <c r="S119" s="220"/>
      <c r="T119" s="220"/>
      <c r="U119" s="220"/>
      <c r="V119" s="220"/>
      <c r="W119" s="220"/>
    </row>
    <row r="120" ht="15.75" customHeight="1" outlineLevel="1">
      <c r="A120" s="211"/>
      <c r="B120" s="212"/>
      <c r="C120" s="213"/>
      <c r="D120" s="214" t="str">
        <f>IFERROR(VLOOKUP($C120,'PORTIFÓLIO'!C:V,2,0),"")</f>
        <v/>
      </c>
      <c r="E120" s="211" t="str">
        <f>IFERROR(VLOOKUP($C120,'PORTIFÓLIO'!C:V,3,0),"")</f>
        <v/>
      </c>
      <c r="F120" s="211" t="str">
        <f>IFERROR(VLOOKUP($C120,'PORTIFÓLIO'!C:V,4,0),"")</f>
        <v/>
      </c>
      <c r="G120" s="215" t="str">
        <f>IFERROR(VLOOKUP($C120,'PORTIFÓLIO'!C:V,5,0),"")</f>
        <v/>
      </c>
      <c r="H120" s="254" t="str">
        <f t="array" ref="H120">IFERROR(INDEX('PORTIFÓLIO'!$H$4:$H$433,MATCH($C120,'PORTIFÓLIO'!$C$4:$C$433,0)),"")</f>
        <v/>
      </c>
      <c r="I120" s="255"/>
      <c r="J120" s="218">
        <f t="shared" si="14"/>
        <v>0</v>
      </c>
      <c r="K120" s="219" t="str">
        <f t="array" ref="K120">IFERROR(I120*INDEX('PORTIFÓLIO'!$S$4:$S$433,MATCH($C120,'PORTIFÓLIO'!$C$4:$C$433,0)),"")</f>
        <v/>
      </c>
      <c r="L120" s="219" t="str">
        <f t="array" ref="L120">IFERROR(J120*INDEX('PORTIFÓLIO'!$S$4:$S$433,MATCH($C120,'PORTIFÓLIO'!$C$4:$C$433,0)),"")</f>
        <v/>
      </c>
      <c r="M120" s="220"/>
      <c r="N120" s="220"/>
      <c r="O120" s="220"/>
      <c r="P120" s="220"/>
      <c r="Q120" s="220"/>
      <c r="R120" s="220"/>
      <c r="S120" s="220"/>
      <c r="T120" s="220"/>
      <c r="U120" s="220"/>
      <c r="V120" s="220"/>
      <c r="W120" s="220"/>
    </row>
    <row r="121" ht="15.75" customHeight="1" outlineLevel="1">
      <c r="A121" s="211"/>
      <c r="B121" s="212"/>
      <c r="C121" s="213"/>
      <c r="D121" s="214" t="str">
        <f>IFERROR(VLOOKUP($C121,'PORTIFÓLIO'!C:V,2,0),"")</f>
        <v/>
      </c>
      <c r="E121" s="211" t="str">
        <f>IFERROR(VLOOKUP($C121,'PORTIFÓLIO'!C:V,3,0),"")</f>
        <v/>
      </c>
      <c r="F121" s="211" t="str">
        <f>IFERROR(VLOOKUP($C121,'PORTIFÓLIO'!C:V,4,0),"")</f>
        <v/>
      </c>
      <c r="G121" s="215" t="str">
        <f>IFERROR(VLOOKUP($C121,'PORTIFÓLIO'!C:V,5,0),"")</f>
        <v/>
      </c>
      <c r="H121" s="254" t="str">
        <f t="array" ref="H121">IFERROR(INDEX('PORTIFÓLIO'!$H$4:$H$433,MATCH($C121,'PORTIFÓLIO'!$C$4:$C$433,0)),"")</f>
        <v/>
      </c>
      <c r="I121" s="256"/>
      <c r="J121" s="218">
        <f t="shared" si="14"/>
        <v>0</v>
      </c>
      <c r="K121" s="219" t="str">
        <f t="array" ref="K121">IFERROR(I121*INDEX('PORTIFÓLIO'!$S$4:$S$433,MATCH($C121,'PORTIFÓLIO'!$C$4:$C$433,0)),"")</f>
        <v/>
      </c>
      <c r="L121" s="219" t="str">
        <f t="array" ref="L121">IFERROR(J121*INDEX('PORTIFÓLIO'!$S$4:$S$433,MATCH($C121,'PORTIFÓLIO'!$C$4:$C$433,0)),"")</f>
        <v/>
      </c>
      <c r="M121" s="220"/>
      <c r="N121" s="220"/>
      <c r="O121" s="220"/>
      <c r="P121" s="220"/>
      <c r="Q121" s="220"/>
      <c r="R121" s="220"/>
      <c r="S121" s="220"/>
      <c r="T121" s="220"/>
      <c r="U121" s="220"/>
      <c r="V121" s="220"/>
      <c r="W121" s="220"/>
    </row>
    <row r="122" ht="15.75" customHeight="1" outlineLevel="1">
      <c r="A122" s="211"/>
      <c r="B122" s="212"/>
      <c r="C122" s="213"/>
      <c r="D122" s="214" t="str">
        <f>IFERROR(VLOOKUP($C122,'PORTIFÓLIO'!C:V,2,0),"")</f>
        <v/>
      </c>
      <c r="E122" s="211" t="str">
        <f>IFERROR(VLOOKUP($C122,'PORTIFÓLIO'!C:V,3,0),"")</f>
        <v/>
      </c>
      <c r="F122" s="211" t="str">
        <f>IFERROR(VLOOKUP($C122,'PORTIFÓLIO'!C:V,4,0),"")</f>
        <v/>
      </c>
      <c r="G122" s="215" t="str">
        <f>IFERROR(VLOOKUP($C122,'PORTIFÓLIO'!C:V,5,0),"")</f>
        <v/>
      </c>
      <c r="H122" s="254" t="str">
        <f t="array" ref="H122">IFERROR(INDEX('PORTIFÓLIO'!$H$4:$H$433,MATCH($C122,'PORTIFÓLIO'!$C$4:$C$433,0)),"")</f>
        <v/>
      </c>
      <c r="I122" s="256"/>
      <c r="J122" s="218">
        <f t="shared" si="14"/>
        <v>0</v>
      </c>
      <c r="K122" s="219" t="str">
        <f t="array" ref="K122">IFERROR(I122*INDEX('PORTIFÓLIO'!$S$4:$S$433,MATCH($C122,'PORTIFÓLIO'!$C$4:$C$433,0)),"")</f>
        <v/>
      </c>
      <c r="L122" s="219" t="str">
        <f t="array" ref="L122">IFERROR(J122*INDEX('PORTIFÓLIO'!$S$4:$S$433,MATCH($C122,'PORTIFÓLIO'!$C$4:$C$433,0)),"")</f>
        <v/>
      </c>
      <c r="M122" s="220"/>
      <c r="N122" s="220"/>
      <c r="O122" s="220"/>
      <c r="P122" s="220"/>
      <c r="Q122" s="220"/>
      <c r="R122" s="220"/>
      <c r="S122" s="220"/>
      <c r="T122" s="220"/>
      <c r="U122" s="220"/>
      <c r="V122" s="220"/>
      <c r="W122" s="220"/>
    </row>
    <row r="123" ht="15.75" customHeight="1" outlineLevel="1">
      <c r="A123" s="211"/>
      <c r="B123" s="212"/>
      <c r="C123" s="213"/>
      <c r="D123" s="214" t="str">
        <f>IFERROR(VLOOKUP($C123,'PORTIFÓLIO'!C:V,2,0),"")</f>
        <v/>
      </c>
      <c r="E123" s="211" t="str">
        <f>IFERROR(VLOOKUP($C123,'PORTIFÓLIO'!C:V,3,0),"")</f>
        <v/>
      </c>
      <c r="F123" s="211" t="str">
        <f>IFERROR(VLOOKUP($C123,'PORTIFÓLIO'!C:V,4,0),"")</f>
        <v/>
      </c>
      <c r="G123" s="215" t="str">
        <f>IFERROR(VLOOKUP($C123,'PORTIFÓLIO'!C:V,5,0),"")</f>
        <v/>
      </c>
      <c r="H123" s="254" t="str">
        <f t="array" ref="H123">IFERROR(INDEX('PORTIFÓLIO'!$H$4:$H$433,MATCH($C123,'PORTIFÓLIO'!$C$4:$C$433,0)),"")</f>
        <v/>
      </c>
      <c r="I123" s="255"/>
      <c r="J123" s="218">
        <f t="shared" si="14"/>
        <v>0</v>
      </c>
      <c r="K123" s="219" t="str">
        <f t="array" ref="K123">IFERROR(I123*INDEX('PORTIFÓLIO'!$S$4:$S$433,MATCH($C123,'PORTIFÓLIO'!$C$4:$C$433,0)),"")</f>
        <v/>
      </c>
      <c r="L123" s="219" t="str">
        <f t="array" ref="L123">IFERROR(J123*INDEX('PORTIFÓLIO'!$S$4:$S$433,MATCH($C123,'PORTIFÓLIO'!$C$4:$C$433,0)),"")</f>
        <v/>
      </c>
      <c r="M123" s="220"/>
      <c r="N123" s="220"/>
      <c r="O123" s="220"/>
      <c r="P123" s="220"/>
      <c r="Q123" s="220"/>
      <c r="R123" s="220"/>
      <c r="S123" s="220"/>
      <c r="T123" s="220"/>
      <c r="U123" s="220"/>
      <c r="V123" s="220"/>
      <c r="W123" s="220"/>
    </row>
    <row r="124" ht="15.75" customHeight="1" outlineLevel="1">
      <c r="A124" s="211"/>
      <c r="B124" s="212"/>
      <c r="C124" s="213"/>
      <c r="D124" s="214" t="str">
        <f>IFERROR(VLOOKUP($C124,'PORTIFÓLIO'!C:V,2,0),"")</f>
        <v/>
      </c>
      <c r="E124" s="211" t="str">
        <f>IFERROR(VLOOKUP($C124,'PORTIFÓLIO'!C:V,3,0),"")</f>
        <v/>
      </c>
      <c r="F124" s="211" t="str">
        <f>IFERROR(VLOOKUP($C124,'PORTIFÓLIO'!C:V,4,0),"")</f>
        <v/>
      </c>
      <c r="G124" s="215" t="str">
        <f>IFERROR(VLOOKUP($C124,'PORTIFÓLIO'!C:V,5,0),"")</f>
        <v/>
      </c>
      <c r="H124" s="254" t="str">
        <f t="array" ref="H124">IFERROR(INDEX('PORTIFÓLIO'!$H$4:$H$433,MATCH($C124,'PORTIFÓLIO'!$C$4:$C$433,0)),"")</f>
        <v/>
      </c>
      <c r="I124" s="256"/>
      <c r="J124" s="218">
        <f t="shared" si="14"/>
        <v>0</v>
      </c>
      <c r="K124" s="219" t="str">
        <f t="array" ref="K124">IFERROR(I124*INDEX('PORTIFÓLIO'!$S$4:$S$433,MATCH($C124,'PORTIFÓLIO'!$C$4:$C$433,0)),"")</f>
        <v/>
      </c>
      <c r="L124" s="219" t="str">
        <f t="array" ref="L124">IFERROR(J124*INDEX('PORTIFÓLIO'!$S$4:$S$433,MATCH($C124,'PORTIFÓLIO'!$C$4:$C$433,0)),"")</f>
        <v/>
      </c>
      <c r="M124" s="220"/>
      <c r="N124" s="220"/>
      <c r="O124" s="220"/>
      <c r="P124" s="220"/>
      <c r="Q124" s="220"/>
      <c r="R124" s="220"/>
      <c r="S124" s="220"/>
      <c r="T124" s="220"/>
      <c r="U124" s="220"/>
      <c r="V124" s="220"/>
      <c r="W124" s="220"/>
    </row>
    <row r="125" ht="15.75" customHeight="1" outlineLevel="1">
      <c r="A125" s="211"/>
      <c r="B125" s="212"/>
      <c r="C125" s="213"/>
      <c r="D125" s="214" t="str">
        <f>IFERROR(VLOOKUP($C125,'PORTIFÓLIO'!C:V,2,0),"")</f>
        <v/>
      </c>
      <c r="E125" s="211" t="str">
        <f>IFERROR(VLOOKUP($C125,'PORTIFÓLIO'!C:V,3,0),"")</f>
        <v/>
      </c>
      <c r="F125" s="211" t="str">
        <f>IFERROR(VLOOKUP($C125,'PORTIFÓLIO'!C:V,4,0),"")</f>
        <v/>
      </c>
      <c r="G125" s="215" t="str">
        <f>IFERROR(VLOOKUP($C125,'PORTIFÓLIO'!C:V,5,0),"")</f>
        <v/>
      </c>
      <c r="H125" s="254" t="str">
        <f t="array" ref="H125">IFERROR(INDEX('PORTIFÓLIO'!$H$4:$H$433,MATCH($C125,'PORTIFÓLIO'!$C$4:$C$433,0)),"")</f>
        <v/>
      </c>
      <c r="I125" s="256"/>
      <c r="J125" s="218">
        <f t="shared" si="14"/>
        <v>0</v>
      </c>
      <c r="K125" s="219" t="str">
        <f t="array" ref="K125">IFERROR(I125*INDEX('PORTIFÓLIO'!$S$4:$S$433,MATCH($C125,'PORTIFÓLIO'!$C$4:$C$433,0)),"")</f>
        <v/>
      </c>
      <c r="L125" s="219" t="str">
        <f t="array" ref="L125">IFERROR(J125*INDEX('PORTIFÓLIO'!$S$4:$S$433,MATCH($C125,'PORTIFÓLIO'!$C$4:$C$433,0)),"")</f>
        <v/>
      </c>
      <c r="M125" s="220"/>
      <c r="N125" s="220"/>
      <c r="O125" s="220"/>
      <c r="P125" s="220"/>
      <c r="Q125" s="220"/>
      <c r="R125" s="220"/>
      <c r="S125" s="220"/>
      <c r="T125" s="220"/>
      <c r="U125" s="220"/>
      <c r="V125" s="220"/>
      <c r="W125" s="220"/>
    </row>
    <row r="126" ht="15.75" customHeight="1" outlineLevel="1">
      <c r="A126" s="211"/>
      <c r="B126" s="212"/>
      <c r="C126" s="213"/>
      <c r="D126" s="214" t="str">
        <f>IFERROR(VLOOKUP($C126,'PORTIFÓLIO'!C:V,2,0),"")</f>
        <v/>
      </c>
      <c r="E126" s="211" t="str">
        <f>IFERROR(VLOOKUP($C126,'PORTIFÓLIO'!C:V,3,0),"")</f>
        <v/>
      </c>
      <c r="F126" s="211" t="str">
        <f>IFERROR(VLOOKUP($C126,'PORTIFÓLIO'!C:V,4,0),"")</f>
        <v/>
      </c>
      <c r="G126" s="215" t="str">
        <f>IFERROR(VLOOKUP($C126,'PORTIFÓLIO'!C:V,5,0),"")</f>
        <v/>
      </c>
      <c r="H126" s="254" t="str">
        <f t="array" ref="H126">IFERROR(INDEX('PORTIFÓLIO'!$H$4:$H$433,MATCH($C126,'PORTIFÓLIO'!$C$4:$C$433,0)),"")</f>
        <v/>
      </c>
      <c r="I126" s="256"/>
      <c r="J126" s="218">
        <f t="shared" si="14"/>
        <v>0</v>
      </c>
      <c r="K126" s="219" t="str">
        <f t="array" ref="K126">IFERROR(I126*INDEX('PORTIFÓLIO'!$S$4:$S$433,MATCH($C126,'PORTIFÓLIO'!$C$4:$C$433,0)),"")</f>
        <v/>
      </c>
      <c r="L126" s="219" t="str">
        <f t="array" ref="L126">IFERROR(J126*INDEX('PORTIFÓLIO'!$S$4:$S$433,MATCH($C126,'PORTIFÓLIO'!$C$4:$C$433,0)),"")</f>
        <v/>
      </c>
      <c r="M126" s="220"/>
      <c r="N126" s="220"/>
      <c r="O126" s="220"/>
      <c r="P126" s="220"/>
      <c r="Q126" s="220"/>
      <c r="R126" s="220"/>
      <c r="S126" s="220"/>
      <c r="T126" s="220"/>
      <c r="U126" s="220"/>
      <c r="V126" s="220"/>
      <c r="W126" s="220"/>
    </row>
    <row r="127" ht="15.75" customHeight="1" outlineLevel="1">
      <c r="A127" s="211"/>
      <c r="B127" s="212"/>
      <c r="C127" s="213"/>
      <c r="D127" s="214" t="str">
        <f>IFERROR(VLOOKUP($C127,'PORTIFÓLIO'!C:V,2,0),"")</f>
        <v/>
      </c>
      <c r="E127" s="211" t="str">
        <f>IFERROR(VLOOKUP($C127,'PORTIFÓLIO'!C:V,3,0),"")</f>
        <v/>
      </c>
      <c r="F127" s="211" t="str">
        <f>IFERROR(VLOOKUP($C127,'PORTIFÓLIO'!C:V,4,0),"")</f>
        <v/>
      </c>
      <c r="G127" s="215" t="str">
        <f>IFERROR(VLOOKUP($C127,'PORTIFÓLIO'!C:V,5,0),"")</f>
        <v/>
      </c>
      <c r="H127" s="254" t="str">
        <f t="array" ref="H127">IFERROR(INDEX('PORTIFÓLIO'!$H$4:$H$433,MATCH($C127,'PORTIFÓLIO'!$C$4:$C$433,0)),"")</f>
        <v/>
      </c>
      <c r="I127" s="256"/>
      <c r="J127" s="218">
        <f t="shared" si="14"/>
        <v>0</v>
      </c>
      <c r="K127" s="219" t="str">
        <f t="array" ref="K127">IFERROR(I127*INDEX('PORTIFÓLIO'!$S$4:$S$433,MATCH($C127,'PORTIFÓLIO'!$C$4:$C$433,0)),"")</f>
        <v/>
      </c>
      <c r="L127" s="219" t="str">
        <f t="array" ref="L127">IFERROR(J127*INDEX('PORTIFÓLIO'!$S$4:$S$433,MATCH($C127,'PORTIFÓLIO'!$C$4:$C$433,0)),"")</f>
        <v/>
      </c>
      <c r="M127" s="220"/>
      <c r="N127" s="220"/>
      <c r="O127" s="220"/>
      <c r="P127" s="220"/>
      <c r="Q127" s="220"/>
      <c r="R127" s="220"/>
      <c r="S127" s="220"/>
      <c r="T127" s="220"/>
      <c r="U127" s="220"/>
      <c r="V127" s="220"/>
      <c r="W127" s="220"/>
    </row>
    <row r="128" ht="15.75" customHeight="1" outlineLevel="1">
      <c r="A128" s="211"/>
      <c r="B128" s="212"/>
      <c r="C128" s="213"/>
      <c r="D128" s="214" t="str">
        <f>IFERROR(VLOOKUP($C128,'PORTIFÓLIO'!C:V,2,0),"")</f>
        <v/>
      </c>
      <c r="E128" s="211" t="str">
        <f>IFERROR(VLOOKUP($C128,'PORTIFÓLIO'!C:V,3,0),"")</f>
        <v/>
      </c>
      <c r="F128" s="211" t="str">
        <f>IFERROR(VLOOKUP($C128,'PORTIFÓLIO'!C:V,4,0),"")</f>
        <v/>
      </c>
      <c r="G128" s="215" t="str">
        <f>IFERROR(VLOOKUP($C128,'PORTIFÓLIO'!C:V,5,0),"")</f>
        <v/>
      </c>
      <c r="H128" s="254" t="str">
        <f t="array" ref="H128">IFERROR(INDEX('PORTIFÓLIO'!$H$4:$H$433,MATCH($C128,'PORTIFÓLIO'!$C$4:$C$433,0)),"")</f>
        <v/>
      </c>
      <c r="I128" s="256"/>
      <c r="J128" s="218">
        <f t="shared" si="14"/>
        <v>0</v>
      </c>
      <c r="K128" s="219" t="str">
        <f t="array" ref="K128">IFERROR(I128*INDEX('PORTIFÓLIO'!$S$4:$S$433,MATCH($C128,'PORTIFÓLIO'!$C$4:$C$433,0)),"")</f>
        <v/>
      </c>
      <c r="L128" s="219" t="str">
        <f t="array" ref="L128">IFERROR(J128*INDEX('PORTIFÓLIO'!$S$4:$S$433,MATCH($C128,'PORTIFÓLIO'!$C$4:$C$433,0)),"")</f>
        <v/>
      </c>
      <c r="M128" s="220"/>
      <c r="N128" s="220"/>
      <c r="O128" s="220"/>
      <c r="P128" s="220"/>
      <c r="Q128" s="220"/>
      <c r="R128" s="220"/>
      <c r="S128" s="220"/>
      <c r="T128" s="220"/>
      <c r="U128" s="220"/>
      <c r="V128" s="220"/>
      <c r="W128" s="220"/>
    </row>
    <row r="129" ht="15.75" customHeight="1" outlineLevel="1">
      <c r="A129" s="211"/>
      <c r="B129" s="212"/>
      <c r="C129" s="213"/>
      <c r="D129" s="214" t="str">
        <f>IFERROR(VLOOKUP($C129,'PORTIFÓLIO'!C:V,2,0),"")</f>
        <v/>
      </c>
      <c r="E129" s="211" t="str">
        <f>IFERROR(VLOOKUP($C129,'PORTIFÓLIO'!C:V,3,0),"")</f>
        <v/>
      </c>
      <c r="F129" s="211" t="str">
        <f>IFERROR(VLOOKUP($C129,'PORTIFÓLIO'!C:V,4,0),"")</f>
        <v/>
      </c>
      <c r="G129" s="215" t="str">
        <f>IFERROR(VLOOKUP($C129,'PORTIFÓLIO'!C:V,5,0),"")</f>
        <v/>
      </c>
      <c r="H129" s="254" t="str">
        <f t="array" ref="H129">IFERROR(INDEX('PORTIFÓLIO'!$H$4:$H$433,MATCH($C129,'PORTIFÓLIO'!$C$4:$C$433,0)),"")</f>
        <v/>
      </c>
      <c r="I129" s="256"/>
      <c r="J129" s="218">
        <f t="shared" si="14"/>
        <v>0</v>
      </c>
      <c r="K129" s="219" t="str">
        <f t="array" ref="K129">IFERROR(I129*INDEX('PORTIFÓLIO'!$S$4:$S$433,MATCH($C129,'PORTIFÓLIO'!$C$4:$C$433,0)),"")</f>
        <v/>
      </c>
      <c r="L129" s="219" t="str">
        <f t="array" ref="L129">IFERROR(J129*INDEX('PORTIFÓLIO'!$S$4:$S$433,MATCH($C129,'PORTIFÓLIO'!$C$4:$C$433,0)),"")</f>
        <v/>
      </c>
      <c r="M129" s="220"/>
      <c r="N129" s="220"/>
      <c r="O129" s="220"/>
      <c r="P129" s="220"/>
      <c r="Q129" s="220"/>
      <c r="R129" s="220"/>
      <c r="S129" s="220"/>
      <c r="T129" s="220"/>
      <c r="U129" s="220"/>
      <c r="V129" s="220"/>
      <c r="W129" s="220"/>
    </row>
    <row r="130" ht="15.75" customHeight="1" outlineLevel="1">
      <c r="A130" s="211"/>
      <c r="B130" s="227"/>
      <c r="C130" s="211"/>
      <c r="D130" s="214" t="str">
        <f>IFERROR(VLOOKUP($C130,'PORTIFÓLIO'!C:V,2,0),"")</f>
        <v/>
      </c>
      <c r="E130" s="211" t="str">
        <f>IFERROR(VLOOKUP($C130,'PORTIFÓLIO'!C:V,3,0),"")</f>
        <v/>
      </c>
      <c r="F130" s="211" t="str">
        <f>IFERROR(VLOOKUP($C130,'PORTIFÓLIO'!C:V,4,0),"")</f>
        <v/>
      </c>
      <c r="G130" s="215" t="str">
        <f>IFERROR(VLOOKUP($C130,'PORTIFÓLIO'!C:V,5,0),"")</f>
        <v/>
      </c>
      <c r="H130" s="254" t="str">
        <f t="array" ref="H130">IFERROR(INDEX('PORTIFÓLIO'!$H$4:$H$433,MATCH($C130,'PORTIFÓLIO'!$C$4:$C$433,0)),"")</f>
        <v/>
      </c>
      <c r="I130" s="256"/>
      <c r="J130" s="218"/>
      <c r="K130" s="219" t="str">
        <f t="array" ref="K130">IFERROR(I130*INDEX('PORTIFÓLIO'!$S$4:$S$433,MATCH($C130,'PORTIFÓLIO'!$C$4:$C$433,0)),"")</f>
        <v/>
      </c>
      <c r="L130" s="219" t="str">
        <f t="array" ref="L130">IFERROR(J130*INDEX('PORTIFÓLIO'!$S$4:$S$433,MATCH($C130,'PORTIFÓLIO'!$C$4:$C$433,0)),"")</f>
        <v/>
      </c>
      <c r="M130" s="220"/>
      <c r="N130" s="220"/>
      <c r="O130" s="220"/>
      <c r="P130" s="220"/>
      <c r="Q130" s="220"/>
      <c r="R130" s="220"/>
      <c r="S130" s="220"/>
      <c r="T130" s="220"/>
      <c r="U130" s="220"/>
      <c r="V130" s="220"/>
      <c r="W130" s="220"/>
    </row>
    <row r="131" ht="15.75" customHeight="1">
      <c r="A131" s="229" t="s">
        <v>1191</v>
      </c>
      <c r="B131" s="230"/>
      <c r="C131" s="231"/>
      <c r="D131" s="232"/>
      <c r="E131" s="231"/>
      <c r="F131" s="231"/>
      <c r="G131" s="233"/>
      <c r="H131" s="233"/>
      <c r="I131" s="258"/>
      <c r="J131" s="236"/>
      <c r="K131" s="237">
        <f t="shared" ref="K131:L131" si="15">SUBTOTAL(9,K132:K145)</f>
        <v>137.671094</v>
      </c>
      <c r="L131" s="237">
        <f t="shared" si="15"/>
        <v>17897.24222</v>
      </c>
      <c r="M131" s="220"/>
      <c r="N131" s="220"/>
      <c r="O131" s="220"/>
      <c r="P131" s="220"/>
      <c r="Q131" s="220"/>
      <c r="R131" s="220"/>
      <c r="S131" s="220"/>
      <c r="T131" s="220"/>
      <c r="U131" s="220"/>
      <c r="V131" s="220"/>
      <c r="W131" s="220"/>
    </row>
    <row r="132" ht="15.75" customHeight="1" outlineLevel="1">
      <c r="A132" s="213"/>
      <c r="B132" s="212" t="s">
        <v>0</v>
      </c>
      <c r="C132" s="213" t="s">
        <v>487</v>
      </c>
      <c r="D132" s="214" t="str">
        <f>IFERROR(VLOOKUP($C132,'PORTIFÓLIO'!C:V,2,0),"")</f>
        <v>PICOXISTROBINA + CIPROCONAZOL</v>
      </c>
      <c r="E132" s="211" t="str">
        <f>IFERROR(VLOOKUP($C132,'PORTIFÓLIO'!C:V,3,0),"")</f>
        <v>90 + 40</v>
      </c>
      <c r="F132" s="211" t="str">
        <f>IFERROR(VLOOKUP($C132,'PORTIFÓLIO'!C:V,4,0),"")</f>
        <v>L</v>
      </c>
      <c r="G132" s="225" t="str">
        <f>IFERROR(VLOOKUP($C132,'PORTIFÓLIO'!C:V,5,0),"")</f>
        <v>📄 Ver bula</v>
      </c>
      <c r="H132" s="254">
        <f t="array" ref="H132">IFERROR(INDEX('PORTIFÓLIO'!$H$4:$H$433,MATCH($C132,'PORTIFÓLIO'!$C$4:$C$433,0)),"")</f>
        <v>0.6</v>
      </c>
      <c r="I132" s="255">
        <v>0.6</v>
      </c>
      <c r="J132" s="218">
        <f t="shared" ref="J132:J146" si="16">I132*$B$2</f>
        <v>78</v>
      </c>
      <c r="K132" s="219">
        <f t="array" ref="K132">IFERROR(I132*INDEX('PORTIFÓLIO'!$S$4:$S$433,MATCH($C132,'PORTIFÓLIO'!$C$4:$C$433,0)),"")</f>
        <v>39.349152</v>
      </c>
      <c r="L132" s="219">
        <f t="array" ref="L132">IFERROR(J132*INDEX('PORTIFÓLIO'!$S$4:$S$433,MATCH($C132,'PORTIFÓLIO'!$C$4:$C$433,0)),"")</f>
        <v>5115.38976</v>
      </c>
      <c r="M132" s="220"/>
      <c r="N132" s="220"/>
      <c r="O132" s="220"/>
      <c r="P132" s="220"/>
      <c r="Q132" s="220"/>
      <c r="R132" s="220"/>
      <c r="S132" s="220"/>
      <c r="T132" s="220"/>
      <c r="U132" s="220"/>
      <c r="V132" s="220"/>
      <c r="W132" s="220"/>
    </row>
    <row r="133" ht="15.75" customHeight="1" outlineLevel="1">
      <c r="A133" s="211"/>
      <c r="B133" s="212" t="s">
        <v>0</v>
      </c>
      <c r="C133" s="213" t="s">
        <v>484</v>
      </c>
      <c r="D133" s="214" t="str">
        <f>IFERROR(VLOOKUP($C133,'PORTIFÓLIO'!C:V,2,0),"")</f>
        <v>MANCOZEBE</v>
      </c>
      <c r="E133" s="211">
        <f>IFERROR(VLOOKUP($C133,'PORTIFÓLIO'!C:V,3,0),"")</f>
        <v>750</v>
      </c>
      <c r="F133" s="211" t="str">
        <f>IFERROR(VLOOKUP($C133,'PORTIFÓLIO'!C:V,4,0),"")</f>
        <v>L</v>
      </c>
      <c r="G133" s="225" t="str">
        <f>IFERROR(VLOOKUP($C133,'PORTIFÓLIO'!C:V,5,0),"")</f>
        <v>📄 Ver bula</v>
      </c>
      <c r="H133" s="254">
        <f t="array" ref="H133">IFERROR(INDEX('PORTIFÓLIO'!$H$4:$H$433,MATCH($C133,'PORTIFÓLIO'!$C$4:$C$433,0)),"")</f>
        <v>1.5</v>
      </c>
      <c r="I133" s="255">
        <v>1.5</v>
      </c>
      <c r="J133" s="218">
        <f t="shared" si="16"/>
        <v>195</v>
      </c>
      <c r="K133" s="219">
        <f t="array" ref="K133">IFERROR(I133*INDEX('PORTIFÓLIO'!$S$4:$S$433,MATCH($C133,'PORTIFÓLIO'!$C$4:$C$433,0)),"")</f>
        <v>41.52168</v>
      </c>
      <c r="L133" s="219">
        <f t="array" ref="L133">IFERROR(J133*INDEX('PORTIFÓLIO'!$S$4:$S$433,MATCH($C133,'PORTIFÓLIO'!$C$4:$C$433,0)),"")</f>
        <v>5397.8184</v>
      </c>
      <c r="M133" s="220"/>
      <c r="N133" s="220"/>
      <c r="O133" s="220"/>
      <c r="P133" s="220"/>
      <c r="Q133" s="220"/>
      <c r="R133" s="220"/>
      <c r="S133" s="220"/>
      <c r="T133" s="220"/>
      <c r="U133" s="220"/>
      <c r="V133" s="220"/>
      <c r="W133" s="220"/>
    </row>
    <row r="134" ht="15.75" customHeight="1" outlineLevel="1">
      <c r="A134" s="211"/>
      <c r="B134" s="212" t="s">
        <v>2</v>
      </c>
      <c r="C134" s="213" t="s">
        <v>752</v>
      </c>
      <c r="D134" s="214" t="str">
        <f>IFERROR(VLOOKUP($C134,'PORTIFÓLIO'!C:V,2,0),"")</f>
        <v>ACEFATO</v>
      </c>
      <c r="E134" s="211">
        <f>IFERROR(VLOOKUP($C134,'PORTIFÓLIO'!C:V,3,0),"")</f>
        <v>970</v>
      </c>
      <c r="F134" s="211" t="str">
        <f>IFERROR(VLOOKUP($C134,'PORTIFÓLIO'!C:V,4,0),"")</f>
        <v>L</v>
      </c>
      <c r="G134" s="225" t="str">
        <f>IFERROR(VLOOKUP($C134,'PORTIFÓLIO'!C:V,5,0),"")</f>
        <v>📄 Ver bula</v>
      </c>
      <c r="H134" s="254">
        <f t="array" ref="H134">IFERROR(INDEX('PORTIFÓLIO'!$H$4:$H$433,MATCH($C134,'PORTIFÓLIO'!$C$4:$C$433,0)),"")</f>
        <v>0.6</v>
      </c>
      <c r="I134" s="255">
        <v>1.0</v>
      </c>
      <c r="J134" s="218">
        <f t="shared" si="16"/>
        <v>130</v>
      </c>
      <c r="K134" s="219">
        <f t="array" ref="K134">IFERROR(I134*INDEX('PORTIFÓLIO'!$S$4:$S$433,MATCH($C134,'PORTIFÓLIO'!$C$4:$C$433,0)),"")</f>
        <v>37.11</v>
      </c>
      <c r="L134" s="219">
        <f t="array" ref="L134">IFERROR(J134*INDEX('PORTIFÓLIO'!$S$4:$S$433,MATCH($C134,'PORTIFÓLIO'!$C$4:$C$433,0)),"")</f>
        <v>4824.3</v>
      </c>
      <c r="M134" s="220"/>
      <c r="N134" s="220"/>
      <c r="O134" s="220"/>
      <c r="P134" s="220"/>
      <c r="Q134" s="220"/>
      <c r="R134" s="220"/>
      <c r="S134" s="220"/>
      <c r="T134" s="220"/>
      <c r="U134" s="220"/>
      <c r="V134" s="220"/>
      <c r="W134" s="220"/>
    </row>
    <row r="135" ht="15.75" customHeight="1" outlineLevel="1">
      <c r="A135" s="211"/>
      <c r="B135" s="212" t="s">
        <v>6</v>
      </c>
      <c r="C135" s="213" t="s">
        <v>354</v>
      </c>
      <c r="D135" s="214" t="str">
        <f>IFERROR(VLOOKUP($C135,'PORTIFÓLIO'!C:V,2,0),"")</f>
        <v>OLEO MINERAL</v>
      </c>
      <c r="E135" s="211">
        <f>IFERROR(VLOOKUP($C135,'PORTIFÓLIO'!C:V,3,0),"")</f>
        <v>761</v>
      </c>
      <c r="F135" s="211" t="str">
        <f>IFERROR(VLOOKUP($C135,'PORTIFÓLIO'!C:V,4,0),"")</f>
        <v>L</v>
      </c>
      <c r="G135" s="225" t="str">
        <f>IFERROR(VLOOKUP($C135,'PORTIFÓLIO'!C:V,5,0),"")</f>
        <v>📄 Ver bula</v>
      </c>
      <c r="H135" s="254">
        <f t="array" ref="H135">IFERROR(INDEX('PORTIFÓLIO'!$H$4:$H$433,MATCH($C135,'PORTIFÓLIO'!$C$4:$C$433,0)),"")</f>
        <v>0.2</v>
      </c>
      <c r="I135" s="255">
        <v>0.2</v>
      </c>
      <c r="J135" s="218">
        <f t="shared" si="16"/>
        <v>26</v>
      </c>
      <c r="K135" s="219">
        <f t="array" ref="K135">IFERROR(I135*INDEX('PORTIFÓLIO'!$S$4:$S$433,MATCH($C135,'PORTIFÓLIO'!$C$4:$C$433,0)),"")</f>
        <v>3.206</v>
      </c>
      <c r="L135" s="219">
        <f t="array" ref="L135">IFERROR(J135*INDEX('PORTIFÓLIO'!$S$4:$S$433,MATCH($C135,'PORTIFÓLIO'!$C$4:$C$433,0)),"")</f>
        <v>416.78</v>
      </c>
      <c r="M135" s="220"/>
      <c r="N135" s="220"/>
      <c r="O135" s="220"/>
      <c r="P135" s="220"/>
      <c r="Q135" s="220"/>
      <c r="R135" s="220"/>
      <c r="S135" s="220"/>
      <c r="T135" s="220"/>
      <c r="U135" s="220"/>
      <c r="V135" s="220"/>
      <c r="W135" s="220"/>
    </row>
    <row r="136" ht="15.75" customHeight="1" outlineLevel="1">
      <c r="A136" s="211"/>
      <c r="B136" s="212" t="s">
        <v>2</v>
      </c>
      <c r="C136" s="213" t="s">
        <v>798</v>
      </c>
      <c r="D136" s="214" t="str">
        <f>IFERROR(VLOOKUP($C136,'PORTIFÓLIO'!C:V,2,0),"")</f>
        <v>METOXIFENOZIDA</v>
      </c>
      <c r="E136" s="211">
        <f>IFERROR(VLOOKUP($C136,'PORTIFÓLIO'!C:V,3,0),"")</f>
        <v>240</v>
      </c>
      <c r="F136" s="211" t="str">
        <f>IFERROR(VLOOKUP($C136,'PORTIFÓLIO'!C:V,4,0),"")</f>
        <v>L</v>
      </c>
      <c r="G136" s="225" t="str">
        <f>IFERROR(VLOOKUP($C136,'PORTIFÓLIO'!C:V,5,0),"")</f>
        <v>📄 Ver bula</v>
      </c>
      <c r="H136" s="254">
        <f t="array" ref="H136">IFERROR(INDEX('PORTIFÓLIO'!$H$4:$H$433,MATCH($C136,'PORTIFÓLIO'!$C$4:$C$433,0)),"")</f>
        <v>0.5</v>
      </c>
      <c r="I136" s="255">
        <v>0.2</v>
      </c>
      <c r="J136" s="218">
        <f t="shared" si="16"/>
        <v>26</v>
      </c>
      <c r="K136" s="219">
        <f t="array" ref="K136">IFERROR(I136*INDEX('PORTIFÓLIO'!$S$4:$S$433,MATCH($C136,'PORTIFÓLIO'!$C$4:$C$433,0)),"")</f>
        <v>16.484262</v>
      </c>
      <c r="L136" s="219">
        <f t="array" ref="L136">IFERROR(J136*INDEX('PORTIFÓLIO'!$S$4:$S$433,MATCH($C136,'PORTIFÓLIO'!$C$4:$C$433,0)),"")</f>
        <v>2142.95406</v>
      </c>
      <c r="M136" s="220"/>
      <c r="N136" s="220"/>
      <c r="O136" s="220"/>
      <c r="P136" s="220"/>
      <c r="Q136" s="220"/>
      <c r="R136" s="220"/>
      <c r="S136" s="220"/>
      <c r="T136" s="220"/>
      <c r="U136" s="220"/>
      <c r="V136" s="220"/>
      <c r="W136" s="220"/>
    </row>
    <row r="137" ht="15.75" customHeight="1" outlineLevel="1">
      <c r="A137" s="211"/>
      <c r="B137" s="212"/>
      <c r="C137" s="213"/>
      <c r="D137" s="214" t="str">
        <f>IFERROR(VLOOKUP($C137,'PORTIFÓLIO'!C:V,2,0),"")</f>
        <v/>
      </c>
      <c r="E137" s="211" t="str">
        <f>IFERROR(VLOOKUP($C137,'PORTIFÓLIO'!C:V,3,0),"")</f>
        <v/>
      </c>
      <c r="F137" s="211" t="str">
        <f>IFERROR(VLOOKUP($C137,'PORTIFÓLIO'!C:V,4,0),"")</f>
        <v/>
      </c>
      <c r="G137" s="215" t="str">
        <f>IFERROR(VLOOKUP($C137,'PORTIFÓLIO'!C:V,5,0),"")</f>
        <v/>
      </c>
      <c r="H137" s="254" t="str">
        <f t="array" ref="H137">IFERROR(INDEX('PORTIFÓLIO'!$H$4:$H$433,MATCH($C137,'PORTIFÓLIO'!$C$4:$C$433,0)),"")</f>
        <v/>
      </c>
      <c r="I137" s="256"/>
      <c r="J137" s="218">
        <f t="shared" si="16"/>
        <v>0</v>
      </c>
      <c r="K137" s="219" t="str">
        <f t="array" ref="K137">IFERROR(I137*INDEX('PORTIFÓLIO'!$S$4:$S$433,MATCH($C137,'PORTIFÓLIO'!$C$4:$C$433,0)),"")</f>
        <v/>
      </c>
      <c r="L137" s="219" t="str">
        <f t="array" ref="L137">IFERROR(J137*INDEX('PORTIFÓLIO'!$S$4:$S$433,MATCH($C137,'PORTIFÓLIO'!$C$4:$C$433,0)),"")</f>
        <v/>
      </c>
      <c r="M137" s="220"/>
      <c r="N137" s="220"/>
      <c r="O137" s="220"/>
      <c r="P137" s="220"/>
      <c r="Q137" s="220"/>
      <c r="R137" s="220"/>
      <c r="S137" s="220"/>
      <c r="T137" s="220"/>
      <c r="U137" s="220"/>
      <c r="V137" s="220"/>
      <c r="W137" s="220"/>
    </row>
    <row r="138" ht="15.75" customHeight="1" outlineLevel="1">
      <c r="A138" s="211"/>
      <c r="B138" s="212"/>
      <c r="C138" s="213"/>
      <c r="D138" s="214" t="str">
        <f>IFERROR(VLOOKUP($C138,'PORTIFÓLIO'!C:V,2,0),"")</f>
        <v/>
      </c>
      <c r="E138" s="211" t="str">
        <f>IFERROR(VLOOKUP($C138,'PORTIFÓLIO'!C:V,3,0),"")</f>
        <v/>
      </c>
      <c r="F138" s="211" t="str">
        <f>IFERROR(VLOOKUP($C138,'PORTIFÓLIO'!C:V,4,0),"")</f>
        <v/>
      </c>
      <c r="G138" s="215" t="str">
        <f>IFERROR(VLOOKUP($C138,'PORTIFÓLIO'!C:V,5,0),"")</f>
        <v/>
      </c>
      <c r="H138" s="254" t="str">
        <f t="array" ref="H138">IFERROR(INDEX('PORTIFÓLIO'!$H$4:$H$433,MATCH($C138,'PORTIFÓLIO'!$C$4:$C$433,0)),"")</f>
        <v/>
      </c>
      <c r="I138" s="256"/>
      <c r="J138" s="218">
        <f t="shared" si="16"/>
        <v>0</v>
      </c>
      <c r="K138" s="219" t="str">
        <f t="array" ref="K138">IFERROR(I138*INDEX('PORTIFÓLIO'!$S$4:$S$433,MATCH($C138,'PORTIFÓLIO'!$C$4:$C$433,0)),"")</f>
        <v/>
      </c>
      <c r="L138" s="219" t="str">
        <f t="array" ref="L138">IFERROR(J138*INDEX('PORTIFÓLIO'!$S$4:$S$433,MATCH($C138,'PORTIFÓLIO'!$C$4:$C$433,0)),"")</f>
        <v/>
      </c>
      <c r="M138" s="220"/>
      <c r="N138" s="220"/>
      <c r="O138" s="220"/>
      <c r="P138" s="220"/>
      <c r="Q138" s="220"/>
      <c r="R138" s="220"/>
      <c r="S138" s="220"/>
      <c r="T138" s="220"/>
      <c r="U138" s="220"/>
      <c r="V138" s="220"/>
      <c r="W138" s="220"/>
    </row>
    <row r="139" ht="15.75" customHeight="1" outlineLevel="1">
      <c r="A139" s="211"/>
      <c r="B139" s="212"/>
      <c r="C139" s="213"/>
      <c r="D139" s="214" t="str">
        <f>IFERROR(VLOOKUP($C139,'PORTIFÓLIO'!C:V,2,0),"")</f>
        <v/>
      </c>
      <c r="E139" s="211" t="str">
        <f>IFERROR(VLOOKUP($C139,'PORTIFÓLIO'!C:V,3,0),"")</f>
        <v/>
      </c>
      <c r="F139" s="211" t="str">
        <f>IFERROR(VLOOKUP($C139,'PORTIFÓLIO'!C:V,4,0),"")</f>
        <v/>
      </c>
      <c r="G139" s="215" t="str">
        <f>IFERROR(VLOOKUP($C139,'PORTIFÓLIO'!C:V,5,0),"")</f>
        <v/>
      </c>
      <c r="H139" s="254" t="str">
        <f t="array" ref="H139">IFERROR(INDEX('PORTIFÓLIO'!$H$4:$H$433,MATCH($C139,'PORTIFÓLIO'!$C$4:$C$433,0)),"")</f>
        <v/>
      </c>
      <c r="I139" s="256"/>
      <c r="J139" s="218">
        <f t="shared" si="16"/>
        <v>0</v>
      </c>
      <c r="K139" s="219" t="str">
        <f t="array" ref="K139">IFERROR(I139*INDEX('PORTIFÓLIO'!$S$4:$S$433,MATCH($C139,'PORTIFÓLIO'!$C$4:$C$433,0)),"")</f>
        <v/>
      </c>
      <c r="L139" s="219" t="str">
        <f t="array" ref="L139">IFERROR(J139*INDEX('PORTIFÓLIO'!$S$4:$S$433,MATCH($C139,'PORTIFÓLIO'!$C$4:$C$433,0)),"")</f>
        <v/>
      </c>
      <c r="M139" s="220"/>
      <c r="N139" s="220"/>
      <c r="O139" s="220"/>
      <c r="P139" s="220"/>
      <c r="Q139" s="220"/>
      <c r="R139" s="220"/>
      <c r="S139" s="220"/>
      <c r="T139" s="220"/>
      <c r="U139" s="220"/>
      <c r="V139" s="220"/>
      <c r="W139" s="220"/>
    </row>
    <row r="140" ht="15.75" customHeight="1" outlineLevel="1">
      <c r="A140" s="211"/>
      <c r="B140" s="212"/>
      <c r="C140" s="213"/>
      <c r="D140" s="214" t="str">
        <f>IFERROR(VLOOKUP($C140,'PORTIFÓLIO'!C:V,2,0),"")</f>
        <v/>
      </c>
      <c r="E140" s="211" t="str">
        <f>IFERROR(VLOOKUP($C140,'PORTIFÓLIO'!C:V,3,0),"")</f>
        <v/>
      </c>
      <c r="F140" s="211" t="str">
        <f>IFERROR(VLOOKUP($C140,'PORTIFÓLIO'!C:V,4,0),"")</f>
        <v/>
      </c>
      <c r="G140" s="215" t="str">
        <f>IFERROR(VLOOKUP($C140,'PORTIFÓLIO'!C:V,5,0),"")</f>
        <v/>
      </c>
      <c r="H140" s="254" t="str">
        <f t="array" ref="H140">IFERROR(INDEX('PORTIFÓLIO'!$H$4:$H$433,MATCH($C140,'PORTIFÓLIO'!$C$4:$C$433,0)),"")</f>
        <v/>
      </c>
      <c r="I140" s="255"/>
      <c r="J140" s="218">
        <f t="shared" si="16"/>
        <v>0</v>
      </c>
      <c r="K140" s="219" t="str">
        <f t="array" ref="K140">IFERROR(I140*INDEX('PORTIFÓLIO'!$S$4:$S$433,MATCH($C140,'PORTIFÓLIO'!$C$4:$C$433,0)),"")</f>
        <v/>
      </c>
      <c r="L140" s="219" t="str">
        <f t="array" ref="L140">IFERROR(J140*INDEX('PORTIFÓLIO'!$S$4:$S$433,MATCH($C140,'PORTIFÓLIO'!$C$4:$C$433,0)),"")</f>
        <v/>
      </c>
      <c r="M140" s="220"/>
      <c r="N140" s="220"/>
      <c r="O140" s="220"/>
      <c r="P140" s="220"/>
      <c r="Q140" s="220"/>
      <c r="R140" s="220"/>
      <c r="S140" s="220"/>
      <c r="T140" s="220"/>
      <c r="U140" s="220"/>
      <c r="V140" s="220"/>
      <c r="W140" s="220"/>
    </row>
    <row r="141" ht="15.75" customHeight="1" outlineLevel="1">
      <c r="A141" s="211"/>
      <c r="B141" s="212"/>
      <c r="C141" s="213"/>
      <c r="D141" s="214" t="str">
        <f>IFERROR(VLOOKUP($C141,'PORTIFÓLIO'!C:V,2,0),"")</f>
        <v/>
      </c>
      <c r="E141" s="211" t="str">
        <f>IFERROR(VLOOKUP($C141,'PORTIFÓLIO'!C:V,3,0),"")</f>
        <v/>
      </c>
      <c r="F141" s="211" t="str">
        <f>IFERROR(VLOOKUP($C141,'PORTIFÓLIO'!C:V,4,0),"")</f>
        <v/>
      </c>
      <c r="G141" s="215" t="str">
        <f>IFERROR(VLOOKUP($C141,'PORTIFÓLIO'!C:V,5,0),"")</f>
        <v/>
      </c>
      <c r="H141" s="254" t="str">
        <f t="array" ref="H141">IFERROR(INDEX('PORTIFÓLIO'!$H$4:$H$433,MATCH($C141,'PORTIFÓLIO'!$C$4:$C$433,0)),"")</f>
        <v/>
      </c>
      <c r="I141" s="256"/>
      <c r="J141" s="218">
        <f t="shared" si="16"/>
        <v>0</v>
      </c>
      <c r="K141" s="219" t="str">
        <f t="array" ref="K141">IFERROR(I141*INDEX('PORTIFÓLIO'!$S$4:$S$433,MATCH($C141,'PORTIFÓLIO'!$C$4:$C$433,0)),"")</f>
        <v/>
      </c>
      <c r="L141" s="219" t="str">
        <f t="array" ref="L141">IFERROR(J141*INDEX('PORTIFÓLIO'!$S$4:$S$433,MATCH($C141,'PORTIFÓLIO'!$C$4:$C$433,0)),"")</f>
        <v/>
      </c>
      <c r="M141" s="220"/>
      <c r="N141" s="220"/>
      <c r="O141" s="220"/>
      <c r="P141" s="220"/>
      <c r="Q141" s="220"/>
      <c r="R141" s="220"/>
      <c r="S141" s="220"/>
      <c r="T141" s="220"/>
      <c r="U141" s="220"/>
      <c r="V141" s="220"/>
      <c r="W141" s="220"/>
    </row>
    <row r="142" ht="15.75" customHeight="1" outlineLevel="1">
      <c r="A142" s="211"/>
      <c r="B142" s="212"/>
      <c r="C142" s="213"/>
      <c r="D142" s="214" t="str">
        <f>IFERROR(VLOOKUP($C142,'PORTIFÓLIO'!C:V,2,0),"")</f>
        <v/>
      </c>
      <c r="E142" s="211" t="str">
        <f>IFERROR(VLOOKUP($C142,'PORTIFÓLIO'!C:V,3,0),"")</f>
        <v/>
      </c>
      <c r="F142" s="211" t="str">
        <f>IFERROR(VLOOKUP($C142,'PORTIFÓLIO'!C:V,4,0),"")</f>
        <v/>
      </c>
      <c r="G142" s="215" t="str">
        <f>IFERROR(VLOOKUP($C142,'PORTIFÓLIO'!C:V,5,0),"")</f>
        <v/>
      </c>
      <c r="H142" s="254" t="str">
        <f t="array" ref="H142">IFERROR(INDEX('PORTIFÓLIO'!$H$4:$H$433,MATCH($C142,'PORTIFÓLIO'!$C$4:$C$433,0)),"")</f>
        <v/>
      </c>
      <c r="I142" s="256"/>
      <c r="J142" s="218">
        <f t="shared" si="16"/>
        <v>0</v>
      </c>
      <c r="K142" s="219" t="str">
        <f t="array" ref="K142">IFERROR(I142*INDEX('PORTIFÓLIO'!$S$4:$S$433,MATCH($C142,'PORTIFÓLIO'!$C$4:$C$433,0)),"")</f>
        <v/>
      </c>
      <c r="L142" s="219" t="str">
        <f t="array" ref="L142">IFERROR(J142*INDEX('PORTIFÓLIO'!$S$4:$S$433,MATCH($C142,'PORTIFÓLIO'!$C$4:$C$433,0)),"")</f>
        <v/>
      </c>
      <c r="M142" s="220"/>
      <c r="N142" s="220"/>
      <c r="O142" s="220"/>
      <c r="P142" s="220"/>
      <c r="Q142" s="220"/>
      <c r="R142" s="220"/>
      <c r="S142" s="220"/>
      <c r="T142" s="220"/>
      <c r="U142" s="220"/>
      <c r="V142" s="220"/>
      <c r="W142" s="220"/>
    </row>
    <row r="143" ht="15.75" customHeight="1" outlineLevel="1">
      <c r="A143" s="211"/>
      <c r="B143" s="212"/>
      <c r="C143" s="213"/>
      <c r="D143" s="214" t="str">
        <f>IFERROR(VLOOKUP($C143,'PORTIFÓLIO'!C:V,2,0),"")</f>
        <v/>
      </c>
      <c r="E143" s="211" t="str">
        <f>IFERROR(VLOOKUP($C143,'PORTIFÓLIO'!C:V,3,0),"")</f>
        <v/>
      </c>
      <c r="F143" s="211" t="str">
        <f>IFERROR(VLOOKUP($C143,'PORTIFÓLIO'!C:V,4,0),"")</f>
        <v/>
      </c>
      <c r="G143" s="215" t="str">
        <f>IFERROR(VLOOKUP($C143,'PORTIFÓLIO'!C:V,5,0),"")</f>
        <v/>
      </c>
      <c r="H143" s="254" t="str">
        <f t="array" ref="H143">IFERROR(INDEX('PORTIFÓLIO'!$H$4:$H$433,MATCH($C143,'PORTIFÓLIO'!$C$4:$C$433,0)),"")</f>
        <v/>
      </c>
      <c r="I143" s="256"/>
      <c r="J143" s="218">
        <f t="shared" si="16"/>
        <v>0</v>
      </c>
      <c r="K143" s="219" t="str">
        <f t="array" ref="K143">IFERROR(I143*INDEX('PORTIFÓLIO'!$S$4:$S$433,MATCH($C143,'PORTIFÓLIO'!$C$4:$C$433,0)),"")</f>
        <v/>
      </c>
      <c r="L143" s="219" t="str">
        <f t="array" ref="L143">IFERROR(J143*INDEX('PORTIFÓLIO'!$S$4:$S$433,MATCH($C143,'PORTIFÓLIO'!$C$4:$C$433,0)),"")</f>
        <v/>
      </c>
      <c r="M143" s="220"/>
      <c r="N143" s="220"/>
      <c r="O143" s="220"/>
      <c r="P143" s="220"/>
      <c r="Q143" s="220"/>
      <c r="R143" s="220"/>
      <c r="S143" s="220"/>
      <c r="T143" s="220"/>
      <c r="U143" s="220"/>
      <c r="V143" s="220"/>
      <c r="W143" s="220"/>
    </row>
    <row r="144" ht="15.75" customHeight="1" outlineLevel="1">
      <c r="A144" s="211"/>
      <c r="B144" s="212"/>
      <c r="C144" s="213"/>
      <c r="D144" s="214" t="str">
        <f>IFERROR(VLOOKUP($C144,'PORTIFÓLIO'!C:V,2,0),"")</f>
        <v/>
      </c>
      <c r="E144" s="211" t="str">
        <f>IFERROR(VLOOKUP($C144,'PORTIFÓLIO'!C:V,3,0),"")</f>
        <v/>
      </c>
      <c r="F144" s="211" t="str">
        <f>IFERROR(VLOOKUP($C144,'PORTIFÓLIO'!C:V,4,0),"")</f>
        <v/>
      </c>
      <c r="G144" s="215" t="str">
        <f>IFERROR(VLOOKUP($C144,'PORTIFÓLIO'!C:V,5,0),"")</f>
        <v/>
      </c>
      <c r="H144" s="254" t="str">
        <f t="array" ref="H144">IFERROR(INDEX('PORTIFÓLIO'!$H$4:$H$433,MATCH($C144,'PORTIFÓLIO'!$C$4:$C$433,0)),"")</f>
        <v/>
      </c>
      <c r="I144" s="256"/>
      <c r="J144" s="218">
        <f t="shared" si="16"/>
        <v>0</v>
      </c>
      <c r="K144" s="219" t="str">
        <f t="array" ref="K144">IFERROR(I144*INDEX('PORTIFÓLIO'!$S$4:$S$433,MATCH($C144,'PORTIFÓLIO'!$C$4:$C$433,0)),"")</f>
        <v/>
      </c>
      <c r="L144" s="219" t="str">
        <f t="array" ref="L144">IFERROR(J144*INDEX('PORTIFÓLIO'!$S$4:$S$433,MATCH($C144,'PORTIFÓLIO'!$C$4:$C$433,0)),"")</f>
        <v/>
      </c>
      <c r="M144" s="220"/>
      <c r="N144" s="220"/>
      <c r="O144" s="220"/>
      <c r="P144" s="220"/>
      <c r="Q144" s="220"/>
      <c r="R144" s="220"/>
      <c r="S144" s="220"/>
      <c r="T144" s="220"/>
      <c r="U144" s="220"/>
      <c r="V144" s="220"/>
      <c r="W144" s="220"/>
    </row>
    <row r="145" ht="15.75" customHeight="1" outlineLevel="1">
      <c r="A145" s="211"/>
      <c r="B145" s="212"/>
      <c r="C145" s="213"/>
      <c r="D145" s="214" t="str">
        <f>IFERROR(VLOOKUP($C145,'PORTIFÓLIO'!C:V,2,0),"")</f>
        <v/>
      </c>
      <c r="E145" s="211" t="str">
        <f>IFERROR(VLOOKUP($C145,'PORTIFÓLIO'!C:V,3,0),"")</f>
        <v/>
      </c>
      <c r="F145" s="211" t="str">
        <f>IFERROR(VLOOKUP($C145,'PORTIFÓLIO'!C:V,4,0),"")</f>
        <v/>
      </c>
      <c r="G145" s="215" t="str">
        <f>IFERROR(VLOOKUP($C145,'PORTIFÓLIO'!C:V,5,0),"")</f>
        <v/>
      </c>
      <c r="H145" s="254" t="str">
        <f t="array" ref="H145">IFERROR(INDEX('PORTIFÓLIO'!$H$4:$H$433,MATCH($C145,'PORTIFÓLIO'!$C$4:$C$433,0)),"")</f>
        <v/>
      </c>
      <c r="I145" s="256"/>
      <c r="J145" s="218">
        <f t="shared" si="16"/>
        <v>0</v>
      </c>
      <c r="K145" s="219" t="str">
        <f t="array" ref="K145">IFERROR(I145*INDEX('PORTIFÓLIO'!$S$4:$S$433,MATCH($C145,'PORTIFÓLIO'!$C$4:$C$433,0)),"")</f>
        <v/>
      </c>
      <c r="L145" s="219" t="str">
        <f t="array" ref="L145">IFERROR(J145*INDEX('PORTIFÓLIO'!$S$4:$S$433,MATCH($C145,'PORTIFÓLIO'!$C$4:$C$433,0)),"")</f>
        <v/>
      </c>
      <c r="M145" s="220"/>
      <c r="N145" s="220"/>
      <c r="O145" s="220"/>
      <c r="P145" s="220"/>
      <c r="Q145" s="220"/>
      <c r="R145" s="220"/>
      <c r="S145" s="220"/>
      <c r="T145" s="220"/>
      <c r="U145" s="220"/>
      <c r="V145" s="220"/>
      <c r="W145" s="220"/>
    </row>
    <row r="146" ht="15.75" customHeight="1" outlineLevel="1">
      <c r="A146" s="211"/>
      <c r="B146" s="212"/>
      <c r="C146" s="213"/>
      <c r="D146" s="214" t="str">
        <f>IFERROR(VLOOKUP($C146,'PORTIFÓLIO'!C:V,2,0),"")</f>
        <v/>
      </c>
      <c r="E146" s="211" t="str">
        <f>IFERROR(VLOOKUP($C146,'PORTIFÓLIO'!C:V,3,0),"")</f>
        <v/>
      </c>
      <c r="F146" s="211" t="str">
        <f>IFERROR(VLOOKUP($C146,'PORTIFÓLIO'!C:V,4,0),"")</f>
        <v/>
      </c>
      <c r="G146" s="215" t="str">
        <f>IFERROR(VLOOKUP($C146,'PORTIFÓLIO'!C:V,5,0),"")</f>
        <v/>
      </c>
      <c r="H146" s="254" t="str">
        <f t="array" ref="H146">IFERROR(INDEX('PORTIFÓLIO'!$H$4:$H$433,MATCH($C146,'PORTIFÓLIO'!$C$4:$C$433,0)),"")</f>
        <v/>
      </c>
      <c r="I146" s="256"/>
      <c r="J146" s="218">
        <f t="shared" si="16"/>
        <v>0</v>
      </c>
      <c r="K146" s="219" t="str">
        <f t="array" ref="K146">IFERROR(I146*INDEX('PORTIFÓLIO'!$S$4:$S$433,MATCH($C146,'PORTIFÓLIO'!$C$4:$C$433,0)),"")</f>
        <v/>
      </c>
      <c r="L146" s="219" t="str">
        <f t="array" ref="L146">IFERROR(J146*INDEX('PORTIFÓLIO'!$S$4:$S$433,MATCH($C146,'PORTIFÓLIO'!$C$4:$C$433,0)),"")</f>
        <v/>
      </c>
      <c r="M146" s="220"/>
      <c r="N146" s="220"/>
      <c r="O146" s="220"/>
      <c r="P146" s="220"/>
      <c r="Q146" s="220"/>
      <c r="R146" s="220"/>
      <c r="S146" s="220"/>
      <c r="T146" s="220"/>
      <c r="U146" s="220"/>
      <c r="V146" s="220"/>
      <c r="W146" s="220"/>
    </row>
    <row r="147" ht="15.75" customHeight="1" outlineLevel="1">
      <c r="A147" s="211"/>
      <c r="B147" s="227"/>
      <c r="C147" s="211"/>
      <c r="D147" s="214" t="str">
        <f>IFERROR(VLOOKUP($C147,'PORTIFÓLIO'!C:V,2,0),"")</f>
        <v/>
      </c>
      <c r="E147" s="211" t="str">
        <f>IFERROR(VLOOKUP($C147,'PORTIFÓLIO'!C:V,3,0),"")</f>
        <v/>
      </c>
      <c r="F147" s="211" t="str">
        <f>IFERROR(VLOOKUP($C147,'PORTIFÓLIO'!C:V,4,0),"")</f>
        <v/>
      </c>
      <c r="G147" s="215" t="str">
        <f>IFERROR(VLOOKUP($C147,'PORTIFÓLIO'!C:V,5,0),"")</f>
        <v/>
      </c>
      <c r="H147" s="254" t="str">
        <f t="array" ref="H147">IFERROR(INDEX('PORTIFÓLIO'!$H$4:$H$433,MATCH($C147,'PORTIFÓLIO'!$C$4:$C$433,0)),"")</f>
        <v/>
      </c>
      <c r="I147" s="256"/>
      <c r="J147" s="218"/>
      <c r="K147" s="219" t="str">
        <f t="array" ref="K147">IFERROR(I147*INDEX('PORTIFÓLIO'!$S$4:$S$433,MATCH($C147,'PORTIFÓLIO'!$C$4:$C$433,0)),"")</f>
        <v/>
      </c>
      <c r="L147" s="219" t="str">
        <f t="array" ref="L147">IFERROR(J147*INDEX('PORTIFÓLIO'!$S$4:$S$433,MATCH($C147,'PORTIFÓLIO'!$C$4:$C$433,0)),"")</f>
        <v/>
      </c>
      <c r="M147" s="220"/>
      <c r="N147" s="220"/>
      <c r="O147" s="220"/>
      <c r="P147" s="220"/>
      <c r="Q147" s="220"/>
      <c r="R147" s="220"/>
      <c r="S147" s="220"/>
      <c r="T147" s="220"/>
      <c r="U147" s="220"/>
      <c r="V147" s="220"/>
      <c r="W147" s="220"/>
    </row>
    <row r="148" ht="15.75" customHeight="1">
      <c r="A148" s="229" t="s">
        <v>1192</v>
      </c>
      <c r="B148" s="230"/>
      <c r="C148" s="231"/>
      <c r="D148" s="232"/>
      <c r="E148" s="231"/>
      <c r="F148" s="231"/>
      <c r="G148" s="233"/>
      <c r="H148" s="233"/>
      <c r="I148" s="258"/>
      <c r="J148" s="236"/>
      <c r="K148" s="237">
        <f t="shared" ref="K148:L148" si="17">SUBTOTAL(9,K149:K162)</f>
        <v>94.32464</v>
      </c>
      <c r="L148" s="237">
        <f t="shared" si="17"/>
        <v>12262.2032</v>
      </c>
      <c r="M148" s="220"/>
      <c r="N148" s="220"/>
      <c r="O148" s="220"/>
      <c r="P148" s="220"/>
      <c r="Q148" s="220"/>
      <c r="R148" s="220"/>
      <c r="S148" s="220"/>
      <c r="T148" s="220"/>
      <c r="U148" s="220"/>
      <c r="V148" s="220"/>
      <c r="W148" s="220"/>
    </row>
    <row r="149" ht="15.75" customHeight="1" outlineLevel="1">
      <c r="A149" s="213"/>
      <c r="B149" s="212" t="s">
        <v>0</v>
      </c>
      <c r="C149" s="213" t="s">
        <v>434</v>
      </c>
      <c r="D149" s="214" t="str">
        <f>IFERROR(VLOOKUP($C149,'PORTIFÓLIO'!C:V,2,0),"")</f>
        <v>AZOXISTROBINA + TEBUCONAZOL</v>
      </c>
      <c r="E149" s="211" t="str">
        <f>IFERROR(VLOOKUP($C149,'PORTIFÓLIO'!C:V,3,0),"")</f>
        <v>120 + 200</v>
      </c>
      <c r="F149" s="211" t="str">
        <f>IFERROR(VLOOKUP($C149,'PORTIFÓLIO'!C:V,4,0),"")</f>
        <v>L</v>
      </c>
      <c r="G149" s="225" t="str">
        <f>IFERROR(VLOOKUP($C149,'PORTIFÓLIO'!C:V,5,0),"")</f>
        <v>📄 Ver bula</v>
      </c>
      <c r="H149" s="254">
        <f t="array" ref="H149">IFERROR(INDEX('PORTIFÓLIO'!$H$4:$H$433,MATCH($C149,'PORTIFÓLIO'!$C$4:$C$433,0)),"")</f>
        <v>0.5</v>
      </c>
      <c r="I149" s="255">
        <v>0.5</v>
      </c>
      <c r="J149" s="218">
        <f t="shared" ref="J149:J163" si="18">I149*$B$2</f>
        <v>65</v>
      </c>
      <c r="K149" s="219">
        <f t="array" ref="K149">IFERROR(I149*INDEX('PORTIFÓLIO'!$S$4:$S$433,MATCH($C149,'PORTIFÓLIO'!$C$4:$C$433,0)),"")</f>
        <v>17.66448</v>
      </c>
      <c r="L149" s="219">
        <f t="array" ref="L149">IFERROR(J149*INDEX('PORTIFÓLIO'!$S$4:$S$433,MATCH($C149,'PORTIFÓLIO'!$C$4:$C$433,0)),"")</f>
        <v>2296.3824</v>
      </c>
      <c r="M149" s="220"/>
      <c r="N149" s="220"/>
      <c r="O149" s="220"/>
      <c r="P149" s="220"/>
      <c r="Q149" s="220"/>
      <c r="R149" s="220"/>
      <c r="S149" s="220"/>
      <c r="T149" s="220"/>
      <c r="U149" s="220"/>
      <c r="V149" s="220"/>
      <c r="W149" s="220"/>
    </row>
    <row r="150" ht="15.75" customHeight="1" outlineLevel="1">
      <c r="A150" s="211"/>
      <c r="B150" s="212" t="s">
        <v>0</v>
      </c>
      <c r="C150" s="213" t="s">
        <v>572</v>
      </c>
      <c r="D150" s="214" t="str">
        <f>IFERROR(VLOOKUP($C150,'PORTIFÓLIO'!C:V,2,0),"")</f>
        <v>CLOROTALONIL</v>
      </c>
      <c r="E150" s="211">
        <f>IFERROR(VLOOKUP($C150,'PORTIFÓLIO'!C:V,3,0),"")</f>
        <v>720</v>
      </c>
      <c r="F150" s="211" t="str">
        <f>IFERROR(VLOOKUP($C150,'PORTIFÓLIO'!C:V,4,0),"")</f>
        <v>KG</v>
      </c>
      <c r="G150" s="225" t="str">
        <f>IFERROR(VLOOKUP($C150,'PORTIFÓLIO'!C:V,5,0),"")</f>
        <v>📄 Ver bula</v>
      </c>
      <c r="H150" s="254">
        <f t="array" ref="H150">IFERROR(INDEX('PORTIFÓLIO'!$H$4:$H$433,MATCH($C150,'PORTIFÓLIO'!$C$4:$C$433,0)),"")</f>
        <v>1.5</v>
      </c>
      <c r="I150" s="255">
        <v>1.5</v>
      </c>
      <c r="J150" s="218">
        <f t="shared" si="18"/>
        <v>195</v>
      </c>
      <c r="K150" s="219">
        <f t="array" ref="K150">IFERROR(I150*INDEX('PORTIFÓLIO'!$S$4:$S$433,MATCH($C150,'PORTIFÓLIO'!$C$4:$C$433,0)),"")</f>
        <v>36.34416</v>
      </c>
      <c r="L150" s="219">
        <f t="array" ref="L150">IFERROR(J150*INDEX('PORTIFÓLIO'!$S$4:$S$433,MATCH($C150,'PORTIFÓLIO'!$C$4:$C$433,0)),"")</f>
        <v>4724.7408</v>
      </c>
      <c r="M150" s="220"/>
      <c r="N150" s="220"/>
      <c r="O150" s="220"/>
      <c r="P150" s="220"/>
      <c r="Q150" s="220"/>
      <c r="R150" s="220"/>
      <c r="S150" s="220"/>
      <c r="T150" s="220"/>
      <c r="U150" s="220"/>
      <c r="V150" s="220"/>
      <c r="W150" s="220"/>
    </row>
    <row r="151" ht="15.75" customHeight="1" outlineLevel="1">
      <c r="A151" s="211"/>
      <c r="B151" s="212" t="s">
        <v>6</v>
      </c>
      <c r="C151" s="213" t="s">
        <v>354</v>
      </c>
      <c r="D151" s="214" t="str">
        <f>IFERROR(VLOOKUP($C151,'PORTIFÓLIO'!C:V,2,0),"")</f>
        <v>OLEO MINERAL</v>
      </c>
      <c r="E151" s="211">
        <f>IFERROR(VLOOKUP($C151,'PORTIFÓLIO'!C:V,3,0),"")</f>
        <v>761</v>
      </c>
      <c r="F151" s="211" t="str">
        <f>IFERROR(VLOOKUP($C151,'PORTIFÓLIO'!C:V,4,0),"")</f>
        <v>L</v>
      </c>
      <c r="G151" s="225" t="str">
        <f>IFERROR(VLOOKUP($C151,'PORTIFÓLIO'!C:V,5,0),"")</f>
        <v>📄 Ver bula</v>
      </c>
      <c r="H151" s="254">
        <f t="array" ref="H151">IFERROR(INDEX('PORTIFÓLIO'!$H$4:$H$433,MATCH($C151,'PORTIFÓLIO'!$C$4:$C$433,0)),"")</f>
        <v>0.2</v>
      </c>
      <c r="I151" s="255">
        <v>0.2</v>
      </c>
      <c r="J151" s="218">
        <f t="shared" si="18"/>
        <v>26</v>
      </c>
      <c r="K151" s="219">
        <f t="array" ref="K151">IFERROR(I151*INDEX('PORTIFÓLIO'!$S$4:$S$433,MATCH($C151,'PORTIFÓLIO'!$C$4:$C$433,0)),"")</f>
        <v>3.206</v>
      </c>
      <c r="L151" s="219">
        <f t="array" ref="L151">IFERROR(J151*INDEX('PORTIFÓLIO'!$S$4:$S$433,MATCH($C151,'PORTIFÓLIO'!$C$4:$C$433,0)),"")</f>
        <v>416.78</v>
      </c>
      <c r="M151" s="220"/>
      <c r="N151" s="220"/>
      <c r="O151" s="220"/>
      <c r="P151" s="220"/>
      <c r="Q151" s="220"/>
      <c r="R151" s="220"/>
      <c r="S151" s="220"/>
      <c r="T151" s="220"/>
      <c r="U151" s="220"/>
      <c r="V151" s="220"/>
      <c r="W151" s="220"/>
    </row>
    <row r="152" ht="15.75" customHeight="1" outlineLevel="1">
      <c r="A152" s="211"/>
      <c r="B152" s="212" t="s">
        <v>2</v>
      </c>
      <c r="C152" s="213" t="s">
        <v>752</v>
      </c>
      <c r="D152" s="214" t="str">
        <f>IFERROR(VLOOKUP($C152,'PORTIFÓLIO'!C:V,2,0),"")</f>
        <v>ACEFATO</v>
      </c>
      <c r="E152" s="211">
        <f>IFERROR(VLOOKUP($C152,'PORTIFÓLIO'!C:V,3,0),"")</f>
        <v>970</v>
      </c>
      <c r="F152" s="211" t="str">
        <f>IFERROR(VLOOKUP($C152,'PORTIFÓLIO'!C:V,4,0),"")</f>
        <v>L</v>
      </c>
      <c r="G152" s="225" t="str">
        <f>IFERROR(VLOOKUP($C152,'PORTIFÓLIO'!C:V,5,0),"")</f>
        <v>📄 Ver bula</v>
      </c>
      <c r="H152" s="254">
        <f t="array" ref="H152">IFERROR(INDEX('PORTIFÓLIO'!$H$4:$H$433,MATCH($C152,'PORTIFÓLIO'!$C$4:$C$433,0)),"")</f>
        <v>0.6</v>
      </c>
      <c r="I152" s="255">
        <v>1.0</v>
      </c>
      <c r="J152" s="218">
        <f t="shared" si="18"/>
        <v>130</v>
      </c>
      <c r="K152" s="219">
        <f t="array" ref="K152">IFERROR(I152*INDEX('PORTIFÓLIO'!$S$4:$S$433,MATCH($C152,'PORTIFÓLIO'!$C$4:$C$433,0)),"")</f>
        <v>37.11</v>
      </c>
      <c r="L152" s="219">
        <f t="array" ref="L152">IFERROR(J152*INDEX('PORTIFÓLIO'!$S$4:$S$433,MATCH($C152,'PORTIFÓLIO'!$C$4:$C$433,0)),"")</f>
        <v>4824.3</v>
      </c>
      <c r="M152" s="220"/>
      <c r="N152" s="220"/>
      <c r="O152" s="220"/>
      <c r="P152" s="220"/>
      <c r="Q152" s="220"/>
      <c r="R152" s="220"/>
      <c r="S152" s="220"/>
      <c r="T152" s="220"/>
      <c r="U152" s="220"/>
      <c r="V152" s="220"/>
      <c r="W152" s="220"/>
    </row>
    <row r="153" ht="15.75" customHeight="1" outlineLevel="1">
      <c r="A153" s="211"/>
      <c r="B153" s="212"/>
      <c r="C153" s="213"/>
      <c r="D153" s="214" t="str">
        <f>IFERROR(VLOOKUP($C153,'PORTIFÓLIO'!C:V,2,0),"")</f>
        <v/>
      </c>
      <c r="E153" s="211" t="str">
        <f>IFERROR(VLOOKUP($C153,'PORTIFÓLIO'!C:V,3,0),"")</f>
        <v/>
      </c>
      <c r="F153" s="211" t="str">
        <f>IFERROR(VLOOKUP($C153,'PORTIFÓLIO'!C:V,4,0),"")</f>
        <v/>
      </c>
      <c r="G153" s="215" t="str">
        <f>IFERROR(VLOOKUP($C153,'PORTIFÓLIO'!C:V,5,0),"")</f>
        <v/>
      </c>
      <c r="H153" s="254" t="str">
        <f t="array" ref="H153">IFERROR(INDEX('PORTIFÓLIO'!$H$4:$H$433,MATCH($C153,'PORTIFÓLIO'!$C$4:$C$433,0)),"")</f>
        <v/>
      </c>
      <c r="I153" s="256"/>
      <c r="J153" s="218">
        <f t="shared" si="18"/>
        <v>0</v>
      </c>
      <c r="K153" s="219" t="str">
        <f t="array" ref="K153">IFERROR(I153*INDEX('PORTIFÓLIO'!$S$4:$S$433,MATCH($C153,'PORTIFÓLIO'!$C$4:$C$433,0)),"")</f>
        <v/>
      </c>
      <c r="L153" s="219" t="str">
        <f t="array" ref="L153">IFERROR(J153*INDEX('PORTIFÓLIO'!$S$4:$S$433,MATCH($C153,'PORTIFÓLIO'!$C$4:$C$433,0)),"")</f>
        <v/>
      </c>
      <c r="M153" s="220"/>
      <c r="N153" s="220"/>
      <c r="O153" s="220"/>
      <c r="P153" s="220"/>
      <c r="Q153" s="220"/>
      <c r="R153" s="220"/>
      <c r="S153" s="220"/>
      <c r="T153" s="220"/>
      <c r="U153" s="220"/>
      <c r="V153" s="220"/>
      <c r="W153" s="220"/>
    </row>
    <row r="154" ht="15.75" customHeight="1" outlineLevel="1">
      <c r="A154" s="211"/>
      <c r="B154" s="212"/>
      <c r="C154" s="213"/>
      <c r="D154" s="214" t="str">
        <f>IFERROR(VLOOKUP($C154,'PORTIFÓLIO'!C:V,2,0),"")</f>
        <v/>
      </c>
      <c r="E154" s="211" t="str">
        <f>IFERROR(VLOOKUP($C154,'PORTIFÓLIO'!C:V,3,0),"")</f>
        <v/>
      </c>
      <c r="F154" s="211" t="str">
        <f>IFERROR(VLOOKUP($C154,'PORTIFÓLIO'!C:V,4,0),"")</f>
        <v/>
      </c>
      <c r="G154" s="215" t="str">
        <f>IFERROR(VLOOKUP($C154,'PORTIFÓLIO'!C:V,5,0),"")</f>
        <v/>
      </c>
      <c r="H154" s="254" t="str">
        <f t="array" ref="H154">IFERROR(INDEX('PORTIFÓLIO'!$H$4:$H$433,MATCH($C154,'PORTIFÓLIO'!$C$4:$C$433,0)),"")</f>
        <v/>
      </c>
      <c r="I154" s="256"/>
      <c r="J154" s="218">
        <f t="shared" si="18"/>
        <v>0</v>
      </c>
      <c r="K154" s="219" t="str">
        <f t="array" ref="K154">IFERROR(I154*INDEX('PORTIFÓLIO'!$S$4:$S$433,MATCH($C154,'PORTIFÓLIO'!$C$4:$C$433,0)),"")</f>
        <v/>
      </c>
      <c r="L154" s="219" t="str">
        <f t="array" ref="L154">IFERROR(J154*INDEX('PORTIFÓLIO'!$S$4:$S$433,MATCH($C154,'PORTIFÓLIO'!$C$4:$C$433,0)),"")</f>
        <v/>
      </c>
      <c r="M154" s="220"/>
      <c r="N154" s="220"/>
      <c r="O154" s="220"/>
      <c r="P154" s="220"/>
      <c r="Q154" s="220"/>
      <c r="R154" s="220"/>
      <c r="S154" s="220"/>
      <c r="T154" s="220"/>
      <c r="U154" s="220"/>
      <c r="V154" s="220"/>
      <c r="W154" s="220"/>
    </row>
    <row r="155" ht="15.75" customHeight="1" outlineLevel="1">
      <c r="A155" s="211"/>
      <c r="B155" s="212"/>
      <c r="C155" s="213"/>
      <c r="D155" s="214" t="str">
        <f>IFERROR(VLOOKUP($C155,'PORTIFÓLIO'!C:V,2,0),"")</f>
        <v/>
      </c>
      <c r="E155" s="211" t="str">
        <f>IFERROR(VLOOKUP($C155,'PORTIFÓLIO'!C:V,3,0),"")</f>
        <v/>
      </c>
      <c r="F155" s="211" t="str">
        <f>IFERROR(VLOOKUP($C155,'PORTIFÓLIO'!C:V,4,0),"")</f>
        <v/>
      </c>
      <c r="G155" s="215" t="str">
        <f>IFERROR(VLOOKUP($C155,'PORTIFÓLIO'!C:V,5,0),"")</f>
        <v/>
      </c>
      <c r="H155" s="254" t="str">
        <f t="array" ref="H155">IFERROR(INDEX('PORTIFÓLIO'!$H$4:$H$433,MATCH($C155,'PORTIFÓLIO'!$C$4:$C$433,0)),"")</f>
        <v/>
      </c>
      <c r="I155" s="256"/>
      <c r="J155" s="218">
        <f t="shared" si="18"/>
        <v>0</v>
      </c>
      <c r="K155" s="219" t="str">
        <f t="array" ref="K155">IFERROR(I155*INDEX('PORTIFÓLIO'!$S$4:$S$433,MATCH($C155,'PORTIFÓLIO'!$C$4:$C$433,0)),"")</f>
        <v/>
      </c>
      <c r="L155" s="219" t="str">
        <f t="array" ref="L155">IFERROR(J155*INDEX('PORTIFÓLIO'!$S$4:$S$433,MATCH($C155,'PORTIFÓLIO'!$C$4:$C$433,0)),"")</f>
        <v/>
      </c>
      <c r="M155" s="220"/>
      <c r="N155" s="220"/>
      <c r="O155" s="220"/>
      <c r="P155" s="220"/>
      <c r="Q155" s="220"/>
      <c r="R155" s="220"/>
      <c r="S155" s="220"/>
      <c r="T155" s="220"/>
      <c r="U155" s="220"/>
      <c r="V155" s="220"/>
      <c r="W155" s="220"/>
    </row>
    <row r="156" ht="15.75" customHeight="1" outlineLevel="1">
      <c r="A156" s="211"/>
      <c r="B156" s="212"/>
      <c r="C156" s="213"/>
      <c r="D156" s="214" t="str">
        <f>IFERROR(VLOOKUP($C156,'PORTIFÓLIO'!C:V,2,0),"")</f>
        <v/>
      </c>
      <c r="E156" s="211" t="str">
        <f>IFERROR(VLOOKUP($C156,'PORTIFÓLIO'!C:V,3,0),"")</f>
        <v/>
      </c>
      <c r="F156" s="211" t="str">
        <f>IFERROR(VLOOKUP($C156,'PORTIFÓLIO'!C:V,4,0),"")</f>
        <v/>
      </c>
      <c r="G156" s="215" t="str">
        <f>IFERROR(VLOOKUP($C156,'PORTIFÓLIO'!C:V,5,0),"")</f>
        <v/>
      </c>
      <c r="H156" s="254" t="str">
        <f t="array" ref="H156">IFERROR(INDEX('PORTIFÓLIO'!$H$4:$H$433,MATCH($C156,'PORTIFÓLIO'!$C$4:$C$433,0)),"")</f>
        <v/>
      </c>
      <c r="I156" s="256"/>
      <c r="J156" s="218">
        <f t="shared" si="18"/>
        <v>0</v>
      </c>
      <c r="K156" s="219" t="str">
        <f t="array" ref="K156">IFERROR(I156*INDEX('PORTIFÓLIO'!$S$4:$S$433,MATCH($C156,'PORTIFÓLIO'!$C$4:$C$433,0)),"")</f>
        <v/>
      </c>
      <c r="L156" s="219" t="str">
        <f t="array" ref="L156">IFERROR(J156*INDEX('PORTIFÓLIO'!$S$4:$S$433,MATCH($C156,'PORTIFÓLIO'!$C$4:$C$433,0)),"")</f>
        <v/>
      </c>
      <c r="M156" s="220"/>
      <c r="N156" s="220"/>
      <c r="O156" s="220"/>
      <c r="P156" s="220"/>
      <c r="Q156" s="220"/>
      <c r="R156" s="220"/>
      <c r="S156" s="220"/>
      <c r="T156" s="220"/>
      <c r="U156" s="220"/>
      <c r="V156" s="220"/>
      <c r="W156" s="220"/>
    </row>
    <row r="157" ht="15.75" customHeight="1" outlineLevel="1">
      <c r="A157" s="211"/>
      <c r="B157" s="212"/>
      <c r="C157" s="213"/>
      <c r="D157" s="214" t="str">
        <f>IFERROR(VLOOKUP($C157,'PORTIFÓLIO'!C:V,2,0),"")</f>
        <v/>
      </c>
      <c r="E157" s="211" t="str">
        <f>IFERROR(VLOOKUP($C157,'PORTIFÓLIO'!C:V,3,0),"")</f>
        <v/>
      </c>
      <c r="F157" s="211" t="str">
        <f>IFERROR(VLOOKUP($C157,'PORTIFÓLIO'!C:V,4,0),"")</f>
        <v/>
      </c>
      <c r="G157" s="215" t="str">
        <f>IFERROR(VLOOKUP($C157,'PORTIFÓLIO'!C:V,5,0),"")</f>
        <v/>
      </c>
      <c r="H157" s="254" t="str">
        <f t="array" ref="H157">IFERROR(INDEX('PORTIFÓLIO'!$H$4:$H$433,MATCH($C157,'PORTIFÓLIO'!$C$4:$C$433,0)),"")</f>
        <v/>
      </c>
      <c r="I157" s="255"/>
      <c r="J157" s="218">
        <f t="shared" si="18"/>
        <v>0</v>
      </c>
      <c r="K157" s="219" t="str">
        <f t="array" ref="K157">IFERROR(I157*INDEX('PORTIFÓLIO'!$S$4:$S$433,MATCH($C157,'PORTIFÓLIO'!$C$4:$C$433,0)),"")</f>
        <v/>
      </c>
      <c r="L157" s="219" t="str">
        <f t="array" ref="L157">IFERROR(J157*INDEX('PORTIFÓLIO'!$S$4:$S$433,MATCH($C157,'PORTIFÓLIO'!$C$4:$C$433,0)),"")</f>
        <v/>
      </c>
      <c r="M157" s="220"/>
      <c r="N157" s="220"/>
      <c r="O157" s="220"/>
      <c r="P157" s="220"/>
      <c r="Q157" s="220"/>
      <c r="R157" s="220"/>
      <c r="S157" s="220"/>
      <c r="T157" s="220"/>
      <c r="U157" s="220"/>
      <c r="V157" s="220"/>
      <c r="W157" s="220"/>
    </row>
    <row r="158" ht="15.75" customHeight="1" outlineLevel="1">
      <c r="A158" s="211"/>
      <c r="B158" s="212"/>
      <c r="C158" s="213"/>
      <c r="D158" s="214" t="str">
        <f>IFERROR(VLOOKUP($C158,'PORTIFÓLIO'!C:V,2,0),"")</f>
        <v/>
      </c>
      <c r="E158" s="211" t="str">
        <f>IFERROR(VLOOKUP($C158,'PORTIFÓLIO'!C:V,3,0),"")</f>
        <v/>
      </c>
      <c r="F158" s="211" t="str">
        <f>IFERROR(VLOOKUP($C158,'PORTIFÓLIO'!C:V,4,0),"")</f>
        <v/>
      </c>
      <c r="G158" s="215" t="str">
        <f>IFERROR(VLOOKUP($C158,'PORTIFÓLIO'!C:V,5,0),"")</f>
        <v/>
      </c>
      <c r="H158" s="254" t="str">
        <f t="array" ref="H158">IFERROR(INDEX('PORTIFÓLIO'!$H$4:$H$433,MATCH($C158,'PORTIFÓLIO'!$C$4:$C$433,0)),"")</f>
        <v/>
      </c>
      <c r="I158" s="256"/>
      <c r="J158" s="218">
        <f t="shared" si="18"/>
        <v>0</v>
      </c>
      <c r="K158" s="219" t="str">
        <f t="array" ref="K158">IFERROR(I158*INDEX('PORTIFÓLIO'!$S$4:$S$433,MATCH($C158,'PORTIFÓLIO'!$C$4:$C$433,0)),"")</f>
        <v/>
      </c>
      <c r="L158" s="219" t="str">
        <f t="array" ref="L158">IFERROR(J158*INDEX('PORTIFÓLIO'!$S$4:$S$433,MATCH($C158,'PORTIFÓLIO'!$C$4:$C$433,0)),"")</f>
        <v/>
      </c>
      <c r="M158" s="220"/>
      <c r="N158" s="220"/>
      <c r="O158" s="220"/>
      <c r="P158" s="220"/>
      <c r="Q158" s="220"/>
      <c r="R158" s="220"/>
      <c r="S158" s="220"/>
      <c r="T158" s="220"/>
      <c r="U158" s="220"/>
      <c r="V158" s="220"/>
      <c r="W158" s="220"/>
    </row>
    <row r="159" ht="15.75" customHeight="1" outlineLevel="1">
      <c r="A159" s="211"/>
      <c r="B159" s="212"/>
      <c r="C159" s="213"/>
      <c r="D159" s="214" t="str">
        <f>IFERROR(VLOOKUP($C159,'PORTIFÓLIO'!C:V,2,0),"")</f>
        <v/>
      </c>
      <c r="E159" s="211" t="str">
        <f>IFERROR(VLOOKUP($C159,'PORTIFÓLIO'!C:V,3,0),"")</f>
        <v/>
      </c>
      <c r="F159" s="211" t="str">
        <f>IFERROR(VLOOKUP($C159,'PORTIFÓLIO'!C:V,4,0),"")</f>
        <v/>
      </c>
      <c r="G159" s="215" t="str">
        <f>IFERROR(VLOOKUP($C159,'PORTIFÓLIO'!C:V,5,0),"")</f>
        <v/>
      </c>
      <c r="H159" s="254" t="str">
        <f t="array" ref="H159">IFERROR(INDEX('PORTIFÓLIO'!$H$4:$H$433,MATCH($C159,'PORTIFÓLIO'!$C$4:$C$433,0)),"")</f>
        <v/>
      </c>
      <c r="I159" s="256"/>
      <c r="J159" s="218">
        <f t="shared" si="18"/>
        <v>0</v>
      </c>
      <c r="K159" s="219" t="str">
        <f t="array" ref="K159">IFERROR(I159*INDEX('PORTIFÓLIO'!$S$4:$S$433,MATCH($C159,'PORTIFÓLIO'!$C$4:$C$433,0)),"")</f>
        <v/>
      </c>
      <c r="L159" s="219" t="str">
        <f t="array" ref="L159">IFERROR(J159*INDEX('PORTIFÓLIO'!$S$4:$S$433,MATCH($C159,'PORTIFÓLIO'!$C$4:$C$433,0)),"")</f>
        <v/>
      </c>
      <c r="M159" s="220"/>
      <c r="N159" s="220"/>
      <c r="O159" s="220"/>
      <c r="P159" s="220"/>
      <c r="Q159" s="220"/>
      <c r="R159" s="220"/>
      <c r="S159" s="220"/>
      <c r="T159" s="220"/>
      <c r="U159" s="220"/>
      <c r="V159" s="220"/>
      <c r="W159" s="220"/>
    </row>
    <row r="160" ht="15.75" customHeight="1" outlineLevel="1">
      <c r="A160" s="211"/>
      <c r="B160" s="212"/>
      <c r="C160" s="213"/>
      <c r="D160" s="214" t="str">
        <f>IFERROR(VLOOKUP($C160,'PORTIFÓLIO'!C:V,2,0),"")</f>
        <v/>
      </c>
      <c r="E160" s="211" t="str">
        <f>IFERROR(VLOOKUP($C160,'PORTIFÓLIO'!C:V,3,0),"")</f>
        <v/>
      </c>
      <c r="F160" s="211" t="str">
        <f>IFERROR(VLOOKUP($C160,'PORTIFÓLIO'!C:V,4,0),"")</f>
        <v/>
      </c>
      <c r="G160" s="215" t="str">
        <f>IFERROR(VLOOKUP($C160,'PORTIFÓLIO'!C:V,5,0),"")</f>
        <v/>
      </c>
      <c r="H160" s="254" t="str">
        <f t="array" ref="H160">IFERROR(INDEX('PORTIFÓLIO'!$H$4:$H$433,MATCH($C160,'PORTIFÓLIO'!$C$4:$C$433,0)),"")</f>
        <v/>
      </c>
      <c r="I160" s="256"/>
      <c r="J160" s="218">
        <f t="shared" si="18"/>
        <v>0</v>
      </c>
      <c r="K160" s="219" t="str">
        <f t="array" ref="K160">IFERROR(I160*INDEX('PORTIFÓLIO'!$S$4:$S$433,MATCH($C160,'PORTIFÓLIO'!$C$4:$C$433,0)),"")</f>
        <v/>
      </c>
      <c r="L160" s="219" t="str">
        <f t="array" ref="L160">IFERROR(J160*INDEX('PORTIFÓLIO'!$S$4:$S$433,MATCH($C160,'PORTIFÓLIO'!$C$4:$C$433,0)),"")</f>
        <v/>
      </c>
      <c r="M160" s="220"/>
      <c r="N160" s="220"/>
      <c r="O160" s="220"/>
      <c r="P160" s="220"/>
      <c r="Q160" s="220"/>
      <c r="R160" s="220"/>
      <c r="S160" s="220"/>
      <c r="T160" s="220"/>
      <c r="U160" s="220"/>
      <c r="V160" s="220"/>
      <c r="W160" s="220"/>
    </row>
    <row r="161" ht="15.75" customHeight="1" outlineLevel="1">
      <c r="A161" s="211"/>
      <c r="B161" s="212"/>
      <c r="C161" s="213"/>
      <c r="D161" s="214" t="str">
        <f>IFERROR(VLOOKUP($C161,'PORTIFÓLIO'!C:V,2,0),"")</f>
        <v/>
      </c>
      <c r="E161" s="211" t="str">
        <f>IFERROR(VLOOKUP($C161,'PORTIFÓLIO'!C:V,3,0),"")</f>
        <v/>
      </c>
      <c r="F161" s="211" t="str">
        <f>IFERROR(VLOOKUP($C161,'PORTIFÓLIO'!C:V,4,0),"")</f>
        <v/>
      </c>
      <c r="G161" s="215" t="str">
        <f>IFERROR(VLOOKUP($C161,'PORTIFÓLIO'!C:V,5,0),"")</f>
        <v/>
      </c>
      <c r="H161" s="254" t="str">
        <f t="array" ref="H161">IFERROR(INDEX('PORTIFÓLIO'!$H$4:$H$433,MATCH($C161,'PORTIFÓLIO'!$C$4:$C$433,0)),"")</f>
        <v/>
      </c>
      <c r="I161" s="256"/>
      <c r="J161" s="218">
        <f t="shared" si="18"/>
        <v>0</v>
      </c>
      <c r="K161" s="219" t="str">
        <f t="array" ref="K161">IFERROR(I161*INDEX('PORTIFÓLIO'!$S$4:$S$433,MATCH($C161,'PORTIFÓLIO'!$C$4:$C$433,0)),"")</f>
        <v/>
      </c>
      <c r="L161" s="219" t="str">
        <f t="array" ref="L161">IFERROR(J161*INDEX('PORTIFÓLIO'!$S$4:$S$433,MATCH($C161,'PORTIFÓLIO'!$C$4:$C$433,0)),"")</f>
        <v/>
      </c>
      <c r="M161" s="220"/>
      <c r="N161" s="220"/>
      <c r="O161" s="220"/>
      <c r="P161" s="220"/>
      <c r="Q161" s="220"/>
      <c r="R161" s="220"/>
      <c r="S161" s="220"/>
      <c r="T161" s="220"/>
      <c r="U161" s="220"/>
      <c r="V161" s="220"/>
      <c r="W161" s="220"/>
    </row>
    <row r="162" ht="15.75" customHeight="1" outlineLevel="1">
      <c r="A162" s="211"/>
      <c r="B162" s="212"/>
      <c r="C162" s="213"/>
      <c r="D162" s="214" t="str">
        <f>IFERROR(VLOOKUP($C162,'PORTIFÓLIO'!C:V,2,0),"")</f>
        <v/>
      </c>
      <c r="E162" s="211" t="str">
        <f>IFERROR(VLOOKUP($C162,'PORTIFÓLIO'!C:V,3,0),"")</f>
        <v/>
      </c>
      <c r="F162" s="211" t="str">
        <f>IFERROR(VLOOKUP($C162,'PORTIFÓLIO'!C:V,4,0),"")</f>
        <v/>
      </c>
      <c r="G162" s="215" t="str">
        <f>IFERROR(VLOOKUP($C162,'PORTIFÓLIO'!C:V,5,0),"")</f>
        <v/>
      </c>
      <c r="H162" s="254" t="str">
        <f t="array" ref="H162">IFERROR(INDEX('PORTIFÓLIO'!$H$4:$H$433,MATCH($C162,'PORTIFÓLIO'!$C$4:$C$433,0)),"")</f>
        <v/>
      </c>
      <c r="I162" s="256"/>
      <c r="J162" s="218">
        <f t="shared" si="18"/>
        <v>0</v>
      </c>
      <c r="K162" s="219" t="str">
        <f t="array" ref="K162">IFERROR(I162*INDEX('PORTIFÓLIO'!$S$4:$S$433,MATCH($C162,'PORTIFÓLIO'!$C$4:$C$433,0)),"")</f>
        <v/>
      </c>
      <c r="L162" s="219" t="str">
        <f t="array" ref="L162">IFERROR(J162*INDEX('PORTIFÓLIO'!$S$4:$S$433,MATCH($C162,'PORTIFÓLIO'!$C$4:$C$433,0)),"")</f>
        <v/>
      </c>
      <c r="M162" s="220"/>
      <c r="N162" s="220"/>
      <c r="O162" s="220"/>
      <c r="P162" s="220"/>
      <c r="Q162" s="220"/>
      <c r="R162" s="220"/>
      <c r="S162" s="220"/>
      <c r="T162" s="220"/>
      <c r="U162" s="220"/>
      <c r="V162" s="220"/>
      <c r="W162" s="220"/>
    </row>
    <row r="163" ht="15.75" customHeight="1" outlineLevel="1">
      <c r="A163" s="211"/>
      <c r="B163" s="212"/>
      <c r="C163" s="213"/>
      <c r="D163" s="214" t="str">
        <f>IFERROR(VLOOKUP($C163,'PORTIFÓLIO'!C:V,2,0),"")</f>
        <v/>
      </c>
      <c r="E163" s="211" t="str">
        <f>IFERROR(VLOOKUP($C163,'PORTIFÓLIO'!C:V,3,0),"")</f>
        <v/>
      </c>
      <c r="F163" s="211" t="str">
        <f>IFERROR(VLOOKUP($C163,'PORTIFÓLIO'!C:V,4,0),"")</f>
        <v/>
      </c>
      <c r="G163" s="215" t="str">
        <f>IFERROR(VLOOKUP($C163,'PORTIFÓLIO'!C:V,5,0),"")</f>
        <v/>
      </c>
      <c r="H163" s="254" t="str">
        <f t="array" ref="H163">IFERROR(INDEX('PORTIFÓLIO'!$H$4:$H$433,MATCH($C163,'PORTIFÓLIO'!$C$4:$C$433,0)),"")</f>
        <v/>
      </c>
      <c r="I163" s="256"/>
      <c r="J163" s="218">
        <f t="shared" si="18"/>
        <v>0</v>
      </c>
      <c r="K163" s="219" t="str">
        <f t="array" ref="K163">IFERROR(I163*INDEX('PORTIFÓLIO'!$S$4:$S$433,MATCH($C163,'PORTIFÓLIO'!$C$4:$C$433,0)),"")</f>
        <v/>
      </c>
      <c r="L163" s="219" t="str">
        <f t="array" ref="L163">IFERROR(J163*INDEX('PORTIFÓLIO'!$S$4:$S$433,MATCH($C163,'PORTIFÓLIO'!$C$4:$C$433,0)),"")</f>
        <v/>
      </c>
      <c r="M163" s="220"/>
      <c r="N163" s="220"/>
      <c r="O163" s="220"/>
      <c r="P163" s="220"/>
      <c r="Q163" s="220"/>
      <c r="R163" s="220"/>
      <c r="S163" s="220"/>
      <c r="T163" s="220"/>
      <c r="U163" s="220"/>
      <c r="V163" s="220"/>
      <c r="W163" s="220"/>
    </row>
    <row r="164" ht="15.75" customHeight="1" outlineLevel="1">
      <c r="A164" s="211"/>
      <c r="B164" s="227"/>
      <c r="C164" s="211"/>
      <c r="D164" s="214" t="str">
        <f>IFERROR(VLOOKUP($C164,'PORTIFÓLIO'!C:V,2,0),"")</f>
        <v/>
      </c>
      <c r="E164" s="211" t="str">
        <f>IFERROR(VLOOKUP($C164,'PORTIFÓLIO'!C:V,3,0),"")</f>
        <v/>
      </c>
      <c r="F164" s="211" t="str">
        <f>IFERROR(VLOOKUP($C164,'PORTIFÓLIO'!C:V,4,0),"")</f>
        <v/>
      </c>
      <c r="G164" s="215" t="str">
        <f>IFERROR(VLOOKUP($C164,'PORTIFÓLIO'!C:V,5,0),"")</f>
        <v/>
      </c>
      <c r="H164" s="254" t="str">
        <f t="array" ref="H164">IFERROR(INDEX('PORTIFÓLIO'!$H$4:$H$433,MATCH($C164,'PORTIFÓLIO'!$C$4:$C$433,0)),"")</f>
        <v/>
      </c>
      <c r="I164" s="256"/>
      <c r="J164" s="218"/>
      <c r="K164" s="219" t="str">
        <f t="array" ref="K164">IFERROR(I164*INDEX('PORTIFÓLIO'!$S$4:$S$433,MATCH($C164,'PORTIFÓLIO'!$C$4:$C$433,0)),"")</f>
        <v/>
      </c>
      <c r="L164" s="219" t="str">
        <f t="array" ref="L164">IFERROR(J164*INDEX('PORTIFÓLIO'!$S$4:$S$433,MATCH($C164,'PORTIFÓLIO'!$C$4:$C$433,0)),"")</f>
        <v/>
      </c>
      <c r="M164" s="220"/>
      <c r="N164" s="220"/>
      <c r="O164" s="220"/>
      <c r="P164" s="220"/>
      <c r="Q164" s="220"/>
      <c r="R164" s="220"/>
      <c r="S164" s="220"/>
      <c r="T164" s="220"/>
      <c r="U164" s="220"/>
      <c r="V164" s="220"/>
      <c r="W164" s="220"/>
    </row>
    <row r="165" ht="15.75" customHeight="1">
      <c r="A165" s="229" t="s">
        <v>1193</v>
      </c>
      <c r="B165" s="230"/>
      <c r="C165" s="231"/>
      <c r="D165" s="232"/>
      <c r="E165" s="231"/>
      <c r="F165" s="231"/>
      <c r="G165" s="233"/>
      <c r="H165" s="233"/>
      <c r="I165" s="258"/>
      <c r="J165" s="236"/>
      <c r="K165" s="237">
        <f t="shared" ref="K165:L165" si="19">SUBTOTAL(9,K166:K179)</f>
        <v>0</v>
      </c>
      <c r="L165" s="237">
        <f t="shared" si="19"/>
        <v>0</v>
      </c>
      <c r="M165" s="220"/>
      <c r="N165" s="220"/>
      <c r="O165" s="220"/>
      <c r="P165" s="220"/>
      <c r="Q165" s="220"/>
      <c r="R165" s="220"/>
      <c r="S165" s="220"/>
      <c r="T165" s="220"/>
      <c r="U165" s="220"/>
      <c r="V165" s="220"/>
      <c r="W165" s="220"/>
    </row>
    <row r="166" ht="15.75" customHeight="1" outlineLevel="1">
      <c r="A166" s="213"/>
      <c r="B166" s="212"/>
      <c r="C166" s="213"/>
      <c r="D166" s="214" t="str">
        <f>IFERROR(VLOOKUP($C166,'PORTIFÓLIO'!C:V,2,0),"")</f>
        <v/>
      </c>
      <c r="E166" s="211" t="str">
        <f>IFERROR(VLOOKUP($C166,'PORTIFÓLIO'!C:V,3,0),"")</f>
        <v/>
      </c>
      <c r="F166" s="211" t="str">
        <f>IFERROR(VLOOKUP($C166,'PORTIFÓLIO'!C:V,4,0),"")</f>
        <v/>
      </c>
      <c r="G166" s="215" t="str">
        <f>IFERROR(VLOOKUP($C166,'PORTIFÓLIO'!C:V,5,0),"")</f>
        <v/>
      </c>
      <c r="H166" s="254" t="str">
        <f t="array" ref="H166">IFERROR(INDEX('PORTIFÓLIO'!$H$4:$H$433,MATCH($C166,'PORTIFÓLIO'!$C$4:$C$433,0)),"")</f>
        <v/>
      </c>
      <c r="I166" s="255"/>
      <c r="J166" s="218">
        <f t="shared" ref="J166:J181" si="20">I166*$B$2</f>
        <v>0</v>
      </c>
      <c r="K166" s="219" t="str">
        <f t="array" ref="K166">IFERROR(I166*INDEX('PORTIFÓLIO'!$S$4:$S$433,MATCH($C166,'PORTIFÓLIO'!$C$4:$C$433,0)),"")</f>
        <v/>
      </c>
      <c r="L166" s="219" t="str">
        <f t="array" ref="L166">IFERROR(J166*INDEX('PORTIFÓLIO'!$S$4:$S$433,MATCH($C166,'PORTIFÓLIO'!$C$4:$C$433,0)),"")</f>
        <v/>
      </c>
      <c r="M166" s="220"/>
      <c r="N166" s="220"/>
      <c r="O166" s="220"/>
      <c r="P166" s="220"/>
      <c r="Q166" s="220"/>
      <c r="R166" s="220"/>
      <c r="S166" s="220"/>
      <c r="T166" s="220"/>
      <c r="U166" s="220"/>
      <c r="V166" s="220"/>
      <c r="W166" s="220"/>
    </row>
    <row r="167" ht="15.75" customHeight="1" outlineLevel="1">
      <c r="A167" s="211"/>
      <c r="B167" s="212"/>
      <c r="C167" s="213"/>
      <c r="D167" s="214" t="str">
        <f>IFERROR(VLOOKUP($C167,'PORTIFÓLIO'!C:V,2,0),"")</f>
        <v/>
      </c>
      <c r="E167" s="211" t="str">
        <f>IFERROR(VLOOKUP($C167,'PORTIFÓLIO'!C:V,3,0),"")</f>
        <v/>
      </c>
      <c r="F167" s="211" t="str">
        <f>IFERROR(VLOOKUP($C167,'PORTIFÓLIO'!C:V,4,0),"")</f>
        <v/>
      </c>
      <c r="G167" s="215" t="str">
        <f>IFERROR(VLOOKUP($C167,'PORTIFÓLIO'!C:V,5,0),"")</f>
        <v/>
      </c>
      <c r="H167" s="254" t="str">
        <f t="array" ref="H167">IFERROR(INDEX('PORTIFÓLIO'!$H$4:$H$433,MATCH($C167,'PORTIFÓLIO'!$C$4:$C$433,0)),"")</f>
        <v/>
      </c>
      <c r="I167" s="255"/>
      <c r="J167" s="218">
        <f t="shared" si="20"/>
        <v>0</v>
      </c>
      <c r="K167" s="219" t="str">
        <f t="array" ref="K167">IFERROR(I167*INDEX('PORTIFÓLIO'!$S$4:$S$433,MATCH($C167,'PORTIFÓLIO'!$C$4:$C$433,0)),"")</f>
        <v/>
      </c>
      <c r="L167" s="219" t="str">
        <f t="array" ref="L167">IFERROR(J167*INDEX('PORTIFÓLIO'!$S$4:$S$433,MATCH($C167,'PORTIFÓLIO'!$C$4:$C$433,0)),"")</f>
        <v/>
      </c>
      <c r="M167" s="220"/>
      <c r="N167" s="220"/>
      <c r="O167" s="220"/>
      <c r="P167" s="220"/>
      <c r="Q167" s="220"/>
      <c r="R167" s="220"/>
      <c r="S167" s="220"/>
      <c r="T167" s="220"/>
      <c r="U167" s="220"/>
      <c r="V167" s="220"/>
      <c r="W167" s="220"/>
    </row>
    <row r="168" ht="15.75" customHeight="1" outlineLevel="1">
      <c r="A168" s="211"/>
      <c r="B168" s="212"/>
      <c r="C168" s="213"/>
      <c r="D168" s="214" t="str">
        <f>IFERROR(VLOOKUP($C168,'PORTIFÓLIO'!C:V,2,0),"")</f>
        <v/>
      </c>
      <c r="E168" s="211" t="str">
        <f>IFERROR(VLOOKUP($C168,'PORTIFÓLIO'!C:V,3,0),"")</f>
        <v/>
      </c>
      <c r="F168" s="211" t="str">
        <f>IFERROR(VLOOKUP($C168,'PORTIFÓLIO'!C:V,4,0),"")</f>
        <v/>
      </c>
      <c r="G168" s="215" t="str">
        <f>IFERROR(VLOOKUP($C168,'PORTIFÓLIO'!C:V,5,0),"")</f>
        <v/>
      </c>
      <c r="H168" s="254" t="str">
        <f t="array" ref="H168">IFERROR(INDEX('PORTIFÓLIO'!$H$4:$H$433,MATCH($C168,'PORTIFÓLIO'!$C$4:$C$433,0)),"")</f>
        <v/>
      </c>
      <c r="I168" s="256"/>
      <c r="J168" s="218">
        <f t="shared" si="20"/>
        <v>0</v>
      </c>
      <c r="K168" s="219" t="str">
        <f t="array" ref="K168">IFERROR(I168*INDEX('PORTIFÓLIO'!$S$4:$S$433,MATCH($C168,'PORTIFÓLIO'!$C$4:$C$433,0)),"")</f>
        <v/>
      </c>
      <c r="L168" s="219" t="str">
        <f t="array" ref="L168">IFERROR(J168*INDEX('PORTIFÓLIO'!$S$4:$S$433,MATCH($C168,'PORTIFÓLIO'!$C$4:$C$433,0)),"")</f>
        <v/>
      </c>
      <c r="M168" s="220"/>
      <c r="N168" s="220"/>
      <c r="O168" s="220"/>
      <c r="P168" s="220"/>
      <c r="Q168" s="220"/>
      <c r="R168" s="220"/>
      <c r="S168" s="220"/>
      <c r="T168" s="220"/>
      <c r="U168" s="220"/>
      <c r="V168" s="220"/>
      <c r="W168" s="220"/>
    </row>
    <row r="169" ht="15.75" customHeight="1" outlineLevel="1">
      <c r="A169" s="211"/>
      <c r="B169" s="212"/>
      <c r="C169" s="213"/>
      <c r="D169" s="214" t="str">
        <f>IFERROR(VLOOKUP($C169,'PORTIFÓLIO'!C:V,2,0),"")</f>
        <v/>
      </c>
      <c r="E169" s="211" t="str">
        <f>IFERROR(VLOOKUP($C169,'PORTIFÓLIO'!C:V,3,0),"")</f>
        <v/>
      </c>
      <c r="F169" s="211" t="str">
        <f>IFERROR(VLOOKUP($C169,'PORTIFÓLIO'!C:V,4,0),"")</f>
        <v/>
      </c>
      <c r="G169" s="215" t="str">
        <f>IFERROR(VLOOKUP($C169,'PORTIFÓLIO'!C:V,5,0),"")</f>
        <v/>
      </c>
      <c r="H169" s="254" t="str">
        <f t="array" ref="H169">IFERROR(INDEX('PORTIFÓLIO'!$H$4:$H$433,MATCH($C169,'PORTIFÓLIO'!$C$4:$C$433,0)),"")</f>
        <v/>
      </c>
      <c r="I169" s="256"/>
      <c r="J169" s="218">
        <f t="shared" si="20"/>
        <v>0</v>
      </c>
      <c r="K169" s="219" t="str">
        <f t="array" ref="K169">IFERROR(I169*INDEX('PORTIFÓLIO'!$S$4:$S$433,MATCH($C169,'PORTIFÓLIO'!$C$4:$C$433,0)),"")</f>
        <v/>
      </c>
      <c r="L169" s="219" t="str">
        <f t="array" ref="L169">IFERROR(J169*INDEX('PORTIFÓLIO'!$S$4:$S$433,MATCH($C169,'PORTIFÓLIO'!$C$4:$C$433,0)),"")</f>
        <v/>
      </c>
      <c r="M169" s="220"/>
      <c r="N169" s="220"/>
      <c r="O169" s="220"/>
      <c r="P169" s="220"/>
      <c r="Q169" s="220"/>
      <c r="R169" s="220"/>
      <c r="S169" s="220"/>
      <c r="T169" s="220"/>
      <c r="U169" s="220"/>
      <c r="V169" s="220"/>
      <c r="W169" s="220"/>
    </row>
    <row r="170" ht="15.75" customHeight="1" outlineLevel="1">
      <c r="A170" s="211"/>
      <c r="B170" s="212"/>
      <c r="C170" s="213"/>
      <c r="D170" s="214" t="str">
        <f>IFERROR(VLOOKUP($C170,'PORTIFÓLIO'!C:V,2,0),"")</f>
        <v/>
      </c>
      <c r="E170" s="211" t="str">
        <f>IFERROR(VLOOKUP($C170,'PORTIFÓLIO'!C:V,3,0),"")</f>
        <v/>
      </c>
      <c r="F170" s="211" t="str">
        <f>IFERROR(VLOOKUP($C170,'PORTIFÓLIO'!C:V,4,0),"")</f>
        <v/>
      </c>
      <c r="G170" s="215" t="str">
        <f>IFERROR(VLOOKUP($C170,'PORTIFÓLIO'!C:V,5,0),"")</f>
        <v/>
      </c>
      <c r="H170" s="254" t="str">
        <f t="array" ref="H170">IFERROR(INDEX('PORTIFÓLIO'!$H$4:$H$433,MATCH($C170,'PORTIFÓLIO'!$C$4:$C$433,0)),"")</f>
        <v/>
      </c>
      <c r="I170" s="256"/>
      <c r="J170" s="218">
        <f t="shared" si="20"/>
        <v>0</v>
      </c>
      <c r="K170" s="219" t="str">
        <f t="array" ref="K170">IFERROR(I170*INDEX('PORTIFÓLIO'!$S$4:$S$433,MATCH($C170,'PORTIFÓLIO'!$C$4:$C$433,0)),"")</f>
        <v/>
      </c>
      <c r="L170" s="219" t="str">
        <f t="array" ref="L170">IFERROR(J170*INDEX('PORTIFÓLIO'!$S$4:$S$433,MATCH($C170,'PORTIFÓLIO'!$C$4:$C$433,0)),"")</f>
        <v/>
      </c>
      <c r="M170" s="220"/>
      <c r="N170" s="220"/>
      <c r="O170" s="220"/>
      <c r="P170" s="220"/>
      <c r="Q170" s="220"/>
      <c r="R170" s="220"/>
      <c r="S170" s="220"/>
      <c r="T170" s="220"/>
      <c r="U170" s="220"/>
      <c r="V170" s="220"/>
      <c r="W170" s="220"/>
    </row>
    <row r="171" ht="15.75" customHeight="1" outlineLevel="1">
      <c r="A171" s="211"/>
      <c r="B171" s="212"/>
      <c r="C171" s="213"/>
      <c r="D171" s="214" t="str">
        <f>IFERROR(VLOOKUP($C171,'PORTIFÓLIO'!C:V,2,0),"")</f>
        <v/>
      </c>
      <c r="E171" s="211" t="str">
        <f>IFERROR(VLOOKUP($C171,'PORTIFÓLIO'!C:V,3,0),"")</f>
        <v/>
      </c>
      <c r="F171" s="211" t="str">
        <f>IFERROR(VLOOKUP($C171,'PORTIFÓLIO'!C:V,4,0),"")</f>
        <v/>
      </c>
      <c r="G171" s="215" t="str">
        <f>IFERROR(VLOOKUP($C171,'PORTIFÓLIO'!C:V,5,0),"")</f>
        <v/>
      </c>
      <c r="H171" s="254" t="str">
        <f t="array" ref="H171">IFERROR(INDEX('PORTIFÓLIO'!$H$4:$H$433,MATCH($C171,'PORTIFÓLIO'!$C$4:$C$433,0)),"")</f>
        <v/>
      </c>
      <c r="I171" s="256"/>
      <c r="J171" s="218">
        <f t="shared" si="20"/>
        <v>0</v>
      </c>
      <c r="K171" s="219" t="str">
        <f t="array" ref="K171">IFERROR(I171*INDEX('PORTIFÓLIO'!$S$4:$S$433,MATCH($C171,'PORTIFÓLIO'!$C$4:$C$433,0)),"")</f>
        <v/>
      </c>
      <c r="L171" s="219" t="str">
        <f t="array" ref="L171">IFERROR(J171*INDEX('PORTIFÓLIO'!$S$4:$S$433,MATCH($C171,'PORTIFÓLIO'!$C$4:$C$433,0)),"")</f>
        <v/>
      </c>
      <c r="M171" s="220"/>
      <c r="N171" s="220"/>
      <c r="O171" s="220"/>
      <c r="P171" s="220"/>
      <c r="Q171" s="220"/>
      <c r="R171" s="220"/>
      <c r="S171" s="220"/>
      <c r="T171" s="220"/>
      <c r="U171" s="220"/>
      <c r="V171" s="220"/>
      <c r="W171" s="220"/>
    </row>
    <row r="172" ht="15.75" customHeight="1" outlineLevel="1">
      <c r="A172" s="211"/>
      <c r="B172" s="212"/>
      <c r="C172" s="213"/>
      <c r="D172" s="214" t="str">
        <f>IFERROR(VLOOKUP($C172,'PORTIFÓLIO'!C:V,2,0),"")</f>
        <v/>
      </c>
      <c r="E172" s="211" t="str">
        <f>IFERROR(VLOOKUP($C172,'PORTIFÓLIO'!C:V,3,0),"")</f>
        <v/>
      </c>
      <c r="F172" s="211" t="str">
        <f>IFERROR(VLOOKUP($C172,'PORTIFÓLIO'!C:V,4,0),"")</f>
        <v/>
      </c>
      <c r="G172" s="215" t="str">
        <f>IFERROR(VLOOKUP($C172,'PORTIFÓLIO'!C:V,5,0),"")</f>
        <v/>
      </c>
      <c r="H172" s="254" t="str">
        <f t="array" ref="H172">IFERROR(INDEX('PORTIFÓLIO'!$H$4:$H$433,MATCH($C172,'PORTIFÓLIO'!$C$4:$C$433,0)),"")</f>
        <v/>
      </c>
      <c r="I172" s="256"/>
      <c r="J172" s="218">
        <f t="shared" si="20"/>
        <v>0</v>
      </c>
      <c r="K172" s="219" t="str">
        <f t="array" ref="K172">IFERROR(I172*INDEX('PORTIFÓLIO'!$S$4:$S$433,MATCH($C172,'PORTIFÓLIO'!$C$4:$C$433,0)),"")</f>
        <v/>
      </c>
      <c r="L172" s="219" t="str">
        <f t="array" ref="L172">IFERROR(J172*INDEX('PORTIFÓLIO'!$S$4:$S$433,MATCH($C172,'PORTIFÓLIO'!$C$4:$C$433,0)),"")</f>
        <v/>
      </c>
      <c r="M172" s="220"/>
      <c r="N172" s="220"/>
      <c r="O172" s="220"/>
      <c r="P172" s="220"/>
      <c r="Q172" s="220"/>
      <c r="R172" s="220"/>
      <c r="S172" s="220"/>
      <c r="T172" s="220"/>
      <c r="U172" s="220"/>
      <c r="V172" s="220"/>
      <c r="W172" s="220"/>
    </row>
    <row r="173" ht="15.75" customHeight="1" outlineLevel="1">
      <c r="A173" s="211"/>
      <c r="B173" s="212"/>
      <c r="C173" s="213"/>
      <c r="D173" s="214" t="str">
        <f>IFERROR(VLOOKUP($C173,'PORTIFÓLIO'!C:V,2,0),"")</f>
        <v/>
      </c>
      <c r="E173" s="211" t="str">
        <f>IFERROR(VLOOKUP($C173,'PORTIFÓLIO'!C:V,3,0),"")</f>
        <v/>
      </c>
      <c r="F173" s="211" t="str">
        <f>IFERROR(VLOOKUP($C173,'PORTIFÓLIO'!C:V,4,0),"")</f>
        <v/>
      </c>
      <c r="G173" s="215" t="str">
        <f>IFERROR(VLOOKUP($C173,'PORTIFÓLIO'!C:V,5,0),"")</f>
        <v/>
      </c>
      <c r="H173" s="254" t="str">
        <f t="array" ref="H173">IFERROR(INDEX('PORTIFÓLIO'!$H$4:$H$433,MATCH($C173,'PORTIFÓLIO'!$C$4:$C$433,0)),"")</f>
        <v/>
      </c>
      <c r="I173" s="256"/>
      <c r="J173" s="218">
        <f t="shared" si="20"/>
        <v>0</v>
      </c>
      <c r="K173" s="219" t="str">
        <f t="array" ref="K173">IFERROR(I173*INDEX('PORTIFÓLIO'!$S$4:$S$433,MATCH($C173,'PORTIFÓLIO'!$C$4:$C$433,0)),"")</f>
        <v/>
      </c>
      <c r="L173" s="219" t="str">
        <f t="array" ref="L173">IFERROR(J173*INDEX('PORTIFÓLIO'!$S$4:$S$433,MATCH($C173,'PORTIFÓLIO'!$C$4:$C$433,0)),"")</f>
        <v/>
      </c>
      <c r="M173" s="220"/>
      <c r="N173" s="220"/>
      <c r="O173" s="220"/>
      <c r="P173" s="220"/>
      <c r="Q173" s="220"/>
      <c r="R173" s="220"/>
      <c r="S173" s="220"/>
      <c r="T173" s="220"/>
      <c r="U173" s="220"/>
      <c r="V173" s="220"/>
      <c r="W173" s="220"/>
    </row>
    <row r="174" ht="15.75" customHeight="1" outlineLevel="1">
      <c r="A174" s="211"/>
      <c r="B174" s="212"/>
      <c r="C174" s="213"/>
      <c r="D174" s="214" t="str">
        <f>IFERROR(VLOOKUP($C174,'PORTIFÓLIO'!C:V,2,0),"")</f>
        <v/>
      </c>
      <c r="E174" s="211" t="str">
        <f>IFERROR(VLOOKUP($C174,'PORTIFÓLIO'!C:V,3,0),"")</f>
        <v/>
      </c>
      <c r="F174" s="211" t="str">
        <f>IFERROR(VLOOKUP($C174,'PORTIFÓLIO'!C:V,4,0),"")</f>
        <v/>
      </c>
      <c r="G174" s="215" t="str">
        <f>IFERROR(VLOOKUP($C174,'PORTIFÓLIO'!C:V,5,0),"")</f>
        <v/>
      </c>
      <c r="H174" s="254" t="str">
        <f t="array" ref="H174">IFERROR(INDEX('PORTIFÓLIO'!$H$4:$H$433,MATCH($C174,'PORTIFÓLIO'!$C$4:$C$433,0)),"")</f>
        <v/>
      </c>
      <c r="I174" s="255"/>
      <c r="J174" s="218">
        <f t="shared" si="20"/>
        <v>0</v>
      </c>
      <c r="K174" s="219" t="str">
        <f t="array" ref="K174">IFERROR(I174*INDEX('PORTIFÓLIO'!$S$4:$S$433,MATCH($C174,'PORTIFÓLIO'!$C$4:$C$433,0)),"")</f>
        <v/>
      </c>
      <c r="L174" s="219" t="str">
        <f t="array" ref="L174">IFERROR(J174*INDEX('PORTIFÓLIO'!$S$4:$S$433,MATCH($C174,'PORTIFÓLIO'!$C$4:$C$433,0)),"")</f>
        <v/>
      </c>
      <c r="M174" s="220"/>
      <c r="N174" s="220"/>
      <c r="O174" s="220"/>
      <c r="P174" s="220"/>
      <c r="Q174" s="220"/>
      <c r="R174" s="220"/>
      <c r="S174" s="220"/>
      <c r="T174" s="220"/>
      <c r="U174" s="220"/>
      <c r="V174" s="220"/>
      <c r="W174" s="220"/>
    </row>
    <row r="175" ht="15.75" customHeight="1" outlineLevel="1">
      <c r="A175" s="211"/>
      <c r="B175" s="212"/>
      <c r="C175" s="213"/>
      <c r="D175" s="214" t="str">
        <f>IFERROR(VLOOKUP($C175,'PORTIFÓLIO'!C:V,2,0),"")</f>
        <v/>
      </c>
      <c r="E175" s="211" t="str">
        <f>IFERROR(VLOOKUP($C175,'PORTIFÓLIO'!C:V,3,0),"")</f>
        <v/>
      </c>
      <c r="F175" s="211" t="str">
        <f>IFERROR(VLOOKUP($C175,'PORTIFÓLIO'!C:V,4,0),"")</f>
        <v/>
      </c>
      <c r="G175" s="215" t="str">
        <f>IFERROR(VLOOKUP($C175,'PORTIFÓLIO'!C:V,5,0),"")</f>
        <v/>
      </c>
      <c r="H175" s="254" t="str">
        <f t="array" ref="H175">IFERROR(INDEX('PORTIFÓLIO'!$H$4:$H$433,MATCH($C175,'PORTIFÓLIO'!$C$4:$C$433,0)),"")</f>
        <v/>
      </c>
      <c r="I175" s="256"/>
      <c r="J175" s="218">
        <f t="shared" si="20"/>
        <v>0</v>
      </c>
      <c r="K175" s="219" t="str">
        <f t="array" ref="K175">IFERROR(I175*INDEX('PORTIFÓLIO'!$S$4:$S$433,MATCH($C175,'PORTIFÓLIO'!$C$4:$C$433,0)),"")</f>
        <v/>
      </c>
      <c r="L175" s="219" t="str">
        <f t="array" ref="L175">IFERROR(J175*INDEX('PORTIFÓLIO'!$S$4:$S$433,MATCH($C175,'PORTIFÓLIO'!$C$4:$C$433,0)),"")</f>
        <v/>
      </c>
      <c r="M175" s="220"/>
      <c r="N175" s="220"/>
      <c r="O175" s="220"/>
      <c r="P175" s="220"/>
      <c r="Q175" s="220"/>
      <c r="R175" s="220"/>
      <c r="S175" s="220"/>
      <c r="T175" s="220"/>
      <c r="U175" s="220"/>
      <c r="V175" s="220"/>
      <c r="W175" s="220"/>
    </row>
    <row r="176" ht="15.75" customHeight="1" outlineLevel="1">
      <c r="A176" s="211"/>
      <c r="B176" s="212"/>
      <c r="C176" s="213"/>
      <c r="D176" s="214" t="str">
        <f>IFERROR(VLOOKUP($C176,'PORTIFÓLIO'!C:V,2,0),"")</f>
        <v/>
      </c>
      <c r="E176" s="211" t="str">
        <f>IFERROR(VLOOKUP($C176,'PORTIFÓLIO'!C:V,3,0),"")</f>
        <v/>
      </c>
      <c r="F176" s="211" t="str">
        <f>IFERROR(VLOOKUP($C176,'PORTIFÓLIO'!C:V,4,0),"")</f>
        <v/>
      </c>
      <c r="G176" s="215" t="str">
        <f>IFERROR(VLOOKUP($C176,'PORTIFÓLIO'!C:V,5,0),"")</f>
        <v/>
      </c>
      <c r="H176" s="254" t="str">
        <f t="array" ref="H176">IFERROR(INDEX('PORTIFÓLIO'!$H$4:$H$433,MATCH($C176,'PORTIFÓLIO'!$C$4:$C$433,0)),"")</f>
        <v/>
      </c>
      <c r="I176" s="256"/>
      <c r="J176" s="218">
        <f t="shared" si="20"/>
        <v>0</v>
      </c>
      <c r="K176" s="219" t="str">
        <f t="array" ref="K176">IFERROR(I176*INDEX('PORTIFÓLIO'!$S$4:$S$433,MATCH($C176,'PORTIFÓLIO'!$C$4:$C$433,0)),"")</f>
        <v/>
      </c>
      <c r="L176" s="219" t="str">
        <f t="array" ref="L176">IFERROR(J176*INDEX('PORTIFÓLIO'!$S$4:$S$433,MATCH($C176,'PORTIFÓLIO'!$C$4:$C$433,0)),"")</f>
        <v/>
      </c>
      <c r="M176" s="220"/>
      <c r="N176" s="220"/>
      <c r="O176" s="220"/>
      <c r="P176" s="220"/>
      <c r="Q176" s="220"/>
      <c r="R176" s="220"/>
      <c r="S176" s="220"/>
      <c r="T176" s="220"/>
      <c r="U176" s="220"/>
      <c r="V176" s="220"/>
      <c r="W176" s="220"/>
    </row>
    <row r="177" ht="15.75" customHeight="1" outlineLevel="1">
      <c r="A177" s="211"/>
      <c r="B177" s="212"/>
      <c r="C177" s="213"/>
      <c r="D177" s="214" t="str">
        <f>IFERROR(VLOOKUP($C177,'PORTIFÓLIO'!C:V,2,0),"")</f>
        <v/>
      </c>
      <c r="E177" s="211" t="str">
        <f>IFERROR(VLOOKUP($C177,'PORTIFÓLIO'!C:V,3,0),"")</f>
        <v/>
      </c>
      <c r="F177" s="211" t="str">
        <f>IFERROR(VLOOKUP($C177,'PORTIFÓLIO'!C:V,4,0),"")</f>
        <v/>
      </c>
      <c r="G177" s="215" t="str">
        <f>IFERROR(VLOOKUP($C177,'PORTIFÓLIO'!C:V,5,0),"")</f>
        <v/>
      </c>
      <c r="H177" s="254" t="str">
        <f t="array" ref="H177">IFERROR(INDEX('PORTIFÓLIO'!$H$4:$H$433,MATCH($C177,'PORTIFÓLIO'!$C$4:$C$433,0)),"")</f>
        <v/>
      </c>
      <c r="I177" s="256"/>
      <c r="J177" s="218">
        <f t="shared" si="20"/>
        <v>0</v>
      </c>
      <c r="K177" s="219" t="str">
        <f t="array" ref="K177">IFERROR(I177*INDEX('PORTIFÓLIO'!$S$4:$S$433,MATCH($C177,'PORTIFÓLIO'!$C$4:$C$433,0)),"")</f>
        <v/>
      </c>
      <c r="L177" s="219" t="str">
        <f t="array" ref="L177">IFERROR(J177*INDEX('PORTIFÓLIO'!$S$4:$S$433,MATCH($C177,'PORTIFÓLIO'!$C$4:$C$433,0)),"")</f>
        <v/>
      </c>
      <c r="M177" s="220"/>
      <c r="N177" s="220"/>
      <c r="O177" s="220"/>
      <c r="P177" s="220"/>
      <c r="Q177" s="220"/>
      <c r="R177" s="220"/>
      <c r="S177" s="220"/>
      <c r="T177" s="220"/>
      <c r="U177" s="220"/>
      <c r="V177" s="220"/>
      <c r="W177" s="220"/>
    </row>
    <row r="178" ht="15.75" customHeight="1" outlineLevel="1">
      <c r="A178" s="211"/>
      <c r="B178" s="212"/>
      <c r="C178" s="213"/>
      <c r="D178" s="214" t="str">
        <f>IFERROR(VLOOKUP($C178,'PORTIFÓLIO'!C:V,2,0),"")</f>
        <v/>
      </c>
      <c r="E178" s="211" t="str">
        <f>IFERROR(VLOOKUP($C178,'PORTIFÓLIO'!C:V,3,0),"")</f>
        <v/>
      </c>
      <c r="F178" s="211" t="str">
        <f>IFERROR(VLOOKUP($C178,'PORTIFÓLIO'!C:V,4,0),"")</f>
        <v/>
      </c>
      <c r="G178" s="215" t="str">
        <f>IFERROR(VLOOKUP($C178,'PORTIFÓLIO'!C:V,5,0),"")</f>
        <v/>
      </c>
      <c r="H178" s="254" t="str">
        <f t="array" ref="H178">IFERROR(INDEX('PORTIFÓLIO'!$H$4:$H$433,MATCH($C178,'PORTIFÓLIO'!$C$4:$C$433,0)),"")</f>
        <v/>
      </c>
      <c r="I178" s="256"/>
      <c r="J178" s="218">
        <f t="shared" si="20"/>
        <v>0</v>
      </c>
      <c r="K178" s="219" t="str">
        <f t="array" ref="K178">IFERROR(I178*INDEX('PORTIFÓLIO'!$S$4:$S$433,MATCH($C178,'PORTIFÓLIO'!$C$4:$C$433,0)),"")</f>
        <v/>
      </c>
      <c r="L178" s="219" t="str">
        <f t="array" ref="L178">IFERROR(J178*INDEX('PORTIFÓLIO'!$S$4:$S$433,MATCH($C178,'PORTIFÓLIO'!$C$4:$C$433,0)),"")</f>
        <v/>
      </c>
      <c r="M178" s="220"/>
      <c r="N178" s="220"/>
      <c r="O178" s="220"/>
      <c r="P178" s="220"/>
      <c r="Q178" s="220"/>
      <c r="R178" s="220"/>
      <c r="S178" s="220"/>
      <c r="T178" s="220"/>
      <c r="U178" s="220"/>
      <c r="V178" s="220"/>
      <c r="W178" s="220"/>
    </row>
    <row r="179" ht="15.75" customHeight="1" outlineLevel="1">
      <c r="A179" s="211"/>
      <c r="B179" s="212"/>
      <c r="C179" s="213"/>
      <c r="D179" s="214" t="str">
        <f>IFERROR(VLOOKUP($C179,'PORTIFÓLIO'!C:V,2,0),"")</f>
        <v/>
      </c>
      <c r="E179" s="211" t="str">
        <f>IFERROR(VLOOKUP($C179,'PORTIFÓLIO'!C:V,3,0),"")</f>
        <v/>
      </c>
      <c r="F179" s="211" t="str">
        <f>IFERROR(VLOOKUP($C179,'PORTIFÓLIO'!C:V,4,0),"")</f>
        <v/>
      </c>
      <c r="G179" s="215" t="str">
        <f>IFERROR(VLOOKUP($C179,'PORTIFÓLIO'!C:V,5,0),"")</f>
        <v/>
      </c>
      <c r="H179" s="254" t="str">
        <f t="array" ref="H179">IFERROR(INDEX('PORTIFÓLIO'!$H$4:$H$433,MATCH($C179,'PORTIFÓLIO'!$C$4:$C$433,0)),"")</f>
        <v/>
      </c>
      <c r="I179" s="256"/>
      <c r="J179" s="218">
        <f t="shared" si="20"/>
        <v>0</v>
      </c>
      <c r="K179" s="219" t="str">
        <f t="array" ref="K179">IFERROR(I179*INDEX('PORTIFÓLIO'!$S$4:$S$433,MATCH($C179,'PORTIFÓLIO'!$C$4:$C$433,0)),"")</f>
        <v/>
      </c>
      <c r="L179" s="219" t="str">
        <f t="array" ref="L179">IFERROR(J179*INDEX('PORTIFÓLIO'!$S$4:$S$433,MATCH($C179,'PORTIFÓLIO'!$C$4:$C$433,0)),"")</f>
        <v/>
      </c>
      <c r="M179" s="220"/>
      <c r="N179" s="220"/>
      <c r="O179" s="220"/>
      <c r="P179" s="220"/>
      <c r="Q179" s="220"/>
      <c r="R179" s="220"/>
      <c r="S179" s="220"/>
      <c r="T179" s="220"/>
      <c r="U179" s="220"/>
      <c r="V179" s="220"/>
      <c r="W179" s="220"/>
    </row>
    <row r="180" ht="15.75" customHeight="1" outlineLevel="1">
      <c r="A180" s="211"/>
      <c r="B180" s="212"/>
      <c r="C180" s="213"/>
      <c r="D180" s="214" t="str">
        <f>IFERROR(VLOOKUP($C180,'PORTIFÓLIO'!C:V,2,0),"")</f>
        <v/>
      </c>
      <c r="E180" s="211" t="str">
        <f>IFERROR(VLOOKUP($C180,'PORTIFÓLIO'!C:V,3,0),"")</f>
        <v/>
      </c>
      <c r="F180" s="211" t="str">
        <f>IFERROR(VLOOKUP($C180,'PORTIFÓLIO'!C:V,4,0),"")</f>
        <v/>
      </c>
      <c r="G180" s="215" t="str">
        <f>IFERROR(VLOOKUP($C180,'PORTIFÓLIO'!C:V,5,0),"")</f>
        <v/>
      </c>
      <c r="H180" s="254" t="str">
        <f t="array" ref="H180">IFERROR(INDEX('PORTIFÓLIO'!$H$4:$H$433,MATCH($C180,'PORTIFÓLIO'!$C$4:$C$433,0)),"")</f>
        <v/>
      </c>
      <c r="I180" s="256"/>
      <c r="J180" s="218">
        <f t="shared" si="20"/>
        <v>0</v>
      </c>
      <c r="K180" s="219" t="str">
        <f t="array" ref="K180">IFERROR(I180*INDEX('PORTIFÓLIO'!$S$4:$S$433,MATCH($C180,'PORTIFÓLIO'!$C$4:$C$433,0)),"")</f>
        <v/>
      </c>
      <c r="L180" s="219" t="str">
        <f t="array" ref="L180">IFERROR(J180*INDEX('PORTIFÓLIO'!$S$4:$S$433,MATCH($C180,'PORTIFÓLIO'!$C$4:$C$433,0)),"")</f>
        <v/>
      </c>
      <c r="M180" s="220"/>
      <c r="N180" s="220"/>
      <c r="O180" s="220"/>
      <c r="P180" s="220"/>
      <c r="Q180" s="220"/>
      <c r="R180" s="220"/>
      <c r="S180" s="220"/>
      <c r="T180" s="220"/>
      <c r="U180" s="220"/>
      <c r="V180" s="220"/>
      <c r="W180" s="220"/>
    </row>
    <row r="181" ht="15.75" customHeight="1" outlineLevel="1">
      <c r="A181" s="211"/>
      <c r="B181" s="227"/>
      <c r="C181" s="211"/>
      <c r="D181" s="214" t="str">
        <f>IFERROR(VLOOKUP($C181,'PORTIFÓLIO'!C:V,2,0),"")</f>
        <v/>
      </c>
      <c r="E181" s="211" t="str">
        <f>IFERROR(VLOOKUP($C181,'PORTIFÓLIO'!C:V,3,0),"")</f>
        <v/>
      </c>
      <c r="F181" s="211" t="str">
        <f>IFERROR(VLOOKUP($C181,'PORTIFÓLIO'!C:V,4,0),"")</f>
        <v/>
      </c>
      <c r="G181" s="215" t="str">
        <f>IFERROR(VLOOKUP($C181,'PORTIFÓLIO'!C:V,5,0),"")</f>
        <v/>
      </c>
      <c r="H181" s="254" t="str">
        <f t="array" ref="H181">IFERROR(INDEX('PORTIFÓLIO'!$H$4:$H$433,MATCH($C181,'PORTIFÓLIO'!$C$4:$C$433,0)),"")</f>
        <v/>
      </c>
      <c r="I181" s="256"/>
      <c r="J181" s="218">
        <f t="shared" si="20"/>
        <v>0</v>
      </c>
      <c r="K181" s="219" t="str">
        <f t="array" ref="K181">IFERROR(I181*INDEX('PORTIFÓLIO'!$S$4:$S$433,MATCH($C181,'PORTIFÓLIO'!$C$4:$C$433,0)),"")</f>
        <v/>
      </c>
      <c r="L181" s="219" t="str">
        <f t="array" ref="L181">IFERROR(J181*INDEX('PORTIFÓLIO'!$S$4:$S$433,MATCH($C181,'PORTIFÓLIO'!$C$4:$C$433,0)),"")</f>
        <v/>
      </c>
      <c r="M181" s="220"/>
      <c r="N181" s="220"/>
      <c r="O181" s="220"/>
      <c r="P181" s="220"/>
      <c r="Q181" s="220"/>
      <c r="R181" s="220"/>
      <c r="S181" s="220"/>
      <c r="T181" s="220"/>
      <c r="U181" s="220"/>
      <c r="V181" s="220"/>
      <c r="W181" s="220"/>
    </row>
    <row r="182" ht="15.75" customHeight="1">
      <c r="A182" s="229" t="s">
        <v>1194</v>
      </c>
      <c r="B182" s="230"/>
      <c r="C182" s="231"/>
      <c r="D182" s="232"/>
      <c r="E182" s="231"/>
      <c r="F182" s="231"/>
      <c r="G182" s="233"/>
      <c r="H182" s="233"/>
      <c r="I182" s="258"/>
      <c r="J182" s="236"/>
      <c r="K182" s="237">
        <f t="shared" ref="K182:L182" si="21">SUBTOTAL(9,K183:K196)</f>
        <v>0</v>
      </c>
      <c r="L182" s="237">
        <f t="shared" si="21"/>
        <v>0</v>
      </c>
      <c r="M182" s="220"/>
      <c r="N182" s="220"/>
      <c r="O182" s="220"/>
      <c r="P182" s="220"/>
      <c r="Q182" s="220"/>
      <c r="R182" s="220"/>
      <c r="S182" s="220"/>
      <c r="T182" s="220"/>
      <c r="U182" s="220"/>
      <c r="V182" s="220"/>
      <c r="W182" s="220"/>
    </row>
    <row r="183" ht="15.75" customHeight="1" outlineLevel="1">
      <c r="A183" s="213"/>
      <c r="B183" s="212"/>
      <c r="C183" s="213"/>
      <c r="D183" s="214" t="str">
        <f>IFERROR(VLOOKUP($C183,'PORTIFÓLIO'!C:V,2,0),"")</f>
        <v/>
      </c>
      <c r="E183" s="211" t="str">
        <f>IFERROR(VLOOKUP($C183,'PORTIFÓLIO'!C:V,3,0),"")</f>
        <v/>
      </c>
      <c r="F183" s="211" t="str">
        <f>IFERROR(VLOOKUP($C183,'PORTIFÓLIO'!C:V,4,0),"")</f>
        <v/>
      </c>
      <c r="G183" s="215" t="str">
        <f t="array" ref="G183">IFERROR(INDEX('PORTIFÓLIO'!$H$4:$H$433,MATCH($C183,'PORTIFÓLIO'!$C$4:$C$433,0)),"")</f>
        <v/>
      </c>
      <c r="H183" s="254" t="str">
        <f t="array" ref="H183">IFERROR(INDEX('PORTIFÓLIO'!$H$4:$H$433,MATCH($C183,'PORTIFÓLIO'!$C$4:$C$433,0)),"")</f>
        <v/>
      </c>
      <c r="I183" s="255"/>
      <c r="J183" s="218">
        <f t="shared" ref="J183:J199" si="22">I183*$B$2</f>
        <v>0</v>
      </c>
      <c r="K183" s="219" t="str">
        <f t="array" ref="K183">IFERROR(I183*INDEX('PORTIFÓLIO'!$S$4:$S$433,MATCH($C183,'PORTIFÓLIO'!$C$4:$C$433,0)),"")</f>
        <v/>
      </c>
      <c r="L183" s="219" t="str">
        <f t="array" ref="L183">IFERROR(J183*INDEX('PORTIFÓLIO'!$S$4:$S$433,MATCH($C183,'PORTIFÓLIO'!$C$4:$C$433,0)),"")</f>
        <v/>
      </c>
      <c r="M183" s="220"/>
      <c r="N183" s="220"/>
      <c r="O183" s="220"/>
      <c r="P183" s="220"/>
      <c r="Q183" s="220"/>
      <c r="R183" s="220"/>
      <c r="S183" s="220"/>
      <c r="T183" s="220"/>
      <c r="U183" s="220"/>
      <c r="V183" s="220"/>
      <c r="W183" s="220"/>
    </row>
    <row r="184" ht="15.75" customHeight="1" outlineLevel="1">
      <c r="A184" s="211"/>
      <c r="B184" s="212"/>
      <c r="C184" s="213"/>
      <c r="D184" s="214" t="str">
        <f>IFERROR(VLOOKUP($C184,'PORTIFÓLIO'!C:V,2,0),"")</f>
        <v/>
      </c>
      <c r="E184" s="211" t="str">
        <f>IFERROR(VLOOKUP($C184,'PORTIFÓLIO'!C:V,3,0),"")</f>
        <v/>
      </c>
      <c r="F184" s="211" t="str">
        <f>IFERROR(VLOOKUP($C184,'PORTIFÓLIO'!C:V,4,0),"")</f>
        <v/>
      </c>
      <c r="G184" s="215" t="str">
        <f t="array" ref="G184">IFERROR(INDEX('PORTIFÓLIO'!$H$4:$H$433,MATCH($C184,'PORTIFÓLIO'!$C$4:$C$433,0)),"")</f>
        <v/>
      </c>
      <c r="H184" s="254" t="str">
        <f t="array" ref="H184">IFERROR(INDEX('PORTIFÓLIO'!$H$4:$H$433,MATCH($C184,'PORTIFÓLIO'!$C$4:$C$433,0)),"")</f>
        <v/>
      </c>
      <c r="I184" s="256"/>
      <c r="J184" s="218">
        <f t="shared" si="22"/>
        <v>0</v>
      </c>
      <c r="K184" s="219" t="str">
        <f t="array" ref="K184">IFERROR(I184*INDEX('PORTIFÓLIO'!$S$4:$S$433,MATCH($C184,'PORTIFÓLIO'!$C$4:$C$433,0)),"")</f>
        <v/>
      </c>
      <c r="L184" s="219" t="str">
        <f t="array" ref="L184">IFERROR(J184*INDEX('PORTIFÓLIO'!$S$4:$S$433,MATCH($C184,'PORTIFÓLIO'!$C$4:$C$433,0)),"")</f>
        <v/>
      </c>
      <c r="M184" s="220"/>
      <c r="N184" s="220"/>
      <c r="O184" s="220"/>
      <c r="P184" s="220"/>
      <c r="Q184" s="220"/>
      <c r="R184" s="220"/>
      <c r="S184" s="220"/>
      <c r="T184" s="220"/>
      <c r="U184" s="220"/>
      <c r="V184" s="220"/>
      <c r="W184" s="220"/>
    </row>
    <row r="185" ht="15.75" customHeight="1" outlineLevel="1">
      <c r="A185" s="211"/>
      <c r="B185" s="212"/>
      <c r="C185" s="213"/>
      <c r="D185" s="214" t="str">
        <f>IFERROR(VLOOKUP($C185,'PORTIFÓLIO'!C:V,2,0),"")</f>
        <v/>
      </c>
      <c r="E185" s="211" t="str">
        <f>IFERROR(VLOOKUP($C185,'PORTIFÓLIO'!C:V,3,0),"")</f>
        <v/>
      </c>
      <c r="F185" s="211" t="str">
        <f>IFERROR(VLOOKUP($C185,'PORTIFÓLIO'!C:V,4,0),"")</f>
        <v/>
      </c>
      <c r="G185" s="215" t="str">
        <f t="array" ref="G185">IFERROR(INDEX('PORTIFÓLIO'!$H$4:$H$433,MATCH($C185,'PORTIFÓLIO'!$C$4:$C$433,0)),"")</f>
        <v/>
      </c>
      <c r="H185" s="254" t="str">
        <f t="array" ref="H185">IFERROR(INDEX('PORTIFÓLIO'!$H$4:$H$433,MATCH($C185,'PORTIFÓLIO'!$C$4:$C$433,0)),"")</f>
        <v/>
      </c>
      <c r="I185" s="256"/>
      <c r="J185" s="218">
        <f t="shared" si="22"/>
        <v>0</v>
      </c>
      <c r="K185" s="219" t="str">
        <f t="array" ref="K185">IFERROR(I185*INDEX('PORTIFÓLIO'!$S$4:$S$433,MATCH($C185,'PORTIFÓLIO'!$C$4:$C$433,0)),"")</f>
        <v/>
      </c>
      <c r="L185" s="219" t="str">
        <f t="array" ref="L185">IFERROR(J185*INDEX('PORTIFÓLIO'!$S$4:$S$433,MATCH($C185,'PORTIFÓLIO'!$C$4:$C$433,0)),"")</f>
        <v/>
      </c>
      <c r="M185" s="220"/>
      <c r="N185" s="220"/>
      <c r="O185" s="220"/>
      <c r="P185" s="220"/>
      <c r="Q185" s="220"/>
      <c r="R185" s="220"/>
      <c r="S185" s="220"/>
      <c r="T185" s="220"/>
      <c r="U185" s="220"/>
      <c r="V185" s="220"/>
      <c r="W185" s="220"/>
    </row>
    <row r="186" ht="15.75" customHeight="1" outlineLevel="1">
      <c r="A186" s="211"/>
      <c r="B186" s="212"/>
      <c r="C186" s="213"/>
      <c r="D186" s="214" t="str">
        <f>IFERROR(VLOOKUP($C186,'PORTIFÓLIO'!C:V,2,0),"")</f>
        <v/>
      </c>
      <c r="E186" s="211" t="str">
        <f>IFERROR(VLOOKUP($C186,'PORTIFÓLIO'!C:V,3,0),"")</f>
        <v/>
      </c>
      <c r="F186" s="211" t="str">
        <f>IFERROR(VLOOKUP($C186,'PORTIFÓLIO'!C:V,4,0),"")</f>
        <v/>
      </c>
      <c r="G186" s="215" t="str">
        <f t="array" ref="G186">IFERROR(INDEX('PORTIFÓLIO'!$H$4:$H$433,MATCH($C186,'PORTIFÓLIO'!$C$4:$C$433,0)),"")</f>
        <v/>
      </c>
      <c r="H186" s="254" t="str">
        <f t="array" ref="H186">IFERROR(INDEX('PORTIFÓLIO'!$H$4:$H$433,MATCH($C186,'PORTIFÓLIO'!$C$4:$C$433,0)),"")</f>
        <v/>
      </c>
      <c r="I186" s="256"/>
      <c r="J186" s="218">
        <f t="shared" si="22"/>
        <v>0</v>
      </c>
      <c r="K186" s="219" t="str">
        <f t="array" ref="K186">IFERROR(I186*INDEX('PORTIFÓLIO'!$S$4:$S$433,MATCH($C186,'PORTIFÓLIO'!$C$4:$C$433,0)),"")</f>
        <v/>
      </c>
      <c r="L186" s="219" t="str">
        <f t="array" ref="L186">IFERROR(J186*INDEX('PORTIFÓLIO'!$S$4:$S$433,MATCH($C186,'PORTIFÓLIO'!$C$4:$C$433,0)),"")</f>
        <v/>
      </c>
      <c r="M186" s="220"/>
      <c r="N186" s="220"/>
      <c r="O186" s="220"/>
      <c r="P186" s="220"/>
      <c r="Q186" s="220"/>
      <c r="R186" s="220"/>
      <c r="S186" s="220"/>
      <c r="T186" s="220"/>
      <c r="U186" s="220"/>
      <c r="V186" s="220"/>
      <c r="W186" s="220"/>
    </row>
    <row r="187" ht="15.75" customHeight="1" outlineLevel="1">
      <c r="A187" s="211"/>
      <c r="B187" s="212"/>
      <c r="C187" s="213"/>
      <c r="D187" s="214" t="str">
        <f>IFERROR(VLOOKUP($C187,'PORTIFÓLIO'!C:V,2,0),"")</f>
        <v/>
      </c>
      <c r="E187" s="211" t="str">
        <f>IFERROR(VLOOKUP($C187,'PORTIFÓLIO'!C:V,3,0),"")</f>
        <v/>
      </c>
      <c r="F187" s="211" t="str">
        <f>IFERROR(VLOOKUP($C187,'PORTIFÓLIO'!C:V,4,0),"")</f>
        <v/>
      </c>
      <c r="G187" s="215" t="str">
        <f t="array" ref="G187">IFERROR(INDEX('PORTIFÓLIO'!$H$4:$H$433,MATCH($C187,'PORTIFÓLIO'!$C$4:$C$433,0)),"")</f>
        <v/>
      </c>
      <c r="H187" s="254" t="str">
        <f t="array" ref="H187">IFERROR(INDEX('PORTIFÓLIO'!$H$4:$H$433,MATCH($C187,'PORTIFÓLIO'!$C$4:$C$433,0)),"")</f>
        <v/>
      </c>
      <c r="I187" s="256"/>
      <c r="J187" s="218">
        <f t="shared" si="22"/>
        <v>0</v>
      </c>
      <c r="K187" s="219" t="str">
        <f t="array" ref="K187">IFERROR(I187*INDEX('PORTIFÓLIO'!$S$4:$S$433,MATCH($C187,'PORTIFÓLIO'!$C$4:$C$433,0)),"")</f>
        <v/>
      </c>
      <c r="L187" s="219" t="str">
        <f t="array" ref="L187">IFERROR(J187*INDEX('PORTIFÓLIO'!$S$4:$S$433,MATCH($C187,'PORTIFÓLIO'!$C$4:$C$433,0)),"")</f>
        <v/>
      </c>
      <c r="M187" s="220"/>
      <c r="N187" s="220"/>
      <c r="O187" s="220"/>
      <c r="P187" s="220"/>
      <c r="Q187" s="220"/>
      <c r="R187" s="220"/>
      <c r="S187" s="220"/>
      <c r="T187" s="220"/>
      <c r="U187" s="220"/>
      <c r="V187" s="220"/>
      <c r="W187" s="220"/>
    </row>
    <row r="188" ht="15.75" customHeight="1" outlineLevel="1">
      <c r="A188" s="211"/>
      <c r="B188" s="212"/>
      <c r="C188" s="213"/>
      <c r="D188" s="214" t="str">
        <f>IFERROR(VLOOKUP($C188,'PORTIFÓLIO'!C:V,2,0),"")</f>
        <v/>
      </c>
      <c r="E188" s="211" t="str">
        <f>IFERROR(VLOOKUP($C188,'PORTIFÓLIO'!C:V,3,0),"")</f>
        <v/>
      </c>
      <c r="F188" s="211" t="str">
        <f>IFERROR(VLOOKUP($C188,'PORTIFÓLIO'!C:V,4,0),"")</f>
        <v/>
      </c>
      <c r="G188" s="215" t="str">
        <f t="array" ref="G188">IFERROR(INDEX('PORTIFÓLIO'!$H$4:$H$433,MATCH($C188,'PORTIFÓLIO'!$C$4:$C$433,0)),"")</f>
        <v/>
      </c>
      <c r="H188" s="254" t="str">
        <f t="array" ref="H188">IFERROR(INDEX('PORTIFÓLIO'!$H$4:$H$433,MATCH($C188,'PORTIFÓLIO'!$C$4:$C$433,0)),"")</f>
        <v/>
      </c>
      <c r="I188" s="256"/>
      <c r="J188" s="218">
        <f t="shared" si="22"/>
        <v>0</v>
      </c>
      <c r="K188" s="219" t="str">
        <f t="array" ref="K188">IFERROR(I188*INDEX('PORTIFÓLIO'!$S$4:$S$433,MATCH($C188,'PORTIFÓLIO'!$C$4:$C$433,0)),"")</f>
        <v/>
      </c>
      <c r="L188" s="219" t="str">
        <f t="array" ref="L188">IFERROR(J188*INDEX('PORTIFÓLIO'!$S$4:$S$433,MATCH($C188,'PORTIFÓLIO'!$C$4:$C$433,0)),"")</f>
        <v/>
      </c>
      <c r="M188" s="220"/>
      <c r="N188" s="220"/>
      <c r="O188" s="220"/>
      <c r="P188" s="220"/>
      <c r="Q188" s="220"/>
      <c r="R188" s="220"/>
      <c r="S188" s="220"/>
      <c r="T188" s="220"/>
      <c r="U188" s="220"/>
      <c r="V188" s="220"/>
      <c r="W188" s="220"/>
    </row>
    <row r="189" ht="15.75" customHeight="1" outlineLevel="1">
      <c r="A189" s="211"/>
      <c r="B189" s="212"/>
      <c r="C189" s="213"/>
      <c r="D189" s="214" t="str">
        <f>IFERROR(VLOOKUP($C189,'PORTIFÓLIO'!C:V,2,0),"")</f>
        <v/>
      </c>
      <c r="E189" s="211" t="str">
        <f>IFERROR(VLOOKUP($C189,'PORTIFÓLIO'!C:V,3,0),"")</f>
        <v/>
      </c>
      <c r="F189" s="211" t="str">
        <f>IFERROR(VLOOKUP($C189,'PORTIFÓLIO'!C:V,4,0),"")</f>
        <v/>
      </c>
      <c r="G189" s="215" t="str">
        <f t="array" ref="G189">IFERROR(INDEX('PORTIFÓLIO'!$H$4:$H$433,MATCH($C189,'PORTIFÓLIO'!$C$4:$C$433,0)),"")</f>
        <v/>
      </c>
      <c r="H189" s="254" t="str">
        <f t="array" ref="H189">IFERROR(INDEX('PORTIFÓLIO'!$H$4:$H$433,MATCH($C189,'PORTIFÓLIO'!$C$4:$C$433,0)),"")</f>
        <v/>
      </c>
      <c r="I189" s="256"/>
      <c r="J189" s="218">
        <f t="shared" si="22"/>
        <v>0</v>
      </c>
      <c r="K189" s="219" t="str">
        <f t="array" ref="K189">IFERROR(I189*INDEX('PORTIFÓLIO'!$S$4:$S$433,MATCH($C189,'PORTIFÓLIO'!$C$4:$C$433,0)),"")</f>
        <v/>
      </c>
      <c r="L189" s="219" t="str">
        <f t="array" ref="L189">IFERROR(J189*INDEX('PORTIFÓLIO'!$S$4:$S$433,MATCH($C189,'PORTIFÓLIO'!$C$4:$C$433,0)),"")</f>
        <v/>
      </c>
      <c r="M189" s="220"/>
      <c r="N189" s="220"/>
      <c r="O189" s="220"/>
      <c r="P189" s="220"/>
      <c r="Q189" s="220"/>
      <c r="R189" s="220"/>
      <c r="S189" s="220"/>
      <c r="T189" s="220"/>
      <c r="U189" s="220"/>
      <c r="V189" s="220"/>
      <c r="W189" s="220"/>
    </row>
    <row r="190" ht="15.75" customHeight="1" outlineLevel="1">
      <c r="A190" s="211"/>
      <c r="B190" s="212"/>
      <c r="C190" s="213"/>
      <c r="D190" s="214" t="str">
        <f>IFERROR(VLOOKUP($C190,'PORTIFÓLIO'!C:V,2,0),"")</f>
        <v/>
      </c>
      <c r="E190" s="211" t="str">
        <f>IFERROR(VLOOKUP($C190,'PORTIFÓLIO'!C:V,3,0),"")</f>
        <v/>
      </c>
      <c r="F190" s="211" t="str">
        <f>IFERROR(VLOOKUP($C190,'PORTIFÓLIO'!C:V,4,0),"")</f>
        <v/>
      </c>
      <c r="G190" s="215" t="str">
        <f>IFERROR(VLOOKUP($C190,'PORTIFÓLIO'!C:V,5,0),"")</f>
        <v/>
      </c>
      <c r="H190" s="254" t="str">
        <f t="array" ref="H190">IFERROR(INDEX('PORTIFÓLIO'!$H$4:$H$433,MATCH($C190,'PORTIFÓLIO'!$C$4:$C$433,0)),"")</f>
        <v/>
      </c>
      <c r="I190" s="256"/>
      <c r="J190" s="218">
        <f t="shared" si="22"/>
        <v>0</v>
      </c>
      <c r="K190" s="219" t="str">
        <f t="array" ref="K190">IFERROR(I190*INDEX('PORTIFÓLIO'!$S$4:$S$433,MATCH($C190,'PORTIFÓLIO'!$C$4:$C$433,0)),"")</f>
        <v/>
      </c>
      <c r="L190" s="219" t="str">
        <f t="array" ref="L190">IFERROR(J190*INDEX('PORTIFÓLIO'!$S$4:$S$433,MATCH($C190,'PORTIFÓLIO'!$C$4:$C$433,0)),"")</f>
        <v/>
      </c>
      <c r="M190" s="220"/>
      <c r="N190" s="220"/>
      <c r="O190" s="220"/>
      <c r="P190" s="220"/>
      <c r="Q190" s="220"/>
      <c r="R190" s="220"/>
      <c r="S190" s="220"/>
      <c r="T190" s="220"/>
      <c r="U190" s="220"/>
      <c r="V190" s="220"/>
      <c r="W190" s="220"/>
    </row>
    <row r="191" ht="15.75" customHeight="1" outlineLevel="1">
      <c r="A191" s="211"/>
      <c r="B191" s="212"/>
      <c r="C191" s="213"/>
      <c r="D191" s="214" t="str">
        <f>IFERROR(VLOOKUP($C191,'PORTIFÓLIO'!C:V,2,0),"")</f>
        <v/>
      </c>
      <c r="E191" s="211" t="str">
        <f>IFERROR(VLOOKUP($C191,'PORTIFÓLIO'!C:V,3,0),"")</f>
        <v/>
      </c>
      <c r="F191" s="211" t="str">
        <f>IFERROR(VLOOKUP($C191,'PORTIFÓLIO'!C:V,4,0),"")</f>
        <v/>
      </c>
      <c r="G191" s="215" t="str">
        <f>IFERROR(VLOOKUP($C191,'PORTIFÓLIO'!C:V,5,0),"")</f>
        <v/>
      </c>
      <c r="H191" s="254" t="str">
        <f t="array" ref="H191">IFERROR(INDEX('PORTIFÓLIO'!$H$4:$H$433,MATCH($C191,'PORTIFÓLIO'!$C$4:$C$433,0)),"")</f>
        <v/>
      </c>
      <c r="I191" s="255"/>
      <c r="J191" s="218">
        <f t="shared" si="22"/>
        <v>0</v>
      </c>
      <c r="K191" s="219" t="str">
        <f t="array" ref="K191">IFERROR(I191*INDEX('PORTIFÓLIO'!$S$4:$S$433,MATCH($C191,'PORTIFÓLIO'!$C$4:$C$433,0)),"")</f>
        <v/>
      </c>
      <c r="L191" s="219" t="str">
        <f t="array" ref="L191">IFERROR(J191*INDEX('PORTIFÓLIO'!$S$4:$S$433,MATCH($C191,'PORTIFÓLIO'!$C$4:$C$433,0)),"")</f>
        <v/>
      </c>
      <c r="M191" s="220"/>
      <c r="N191" s="220"/>
      <c r="O191" s="220"/>
      <c r="P191" s="220"/>
      <c r="Q191" s="220"/>
      <c r="R191" s="220"/>
      <c r="S191" s="220"/>
      <c r="T191" s="220"/>
      <c r="U191" s="220"/>
      <c r="V191" s="220"/>
      <c r="W191" s="220"/>
    </row>
    <row r="192" ht="15.75" customHeight="1" outlineLevel="1">
      <c r="A192" s="211"/>
      <c r="B192" s="212"/>
      <c r="C192" s="213"/>
      <c r="D192" s="214" t="str">
        <f>IFERROR(VLOOKUP($C192,'PORTIFÓLIO'!C:V,2,0),"")</f>
        <v/>
      </c>
      <c r="E192" s="211" t="str">
        <f>IFERROR(VLOOKUP($C192,'PORTIFÓLIO'!C:V,3,0),"")</f>
        <v/>
      </c>
      <c r="F192" s="211" t="str">
        <f>IFERROR(VLOOKUP($C192,'PORTIFÓLIO'!C:V,4,0),"")</f>
        <v/>
      </c>
      <c r="G192" s="215" t="str">
        <f>IFERROR(VLOOKUP($C192,'PORTIFÓLIO'!C:V,5,0),"")</f>
        <v/>
      </c>
      <c r="H192" s="254" t="str">
        <f t="array" ref="H192">IFERROR(INDEX('PORTIFÓLIO'!$H$4:$H$433,MATCH($C192,'PORTIFÓLIO'!$C$4:$C$433,0)),"")</f>
        <v/>
      </c>
      <c r="I192" s="256"/>
      <c r="J192" s="218">
        <f t="shared" si="22"/>
        <v>0</v>
      </c>
      <c r="K192" s="219" t="str">
        <f t="array" ref="K192">IFERROR(I192*INDEX('PORTIFÓLIO'!$S$4:$S$433,MATCH($C192,'PORTIFÓLIO'!$C$4:$C$433,0)),"")</f>
        <v/>
      </c>
      <c r="L192" s="219" t="str">
        <f t="array" ref="L192">IFERROR(J192*INDEX('PORTIFÓLIO'!$S$4:$S$433,MATCH($C192,'PORTIFÓLIO'!$C$4:$C$433,0)),"")</f>
        <v/>
      </c>
      <c r="M192" s="220"/>
      <c r="N192" s="220"/>
      <c r="O192" s="220"/>
      <c r="P192" s="220"/>
      <c r="Q192" s="220"/>
      <c r="R192" s="220"/>
      <c r="S192" s="220"/>
      <c r="T192" s="220"/>
      <c r="U192" s="220"/>
      <c r="V192" s="220"/>
      <c r="W192" s="220"/>
    </row>
    <row r="193" ht="15.75" customHeight="1" outlineLevel="1">
      <c r="A193" s="211"/>
      <c r="B193" s="212"/>
      <c r="C193" s="213"/>
      <c r="D193" s="214" t="str">
        <f>IFERROR(VLOOKUP($C193,'PORTIFÓLIO'!C:V,2,0),"")</f>
        <v/>
      </c>
      <c r="E193" s="211" t="str">
        <f>IFERROR(VLOOKUP($C193,'PORTIFÓLIO'!C:V,3,0),"")</f>
        <v/>
      </c>
      <c r="F193" s="211" t="str">
        <f>IFERROR(VLOOKUP($C193,'PORTIFÓLIO'!C:V,4,0),"")</f>
        <v/>
      </c>
      <c r="G193" s="215" t="str">
        <f>IFERROR(VLOOKUP($C193,'PORTIFÓLIO'!C:V,5,0),"")</f>
        <v/>
      </c>
      <c r="H193" s="254" t="str">
        <f t="array" ref="H193">IFERROR(INDEX('PORTIFÓLIO'!$H$4:$H$433,MATCH($C193,'PORTIFÓLIO'!$C$4:$C$433,0)),"")</f>
        <v/>
      </c>
      <c r="I193" s="256"/>
      <c r="J193" s="218">
        <f t="shared" si="22"/>
        <v>0</v>
      </c>
      <c r="K193" s="219" t="str">
        <f t="array" ref="K193">IFERROR(I193*INDEX('PORTIFÓLIO'!$S$4:$S$433,MATCH($C193,'PORTIFÓLIO'!$C$4:$C$433,0)),"")</f>
        <v/>
      </c>
      <c r="L193" s="219" t="str">
        <f t="array" ref="L193">IFERROR(J193*INDEX('PORTIFÓLIO'!$S$4:$S$433,MATCH($C193,'PORTIFÓLIO'!$C$4:$C$433,0)),"")</f>
        <v/>
      </c>
      <c r="M193" s="220"/>
      <c r="N193" s="220"/>
      <c r="O193" s="220"/>
      <c r="P193" s="220"/>
      <c r="Q193" s="220"/>
      <c r="R193" s="220"/>
      <c r="S193" s="220"/>
      <c r="T193" s="220"/>
      <c r="U193" s="220"/>
      <c r="V193" s="220"/>
      <c r="W193" s="220"/>
    </row>
    <row r="194" ht="15.75" customHeight="1" outlineLevel="1">
      <c r="A194" s="211"/>
      <c r="B194" s="212"/>
      <c r="C194" s="213"/>
      <c r="D194" s="214" t="str">
        <f>IFERROR(VLOOKUP($C194,'PORTIFÓLIO'!C:V,2,0),"")</f>
        <v/>
      </c>
      <c r="E194" s="211" t="str">
        <f>IFERROR(VLOOKUP($C194,'PORTIFÓLIO'!C:V,3,0),"")</f>
        <v/>
      </c>
      <c r="F194" s="211" t="str">
        <f>IFERROR(VLOOKUP($C194,'PORTIFÓLIO'!C:V,4,0),"")</f>
        <v/>
      </c>
      <c r="G194" s="215" t="str">
        <f>IFERROR(VLOOKUP($C194,'PORTIFÓLIO'!C:V,5,0),"")</f>
        <v/>
      </c>
      <c r="H194" s="254" t="str">
        <f t="array" ref="H194">IFERROR(INDEX('PORTIFÓLIO'!$H$4:$H$433,MATCH($C194,'PORTIFÓLIO'!$C$4:$C$433,0)),"")</f>
        <v/>
      </c>
      <c r="I194" s="256"/>
      <c r="J194" s="218">
        <f t="shared" si="22"/>
        <v>0</v>
      </c>
      <c r="K194" s="219" t="str">
        <f t="array" ref="K194">IFERROR(I194*INDEX('PORTIFÓLIO'!$S$4:$S$433,MATCH($C194,'PORTIFÓLIO'!$C$4:$C$433,0)),"")</f>
        <v/>
      </c>
      <c r="L194" s="219" t="str">
        <f t="array" ref="L194">IFERROR(J194*INDEX('PORTIFÓLIO'!$S$4:$S$433,MATCH($C194,'PORTIFÓLIO'!$C$4:$C$433,0)),"")</f>
        <v/>
      </c>
      <c r="M194" s="220"/>
      <c r="N194" s="220"/>
      <c r="O194" s="220"/>
      <c r="P194" s="220"/>
      <c r="Q194" s="220"/>
      <c r="R194" s="220"/>
      <c r="S194" s="220"/>
      <c r="T194" s="220"/>
      <c r="U194" s="220"/>
      <c r="V194" s="220"/>
      <c r="W194" s="220"/>
    </row>
    <row r="195" ht="15.75" customHeight="1" outlineLevel="1">
      <c r="A195" s="211"/>
      <c r="B195" s="212"/>
      <c r="C195" s="213"/>
      <c r="D195" s="214" t="str">
        <f>IFERROR(VLOOKUP($C195,'PORTIFÓLIO'!C:V,2,0),"")</f>
        <v/>
      </c>
      <c r="E195" s="211" t="str">
        <f>IFERROR(VLOOKUP($C195,'PORTIFÓLIO'!C:V,3,0),"")</f>
        <v/>
      </c>
      <c r="F195" s="211" t="str">
        <f>IFERROR(VLOOKUP($C195,'PORTIFÓLIO'!C:V,4,0),"")</f>
        <v/>
      </c>
      <c r="G195" s="215" t="str">
        <f>IFERROR(VLOOKUP($C195,'PORTIFÓLIO'!C:V,5,0),"")</f>
        <v/>
      </c>
      <c r="H195" s="254" t="str">
        <f t="array" ref="H195">IFERROR(INDEX('PORTIFÓLIO'!$H$4:$H$433,MATCH($C195,'PORTIFÓLIO'!$C$4:$C$433,0)),"")</f>
        <v/>
      </c>
      <c r="I195" s="256"/>
      <c r="J195" s="218">
        <f t="shared" si="22"/>
        <v>0</v>
      </c>
      <c r="K195" s="219" t="str">
        <f t="array" ref="K195">IFERROR(I195*INDEX('PORTIFÓLIO'!$S$4:$S$433,MATCH($C195,'PORTIFÓLIO'!$C$4:$C$433,0)),"")</f>
        <v/>
      </c>
      <c r="L195" s="219" t="str">
        <f t="array" ref="L195">IFERROR(J195*INDEX('PORTIFÓLIO'!$S$4:$S$433,MATCH($C195,'PORTIFÓLIO'!$C$4:$C$433,0)),"")</f>
        <v/>
      </c>
      <c r="M195" s="220"/>
      <c r="N195" s="220"/>
      <c r="O195" s="220"/>
      <c r="P195" s="220"/>
      <c r="Q195" s="220"/>
      <c r="R195" s="220"/>
      <c r="S195" s="220"/>
      <c r="T195" s="220"/>
      <c r="U195" s="220"/>
      <c r="V195" s="220"/>
      <c r="W195" s="220"/>
    </row>
    <row r="196" ht="15.75" customHeight="1" outlineLevel="1">
      <c r="A196" s="211"/>
      <c r="B196" s="212"/>
      <c r="C196" s="213"/>
      <c r="D196" s="214" t="str">
        <f>IFERROR(VLOOKUP($C196,'PORTIFÓLIO'!C:V,2,0),"")</f>
        <v/>
      </c>
      <c r="E196" s="211" t="str">
        <f>IFERROR(VLOOKUP($C196,'PORTIFÓLIO'!C:V,3,0),"")</f>
        <v/>
      </c>
      <c r="F196" s="211" t="str">
        <f>IFERROR(VLOOKUP($C196,'PORTIFÓLIO'!C:V,4,0),"")</f>
        <v/>
      </c>
      <c r="G196" s="215" t="str">
        <f>IFERROR(VLOOKUP($C196,'PORTIFÓLIO'!C:V,5,0),"")</f>
        <v/>
      </c>
      <c r="H196" s="254" t="str">
        <f t="array" ref="H196">IFERROR(INDEX('PORTIFÓLIO'!$H$4:$H$433,MATCH($C196,'PORTIFÓLIO'!$C$4:$C$433,0)),"")</f>
        <v/>
      </c>
      <c r="I196" s="256"/>
      <c r="J196" s="218">
        <f t="shared" si="22"/>
        <v>0</v>
      </c>
      <c r="K196" s="219" t="str">
        <f t="array" ref="K196">IFERROR(I196*INDEX('PORTIFÓLIO'!$S$4:$S$433,MATCH($C196,'PORTIFÓLIO'!$C$4:$C$433,0)),"")</f>
        <v/>
      </c>
      <c r="L196" s="219" t="str">
        <f t="array" ref="L196">IFERROR(J196*INDEX('PORTIFÓLIO'!$S$4:$S$433,MATCH($C196,'PORTIFÓLIO'!$C$4:$C$433,0)),"")</f>
        <v/>
      </c>
      <c r="M196" s="220"/>
      <c r="N196" s="220"/>
      <c r="O196" s="220"/>
      <c r="P196" s="220"/>
      <c r="Q196" s="220"/>
      <c r="R196" s="220"/>
      <c r="S196" s="220"/>
      <c r="T196" s="220"/>
      <c r="U196" s="220"/>
      <c r="V196" s="220"/>
      <c r="W196" s="220"/>
    </row>
    <row r="197" ht="15.75" customHeight="1" outlineLevel="1">
      <c r="A197" s="211"/>
      <c r="B197" s="212"/>
      <c r="C197" s="213"/>
      <c r="D197" s="214" t="str">
        <f>IFERROR(VLOOKUP($C197,'PORTIFÓLIO'!C:V,2,0),"")</f>
        <v/>
      </c>
      <c r="E197" s="211" t="str">
        <f>IFERROR(VLOOKUP($C197,'PORTIFÓLIO'!C:V,3,0),"")</f>
        <v/>
      </c>
      <c r="F197" s="211" t="str">
        <f>IFERROR(VLOOKUP($C197,'PORTIFÓLIO'!C:V,4,0),"")</f>
        <v/>
      </c>
      <c r="G197" s="215" t="str">
        <f>IFERROR(VLOOKUP($C197,'PORTIFÓLIO'!C:V,5,0),"")</f>
        <v/>
      </c>
      <c r="H197" s="254" t="str">
        <f t="array" ref="H197">IFERROR(INDEX('PORTIFÓLIO'!$H$4:$H$433,MATCH($C197,'PORTIFÓLIO'!$C$4:$C$433,0)),"")</f>
        <v/>
      </c>
      <c r="I197" s="256"/>
      <c r="J197" s="218">
        <f t="shared" si="22"/>
        <v>0</v>
      </c>
      <c r="K197" s="219" t="str">
        <f t="array" ref="K197">IFERROR(I197*INDEX('PORTIFÓLIO'!$S$4:$S$433,MATCH($C197,'PORTIFÓLIO'!$C$4:$C$433,0)),"")</f>
        <v/>
      </c>
      <c r="L197" s="219" t="str">
        <f t="array" ref="L197">IFERROR(J197*INDEX('PORTIFÓLIO'!$S$4:$S$433,MATCH($C197,'PORTIFÓLIO'!$C$4:$C$433,0)),"")</f>
        <v/>
      </c>
      <c r="M197" s="220"/>
      <c r="N197" s="220"/>
      <c r="O197" s="220"/>
      <c r="P197" s="220"/>
      <c r="Q197" s="220"/>
      <c r="R197" s="220"/>
      <c r="S197" s="220"/>
      <c r="T197" s="220"/>
      <c r="U197" s="220"/>
      <c r="V197" s="220"/>
      <c r="W197" s="220"/>
    </row>
    <row r="198" ht="15.75" customHeight="1" outlineLevel="1">
      <c r="A198" s="211"/>
      <c r="B198" s="227"/>
      <c r="C198" s="211"/>
      <c r="D198" s="214" t="str">
        <f>IFERROR(VLOOKUP($C198,'PORTIFÓLIO'!C:V,2,0),"")</f>
        <v/>
      </c>
      <c r="E198" s="211" t="str">
        <f>IFERROR(VLOOKUP($C198,'PORTIFÓLIO'!C:V,3,0),"")</f>
        <v/>
      </c>
      <c r="F198" s="211" t="str">
        <f>IFERROR(VLOOKUP($C198,'PORTIFÓLIO'!C:V,4,0),"")</f>
        <v/>
      </c>
      <c r="G198" s="215" t="str">
        <f>IFERROR(VLOOKUP($C198,'PORTIFÓLIO'!C:V,5,0),"")</f>
        <v/>
      </c>
      <c r="H198" s="254" t="str">
        <f t="array" ref="H198">IFERROR(INDEX('PORTIFÓLIO'!$H$4:$H$433,MATCH($C198,'PORTIFÓLIO'!$C$4:$C$433,0)),"")</f>
        <v/>
      </c>
      <c r="I198" s="256"/>
      <c r="J198" s="218">
        <f t="shared" si="22"/>
        <v>0</v>
      </c>
      <c r="K198" s="219" t="str">
        <f t="array" ref="K198">IFERROR(I198*INDEX('PORTIFÓLIO'!$S$4:$S$433,MATCH($C198,'PORTIFÓLIO'!$C$4:$C$433,0)),"")</f>
        <v/>
      </c>
      <c r="L198" s="219" t="str">
        <f t="array" ref="L198">IFERROR(J198*INDEX('PORTIFÓLIO'!$S$4:$S$433,MATCH($C198,'PORTIFÓLIO'!$C$4:$C$433,0)),"")</f>
        <v/>
      </c>
      <c r="M198" s="220"/>
      <c r="N198" s="220"/>
      <c r="O198" s="220"/>
      <c r="P198" s="220"/>
      <c r="Q198" s="220"/>
      <c r="R198" s="220"/>
      <c r="S198" s="220"/>
      <c r="T198" s="220"/>
      <c r="U198" s="220"/>
      <c r="V198" s="220"/>
      <c r="W198" s="220"/>
    </row>
    <row r="199" ht="15.75" customHeight="1" outlineLevel="1">
      <c r="A199" s="211"/>
      <c r="B199" s="227"/>
      <c r="C199" s="211"/>
      <c r="D199" s="214" t="str">
        <f>IFERROR(VLOOKUP($C199,'PORTIFÓLIO'!C:V,2,0),"")</f>
        <v/>
      </c>
      <c r="E199" s="211" t="str">
        <f>IFERROR(VLOOKUP($C199,'PORTIFÓLIO'!C:V,3,0),"")</f>
        <v/>
      </c>
      <c r="F199" s="211" t="str">
        <f>IFERROR(VLOOKUP($C199,'PORTIFÓLIO'!C:V,4,0),"")</f>
        <v/>
      </c>
      <c r="G199" s="215" t="str">
        <f>IFERROR(VLOOKUP($C199,'PORTIFÓLIO'!C:V,5,0),"")</f>
        <v/>
      </c>
      <c r="H199" s="254" t="str">
        <f t="array" ref="H199">IFERROR(INDEX('PORTIFÓLIO'!$H$4:$H$433,MATCH($C199,'PORTIFÓLIO'!$C$4:$C$433,0)),"")</f>
        <v/>
      </c>
      <c r="I199" s="256"/>
      <c r="J199" s="218">
        <f t="shared" si="22"/>
        <v>0</v>
      </c>
      <c r="K199" s="219" t="str">
        <f t="array" ref="K199">IFERROR(I199*INDEX('PORTIFÓLIO'!$S$4:$S$433,MATCH($C199,'PORTIFÓLIO'!$C$4:$C$433,0)),"")</f>
        <v/>
      </c>
      <c r="L199" s="219" t="str">
        <f t="array" ref="L199">IFERROR(J199*INDEX('PORTIFÓLIO'!$S$4:$S$433,MATCH($C199,'PORTIFÓLIO'!$C$4:$C$433,0)),"")</f>
        <v/>
      </c>
      <c r="M199" s="220"/>
      <c r="N199" s="220"/>
      <c r="O199" s="220"/>
      <c r="P199" s="220"/>
      <c r="Q199" s="220"/>
      <c r="R199" s="220"/>
      <c r="S199" s="220"/>
      <c r="T199" s="220"/>
      <c r="U199" s="220"/>
      <c r="V199" s="220"/>
      <c r="W199" s="220"/>
    </row>
    <row r="200" ht="15.75" customHeight="1">
      <c r="A200" s="229" t="s">
        <v>1202</v>
      </c>
      <c r="B200" s="230"/>
      <c r="C200" s="231"/>
      <c r="D200" s="232"/>
      <c r="E200" s="231"/>
      <c r="F200" s="231"/>
      <c r="G200" s="233"/>
      <c r="H200" s="233"/>
      <c r="I200" s="258"/>
      <c r="J200" s="236"/>
      <c r="K200" s="237">
        <f t="shared" ref="K200:L200" si="23">SUBTOTAL(9,K201:K214)</f>
        <v>0</v>
      </c>
      <c r="L200" s="237">
        <f t="shared" si="23"/>
        <v>0</v>
      </c>
      <c r="M200" s="220"/>
      <c r="N200" s="220"/>
      <c r="O200" s="220"/>
      <c r="P200" s="220"/>
      <c r="Q200" s="220"/>
      <c r="R200" s="220"/>
      <c r="S200" s="220"/>
      <c r="T200" s="220"/>
      <c r="U200" s="220"/>
      <c r="V200" s="220"/>
      <c r="W200" s="220"/>
    </row>
    <row r="201" ht="15.75" customHeight="1" outlineLevel="1">
      <c r="A201" s="213"/>
      <c r="B201" s="212"/>
      <c r="C201" s="213"/>
      <c r="D201" s="214" t="str">
        <f>IFERROR(VLOOKUP($C201,'PORTIFÓLIO'!C:V,2,0),"")</f>
        <v/>
      </c>
      <c r="E201" s="211" t="str">
        <f>IFERROR(VLOOKUP($C201,'PORTIFÓLIO'!C:V,3,0),"")</f>
        <v/>
      </c>
      <c r="F201" s="211" t="str">
        <f>IFERROR(VLOOKUP($C201,'PORTIFÓLIO'!C:V,4,0),"")</f>
        <v/>
      </c>
      <c r="G201" s="215" t="str">
        <f>IFERROR(VLOOKUP($C201,'PORTIFÓLIO'!C:V,5,0),"")</f>
        <v/>
      </c>
      <c r="H201" s="254" t="str">
        <f t="array" ref="H201">IFERROR(INDEX('PORTIFÓLIO'!$H$4:$H$433,MATCH($C201,'PORTIFÓLIO'!$C$4:$C$433,0)),"")</f>
        <v/>
      </c>
      <c r="I201" s="256"/>
      <c r="J201" s="218">
        <f t="shared" ref="J201:J224" si="24">I201*$B$2</f>
        <v>0</v>
      </c>
      <c r="K201" s="219" t="str">
        <f>IFERROR(I201* VLOOKUP($C201,'PORTIFÓLIO'!C:V,10,0),"")</f>
        <v/>
      </c>
      <c r="L201" s="219" t="str">
        <f>IFERROR(J201* VLOOKUP($C201,'PORTIFÓLIO'!C:V,10,0),"")</f>
        <v/>
      </c>
      <c r="M201" s="220"/>
      <c r="N201" s="220"/>
      <c r="O201" s="220"/>
      <c r="P201" s="220"/>
      <c r="Q201" s="220"/>
      <c r="R201" s="220"/>
      <c r="S201" s="220"/>
      <c r="T201" s="220"/>
      <c r="U201" s="220"/>
      <c r="V201" s="220"/>
      <c r="W201" s="220"/>
    </row>
    <row r="202" ht="15.75" customHeight="1" outlineLevel="1">
      <c r="A202" s="211"/>
      <c r="B202" s="212"/>
      <c r="C202" s="213"/>
      <c r="D202" s="214" t="str">
        <f>IFERROR(VLOOKUP($C202,'PORTIFÓLIO'!C:V,2,0),"")</f>
        <v/>
      </c>
      <c r="E202" s="211" t="str">
        <f>IFERROR(VLOOKUP($C202,'PORTIFÓLIO'!C:V,3,0),"")</f>
        <v/>
      </c>
      <c r="F202" s="211" t="str">
        <f>IFERROR(VLOOKUP($C202,'PORTIFÓLIO'!C:V,4,0),"")</f>
        <v/>
      </c>
      <c r="G202" s="215" t="str">
        <f>IFERROR(VLOOKUP($C202,'PORTIFÓLIO'!C:V,5,0),"")</f>
        <v/>
      </c>
      <c r="H202" s="254" t="str">
        <f t="array" ref="H202">IFERROR(INDEX('PORTIFÓLIO'!$H$4:$H$433,MATCH($C202,'PORTIFÓLIO'!$C$4:$C$433,0)),"")</f>
        <v/>
      </c>
      <c r="I202" s="256"/>
      <c r="J202" s="218">
        <f t="shared" si="24"/>
        <v>0</v>
      </c>
      <c r="K202" s="219" t="str">
        <f>IFERROR(I202* VLOOKUP($C202,'PORTIFÓLIO'!C:V,10,0),"")</f>
        <v/>
      </c>
      <c r="L202" s="219" t="str">
        <f>IFERROR(J202* VLOOKUP($C202,'PORTIFÓLIO'!C:V,10,0),"")</f>
        <v/>
      </c>
      <c r="M202" s="220"/>
      <c r="N202" s="220"/>
      <c r="O202" s="220"/>
      <c r="P202" s="220"/>
      <c r="Q202" s="220"/>
      <c r="R202" s="220"/>
      <c r="S202" s="220"/>
      <c r="T202" s="220"/>
      <c r="U202" s="220"/>
      <c r="V202" s="220"/>
      <c r="W202" s="220"/>
    </row>
    <row r="203" ht="15.75" customHeight="1" outlineLevel="1">
      <c r="A203" s="211"/>
      <c r="B203" s="212"/>
      <c r="C203" s="213"/>
      <c r="D203" s="214" t="str">
        <f>IFERROR(VLOOKUP($C203,'PORTIFÓLIO'!C:V,2,0),"")</f>
        <v/>
      </c>
      <c r="E203" s="211" t="str">
        <f>IFERROR(VLOOKUP($C203,'PORTIFÓLIO'!C:V,3,0),"")</f>
        <v/>
      </c>
      <c r="F203" s="211" t="str">
        <f>IFERROR(VLOOKUP($C203,'PORTIFÓLIO'!C:V,4,0),"")</f>
        <v/>
      </c>
      <c r="G203" s="215" t="str">
        <f>IFERROR(VLOOKUP($C203,'PORTIFÓLIO'!C:V,5,0),"")</f>
        <v/>
      </c>
      <c r="H203" s="254" t="str">
        <f t="array" ref="H203">IFERROR(INDEX('PORTIFÓLIO'!$H$4:$H$433,MATCH($C203,'PORTIFÓLIO'!$C$4:$C$433,0)),"")</f>
        <v/>
      </c>
      <c r="I203" s="256"/>
      <c r="J203" s="218">
        <f t="shared" si="24"/>
        <v>0</v>
      </c>
      <c r="K203" s="219" t="str">
        <f>IFERROR(I203* VLOOKUP($C203,'PORTIFÓLIO'!C:V,10,0),"")</f>
        <v/>
      </c>
      <c r="L203" s="219" t="str">
        <f>IFERROR(J203* VLOOKUP($C203,'PORTIFÓLIO'!C:V,10,0),"")</f>
        <v/>
      </c>
      <c r="M203" s="220"/>
      <c r="N203" s="220"/>
      <c r="O203" s="220"/>
      <c r="P203" s="220"/>
      <c r="Q203" s="220"/>
      <c r="R203" s="220"/>
      <c r="S203" s="220"/>
      <c r="T203" s="220"/>
      <c r="U203" s="220"/>
      <c r="V203" s="220"/>
      <c r="W203" s="220"/>
    </row>
    <row r="204" ht="15.75" customHeight="1" outlineLevel="1">
      <c r="A204" s="211"/>
      <c r="B204" s="212"/>
      <c r="C204" s="213"/>
      <c r="D204" s="214" t="str">
        <f>IFERROR(VLOOKUP($C204,'PORTIFÓLIO'!C:V,2,0),"")</f>
        <v/>
      </c>
      <c r="E204" s="211" t="str">
        <f>IFERROR(VLOOKUP($C204,'PORTIFÓLIO'!C:V,3,0),"")</f>
        <v/>
      </c>
      <c r="F204" s="211" t="str">
        <f>IFERROR(VLOOKUP($C204,'PORTIFÓLIO'!C:V,4,0),"")</f>
        <v/>
      </c>
      <c r="G204" s="215" t="str">
        <f>IFERROR(VLOOKUP($C204,'PORTIFÓLIO'!C:V,5,0),"")</f>
        <v/>
      </c>
      <c r="H204" s="254" t="str">
        <f t="array" ref="H204">IFERROR(INDEX('PORTIFÓLIO'!$H$4:$H$433,MATCH($C204,'PORTIFÓLIO'!$C$4:$C$433,0)),"")</f>
        <v/>
      </c>
      <c r="I204" s="256"/>
      <c r="J204" s="218">
        <f t="shared" si="24"/>
        <v>0</v>
      </c>
      <c r="K204" s="219" t="str">
        <f>IFERROR(I204* VLOOKUP($C204,'PORTIFÓLIO'!C:V,10,0),"")</f>
        <v/>
      </c>
      <c r="L204" s="219" t="str">
        <f>IFERROR(J204* VLOOKUP($C204,'PORTIFÓLIO'!C:V,10,0),"")</f>
        <v/>
      </c>
      <c r="M204" s="220"/>
      <c r="N204" s="220"/>
      <c r="O204" s="220"/>
      <c r="P204" s="220"/>
      <c r="Q204" s="220"/>
      <c r="R204" s="220"/>
      <c r="S204" s="220"/>
      <c r="T204" s="220"/>
      <c r="U204" s="220"/>
      <c r="V204" s="220"/>
      <c r="W204" s="220"/>
    </row>
    <row r="205" ht="15.75" customHeight="1" outlineLevel="1">
      <c r="A205" s="211"/>
      <c r="B205" s="212"/>
      <c r="C205" s="213"/>
      <c r="D205" s="214" t="str">
        <f>IFERROR(VLOOKUP($C205,'PORTIFÓLIO'!C:V,2,0),"")</f>
        <v/>
      </c>
      <c r="E205" s="211" t="str">
        <f>IFERROR(VLOOKUP($C205,'PORTIFÓLIO'!C:V,3,0),"")</f>
        <v/>
      </c>
      <c r="F205" s="211" t="str">
        <f>IFERROR(VLOOKUP($C205,'PORTIFÓLIO'!C:V,4,0),"")</f>
        <v/>
      </c>
      <c r="G205" s="215" t="str">
        <f>IFERROR(VLOOKUP($C205,'PORTIFÓLIO'!C:V,5,0),"")</f>
        <v/>
      </c>
      <c r="H205" s="254" t="str">
        <f t="array" ref="H205">IFERROR(INDEX('PORTIFÓLIO'!$H$4:$H$433,MATCH($C205,'PORTIFÓLIO'!$C$4:$C$433,0)),"")</f>
        <v/>
      </c>
      <c r="I205" s="256"/>
      <c r="J205" s="218">
        <f t="shared" si="24"/>
        <v>0</v>
      </c>
      <c r="K205" s="219" t="str">
        <f>IFERROR(I205* VLOOKUP($C205,'PORTIFÓLIO'!C:V,10,0),"")</f>
        <v/>
      </c>
      <c r="L205" s="219" t="str">
        <f>IFERROR(J205* VLOOKUP($C205,'PORTIFÓLIO'!C:V,10,0),"")</f>
        <v/>
      </c>
      <c r="M205" s="220"/>
      <c r="N205" s="220"/>
      <c r="O205" s="220"/>
      <c r="P205" s="220"/>
      <c r="Q205" s="220"/>
      <c r="R205" s="220"/>
      <c r="S205" s="220"/>
      <c r="T205" s="220"/>
      <c r="U205" s="220"/>
      <c r="V205" s="220"/>
      <c r="W205" s="220"/>
    </row>
    <row r="206" ht="15.75" customHeight="1" outlineLevel="1">
      <c r="A206" s="211"/>
      <c r="B206" s="212"/>
      <c r="C206" s="213"/>
      <c r="D206" s="214" t="str">
        <f>IFERROR(VLOOKUP($C206,'PORTIFÓLIO'!C:V,2,0),"")</f>
        <v/>
      </c>
      <c r="E206" s="211" t="str">
        <f>IFERROR(VLOOKUP($C206,'PORTIFÓLIO'!C:V,3,0),"")</f>
        <v/>
      </c>
      <c r="F206" s="211" t="str">
        <f>IFERROR(VLOOKUP($C206,'PORTIFÓLIO'!C:V,4,0),"")</f>
        <v/>
      </c>
      <c r="G206" s="215" t="str">
        <f>IFERROR(VLOOKUP($C206,'PORTIFÓLIO'!C:V,5,0),"")</f>
        <v/>
      </c>
      <c r="H206" s="254" t="str">
        <f t="array" ref="H206">IFERROR(INDEX('PORTIFÓLIO'!$H$4:$H$433,MATCH($C206,'PORTIFÓLIO'!$C$4:$C$433,0)),"")</f>
        <v/>
      </c>
      <c r="I206" s="256"/>
      <c r="J206" s="218">
        <f t="shared" si="24"/>
        <v>0</v>
      </c>
      <c r="K206" s="219" t="str">
        <f>IFERROR(I206* VLOOKUP($C206,'PORTIFÓLIO'!C:V,10,0),"")</f>
        <v/>
      </c>
      <c r="L206" s="219" t="str">
        <f>IFERROR(J206* VLOOKUP($C206,'PORTIFÓLIO'!C:V,10,0),"")</f>
        <v/>
      </c>
      <c r="M206" s="220"/>
      <c r="N206" s="220"/>
      <c r="O206" s="220"/>
      <c r="P206" s="220"/>
      <c r="Q206" s="220"/>
      <c r="R206" s="220"/>
      <c r="S206" s="220"/>
      <c r="T206" s="220"/>
      <c r="U206" s="220"/>
      <c r="V206" s="220"/>
      <c r="W206" s="220"/>
    </row>
    <row r="207" ht="15.75" customHeight="1" outlineLevel="1">
      <c r="A207" s="211"/>
      <c r="B207" s="212"/>
      <c r="C207" s="213"/>
      <c r="D207" s="214" t="str">
        <f>IFERROR(VLOOKUP($C207,'PORTIFÓLIO'!C:V,2,0),"")</f>
        <v/>
      </c>
      <c r="E207" s="211" t="str">
        <f>IFERROR(VLOOKUP($C207,'PORTIFÓLIO'!C:V,3,0),"")</f>
        <v/>
      </c>
      <c r="F207" s="211" t="str">
        <f>IFERROR(VLOOKUP($C207,'PORTIFÓLIO'!C:V,4,0),"")</f>
        <v/>
      </c>
      <c r="G207" s="215" t="str">
        <f>IFERROR(VLOOKUP($C207,'PORTIFÓLIO'!C:V,5,0),"")</f>
        <v/>
      </c>
      <c r="H207" s="254" t="str">
        <f t="array" ref="H207">IFERROR(INDEX('PORTIFÓLIO'!$H$4:$H$433,MATCH($C207,'PORTIFÓLIO'!$C$4:$C$433,0)),"")</f>
        <v/>
      </c>
      <c r="I207" s="256"/>
      <c r="J207" s="218">
        <f t="shared" si="24"/>
        <v>0</v>
      </c>
      <c r="K207" s="219" t="str">
        <f>IFERROR(I207* VLOOKUP($C207,'PORTIFÓLIO'!C:V,10,0),"")</f>
        <v/>
      </c>
      <c r="L207" s="219" t="str">
        <f>IFERROR(J207* VLOOKUP($C207,'PORTIFÓLIO'!C:V,10,0),"")</f>
        <v/>
      </c>
      <c r="M207" s="220"/>
      <c r="N207" s="220"/>
      <c r="O207" s="220"/>
      <c r="P207" s="220"/>
      <c r="Q207" s="220"/>
      <c r="R207" s="220"/>
      <c r="S207" s="220"/>
      <c r="T207" s="220"/>
      <c r="U207" s="220"/>
      <c r="V207" s="220"/>
      <c r="W207" s="220"/>
    </row>
    <row r="208" ht="15.75" customHeight="1" outlineLevel="1">
      <c r="A208" s="211"/>
      <c r="B208" s="212"/>
      <c r="C208" s="213"/>
      <c r="D208" s="214" t="str">
        <f>IFERROR(VLOOKUP($C208,'PORTIFÓLIO'!C:V,2,0),"")</f>
        <v/>
      </c>
      <c r="E208" s="211" t="str">
        <f>IFERROR(VLOOKUP($C208,'PORTIFÓLIO'!C:V,3,0),"")</f>
        <v/>
      </c>
      <c r="F208" s="211" t="str">
        <f>IFERROR(VLOOKUP($C208,'PORTIFÓLIO'!C:V,4,0),"")</f>
        <v/>
      </c>
      <c r="G208" s="215" t="str">
        <f>IFERROR(VLOOKUP($C208,'PORTIFÓLIO'!C:V,5,0),"")</f>
        <v/>
      </c>
      <c r="H208" s="254" t="str">
        <f t="array" ref="H208">IFERROR(INDEX('PORTIFÓLIO'!$H$4:$H$433,MATCH($C208,'PORTIFÓLIO'!$C$4:$C$433,0)),"")</f>
        <v/>
      </c>
      <c r="I208" s="256"/>
      <c r="J208" s="218">
        <f t="shared" si="24"/>
        <v>0</v>
      </c>
      <c r="K208" s="219" t="str">
        <f>IFERROR(I208* VLOOKUP($C208,'PORTIFÓLIO'!C:V,10,0),"")</f>
        <v/>
      </c>
      <c r="L208" s="219" t="str">
        <f>IFERROR(J208* VLOOKUP($C208,'PORTIFÓLIO'!C:V,10,0),"")</f>
        <v/>
      </c>
      <c r="M208" s="220"/>
      <c r="N208" s="220"/>
      <c r="O208" s="220"/>
      <c r="P208" s="220"/>
      <c r="Q208" s="220"/>
      <c r="R208" s="220"/>
      <c r="S208" s="220"/>
      <c r="T208" s="220"/>
      <c r="U208" s="220"/>
      <c r="V208" s="220"/>
      <c r="W208" s="220"/>
    </row>
    <row r="209" ht="15.75" customHeight="1" outlineLevel="1">
      <c r="A209" s="211"/>
      <c r="B209" s="212"/>
      <c r="C209" s="213"/>
      <c r="D209" s="214" t="str">
        <f>IFERROR(VLOOKUP($C209,'PORTIFÓLIO'!C:V,2,0),"")</f>
        <v/>
      </c>
      <c r="E209" s="211" t="str">
        <f>IFERROR(VLOOKUP($C209,'PORTIFÓLIO'!C:V,3,0),"")</f>
        <v/>
      </c>
      <c r="F209" s="211" t="str">
        <f>IFERROR(VLOOKUP($C209,'PORTIFÓLIO'!C:V,4,0),"")</f>
        <v/>
      </c>
      <c r="G209" s="215" t="str">
        <f>IFERROR(VLOOKUP($C209,'PORTIFÓLIO'!C:V,5,0),"")</f>
        <v/>
      </c>
      <c r="H209" s="254" t="str">
        <f t="array" ref="H209">IFERROR(INDEX('PORTIFÓLIO'!$H$4:$H$433,MATCH($C209,'PORTIFÓLIO'!$C$4:$C$433,0)),"")</f>
        <v/>
      </c>
      <c r="I209" s="256"/>
      <c r="J209" s="218">
        <f t="shared" si="24"/>
        <v>0</v>
      </c>
      <c r="K209" s="219" t="str">
        <f>IFERROR(I209* VLOOKUP($C209,'PORTIFÓLIO'!C:V,10,0),"")</f>
        <v/>
      </c>
      <c r="L209" s="219" t="str">
        <f>IFERROR(J209* VLOOKUP($C209,'PORTIFÓLIO'!C:V,10,0),"")</f>
        <v/>
      </c>
      <c r="M209" s="220"/>
      <c r="N209" s="220"/>
      <c r="O209" s="220"/>
      <c r="P209" s="220"/>
      <c r="Q209" s="220"/>
      <c r="R209" s="220"/>
      <c r="S209" s="220"/>
      <c r="T209" s="220"/>
      <c r="U209" s="220"/>
      <c r="V209" s="220"/>
      <c r="W209" s="220"/>
    </row>
    <row r="210" ht="15.75" customHeight="1" outlineLevel="1">
      <c r="A210" s="211"/>
      <c r="B210" s="212"/>
      <c r="C210" s="213"/>
      <c r="D210" s="214" t="str">
        <f>IFERROR(VLOOKUP($C210,'PORTIFÓLIO'!C:V,2,0),"")</f>
        <v/>
      </c>
      <c r="E210" s="211" t="str">
        <f>IFERROR(VLOOKUP($C210,'PORTIFÓLIO'!C:V,3,0),"")</f>
        <v/>
      </c>
      <c r="F210" s="211" t="str">
        <f>IFERROR(VLOOKUP($C210,'PORTIFÓLIO'!C:V,4,0),"")</f>
        <v/>
      </c>
      <c r="G210" s="215" t="str">
        <f>IFERROR(VLOOKUP($C210,'PORTIFÓLIO'!C:V,5,0),"")</f>
        <v/>
      </c>
      <c r="H210" s="254" t="str">
        <f t="array" ref="H210">IFERROR(INDEX('PORTIFÓLIO'!$H$4:$H$433,MATCH($C210,'PORTIFÓLIO'!$C$4:$C$433,0)),"")</f>
        <v/>
      </c>
      <c r="I210" s="256"/>
      <c r="J210" s="218">
        <f t="shared" si="24"/>
        <v>0</v>
      </c>
      <c r="K210" s="219" t="str">
        <f>IFERROR(I210* VLOOKUP($C210,'PORTIFÓLIO'!C:V,10,0),"")</f>
        <v/>
      </c>
      <c r="L210" s="219" t="str">
        <f>IFERROR(J210* VLOOKUP($C210,'PORTIFÓLIO'!C:V,10,0),"")</f>
        <v/>
      </c>
      <c r="M210" s="220"/>
      <c r="N210" s="220"/>
      <c r="O210" s="220"/>
      <c r="P210" s="220"/>
      <c r="Q210" s="220"/>
      <c r="R210" s="220"/>
      <c r="S210" s="220"/>
      <c r="T210" s="220"/>
      <c r="U210" s="220"/>
      <c r="V210" s="220"/>
      <c r="W210" s="220"/>
    </row>
    <row r="211" ht="15.75" customHeight="1" outlineLevel="1">
      <c r="A211" s="211"/>
      <c r="B211" s="212"/>
      <c r="C211" s="213"/>
      <c r="D211" s="214" t="str">
        <f>IFERROR(VLOOKUP($C211,'PORTIFÓLIO'!C:V,2,0),"")</f>
        <v/>
      </c>
      <c r="E211" s="211" t="str">
        <f>IFERROR(VLOOKUP($C211,'PORTIFÓLIO'!C:V,3,0),"")</f>
        <v/>
      </c>
      <c r="F211" s="211" t="str">
        <f>IFERROR(VLOOKUP($C211,'PORTIFÓLIO'!C:V,4,0),"")</f>
        <v/>
      </c>
      <c r="G211" s="215" t="str">
        <f>IFERROR(VLOOKUP($C211,'PORTIFÓLIO'!C:V,5,0),"")</f>
        <v/>
      </c>
      <c r="H211" s="254" t="str">
        <f t="array" ref="H211">IFERROR(INDEX('PORTIFÓLIO'!$H$4:$H$433,MATCH($C211,'PORTIFÓLIO'!$C$4:$C$433,0)),"")</f>
        <v/>
      </c>
      <c r="I211" s="256"/>
      <c r="J211" s="218">
        <f t="shared" si="24"/>
        <v>0</v>
      </c>
      <c r="K211" s="219" t="str">
        <f>IFERROR(I211* VLOOKUP($C211,'PORTIFÓLIO'!C:V,10,0),"")</f>
        <v/>
      </c>
      <c r="L211" s="219" t="str">
        <f>IFERROR(J211* VLOOKUP($C211,'PORTIFÓLIO'!C:V,10,0),"")</f>
        <v/>
      </c>
      <c r="M211" s="220"/>
      <c r="N211" s="220"/>
      <c r="O211" s="220"/>
      <c r="P211" s="220"/>
      <c r="Q211" s="220"/>
      <c r="R211" s="220"/>
      <c r="S211" s="220"/>
      <c r="T211" s="220"/>
      <c r="U211" s="220"/>
      <c r="V211" s="220"/>
      <c r="W211" s="220"/>
    </row>
    <row r="212" ht="15.75" customHeight="1" outlineLevel="1">
      <c r="A212" s="211"/>
      <c r="B212" s="212"/>
      <c r="C212" s="213"/>
      <c r="D212" s="214" t="str">
        <f>IFERROR(VLOOKUP($C212,'PORTIFÓLIO'!C:V,2,0),"")</f>
        <v/>
      </c>
      <c r="E212" s="211" t="str">
        <f>IFERROR(VLOOKUP($C212,'PORTIFÓLIO'!C:V,3,0),"")</f>
        <v/>
      </c>
      <c r="F212" s="211" t="str">
        <f>IFERROR(VLOOKUP($C212,'PORTIFÓLIO'!C:V,4,0),"")</f>
        <v/>
      </c>
      <c r="G212" s="215" t="str">
        <f>IFERROR(VLOOKUP($C212,'PORTIFÓLIO'!C:V,5,0),"")</f>
        <v/>
      </c>
      <c r="H212" s="254" t="str">
        <f t="array" ref="H212">IFERROR(INDEX('PORTIFÓLIO'!$H$4:$H$433,MATCH($C212,'PORTIFÓLIO'!$C$4:$C$433,0)),"")</f>
        <v/>
      </c>
      <c r="I212" s="256"/>
      <c r="J212" s="218">
        <f t="shared" si="24"/>
        <v>0</v>
      </c>
      <c r="K212" s="219" t="str">
        <f>IFERROR(I212* VLOOKUP($C212,'PORTIFÓLIO'!C:V,10,0),"")</f>
        <v/>
      </c>
      <c r="L212" s="219" t="str">
        <f>IFERROR(J212* VLOOKUP($C212,'PORTIFÓLIO'!C:V,10,0),"")</f>
        <v/>
      </c>
      <c r="M212" s="220"/>
      <c r="N212" s="220"/>
      <c r="O212" s="220"/>
      <c r="P212" s="220"/>
      <c r="Q212" s="220"/>
      <c r="R212" s="220"/>
      <c r="S212" s="220"/>
      <c r="T212" s="220"/>
      <c r="U212" s="220"/>
      <c r="V212" s="220"/>
      <c r="W212" s="220"/>
    </row>
    <row r="213" ht="15.75" customHeight="1" outlineLevel="1">
      <c r="A213" s="211"/>
      <c r="B213" s="212"/>
      <c r="C213" s="213"/>
      <c r="D213" s="214" t="str">
        <f>IFERROR(VLOOKUP($C213,'PORTIFÓLIO'!C:V,2,0),"")</f>
        <v/>
      </c>
      <c r="E213" s="211" t="str">
        <f>IFERROR(VLOOKUP($C213,'PORTIFÓLIO'!C:V,3,0),"")</f>
        <v/>
      </c>
      <c r="F213" s="211" t="str">
        <f>IFERROR(VLOOKUP($C213,'PORTIFÓLIO'!C:V,4,0),"")</f>
        <v/>
      </c>
      <c r="G213" s="215" t="str">
        <f>IFERROR(VLOOKUP($C213,'PORTIFÓLIO'!C:V,5,0),"")</f>
        <v/>
      </c>
      <c r="H213" s="254" t="str">
        <f t="array" ref="H213">IFERROR(INDEX('PORTIFÓLIO'!$H$4:$H$433,MATCH($C213,'PORTIFÓLIO'!$C$4:$C$433,0)),"")</f>
        <v/>
      </c>
      <c r="I213" s="256"/>
      <c r="J213" s="218">
        <f t="shared" si="24"/>
        <v>0</v>
      </c>
      <c r="K213" s="219" t="str">
        <f>IFERROR(I213* VLOOKUP($C213,'PORTIFÓLIO'!C:V,10,0),"")</f>
        <v/>
      </c>
      <c r="L213" s="219" t="str">
        <f>IFERROR(J213* VLOOKUP($C213,'PORTIFÓLIO'!C:V,10,0),"")</f>
        <v/>
      </c>
      <c r="M213" s="220"/>
      <c r="N213" s="220"/>
      <c r="O213" s="220"/>
      <c r="P213" s="220"/>
      <c r="Q213" s="220"/>
      <c r="R213" s="220"/>
      <c r="S213" s="220"/>
      <c r="T213" s="220"/>
      <c r="U213" s="220"/>
      <c r="V213" s="220"/>
      <c r="W213" s="220"/>
    </row>
    <row r="214" ht="15.75" customHeight="1" outlineLevel="1">
      <c r="A214" s="211"/>
      <c r="B214" s="212"/>
      <c r="C214" s="213"/>
      <c r="D214" s="214" t="str">
        <f>IFERROR(VLOOKUP($C214,'PORTIFÓLIO'!C:V,2,0),"")</f>
        <v/>
      </c>
      <c r="E214" s="211" t="str">
        <f>IFERROR(VLOOKUP($C214,'PORTIFÓLIO'!C:V,3,0),"")</f>
        <v/>
      </c>
      <c r="F214" s="211" t="str">
        <f>IFERROR(VLOOKUP($C214,'PORTIFÓLIO'!C:V,4,0),"")</f>
        <v/>
      </c>
      <c r="G214" s="215" t="str">
        <f>IFERROR(VLOOKUP($C214,'PORTIFÓLIO'!C:V,5,0),"")</f>
        <v/>
      </c>
      <c r="H214" s="254" t="str">
        <f t="array" ref="H214">IFERROR(INDEX('PORTIFÓLIO'!$H$4:$H$433,MATCH($C214,'PORTIFÓLIO'!$C$4:$C$433,0)),"")</f>
        <v/>
      </c>
      <c r="I214" s="256"/>
      <c r="J214" s="218">
        <f t="shared" si="24"/>
        <v>0</v>
      </c>
      <c r="K214" s="219" t="str">
        <f>IFERROR(I214* VLOOKUP($C214,'PORTIFÓLIO'!C:V,10,0),"")</f>
        <v/>
      </c>
      <c r="L214" s="219" t="str">
        <f>IFERROR(J214* VLOOKUP($C214,'PORTIFÓLIO'!C:V,10,0),"")</f>
        <v/>
      </c>
      <c r="M214" s="220"/>
      <c r="N214" s="220"/>
      <c r="O214" s="220"/>
      <c r="P214" s="220"/>
      <c r="Q214" s="220"/>
      <c r="R214" s="220"/>
      <c r="S214" s="220"/>
      <c r="T214" s="220"/>
      <c r="U214" s="220"/>
      <c r="V214" s="220"/>
      <c r="W214" s="220"/>
    </row>
    <row r="215" ht="15.75" customHeight="1" outlineLevel="1">
      <c r="A215" s="211"/>
      <c r="B215" s="212"/>
      <c r="C215" s="213"/>
      <c r="D215" s="214" t="str">
        <f>IFERROR(VLOOKUP($C215,'PORTIFÓLIO'!C:V,2,0),"")</f>
        <v/>
      </c>
      <c r="E215" s="211" t="str">
        <f>IFERROR(VLOOKUP($C215,'PORTIFÓLIO'!C:V,3,0),"")</f>
        <v/>
      </c>
      <c r="F215" s="211" t="str">
        <f>IFERROR(VLOOKUP($C215,'PORTIFÓLIO'!C:V,4,0),"")</f>
        <v/>
      </c>
      <c r="G215" s="215" t="str">
        <f>IFERROR(VLOOKUP($C215,'PORTIFÓLIO'!C:V,5,0),"")</f>
        <v/>
      </c>
      <c r="H215" s="254" t="str">
        <f t="array" ref="H215">IFERROR(INDEX('PORTIFÓLIO'!$H$4:$H$433,MATCH($C215,'PORTIFÓLIO'!$C$4:$C$433,0)),"")</f>
        <v/>
      </c>
      <c r="I215" s="256"/>
      <c r="J215" s="218">
        <f t="shared" si="24"/>
        <v>0</v>
      </c>
      <c r="K215" s="219" t="str">
        <f>IFERROR(I215* VLOOKUP($C215,'PORTIFÓLIO'!C:V,10,0),"")</f>
        <v/>
      </c>
      <c r="L215" s="219" t="str">
        <f>IFERROR(J215* VLOOKUP($C215,'PORTIFÓLIO'!C:V,10,0),"")</f>
        <v/>
      </c>
      <c r="M215" s="220"/>
      <c r="N215" s="220"/>
      <c r="O215" s="220"/>
      <c r="P215" s="220"/>
      <c r="Q215" s="220"/>
      <c r="R215" s="220"/>
      <c r="S215" s="220"/>
      <c r="T215" s="220"/>
      <c r="U215" s="220"/>
      <c r="V215" s="220"/>
      <c r="W215" s="220"/>
    </row>
    <row r="216" ht="15.75" customHeight="1" outlineLevel="1">
      <c r="A216" s="211"/>
      <c r="B216" s="227"/>
      <c r="C216" s="211"/>
      <c r="D216" s="214" t="str">
        <f>IFERROR(VLOOKUP($C216,'PORTIFÓLIO'!C:V,2,0),"")</f>
        <v/>
      </c>
      <c r="E216" s="211" t="str">
        <f>IFERROR(VLOOKUP($C216,'PORTIFÓLIO'!C:V,3,0),"")</f>
        <v/>
      </c>
      <c r="F216" s="211" t="str">
        <f>IFERROR(VLOOKUP($C216,'PORTIFÓLIO'!C:V,4,0),"")</f>
        <v/>
      </c>
      <c r="G216" s="215" t="str">
        <f>IFERROR(VLOOKUP($C216,'PORTIFÓLIO'!C:V,5,0),"")</f>
        <v/>
      </c>
      <c r="H216" s="254" t="str">
        <f t="array" ref="H216">IFERROR(INDEX('PORTIFÓLIO'!$H$4:$H$433,MATCH($C216,'PORTIFÓLIO'!$C$4:$C$433,0)),"")</f>
        <v/>
      </c>
      <c r="I216" s="256"/>
      <c r="J216" s="218">
        <f t="shared" si="24"/>
        <v>0</v>
      </c>
      <c r="K216" s="219" t="str">
        <f>IFERROR(I216* VLOOKUP($C216,'PORTIFÓLIO'!C:V,10,0),"")</f>
        <v/>
      </c>
      <c r="L216" s="219" t="str">
        <f>IFERROR(J216* VLOOKUP($C216,'PORTIFÓLIO'!C:V,10,0),"")</f>
        <v/>
      </c>
      <c r="M216" s="220"/>
      <c r="N216" s="220"/>
      <c r="O216" s="220"/>
      <c r="P216" s="220"/>
      <c r="Q216" s="220"/>
      <c r="R216" s="220"/>
      <c r="S216" s="220"/>
      <c r="T216" s="220"/>
      <c r="U216" s="220"/>
      <c r="V216" s="220"/>
      <c r="W216" s="220"/>
    </row>
    <row r="217" ht="15.75" customHeight="1" outlineLevel="1">
      <c r="A217" s="211"/>
      <c r="B217" s="227"/>
      <c r="C217" s="211"/>
      <c r="D217" s="214" t="str">
        <f>IFERROR(VLOOKUP($C217,'PORTIFÓLIO'!C:V,2,0),"")</f>
        <v/>
      </c>
      <c r="E217" s="211" t="str">
        <f>IFERROR(VLOOKUP($C217,'PORTIFÓLIO'!C:V,3,0),"")</f>
        <v/>
      </c>
      <c r="F217" s="211" t="str">
        <f>IFERROR(VLOOKUP($C217,'PORTIFÓLIO'!C:V,4,0),"")</f>
        <v/>
      </c>
      <c r="G217" s="215" t="str">
        <f>IFERROR(VLOOKUP($C217,'PORTIFÓLIO'!C:V,5,0),"")</f>
        <v/>
      </c>
      <c r="H217" s="254" t="str">
        <f t="array" ref="H217">IFERROR(INDEX('PORTIFÓLIO'!$H$4:$H$433,MATCH($C217,'PORTIFÓLIO'!$C$4:$C$433,0)),"")</f>
        <v/>
      </c>
      <c r="I217" s="256"/>
      <c r="J217" s="218">
        <f t="shared" si="24"/>
        <v>0</v>
      </c>
      <c r="K217" s="219" t="str">
        <f>IFERROR(I217* VLOOKUP($C217,'PORTIFÓLIO'!C:V,10,0),"")</f>
        <v/>
      </c>
      <c r="L217" s="219" t="str">
        <f>IFERROR(J217* VLOOKUP($C217,'PORTIFÓLIO'!C:V,10,0),"")</f>
        <v/>
      </c>
      <c r="M217" s="220"/>
      <c r="N217" s="220"/>
      <c r="O217" s="220"/>
      <c r="P217" s="220"/>
      <c r="Q217" s="220"/>
      <c r="R217" s="220"/>
      <c r="S217" s="220"/>
      <c r="T217" s="220"/>
      <c r="U217" s="220"/>
      <c r="V217" s="220"/>
      <c r="W217" s="220"/>
    </row>
    <row r="218" ht="15.75" customHeight="1" outlineLevel="1">
      <c r="A218" s="211"/>
      <c r="B218" s="227"/>
      <c r="C218" s="211"/>
      <c r="D218" s="214" t="str">
        <f>IFERROR(VLOOKUP($C218,'PORTIFÓLIO'!C:V,2,0),"")</f>
        <v/>
      </c>
      <c r="E218" s="211" t="str">
        <f>IFERROR(VLOOKUP($C218,'PORTIFÓLIO'!C:V,3,0),"")</f>
        <v/>
      </c>
      <c r="F218" s="211" t="str">
        <f>IFERROR(VLOOKUP($C218,'PORTIFÓLIO'!C:V,4,0),"")</f>
        <v/>
      </c>
      <c r="G218" s="215" t="str">
        <f>IFERROR(VLOOKUP($C218,'PORTIFÓLIO'!C:V,5,0),"")</f>
        <v/>
      </c>
      <c r="H218" s="254" t="str">
        <f t="array" ref="H218">IFERROR(INDEX('PORTIFÓLIO'!$H$4:$H$433,MATCH($C218,'PORTIFÓLIO'!$C$4:$C$433,0)),"")</f>
        <v/>
      </c>
      <c r="I218" s="256"/>
      <c r="J218" s="218">
        <f t="shared" si="24"/>
        <v>0</v>
      </c>
      <c r="K218" s="219" t="str">
        <f>IFERROR(I218* VLOOKUP($C218,'PORTIFÓLIO'!C:V,10,0),"")</f>
        <v/>
      </c>
      <c r="L218" s="219" t="str">
        <f>IFERROR(J218* VLOOKUP($C218,'PORTIFÓLIO'!C:V,10,0),"")</f>
        <v/>
      </c>
      <c r="M218" s="220"/>
      <c r="N218" s="220"/>
      <c r="O218" s="220"/>
      <c r="P218" s="220"/>
      <c r="Q218" s="220"/>
      <c r="R218" s="220"/>
      <c r="S218" s="220"/>
      <c r="T218" s="220"/>
      <c r="U218" s="220"/>
      <c r="V218" s="220"/>
      <c r="W218" s="220"/>
    </row>
    <row r="219" ht="15.75" customHeight="1" outlineLevel="1">
      <c r="A219" s="211"/>
      <c r="B219" s="227"/>
      <c r="C219" s="211"/>
      <c r="D219" s="214" t="str">
        <f>IFERROR(VLOOKUP($C219,'PORTIFÓLIO'!C:V,2,0),"")</f>
        <v/>
      </c>
      <c r="E219" s="211" t="str">
        <f>IFERROR(VLOOKUP($C219,'PORTIFÓLIO'!C:V,3,0),"")</f>
        <v/>
      </c>
      <c r="F219" s="211" t="str">
        <f>IFERROR(VLOOKUP($C219,'PORTIFÓLIO'!C:V,4,0),"")</f>
        <v/>
      </c>
      <c r="G219" s="215" t="str">
        <f>IFERROR(VLOOKUP($C219,'PORTIFÓLIO'!C:V,5,0),"")</f>
        <v/>
      </c>
      <c r="H219" s="254" t="str">
        <f t="array" ref="H219">IFERROR(INDEX('PORTIFÓLIO'!$H$4:$H$433,MATCH($C219,'PORTIFÓLIO'!$C$4:$C$433,0)),"")</f>
        <v/>
      </c>
      <c r="I219" s="256"/>
      <c r="J219" s="218">
        <f t="shared" si="24"/>
        <v>0</v>
      </c>
      <c r="K219" s="219" t="str">
        <f>IFERROR(I219* VLOOKUP($C219,'PORTIFÓLIO'!C:V,10,0),"")</f>
        <v/>
      </c>
      <c r="L219" s="219" t="str">
        <f>IFERROR(J219* VLOOKUP($C219,'PORTIFÓLIO'!C:V,10,0),"")</f>
        <v/>
      </c>
      <c r="M219" s="220"/>
      <c r="N219" s="220"/>
      <c r="O219" s="220"/>
      <c r="P219" s="220"/>
      <c r="Q219" s="220"/>
      <c r="R219" s="220"/>
      <c r="S219" s="220"/>
      <c r="T219" s="220"/>
      <c r="U219" s="220"/>
      <c r="V219" s="220"/>
      <c r="W219" s="220"/>
    </row>
    <row r="220" ht="15.75" customHeight="1" outlineLevel="1">
      <c r="A220" s="211"/>
      <c r="B220" s="227"/>
      <c r="C220" s="211"/>
      <c r="D220" s="214" t="str">
        <f>IFERROR(VLOOKUP($C220,'PORTIFÓLIO'!C:V,2,0),"")</f>
        <v/>
      </c>
      <c r="E220" s="211" t="str">
        <f>IFERROR(VLOOKUP($C220,'PORTIFÓLIO'!C:V,3,0),"")</f>
        <v/>
      </c>
      <c r="F220" s="211" t="str">
        <f>IFERROR(VLOOKUP($C220,'PORTIFÓLIO'!C:V,4,0),"")</f>
        <v/>
      </c>
      <c r="G220" s="215" t="str">
        <f>IFERROR(VLOOKUP($C220,'PORTIFÓLIO'!C:V,5,0),"")</f>
        <v/>
      </c>
      <c r="H220" s="254" t="str">
        <f t="array" ref="H220">IFERROR(INDEX('PORTIFÓLIO'!$H$4:$H$433,MATCH($C220,'PORTIFÓLIO'!$C$4:$C$433,0)),"")</f>
        <v/>
      </c>
      <c r="I220" s="256"/>
      <c r="J220" s="218">
        <f t="shared" si="24"/>
        <v>0</v>
      </c>
      <c r="K220" s="219" t="str">
        <f>IFERROR(I220* VLOOKUP($C220,'PORTIFÓLIO'!C:V,10,0),"")</f>
        <v/>
      </c>
      <c r="L220" s="219" t="str">
        <f>IFERROR(J220* VLOOKUP($C220,'PORTIFÓLIO'!C:V,10,0),"")</f>
        <v/>
      </c>
      <c r="M220" s="220"/>
      <c r="N220" s="220"/>
      <c r="O220" s="220"/>
      <c r="P220" s="220"/>
      <c r="Q220" s="220"/>
      <c r="R220" s="220"/>
      <c r="S220" s="220"/>
      <c r="T220" s="220"/>
      <c r="U220" s="220"/>
      <c r="V220" s="220"/>
      <c r="W220" s="220"/>
    </row>
    <row r="221" ht="15.75" customHeight="1" outlineLevel="1">
      <c r="A221" s="211"/>
      <c r="B221" s="227"/>
      <c r="C221" s="211"/>
      <c r="D221" s="214" t="str">
        <f>IFERROR(VLOOKUP($C221,'PORTIFÓLIO'!C:V,2,0),"")</f>
        <v/>
      </c>
      <c r="E221" s="211" t="str">
        <f>IFERROR(VLOOKUP($C221,'PORTIFÓLIO'!C:V,3,0),"")</f>
        <v/>
      </c>
      <c r="F221" s="211" t="str">
        <f>IFERROR(VLOOKUP($C221,'PORTIFÓLIO'!C:V,4,0),"")</f>
        <v/>
      </c>
      <c r="G221" s="215" t="str">
        <f>IFERROR(VLOOKUP($C221,'PORTIFÓLIO'!C:V,5,0),"")</f>
        <v/>
      </c>
      <c r="H221" s="254" t="str">
        <f t="array" ref="H221">IFERROR(INDEX('PORTIFÓLIO'!$H$4:$H$433,MATCH($C221,'PORTIFÓLIO'!$C$4:$C$433,0)),"")</f>
        <v/>
      </c>
      <c r="I221" s="256"/>
      <c r="J221" s="218">
        <f t="shared" si="24"/>
        <v>0</v>
      </c>
      <c r="K221" s="219" t="str">
        <f>IFERROR(I221* VLOOKUP($C221,'PORTIFÓLIO'!C:V,10,0),"")</f>
        <v/>
      </c>
      <c r="L221" s="219" t="str">
        <f>IFERROR(J221* VLOOKUP($C221,'PORTIFÓLIO'!C:V,10,0),"")</f>
        <v/>
      </c>
      <c r="M221" s="220"/>
      <c r="N221" s="220"/>
      <c r="O221" s="220"/>
      <c r="P221" s="220"/>
      <c r="Q221" s="220"/>
      <c r="R221" s="220"/>
      <c r="S221" s="220"/>
      <c r="T221" s="220"/>
      <c r="U221" s="220"/>
      <c r="V221" s="220"/>
      <c r="W221" s="220"/>
    </row>
    <row r="222" ht="15.75" customHeight="1" outlineLevel="1">
      <c r="A222" s="211"/>
      <c r="B222" s="227"/>
      <c r="C222" s="211"/>
      <c r="D222" s="214" t="str">
        <f>IFERROR(VLOOKUP($C222,'PORTIFÓLIO'!C:V,2,0),"")</f>
        <v/>
      </c>
      <c r="E222" s="211" t="str">
        <f>IFERROR(VLOOKUP($C222,'PORTIFÓLIO'!C:V,3,0),"")</f>
        <v/>
      </c>
      <c r="F222" s="211" t="str">
        <f>IFERROR(VLOOKUP($C222,'PORTIFÓLIO'!C:V,4,0),"")</f>
        <v/>
      </c>
      <c r="G222" s="215" t="str">
        <f>IFERROR(VLOOKUP($C222,'PORTIFÓLIO'!C:V,5,0),"")</f>
        <v/>
      </c>
      <c r="H222" s="254" t="str">
        <f t="array" ref="H222">IFERROR(INDEX('PORTIFÓLIO'!$H$4:$H$433,MATCH($C222,'PORTIFÓLIO'!$C$4:$C$433,0)),"")</f>
        <v/>
      </c>
      <c r="I222" s="256"/>
      <c r="J222" s="218">
        <f t="shared" si="24"/>
        <v>0</v>
      </c>
      <c r="K222" s="219" t="str">
        <f>IFERROR(I222* VLOOKUP($C222,'PORTIFÓLIO'!C:V,10,0),"")</f>
        <v/>
      </c>
      <c r="L222" s="219" t="str">
        <f>IFERROR(J222* VLOOKUP($C222,'PORTIFÓLIO'!C:V,10,0),"")</f>
        <v/>
      </c>
      <c r="M222" s="220"/>
      <c r="N222" s="220"/>
      <c r="O222" s="220"/>
      <c r="P222" s="220"/>
      <c r="Q222" s="220"/>
      <c r="R222" s="220"/>
      <c r="S222" s="220"/>
      <c r="T222" s="220"/>
      <c r="U222" s="220"/>
      <c r="V222" s="220"/>
      <c r="W222" s="220"/>
    </row>
    <row r="223" ht="15.75" customHeight="1" outlineLevel="1">
      <c r="A223" s="211"/>
      <c r="B223" s="227"/>
      <c r="C223" s="211"/>
      <c r="D223" s="214" t="str">
        <f>IFERROR(VLOOKUP($C223,'PORTIFÓLIO'!C:V,2,0),"")</f>
        <v/>
      </c>
      <c r="E223" s="211" t="str">
        <f>IFERROR(VLOOKUP($C223,'PORTIFÓLIO'!C:V,3,0),"")</f>
        <v/>
      </c>
      <c r="F223" s="211" t="str">
        <f>IFERROR(VLOOKUP($C223,'PORTIFÓLIO'!C:V,4,0),"")</f>
        <v/>
      </c>
      <c r="G223" s="215" t="str">
        <f>IFERROR(VLOOKUP($C223,'PORTIFÓLIO'!C:V,5,0),"")</f>
        <v/>
      </c>
      <c r="H223" s="254" t="str">
        <f t="array" ref="H223">IFERROR(INDEX('PORTIFÓLIO'!$H$4:$H$433,MATCH($C223,'PORTIFÓLIO'!$C$4:$C$433,0)),"")</f>
        <v/>
      </c>
      <c r="I223" s="256"/>
      <c r="J223" s="218">
        <f t="shared" si="24"/>
        <v>0</v>
      </c>
      <c r="K223" s="219" t="str">
        <f>IFERROR(I223* VLOOKUP($C223,'PORTIFÓLIO'!C:V,10,0),"")</f>
        <v/>
      </c>
      <c r="L223" s="219" t="str">
        <f>IFERROR(J223* VLOOKUP($C223,'PORTIFÓLIO'!C:V,10,0),"")</f>
        <v/>
      </c>
      <c r="M223" s="220"/>
      <c r="N223" s="220"/>
      <c r="O223" s="220"/>
      <c r="P223" s="220"/>
      <c r="Q223" s="220"/>
      <c r="R223" s="220"/>
      <c r="S223" s="220"/>
      <c r="T223" s="220"/>
      <c r="U223" s="220"/>
      <c r="V223" s="220"/>
      <c r="W223" s="220"/>
    </row>
    <row r="224" ht="15.75" customHeight="1" outlineLevel="1">
      <c r="A224" s="211"/>
      <c r="B224" s="227"/>
      <c r="C224" s="211"/>
      <c r="D224" s="214" t="str">
        <f>IFERROR(VLOOKUP($C224,'PORTIFÓLIO'!C:V,2,0),"")</f>
        <v/>
      </c>
      <c r="E224" s="211" t="str">
        <f>IFERROR(VLOOKUP($C224,'PORTIFÓLIO'!C:V,3,0),"")</f>
        <v/>
      </c>
      <c r="F224" s="211" t="str">
        <f>IFERROR(VLOOKUP($C224,'PORTIFÓLIO'!C:V,4,0),"")</f>
        <v/>
      </c>
      <c r="G224" s="215" t="str">
        <f>IFERROR(VLOOKUP($C224,'PORTIFÓLIO'!C:V,5,0),"")</f>
        <v/>
      </c>
      <c r="H224" s="254" t="str">
        <f t="array" ref="H224">IFERROR(INDEX('PORTIFÓLIO'!$H$4:$H$433,MATCH($C224,'PORTIFÓLIO'!$C$4:$C$433,0)),"")</f>
        <v/>
      </c>
      <c r="I224" s="256"/>
      <c r="J224" s="218">
        <f t="shared" si="24"/>
        <v>0</v>
      </c>
      <c r="K224" s="219" t="str">
        <f>IFERROR(I224* VLOOKUP($C224,'PORTIFÓLIO'!C:V,10,0),"")</f>
        <v/>
      </c>
      <c r="L224" s="219" t="str">
        <f>IFERROR(J224* VLOOKUP($C224,'PORTIFÓLIO'!C:V,10,0),"")</f>
        <v/>
      </c>
      <c r="M224" s="220"/>
      <c r="N224" s="220"/>
      <c r="O224" s="220"/>
      <c r="P224" s="220"/>
      <c r="Q224" s="220"/>
      <c r="R224" s="220"/>
      <c r="S224" s="220"/>
      <c r="T224" s="220"/>
      <c r="U224" s="220"/>
      <c r="V224" s="220"/>
      <c r="W224" s="220"/>
    </row>
    <row r="225" ht="15.75" customHeight="1">
      <c r="A225" s="227"/>
      <c r="B225" s="227"/>
      <c r="C225" s="227"/>
      <c r="D225" s="227"/>
      <c r="E225" s="227"/>
      <c r="F225" s="227"/>
      <c r="G225" s="215"/>
      <c r="H225" s="278" t="str">
        <f t="array" ref="H225">IFERROR(INDEX('PORTIFÓLIO'!$H$4:$H$433,MATCH($C225,'PORTIFÓLIO'!$C$4:$C$433,0)),"")</f>
        <v/>
      </c>
      <c r="I225" s="227"/>
      <c r="J225" s="227"/>
      <c r="K225" s="284">
        <f t="shared" ref="K225:L225" si="25">SUBTOTAL(9,K10:K200)</f>
        <v>657.7674496</v>
      </c>
      <c r="L225" s="284">
        <f t="shared" si="25"/>
        <v>85509.76845</v>
      </c>
      <c r="M225" s="220"/>
      <c r="N225" s="220"/>
      <c r="O225" s="220"/>
      <c r="P225" s="220"/>
      <c r="Q225" s="220"/>
      <c r="R225" s="220"/>
      <c r="S225" s="220"/>
      <c r="T225" s="220"/>
      <c r="U225" s="220"/>
      <c r="V225" s="220"/>
      <c r="W225" s="220"/>
    </row>
    <row r="226" ht="15.75" customHeight="1">
      <c r="A226" s="285"/>
      <c r="B226" s="285"/>
      <c r="C226" s="285"/>
      <c r="D226" s="285"/>
      <c r="E226" s="285"/>
      <c r="F226" s="285"/>
      <c r="G226" s="286"/>
      <c r="H226" s="286"/>
      <c r="I226" s="285"/>
      <c r="J226" s="285"/>
      <c r="K226" s="285"/>
      <c r="L226" s="285"/>
      <c r="M226" s="285"/>
      <c r="N226" s="285"/>
      <c r="O226" s="285"/>
      <c r="P226" s="285"/>
      <c r="Q226" s="285"/>
      <c r="R226" s="285"/>
      <c r="S226" s="285"/>
      <c r="T226" s="285"/>
      <c r="U226" s="285"/>
      <c r="V226" s="285"/>
      <c r="W226" s="285"/>
    </row>
    <row r="227" ht="15.75" customHeight="1">
      <c r="A227" s="260" t="s">
        <v>1203</v>
      </c>
      <c r="B227" s="261" t="str">
        <f>'ÁREA PLANTIO'!B16</f>
        <v>P 04</v>
      </c>
      <c r="C227" s="262" t="s">
        <v>1166</v>
      </c>
      <c r="D227" s="263">
        <f>$K$452</f>
        <v>0</v>
      </c>
      <c r="E227" s="264"/>
      <c r="F227" s="265" t="s">
        <v>1167</v>
      </c>
      <c r="G227" s="266"/>
      <c r="H227" s="287" t="str">
        <f t="array" ref="H227">IFERROR(INDEX('PORTIFÓLIO'!$H$4:$H$433,MATCH($C227,'PORTIFÓLIO'!$C$4:$C$433,0)),"")</f>
        <v/>
      </c>
      <c r="I227" s="267"/>
      <c r="J227" s="267"/>
      <c r="K227" s="266"/>
      <c r="L227" s="220"/>
      <c r="M227" s="220"/>
      <c r="N227" s="220"/>
      <c r="O227" s="220"/>
      <c r="P227" s="220"/>
      <c r="Q227" s="220"/>
      <c r="R227" s="220"/>
      <c r="S227" s="220"/>
      <c r="T227" s="220"/>
      <c r="U227" s="220"/>
      <c r="V227" s="220"/>
      <c r="W227" s="220"/>
    </row>
    <row r="228" ht="15.75" customHeight="1">
      <c r="A228" s="260" t="s">
        <v>1168</v>
      </c>
      <c r="B228" s="268">
        <f>'ÁREA PLANTIO'!E16</f>
        <v>130</v>
      </c>
      <c r="C228" s="269" t="s">
        <v>1169</v>
      </c>
      <c r="D228" s="270" t="str">
        <f>'ÁREA PLANTIO'!I16</f>
        <v/>
      </c>
      <c r="E228" s="264"/>
      <c r="F228" s="264"/>
      <c r="G228" s="266"/>
      <c r="H228" s="287" t="str">
        <f t="array" ref="H228">IFERROR(INDEX('PORTIFÓLIO'!$H$4:$H$433,MATCH($C228,'PORTIFÓLIO'!$C$4:$C$433,0)),"")</f>
        <v/>
      </c>
      <c r="I228" s="267"/>
      <c r="J228" s="267"/>
      <c r="K228" s="266"/>
      <c r="L228" s="220"/>
      <c r="M228" s="220"/>
      <c r="N228" s="220"/>
      <c r="O228" s="220"/>
      <c r="P228" s="220"/>
      <c r="Q228" s="220"/>
      <c r="R228" s="220"/>
      <c r="S228" s="220"/>
      <c r="T228" s="220"/>
      <c r="U228" s="220"/>
      <c r="V228" s="220"/>
      <c r="W228" s="220"/>
    </row>
    <row r="229" ht="15.75" customHeight="1">
      <c r="A229" s="260" t="s">
        <v>1170</v>
      </c>
      <c r="B229" s="267" t="str">
        <f>'ÁREA PLANTIO'!H16</f>
        <v/>
      </c>
      <c r="C229" s="269" t="s">
        <v>1171</v>
      </c>
      <c r="D229" s="271" t="str">
        <f>D227/D228</f>
        <v>#DIV/0!</v>
      </c>
      <c r="E229" s="264"/>
      <c r="F229" s="264"/>
      <c r="G229" s="266"/>
      <c r="H229" s="287" t="str">
        <f t="array" ref="H229">IFERROR(INDEX('PORTIFÓLIO'!$H$4:$H$433,MATCH($C229,'PORTIFÓLIO'!$C$4:$C$433,0)),"")</f>
        <v/>
      </c>
      <c r="I229" s="267"/>
      <c r="J229" s="267"/>
      <c r="K229" s="266"/>
      <c r="L229" s="220"/>
      <c r="M229" s="220"/>
      <c r="N229" s="220"/>
      <c r="O229" s="220"/>
      <c r="P229" s="220"/>
      <c r="Q229" s="220"/>
      <c r="R229" s="220"/>
      <c r="S229" s="220"/>
      <c r="T229" s="220"/>
      <c r="U229" s="220"/>
      <c r="V229" s="220"/>
      <c r="W229" s="220"/>
    </row>
    <row r="230" ht="15.75" customHeight="1">
      <c r="A230" s="272" t="s">
        <v>1172</v>
      </c>
      <c r="B230" s="273">
        <v>45606.0</v>
      </c>
      <c r="C230" s="274"/>
      <c r="D230" s="275"/>
      <c r="E230" s="276"/>
      <c r="F230" s="264"/>
      <c r="G230" s="266"/>
      <c r="H230" s="287" t="str">
        <f t="array" ref="H230">IFERROR(INDEX('PORTIFÓLIO'!$H$4:$H$433,MATCH($C230,'PORTIFÓLIO'!$C$4:$C$433,0)),"")</f>
        <v/>
      </c>
      <c r="I230" s="267"/>
      <c r="J230" s="267"/>
      <c r="K230" s="266"/>
      <c r="L230" s="220"/>
      <c r="M230" s="220"/>
      <c r="N230" s="220"/>
      <c r="O230" s="220"/>
      <c r="P230" s="220"/>
      <c r="Q230" s="220"/>
      <c r="R230" s="220"/>
      <c r="S230" s="220"/>
      <c r="T230" s="220"/>
      <c r="U230" s="220"/>
      <c r="V230" s="220"/>
      <c r="W230" s="220"/>
    </row>
    <row r="231" ht="15.75" customHeight="1">
      <c r="E231" s="277"/>
      <c r="F231" s="264"/>
      <c r="G231" s="266"/>
      <c r="H231" s="287" t="str">
        <f t="array" ref="H231">IFERROR(INDEX('PORTIFÓLIO'!$H$4:$H$433,MATCH($C231,'PORTIFÓLIO'!$C$4:$C$433,0)),"")</f>
        <v/>
      </c>
      <c r="I231" s="267"/>
      <c r="J231" s="267"/>
      <c r="K231" s="266"/>
      <c r="L231" s="220"/>
      <c r="M231" s="220"/>
      <c r="N231" s="220"/>
      <c r="O231" s="220"/>
      <c r="P231" s="220"/>
      <c r="Q231" s="220"/>
      <c r="R231" s="220"/>
      <c r="S231" s="220"/>
      <c r="T231" s="220"/>
      <c r="U231" s="220"/>
      <c r="V231" s="220"/>
      <c r="W231" s="220"/>
    </row>
    <row r="232" ht="15.75" customHeight="1">
      <c r="A232" s="260"/>
      <c r="B232" s="267"/>
      <c r="C232" s="264"/>
      <c r="D232" s="264"/>
      <c r="E232" s="264"/>
      <c r="F232" s="264"/>
      <c r="G232" s="266"/>
      <c r="H232" s="287" t="str">
        <f t="array" ref="H232">IFERROR(INDEX('PORTIFÓLIO'!$H$4:$H$433,MATCH($C232,'PORTIFÓLIO'!$C$4:$C$433,0)),"")</f>
        <v/>
      </c>
      <c r="I232" s="267"/>
      <c r="J232" s="267"/>
      <c r="K232" s="266"/>
      <c r="L232" s="220"/>
      <c r="M232" s="220"/>
      <c r="N232" s="220"/>
      <c r="O232" s="220"/>
      <c r="P232" s="220"/>
      <c r="Q232" s="220"/>
      <c r="R232" s="220"/>
      <c r="S232" s="220"/>
      <c r="T232" s="220"/>
      <c r="U232" s="220"/>
      <c r="V232" s="220"/>
      <c r="W232" s="220"/>
    </row>
    <row r="233" ht="15.75" customHeight="1">
      <c r="A233" s="267"/>
      <c r="B233" s="267"/>
      <c r="C233" s="264"/>
      <c r="D233" s="264"/>
      <c r="E233" s="264"/>
      <c r="F233" s="264"/>
      <c r="G233" s="266"/>
      <c r="H233" s="287" t="str">
        <f t="array" ref="H233">IFERROR(INDEX('PORTIFÓLIO'!$H$4:$H$433,MATCH($C233,'PORTIFÓLIO'!$C$4:$C$433,0)),"")</f>
        <v/>
      </c>
      <c r="I233" s="267"/>
      <c r="J233" s="267"/>
      <c r="K233" s="266"/>
      <c r="L233" s="220"/>
      <c r="M233" s="220"/>
      <c r="N233" s="220"/>
      <c r="O233" s="220"/>
      <c r="P233" s="220"/>
      <c r="Q233" s="220"/>
      <c r="R233" s="220"/>
      <c r="S233" s="220"/>
      <c r="T233" s="220"/>
      <c r="U233" s="220"/>
      <c r="V233" s="220"/>
      <c r="W233" s="220"/>
    </row>
    <row r="234" ht="15.75" customHeight="1">
      <c r="A234" s="267"/>
      <c r="B234" s="267"/>
      <c r="C234" s="267"/>
      <c r="D234" s="267"/>
      <c r="E234" s="264"/>
      <c r="F234" s="264"/>
      <c r="G234" s="266"/>
      <c r="H234" s="287" t="str">
        <f t="array" ref="H234">IFERROR(INDEX('PORTIFÓLIO'!$H$4:$H$433,MATCH($C234,'PORTIFÓLIO'!$C$4:$C$433,0)),"")</f>
        <v/>
      </c>
      <c r="I234" s="267"/>
      <c r="J234" s="267"/>
      <c r="K234" s="266"/>
      <c r="L234" s="220"/>
      <c r="M234" s="220"/>
      <c r="N234" s="220"/>
      <c r="O234" s="220"/>
      <c r="P234" s="220"/>
      <c r="Q234" s="220"/>
      <c r="R234" s="220"/>
      <c r="S234" s="220"/>
      <c r="T234" s="220"/>
      <c r="U234" s="220"/>
      <c r="V234" s="220"/>
      <c r="W234" s="220"/>
    </row>
    <row r="235" ht="15.75" customHeight="1">
      <c r="A235" s="267"/>
      <c r="B235" s="267"/>
      <c r="C235" s="267"/>
      <c r="D235" s="267"/>
      <c r="E235" s="267"/>
      <c r="F235" s="267"/>
      <c r="G235" s="266"/>
      <c r="H235" s="287"/>
      <c r="I235" s="287"/>
      <c r="J235" s="288"/>
      <c r="K235" s="289"/>
      <c r="L235" s="290"/>
      <c r="M235" s="220"/>
      <c r="N235" s="220"/>
      <c r="O235" s="220"/>
      <c r="P235" s="220"/>
      <c r="Q235" s="220"/>
      <c r="R235" s="220"/>
      <c r="S235" s="220"/>
      <c r="T235" s="220"/>
      <c r="U235" s="220"/>
      <c r="V235" s="220"/>
      <c r="W235" s="220"/>
    </row>
    <row r="236" ht="15.75" customHeight="1">
      <c r="A236" s="211" t="s">
        <v>1173</v>
      </c>
      <c r="B236" s="213" t="s">
        <v>1174</v>
      </c>
      <c r="C236" s="213" t="s">
        <v>1175</v>
      </c>
      <c r="D236" s="211" t="s">
        <v>1176</v>
      </c>
      <c r="E236" s="211" t="s">
        <v>1177</v>
      </c>
      <c r="F236" s="211" t="s">
        <v>1178</v>
      </c>
      <c r="G236" s="291" t="s">
        <v>1180</v>
      </c>
      <c r="H236" s="278" t="s">
        <v>1179</v>
      </c>
      <c r="I236" s="278" t="s">
        <v>1181</v>
      </c>
      <c r="J236" s="279" t="s">
        <v>1134</v>
      </c>
      <c r="K236" s="280" t="s">
        <v>1182</v>
      </c>
      <c r="L236" s="281" t="s">
        <v>339</v>
      </c>
      <c r="M236" s="220"/>
      <c r="N236" s="220"/>
      <c r="O236" s="220"/>
      <c r="P236" s="220"/>
      <c r="Q236" s="220"/>
      <c r="R236" s="220"/>
      <c r="S236" s="220"/>
      <c r="T236" s="220"/>
      <c r="U236" s="220"/>
      <c r="V236" s="220"/>
      <c r="W236" s="220"/>
    </row>
    <row r="237" ht="15.75" customHeight="1">
      <c r="A237" s="231" t="s">
        <v>1183</v>
      </c>
      <c r="B237" s="230"/>
      <c r="C237" s="231"/>
      <c r="D237" s="232"/>
      <c r="E237" s="231"/>
      <c r="F237" s="231"/>
      <c r="G237" s="233"/>
      <c r="H237" s="233"/>
      <c r="I237" s="258"/>
      <c r="J237" s="236"/>
      <c r="K237" s="237">
        <f t="shared" ref="K237:L237" si="26">SUBTOTAL(9,K238:K251)</f>
        <v>0</v>
      </c>
      <c r="L237" s="237">
        <f t="shared" si="26"/>
        <v>0</v>
      </c>
      <c r="M237" s="220"/>
      <c r="N237" s="220"/>
      <c r="O237" s="220"/>
      <c r="P237" s="220"/>
      <c r="Q237" s="220"/>
      <c r="R237" s="220"/>
      <c r="S237" s="220"/>
      <c r="T237" s="220"/>
      <c r="U237" s="220"/>
      <c r="V237" s="220"/>
      <c r="W237" s="220"/>
    </row>
    <row r="238" ht="15.75" customHeight="1" outlineLevel="1">
      <c r="A238" s="211"/>
      <c r="B238" s="212"/>
      <c r="C238" s="213"/>
      <c r="D238" s="214" t="str">
        <f>IFERROR(VLOOKUP($C238,'PORTIFÓLIO'!C:V,2,0),"")</f>
        <v/>
      </c>
      <c r="E238" s="211" t="str">
        <f>IFERROR(VLOOKUP($C238,'PORTIFÓLIO'!C:V,3,0),"")</f>
        <v/>
      </c>
      <c r="F238" s="211" t="str">
        <f>IFERROR(VLOOKUP($C238,'PORTIFÓLIO'!C:V,4,0),"")</f>
        <v/>
      </c>
      <c r="G238" s="215" t="str">
        <f>IFERROR(VLOOKUP($C238,'PORTIFÓLIO'!C:V,5,0),"")</f>
        <v/>
      </c>
      <c r="H238" s="254" t="str">
        <f t="array" ref="H238">IFERROR(INDEX('PORTIFÓLIO'!$H$4:$H$433,MATCH($C238,'PORTIFÓLIO'!$C$4:$C$433,0)),"")</f>
        <v/>
      </c>
      <c r="I238" s="255"/>
      <c r="J238" s="218">
        <f t="shared" ref="J238:J251" si="27">I238*$B$2</f>
        <v>0</v>
      </c>
      <c r="K238" s="219" t="str">
        <f t="array" ref="K238">IFERROR(I238*INDEX('PORTIFÓLIO'!$S$4:$S$433,MATCH($C238,'PORTIFÓLIO'!$C$4:$C$433,0)),"")</f>
        <v/>
      </c>
      <c r="L238" s="219" t="str">
        <f t="array" ref="L238">IFERROR(J238*INDEX('PORTIFÓLIO'!$S$4:$S$433,MATCH($C238,'PORTIFÓLIO'!$C$4:$C$433,0)),"")</f>
        <v/>
      </c>
      <c r="M238" s="220"/>
      <c r="N238" s="220"/>
      <c r="O238" s="220"/>
      <c r="P238" s="220"/>
      <c r="Q238" s="220"/>
      <c r="R238" s="220"/>
      <c r="S238" s="220"/>
      <c r="T238" s="220"/>
      <c r="U238" s="220"/>
      <c r="V238" s="220"/>
      <c r="W238" s="220"/>
    </row>
    <row r="239" ht="15.75" customHeight="1" outlineLevel="1">
      <c r="A239" s="211"/>
      <c r="B239" s="212"/>
      <c r="C239" s="213"/>
      <c r="D239" s="214" t="str">
        <f>IFERROR(VLOOKUP($C239,'PORTIFÓLIO'!C:V,2,0),"")</f>
        <v/>
      </c>
      <c r="E239" s="211" t="str">
        <f>IFERROR(VLOOKUP($C239,'PORTIFÓLIO'!C:V,3,0),"")</f>
        <v/>
      </c>
      <c r="F239" s="211" t="str">
        <f>IFERROR(VLOOKUP($C239,'PORTIFÓLIO'!C:V,4,0),"")</f>
        <v/>
      </c>
      <c r="G239" s="215" t="str">
        <f>IFERROR(VLOOKUP($C239,'PORTIFÓLIO'!C:V,5,0),"")</f>
        <v/>
      </c>
      <c r="H239" s="254" t="str">
        <f t="array" ref="H239">IFERROR(INDEX('PORTIFÓLIO'!$H$4:$H$433,MATCH($C239,'PORTIFÓLIO'!$C$4:$C$433,0)),"")</f>
        <v/>
      </c>
      <c r="I239" s="255"/>
      <c r="J239" s="218">
        <f t="shared" si="27"/>
        <v>0</v>
      </c>
      <c r="K239" s="219" t="str">
        <f t="array" ref="K239">IFERROR(I239*INDEX('PORTIFÓLIO'!$S$4:$S$433,MATCH($C239,'PORTIFÓLIO'!$C$4:$C$433,0)),"")</f>
        <v/>
      </c>
      <c r="L239" s="219" t="str">
        <f t="array" ref="L239">IFERROR(J239*INDEX('PORTIFÓLIO'!$S$4:$S$433,MATCH($C239,'PORTIFÓLIO'!$C$4:$C$433,0)),"")</f>
        <v/>
      </c>
      <c r="M239" s="220"/>
      <c r="N239" s="220"/>
      <c r="O239" s="220"/>
      <c r="P239" s="220"/>
      <c r="Q239" s="220"/>
      <c r="R239" s="220"/>
      <c r="S239" s="220"/>
      <c r="T239" s="220"/>
      <c r="U239" s="220"/>
      <c r="V239" s="220"/>
      <c r="W239" s="220"/>
    </row>
    <row r="240" ht="15.75" customHeight="1" outlineLevel="1">
      <c r="A240" s="211"/>
      <c r="B240" s="212"/>
      <c r="C240" s="213"/>
      <c r="D240" s="214" t="str">
        <f>IFERROR(VLOOKUP($C240,'PORTIFÓLIO'!C:V,2,0),"")</f>
        <v/>
      </c>
      <c r="E240" s="211" t="str">
        <f>IFERROR(VLOOKUP($C240,'PORTIFÓLIO'!C:V,3,0),"")</f>
        <v/>
      </c>
      <c r="F240" s="211" t="str">
        <f>IFERROR(VLOOKUP($C240,'PORTIFÓLIO'!C:V,4,0),"")</f>
        <v/>
      </c>
      <c r="G240" s="215" t="str">
        <f>IFERROR(VLOOKUP($C240,'PORTIFÓLIO'!C:V,5,0),"")</f>
        <v/>
      </c>
      <c r="H240" s="254" t="str">
        <f t="array" ref="H240">IFERROR(INDEX('PORTIFÓLIO'!$H$4:$H$433,MATCH($C240,'PORTIFÓLIO'!$C$4:$C$433,0)),"")</f>
        <v/>
      </c>
      <c r="I240" s="256"/>
      <c r="J240" s="218">
        <f t="shared" si="27"/>
        <v>0</v>
      </c>
      <c r="K240" s="219" t="str">
        <f t="array" ref="K240">IFERROR(I240*INDEX('PORTIFÓLIO'!$S$4:$S$433,MATCH($C240,'PORTIFÓLIO'!$C$4:$C$433,0)),"")</f>
        <v/>
      </c>
      <c r="L240" s="219" t="str">
        <f t="array" ref="L240">IFERROR(J240*INDEX('PORTIFÓLIO'!$S$4:$S$433,MATCH($C240,'PORTIFÓLIO'!$C$4:$C$433,0)),"")</f>
        <v/>
      </c>
      <c r="M240" s="220"/>
      <c r="N240" s="220"/>
      <c r="O240" s="220"/>
      <c r="P240" s="220"/>
      <c r="Q240" s="220"/>
      <c r="R240" s="220"/>
      <c r="S240" s="220"/>
      <c r="T240" s="220"/>
      <c r="U240" s="220"/>
      <c r="V240" s="220"/>
      <c r="W240" s="220"/>
    </row>
    <row r="241" ht="15.75" customHeight="1" outlineLevel="1">
      <c r="A241" s="211"/>
      <c r="B241" s="212"/>
      <c r="C241" s="213"/>
      <c r="D241" s="214" t="str">
        <f>IFERROR(VLOOKUP($C241,'PORTIFÓLIO'!C:V,2,0),"")</f>
        <v/>
      </c>
      <c r="E241" s="211" t="str">
        <f>IFERROR(VLOOKUP($C241,'PORTIFÓLIO'!C:V,3,0),"")</f>
        <v/>
      </c>
      <c r="F241" s="211" t="str">
        <f>IFERROR(VLOOKUP($C241,'PORTIFÓLIO'!C:V,4,0),"")</f>
        <v/>
      </c>
      <c r="G241" s="215" t="str">
        <f>IFERROR(VLOOKUP($C241,'PORTIFÓLIO'!C:V,5,0),"")</f>
        <v/>
      </c>
      <c r="H241" s="254" t="str">
        <f t="array" ref="H241">IFERROR(INDEX('PORTIFÓLIO'!$H$4:$H$433,MATCH($C241,'PORTIFÓLIO'!$C$4:$C$433,0)),"")</f>
        <v/>
      </c>
      <c r="I241" s="256"/>
      <c r="J241" s="218">
        <f t="shared" si="27"/>
        <v>0</v>
      </c>
      <c r="K241" s="219" t="str">
        <f t="array" ref="K241">IFERROR(I241*INDEX('PORTIFÓLIO'!$S$4:$S$433,MATCH($C241,'PORTIFÓLIO'!$C$4:$C$433,0)),"")</f>
        <v/>
      </c>
      <c r="L241" s="219" t="str">
        <f t="array" ref="L241">IFERROR(J241*INDEX('PORTIFÓLIO'!$S$4:$S$433,MATCH($C241,'PORTIFÓLIO'!$C$4:$C$433,0)),"")</f>
        <v/>
      </c>
      <c r="M241" s="220"/>
      <c r="N241" s="220"/>
      <c r="O241" s="220"/>
      <c r="P241" s="220"/>
      <c r="Q241" s="220"/>
      <c r="R241" s="220"/>
      <c r="S241" s="220"/>
      <c r="T241" s="220"/>
      <c r="U241" s="220"/>
      <c r="V241" s="220"/>
      <c r="W241" s="220"/>
    </row>
    <row r="242" ht="15.75" customHeight="1" outlineLevel="1">
      <c r="A242" s="211"/>
      <c r="B242" s="212"/>
      <c r="C242" s="213"/>
      <c r="D242" s="214" t="str">
        <f>IFERROR(VLOOKUP($C242,'PORTIFÓLIO'!C:V,2,0),"")</f>
        <v/>
      </c>
      <c r="E242" s="211" t="str">
        <f>IFERROR(VLOOKUP($C242,'PORTIFÓLIO'!C:V,3,0),"")</f>
        <v/>
      </c>
      <c r="F242" s="211" t="str">
        <f>IFERROR(VLOOKUP($C242,'PORTIFÓLIO'!C:V,4,0),"")</f>
        <v/>
      </c>
      <c r="G242" s="215" t="str">
        <f>IFERROR(VLOOKUP($C242,'PORTIFÓLIO'!C:V,5,0),"")</f>
        <v/>
      </c>
      <c r="H242" s="254" t="str">
        <f t="array" ref="H242">IFERROR(INDEX('PORTIFÓLIO'!$H$4:$H$433,MATCH($C242,'PORTIFÓLIO'!$C$4:$C$433,0)),"")</f>
        <v/>
      </c>
      <c r="I242" s="255"/>
      <c r="J242" s="218">
        <f t="shared" si="27"/>
        <v>0</v>
      </c>
      <c r="K242" s="219" t="str">
        <f t="array" ref="K242">IFERROR(I242*INDEX('PORTIFÓLIO'!$S$4:$S$433,MATCH($C242,'PORTIFÓLIO'!$C$4:$C$433,0)),"")</f>
        <v/>
      </c>
      <c r="L242" s="219" t="str">
        <f t="array" ref="L242">IFERROR(J242*INDEX('PORTIFÓLIO'!$S$4:$S$433,MATCH($C242,'PORTIFÓLIO'!$C$4:$C$433,0)),"")</f>
        <v/>
      </c>
      <c r="M242" s="220"/>
      <c r="N242" s="220"/>
      <c r="O242" s="220"/>
      <c r="P242" s="220"/>
      <c r="Q242" s="220"/>
      <c r="R242" s="220"/>
      <c r="S242" s="220"/>
      <c r="T242" s="220"/>
      <c r="U242" s="220"/>
      <c r="V242" s="220"/>
      <c r="W242" s="220"/>
    </row>
    <row r="243" ht="15.75" customHeight="1" outlineLevel="1">
      <c r="A243" s="211"/>
      <c r="B243" s="212"/>
      <c r="C243" s="213"/>
      <c r="D243" s="214" t="str">
        <f>IFERROR(VLOOKUP($C243,'PORTIFÓLIO'!C:V,2,0),"")</f>
        <v/>
      </c>
      <c r="E243" s="211" t="str">
        <f>IFERROR(VLOOKUP($C243,'PORTIFÓLIO'!C:V,3,0),"")</f>
        <v/>
      </c>
      <c r="F243" s="211" t="str">
        <f>IFERROR(VLOOKUP($C243,'PORTIFÓLIO'!C:V,4,0),"")</f>
        <v/>
      </c>
      <c r="G243" s="215" t="str">
        <f>IFERROR(VLOOKUP($C243,'PORTIFÓLIO'!C:V,5,0),"")</f>
        <v/>
      </c>
      <c r="H243" s="254" t="str">
        <f t="array" ref="H243">IFERROR(INDEX('PORTIFÓLIO'!$H$4:$H$433,MATCH($C243,'PORTIFÓLIO'!$C$4:$C$433,0)),"")</f>
        <v/>
      </c>
      <c r="I243" s="256"/>
      <c r="J243" s="218">
        <f t="shared" si="27"/>
        <v>0</v>
      </c>
      <c r="K243" s="219" t="str">
        <f t="array" ref="K243">IFERROR(I243*INDEX('PORTIFÓLIO'!$S$4:$S$433,MATCH($C243,'PORTIFÓLIO'!$C$4:$C$433,0)),"")</f>
        <v/>
      </c>
      <c r="L243" s="219" t="str">
        <f t="array" ref="L243">IFERROR(J243*INDEX('PORTIFÓLIO'!$S$4:$S$433,MATCH($C243,'PORTIFÓLIO'!$C$4:$C$433,0)),"")</f>
        <v/>
      </c>
      <c r="M243" s="220"/>
      <c r="N243" s="220"/>
      <c r="O243" s="220"/>
      <c r="P243" s="220"/>
      <c r="Q243" s="220"/>
      <c r="R243" s="220"/>
      <c r="S243" s="220"/>
      <c r="T243" s="220"/>
      <c r="U243" s="220"/>
      <c r="V243" s="220"/>
      <c r="W243" s="220"/>
    </row>
    <row r="244" ht="15.75" customHeight="1" outlineLevel="1">
      <c r="A244" s="211"/>
      <c r="B244" s="212"/>
      <c r="C244" s="213"/>
      <c r="D244" s="214" t="str">
        <f>IFERROR(VLOOKUP($C244,'PORTIFÓLIO'!C:V,2,0),"")</f>
        <v/>
      </c>
      <c r="E244" s="211" t="str">
        <f>IFERROR(VLOOKUP($C244,'PORTIFÓLIO'!C:V,3,0),"")</f>
        <v/>
      </c>
      <c r="F244" s="211" t="str">
        <f>IFERROR(VLOOKUP($C244,'PORTIFÓLIO'!C:V,4,0),"")</f>
        <v/>
      </c>
      <c r="G244" s="215" t="str">
        <f>IFERROR(VLOOKUP($C244,'PORTIFÓLIO'!C:V,5,0),"")</f>
        <v/>
      </c>
      <c r="H244" s="254" t="str">
        <f t="array" ref="H244">IFERROR(INDEX('PORTIFÓLIO'!$H$4:$H$433,MATCH($C244,'PORTIFÓLIO'!$C$4:$C$433,0)),"")</f>
        <v/>
      </c>
      <c r="I244" s="256"/>
      <c r="J244" s="218">
        <f t="shared" si="27"/>
        <v>0</v>
      </c>
      <c r="K244" s="219" t="str">
        <f t="array" ref="K244">IFERROR(I244*INDEX('PORTIFÓLIO'!$S$4:$S$433,MATCH($C244,'PORTIFÓLIO'!$C$4:$C$433,0)),"")</f>
        <v/>
      </c>
      <c r="L244" s="219" t="str">
        <f t="array" ref="L244">IFERROR(J244*INDEX('PORTIFÓLIO'!$S$4:$S$433,MATCH($C244,'PORTIFÓLIO'!$C$4:$C$433,0)),"")</f>
        <v/>
      </c>
      <c r="M244" s="220"/>
      <c r="N244" s="220"/>
      <c r="O244" s="220"/>
      <c r="P244" s="220"/>
      <c r="Q244" s="220"/>
      <c r="R244" s="220"/>
      <c r="S244" s="220"/>
      <c r="T244" s="220"/>
      <c r="U244" s="220"/>
      <c r="V244" s="220"/>
      <c r="W244" s="220"/>
    </row>
    <row r="245" ht="15.75" customHeight="1" outlineLevel="1">
      <c r="A245" s="211"/>
      <c r="B245" s="212"/>
      <c r="C245" s="213"/>
      <c r="D245" s="214" t="str">
        <f>IFERROR(VLOOKUP($C245,'PORTIFÓLIO'!C:V,2,0),"")</f>
        <v/>
      </c>
      <c r="E245" s="211" t="str">
        <f>IFERROR(VLOOKUP($C245,'PORTIFÓLIO'!C:V,3,0),"")</f>
        <v/>
      </c>
      <c r="F245" s="211" t="str">
        <f>IFERROR(VLOOKUP($C245,'PORTIFÓLIO'!C:V,4,0),"")</f>
        <v/>
      </c>
      <c r="G245" s="215" t="str">
        <f>IFERROR(VLOOKUP($C245,'PORTIFÓLIO'!C:V,5,0),"")</f>
        <v/>
      </c>
      <c r="H245" s="254" t="str">
        <f t="array" ref="H245">IFERROR(INDEX('PORTIFÓLIO'!$H$4:$H$433,MATCH($C245,'PORTIFÓLIO'!$C$4:$C$433,0)),"")</f>
        <v/>
      </c>
      <c r="I245" s="256"/>
      <c r="J245" s="218">
        <f t="shared" si="27"/>
        <v>0</v>
      </c>
      <c r="K245" s="219" t="str">
        <f t="array" ref="K245">IFERROR(I245*INDEX('PORTIFÓLIO'!$S$4:$S$433,MATCH($C245,'PORTIFÓLIO'!$C$4:$C$433,0)),"")</f>
        <v/>
      </c>
      <c r="L245" s="219" t="str">
        <f t="array" ref="L245">IFERROR(J245*INDEX('PORTIFÓLIO'!$S$4:$S$433,MATCH($C245,'PORTIFÓLIO'!$C$4:$C$433,0)),"")</f>
        <v/>
      </c>
      <c r="M245" s="220"/>
      <c r="N245" s="220"/>
      <c r="O245" s="220"/>
      <c r="P245" s="220"/>
      <c r="Q245" s="220"/>
      <c r="R245" s="220"/>
      <c r="S245" s="220"/>
      <c r="T245" s="220"/>
      <c r="U245" s="220"/>
      <c r="V245" s="220"/>
      <c r="W245" s="220"/>
    </row>
    <row r="246" ht="15.75" customHeight="1" outlineLevel="1">
      <c r="A246" s="211"/>
      <c r="B246" s="212"/>
      <c r="C246" s="213"/>
      <c r="D246" s="214" t="str">
        <f>IFERROR(VLOOKUP($C246,'PORTIFÓLIO'!C:V,2,0),"")</f>
        <v/>
      </c>
      <c r="E246" s="211" t="str">
        <f>IFERROR(VLOOKUP($C246,'PORTIFÓLIO'!C:V,3,0),"")</f>
        <v/>
      </c>
      <c r="F246" s="211" t="str">
        <f>IFERROR(VLOOKUP($C246,'PORTIFÓLIO'!C:V,4,0),"")</f>
        <v/>
      </c>
      <c r="G246" s="215" t="str">
        <f>IFERROR(VLOOKUP($C246,'PORTIFÓLIO'!C:V,5,0),"")</f>
        <v/>
      </c>
      <c r="H246" s="254" t="str">
        <f t="array" ref="H246">IFERROR(INDEX('PORTIFÓLIO'!$H$4:$H$433,MATCH($C246,'PORTIFÓLIO'!$C$4:$C$433,0)),"")</f>
        <v/>
      </c>
      <c r="I246" s="255"/>
      <c r="J246" s="218">
        <f t="shared" si="27"/>
        <v>0</v>
      </c>
      <c r="K246" s="219" t="str">
        <f t="array" ref="K246">IFERROR(I246*INDEX('PORTIFÓLIO'!$S$4:$S$433,MATCH($C246,'PORTIFÓLIO'!$C$4:$C$433,0)),"")</f>
        <v/>
      </c>
      <c r="L246" s="219" t="str">
        <f t="array" ref="L246">IFERROR(J246*INDEX('PORTIFÓLIO'!$S$4:$S$433,MATCH($C246,'PORTIFÓLIO'!$C$4:$C$433,0)),"")</f>
        <v/>
      </c>
      <c r="M246" s="220"/>
      <c r="N246" s="220"/>
      <c r="O246" s="220"/>
      <c r="P246" s="220"/>
      <c r="Q246" s="220"/>
      <c r="R246" s="220"/>
      <c r="S246" s="220"/>
      <c r="T246" s="220"/>
      <c r="U246" s="220"/>
      <c r="V246" s="220"/>
      <c r="W246" s="220"/>
    </row>
    <row r="247" ht="15.75" customHeight="1" outlineLevel="1">
      <c r="A247" s="211"/>
      <c r="B247" s="212"/>
      <c r="C247" s="213"/>
      <c r="D247" s="214" t="str">
        <f>IFERROR(VLOOKUP($C247,'PORTIFÓLIO'!C:V,2,0),"")</f>
        <v/>
      </c>
      <c r="E247" s="211" t="str">
        <f>IFERROR(VLOOKUP($C247,'PORTIFÓLIO'!C:V,3,0),"")</f>
        <v/>
      </c>
      <c r="F247" s="211" t="str">
        <f>IFERROR(VLOOKUP($C247,'PORTIFÓLIO'!C:V,4,0),"")</f>
        <v/>
      </c>
      <c r="G247" s="215" t="str">
        <f>IFERROR(VLOOKUP($C247,'PORTIFÓLIO'!C:V,5,0),"")</f>
        <v/>
      </c>
      <c r="H247" s="254" t="str">
        <f t="array" ref="H247">IFERROR(INDEX('PORTIFÓLIO'!$H$4:$H$433,MATCH($C247,'PORTIFÓLIO'!$C$4:$C$433,0)),"")</f>
        <v/>
      </c>
      <c r="I247" s="255"/>
      <c r="J247" s="218">
        <f t="shared" si="27"/>
        <v>0</v>
      </c>
      <c r="K247" s="219" t="str">
        <f t="array" ref="K247">IFERROR(I247*INDEX('PORTIFÓLIO'!$S$4:$S$433,MATCH($C247,'PORTIFÓLIO'!$C$4:$C$433,0)),"")</f>
        <v/>
      </c>
      <c r="L247" s="219" t="str">
        <f t="array" ref="L247">IFERROR(J247*INDEX('PORTIFÓLIO'!$S$4:$S$433,MATCH($C247,'PORTIFÓLIO'!$C$4:$C$433,0)),"")</f>
        <v/>
      </c>
      <c r="M247" s="220"/>
      <c r="N247" s="220"/>
      <c r="O247" s="220"/>
      <c r="P247" s="220"/>
      <c r="Q247" s="220"/>
      <c r="R247" s="220"/>
      <c r="S247" s="220"/>
      <c r="T247" s="220"/>
      <c r="U247" s="220"/>
      <c r="V247" s="220"/>
      <c r="W247" s="220"/>
    </row>
    <row r="248" ht="15.75" customHeight="1" outlineLevel="1">
      <c r="A248" s="211"/>
      <c r="B248" s="212"/>
      <c r="C248" s="213"/>
      <c r="D248" s="214" t="str">
        <f>IFERROR(VLOOKUP($C248,'PORTIFÓLIO'!C:V,2,0),"")</f>
        <v/>
      </c>
      <c r="E248" s="211" t="str">
        <f>IFERROR(VLOOKUP($C248,'PORTIFÓLIO'!C:V,3,0),"")</f>
        <v/>
      </c>
      <c r="F248" s="211" t="str">
        <f>IFERROR(VLOOKUP($C248,'PORTIFÓLIO'!C:V,4,0),"")</f>
        <v/>
      </c>
      <c r="G248" s="215" t="str">
        <f>IFERROR(VLOOKUP($C248,'PORTIFÓLIO'!C:V,5,0),"")</f>
        <v/>
      </c>
      <c r="H248" s="254" t="str">
        <f t="array" ref="H248">IFERROR(INDEX('PORTIFÓLIO'!$H$4:$H$433,MATCH($C248,'PORTIFÓLIO'!$C$4:$C$433,0)),"")</f>
        <v/>
      </c>
      <c r="I248" s="255"/>
      <c r="J248" s="218">
        <f t="shared" si="27"/>
        <v>0</v>
      </c>
      <c r="K248" s="219" t="str">
        <f t="array" ref="K248">IFERROR(I248*INDEX('PORTIFÓLIO'!$S$4:$S$433,MATCH($C248,'PORTIFÓLIO'!$C$4:$C$433,0)),"")</f>
        <v/>
      </c>
      <c r="L248" s="219" t="str">
        <f t="array" ref="L248">IFERROR(J248*INDEX('PORTIFÓLIO'!$S$4:$S$433,MATCH($C248,'PORTIFÓLIO'!$C$4:$C$433,0)),"")</f>
        <v/>
      </c>
      <c r="M248" s="220"/>
      <c r="N248" s="220"/>
      <c r="O248" s="220"/>
      <c r="P248" s="220"/>
      <c r="Q248" s="220"/>
      <c r="R248" s="220"/>
      <c r="S248" s="220"/>
      <c r="T248" s="220"/>
      <c r="U248" s="220"/>
      <c r="V248" s="220"/>
      <c r="W248" s="220"/>
    </row>
    <row r="249" ht="15.75" customHeight="1" outlineLevel="1">
      <c r="A249" s="211"/>
      <c r="B249" s="212"/>
      <c r="C249" s="213"/>
      <c r="D249" s="214" t="str">
        <f>IFERROR(VLOOKUP($C249,'PORTIFÓLIO'!C:V,2,0),"")</f>
        <v/>
      </c>
      <c r="E249" s="211" t="str">
        <f>IFERROR(VLOOKUP($C249,'PORTIFÓLIO'!C:V,3,0),"")</f>
        <v/>
      </c>
      <c r="F249" s="211" t="str">
        <f>IFERROR(VLOOKUP($C249,'PORTIFÓLIO'!C:V,4,0),"")</f>
        <v/>
      </c>
      <c r="G249" s="215" t="str">
        <f>IFERROR(VLOOKUP($C249,'PORTIFÓLIO'!C:V,5,0),"")</f>
        <v/>
      </c>
      <c r="H249" s="254" t="str">
        <f t="array" ref="H249">IFERROR(INDEX('PORTIFÓLIO'!$H$4:$H$433,MATCH($C249,'PORTIFÓLIO'!$C$4:$C$433,0)),"")</f>
        <v/>
      </c>
      <c r="I249" s="255"/>
      <c r="J249" s="218">
        <f t="shared" si="27"/>
        <v>0</v>
      </c>
      <c r="K249" s="219" t="str">
        <f t="array" ref="K249">IFERROR(I249*INDEX('PORTIFÓLIO'!$S$4:$S$433,MATCH($C249,'PORTIFÓLIO'!$C$4:$C$433,0)),"")</f>
        <v/>
      </c>
      <c r="L249" s="219" t="str">
        <f t="array" ref="L249">IFERROR(J249*INDEX('PORTIFÓLIO'!$S$4:$S$433,MATCH($C249,'PORTIFÓLIO'!$C$4:$C$433,0)),"")</f>
        <v/>
      </c>
      <c r="M249" s="220"/>
      <c r="N249" s="220"/>
      <c r="O249" s="220"/>
      <c r="P249" s="220"/>
      <c r="Q249" s="220"/>
      <c r="R249" s="220"/>
      <c r="S249" s="220"/>
      <c r="T249" s="220"/>
      <c r="U249" s="220"/>
      <c r="V249" s="220"/>
      <c r="W249" s="220"/>
    </row>
    <row r="250" ht="15.75" customHeight="1" outlineLevel="1">
      <c r="A250" s="211"/>
      <c r="B250" s="212"/>
      <c r="C250" s="213"/>
      <c r="D250" s="214" t="str">
        <f>IFERROR(VLOOKUP($C250,'PORTIFÓLIO'!C:V,2,0),"")</f>
        <v/>
      </c>
      <c r="E250" s="211" t="str">
        <f>IFERROR(VLOOKUP($C250,'PORTIFÓLIO'!C:V,3,0),"")</f>
        <v/>
      </c>
      <c r="F250" s="211" t="str">
        <f>IFERROR(VLOOKUP($C250,'PORTIFÓLIO'!C:V,4,0),"")</f>
        <v/>
      </c>
      <c r="G250" s="215" t="str">
        <f>IFERROR(VLOOKUP($C250,'PORTIFÓLIO'!C:V,5,0),"")</f>
        <v/>
      </c>
      <c r="H250" s="254" t="str">
        <f t="array" ref="H250">IFERROR(INDEX('PORTIFÓLIO'!$H$4:$H$433,MATCH($C250,'PORTIFÓLIO'!$C$4:$C$433,0)),"")</f>
        <v/>
      </c>
      <c r="I250" s="255"/>
      <c r="J250" s="218">
        <f t="shared" si="27"/>
        <v>0</v>
      </c>
      <c r="K250" s="219" t="str">
        <f t="array" ref="K250">IFERROR(I250*INDEX('PORTIFÓLIO'!$S$4:$S$433,MATCH($C250,'PORTIFÓLIO'!$C$4:$C$433,0)),"")</f>
        <v/>
      </c>
      <c r="L250" s="219" t="str">
        <f t="array" ref="L250">IFERROR(J250*INDEX('PORTIFÓLIO'!$S$4:$S$433,MATCH($C250,'PORTIFÓLIO'!$C$4:$C$433,0)),"")</f>
        <v/>
      </c>
      <c r="M250" s="220"/>
      <c r="N250" s="220"/>
      <c r="O250" s="220"/>
      <c r="P250" s="220"/>
      <c r="Q250" s="220"/>
      <c r="R250" s="220"/>
      <c r="S250" s="220"/>
      <c r="T250" s="220"/>
      <c r="U250" s="220"/>
      <c r="V250" s="220"/>
      <c r="W250" s="220"/>
    </row>
    <row r="251" ht="15.75" customHeight="1" outlineLevel="1">
      <c r="A251" s="211"/>
      <c r="B251" s="212"/>
      <c r="C251" s="213"/>
      <c r="D251" s="214" t="str">
        <f>IFERROR(VLOOKUP($C251,'PORTIFÓLIO'!C:V,2,0),"")</f>
        <v/>
      </c>
      <c r="E251" s="211" t="str">
        <f>IFERROR(VLOOKUP($C251,'PORTIFÓLIO'!C:V,3,0),"")</f>
        <v/>
      </c>
      <c r="F251" s="211" t="str">
        <f>IFERROR(VLOOKUP($C251,'PORTIFÓLIO'!C:V,4,0),"")</f>
        <v/>
      </c>
      <c r="G251" s="215" t="str">
        <f>IFERROR(VLOOKUP($C251,'PORTIFÓLIO'!C:V,5,0),"")</f>
        <v/>
      </c>
      <c r="H251" s="254" t="str">
        <f t="array" ref="H251">IFERROR(INDEX('PORTIFÓLIO'!$H$4:$H$433,MATCH($C251,'PORTIFÓLIO'!$C$4:$C$433,0)),"")</f>
        <v/>
      </c>
      <c r="I251" s="255"/>
      <c r="J251" s="218">
        <f t="shared" si="27"/>
        <v>0</v>
      </c>
      <c r="K251" s="219" t="str">
        <f t="array" ref="K251">IFERROR(I251*INDEX('PORTIFÓLIO'!$S$4:$S$433,MATCH($C251,'PORTIFÓLIO'!$C$4:$C$433,0)),"")</f>
        <v/>
      </c>
      <c r="L251" s="219" t="str">
        <f t="array" ref="L251">IFERROR(J251*INDEX('PORTIFÓLIO'!$S$4:$S$433,MATCH($C251,'PORTIFÓLIO'!$C$4:$C$433,0)),"")</f>
        <v/>
      </c>
      <c r="M251" s="220"/>
      <c r="N251" s="220"/>
      <c r="O251" s="220"/>
      <c r="P251" s="220"/>
      <c r="Q251" s="220"/>
      <c r="R251" s="220"/>
      <c r="S251" s="220"/>
      <c r="T251" s="220"/>
      <c r="U251" s="220"/>
      <c r="V251" s="220"/>
      <c r="W251" s="220"/>
    </row>
    <row r="252" ht="15.75" customHeight="1">
      <c r="A252" s="229" t="s">
        <v>1184</v>
      </c>
      <c r="B252" s="230"/>
      <c r="C252" s="231"/>
      <c r="D252" s="232"/>
      <c r="E252" s="231"/>
      <c r="F252" s="231"/>
      <c r="G252" s="233"/>
      <c r="H252" s="233"/>
      <c r="I252" s="258"/>
      <c r="J252" s="236"/>
      <c r="K252" s="237">
        <f t="shared" ref="K252:L252" si="28">SUBTOTAL(9,K253:K266)</f>
        <v>0</v>
      </c>
      <c r="L252" s="237">
        <f t="shared" si="28"/>
        <v>0</v>
      </c>
      <c r="M252" s="220"/>
      <c r="N252" s="220"/>
      <c r="O252" s="220"/>
      <c r="P252" s="220"/>
      <c r="Q252" s="220"/>
      <c r="R252" s="220"/>
      <c r="S252" s="220"/>
      <c r="T252" s="220"/>
      <c r="U252" s="220"/>
      <c r="V252" s="220"/>
      <c r="W252" s="220"/>
    </row>
    <row r="253" ht="15.75" customHeight="1" outlineLevel="1">
      <c r="A253" s="213"/>
      <c r="B253" s="212"/>
      <c r="C253" s="213"/>
      <c r="D253" s="214" t="str">
        <f>IFERROR(VLOOKUP($C253,'PORTIFÓLIO'!C:V,2,0),"")</f>
        <v/>
      </c>
      <c r="E253" s="211" t="str">
        <f>IFERROR(VLOOKUP($C253,'PORTIFÓLIO'!C:V,3,0),"")</f>
        <v/>
      </c>
      <c r="F253" s="211" t="str">
        <f>IFERROR(VLOOKUP($C253,'PORTIFÓLIO'!C:V,4,0),"")</f>
        <v/>
      </c>
      <c r="G253" s="215" t="str">
        <f>IFERROR(VLOOKUP($C253,'PORTIFÓLIO'!C:V,5,0),"")</f>
        <v/>
      </c>
      <c r="H253" s="254" t="str">
        <f t="array" ref="H253">IFERROR(INDEX('PORTIFÓLIO'!$H$4:$H$433,MATCH($C253,'PORTIFÓLIO'!$C$4:$C$433,0)),"")</f>
        <v/>
      </c>
      <c r="I253" s="255"/>
      <c r="J253" s="218">
        <f t="shared" ref="J253:J270" si="29">I253*$B$2</f>
        <v>0</v>
      </c>
      <c r="K253" s="292" t="str">
        <f t="array" ref="K253">IFERROR(I253*INDEX('PORTIFÓLIO'!$S$4:$S$433,MATCH($C253,'PORTIFÓLIO'!$C$4:$C$433,0)),"")</f>
        <v/>
      </c>
      <c r="L253" s="292" t="str">
        <f t="array" ref="L253">IFERROR(J253*INDEX('PORTIFÓLIO'!$S$4:$S$433,MATCH($C253,'PORTIFÓLIO'!$C$4:$C$433,0)),"")</f>
        <v/>
      </c>
      <c r="M253" s="220"/>
      <c r="N253" s="220"/>
      <c r="O253" s="220"/>
      <c r="P253" s="220"/>
      <c r="Q253" s="220"/>
      <c r="R253" s="220"/>
      <c r="S253" s="220"/>
      <c r="T253" s="220"/>
      <c r="U253" s="220"/>
      <c r="V253" s="220"/>
      <c r="W253" s="220"/>
    </row>
    <row r="254" ht="15.75" customHeight="1" outlineLevel="1">
      <c r="A254" s="211"/>
      <c r="B254" s="212"/>
      <c r="C254" s="213"/>
      <c r="D254" s="214" t="str">
        <f>IFERROR(VLOOKUP($C254,'PORTIFÓLIO'!C:V,2,0),"")</f>
        <v/>
      </c>
      <c r="E254" s="211" t="str">
        <f>IFERROR(VLOOKUP($C254,'PORTIFÓLIO'!C:V,3,0),"")</f>
        <v/>
      </c>
      <c r="F254" s="211" t="str">
        <f>IFERROR(VLOOKUP($C254,'PORTIFÓLIO'!C:V,4,0),"")</f>
        <v/>
      </c>
      <c r="G254" s="215" t="str">
        <f>IFERROR(VLOOKUP($C254,'PORTIFÓLIO'!C:V,5,0),"")</f>
        <v/>
      </c>
      <c r="H254" s="254" t="str">
        <f t="array" ref="H254">IFERROR(INDEX('PORTIFÓLIO'!$H$4:$H$433,MATCH($C254,'PORTIFÓLIO'!$C$4:$C$433,0)),"")</f>
        <v/>
      </c>
      <c r="I254" s="255"/>
      <c r="J254" s="218">
        <f t="shared" si="29"/>
        <v>0</v>
      </c>
      <c r="K254" s="292" t="str">
        <f t="array" ref="K254">IFERROR(I254*INDEX('PORTIFÓLIO'!$S$4:$S$433,MATCH($C254,'PORTIFÓLIO'!$C$4:$C$433,0)),"")</f>
        <v/>
      </c>
      <c r="L254" s="292" t="str">
        <f t="array" ref="L254">IFERROR(J254*INDEX('PORTIFÓLIO'!$S$4:$S$433,MATCH($C254,'PORTIFÓLIO'!$C$4:$C$433,0)),"")</f>
        <v/>
      </c>
      <c r="M254" s="220"/>
      <c r="N254" s="220"/>
      <c r="O254" s="220"/>
      <c r="P254" s="220"/>
      <c r="Q254" s="220"/>
      <c r="R254" s="220"/>
      <c r="S254" s="220"/>
      <c r="T254" s="220"/>
      <c r="U254" s="220"/>
      <c r="V254" s="220"/>
      <c r="W254" s="220"/>
    </row>
    <row r="255" ht="15.75" customHeight="1" outlineLevel="1">
      <c r="A255" s="211"/>
      <c r="B255" s="212"/>
      <c r="C255" s="213"/>
      <c r="D255" s="214" t="str">
        <f>IFERROR(VLOOKUP($C255,'PORTIFÓLIO'!C:V,2,0),"")</f>
        <v/>
      </c>
      <c r="E255" s="211" t="str">
        <f>IFERROR(VLOOKUP($C255,'PORTIFÓLIO'!C:V,3,0),"")</f>
        <v/>
      </c>
      <c r="F255" s="211" t="str">
        <f>IFERROR(VLOOKUP($C255,'PORTIFÓLIO'!C:V,4,0),"")</f>
        <v/>
      </c>
      <c r="G255" s="215" t="str">
        <f>IFERROR(VLOOKUP($C255,'PORTIFÓLIO'!C:V,5,0),"")</f>
        <v/>
      </c>
      <c r="H255" s="254" t="str">
        <f t="array" ref="H255">IFERROR(INDEX('PORTIFÓLIO'!$H$4:$H$433,MATCH($C255,'PORTIFÓLIO'!$C$4:$C$433,0)),"")</f>
        <v/>
      </c>
      <c r="I255" s="256"/>
      <c r="J255" s="218">
        <f t="shared" si="29"/>
        <v>0</v>
      </c>
      <c r="K255" s="292" t="str">
        <f t="array" ref="K255">IFERROR(I255*INDEX('PORTIFÓLIO'!$S$4:$S$433,MATCH($C255,'PORTIFÓLIO'!$C$4:$C$433,0)),"")</f>
        <v/>
      </c>
      <c r="L255" s="292" t="str">
        <f t="array" ref="L255">IFERROR(J255*INDEX('PORTIFÓLIO'!$S$4:$S$433,MATCH($C255,'PORTIFÓLIO'!$C$4:$C$433,0)),"")</f>
        <v/>
      </c>
      <c r="M255" s="220"/>
      <c r="N255" s="220"/>
      <c r="O255" s="220"/>
      <c r="P255" s="220"/>
      <c r="Q255" s="220"/>
      <c r="R255" s="220"/>
      <c r="S255" s="220"/>
      <c r="T255" s="220"/>
      <c r="U255" s="220"/>
      <c r="V255" s="220"/>
      <c r="W255" s="220"/>
    </row>
    <row r="256" ht="15.75" customHeight="1" outlineLevel="1">
      <c r="A256" s="211"/>
      <c r="B256" s="212"/>
      <c r="C256" s="213"/>
      <c r="D256" s="214" t="str">
        <f>IFERROR(VLOOKUP($C256,'PORTIFÓLIO'!C:V,2,0),"")</f>
        <v/>
      </c>
      <c r="E256" s="211" t="str">
        <f>IFERROR(VLOOKUP($C256,'PORTIFÓLIO'!C:V,3,0),"")</f>
        <v/>
      </c>
      <c r="F256" s="211" t="str">
        <f>IFERROR(VLOOKUP($C256,'PORTIFÓLIO'!C:V,4,0),"")</f>
        <v/>
      </c>
      <c r="G256" s="215" t="str">
        <f>IFERROR(VLOOKUP($C256,'PORTIFÓLIO'!C:V,5,0),"")</f>
        <v/>
      </c>
      <c r="H256" s="254" t="str">
        <f t="array" ref="H256">IFERROR(INDEX('PORTIFÓLIO'!$H$4:$H$433,MATCH($C256,'PORTIFÓLIO'!$C$4:$C$433,0)),"")</f>
        <v/>
      </c>
      <c r="I256" s="255"/>
      <c r="J256" s="218">
        <f t="shared" si="29"/>
        <v>0</v>
      </c>
      <c r="K256" s="292" t="str">
        <f t="array" ref="K256">IFERROR(I256*INDEX('PORTIFÓLIO'!$S$4:$S$433,MATCH($C256,'PORTIFÓLIO'!$C$4:$C$433,0)),"")</f>
        <v/>
      </c>
      <c r="L256" s="292" t="str">
        <f t="array" ref="L256">IFERROR(J256*INDEX('PORTIFÓLIO'!$S$4:$S$433,MATCH($C256,'PORTIFÓLIO'!$C$4:$C$433,0)),"")</f>
        <v/>
      </c>
      <c r="M256" s="220"/>
      <c r="N256" s="220"/>
      <c r="O256" s="220"/>
      <c r="P256" s="220"/>
      <c r="Q256" s="220"/>
      <c r="R256" s="220"/>
      <c r="S256" s="220"/>
      <c r="T256" s="220"/>
      <c r="U256" s="220"/>
      <c r="V256" s="220"/>
      <c r="W256" s="220"/>
    </row>
    <row r="257" ht="15.75" customHeight="1" outlineLevel="1">
      <c r="A257" s="211"/>
      <c r="B257" s="212"/>
      <c r="C257" s="213"/>
      <c r="D257" s="214" t="str">
        <f>IFERROR(VLOOKUP($C257,'PORTIFÓLIO'!C:V,2,0),"")</f>
        <v/>
      </c>
      <c r="E257" s="211" t="str">
        <f>IFERROR(VLOOKUP($C257,'PORTIFÓLIO'!C:V,3,0),"")</f>
        <v/>
      </c>
      <c r="F257" s="211" t="str">
        <f>IFERROR(VLOOKUP($C257,'PORTIFÓLIO'!C:V,4,0),"")</f>
        <v/>
      </c>
      <c r="G257" s="215" t="str">
        <f>IFERROR(VLOOKUP($C257,'PORTIFÓLIO'!C:V,5,0),"")</f>
        <v/>
      </c>
      <c r="H257" s="254" t="str">
        <f t="array" ref="H257">IFERROR(INDEX('PORTIFÓLIO'!$H$4:$H$433,MATCH($C257,'PORTIFÓLIO'!$C$4:$C$433,0)),"")</f>
        <v/>
      </c>
      <c r="I257" s="256"/>
      <c r="J257" s="218">
        <f t="shared" si="29"/>
        <v>0</v>
      </c>
      <c r="K257" s="292" t="str">
        <f t="array" ref="K257">IFERROR(I257*INDEX('PORTIFÓLIO'!$S$4:$S$433,MATCH($C257,'PORTIFÓLIO'!$C$4:$C$433,0)),"")</f>
        <v/>
      </c>
      <c r="L257" s="292" t="str">
        <f t="array" ref="L257">IFERROR(J257*INDEX('PORTIFÓLIO'!$S$4:$S$433,MATCH($C257,'PORTIFÓLIO'!$C$4:$C$433,0)),"")</f>
        <v/>
      </c>
      <c r="M257" s="220"/>
      <c r="N257" s="220"/>
      <c r="O257" s="220"/>
      <c r="P257" s="220"/>
      <c r="Q257" s="220"/>
      <c r="R257" s="220"/>
      <c r="S257" s="220"/>
      <c r="T257" s="220"/>
      <c r="U257" s="220"/>
      <c r="V257" s="220"/>
      <c r="W257" s="220"/>
    </row>
    <row r="258" ht="15.75" customHeight="1" outlineLevel="1">
      <c r="A258" s="211"/>
      <c r="B258" s="212"/>
      <c r="C258" s="213"/>
      <c r="D258" s="214" t="str">
        <f>IFERROR(VLOOKUP($C258,'PORTIFÓLIO'!C:V,2,0),"")</f>
        <v/>
      </c>
      <c r="E258" s="211" t="str">
        <f>IFERROR(VLOOKUP($C258,'PORTIFÓLIO'!C:V,3,0),"")</f>
        <v/>
      </c>
      <c r="F258" s="211" t="str">
        <f>IFERROR(VLOOKUP($C258,'PORTIFÓLIO'!C:V,4,0),"")</f>
        <v/>
      </c>
      <c r="G258" s="215" t="str">
        <f>IFERROR(VLOOKUP($C258,'PORTIFÓLIO'!C:V,5,0),"")</f>
        <v/>
      </c>
      <c r="H258" s="254" t="str">
        <f t="array" ref="H258">IFERROR(INDEX('PORTIFÓLIO'!$H$4:$H$433,MATCH($C258,'PORTIFÓLIO'!$C$4:$C$433,0)),"")</f>
        <v/>
      </c>
      <c r="I258" s="256"/>
      <c r="J258" s="218">
        <f t="shared" si="29"/>
        <v>0</v>
      </c>
      <c r="K258" s="292" t="str">
        <f t="array" ref="K258">IFERROR(I258*INDEX('PORTIFÓLIO'!$S$4:$S$433,MATCH($C258,'PORTIFÓLIO'!$C$4:$C$433,0)),"")</f>
        <v/>
      </c>
      <c r="L258" s="292" t="str">
        <f t="array" ref="L258">IFERROR(J258*INDEX('PORTIFÓLIO'!$S$4:$S$433,MATCH($C258,'PORTIFÓLIO'!$C$4:$C$433,0)),"")</f>
        <v/>
      </c>
      <c r="M258" s="220"/>
      <c r="N258" s="220"/>
      <c r="O258" s="220"/>
      <c r="P258" s="220"/>
      <c r="Q258" s="220"/>
      <c r="R258" s="220"/>
      <c r="S258" s="220"/>
      <c r="T258" s="220"/>
      <c r="U258" s="220"/>
      <c r="V258" s="220"/>
      <c r="W258" s="220"/>
    </row>
    <row r="259" ht="15.75" customHeight="1" outlineLevel="1">
      <c r="A259" s="211"/>
      <c r="B259" s="212"/>
      <c r="C259" s="213"/>
      <c r="D259" s="214" t="str">
        <f>IFERROR(VLOOKUP($C259,'PORTIFÓLIO'!C:V,2,0),"")</f>
        <v/>
      </c>
      <c r="E259" s="211" t="str">
        <f>IFERROR(VLOOKUP($C259,'PORTIFÓLIO'!C:V,3,0),"")</f>
        <v/>
      </c>
      <c r="F259" s="211" t="str">
        <f>IFERROR(VLOOKUP($C259,'PORTIFÓLIO'!C:V,4,0),"")</f>
        <v/>
      </c>
      <c r="G259" s="215" t="str">
        <f>IFERROR(VLOOKUP($C259,'PORTIFÓLIO'!C:V,5,0),"")</f>
        <v/>
      </c>
      <c r="H259" s="254" t="str">
        <f t="array" ref="H259">IFERROR(INDEX('PORTIFÓLIO'!$H$4:$H$433,MATCH($C259,'PORTIFÓLIO'!$C$4:$C$433,0)),"")</f>
        <v/>
      </c>
      <c r="I259" s="256"/>
      <c r="J259" s="218">
        <f t="shared" si="29"/>
        <v>0</v>
      </c>
      <c r="K259" s="292" t="str">
        <f t="array" ref="K259">IFERROR(I259*INDEX('PORTIFÓLIO'!$S$4:$S$433,MATCH($C259,'PORTIFÓLIO'!$C$4:$C$433,0)),"")</f>
        <v/>
      </c>
      <c r="L259" s="292" t="str">
        <f t="array" ref="L259">IFERROR(J259*INDEX('PORTIFÓLIO'!$S$4:$S$433,MATCH($C259,'PORTIFÓLIO'!$C$4:$C$433,0)),"")</f>
        <v/>
      </c>
      <c r="M259" s="220"/>
      <c r="N259" s="220"/>
      <c r="O259" s="220"/>
      <c r="P259" s="220"/>
      <c r="Q259" s="220"/>
      <c r="R259" s="220"/>
      <c r="S259" s="220"/>
      <c r="T259" s="220"/>
      <c r="U259" s="220"/>
      <c r="V259" s="220"/>
      <c r="W259" s="220"/>
    </row>
    <row r="260" ht="15.75" customHeight="1" outlineLevel="1">
      <c r="A260" s="211"/>
      <c r="B260" s="212"/>
      <c r="C260" s="213"/>
      <c r="D260" s="214" t="str">
        <f>IFERROR(VLOOKUP($C260,'PORTIFÓLIO'!C:V,2,0),"")</f>
        <v/>
      </c>
      <c r="E260" s="211" t="str">
        <f>IFERROR(VLOOKUP($C260,'PORTIFÓLIO'!C:V,3,0),"")</f>
        <v/>
      </c>
      <c r="F260" s="211" t="str">
        <f>IFERROR(VLOOKUP($C260,'PORTIFÓLIO'!C:V,4,0),"")</f>
        <v/>
      </c>
      <c r="G260" s="215" t="str">
        <f>IFERROR(VLOOKUP($C260,'PORTIFÓLIO'!C:V,5,0),"")</f>
        <v/>
      </c>
      <c r="H260" s="254" t="str">
        <f t="array" ref="H260">IFERROR(INDEX('PORTIFÓLIO'!$H$4:$H$433,MATCH($C260,'PORTIFÓLIO'!$C$4:$C$433,0)),"")</f>
        <v/>
      </c>
      <c r="I260" s="256"/>
      <c r="J260" s="218">
        <f t="shared" si="29"/>
        <v>0</v>
      </c>
      <c r="K260" s="292" t="str">
        <f t="array" ref="K260">IFERROR(I260*INDEX('PORTIFÓLIO'!$S$4:$S$433,MATCH($C260,'PORTIFÓLIO'!$C$4:$C$433,0)),"")</f>
        <v/>
      </c>
      <c r="L260" s="292" t="str">
        <f t="array" ref="L260">IFERROR(J260*INDEX('PORTIFÓLIO'!$S$4:$S$433,MATCH($C260,'PORTIFÓLIO'!$C$4:$C$433,0)),"")</f>
        <v/>
      </c>
      <c r="M260" s="220"/>
      <c r="N260" s="220"/>
      <c r="O260" s="220"/>
      <c r="P260" s="220"/>
      <c r="Q260" s="220"/>
      <c r="R260" s="220"/>
      <c r="S260" s="220"/>
      <c r="T260" s="220"/>
      <c r="U260" s="220"/>
      <c r="V260" s="220"/>
      <c r="W260" s="220"/>
    </row>
    <row r="261" ht="15.75" customHeight="1" outlineLevel="1">
      <c r="A261" s="211"/>
      <c r="B261" s="212"/>
      <c r="C261" s="213"/>
      <c r="D261" s="214" t="str">
        <f>IFERROR(VLOOKUP($C261,'PORTIFÓLIO'!C:V,2,0),"")</f>
        <v/>
      </c>
      <c r="E261" s="211" t="str">
        <f>IFERROR(VLOOKUP($C261,'PORTIFÓLIO'!C:V,3,0),"")</f>
        <v/>
      </c>
      <c r="F261" s="211" t="str">
        <f>IFERROR(VLOOKUP($C261,'PORTIFÓLIO'!C:V,4,0),"")</f>
        <v/>
      </c>
      <c r="G261" s="215" t="str">
        <f>IFERROR(VLOOKUP($C261,'PORTIFÓLIO'!C:V,5,0),"")</f>
        <v/>
      </c>
      <c r="H261" s="254" t="str">
        <f t="array" ref="H261">IFERROR(INDEX('PORTIFÓLIO'!$H$4:$H$433,MATCH($C261,'PORTIFÓLIO'!$C$4:$C$433,0)),"")</f>
        <v/>
      </c>
      <c r="I261" s="255"/>
      <c r="J261" s="218">
        <f t="shared" si="29"/>
        <v>0</v>
      </c>
      <c r="K261" s="292" t="str">
        <f t="array" ref="K261">IFERROR(I261*INDEX('PORTIFÓLIO'!$S$4:$S$433,MATCH($C261,'PORTIFÓLIO'!$C$4:$C$433,0)),"")</f>
        <v/>
      </c>
      <c r="L261" s="292" t="str">
        <f t="array" ref="L261">IFERROR(J261*INDEX('PORTIFÓLIO'!$S$4:$S$433,MATCH($C261,'PORTIFÓLIO'!$C$4:$C$433,0)),"")</f>
        <v/>
      </c>
      <c r="M261" s="220"/>
      <c r="N261" s="220"/>
      <c r="O261" s="220"/>
      <c r="P261" s="220"/>
      <c r="Q261" s="220"/>
      <c r="R261" s="220"/>
      <c r="S261" s="220"/>
      <c r="T261" s="220"/>
      <c r="U261" s="220"/>
      <c r="V261" s="220"/>
      <c r="W261" s="220"/>
    </row>
    <row r="262" ht="15.75" customHeight="1" outlineLevel="1">
      <c r="A262" s="211"/>
      <c r="B262" s="212"/>
      <c r="C262" s="213"/>
      <c r="D262" s="214" t="str">
        <f>IFERROR(VLOOKUP($C262,'PORTIFÓLIO'!C:V,2,0),"")</f>
        <v/>
      </c>
      <c r="E262" s="211" t="str">
        <f>IFERROR(VLOOKUP($C262,'PORTIFÓLIO'!C:V,3,0),"")</f>
        <v/>
      </c>
      <c r="F262" s="211" t="str">
        <f>IFERROR(VLOOKUP($C262,'PORTIFÓLIO'!C:V,4,0),"")</f>
        <v/>
      </c>
      <c r="G262" s="215" t="str">
        <f>IFERROR(VLOOKUP($C262,'PORTIFÓLIO'!C:V,5,0),"")</f>
        <v/>
      </c>
      <c r="H262" s="254" t="str">
        <f t="array" ref="H262">IFERROR(INDEX('PORTIFÓLIO'!$H$4:$H$433,MATCH($C262,'PORTIFÓLIO'!$C$4:$C$433,0)),"")</f>
        <v/>
      </c>
      <c r="I262" s="256"/>
      <c r="J262" s="218">
        <f t="shared" si="29"/>
        <v>0</v>
      </c>
      <c r="K262" s="292" t="str">
        <f t="array" ref="K262">IFERROR(I262*INDEX('PORTIFÓLIO'!$S$4:$S$433,MATCH($C262,'PORTIFÓLIO'!$C$4:$C$433,0)),"")</f>
        <v/>
      </c>
      <c r="L262" s="292" t="str">
        <f t="array" ref="L262">IFERROR(J262*INDEX('PORTIFÓLIO'!$S$4:$S$433,MATCH($C262,'PORTIFÓLIO'!$C$4:$C$433,0)),"")</f>
        <v/>
      </c>
      <c r="M262" s="220"/>
      <c r="N262" s="220"/>
      <c r="O262" s="220"/>
      <c r="P262" s="220"/>
      <c r="Q262" s="220"/>
      <c r="R262" s="220"/>
      <c r="S262" s="220"/>
      <c r="T262" s="220"/>
      <c r="U262" s="220"/>
      <c r="V262" s="220"/>
      <c r="W262" s="220"/>
    </row>
    <row r="263" ht="15.75" customHeight="1" outlineLevel="1">
      <c r="A263" s="211"/>
      <c r="B263" s="212"/>
      <c r="C263" s="213"/>
      <c r="D263" s="214" t="str">
        <f>IFERROR(VLOOKUP($C263,'PORTIFÓLIO'!C:V,2,0),"")</f>
        <v/>
      </c>
      <c r="E263" s="211" t="str">
        <f>IFERROR(VLOOKUP($C263,'PORTIFÓLIO'!C:V,3,0),"")</f>
        <v/>
      </c>
      <c r="F263" s="211" t="str">
        <f>IFERROR(VLOOKUP($C263,'PORTIFÓLIO'!C:V,4,0),"")</f>
        <v/>
      </c>
      <c r="G263" s="215" t="str">
        <f>IFERROR(VLOOKUP($C263,'PORTIFÓLIO'!C:V,5,0),"")</f>
        <v/>
      </c>
      <c r="H263" s="254" t="str">
        <f t="array" ref="H263">IFERROR(INDEX('PORTIFÓLIO'!$H$4:$H$433,MATCH($C263,'PORTIFÓLIO'!$C$4:$C$433,0)),"")</f>
        <v/>
      </c>
      <c r="I263" s="256"/>
      <c r="J263" s="218">
        <f t="shared" si="29"/>
        <v>0</v>
      </c>
      <c r="K263" s="292" t="str">
        <f t="array" ref="K263">IFERROR(I263*INDEX('PORTIFÓLIO'!$S$4:$S$433,MATCH($C263,'PORTIFÓLIO'!$C$4:$C$433,0)),"")</f>
        <v/>
      </c>
      <c r="L263" s="292" t="str">
        <f t="array" ref="L263">IFERROR(J263*INDEX('PORTIFÓLIO'!$S$4:$S$433,MATCH($C263,'PORTIFÓLIO'!$C$4:$C$433,0)),"")</f>
        <v/>
      </c>
      <c r="M263" s="220"/>
      <c r="N263" s="220"/>
      <c r="O263" s="220"/>
      <c r="P263" s="220"/>
      <c r="Q263" s="220"/>
      <c r="R263" s="220"/>
      <c r="S263" s="220"/>
      <c r="T263" s="220"/>
      <c r="U263" s="220"/>
      <c r="V263" s="220"/>
      <c r="W263" s="220"/>
    </row>
    <row r="264" ht="15.75" customHeight="1" outlineLevel="1">
      <c r="A264" s="211"/>
      <c r="B264" s="212"/>
      <c r="C264" s="213"/>
      <c r="D264" s="214" t="str">
        <f>IFERROR(VLOOKUP($C264,'PORTIFÓLIO'!C:V,2,0),"")</f>
        <v/>
      </c>
      <c r="E264" s="211" t="str">
        <f>IFERROR(VLOOKUP($C264,'PORTIFÓLIO'!C:V,3,0),"")</f>
        <v/>
      </c>
      <c r="F264" s="211" t="str">
        <f>IFERROR(VLOOKUP($C264,'PORTIFÓLIO'!C:V,4,0),"")</f>
        <v/>
      </c>
      <c r="G264" s="215" t="str">
        <f>IFERROR(VLOOKUP($C264,'PORTIFÓLIO'!C:V,5,0),"")</f>
        <v/>
      </c>
      <c r="H264" s="254" t="str">
        <f t="array" ref="H264">IFERROR(INDEX('PORTIFÓLIO'!$H$4:$H$433,MATCH($C264,'PORTIFÓLIO'!$C$4:$C$433,0)),"")</f>
        <v/>
      </c>
      <c r="I264" s="256"/>
      <c r="J264" s="218">
        <f t="shared" si="29"/>
        <v>0</v>
      </c>
      <c r="K264" s="292" t="str">
        <f t="array" ref="K264">IFERROR(I264*INDEX('PORTIFÓLIO'!$S$4:$S$433,MATCH($C264,'PORTIFÓLIO'!$C$4:$C$433,0)),"")</f>
        <v/>
      </c>
      <c r="L264" s="292" t="str">
        <f t="array" ref="L264">IFERROR(J264*INDEX('PORTIFÓLIO'!$S$4:$S$433,MATCH($C264,'PORTIFÓLIO'!$C$4:$C$433,0)),"")</f>
        <v/>
      </c>
      <c r="M264" s="220"/>
      <c r="N264" s="220"/>
      <c r="O264" s="220"/>
      <c r="P264" s="220"/>
      <c r="Q264" s="220"/>
      <c r="R264" s="220"/>
      <c r="S264" s="220"/>
      <c r="T264" s="220"/>
      <c r="U264" s="220"/>
      <c r="V264" s="220"/>
      <c r="W264" s="220"/>
    </row>
    <row r="265" ht="15.75" customHeight="1" outlineLevel="1">
      <c r="A265" s="211"/>
      <c r="B265" s="212"/>
      <c r="C265" s="213"/>
      <c r="D265" s="214" t="str">
        <f>IFERROR(VLOOKUP($C265,'PORTIFÓLIO'!C:V,2,0),"")</f>
        <v/>
      </c>
      <c r="E265" s="211" t="str">
        <f>IFERROR(VLOOKUP($C265,'PORTIFÓLIO'!C:V,3,0),"")</f>
        <v/>
      </c>
      <c r="F265" s="211" t="str">
        <f>IFERROR(VLOOKUP($C265,'PORTIFÓLIO'!C:V,4,0),"")</f>
        <v/>
      </c>
      <c r="G265" s="215" t="str">
        <f>IFERROR(VLOOKUP($C265,'PORTIFÓLIO'!C:V,5,0),"")</f>
        <v/>
      </c>
      <c r="H265" s="254" t="str">
        <f t="array" ref="H265">IFERROR(INDEX('PORTIFÓLIO'!$H$4:$H$433,MATCH($C265,'PORTIFÓLIO'!$C$4:$C$433,0)),"")</f>
        <v/>
      </c>
      <c r="I265" s="256"/>
      <c r="J265" s="218">
        <f t="shared" si="29"/>
        <v>0</v>
      </c>
      <c r="K265" s="292" t="str">
        <f t="array" ref="K265">IFERROR(I265*INDEX('PORTIFÓLIO'!$S$4:$S$433,MATCH($C265,'PORTIFÓLIO'!$C$4:$C$433,0)),"")</f>
        <v/>
      </c>
      <c r="L265" s="292" t="str">
        <f t="array" ref="L265">IFERROR(J265*INDEX('PORTIFÓLIO'!$S$4:$S$433,MATCH($C265,'PORTIFÓLIO'!$C$4:$C$433,0)),"")</f>
        <v/>
      </c>
      <c r="M265" s="220"/>
      <c r="N265" s="220"/>
      <c r="O265" s="220"/>
      <c r="P265" s="220"/>
      <c r="Q265" s="220"/>
      <c r="R265" s="220"/>
      <c r="S265" s="220"/>
      <c r="T265" s="220"/>
      <c r="U265" s="220"/>
      <c r="V265" s="220"/>
      <c r="W265" s="220"/>
    </row>
    <row r="266" ht="15.75" customHeight="1" outlineLevel="1">
      <c r="A266" s="211"/>
      <c r="B266" s="212"/>
      <c r="C266" s="213"/>
      <c r="D266" s="214" t="str">
        <f>IFERROR(VLOOKUP($C266,'PORTIFÓLIO'!C:V,2,0),"")</f>
        <v/>
      </c>
      <c r="E266" s="211" t="str">
        <f>IFERROR(VLOOKUP($C266,'PORTIFÓLIO'!C:V,3,0),"")</f>
        <v/>
      </c>
      <c r="F266" s="211" t="str">
        <f>IFERROR(VLOOKUP($C266,'PORTIFÓLIO'!C:V,4,0),"")</f>
        <v/>
      </c>
      <c r="G266" s="215" t="str">
        <f>IFERROR(VLOOKUP($C266,'PORTIFÓLIO'!C:V,5,0),"")</f>
        <v/>
      </c>
      <c r="H266" s="254" t="str">
        <f t="array" ref="H266">IFERROR(INDEX('PORTIFÓLIO'!$H$4:$H$433,MATCH($C266,'PORTIFÓLIO'!$C$4:$C$433,0)),"")</f>
        <v/>
      </c>
      <c r="I266" s="256"/>
      <c r="J266" s="218">
        <f t="shared" si="29"/>
        <v>0</v>
      </c>
      <c r="K266" s="292" t="str">
        <f t="array" ref="K266">IFERROR(I266*INDEX('PORTIFÓLIO'!$S$4:$S$433,MATCH($C266,'PORTIFÓLIO'!$C$4:$C$433,0)),"")</f>
        <v/>
      </c>
      <c r="L266" s="292" t="str">
        <f t="array" ref="L266">IFERROR(J266*INDEX('PORTIFÓLIO'!$S$4:$S$433,MATCH($C266,'PORTIFÓLIO'!$C$4:$C$433,0)),"")</f>
        <v/>
      </c>
      <c r="M266" s="220"/>
      <c r="N266" s="220"/>
      <c r="O266" s="220"/>
      <c r="P266" s="220"/>
      <c r="Q266" s="220"/>
      <c r="R266" s="220"/>
      <c r="S266" s="220"/>
      <c r="T266" s="220"/>
      <c r="U266" s="220"/>
      <c r="V266" s="220"/>
      <c r="W266" s="220"/>
    </row>
    <row r="267" ht="15.75" customHeight="1" outlineLevel="1">
      <c r="A267" s="211"/>
      <c r="B267" s="212"/>
      <c r="C267" s="213"/>
      <c r="D267" s="214" t="str">
        <f>IFERROR(VLOOKUP($C267,'PORTIFÓLIO'!C:V,2,0),"")</f>
        <v/>
      </c>
      <c r="E267" s="211" t="str">
        <f>IFERROR(VLOOKUP($C267,'PORTIFÓLIO'!C:V,3,0),"")</f>
        <v/>
      </c>
      <c r="F267" s="211" t="str">
        <f>IFERROR(VLOOKUP($C267,'PORTIFÓLIO'!C:V,4,0),"")</f>
        <v/>
      </c>
      <c r="G267" s="215" t="str">
        <f>IFERROR(VLOOKUP($C267,'PORTIFÓLIO'!C:V,5,0),"")</f>
        <v/>
      </c>
      <c r="H267" s="254" t="str">
        <f t="array" ref="H267">IFERROR(INDEX('PORTIFÓLIO'!$H$4:$H$433,MATCH($C267,'PORTIFÓLIO'!$C$4:$C$433,0)),"")</f>
        <v/>
      </c>
      <c r="I267" s="256"/>
      <c r="J267" s="218">
        <f t="shared" si="29"/>
        <v>0</v>
      </c>
      <c r="K267" s="292" t="str">
        <f t="array" ref="K267">IFERROR(I267*INDEX('PORTIFÓLIO'!$S$4:$S$433,MATCH($C267,'PORTIFÓLIO'!$C$4:$C$433,0)),"")</f>
        <v/>
      </c>
      <c r="L267" s="292" t="str">
        <f t="array" ref="L267">IFERROR(J267*INDEX('PORTIFÓLIO'!$S$4:$S$433,MATCH($C267,'PORTIFÓLIO'!$C$4:$C$433,0)),"")</f>
        <v/>
      </c>
      <c r="M267" s="220"/>
      <c r="N267" s="220"/>
      <c r="O267" s="220"/>
      <c r="P267" s="220"/>
      <c r="Q267" s="220"/>
      <c r="R267" s="220"/>
      <c r="S267" s="220"/>
      <c r="T267" s="220"/>
      <c r="U267" s="220"/>
      <c r="V267" s="220"/>
      <c r="W267" s="220"/>
    </row>
    <row r="268" ht="15.75" customHeight="1" outlineLevel="1">
      <c r="A268" s="211"/>
      <c r="B268" s="212"/>
      <c r="C268" s="213"/>
      <c r="D268" s="214" t="str">
        <f>IFERROR(VLOOKUP($C268,'PORTIFÓLIO'!C:V,2,0),"")</f>
        <v/>
      </c>
      <c r="E268" s="211" t="str">
        <f>IFERROR(VLOOKUP($C268,'PORTIFÓLIO'!C:V,3,0),"")</f>
        <v/>
      </c>
      <c r="F268" s="211" t="str">
        <f>IFERROR(VLOOKUP($C268,'PORTIFÓLIO'!C:V,4,0),"")</f>
        <v/>
      </c>
      <c r="G268" s="215" t="str">
        <f>IFERROR(VLOOKUP($C268,'PORTIFÓLIO'!C:V,5,0),"")</f>
        <v/>
      </c>
      <c r="H268" s="254" t="str">
        <f t="array" ref="H268">IFERROR(INDEX('PORTIFÓLIO'!$H$4:$H$433,MATCH($C268,'PORTIFÓLIO'!$C$4:$C$433,0)),"")</f>
        <v/>
      </c>
      <c r="I268" s="256"/>
      <c r="J268" s="218">
        <f t="shared" si="29"/>
        <v>0</v>
      </c>
      <c r="K268" s="292" t="str">
        <f t="array" ref="K268">IFERROR(I268*INDEX('PORTIFÓLIO'!$S$4:$S$433,MATCH($C268,'PORTIFÓLIO'!$C$4:$C$433,0)),"")</f>
        <v/>
      </c>
      <c r="L268" s="292" t="str">
        <f t="array" ref="L268">IFERROR(J268*INDEX('PORTIFÓLIO'!$S$4:$S$433,MATCH($C268,'PORTIFÓLIO'!$C$4:$C$433,0)),"")</f>
        <v/>
      </c>
      <c r="M268" s="220"/>
      <c r="N268" s="220"/>
      <c r="O268" s="220"/>
      <c r="P268" s="220"/>
      <c r="Q268" s="220"/>
      <c r="R268" s="220"/>
      <c r="S268" s="220"/>
      <c r="T268" s="220"/>
      <c r="U268" s="220"/>
      <c r="V268" s="220"/>
      <c r="W268" s="220"/>
    </row>
    <row r="269" ht="15.75" customHeight="1" outlineLevel="1">
      <c r="A269" s="211"/>
      <c r="B269" s="212"/>
      <c r="C269" s="213"/>
      <c r="D269" s="214" t="str">
        <f>IFERROR(VLOOKUP($C269,'PORTIFÓLIO'!C:V,2,0),"")</f>
        <v/>
      </c>
      <c r="E269" s="211" t="str">
        <f>IFERROR(VLOOKUP($C269,'PORTIFÓLIO'!C:V,3,0),"")</f>
        <v/>
      </c>
      <c r="F269" s="211" t="str">
        <f>IFERROR(VLOOKUP($C269,'PORTIFÓLIO'!C:V,4,0),"")</f>
        <v/>
      </c>
      <c r="G269" s="215" t="str">
        <f>IFERROR(VLOOKUP($C269,'PORTIFÓLIO'!C:V,5,0),"")</f>
        <v/>
      </c>
      <c r="H269" s="254" t="str">
        <f t="array" ref="H269">IFERROR(INDEX('PORTIFÓLIO'!$H$4:$H$433,MATCH($C269,'PORTIFÓLIO'!$C$4:$C$433,0)),"")</f>
        <v/>
      </c>
      <c r="I269" s="256"/>
      <c r="J269" s="218">
        <f t="shared" si="29"/>
        <v>0</v>
      </c>
      <c r="K269" s="292" t="str">
        <f t="array" ref="K269">IFERROR(I269*INDEX('PORTIFÓLIO'!$S$4:$S$433,MATCH($C269,'PORTIFÓLIO'!$C$4:$C$433,0)),"")</f>
        <v/>
      </c>
      <c r="L269" s="292" t="str">
        <f t="array" ref="L269">IFERROR(J269*INDEX('PORTIFÓLIO'!$S$4:$S$433,MATCH($C269,'PORTIFÓLIO'!$C$4:$C$433,0)),"")</f>
        <v/>
      </c>
      <c r="M269" s="220"/>
      <c r="N269" s="220"/>
      <c r="O269" s="220"/>
      <c r="P269" s="220"/>
      <c r="Q269" s="220"/>
      <c r="R269" s="220"/>
      <c r="S269" s="220"/>
      <c r="T269" s="220"/>
      <c r="U269" s="220"/>
      <c r="V269" s="220"/>
      <c r="W269" s="220"/>
    </row>
    <row r="270" ht="15.75" customHeight="1" outlineLevel="1">
      <c r="A270" s="211"/>
      <c r="B270" s="212"/>
      <c r="C270" s="213"/>
      <c r="D270" s="214" t="str">
        <f>IFERROR(VLOOKUP($C270,'PORTIFÓLIO'!C:V,2,0),"")</f>
        <v/>
      </c>
      <c r="E270" s="211" t="str">
        <f>IFERROR(VLOOKUP($C270,'PORTIFÓLIO'!C:V,3,0),"")</f>
        <v/>
      </c>
      <c r="F270" s="211" t="str">
        <f>IFERROR(VLOOKUP($C270,'PORTIFÓLIO'!C:V,4,0),"")</f>
        <v/>
      </c>
      <c r="G270" s="215" t="str">
        <f>IFERROR(VLOOKUP($C270,'PORTIFÓLIO'!C:V,5,0),"")</f>
        <v/>
      </c>
      <c r="H270" s="254" t="str">
        <f t="array" ref="H270">IFERROR(INDEX('PORTIFÓLIO'!$H$4:$H$433,MATCH($C270,'PORTIFÓLIO'!$C$4:$C$433,0)),"")</f>
        <v/>
      </c>
      <c r="I270" s="256"/>
      <c r="J270" s="218">
        <f t="shared" si="29"/>
        <v>0</v>
      </c>
      <c r="K270" s="292" t="str">
        <f t="array" ref="K270">IFERROR(I270*INDEX('PORTIFÓLIO'!$S$4:$S$433,MATCH($C270,'PORTIFÓLIO'!$C$4:$C$433,0)),"")</f>
        <v/>
      </c>
      <c r="L270" s="292" t="str">
        <f t="array" ref="L270">IFERROR(J270*INDEX('PORTIFÓLIO'!$S$4:$S$433,MATCH($C270,'PORTIFÓLIO'!$C$4:$C$433,0)),"")</f>
        <v/>
      </c>
      <c r="M270" s="220"/>
      <c r="N270" s="220"/>
      <c r="O270" s="220"/>
      <c r="P270" s="220"/>
      <c r="Q270" s="220"/>
      <c r="R270" s="220"/>
      <c r="S270" s="220"/>
      <c r="T270" s="220"/>
      <c r="U270" s="220"/>
      <c r="V270" s="220"/>
      <c r="W270" s="220"/>
    </row>
    <row r="271" ht="15.75" customHeight="1">
      <c r="A271" s="229" t="s">
        <v>1185</v>
      </c>
      <c r="B271" s="230"/>
      <c r="C271" s="231"/>
      <c r="D271" s="232"/>
      <c r="E271" s="231"/>
      <c r="F271" s="231"/>
      <c r="G271" s="233"/>
      <c r="H271" s="233"/>
      <c r="I271" s="258"/>
      <c r="J271" s="236"/>
      <c r="K271" s="237">
        <f t="shared" ref="K271:L271" si="30">SUBTOTAL(9,K272:K285)</f>
        <v>0</v>
      </c>
      <c r="L271" s="237">
        <f t="shared" si="30"/>
        <v>0</v>
      </c>
      <c r="M271" s="220"/>
      <c r="N271" s="220"/>
      <c r="O271" s="220"/>
      <c r="P271" s="220"/>
      <c r="Q271" s="220"/>
      <c r="R271" s="220"/>
      <c r="S271" s="220"/>
      <c r="T271" s="220"/>
      <c r="U271" s="220"/>
      <c r="V271" s="220"/>
      <c r="W271" s="220"/>
    </row>
    <row r="272" ht="15.75" customHeight="1" outlineLevel="1">
      <c r="A272" s="213"/>
      <c r="B272" s="212"/>
      <c r="C272" s="213"/>
      <c r="D272" s="214" t="str">
        <f>IFERROR(VLOOKUP($C272,'PORTIFÓLIO'!C:V,2,0),"")</f>
        <v/>
      </c>
      <c r="E272" s="211" t="str">
        <f>IFERROR(VLOOKUP($C272,'PORTIFÓLIO'!C:V,3,0),"")</f>
        <v/>
      </c>
      <c r="F272" s="211" t="str">
        <f>IFERROR(VLOOKUP($C272,'PORTIFÓLIO'!C:V,4,0),"")</f>
        <v/>
      </c>
      <c r="G272" s="215" t="str">
        <f>IFERROR(VLOOKUP($C272,'PORTIFÓLIO'!C:V,5,0),"")</f>
        <v/>
      </c>
      <c r="H272" s="254" t="str">
        <f t="array" ref="H272">IFERROR(INDEX('PORTIFÓLIO'!$H$4:$H$433,MATCH($C272,'PORTIFÓLIO'!$C$4:$C$433,0)),"")</f>
        <v/>
      </c>
      <c r="I272" s="255"/>
      <c r="J272" s="218">
        <f t="shared" ref="J272:J289" si="31">I272*$B$2</f>
        <v>0</v>
      </c>
      <c r="K272" s="292" t="str">
        <f t="array" ref="K272">IFERROR(I272*INDEX('PORTIFÓLIO'!$S$4:$S$433,MATCH($C272,'PORTIFÓLIO'!$C$4:$C$433,0)),"")</f>
        <v/>
      </c>
      <c r="L272" s="292" t="str">
        <f t="array" ref="L272">IFERROR(J272*INDEX('PORTIFÓLIO'!$S$4:$S$433,MATCH($C272,'PORTIFÓLIO'!$C$4:$C$433,0)),"")</f>
        <v/>
      </c>
      <c r="M272" s="220"/>
      <c r="N272" s="220"/>
      <c r="O272" s="220"/>
      <c r="P272" s="220"/>
      <c r="Q272" s="220"/>
      <c r="R272" s="220"/>
      <c r="S272" s="220"/>
      <c r="T272" s="220"/>
      <c r="U272" s="220"/>
      <c r="V272" s="220"/>
      <c r="W272" s="220"/>
    </row>
    <row r="273" ht="15.75" customHeight="1" outlineLevel="1">
      <c r="A273" s="211"/>
      <c r="B273" s="212"/>
      <c r="C273" s="213"/>
      <c r="D273" s="214" t="str">
        <f>IFERROR(VLOOKUP($C273,'PORTIFÓLIO'!C:V,2,0),"")</f>
        <v/>
      </c>
      <c r="E273" s="211" t="str">
        <f>IFERROR(VLOOKUP($C273,'PORTIFÓLIO'!C:V,3,0),"")</f>
        <v/>
      </c>
      <c r="F273" s="211" t="str">
        <f>IFERROR(VLOOKUP($C273,'PORTIFÓLIO'!C:V,4,0),"")</f>
        <v/>
      </c>
      <c r="G273" s="215" t="str">
        <f>IFERROR(VLOOKUP($C273,'PORTIFÓLIO'!C:V,5,0),"")</f>
        <v/>
      </c>
      <c r="H273" s="254" t="str">
        <f t="array" ref="H273">IFERROR(INDEX('PORTIFÓLIO'!$H$4:$H$433,MATCH($C273,'PORTIFÓLIO'!$C$4:$C$433,0)),"")</f>
        <v/>
      </c>
      <c r="I273" s="256"/>
      <c r="J273" s="218">
        <f t="shared" si="31"/>
        <v>0</v>
      </c>
      <c r="K273" s="292" t="str">
        <f t="array" ref="K273">IFERROR(I273*INDEX('PORTIFÓLIO'!$S$4:$S$433,MATCH($C273,'PORTIFÓLIO'!$C$4:$C$433,0)),"")</f>
        <v/>
      </c>
      <c r="L273" s="292" t="str">
        <f t="array" ref="L273">IFERROR(J273*INDEX('PORTIFÓLIO'!$S$4:$S$433,MATCH($C273,'PORTIFÓLIO'!$C$4:$C$433,0)),"")</f>
        <v/>
      </c>
      <c r="M273" s="220"/>
      <c r="N273" s="220"/>
      <c r="O273" s="220"/>
      <c r="P273" s="220"/>
      <c r="Q273" s="220"/>
      <c r="R273" s="220"/>
      <c r="S273" s="220"/>
      <c r="T273" s="220"/>
      <c r="U273" s="220"/>
      <c r="V273" s="220"/>
      <c r="W273" s="220"/>
    </row>
    <row r="274" ht="15.75" customHeight="1" outlineLevel="1">
      <c r="A274" s="211"/>
      <c r="B274" s="212"/>
      <c r="C274" s="213"/>
      <c r="D274" s="214" t="str">
        <f>IFERROR(VLOOKUP($C274,'PORTIFÓLIO'!C:V,2,0),"")</f>
        <v/>
      </c>
      <c r="E274" s="211" t="str">
        <f>IFERROR(VLOOKUP($C274,'PORTIFÓLIO'!C:V,3,0),"")</f>
        <v/>
      </c>
      <c r="F274" s="211" t="str">
        <f>IFERROR(VLOOKUP($C274,'PORTIFÓLIO'!C:V,4,0),"")</f>
        <v/>
      </c>
      <c r="G274" s="215" t="str">
        <f>IFERROR(VLOOKUP($C274,'PORTIFÓLIO'!C:V,5,0),"")</f>
        <v/>
      </c>
      <c r="H274" s="254" t="str">
        <f t="array" ref="H274">IFERROR(INDEX('PORTIFÓLIO'!$H$4:$H$433,MATCH($C274,'PORTIFÓLIO'!$C$4:$C$433,0)),"")</f>
        <v/>
      </c>
      <c r="I274" s="256"/>
      <c r="J274" s="218">
        <f t="shared" si="31"/>
        <v>0</v>
      </c>
      <c r="K274" s="292" t="str">
        <f t="array" ref="K274">IFERROR(I274*INDEX('PORTIFÓLIO'!$S$4:$S$433,MATCH($C274,'PORTIFÓLIO'!$C$4:$C$433,0)),"")</f>
        <v/>
      </c>
      <c r="L274" s="292" t="str">
        <f t="array" ref="L274">IFERROR(J274*INDEX('PORTIFÓLIO'!$S$4:$S$433,MATCH($C274,'PORTIFÓLIO'!$C$4:$C$433,0)),"")</f>
        <v/>
      </c>
      <c r="M274" s="220"/>
      <c r="N274" s="220"/>
      <c r="O274" s="220"/>
      <c r="P274" s="220"/>
      <c r="Q274" s="220"/>
      <c r="R274" s="220"/>
      <c r="S274" s="220"/>
      <c r="T274" s="220"/>
      <c r="U274" s="220"/>
      <c r="V274" s="220"/>
      <c r="W274" s="220"/>
    </row>
    <row r="275" ht="15.75" customHeight="1" outlineLevel="1">
      <c r="A275" s="211"/>
      <c r="B275" s="212"/>
      <c r="C275" s="213"/>
      <c r="D275" s="214" t="str">
        <f>IFERROR(VLOOKUP($C275,'PORTIFÓLIO'!C:V,2,0),"")</f>
        <v/>
      </c>
      <c r="E275" s="211" t="str">
        <f>IFERROR(VLOOKUP($C275,'PORTIFÓLIO'!C:V,3,0),"")</f>
        <v/>
      </c>
      <c r="F275" s="211" t="str">
        <f>IFERROR(VLOOKUP($C275,'PORTIFÓLIO'!C:V,4,0),"")</f>
        <v/>
      </c>
      <c r="G275" s="215" t="str">
        <f>IFERROR(VLOOKUP($C275,'PORTIFÓLIO'!C:V,5,0),"")</f>
        <v/>
      </c>
      <c r="H275" s="254" t="str">
        <f t="array" ref="H275">IFERROR(INDEX('PORTIFÓLIO'!$H$4:$H$433,MATCH($C275,'PORTIFÓLIO'!$C$4:$C$433,0)),"")</f>
        <v/>
      </c>
      <c r="I275" s="256"/>
      <c r="J275" s="218">
        <f t="shared" si="31"/>
        <v>0</v>
      </c>
      <c r="K275" s="292" t="str">
        <f t="array" ref="K275">IFERROR(I275*INDEX('PORTIFÓLIO'!$S$4:$S$433,MATCH($C275,'PORTIFÓLIO'!$C$4:$C$433,0)),"")</f>
        <v/>
      </c>
      <c r="L275" s="292" t="str">
        <f t="array" ref="L275">IFERROR(J275*INDEX('PORTIFÓLIO'!$S$4:$S$433,MATCH($C275,'PORTIFÓLIO'!$C$4:$C$433,0)),"")</f>
        <v/>
      </c>
      <c r="M275" s="220"/>
      <c r="N275" s="220"/>
      <c r="O275" s="220"/>
      <c r="P275" s="220"/>
      <c r="Q275" s="220"/>
      <c r="R275" s="220"/>
      <c r="S275" s="220"/>
      <c r="T275" s="220"/>
      <c r="U275" s="220"/>
      <c r="V275" s="220"/>
      <c r="W275" s="220"/>
    </row>
    <row r="276" ht="15.75" customHeight="1" outlineLevel="1">
      <c r="A276" s="211"/>
      <c r="B276" s="212"/>
      <c r="C276" s="213"/>
      <c r="D276" s="214" t="str">
        <f>IFERROR(VLOOKUP($C276,'PORTIFÓLIO'!C:V,2,0),"")</f>
        <v/>
      </c>
      <c r="E276" s="211" t="str">
        <f>IFERROR(VLOOKUP($C276,'PORTIFÓLIO'!C:V,3,0),"")</f>
        <v/>
      </c>
      <c r="F276" s="211" t="str">
        <f>IFERROR(VLOOKUP($C276,'PORTIFÓLIO'!C:V,4,0),"")</f>
        <v/>
      </c>
      <c r="G276" s="215" t="str">
        <f>IFERROR(VLOOKUP($C276,'PORTIFÓLIO'!C:V,5,0),"")</f>
        <v/>
      </c>
      <c r="H276" s="254" t="str">
        <f t="array" ref="H276">IFERROR(INDEX('PORTIFÓLIO'!$H$4:$H$433,MATCH($C276,'PORTIFÓLIO'!$C$4:$C$433,0)),"")</f>
        <v/>
      </c>
      <c r="I276" s="256"/>
      <c r="J276" s="218">
        <f t="shared" si="31"/>
        <v>0</v>
      </c>
      <c r="K276" s="292" t="str">
        <f t="array" ref="K276">IFERROR(I276*INDEX('PORTIFÓLIO'!$S$4:$S$433,MATCH($C276,'PORTIFÓLIO'!$C$4:$C$433,0)),"")</f>
        <v/>
      </c>
      <c r="L276" s="292" t="str">
        <f t="array" ref="L276">IFERROR(J276*INDEX('PORTIFÓLIO'!$S$4:$S$433,MATCH($C276,'PORTIFÓLIO'!$C$4:$C$433,0)),"")</f>
        <v/>
      </c>
      <c r="M276" s="220"/>
      <c r="N276" s="220"/>
      <c r="O276" s="220"/>
      <c r="P276" s="220"/>
      <c r="Q276" s="220"/>
      <c r="R276" s="220"/>
      <c r="S276" s="220"/>
      <c r="T276" s="220"/>
      <c r="U276" s="220"/>
      <c r="V276" s="220"/>
      <c r="W276" s="220"/>
    </row>
    <row r="277" ht="15.75" customHeight="1" outlineLevel="1">
      <c r="A277" s="211"/>
      <c r="B277" s="212"/>
      <c r="C277" s="213"/>
      <c r="D277" s="214" t="str">
        <f>IFERROR(VLOOKUP($C277,'PORTIFÓLIO'!C:V,2,0),"")</f>
        <v/>
      </c>
      <c r="E277" s="211" t="str">
        <f>IFERROR(VLOOKUP($C277,'PORTIFÓLIO'!C:V,3,0),"")</f>
        <v/>
      </c>
      <c r="F277" s="211" t="str">
        <f>IFERROR(VLOOKUP($C277,'PORTIFÓLIO'!C:V,4,0),"")</f>
        <v/>
      </c>
      <c r="G277" s="215" t="str">
        <f>IFERROR(VLOOKUP($C277,'PORTIFÓLIO'!C:V,5,0),"")</f>
        <v/>
      </c>
      <c r="H277" s="254" t="str">
        <f t="array" ref="H277">IFERROR(INDEX('PORTIFÓLIO'!$H$4:$H$433,MATCH($C277,'PORTIFÓLIO'!$C$4:$C$433,0)),"")</f>
        <v/>
      </c>
      <c r="I277" s="256"/>
      <c r="J277" s="218">
        <f t="shared" si="31"/>
        <v>0</v>
      </c>
      <c r="K277" s="292" t="str">
        <f t="array" ref="K277">IFERROR(I277*INDEX('PORTIFÓLIO'!$S$4:$S$433,MATCH($C277,'PORTIFÓLIO'!$C$4:$C$433,0)),"")</f>
        <v/>
      </c>
      <c r="L277" s="292" t="str">
        <f t="array" ref="L277">IFERROR(J277*INDEX('PORTIFÓLIO'!$S$4:$S$433,MATCH($C277,'PORTIFÓLIO'!$C$4:$C$433,0)),"")</f>
        <v/>
      </c>
      <c r="M277" s="220"/>
      <c r="N277" s="220"/>
      <c r="O277" s="220"/>
      <c r="P277" s="220"/>
      <c r="Q277" s="220"/>
      <c r="R277" s="220"/>
      <c r="S277" s="220"/>
      <c r="T277" s="220"/>
      <c r="U277" s="220"/>
      <c r="V277" s="220"/>
      <c r="W277" s="220"/>
    </row>
    <row r="278" ht="15.75" customHeight="1" outlineLevel="1">
      <c r="A278" s="211"/>
      <c r="B278" s="212"/>
      <c r="C278" s="213"/>
      <c r="D278" s="214" t="str">
        <f>IFERROR(VLOOKUP($C278,'PORTIFÓLIO'!C:V,2,0),"")</f>
        <v/>
      </c>
      <c r="E278" s="211" t="str">
        <f>IFERROR(VLOOKUP($C278,'PORTIFÓLIO'!C:V,3,0),"")</f>
        <v/>
      </c>
      <c r="F278" s="211" t="str">
        <f>IFERROR(VLOOKUP($C278,'PORTIFÓLIO'!C:V,4,0),"")</f>
        <v/>
      </c>
      <c r="G278" s="215" t="str">
        <f>IFERROR(VLOOKUP($C278,'PORTIFÓLIO'!C:V,5,0),"")</f>
        <v/>
      </c>
      <c r="H278" s="254" t="str">
        <f t="array" ref="H278">IFERROR(INDEX('PORTIFÓLIO'!$H$4:$H$433,MATCH($C278,'PORTIFÓLIO'!$C$4:$C$433,0)),"")</f>
        <v/>
      </c>
      <c r="I278" s="256"/>
      <c r="J278" s="218">
        <f t="shared" si="31"/>
        <v>0</v>
      </c>
      <c r="K278" s="292" t="str">
        <f t="array" ref="K278">IFERROR(I278*INDEX('PORTIFÓLIO'!$S$4:$S$433,MATCH($C278,'PORTIFÓLIO'!$C$4:$C$433,0)),"")</f>
        <v/>
      </c>
      <c r="L278" s="292" t="str">
        <f t="array" ref="L278">IFERROR(J278*INDEX('PORTIFÓLIO'!$S$4:$S$433,MATCH($C278,'PORTIFÓLIO'!$C$4:$C$433,0)),"")</f>
        <v/>
      </c>
      <c r="M278" s="220"/>
      <c r="N278" s="220"/>
      <c r="O278" s="220"/>
      <c r="P278" s="220"/>
      <c r="Q278" s="220"/>
      <c r="R278" s="220"/>
      <c r="S278" s="220"/>
      <c r="T278" s="220"/>
      <c r="U278" s="220"/>
      <c r="V278" s="220"/>
      <c r="W278" s="220"/>
    </row>
    <row r="279" ht="15.75" customHeight="1" outlineLevel="1">
      <c r="A279" s="211"/>
      <c r="B279" s="212"/>
      <c r="C279" s="213"/>
      <c r="D279" s="214" t="str">
        <f>IFERROR(VLOOKUP($C279,'PORTIFÓLIO'!C:V,2,0),"")</f>
        <v/>
      </c>
      <c r="E279" s="211" t="str">
        <f>IFERROR(VLOOKUP($C279,'PORTIFÓLIO'!C:V,3,0),"")</f>
        <v/>
      </c>
      <c r="F279" s="211" t="str">
        <f>IFERROR(VLOOKUP($C279,'PORTIFÓLIO'!C:V,4,0),"")</f>
        <v/>
      </c>
      <c r="G279" s="215" t="str">
        <f>IFERROR(VLOOKUP($C279,'PORTIFÓLIO'!C:V,5,0),"")</f>
        <v/>
      </c>
      <c r="H279" s="254" t="str">
        <f t="array" ref="H279">IFERROR(INDEX('PORTIFÓLIO'!$H$4:$H$433,MATCH($C279,'PORTIFÓLIO'!$C$4:$C$433,0)),"")</f>
        <v/>
      </c>
      <c r="I279" s="256"/>
      <c r="J279" s="218">
        <f t="shared" si="31"/>
        <v>0</v>
      </c>
      <c r="K279" s="292" t="str">
        <f t="array" ref="K279">IFERROR(I279*INDEX('PORTIFÓLIO'!$S$4:$S$433,MATCH($C279,'PORTIFÓLIO'!$C$4:$C$433,0)),"")</f>
        <v/>
      </c>
      <c r="L279" s="292" t="str">
        <f t="array" ref="L279">IFERROR(J279*INDEX('PORTIFÓLIO'!$S$4:$S$433,MATCH($C279,'PORTIFÓLIO'!$C$4:$C$433,0)),"")</f>
        <v/>
      </c>
      <c r="M279" s="220"/>
      <c r="N279" s="220"/>
      <c r="O279" s="220"/>
      <c r="P279" s="220"/>
      <c r="Q279" s="220"/>
      <c r="R279" s="220"/>
      <c r="S279" s="220"/>
      <c r="T279" s="220"/>
      <c r="U279" s="220"/>
      <c r="V279" s="220"/>
      <c r="W279" s="220"/>
    </row>
    <row r="280" ht="15.75" customHeight="1" outlineLevel="1">
      <c r="A280" s="211"/>
      <c r="B280" s="212"/>
      <c r="C280" s="213"/>
      <c r="D280" s="214" t="str">
        <f>IFERROR(VLOOKUP($C280,'PORTIFÓLIO'!C:V,2,0),"")</f>
        <v/>
      </c>
      <c r="E280" s="211" t="str">
        <f>IFERROR(VLOOKUP($C280,'PORTIFÓLIO'!C:V,3,0),"")</f>
        <v/>
      </c>
      <c r="F280" s="211" t="str">
        <f>IFERROR(VLOOKUP($C280,'PORTIFÓLIO'!C:V,4,0),"")</f>
        <v/>
      </c>
      <c r="G280" s="215" t="str">
        <f>IFERROR(VLOOKUP($C280,'PORTIFÓLIO'!C:V,5,0),"")</f>
        <v/>
      </c>
      <c r="H280" s="254" t="str">
        <f t="array" ref="H280">IFERROR(INDEX('PORTIFÓLIO'!$H$4:$H$433,MATCH($C280,'PORTIFÓLIO'!$C$4:$C$433,0)),"")</f>
        <v/>
      </c>
      <c r="I280" s="255"/>
      <c r="J280" s="218">
        <f t="shared" si="31"/>
        <v>0</v>
      </c>
      <c r="K280" s="292" t="str">
        <f t="array" ref="K280">IFERROR(I280*INDEX('PORTIFÓLIO'!$S$4:$S$433,MATCH($C280,'PORTIFÓLIO'!$C$4:$C$433,0)),"")</f>
        <v/>
      </c>
      <c r="L280" s="292" t="str">
        <f t="array" ref="L280">IFERROR(J280*INDEX('PORTIFÓLIO'!$S$4:$S$433,MATCH($C280,'PORTIFÓLIO'!$C$4:$C$433,0)),"")</f>
        <v/>
      </c>
      <c r="M280" s="220"/>
      <c r="N280" s="220"/>
      <c r="O280" s="220"/>
      <c r="P280" s="220"/>
      <c r="Q280" s="220"/>
      <c r="R280" s="220"/>
      <c r="S280" s="220"/>
      <c r="T280" s="220"/>
      <c r="U280" s="220"/>
      <c r="V280" s="220"/>
      <c r="W280" s="220"/>
    </row>
    <row r="281" ht="15.75" customHeight="1" outlineLevel="1">
      <c r="A281" s="211"/>
      <c r="B281" s="212"/>
      <c r="C281" s="213"/>
      <c r="D281" s="214" t="str">
        <f>IFERROR(VLOOKUP($C281,'PORTIFÓLIO'!C:V,2,0),"")</f>
        <v/>
      </c>
      <c r="E281" s="211" t="str">
        <f>IFERROR(VLOOKUP($C281,'PORTIFÓLIO'!C:V,3,0),"")</f>
        <v/>
      </c>
      <c r="F281" s="211" t="str">
        <f>IFERROR(VLOOKUP($C281,'PORTIFÓLIO'!C:V,4,0),"")</f>
        <v/>
      </c>
      <c r="G281" s="215" t="str">
        <f>IFERROR(VLOOKUP($C281,'PORTIFÓLIO'!C:V,5,0),"")</f>
        <v/>
      </c>
      <c r="H281" s="254" t="str">
        <f t="array" ref="H281">IFERROR(INDEX('PORTIFÓLIO'!$H$4:$H$433,MATCH($C281,'PORTIFÓLIO'!$C$4:$C$433,0)),"")</f>
        <v/>
      </c>
      <c r="I281" s="256"/>
      <c r="J281" s="218">
        <f t="shared" si="31"/>
        <v>0</v>
      </c>
      <c r="K281" s="292" t="str">
        <f t="array" ref="K281">IFERROR(I281*INDEX('PORTIFÓLIO'!$S$4:$S$433,MATCH($C281,'PORTIFÓLIO'!$C$4:$C$433,0)),"")</f>
        <v/>
      </c>
      <c r="L281" s="292" t="str">
        <f t="array" ref="L281">IFERROR(J281*INDEX('PORTIFÓLIO'!$S$4:$S$433,MATCH($C281,'PORTIFÓLIO'!$C$4:$C$433,0)),"")</f>
        <v/>
      </c>
      <c r="M281" s="220"/>
      <c r="N281" s="220"/>
      <c r="O281" s="220"/>
      <c r="P281" s="220"/>
      <c r="Q281" s="220"/>
      <c r="R281" s="220"/>
      <c r="S281" s="220"/>
      <c r="T281" s="220"/>
      <c r="U281" s="220"/>
      <c r="V281" s="220"/>
      <c r="W281" s="220"/>
    </row>
    <row r="282" ht="15.75" customHeight="1" outlineLevel="1">
      <c r="A282" s="211"/>
      <c r="B282" s="212"/>
      <c r="C282" s="213"/>
      <c r="D282" s="214" t="str">
        <f>IFERROR(VLOOKUP($C282,'PORTIFÓLIO'!C:V,2,0),"")</f>
        <v/>
      </c>
      <c r="E282" s="211" t="str">
        <f>IFERROR(VLOOKUP($C282,'PORTIFÓLIO'!C:V,3,0),"")</f>
        <v/>
      </c>
      <c r="F282" s="211" t="str">
        <f>IFERROR(VLOOKUP($C282,'PORTIFÓLIO'!C:V,4,0),"")</f>
        <v/>
      </c>
      <c r="G282" s="215" t="str">
        <f>IFERROR(VLOOKUP($C282,'PORTIFÓLIO'!C:V,5,0),"")</f>
        <v/>
      </c>
      <c r="H282" s="254" t="str">
        <f t="array" ref="H282">IFERROR(INDEX('PORTIFÓLIO'!$H$4:$H$433,MATCH($C282,'PORTIFÓLIO'!$C$4:$C$433,0)),"")</f>
        <v/>
      </c>
      <c r="I282" s="256"/>
      <c r="J282" s="218">
        <f t="shared" si="31"/>
        <v>0</v>
      </c>
      <c r="K282" s="292" t="str">
        <f t="array" ref="K282">IFERROR(I282*INDEX('PORTIFÓLIO'!$S$4:$S$433,MATCH($C282,'PORTIFÓLIO'!$C$4:$C$433,0)),"")</f>
        <v/>
      </c>
      <c r="L282" s="292" t="str">
        <f t="array" ref="L282">IFERROR(J282*INDEX('PORTIFÓLIO'!$S$4:$S$433,MATCH($C282,'PORTIFÓLIO'!$C$4:$C$433,0)),"")</f>
        <v/>
      </c>
      <c r="M282" s="220"/>
      <c r="N282" s="220"/>
      <c r="O282" s="220"/>
      <c r="P282" s="220"/>
      <c r="Q282" s="220"/>
      <c r="R282" s="220"/>
      <c r="S282" s="220"/>
      <c r="T282" s="220"/>
      <c r="U282" s="220"/>
      <c r="V282" s="220"/>
      <c r="W282" s="220"/>
    </row>
    <row r="283" ht="15.75" customHeight="1" outlineLevel="1">
      <c r="A283" s="211"/>
      <c r="B283" s="212"/>
      <c r="C283" s="213"/>
      <c r="D283" s="214" t="str">
        <f>IFERROR(VLOOKUP($C283,'PORTIFÓLIO'!C:V,2,0),"")</f>
        <v/>
      </c>
      <c r="E283" s="211" t="str">
        <f>IFERROR(VLOOKUP($C283,'PORTIFÓLIO'!C:V,3,0),"")</f>
        <v/>
      </c>
      <c r="F283" s="211" t="str">
        <f>IFERROR(VLOOKUP($C283,'PORTIFÓLIO'!C:V,4,0),"")</f>
        <v/>
      </c>
      <c r="G283" s="215" t="str">
        <f>IFERROR(VLOOKUP($C283,'PORTIFÓLIO'!C:V,5,0),"")</f>
        <v/>
      </c>
      <c r="H283" s="254" t="str">
        <f t="array" ref="H283">IFERROR(INDEX('PORTIFÓLIO'!$H$4:$H$433,MATCH($C283,'PORTIFÓLIO'!$C$4:$C$433,0)),"")</f>
        <v/>
      </c>
      <c r="I283" s="256"/>
      <c r="J283" s="218">
        <f t="shared" si="31"/>
        <v>0</v>
      </c>
      <c r="K283" s="292" t="str">
        <f t="array" ref="K283">IFERROR(I283*INDEX('PORTIFÓLIO'!$S$4:$S$433,MATCH($C283,'PORTIFÓLIO'!$C$4:$C$433,0)),"")</f>
        <v/>
      </c>
      <c r="L283" s="292" t="str">
        <f t="array" ref="L283">IFERROR(J283*INDEX('PORTIFÓLIO'!$S$4:$S$433,MATCH($C283,'PORTIFÓLIO'!$C$4:$C$433,0)),"")</f>
        <v/>
      </c>
      <c r="M283" s="220"/>
      <c r="N283" s="220"/>
      <c r="O283" s="220"/>
      <c r="P283" s="220"/>
      <c r="Q283" s="220"/>
      <c r="R283" s="220"/>
      <c r="S283" s="220"/>
      <c r="T283" s="220"/>
      <c r="U283" s="220"/>
      <c r="V283" s="220"/>
      <c r="W283" s="220"/>
    </row>
    <row r="284" ht="15.75" customHeight="1" outlineLevel="1">
      <c r="A284" s="211"/>
      <c r="B284" s="212"/>
      <c r="C284" s="213"/>
      <c r="D284" s="214" t="str">
        <f>IFERROR(VLOOKUP($C284,'PORTIFÓLIO'!C:V,2,0),"")</f>
        <v/>
      </c>
      <c r="E284" s="211" t="str">
        <f>IFERROR(VLOOKUP($C284,'PORTIFÓLIO'!C:V,3,0),"")</f>
        <v/>
      </c>
      <c r="F284" s="211" t="str">
        <f>IFERROR(VLOOKUP($C284,'PORTIFÓLIO'!C:V,4,0),"")</f>
        <v/>
      </c>
      <c r="G284" s="215" t="str">
        <f>IFERROR(VLOOKUP($C284,'PORTIFÓLIO'!C:V,5,0),"")</f>
        <v/>
      </c>
      <c r="H284" s="254" t="str">
        <f t="array" ref="H284">IFERROR(INDEX('PORTIFÓLIO'!$H$4:$H$433,MATCH($C284,'PORTIFÓLIO'!$C$4:$C$433,0)),"")</f>
        <v/>
      </c>
      <c r="I284" s="256"/>
      <c r="J284" s="218">
        <f t="shared" si="31"/>
        <v>0</v>
      </c>
      <c r="K284" s="292" t="str">
        <f t="array" ref="K284">IFERROR(I284*INDEX('PORTIFÓLIO'!$S$4:$S$433,MATCH($C284,'PORTIFÓLIO'!$C$4:$C$433,0)),"")</f>
        <v/>
      </c>
      <c r="L284" s="292" t="str">
        <f t="array" ref="L284">IFERROR(J284*INDEX('PORTIFÓLIO'!$S$4:$S$433,MATCH($C284,'PORTIFÓLIO'!$C$4:$C$433,0)),"")</f>
        <v/>
      </c>
      <c r="M284" s="220"/>
      <c r="N284" s="220"/>
      <c r="O284" s="220"/>
      <c r="P284" s="220"/>
      <c r="Q284" s="220"/>
      <c r="R284" s="220"/>
      <c r="S284" s="220"/>
      <c r="T284" s="220"/>
      <c r="U284" s="220"/>
      <c r="V284" s="220"/>
      <c r="W284" s="220"/>
    </row>
    <row r="285" ht="15.75" customHeight="1" outlineLevel="1">
      <c r="A285" s="211"/>
      <c r="B285" s="212"/>
      <c r="C285" s="213"/>
      <c r="D285" s="214" t="str">
        <f>IFERROR(VLOOKUP($C285,'PORTIFÓLIO'!C:V,2,0),"")</f>
        <v/>
      </c>
      <c r="E285" s="211" t="str">
        <f>IFERROR(VLOOKUP($C285,'PORTIFÓLIO'!C:V,3,0),"")</f>
        <v/>
      </c>
      <c r="F285" s="211" t="str">
        <f>IFERROR(VLOOKUP($C285,'PORTIFÓLIO'!C:V,4,0),"")</f>
        <v/>
      </c>
      <c r="G285" s="215" t="str">
        <f>IFERROR(VLOOKUP($C285,'PORTIFÓLIO'!C:V,5,0),"")</f>
        <v/>
      </c>
      <c r="H285" s="254" t="str">
        <f t="array" ref="H285">IFERROR(INDEX('PORTIFÓLIO'!$H$4:$H$433,MATCH($C285,'PORTIFÓLIO'!$C$4:$C$433,0)),"")</f>
        <v/>
      </c>
      <c r="I285" s="256"/>
      <c r="J285" s="218">
        <f t="shared" si="31"/>
        <v>0</v>
      </c>
      <c r="K285" s="292" t="str">
        <f t="array" ref="K285">IFERROR(I285*INDEX('PORTIFÓLIO'!$S$4:$S$433,MATCH($C285,'PORTIFÓLIO'!$C$4:$C$433,0)),"")</f>
        <v/>
      </c>
      <c r="L285" s="292" t="str">
        <f t="array" ref="L285">IFERROR(J285*INDEX('PORTIFÓLIO'!$S$4:$S$433,MATCH($C285,'PORTIFÓLIO'!$C$4:$C$433,0)),"")</f>
        <v/>
      </c>
      <c r="M285" s="220"/>
      <c r="N285" s="220"/>
      <c r="O285" s="220"/>
      <c r="P285" s="220"/>
      <c r="Q285" s="220"/>
      <c r="R285" s="220"/>
      <c r="S285" s="220"/>
      <c r="T285" s="220"/>
      <c r="U285" s="220"/>
      <c r="V285" s="220"/>
      <c r="W285" s="220"/>
    </row>
    <row r="286" ht="15.75" customHeight="1" outlineLevel="1">
      <c r="A286" s="211"/>
      <c r="B286" s="212"/>
      <c r="C286" s="213"/>
      <c r="D286" s="214" t="str">
        <f>IFERROR(VLOOKUP($C286,'PORTIFÓLIO'!C:V,2,0),"")</f>
        <v/>
      </c>
      <c r="E286" s="211" t="str">
        <f>IFERROR(VLOOKUP($C286,'PORTIFÓLIO'!C:V,3,0),"")</f>
        <v/>
      </c>
      <c r="F286" s="211" t="str">
        <f>IFERROR(VLOOKUP($C286,'PORTIFÓLIO'!C:V,4,0),"")</f>
        <v/>
      </c>
      <c r="G286" s="215" t="str">
        <f>IFERROR(VLOOKUP($C286,'PORTIFÓLIO'!C:V,5,0),"")</f>
        <v/>
      </c>
      <c r="H286" s="254" t="str">
        <f t="array" ref="H286">IFERROR(INDEX('PORTIFÓLIO'!$H$4:$H$433,MATCH($C286,'PORTIFÓLIO'!$C$4:$C$433,0)),"")</f>
        <v/>
      </c>
      <c r="I286" s="256"/>
      <c r="J286" s="218">
        <f t="shared" si="31"/>
        <v>0</v>
      </c>
      <c r="K286" s="292" t="str">
        <f t="array" ref="K286">IFERROR(I286*INDEX('PORTIFÓLIO'!$S$4:$S$433,MATCH($C286,'PORTIFÓLIO'!$C$4:$C$433,0)),"")</f>
        <v/>
      </c>
      <c r="L286" s="292" t="str">
        <f t="array" ref="L286">IFERROR(J286*INDEX('PORTIFÓLIO'!$S$4:$S$433,MATCH($C286,'PORTIFÓLIO'!$C$4:$C$433,0)),"")</f>
        <v/>
      </c>
      <c r="M286" s="220"/>
      <c r="N286" s="220"/>
      <c r="O286" s="220"/>
      <c r="P286" s="220"/>
      <c r="Q286" s="220"/>
      <c r="R286" s="220"/>
      <c r="S286" s="220"/>
      <c r="T286" s="220"/>
      <c r="U286" s="220"/>
      <c r="V286" s="220"/>
      <c r="W286" s="220"/>
    </row>
    <row r="287" ht="15.75" customHeight="1" outlineLevel="1">
      <c r="A287" s="211"/>
      <c r="B287" s="212"/>
      <c r="C287" s="213"/>
      <c r="D287" s="214" t="str">
        <f>IFERROR(VLOOKUP($C287,'PORTIFÓLIO'!C:V,2,0),"")</f>
        <v/>
      </c>
      <c r="E287" s="211" t="str">
        <f>IFERROR(VLOOKUP($C287,'PORTIFÓLIO'!C:V,3,0),"")</f>
        <v/>
      </c>
      <c r="F287" s="211" t="str">
        <f>IFERROR(VLOOKUP($C287,'PORTIFÓLIO'!C:V,4,0),"")</f>
        <v/>
      </c>
      <c r="G287" s="215" t="str">
        <f>IFERROR(VLOOKUP($C287,'PORTIFÓLIO'!C:V,5,0),"")</f>
        <v/>
      </c>
      <c r="H287" s="254" t="str">
        <f t="array" ref="H287">IFERROR(INDEX('PORTIFÓLIO'!$H$4:$H$433,MATCH($C287,'PORTIFÓLIO'!$C$4:$C$433,0)),"")</f>
        <v/>
      </c>
      <c r="I287" s="256"/>
      <c r="J287" s="218">
        <f t="shared" si="31"/>
        <v>0</v>
      </c>
      <c r="K287" s="292" t="str">
        <f t="array" ref="K287">IFERROR(I287*INDEX('PORTIFÓLIO'!$S$4:$S$433,MATCH($C287,'PORTIFÓLIO'!$C$4:$C$433,0)),"")</f>
        <v/>
      </c>
      <c r="L287" s="292" t="str">
        <f t="array" ref="L287">IFERROR(J287*INDEX('PORTIFÓLIO'!$S$4:$S$433,MATCH($C287,'PORTIFÓLIO'!$C$4:$C$433,0)),"")</f>
        <v/>
      </c>
      <c r="M287" s="220"/>
      <c r="N287" s="220"/>
      <c r="O287" s="220"/>
      <c r="P287" s="220"/>
      <c r="Q287" s="220"/>
      <c r="R287" s="220"/>
      <c r="S287" s="220"/>
      <c r="T287" s="220"/>
      <c r="U287" s="220"/>
      <c r="V287" s="220"/>
      <c r="W287" s="220"/>
    </row>
    <row r="288" ht="15.75" customHeight="1" outlineLevel="1">
      <c r="A288" s="211"/>
      <c r="B288" s="212"/>
      <c r="C288" s="213"/>
      <c r="D288" s="214" t="str">
        <f>IFERROR(VLOOKUP($C288,'PORTIFÓLIO'!C:V,2,0),"")</f>
        <v/>
      </c>
      <c r="E288" s="211" t="str">
        <f>IFERROR(VLOOKUP($C288,'PORTIFÓLIO'!C:V,3,0),"")</f>
        <v/>
      </c>
      <c r="F288" s="211" t="str">
        <f>IFERROR(VLOOKUP($C288,'PORTIFÓLIO'!C:V,4,0),"")</f>
        <v/>
      </c>
      <c r="G288" s="215" t="str">
        <f>IFERROR(VLOOKUP($C288,'PORTIFÓLIO'!C:V,5,0),"")</f>
        <v/>
      </c>
      <c r="H288" s="254" t="str">
        <f t="array" ref="H288">IFERROR(INDEX('PORTIFÓLIO'!$H$4:$H$433,MATCH($C288,'PORTIFÓLIO'!$C$4:$C$433,0)),"")</f>
        <v/>
      </c>
      <c r="I288" s="256"/>
      <c r="J288" s="218">
        <f t="shared" si="31"/>
        <v>0</v>
      </c>
      <c r="K288" s="292" t="str">
        <f t="array" ref="K288">IFERROR(I288*INDEX('PORTIFÓLIO'!$S$4:$S$433,MATCH($C288,'PORTIFÓLIO'!$C$4:$C$433,0)),"")</f>
        <v/>
      </c>
      <c r="L288" s="292" t="str">
        <f t="array" ref="L288">IFERROR(J288*INDEX('PORTIFÓLIO'!$S$4:$S$433,MATCH($C288,'PORTIFÓLIO'!$C$4:$C$433,0)),"")</f>
        <v/>
      </c>
      <c r="M288" s="220"/>
      <c r="N288" s="220"/>
      <c r="O288" s="220"/>
      <c r="P288" s="220"/>
      <c r="Q288" s="220"/>
      <c r="R288" s="220"/>
      <c r="S288" s="220"/>
      <c r="T288" s="220"/>
      <c r="U288" s="220"/>
      <c r="V288" s="220"/>
      <c r="W288" s="220"/>
    </row>
    <row r="289" ht="15.75" customHeight="1" outlineLevel="1">
      <c r="A289" s="211"/>
      <c r="B289" s="212"/>
      <c r="C289" s="213"/>
      <c r="D289" s="214" t="str">
        <f>IFERROR(VLOOKUP($C289,'PORTIFÓLIO'!C:V,2,0),"")</f>
        <v/>
      </c>
      <c r="E289" s="211" t="str">
        <f>IFERROR(VLOOKUP($C289,'PORTIFÓLIO'!C:V,3,0),"")</f>
        <v/>
      </c>
      <c r="F289" s="211" t="str">
        <f>IFERROR(VLOOKUP($C289,'PORTIFÓLIO'!C:V,4,0),"")</f>
        <v/>
      </c>
      <c r="G289" s="215" t="str">
        <f>IFERROR(VLOOKUP($C289,'PORTIFÓLIO'!C:V,5,0),"")</f>
        <v/>
      </c>
      <c r="H289" s="254" t="str">
        <f t="array" ref="H289">IFERROR(INDEX('PORTIFÓLIO'!$H$4:$H$433,MATCH($C289,'PORTIFÓLIO'!$C$4:$C$433,0)),"")</f>
        <v/>
      </c>
      <c r="I289" s="256"/>
      <c r="J289" s="218">
        <f t="shared" si="31"/>
        <v>0</v>
      </c>
      <c r="K289" s="292" t="str">
        <f t="array" ref="K289">IFERROR(I289*INDEX('PORTIFÓLIO'!$S$4:$S$433,MATCH($C289,'PORTIFÓLIO'!$C$4:$C$433,0)),"")</f>
        <v/>
      </c>
      <c r="L289" s="292" t="str">
        <f t="array" ref="L289">IFERROR(J289*INDEX('PORTIFÓLIO'!$S$4:$S$433,MATCH($C289,'PORTIFÓLIO'!$C$4:$C$433,0)),"")</f>
        <v/>
      </c>
      <c r="M289" s="220"/>
      <c r="N289" s="220"/>
      <c r="O289" s="220"/>
      <c r="P289" s="220"/>
      <c r="Q289" s="220"/>
      <c r="R289" s="220"/>
      <c r="S289" s="220"/>
      <c r="T289" s="220"/>
      <c r="U289" s="220"/>
      <c r="V289" s="220"/>
      <c r="W289" s="220"/>
    </row>
    <row r="290" ht="15.75" customHeight="1">
      <c r="A290" s="229" t="s">
        <v>1186</v>
      </c>
      <c r="B290" s="230"/>
      <c r="C290" s="231"/>
      <c r="D290" s="232"/>
      <c r="E290" s="231"/>
      <c r="F290" s="231"/>
      <c r="G290" s="233"/>
      <c r="H290" s="233"/>
      <c r="I290" s="258"/>
      <c r="J290" s="236"/>
      <c r="K290" s="237">
        <f t="shared" ref="K290:L290" si="32">SUBTOTAL(9,K291:K304)</f>
        <v>0</v>
      </c>
      <c r="L290" s="237">
        <f t="shared" si="32"/>
        <v>0</v>
      </c>
      <c r="M290" s="220"/>
      <c r="N290" s="220"/>
      <c r="O290" s="220"/>
      <c r="P290" s="220"/>
      <c r="Q290" s="220"/>
      <c r="R290" s="220"/>
      <c r="S290" s="220"/>
      <c r="T290" s="220"/>
      <c r="U290" s="220"/>
      <c r="V290" s="220"/>
      <c r="W290" s="220"/>
    </row>
    <row r="291" ht="15.75" customHeight="1" outlineLevel="1">
      <c r="A291" s="213"/>
      <c r="B291" s="212"/>
      <c r="C291" s="213"/>
      <c r="D291" s="214" t="str">
        <f>IFERROR(VLOOKUP($C291,'PORTIFÓLIO'!C:V,2,0),"")</f>
        <v/>
      </c>
      <c r="E291" s="211" t="str">
        <f>IFERROR(VLOOKUP($C291,'PORTIFÓLIO'!C:V,3,0),"")</f>
        <v/>
      </c>
      <c r="F291" s="211" t="str">
        <f>IFERROR(VLOOKUP($C291,'PORTIFÓLIO'!C:V,4,0),"")</f>
        <v/>
      </c>
      <c r="G291" s="215" t="str">
        <f>IFERROR(VLOOKUP($C291,'PORTIFÓLIO'!C:V,5,0),"")</f>
        <v/>
      </c>
      <c r="H291" s="254" t="str">
        <f t="array" ref="H291">IFERROR(INDEX('PORTIFÓLIO'!$H$4:$H$433,MATCH($C291,'PORTIFÓLIO'!$C$4:$C$433,0)),"")</f>
        <v/>
      </c>
      <c r="I291" s="255"/>
      <c r="J291" s="218">
        <f t="shared" ref="J291:J307" si="33">I291*$B$2</f>
        <v>0</v>
      </c>
      <c r="K291" s="292" t="str">
        <f t="array" ref="K291">IFERROR(I291*INDEX('PORTIFÓLIO'!$S$4:$S$433,MATCH($C291,'PORTIFÓLIO'!$C$4:$C$433,0)),"")</f>
        <v/>
      </c>
      <c r="L291" s="292" t="str">
        <f t="array" ref="L291">IFERROR(J291*INDEX('PORTIFÓLIO'!$S$4:$S$433,MATCH($C291,'PORTIFÓLIO'!$C$4:$C$433,0)),"")</f>
        <v/>
      </c>
      <c r="M291" s="220"/>
      <c r="N291" s="220"/>
      <c r="O291" s="220"/>
      <c r="P291" s="220"/>
      <c r="Q291" s="220"/>
      <c r="R291" s="220"/>
      <c r="S291" s="220"/>
      <c r="T291" s="220"/>
      <c r="U291" s="220"/>
      <c r="V291" s="220"/>
      <c r="W291" s="220"/>
    </row>
    <row r="292" ht="15.75" customHeight="1" outlineLevel="1">
      <c r="A292" s="211"/>
      <c r="B292" s="212"/>
      <c r="C292" s="213"/>
      <c r="D292" s="214" t="str">
        <f>IFERROR(VLOOKUP($C292,'PORTIFÓLIO'!C:V,2,0),"")</f>
        <v/>
      </c>
      <c r="E292" s="211" t="str">
        <f>IFERROR(VLOOKUP($C292,'PORTIFÓLIO'!C:V,3,0),"")</f>
        <v/>
      </c>
      <c r="F292" s="211" t="str">
        <f>IFERROR(VLOOKUP($C292,'PORTIFÓLIO'!C:V,4,0),"")</f>
        <v/>
      </c>
      <c r="G292" s="215" t="str">
        <f>IFERROR(VLOOKUP($C292,'PORTIFÓLIO'!C:V,5,0),"")</f>
        <v/>
      </c>
      <c r="H292" s="254" t="str">
        <f t="array" ref="H292">IFERROR(INDEX('PORTIFÓLIO'!$H$4:$H$433,MATCH($C292,'PORTIFÓLIO'!$C$4:$C$433,0)),"")</f>
        <v/>
      </c>
      <c r="I292" s="256"/>
      <c r="J292" s="218">
        <f t="shared" si="33"/>
        <v>0</v>
      </c>
      <c r="K292" s="292" t="str">
        <f t="array" ref="K292">IFERROR(I292*INDEX('PORTIFÓLIO'!$S$4:$S$433,MATCH($C292,'PORTIFÓLIO'!$C$4:$C$433,0)),"")</f>
        <v/>
      </c>
      <c r="L292" s="292" t="str">
        <f t="array" ref="L292">IFERROR(J292*INDEX('PORTIFÓLIO'!$S$4:$S$433,MATCH($C292,'PORTIFÓLIO'!$C$4:$C$433,0)),"")</f>
        <v/>
      </c>
      <c r="M292" s="220"/>
      <c r="N292" s="220"/>
      <c r="O292" s="220"/>
      <c r="P292" s="220"/>
      <c r="Q292" s="220"/>
      <c r="R292" s="220"/>
      <c r="S292" s="220"/>
      <c r="T292" s="220"/>
      <c r="U292" s="220"/>
      <c r="V292" s="220"/>
      <c r="W292" s="220"/>
    </row>
    <row r="293" ht="15.75" customHeight="1" outlineLevel="1">
      <c r="A293" s="211"/>
      <c r="B293" s="212"/>
      <c r="C293" s="213"/>
      <c r="D293" s="214" t="str">
        <f>IFERROR(VLOOKUP($C293,'PORTIFÓLIO'!C:V,2,0),"")</f>
        <v/>
      </c>
      <c r="E293" s="211" t="str">
        <f>IFERROR(VLOOKUP($C293,'PORTIFÓLIO'!C:V,3,0),"")</f>
        <v/>
      </c>
      <c r="F293" s="211" t="str">
        <f>IFERROR(VLOOKUP($C293,'PORTIFÓLIO'!C:V,4,0),"")</f>
        <v/>
      </c>
      <c r="G293" s="215" t="str">
        <f>IFERROR(VLOOKUP($C293,'PORTIFÓLIO'!C:V,5,0),"")</f>
        <v/>
      </c>
      <c r="H293" s="254" t="str">
        <f t="array" ref="H293">IFERROR(INDEX('PORTIFÓLIO'!$H$4:$H$433,MATCH($C293,'PORTIFÓLIO'!$C$4:$C$433,0)),"")</f>
        <v/>
      </c>
      <c r="I293" s="256"/>
      <c r="J293" s="218">
        <f t="shared" si="33"/>
        <v>0</v>
      </c>
      <c r="K293" s="292" t="str">
        <f t="array" ref="K293">IFERROR(I293*INDEX('PORTIFÓLIO'!$S$4:$S$433,MATCH($C293,'PORTIFÓLIO'!$C$4:$C$433,0)),"")</f>
        <v/>
      </c>
      <c r="L293" s="292" t="str">
        <f t="array" ref="L293">IFERROR(J293*INDEX('PORTIFÓLIO'!$S$4:$S$433,MATCH($C293,'PORTIFÓLIO'!$C$4:$C$433,0)),"")</f>
        <v/>
      </c>
      <c r="M293" s="220"/>
      <c r="N293" s="220"/>
      <c r="O293" s="220"/>
      <c r="P293" s="220"/>
      <c r="Q293" s="220"/>
      <c r="R293" s="220"/>
      <c r="S293" s="220"/>
      <c r="T293" s="220"/>
      <c r="U293" s="220"/>
      <c r="V293" s="220"/>
      <c r="W293" s="220"/>
    </row>
    <row r="294" ht="15.75" customHeight="1" outlineLevel="1">
      <c r="A294" s="211"/>
      <c r="B294" s="212"/>
      <c r="C294" s="213"/>
      <c r="D294" s="214" t="str">
        <f>IFERROR(VLOOKUP($C294,'PORTIFÓLIO'!C:V,2,0),"")</f>
        <v/>
      </c>
      <c r="E294" s="211" t="str">
        <f>IFERROR(VLOOKUP($C294,'PORTIFÓLIO'!C:V,3,0),"")</f>
        <v/>
      </c>
      <c r="F294" s="211" t="str">
        <f>IFERROR(VLOOKUP($C294,'PORTIFÓLIO'!C:V,4,0),"")</f>
        <v/>
      </c>
      <c r="G294" s="215" t="str">
        <f>IFERROR(VLOOKUP($C294,'PORTIFÓLIO'!C:V,5,0),"")</f>
        <v/>
      </c>
      <c r="H294" s="254" t="str">
        <f t="array" ref="H294">IFERROR(INDEX('PORTIFÓLIO'!$H$4:$H$433,MATCH($C294,'PORTIFÓLIO'!$C$4:$C$433,0)),"")</f>
        <v/>
      </c>
      <c r="I294" s="256"/>
      <c r="J294" s="218">
        <f t="shared" si="33"/>
        <v>0</v>
      </c>
      <c r="K294" s="292" t="str">
        <f t="array" ref="K294">IFERROR(I294*INDEX('PORTIFÓLIO'!$S$4:$S$433,MATCH($C294,'PORTIFÓLIO'!$C$4:$C$433,0)),"")</f>
        <v/>
      </c>
      <c r="L294" s="292" t="str">
        <f t="array" ref="L294">IFERROR(J294*INDEX('PORTIFÓLIO'!$S$4:$S$433,MATCH($C294,'PORTIFÓLIO'!$C$4:$C$433,0)),"")</f>
        <v/>
      </c>
      <c r="M294" s="220"/>
      <c r="N294" s="220"/>
      <c r="O294" s="220"/>
      <c r="P294" s="220"/>
      <c r="Q294" s="220"/>
      <c r="R294" s="220"/>
      <c r="S294" s="220"/>
      <c r="T294" s="220"/>
      <c r="U294" s="220"/>
      <c r="V294" s="220"/>
      <c r="W294" s="220"/>
    </row>
    <row r="295" ht="15.75" customHeight="1" outlineLevel="1">
      <c r="A295" s="211"/>
      <c r="B295" s="212"/>
      <c r="C295" s="213"/>
      <c r="D295" s="214" t="str">
        <f>IFERROR(VLOOKUP($C295,'PORTIFÓLIO'!C:V,2,0),"")</f>
        <v/>
      </c>
      <c r="E295" s="211" t="str">
        <f>IFERROR(VLOOKUP($C295,'PORTIFÓLIO'!C:V,3,0),"")</f>
        <v/>
      </c>
      <c r="F295" s="211" t="str">
        <f>IFERROR(VLOOKUP($C295,'PORTIFÓLIO'!C:V,4,0),"")</f>
        <v/>
      </c>
      <c r="G295" s="215" t="str">
        <f>IFERROR(VLOOKUP($C295,'PORTIFÓLIO'!C:V,5,0),"")</f>
        <v/>
      </c>
      <c r="H295" s="254" t="str">
        <f t="array" ref="H295">IFERROR(INDEX('PORTIFÓLIO'!$H$4:$H$433,MATCH($C295,'PORTIFÓLIO'!$C$4:$C$433,0)),"")</f>
        <v/>
      </c>
      <c r="I295" s="256"/>
      <c r="J295" s="218">
        <f t="shared" si="33"/>
        <v>0</v>
      </c>
      <c r="K295" s="292" t="str">
        <f t="array" ref="K295">IFERROR(I295*INDEX('PORTIFÓLIO'!$S$4:$S$433,MATCH($C295,'PORTIFÓLIO'!$C$4:$C$433,0)),"")</f>
        <v/>
      </c>
      <c r="L295" s="292" t="str">
        <f t="array" ref="L295">IFERROR(J295*INDEX('PORTIFÓLIO'!$S$4:$S$433,MATCH($C295,'PORTIFÓLIO'!$C$4:$C$433,0)),"")</f>
        <v/>
      </c>
      <c r="M295" s="220"/>
      <c r="N295" s="220"/>
      <c r="O295" s="220"/>
      <c r="P295" s="220"/>
      <c r="Q295" s="220"/>
      <c r="R295" s="220"/>
      <c r="S295" s="220"/>
      <c r="T295" s="220"/>
      <c r="U295" s="220"/>
      <c r="V295" s="220"/>
      <c r="W295" s="220"/>
    </row>
    <row r="296" ht="15.75" customHeight="1" outlineLevel="1">
      <c r="A296" s="211"/>
      <c r="B296" s="212"/>
      <c r="C296" s="213"/>
      <c r="D296" s="214" t="str">
        <f>IFERROR(VLOOKUP($C296,'PORTIFÓLIO'!C:V,2,0),"")</f>
        <v/>
      </c>
      <c r="E296" s="211" t="str">
        <f>IFERROR(VLOOKUP($C296,'PORTIFÓLIO'!C:V,3,0),"")</f>
        <v/>
      </c>
      <c r="F296" s="211" t="str">
        <f>IFERROR(VLOOKUP($C296,'PORTIFÓLIO'!C:V,4,0),"")</f>
        <v/>
      </c>
      <c r="G296" s="215" t="str">
        <f>IFERROR(VLOOKUP($C296,'PORTIFÓLIO'!C:V,5,0),"")</f>
        <v/>
      </c>
      <c r="H296" s="254" t="str">
        <f t="array" ref="H296">IFERROR(INDEX('PORTIFÓLIO'!$H$4:$H$433,MATCH($C296,'PORTIFÓLIO'!$C$4:$C$433,0)),"")</f>
        <v/>
      </c>
      <c r="I296" s="256"/>
      <c r="J296" s="218">
        <f t="shared" si="33"/>
        <v>0</v>
      </c>
      <c r="K296" s="292" t="str">
        <f t="array" ref="K296">IFERROR(I296*INDEX('PORTIFÓLIO'!$S$4:$S$433,MATCH($C296,'PORTIFÓLIO'!$C$4:$C$433,0)),"")</f>
        <v/>
      </c>
      <c r="L296" s="292" t="str">
        <f t="array" ref="L296">IFERROR(J296*INDEX('PORTIFÓLIO'!$S$4:$S$433,MATCH($C296,'PORTIFÓLIO'!$C$4:$C$433,0)),"")</f>
        <v/>
      </c>
      <c r="M296" s="220"/>
      <c r="N296" s="220"/>
      <c r="O296" s="220"/>
      <c r="P296" s="220"/>
      <c r="Q296" s="220"/>
      <c r="R296" s="220"/>
      <c r="S296" s="220"/>
      <c r="T296" s="220"/>
      <c r="U296" s="220"/>
      <c r="V296" s="220"/>
      <c r="W296" s="220"/>
    </row>
    <row r="297" ht="15.75" customHeight="1" outlineLevel="1">
      <c r="A297" s="211"/>
      <c r="B297" s="212"/>
      <c r="C297" s="213"/>
      <c r="D297" s="214" t="str">
        <f>IFERROR(VLOOKUP($C297,'PORTIFÓLIO'!C:V,2,0),"")</f>
        <v/>
      </c>
      <c r="E297" s="211" t="str">
        <f>IFERROR(VLOOKUP($C297,'PORTIFÓLIO'!C:V,3,0),"")</f>
        <v/>
      </c>
      <c r="F297" s="211" t="str">
        <f>IFERROR(VLOOKUP($C297,'PORTIFÓLIO'!C:V,4,0),"")</f>
        <v/>
      </c>
      <c r="G297" s="215" t="str">
        <f>IFERROR(VLOOKUP($C297,'PORTIFÓLIO'!C:V,5,0),"")</f>
        <v/>
      </c>
      <c r="H297" s="254" t="str">
        <f t="array" ref="H297">IFERROR(INDEX('PORTIFÓLIO'!$H$4:$H$433,MATCH($C297,'PORTIFÓLIO'!$C$4:$C$433,0)),"")</f>
        <v/>
      </c>
      <c r="I297" s="256"/>
      <c r="J297" s="218">
        <f t="shared" si="33"/>
        <v>0</v>
      </c>
      <c r="K297" s="292" t="str">
        <f t="array" ref="K297">IFERROR(I297*INDEX('PORTIFÓLIO'!$S$4:$S$433,MATCH($C297,'PORTIFÓLIO'!$C$4:$C$433,0)),"")</f>
        <v/>
      </c>
      <c r="L297" s="292" t="str">
        <f t="array" ref="L297">IFERROR(J297*INDEX('PORTIFÓLIO'!$S$4:$S$433,MATCH($C297,'PORTIFÓLIO'!$C$4:$C$433,0)),"")</f>
        <v/>
      </c>
      <c r="M297" s="220"/>
      <c r="N297" s="220"/>
      <c r="O297" s="220"/>
      <c r="P297" s="220"/>
      <c r="Q297" s="220"/>
      <c r="R297" s="220"/>
      <c r="S297" s="220"/>
      <c r="T297" s="220"/>
      <c r="U297" s="220"/>
      <c r="V297" s="220"/>
      <c r="W297" s="220"/>
    </row>
    <row r="298" ht="15.75" customHeight="1" outlineLevel="1">
      <c r="A298" s="211"/>
      <c r="B298" s="212"/>
      <c r="C298" s="213"/>
      <c r="D298" s="214" t="str">
        <f>IFERROR(VLOOKUP($C298,'PORTIFÓLIO'!C:V,2,0),"")</f>
        <v/>
      </c>
      <c r="E298" s="211" t="str">
        <f>IFERROR(VLOOKUP($C298,'PORTIFÓLIO'!C:V,3,0),"")</f>
        <v/>
      </c>
      <c r="F298" s="211" t="str">
        <f>IFERROR(VLOOKUP($C298,'PORTIFÓLIO'!C:V,4,0),"")</f>
        <v/>
      </c>
      <c r="G298" s="215" t="str">
        <f>IFERROR(VLOOKUP($C298,'PORTIFÓLIO'!C:V,5,0),"")</f>
        <v/>
      </c>
      <c r="H298" s="254" t="str">
        <f t="array" ref="H298">IFERROR(INDEX('PORTIFÓLIO'!$H$4:$H$433,MATCH($C298,'PORTIFÓLIO'!$C$4:$C$433,0)),"")</f>
        <v/>
      </c>
      <c r="I298" s="256"/>
      <c r="J298" s="218">
        <f t="shared" si="33"/>
        <v>0</v>
      </c>
      <c r="K298" s="292" t="str">
        <f t="array" ref="K298">IFERROR(I298*INDEX('PORTIFÓLIO'!$S$4:$S$433,MATCH($C298,'PORTIFÓLIO'!$C$4:$C$433,0)),"")</f>
        <v/>
      </c>
      <c r="L298" s="292" t="str">
        <f t="array" ref="L298">IFERROR(J298*INDEX('PORTIFÓLIO'!$S$4:$S$433,MATCH($C298,'PORTIFÓLIO'!$C$4:$C$433,0)),"")</f>
        <v/>
      </c>
      <c r="M298" s="220"/>
      <c r="N298" s="220"/>
      <c r="O298" s="220"/>
      <c r="P298" s="220"/>
      <c r="Q298" s="220"/>
      <c r="R298" s="220"/>
      <c r="S298" s="220"/>
      <c r="T298" s="220"/>
      <c r="U298" s="220"/>
      <c r="V298" s="220"/>
      <c r="W298" s="220"/>
    </row>
    <row r="299" ht="15.75" customHeight="1" outlineLevel="1">
      <c r="A299" s="211"/>
      <c r="B299" s="212"/>
      <c r="C299" s="213"/>
      <c r="D299" s="214" t="str">
        <f>IFERROR(VLOOKUP($C299,'PORTIFÓLIO'!C:V,2,0),"")</f>
        <v/>
      </c>
      <c r="E299" s="211" t="str">
        <f>IFERROR(VLOOKUP($C299,'PORTIFÓLIO'!C:V,3,0),"")</f>
        <v/>
      </c>
      <c r="F299" s="211" t="str">
        <f>IFERROR(VLOOKUP($C299,'PORTIFÓLIO'!C:V,4,0),"")</f>
        <v/>
      </c>
      <c r="G299" s="215" t="str">
        <f>IFERROR(VLOOKUP($C299,'PORTIFÓLIO'!C:V,5,0),"")</f>
        <v/>
      </c>
      <c r="H299" s="254" t="str">
        <f t="array" ref="H299">IFERROR(INDEX('PORTIFÓLIO'!$H$4:$H$433,MATCH($C299,'PORTIFÓLIO'!$C$4:$C$433,0)),"")</f>
        <v/>
      </c>
      <c r="I299" s="255"/>
      <c r="J299" s="218">
        <f t="shared" si="33"/>
        <v>0</v>
      </c>
      <c r="K299" s="292" t="str">
        <f t="array" ref="K299">IFERROR(I299*INDEX('PORTIFÓLIO'!$S$4:$S$433,MATCH($C299,'PORTIFÓLIO'!$C$4:$C$433,0)),"")</f>
        <v/>
      </c>
      <c r="L299" s="292" t="str">
        <f t="array" ref="L299">IFERROR(J299*INDEX('PORTIFÓLIO'!$S$4:$S$433,MATCH($C299,'PORTIFÓLIO'!$C$4:$C$433,0)),"")</f>
        <v/>
      </c>
      <c r="M299" s="220"/>
      <c r="N299" s="220"/>
      <c r="O299" s="220"/>
      <c r="P299" s="220"/>
      <c r="Q299" s="220"/>
      <c r="R299" s="220"/>
      <c r="S299" s="220"/>
      <c r="T299" s="220"/>
      <c r="U299" s="220"/>
      <c r="V299" s="220"/>
      <c r="W299" s="220"/>
    </row>
    <row r="300" ht="15.75" customHeight="1" outlineLevel="1">
      <c r="A300" s="211"/>
      <c r="B300" s="212"/>
      <c r="C300" s="213"/>
      <c r="D300" s="214" t="str">
        <f>IFERROR(VLOOKUP($C300,'PORTIFÓLIO'!C:V,2,0),"")</f>
        <v/>
      </c>
      <c r="E300" s="211" t="str">
        <f>IFERROR(VLOOKUP($C300,'PORTIFÓLIO'!C:V,3,0),"")</f>
        <v/>
      </c>
      <c r="F300" s="211" t="str">
        <f>IFERROR(VLOOKUP($C300,'PORTIFÓLIO'!C:V,4,0),"")</f>
        <v/>
      </c>
      <c r="G300" s="215" t="str">
        <f>IFERROR(VLOOKUP($C300,'PORTIFÓLIO'!C:V,5,0),"")</f>
        <v/>
      </c>
      <c r="H300" s="254" t="str">
        <f t="array" ref="H300">IFERROR(INDEX('PORTIFÓLIO'!$H$4:$H$433,MATCH($C300,'PORTIFÓLIO'!$C$4:$C$433,0)),"")</f>
        <v/>
      </c>
      <c r="I300" s="256"/>
      <c r="J300" s="218">
        <f t="shared" si="33"/>
        <v>0</v>
      </c>
      <c r="K300" s="292" t="str">
        <f t="array" ref="K300">IFERROR(I300*INDEX('PORTIFÓLIO'!$S$4:$S$433,MATCH($C300,'PORTIFÓLIO'!$C$4:$C$433,0)),"")</f>
        <v/>
      </c>
      <c r="L300" s="292" t="str">
        <f t="array" ref="L300">IFERROR(J300*INDEX('PORTIFÓLIO'!$S$4:$S$433,MATCH($C300,'PORTIFÓLIO'!$C$4:$C$433,0)),"")</f>
        <v/>
      </c>
      <c r="M300" s="220"/>
      <c r="N300" s="220"/>
      <c r="O300" s="220"/>
      <c r="P300" s="220"/>
      <c r="Q300" s="220"/>
      <c r="R300" s="220"/>
      <c r="S300" s="220"/>
      <c r="T300" s="220"/>
      <c r="U300" s="220"/>
      <c r="V300" s="220"/>
      <c r="W300" s="220"/>
    </row>
    <row r="301" ht="15.75" customHeight="1" outlineLevel="1">
      <c r="A301" s="211"/>
      <c r="B301" s="212"/>
      <c r="C301" s="213"/>
      <c r="D301" s="214" t="str">
        <f>IFERROR(VLOOKUP($C301,'PORTIFÓLIO'!C:V,2,0),"")</f>
        <v/>
      </c>
      <c r="E301" s="211" t="str">
        <f>IFERROR(VLOOKUP($C301,'PORTIFÓLIO'!C:V,3,0),"")</f>
        <v/>
      </c>
      <c r="F301" s="211" t="str">
        <f>IFERROR(VLOOKUP($C301,'PORTIFÓLIO'!C:V,4,0),"")</f>
        <v/>
      </c>
      <c r="G301" s="215" t="str">
        <f>IFERROR(VLOOKUP($C301,'PORTIFÓLIO'!C:V,5,0),"")</f>
        <v/>
      </c>
      <c r="H301" s="254" t="str">
        <f t="array" ref="H301">IFERROR(INDEX('PORTIFÓLIO'!$H$4:$H$433,MATCH($C301,'PORTIFÓLIO'!$C$4:$C$433,0)),"")</f>
        <v/>
      </c>
      <c r="I301" s="256"/>
      <c r="J301" s="218">
        <f t="shared" si="33"/>
        <v>0</v>
      </c>
      <c r="K301" s="292" t="str">
        <f t="array" ref="K301">IFERROR(I301*INDEX('PORTIFÓLIO'!$S$4:$S$433,MATCH($C301,'PORTIFÓLIO'!$C$4:$C$433,0)),"")</f>
        <v/>
      </c>
      <c r="L301" s="292" t="str">
        <f t="array" ref="L301">IFERROR(J301*INDEX('PORTIFÓLIO'!$S$4:$S$433,MATCH($C301,'PORTIFÓLIO'!$C$4:$C$433,0)),"")</f>
        <v/>
      </c>
      <c r="M301" s="220"/>
      <c r="N301" s="220"/>
      <c r="O301" s="220"/>
      <c r="P301" s="220"/>
      <c r="Q301" s="220"/>
      <c r="R301" s="220"/>
      <c r="S301" s="220"/>
      <c r="T301" s="220"/>
      <c r="U301" s="220"/>
      <c r="V301" s="220"/>
      <c r="W301" s="220"/>
    </row>
    <row r="302" ht="15.75" customHeight="1" outlineLevel="1">
      <c r="A302" s="211"/>
      <c r="B302" s="212"/>
      <c r="C302" s="213"/>
      <c r="D302" s="214" t="str">
        <f>IFERROR(VLOOKUP($C302,'PORTIFÓLIO'!C:V,2,0),"")</f>
        <v/>
      </c>
      <c r="E302" s="211" t="str">
        <f>IFERROR(VLOOKUP($C302,'PORTIFÓLIO'!C:V,3,0),"")</f>
        <v/>
      </c>
      <c r="F302" s="211" t="str">
        <f>IFERROR(VLOOKUP($C302,'PORTIFÓLIO'!C:V,4,0),"")</f>
        <v/>
      </c>
      <c r="G302" s="215" t="str">
        <f>IFERROR(VLOOKUP($C302,'PORTIFÓLIO'!C:V,5,0),"")</f>
        <v/>
      </c>
      <c r="H302" s="254" t="str">
        <f t="array" ref="H302">IFERROR(INDEX('PORTIFÓLIO'!$H$4:$H$433,MATCH($C302,'PORTIFÓLIO'!$C$4:$C$433,0)),"")</f>
        <v/>
      </c>
      <c r="I302" s="256"/>
      <c r="J302" s="218">
        <f t="shared" si="33"/>
        <v>0</v>
      </c>
      <c r="K302" s="292" t="str">
        <f t="array" ref="K302">IFERROR(I302*INDEX('PORTIFÓLIO'!$S$4:$S$433,MATCH($C302,'PORTIFÓLIO'!$C$4:$C$433,0)),"")</f>
        <v/>
      </c>
      <c r="L302" s="292" t="str">
        <f t="array" ref="L302">IFERROR(J302*INDEX('PORTIFÓLIO'!$S$4:$S$433,MATCH($C302,'PORTIFÓLIO'!$C$4:$C$433,0)),"")</f>
        <v/>
      </c>
      <c r="M302" s="220"/>
      <c r="N302" s="220"/>
      <c r="O302" s="220"/>
      <c r="P302" s="220"/>
      <c r="Q302" s="220"/>
      <c r="R302" s="220"/>
      <c r="S302" s="220"/>
      <c r="T302" s="220"/>
      <c r="U302" s="220"/>
      <c r="V302" s="220"/>
      <c r="W302" s="220"/>
    </row>
    <row r="303" ht="15.75" customHeight="1" outlineLevel="1">
      <c r="A303" s="211"/>
      <c r="B303" s="212"/>
      <c r="C303" s="213"/>
      <c r="D303" s="214" t="str">
        <f>IFERROR(VLOOKUP($C303,'PORTIFÓLIO'!C:V,2,0),"")</f>
        <v/>
      </c>
      <c r="E303" s="211" t="str">
        <f>IFERROR(VLOOKUP($C303,'PORTIFÓLIO'!C:V,3,0),"")</f>
        <v/>
      </c>
      <c r="F303" s="211" t="str">
        <f>IFERROR(VLOOKUP($C303,'PORTIFÓLIO'!C:V,4,0),"")</f>
        <v/>
      </c>
      <c r="G303" s="215" t="str">
        <f>IFERROR(VLOOKUP($C303,'PORTIFÓLIO'!C:V,5,0),"")</f>
        <v/>
      </c>
      <c r="H303" s="254" t="str">
        <f t="array" ref="H303">IFERROR(INDEX('PORTIFÓLIO'!$H$4:$H$433,MATCH($C303,'PORTIFÓLIO'!$C$4:$C$433,0)),"")</f>
        <v/>
      </c>
      <c r="I303" s="256"/>
      <c r="J303" s="218">
        <f t="shared" si="33"/>
        <v>0</v>
      </c>
      <c r="K303" s="292" t="str">
        <f t="array" ref="K303">IFERROR(I303*INDEX('PORTIFÓLIO'!$S$4:$S$433,MATCH($C303,'PORTIFÓLIO'!$C$4:$C$433,0)),"")</f>
        <v/>
      </c>
      <c r="L303" s="292" t="str">
        <f t="array" ref="L303">IFERROR(J303*INDEX('PORTIFÓLIO'!$S$4:$S$433,MATCH($C303,'PORTIFÓLIO'!$C$4:$C$433,0)),"")</f>
        <v/>
      </c>
      <c r="M303" s="220"/>
      <c r="N303" s="220"/>
      <c r="O303" s="220"/>
      <c r="P303" s="220"/>
      <c r="Q303" s="220"/>
      <c r="R303" s="220"/>
      <c r="S303" s="220"/>
      <c r="T303" s="220"/>
      <c r="U303" s="220"/>
      <c r="V303" s="220"/>
      <c r="W303" s="220"/>
    </row>
    <row r="304" ht="15.75" customHeight="1" outlineLevel="1">
      <c r="A304" s="211"/>
      <c r="B304" s="212"/>
      <c r="C304" s="213"/>
      <c r="D304" s="214" t="str">
        <f>IFERROR(VLOOKUP($C304,'PORTIFÓLIO'!C:V,2,0),"")</f>
        <v/>
      </c>
      <c r="E304" s="211" t="str">
        <f>IFERROR(VLOOKUP($C304,'PORTIFÓLIO'!C:V,3,0),"")</f>
        <v/>
      </c>
      <c r="F304" s="211" t="str">
        <f>IFERROR(VLOOKUP($C304,'PORTIFÓLIO'!C:V,4,0),"")</f>
        <v/>
      </c>
      <c r="G304" s="215" t="str">
        <f>IFERROR(VLOOKUP($C304,'PORTIFÓLIO'!C:V,5,0),"")</f>
        <v/>
      </c>
      <c r="H304" s="254" t="str">
        <f t="array" ref="H304">IFERROR(INDEX('PORTIFÓLIO'!$H$4:$H$433,MATCH($C304,'PORTIFÓLIO'!$C$4:$C$433,0)),"")</f>
        <v/>
      </c>
      <c r="I304" s="256"/>
      <c r="J304" s="218">
        <f t="shared" si="33"/>
        <v>0</v>
      </c>
      <c r="K304" s="292" t="str">
        <f t="array" ref="K304">IFERROR(I304*INDEX('PORTIFÓLIO'!$S$4:$S$433,MATCH($C304,'PORTIFÓLIO'!$C$4:$C$433,0)),"")</f>
        <v/>
      </c>
      <c r="L304" s="292" t="str">
        <f t="array" ref="L304">IFERROR(J304*INDEX('PORTIFÓLIO'!$S$4:$S$433,MATCH($C304,'PORTIFÓLIO'!$C$4:$C$433,0)),"")</f>
        <v/>
      </c>
      <c r="M304" s="220"/>
      <c r="N304" s="220"/>
      <c r="O304" s="220"/>
      <c r="P304" s="220"/>
      <c r="Q304" s="220"/>
      <c r="R304" s="220"/>
      <c r="S304" s="220"/>
      <c r="T304" s="220"/>
      <c r="U304" s="220"/>
      <c r="V304" s="220"/>
      <c r="W304" s="220"/>
    </row>
    <row r="305" ht="15.75" customHeight="1" outlineLevel="1">
      <c r="A305" s="211"/>
      <c r="B305" s="212"/>
      <c r="C305" s="213"/>
      <c r="D305" s="214" t="str">
        <f>IFERROR(VLOOKUP($C305,'PORTIFÓLIO'!C:V,2,0),"")</f>
        <v/>
      </c>
      <c r="E305" s="211" t="str">
        <f>IFERROR(VLOOKUP($C305,'PORTIFÓLIO'!C:V,3,0),"")</f>
        <v/>
      </c>
      <c r="F305" s="211" t="str">
        <f>IFERROR(VLOOKUP($C305,'PORTIFÓLIO'!C:V,4,0),"")</f>
        <v/>
      </c>
      <c r="G305" s="215" t="str">
        <f>IFERROR(VLOOKUP($C305,'PORTIFÓLIO'!C:V,5,0),"")</f>
        <v/>
      </c>
      <c r="H305" s="254" t="str">
        <f t="array" ref="H305">IFERROR(INDEX('PORTIFÓLIO'!$H$4:$H$433,MATCH($C305,'PORTIFÓLIO'!$C$4:$C$433,0)),"")</f>
        <v/>
      </c>
      <c r="I305" s="256"/>
      <c r="J305" s="218">
        <f t="shared" si="33"/>
        <v>0</v>
      </c>
      <c r="K305" s="292" t="str">
        <f t="array" ref="K305">IFERROR(I305*INDEX('PORTIFÓLIO'!$S$4:$S$433,MATCH($C305,'PORTIFÓLIO'!$C$4:$C$433,0)),"")</f>
        <v/>
      </c>
      <c r="L305" s="292" t="str">
        <f t="array" ref="L305">IFERROR(J305*INDEX('PORTIFÓLIO'!$S$4:$S$433,MATCH($C305,'PORTIFÓLIO'!$C$4:$C$433,0)),"")</f>
        <v/>
      </c>
      <c r="M305" s="220"/>
      <c r="N305" s="220"/>
      <c r="O305" s="220"/>
      <c r="P305" s="220"/>
      <c r="Q305" s="220"/>
      <c r="R305" s="220"/>
      <c r="S305" s="220"/>
      <c r="T305" s="220"/>
      <c r="U305" s="220"/>
      <c r="V305" s="220"/>
      <c r="W305" s="220"/>
    </row>
    <row r="306" ht="15.75" customHeight="1" outlineLevel="1">
      <c r="A306" s="211"/>
      <c r="B306" s="212"/>
      <c r="C306" s="213"/>
      <c r="D306" s="214" t="str">
        <f>IFERROR(VLOOKUP($C306,'PORTIFÓLIO'!C:V,2,0),"")</f>
        <v/>
      </c>
      <c r="E306" s="211" t="str">
        <f>IFERROR(VLOOKUP($C306,'PORTIFÓLIO'!C:V,3,0),"")</f>
        <v/>
      </c>
      <c r="F306" s="211" t="str">
        <f>IFERROR(VLOOKUP($C306,'PORTIFÓLIO'!C:V,4,0),"")</f>
        <v/>
      </c>
      <c r="G306" s="215" t="str">
        <f>IFERROR(VLOOKUP($C306,'PORTIFÓLIO'!C:V,5,0),"")</f>
        <v/>
      </c>
      <c r="H306" s="254" t="str">
        <f t="array" ref="H306">IFERROR(INDEX('PORTIFÓLIO'!$H$4:$H$433,MATCH($C306,'PORTIFÓLIO'!$C$4:$C$433,0)),"")</f>
        <v/>
      </c>
      <c r="I306" s="256"/>
      <c r="J306" s="218">
        <f t="shared" si="33"/>
        <v>0</v>
      </c>
      <c r="K306" s="292" t="str">
        <f t="array" ref="K306">IFERROR(I306*INDEX('PORTIFÓLIO'!$S$4:$S$433,MATCH($C306,'PORTIFÓLIO'!$C$4:$C$433,0)),"")</f>
        <v/>
      </c>
      <c r="L306" s="292" t="str">
        <f t="array" ref="L306">IFERROR(J306*INDEX('PORTIFÓLIO'!$S$4:$S$433,MATCH($C306,'PORTIFÓLIO'!$C$4:$C$433,0)),"")</f>
        <v/>
      </c>
      <c r="M306" s="220"/>
      <c r="N306" s="220"/>
      <c r="O306" s="220"/>
      <c r="P306" s="220"/>
      <c r="Q306" s="220"/>
      <c r="R306" s="220"/>
      <c r="S306" s="220"/>
      <c r="T306" s="220"/>
      <c r="U306" s="220"/>
      <c r="V306" s="220"/>
      <c r="W306" s="220"/>
    </row>
    <row r="307" ht="15.75" customHeight="1" outlineLevel="1">
      <c r="A307" s="211"/>
      <c r="B307" s="212"/>
      <c r="C307" s="213"/>
      <c r="D307" s="214" t="str">
        <f>IFERROR(VLOOKUP($C307,'PORTIFÓLIO'!C:V,2,0),"")</f>
        <v/>
      </c>
      <c r="E307" s="211" t="str">
        <f>IFERROR(VLOOKUP($C307,'PORTIFÓLIO'!C:V,3,0),"")</f>
        <v/>
      </c>
      <c r="F307" s="211" t="str">
        <f>IFERROR(VLOOKUP($C307,'PORTIFÓLIO'!C:V,4,0),"")</f>
        <v/>
      </c>
      <c r="G307" s="215" t="str">
        <f>IFERROR(VLOOKUP($C307,'PORTIFÓLIO'!C:V,5,0),"")</f>
        <v/>
      </c>
      <c r="H307" s="254" t="str">
        <f t="array" ref="H307">IFERROR(INDEX('PORTIFÓLIO'!$H$4:$H$433,MATCH($C307,'PORTIFÓLIO'!$C$4:$C$433,0)),"")</f>
        <v/>
      </c>
      <c r="I307" s="256"/>
      <c r="J307" s="218">
        <f t="shared" si="33"/>
        <v>0</v>
      </c>
      <c r="K307" s="292" t="str">
        <f t="array" ref="K307">IFERROR(I307*INDEX('PORTIFÓLIO'!$S$4:$S$433,MATCH($C307,'PORTIFÓLIO'!$C$4:$C$433,0)),"")</f>
        <v/>
      </c>
      <c r="L307" s="292" t="str">
        <f t="array" ref="L307">IFERROR(J307*INDEX('PORTIFÓLIO'!$S$4:$S$433,MATCH($C307,'PORTIFÓLIO'!$C$4:$C$433,0)),"")</f>
        <v/>
      </c>
      <c r="M307" s="220"/>
      <c r="N307" s="220"/>
      <c r="O307" s="220"/>
      <c r="P307" s="220"/>
      <c r="Q307" s="220"/>
      <c r="R307" s="220"/>
      <c r="S307" s="220"/>
      <c r="T307" s="220"/>
      <c r="U307" s="220"/>
      <c r="V307" s="220"/>
      <c r="W307" s="220"/>
    </row>
    <row r="308" ht="15.75" customHeight="1">
      <c r="A308" s="229" t="s">
        <v>1188</v>
      </c>
      <c r="B308" s="230"/>
      <c r="C308" s="231"/>
      <c r="D308" s="232"/>
      <c r="E308" s="231"/>
      <c r="F308" s="231"/>
      <c r="G308" s="233"/>
      <c r="H308" s="233"/>
      <c r="I308" s="258"/>
      <c r="J308" s="236"/>
      <c r="K308" s="237">
        <f t="shared" ref="K308:L308" si="34">SUBTOTAL(9,K309:K322)</f>
        <v>0</v>
      </c>
      <c r="L308" s="237">
        <f t="shared" si="34"/>
        <v>0</v>
      </c>
      <c r="M308" s="220"/>
      <c r="N308" s="220"/>
      <c r="O308" s="220"/>
      <c r="P308" s="220"/>
      <c r="Q308" s="220"/>
      <c r="R308" s="220"/>
      <c r="S308" s="220"/>
      <c r="T308" s="220"/>
      <c r="U308" s="220"/>
      <c r="V308" s="220"/>
      <c r="W308" s="220"/>
    </row>
    <row r="309" ht="15.75" customHeight="1" outlineLevel="1">
      <c r="A309" s="213"/>
      <c r="B309" s="212"/>
      <c r="C309" s="213"/>
      <c r="D309" s="214" t="str">
        <f>IFERROR(VLOOKUP($C309,'PORTIFÓLIO'!C:V,2,0),"")</f>
        <v/>
      </c>
      <c r="E309" s="211" t="str">
        <f>IFERROR(VLOOKUP($C309,'PORTIFÓLIO'!C:V,3,0),"")</f>
        <v/>
      </c>
      <c r="F309" s="211" t="str">
        <f>IFERROR(VLOOKUP($C309,'PORTIFÓLIO'!C:V,4,0),"")</f>
        <v/>
      </c>
      <c r="G309" s="215" t="str">
        <f>IFERROR(VLOOKUP($C309,'PORTIFÓLIO'!C:V,5,0),"")</f>
        <v/>
      </c>
      <c r="H309" s="254" t="str">
        <f t="array" ref="H309">IFERROR(INDEX('PORTIFÓLIO'!$H$4:$H$433,MATCH($C309,'PORTIFÓLIO'!$C$4:$C$433,0)),"")</f>
        <v/>
      </c>
      <c r="I309" s="255"/>
      <c r="J309" s="218">
        <f t="shared" ref="J309:J323" si="35">I309*$B$2</f>
        <v>0</v>
      </c>
      <c r="K309" s="292" t="str">
        <f t="array" ref="K309">IFERROR(I309*INDEX('PORTIFÓLIO'!$S$4:$S$433,MATCH($C309,'PORTIFÓLIO'!$C$4:$C$433,0)),"")</f>
        <v/>
      </c>
      <c r="L309" s="292" t="str">
        <f t="array" ref="L309">IFERROR(J309*INDEX('PORTIFÓLIO'!$S$4:$S$433,MATCH($C309,'PORTIFÓLIO'!$C$4:$C$433,0)),"")</f>
        <v/>
      </c>
      <c r="M309" s="220"/>
      <c r="N309" s="220"/>
      <c r="O309" s="220"/>
      <c r="P309" s="220"/>
      <c r="Q309" s="220"/>
      <c r="R309" s="220"/>
      <c r="S309" s="220"/>
      <c r="T309" s="220"/>
      <c r="U309" s="220"/>
      <c r="V309" s="220"/>
      <c r="W309" s="220"/>
    </row>
    <row r="310" ht="15.75" customHeight="1" outlineLevel="1">
      <c r="A310" s="211"/>
      <c r="B310" s="212"/>
      <c r="C310" s="213"/>
      <c r="D310" s="214" t="str">
        <f>IFERROR(VLOOKUP($C310,'PORTIFÓLIO'!C:V,2,0),"")</f>
        <v/>
      </c>
      <c r="E310" s="211" t="str">
        <f>IFERROR(VLOOKUP($C310,'PORTIFÓLIO'!C:V,3,0),"")</f>
        <v/>
      </c>
      <c r="F310" s="211" t="str">
        <f>IFERROR(VLOOKUP($C310,'PORTIFÓLIO'!C:V,4,0),"")</f>
        <v/>
      </c>
      <c r="G310" s="215" t="str">
        <f>IFERROR(VLOOKUP($C310,'PORTIFÓLIO'!C:V,5,0),"")</f>
        <v/>
      </c>
      <c r="H310" s="254" t="str">
        <f t="array" ref="H310">IFERROR(INDEX('PORTIFÓLIO'!$H$4:$H$433,MATCH($C310,'PORTIFÓLIO'!$C$4:$C$433,0)),"")</f>
        <v/>
      </c>
      <c r="I310" s="256"/>
      <c r="J310" s="218">
        <f t="shared" si="35"/>
        <v>0</v>
      </c>
      <c r="K310" s="292" t="str">
        <f t="array" ref="K310">IFERROR(I310*INDEX('PORTIFÓLIO'!$S$4:$S$433,MATCH($C310,'PORTIFÓLIO'!$C$4:$C$433,0)),"")</f>
        <v/>
      </c>
      <c r="L310" s="292" t="str">
        <f t="array" ref="L310">IFERROR(J310*INDEX('PORTIFÓLIO'!$S$4:$S$433,MATCH($C310,'PORTIFÓLIO'!$C$4:$C$433,0)),"")</f>
        <v/>
      </c>
      <c r="M310" s="220"/>
      <c r="N310" s="220"/>
      <c r="O310" s="220"/>
      <c r="P310" s="220"/>
      <c r="Q310" s="220"/>
      <c r="R310" s="220"/>
      <c r="S310" s="220"/>
      <c r="T310" s="220"/>
      <c r="U310" s="220"/>
      <c r="V310" s="220"/>
      <c r="W310" s="220"/>
    </row>
    <row r="311" ht="15.75" customHeight="1" outlineLevel="1">
      <c r="A311" s="211"/>
      <c r="B311" s="212"/>
      <c r="C311" s="213"/>
      <c r="D311" s="214" t="str">
        <f>IFERROR(VLOOKUP($C311,'PORTIFÓLIO'!C:V,2,0),"")</f>
        <v/>
      </c>
      <c r="E311" s="211" t="str">
        <f>IFERROR(VLOOKUP($C311,'PORTIFÓLIO'!C:V,3,0),"")</f>
        <v/>
      </c>
      <c r="F311" s="211" t="str">
        <f>IFERROR(VLOOKUP($C311,'PORTIFÓLIO'!C:V,4,0),"")</f>
        <v/>
      </c>
      <c r="G311" s="215" t="str">
        <f>IFERROR(VLOOKUP($C311,'PORTIFÓLIO'!C:V,5,0),"")</f>
        <v/>
      </c>
      <c r="H311" s="254" t="str">
        <f t="array" ref="H311">IFERROR(INDEX('PORTIFÓLIO'!$H$4:$H$433,MATCH($C311,'PORTIFÓLIO'!$C$4:$C$433,0)),"")</f>
        <v/>
      </c>
      <c r="I311" s="256"/>
      <c r="J311" s="218">
        <f t="shared" si="35"/>
        <v>0</v>
      </c>
      <c r="K311" s="292" t="str">
        <f t="array" ref="K311">IFERROR(I311*INDEX('PORTIFÓLIO'!$S$4:$S$433,MATCH($C311,'PORTIFÓLIO'!$C$4:$C$433,0)),"")</f>
        <v/>
      </c>
      <c r="L311" s="292" t="str">
        <f t="array" ref="L311">IFERROR(J311*INDEX('PORTIFÓLIO'!$S$4:$S$433,MATCH($C311,'PORTIFÓLIO'!$C$4:$C$433,0)),"")</f>
        <v/>
      </c>
      <c r="M311" s="220"/>
      <c r="N311" s="220"/>
      <c r="O311" s="220"/>
      <c r="P311" s="220"/>
      <c r="Q311" s="220"/>
      <c r="R311" s="220"/>
      <c r="S311" s="220"/>
      <c r="T311" s="220"/>
      <c r="U311" s="220"/>
      <c r="V311" s="220"/>
      <c r="W311" s="220"/>
    </row>
    <row r="312" ht="15.75" customHeight="1" outlineLevel="1">
      <c r="A312" s="211"/>
      <c r="B312" s="212"/>
      <c r="C312" s="213"/>
      <c r="D312" s="214" t="str">
        <f>IFERROR(VLOOKUP($C312,'PORTIFÓLIO'!C:V,2,0),"")</f>
        <v/>
      </c>
      <c r="E312" s="211" t="str">
        <f>IFERROR(VLOOKUP($C312,'PORTIFÓLIO'!C:V,3,0),"")</f>
        <v/>
      </c>
      <c r="F312" s="211" t="str">
        <f>IFERROR(VLOOKUP($C312,'PORTIFÓLIO'!C:V,4,0),"")</f>
        <v/>
      </c>
      <c r="G312" s="215" t="str">
        <f>IFERROR(VLOOKUP($C312,'PORTIFÓLIO'!C:V,5,0),"")</f>
        <v/>
      </c>
      <c r="H312" s="254" t="str">
        <f t="array" ref="H312">IFERROR(INDEX('PORTIFÓLIO'!$H$4:$H$433,MATCH($C312,'PORTIFÓLIO'!$C$4:$C$433,0)),"")</f>
        <v/>
      </c>
      <c r="I312" s="256"/>
      <c r="J312" s="218">
        <f t="shared" si="35"/>
        <v>0</v>
      </c>
      <c r="K312" s="292" t="str">
        <f t="array" ref="K312">IFERROR(I312*INDEX('PORTIFÓLIO'!$S$4:$S$433,MATCH($C312,'PORTIFÓLIO'!$C$4:$C$433,0)),"")</f>
        <v/>
      </c>
      <c r="L312" s="292" t="str">
        <f t="array" ref="L312">IFERROR(J312*INDEX('PORTIFÓLIO'!$S$4:$S$433,MATCH($C312,'PORTIFÓLIO'!$C$4:$C$433,0)),"")</f>
        <v/>
      </c>
      <c r="M312" s="220"/>
      <c r="N312" s="220"/>
      <c r="O312" s="220"/>
      <c r="P312" s="220"/>
      <c r="Q312" s="220"/>
      <c r="R312" s="220"/>
      <c r="S312" s="220"/>
      <c r="T312" s="220"/>
      <c r="U312" s="220"/>
      <c r="V312" s="220"/>
      <c r="W312" s="220"/>
    </row>
    <row r="313" ht="15.75" customHeight="1" outlineLevel="1">
      <c r="A313" s="211"/>
      <c r="B313" s="212"/>
      <c r="C313" s="213"/>
      <c r="D313" s="214" t="str">
        <f>IFERROR(VLOOKUP($C313,'PORTIFÓLIO'!C:V,2,0),"")</f>
        <v/>
      </c>
      <c r="E313" s="211" t="str">
        <f>IFERROR(VLOOKUP($C313,'PORTIFÓLIO'!C:V,3,0),"")</f>
        <v/>
      </c>
      <c r="F313" s="211" t="str">
        <f>IFERROR(VLOOKUP($C313,'PORTIFÓLIO'!C:V,4,0),"")</f>
        <v/>
      </c>
      <c r="G313" s="215" t="str">
        <f>IFERROR(VLOOKUP($C313,'PORTIFÓLIO'!C:V,5,0),"")</f>
        <v/>
      </c>
      <c r="H313" s="254" t="str">
        <f t="array" ref="H313">IFERROR(INDEX('PORTIFÓLIO'!$H$4:$H$433,MATCH($C313,'PORTIFÓLIO'!$C$4:$C$433,0)),"")</f>
        <v/>
      </c>
      <c r="I313" s="256"/>
      <c r="J313" s="218">
        <f t="shared" si="35"/>
        <v>0</v>
      </c>
      <c r="K313" s="292" t="str">
        <f t="array" ref="K313">IFERROR(I313*INDEX('PORTIFÓLIO'!$S$4:$S$433,MATCH($C313,'PORTIFÓLIO'!$C$4:$C$433,0)),"")</f>
        <v/>
      </c>
      <c r="L313" s="292" t="str">
        <f t="array" ref="L313">IFERROR(J313*INDEX('PORTIFÓLIO'!$S$4:$S$433,MATCH($C313,'PORTIFÓLIO'!$C$4:$C$433,0)),"")</f>
        <v/>
      </c>
      <c r="M313" s="220"/>
      <c r="N313" s="220"/>
      <c r="O313" s="220"/>
      <c r="P313" s="220"/>
      <c r="Q313" s="220"/>
      <c r="R313" s="220"/>
      <c r="S313" s="220"/>
      <c r="T313" s="220"/>
      <c r="U313" s="220"/>
      <c r="V313" s="220"/>
      <c r="W313" s="220"/>
    </row>
    <row r="314" ht="15.75" customHeight="1" outlineLevel="1">
      <c r="A314" s="211"/>
      <c r="B314" s="212"/>
      <c r="C314" s="213"/>
      <c r="D314" s="214" t="str">
        <f>IFERROR(VLOOKUP($C314,'PORTIFÓLIO'!C:V,2,0),"")</f>
        <v/>
      </c>
      <c r="E314" s="211" t="str">
        <f>IFERROR(VLOOKUP($C314,'PORTIFÓLIO'!C:V,3,0),"")</f>
        <v/>
      </c>
      <c r="F314" s="211" t="str">
        <f>IFERROR(VLOOKUP($C314,'PORTIFÓLIO'!C:V,4,0),"")</f>
        <v/>
      </c>
      <c r="G314" s="215" t="str">
        <f>IFERROR(VLOOKUP($C314,'PORTIFÓLIO'!C:V,5,0),"")</f>
        <v/>
      </c>
      <c r="H314" s="254" t="str">
        <f t="array" ref="H314">IFERROR(INDEX('PORTIFÓLIO'!$H$4:$H$433,MATCH($C314,'PORTIFÓLIO'!$C$4:$C$433,0)),"")</f>
        <v/>
      </c>
      <c r="I314" s="256"/>
      <c r="J314" s="218">
        <f t="shared" si="35"/>
        <v>0</v>
      </c>
      <c r="K314" s="292" t="str">
        <f t="array" ref="K314">IFERROR(I314*INDEX('PORTIFÓLIO'!$S$4:$S$433,MATCH($C314,'PORTIFÓLIO'!$C$4:$C$433,0)),"")</f>
        <v/>
      </c>
      <c r="L314" s="292" t="str">
        <f t="array" ref="L314">IFERROR(J314*INDEX('PORTIFÓLIO'!$S$4:$S$433,MATCH($C314,'PORTIFÓLIO'!$C$4:$C$433,0)),"")</f>
        <v/>
      </c>
      <c r="M314" s="220"/>
      <c r="N314" s="220"/>
      <c r="O314" s="220"/>
      <c r="P314" s="220"/>
      <c r="Q314" s="220"/>
      <c r="R314" s="220"/>
      <c r="S314" s="220"/>
      <c r="T314" s="220"/>
      <c r="U314" s="220"/>
      <c r="V314" s="220"/>
      <c r="W314" s="220"/>
    </row>
    <row r="315" ht="15.75" customHeight="1" outlineLevel="1">
      <c r="A315" s="211"/>
      <c r="B315" s="212"/>
      <c r="C315" s="213"/>
      <c r="D315" s="214" t="str">
        <f>IFERROR(VLOOKUP($C315,'PORTIFÓLIO'!C:V,2,0),"")</f>
        <v/>
      </c>
      <c r="E315" s="211" t="str">
        <f>IFERROR(VLOOKUP($C315,'PORTIFÓLIO'!C:V,3,0),"")</f>
        <v/>
      </c>
      <c r="F315" s="211" t="str">
        <f>IFERROR(VLOOKUP($C315,'PORTIFÓLIO'!C:V,4,0),"")</f>
        <v/>
      </c>
      <c r="G315" s="215" t="str">
        <f>IFERROR(VLOOKUP($C315,'PORTIFÓLIO'!C:V,5,0),"")</f>
        <v/>
      </c>
      <c r="H315" s="254" t="str">
        <f t="array" ref="H315">IFERROR(INDEX('PORTIFÓLIO'!$H$4:$H$433,MATCH($C315,'PORTIFÓLIO'!$C$4:$C$433,0)),"")</f>
        <v/>
      </c>
      <c r="I315" s="256"/>
      <c r="J315" s="218">
        <f t="shared" si="35"/>
        <v>0</v>
      </c>
      <c r="K315" s="292" t="str">
        <f t="array" ref="K315">IFERROR(I315*INDEX('PORTIFÓLIO'!$S$4:$S$433,MATCH($C315,'PORTIFÓLIO'!$C$4:$C$433,0)),"")</f>
        <v/>
      </c>
      <c r="L315" s="292" t="str">
        <f t="array" ref="L315">IFERROR(J315*INDEX('PORTIFÓLIO'!$S$4:$S$433,MATCH($C315,'PORTIFÓLIO'!$C$4:$C$433,0)),"")</f>
        <v/>
      </c>
      <c r="M315" s="220"/>
      <c r="N315" s="220"/>
      <c r="O315" s="220"/>
      <c r="P315" s="220"/>
      <c r="Q315" s="220"/>
      <c r="R315" s="220"/>
      <c r="S315" s="220"/>
      <c r="T315" s="220"/>
      <c r="U315" s="220"/>
      <c r="V315" s="220"/>
      <c r="W315" s="220"/>
    </row>
    <row r="316" ht="15.75" customHeight="1" outlineLevel="1">
      <c r="A316" s="211"/>
      <c r="B316" s="212"/>
      <c r="C316" s="213"/>
      <c r="D316" s="214" t="str">
        <f>IFERROR(VLOOKUP($C316,'PORTIFÓLIO'!C:V,2,0),"")</f>
        <v/>
      </c>
      <c r="E316" s="211" t="str">
        <f>IFERROR(VLOOKUP($C316,'PORTIFÓLIO'!C:V,3,0),"")</f>
        <v/>
      </c>
      <c r="F316" s="211" t="str">
        <f>IFERROR(VLOOKUP($C316,'PORTIFÓLIO'!C:V,4,0),"")</f>
        <v/>
      </c>
      <c r="G316" s="215" t="str">
        <f>IFERROR(VLOOKUP($C316,'PORTIFÓLIO'!C:V,5,0),"")</f>
        <v/>
      </c>
      <c r="H316" s="254" t="str">
        <f t="array" ref="H316">IFERROR(INDEX('PORTIFÓLIO'!$H$4:$H$433,MATCH($C316,'PORTIFÓLIO'!$C$4:$C$433,0)),"")</f>
        <v/>
      </c>
      <c r="I316" s="256"/>
      <c r="J316" s="218">
        <f t="shared" si="35"/>
        <v>0</v>
      </c>
      <c r="K316" s="292" t="str">
        <f t="array" ref="K316">IFERROR(I316*INDEX('PORTIFÓLIO'!$S$4:$S$433,MATCH($C316,'PORTIFÓLIO'!$C$4:$C$433,0)),"")</f>
        <v/>
      </c>
      <c r="L316" s="292" t="str">
        <f t="array" ref="L316">IFERROR(J316*INDEX('PORTIFÓLIO'!$S$4:$S$433,MATCH($C316,'PORTIFÓLIO'!$C$4:$C$433,0)),"")</f>
        <v/>
      </c>
      <c r="M316" s="220"/>
      <c r="N316" s="220"/>
      <c r="O316" s="220"/>
      <c r="P316" s="220"/>
      <c r="Q316" s="220"/>
      <c r="R316" s="220"/>
      <c r="S316" s="220"/>
      <c r="T316" s="220"/>
      <c r="U316" s="220"/>
      <c r="V316" s="220"/>
      <c r="W316" s="220"/>
    </row>
    <row r="317" ht="15.75" customHeight="1" outlineLevel="1">
      <c r="A317" s="211"/>
      <c r="B317" s="212"/>
      <c r="C317" s="213"/>
      <c r="D317" s="214" t="str">
        <f>IFERROR(VLOOKUP($C317,'PORTIFÓLIO'!C:V,2,0),"")</f>
        <v/>
      </c>
      <c r="E317" s="211" t="str">
        <f>IFERROR(VLOOKUP($C317,'PORTIFÓLIO'!C:V,3,0),"")</f>
        <v/>
      </c>
      <c r="F317" s="211" t="str">
        <f>IFERROR(VLOOKUP($C317,'PORTIFÓLIO'!C:V,4,0),"")</f>
        <v/>
      </c>
      <c r="G317" s="215" t="str">
        <f>IFERROR(VLOOKUP($C317,'PORTIFÓLIO'!C:V,5,0),"")</f>
        <v/>
      </c>
      <c r="H317" s="254" t="str">
        <f t="array" ref="H317">IFERROR(INDEX('PORTIFÓLIO'!$H$4:$H$433,MATCH($C317,'PORTIFÓLIO'!$C$4:$C$433,0)),"")</f>
        <v/>
      </c>
      <c r="I317" s="255"/>
      <c r="J317" s="218">
        <f t="shared" si="35"/>
        <v>0</v>
      </c>
      <c r="K317" s="292" t="str">
        <f t="array" ref="K317">IFERROR(I317*INDEX('PORTIFÓLIO'!$S$4:$S$433,MATCH($C317,'PORTIFÓLIO'!$C$4:$C$433,0)),"")</f>
        <v/>
      </c>
      <c r="L317" s="292" t="str">
        <f t="array" ref="L317">IFERROR(J317*INDEX('PORTIFÓLIO'!$S$4:$S$433,MATCH($C317,'PORTIFÓLIO'!$C$4:$C$433,0)),"")</f>
        <v/>
      </c>
      <c r="M317" s="220"/>
      <c r="N317" s="220"/>
      <c r="O317" s="220"/>
      <c r="P317" s="220"/>
      <c r="Q317" s="220"/>
      <c r="R317" s="220"/>
      <c r="S317" s="220"/>
      <c r="T317" s="220"/>
      <c r="U317" s="220"/>
      <c r="V317" s="220"/>
      <c r="W317" s="220"/>
    </row>
    <row r="318" ht="15.75" customHeight="1" outlineLevel="1">
      <c r="A318" s="211"/>
      <c r="B318" s="212"/>
      <c r="C318" s="213"/>
      <c r="D318" s="214" t="str">
        <f>IFERROR(VLOOKUP($C318,'PORTIFÓLIO'!C:V,2,0),"")</f>
        <v/>
      </c>
      <c r="E318" s="211" t="str">
        <f>IFERROR(VLOOKUP($C318,'PORTIFÓLIO'!C:V,3,0),"")</f>
        <v/>
      </c>
      <c r="F318" s="211" t="str">
        <f>IFERROR(VLOOKUP($C318,'PORTIFÓLIO'!C:V,4,0),"")</f>
        <v/>
      </c>
      <c r="G318" s="215" t="str">
        <f>IFERROR(VLOOKUP($C318,'PORTIFÓLIO'!C:V,5,0),"")</f>
        <v/>
      </c>
      <c r="H318" s="254" t="str">
        <f t="array" ref="H318">IFERROR(INDEX('PORTIFÓLIO'!$H$4:$H$433,MATCH($C318,'PORTIFÓLIO'!$C$4:$C$433,0)),"")</f>
        <v/>
      </c>
      <c r="I318" s="256"/>
      <c r="J318" s="218">
        <f t="shared" si="35"/>
        <v>0</v>
      </c>
      <c r="K318" s="292" t="str">
        <f t="array" ref="K318">IFERROR(I318*INDEX('PORTIFÓLIO'!$S$4:$S$433,MATCH($C318,'PORTIFÓLIO'!$C$4:$C$433,0)),"")</f>
        <v/>
      </c>
      <c r="L318" s="292" t="str">
        <f t="array" ref="L318">IFERROR(J318*INDEX('PORTIFÓLIO'!$S$4:$S$433,MATCH($C318,'PORTIFÓLIO'!$C$4:$C$433,0)),"")</f>
        <v/>
      </c>
      <c r="M318" s="220"/>
      <c r="N318" s="220"/>
      <c r="O318" s="220"/>
      <c r="P318" s="220"/>
      <c r="Q318" s="220"/>
      <c r="R318" s="220"/>
      <c r="S318" s="220"/>
      <c r="T318" s="220"/>
      <c r="U318" s="220"/>
      <c r="V318" s="220"/>
      <c r="W318" s="220"/>
    </row>
    <row r="319" ht="15.75" customHeight="1" outlineLevel="1">
      <c r="A319" s="211"/>
      <c r="B319" s="212"/>
      <c r="C319" s="213"/>
      <c r="D319" s="214" t="str">
        <f>IFERROR(VLOOKUP($C319,'PORTIFÓLIO'!C:V,2,0),"")</f>
        <v/>
      </c>
      <c r="E319" s="211" t="str">
        <f>IFERROR(VLOOKUP($C319,'PORTIFÓLIO'!C:V,3,0),"")</f>
        <v/>
      </c>
      <c r="F319" s="211" t="str">
        <f>IFERROR(VLOOKUP($C319,'PORTIFÓLIO'!C:V,4,0),"")</f>
        <v/>
      </c>
      <c r="G319" s="215" t="str">
        <f>IFERROR(VLOOKUP($C319,'PORTIFÓLIO'!C:V,5,0),"")</f>
        <v/>
      </c>
      <c r="H319" s="254" t="str">
        <f t="array" ref="H319">IFERROR(INDEX('PORTIFÓLIO'!$H$4:$H$433,MATCH($C319,'PORTIFÓLIO'!$C$4:$C$433,0)),"")</f>
        <v/>
      </c>
      <c r="I319" s="256"/>
      <c r="J319" s="218">
        <f t="shared" si="35"/>
        <v>0</v>
      </c>
      <c r="K319" s="292" t="str">
        <f t="array" ref="K319">IFERROR(I319*INDEX('PORTIFÓLIO'!$S$4:$S$433,MATCH($C319,'PORTIFÓLIO'!$C$4:$C$433,0)),"")</f>
        <v/>
      </c>
      <c r="L319" s="292" t="str">
        <f t="array" ref="L319">IFERROR(J319*INDEX('PORTIFÓLIO'!$S$4:$S$433,MATCH($C319,'PORTIFÓLIO'!$C$4:$C$433,0)),"")</f>
        <v/>
      </c>
      <c r="M319" s="220"/>
      <c r="N319" s="220"/>
      <c r="O319" s="220"/>
      <c r="P319" s="220"/>
      <c r="Q319" s="220"/>
      <c r="R319" s="220"/>
      <c r="S319" s="220"/>
      <c r="T319" s="220"/>
      <c r="U319" s="220"/>
      <c r="V319" s="220"/>
      <c r="W319" s="220"/>
    </row>
    <row r="320" ht="15.75" customHeight="1" outlineLevel="1">
      <c r="A320" s="211"/>
      <c r="B320" s="212"/>
      <c r="C320" s="213"/>
      <c r="D320" s="214" t="str">
        <f>IFERROR(VLOOKUP($C320,'PORTIFÓLIO'!C:V,2,0),"")</f>
        <v/>
      </c>
      <c r="E320" s="211" t="str">
        <f>IFERROR(VLOOKUP($C320,'PORTIFÓLIO'!C:V,3,0),"")</f>
        <v/>
      </c>
      <c r="F320" s="211" t="str">
        <f>IFERROR(VLOOKUP($C320,'PORTIFÓLIO'!C:V,4,0),"")</f>
        <v/>
      </c>
      <c r="G320" s="215" t="str">
        <f>IFERROR(VLOOKUP($C320,'PORTIFÓLIO'!C:V,5,0),"")</f>
        <v/>
      </c>
      <c r="H320" s="254" t="str">
        <f t="array" ref="H320">IFERROR(INDEX('PORTIFÓLIO'!$H$4:$H$433,MATCH($C320,'PORTIFÓLIO'!$C$4:$C$433,0)),"")</f>
        <v/>
      </c>
      <c r="I320" s="256"/>
      <c r="J320" s="218">
        <f t="shared" si="35"/>
        <v>0</v>
      </c>
      <c r="K320" s="292" t="str">
        <f t="array" ref="K320">IFERROR(I320*INDEX('PORTIFÓLIO'!$S$4:$S$433,MATCH($C320,'PORTIFÓLIO'!$C$4:$C$433,0)),"")</f>
        <v/>
      </c>
      <c r="L320" s="292" t="str">
        <f t="array" ref="L320">IFERROR(J320*INDEX('PORTIFÓLIO'!$S$4:$S$433,MATCH($C320,'PORTIFÓLIO'!$C$4:$C$433,0)),"")</f>
        <v/>
      </c>
      <c r="M320" s="220"/>
      <c r="N320" s="220"/>
      <c r="O320" s="220"/>
      <c r="P320" s="220"/>
      <c r="Q320" s="220"/>
      <c r="R320" s="220"/>
      <c r="S320" s="220"/>
      <c r="T320" s="220"/>
      <c r="U320" s="220"/>
      <c r="V320" s="220"/>
      <c r="W320" s="220"/>
    </row>
    <row r="321" ht="15.75" customHeight="1" outlineLevel="1">
      <c r="A321" s="211"/>
      <c r="B321" s="212"/>
      <c r="C321" s="213"/>
      <c r="D321" s="214" t="str">
        <f>IFERROR(VLOOKUP($C321,'PORTIFÓLIO'!C:V,2,0),"")</f>
        <v/>
      </c>
      <c r="E321" s="211" t="str">
        <f>IFERROR(VLOOKUP($C321,'PORTIFÓLIO'!C:V,3,0),"")</f>
        <v/>
      </c>
      <c r="F321" s="211" t="str">
        <f>IFERROR(VLOOKUP($C321,'PORTIFÓLIO'!C:V,4,0),"")</f>
        <v/>
      </c>
      <c r="G321" s="215" t="str">
        <f>IFERROR(VLOOKUP($C321,'PORTIFÓLIO'!C:V,5,0),"")</f>
        <v/>
      </c>
      <c r="H321" s="254" t="str">
        <f t="array" ref="H321">IFERROR(INDEX('PORTIFÓLIO'!$H$4:$H$433,MATCH($C321,'PORTIFÓLIO'!$C$4:$C$433,0)),"")</f>
        <v/>
      </c>
      <c r="I321" s="256"/>
      <c r="J321" s="218">
        <f t="shared" si="35"/>
        <v>0</v>
      </c>
      <c r="K321" s="292" t="str">
        <f t="array" ref="K321">IFERROR(I321*INDEX('PORTIFÓLIO'!$S$4:$S$433,MATCH($C321,'PORTIFÓLIO'!$C$4:$C$433,0)),"")</f>
        <v/>
      </c>
      <c r="L321" s="292" t="str">
        <f t="array" ref="L321">IFERROR(J321*INDEX('PORTIFÓLIO'!$S$4:$S$433,MATCH($C321,'PORTIFÓLIO'!$C$4:$C$433,0)),"")</f>
        <v/>
      </c>
      <c r="M321" s="220"/>
      <c r="N321" s="220"/>
      <c r="O321" s="220"/>
      <c r="P321" s="220"/>
      <c r="Q321" s="220"/>
      <c r="R321" s="220"/>
      <c r="S321" s="220"/>
      <c r="T321" s="220"/>
      <c r="U321" s="220"/>
      <c r="V321" s="220"/>
      <c r="W321" s="220"/>
    </row>
    <row r="322" ht="15.75" customHeight="1" outlineLevel="1">
      <c r="A322" s="211"/>
      <c r="B322" s="212"/>
      <c r="C322" s="213"/>
      <c r="D322" s="214" t="str">
        <f>IFERROR(VLOOKUP($C322,'PORTIFÓLIO'!C:V,2,0),"")</f>
        <v/>
      </c>
      <c r="E322" s="211" t="str">
        <f>IFERROR(VLOOKUP($C322,'PORTIFÓLIO'!C:V,3,0),"")</f>
        <v/>
      </c>
      <c r="F322" s="211" t="str">
        <f>IFERROR(VLOOKUP($C322,'PORTIFÓLIO'!C:V,4,0),"")</f>
        <v/>
      </c>
      <c r="G322" s="215" t="str">
        <f>IFERROR(VLOOKUP($C322,'PORTIFÓLIO'!C:V,5,0),"")</f>
        <v/>
      </c>
      <c r="H322" s="254" t="str">
        <f t="array" ref="H322">IFERROR(INDEX('PORTIFÓLIO'!$H$4:$H$433,MATCH($C322,'PORTIFÓLIO'!$C$4:$C$433,0)),"")</f>
        <v/>
      </c>
      <c r="I322" s="256"/>
      <c r="J322" s="218">
        <f t="shared" si="35"/>
        <v>0</v>
      </c>
      <c r="K322" s="292" t="str">
        <f t="array" ref="K322">IFERROR(I322*INDEX('PORTIFÓLIO'!$S$4:$S$433,MATCH($C322,'PORTIFÓLIO'!$C$4:$C$433,0)),"")</f>
        <v/>
      </c>
      <c r="L322" s="292" t="str">
        <f t="array" ref="L322">IFERROR(J322*INDEX('PORTIFÓLIO'!$S$4:$S$433,MATCH($C322,'PORTIFÓLIO'!$C$4:$C$433,0)),"")</f>
        <v/>
      </c>
      <c r="M322" s="220"/>
      <c r="N322" s="220"/>
      <c r="O322" s="220"/>
      <c r="P322" s="220"/>
      <c r="Q322" s="220"/>
      <c r="R322" s="220"/>
      <c r="S322" s="220"/>
      <c r="T322" s="220"/>
      <c r="U322" s="220"/>
      <c r="V322" s="220"/>
      <c r="W322" s="220"/>
    </row>
    <row r="323" ht="15.75" customHeight="1" outlineLevel="1">
      <c r="A323" s="211"/>
      <c r="B323" s="212"/>
      <c r="C323" s="213"/>
      <c r="D323" s="214" t="str">
        <f>IFERROR(VLOOKUP($C323,'PORTIFÓLIO'!C:V,2,0),"")</f>
        <v/>
      </c>
      <c r="E323" s="211" t="str">
        <f>IFERROR(VLOOKUP($C323,'PORTIFÓLIO'!C:V,3,0),"")</f>
        <v/>
      </c>
      <c r="F323" s="211" t="str">
        <f>IFERROR(VLOOKUP($C323,'PORTIFÓLIO'!C:V,4,0),"")</f>
        <v/>
      </c>
      <c r="G323" s="215" t="str">
        <f>IFERROR(VLOOKUP($C323,'PORTIFÓLIO'!C:V,5,0),"")</f>
        <v/>
      </c>
      <c r="H323" s="254" t="str">
        <f t="array" ref="H323">IFERROR(INDEX('PORTIFÓLIO'!$H$4:$H$433,MATCH($C323,'PORTIFÓLIO'!$C$4:$C$433,0)),"")</f>
        <v/>
      </c>
      <c r="I323" s="256"/>
      <c r="J323" s="218">
        <f t="shared" si="35"/>
        <v>0</v>
      </c>
      <c r="K323" s="292" t="str">
        <f t="array" ref="K323">IFERROR(I323*INDEX('PORTIFÓLIO'!$S$4:$S$433,MATCH($C323,'PORTIFÓLIO'!$C$4:$C$433,0)),"")</f>
        <v/>
      </c>
      <c r="L323" s="292" t="str">
        <f t="array" ref="L323">IFERROR(J323*INDEX('PORTIFÓLIO'!$S$4:$S$433,MATCH($C323,'PORTIFÓLIO'!$C$4:$C$433,0)),"")</f>
        <v/>
      </c>
      <c r="M323" s="220"/>
      <c r="N323" s="220"/>
      <c r="O323" s="220"/>
      <c r="P323" s="220"/>
      <c r="Q323" s="220"/>
      <c r="R323" s="220"/>
      <c r="S323" s="220"/>
      <c r="T323" s="220"/>
      <c r="U323" s="220"/>
      <c r="V323" s="220"/>
      <c r="W323" s="220"/>
    </row>
    <row r="324" ht="15.75" customHeight="1">
      <c r="A324" s="229" t="s">
        <v>1189</v>
      </c>
      <c r="B324" s="230"/>
      <c r="C324" s="231"/>
      <c r="D324" s="232"/>
      <c r="E324" s="231"/>
      <c r="F324" s="231"/>
      <c r="G324" s="233"/>
      <c r="H324" s="233"/>
      <c r="I324" s="258"/>
      <c r="J324" s="236"/>
      <c r="K324" s="237">
        <f t="shared" ref="K324:L324" si="36">SUBTOTAL(9,K325:K338)</f>
        <v>0</v>
      </c>
      <c r="L324" s="237">
        <f t="shared" si="36"/>
        <v>0</v>
      </c>
      <c r="M324" s="220"/>
      <c r="N324" s="220"/>
      <c r="O324" s="220"/>
      <c r="P324" s="220"/>
      <c r="Q324" s="220"/>
      <c r="R324" s="220"/>
      <c r="S324" s="220"/>
      <c r="T324" s="220"/>
      <c r="U324" s="220"/>
      <c r="V324" s="220"/>
      <c r="W324" s="220"/>
    </row>
    <row r="325" ht="15.75" customHeight="1" outlineLevel="1">
      <c r="A325" s="213"/>
      <c r="B325" s="212"/>
      <c r="C325" s="213"/>
      <c r="D325" s="214" t="str">
        <f>IFERROR(VLOOKUP($C325,'PORTIFÓLIO'!C:V,2,0),"")</f>
        <v/>
      </c>
      <c r="E325" s="211" t="str">
        <f>IFERROR(VLOOKUP($C325,'PORTIFÓLIO'!C:V,3,0),"")</f>
        <v/>
      </c>
      <c r="F325" s="211" t="str">
        <f>IFERROR(VLOOKUP($C325,'PORTIFÓLIO'!C:V,4,0),"")</f>
        <v/>
      </c>
      <c r="G325" s="215" t="str">
        <f>IFERROR(VLOOKUP($C325,'PORTIFÓLIO'!C:V,5,0),"")</f>
        <v/>
      </c>
      <c r="H325" s="254" t="str">
        <f t="array" ref="H325">IFERROR(INDEX('PORTIFÓLIO'!$H$4:$H$433,MATCH($C325,'PORTIFÓLIO'!$C$4:$C$433,0)),"")</f>
        <v/>
      </c>
      <c r="I325" s="255"/>
      <c r="J325" s="218">
        <f t="shared" ref="J325:J339" si="37">I325*$B$2</f>
        <v>0</v>
      </c>
      <c r="K325" s="292" t="str">
        <f t="array" ref="K325">IFERROR(I325*INDEX('PORTIFÓLIO'!$S$4:$S$433,MATCH($C325,'PORTIFÓLIO'!$C$4:$C$433,0)),"")</f>
        <v/>
      </c>
      <c r="L325" s="292" t="str">
        <f t="array" ref="L325">IFERROR(J325*INDEX('PORTIFÓLIO'!$S$4:$S$433,MATCH($C325,'PORTIFÓLIO'!$C$4:$C$433,0)),"")</f>
        <v/>
      </c>
      <c r="M325" s="220"/>
      <c r="N325" s="220"/>
      <c r="O325" s="220"/>
      <c r="P325" s="220"/>
      <c r="Q325" s="220"/>
      <c r="R325" s="220"/>
      <c r="S325" s="220"/>
      <c r="T325" s="220"/>
      <c r="U325" s="220"/>
      <c r="V325" s="220"/>
      <c r="W325" s="220"/>
    </row>
    <row r="326" ht="15.75" customHeight="1" outlineLevel="1">
      <c r="A326" s="211"/>
      <c r="B326" s="212"/>
      <c r="C326" s="213"/>
      <c r="D326" s="214" t="str">
        <f>IFERROR(VLOOKUP($C326,'PORTIFÓLIO'!C:V,2,0),"")</f>
        <v/>
      </c>
      <c r="E326" s="211" t="str">
        <f>IFERROR(VLOOKUP($C326,'PORTIFÓLIO'!C:V,3,0),"")</f>
        <v/>
      </c>
      <c r="F326" s="211" t="str">
        <f>IFERROR(VLOOKUP($C326,'PORTIFÓLIO'!C:V,4,0),"")</f>
        <v/>
      </c>
      <c r="G326" s="215" t="str">
        <f>IFERROR(VLOOKUP($C326,'PORTIFÓLIO'!C:V,5,0),"")</f>
        <v/>
      </c>
      <c r="H326" s="254" t="str">
        <f t="array" ref="H326">IFERROR(INDEX('PORTIFÓLIO'!$H$4:$H$433,MATCH($C326,'PORTIFÓLIO'!$C$4:$C$433,0)),"")</f>
        <v/>
      </c>
      <c r="I326" s="256"/>
      <c r="J326" s="218">
        <f t="shared" si="37"/>
        <v>0</v>
      </c>
      <c r="K326" s="292" t="str">
        <f t="array" ref="K326">IFERROR(I326*INDEX('PORTIFÓLIO'!$S$4:$S$433,MATCH($C326,'PORTIFÓLIO'!$C$4:$C$433,0)),"")</f>
        <v/>
      </c>
      <c r="L326" s="292" t="str">
        <f t="array" ref="L326">IFERROR(J326*INDEX('PORTIFÓLIO'!$S$4:$S$433,MATCH($C326,'PORTIFÓLIO'!$C$4:$C$433,0)),"")</f>
        <v/>
      </c>
      <c r="M326" s="220"/>
      <c r="N326" s="220"/>
      <c r="O326" s="220"/>
      <c r="P326" s="220"/>
      <c r="Q326" s="220"/>
      <c r="R326" s="220"/>
      <c r="S326" s="220"/>
      <c r="T326" s="220"/>
      <c r="U326" s="220"/>
      <c r="V326" s="220"/>
      <c r="W326" s="220"/>
    </row>
    <row r="327" ht="15.75" customHeight="1" outlineLevel="1">
      <c r="A327" s="211"/>
      <c r="B327" s="212"/>
      <c r="C327" s="213"/>
      <c r="D327" s="214" t="str">
        <f>IFERROR(VLOOKUP($C327,'PORTIFÓLIO'!C:V,2,0),"")</f>
        <v/>
      </c>
      <c r="E327" s="211" t="str">
        <f>IFERROR(VLOOKUP($C327,'PORTIFÓLIO'!C:V,3,0),"")</f>
        <v/>
      </c>
      <c r="F327" s="211" t="str">
        <f>IFERROR(VLOOKUP($C327,'PORTIFÓLIO'!C:V,4,0),"")</f>
        <v/>
      </c>
      <c r="G327" s="215" t="str">
        <f>IFERROR(VLOOKUP($C327,'PORTIFÓLIO'!C:V,5,0),"")</f>
        <v/>
      </c>
      <c r="H327" s="254" t="str">
        <f t="array" ref="H327">IFERROR(INDEX('PORTIFÓLIO'!$H$4:$H$433,MATCH($C327,'PORTIFÓLIO'!$C$4:$C$433,0)),"")</f>
        <v/>
      </c>
      <c r="I327" s="256"/>
      <c r="J327" s="218">
        <f t="shared" si="37"/>
        <v>0</v>
      </c>
      <c r="K327" s="292" t="str">
        <f t="array" ref="K327">IFERROR(I327*INDEX('PORTIFÓLIO'!$S$4:$S$433,MATCH($C327,'PORTIFÓLIO'!$C$4:$C$433,0)),"")</f>
        <v/>
      </c>
      <c r="L327" s="292" t="str">
        <f t="array" ref="L327">IFERROR(J327*INDEX('PORTIFÓLIO'!$S$4:$S$433,MATCH($C327,'PORTIFÓLIO'!$C$4:$C$433,0)),"")</f>
        <v/>
      </c>
      <c r="M327" s="220"/>
      <c r="N327" s="220"/>
      <c r="O327" s="220"/>
      <c r="P327" s="220"/>
      <c r="Q327" s="220"/>
      <c r="R327" s="220"/>
      <c r="S327" s="220"/>
      <c r="T327" s="220"/>
      <c r="U327" s="220"/>
      <c r="V327" s="220"/>
      <c r="W327" s="220"/>
    </row>
    <row r="328" ht="15.75" customHeight="1" outlineLevel="1">
      <c r="A328" s="211"/>
      <c r="B328" s="212"/>
      <c r="C328" s="213"/>
      <c r="D328" s="214" t="str">
        <f>IFERROR(VLOOKUP($C328,'PORTIFÓLIO'!C:V,2,0),"")</f>
        <v/>
      </c>
      <c r="E328" s="211" t="str">
        <f>IFERROR(VLOOKUP($C328,'PORTIFÓLIO'!C:V,3,0),"")</f>
        <v/>
      </c>
      <c r="F328" s="211" t="str">
        <f>IFERROR(VLOOKUP($C328,'PORTIFÓLIO'!C:V,4,0),"")</f>
        <v/>
      </c>
      <c r="G328" s="215" t="str">
        <f>IFERROR(VLOOKUP($C328,'PORTIFÓLIO'!C:V,5,0),"")</f>
        <v/>
      </c>
      <c r="H328" s="254" t="str">
        <f t="array" ref="H328">IFERROR(INDEX('PORTIFÓLIO'!$H$4:$H$433,MATCH($C328,'PORTIFÓLIO'!$C$4:$C$433,0)),"")</f>
        <v/>
      </c>
      <c r="I328" s="256"/>
      <c r="J328" s="218">
        <f t="shared" si="37"/>
        <v>0</v>
      </c>
      <c r="K328" s="292" t="str">
        <f t="array" ref="K328">IFERROR(I328*INDEX('PORTIFÓLIO'!$S$4:$S$433,MATCH($C328,'PORTIFÓLIO'!$C$4:$C$433,0)),"")</f>
        <v/>
      </c>
      <c r="L328" s="292" t="str">
        <f t="array" ref="L328">IFERROR(J328*INDEX('PORTIFÓLIO'!$S$4:$S$433,MATCH($C328,'PORTIFÓLIO'!$C$4:$C$433,0)),"")</f>
        <v/>
      </c>
      <c r="M328" s="220"/>
      <c r="N328" s="220"/>
      <c r="O328" s="220"/>
      <c r="P328" s="220"/>
      <c r="Q328" s="220"/>
      <c r="R328" s="220"/>
      <c r="S328" s="220"/>
      <c r="T328" s="220"/>
      <c r="U328" s="220"/>
      <c r="V328" s="220"/>
      <c r="W328" s="220"/>
    </row>
    <row r="329" ht="15.75" customHeight="1" outlineLevel="1">
      <c r="A329" s="211"/>
      <c r="B329" s="212"/>
      <c r="C329" s="213"/>
      <c r="D329" s="214" t="str">
        <f>IFERROR(VLOOKUP($C329,'PORTIFÓLIO'!C:V,2,0),"")</f>
        <v/>
      </c>
      <c r="E329" s="211" t="str">
        <f>IFERROR(VLOOKUP($C329,'PORTIFÓLIO'!C:V,3,0),"")</f>
        <v/>
      </c>
      <c r="F329" s="211" t="str">
        <f>IFERROR(VLOOKUP($C329,'PORTIFÓLIO'!C:V,4,0),"")</f>
        <v/>
      </c>
      <c r="G329" s="215" t="str">
        <f>IFERROR(VLOOKUP($C329,'PORTIFÓLIO'!C:V,5,0),"")</f>
        <v/>
      </c>
      <c r="H329" s="254" t="str">
        <f t="array" ref="H329">IFERROR(INDEX('PORTIFÓLIO'!$H$4:$H$433,MATCH($C329,'PORTIFÓLIO'!$C$4:$C$433,0)),"")</f>
        <v/>
      </c>
      <c r="I329" s="256"/>
      <c r="J329" s="218">
        <f t="shared" si="37"/>
        <v>0</v>
      </c>
      <c r="K329" s="292" t="str">
        <f t="array" ref="K329">IFERROR(I329*INDEX('PORTIFÓLIO'!$S$4:$S$433,MATCH($C329,'PORTIFÓLIO'!$C$4:$C$433,0)),"")</f>
        <v/>
      </c>
      <c r="L329" s="292" t="str">
        <f t="array" ref="L329">IFERROR(J329*INDEX('PORTIFÓLIO'!$S$4:$S$433,MATCH($C329,'PORTIFÓLIO'!$C$4:$C$433,0)),"")</f>
        <v/>
      </c>
      <c r="M329" s="220"/>
      <c r="N329" s="220"/>
      <c r="O329" s="220"/>
      <c r="P329" s="220"/>
      <c r="Q329" s="220"/>
      <c r="R329" s="220"/>
      <c r="S329" s="220"/>
      <c r="T329" s="220"/>
      <c r="U329" s="220"/>
      <c r="V329" s="220"/>
      <c r="W329" s="220"/>
    </row>
    <row r="330" ht="15.75" customHeight="1" outlineLevel="1">
      <c r="A330" s="211"/>
      <c r="B330" s="212"/>
      <c r="C330" s="213"/>
      <c r="D330" s="214" t="str">
        <f>IFERROR(VLOOKUP($C330,'PORTIFÓLIO'!C:V,2,0),"")</f>
        <v/>
      </c>
      <c r="E330" s="211" t="str">
        <f>IFERROR(VLOOKUP($C330,'PORTIFÓLIO'!C:V,3,0),"")</f>
        <v/>
      </c>
      <c r="F330" s="211" t="str">
        <f>IFERROR(VLOOKUP($C330,'PORTIFÓLIO'!C:V,4,0),"")</f>
        <v/>
      </c>
      <c r="G330" s="215" t="str">
        <f>IFERROR(VLOOKUP($C330,'PORTIFÓLIO'!C:V,5,0),"")</f>
        <v/>
      </c>
      <c r="H330" s="254" t="str">
        <f t="array" ref="H330">IFERROR(INDEX('PORTIFÓLIO'!$H$4:$H$433,MATCH($C330,'PORTIFÓLIO'!$C$4:$C$433,0)),"")</f>
        <v/>
      </c>
      <c r="I330" s="256"/>
      <c r="J330" s="218">
        <f t="shared" si="37"/>
        <v>0</v>
      </c>
      <c r="K330" s="292" t="str">
        <f t="array" ref="K330">IFERROR(I330*INDEX('PORTIFÓLIO'!$S$4:$S$433,MATCH($C330,'PORTIFÓLIO'!$C$4:$C$433,0)),"")</f>
        <v/>
      </c>
      <c r="L330" s="292" t="str">
        <f t="array" ref="L330">IFERROR(J330*INDEX('PORTIFÓLIO'!$S$4:$S$433,MATCH($C330,'PORTIFÓLIO'!$C$4:$C$433,0)),"")</f>
        <v/>
      </c>
      <c r="M330" s="220"/>
      <c r="N330" s="220"/>
      <c r="O330" s="220"/>
      <c r="P330" s="220"/>
      <c r="Q330" s="220"/>
      <c r="R330" s="220"/>
      <c r="S330" s="220"/>
      <c r="T330" s="220"/>
      <c r="U330" s="220"/>
      <c r="V330" s="220"/>
      <c r="W330" s="220"/>
    </row>
    <row r="331" ht="15.75" customHeight="1" outlineLevel="1">
      <c r="A331" s="211"/>
      <c r="B331" s="212"/>
      <c r="C331" s="213"/>
      <c r="D331" s="214" t="str">
        <f>IFERROR(VLOOKUP($C331,'PORTIFÓLIO'!C:V,2,0),"")</f>
        <v/>
      </c>
      <c r="E331" s="211" t="str">
        <f>IFERROR(VLOOKUP($C331,'PORTIFÓLIO'!C:V,3,0),"")</f>
        <v/>
      </c>
      <c r="F331" s="211" t="str">
        <f>IFERROR(VLOOKUP($C331,'PORTIFÓLIO'!C:V,4,0),"")</f>
        <v/>
      </c>
      <c r="G331" s="215" t="str">
        <f>IFERROR(VLOOKUP($C331,'PORTIFÓLIO'!C:V,5,0),"")</f>
        <v/>
      </c>
      <c r="H331" s="254" t="str">
        <f t="array" ref="H331">IFERROR(INDEX('PORTIFÓLIO'!$H$4:$H$433,MATCH($C331,'PORTIFÓLIO'!$C$4:$C$433,0)),"")</f>
        <v/>
      </c>
      <c r="I331" s="256"/>
      <c r="J331" s="218">
        <f t="shared" si="37"/>
        <v>0</v>
      </c>
      <c r="K331" s="292" t="str">
        <f t="array" ref="K331">IFERROR(I331*INDEX('PORTIFÓLIO'!$S$4:$S$433,MATCH($C331,'PORTIFÓLIO'!$C$4:$C$433,0)),"")</f>
        <v/>
      </c>
      <c r="L331" s="292" t="str">
        <f t="array" ref="L331">IFERROR(J331*INDEX('PORTIFÓLIO'!$S$4:$S$433,MATCH($C331,'PORTIFÓLIO'!$C$4:$C$433,0)),"")</f>
        <v/>
      </c>
      <c r="M331" s="220"/>
      <c r="N331" s="220"/>
      <c r="O331" s="220"/>
      <c r="P331" s="220"/>
      <c r="Q331" s="220"/>
      <c r="R331" s="220"/>
      <c r="S331" s="220"/>
      <c r="T331" s="220"/>
      <c r="U331" s="220"/>
      <c r="V331" s="220"/>
      <c r="W331" s="220"/>
    </row>
    <row r="332" ht="15.75" customHeight="1" outlineLevel="1">
      <c r="A332" s="211"/>
      <c r="B332" s="212"/>
      <c r="C332" s="213"/>
      <c r="D332" s="214" t="str">
        <f>IFERROR(VLOOKUP($C332,'PORTIFÓLIO'!C:V,2,0),"")</f>
        <v/>
      </c>
      <c r="E332" s="211" t="str">
        <f>IFERROR(VLOOKUP($C332,'PORTIFÓLIO'!C:V,3,0),"")</f>
        <v/>
      </c>
      <c r="F332" s="211" t="str">
        <f>IFERROR(VLOOKUP($C332,'PORTIFÓLIO'!C:V,4,0),"")</f>
        <v/>
      </c>
      <c r="G332" s="215" t="str">
        <f>IFERROR(VLOOKUP($C332,'PORTIFÓLIO'!C:V,5,0),"")</f>
        <v/>
      </c>
      <c r="H332" s="254" t="str">
        <f t="array" ref="H332">IFERROR(INDEX('PORTIFÓLIO'!$H$4:$H$433,MATCH($C332,'PORTIFÓLIO'!$C$4:$C$433,0)),"")</f>
        <v/>
      </c>
      <c r="I332" s="256"/>
      <c r="J332" s="218">
        <f t="shared" si="37"/>
        <v>0</v>
      </c>
      <c r="K332" s="292" t="str">
        <f t="array" ref="K332">IFERROR(I332*INDEX('PORTIFÓLIO'!$S$4:$S$433,MATCH($C332,'PORTIFÓLIO'!$C$4:$C$433,0)),"")</f>
        <v/>
      </c>
      <c r="L332" s="292" t="str">
        <f t="array" ref="L332">IFERROR(J332*INDEX('PORTIFÓLIO'!$S$4:$S$433,MATCH($C332,'PORTIFÓLIO'!$C$4:$C$433,0)),"")</f>
        <v/>
      </c>
      <c r="M332" s="220"/>
      <c r="N332" s="220"/>
      <c r="O332" s="220"/>
      <c r="P332" s="220"/>
      <c r="Q332" s="220"/>
      <c r="R332" s="220"/>
      <c r="S332" s="220"/>
      <c r="T332" s="220"/>
      <c r="U332" s="220"/>
      <c r="V332" s="220"/>
      <c r="W332" s="220"/>
    </row>
    <row r="333" ht="15.75" customHeight="1" outlineLevel="1">
      <c r="A333" s="211"/>
      <c r="B333" s="212"/>
      <c r="C333" s="213"/>
      <c r="D333" s="214" t="str">
        <f>IFERROR(VLOOKUP($C333,'PORTIFÓLIO'!C:V,2,0),"")</f>
        <v/>
      </c>
      <c r="E333" s="211" t="str">
        <f>IFERROR(VLOOKUP($C333,'PORTIFÓLIO'!C:V,3,0),"")</f>
        <v/>
      </c>
      <c r="F333" s="211" t="str">
        <f>IFERROR(VLOOKUP($C333,'PORTIFÓLIO'!C:V,4,0),"")</f>
        <v/>
      </c>
      <c r="G333" s="215" t="str">
        <f>IFERROR(VLOOKUP($C333,'PORTIFÓLIO'!C:V,5,0),"")</f>
        <v/>
      </c>
      <c r="H333" s="254" t="str">
        <f t="array" ref="H333">IFERROR(INDEX('PORTIFÓLIO'!$H$4:$H$433,MATCH($C333,'PORTIFÓLIO'!$C$4:$C$433,0)),"")</f>
        <v/>
      </c>
      <c r="I333" s="255"/>
      <c r="J333" s="218">
        <f t="shared" si="37"/>
        <v>0</v>
      </c>
      <c r="K333" s="292" t="str">
        <f t="array" ref="K333">IFERROR(I333*INDEX('PORTIFÓLIO'!$S$4:$S$433,MATCH($C333,'PORTIFÓLIO'!$C$4:$C$433,0)),"")</f>
        <v/>
      </c>
      <c r="L333" s="292" t="str">
        <f t="array" ref="L333">IFERROR(J333*INDEX('PORTIFÓLIO'!$S$4:$S$433,MATCH($C333,'PORTIFÓLIO'!$C$4:$C$433,0)),"")</f>
        <v/>
      </c>
      <c r="M333" s="220"/>
      <c r="N333" s="220"/>
      <c r="O333" s="220"/>
      <c r="P333" s="220"/>
      <c r="Q333" s="220"/>
      <c r="R333" s="220"/>
      <c r="S333" s="220"/>
      <c r="T333" s="220"/>
      <c r="U333" s="220"/>
      <c r="V333" s="220"/>
      <c r="W333" s="220"/>
    </row>
    <row r="334" ht="15.75" customHeight="1" outlineLevel="1">
      <c r="A334" s="211"/>
      <c r="B334" s="212"/>
      <c r="C334" s="213"/>
      <c r="D334" s="214" t="str">
        <f>IFERROR(VLOOKUP($C334,'PORTIFÓLIO'!C:V,2,0),"")</f>
        <v/>
      </c>
      <c r="E334" s="211" t="str">
        <f>IFERROR(VLOOKUP($C334,'PORTIFÓLIO'!C:V,3,0),"")</f>
        <v/>
      </c>
      <c r="F334" s="211" t="str">
        <f>IFERROR(VLOOKUP($C334,'PORTIFÓLIO'!C:V,4,0),"")</f>
        <v/>
      </c>
      <c r="G334" s="215" t="str">
        <f>IFERROR(VLOOKUP($C334,'PORTIFÓLIO'!C:V,5,0),"")</f>
        <v/>
      </c>
      <c r="H334" s="254" t="str">
        <f t="array" ref="H334">IFERROR(INDEX('PORTIFÓLIO'!$H$4:$H$433,MATCH($C334,'PORTIFÓLIO'!$C$4:$C$433,0)),"")</f>
        <v/>
      </c>
      <c r="I334" s="256"/>
      <c r="J334" s="218">
        <f t="shared" si="37"/>
        <v>0</v>
      </c>
      <c r="K334" s="292" t="str">
        <f t="array" ref="K334">IFERROR(I334*INDEX('PORTIFÓLIO'!$S$4:$S$433,MATCH($C334,'PORTIFÓLIO'!$C$4:$C$433,0)),"")</f>
        <v/>
      </c>
      <c r="L334" s="292" t="str">
        <f t="array" ref="L334">IFERROR(J334*INDEX('PORTIFÓLIO'!$S$4:$S$433,MATCH($C334,'PORTIFÓLIO'!$C$4:$C$433,0)),"")</f>
        <v/>
      </c>
      <c r="M334" s="220"/>
      <c r="N334" s="220"/>
      <c r="O334" s="220"/>
      <c r="P334" s="220"/>
      <c r="Q334" s="220"/>
      <c r="R334" s="220"/>
      <c r="S334" s="220"/>
      <c r="T334" s="220"/>
      <c r="U334" s="220"/>
      <c r="V334" s="220"/>
      <c r="W334" s="220"/>
    </row>
    <row r="335" ht="15.75" customHeight="1" outlineLevel="1">
      <c r="A335" s="211"/>
      <c r="B335" s="212"/>
      <c r="C335" s="213"/>
      <c r="D335" s="214" t="str">
        <f>IFERROR(VLOOKUP($C335,'PORTIFÓLIO'!C:V,2,0),"")</f>
        <v/>
      </c>
      <c r="E335" s="211" t="str">
        <f>IFERROR(VLOOKUP($C335,'PORTIFÓLIO'!C:V,3,0),"")</f>
        <v/>
      </c>
      <c r="F335" s="211" t="str">
        <f>IFERROR(VLOOKUP($C335,'PORTIFÓLIO'!C:V,4,0),"")</f>
        <v/>
      </c>
      <c r="G335" s="215" t="str">
        <f>IFERROR(VLOOKUP($C335,'PORTIFÓLIO'!C:V,5,0),"")</f>
        <v/>
      </c>
      <c r="H335" s="254" t="str">
        <f t="array" ref="H335">IFERROR(INDEX('PORTIFÓLIO'!$H$4:$H$433,MATCH($C335,'PORTIFÓLIO'!$C$4:$C$433,0)),"")</f>
        <v/>
      </c>
      <c r="I335" s="256"/>
      <c r="J335" s="218">
        <f t="shared" si="37"/>
        <v>0</v>
      </c>
      <c r="K335" s="292" t="str">
        <f t="array" ref="K335">IFERROR(I335*INDEX('PORTIFÓLIO'!$S$4:$S$433,MATCH($C335,'PORTIFÓLIO'!$C$4:$C$433,0)),"")</f>
        <v/>
      </c>
      <c r="L335" s="292" t="str">
        <f t="array" ref="L335">IFERROR(J335*INDEX('PORTIFÓLIO'!$S$4:$S$433,MATCH($C335,'PORTIFÓLIO'!$C$4:$C$433,0)),"")</f>
        <v/>
      </c>
      <c r="M335" s="220"/>
      <c r="N335" s="220"/>
      <c r="O335" s="220"/>
      <c r="P335" s="220"/>
      <c r="Q335" s="220"/>
      <c r="R335" s="220"/>
      <c r="S335" s="220"/>
      <c r="T335" s="220"/>
      <c r="U335" s="220"/>
      <c r="V335" s="220"/>
      <c r="W335" s="220"/>
    </row>
    <row r="336" ht="15.75" customHeight="1" outlineLevel="1">
      <c r="A336" s="211"/>
      <c r="B336" s="212"/>
      <c r="C336" s="213"/>
      <c r="D336" s="214" t="str">
        <f>IFERROR(VLOOKUP($C336,'PORTIFÓLIO'!C:V,2,0),"")</f>
        <v/>
      </c>
      <c r="E336" s="211" t="str">
        <f>IFERROR(VLOOKUP($C336,'PORTIFÓLIO'!C:V,3,0),"")</f>
        <v/>
      </c>
      <c r="F336" s="211" t="str">
        <f>IFERROR(VLOOKUP($C336,'PORTIFÓLIO'!C:V,4,0),"")</f>
        <v/>
      </c>
      <c r="G336" s="215" t="str">
        <f>IFERROR(VLOOKUP($C336,'PORTIFÓLIO'!C:V,5,0),"")</f>
        <v/>
      </c>
      <c r="H336" s="254" t="str">
        <f t="array" ref="H336">IFERROR(INDEX('PORTIFÓLIO'!$H$4:$H$433,MATCH($C336,'PORTIFÓLIO'!$C$4:$C$433,0)),"")</f>
        <v/>
      </c>
      <c r="I336" s="256"/>
      <c r="J336" s="218">
        <f t="shared" si="37"/>
        <v>0</v>
      </c>
      <c r="K336" s="292" t="str">
        <f t="array" ref="K336">IFERROR(I336*INDEX('PORTIFÓLIO'!$S$4:$S$433,MATCH($C336,'PORTIFÓLIO'!$C$4:$C$433,0)),"")</f>
        <v/>
      </c>
      <c r="L336" s="292" t="str">
        <f t="array" ref="L336">IFERROR(J336*INDEX('PORTIFÓLIO'!$S$4:$S$433,MATCH($C336,'PORTIFÓLIO'!$C$4:$C$433,0)),"")</f>
        <v/>
      </c>
      <c r="M336" s="220"/>
      <c r="N336" s="220"/>
      <c r="O336" s="220"/>
      <c r="P336" s="220"/>
      <c r="Q336" s="220"/>
      <c r="R336" s="220"/>
      <c r="S336" s="220"/>
      <c r="T336" s="220"/>
      <c r="U336" s="220"/>
      <c r="V336" s="220"/>
      <c r="W336" s="220"/>
    </row>
    <row r="337" ht="15.75" customHeight="1" outlineLevel="1">
      <c r="A337" s="211"/>
      <c r="B337" s="212"/>
      <c r="C337" s="213"/>
      <c r="D337" s="214" t="str">
        <f>IFERROR(VLOOKUP($C337,'PORTIFÓLIO'!C:V,2,0),"")</f>
        <v/>
      </c>
      <c r="E337" s="211" t="str">
        <f>IFERROR(VLOOKUP($C337,'PORTIFÓLIO'!C:V,3,0),"")</f>
        <v/>
      </c>
      <c r="F337" s="211" t="str">
        <f>IFERROR(VLOOKUP($C337,'PORTIFÓLIO'!C:V,4,0),"")</f>
        <v/>
      </c>
      <c r="G337" s="215" t="str">
        <f>IFERROR(VLOOKUP($C337,'PORTIFÓLIO'!C:V,5,0),"")</f>
        <v/>
      </c>
      <c r="H337" s="254" t="str">
        <f t="array" ref="H337">IFERROR(INDEX('PORTIFÓLIO'!$H$4:$H$433,MATCH($C337,'PORTIFÓLIO'!$C$4:$C$433,0)),"")</f>
        <v/>
      </c>
      <c r="I337" s="256"/>
      <c r="J337" s="218">
        <f t="shared" si="37"/>
        <v>0</v>
      </c>
      <c r="K337" s="292" t="str">
        <f t="array" ref="K337">IFERROR(I337*INDEX('PORTIFÓLIO'!$S$4:$S$433,MATCH($C337,'PORTIFÓLIO'!$C$4:$C$433,0)),"")</f>
        <v/>
      </c>
      <c r="L337" s="292" t="str">
        <f t="array" ref="L337">IFERROR(J337*INDEX('PORTIFÓLIO'!$S$4:$S$433,MATCH($C337,'PORTIFÓLIO'!$C$4:$C$433,0)),"")</f>
        <v/>
      </c>
      <c r="M337" s="220"/>
      <c r="N337" s="220"/>
      <c r="O337" s="220"/>
      <c r="P337" s="220"/>
      <c r="Q337" s="220"/>
      <c r="R337" s="220"/>
      <c r="S337" s="220"/>
      <c r="T337" s="220"/>
      <c r="U337" s="220"/>
      <c r="V337" s="220"/>
      <c r="W337" s="220"/>
    </row>
    <row r="338" ht="15.75" customHeight="1" outlineLevel="1">
      <c r="A338" s="211"/>
      <c r="B338" s="212"/>
      <c r="C338" s="213"/>
      <c r="D338" s="214" t="str">
        <f>IFERROR(VLOOKUP($C338,'PORTIFÓLIO'!C:V,2,0),"")</f>
        <v/>
      </c>
      <c r="E338" s="211" t="str">
        <f>IFERROR(VLOOKUP($C338,'PORTIFÓLIO'!C:V,3,0),"")</f>
        <v/>
      </c>
      <c r="F338" s="211" t="str">
        <f>IFERROR(VLOOKUP($C338,'PORTIFÓLIO'!C:V,4,0),"")</f>
        <v/>
      </c>
      <c r="G338" s="215" t="str">
        <f>IFERROR(VLOOKUP($C338,'PORTIFÓLIO'!C:V,5,0),"")</f>
        <v/>
      </c>
      <c r="H338" s="254" t="str">
        <f t="array" ref="H338">IFERROR(INDEX('PORTIFÓLIO'!$H$4:$H$433,MATCH($C338,'PORTIFÓLIO'!$C$4:$C$433,0)),"")</f>
        <v/>
      </c>
      <c r="I338" s="256"/>
      <c r="J338" s="218">
        <f t="shared" si="37"/>
        <v>0</v>
      </c>
      <c r="K338" s="292" t="str">
        <f t="array" ref="K338">IFERROR(I338*INDEX('PORTIFÓLIO'!$S$4:$S$433,MATCH($C338,'PORTIFÓLIO'!$C$4:$C$433,0)),"")</f>
        <v/>
      </c>
      <c r="L338" s="292" t="str">
        <f t="array" ref="L338">IFERROR(J338*INDEX('PORTIFÓLIO'!$S$4:$S$433,MATCH($C338,'PORTIFÓLIO'!$C$4:$C$433,0)),"")</f>
        <v/>
      </c>
      <c r="M338" s="220"/>
      <c r="N338" s="220"/>
      <c r="O338" s="220"/>
      <c r="P338" s="220"/>
      <c r="Q338" s="220"/>
      <c r="R338" s="220"/>
      <c r="S338" s="220"/>
      <c r="T338" s="220"/>
      <c r="U338" s="220"/>
      <c r="V338" s="220"/>
      <c r="W338" s="220"/>
    </row>
    <row r="339" ht="15.75" customHeight="1" outlineLevel="1">
      <c r="A339" s="211"/>
      <c r="B339" s="212"/>
      <c r="C339" s="213"/>
      <c r="D339" s="214" t="str">
        <f>IFERROR(VLOOKUP($C339,'PORTIFÓLIO'!C:V,2,0),"")</f>
        <v/>
      </c>
      <c r="E339" s="211" t="str">
        <f>IFERROR(VLOOKUP($C339,'PORTIFÓLIO'!C:V,3,0),"")</f>
        <v/>
      </c>
      <c r="F339" s="211" t="str">
        <f>IFERROR(VLOOKUP($C339,'PORTIFÓLIO'!C:V,4,0),"")</f>
        <v/>
      </c>
      <c r="G339" s="215" t="str">
        <f>IFERROR(VLOOKUP($C339,'PORTIFÓLIO'!C:V,5,0),"")</f>
        <v/>
      </c>
      <c r="H339" s="254" t="str">
        <f t="array" ref="H339">IFERROR(INDEX('PORTIFÓLIO'!$H$4:$H$433,MATCH($C339,'PORTIFÓLIO'!$C$4:$C$433,0)),"")</f>
        <v/>
      </c>
      <c r="I339" s="256"/>
      <c r="J339" s="218">
        <f t="shared" si="37"/>
        <v>0</v>
      </c>
      <c r="K339" s="292" t="str">
        <f t="array" ref="K339">IFERROR(I339*INDEX('PORTIFÓLIO'!$S$4:$S$433,MATCH($C339,'PORTIFÓLIO'!$C$4:$C$433,0)),"")</f>
        <v/>
      </c>
      <c r="L339" s="292" t="str">
        <f t="array" ref="L339">IFERROR(J339*INDEX('PORTIFÓLIO'!$S$4:$S$433,MATCH($C339,'PORTIFÓLIO'!$C$4:$C$433,0)),"")</f>
        <v/>
      </c>
      <c r="M339" s="220"/>
      <c r="N339" s="220"/>
      <c r="O339" s="220"/>
      <c r="P339" s="220"/>
      <c r="Q339" s="220"/>
      <c r="R339" s="220"/>
      <c r="S339" s="220"/>
      <c r="T339" s="220"/>
      <c r="U339" s="220"/>
      <c r="V339" s="220"/>
      <c r="W339" s="220"/>
    </row>
    <row r="340" ht="15.75" customHeight="1" outlineLevel="1">
      <c r="A340" s="211"/>
      <c r="B340" s="227"/>
      <c r="C340" s="211"/>
      <c r="D340" s="214" t="str">
        <f>IFERROR(VLOOKUP($C340,'PORTIFÓLIO'!C:V,2,0),"")</f>
        <v/>
      </c>
      <c r="E340" s="211" t="str">
        <f>IFERROR(VLOOKUP($C340,'PORTIFÓLIO'!C:V,3,0),"")</f>
        <v/>
      </c>
      <c r="F340" s="211" t="str">
        <f>IFERROR(VLOOKUP($C340,'PORTIFÓLIO'!C:V,4,0),"")</f>
        <v/>
      </c>
      <c r="G340" s="215" t="str">
        <f>IFERROR(VLOOKUP($C340,'PORTIFÓLIO'!C:V,5,0),"")</f>
        <v/>
      </c>
      <c r="H340" s="254" t="str">
        <f t="array" ref="H340">IFERROR(INDEX('PORTIFÓLIO'!$H$4:$H$433,MATCH($C340,'PORTIFÓLIO'!$C$4:$C$433,0)),"")</f>
        <v/>
      </c>
      <c r="I340" s="256"/>
      <c r="J340" s="218"/>
      <c r="K340" s="292" t="str">
        <f t="array" ref="K340">IFERROR(I340*INDEX('PORTIFÓLIO'!$S$4:$S$433,MATCH($C340,'PORTIFÓLIO'!$C$4:$C$433,0)),"")</f>
        <v/>
      </c>
      <c r="L340" s="292" t="str">
        <f t="array" ref="L340">IFERROR(J340*INDEX('PORTIFÓLIO'!$S$4:$S$433,MATCH($C340,'PORTIFÓLIO'!$C$4:$C$433,0)),"")</f>
        <v/>
      </c>
      <c r="M340" s="220"/>
      <c r="N340" s="220"/>
      <c r="O340" s="220"/>
      <c r="P340" s="220"/>
      <c r="Q340" s="220"/>
      <c r="R340" s="220"/>
      <c r="S340" s="220"/>
      <c r="T340" s="220"/>
      <c r="U340" s="220"/>
      <c r="V340" s="220"/>
      <c r="W340" s="220"/>
    </row>
    <row r="341" ht="15.75" customHeight="1">
      <c r="A341" s="229" t="s">
        <v>1190</v>
      </c>
      <c r="B341" s="230"/>
      <c r="C341" s="231"/>
      <c r="D341" s="232"/>
      <c r="E341" s="231"/>
      <c r="F341" s="231"/>
      <c r="G341" s="233"/>
      <c r="H341" s="233"/>
      <c r="I341" s="258"/>
      <c r="J341" s="236"/>
      <c r="K341" s="237">
        <f t="shared" ref="K341:L341" si="38">SUBTOTAL(9,K342:K355)</f>
        <v>0</v>
      </c>
      <c r="L341" s="237">
        <f t="shared" si="38"/>
        <v>0</v>
      </c>
      <c r="M341" s="220"/>
      <c r="N341" s="220"/>
      <c r="O341" s="220"/>
      <c r="P341" s="220"/>
      <c r="Q341" s="220"/>
      <c r="R341" s="220"/>
      <c r="S341" s="220"/>
      <c r="T341" s="220"/>
      <c r="U341" s="220"/>
      <c r="V341" s="220"/>
      <c r="W341" s="220"/>
    </row>
    <row r="342" ht="15.75" customHeight="1" outlineLevel="1">
      <c r="A342" s="213"/>
      <c r="B342" s="212"/>
      <c r="C342" s="213"/>
      <c r="D342" s="214" t="str">
        <f>IFERROR(VLOOKUP($C342,'PORTIFÓLIO'!C:V,2,0),"")</f>
        <v/>
      </c>
      <c r="E342" s="211" t="str">
        <f>IFERROR(VLOOKUP($C342,'PORTIFÓLIO'!C:V,3,0),"")</f>
        <v/>
      </c>
      <c r="F342" s="211" t="str">
        <f>IFERROR(VLOOKUP($C342,'PORTIFÓLIO'!C:V,4,0),"")</f>
        <v/>
      </c>
      <c r="G342" s="215" t="str">
        <f>IFERROR(VLOOKUP($C342,'PORTIFÓLIO'!C:V,5,0),"")</f>
        <v/>
      </c>
      <c r="H342" s="254" t="str">
        <f t="array" ref="H342">IFERROR(INDEX('PORTIFÓLIO'!$H$4:$H$433,MATCH($C342,'PORTIFÓLIO'!$C$4:$C$433,0)),"")</f>
        <v/>
      </c>
      <c r="I342" s="255"/>
      <c r="J342" s="218">
        <f t="shared" ref="J342:J356" si="39">I342*$B$2</f>
        <v>0</v>
      </c>
      <c r="K342" s="292" t="str">
        <f t="array" ref="K342">IFERROR(I342*INDEX('PORTIFÓLIO'!$S$4:$S$433,MATCH($C342,'PORTIFÓLIO'!$C$4:$C$433,0)),"")</f>
        <v/>
      </c>
      <c r="L342" s="292" t="str">
        <f t="array" ref="L342">IFERROR(J342*INDEX('PORTIFÓLIO'!$S$4:$S$433,MATCH($C342,'PORTIFÓLIO'!$C$4:$C$433,0)),"")</f>
        <v/>
      </c>
      <c r="M342" s="220"/>
      <c r="N342" s="220"/>
      <c r="O342" s="220"/>
      <c r="P342" s="220"/>
      <c r="Q342" s="220"/>
      <c r="R342" s="220"/>
      <c r="S342" s="220"/>
      <c r="T342" s="220"/>
      <c r="U342" s="220"/>
      <c r="V342" s="220"/>
      <c r="W342" s="220"/>
    </row>
    <row r="343" ht="15.75" customHeight="1" outlineLevel="1">
      <c r="A343" s="211"/>
      <c r="B343" s="212"/>
      <c r="C343" s="213"/>
      <c r="D343" s="214" t="str">
        <f>IFERROR(VLOOKUP($C343,'PORTIFÓLIO'!C:V,2,0),"")</f>
        <v/>
      </c>
      <c r="E343" s="211" t="str">
        <f>IFERROR(VLOOKUP($C343,'PORTIFÓLIO'!C:V,3,0),"")</f>
        <v/>
      </c>
      <c r="F343" s="211" t="str">
        <f>IFERROR(VLOOKUP($C343,'PORTIFÓLIO'!C:V,4,0),"")</f>
        <v/>
      </c>
      <c r="G343" s="215" t="str">
        <f>IFERROR(VLOOKUP($C343,'PORTIFÓLIO'!C:V,5,0),"")</f>
        <v/>
      </c>
      <c r="H343" s="254" t="str">
        <f t="array" ref="H343">IFERROR(INDEX('PORTIFÓLIO'!$H$4:$H$433,MATCH($C343,'PORTIFÓLIO'!$C$4:$C$433,0)),"")</f>
        <v/>
      </c>
      <c r="I343" s="256"/>
      <c r="J343" s="218">
        <f t="shared" si="39"/>
        <v>0</v>
      </c>
      <c r="K343" s="292" t="str">
        <f t="array" ref="K343">IFERROR(I343*INDEX('PORTIFÓLIO'!$S$4:$S$433,MATCH($C343,'PORTIFÓLIO'!$C$4:$C$433,0)),"")</f>
        <v/>
      </c>
      <c r="L343" s="292" t="str">
        <f t="array" ref="L343">IFERROR(J343*INDEX('PORTIFÓLIO'!$S$4:$S$433,MATCH($C343,'PORTIFÓLIO'!$C$4:$C$433,0)),"")</f>
        <v/>
      </c>
      <c r="M343" s="220"/>
      <c r="N343" s="220"/>
      <c r="O343" s="220"/>
      <c r="P343" s="220"/>
      <c r="Q343" s="220"/>
      <c r="R343" s="220"/>
      <c r="S343" s="220"/>
      <c r="T343" s="220"/>
      <c r="U343" s="220"/>
      <c r="V343" s="220"/>
      <c r="W343" s="220"/>
    </row>
    <row r="344" ht="15.75" customHeight="1" outlineLevel="1">
      <c r="A344" s="211"/>
      <c r="B344" s="212"/>
      <c r="C344" s="213"/>
      <c r="D344" s="214" t="str">
        <f>IFERROR(VLOOKUP($C344,'PORTIFÓLIO'!C:V,2,0),"")</f>
        <v/>
      </c>
      <c r="E344" s="211" t="str">
        <f>IFERROR(VLOOKUP($C344,'PORTIFÓLIO'!C:V,3,0),"")</f>
        <v/>
      </c>
      <c r="F344" s="211" t="str">
        <f>IFERROR(VLOOKUP($C344,'PORTIFÓLIO'!C:V,4,0),"")</f>
        <v/>
      </c>
      <c r="G344" s="215" t="str">
        <f>IFERROR(VLOOKUP($C344,'PORTIFÓLIO'!C:V,5,0),"")</f>
        <v/>
      </c>
      <c r="H344" s="254" t="str">
        <f t="array" ref="H344">IFERROR(INDEX('PORTIFÓLIO'!$H$4:$H$433,MATCH($C344,'PORTIFÓLIO'!$C$4:$C$433,0)),"")</f>
        <v/>
      </c>
      <c r="I344" s="256"/>
      <c r="J344" s="218">
        <f t="shared" si="39"/>
        <v>0</v>
      </c>
      <c r="K344" s="292" t="str">
        <f t="array" ref="K344">IFERROR(I344*INDEX('PORTIFÓLIO'!$S$4:$S$433,MATCH($C344,'PORTIFÓLIO'!$C$4:$C$433,0)),"")</f>
        <v/>
      </c>
      <c r="L344" s="292" t="str">
        <f t="array" ref="L344">IFERROR(J344*INDEX('PORTIFÓLIO'!$S$4:$S$433,MATCH($C344,'PORTIFÓLIO'!$C$4:$C$433,0)),"")</f>
        <v/>
      </c>
      <c r="M344" s="220"/>
      <c r="N344" s="220"/>
      <c r="O344" s="220"/>
      <c r="P344" s="220"/>
      <c r="Q344" s="220"/>
      <c r="R344" s="220"/>
      <c r="S344" s="220"/>
      <c r="T344" s="220"/>
      <c r="U344" s="220"/>
      <c r="V344" s="220"/>
      <c r="W344" s="220"/>
    </row>
    <row r="345" ht="15.75" customHeight="1" outlineLevel="1">
      <c r="A345" s="211"/>
      <c r="B345" s="212"/>
      <c r="C345" s="213"/>
      <c r="D345" s="214" t="str">
        <f>IFERROR(VLOOKUP($C345,'PORTIFÓLIO'!C:V,2,0),"")</f>
        <v/>
      </c>
      <c r="E345" s="211" t="str">
        <f>IFERROR(VLOOKUP($C345,'PORTIFÓLIO'!C:V,3,0),"")</f>
        <v/>
      </c>
      <c r="F345" s="211" t="str">
        <f>IFERROR(VLOOKUP($C345,'PORTIFÓLIO'!C:V,4,0),"")</f>
        <v/>
      </c>
      <c r="G345" s="215" t="str">
        <f>IFERROR(VLOOKUP($C345,'PORTIFÓLIO'!C:V,5,0),"")</f>
        <v/>
      </c>
      <c r="H345" s="254" t="str">
        <f t="array" ref="H345">IFERROR(INDEX('PORTIFÓLIO'!$H$4:$H$433,MATCH($C345,'PORTIFÓLIO'!$C$4:$C$433,0)),"")</f>
        <v/>
      </c>
      <c r="I345" s="256"/>
      <c r="J345" s="218">
        <f t="shared" si="39"/>
        <v>0</v>
      </c>
      <c r="K345" s="292" t="str">
        <f t="array" ref="K345">IFERROR(I345*INDEX('PORTIFÓLIO'!$S$4:$S$433,MATCH($C345,'PORTIFÓLIO'!$C$4:$C$433,0)),"")</f>
        <v/>
      </c>
      <c r="L345" s="292" t="str">
        <f t="array" ref="L345">IFERROR(J345*INDEX('PORTIFÓLIO'!$S$4:$S$433,MATCH($C345,'PORTIFÓLIO'!$C$4:$C$433,0)),"")</f>
        <v/>
      </c>
      <c r="M345" s="220"/>
      <c r="N345" s="220"/>
      <c r="O345" s="220"/>
      <c r="P345" s="220"/>
      <c r="Q345" s="220"/>
      <c r="R345" s="220"/>
      <c r="S345" s="220"/>
      <c r="T345" s="220"/>
      <c r="U345" s="220"/>
      <c r="V345" s="220"/>
      <c r="W345" s="220"/>
    </row>
    <row r="346" ht="15.75" customHeight="1" outlineLevel="1">
      <c r="A346" s="211"/>
      <c r="B346" s="212"/>
      <c r="C346" s="213"/>
      <c r="D346" s="214" t="str">
        <f>IFERROR(VLOOKUP($C346,'PORTIFÓLIO'!C:V,2,0),"")</f>
        <v/>
      </c>
      <c r="E346" s="211" t="str">
        <f>IFERROR(VLOOKUP($C346,'PORTIFÓLIO'!C:V,3,0),"")</f>
        <v/>
      </c>
      <c r="F346" s="211" t="str">
        <f>IFERROR(VLOOKUP($C346,'PORTIFÓLIO'!C:V,4,0),"")</f>
        <v/>
      </c>
      <c r="G346" s="215" t="str">
        <f>IFERROR(VLOOKUP($C346,'PORTIFÓLIO'!C:V,5,0),"")</f>
        <v/>
      </c>
      <c r="H346" s="254" t="str">
        <f t="array" ref="H346">IFERROR(INDEX('PORTIFÓLIO'!$H$4:$H$433,MATCH($C346,'PORTIFÓLIO'!$C$4:$C$433,0)),"")</f>
        <v/>
      </c>
      <c r="I346" s="256"/>
      <c r="J346" s="218">
        <f t="shared" si="39"/>
        <v>0</v>
      </c>
      <c r="K346" s="292" t="str">
        <f t="array" ref="K346">IFERROR(I346*INDEX('PORTIFÓLIO'!$S$4:$S$433,MATCH($C346,'PORTIFÓLIO'!$C$4:$C$433,0)),"")</f>
        <v/>
      </c>
      <c r="L346" s="292" t="str">
        <f t="array" ref="L346">IFERROR(J346*INDEX('PORTIFÓLIO'!$S$4:$S$433,MATCH($C346,'PORTIFÓLIO'!$C$4:$C$433,0)),"")</f>
        <v/>
      </c>
      <c r="M346" s="220"/>
      <c r="N346" s="220"/>
      <c r="O346" s="220"/>
      <c r="P346" s="220"/>
      <c r="Q346" s="220"/>
      <c r="R346" s="220"/>
      <c r="S346" s="220"/>
      <c r="T346" s="220"/>
      <c r="U346" s="220"/>
      <c r="V346" s="220"/>
      <c r="W346" s="220"/>
    </row>
    <row r="347" ht="15.75" customHeight="1" outlineLevel="1">
      <c r="A347" s="211"/>
      <c r="B347" s="212"/>
      <c r="C347" s="213"/>
      <c r="D347" s="214" t="str">
        <f>IFERROR(VLOOKUP($C347,'PORTIFÓLIO'!C:V,2,0),"")</f>
        <v/>
      </c>
      <c r="E347" s="211" t="str">
        <f>IFERROR(VLOOKUP($C347,'PORTIFÓLIO'!C:V,3,0),"")</f>
        <v/>
      </c>
      <c r="F347" s="211" t="str">
        <f>IFERROR(VLOOKUP($C347,'PORTIFÓLIO'!C:V,4,0),"")</f>
        <v/>
      </c>
      <c r="G347" s="215" t="str">
        <f>IFERROR(VLOOKUP($C347,'PORTIFÓLIO'!C:V,5,0),"")</f>
        <v/>
      </c>
      <c r="H347" s="254" t="str">
        <f t="array" ref="H347">IFERROR(INDEX('PORTIFÓLIO'!$H$4:$H$433,MATCH($C347,'PORTIFÓLIO'!$C$4:$C$433,0)),"")</f>
        <v/>
      </c>
      <c r="I347" s="256"/>
      <c r="J347" s="218">
        <f t="shared" si="39"/>
        <v>0</v>
      </c>
      <c r="K347" s="292" t="str">
        <f t="array" ref="K347">IFERROR(I347*INDEX('PORTIFÓLIO'!$S$4:$S$433,MATCH($C347,'PORTIFÓLIO'!$C$4:$C$433,0)),"")</f>
        <v/>
      </c>
      <c r="L347" s="292" t="str">
        <f t="array" ref="L347">IFERROR(J347*INDEX('PORTIFÓLIO'!$S$4:$S$433,MATCH($C347,'PORTIFÓLIO'!$C$4:$C$433,0)),"")</f>
        <v/>
      </c>
      <c r="M347" s="220"/>
      <c r="N347" s="220"/>
      <c r="O347" s="220"/>
      <c r="P347" s="220"/>
      <c r="Q347" s="220"/>
      <c r="R347" s="220"/>
      <c r="S347" s="220"/>
      <c r="T347" s="220"/>
      <c r="U347" s="220"/>
      <c r="V347" s="220"/>
      <c r="W347" s="220"/>
    </row>
    <row r="348" ht="15.75" customHeight="1" outlineLevel="1">
      <c r="A348" s="211"/>
      <c r="B348" s="212"/>
      <c r="C348" s="213"/>
      <c r="D348" s="214" t="str">
        <f>IFERROR(VLOOKUP($C348,'PORTIFÓLIO'!C:V,2,0),"")</f>
        <v/>
      </c>
      <c r="E348" s="211" t="str">
        <f>IFERROR(VLOOKUP($C348,'PORTIFÓLIO'!C:V,3,0),"")</f>
        <v/>
      </c>
      <c r="F348" s="211" t="str">
        <f>IFERROR(VLOOKUP($C348,'PORTIFÓLIO'!C:V,4,0),"")</f>
        <v/>
      </c>
      <c r="G348" s="215" t="str">
        <f>IFERROR(VLOOKUP($C348,'PORTIFÓLIO'!C:V,5,0),"")</f>
        <v/>
      </c>
      <c r="H348" s="254" t="str">
        <f t="array" ref="H348">IFERROR(INDEX('PORTIFÓLIO'!$H$4:$H$433,MATCH($C348,'PORTIFÓLIO'!$C$4:$C$433,0)),"")</f>
        <v/>
      </c>
      <c r="I348" s="256"/>
      <c r="J348" s="218">
        <f t="shared" si="39"/>
        <v>0</v>
      </c>
      <c r="K348" s="292" t="str">
        <f t="array" ref="K348">IFERROR(I348*INDEX('PORTIFÓLIO'!$S$4:$S$433,MATCH($C348,'PORTIFÓLIO'!$C$4:$C$433,0)),"")</f>
        <v/>
      </c>
      <c r="L348" s="292" t="str">
        <f t="array" ref="L348">IFERROR(J348*INDEX('PORTIFÓLIO'!$S$4:$S$433,MATCH($C348,'PORTIFÓLIO'!$C$4:$C$433,0)),"")</f>
        <v/>
      </c>
      <c r="M348" s="220"/>
      <c r="N348" s="220"/>
      <c r="O348" s="220"/>
      <c r="P348" s="220"/>
      <c r="Q348" s="220"/>
      <c r="R348" s="220"/>
      <c r="S348" s="220"/>
      <c r="T348" s="220"/>
      <c r="U348" s="220"/>
      <c r="V348" s="220"/>
      <c r="W348" s="220"/>
    </row>
    <row r="349" ht="15.75" customHeight="1" outlineLevel="1">
      <c r="A349" s="211"/>
      <c r="B349" s="212"/>
      <c r="C349" s="213"/>
      <c r="D349" s="214" t="str">
        <f>IFERROR(VLOOKUP($C349,'PORTIFÓLIO'!C:V,2,0),"")</f>
        <v/>
      </c>
      <c r="E349" s="211" t="str">
        <f>IFERROR(VLOOKUP($C349,'PORTIFÓLIO'!C:V,3,0),"")</f>
        <v/>
      </c>
      <c r="F349" s="211" t="str">
        <f>IFERROR(VLOOKUP($C349,'PORTIFÓLIO'!C:V,4,0),"")</f>
        <v/>
      </c>
      <c r="G349" s="215" t="str">
        <f>IFERROR(VLOOKUP($C349,'PORTIFÓLIO'!C:V,5,0),"")</f>
        <v/>
      </c>
      <c r="H349" s="254" t="str">
        <f t="array" ref="H349">IFERROR(INDEX('PORTIFÓLIO'!$H$4:$H$433,MATCH($C349,'PORTIFÓLIO'!$C$4:$C$433,0)),"")</f>
        <v/>
      </c>
      <c r="I349" s="256"/>
      <c r="J349" s="218">
        <f t="shared" si="39"/>
        <v>0</v>
      </c>
      <c r="K349" s="292" t="str">
        <f t="array" ref="K349">IFERROR(I349*INDEX('PORTIFÓLIO'!$S$4:$S$433,MATCH($C349,'PORTIFÓLIO'!$C$4:$C$433,0)),"")</f>
        <v/>
      </c>
      <c r="L349" s="292" t="str">
        <f t="array" ref="L349">IFERROR(J349*INDEX('PORTIFÓLIO'!$S$4:$S$433,MATCH($C349,'PORTIFÓLIO'!$C$4:$C$433,0)),"")</f>
        <v/>
      </c>
      <c r="M349" s="220"/>
      <c r="N349" s="220"/>
      <c r="O349" s="220"/>
      <c r="P349" s="220"/>
      <c r="Q349" s="220"/>
      <c r="R349" s="220"/>
      <c r="S349" s="220"/>
      <c r="T349" s="220"/>
      <c r="U349" s="220"/>
      <c r="V349" s="220"/>
      <c r="W349" s="220"/>
    </row>
    <row r="350" ht="15.75" customHeight="1" outlineLevel="1">
      <c r="A350" s="211"/>
      <c r="B350" s="212"/>
      <c r="C350" s="213"/>
      <c r="D350" s="214" t="str">
        <f>IFERROR(VLOOKUP($C350,'PORTIFÓLIO'!C:V,2,0),"")</f>
        <v/>
      </c>
      <c r="E350" s="211" t="str">
        <f>IFERROR(VLOOKUP($C350,'PORTIFÓLIO'!C:V,3,0),"")</f>
        <v/>
      </c>
      <c r="F350" s="211" t="str">
        <f>IFERROR(VLOOKUP($C350,'PORTIFÓLIO'!C:V,4,0),"")</f>
        <v/>
      </c>
      <c r="G350" s="215" t="str">
        <f>IFERROR(VLOOKUP($C350,'PORTIFÓLIO'!C:V,5,0),"")</f>
        <v/>
      </c>
      <c r="H350" s="254" t="str">
        <f t="array" ref="H350">IFERROR(INDEX('PORTIFÓLIO'!$H$4:$H$433,MATCH($C350,'PORTIFÓLIO'!$C$4:$C$433,0)),"")</f>
        <v/>
      </c>
      <c r="I350" s="255"/>
      <c r="J350" s="218">
        <f t="shared" si="39"/>
        <v>0</v>
      </c>
      <c r="K350" s="292" t="str">
        <f t="array" ref="K350">IFERROR(I350*INDEX('PORTIFÓLIO'!$S$4:$S$433,MATCH($C350,'PORTIFÓLIO'!$C$4:$C$433,0)),"")</f>
        <v/>
      </c>
      <c r="L350" s="292" t="str">
        <f t="array" ref="L350">IFERROR(J350*INDEX('PORTIFÓLIO'!$S$4:$S$433,MATCH($C350,'PORTIFÓLIO'!$C$4:$C$433,0)),"")</f>
        <v/>
      </c>
      <c r="M350" s="220"/>
      <c r="N350" s="220"/>
      <c r="O350" s="220"/>
      <c r="P350" s="220"/>
      <c r="Q350" s="220"/>
      <c r="R350" s="220"/>
      <c r="S350" s="220"/>
      <c r="T350" s="220"/>
      <c r="U350" s="220"/>
      <c r="V350" s="220"/>
      <c r="W350" s="220"/>
    </row>
    <row r="351" ht="15.75" customHeight="1" outlineLevel="1">
      <c r="A351" s="211"/>
      <c r="B351" s="212"/>
      <c r="C351" s="213"/>
      <c r="D351" s="214" t="str">
        <f>IFERROR(VLOOKUP($C351,'PORTIFÓLIO'!C:V,2,0),"")</f>
        <v/>
      </c>
      <c r="E351" s="211" t="str">
        <f>IFERROR(VLOOKUP($C351,'PORTIFÓLIO'!C:V,3,0),"")</f>
        <v/>
      </c>
      <c r="F351" s="211" t="str">
        <f>IFERROR(VLOOKUP($C351,'PORTIFÓLIO'!C:V,4,0),"")</f>
        <v/>
      </c>
      <c r="G351" s="215" t="str">
        <f>IFERROR(VLOOKUP($C351,'PORTIFÓLIO'!C:V,5,0),"")</f>
        <v/>
      </c>
      <c r="H351" s="254" t="str">
        <f t="array" ref="H351">IFERROR(INDEX('PORTIFÓLIO'!$H$4:$H$433,MATCH($C351,'PORTIFÓLIO'!$C$4:$C$433,0)),"")</f>
        <v/>
      </c>
      <c r="I351" s="256"/>
      <c r="J351" s="218">
        <f t="shared" si="39"/>
        <v>0</v>
      </c>
      <c r="K351" s="292" t="str">
        <f t="array" ref="K351">IFERROR(I351*INDEX('PORTIFÓLIO'!$S$4:$S$433,MATCH($C351,'PORTIFÓLIO'!$C$4:$C$433,0)),"")</f>
        <v/>
      </c>
      <c r="L351" s="292" t="str">
        <f t="array" ref="L351">IFERROR(J351*INDEX('PORTIFÓLIO'!$S$4:$S$433,MATCH($C351,'PORTIFÓLIO'!$C$4:$C$433,0)),"")</f>
        <v/>
      </c>
      <c r="M351" s="220"/>
      <c r="N351" s="220"/>
      <c r="O351" s="220"/>
      <c r="P351" s="220"/>
      <c r="Q351" s="220"/>
      <c r="R351" s="220"/>
      <c r="S351" s="220"/>
      <c r="T351" s="220"/>
      <c r="U351" s="220"/>
      <c r="V351" s="220"/>
      <c r="W351" s="220"/>
    </row>
    <row r="352" ht="15.75" customHeight="1" outlineLevel="1">
      <c r="A352" s="211"/>
      <c r="B352" s="212"/>
      <c r="C352" s="213"/>
      <c r="D352" s="214" t="str">
        <f>IFERROR(VLOOKUP($C352,'PORTIFÓLIO'!C:V,2,0),"")</f>
        <v/>
      </c>
      <c r="E352" s="211" t="str">
        <f>IFERROR(VLOOKUP($C352,'PORTIFÓLIO'!C:V,3,0),"")</f>
        <v/>
      </c>
      <c r="F352" s="211" t="str">
        <f>IFERROR(VLOOKUP($C352,'PORTIFÓLIO'!C:V,4,0),"")</f>
        <v/>
      </c>
      <c r="G352" s="215" t="str">
        <f>IFERROR(VLOOKUP($C352,'PORTIFÓLIO'!C:V,5,0),"")</f>
        <v/>
      </c>
      <c r="H352" s="254" t="str">
        <f t="array" ref="H352">IFERROR(INDEX('PORTIFÓLIO'!$H$4:$H$433,MATCH($C352,'PORTIFÓLIO'!$C$4:$C$433,0)),"")</f>
        <v/>
      </c>
      <c r="I352" s="256"/>
      <c r="J352" s="218">
        <f t="shared" si="39"/>
        <v>0</v>
      </c>
      <c r="K352" s="292" t="str">
        <f t="array" ref="K352">IFERROR(I352*INDEX('PORTIFÓLIO'!$S$4:$S$433,MATCH($C352,'PORTIFÓLIO'!$C$4:$C$433,0)),"")</f>
        <v/>
      </c>
      <c r="L352" s="292" t="str">
        <f t="array" ref="L352">IFERROR(J352*INDEX('PORTIFÓLIO'!$S$4:$S$433,MATCH($C352,'PORTIFÓLIO'!$C$4:$C$433,0)),"")</f>
        <v/>
      </c>
      <c r="M352" s="220"/>
      <c r="N352" s="220"/>
      <c r="O352" s="220"/>
      <c r="P352" s="220"/>
      <c r="Q352" s="220"/>
      <c r="R352" s="220"/>
      <c r="S352" s="220"/>
      <c r="T352" s="220"/>
      <c r="U352" s="220"/>
      <c r="V352" s="220"/>
      <c r="W352" s="220"/>
    </row>
    <row r="353" ht="15.75" customHeight="1" outlineLevel="1">
      <c r="A353" s="211"/>
      <c r="B353" s="212"/>
      <c r="C353" s="213"/>
      <c r="D353" s="214" t="str">
        <f>IFERROR(VLOOKUP($C353,'PORTIFÓLIO'!C:V,2,0),"")</f>
        <v/>
      </c>
      <c r="E353" s="211" t="str">
        <f>IFERROR(VLOOKUP($C353,'PORTIFÓLIO'!C:V,3,0),"")</f>
        <v/>
      </c>
      <c r="F353" s="211" t="str">
        <f>IFERROR(VLOOKUP($C353,'PORTIFÓLIO'!C:V,4,0),"")</f>
        <v/>
      </c>
      <c r="G353" s="215" t="str">
        <f>IFERROR(VLOOKUP($C353,'PORTIFÓLIO'!C:V,5,0),"")</f>
        <v/>
      </c>
      <c r="H353" s="254" t="str">
        <f t="array" ref="H353">IFERROR(INDEX('PORTIFÓLIO'!$H$4:$H$433,MATCH($C353,'PORTIFÓLIO'!$C$4:$C$433,0)),"")</f>
        <v/>
      </c>
      <c r="I353" s="256"/>
      <c r="J353" s="218">
        <f t="shared" si="39"/>
        <v>0</v>
      </c>
      <c r="K353" s="292" t="str">
        <f t="array" ref="K353">IFERROR(I353*INDEX('PORTIFÓLIO'!$S$4:$S$433,MATCH($C353,'PORTIFÓLIO'!$C$4:$C$433,0)),"")</f>
        <v/>
      </c>
      <c r="L353" s="292" t="str">
        <f t="array" ref="L353">IFERROR(J353*INDEX('PORTIFÓLIO'!$S$4:$S$433,MATCH($C353,'PORTIFÓLIO'!$C$4:$C$433,0)),"")</f>
        <v/>
      </c>
      <c r="M353" s="220"/>
      <c r="N353" s="220"/>
      <c r="O353" s="220"/>
      <c r="P353" s="220"/>
      <c r="Q353" s="220"/>
      <c r="R353" s="220"/>
      <c r="S353" s="220"/>
      <c r="T353" s="220"/>
      <c r="U353" s="220"/>
      <c r="V353" s="220"/>
      <c r="W353" s="220"/>
    </row>
    <row r="354" ht="15.75" customHeight="1" outlineLevel="1">
      <c r="A354" s="211"/>
      <c r="B354" s="212"/>
      <c r="C354" s="213"/>
      <c r="D354" s="214" t="str">
        <f>IFERROR(VLOOKUP($C354,'PORTIFÓLIO'!C:V,2,0),"")</f>
        <v/>
      </c>
      <c r="E354" s="211" t="str">
        <f>IFERROR(VLOOKUP($C354,'PORTIFÓLIO'!C:V,3,0),"")</f>
        <v/>
      </c>
      <c r="F354" s="211" t="str">
        <f>IFERROR(VLOOKUP($C354,'PORTIFÓLIO'!C:V,4,0),"")</f>
        <v/>
      </c>
      <c r="G354" s="215" t="str">
        <f>IFERROR(VLOOKUP($C354,'PORTIFÓLIO'!C:V,5,0),"")</f>
        <v/>
      </c>
      <c r="H354" s="254" t="str">
        <f t="array" ref="H354">IFERROR(INDEX('PORTIFÓLIO'!$H$4:$H$433,MATCH($C354,'PORTIFÓLIO'!$C$4:$C$433,0)),"")</f>
        <v/>
      </c>
      <c r="I354" s="256"/>
      <c r="J354" s="218">
        <f t="shared" si="39"/>
        <v>0</v>
      </c>
      <c r="K354" s="292" t="str">
        <f t="array" ref="K354">IFERROR(I354*INDEX('PORTIFÓLIO'!$S$4:$S$433,MATCH($C354,'PORTIFÓLIO'!$C$4:$C$433,0)),"")</f>
        <v/>
      </c>
      <c r="L354" s="292" t="str">
        <f t="array" ref="L354">IFERROR(J354*INDEX('PORTIFÓLIO'!$S$4:$S$433,MATCH($C354,'PORTIFÓLIO'!$C$4:$C$433,0)),"")</f>
        <v/>
      </c>
      <c r="M354" s="220"/>
      <c r="N354" s="220"/>
      <c r="O354" s="220"/>
      <c r="P354" s="220"/>
      <c r="Q354" s="220"/>
      <c r="R354" s="220"/>
      <c r="S354" s="220"/>
      <c r="T354" s="220"/>
      <c r="U354" s="220"/>
      <c r="V354" s="220"/>
      <c r="W354" s="220"/>
    </row>
    <row r="355" ht="15.75" customHeight="1" outlineLevel="1">
      <c r="A355" s="211"/>
      <c r="B355" s="212"/>
      <c r="C355" s="213"/>
      <c r="D355" s="214" t="str">
        <f>IFERROR(VLOOKUP($C355,'PORTIFÓLIO'!C:V,2,0),"")</f>
        <v/>
      </c>
      <c r="E355" s="211" t="str">
        <f>IFERROR(VLOOKUP($C355,'PORTIFÓLIO'!C:V,3,0),"")</f>
        <v/>
      </c>
      <c r="F355" s="211" t="str">
        <f>IFERROR(VLOOKUP($C355,'PORTIFÓLIO'!C:V,4,0),"")</f>
        <v/>
      </c>
      <c r="G355" s="215" t="str">
        <f>IFERROR(VLOOKUP($C355,'PORTIFÓLIO'!C:V,5,0),"")</f>
        <v/>
      </c>
      <c r="H355" s="254" t="str">
        <f t="array" ref="H355">IFERROR(INDEX('PORTIFÓLIO'!$H$4:$H$433,MATCH($C355,'PORTIFÓLIO'!$C$4:$C$433,0)),"")</f>
        <v/>
      </c>
      <c r="I355" s="256"/>
      <c r="J355" s="218">
        <f t="shared" si="39"/>
        <v>0</v>
      </c>
      <c r="K355" s="292" t="str">
        <f t="array" ref="K355">IFERROR(I355*INDEX('PORTIFÓLIO'!$S$4:$S$433,MATCH($C355,'PORTIFÓLIO'!$C$4:$C$433,0)),"")</f>
        <v/>
      </c>
      <c r="L355" s="292" t="str">
        <f t="array" ref="L355">IFERROR(J355*INDEX('PORTIFÓLIO'!$S$4:$S$433,MATCH($C355,'PORTIFÓLIO'!$C$4:$C$433,0)),"")</f>
        <v/>
      </c>
      <c r="M355" s="220"/>
      <c r="N355" s="220"/>
      <c r="O355" s="220"/>
      <c r="P355" s="220"/>
      <c r="Q355" s="220"/>
      <c r="R355" s="220"/>
      <c r="S355" s="220"/>
      <c r="T355" s="220"/>
      <c r="U355" s="220"/>
      <c r="V355" s="220"/>
      <c r="W355" s="220"/>
    </row>
    <row r="356" ht="15.75" customHeight="1" outlineLevel="1">
      <c r="A356" s="211"/>
      <c r="B356" s="212"/>
      <c r="C356" s="213"/>
      <c r="D356" s="214" t="str">
        <f>IFERROR(VLOOKUP($C356,'PORTIFÓLIO'!C:V,2,0),"")</f>
        <v/>
      </c>
      <c r="E356" s="211" t="str">
        <f>IFERROR(VLOOKUP($C356,'PORTIFÓLIO'!C:V,3,0),"")</f>
        <v/>
      </c>
      <c r="F356" s="211" t="str">
        <f>IFERROR(VLOOKUP($C356,'PORTIFÓLIO'!C:V,4,0),"")</f>
        <v/>
      </c>
      <c r="G356" s="215" t="str">
        <f>IFERROR(VLOOKUP($C356,'PORTIFÓLIO'!C:V,5,0),"")</f>
        <v/>
      </c>
      <c r="H356" s="254" t="str">
        <f t="array" ref="H356">IFERROR(INDEX('PORTIFÓLIO'!$H$4:$H$433,MATCH($C356,'PORTIFÓLIO'!$C$4:$C$433,0)),"")</f>
        <v/>
      </c>
      <c r="I356" s="256"/>
      <c r="J356" s="218">
        <f t="shared" si="39"/>
        <v>0</v>
      </c>
      <c r="K356" s="292" t="str">
        <f t="array" ref="K356">IFERROR(I356*INDEX('PORTIFÓLIO'!$S$4:$S$433,MATCH($C356,'PORTIFÓLIO'!$C$4:$C$433,0)),"")</f>
        <v/>
      </c>
      <c r="L356" s="292" t="str">
        <f t="array" ref="L356">IFERROR(J356*INDEX('PORTIFÓLIO'!$S$4:$S$433,MATCH($C356,'PORTIFÓLIO'!$C$4:$C$433,0)),"")</f>
        <v/>
      </c>
      <c r="M356" s="220"/>
      <c r="N356" s="220"/>
      <c r="O356" s="220"/>
      <c r="P356" s="220"/>
      <c r="Q356" s="220"/>
      <c r="R356" s="220"/>
      <c r="S356" s="220"/>
      <c r="T356" s="220"/>
      <c r="U356" s="220"/>
      <c r="V356" s="220"/>
      <c r="W356" s="220"/>
    </row>
    <row r="357" ht="15.75" customHeight="1" outlineLevel="1">
      <c r="A357" s="211"/>
      <c r="B357" s="227"/>
      <c r="C357" s="211"/>
      <c r="D357" s="214" t="str">
        <f>IFERROR(VLOOKUP($C357,'PORTIFÓLIO'!C:V,2,0),"")</f>
        <v/>
      </c>
      <c r="E357" s="211" t="str">
        <f>IFERROR(VLOOKUP($C357,'PORTIFÓLIO'!C:V,3,0),"")</f>
        <v/>
      </c>
      <c r="F357" s="211" t="str">
        <f>IFERROR(VLOOKUP($C357,'PORTIFÓLIO'!C:V,4,0),"")</f>
        <v/>
      </c>
      <c r="G357" s="215" t="str">
        <f>IFERROR(VLOOKUP($C357,'PORTIFÓLIO'!C:V,5,0),"")</f>
        <v/>
      </c>
      <c r="H357" s="254" t="str">
        <f t="array" ref="H357">IFERROR(INDEX('PORTIFÓLIO'!$H$4:$H$433,MATCH($C357,'PORTIFÓLIO'!$C$4:$C$433,0)),"")</f>
        <v/>
      </c>
      <c r="I357" s="256"/>
      <c r="J357" s="218"/>
      <c r="K357" s="292" t="str">
        <f t="array" ref="K357">IFERROR(I357*INDEX('PORTIFÓLIO'!$S$4:$S$433,MATCH($C357,'PORTIFÓLIO'!$C$4:$C$433,0)),"")</f>
        <v/>
      </c>
      <c r="L357" s="292" t="str">
        <f t="array" ref="L357">IFERROR(J357*INDEX('PORTIFÓLIO'!$S$4:$S$433,MATCH($C357,'PORTIFÓLIO'!$C$4:$C$433,0)),"")</f>
        <v/>
      </c>
      <c r="M357" s="220"/>
      <c r="N357" s="220"/>
      <c r="O357" s="220"/>
      <c r="P357" s="220"/>
      <c r="Q357" s="220"/>
      <c r="R357" s="220"/>
      <c r="S357" s="220"/>
      <c r="T357" s="220"/>
      <c r="U357" s="220"/>
      <c r="V357" s="220"/>
      <c r="W357" s="220"/>
    </row>
    <row r="358" ht="15.75" customHeight="1">
      <c r="A358" s="229" t="s">
        <v>1191</v>
      </c>
      <c r="B358" s="230"/>
      <c r="C358" s="231"/>
      <c r="D358" s="232"/>
      <c r="E358" s="231"/>
      <c r="F358" s="231"/>
      <c r="G358" s="233"/>
      <c r="H358" s="233"/>
      <c r="I358" s="258"/>
      <c r="J358" s="236"/>
      <c r="K358" s="237">
        <f t="shared" ref="K358:L358" si="40">SUBTOTAL(9,K359:K372)</f>
        <v>0</v>
      </c>
      <c r="L358" s="237">
        <f t="shared" si="40"/>
        <v>0</v>
      </c>
      <c r="M358" s="220"/>
      <c r="N358" s="220"/>
      <c r="O358" s="220"/>
      <c r="P358" s="220"/>
      <c r="Q358" s="220"/>
      <c r="R358" s="220"/>
      <c r="S358" s="220"/>
      <c r="T358" s="220"/>
      <c r="U358" s="220"/>
      <c r="V358" s="220"/>
      <c r="W358" s="220"/>
    </row>
    <row r="359" ht="15.75" customHeight="1" outlineLevel="1">
      <c r="A359" s="213"/>
      <c r="B359" s="212"/>
      <c r="C359" s="213"/>
      <c r="D359" s="214" t="str">
        <f>IFERROR(VLOOKUP($C359,'PORTIFÓLIO'!C:V,2,0),"")</f>
        <v/>
      </c>
      <c r="E359" s="211" t="str">
        <f>IFERROR(VLOOKUP($C359,'PORTIFÓLIO'!C:V,3,0),"")</f>
        <v/>
      </c>
      <c r="F359" s="211" t="str">
        <f>IFERROR(VLOOKUP($C359,'PORTIFÓLIO'!C:V,4,0),"")</f>
        <v/>
      </c>
      <c r="G359" s="215" t="str">
        <f>IFERROR(VLOOKUP($C359,'PORTIFÓLIO'!C:V,5,0),"")</f>
        <v/>
      </c>
      <c r="H359" s="254" t="str">
        <f t="array" ref="H359">IFERROR(INDEX('PORTIFÓLIO'!$H$4:$H$433,MATCH($C359,'PORTIFÓLIO'!$C$4:$C$433,0)),"")</f>
        <v/>
      </c>
      <c r="I359" s="255"/>
      <c r="J359" s="218">
        <f t="shared" ref="J359:J373" si="41">I359*$B$2</f>
        <v>0</v>
      </c>
      <c r="K359" s="292" t="str">
        <f t="array" ref="K359">IFERROR(I359*INDEX('PORTIFÓLIO'!$S$4:$S$433,MATCH($C359,'PORTIFÓLIO'!$C$4:$C$433,0)),"")</f>
        <v/>
      </c>
      <c r="L359" s="292" t="str">
        <f t="array" ref="L359">IFERROR(J359*INDEX('PORTIFÓLIO'!$S$4:$S$433,MATCH($C359,'PORTIFÓLIO'!$C$4:$C$433,0)),"")</f>
        <v/>
      </c>
      <c r="M359" s="220"/>
      <c r="N359" s="220"/>
      <c r="O359" s="220"/>
      <c r="P359" s="220"/>
      <c r="Q359" s="220"/>
      <c r="R359" s="220"/>
      <c r="S359" s="220"/>
      <c r="T359" s="220"/>
      <c r="U359" s="220"/>
      <c r="V359" s="220"/>
      <c r="W359" s="220"/>
    </row>
    <row r="360" ht="15.75" customHeight="1" outlineLevel="1">
      <c r="A360" s="211"/>
      <c r="B360" s="212"/>
      <c r="C360" s="213"/>
      <c r="D360" s="214" t="str">
        <f>IFERROR(VLOOKUP($C360,'PORTIFÓLIO'!C:V,2,0),"")</f>
        <v/>
      </c>
      <c r="E360" s="211" t="str">
        <f>IFERROR(VLOOKUP($C360,'PORTIFÓLIO'!C:V,3,0),"")</f>
        <v/>
      </c>
      <c r="F360" s="211" t="str">
        <f>IFERROR(VLOOKUP($C360,'PORTIFÓLIO'!C:V,4,0),"")</f>
        <v/>
      </c>
      <c r="G360" s="215" t="str">
        <f>IFERROR(VLOOKUP($C360,'PORTIFÓLIO'!C:V,5,0),"")</f>
        <v/>
      </c>
      <c r="H360" s="254" t="str">
        <f t="array" ref="H360">IFERROR(INDEX('PORTIFÓLIO'!$H$4:$H$433,MATCH($C360,'PORTIFÓLIO'!$C$4:$C$433,0)),"")</f>
        <v/>
      </c>
      <c r="I360" s="256"/>
      <c r="J360" s="218">
        <f t="shared" si="41"/>
        <v>0</v>
      </c>
      <c r="K360" s="292" t="str">
        <f t="array" ref="K360">IFERROR(I360*INDEX('PORTIFÓLIO'!$S$4:$S$433,MATCH($C360,'PORTIFÓLIO'!$C$4:$C$433,0)),"")</f>
        <v/>
      </c>
      <c r="L360" s="292" t="str">
        <f t="array" ref="L360">IFERROR(J360*INDEX('PORTIFÓLIO'!$S$4:$S$433,MATCH($C360,'PORTIFÓLIO'!$C$4:$C$433,0)),"")</f>
        <v/>
      </c>
      <c r="M360" s="220"/>
      <c r="N360" s="220"/>
      <c r="O360" s="220"/>
      <c r="P360" s="220"/>
      <c r="Q360" s="220"/>
      <c r="R360" s="220"/>
      <c r="S360" s="220"/>
      <c r="T360" s="220"/>
      <c r="U360" s="220"/>
      <c r="V360" s="220"/>
      <c r="W360" s="220"/>
    </row>
    <row r="361" ht="15.75" customHeight="1" outlineLevel="1">
      <c r="A361" s="211"/>
      <c r="B361" s="212"/>
      <c r="C361" s="213"/>
      <c r="D361" s="214" t="str">
        <f>IFERROR(VLOOKUP($C361,'PORTIFÓLIO'!C:V,2,0),"")</f>
        <v/>
      </c>
      <c r="E361" s="211" t="str">
        <f>IFERROR(VLOOKUP($C361,'PORTIFÓLIO'!C:V,3,0),"")</f>
        <v/>
      </c>
      <c r="F361" s="211" t="str">
        <f>IFERROR(VLOOKUP($C361,'PORTIFÓLIO'!C:V,4,0),"")</f>
        <v/>
      </c>
      <c r="G361" s="215" t="str">
        <f>IFERROR(VLOOKUP($C361,'PORTIFÓLIO'!C:V,5,0),"")</f>
        <v/>
      </c>
      <c r="H361" s="254" t="str">
        <f t="array" ref="H361">IFERROR(INDEX('PORTIFÓLIO'!$H$4:$H$433,MATCH($C361,'PORTIFÓLIO'!$C$4:$C$433,0)),"")</f>
        <v/>
      </c>
      <c r="I361" s="256"/>
      <c r="J361" s="218">
        <f t="shared" si="41"/>
        <v>0</v>
      </c>
      <c r="K361" s="292" t="str">
        <f t="array" ref="K361">IFERROR(I361*INDEX('PORTIFÓLIO'!$S$4:$S$433,MATCH($C361,'PORTIFÓLIO'!$C$4:$C$433,0)),"")</f>
        <v/>
      </c>
      <c r="L361" s="292" t="str">
        <f t="array" ref="L361">IFERROR(J361*INDEX('PORTIFÓLIO'!$S$4:$S$433,MATCH($C361,'PORTIFÓLIO'!$C$4:$C$433,0)),"")</f>
        <v/>
      </c>
      <c r="M361" s="220"/>
      <c r="N361" s="220"/>
      <c r="O361" s="220"/>
      <c r="P361" s="220"/>
      <c r="Q361" s="220"/>
      <c r="R361" s="220"/>
      <c r="S361" s="220"/>
      <c r="T361" s="220"/>
      <c r="U361" s="220"/>
      <c r="V361" s="220"/>
      <c r="W361" s="220"/>
    </row>
    <row r="362" ht="15.75" customHeight="1" outlineLevel="1">
      <c r="A362" s="211"/>
      <c r="B362" s="212"/>
      <c r="C362" s="213"/>
      <c r="D362" s="214" t="str">
        <f>IFERROR(VLOOKUP($C362,'PORTIFÓLIO'!C:V,2,0),"")</f>
        <v/>
      </c>
      <c r="E362" s="211" t="str">
        <f>IFERROR(VLOOKUP($C362,'PORTIFÓLIO'!C:V,3,0),"")</f>
        <v/>
      </c>
      <c r="F362" s="211" t="str">
        <f>IFERROR(VLOOKUP($C362,'PORTIFÓLIO'!C:V,4,0),"")</f>
        <v/>
      </c>
      <c r="G362" s="215" t="str">
        <f>IFERROR(VLOOKUP($C362,'PORTIFÓLIO'!C:V,5,0),"")</f>
        <v/>
      </c>
      <c r="H362" s="254" t="str">
        <f t="array" ref="H362">IFERROR(INDEX('PORTIFÓLIO'!$H$4:$H$433,MATCH($C362,'PORTIFÓLIO'!$C$4:$C$433,0)),"")</f>
        <v/>
      </c>
      <c r="I362" s="256"/>
      <c r="J362" s="218">
        <f t="shared" si="41"/>
        <v>0</v>
      </c>
      <c r="K362" s="292" t="str">
        <f t="array" ref="K362">IFERROR(I362*INDEX('PORTIFÓLIO'!$S$4:$S$433,MATCH($C362,'PORTIFÓLIO'!$C$4:$C$433,0)),"")</f>
        <v/>
      </c>
      <c r="L362" s="292" t="str">
        <f t="array" ref="L362">IFERROR(J362*INDEX('PORTIFÓLIO'!$S$4:$S$433,MATCH($C362,'PORTIFÓLIO'!$C$4:$C$433,0)),"")</f>
        <v/>
      </c>
      <c r="M362" s="220"/>
      <c r="N362" s="220"/>
      <c r="O362" s="220"/>
      <c r="P362" s="220"/>
      <c r="Q362" s="220"/>
      <c r="R362" s="220"/>
      <c r="S362" s="220"/>
      <c r="T362" s="220"/>
      <c r="U362" s="220"/>
      <c r="V362" s="220"/>
      <c r="W362" s="220"/>
    </row>
    <row r="363" ht="15.75" customHeight="1" outlineLevel="1">
      <c r="A363" s="211"/>
      <c r="B363" s="212"/>
      <c r="C363" s="213"/>
      <c r="D363" s="214" t="str">
        <f>IFERROR(VLOOKUP($C363,'PORTIFÓLIO'!C:V,2,0),"")</f>
        <v/>
      </c>
      <c r="E363" s="211" t="str">
        <f>IFERROR(VLOOKUP($C363,'PORTIFÓLIO'!C:V,3,0),"")</f>
        <v/>
      </c>
      <c r="F363" s="211" t="str">
        <f>IFERROR(VLOOKUP($C363,'PORTIFÓLIO'!C:V,4,0),"")</f>
        <v/>
      </c>
      <c r="G363" s="215" t="str">
        <f>IFERROR(VLOOKUP($C363,'PORTIFÓLIO'!C:V,5,0),"")</f>
        <v/>
      </c>
      <c r="H363" s="254" t="str">
        <f t="array" ref="H363">IFERROR(INDEX('PORTIFÓLIO'!$H$4:$H$433,MATCH($C363,'PORTIFÓLIO'!$C$4:$C$433,0)),"")</f>
        <v/>
      </c>
      <c r="I363" s="256"/>
      <c r="J363" s="218">
        <f t="shared" si="41"/>
        <v>0</v>
      </c>
      <c r="K363" s="292" t="str">
        <f t="array" ref="K363">IFERROR(I363*INDEX('PORTIFÓLIO'!$S$4:$S$433,MATCH($C363,'PORTIFÓLIO'!$C$4:$C$433,0)),"")</f>
        <v/>
      </c>
      <c r="L363" s="292" t="str">
        <f t="array" ref="L363">IFERROR(J363*INDEX('PORTIFÓLIO'!$S$4:$S$433,MATCH($C363,'PORTIFÓLIO'!$C$4:$C$433,0)),"")</f>
        <v/>
      </c>
      <c r="M363" s="220"/>
      <c r="N363" s="220"/>
      <c r="O363" s="220"/>
      <c r="P363" s="220"/>
      <c r="Q363" s="220"/>
      <c r="R363" s="220"/>
      <c r="S363" s="220"/>
      <c r="T363" s="220"/>
      <c r="U363" s="220"/>
      <c r="V363" s="220"/>
      <c r="W363" s="220"/>
    </row>
    <row r="364" ht="15.75" customHeight="1" outlineLevel="1">
      <c r="A364" s="211"/>
      <c r="B364" s="212"/>
      <c r="C364" s="213"/>
      <c r="D364" s="214" t="str">
        <f>IFERROR(VLOOKUP($C364,'PORTIFÓLIO'!C:V,2,0),"")</f>
        <v/>
      </c>
      <c r="E364" s="211" t="str">
        <f>IFERROR(VLOOKUP($C364,'PORTIFÓLIO'!C:V,3,0),"")</f>
        <v/>
      </c>
      <c r="F364" s="211" t="str">
        <f>IFERROR(VLOOKUP($C364,'PORTIFÓLIO'!C:V,4,0),"")</f>
        <v/>
      </c>
      <c r="G364" s="215" t="str">
        <f>IFERROR(VLOOKUP($C364,'PORTIFÓLIO'!C:V,5,0),"")</f>
        <v/>
      </c>
      <c r="H364" s="254" t="str">
        <f t="array" ref="H364">IFERROR(INDEX('PORTIFÓLIO'!$H$4:$H$433,MATCH($C364,'PORTIFÓLIO'!$C$4:$C$433,0)),"")</f>
        <v/>
      </c>
      <c r="I364" s="256"/>
      <c r="J364" s="218">
        <f t="shared" si="41"/>
        <v>0</v>
      </c>
      <c r="K364" s="292" t="str">
        <f t="array" ref="K364">IFERROR(I364*INDEX('PORTIFÓLIO'!$S$4:$S$433,MATCH($C364,'PORTIFÓLIO'!$C$4:$C$433,0)),"")</f>
        <v/>
      </c>
      <c r="L364" s="292" t="str">
        <f t="array" ref="L364">IFERROR(J364*INDEX('PORTIFÓLIO'!$S$4:$S$433,MATCH($C364,'PORTIFÓLIO'!$C$4:$C$433,0)),"")</f>
        <v/>
      </c>
      <c r="M364" s="220"/>
      <c r="N364" s="220"/>
      <c r="O364" s="220"/>
      <c r="P364" s="220"/>
      <c r="Q364" s="220"/>
      <c r="R364" s="220"/>
      <c r="S364" s="220"/>
      <c r="T364" s="220"/>
      <c r="U364" s="220"/>
      <c r="V364" s="220"/>
      <c r="W364" s="220"/>
    </row>
    <row r="365" ht="15.75" customHeight="1" outlineLevel="1">
      <c r="A365" s="211"/>
      <c r="B365" s="212"/>
      <c r="C365" s="213"/>
      <c r="D365" s="214" t="str">
        <f>IFERROR(VLOOKUP($C365,'PORTIFÓLIO'!C:V,2,0),"")</f>
        <v/>
      </c>
      <c r="E365" s="211" t="str">
        <f>IFERROR(VLOOKUP($C365,'PORTIFÓLIO'!C:V,3,0),"")</f>
        <v/>
      </c>
      <c r="F365" s="211" t="str">
        <f>IFERROR(VLOOKUP($C365,'PORTIFÓLIO'!C:V,4,0),"")</f>
        <v/>
      </c>
      <c r="G365" s="215" t="str">
        <f>IFERROR(VLOOKUP($C365,'PORTIFÓLIO'!C:V,5,0),"")</f>
        <v/>
      </c>
      <c r="H365" s="254" t="str">
        <f t="array" ref="H365">IFERROR(INDEX('PORTIFÓLIO'!$H$4:$H$433,MATCH($C365,'PORTIFÓLIO'!$C$4:$C$433,0)),"")</f>
        <v/>
      </c>
      <c r="I365" s="256"/>
      <c r="J365" s="218">
        <f t="shared" si="41"/>
        <v>0</v>
      </c>
      <c r="K365" s="292" t="str">
        <f t="array" ref="K365">IFERROR(I365*INDEX('PORTIFÓLIO'!$S$4:$S$433,MATCH($C365,'PORTIFÓLIO'!$C$4:$C$433,0)),"")</f>
        <v/>
      </c>
      <c r="L365" s="292" t="str">
        <f t="array" ref="L365">IFERROR(J365*INDEX('PORTIFÓLIO'!$S$4:$S$433,MATCH($C365,'PORTIFÓLIO'!$C$4:$C$433,0)),"")</f>
        <v/>
      </c>
      <c r="M365" s="220"/>
      <c r="N365" s="220"/>
      <c r="O365" s="220"/>
      <c r="P365" s="220"/>
      <c r="Q365" s="220"/>
      <c r="R365" s="220"/>
      <c r="S365" s="220"/>
      <c r="T365" s="220"/>
      <c r="U365" s="220"/>
      <c r="V365" s="220"/>
      <c r="W365" s="220"/>
    </row>
    <row r="366" ht="15.75" customHeight="1" outlineLevel="1">
      <c r="A366" s="211"/>
      <c r="B366" s="212"/>
      <c r="C366" s="213"/>
      <c r="D366" s="214" t="str">
        <f>IFERROR(VLOOKUP($C366,'PORTIFÓLIO'!C:V,2,0),"")</f>
        <v/>
      </c>
      <c r="E366" s="211" t="str">
        <f>IFERROR(VLOOKUP($C366,'PORTIFÓLIO'!C:V,3,0),"")</f>
        <v/>
      </c>
      <c r="F366" s="211" t="str">
        <f>IFERROR(VLOOKUP($C366,'PORTIFÓLIO'!C:V,4,0),"")</f>
        <v/>
      </c>
      <c r="G366" s="215" t="str">
        <f>IFERROR(VLOOKUP($C366,'PORTIFÓLIO'!C:V,5,0),"")</f>
        <v/>
      </c>
      <c r="H366" s="254" t="str">
        <f t="array" ref="H366">IFERROR(INDEX('PORTIFÓLIO'!$H$4:$H$433,MATCH($C366,'PORTIFÓLIO'!$C$4:$C$433,0)),"")</f>
        <v/>
      </c>
      <c r="I366" s="256"/>
      <c r="J366" s="218">
        <f t="shared" si="41"/>
        <v>0</v>
      </c>
      <c r="K366" s="292" t="str">
        <f t="array" ref="K366">IFERROR(I366*INDEX('PORTIFÓLIO'!$S$4:$S$433,MATCH($C366,'PORTIFÓLIO'!$C$4:$C$433,0)),"")</f>
        <v/>
      </c>
      <c r="L366" s="292" t="str">
        <f t="array" ref="L366">IFERROR(J366*INDEX('PORTIFÓLIO'!$S$4:$S$433,MATCH($C366,'PORTIFÓLIO'!$C$4:$C$433,0)),"")</f>
        <v/>
      </c>
      <c r="M366" s="220"/>
      <c r="N366" s="220"/>
      <c r="O366" s="220"/>
      <c r="P366" s="220"/>
      <c r="Q366" s="220"/>
      <c r="R366" s="220"/>
      <c r="S366" s="220"/>
      <c r="T366" s="220"/>
      <c r="U366" s="220"/>
      <c r="V366" s="220"/>
      <c r="W366" s="220"/>
    </row>
    <row r="367" ht="15.75" customHeight="1" outlineLevel="1">
      <c r="A367" s="211"/>
      <c r="B367" s="212"/>
      <c r="C367" s="213"/>
      <c r="D367" s="214" t="str">
        <f>IFERROR(VLOOKUP($C367,'PORTIFÓLIO'!C:V,2,0),"")</f>
        <v/>
      </c>
      <c r="E367" s="211" t="str">
        <f>IFERROR(VLOOKUP($C367,'PORTIFÓLIO'!C:V,3,0),"")</f>
        <v/>
      </c>
      <c r="F367" s="211" t="str">
        <f>IFERROR(VLOOKUP($C367,'PORTIFÓLIO'!C:V,4,0),"")</f>
        <v/>
      </c>
      <c r="G367" s="215" t="str">
        <f>IFERROR(VLOOKUP($C367,'PORTIFÓLIO'!C:V,5,0),"")</f>
        <v/>
      </c>
      <c r="H367" s="254" t="str">
        <f t="array" ref="H367">IFERROR(INDEX('PORTIFÓLIO'!$H$4:$H$433,MATCH($C367,'PORTIFÓLIO'!$C$4:$C$433,0)),"")</f>
        <v/>
      </c>
      <c r="I367" s="255"/>
      <c r="J367" s="218">
        <f t="shared" si="41"/>
        <v>0</v>
      </c>
      <c r="K367" s="292" t="str">
        <f t="array" ref="K367">IFERROR(I367*INDEX('PORTIFÓLIO'!$S$4:$S$433,MATCH($C367,'PORTIFÓLIO'!$C$4:$C$433,0)),"")</f>
        <v/>
      </c>
      <c r="L367" s="292" t="str">
        <f t="array" ref="L367">IFERROR(J367*INDEX('PORTIFÓLIO'!$S$4:$S$433,MATCH($C367,'PORTIFÓLIO'!$C$4:$C$433,0)),"")</f>
        <v/>
      </c>
      <c r="M367" s="220"/>
      <c r="N367" s="220"/>
      <c r="O367" s="220"/>
      <c r="P367" s="220"/>
      <c r="Q367" s="220"/>
      <c r="R367" s="220"/>
      <c r="S367" s="220"/>
      <c r="T367" s="220"/>
      <c r="U367" s="220"/>
      <c r="V367" s="220"/>
      <c r="W367" s="220"/>
    </row>
    <row r="368" ht="15.75" customHeight="1" outlineLevel="1">
      <c r="A368" s="211"/>
      <c r="B368" s="212"/>
      <c r="C368" s="213"/>
      <c r="D368" s="214" t="str">
        <f>IFERROR(VLOOKUP($C368,'PORTIFÓLIO'!C:V,2,0),"")</f>
        <v/>
      </c>
      <c r="E368" s="211" t="str">
        <f>IFERROR(VLOOKUP($C368,'PORTIFÓLIO'!C:V,3,0),"")</f>
        <v/>
      </c>
      <c r="F368" s="211" t="str">
        <f>IFERROR(VLOOKUP($C368,'PORTIFÓLIO'!C:V,4,0),"")</f>
        <v/>
      </c>
      <c r="G368" s="215" t="str">
        <f>IFERROR(VLOOKUP($C368,'PORTIFÓLIO'!C:V,5,0),"")</f>
        <v/>
      </c>
      <c r="H368" s="254" t="str">
        <f t="array" ref="H368">IFERROR(INDEX('PORTIFÓLIO'!$H$4:$H$433,MATCH($C368,'PORTIFÓLIO'!$C$4:$C$433,0)),"")</f>
        <v/>
      </c>
      <c r="I368" s="256"/>
      <c r="J368" s="218">
        <f t="shared" si="41"/>
        <v>0</v>
      </c>
      <c r="K368" s="292" t="str">
        <f t="array" ref="K368">IFERROR(I368*INDEX('PORTIFÓLIO'!$S$4:$S$433,MATCH($C368,'PORTIFÓLIO'!$C$4:$C$433,0)),"")</f>
        <v/>
      </c>
      <c r="L368" s="292" t="str">
        <f t="array" ref="L368">IFERROR(J368*INDEX('PORTIFÓLIO'!$S$4:$S$433,MATCH($C368,'PORTIFÓLIO'!$C$4:$C$433,0)),"")</f>
        <v/>
      </c>
      <c r="M368" s="220"/>
      <c r="N368" s="220"/>
      <c r="O368" s="220"/>
      <c r="P368" s="220"/>
      <c r="Q368" s="220"/>
      <c r="R368" s="220"/>
      <c r="S368" s="220"/>
      <c r="T368" s="220"/>
      <c r="U368" s="220"/>
      <c r="V368" s="220"/>
      <c r="W368" s="220"/>
    </row>
    <row r="369" ht="15.75" customHeight="1" outlineLevel="1">
      <c r="A369" s="211"/>
      <c r="B369" s="212"/>
      <c r="C369" s="213"/>
      <c r="D369" s="214" t="str">
        <f>IFERROR(VLOOKUP($C369,'PORTIFÓLIO'!C:V,2,0),"")</f>
        <v/>
      </c>
      <c r="E369" s="211" t="str">
        <f>IFERROR(VLOOKUP($C369,'PORTIFÓLIO'!C:V,3,0),"")</f>
        <v/>
      </c>
      <c r="F369" s="211" t="str">
        <f>IFERROR(VLOOKUP($C369,'PORTIFÓLIO'!C:V,4,0),"")</f>
        <v/>
      </c>
      <c r="G369" s="215" t="str">
        <f>IFERROR(VLOOKUP($C369,'PORTIFÓLIO'!C:V,5,0),"")</f>
        <v/>
      </c>
      <c r="H369" s="254" t="str">
        <f t="array" ref="H369">IFERROR(INDEX('PORTIFÓLIO'!$H$4:$H$433,MATCH($C369,'PORTIFÓLIO'!$C$4:$C$433,0)),"")</f>
        <v/>
      </c>
      <c r="I369" s="256"/>
      <c r="J369" s="218">
        <f t="shared" si="41"/>
        <v>0</v>
      </c>
      <c r="K369" s="292" t="str">
        <f t="array" ref="K369">IFERROR(I369*INDEX('PORTIFÓLIO'!$S$4:$S$433,MATCH($C369,'PORTIFÓLIO'!$C$4:$C$433,0)),"")</f>
        <v/>
      </c>
      <c r="L369" s="292" t="str">
        <f t="array" ref="L369">IFERROR(J369*INDEX('PORTIFÓLIO'!$S$4:$S$433,MATCH($C369,'PORTIFÓLIO'!$C$4:$C$433,0)),"")</f>
        <v/>
      </c>
      <c r="M369" s="220"/>
      <c r="N369" s="220"/>
      <c r="O369" s="220"/>
      <c r="P369" s="220"/>
      <c r="Q369" s="220"/>
      <c r="R369" s="220"/>
      <c r="S369" s="220"/>
      <c r="T369" s="220"/>
      <c r="U369" s="220"/>
      <c r="V369" s="220"/>
      <c r="W369" s="220"/>
    </row>
    <row r="370" ht="15.75" customHeight="1" outlineLevel="1">
      <c r="A370" s="211"/>
      <c r="B370" s="212"/>
      <c r="C370" s="213"/>
      <c r="D370" s="214" t="str">
        <f>IFERROR(VLOOKUP($C370,'PORTIFÓLIO'!C:V,2,0),"")</f>
        <v/>
      </c>
      <c r="E370" s="211" t="str">
        <f>IFERROR(VLOOKUP($C370,'PORTIFÓLIO'!C:V,3,0),"")</f>
        <v/>
      </c>
      <c r="F370" s="211" t="str">
        <f>IFERROR(VLOOKUP($C370,'PORTIFÓLIO'!C:V,4,0),"")</f>
        <v/>
      </c>
      <c r="G370" s="215" t="str">
        <f>IFERROR(VLOOKUP($C370,'PORTIFÓLIO'!C:V,5,0),"")</f>
        <v/>
      </c>
      <c r="H370" s="254" t="str">
        <f t="array" ref="H370">IFERROR(INDEX('PORTIFÓLIO'!$H$4:$H$433,MATCH($C370,'PORTIFÓLIO'!$C$4:$C$433,0)),"")</f>
        <v/>
      </c>
      <c r="I370" s="256"/>
      <c r="J370" s="218">
        <f t="shared" si="41"/>
        <v>0</v>
      </c>
      <c r="K370" s="292" t="str">
        <f t="array" ref="K370">IFERROR(I370*INDEX('PORTIFÓLIO'!$S$4:$S$433,MATCH($C370,'PORTIFÓLIO'!$C$4:$C$433,0)),"")</f>
        <v/>
      </c>
      <c r="L370" s="292" t="str">
        <f t="array" ref="L370">IFERROR(J370*INDEX('PORTIFÓLIO'!$S$4:$S$433,MATCH($C370,'PORTIFÓLIO'!$C$4:$C$433,0)),"")</f>
        <v/>
      </c>
      <c r="M370" s="220"/>
      <c r="N370" s="220"/>
      <c r="O370" s="220"/>
      <c r="P370" s="220"/>
      <c r="Q370" s="220"/>
      <c r="R370" s="220"/>
      <c r="S370" s="220"/>
      <c r="T370" s="220"/>
      <c r="U370" s="220"/>
      <c r="V370" s="220"/>
      <c r="W370" s="220"/>
    </row>
    <row r="371" ht="15.75" customHeight="1" outlineLevel="1">
      <c r="A371" s="211"/>
      <c r="B371" s="212"/>
      <c r="C371" s="213"/>
      <c r="D371" s="214" t="str">
        <f>IFERROR(VLOOKUP($C371,'PORTIFÓLIO'!C:V,2,0),"")</f>
        <v/>
      </c>
      <c r="E371" s="211" t="str">
        <f>IFERROR(VLOOKUP($C371,'PORTIFÓLIO'!C:V,3,0),"")</f>
        <v/>
      </c>
      <c r="F371" s="211" t="str">
        <f>IFERROR(VLOOKUP($C371,'PORTIFÓLIO'!C:V,4,0),"")</f>
        <v/>
      </c>
      <c r="G371" s="215" t="str">
        <f>IFERROR(VLOOKUP($C371,'PORTIFÓLIO'!C:V,5,0),"")</f>
        <v/>
      </c>
      <c r="H371" s="254" t="str">
        <f t="array" ref="H371">IFERROR(INDEX('PORTIFÓLIO'!$H$4:$H$433,MATCH($C371,'PORTIFÓLIO'!$C$4:$C$433,0)),"")</f>
        <v/>
      </c>
      <c r="I371" s="256"/>
      <c r="J371" s="218">
        <f t="shared" si="41"/>
        <v>0</v>
      </c>
      <c r="K371" s="292" t="str">
        <f t="array" ref="K371">IFERROR(I371*INDEX('PORTIFÓLIO'!$S$4:$S$433,MATCH($C371,'PORTIFÓLIO'!$C$4:$C$433,0)),"")</f>
        <v/>
      </c>
      <c r="L371" s="292" t="str">
        <f t="array" ref="L371">IFERROR(J371*INDEX('PORTIFÓLIO'!$S$4:$S$433,MATCH($C371,'PORTIFÓLIO'!$C$4:$C$433,0)),"")</f>
        <v/>
      </c>
      <c r="M371" s="220"/>
      <c r="N371" s="220"/>
      <c r="O371" s="220"/>
      <c r="P371" s="220"/>
      <c r="Q371" s="220"/>
      <c r="R371" s="220"/>
      <c r="S371" s="220"/>
      <c r="T371" s="220"/>
      <c r="U371" s="220"/>
      <c r="V371" s="220"/>
      <c r="W371" s="220"/>
    </row>
    <row r="372" ht="15.75" customHeight="1" outlineLevel="1">
      <c r="A372" s="211"/>
      <c r="B372" s="212"/>
      <c r="C372" s="213"/>
      <c r="D372" s="214" t="str">
        <f>IFERROR(VLOOKUP($C372,'PORTIFÓLIO'!C:V,2,0),"")</f>
        <v/>
      </c>
      <c r="E372" s="211" t="str">
        <f>IFERROR(VLOOKUP($C372,'PORTIFÓLIO'!C:V,3,0),"")</f>
        <v/>
      </c>
      <c r="F372" s="211" t="str">
        <f>IFERROR(VLOOKUP($C372,'PORTIFÓLIO'!C:V,4,0),"")</f>
        <v/>
      </c>
      <c r="G372" s="215" t="str">
        <f>IFERROR(VLOOKUP($C372,'PORTIFÓLIO'!C:V,5,0),"")</f>
        <v/>
      </c>
      <c r="H372" s="254" t="str">
        <f t="array" ref="H372">IFERROR(INDEX('PORTIFÓLIO'!$H$4:$H$433,MATCH($C372,'PORTIFÓLIO'!$C$4:$C$433,0)),"")</f>
        <v/>
      </c>
      <c r="I372" s="256"/>
      <c r="J372" s="218">
        <f t="shared" si="41"/>
        <v>0</v>
      </c>
      <c r="K372" s="292" t="str">
        <f t="array" ref="K372">IFERROR(I372*INDEX('PORTIFÓLIO'!$S$4:$S$433,MATCH($C372,'PORTIFÓLIO'!$C$4:$C$433,0)),"")</f>
        <v/>
      </c>
      <c r="L372" s="292" t="str">
        <f t="array" ref="L372">IFERROR(J372*INDEX('PORTIFÓLIO'!$S$4:$S$433,MATCH($C372,'PORTIFÓLIO'!$C$4:$C$433,0)),"")</f>
        <v/>
      </c>
      <c r="M372" s="220"/>
      <c r="N372" s="220"/>
      <c r="O372" s="220"/>
      <c r="P372" s="220"/>
      <c r="Q372" s="220"/>
      <c r="R372" s="220"/>
      <c r="S372" s="220"/>
      <c r="T372" s="220"/>
      <c r="U372" s="220"/>
      <c r="V372" s="220"/>
      <c r="W372" s="220"/>
    </row>
    <row r="373" ht="15.75" customHeight="1" outlineLevel="1">
      <c r="A373" s="211"/>
      <c r="B373" s="212"/>
      <c r="C373" s="213"/>
      <c r="D373" s="214" t="str">
        <f>IFERROR(VLOOKUP($C373,'PORTIFÓLIO'!C:V,2,0),"")</f>
        <v/>
      </c>
      <c r="E373" s="211" t="str">
        <f>IFERROR(VLOOKUP($C373,'PORTIFÓLIO'!C:V,3,0),"")</f>
        <v/>
      </c>
      <c r="F373" s="211" t="str">
        <f>IFERROR(VLOOKUP($C373,'PORTIFÓLIO'!C:V,4,0),"")</f>
        <v/>
      </c>
      <c r="G373" s="215" t="str">
        <f>IFERROR(VLOOKUP($C373,'PORTIFÓLIO'!C:V,5,0),"")</f>
        <v/>
      </c>
      <c r="H373" s="254" t="str">
        <f t="array" ref="H373">IFERROR(INDEX('PORTIFÓLIO'!$H$4:$H$433,MATCH($C373,'PORTIFÓLIO'!$C$4:$C$433,0)),"")</f>
        <v/>
      </c>
      <c r="I373" s="256"/>
      <c r="J373" s="218">
        <f t="shared" si="41"/>
        <v>0</v>
      </c>
      <c r="K373" s="292" t="str">
        <f t="array" ref="K373">IFERROR(I373*INDEX('PORTIFÓLIO'!$S$4:$S$433,MATCH($C373,'PORTIFÓLIO'!$C$4:$C$433,0)),"")</f>
        <v/>
      </c>
      <c r="L373" s="292" t="str">
        <f t="array" ref="L373">IFERROR(J373*INDEX('PORTIFÓLIO'!$S$4:$S$433,MATCH($C373,'PORTIFÓLIO'!$C$4:$C$433,0)),"")</f>
        <v/>
      </c>
      <c r="M373" s="220"/>
      <c r="N373" s="220"/>
      <c r="O373" s="220"/>
      <c r="P373" s="220"/>
      <c r="Q373" s="220"/>
      <c r="R373" s="220"/>
      <c r="S373" s="220"/>
      <c r="T373" s="220"/>
      <c r="U373" s="220"/>
      <c r="V373" s="220"/>
      <c r="W373" s="220"/>
    </row>
    <row r="374" ht="15.75" customHeight="1" outlineLevel="1">
      <c r="A374" s="211"/>
      <c r="B374" s="227"/>
      <c r="C374" s="211"/>
      <c r="D374" s="214" t="str">
        <f>IFERROR(VLOOKUP($C374,'PORTIFÓLIO'!C:V,2,0),"")</f>
        <v/>
      </c>
      <c r="E374" s="211" t="str">
        <f>IFERROR(VLOOKUP($C374,'PORTIFÓLIO'!C:V,3,0),"")</f>
        <v/>
      </c>
      <c r="F374" s="211" t="str">
        <f>IFERROR(VLOOKUP($C374,'PORTIFÓLIO'!C:V,4,0),"")</f>
        <v/>
      </c>
      <c r="G374" s="215" t="str">
        <f>IFERROR(VLOOKUP($C374,'PORTIFÓLIO'!C:V,5,0),"")</f>
        <v/>
      </c>
      <c r="H374" s="254" t="str">
        <f t="array" ref="H374">IFERROR(INDEX('PORTIFÓLIO'!$H$4:$H$433,MATCH($C374,'PORTIFÓLIO'!$C$4:$C$433,0)),"")</f>
        <v/>
      </c>
      <c r="I374" s="256"/>
      <c r="J374" s="218"/>
      <c r="K374" s="292" t="str">
        <f t="array" ref="K374">IFERROR(I374*INDEX('PORTIFÓLIO'!$S$4:$S$433,MATCH($C374,'PORTIFÓLIO'!$C$4:$C$433,0)),"")</f>
        <v/>
      </c>
      <c r="L374" s="292" t="str">
        <f t="array" ref="L374">IFERROR(J374*INDEX('PORTIFÓLIO'!$S$4:$S$433,MATCH($C374,'PORTIFÓLIO'!$C$4:$C$433,0)),"")</f>
        <v/>
      </c>
      <c r="M374" s="220"/>
      <c r="N374" s="220"/>
      <c r="O374" s="220"/>
      <c r="P374" s="220"/>
      <c r="Q374" s="220"/>
      <c r="R374" s="220"/>
      <c r="S374" s="220"/>
      <c r="T374" s="220"/>
      <c r="U374" s="220"/>
      <c r="V374" s="220"/>
      <c r="W374" s="220"/>
    </row>
    <row r="375" ht="15.75" customHeight="1">
      <c r="A375" s="229" t="s">
        <v>1192</v>
      </c>
      <c r="B375" s="230"/>
      <c r="C375" s="231"/>
      <c r="D375" s="232"/>
      <c r="E375" s="231"/>
      <c r="F375" s="231"/>
      <c r="G375" s="233"/>
      <c r="H375" s="233"/>
      <c r="I375" s="258"/>
      <c r="J375" s="236"/>
      <c r="K375" s="237">
        <f t="shared" ref="K375:L375" si="42">SUBTOTAL(9,K376:K389)</f>
        <v>0</v>
      </c>
      <c r="L375" s="237">
        <f t="shared" si="42"/>
        <v>0</v>
      </c>
      <c r="M375" s="220"/>
      <c r="N375" s="220"/>
      <c r="O375" s="220"/>
      <c r="P375" s="220"/>
      <c r="Q375" s="220"/>
      <c r="R375" s="220"/>
      <c r="S375" s="220"/>
      <c r="T375" s="220"/>
      <c r="U375" s="220"/>
      <c r="V375" s="220"/>
      <c r="W375" s="220"/>
    </row>
    <row r="376" ht="15.75" customHeight="1" outlineLevel="1">
      <c r="A376" s="213"/>
      <c r="B376" s="212"/>
      <c r="C376" s="213"/>
      <c r="D376" s="214" t="str">
        <f>IFERROR(VLOOKUP($C376,'PORTIFÓLIO'!C:V,2,0),"")</f>
        <v/>
      </c>
      <c r="E376" s="211" t="str">
        <f>IFERROR(VLOOKUP($C376,'PORTIFÓLIO'!C:V,3,0),"")</f>
        <v/>
      </c>
      <c r="F376" s="211" t="str">
        <f>IFERROR(VLOOKUP($C376,'PORTIFÓLIO'!C:V,4,0),"")</f>
        <v/>
      </c>
      <c r="G376" s="215" t="str">
        <f>IFERROR(VLOOKUP($C376,'PORTIFÓLIO'!C:V,5,0),"")</f>
        <v/>
      </c>
      <c r="H376" s="254" t="str">
        <f t="array" ref="H376">IFERROR(INDEX('PORTIFÓLIO'!$H$4:$H$433,MATCH($C376,'PORTIFÓLIO'!$C$4:$C$433,0)),"")</f>
        <v/>
      </c>
      <c r="I376" s="255"/>
      <c r="J376" s="218">
        <f t="shared" ref="J376:J390" si="43">I376*$B$2</f>
        <v>0</v>
      </c>
      <c r="K376" s="292" t="str">
        <f t="array" ref="K376">IFERROR(I376*INDEX('PORTIFÓLIO'!$S$4:$S$433,MATCH($C376,'PORTIFÓLIO'!$C$4:$C$433,0)),"")</f>
        <v/>
      </c>
      <c r="L376" s="292" t="str">
        <f t="array" ref="L376">IFERROR(J376*INDEX('PORTIFÓLIO'!$S$4:$S$433,MATCH($C376,'PORTIFÓLIO'!$C$4:$C$433,0)),"")</f>
        <v/>
      </c>
      <c r="M376" s="220"/>
      <c r="N376" s="220"/>
      <c r="O376" s="220"/>
      <c r="P376" s="220"/>
      <c r="Q376" s="220"/>
      <c r="R376" s="220"/>
      <c r="S376" s="220"/>
      <c r="T376" s="220"/>
      <c r="U376" s="220"/>
      <c r="V376" s="220"/>
      <c r="W376" s="220"/>
    </row>
    <row r="377" ht="15.75" customHeight="1" outlineLevel="1">
      <c r="A377" s="211"/>
      <c r="B377" s="212"/>
      <c r="C377" s="213"/>
      <c r="D377" s="214" t="str">
        <f>IFERROR(VLOOKUP($C377,'PORTIFÓLIO'!C:V,2,0),"")</f>
        <v/>
      </c>
      <c r="E377" s="211" t="str">
        <f>IFERROR(VLOOKUP($C377,'PORTIFÓLIO'!C:V,3,0),"")</f>
        <v/>
      </c>
      <c r="F377" s="211" t="str">
        <f>IFERROR(VLOOKUP($C377,'PORTIFÓLIO'!C:V,4,0),"")</f>
        <v/>
      </c>
      <c r="G377" s="215" t="str">
        <f>IFERROR(VLOOKUP($C377,'PORTIFÓLIO'!C:V,5,0),"")</f>
        <v/>
      </c>
      <c r="H377" s="254" t="str">
        <f t="array" ref="H377">IFERROR(INDEX('PORTIFÓLIO'!$H$4:$H$433,MATCH($C377,'PORTIFÓLIO'!$C$4:$C$433,0)),"")</f>
        <v/>
      </c>
      <c r="I377" s="256"/>
      <c r="J377" s="218">
        <f t="shared" si="43"/>
        <v>0</v>
      </c>
      <c r="K377" s="292" t="str">
        <f t="array" ref="K377">IFERROR(I377*INDEX('PORTIFÓLIO'!$S$4:$S$433,MATCH($C377,'PORTIFÓLIO'!$C$4:$C$433,0)),"")</f>
        <v/>
      </c>
      <c r="L377" s="292" t="str">
        <f t="array" ref="L377">IFERROR(J377*INDEX('PORTIFÓLIO'!$S$4:$S$433,MATCH($C377,'PORTIFÓLIO'!$C$4:$C$433,0)),"")</f>
        <v/>
      </c>
      <c r="M377" s="220"/>
      <c r="N377" s="220"/>
      <c r="O377" s="220"/>
      <c r="P377" s="220"/>
      <c r="Q377" s="220"/>
      <c r="R377" s="220"/>
      <c r="S377" s="220"/>
      <c r="T377" s="220"/>
      <c r="U377" s="220"/>
      <c r="V377" s="220"/>
      <c r="W377" s="220"/>
    </row>
    <row r="378" ht="15.75" customHeight="1" outlineLevel="1">
      <c r="A378" s="211"/>
      <c r="B378" s="212"/>
      <c r="C378" s="213"/>
      <c r="D378" s="214" t="str">
        <f>IFERROR(VLOOKUP($C378,'PORTIFÓLIO'!C:V,2,0),"")</f>
        <v/>
      </c>
      <c r="E378" s="211" t="str">
        <f>IFERROR(VLOOKUP($C378,'PORTIFÓLIO'!C:V,3,0),"")</f>
        <v/>
      </c>
      <c r="F378" s="211" t="str">
        <f>IFERROR(VLOOKUP($C378,'PORTIFÓLIO'!C:V,4,0),"")</f>
        <v/>
      </c>
      <c r="G378" s="215" t="str">
        <f>IFERROR(VLOOKUP($C378,'PORTIFÓLIO'!C:V,5,0),"")</f>
        <v/>
      </c>
      <c r="H378" s="254" t="str">
        <f t="array" ref="H378">IFERROR(INDEX('PORTIFÓLIO'!$H$4:$H$433,MATCH($C378,'PORTIFÓLIO'!$C$4:$C$433,0)),"")</f>
        <v/>
      </c>
      <c r="I378" s="256"/>
      <c r="J378" s="218">
        <f t="shared" si="43"/>
        <v>0</v>
      </c>
      <c r="K378" s="292" t="str">
        <f t="array" ref="K378">IFERROR(I378*INDEX('PORTIFÓLIO'!$S$4:$S$433,MATCH($C378,'PORTIFÓLIO'!$C$4:$C$433,0)),"")</f>
        <v/>
      </c>
      <c r="L378" s="292" t="str">
        <f t="array" ref="L378">IFERROR(J378*INDEX('PORTIFÓLIO'!$S$4:$S$433,MATCH($C378,'PORTIFÓLIO'!$C$4:$C$433,0)),"")</f>
        <v/>
      </c>
      <c r="M378" s="220"/>
      <c r="N378" s="220"/>
      <c r="O378" s="220"/>
      <c r="P378" s="220"/>
      <c r="Q378" s="220"/>
      <c r="R378" s="220"/>
      <c r="S378" s="220"/>
      <c r="T378" s="220"/>
      <c r="U378" s="220"/>
      <c r="V378" s="220"/>
      <c r="W378" s="220"/>
    </row>
    <row r="379" ht="15.75" customHeight="1" outlineLevel="1">
      <c r="A379" s="211"/>
      <c r="B379" s="212"/>
      <c r="C379" s="213"/>
      <c r="D379" s="214" t="str">
        <f>IFERROR(VLOOKUP($C379,'PORTIFÓLIO'!C:V,2,0),"")</f>
        <v/>
      </c>
      <c r="E379" s="211" t="str">
        <f>IFERROR(VLOOKUP($C379,'PORTIFÓLIO'!C:V,3,0),"")</f>
        <v/>
      </c>
      <c r="F379" s="211" t="str">
        <f>IFERROR(VLOOKUP($C379,'PORTIFÓLIO'!C:V,4,0),"")</f>
        <v/>
      </c>
      <c r="G379" s="215" t="str">
        <f>IFERROR(VLOOKUP($C379,'PORTIFÓLIO'!C:V,5,0),"")</f>
        <v/>
      </c>
      <c r="H379" s="254" t="str">
        <f t="array" ref="H379">IFERROR(INDEX('PORTIFÓLIO'!$H$4:$H$433,MATCH($C379,'PORTIFÓLIO'!$C$4:$C$433,0)),"")</f>
        <v/>
      </c>
      <c r="I379" s="256"/>
      <c r="J379" s="218">
        <f t="shared" si="43"/>
        <v>0</v>
      </c>
      <c r="K379" s="292" t="str">
        <f t="array" ref="K379">IFERROR(I379*INDEX('PORTIFÓLIO'!$S$4:$S$433,MATCH($C379,'PORTIFÓLIO'!$C$4:$C$433,0)),"")</f>
        <v/>
      </c>
      <c r="L379" s="292" t="str">
        <f t="array" ref="L379">IFERROR(J379*INDEX('PORTIFÓLIO'!$S$4:$S$433,MATCH($C379,'PORTIFÓLIO'!$C$4:$C$433,0)),"")</f>
        <v/>
      </c>
      <c r="M379" s="220"/>
      <c r="N379" s="220"/>
      <c r="O379" s="220"/>
      <c r="P379" s="220"/>
      <c r="Q379" s="220"/>
      <c r="R379" s="220"/>
      <c r="S379" s="220"/>
      <c r="T379" s="220"/>
      <c r="U379" s="220"/>
      <c r="V379" s="220"/>
      <c r="W379" s="220"/>
    </row>
    <row r="380" ht="15.75" customHeight="1" outlineLevel="1">
      <c r="A380" s="211"/>
      <c r="B380" s="212"/>
      <c r="C380" s="213"/>
      <c r="D380" s="214" t="str">
        <f>IFERROR(VLOOKUP($C380,'PORTIFÓLIO'!C:V,2,0),"")</f>
        <v/>
      </c>
      <c r="E380" s="211" t="str">
        <f>IFERROR(VLOOKUP($C380,'PORTIFÓLIO'!C:V,3,0),"")</f>
        <v/>
      </c>
      <c r="F380" s="211" t="str">
        <f>IFERROR(VLOOKUP($C380,'PORTIFÓLIO'!C:V,4,0),"")</f>
        <v/>
      </c>
      <c r="G380" s="215" t="str">
        <f>IFERROR(VLOOKUP($C380,'PORTIFÓLIO'!C:V,5,0),"")</f>
        <v/>
      </c>
      <c r="H380" s="254" t="str">
        <f t="array" ref="H380">IFERROR(INDEX('PORTIFÓLIO'!$H$4:$H$433,MATCH($C380,'PORTIFÓLIO'!$C$4:$C$433,0)),"")</f>
        <v/>
      </c>
      <c r="I380" s="256"/>
      <c r="J380" s="218">
        <f t="shared" si="43"/>
        <v>0</v>
      </c>
      <c r="K380" s="292" t="str">
        <f t="array" ref="K380">IFERROR(I380*INDEX('PORTIFÓLIO'!$S$4:$S$433,MATCH($C380,'PORTIFÓLIO'!$C$4:$C$433,0)),"")</f>
        <v/>
      </c>
      <c r="L380" s="292" t="str">
        <f t="array" ref="L380">IFERROR(J380*INDEX('PORTIFÓLIO'!$S$4:$S$433,MATCH($C380,'PORTIFÓLIO'!$C$4:$C$433,0)),"")</f>
        <v/>
      </c>
      <c r="M380" s="220"/>
      <c r="N380" s="220"/>
      <c r="O380" s="220"/>
      <c r="P380" s="220"/>
      <c r="Q380" s="220"/>
      <c r="R380" s="220"/>
      <c r="S380" s="220"/>
      <c r="T380" s="220"/>
      <c r="U380" s="220"/>
      <c r="V380" s="220"/>
      <c r="W380" s="220"/>
    </row>
    <row r="381" ht="15.75" customHeight="1" outlineLevel="1">
      <c r="A381" s="211"/>
      <c r="B381" s="212"/>
      <c r="C381" s="213"/>
      <c r="D381" s="214" t="str">
        <f>IFERROR(VLOOKUP($C381,'PORTIFÓLIO'!C:V,2,0),"")</f>
        <v/>
      </c>
      <c r="E381" s="211" t="str">
        <f>IFERROR(VLOOKUP($C381,'PORTIFÓLIO'!C:V,3,0),"")</f>
        <v/>
      </c>
      <c r="F381" s="211" t="str">
        <f>IFERROR(VLOOKUP($C381,'PORTIFÓLIO'!C:V,4,0),"")</f>
        <v/>
      </c>
      <c r="G381" s="215" t="str">
        <f>IFERROR(VLOOKUP($C381,'PORTIFÓLIO'!C:V,5,0),"")</f>
        <v/>
      </c>
      <c r="H381" s="254" t="str">
        <f t="array" ref="H381">IFERROR(INDEX('PORTIFÓLIO'!$H$4:$H$433,MATCH($C381,'PORTIFÓLIO'!$C$4:$C$433,0)),"")</f>
        <v/>
      </c>
      <c r="I381" s="256"/>
      <c r="J381" s="218">
        <f t="shared" si="43"/>
        <v>0</v>
      </c>
      <c r="K381" s="292" t="str">
        <f t="array" ref="K381">IFERROR(I381*INDEX('PORTIFÓLIO'!$S$4:$S$433,MATCH($C381,'PORTIFÓLIO'!$C$4:$C$433,0)),"")</f>
        <v/>
      </c>
      <c r="L381" s="292" t="str">
        <f t="array" ref="L381">IFERROR(J381*INDEX('PORTIFÓLIO'!$S$4:$S$433,MATCH($C381,'PORTIFÓLIO'!$C$4:$C$433,0)),"")</f>
        <v/>
      </c>
      <c r="M381" s="220"/>
      <c r="N381" s="220"/>
      <c r="O381" s="220"/>
      <c r="P381" s="220"/>
      <c r="Q381" s="220"/>
      <c r="R381" s="220"/>
      <c r="S381" s="220"/>
      <c r="T381" s="220"/>
      <c r="U381" s="220"/>
      <c r="V381" s="220"/>
      <c r="W381" s="220"/>
    </row>
    <row r="382" ht="15.75" customHeight="1" outlineLevel="1">
      <c r="A382" s="211"/>
      <c r="B382" s="212"/>
      <c r="C382" s="213"/>
      <c r="D382" s="214" t="str">
        <f>IFERROR(VLOOKUP($C382,'PORTIFÓLIO'!C:V,2,0),"")</f>
        <v/>
      </c>
      <c r="E382" s="211" t="str">
        <f>IFERROR(VLOOKUP($C382,'PORTIFÓLIO'!C:V,3,0),"")</f>
        <v/>
      </c>
      <c r="F382" s="211" t="str">
        <f>IFERROR(VLOOKUP($C382,'PORTIFÓLIO'!C:V,4,0),"")</f>
        <v/>
      </c>
      <c r="G382" s="215" t="str">
        <f>IFERROR(VLOOKUP($C382,'PORTIFÓLIO'!C:V,5,0),"")</f>
        <v/>
      </c>
      <c r="H382" s="254" t="str">
        <f t="array" ref="H382">IFERROR(INDEX('PORTIFÓLIO'!$H$4:$H$433,MATCH($C382,'PORTIFÓLIO'!$C$4:$C$433,0)),"")</f>
        <v/>
      </c>
      <c r="I382" s="256"/>
      <c r="J382" s="218">
        <f t="shared" si="43"/>
        <v>0</v>
      </c>
      <c r="K382" s="292" t="str">
        <f t="array" ref="K382">IFERROR(I382*INDEX('PORTIFÓLIO'!$S$4:$S$433,MATCH($C382,'PORTIFÓLIO'!$C$4:$C$433,0)),"")</f>
        <v/>
      </c>
      <c r="L382" s="292" t="str">
        <f t="array" ref="L382">IFERROR(J382*INDEX('PORTIFÓLIO'!$S$4:$S$433,MATCH($C382,'PORTIFÓLIO'!$C$4:$C$433,0)),"")</f>
        <v/>
      </c>
      <c r="M382" s="220"/>
      <c r="N382" s="220"/>
      <c r="O382" s="220"/>
      <c r="P382" s="220"/>
      <c r="Q382" s="220"/>
      <c r="R382" s="220"/>
      <c r="S382" s="220"/>
      <c r="T382" s="220"/>
      <c r="U382" s="220"/>
      <c r="V382" s="220"/>
      <c r="W382" s="220"/>
    </row>
    <row r="383" ht="15.75" customHeight="1" outlineLevel="1">
      <c r="A383" s="211"/>
      <c r="B383" s="212"/>
      <c r="C383" s="213"/>
      <c r="D383" s="214" t="str">
        <f>IFERROR(VLOOKUP($C383,'PORTIFÓLIO'!C:V,2,0),"")</f>
        <v/>
      </c>
      <c r="E383" s="211" t="str">
        <f>IFERROR(VLOOKUP($C383,'PORTIFÓLIO'!C:V,3,0),"")</f>
        <v/>
      </c>
      <c r="F383" s="211" t="str">
        <f>IFERROR(VLOOKUP($C383,'PORTIFÓLIO'!C:V,4,0),"")</f>
        <v/>
      </c>
      <c r="G383" s="215" t="str">
        <f>IFERROR(VLOOKUP($C383,'PORTIFÓLIO'!C:V,5,0),"")</f>
        <v/>
      </c>
      <c r="H383" s="254" t="str">
        <f t="array" ref="H383">IFERROR(INDEX('PORTIFÓLIO'!$H$4:$H$433,MATCH($C383,'PORTIFÓLIO'!$C$4:$C$433,0)),"")</f>
        <v/>
      </c>
      <c r="I383" s="256"/>
      <c r="J383" s="218">
        <f t="shared" si="43"/>
        <v>0</v>
      </c>
      <c r="K383" s="292" t="str">
        <f t="array" ref="K383">IFERROR(I383*INDEX('PORTIFÓLIO'!$S$4:$S$433,MATCH($C383,'PORTIFÓLIO'!$C$4:$C$433,0)),"")</f>
        <v/>
      </c>
      <c r="L383" s="292" t="str">
        <f t="array" ref="L383">IFERROR(J383*INDEX('PORTIFÓLIO'!$S$4:$S$433,MATCH($C383,'PORTIFÓLIO'!$C$4:$C$433,0)),"")</f>
        <v/>
      </c>
      <c r="M383" s="220"/>
      <c r="N383" s="220"/>
      <c r="O383" s="220"/>
      <c r="P383" s="220"/>
      <c r="Q383" s="220"/>
      <c r="R383" s="220"/>
      <c r="S383" s="220"/>
      <c r="T383" s="220"/>
      <c r="U383" s="220"/>
      <c r="V383" s="220"/>
      <c r="W383" s="220"/>
    </row>
    <row r="384" ht="15.75" customHeight="1" outlineLevel="1">
      <c r="A384" s="211"/>
      <c r="B384" s="212"/>
      <c r="C384" s="213"/>
      <c r="D384" s="214" t="str">
        <f>IFERROR(VLOOKUP($C384,'PORTIFÓLIO'!C:V,2,0),"")</f>
        <v/>
      </c>
      <c r="E384" s="211" t="str">
        <f>IFERROR(VLOOKUP($C384,'PORTIFÓLIO'!C:V,3,0),"")</f>
        <v/>
      </c>
      <c r="F384" s="211" t="str">
        <f>IFERROR(VLOOKUP($C384,'PORTIFÓLIO'!C:V,4,0),"")</f>
        <v/>
      </c>
      <c r="G384" s="215" t="str">
        <f>IFERROR(VLOOKUP($C384,'PORTIFÓLIO'!C:V,5,0),"")</f>
        <v/>
      </c>
      <c r="H384" s="254" t="str">
        <f t="array" ref="H384">IFERROR(INDEX('PORTIFÓLIO'!$H$4:$H$433,MATCH($C384,'PORTIFÓLIO'!$C$4:$C$433,0)),"")</f>
        <v/>
      </c>
      <c r="I384" s="255"/>
      <c r="J384" s="218">
        <f t="shared" si="43"/>
        <v>0</v>
      </c>
      <c r="K384" s="292" t="str">
        <f t="array" ref="K384">IFERROR(I384*INDEX('PORTIFÓLIO'!$S$4:$S$433,MATCH($C384,'PORTIFÓLIO'!$C$4:$C$433,0)),"")</f>
        <v/>
      </c>
      <c r="L384" s="292" t="str">
        <f t="array" ref="L384">IFERROR(J384*INDEX('PORTIFÓLIO'!$S$4:$S$433,MATCH($C384,'PORTIFÓLIO'!$C$4:$C$433,0)),"")</f>
        <v/>
      </c>
      <c r="M384" s="220"/>
      <c r="N384" s="220"/>
      <c r="O384" s="220"/>
      <c r="P384" s="220"/>
      <c r="Q384" s="220"/>
      <c r="R384" s="220"/>
      <c r="S384" s="220"/>
      <c r="T384" s="220"/>
      <c r="U384" s="220"/>
      <c r="V384" s="220"/>
      <c r="W384" s="220"/>
    </row>
    <row r="385" ht="15.75" customHeight="1" outlineLevel="1">
      <c r="A385" s="211"/>
      <c r="B385" s="212"/>
      <c r="C385" s="213"/>
      <c r="D385" s="214" t="str">
        <f>IFERROR(VLOOKUP($C385,'PORTIFÓLIO'!C:V,2,0),"")</f>
        <v/>
      </c>
      <c r="E385" s="211" t="str">
        <f>IFERROR(VLOOKUP($C385,'PORTIFÓLIO'!C:V,3,0),"")</f>
        <v/>
      </c>
      <c r="F385" s="211" t="str">
        <f>IFERROR(VLOOKUP($C385,'PORTIFÓLIO'!C:V,4,0),"")</f>
        <v/>
      </c>
      <c r="G385" s="215" t="str">
        <f>IFERROR(VLOOKUP($C385,'PORTIFÓLIO'!C:V,5,0),"")</f>
        <v/>
      </c>
      <c r="H385" s="254" t="str">
        <f t="array" ref="H385">IFERROR(INDEX('PORTIFÓLIO'!$H$4:$H$433,MATCH($C385,'PORTIFÓLIO'!$C$4:$C$433,0)),"")</f>
        <v/>
      </c>
      <c r="I385" s="256"/>
      <c r="J385" s="218">
        <f t="shared" si="43"/>
        <v>0</v>
      </c>
      <c r="K385" s="292" t="str">
        <f t="array" ref="K385">IFERROR(I385*INDEX('PORTIFÓLIO'!$S$4:$S$433,MATCH($C385,'PORTIFÓLIO'!$C$4:$C$433,0)),"")</f>
        <v/>
      </c>
      <c r="L385" s="292" t="str">
        <f t="array" ref="L385">IFERROR(J385*INDEX('PORTIFÓLIO'!$S$4:$S$433,MATCH($C385,'PORTIFÓLIO'!$C$4:$C$433,0)),"")</f>
        <v/>
      </c>
      <c r="M385" s="220"/>
      <c r="N385" s="220"/>
      <c r="O385" s="220"/>
      <c r="P385" s="220"/>
      <c r="Q385" s="220"/>
      <c r="R385" s="220"/>
      <c r="S385" s="220"/>
      <c r="T385" s="220"/>
      <c r="U385" s="220"/>
      <c r="V385" s="220"/>
      <c r="W385" s="220"/>
    </row>
    <row r="386" ht="15.75" customHeight="1" outlineLevel="1">
      <c r="A386" s="211"/>
      <c r="B386" s="212"/>
      <c r="C386" s="213"/>
      <c r="D386" s="214" t="str">
        <f>IFERROR(VLOOKUP($C386,'PORTIFÓLIO'!C:V,2,0),"")</f>
        <v/>
      </c>
      <c r="E386" s="211" t="str">
        <f>IFERROR(VLOOKUP($C386,'PORTIFÓLIO'!C:V,3,0),"")</f>
        <v/>
      </c>
      <c r="F386" s="211" t="str">
        <f>IFERROR(VLOOKUP($C386,'PORTIFÓLIO'!C:V,4,0),"")</f>
        <v/>
      </c>
      <c r="G386" s="215" t="str">
        <f>IFERROR(VLOOKUP($C386,'PORTIFÓLIO'!C:V,5,0),"")</f>
        <v/>
      </c>
      <c r="H386" s="254" t="str">
        <f t="array" ref="H386">IFERROR(INDEX('PORTIFÓLIO'!$H$4:$H$433,MATCH($C386,'PORTIFÓLIO'!$C$4:$C$433,0)),"")</f>
        <v/>
      </c>
      <c r="I386" s="256"/>
      <c r="J386" s="218">
        <f t="shared" si="43"/>
        <v>0</v>
      </c>
      <c r="K386" s="292" t="str">
        <f t="array" ref="K386">IFERROR(I386*INDEX('PORTIFÓLIO'!$S$4:$S$433,MATCH($C386,'PORTIFÓLIO'!$C$4:$C$433,0)),"")</f>
        <v/>
      </c>
      <c r="L386" s="292" t="str">
        <f t="array" ref="L386">IFERROR(J386*INDEX('PORTIFÓLIO'!$S$4:$S$433,MATCH($C386,'PORTIFÓLIO'!$C$4:$C$433,0)),"")</f>
        <v/>
      </c>
      <c r="M386" s="220"/>
      <c r="N386" s="220"/>
      <c r="O386" s="220"/>
      <c r="P386" s="220"/>
      <c r="Q386" s="220"/>
      <c r="R386" s="220"/>
      <c r="S386" s="220"/>
      <c r="T386" s="220"/>
      <c r="U386" s="220"/>
      <c r="V386" s="220"/>
      <c r="W386" s="220"/>
    </row>
    <row r="387" ht="15.75" customHeight="1" outlineLevel="1">
      <c r="A387" s="211"/>
      <c r="B387" s="212"/>
      <c r="C387" s="213"/>
      <c r="D387" s="214" t="str">
        <f>IFERROR(VLOOKUP($C387,'PORTIFÓLIO'!C:V,2,0),"")</f>
        <v/>
      </c>
      <c r="E387" s="211" t="str">
        <f>IFERROR(VLOOKUP($C387,'PORTIFÓLIO'!C:V,3,0),"")</f>
        <v/>
      </c>
      <c r="F387" s="211" t="str">
        <f>IFERROR(VLOOKUP($C387,'PORTIFÓLIO'!C:V,4,0),"")</f>
        <v/>
      </c>
      <c r="G387" s="215" t="str">
        <f>IFERROR(VLOOKUP($C387,'PORTIFÓLIO'!C:V,5,0),"")</f>
        <v/>
      </c>
      <c r="H387" s="254" t="str">
        <f t="array" ref="H387">IFERROR(INDEX('PORTIFÓLIO'!$H$4:$H$433,MATCH($C387,'PORTIFÓLIO'!$C$4:$C$433,0)),"")</f>
        <v/>
      </c>
      <c r="I387" s="256"/>
      <c r="J387" s="218">
        <f t="shared" si="43"/>
        <v>0</v>
      </c>
      <c r="K387" s="292" t="str">
        <f t="array" ref="K387">IFERROR(I387*INDEX('PORTIFÓLIO'!$S$4:$S$433,MATCH($C387,'PORTIFÓLIO'!$C$4:$C$433,0)),"")</f>
        <v/>
      </c>
      <c r="L387" s="292" t="str">
        <f t="array" ref="L387">IFERROR(J387*INDEX('PORTIFÓLIO'!$S$4:$S$433,MATCH($C387,'PORTIFÓLIO'!$C$4:$C$433,0)),"")</f>
        <v/>
      </c>
      <c r="M387" s="220"/>
      <c r="N387" s="220"/>
      <c r="O387" s="220"/>
      <c r="P387" s="220"/>
      <c r="Q387" s="220"/>
      <c r="R387" s="220"/>
      <c r="S387" s="220"/>
      <c r="T387" s="220"/>
      <c r="U387" s="220"/>
      <c r="V387" s="220"/>
      <c r="W387" s="220"/>
    </row>
    <row r="388" ht="15.75" customHeight="1" outlineLevel="1">
      <c r="A388" s="211"/>
      <c r="B388" s="212"/>
      <c r="C388" s="213"/>
      <c r="D388" s="214" t="str">
        <f>IFERROR(VLOOKUP($C388,'PORTIFÓLIO'!C:V,2,0),"")</f>
        <v/>
      </c>
      <c r="E388" s="211" t="str">
        <f>IFERROR(VLOOKUP($C388,'PORTIFÓLIO'!C:V,3,0),"")</f>
        <v/>
      </c>
      <c r="F388" s="211" t="str">
        <f>IFERROR(VLOOKUP($C388,'PORTIFÓLIO'!C:V,4,0),"")</f>
        <v/>
      </c>
      <c r="G388" s="215" t="str">
        <f>IFERROR(VLOOKUP($C388,'PORTIFÓLIO'!C:V,5,0),"")</f>
        <v/>
      </c>
      <c r="H388" s="254" t="str">
        <f t="array" ref="H388">IFERROR(INDEX('PORTIFÓLIO'!$H$4:$H$433,MATCH($C388,'PORTIFÓLIO'!$C$4:$C$433,0)),"")</f>
        <v/>
      </c>
      <c r="I388" s="256"/>
      <c r="J388" s="218">
        <f t="shared" si="43"/>
        <v>0</v>
      </c>
      <c r="K388" s="292" t="str">
        <f t="array" ref="K388">IFERROR(I388*INDEX('PORTIFÓLIO'!$S$4:$S$433,MATCH($C388,'PORTIFÓLIO'!$C$4:$C$433,0)),"")</f>
        <v/>
      </c>
      <c r="L388" s="292" t="str">
        <f t="array" ref="L388">IFERROR(J388*INDEX('PORTIFÓLIO'!$S$4:$S$433,MATCH($C388,'PORTIFÓLIO'!$C$4:$C$433,0)),"")</f>
        <v/>
      </c>
      <c r="M388" s="220"/>
      <c r="N388" s="220"/>
      <c r="O388" s="220"/>
      <c r="P388" s="220"/>
      <c r="Q388" s="220"/>
      <c r="R388" s="220"/>
      <c r="S388" s="220"/>
      <c r="T388" s="220"/>
      <c r="U388" s="220"/>
      <c r="V388" s="220"/>
      <c r="W388" s="220"/>
    </row>
    <row r="389" ht="15.75" customHeight="1" outlineLevel="1">
      <c r="A389" s="211"/>
      <c r="B389" s="212"/>
      <c r="C389" s="213"/>
      <c r="D389" s="214" t="str">
        <f>IFERROR(VLOOKUP($C389,'PORTIFÓLIO'!C:V,2,0),"")</f>
        <v/>
      </c>
      <c r="E389" s="211" t="str">
        <f>IFERROR(VLOOKUP($C389,'PORTIFÓLIO'!C:V,3,0),"")</f>
        <v/>
      </c>
      <c r="F389" s="211" t="str">
        <f>IFERROR(VLOOKUP($C389,'PORTIFÓLIO'!C:V,4,0),"")</f>
        <v/>
      </c>
      <c r="G389" s="215" t="str">
        <f>IFERROR(VLOOKUP($C389,'PORTIFÓLIO'!C:V,5,0),"")</f>
        <v/>
      </c>
      <c r="H389" s="254" t="str">
        <f t="array" ref="H389">IFERROR(INDEX('PORTIFÓLIO'!$H$4:$H$433,MATCH($C389,'PORTIFÓLIO'!$C$4:$C$433,0)),"")</f>
        <v/>
      </c>
      <c r="I389" s="256"/>
      <c r="J389" s="218">
        <f t="shared" si="43"/>
        <v>0</v>
      </c>
      <c r="K389" s="292" t="str">
        <f t="array" ref="K389">IFERROR(I389*INDEX('PORTIFÓLIO'!$S$4:$S$433,MATCH($C389,'PORTIFÓLIO'!$C$4:$C$433,0)),"")</f>
        <v/>
      </c>
      <c r="L389" s="292" t="str">
        <f t="array" ref="L389">IFERROR(J389*INDEX('PORTIFÓLIO'!$S$4:$S$433,MATCH($C389,'PORTIFÓLIO'!$C$4:$C$433,0)),"")</f>
        <v/>
      </c>
      <c r="M389" s="220"/>
      <c r="N389" s="220"/>
      <c r="O389" s="220"/>
      <c r="P389" s="220"/>
      <c r="Q389" s="220"/>
      <c r="R389" s="220"/>
      <c r="S389" s="220"/>
      <c r="T389" s="220"/>
      <c r="U389" s="220"/>
      <c r="V389" s="220"/>
      <c r="W389" s="220"/>
    </row>
    <row r="390" ht="15.75" customHeight="1" outlineLevel="1">
      <c r="A390" s="211"/>
      <c r="B390" s="212"/>
      <c r="C390" s="213"/>
      <c r="D390" s="214" t="str">
        <f>IFERROR(VLOOKUP($C390,'PORTIFÓLIO'!C:V,2,0),"")</f>
        <v/>
      </c>
      <c r="E390" s="211" t="str">
        <f>IFERROR(VLOOKUP($C390,'PORTIFÓLIO'!C:V,3,0),"")</f>
        <v/>
      </c>
      <c r="F390" s="211" t="str">
        <f>IFERROR(VLOOKUP($C390,'PORTIFÓLIO'!C:V,4,0),"")</f>
        <v/>
      </c>
      <c r="G390" s="215" t="str">
        <f>IFERROR(VLOOKUP($C390,'PORTIFÓLIO'!C:V,5,0),"")</f>
        <v/>
      </c>
      <c r="H390" s="254" t="str">
        <f t="array" ref="H390">IFERROR(INDEX('PORTIFÓLIO'!$H$4:$H$433,MATCH($C390,'PORTIFÓLIO'!$C$4:$C$433,0)),"")</f>
        <v/>
      </c>
      <c r="I390" s="256"/>
      <c r="J390" s="218">
        <f t="shared" si="43"/>
        <v>0</v>
      </c>
      <c r="K390" s="292" t="str">
        <f t="array" ref="K390">IFERROR(I390*INDEX('PORTIFÓLIO'!$S$4:$S$433,MATCH($C390,'PORTIFÓLIO'!$C$4:$C$433,0)),"")</f>
        <v/>
      </c>
      <c r="L390" s="292" t="str">
        <f t="array" ref="L390">IFERROR(J390*INDEX('PORTIFÓLIO'!$S$4:$S$433,MATCH($C390,'PORTIFÓLIO'!$C$4:$C$433,0)),"")</f>
        <v/>
      </c>
      <c r="M390" s="220"/>
      <c r="N390" s="220"/>
      <c r="O390" s="220"/>
      <c r="P390" s="220"/>
      <c r="Q390" s="220"/>
      <c r="R390" s="220"/>
      <c r="S390" s="220"/>
      <c r="T390" s="220"/>
      <c r="U390" s="220"/>
      <c r="V390" s="220"/>
      <c r="W390" s="220"/>
    </row>
    <row r="391" ht="15.75" customHeight="1" outlineLevel="1">
      <c r="A391" s="211"/>
      <c r="B391" s="227"/>
      <c r="C391" s="211"/>
      <c r="D391" s="214" t="str">
        <f>IFERROR(VLOOKUP($C391,'PORTIFÓLIO'!C:V,2,0),"")</f>
        <v/>
      </c>
      <c r="E391" s="211" t="str">
        <f>IFERROR(VLOOKUP($C391,'PORTIFÓLIO'!C:V,3,0),"")</f>
        <v/>
      </c>
      <c r="F391" s="211" t="str">
        <f>IFERROR(VLOOKUP($C391,'PORTIFÓLIO'!C:V,4,0),"")</f>
        <v/>
      </c>
      <c r="G391" s="215" t="str">
        <f>IFERROR(VLOOKUP($C391,'PORTIFÓLIO'!C:V,5,0),"")</f>
        <v/>
      </c>
      <c r="H391" s="254" t="str">
        <f t="array" ref="H391">IFERROR(INDEX('PORTIFÓLIO'!$H$4:$H$433,MATCH($C391,'PORTIFÓLIO'!$C$4:$C$433,0)),"")</f>
        <v/>
      </c>
      <c r="I391" s="256"/>
      <c r="J391" s="218"/>
      <c r="K391" s="292" t="str">
        <f t="array" ref="K391">IFERROR(I391*INDEX('PORTIFÓLIO'!$S$4:$S$433,MATCH($C391,'PORTIFÓLIO'!$C$4:$C$433,0)),"")</f>
        <v/>
      </c>
      <c r="L391" s="292" t="str">
        <f t="array" ref="L391">IFERROR(J391*INDEX('PORTIFÓLIO'!$S$4:$S$433,MATCH($C391,'PORTIFÓLIO'!$C$4:$C$433,0)),"")</f>
        <v/>
      </c>
      <c r="M391" s="220"/>
      <c r="N391" s="220"/>
      <c r="O391" s="220"/>
      <c r="P391" s="220"/>
      <c r="Q391" s="220"/>
      <c r="R391" s="220"/>
      <c r="S391" s="220"/>
      <c r="T391" s="220"/>
      <c r="U391" s="220"/>
      <c r="V391" s="220"/>
      <c r="W391" s="220"/>
    </row>
    <row r="392" ht="15.75" customHeight="1">
      <c r="A392" s="229" t="s">
        <v>1193</v>
      </c>
      <c r="B392" s="230"/>
      <c r="C392" s="231"/>
      <c r="D392" s="232"/>
      <c r="E392" s="231"/>
      <c r="F392" s="231"/>
      <c r="G392" s="233"/>
      <c r="H392" s="233"/>
      <c r="I392" s="258"/>
      <c r="J392" s="236"/>
      <c r="K392" s="237">
        <f t="shared" ref="K392:L392" si="44">SUBTOTAL(9,K393:K406)</f>
        <v>0</v>
      </c>
      <c r="L392" s="237">
        <f t="shared" si="44"/>
        <v>0</v>
      </c>
      <c r="M392" s="220"/>
      <c r="N392" s="220"/>
      <c r="O392" s="220"/>
      <c r="P392" s="220"/>
      <c r="Q392" s="220"/>
      <c r="R392" s="220"/>
      <c r="S392" s="220"/>
      <c r="T392" s="220"/>
      <c r="U392" s="220"/>
      <c r="V392" s="220"/>
      <c r="W392" s="220"/>
    </row>
    <row r="393" ht="15.75" customHeight="1" outlineLevel="1">
      <c r="A393" s="213"/>
      <c r="B393" s="212"/>
      <c r="C393" s="213"/>
      <c r="D393" s="214" t="str">
        <f>IFERROR(VLOOKUP($C393,'PORTIFÓLIO'!C:V,2,0),"")</f>
        <v/>
      </c>
      <c r="E393" s="211" t="str">
        <f>IFERROR(VLOOKUP($C393,'PORTIFÓLIO'!C:V,3,0),"")</f>
        <v/>
      </c>
      <c r="F393" s="211" t="str">
        <f>IFERROR(VLOOKUP($C393,'PORTIFÓLIO'!C:V,4,0),"")</f>
        <v/>
      </c>
      <c r="G393" s="215" t="str">
        <f>IFERROR(VLOOKUP($C393,'PORTIFÓLIO'!C:V,5,0),"")</f>
        <v/>
      </c>
      <c r="H393" s="254" t="str">
        <f t="array" ref="H393">IFERROR(INDEX('PORTIFÓLIO'!$H$4:$H$433,MATCH($C393,'PORTIFÓLIO'!$C$4:$C$433,0)),"")</f>
        <v/>
      </c>
      <c r="I393" s="255"/>
      <c r="J393" s="218">
        <f t="shared" ref="J393:J408" si="45">I393*$B$2</f>
        <v>0</v>
      </c>
      <c r="K393" s="292" t="str">
        <f t="array" ref="K393">IFERROR(I393*INDEX('PORTIFÓLIO'!$S$4:$S$433,MATCH($C393,'PORTIFÓLIO'!$C$4:$C$433,0)),"")</f>
        <v/>
      </c>
      <c r="L393" s="292" t="str">
        <f t="array" ref="L393">IFERROR(J393*INDEX('PORTIFÓLIO'!$S$4:$S$433,MATCH($C393,'PORTIFÓLIO'!$C$4:$C$433,0)),"")</f>
        <v/>
      </c>
      <c r="M393" s="220"/>
      <c r="N393" s="220"/>
      <c r="O393" s="220"/>
      <c r="P393" s="220"/>
      <c r="Q393" s="220"/>
      <c r="R393" s="220"/>
      <c r="S393" s="220"/>
      <c r="T393" s="220"/>
      <c r="U393" s="220"/>
      <c r="V393" s="220"/>
      <c r="W393" s="220"/>
    </row>
    <row r="394" ht="15.75" customHeight="1" outlineLevel="1">
      <c r="A394" s="211"/>
      <c r="B394" s="212"/>
      <c r="C394" s="213"/>
      <c r="D394" s="214" t="str">
        <f>IFERROR(VLOOKUP($C394,'PORTIFÓLIO'!C:V,2,0),"")</f>
        <v/>
      </c>
      <c r="E394" s="211" t="str">
        <f>IFERROR(VLOOKUP($C394,'PORTIFÓLIO'!C:V,3,0),"")</f>
        <v/>
      </c>
      <c r="F394" s="211" t="str">
        <f>IFERROR(VLOOKUP($C394,'PORTIFÓLIO'!C:V,4,0),"")</f>
        <v/>
      </c>
      <c r="G394" s="215" t="str">
        <f>IFERROR(VLOOKUP($C394,'PORTIFÓLIO'!C:V,5,0),"")</f>
        <v/>
      </c>
      <c r="H394" s="254" t="str">
        <f t="array" ref="H394">IFERROR(INDEX('PORTIFÓLIO'!$H$4:$H$433,MATCH($C394,'PORTIFÓLIO'!$C$4:$C$433,0)),"")</f>
        <v/>
      </c>
      <c r="I394" s="256"/>
      <c r="J394" s="218">
        <f t="shared" si="45"/>
        <v>0</v>
      </c>
      <c r="K394" s="292" t="str">
        <f t="array" ref="K394">IFERROR(I394*INDEX('PORTIFÓLIO'!$S$4:$S$433,MATCH($C394,'PORTIFÓLIO'!$C$4:$C$433,0)),"")</f>
        <v/>
      </c>
      <c r="L394" s="292" t="str">
        <f t="array" ref="L394">IFERROR(J394*INDEX('PORTIFÓLIO'!$S$4:$S$433,MATCH($C394,'PORTIFÓLIO'!$C$4:$C$433,0)),"")</f>
        <v/>
      </c>
      <c r="M394" s="220"/>
      <c r="N394" s="220"/>
      <c r="O394" s="220"/>
      <c r="P394" s="220"/>
      <c r="Q394" s="220"/>
      <c r="R394" s="220"/>
      <c r="S394" s="220"/>
      <c r="T394" s="220"/>
      <c r="U394" s="220"/>
      <c r="V394" s="220"/>
      <c r="W394" s="220"/>
    </row>
    <row r="395" ht="15.75" customHeight="1" outlineLevel="1">
      <c r="A395" s="211"/>
      <c r="B395" s="212"/>
      <c r="C395" s="213"/>
      <c r="D395" s="214" t="str">
        <f>IFERROR(VLOOKUP($C395,'PORTIFÓLIO'!C:V,2,0),"")</f>
        <v/>
      </c>
      <c r="E395" s="211" t="str">
        <f>IFERROR(VLOOKUP($C395,'PORTIFÓLIO'!C:V,3,0),"")</f>
        <v/>
      </c>
      <c r="F395" s="211" t="str">
        <f>IFERROR(VLOOKUP($C395,'PORTIFÓLIO'!C:V,4,0),"")</f>
        <v/>
      </c>
      <c r="G395" s="215" t="str">
        <f>IFERROR(VLOOKUP($C395,'PORTIFÓLIO'!C:V,5,0),"")</f>
        <v/>
      </c>
      <c r="H395" s="254" t="str">
        <f t="array" ref="H395">IFERROR(INDEX('PORTIFÓLIO'!$H$4:$H$433,MATCH($C395,'PORTIFÓLIO'!$C$4:$C$433,0)),"")</f>
        <v/>
      </c>
      <c r="I395" s="256"/>
      <c r="J395" s="218">
        <f t="shared" si="45"/>
        <v>0</v>
      </c>
      <c r="K395" s="292" t="str">
        <f t="array" ref="K395">IFERROR(I395*INDEX('PORTIFÓLIO'!$S$4:$S$433,MATCH($C395,'PORTIFÓLIO'!$C$4:$C$433,0)),"")</f>
        <v/>
      </c>
      <c r="L395" s="292" t="str">
        <f t="array" ref="L395">IFERROR(J395*INDEX('PORTIFÓLIO'!$S$4:$S$433,MATCH($C395,'PORTIFÓLIO'!$C$4:$C$433,0)),"")</f>
        <v/>
      </c>
      <c r="M395" s="220"/>
      <c r="N395" s="220"/>
      <c r="O395" s="220"/>
      <c r="P395" s="220"/>
      <c r="Q395" s="220"/>
      <c r="R395" s="220"/>
      <c r="S395" s="220"/>
      <c r="T395" s="220"/>
      <c r="U395" s="220"/>
      <c r="V395" s="220"/>
      <c r="W395" s="220"/>
    </row>
    <row r="396" ht="15.75" customHeight="1" outlineLevel="1">
      <c r="A396" s="211"/>
      <c r="B396" s="212"/>
      <c r="C396" s="213"/>
      <c r="D396" s="214" t="str">
        <f>IFERROR(VLOOKUP($C396,'PORTIFÓLIO'!C:V,2,0),"")</f>
        <v/>
      </c>
      <c r="E396" s="211" t="str">
        <f>IFERROR(VLOOKUP($C396,'PORTIFÓLIO'!C:V,3,0),"")</f>
        <v/>
      </c>
      <c r="F396" s="211" t="str">
        <f>IFERROR(VLOOKUP($C396,'PORTIFÓLIO'!C:V,4,0),"")</f>
        <v/>
      </c>
      <c r="G396" s="215" t="str">
        <f>IFERROR(VLOOKUP($C396,'PORTIFÓLIO'!C:V,5,0),"")</f>
        <v/>
      </c>
      <c r="H396" s="254" t="str">
        <f t="array" ref="H396">IFERROR(INDEX('PORTIFÓLIO'!$H$4:$H$433,MATCH($C396,'PORTIFÓLIO'!$C$4:$C$433,0)),"")</f>
        <v/>
      </c>
      <c r="I396" s="256"/>
      <c r="J396" s="218">
        <f t="shared" si="45"/>
        <v>0</v>
      </c>
      <c r="K396" s="292" t="str">
        <f t="array" ref="K396">IFERROR(I396*INDEX('PORTIFÓLIO'!$S$4:$S$433,MATCH($C396,'PORTIFÓLIO'!$C$4:$C$433,0)),"")</f>
        <v/>
      </c>
      <c r="L396" s="292" t="str">
        <f t="array" ref="L396">IFERROR(J396*INDEX('PORTIFÓLIO'!$S$4:$S$433,MATCH($C396,'PORTIFÓLIO'!$C$4:$C$433,0)),"")</f>
        <v/>
      </c>
      <c r="M396" s="220"/>
      <c r="N396" s="220"/>
      <c r="O396" s="220"/>
      <c r="P396" s="220"/>
      <c r="Q396" s="220"/>
      <c r="R396" s="220"/>
      <c r="S396" s="220"/>
      <c r="T396" s="220"/>
      <c r="U396" s="220"/>
      <c r="V396" s="220"/>
      <c r="W396" s="220"/>
    </row>
    <row r="397" ht="15.75" customHeight="1" outlineLevel="1">
      <c r="A397" s="211"/>
      <c r="B397" s="212"/>
      <c r="C397" s="213"/>
      <c r="D397" s="214" t="str">
        <f>IFERROR(VLOOKUP($C397,'PORTIFÓLIO'!C:V,2,0),"")</f>
        <v/>
      </c>
      <c r="E397" s="211" t="str">
        <f>IFERROR(VLOOKUP($C397,'PORTIFÓLIO'!C:V,3,0),"")</f>
        <v/>
      </c>
      <c r="F397" s="211" t="str">
        <f>IFERROR(VLOOKUP($C397,'PORTIFÓLIO'!C:V,4,0),"")</f>
        <v/>
      </c>
      <c r="G397" s="215" t="str">
        <f>IFERROR(VLOOKUP($C397,'PORTIFÓLIO'!C:V,5,0),"")</f>
        <v/>
      </c>
      <c r="H397" s="254" t="str">
        <f t="array" ref="H397">IFERROR(INDEX('PORTIFÓLIO'!$H$4:$H$433,MATCH($C397,'PORTIFÓLIO'!$C$4:$C$433,0)),"")</f>
        <v/>
      </c>
      <c r="I397" s="256"/>
      <c r="J397" s="218">
        <f t="shared" si="45"/>
        <v>0</v>
      </c>
      <c r="K397" s="292" t="str">
        <f t="array" ref="K397">IFERROR(I397*INDEX('PORTIFÓLIO'!$S$4:$S$433,MATCH($C397,'PORTIFÓLIO'!$C$4:$C$433,0)),"")</f>
        <v/>
      </c>
      <c r="L397" s="292" t="str">
        <f t="array" ref="L397">IFERROR(J397*INDEX('PORTIFÓLIO'!$S$4:$S$433,MATCH($C397,'PORTIFÓLIO'!$C$4:$C$433,0)),"")</f>
        <v/>
      </c>
      <c r="M397" s="220"/>
      <c r="N397" s="220"/>
      <c r="O397" s="220"/>
      <c r="P397" s="220"/>
      <c r="Q397" s="220"/>
      <c r="R397" s="220"/>
      <c r="S397" s="220"/>
      <c r="T397" s="220"/>
      <c r="U397" s="220"/>
      <c r="V397" s="220"/>
      <c r="W397" s="220"/>
    </row>
    <row r="398" ht="15.75" customHeight="1" outlineLevel="1">
      <c r="A398" s="211"/>
      <c r="B398" s="212"/>
      <c r="C398" s="213"/>
      <c r="D398" s="214" t="str">
        <f>IFERROR(VLOOKUP($C398,'PORTIFÓLIO'!C:V,2,0),"")</f>
        <v/>
      </c>
      <c r="E398" s="211" t="str">
        <f>IFERROR(VLOOKUP($C398,'PORTIFÓLIO'!C:V,3,0),"")</f>
        <v/>
      </c>
      <c r="F398" s="211" t="str">
        <f>IFERROR(VLOOKUP($C398,'PORTIFÓLIO'!C:V,4,0),"")</f>
        <v/>
      </c>
      <c r="G398" s="215" t="str">
        <f>IFERROR(VLOOKUP($C398,'PORTIFÓLIO'!C:V,5,0),"")</f>
        <v/>
      </c>
      <c r="H398" s="254" t="str">
        <f t="array" ref="H398">IFERROR(INDEX('PORTIFÓLIO'!$H$4:$H$433,MATCH($C398,'PORTIFÓLIO'!$C$4:$C$433,0)),"")</f>
        <v/>
      </c>
      <c r="I398" s="256"/>
      <c r="J398" s="218">
        <f t="shared" si="45"/>
        <v>0</v>
      </c>
      <c r="K398" s="292" t="str">
        <f t="array" ref="K398">IFERROR(I398*INDEX('PORTIFÓLIO'!$S$4:$S$433,MATCH($C398,'PORTIFÓLIO'!$C$4:$C$433,0)),"")</f>
        <v/>
      </c>
      <c r="L398" s="292" t="str">
        <f t="array" ref="L398">IFERROR(J398*INDEX('PORTIFÓLIO'!$S$4:$S$433,MATCH($C398,'PORTIFÓLIO'!$C$4:$C$433,0)),"")</f>
        <v/>
      </c>
      <c r="M398" s="220"/>
      <c r="N398" s="220"/>
      <c r="O398" s="220"/>
      <c r="P398" s="220"/>
      <c r="Q398" s="220"/>
      <c r="R398" s="220"/>
      <c r="S398" s="220"/>
      <c r="T398" s="220"/>
      <c r="U398" s="220"/>
      <c r="V398" s="220"/>
      <c r="W398" s="220"/>
    </row>
    <row r="399" ht="15.75" customHeight="1" outlineLevel="1">
      <c r="A399" s="211"/>
      <c r="B399" s="212"/>
      <c r="C399" s="213"/>
      <c r="D399" s="214" t="str">
        <f>IFERROR(VLOOKUP($C399,'PORTIFÓLIO'!C:V,2,0),"")</f>
        <v/>
      </c>
      <c r="E399" s="211" t="str">
        <f>IFERROR(VLOOKUP($C399,'PORTIFÓLIO'!C:V,3,0),"")</f>
        <v/>
      </c>
      <c r="F399" s="211" t="str">
        <f>IFERROR(VLOOKUP($C399,'PORTIFÓLIO'!C:V,4,0),"")</f>
        <v/>
      </c>
      <c r="G399" s="215" t="str">
        <f>IFERROR(VLOOKUP($C399,'PORTIFÓLIO'!C:V,5,0),"")</f>
        <v/>
      </c>
      <c r="H399" s="254" t="str">
        <f t="array" ref="H399">IFERROR(INDEX('PORTIFÓLIO'!$H$4:$H$433,MATCH($C399,'PORTIFÓLIO'!$C$4:$C$433,0)),"")</f>
        <v/>
      </c>
      <c r="I399" s="256"/>
      <c r="J399" s="218">
        <f t="shared" si="45"/>
        <v>0</v>
      </c>
      <c r="K399" s="292" t="str">
        <f t="array" ref="K399">IFERROR(I399*INDEX('PORTIFÓLIO'!$S$4:$S$433,MATCH($C399,'PORTIFÓLIO'!$C$4:$C$433,0)),"")</f>
        <v/>
      </c>
      <c r="L399" s="292" t="str">
        <f t="array" ref="L399">IFERROR(J399*INDEX('PORTIFÓLIO'!$S$4:$S$433,MATCH($C399,'PORTIFÓLIO'!$C$4:$C$433,0)),"")</f>
        <v/>
      </c>
      <c r="M399" s="220"/>
      <c r="N399" s="220"/>
      <c r="O399" s="220"/>
      <c r="P399" s="220"/>
      <c r="Q399" s="220"/>
      <c r="R399" s="220"/>
      <c r="S399" s="220"/>
      <c r="T399" s="220"/>
      <c r="U399" s="220"/>
      <c r="V399" s="220"/>
      <c r="W399" s="220"/>
    </row>
    <row r="400" ht="15.75" customHeight="1" outlineLevel="1">
      <c r="A400" s="211"/>
      <c r="B400" s="212"/>
      <c r="C400" s="213"/>
      <c r="D400" s="214" t="str">
        <f>IFERROR(VLOOKUP($C400,'PORTIFÓLIO'!C:V,2,0),"")</f>
        <v/>
      </c>
      <c r="E400" s="211" t="str">
        <f>IFERROR(VLOOKUP($C400,'PORTIFÓLIO'!C:V,3,0),"")</f>
        <v/>
      </c>
      <c r="F400" s="211" t="str">
        <f>IFERROR(VLOOKUP($C400,'PORTIFÓLIO'!C:V,4,0),"")</f>
        <v/>
      </c>
      <c r="G400" s="215" t="str">
        <f>IFERROR(VLOOKUP($C400,'PORTIFÓLIO'!C:V,5,0),"")</f>
        <v/>
      </c>
      <c r="H400" s="254" t="str">
        <f t="array" ref="H400">IFERROR(INDEX('PORTIFÓLIO'!$H$4:$H$433,MATCH($C400,'PORTIFÓLIO'!$C$4:$C$433,0)),"")</f>
        <v/>
      </c>
      <c r="I400" s="256"/>
      <c r="J400" s="218">
        <f t="shared" si="45"/>
        <v>0</v>
      </c>
      <c r="K400" s="292" t="str">
        <f t="array" ref="K400">IFERROR(I400*INDEX('PORTIFÓLIO'!$S$4:$S$433,MATCH($C400,'PORTIFÓLIO'!$C$4:$C$433,0)),"")</f>
        <v/>
      </c>
      <c r="L400" s="292" t="str">
        <f t="array" ref="L400">IFERROR(J400*INDEX('PORTIFÓLIO'!$S$4:$S$433,MATCH($C400,'PORTIFÓLIO'!$C$4:$C$433,0)),"")</f>
        <v/>
      </c>
      <c r="M400" s="220"/>
      <c r="N400" s="220"/>
      <c r="O400" s="220"/>
      <c r="P400" s="220"/>
      <c r="Q400" s="220"/>
      <c r="R400" s="220"/>
      <c r="S400" s="220"/>
      <c r="T400" s="220"/>
      <c r="U400" s="220"/>
      <c r="V400" s="220"/>
      <c r="W400" s="220"/>
    </row>
    <row r="401" ht="15.75" customHeight="1" outlineLevel="1">
      <c r="A401" s="211"/>
      <c r="B401" s="212"/>
      <c r="C401" s="213"/>
      <c r="D401" s="214" t="str">
        <f>IFERROR(VLOOKUP($C401,'PORTIFÓLIO'!C:V,2,0),"")</f>
        <v/>
      </c>
      <c r="E401" s="211" t="str">
        <f>IFERROR(VLOOKUP($C401,'PORTIFÓLIO'!C:V,3,0),"")</f>
        <v/>
      </c>
      <c r="F401" s="211" t="str">
        <f>IFERROR(VLOOKUP($C401,'PORTIFÓLIO'!C:V,4,0),"")</f>
        <v/>
      </c>
      <c r="G401" s="215" t="str">
        <f>IFERROR(VLOOKUP($C401,'PORTIFÓLIO'!C:V,5,0),"")</f>
        <v/>
      </c>
      <c r="H401" s="254" t="str">
        <f t="array" ref="H401">IFERROR(INDEX('PORTIFÓLIO'!$H$4:$H$433,MATCH($C401,'PORTIFÓLIO'!$C$4:$C$433,0)),"")</f>
        <v/>
      </c>
      <c r="I401" s="255"/>
      <c r="J401" s="218">
        <f t="shared" si="45"/>
        <v>0</v>
      </c>
      <c r="K401" s="292" t="str">
        <f t="array" ref="K401">IFERROR(I401*INDEX('PORTIFÓLIO'!$S$4:$S$433,MATCH($C401,'PORTIFÓLIO'!$C$4:$C$433,0)),"")</f>
        <v/>
      </c>
      <c r="L401" s="292" t="str">
        <f t="array" ref="L401">IFERROR(J401*INDEX('PORTIFÓLIO'!$S$4:$S$433,MATCH($C401,'PORTIFÓLIO'!$C$4:$C$433,0)),"")</f>
        <v/>
      </c>
      <c r="M401" s="220"/>
      <c r="N401" s="220"/>
      <c r="O401" s="220"/>
      <c r="P401" s="220"/>
      <c r="Q401" s="220"/>
      <c r="R401" s="220"/>
      <c r="S401" s="220"/>
      <c r="T401" s="220"/>
      <c r="U401" s="220"/>
      <c r="V401" s="220"/>
      <c r="W401" s="220"/>
    </row>
    <row r="402" ht="15.75" customHeight="1" outlineLevel="1">
      <c r="A402" s="211"/>
      <c r="B402" s="212"/>
      <c r="C402" s="213"/>
      <c r="D402" s="214" t="str">
        <f>IFERROR(VLOOKUP($C402,'PORTIFÓLIO'!C:V,2,0),"")</f>
        <v/>
      </c>
      <c r="E402" s="211" t="str">
        <f>IFERROR(VLOOKUP($C402,'PORTIFÓLIO'!C:V,3,0),"")</f>
        <v/>
      </c>
      <c r="F402" s="211" t="str">
        <f>IFERROR(VLOOKUP($C402,'PORTIFÓLIO'!C:V,4,0),"")</f>
        <v/>
      </c>
      <c r="G402" s="215" t="str">
        <f>IFERROR(VLOOKUP($C402,'PORTIFÓLIO'!C:V,5,0),"")</f>
        <v/>
      </c>
      <c r="H402" s="254" t="str">
        <f t="array" ref="H402">IFERROR(INDEX('PORTIFÓLIO'!$H$4:$H$433,MATCH($C402,'PORTIFÓLIO'!$C$4:$C$433,0)),"")</f>
        <v/>
      </c>
      <c r="I402" s="256"/>
      <c r="J402" s="218">
        <f t="shared" si="45"/>
        <v>0</v>
      </c>
      <c r="K402" s="292" t="str">
        <f t="array" ref="K402">IFERROR(I402*INDEX('PORTIFÓLIO'!$S$4:$S$433,MATCH($C402,'PORTIFÓLIO'!$C$4:$C$433,0)),"")</f>
        <v/>
      </c>
      <c r="L402" s="292" t="str">
        <f t="array" ref="L402">IFERROR(J402*INDEX('PORTIFÓLIO'!$S$4:$S$433,MATCH($C402,'PORTIFÓLIO'!$C$4:$C$433,0)),"")</f>
        <v/>
      </c>
      <c r="M402" s="220"/>
      <c r="N402" s="220"/>
      <c r="O402" s="220"/>
      <c r="P402" s="220"/>
      <c r="Q402" s="220"/>
      <c r="R402" s="220"/>
      <c r="S402" s="220"/>
      <c r="T402" s="220"/>
      <c r="U402" s="220"/>
      <c r="V402" s="220"/>
      <c r="W402" s="220"/>
    </row>
    <row r="403" ht="15.75" customHeight="1" outlineLevel="1">
      <c r="A403" s="211"/>
      <c r="B403" s="212"/>
      <c r="C403" s="213"/>
      <c r="D403" s="214" t="str">
        <f>IFERROR(VLOOKUP($C403,'PORTIFÓLIO'!C:V,2,0),"")</f>
        <v/>
      </c>
      <c r="E403" s="211" t="str">
        <f>IFERROR(VLOOKUP($C403,'PORTIFÓLIO'!C:V,3,0),"")</f>
        <v/>
      </c>
      <c r="F403" s="211" t="str">
        <f>IFERROR(VLOOKUP($C403,'PORTIFÓLIO'!C:V,4,0),"")</f>
        <v/>
      </c>
      <c r="G403" s="215" t="str">
        <f>IFERROR(VLOOKUP($C403,'PORTIFÓLIO'!C:V,5,0),"")</f>
        <v/>
      </c>
      <c r="H403" s="254" t="str">
        <f t="array" ref="H403">IFERROR(INDEX('PORTIFÓLIO'!$H$4:$H$433,MATCH($C403,'PORTIFÓLIO'!$C$4:$C$433,0)),"")</f>
        <v/>
      </c>
      <c r="I403" s="256"/>
      <c r="J403" s="218">
        <f t="shared" si="45"/>
        <v>0</v>
      </c>
      <c r="K403" s="292" t="str">
        <f t="array" ref="K403">IFERROR(I403*INDEX('PORTIFÓLIO'!$S$4:$S$433,MATCH($C403,'PORTIFÓLIO'!$C$4:$C$433,0)),"")</f>
        <v/>
      </c>
      <c r="L403" s="292" t="str">
        <f t="array" ref="L403">IFERROR(J403*INDEX('PORTIFÓLIO'!$S$4:$S$433,MATCH($C403,'PORTIFÓLIO'!$C$4:$C$433,0)),"")</f>
        <v/>
      </c>
      <c r="M403" s="220"/>
      <c r="N403" s="220"/>
      <c r="O403" s="220"/>
      <c r="P403" s="220"/>
      <c r="Q403" s="220"/>
      <c r="R403" s="220"/>
      <c r="S403" s="220"/>
      <c r="T403" s="220"/>
      <c r="U403" s="220"/>
      <c r="V403" s="220"/>
      <c r="W403" s="220"/>
    </row>
    <row r="404" ht="15.75" customHeight="1" outlineLevel="1">
      <c r="A404" s="211"/>
      <c r="B404" s="212"/>
      <c r="C404" s="213"/>
      <c r="D404" s="214" t="str">
        <f>IFERROR(VLOOKUP($C404,'PORTIFÓLIO'!C:V,2,0),"")</f>
        <v/>
      </c>
      <c r="E404" s="211" t="str">
        <f>IFERROR(VLOOKUP($C404,'PORTIFÓLIO'!C:V,3,0),"")</f>
        <v/>
      </c>
      <c r="F404" s="211" t="str">
        <f>IFERROR(VLOOKUP($C404,'PORTIFÓLIO'!C:V,4,0),"")</f>
        <v/>
      </c>
      <c r="G404" s="215" t="str">
        <f>IFERROR(VLOOKUP($C404,'PORTIFÓLIO'!C:V,5,0),"")</f>
        <v/>
      </c>
      <c r="H404" s="254" t="str">
        <f t="array" ref="H404">IFERROR(INDEX('PORTIFÓLIO'!$H$4:$H$433,MATCH($C404,'PORTIFÓLIO'!$C$4:$C$433,0)),"")</f>
        <v/>
      </c>
      <c r="I404" s="256"/>
      <c r="J404" s="218">
        <f t="shared" si="45"/>
        <v>0</v>
      </c>
      <c r="K404" s="292" t="str">
        <f t="array" ref="K404">IFERROR(I404*INDEX('PORTIFÓLIO'!$S$4:$S$433,MATCH($C404,'PORTIFÓLIO'!$C$4:$C$433,0)),"")</f>
        <v/>
      </c>
      <c r="L404" s="292" t="str">
        <f t="array" ref="L404">IFERROR(J404*INDEX('PORTIFÓLIO'!$S$4:$S$433,MATCH($C404,'PORTIFÓLIO'!$C$4:$C$433,0)),"")</f>
        <v/>
      </c>
      <c r="M404" s="220"/>
      <c r="N404" s="220"/>
      <c r="O404" s="220"/>
      <c r="P404" s="220"/>
      <c r="Q404" s="220"/>
      <c r="R404" s="220"/>
      <c r="S404" s="220"/>
      <c r="T404" s="220"/>
      <c r="U404" s="220"/>
      <c r="V404" s="220"/>
      <c r="W404" s="220"/>
    </row>
    <row r="405" ht="15.75" customHeight="1" outlineLevel="1">
      <c r="A405" s="211"/>
      <c r="B405" s="212"/>
      <c r="C405" s="213"/>
      <c r="D405" s="214" t="str">
        <f>IFERROR(VLOOKUP($C405,'PORTIFÓLIO'!C:V,2,0),"")</f>
        <v/>
      </c>
      <c r="E405" s="211" t="str">
        <f>IFERROR(VLOOKUP($C405,'PORTIFÓLIO'!C:V,3,0),"")</f>
        <v/>
      </c>
      <c r="F405" s="211" t="str">
        <f>IFERROR(VLOOKUP($C405,'PORTIFÓLIO'!C:V,4,0),"")</f>
        <v/>
      </c>
      <c r="G405" s="215" t="str">
        <f>IFERROR(VLOOKUP($C405,'PORTIFÓLIO'!C:V,5,0),"")</f>
        <v/>
      </c>
      <c r="H405" s="254" t="str">
        <f t="array" ref="H405">IFERROR(INDEX('PORTIFÓLIO'!$H$4:$H$433,MATCH($C405,'PORTIFÓLIO'!$C$4:$C$433,0)),"")</f>
        <v/>
      </c>
      <c r="I405" s="256"/>
      <c r="J405" s="218">
        <f t="shared" si="45"/>
        <v>0</v>
      </c>
      <c r="K405" s="292" t="str">
        <f t="array" ref="K405">IFERROR(I405*INDEX('PORTIFÓLIO'!$S$4:$S$433,MATCH($C405,'PORTIFÓLIO'!$C$4:$C$433,0)),"")</f>
        <v/>
      </c>
      <c r="L405" s="292" t="str">
        <f t="array" ref="L405">IFERROR(J405*INDEX('PORTIFÓLIO'!$S$4:$S$433,MATCH($C405,'PORTIFÓLIO'!$C$4:$C$433,0)),"")</f>
        <v/>
      </c>
      <c r="M405" s="220"/>
      <c r="N405" s="220"/>
      <c r="O405" s="220"/>
      <c r="P405" s="220"/>
      <c r="Q405" s="220"/>
      <c r="R405" s="220"/>
      <c r="S405" s="220"/>
      <c r="T405" s="220"/>
      <c r="U405" s="220"/>
      <c r="V405" s="220"/>
      <c r="W405" s="220"/>
    </row>
    <row r="406" ht="15.75" customHeight="1" outlineLevel="1">
      <c r="A406" s="211"/>
      <c r="B406" s="212"/>
      <c r="C406" s="213"/>
      <c r="D406" s="214" t="str">
        <f>IFERROR(VLOOKUP($C406,'PORTIFÓLIO'!C:V,2,0),"")</f>
        <v/>
      </c>
      <c r="E406" s="211" t="str">
        <f>IFERROR(VLOOKUP($C406,'PORTIFÓLIO'!C:V,3,0),"")</f>
        <v/>
      </c>
      <c r="F406" s="211" t="str">
        <f>IFERROR(VLOOKUP($C406,'PORTIFÓLIO'!C:V,4,0),"")</f>
        <v/>
      </c>
      <c r="G406" s="215" t="str">
        <f>IFERROR(VLOOKUP($C406,'PORTIFÓLIO'!C:V,5,0),"")</f>
        <v/>
      </c>
      <c r="H406" s="254" t="str">
        <f t="array" ref="H406">IFERROR(INDEX('PORTIFÓLIO'!$H$4:$H$433,MATCH($C406,'PORTIFÓLIO'!$C$4:$C$433,0)),"")</f>
        <v/>
      </c>
      <c r="I406" s="256"/>
      <c r="J406" s="218">
        <f t="shared" si="45"/>
        <v>0</v>
      </c>
      <c r="K406" s="292" t="str">
        <f t="array" ref="K406">IFERROR(I406*INDEX('PORTIFÓLIO'!$S$4:$S$433,MATCH($C406,'PORTIFÓLIO'!$C$4:$C$433,0)),"")</f>
        <v/>
      </c>
      <c r="L406" s="292" t="str">
        <f t="array" ref="L406">IFERROR(J406*INDEX('PORTIFÓLIO'!$S$4:$S$433,MATCH($C406,'PORTIFÓLIO'!$C$4:$C$433,0)),"")</f>
        <v/>
      </c>
      <c r="M406" s="220"/>
      <c r="N406" s="220"/>
      <c r="O406" s="220"/>
      <c r="P406" s="220"/>
      <c r="Q406" s="220"/>
      <c r="R406" s="220"/>
      <c r="S406" s="220"/>
      <c r="T406" s="220"/>
      <c r="U406" s="220"/>
      <c r="V406" s="220"/>
      <c r="W406" s="220"/>
    </row>
    <row r="407" ht="15.75" customHeight="1" outlineLevel="1">
      <c r="A407" s="211"/>
      <c r="B407" s="212"/>
      <c r="C407" s="213"/>
      <c r="D407" s="214" t="str">
        <f>IFERROR(VLOOKUP($C407,'PORTIFÓLIO'!C:V,2,0),"")</f>
        <v/>
      </c>
      <c r="E407" s="211" t="str">
        <f>IFERROR(VLOOKUP($C407,'PORTIFÓLIO'!C:V,3,0),"")</f>
        <v/>
      </c>
      <c r="F407" s="211" t="str">
        <f>IFERROR(VLOOKUP($C407,'PORTIFÓLIO'!C:V,4,0),"")</f>
        <v/>
      </c>
      <c r="G407" s="215" t="str">
        <f>IFERROR(VLOOKUP($C407,'PORTIFÓLIO'!C:V,5,0),"")</f>
        <v/>
      </c>
      <c r="H407" s="254" t="str">
        <f t="array" ref="H407">IFERROR(INDEX('PORTIFÓLIO'!$H$4:$H$433,MATCH($C407,'PORTIFÓLIO'!$C$4:$C$433,0)),"")</f>
        <v/>
      </c>
      <c r="I407" s="256"/>
      <c r="J407" s="218">
        <f t="shared" si="45"/>
        <v>0</v>
      </c>
      <c r="K407" s="292" t="str">
        <f t="array" ref="K407">IFERROR(I407*INDEX('PORTIFÓLIO'!$S$4:$S$433,MATCH($C407,'PORTIFÓLIO'!$C$4:$C$433,0)),"")</f>
        <v/>
      </c>
      <c r="L407" s="292" t="str">
        <f t="array" ref="L407">IFERROR(J407*INDEX('PORTIFÓLIO'!$S$4:$S$433,MATCH($C407,'PORTIFÓLIO'!$C$4:$C$433,0)),"")</f>
        <v/>
      </c>
      <c r="M407" s="220"/>
      <c r="N407" s="220"/>
      <c r="O407" s="220"/>
      <c r="P407" s="220"/>
      <c r="Q407" s="220"/>
      <c r="R407" s="220"/>
      <c r="S407" s="220"/>
      <c r="T407" s="220"/>
      <c r="U407" s="220"/>
      <c r="V407" s="220"/>
      <c r="W407" s="220"/>
    </row>
    <row r="408" ht="15.75" customHeight="1" outlineLevel="1">
      <c r="A408" s="211"/>
      <c r="B408" s="227"/>
      <c r="C408" s="211"/>
      <c r="D408" s="214" t="str">
        <f>IFERROR(VLOOKUP($C408,'PORTIFÓLIO'!C:V,2,0),"")</f>
        <v/>
      </c>
      <c r="E408" s="211" t="str">
        <f>IFERROR(VLOOKUP($C408,'PORTIFÓLIO'!C:V,3,0),"")</f>
        <v/>
      </c>
      <c r="F408" s="211" t="str">
        <f>IFERROR(VLOOKUP($C408,'PORTIFÓLIO'!C:V,4,0),"")</f>
        <v/>
      </c>
      <c r="G408" s="215" t="str">
        <f>IFERROR(VLOOKUP($C408,'PORTIFÓLIO'!C:V,5,0),"")</f>
        <v/>
      </c>
      <c r="H408" s="254" t="str">
        <f t="array" ref="H408">IFERROR(INDEX('PORTIFÓLIO'!$H$4:$H$433,MATCH($C408,'PORTIFÓLIO'!$C$4:$C$433,0)),"")</f>
        <v/>
      </c>
      <c r="I408" s="256"/>
      <c r="J408" s="218">
        <f t="shared" si="45"/>
        <v>0</v>
      </c>
      <c r="K408" s="292" t="str">
        <f t="array" ref="K408">IFERROR(I408*INDEX('PORTIFÓLIO'!$S$4:$S$433,MATCH($C408,'PORTIFÓLIO'!$C$4:$C$433,0)),"")</f>
        <v/>
      </c>
      <c r="L408" s="292" t="str">
        <f t="array" ref="L408">IFERROR(J408*INDEX('PORTIFÓLIO'!$S$4:$S$433,MATCH($C408,'PORTIFÓLIO'!$C$4:$C$433,0)),"")</f>
        <v/>
      </c>
      <c r="M408" s="220"/>
      <c r="N408" s="220"/>
      <c r="O408" s="220"/>
      <c r="P408" s="220"/>
      <c r="Q408" s="220"/>
      <c r="R408" s="220"/>
      <c r="S408" s="220"/>
      <c r="T408" s="220"/>
      <c r="U408" s="220"/>
      <c r="V408" s="220"/>
      <c r="W408" s="220"/>
    </row>
    <row r="409" ht="15.75" customHeight="1">
      <c r="A409" s="229" t="s">
        <v>1194</v>
      </c>
      <c r="B409" s="230"/>
      <c r="C409" s="231"/>
      <c r="D409" s="232"/>
      <c r="E409" s="231"/>
      <c r="F409" s="231"/>
      <c r="G409" s="233"/>
      <c r="H409" s="233"/>
      <c r="I409" s="258"/>
      <c r="J409" s="236"/>
      <c r="K409" s="237">
        <f t="shared" ref="K409:L409" si="46">SUBTOTAL(9,K410:K423)</f>
        <v>0</v>
      </c>
      <c r="L409" s="237">
        <f t="shared" si="46"/>
        <v>0</v>
      </c>
      <c r="M409" s="220"/>
      <c r="N409" s="220"/>
      <c r="O409" s="220"/>
      <c r="P409" s="220"/>
      <c r="Q409" s="220"/>
      <c r="R409" s="220"/>
      <c r="S409" s="220"/>
      <c r="T409" s="220"/>
      <c r="U409" s="220"/>
      <c r="V409" s="220"/>
      <c r="W409" s="220"/>
    </row>
    <row r="410" ht="15.75" customHeight="1" outlineLevel="1">
      <c r="A410" s="213"/>
      <c r="B410" s="212"/>
      <c r="C410" s="213"/>
      <c r="D410" s="214" t="str">
        <f>IFERROR(VLOOKUP($C410,'PORTIFÓLIO'!C:V,2,0),"")</f>
        <v/>
      </c>
      <c r="E410" s="211" t="str">
        <f>IFERROR(VLOOKUP($C410,'PORTIFÓLIO'!C:V,3,0),"")</f>
        <v/>
      </c>
      <c r="F410" s="211" t="str">
        <f>IFERROR(VLOOKUP($C410,'PORTIFÓLIO'!C:V,4,0),"")</f>
        <v/>
      </c>
      <c r="G410" s="215" t="str">
        <f>IFERROR(VLOOKUP($C410,'PORTIFÓLIO'!C:V,5,0),"")</f>
        <v/>
      </c>
      <c r="H410" s="254" t="str">
        <f t="array" ref="H410">IFERROR(INDEX('PORTIFÓLIO'!$H$4:$H$433,MATCH($C410,'PORTIFÓLIO'!$C$4:$C$433,0)),"")</f>
        <v/>
      </c>
      <c r="I410" s="255"/>
      <c r="J410" s="218">
        <f t="shared" ref="J410:J426" si="47">I410*$B$2</f>
        <v>0</v>
      </c>
      <c r="K410" s="292" t="str">
        <f t="array" ref="K410">IFERROR(I410*INDEX('PORTIFÓLIO'!$S$4:$S$433,MATCH($C410,'PORTIFÓLIO'!$C$4:$C$433,0)),"")</f>
        <v/>
      </c>
      <c r="L410" s="292" t="str">
        <f t="array" ref="L410">IFERROR(J410*INDEX('PORTIFÓLIO'!$S$4:$S$433,MATCH($C410,'PORTIFÓLIO'!$C$4:$C$433,0)),"")</f>
        <v/>
      </c>
      <c r="M410" s="220"/>
      <c r="N410" s="220"/>
      <c r="O410" s="220"/>
      <c r="P410" s="220"/>
      <c r="Q410" s="220"/>
      <c r="R410" s="220"/>
      <c r="S410" s="220"/>
      <c r="T410" s="220"/>
      <c r="U410" s="220"/>
      <c r="V410" s="220"/>
      <c r="W410" s="220"/>
    </row>
    <row r="411" ht="15.75" customHeight="1" outlineLevel="1">
      <c r="A411" s="211"/>
      <c r="B411" s="212"/>
      <c r="C411" s="213"/>
      <c r="D411" s="214" t="str">
        <f>IFERROR(VLOOKUP($C411,'PORTIFÓLIO'!C:V,2,0),"")</f>
        <v/>
      </c>
      <c r="E411" s="211" t="str">
        <f>IFERROR(VLOOKUP($C411,'PORTIFÓLIO'!C:V,3,0),"")</f>
        <v/>
      </c>
      <c r="F411" s="211" t="str">
        <f>IFERROR(VLOOKUP($C411,'PORTIFÓLIO'!C:V,4,0),"")</f>
        <v/>
      </c>
      <c r="G411" s="215" t="str">
        <f>IFERROR(VLOOKUP($C411,'PORTIFÓLIO'!C:V,5,0),"")</f>
        <v/>
      </c>
      <c r="H411" s="254" t="str">
        <f t="array" ref="H411">IFERROR(INDEX('PORTIFÓLIO'!$H$4:$H$433,MATCH($C411,'PORTIFÓLIO'!$C$4:$C$433,0)),"")</f>
        <v/>
      </c>
      <c r="I411" s="256"/>
      <c r="J411" s="218">
        <f t="shared" si="47"/>
        <v>0</v>
      </c>
      <c r="K411" s="292" t="str">
        <f t="array" ref="K411">IFERROR(I411*INDEX('PORTIFÓLIO'!$S$4:$S$433,MATCH($C411,'PORTIFÓLIO'!$C$4:$C$433,0)),"")</f>
        <v/>
      </c>
      <c r="L411" s="292" t="str">
        <f t="array" ref="L411">IFERROR(J411*INDEX('PORTIFÓLIO'!$S$4:$S$433,MATCH($C411,'PORTIFÓLIO'!$C$4:$C$433,0)),"")</f>
        <v/>
      </c>
      <c r="M411" s="220"/>
      <c r="N411" s="220"/>
      <c r="O411" s="220"/>
      <c r="P411" s="220"/>
      <c r="Q411" s="220"/>
      <c r="R411" s="220"/>
      <c r="S411" s="220"/>
      <c r="T411" s="220"/>
      <c r="U411" s="220"/>
      <c r="V411" s="220"/>
      <c r="W411" s="220"/>
    </row>
    <row r="412" ht="15.75" customHeight="1" outlineLevel="1">
      <c r="A412" s="211"/>
      <c r="B412" s="212"/>
      <c r="C412" s="213"/>
      <c r="D412" s="214" t="str">
        <f>IFERROR(VLOOKUP($C412,'PORTIFÓLIO'!C:V,2,0),"")</f>
        <v/>
      </c>
      <c r="E412" s="211" t="str">
        <f>IFERROR(VLOOKUP($C412,'PORTIFÓLIO'!C:V,3,0),"")</f>
        <v/>
      </c>
      <c r="F412" s="211" t="str">
        <f>IFERROR(VLOOKUP($C412,'PORTIFÓLIO'!C:V,4,0),"")</f>
        <v/>
      </c>
      <c r="G412" s="215" t="str">
        <f>IFERROR(VLOOKUP($C412,'PORTIFÓLIO'!C:V,5,0),"")</f>
        <v/>
      </c>
      <c r="H412" s="254" t="str">
        <f t="array" ref="H412">IFERROR(INDEX('PORTIFÓLIO'!$H$4:$H$433,MATCH($C412,'PORTIFÓLIO'!$C$4:$C$433,0)),"")</f>
        <v/>
      </c>
      <c r="I412" s="256"/>
      <c r="J412" s="218">
        <f t="shared" si="47"/>
        <v>0</v>
      </c>
      <c r="K412" s="292" t="str">
        <f t="array" ref="K412">IFERROR(I412*INDEX('PORTIFÓLIO'!$S$4:$S$433,MATCH($C412,'PORTIFÓLIO'!$C$4:$C$433,0)),"")</f>
        <v/>
      </c>
      <c r="L412" s="292" t="str">
        <f t="array" ref="L412">IFERROR(J412*INDEX('PORTIFÓLIO'!$S$4:$S$433,MATCH($C412,'PORTIFÓLIO'!$C$4:$C$433,0)),"")</f>
        <v/>
      </c>
      <c r="M412" s="220"/>
      <c r="N412" s="220"/>
      <c r="O412" s="220"/>
      <c r="P412" s="220"/>
      <c r="Q412" s="220"/>
      <c r="R412" s="220"/>
      <c r="S412" s="220"/>
      <c r="T412" s="220"/>
      <c r="U412" s="220"/>
      <c r="V412" s="220"/>
      <c r="W412" s="220"/>
    </row>
    <row r="413" ht="15.75" customHeight="1" outlineLevel="1">
      <c r="A413" s="211"/>
      <c r="B413" s="212"/>
      <c r="C413" s="213"/>
      <c r="D413" s="214" t="str">
        <f>IFERROR(VLOOKUP($C413,'PORTIFÓLIO'!C:V,2,0),"")</f>
        <v/>
      </c>
      <c r="E413" s="211" t="str">
        <f>IFERROR(VLOOKUP($C413,'PORTIFÓLIO'!C:V,3,0),"")</f>
        <v/>
      </c>
      <c r="F413" s="211" t="str">
        <f>IFERROR(VLOOKUP($C413,'PORTIFÓLIO'!C:V,4,0),"")</f>
        <v/>
      </c>
      <c r="G413" s="215" t="str">
        <f>IFERROR(VLOOKUP($C413,'PORTIFÓLIO'!C:V,5,0),"")</f>
        <v/>
      </c>
      <c r="H413" s="254" t="str">
        <f t="array" ref="H413">IFERROR(INDEX('PORTIFÓLIO'!$H$4:$H$433,MATCH($C413,'PORTIFÓLIO'!$C$4:$C$433,0)),"")</f>
        <v/>
      </c>
      <c r="I413" s="256"/>
      <c r="J413" s="218">
        <f t="shared" si="47"/>
        <v>0</v>
      </c>
      <c r="K413" s="292" t="str">
        <f t="array" ref="K413">IFERROR(I413*INDEX('PORTIFÓLIO'!$S$4:$S$433,MATCH($C413,'PORTIFÓLIO'!$C$4:$C$433,0)),"")</f>
        <v/>
      </c>
      <c r="L413" s="292" t="str">
        <f t="array" ref="L413">IFERROR(J413*INDEX('PORTIFÓLIO'!$S$4:$S$433,MATCH($C413,'PORTIFÓLIO'!$C$4:$C$433,0)),"")</f>
        <v/>
      </c>
      <c r="M413" s="220"/>
      <c r="N413" s="220"/>
      <c r="O413" s="220"/>
      <c r="P413" s="220"/>
      <c r="Q413" s="220"/>
      <c r="R413" s="220"/>
      <c r="S413" s="220"/>
      <c r="T413" s="220"/>
      <c r="U413" s="220"/>
      <c r="V413" s="220"/>
      <c r="W413" s="220"/>
    </row>
    <row r="414" ht="15.75" customHeight="1" outlineLevel="1">
      <c r="A414" s="211"/>
      <c r="B414" s="212"/>
      <c r="C414" s="213"/>
      <c r="D414" s="214" t="str">
        <f>IFERROR(VLOOKUP($C414,'PORTIFÓLIO'!C:V,2,0),"")</f>
        <v/>
      </c>
      <c r="E414" s="211" t="str">
        <f>IFERROR(VLOOKUP($C414,'PORTIFÓLIO'!C:V,3,0),"")</f>
        <v/>
      </c>
      <c r="F414" s="211" t="str">
        <f>IFERROR(VLOOKUP($C414,'PORTIFÓLIO'!C:V,4,0),"")</f>
        <v/>
      </c>
      <c r="G414" s="215" t="str">
        <f>IFERROR(VLOOKUP($C414,'PORTIFÓLIO'!C:V,5,0),"")</f>
        <v/>
      </c>
      <c r="H414" s="254" t="str">
        <f t="array" ref="H414">IFERROR(INDEX('PORTIFÓLIO'!$H$4:$H$433,MATCH($C414,'PORTIFÓLIO'!$C$4:$C$433,0)),"")</f>
        <v/>
      </c>
      <c r="I414" s="256"/>
      <c r="J414" s="218">
        <f t="shared" si="47"/>
        <v>0</v>
      </c>
      <c r="K414" s="292" t="str">
        <f t="array" ref="K414">IFERROR(I414*INDEX('PORTIFÓLIO'!$S$4:$S$433,MATCH($C414,'PORTIFÓLIO'!$C$4:$C$433,0)),"")</f>
        <v/>
      </c>
      <c r="L414" s="292" t="str">
        <f t="array" ref="L414">IFERROR(J414*INDEX('PORTIFÓLIO'!$S$4:$S$433,MATCH($C414,'PORTIFÓLIO'!$C$4:$C$433,0)),"")</f>
        <v/>
      </c>
      <c r="M414" s="220"/>
      <c r="N414" s="220"/>
      <c r="O414" s="220"/>
      <c r="P414" s="220"/>
      <c r="Q414" s="220"/>
      <c r="R414" s="220"/>
      <c r="S414" s="220"/>
      <c r="T414" s="220"/>
      <c r="U414" s="220"/>
      <c r="V414" s="220"/>
      <c r="W414" s="220"/>
    </row>
    <row r="415" ht="15.75" customHeight="1" outlineLevel="1">
      <c r="A415" s="211"/>
      <c r="B415" s="212"/>
      <c r="C415" s="213"/>
      <c r="D415" s="214" t="str">
        <f>IFERROR(VLOOKUP($C415,'PORTIFÓLIO'!C:V,2,0),"")</f>
        <v/>
      </c>
      <c r="E415" s="211" t="str">
        <f>IFERROR(VLOOKUP($C415,'PORTIFÓLIO'!C:V,3,0),"")</f>
        <v/>
      </c>
      <c r="F415" s="211" t="str">
        <f>IFERROR(VLOOKUP($C415,'PORTIFÓLIO'!C:V,4,0),"")</f>
        <v/>
      </c>
      <c r="G415" s="215" t="str">
        <f>IFERROR(VLOOKUP($C415,'PORTIFÓLIO'!C:V,5,0),"")</f>
        <v/>
      </c>
      <c r="H415" s="254" t="str">
        <f t="array" ref="H415">IFERROR(INDEX('PORTIFÓLIO'!$H$4:$H$433,MATCH($C415,'PORTIFÓLIO'!$C$4:$C$433,0)),"")</f>
        <v/>
      </c>
      <c r="I415" s="256"/>
      <c r="J415" s="218">
        <f t="shared" si="47"/>
        <v>0</v>
      </c>
      <c r="K415" s="292" t="str">
        <f t="array" ref="K415">IFERROR(I415*INDEX('PORTIFÓLIO'!$S$4:$S$433,MATCH($C415,'PORTIFÓLIO'!$C$4:$C$433,0)),"")</f>
        <v/>
      </c>
      <c r="L415" s="292" t="str">
        <f t="array" ref="L415">IFERROR(J415*INDEX('PORTIFÓLIO'!$S$4:$S$433,MATCH($C415,'PORTIFÓLIO'!$C$4:$C$433,0)),"")</f>
        <v/>
      </c>
      <c r="M415" s="220"/>
      <c r="N415" s="220"/>
      <c r="O415" s="220"/>
      <c r="P415" s="220"/>
      <c r="Q415" s="220"/>
      <c r="R415" s="220"/>
      <c r="S415" s="220"/>
      <c r="T415" s="220"/>
      <c r="U415" s="220"/>
      <c r="V415" s="220"/>
      <c r="W415" s="220"/>
    </row>
    <row r="416" ht="15.75" customHeight="1" outlineLevel="1">
      <c r="A416" s="211"/>
      <c r="B416" s="212"/>
      <c r="C416" s="213"/>
      <c r="D416" s="214" t="str">
        <f>IFERROR(VLOOKUP($C416,'PORTIFÓLIO'!C:V,2,0),"")</f>
        <v/>
      </c>
      <c r="E416" s="211" t="str">
        <f>IFERROR(VLOOKUP($C416,'PORTIFÓLIO'!C:V,3,0),"")</f>
        <v/>
      </c>
      <c r="F416" s="211" t="str">
        <f>IFERROR(VLOOKUP($C416,'PORTIFÓLIO'!C:V,4,0),"")</f>
        <v/>
      </c>
      <c r="G416" s="215" t="str">
        <f>IFERROR(VLOOKUP($C416,'PORTIFÓLIO'!C:V,5,0),"")</f>
        <v/>
      </c>
      <c r="H416" s="254" t="str">
        <f t="array" ref="H416">IFERROR(INDEX('PORTIFÓLIO'!$H$4:$H$433,MATCH($C416,'PORTIFÓLIO'!$C$4:$C$433,0)),"")</f>
        <v/>
      </c>
      <c r="I416" s="256"/>
      <c r="J416" s="218">
        <f t="shared" si="47"/>
        <v>0</v>
      </c>
      <c r="K416" s="292" t="str">
        <f t="array" ref="K416">IFERROR(I416*INDEX('PORTIFÓLIO'!$S$4:$S$433,MATCH($C416,'PORTIFÓLIO'!$C$4:$C$433,0)),"")</f>
        <v/>
      </c>
      <c r="L416" s="292" t="str">
        <f t="array" ref="L416">IFERROR(J416*INDEX('PORTIFÓLIO'!$S$4:$S$433,MATCH($C416,'PORTIFÓLIO'!$C$4:$C$433,0)),"")</f>
        <v/>
      </c>
      <c r="M416" s="220"/>
      <c r="N416" s="220"/>
      <c r="O416" s="220"/>
      <c r="P416" s="220"/>
      <c r="Q416" s="220"/>
      <c r="R416" s="220"/>
      <c r="S416" s="220"/>
      <c r="T416" s="220"/>
      <c r="U416" s="220"/>
      <c r="V416" s="220"/>
      <c r="W416" s="220"/>
    </row>
    <row r="417" ht="15.75" customHeight="1" outlineLevel="1">
      <c r="A417" s="211"/>
      <c r="B417" s="212"/>
      <c r="C417" s="213"/>
      <c r="D417" s="214" t="str">
        <f>IFERROR(VLOOKUP($C417,'PORTIFÓLIO'!C:V,2,0),"")</f>
        <v/>
      </c>
      <c r="E417" s="211" t="str">
        <f>IFERROR(VLOOKUP($C417,'PORTIFÓLIO'!C:V,3,0),"")</f>
        <v/>
      </c>
      <c r="F417" s="211" t="str">
        <f>IFERROR(VLOOKUP($C417,'PORTIFÓLIO'!C:V,4,0),"")</f>
        <v/>
      </c>
      <c r="G417" s="215" t="str">
        <f>IFERROR(VLOOKUP($C417,'PORTIFÓLIO'!C:V,5,0),"")</f>
        <v/>
      </c>
      <c r="H417" s="254" t="str">
        <f t="array" ref="H417">IFERROR(INDEX('PORTIFÓLIO'!$H$4:$H$433,MATCH($C417,'PORTIFÓLIO'!$C$4:$C$433,0)),"")</f>
        <v/>
      </c>
      <c r="I417" s="256"/>
      <c r="J417" s="218">
        <f t="shared" si="47"/>
        <v>0</v>
      </c>
      <c r="K417" s="292" t="str">
        <f t="array" ref="K417">IFERROR(I417*INDEX('PORTIFÓLIO'!$S$4:$S$433,MATCH($C417,'PORTIFÓLIO'!$C$4:$C$433,0)),"")</f>
        <v/>
      </c>
      <c r="L417" s="292" t="str">
        <f t="array" ref="L417">IFERROR(J417*INDEX('PORTIFÓLIO'!$S$4:$S$433,MATCH($C417,'PORTIFÓLIO'!$C$4:$C$433,0)),"")</f>
        <v/>
      </c>
      <c r="M417" s="220"/>
      <c r="N417" s="220"/>
      <c r="O417" s="220"/>
      <c r="P417" s="220"/>
      <c r="Q417" s="220"/>
      <c r="R417" s="220"/>
      <c r="S417" s="220"/>
      <c r="T417" s="220"/>
      <c r="U417" s="220"/>
      <c r="V417" s="220"/>
      <c r="W417" s="220"/>
    </row>
    <row r="418" ht="15.75" customHeight="1" outlineLevel="1">
      <c r="A418" s="211"/>
      <c r="B418" s="212"/>
      <c r="C418" s="213"/>
      <c r="D418" s="214" t="str">
        <f>IFERROR(VLOOKUP($C418,'PORTIFÓLIO'!C:V,2,0),"")</f>
        <v/>
      </c>
      <c r="E418" s="211" t="str">
        <f>IFERROR(VLOOKUP($C418,'PORTIFÓLIO'!C:V,3,0),"")</f>
        <v/>
      </c>
      <c r="F418" s="211" t="str">
        <f>IFERROR(VLOOKUP($C418,'PORTIFÓLIO'!C:V,4,0),"")</f>
        <v/>
      </c>
      <c r="G418" s="215" t="str">
        <f>IFERROR(VLOOKUP($C418,'PORTIFÓLIO'!C:V,5,0),"")</f>
        <v/>
      </c>
      <c r="H418" s="254" t="str">
        <f t="array" ref="H418">IFERROR(INDEX('PORTIFÓLIO'!$H$4:$H$433,MATCH($C418,'PORTIFÓLIO'!$C$4:$C$433,0)),"")</f>
        <v/>
      </c>
      <c r="I418" s="255"/>
      <c r="J418" s="218">
        <f t="shared" si="47"/>
        <v>0</v>
      </c>
      <c r="K418" s="292" t="str">
        <f t="array" ref="K418">IFERROR(I418*INDEX('PORTIFÓLIO'!$S$4:$S$433,MATCH($C418,'PORTIFÓLIO'!$C$4:$C$433,0)),"")</f>
        <v/>
      </c>
      <c r="L418" s="292" t="str">
        <f t="array" ref="L418">IFERROR(J418*INDEX('PORTIFÓLIO'!$S$4:$S$433,MATCH($C418,'PORTIFÓLIO'!$C$4:$C$433,0)),"")</f>
        <v/>
      </c>
      <c r="M418" s="220"/>
      <c r="N418" s="220"/>
      <c r="O418" s="220"/>
      <c r="P418" s="220"/>
      <c r="Q418" s="220"/>
      <c r="R418" s="220"/>
      <c r="S418" s="220"/>
      <c r="T418" s="220"/>
      <c r="U418" s="220"/>
      <c r="V418" s="220"/>
      <c r="W418" s="220"/>
    </row>
    <row r="419" ht="15.75" customHeight="1" outlineLevel="1">
      <c r="A419" s="211"/>
      <c r="B419" s="212"/>
      <c r="C419" s="213"/>
      <c r="D419" s="214" t="str">
        <f>IFERROR(VLOOKUP($C419,'PORTIFÓLIO'!C:V,2,0),"")</f>
        <v/>
      </c>
      <c r="E419" s="211" t="str">
        <f>IFERROR(VLOOKUP($C419,'PORTIFÓLIO'!C:V,3,0),"")</f>
        <v/>
      </c>
      <c r="F419" s="211" t="str">
        <f>IFERROR(VLOOKUP($C419,'PORTIFÓLIO'!C:V,4,0),"")</f>
        <v/>
      </c>
      <c r="G419" s="215" t="str">
        <f>IFERROR(VLOOKUP($C419,'PORTIFÓLIO'!C:V,5,0),"")</f>
        <v/>
      </c>
      <c r="H419" s="254" t="str">
        <f t="array" ref="H419">IFERROR(INDEX('PORTIFÓLIO'!$H$4:$H$433,MATCH($C419,'PORTIFÓLIO'!$C$4:$C$433,0)),"")</f>
        <v/>
      </c>
      <c r="I419" s="256"/>
      <c r="J419" s="218">
        <f t="shared" si="47"/>
        <v>0</v>
      </c>
      <c r="K419" s="292" t="str">
        <f t="array" ref="K419">IFERROR(I419*INDEX('PORTIFÓLIO'!$S$4:$S$433,MATCH($C419,'PORTIFÓLIO'!$C$4:$C$433,0)),"")</f>
        <v/>
      </c>
      <c r="L419" s="292" t="str">
        <f t="array" ref="L419">IFERROR(J419*INDEX('PORTIFÓLIO'!$S$4:$S$433,MATCH($C419,'PORTIFÓLIO'!$C$4:$C$433,0)),"")</f>
        <v/>
      </c>
      <c r="M419" s="220"/>
      <c r="N419" s="220"/>
      <c r="O419" s="220"/>
      <c r="P419" s="220"/>
      <c r="Q419" s="220"/>
      <c r="R419" s="220"/>
      <c r="S419" s="220"/>
      <c r="T419" s="220"/>
      <c r="U419" s="220"/>
      <c r="V419" s="220"/>
      <c r="W419" s="220"/>
    </row>
    <row r="420" ht="15.75" customHeight="1" outlineLevel="1">
      <c r="A420" s="211"/>
      <c r="B420" s="212"/>
      <c r="C420" s="213"/>
      <c r="D420" s="214" t="str">
        <f>IFERROR(VLOOKUP($C420,'PORTIFÓLIO'!C:V,2,0),"")</f>
        <v/>
      </c>
      <c r="E420" s="211" t="str">
        <f>IFERROR(VLOOKUP($C420,'PORTIFÓLIO'!C:V,3,0),"")</f>
        <v/>
      </c>
      <c r="F420" s="211" t="str">
        <f>IFERROR(VLOOKUP($C420,'PORTIFÓLIO'!C:V,4,0),"")</f>
        <v/>
      </c>
      <c r="G420" s="215" t="str">
        <f>IFERROR(VLOOKUP($C420,'PORTIFÓLIO'!C:V,5,0),"")</f>
        <v/>
      </c>
      <c r="H420" s="254" t="str">
        <f t="array" ref="H420">IFERROR(INDEX('PORTIFÓLIO'!$H$4:$H$433,MATCH($C420,'PORTIFÓLIO'!$C$4:$C$433,0)),"")</f>
        <v/>
      </c>
      <c r="I420" s="256"/>
      <c r="J420" s="218">
        <f t="shared" si="47"/>
        <v>0</v>
      </c>
      <c r="K420" s="292" t="str">
        <f t="array" ref="K420">IFERROR(I420*INDEX('PORTIFÓLIO'!$S$4:$S$433,MATCH($C420,'PORTIFÓLIO'!$C$4:$C$433,0)),"")</f>
        <v/>
      </c>
      <c r="L420" s="292" t="str">
        <f t="array" ref="L420">IFERROR(J420*INDEX('PORTIFÓLIO'!$S$4:$S$433,MATCH($C420,'PORTIFÓLIO'!$C$4:$C$433,0)),"")</f>
        <v/>
      </c>
      <c r="M420" s="220"/>
      <c r="N420" s="220"/>
      <c r="O420" s="220"/>
      <c r="P420" s="220"/>
      <c r="Q420" s="220"/>
      <c r="R420" s="220"/>
      <c r="S420" s="220"/>
      <c r="T420" s="220"/>
      <c r="U420" s="220"/>
      <c r="V420" s="220"/>
      <c r="W420" s="220"/>
    </row>
    <row r="421" ht="15.75" customHeight="1" outlineLevel="1">
      <c r="A421" s="211"/>
      <c r="B421" s="212"/>
      <c r="C421" s="213"/>
      <c r="D421" s="214" t="str">
        <f>IFERROR(VLOOKUP($C421,'PORTIFÓLIO'!C:V,2,0),"")</f>
        <v/>
      </c>
      <c r="E421" s="211" t="str">
        <f>IFERROR(VLOOKUP($C421,'PORTIFÓLIO'!C:V,3,0),"")</f>
        <v/>
      </c>
      <c r="F421" s="211" t="str">
        <f>IFERROR(VLOOKUP($C421,'PORTIFÓLIO'!C:V,4,0),"")</f>
        <v/>
      </c>
      <c r="G421" s="215" t="str">
        <f>IFERROR(VLOOKUP($C421,'PORTIFÓLIO'!C:V,5,0),"")</f>
        <v/>
      </c>
      <c r="H421" s="254" t="str">
        <f t="array" ref="H421">IFERROR(INDEX('PORTIFÓLIO'!$H$4:$H$433,MATCH($C421,'PORTIFÓLIO'!$C$4:$C$433,0)),"")</f>
        <v/>
      </c>
      <c r="I421" s="256"/>
      <c r="J421" s="218">
        <f t="shared" si="47"/>
        <v>0</v>
      </c>
      <c r="K421" s="292" t="str">
        <f t="array" ref="K421">IFERROR(I421*INDEX('PORTIFÓLIO'!$S$4:$S$433,MATCH($C421,'PORTIFÓLIO'!$C$4:$C$433,0)),"")</f>
        <v/>
      </c>
      <c r="L421" s="292" t="str">
        <f t="array" ref="L421">IFERROR(J421*INDEX('PORTIFÓLIO'!$S$4:$S$433,MATCH($C421,'PORTIFÓLIO'!$C$4:$C$433,0)),"")</f>
        <v/>
      </c>
      <c r="M421" s="220"/>
      <c r="N421" s="220"/>
      <c r="O421" s="220"/>
      <c r="P421" s="220"/>
      <c r="Q421" s="220"/>
      <c r="R421" s="220"/>
      <c r="S421" s="220"/>
      <c r="T421" s="220"/>
      <c r="U421" s="220"/>
      <c r="V421" s="220"/>
      <c r="W421" s="220"/>
    </row>
    <row r="422" ht="15.75" customHeight="1" outlineLevel="1">
      <c r="A422" s="211"/>
      <c r="B422" s="212"/>
      <c r="C422" s="213"/>
      <c r="D422" s="214" t="str">
        <f>IFERROR(VLOOKUP($C422,'PORTIFÓLIO'!C:V,2,0),"")</f>
        <v/>
      </c>
      <c r="E422" s="211" t="str">
        <f>IFERROR(VLOOKUP($C422,'PORTIFÓLIO'!C:V,3,0),"")</f>
        <v/>
      </c>
      <c r="F422" s="211" t="str">
        <f>IFERROR(VLOOKUP($C422,'PORTIFÓLIO'!C:V,4,0),"")</f>
        <v/>
      </c>
      <c r="G422" s="215" t="str">
        <f>IFERROR(VLOOKUP($C422,'PORTIFÓLIO'!C:V,5,0),"")</f>
        <v/>
      </c>
      <c r="H422" s="254" t="str">
        <f t="array" ref="H422">IFERROR(INDEX('PORTIFÓLIO'!$H$4:$H$433,MATCH($C422,'PORTIFÓLIO'!$C$4:$C$433,0)),"")</f>
        <v/>
      </c>
      <c r="I422" s="256"/>
      <c r="J422" s="218">
        <f t="shared" si="47"/>
        <v>0</v>
      </c>
      <c r="K422" s="292" t="str">
        <f t="array" ref="K422">IFERROR(I422*INDEX('PORTIFÓLIO'!$S$4:$S$433,MATCH($C422,'PORTIFÓLIO'!$C$4:$C$433,0)),"")</f>
        <v/>
      </c>
      <c r="L422" s="292" t="str">
        <f t="array" ref="L422">IFERROR(J422*INDEX('PORTIFÓLIO'!$S$4:$S$433,MATCH($C422,'PORTIFÓLIO'!$C$4:$C$433,0)),"")</f>
        <v/>
      </c>
      <c r="M422" s="220"/>
      <c r="N422" s="220"/>
      <c r="O422" s="220"/>
      <c r="P422" s="220"/>
      <c r="Q422" s="220"/>
      <c r="R422" s="220"/>
      <c r="S422" s="220"/>
      <c r="T422" s="220"/>
      <c r="U422" s="220"/>
      <c r="V422" s="220"/>
      <c r="W422" s="220"/>
    </row>
    <row r="423" ht="15.75" customHeight="1" outlineLevel="1">
      <c r="A423" s="211"/>
      <c r="B423" s="212"/>
      <c r="C423" s="213"/>
      <c r="D423" s="214" t="str">
        <f>IFERROR(VLOOKUP($C423,'PORTIFÓLIO'!C:V,2,0),"")</f>
        <v/>
      </c>
      <c r="E423" s="211" t="str">
        <f>IFERROR(VLOOKUP($C423,'PORTIFÓLIO'!C:V,3,0),"")</f>
        <v/>
      </c>
      <c r="F423" s="211" t="str">
        <f>IFERROR(VLOOKUP($C423,'PORTIFÓLIO'!C:V,4,0),"")</f>
        <v/>
      </c>
      <c r="G423" s="215" t="str">
        <f>IFERROR(VLOOKUP($C423,'PORTIFÓLIO'!C:V,5,0),"")</f>
        <v/>
      </c>
      <c r="H423" s="254" t="str">
        <f t="array" ref="H423">IFERROR(INDEX('PORTIFÓLIO'!$H$4:$H$433,MATCH($C423,'PORTIFÓLIO'!$C$4:$C$433,0)),"")</f>
        <v/>
      </c>
      <c r="I423" s="256"/>
      <c r="J423" s="218">
        <f t="shared" si="47"/>
        <v>0</v>
      </c>
      <c r="K423" s="292" t="str">
        <f t="array" ref="K423">IFERROR(I423*INDEX('PORTIFÓLIO'!$S$4:$S$433,MATCH($C423,'PORTIFÓLIO'!$C$4:$C$433,0)),"")</f>
        <v/>
      </c>
      <c r="L423" s="292" t="str">
        <f t="array" ref="L423">IFERROR(J423*INDEX('PORTIFÓLIO'!$S$4:$S$433,MATCH($C423,'PORTIFÓLIO'!$C$4:$C$433,0)),"")</f>
        <v/>
      </c>
      <c r="M423" s="220"/>
      <c r="N423" s="220"/>
      <c r="O423" s="220"/>
      <c r="P423" s="220"/>
      <c r="Q423" s="220"/>
      <c r="R423" s="220"/>
      <c r="S423" s="220"/>
      <c r="T423" s="220"/>
      <c r="U423" s="220"/>
      <c r="V423" s="220"/>
      <c r="W423" s="220"/>
    </row>
    <row r="424" ht="15.75" customHeight="1" outlineLevel="1">
      <c r="A424" s="211"/>
      <c r="B424" s="212"/>
      <c r="C424" s="213"/>
      <c r="D424" s="214" t="str">
        <f>IFERROR(VLOOKUP($C424,'PORTIFÓLIO'!C:V,2,0),"")</f>
        <v/>
      </c>
      <c r="E424" s="211" t="str">
        <f>IFERROR(VLOOKUP($C424,'PORTIFÓLIO'!C:V,3,0),"")</f>
        <v/>
      </c>
      <c r="F424" s="211" t="str">
        <f>IFERROR(VLOOKUP($C424,'PORTIFÓLIO'!C:V,4,0),"")</f>
        <v/>
      </c>
      <c r="G424" s="215" t="str">
        <f>IFERROR(VLOOKUP($C424,'PORTIFÓLIO'!C:V,5,0),"")</f>
        <v/>
      </c>
      <c r="H424" s="254" t="str">
        <f t="array" ref="H424">IFERROR(INDEX('PORTIFÓLIO'!$H$4:$H$433,MATCH($C424,'PORTIFÓLIO'!$C$4:$C$433,0)),"")</f>
        <v/>
      </c>
      <c r="I424" s="256"/>
      <c r="J424" s="218">
        <f t="shared" si="47"/>
        <v>0</v>
      </c>
      <c r="K424" s="292" t="str">
        <f t="array" ref="K424">IFERROR(I424*INDEX('PORTIFÓLIO'!$S$4:$S$433,MATCH($C424,'PORTIFÓLIO'!$C$4:$C$433,0)),"")</f>
        <v/>
      </c>
      <c r="L424" s="292" t="str">
        <f t="array" ref="L424">IFERROR(J424*INDEX('PORTIFÓLIO'!$S$4:$S$433,MATCH($C424,'PORTIFÓLIO'!$C$4:$C$433,0)),"")</f>
        <v/>
      </c>
      <c r="M424" s="220"/>
      <c r="N424" s="220"/>
      <c r="O424" s="220"/>
      <c r="P424" s="220"/>
      <c r="Q424" s="220"/>
      <c r="R424" s="220"/>
      <c r="S424" s="220"/>
      <c r="T424" s="220"/>
      <c r="U424" s="220"/>
      <c r="V424" s="220"/>
      <c r="W424" s="220"/>
    </row>
    <row r="425" ht="15.75" customHeight="1" outlineLevel="1">
      <c r="A425" s="211"/>
      <c r="B425" s="227"/>
      <c r="C425" s="211"/>
      <c r="D425" s="214" t="str">
        <f>IFERROR(VLOOKUP($C425,'PORTIFÓLIO'!C:V,2,0),"")</f>
        <v/>
      </c>
      <c r="E425" s="211" t="str">
        <f>IFERROR(VLOOKUP($C425,'PORTIFÓLIO'!C:V,3,0),"")</f>
        <v/>
      </c>
      <c r="F425" s="211" t="str">
        <f>IFERROR(VLOOKUP($C425,'PORTIFÓLIO'!C:V,4,0),"")</f>
        <v/>
      </c>
      <c r="G425" s="215" t="str">
        <f>IFERROR(VLOOKUP($C425,'PORTIFÓLIO'!C:V,5,0),"")</f>
        <v/>
      </c>
      <c r="H425" s="254" t="str">
        <f t="array" ref="H425">IFERROR(INDEX('PORTIFÓLIO'!$H$4:$H$433,MATCH($C425,'PORTIFÓLIO'!$C$4:$C$433,0)),"")</f>
        <v/>
      </c>
      <c r="I425" s="256"/>
      <c r="J425" s="218">
        <f t="shared" si="47"/>
        <v>0</v>
      </c>
      <c r="K425" s="292" t="str">
        <f t="array" ref="K425">IFERROR(I425*INDEX('PORTIFÓLIO'!$S$4:$S$433,MATCH($C425,'PORTIFÓLIO'!$C$4:$C$433,0)),"")</f>
        <v/>
      </c>
      <c r="L425" s="292" t="str">
        <f t="array" ref="L425">IFERROR(J425*INDEX('PORTIFÓLIO'!$S$4:$S$433,MATCH($C425,'PORTIFÓLIO'!$C$4:$C$433,0)),"")</f>
        <v/>
      </c>
      <c r="M425" s="220"/>
      <c r="N425" s="220"/>
      <c r="O425" s="220"/>
      <c r="P425" s="220"/>
      <c r="Q425" s="220"/>
      <c r="R425" s="220"/>
      <c r="S425" s="220"/>
      <c r="T425" s="220"/>
      <c r="U425" s="220"/>
      <c r="V425" s="220"/>
      <c r="W425" s="220"/>
    </row>
    <row r="426" ht="15.75" customHeight="1" outlineLevel="1">
      <c r="A426" s="211"/>
      <c r="B426" s="227"/>
      <c r="C426" s="211"/>
      <c r="D426" s="214" t="str">
        <f>IFERROR(VLOOKUP($C426,'PORTIFÓLIO'!C:V,2,0),"")</f>
        <v/>
      </c>
      <c r="E426" s="211" t="str">
        <f>IFERROR(VLOOKUP($C426,'PORTIFÓLIO'!C:V,3,0),"")</f>
        <v/>
      </c>
      <c r="F426" s="211" t="str">
        <f>IFERROR(VLOOKUP($C426,'PORTIFÓLIO'!C:V,4,0),"")</f>
        <v/>
      </c>
      <c r="G426" s="215" t="str">
        <f>IFERROR(VLOOKUP($C426,'PORTIFÓLIO'!C:V,5,0),"")</f>
        <v/>
      </c>
      <c r="H426" s="254" t="str">
        <f t="array" ref="H426">IFERROR(INDEX('PORTIFÓLIO'!$H$4:$H$433,MATCH($C426,'PORTIFÓLIO'!$C$4:$C$433,0)),"")</f>
        <v/>
      </c>
      <c r="I426" s="256"/>
      <c r="J426" s="218">
        <f t="shared" si="47"/>
        <v>0</v>
      </c>
      <c r="K426" s="292" t="str">
        <f t="array" ref="K426">IFERROR(I426*INDEX('PORTIFÓLIO'!$S$4:$S$433,MATCH($C426,'PORTIFÓLIO'!$C$4:$C$433,0)),"")</f>
        <v/>
      </c>
      <c r="L426" s="292" t="str">
        <f t="array" ref="L426">IFERROR(J426*INDEX('PORTIFÓLIO'!$S$4:$S$433,MATCH($C426,'PORTIFÓLIO'!$C$4:$C$433,0)),"")</f>
        <v/>
      </c>
      <c r="U426" s="79"/>
    </row>
    <row r="427" ht="15.75" customHeight="1">
      <c r="A427" s="229" t="s">
        <v>1202</v>
      </c>
      <c r="B427" s="230"/>
      <c r="C427" s="231"/>
      <c r="D427" s="232"/>
      <c r="E427" s="231"/>
      <c r="F427" s="231"/>
      <c r="G427" s="233"/>
      <c r="H427" s="233"/>
      <c r="I427" s="258"/>
      <c r="J427" s="236"/>
      <c r="K427" s="237">
        <f t="shared" ref="K427:L427" si="48">SUBTOTAL(9,K428:K441)</f>
        <v>0</v>
      </c>
      <c r="L427" s="237">
        <f t="shared" si="48"/>
        <v>0</v>
      </c>
      <c r="U427" s="79"/>
    </row>
    <row r="428" ht="15.75" customHeight="1" outlineLevel="1">
      <c r="A428" s="213"/>
      <c r="B428" s="212"/>
      <c r="C428" s="213"/>
      <c r="D428" s="214" t="str">
        <f>IFERROR(VLOOKUP($C428,'PORTIFÓLIO'!C:V,2,0),"")</f>
        <v/>
      </c>
      <c r="E428" s="211" t="str">
        <f>IFERROR(VLOOKUP($C428,'PORTIFÓLIO'!C:V,3,0),"")</f>
        <v/>
      </c>
      <c r="F428" s="211" t="str">
        <f>IFERROR(VLOOKUP($C428,'PORTIFÓLIO'!C:V,4,0),"")</f>
        <v/>
      </c>
      <c r="G428" s="215" t="str">
        <f>IFERROR(VLOOKUP($C428,'PORTIFÓLIO'!C:V,5,0),"")</f>
        <v/>
      </c>
      <c r="H428" s="254" t="str">
        <f t="array" ref="H428">IFERROR(INDEX('PORTIFÓLIO'!$H$4:$H$433,MATCH($C428,'PORTIFÓLIO'!$C$4:$C$433,0)),"")</f>
        <v/>
      </c>
      <c r="I428" s="256"/>
      <c r="J428" s="218">
        <f t="shared" ref="J428:J451" si="49">I428*$B$2</f>
        <v>0</v>
      </c>
      <c r="K428" s="292" t="str">
        <f t="array" ref="K428">IFERROR(I428*INDEX('PORTIFÓLIO'!$S$4:$S$433,MATCH($C428,'PORTIFÓLIO'!$C$4:$C$433,0)),"")</f>
        <v/>
      </c>
      <c r="L428" s="292" t="str">
        <f t="array" ref="L428">IFERROR(J428*INDEX('PORTIFÓLIO'!$S$4:$S$433,MATCH($C428,'PORTIFÓLIO'!$C$4:$C$433,0)),"")</f>
        <v/>
      </c>
      <c r="U428" s="79"/>
    </row>
    <row r="429" ht="15.75" customHeight="1" outlineLevel="1">
      <c r="A429" s="211"/>
      <c r="B429" s="212"/>
      <c r="C429" s="213"/>
      <c r="D429" s="214" t="str">
        <f>IFERROR(VLOOKUP($C429,'PORTIFÓLIO'!C:V,2,0),"")</f>
        <v/>
      </c>
      <c r="E429" s="211" t="str">
        <f>IFERROR(VLOOKUP($C429,'PORTIFÓLIO'!C:V,3,0),"")</f>
        <v/>
      </c>
      <c r="F429" s="211" t="str">
        <f>IFERROR(VLOOKUP($C429,'PORTIFÓLIO'!C:V,4,0),"")</f>
        <v/>
      </c>
      <c r="G429" s="215" t="str">
        <f>IFERROR(VLOOKUP($C429,'PORTIFÓLIO'!C:V,5,0),"")</f>
        <v/>
      </c>
      <c r="H429" s="254" t="str">
        <f t="array" ref="H429">IFERROR(INDEX('PORTIFÓLIO'!$H$4:$H$433,MATCH($C429,'PORTIFÓLIO'!$C$4:$C$433,0)),"")</f>
        <v/>
      </c>
      <c r="I429" s="256"/>
      <c r="J429" s="218">
        <f t="shared" si="49"/>
        <v>0</v>
      </c>
      <c r="K429" s="292" t="str">
        <f t="array" ref="K429">IFERROR(I429*INDEX('PORTIFÓLIO'!$S$4:$S$433,MATCH($C429,'PORTIFÓLIO'!$C$4:$C$433,0)),"")</f>
        <v/>
      </c>
      <c r="L429" s="292" t="str">
        <f t="array" ref="L429">IFERROR(J429*INDEX('PORTIFÓLIO'!$S$4:$S$433,MATCH($C429,'PORTIFÓLIO'!$C$4:$C$433,0)),"")</f>
        <v/>
      </c>
      <c r="U429" s="79"/>
    </row>
    <row r="430" ht="15.75" customHeight="1" outlineLevel="1">
      <c r="A430" s="211"/>
      <c r="B430" s="212"/>
      <c r="C430" s="213"/>
      <c r="D430" s="214" t="str">
        <f>IFERROR(VLOOKUP($C430,'PORTIFÓLIO'!C:V,2,0),"")</f>
        <v/>
      </c>
      <c r="E430" s="211" t="str">
        <f>IFERROR(VLOOKUP($C430,'PORTIFÓLIO'!C:V,3,0),"")</f>
        <v/>
      </c>
      <c r="F430" s="211" t="str">
        <f>IFERROR(VLOOKUP($C430,'PORTIFÓLIO'!C:V,4,0),"")</f>
        <v/>
      </c>
      <c r="G430" s="215" t="str">
        <f>IFERROR(VLOOKUP($C430,'PORTIFÓLIO'!C:V,5,0),"")</f>
        <v/>
      </c>
      <c r="H430" s="254" t="str">
        <f t="array" ref="H430">IFERROR(INDEX('PORTIFÓLIO'!$H$4:$H$433,MATCH($C430,'PORTIFÓLIO'!$C$4:$C$433,0)),"")</f>
        <v/>
      </c>
      <c r="I430" s="256"/>
      <c r="J430" s="218">
        <f t="shared" si="49"/>
        <v>0</v>
      </c>
      <c r="K430" s="292" t="str">
        <f t="array" ref="K430">IFERROR(I430*INDEX('PORTIFÓLIO'!$S$4:$S$433,MATCH($C430,'PORTIFÓLIO'!$C$4:$C$433,0)),"")</f>
        <v/>
      </c>
      <c r="L430" s="292" t="str">
        <f t="array" ref="L430">IFERROR(J430*INDEX('PORTIFÓLIO'!$S$4:$S$433,MATCH($C430,'PORTIFÓLIO'!$C$4:$C$433,0)),"")</f>
        <v/>
      </c>
      <c r="U430" s="79"/>
    </row>
    <row r="431" ht="15.75" customHeight="1" outlineLevel="1">
      <c r="A431" s="211"/>
      <c r="B431" s="212"/>
      <c r="C431" s="213"/>
      <c r="D431" s="214" t="str">
        <f>IFERROR(VLOOKUP($C431,'PORTIFÓLIO'!C:V,2,0),"")</f>
        <v/>
      </c>
      <c r="E431" s="211" t="str">
        <f>IFERROR(VLOOKUP($C431,'PORTIFÓLIO'!C:V,3,0),"")</f>
        <v/>
      </c>
      <c r="F431" s="211" t="str">
        <f>IFERROR(VLOOKUP($C431,'PORTIFÓLIO'!C:V,4,0),"")</f>
        <v/>
      </c>
      <c r="G431" s="215" t="str">
        <f>IFERROR(VLOOKUP($C431,'PORTIFÓLIO'!C:V,5,0),"")</f>
        <v/>
      </c>
      <c r="H431" s="254" t="str">
        <f t="array" ref="H431">IFERROR(INDEX('PORTIFÓLIO'!$H$4:$H$433,MATCH($C431,'PORTIFÓLIO'!$C$4:$C$433,0)),"")</f>
        <v/>
      </c>
      <c r="I431" s="256"/>
      <c r="J431" s="218">
        <f t="shared" si="49"/>
        <v>0</v>
      </c>
      <c r="K431" s="292" t="str">
        <f t="array" ref="K431">IFERROR(I431*INDEX('PORTIFÓLIO'!$S$4:$S$433,MATCH($C431,'PORTIFÓLIO'!$C$4:$C$433,0)),"")</f>
        <v/>
      </c>
      <c r="L431" s="292" t="str">
        <f t="array" ref="L431">IFERROR(J431*INDEX('PORTIFÓLIO'!$S$4:$S$433,MATCH($C431,'PORTIFÓLIO'!$C$4:$C$433,0)),"")</f>
        <v/>
      </c>
      <c r="U431" s="79"/>
    </row>
    <row r="432" ht="15.75" customHeight="1" outlineLevel="1">
      <c r="A432" s="211"/>
      <c r="B432" s="212"/>
      <c r="C432" s="213"/>
      <c r="D432" s="214" t="str">
        <f>IFERROR(VLOOKUP($C432,'PORTIFÓLIO'!C:V,2,0),"")</f>
        <v/>
      </c>
      <c r="E432" s="211" t="str">
        <f>IFERROR(VLOOKUP($C432,'PORTIFÓLIO'!C:V,3,0),"")</f>
        <v/>
      </c>
      <c r="F432" s="211" t="str">
        <f>IFERROR(VLOOKUP($C432,'PORTIFÓLIO'!C:V,4,0),"")</f>
        <v/>
      </c>
      <c r="G432" s="215" t="str">
        <f>IFERROR(VLOOKUP($C432,'PORTIFÓLIO'!C:V,5,0),"")</f>
        <v/>
      </c>
      <c r="H432" s="254" t="str">
        <f t="array" ref="H432">IFERROR(INDEX('PORTIFÓLIO'!$H$4:$H$433,MATCH($C432,'PORTIFÓLIO'!$C$4:$C$433,0)),"")</f>
        <v/>
      </c>
      <c r="I432" s="256"/>
      <c r="J432" s="218">
        <f t="shared" si="49"/>
        <v>0</v>
      </c>
      <c r="K432" s="292" t="str">
        <f t="array" ref="K432">IFERROR(I432*INDEX('PORTIFÓLIO'!$S$4:$S$433,MATCH($C432,'PORTIFÓLIO'!$C$4:$C$433,0)),"")</f>
        <v/>
      </c>
      <c r="L432" s="292" t="str">
        <f t="array" ref="L432">IFERROR(J432*INDEX('PORTIFÓLIO'!$S$4:$S$433,MATCH($C432,'PORTIFÓLIO'!$C$4:$C$433,0)),"")</f>
        <v/>
      </c>
      <c r="U432" s="79"/>
    </row>
    <row r="433" ht="15.75" customHeight="1" outlineLevel="1">
      <c r="A433" s="211"/>
      <c r="B433" s="212"/>
      <c r="C433" s="213"/>
      <c r="D433" s="214" t="str">
        <f>IFERROR(VLOOKUP($C433,'PORTIFÓLIO'!C:V,2,0),"")</f>
        <v/>
      </c>
      <c r="E433" s="211" t="str">
        <f>IFERROR(VLOOKUP($C433,'PORTIFÓLIO'!C:V,3,0),"")</f>
        <v/>
      </c>
      <c r="F433" s="211" t="str">
        <f>IFERROR(VLOOKUP($C433,'PORTIFÓLIO'!C:V,4,0),"")</f>
        <v/>
      </c>
      <c r="G433" s="215" t="str">
        <f>IFERROR(VLOOKUP($C433,'PORTIFÓLIO'!C:V,5,0),"")</f>
        <v/>
      </c>
      <c r="H433" s="254" t="str">
        <f t="array" ref="H433">IFERROR(INDEX('PORTIFÓLIO'!$H$4:$H$433,MATCH($C433,'PORTIFÓLIO'!$C$4:$C$433,0)),"")</f>
        <v/>
      </c>
      <c r="I433" s="256"/>
      <c r="J433" s="218">
        <f t="shared" si="49"/>
        <v>0</v>
      </c>
      <c r="K433" s="292" t="str">
        <f t="array" ref="K433">IFERROR(I433*INDEX('PORTIFÓLIO'!$S$4:$S$433,MATCH($C433,'PORTIFÓLIO'!$C$4:$C$433,0)),"")</f>
        <v/>
      </c>
      <c r="L433" s="292" t="str">
        <f t="array" ref="L433">IFERROR(J433*INDEX('PORTIFÓLIO'!$S$4:$S$433,MATCH($C433,'PORTIFÓLIO'!$C$4:$C$433,0)),"")</f>
        <v/>
      </c>
      <c r="U433" s="79"/>
    </row>
    <row r="434" ht="15.75" customHeight="1" outlineLevel="1">
      <c r="A434" s="211"/>
      <c r="B434" s="212"/>
      <c r="C434" s="213"/>
      <c r="D434" s="214" t="str">
        <f>IFERROR(VLOOKUP($C434,'PORTIFÓLIO'!C:V,2,0),"")</f>
        <v/>
      </c>
      <c r="E434" s="211" t="str">
        <f>IFERROR(VLOOKUP($C434,'PORTIFÓLIO'!C:V,3,0),"")</f>
        <v/>
      </c>
      <c r="F434" s="211" t="str">
        <f>IFERROR(VLOOKUP($C434,'PORTIFÓLIO'!C:V,4,0),"")</f>
        <v/>
      </c>
      <c r="G434" s="215" t="str">
        <f>IFERROR(VLOOKUP($C434,'PORTIFÓLIO'!C:V,5,0),"")</f>
        <v/>
      </c>
      <c r="H434" s="254" t="str">
        <f t="array" ref="H434">IFERROR(INDEX('PORTIFÓLIO'!$H$4:$H$433,MATCH($C434,'PORTIFÓLIO'!$C$4:$C$433,0)),"")</f>
        <v/>
      </c>
      <c r="I434" s="256"/>
      <c r="J434" s="218">
        <f t="shared" si="49"/>
        <v>0</v>
      </c>
      <c r="K434" s="292" t="str">
        <f t="array" ref="K434">IFERROR(I434*INDEX('PORTIFÓLIO'!$S$4:$S$433,MATCH($C434,'PORTIFÓLIO'!$C$4:$C$433,0)),"")</f>
        <v/>
      </c>
      <c r="L434" s="292" t="str">
        <f t="array" ref="L434">IFERROR(J434*INDEX('PORTIFÓLIO'!$S$4:$S$433,MATCH($C434,'PORTIFÓLIO'!$C$4:$C$433,0)),"")</f>
        <v/>
      </c>
      <c r="U434" s="79"/>
    </row>
    <row r="435" ht="15.75" customHeight="1" outlineLevel="1">
      <c r="A435" s="211"/>
      <c r="B435" s="212"/>
      <c r="C435" s="213"/>
      <c r="D435" s="214" t="str">
        <f>IFERROR(VLOOKUP($C435,'PORTIFÓLIO'!C:V,2,0),"")</f>
        <v/>
      </c>
      <c r="E435" s="211" t="str">
        <f>IFERROR(VLOOKUP($C435,'PORTIFÓLIO'!C:V,3,0),"")</f>
        <v/>
      </c>
      <c r="F435" s="211" t="str">
        <f>IFERROR(VLOOKUP($C435,'PORTIFÓLIO'!C:V,4,0),"")</f>
        <v/>
      </c>
      <c r="G435" s="215" t="str">
        <f>IFERROR(VLOOKUP($C435,'PORTIFÓLIO'!C:V,5,0),"")</f>
        <v/>
      </c>
      <c r="H435" s="254" t="str">
        <f t="array" ref="H435">IFERROR(INDEX('PORTIFÓLIO'!$H$4:$H$433,MATCH($C435,'PORTIFÓLIO'!$C$4:$C$433,0)),"")</f>
        <v/>
      </c>
      <c r="I435" s="256"/>
      <c r="J435" s="218">
        <f t="shared" si="49"/>
        <v>0</v>
      </c>
      <c r="K435" s="292" t="str">
        <f t="array" ref="K435">IFERROR(I435*INDEX('PORTIFÓLIO'!$S$4:$S$433,MATCH($C435,'PORTIFÓLIO'!$C$4:$C$433,0)),"")</f>
        <v/>
      </c>
      <c r="L435" s="292" t="str">
        <f t="array" ref="L435">IFERROR(J435*INDEX('PORTIFÓLIO'!$S$4:$S$433,MATCH($C435,'PORTIFÓLIO'!$C$4:$C$433,0)),"")</f>
        <v/>
      </c>
      <c r="U435" s="79"/>
    </row>
    <row r="436" ht="15.75" customHeight="1" outlineLevel="1">
      <c r="A436" s="211"/>
      <c r="B436" s="212"/>
      <c r="C436" s="213"/>
      <c r="D436" s="214" t="str">
        <f>IFERROR(VLOOKUP($C436,'PORTIFÓLIO'!C:V,2,0),"")</f>
        <v/>
      </c>
      <c r="E436" s="211" t="str">
        <f>IFERROR(VLOOKUP($C436,'PORTIFÓLIO'!C:V,3,0),"")</f>
        <v/>
      </c>
      <c r="F436" s="211" t="str">
        <f>IFERROR(VLOOKUP($C436,'PORTIFÓLIO'!C:V,4,0),"")</f>
        <v/>
      </c>
      <c r="G436" s="215" t="str">
        <f>IFERROR(VLOOKUP($C436,'PORTIFÓLIO'!C:V,5,0),"")</f>
        <v/>
      </c>
      <c r="H436" s="254" t="str">
        <f t="array" ref="H436">IFERROR(INDEX('PORTIFÓLIO'!$H$4:$H$433,MATCH($C436,'PORTIFÓLIO'!$C$4:$C$433,0)),"")</f>
        <v/>
      </c>
      <c r="I436" s="256"/>
      <c r="J436" s="218">
        <f t="shared" si="49"/>
        <v>0</v>
      </c>
      <c r="K436" s="292" t="str">
        <f t="array" ref="K436">IFERROR(I436*INDEX('PORTIFÓLIO'!$S$4:$S$433,MATCH($C436,'PORTIFÓLIO'!$C$4:$C$433,0)),"")</f>
        <v/>
      </c>
      <c r="L436" s="292" t="str">
        <f t="array" ref="L436">IFERROR(J436*INDEX('PORTIFÓLIO'!$S$4:$S$433,MATCH($C436,'PORTIFÓLIO'!$C$4:$C$433,0)),"")</f>
        <v/>
      </c>
      <c r="U436" s="79"/>
    </row>
    <row r="437" ht="15.75" customHeight="1" outlineLevel="1">
      <c r="A437" s="211"/>
      <c r="B437" s="212"/>
      <c r="C437" s="213"/>
      <c r="D437" s="214" t="str">
        <f>IFERROR(VLOOKUP($C437,'PORTIFÓLIO'!C:V,2,0),"")</f>
        <v/>
      </c>
      <c r="E437" s="211" t="str">
        <f>IFERROR(VLOOKUP($C437,'PORTIFÓLIO'!C:V,3,0),"")</f>
        <v/>
      </c>
      <c r="F437" s="211" t="str">
        <f>IFERROR(VLOOKUP($C437,'PORTIFÓLIO'!C:V,4,0),"")</f>
        <v/>
      </c>
      <c r="G437" s="215" t="str">
        <f>IFERROR(VLOOKUP($C437,'PORTIFÓLIO'!C:V,5,0),"")</f>
        <v/>
      </c>
      <c r="H437" s="254" t="str">
        <f t="array" ref="H437">IFERROR(INDEX('PORTIFÓLIO'!$H$4:$H$433,MATCH($C437,'PORTIFÓLIO'!$C$4:$C$433,0)),"")</f>
        <v/>
      </c>
      <c r="I437" s="256"/>
      <c r="J437" s="218">
        <f t="shared" si="49"/>
        <v>0</v>
      </c>
      <c r="K437" s="292" t="str">
        <f t="array" ref="K437">IFERROR(I437*INDEX('PORTIFÓLIO'!$S$4:$S$433,MATCH($C437,'PORTIFÓLIO'!$C$4:$C$433,0)),"")</f>
        <v/>
      </c>
      <c r="L437" s="292" t="str">
        <f t="array" ref="L437">IFERROR(J437*INDEX('PORTIFÓLIO'!$S$4:$S$433,MATCH($C437,'PORTIFÓLIO'!$C$4:$C$433,0)),"")</f>
        <v/>
      </c>
      <c r="U437" s="79"/>
    </row>
    <row r="438" ht="15.75" customHeight="1" outlineLevel="1">
      <c r="A438" s="211"/>
      <c r="B438" s="212"/>
      <c r="C438" s="213"/>
      <c r="D438" s="214" t="str">
        <f>IFERROR(VLOOKUP($C438,'PORTIFÓLIO'!C:V,2,0),"")</f>
        <v/>
      </c>
      <c r="E438" s="211" t="str">
        <f>IFERROR(VLOOKUP($C438,'PORTIFÓLIO'!C:V,3,0),"")</f>
        <v/>
      </c>
      <c r="F438" s="211" t="str">
        <f>IFERROR(VLOOKUP($C438,'PORTIFÓLIO'!C:V,4,0),"")</f>
        <v/>
      </c>
      <c r="G438" s="215" t="str">
        <f>IFERROR(VLOOKUP($C438,'PORTIFÓLIO'!C:V,5,0),"")</f>
        <v/>
      </c>
      <c r="H438" s="254" t="str">
        <f t="array" ref="H438">IFERROR(INDEX('PORTIFÓLIO'!$H$4:$H$433,MATCH($C438,'PORTIFÓLIO'!$C$4:$C$433,0)),"")</f>
        <v/>
      </c>
      <c r="I438" s="256"/>
      <c r="J438" s="218">
        <f t="shared" si="49"/>
        <v>0</v>
      </c>
      <c r="K438" s="292" t="str">
        <f t="array" ref="K438">IFERROR(I438*INDEX('PORTIFÓLIO'!$S$4:$S$433,MATCH($C438,'PORTIFÓLIO'!$C$4:$C$433,0)),"")</f>
        <v/>
      </c>
      <c r="L438" s="292" t="str">
        <f t="array" ref="L438">IFERROR(J438*INDEX('PORTIFÓLIO'!$S$4:$S$433,MATCH($C438,'PORTIFÓLIO'!$C$4:$C$433,0)),"")</f>
        <v/>
      </c>
      <c r="U438" s="79"/>
    </row>
    <row r="439" ht="15.75" customHeight="1" outlineLevel="1">
      <c r="A439" s="211"/>
      <c r="B439" s="212"/>
      <c r="C439" s="213"/>
      <c r="D439" s="214" t="str">
        <f>IFERROR(VLOOKUP($C439,'PORTIFÓLIO'!C:V,2,0),"")</f>
        <v/>
      </c>
      <c r="E439" s="211" t="str">
        <f>IFERROR(VLOOKUP($C439,'PORTIFÓLIO'!C:V,3,0),"")</f>
        <v/>
      </c>
      <c r="F439" s="211" t="str">
        <f>IFERROR(VLOOKUP($C439,'PORTIFÓLIO'!C:V,4,0),"")</f>
        <v/>
      </c>
      <c r="G439" s="215" t="str">
        <f>IFERROR(VLOOKUP($C439,'PORTIFÓLIO'!C:V,5,0),"")</f>
        <v/>
      </c>
      <c r="H439" s="254" t="str">
        <f t="array" ref="H439">IFERROR(INDEX('PORTIFÓLIO'!$H$4:$H$433,MATCH($C439,'PORTIFÓLIO'!$C$4:$C$433,0)),"")</f>
        <v/>
      </c>
      <c r="I439" s="256"/>
      <c r="J439" s="218">
        <f t="shared" si="49"/>
        <v>0</v>
      </c>
      <c r="K439" s="292" t="str">
        <f t="array" ref="K439">IFERROR(I439*INDEX('PORTIFÓLIO'!$S$4:$S$433,MATCH($C439,'PORTIFÓLIO'!$C$4:$C$433,0)),"")</f>
        <v/>
      </c>
      <c r="L439" s="292" t="str">
        <f t="array" ref="L439">IFERROR(J439*INDEX('PORTIFÓLIO'!$S$4:$S$433,MATCH($C439,'PORTIFÓLIO'!$C$4:$C$433,0)),"")</f>
        <v/>
      </c>
      <c r="U439" s="79"/>
    </row>
    <row r="440" ht="15.75" customHeight="1" outlineLevel="1">
      <c r="A440" s="211"/>
      <c r="B440" s="212"/>
      <c r="C440" s="213"/>
      <c r="D440" s="214" t="str">
        <f>IFERROR(VLOOKUP($C440,'PORTIFÓLIO'!C:V,2,0),"")</f>
        <v/>
      </c>
      <c r="E440" s="211" t="str">
        <f>IFERROR(VLOOKUP($C440,'PORTIFÓLIO'!C:V,3,0),"")</f>
        <v/>
      </c>
      <c r="F440" s="211" t="str">
        <f>IFERROR(VLOOKUP($C440,'PORTIFÓLIO'!C:V,4,0),"")</f>
        <v/>
      </c>
      <c r="G440" s="215" t="str">
        <f>IFERROR(VLOOKUP($C440,'PORTIFÓLIO'!C:V,5,0),"")</f>
        <v/>
      </c>
      <c r="H440" s="254" t="str">
        <f t="array" ref="H440">IFERROR(INDEX('PORTIFÓLIO'!$H$4:$H$433,MATCH($C440,'PORTIFÓLIO'!$C$4:$C$433,0)),"")</f>
        <v/>
      </c>
      <c r="I440" s="256"/>
      <c r="J440" s="218">
        <f t="shared" si="49"/>
        <v>0</v>
      </c>
      <c r="K440" s="292" t="str">
        <f t="array" ref="K440">IFERROR(I440*INDEX('PORTIFÓLIO'!$S$4:$S$433,MATCH($C440,'PORTIFÓLIO'!$C$4:$C$433,0)),"")</f>
        <v/>
      </c>
      <c r="L440" s="292" t="str">
        <f t="array" ref="L440">IFERROR(J440*INDEX('PORTIFÓLIO'!$S$4:$S$433,MATCH($C440,'PORTIFÓLIO'!$C$4:$C$433,0)),"")</f>
        <v/>
      </c>
      <c r="U440" s="79"/>
    </row>
    <row r="441" ht="15.75" customHeight="1" outlineLevel="1">
      <c r="A441" s="211"/>
      <c r="B441" s="212"/>
      <c r="C441" s="213"/>
      <c r="D441" s="214" t="str">
        <f>IFERROR(VLOOKUP($C441,'PORTIFÓLIO'!C:V,2,0),"")</f>
        <v/>
      </c>
      <c r="E441" s="211" t="str">
        <f>IFERROR(VLOOKUP($C441,'PORTIFÓLIO'!C:V,3,0),"")</f>
        <v/>
      </c>
      <c r="F441" s="211" t="str">
        <f>IFERROR(VLOOKUP($C441,'PORTIFÓLIO'!C:V,4,0),"")</f>
        <v/>
      </c>
      <c r="G441" s="215" t="str">
        <f>IFERROR(VLOOKUP($C441,'PORTIFÓLIO'!C:V,5,0),"")</f>
        <v/>
      </c>
      <c r="H441" s="254" t="str">
        <f t="array" ref="H441">IFERROR(INDEX('PORTIFÓLIO'!$H$4:$H$433,MATCH($C441,'PORTIFÓLIO'!$C$4:$C$433,0)),"")</f>
        <v/>
      </c>
      <c r="I441" s="256"/>
      <c r="J441" s="218">
        <f t="shared" si="49"/>
        <v>0</v>
      </c>
      <c r="K441" s="292" t="str">
        <f t="array" ref="K441">IFERROR(I441*INDEX('PORTIFÓLIO'!$S$4:$S$433,MATCH($C441,'PORTIFÓLIO'!$C$4:$C$433,0)),"")</f>
        <v/>
      </c>
      <c r="L441" s="292" t="str">
        <f t="array" ref="L441">IFERROR(J441*INDEX('PORTIFÓLIO'!$S$4:$S$433,MATCH($C441,'PORTIFÓLIO'!$C$4:$C$433,0)),"")</f>
        <v/>
      </c>
      <c r="U441" s="79"/>
    </row>
    <row r="442" ht="15.75" customHeight="1" outlineLevel="1">
      <c r="A442" s="211"/>
      <c r="B442" s="212"/>
      <c r="C442" s="213"/>
      <c r="D442" s="214" t="str">
        <f>IFERROR(VLOOKUP($C442,'PORTIFÓLIO'!C:V,2,0),"")</f>
        <v/>
      </c>
      <c r="E442" s="211" t="str">
        <f>IFERROR(VLOOKUP($C442,'PORTIFÓLIO'!C:V,3,0),"")</f>
        <v/>
      </c>
      <c r="F442" s="211" t="str">
        <f>IFERROR(VLOOKUP($C442,'PORTIFÓLIO'!C:V,4,0),"")</f>
        <v/>
      </c>
      <c r="G442" s="215" t="str">
        <f>IFERROR(VLOOKUP($C442,'PORTIFÓLIO'!C:V,5,0),"")</f>
        <v/>
      </c>
      <c r="H442" s="254" t="str">
        <f t="array" ref="H442">IFERROR(INDEX('PORTIFÓLIO'!$H$4:$H$433,MATCH($C442,'PORTIFÓLIO'!$C$4:$C$433,0)),"")</f>
        <v/>
      </c>
      <c r="I442" s="256"/>
      <c r="J442" s="218">
        <f t="shared" si="49"/>
        <v>0</v>
      </c>
      <c r="K442" s="292" t="str">
        <f t="array" ref="K442">IFERROR(I442*INDEX('PORTIFÓLIO'!$S$4:$S$433,MATCH($C442,'PORTIFÓLIO'!$C$4:$C$433,0)),"")</f>
        <v/>
      </c>
      <c r="L442" s="292" t="str">
        <f t="array" ref="L442">IFERROR(J442*INDEX('PORTIFÓLIO'!$S$4:$S$433,MATCH($C442,'PORTIFÓLIO'!$C$4:$C$433,0)),"")</f>
        <v/>
      </c>
      <c r="U442" s="79"/>
    </row>
    <row r="443" ht="15.75" customHeight="1" outlineLevel="1">
      <c r="A443" s="211"/>
      <c r="B443" s="227"/>
      <c r="C443" s="211"/>
      <c r="D443" s="214" t="str">
        <f>IFERROR(VLOOKUP($C443,'PORTIFÓLIO'!C:V,2,0),"")</f>
        <v/>
      </c>
      <c r="E443" s="211" t="str">
        <f>IFERROR(VLOOKUP($C443,'PORTIFÓLIO'!C:V,3,0),"")</f>
        <v/>
      </c>
      <c r="F443" s="211" t="str">
        <f>IFERROR(VLOOKUP($C443,'PORTIFÓLIO'!C:V,4,0),"")</f>
        <v/>
      </c>
      <c r="G443" s="215" t="str">
        <f>IFERROR(VLOOKUP($C443,'PORTIFÓLIO'!C:V,5,0),"")</f>
        <v/>
      </c>
      <c r="H443" s="254" t="str">
        <f t="array" ref="H443">IFERROR(INDEX('PORTIFÓLIO'!$H$4:$H$433,MATCH($C443,'PORTIFÓLIO'!$C$4:$C$433,0)),"")</f>
        <v/>
      </c>
      <c r="I443" s="256"/>
      <c r="J443" s="218">
        <f t="shared" si="49"/>
        <v>0</v>
      </c>
      <c r="K443" s="292" t="str">
        <f t="array" ref="K443">IFERROR(I443*INDEX('PORTIFÓLIO'!$S$4:$S$433,MATCH($C443,'PORTIFÓLIO'!$C$4:$C$433,0)),"")</f>
        <v/>
      </c>
      <c r="L443" s="292" t="str">
        <f t="array" ref="L443">IFERROR(J443*INDEX('PORTIFÓLIO'!$S$4:$S$433,MATCH($C443,'PORTIFÓLIO'!$C$4:$C$433,0)),"")</f>
        <v/>
      </c>
      <c r="U443" s="79"/>
    </row>
    <row r="444" ht="15.75" customHeight="1" outlineLevel="1">
      <c r="A444" s="211"/>
      <c r="B444" s="227"/>
      <c r="C444" s="211"/>
      <c r="D444" s="214" t="str">
        <f>IFERROR(VLOOKUP($C444,'PORTIFÓLIO'!C:V,2,0),"")</f>
        <v/>
      </c>
      <c r="E444" s="211" t="str">
        <f>IFERROR(VLOOKUP($C444,'PORTIFÓLIO'!C:V,3,0),"")</f>
        <v/>
      </c>
      <c r="F444" s="211" t="str">
        <f>IFERROR(VLOOKUP($C444,'PORTIFÓLIO'!C:V,4,0),"")</f>
        <v/>
      </c>
      <c r="G444" s="215" t="str">
        <f>IFERROR(VLOOKUP($C444,'PORTIFÓLIO'!C:V,5,0),"")</f>
        <v/>
      </c>
      <c r="H444" s="254" t="str">
        <f t="array" ref="H444">IFERROR(INDEX('PORTIFÓLIO'!$H$4:$H$433,MATCH($C444,'PORTIFÓLIO'!$C$4:$C$433,0)),"")</f>
        <v/>
      </c>
      <c r="I444" s="256"/>
      <c r="J444" s="218">
        <f t="shared" si="49"/>
        <v>0</v>
      </c>
      <c r="K444" s="292" t="str">
        <f t="array" ref="K444">IFERROR(I444*INDEX('PORTIFÓLIO'!$S$4:$S$433,MATCH($C444,'PORTIFÓLIO'!$C$4:$C$433,0)),"")</f>
        <v/>
      </c>
      <c r="L444" s="292" t="str">
        <f t="array" ref="L444">IFERROR(J444*INDEX('PORTIFÓLIO'!$S$4:$S$433,MATCH($C444,'PORTIFÓLIO'!$C$4:$C$433,0)),"")</f>
        <v/>
      </c>
      <c r="U444" s="79"/>
    </row>
    <row r="445" ht="15.75" customHeight="1" outlineLevel="1">
      <c r="A445" s="211"/>
      <c r="B445" s="227"/>
      <c r="C445" s="211"/>
      <c r="D445" s="214" t="str">
        <f>IFERROR(VLOOKUP($C445,'PORTIFÓLIO'!C:V,2,0),"")</f>
        <v/>
      </c>
      <c r="E445" s="211" t="str">
        <f>IFERROR(VLOOKUP($C445,'PORTIFÓLIO'!C:V,3,0),"")</f>
        <v/>
      </c>
      <c r="F445" s="211" t="str">
        <f>IFERROR(VLOOKUP($C445,'PORTIFÓLIO'!C:V,4,0),"")</f>
        <v/>
      </c>
      <c r="G445" s="215" t="str">
        <f>IFERROR(VLOOKUP($C445,'PORTIFÓLIO'!C:V,5,0),"")</f>
        <v/>
      </c>
      <c r="H445" s="254" t="str">
        <f t="array" ref="H445">IFERROR(INDEX('PORTIFÓLIO'!$H$4:$H$433,MATCH($C445,'PORTIFÓLIO'!$C$4:$C$433,0)),"")</f>
        <v/>
      </c>
      <c r="I445" s="256"/>
      <c r="J445" s="218">
        <f t="shared" si="49"/>
        <v>0</v>
      </c>
      <c r="K445" s="292" t="str">
        <f t="array" ref="K445">IFERROR(I445*INDEX('PORTIFÓLIO'!$S$4:$S$433,MATCH($C445,'PORTIFÓLIO'!$C$4:$C$433,0)),"")</f>
        <v/>
      </c>
      <c r="L445" s="292" t="str">
        <f t="array" ref="L445">IFERROR(J445*INDEX('PORTIFÓLIO'!$S$4:$S$433,MATCH($C445,'PORTIFÓLIO'!$C$4:$C$433,0)),"")</f>
        <v/>
      </c>
      <c r="U445" s="79"/>
    </row>
    <row r="446" ht="15.75" customHeight="1" outlineLevel="1">
      <c r="A446" s="211"/>
      <c r="B446" s="227"/>
      <c r="C446" s="211"/>
      <c r="D446" s="214" t="str">
        <f>IFERROR(VLOOKUP($C446,'PORTIFÓLIO'!C:V,2,0),"")</f>
        <v/>
      </c>
      <c r="E446" s="211" t="str">
        <f>IFERROR(VLOOKUP($C446,'PORTIFÓLIO'!C:V,3,0),"")</f>
        <v/>
      </c>
      <c r="F446" s="211" t="str">
        <f>IFERROR(VLOOKUP($C446,'PORTIFÓLIO'!C:V,4,0),"")</f>
        <v/>
      </c>
      <c r="G446" s="215" t="str">
        <f>IFERROR(VLOOKUP($C446,'PORTIFÓLIO'!C:V,5,0),"")</f>
        <v/>
      </c>
      <c r="H446" s="254" t="str">
        <f t="array" ref="H446">IFERROR(INDEX('PORTIFÓLIO'!$H$4:$H$433,MATCH($C446,'PORTIFÓLIO'!$C$4:$C$433,0)),"")</f>
        <v/>
      </c>
      <c r="I446" s="256"/>
      <c r="J446" s="218">
        <f t="shared" si="49"/>
        <v>0</v>
      </c>
      <c r="K446" s="292" t="str">
        <f t="array" ref="K446">IFERROR(I446*INDEX('PORTIFÓLIO'!$S$4:$S$433,MATCH($C446,'PORTIFÓLIO'!$C$4:$C$433,0)),"")</f>
        <v/>
      </c>
      <c r="L446" s="292" t="str">
        <f t="array" ref="L446">IFERROR(J446*INDEX('PORTIFÓLIO'!$S$4:$S$433,MATCH($C446,'PORTIFÓLIO'!$C$4:$C$433,0)),"")</f>
        <v/>
      </c>
      <c r="U446" s="79"/>
    </row>
    <row r="447" ht="15.75" customHeight="1" outlineLevel="1">
      <c r="A447" s="211"/>
      <c r="B447" s="227"/>
      <c r="C447" s="211"/>
      <c r="D447" s="214" t="str">
        <f>IFERROR(VLOOKUP($C447,'PORTIFÓLIO'!C:V,2,0),"")</f>
        <v/>
      </c>
      <c r="E447" s="211" t="str">
        <f>IFERROR(VLOOKUP($C447,'PORTIFÓLIO'!C:V,3,0),"")</f>
        <v/>
      </c>
      <c r="F447" s="211" t="str">
        <f>IFERROR(VLOOKUP($C447,'PORTIFÓLIO'!C:V,4,0),"")</f>
        <v/>
      </c>
      <c r="G447" s="215" t="str">
        <f>IFERROR(VLOOKUP($C447,'PORTIFÓLIO'!C:V,5,0),"")</f>
        <v/>
      </c>
      <c r="H447" s="254" t="str">
        <f t="array" ref="H447">IFERROR(INDEX('PORTIFÓLIO'!$H$4:$H$433,MATCH($C447,'PORTIFÓLIO'!$C$4:$C$433,0)),"")</f>
        <v/>
      </c>
      <c r="I447" s="256"/>
      <c r="J447" s="218">
        <f t="shared" si="49"/>
        <v>0</v>
      </c>
      <c r="K447" s="292" t="str">
        <f t="array" ref="K447">IFERROR(I447*INDEX('PORTIFÓLIO'!$S$4:$S$433,MATCH($C447,'PORTIFÓLIO'!$C$4:$C$433,0)),"")</f>
        <v/>
      </c>
      <c r="L447" s="292" t="str">
        <f t="array" ref="L447">IFERROR(J447*INDEX('PORTIFÓLIO'!$S$4:$S$433,MATCH($C447,'PORTIFÓLIO'!$C$4:$C$433,0)),"")</f>
        <v/>
      </c>
      <c r="U447" s="79"/>
    </row>
    <row r="448" ht="15.75" customHeight="1" outlineLevel="1">
      <c r="A448" s="211"/>
      <c r="B448" s="227"/>
      <c r="C448" s="211"/>
      <c r="D448" s="214" t="str">
        <f>IFERROR(VLOOKUP($C448,'PORTIFÓLIO'!C:V,2,0),"")</f>
        <v/>
      </c>
      <c r="E448" s="211" t="str">
        <f>IFERROR(VLOOKUP($C448,'PORTIFÓLIO'!C:V,3,0),"")</f>
        <v/>
      </c>
      <c r="F448" s="211" t="str">
        <f>IFERROR(VLOOKUP($C448,'PORTIFÓLIO'!C:V,4,0),"")</f>
        <v/>
      </c>
      <c r="G448" s="215" t="str">
        <f>IFERROR(VLOOKUP($C448,'PORTIFÓLIO'!C:V,5,0),"")</f>
        <v/>
      </c>
      <c r="H448" s="254" t="str">
        <f t="array" ref="H448">IFERROR(INDEX('PORTIFÓLIO'!$H$4:$H$433,MATCH($C448,'PORTIFÓLIO'!$C$4:$C$433,0)),"")</f>
        <v/>
      </c>
      <c r="I448" s="256"/>
      <c r="J448" s="218">
        <f t="shared" si="49"/>
        <v>0</v>
      </c>
      <c r="K448" s="292" t="str">
        <f t="array" ref="K448">IFERROR(I448*INDEX('PORTIFÓLIO'!$S$4:$S$433,MATCH($C448,'PORTIFÓLIO'!$C$4:$C$433,0)),"")</f>
        <v/>
      </c>
      <c r="L448" s="292" t="str">
        <f t="array" ref="L448">IFERROR(J448*INDEX('PORTIFÓLIO'!$S$4:$S$433,MATCH($C448,'PORTIFÓLIO'!$C$4:$C$433,0)),"")</f>
        <v/>
      </c>
      <c r="U448" s="79"/>
    </row>
    <row r="449" ht="15.75" customHeight="1" outlineLevel="1">
      <c r="A449" s="211"/>
      <c r="B449" s="227"/>
      <c r="C449" s="211"/>
      <c r="D449" s="214" t="str">
        <f>IFERROR(VLOOKUP($C449,'PORTIFÓLIO'!C:V,2,0),"")</f>
        <v/>
      </c>
      <c r="E449" s="211" t="str">
        <f>IFERROR(VLOOKUP($C449,'PORTIFÓLIO'!C:V,3,0),"")</f>
        <v/>
      </c>
      <c r="F449" s="211" t="str">
        <f>IFERROR(VLOOKUP($C449,'PORTIFÓLIO'!C:V,4,0),"")</f>
        <v/>
      </c>
      <c r="G449" s="215" t="str">
        <f>IFERROR(VLOOKUP($C449,'PORTIFÓLIO'!C:V,5,0),"")</f>
        <v/>
      </c>
      <c r="H449" s="254" t="str">
        <f t="array" ref="H449">IFERROR(INDEX('PORTIFÓLIO'!$H$4:$H$433,MATCH($C449,'PORTIFÓLIO'!$C$4:$C$433,0)),"")</f>
        <v/>
      </c>
      <c r="I449" s="256"/>
      <c r="J449" s="218">
        <f t="shared" si="49"/>
        <v>0</v>
      </c>
      <c r="K449" s="292" t="str">
        <f t="array" ref="K449">IFERROR(I449*INDEX('PORTIFÓLIO'!$S$4:$S$433,MATCH($C449,'PORTIFÓLIO'!$C$4:$C$433,0)),"")</f>
        <v/>
      </c>
      <c r="L449" s="292" t="str">
        <f t="array" ref="L449">IFERROR(J449*INDEX('PORTIFÓLIO'!$S$4:$S$433,MATCH($C449,'PORTIFÓLIO'!$C$4:$C$433,0)),"")</f>
        <v/>
      </c>
      <c r="U449" s="79"/>
    </row>
    <row r="450" ht="15.75" customHeight="1" outlineLevel="1">
      <c r="A450" s="211"/>
      <c r="B450" s="227"/>
      <c r="C450" s="211"/>
      <c r="D450" s="214" t="str">
        <f>IFERROR(VLOOKUP($C450,'PORTIFÓLIO'!C:V,2,0),"")</f>
        <v/>
      </c>
      <c r="E450" s="211" t="str">
        <f>IFERROR(VLOOKUP($C450,'PORTIFÓLIO'!C:V,3,0),"")</f>
        <v/>
      </c>
      <c r="F450" s="211" t="str">
        <f>IFERROR(VLOOKUP($C450,'PORTIFÓLIO'!C:V,4,0),"")</f>
        <v/>
      </c>
      <c r="G450" s="215" t="str">
        <f>IFERROR(VLOOKUP($C450,'PORTIFÓLIO'!C:V,5,0),"")</f>
        <v/>
      </c>
      <c r="H450" s="254" t="str">
        <f t="array" ref="H450">IFERROR(INDEX('PORTIFÓLIO'!$H$4:$H$433,MATCH($C450,'PORTIFÓLIO'!$C$4:$C$433,0)),"")</f>
        <v/>
      </c>
      <c r="I450" s="256"/>
      <c r="J450" s="218">
        <f t="shared" si="49"/>
        <v>0</v>
      </c>
      <c r="K450" s="292" t="str">
        <f t="array" ref="K450">IFERROR(I450*INDEX('PORTIFÓLIO'!$S$4:$S$433,MATCH($C450,'PORTIFÓLIO'!$C$4:$C$433,0)),"")</f>
        <v/>
      </c>
      <c r="L450" s="292" t="str">
        <f t="array" ref="L450">IFERROR(J450*INDEX('PORTIFÓLIO'!$S$4:$S$433,MATCH($C450,'PORTIFÓLIO'!$C$4:$C$433,0)),"")</f>
        <v/>
      </c>
      <c r="U450" s="79"/>
    </row>
    <row r="451" ht="15.75" customHeight="1" outlineLevel="1">
      <c r="A451" s="211"/>
      <c r="B451" s="227"/>
      <c r="C451" s="211"/>
      <c r="D451" s="214" t="str">
        <f>IFERROR(VLOOKUP($C451,'PORTIFÓLIO'!C:V,2,0),"")</f>
        <v/>
      </c>
      <c r="E451" s="211" t="str">
        <f>IFERROR(VLOOKUP($C451,'PORTIFÓLIO'!C:V,3,0),"")</f>
        <v/>
      </c>
      <c r="F451" s="211" t="str">
        <f>IFERROR(VLOOKUP($C451,'PORTIFÓLIO'!C:V,4,0),"")</f>
        <v/>
      </c>
      <c r="G451" s="215" t="str">
        <f>IFERROR(VLOOKUP($C451,'PORTIFÓLIO'!C:V,5,0),"")</f>
        <v/>
      </c>
      <c r="H451" s="254" t="str">
        <f t="array" ref="H451">IFERROR(INDEX('PORTIFÓLIO'!$H$4:$H$433,MATCH($C451,'PORTIFÓLIO'!$C$4:$C$433,0)),"")</f>
        <v/>
      </c>
      <c r="I451" s="256"/>
      <c r="J451" s="218">
        <f t="shared" si="49"/>
        <v>0</v>
      </c>
      <c r="K451" s="292" t="str">
        <f t="array" ref="K451">IFERROR(I451*INDEX('PORTIFÓLIO'!$S$4:$S$433,MATCH($C451,'PORTIFÓLIO'!$C$4:$C$433,0)),"")</f>
        <v/>
      </c>
      <c r="L451" s="292" t="str">
        <f t="array" ref="L451">IFERROR(J451*INDEX('PORTIFÓLIO'!$S$4:$S$433,MATCH($C451,'PORTIFÓLIO'!$C$4:$C$433,0)),"")</f>
        <v/>
      </c>
      <c r="U451" s="79"/>
    </row>
    <row r="452" ht="15.75" customHeight="1">
      <c r="A452" s="227"/>
      <c r="B452" s="227"/>
      <c r="C452" s="227"/>
      <c r="D452" s="227"/>
      <c r="E452" s="227"/>
      <c r="F452" s="227"/>
      <c r="G452" s="215"/>
      <c r="H452" s="227"/>
      <c r="I452" s="227"/>
      <c r="J452" s="227"/>
      <c r="K452" s="293">
        <f t="shared" ref="K452:L452" si="50">SUBTOTAL(9,K237:K427)</f>
        <v>0</v>
      </c>
      <c r="L452" s="293">
        <f t="shared" si="50"/>
        <v>0</v>
      </c>
      <c r="U452" s="79"/>
    </row>
    <row r="453" ht="15.75" customHeight="1">
      <c r="U453" s="79"/>
    </row>
    <row r="454" ht="15.75" customHeight="1">
      <c r="U454" s="79"/>
    </row>
    <row r="455" ht="15.75" customHeight="1">
      <c r="U455" s="79"/>
    </row>
    <row r="456" ht="15.75" customHeight="1">
      <c r="U456" s="79"/>
    </row>
    <row r="457" ht="15.75" customHeight="1">
      <c r="U457" s="79"/>
    </row>
    <row r="458" ht="15.75" customHeight="1">
      <c r="U458" s="79"/>
    </row>
    <row r="459" ht="15.75" customHeight="1">
      <c r="U459" s="79"/>
    </row>
    <row r="460" ht="15.75" customHeight="1">
      <c r="U460" s="79"/>
    </row>
    <row r="461" ht="15.75" customHeight="1">
      <c r="U461" s="79"/>
    </row>
    <row r="462" ht="15.75" customHeight="1">
      <c r="U462" s="79"/>
    </row>
    <row r="463" ht="15.75" customHeight="1">
      <c r="U463" s="79"/>
    </row>
    <row r="464" ht="15.75" customHeight="1">
      <c r="U464" s="79"/>
    </row>
    <row r="465" ht="15.75" customHeight="1">
      <c r="U465" s="79"/>
    </row>
    <row r="466" ht="15.75" customHeight="1">
      <c r="U466" s="79"/>
    </row>
    <row r="467" ht="15.75" customHeight="1">
      <c r="U467" s="79"/>
    </row>
    <row r="468" ht="15.75" customHeight="1">
      <c r="U468" s="79"/>
    </row>
    <row r="469" ht="15.75" customHeight="1">
      <c r="U469" s="79"/>
    </row>
    <row r="470" ht="15.75" customHeight="1">
      <c r="U470" s="79"/>
    </row>
    <row r="471" ht="15.75" customHeight="1">
      <c r="U471" s="79"/>
    </row>
    <row r="472" ht="15.75" customHeight="1">
      <c r="U472" s="79"/>
    </row>
    <row r="473" ht="15.75" customHeight="1">
      <c r="U473" s="79"/>
    </row>
    <row r="474" ht="15.75" customHeight="1">
      <c r="U474" s="79"/>
    </row>
    <row r="475" ht="15.75" customHeight="1">
      <c r="U475" s="79"/>
    </row>
    <row r="476" ht="15.75" customHeight="1">
      <c r="U476" s="79"/>
    </row>
    <row r="477" ht="15.75" customHeight="1">
      <c r="U477" s="79"/>
    </row>
    <row r="478" ht="15.75" customHeight="1">
      <c r="U478" s="79"/>
    </row>
    <row r="479" ht="15.75" customHeight="1">
      <c r="U479" s="79"/>
    </row>
    <row r="480" ht="15.75" customHeight="1">
      <c r="U480" s="79"/>
    </row>
    <row r="481" ht="15.75" customHeight="1">
      <c r="U481" s="79"/>
    </row>
    <row r="482" ht="15.75" customHeight="1">
      <c r="U482" s="79"/>
    </row>
    <row r="483" ht="15.75" customHeight="1">
      <c r="U483" s="79"/>
    </row>
    <row r="484" ht="15.75" customHeight="1">
      <c r="U484" s="79"/>
    </row>
    <row r="485" ht="15.75" customHeight="1">
      <c r="U485" s="79"/>
    </row>
    <row r="486" ht="15.75" customHeight="1">
      <c r="U486" s="79"/>
    </row>
    <row r="487" ht="15.75" customHeight="1">
      <c r="U487" s="79"/>
    </row>
    <row r="488" ht="15.75" customHeight="1">
      <c r="U488" s="79"/>
    </row>
    <row r="489" ht="15.75" customHeight="1">
      <c r="U489" s="79"/>
    </row>
    <row r="490" ht="15.75" customHeight="1">
      <c r="U490" s="79"/>
    </row>
    <row r="491" ht="15.75" customHeight="1">
      <c r="U491" s="79"/>
    </row>
    <row r="492" ht="15.75" customHeight="1">
      <c r="U492" s="79"/>
    </row>
    <row r="493" ht="15.75" customHeight="1">
      <c r="U493" s="79"/>
    </row>
    <row r="494" ht="15.75" customHeight="1">
      <c r="U494" s="79"/>
    </row>
    <row r="495" ht="15.75" customHeight="1">
      <c r="U495" s="79"/>
    </row>
    <row r="496" ht="15.75" customHeight="1">
      <c r="U496" s="79"/>
    </row>
    <row r="497" ht="15.75" customHeight="1">
      <c r="U497" s="79"/>
    </row>
    <row r="498" ht="15.75" customHeight="1">
      <c r="U498" s="79"/>
    </row>
    <row r="499" ht="15.75" customHeight="1">
      <c r="U499" s="79"/>
    </row>
    <row r="500" ht="15.75" customHeight="1">
      <c r="U500" s="79"/>
    </row>
    <row r="501" ht="15.75" customHeight="1">
      <c r="U501" s="79"/>
    </row>
    <row r="502" ht="15.75" customHeight="1">
      <c r="U502" s="79"/>
    </row>
    <row r="503" ht="15.75" customHeight="1">
      <c r="U503" s="79"/>
    </row>
    <row r="504" ht="15.75" customHeight="1">
      <c r="U504" s="79"/>
    </row>
    <row r="505" ht="15.75" customHeight="1">
      <c r="U505" s="79"/>
    </row>
    <row r="506" ht="15.75" customHeight="1">
      <c r="U506" s="79"/>
    </row>
    <row r="507" ht="15.75" customHeight="1">
      <c r="U507" s="79"/>
    </row>
    <row r="508" ht="15.75" customHeight="1">
      <c r="U508" s="79"/>
    </row>
    <row r="509" ht="15.75" customHeight="1">
      <c r="U509" s="79"/>
    </row>
    <row r="510" ht="15.75" customHeight="1">
      <c r="U510" s="79"/>
    </row>
    <row r="511" ht="15.75" customHeight="1">
      <c r="U511" s="79"/>
    </row>
    <row r="512" ht="15.75" customHeight="1">
      <c r="U512" s="79"/>
    </row>
    <row r="513" ht="15.75" customHeight="1">
      <c r="U513" s="79"/>
    </row>
    <row r="514" ht="15.75" customHeight="1">
      <c r="U514" s="79"/>
    </row>
    <row r="515" ht="15.75" customHeight="1">
      <c r="U515" s="79"/>
    </row>
    <row r="516" ht="15.75" customHeight="1">
      <c r="U516" s="79"/>
    </row>
    <row r="517" ht="15.75" customHeight="1">
      <c r="U517" s="79"/>
    </row>
    <row r="518" ht="15.75" customHeight="1">
      <c r="U518" s="79"/>
    </row>
    <row r="519" ht="15.75" customHeight="1">
      <c r="U519" s="79"/>
    </row>
    <row r="520" ht="15.75" customHeight="1">
      <c r="U520" s="79"/>
    </row>
    <row r="521" ht="15.75" customHeight="1">
      <c r="U521" s="79"/>
    </row>
    <row r="522" ht="15.75" customHeight="1">
      <c r="U522" s="79"/>
    </row>
    <row r="523" ht="15.75" customHeight="1">
      <c r="U523" s="79"/>
    </row>
    <row r="524" ht="15.75" customHeight="1">
      <c r="U524" s="79"/>
    </row>
    <row r="525" ht="15.75" customHeight="1">
      <c r="U525" s="79"/>
    </row>
    <row r="526" ht="15.75" customHeight="1">
      <c r="U526" s="79"/>
    </row>
    <row r="527" ht="15.75" customHeight="1">
      <c r="U527" s="79"/>
    </row>
    <row r="528" ht="15.75" customHeight="1">
      <c r="U528" s="79"/>
    </row>
    <row r="529" ht="15.75" customHeight="1">
      <c r="U529" s="79"/>
    </row>
    <row r="530" ht="15.75" customHeight="1">
      <c r="U530" s="79"/>
    </row>
    <row r="531" ht="15.75" customHeight="1">
      <c r="U531" s="79"/>
    </row>
    <row r="532" ht="15.75" customHeight="1">
      <c r="U532" s="79"/>
    </row>
    <row r="533" ht="15.75" customHeight="1">
      <c r="U533" s="79"/>
    </row>
    <row r="534" ht="15.75" customHeight="1">
      <c r="U534" s="79"/>
    </row>
    <row r="535" ht="15.75" customHeight="1">
      <c r="U535" s="79"/>
    </row>
    <row r="536" ht="15.75" customHeight="1">
      <c r="U536" s="79"/>
    </row>
    <row r="537" ht="15.75" customHeight="1">
      <c r="U537" s="79"/>
    </row>
    <row r="538" ht="15.75" customHeight="1">
      <c r="U538" s="79"/>
    </row>
    <row r="539" ht="15.75" customHeight="1">
      <c r="U539" s="79"/>
    </row>
    <row r="540" ht="15.75" customHeight="1">
      <c r="U540" s="79"/>
    </row>
    <row r="541" ht="15.75" customHeight="1">
      <c r="U541" s="79"/>
    </row>
    <row r="542" ht="15.75" customHeight="1">
      <c r="U542" s="79"/>
    </row>
    <row r="543" ht="15.75" customHeight="1">
      <c r="U543" s="79"/>
    </row>
    <row r="544" ht="15.75" customHeight="1">
      <c r="U544" s="79"/>
    </row>
    <row r="545" ht="15.75" customHeight="1">
      <c r="U545" s="79"/>
    </row>
    <row r="546" ht="15.75" customHeight="1">
      <c r="U546" s="79"/>
    </row>
    <row r="547" ht="15.75" customHeight="1">
      <c r="U547" s="79"/>
    </row>
    <row r="548" ht="15.75" customHeight="1">
      <c r="U548" s="79"/>
    </row>
    <row r="549" ht="15.75" customHeight="1">
      <c r="U549" s="79"/>
    </row>
    <row r="550" ht="15.75" customHeight="1">
      <c r="U550" s="79"/>
    </row>
    <row r="551" ht="15.75" customHeight="1">
      <c r="U551" s="79"/>
    </row>
    <row r="552" ht="15.75" customHeight="1">
      <c r="U552" s="79"/>
    </row>
    <row r="553" ht="15.75" customHeight="1">
      <c r="U553" s="79"/>
    </row>
    <row r="554" ht="15.75" customHeight="1">
      <c r="U554" s="79"/>
    </row>
    <row r="555" ht="15.75" customHeight="1">
      <c r="U555" s="79"/>
    </row>
    <row r="556" ht="15.75" customHeight="1">
      <c r="U556" s="79"/>
    </row>
    <row r="557" ht="15.75" customHeight="1">
      <c r="U557" s="79"/>
    </row>
    <row r="558" ht="15.75" customHeight="1">
      <c r="U558" s="79"/>
    </row>
    <row r="559" ht="15.75" customHeight="1">
      <c r="U559" s="79"/>
    </row>
    <row r="560" ht="15.75" customHeight="1">
      <c r="U560" s="79"/>
    </row>
    <row r="561" ht="15.75" customHeight="1">
      <c r="U561" s="79"/>
    </row>
    <row r="562" ht="15.75" customHeight="1">
      <c r="U562" s="79"/>
    </row>
    <row r="563" ht="15.75" customHeight="1">
      <c r="U563" s="79"/>
    </row>
    <row r="564" ht="15.75" customHeight="1">
      <c r="U564" s="79"/>
    </row>
    <row r="565" ht="15.75" customHeight="1">
      <c r="U565" s="79"/>
    </row>
    <row r="566" ht="15.75" customHeight="1">
      <c r="U566" s="79"/>
    </row>
    <row r="567" ht="15.75" customHeight="1">
      <c r="U567" s="79"/>
    </row>
    <row r="568" ht="15.75" customHeight="1">
      <c r="U568" s="79"/>
    </row>
    <row r="569" ht="15.75" customHeight="1">
      <c r="U569" s="79"/>
    </row>
    <row r="570" ht="15.75" customHeight="1">
      <c r="U570" s="79"/>
    </row>
    <row r="571" ht="15.75" customHeight="1">
      <c r="U571" s="79"/>
    </row>
    <row r="572" ht="15.75" customHeight="1">
      <c r="U572" s="79"/>
    </row>
    <row r="573" ht="15.75" customHeight="1">
      <c r="U573" s="79"/>
    </row>
    <row r="574" ht="15.75" customHeight="1">
      <c r="U574" s="79"/>
    </row>
    <row r="575" ht="15.75" customHeight="1">
      <c r="U575" s="79"/>
    </row>
    <row r="576" ht="15.75" customHeight="1">
      <c r="U576" s="79"/>
    </row>
    <row r="577" ht="15.75" customHeight="1">
      <c r="U577" s="79"/>
    </row>
    <row r="578" ht="15.75" customHeight="1">
      <c r="U578" s="79"/>
    </row>
    <row r="579" ht="15.75" customHeight="1">
      <c r="U579" s="79"/>
    </row>
    <row r="580" ht="15.75" customHeight="1">
      <c r="U580" s="79"/>
    </row>
    <row r="581" ht="15.75" customHeight="1">
      <c r="U581" s="79"/>
    </row>
    <row r="582" ht="15.75" customHeight="1">
      <c r="U582" s="79"/>
    </row>
    <row r="583" ht="15.75" customHeight="1">
      <c r="U583" s="79"/>
    </row>
    <row r="584" ht="15.75" customHeight="1">
      <c r="U584" s="79"/>
    </row>
    <row r="585" ht="15.75" customHeight="1">
      <c r="U585" s="79"/>
    </row>
    <row r="586" ht="15.75" customHeight="1">
      <c r="U586" s="79"/>
    </row>
    <row r="587" ht="15.75" customHeight="1">
      <c r="U587" s="79"/>
    </row>
    <row r="588" ht="15.75" customHeight="1">
      <c r="U588" s="79"/>
    </row>
    <row r="589" ht="15.75" customHeight="1">
      <c r="U589" s="79"/>
    </row>
    <row r="590" ht="15.75" customHeight="1">
      <c r="U590" s="79"/>
    </row>
    <row r="591" ht="15.75" customHeight="1">
      <c r="U591" s="79"/>
    </row>
    <row r="592" ht="15.75" customHeight="1">
      <c r="U592" s="79"/>
    </row>
    <row r="593" ht="15.75" customHeight="1">
      <c r="U593" s="79"/>
    </row>
    <row r="594" ht="15.75" customHeight="1">
      <c r="U594" s="79"/>
    </row>
    <row r="595" ht="15.75" customHeight="1">
      <c r="U595" s="79"/>
    </row>
    <row r="596" ht="15.75" customHeight="1">
      <c r="U596" s="79"/>
    </row>
    <row r="597" ht="15.75" customHeight="1">
      <c r="U597" s="79"/>
    </row>
    <row r="598" ht="15.75" customHeight="1">
      <c r="U598" s="79"/>
    </row>
    <row r="599" ht="15.75" customHeight="1">
      <c r="U599" s="79"/>
    </row>
    <row r="600" ht="15.75" customHeight="1">
      <c r="U600" s="79"/>
    </row>
    <row r="601" ht="15.75" customHeight="1">
      <c r="U601" s="79"/>
    </row>
    <row r="602" ht="15.75" customHeight="1">
      <c r="U602" s="79"/>
    </row>
    <row r="603" ht="15.75" customHeight="1">
      <c r="U603" s="79"/>
    </row>
    <row r="604" ht="15.75" customHeight="1">
      <c r="U604" s="79"/>
    </row>
    <row r="605" ht="15.75" customHeight="1">
      <c r="U605" s="79"/>
    </row>
    <row r="606" ht="15.75" customHeight="1">
      <c r="U606" s="79"/>
    </row>
    <row r="607" ht="15.75" customHeight="1">
      <c r="U607" s="79"/>
    </row>
    <row r="608" ht="15.75" customHeight="1">
      <c r="U608" s="79"/>
    </row>
    <row r="609" ht="15.75" customHeight="1">
      <c r="U609" s="79"/>
    </row>
    <row r="610" ht="15.75" customHeight="1">
      <c r="U610" s="79"/>
    </row>
    <row r="611" ht="15.75" customHeight="1">
      <c r="U611" s="79"/>
    </row>
    <row r="612" ht="15.75" customHeight="1">
      <c r="U612" s="79"/>
    </row>
    <row r="613" ht="15.75" customHeight="1">
      <c r="U613" s="79"/>
    </row>
    <row r="614" ht="15.75" customHeight="1">
      <c r="U614" s="79"/>
    </row>
    <row r="615" ht="15.75" customHeight="1">
      <c r="U615" s="79"/>
    </row>
    <row r="616" ht="15.75" customHeight="1">
      <c r="U616" s="79"/>
    </row>
    <row r="617" ht="15.75" customHeight="1">
      <c r="U617" s="79"/>
    </row>
    <row r="618" ht="15.75" customHeight="1">
      <c r="U618" s="79"/>
    </row>
    <row r="619" ht="15.75" customHeight="1">
      <c r="U619" s="79"/>
    </row>
    <row r="620" ht="15.75" customHeight="1">
      <c r="U620" s="79"/>
    </row>
    <row r="621" ht="15.75" customHeight="1">
      <c r="U621" s="79"/>
    </row>
    <row r="622" ht="15.75" customHeight="1">
      <c r="U622" s="79"/>
    </row>
    <row r="623" ht="15.75" customHeight="1">
      <c r="U623" s="79"/>
    </row>
    <row r="624" ht="15.75" customHeight="1">
      <c r="U624" s="79"/>
    </row>
    <row r="625" ht="15.75" customHeight="1">
      <c r="U625" s="79"/>
    </row>
    <row r="626" ht="15.75" customHeight="1">
      <c r="U626" s="79"/>
    </row>
    <row r="627" ht="15.75" customHeight="1">
      <c r="U627" s="79"/>
    </row>
    <row r="628" ht="15.75" customHeight="1">
      <c r="U628" s="79"/>
    </row>
    <row r="629" ht="15.75" customHeight="1">
      <c r="U629" s="79"/>
    </row>
    <row r="630" ht="15.75" customHeight="1">
      <c r="U630" s="79"/>
    </row>
    <row r="631" ht="15.75" customHeight="1">
      <c r="U631" s="79"/>
    </row>
    <row r="632" ht="15.75" customHeight="1">
      <c r="U632" s="79"/>
    </row>
    <row r="633" ht="15.75" customHeight="1">
      <c r="U633" s="79"/>
    </row>
    <row r="634" ht="15.75" customHeight="1">
      <c r="U634" s="79"/>
    </row>
    <row r="635" ht="15.75" customHeight="1">
      <c r="U635" s="79"/>
    </row>
    <row r="636" ht="15.75" customHeight="1">
      <c r="U636" s="79"/>
    </row>
    <row r="637" ht="15.75" customHeight="1">
      <c r="U637" s="79"/>
    </row>
    <row r="638" ht="15.75" customHeight="1">
      <c r="U638" s="79"/>
    </row>
    <row r="639" ht="15.75" customHeight="1">
      <c r="U639" s="79"/>
    </row>
    <row r="640" ht="15.75" customHeight="1">
      <c r="U640" s="79"/>
    </row>
    <row r="641" ht="15.75" customHeight="1">
      <c r="U641" s="79"/>
    </row>
    <row r="642" ht="15.75" customHeight="1">
      <c r="U642" s="79"/>
    </row>
    <row r="643" ht="15.75" customHeight="1">
      <c r="U643" s="79"/>
    </row>
    <row r="644" ht="15.75" customHeight="1">
      <c r="U644" s="79"/>
    </row>
    <row r="645" ht="15.75" customHeight="1">
      <c r="U645" s="79"/>
    </row>
    <row r="646" ht="15.75" customHeight="1">
      <c r="U646" s="79"/>
    </row>
    <row r="647" ht="15.75" customHeight="1">
      <c r="U647" s="79"/>
    </row>
    <row r="648" ht="15.75" customHeight="1">
      <c r="U648" s="79"/>
    </row>
    <row r="649" ht="15.75" customHeight="1">
      <c r="U649" s="79"/>
    </row>
    <row r="650" ht="15.75" customHeight="1">
      <c r="U650" s="79"/>
    </row>
    <row r="651" ht="15.75" customHeight="1">
      <c r="U651" s="79"/>
    </row>
    <row r="652" ht="15.75" customHeight="1">
      <c r="U652" s="79"/>
    </row>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K10:L224 K237:L451">
    <cfRule type="cellIs" dxfId="9" priority="1" operator="equal">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2">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3">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4">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5">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6">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7">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8">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9">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0">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1">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2">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3">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4">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5">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6">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7">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8">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9">
      <colorScale>
        <cfvo type="min"/>
        <cfvo type="percentile" val="50"/>
        <cfvo type="max"/>
        <color rgb="FF63BE7B"/>
        <color rgb="FFFCFCFF"/>
        <color rgb="FFF8696B"/>
      </colorScale>
    </cfRule>
  </conditionalFormatting>
  <conditionalFormatting sqref="A64:A67 A82:A85 A98:A101 A115:A118 A132:A135 A149:A152 A166:A169 A183:A186 A201:A204 A290:A294 A309:A312 A325:A328 A342:A345 A359:A362 A376:A379 A393:A396 A410:A413 A428:A431">
    <cfRule type="colorScale" priority="20">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1">
      <colorScale>
        <cfvo type="min"/>
        <cfvo type="percentile" val="50"/>
        <cfvo type="max"/>
        <color rgb="FF63BE7B"/>
        <color rgb="FFFCFCFF"/>
        <color rgb="FFF8696B"/>
      </colorScale>
    </cfRule>
  </conditionalFormatting>
  <conditionalFormatting sqref="A67:A68 A86 A102 A119 A136 A153 A170 A187 A205 A294:A295 A313 A329 A346 A363 A380 A397 A414 A432">
    <cfRule type="colorScale" priority="22">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3">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4">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5">
      <colorScale>
        <cfvo type="min"/>
        <cfvo type="percentile" val="50"/>
        <cfvo type="max"/>
        <color rgb="FF63BE7B"/>
        <color rgb="FFFCFCFF"/>
        <color rgb="FFF8696B"/>
      </colorScale>
    </cfRule>
  </conditionalFormatting>
  <conditionalFormatting sqref="A82:A86 A98:A102 A115:A119 A132:A136 A149:A153 A166:A170 A183:A187 A201:A205 A290 A309:A313 A325:A329 A342:A346 A359:A363 A376:A380 A393:A397 A410:A414 A428:A432">
    <cfRule type="colorScale" priority="26">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7">
      <colorScale>
        <cfvo type="min"/>
        <cfvo type="percentile" val="50"/>
        <cfvo type="max"/>
        <color rgb="FF63BE7B"/>
        <color rgb="FFFCFCFF"/>
        <color rgb="FFF8696B"/>
      </colorScale>
    </cfRule>
  </conditionalFormatting>
  <conditionalFormatting sqref="A87 A103 A120 A137 A154 A171 A188 A206 A314 A330 A347 A364 A381 A398 A415 A433">
    <cfRule type="colorScale" priority="28">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9">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0">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1">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2">
      <colorScale>
        <cfvo type="min"/>
        <cfvo type="percentile" val="50"/>
        <cfvo type="max"/>
        <color rgb="FF63BE7B"/>
        <color rgb="FFFCFCFF"/>
        <color rgb="FFF8696B"/>
      </colorScale>
    </cfRule>
  </conditionalFormatting>
  <conditionalFormatting sqref="A81:A84 A97:A100 A114:A117 A131:A134 A148:A151 A165:A168 A182:A185 A200:A203 A308:A311 A324:A327 A341:A344 A358:A361 A375:A378 A392:A395 A409:A412 A427:A430">
    <cfRule type="colorScale" priority="33">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4">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5">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6">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7">
      <colorScale>
        <cfvo type="min"/>
        <cfvo type="percentile" val="50"/>
        <cfvo type="max"/>
        <color rgb="FF63BE7B"/>
        <color rgb="FFFCFCFF"/>
        <color rgb="FFF8696B"/>
      </colorScale>
    </cfRule>
  </conditionalFormatting>
  <conditionalFormatting sqref="A82:A84 A98:A100 A115:A117 A132:A134 A149:A151 A166:A168 A183:A185 A201:A203 A309:A311 A325:A327 A342:A344 A359:A361 A376:A378 A393:A395 A410:A412 A428:A430">
    <cfRule type="colorScale" priority="38">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9">
      <colorScale>
        <cfvo type="min"/>
        <cfvo type="percentile" val="50"/>
        <cfvo type="max"/>
        <color rgb="FF63BE7B"/>
        <color rgb="FFFCFCFF"/>
        <color rgb="FFF8696B"/>
      </colorScale>
    </cfRule>
  </conditionalFormatting>
  <conditionalFormatting sqref="A85 A101 A118 A135 A152 A169 A186 A204 A312 A328 A345 A362 A379 A396 A413 A431">
    <cfRule type="colorScale" priority="40">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1">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42">
      <colorScale>
        <cfvo type="min"/>
        <cfvo type="percentile" val="50"/>
        <cfvo type="max"/>
        <color rgb="FF63BE7B"/>
        <color rgb="FFFFEB84"/>
        <color rgb="FFF8696B"/>
      </colorScale>
    </cfRule>
  </conditionalFormatting>
  <conditionalFormatting sqref="A98 A325">
    <cfRule type="colorScale" priority="43">
      <colorScale>
        <cfvo type="min"/>
        <cfvo type="percentile" val="50"/>
        <cfvo type="max"/>
        <color rgb="FF63BE7B"/>
        <color rgb="FFFCFCFF"/>
        <color rgb="FFF8696B"/>
      </colorScale>
    </cfRule>
  </conditionalFormatting>
  <conditionalFormatting sqref="A98 A325">
    <cfRule type="colorScale" priority="44">
      <colorScale>
        <cfvo type="min"/>
        <cfvo type="percentile" val="50"/>
        <cfvo type="max"/>
        <color rgb="FF63BE7B"/>
        <color rgb="FFFFEB84"/>
        <color rgb="FFF8696B"/>
      </colorScale>
    </cfRule>
  </conditionalFormatting>
  <conditionalFormatting sqref="A99 A326">
    <cfRule type="colorScale" priority="45">
      <colorScale>
        <cfvo type="min"/>
        <cfvo type="percentile" val="50"/>
        <cfvo type="max"/>
        <color rgb="FF63BE7B"/>
        <color rgb="FFFFEB84"/>
        <color rgb="FFF8696B"/>
      </colorScale>
    </cfRule>
  </conditionalFormatting>
  <conditionalFormatting sqref="A100:A104 A327:A331">
    <cfRule type="colorScale" priority="46">
      <colorScale>
        <cfvo type="min"/>
        <cfvo type="percentile" val="50"/>
        <cfvo type="max"/>
        <color rgb="FF63BE7B"/>
        <color rgb="FFFFEB84"/>
        <color rgb="FFF8696B"/>
      </colorScale>
    </cfRule>
  </conditionalFormatting>
  <conditionalFormatting sqref="A115 A342">
    <cfRule type="colorScale" priority="47">
      <colorScale>
        <cfvo type="min"/>
        <cfvo type="percentile" val="50"/>
        <cfvo type="max"/>
        <color rgb="FF63BE7B"/>
        <color rgb="FFFCFCFF"/>
        <color rgb="FFF8696B"/>
      </colorScale>
    </cfRule>
  </conditionalFormatting>
  <conditionalFormatting sqref="A115 A342">
    <cfRule type="colorScale" priority="48">
      <colorScale>
        <cfvo type="min"/>
        <cfvo type="percentile" val="50"/>
        <cfvo type="max"/>
        <color rgb="FF63BE7B"/>
        <color rgb="FFFFEB84"/>
        <color rgb="FFF8696B"/>
      </colorScale>
    </cfRule>
  </conditionalFormatting>
  <conditionalFormatting sqref="A116:A129 A343:A356">
    <cfRule type="colorScale" priority="49">
      <colorScale>
        <cfvo type="min"/>
        <cfvo type="percentile" val="50"/>
        <cfvo type="max"/>
        <color rgb="FF63BE7B"/>
        <color rgb="FFFFEB84"/>
        <color rgb="FFF8696B"/>
      </colorScale>
    </cfRule>
  </conditionalFormatting>
  <conditionalFormatting sqref="A132:A133 A359:A360">
    <cfRule type="colorScale" priority="50">
      <colorScale>
        <cfvo type="min"/>
        <cfvo type="percentile" val="50"/>
        <cfvo type="max"/>
        <color rgb="FF63BE7B"/>
        <color rgb="FFFFEB84"/>
        <color rgb="FFF8696B"/>
      </colorScale>
    </cfRule>
  </conditionalFormatting>
  <conditionalFormatting sqref="A149:A163 A376:A390">
    <cfRule type="colorScale" priority="51">
      <colorScale>
        <cfvo type="min"/>
        <cfvo type="percentile" val="50"/>
        <cfvo type="max"/>
        <color rgb="FF63BE7B"/>
        <color rgb="FFFFEB84"/>
        <color rgb="FFF8696B"/>
      </colorScale>
    </cfRule>
  </conditionalFormatting>
  <conditionalFormatting sqref="A166:A180 A393:A407">
    <cfRule type="colorScale" priority="52">
      <colorScale>
        <cfvo type="min"/>
        <cfvo type="percentile" val="50"/>
        <cfvo type="max"/>
        <color rgb="FF63BE7B"/>
        <color rgb="FFFFEB84"/>
        <color rgb="FFF8696B"/>
      </colorScale>
    </cfRule>
  </conditionalFormatting>
  <conditionalFormatting sqref="A183:A185 A410:A412">
    <cfRule type="colorScale" priority="53">
      <colorScale>
        <cfvo type="min"/>
        <cfvo type="percentile" val="50"/>
        <cfvo type="max"/>
        <color rgb="FF63BE7B"/>
        <color rgb="FFFFEB84"/>
        <color rgb="FFF8696B"/>
      </colorScale>
    </cfRule>
  </conditionalFormatting>
  <conditionalFormatting sqref="A201:A203 A428:A430">
    <cfRule type="colorScale" priority="54">
      <colorScale>
        <cfvo type="min"/>
        <cfvo type="percentile" val="50"/>
        <cfvo type="max"/>
        <color rgb="FF63BE7B"/>
        <color rgb="FFFFEB84"/>
        <color rgb="FFF8696B"/>
      </colorScale>
    </cfRule>
  </conditionalFormatting>
  <conditionalFormatting sqref="A208:A210 A435:A437">
    <cfRule type="colorScale" priority="55">
      <colorScale>
        <cfvo type="min"/>
        <cfvo type="percentile" val="50"/>
        <cfvo type="max"/>
        <color rgb="FF63BE7B"/>
        <color rgb="FFFFEB84"/>
        <color rgb="FFF8696B"/>
      </colorScale>
    </cfRule>
  </conditionalFormatting>
  <conditionalFormatting sqref="A211:A224 A438:A451">
    <cfRule type="colorScale" priority="56">
      <colorScale>
        <cfvo type="min"/>
        <cfvo type="percentile" val="50"/>
        <cfvo type="max"/>
        <color rgb="FF63BE7B"/>
        <color rgb="FFFFEB84"/>
        <color rgb="FFF8696B"/>
      </colorScale>
    </cfRule>
  </conditionalFormatting>
  <conditionalFormatting sqref="J10:L224 J237:L451">
    <cfRule type="cellIs" dxfId="8" priority="57" operator="equal">
      <formula>0</formula>
    </cfRule>
  </conditionalFormatting>
  <dataValidations>
    <dataValidation type="list" allowBlank="1" sqref="C12:C16 C50 C69 C87 C103 C137 C154 C169 C171 C186 C188 C204 C206 C241 C243 C256 C258 C275 C277 C294 C296 C312 C314 C328 C330 C345 C347 C362 C364 C379 C381 C396 C398 C413 C415 C431 C433">
      <formula1>"I-ACTIVE,MAP,KCL 60%,05-37-00,10-46-00 + S,08-42-00,SSP 21,03-15-07 +14%CO,URÉIA,SULFATO DE AMÔNIO,BOROGRAN,SUPER DUO,08-40-00 - 100M,AURUS 500,00-01-00+Cu2 Mn8 Zn7"</formula1>
    </dataValidation>
    <dataValidation type="list" allowBlank="1" sqref="C28 C64 C67 C82:C83">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type="custom" allowBlank="1" showDropDown="1" sqref="G10:L224 G237:L451">
      <formula1>AND(ISNUMBER(G10),(NOT(OR(NOT(ISERROR(DATEVALUE(G10))), AND(ISNUMBER(G10), LEFT(CELL("format", G10))="D")))))</formula1>
    </dataValidation>
    <dataValidation type="list" allowBlank="1" sqref="C18 C26 C33 C46 C52 C71 C89 C105 C122 C139 C156 C173 C184 C190 C202 C208 C245 C254 C260 C273 C279 C292 C298 C310 C316 C326 C332 C343 C349 C360 C366 C377 C383 C394 C400 C411 C417 C429 C435">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type="list" allowBlank="1" sqref="C66 C100 C134 C136 C152">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type="list" allowBlank="1" sqref="C20:C24 C43 C62 C80 C98 C115 C132 C149 C247:C251 C270 C289 C307">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type="list" allowBlank="1" sqref="C11 C17 C51 C70 C88 C104 C121 C138 C155 C172 C189 C207 C244 C259 C278 C297 C315 C331 C348 C365 C382 C399 C416 C434">
      <formula1>"CALCÁRIO DOLOMITICO,GESSO AGRICOLA"</formula1>
    </dataValidation>
    <dataValidation type="list" allowBlank="1" sqref="C45 C49 C68 C86 C102 C153 C170 C183 C187 C205 C242 C257 C272 C276 C291 C295 C309 C313 C325 C329 C342 C346 C359 C363 C376 C380 C393 C397 C410 C414 C432">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type="list" allowBlank="1" sqref="C27 C31 C47 C65 C85 C101 C118 C135 C151 C167">
      <formula1>"RUMBA,ASSIST,MEES,AUREO EC,JOINT ULTRA,ENERGIC,EXTRAVON,OCHIMA,STRIDES"</formula1>
    </dataValidation>
    <dataValidation type="list" allowBlank="1" sqref="C99 C116 C133 C150">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type="list" allowBlank="1" showErrorMessage="1" sqref="B10:B224 B237:B451">
      <formula1>#REF!</formula1>
    </dataValidation>
    <dataValidation type="list" allowBlank="1" sqref="C168 C185 C203 C240 C255 C274 C293 C311 C327 C344 C361 C378 C395 C412 C430">
      <formula1>"SOMBRERO,STANDAK TOP,CROPSTAR,DERMACOR,PERMIT STAR,PRESENCE FULL,PLUST,CRUISER 350 FS,CRUISER ADVANCED,FORTENZA 600 FS,MAXIM ADVANCED,MAXIM XL,SPECTRO,BIOZYME,NIMAXXA,VITAVAX-THIRAM 200 SC"</formula1>
    </dataValidation>
    <dataValidation type="list" allowBlank="1" sqref="C19 C30 C34 C48 C53:C54 C59 C72:C73 C84 C90:C91 C96 C106:C107 C112 C117 C123:C124 C129 C140:C141 C146 C157:C158 C163 C174:C175 C180 C191:C192 C197 C209:C210 C215 C246 C253 C261:C262 C267 C280:C281 C286 C299:C300 C317:C318 C323 C333:C334 C339 C350:C351 C356 C367:C368 C373 C384:C385 C390 C401:C402 C407 C418:C419 C424 C436:C437 C442">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display="ÁREA PLANTIO" location="'ÁREA PLANTIO'!A1" ref="F1"/>
    <hyperlink display="ÁREA PLANTIO" location="'ÁREA PLANTIO'!A1" ref="F227"/>
  </hyperlinks>
  <printOptions/>
  <pageMargins bottom="0.787401575" footer="0.0" header="0.0" left="0.511811024" right="0.511811024" top="0.787401575"/>
  <pageSetup orientation="landscape"/>
  <drawing r:id="rId1"/>
  <tableParts count="2">
    <tablePart r:id="rId4"/>
    <tablePart r:id="rId5"/>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13.88"/>
    <col customWidth="1" min="2" max="2" width="22.75"/>
    <col customWidth="1" min="3" max="3" width="33.63"/>
    <col customWidth="1" min="4" max="4" width="40.25"/>
    <col customWidth="1" min="5" max="5" width="20.13"/>
    <col customWidth="1" min="6" max="6" width="13.13"/>
    <col customWidth="1" min="7" max="7" width="13.75"/>
    <col customWidth="1" min="8" max="9" width="10.38"/>
    <col customWidth="1" min="10" max="10" width="14.0"/>
    <col customWidth="1" min="11" max="23" width="14.38"/>
  </cols>
  <sheetData>
    <row r="1" ht="15.75" customHeight="1">
      <c r="A1" s="260" t="s">
        <v>1203</v>
      </c>
      <c r="B1" s="261" t="str">
        <f>'ÁREA PLANTIO'!B18</f>
        <v>P 06</v>
      </c>
      <c r="C1" s="262" t="s">
        <v>1166</v>
      </c>
      <c r="D1" s="263">
        <f>$K$225</f>
        <v>1740.964095</v>
      </c>
      <c r="E1" s="264"/>
      <c r="F1" s="265" t="s">
        <v>1167</v>
      </c>
      <c r="G1" s="266"/>
      <c r="H1" s="267"/>
      <c r="I1" s="267"/>
      <c r="J1" s="267"/>
      <c r="K1" s="266"/>
      <c r="L1" s="220"/>
      <c r="M1" s="220"/>
      <c r="N1" s="220"/>
      <c r="O1" s="220"/>
      <c r="P1" s="220"/>
      <c r="Q1" s="220"/>
      <c r="R1" s="220"/>
      <c r="S1" s="220"/>
      <c r="T1" s="220"/>
      <c r="U1" s="220"/>
      <c r="V1" s="220"/>
      <c r="W1" s="220"/>
    </row>
    <row r="2" ht="15.75" customHeight="1">
      <c r="A2" s="260" t="s">
        <v>1168</v>
      </c>
      <c r="B2" s="268">
        <f>'ÁREA PLANTIO'!E18</f>
        <v>40</v>
      </c>
      <c r="C2" s="269" t="s">
        <v>1169</v>
      </c>
      <c r="D2" s="270">
        <f>'ÁREA PLANTIO'!D18</f>
        <v>50</v>
      </c>
      <c r="E2" s="264"/>
      <c r="F2" s="264"/>
      <c r="G2" s="266"/>
      <c r="H2" s="267"/>
      <c r="I2" s="267"/>
      <c r="J2" s="267"/>
      <c r="K2" s="266"/>
      <c r="L2" s="220"/>
      <c r="M2" s="220"/>
      <c r="N2" s="220"/>
      <c r="O2" s="220"/>
      <c r="P2" s="220"/>
      <c r="Q2" s="220"/>
      <c r="R2" s="220"/>
      <c r="S2" s="220"/>
      <c r="T2" s="220"/>
      <c r="U2" s="220"/>
      <c r="V2" s="220"/>
      <c r="W2" s="220"/>
    </row>
    <row r="3" ht="15.75" customHeight="1">
      <c r="A3" s="260" t="s">
        <v>1170</v>
      </c>
      <c r="B3" s="267" t="str">
        <f>'ÁREA PLANTIO'!C18</f>
        <v>FE-SOJA IRRIGADO-26/27</v>
      </c>
      <c r="C3" s="269" t="s">
        <v>1171</v>
      </c>
      <c r="D3" s="271">
        <f>D1/D2</f>
        <v>34.8192819</v>
      </c>
      <c r="E3" s="264"/>
      <c r="F3" s="264"/>
      <c r="G3" s="266"/>
      <c r="H3" s="267"/>
      <c r="I3" s="267"/>
      <c r="J3" s="267"/>
      <c r="K3" s="266"/>
      <c r="L3" s="220"/>
      <c r="M3" s="220"/>
      <c r="N3" s="220"/>
      <c r="O3" s="220"/>
      <c r="P3" s="220"/>
      <c r="Q3" s="220"/>
      <c r="R3" s="220"/>
      <c r="S3" s="220"/>
      <c r="T3" s="220"/>
      <c r="U3" s="220"/>
      <c r="V3" s="220"/>
      <c r="W3" s="220"/>
    </row>
    <row r="4" ht="15.75" customHeight="1">
      <c r="A4" s="272" t="s">
        <v>1172</v>
      </c>
      <c r="B4" s="273">
        <v>45606.0</v>
      </c>
      <c r="C4" s="274"/>
      <c r="D4" s="275"/>
      <c r="E4" s="276"/>
      <c r="F4" s="264"/>
      <c r="G4" s="266"/>
      <c r="H4" s="267"/>
      <c r="I4" s="267"/>
      <c r="J4" s="267"/>
      <c r="K4" s="266"/>
      <c r="L4" s="220"/>
      <c r="M4" s="220"/>
      <c r="N4" s="220"/>
      <c r="O4" s="220"/>
      <c r="P4" s="220"/>
      <c r="Q4" s="220"/>
      <c r="R4" s="220"/>
      <c r="S4" s="220"/>
      <c r="T4" s="220"/>
      <c r="U4" s="220"/>
      <c r="V4" s="220"/>
      <c r="W4" s="220"/>
    </row>
    <row r="5" ht="15.75" customHeight="1">
      <c r="E5" s="277"/>
      <c r="F5" s="264"/>
      <c r="G5" s="266"/>
      <c r="H5" s="267"/>
      <c r="I5" s="267"/>
      <c r="J5" s="267"/>
      <c r="K5" s="266"/>
      <c r="L5" s="220"/>
      <c r="M5" s="220"/>
      <c r="N5" s="220"/>
      <c r="O5" s="220"/>
      <c r="P5" s="220"/>
      <c r="Q5" s="220"/>
      <c r="R5" s="220"/>
      <c r="S5" s="220"/>
      <c r="T5" s="220"/>
      <c r="U5" s="220"/>
      <c r="V5" s="220"/>
      <c r="W5" s="220"/>
    </row>
    <row r="6" ht="15.75" customHeight="1">
      <c r="A6" s="260"/>
      <c r="B6" s="267"/>
      <c r="C6" s="264"/>
      <c r="D6" s="264"/>
      <c r="E6" s="264"/>
      <c r="F6" s="264"/>
      <c r="G6" s="266"/>
      <c r="H6" s="267"/>
      <c r="I6" s="267"/>
      <c r="J6" s="267"/>
      <c r="K6" s="266"/>
      <c r="L6" s="220"/>
      <c r="M6" s="220"/>
      <c r="N6" s="220"/>
      <c r="O6" s="220"/>
      <c r="P6" s="220"/>
      <c r="Q6" s="220"/>
      <c r="R6" s="220"/>
      <c r="S6" s="220"/>
      <c r="T6" s="220"/>
      <c r="U6" s="220"/>
      <c r="V6" s="220"/>
      <c r="W6" s="220"/>
    </row>
    <row r="7" ht="15.75" customHeight="1">
      <c r="A7" s="267"/>
      <c r="B7" s="267"/>
      <c r="C7" s="264"/>
      <c r="D7" s="264"/>
      <c r="E7" s="264"/>
      <c r="F7" s="264"/>
      <c r="G7" s="266"/>
      <c r="H7" s="267"/>
      <c r="I7" s="267"/>
      <c r="J7" s="267"/>
      <c r="K7" s="266"/>
      <c r="L7" s="220"/>
      <c r="M7" s="220"/>
      <c r="N7" s="220"/>
      <c r="O7" s="220"/>
      <c r="P7" s="220"/>
      <c r="Q7" s="220"/>
      <c r="R7" s="220"/>
      <c r="S7" s="220"/>
      <c r="T7" s="220"/>
      <c r="U7" s="220"/>
      <c r="V7" s="220"/>
      <c r="W7" s="220"/>
    </row>
    <row r="8" ht="15.75" customHeight="1">
      <c r="A8" s="267"/>
      <c r="B8" s="267"/>
      <c r="C8" s="267"/>
      <c r="D8" s="267"/>
      <c r="E8" s="264"/>
      <c r="F8" s="264"/>
      <c r="G8" s="266"/>
      <c r="H8" s="267"/>
      <c r="I8" s="267"/>
      <c r="J8" s="267"/>
      <c r="K8" s="266"/>
      <c r="L8" s="220"/>
      <c r="M8" s="220"/>
      <c r="N8" s="220"/>
      <c r="O8" s="220"/>
      <c r="P8" s="220"/>
      <c r="Q8" s="220"/>
      <c r="R8" s="220"/>
      <c r="S8" s="220"/>
      <c r="T8" s="220"/>
      <c r="U8" s="220"/>
      <c r="V8" s="220"/>
      <c r="W8" s="220"/>
    </row>
    <row r="9" ht="15.75" customHeight="1">
      <c r="A9" s="211" t="s">
        <v>1173</v>
      </c>
      <c r="B9" s="213" t="s">
        <v>1174</v>
      </c>
      <c r="C9" s="213" t="s">
        <v>1175</v>
      </c>
      <c r="D9" s="211" t="s">
        <v>1176</v>
      </c>
      <c r="E9" s="211" t="s">
        <v>1177</v>
      </c>
      <c r="F9" s="211" t="s">
        <v>1178</v>
      </c>
      <c r="G9" s="278" t="s">
        <v>1179</v>
      </c>
      <c r="H9" s="278" t="s">
        <v>1180</v>
      </c>
      <c r="I9" s="278" t="s">
        <v>1181</v>
      </c>
      <c r="J9" s="279" t="s">
        <v>1134</v>
      </c>
      <c r="K9" s="280" t="s">
        <v>1182</v>
      </c>
      <c r="L9" s="281" t="s">
        <v>339</v>
      </c>
      <c r="M9" s="220"/>
      <c r="N9" s="220"/>
      <c r="O9" s="220"/>
      <c r="P9" s="220"/>
      <c r="Q9" s="220"/>
      <c r="R9" s="220"/>
      <c r="S9" s="220"/>
      <c r="T9" s="220"/>
      <c r="U9" s="220"/>
      <c r="V9" s="220"/>
      <c r="W9" s="220"/>
    </row>
    <row r="10" ht="15.75" customHeight="1">
      <c r="A10" s="231" t="s">
        <v>1183</v>
      </c>
      <c r="B10" s="230"/>
      <c r="C10" s="231"/>
      <c r="D10" s="232" t="s">
        <v>216</v>
      </c>
      <c r="E10" s="231"/>
      <c r="F10" s="231"/>
      <c r="G10" s="233"/>
      <c r="H10" s="282"/>
      <c r="I10" s="258"/>
      <c r="J10" s="236"/>
      <c r="K10" s="237">
        <f t="shared" ref="K10:L10" si="1">SUBTOTAL(9,K11:K24)</f>
        <v>0</v>
      </c>
      <c r="L10" s="237">
        <f t="shared" si="1"/>
        <v>0</v>
      </c>
      <c r="M10" s="220"/>
      <c r="N10" s="220"/>
      <c r="O10" s="220"/>
      <c r="P10" s="220"/>
      <c r="Q10" s="220"/>
      <c r="R10" s="220"/>
      <c r="S10" s="220"/>
      <c r="T10" s="220"/>
      <c r="U10" s="220"/>
      <c r="V10" s="220"/>
      <c r="W10" s="220"/>
    </row>
    <row r="11" outlineLevel="1">
      <c r="A11" s="213"/>
      <c r="B11" s="212" t="s">
        <v>8</v>
      </c>
      <c r="C11" s="213" t="s">
        <v>397</v>
      </c>
      <c r="D11" s="214" t="str">
        <f>IFERROR(VLOOKUP($C11,'PORTIFÓLIO'!C:V,2,0),"")</f>
        <v>CaO 38%  MgO 18%</v>
      </c>
      <c r="E11" s="211" t="str">
        <f>IFERROR(VLOOKUP($C11,'PORTIFÓLIO'!C:V,3,0),"")</f>
        <v/>
      </c>
      <c r="F11" s="211" t="str">
        <f>IFERROR(VLOOKUP($C11,'PORTIFÓLIO'!C:V,4,0),"")</f>
        <v>Ton</v>
      </c>
      <c r="G11" s="215" t="str">
        <f>IFERROR(VLOOKUP($C11,'PORTIFÓLIO'!C:V,5,0),"")</f>
        <v/>
      </c>
      <c r="H11" s="254" t="str">
        <f t="array" ref="H11">IFERROR(INDEX('PORTIFÓLIO'!$H$4:$H$433,MATCH($C11,'PORTIFÓLIO'!$C$4:$C$433,0)),"")</f>
        <v/>
      </c>
      <c r="I11" s="255">
        <v>3.0</v>
      </c>
      <c r="J11" s="218">
        <f t="shared" ref="J11:J24" si="2">I11*$B$2</f>
        <v>120</v>
      </c>
      <c r="K11" s="219">
        <f t="array" ref="K11">IFERROR(I11*INDEX('PORTIFÓLIO'!$S$4:$S$433,MATCH($C11,'PORTIFÓLIO'!$C$4:$C$433,0)),"")</f>
        <v>0</v>
      </c>
      <c r="L11" s="219">
        <f t="array" ref="L11">IFERROR(J11*INDEX('PORTIFÓLIO'!$S$4:$S$433,MATCH($C11,'PORTIFÓLIO'!$C$4:$C$433,0)),"")</f>
        <v>0</v>
      </c>
      <c r="M11" s="220"/>
      <c r="N11" s="220"/>
      <c r="O11" s="220"/>
      <c r="P11" s="220"/>
      <c r="Q11" s="220"/>
      <c r="R11" s="220"/>
      <c r="S11" s="220"/>
      <c r="T11" s="220"/>
      <c r="U11" s="220" t="str">
        <f>IFERROR(__xludf.DUMMYFUNCTION("FILTER('PORTIFÓLIO'!C:C, 'PORTIFÓLIO'!B:B=B11)"),"#REF!")</f>
        <v>#REF!</v>
      </c>
      <c r="V11" s="220"/>
      <c r="W11" s="220"/>
    </row>
    <row r="12" outlineLevel="1">
      <c r="A12" s="213"/>
      <c r="B12" s="212" t="s">
        <v>7</v>
      </c>
      <c r="C12" s="213" t="s">
        <v>413</v>
      </c>
      <c r="D12" s="214" t="str">
        <f>IFERROR(VLOOKUP($C12,'PORTIFÓLIO'!C:V,2,0),"")</f>
        <v>P 21%</v>
      </c>
      <c r="E12" s="211" t="str">
        <f>IFERROR(VLOOKUP($C12,'PORTIFÓLIO'!C:V,3,0),"")</f>
        <v/>
      </c>
      <c r="F12" s="211" t="str">
        <f>IFERROR(VLOOKUP($C12,'PORTIFÓLIO'!C:V,4,0),"")</f>
        <v>Ton</v>
      </c>
      <c r="G12" s="215" t="str">
        <f>IFERROR(VLOOKUP($C12,'PORTIFÓLIO'!C:V,5,0),"")</f>
        <v/>
      </c>
      <c r="H12" s="254" t="str">
        <f t="array" ref="H12">IFERROR(INDEX('PORTIFÓLIO'!$H$4:$H$433,MATCH($C12,'PORTIFÓLIO'!$C$4:$C$433,0)),"")</f>
        <v/>
      </c>
      <c r="I12" s="255">
        <v>0.2</v>
      </c>
      <c r="J12" s="218">
        <f t="shared" si="2"/>
        <v>8</v>
      </c>
      <c r="K12" s="219">
        <f t="array" ref="K12">IFERROR(I12*INDEX('PORTIFÓLIO'!$S$4:$S$433,MATCH($C12,'PORTIFÓLIO'!$C$4:$C$433,0)),"")</f>
        <v>0</v>
      </c>
      <c r="L12" s="219">
        <f t="array" ref="L12">IFERROR(J12*INDEX('PORTIFÓLIO'!$S$4:$S$433,MATCH($C12,'PORTIFÓLIO'!$C$4:$C$433,0)),"")</f>
        <v>0</v>
      </c>
      <c r="M12" s="220"/>
      <c r="N12" s="220"/>
      <c r="O12" s="220"/>
      <c r="P12" s="220"/>
      <c r="Q12" s="220"/>
      <c r="R12" s="220"/>
      <c r="S12" s="220"/>
      <c r="T12" s="220"/>
      <c r="U12" s="220" t="str">
        <f>IFERROR(__xludf.DUMMYFUNCTION("FILTER('PORTIFÓLIO'!C:C, 'PORTIFÓLIO'!B:B=B12)"),"#REF!")</f>
        <v>#REF!</v>
      </c>
      <c r="V12" s="220"/>
      <c r="W12" s="220"/>
    </row>
    <row r="13" outlineLevel="1">
      <c r="A13" s="213"/>
      <c r="B13" s="212" t="s">
        <v>7</v>
      </c>
      <c r="C13" s="213" t="s">
        <v>405</v>
      </c>
      <c r="D13" s="214" t="str">
        <f>IFERROR(VLOOKUP($C13,'PORTIFÓLIO'!C:V,2,0),"")</f>
        <v>K2O 60%</v>
      </c>
      <c r="E13" s="211" t="str">
        <f>IFERROR(VLOOKUP($C13,'PORTIFÓLIO'!C:V,3,0),"")</f>
        <v/>
      </c>
      <c r="F13" s="211" t="str">
        <f>IFERROR(VLOOKUP($C13,'PORTIFÓLIO'!C:V,4,0),"")</f>
        <v>Ton</v>
      </c>
      <c r="G13" s="215" t="str">
        <f>IFERROR(VLOOKUP($C13,'PORTIFÓLIO'!C:V,5,0),"")</f>
        <v/>
      </c>
      <c r="H13" s="254" t="str">
        <f t="array" ref="H13">IFERROR(INDEX('PORTIFÓLIO'!$H$4:$H$433,MATCH($C13,'PORTIFÓLIO'!$C$4:$C$433,0)),"")</f>
        <v/>
      </c>
      <c r="I13" s="255">
        <v>0.3</v>
      </c>
      <c r="J13" s="218">
        <f t="shared" si="2"/>
        <v>12</v>
      </c>
      <c r="K13" s="219">
        <f t="array" ref="K13">IFERROR(I13*INDEX('PORTIFÓLIO'!$S$4:$S$433,MATCH($C13,'PORTIFÓLIO'!$C$4:$C$433,0)),"")</f>
        <v>0</v>
      </c>
      <c r="L13" s="219">
        <f t="array" ref="L13">IFERROR(J13*INDEX('PORTIFÓLIO'!$S$4:$S$433,MATCH($C13,'PORTIFÓLIO'!$C$4:$C$433,0)),"")</f>
        <v>0</v>
      </c>
      <c r="M13" s="220"/>
      <c r="N13" s="220"/>
      <c r="O13" s="220"/>
      <c r="P13" s="220"/>
      <c r="Q13" s="220"/>
      <c r="R13" s="220"/>
      <c r="S13" s="220"/>
      <c r="T13" s="220"/>
      <c r="U13" s="220" t="str">
        <f>IFERROR(__xludf.DUMMYFUNCTION("FILTER('PORTIFÓLIO'!C:C, 'PORTIFÓLIO'!B:B=B13)"),"#REF!")</f>
        <v>#REF!</v>
      </c>
      <c r="V13" s="220"/>
      <c r="W13" s="220"/>
    </row>
    <row r="14" outlineLevel="1">
      <c r="A14" s="211"/>
      <c r="B14" s="212" t="s">
        <v>7</v>
      </c>
      <c r="C14" s="213" t="s">
        <v>429</v>
      </c>
      <c r="D14" s="214" t="str">
        <f>IFERROR(VLOOKUP($C14,'PORTIFÓLIO'!C:V,2,0),"")</f>
        <v>Cu 2% Mn 8% Zn 7% </v>
      </c>
      <c r="E14" s="211" t="str">
        <f>IFERROR(VLOOKUP($C14,'PORTIFÓLIO'!C:V,3,0),"")</f>
        <v/>
      </c>
      <c r="F14" s="211" t="str">
        <f>IFERROR(VLOOKUP($C14,'PORTIFÓLIO'!C:V,4,0),"")</f>
        <v>Ton</v>
      </c>
      <c r="G14" s="215" t="str">
        <f>IFERROR(VLOOKUP($C14,'PORTIFÓLIO'!C:V,5,0),"")</f>
        <v/>
      </c>
      <c r="H14" s="254" t="str">
        <f t="array" ref="H14">IFERROR(INDEX('PORTIFÓLIO'!$H$4:$H$433,MATCH($C14,'PORTIFÓLIO'!$C$4:$C$433,0)),"")</f>
        <v/>
      </c>
      <c r="I14" s="255">
        <v>0.05</v>
      </c>
      <c r="J14" s="218">
        <f t="shared" si="2"/>
        <v>2</v>
      </c>
      <c r="K14" s="219">
        <f t="array" ref="K14">IFERROR(I14*INDEX('PORTIFÓLIO'!$S$4:$S$433,MATCH($C14,'PORTIFÓLIO'!$C$4:$C$433,0)),"")</f>
        <v>0</v>
      </c>
      <c r="L14" s="219">
        <f t="array" ref="L14">IFERROR(J14*INDEX('PORTIFÓLIO'!$S$4:$S$433,MATCH($C14,'PORTIFÓLIO'!$C$4:$C$433,0)),"")</f>
        <v>0</v>
      </c>
      <c r="M14" s="220"/>
      <c r="N14" s="220"/>
      <c r="O14" s="220"/>
      <c r="P14" s="220"/>
      <c r="Q14" s="220"/>
      <c r="R14" s="220"/>
      <c r="S14" s="220"/>
      <c r="T14" s="220"/>
      <c r="U14" s="220" t="str">
        <f>IFERROR(__xludf.DUMMYFUNCTION("FILTER('PORTIFÓLIO'!C:C, 'PORTIFÓLIO'!B:B=B14)"),"#REF!")</f>
        <v>#REF!</v>
      </c>
      <c r="V14" s="220"/>
      <c r="W14" s="220"/>
    </row>
    <row r="15" outlineLevel="1">
      <c r="A15" s="211"/>
      <c r="B15" s="212"/>
      <c r="C15" s="213"/>
      <c r="D15" s="214" t="str">
        <f>IFERROR(VLOOKUP($C15,'PORTIFÓLIO'!C:V,2,0),"")</f>
        <v/>
      </c>
      <c r="E15" s="211" t="str">
        <f>IFERROR(VLOOKUP($C15,'PORTIFÓLIO'!C:V,3,0),"")</f>
        <v/>
      </c>
      <c r="F15" s="211" t="str">
        <f>IFERROR(VLOOKUP($C15,'PORTIFÓLIO'!C:V,4,0),"")</f>
        <v/>
      </c>
      <c r="G15" s="215" t="str">
        <f>IFERROR(VLOOKUP($C15,'PORTIFÓLIO'!C:V,5,0),"")</f>
        <v/>
      </c>
      <c r="H15" s="254" t="str">
        <f t="array" ref="H15">IFERROR(INDEX('PORTIFÓLIO'!$H$4:$H$433,MATCH($C15,'PORTIFÓLIO'!$C$4:$C$433,0)),"")</f>
        <v/>
      </c>
      <c r="I15" s="255"/>
      <c r="J15" s="218">
        <f t="shared" si="2"/>
        <v>0</v>
      </c>
      <c r="K15" s="219" t="str">
        <f t="array" ref="K15">IFERROR(I15*INDEX('PORTIFÓLIO'!$S$4:$S$433,MATCH($C15,'PORTIFÓLIO'!$C$4:$C$433,0)),"")</f>
        <v/>
      </c>
      <c r="L15" s="219" t="str">
        <f t="array" ref="L15">IFERROR(J15*INDEX('PORTIFÓLIO'!$S$4:$S$433,MATCH($C15,'PORTIFÓLIO'!$C$4:$C$433,0)),"")</f>
        <v/>
      </c>
      <c r="M15" s="220"/>
      <c r="N15" s="220"/>
      <c r="O15" s="220"/>
      <c r="P15" s="220"/>
      <c r="Q15" s="220"/>
      <c r="R15" s="220"/>
      <c r="S15" s="220"/>
      <c r="T15" s="220"/>
      <c r="U15" s="220" t="str">
        <f>IFERROR(__xludf.DUMMYFUNCTION("FILTER('PORTIFÓLIO'!C:C, 'PORTIFÓLIO'!B:B=B15)"),"#REF!")</f>
        <v>#REF!</v>
      </c>
      <c r="V15" s="220"/>
      <c r="W15" s="220"/>
    </row>
    <row r="16" outlineLevel="1">
      <c r="A16" s="211"/>
      <c r="B16" s="212"/>
      <c r="C16" s="213"/>
      <c r="D16" s="214" t="str">
        <f>IFERROR(VLOOKUP($C16,'PORTIFÓLIO'!C:V,2,0),"")</f>
        <v/>
      </c>
      <c r="E16" s="211" t="str">
        <f>IFERROR(VLOOKUP($C16,'PORTIFÓLIO'!C:V,3,0),"")</f>
        <v/>
      </c>
      <c r="F16" s="211" t="str">
        <f>IFERROR(VLOOKUP($C16,'PORTIFÓLIO'!C:V,4,0),"")</f>
        <v/>
      </c>
      <c r="G16" s="215" t="str">
        <f>IFERROR(VLOOKUP($C16,'PORTIFÓLIO'!C:V,5,0),"")</f>
        <v/>
      </c>
      <c r="H16" s="254" t="str">
        <f t="array" ref="H16">IFERROR(INDEX('PORTIFÓLIO'!$H$4:$H$433,MATCH($C16,'PORTIFÓLIO'!$C$4:$C$433,0)),"")</f>
        <v/>
      </c>
      <c r="I16" s="255"/>
      <c r="J16" s="218">
        <f t="shared" si="2"/>
        <v>0</v>
      </c>
      <c r="K16" s="219" t="str">
        <f t="array" ref="K16">IFERROR(I16*INDEX('PORTIFÓLIO'!$S$4:$S$433,MATCH($C16,'PORTIFÓLIO'!$C$4:$C$433,0)),"")</f>
        <v/>
      </c>
      <c r="L16" s="219" t="str">
        <f t="array" ref="L16">IFERROR(J16*INDEX('PORTIFÓLIO'!$S$4:$S$433,MATCH($C16,'PORTIFÓLIO'!$C$4:$C$433,0)),"")</f>
        <v/>
      </c>
      <c r="M16" s="220"/>
      <c r="N16" s="220"/>
      <c r="O16" s="220"/>
      <c r="P16" s="220"/>
      <c r="Q16" s="220"/>
      <c r="R16" s="220"/>
      <c r="S16" s="220"/>
      <c r="T16" s="220"/>
      <c r="U16" s="220" t="str">
        <f>IFERROR(__xludf.DUMMYFUNCTION("FILTER('PORTIFÓLIO'!C:C, 'PORTIFÓLIO'!B:B=B16)"),"#REF!")</f>
        <v>#REF!</v>
      </c>
      <c r="V16" s="220"/>
      <c r="W16" s="220"/>
    </row>
    <row r="17" outlineLevel="1">
      <c r="A17" s="211"/>
      <c r="B17" s="212"/>
      <c r="C17" s="213"/>
      <c r="D17" s="214" t="str">
        <f>IFERROR(VLOOKUP($C17,'PORTIFÓLIO'!C:V,2,0),"")</f>
        <v/>
      </c>
      <c r="E17" s="211" t="str">
        <f>IFERROR(VLOOKUP($C17,'PORTIFÓLIO'!C:V,3,0),"")</f>
        <v/>
      </c>
      <c r="F17" s="211" t="str">
        <f>IFERROR(VLOOKUP($C17,'PORTIFÓLIO'!C:V,4,0),"")</f>
        <v/>
      </c>
      <c r="G17" s="215" t="str">
        <f>IFERROR(VLOOKUP($C17,'PORTIFÓLIO'!C:V,5,0),"")</f>
        <v/>
      </c>
      <c r="H17" s="254" t="str">
        <f t="array" ref="H17">IFERROR(INDEX('PORTIFÓLIO'!$H$4:$H$433,MATCH($C17,'PORTIFÓLIO'!$C$4:$C$433,0)),"")</f>
        <v/>
      </c>
      <c r="I17" s="255"/>
      <c r="J17" s="218">
        <f t="shared" si="2"/>
        <v>0</v>
      </c>
      <c r="K17" s="219" t="str">
        <f t="array" ref="K17">IFERROR(I17*INDEX('PORTIFÓLIO'!$S$4:$S$433,MATCH($C17,'PORTIFÓLIO'!$C$4:$C$433,0)),"")</f>
        <v/>
      </c>
      <c r="L17" s="219" t="str">
        <f t="array" ref="L17">IFERROR(J17*INDEX('PORTIFÓLIO'!$S$4:$S$433,MATCH($C17,'PORTIFÓLIO'!$C$4:$C$433,0)),"")</f>
        <v/>
      </c>
      <c r="M17" s="220"/>
      <c r="N17" s="220"/>
      <c r="O17" s="220"/>
      <c r="P17" s="220"/>
      <c r="Q17" s="220"/>
      <c r="R17" s="220"/>
      <c r="S17" s="220"/>
      <c r="T17" s="220"/>
      <c r="U17" s="220" t="str">
        <f>IFERROR(__xludf.DUMMYFUNCTION("FILTER('PORTIFÓLIO'!C:C, 'PORTIFÓLIO'!B:B=B17)"),"#REF!")</f>
        <v>#REF!</v>
      </c>
      <c r="V17" s="220"/>
      <c r="W17" s="220"/>
    </row>
    <row r="18" outlineLevel="1">
      <c r="A18" s="211"/>
      <c r="B18" s="212"/>
      <c r="C18" s="213"/>
      <c r="D18" s="214" t="str">
        <f>IFERROR(VLOOKUP($C18,'PORTIFÓLIO'!C:V,2,0),"")</f>
        <v/>
      </c>
      <c r="E18" s="211" t="str">
        <f>IFERROR(VLOOKUP($C18,'PORTIFÓLIO'!C:V,3,0),"")</f>
        <v/>
      </c>
      <c r="F18" s="211" t="str">
        <f>IFERROR(VLOOKUP($C18,'PORTIFÓLIO'!C:V,4,0),"")</f>
        <v/>
      </c>
      <c r="G18" s="215" t="str">
        <f>IFERROR(VLOOKUP($C18,'PORTIFÓLIO'!C:V,5,0),"")</f>
        <v/>
      </c>
      <c r="H18" s="254" t="str">
        <f t="array" ref="H18">IFERROR(INDEX('PORTIFÓLIO'!$H$4:$H$433,MATCH($C18,'PORTIFÓLIO'!$C$4:$C$433,0)),"")</f>
        <v/>
      </c>
      <c r="I18" s="255"/>
      <c r="J18" s="218">
        <f t="shared" si="2"/>
        <v>0</v>
      </c>
      <c r="K18" s="219" t="str">
        <f t="array" ref="K18">IFERROR(I18*INDEX('PORTIFÓLIO'!$S$4:$S$433,MATCH($C18,'PORTIFÓLIO'!$C$4:$C$433,0)),"")</f>
        <v/>
      </c>
      <c r="L18" s="219" t="str">
        <f t="array" ref="L18">IFERROR(J18*INDEX('PORTIFÓLIO'!$S$4:$S$433,MATCH($C18,'PORTIFÓLIO'!$C$4:$C$433,0)),"")</f>
        <v/>
      </c>
      <c r="M18" s="220"/>
      <c r="N18" s="220"/>
      <c r="O18" s="220"/>
      <c r="P18" s="220"/>
      <c r="Q18" s="220"/>
      <c r="R18" s="220"/>
      <c r="S18" s="220"/>
      <c r="T18" s="220"/>
      <c r="U18" s="220" t="str">
        <f>IFERROR(__xludf.DUMMYFUNCTION("FILTER('PORTIFÓLIO'!C:C, 'PORTIFÓLIO'!B:B=B18)"),"#REF!")</f>
        <v>#REF!</v>
      </c>
      <c r="V18" s="220"/>
      <c r="W18" s="220"/>
    </row>
    <row r="19" outlineLevel="1">
      <c r="A19" s="211"/>
      <c r="B19" s="212"/>
      <c r="C19" s="213"/>
      <c r="D19" s="214" t="str">
        <f>IFERROR(VLOOKUP($C19,'PORTIFÓLIO'!C:V,2,0),"")</f>
        <v/>
      </c>
      <c r="E19" s="211" t="str">
        <f>IFERROR(VLOOKUP($C19,'PORTIFÓLIO'!C:V,3,0),"")</f>
        <v/>
      </c>
      <c r="F19" s="211" t="str">
        <f>IFERROR(VLOOKUP($C19,'PORTIFÓLIO'!C:V,4,0),"")</f>
        <v/>
      </c>
      <c r="G19" s="215" t="str">
        <f>IFERROR(VLOOKUP($C19,'PORTIFÓLIO'!C:V,5,0),"")</f>
        <v/>
      </c>
      <c r="H19" s="254" t="str">
        <f t="array" ref="H19">IFERROR(INDEX('PORTIFÓLIO'!$H$4:$H$433,MATCH($C19,'PORTIFÓLIO'!$C$4:$C$433,0)),"")</f>
        <v/>
      </c>
      <c r="I19" s="255"/>
      <c r="J19" s="218">
        <f t="shared" si="2"/>
        <v>0</v>
      </c>
      <c r="K19" s="219" t="str">
        <f t="array" ref="K19">IFERROR(I19*INDEX('PORTIFÓLIO'!$S$4:$S$433,MATCH($C19,'PORTIFÓLIO'!$C$4:$C$433,0)),"")</f>
        <v/>
      </c>
      <c r="L19" s="219" t="str">
        <f t="array" ref="L19">IFERROR(J19*INDEX('PORTIFÓLIO'!$S$4:$S$433,MATCH($C19,'PORTIFÓLIO'!$C$4:$C$433,0)),"")</f>
        <v/>
      </c>
      <c r="M19" s="220"/>
      <c r="N19" s="220"/>
      <c r="O19" s="220"/>
      <c r="P19" s="220"/>
      <c r="Q19" s="220"/>
      <c r="R19" s="220"/>
      <c r="S19" s="220"/>
      <c r="T19" s="220"/>
      <c r="U19" s="220" t="str">
        <f>IFERROR(__xludf.DUMMYFUNCTION("FILTER('PORTIFÓLIO'!C:C, 'PORTIFÓLIO'!B:B=B19)"),"")</f>
        <v/>
      </c>
      <c r="V19" s="220"/>
      <c r="W19" s="220"/>
    </row>
    <row r="20" outlineLevel="1">
      <c r="A20" s="211"/>
      <c r="B20" s="212"/>
      <c r="C20" s="213"/>
      <c r="D20" s="214" t="str">
        <f>IFERROR(VLOOKUP($C20,'PORTIFÓLIO'!C:V,2,0),"")</f>
        <v/>
      </c>
      <c r="E20" s="211" t="str">
        <f>IFERROR(VLOOKUP($C20,'PORTIFÓLIO'!C:V,3,0),"")</f>
        <v/>
      </c>
      <c r="F20" s="211" t="str">
        <f>IFERROR(VLOOKUP($C20,'PORTIFÓLIO'!C:V,4,0),"")</f>
        <v/>
      </c>
      <c r="G20" s="215" t="str">
        <f>IFERROR(VLOOKUP($C20,'PORTIFÓLIO'!C:V,5,0),"")</f>
        <v/>
      </c>
      <c r="H20" s="254" t="str">
        <f t="array" ref="H20">IFERROR(INDEX('PORTIFÓLIO'!$H$4:$H$433,MATCH($C20,'PORTIFÓLIO'!$C$4:$C$433,0)),"")</f>
        <v/>
      </c>
      <c r="I20" s="255"/>
      <c r="J20" s="218">
        <f t="shared" si="2"/>
        <v>0</v>
      </c>
      <c r="K20" s="219" t="str">
        <f t="array" ref="K20">IFERROR(I20*INDEX('PORTIFÓLIO'!$S$4:$S$433,MATCH($C20,'PORTIFÓLIO'!$C$4:$C$433,0)),"")</f>
        <v/>
      </c>
      <c r="L20" s="219" t="str">
        <f t="array" ref="L20">IFERROR(J20*INDEX('PORTIFÓLIO'!$S$4:$S$433,MATCH($C20,'PORTIFÓLIO'!$C$4:$C$433,0)),"")</f>
        <v/>
      </c>
      <c r="M20" s="220"/>
      <c r="N20" s="220"/>
      <c r="O20" s="220"/>
      <c r="P20" s="220"/>
      <c r="Q20" s="220"/>
      <c r="R20" s="220"/>
      <c r="S20" s="220"/>
      <c r="T20" s="220"/>
      <c r="U20" s="220"/>
      <c r="V20" s="220"/>
      <c r="W20" s="220"/>
    </row>
    <row r="21" ht="15.75" customHeight="1" outlineLevel="1">
      <c r="A21" s="211"/>
      <c r="B21" s="212"/>
      <c r="C21" s="213"/>
      <c r="D21" s="214" t="str">
        <f>IFERROR(VLOOKUP($C21,'PORTIFÓLIO'!C:V,2,0),"")</f>
        <v/>
      </c>
      <c r="E21" s="211" t="str">
        <f>IFERROR(VLOOKUP($C21,'PORTIFÓLIO'!C:V,3,0),"")</f>
        <v/>
      </c>
      <c r="F21" s="211" t="str">
        <f>IFERROR(VLOOKUP($C21,'PORTIFÓLIO'!C:V,4,0),"")</f>
        <v/>
      </c>
      <c r="G21" s="215" t="str">
        <f>IFERROR(VLOOKUP($C21,'PORTIFÓLIO'!C:V,5,0),"")</f>
        <v/>
      </c>
      <c r="H21" s="254" t="str">
        <f t="array" ref="H21">IFERROR(INDEX('PORTIFÓLIO'!$H$4:$H$433,MATCH($C21,'PORTIFÓLIO'!$C$4:$C$433,0)),"")</f>
        <v/>
      </c>
      <c r="I21" s="255"/>
      <c r="J21" s="218">
        <f t="shared" si="2"/>
        <v>0</v>
      </c>
      <c r="K21" s="219" t="str">
        <f t="array" ref="K21">IFERROR(I21*INDEX('PORTIFÓLIO'!$S$4:$S$433,MATCH($C21,'PORTIFÓLIO'!$C$4:$C$433,0)),"")</f>
        <v/>
      </c>
      <c r="L21" s="219" t="str">
        <f t="array" ref="L21">IFERROR(J21*INDEX('PORTIFÓLIO'!$S$4:$S$433,MATCH($C21,'PORTIFÓLIO'!$C$4:$C$433,0)),"")</f>
        <v/>
      </c>
      <c r="M21" s="220"/>
      <c r="N21" s="220"/>
      <c r="O21" s="220"/>
      <c r="P21" s="220"/>
      <c r="Q21" s="220"/>
      <c r="R21" s="220"/>
      <c r="S21" s="220"/>
      <c r="T21" s="220"/>
      <c r="U21" s="220"/>
      <c r="V21" s="220"/>
      <c r="W21" s="220"/>
    </row>
    <row r="22" ht="15.75" customHeight="1" outlineLevel="1">
      <c r="A22" s="211"/>
      <c r="B22" s="212"/>
      <c r="C22" s="213"/>
      <c r="D22" s="214" t="str">
        <f>IFERROR(VLOOKUP($C22,'PORTIFÓLIO'!C:V,2,0),"")</f>
        <v/>
      </c>
      <c r="E22" s="211" t="str">
        <f>IFERROR(VLOOKUP($C22,'PORTIFÓLIO'!C:V,3,0),"")</f>
        <v/>
      </c>
      <c r="F22" s="211" t="str">
        <f>IFERROR(VLOOKUP($C22,'PORTIFÓLIO'!C:V,4,0),"")</f>
        <v/>
      </c>
      <c r="G22" s="215" t="str">
        <f>IFERROR(VLOOKUP($C22,'PORTIFÓLIO'!C:V,5,0),"")</f>
        <v/>
      </c>
      <c r="H22" s="254" t="str">
        <f t="array" ref="H22">IFERROR(INDEX('PORTIFÓLIO'!$H$4:$H$433,MATCH($C22,'PORTIFÓLIO'!$C$4:$C$433,0)),"")</f>
        <v/>
      </c>
      <c r="I22" s="255"/>
      <c r="J22" s="218">
        <f t="shared" si="2"/>
        <v>0</v>
      </c>
      <c r="K22" s="219" t="str">
        <f t="array" ref="K22">IFERROR(I22*INDEX('PORTIFÓLIO'!$S$4:$S$433,MATCH($C22,'PORTIFÓLIO'!$C$4:$C$433,0)),"")</f>
        <v/>
      </c>
      <c r="L22" s="219" t="str">
        <f t="array" ref="L22">IFERROR(J22*INDEX('PORTIFÓLIO'!$S$4:$S$433,MATCH($C22,'PORTIFÓLIO'!$C$4:$C$433,0)),"")</f>
        <v/>
      </c>
      <c r="M22" s="220"/>
      <c r="N22" s="220"/>
      <c r="O22" s="220"/>
      <c r="P22" s="220"/>
      <c r="Q22" s="220"/>
      <c r="R22" s="220"/>
      <c r="S22" s="220"/>
      <c r="T22" s="220"/>
      <c r="U22" s="220"/>
      <c r="V22" s="220"/>
      <c r="W22" s="220"/>
    </row>
    <row r="23" ht="15.75" customHeight="1" outlineLevel="1">
      <c r="A23" s="211"/>
      <c r="B23" s="212"/>
      <c r="C23" s="213"/>
      <c r="D23" s="214" t="str">
        <f>IFERROR(VLOOKUP($C23,'PORTIFÓLIO'!C:V,2,0),"")</f>
        <v/>
      </c>
      <c r="E23" s="211" t="str">
        <f>IFERROR(VLOOKUP($C23,'PORTIFÓLIO'!C:V,3,0),"")</f>
        <v/>
      </c>
      <c r="F23" s="211" t="str">
        <f>IFERROR(VLOOKUP($C23,'PORTIFÓLIO'!C:V,4,0),"")</f>
        <v/>
      </c>
      <c r="G23" s="215" t="str">
        <f>IFERROR(VLOOKUP($C23,'PORTIFÓLIO'!C:V,5,0),"")</f>
        <v/>
      </c>
      <c r="H23" s="254" t="str">
        <f t="array" ref="H23">IFERROR(INDEX('PORTIFÓLIO'!$H$4:$H$433,MATCH($C23,'PORTIFÓLIO'!$C$4:$C$433,0)),"")</f>
        <v/>
      </c>
      <c r="I23" s="255"/>
      <c r="J23" s="218">
        <f t="shared" si="2"/>
        <v>0</v>
      </c>
      <c r="K23" s="219" t="str">
        <f t="array" ref="K23">IFERROR(I23*INDEX('PORTIFÓLIO'!$S$4:$S$433,MATCH($C23,'PORTIFÓLIO'!$C$4:$C$433,0)),"")</f>
        <v/>
      </c>
      <c r="L23" s="219" t="str">
        <f t="array" ref="L23">IFERROR(J23*INDEX('PORTIFÓLIO'!$S$4:$S$433,MATCH($C23,'PORTIFÓLIO'!$C$4:$C$433,0)),"")</f>
        <v/>
      </c>
      <c r="M23" s="220"/>
      <c r="N23" s="220"/>
      <c r="O23" s="220"/>
      <c r="P23" s="220"/>
      <c r="Q23" s="220"/>
      <c r="R23" s="220"/>
      <c r="S23" s="220"/>
      <c r="T23" s="220"/>
      <c r="U23" s="220"/>
      <c r="V23" s="220"/>
      <c r="W23" s="220"/>
    </row>
    <row r="24" ht="15.75" customHeight="1" outlineLevel="1">
      <c r="A24" s="211"/>
      <c r="B24" s="212"/>
      <c r="C24" s="213"/>
      <c r="D24" s="214" t="str">
        <f>IFERROR(VLOOKUP($C24,'PORTIFÓLIO'!C:V,2,0),"")</f>
        <v/>
      </c>
      <c r="E24" s="211" t="str">
        <f>IFERROR(VLOOKUP($C24,'PORTIFÓLIO'!C:V,3,0),"")</f>
        <v/>
      </c>
      <c r="F24" s="211" t="str">
        <f>IFERROR(VLOOKUP($C24,'PORTIFÓLIO'!C:V,4,0),"")</f>
        <v/>
      </c>
      <c r="G24" s="215" t="str">
        <f>IFERROR(VLOOKUP($C24,'PORTIFÓLIO'!C:V,5,0),"")</f>
        <v/>
      </c>
      <c r="H24" s="254" t="str">
        <f t="array" ref="H24">IFERROR(INDEX('PORTIFÓLIO'!$H$4:$H$433,MATCH($C24,'PORTIFÓLIO'!$C$4:$C$433,0)),"")</f>
        <v/>
      </c>
      <c r="I24" s="255"/>
      <c r="J24" s="218">
        <f t="shared" si="2"/>
        <v>0</v>
      </c>
      <c r="K24" s="219" t="str">
        <f t="array" ref="K24">IFERROR(I24*INDEX('PORTIFÓLIO'!$S$4:$S$433,MATCH($C24,'PORTIFÓLIO'!$C$4:$C$433,0)),"")</f>
        <v/>
      </c>
      <c r="L24" s="219" t="str">
        <f t="array" ref="L24">IFERROR(J24*INDEX('PORTIFÓLIO'!$S$4:$S$433,MATCH($C24,'PORTIFÓLIO'!$C$4:$C$433,0)),"")</f>
        <v/>
      </c>
      <c r="M24" s="220"/>
      <c r="N24" s="220"/>
      <c r="O24" s="220"/>
      <c r="P24" s="220"/>
      <c r="Q24" s="220"/>
      <c r="R24" s="220"/>
      <c r="S24" s="220"/>
      <c r="T24" s="220"/>
      <c r="U24" s="220"/>
      <c r="V24" s="220"/>
      <c r="W24" s="220"/>
    </row>
    <row r="25" ht="15.75" customHeight="1">
      <c r="A25" s="229" t="s">
        <v>1184</v>
      </c>
      <c r="B25" s="230"/>
      <c r="C25" s="231"/>
      <c r="D25" s="232"/>
      <c r="E25" s="231"/>
      <c r="F25" s="231"/>
      <c r="G25" s="233"/>
      <c r="H25" s="233"/>
      <c r="I25" s="258"/>
      <c r="J25" s="236"/>
      <c r="K25" s="237">
        <f t="shared" ref="K25:L25" si="3">SUBTOTAL(9,K26:K39)</f>
        <v>178.4188912</v>
      </c>
      <c r="L25" s="237">
        <f t="shared" si="3"/>
        <v>7136.755648</v>
      </c>
      <c r="M25" s="220"/>
      <c r="N25" s="220"/>
      <c r="O25" s="220"/>
      <c r="P25" s="220"/>
      <c r="Q25" s="220"/>
      <c r="R25" s="220"/>
      <c r="S25" s="220"/>
      <c r="T25" s="220"/>
      <c r="U25" s="220"/>
      <c r="V25" s="220"/>
      <c r="W25" s="220"/>
    </row>
    <row r="26" ht="15.75" customHeight="1" outlineLevel="1">
      <c r="A26" s="213"/>
      <c r="B26" s="212" t="s">
        <v>1</v>
      </c>
      <c r="C26" s="213" t="s">
        <v>637</v>
      </c>
      <c r="D26" s="214" t="str">
        <f>IFERROR(VLOOKUP($C26,'PORTIFÓLIO'!C:V,2,0),"")</f>
        <v>GLIFOSATO-SAL DE AMÔNIO</v>
      </c>
      <c r="E26" s="211">
        <f>IFERROR(VLOOKUP($C26,'PORTIFÓLIO'!C:V,3,0),"")</f>
        <v>720</v>
      </c>
      <c r="F26" s="211" t="str">
        <f>IFERROR(VLOOKUP($C26,'PORTIFÓLIO'!C:V,4,0),"")</f>
        <v>L</v>
      </c>
      <c r="G26" s="225" t="str">
        <f>IFERROR(VLOOKUP($C26,'PORTIFÓLIO'!C:V,5,0),"")</f>
        <v>📄 Ver bula</v>
      </c>
      <c r="H26" s="254">
        <f t="array" ref="H26">IFERROR(INDEX('PORTIFÓLIO'!$H$4:$H$433,MATCH($C26,'PORTIFÓLIO'!$C$4:$C$433,0)),"")</f>
        <v>2</v>
      </c>
      <c r="I26" s="255">
        <v>2.0</v>
      </c>
      <c r="J26" s="218">
        <f t="shared" ref="J26:J43" si="4">I26*$B$2</f>
        <v>80</v>
      </c>
      <c r="K26" s="219">
        <f t="array" ref="K26">IFERROR(I26*INDEX('PORTIFÓLIO'!$S$4:$S$433,MATCH($C26,'PORTIFÓLIO'!$C$4:$C$433,0)),"")</f>
        <v>49.16</v>
      </c>
      <c r="L26" s="219">
        <f t="array" ref="L26">IFERROR(J26*INDEX('PORTIFÓLIO'!$S$4:$S$433,MATCH($C26,'PORTIFÓLIO'!$C$4:$C$433,0)),"")</f>
        <v>1966.4</v>
      </c>
      <c r="M26" s="220"/>
      <c r="N26" s="220"/>
      <c r="O26" s="220"/>
      <c r="P26" s="220"/>
      <c r="Q26" s="220"/>
      <c r="R26" s="220"/>
      <c r="S26" s="220"/>
      <c r="T26" s="220"/>
      <c r="U26" s="220"/>
      <c r="V26" s="220"/>
      <c r="W26" s="220"/>
    </row>
    <row r="27" ht="15.75" customHeight="1" outlineLevel="1">
      <c r="A27" s="211"/>
      <c r="B27" s="212" t="s">
        <v>1</v>
      </c>
      <c r="C27" s="213" t="s">
        <v>610</v>
      </c>
      <c r="D27" s="214" t="str">
        <f>IFERROR(VLOOKUP($C27,'PORTIFÓLIO'!C:V,2,0),"")</f>
        <v>CLETODIM + FLUROXIPIR-MEPTÍLICO</v>
      </c>
      <c r="E27" s="211" t="str">
        <f>IFERROR(VLOOKUP($C27,'PORTIFÓLIO'!C:V,3,0),"")</f>
        <v>140 + 288</v>
      </c>
      <c r="F27" s="211" t="str">
        <f>IFERROR(VLOOKUP($C27,'PORTIFÓLIO'!C:V,4,0),"")</f>
        <v>L</v>
      </c>
      <c r="G27" s="225" t="str">
        <f>IFERROR(VLOOKUP($C27,'PORTIFÓLIO'!C:V,5,0),"")</f>
        <v>📄 Ver bula</v>
      </c>
      <c r="H27" s="254">
        <f t="array" ref="H27">IFERROR(INDEX('PORTIFÓLIO'!$H$4:$H$433,MATCH($C27,'PORTIFÓLIO'!$C$4:$C$433,0)),"")</f>
        <v>1</v>
      </c>
      <c r="I27" s="255">
        <v>1.0</v>
      </c>
      <c r="J27" s="218">
        <f t="shared" si="4"/>
        <v>40</v>
      </c>
      <c r="K27" s="219">
        <f t="array" ref="K27">IFERROR(I27*INDEX('PORTIFÓLIO'!$S$4:$S$433,MATCH($C27,'PORTIFÓLIO'!$C$4:$C$433,0)),"")</f>
        <v>60.04894</v>
      </c>
      <c r="L27" s="219">
        <f t="array" ref="L27">IFERROR(J27*INDEX('PORTIFÓLIO'!$S$4:$S$433,MATCH($C27,'PORTIFÓLIO'!$C$4:$C$433,0)),"")</f>
        <v>2401.9576</v>
      </c>
      <c r="M27" s="220"/>
      <c r="N27" s="220"/>
      <c r="O27" s="220"/>
      <c r="P27" s="220"/>
      <c r="Q27" s="220"/>
      <c r="R27" s="220"/>
      <c r="S27" s="220"/>
      <c r="T27" s="220"/>
      <c r="U27" s="220"/>
      <c r="V27" s="220"/>
      <c r="W27" s="220"/>
    </row>
    <row r="28" ht="15.75" customHeight="1" outlineLevel="1">
      <c r="A28" s="211"/>
      <c r="B28" s="212" t="s">
        <v>6</v>
      </c>
      <c r="C28" s="213" t="s">
        <v>354</v>
      </c>
      <c r="D28" s="214" t="str">
        <f>IFERROR(VLOOKUP($C28,'PORTIFÓLIO'!C:V,2,0),"")</f>
        <v>OLEO MINERAL</v>
      </c>
      <c r="E28" s="211">
        <f>IFERROR(VLOOKUP($C28,'PORTIFÓLIO'!C:V,3,0),"")</f>
        <v>761</v>
      </c>
      <c r="F28" s="211" t="str">
        <f>IFERROR(VLOOKUP($C28,'PORTIFÓLIO'!C:V,4,0),"")</f>
        <v>L</v>
      </c>
      <c r="G28" s="225" t="str">
        <f>IFERROR(VLOOKUP($C28,'PORTIFÓLIO'!C:V,5,0),"")</f>
        <v>📄 Ver bula</v>
      </c>
      <c r="H28" s="254">
        <f t="array" ref="H28">IFERROR(INDEX('PORTIFÓLIO'!$H$4:$H$433,MATCH($C28,'PORTIFÓLIO'!$C$4:$C$433,0)),"")</f>
        <v>0.2</v>
      </c>
      <c r="I28" s="255">
        <v>0.2</v>
      </c>
      <c r="J28" s="218">
        <f t="shared" si="4"/>
        <v>8</v>
      </c>
      <c r="K28" s="219">
        <f t="array" ref="K28">IFERROR(I28*INDEX('PORTIFÓLIO'!$S$4:$S$433,MATCH($C28,'PORTIFÓLIO'!$C$4:$C$433,0)),"")</f>
        <v>3.206</v>
      </c>
      <c r="L28" s="219">
        <f t="array" ref="L28">IFERROR(J28*INDEX('PORTIFÓLIO'!$S$4:$S$433,MATCH($C28,'PORTIFÓLIO'!$C$4:$C$433,0)),"")</f>
        <v>128.24</v>
      </c>
      <c r="M28" s="220"/>
      <c r="N28" s="220"/>
      <c r="O28" s="220"/>
      <c r="P28" s="220"/>
      <c r="Q28" s="220"/>
      <c r="R28" s="220"/>
      <c r="S28" s="220"/>
      <c r="T28" s="220"/>
      <c r="U28" s="220"/>
      <c r="V28" s="220"/>
      <c r="W28" s="220"/>
    </row>
    <row r="29" ht="15.75" customHeight="1" outlineLevel="1">
      <c r="A29" s="211"/>
      <c r="B29" s="212" t="s">
        <v>2</v>
      </c>
      <c r="C29" s="213" t="s">
        <v>824</v>
      </c>
      <c r="D29" s="214" t="str">
        <f>IFERROR(VLOOKUP($C29,'PORTIFÓLIO'!C:V,2,0),"")</f>
        <v>CLORANTRANILIPROLE</v>
      </c>
      <c r="E29" s="211">
        <f>IFERROR(VLOOKUP($C29,'PORTIFÓLIO'!C:V,3,0),"")</f>
        <v>200</v>
      </c>
      <c r="F29" s="211" t="str">
        <f>IFERROR(VLOOKUP($C29,'PORTIFÓLIO'!C:V,4,0),"")</f>
        <v>L</v>
      </c>
      <c r="G29" s="225" t="str">
        <f>IFERROR(VLOOKUP($C29,'PORTIFÓLIO'!C:V,5,0),"")</f>
        <v>📄 Ver bula</v>
      </c>
      <c r="H29" s="254">
        <f t="array" ref="H29">IFERROR(INDEX('PORTIFÓLIO'!$H$4:$H$433,MATCH($C29,'PORTIFÓLIO'!$C$4:$C$433,0)),"")</f>
        <v>0.1</v>
      </c>
      <c r="I29" s="255">
        <v>0.04</v>
      </c>
      <c r="J29" s="218">
        <f t="shared" si="4"/>
        <v>1.6</v>
      </c>
      <c r="K29" s="219">
        <f t="array" ref="K29">IFERROR(I29*INDEX('PORTIFÓLIO'!$S$4:$S$433,MATCH($C29,'PORTIFÓLIO'!$C$4:$C$433,0)),"")</f>
        <v>11.31855</v>
      </c>
      <c r="L29" s="219">
        <f t="array" ref="L29">IFERROR(J29*INDEX('PORTIFÓLIO'!$S$4:$S$433,MATCH($C29,'PORTIFÓLIO'!$C$4:$C$433,0)),"")</f>
        <v>452.742</v>
      </c>
      <c r="M29" s="220"/>
      <c r="N29" s="220"/>
      <c r="O29" s="220"/>
      <c r="P29" s="220"/>
      <c r="Q29" s="220"/>
      <c r="R29" s="220"/>
      <c r="S29" s="220"/>
      <c r="T29" s="220"/>
      <c r="U29" s="220"/>
      <c r="V29" s="220"/>
      <c r="W29" s="220"/>
    </row>
    <row r="30" ht="15.75" customHeight="1" outlineLevel="1">
      <c r="A30" s="211"/>
      <c r="B30" s="212" t="s">
        <v>2</v>
      </c>
      <c r="C30" s="213" t="s">
        <v>788</v>
      </c>
      <c r="D30" s="214" t="str">
        <f>IFERROR(VLOOKUP($C30,'PORTIFÓLIO'!C:V,2,0),"")</f>
        <v>FIPRONIL</v>
      </c>
      <c r="E30" s="211">
        <f>IFERROR(VLOOKUP($C30,'PORTIFÓLIO'!C:V,3,0),"")</f>
        <v>800</v>
      </c>
      <c r="F30" s="211" t="str">
        <f>IFERROR(VLOOKUP($C30,'PORTIFÓLIO'!C:V,4,0),"")</f>
        <v>L</v>
      </c>
      <c r="G30" s="225" t="str">
        <f>IFERROR(VLOOKUP($C30,'PORTIFÓLIO'!C:V,5,0),"")</f>
        <v>📄 Ver bula</v>
      </c>
      <c r="H30" s="254">
        <f t="array" ref="H30">IFERROR(INDEX('PORTIFÓLIO'!$H$4:$H$433,MATCH($C30,'PORTIFÓLIO'!$C$4:$C$433,0)),"")</f>
        <v>0.04</v>
      </c>
      <c r="I30" s="255">
        <v>0.04</v>
      </c>
      <c r="J30" s="218">
        <f t="shared" si="4"/>
        <v>1.6</v>
      </c>
      <c r="K30" s="219">
        <f t="array" ref="K30">IFERROR(I30*INDEX('PORTIFÓLIO'!$S$4:$S$433,MATCH($C30,'PORTIFÓLIO'!$C$4:$C$433,0)),"")</f>
        <v>9.9054012</v>
      </c>
      <c r="L30" s="219">
        <f t="array" ref="L30">IFERROR(J30*INDEX('PORTIFÓLIO'!$S$4:$S$433,MATCH($C30,'PORTIFÓLIO'!$C$4:$C$433,0)),"")</f>
        <v>396.216048</v>
      </c>
      <c r="M30" s="220"/>
      <c r="N30" s="220"/>
      <c r="O30" s="220"/>
      <c r="P30" s="220"/>
      <c r="Q30" s="220"/>
      <c r="R30" s="220"/>
      <c r="S30" s="220"/>
      <c r="T30" s="220"/>
      <c r="U30" s="220"/>
      <c r="V30" s="220"/>
      <c r="W30" s="220"/>
    </row>
    <row r="31" ht="15.75" customHeight="1" outlineLevel="1">
      <c r="A31" s="211"/>
      <c r="B31" s="212" t="s">
        <v>9</v>
      </c>
      <c r="C31" s="213" t="s">
        <v>933</v>
      </c>
      <c r="D31" s="214" t="str">
        <f>IFERROR(VLOOKUP($C31,'PORTIFÓLIO'!C:V,2,0),"")</f>
        <v>N1%;B9,5%</v>
      </c>
      <c r="E31" s="211" t="str">
        <f>IFERROR(VLOOKUP($C31,'PORTIFÓLIO'!C:V,3,0),"")</f>
        <v>13,8g/l + 131,1g/l</v>
      </c>
      <c r="F31" s="211" t="str">
        <f>IFERROR(VLOOKUP($C31,'PORTIFÓLIO'!C:V,4,0),"")</f>
        <v>L</v>
      </c>
      <c r="G31" s="215" t="str">
        <f>IFERROR(VLOOKUP($C31,'PORTIFÓLIO'!C:V,5,0),"")</f>
        <v/>
      </c>
      <c r="H31" s="254">
        <f t="array" ref="H31">IFERROR(INDEX('PORTIFÓLIO'!$H$4:$H$433,MATCH($C31,'PORTIFÓLIO'!$C$4:$C$433,0)),"")</f>
        <v>2</v>
      </c>
      <c r="I31" s="255">
        <v>1.0</v>
      </c>
      <c r="J31" s="218">
        <f t="shared" si="4"/>
        <v>40</v>
      </c>
      <c r="K31" s="219">
        <f t="array" ref="K31">IFERROR(I31*INDEX('PORTIFÓLIO'!$S$4:$S$433,MATCH($C31,'PORTIFÓLIO'!$C$4:$C$433,0)),"")</f>
        <v>44.78</v>
      </c>
      <c r="L31" s="219">
        <f t="array" ref="L31">IFERROR(J31*INDEX('PORTIFÓLIO'!$S$4:$S$433,MATCH($C31,'PORTIFÓLIO'!$C$4:$C$433,0)),"")</f>
        <v>1791.2</v>
      </c>
      <c r="M31" s="220"/>
      <c r="N31" s="220"/>
      <c r="O31" s="220"/>
      <c r="P31" s="220"/>
      <c r="Q31" s="220"/>
      <c r="R31" s="220"/>
      <c r="S31" s="220"/>
      <c r="T31" s="220"/>
      <c r="U31" s="220"/>
      <c r="V31" s="220"/>
      <c r="W31" s="220"/>
    </row>
    <row r="32" ht="15.75" customHeight="1" outlineLevel="1">
      <c r="A32" s="211"/>
      <c r="B32" s="212"/>
      <c r="C32" s="213"/>
      <c r="D32" s="214" t="str">
        <f>IFERROR(VLOOKUP($C32,'PORTIFÓLIO'!C:V,2,0),"")</f>
        <v/>
      </c>
      <c r="E32" s="211" t="str">
        <f>IFERROR(VLOOKUP($C32,'PORTIFÓLIO'!C:V,3,0),"")</f>
        <v/>
      </c>
      <c r="F32" s="211" t="str">
        <f>IFERROR(VLOOKUP($C32,'PORTIFÓLIO'!C:V,4,0),"")</f>
        <v/>
      </c>
      <c r="G32" s="215" t="str">
        <f>IFERROR(VLOOKUP($C32,'PORTIFÓLIO'!C:V,5,0),"")</f>
        <v/>
      </c>
      <c r="H32" s="254" t="str">
        <f t="array" ref="H32">IFERROR(INDEX('PORTIFÓLIO'!$H$4:$H$433,MATCH($C32,'PORTIFÓLIO'!$C$4:$C$433,0)),"")</f>
        <v/>
      </c>
      <c r="I32" s="256"/>
      <c r="J32" s="218">
        <f t="shared" si="4"/>
        <v>0</v>
      </c>
      <c r="K32" s="219" t="str">
        <f t="array" ref="K32">IFERROR(I32*INDEX('PORTIFÓLIO'!$S$4:$S$433,MATCH($C32,'PORTIFÓLIO'!$C$4:$C$433,0)),"")</f>
        <v/>
      </c>
      <c r="L32" s="219" t="str">
        <f t="array" ref="L32">IFERROR(J32*INDEX('PORTIFÓLIO'!$S$4:$S$433,MATCH($C32,'PORTIFÓLIO'!$C$4:$C$433,0)),"")</f>
        <v/>
      </c>
      <c r="M32" s="220"/>
      <c r="N32" s="220"/>
      <c r="O32" s="220"/>
      <c r="P32" s="220"/>
      <c r="Q32" s="220"/>
      <c r="R32" s="220"/>
      <c r="S32" s="220"/>
      <c r="T32" s="220"/>
      <c r="U32" s="220"/>
      <c r="V32" s="220"/>
      <c r="W32" s="220"/>
    </row>
    <row r="33" ht="15.75" customHeight="1" outlineLevel="1">
      <c r="A33" s="211"/>
      <c r="B33" s="212"/>
      <c r="C33" s="213"/>
      <c r="D33" s="214" t="str">
        <f>IFERROR(VLOOKUP($C33,'PORTIFÓLIO'!C:V,2,0),"")</f>
        <v/>
      </c>
      <c r="E33" s="211" t="str">
        <f>IFERROR(VLOOKUP($C33,'PORTIFÓLIO'!C:V,3,0),"")</f>
        <v/>
      </c>
      <c r="F33" s="211" t="str">
        <f>IFERROR(VLOOKUP($C33,'PORTIFÓLIO'!C:V,4,0),"")</f>
        <v/>
      </c>
      <c r="G33" s="215" t="str">
        <f>IFERROR(VLOOKUP($C33,'PORTIFÓLIO'!C:V,5,0),"")</f>
        <v/>
      </c>
      <c r="H33" s="254" t="str">
        <f t="array" ref="H33">IFERROR(INDEX('PORTIFÓLIO'!$H$4:$H$433,MATCH($C33,'PORTIFÓLIO'!$C$4:$C$433,0)),"")</f>
        <v/>
      </c>
      <c r="I33" s="256"/>
      <c r="J33" s="218">
        <f t="shared" si="4"/>
        <v>0</v>
      </c>
      <c r="K33" s="219" t="str">
        <f t="array" ref="K33">IFERROR(I33*INDEX('PORTIFÓLIO'!$S$4:$S$433,MATCH($C33,'PORTIFÓLIO'!$C$4:$C$433,0)),"")</f>
        <v/>
      </c>
      <c r="L33" s="219" t="str">
        <f t="array" ref="L33">IFERROR(J33*INDEX('PORTIFÓLIO'!$S$4:$S$433,MATCH($C33,'PORTIFÓLIO'!$C$4:$C$433,0)),"")</f>
        <v/>
      </c>
      <c r="M33" s="220"/>
      <c r="N33" s="220"/>
      <c r="O33" s="220"/>
      <c r="P33" s="220"/>
      <c r="Q33" s="220"/>
      <c r="R33" s="220"/>
      <c r="S33" s="220"/>
      <c r="T33" s="220"/>
      <c r="U33" s="220"/>
      <c r="V33" s="220"/>
      <c r="W33" s="220"/>
    </row>
    <row r="34" ht="15.75" customHeight="1" outlineLevel="1">
      <c r="A34" s="211"/>
      <c r="B34" s="212"/>
      <c r="C34" s="213"/>
      <c r="D34" s="214" t="str">
        <f>IFERROR(VLOOKUP($C34,'PORTIFÓLIO'!C:V,2,0),"")</f>
        <v/>
      </c>
      <c r="E34" s="211" t="str">
        <f>IFERROR(VLOOKUP($C34,'PORTIFÓLIO'!C:V,3,0),"")</f>
        <v/>
      </c>
      <c r="F34" s="211" t="str">
        <f>IFERROR(VLOOKUP($C34,'PORTIFÓLIO'!C:V,4,0),"")</f>
        <v/>
      </c>
      <c r="G34" s="215" t="str">
        <f>IFERROR(VLOOKUP($C34,'PORTIFÓLIO'!C:V,5,0),"")</f>
        <v/>
      </c>
      <c r="H34" s="254" t="str">
        <f t="array" ref="H34">IFERROR(INDEX('PORTIFÓLIO'!$H$4:$H$433,MATCH($C34,'PORTIFÓLIO'!$C$4:$C$433,0)),"")</f>
        <v/>
      </c>
      <c r="I34" s="255"/>
      <c r="J34" s="218">
        <f t="shared" si="4"/>
        <v>0</v>
      </c>
      <c r="K34" s="219" t="str">
        <f t="array" ref="K34">IFERROR(I34*INDEX('PORTIFÓLIO'!$S$4:$S$433,MATCH($C34,'PORTIFÓLIO'!$C$4:$C$433,0)),"")</f>
        <v/>
      </c>
      <c r="L34" s="219" t="str">
        <f t="array" ref="L34">IFERROR(J34*INDEX('PORTIFÓLIO'!$S$4:$S$433,MATCH($C34,'PORTIFÓLIO'!$C$4:$C$433,0)),"")</f>
        <v/>
      </c>
      <c r="M34" s="220"/>
      <c r="N34" s="220"/>
      <c r="O34" s="220"/>
      <c r="P34" s="220"/>
      <c r="Q34" s="220"/>
      <c r="R34" s="220"/>
      <c r="S34" s="220"/>
      <c r="T34" s="220"/>
      <c r="U34" s="220"/>
      <c r="V34" s="220"/>
      <c r="W34" s="220"/>
    </row>
    <row r="35" ht="15.75" customHeight="1" outlineLevel="1">
      <c r="A35" s="211"/>
      <c r="B35" s="212"/>
      <c r="C35" s="213"/>
      <c r="D35" s="214" t="str">
        <f>IFERROR(VLOOKUP($C35,'PORTIFÓLIO'!C:V,2,0),"")</f>
        <v/>
      </c>
      <c r="E35" s="211" t="str">
        <f>IFERROR(VLOOKUP($C35,'PORTIFÓLIO'!C:V,3,0),"")</f>
        <v/>
      </c>
      <c r="F35" s="211" t="str">
        <f>IFERROR(VLOOKUP($C35,'PORTIFÓLIO'!C:V,4,0),"")</f>
        <v/>
      </c>
      <c r="G35" s="215" t="str">
        <f>IFERROR(VLOOKUP($C35,'PORTIFÓLIO'!C:V,5,0),"")</f>
        <v/>
      </c>
      <c r="H35" s="254" t="str">
        <f t="array" ref="H35">IFERROR(INDEX('PORTIFÓLIO'!$H$4:$H$433,MATCH($C35,'PORTIFÓLIO'!$C$4:$C$433,0)),"")</f>
        <v/>
      </c>
      <c r="I35" s="256"/>
      <c r="J35" s="218">
        <f t="shared" si="4"/>
        <v>0</v>
      </c>
      <c r="K35" s="219" t="str">
        <f t="array" ref="K35">IFERROR(I35*INDEX('PORTIFÓLIO'!$S$4:$S$433,MATCH($C35,'PORTIFÓLIO'!$C$4:$C$433,0)),"")</f>
        <v/>
      </c>
      <c r="L35" s="219" t="str">
        <f t="array" ref="L35">IFERROR(J35*INDEX('PORTIFÓLIO'!$S$4:$S$433,MATCH($C35,'PORTIFÓLIO'!$C$4:$C$433,0)),"")</f>
        <v/>
      </c>
      <c r="M35" s="220"/>
      <c r="N35" s="220"/>
      <c r="O35" s="220"/>
      <c r="P35" s="220"/>
      <c r="Q35" s="220"/>
      <c r="R35" s="220"/>
      <c r="S35" s="220"/>
      <c r="T35" s="220"/>
      <c r="U35" s="220"/>
      <c r="V35" s="220"/>
      <c r="W35" s="220"/>
    </row>
    <row r="36" ht="15.75" customHeight="1" outlineLevel="1">
      <c r="A36" s="211"/>
      <c r="B36" s="212"/>
      <c r="C36" s="213"/>
      <c r="D36" s="214" t="str">
        <f>IFERROR(VLOOKUP($C36,'PORTIFÓLIO'!C:V,2,0),"")</f>
        <v/>
      </c>
      <c r="E36" s="211" t="str">
        <f>IFERROR(VLOOKUP($C36,'PORTIFÓLIO'!C:V,3,0),"")</f>
        <v/>
      </c>
      <c r="F36" s="211" t="str">
        <f>IFERROR(VLOOKUP($C36,'PORTIFÓLIO'!C:V,4,0),"")</f>
        <v/>
      </c>
      <c r="G36" s="215" t="str">
        <f>IFERROR(VLOOKUP($C36,'PORTIFÓLIO'!C:V,5,0),"")</f>
        <v/>
      </c>
      <c r="H36" s="254" t="str">
        <f t="array" ref="H36">IFERROR(INDEX('PORTIFÓLIO'!$H$4:$H$433,MATCH($C36,'PORTIFÓLIO'!$C$4:$C$433,0)),"")</f>
        <v/>
      </c>
      <c r="I36" s="256"/>
      <c r="J36" s="218">
        <f t="shared" si="4"/>
        <v>0</v>
      </c>
      <c r="K36" s="219" t="str">
        <f t="array" ref="K36">IFERROR(I36*INDEX('PORTIFÓLIO'!$S$4:$S$433,MATCH($C36,'PORTIFÓLIO'!$C$4:$C$433,0)),"")</f>
        <v/>
      </c>
      <c r="L36" s="219" t="str">
        <f t="array" ref="L36">IFERROR(J36*INDEX('PORTIFÓLIO'!$S$4:$S$433,MATCH($C36,'PORTIFÓLIO'!$C$4:$C$433,0)),"")</f>
        <v/>
      </c>
      <c r="M36" s="220"/>
      <c r="N36" s="220"/>
      <c r="O36" s="220"/>
      <c r="P36" s="220"/>
      <c r="Q36" s="220"/>
      <c r="R36" s="220"/>
      <c r="S36" s="220"/>
      <c r="T36" s="220"/>
      <c r="U36" s="220"/>
      <c r="V36" s="220"/>
      <c r="W36" s="220"/>
    </row>
    <row r="37" ht="15.75" customHeight="1" outlineLevel="1">
      <c r="A37" s="211"/>
      <c r="B37" s="212"/>
      <c r="C37" s="213"/>
      <c r="D37" s="214" t="str">
        <f>IFERROR(VLOOKUP($C37,'PORTIFÓLIO'!C:V,2,0),"")</f>
        <v/>
      </c>
      <c r="E37" s="211" t="str">
        <f>IFERROR(VLOOKUP($C37,'PORTIFÓLIO'!C:V,3,0),"")</f>
        <v/>
      </c>
      <c r="F37" s="211" t="str">
        <f>IFERROR(VLOOKUP($C37,'PORTIFÓLIO'!C:V,4,0),"")</f>
        <v/>
      </c>
      <c r="G37" s="215" t="str">
        <f>IFERROR(VLOOKUP($C37,'PORTIFÓLIO'!C:V,5,0),"")</f>
        <v/>
      </c>
      <c r="H37" s="254" t="str">
        <f t="array" ref="H37">IFERROR(INDEX('PORTIFÓLIO'!$H$4:$H$433,MATCH($C37,'PORTIFÓLIO'!$C$4:$C$433,0)),"")</f>
        <v/>
      </c>
      <c r="I37" s="256"/>
      <c r="J37" s="218">
        <f t="shared" si="4"/>
        <v>0</v>
      </c>
      <c r="K37" s="219" t="str">
        <f t="array" ref="K37">IFERROR(I37*INDEX('PORTIFÓLIO'!$S$4:$S$433,MATCH($C37,'PORTIFÓLIO'!$C$4:$C$433,0)),"")</f>
        <v/>
      </c>
      <c r="L37" s="219" t="str">
        <f t="array" ref="L37">IFERROR(J37*INDEX('PORTIFÓLIO'!$S$4:$S$433,MATCH($C37,'PORTIFÓLIO'!$C$4:$C$433,0)),"")</f>
        <v/>
      </c>
      <c r="M37" s="220"/>
      <c r="N37" s="220"/>
      <c r="O37" s="220"/>
      <c r="P37" s="220"/>
      <c r="Q37" s="220"/>
      <c r="R37" s="220"/>
      <c r="S37" s="220"/>
      <c r="T37" s="220"/>
      <c r="U37" s="220"/>
      <c r="V37" s="220"/>
      <c r="W37" s="220"/>
    </row>
    <row r="38" ht="15.75" customHeight="1" outlineLevel="1">
      <c r="A38" s="211"/>
      <c r="B38" s="212"/>
      <c r="C38" s="213"/>
      <c r="D38" s="214" t="str">
        <f>IFERROR(VLOOKUP($C38,'PORTIFÓLIO'!C:V,2,0),"")</f>
        <v/>
      </c>
      <c r="E38" s="211" t="str">
        <f>IFERROR(VLOOKUP($C38,'PORTIFÓLIO'!C:V,3,0),"")</f>
        <v/>
      </c>
      <c r="F38" s="211" t="str">
        <f>IFERROR(VLOOKUP($C38,'PORTIFÓLIO'!C:V,4,0),"")</f>
        <v/>
      </c>
      <c r="G38" s="215" t="str">
        <f>IFERROR(VLOOKUP($C38,'PORTIFÓLIO'!C:V,5,0),"")</f>
        <v/>
      </c>
      <c r="H38" s="254" t="str">
        <f t="array" ref="H38">IFERROR(INDEX('PORTIFÓLIO'!$H$4:$H$433,MATCH($C38,'PORTIFÓLIO'!$C$4:$C$433,0)),"")</f>
        <v/>
      </c>
      <c r="I38" s="256"/>
      <c r="J38" s="218">
        <f t="shared" si="4"/>
        <v>0</v>
      </c>
      <c r="K38" s="219" t="str">
        <f t="array" ref="K38">IFERROR(I38*INDEX('PORTIFÓLIO'!$S$4:$S$433,MATCH($C38,'PORTIFÓLIO'!$C$4:$C$433,0)),"")</f>
        <v/>
      </c>
      <c r="L38" s="219" t="str">
        <f t="array" ref="L38">IFERROR(J38*INDEX('PORTIFÓLIO'!$S$4:$S$433,MATCH($C38,'PORTIFÓLIO'!$C$4:$C$433,0)),"")</f>
        <v/>
      </c>
      <c r="M38" s="220"/>
      <c r="N38" s="220"/>
      <c r="O38" s="220"/>
      <c r="P38" s="220"/>
      <c r="Q38" s="220"/>
      <c r="R38" s="220"/>
      <c r="S38" s="220"/>
      <c r="T38" s="220"/>
      <c r="U38" s="220"/>
      <c r="V38" s="220"/>
      <c r="W38" s="220"/>
    </row>
    <row r="39" ht="15.75" customHeight="1" outlineLevel="1">
      <c r="A39" s="211"/>
      <c r="B39" s="212"/>
      <c r="C39" s="213"/>
      <c r="D39" s="214" t="str">
        <f>IFERROR(VLOOKUP($C39,'PORTIFÓLIO'!C:V,2,0),"")</f>
        <v/>
      </c>
      <c r="E39" s="211" t="str">
        <f>IFERROR(VLOOKUP($C39,'PORTIFÓLIO'!C:V,3,0),"")</f>
        <v/>
      </c>
      <c r="F39" s="211" t="str">
        <f>IFERROR(VLOOKUP($C39,'PORTIFÓLIO'!C:V,4,0),"")</f>
        <v/>
      </c>
      <c r="G39" s="215" t="str">
        <f>IFERROR(VLOOKUP($C39,'PORTIFÓLIO'!C:V,5,0),"")</f>
        <v/>
      </c>
      <c r="H39" s="254" t="str">
        <f t="array" ref="H39">IFERROR(INDEX('PORTIFÓLIO'!$H$4:$H$433,MATCH($C39,'PORTIFÓLIO'!$C$4:$C$433,0)),"")</f>
        <v/>
      </c>
      <c r="I39" s="256"/>
      <c r="J39" s="218">
        <f t="shared" si="4"/>
        <v>0</v>
      </c>
      <c r="K39" s="219" t="str">
        <f t="array" ref="K39">IFERROR(I39*INDEX('PORTIFÓLIO'!$S$4:$S$433,MATCH($C39,'PORTIFÓLIO'!$C$4:$C$433,0)),"")</f>
        <v/>
      </c>
      <c r="L39" s="219" t="str">
        <f t="array" ref="L39">IFERROR(J39*INDEX('PORTIFÓLIO'!$S$4:$S$433,MATCH($C39,'PORTIFÓLIO'!$C$4:$C$433,0)),"")</f>
        <v/>
      </c>
      <c r="M39" s="220"/>
      <c r="N39" s="220"/>
      <c r="O39" s="220"/>
      <c r="P39" s="220"/>
      <c r="Q39" s="220"/>
      <c r="R39" s="220"/>
      <c r="S39" s="220"/>
      <c r="T39" s="220"/>
      <c r="U39" s="220"/>
      <c r="V39" s="220"/>
      <c r="W39" s="220"/>
    </row>
    <row r="40" ht="15.75" customHeight="1" outlineLevel="1">
      <c r="A40" s="211"/>
      <c r="B40" s="212"/>
      <c r="C40" s="213"/>
      <c r="D40" s="214" t="str">
        <f>IFERROR(VLOOKUP($C40,'PORTIFÓLIO'!C:V,2,0),"")</f>
        <v/>
      </c>
      <c r="E40" s="211" t="str">
        <f>IFERROR(VLOOKUP($C40,'PORTIFÓLIO'!C:V,3,0),"")</f>
        <v/>
      </c>
      <c r="F40" s="211" t="str">
        <f>IFERROR(VLOOKUP($C40,'PORTIFÓLIO'!C:V,4,0),"")</f>
        <v/>
      </c>
      <c r="G40" s="215" t="str">
        <f>IFERROR(VLOOKUP($C40,'PORTIFÓLIO'!C:V,5,0),"")</f>
        <v/>
      </c>
      <c r="H40" s="254" t="str">
        <f t="array" ref="H40">IFERROR(INDEX('PORTIFÓLIO'!$H$4:$H$433,MATCH($C40,'PORTIFÓLIO'!$C$4:$C$433,0)),"")</f>
        <v/>
      </c>
      <c r="I40" s="256"/>
      <c r="J40" s="218">
        <f t="shared" si="4"/>
        <v>0</v>
      </c>
      <c r="K40" s="219" t="str">
        <f t="array" ref="K40">IFERROR(I40*INDEX('PORTIFÓLIO'!$S$4:$S$433,MATCH($C40,'PORTIFÓLIO'!$C$4:$C$433,0)),"")</f>
        <v/>
      </c>
      <c r="L40" s="219" t="str">
        <f t="array" ref="L40">IFERROR(J40*INDEX('PORTIFÓLIO'!$S$4:$S$433,MATCH($C40,'PORTIFÓLIO'!$C$4:$C$433,0)),"")</f>
        <v/>
      </c>
      <c r="M40" s="220"/>
      <c r="N40" s="220"/>
      <c r="O40" s="220"/>
      <c r="P40" s="220"/>
      <c r="Q40" s="220"/>
      <c r="R40" s="220"/>
      <c r="S40" s="220"/>
      <c r="T40" s="220"/>
      <c r="U40" s="220"/>
      <c r="V40" s="220"/>
      <c r="W40" s="220"/>
    </row>
    <row r="41" ht="15.75" customHeight="1" outlineLevel="1">
      <c r="A41" s="211"/>
      <c r="B41" s="212"/>
      <c r="C41" s="213"/>
      <c r="D41" s="214" t="str">
        <f>IFERROR(VLOOKUP($C41,'PORTIFÓLIO'!C:V,2,0),"")</f>
        <v/>
      </c>
      <c r="E41" s="211" t="str">
        <f>IFERROR(VLOOKUP($C41,'PORTIFÓLIO'!C:V,3,0),"")</f>
        <v/>
      </c>
      <c r="F41" s="211" t="str">
        <f>IFERROR(VLOOKUP($C41,'PORTIFÓLIO'!C:V,4,0),"")</f>
        <v/>
      </c>
      <c r="G41" s="215" t="str">
        <f>IFERROR(VLOOKUP($C41,'PORTIFÓLIO'!C:V,5,0),"")</f>
        <v/>
      </c>
      <c r="H41" s="254" t="str">
        <f t="array" ref="H41">IFERROR(INDEX('PORTIFÓLIO'!$H$4:$H$433,MATCH($C41,'PORTIFÓLIO'!$C$4:$C$433,0)),"")</f>
        <v/>
      </c>
      <c r="I41" s="256"/>
      <c r="J41" s="218">
        <f t="shared" si="4"/>
        <v>0</v>
      </c>
      <c r="K41" s="219" t="str">
        <f t="array" ref="K41">IFERROR(I41*INDEX('PORTIFÓLIO'!$S$4:$S$433,MATCH($C41,'PORTIFÓLIO'!$C$4:$C$433,0)),"")</f>
        <v/>
      </c>
      <c r="L41" s="219" t="str">
        <f t="array" ref="L41">IFERROR(J41*INDEX('PORTIFÓLIO'!$S$4:$S$433,MATCH($C41,'PORTIFÓLIO'!$C$4:$C$433,0)),"")</f>
        <v/>
      </c>
      <c r="M41" s="220"/>
      <c r="N41" s="220"/>
      <c r="O41" s="220"/>
      <c r="P41" s="220"/>
      <c r="Q41" s="220"/>
      <c r="R41" s="220"/>
      <c r="S41" s="220"/>
      <c r="T41" s="220"/>
      <c r="U41" s="220"/>
      <c r="V41" s="220"/>
      <c r="W41" s="220"/>
    </row>
    <row r="42" ht="15.75" customHeight="1" outlineLevel="1">
      <c r="A42" s="211"/>
      <c r="B42" s="212"/>
      <c r="C42" s="213"/>
      <c r="D42" s="214" t="str">
        <f>IFERROR(VLOOKUP($C42,'PORTIFÓLIO'!C:V,2,0),"")</f>
        <v/>
      </c>
      <c r="E42" s="211" t="str">
        <f>IFERROR(VLOOKUP($C42,'PORTIFÓLIO'!C:V,3,0),"")</f>
        <v/>
      </c>
      <c r="F42" s="211" t="str">
        <f>IFERROR(VLOOKUP($C42,'PORTIFÓLIO'!C:V,4,0),"")</f>
        <v/>
      </c>
      <c r="G42" s="215" t="str">
        <f>IFERROR(VLOOKUP($C42,'PORTIFÓLIO'!C:V,5,0),"")</f>
        <v/>
      </c>
      <c r="H42" s="254" t="str">
        <f t="array" ref="H42">IFERROR(INDEX('PORTIFÓLIO'!$H$4:$H$433,MATCH($C42,'PORTIFÓLIO'!$C$4:$C$433,0)),"")</f>
        <v/>
      </c>
      <c r="I42" s="256"/>
      <c r="J42" s="218">
        <f t="shared" si="4"/>
        <v>0</v>
      </c>
      <c r="K42" s="219" t="str">
        <f t="array" ref="K42">IFERROR(I42*INDEX('PORTIFÓLIO'!$S$4:$S$433,MATCH($C42,'PORTIFÓLIO'!$C$4:$C$433,0)),"")</f>
        <v/>
      </c>
      <c r="L42" s="219" t="str">
        <f t="array" ref="L42">IFERROR(J42*INDEX('PORTIFÓLIO'!$S$4:$S$433,MATCH($C42,'PORTIFÓLIO'!$C$4:$C$433,0)),"")</f>
        <v/>
      </c>
      <c r="M42" s="220"/>
      <c r="N42" s="220"/>
      <c r="O42" s="220"/>
      <c r="P42" s="220"/>
      <c r="Q42" s="220"/>
      <c r="R42" s="220"/>
      <c r="S42" s="220"/>
      <c r="T42" s="220"/>
      <c r="U42" s="220"/>
      <c r="V42" s="220"/>
      <c r="W42" s="220"/>
    </row>
    <row r="43" ht="15.75" customHeight="1" outlineLevel="1">
      <c r="A43" s="211"/>
      <c r="B43" s="212"/>
      <c r="C43" s="213"/>
      <c r="D43" s="214" t="str">
        <f>IFERROR(VLOOKUP($C43,'PORTIFÓLIO'!C:V,2,0),"")</f>
        <v/>
      </c>
      <c r="E43" s="211" t="str">
        <f>IFERROR(VLOOKUP($C43,'PORTIFÓLIO'!C:V,3,0),"")</f>
        <v/>
      </c>
      <c r="F43" s="211" t="str">
        <f>IFERROR(VLOOKUP($C43,'PORTIFÓLIO'!C:V,4,0),"")</f>
        <v/>
      </c>
      <c r="G43" s="215" t="str">
        <f>IFERROR(VLOOKUP($C43,'PORTIFÓLIO'!C:V,5,0),"")</f>
        <v/>
      </c>
      <c r="H43" s="254" t="str">
        <f t="array" ref="H43">IFERROR(INDEX('PORTIFÓLIO'!$H$4:$H$433,MATCH($C43,'PORTIFÓLIO'!$C$4:$C$433,0)),"")</f>
        <v/>
      </c>
      <c r="I43" s="256"/>
      <c r="J43" s="218">
        <f t="shared" si="4"/>
        <v>0</v>
      </c>
      <c r="K43" s="219" t="str">
        <f t="array" ref="K43">IFERROR(I43*INDEX('PORTIFÓLIO'!$S$4:$S$433,MATCH($C43,'PORTIFÓLIO'!$C$4:$C$433,0)),"")</f>
        <v/>
      </c>
      <c r="L43" s="219" t="str">
        <f t="array" ref="L43">IFERROR(J43*INDEX('PORTIFÓLIO'!$S$4:$S$433,MATCH($C43,'PORTIFÓLIO'!$C$4:$C$433,0)),"")</f>
        <v/>
      </c>
      <c r="M43" s="220"/>
      <c r="N43" s="220"/>
      <c r="O43" s="220"/>
      <c r="P43" s="220"/>
      <c r="Q43" s="220"/>
      <c r="R43" s="220"/>
      <c r="S43" s="220"/>
      <c r="T43" s="220"/>
      <c r="U43" s="220"/>
      <c r="V43" s="220"/>
      <c r="W43" s="220"/>
    </row>
    <row r="44" ht="15.75" customHeight="1">
      <c r="A44" s="229" t="s">
        <v>1185</v>
      </c>
      <c r="B44" s="230"/>
      <c r="C44" s="231"/>
      <c r="D44" s="232" t="s">
        <v>216</v>
      </c>
      <c r="E44" s="231"/>
      <c r="F44" s="231"/>
      <c r="G44" s="233"/>
      <c r="H44" s="233"/>
      <c r="I44" s="258"/>
      <c r="J44" s="236"/>
      <c r="K44" s="237">
        <f t="shared" ref="K44:L44" si="5">SUBTOTAL(9,K45:K58)</f>
        <v>134.7822</v>
      </c>
      <c r="L44" s="237">
        <f t="shared" si="5"/>
        <v>5391.288</v>
      </c>
      <c r="M44" s="220"/>
      <c r="N44" s="220"/>
      <c r="O44" s="220"/>
      <c r="P44" s="220"/>
      <c r="Q44" s="220"/>
      <c r="R44" s="220"/>
      <c r="S44" s="220"/>
      <c r="T44" s="220"/>
      <c r="U44" s="220"/>
      <c r="V44" s="220"/>
      <c r="W44" s="220"/>
    </row>
    <row r="45" ht="15.75" customHeight="1" outlineLevel="1">
      <c r="A45" s="213"/>
      <c r="B45" s="212" t="s">
        <v>1</v>
      </c>
      <c r="C45" s="213" t="s">
        <v>683</v>
      </c>
      <c r="D45" s="214" t="str">
        <f>IFERROR(VLOOKUP($C45,'PORTIFÓLIO'!C:V,2,0),"")</f>
        <v>GLUFOSINATO - SAL DE AMONIO</v>
      </c>
      <c r="E45" s="211">
        <f>IFERROR(VLOOKUP($C45,'PORTIFÓLIO'!C:V,3,0),"")</f>
        <v>880</v>
      </c>
      <c r="F45" s="211" t="str">
        <f>IFERROR(VLOOKUP($C45,'PORTIFÓLIO'!C:V,4,0),"")</f>
        <v>L</v>
      </c>
      <c r="G45" s="225" t="str">
        <f>IFERROR(VLOOKUP($C45,'PORTIFÓLIO'!C:V,5,0),"")</f>
        <v>📄 Ver bula</v>
      </c>
      <c r="H45" s="254">
        <f t="array" ref="H45">IFERROR(INDEX('PORTIFÓLIO'!$H$4:$H$433,MATCH($C45,'PORTIFÓLIO'!$C$4:$C$433,0)),"")</f>
        <v>0.5</v>
      </c>
      <c r="I45" s="255">
        <v>0.5</v>
      </c>
      <c r="J45" s="218">
        <f t="shared" ref="J45:J62" si="6">I45*$B$2</f>
        <v>20</v>
      </c>
      <c r="K45" s="219">
        <f t="array" ref="K45">IFERROR(I45*INDEX('PORTIFÓLIO'!$S$4:$S$433,MATCH($C45,'PORTIFÓLIO'!$C$4:$C$433,0)),"")</f>
        <v>23.01917</v>
      </c>
      <c r="L45" s="219">
        <f t="array" ref="L45">IFERROR(J45*INDEX('PORTIFÓLIO'!$S$4:$S$433,MATCH($C45,'PORTIFÓLIO'!$C$4:$C$433,0)),"")</f>
        <v>920.7668</v>
      </c>
      <c r="M45" s="220"/>
      <c r="N45" s="220"/>
      <c r="O45" s="220"/>
      <c r="P45" s="220"/>
      <c r="Q45" s="220"/>
      <c r="R45" s="220"/>
      <c r="S45" s="220"/>
      <c r="T45" s="220"/>
      <c r="U45" s="220"/>
      <c r="V45" s="220"/>
      <c r="W45" s="220"/>
    </row>
    <row r="46" ht="15.75" customHeight="1" outlineLevel="1">
      <c r="A46" s="211"/>
      <c r="B46" s="212" t="s">
        <v>1</v>
      </c>
      <c r="C46" s="213" t="s">
        <v>695</v>
      </c>
      <c r="D46" s="214" t="str">
        <f>IFERROR(VLOOKUP($C46,'PORTIFÓLIO'!C:V,2,0),"")</f>
        <v>DIUROM + SULFENTRAZONA</v>
      </c>
      <c r="E46" s="211" t="str">
        <f>IFERROR(VLOOKUP($C46,'PORTIFÓLIO'!C:V,3,0),"")</f>
        <v>350 + 175</v>
      </c>
      <c r="F46" s="211" t="str">
        <f>IFERROR(VLOOKUP($C46,'PORTIFÓLIO'!C:V,4,0),"")</f>
        <v>L</v>
      </c>
      <c r="G46" s="225" t="str">
        <f>IFERROR(VLOOKUP($C46,'PORTIFÓLIO'!C:V,5,0),"")</f>
        <v>📄 Ver bula</v>
      </c>
      <c r="H46" s="254" t="str">
        <f t="array" ref="H46">IFERROR(INDEX('PORTIFÓLIO'!$H$4:$H$433,MATCH($C46,'PORTIFÓLIO'!$C$4:$C$433,0)),"")</f>
        <v/>
      </c>
      <c r="I46" s="255">
        <v>1.0</v>
      </c>
      <c r="J46" s="218">
        <f t="shared" si="6"/>
        <v>40</v>
      </c>
      <c r="K46" s="219">
        <f t="array" ref="K46">IFERROR(I46*INDEX('PORTIFÓLIO'!$S$4:$S$433,MATCH($C46,'PORTIFÓLIO'!$C$4:$C$433,0)),"")</f>
        <v>68.11118</v>
      </c>
      <c r="L46" s="219">
        <f t="array" ref="L46">IFERROR(J46*INDEX('PORTIFÓLIO'!$S$4:$S$433,MATCH($C46,'PORTIFÓLIO'!$C$4:$C$433,0)),"")</f>
        <v>2724.4472</v>
      </c>
      <c r="M46" s="220"/>
      <c r="N46" s="220"/>
      <c r="O46" s="220"/>
      <c r="P46" s="220"/>
      <c r="Q46" s="220"/>
      <c r="R46" s="220"/>
      <c r="S46" s="220"/>
      <c r="T46" s="220"/>
      <c r="U46" s="220"/>
      <c r="V46" s="220"/>
      <c r="W46" s="220"/>
    </row>
    <row r="47" ht="15.75" customHeight="1" outlineLevel="1">
      <c r="A47" s="211"/>
      <c r="B47" s="212" t="s">
        <v>1</v>
      </c>
      <c r="C47" s="213" t="s">
        <v>728</v>
      </c>
      <c r="D47" s="214" t="str">
        <f>IFERROR(VLOOKUP($C47,'PORTIFÓLIO'!C:V,2,0),"")</f>
        <v>S-METOLACLORO</v>
      </c>
      <c r="E47" s="211">
        <f>IFERROR(VLOOKUP($C47,'PORTIFÓLIO'!C:V,3,0),"")</f>
        <v>960</v>
      </c>
      <c r="F47" s="211" t="str">
        <f>IFERROR(VLOOKUP($C47,'PORTIFÓLIO'!C:V,4,0),"")</f>
        <v>KG</v>
      </c>
      <c r="G47" s="225" t="str">
        <f>IFERROR(VLOOKUP($C47,'PORTIFÓLIO'!C:V,5,0),"")</f>
        <v>📄 Ver bula</v>
      </c>
      <c r="H47" s="254">
        <f t="array" ref="H47">IFERROR(INDEX('PORTIFÓLIO'!$H$4:$H$433,MATCH($C47,'PORTIFÓLIO'!$C$4:$C$433,0)),"")</f>
        <v>2</v>
      </c>
      <c r="I47" s="255">
        <v>1.0</v>
      </c>
      <c r="J47" s="218">
        <f t="shared" si="6"/>
        <v>40</v>
      </c>
      <c r="K47" s="219">
        <f t="array" ref="K47">IFERROR(I47*INDEX('PORTIFÓLIO'!$S$4:$S$433,MATCH($C47,'PORTIFÓLIO'!$C$4:$C$433,0)),"")</f>
        <v>29.1273</v>
      </c>
      <c r="L47" s="219">
        <f t="array" ref="L47">IFERROR(J47*INDEX('PORTIFÓLIO'!$S$4:$S$433,MATCH($C47,'PORTIFÓLIO'!$C$4:$C$433,0)),"")</f>
        <v>1165.092</v>
      </c>
      <c r="M47" s="220"/>
      <c r="N47" s="220"/>
      <c r="O47" s="220"/>
      <c r="P47" s="220"/>
      <c r="Q47" s="220"/>
      <c r="R47" s="220"/>
      <c r="S47" s="220"/>
      <c r="T47" s="220"/>
      <c r="U47" s="220"/>
      <c r="V47" s="220"/>
      <c r="W47" s="220"/>
    </row>
    <row r="48" ht="15.75" customHeight="1" outlineLevel="1">
      <c r="A48" s="211"/>
      <c r="B48" s="212" t="s">
        <v>6</v>
      </c>
      <c r="C48" s="213" t="s">
        <v>354</v>
      </c>
      <c r="D48" s="214" t="str">
        <f>IFERROR(VLOOKUP($C48,'PORTIFÓLIO'!C:V,2,0),"")</f>
        <v>OLEO MINERAL</v>
      </c>
      <c r="E48" s="211">
        <f>IFERROR(VLOOKUP($C48,'PORTIFÓLIO'!C:V,3,0),"")</f>
        <v>761</v>
      </c>
      <c r="F48" s="211" t="str">
        <f>IFERROR(VLOOKUP($C48,'PORTIFÓLIO'!C:V,4,0),"")</f>
        <v>L</v>
      </c>
      <c r="G48" s="225" t="str">
        <f>IFERROR(VLOOKUP($C48,'PORTIFÓLIO'!C:V,5,0),"")</f>
        <v>📄 Ver bula</v>
      </c>
      <c r="H48" s="254">
        <f t="array" ref="H48">IFERROR(INDEX('PORTIFÓLIO'!$H$4:$H$433,MATCH($C48,'PORTIFÓLIO'!$C$4:$C$433,0)),"")</f>
        <v>0.2</v>
      </c>
      <c r="I48" s="255">
        <v>0.2</v>
      </c>
      <c r="J48" s="218">
        <f t="shared" si="6"/>
        <v>8</v>
      </c>
      <c r="K48" s="219">
        <f t="array" ref="K48">IFERROR(I48*INDEX('PORTIFÓLIO'!$S$4:$S$433,MATCH($C48,'PORTIFÓLIO'!$C$4:$C$433,0)),"")</f>
        <v>3.206</v>
      </c>
      <c r="L48" s="219">
        <f t="array" ref="L48">IFERROR(J48*INDEX('PORTIFÓLIO'!$S$4:$S$433,MATCH($C48,'PORTIFÓLIO'!$C$4:$C$433,0)),"")</f>
        <v>128.24</v>
      </c>
      <c r="M48" s="220"/>
      <c r="N48" s="220"/>
      <c r="O48" s="220"/>
      <c r="P48" s="220"/>
      <c r="Q48" s="220"/>
      <c r="R48" s="220"/>
      <c r="S48" s="220"/>
      <c r="T48" s="220"/>
      <c r="U48" s="220"/>
      <c r="V48" s="220"/>
      <c r="W48" s="220"/>
    </row>
    <row r="49" ht="15.75" customHeight="1" outlineLevel="1">
      <c r="A49" s="211"/>
      <c r="B49" s="212" t="s">
        <v>2</v>
      </c>
      <c r="C49" s="213" t="s">
        <v>824</v>
      </c>
      <c r="D49" s="214" t="str">
        <f>IFERROR(VLOOKUP($C49,'PORTIFÓLIO'!C:V,2,0),"")</f>
        <v>CLORANTRANILIPROLE</v>
      </c>
      <c r="E49" s="211">
        <f>IFERROR(VLOOKUP($C49,'PORTIFÓLIO'!C:V,3,0),"")</f>
        <v>200</v>
      </c>
      <c r="F49" s="211" t="str">
        <f>IFERROR(VLOOKUP($C49,'PORTIFÓLIO'!C:V,4,0),"")</f>
        <v>L</v>
      </c>
      <c r="G49" s="225" t="str">
        <f>IFERROR(VLOOKUP($C49,'PORTIFÓLIO'!C:V,5,0),"")</f>
        <v>📄 Ver bula</v>
      </c>
      <c r="H49" s="254">
        <f t="array" ref="H49">IFERROR(INDEX('PORTIFÓLIO'!$H$4:$H$433,MATCH($C49,'PORTIFÓLIO'!$C$4:$C$433,0)),"")</f>
        <v>0.1</v>
      </c>
      <c r="I49" s="255">
        <v>0.04</v>
      </c>
      <c r="J49" s="218">
        <f t="shared" si="6"/>
        <v>1.6</v>
      </c>
      <c r="K49" s="219">
        <f t="array" ref="K49">IFERROR(I49*INDEX('PORTIFÓLIO'!$S$4:$S$433,MATCH($C49,'PORTIFÓLIO'!$C$4:$C$433,0)),"")</f>
        <v>11.31855</v>
      </c>
      <c r="L49" s="219">
        <f t="array" ref="L49">IFERROR(J49*INDEX('PORTIFÓLIO'!$S$4:$S$433,MATCH($C49,'PORTIFÓLIO'!$C$4:$C$433,0)),"")</f>
        <v>452.742</v>
      </c>
      <c r="M49" s="220"/>
      <c r="N49" s="220"/>
      <c r="O49" s="220"/>
      <c r="P49" s="220"/>
      <c r="Q49" s="220"/>
      <c r="R49" s="220"/>
      <c r="S49" s="220"/>
      <c r="T49" s="220"/>
      <c r="U49" s="220"/>
      <c r="V49" s="220"/>
      <c r="W49" s="220"/>
    </row>
    <row r="50" ht="15.75" customHeight="1" outlineLevel="1">
      <c r="A50" s="211"/>
      <c r="B50" s="212"/>
      <c r="C50" s="213"/>
      <c r="D50" s="214" t="str">
        <f>IFERROR(VLOOKUP($C50,'PORTIFÓLIO'!C:V,2,0),"")</f>
        <v/>
      </c>
      <c r="E50" s="211" t="str">
        <f>IFERROR(VLOOKUP($C50,'PORTIFÓLIO'!C:V,3,0),"")</f>
        <v/>
      </c>
      <c r="F50" s="211" t="str">
        <f>IFERROR(VLOOKUP($C50,'PORTIFÓLIO'!C:V,4,0),"")</f>
        <v/>
      </c>
      <c r="G50" s="215" t="str">
        <f>IFERROR(VLOOKUP($C50,'PORTIFÓLIO'!C:V,5,0),"")</f>
        <v/>
      </c>
      <c r="H50" s="254" t="str">
        <f t="array" ref="H50">IFERROR(INDEX('PORTIFÓLIO'!$H$4:$H$433,MATCH($C50,'PORTIFÓLIO'!$C$4:$C$433,0)),"")</f>
        <v/>
      </c>
      <c r="I50" s="255"/>
      <c r="J50" s="218">
        <f t="shared" si="6"/>
        <v>0</v>
      </c>
      <c r="K50" s="219" t="str">
        <f t="array" ref="K50">IFERROR(I50*INDEX('PORTIFÓLIO'!$S$4:$S$433,MATCH($C50,'PORTIFÓLIO'!$C$4:$C$433,0)),"")</f>
        <v/>
      </c>
      <c r="L50" s="219" t="str">
        <f t="array" ref="L50">IFERROR(J50*INDEX('PORTIFÓLIO'!$S$4:$S$433,MATCH($C50,'PORTIFÓLIO'!$C$4:$C$433,0)),"")</f>
        <v/>
      </c>
      <c r="M50" s="220"/>
      <c r="N50" s="220"/>
      <c r="O50" s="220"/>
      <c r="P50" s="220"/>
      <c r="Q50" s="220"/>
      <c r="R50" s="220"/>
      <c r="S50" s="220"/>
      <c r="T50" s="220"/>
      <c r="U50" s="220"/>
      <c r="V50" s="220"/>
      <c r="W50" s="220"/>
    </row>
    <row r="51" ht="15.75" customHeight="1" outlineLevel="1">
      <c r="A51" s="211"/>
      <c r="B51" s="212"/>
      <c r="C51" s="213"/>
      <c r="D51" s="214" t="str">
        <f>IFERROR(VLOOKUP($C51,'PORTIFÓLIO'!C:V,2,0),"")</f>
        <v/>
      </c>
      <c r="E51" s="211" t="str">
        <f>IFERROR(VLOOKUP($C51,'PORTIFÓLIO'!C:V,3,0),"")</f>
        <v/>
      </c>
      <c r="F51" s="211" t="str">
        <f>IFERROR(VLOOKUP($C51,'PORTIFÓLIO'!C:V,4,0),"")</f>
        <v/>
      </c>
      <c r="G51" s="215" t="str">
        <f>IFERROR(VLOOKUP($C51,'PORTIFÓLIO'!C:V,5,0),"")</f>
        <v/>
      </c>
      <c r="H51" s="254" t="str">
        <f t="array" ref="H51">IFERROR(INDEX('PORTIFÓLIO'!$H$4:$H$433,MATCH($C51,'PORTIFÓLIO'!$C$4:$C$433,0)),"")</f>
        <v/>
      </c>
      <c r="I51" s="255"/>
      <c r="J51" s="218">
        <f t="shared" si="6"/>
        <v>0</v>
      </c>
      <c r="K51" s="219" t="str">
        <f t="array" ref="K51">IFERROR(I51*INDEX('PORTIFÓLIO'!$S$4:$S$433,MATCH($C51,'PORTIFÓLIO'!$C$4:$C$433,0)),"")</f>
        <v/>
      </c>
      <c r="L51" s="219" t="str">
        <f t="array" ref="L51">IFERROR(J51*INDEX('PORTIFÓLIO'!$S$4:$S$433,MATCH($C51,'PORTIFÓLIO'!$C$4:$C$433,0)),"")</f>
        <v/>
      </c>
      <c r="M51" s="220"/>
      <c r="N51" s="220"/>
      <c r="O51" s="220"/>
      <c r="P51" s="220"/>
      <c r="Q51" s="220"/>
      <c r="R51" s="220"/>
      <c r="S51" s="220"/>
      <c r="T51" s="220"/>
      <c r="U51" s="220"/>
      <c r="V51" s="220"/>
      <c r="W51" s="220"/>
    </row>
    <row r="52" ht="15.75" customHeight="1" outlineLevel="1">
      <c r="A52" s="211"/>
      <c r="B52" s="212"/>
      <c r="C52" s="213"/>
      <c r="D52" s="214" t="str">
        <f>IFERROR(VLOOKUP($C52,'PORTIFÓLIO'!C:V,2,0),"")</f>
        <v/>
      </c>
      <c r="E52" s="211" t="str">
        <f>IFERROR(VLOOKUP($C52,'PORTIFÓLIO'!C:V,3,0),"")</f>
        <v/>
      </c>
      <c r="F52" s="211" t="str">
        <f>IFERROR(VLOOKUP($C52,'PORTIFÓLIO'!C:V,4,0),"")</f>
        <v/>
      </c>
      <c r="G52" s="215" t="str">
        <f>IFERROR(VLOOKUP($C52,'PORTIFÓLIO'!C:V,5,0),"")</f>
        <v/>
      </c>
      <c r="H52" s="254" t="str">
        <f t="array" ref="H52">IFERROR(INDEX('PORTIFÓLIO'!$H$4:$H$433,MATCH($C52,'PORTIFÓLIO'!$C$4:$C$433,0)),"")</f>
        <v/>
      </c>
      <c r="I52" s="256"/>
      <c r="J52" s="218">
        <f t="shared" si="6"/>
        <v>0</v>
      </c>
      <c r="K52" s="219" t="str">
        <f t="array" ref="K52">IFERROR(I52*INDEX('PORTIFÓLIO'!$S$4:$S$433,MATCH($C52,'PORTIFÓLIO'!$C$4:$C$433,0)),"")</f>
        <v/>
      </c>
      <c r="L52" s="219" t="str">
        <f t="array" ref="L52">IFERROR(J52*INDEX('PORTIFÓLIO'!$S$4:$S$433,MATCH($C52,'PORTIFÓLIO'!$C$4:$C$433,0)),"")</f>
        <v/>
      </c>
      <c r="M52" s="220"/>
      <c r="N52" s="220"/>
      <c r="O52" s="220"/>
      <c r="P52" s="220"/>
      <c r="Q52" s="220"/>
      <c r="R52" s="220"/>
      <c r="S52" s="220"/>
      <c r="T52" s="220"/>
      <c r="U52" s="220"/>
      <c r="V52" s="220"/>
      <c r="W52" s="220"/>
    </row>
    <row r="53" ht="15.75" customHeight="1" outlineLevel="1">
      <c r="A53" s="211"/>
      <c r="B53" s="212"/>
      <c r="C53" s="213"/>
      <c r="D53" s="214" t="str">
        <f>IFERROR(VLOOKUP($C53,'PORTIFÓLIO'!C:V,2,0),"")</f>
        <v/>
      </c>
      <c r="E53" s="211" t="str">
        <f>IFERROR(VLOOKUP($C53,'PORTIFÓLIO'!C:V,3,0),"")</f>
        <v/>
      </c>
      <c r="F53" s="211" t="str">
        <f>IFERROR(VLOOKUP($C53,'PORTIFÓLIO'!C:V,4,0),"")</f>
        <v/>
      </c>
      <c r="G53" s="215" t="str">
        <f>IFERROR(VLOOKUP($C53,'PORTIFÓLIO'!C:V,5,0),"")</f>
        <v/>
      </c>
      <c r="H53" s="254" t="str">
        <f t="array" ref="H53">IFERROR(INDEX('PORTIFÓLIO'!$H$4:$H$433,MATCH($C53,'PORTIFÓLIO'!$C$4:$C$433,0)),"")</f>
        <v/>
      </c>
      <c r="I53" s="255"/>
      <c r="J53" s="218">
        <f t="shared" si="6"/>
        <v>0</v>
      </c>
      <c r="K53" s="219" t="str">
        <f t="array" ref="K53">IFERROR(I53*INDEX('PORTIFÓLIO'!$S$4:$S$433,MATCH($C53,'PORTIFÓLIO'!$C$4:$C$433,0)),"")</f>
        <v/>
      </c>
      <c r="L53" s="219" t="str">
        <f t="array" ref="L53">IFERROR(J53*INDEX('PORTIFÓLIO'!$S$4:$S$433,MATCH($C53,'PORTIFÓLIO'!$C$4:$C$433,0)),"")</f>
        <v/>
      </c>
      <c r="M53" s="220"/>
      <c r="N53" s="220"/>
      <c r="O53" s="220"/>
      <c r="P53" s="220"/>
      <c r="Q53" s="220"/>
      <c r="R53" s="220"/>
      <c r="S53" s="220"/>
      <c r="T53" s="220"/>
      <c r="U53" s="220"/>
      <c r="V53" s="220"/>
      <c r="W53" s="220"/>
    </row>
    <row r="54" ht="15.75" customHeight="1" outlineLevel="1">
      <c r="A54" s="211"/>
      <c r="B54" s="212"/>
      <c r="C54" s="213"/>
      <c r="D54" s="214" t="str">
        <f>IFERROR(VLOOKUP($C54,'PORTIFÓLIO'!C:V,2,0),"")</f>
        <v/>
      </c>
      <c r="E54" s="211" t="str">
        <f>IFERROR(VLOOKUP($C54,'PORTIFÓLIO'!C:V,3,0),"")</f>
        <v/>
      </c>
      <c r="F54" s="211" t="str">
        <f>IFERROR(VLOOKUP($C54,'PORTIFÓLIO'!C:V,4,0),"")</f>
        <v/>
      </c>
      <c r="G54" s="215" t="str">
        <f>IFERROR(VLOOKUP($C54,'PORTIFÓLIO'!C:V,5,0),"")</f>
        <v/>
      </c>
      <c r="H54" s="254" t="str">
        <f t="array" ref="H54">IFERROR(INDEX('PORTIFÓLIO'!$H$4:$H$433,MATCH($C54,'PORTIFÓLIO'!$C$4:$C$433,0)),"")</f>
        <v/>
      </c>
      <c r="I54" s="256"/>
      <c r="J54" s="218">
        <f t="shared" si="6"/>
        <v>0</v>
      </c>
      <c r="K54" s="219" t="str">
        <f t="array" ref="K54">IFERROR(I54*INDEX('PORTIFÓLIO'!$S$4:$S$433,MATCH($C54,'PORTIFÓLIO'!$C$4:$C$433,0)),"")</f>
        <v/>
      </c>
      <c r="L54" s="219" t="str">
        <f t="array" ref="L54">IFERROR(J54*INDEX('PORTIFÓLIO'!$S$4:$S$433,MATCH($C54,'PORTIFÓLIO'!$C$4:$C$433,0)),"")</f>
        <v/>
      </c>
      <c r="M54" s="220"/>
      <c r="N54" s="220"/>
      <c r="O54" s="220"/>
      <c r="P54" s="220"/>
      <c r="Q54" s="220"/>
      <c r="R54" s="220"/>
      <c r="S54" s="220"/>
      <c r="T54" s="220"/>
      <c r="U54" s="220"/>
      <c r="V54" s="220"/>
      <c r="W54" s="220"/>
    </row>
    <row r="55" ht="15.75" customHeight="1" outlineLevel="1">
      <c r="A55" s="211"/>
      <c r="B55" s="212"/>
      <c r="C55" s="213"/>
      <c r="D55" s="214" t="str">
        <f>IFERROR(VLOOKUP($C55,'PORTIFÓLIO'!C:V,2,0),"")</f>
        <v/>
      </c>
      <c r="E55" s="211" t="str">
        <f>IFERROR(VLOOKUP($C55,'PORTIFÓLIO'!C:V,3,0),"")</f>
        <v/>
      </c>
      <c r="F55" s="211" t="str">
        <f>IFERROR(VLOOKUP($C55,'PORTIFÓLIO'!C:V,4,0),"")</f>
        <v/>
      </c>
      <c r="G55" s="215" t="str">
        <f>IFERROR(VLOOKUP($C55,'PORTIFÓLIO'!C:V,5,0),"")</f>
        <v/>
      </c>
      <c r="H55" s="254" t="str">
        <f t="array" ref="H55">IFERROR(INDEX('PORTIFÓLIO'!$H$4:$H$433,MATCH($C55,'PORTIFÓLIO'!$C$4:$C$433,0)),"")</f>
        <v/>
      </c>
      <c r="I55" s="256"/>
      <c r="J55" s="218">
        <f t="shared" si="6"/>
        <v>0</v>
      </c>
      <c r="K55" s="219" t="str">
        <f t="array" ref="K55">IFERROR(I55*INDEX('PORTIFÓLIO'!$S$4:$S$433,MATCH($C55,'PORTIFÓLIO'!$C$4:$C$433,0)),"")</f>
        <v/>
      </c>
      <c r="L55" s="219" t="str">
        <f t="array" ref="L55">IFERROR(J55*INDEX('PORTIFÓLIO'!$S$4:$S$433,MATCH($C55,'PORTIFÓLIO'!$C$4:$C$433,0)),"")</f>
        <v/>
      </c>
      <c r="M55" s="220"/>
      <c r="N55" s="220"/>
      <c r="O55" s="220"/>
      <c r="P55" s="220"/>
      <c r="Q55" s="220"/>
      <c r="R55" s="220"/>
      <c r="S55" s="220"/>
      <c r="T55" s="220"/>
      <c r="U55" s="220"/>
      <c r="V55" s="220"/>
      <c r="W55" s="220"/>
    </row>
    <row r="56" ht="15.75" customHeight="1" outlineLevel="1">
      <c r="A56" s="211"/>
      <c r="B56" s="212"/>
      <c r="C56" s="213"/>
      <c r="D56" s="214" t="str">
        <f>IFERROR(VLOOKUP($C56,'PORTIFÓLIO'!C:V,2,0),"")</f>
        <v/>
      </c>
      <c r="E56" s="211" t="str">
        <f>IFERROR(VLOOKUP($C56,'PORTIFÓLIO'!C:V,3,0),"")</f>
        <v/>
      </c>
      <c r="F56" s="211" t="str">
        <f>IFERROR(VLOOKUP($C56,'PORTIFÓLIO'!C:V,4,0),"")</f>
        <v/>
      </c>
      <c r="G56" s="215" t="str">
        <f>IFERROR(VLOOKUP($C56,'PORTIFÓLIO'!C:V,5,0),"")</f>
        <v/>
      </c>
      <c r="H56" s="254" t="str">
        <f t="array" ref="H56">IFERROR(INDEX('PORTIFÓLIO'!$H$4:$H$433,MATCH($C56,'PORTIFÓLIO'!$C$4:$C$433,0)),"")</f>
        <v/>
      </c>
      <c r="I56" s="256"/>
      <c r="J56" s="218">
        <f t="shared" si="6"/>
        <v>0</v>
      </c>
      <c r="K56" s="219" t="str">
        <f t="array" ref="K56">IFERROR(I56*INDEX('PORTIFÓLIO'!$S$4:$S$433,MATCH($C56,'PORTIFÓLIO'!$C$4:$C$433,0)),"")</f>
        <v/>
      </c>
      <c r="L56" s="219" t="str">
        <f t="array" ref="L56">IFERROR(J56*INDEX('PORTIFÓLIO'!$S$4:$S$433,MATCH($C56,'PORTIFÓLIO'!$C$4:$C$433,0)),"")</f>
        <v/>
      </c>
      <c r="M56" s="220"/>
      <c r="N56" s="220"/>
      <c r="O56" s="220"/>
      <c r="P56" s="220"/>
      <c r="Q56" s="220"/>
      <c r="R56" s="220"/>
      <c r="S56" s="220"/>
      <c r="T56" s="220"/>
      <c r="U56" s="220"/>
      <c r="V56" s="220"/>
      <c r="W56" s="220"/>
    </row>
    <row r="57" ht="15.75" customHeight="1" outlineLevel="1">
      <c r="A57" s="211"/>
      <c r="B57" s="212"/>
      <c r="C57" s="213"/>
      <c r="D57" s="214" t="str">
        <f>IFERROR(VLOOKUP($C57,'PORTIFÓLIO'!C:V,2,0),"")</f>
        <v/>
      </c>
      <c r="E57" s="211" t="str">
        <f>IFERROR(VLOOKUP($C57,'PORTIFÓLIO'!C:V,3,0),"")</f>
        <v/>
      </c>
      <c r="F57" s="211" t="str">
        <f>IFERROR(VLOOKUP($C57,'PORTIFÓLIO'!C:V,4,0),"")</f>
        <v/>
      </c>
      <c r="G57" s="215" t="str">
        <f>IFERROR(VLOOKUP($C57,'PORTIFÓLIO'!C:V,5,0),"")</f>
        <v/>
      </c>
      <c r="H57" s="254" t="str">
        <f t="array" ref="H57">IFERROR(INDEX('PORTIFÓLIO'!$H$4:$H$433,MATCH($C57,'PORTIFÓLIO'!$C$4:$C$433,0)),"")</f>
        <v/>
      </c>
      <c r="I57" s="256"/>
      <c r="J57" s="218">
        <f t="shared" si="6"/>
        <v>0</v>
      </c>
      <c r="K57" s="219" t="str">
        <f t="array" ref="K57">IFERROR(I57*INDEX('PORTIFÓLIO'!$S$4:$S$433,MATCH($C57,'PORTIFÓLIO'!$C$4:$C$433,0)),"")</f>
        <v/>
      </c>
      <c r="L57" s="219" t="str">
        <f t="array" ref="L57">IFERROR(J57*INDEX('PORTIFÓLIO'!$S$4:$S$433,MATCH($C57,'PORTIFÓLIO'!$C$4:$C$433,0)),"")</f>
        <v/>
      </c>
      <c r="M57" s="220"/>
      <c r="N57" s="220"/>
      <c r="O57" s="220"/>
      <c r="P57" s="220"/>
      <c r="Q57" s="220"/>
      <c r="R57" s="220"/>
      <c r="S57" s="220"/>
      <c r="T57" s="220"/>
      <c r="U57" s="220"/>
      <c r="V57" s="220"/>
      <c r="W57" s="220"/>
    </row>
    <row r="58" ht="15.75" customHeight="1" outlineLevel="1">
      <c r="A58" s="211"/>
      <c r="B58" s="212"/>
      <c r="C58" s="213"/>
      <c r="D58" s="214" t="str">
        <f>IFERROR(VLOOKUP($C58,'PORTIFÓLIO'!C:V,2,0),"")</f>
        <v/>
      </c>
      <c r="E58" s="211" t="str">
        <f>IFERROR(VLOOKUP($C58,'PORTIFÓLIO'!C:V,3,0),"")</f>
        <v/>
      </c>
      <c r="F58" s="211" t="str">
        <f>IFERROR(VLOOKUP($C58,'PORTIFÓLIO'!C:V,4,0),"")</f>
        <v/>
      </c>
      <c r="G58" s="215" t="str">
        <f>IFERROR(VLOOKUP($C58,'PORTIFÓLIO'!C:V,5,0),"")</f>
        <v/>
      </c>
      <c r="H58" s="254" t="str">
        <f t="array" ref="H58">IFERROR(INDEX('PORTIFÓLIO'!$H$4:$H$433,MATCH($C58,'PORTIFÓLIO'!$C$4:$C$433,0)),"")</f>
        <v/>
      </c>
      <c r="I58" s="256"/>
      <c r="J58" s="218">
        <f t="shared" si="6"/>
        <v>0</v>
      </c>
      <c r="K58" s="219" t="str">
        <f t="array" ref="K58">IFERROR(I58*INDEX('PORTIFÓLIO'!$S$4:$S$433,MATCH($C58,'PORTIFÓLIO'!$C$4:$C$433,0)),"")</f>
        <v/>
      </c>
      <c r="L58" s="219" t="str">
        <f t="array" ref="L58">IFERROR(J58*INDEX('PORTIFÓLIO'!$S$4:$S$433,MATCH($C58,'PORTIFÓLIO'!$C$4:$C$433,0)),"")</f>
        <v/>
      </c>
      <c r="M58" s="220"/>
      <c r="N58" s="220"/>
      <c r="O58" s="220"/>
      <c r="P58" s="220"/>
      <c r="Q58" s="220"/>
      <c r="R58" s="220"/>
      <c r="S58" s="220"/>
      <c r="T58" s="220"/>
      <c r="U58" s="220"/>
      <c r="V58" s="220"/>
      <c r="W58" s="220"/>
    </row>
    <row r="59" ht="15.75" customHeight="1" outlineLevel="1">
      <c r="A59" s="211"/>
      <c r="B59" s="212"/>
      <c r="C59" s="213"/>
      <c r="D59" s="214" t="str">
        <f>IFERROR(VLOOKUP($C59,'PORTIFÓLIO'!C:V,2,0),"")</f>
        <v/>
      </c>
      <c r="E59" s="211" t="str">
        <f>IFERROR(VLOOKUP($C59,'PORTIFÓLIO'!C:V,3,0),"")</f>
        <v/>
      </c>
      <c r="F59" s="211" t="str">
        <f>IFERROR(VLOOKUP($C59,'PORTIFÓLIO'!C:V,4,0),"")</f>
        <v/>
      </c>
      <c r="G59" s="215" t="str">
        <f>IFERROR(VLOOKUP($C59,'PORTIFÓLIO'!C:V,5,0),"")</f>
        <v/>
      </c>
      <c r="H59" s="254" t="str">
        <f t="array" ref="H59">IFERROR(INDEX('PORTIFÓLIO'!$H$4:$H$433,MATCH($C59,'PORTIFÓLIO'!$C$4:$C$433,0)),"")</f>
        <v/>
      </c>
      <c r="I59" s="256"/>
      <c r="J59" s="218">
        <f t="shared" si="6"/>
        <v>0</v>
      </c>
      <c r="K59" s="219" t="str">
        <f t="array" ref="K59">IFERROR(I59*INDEX('PORTIFÓLIO'!$S$4:$S$433,MATCH($C59,'PORTIFÓLIO'!$C$4:$C$433,0)),"")</f>
        <v/>
      </c>
      <c r="L59" s="219" t="str">
        <f t="array" ref="L59">IFERROR(J59*INDEX('PORTIFÓLIO'!$S$4:$S$433,MATCH($C59,'PORTIFÓLIO'!$C$4:$C$433,0)),"")</f>
        <v/>
      </c>
      <c r="M59" s="220"/>
      <c r="N59" s="220"/>
      <c r="O59" s="220"/>
      <c r="P59" s="220"/>
      <c r="Q59" s="220"/>
      <c r="R59" s="220"/>
      <c r="S59" s="220"/>
      <c r="T59" s="220"/>
      <c r="U59" s="220"/>
      <c r="V59" s="220"/>
      <c r="W59" s="220"/>
    </row>
    <row r="60" ht="15.75" customHeight="1" outlineLevel="1">
      <c r="A60" s="211"/>
      <c r="B60" s="212"/>
      <c r="C60" s="213"/>
      <c r="D60" s="214" t="str">
        <f>IFERROR(VLOOKUP($C60,'PORTIFÓLIO'!C:V,2,0),"")</f>
        <v/>
      </c>
      <c r="E60" s="211" t="str">
        <f>IFERROR(VLOOKUP($C60,'PORTIFÓLIO'!C:V,3,0),"")</f>
        <v/>
      </c>
      <c r="F60" s="211" t="str">
        <f>IFERROR(VLOOKUP($C60,'PORTIFÓLIO'!C:V,4,0),"")</f>
        <v/>
      </c>
      <c r="G60" s="215" t="str">
        <f>IFERROR(VLOOKUP($C60,'PORTIFÓLIO'!C:V,5,0),"")</f>
        <v/>
      </c>
      <c r="H60" s="254" t="str">
        <f t="array" ref="H60">IFERROR(INDEX('PORTIFÓLIO'!$H$4:$H$433,MATCH($C60,'PORTIFÓLIO'!$C$4:$C$433,0)),"")</f>
        <v/>
      </c>
      <c r="I60" s="256"/>
      <c r="J60" s="218">
        <f t="shared" si="6"/>
        <v>0</v>
      </c>
      <c r="K60" s="219" t="str">
        <f t="array" ref="K60">IFERROR(I60*INDEX('PORTIFÓLIO'!$S$4:$S$433,MATCH($C60,'PORTIFÓLIO'!$C$4:$C$433,0)),"")</f>
        <v/>
      </c>
      <c r="L60" s="219" t="str">
        <f t="array" ref="L60">IFERROR(J60*INDEX('PORTIFÓLIO'!$S$4:$S$433,MATCH($C60,'PORTIFÓLIO'!$C$4:$C$433,0)),"")</f>
        <v/>
      </c>
      <c r="M60" s="220"/>
      <c r="N60" s="220"/>
      <c r="O60" s="220"/>
      <c r="P60" s="220"/>
      <c r="Q60" s="220"/>
      <c r="R60" s="220"/>
      <c r="S60" s="220"/>
      <c r="T60" s="220"/>
      <c r="U60" s="220"/>
      <c r="V60" s="220"/>
      <c r="W60" s="220"/>
    </row>
    <row r="61" ht="15.75" customHeight="1" outlineLevel="1">
      <c r="A61" s="211"/>
      <c r="B61" s="212"/>
      <c r="C61" s="213"/>
      <c r="D61" s="214" t="str">
        <f>IFERROR(VLOOKUP($C61,'PORTIFÓLIO'!C:V,2,0),"")</f>
        <v/>
      </c>
      <c r="E61" s="211" t="str">
        <f>IFERROR(VLOOKUP($C61,'PORTIFÓLIO'!C:V,3,0),"")</f>
        <v/>
      </c>
      <c r="F61" s="211" t="str">
        <f>IFERROR(VLOOKUP($C61,'PORTIFÓLIO'!C:V,4,0),"")</f>
        <v/>
      </c>
      <c r="G61" s="215" t="str">
        <f>IFERROR(VLOOKUP($C61,'PORTIFÓLIO'!C:V,5,0),"")</f>
        <v/>
      </c>
      <c r="H61" s="254" t="str">
        <f t="array" ref="H61">IFERROR(INDEX('PORTIFÓLIO'!$H$4:$H$433,MATCH($C61,'PORTIFÓLIO'!$C$4:$C$433,0)),"")</f>
        <v/>
      </c>
      <c r="I61" s="256"/>
      <c r="J61" s="218">
        <f t="shared" si="6"/>
        <v>0</v>
      </c>
      <c r="K61" s="219" t="str">
        <f t="array" ref="K61">IFERROR(I61*INDEX('PORTIFÓLIO'!$S$4:$S$433,MATCH($C61,'PORTIFÓLIO'!$C$4:$C$433,0)),"")</f>
        <v/>
      </c>
      <c r="L61" s="219" t="str">
        <f t="array" ref="L61">IFERROR(J61*INDEX('PORTIFÓLIO'!$S$4:$S$433,MATCH($C61,'PORTIFÓLIO'!$C$4:$C$433,0)),"")</f>
        <v/>
      </c>
      <c r="M61" s="220"/>
      <c r="N61" s="220"/>
      <c r="O61" s="220"/>
      <c r="P61" s="220"/>
      <c r="Q61" s="220"/>
      <c r="R61" s="220"/>
      <c r="S61" s="220"/>
      <c r="T61" s="220"/>
      <c r="U61" s="220"/>
      <c r="V61" s="220"/>
      <c r="W61" s="220"/>
    </row>
    <row r="62" ht="15.75" customHeight="1" outlineLevel="1">
      <c r="A62" s="211"/>
      <c r="B62" s="212"/>
      <c r="C62" s="213"/>
      <c r="D62" s="214" t="str">
        <f>IFERROR(VLOOKUP($C62,'PORTIFÓLIO'!C:V,2,0),"")</f>
        <v/>
      </c>
      <c r="E62" s="211" t="str">
        <f>IFERROR(VLOOKUP($C62,'PORTIFÓLIO'!C:V,3,0),"")</f>
        <v/>
      </c>
      <c r="F62" s="211" t="str">
        <f>IFERROR(VLOOKUP($C62,'PORTIFÓLIO'!C:V,4,0),"")</f>
        <v/>
      </c>
      <c r="G62" s="215" t="str">
        <f>IFERROR(VLOOKUP($C62,'PORTIFÓLIO'!C:V,5,0),"")</f>
        <v/>
      </c>
      <c r="H62" s="254" t="str">
        <f t="array" ref="H62">IFERROR(INDEX('PORTIFÓLIO'!$H$4:$H$433,MATCH($C62,'PORTIFÓLIO'!$C$4:$C$433,0)),"")</f>
        <v/>
      </c>
      <c r="I62" s="256"/>
      <c r="J62" s="218">
        <f t="shared" si="6"/>
        <v>0</v>
      </c>
      <c r="K62" s="219" t="str">
        <f t="array" ref="K62">IFERROR(I62*INDEX('PORTIFÓLIO'!$S$4:$S$433,MATCH($C62,'PORTIFÓLIO'!$C$4:$C$433,0)),"")</f>
        <v/>
      </c>
      <c r="L62" s="219" t="str">
        <f t="array" ref="L62">IFERROR(J62*INDEX('PORTIFÓLIO'!$S$4:$S$433,MATCH($C62,'PORTIFÓLIO'!$C$4:$C$433,0)),"")</f>
        <v/>
      </c>
      <c r="M62" s="220"/>
      <c r="N62" s="220"/>
      <c r="O62" s="220"/>
      <c r="P62" s="220"/>
      <c r="Q62" s="220"/>
      <c r="R62" s="220"/>
      <c r="S62" s="220"/>
      <c r="T62" s="220"/>
      <c r="U62" s="220"/>
      <c r="V62" s="220"/>
      <c r="W62" s="220"/>
    </row>
    <row r="63" ht="15.75" customHeight="1">
      <c r="A63" s="229" t="s">
        <v>1186</v>
      </c>
      <c r="B63" s="230"/>
      <c r="C63" s="231"/>
      <c r="D63" s="232"/>
      <c r="E63" s="231"/>
      <c r="F63" s="231"/>
      <c r="G63" s="233"/>
      <c r="H63" s="233"/>
      <c r="I63" s="258"/>
      <c r="J63" s="236"/>
      <c r="K63" s="237">
        <f t="shared" ref="K63:L63" si="7">SUBTOTAL(9,K64:K76)</f>
        <v>442.19122</v>
      </c>
      <c r="L63" s="237">
        <f t="shared" si="7"/>
        <v>17687.6488</v>
      </c>
      <c r="M63" s="220"/>
      <c r="N63" s="220"/>
      <c r="O63" s="220"/>
      <c r="P63" s="220"/>
      <c r="Q63" s="220"/>
      <c r="R63" s="220"/>
      <c r="S63" s="220"/>
      <c r="T63" s="220"/>
      <c r="U63" s="220"/>
      <c r="V63" s="220"/>
      <c r="W63" s="220"/>
    </row>
    <row r="64" ht="15.75" customHeight="1" outlineLevel="1">
      <c r="A64" s="213"/>
      <c r="B64" s="212" t="s">
        <v>5</v>
      </c>
      <c r="C64" s="213" t="s">
        <v>1057</v>
      </c>
      <c r="D64" s="214" t="str">
        <f>IFERROR(VLOOKUP($C64,'PORTIFÓLIO'!C:V,2,0),"")</f>
        <v/>
      </c>
      <c r="E64" s="211" t="str">
        <f>IFERROR(VLOOKUP($C64,'PORTIFÓLIO'!C:V,3,0),"")</f>
        <v/>
      </c>
      <c r="F64" s="211" t="str">
        <f>IFERROR(VLOOKUP($C64,'PORTIFÓLIO'!C:V,4,0),"")</f>
        <v>5MM</v>
      </c>
      <c r="G64" s="225" t="str">
        <f>IFERROR(VLOOKUP($C64,'PORTIFÓLIO'!C:V,5,0),"")</f>
        <v>📄 Ver bula</v>
      </c>
      <c r="H64" s="254" t="str">
        <f t="array" ref="H64">IFERROR(INDEX('PORTIFÓLIO'!$H$4:$H$433,MATCH($C64,'PORTIFÓLIO'!$C$4:$C$433,0)),"")</f>
        <v/>
      </c>
      <c r="I64" s="255">
        <v>0.04</v>
      </c>
      <c r="J64" s="218">
        <f t="shared" ref="J64:J80" si="8">I64*$B$2</f>
        <v>1.6</v>
      </c>
      <c r="K64" s="219">
        <f t="array" ref="K64">IFERROR(I64*INDEX('PORTIFÓLIO'!$S$4:$S$433,MATCH($C64,'PORTIFÓLIO'!$C$4:$C$433,0)),"")</f>
        <v>0</v>
      </c>
      <c r="L64" s="219">
        <f t="array" ref="L64">IFERROR(J64*INDEX('PORTIFÓLIO'!$S$4:$S$433,MATCH($C64,'PORTIFÓLIO'!$C$4:$C$433,0)),"")</f>
        <v>0</v>
      </c>
      <c r="M64" s="220"/>
      <c r="N64" s="220"/>
      <c r="O64" s="220"/>
      <c r="P64" s="220"/>
      <c r="Q64" s="220"/>
      <c r="R64" s="220"/>
      <c r="S64" s="220"/>
      <c r="T64" s="220"/>
      <c r="U64" s="220"/>
      <c r="V64" s="220"/>
      <c r="W64" s="220"/>
    </row>
    <row r="65" ht="15.75" customHeight="1" outlineLevel="1">
      <c r="A65" s="211"/>
      <c r="B65" s="212" t="s">
        <v>3</v>
      </c>
      <c r="C65" s="213" t="s">
        <v>1011</v>
      </c>
      <c r="D65" s="214" t="str">
        <f>IFERROR(VLOOKUP($C65,'PORTIFÓLIO'!C:V,2,0),"")</f>
        <v>METALAXIL-M + TIABENDAZOL + FLUDIOXONIL +
 TIAMETOXAM</v>
      </c>
      <c r="E65" s="211" t="str">
        <f>IFERROR(VLOOKUP($C65,'PORTIFÓLIO'!C:V,3,0),"")</f>
        <v>20 + 150 + 25 + 350</v>
      </c>
      <c r="F65" s="211" t="str">
        <f>IFERROR(VLOOKUP($C65,'PORTIFÓLIO'!C:V,4,0),"")</f>
        <v/>
      </c>
      <c r="G65" s="225" t="str">
        <f>IFERROR(VLOOKUP($C65,'PORTIFÓLIO'!C:V,5,0),"")</f>
        <v>📄 Ver bula</v>
      </c>
      <c r="H65" s="254">
        <f t="array" ref="H65">IFERROR(INDEX('PORTIFÓLIO'!$H$4:$H$433,MATCH($C65,'PORTIFÓLIO'!$C$4:$C$433,0)),"")</f>
        <v>0.05</v>
      </c>
      <c r="I65" s="255">
        <v>0.05</v>
      </c>
      <c r="J65" s="218">
        <f t="shared" si="8"/>
        <v>2</v>
      </c>
      <c r="K65" s="219">
        <f t="array" ref="K65">IFERROR(I65*INDEX('PORTIFÓLIO'!$S$4:$S$433,MATCH($C65,'PORTIFÓLIO'!$C$4:$C$433,0)),"")</f>
        <v>25.27</v>
      </c>
      <c r="L65" s="219">
        <f t="array" ref="L65">IFERROR(J65*INDEX('PORTIFÓLIO'!$S$4:$S$433,MATCH($C65,'PORTIFÓLIO'!$C$4:$C$433,0)),"")</f>
        <v>1010.8</v>
      </c>
      <c r="M65" s="220"/>
      <c r="N65" s="220"/>
      <c r="O65" s="220"/>
      <c r="P65" s="220"/>
      <c r="Q65" s="220"/>
      <c r="R65" s="220"/>
      <c r="S65" s="220"/>
      <c r="T65" s="220"/>
      <c r="U65" s="220"/>
      <c r="V65" s="220"/>
      <c r="W65" s="220"/>
    </row>
    <row r="66" ht="15.75" customHeight="1" outlineLevel="1">
      <c r="A66" s="211"/>
      <c r="B66" s="212" t="s">
        <v>3</v>
      </c>
      <c r="C66" s="213" t="s">
        <v>1007</v>
      </c>
      <c r="D66" s="214" t="str">
        <f>IFERROR(VLOOKUP($C66,'PORTIFÓLIO'!C:V,2,0),"")</f>
        <v>DIFENOCONAZOL</v>
      </c>
      <c r="E66" s="211">
        <f>IFERROR(VLOOKUP($C66,'PORTIFÓLIO'!C:V,3,0),"")</f>
        <v>150</v>
      </c>
      <c r="F66" s="211" t="str">
        <f>IFERROR(VLOOKUP($C66,'PORTIFÓLIO'!C:V,4,0),"")</f>
        <v/>
      </c>
      <c r="G66" s="225" t="str">
        <f>IFERROR(VLOOKUP($C66,'PORTIFÓLIO'!C:V,5,0),"")</f>
        <v>📄 Ver bula</v>
      </c>
      <c r="H66" s="254">
        <f t="array" ref="H66">IFERROR(INDEX('PORTIFÓLIO'!$H$4:$H$433,MATCH($C66,'PORTIFÓLIO'!$C$4:$C$433,0)),"")</f>
        <v>0.015</v>
      </c>
      <c r="I66" s="255">
        <v>0.02</v>
      </c>
      <c r="J66" s="218">
        <f t="shared" si="8"/>
        <v>0.8</v>
      </c>
      <c r="K66" s="219">
        <f t="array" ref="K66">IFERROR(I66*INDEX('PORTIFÓLIO'!$S$4:$S$433,MATCH($C66,'PORTIFÓLIO'!$C$4:$C$433,0)),"")</f>
        <v>1.78486</v>
      </c>
      <c r="L66" s="219">
        <f t="array" ref="L66">IFERROR(J66*INDEX('PORTIFÓLIO'!$S$4:$S$433,MATCH($C66,'PORTIFÓLIO'!$C$4:$C$433,0)),"")</f>
        <v>71.3944</v>
      </c>
      <c r="M66" s="220"/>
      <c r="N66" s="220"/>
      <c r="O66" s="220"/>
      <c r="P66" s="220"/>
      <c r="Q66" s="220"/>
      <c r="R66" s="220"/>
      <c r="S66" s="220"/>
      <c r="T66" s="220"/>
      <c r="U66" s="220"/>
      <c r="V66" s="220"/>
      <c r="W66" s="220"/>
    </row>
    <row r="67" ht="15.75" customHeight="1" outlineLevel="1">
      <c r="A67" s="211"/>
      <c r="B67" s="212" t="s">
        <v>3</v>
      </c>
      <c r="C67" s="213" t="s">
        <v>1005</v>
      </c>
      <c r="D67" s="214" t="str">
        <f>IFERROR(VLOOKUP($C67,'PORTIFÓLIO'!C:V,2,0),"")</f>
        <v>CICLOBUTRIFLURAM</v>
      </c>
      <c r="E67" s="211">
        <f>IFERROR(VLOOKUP($C67,'PORTIFÓLIO'!C:V,3,0),"")</f>
        <v>500</v>
      </c>
      <c r="F67" s="211" t="str">
        <f>IFERROR(VLOOKUP($C67,'PORTIFÓLIO'!C:V,4,0),"")</f>
        <v/>
      </c>
      <c r="G67" s="225" t="str">
        <f>IFERROR(VLOOKUP($C67,'PORTIFÓLIO'!C:V,5,0),"")</f>
        <v>📄 Ver bula</v>
      </c>
      <c r="H67" s="254">
        <f t="array" ref="H67">IFERROR(INDEX('PORTIFÓLIO'!$H$4:$H$433,MATCH($C67,'PORTIFÓLIO'!$C$4:$C$433,0)),"")</f>
        <v>0.02</v>
      </c>
      <c r="I67" s="255">
        <v>0.04</v>
      </c>
      <c r="J67" s="218">
        <f t="shared" si="8"/>
        <v>1.6</v>
      </c>
      <c r="K67" s="219">
        <f t="array" ref="K67">IFERROR(I67*INDEX('PORTIFÓLIO'!$S$4:$S$433,MATCH($C67,'PORTIFÓLIO'!$C$4:$C$433,0)),"")</f>
        <v>175.41636</v>
      </c>
      <c r="L67" s="219">
        <f t="array" ref="L67">IFERROR(J67*INDEX('PORTIFÓLIO'!$S$4:$S$433,MATCH($C67,'PORTIFÓLIO'!$C$4:$C$433,0)),"")</f>
        <v>7016.6544</v>
      </c>
      <c r="M67" s="220"/>
      <c r="N67" s="220"/>
      <c r="O67" s="220"/>
      <c r="P67" s="220"/>
      <c r="Q67" s="220"/>
      <c r="R67" s="220"/>
      <c r="S67" s="220"/>
      <c r="T67" s="220"/>
      <c r="U67" s="220"/>
      <c r="V67" s="220"/>
      <c r="W67" s="220"/>
    </row>
    <row r="68" ht="15.75" customHeight="1" outlineLevel="1">
      <c r="A68" s="211"/>
      <c r="B68" s="212" t="s">
        <v>4</v>
      </c>
      <c r="C68" s="213" t="s">
        <v>1094</v>
      </c>
      <c r="D68" s="214" t="str">
        <f>IFERROR(VLOOKUP($C68,'PORTIFÓLIO'!C:V,2,0),"")</f>
        <v>Bradyrhizobium sp.</v>
      </c>
      <c r="E68" s="211" t="str">
        <f>IFERROR(VLOOKUP($C68,'PORTIFÓLIO'!C:V,3,0),"")</f>
        <v/>
      </c>
      <c r="F68" s="211" t="str">
        <f>IFERROR(VLOOKUP($C68,'PORTIFÓLIO'!C:V,4,0),"")</f>
        <v>L</v>
      </c>
      <c r="G68" s="225" t="str">
        <f>IFERROR(VLOOKUP($C68,'PORTIFÓLIO'!C:V,5,0),"")</f>
        <v>📄 Ver bula</v>
      </c>
      <c r="H68" s="254">
        <f t="array" ref="H68">IFERROR(INDEX('PORTIFÓLIO'!$H$4:$H$433,MATCH($C68,'PORTIFÓLIO'!$C$4:$C$433,0)),"")</f>
        <v>2</v>
      </c>
      <c r="I68" s="255">
        <v>4.0</v>
      </c>
      <c r="J68" s="218">
        <f t="shared" si="8"/>
        <v>160</v>
      </c>
      <c r="K68" s="219">
        <f t="array" ref="K68">IFERROR(I68*INDEX('PORTIFÓLIO'!$S$4:$S$433,MATCH($C68,'PORTIFÓLIO'!$C$4:$C$433,0)),"")</f>
        <v>104</v>
      </c>
      <c r="L68" s="219">
        <f t="array" ref="L68">IFERROR(J68*INDEX('PORTIFÓLIO'!$S$4:$S$433,MATCH($C68,'PORTIFÓLIO'!$C$4:$C$433,0)),"")</f>
        <v>4160</v>
      </c>
      <c r="M68" s="220"/>
      <c r="N68" s="220"/>
      <c r="O68" s="220"/>
      <c r="P68" s="220"/>
      <c r="Q68" s="220"/>
      <c r="R68" s="220"/>
      <c r="S68" s="220"/>
      <c r="T68" s="220"/>
      <c r="U68" s="220"/>
      <c r="V68" s="220"/>
      <c r="W68" s="220"/>
    </row>
    <row r="69" ht="15.75" customHeight="1" outlineLevel="1">
      <c r="A69" s="211"/>
      <c r="B69" s="212" t="s">
        <v>4</v>
      </c>
      <c r="C69" s="213" t="s">
        <v>1092</v>
      </c>
      <c r="D69" s="214" t="str">
        <f>IFERROR(VLOOKUP($C69,'PORTIFÓLIO'!C:V,2,0),"")</f>
        <v>Azospirillum brasiliense</v>
      </c>
      <c r="E69" s="211" t="str">
        <f>IFERROR(VLOOKUP($C69,'PORTIFÓLIO'!C:V,3,0),"")</f>
        <v/>
      </c>
      <c r="F69" s="211" t="str">
        <f>IFERROR(VLOOKUP($C69,'PORTIFÓLIO'!C:V,4,0),"")</f>
        <v>L</v>
      </c>
      <c r="G69" s="225" t="str">
        <f>IFERROR(VLOOKUP($C69,'PORTIFÓLIO'!C:V,5,0),"")</f>
        <v>📄 Ver bula</v>
      </c>
      <c r="H69" s="254">
        <f t="array" ref="H69">IFERROR(INDEX('PORTIFÓLIO'!$H$4:$H$433,MATCH($C69,'PORTIFÓLIO'!$C$4:$C$433,0)),"")</f>
        <v>2</v>
      </c>
      <c r="I69" s="255">
        <v>1.0</v>
      </c>
      <c r="J69" s="218">
        <f t="shared" si="8"/>
        <v>40</v>
      </c>
      <c r="K69" s="219">
        <f t="array" ref="K69">IFERROR(I69*INDEX('PORTIFÓLIO'!$S$4:$S$433,MATCH($C69,'PORTIFÓLIO'!$C$4:$C$433,0)),"")</f>
        <v>36.4</v>
      </c>
      <c r="L69" s="219">
        <f t="array" ref="L69">IFERROR(J69*INDEX('PORTIFÓLIO'!$S$4:$S$433,MATCH($C69,'PORTIFÓLIO'!$C$4:$C$433,0)),"")</f>
        <v>1456</v>
      </c>
      <c r="M69" s="220"/>
      <c r="N69" s="220"/>
      <c r="O69" s="220"/>
      <c r="P69" s="220"/>
      <c r="Q69" s="220"/>
      <c r="R69" s="220"/>
      <c r="S69" s="220"/>
      <c r="T69" s="220"/>
      <c r="U69" s="220"/>
      <c r="V69" s="220"/>
      <c r="W69" s="220"/>
    </row>
    <row r="70" ht="15.75" customHeight="1" outlineLevel="1">
      <c r="A70" s="211"/>
      <c r="B70" s="212" t="s">
        <v>4</v>
      </c>
      <c r="C70" s="213" t="s">
        <v>1107</v>
      </c>
      <c r="D70" s="214" t="str">
        <f>IFERROR(VLOOKUP($C70,'PORTIFÓLIO'!C:V,2,0),"")</f>
        <v>Priestia aryabhattai</v>
      </c>
      <c r="E70" s="211" t="str">
        <f>IFERROR(VLOOKUP($C70,'PORTIFÓLIO'!C:V,3,0),"")</f>
        <v/>
      </c>
      <c r="F70" s="211" t="str">
        <f>IFERROR(VLOOKUP($C70,'PORTIFÓLIO'!C:V,4,0),"")</f>
        <v/>
      </c>
      <c r="G70" s="225" t="str">
        <f>IFERROR(VLOOKUP($C70,'PORTIFÓLIO'!C:V,5,0),"")</f>
        <v>📄 Ver bula</v>
      </c>
      <c r="H70" s="254">
        <f t="array" ref="H70">IFERROR(INDEX('PORTIFÓLIO'!$H$4:$H$433,MATCH($C70,'PORTIFÓLIO'!$C$4:$C$433,0)),"")</f>
        <v>2</v>
      </c>
      <c r="I70" s="255">
        <v>1.0</v>
      </c>
      <c r="J70" s="218">
        <f t="shared" si="8"/>
        <v>40</v>
      </c>
      <c r="K70" s="219">
        <f t="array" ref="K70">IFERROR(I70*INDEX('PORTIFÓLIO'!$S$4:$S$433,MATCH($C70,'PORTIFÓLIO'!$C$4:$C$433,0)),"")</f>
        <v>81.12</v>
      </c>
      <c r="L70" s="219">
        <f t="array" ref="L70">IFERROR(J70*INDEX('PORTIFÓLIO'!$S$4:$S$433,MATCH($C70,'PORTIFÓLIO'!$C$4:$C$433,0)),"")</f>
        <v>3244.8</v>
      </c>
      <c r="M70" s="220"/>
      <c r="N70" s="220"/>
      <c r="O70" s="220"/>
      <c r="P70" s="220"/>
      <c r="Q70" s="220"/>
      <c r="R70" s="220"/>
      <c r="S70" s="220"/>
      <c r="T70" s="220"/>
      <c r="U70" s="220"/>
      <c r="V70" s="220"/>
      <c r="W70" s="220"/>
    </row>
    <row r="71" ht="15.75" customHeight="1" outlineLevel="1">
      <c r="A71" s="211"/>
      <c r="B71" s="212" t="s">
        <v>4</v>
      </c>
      <c r="C71" s="213" t="s">
        <v>1187</v>
      </c>
      <c r="D71" s="214" t="str">
        <f>IFERROR(VLOOKUP($C71,'PORTIFÓLIO'!C:V,2,0),"")</f>
        <v/>
      </c>
      <c r="E71" s="211" t="str">
        <f>IFERROR(VLOOKUP($C71,'PORTIFÓLIO'!C:V,3,0),"")</f>
        <v/>
      </c>
      <c r="F71" s="211" t="str">
        <f>IFERROR(VLOOKUP($C71,'PORTIFÓLIO'!C:V,4,0),"")</f>
        <v/>
      </c>
      <c r="G71" s="215" t="str">
        <f>IFERROR(VLOOKUP($C71,'PORTIFÓLIO'!C:V,5,0),"")</f>
        <v/>
      </c>
      <c r="H71" s="254" t="str">
        <f t="array" ref="H71">IFERROR(INDEX('PORTIFÓLIO'!$H$4:$H$433,MATCH($C71,'PORTIFÓLIO'!$C$4:$C$433,0)),"")</f>
        <v/>
      </c>
      <c r="I71" s="255">
        <v>1.0</v>
      </c>
      <c r="J71" s="218">
        <f t="shared" si="8"/>
        <v>40</v>
      </c>
      <c r="K71" s="219" t="str">
        <f t="array" ref="K71">IFERROR(I71*INDEX('PORTIFÓLIO'!$S$4:$S$433,MATCH($C71,'PORTIFÓLIO'!$C$4:$C$433,0)),"")</f>
        <v/>
      </c>
      <c r="L71" s="219" t="str">
        <f t="array" ref="L71">IFERROR(J71*INDEX('PORTIFÓLIO'!$S$4:$S$433,MATCH($C71,'PORTIFÓLIO'!$C$4:$C$433,0)),"")</f>
        <v/>
      </c>
      <c r="M71" s="220"/>
      <c r="N71" s="220"/>
      <c r="O71" s="220"/>
      <c r="P71" s="220"/>
      <c r="Q71" s="220"/>
      <c r="R71" s="220"/>
      <c r="S71" s="220"/>
      <c r="T71" s="220"/>
      <c r="U71" s="220"/>
      <c r="V71" s="220"/>
      <c r="W71" s="220"/>
    </row>
    <row r="72" ht="15.75" customHeight="1" outlineLevel="1">
      <c r="A72" s="211"/>
      <c r="B72" s="212" t="s">
        <v>9</v>
      </c>
      <c r="C72" s="213" t="s">
        <v>1115</v>
      </c>
      <c r="D72" s="214" t="str">
        <f>IFERROR(VLOOKUP($C72,'PORTIFÓLIO'!C:V,2,0),"")</f>
        <v>Nutrifarm</v>
      </c>
      <c r="E72" s="211" t="str">
        <f>IFERROR(VLOOKUP($C72,'PORTIFÓLIO'!C:V,3,0),"")</f>
        <v/>
      </c>
      <c r="F72" s="211" t="str">
        <f>IFERROR(VLOOKUP($C72,'PORTIFÓLIO'!C:V,4,0),"")</f>
        <v>L</v>
      </c>
      <c r="G72" s="225" t="str">
        <f>IFERROR(VLOOKUP($C72,'PORTIFÓLIO'!C:V,5,0),"")</f>
        <v>📄 Ver bula</v>
      </c>
      <c r="H72" s="254">
        <f t="array" ref="H72">IFERROR(INDEX('PORTIFÓLIO'!$H$4:$H$433,MATCH($C72,'PORTIFÓLIO'!$C$4:$C$433,0)),"")</f>
        <v>0.2</v>
      </c>
      <c r="I72" s="255">
        <v>0.1</v>
      </c>
      <c r="J72" s="218">
        <f t="shared" si="8"/>
        <v>4</v>
      </c>
      <c r="K72" s="219">
        <f t="array" ref="K72">IFERROR(I72*INDEX('PORTIFÓLIO'!$S$4:$S$433,MATCH($C72,'PORTIFÓLIO'!$C$4:$C$433,0)),"")</f>
        <v>18.2</v>
      </c>
      <c r="L72" s="219">
        <f t="array" ref="L72">IFERROR(J72*INDEX('PORTIFÓLIO'!$S$4:$S$433,MATCH($C72,'PORTIFÓLIO'!$C$4:$C$433,0)),"")</f>
        <v>728</v>
      </c>
      <c r="M72" s="220"/>
      <c r="N72" s="220"/>
      <c r="O72" s="220"/>
      <c r="P72" s="220"/>
      <c r="Q72" s="220"/>
      <c r="R72" s="220"/>
      <c r="S72" s="220"/>
      <c r="T72" s="220"/>
      <c r="U72" s="220"/>
      <c r="V72" s="220"/>
      <c r="W72" s="220"/>
    </row>
    <row r="73" ht="15.75" customHeight="1" outlineLevel="1">
      <c r="A73" s="211"/>
      <c r="B73" s="212"/>
      <c r="C73" s="213"/>
      <c r="D73" s="214" t="str">
        <f>IFERROR(VLOOKUP($C73,'PORTIFÓLIO'!C:V,2,0),"")</f>
        <v/>
      </c>
      <c r="E73" s="211" t="str">
        <f>IFERROR(VLOOKUP($C73,'PORTIFÓLIO'!C:V,3,0),"")</f>
        <v/>
      </c>
      <c r="F73" s="211" t="str">
        <f>IFERROR(VLOOKUP($C73,'PORTIFÓLIO'!C:V,4,0),"")</f>
        <v/>
      </c>
      <c r="G73" s="215" t="str">
        <f>IFERROR(VLOOKUP($C73,'PORTIFÓLIO'!C:V,5,0),"")</f>
        <v/>
      </c>
      <c r="H73" s="254" t="str">
        <f t="array" ref="H73">IFERROR(INDEX('PORTIFÓLIO'!$H$4:$H$433,MATCH($C73,'PORTIFÓLIO'!$C$4:$C$433,0)),"")</f>
        <v/>
      </c>
      <c r="I73" s="256"/>
      <c r="J73" s="218">
        <f t="shared" si="8"/>
        <v>0</v>
      </c>
      <c r="K73" s="219" t="str">
        <f t="array" ref="K73">IFERROR(I73*INDEX('PORTIFÓLIO'!$S$4:$S$433,MATCH($C73,'PORTIFÓLIO'!$C$4:$C$433,0)),"")</f>
        <v/>
      </c>
      <c r="L73" s="219" t="str">
        <f t="array" ref="L73">IFERROR(J73*INDEX('PORTIFÓLIO'!$S$4:$S$433,MATCH($C73,'PORTIFÓLIO'!$C$4:$C$433,0)),"")</f>
        <v/>
      </c>
      <c r="M73" s="220"/>
      <c r="N73" s="220"/>
      <c r="O73" s="220"/>
      <c r="P73" s="220"/>
      <c r="Q73" s="220"/>
      <c r="R73" s="220"/>
      <c r="S73" s="220"/>
      <c r="T73" s="220"/>
      <c r="U73" s="220"/>
      <c r="V73" s="220"/>
      <c r="W73" s="220"/>
    </row>
    <row r="74" ht="15.75" customHeight="1" outlineLevel="1">
      <c r="A74" s="211"/>
      <c r="B74" s="212"/>
      <c r="C74" s="213"/>
      <c r="D74" s="214" t="str">
        <f>IFERROR(VLOOKUP($C74,'PORTIFÓLIO'!C:V,2,0),"")</f>
        <v/>
      </c>
      <c r="E74" s="211" t="str">
        <f>IFERROR(VLOOKUP($C74,'PORTIFÓLIO'!C:V,3,0),"")</f>
        <v/>
      </c>
      <c r="F74" s="211" t="str">
        <f>IFERROR(VLOOKUP($C74,'PORTIFÓLIO'!C:V,4,0),"")</f>
        <v/>
      </c>
      <c r="G74" s="215" t="str">
        <f>IFERROR(VLOOKUP($C74,'PORTIFÓLIO'!C:V,5,0),"")</f>
        <v/>
      </c>
      <c r="H74" s="254" t="str">
        <f t="array" ref="H74">IFERROR(INDEX('PORTIFÓLIO'!$H$4:$H$433,MATCH($C74,'PORTIFÓLIO'!$C$4:$C$433,0)),"")</f>
        <v/>
      </c>
      <c r="I74" s="256"/>
      <c r="J74" s="218">
        <f t="shared" si="8"/>
        <v>0</v>
      </c>
      <c r="K74" s="219" t="str">
        <f t="array" ref="K74">IFERROR(I74*INDEX('PORTIFÓLIO'!$S$4:$S$433,MATCH($C74,'PORTIFÓLIO'!$C$4:$C$433,0)),"")</f>
        <v/>
      </c>
      <c r="L74" s="219" t="str">
        <f t="array" ref="L74">IFERROR(J74*INDEX('PORTIFÓLIO'!$S$4:$S$433,MATCH($C74,'PORTIFÓLIO'!$C$4:$C$433,0)),"")</f>
        <v/>
      </c>
      <c r="M74" s="220"/>
      <c r="N74" s="220"/>
      <c r="O74" s="220"/>
      <c r="P74" s="220"/>
      <c r="Q74" s="220"/>
      <c r="R74" s="220"/>
      <c r="S74" s="220"/>
      <c r="T74" s="220"/>
      <c r="U74" s="220"/>
      <c r="V74" s="220"/>
      <c r="W74" s="220"/>
    </row>
    <row r="75" ht="15.75" customHeight="1" outlineLevel="1">
      <c r="A75" s="211"/>
      <c r="B75" s="212"/>
      <c r="C75" s="213"/>
      <c r="D75" s="214" t="str">
        <f>IFERROR(VLOOKUP($C75,'PORTIFÓLIO'!C:V,2,0),"")</f>
        <v/>
      </c>
      <c r="E75" s="211" t="str">
        <f>IFERROR(VLOOKUP($C75,'PORTIFÓLIO'!C:V,3,0),"")</f>
        <v/>
      </c>
      <c r="F75" s="211" t="str">
        <f>IFERROR(VLOOKUP($C75,'PORTIFÓLIO'!C:V,4,0),"")</f>
        <v/>
      </c>
      <c r="G75" s="215" t="str">
        <f>IFERROR(VLOOKUP($C75,'PORTIFÓLIO'!C:V,5,0),"")</f>
        <v/>
      </c>
      <c r="H75" s="254" t="str">
        <f t="array" ref="H75">IFERROR(INDEX('PORTIFÓLIO'!$H$4:$H$433,MATCH($C75,'PORTIFÓLIO'!$C$4:$C$433,0)),"")</f>
        <v/>
      </c>
      <c r="I75" s="256"/>
      <c r="J75" s="218">
        <f t="shared" si="8"/>
        <v>0</v>
      </c>
      <c r="K75" s="219" t="str">
        <f t="array" ref="K75">IFERROR(I75*INDEX('PORTIFÓLIO'!$S$4:$S$433,MATCH($C75,'PORTIFÓLIO'!$C$4:$C$433,0)),"")</f>
        <v/>
      </c>
      <c r="L75" s="219" t="str">
        <f t="array" ref="L75">IFERROR(J75*INDEX('PORTIFÓLIO'!$S$4:$S$433,MATCH($C75,'PORTIFÓLIO'!$C$4:$C$433,0)),"")</f>
        <v/>
      </c>
      <c r="M75" s="220"/>
      <c r="N75" s="220"/>
      <c r="O75" s="220"/>
      <c r="P75" s="220"/>
      <c r="Q75" s="220"/>
      <c r="R75" s="220"/>
      <c r="S75" s="220"/>
      <c r="T75" s="220"/>
      <c r="U75" s="220"/>
      <c r="V75" s="220"/>
      <c r="W75" s="220"/>
    </row>
    <row r="76" ht="15.75" customHeight="1" outlineLevel="1">
      <c r="A76" s="211"/>
      <c r="B76" s="212"/>
      <c r="C76" s="213"/>
      <c r="D76" s="214" t="str">
        <f>IFERROR(VLOOKUP($C76,'PORTIFÓLIO'!C:V,2,0),"")</f>
        <v/>
      </c>
      <c r="E76" s="211" t="str">
        <f>IFERROR(VLOOKUP($C76,'PORTIFÓLIO'!C:V,3,0),"")</f>
        <v/>
      </c>
      <c r="F76" s="211" t="str">
        <f>IFERROR(VLOOKUP($C76,'PORTIFÓLIO'!C:V,4,0),"")</f>
        <v/>
      </c>
      <c r="G76" s="215" t="str">
        <f>IFERROR(VLOOKUP($C76,'PORTIFÓLIO'!C:V,5,0),"")</f>
        <v/>
      </c>
      <c r="H76" s="254" t="str">
        <f t="array" ref="H76">IFERROR(INDEX('PORTIFÓLIO'!$H$4:$H$433,MATCH($C76,'PORTIFÓLIO'!$C$4:$C$433,0)),"")</f>
        <v/>
      </c>
      <c r="I76" s="256"/>
      <c r="J76" s="218">
        <f t="shared" si="8"/>
        <v>0</v>
      </c>
      <c r="K76" s="219" t="str">
        <f t="array" ref="K76">IFERROR(I76*INDEX('PORTIFÓLIO'!$S$4:$S$433,MATCH($C76,'PORTIFÓLIO'!$C$4:$C$433,0)),"")</f>
        <v/>
      </c>
      <c r="L76" s="219" t="str">
        <f t="array" ref="L76">IFERROR(J76*INDEX('PORTIFÓLIO'!$S$4:$S$433,MATCH($C76,'PORTIFÓLIO'!$C$4:$C$433,0)),"")</f>
        <v/>
      </c>
      <c r="M76" s="220"/>
      <c r="N76" s="220"/>
      <c r="O76" s="220"/>
      <c r="P76" s="220"/>
      <c r="Q76" s="220"/>
      <c r="R76" s="220"/>
      <c r="S76" s="220"/>
      <c r="T76" s="220"/>
      <c r="U76" s="220"/>
      <c r="V76" s="220"/>
      <c r="W76" s="220"/>
    </row>
    <row r="77" ht="15.75" customHeight="1" outlineLevel="1">
      <c r="A77" s="211"/>
      <c r="B77" s="212"/>
      <c r="C77" s="213"/>
      <c r="D77" s="214" t="str">
        <f>IFERROR(VLOOKUP($C77,'PORTIFÓLIO'!C:V,2,0),"")</f>
        <v/>
      </c>
      <c r="E77" s="211" t="str">
        <f>IFERROR(VLOOKUP($C77,'PORTIFÓLIO'!C:V,3,0),"")</f>
        <v/>
      </c>
      <c r="F77" s="211" t="str">
        <f>IFERROR(VLOOKUP($C77,'PORTIFÓLIO'!C:V,4,0),"")</f>
        <v/>
      </c>
      <c r="G77" s="215" t="str">
        <f>IFERROR(VLOOKUP($C77,'PORTIFÓLIO'!C:V,5,0),"")</f>
        <v/>
      </c>
      <c r="H77" s="254" t="str">
        <f t="array" ref="H77">IFERROR(INDEX('PORTIFÓLIO'!$H$4:$H$433,MATCH($C77,'PORTIFÓLIO'!$C$4:$C$433,0)),"")</f>
        <v/>
      </c>
      <c r="I77" s="256"/>
      <c r="J77" s="218">
        <f t="shared" si="8"/>
        <v>0</v>
      </c>
      <c r="K77" s="219" t="str">
        <f t="array" ref="K77">IFERROR(I77*INDEX('PORTIFÓLIO'!$S$4:$S$433,MATCH($C77,'PORTIFÓLIO'!$C$4:$C$433,0)),"")</f>
        <v/>
      </c>
      <c r="L77" s="219" t="str">
        <f t="array" ref="L77">IFERROR(J77*INDEX('PORTIFÓLIO'!$S$4:$S$433,MATCH($C77,'PORTIFÓLIO'!$C$4:$C$433,0)),"")</f>
        <v/>
      </c>
      <c r="M77" s="220"/>
      <c r="N77" s="220"/>
      <c r="O77" s="220"/>
      <c r="P77" s="220"/>
      <c r="Q77" s="220"/>
      <c r="R77" s="220"/>
      <c r="S77" s="220"/>
      <c r="T77" s="220"/>
      <c r="U77" s="220"/>
      <c r="V77" s="220"/>
      <c r="W77" s="220"/>
    </row>
    <row r="78" ht="15.75" customHeight="1" outlineLevel="1">
      <c r="A78" s="211"/>
      <c r="B78" s="212"/>
      <c r="C78" s="213"/>
      <c r="D78" s="214" t="str">
        <f>IFERROR(VLOOKUP($C78,'PORTIFÓLIO'!C:V,2,0),"")</f>
        <v/>
      </c>
      <c r="E78" s="211" t="str">
        <f>IFERROR(VLOOKUP($C78,'PORTIFÓLIO'!C:V,3,0),"")</f>
        <v/>
      </c>
      <c r="F78" s="211" t="str">
        <f>IFERROR(VLOOKUP($C78,'PORTIFÓLIO'!C:V,4,0),"")</f>
        <v/>
      </c>
      <c r="G78" s="215" t="str">
        <f>IFERROR(VLOOKUP($C78,'PORTIFÓLIO'!C:V,5,0),"")</f>
        <v/>
      </c>
      <c r="H78" s="254" t="str">
        <f t="array" ref="H78">IFERROR(INDEX('PORTIFÓLIO'!$H$4:$H$433,MATCH($C78,'PORTIFÓLIO'!$C$4:$C$433,0)),"")</f>
        <v/>
      </c>
      <c r="I78" s="256"/>
      <c r="J78" s="218">
        <f t="shared" si="8"/>
        <v>0</v>
      </c>
      <c r="K78" s="219" t="str">
        <f t="array" ref="K78">IFERROR(I78*INDEX('PORTIFÓLIO'!$S$4:$S$433,MATCH($C78,'PORTIFÓLIO'!$C$4:$C$433,0)),"")</f>
        <v/>
      </c>
      <c r="L78" s="219" t="str">
        <f t="array" ref="L78">IFERROR(J78*INDEX('PORTIFÓLIO'!$S$4:$S$433,MATCH($C78,'PORTIFÓLIO'!$C$4:$C$433,0)),"")</f>
        <v/>
      </c>
      <c r="M78" s="220"/>
      <c r="N78" s="220"/>
      <c r="O78" s="220"/>
      <c r="P78" s="220"/>
      <c r="Q78" s="220"/>
      <c r="R78" s="220"/>
      <c r="S78" s="220"/>
      <c r="T78" s="220"/>
      <c r="U78" s="220"/>
      <c r="V78" s="220"/>
      <c r="W78" s="220"/>
    </row>
    <row r="79" ht="15.75" customHeight="1" outlineLevel="1">
      <c r="A79" s="211"/>
      <c r="B79" s="212"/>
      <c r="C79" s="213"/>
      <c r="D79" s="214" t="str">
        <f>IFERROR(VLOOKUP($C79,'PORTIFÓLIO'!C:V,2,0),"")</f>
        <v/>
      </c>
      <c r="E79" s="211" t="str">
        <f>IFERROR(VLOOKUP($C79,'PORTIFÓLIO'!C:V,3,0),"")</f>
        <v/>
      </c>
      <c r="F79" s="211" t="str">
        <f>IFERROR(VLOOKUP($C79,'PORTIFÓLIO'!C:V,4,0),"")</f>
        <v/>
      </c>
      <c r="G79" s="215" t="str">
        <f>IFERROR(VLOOKUP($C79,'PORTIFÓLIO'!C:V,5,0),"")</f>
        <v/>
      </c>
      <c r="H79" s="254" t="str">
        <f t="array" ref="H79">IFERROR(INDEX('PORTIFÓLIO'!$H$4:$H$433,MATCH($C79,'PORTIFÓLIO'!$C$4:$C$433,0)),"")</f>
        <v/>
      </c>
      <c r="I79" s="256"/>
      <c r="J79" s="218">
        <f t="shared" si="8"/>
        <v>0</v>
      </c>
      <c r="K79" s="219" t="str">
        <f t="array" ref="K79">IFERROR(I79*INDEX('PORTIFÓLIO'!$S$4:$S$433,MATCH($C79,'PORTIFÓLIO'!$C$4:$C$433,0)),"")</f>
        <v/>
      </c>
      <c r="L79" s="219" t="str">
        <f t="array" ref="L79">IFERROR(J79*INDEX('PORTIFÓLIO'!$S$4:$S$433,MATCH($C79,'PORTIFÓLIO'!$C$4:$C$433,0)),"")</f>
        <v/>
      </c>
      <c r="M79" s="220"/>
      <c r="N79" s="220"/>
      <c r="O79" s="220"/>
      <c r="P79" s="220"/>
      <c r="Q79" s="220"/>
      <c r="R79" s="220"/>
      <c r="S79" s="220"/>
      <c r="T79" s="220"/>
      <c r="U79" s="220"/>
      <c r="V79" s="220"/>
      <c r="W79" s="220"/>
    </row>
    <row r="80" ht="15.75" customHeight="1" outlineLevel="1">
      <c r="A80" s="211"/>
      <c r="B80" s="212"/>
      <c r="C80" s="213"/>
      <c r="D80" s="214" t="str">
        <f>IFERROR(VLOOKUP($C80,'PORTIFÓLIO'!C:V,2,0),"")</f>
        <v/>
      </c>
      <c r="E80" s="211" t="str">
        <f>IFERROR(VLOOKUP($C80,'PORTIFÓLIO'!C:V,3,0),"")</f>
        <v/>
      </c>
      <c r="F80" s="211" t="str">
        <f>IFERROR(VLOOKUP($C80,'PORTIFÓLIO'!C:V,4,0),"")</f>
        <v/>
      </c>
      <c r="G80" s="215" t="str">
        <f>IFERROR(VLOOKUP($C80,'PORTIFÓLIO'!C:V,5,0),"")</f>
        <v/>
      </c>
      <c r="H80" s="254" t="str">
        <f t="array" ref="H80">IFERROR(INDEX('PORTIFÓLIO'!$H$4:$H$433,MATCH($C80,'PORTIFÓLIO'!$C$4:$C$433,0)),"")</f>
        <v/>
      </c>
      <c r="I80" s="256"/>
      <c r="J80" s="218">
        <f t="shared" si="8"/>
        <v>0</v>
      </c>
      <c r="K80" s="219" t="str">
        <f t="array" ref="K80">IFERROR(I80*INDEX('PORTIFÓLIO'!$S$4:$S$433,MATCH($C80,'PORTIFÓLIO'!$C$4:$C$433,0)),"")</f>
        <v/>
      </c>
      <c r="L80" s="219" t="str">
        <f t="array" ref="L80">IFERROR(J80*INDEX('PORTIFÓLIO'!$S$4:$S$433,MATCH($C80,'PORTIFÓLIO'!$C$4:$C$433,0)),"")</f>
        <v/>
      </c>
      <c r="M80" s="220"/>
      <c r="N80" s="220"/>
      <c r="O80" s="220"/>
      <c r="P80" s="220"/>
      <c r="Q80" s="220"/>
      <c r="R80" s="220"/>
      <c r="S80" s="220"/>
      <c r="T80" s="220"/>
      <c r="U80" s="220"/>
      <c r="V80" s="220"/>
      <c r="W80" s="220"/>
    </row>
    <row r="81" ht="15.75" customHeight="1">
      <c r="A81" s="229" t="s">
        <v>1188</v>
      </c>
      <c r="B81" s="230"/>
      <c r="C81" s="231"/>
      <c r="D81" s="232" t="s">
        <v>216</v>
      </c>
      <c r="E81" s="231"/>
      <c r="F81" s="231"/>
      <c r="G81" s="233"/>
      <c r="H81" s="233"/>
      <c r="I81" s="258"/>
      <c r="J81" s="236"/>
      <c r="K81" s="237">
        <f t="shared" ref="K81:L81" si="9">SUBTOTAL(9,K82:K95)</f>
        <v>83.234856</v>
      </c>
      <c r="L81" s="237">
        <f t="shared" si="9"/>
        <v>3329.39424</v>
      </c>
      <c r="M81" s="220"/>
      <c r="N81" s="220"/>
      <c r="O81" s="220"/>
      <c r="P81" s="220"/>
      <c r="Q81" s="220"/>
      <c r="R81" s="220"/>
      <c r="S81" s="220"/>
      <c r="T81" s="220"/>
      <c r="U81" s="220"/>
      <c r="V81" s="220"/>
      <c r="W81" s="220"/>
    </row>
    <row r="82" ht="15.75" customHeight="1" outlineLevel="1">
      <c r="A82" s="213"/>
      <c r="B82" s="212" t="s">
        <v>1</v>
      </c>
      <c r="C82" s="213" t="s">
        <v>637</v>
      </c>
      <c r="D82" s="214" t="str">
        <f>IFERROR(VLOOKUP($C82,'PORTIFÓLIO'!C:V,2,0),"")</f>
        <v>GLIFOSATO-SAL DE AMÔNIO</v>
      </c>
      <c r="E82" s="211">
        <f>IFERROR(VLOOKUP($C82,'PORTIFÓLIO'!C:V,3,0),"")</f>
        <v>720</v>
      </c>
      <c r="F82" s="211" t="str">
        <f>IFERROR(VLOOKUP($C82,'PORTIFÓLIO'!C:V,4,0),"")</f>
        <v>L</v>
      </c>
      <c r="G82" s="225" t="str">
        <f>IFERROR(VLOOKUP($C82,'PORTIFÓLIO'!C:V,5,0),"")</f>
        <v>📄 Ver bula</v>
      </c>
      <c r="H82" s="254">
        <f t="array" ref="H82">IFERROR(INDEX('PORTIFÓLIO'!$H$4:$H$433,MATCH($C82,'PORTIFÓLIO'!$C$4:$C$433,0)),"")</f>
        <v>2</v>
      </c>
      <c r="I82" s="255">
        <v>2.0</v>
      </c>
      <c r="J82" s="218">
        <f t="shared" ref="J82:J96" si="10">I82*$B$2</f>
        <v>80</v>
      </c>
      <c r="K82" s="219">
        <f t="array" ref="K82">IFERROR(I82*INDEX('PORTIFÓLIO'!$S$4:$S$433,MATCH($C82,'PORTIFÓLIO'!$C$4:$C$433,0)),"")</f>
        <v>49.16</v>
      </c>
      <c r="L82" s="219">
        <f t="array" ref="L82">IFERROR(J82*INDEX('PORTIFÓLIO'!$S$4:$S$433,MATCH($C82,'PORTIFÓLIO'!$C$4:$C$433,0)),"")</f>
        <v>1966.4</v>
      </c>
      <c r="M82" s="220"/>
      <c r="N82" s="220"/>
      <c r="O82" s="220"/>
      <c r="P82" s="220"/>
      <c r="Q82" s="220"/>
      <c r="R82" s="220"/>
      <c r="S82" s="220"/>
      <c r="T82" s="220"/>
      <c r="U82" s="220"/>
      <c r="V82" s="220"/>
      <c r="W82" s="220"/>
    </row>
    <row r="83" ht="15.75" customHeight="1" outlineLevel="1">
      <c r="A83" s="211"/>
      <c r="B83" s="212" t="s">
        <v>1</v>
      </c>
      <c r="C83" s="213" t="s">
        <v>616</v>
      </c>
      <c r="D83" s="214" t="str">
        <f>IFERROR(VLOOKUP($C83,'PORTIFÓLIO'!C:V,2,0),"")</f>
        <v>CLETODIM</v>
      </c>
      <c r="E83" s="211">
        <f>IFERROR(VLOOKUP($C83,'PORTIFÓLIO'!C:V,3,0),"")</f>
        <v>240</v>
      </c>
      <c r="F83" s="211" t="str">
        <f>IFERROR(VLOOKUP($C83,'PORTIFÓLIO'!C:V,4,0),"")</f>
        <v>L</v>
      </c>
      <c r="G83" s="225" t="str">
        <f>IFERROR(VLOOKUP($C83,'PORTIFÓLIO'!C:V,5,0),"")</f>
        <v>📄 Ver bula</v>
      </c>
      <c r="H83" s="254">
        <f t="array" ref="H83">IFERROR(INDEX('PORTIFÓLIO'!$H$4:$H$433,MATCH($C83,'PORTIFÓLIO'!$C$4:$C$433,0)),"")</f>
        <v>0.4</v>
      </c>
      <c r="I83" s="255">
        <v>0.4</v>
      </c>
      <c r="J83" s="218">
        <f t="shared" si="10"/>
        <v>16</v>
      </c>
      <c r="K83" s="219">
        <f t="array" ref="K83">IFERROR(I83*INDEX('PORTIFÓLIO'!$S$4:$S$433,MATCH($C83,'PORTIFÓLIO'!$C$4:$C$433,0)),"")</f>
        <v>13.204376</v>
      </c>
      <c r="L83" s="219">
        <f t="array" ref="L83">IFERROR(J83*INDEX('PORTIFÓLIO'!$S$4:$S$433,MATCH($C83,'PORTIFÓLIO'!$C$4:$C$433,0)),"")</f>
        <v>528.17504</v>
      </c>
      <c r="M83" s="220"/>
      <c r="N83" s="220"/>
      <c r="O83" s="220"/>
      <c r="P83" s="220"/>
      <c r="Q83" s="220"/>
      <c r="R83" s="220"/>
      <c r="S83" s="220"/>
      <c r="T83" s="220"/>
      <c r="U83" s="220"/>
      <c r="V83" s="220"/>
      <c r="W83" s="220"/>
    </row>
    <row r="84" ht="15.75" customHeight="1" outlineLevel="1">
      <c r="A84" s="211"/>
      <c r="B84" s="212" t="s">
        <v>0</v>
      </c>
      <c r="C84" s="213" t="s">
        <v>434</v>
      </c>
      <c r="D84" s="214" t="str">
        <f>IFERROR(VLOOKUP($C84,'PORTIFÓLIO'!C:V,2,0),"")</f>
        <v>AZOXISTROBINA + TEBUCONAZOL</v>
      </c>
      <c r="E84" s="211" t="str">
        <f>IFERROR(VLOOKUP($C84,'PORTIFÓLIO'!C:V,3,0),"")</f>
        <v>120 + 200</v>
      </c>
      <c r="F84" s="211" t="str">
        <f>IFERROR(VLOOKUP($C84,'PORTIFÓLIO'!C:V,4,0),"")</f>
        <v>L</v>
      </c>
      <c r="G84" s="225" t="str">
        <f>IFERROR(VLOOKUP($C84,'PORTIFÓLIO'!C:V,5,0),"")</f>
        <v>📄 Ver bula</v>
      </c>
      <c r="H84" s="254">
        <f t="array" ref="H84">IFERROR(INDEX('PORTIFÓLIO'!$H$4:$H$433,MATCH($C84,'PORTIFÓLIO'!$C$4:$C$433,0)),"")</f>
        <v>0.5</v>
      </c>
      <c r="I84" s="255">
        <v>0.5</v>
      </c>
      <c r="J84" s="218">
        <f t="shared" si="10"/>
        <v>20</v>
      </c>
      <c r="K84" s="219">
        <f t="array" ref="K84">IFERROR(I84*INDEX('PORTIFÓLIO'!$S$4:$S$433,MATCH($C84,'PORTIFÓLIO'!$C$4:$C$433,0)),"")</f>
        <v>17.66448</v>
      </c>
      <c r="L84" s="219">
        <f t="array" ref="L84">IFERROR(J84*INDEX('PORTIFÓLIO'!$S$4:$S$433,MATCH($C84,'PORTIFÓLIO'!$C$4:$C$433,0)),"")</f>
        <v>706.5792</v>
      </c>
      <c r="M84" s="220"/>
      <c r="N84" s="220"/>
      <c r="O84" s="220"/>
      <c r="P84" s="220"/>
      <c r="Q84" s="220"/>
      <c r="R84" s="220"/>
      <c r="S84" s="220"/>
      <c r="T84" s="220"/>
      <c r="U84" s="220"/>
      <c r="V84" s="220"/>
      <c r="W84" s="220"/>
    </row>
    <row r="85" ht="15.75" customHeight="1" outlineLevel="1">
      <c r="A85" s="211"/>
      <c r="B85" s="212" t="s">
        <v>6</v>
      </c>
      <c r="C85" s="213" t="s">
        <v>354</v>
      </c>
      <c r="D85" s="214" t="str">
        <f>IFERROR(VLOOKUP($C85,'PORTIFÓLIO'!C:V,2,0),"")</f>
        <v>OLEO MINERAL</v>
      </c>
      <c r="E85" s="211">
        <f>IFERROR(VLOOKUP($C85,'PORTIFÓLIO'!C:V,3,0),"")</f>
        <v>761</v>
      </c>
      <c r="F85" s="211" t="str">
        <f>IFERROR(VLOOKUP($C85,'PORTIFÓLIO'!C:V,4,0),"")</f>
        <v>L</v>
      </c>
      <c r="G85" s="225" t="str">
        <f>IFERROR(VLOOKUP($C85,'PORTIFÓLIO'!C:V,5,0),"")</f>
        <v>📄 Ver bula</v>
      </c>
      <c r="H85" s="254">
        <f t="array" ref="H85">IFERROR(INDEX('PORTIFÓLIO'!$H$4:$H$433,MATCH($C85,'PORTIFÓLIO'!$C$4:$C$433,0)),"")</f>
        <v>0.2</v>
      </c>
      <c r="I85" s="255">
        <v>0.2</v>
      </c>
      <c r="J85" s="218">
        <f t="shared" si="10"/>
        <v>8</v>
      </c>
      <c r="K85" s="219">
        <f t="array" ref="K85">IFERROR(I85*INDEX('PORTIFÓLIO'!$S$4:$S$433,MATCH($C85,'PORTIFÓLIO'!$C$4:$C$433,0)),"")</f>
        <v>3.206</v>
      </c>
      <c r="L85" s="219">
        <f t="array" ref="L85">IFERROR(J85*INDEX('PORTIFÓLIO'!$S$4:$S$433,MATCH($C85,'PORTIFÓLIO'!$C$4:$C$433,0)),"")</f>
        <v>128.24</v>
      </c>
      <c r="M85" s="220"/>
      <c r="N85" s="220"/>
      <c r="O85" s="220"/>
      <c r="P85" s="220"/>
      <c r="Q85" s="220"/>
      <c r="R85" s="220"/>
      <c r="S85" s="220"/>
      <c r="T85" s="220"/>
      <c r="U85" s="220"/>
      <c r="V85" s="220"/>
      <c r="W85" s="220"/>
    </row>
    <row r="86" ht="15.75" customHeight="1" outlineLevel="1">
      <c r="A86" s="211"/>
      <c r="B86" s="212"/>
      <c r="C86" s="213"/>
      <c r="D86" s="214" t="str">
        <f>IFERROR(VLOOKUP($C86,'PORTIFÓLIO'!C:V,2,0),"")</f>
        <v/>
      </c>
      <c r="E86" s="211" t="str">
        <f>IFERROR(VLOOKUP($C86,'PORTIFÓLIO'!C:V,3,0),"")</f>
        <v/>
      </c>
      <c r="F86" s="211" t="str">
        <f>IFERROR(VLOOKUP($C86,'PORTIFÓLIO'!C:V,4,0),"")</f>
        <v/>
      </c>
      <c r="G86" s="215" t="str">
        <f>IFERROR(VLOOKUP($C86,'PORTIFÓLIO'!C:V,5,0),"")</f>
        <v/>
      </c>
      <c r="H86" s="254" t="str">
        <f t="array" ref="H86">IFERROR(INDEX('PORTIFÓLIO'!$H$4:$H$433,MATCH($C86,'PORTIFÓLIO'!$C$4:$C$433,0)),"")</f>
        <v/>
      </c>
      <c r="I86" s="256"/>
      <c r="J86" s="218">
        <f t="shared" si="10"/>
        <v>0</v>
      </c>
      <c r="K86" s="219" t="str">
        <f t="array" ref="K86">IFERROR(I86*INDEX('PORTIFÓLIO'!$S$4:$S$433,MATCH($C86,'PORTIFÓLIO'!$C$4:$C$433,0)),"")</f>
        <v/>
      </c>
      <c r="L86" s="219" t="str">
        <f t="array" ref="L86">IFERROR(J86*INDEX('PORTIFÓLIO'!$S$4:$S$433,MATCH($C86,'PORTIFÓLIO'!$C$4:$C$433,0)),"")</f>
        <v/>
      </c>
      <c r="M86" s="220"/>
      <c r="N86" s="220"/>
      <c r="O86" s="220"/>
      <c r="P86" s="220"/>
      <c r="Q86" s="220"/>
      <c r="R86" s="220"/>
      <c r="S86" s="220"/>
      <c r="T86" s="220"/>
      <c r="U86" s="220"/>
      <c r="V86" s="220"/>
      <c r="W86" s="220"/>
    </row>
    <row r="87" ht="15.75" customHeight="1" outlineLevel="1">
      <c r="A87" s="211"/>
      <c r="B87" s="212"/>
      <c r="C87" s="213"/>
      <c r="D87" s="214" t="str">
        <f>IFERROR(VLOOKUP($C87,'PORTIFÓLIO'!C:V,2,0),"")</f>
        <v/>
      </c>
      <c r="E87" s="211" t="str">
        <f>IFERROR(VLOOKUP($C87,'PORTIFÓLIO'!C:V,3,0),"")</f>
        <v/>
      </c>
      <c r="F87" s="211" t="str">
        <f>IFERROR(VLOOKUP($C87,'PORTIFÓLIO'!C:V,4,0),"")</f>
        <v/>
      </c>
      <c r="G87" s="215" t="str">
        <f>IFERROR(VLOOKUP($C87,'PORTIFÓLIO'!C:V,5,0),"")</f>
        <v/>
      </c>
      <c r="H87" s="254" t="str">
        <f t="array" ref="H87">IFERROR(INDEX('PORTIFÓLIO'!$H$4:$H$433,MATCH($C87,'PORTIFÓLIO'!$C$4:$C$433,0)),"")</f>
        <v/>
      </c>
      <c r="I87" s="256"/>
      <c r="J87" s="218">
        <f t="shared" si="10"/>
        <v>0</v>
      </c>
      <c r="K87" s="219" t="str">
        <f t="array" ref="K87">IFERROR(I87*INDEX('PORTIFÓLIO'!$S$4:$S$433,MATCH($C87,'PORTIFÓLIO'!$C$4:$C$433,0)),"")</f>
        <v/>
      </c>
      <c r="L87" s="219" t="str">
        <f t="array" ref="L87">IFERROR(J87*INDEX('PORTIFÓLIO'!$S$4:$S$433,MATCH($C87,'PORTIFÓLIO'!$C$4:$C$433,0)),"")</f>
        <v/>
      </c>
      <c r="M87" s="220"/>
      <c r="N87" s="220"/>
      <c r="O87" s="220"/>
      <c r="P87" s="220"/>
      <c r="Q87" s="220"/>
      <c r="R87" s="220"/>
      <c r="S87" s="220"/>
      <c r="T87" s="220"/>
      <c r="U87" s="220"/>
      <c r="V87" s="220"/>
      <c r="W87" s="220"/>
    </row>
    <row r="88" ht="15.75" customHeight="1" outlineLevel="1">
      <c r="A88" s="211"/>
      <c r="B88" s="212"/>
      <c r="C88" s="213"/>
      <c r="D88" s="214" t="str">
        <f>IFERROR(VLOOKUP($C88,'PORTIFÓLIO'!C:V,2,0),"")</f>
        <v/>
      </c>
      <c r="E88" s="211" t="str">
        <f>IFERROR(VLOOKUP($C88,'PORTIFÓLIO'!C:V,3,0),"")</f>
        <v/>
      </c>
      <c r="F88" s="211" t="str">
        <f>IFERROR(VLOOKUP($C88,'PORTIFÓLIO'!C:V,4,0),"")</f>
        <v/>
      </c>
      <c r="G88" s="215" t="str">
        <f>IFERROR(VLOOKUP($C88,'PORTIFÓLIO'!C:V,5,0),"")</f>
        <v/>
      </c>
      <c r="H88" s="254" t="str">
        <f t="array" ref="H88">IFERROR(INDEX('PORTIFÓLIO'!$H$4:$H$433,MATCH($C88,'PORTIFÓLIO'!$C$4:$C$433,0)),"")</f>
        <v/>
      </c>
      <c r="I88" s="256"/>
      <c r="J88" s="218">
        <f t="shared" si="10"/>
        <v>0</v>
      </c>
      <c r="K88" s="219" t="str">
        <f t="array" ref="K88">IFERROR(I88*INDEX('PORTIFÓLIO'!$S$4:$S$433,MATCH($C88,'PORTIFÓLIO'!$C$4:$C$433,0)),"")</f>
        <v/>
      </c>
      <c r="L88" s="219" t="str">
        <f t="array" ref="L88">IFERROR(J88*INDEX('PORTIFÓLIO'!$S$4:$S$433,MATCH($C88,'PORTIFÓLIO'!$C$4:$C$433,0)),"")</f>
        <v/>
      </c>
      <c r="M88" s="220"/>
      <c r="N88" s="220"/>
      <c r="O88" s="220"/>
      <c r="P88" s="220"/>
      <c r="Q88" s="220"/>
      <c r="R88" s="220"/>
      <c r="S88" s="220"/>
      <c r="T88" s="220"/>
      <c r="U88" s="220"/>
      <c r="V88" s="220"/>
      <c r="W88" s="220"/>
    </row>
    <row r="89" ht="15.75" customHeight="1" outlineLevel="1">
      <c r="A89" s="211"/>
      <c r="B89" s="212"/>
      <c r="C89" s="213"/>
      <c r="D89" s="214" t="str">
        <f>IFERROR(VLOOKUP($C89,'PORTIFÓLIO'!C:V,2,0),"")</f>
        <v/>
      </c>
      <c r="E89" s="211" t="str">
        <f>IFERROR(VLOOKUP($C89,'PORTIFÓLIO'!C:V,3,0),"")</f>
        <v/>
      </c>
      <c r="F89" s="211" t="str">
        <f>IFERROR(VLOOKUP($C89,'PORTIFÓLIO'!C:V,4,0),"")</f>
        <v/>
      </c>
      <c r="G89" s="215" t="str">
        <f>IFERROR(VLOOKUP($C89,'PORTIFÓLIO'!C:V,5,0),"")</f>
        <v/>
      </c>
      <c r="H89" s="254" t="str">
        <f t="array" ref="H89">IFERROR(INDEX('PORTIFÓLIO'!$H$4:$H$433,MATCH($C89,'PORTIFÓLIO'!$C$4:$C$433,0)),"")</f>
        <v/>
      </c>
      <c r="I89" s="256"/>
      <c r="J89" s="218">
        <f t="shared" si="10"/>
        <v>0</v>
      </c>
      <c r="K89" s="219" t="str">
        <f t="array" ref="K89">IFERROR(I89*INDEX('PORTIFÓLIO'!$S$4:$S$433,MATCH($C89,'PORTIFÓLIO'!$C$4:$C$433,0)),"")</f>
        <v/>
      </c>
      <c r="L89" s="219" t="str">
        <f t="array" ref="L89">IFERROR(J89*INDEX('PORTIFÓLIO'!$S$4:$S$433,MATCH($C89,'PORTIFÓLIO'!$C$4:$C$433,0)),"")</f>
        <v/>
      </c>
      <c r="M89" s="220"/>
      <c r="N89" s="220"/>
      <c r="O89" s="220"/>
      <c r="P89" s="220"/>
      <c r="Q89" s="220"/>
      <c r="R89" s="220"/>
      <c r="S89" s="220"/>
      <c r="T89" s="220"/>
      <c r="U89" s="220"/>
      <c r="V89" s="220"/>
      <c r="W89" s="220"/>
    </row>
    <row r="90" ht="15.75" customHeight="1" outlineLevel="1">
      <c r="A90" s="211"/>
      <c r="B90" s="212"/>
      <c r="C90" s="213"/>
      <c r="D90" s="214" t="str">
        <f>IFERROR(VLOOKUP($C90,'PORTIFÓLIO'!C:V,2,0),"")</f>
        <v/>
      </c>
      <c r="E90" s="211" t="str">
        <f>IFERROR(VLOOKUP($C90,'PORTIFÓLIO'!C:V,3,0),"")</f>
        <v/>
      </c>
      <c r="F90" s="211" t="str">
        <f>IFERROR(VLOOKUP($C90,'PORTIFÓLIO'!C:V,4,0),"")</f>
        <v/>
      </c>
      <c r="G90" s="215" t="str">
        <f>IFERROR(VLOOKUP($C90,'PORTIFÓLIO'!C:V,5,0),"")</f>
        <v/>
      </c>
      <c r="H90" s="254" t="str">
        <f t="array" ref="H90">IFERROR(INDEX('PORTIFÓLIO'!$H$4:$H$433,MATCH($C90,'PORTIFÓLIO'!$C$4:$C$433,0)),"")</f>
        <v/>
      </c>
      <c r="I90" s="255"/>
      <c r="J90" s="218">
        <f t="shared" si="10"/>
        <v>0</v>
      </c>
      <c r="K90" s="219" t="str">
        <f t="array" ref="K90">IFERROR(I90*INDEX('PORTIFÓLIO'!$S$4:$S$433,MATCH($C90,'PORTIFÓLIO'!$C$4:$C$433,0)),"")</f>
        <v/>
      </c>
      <c r="L90" s="219" t="str">
        <f t="array" ref="L90">IFERROR(J90*INDEX('PORTIFÓLIO'!$S$4:$S$433,MATCH($C90,'PORTIFÓLIO'!$C$4:$C$433,0)),"")</f>
        <v/>
      </c>
      <c r="M90" s="220"/>
      <c r="N90" s="220"/>
      <c r="O90" s="220"/>
      <c r="P90" s="220"/>
      <c r="Q90" s="220"/>
      <c r="R90" s="220"/>
      <c r="S90" s="220"/>
      <c r="T90" s="220"/>
      <c r="U90" s="220"/>
      <c r="V90" s="220"/>
      <c r="W90" s="220"/>
    </row>
    <row r="91" ht="15.75" customHeight="1" outlineLevel="1">
      <c r="A91" s="211"/>
      <c r="B91" s="212"/>
      <c r="C91" s="213"/>
      <c r="D91" s="214" t="str">
        <f>IFERROR(VLOOKUP($C91,'PORTIFÓLIO'!C:V,2,0),"")</f>
        <v/>
      </c>
      <c r="E91" s="211" t="str">
        <f>IFERROR(VLOOKUP($C91,'PORTIFÓLIO'!C:V,3,0),"")</f>
        <v/>
      </c>
      <c r="F91" s="211" t="str">
        <f>IFERROR(VLOOKUP($C91,'PORTIFÓLIO'!C:V,4,0),"")</f>
        <v/>
      </c>
      <c r="G91" s="215" t="str">
        <f>IFERROR(VLOOKUP($C91,'PORTIFÓLIO'!C:V,5,0),"")</f>
        <v/>
      </c>
      <c r="H91" s="254" t="str">
        <f t="array" ref="H91">IFERROR(INDEX('PORTIFÓLIO'!$H$4:$H$433,MATCH($C91,'PORTIFÓLIO'!$C$4:$C$433,0)),"")</f>
        <v/>
      </c>
      <c r="I91" s="256"/>
      <c r="J91" s="218">
        <f t="shared" si="10"/>
        <v>0</v>
      </c>
      <c r="K91" s="219" t="str">
        <f t="array" ref="K91">IFERROR(I91*INDEX('PORTIFÓLIO'!$S$4:$S$433,MATCH($C91,'PORTIFÓLIO'!$C$4:$C$433,0)),"")</f>
        <v/>
      </c>
      <c r="L91" s="219" t="str">
        <f t="array" ref="L91">IFERROR(J91*INDEX('PORTIFÓLIO'!$S$4:$S$433,MATCH($C91,'PORTIFÓLIO'!$C$4:$C$433,0)),"")</f>
        <v/>
      </c>
      <c r="M91" s="220"/>
      <c r="N91" s="220"/>
      <c r="O91" s="220"/>
      <c r="P91" s="220"/>
      <c r="Q91" s="220"/>
      <c r="R91" s="220"/>
      <c r="S91" s="220"/>
      <c r="T91" s="220"/>
      <c r="U91" s="220"/>
      <c r="V91" s="220"/>
      <c r="W91" s="220"/>
    </row>
    <row r="92" ht="15.75" customHeight="1" outlineLevel="1">
      <c r="A92" s="211"/>
      <c r="B92" s="212"/>
      <c r="C92" s="213"/>
      <c r="D92" s="214" t="str">
        <f>IFERROR(VLOOKUP($C92,'PORTIFÓLIO'!C:V,2,0),"")</f>
        <v/>
      </c>
      <c r="E92" s="211" t="str">
        <f>IFERROR(VLOOKUP($C92,'PORTIFÓLIO'!C:V,3,0),"")</f>
        <v/>
      </c>
      <c r="F92" s="211" t="str">
        <f>IFERROR(VLOOKUP($C92,'PORTIFÓLIO'!C:V,4,0),"")</f>
        <v/>
      </c>
      <c r="G92" s="215" t="str">
        <f>IFERROR(VLOOKUP($C92,'PORTIFÓLIO'!C:V,5,0),"")</f>
        <v/>
      </c>
      <c r="H92" s="254" t="str">
        <f t="array" ref="H92">IFERROR(INDEX('PORTIFÓLIO'!$H$4:$H$433,MATCH($C92,'PORTIFÓLIO'!$C$4:$C$433,0)),"")</f>
        <v/>
      </c>
      <c r="I92" s="256"/>
      <c r="J92" s="218">
        <f t="shared" si="10"/>
        <v>0</v>
      </c>
      <c r="K92" s="219" t="str">
        <f t="array" ref="K92">IFERROR(I92*INDEX('PORTIFÓLIO'!$S$4:$S$433,MATCH($C92,'PORTIFÓLIO'!$C$4:$C$433,0)),"")</f>
        <v/>
      </c>
      <c r="L92" s="219" t="str">
        <f t="array" ref="L92">IFERROR(J92*INDEX('PORTIFÓLIO'!$S$4:$S$433,MATCH($C92,'PORTIFÓLIO'!$C$4:$C$433,0)),"")</f>
        <v/>
      </c>
      <c r="M92" s="220"/>
      <c r="N92" s="220"/>
      <c r="O92" s="220"/>
      <c r="P92" s="220"/>
      <c r="Q92" s="220"/>
      <c r="R92" s="220"/>
      <c r="S92" s="220"/>
      <c r="T92" s="220"/>
      <c r="U92" s="220"/>
      <c r="V92" s="220"/>
      <c r="W92" s="220"/>
    </row>
    <row r="93" ht="15.75" customHeight="1" outlineLevel="1">
      <c r="A93" s="211"/>
      <c r="B93" s="212"/>
      <c r="C93" s="213"/>
      <c r="D93" s="214" t="str">
        <f>IFERROR(VLOOKUP($C93,'PORTIFÓLIO'!C:V,2,0),"")</f>
        <v/>
      </c>
      <c r="E93" s="211" t="str">
        <f>IFERROR(VLOOKUP($C93,'PORTIFÓLIO'!C:V,3,0),"")</f>
        <v/>
      </c>
      <c r="F93" s="211" t="str">
        <f>IFERROR(VLOOKUP($C93,'PORTIFÓLIO'!C:V,4,0),"")</f>
        <v/>
      </c>
      <c r="G93" s="215" t="str">
        <f>IFERROR(VLOOKUP($C93,'PORTIFÓLIO'!C:V,5,0),"")</f>
        <v/>
      </c>
      <c r="H93" s="254" t="str">
        <f t="array" ref="H93">IFERROR(INDEX('PORTIFÓLIO'!$H$4:$H$433,MATCH($C93,'PORTIFÓLIO'!$C$4:$C$433,0)),"")</f>
        <v/>
      </c>
      <c r="I93" s="256"/>
      <c r="J93" s="218">
        <f t="shared" si="10"/>
        <v>0</v>
      </c>
      <c r="K93" s="219" t="str">
        <f t="array" ref="K93">IFERROR(I93*INDEX('PORTIFÓLIO'!$S$4:$S$433,MATCH($C93,'PORTIFÓLIO'!$C$4:$C$433,0)),"")</f>
        <v/>
      </c>
      <c r="L93" s="219" t="str">
        <f t="array" ref="L93">IFERROR(J93*INDEX('PORTIFÓLIO'!$S$4:$S$433,MATCH($C93,'PORTIFÓLIO'!$C$4:$C$433,0)),"")</f>
        <v/>
      </c>
      <c r="M93" s="220"/>
      <c r="N93" s="220"/>
      <c r="O93" s="220"/>
      <c r="P93" s="220"/>
      <c r="Q93" s="220"/>
      <c r="R93" s="220"/>
      <c r="S93" s="220"/>
      <c r="T93" s="220"/>
      <c r="U93" s="220"/>
      <c r="V93" s="220"/>
      <c r="W93" s="220"/>
    </row>
    <row r="94" ht="15.75" customHeight="1" outlineLevel="1">
      <c r="A94" s="211"/>
      <c r="B94" s="212"/>
      <c r="C94" s="213"/>
      <c r="D94" s="214" t="str">
        <f>IFERROR(VLOOKUP($C94,'PORTIFÓLIO'!C:V,2,0),"")</f>
        <v/>
      </c>
      <c r="E94" s="211" t="str">
        <f>IFERROR(VLOOKUP($C94,'PORTIFÓLIO'!C:V,3,0),"")</f>
        <v/>
      </c>
      <c r="F94" s="211" t="str">
        <f>IFERROR(VLOOKUP($C94,'PORTIFÓLIO'!C:V,4,0),"")</f>
        <v/>
      </c>
      <c r="G94" s="215" t="str">
        <f>IFERROR(VLOOKUP($C94,'PORTIFÓLIO'!C:V,5,0),"")</f>
        <v/>
      </c>
      <c r="H94" s="254" t="str">
        <f t="array" ref="H94">IFERROR(INDEX('PORTIFÓLIO'!$H$4:$H$433,MATCH($C94,'PORTIFÓLIO'!$C$4:$C$433,0)),"")</f>
        <v/>
      </c>
      <c r="I94" s="256"/>
      <c r="J94" s="218">
        <f t="shared" si="10"/>
        <v>0</v>
      </c>
      <c r="K94" s="219" t="str">
        <f t="array" ref="K94">IFERROR(I94*INDEX('PORTIFÓLIO'!$S$4:$S$433,MATCH($C94,'PORTIFÓLIO'!$C$4:$C$433,0)),"")</f>
        <v/>
      </c>
      <c r="L94" s="219" t="str">
        <f t="array" ref="L94">IFERROR(J94*INDEX('PORTIFÓLIO'!$S$4:$S$433,MATCH($C94,'PORTIFÓLIO'!$C$4:$C$433,0)),"")</f>
        <v/>
      </c>
      <c r="M94" s="220"/>
      <c r="N94" s="220"/>
      <c r="O94" s="220"/>
      <c r="P94" s="220"/>
      <c r="Q94" s="220"/>
      <c r="R94" s="220"/>
      <c r="S94" s="220"/>
      <c r="T94" s="220"/>
      <c r="U94" s="220"/>
      <c r="V94" s="220"/>
      <c r="W94" s="220"/>
    </row>
    <row r="95" ht="15.75" customHeight="1" outlineLevel="1">
      <c r="A95" s="211"/>
      <c r="B95" s="212"/>
      <c r="C95" s="213"/>
      <c r="D95" s="214" t="str">
        <f>IFERROR(VLOOKUP($C95,'PORTIFÓLIO'!C:V,2,0),"")</f>
        <v/>
      </c>
      <c r="E95" s="211" t="str">
        <f>IFERROR(VLOOKUP($C95,'PORTIFÓLIO'!C:V,3,0),"")</f>
        <v/>
      </c>
      <c r="F95" s="211" t="str">
        <f>IFERROR(VLOOKUP($C95,'PORTIFÓLIO'!C:V,4,0),"")</f>
        <v/>
      </c>
      <c r="G95" s="215" t="str">
        <f>IFERROR(VLOOKUP($C95,'PORTIFÓLIO'!C:V,5,0),"")</f>
        <v/>
      </c>
      <c r="H95" s="254" t="str">
        <f t="array" ref="H95">IFERROR(INDEX('PORTIFÓLIO'!$H$4:$H$433,MATCH($C95,'PORTIFÓLIO'!$C$4:$C$433,0)),"")</f>
        <v/>
      </c>
      <c r="I95" s="256"/>
      <c r="J95" s="218">
        <f t="shared" si="10"/>
        <v>0</v>
      </c>
      <c r="K95" s="219" t="str">
        <f t="array" ref="K95">IFERROR(I95*INDEX('PORTIFÓLIO'!$S$4:$S$433,MATCH($C95,'PORTIFÓLIO'!$C$4:$C$433,0)),"")</f>
        <v/>
      </c>
      <c r="L95" s="219" t="str">
        <f t="array" ref="L95">IFERROR(J95*INDEX('PORTIFÓLIO'!$S$4:$S$433,MATCH($C95,'PORTIFÓLIO'!$C$4:$C$433,0)),"")</f>
        <v/>
      </c>
      <c r="M95" s="220"/>
      <c r="N95" s="220"/>
      <c r="O95" s="220"/>
      <c r="P95" s="220"/>
      <c r="Q95" s="220"/>
      <c r="R95" s="220"/>
      <c r="S95" s="220"/>
      <c r="T95" s="220"/>
      <c r="U95" s="220"/>
      <c r="V95" s="220"/>
      <c r="W95" s="220"/>
    </row>
    <row r="96" ht="15.75" customHeight="1" outlineLevel="1">
      <c r="A96" s="211"/>
      <c r="B96" s="212"/>
      <c r="C96" s="213"/>
      <c r="D96" s="214" t="str">
        <f>IFERROR(VLOOKUP($C96,'PORTIFÓLIO'!C:V,2,0),"")</f>
        <v/>
      </c>
      <c r="E96" s="211" t="str">
        <f>IFERROR(VLOOKUP($C96,'PORTIFÓLIO'!C:V,3,0),"")</f>
        <v/>
      </c>
      <c r="F96" s="211" t="str">
        <f>IFERROR(VLOOKUP($C96,'PORTIFÓLIO'!C:V,4,0),"")</f>
        <v/>
      </c>
      <c r="G96" s="215" t="str">
        <f>IFERROR(VLOOKUP($C96,'PORTIFÓLIO'!C:V,5,0),"")</f>
        <v/>
      </c>
      <c r="H96" s="254" t="str">
        <f t="array" ref="H96">IFERROR(INDEX('PORTIFÓLIO'!$H$4:$H$433,MATCH($C96,'PORTIFÓLIO'!$C$4:$C$433,0)),"")</f>
        <v/>
      </c>
      <c r="I96" s="256"/>
      <c r="J96" s="218">
        <f t="shared" si="10"/>
        <v>0</v>
      </c>
      <c r="K96" s="219" t="str">
        <f t="array" ref="K96">IFERROR(I96*INDEX('PORTIFÓLIO'!$S$4:$S$433,MATCH($C96,'PORTIFÓLIO'!$C$4:$C$433,0)),"")</f>
        <v/>
      </c>
      <c r="L96" s="219" t="str">
        <f t="array" ref="L96">IFERROR(J96*INDEX('PORTIFÓLIO'!$S$4:$S$433,MATCH($C96,'PORTIFÓLIO'!$C$4:$C$433,0)),"")</f>
        <v/>
      </c>
      <c r="M96" s="220"/>
      <c r="N96" s="220"/>
      <c r="O96" s="220"/>
      <c r="P96" s="220"/>
      <c r="Q96" s="220"/>
      <c r="R96" s="220"/>
      <c r="S96" s="220"/>
      <c r="T96" s="220"/>
      <c r="U96" s="220"/>
      <c r="V96" s="220"/>
      <c r="W96" s="220"/>
    </row>
    <row r="97" ht="15.75" customHeight="1">
      <c r="A97" s="229" t="s">
        <v>1189</v>
      </c>
      <c r="B97" s="230"/>
      <c r="C97" s="231"/>
      <c r="D97" s="232"/>
      <c r="E97" s="231"/>
      <c r="F97" s="231"/>
      <c r="G97" s="233"/>
      <c r="H97" s="233"/>
      <c r="I97" s="258"/>
      <c r="J97" s="236"/>
      <c r="K97" s="237">
        <f t="shared" ref="K97:L97" si="11">SUBTOTAL(9,K98:K111)</f>
        <v>184.2679845</v>
      </c>
      <c r="L97" s="237">
        <f t="shared" si="11"/>
        <v>7370.71938</v>
      </c>
      <c r="M97" s="220"/>
      <c r="N97" s="220"/>
      <c r="O97" s="220"/>
      <c r="P97" s="220"/>
      <c r="Q97" s="220"/>
      <c r="R97" s="220"/>
      <c r="S97" s="220"/>
      <c r="T97" s="220"/>
      <c r="U97" s="220"/>
      <c r="V97" s="220"/>
      <c r="W97" s="220"/>
    </row>
    <row r="98" ht="15.75" customHeight="1" outlineLevel="1">
      <c r="A98" s="213"/>
      <c r="B98" s="212" t="s">
        <v>0</v>
      </c>
      <c r="C98" s="213" t="s">
        <v>443</v>
      </c>
      <c r="D98" s="214" t="str">
        <f>IFERROR(VLOOKUP($C98,'PORTIFÓLIO'!C:V,2,0),"")</f>
        <v>MEFENTRIFLUCONAZOL + PIRACLOSTROBINA +
 FLUXAPIROXADE</v>
      </c>
      <c r="E98" s="211" t="str">
        <f>IFERROR(VLOOKUP($C98,'PORTIFÓLIO'!C:V,3,0),"")</f>
        <v>133,3 + 177,8 + 88,9</v>
      </c>
      <c r="F98" s="211" t="str">
        <f>IFERROR(VLOOKUP($C98,'PORTIFÓLIO'!C:V,4,0),"")</f>
        <v>L</v>
      </c>
      <c r="G98" s="225" t="str">
        <f>IFERROR(VLOOKUP($C98,'PORTIFÓLIO'!C:V,5,0),"")</f>
        <v>📄 Ver bula</v>
      </c>
      <c r="H98" s="254">
        <f t="array" ref="H98">IFERROR(INDEX('PORTIFÓLIO'!$H$4:$H$433,MATCH($C98,'PORTIFÓLIO'!$C$4:$C$433,0)),"")</f>
        <v>0.7</v>
      </c>
      <c r="I98" s="255">
        <v>0.7</v>
      </c>
      <c r="J98" s="218">
        <f t="shared" ref="J98:J112" si="12">I98*$B$2</f>
        <v>28</v>
      </c>
      <c r="K98" s="219">
        <f t="array" ref="K98">IFERROR(I98*INDEX('PORTIFÓLIO'!$S$4:$S$433,MATCH($C98,'PORTIFÓLIO'!$C$4:$C$433,0)),"")</f>
        <v>119.38752</v>
      </c>
      <c r="L98" s="219">
        <f t="array" ref="L98">IFERROR(J98*INDEX('PORTIFÓLIO'!$S$4:$S$433,MATCH($C98,'PORTIFÓLIO'!$C$4:$C$433,0)),"")</f>
        <v>4775.5008</v>
      </c>
      <c r="M98" s="220"/>
      <c r="N98" s="220"/>
      <c r="O98" s="220"/>
      <c r="P98" s="220"/>
      <c r="Q98" s="220"/>
      <c r="R98" s="220"/>
      <c r="S98" s="220"/>
      <c r="T98" s="220"/>
      <c r="U98" s="220"/>
      <c r="V98" s="220"/>
      <c r="W98" s="220"/>
    </row>
    <row r="99" ht="15.75" customHeight="1" outlineLevel="1">
      <c r="A99" s="211"/>
      <c r="B99" s="212"/>
      <c r="C99" s="213"/>
      <c r="D99" s="214" t="str">
        <f>IFERROR(VLOOKUP($C99,'PORTIFÓLIO'!C:V,2,0),"")</f>
        <v/>
      </c>
      <c r="E99" s="211" t="str">
        <f>IFERROR(VLOOKUP($C99,'PORTIFÓLIO'!C:V,3,0),"")</f>
        <v/>
      </c>
      <c r="F99" s="211" t="str">
        <f>IFERROR(VLOOKUP($C99,'PORTIFÓLIO'!C:V,4,0),"")</f>
        <v/>
      </c>
      <c r="G99" s="215" t="str">
        <f>IFERROR(VLOOKUP($C99,'PORTIFÓLIO'!C:V,5,0),"")</f>
        <v/>
      </c>
      <c r="H99" s="254" t="str">
        <f t="array" ref="H99">IFERROR(INDEX('PORTIFÓLIO'!$H$4:$H$433,MATCH($C99,'PORTIFÓLIO'!$C$4:$C$433,0)),"")</f>
        <v/>
      </c>
      <c r="I99" s="255"/>
      <c r="J99" s="218">
        <f t="shared" si="12"/>
        <v>0</v>
      </c>
      <c r="K99" s="219" t="str">
        <f t="array" ref="K99">IFERROR(I99*INDEX('PORTIFÓLIO'!$S$4:$S$433,MATCH($C99,'PORTIFÓLIO'!$C$4:$C$433,0)),"")</f>
        <v/>
      </c>
      <c r="L99" s="219" t="str">
        <f t="array" ref="L99">IFERROR(J99*INDEX('PORTIFÓLIO'!$S$4:$S$433,MATCH($C99,'PORTIFÓLIO'!$C$4:$C$433,0)),"")</f>
        <v/>
      </c>
      <c r="M99" s="220"/>
      <c r="N99" s="220"/>
      <c r="O99" s="220"/>
      <c r="P99" s="220"/>
      <c r="Q99" s="220"/>
      <c r="R99" s="220"/>
      <c r="S99" s="220"/>
      <c r="T99" s="220"/>
      <c r="U99" s="220"/>
      <c r="V99" s="220"/>
      <c r="W99" s="220"/>
    </row>
    <row r="100" ht="15.75" customHeight="1" outlineLevel="1">
      <c r="A100" s="211"/>
      <c r="B100" s="212" t="s">
        <v>2</v>
      </c>
      <c r="C100" s="213" t="s">
        <v>829</v>
      </c>
      <c r="D100" s="214" t="str">
        <f>IFERROR(VLOOKUP($C100,'PORTIFÓLIO'!C:V,2,0),"")</f>
        <v>BIFENTRINA</v>
      </c>
      <c r="E100" s="211">
        <f>IFERROR(VLOOKUP($C100,'PORTIFÓLIO'!C:V,3,0),"")</f>
        <v>400</v>
      </c>
      <c r="F100" s="211" t="str">
        <f>IFERROR(VLOOKUP($C100,'PORTIFÓLIO'!C:V,4,0),"")</f>
        <v>L</v>
      </c>
      <c r="G100" s="225" t="str">
        <f>IFERROR(VLOOKUP($C100,'PORTIFÓLIO'!C:V,5,0),"")</f>
        <v>📄 Ver bula</v>
      </c>
      <c r="H100" s="254">
        <f t="array" ref="H100">IFERROR(INDEX('PORTIFÓLIO'!$H$4:$H$433,MATCH($C100,'PORTIFÓLIO'!$C$4:$C$433,0)),"")</f>
        <v>0.05</v>
      </c>
      <c r="I100" s="255">
        <v>0.05</v>
      </c>
      <c r="J100" s="218">
        <f t="shared" si="12"/>
        <v>2</v>
      </c>
      <c r="K100" s="219">
        <f t="array" ref="K100">IFERROR(I100*INDEX('PORTIFÓLIO'!$S$4:$S$433,MATCH($C100,'PORTIFÓLIO'!$C$4:$C$433,0)),"")</f>
        <v>3.076419</v>
      </c>
      <c r="L100" s="219">
        <f t="array" ref="L100">IFERROR(J100*INDEX('PORTIFÓLIO'!$S$4:$S$433,MATCH($C100,'PORTIFÓLIO'!$C$4:$C$433,0)),"")</f>
        <v>123.05676</v>
      </c>
      <c r="M100" s="220"/>
      <c r="N100" s="220"/>
      <c r="O100" s="220"/>
      <c r="P100" s="220"/>
      <c r="Q100" s="220"/>
      <c r="R100" s="220"/>
      <c r="S100" s="220"/>
      <c r="T100" s="220"/>
      <c r="U100" s="220"/>
      <c r="V100" s="220"/>
      <c r="W100" s="220"/>
    </row>
    <row r="101" ht="15.75" customHeight="1" outlineLevel="1">
      <c r="A101" s="211"/>
      <c r="B101" s="212" t="s">
        <v>2</v>
      </c>
      <c r="C101" s="213" t="s">
        <v>842</v>
      </c>
      <c r="D101" s="214" t="str">
        <f>IFERROR(VLOOKUP($C101,'PORTIFÓLIO'!C:V,2,0),"")</f>
        <v>IMIDACLOPRIDO</v>
      </c>
      <c r="E101" s="211">
        <f>IFERROR(VLOOKUP($C101,'PORTIFÓLIO'!C:V,3,0),"")</f>
        <v>480</v>
      </c>
      <c r="F101" s="211" t="str">
        <f>IFERROR(VLOOKUP($C101,'PORTIFÓLIO'!C:V,4,0),"")</f>
        <v>L</v>
      </c>
      <c r="G101" s="225" t="str">
        <f>IFERROR(VLOOKUP($C101,'PORTIFÓLIO'!C:V,5,0),"")</f>
        <v>📄 Ver bula</v>
      </c>
      <c r="H101" s="254">
        <f t="array" ref="H101">IFERROR(INDEX('PORTIFÓLIO'!$H$4:$H$433,MATCH($C101,'PORTIFÓLIO'!$C$4:$C$433,0)),"")</f>
        <v>0.25</v>
      </c>
      <c r="I101" s="255">
        <v>0.25</v>
      </c>
      <c r="J101" s="218">
        <f t="shared" si="12"/>
        <v>10</v>
      </c>
      <c r="K101" s="219">
        <f t="array" ref="K101">IFERROR(I101*INDEX('PORTIFÓLIO'!$S$4:$S$433,MATCH($C101,'PORTIFÓLIO'!$C$4:$C$433,0)),"")</f>
        <v>14.0554125</v>
      </c>
      <c r="L101" s="219">
        <f t="array" ref="L101">IFERROR(J101*INDEX('PORTIFÓLIO'!$S$4:$S$433,MATCH($C101,'PORTIFÓLIO'!$C$4:$C$433,0)),"")</f>
        <v>562.2165</v>
      </c>
      <c r="M101" s="220"/>
      <c r="N101" s="220"/>
      <c r="O101" s="220"/>
      <c r="P101" s="220"/>
      <c r="Q101" s="220"/>
      <c r="R101" s="220"/>
      <c r="S101" s="220"/>
      <c r="T101" s="220"/>
      <c r="U101" s="220"/>
      <c r="V101" s="220"/>
      <c r="W101" s="220"/>
    </row>
    <row r="102" ht="15.75" customHeight="1" outlineLevel="1">
      <c r="A102" s="211"/>
      <c r="B102" s="212" t="s">
        <v>2</v>
      </c>
      <c r="C102" s="213" t="s">
        <v>786</v>
      </c>
      <c r="D102" s="214" t="str">
        <f>IFERROR(VLOOKUP($C102,'PORTIFÓLIO'!C:V,2,0),"")</f>
        <v>DIFLUBENZUROM</v>
      </c>
      <c r="E102" s="211">
        <f>IFERROR(VLOOKUP($C102,'PORTIFÓLIO'!C:V,3,0),"")</f>
        <v>480</v>
      </c>
      <c r="F102" s="211" t="str">
        <f>IFERROR(VLOOKUP($C102,'PORTIFÓLIO'!C:V,4,0),"")</f>
        <v>KG</v>
      </c>
      <c r="G102" s="225" t="str">
        <f>IFERROR(VLOOKUP($C102,'PORTIFÓLIO'!C:V,5,0),"")</f>
        <v>📄 Ver bula</v>
      </c>
      <c r="H102" s="254">
        <f t="array" ref="H102">IFERROR(INDEX('PORTIFÓLIO'!$H$4:$H$433,MATCH($C102,'PORTIFÓLIO'!$C$4:$C$433,0)),"")</f>
        <v>0.04</v>
      </c>
      <c r="I102" s="255">
        <v>0.05</v>
      </c>
      <c r="J102" s="218">
        <f t="shared" si="12"/>
        <v>2</v>
      </c>
      <c r="K102" s="219">
        <f t="array" ref="K102">IFERROR(I102*INDEX('PORTIFÓLIO'!$S$4:$S$433,MATCH($C102,'PORTIFÓLIO'!$C$4:$C$433,0)),"")</f>
        <v>2.927979</v>
      </c>
      <c r="L102" s="219">
        <f t="array" ref="L102">IFERROR(J102*INDEX('PORTIFÓLIO'!$S$4:$S$433,MATCH($C102,'PORTIFÓLIO'!$C$4:$C$433,0)),"")</f>
        <v>117.11916</v>
      </c>
      <c r="M102" s="220"/>
      <c r="N102" s="220"/>
      <c r="O102" s="220"/>
      <c r="P102" s="220"/>
      <c r="Q102" s="220"/>
      <c r="R102" s="220"/>
      <c r="S102" s="220"/>
      <c r="T102" s="220"/>
      <c r="U102" s="220"/>
      <c r="V102" s="220"/>
      <c r="W102" s="220"/>
    </row>
    <row r="103" ht="15.75" customHeight="1" outlineLevel="1">
      <c r="A103" s="211"/>
      <c r="B103" s="212" t="s">
        <v>6</v>
      </c>
      <c r="C103" s="213" t="s">
        <v>341</v>
      </c>
      <c r="D103" s="214" t="str">
        <f>IFERROR(VLOOKUP($C103,'PORTIFÓLIO'!C:V,2,0),"")</f>
        <v>ESTER METILICO DE SOJA</v>
      </c>
      <c r="E103" s="211">
        <f>IFERROR(VLOOKUP($C103,'PORTIFÓLIO'!C:V,3,0),"")</f>
        <v>765</v>
      </c>
      <c r="F103" s="211" t="str">
        <f>IFERROR(VLOOKUP($C103,'PORTIFÓLIO'!C:V,4,0),"")</f>
        <v>L</v>
      </c>
      <c r="G103" s="225" t="str">
        <f>IFERROR(VLOOKUP($C103,'PORTIFÓLIO'!C:V,5,0),"")</f>
        <v>📄 Ver bula</v>
      </c>
      <c r="H103" s="254">
        <f t="array" ref="H103">IFERROR(INDEX('PORTIFÓLIO'!$H$4:$H$433,MATCH($C103,'PORTIFÓLIO'!$C$4:$C$433,0)),"")</f>
        <v>0.2</v>
      </c>
      <c r="I103" s="255">
        <v>0.2</v>
      </c>
      <c r="J103" s="218">
        <f t="shared" si="12"/>
        <v>8</v>
      </c>
      <c r="K103" s="219">
        <f t="array" ref="K103">IFERROR(I103*INDEX('PORTIFÓLIO'!$S$4:$S$433,MATCH($C103,'PORTIFÓLIO'!$C$4:$C$433,0)),"")</f>
        <v>3.298974</v>
      </c>
      <c r="L103" s="219">
        <f t="array" ref="L103">IFERROR(J103*INDEX('PORTIFÓLIO'!$S$4:$S$433,MATCH($C103,'PORTIFÓLIO'!$C$4:$C$433,0)),"")</f>
        <v>131.95896</v>
      </c>
      <c r="M103" s="220"/>
      <c r="N103" s="220"/>
      <c r="O103" s="220"/>
      <c r="P103" s="220"/>
      <c r="Q103" s="220"/>
      <c r="R103" s="220"/>
      <c r="S103" s="220"/>
      <c r="T103" s="220"/>
      <c r="U103" s="220"/>
      <c r="V103" s="220"/>
      <c r="W103" s="220"/>
    </row>
    <row r="104" ht="15.75" customHeight="1" outlineLevel="1">
      <c r="A104" s="211"/>
      <c r="B104" s="212" t="s">
        <v>0</v>
      </c>
      <c r="C104" s="213" t="s">
        <v>484</v>
      </c>
      <c r="D104" s="214" t="str">
        <f>IFERROR(VLOOKUP($C104,'PORTIFÓLIO'!C:V,2,0),"")</f>
        <v>MANCOZEBE</v>
      </c>
      <c r="E104" s="211">
        <f>IFERROR(VLOOKUP($C104,'PORTIFÓLIO'!C:V,3,0),"")</f>
        <v>750</v>
      </c>
      <c r="F104" s="211" t="str">
        <f>IFERROR(VLOOKUP($C104,'PORTIFÓLIO'!C:V,4,0),"")</f>
        <v>L</v>
      </c>
      <c r="G104" s="225" t="str">
        <f>IFERROR(VLOOKUP($C104,'PORTIFÓLIO'!C:V,5,0),"")</f>
        <v>📄 Ver bula</v>
      </c>
      <c r="H104" s="254">
        <f t="array" ref="H104">IFERROR(INDEX('PORTIFÓLIO'!$H$4:$H$433,MATCH($C104,'PORTIFÓLIO'!$C$4:$C$433,0)),"")</f>
        <v>1.5</v>
      </c>
      <c r="I104" s="255">
        <v>1.5</v>
      </c>
      <c r="J104" s="218">
        <f t="shared" si="12"/>
        <v>60</v>
      </c>
      <c r="K104" s="219">
        <f t="array" ref="K104">IFERROR(I104*INDEX('PORTIFÓLIO'!$S$4:$S$433,MATCH($C104,'PORTIFÓLIO'!$C$4:$C$433,0)),"")</f>
        <v>41.52168</v>
      </c>
      <c r="L104" s="219">
        <f t="array" ref="L104">IFERROR(J104*INDEX('PORTIFÓLIO'!$S$4:$S$433,MATCH($C104,'PORTIFÓLIO'!$C$4:$C$433,0)),"")</f>
        <v>1660.8672</v>
      </c>
      <c r="M104" s="220"/>
      <c r="N104" s="220"/>
      <c r="O104" s="220"/>
      <c r="P104" s="220"/>
      <c r="Q104" s="220"/>
      <c r="R104" s="220"/>
      <c r="S104" s="220"/>
      <c r="T104" s="220"/>
      <c r="U104" s="220"/>
      <c r="V104" s="220"/>
      <c r="W104" s="220"/>
    </row>
    <row r="105" ht="15.75" customHeight="1" outlineLevel="1">
      <c r="A105" s="211"/>
      <c r="B105" s="212"/>
      <c r="C105" s="213"/>
      <c r="D105" s="214" t="str">
        <f>IFERROR(VLOOKUP($C105,'PORTIFÓLIO'!C:V,2,0),"")</f>
        <v/>
      </c>
      <c r="E105" s="211" t="str">
        <f>IFERROR(VLOOKUP($C105,'PORTIFÓLIO'!C:V,3,0),"")</f>
        <v/>
      </c>
      <c r="F105" s="211" t="str">
        <f>IFERROR(VLOOKUP($C105,'PORTIFÓLIO'!C:V,4,0),"")</f>
        <v/>
      </c>
      <c r="G105" s="215" t="str">
        <f>IFERROR(VLOOKUP($C105,'PORTIFÓLIO'!C:V,5,0),"")</f>
        <v/>
      </c>
      <c r="H105" s="254" t="str">
        <f t="array" ref="H105">IFERROR(INDEX('PORTIFÓLIO'!$H$4:$H$433,MATCH($C105,'PORTIFÓLIO'!$C$4:$C$433,0)),"")</f>
        <v/>
      </c>
      <c r="I105" s="256"/>
      <c r="J105" s="218">
        <f t="shared" si="12"/>
        <v>0</v>
      </c>
      <c r="K105" s="219" t="str">
        <f t="array" ref="K105">IFERROR(I105*INDEX('PORTIFÓLIO'!$S$4:$S$433,MATCH($C105,'PORTIFÓLIO'!$C$4:$C$433,0)),"")</f>
        <v/>
      </c>
      <c r="L105" s="219" t="str">
        <f t="array" ref="L105">IFERROR(J105*INDEX('PORTIFÓLIO'!$S$4:$S$433,MATCH($C105,'PORTIFÓLIO'!$C$4:$C$433,0)),"")</f>
        <v/>
      </c>
      <c r="M105" s="220"/>
      <c r="N105" s="220"/>
      <c r="O105" s="220"/>
      <c r="P105" s="220"/>
      <c r="Q105" s="220"/>
      <c r="R105" s="220"/>
      <c r="S105" s="220"/>
      <c r="T105" s="220"/>
      <c r="U105" s="220"/>
      <c r="V105" s="220"/>
      <c r="W105" s="220"/>
    </row>
    <row r="106" ht="15.75" customHeight="1" outlineLevel="1">
      <c r="A106" s="211"/>
      <c r="B106" s="212"/>
      <c r="C106" s="213"/>
      <c r="D106" s="214" t="str">
        <f>IFERROR(VLOOKUP($C106,'PORTIFÓLIO'!C:V,2,0),"")</f>
        <v/>
      </c>
      <c r="E106" s="211" t="str">
        <f>IFERROR(VLOOKUP($C106,'PORTIFÓLIO'!C:V,3,0),"")</f>
        <v/>
      </c>
      <c r="F106" s="211" t="str">
        <f>IFERROR(VLOOKUP($C106,'PORTIFÓLIO'!C:V,4,0),"")</f>
        <v/>
      </c>
      <c r="G106" s="215" t="str">
        <f>IFERROR(VLOOKUP($C106,'PORTIFÓLIO'!C:V,5,0),"")</f>
        <v/>
      </c>
      <c r="H106" s="254" t="str">
        <f t="array" ref="H106">IFERROR(INDEX('PORTIFÓLIO'!$H$4:$H$433,MATCH($C106,'PORTIFÓLIO'!$C$4:$C$433,0)),"")</f>
        <v/>
      </c>
      <c r="I106" s="255"/>
      <c r="J106" s="218">
        <f t="shared" si="12"/>
        <v>0</v>
      </c>
      <c r="K106" s="219" t="str">
        <f t="array" ref="K106">IFERROR(I106*INDEX('PORTIFÓLIO'!$S$4:$S$433,MATCH($C106,'PORTIFÓLIO'!$C$4:$C$433,0)),"")</f>
        <v/>
      </c>
      <c r="L106" s="219" t="str">
        <f t="array" ref="L106">IFERROR(J106*INDEX('PORTIFÓLIO'!$S$4:$S$433,MATCH($C106,'PORTIFÓLIO'!$C$4:$C$433,0)),"")</f>
        <v/>
      </c>
      <c r="M106" s="220"/>
      <c r="N106" s="220"/>
      <c r="O106" s="220"/>
      <c r="P106" s="220"/>
      <c r="Q106" s="220"/>
      <c r="R106" s="220"/>
      <c r="S106" s="220"/>
      <c r="T106" s="220"/>
      <c r="U106" s="220"/>
      <c r="V106" s="220"/>
      <c r="W106" s="220"/>
    </row>
    <row r="107" ht="15.75" customHeight="1" outlineLevel="1">
      <c r="A107" s="211"/>
      <c r="B107" s="212"/>
      <c r="C107" s="213"/>
      <c r="D107" s="214" t="str">
        <f>IFERROR(VLOOKUP($C107,'PORTIFÓLIO'!C:V,2,0),"")</f>
        <v/>
      </c>
      <c r="E107" s="211" t="str">
        <f>IFERROR(VLOOKUP($C107,'PORTIFÓLIO'!C:V,3,0),"")</f>
        <v/>
      </c>
      <c r="F107" s="211" t="str">
        <f>IFERROR(VLOOKUP($C107,'PORTIFÓLIO'!C:V,4,0),"")</f>
        <v/>
      </c>
      <c r="G107" s="215" t="str">
        <f>IFERROR(VLOOKUP($C107,'PORTIFÓLIO'!C:V,5,0),"")</f>
        <v/>
      </c>
      <c r="H107" s="254" t="str">
        <f t="array" ref="H107">IFERROR(INDEX('PORTIFÓLIO'!$H$4:$H$433,MATCH($C107,'PORTIFÓLIO'!$C$4:$C$433,0)),"")</f>
        <v/>
      </c>
      <c r="I107" s="256"/>
      <c r="J107" s="218">
        <f t="shared" si="12"/>
        <v>0</v>
      </c>
      <c r="K107" s="219" t="str">
        <f t="array" ref="K107">IFERROR(I107*INDEX('PORTIFÓLIO'!$S$4:$S$433,MATCH($C107,'PORTIFÓLIO'!$C$4:$C$433,0)),"")</f>
        <v/>
      </c>
      <c r="L107" s="219" t="str">
        <f t="array" ref="L107">IFERROR(J107*INDEX('PORTIFÓLIO'!$S$4:$S$433,MATCH($C107,'PORTIFÓLIO'!$C$4:$C$433,0)),"")</f>
        <v/>
      </c>
      <c r="M107" s="220"/>
      <c r="N107" s="220"/>
      <c r="O107" s="220"/>
      <c r="P107" s="220"/>
      <c r="Q107" s="220"/>
      <c r="R107" s="220"/>
      <c r="S107" s="220"/>
      <c r="T107" s="220"/>
      <c r="U107" s="220"/>
      <c r="V107" s="220"/>
      <c r="W107" s="220"/>
    </row>
    <row r="108" ht="15.75" customHeight="1" outlineLevel="1">
      <c r="A108" s="211"/>
      <c r="B108" s="212"/>
      <c r="C108" s="213"/>
      <c r="D108" s="214" t="str">
        <f>IFERROR(VLOOKUP($C108,'PORTIFÓLIO'!C:V,2,0),"")</f>
        <v/>
      </c>
      <c r="E108" s="211" t="str">
        <f>IFERROR(VLOOKUP($C108,'PORTIFÓLIO'!C:V,3,0),"")</f>
        <v/>
      </c>
      <c r="F108" s="211" t="str">
        <f>IFERROR(VLOOKUP($C108,'PORTIFÓLIO'!C:V,4,0),"")</f>
        <v/>
      </c>
      <c r="G108" s="215" t="str">
        <f>IFERROR(VLOOKUP($C108,'PORTIFÓLIO'!C:V,5,0),"")</f>
        <v/>
      </c>
      <c r="H108" s="254" t="str">
        <f t="array" ref="H108">IFERROR(INDEX('PORTIFÓLIO'!$H$4:$H$433,MATCH($C108,'PORTIFÓLIO'!$C$4:$C$433,0)),"")</f>
        <v/>
      </c>
      <c r="I108" s="256"/>
      <c r="J108" s="218">
        <f t="shared" si="12"/>
        <v>0</v>
      </c>
      <c r="K108" s="219" t="str">
        <f t="array" ref="K108">IFERROR(I108*INDEX('PORTIFÓLIO'!$S$4:$S$433,MATCH($C108,'PORTIFÓLIO'!$C$4:$C$433,0)),"")</f>
        <v/>
      </c>
      <c r="L108" s="219" t="str">
        <f t="array" ref="L108">IFERROR(J108*INDEX('PORTIFÓLIO'!$S$4:$S$433,MATCH($C108,'PORTIFÓLIO'!$C$4:$C$433,0)),"")</f>
        <v/>
      </c>
      <c r="M108" s="220"/>
      <c r="N108" s="220"/>
      <c r="O108" s="220"/>
      <c r="P108" s="220"/>
      <c r="Q108" s="220"/>
      <c r="R108" s="220"/>
      <c r="S108" s="220"/>
      <c r="T108" s="220"/>
      <c r="U108" s="220"/>
      <c r="V108" s="220"/>
      <c r="W108" s="220"/>
    </row>
    <row r="109" ht="15.75" customHeight="1" outlineLevel="1">
      <c r="A109" s="211"/>
      <c r="B109" s="212"/>
      <c r="C109" s="213"/>
      <c r="D109" s="214" t="str">
        <f>IFERROR(VLOOKUP($C109,'PORTIFÓLIO'!C:V,2,0),"")</f>
        <v/>
      </c>
      <c r="E109" s="211" t="str">
        <f>IFERROR(VLOOKUP($C109,'PORTIFÓLIO'!C:V,3,0),"")</f>
        <v/>
      </c>
      <c r="F109" s="211" t="str">
        <f>IFERROR(VLOOKUP($C109,'PORTIFÓLIO'!C:V,4,0),"")</f>
        <v/>
      </c>
      <c r="G109" s="215" t="str">
        <f>IFERROR(VLOOKUP($C109,'PORTIFÓLIO'!C:V,5,0),"")</f>
        <v/>
      </c>
      <c r="H109" s="254" t="str">
        <f t="array" ref="H109">IFERROR(INDEX('PORTIFÓLIO'!$H$4:$H$433,MATCH($C109,'PORTIFÓLIO'!$C$4:$C$433,0)),"")</f>
        <v/>
      </c>
      <c r="I109" s="256"/>
      <c r="J109" s="218">
        <f t="shared" si="12"/>
        <v>0</v>
      </c>
      <c r="K109" s="219" t="str">
        <f t="array" ref="K109">IFERROR(I109*INDEX('PORTIFÓLIO'!$S$4:$S$433,MATCH($C109,'PORTIFÓLIO'!$C$4:$C$433,0)),"")</f>
        <v/>
      </c>
      <c r="L109" s="219" t="str">
        <f t="array" ref="L109">IFERROR(J109*INDEX('PORTIFÓLIO'!$S$4:$S$433,MATCH($C109,'PORTIFÓLIO'!$C$4:$C$433,0)),"")</f>
        <v/>
      </c>
      <c r="M109" s="220"/>
      <c r="N109" s="220"/>
      <c r="O109" s="220"/>
      <c r="P109" s="220"/>
      <c r="Q109" s="220"/>
      <c r="R109" s="220"/>
      <c r="S109" s="220"/>
      <c r="T109" s="220"/>
      <c r="U109" s="220"/>
      <c r="V109" s="220"/>
      <c r="W109" s="220"/>
    </row>
    <row r="110" ht="15.75" customHeight="1" outlineLevel="1">
      <c r="A110" s="211"/>
      <c r="B110" s="212"/>
      <c r="C110" s="213"/>
      <c r="D110" s="214" t="str">
        <f>IFERROR(VLOOKUP($C110,'PORTIFÓLIO'!C:V,2,0),"")</f>
        <v/>
      </c>
      <c r="E110" s="211" t="str">
        <f>IFERROR(VLOOKUP($C110,'PORTIFÓLIO'!C:V,3,0),"")</f>
        <v/>
      </c>
      <c r="F110" s="211" t="str">
        <f>IFERROR(VLOOKUP($C110,'PORTIFÓLIO'!C:V,4,0),"")</f>
        <v/>
      </c>
      <c r="G110" s="215" t="str">
        <f>IFERROR(VLOOKUP($C110,'PORTIFÓLIO'!C:V,5,0),"")</f>
        <v/>
      </c>
      <c r="H110" s="254" t="str">
        <f t="array" ref="H110">IFERROR(INDEX('PORTIFÓLIO'!$H$4:$H$433,MATCH($C110,'PORTIFÓLIO'!$C$4:$C$433,0)),"")</f>
        <v/>
      </c>
      <c r="I110" s="256"/>
      <c r="J110" s="218">
        <f t="shared" si="12"/>
        <v>0</v>
      </c>
      <c r="K110" s="219" t="str">
        <f t="array" ref="K110">IFERROR(I110*INDEX('PORTIFÓLIO'!$S$4:$S$433,MATCH($C110,'PORTIFÓLIO'!$C$4:$C$433,0)),"")</f>
        <v/>
      </c>
      <c r="L110" s="219" t="str">
        <f t="array" ref="L110">IFERROR(J110*INDEX('PORTIFÓLIO'!$S$4:$S$433,MATCH($C110,'PORTIFÓLIO'!$C$4:$C$433,0)),"")</f>
        <v/>
      </c>
      <c r="M110" s="220"/>
      <c r="N110" s="220"/>
      <c r="O110" s="220"/>
      <c r="P110" s="220"/>
      <c r="Q110" s="220"/>
      <c r="R110" s="220"/>
      <c r="S110" s="220"/>
      <c r="T110" s="220"/>
      <c r="U110" s="220"/>
      <c r="V110" s="220"/>
      <c r="W110" s="220"/>
    </row>
    <row r="111" ht="15.75" customHeight="1" outlineLevel="1">
      <c r="A111" s="211"/>
      <c r="B111" s="212"/>
      <c r="C111" s="213"/>
      <c r="D111" s="214" t="str">
        <f>IFERROR(VLOOKUP($C111,'PORTIFÓLIO'!C:V,2,0),"")</f>
        <v/>
      </c>
      <c r="E111" s="211" t="str">
        <f>IFERROR(VLOOKUP($C111,'PORTIFÓLIO'!C:V,3,0),"")</f>
        <v/>
      </c>
      <c r="F111" s="211" t="str">
        <f>IFERROR(VLOOKUP($C111,'PORTIFÓLIO'!C:V,4,0),"")</f>
        <v/>
      </c>
      <c r="G111" s="215" t="str">
        <f>IFERROR(VLOOKUP($C111,'PORTIFÓLIO'!C:V,5,0),"")</f>
        <v/>
      </c>
      <c r="H111" s="254" t="str">
        <f t="array" ref="H111">IFERROR(INDEX('PORTIFÓLIO'!$H$4:$H$433,MATCH($C111,'PORTIFÓLIO'!$C$4:$C$433,0)),"")</f>
        <v/>
      </c>
      <c r="I111" s="256"/>
      <c r="J111" s="218">
        <f t="shared" si="12"/>
        <v>0</v>
      </c>
      <c r="K111" s="219" t="str">
        <f t="array" ref="K111">IFERROR(I111*INDEX('PORTIFÓLIO'!$S$4:$S$433,MATCH($C111,'PORTIFÓLIO'!$C$4:$C$433,0)),"")</f>
        <v/>
      </c>
      <c r="L111" s="219" t="str">
        <f t="array" ref="L111">IFERROR(J111*INDEX('PORTIFÓLIO'!$S$4:$S$433,MATCH($C111,'PORTIFÓLIO'!$C$4:$C$433,0)),"")</f>
        <v/>
      </c>
      <c r="M111" s="220"/>
      <c r="N111" s="220"/>
      <c r="O111" s="220"/>
      <c r="P111" s="220"/>
      <c r="Q111" s="220"/>
      <c r="R111" s="220"/>
      <c r="S111" s="220"/>
      <c r="T111" s="220"/>
      <c r="U111" s="220"/>
      <c r="V111" s="220"/>
      <c r="W111" s="220"/>
    </row>
    <row r="112" ht="15.75" customHeight="1" outlineLevel="1">
      <c r="A112" s="211"/>
      <c r="B112" s="212"/>
      <c r="C112" s="213"/>
      <c r="D112" s="214" t="str">
        <f>IFERROR(VLOOKUP($C112,'PORTIFÓLIO'!C:V,2,0),"")</f>
        <v/>
      </c>
      <c r="E112" s="211" t="str">
        <f>IFERROR(VLOOKUP($C112,'PORTIFÓLIO'!C:V,3,0),"")</f>
        <v/>
      </c>
      <c r="F112" s="211" t="str">
        <f>IFERROR(VLOOKUP($C112,'PORTIFÓLIO'!C:V,4,0),"")</f>
        <v/>
      </c>
      <c r="G112" s="215" t="str">
        <f>IFERROR(VLOOKUP($C112,'PORTIFÓLIO'!C:V,5,0),"")</f>
        <v/>
      </c>
      <c r="H112" s="254" t="str">
        <f t="array" ref="H112">IFERROR(INDEX('PORTIFÓLIO'!$H$4:$H$433,MATCH($C112,'PORTIFÓLIO'!$C$4:$C$433,0)),"")</f>
        <v/>
      </c>
      <c r="I112" s="256"/>
      <c r="J112" s="218">
        <f t="shared" si="12"/>
        <v>0</v>
      </c>
      <c r="K112" s="219" t="str">
        <f t="array" ref="K112">IFERROR(I112*INDEX('PORTIFÓLIO'!$S$4:$S$433,MATCH($C112,'PORTIFÓLIO'!$C$4:$C$433,0)),"")</f>
        <v/>
      </c>
      <c r="L112" s="219" t="str">
        <f t="array" ref="L112">IFERROR(J112*INDEX('PORTIFÓLIO'!$S$4:$S$433,MATCH($C112,'PORTIFÓLIO'!$C$4:$C$433,0)),"")</f>
        <v/>
      </c>
      <c r="M112" s="220"/>
      <c r="N112" s="220"/>
      <c r="O112" s="220"/>
      <c r="P112" s="220"/>
      <c r="Q112" s="220"/>
      <c r="R112" s="220"/>
      <c r="S112" s="220"/>
      <c r="T112" s="220"/>
      <c r="U112" s="220"/>
      <c r="V112" s="220"/>
      <c r="W112" s="220"/>
    </row>
    <row r="113" ht="15.75" customHeight="1" outlineLevel="1">
      <c r="A113" s="211"/>
      <c r="B113" s="212"/>
      <c r="C113" s="211"/>
      <c r="D113" s="214" t="str">
        <f>IFERROR(VLOOKUP($C113,'PORTIFÓLIO'!C:V,2,0),"")</f>
        <v/>
      </c>
      <c r="E113" s="211" t="str">
        <f>IFERROR(VLOOKUP($C113,'PORTIFÓLIO'!C:V,3,0),"")</f>
        <v/>
      </c>
      <c r="F113" s="211" t="str">
        <f>IFERROR(VLOOKUP($C113,'PORTIFÓLIO'!C:V,4,0),"")</f>
        <v/>
      </c>
      <c r="G113" s="215" t="str">
        <f>IFERROR(VLOOKUP($C113,'PORTIFÓLIO'!C:V,5,0),"")</f>
        <v/>
      </c>
      <c r="H113" s="254" t="str">
        <f t="array" ref="H113">IFERROR(INDEX('PORTIFÓLIO'!$H$4:$H$433,MATCH($C113,'PORTIFÓLIO'!$C$4:$C$433,0)),"")</f>
        <v/>
      </c>
      <c r="I113" s="256"/>
      <c r="J113" s="218"/>
      <c r="K113" s="219" t="str">
        <f t="array" ref="K113">IFERROR(I113*INDEX('PORTIFÓLIO'!$S$4:$S$433,MATCH($C113,'PORTIFÓLIO'!$C$4:$C$433,0)),"")</f>
        <v/>
      </c>
      <c r="L113" s="219" t="str">
        <f t="array" ref="L113">IFERROR(J113*INDEX('PORTIFÓLIO'!$S$4:$S$433,MATCH($C113,'PORTIFÓLIO'!$C$4:$C$433,0)),"")</f>
        <v/>
      </c>
      <c r="M113" s="220"/>
      <c r="N113" s="220"/>
      <c r="O113" s="220"/>
      <c r="P113" s="220"/>
      <c r="Q113" s="220"/>
      <c r="R113" s="220"/>
      <c r="S113" s="220"/>
      <c r="T113" s="220"/>
      <c r="U113" s="220"/>
      <c r="V113" s="220"/>
      <c r="W113" s="220"/>
    </row>
    <row r="114" ht="15.75" customHeight="1">
      <c r="A114" s="229" t="s">
        <v>1190</v>
      </c>
      <c r="B114" s="230"/>
      <c r="C114" s="231"/>
      <c r="D114" s="232"/>
      <c r="E114" s="231"/>
      <c r="F114" s="231"/>
      <c r="G114" s="233"/>
      <c r="H114" s="233"/>
      <c r="I114" s="258"/>
      <c r="J114" s="236"/>
      <c r="K114" s="237">
        <f t="shared" ref="K114:L114" si="13">SUBTOTAL(9,K115:K128)</f>
        <v>169.005179</v>
      </c>
      <c r="L114" s="237">
        <f t="shared" si="13"/>
        <v>6760.20716</v>
      </c>
      <c r="M114" s="220"/>
      <c r="N114" s="220"/>
      <c r="O114" s="220"/>
      <c r="P114" s="220"/>
      <c r="Q114" s="220"/>
      <c r="R114" s="220"/>
      <c r="S114" s="220"/>
      <c r="T114" s="220"/>
      <c r="U114" s="220"/>
      <c r="V114" s="220"/>
      <c r="W114" s="220"/>
    </row>
    <row r="115" ht="15.75" customHeight="1" outlineLevel="1">
      <c r="A115" s="213"/>
      <c r="B115" s="212" t="s">
        <v>0</v>
      </c>
      <c r="C115" s="283" t="s">
        <v>467</v>
      </c>
      <c r="D115" s="214" t="str">
        <f>IFERROR(VLOOKUP($C115,'PORTIFÓLIO'!C:V,2,0),"")</f>
        <v>BIXAFEM + PROTIOCONAZOL + TRIFLOXISTROBINA</v>
      </c>
      <c r="E115" s="211" t="str">
        <f>IFERROR(VLOOKUP($C115,'PORTIFÓLIO'!C:V,3,0),"")</f>
        <v>125 + 175 + 150</v>
      </c>
      <c r="F115" s="211" t="str">
        <f>IFERROR(VLOOKUP($C115,'PORTIFÓLIO'!C:V,4,0),"")</f>
        <v>L</v>
      </c>
      <c r="G115" s="225" t="str">
        <f>IFERROR(VLOOKUP($C115,'PORTIFÓLIO'!C:V,5,0),"")</f>
        <v>📄 Ver bula</v>
      </c>
      <c r="H115" s="254">
        <f t="array" ref="H115">IFERROR(INDEX('PORTIFÓLIO'!$H$4:$H$433,MATCH($C115,'PORTIFÓLIO'!$C$4:$C$433,0)),"")</f>
        <v>0.5</v>
      </c>
      <c r="I115" s="255">
        <v>0.5</v>
      </c>
      <c r="J115" s="218">
        <f t="shared" ref="J115:J129" si="14">I115*$B$2</f>
        <v>20</v>
      </c>
      <c r="K115" s="219">
        <f t="array" ref="K115">IFERROR(I115*INDEX('PORTIFÓLIO'!$S$4:$S$433,MATCH($C115,'PORTIFÓLIO'!$C$4:$C$433,0)),"")</f>
        <v>99.08352</v>
      </c>
      <c r="L115" s="219">
        <f t="array" ref="L115">IFERROR(J115*INDEX('PORTIFÓLIO'!$S$4:$S$433,MATCH($C115,'PORTIFÓLIO'!$C$4:$C$433,0)),"")</f>
        <v>3963.3408</v>
      </c>
      <c r="M115" s="220"/>
      <c r="N115" s="220"/>
      <c r="O115" s="220"/>
      <c r="P115" s="220"/>
      <c r="Q115" s="220"/>
      <c r="R115" s="220"/>
      <c r="S115" s="220"/>
      <c r="T115" s="220"/>
      <c r="U115" s="220"/>
      <c r="V115" s="220"/>
      <c r="W115" s="220"/>
    </row>
    <row r="116" ht="15.75" customHeight="1" outlineLevel="1">
      <c r="A116" s="211"/>
      <c r="B116" s="212"/>
      <c r="C116" s="283"/>
      <c r="D116" s="214" t="str">
        <f>IFERROR(VLOOKUP($C116,'PORTIFÓLIO'!C:V,2,0),"")</f>
        <v/>
      </c>
      <c r="E116" s="211" t="str">
        <f>IFERROR(VLOOKUP($C116,'PORTIFÓLIO'!C:V,3,0),"")</f>
        <v/>
      </c>
      <c r="F116" s="211" t="str">
        <f>IFERROR(VLOOKUP($C116,'PORTIFÓLIO'!C:V,4,0),"")</f>
        <v/>
      </c>
      <c r="G116" s="215" t="str">
        <f>IFERROR(VLOOKUP($C116,'PORTIFÓLIO'!C:V,5,0),"")</f>
        <v/>
      </c>
      <c r="H116" s="254" t="str">
        <f t="array" ref="H116">IFERROR(INDEX('PORTIFÓLIO'!$H$4:$H$433,MATCH($C116,'PORTIFÓLIO'!$C$4:$C$433,0)),"")</f>
        <v/>
      </c>
      <c r="I116" s="255"/>
      <c r="J116" s="218">
        <f t="shared" si="14"/>
        <v>0</v>
      </c>
      <c r="K116" s="219" t="str">
        <f t="array" ref="K116">IFERROR(I116*INDEX('PORTIFÓLIO'!$S$4:$S$433,MATCH($C116,'PORTIFÓLIO'!$C$4:$C$433,0)),"")</f>
        <v/>
      </c>
      <c r="L116" s="219" t="str">
        <f t="array" ref="L116">IFERROR(J116*INDEX('PORTIFÓLIO'!$S$4:$S$433,MATCH($C116,'PORTIFÓLIO'!$C$4:$C$433,0)),"")</f>
        <v/>
      </c>
      <c r="M116" s="220"/>
      <c r="N116" s="220"/>
      <c r="O116" s="220"/>
      <c r="P116" s="220"/>
      <c r="Q116" s="220"/>
      <c r="R116" s="220"/>
      <c r="S116" s="220"/>
      <c r="T116" s="220"/>
      <c r="U116" s="220"/>
      <c r="V116" s="220"/>
      <c r="W116" s="220"/>
    </row>
    <row r="117" ht="15.75" customHeight="1" outlineLevel="1">
      <c r="A117" s="211"/>
      <c r="B117" s="212" t="s">
        <v>0</v>
      </c>
      <c r="C117" s="283" t="s">
        <v>484</v>
      </c>
      <c r="D117" s="214" t="str">
        <f>IFERROR(VLOOKUP($C117,'PORTIFÓLIO'!C:V,2,0),"")</f>
        <v>MANCOZEBE</v>
      </c>
      <c r="E117" s="211">
        <f>IFERROR(VLOOKUP($C117,'PORTIFÓLIO'!C:V,3,0),"")</f>
        <v>750</v>
      </c>
      <c r="F117" s="211" t="str">
        <f>IFERROR(VLOOKUP($C117,'PORTIFÓLIO'!C:V,4,0),"")</f>
        <v>L</v>
      </c>
      <c r="G117" s="225" t="str">
        <f>IFERROR(VLOOKUP($C117,'PORTIFÓLIO'!C:V,5,0),"")</f>
        <v>📄 Ver bula</v>
      </c>
      <c r="H117" s="254">
        <f t="array" ref="H117">IFERROR(INDEX('PORTIFÓLIO'!$H$4:$H$433,MATCH($C117,'PORTIFÓLIO'!$C$4:$C$433,0)),"")</f>
        <v>1.5</v>
      </c>
      <c r="I117" s="255">
        <v>1.5</v>
      </c>
      <c r="J117" s="218">
        <f t="shared" si="14"/>
        <v>60</v>
      </c>
      <c r="K117" s="219">
        <f t="array" ref="K117">IFERROR(I117*INDEX('PORTIFÓLIO'!$S$4:$S$433,MATCH($C117,'PORTIFÓLIO'!$C$4:$C$433,0)),"")</f>
        <v>41.52168</v>
      </c>
      <c r="L117" s="219">
        <f t="array" ref="L117">IFERROR(J117*INDEX('PORTIFÓLIO'!$S$4:$S$433,MATCH($C117,'PORTIFÓLIO'!$C$4:$C$433,0)),"")</f>
        <v>1660.8672</v>
      </c>
      <c r="M117" s="220"/>
      <c r="N117" s="220"/>
      <c r="O117" s="220"/>
      <c r="P117" s="220"/>
      <c r="Q117" s="220"/>
      <c r="R117" s="220"/>
      <c r="S117" s="220"/>
      <c r="T117" s="220"/>
      <c r="U117" s="220"/>
      <c r="V117" s="220"/>
      <c r="W117" s="220"/>
    </row>
    <row r="118" ht="15.75" customHeight="1" outlineLevel="1">
      <c r="A118" s="211"/>
      <c r="B118" s="212" t="s">
        <v>2</v>
      </c>
      <c r="C118" s="283" t="s">
        <v>752</v>
      </c>
      <c r="D118" s="214" t="str">
        <f>IFERROR(VLOOKUP($C118,'PORTIFÓLIO'!C:V,2,0),"")</f>
        <v>ACEFATO</v>
      </c>
      <c r="E118" s="211">
        <f>IFERROR(VLOOKUP($C118,'PORTIFÓLIO'!C:V,3,0),"")</f>
        <v>970</v>
      </c>
      <c r="F118" s="211" t="str">
        <f>IFERROR(VLOOKUP($C118,'PORTIFÓLIO'!C:V,4,0),"")</f>
        <v>L</v>
      </c>
      <c r="G118" s="225" t="str">
        <f>IFERROR(VLOOKUP($C118,'PORTIFÓLIO'!C:V,5,0),"")</f>
        <v>📄 Ver bula</v>
      </c>
      <c r="H118" s="254">
        <f t="array" ref="H118">IFERROR(INDEX('PORTIFÓLIO'!$H$4:$H$433,MATCH($C118,'PORTIFÓLIO'!$C$4:$C$433,0)),"")</f>
        <v>0.6</v>
      </c>
      <c r="I118" s="255">
        <v>0.6</v>
      </c>
      <c r="J118" s="218">
        <f t="shared" si="14"/>
        <v>24</v>
      </c>
      <c r="K118" s="219">
        <f t="array" ref="K118">IFERROR(I118*INDEX('PORTIFÓLIO'!$S$4:$S$433,MATCH($C118,'PORTIFÓLIO'!$C$4:$C$433,0)),"")</f>
        <v>22.266</v>
      </c>
      <c r="L118" s="219">
        <f t="array" ref="L118">IFERROR(J118*INDEX('PORTIFÓLIO'!$S$4:$S$433,MATCH($C118,'PORTIFÓLIO'!$C$4:$C$433,0)),"")</f>
        <v>890.64</v>
      </c>
      <c r="M118" s="220"/>
      <c r="N118" s="220"/>
      <c r="O118" s="220"/>
      <c r="P118" s="220"/>
      <c r="Q118" s="220"/>
      <c r="R118" s="220"/>
      <c r="S118" s="220"/>
      <c r="T118" s="220"/>
      <c r="U118" s="220"/>
      <c r="V118" s="220"/>
      <c r="W118" s="220"/>
    </row>
    <row r="119" ht="15.75" customHeight="1" outlineLevel="1">
      <c r="A119" s="211"/>
      <c r="B119" s="212" t="s">
        <v>2</v>
      </c>
      <c r="C119" s="283" t="s">
        <v>786</v>
      </c>
      <c r="D119" s="214" t="str">
        <f>IFERROR(VLOOKUP($C119,'PORTIFÓLIO'!C:V,2,0),"")</f>
        <v>DIFLUBENZUROM</v>
      </c>
      <c r="E119" s="211">
        <f>IFERROR(VLOOKUP($C119,'PORTIFÓLIO'!C:V,3,0),"")</f>
        <v>480</v>
      </c>
      <c r="F119" s="211" t="str">
        <f>IFERROR(VLOOKUP($C119,'PORTIFÓLIO'!C:V,4,0),"")</f>
        <v>KG</v>
      </c>
      <c r="G119" s="225" t="str">
        <f>IFERROR(VLOOKUP($C119,'PORTIFÓLIO'!C:V,5,0),"")</f>
        <v>📄 Ver bula</v>
      </c>
      <c r="H119" s="254">
        <f t="array" ref="H119">IFERROR(INDEX('PORTIFÓLIO'!$H$4:$H$433,MATCH($C119,'PORTIFÓLIO'!$C$4:$C$433,0)),"")</f>
        <v>0.04</v>
      </c>
      <c r="I119" s="255">
        <v>0.05</v>
      </c>
      <c r="J119" s="218">
        <f t="shared" si="14"/>
        <v>2</v>
      </c>
      <c r="K119" s="219">
        <f t="array" ref="K119">IFERROR(I119*INDEX('PORTIFÓLIO'!$S$4:$S$433,MATCH($C119,'PORTIFÓLIO'!$C$4:$C$433,0)),"")</f>
        <v>2.927979</v>
      </c>
      <c r="L119" s="219">
        <f t="array" ref="L119">IFERROR(J119*INDEX('PORTIFÓLIO'!$S$4:$S$433,MATCH($C119,'PORTIFÓLIO'!$C$4:$C$433,0)),"")</f>
        <v>117.11916</v>
      </c>
      <c r="M119" s="220"/>
      <c r="N119" s="220"/>
      <c r="O119" s="220"/>
      <c r="P119" s="220"/>
      <c r="Q119" s="220"/>
      <c r="R119" s="220"/>
      <c r="S119" s="220"/>
      <c r="T119" s="220"/>
      <c r="U119" s="220"/>
      <c r="V119" s="220"/>
      <c r="W119" s="220"/>
    </row>
    <row r="120" ht="15.75" customHeight="1" outlineLevel="1">
      <c r="A120" s="211"/>
      <c r="B120" s="212" t="s">
        <v>6</v>
      </c>
      <c r="C120" s="213" t="s">
        <v>354</v>
      </c>
      <c r="D120" s="214" t="str">
        <f>IFERROR(VLOOKUP($C120,'PORTIFÓLIO'!C:V,2,0),"")</f>
        <v>OLEO MINERAL</v>
      </c>
      <c r="E120" s="211">
        <f>IFERROR(VLOOKUP($C120,'PORTIFÓLIO'!C:V,3,0),"")</f>
        <v>761</v>
      </c>
      <c r="F120" s="211" t="str">
        <f>IFERROR(VLOOKUP($C120,'PORTIFÓLIO'!C:V,4,0),"")</f>
        <v>L</v>
      </c>
      <c r="G120" s="225" t="str">
        <f>IFERROR(VLOOKUP($C120,'PORTIFÓLIO'!C:V,5,0),"")</f>
        <v>📄 Ver bula</v>
      </c>
      <c r="H120" s="254">
        <f t="array" ref="H120">IFERROR(INDEX('PORTIFÓLIO'!$H$4:$H$433,MATCH($C120,'PORTIFÓLIO'!$C$4:$C$433,0)),"")</f>
        <v>0.2</v>
      </c>
      <c r="I120" s="255">
        <v>0.2</v>
      </c>
      <c r="J120" s="218">
        <f t="shared" si="14"/>
        <v>8</v>
      </c>
      <c r="K120" s="219">
        <f t="array" ref="K120">IFERROR(I120*INDEX('PORTIFÓLIO'!$S$4:$S$433,MATCH($C120,'PORTIFÓLIO'!$C$4:$C$433,0)),"")</f>
        <v>3.206</v>
      </c>
      <c r="L120" s="219">
        <f t="array" ref="L120">IFERROR(J120*INDEX('PORTIFÓLIO'!$S$4:$S$433,MATCH($C120,'PORTIFÓLIO'!$C$4:$C$433,0)),"")</f>
        <v>128.24</v>
      </c>
      <c r="M120" s="220"/>
      <c r="N120" s="220"/>
      <c r="O120" s="220"/>
      <c r="P120" s="220"/>
      <c r="Q120" s="220"/>
      <c r="R120" s="220"/>
      <c r="S120" s="220"/>
      <c r="T120" s="220"/>
      <c r="U120" s="220"/>
      <c r="V120" s="220"/>
      <c r="W120" s="220"/>
    </row>
    <row r="121" ht="15.75" customHeight="1" outlineLevel="1">
      <c r="A121" s="211"/>
      <c r="B121" s="212"/>
      <c r="C121" s="213"/>
      <c r="D121" s="214" t="str">
        <f>IFERROR(VLOOKUP($C121,'PORTIFÓLIO'!C:V,2,0),"")</f>
        <v/>
      </c>
      <c r="E121" s="211" t="str">
        <f>IFERROR(VLOOKUP($C121,'PORTIFÓLIO'!C:V,3,0),"")</f>
        <v/>
      </c>
      <c r="F121" s="211" t="str">
        <f>IFERROR(VLOOKUP($C121,'PORTIFÓLIO'!C:V,4,0),"")</f>
        <v/>
      </c>
      <c r="G121" s="215" t="str">
        <f>IFERROR(VLOOKUP($C121,'PORTIFÓLIO'!C:V,5,0),"")</f>
        <v/>
      </c>
      <c r="H121" s="254" t="str">
        <f t="array" ref="H121">IFERROR(INDEX('PORTIFÓLIO'!$H$4:$H$433,MATCH($C121,'PORTIFÓLIO'!$C$4:$C$433,0)),"")</f>
        <v/>
      </c>
      <c r="I121" s="255"/>
      <c r="J121" s="218">
        <f t="shared" si="14"/>
        <v>0</v>
      </c>
      <c r="K121" s="219" t="str">
        <f t="array" ref="K121">IFERROR(I121*INDEX('PORTIFÓLIO'!$S$4:$S$433,MATCH($C121,'PORTIFÓLIO'!$C$4:$C$433,0)),"")</f>
        <v/>
      </c>
      <c r="L121" s="219" t="str">
        <f t="array" ref="L121">IFERROR(J121*INDEX('PORTIFÓLIO'!$S$4:$S$433,MATCH($C121,'PORTIFÓLIO'!$C$4:$C$433,0)),"")</f>
        <v/>
      </c>
      <c r="M121" s="220"/>
      <c r="N121" s="220"/>
      <c r="O121" s="220"/>
      <c r="P121" s="220"/>
      <c r="Q121" s="220"/>
      <c r="R121" s="220"/>
      <c r="S121" s="220"/>
      <c r="T121" s="220"/>
      <c r="U121" s="220"/>
      <c r="V121" s="220"/>
      <c r="W121" s="220"/>
    </row>
    <row r="122" ht="15.75" customHeight="1" outlineLevel="1">
      <c r="A122" s="211"/>
      <c r="B122" s="212"/>
      <c r="C122" s="213"/>
      <c r="D122" s="214" t="str">
        <f>IFERROR(VLOOKUP($C122,'PORTIFÓLIO'!C:V,2,0),"")</f>
        <v/>
      </c>
      <c r="E122" s="211" t="str">
        <f>IFERROR(VLOOKUP($C122,'PORTIFÓLIO'!C:V,3,0),"")</f>
        <v/>
      </c>
      <c r="F122" s="211" t="str">
        <f>IFERROR(VLOOKUP($C122,'PORTIFÓLIO'!C:V,4,0),"")</f>
        <v/>
      </c>
      <c r="G122" s="215" t="str">
        <f>IFERROR(VLOOKUP($C122,'PORTIFÓLIO'!C:V,5,0),"")</f>
        <v/>
      </c>
      <c r="H122" s="254" t="str">
        <f t="array" ref="H122">IFERROR(INDEX('PORTIFÓLIO'!$H$4:$H$433,MATCH($C122,'PORTIFÓLIO'!$C$4:$C$433,0)),"")</f>
        <v/>
      </c>
      <c r="I122" s="255"/>
      <c r="J122" s="218">
        <f t="shared" si="14"/>
        <v>0</v>
      </c>
      <c r="K122" s="219" t="str">
        <f t="array" ref="K122">IFERROR(I122*INDEX('PORTIFÓLIO'!$S$4:$S$433,MATCH($C122,'PORTIFÓLIO'!$C$4:$C$433,0)),"")</f>
        <v/>
      </c>
      <c r="L122" s="219" t="str">
        <f t="array" ref="L122">IFERROR(J122*INDEX('PORTIFÓLIO'!$S$4:$S$433,MATCH($C122,'PORTIFÓLIO'!$C$4:$C$433,0)),"")</f>
        <v/>
      </c>
      <c r="M122" s="220"/>
      <c r="N122" s="220"/>
      <c r="O122" s="220"/>
      <c r="P122" s="220"/>
      <c r="Q122" s="220"/>
      <c r="R122" s="220"/>
      <c r="S122" s="220"/>
      <c r="T122" s="220"/>
      <c r="U122" s="220"/>
      <c r="V122" s="220"/>
      <c r="W122" s="220"/>
    </row>
    <row r="123" ht="15.75" customHeight="1" outlineLevel="1">
      <c r="A123" s="211"/>
      <c r="B123" s="212"/>
      <c r="C123" s="213"/>
      <c r="D123" s="214" t="str">
        <f>IFERROR(VLOOKUP($C123,'PORTIFÓLIO'!C:V,2,0),"")</f>
        <v/>
      </c>
      <c r="E123" s="211" t="str">
        <f>IFERROR(VLOOKUP($C123,'PORTIFÓLIO'!C:V,3,0),"")</f>
        <v/>
      </c>
      <c r="F123" s="211" t="str">
        <f>IFERROR(VLOOKUP($C123,'PORTIFÓLIO'!C:V,4,0),"")</f>
        <v/>
      </c>
      <c r="G123" s="215" t="str">
        <f>IFERROR(VLOOKUP($C123,'PORTIFÓLIO'!C:V,5,0),"")</f>
        <v/>
      </c>
      <c r="H123" s="254" t="str">
        <f t="array" ref="H123">IFERROR(INDEX('PORTIFÓLIO'!$H$4:$H$433,MATCH($C123,'PORTIFÓLIO'!$C$4:$C$433,0)),"")</f>
        <v/>
      </c>
      <c r="I123" s="255"/>
      <c r="J123" s="218">
        <f t="shared" si="14"/>
        <v>0</v>
      </c>
      <c r="K123" s="219" t="str">
        <f t="array" ref="K123">IFERROR(I123*INDEX('PORTIFÓLIO'!$S$4:$S$433,MATCH($C123,'PORTIFÓLIO'!$C$4:$C$433,0)),"")</f>
        <v/>
      </c>
      <c r="L123" s="219" t="str">
        <f t="array" ref="L123">IFERROR(J123*INDEX('PORTIFÓLIO'!$S$4:$S$433,MATCH($C123,'PORTIFÓLIO'!$C$4:$C$433,0)),"")</f>
        <v/>
      </c>
      <c r="M123" s="220"/>
      <c r="N123" s="220"/>
      <c r="O123" s="220"/>
      <c r="P123" s="220"/>
      <c r="Q123" s="220"/>
      <c r="R123" s="220"/>
      <c r="S123" s="220"/>
      <c r="T123" s="220"/>
      <c r="U123" s="220"/>
      <c r="V123" s="220"/>
      <c r="W123" s="220"/>
    </row>
    <row r="124" ht="15.75" customHeight="1" outlineLevel="1">
      <c r="A124" s="211"/>
      <c r="B124" s="212"/>
      <c r="C124" s="213"/>
      <c r="D124" s="214" t="str">
        <f>IFERROR(VLOOKUP($C124,'PORTIFÓLIO'!C:V,2,0),"")</f>
        <v/>
      </c>
      <c r="E124" s="211" t="str">
        <f>IFERROR(VLOOKUP($C124,'PORTIFÓLIO'!C:V,3,0),"")</f>
        <v/>
      </c>
      <c r="F124" s="211" t="str">
        <f>IFERROR(VLOOKUP($C124,'PORTIFÓLIO'!C:V,4,0),"")</f>
        <v/>
      </c>
      <c r="G124" s="215" t="str">
        <f>IFERROR(VLOOKUP($C124,'PORTIFÓLIO'!C:V,5,0),"")</f>
        <v/>
      </c>
      <c r="H124" s="254" t="str">
        <f t="array" ref="H124">IFERROR(INDEX('PORTIFÓLIO'!$H$4:$H$433,MATCH($C124,'PORTIFÓLIO'!$C$4:$C$433,0)),"")</f>
        <v/>
      </c>
      <c r="I124" s="256"/>
      <c r="J124" s="218">
        <f t="shared" si="14"/>
        <v>0</v>
      </c>
      <c r="K124" s="219" t="str">
        <f t="array" ref="K124">IFERROR(I124*INDEX('PORTIFÓLIO'!$S$4:$S$433,MATCH($C124,'PORTIFÓLIO'!$C$4:$C$433,0)),"")</f>
        <v/>
      </c>
      <c r="L124" s="219" t="str">
        <f t="array" ref="L124">IFERROR(J124*INDEX('PORTIFÓLIO'!$S$4:$S$433,MATCH($C124,'PORTIFÓLIO'!$C$4:$C$433,0)),"")</f>
        <v/>
      </c>
      <c r="M124" s="220"/>
      <c r="N124" s="220"/>
      <c r="O124" s="220"/>
      <c r="P124" s="220"/>
      <c r="Q124" s="220"/>
      <c r="R124" s="220"/>
      <c r="S124" s="220"/>
      <c r="T124" s="220"/>
      <c r="U124" s="220"/>
      <c r="V124" s="220"/>
      <c r="W124" s="220"/>
    </row>
    <row r="125" ht="15.75" customHeight="1" outlineLevel="1">
      <c r="A125" s="211"/>
      <c r="B125" s="212"/>
      <c r="C125" s="213"/>
      <c r="D125" s="214" t="str">
        <f>IFERROR(VLOOKUP($C125,'PORTIFÓLIO'!C:V,2,0),"")</f>
        <v/>
      </c>
      <c r="E125" s="211" t="str">
        <f>IFERROR(VLOOKUP($C125,'PORTIFÓLIO'!C:V,3,0),"")</f>
        <v/>
      </c>
      <c r="F125" s="211" t="str">
        <f>IFERROR(VLOOKUP($C125,'PORTIFÓLIO'!C:V,4,0),"")</f>
        <v/>
      </c>
      <c r="G125" s="215" t="str">
        <f>IFERROR(VLOOKUP($C125,'PORTIFÓLIO'!C:V,5,0),"")</f>
        <v/>
      </c>
      <c r="H125" s="254" t="str">
        <f t="array" ref="H125">IFERROR(INDEX('PORTIFÓLIO'!$H$4:$H$433,MATCH($C125,'PORTIFÓLIO'!$C$4:$C$433,0)),"")</f>
        <v/>
      </c>
      <c r="I125" s="256"/>
      <c r="J125" s="218">
        <f t="shared" si="14"/>
        <v>0</v>
      </c>
      <c r="K125" s="219" t="str">
        <f t="array" ref="K125">IFERROR(I125*INDEX('PORTIFÓLIO'!$S$4:$S$433,MATCH($C125,'PORTIFÓLIO'!$C$4:$C$433,0)),"")</f>
        <v/>
      </c>
      <c r="L125" s="219" t="str">
        <f t="array" ref="L125">IFERROR(J125*INDEX('PORTIFÓLIO'!$S$4:$S$433,MATCH($C125,'PORTIFÓLIO'!$C$4:$C$433,0)),"")</f>
        <v/>
      </c>
      <c r="M125" s="220"/>
      <c r="N125" s="220"/>
      <c r="O125" s="220"/>
      <c r="P125" s="220"/>
      <c r="Q125" s="220"/>
      <c r="R125" s="220"/>
      <c r="S125" s="220"/>
      <c r="T125" s="220"/>
      <c r="U125" s="220"/>
      <c r="V125" s="220"/>
      <c r="W125" s="220"/>
    </row>
    <row r="126" ht="15.75" customHeight="1" outlineLevel="1">
      <c r="A126" s="211"/>
      <c r="B126" s="212"/>
      <c r="C126" s="213"/>
      <c r="D126" s="214" t="str">
        <f>IFERROR(VLOOKUP($C126,'PORTIFÓLIO'!C:V,2,0),"")</f>
        <v/>
      </c>
      <c r="E126" s="211" t="str">
        <f>IFERROR(VLOOKUP($C126,'PORTIFÓLIO'!C:V,3,0),"")</f>
        <v/>
      </c>
      <c r="F126" s="211" t="str">
        <f>IFERROR(VLOOKUP($C126,'PORTIFÓLIO'!C:V,4,0),"")</f>
        <v/>
      </c>
      <c r="G126" s="215" t="str">
        <f>IFERROR(VLOOKUP($C126,'PORTIFÓLIO'!C:V,5,0),"")</f>
        <v/>
      </c>
      <c r="H126" s="254" t="str">
        <f t="array" ref="H126">IFERROR(INDEX('PORTIFÓLIO'!$H$4:$H$433,MATCH($C126,'PORTIFÓLIO'!$C$4:$C$433,0)),"")</f>
        <v/>
      </c>
      <c r="I126" s="256"/>
      <c r="J126" s="218">
        <f t="shared" si="14"/>
        <v>0</v>
      </c>
      <c r="K126" s="219" t="str">
        <f t="array" ref="K126">IFERROR(I126*INDEX('PORTIFÓLIO'!$S$4:$S$433,MATCH($C126,'PORTIFÓLIO'!$C$4:$C$433,0)),"")</f>
        <v/>
      </c>
      <c r="L126" s="219" t="str">
        <f t="array" ref="L126">IFERROR(J126*INDEX('PORTIFÓLIO'!$S$4:$S$433,MATCH($C126,'PORTIFÓLIO'!$C$4:$C$433,0)),"")</f>
        <v/>
      </c>
      <c r="M126" s="220"/>
      <c r="N126" s="220"/>
      <c r="O126" s="220"/>
      <c r="P126" s="220"/>
      <c r="Q126" s="220"/>
      <c r="R126" s="220"/>
      <c r="S126" s="220"/>
      <c r="T126" s="220"/>
      <c r="U126" s="220"/>
      <c r="V126" s="220"/>
      <c r="W126" s="220"/>
    </row>
    <row r="127" ht="15.75" customHeight="1" outlineLevel="1">
      <c r="A127" s="211"/>
      <c r="B127" s="212"/>
      <c r="C127" s="213"/>
      <c r="D127" s="214" t="str">
        <f>IFERROR(VLOOKUP($C127,'PORTIFÓLIO'!C:V,2,0),"")</f>
        <v/>
      </c>
      <c r="E127" s="211" t="str">
        <f>IFERROR(VLOOKUP($C127,'PORTIFÓLIO'!C:V,3,0),"")</f>
        <v/>
      </c>
      <c r="F127" s="211" t="str">
        <f>IFERROR(VLOOKUP($C127,'PORTIFÓLIO'!C:V,4,0),"")</f>
        <v/>
      </c>
      <c r="G127" s="215" t="str">
        <f>IFERROR(VLOOKUP($C127,'PORTIFÓLIO'!C:V,5,0),"")</f>
        <v/>
      </c>
      <c r="H127" s="254" t="str">
        <f t="array" ref="H127">IFERROR(INDEX('PORTIFÓLIO'!$H$4:$H$433,MATCH($C127,'PORTIFÓLIO'!$C$4:$C$433,0)),"")</f>
        <v/>
      </c>
      <c r="I127" s="256"/>
      <c r="J127" s="218">
        <f t="shared" si="14"/>
        <v>0</v>
      </c>
      <c r="K127" s="219" t="str">
        <f t="array" ref="K127">IFERROR(I127*INDEX('PORTIFÓLIO'!$S$4:$S$433,MATCH($C127,'PORTIFÓLIO'!$C$4:$C$433,0)),"")</f>
        <v/>
      </c>
      <c r="L127" s="219" t="str">
        <f t="array" ref="L127">IFERROR(J127*INDEX('PORTIFÓLIO'!$S$4:$S$433,MATCH($C127,'PORTIFÓLIO'!$C$4:$C$433,0)),"")</f>
        <v/>
      </c>
      <c r="M127" s="220"/>
      <c r="N127" s="220"/>
      <c r="O127" s="220"/>
      <c r="P127" s="220"/>
      <c r="Q127" s="220"/>
      <c r="R127" s="220"/>
      <c r="S127" s="220"/>
      <c r="T127" s="220"/>
      <c r="U127" s="220"/>
      <c r="V127" s="220"/>
      <c r="W127" s="220"/>
    </row>
    <row r="128" ht="15.75" customHeight="1" outlineLevel="1">
      <c r="A128" s="211"/>
      <c r="B128" s="212"/>
      <c r="C128" s="213"/>
      <c r="D128" s="214" t="str">
        <f>IFERROR(VLOOKUP($C128,'PORTIFÓLIO'!C:V,2,0),"")</f>
        <v/>
      </c>
      <c r="E128" s="211" t="str">
        <f>IFERROR(VLOOKUP($C128,'PORTIFÓLIO'!C:V,3,0),"")</f>
        <v/>
      </c>
      <c r="F128" s="211" t="str">
        <f>IFERROR(VLOOKUP($C128,'PORTIFÓLIO'!C:V,4,0),"")</f>
        <v/>
      </c>
      <c r="G128" s="215" t="str">
        <f>IFERROR(VLOOKUP($C128,'PORTIFÓLIO'!C:V,5,0),"")</f>
        <v/>
      </c>
      <c r="H128" s="254" t="str">
        <f t="array" ref="H128">IFERROR(INDEX('PORTIFÓLIO'!$H$4:$H$433,MATCH($C128,'PORTIFÓLIO'!$C$4:$C$433,0)),"")</f>
        <v/>
      </c>
      <c r="I128" s="256"/>
      <c r="J128" s="218">
        <f t="shared" si="14"/>
        <v>0</v>
      </c>
      <c r="K128" s="219" t="str">
        <f t="array" ref="K128">IFERROR(I128*INDEX('PORTIFÓLIO'!$S$4:$S$433,MATCH($C128,'PORTIFÓLIO'!$C$4:$C$433,0)),"")</f>
        <v/>
      </c>
      <c r="L128" s="219" t="str">
        <f t="array" ref="L128">IFERROR(J128*INDEX('PORTIFÓLIO'!$S$4:$S$433,MATCH($C128,'PORTIFÓLIO'!$C$4:$C$433,0)),"")</f>
        <v/>
      </c>
      <c r="M128" s="220"/>
      <c r="N128" s="220"/>
      <c r="O128" s="220"/>
      <c r="P128" s="220"/>
      <c r="Q128" s="220"/>
      <c r="R128" s="220"/>
      <c r="S128" s="220"/>
      <c r="T128" s="220"/>
      <c r="U128" s="220"/>
      <c r="V128" s="220"/>
      <c r="W128" s="220"/>
    </row>
    <row r="129" ht="15.75" customHeight="1" outlineLevel="1">
      <c r="A129" s="211"/>
      <c r="B129" s="212"/>
      <c r="C129" s="213"/>
      <c r="D129" s="214" t="str">
        <f>IFERROR(VLOOKUP($C129,'PORTIFÓLIO'!C:V,2,0),"")</f>
        <v/>
      </c>
      <c r="E129" s="211" t="str">
        <f>IFERROR(VLOOKUP($C129,'PORTIFÓLIO'!C:V,3,0),"")</f>
        <v/>
      </c>
      <c r="F129" s="211" t="str">
        <f>IFERROR(VLOOKUP($C129,'PORTIFÓLIO'!C:V,4,0),"")</f>
        <v/>
      </c>
      <c r="G129" s="215" t="str">
        <f>IFERROR(VLOOKUP($C129,'PORTIFÓLIO'!C:V,5,0),"")</f>
        <v/>
      </c>
      <c r="H129" s="254" t="str">
        <f t="array" ref="H129">IFERROR(INDEX('PORTIFÓLIO'!$H$4:$H$433,MATCH($C129,'PORTIFÓLIO'!$C$4:$C$433,0)),"")</f>
        <v/>
      </c>
      <c r="I129" s="256"/>
      <c r="J129" s="218">
        <f t="shared" si="14"/>
        <v>0</v>
      </c>
      <c r="K129" s="219" t="str">
        <f t="array" ref="K129">IFERROR(I129*INDEX('PORTIFÓLIO'!$S$4:$S$433,MATCH($C129,'PORTIFÓLIO'!$C$4:$C$433,0)),"")</f>
        <v/>
      </c>
      <c r="L129" s="219" t="str">
        <f t="array" ref="L129">IFERROR(J129*INDEX('PORTIFÓLIO'!$S$4:$S$433,MATCH($C129,'PORTIFÓLIO'!$C$4:$C$433,0)),"")</f>
        <v/>
      </c>
      <c r="M129" s="220"/>
      <c r="N129" s="220"/>
      <c r="O129" s="220"/>
      <c r="P129" s="220"/>
      <c r="Q129" s="220"/>
      <c r="R129" s="220"/>
      <c r="S129" s="220"/>
      <c r="T129" s="220"/>
      <c r="U129" s="220"/>
      <c r="V129" s="220"/>
      <c r="W129" s="220"/>
    </row>
    <row r="130" ht="15.75" customHeight="1" outlineLevel="1">
      <c r="A130" s="211"/>
      <c r="B130" s="227"/>
      <c r="C130" s="211"/>
      <c r="D130" s="214" t="str">
        <f>IFERROR(VLOOKUP($C130,'PORTIFÓLIO'!C:V,2,0),"")</f>
        <v/>
      </c>
      <c r="E130" s="211" t="str">
        <f>IFERROR(VLOOKUP($C130,'PORTIFÓLIO'!C:V,3,0),"")</f>
        <v/>
      </c>
      <c r="F130" s="211" t="str">
        <f>IFERROR(VLOOKUP($C130,'PORTIFÓLIO'!C:V,4,0),"")</f>
        <v/>
      </c>
      <c r="G130" s="215" t="str">
        <f>IFERROR(VLOOKUP($C130,'PORTIFÓLIO'!C:V,5,0),"")</f>
        <v/>
      </c>
      <c r="H130" s="254" t="str">
        <f t="array" ref="H130">IFERROR(INDEX('PORTIFÓLIO'!$H$4:$H$433,MATCH($C130,'PORTIFÓLIO'!$C$4:$C$433,0)),"")</f>
        <v/>
      </c>
      <c r="I130" s="256"/>
      <c r="J130" s="218"/>
      <c r="K130" s="219" t="str">
        <f t="array" ref="K130">IFERROR(I130*INDEX('PORTIFÓLIO'!$S$4:$S$433,MATCH($C130,'PORTIFÓLIO'!$C$4:$C$433,0)),"")</f>
        <v/>
      </c>
      <c r="L130" s="219" t="str">
        <f t="array" ref="L130">IFERROR(J130*INDEX('PORTIFÓLIO'!$S$4:$S$433,MATCH($C130,'PORTIFÓLIO'!$C$4:$C$433,0)),"")</f>
        <v/>
      </c>
      <c r="M130" s="220"/>
      <c r="N130" s="220"/>
      <c r="O130" s="220"/>
      <c r="P130" s="220"/>
      <c r="Q130" s="220"/>
      <c r="R130" s="220"/>
      <c r="S130" s="220"/>
      <c r="T130" s="220"/>
      <c r="U130" s="220"/>
      <c r="V130" s="220"/>
      <c r="W130" s="220"/>
    </row>
    <row r="131" ht="15.75" customHeight="1">
      <c r="A131" s="229" t="s">
        <v>1191</v>
      </c>
      <c r="B131" s="230"/>
      <c r="C131" s="231"/>
      <c r="D131" s="232"/>
      <c r="E131" s="231"/>
      <c r="F131" s="231"/>
      <c r="G131" s="233"/>
      <c r="H131" s="233"/>
      <c r="I131" s="258"/>
      <c r="J131" s="236"/>
      <c r="K131" s="237">
        <f t="shared" ref="K131:L131" si="15">SUBTOTAL(9,K132:K145)</f>
        <v>101.229074</v>
      </c>
      <c r="L131" s="237">
        <f t="shared" si="15"/>
        <v>4049.16296</v>
      </c>
      <c r="M131" s="220"/>
      <c r="N131" s="220"/>
      <c r="O131" s="220"/>
      <c r="P131" s="220"/>
      <c r="Q131" s="220"/>
      <c r="R131" s="220"/>
      <c r="S131" s="220"/>
      <c r="T131" s="220"/>
      <c r="U131" s="220"/>
      <c r="V131" s="220"/>
      <c r="W131" s="220"/>
    </row>
    <row r="132" ht="15.75" customHeight="1" outlineLevel="1">
      <c r="A132" s="213"/>
      <c r="B132" s="212" t="s">
        <v>0</v>
      </c>
      <c r="C132" s="213" t="s">
        <v>487</v>
      </c>
      <c r="D132" s="214" t="str">
        <f>IFERROR(VLOOKUP($C132,'PORTIFÓLIO'!C:V,2,0),"")</f>
        <v>PICOXISTROBINA + CIPROCONAZOL</v>
      </c>
      <c r="E132" s="211" t="str">
        <f>IFERROR(VLOOKUP($C132,'PORTIFÓLIO'!C:V,3,0),"")</f>
        <v>90 + 40</v>
      </c>
      <c r="F132" s="211" t="str">
        <f>IFERROR(VLOOKUP($C132,'PORTIFÓLIO'!C:V,4,0),"")</f>
        <v>L</v>
      </c>
      <c r="G132" s="225" t="str">
        <f>IFERROR(VLOOKUP($C132,'PORTIFÓLIO'!C:V,5,0),"")</f>
        <v>📄 Ver bula</v>
      </c>
      <c r="H132" s="254">
        <f t="array" ref="H132">IFERROR(INDEX('PORTIFÓLIO'!$H$4:$H$433,MATCH($C132,'PORTIFÓLIO'!$C$4:$C$433,0)),"")</f>
        <v>0.6</v>
      </c>
      <c r="I132" s="255">
        <v>0.6</v>
      </c>
      <c r="J132" s="218">
        <f t="shared" ref="J132:J146" si="16">I132*$B$2</f>
        <v>24</v>
      </c>
      <c r="K132" s="219">
        <f t="array" ref="K132">IFERROR(I132*INDEX('PORTIFÓLIO'!$S$4:$S$433,MATCH($C132,'PORTIFÓLIO'!$C$4:$C$433,0)),"")</f>
        <v>39.349152</v>
      </c>
      <c r="L132" s="219">
        <f t="array" ref="L132">IFERROR(J132*INDEX('PORTIFÓLIO'!$S$4:$S$433,MATCH($C132,'PORTIFÓLIO'!$C$4:$C$433,0)),"")</f>
        <v>1573.96608</v>
      </c>
      <c r="M132" s="220"/>
      <c r="N132" s="220"/>
      <c r="O132" s="220"/>
      <c r="P132" s="220"/>
      <c r="Q132" s="220"/>
      <c r="R132" s="220"/>
      <c r="S132" s="220"/>
      <c r="T132" s="220"/>
      <c r="U132" s="220"/>
      <c r="V132" s="220"/>
      <c r="W132" s="220"/>
    </row>
    <row r="133" ht="15.75" customHeight="1" outlineLevel="1">
      <c r="A133" s="211"/>
      <c r="B133" s="212" t="s">
        <v>0</v>
      </c>
      <c r="C133" s="213" t="s">
        <v>484</v>
      </c>
      <c r="D133" s="214" t="str">
        <f>IFERROR(VLOOKUP($C133,'PORTIFÓLIO'!C:V,2,0),"")</f>
        <v>MANCOZEBE</v>
      </c>
      <c r="E133" s="211">
        <f>IFERROR(VLOOKUP($C133,'PORTIFÓLIO'!C:V,3,0),"")</f>
        <v>750</v>
      </c>
      <c r="F133" s="211" t="str">
        <f>IFERROR(VLOOKUP($C133,'PORTIFÓLIO'!C:V,4,0),"")</f>
        <v>L</v>
      </c>
      <c r="G133" s="225" t="str">
        <f>IFERROR(VLOOKUP($C133,'PORTIFÓLIO'!C:V,5,0),"")</f>
        <v>📄 Ver bula</v>
      </c>
      <c r="H133" s="254">
        <f t="array" ref="H133">IFERROR(INDEX('PORTIFÓLIO'!$H$4:$H$433,MATCH($C133,'PORTIFÓLIO'!$C$4:$C$433,0)),"")</f>
        <v>1.5</v>
      </c>
      <c r="I133" s="255">
        <v>1.5</v>
      </c>
      <c r="J133" s="218">
        <f t="shared" si="16"/>
        <v>60</v>
      </c>
      <c r="K133" s="219">
        <f t="array" ref="K133">IFERROR(I133*INDEX('PORTIFÓLIO'!$S$4:$S$433,MATCH($C133,'PORTIFÓLIO'!$C$4:$C$433,0)),"")</f>
        <v>41.52168</v>
      </c>
      <c r="L133" s="219">
        <f t="array" ref="L133">IFERROR(J133*INDEX('PORTIFÓLIO'!$S$4:$S$433,MATCH($C133,'PORTIFÓLIO'!$C$4:$C$433,0)),"")</f>
        <v>1660.8672</v>
      </c>
      <c r="M133" s="220"/>
      <c r="N133" s="220"/>
      <c r="O133" s="220"/>
      <c r="P133" s="220"/>
      <c r="Q133" s="220"/>
      <c r="R133" s="220"/>
      <c r="S133" s="220"/>
      <c r="T133" s="220"/>
      <c r="U133" s="220"/>
      <c r="V133" s="220"/>
      <c r="W133" s="220"/>
    </row>
    <row r="134" ht="15.75" customHeight="1" outlineLevel="1">
      <c r="A134" s="211"/>
      <c r="B134" s="212" t="s">
        <v>2</v>
      </c>
      <c r="C134" s="213" t="s">
        <v>881</v>
      </c>
      <c r="D134" s="214" t="str">
        <f>IFERROR(VLOOKUP($C134,'PORTIFÓLIO'!C:V,2,0),"")</f>
        <v>TIAMETOXAM + LAMBDA-CIALOTRINA</v>
      </c>
      <c r="E134" s="211" t="str">
        <f>IFERROR(VLOOKUP($C134,'PORTIFÓLIO'!C:V,3,0),"")</f>
        <v>141 + 106</v>
      </c>
      <c r="F134" s="211" t="str">
        <f>IFERROR(VLOOKUP($C134,'PORTIFÓLIO'!C:V,4,0),"")</f>
        <v>L</v>
      </c>
      <c r="G134" s="225" t="str">
        <f>IFERROR(VLOOKUP($C134,'PORTIFÓLIO'!C:V,5,0),"")</f>
        <v>📄 Ver bula</v>
      </c>
      <c r="H134" s="254">
        <f t="array" ref="H134">IFERROR(INDEX('PORTIFÓLIO'!$H$4:$H$433,MATCH($C134,'PORTIFÓLIO'!$C$4:$C$433,0)),"")</f>
        <v>0.2</v>
      </c>
      <c r="I134" s="255">
        <v>0.2</v>
      </c>
      <c r="J134" s="218">
        <f t="shared" si="16"/>
        <v>8</v>
      </c>
      <c r="K134" s="219">
        <f t="array" ref="K134">IFERROR(I134*INDEX('PORTIFÓLIO'!$S$4:$S$433,MATCH($C134,'PORTIFÓLIO'!$C$4:$C$433,0)),"")</f>
        <v>17.152242</v>
      </c>
      <c r="L134" s="219">
        <f t="array" ref="L134">IFERROR(J134*INDEX('PORTIFÓLIO'!$S$4:$S$433,MATCH($C134,'PORTIFÓLIO'!$C$4:$C$433,0)),"")</f>
        <v>686.08968</v>
      </c>
      <c r="M134" s="220"/>
      <c r="N134" s="220"/>
      <c r="O134" s="220"/>
      <c r="P134" s="220"/>
      <c r="Q134" s="220"/>
      <c r="R134" s="220"/>
      <c r="S134" s="220"/>
      <c r="T134" s="220"/>
      <c r="U134" s="220"/>
      <c r="V134" s="220"/>
      <c r="W134" s="220"/>
    </row>
    <row r="135" ht="15.75" customHeight="1" outlineLevel="1">
      <c r="A135" s="211"/>
      <c r="B135" s="212" t="s">
        <v>6</v>
      </c>
      <c r="C135" s="213" t="s">
        <v>354</v>
      </c>
      <c r="D135" s="214" t="str">
        <f>IFERROR(VLOOKUP($C135,'PORTIFÓLIO'!C:V,2,0),"")</f>
        <v>OLEO MINERAL</v>
      </c>
      <c r="E135" s="211">
        <f>IFERROR(VLOOKUP($C135,'PORTIFÓLIO'!C:V,3,0),"")</f>
        <v>761</v>
      </c>
      <c r="F135" s="211" t="str">
        <f>IFERROR(VLOOKUP($C135,'PORTIFÓLIO'!C:V,4,0),"")</f>
        <v>L</v>
      </c>
      <c r="G135" s="225" t="str">
        <f>IFERROR(VLOOKUP($C135,'PORTIFÓLIO'!C:V,5,0),"")</f>
        <v>📄 Ver bula</v>
      </c>
      <c r="H135" s="254">
        <f t="array" ref="H135">IFERROR(INDEX('PORTIFÓLIO'!$H$4:$H$433,MATCH($C135,'PORTIFÓLIO'!$C$4:$C$433,0)),"")</f>
        <v>0.2</v>
      </c>
      <c r="I135" s="255">
        <v>0.2</v>
      </c>
      <c r="J135" s="218">
        <f t="shared" si="16"/>
        <v>8</v>
      </c>
      <c r="K135" s="219">
        <f t="array" ref="K135">IFERROR(I135*INDEX('PORTIFÓLIO'!$S$4:$S$433,MATCH($C135,'PORTIFÓLIO'!$C$4:$C$433,0)),"")</f>
        <v>3.206</v>
      </c>
      <c r="L135" s="219">
        <f t="array" ref="L135">IFERROR(J135*INDEX('PORTIFÓLIO'!$S$4:$S$433,MATCH($C135,'PORTIFÓLIO'!$C$4:$C$433,0)),"")</f>
        <v>128.24</v>
      </c>
      <c r="M135" s="220"/>
      <c r="N135" s="220"/>
      <c r="O135" s="220"/>
      <c r="P135" s="220"/>
      <c r="Q135" s="220"/>
      <c r="R135" s="220"/>
      <c r="S135" s="220"/>
      <c r="T135" s="220"/>
      <c r="U135" s="220"/>
      <c r="V135" s="220"/>
      <c r="W135" s="220"/>
    </row>
    <row r="136" ht="15.75" customHeight="1" outlineLevel="1">
      <c r="A136" s="211"/>
      <c r="B136" s="212"/>
      <c r="C136" s="213"/>
      <c r="D136" s="214" t="str">
        <f>IFERROR(VLOOKUP($C136,'PORTIFÓLIO'!C:V,2,0),"")</f>
        <v/>
      </c>
      <c r="E136" s="211" t="str">
        <f>IFERROR(VLOOKUP($C136,'PORTIFÓLIO'!C:V,3,0),"")</f>
        <v/>
      </c>
      <c r="F136" s="211" t="str">
        <f>IFERROR(VLOOKUP($C136,'PORTIFÓLIO'!C:V,4,0),"")</f>
        <v/>
      </c>
      <c r="G136" s="215" t="str">
        <f>IFERROR(VLOOKUP($C136,'PORTIFÓLIO'!C:V,5,0),"")</f>
        <v/>
      </c>
      <c r="H136" s="254" t="str">
        <f t="array" ref="H136">IFERROR(INDEX('PORTIFÓLIO'!$H$4:$H$433,MATCH($C136,'PORTIFÓLIO'!$C$4:$C$433,0)),"")</f>
        <v/>
      </c>
      <c r="I136" s="256"/>
      <c r="J136" s="218">
        <f t="shared" si="16"/>
        <v>0</v>
      </c>
      <c r="K136" s="219" t="str">
        <f t="array" ref="K136">IFERROR(I136*INDEX('PORTIFÓLIO'!$S$4:$S$433,MATCH($C136,'PORTIFÓLIO'!$C$4:$C$433,0)),"")</f>
        <v/>
      </c>
      <c r="L136" s="219" t="str">
        <f t="array" ref="L136">IFERROR(J136*INDEX('PORTIFÓLIO'!$S$4:$S$433,MATCH($C136,'PORTIFÓLIO'!$C$4:$C$433,0)),"")</f>
        <v/>
      </c>
      <c r="M136" s="220"/>
      <c r="N136" s="220"/>
      <c r="O136" s="220"/>
      <c r="P136" s="220"/>
      <c r="Q136" s="220"/>
      <c r="R136" s="220"/>
      <c r="S136" s="220"/>
      <c r="T136" s="220"/>
      <c r="U136" s="220"/>
      <c r="V136" s="220"/>
      <c r="W136" s="220"/>
    </row>
    <row r="137" ht="15.75" customHeight="1" outlineLevel="1">
      <c r="A137" s="211"/>
      <c r="B137" s="212"/>
      <c r="C137" s="213"/>
      <c r="D137" s="214" t="str">
        <f>IFERROR(VLOOKUP($C137,'PORTIFÓLIO'!C:V,2,0),"")</f>
        <v/>
      </c>
      <c r="E137" s="211" t="str">
        <f>IFERROR(VLOOKUP($C137,'PORTIFÓLIO'!C:V,3,0),"")</f>
        <v/>
      </c>
      <c r="F137" s="211" t="str">
        <f>IFERROR(VLOOKUP($C137,'PORTIFÓLIO'!C:V,4,0),"")</f>
        <v/>
      </c>
      <c r="G137" s="215" t="str">
        <f>IFERROR(VLOOKUP($C137,'PORTIFÓLIO'!C:V,5,0),"")</f>
        <v/>
      </c>
      <c r="H137" s="254" t="str">
        <f t="array" ref="H137">IFERROR(INDEX('PORTIFÓLIO'!$H$4:$H$433,MATCH($C137,'PORTIFÓLIO'!$C$4:$C$433,0)),"")</f>
        <v/>
      </c>
      <c r="I137" s="256"/>
      <c r="J137" s="218">
        <f t="shared" si="16"/>
        <v>0</v>
      </c>
      <c r="K137" s="219" t="str">
        <f t="array" ref="K137">IFERROR(I137*INDEX('PORTIFÓLIO'!$S$4:$S$433,MATCH($C137,'PORTIFÓLIO'!$C$4:$C$433,0)),"")</f>
        <v/>
      </c>
      <c r="L137" s="219" t="str">
        <f t="array" ref="L137">IFERROR(J137*INDEX('PORTIFÓLIO'!$S$4:$S$433,MATCH($C137,'PORTIFÓLIO'!$C$4:$C$433,0)),"")</f>
        <v/>
      </c>
      <c r="M137" s="220"/>
      <c r="N137" s="220"/>
      <c r="O137" s="220"/>
      <c r="P137" s="220"/>
      <c r="Q137" s="220"/>
      <c r="R137" s="220"/>
      <c r="S137" s="220"/>
      <c r="T137" s="220"/>
      <c r="U137" s="220"/>
      <c r="V137" s="220"/>
      <c r="W137" s="220"/>
    </row>
    <row r="138" ht="15.75" customHeight="1" outlineLevel="1">
      <c r="A138" s="211"/>
      <c r="B138" s="212"/>
      <c r="C138" s="213"/>
      <c r="D138" s="214" t="str">
        <f>IFERROR(VLOOKUP($C138,'PORTIFÓLIO'!C:V,2,0),"")</f>
        <v/>
      </c>
      <c r="E138" s="211" t="str">
        <f>IFERROR(VLOOKUP($C138,'PORTIFÓLIO'!C:V,3,0),"")</f>
        <v/>
      </c>
      <c r="F138" s="211" t="str">
        <f>IFERROR(VLOOKUP($C138,'PORTIFÓLIO'!C:V,4,0),"")</f>
        <v/>
      </c>
      <c r="G138" s="215" t="str">
        <f>IFERROR(VLOOKUP($C138,'PORTIFÓLIO'!C:V,5,0),"")</f>
        <v/>
      </c>
      <c r="H138" s="254" t="str">
        <f t="array" ref="H138">IFERROR(INDEX('PORTIFÓLIO'!$H$4:$H$433,MATCH($C138,'PORTIFÓLIO'!$C$4:$C$433,0)),"")</f>
        <v/>
      </c>
      <c r="I138" s="256"/>
      <c r="J138" s="218">
        <f t="shared" si="16"/>
        <v>0</v>
      </c>
      <c r="K138" s="219" t="str">
        <f t="array" ref="K138">IFERROR(I138*INDEX('PORTIFÓLIO'!$S$4:$S$433,MATCH($C138,'PORTIFÓLIO'!$C$4:$C$433,0)),"")</f>
        <v/>
      </c>
      <c r="L138" s="219" t="str">
        <f t="array" ref="L138">IFERROR(J138*INDEX('PORTIFÓLIO'!$S$4:$S$433,MATCH($C138,'PORTIFÓLIO'!$C$4:$C$433,0)),"")</f>
        <v/>
      </c>
      <c r="M138" s="220"/>
      <c r="N138" s="220"/>
      <c r="O138" s="220"/>
      <c r="P138" s="220"/>
      <c r="Q138" s="220"/>
      <c r="R138" s="220"/>
      <c r="S138" s="220"/>
      <c r="T138" s="220"/>
      <c r="U138" s="220"/>
      <c r="V138" s="220"/>
      <c r="W138" s="220"/>
    </row>
    <row r="139" ht="15.75" customHeight="1" outlineLevel="1">
      <c r="A139" s="211"/>
      <c r="B139" s="212"/>
      <c r="C139" s="213"/>
      <c r="D139" s="214" t="str">
        <f>IFERROR(VLOOKUP($C139,'PORTIFÓLIO'!C:V,2,0),"")</f>
        <v/>
      </c>
      <c r="E139" s="211" t="str">
        <f>IFERROR(VLOOKUP($C139,'PORTIFÓLIO'!C:V,3,0),"")</f>
        <v/>
      </c>
      <c r="F139" s="211" t="str">
        <f>IFERROR(VLOOKUP($C139,'PORTIFÓLIO'!C:V,4,0),"")</f>
        <v/>
      </c>
      <c r="G139" s="215" t="str">
        <f>IFERROR(VLOOKUP($C139,'PORTIFÓLIO'!C:V,5,0),"")</f>
        <v/>
      </c>
      <c r="H139" s="254" t="str">
        <f t="array" ref="H139">IFERROR(INDEX('PORTIFÓLIO'!$H$4:$H$433,MATCH($C139,'PORTIFÓLIO'!$C$4:$C$433,0)),"")</f>
        <v/>
      </c>
      <c r="I139" s="256"/>
      <c r="J139" s="218">
        <f t="shared" si="16"/>
        <v>0</v>
      </c>
      <c r="K139" s="219" t="str">
        <f t="array" ref="K139">IFERROR(I139*INDEX('PORTIFÓLIO'!$S$4:$S$433,MATCH($C139,'PORTIFÓLIO'!$C$4:$C$433,0)),"")</f>
        <v/>
      </c>
      <c r="L139" s="219" t="str">
        <f t="array" ref="L139">IFERROR(J139*INDEX('PORTIFÓLIO'!$S$4:$S$433,MATCH($C139,'PORTIFÓLIO'!$C$4:$C$433,0)),"")</f>
        <v/>
      </c>
      <c r="M139" s="220"/>
      <c r="N139" s="220"/>
      <c r="O139" s="220"/>
      <c r="P139" s="220"/>
      <c r="Q139" s="220"/>
      <c r="R139" s="220"/>
      <c r="S139" s="220"/>
      <c r="T139" s="220"/>
      <c r="U139" s="220"/>
      <c r="V139" s="220"/>
      <c r="W139" s="220"/>
    </row>
    <row r="140" ht="15.75" customHeight="1" outlineLevel="1">
      <c r="A140" s="211"/>
      <c r="B140" s="212"/>
      <c r="C140" s="213"/>
      <c r="D140" s="214" t="str">
        <f>IFERROR(VLOOKUP($C140,'PORTIFÓLIO'!C:V,2,0),"")</f>
        <v/>
      </c>
      <c r="E140" s="211" t="str">
        <f>IFERROR(VLOOKUP($C140,'PORTIFÓLIO'!C:V,3,0),"")</f>
        <v/>
      </c>
      <c r="F140" s="211" t="str">
        <f>IFERROR(VLOOKUP($C140,'PORTIFÓLIO'!C:V,4,0),"")</f>
        <v/>
      </c>
      <c r="G140" s="215" t="str">
        <f>IFERROR(VLOOKUP($C140,'PORTIFÓLIO'!C:V,5,0),"")</f>
        <v/>
      </c>
      <c r="H140" s="254" t="str">
        <f t="array" ref="H140">IFERROR(INDEX('PORTIFÓLIO'!$H$4:$H$433,MATCH($C140,'PORTIFÓLIO'!$C$4:$C$433,0)),"")</f>
        <v/>
      </c>
      <c r="I140" s="255"/>
      <c r="J140" s="218">
        <f t="shared" si="16"/>
        <v>0</v>
      </c>
      <c r="K140" s="219" t="str">
        <f t="array" ref="K140">IFERROR(I140*INDEX('PORTIFÓLIO'!$S$4:$S$433,MATCH($C140,'PORTIFÓLIO'!$C$4:$C$433,0)),"")</f>
        <v/>
      </c>
      <c r="L140" s="219" t="str">
        <f t="array" ref="L140">IFERROR(J140*INDEX('PORTIFÓLIO'!$S$4:$S$433,MATCH($C140,'PORTIFÓLIO'!$C$4:$C$433,0)),"")</f>
        <v/>
      </c>
      <c r="M140" s="220"/>
      <c r="N140" s="220"/>
      <c r="O140" s="220"/>
      <c r="P140" s="220"/>
      <c r="Q140" s="220"/>
      <c r="R140" s="220"/>
      <c r="S140" s="220"/>
      <c r="T140" s="220"/>
      <c r="U140" s="220"/>
      <c r="V140" s="220"/>
      <c r="W140" s="220"/>
    </row>
    <row r="141" ht="15.75" customHeight="1" outlineLevel="1">
      <c r="A141" s="211"/>
      <c r="B141" s="212"/>
      <c r="C141" s="213"/>
      <c r="D141" s="214" t="str">
        <f>IFERROR(VLOOKUP($C141,'PORTIFÓLIO'!C:V,2,0),"")</f>
        <v/>
      </c>
      <c r="E141" s="211" t="str">
        <f>IFERROR(VLOOKUP($C141,'PORTIFÓLIO'!C:V,3,0),"")</f>
        <v/>
      </c>
      <c r="F141" s="211" t="str">
        <f>IFERROR(VLOOKUP($C141,'PORTIFÓLIO'!C:V,4,0),"")</f>
        <v/>
      </c>
      <c r="G141" s="215" t="str">
        <f>IFERROR(VLOOKUP($C141,'PORTIFÓLIO'!C:V,5,0),"")</f>
        <v/>
      </c>
      <c r="H141" s="254" t="str">
        <f t="array" ref="H141">IFERROR(INDEX('PORTIFÓLIO'!$H$4:$H$433,MATCH($C141,'PORTIFÓLIO'!$C$4:$C$433,0)),"")</f>
        <v/>
      </c>
      <c r="I141" s="256"/>
      <c r="J141" s="218">
        <f t="shared" si="16"/>
        <v>0</v>
      </c>
      <c r="K141" s="219" t="str">
        <f t="array" ref="K141">IFERROR(I141*INDEX('PORTIFÓLIO'!$S$4:$S$433,MATCH($C141,'PORTIFÓLIO'!$C$4:$C$433,0)),"")</f>
        <v/>
      </c>
      <c r="L141" s="219" t="str">
        <f t="array" ref="L141">IFERROR(J141*INDEX('PORTIFÓLIO'!$S$4:$S$433,MATCH($C141,'PORTIFÓLIO'!$C$4:$C$433,0)),"")</f>
        <v/>
      </c>
      <c r="M141" s="220"/>
      <c r="N141" s="220"/>
      <c r="O141" s="220"/>
      <c r="P141" s="220"/>
      <c r="Q141" s="220"/>
      <c r="R141" s="220"/>
      <c r="S141" s="220"/>
      <c r="T141" s="220"/>
      <c r="U141" s="220"/>
      <c r="V141" s="220"/>
      <c r="W141" s="220"/>
    </row>
    <row r="142" ht="15.75" customHeight="1" outlineLevel="1">
      <c r="A142" s="211"/>
      <c r="B142" s="212"/>
      <c r="C142" s="213"/>
      <c r="D142" s="214" t="str">
        <f>IFERROR(VLOOKUP($C142,'PORTIFÓLIO'!C:V,2,0),"")</f>
        <v/>
      </c>
      <c r="E142" s="211" t="str">
        <f>IFERROR(VLOOKUP($C142,'PORTIFÓLIO'!C:V,3,0),"")</f>
        <v/>
      </c>
      <c r="F142" s="211" t="str">
        <f>IFERROR(VLOOKUP($C142,'PORTIFÓLIO'!C:V,4,0),"")</f>
        <v/>
      </c>
      <c r="G142" s="215" t="str">
        <f>IFERROR(VLOOKUP($C142,'PORTIFÓLIO'!C:V,5,0),"")</f>
        <v/>
      </c>
      <c r="H142" s="254" t="str">
        <f t="array" ref="H142">IFERROR(INDEX('PORTIFÓLIO'!$H$4:$H$433,MATCH($C142,'PORTIFÓLIO'!$C$4:$C$433,0)),"")</f>
        <v/>
      </c>
      <c r="I142" s="256"/>
      <c r="J142" s="218">
        <f t="shared" si="16"/>
        <v>0</v>
      </c>
      <c r="K142" s="219" t="str">
        <f t="array" ref="K142">IFERROR(I142*INDEX('PORTIFÓLIO'!$S$4:$S$433,MATCH($C142,'PORTIFÓLIO'!$C$4:$C$433,0)),"")</f>
        <v/>
      </c>
      <c r="L142" s="219" t="str">
        <f t="array" ref="L142">IFERROR(J142*INDEX('PORTIFÓLIO'!$S$4:$S$433,MATCH($C142,'PORTIFÓLIO'!$C$4:$C$433,0)),"")</f>
        <v/>
      </c>
      <c r="M142" s="220"/>
      <c r="N142" s="220"/>
      <c r="O142" s="220"/>
      <c r="P142" s="220"/>
      <c r="Q142" s="220"/>
      <c r="R142" s="220"/>
      <c r="S142" s="220"/>
      <c r="T142" s="220"/>
      <c r="U142" s="220"/>
      <c r="V142" s="220"/>
      <c r="W142" s="220"/>
    </row>
    <row r="143" ht="15.75" customHeight="1" outlineLevel="1">
      <c r="A143" s="211"/>
      <c r="B143" s="212"/>
      <c r="C143" s="213"/>
      <c r="D143" s="214" t="str">
        <f>IFERROR(VLOOKUP($C143,'PORTIFÓLIO'!C:V,2,0),"")</f>
        <v/>
      </c>
      <c r="E143" s="211" t="str">
        <f>IFERROR(VLOOKUP($C143,'PORTIFÓLIO'!C:V,3,0),"")</f>
        <v/>
      </c>
      <c r="F143" s="211" t="str">
        <f>IFERROR(VLOOKUP($C143,'PORTIFÓLIO'!C:V,4,0),"")</f>
        <v/>
      </c>
      <c r="G143" s="215" t="str">
        <f>IFERROR(VLOOKUP($C143,'PORTIFÓLIO'!C:V,5,0),"")</f>
        <v/>
      </c>
      <c r="H143" s="254" t="str">
        <f t="array" ref="H143">IFERROR(INDEX('PORTIFÓLIO'!$H$4:$H$433,MATCH($C143,'PORTIFÓLIO'!$C$4:$C$433,0)),"")</f>
        <v/>
      </c>
      <c r="I143" s="256"/>
      <c r="J143" s="218">
        <f t="shared" si="16"/>
        <v>0</v>
      </c>
      <c r="K143" s="219" t="str">
        <f t="array" ref="K143">IFERROR(I143*INDEX('PORTIFÓLIO'!$S$4:$S$433,MATCH($C143,'PORTIFÓLIO'!$C$4:$C$433,0)),"")</f>
        <v/>
      </c>
      <c r="L143" s="219" t="str">
        <f t="array" ref="L143">IFERROR(J143*INDEX('PORTIFÓLIO'!$S$4:$S$433,MATCH($C143,'PORTIFÓLIO'!$C$4:$C$433,0)),"")</f>
        <v/>
      </c>
      <c r="M143" s="220"/>
      <c r="N143" s="220"/>
      <c r="O143" s="220"/>
      <c r="P143" s="220"/>
      <c r="Q143" s="220"/>
      <c r="R143" s="220"/>
      <c r="S143" s="220"/>
      <c r="T143" s="220"/>
      <c r="U143" s="220"/>
      <c r="V143" s="220"/>
      <c r="W143" s="220"/>
    </row>
    <row r="144" ht="15.75" customHeight="1" outlineLevel="1">
      <c r="A144" s="211"/>
      <c r="B144" s="212"/>
      <c r="C144" s="213"/>
      <c r="D144" s="214" t="str">
        <f>IFERROR(VLOOKUP($C144,'PORTIFÓLIO'!C:V,2,0),"")</f>
        <v/>
      </c>
      <c r="E144" s="211" t="str">
        <f>IFERROR(VLOOKUP($C144,'PORTIFÓLIO'!C:V,3,0),"")</f>
        <v/>
      </c>
      <c r="F144" s="211" t="str">
        <f>IFERROR(VLOOKUP($C144,'PORTIFÓLIO'!C:V,4,0),"")</f>
        <v/>
      </c>
      <c r="G144" s="215" t="str">
        <f>IFERROR(VLOOKUP($C144,'PORTIFÓLIO'!C:V,5,0),"")</f>
        <v/>
      </c>
      <c r="H144" s="254" t="str">
        <f t="array" ref="H144">IFERROR(INDEX('PORTIFÓLIO'!$H$4:$H$433,MATCH($C144,'PORTIFÓLIO'!$C$4:$C$433,0)),"")</f>
        <v/>
      </c>
      <c r="I144" s="256"/>
      <c r="J144" s="218">
        <f t="shared" si="16"/>
        <v>0</v>
      </c>
      <c r="K144" s="219" t="str">
        <f t="array" ref="K144">IFERROR(I144*INDEX('PORTIFÓLIO'!$S$4:$S$433,MATCH($C144,'PORTIFÓLIO'!$C$4:$C$433,0)),"")</f>
        <v/>
      </c>
      <c r="L144" s="219" t="str">
        <f t="array" ref="L144">IFERROR(J144*INDEX('PORTIFÓLIO'!$S$4:$S$433,MATCH($C144,'PORTIFÓLIO'!$C$4:$C$433,0)),"")</f>
        <v/>
      </c>
      <c r="M144" s="220"/>
      <c r="N144" s="220"/>
      <c r="O144" s="220"/>
      <c r="P144" s="220"/>
      <c r="Q144" s="220"/>
      <c r="R144" s="220"/>
      <c r="S144" s="220"/>
      <c r="T144" s="220"/>
      <c r="U144" s="220"/>
      <c r="V144" s="220"/>
      <c r="W144" s="220"/>
    </row>
    <row r="145" ht="15.75" customHeight="1" outlineLevel="1">
      <c r="A145" s="211"/>
      <c r="B145" s="212"/>
      <c r="C145" s="213"/>
      <c r="D145" s="214" t="str">
        <f>IFERROR(VLOOKUP($C145,'PORTIFÓLIO'!C:V,2,0),"")</f>
        <v/>
      </c>
      <c r="E145" s="211" t="str">
        <f>IFERROR(VLOOKUP($C145,'PORTIFÓLIO'!C:V,3,0),"")</f>
        <v/>
      </c>
      <c r="F145" s="211" t="str">
        <f>IFERROR(VLOOKUP($C145,'PORTIFÓLIO'!C:V,4,0),"")</f>
        <v/>
      </c>
      <c r="G145" s="215" t="str">
        <f>IFERROR(VLOOKUP($C145,'PORTIFÓLIO'!C:V,5,0),"")</f>
        <v/>
      </c>
      <c r="H145" s="254" t="str">
        <f t="array" ref="H145">IFERROR(INDEX('PORTIFÓLIO'!$H$4:$H$433,MATCH($C145,'PORTIFÓLIO'!$C$4:$C$433,0)),"")</f>
        <v/>
      </c>
      <c r="I145" s="256"/>
      <c r="J145" s="218">
        <f t="shared" si="16"/>
        <v>0</v>
      </c>
      <c r="K145" s="219" t="str">
        <f t="array" ref="K145">IFERROR(I145*INDEX('PORTIFÓLIO'!$S$4:$S$433,MATCH($C145,'PORTIFÓLIO'!$C$4:$C$433,0)),"")</f>
        <v/>
      </c>
      <c r="L145" s="219" t="str">
        <f t="array" ref="L145">IFERROR(J145*INDEX('PORTIFÓLIO'!$S$4:$S$433,MATCH($C145,'PORTIFÓLIO'!$C$4:$C$433,0)),"")</f>
        <v/>
      </c>
      <c r="M145" s="220"/>
      <c r="N145" s="220"/>
      <c r="O145" s="220"/>
      <c r="P145" s="220"/>
      <c r="Q145" s="220"/>
      <c r="R145" s="220"/>
      <c r="S145" s="220"/>
      <c r="T145" s="220"/>
      <c r="U145" s="220"/>
      <c r="V145" s="220"/>
      <c r="W145" s="220"/>
    </row>
    <row r="146" ht="15.75" customHeight="1" outlineLevel="1">
      <c r="A146" s="211"/>
      <c r="B146" s="212"/>
      <c r="C146" s="213"/>
      <c r="D146" s="214" t="str">
        <f>IFERROR(VLOOKUP($C146,'PORTIFÓLIO'!C:V,2,0),"")</f>
        <v/>
      </c>
      <c r="E146" s="211" t="str">
        <f>IFERROR(VLOOKUP($C146,'PORTIFÓLIO'!C:V,3,0),"")</f>
        <v/>
      </c>
      <c r="F146" s="211" t="str">
        <f>IFERROR(VLOOKUP($C146,'PORTIFÓLIO'!C:V,4,0),"")</f>
        <v/>
      </c>
      <c r="G146" s="215" t="str">
        <f>IFERROR(VLOOKUP($C146,'PORTIFÓLIO'!C:V,5,0),"")</f>
        <v/>
      </c>
      <c r="H146" s="254" t="str">
        <f t="array" ref="H146">IFERROR(INDEX('PORTIFÓLIO'!$H$4:$H$433,MATCH($C146,'PORTIFÓLIO'!$C$4:$C$433,0)),"")</f>
        <v/>
      </c>
      <c r="I146" s="256"/>
      <c r="J146" s="218">
        <f t="shared" si="16"/>
        <v>0</v>
      </c>
      <c r="K146" s="219" t="str">
        <f t="array" ref="K146">IFERROR(I146*INDEX('PORTIFÓLIO'!$S$4:$S$433,MATCH($C146,'PORTIFÓLIO'!$C$4:$C$433,0)),"")</f>
        <v/>
      </c>
      <c r="L146" s="219" t="str">
        <f t="array" ref="L146">IFERROR(J146*INDEX('PORTIFÓLIO'!$S$4:$S$433,MATCH($C146,'PORTIFÓLIO'!$C$4:$C$433,0)),"")</f>
        <v/>
      </c>
      <c r="M146" s="220"/>
      <c r="N146" s="220"/>
      <c r="O146" s="220"/>
      <c r="P146" s="220"/>
      <c r="Q146" s="220"/>
      <c r="R146" s="220"/>
      <c r="S146" s="220"/>
      <c r="T146" s="220"/>
      <c r="U146" s="220"/>
      <c r="V146" s="220"/>
      <c r="W146" s="220"/>
    </row>
    <row r="147" ht="15.75" customHeight="1" outlineLevel="1">
      <c r="A147" s="211"/>
      <c r="B147" s="227"/>
      <c r="C147" s="211"/>
      <c r="D147" s="214" t="str">
        <f>IFERROR(VLOOKUP($C147,'PORTIFÓLIO'!C:V,2,0),"")</f>
        <v/>
      </c>
      <c r="E147" s="211" t="str">
        <f>IFERROR(VLOOKUP($C147,'PORTIFÓLIO'!C:V,3,0),"")</f>
        <v/>
      </c>
      <c r="F147" s="211" t="str">
        <f>IFERROR(VLOOKUP($C147,'PORTIFÓLIO'!C:V,4,0),"")</f>
        <v/>
      </c>
      <c r="G147" s="215" t="str">
        <f>IFERROR(VLOOKUP($C147,'PORTIFÓLIO'!C:V,5,0),"")</f>
        <v/>
      </c>
      <c r="H147" s="254" t="str">
        <f t="array" ref="H147">IFERROR(INDEX('PORTIFÓLIO'!$H$4:$H$433,MATCH($C147,'PORTIFÓLIO'!$C$4:$C$433,0)),"")</f>
        <v/>
      </c>
      <c r="I147" s="256"/>
      <c r="J147" s="218"/>
      <c r="K147" s="219" t="str">
        <f t="array" ref="K147">IFERROR(I147*INDEX('PORTIFÓLIO'!$S$4:$S$433,MATCH($C147,'PORTIFÓLIO'!$C$4:$C$433,0)),"")</f>
        <v/>
      </c>
      <c r="L147" s="219" t="str">
        <f t="array" ref="L147">IFERROR(J147*INDEX('PORTIFÓLIO'!$S$4:$S$433,MATCH($C147,'PORTIFÓLIO'!$C$4:$C$433,0)),"")</f>
        <v/>
      </c>
      <c r="M147" s="220"/>
      <c r="N147" s="220"/>
      <c r="O147" s="220"/>
      <c r="P147" s="220"/>
      <c r="Q147" s="220"/>
      <c r="R147" s="220"/>
      <c r="S147" s="220"/>
      <c r="T147" s="220"/>
      <c r="U147" s="220"/>
      <c r="V147" s="220"/>
      <c r="W147" s="220"/>
    </row>
    <row r="148" ht="15.75" customHeight="1">
      <c r="A148" s="229" t="s">
        <v>1192</v>
      </c>
      <c r="B148" s="230"/>
      <c r="C148" s="231"/>
      <c r="D148" s="232"/>
      <c r="E148" s="231"/>
      <c r="F148" s="231"/>
      <c r="G148" s="233"/>
      <c r="H148" s="233"/>
      <c r="I148" s="258"/>
      <c r="J148" s="236"/>
      <c r="K148" s="237">
        <f t="shared" ref="K148:L148" si="17">SUBTOTAL(9,K149:K162)</f>
        <v>57.21464</v>
      </c>
      <c r="L148" s="237">
        <f t="shared" si="17"/>
        <v>2288.5856</v>
      </c>
      <c r="M148" s="220"/>
      <c r="N148" s="220"/>
      <c r="O148" s="220"/>
      <c r="P148" s="220"/>
      <c r="Q148" s="220"/>
      <c r="R148" s="220"/>
      <c r="S148" s="220"/>
      <c r="T148" s="220"/>
      <c r="U148" s="220"/>
      <c r="V148" s="220"/>
      <c r="W148" s="220"/>
    </row>
    <row r="149" ht="15.75" customHeight="1" outlineLevel="1">
      <c r="A149" s="213"/>
      <c r="B149" s="212" t="s">
        <v>0</v>
      </c>
      <c r="C149" s="213" t="s">
        <v>434</v>
      </c>
      <c r="D149" s="214" t="str">
        <f>IFERROR(VLOOKUP($C149,'PORTIFÓLIO'!C:V,2,0),"")</f>
        <v>AZOXISTROBINA + TEBUCONAZOL</v>
      </c>
      <c r="E149" s="211" t="str">
        <f>IFERROR(VLOOKUP($C149,'PORTIFÓLIO'!C:V,3,0),"")</f>
        <v>120 + 200</v>
      </c>
      <c r="F149" s="211" t="str">
        <f>IFERROR(VLOOKUP($C149,'PORTIFÓLIO'!C:V,4,0),"")</f>
        <v>L</v>
      </c>
      <c r="G149" s="225" t="str">
        <f>IFERROR(VLOOKUP($C149,'PORTIFÓLIO'!C:V,5,0),"")</f>
        <v>📄 Ver bula</v>
      </c>
      <c r="H149" s="254">
        <f t="array" ref="H149">IFERROR(INDEX('PORTIFÓLIO'!$H$4:$H$433,MATCH($C149,'PORTIFÓLIO'!$C$4:$C$433,0)),"")</f>
        <v>0.5</v>
      </c>
      <c r="I149" s="255">
        <v>0.5</v>
      </c>
      <c r="J149" s="218">
        <f t="shared" ref="J149:J163" si="18">I149*$B$2</f>
        <v>20</v>
      </c>
      <c r="K149" s="219">
        <f t="array" ref="K149">IFERROR(I149*INDEX('PORTIFÓLIO'!$S$4:$S$433,MATCH($C149,'PORTIFÓLIO'!$C$4:$C$433,0)),"")</f>
        <v>17.66448</v>
      </c>
      <c r="L149" s="219">
        <f t="array" ref="L149">IFERROR(J149*INDEX('PORTIFÓLIO'!$S$4:$S$433,MATCH($C149,'PORTIFÓLIO'!$C$4:$C$433,0)),"")</f>
        <v>706.5792</v>
      </c>
      <c r="M149" s="220"/>
      <c r="N149" s="220"/>
      <c r="O149" s="220"/>
      <c r="P149" s="220"/>
      <c r="Q149" s="220"/>
      <c r="R149" s="220"/>
      <c r="S149" s="220"/>
      <c r="T149" s="220"/>
      <c r="U149" s="220"/>
      <c r="V149" s="220"/>
      <c r="W149" s="220"/>
    </row>
    <row r="150" ht="15.75" customHeight="1" outlineLevel="1">
      <c r="A150" s="211"/>
      <c r="B150" s="212" t="s">
        <v>0</v>
      </c>
      <c r="C150" s="213" t="s">
        <v>572</v>
      </c>
      <c r="D150" s="214" t="str">
        <f>IFERROR(VLOOKUP($C150,'PORTIFÓLIO'!C:V,2,0),"")</f>
        <v>CLOROTALONIL</v>
      </c>
      <c r="E150" s="211">
        <f>IFERROR(VLOOKUP($C150,'PORTIFÓLIO'!C:V,3,0),"")</f>
        <v>720</v>
      </c>
      <c r="F150" s="211" t="str">
        <f>IFERROR(VLOOKUP($C150,'PORTIFÓLIO'!C:V,4,0),"")</f>
        <v>KG</v>
      </c>
      <c r="G150" s="225" t="str">
        <f>IFERROR(VLOOKUP($C150,'PORTIFÓLIO'!C:V,5,0),"")</f>
        <v>📄 Ver bula</v>
      </c>
      <c r="H150" s="254">
        <f t="array" ref="H150">IFERROR(INDEX('PORTIFÓLIO'!$H$4:$H$433,MATCH($C150,'PORTIFÓLIO'!$C$4:$C$433,0)),"")</f>
        <v>1.5</v>
      </c>
      <c r="I150" s="255">
        <v>1.5</v>
      </c>
      <c r="J150" s="218">
        <f t="shared" si="18"/>
        <v>60</v>
      </c>
      <c r="K150" s="219">
        <f t="array" ref="K150">IFERROR(I150*INDEX('PORTIFÓLIO'!$S$4:$S$433,MATCH($C150,'PORTIFÓLIO'!$C$4:$C$433,0)),"")</f>
        <v>36.34416</v>
      </c>
      <c r="L150" s="219">
        <f t="array" ref="L150">IFERROR(J150*INDEX('PORTIFÓLIO'!$S$4:$S$433,MATCH($C150,'PORTIFÓLIO'!$C$4:$C$433,0)),"")</f>
        <v>1453.7664</v>
      </c>
      <c r="M150" s="220"/>
      <c r="N150" s="220"/>
      <c r="O150" s="220"/>
      <c r="P150" s="220"/>
      <c r="Q150" s="220"/>
      <c r="R150" s="220"/>
      <c r="S150" s="220"/>
      <c r="T150" s="220"/>
      <c r="U150" s="220"/>
      <c r="V150" s="220"/>
      <c r="W150" s="220"/>
    </row>
    <row r="151" ht="15.75" customHeight="1" outlineLevel="1">
      <c r="A151" s="211"/>
      <c r="B151" s="212" t="s">
        <v>6</v>
      </c>
      <c r="C151" s="213" t="s">
        <v>354</v>
      </c>
      <c r="D151" s="214" t="str">
        <f>IFERROR(VLOOKUP($C151,'PORTIFÓLIO'!C:V,2,0),"")</f>
        <v>OLEO MINERAL</v>
      </c>
      <c r="E151" s="211">
        <f>IFERROR(VLOOKUP($C151,'PORTIFÓLIO'!C:V,3,0),"")</f>
        <v>761</v>
      </c>
      <c r="F151" s="211" t="str">
        <f>IFERROR(VLOOKUP($C151,'PORTIFÓLIO'!C:V,4,0),"")</f>
        <v>L</v>
      </c>
      <c r="G151" s="225" t="str">
        <f>IFERROR(VLOOKUP($C151,'PORTIFÓLIO'!C:V,5,0),"")</f>
        <v>📄 Ver bula</v>
      </c>
      <c r="H151" s="254">
        <f t="array" ref="H151">IFERROR(INDEX('PORTIFÓLIO'!$H$4:$H$433,MATCH($C151,'PORTIFÓLIO'!$C$4:$C$433,0)),"")</f>
        <v>0.2</v>
      </c>
      <c r="I151" s="255">
        <v>0.2</v>
      </c>
      <c r="J151" s="218">
        <f t="shared" si="18"/>
        <v>8</v>
      </c>
      <c r="K151" s="219">
        <f t="array" ref="K151">IFERROR(I151*INDEX('PORTIFÓLIO'!$S$4:$S$433,MATCH($C151,'PORTIFÓLIO'!$C$4:$C$433,0)),"")</f>
        <v>3.206</v>
      </c>
      <c r="L151" s="219">
        <f t="array" ref="L151">IFERROR(J151*INDEX('PORTIFÓLIO'!$S$4:$S$433,MATCH($C151,'PORTIFÓLIO'!$C$4:$C$433,0)),"")</f>
        <v>128.24</v>
      </c>
      <c r="M151" s="220"/>
      <c r="N151" s="220"/>
      <c r="O151" s="220"/>
      <c r="P151" s="220"/>
      <c r="Q151" s="220"/>
      <c r="R151" s="220"/>
      <c r="S151" s="220"/>
      <c r="T151" s="220"/>
      <c r="U151" s="220"/>
      <c r="V151" s="220"/>
      <c r="W151" s="220"/>
    </row>
    <row r="152" ht="15.75" customHeight="1" outlineLevel="1">
      <c r="A152" s="211"/>
      <c r="B152" s="212"/>
      <c r="C152" s="213"/>
      <c r="D152" s="214" t="str">
        <f>IFERROR(VLOOKUP($C152,'PORTIFÓLIO'!C:V,2,0),"")</f>
        <v/>
      </c>
      <c r="E152" s="211" t="str">
        <f>IFERROR(VLOOKUP($C152,'PORTIFÓLIO'!C:V,3,0),"")</f>
        <v/>
      </c>
      <c r="F152" s="211" t="str">
        <f>IFERROR(VLOOKUP($C152,'PORTIFÓLIO'!C:V,4,0),"")</f>
        <v/>
      </c>
      <c r="G152" s="215" t="str">
        <f>IFERROR(VLOOKUP($C152,'PORTIFÓLIO'!C:V,5,0),"")</f>
        <v/>
      </c>
      <c r="H152" s="254" t="str">
        <f t="array" ref="H152">IFERROR(INDEX('PORTIFÓLIO'!$H$4:$H$433,MATCH($C152,'PORTIFÓLIO'!$C$4:$C$433,0)),"")</f>
        <v/>
      </c>
      <c r="I152" s="256"/>
      <c r="J152" s="218">
        <f t="shared" si="18"/>
        <v>0</v>
      </c>
      <c r="K152" s="219" t="str">
        <f t="array" ref="K152">IFERROR(I152*INDEX('PORTIFÓLIO'!$S$4:$S$433,MATCH($C152,'PORTIFÓLIO'!$C$4:$C$433,0)),"")</f>
        <v/>
      </c>
      <c r="L152" s="219" t="str">
        <f t="array" ref="L152">IFERROR(J152*INDEX('PORTIFÓLIO'!$S$4:$S$433,MATCH($C152,'PORTIFÓLIO'!$C$4:$C$433,0)),"")</f>
        <v/>
      </c>
      <c r="M152" s="220"/>
      <c r="N152" s="220"/>
      <c r="O152" s="220"/>
      <c r="P152" s="220"/>
      <c r="Q152" s="220"/>
      <c r="R152" s="220"/>
      <c r="S152" s="220"/>
      <c r="T152" s="220"/>
      <c r="U152" s="220"/>
      <c r="V152" s="220"/>
      <c r="W152" s="220"/>
    </row>
    <row r="153" ht="15.75" customHeight="1" outlineLevel="1">
      <c r="A153" s="211"/>
      <c r="B153" s="212"/>
      <c r="C153" s="213"/>
      <c r="D153" s="214" t="str">
        <f>IFERROR(VLOOKUP($C153,'PORTIFÓLIO'!C:V,2,0),"")</f>
        <v/>
      </c>
      <c r="E153" s="211" t="str">
        <f>IFERROR(VLOOKUP($C153,'PORTIFÓLIO'!C:V,3,0),"")</f>
        <v/>
      </c>
      <c r="F153" s="211" t="str">
        <f>IFERROR(VLOOKUP($C153,'PORTIFÓLIO'!C:V,4,0),"")</f>
        <v/>
      </c>
      <c r="G153" s="215" t="str">
        <f>IFERROR(VLOOKUP($C153,'PORTIFÓLIO'!C:V,5,0),"")</f>
        <v/>
      </c>
      <c r="H153" s="254" t="str">
        <f t="array" ref="H153">IFERROR(INDEX('PORTIFÓLIO'!$H$4:$H$433,MATCH($C153,'PORTIFÓLIO'!$C$4:$C$433,0)),"")</f>
        <v/>
      </c>
      <c r="I153" s="256"/>
      <c r="J153" s="218">
        <f t="shared" si="18"/>
        <v>0</v>
      </c>
      <c r="K153" s="219" t="str">
        <f t="array" ref="K153">IFERROR(I153*INDEX('PORTIFÓLIO'!$S$4:$S$433,MATCH($C153,'PORTIFÓLIO'!$C$4:$C$433,0)),"")</f>
        <v/>
      </c>
      <c r="L153" s="219" t="str">
        <f t="array" ref="L153">IFERROR(J153*INDEX('PORTIFÓLIO'!$S$4:$S$433,MATCH($C153,'PORTIFÓLIO'!$C$4:$C$433,0)),"")</f>
        <v/>
      </c>
      <c r="M153" s="220"/>
      <c r="N153" s="220"/>
      <c r="O153" s="220"/>
      <c r="P153" s="220"/>
      <c r="Q153" s="220"/>
      <c r="R153" s="220"/>
      <c r="S153" s="220"/>
      <c r="T153" s="220"/>
      <c r="U153" s="220"/>
      <c r="V153" s="220"/>
      <c r="W153" s="220"/>
    </row>
    <row r="154" ht="15.75" customHeight="1" outlineLevel="1">
      <c r="A154" s="211"/>
      <c r="B154" s="212"/>
      <c r="C154" s="213"/>
      <c r="D154" s="214" t="str">
        <f>IFERROR(VLOOKUP($C154,'PORTIFÓLIO'!C:V,2,0),"")</f>
        <v/>
      </c>
      <c r="E154" s="211" t="str">
        <f>IFERROR(VLOOKUP($C154,'PORTIFÓLIO'!C:V,3,0),"")</f>
        <v/>
      </c>
      <c r="F154" s="211" t="str">
        <f>IFERROR(VLOOKUP($C154,'PORTIFÓLIO'!C:V,4,0),"")</f>
        <v/>
      </c>
      <c r="G154" s="215" t="str">
        <f>IFERROR(VLOOKUP($C154,'PORTIFÓLIO'!C:V,5,0),"")</f>
        <v/>
      </c>
      <c r="H154" s="254" t="str">
        <f t="array" ref="H154">IFERROR(INDEX('PORTIFÓLIO'!$H$4:$H$433,MATCH($C154,'PORTIFÓLIO'!$C$4:$C$433,0)),"")</f>
        <v/>
      </c>
      <c r="I154" s="256"/>
      <c r="J154" s="218">
        <f t="shared" si="18"/>
        <v>0</v>
      </c>
      <c r="K154" s="219" t="str">
        <f t="array" ref="K154">IFERROR(I154*INDEX('PORTIFÓLIO'!$S$4:$S$433,MATCH($C154,'PORTIFÓLIO'!$C$4:$C$433,0)),"")</f>
        <v/>
      </c>
      <c r="L154" s="219" t="str">
        <f t="array" ref="L154">IFERROR(J154*INDEX('PORTIFÓLIO'!$S$4:$S$433,MATCH($C154,'PORTIFÓLIO'!$C$4:$C$433,0)),"")</f>
        <v/>
      </c>
      <c r="M154" s="220"/>
      <c r="N154" s="220"/>
      <c r="O154" s="220"/>
      <c r="P154" s="220"/>
      <c r="Q154" s="220"/>
      <c r="R154" s="220"/>
      <c r="S154" s="220"/>
      <c r="T154" s="220"/>
      <c r="U154" s="220"/>
      <c r="V154" s="220"/>
      <c r="W154" s="220"/>
    </row>
    <row r="155" ht="15.75" customHeight="1" outlineLevel="1">
      <c r="A155" s="211"/>
      <c r="B155" s="212"/>
      <c r="C155" s="213"/>
      <c r="D155" s="214" t="str">
        <f>IFERROR(VLOOKUP($C155,'PORTIFÓLIO'!C:V,2,0),"")</f>
        <v/>
      </c>
      <c r="E155" s="211" t="str">
        <f>IFERROR(VLOOKUP($C155,'PORTIFÓLIO'!C:V,3,0),"")</f>
        <v/>
      </c>
      <c r="F155" s="211" t="str">
        <f>IFERROR(VLOOKUP($C155,'PORTIFÓLIO'!C:V,4,0),"")</f>
        <v/>
      </c>
      <c r="G155" s="215" t="str">
        <f>IFERROR(VLOOKUP($C155,'PORTIFÓLIO'!C:V,5,0),"")</f>
        <v/>
      </c>
      <c r="H155" s="254" t="str">
        <f t="array" ref="H155">IFERROR(INDEX('PORTIFÓLIO'!$H$4:$H$433,MATCH($C155,'PORTIFÓLIO'!$C$4:$C$433,0)),"")</f>
        <v/>
      </c>
      <c r="I155" s="256"/>
      <c r="J155" s="218">
        <f t="shared" si="18"/>
        <v>0</v>
      </c>
      <c r="K155" s="219" t="str">
        <f t="array" ref="K155">IFERROR(I155*INDEX('PORTIFÓLIO'!$S$4:$S$433,MATCH($C155,'PORTIFÓLIO'!$C$4:$C$433,0)),"")</f>
        <v/>
      </c>
      <c r="L155" s="219" t="str">
        <f t="array" ref="L155">IFERROR(J155*INDEX('PORTIFÓLIO'!$S$4:$S$433,MATCH($C155,'PORTIFÓLIO'!$C$4:$C$433,0)),"")</f>
        <v/>
      </c>
      <c r="M155" s="220"/>
      <c r="N155" s="220"/>
      <c r="O155" s="220"/>
      <c r="P155" s="220"/>
      <c r="Q155" s="220"/>
      <c r="R155" s="220"/>
      <c r="S155" s="220"/>
      <c r="T155" s="220"/>
      <c r="U155" s="220"/>
      <c r="V155" s="220"/>
      <c r="W155" s="220"/>
    </row>
    <row r="156" ht="15.75" customHeight="1" outlineLevel="1">
      <c r="A156" s="211"/>
      <c r="B156" s="212"/>
      <c r="C156" s="213"/>
      <c r="D156" s="214" t="str">
        <f>IFERROR(VLOOKUP($C156,'PORTIFÓLIO'!C:V,2,0),"")</f>
        <v/>
      </c>
      <c r="E156" s="211" t="str">
        <f>IFERROR(VLOOKUP($C156,'PORTIFÓLIO'!C:V,3,0),"")</f>
        <v/>
      </c>
      <c r="F156" s="211" t="str">
        <f>IFERROR(VLOOKUP($C156,'PORTIFÓLIO'!C:V,4,0),"")</f>
        <v/>
      </c>
      <c r="G156" s="215" t="str">
        <f>IFERROR(VLOOKUP($C156,'PORTIFÓLIO'!C:V,5,0),"")</f>
        <v/>
      </c>
      <c r="H156" s="254" t="str">
        <f t="array" ref="H156">IFERROR(INDEX('PORTIFÓLIO'!$H$4:$H$433,MATCH($C156,'PORTIFÓLIO'!$C$4:$C$433,0)),"")</f>
        <v/>
      </c>
      <c r="I156" s="256"/>
      <c r="J156" s="218">
        <f t="shared" si="18"/>
        <v>0</v>
      </c>
      <c r="K156" s="219" t="str">
        <f t="array" ref="K156">IFERROR(I156*INDEX('PORTIFÓLIO'!$S$4:$S$433,MATCH($C156,'PORTIFÓLIO'!$C$4:$C$433,0)),"")</f>
        <v/>
      </c>
      <c r="L156" s="219" t="str">
        <f t="array" ref="L156">IFERROR(J156*INDEX('PORTIFÓLIO'!$S$4:$S$433,MATCH($C156,'PORTIFÓLIO'!$C$4:$C$433,0)),"")</f>
        <v/>
      </c>
      <c r="M156" s="220"/>
      <c r="N156" s="220"/>
      <c r="O156" s="220"/>
      <c r="P156" s="220"/>
      <c r="Q156" s="220"/>
      <c r="R156" s="220"/>
      <c r="S156" s="220"/>
      <c r="T156" s="220"/>
      <c r="U156" s="220"/>
      <c r="V156" s="220"/>
      <c r="W156" s="220"/>
    </row>
    <row r="157" ht="15.75" customHeight="1" outlineLevel="1">
      <c r="A157" s="211"/>
      <c r="B157" s="212"/>
      <c r="C157" s="213"/>
      <c r="D157" s="214" t="str">
        <f>IFERROR(VLOOKUP($C157,'PORTIFÓLIO'!C:V,2,0),"")</f>
        <v/>
      </c>
      <c r="E157" s="211" t="str">
        <f>IFERROR(VLOOKUP($C157,'PORTIFÓLIO'!C:V,3,0),"")</f>
        <v/>
      </c>
      <c r="F157" s="211" t="str">
        <f>IFERROR(VLOOKUP($C157,'PORTIFÓLIO'!C:V,4,0),"")</f>
        <v/>
      </c>
      <c r="G157" s="215" t="str">
        <f>IFERROR(VLOOKUP($C157,'PORTIFÓLIO'!C:V,5,0),"")</f>
        <v/>
      </c>
      <c r="H157" s="254" t="str">
        <f t="array" ref="H157">IFERROR(INDEX('PORTIFÓLIO'!$H$4:$H$433,MATCH($C157,'PORTIFÓLIO'!$C$4:$C$433,0)),"")</f>
        <v/>
      </c>
      <c r="I157" s="255"/>
      <c r="J157" s="218">
        <f t="shared" si="18"/>
        <v>0</v>
      </c>
      <c r="K157" s="219" t="str">
        <f t="array" ref="K157">IFERROR(I157*INDEX('PORTIFÓLIO'!$S$4:$S$433,MATCH($C157,'PORTIFÓLIO'!$C$4:$C$433,0)),"")</f>
        <v/>
      </c>
      <c r="L157" s="219" t="str">
        <f t="array" ref="L157">IFERROR(J157*INDEX('PORTIFÓLIO'!$S$4:$S$433,MATCH($C157,'PORTIFÓLIO'!$C$4:$C$433,0)),"")</f>
        <v/>
      </c>
      <c r="M157" s="220"/>
      <c r="N157" s="220"/>
      <c r="O157" s="220"/>
      <c r="P157" s="220"/>
      <c r="Q157" s="220"/>
      <c r="R157" s="220"/>
      <c r="S157" s="220"/>
      <c r="T157" s="220"/>
      <c r="U157" s="220"/>
      <c r="V157" s="220"/>
      <c r="W157" s="220"/>
    </row>
    <row r="158" ht="15.75" customHeight="1" outlineLevel="1">
      <c r="A158" s="211"/>
      <c r="B158" s="212"/>
      <c r="C158" s="213"/>
      <c r="D158" s="214" t="str">
        <f>IFERROR(VLOOKUP($C158,'PORTIFÓLIO'!C:V,2,0),"")</f>
        <v/>
      </c>
      <c r="E158" s="211" t="str">
        <f>IFERROR(VLOOKUP($C158,'PORTIFÓLIO'!C:V,3,0),"")</f>
        <v/>
      </c>
      <c r="F158" s="211" t="str">
        <f>IFERROR(VLOOKUP($C158,'PORTIFÓLIO'!C:V,4,0),"")</f>
        <v/>
      </c>
      <c r="G158" s="215" t="str">
        <f>IFERROR(VLOOKUP($C158,'PORTIFÓLIO'!C:V,5,0),"")</f>
        <v/>
      </c>
      <c r="H158" s="254" t="str">
        <f t="array" ref="H158">IFERROR(INDEX('PORTIFÓLIO'!$H$4:$H$433,MATCH($C158,'PORTIFÓLIO'!$C$4:$C$433,0)),"")</f>
        <v/>
      </c>
      <c r="I158" s="256"/>
      <c r="J158" s="218">
        <f t="shared" si="18"/>
        <v>0</v>
      </c>
      <c r="K158" s="219" t="str">
        <f t="array" ref="K158">IFERROR(I158*INDEX('PORTIFÓLIO'!$S$4:$S$433,MATCH($C158,'PORTIFÓLIO'!$C$4:$C$433,0)),"")</f>
        <v/>
      </c>
      <c r="L158" s="219" t="str">
        <f t="array" ref="L158">IFERROR(J158*INDEX('PORTIFÓLIO'!$S$4:$S$433,MATCH($C158,'PORTIFÓLIO'!$C$4:$C$433,0)),"")</f>
        <v/>
      </c>
      <c r="M158" s="220"/>
      <c r="N158" s="220"/>
      <c r="O158" s="220"/>
      <c r="P158" s="220"/>
      <c r="Q158" s="220"/>
      <c r="R158" s="220"/>
      <c r="S158" s="220"/>
      <c r="T158" s="220"/>
      <c r="U158" s="220"/>
      <c r="V158" s="220"/>
      <c r="W158" s="220"/>
    </row>
    <row r="159" ht="15.75" customHeight="1" outlineLevel="1">
      <c r="A159" s="211"/>
      <c r="B159" s="212"/>
      <c r="C159" s="213"/>
      <c r="D159" s="214" t="str">
        <f>IFERROR(VLOOKUP($C159,'PORTIFÓLIO'!C:V,2,0),"")</f>
        <v/>
      </c>
      <c r="E159" s="211" t="str">
        <f>IFERROR(VLOOKUP($C159,'PORTIFÓLIO'!C:V,3,0),"")</f>
        <v/>
      </c>
      <c r="F159" s="211" t="str">
        <f>IFERROR(VLOOKUP($C159,'PORTIFÓLIO'!C:V,4,0),"")</f>
        <v/>
      </c>
      <c r="G159" s="215" t="str">
        <f>IFERROR(VLOOKUP($C159,'PORTIFÓLIO'!C:V,5,0),"")</f>
        <v/>
      </c>
      <c r="H159" s="254" t="str">
        <f t="array" ref="H159">IFERROR(INDEX('PORTIFÓLIO'!$H$4:$H$433,MATCH($C159,'PORTIFÓLIO'!$C$4:$C$433,0)),"")</f>
        <v/>
      </c>
      <c r="I159" s="256"/>
      <c r="J159" s="218">
        <f t="shared" si="18"/>
        <v>0</v>
      </c>
      <c r="K159" s="219" t="str">
        <f t="array" ref="K159">IFERROR(I159*INDEX('PORTIFÓLIO'!$S$4:$S$433,MATCH($C159,'PORTIFÓLIO'!$C$4:$C$433,0)),"")</f>
        <v/>
      </c>
      <c r="L159" s="219" t="str">
        <f t="array" ref="L159">IFERROR(J159*INDEX('PORTIFÓLIO'!$S$4:$S$433,MATCH($C159,'PORTIFÓLIO'!$C$4:$C$433,0)),"")</f>
        <v/>
      </c>
      <c r="M159" s="220"/>
      <c r="N159" s="220"/>
      <c r="O159" s="220"/>
      <c r="P159" s="220"/>
      <c r="Q159" s="220"/>
      <c r="R159" s="220"/>
      <c r="S159" s="220"/>
      <c r="T159" s="220"/>
      <c r="U159" s="220"/>
      <c r="V159" s="220"/>
      <c r="W159" s="220"/>
    </row>
    <row r="160" ht="15.75" customHeight="1" outlineLevel="1">
      <c r="A160" s="211"/>
      <c r="B160" s="212"/>
      <c r="C160" s="213"/>
      <c r="D160" s="214" t="str">
        <f>IFERROR(VLOOKUP($C160,'PORTIFÓLIO'!C:V,2,0),"")</f>
        <v/>
      </c>
      <c r="E160" s="211" t="str">
        <f>IFERROR(VLOOKUP($C160,'PORTIFÓLIO'!C:V,3,0),"")</f>
        <v/>
      </c>
      <c r="F160" s="211" t="str">
        <f>IFERROR(VLOOKUP($C160,'PORTIFÓLIO'!C:V,4,0),"")</f>
        <v/>
      </c>
      <c r="G160" s="215" t="str">
        <f>IFERROR(VLOOKUP($C160,'PORTIFÓLIO'!C:V,5,0),"")</f>
        <v/>
      </c>
      <c r="H160" s="254" t="str">
        <f t="array" ref="H160">IFERROR(INDEX('PORTIFÓLIO'!$H$4:$H$433,MATCH($C160,'PORTIFÓLIO'!$C$4:$C$433,0)),"")</f>
        <v/>
      </c>
      <c r="I160" s="256"/>
      <c r="J160" s="218">
        <f t="shared" si="18"/>
        <v>0</v>
      </c>
      <c r="K160" s="219" t="str">
        <f t="array" ref="K160">IFERROR(I160*INDEX('PORTIFÓLIO'!$S$4:$S$433,MATCH($C160,'PORTIFÓLIO'!$C$4:$C$433,0)),"")</f>
        <v/>
      </c>
      <c r="L160" s="219" t="str">
        <f t="array" ref="L160">IFERROR(J160*INDEX('PORTIFÓLIO'!$S$4:$S$433,MATCH($C160,'PORTIFÓLIO'!$C$4:$C$433,0)),"")</f>
        <v/>
      </c>
      <c r="M160" s="220"/>
      <c r="N160" s="220"/>
      <c r="O160" s="220"/>
      <c r="P160" s="220"/>
      <c r="Q160" s="220"/>
      <c r="R160" s="220"/>
      <c r="S160" s="220"/>
      <c r="T160" s="220"/>
      <c r="U160" s="220"/>
      <c r="V160" s="220"/>
      <c r="W160" s="220"/>
    </row>
    <row r="161" ht="15.75" customHeight="1" outlineLevel="1">
      <c r="A161" s="211"/>
      <c r="B161" s="212"/>
      <c r="C161" s="213"/>
      <c r="D161" s="214" t="str">
        <f>IFERROR(VLOOKUP($C161,'PORTIFÓLIO'!C:V,2,0),"")</f>
        <v/>
      </c>
      <c r="E161" s="211" t="str">
        <f>IFERROR(VLOOKUP($C161,'PORTIFÓLIO'!C:V,3,0),"")</f>
        <v/>
      </c>
      <c r="F161" s="211" t="str">
        <f>IFERROR(VLOOKUP($C161,'PORTIFÓLIO'!C:V,4,0),"")</f>
        <v/>
      </c>
      <c r="G161" s="215" t="str">
        <f>IFERROR(VLOOKUP($C161,'PORTIFÓLIO'!C:V,5,0),"")</f>
        <v/>
      </c>
      <c r="H161" s="254" t="str">
        <f t="array" ref="H161">IFERROR(INDEX('PORTIFÓLIO'!$H$4:$H$433,MATCH($C161,'PORTIFÓLIO'!$C$4:$C$433,0)),"")</f>
        <v/>
      </c>
      <c r="I161" s="256"/>
      <c r="J161" s="218">
        <f t="shared" si="18"/>
        <v>0</v>
      </c>
      <c r="K161" s="219" t="str">
        <f t="array" ref="K161">IFERROR(I161*INDEX('PORTIFÓLIO'!$S$4:$S$433,MATCH($C161,'PORTIFÓLIO'!$C$4:$C$433,0)),"")</f>
        <v/>
      </c>
      <c r="L161" s="219" t="str">
        <f t="array" ref="L161">IFERROR(J161*INDEX('PORTIFÓLIO'!$S$4:$S$433,MATCH($C161,'PORTIFÓLIO'!$C$4:$C$433,0)),"")</f>
        <v/>
      </c>
      <c r="M161" s="220"/>
      <c r="N161" s="220"/>
      <c r="O161" s="220"/>
      <c r="P161" s="220"/>
      <c r="Q161" s="220"/>
      <c r="R161" s="220"/>
      <c r="S161" s="220"/>
      <c r="T161" s="220"/>
      <c r="U161" s="220"/>
      <c r="V161" s="220"/>
      <c r="W161" s="220"/>
    </row>
    <row r="162" ht="15.75" customHeight="1" outlineLevel="1">
      <c r="A162" s="211"/>
      <c r="B162" s="212"/>
      <c r="C162" s="213"/>
      <c r="D162" s="214" t="str">
        <f>IFERROR(VLOOKUP($C162,'PORTIFÓLIO'!C:V,2,0),"")</f>
        <v/>
      </c>
      <c r="E162" s="211" t="str">
        <f>IFERROR(VLOOKUP($C162,'PORTIFÓLIO'!C:V,3,0),"")</f>
        <v/>
      </c>
      <c r="F162" s="211" t="str">
        <f>IFERROR(VLOOKUP($C162,'PORTIFÓLIO'!C:V,4,0),"")</f>
        <v/>
      </c>
      <c r="G162" s="215" t="str">
        <f>IFERROR(VLOOKUP($C162,'PORTIFÓLIO'!C:V,5,0),"")</f>
        <v/>
      </c>
      <c r="H162" s="254" t="str">
        <f t="array" ref="H162">IFERROR(INDEX('PORTIFÓLIO'!$H$4:$H$433,MATCH($C162,'PORTIFÓLIO'!$C$4:$C$433,0)),"")</f>
        <v/>
      </c>
      <c r="I162" s="256"/>
      <c r="J162" s="218">
        <f t="shared" si="18"/>
        <v>0</v>
      </c>
      <c r="K162" s="219" t="str">
        <f t="array" ref="K162">IFERROR(I162*INDEX('PORTIFÓLIO'!$S$4:$S$433,MATCH($C162,'PORTIFÓLIO'!$C$4:$C$433,0)),"")</f>
        <v/>
      </c>
      <c r="L162" s="219" t="str">
        <f t="array" ref="L162">IFERROR(J162*INDEX('PORTIFÓLIO'!$S$4:$S$433,MATCH($C162,'PORTIFÓLIO'!$C$4:$C$433,0)),"")</f>
        <v/>
      </c>
      <c r="M162" s="220"/>
      <c r="N162" s="220"/>
      <c r="O162" s="220"/>
      <c r="P162" s="220"/>
      <c r="Q162" s="220"/>
      <c r="R162" s="220"/>
      <c r="S162" s="220"/>
      <c r="T162" s="220"/>
      <c r="U162" s="220"/>
      <c r="V162" s="220"/>
      <c r="W162" s="220"/>
    </row>
    <row r="163" ht="15.75" customHeight="1" outlineLevel="1">
      <c r="A163" s="211"/>
      <c r="B163" s="212"/>
      <c r="C163" s="213"/>
      <c r="D163" s="214" t="str">
        <f>IFERROR(VLOOKUP($C163,'PORTIFÓLIO'!C:V,2,0),"")</f>
        <v/>
      </c>
      <c r="E163" s="211" t="str">
        <f>IFERROR(VLOOKUP($C163,'PORTIFÓLIO'!C:V,3,0),"")</f>
        <v/>
      </c>
      <c r="F163" s="211" t="str">
        <f>IFERROR(VLOOKUP($C163,'PORTIFÓLIO'!C:V,4,0),"")</f>
        <v/>
      </c>
      <c r="G163" s="215" t="str">
        <f>IFERROR(VLOOKUP($C163,'PORTIFÓLIO'!C:V,5,0),"")</f>
        <v/>
      </c>
      <c r="H163" s="254" t="str">
        <f t="array" ref="H163">IFERROR(INDEX('PORTIFÓLIO'!$H$4:$H$433,MATCH($C163,'PORTIFÓLIO'!$C$4:$C$433,0)),"")</f>
        <v/>
      </c>
      <c r="I163" s="256"/>
      <c r="J163" s="218">
        <f t="shared" si="18"/>
        <v>0</v>
      </c>
      <c r="K163" s="219" t="str">
        <f t="array" ref="K163">IFERROR(I163*INDEX('PORTIFÓLIO'!$S$4:$S$433,MATCH($C163,'PORTIFÓLIO'!$C$4:$C$433,0)),"")</f>
        <v/>
      </c>
      <c r="L163" s="219" t="str">
        <f t="array" ref="L163">IFERROR(J163*INDEX('PORTIFÓLIO'!$S$4:$S$433,MATCH($C163,'PORTIFÓLIO'!$C$4:$C$433,0)),"")</f>
        <v/>
      </c>
      <c r="M163" s="220"/>
      <c r="N163" s="220"/>
      <c r="O163" s="220"/>
      <c r="P163" s="220"/>
      <c r="Q163" s="220"/>
      <c r="R163" s="220"/>
      <c r="S163" s="220"/>
      <c r="T163" s="220"/>
      <c r="U163" s="220"/>
      <c r="V163" s="220"/>
      <c r="W163" s="220"/>
    </row>
    <row r="164" ht="15.75" customHeight="1" outlineLevel="1">
      <c r="A164" s="211"/>
      <c r="B164" s="227"/>
      <c r="C164" s="211"/>
      <c r="D164" s="214" t="str">
        <f>IFERROR(VLOOKUP($C164,'PORTIFÓLIO'!C:V,2,0),"")</f>
        <v/>
      </c>
      <c r="E164" s="211" t="str">
        <f>IFERROR(VLOOKUP($C164,'PORTIFÓLIO'!C:V,3,0),"")</f>
        <v/>
      </c>
      <c r="F164" s="211" t="str">
        <f>IFERROR(VLOOKUP($C164,'PORTIFÓLIO'!C:V,4,0),"")</f>
        <v/>
      </c>
      <c r="G164" s="215" t="str">
        <f>IFERROR(VLOOKUP($C164,'PORTIFÓLIO'!C:V,5,0),"")</f>
        <v/>
      </c>
      <c r="H164" s="254" t="str">
        <f t="array" ref="H164">IFERROR(INDEX('PORTIFÓLIO'!$H$4:$H$433,MATCH($C164,'PORTIFÓLIO'!$C$4:$C$433,0)),"")</f>
        <v/>
      </c>
      <c r="I164" s="256"/>
      <c r="J164" s="218"/>
      <c r="K164" s="219" t="str">
        <f t="array" ref="K164">IFERROR(I164*INDEX('PORTIFÓLIO'!$S$4:$S$433,MATCH($C164,'PORTIFÓLIO'!$C$4:$C$433,0)),"")</f>
        <v/>
      </c>
      <c r="L164" s="219" t="str">
        <f t="array" ref="L164">IFERROR(J164*INDEX('PORTIFÓLIO'!$S$4:$S$433,MATCH($C164,'PORTIFÓLIO'!$C$4:$C$433,0)),"")</f>
        <v/>
      </c>
      <c r="M164" s="220"/>
      <c r="N164" s="220"/>
      <c r="O164" s="220"/>
      <c r="P164" s="220"/>
      <c r="Q164" s="220"/>
      <c r="R164" s="220"/>
      <c r="S164" s="220"/>
      <c r="T164" s="220"/>
      <c r="U164" s="220"/>
      <c r="V164" s="220"/>
      <c r="W164" s="220"/>
    </row>
    <row r="165" ht="15.75" customHeight="1">
      <c r="A165" s="229" t="s">
        <v>1193</v>
      </c>
      <c r="B165" s="230"/>
      <c r="C165" s="231"/>
      <c r="D165" s="232"/>
      <c r="E165" s="231"/>
      <c r="F165" s="231"/>
      <c r="G165" s="233"/>
      <c r="H165" s="233"/>
      <c r="I165" s="258"/>
      <c r="J165" s="236"/>
      <c r="K165" s="237">
        <f t="shared" ref="K165:L165" si="19">SUBTOTAL(9,K166:K179)</f>
        <v>50.69456</v>
      </c>
      <c r="L165" s="237">
        <f t="shared" si="19"/>
        <v>2027.7824</v>
      </c>
      <c r="M165" s="220"/>
      <c r="N165" s="220"/>
      <c r="O165" s="220"/>
      <c r="P165" s="220"/>
      <c r="Q165" s="220"/>
      <c r="R165" s="220"/>
      <c r="S165" s="220"/>
      <c r="T165" s="220"/>
      <c r="U165" s="220"/>
      <c r="V165" s="220"/>
      <c r="W165" s="220"/>
    </row>
    <row r="166" ht="15.75" customHeight="1" outlineLevel="1">
      <c r="A166" s="213"/>
      <c r="B166" s="212" t="s">
        <v>1</v>
      </c>
      <c r="C166" s="213" t="s">
        <v>742</v>
      </c>
      <c r="D166" s="214" t="str">
        <f>IFERROR(VLOOKUP($C166,'PORTIFÓLIO'!C:V,2,0),"")</f>
        <v>DIQUATE</v>
      </c>
      <c r="E166" s="211">
        <f>IFERROR(VLOOKUP($C166,'PORTIFÓLIO'!C:V,3,0),"")</f>
        <v>200</v>
      </c>
      <c r="F166" s="211" t="str">
        <f>IFERROR(VLOOKUP($C166,'PORTIFÓLIO'!C:V,4,0),"")</f>
        <v>L</v>
      </c>
      <c r="G166" s="225" t="str">
        <f>IFERROR(VLOOKUP($C166,'PORTIFÓLIO'!C:V,5,0),"")</f>
        <v>📄 Ver bula</v>
      </c>
      <c r="H166" s="254">
        <f t="array" ref="H166">IFERROR(INDEX('PORTIFÓLIO'!$H$4:$H$433,MATCH($C166,'PORTIFÓLIO'!$C$4:$C$433,0)),"")</f>
        <v>2</v>
      </c>
      <c r="I166" s="255">
        <v>2.0</v>
      </c>
      <c r="J166" s="218">
        <f t="shared" ref="J166:J181" si="20">I166*$B$2</f>
        <v>80</v>
      </c>
      <c r="K166" s="219">
        <f t="array" ref="K166">IFERROR(I166*INDEX('PORTIFÓLIO'!$S$4:$S$433,MATCH($C166,'PORTIFÓLIO'!$C$4:$C$433,0)),"")</f>
        <v>47.48856</v>
      </c>
      <c r="L166" s="219">
        <f t="array" ref="L166">IFERROR(J166*INDEX('PORTIFÓLIO'!$S$4:$S$433,MATCH($C166,'PORTIFÓLIO'!$C$4:$C$433,0)),"")</f>
        <v>1899.5424</v>
      </c>
      <c r="M166" s="220"/>
      <c r="N166" s="220"/>
      <c r="O166" s="220"/>
      <c r="P166" s="220"/>
      <c r="Q166" s="220"/>
      <c r="R166" s="220"/>
      <c r="S166" s="220"/>
      <c r="T166" s="220"/>
      <c r="U166" s="220"/>
      <c r="V166" s="220"/>
      <c r="W166" s="220"/>
    </row>
    <row r="167" ht="15.75" customHeight="1" outlineLevel="1">
      <c r="A167" s="211"/>
      <c r="B167" s="212" t="s">
        <v>6</v>
      </c>
      <c r="C167" s="213" t="s">
        <v>354</v>
      </c>
      <c r="D167" s="214" t="str">
        <f>IFERROR(VLOOKUP($C167,'PORTIFÓLIO'!C:V,2,0),"")</f>
        <v>OLEO MINERAL</v>
      </c>
      <c r="E167" s="211">
        <f>IFERROR(VLOOKUP($C167,'PORTIFÓLIO'!C:V,3,0),"")</f>
        <v>761</v>
      </c>
      <c r="F167" s="211" t="str">
        <f>IFERROR(VLOOKUP($C167,'PORTIFÓLIO'!C:V,4,0),"")</f>
        <v>L</v>
      </c>
      <c r="G167" s="225" t="str">
        <f>IFERROR(VLOOKUP($C167,'PORTIFÓLIO'!C:V,5,0),"")</f>
        <v>📄 Ver bula</v>
      </c>
      <c r="H167" s="254">
        <f t="array" ref="H167">IFERROR(INDEX('PORTIFÓLIO'!$H$4:$H$433,MATCH($C167,'PORTIFÓLIO'!$C$4:$C$433,0)),"")</f>
        <v>0.2</v>
      </c>
      <c r="I167" s="255">
        <v>0.2</v>
      </c>
      <c r="J167" s="218">
        <f t="shared" si="20"/>
        <v>8</v>
      </c>
      <c r="K167" s="219">
        <f t="array" ref="K167">IFERROR(I167*INDEX('PORTIFÓLIO'!$S$4:$S$433,MATCH($C167,'PORTIFÓLIO'!$C$4:$C$433,0)),"")</f>
        <v>3.206</v>
      </c>
      <c r="L167" s="219">
        <f t="array" ref="L167">IFERROR(J167*INDEX('PORTIFÓLIO'!$S$4:$S$433,MATCH($C167,'PORTIFÓLIO'!$C$4:$C$433,0)),"")</f>
        <v>128.24</v>
      </c>
      <c r="M167" s="220"/>
      <c r="N167" s="220"/>
      <c r="O167" s="220"/>
      <c r="P167" s="220"/>
      <c r="Q167" s="220"/>
      <c r="R167" s="220"/>
      <c r="S167" s="220"/>
      <c r="T167" s="220"/>
      <c r="U167" s="220"/>
      <c r="V167" s="220"/>
      <c r="W167" s="220"/>
    </row>
    <row r="168" ht="15.75" customHeight="1" outlineLevel="1">
      <c r="A168" s="211"/>
      <c r="B168" s="212"/>
      <c r="C168" s="213"/>
      <c r="D168" s="214" t="str">
        <f>IFERROR(VLOOKUP($C168,'PORTIFÓLIO'!C:V,2,0),"")</f>
        <v/>
      </c>
      <c r="E168" s="211" t="str">
        <f>IFERROR(VLOOKUP($C168,'PORTIFÓLIO'!C:V,3,0),"")</f>
        <v/>
      </c>
      <c r="F168" s="211" t="str">
        <f>IFERROR(VLOOKUP($C168,'PORTIFÓLIO'!C:V,4,0),"")</f>
        <v/>
      </c>
      <c r="G168" s="215" t="str">
        <f>IFERROR(VLOOKUP($C168,'PORTIFÓLIO'!C:V,5,0),"")</f>
        <v/>
      </c>
      <c r="H168" s="254" t="str">
        <f t="array" ref="H168">IFERROR(INDEX('PORTIFÓLIO'!$H$4:$H$433,MATCH($C168,'PORTIFÓLIO'!$C$4:$C$433,0)),"")</f>
        <v/>
      </c>
      <c r="I168" s="256"/>
      <c r="J168" s="218">
        <f t="shared" si="20"/>
        <v>0</v>
      </c>
      <c r="K168" s="219" t="str">
        <f t="array" ref="K168">IFERROR(I168*INDEX('PORTIFÓLIO'!$S$4:$S$433,MATCH($C168,'PORTIFÓLIO'!$C$4:$C$433,0)),"")</f>
        <v/>
      </c>
      <c r="L168" s="219" t="str">
        <f t="array" ref="L168">IFERROR(J168*INDEX('PORTIFÓLIO'!$S$4:$S$433,MATCH($C168,'PORTIFÓLIO'!$C$4:$C$433,0)),"")</f>
        <v/>
      </c>
      <c r="M168" s="220"/>
      <c r="N168" s="220"/>
      <c r="O168" s="220"/>
      <c r="P168" s="220"/>
      <c r="Q168" s="220"/>
      <c r="R168" s="220"/>
      <c r="S168" s="220"/>
      <c r="T168" s="220"/>
      <c r="U168" s="220"/>
      <c r="V168" s="220"/>
      <c r="W168" s="220"/>
    </row>
    <row r="169" ht="15.75" customHeight="1" outlineLevel="1">
      <c r="A169" s="211"/>
      <c r="B169" s="212"/>
      <c r="C169" s="213"/>
      <c r="D169" s="214" t="str">
        <f>IFERROR(VLOOKUP($C169,'PORTIFÓLIO'!C:V,2,0),"")</f>
        <v/>
      </c>
      <c r="E169" s="211" t="str">
        <f>IFERROR(VLOOKUP($C169,'PORTIFÓLIO'!C:V,3,0),"")</f>
        <v/>
      </c>
      <c r="F169" s="211" t="str">
        <f>IFERROR(VLOOKUP($C169,'PORTIFÓLIO'!C:V,4,0),"")</f>
        <v/>
      </c>
      <c r="G169" s="215" t="str">
        <f>IFERROR(VLOOKUP($C169,'PORTIFÓLIO'!C:V,5,0),"")</f>
        <v/>
      </c>
      <c r="H169" s="254" t="str">
        <f t="array" ref="H169">IFERROR(INDEX('PORTIFÓLIO'!$H$4:$H$433,MATCH($C169,'PORTIFÓLIO'!$C$4:$C$433,0)),"")</f>
        <v/>
      </c>
      <c r="I169" s="256"/>
      <c r="J169" s="218">
        <f t="shared" si="20"/>
        <v>0</v>
      </c>
      <c r="K169" s="219" t="str">
        <f t="array" ref="K169">IFERROR(I169*INDEX('PORTIFÓLIO'!$S$4:$S$433,MATCH($C169,'PORTIFÓLIO'!$C$4:$C$433,0)),"")</f>
        <v/>
      </c>
      <c r="L169" s="219" t="str">
        <f t="array" ref="L169">IFERROR(J169*INDEX('PORTIFÓLIO'!$S$4:$S$433,MATCH($C169,'PORTIFÓLIO'!$C$4:$C$433,0)),"")</f>
        <v/>
      </c>
      <c r="M169" s="220"/>
      <c r="N169" s="220"/>
      <c r="O169" s="220"/>
      <c r="P169" s="220"/>
      <c r="Q169" s="220"/>
      <c r="R169" s="220"/>
      <c r="S169" s="220"/>
      <c r="T169" s="220"/>
      <c r="U169" s="220"/>
      <c r="V169" s="220"/>
      <c r="W169" s="220"/>
    </row>
    <row r="170" ht="15.75" customHeight="1" outlineLevel="1">
      <c r="A170" s="211"/>
      <c r="B170" s="212"/>
      <c r="C170" s="213"/>
      <c r="D170" s="214" t="str">
        <f>IFERROR(VLOOKUP($C170,'PORTIFÓLIO'!C:V,2,0),"")</f>
        <v/>
      </c>
      <c r="E170" s="211" t="str">
        <f>IFERROR(VLOOKUP($C170,'PORTIFÓLIO'!C:V,3,0),"")</f>
        <v/>
      </c>
      <c r="F170" s="211" t="str">
        <f>IFERROR(VLOOKUP($C170,'PORTIFÓLIO'!C:V,4,0),"")</f>
        <v/>
      </c>
      <c r="G170" s="215" t="str">
        <f>IFERROR(VLOOKUP($C170,'PORTIFÓLIO'!C:V,5,0),"")</f>
        <v/>
      </c>
      <c r="H170" s="254" t="str">
        <f t="array" ref="H170">IFERROR(INDEX('PORTIFÓLIO'!$H$4:$H$433,MATCH($C170,'PORTIFÓLIO'!$C$4:$C$433,0)),"")</f>
        <v/>
      </c>
      <c r="I170" s="256"/>
      <c r="J170" s="218">
        <f t="shared" si="20"/>
        <v>0</v>
      </c>
      <c r="K170" s="219" t="str">
        <f t="array" ref="K170">IFERROR(I170*INDEX('PORTIFÓLIO'!$S$4:$S$433,MATCH($C170,'PORTIFÓLIO'!$C$4:$C$433,0)),"")</f>
        <v/>
      </c>
      <c r="L170" s="219" t="str">
        <f t="array" ref="L170">IFERROR(J170*INDEX('PORTIFÓLIO'!$S$4:$S$433,MATCH($C170,'PORTIFÓLIO'!$C$4:$C$433,0)),"")</f>
        <v/>
      </c>
      <c r="M170" s="220"/>
      <c r="N170" s="220"/>
      <c r="O170" s="220"/>
      <c r="P170" s="220"/>
      <c r="Q170" s="220"/>
      <c r="R170" s="220"/>
      <c r="S170" s="220"/>
      <c r="T170" s="220"/>
      <c r="U170" s="220"/>
      <c r="V170" s="220"/>
      <c r="W170" s="220"/>
    </row>
    <row r="171" ht="15.75" customHeight="1" outlineLevel="1">
      <c r="A171" s="211"/>
      <c r="B171" s="212"/>
      <c r="C171" s="213"/>
      <c r="D171" s="214" t="str">
        <f>IFERROR(VLOOKUP($C171,'PORTIFÓLIO'!C:V,2,0),"")</f>
        <v/>
      </c>
      <c r="E171" s="211" t="str">
        <f>IFERROR(VLOOKUP($C171,'PORTIFÓLIO'!C:V,3,0),"")</f>
        <v/>
      </c>
      <c r="F171" s="211" t="str">
        <f>IFERROR(VLOOKUP($C171,'PORTIFÓLIO'!C:V,4,0),"")</f>
        <v/>
      </c>
      <c r="G171" s="215" t="str">
        <f>IFERROR(VLOOKUP($C171,'PORTIFÓLIO'!C:V,5,0),"")</f>
        <v/>
      </c>
      <c r="H171" s="254" t="str">
        <f t="array" ref="H171">IFERROR(INDEX('PORTIFÓLIO'!$H$4:$H$433,MATCH($C171,'PORTIFÓLIO'!$C$4:$C$433,0)),"")</f>
        <v/>
      </c>
      <c r="I171" s="256"/>
      <c r="J171" s="218">
        <f t="shared" si="20"/>
        <v>0</v>
      </c>
      <c r="K171" s="219" t="str">
        <f t="array" ref="K171">IFERROR(I171*INDEX('PORTIFÓLIO'!$S$4:$S$433,MATCH($C171,'PORTIFÓLIO'!$C$4:$C$433,0)),"")</f>
        <v/>
      </c>
      <c r="L171" s="219" t="str">
        <f t="array" ref="L171">IFERROR(J171*INDEX('PORTIFÓLIO'!$S$4:$S$433,MATCH($C171,'PORTIFÓLIO'!$C$4:$C$433,0)),"")</f>
        <v/>
      </c>
      <c r="M171" s="220"/>
      <c r="N171" s="220"/>
      <c r="O171" s="220"/>
      <c r="P171" s="220"/>
      <c r="Q171" s="220"/>
      <c r="R171" s="220"/>
      <c r="S171" s="220"/>
      <c r="T171" s="220"/>
      <c r="U171" s="220"/>
      <c r="V171" s="220"/>
      <c r="W171" s="220"/>
    </row>
    <row r="172" ht="15.75" customHeight="1" outlineLevel="1">
      <c r="A172" s="211"/>
      <c r="B172" s="212"/>
      <c r="C172" s="213"/>
      <c r="D172" s="214" t="str">
        <f>IFERROR(VLOOKUP($C172,'PORTIFÓLIO'!C:V,2,0),"")</f>
        <v/>
      </c>
      <c r="E172" s="211" t="str">
        <f>IFERROR(VLOOKUP($C172,'PORTIFÓLIO'!C:V,3,0),"")</f>
        <v/>
      </c>
      <c r="F172" s="211" t="str">
        <f>IFERROR(VLOOKUP($C172,'PORTIFÓLIO'!C:V,4,0),"")</f>
        <v/>
      </c>
      <c r="G172" s="215" t="str">
        <f>IFERROR(VLOOKUP($C172,'PORTIFÓLIO'!C:V,5,0),"")</f>
        <v/>
      </c>
      <c r="H172" s="254" t="str">
        <f t="array" ref="H172">IFERROR(INDEX('PORTIFÓLIO'!$H$4:$H$433,MATCH($C172,'PORTIFÓLIO'!$C$4:$C$433,0)),"")</f>
        <v/>
      </c>
      <c r="I172" s="256"/>
      <c r="J172" s="218">
        <f t="shared" si="20"/>
        <v>0</v>
      </c>
      <c r="K172" s="219" t="str">
        <f t="array" ref="K172">IFERROR(I172*INDEX('PORTIFÓLIO'!$S$4:$S$433,MATCH($C172,'PORTIFÓLIO'!$C$4:$C$433,0)),"")</f>
        <v/>
      </c>
      <c r="L172" s="219" t="str">
        <f t="array" ref="L172">IFERROR(J172*INDEX('PORTIFÓLIO'!$S$4:$S$433,MATCH($C172,'PORTIFÓLIO'!$C$4:$C$433,0)),"")</f>
        <v/>
      </c>
      <c r="M172" s="220"/>
      <c r="N172" s="220"/>
      <c r="O172" s="220"/>
      <c r="P172" s="220"/>
      <c r="Q172" s="220"/>
      <c r="R172" s="220"/>
      <c r="S172" s="220"/>
      <c r="T172" s="220"/>
      <c r="U172" s="220"/>
      <c r="V172" s="220"/>
      <c r="W172" s="220"/>
    </row>
    <row r="173" ht="15.75" customHeight="1" outlineLevel="1">
      <c r="A173" s="211"/>
      <c r="B173" s="212"/>
      <c r="C173" s="213"/>
      <c r="D173" s="214" t="str">
        <f>IFERROR(VLOOKUP($C173,'PORTIFÓLIO'!C:V,2,0),"")</f>
        <v/>
      </c>
      <c r="E173" s="211" t="str">
        <f>IFERROR(VLOOKUP($C173,'PORTIFÓLIO'!C:V,3,0),"")</f>
        <v/>
      </c>
      <c r="F173" s="211" t="str">
        <f>IFERROR(VLOOKUP($C173,'PORTIFÓLIO'!C:V,4,0),"")</f>
        <v/>
      </c>
      <c r="G173" s="215" t="str">
        <f>IFERROR(VLOOKUP($C173,'PORTIFÓLIO'!C:V,5,0),"")</f>
        <v/>
      </c>
      <c r="H173" s="254" t="str">
        <f t="array" ref="H173">IFERROR(INDEX('PORTIFÓLIO'!$H$4:$H$433,MATCH($C173,'PORTIFÓLIO'!$C$4:$C$433,0)),"")</f>
        <v/>
      </c>
      <c r="I173" s="256"/>
      <c r="J173" s="218">
        <f t="shared" si="20"/>
        <v>0</v>
      </c>
      <c r="K173" s="219" t="str">
        <f t="array" ref="K173">IFERROR(I173*INDEX('PORTIFÓLIO'!$S$4:$S$433,MATCH($C173,'PORTIFÓLIO'!$C$4:$C$433,0)),"")</f>
        <v/>
      </c>
      <c r="L173" s="219" t="str">
        <f t="array" ref="L173">IFERROR(J173*INDEX('PORTIFÓLIO'!$S$4:$S$433,MATCH($C173,'PORTIFÓLIO'!$C$4:$C$433,0)),"")</f>
        <v/>
      </c>
      <c r="M173" s="220"/>
      <c r="N173" s="220"/>
      <c r="O173" s="220"/>
      <c r="P173" s="220"/>
      <c r="Q173" s="220"/>
      <c r="R173" s="220"/>
      <c r="S173" s="220"/>
      <c r="T173" s="220"/>
      <c r="U173" s="220"/>
      <c r="V173" s="220"/>
      <c r="W173" s="220"/>
    </row>
    <row r="174" ht="15.75" customHeight="1" outlineLevel="1">
      <c r="A174" s="211"/>
      <c r="B174" s="212"/>
      <c r="C174" s="213"/>
      <c r="D174" s="214" t="str">
        <f>IFERROR(VLOOKUP($C174,'PORTIFÓLIO'!C:V,2,0),"")</f>
        <v/>
      </c>
      <c r="E174" s="211" t="str">
        <f>IFERROR(VLOOKUP($C174,'PORTIFÓLIO'!C:V,3,0),"")</f>
        <v/>
      </c>
      <c r="F174" s="211" t="str">
        <f>IFERROR(VLOOKUP($C174,'PORTIFÓLIO'!C:V,4,0),"")</f>
        <v/>
      </c>
      <c r="G174" s="215" t="str">
        <f>IFERROR(VLOOKUP($C174,'PORTIFÓLIO'!C:V,5,0),"")</f>
        <v/>
      </c>
      <c r="H174" s="254" t="str">
        <f t="array" ref="H174">IFERROR(INDEX('PORTIFÓLIO'!$H$4:$H$433,MATCH($C174,'PORTIFÓLIO'!$C$4:$C$433,0)),"")</f>
        <v/>
      </c>
      <c r="I174" s="255"/>
      <c r="J174" s="218">
        <f t="shared" si="20"/>
        <v>0</v>
      </c>
      <c r="K174" s="219" t="str">
        <f t="array" ref="K174">IFERROR(I174*INDEX('PORTIFÓLIO'!$S$4:$S$433,MATCH($C174,'PORTIFÓLIO'!$C$4:$C$433,0)),"")</f>
        <v/>
      </c>
      <c r="L174" s="219" t="str">
        <f t="array" ref="L174">IFERROR(J174*INDEX('PORTIFÓLIO'!$S$4:$S$433,MATCH($C174,'PORTIFÓLIO'!$C$4:$C$433,0)),"")</f>
        <v/>
      </c>
      <c r="M174" s="220"/>
      <c r="N174" s="220"/>
      <c r="O174" s="220"/>
      <c r="P174" s="220"/>
      <c r="Q174" s="220"/>
      <c r="R174" s="220"/>
      <c r="S174" s="220"/>
      <c r="T174" s="220"/>
      <c r="U174" s="220"/>
      <c r="V174" s="220"/>
      <c r="W174" s="220"/>
    </row>
    <row r="175" ht="15.75" customHeight="1" outlineLevel="1">
      <c r="A175" s="211"/>
      <c r="B175" s="212"/>
      <c r="C175" s="213"/>
      <c r="D175" s="214" t="str">
        <f>IFERROR(VLOOKUP($C175,'PORTIFÓLIO'!C:V,2,0),"")</f>
        <v/>
      </c>
      <c r="E175" s="211" t="str">
        <f>IFERROR(VLOOKUP($C175,'PORTIFÓLIO'!C:V,3,0),"")</f>
        <v/>
      </c>
      <c r="F175" s="211" t="str">
        <f>IFERROR(VLOOKUP($C175,'PORTIFÓLIO'!C:V,4,0),"")</f>
        <v/>
      </c>
      <c r="G175" s="215" t="str">
        <f>IFERROR(VLOOKUP($C175,'PORTIFÓLIO'!C:V,5,0),"")</f>
        <v/>
      </c>
      <c r="H175" s="254" t="str">
        <f t="array" ref="H175">IFERROR(INDEX('PORTIFÓLIO'!$H$4:$H$433,MATCH($C175,'PORTIFÓLIO'!$C$4:$C$433,0)),"")</f>
        <v/>
      </c>
      <c r="I175" s="256"/>
      <c r="J175" s="218">
        <f t="shared" si="20"/>
        <v>0</v>
      </c>
      <c r="K175" s="219" t="str">
        <f t="array" ref="K175">IFERROR(I175*INDEX('PORTIFÓLIO'!$S$4:$S$433,MATCH($C175,'PORTIFÓLIO'!$C$4:$C$433,0)),"")</f>
        <v/>
      </c>
      <c r="L175" s="219" t="str">
        <f t="array" ref="L175">IFERROR(J175*INDEX('PORTIFÓLIO'!$S$4:$S$433,MATCH($C175,'PORTIFÓLIO'!$C$4:$C$433,0)),"")</f>
        <v/>
      </c>
      <c r="M175" s="220"/>
      <c r="N175" s="220"/>
      <c r="O175" s="220"/>
      <c r="P175" s="220"/>
      <c r="Q175" s="220"/>
      <c r="R175" s="220"/>
      <c r="S175" s="220"/>
      <c r="T175" s="220"/>
      <c r="U175" s="220"/>
      <c r="V175" s="220"/>
      <c r="W175" s="220"/>
    </row>
    <row r="176" ht="15.75" customHeight="1" outlineLevel="1">
      <c r="A176" s="211"/>
      <c r="B176" s="212"/>
      <c r="C176" s="213"/>
      <c r="D176" s="214" t="str">
        <f>IFERROR(VLOOKUP($C176,'PORTIFÓLIO'!C:V,2,0),"")</f>
        <v/>
      </c>
      <c r="E176" s="211" t="str">
        <f>IFERROR(VLOOKUP($C176,'PORTIFÓLIO'!C:V,3,0),"")</f>
        <v/>
      </c>
      <c r="F176" s="211" t="str">
        <f>IFERROR(VLOOKUP($C176,'PORTIFÓLIO'!C:V,4,0),"")</f>
        <v/>
      </c>
      <c r="G176" s="215" t="str">
        <f>IFERROR(VLOOKUP($C176,'PORTIFÓLIO'!C:V,5,0),"")</f>
        <v/>
      </c>
      <c r="H176" s="254" t="str">
        <f t="array" ref="H176">IFERROR(INDEX('PORTIFÓLIO'!$H$4:$H$433,MATCH($C176,'PORTIFÓLIO'!$C$4:$C$433,0)),"")</f>
        <v/>
      </c>
      <c r="I176" s="256"/>
      <c r="J176" s="218">
        <f t="shared" si="20"/>
        <v>0</v>
      </c>
      <c r="K176" s="219" t="str">
        <f t="array" ref="K176">IFERROR(I176*INDEX('PORTIFÓLIO'!$S$4:$S$433,MATCH($C176,'PORTIFÓLIO'!$C$4:$C$433,0)),"")</f>
        <v/>
      </c>
      <c r="L176" s="219" t="str">
        <f t="array" ref="L176">IFERROR(J176*INDEX('PORTIFÓLIO'!$S$4:$S$433,MATCH($C176,'PORTIFÓLIO'!$C$4:$C$433,0)),"")</f>
        <v/>
      </c>
      <c r="M176" s="220"/>
      <c r="N176" s="220"/>
      <c r="O176" s="220"/>
      <c r="P176" s="220"/>
      <c r="Q176" s="220"/>
      <c r="R176" s="220"/>
      <c r="S176" s="220"/>
      <c r="T176" s="220"/>
      <c r="U176" s="220"/>
      <c r="V176" s="220"/>
      <c r="W176" s="220"/>
    </row>
    <row r="177" ht="15.75" customHeight="1" outlineLevel="1">
      <c r="A177" s="211"/>
      <c r="B177" s="212"/>
      <c r="C177" s="213"/>
      <c r="D177" s="214" t="str">
        <f>IFERROR(VLOOKUP($C177,'PORTIFÓLIO'!C:V,2,0),"")</f>
        <v/>
      </c>
      <c r="E177" s="211" t="str">
        <f>IFERROR(VLOOKUP($C177,'PORTIFÓLIO'!C:V,3,0),"")</f>
        <v/>
      </c>
      <c r="F177" s="211" t="str">
        <f>IFERROR(VLOOKUP($C177,'PORTIFÓLIO'!C:V,4,0),"")</f>
        <v/>
      </c>
      <c r="G177" s="215" t="str">
        <f>IFERROR(VLOOKUP($C177,'PORTIFÓLIO'!C:V,5,0),"")</f>
        <v/>
      </c>
      <c r="H177" s="254" t="str">
        <f t="array" ref="H177">IFERROR(INDEX('PORTIFÓLIO'!$H$4:$H$433,MATCH($C177,'PORTIFÓLIO'!$C$4:$C$433,0)),"")</f>
        <v/>
      </c>
      <c r="I177" s="256"/>
      <c r="J177" s="218">
        <f t="shared" si="20"/>
        <v>0</v>
      </c>
      <c r="K177" s="219" t="str">
        <f t="array" ref="K177">IFERROR(I177*INDEX('PORTIFÓLIO'!$S$4:$S$433,MATCH($C177,'PORTIFÓLIO'!$C$4:$C$433,0)),"")</f>
        <v/>
      </c>
      <c r="L177" s="219" t="str">
        <f t="array" ref="L177">IFERROR(J177*INDEX('PORTIFÓLIO'!$S$4:$S$433,MATCH($C177,'PORTIFÓLIO'!$C$4:$C$433,0)),"")</f>
        <v/>
      </c>
      <c r="M177" s="220"/>
      <c r="N177" s="220"/>
      <c r="O177" s="220"/>
      <c r="P177" s="220"/>
      <c r="Q177" s="220"/>
      <c r="R177" s="220"/>
      <c r="S177" s="220"/>
      <c r="T177" s="220"/>
      <c r="U177" s="220"/>
      <c r="V177" s="220"/>
      <c r="W177" s="220"/>
    </row>
    <row r="178" ht="15.75" customHeight="1" outlineLevel="1">
      <c r="A178" s="211"/>
      <c r="B178" s="212"/>
      <c r="C178" s="213"/>
      <c r="D178" s="214" t="str">
        <f>IFERROR(VLOOKUP($C178,'PORTIFÓLIO'!C:V,2,0),"")</f>
        <v/>
      </c>
      <c r="E178" s="211" t="str">
        <f>IFERROR(VLOOKUP($C178,'PORTIFÓLIO'!C:V,3,0),"")</f>
        <v/>
      </c>
      <c r="F178" s="211" t="str">
        <f>IFERROR(VLOOKUP($C178,'PORTIFÓLIO'!C:V,4,0),"")</f>
        <v/>
      </c>
      <c r="G178" s="215" t="str">
        <f>IFERROR(VLOOKUP($C178,'PORTIFÓLIO'!C:V,5,0),"")</f>
        <v/>
      </c>
      <c r="H178" s="254" t="str">
        <f t="array" ref="H178">IFERROR(INDEX('PORTIFÓLIO'!$H$4:$H$433,MATCH($C178,'PORTIFÓLIO'!$C$4:$C$433,0)),"")</f>
        <v/>
      </c>
      <c r="I178" s="256"/>
      <c r="J178" s="218">
        <f t="shared" si="20"/>
        <v>0</v>
      </c>
      <c r="K178" s="219" t="str">
        <f t="array" ref="K178">IFERROR(I178*INDEX('PORTIFÓLIO'!$S$4:$S$433,MATCH($C178,'PORTIFÓLIO'!$C$4:$C$433,0)),"")</f>
        <v/>
      </c>
      <c r="L178" s="219" t="str">
        <f t="array" ref="L178">IFERROR(J178*INDEX('PORTIFÓLIO'!$S$4:$S$433,MATCH($C178,'PORTIFÓLIO'!$C$4:$C$433,0)),"")</f>
        <v/>
      </c>
      <c r="M178" s="220"/>
      <c r="N178" s="220"/>
      <c r="O178" s="220"/>
      <c r="P178" s="220"/>
      <c r="Q178" s="220"/>
      <c r="R178" s="220"/>
      <c r="S178" s="220"/>
      <c r="T178" s="220"/>
      <c r="U178" s="220"/>
      <c r="V178" s="220"/>
      <c r="W178" s="220"/>
    </row>
    <row r="179" ht="15.75" customHeight="1" outlineLevel="1">
      <c r="A179" s="211"/>
      <c r="B179" s="212"/>
      <c r="C179" s="213"/>
      <c r="D179" s="214" t="str">
        <f>IFERROR(VLOOKUP($C179,'PORTIFÓLIO'!C:V,2,0),"")</f>
        <v/>
      </c>
      <c r="E179" s="211" t="str">
        <f>IFERROR(VLOOKUP($C179,'PORTIFÓLIO'!C:V,3,0),"")</f>
        <v/>
      </c>
      <c r="F179" s="211" t="str">
        <f>IFERROR(VLOOKUP($C179,'PORTIFÓLIO'!C:V,4,0),"")</f>
        <v/>
      </c>
      <c r="G179" s="215" t="str">
        <f>IFERROR(VLOOKUP($C179,'PORTIFÓLIO'!C:V,5,0),"")</f>
        <v/>
      </c>
      <c r="H179" s="254" t="str">
        <f t="array" ref="H179">IFERROR(INDEX('PORTIFÓLIO'!$H$4:$H$433,MATCH($C179,'PORTIFÓLIO'!$C$4:$C$433,0)),"")</f>
        <v/>
      </c>
      <c r="I179" s="256"/>
      <c r="J179" s="218">
        <f t="shared" si="20"/>
        <v>0</v>
      </c>
      <c r="K179" s="219" t="str">
        <f t="array" ref="K179">IFERROR(I179*INDEX('PORTIFÓLIO'!$S$4:$S$433,MATCH($C179,'PORTIFÓLIO'!$C$4:$C$433,0)),"")</f>
        <v/>
      </c>
      <c r="L179" s="219" t="str">
        <f t="array" ref="L179">IFERROR(J179*INDEX('PORTIFÓLIO'!$S$4:$S$433,MATCH($C179,'PORTIFÓLIO'!$C$4:$C$433,0)),"")</f>
        <v/>
      </c>
      <c r="M179" s="220"/>
      <c r="N179" s="220"/>
      <c r="O179" s="220"/>
      <c r="P179" s="220"/>
      <c r="Q179" s="220"/>
      <c r="R179" s="220"/>
      <c r="S179" s="220"/>
      <c r="T179" s="220"/>
      <c r="U179" s="220"/>
      <c r="V179" s="220"/>
      <c r="W179" s="220"/>
    </row>
    <row r="180" ht="15.75" customHeight="1" outlineLevel="1">
      <c r="A180" s="211"/>
      <c r="B180" s="212"/>
      <c r="C180" s="213"/>
      <c r="D180" s="214" t="str">
        <f>IFERROR(VLOOKUP($C180,'PORTIFÓLIO'!C:V,2,0),"")</f>
        <v/>
      </c>
      <c r="E180" s="211" t="str">
        <f>IFERROR(VLOOKUP($C180,'PORTIFÓLIO'!C:V,3,0),"")</f>
        <v/>
      </c>
      <c r="F180" s="211" t="str">
        <f>IFERROR(VLOOKUP($C180,'PORTIFÓLIO'!C:V,4,0),"")</f>
        <v/>
      </c>
      <c r="G180" s="215" t="str">
        <f>IFERROR(VLOOKUP($C180,'PORTIFÓLIO'!C:V,5,0),"")</f>
        <v/>
      </c>
      <c r="H180" s="254" t="str">
        <f t="array" ref="H180">IFERROR(INDEX('PORTIFÓLIO'!$H$4:$H$433,MATCH($C180,'PORTIFÓLIO'!$C$4:$C$433,0)),"")</f>
        <v/>
      </c>
      <c r="I180" s="256"/>
      <c r="J180" s="218">
        <f t="shared" si="20"/>
        <v>0</v>
      </c>
      <c r="K180" s="219" t="str">
        <f t="array" ref="K180">IFERROR(I180*INDEX('PORTIFÓLIO'!$S$4:$S$433,MATCH($C180,'PORTIFÓLIO'!$C$4:$C$433,0)),"")</f>
        <v/>
      </c>
      <c r="L180" s="219" t="str">
        <f t="array" ref="L180">IFERROR(J180*INDEX('PORTIFÓLIO'!$S$4:$S$433,MATCH($C180,'PORTIFÓLIO'!$C$4:$C$433,0)),"")</f>
        <v/>
      </c>
      <c r="M180" s="220"/>
      <c r="N180" s="220"/>
      <c r="O180" s="220"/>
      <c r="P180" s="220"/>
      <c r="Q180" s="220"/>
      <c r="R180" s="220"/>
      <c r="S180" s="220"/>
      <c r="T180" s="220"/>
      <c r="U180" s="220"/>
      <c r="V180" s="220"/>
      <c r="W180" s="220"/>
    </row>
    <row r="181" ht="15.75" customHeight="1" outlineLevel="1">
      <c r="A181" s="211"/>
      <c r="B181" s="227"/>
      <c r="C181" s="211"/>
      <c r="D181" s="214" t="str">
        <f>IFERROR(VLOOKUP($C181,'PORTIFÓLIO'!C:V,2,0),"")</f>
        <v/>
      </c>
      <c r="E181" s="211" t="str">
        <f>IFERROR(VLOOKUP($C181,'PORTIFÓLIO'!C:V,3,0),"")</f>
        <v/>
      </c>
      <c r="F181" s="211" t="str">
        <f>IFERROR(VLOOKUP($C181,'PORTIFÓLIO'!C:V,4,0),"")</f>
        <v/>
      </c>
      <c r="G181" s="215" t="str">
        <f>IFERROR(VLOOKUP($C181,'PORTIFÓLIO'!C:V,5,0),"")</f>
        <v/>
      </c>
      <c r="H181" s="254" t="str">
        <f t="array" ref="H181">IFERROR(INDEX('PORTIFÓLIO'!$H$4:$H$433,MATCH($C181,'PORTIFÓLIO'!$C$4:$C$433,0)),"")</f>
        <v/>
      </c>
      <c r="I181" s="256"/>
      <c r="J181" s="218">
        <f t="shared" si="20"/>
        <v>0</v>
      </c>
      <c r="K181" s="219" t="str">
        <f t="array" ref="K181">IFERROR(I181*INDEX('PORTIFÓLIO'!$S$4:$S$433,MATCH($C181,'PORTIFÓLIO'!$C$4:$C$433,0)),"")</f>
        <v/>
      </c>
      <c r="L181" s="219" t="str">
        <f t="array" ref="L181">IFERROR(J181*INDEX('PORTIFÓLIO'!$S$4:$S$433,MATCH($C181,'PORTIFÓLIO'!$C$4:$C$433,0)),"")</f>
        <v/>
      </c>
      <c r="M181" s="220"/>
      <c r="N181" s="220"/>
      <c r="O181" s="220"/>
      <c r="P181" s="220"/>
      <c r="Q181" s="220"/>
      <c r="R181" s="220"/>
      <c r="S181" s="220"/>
      <c r="T181" s="220"/>
      <c r="U181" s="220"/>
      <c r="V181" s="220"/>
      <c r="W181" s="220"/>
    </row>
    <row r="182" ht="15.75" customHeight="1">
      <c r="A182" s="229" t="s">
        <v>1194</v>
      </c>
      <c r="B182" s="230"/>
      <c r="C182" s="231"/>
      <c r="D182" s="232"/>
      <c r="E182" s="231"/>
      <c r="F182" s="231"/>
      <c r="G182" s="233"/>
      <c r="H182" s="233"/>
      <c r="I182" s="258"/>
      <c r="J182" s="236"/>
      <c r="K182" s="237">
        <f t="shared" ref="K182:L182" si="21">SUBTOTAL(9,K183:K196)</f>
        <v>339.9254902</v>
      </c>
      <c r="L182" s="237">
        <f t="shared" si="21"/>
        <v>13597.01961</v>
      </c>
      <c r="M182" s="220"/>
      <c r="N182" s="220"/>
      <c r="O182" s="220"/>
      <c r="P182" s="220"/>
      <c r="Q182" s="220"/>
      <c r="R182" s="220"/>
      <c r="S182" s="220"/>
      <c r="T182" s="220"/>
      <c r="U182" s="220"/>
      <c r="V182" s="220"/>
      <c r="W182" s="220"/>
    </row>
    <row r="183" ht="15.75" customHeight="1" outlineLevel="1">
      <c r="A183" s="213"/>
      <c r="B183" s="212" t="s">
        <v>10</v>
      </c>
      <c r="C183" s="213" t="s">
        <v>1195</v>
      </c>
      <c r="D183" s="214" t="str">
        <f>IFERROR(VLOOKUP($C183,'PORTIFÓLIO'!C:V,2,0),"")</f>
        <v/>
      </c>
      <c r="E183" s="211" t="str">
        <f>IFERROR(VLOOKUP($C183,'PORTIFÓLIO'!C:V,3,0),"")</f>
        <v/>
      </c>
      <c r="F183" s="211" t="str">
        <f>IFERROR(VLOOKUP($C183,'PORTIFÓLIO'!C:V,4,0),"")</f>
        <v>R$/Ha</v>
      </c>
      <c r="G183" s="215">
        <f t="array" ref="G183">IFERROR(INDEX('PORTIFÓLIO'!$H$4:$H$433,MATCH($C183,'PORTIFÓLIO'!$C$4:$C$433,0)),"")</f>
        <v>0.3267973856</v>
      </c>
      <c r="H183" s="254">
        <f t="array" ref="H183">IFERROR(INDEX('PORTIFÓLIO'!$H$4:$H$433,MATCH($C183,'PORTIFÓLIO'!$C$4:$C$433,0)),"")</f>
        <v>0.3267973856</v>
      </c>
      <c r="I183" s="255">
        <v>0.32</v>
      </c>
      <c r="J183" s="218">
        <f t="shared" ref="J183:J199" si="22">I183*$B$2</f>
        <v>12.8</v>
      </c>
      <c r="K183" s="219">
        <f t="array" ref="K183">IFERROR(I183*INDEX('PORTIFÓLIO'!$S$4:$S$433,MATCH($C183,'PORTIFÓLIO'!$C$4:$C$433,0)),"")</f>
        <v>36</v>
      </c>
      <c r="L183" s="219">
        <f t="array" ref="L183">IFERROR(J183*INDEX('PORTIFÓLIO'!$S$4:$S$433,MATCH($C183,'PORTIFÓLIO'!$C$4:$C$433,0)),"")</f>
        <v>1440</v>
      </c>
      <c r="M183" s="220"/>
      <c r="N183" s="220"/>
      <c r="O183" s="220"/>
      <c r="P183" s="220"/>
      <c r="Q183" s="220"/>
      <c r="R183" s="220"/>
      <c r="S183" s="220"/>
      <c r="T183" s="220"/>
      <c r="U183" s="220"/>
      <c r="V183" s="220"/>
      <c r="W183" s="220"/>
    </row>
    <row r="184" ht="15.75" customHeight="1" outlineLevel="1">
      <c r="A184" s="211"/>
      <c r="B184" s="212" t="s">
        <v>10</v>
      </c>
      <c r="C184" s="213" t="s">
        <v>1196</v>
      </c>
      <c r="D184" s="214" t="str">
        <f>IFERROR(VLOOKUP($C184,'PORTIFÓLIO'!C:V,2,0),"")</f>
        <v/>
      </c>
      <c r="E184" s="211" t="str">
        <f>IFERROR(VLOOKUP($C184,'PORTIFÓLIO'!C:V,3,0),"")</f>
        <v/>
      </c>
      <c r="F184" s="211" t="str">
        <f>IFERROR(VLOOKUP($C184,'PORTIFÓLIO'!C:V,4,0),"")</f>
        <v>R$/Ha</v>
      </c>
      <c r="G184" s="215">
        <f t="array" ref="G184">IFERROR(INDEX('PORTIFÓLIO'!$H$4:$H$433,MATCH($C184,'PORTIFÓLIO'!$C$4:$C$433,0)),"")</f>
        <v>0.04901960784</v>
      </c>
      <c r="H184" s="254">
        <f t="array" ref="H184">IFERROR(INDEX('PORTIFÓLIO'!$H$4:$H$433,MATCH($C184,'PORTIFÓLIO'!$C$4:$C$433,0)),"")</f>
        <v>0.04901960784</v>
      </c>
      <c r="I184" s="256">
        <f>G184*4</f>
        <v>0.1960784314</v>
      </c>
      <c r="J184" s="218">
        <f t="shared" si="22"/>
        <v>7.843137255</v>
      </c>
      <c r="K184" s="219">
        <f t="array" ref="K184">IFERROR(I184*INDEX('PORTIFÓLIO'!$S$4:$S$433,MATCH($C184,'PORTIFÓLIO'!$C$4:$C$433,0)),"")</f>
        <v>22.05882353</v>
      </c>
      <c r="L184" s="219">
        <f t="array" ref="L184">IFERROR(J184*INDEX('PORTIFÓLIO'!$S$4:$S$433,MATCH($C184,'PORTIFÓLIO'!$C$4:$C$433,0)),"")</f>
        <v>882.3529412</v>
      </c>
      <c r="M184" s="220"/>
      <c r="N184" s="220"/>
      <c r="O184" s="220"/>
      <c r="P184" s="220"/>
      <c r="Q184" s="220"/>
      <c r="R184" s="220"/>
      <c r="S184" s="220"/>
      <c r="T184" s="220"/>
      <c r="U184" s="220"/>
      <c r="V184" s="220"/>
      <c r="W184" s="220"/>
    </row>
    <row r="185" ht="15.75" customHeight="1" outlineLevel="1">
      <c r="A185" s="211"/>
      <c r="B185" s="212" t="s">
        <v>10</v>
      </c>
      <c r="C185" s="213" t="s">
        <v>1197</v>
      </c>
      <c r="D185" s="214" t="str">
        <f>IFERROR(VLOOKUP($C185,'PORTIFÓLIO'!C:V,2,0),"")</f>
        <v/>
      </c>
      <c r="E185" s="211" t="str">
        <f>IFERROR(VLOOKUP($C185,'PORTIFÓLIO'!C:V,3,0),"")</f>
        <v/>
      </c>
      <c r="F185" s="211" t="str">
        <f>IFERROR(VLOOKUP($C185,'PORTIFÓLIO'!C:V,4,0),"")</f>
        <v>R$/Ha</v>
      </c>
      <c r="G185" s="215">
        <f t="array" ref="G185">IFERROR(INDEX('PORTIFÓLIO'!$H$4:$H$433,MATCH($C185,'PORTIFÓLIO'!$C$4:$C$433,0)),"")</f>
        <v>0.01960784314</v>
      </c>
      <c r="H185" s="254">
        <f t="array" ref="H185">IFERROR(INDEX('PORTIFÓLIO'!$H$4:$H$433,MATCH($C185,'PORTIFÓLIO'!$C$4:$C$433,0)),"")</f>
        <v>0.01960784314</v>
      </c>
      <c r="I185" s="256">
        <f>G185*3</f>
        <v>0.05882352941</v>
      </c>
      <c r="J185" s="218">
        <f t="shared" si="22"/>
        <v>2.352941176</v>
      </c>
      <c r="K185" s="219">
        <f t="array" ref="K185">IFERROR(I185*INDEX('PORTIFÓLIO'!$S$4:$S$433,MATCH($C185,'PORTIFÓLIO'!$C$4:$C$433,0)),"")</f>
        <v>7.5</v>
      </c>
      <c r="L185" s="219">
        <f t="array" ref="L185">IFERROR(J185*INDEX('PORTIFÓLIO'!$S$4:$S$433,MATCH($C185,'PORTIFÓLIO'!$C$4:$C$433,0)),"")</f>
        <v>300</v>
      </c>
      <c r="M185" s="220"/>
      <c r="N185" s="220"/>
      <c r="O185" s="220"/>
      <c r="P185" s="220"/>
      <c r="Q185" s="220"/>
      <c r="R185" s="220"/>
      <c r="S185" s="220"/>
      <c r="T185" s="220"/>
      <c r="U185" s="220"/>
      <c r="V185" s="220"/>
      <c r="W185" s="220"/>
    </row>
    <row r="186" ht="15.75" customHeight="1" outlineLevel="1">
      <c r="A186" s="211"/>
      <c r="B186" s="212" t="s">
        <v>10</v>
      </c>
      <c r="C186" s="213" t="s">
        <v>1198</v>
      </c>
      <c r="D186" s="214" t="str">
        <f>IFERROR(VLOOKUP($C186,'PORTIFÓLIO'!C:V,2,0),"")</f>
        <v/>
      </c>
      <c r="E186" s="211" t="str">
        <f>IFERROR(VLOOKUP($C186,'PORTIFÓLIO'!C:V,3,0),"")</f>
        <v/>
      </c>
      <c r="F186" s="211" t="str">
        <f>IFERROR(VLOOKUP($C186,'PORTIFÓLIO'!C:V,4,0),"")</f>
        <v>R$/Ha</v>
      </c>
      <c r="G186" s="215">
        <f t="array" ref="G186">IFERROR(INDEX('PORTIFÓLIO'!$H$4:$H$433,MATCH($C186,'PORTIFÓLIO'!$C$4:$C$433,0)),"")</f>
        <v>0.006666666667</v>
      </c>
      <c r="H186" s="254">
        <f t="array" ref="H186">IFERROR(INDEX('PORTIFÓLIO'!$H$4:$H$433,MATCH($C186,'PORTIFÓLIO'!$C$4:$C$433,0)),"")</f>
        <v>0.006666666667</v>
      </c>
      <c r="I186" s="256">
        <f>G186*5</f>
        <v>0.03333333333</v>
      </c>
      <c r="J186" s="218">
        <f t="shared" si="22"/>
        <v>1.333333333</v>
      </c>
      <c r="K186" s="219">
        <f t="array" ref="K186">IFERROR(I186*INDEX('PORTIFÓLIO'!$S$4:$S$433,MATCH($C186,'PORTIFÓLIO'!$C$4:$C$433,0)),"")</f>
        <v>166.6666667</v>
      </c>
      <c r="L186" s="219">
        <f t="array" ref="L186">IFERROR(J186*INDEX('PORTIFÓLIO'!$S$4:$S$433,MATCH($C186,'PORTIFÓLIO'!$C$4:$C$433,0)),"")</f>
        <v>6666.666667</v>
      </c>
      <c r="M186" s="220"/>
      <c r="N186" s="220"/>
      <c r="O186" s="220"/>
      <c r="P186" s="220"/>
      <c r="Q186" s="220"/>
      <c r="R186" s="220"/>
      <c r="S186" s="220"/>
      <c r="T186" s="220"/>
      <c r="U186" s="220"/>
      <c r="V186" s="220"/>
      <c r="W186" s="220"/>
    </row>
    <row r="187" ht="15.75" customHeight="1" outlineLevel="1">
      <c r="A187" s="211"/>
      <c r="B187" s="212" t="s">
        <v>10</v>
      </c>
      <c r="C187" s="213" t="s">
        <v>1199</v>
      </c>
      <c r="D187" s="214" t="str">
        <f>IFERROR(VLOOKUP($C187,'PORTIFÓLIO'!C:V,2,0),"")</f>
        <v/>
      </c>
      <c r="E187" s="211" t="str">
        <f>IFERROR(VLOOKUP($C187,'PORTIFÓLIO'!C:V,3,0),"")</f>
        <v/>
      </c>
      <c r="F187" s="211" t="str">
        <f>IFERROR(VLOOKUP($C187,'PORTIFÓLIO'!C:V,4,0),"")</f>
        <v>R$/Ha</v>
      </c>
      <c r="G187" s="215">
        <f t="array" ref="G187">IFERROR(INDEX('PORTIFÓLIO'!$H$4:$H$433,MATCH($C187,'PORTIFÓLIO'!$C$4:$C$433,0)),"")</f>
        <v>0.08169934641</v>
      </c>
      <c r="H187" s="254">
        <f t="array" ref="H187">IFERROR(INDEX('PORTIFÓLIO'!$H$4:$H$433,MATCH($C187,'PORTIFÓLIO'!$C$4:$C$433,0)),"")</f>
        <v>0.08169934641</v>
      </c>
      <c r="I187" s="255">
        <v>0.081</v>
      </c>
      <c r="J187" s="218">
        <f t="shared" si="22"/>
        <v>3.24</v>
      </c>
      <c r="K187" s="219">
        <f t="array" ref="K187">IFERROR(I187*INDEX('PORTIFÓLIO'!$S$4:$S$433,MATCH($C187,'PORTIFÓLIO'!$C$4:$C$433,0)),"")</f>
        <v>36.45</v>
      </c>
      <c r="L187" s="219">
        <f t="array" ref="L187">IFERROR(J187*INDEX('PORTIFÓLIO'!$S$4:$S$433,MATCH($C187,'PORTIFÓLIO'!$C$4:$C$433,0)),"")</f>
        <v>1458</v>
      </c>
      <c r="M187" s="220"/>
      <c r="N187" s="220"/>
      <c r="O187" s="220"/>
      <c r="P187" s="220"/>
      <c r="Q187" s="220"/>
      <c r="R187" s="220"/>
      <c r="S187" s="220"/>
      <c r="T187" s="220"/>
      <c r="U187" s="220"/>
      <c r="V187" s="220"/>
      <c r="W187" s="220"/>
    </row>
    <row r="188" ht="15.75" customHeight="1" outlineLevel="1">
      <c r="A188" s="211"/>
      <c r="B188" s="212" t="s">
        <v>10</v>
      </c>
      <c r="C188" s="213" t="s">
        <v>1200</v>
      </c>
      <c r="D188" s="214" t="str">
        <f>IFERROR(VLOOKUP($C188,'PORTIFÓLIO'!C:V,2,0),"")</f>
        <v/>
      </c>
      <c r="E188" s="211" t="str">
        <f>IFERROR(VLOOKUP($C188,'PORTIFÓLIO'!C:V,3,0),"")</f>
        <v/>
      </c>
      <c r="F188" s="211" t="str">
        <f>IFERROR(VLOOKUP($C188,'PORTIFÓLIO'!C:V,4,0),"")</f>
        <v>R$/Ha</v>
      </c>
      <c r="G188" s="215">
        <f t="array" ref="G188">IFERROR(INDEX('PORTIFÓLIO'!$H$4:$H$433,MATCH($C188,'PORTIFÓLIO'!$C$4:$C$433,0)),"")</f>
        <v>0.1508295626</v>
      </c>
      <c r="H188" s="254">
        <f t="array" ref="H188">IFERROR(INDEX('PORTIFÓLIO'!$H$4:$H$433,MATCH($C188,'PORTIFÓLIO'!$C$4:$C$433,0)),"")</f>
        <v>0.1508295626</v>
      </c>
      <c r="I188" s="255">
        <v>0.15</v>
      </c>
      <c r="J188" s="218">
        <f t="shared" si="22"/>
        <v>6</v>
      </c>
      <c r="K188" s="219">
        <f t="array" ref="K188">IFERROR(I188*INDEX('PORTIFÓLIO'!$S$4:$S$433,MATCH($C188,'PORTIFÓLIO'!$C$4:$C$433,0)),"")</f>
        <v>56.25</v>
      </c>
      <c r="L188" s="219">
        <f t="array" ref="L188">IFERROR(J188*INDEX('PORTIFÓLIO'!$S$4:$S$433,MATCH($C188,'PORTIFÓLIO'!$C$4:$C$433,0)),"")</f>
        <v>2250</v>
      </c>
      <c r="M188" s="220"/>
      <c r="N188" s="220"/>
      <c r="O188" s="220"/>
      <c r="P188" s="220"/>
      <c r="Q188" s="220"/>
      <c r="R188" s="220"/>
      <c r="S188" s="220"/>
      <c r="T188" s="220"/>
      <c r="U188" s="220"/>
      <c r="V188" s="220"/>
      <c r="W188" s="220"/>
    </row>
    <row r="189" ht="15.75" customHeight="1" outlineLevel="1">
      <c r="A189" s="211"/>
      <c r="B189" s="212" t="s">
        <v>10</v>
      </c>
      <c r="C189" s="213" t="s">
        <v>1201</v>
      </c>
      <c r="D189" s="214" t="str">
        <f>IFERROR(VLOOKUP($C189,'PORTIFÓLIO'!C:V,2,0),"")</f>
        <v/>
      </c>
      <c r="E189" s="211" t="str">
        <f>IFERROR(VLOOKUP($C189,'PORTIFÓLIO'!C:V,3,0),"")</f>
        <v/>
      </c>
      <c r="F189" s="211" t="str">
        <f>IFERROR(VLOOKUP($C189,'PORTIFÓLIO'!C:V,4,0),"")</f>
        <v>R$/Ha</v>
      </c>
      <c r="G189" s="215">
        <f t="array" ref="G189">IFERROR(INDEX('PORTIFÓLIO'!$H$4:$H$433,MATCH($C189,'PORTIFÓLIO'!$C$4:$C$433,0)),"")</f>
        <v>0.001367989056</v>
      </c>
      <c r="H189" s="254">
        <f t="array" ref="H189">IFERROR(INDEX('PORTIFÓLIO'!$H$4:$H$433,MATCH($C189,'PORTIFÓLIO'!$C$4:$C$433,0)),"")</f>
        <v>0.001367989056</v>
      </c>
      <c r="I189" s="255">
        <v>0.1</v>
      </c>
      <c r="J189" s="218">
        <f t="shared" si="22"/>
        <v>4</v>
      </c>
      <c r="K189" s="219">
        <f t="array" ref="K189">IFERROR(I189*INDEX('PORTIFÓLIO'!$S$4:$S$433,MATCH($C189,'PORTIFÓLIO'!$C$4:$C$433,0)),"")</f>
        <v>15</v>
      </c>
      <c r="L189" s="219">
        <f t="array" ref="L189">IFERROR(J189*INDEX('PORTIFÓLIO'!$S$4:$S$433,MATCH($C189,'PORTIFÓLIO'!$C$4:$C$433,0)),"")</f>
        <v>600</v>
      </c>
      <c r="M189" s="220"/>
      <c r="N189" s="220"/>
      <c r="O189" s="220"/>
      <c r="P189" s="220"/>
      <c r="Q189" s="220"/>
      <c r="R189" s="220"/>
      <c r="S189" s="220"/>
      <c r="T189" s="220"/>
      <c r="U189" s="220"/>
      <c r="V189" s="220"/>
      <c r="W189" s="220"/>
    </row>
    <row r="190" ht="15.75" customHeight="1" outlineLevel="1">
      <c r="A190" s="211"/>
      <c r="B190" s="212"/>
      <c r="C190" s="213"/>
      <c r="D190" s="214" t="str">
        <f>IFERROR(VLOOKUP($C190,'PORTIFÓLIO'!C:V,2,0),"")</f>
        <v/>
      </c>
      <c r="E190" s="211" t="str">
        <f>IFERROR(VLOOKUP($C190,'PORTIFÓLIO'!C:V,3,0),"")</f>
        <v/>
      </c>
      <c r="F190" s="211" t="str">
        <f>IFERROR(VLOOKUP($C190,'PORTIFÓLIO'!C:V,4,0),"")</f>
        <v/>
      </c>
      <c r="G190" s="215" t="str">
        <f>IFERROR(VLOOKUP($C190,'PORTIFÓLIO'!C:V,5,0),"")</f>
        <v/>
      </c>
      <c r="H190" s="254" t="str">
        <f t="array" ref="H190">IFERROR(INDEX('PORTIFÓLIO'!$H$4:$H$433,MATCH($C190,'PORTIFÓLIO'!$C$4:$C$433,0)),"")</f>
        <v/>
      </c>
      <c r="I190" s="256"/>
      <c r="J190" s="218">
        <f t="shared" si="22"/>
        <v>0</v>
      </c>
      <c r="K190" s="219" t="str">
        <f t="array" ref="K190">IFERROR(I190*INDEX('PORTIFÓLIO'!$S$4:$S$433,MATCH($C190,'PORTIFÓLIO'!$C$4:$C$433,0)),"")</f>
        <v/>
      </c>
      <c r="L190" s="219" t="str">
        <f t="array" ref="L190">IFERROR(J190*INDEX('PORTIFÓLIO'!$S$4:$S$433,MATCH($C190,'PORTIFÓLIO'!$C$4:$C$433,0)),"")</f>
        <v/>
      </c>
      <c r="M190" s="220"/>
      <c r="N190" s="220"/>
      <c r="O190" s="220"/>
      <c r="P190" s="220"/>
      <c r="Q190" s="220"/>
      <c r="R190" s="220"/>
      <c r="S190" s="220"/>
      <c r="T190" s="220"/>
      <c r="U190" s="220"/>
      <c r="V190" s="220"/>
      <c r="W190" s="220"/>
    </row>
    <row r="191" ht="15.75" customHeight="1" outlineLevel="1">
      <c r="A191" s="211"/>
      <c r="B191" s="212"/>
      <c r="C191" s="213"/>
      <c r="D191" s="214" t="str">
        <f>IFERROR(VLOOKUP($C191,'PORTIFÓLIO'!C:V,2,0),"")</f>
        <v/>
      </c>
      <c r="E191" s="211" t="str">
        <f>IFERROR(VLOOKUP($C191,'PORTIFÓLIO'!C:V,3,0),"")</f>
        <v/>
      </c>
      <c r="F191" s="211" t="str">
        <f>IFERROR(VLOOKUP($C191,'PORTIFÓLIO'!C:V,4,0),"")</f>
        <v/>
      </c>
      <c r="G191" s="215" t="str">
        <f>IFERROR(VLOOKUP($C191,'PORTIFÓLIO'!C:V,5,0),"")</f>
        <v/>
      </c>
      <c r="H191" s="254" t="str">
        <f t="array" ref="H191">IFERROR(INDEX('PORTIFÓLIO'!$H$4:$H$433,MATCH($C191,'PORTIFÓLIO'!$C$4:$C$433,0)),"")</f>
        <v/>
      </c>
      <c r="I191" s="255"/>
      <c r="J191" s="218">
        <f t="shared" si="22"/>
        <v>0</v>
      </c>
      <c r="K191" s="219" t="str">
        <f t="array" ref="K191">IFERROR(I191*INDEX('PORTIFÓLIO'!$S$4:$S$433,MATCH($C191,'PORTIFÓLIO'!$C$4:$C$433,0)),"")</f>
        <v/>
      </c>
      <c r="L191" s="219" t="str">
        <f t="array" ref="L191">IFERROR(J191*INDEX('PORTIFÓLIO'!$S$4:$S$433,MATCH($C191,'PORTIFÓLIO'!$C$4:$C$433,0)),"")</f>
        <v/>
      </c>
      <c r="M191" s="220"/>
      <c r="N191" s="220"/>
      <c r="O191" s="220"/>
      <c r="P191" s="220"/>
      <c r="Q191" s="220"/>
      <c r="R191" s="220"/>
      <c r="S191" s="220"/>
      <c r="T191" s="220"/>
      <c r="U191" s="220"/>
      <c r="V191" s="220"/>
      <c r="W191" s="220"/>
    </row>
    <row r="192" ht="15.75" customHeight="1" outlineLevel="1">
      <c r="A192" s="211"/>
      <c r="B192" s="212"/>
      <c r="C192" s="213"/>
      <c r="D192" s="214" t="str">
        <f>IFERROR(VLOOKUP($C192,'PORTIFÓLIO'!C:V,2,0),"")</f>
        <v/>
      </c>
      <c r="E192" s="211" t="str">
        <f>IFERROR(VLOOKUP($C192,'PORTIFÓLIO'!C:V,3,0),"")</f>
        <v/>
      </c>
      <c r="F192" s="211" t="str">
        <f>IFERROR(VLOOKUP($C192,'PORTIFÓLIO'!C:V,4,0),"")</f>
        <v/>
      </c>
      <c r="G192" s="215" t="str">
        <f>IFERROR(VLOOKUP($C192,'PORTIFÓLIO'!C:V,5,0),"")</f>
        <v/>
      </c>
      <c r="H192" s="254" t="str">
        <f t="array" ref="H192">IFERROR(INDEX('PORTIFÓLIO'!$H$4:$H$433,MATCH($C192,'PORTIFÓLIO'!$C$4:$C$433,0)),"")</f>
        <v/>
      </c>
      <c r="I192" s="256"/>
      <c r="J192" s="218">
        <f t="shared" si="22"/>
        <v>0</v>
      </c>
      <c r="K192" s="219" t="str">
        <f t="array" ref="K192">IFERROR(I192*INDEX('PORTIFÓLIO'!$S$4:$S$433,MATCH($C192,'PORTIFÓLIO'!$C$4:$C$433,0)),"")</f>
        <v/>
      </c>
      <c r="L192" s="219" t="str">
        <f t="array" ref="L192">IFERROR(J192*INDEX('PORTIFÓLIO'!$S$4:$S$433,MATCH($C192,'PORTIFÓLIO'!$C$4:$C$433,0)),"")</f>
        <v/>
      </c>
      <c r="M192" s="220"/>
      <c r="N192" s="220"/>
      <c r="O192" s="220"/>
      <c r="P192" s="220"/>
      <c r="Q192" s="220"/>
      <c r="R192" s="220"/>
      <c r="S192" s="220"/>
      <c r="T192" s="220"/>
      <c r="U192" s="220"/>
      <c r="V192" s="220"/>
      <c r="W192" s="220"/>
    </row>
    <row r="193" ht="15.75" customHeight="1" outlineLevel="1">
      <c r="A193" s="211"/>
      <c r="B193" s="212"/>
      <c r="C193" s="213"/>
      <c r="D193" s="214" t="str">
        <f>IFERROR(VLOOKUP($C193,'PORTIFÓLIO'!C:V,2,0),"")</f>
        <v/>
      </c>
      <c r="E193" s="211" t="str">
        <f>IFERROR(VLOOKUP($C193,'PORTIFÓLIO'!C:V,3,0),"")</f>
        <v/>
      </c>
      <c r="F193" s="211" t="str">
        <f>IFERROR(VLOOKUP($C193,'PORTIFÓLIO'!C:V,4,0),"")</f>
        <v/>
      </c>
      <c r="G193" s="215" t="str">
        <f>IFERROR(VLOOKUP($C193,'PORTIFÓLIO'!C:V,5,0),"")</f>
        <v/>
      </c>
      <c r="H193" s="254" t="str">
        <f t="array" ref="H193">IFERROR(INDEX('PORTIFÓLIO'!$H$4:$H$433,MATCH($C193,'PORTIFÓLIO'!$C$4:$C$433,0)),"")</f>
        <v/>
      </c>
      <c r="I193" s="256"/>
      <c r="J193" s="218">
        <f t="shared" si="22"/>
        <v>0</v>
      </c>
      <c r="K193" s="219" t="str">
        <f t="array" ref="K193">IFERROR(I193*INDEX('PORTIFÓLIO'!$S$4:$S$433,MATCH($C193,'PORTIFÓLIO'!$C$4:$C$433,0)),"")</f>
        <v/>
      </c>
      <c r="L193" s="219" t="str">
        <f t="array" ref="L193">IFERROR(J193*INDEX('PORTIFÓLIO'!$S$4:$S$433,MATCH($C193,'PORTIFÓLIO'!$C$4:$C$433,0)),"")</f>
        <v/>
      </c>
      <c r="M193" s="220"/>
      <c r="N193" s="220"/>
      <c r="O193" s="220"/>
      <c r="P193" s="220"/>
      <c r="Q193" s="220"/>
      <c r="R193" s="220"/>
      <c r="S193" s="220"/>
      <c r="T193" s="220"/>
      <c r="U193" s="220"/>
      <c r="V193" s="220"/>
      <c r="W193" s="220"/>
    </row>
    <row r="194" ht="15.75" customHeight="1" outlineLevel="1">
      <c r="A194" s="211"/>
      <c r="B194" s="212"/>
      <c r="C194" s="213"/>
      <c r="D194" s="214" t="str">
        <f>IFERROR(VLOOKUP($C194,'PORTIFÓLIO'!C:V,2,0),"")</f>
        <v/>
      </c>
      <c r="E194" s="211" t="str">
        <f>IFERROR(VLOOKUP($C194,'PORTIFÓLIO'!C:V,3,0),"")</f>
        <v/>
      </c>
      <c r="F194" s="211" t="str">
        <f>IFERROR(VLOOKUP($C194,'PORTIFÓLIO'!C:V,4,0),"")</f>
        <v/>
      </c>
      <c r="G194" s="215" t="str">
        <f>IFERROR(VLOOKUP($C194,'PORTIFÓLIO'!C:V,5,0),"")</f>
        <v/>
      </c>
      <c r="H194" s="254" t="str">
        <f t="array" ref="H194">IFERROR(INDEX('PORTIFÓLIO'!$H$4:$H$433,MATCH($C194,'PORTIFÓLIO'!$C$4:$C$433,0)),"")</f>
        <v/>
      </c>
      <c r="I194" s="256"/>
      <c r="J194" s="218">
        <f t="shared" si="22"/>
        <v>0</v>
      </c>
      <c r="K194" s="219" t="str">
        <f t="array" ref="K194">IFERROR(I194*INDEX('PORTIFÓLIO'!$S$4:$S$433,MATCH($C194,'PORTIFÓLIO'!$C$4:$C$433,0)),"")</f>
        <v/>
      </c>
      <c r="L194" s="219" t="str">
        <f t="array" ref="L194">IFERROR(J194*INDEX('PORTIFÓLIO'!$S$4:$S$433,MATCH($C194,'PORTIFÓLIO'!$C$4:$C$433,0)),"")</f>
        <v/>
      </c>
      <c r="M194" s="220"/>
      <c r="N194" s="220"/>
      <c r="O194" s="220"/>
      <c r="P194" s="220"/>
      <c r="Q194" s="220"/>
      <c r="R194" s="220"/>
      <c r="S194" s="220"/>
      <c r="T194" s="220"/>
      <c r="U194" s="220"/>
      <c r="V194" s="220"/>
      <c r="W194" s="220"/>
    </row>
    <row r="195" ht="15.75" customHeight="1" outlineLevel="1">
      <c r="A195" s="211"/>
      <c r="B195" s="212"/>
      <c r="C195" s="213"/>
      <c r="D195" s="214" t="str">
        <f>IFERROR(VLOOKUP($C195,'PORTIFÓLIO'!C:V,2,0),"")</f>
        <v/>
      </c>
      <c r="E195" s="211" t="str">
        <f>IFERROR(VLOOKUP($C195,'PORTIFÓLIO'!C:V,3,0),"")</f>
        <v/>
      </c>
      <c r="F195" s="211" t="str">
        <f>IFERROR(VLOOKUP($C195,'PORTIFÓLIO'!C:V,4,0),"")</f>
        <v/>
      </c>
      <c r="G195" s="215" t="str">
        <f>IFERROR(VLOOKUP($C195,'PORTIFÓLIO'!C:V,5,0),"")</f>
        <v/>
      </c>
      <c r="H195" s="254" t="str">
        <f t="array" ref="H195">IFERROR(INDEX('PORTIFÓLIO'!$H$4:$H$433,MATCH($C195,'PORTIFÓLIO'!$C$4:$C$433,0)),"")</f>
        <v/>
      </c>
      <c r="I195" s="256"/>
      <c r="J195" s="218">
        <f t="shared" si="22"/>
        <v>0</v>
      </c>
      <c r="K195" s="219" t="str">
        <f t="array" ref="K195">IFERROR(I195*INDEX('PORTIFÓLIO'!$S$4:$S$433,MATCH($C195,'PORTIFÓLIO'!$C$4:$C$433,0)),"")</f>
        <v/>
      </c>
      <c r="L195" s="219" t="str">
        <f t="array" ref="L195">IFERROR(J195*INDEX('PORTIFÓLIO'!$S$4:$S$433,MATCH($C195,'PORTIFÓLIO'!$C$4:$C$433,0)),"")</f>
        <v/>
      </c>
      <c r="M195" s="220"/>
      <c r="N195" s="220"/>
      <c r="O195" s="220"/>
      <c r="P195" s="220"/>
      <c r="Q195" s="220"/>
      <c r="R195" s="220"/>
      <c r="S195" s="220"/>
      <c r="T195" s="220"/>
      <c r="U195" s="220"/>
      <c r="V195" s="220"/>
      <c r="W195" s="220"/>
    </row>
    <row r="196" ht="15.75" customHeight="1" outlineLevel="1">
      <c r="A196" s="211"/>
      <c r="B196" s="212"/>
      <c r="C196" s="213"/>
      <c r="D196" s="214" t="str">
        <f>IFERROR(VLOOKUP($C196,'PORTIFÓLIO'!C:V,2,0),"")</f>
        <v/>
      </c>
      <c r="E196" s="211" t="str">
        <f>IFERROR(VLOOKUP($C196,'PORTIFÓLIO'!C:V,3,0),"")</f>
        <v/>
      </c>
      <c r="F196" s="211" t="str">
        <f>IFERROR(VLOOKUP($C196,'PORTIFÓLIO'!C:V,4,0),"")</f>
        <v/>
      </c>
      <c r="G196" s="215" t="str">
        <f>IFERROR(VLOOKUP($C196,'PORTIFÓLIO'!C:V,5,0),"")</f>
        <v/>
      </c>
      <c r="H196" s="254" t="str">
        <f t="array" ref="H196">IFERROR(INDEX('PORTIFÓLIO'!$H$4:$H$433,MATCH($C196,'PORTIFÓLIO'!$C$4:$C$433,0)),"")</f>
        <v/>
      </c>
      <c r="I196" s="256"/>
      <c r="J196" s="218">
        <f t="shared" si="22"/>
        <v>0</v>
      </c>
      <c r="K196" s="219" t="str">
        <f t="array" ref="K196">IFERROR(I196*INDEX('PORTIFÓLIO'!$S$4:$S$433,MATCH($C196,'PORTIFÓLIO'!$C$4:$C$433,0)),"")</f>
        <v/>
      </c>
      <c r="L196" s="219" t="str">
        <f t="array" ref="L196">IFERROR(J196*INDEX('PORTIFÓLIO'!$S$4:$S$433,MATCH($C196,'PORTIFÓLIO'!$C$4:$C$433,0)),"")</f>
        <v/>
      </c>
      <c r="M196" s="220"/>
      <c r="N196" s="220"/>
      <c r="O196" s="220"/>
      <c r="P196" s="220"/>
      <c r="Q196" s="220"/>
      <c r="R196" s="220"/>
      <c r="S196" s="220"/>
      <c r="T196" s="220"/>
      <c r="U196" s="220"/>
      <c r="V196" s="220"/>
      <c r="W196" s="220"/>
    </row>
    <row r="197" ht="15.75" customHeight="1" outlineLevel="1">
      <c r="A197" s="211"/>
      <c r="B197" s="212"/>
      <c r="C197" s="213"/>
      <c r="D197" s="214" t="str">
        <f>IFERROR(VLOOKUP($C197,'PORTIFÓLIO'!C:V,2,0),"")</f>
        <v/>
      </c>
      <c r="E197" s="211" t="str">
        <f>IFERROR(VLOOKUP($C197,'PORTIFÓLIO'!C:V,3,0),"")</f>
        <v/>
      </c>
      <c r="F197" s="211" t="str">
        <f>IFERROR(VLOOKUP($C197,'PORTIFÓLIO'!C:V,4,0),"")</f>
        <v/>
      </c>
      <c r="G197" s="215" t="str">
        <f>IFERROR(VLOOKUP($C197,'PORTIFÓLIO'!C:V,5,0),"")</f>
        <v/>
      </c>
      <c r="H197" s="254" t="str">
        <f t="array" ref="H197">IFERROR(INDEX('PORTIFÓLIO'!$H$4:$H$433,MATCH($C197,'PORTIFÓLIO'!$C$4:$C$433,0)),"")</f>
        <v/>
      </c>
      <c r="I197" s="256"/>
      <c r="J197" s="218">
        <f t="shared" si="22"/>
        <v>0</v>
      </c>
      <c r="K197" s="219" t="str">
        <f t="array" ref="K197">IFERROR(I197*INDEX('PORTIFÓLIO'!$S$4:$S$433,MATCH($C197,'PORTIFÓLIO'!$C$4:$C$433,0)),"")</f>
        <v/>
      </c>
      <c r="L197" s="219" t="str">
        <f t="array" ref="L197">IFERROR(J197*INDEX('PORTIFÓLIO'!$S$4:$S$433,MATCH($C197,'PORTIFÓLIO'!$C$4:$C$433,0)),"")</f>
        <v/>
      </c>
      <c r="M197" s="220"/>
      <c r="N197" s="220"/>
      <c r="O197" s="220"/>
      <c r="P197" s="220"/>
      <c r="Q197" s="220"/>
      <c r="R197" s="220"/>
      <c r="S197" s="220"/>
      <c r="T197" s="220"/>
      <c r="U197" s="220"/>
      <c r="V197" s="220"/>
      <c r="W197" s="220"/>
    </row>
    <row r="198" ht="15.75" customHeight="1" outlineLevel="1">
      <c r="A198" s="211"/>
      <c r="B198" s="227"/>
      <c r="C198" s="211"/>
      <c r="D198" s="214" t="str">
        <f>IFERROR(VLOOKUP($C198,'PORTIFÓLIO'!C:V,2,0),"")</f>
        <v/>
      </c>
      <c r="E198" s="211" t="str">
        <f>IFERROR(VLOOKUP($C198,'PORTIFÓLIO'!C:V,3,0),"")</f>
        <v/>
      </c>
      <c r="F198" s="211" t="str">
        <f>IFERROR(VLOOKUP($C198,'PORTIFÓLIO'!C:V,4,0),"")</f>
        <v/>
      </c>
      <c r="G198" s="215" t="str">
        <f>IFERROR(VLOOKUP($C198,'PORTIFÓLIO'!C:V,5,0),"")</f>
        <v/>
      </c>
      <c r="H198" s="254" t="str">
        <f t="array" ref="H198">IFERROR(INDEX('PORTIFÓLIO'!$H$4:$H$433,MATCH($C198,'PORTIFÓLIO'!$C$4:$C$433,0)),"")</f>
        <v/>
      </c>
      <c r="I198" s="256"/>
      <c r="J198" s="218">
        <f t="shared" si="22"/>
        <v>0</v>
      </c>
      <c r="K198" s="219" t="str">
        <f t="array" ref="K198">IFERROR(I198*INDEX('PORTIFÓLIO'!$S$4:$S$433,MATCH($C198,'PORTIFÓLIO'!$C$4:$C$433,0)),"")</f>
        <v/>
      </c>
      <c r="L198" s="219" t="str">
        <f t="array" ref="L198">IFERROR(J198*INDEX('PORTIFÓLIO'!$S$4:$S$433,MATCH($C198,'PORTIFÓLIO'!$C$4:$C$433,0)),"")</f>
        <v/>
      </c>
      <c r="M198" s="220"/>
      <c r="N198" s="220"/>
      <c r="O198" s="220"/>
      <c r="P198" s="220"/>
      <c r="Q198" s="220"/>
      <c r="R198" s="220"/>
      <c r="S198" s="220"/>
      <c r="T198" s="220"/>
      <c r="U198" s="220"/>
      <c r="V198" s="220"/>
      <c r="W198" s="220"/>
    </row>
    <row r="199" ht="15.75" customHeight="1" outlineLevel="1">
      <c r="A199" s="211"/>
      <c r="B199" s="227"/>
      <c r="C199" s="211"/>
      <c r="D199" s="214" t="str">
        <f>IFERROR(VLOOKUP($C199,'PORTIFÓLIO'!C:V,2,0),"")</f>
        <v/>
      </c>
      <c r="E199" s="211" t="str">
        <f>IFERROR(VLOOKUP($C199,'PORTIFÓLIO'!C:V,3,0),"")</f>
        <v/>
      </c>
      <c r="F199" s="211" t="str">
        <f>IFERROR(VLOOKUP($C199,'PORTIFÓLIO'!C:V,4,0),"")</f>
        <v/>
      </c>
      <c r="G199" s="215" t="str">
        <f>IFERROR(VLOOKUP($C199,'PORTIFÓLIO'!C:V,5,0),"")</f>
        <v/>
      </c>
      <c r="H199" s="254" t="str">
        <f t="array" ref="H199">IFERROR(INDEX('PORTIFÓLIO'!$H$4:$H$433,MATCH($C199,'PORTIFÓLIO'!$C$4:$C$433,0)),"")</f>
        <v/>
      </c>
      <c r="I199" s="256"/>
      <c r="J199" s="218">
        <f t="shared" si="22"/>
        <v>0</v>
      </c>
      <c r="K199" s="219" t="str">
        <f t="array" ref="K199">IFERROR(I199*INDEX('PORTIFÓLIO'!$S$4:$S$433,MATCH($C199,'PORTIFÓLIO'!$C$4:$C$433,0)),"")</f>
        <v/>
      </c>
      <c r="L199" s="219" t="str">
        <f t="array" ref="L199">IFERROR(J199*INDEX('PORTIFÓLIO'!$S$4:$S$433,MATCH($C199,'PORTIFÓLIO'!$C$4:$C$433,0)),"")</f>
        <v/>
      </c>
      <c r="M199" s="220"/>
      <c r="N199" s="220"/>
      <c r="O199" s="220"/>
      <c r="P199" s="220"/>
      <c r="Q199" s="220"/>
      <c r="R199" s="220"/>
      <c r="S199" s="220"/>
      <c r="T199" s="220"/>
      <c r="U199" s="220"/>
      <c r="V199" s="220"/>
      <c r="W199" s="220"/>
    </row>
    <row r="200" ht="15.75" customHeight="1">
      <c r="A200" s="229" t="s">
        <v>1202</v>
      </c>
      <c r="B200" s="230"/>
      <c r="C200" s="231"/>
      <c r="D200" s="232"/>
      <c r="E200" s="231"/>
      <c r="F200" s="231"/>
      <c r="G200" s="233"/>
      <c r="H200" s="233"/>
      <c r="I200" s="258"/>
      <c r="J200" s="236"/>
      <c r="K200" s="237">
        <f t="shared" ref="K200:L200" si="23">SUBTOTAL(9,K201:K214)</f>
        <v>0</v>
      </c>
      <c r="L200" s="237">
        <f t="shared" si="23"/>
        <v>0</v>
      </c>
      <c r="M200" s="220"/>
      <c r="N200" s="220"/>
      <c r="O200" s="220"/>
      <c r="P200" s="220"/>
      <c r="Q200" s="220"/>
      <c r="R200" s="220"/>
      <c r="S200" s="220"/>
      <c r="T200" s="220"/>
      <c r="U200" s="220"/>
      <c r="V200" s="220"/>
      <c r="W200" s="220"/>
    </row>
    <row r="201" ht="15.75" customHeight="1" outlineLevel="1">
      <c r="A201" s="213"/>
      <c r="B201" s="212"/>
      <c r="C201" s="213"/>
      <c r="D201" s="214" t="str">
        <f>IFERROR(VLOOKUP($C201,'PORTIFÓLIO'!C:V,2,0),"")</f>
        <v/>
      </c>
      <c r="E201" s="211" t="str">
        <f>IFERROR(VLOOKUP($C201,'PORTIFÓLIO'!C:V,3,0),"")</f>
        <v/>
      </c>
      <c r="F201" s="211" t="str">
        <f>IFERROR(VLOOKUP($C201,'PORTIFÓLIO'!C:V,4,0),"")</f>
        <v/>
      </c>
      <c r="G201" s="215" t="str">
        <f>IFERROR(VLOOKUP($C201,'PORTIFÓLIO'!C:V,5,0),"")</f>
        <v/>
      </c>
      <c r="H201" s="254" t="str">
        <f t="array" ref="H201">IFERROR(INDEX('PORTIFÓLIO'!$H$4:$H$433,MATCH($C201,'PORTIFÓLIO'!$C$4:$C$433,0)),"")</f>
        <v/>
      </c>
      <c r="I201" s="256"/>
      <c r="J201" s="218">
        <f t="shared" ref="J201:J224" si="24">I201*$B$2</f>
        <v>0</v>
      </c>
      <c r="K201" s="219" t="str">
        <f>IFERROR(I201* VLOOKUP($C201,'PORTIFÓLIO'!C:V,10,0),"")</f>
        <v/>
      </c>
      <c r="L201" s="219" t="str">
        <f>IFERROR(J201* VLOOKUP($C201,'PORTIFÓLIO'!C:V,10,0),"")</f>
        <v/>
      </c>
      <c r="M201" s="220"/>
      <c r="N201" s="220"/>
      <c r="O201" s="220"/>
      <c r="P201" s="220"/>
      <c r="Q201" s="220"/>
      <c r="R201" s="220"/>
      <c r="S201" s="220"/>
      <c r="T201" s="220"/>
      <c r="U201" s="220"/>
      <c r="V201" s="220"/>
      <c r="W201" s="220"/>
    </row>
    <row r="202" ht="15.75" customHeight="1" outlineLevel="1">
      <c r="A202" s="211"/>
      <c r="B202" s="212"/>
      <c r="C202" s="213"/>
      <c r="D202" s="214" t="str">
        <f>IFERROR(VLOOKUP($C202,'PORTIFÓLIO'!C:V,2,0),"")</f>
        <v/>
      </c>
      <c r="E202" s="211" t="str">
        <f>IFERROR(VLOOKUP($C202,'PORTIFÓLIO'!C:V,3,0),"")</f>
        <v/>
      </c>
      <c r="F202" s="211" t="str">
        <f>IFERROR(VLOOKUP($C202,'PORTIFÓLIO'!C:V,4,0),"")</f>
        <v/>
      </c>
      <c r="G202" s="215" t="str">
        <f>IFERROR(VLOOKUP($C202,'PORTIFÓLIO'!C:V,5,0),"")</f>
        <v/>
      </c>
      <c r="H202" s="254" t="str">
        <f t="array" ref="H202">IFERROR(INDEX('PORTIFÓLIO'!$H$4:$H$433,MATCH($C202,'PORTIFÓLIO'!$C$4:$C$433,0)),"")</f>
        <v/>
      </c>
      <c r="I202" s="256"/>
      <c r="J202" s="218">
        <f t="shared" si="24"/>
        <v>0</v>
      </c>
      <c r="K202" s="219" t="str">
        <f>IFERROR(I202* VLOOKUP($C202,'PORTIFÓLIO'!C:V,10,0),"")</f>
        <v/>
      </c>
      <c r="L202" s="219" t="str">
        <f>IFERROR(J202* VLOOKUP($C202,'PORTIFÓLIO'!C:V,10,0),"")</f>
        <v/>
      </c>
      <c r="M202" s="220"/>
      <c r="N202" s="220"/>
      <c r="O202" s="220"/>
      <c r="P202" s="220"/>
      <c r="Q202" s="220"/>
      <c r="R202" s="220"/>
      <c r="S202" s="220"/>
      <c r="T202" s="220"/>
      <c r="U202" s="220"/>
      <c r="V202" s="220"/>
      <c r="W202" s="220"/>
    </row>
    <row r="203" ht="15.75" customHeight="1" outlineLevel="1">
      <c r="A203" s="211"/>
      <c r="B203" s="212"/>
      <c r="C203" s="213"/>
      <c r="D203" s="214" t="str">
        <f>IFERROR(VLOOKUP($C203,'PORTIFÓLIO'!C:V,2,0),"")</f>
        <v/>
      </c>
      <c r="E203" s="211" t="str">
        <f>IFERROR(VLOOKUP($C203,'PORTIFÓLIO'!C:V,3,0),"")</f>
        <v/>
      </c>
      <c r="F203" s="211" t="str">
        <f>IFERROR(VLOOKUP($C203,'PORTIFÓLIO'!C:V,4,0),"")</f>
        <v/>
      </c>
      <c r="G203" s="215" t="str">
        <f>IFERROR(VLOOKUP($C203,'PORTIFÓLIO'!C:V,5,0),"")</f>
        <v/>
      </c>
      <c r="H203" s="254" t="str">
        <f t="array" ref="H203">IFERROR(INDEX('PORTIFÓLIO'!$H$4:$H$433,MATCH($C203,'PORTIFÓLIO'!$C$4:$C$433,0)),"")</f>
        <v/>
      </c>
      <c r="I203" s="256"/>
      <c r="J203" s="218">
        <f t="shared" si="24"/>
        <v>0</v>
      </c>
      <c r="K203" s="219" t="str">
        <f>IFERROR(I203* VLOOKUP($C203,'PORTIFÓLIO'!C:V,10,0),"")</f>
        <v/>
      </c>
      <c r="L203" s="219" t="str">
        <f>IFERROR(J203* VLOOKUP($C203,'PORTIFÓLIO'!C:V,10,0),"")</f>
        <v/>
      </c>
      <c r="M203" s="220"/>
      <c r="N203" s="220"/>
      <c r="O203" s="220"/>
      <c r="P203" s="220"/>
      <c r="Q203" s="220"/>
      <c r="R203" s="220"/>
      <c r="S203" s="220"/>
      <c r="T203" s="220"/>
      <c r="U203" s="220"/>
      <c r="V203" s="220"/>
      <c r="W203" s="220"/>
    </row>
    <row r="204" ht="15.75" customHeight="1" outlineLevel="1">
      <c r="A204" s="211"/>
      <c r="B204" s="212"/>
      <c r="C204" s="213"/>
      <c r="D204" s="214" t="str">
        <f>IFERROR(VLOOKUP($C204,'PORTIFÓLIO'!C:V,2,0),"")</f>
        <v/>
      </c>
      <c r="E204" s="211" t="str">
        <f>IFERROR(VLOOKUP($C204,'PORTIFÓLIO'!C:V,3,0),"")</f>
        <v/>
      </c>
      <c r="F204" s="211" t="str">
        <f>IFERROR(VLOOKUP($C204,'PORTIFÓLIO'!C:V,4,0),"")</f>
        <v/>
      </c>
      <c r="G204" s="215" t="str">
        <f>IFERROR(VLOOKUP($C204,'PORTIFÓLIO'!C:V,5,0),"")</f>
        <v/>
      </c>
      <c r="H204" s="254" t="str">
        <f t="array" ref="H204">IFERROR(INDEX('PORTIFÓLIO'!$H$4:$H$433,MATCH($C204,'PORTIFÓLIO'!$C$4:$C$433,0)),"")</f>
        <v/>
      </c>
      <c r="I204" s="256"/>
      <c r="J204" s="218">
        <f t="shared" si="24"/>
        <v>0</v>
      </c>
      <c r="K204" s="219" t="str">
        <f>IFERROR(I204* VLOOKUP($C204,'PORTIFÓLIO'!C:V,10,0),"")</f>
        <v/>
      </c>
      <c r="L204" s="219" t="str">
        <f>IFERROR(J204* VLOOKUP($C204,'PORTIFÓLIO'!C:V,10,0),"")</f>
        <v/>
      </c>
      <c r="M204" s="220"/>
      <c r="N204" s="220"/>
      <c r="O204" s="220"/>
      <c r="P204" s="220"/>
      <c r="Q204" s="220"/>
      <c r="R204" s="220"/>
      <c r="S204" s="220"/>
      <c r="T204" s="220"/>
      <c r="U204" s="220"/>
      <c r="V204" s="220"/>
      <c r="W204" s="220"/>
    </row>
    <row r="205" ht="15.75" customHeight="1" outlineLevel="1">
      <c r="A205" s="211"/>
      <c r="B205" s="212"/>
      <c r="C205" s="213"/>
      <c r="D205" s="214" t="str">
        <f>IFERROR(VLOOKUP($C205,'PORTIFÓLIO'!C:V,2,0),"")</f>
        <v/>
      </c>
      <c r="E205" s="211" t="str">
        <f>IFERROR(VLOOKUP($C205,'PORTIFÓLIO'!C:V,3,0),"")</f>
        <v/>
      </c>
      <c r="F205" s="211" t="str">
        <f>IFERROR(VLOOKUP($C205,'PORTIFÓLIO'!C:V,4,0),"")</f>
        <v/>
      </c>
      <c r="G205" s="215" t="str">
        <f>IFERROR(VLOOKUP($C205,'PORTIFÓLIO'!C:V,5,0),"")</f>
        <v/>
      </c>
      <c r="H205" s="254" t="str">
        <f t="array" ref="H205">IFERROR(INDEX('PORTIFÓLIO'!$H$4:$H$433,MATCH($C205,'PORTIFÓLIO'!$C$4:$C$433,0)),"")</f>
        <v/>
      </c>
      <c r="I205" s="256"/>
      <c r="J205" s="218">
        <f t="shared" si="24"/>
        <v>0</v>
      </c>
      <c r="K205" s="219" t="str">
        <f>IFERROR(I205* VLOOKUP($C205,'PORTIFÓLIO'!C:V,10,0),"")</f>
        <v/>
      </c>
      <c r="L205" s="219" t="str">
        <f>IFERROR(J205* VLOOKUP($C205,'PORTIFÓLIO'!C:V,10,0),"")</f>
        <v/>
      </c>
      <c r="M205" s="220"/>
      <c r="N205" s="220"/>
      <c r="O205" s="220"/>
      <c r="P205" s="220"/>
      <c r="Q205" s="220"/>
      <c r="R205" s="220"/>
      <c r="S205" s="220"/>
      <c r="T205" s="220"/>
      <c r="U205" s="220"/>
      <c r="V205" s="220"/>
      <c r="W205" s="220"/>
    </row>
    <row r="206" ht="15.75" customHeight="1" outlineLevel="1">
      <c r="A206" s="211"/>
      <c r="B206" s="212"/>
      <c r="C206" s="213"/>
      <c r="D206" s="214" t="str">
        <f>IFERROR(VLOOKUP($C206,'PORTIFÓLIO'!C:V,2,0),"")</f>
        <v/>
      </c>
      <c r="E206" s="211" t="str">
        <f>IFERROR(VLOOKUP($C206,'PORTIFÓLIO'!C:V,3,0),"")</f>
        <v/>
      </c>
      <c r="F206" s="211" t="str">
        <f>IFERROR(VLOOKUP($C206,'PORTIFÓLIO'!C:V,4,0),"")</f>
        <v/>
      </c>
      <c r="G206" s="215" t="str">
        <f>IFERROR(VLOOKUP($C206,'PORTIFÓLIO'!C:V,5,0),"")</f>
        <v/>
      </c>
      <c r="H206" s="254" t="str">
        <f t="array" ref="H206">IFERROR(INDEX('PORTIFÓLIO'!$H$4:$H$433,MATCH($C206,'PORTIFÓLIO'!$C$4:$C$433,0)),"")</f>
        <v/>
      </c>
      <c r="I206" s="256"/>
      <c r="J206" s="218">
        <f t="shared" si="24"/>
        <v>0</v>
      </c>
      <c r="K206" s="219" t="str">
        <f>IFERROR(I206* VLOOKUP($C206,'PORTIFÓLIO'!C:V,10,0),"")</f>
        <v/>
      </c>
      <c r="L206" s="219" t="str">
        <f>IFERROR(J206* VLOOKUP($C206,'PORTIFÓLIO'!C:V,10,0),"")</f>
        <v/>
      </c>
      <c r="M206" s="220"/>
      <c r="N206" s="220"/>
      <c r="O206" s="220"/>
      <c r="P206" s="220"/>
      <c r="Q206" s="220"/>
      <c r="R206" s="220"/>
      <c r="S206" s="220"/>
      <c r="T206" s="220"/>
      <c r="U206" s="220"/>
      <c r="V206" s="220"/>
      <c r="W206" s="220"/>
    </row>
    <row r="207" ht="15.75" customHeight="1" outlineLevel="1">
      <c r="A207" s="211"/>
      <c r="B207" s="212"/>
      <c r="C207" s="213"/>
      <c r="D207" s="214" t="str">
        <f>IFERROR(VLOOKUP($C207,'PORTIFÓLIO'!C:V,2,0),"")</f>
        <v/>
      </c>
      <c r="E207" s="211" t="str">
        <f>IFERROR(VLOOKUP($C207,'PORTIFÓLIO'!C:V,3,0),"")</f>
        <v/>
      </c>
      <c r="F207" s="211" t="str">
        <f>IFERROR(VLOOKUP($C207,'PORTIFÓLIO'!C:V,4,0),"")</f>
        <v/>
      </c>
      <c r="G207" s="215" t="str">
        <f>IFERROR(VLOOKUP($C207,'PORTIFÓLIO'!C:V,5,0),"")</f>
        <v/>
      </c>
      <c r="H207" s="254" t="str">
        <f t="array" ref="H207">IFERROR(INDEX('PORTIFÓLIO'!$H$4:$H$433,MATCH($C207,'PORTIFÓLIO'!$C$4:$C$433,0)),"")</f>
        <v/>
      </c>
      <c r="I207" s="256"/>
      <c r="J207" s="218">
        <f t="shared" si="24"/>
        <v>0</v>
      </c>
      <c r="K207" s="219" t="str">
        <f>IFERROR(I207* VLOOKUP($C207,'PORTIFÓLIO'!C:V,10,0),"")</f>
        <v/>
      </c>
      <c r="L207" s="219" t="str">
        <f>IFERROR(J207* VLOOKUP($C207,'PORTIFÓLIO'!C:V,10,0),"")</f>
        <v/>
      </c>
      <c r="M207" s="220"/>
      <c r="N207" s="220"/>
      <c r="O207" s="220"/>
      <c r="P207" s="220"/>
      <c r="Q207" s="220"/>
      <c r="R207" s="220"/>
      <c r="S207" s="220"/>
      <c r="T207" s="220"/>
      <c r="U207" s="220"/>
      <c r="V207" s="220"/>
      <c r="W207" s="220"/>
    </row>
    <row r="208" ht="15.75" customHeight="1" outlineLevel="1">
      <c r="A208" s="211"/>
      <c r="B208" s="212"/>
      <c r="C208" s="213"/>
      <c r="D208" s="214" t="str">
        <f>IFERROR(VLOOKUP($C208,'PORTIFÓLIO'!C:V,2,0),"")</f>
        <v/>
      </c>
      <c r="E208" s="211" t="str">
        <f>IFERROR(VLOOKUP($C208,'PORTIFÓLIO'!C:V,3,0),"")</f>
        <v/>
      </c>
      <c r="F208" s="211" t="str">
        <f>IFERROR(VLOOKUP($C208,'PORTIFÓLIO'!C:V,4,0),"")</f>
        <v/>
      </c>
      <c r="G208" s="215" t="str">
        <f>IFERROR(VLOOKUP($C208,'PORTIFÓLIO'!C:V,5,0),"")</f>
        <v/>
      </c>
      <c r="H208" s="254" t="str">
        <f t="array" ref="H208">IFERROR(INDEX('PORTIFÓLIO'!$H$4:$H$433,MATCH($C208,'PORTIFÓLIO'!$C$4:$C$433,0)),"")</f>
        <v/>
      </c>
      <c r="I208" s="256"/>
      <c r="J208" s="218">
        <f t="shared" si="24"/>
        <v>0</v>
      </c>
      <c r="K208" s="219" t="str">
        <f>IFERROR(I208* VLOOKUP($C208,'PORTIFÓLIO'!C:V,10,0),"")</f>
        <v/>
      </c>
      <c r="L208" s="219" t="str">
        <f>IFERROR(J208* VLOOKUP($C208,'PORTIFÓLIO'!C:V,10,0),"")</f>
        <v/>
      </c>
      <c r="M208" s="220"/>
      <c r="N208" s="220"/>
      <c r="O208" s="220"/>
      <c r="P208" s="220"/>
      <c r="Q208" s="220"/>
      <c r="R208" s="220"/>
      <c r="S208" s="220"/>
      <c r="T208" s="220"/>
      <c r="U208" s="220"/>
      <c r="V208" s="220"/>
      <c r="W208" s="220"/>
    </row>
    <row r="209" ht="15.75" customHeight="1" outlineLevel="1">
      <c r="A209" s="211"/>
      <c r="B209" s="212"/>
      <c r="C209" s="213"/>
      <c r="D209" s="214" t="str">
        <f>IFERROR(VLOOKUP($C209,'PORTIFÓLIO'!C:V,2,0),"")</f>
        <v/>
      </c>
      <c r="E209" s="211" t="str">
        <f>IFERROR(VLOOKUP($C209,'PORTIFÓLIO'!C:V,3,0),"")</f>
        <v/>
      </c>
      <c r="F209" s="211" t="str">
        <f>IFERROR(VLOOKUP($C209,'PORTIFÓLIO'!C:V,4,0),"")</f>
        <v/>
      </c>
      <c r="G209" s="215" t="str">
        <f>IFERROR(VLOOKUP($C209,'PORTIFÓLIO'!C:V,5,0),"")</f>
        <v/>
      </c>
      <c r="H209" s="254" t="str">
        <f t="array" ref="H209">IFERROR(INDEX('PORTIFÓLIO'!$H$4:$H$433,MATCH($C209,'PORTIFÓLIO'!$C$4:$C$433,0)),"")</f>
        <v/>
      </c>
      <c r="I209" s="256"/>
      <c r="J209" s="218">
        <f t="shared" si="24"/>
        <v>0</v>
      </c>
      <c r="K209" s="219" t="str">
        <f>IFERROR(I209* VLOOKUP($C209,'PORTIFÓLIO'!C:V,10,0),"")</f>
        <v/>
      </c>
      <c r="L209" s="219" t="str">
        <f>IFERROR(J209* VLOOKUP($C209,'PORTIFÓLIO'!C:V,10,0),"")</f>
        <v/>
      </c>
      <c r="M209" s="220"/>
      <c r="N209" s="220"/>
      <c r="O209" s="220"/>
      <c r="P209" s="220"/>
      <c r="Q209" s="220"/>
      <c r="R209" s="220"/>
      <c r="S209" s="220"/>
      <c r="T209" s="220"/>
      <c r="U209" s="220"/>
      <c r="V209" s="220"/>
      <c r="W209" s="220"/>
    </row>
    <row r="210" ht="15.75" customHeight="1" outlineLevel="1">
      <c r="A210" s="211"/>
      <c r="B210" s="212"/>
      <c r="C210" s="213"/>
      <c r="D210" s="214" t="str">
        <f>IFERROR(VLOOKUP($C210,'PORTIFÓLIO'!C:V,2,0),"")</f>
        <v/>
      </c>
      <c r="E210" s="211" t="str">
        <f>IFERROR(VLOOKUP($C210,'PORTIFÓLIO'!C:V,3,0),"")</f>
        <v/>
      </c>
      <c r="F210" s="211" t="str">
        <f>IFERROR(VLOOKUP($C210,'PORTIFÓLIO'!C:V,4,0),"")</f>
        <v/>
      </c>
      <c r="G210" s="215" t="str">
        <f>IFERROR(VLOOKUP($C210,'PORTIFÓLIO'!C:V,5,0),"")</f>
        <v/>
      </c>
      <c r="H210" s="254" t="str">
        <f t="array" ref="H210">IFERROR(INDEX('PORTIFÓLIO'!$H$4:$H$433,MATCH($C210,'PORTIFÓLIO'!$C$4:$C$433,0)),"")</f>
        <v/>
      </c>
      <c r="I210" s="256"/>
      <c r="J210" s="218">
        <f t="shared" si="24"/>
        <v>0</v>
      </c>
      <c r="K210" s="219" t="str">
        <f>IFERROR(I210* VLOOKUP($C210,'PORTIFÓLIO'!C:V,10,0),"")</f>
        <v/>
      </c>
      <c r="L210" s="219" t="str">
        <f>IFERROR(J210* VLOOKUP($C210,'PORTIFÓLIO'!C:V,10,0),"")</f>
        <v/>
      </c>
      <c r="M210" s="220"/>
      <c r="N210" s="220"/>
      <c r="O210" s="220"/>
      <c r="P210" s="220"/>
      <c r="Q210" s="220"/>
      <c r="R210" s="220"/>
      <c r="S210" s="220"/>
      <c r="T210" s="220"/>
      <c r="U210" s="220"/>
      <c r="V210" s="220"/>
      <c r="W210" s="220"/>
    </row>
    <row r="211" ht="15.75" customHeight="1" outlineLevel="1">
      <c r="A211" s="211"/>
      <c r="B211" s="212"/>
      <c r="C211" s="213"/>
      <c r="D211" s="214" t="str">
        <f>IFERROR(VLOOKUP($C211,'PORTIFÓLIO'!C:V,2,0),"")</f>
        <v/>
      </c>
      <c r="E211" s="211" t="str">
        <f>IFERROR(VLOOKUP($C211,'PORTIFÓLIO'!C:V,3,0),"")</f>
        <v/>
      </c>
      <c r="F211" s="211" t="str">
        <f>IFERROR(VLOOKUP($C211,'PORTIFÓLIO'!C:V,4,0),"")</f>
        <v/>
      </c>
      <c r="G211" s="215" t="str">
        <f>IFERROR(VLOOKUP($C211,'PORTIFÓLIO'!C:V,5,0),"")</f>
        <v/>
      </c>
      <c r="H211" s="254" t="str">
        <f t="array" ref="H211">IFERROR(INDEX('PORTIFÓLIO'!$H$4:$H$433,MATCH($C211,'PORTIFÓLIO'!$C$4:$C$433,0)),"")</f>
        <v/>
      </c>
      <c r="I211" s="256"/>
      <c r="J211" s="218">
        <f t="shared" si="24"/>
        <v>0</v>
      </c>
      <c r="K211" s="219" t="str">
        <f>IFERROR(I211* VLOOKUP($C211,'PORTIFÓLIO'!C:V,10,0),"")</f>
        <v/>
      </c>
      <c r="L211" s="219" t="str">
        <f>IFERROR(J211* VLOOKUP($C211,'PORTIFÓLIO'!C:V,10,0),"")</f>
        <v/>
      </c>
      <c r="M211" s="220"/>
      <c r="N211" s="220"/>
      <c r="O211" s="220"/>
      <c r="P211" s="220"/>
      <c r="Q211" s="220"/>
      <c r="R211" s="220"/>
      <c r="S211" s="220"/>
      <c r="T211" s="220"/>
      <c r="U211" s="220"/>
      <c r="V211" s="220"/>
      <c r="W211" s="220"/>
    </row>
    <row r="212" ht="15.75" customHeight="1" outlineLevel="1">
      <c r="A212" s="211"/>
      <c r="B212" s="212"/>
      <c r="C212" s="213"/>
      <c r="D212" s="214" t="str">
        <f>IFERROR(VLOOKUP($C212,'PORTIFÓLIO'!C:V,2,0),"")</f>
        <v/>
      </c>
      <c r="E212" s="211" t="str">
        <f>IFERROR(VLOOKUP($C212,'PORTIFÓLIO'!C:V,3,0),"")</f>
        <v/>
      </c>
      <c r="F212" s="211" t="str">
        <f>IFERROR(VLOOKUP($C212,'PORTIFÓLIO'!C:V,4,0),"")</f>
        <v/>
      </c>
      <c r="G212" s="215" t="str">
        <f>IFERROR(VLOOKUP($C212,'PORTIFÓLIO'!C:V,5,0),"")</f>
        <v/>
      </c>
      <c r="H212" s="254" t="str">
        <f t="array" ref="H212">IFERROR(INDEX('PORTIFÓLIO'!$H$4:$H$433,MATCH($C212,'PORTIFÓLIO'!$C$4:$C$433,0)),"")</f>
        <v/>
      </c>
      <c r="I212" s="256"/>
      <c r="J212" s="218">
        <f t="shared" si="24"/>
        <v>0</v>
      </c>
      <c r="K212" s="219" t="str">
        <f>IFERROR(I212* VLOOKUP($C212,'PORTIFÓLIO'!C:V,10,0),"")</f>
        <v/>
      </c>
      <c r="L212" s="219" t="str">
        <f>IFERROR(J212* VLOOKUP($C212,'PORTIFÓLIO'!C:V,10,0),"")</f>
        <v/>
      </c>
      <c r="M212" s="220"/>
      <c r="N212" s="220"/>
      <c r="O212" s="220"/>
      <c r="P212" s="220"/>
      <c r="Q212" s="220"/>
      <c r="R212" s="220"/>
      <c r="S212" s="220"/>
      <c r="T212" s="220"/>
      <c r="U212" s="220"/>
      <c r="V212" s="220"/>
      <c r="W212" s="220"/>
    </row>
    <row r="213" ht="15.75" customHeight="1" outlineLevel="1">
      <c r="A213" s="211"/>
      <c r="B213" s="212"/>
      <c r="C213" s="213"/>
      <c r="D213" s="214" t="str">
        <f>IFERROR(VLOOKUP($C213,'PORTIFÓLIO'!C:V,2,0),"")</f>
        <v/>
      </c>
      <c r="E213" s="211" t="str">
        <f>IFERROR(VLOOKUP($C213,'PORTIFÓLIO'!C:V,3,0),"")</f>
        <v/>
      </c>
      <c r="F213" s="211" t="str">
        <f>IFERROR(VLOOKUP($C213,'PORTIFÓLIO'!C:V,4,0),"")</f>
        <v/>
      </c>
      <c r="G213" s="215" t="str">
        <f>IFERROR(VLOOKUP($C213,'PORTIFÓLIO'!C:V,5,0),"")</f>
        <v/>
      </c>
      <c r="H213" s="254" t="str">
        <f t="array" ref="H213">IFERROR(INDEX('PORTIFÓLIO'!$H$4:$H$433,MATCH($C213,'PORTIFÓLIO'!$C$4:$C$433,0)),"")</f>
        <v/>
      </c>
      <c r="I213" s="256"/>
      <c r="J213" s="218">
        <f t="shared" si="24"/>
        <v>0</v>
      </c>
      <c r="K213" s="219" t="str">
        <f>IFERROR(I213* VLOOKUP($C213,'PORTIFÓLIO'!C:V,10,0),"")</f>
        <v/>
      </c>
      <c r="L213" s="219" t="str">
        <f>IFERROR(J213* VLOOKUP($C213,'PORTIFÓLIO'!C:V,10,0),"")</f>
        <v/>
      </c>
      <c r="M213" s="220"/>
      <c r="N213" s="220"/>
      <c r="O213" s="220"/>
      <c r="P213" s="220"/>
      <c r="Q213" s="220"/>
      <c r="R213" s="220"/>
      <c r="S213" s="220"/>
      <c r="T213" s="220"/>
      <c r="U213" s="220"/>
      <c r="V213" s="220"/>
      <c r="W213" s="220"/>
    </row>
    <row r="214" ht="15.75" customHeight="1" outlineLevel="1">
      <c r="A214" s="211"/>
      <c r="B214" s="212"/>
      <c r="C214" s="213"/>
      <c r="D214" s="214" t="str">
        <f>IFERROR(VLOOKUP($C214,'PORTIFÓLIO'!C:V,2,0),"")</f>
        <v/>
      </c>
      <c r="E214" s="211" t="str">
        <f>IFERROR(VLOOKUP($C214,'PORTIFÓLIO'!C:V,3,0),"")</f>
        <v/>
      </c>
      <c r="F214" s="211" t="str">
        <f>IFERROR(VLOOKUP($C214,'PORTIFÓLIO'!C:V,4,0),"")</f>
        <v/>
      </c>
      <c r="G214" s="215" t="str">
        <f>IFERROR(VLOOKUP($C214,'PORTIFÓLIO'!C:V,5,0),"")</f>
        <v/>
      </c>
      <c r="H214" s="254" t="str">
        <f t="array" ref="H214">IFERROR(INDEX('PORTIFÓLIO'!$H$4:$H$433,MATCH($C214,'PORTIFÓLIO'!$C$4:$C$433,0)),"")</f>
        <v/>
      </c>
      <c r="I214" s="256"/>
      <c r="J214" s="218">
        <f t="shared" si="24"/>
        <v>0</v>
      </c>
      <c r="K214" s="219" t="str">
        <f>IFERROR(I214* VLOOKUP($C214,'PORTIFÓLIO'!C:V,10,0),"")</f>
        <v/>
      </c>
      <c r="L214" s="219" t="str">
        <f>IFERROR(J214* VLOOKUP($C214,'PORTIFÓLIO'!C:V,10,0),"")</f>
        <v/>
      </c>
      <c r="M214" s="220"/>
      <c r="N214" s="220"/>
      <c r="O214" s="220"/>
      <c r="P214" s="220"/>
      <c r="Q214" s="220"/>
      <c r="R214" s="220"/>
      <c r="S214" s="220"/>
      <c r="T214" s="220"/>
      <c r="U214" s="220"/>
      <c r="V214" s="220"/>
      <c r="W214" s="220"/>
    </row>
    <row r="215" ht="15.75" customHeight="1" outlineLevel="1">
      <c r="A215" s="211"/>
      <c r="B215" s="212"/>
      <c r="C215" s="213"/>
      <c r="D215" s="214" t="str">
        <f>IFERROR(VLOOKUP($C215,'PORTIFÓLIO'!C:V,2,0),"")</f>
        <v/>
      </c>
      <c r="E215" s="211" t="str">
        <f>IFERROR(VLOOKUP($C215,'PORTIFÓLIO'!C:V,3,0),"")</f>
        <v/>
      </c>
      <c r="F215" s="211" t="str">
        <f>IFERROR(VLOOKUP($C215,'PORTIFÓLIO'!C:V,4,0),"")</f>
        <v/>
      </c>
      <c r="G215" s="215" t="str">
        <f>IFERROR(VLOOKUP($C215,'PORTIFÓLIO'!C:V,5,0),"")</f>
        <v/>
      </c>
      <c r="H215" s="254" t="str">
        <f t="array" ref="H215">IFERROR(INDEX('PORTIFÓLIO'!$H$4:$H$433,MATCH($C215,'PORTIFÓLIO'!$C$4:$C$433,0)),"")</f>
        <v/>
      </c>
      <c r="I215" s="256"/>
      <c r="J215" s="218">
        <f t="shared" si="24"/>
        <v>0</v>
      </c>
      <c r="K215" s="219" t="str">
        <f>IFERROR(I215* VLOOKUP($C215,'PORTIFÓLIO'!C:V,10,0),"")</f>
        <v/>
      </c>
      <c r="L215" s="219" t="str">
        <f>IFERROR(J215* VLOOKUP($C215,'PORTIFÓLIO'!C:V,10,0),"")</f>
        <v/>
      </c>
      <c r="M215" s="220"/>
      <c r="N215" s="220"/>
      <c r="O215" s="220"/>
      <c r="P215" s="220"/>
      <c r="Q215" s="220"/>
      <c r="R215" s="220"/>
      <c r="S215" s="220"/>
      <c r="T215" s="220"/>
      <c r="U215" s="220"/>
      <c r="V215" s="220"/>
      <c r="W215" s="220"/>
    </row>
    <row r="216" ht="15.75" customHeight="1" outlineLevel="1">
      <c r="A216" s="211"/>
      <c r="B216" s="227"/>
      <c r="C216" s="211"/>
      <c r="D216" s="214" t="str">
        <f>IFERROR(VLOOKUP($C216,'PORTIFÓLIO'!C:V,2,0),"")</f>
        <v/>
      </c>
      <c r="E216" s="211" t="str">
        <f>IFERROR(VLOOKUP($C216,'PORTIFÓLIO'!C:V,3,0),"")</f>
        <v/>
      </c>
      <c r="F216" s="211" t="str">
        <f>IFERROR(VLOOKUP($C216,'PORTIFÓLIO'!C:V,4,0),"")</f>
        <v/>
      </c>
      <c r="G216" s="215" t="str">
        <f>IFERROR(VLOOKUP($C216,'PORTIFÓLIO'!C:V,5,0),"")</f>
        <v/>
      </c>
      <c r="H216" s="254" t="str">
        <f t="array" ref="H216">IFERROR(INDEX('PORTIFÓLIO'!$H$4:$H$433,MATCH($C216,'PORTIFÓLIO'!$C$4:$C$433,0)),"")</f>
        <v/>
      </c>
      <c r="I216" s="256"/>
      <c r="J216" s="218">
        <f t="shared" si="24"/>
        <v>0</v>
      </c>
      <c r="K216" s="219" t="str">
        <f>IFERROR(I216* VLOOKUP($C216,'PORTIFÓLIO'!C:V,10,0),"")</f>
        <v/>
      </c>
      <c r="L216" s="219" t="str">
        <f>IFERROR(J216* VLOOKUP($C216,'PORTIFÓLIO'!C:V,10,0),"")</f>
        <v/>
      </c>
      <c r="M216" s="220"/>
      <c r="N216" s="220"/>
      <c r="O216" s="220"/>
      <c r="P216" s="220"/>
      <c r="Q216" s="220"/>
      <c r="R216" s="220"/>
      <c r="S216" s="220"/>
      <c r="T216" s="220"/>
      <c r="U216" s="220"/>
      <c r="V216" s="220"/>
      <c r="W216" s="220"/>
    </row>
    <row r="217" ht="15.75" customHeight="1" outlineLevel="1">
      <c r="A217" s="211"/>
      <c r="B217" s="227"/>
      <c r="C217" s="211"/>
      <c r="D217" s="214" t="str">
        <f>IFERROR(VLOOKUP($C217,'PORTIFÓLIO'!C:V,2,0),"")</f>
        <v/>
      </c>
      <c r="E217" s="211" t="str">
        <f>IFERROR(VLOOKUP($C217,'PORTIFÓLIO'!C:V,3,0),"")</f>
        <v/>
      </c>
      <c r="F217" s="211" t="str">
        <f>IFERROR(VLOOKUP($C217,'PORTIFÓLIO'!C:V,4,0),"")</f>
        <v/>
      </c>
      <c r="G217" s="215" t="str">
        <f>IFERROR(VLOOKUP($C217,'PORTIFÓLIO'!C:V,5,0),"")</f>
        <v/>
      </c>
      <c r="H217" s="254" t="str">
        <f t="array" ref="H217">IFERROR(INDEX('PORTIFÓLIO'!$H$4:$H$433,MATCH($C217,'PORTIFÓLIO'!$C$4:$C$433,0)),"")</f>
        <v/>
      </c>
      <c r="I217" s="256"/>
      <c r="J217" s="218">
        <f t="shared" si="24"/>
        <v>0</v>
      </c>
      <c r="K217" s="219" t="str">
        <f>IFERROR(I217* VLOOKUP($C217,'PORTIFÓLIO'!C:V,10,0),"")</f>
        <v/>
      </c>
      <c r="L217" s="219" t="str">
        <f>IFERROR(J217* VLOOKUP($C217,'PORTIFÓLIO'!C:V,10,0),"")</f>
        <v/>
      </c>
      <c r="M217" s="220"/>
      <c r="N217" s="220"/>
      <c r="O217" s="220"/>
      <c r="P217" s="220"/>
      <c r="Q217" s="220"/>
      <c r="R217" s="220"/>
      <c r="S217" s="220"/>
      <c r="T217" s="220"/>
      <c r="U217" s="220"/>
      <c r="V217" s="220"/>
      <c r="W217" s="220"/>
    </row>
    <row r="218" ht="15.75" customHeight="1" outlineLevel="1">
      <c r="A218" s="211"/>
      <c r="B218" s="227"/>
      <c r="C218" s="211"/>
      <c r="D218" s="214" t="str">
        <f>IFERROR(VLOOKUP($C218,'PORTIFÓLIO'!C:V,2,0),"")</f>
        <v/>
      </c>
      <c r="E218" s="211" t="str">
        <f>IFERROR(VLOOKUP($C218,'PORTIFÓLIO'!C:V,3,0),"")</f>
        <v/>
      </c>
      <c r="F218" s="211" t="str">
        <f>IFERROR(VLOOKUP($C218,'PORTIFÓLIO'!C:V,4,0),"")</f>
        <v/>
      </c>
      <c r="G218" s="215" t="str">
        <f>IFERROR(VLOOKUP($C218,'PORTIFÓLIO'!C:V,5,0),"")</f>
        <v/>
      </c>
      <c r="H218" s="254" t="str">
        <f t="array" ref="H218">IFERROR(INDEX('PORTIFÓLIO'!$H$4:$H$433,MATCH($C218,'PORTIFÓLIO'!$C$4:$C$433,0)),"")</f>
        <v/>
      </c>
      <c r="I218" s="256"/>
      <c r="J218" s="218">
        <f t="shared" si="24"/>
        <v>0</v>
      </c>
      <c r="K218" s="219" t="str">
        <f>IFERROR(I218* VLOOKUP($C218,'PORTIFÓLIO'!C:V,10,0),"")</f>
        <v/>
      </c>
      <c r="L218" s="219" t="str">
        <f>IFERROR(J218* VLOOKUP($C218,'PORTIFÓLIO'!C:V,10,0),"")</f>
        <v/>
      </c>
      <c r="M218" s="220"/>
      <c r="N218" s="220"/>
      <c r="O218" s="220"/>
      <c r="P218" s="220"/>
      <c r="Q218" s="220"/>
      <c r="R218" s="220"/>
      <c r="S218" s="220"/>
      <c r="T218" s="220"/>
      <c r="U218" s="220"/>
      <c r="V218" s="220"/>
      <c r="W218" s="220"/>
    </row>
    <row r="219" ht="15.75" customHeight="1" outlineLevel="1">
      <c r="A219" s="211"/>
      <c r="B219" s="227"/>
      <c r="C219" s="211"/>
      <c r="D219" s="214" t="str">
        <f>IFERROR(VLOOKUP($C219,'PORTIFÓLIO'!C:V,2,0),"")</f>
        <v/>
      </c>
      <c r="E219" s="211" t="str">
        <f>IFERROR(VLOOKUP($C219,'PORTIFÓLIO'!C:V,3,0),"")</f>
        <v/>
      </c>
      <c r="F219" s="211" t="str">
        <f>IFERROR(VLOOKUP($C219,'PORTIFÓLIO'!C:V,4,0),"")</f>
        <v/>
      </c>
      <c r="G219" s="215" t="str">
        <f>IFERROR(VLOOKUP($C219,'PORTIFÓLIO'!C:V,5,0),"")</f>
        <v/>
      </c>
      <c r="H219" s="254" t="str">
        <f t="array" ref="H219">IFERROR(INDEX('PORTIFÓLIO'!$H$4:$H$433,MATCH($C219,'PORTIFÓLIO'!$C$4:$C$433,0)),"")</f>
        <v/>
      </c>
      <c r="I219" s="256"/>
      <c r="J219" s="218">
        <f t="shared" si="24"/>
        <v>0</v>
      </c>
      <c r="K219" s="219" t="str">
        <f>IFERROR(I219* VLOOKUP($C219,'PORTIFÓLIO'!C:V,10,0),"")</f>
        <v/>
      </c>
      <c r="L219" s="219" t="str">
        <f>IFERROR(J219* VLOOKUP($C219,'PORTIFÓLIO'!C:V,10,0),"")</f>
        <v/>
      </c>
      <c r="M219" s="220"/>
      <c r="N219" s="220"/>
      <c r="O219" s="220"/>
      <c r="P219" s="220"/>
      <c r="Q219" s="220"/>
      <c r="R219" s="220"/>
      <c r="S219" s="220"/>
      <c r="T219" s="220"/>
      <c r="U219" s="220"/>
      <c r="V219" s="220"/>
      <c r="W219" s="220"/>
    </row>
    <row r="220" ht="15.75" customHeight="1" outlineLevel="1">
      <c r="A220" s="211"/>
      <c r="B220" s="227"/>
      <c r="C220" s="211"/>
      <c r="D220" s="214" t="str">
        <f>IFERROR(VLOOKUP($C220,'PORTIFÓLIO'!C:V,2,0),"")</f>
        <v/>
      </c>
      <c r="E220" s="211" t="str">
        <f>IFERROR(VLOOKUP($C220,'PORTIFÓLIO'!C:V,3,0),"")</f>
        <v/>
      </c>
      <c r="F220" s="211" t="str">
        <f>IFERROR(VLOOKUP($C220,'PORTIFÓLIO'!C:V,4,0),"")</f>
        <v/>
      </c>
      <c r="G220" s="215" t="str">
        <f>IFERROR(VLOOKUP($C220,'PORTIFÓLIO'!C:V,5,0),"")</f>
        <v/>
      </c>
      <c r="H220" s="254" t="str">
        <f t="array" ref="H220">IFERROR(INDEX('PORTIFÓLIO'!$H$4:$H$433,MATCH($C220,'PORTIFÓLIO'!$C$4:$C$433,0)),"")</f>
        <v/>
      </c>
      <c r="I220" s="256"/>
      <c r="J220" s="218">
        <f t="shared" si="24"/>
        <v>0</v>
      </c>
      <c r="K220" s="219" t="str">
        <f>IFERROR(I220* VLOOKUP($C220,'PORTIFÓLIO'!C:V,10,0),"")</f>
        <v/>
      </c>
      <c r="L220" s="219" t="str">
        <f>IFERROR(J220* VLOOKUP($C220,'PORTIFÓLIO'!C:V,10,0),"")</f>
        <v/>
      </c>
      <c r="M220" s="220"/>
      <c r="N220" s="220"/>
      <c r="O220" s="220"/>
      <c r="P220" s="220"/>
      <c r="Q220" s="220"/>
      <c r="R220" s="220"/>
      <c r="S220" s="220"/>
      <c r="T220" s="220"/>
      <c r="U220" s="220"/>
      <c r="V220" s="220"/>
      <c r="W220" s="220"/>
    </row>
    <row r="221" ht="15.75" customHeight="1" outlineLevel="1">
      <c r="A221" s="211"/>
      <c r="B221" s="227"/>
      <c r="C221" s="211"/>
      <c r="D221" s="214" t="str">
        <f>IFERROR(VLOOKUP($C221,'PORTIFÓLIO'!C:V,2,0),"")</f>
        <v/>
      </c>
      <c r="E221" s="211" t="str">
        <f>IFERROR(VLOOKUP($C221,'PORTIFÓLIO'!C:V,3,0),"")</f>
        <v/>
      </c>
      <c r="F221" s="211" t="str">
        <f>IFERROR(VLOOKUP($C221,'PORTIFÓLIO'!C:V,4,0),"")</f>
        <v/>
      </c>
      <c r="G221" s="215" t="str">
        <f>IFERROR(VLOOKUP($C221,'PORTIFÓLIO'!C:V,5,0),"")</f>
        <v/>
      </c>
      <c r="H221" s="254" t="str">
        <f t="array" ref="H221">IFERROR(INDEX('PORTIFÓLIO'!$H$4:$H$433,MATCH($C221,'PORTIFÓLIO'!$C$4:$C$433,0)),"")</f>
        <v/>
      </c>
      <c r="I221" s="256"/>
      <c r="J221" s="218">
        <f t="shared" si="24"/>
        <v>0</v>
      </c>
      <c r="K221" s="219" t="str">
        <f>IFERROR(I221* VLOOKUP($C221,'PORTIFÓLIO'!C:V,10,0),"")</f>
        <v/>
      </c>
      <c r="L221" s="219" t="str">
        <f>IFERROR(J221* VLOOKUP($C221,'PORTIFÓLIO'!C:V,10,0),"")</f>
        <v/>
      </c>
      <c r="M221" s="220"/>
      <c r="N221" s="220"/>
      <c r="O221" s="220"/>
      <c r="P221" s="220"/>
      <c r="Q221" s="220"/>
      <c r="R221" s="220"/>
      <c r="S221" s="220"/>
      <c r="T221" s="220"/>
      <c r="U221" s="220"/>
      <c r="V221" s="220"/>
      <c r="W221" s="220"/>
    </row>
    <row r="222" ht="15.75" customHeight="1" outlineLevel="1">
      <c r="A222" s="211"/>
      <c r="B222" s="227"/>
      <c r="C222" s="211"/>
      <c r="D222" s="214" t="str">
        <f>IFERROR(VLOOKUP($C222,'PORTIFÓLIO'!C:V,2,0),"")</f>
        <v/>
      </c>
      <c r="E222" s="211" t="str">
        <f>IFERROR(VLOOKUP($C222,'PORTIFÓLIO'!C:V,3,0),"")</f>
        <v/>
      </c>
      <c r="F222" s="211" t="str">
        <f>IFERROR(VLOOKUP($C222,'PORTIFÓLIO'!C:V,4,0),"")</f>
        <v/>
      </c>
      <c r="G222" s="215" t="str">
        <f>IFERROR(VLOOKUP($C222,'PORTIFÓLIO'!C:V,5,0),"")</f>
        <v/>
      </c>
      <c r="H222" s="254" t="str">
        <f t="array" ref="H222">IFERROR(INDEX('PORTIFÓLIO'!$H$4:$H$433,MATCH($C222,'PORTIFÓLIO'!$C$4:$C$433,0)),"")</f>
        <v/>
      </c>
      <c r="I222" s="256"/>
      <c r="J222" s="218">
        <f t="shared" si="24"/>
        <v>0</v>
      </c>
      <c r="K222" s="219" t="str">
        <f>IFERROR(I222* VLOOKUP($C222,'PORTIFÓLIO'!C:V,10,0),"")</f>
        <v/>
      </c>
      <c r="L222" s="219" t="str">
        <f>IFERROR(J222* VLOOKUP($C222,'PORTIFÓLIO'!C:V,10,0),"")</f>
        <v/>
      </c>
      <c r="M222" s="220"/>
      <c r="N222" s="220"/>
      <c r="O222" s="220"/>
      <c r="P222" s="220"/>
      <c r="Q222" s="220"/>
      <c r="R222" s="220"/>
      <c r="S222" s="220"/>
      <c r="T222" s="220"/>
      <c r="U222" s="220"/>
      <c r="V222" s="220"/>
      <c r="W222" s="220"/>
    </row>
    <row r="223" ht="15.75" customHeight="1" outlineLevel="1">
      <c r="A223" s="211"/>
      <c r="B223" s="227"/>
      <c r="C223" s="211"/>
      <c r="D223" s="214" t="str">
        <f>IFERROR(VLOOKUP($C223,'PORTIFÓLIO'!C:V,2,0),"")</f>
        <v/>
      </c>
      <c r="E223" s="211" t="str">
        <f>IFERROR(VLOOKUP($C223,'PORTIFÓLIO'!C:V,3,0),"")</f>
        <v/>
      </c>
      <c r="F223" s="211" t="str">
        <f>IFERROR(VLOOKUP($C223,'PORTIFÓLIO'!C:V,4,0),"")</f>
        <v/>
      </c>
      <c r="G223" s="215" t="str">
        <f>IFERROR(VLOOKUP($C223,'PORTIFÓLIO'!C:V,5,0),"")</f>
        <v/>
      </c>
      <c r="H223" s="254" t="str">
        <f t="array" ref="H223">IFERROR(INDEX('PORTIFÓLIO'!$H$4:$H$433,MATCH($C223,'PORTIFÓLIO'!$C$4:$C$433,0)),"")</f>
        <v/>
      </c>
      <c r="I223" s="256"/>
      <c r="J223" s="218">
        <f t="shared" si="24"/>
        <v>0</v>
      </c>
      <c r="K223" s="219" t="str">
        <f>IFERROR(I223* VLOOKUP($C223,'PORTIFÓLIO'!C:V,10,0),"")</f>
        <v/>
      </c>
      <c r="L223" s="219" t="str">
        <f>IFERROR(J223* VLOOKUP($C223,'PORTIFÓLIO'!C:V,10,0),"")</f>
        <v/>
      </c>
      <c r="M223" s="220"/>
      <c r="N223" s="220"/>
      <c r="O223" s="220"/>
      <c r="P223" s="220"/>
      <c r="Q223" s="220"/>
      <c r="R223" s="220"/>
      <c r="S223" s="220"/>
      <c r="T223" s="220"/>
      <c r="U223" s="220"/>
      <c r="V223" s="220"/>
      <c r="W223" s="220"/>
    </row>
    <row r="224" ht="15.75" customHeight="1" outlineLevel="1">
      <c r="A224" s="211"/>
      <c r="B224" s="227"/>
      <c r="C224" s="211"/>
      <c r="D224" s="214" t="str">
        <f>IFERROR(VLOOKUP($C224,'PORTIFÓLIO'!C:V,2,0),"")</f>
        <v/>
      </c>
      <c r="E224" s="211" t="str">
        <f>IFERROR(VLOOKUP($C224,'PORTIFÓLIO'!C:V,3,0),"")</f>
        <v/>
      </c>
      <c r="F224" s="211" t="str">
        <f>IFERROR(VLOOKUP($C224,'PORTIFÓLIO'!C:V,4,0),"")</f>
        <v/>
      </c>
      <c r="G224" s="215" t="str">
        <f>IFERROR(VLOOKUP($C224,'PORTIFÓLIO'!C:V,5,0),"")</f>
        <v/>
      </c>
      <c r="H224" s="254" t="str">
        <f t="array" ref="H224">IFERROR(INDEX('PORTIFÓLIO'!$H$4:$H$433,MATCH($C224,'PORTIFÓLIO'!$C$4:$C$433,0)),"")</f>
        <v/>
      </c>
      <c r="I224" s="256"/>
      <c r="J224" s="218">
        <f t="shared" si="24"/>
        <v>0</v>
      </c>
      <c r="K224" s="219" t="str">
        <f>IFERROR(I224* VLOOKUP($C224,'PORTIFÓLIO'!C:V,10,0),"")</f>
        <v/>
      </c>
      <c r="L224" s="219" t="str">
        <f>IFERROR(J224* VLOOKUP($C224,'PORTIFÓLIO'!C:V,10,0),"")</f>
        <v/>
      </c>
      <c r="M224" s="220"/>
      <c r="N224" s="220"/>
      <c r="O224" s="220"/>
      <c r="P224" s="220"/>
      <c r="Q224" s="220"/>
      <c r="R224" s="220"/>
      <c r="S224" s="220"/>
      <c r="T224" s="220"/>
      <c r="U224" s="220"/>
      <c r="V224" s="220"/>
      <c r="W224" s="220"/>
    </row>
    <row r="225" ht="15.75" customHeight="1">
      <c r="A225" s="227"/>
      <c r="B225" s="227"/>
      <c r="C225" s="227"/>
      <c r="D225" s="227"/>
      <c r="E225" s="227"/>
      <c r="F225" s="227"/>
      <c r="G225" s="215"/>
      <c r="H225" s="278" t="str">
        <f t="array" ref="H225">IFERROR(INDEX('PORTIFÓLIO'!$H$4:$H$433,MATCH($C225,'PORTIFÓLIO'!$C$4:$C$433,0)),"")</f>
        <v/>
      </c>
      <c r="I225" s="227"/>
      <c r="J225" s="227"/>
      <c r="K225" s="284">
        <f t="shared" ref="K225:L225" si="25">SUBTOTAL(9,K10:K200)</f>
        <v>1740.964095</v>
      </c>
      <c r="L225" s="284">
        <f t="shared" si="25"/>
        <v>69638.5638</v>
      </c>
      <c r="M225" s="220"/>
      <c r="N225" s="220"/>
      <c r="O225" s="220"/>
      <c r="P225" s="220"/>
      <c r="Q225" s="220"/>
      <c r="R225" s="220"/>
      <c r="S225" s="220"/>
      <c r="T225" s="220"/>
      <c r="U225" s="220"/>
      <c r="V225" s="220"/>
      <c r="W225" s="220"/>
    </row>
    <row r="226" ht="15.75" customHeight="1">
      <c r="A226" s="285"/>
      <c r="B226" s="285"/>
      <c r="C226" s="285"/>
      <c r="D226" s="285"/>
      <c r="E226" s="285"/>
      <c r="F226" s="285"/>
      <c r="G226" s="286"/>
      <c r="H226" s="286"/>
      <c r="I226" s="285"/>
      <c r="J226" s="285"/>
      <c r="K226" s="285"/>
      <c r="L226" s="285"/>
      <c r="M226" s="285"/>
      <c r="N226" s="285"/>
      <c r="O226" s="285"/>
      <c r="P226" s="285"/>
      <c r="Q226" s="285"/>
      <c r="R226" s="285"/>
      <c r="S226" s="285"/>
      <c r="T226" s="285"/>
      <c r="U226" s="285"/>
      <c r="V226" s="285"/>
      <c r="W226" s="285"/>
    </row>
    <row r="227" ht="15.75" customHeight="1">
      <c r="A227" s="260" t="s">
        <v>1203</v>
      </c>
      <c r="B227" s="261" t="str">
        <f>'ÁREA PLANTIO'!B18</f>
        <v>P 06</v>
      </c>
      <c r="C227" s="262" t="s">
        <v>1166</v>
      </c>
      <c r="D227" s="263">
        <f>$K$452</f>
        <v>0</v>
      </c>
      <c r="E227" s="264"/>
      <c r="F227" s="265" t="s">
        <v>1167</v>
      </c>
      <c r="G227" s="266"/>
      <c r="H227" s="287" t="str">
        <f t="array" ref="H227">IFERROR(INDEX('PORTIFÓLIO'!$H$4:$H$433,MATCH($C227,'PORTIFÓLIO'!$C$4:$C$433,0)),"")</f>
        <v/>
      </c>
      <c r="I227" s="267"/>
      <c r="J227" s="267"/>
      <c r="K227" s="266"/>
      <c r="L227" s="220"/>
      <c r="M227" s="220"/>
      <c r="N227" s="220"/>
      <c r="O227" s="220"/>
      <c r="P227" s="220"/>
      <c r="Q227" s="220"/>
      <c r="R227" s="220"/>
      <c r="S227" s="220"/>
      <c r="T227" s="220"/>
      <c r="U227" s="220"/>
      <c r="V227" s="220"/>
      <c r="W227" s="220"/>
    </row>
    <row r="228" ht="15.75" customHeight="1">
      <c r="A228" s="260" t="s">
        <v>1168</v>
      </c>
      <c r="B228" s="268">
        <f>'ÁREA PLANTIO'!E18</f>
        <v>40</v>
      </c>
      <c r="C228" s="269" t="s">
        <v>1169</v>
      </c>
      <c r="D228" s="270" t="str">
        <f>'ÁREA PLANTIO'!I18</f>
        <v/>
      </c>
      <c r="E228" s="264"/>
      <c r="F228" s="264"/>
      <c r="G228" s="266"/>
      <c r="H228" s="287" t="str">
        <f t="array" ref="H228">IFERROR(INDEX('PORTIFÓLIO'!$H$4:$H$433,MATCH($C228,'PORTIFÓLIO'!$C$4:$C$433,0)),"")</f>
        <v/>
      </c>
      <c r="I228" s="267"/>
      <c r="J228" s="267"/>
      <c r="K228" s="266"/>
      <c r="L228" s="220"/>
      <c r="M228" s="220"/>
      <c r="N228" s="220"/>
      <c r="O228" s="220"/>
      <c r="P228" s="220"/>
      <c r="Q228" s="220"/>
      <c r="R228" s="220"/>
      <c r="S228" s="220"/>
      <c r="T228" s="220"/>
      <c r="U228" s="220"/>
      <c r="V228" s="220"/>
      <c r="W228" s="220"/>
    </row>
    <row r="229" ht="15.75" customHeight="1">
      <c r="A229" s="260" t="s">
        <v>1170</v>
      </c>
      <c r="B229" s="267" t="str">
        <f>'ÁREA PLANTIO'!H18</f>
        <v/>
      </c>
      <c r="C229" s="269" t="s">
        <v>1171</v>
      </c>
      <c r="D229" s="271" t="str">
        <f>D227/D228</f>
        <v>#DIV/0!</v>
      </c>
      <c r="E229" s="264"/>
      <c r="F229" s="264"/>
      <c r="G229" s="266"/>
      <c r="H229" s="287" t="str">
        <f t="array" ref="H229">IFERROR(INDEX('PORTIFÓLIO'!$H$4:$H$433,MATCH($C229,'PORTIFÓLIO'!$C$4:$C$433,0)),"")</f>
        <v/>
      </c>
      <c r="I229" s="267"/>
      <c r="J229" s="267"/>
      <c r="K229" s="266"/>
      <c r="L229" s="220"/>
      <c r="M229" s="220"/>
      <c r="N229" s="220"/>
      <c r="O229" s="220"/>
      <c r="P229" s="220"/>
      <c r="Q229" s="220"/>
      <c r="R229" s="220"/>
      <c r="S229" s="220"/>
      <c r="T229" s="220"/>
      <c r="U229" s="220"/>
      <c r="V229" s="220"/>
      <c r="W229" s="220"/>
    </row>
    <row r="230" ht="15.75" customHeight="1">
      <c r="A230" s="272" t="s">
        <v>1172</v>
      </c>
      <c r="B230" s="273">
        <v>45606.0</v>
      </c>
      <c r="C230" s="274"/>
      <c r="D230" s="275"/>
      <c r="E230" s="276"/>
      <c r="F230" s="264"/>
      <c r="G230" s="266"/>
      <c r="H230" s="287" t="str">
        <f t="array" ref="H230">IFERROR(INDEX('PORTIFÓLIO'!$H$4:$H$433,MATCH($C230,'PORTIFÓLIO'!$C$4:$C$433,0)),"")</f>
        <v/>
      </c>
      <c r="I230" s="267"/>
      <c r="J230" s="267"/>
      <c r="K230" s="266"/>
      <c r="L230" s="220"/>
      <c r="M230" s="220"/>
      <c r="N230" s="220"/>
      <c r="O230" s="220"/>
      <c r="P230" s="220"/>
      <c r="Q230" s="220"/>
      <c r="R230" s="220"/>
      <c r="S230" s="220"/>
      <c r="T230" s="220"/>
      <c r="U230" s="220"/>
      <c r="V230" s="220"/>
      <c r="W230" s="220"/>
    </row>
    <row r="231" ht="15.75" customHeight="1">
      <c r="E231" s="277"/>
      <c r="F231" s="264"/>
      <c r="G231" s="266"/>
      <c r="H231" s="287" t="str">
        <f t="array" ref="H231">IFERROR(INDEX('PORTIFÓLIO'!$H$4:$H$433,MATCH($C231,'PORTIFÓLIO'!$C$4:$C$433,0)),"")</f>
        <v/>
      </c>
      <c r="I231" s="267"/>
      <c r="J231" s="267"/>
      <c r="K231" s="266"/>
      <c r="L231" s="220"/>
      <c r="M231" s="220"/>
      <c r="N231" s="220"/>
      <c r="O231" s="220"/>
      <c r="P231" s="220"/>
      <c r="Q231" s="220"/>
      <c r="R231" s="220"/>
      <c r="S231" s="220"/>
      <c r="T231" s="220"/>
      <c r="U231" s="220"/>
      <c r="V231" s="220"/>
      <c r="W231" s="220"/>
    </row>
    <row r="232" ht="15.75" customHeight="1">
      <c r="A232" s="260"/>
      <c r="B232" s="267"/>
      <c r="C232" s="264"/>
      <c r="D232" s="264"/>
      <c r="E232" s="264"/>
      <c r="F232" s="264"/>
      <c r="G232" s="266"/>
      <c r="H232" s="287" t="str">
        <f t="array" ref="H232">IFERROR(INDEX('PORTIFÓLIO'!$H$4:$H$433,MATCH($C232,'PORTIFÓLIO'!$C$4:$C$433,0)),"")</f>
        <v/>
      </c>
      <c r="I232" s="267"/>
      <c r="J232" s="267"/>
      <c r="K232" s="266"/>
      <c r="L232" s="220"/>
      <c r="M232" s="220"/>
      <c r="N232" s="220"/>
      <c r="O232" s="220"/>
      <c r="P232" s="220"/>
      <c r="Q232" s="220"/>
      <c r="R232" s="220"/>
      <c r="S232" s="220"/>
      <c r="T232" s="220"/>
      <c r="U232" s="220"/>
      <c r="V232" s="220"/>
      <c r="W232" s="220"/>
    </row>
    <row r="233" ht="15.75" customHeight="1">
      <c r="A233" s="267"/>
      <c r="B233" s="267"/>
      <c r="C233" s="264"/>
      <c r="D233" s="264"/>
      <c r="E233" s="264"/>
      <c r="F233" s="264"/>
      <c r="G233" s="266"/>
      <c r="H233" s="287" t="str">
        <f t="array" ref="H233">IFERROR(INDEX('PORTIFÓLIO'!$H$4:$H$433,MATCH($C233,'PORTIFÓLIO'!$C$4:$C$433,0)),"")</f>
        <v/>
      </c>
      <c r="I233" s="267"/>
      <c r="J233" s="267"/>
      <c r="K233" s="266"/>
      <c r="L233" s="220"/>
      <c r="M233" s="220"/>
      <c r="N233" s="220"/>
      <c r="O233" s="220"/>
      <c r="P233" s="220"/>
      <c r="Q233" s="220"/>
      <c r="R233" s="220"/>
      <c r="S233" s="220"/>
      <c r="T233" s="220"/>
      <c r="U233" s="220"/>
      <c r="V233" s="220"/>
      <c r="W233" s="220"/>
    </row>
    <row r="234" ht="15.75" customHeight="1">
      <c r="A234" s="267"/>
      <c r="B234" s="267"/>
      <c r="C234" s="267"/>
      <c r="D234" s="267"/>
      <c r="E234" s="264"/>
      <c r="F234" s="264"/>
      <c r="G234" s="266"/>
      <c r="H234" s="287" t="str">
        <f t="array" ref="H234">IFERROR(INDEX('PORTIFÓLIO'!$H$4:$H$433,MATCH($C234,'PORTIFÓLIO'!$C$4:$C$433,0)),"")</f>
        <v/>
      </c>
      <c r="I234" s="267"/>
      <c r="J234" s="267"/>
      <c r="K234" s="266"/>
      <c r="L234" s="220"/>
      <c r="M234" s="220"/>
      <c r="N234" s="220"/>
      <c r="O234" s="220"/>
      <c r="P234" s="220"/>
      <c r="Q234" s="220"/>
      <c r="R234" s="220"/>
      <c r="S234" s="220"/>
      <c r="T234" s="220"/>
      <c r="U234" s="220"/>
      <c r="V234" s="220"/>
      <c r="W234" s="220"/>
    </row>
    <row r="235" ht="15.75" customHeight="1">
      <c r="A235" s="267"/>
      <c r="B235" s="267"/>
      <c r="C235" s="267"/>
      <c r="D235" s="267"/>
      <c r="E235" s="267"/>
      <c r="F235" s="267"/>
      <c r="G235" s="266"/>
      <c r="H235" s="287"/>
      <c r="I235" s="287"/>
      <c r="J235" s="288"/>
      <c r="K235" s="289"/>
      <c r="L235" s="290"/>
      <c r="M235" s="220"/>
      <c r="N235" s="220"/>
      <c r="O235" s="220"/>
      <c r="P235" s="220"/>
      <c r="Q235" s="220"/>
      <c r="R235" s="220"/>
      <c r="S235" s="220"/>
      <c r="T235" s="220"/>
      <c r="U235" s="220"/>
      <c r="V235" s="220"/>
      <c r="W235" s="220"/>
    </row>
    <row r="236" ht="15.75" customHeight="1">
      <c r="A236" s="211" t="s">
        <v>1173</v>
      </c>
      <c r="B236" s="213" t="s">
        <v>1174</v>
      </c>
      <c r="C236" s="213" t="s">
        <v>1175</v>
      </c>
      <c r="D236" s="211" t="s">
        <v>1176</v>
      </c>
      <c r="E236" s="211" t="s">
        <v>1177</v>
      </c>
      <c r="F236" s="211" t="s">
        <v>1178</v>
      </c>
      <c r="G236" s="291" t="s">
        <v>1180</v>
      </c>
      <c r="H236" s="278" t="s">
        <v>1179</v>
      </c>
      <c r="I236" s="278" t="s">
        <v>1181</v>
      </c>
      <c r="J236" s="279" t="s">
        <v>1134</v>
      </c>
      <c r="K236" s="280" t="s">
        <v>1182</v>
      </c>
      <c r="L236" s="281" t="s">
        <v>339</v>
      </c>
      <c r="M236" s="220"/>
      <c r="N236" s="220"/>
      <c r="O236" s="220"/>
      <c r="P236" s="220"/>
      <c r="Q236" s="220"/>
      <c r="R236" s="220"/>
      <c r="S236" s="220"/>
      <c r="T236" s="220"/>
      <c r="U236" s="220"/>
      <c r="V236" s="220"/>
      <c r="W236" s="220"/>
    </row>
    <row r="237" ht="15.75" customHeight="1">
      <c r="A237" s="231" t="s">
        <v>1183</v>
      </c>
      <c r="B237" s="230"/>
      <c r="C237" s="231"/>
      <c r="D237" s="232"/>
      <c r="E237" s="231"/>
      <c r="F237" s="231"/>
      <c r="G237" s="233"/>
      <c r="H237" s="233"/>
      <c r="I237" s="258"/>
      <c r="J237" s="236"/>
      <c r="K237" s="237">
        <f t="shared" ref="K237:L237" si="26">SUBTOTAL(9,K238:K251)</f>
        <v>0</v>
      </c>
      <c r="L237" s="237">
        <f t="shared" si="26"/>
        <v>0</v>
      </c>
      <c r="M237" s="220"/>
      <c r="N237" s="220"/>
      <c r="O237" s="220"/>
      <c r="P237" s="220"/>
      <c r="Q237" s="220"/>
      <c r="R237" s="220"/>
      <c r="S237" s="220"/>
      <c r="T237" s="220"/>
      <c r="U237" s="220"/>
      <c r="V237" s="220"/>
      <c r="W237" s="220"/>
    </row>
    <row r="238" ht="15.75" customHeight="1" outlineLevel="1">
      <c r="A238" s="211"/>
      <c r="B238" s="212"/>
      <c r="C238" s="213"/>
      <c r="D238" s="214" t="str">
        <f>IFERROR(VLOOKUP($C238,'PORTIFÓLIO'!C:V,2,0),"")</f>
        <v/>
      </c>
      <c r="E238" s="211" t="str">
        <f>IFERROR(VLOOKUP($C238,'PORTIFÓLIO'!C:V,3,0),"")</f>
        <v/>
      </c>
      <c r="F238" s="211" t="str">
        <f>IFERROR(VLOOKUP($C238,'PORTIFÓLIO'!C:V,4,0),"")</f>
        <v/>
      </c>
      <c r="G238" s="215" t="str">
        <f>IFERROR(VLOOKUP($C238,'PORTIFÓLIO'!C:V,5,0),"")</f>
        <v/>
      </c>
      <c r="H238" s="254" t="str">
        <f t="array" ref="H238">IFERROR(INDEX('PORTIFÓLIO'!$H$4:$H$433,MATCH($C238,'PORTIFÓLIO'!$C$4:$C$433,0)),"")</f>
        <v/>
      </c>
      <c r="I238" s="255"/>
      <c r="J238" s="218">
        <f t="shared" ref="J238:J251" si="27">I238*$B$2</f>
        <v>0</v>
      </c>
      <c r="K238" s="219" t="str">
        <f t="array" ref="K238">IFERROR(I238*INDEX('PORTIFÓLIO'!$S$4:$S$433,MATCH($C238,'PORTIFÓLIO'!$C$4:$C$433,0)),"")</f>
        <v/>
      </c>
      <c r="L238" s="219" t="str">
        <f t="array" ref="L238">IFERROR(J238*INDEX('PORTIFÓLIO'!$S$4:$S$433,MATCH($C238,'PORTIFÓLIO'!$C$4:$C$433,0)),"")</f>
        <v/>
      </c>
      <c r="M238" s="220"/>
      <c r="N238" s="220"/>
      <c r="O238" s="220"/>
      <c r="P238" s="220"/>
      <c r="Q238" s="220"/>
      <c r="R238" s="220"/>
      <c r="S238" s="220"/>
      <c r="T238" s="220"/>
      <c r="U238" s="220"/>
      <c r="V238" s="220"/>
      <c r="W238" s="220"/>
    </row>
    <row r="239" ht="15.75" customHeight="1" outlineLevel="1">
      <c r="A239" s="211"/>
      <c r="B239" s="212"/>
      <c r="C239" s="213"/>
      <c r="D239" s="214" t="str">
        <f>IFERROR(VLOOKUP($C239,'PORTIFÓLIO'!C:V,2,0),"")</f>
        <v/>
      </c>
      <c r="E239" s="211" t="str">
        <f>IFERROR(VLOOKUP($C239,'PORTIFÓLIO'!C:V,3,0),"")</f>
        <v/>
      </c>
      <c r="F239" s="211" t="str">
        <f>IFERROR(VLOOKUP($C239,'PORTIFÓLIO'!C:V,4,0),"")</f>
        <v/>
      </c>
      <c r="G239" s="215" t="str">
        <f>IFERROR(VLOOKUP($C239,'PORTIFÓLIO'!C:V,5,0),"")</f>
        <v/>
      </c>
      <c r="H239" s="254" t="str">
        <f t="array" ref="H239">IFERROR(INDEX('PORTIFÓLIO'!$H$4:$H$433,MATCH($C239,'PORTIFÓLIO'!$C$4:$C$433,0)),"")</f>
        <v/>
      </c>
      <c r="I239" s="255"/>
      <c r="J239" s="218">
        <f t="shared" si="27"/>
        <v>0</v>
      </c>
      <c r="K239" s="219" t="str">
        <f t="array" ref="K239">IFERROR(I239*INDEX('PORTIFÓLIO'!$S$4:$S$433,MATCH($C239,'PORTIFÓLIO'!$C$4:$C$433,0)),"")</f>
        <v/>
      </c>
      <c r="L239" s="219" t="str">
        <f t="array" ref="L239">IFERROR(J239*INDEX('PORTIFÓLIO'!$S$4:$S$433,MATCH($C239,'PORTIFÓLIO'!$C$4:$C$433,0)),"")</f>
        <v/>
      </c>
      <c r="M239" s="220"/>
      <c r="N239" s="220"/>
      <c r="O239" s="220"/>
      <c r="P239" s="220"/>
      <c r="Q239" s="220"/>
      <c r="R239" s="220"/>
      <c r="S239" s="220"/>
      <c r="T239" s="220"/>
      <c r="U239" s="220"/>
      <c r="V239" s="220"/>
      <c r="W239" s="220"/>
    </row>
    <row r="240" ht="15.75" customHeight="1" outlineLevel="1">
      <c r="A240" s="211"/>
      <c r="B240" s="212"/>
      <c r="C240" s="213"/>
      <c r="D240" s="214" t="str">
        <f>IFERROR(VLOOKUP($C240,'PORTIFÓLIO'!C:V,2,0),"")</f>
        <v/>
      </c>
      <c r="E240" s="211" t="str">
        <f>IFERROR(VLOOKUP($C240,'PORTIFÓLIO'!C:V,3,0),"")</f>
        <v/>
      </c>
      <c r="F240" s="211" t="str">
        <f>IFERROR(VLOOKUP($C240,'PORTIFÓLIO'!C:V,4,0),"")</f>
        <v/>
      </c>
      <c r="G240" s="215" t="str">
        <f>IFERROR(VLOOKUP($C240,'PORTIFÓLIO'!C:V,5,0),"")</f>
        <v/>
      </c>
      <c r="H240" s="254" t="str">
        <f t="array" ref="H240">IFERROR(INDEX('PORTIFÓLIO'!$H$4:$H$433,MATCH($C240,'PORTIFÓLIO'!$C$4:$C$433,0)),"")</f>
        <v/>
      </c>
      <c r="I240" s="256"/>
      <c r="J240" s="218">
        <f t="shared" si="27"/>
        <v>0</v>
      </c>
      <c r="K240" s="219" t="str">
        <f t="array" ref="K240">IFERROR(I240*INDEX('PORTIFÓLIO'!$S$4:$S$433,MATCH($C240,'PORTIFÓLIO'!$C$4:$C$433,0)),"")</f>
        <v/>
      </c>
      <c r="L240" s="219" t="str">
        <f t="array" ref="L240">IFERROR(J240*INDEX('PORTIFÓLIO'!$S$4:$S$433,MATCH($C240,'PORTIFÓLIO'!$C$4:$C$433,0)),"")</f>
        <v/>
      </c>
      <c r="M240" s="220"/>
      <c r="N240" s="220"/>
      <c r="O240" s="220"/>
      <c r="P240" s="220"/>
      <c r="Q240" s="220"/>
      <c r="R240" s="220"/>
      <c r="S240" s="220"/>
      <c r="T240" s="220"/>
      <c r="U240" s="220"/>
      <c r="V240" s="220"/>
      <c r="W240" s="220"/>
    </row>
    <row r="241" ht="15.75" customHeight="1" outlineLevel="1">
      <c r="A241" s="211"/>
      <c r="B241" s="212"/>
      <c r="C241" s="213"/>
      <c r="D241" s="214" t="str">
        <f>IFERROR(VLOOKUP($C241,'PORTIFÓLIO'!C:V,2,0),"")</f>
        <v/>
      </c>
      <c r="E241" s="211" t="str">
        <f>IFERROR(VLOOKUP($C241,'PORTIFÓLIO'!C:V,3,0),"")</f>
        <v/>
      </c>
      <c r="F241" s="211" t="str">
        <f>IFERROR(VLOOKUP($C241,'PORTIFÓLIO'!C:V,4,0),"")</f>
        <v/>
      </c>
      <c r="G241" s="215" t="str">
        <f>IFERROR(VLOOKUP($C241,'PORTIFÓLIO'!C:V,5,0),"")</f>
        <v/>
      </c>
      <c r="H241" s="254" t="str">
        <f t="array" ref="H241">IFERROR(INDEX('PORTIFÓLIO'!$H$4:$H$433,MATCH($C241,'PORTIFÓLIO'!$C$4:$C$433,0)),"")</f>
        <v/>
      </c>
      <c r="I241" s="256"/>
      <c r="J241" s="218">
        <f t="shared" si="27"/>
        <v>0</v>
      </c>
      <c r="K241" s="219" t="str">
        <f t="array" ref="K241">IFERROR(I241*INDEX('PORTIFÓLIO'!$S$4:$S$433,MATCH($C241,'PORTIFÓLIO'!$C$4:$C$433,0)),"")</f>
        <v/>
      </c>
      <c r="L241" s="219" t="str">
        <f t="array" ref="L241">IFERROR(J241*INDEX('PORTIFÓLIO'!$S$4:$S$433,MATCH($C241,'PORTIFÓLIO'!$C$4:$C$433,0)),"")</f>
        <v/>
      </c>
      <c r="M241" s="220"/>
      <c r="N241" s="220"/>
      <c r="O241" s="220"/>
      <c r="P241" s="220"/>
      <c r="Q241" s="220"/>
      <c r="R241" s="220"/>
      <c r="S241" s="220"/>
      <c r="T241" s="220"/>
      <c r="U241" s="220"/>
      <c r="V241" s="220"/>
      <c r="W241" s="220"/>
    </row>
    <row r="242" ht="15.75" customHeight="1" outlineLevel="1">
      <c r="A242" s="211"/>
      <c r="B242" s="212"/>
      <c r="C242" s="213"/>
      <c r="D242" s="214" t="str">
        <f>IFERROR(VLOOKUP($C242,'PORTIFÓLIO'!C:V,2,0),"")</f>
        <v/>
      </c>
      <c r="E242" s="211" t="str">
        <f>IFERROR(VLOOKUP($C242,'PORTIFÓLIO'!C:V,3,0),"")</f>
        <v/>
      </c>
      <c r="F242" s="211" t="str">
        <f>IFERROR(VLOOKUP($C242,'PORTIFÓLIO'!C:V,4,0),"")</f>
        <v/>
      </c>
      <c r="G242" s="215" t="str">
        <f>IFERROR(VLOOKUP($C242,'PORTIFÓLIO'!C:V,5,0),"")</f>
        <v/>
      </c>
      <c r="H242" s="254" t="str">
        <f t="array" ref="H242">IFERROR(INDEX('PORTIFÓLIO'!$H$4:$H$433,MATCH($C242,'PORTIFÓLIO'!$C$4:$C$433,0)),"")</f>
        <v/>
      </c>
      <c r="I242" s="255"/>
      <c r="J242" s="218">
        <f t="shared" si="27"/>
        <v>0</v>
      </c>
      <c r="K242" s="219" t="str">
        <f t="array" ref="K242">IFERROR(I242*INDEX('PORTIFÓLIO'!$S$4:$S$433,MATCH($C242,'PORTIFÓLIO'!$C$4:$C$433,0)),"")</f>
        <v/>
      </c>
      <c r="L242" s="219" t="str">
        <f t="array" ref="L242">IFERROR(J242*INDEX('PORTIFÓLIO'!$S$4:$S$433,MATCH($C242,'PORTIFÓLIO'!$C$4:$C$433,0)),"")</f>
        <v/>
      </c>
      <c r="M242" s="220"/>
      <c r="N242" s="220"/>
      <c r="O242" s="220"/>
      <c r="P242" s="220"/>
      <c r="Q242" s="220"/>
      <c r="R242" s="220"/>
      <c r="S242" s="220"/>
      <c r="T242" s="220"/>
      <c r="U242" s="220"/>
      <c r="V242" s="220"/>
      <c r="W242" s="220"/>
    </row>
    <row r="243" ht="15.75" customHeight="1" outlineLevel="1">
      <c r="A243" s="211"/>
      <c r="B243" s="212"/>
      <c r="C243" s="213"/>
      <c r="D243" s="214" t="str">
        <f>IFERROR(VLOOKUP($C243,'PORTIFÓLIO'!C:V,2,0),"")</f>
        <v/>
      </c>
      <c r="E243" s="211" t="str">
        <f>IFERROR(VLOOKUP($C243,'PORTIFÓLIO'!C:V,3,0),"")</f>
        <v/>
      </c>
      <c r="F243" s="211" t="str">
        <f>IFERROR(VLOOKUP($C243,'PORTIFÓLIO'!C:V,4,0),"")</f>
        <v/>
      </c>
      <c r="G243" s="215" t="str">
        <f>IFERROR(VLOOKUP($C243,'PORTIFÓLIO'!C:V,5,0),"")</f>
        <v/>
      </c>
      <c r="H243" s="254" t="str">
        <f t="array" ref="H243">IFERROR(INDEX('PORTIFÓLIO'!$H$4:$H$433,MATCH($C243,'PORTIFÓLIO'!$C$4:$C$433,0)),"")</f>
        <v/>
      </c>
      <c r="I243" s="256"/>
      <c r="J243" s="218">
        <f t="shared" si="27"/>
        <v>0</v>
      </c>
      <c r="K243" s="219" t="str">
        <f t="array" ref="K243">IFERROR(I243*INDEX('PORTIFÓLIO'!$S$4:$S$433,MATCH($C243,'PORTIFÓLIO'!$C$4:$C$433,0)),"")</f>
        <v/>
      </c>
      <c r="L243" s="219" t="str">
        <f t="array" ref="L243">IFERROR(J243*INDEX('PORTIFÓLIO'!$S$4:$S$433,MATCH($C243,'PORTIFÓLIO'!$C$4:$C$433,0)),"")</f>
        <v/>
      </c>
      <c r="M243" s="220"/>
      <c r="N243" s="220"/>
      <c r="O243" s="220"/>
      <c r="P243" s="220"/>
      <c r="Q243" s="220"/>
      <c r="R243" s="220"/>
      <c r="S243" s="220"/>
      <c r="T243" s="220"/>
      <c r="U243" s="220"/>
      <c r="V243" s="220"/>
      <c r="W243" s="220"/>
    </row>
    <row r="244" ht="15.75" customHeight="1" outlineLevel="1">
      <c r="A244" s="211"/>
      <c r="B244" s="212"/>
      <c r="C244" s="213"/>
      <c r="D244" s="214" t="str">
        <f>IFERROR(VLOOKUP($C244,'PORTIFÓLIO'!C:V,2,0),"")</f>
        <v/>
      </c>
      <c r="E244" s="211" t="str">
        <f>IFERROR(VLOOKUP($C244,'PORTIFÓLIO'!C:V,3,0),"")</f>
        <v/>
      </c>
      <c r="F244" s="211" t="str">
        <f>IFERROR(VLOOKUP($C244,'PORTIFÓLIO'!C:V,4,0),"")</f>
        <v/>
      </c>
      <c r="G244" s="215" t="str">
        <f>IFERROR(VLOOKUP($C244,'PORTIFÓLIO'!C:V,5,0),"")</f>
        <v/>
      </c>
      <c r="H244" s="254" t="str">
        <f t="array" ref="H244">IFERROR(INDEX('PORTIFÓLIO'!$H$4:$H$433,MATCH($C244,'PORTIFÓLIO'!$C$4:$C$433,0)),"")</f>
        <v/>
      </c>
      <c r="I244" s="256"/>
      <c r="J244" s="218">
        <f t="shared" si="27"/>
        <v>0</v>
      </c>
      <c r="K244" s="219" t="str">
        <f t="array" ref="K244">IFERROR(I244*INDEX('PORTIFÓLIO'!$S$4:$S$433,MATCH($C244,'PORTIFÓLIO'!$C$4:$C$433,0)),"")</f>
        <v/>
      </c>
      <c r="L244" s="219" t="str">
        <f t="array" ref="L244">IFERROR(J244*INDEX('PORTIFÓLIO'!$S$4:$S$433,MATCH($C244,'PORTIFÓLIO'!$C$4:$C$433,0)),"")</f>
        <v/>
      </c>
      <c r="M244" s="220"/>
      <c r="N244" s="220"/>
      <c r="O244" s="220"/>
      <c r="P244" s="220"/>
      <c r="Q244" s="220"/>
      <c r="R244" s="220"/>
      <c r="S244" s="220"/>
      <c r="T244" s="220"/>
      <c r="U244" s="220"/>
      <c r="V244" s="220"/>
      <c r="W244" s="220"/>
    </row>
    <row r="245" ht="15.75" customHeight="1" outlineLevel="1">
      <c r="A245" s="211"/>
      <c r="B245" s="212"/>
      <c r="C245" s="213"/>
      <c r="D245" s="214" t="str">
        <f>IFERROR(VLOOKUP($C245,'PORTIFÓLIO'!C:V,2,0),"")</f>
        <v/>
      </c>
      <c r="E245" s="211" t="str">
        <f>IFERROR(VLOOKUP($C245,'PORTIFÓLIO'!C:V,3,0),"")</f>
        <v/>
      </c>
      <c r="F245" s="211" t="str">
        <f>IFERROR(VLOOKUP($C245,'PORTIFÓLIO'!C:V,4,0),"")</f>
        <v/>
      </c>
      <c r="G245" s="215" t="str">
        <f>IFERROR(VLOOKUP($C245,'PORTIFÓLIO'!C:V,5,0),"")</f>
        <v/>
      </c>
      <c r="H245" s="254" t="str">
        <f t="array" ref="H245">IFERROR(INDEX('PORTIFÓLIO'!$H$4:$H$433,MATCH($C245,'PORTIFÓLIO'!$C$4:$C$433,0)),"")</f>
        <v/>
      </c>
      <c r="I245" s="256"/>
      <c r="J245" s="218">
        <f t="shared" si="27"/>
        <v>0</v>
      </c>
      <c r="K245" s="219" t="str">
        <f t="array" ref="K245">IFERROR(I245*INDEX('PORTIFÓLIO'!$S$4:$S$433,MATCH($C245,'PORTIFÓLIO'!$C$4:$C$433,0)),"")</f>
        <v/>
      </c>
      <c r="L245" s="219" t="str">
        <f t="array" ref="L245">IFERROR(J245*INDEX('PORTIFÓLIO'!$S$4:$S$433,MATCH($C245,'PORTIFÓLIO'!$C$4:$C$433,0)),"")</f>
        <v/>
      </c>
      <c r="M245" s="220"/>
      <c r="N245" s="220"/>
      <c r="O245" s="220"/>
      <c r="P245" s="220"/>
      <c r="Q245" s="220"/>
      <c r="R245" s="220"/>
      <c r="S245" s="220"/>
      <c r="T245" s="220"/>
      <c r="U245" s="220"/>
      <c r="V245" s="220"/>
      <c r="W245" s="220"/>
    </row>
    <row r="246" ht="15.75" customHeight="1" outlineLevel="1">
      <c r="A246" s="211"/>
      <c r="B246" s="212"/>
      <c r="C246" s="213"/>
      <c r="D246" s="214" t="str">
        <f>IFERROR(VLOOKUP($C246,'PORTIFÓLIO'!C:V,2,0),"")</f>
        <v/>
      </c>
      <c r="E246" s="211" t="str">
        <f>IFERROR(VLOOKUP($C246,'PORTIFÓLIO'!C:V,3,0),"")</f>
        <v/>
      </c>
      <c r="F246" s="211" t="str">
        <f>IFERROR(VLOOKUP($C246,'PORTIFÓLIO'!C:V,4,0),"")</f>
        <v/>
      </c>
      <c r="G246" s="215" t="str">
        <f>IFERROR(VLOOKUP($C246,'PORTIFÓLIO'!C:V,5,0),"")</f>
        <v/>
      </c>
      <c r="H246" s="254" t="str">
        <f t="array" ref="H246">IFERROR(INDEX('PORTIFÓLIO'!$H$4:$H$433,MATCH($C246,'PORTIFÓLIO'!$C$4:$C$433,0)),"")</f>
        <v/>
      </c>
      <c r="I246" s="255"/>
      <c r="J246" s="218">
        <f t="shared" si="27"/>
        <v>0</v>
      </c>
      <c r="K246" s="219" t="str">
        <f t="array" ref="K246">IFERROR(I246*INDEX('PORTIFÓLIO'!$S$4:$S$433,MATCH($C246,'PORTIFÓLIO'!$C$4:$C$433,0)),"")</f>
        <v/>
      </c>
      <c r="L246" s="219" t="str">
        <f t="array" ref="L246">IFERROR(J246*INDEX('PORTIFÓLIO'!$S$4:$S$433,MATCH($C246,'PORTIFÓLIO'!$C$4:$C$433,0)),"")</f>
        <v/>
      </c>
      <c r="M246" s="220"/>
      <c r="N246" s="220"/>
      <c r="O246" s="220"/>
      <c r="P246" s="220"/>
      <c r="Q246" s="220"/>
      <c r="R246" s="220"/>
      <c r="S246" s="220"/>
      <c r="T246" s="220"/>
      <c r="U246" s="220"/>
      <c r="V246" s="220"/>
      <c r="W246" s="220"/>
    </row>
    <row r="247" ht="15.75" customHeight="1" outlineLevel="1">
      <c r="A247" s="211"/>
      <c r="B247" s="212"/>
      <c r="C247" s="213"/>
      <c r="D247" s="214" t="str">
        <f>IFERROR(VLOOKUP($C247,'PORTIFÓLIO'!C:V,2,0),"")</f>
        <v/>
      </c>
      <c r="E247" s="211" t="str">
        <f>IFERROR(VLOOKUP($C247,'PORTIFÓLIO'!C:V,3,0),"")</f>
        <v/>
      </c>
      <c r="F247" s="211" t="str">
        <f>IFERROR(VLOOKUP($C247,'PORTIFÓLIO'!C:V,4,0),"")</f>
        <v/>
      </c>
      <c r="G247" s="215" t="str">
        <f>IFERROR(VLOOKUP($C247,'PORTIFÓLIO'!C:V,5,0),"")</f>
        <v/>
      </c>
      <c r="H247" s="254" t="str">
        <f t="array" ref="H247">IFERROR(INDEX('PORTIFÓLIO'!$H$4:$H$433,MATCH($C247,'PORTIFÓLIO'!$C$4:$C$433,0)),"")</f>
        <v/>
      </c>
      <c r="I247" s="255"/>
      <c r="J247" s="218">
        <f t="shared" si="27"/>
        <v>0</v>
      </c>
      <c r="K247" s="219" t="str">
        <f t="array" ref="K247">IFERROR(I247*INDEX('PORTIFÓLIO'!$S$4:$S$433,MATCH($C247,'PORTIFÓLIO'!$C$4:$C$433,0)),"")</f>
        <v/>
      </c>
      <c r="L247" s="219" t="str">
        <f t="array" ref="L247">IFERROR(J247*INDEX('PORTIFÓLIO'!$S$4:$S$433,MATCH($C247,'PORTIFÓLIO'!$C$4:$C$433,0)),"")</f>
        <v/>
      </c>
      <c r="M247" s="220"/>
      <c r="N247" s="220"/>
      <c r="O247" s="220"/>
      <c r="P247" s="220"/>
      <c r="Q247" s="220"/>
      <c r="R247" s="220"/>
      <c r="S247" s="220"/>
      <c r="T247" s="220"/>
      <c r="U247" s="220"/>
      <c r="V247" s="220"/>
      <c r="W247" s="220"/>
    </row>
    <row r="248" ht="15.75" customHeight="1" outlineLevel="1">
      <c r="A248" s="211"/>
      <c r="B248" s="212"/>
      <c r="C248" s="213"/>
      <c r="D248" s="214" t="str">
        <f>IFERROR(VLOOKUP($C248,'PORTIFÓLIO'!C:V,2,0),"")</f>
        <v/>
      </c>
      <c r="E248" s="211" t="str">
        <f>IFERROR(VLOOKUP($C248,'PORTIFÓLIO'!C:V,3,0),"")</f>
        <v/>
      </c>
      <c r="F248" s="211" t="str">
        <f>IFERROR(VLOOKUP($C248,'PORTIFÓLIO'!C:V,4,0),"")</f>
        <v/>
      </c>
      <c r="G248" s="215" t="str">
        <f>IFERROR(VLOOKUP($C248,'PORTIFÓLIO'!C:V,5,0),"")</f>
        <v/>
      </c>
      <c r="H248" s="254" t="str">
        <f t="array" ref="H248">IFERROR(INDEX('PORTIFÓLIO'!$H$4:$H$433,MATCH($C248,'PORTIFÓLIO'!$C$4:$C$433,0)),"")</f>
        <v/>
      </c>
      <c r="I248" s="255"/>
      <c r="J248" s="218">
        <f t="shared" si="27"/>
        <v>0</v>
      </c>
      <c r="K248" s="219" t="str">
        <f t="array" ref="K248">IFERROR(I248*INDEX('PORTIFÓLIO'!$S$4:$S$433,MATCH($C248,'PORTIFÓLIO'!$C$4:$C$433,0)),"")</f>
        <v/>
      </c>
      <c r="L248" s="219" t="str">
        <f t="array" ref="L248">IFERROR(J248*INDEX('PORTIFÓLIO'!$S$4:$S$433,MATCH($C248,'PORTIFÓLIO'!$C$4:$C$433,0)),"")</f>
        <v/>
      </c>
      <c r="M248" s="220"/>
      <c r="N248" s="220"/>
      <c r="O248" s="220"/>
      <c r="P248" s="220"/>
      <c r="Q248" s="220"/>
      <c r="R248" s="220"/>
      <c r="S248" s="220"/>
      <c r="T248" s="220"/>
      <c r="U248" s="220"/>
      <c r="V248" s="220"/>
      <c r="W248" s="220"/>
    </row>
    <row r="249" ht="15.75" customHeight="1" outlineLevel="1">
      <c r="A249" s="211"/>
      <c r="B249" s="212"/>
      <c r="C249" s="213"/>
      <c r="D249" s="214" t="str">
        <f>IFERROR(VLOOKUP($C249,'PORTIFÓLIO'!C:V,2,0),"")</f>
        <v/>
      </c>
      <c r="E249" s="211" t="str">
        <f>IFERROR(VLOOKUP($C249,'PORTIFÓLIO'!C:V,3,0),"")</f>
        <v/>
      </c>
      <c r="F249" s="211" t="str">
        <f>IFERROR(VLOOKUP($C249,'PORTIFÓLIO'!C:V,4,0),"")</f>
        <v/>
      </c>
      <c r="G249" s="215" t="str">
        <f>IFERROR(VLOOKUP($C249,'PORTIFÓLIO'!C:V,5,0),"")</f>
        <v/>
      </c>
      <c r="H249" s="254" t="str">
        <f t="array" ref="H249">IFERROR(INDEX('PORTIFÓLIO'!$H$4:$H$433,MATCH($C249,'PORTIFÓLIO'!$C$4:$C$433,0)),"")</f>
        <v/>
      </c>
      <c r="I249" s="255"/>
      <c r="J249" s="218">
        <f t="shared" si="27"/>
        <v>0</v>
      </c>
      <c r="K249" s="219" t="str">
        <f t="array" ref="K249">IFERROR(I249*INDEX('PORTIFÓLIO'!$S$4:$S$433,MATCH($C249,'PORTIFÓLIO'!$C$4:$C$433,0)),"")</f>
        <v/>
      </c>
      <c r="L249" s="219" t="str">
        <f t="array" ref="L249">IFERROR(J249*INDEX('PORTIFÓLIO'!$S$4:$S$433,MATCH($C249,'PORTIFÓLIO'!$C$4:$C$433,0)),"")</f>
        <v/>
      </c>
      <c r="M249" s="220"/>
      <c r="N249" s="220"/>
      <c r="O249" s="220"/>
      <c r="P249" s="220"/>
      <c r="Q249" s="220"/>
      <c r="R249" s="220"/>
      <c r="S249" s="220"/>
      <c r="T249" s="220"/>
      <c r="U249" s="220"/>
      <c r="V249" s="220"/>
      <c r="W249" s="220"/>
    </row>
    <row r="250" ht="15.75" customHeight="1" outlineLevel="1">
      <c r="A250" s="211"/>
      <c r="B250" s="212"/>
      <c r="C250" s="213"/>
      <c r="D250" s="214" t="str">
        <f>IFERROR(VLOOKUP($C250,'PORTIFÓLIO'!C:V,2,0),"")</f>
        <v/>
      </c>
      <c r="E250" s="211" t="str">
        <f>IFERROR(VLOOKUP($C250,'PORTIFÓLIO'!C:V,3,0),"")</f>
        <v/>
      </c>
      <c r="F250" s="211" t="str">
        <f>IFERROR(VLOOKUP($C250,'PORTIFÓLIO'!C:V,4,0),"")</f>
        <v/>
      </c>
      <c r="G250" s="215" t="str">
        <f>IFERROR(VLOOKUP($C250,'PORTIFÓLIO'!C:V,5,0),"")</f>
        <v/>
      </c>
      <c r="H250" s="254" t="str">
        <f t="array" ref="H250">IFERROR(INDEX('PORTIFÓLIO'!$H$4:$H$433,MATCH($C250,'PORTIFÓLIO'!$C$4:$C$433,0)),"")</f>
        <v/>
      </c>
      <c r="I250" s="255"/>
      <c r="J250" s="218">
        <f t="shared" si="27"/>
        <v>0</v>
      </c>
      <c r="K250" s="219" t="str">
        <f t="array" ref="K250">IFERROR(I250*INDEX('PORTIFÓLIO'!$S$4:$S$433,MATCH($C250,'PORTIFÓLIO'!$C$4:$C$433,0)),"")</f>
        <v/>
      </c>
      <c r="L250" s="219" t="str">
        <f t="array" ref="L250">IFERROR(J250*INDEX('PORTIFÓLIO'!$S$4:$S$433,MATCH($C250,'PORTIFÓLIO'!$C$4:$C$433,0)),"")</f>
        <v/>
      </c>
      <c r="M250" s="220"/>
      <c r="N250" s="220"/>
      <c r="O250" s="220"/>
      <c r="P250" s="220"/>
      <c r="Q250" s="220"/>
      <c r="R250" s="220"/>
      <c r="S250" s="220"/>
      <c r="T250" s="220"/>
      <c r="U250" s="220"/>
      <c r="V250" s="220"/>
      <c r="W250" s="220"/>
    </row>
    <row r="251" ht="15.75" customHeight="1" outlineLevel="1">
      <c r="A251" s="211"/>
      <c r="B251" s="212"/>
      <c r="C251" s="213"/>
      <c r="D251" s="214" t="str">
        <f>IFERROR(VLOOKUP($C251,'PORTIFÓLIO'!C:V,2,0),"")</f>
        <v/>
      </c>
      <c r="E251" s="211" t="str">
        <f>IFERROR(VLOOKUP($C251,'PORTIFÓLIO'!C:V,3,0),"")</f>
        <v/>
      </c>
      <c r="F251" s="211" t="str">
        <f>IFERROR(VLOOKUP($C251,'PORTIFÓLIO'!C:V,4,0),"")</f>
        <v/>
      </c>
      <c r="G251" s="215" t="str">
        <f>IFERROR(VLOOKUP($C251,'PORTIFÓLIO'!C:V,5,0),"")</f>
        <v/>
      </c>
      <c r="H251" s="254" t="str">
        <f t="array" ref="H251">IFERROR(INDEX('PORTIFÓLIO'!$H$4:$H$433,MATCH($C251,'PORTIFÓLIO'!$C$4:$C$433,0)),"")</f>
        <v/>
      </c>
      <c r="I251" s="255"/>
      <c r="J251" s="218">
        <f t="shared" si="27"/>
        <v>0</v>
      </c>
      <c r="K251" s="219" t="str">
        <f t="array" ref="K251">IFERROR(I251*INDEX('PORTIFÓLIO'!$S$4:$S$433,MATCH($C251,'PORTIFÓLIO'!$C$4:$C$433,0)),"")</f>
        <v/>
      </c>
      <c r="L251" s="219" t="str">
        <f t="array" ref="L251">IFERROR(J251*INDEX('PORTIFÓLIO'!$S$4:$S$433,MATCH($C251,'PORTIFÓLIO'!$C$4:$C$433,0)),"")</f>
        <v/>
      </c>
      <c r="M251" s="220"/>
      <c r="N251" s="220"/>
      <c r="O251" s="220"/>
      <c r="P251" s="220"/>
      <c r="Q251" s="220"/>
      <c r="R251" s="220"/>
      <c r="S251" s="220"/>
      <c r="T251" s="220"/>
      <c r="U251" s="220"/>
      <c r="V251" s="220"/>
      <c r="W251" s="220"/>
    </row>
    <row r="252" ht="15.75" customHeight="1">
      <c r="A252" s="229" t="s">
        <v>1184</v>
      </c>
      <c r="B252" s="230"/>
      <c r="C252" s="231"/>
      <c r="D252" s="232"/>
      <c r="E252" s="231"/>
      <c r="F252" s="231"/>
      <c r="G252" s="233"/>
      <c r="H252" s="233"/>
      <c r="I252" s="258"/>
      <c r="J252" s="236"/>
      <c r="K252" s="237">
        <f t="shared" ref="K252:L252" si="28">SUBTOTAL(9,K253:K266)</f>
        <v>0</v>
      </c>
      <c r="L252" s="237">
        <f t="shared" si="28"/>
        <v>0</v>
      </c>
      <c r="M252" s="220"/>
      <c r="N252" s="220"/>
      <c r="O252" s="220"/>
      <c r="P252" s="220"/>
      <c r="Q252" s="220"/>
      <c r="R252" s="220"/>
      <c r="S252" s="220"/>
      <c r="T252" s="220"/>
      <c r="U252" s="220"/>
      <c r="V252" s="220"/>
      <c r="W252" s="220"/>
    </row>
    <row r="253" ht="15.75" customHeight="1" outlineLevel="1">
      <c r="A253" s="213"/>
      <c r="B253" s="212"/>
      <c r="C253" s="213"/>
      <c r="D253" s="214" t="str">
        <f>IFERROR(VLOOKUP($C253,'PORTIFÓLIO'!C:V,2,0),"")</f>
        <v/>
      </c>
      <c r="E253" s="211" t="str">
        <f>IFERROR(VLOOKUP($C253,'PORTIFÓLIO'!C:V,3,0),"")</f>
        <v/>
      </c>
      <c r="F253" s="211" t="str">
        <f>IFERROR(VLOOKUP($C253,'PORTIFÓLIO'!C:V,4,0),"")</f>
        <v/>
      </c>
      <c r="G253" s="215" t="str">
        <f>IFERROR(VLOOKUP($C253,'PORTIFÓLIO'!C:V,5,0),"")</f>
        <v/>
      </c>
      <c r="H253" s="254" t="str">
        <f t="array" ref="H253">IFERROR(INDEX('PORTIFÓLIO'!$H$4:$H$433,MATCH($C253,'PORTIFÓLIO'!$C$4:$C$433,0)),"")</f>
        <v/>
      </c>
      <c r="I253" s="255"/>
      <c r="J253" s="218">
        <f t="shared" ref="J253:J270" si="29">I253*$B$2</f>
        <v>0</v>
      </c>
      <c r="K253" s="292" t="str">
        <f t="array" ref="K253">IFERROR(I253*INDEX('PORTIFÓLIO'!$S$4:$S$433,MATCH($C253,'PORTIFÓLIO'!$C$4:$C$433,0)),"")</f>
        <v/>
      </c>
      <c r="L253" s="292" t="str">
        <f t="array" ref="L253">IFERROR(J253*INDEX('PORTIFÓLIO'!$S$4:$S$433,MATCH($C253,'PORTIFÓLIO'!$C$4:$C$433,0)),"")</f>
        <v/>
      </c>
      <c r="M253" s="220"/>
      <c r="N253" s="220"/>
      <c r="O253" s="220"/>
      <c r="P253" s="220"/>
      <c r="Q253" s="220"/>
      <c r="R253" s="220"/>
      <c r="S253" s="220"/>
      <c r="T253" s="220"/>
      <c r="U253" s="220"/>
      <c r="V253" s="220"/>
      <c r="W253" s="220"/>
    </row>
    <row r="254" ht="15.75" customHeight="1" outlineLevel="1">
      <c r="A254" s="211"/>
      <c r="B254" s="212"/>
      <c r="C254" s="213"/>
      <c r="D254" s="214" t="str">
        <f>IFERROR(VLOOKUP($C254,'PORTIFÓLIO'!C:V,2,0),"")</f>
        <v/>
      </c>
      <c r="E254" s="211" t="str">
        <f>IFERROR(VLOOKUP($C254,'PORTIFÓLIO'!C:V,3,0),"")</f>
        <v/>
      </c>
      <c r="F254" s="211" t="str">
        <f>IFERROR(VLOOKUP($C254,'PORTIFÓLIO'!C:V,4,0),"")</f>
        <v/>
      </c>
      <c r="G254" s="215" t="str">
        <f>IFERROR(VLOOKUP($C254,'PORTIFÓLIO'!C:V,5,0),"")</f>
        <v/>
      </c>
      <c r="H254" s="254" t="str">
        <f t="array" ref="H254">IFERROR(INDEX('PORTIFÓLIO'!$H$4:$H$433,MATCH($C254,'PORTIFÓLIO'!$C$4:$C$433,0)),"")</f>
        <v/>
      </c>
      <c r="I254" s="255"/>
      <c r="J254" s="218">
        <f t="shared" si="29"/>
        <v>0</v>
      </c>
      <c r="K254" s="292" t="str">
        <f t="array" ref="K254">IFERROR(I254*INDEX('PORTIFÓLIO'!$S$4:$S$433,MATCH($C254,'PORTIFÓLIO'!$C$4:$C$433,0)),"")</f>
        <v/>
      </c>
      <c r="L254" s="292" t="str">
        <f t="array" ref="L254">IFERROR(J254*INDEX('PORTIFÓLIO'!$S$4:$S$433,MATCH($C254,'PORTIFÓLIO'!$C$4:$C$433,0)),"")</f>
        <v/>
      </c>
      <c r="M254" s="220"/>
      <c r="N254" s="220"/>
      <c r="O254" s="220"/>
      <c r="P254" s="220"/>
      <c r="Q254" s="220"/>
      <c r="R254" s="220"/>
      <c r="S254" s="220"/>
      <c r="T254" s="220"/>
      <c r="U254" s="220"/>
      <c r="V254" s="220"/>
      <c r="W254" s="220"/>
    </row>
    <row r="255" ht="15.75" customHeight="1" outlineLevel="1">
      <c r="A255" s="211"/>
      <c r="B255" s="212"/>
      <c r="C255" s="213"/>
      <c r="D255" s="214" t="str">
        <f>IFERROR(VLOOKUP($C255,'PORTIFÓLIO'!C:V,2,0),"")</f>
        <v/>
      </c>
      <c r="E255" s="211" t="str">
        <f>IFERROR(VLOOKUP($C255,'PORTIFÓLIO'!C:V,3,0),"")</f>
        <v/>
      </c>
      <c r="F255" s="211" t="str">
        <f>IFERROR(VLOOKUP($C255,'PORTIFÓLIO'!C:V,4,0),"")</f>
        <v/>
      </c>
      <c r="G255" s="215" t="str">
        <f>IFERROR(VLOOKUP($C255,'PORTIFÓLIO'!C:V,5,0),"")</f>
        <v/>
      </c>
      <c r="H255" s="254" t="str">
        <f t="array" ref="H255">IFERROR(INDEX('PORTIFÓLIO'!$H$4:$H$433,MATCH($C255,'PORTIFÓLIO'!$C$4:$C$433,0)),"")</f>
        <v/>
      </c>
      <c r="I255" s="256"/>
      <c r="J255" s="218">
        <f t="shared" si="29"/>
        <v>0</v>
      </c>
      <c r="K255" s="292" t="str">
        <f t="array" ref="K255">IFERROR(I255*INDEX('PORTIFÓLIO'!$S$4:$S$433,MATCH($C255,'PORTIFÓLIO'!$C$4:$C$433,0)),"")</f>
        <v/>
      </c>
      <c r="L255" s="292" t="str">
        <f t="array" ref="L255">IFERROR(J255*INDEX('PORTIFÓLIO'!$S$4:$S$433,MATCH($C255,'PORTIFÓLIO'!$C$4:$C$433,0)),"")</f>
        <v/>
      </c>
      <c r="M255" s="220"/>
      <c r="N255" s="220"/>
      <c r="O255" s="220"/>
      <c r="P255" s="220"/>
      <c r="Q255" s="220"/>
      <c r="R255" s="220"/>
      <c r="S255" s="220"/>
      <c r="T255" s="220"/>
      <c r="U255" s="220"/>
      <c r="V255" s="220"/>
      <c r="W255" s="220"/>
    </row>
    <row r="256" ht="15.75" customHeight="1" outlineLevel="1">
      <c r="A256" s="211"/>
      <c r="B256" s="212"/>
      <c r="C256" s="213"/>
      <c r="D256" s="214" t="str">
        <f>IFERROR(VLOOKUP($C256,'PORTIFÓLIO'!C:V,2,0),"")</f>
        <v/>
      </c>
      <c r="E256" s="211" t="str">
        <f>IFERROR(VLOOKUP($C256,'PORTIFÓLIO'!C:V,3,0),"")</f>
        <v/>
      </c>
      <c r="F256" s="211" t="str">
        <f>IFERROR(VLOOKUP($C256,'PORTIFÓLIO'!C:V,4,0),"")</f>
        <v/>
      </c>
      <c r="G256" s="215" t="str">
        <f>IFERROR(VLOOKUP($C256,'PORTIFÓLIO'!C:V,5,0),"")</f>
        <v/>
      </c>
      <c r="H256" s="254" t="str">
        <f t="array" ref="H256">IFERROR(INDEX('PORTIFÓLIO'!$H$4:$H$433,MATCH($C256,'PORTIFÓLIO'!$C$4:$C$433,0)),"")</f>
        <v/>
      </c>
      <c r="I256" s="255"/>
      <c r="J256" s="218">
        <f t="shared" si="29"/>
        <v>0</v>
      </c>
      <c r="K256" s="292" t="str">
        <f t="array" ref="K256">IFERROR(I256*INDEX('PORTIFÓLIO'!$S$4:$S$433,MATCH($C256,'PORTIFÓLIO'!$C$4:$C$433,0)),"")</f>
        <v/>
      </c>
      <c r="L256" s="292" t="str">
        <f t="array" ref="L256">IFERROR(J256*INDEX('PORTIFÓLIO'!$S$4:$S$433,MATCH($C256,'PORTIFÓLIO'!$C$4:$C$433,0)),"")</f>
        <v/>
      </c>
      <c r="M256" s="220"/>
      <c r="N256" s="220"/>
      <c r="O256" s="220"/>
      <c r="P256" s="220"/>
      <c r="Q256" s="220"/>
      <c r="R256" s="220"/>
      <c r="S256" s="220"/>
      <c r="T256" s="220"/>
      <c r="U256" s="220"/>
      <c r="V256" s="220"/>
      <c r="W256" s="220"/>
    </row>
    <row r="257" ht="15.75" customHeight="1" outlineLevel="1">
      <c r="A257" s="211"/>
      <c r="B257" s="212"/>
      <c r="C257" s="213"/>
      <c r="D257" s="214" t="str">
        <f>IFERROR(VLOOKUP($C257,'PORTIFÓLIO'!C:V,2,0),"")</f>
        <v/>
      </c>
      <c r="E257" s="211" t="str">
        <f>IFERROR(VLOOKUP($C257,'PORTIFÓLIO'!C:V,3,0),"")</f>
        <v/>
      </c>
      <c r="F257" s="211" t="str">
        <f>IFERROR(VLOOKUP($C257,'PORTIFÓLIO'!C:V,4,0),"")</f>
        <v/>
      </c>
      <c r="G257" s="215" t="str">
        <f>IFERROR(VLOOKUP($C257,'PORTIFÓLIO'!C:V,5,0),"")</f>
        <v/>
      </c>
      <c r="H257" s="254" t="str">
        <f t="array" ref="H257">IFERROR(INDEX('PORTIFÓLIO'!$H$4:$H$433,MATCH($C257,'PORTIFÓLIO'!$C$4:$C$433,0)),"")</f>
        <v/>
      </c>
      <c r="I257" s="256"/>
      <c r="J257" s="218">
        <f t="shared" si="29"/>
        <v>0</v>
      </c>
      <c r="K257" s="292" t="str">
        <f t="array" ref="K257">IFERROR(I257*INDEX('PORTIFÓLIO'!$S$4:$S$433,MATCH($C257,'PORTIFÓLIO'!$C$4:$C$433,0)),"")</f>
        <v/>
      </c>
      <c r="L257" s="292" t="str">
        <f t="array" ref="L257">IFERROR(J257*INDEX('PORTIFÓLIO'!$S$4:$S$433,MATCH($C257,'PORTIFÓLIO'!$C$4:$C$433,0)),"")</f>
        <v/>
      </c>
      <c r="M257" s="220"/>
      <c r="N257" s="220"/>
      <c r="O257" s="220"/>
      <c r="P257" s="220"/>
      <c r="Q257" s="220"/>
      <c r="R257" s="220"/>
      <c r="S257" s="220"/>
      <c r="T257" s="220"/>
      <c r="U257" s="220"/>
      <c r="V257" s="220"/>
      <c r="W257" s="220"/>
    </row>
    <row r="258" ht="15.75" customHeight="1" outlineLevel="1">
      <c r="A258" s="211"/>
      <c r="B258" s="212"/>
      <c r="C258" s="213"/>
      <c r="D258" s="214" t="str">
        <f>IFERROR(VLOOKUP($C258,'PORTIFÓLIO'!C:V,2,0),"")</f>
        <v/>
      </c>
      <c r="E258" s="211" t="str">
        <f>IFERROR(VLOOKUP($C258,'PORTIFÓLIO'!C:V,3,0),"")</f>
        <v/>
      </c>
      <c r="F258" s="211" t="str">
        <f>IFERROR(VLOOKUP($C258,'PORTIFÓLIO'!C:V,4,0),"")</f>
        <v/>
      </c>
      <c r="G258" s="215" t="str">
        <f>IFERROR(VLOOKUP($C258,'PORTIFÓLIO'!C:V,5,0),"")</f>
        <v/>
      </c>
      <c r="H258" s="254" t="str">
        <f t="array" ref="H258">IFERROR(INDEX('PORTIFÓLIO'!$H$4:$H$433,MATCH($C258,'PORTIFÓLIO'!$C$4:$C$433,0)),"")</f>
        <v/>
      </c>
      <c r="I258" s="256"/>
      <c r="J258" s="218">
        <f t="shared" si="29"/>
        <v>0</v>
      </c>
      <c r="K258" s="292" t="str">
        <f t="array" ref="K258">IFERROR(I258*INDEX('PORTIFÓLIO'!$S$4:$S$433,MATCH($C258,'PORTIFÓLIO'!$C$4:$C$433,0)),"")</f>
        <v/>
      </c>
      <c r="L258" s="292" t="str">
        <f t="array" ref="L258">IFERROR(J258*INDEX('PORTIFÓLIO'!$S$4:$S$433,MATCH($C258,'PORTIFÓLIO'!$C$4:$C$433,0)),"")</f>
        <v/>
      </c>
      <c r="M258" s="220"/>
      <c r="N258" s="220"/>
      <c r="O258" s="220"/>
      <c r="P258" s="220"/>
      <c r="Q258" s="220"/>
      <c r="R258" s="220"/>
      <c r="S258" s="220"/>
      <c r="T258" s="220"/>
      <c r="U258" s="220"/>
      <c r="V258" s="220"/>
      <c r="W258" s="220"/>
    </row>
    <row r="259" ht="15.75" customHeight="1" outlineLevel="1">
      <c r="A259" s="211"/>
      <c r="B259" s="212"/>
      <c r="C259" s="213"/>
      <c r="D259" s="214" t="str">
        <f>IFERROR(VLOOKUP($C259,'PORTIFÓLIO'!C:V,2,0),"")</f>
        <v/>
      </c>
      <c r="E259" s="211" t="str">
        <f>IFERROR(VLOOKUP($C259,'PORTIFÓLIO'!C:V,3,0),"")</f>
        <v/>
      </c>
      <c r="F259" s="211" t="str">
        <f>IFERROR(VLOOKUP($C259,'PORTIFÓLIO'!C:V,4,0),"")</f>
        <v/>
      </c>
      <c r="G259" s="215" t="str">
        <f>IFERROR(VLOOKUP($C259,'PORTIFÓLIO'!C:V,5,0),"")</f>
        <v/>
      </c>
      <c r="H259" s="254" t="str">
        <f t="array" ref="H259">IFERROR(INDEX('PORTIFÓLIO'!$H$4:$H$433,MATCH($C259,'PORTIFÓLIO'!$C$4:$C$433,0)),"")</f>
        <v/>
      </c>
      <c r="I259" s="256"/>
      <c r="J259" s="218">
        <f t="shared" si="29"/>
        <v>0</v>
      </c>
      <c r="K259" s="292" t="str">
        <f t="array" ref="K259">IFERROR(I259*INDEX('PORTIFÓLIO'!$S$4:$S$433,MATCH($C259,'PORTIFÓLIO'!$C$4:$C$433,0)),"")</f>
        <v/>
      </c>
      <c r="L259" s="292" t="str">
        <f t="array" ref="L259">IFERROR(J259*INDEX('PORTIFÓLIO'!$S$4:$S$433,MATCH($C259,'PORTIFÓLIO'!$C$4:$C$433,0)),"")</f>
        <v/>
      </c>
      <c r="M259" s="220"/>
      <c r="N259" s="220"/>
      <c r="O259" s="220"/>
      <c r="P259" s="220"/>
      <c r="Q259" s="220"/>
      <c r="R259" s="220"/>
      <c r="S259" s="220"/>
      <c r="T259" s="220"/>
      <c r="U259" s="220"/>
      <c r="V259" s="220"/>
      <c r="W259" s="220"/>
    </row>
    <row r="260" ht="15.75" customHeight="1" outlineLevel="1">
      <c r="A260" s="211"/>
      <c r="B260" s="212"/>
      <c r="C260" s="213"/>
      <c r="D260" s="214" t="str">
        <f>IFERROR(VLOOKUP($C260,'PORTIFÓLIO'!C:V,2,0),"")</f>
        <v/>
      </c>
      <c r="E260" s="211" t="str">
        <f>IFERROR(VLOOKUP($C260,'PORTIFÓLIO'!C:V,3,0),"")</f>
        <v/>
      </c>
      <c r="F260" s="211" t="str">
        <f>IFERROR(VLOOKUP($C260,'PORTIFÓLIO'!C:V,4,0),"")</f>
        <v/>
      </c>
      <c r="G260" s="215" t="str">
        <f>IFERROR(VLOOKUP($C260,'PORTIFÓLIO'!C:V,5,0),"")</f>
        <v/>
      </c>
      <c r="H260" s="254" t="str">
        <f t="array" ref="H260">IFERROR(INDEX('PORTIFÓLIO'!$H$4:$H$433,MATCH($C260,'PORTIFÓLIO'!$C$4:$C$433,0)),"")</f>
        <v/>
      </c>
      <c r="I260" s="256"/>
      <c r="J260" s="218">
        <f t="shared" si="29"/>
        <v>0</v>
      </c>
      <c r="K260" s="292" t="str">
        <f t="array" ref="K260">IFERROR(I260*INDEX('PORTIFÓLIO'!$S$4:$S$433,MATCH($C260,'PORTIFÓLIO'!$C$4:$C$433,0)),"")</f>
        <v/>
      </c>
      <c r="L260" s="292" t="str">
        <f t="array" ref="L260">IFERROR(J260*INDEX('PORTIFÓLIO'!$S$4:$S$433,MATCH($C260,'PORTIFÓLIO'!$C$4:$C$433,0)),"")</f>
        <v/>
      </c>
      <c r="M260" s="220"/>
      <c r="N260" s="220"/>
      <c r="O260" s="220"/>
      <c r="P260" s="220"/>
      <c r="Q260" s="220"/>
      <c r="R260" s="220"/>
      <c r="S260" s="220"/>
      <c r="T260" s="220"/>
      <c r="U260" s="220"/>
      <c r="V260" s="220"/>
      <c r="W260" s="220"/>
    </row>
    <row r="261" ht="15.75" customHeight="1" outlineLevel="1">
      <c r="A261" s="211"/>
      <c r="B261" s="212"/>
      <c r="C261" s="213"/>
      <c r="D261" s="214" t="str">
        <f>IFERROR(VLOOKUP($C261,'PORTIFÓLIO'!C:V,2,0),"")</f>
        <v/>
      </c>
      <c r="E261" s="211" t="str">
        <f>IFERROR(VLOOKUP($C261,'PORTIFÓLIO'!C:V,3,0),"")</f>
        <v/>
      </c>
      <c r="F261" s="211" t="str">
        <f>IFERROR(VLOOKUP($C261,'PORTIFÓLIO'!C:V,4,0),"")</f>
        <v/>
      </c>
      <c r="G261" s="215" t="str">
        <f>IFERROR(VLOOKUP($C261,'PORTIFÓLIO'!C:V,5,0),"")</f>
        <v/>
      </c>
      <c r="H261" s="254" t="str">
        <f t="array" ref="H261">IFERROR(INDEX('PORTIFÓLIO'!$H$4:$H$433,MATCH($C261,'PORTIFÓLIO'!$C$4:$C$433,0)),"")</f>
        <v/>
      </c>
      <c r="I261" s="255"/>
      <c r="J261" s="218">
        <f t="shared" si="29"/>
        <v>0</v>
      </c>
      <c r="K261" s="292" t="str">
        <f t="array" ref="K261">IFERROR(I261*INDEX('PORTIFÓLIO'!$S$4:$S$433,MATCH($C261,'PORTIFÓLIO'!$C$4:$C$433,0)),"")</f>
        <v/>
      </c>
      <c r="L261" s="292" t="str">
        <f t="array" ref="L261">IFERROR(J261*INDEX('PORTIFÓLIO'!$S$4:$S$433,MATCH($C261,'PORTIFÓLIO'!$C$4:$C$433,0)),"")</f>
        <v/>
      </c>
      <c r="M261" s="220"/>
      <c r="N261" s="220"/>
      <c r="O261" s="220"/>
      <c r="P261" s="220"/>
      <c r="Q261" s="220"/>
      <c r="R261" s="220"/>
      <c r="S261" s="220"/>
      <c r="T261" s="220"/>
      <c r="U261" s="220"/>
      <c r="V261" s="220"/>
      <c r="W261" s="220"/>
    </row>
    <row r="262" ht="15.75" customHeight="1" outlineLevel="1">
      <c r="A262" s="211"/>
      <c r="B262" s="212"/>
      <c r="C262" s="213"/>
      <c r="D262" s="214" t="str">
        <f>IFERROR(VLOOKUP($C262,'PORTIFÓLIO'!C:V,2,0),"")</f>
        <v/>
      </c>
      <c r="E262" s="211" t="str">
        <f>IFERROR(VLOOKUP($C262,'PORTIFÓLIO'!C:V,3,0),"")</f>
        <v/>
      </c>
      <c r="F262" s="211" t="str">
        <f>IFERROR(VLOOKUP($C262,'PORTIFÓLIO'!C:V,4,0),"")</f>
        <v/>
      </c>
      <c r="G262" s="215" t="str">
        <f>IFERROR(VLOOKUP($C262,'PORTIFÓLIO'!C:V,5,0),"")</f>
        <v/>
      </c>
      <c r="H262" s="254" t="str">
        <f t="array" ref="H262">IFERROR(INDEX('PORTIFÓLIO'!$H$4:$H$433,MATCH($C262,'PORTIFÓLIO'!$C$4:$C$433,0)),"")</f>
        <v/>
      </c>
      <c r="I262" s="256"/>
      <c r="J262" s="218">
        <f t="shared" si="29"/>
        <v>0</v>
      </c>
      <c r="K262" s="292" t="str">
        <f t="array" ref="K262">IFERROR(I262*INDEX('PORTIFÓLIO'!$S$4:$S$433,MATCH($C262,'PORTIFÓLIO'!$C$4:$C$433,0)),"")</f>
        <v/>
      </c>
      <c r="L262" s="292" t="str">
        <f t="array" ref="L262">IFERROR(J262*INDEX('PORTIFÓLIO'!$S$4:$S$433,MATCH($C262,'PORTIFÓLIO'!$C$4:$C$433,0)),"")</f>
        <v/>
      </c>
      <c r="M262" s="220"/>
      <c r="N262" s="220"/>
      <c r="O262" s="220"/>
      <c r="P262" s="220"/>
      <c r="Q262" s="220"/>
      <c r="R262" s="220"/>
      <c r="S262" s="220"/>
      <c r="T262" s="220"/>
      <c r="U262" s="220"/>
      <c r="V262" s="220"/>
      <c r="W262" s="220"/>
    </row>
    <row r="263" ht="15.75" customHeight="1" outlineLevel="1">
      <c r="A263" s="211"/>
      <c r="B263" s="212"/>
      <c r="C263" s="213"/>
      <c r="D263" s="214" t="str">
        <f>IFERROR(VLOOKUP($C263,'PORTIFÓLIO'!C:V,2,0),"")</f>
        <v/>
      </c>
      <c r="E263" s="211" t="str">
        <f>IFERROR(VLOOKUP($C263,'PORTIFÓLIO'!C:V,3,0),"")</f>
        <v/>
      </c>
      <c r="F263" s="211" t="str">
        <f>IFERROR(VLOOKUP($C263,'PORTIFÓLIO'!C:V,4,0),"")</f>
        <v/>
      </c>
      <c r="G263" s="215" t="str">
        <f>IFERROR(VLOOKUP($C263,'PORTIFÓLIO'!C:V,5,0),"")</f>
        <v/>
      </c>
      <c r="H263" s="254" t="str">
        <f t="array" ref="H263">IFERROR(INDEX('PORTIFÓLIO'!$H$4:$H$433,MATCH($C263,'PORTIFÓLIO'!$C$4:$C$433,0)),"")</f>
        <v/>
      </c>
      <c r="I263" s="256"/>
      <c r="J263" s="218">
        <f t="shared" si="29"/>
        <v>0</v>
      </c>
      <c r="K263" s="292" t="str">
        <f t="array" ref="K263">IFERROR(I263*INDEX('PORTIFÓLIO'!$S$4:$S$433,MATCH($C263,'PORTIFÓLIO'!$C$4:$C$433,0)),"")</f>
        <v/>
      </c>
      <c r="L263" s="292" t="str">
        <f t="array" ref="L263">IFERROR(J263*INDEX('PORTIFÓLIO'!$S$4:$S$433,MATCH($C263,'PORTIFÓLIO'!$C$4:$C$433,0)),"")</f>
        <v/>
      </c>
      <c r="M263" s="220"/>
      <c r="N263" s="220"/>
      <c r="O263" s="220"/>
      <c r="P263" s="220"/>
      <c r="Q263" s="220"/>
      <c r="R263" s="220"/>
      <c r="S263" s="220"/>
      <c r="T263" s="220"/>
      <c r="U263" s="220"/>
      <c r="V263" s="220"/>
      <c r="W263" s="220"/>
    </row>
    <row r="264" ht="15.75" customHeight="1" outlineLevel="1">
      <c r="A264" s="211"/>
      <c r="B264" s="212"/>
      <c r="C264" s="213"/>
      <c r="D264" s="214" t="str">
        <f>IFERROR(VLOOKUP($C264,'PORTIFÓLIO'!C:V,2,0),"")</f>
        <v/>
      </c>
      <c r="E264" s="211" t="str">
        <f>IFERROR(VLOOKUP($C264,'PORTIFÓLIO'!C:V,3,0),"")</f>
        <v/>
      </c>
      <c r="F264" s="211" t="str">
        <f>IFERROR(VLOOKUP($C264,'PORTIFÓLIO'!C:V,4,0),"")</f>
        <v/>
      </c>
      <c r="G264" s="215" t="str">
        <f>IFERROR(VLOOKUP($C264,'PORTIFÓLIO'!C:V,5,0),"")</f>
        <v/>
      </c>
      <c r="H264" s="254" t="str">
        <f t="array" ref="H264">IFERROR(INDEX('PORTIFÓLIO'!$H$4:$H$433,MATCH($C264,'PORTIFÓLIO'!$C$4:$C$433,0)),"")</f>
        <v/>
      </c>
      <c r="I264" s="256"/>
      <c r="J264" s="218">
        <f t="shared" si="29"/>
        <v>0</v>
      </c>
      <c r="K264" s="292" t="str">
        <f t="array" ref="K264">IFERROR(I264*INDEX('PORTIFÓLIO'!$S$4:$S$433,MATCH($C264,'PORTIFÓLIO'!$C$4:$C$433,0)),"")</f>
        <v/>
      </c>
      <c r="L264" s="292" t="str">
        <f t="array" ref="L264">IFERROR(J264*INDEX('PORTIFÓLIO'!$S$4:$S$433,MATCH($C264,'PORTIFÓLIO'!$C$4:$C$433,0)),"")</f>
        <v/>
      </c>
      <c r="M264" s="220"/>
      <c r="N264" s="220"/>
      <c r="O264" s="220"/>
      <c r="P264" s="220"/>
      <c r="Q264" s="220"/>
      <c r="R264" s="220"/>
      <c r="S264" s="220"/>
      <c r="T264" s="220"/>
      <c r="U264" s="220"/>
      <c r="V264" s="220"/>
      <c r="W264" s="220"/>
    </row>
    <row r="265" ht="15.75" customHeight="1" outlineLevel="1">
      <c r="A265" s="211"/>
      <c r="B265" s="212"/>
      <c r="C265" s="213"/>
      <c r="D265" s="214" t="str">
        <f>IFERROR(VLOOKUP($C265,'PORTIFÓLIO'!C:V,2,0),"")</f>
        <v/>
      </c>
      <c r="E265" s="211" t="str">
        <f>IFERROR(VLOOKUP($C265,'PORTIFÓLIO'!C:V,3,0),"")</f>
        <v/>
      </c>
      <c r="F265" s="211" t="str">
        <f>IFERROR(VLOOKUP($C265,'PORTIFÓLIO'!C:V,4,0),"")</f>
        <v/>
      </c>
      <c r="G265" s="215" t="str">
        <f>IFERROR(VLOOKUP($C265,'PORTIFÓLIO'!C:V,5,0),"")</f>
        <v/>
      </c>
      <c r="H265" s="254" t="str">
        <f t="array" ref="H265">IFERROR(INDEX('PORTIFÓLIO'!$H$4:$H$433,MATCH($C265,'PORTIFÓLIO'!$C$4:$C$433,0)),"")</f>
        <v/>
      </c>
      <c r="I265" s="256"/>
      <c r="J265" s="218">
        <f t="shared" si="29"/>
        <v>0</v>
      </c>
      <c r="K265" s="292" t="str">
        <f t="array" ref="K265">IFERROR(I265*INDEX('PORTIFÓLIO'!$S$4:$S$433,MATCH($C265,'PORTIFÓLIO'!$C$4:$C$433,0)),"")</f>
        <v/>
      </c>
      <c r="L265" s="292" t="str">
        <f t="array" ref="L265">IFERROR(J265*INDEX('PORTIFÓLIO'!$S$4:$S$433,MATCH($C265,'PORTIFÓLIO'!$C$4:$C$433,0)),"")</f>
        <v/>
      </c>
      <c r="M265" s="220"/>
      <c r="N265" s="220"/>
      <c r="O265" s="220"/>
      <c r="P265" s="220"/>
      <c r="Q265" s="220"/>
      <c r="R265" s="220"/>
      <c r="S265" s="220"/>
      <c r="T265" s="220"/>
      <c r="U265" s="220"/>
      <c r="V265" s="220"/>
      <c r="W265" s="220"/>
    </row>
    <row r="266" ht="15.75" customHeight="1" outlineLevel="1">
      <c r="A266" s="211"/>
      <c r="B266" s="212"/>
      <c r="C266" s="213"/>
      <c r="D266" s="214" t="str">
        <f>IFERROR(VLOOKUP($C266,'PORTIFÓLIO'!C:V,2,0),"")</f>
        <v/>
      </c>
      <c r="E266" s="211" t="str">
        <f>IFERROR(VLOOKUP($C266,'PORTIFÓLIO'!C:V,3,0),"")</f>
        <v/>
      </c>
      <c r="F266" s="211" t="str">
        <f>IFERROR(VLOOKUP($C266,'PORTIFÓLIO'!C:V,4,0),"")</f>
        <v/>
      </c>
      <c r="G266" s="215" t="str">
        <f>IFERROR(VLOOKUP($C266,'PORTIFÓLIO'!C:V,5,0),"")</f>
        <v/>
      </c>
      <c r="H266" s="254" t="str">
        <f t="array" ref="H266">IFERROR(INDEX('PORTIFÓLIO'!$H$4:$H$433,MATCH($C266,'PORTIFÓLIO'!$C$4:$C$433,0)),"")</f>
        <v/>
      </c>
      <c r="I266" s="256"/>
      <c r="J266" s="218">
        <f t="shared" si="29"/>
        <v>0</v>
      </c>
      <c r="K266" s="292" t="str">
        <f t="array" ref="K266">IFERROR(I266*INDEX('PORTIFÓLIO'!$S$4:$S$433,MATCH($C266,'PORTIFÓLIO'!$C$4:$C$433,0)),"")</f>
        <v/>
      </c>
      <c r="L266" s="292" t="str">
        <f t="array" ref="L266">IFERROR(J266*INDEX('PORTIFÓLIO'!$S$4:$S$433,MATCH($C266,'PORTIFÓLIO'!$C$4:$C$433,0)),"")</f>
        <v/>
      </c>
      <c r="M266" s="220"/>
      <c r="N266" s="220"/>
      <c r="O266" s="220"/>
      <c r="P266" s="220"/>
      <c r="Q266" s="220"/>
      <c r="R266" s="220"/>
      <c r="S266" s="220"/>
      <c r="T266" s="220"/>
      <c r="U266" s="220"/>
      <c r="V266" s="220"/>
      <c r="W266" s="220"/>
    </row>
    <row r="267" ht="15.75" customHeight="1" outlineLevel="1">
      <c r="A267" s="211"/>
      <c r="B267" s="212"/>
      <c r="C267" s="213"/>
      <c r="D267" s="214" t="str">
        <f>IFERROR(VLOOKUP($C267,'PORTIFÓLIO'!C:V,2,0),"")</f>
        <v/>
      </c>
      <c r="E267" s="211" t="str">
        <f>IFERROR(VLOOKUP($C267,'PORTIFÓLIO'!C:V,3,0),"")</f>
        <v/>
      </c>
      <c r="F267" s="211" t="str">
        <f>IFERROR(VLOOKUP($C267,'PORTIFÓLIO'!C:V,4,0),"")</f>
        <v/>
      </c>
      <c r="G267" s="215" t="str">
        <f>IFERROR(VLOOKUP($C267,'PORTIFÓLIO'!C:V,5,0),"")</f>
        <v/>
      </c>
      <c r="H267" s="254" t="str">
        <f t="array" ref="H267">IFERROR(INDEX('PORTIFÓLIO'!$H$4:$H$433,MATCH($C267,'PORTIFÓLIO'!$C$4:$C$433,0)),"")</f>
        <v/>
      </c>
      <c r="I267" s="256"/>
      <c r="J267" s="218">
        <f t="shared" si="29"/>
        <v>0</v>
      </c>
      <c r="K267" s="292" t="str">
        <f t="array" ref="K267">IFERROR(I267*INDEX('PORTIFÓLIO'!$S$4:$S$433,MATCH($C267,'PORTIFÓLIO'!$C$4:$C$433,0)),"")</f>
        <v/>
      </c>
      <c r="L267" s="292" t="str">
        <f t="array" ref="L267">IFERROR(J267*INDEX('PORTIFÓLIO'!$S$4:$S$433,MATCH($C267,'PORTIFÓLIO'!$C$4:$C$433,0)),"")</f>
        <v/>
      </c>
      <c r="M267" s="220"/>
      <c r="N267" s="220"/>
      <c r="O267" s="220"/>
      <c r="P267" s="220"/>
      <c r="Q267" s="220"/>
      <c r="R267" s="220"/>
      <c r="S267" s="220"/>
      <c r="T267" s="220"/>
      <c r="U267" s="220"/>
      <c r="V267" s="220"/>
      <c r="W267" s="220"/>
    </row>
    <row r="268" ht="15.75" customHeight="1" outlineLevel="1">
      <c r="A268" s="211"/>
      <c r="B268" s="212"/>
      <c r="C268" s="213"/>
      <c r="D268" s="214" t="str">
        <f>IFERROR(VLOOKUP($C268,'PORTIFÓLIO'!C:V,2,0),"")</f>
        <v/>
      </c>
      <c r="E268" s="211" t="str">
        <f>IFERROR(VLOOKUP($C268,'PORTIFÓLIO'!C:V,3,0),"")</f>
        <v/>
      </c>
      <c r="F268" s="211" t="str">
        <f>IFERROR(VLOOKUP($C268,'PORTIFÓLIO'!C:V,4,0),"")</f>
        <v/>
      </c>
      <c r="G268" s="215" t="str">
        <f>IFERROR(VLOOKUP($C268,'PORTIFÓLIO'!C:V,5,0),"")</f>
        <v/>
      </c>
      <c r="H268" s="254" t="str">
        <f t="array" ref="H268">IFERROR(INDEX('PORTIFÓLIO'!$H$4:$H$433,MATCH($C268,'PORTIFÓLIO'!$C$4:$C$433,0)),"")</f>
        <v/>
      </c>
      <c r="I268" s="256"/>
      <c r="J268" s="218">
        <f t="shared" si="29"/>
        <v>0</v>
      </c>
      <c r="K268" s="292" t="str">
        <f t="array" ref="K268">IFERROR(I268*INDEX('PORTIFÓLIO'!$S$4:$S$433,MATCH($C268,'PORTIFÓLIO'!$C$4:$C$433,0)),"")</f>
        <v/>
      </c>
      <c r="L268" s="292" t="str">
        <f t="array" ref="L268">IFERROR(J268*INDEX('PORTIFÓLIO'!$S$4:$S$433,MATCH($C268,'PORTIFÓLIO'!$C$4:$C$433,0)),"")</f>
        <v/>
      </c>
      <c r="M268" s="220"/>
      <c r="N268" s="220"/>
      <c r="O268" s="220"/>
      <c r="P268" s="220"/>
      <c r="Q268" s="220"/>
      <c r="R268" s="220"/>
      <c r="S268" s="220"/>
      <c r="T268" s="220"/>
      <c r="U268" s="220"/>
      <c r="V268" s="220"/>
      <c r="W268" s="220"/>
    </row>
    <row r="269" ht="15.75" customHeight="1" outlineLevel="1">
      <c r="A269" s="211"/>
      <c r="B269" s="212"/>
      <c r="C269" s="213"/>
      <c r="D269" s="214" t="str">
        <f>IFERROR(VLOOKUP($C269,'PORTIFÓLIO'!C:V,2,0),"")</f>
        <v/>
      </c>
      <c r="E269" s="211" t="str">
        <f>IFERROR(VLOOKUP($C269,'PORTIFÓLIO'!C:V,3,0),"")</f>
        <v/>
      </c>
      <c r="F269" s="211" t="str">
        <f>IFERROR(VLOOKUP($C269,'PORTIFÓLIO'!C:V,4,0),"")</f>
        <v/>
      </c>
      <c r="G269" s="215" t="str">
        <f>IFERROR(VLOOKUP($C269,'PORTIFÓLIO'!C:V,5,0),"")</f>
        <v/>
      </c>
      <c r="H269" s="254" t="str">
        <f t="array" ref="H269">IFERROR(INDEX('PORTIFÓLIO'!$H$4:$H$433,MATCH($C269,'PORTIFÓLIO'!$C$4:$C$433,0)),"")</f>
        <v/>
      </c>
      <c r="I269" s="256"/>
      <c r="J269" s="218">
        <f t="shared" si="29"/>
        <v>0</v>
      </c>
      <c r="K269" s="292" t="str">
        <f t="array" ref="K269">IFERROR(I269*INDEX('PORTIFÓLIO'!$S$4:$S$433,MATCH($C269,'PORTIFÓLIO'!$C$4:$C$433,0)),"")</f>
        <v/>
      </c>
      <c r="L269" s="292" t="str">
        <f t="array" ref="L269">IFERROR(J269*INDEX('PORTIFÓLIO'!$S$4:$S$433,MATCH($C269,'PORTIFÓLIO'!$C$4:$C$433,0)),"")</f>
        <v/>
      </c>
      <c r="M269" s="220"/>
      <c r="N269" s="220"/>
      <c r="O269" s="220"/>
      <c r="P269" s="220"/>
      <c r="Q269" s="220"/>
      <c r="R269" s="220"/>
      <c r="S269" s="220"/>
      <c r="T269" s="220"/>
      <c r="U269" s="220"/>
      <c r="V269" s="220"/>
      <c r="W269" s="220"/>
    </row>
    <row r="270" ht="15.75" customHeight="1" outlineLevel="1">
      <c r="A270" s="211"/>
      <c r="B270" s="212"/>
      <c r="C270" s="213"/>
      <c r="D270" s="214" t="str">
        <f>IFERROR(VLOOKUP($C270,'PORTIFÓLIO'!C:V,2,0),"")</f>
        <v/>
      </c>
      <c r="E270" s="211" t="str">
        <f>IFERROR(VLOOKUP($C270,'PORTIFÓLIO'!C:V,3,0),"")</f>
        <v/>
      </c>
      <c r="F270" s="211" t="str">
        <f>IFERROR(VLOOKUP($C270,'PORTIFÓLIO'!C:V,4,0),"")</f>
        <v/>
      </c>
      <c r="G270" s="215" t="str">
        <f>IFERROR(VLOOKUP($C270,'PORTIFÓLIO'!C:V,5,0),"")</f>
        <v/>
      </c>
      <c r="H270" s="254" t="str">
        <f t="array" ref="H270">IFERROR(INDEX('PORTIFÓLIO'!$H$4:$H$433,MATCH($C270,'PORTIFÓLIO'!$C$4:$C$433,0)),"")</f>
        <v/>
      </c>
      <c r="I270" s="256"/>
      <c r="J270" s="218">
        <f t="shared" si="29"/>
        <v>0</v>
      </c>
      <c r="K270" s="292" t="str">
        <f t="array" ref="K270">IFERROR(I270*INDEX('PORTIFÓLIO'!$S$4:$S$433,MATCH($C270,'PORTIFÓLIO'!$C$4:$C$433,0)),"")</f>
        <v/>
      </c>
      <c r="L270" s="292" t="str">
        <f t="array" ref="L270">IFERROR(J270*INDEX('PORTIFÓLIO'!$S$4:$S$433,MATCH($C270,'PORTIFÓLIO'!$C$4:$C$433,0)),"")</f>
        <v/>
      </c>
      <c r="M270" s="220"/>
      <c r="N270" s="220"/>
      <c r="O270" s="220"/>
      <c r="P270" s="220"/>
      <c r="Q270" s="220"/>
      <c r="R270" s="220"/>
      <c r="S270" s="220"/>
      <c r="T270" s="220"/>
      <c r="U270" s="220"/>
      <c r="V270" s="220"/>
      <c r="W270" s="220"/>
    </row>
    <row r="271" ht="15.75" customHeight="1">
      <c r="A271" s="229" t="s">
        <v>1185</v>
      </c>
      <c r="B271" s="230"/>
      <c r="C271" s="231"/>
      <c r="D271" s="232"/>
      <c r="E271" s="231"/>
      <c r="F271" s="231"/>
      <c r="G271" s="233"/>
      <c r="H271" s="233"/>
      <c r="I271" s="258"/>
      <c r="J271" s="236"/>
      <c r="K271" s="237">
        <f t="shared" ref="K271:L271" si="30">SUBTOTAL(9,K272:K285)</f>
        <v>0</v>
      </c>
      <c r="L271" s="237">
        <f t="shared" si="30"/>
        <v>0</v>
      </c>
      <c r="M271" s="220"/>
      <c r="N271" s="220"/>
      <c r="O271" s="220"/>
      <c r="P271" s="220"/>
      <c r="Q271" s="220"/>
      <c r="R271" s="220"/>
      <c r="S271" s="220"/>
      <c r="T271" s="220"/>
      <c r="U271" s="220"/>
      <c r="V271" s="220"/>
      <c r="W271" s="220"/>
    </row>
    <row r="272" ht="15.75" customHeight="1" outlineLevel="1">
      <c r="A272" s="213"/>
      <c r="B272" s="212"/>
      <c r="C272" s="213"/>
      <c r="D272" s="214" t="str">
        <f>IFERROR(VLOOKUP($C272,'PORTIFÓLIO'!C:V,2,0),"")</f>
        <v/>
      </c>
      <c r="E272" s="211" t="str">
        <f>IFERROR(VLOOKUP($C272,'PORTIFÓLIO'!C:V,3,0),"")</f>
        <v/>
      </c>
      <c r="F272" s="211" t="str">
        <f>IFERROR(VLOOKUP($C272,'PORTIFÓLIO'!C:V,4,0),"")</f>
        <v/>
      </c>
      <c r="G272" s="215" t="str">
        <f>IFERROR(VLOOKUP($C272,'PORTIFÓLIO'!C:V,5,0),"")</f>
        <v/>
      </c>
      <c r="H272" s="254" t="str">
        <f t="array" ref="H272">IFERROR(INDEX('PORTIFÓLIO'!$H$4:$H$433,MATCH($C272,'PORTIFÓLIO'!$C$4:$C$433,0)),"")</f>
        <v/>
      </c>
      <c r="I272" s="255"/>
      <c r="J272" s="218">
        <f t="shared" ref="J272:J289" si="31">I272*$B$2</f>
        <v>0</v>
      </c>
      <c r="K272" s="292" t="str">
        <f t="array" ref="K272">IFERROR(I272*INDEX('PORTIFÓLIO'!$S$4:$S$433,MATCH($C272,'PORTIFÓLIO'!$C$4:$C$433,0)),"")</f>
        <v/>
      </c>
      <c r="L272" s="292" t="str">
        <f t="array" ref="L272">IFERROR(J272*INDEX('PORTIFÓLIO'!$S$4:$S$433,MATCH($C272,'PORTIFÓLIO'!$C$4:$C$433,0)),"")</f>
        <v/>
      </c>
      <c r="M272" s="220"/>
      <c r="N272" s="220"/>
      <c r="O272" s="220"/>
      <c r="P272" s="220"/>
      <c r="Q272" s="220"/>
      <c r="R272" s="220"/>
      <c r="S272" s="220"/>
      <c r="T272" s="220"/>
      <c r="U272" s="220"/>
      <c r="V272" s="220"/>
      <c r="W272" s="220"/>
    </row>
    <row r="273" ht="15.75" customHeight="1" outlineLevel="1">
      <c r="A273" s="211"/>
      <c r="B273" s="212"/>
      <c r="C273" s="213"/>
      <c r="D273" s="214" t="str">
        <f>IFERROR(VLOOKUP($C273,'PORTIFÓLIO'!C:V,2,0),"")</f>
        <v/>
      </c>
      <c r="E273" s="211" t="str">
        <f>IFERROR(VLOOKUP($C273,'PORTIFÓLIO'!C:V,3,0),"")</f>
        <v/>
      </c>
      <c r="F273" s="211" t="str">
        <f>IFERROR(VLOOKUP($C273,'PORTIFÓLIO'!C:V,4,0),"")</f>
        <v/>
      </c>
      <c r="G273" s="215" t="str">
        <f>IFERROR(VLOOKUP($C273,'PORTIFÓLIO'!C:V,5,0),"")</f>
        <v/>
      </c>
      <c r="H273" s="254" t="str">
        <f t="array" ref="H273">IFERROR(INDEX('PORTIFÓLIO'!$H$4:$H$433,MATCH($C273,'PORTIFÓLIO'!$C$4:$C$433,0)),"")</f>
        <v/>
      </c>
      <c r="I273" s="256"/>
      <c r="J273" s="218">
        <f t="shared" si="31"/>
        <v>0</v>
      </c>
      <c r="K273" s="292" t="str">
        <f t="array" ref="K273">IFERROR(I273*INDEX('PORTIFÓLIO'!$S$4:$S$433,MATCH($C273,'PORTIFÓLIO'!$C$4:$C$433,0)),"")</f>
        <v/>
      </c>
      <c r="L273" s="292" t="str">
        <f t="array" ref="L273">IFERROR(J273*INDEX('PORTIFÓLIO'!$S$4:$S$433,MATCH($C273,'PORTIFÓLIO'!$C$4:$C$433,0)),"")</f>
        <v/>
      </c>
      <c r="M273" s="220"/>
      <c r="N273" s="220"/>
      <c r="O273" s="220"/>
      <c r="P273" s="220"/>
      <c r="Q273" s="220"/>
      <c r="R273" s="220"/>
      <c r="S273" s="220"/>
      <c r="T273" s="220"/>
      <c r="U273" s="220"/>
      <c r="V273" s="220"/>
      <c r="W273" s="220"/>
    </row>
    <row r="274" ht="15.75" customHeight="1" outlineLevel="1">
      <c r="A274" s="211"/>
      <c r="B274" s="212"/>
      <c r="C274" s="213"/>
      <c r="D274" s="214" t="str">
        <f>IFERROR(VLOOKUP($C274,'PORTIFÓLIO'!C:V,2,0),"")</f>
        <v/>
      </c>
      <c r="E274" s="211" t="str">
        <f>IFERROR(VLOOKUP($C274,'PORTIFÓLIO'!C:V,3,0),"")</f>
        <v/>
      </c>
      <c r="F274" s="211" t="str">
        <f>IFERROR(VLOOKUP($C274,'PORTIFÓLIO'!C:V,4,0),"")</f>
        <v/>
      </c>
      <c r="G274" s="215" t="str">
        <f>IFERROR(VLOOKUP($C274,'PORTIFÓLIO'!C:V,5,0),"")</f>
        <v/>
      </c>
      <c r="H274" s="254" t="str">
        <f t="array" ref="H274">IFERROR(INDEX('PORTIFÓLIO'!$H$4:$H$433,MATCH($C274,'PORTIFÓLIO'!$C$4:$C$433,0)),"")</f>
        <v/>
      </c>
      <c r="I274" s="256"/>
      <c r="J274" s="218">
        <f t="shared" si="31"/>
        <v>0</v>
      </c>
      <c r="K274" s="292" t="str">
        <f t="array" ref="K274">IFERROR(I274*INDEX('PORTIFÓLIO'!$S$4:$S$433,MATCH($C274,'PORTIFÓLIO'!$C$4:$C$433,0)),"")</f>
        <v/>
      </c>
      <c r="L274" s="292" t="str">
        <f t="array" ref="L274">IFERROR(J274*INDEX('PORTIFÓLIO'!$S$4:$S$433,MATCH($C274,'PORTIFÓLIO'!$C$4:$C$433,0)),"")</f>
        <v/>
      </c>
      <c r="M274" s="220"/>
      <c r="N274" s="220"/>
      <c r="O274" s="220"/>
      <c r="P274" s="220"/>
      <c r="Q274" s="220"/>
      <c r="R274" s="220"/>
      <c r="S274" s="220"/>
      <c r="T274" s="220"/>
      <c r="U274" s="220"/>
      <c r="V274" s="220"/>
      <c r="W274" s="220"/>
    </row>
    <row r="275" ht="15.75" customHeight="1" outlineLevel="1">
      <c r="A275" s="211"/>
      <c r="B275" s="212"/>
      <c r="C275" s="213"/>
      <c r="D275" s="214" t="str">
        <f>IFERROR(VLOOKUP($C275,'PORTIFÓLIO'!C:V,2,0),"")</f>
        <v/>
      </c>
      <c r="E275" s="211" t="str">
        <f>IFERROR(VLOOKUP($C275,'PORTIFÓLIO'!C:V,3,0),"")</f>
        <v/>
      </c>
      <c r="F275" s="211" t="str">
        <f>IFERROR(VLOOKUP($C275,'PORTIFÓLIO'!C:V,4,0),"")</f>
        <v/>
      </c>
      <c r="G275" s="215" t="str">
        <f>IFERROR(VLOOKUP($C275,'PORTIFÓLIO'!C:V,5,0),"")</f>
        <v/>
      </c>
      <c r="H275" s="254" t="str">
        <f t="array" ref="H275">IFERROR(INDEX('PORTIFÓLIO'!$H$4:$H$433,MATCH($C275,'PORTIFÓLIO'!$C$4:$C$433,0)),"")</f>
        <v/>
      </c>
      <c r="I275" s="256"/>
      <c r="J275" s="218">
        <f t="shared" si="31"/>
        <v>0</v>
      </c>
      <c r="K275" s="292" t="str">
        <f t="array" ref="K275">IFERROR(I275*INDEX('PORTIFÓLIO'!$S$4:$S$433,MATCH($C275,'PORTIFÓLIO'!$C$4:$C$433,0)),"")</f>
        <v/>
      </c>
      <c r="L275" s="292" t="str">
        <f t="array" ref="L275">IFERROR(J275*INDEX('PORTIFÓLIO'!$S$4:$S$433,MATCH($C275,'PORTIFÓLIO'!$C$4:$C$433,0)),"")</f>
        <v/>
      </c>
      <c r="M275" s="220"/>
      <c r="N275" s="220"/>
      <c r="O275" s="220"/>
      <c r="P275" s="220"/>
      <c r="Q275" s="220"/>
      <c r="R275" s="220"/>
      <c r="S275" s="220"/>
      <c r="T275" s="220"/>
      <c r="U275" s="220"/>
      <c r="V275" s="220"/>
      <c r="W275" s="220"/>
    </row>
    <row r="276" ht="15.75" customHeight="1" outlineLevel="1">
      <c r="A276" s="211"/>
      <c r="B276" s="212"/>
      <c r="C276" s="213"/>
      <c r="D276" s="214" t="str">
        <f>IFERROR(VLOOKUP($C276,'PORTIFÓLIO'!C:V,2,0),"")</f>
        <v/>
      </c>
      <c r="E276" s="211" t="str">
        <f>IFERROR(VLOOKUP($C276,'PORTIFÓLIO'!C:V,3,0),"")</f>
        <v/>
      </c>
      <c r="F276" s="211" t="str">
        <f>IFERROR(VLOOKUP($C276,'PORTIFÓLIO'!C:V,4,0),"")</f>
        <v/>
      </c>
      <c r="G276" s="215" t="str">
        <f>IFERROR(VLOOKUP($C276,'PORTIFÓLIO'!C:V,5,0),"")</f>
        <v/>
      </c>
      <c r="H276" s="254" t="str">
        <f t="array" ref="H276">IFERROR(INDEX('PORTIFÓLIO'!$H$4:$H$433,MATCH($C276,'PORTIFÓLIO'!$C$4:$C$433,0)),"")</f>
        <v/>
      </c>
      <c r="I276" s="256"/>
      <c r="J276" s="218">
        <f t="shared" si="31"/>
        <v>0</v>
      </c>
      <c r="K276" s="292" t="str">
        <f t="array" ref="K276">IFERROR(I276*INDEX('PORTIFÓLIO'!$S$4:$S$433,MATCH($C276,'PORTIFÓLIO'!$C$4:$C$433,0)),"")</f>
        <v/>
      </c>
      <c r="L276" s="292" t="str">
        <f t="array" ref="L276">IFERROR(J276*INDEX('PORTIFÓLIO'!$S$4:$S$433,MATCH($C276,'PORTIFÓLIO'!$C$4:$C$433,0)),"")</f>
        <v/>
      </c>
      <c r="M276" s="220"/>
      <c r="N276" s="220"/>
      <c r="O276" s="220"/>
      <c r="P276" s="220"/>
      <c r="Q276" s="220"/>
      <c r="R276" s="220"/>
      <c r="S276" s="220"/>
      <c r="T276" s="220"/>
      <c r="U276" s="220"/>
      <c r="V276" s="220"/>
      <c r="W276" s="220"/>
    </row>
    <row r="277" ht="15.75" customHeight="1" outlineLevel="1">
      <c r="A277" s="211"/>
      <c r="B277" s="212"/>
      <c r="C277" s="213"/>
      <c r="D277" s="214" t="str">
        <f>IFERROR(VLOOKUP($C277,'PORTIFÓLIO'!C:V,2,0),"")</f>
        <v/>
      </c>
      <c r="E277" s="211" t="str">
        <f>IFERROR(VLOOKUP($C277,'PORTIFÓLIO'!C:V,3,0),"")</f>
        <v/>
      </c>
      <c r="F277" s="211" t="str">
        <f>IFERROR(VLOOKUP($C277,'PORTIFÓLIO'!C:V,4,0),"")</f>
        <v/>
      </c>
      <c r="G277" s="215" t="str">
        <f>IFERROR(VLOOKUP($C277,'PORTIFÓLIO'!C:V,5,0),"")</f>
        <v/>
      </c>
      <c r="H277" s="254" t="str">
        <f t="array" ref="H277">IFERROR(INDEX('PORTIFÓLIO'!$H$4:$H$433,MATCH($C277,'PORTIFÓLIO'!$C$4:$C$433,0)),"")</f>
        <v/>
      </c>
      <c r="I277" s="256"/>
      <c r="J277" s="218">
        <f t="shared" si="31"/>
        <v>0</v>
      </c>
      <c r="K277" s="292" t="str">
        <f t="array" ref="K277">IFERROR(I277*INDEX('PORTIFÓLIO'!$S$4:$S$433,MATCH($C277,'PORTIFÓLIO'!$C$4:$C$433,0)),"")</f>
        <v/>
      </c>
      <c r="L277" s="292" t="str">
        <f t="array" ref="L277">IFERROR(J277*INDEX('PORTIFÓLIO'!$S$4:$S$433,MATCH($C277,'PORTIFÓLIO'!$C$4:$C$433,0)),"")</f>
        <v/>
      </c>
      <c r="M277" s="220"/>
      <c r="N277" s="220"/>
      <c r="O277" s="220"/>
      <c r="P277" s="220"/>
      <c r="Q277" s="220"/>
      <c r="R277" s="220"/>
      <c r="S277" s="220"/>
      <c r="T277" s="220"/>
      <c r="U277" s="220"/>
      <c r="V277" s="220"/>
      <c r="W277" s="220"/>
    </row>
    <row r="278" ht="15.75" customHeight="1" outlineLevel="1">
      <c r="A278" s="211"/>
      <c r="B278" s="212"/>
      <c r="C278" s="213"/>
      <c r="D278" s="214" t="str">
        <f>IFERROR(VLOOKUP($C278,'PORTIFÓLIO'!C:V,2,0),"")</f>
        <v/>
      </c>
      <c r="E278" s="211" t="str">
        <f>IFERROR(VLOOKUP($C278,'PORTIFÓLIO'!C:V,3,0),"")</f>
        <v/>
      </c>
      <c r="F278" s="211" t="str">
        <f>IFERROR(VLOOKUP($C278,'PORTIFÓLIO'!C:V,4,0),"")</f>
        <v/>
      </c>
      <c r="G278" s="215" t="str">
        <f>IFERROR(VLOOKUP($C278,'PORTIFÓLIO'!C:V,5,0),"")</f>
        <v/>
      </c>
      <c r="H278" s="254" t="str">
        <f t="array" ref="H278">IFERROR(INDEX('PORTIFÓLIO'!$H$4:$H$433,MATCH($C278,'PORTIFÓLIO'!$C$4:$C$433,0)),"")</f>
        <v/>
      </c>
      <c r="I278" s="256"/>
      <c r="J278" s="218">
        <f t="shared" si="31"/>
        <v>0</v>
      </c>
      <c r="K278" s="292" t="str">
        <f t="array" ref="K278">IFERROR(I278*INDEX('PORTIFÓLIO'!$S$4:$S$433,MATCH($C278,'PORTIFÓLIO'!$C$4:$C$433,0)),"")</f>
        <v/>
      </c>
      <c r="L278" s="292" t="str">
        <f t="array" ref="L278">IFERROR(J278*INDEX('PORTIFÓLIO'!$S$4:$S$433,MATCH($C278,'PORTIFÓLIO'!$C$4:$C$433,0)),"")</f>
        <v/>
      </c>
      <c r="M278" s="220"/>
      <c r="N278" s="220"/>
      <c r="O278" s="220"/>
      <c r="P278" s="220"/>
      <c r="Q278" s="220"/>
      <c r="R278" s="220"/>
      <c r="S278" s="220"/>
      <c r="T278" s="220"/>
      <c r="U278" s="220"/>
      <c r="V278" s="220"/>
      <c r="W278" s="220"/>
    </row>
    <row r="279" ht="15.75" customHeight="1" outlineLevel="1">
      <c r="A279" s="211"/>
      <c r="B279" s="212"/>
      <c r="C279" s="213"/>
      <c r="D279" s="214" t="str">
        <f>IFERROR(VLOOKUP($C279,'PORTIFÓLIO'!C:V,2,0),"")</f>
        <v/>
      </c>
      <c r="E279" s="211" t="str">
        <f>IFERROR(VLOOKUP($C279,'PORTIFÓLIO'!C:V,3,0),"")</f>
        <v/>
      </c>
      <c r="F279" s="211" t="str">
        <f>IFERROR(VLOOKUP($C279,'PORTIFÓLIO'!C:V,4,0),"")</f>
        <v/>
      </c>
      <c r="G279" s="215" t="str">
        <f>IFERROR(VLOOKUP($C279,'PORTIFÓLIO'!C:V,5,0),"")</f>
        <v/>
      </c>
      <c r="H279" s="254" t="str">
        <f t="array" ref="H279">IFERROR(INDEX('PORTIFÓLIO'!$H$4:$H$433,MATCH($C279,'PORTIFÓLIO'!$C$4:$C$433,0)),"")</f>
        <v/>
      </c>
      <c r="I279" s="256"/>
      <c r="J279" s="218">
        <f t="shared" si="31"/>
        <v>0</v>
      </c>
      <c r="K279" s="292" t="str">
        <f t="array" ref="K279">IFERROR(I279*INDEX('PORTIFÓLIO'!$S$4:$S$433,MATCH($C279,'PORTIFÓLIO'!$C$4:$C$433,0)),"")</f>
        <v/>
      </c>
      <c r="L279" s="292" t="str">
        <f t="array" ref="L279">IFERROR(J279*INDEX('PORTIFÓLIO'!$S$4:$S$433,MATCH($C279,'PORTIFÓLIO'!$C$4:$C$433,0)),"")</f>
        <v/>
      </c>
      <c r="M279" s="220"/>
      <c r="N279" s="220"/>
      <c r="O279" s="220"/>
      <c r="P279" s="220"/>
      <c r="Q279" s="220"/>
      <c r="R279" s="220"/>
      <c r="S279" s="220"/>
      <c r="T279" s="220"/>
      <c r="U279" s="220"/>
      <c r="V279" s="220"/>
      <c r="W279" s="220"/>
    </row>
    <row r="280" ht="15.75" customHeight="1" outlineLevel="1">
      <c r="A280" s="211"/>
      <c r="B280" s="212"/>
      <c r="C280" s="213"/>
      <c r="D280" s="214" t="str">
        <f>IFERROR(VLOOKUP($C280,'PORTIFÓLIO'!C:V,2,0),"")</f>
        <v/>
      </c>
      <c r="E280" s="211" t="str">
        <f>IFERROR(VLOOKUP($C280,'PORTIFÓLIO'!C:V,3,0),"")</f>
        <v/>
      </c>
      <c r="F280" s="211" t="str">
        <f>IFERROR(VLOOKUP($C280,'PORTIFÓLIO'!C:V,4,0),"")</f>
        <v/>
      </c>
      <c r="G280" s="215" t="str">
        <f>IFERROR(VLOOKUP($C280,'PORTIFÓLIO'!C:V,5,0),"")</f>
        <v/>
      </c>
      <c r="H280" s="254" t="str">
        <f t="array" ref="H280">IFERROR(INDEX('PORTIFÓLIO'!$H$4:$H$433,MATCH($C280,'PORTIFÓLIO'!$C$4:$C$433,0)),"")</f>
        <v/>
      </c>
      <c r="I280" s="255"/>
      <c r="J280" s="218">
        <f t="shared" si="31"/>
        <v>0</v>
      </c>
      <c r="K280" s="292" t="str">
        <f t="array" ref="K280">IFERROR(I280*INDEX('PORTIFÓLIO'!$S$4:$S$433,MATCH($C280,'PORTIFÓLIO'!$C$4:$C$433,0)),"")</f>
        <v/>
      </c>
      <c r="L280" s="292" t="str">
        <f t="array" ref="L280">IFERROR(J280*INDEX('PORTIFÓLIO'!$S$4:$S$433,MATCH($C280,'PORTIFÓLIO'!$C$4:$C$433,0)),"")</f>
        <v/>
      </c>
      <c r="M280" s="220"/>
      <c r="N280" s="220"/>
      <c r="O280" s="220"/>
      <c r="P280" s="220"/>
      <c r="Q280" s="220"/>
      <c r="R280" s="220"/>
      <c r="S280" s="220"/>
      <c r="T280" s="220"/>
      <c r="U280" s="220"/>
      <c r="V280" s="220"/>
      <c r="W280" s="220"/>
    </row>
    <row r="281" ht="15.75" customHeight="1" outlineLevel="1">
      <c r="A281" s="211"/>
      <c r="B281" s="212"/>
      <c r="C281" s="213"/>
      <c r="D281" s="214" t="str">
        <f>IFERROR(VLOOKUP($C281,'PORTIFÓLIO'!C:V,2,0),"")</f>
        <v/>
      </c>
      <c r="E281" s="211" t="str">
        <f>IFERROR(VLOOKUP($C281,'PORTIFÓLIO'!C:V,3,0),"")</f>
        <v/>
      </c>
      <c r="F281" s="211" t="str">
        <f>IFERROR(VLOOKUP($C281,'PORTIFÓLIO'!C:V,4,0),"")</f>
        <v/>
      </c>
      <c r="G281" s="215" t="str">
        <f>IFERROR(VLOOKUP($C281,'PORTIFÓLIO'!C:V,5,0),"")</f>
        <v/>
      </c>
      <c r="H281" s="254" t="str">
        <f t="array" ref="H281">IFERROR(INDEX('PORTIFÓLIO'!$H$4:$H$433,MATCH($C281,'PORTIFÓLIO'!$C$4:$C$433,0)),"")</f>
        <v/>
      </c>
      <c r="I281" s="256"/>
      <c r="J281" s="218">
        <f t="shared" si="31"/>
        <v>0</v>
      </c>
      <c r="K281" s="292" t="str">
        <f t="array" ref="K281">IFERROR(I281*INDEX('PORTIFÓLIO'!$S$4:$S$433,MATCH($C281,'PORTIFÓLIO'!$C$4:$C$433,0)),"")</f>
        <v/>
      </c>
      <c r="L281" s="292" t="str">
        <f t="array" ref="L281">IFERROR(J281*INDEX('PORTIFÓLIO'!$S$4:$S$433,MATCH($C281,'PORTIFÓLIO'!$C$4:$C$433,0)),"")</f>
        <v/>
      </c>
      <c r="M281" s="220"/>
      <c r="N281" s="220"/>
      <c r="O281" s="220"/>
      <c r="P281" s="220"/>
      <c r="Q281" s="220"/>
      <c r="R281" s="220"/>
      <c r="S281" s="220"/>
      <c r="T281" s="220"/>
      <c r="U281" s="220"/>
      <c r="V281" s="220"/>
      <c r="W281" s="220"/>
    </row>
    <row r="282" ht="15.75" customHeight="1" outlineLevel="1">
      <c r="A282" s="211"/>
      <c r="B282" s="212"/>
      <c r="C282" s="213"/>
      <c r="D282" s="214" t="str">
        <f>IFERROR(VLOOKUP($C282,'PORTIFÓLIO'!C:V,2,0),"")</f>
        <v/>
      </c>
      <c r="E282" s="211" t="str">
        <f>IFERROR(VLOOKUP($C282,'PORTIFÓLIO'!C:V,3,0),"")</f>
        <v/>
      </c>
      <c r="F282" s="211" t="str">
        <f>IFERROR(VLOOKUP($C282,'PORTIFÓLIO'!C:V,4,0),"")</f>
        <v/>
      </c>
      <c r="G282" s="215" t="str">
        <f>IFERROR(VLOOKUP($C282,'PORTIFÓLIO'!C:V,5,0),"")</f>
        <v/>
      </c>
      <c r="H282" s="254" t="str">
        <f t="array" ref="H282">IFERROR(INDEX('PORTIFÓLIO'!$H$4:$H$433,MATCH($C282,'PORTIFÓLIO'!$C$4:$C$433,0)),"")</f>
        <v/>
      </c>
      <c r="I282" s="256"/>
      <c r="J282" s="218">
        <f t="shared" si="31"/>
        <v>0</v>
      </c>
      <c r="K282" s="292" t="str">
        <f t="array" ref="K282">IFERROR(I282*INDEX('PORTIFÓLIO'!$S$4:$S$433,MATCH($C282,'PORTIFÓLIO'!$C$4:$C$433,0)),"")</f>
        <v/>
      </c>
      <c r="L282" s="292" t="str">
        <f t="array" ref="L282">IFERROR(J282*INDEX('PORTIFÓLIO'!$S$4:$S$433,MATCH($C282,'PORTIFÓLIO'!$C$4:$C$433,0)),"")</f>
        <v/>
      </c>
      <c r="M282" s="220"/>
      <c r="N282" s="220"/>
      <c r="O282" s="220"/>
      <c r="P282" s="220"/>
      <c r="Q282" s="220"/>
      <c r="R282" s="220"/>
      <c r="S282" s="220"/>
      <c r="T282" s="220"/>
      <c r="U282" s="220"/>
      <c r="V282" s="220"/>
      <c r="W282" s="220"/>
    </row>
    <row r="283" ht="15.75" customHeight="1" outlineLevel="1">
      <c r="A283" s="211"/>
      <c r="B283" s="212"/>
      <c r="C283" s="213"/>
      <c r="D283" s="214" t="str">
        <f>IFERROR(VLOOKUP($C283,'PORTIFÓLIO'!C:V,2,0),"")</f>
        <v/>
      </c>
      <c r="E283" s="211" t="str">
        <f>IFERROR(VLOOKUP($C283,'PORTIFÓLIO'!C:V,3,0),"")</f>
        <v/>
      </c>
      <c r="F283" s="211" t="str">
        <f>IFERROR(VLOOKUP($C283,'PORTIFÓLIO'!C:V,4,0),"")</f>
        <v/>
      </c>
      <c r="G283" s="215" t="str">
        <f>IFERROR(VLOOKUP($C283,'PORTIFÓLIO'!C:V,5,0),"")</f>
        <v/>
      </c>
      <c r="H283" s="254" t="str">
        <f t="array" ref="H283">IFERROR(INDEX('PORTIFÓLIO'!$H$4:$H$433,MATCH($C283,'PORTIFÓLIO'!$C$4:$C$433,0)),"")</f>
        <v/>
      </c>
      <c r="I283" s="256"/>
      <c r="J283" s="218">
        <f t="shared" si="31"/>
        <v>0</v>
      </c>
      <c r="K283" s="292" t="str">
        <f t="array" ref="K283">IFERROR(I283*INDEX('PORTIFÓLIO'!$S$4:$S$433,MATCH($C283,'PORTIFÓLIO'!$C$4:$C$433,0)),"")</f>
        <v/>
      </c>
      <c r="L283" s="292" t="str">
        <f t="array" ref="L283">IFERROR(J283*INDEX('PORTIFÓLIO'!$S$4:$S$433,MATCH($C283,'PORTIFÓLIO'!$C$4:$C$433,0)),"")</f>
        <v/>
      </c>
      <c r="M283" s="220"/>
      <c r="N283" s="220"/>
      <c r="O283" s="220"/>
      <c r="P283" s="220"/>
      <c r="Q283" s="220"/>
      <c r="R283" s="220"/>
      <c r="S283" s="220"/>
      <c r="T283" s="220"/>
      <c r="U283" s="220"/>
      <c r="V283" s="220"/>
      <c r="W283" s="220"/>
    </row>
    <row r="284" ht="15.75" customHeight="1" outlineLevel="1">
      <c r="A284" s="211"/>
      <c r="B284" s="212"/>
      <c r="C284" s="213"/>
      <c r="D284" s="214" t="str">
        <f>IFERROR(VLOOKUP($C284,'PORTIFÓLIO'!C:V,2,0),"")</f>
        <v/>
      </c>
      <c r="E284" s="211" t="str">
        <f>IFERROR(VLOOKUP($C284,'PORTIFÓLIO'!C:V,3,0),"")</f>
        <v/>
      </c>
      <c r="F284" s="211" t="str">
        <f>IFERROR(VLOOKUP($C284,'PORTIFÓLIO'!C:V,4,0),"")</f>
        <v/>
      </c>
      <c r="G284" s="215" t="str">
        <f>IFERROR(VLOOKUP($C284,'PORTIFÓLIO'!C:V,5,0),"")</f>
        <v/>
      </c>
      <c r="H284" s="254" t="str">
        <f t="array" ref="H284">IFERROR(INDEX('PORTIFÓLIO'!$H$4:$H$433,MATCH($C284,'PORTIFÓLIO'!$C$4:$C$433,0)),"")</f>
        <v/>
      </c>
      <c r="I284" s="256"/>
      <c r="J284" s="218">
        <f t="shared" si="31"/>
        <v>0</v>
      </c>
      <c r="K284" s="292" t="str">
        <f t="array" ref="K284">IFERROR(I284*INDEX('PORTIFÓLIO'!$S$4:$S$433,MATCH($C284,'PORTIFÓLIO'!$C$4:$C$433,0)),"")</f>
        <v/>
      </c>
      <c r="L284" s="292" t="str">
        <f t="array" ref="L284">IFERROR(J284*INDEX('PORTIFÓLIO'!$S$4:$S$433,MATCH($C284,'PORTIFÓLIO'!$C$4:$C$433,0)),"")</f>
        <v/>
      </c>
      <c r="M284" s="220"/>
      <c r="N284" s="220"/>
      <c r="O284" s="220"/>
      <c r="P284" s="220"/>
      <c r="Q284" s="220"/>
      <c r="R284" s="220"/>
      <c r="S284" s="220"/>
      <c r="T284" s="220"/>
      <c r="U284" s="220"/>
      <c r="V284" s="220"/>
      <c r="W284" s="220"/>
    </row>
    <row r="285" ht="15.75" customHeight="1" outlineLevel="1">
      <c r="A285" s="211"/>
      <c r="B285" s="212"/>
      <c r="C285" s="213"/>
      <c r="D285" s="214" t="str">
        <f>IFERROR(VLOOKUP($C285,'PORTIFÓLIO'!C:V,2,0),"")</f>
        <v/>
      </c>
      <c r="E285" s="211" t="str">
        <f>IFERROR(VLOOKUP($C285,'PORTIFÓLIO'!C:V,3,0),"")</f>
        <v/>
      </c>
      <c r="F285" s="211" t="str">
        <f>IFERROR(VLOOKUP($C285,'PORTIFÓLIO'!C:V,4,0),"")</f>
        <v/>
      </c>
      <c r="G285" s="215" t="str">
        <f>IFERROR(VLOOKUP($C285,'PORTIFÓLIO'!C:V,5,0),"")</f>
        <v/>
      </c>
      <c r="H285" s="254" t="str">
        <f t="array" ref="H285">IFERROR(INDEX('PORTIFÓLIO'!$H$4:$H$433,MATCH($C285,'PORTIFÓLIO'!$C$4:$C$433,0)),"")</f>
        <v/>
      </c>
      <c r="I285" s="256"/>
      <c r="J285" s="218">
        <f t="shared" si="31"/>
        <v>0</v>
      </c>
      <c r="K285" s="292" t="str">
        <f t="array" ref="K285">IFERROR(I285*INDEX('PORTIFÓLIO'!$S$4:$S$433,MATCH($C285,'PORTIFÓLIO'!$C$4:$C$433,0)),"")</f>
        <v/>
      </c>
      <c r="L285" s="292" t="str">
        <f t="array" ref="L285">IFERROR(J285*INDEX('PORTIFÓLIO'!$S$4:$S$433,MATCH($C285,'PORTIFÓLIO'!$C$4:$C$433,0)),"")</f>
        <v/>
      </c>
      <c r="M285" s="220"/>
      <c r="N285" s="220"/>
      <c r="O285" s="220"/>
      <c r="P285" s="220"/>
      <c r="Q285" s="220"/>
      <c r="R285" s="220"/>
      <c r="S285" s="220"/>
      <c r="T285" s="220"/>
      <c r="U285" s="220"/>
      <c r="V285" s="220"/>
      <c r="W285" s="220"/>
    </row>
    <row r="286" ht="15.75" customHeight="1" outlineLevel="1">
      <c r="A286" s="211"/>
      <c r="B286" s="212"/>
      <c r="C286" s="213"/>
      <c r="D286" s="214" t="str">
        <f>IFERROR(VLOOKUP($C286,'PORTIFÓLIO'!C:V,2,0),"")</f>
        <v/>
      </c>
      <c r="E286" s="211" t="str">
        <f>IFERROR(VLOOKUP($C286,'PORTIFÓLIO'!C:V,3,0),"")</f>
        <v/>
      </c>
      <c r="F286" s="211" t="str">
        <f>IFERROR(VLOOKUP($C286,'PORTIFÓLIO'!C:V,4,0),"")</f>
        <v/>
      </c>
      <c r="G286" s="215" t="str">
        <f>IFERROR(VLOOKUP($C286,'PORTIFÓLIO'!C:V,5,0),"")</f>
        <v/>
      </c>
      <c r="H286" s="254" t="str">
        <f t="array" ref="H286">IFERROR(INDEX('PORTIFÓLIO'!$H$4:$H$433,MATCH($C286,'PORTIFÓLIO'!$C$4:$C$433,0)),"")</f>
        <v/>
      </c>
      <c r="I286" s="256"/>
      <c r="J286" s="218">
        <f t="shared" si="31"/>
        <v>0</v>
      </c>
      <c r="K286" s="292" t="str">
        <f t="array" ref="K286">IFERROR(I286*INDEX('PORTIFÓLIO'!$S$4:$S$433,MATCH($C286,'PORTIFÓLIO'!$C$4:$C$433,0)),"")</f>
        <v/>
      </c>
      <c r="L286" s="292" t="str">
        <f t="array" ref="L286">IFERROR(J286*INDEX('PORTIFÓLIO'!$S$4:$S$433,MATCH($C286,'PORTIFÓLIO'!$C$4:$C$433,0)),"")</f>
        <v/>
      </c>
      <c r="M286" s="220"/>
      <c r="N286" s="220"/>
      <c r="O286" s="220"/>
      <c r="P286" s="220"/>
      <c r="Q286" s="220"/>
      <c r="R286" s="220"/>
      <c r="S286" s="220"/>
      <c r="T286" s="220"/>
      <c r="U286" s="220"/>
      <c r="V286" s="220"/>
      <c r="W286" s="220"/>
    </row>
    <row r="287" ht="15.75" customHeight="1" outlineLevel="1">
      <c r="A287" s="211"/>
      <c r="B287" s="212"/>
      <c r="C287" s="213"/>
      <c r="D287" s="214" t="str">
        <f>IFERROR(VLOOKUP($C287,'PORTIFÓLIO'!C:V,2,0),"")</f>
        <v/>
      </c>
      <c r="E287" s="211" t="str">
        <f>IFERROR(VLOOKUP($C287,'PORTIFÓLIO'!C:V,3,0),"")</f>
        <v/>
      </c>
      <c r="F287" s="211" t="str">
        <f>IFERROR(VLOOKUP($C287,'PORTIFÓLIO'!C:V,4,0),"")</f>
        <v/>
      </c>
      <c r="G287" s="215" t="str">
        <f>IFERROR(VLOOKUP($C287,'PORTIFÓLIO'!C:V,5,0),"")</f>
        <v/>
      </c>
      <c r="H287" s="254" t="str">
        <f t="array" ref="H287">IFERROR(INDEX('PORTIFÓLIO'!$H$4:$H$433,MATCH($C287,'PORTIFÓLIO'!$C$4:$C$433,0)),"")</f>
        <v/>
      </c>
      <c r="I287" s="256"/>
      <c r="J287" s="218">
        <f t="shared" si="31"/>
        <v>0</v>
      </c>
      <c r="K287" s="292" t="str">
        <f t="array" ref="K287">IFERROR(I287*INDEX('PORTIFÓLIO'!$S$4:$S$433,MATCH($C287,'PORTIFÓLIO'!$C$4:$C$433,0)),"")</f>
        <v/>
      </c>
      <c r="L287" s="292" t="str">
        <f t="array" ref="L287">IFERROR(J287*INDEX('PORTIFÓLIO'!$S$4:$S$433,MATCH($C287,'PORTIFÓLIO'!$C$4:$C$433,0)),"")</f>
        <v/>
      </c>
      <c r="M287" s="220"/>
      <c r="N287" s="220"/>
      <c r="O287" s="220"/>
      <c r="P287" s="220"/>
      <c r="Q287" s="220"/>
      <c r="R287" s="220"/>
      <c r="S287" s="220"/>
      <c r="T287" s="220"/>
      <c r="U287" s="220"/>
      <c r="V287" s="220"/>
      <c r="W287" s="220"/>
    </row>
    <row r="288" ht="15.75" customHeight="1" outlineLevel="1">
      <c r="A288" s="211"/>
      <c r="B288" s="212"/>
      <c r="C288" s="213"/>
      <c r="D288" s="214" t="str">
        <f>IFERROR(VLOOKUP($C288,'PORTIFÓLIO'!C:V,2,0),"")</f>
        <v/>
      </c>
      <c r="E288" s="211" t="str">
        <f>IFERROR(VLOOKUP($C288,'PORTIFÓLIO'!C:V,3,0),"")</f>
        <v/>
      </c>
      <c r="F288" s="211" t="str">
        <f>IFERROR(VLOOKUP($C288,'PORTIFÓLIO'!C:V,4,0),"")</f>
        <v/>
      </c>
      <c r="G288" s="215" t="str">
        <f>IFERROR(VLOOKUP($C288,'PORTIFÓLIO'!C:V,5,0),"")</f>
        <v/>
      </c>
      <c r="H288" s="254" t="str">
        <f t="array" ref="H288">IFERROR(INDEX('PORTIFÓLIO'!$H$4:$H$433,MATCH($C288,'PORTIFÓLIO'!$C$4:$C$433,0)),"")</f>
        <v/>
      </c>
      <c r="I288" s="256"/>
      <c r="J288" s="218">
        <f t="shared" si="31"/>
        <v>0</v>
      </c>
      <c r="K288" s="292" t="str">
        <f t="array" ref="K288">IFERROR(I288*INDEX('PORTIFÓLIO'!$S$4:$S$433,MATCH($C288,'PORTIFÓLIO'!$C$4:$C$433,0)),"")</f>
        <v/>
      </c>
      <c r="L288" s="292" t="str">
        <f t="array" ref="L288">IFERROR(J288*INDEX('PORTIFÓLIO'!$S$4:$S$433,MATCH($C288,'PORTIFÓLIO'!$C$4:$C$433,0)),"")</f>
        <v/>
      </c>
      <c r="M288" s="220"/>
      <c r="N288" s="220"/>
      <c r="O288" s="220"/>
      <c r="P288" s="220"/>
      <c r="Q288" s="220"/>
      <c r="R288" s="220"/>
      <c r="S288" s="220"/>
      <c r="T288" s="220"/>
      <c r="U288" s="220"/>
      <c r="V288" s="220"/>
      <c r="W288" s="220"/>
    </row>
    <row r="289" ht="15.75" customHeight="1" outlineLevel="1">
      <c r="A289" s="211"/>
      <c r="B289" s="212"/>
      <c r="C289" s="213"/>
      <c r="D289" s="214" t="str">
        <f>IFERROR(VLOOKUP($C289,'PORTIFÓLIO'!C:V,2,0),"")</f>
        <v/>
      </c>
      <c r="E289" s="211" t="str">
        <f>IFERROR(VLOOKUP($C289,'PORTIFÓLIO'!C:V,3,0),"")</f>
        <v/>
      </c>
      <c r="F289" s="211" t="str">
        <f>IFERROR(VLOOKUP($C289,'PORTIFÓLIO'!C:V,4,0),"")</f>
        <v/>
      </c>
      <c r="G289" s="215" t="str">
        <f>IFERROR(VLOOKUP($C289,'PORTIFÓLIO'!C:V,5,0),"")</f>
        <v/>
      </c>
      <c r="H289" s="254" t="str">
        <f t="array" ref="H289">IFERROR(INDEX('PORTIFÓLIO'!$H$4:$H$433,MATCH($C289,'PORTIFÓLIO'!$C$4:$C$433,0)),"")</f>
        <v/>
      </c>
      <c r="I289" s="256"/>
      <c r="J289" s="218">
        <f t="shared" si="31"/>
        <v>0</v>
      </c>
      <c r="K289" s="292" t="str">
        <f t="array" ref="K289">IFERROR(I289*INDEX('PORTIFÓLIO'!$S$4:$S$433,MATCH($C289,'PORTIFÓLIO'!$C$4:$C$433,0)),"")</f>
        <v/>
      </c>
      <c r="L289" s="292" t="str">
        <f t="array" ref="L289">IFERROR(J289*INDEX('PORTIFÓLIO'!$S$4:$S$433,MATCH($C289,'PORTIFÓLIO'!$C$4:$C$433,0)),"")</f>
        <v/>
      </c>
      <c r="M289" s="220"/>
      <c r="N289" s="220"/>
      <c r="O289" s="220"/>
      <c r="P289" s="220"/>
      <c r="Q289" s="220"/>
      <c r="R289" s="220"/>
      <c r="S289" s="220"/>
      <c r="T289" s="220"/>
      <c r="U289" s="220"/>
      <c r="V289" s="220"/>
      <c r="W289" s="220"/>
    </row>
    <row r="290" ht="15.75" customHeight="1">
      <c r="A290" s="229" t="s">
        <v>1186</v>
      </c>
      <c r="B290" s="230"/>
      <c r="C290" s="231"/>
      <c r="D290" s="232"/>
      <c r="E290" s="231"/>
      <c r="F290" s="231"/>
      <c r="G290" s="233"/>
      <c r="H290" s="233"/>
      <c r="I290" s="258"/>
      <c r="J290" s="236"/>
      <c r="K290" s="237">
        <f t="shared" ref="K290:L290" si="32">SUBTOTAL(9,K291:K304)</f>
        <v>0</v>
      </c>
      <c r="L290" s="237">
        <f t="shared" si="32"/>
        <v>0</v>
      </c>
      <c r="M290" s="220"/>
      <c r="N290" s="220"/>
      <c r="O290" s="220"/>
      <c r="P290" s="220"/>
      <c r="Q290" s="220"/>
      <c r="R290" s="220"/>
      <c r="S290" s="220"/>
      <c r="T290" s="220"/>
      <c r="U290" s="220"/>
      <c r="V290" s="220"/>
      <c r="W290" s="220"/>
    </row>
    <row r="291" ht="15.75" customHeight="1" outlineLevel="1">
      <c r="A291" s="213"/>
      <c r="B291" s="212"/>
      <c r="C291" s="213"/>
      <c r="D291" s="214" t="str">
        <f>IFERROR(VLOOKUP($C291,'PORTIFÓLIO'!C:V,2,0),"")</f>
        <v/>
      </c>
      <c r="E291" s="211" t="str">
        <f>IFERROR(VLOOKUP($C291,'PORTIFÓLIO'!C:V,3,0),"")</f>
        <v/>
      </c>
      <c r="F291" s="211" t="str">
        <f>IFERROR(VLOOKUP($C291,'PORTIFÓLIO'!C:V,4,0),"")</f>
        <v/>
      </c>
      <c r="G291" s="215" t="str">
        <f>IFERROR(VLOOKUP($C291,'PORTIFÓLIO'!C:V,5,0),"")</f>
        <v/>
      </c>
      <c r="H291" s="254" t="str">
        <f t="array" ref="H291">IFERROR(INDEX('PORTIFÓLIO'!$H$4:$H$433,MATCH($C291,'PORTIFÓLIO'!$C$4:$C$433,0)),"")</f>
        <v/>
      </c>
      <c r="I291" s="255"/>
      <c r="J291" s="218">
        <f t="shared" ref="J291:J307" si="33">I291*$B$2</f>
        <v>0</v>
      </c>
      <c r="K291" s="292" t="str">
        <f t="array" ref="K291">IFERROR(I291*INDEX('PORTIFÓLIO'!$S$4:$S$433,MATCH($C291,'PORTIFÓLIO'!$C$4:$C$433,0)),"")</f>
        <v/>
      </c>
      <c r="L291" s="292" t="str">
        <f t="array" ref="L291">IFERROR(J291*INDEX('PORTIFÓLIO'!$S$4:$S$433,MATCH($C291,'PORTIFÓLIO'!$C$4:$C$433,0)),"")</f>
        <v/>
      </c>
      <c r="M291" s="220"/>
      <c r="N291" s="220"/>
      <c r="O291" s="220"/>
      <c r="P291" s="220"/>
      <c r="Q291" s="220"/>
      <c r="R291" s="220"/>
      <c r="S291" s="220"/>
      <c r="T291" s="220"/>
      <c r="U291" s="220"/>
      <c r="V291" s="220"/>
      <c r="W291" s="220"/>
    </row>
    <row r="292" ht="15.75" customHeight="1" outlineLevel="1">
      <c r="A292" s="211"/>
      <c r="B292" s="212"/>
      <c r="C292" s="213"/>
      <c r="D292" s="214" t="str">
        <f>IFERROR(VLOOKUP($C292,'PORTIFÓLIO'!C:V,2,0),"")</f>
        <v/>
      </c>
      <c r="E292" s="211" t="str">
        <f>IFERROR(VLOOKUP($C292,'PORTIFÓLIO'!C:V,3,0),"")</f>
        <v/>
      </c>
      <c r="F292" s="211" t="str">
        <f>IFERROR(VLOOKUP($C292,'PORTIFÓLIO'!C:V,4,0),"")</f>
        <v/>
      </c>
      <c r="G292" s="215" t="str">
        <f>IFERROR(VLOOKUP($C292,'PORTIFÓLIO'!C:V,5,0),"")</f>
        <v/>
      </c>
      <c r="H292" s="254" t="str">
        <f t="array" ref="H292">IFERROR(INDEX('PORTIFÓLIO'!$H$4:$H$433,MATCH($C292,'PORTIFÓLIO'!$C$4:$C$433,0)),"")</f>
        <v/>
      </c>
      <c r="I292" s="256"/>
      <c r="J292" s="218">
        <f t="shared" si="33"/>
        <v>0</v>
      </c>
      <c r="K292" s="292" t="str">
        <f t="array" ref="K292">IFERROR(I292*INDEX('PORTIFÓLIO'!$S$4:$S$433,MATCH($C292,'PORTIFÓLIO'!$C$4:$C$433,0)),"")</f>
        <v/>
      </c>
      <c r="L292" s="292" t="str">
        <f t="array" ref="L292">IFERROR(J292*INDEX('PORTIFÓLIO'!$S$4:$S$433,MATCH($C292,'PORTIFÓLIO'!$C$4:$C$433,0)),"")</f>
        <v/>
      </c>
      <c r="M292" s="220"/>
      <c r="N292" s="220"/>
      <c r="O292" s="220"/>
      <c r="P292" s="220"/>
      <c r="Q292" s="220"/>
      <c r="R292" s="220"/>
      <c r="S292" s="220"/>
      <c r="T292" s="220"/>
      <c r="U292" s="220"/>
      <c r="V292" s="220"/>
      <c r="W292" s="220"/>
    </row>
    <row r="293" ht="15.75" customHeight="1" outlineLevel="1">
      <c r="A293" s="211"/>
      <c r="B293" s="212"/>
      <c r="C293" s="213"/>
      <c r="D293" s="214" t="str">
        <f>IFERROR(VLOOKUP($C293,'PORTIFÓLIO'!C:V,2,0),"")</f>
        <v/>
      </c>
      <c r="E293" s="211" t="str">
        <f>IFERROR(VLOOKUP($C293,'PORTIFÓLIO'!C:V,3,0),"")</f>
        <v/>
      </c>
      <c r="F293" s="211" t="str">
        <f>IFERROR(VLOOKUP($C293,'PORTIFÓLIO'!C:V,4,0),"")</f>
        <v/>
      </c>
      <c r="G293" s="215" t="str">
        <f>IFERROR(VLOOKUP($C293,'PORTIFÓLIO'!C:V,5,0),"")</f>
        <v/>
      </c>
      <c r="H293" s="254" t="str">
        <f t="array" ref="H293">IFERROR(INDEX('PORTIFÓLIO'!$H$4:$H$433,MATCH($C293,'PORTIFÓLIO'!$C$4:$C$433,0)),"")</f>
        <v/>
      </c>
      <c r="I293" s="256"/>
      <c r="J293" s="218">
        <f t="shared" si="33"/>
        <v>0</v>
      </c>
      <c r="K293" s="292" t="str">
        <f t="array" ref="K293">IFERROR(I293*INDEX('PORTIFÓLIO'!$S$4:$S$433,MATCH($C293,'PORTIFÓLIO'!$C$4:$C$433,0)),"")</f>
        <v/>
      </c>
      <c r="L293" s="292" t="str">
        <f t="array" ref="L293">IFERROR(J293*INDEX('PORTIFÓLIO'!$S$4:$S$433,MATCH($C293,'PORTIFÓLIO'!$C$4:$C$433,0)),"")</f>
        <v/>
      </c>
      <c r="M293" s="220"/>
      <c r="N293" s="220"/>
      <c r="O293" s="220"/>
      <c r="P293" s="220"/>
      <c r="Q293" s="220"/>
      <c r="R293" s="220"/>
      <c r="S293" s="220"/>
      <c r="T293" s="220"/>
      <c r="U293" s="220"/>
      <c r="V293" s="220"/>
      <c r="W293" s="220"/>
    </row>
    <row r="294" ht="15.75" customHeight="1" outlineLevel="1">
      <c r="A294" s="211"/>
      <c r="B294" s="212"/>
      <c r="C294" s="213"/>
      <c r="D294" s="214" t="str">
        <f>IFERROR(VLOOKUP($C294,'PORTIFÓLIO'!C:V,2,0),"")</f>
        <v/>
      </c>
      <c r="E294" s="211" t="str">
        <f>IFERROR(VLOOKUP($C294,'PORTIFÓLIO'!C:V,3,0),"")</f>
        <v/>
      </c>
      <c r="F294" s="211" t="str">
        <f>IFERROR(VLOOKUP($C294,'PORTIFÓLIO'!C:V,4,0),"")</f>
        <v/>
      </c>
      <c r="G294" s="215" t="str">
        <f>IFERROR(VLOOKUP($C294,'PORTIFÓLIO'!C:V,5,0),"")</f>
        <v/>
      </c>
      <c r="H294" s="254" t="str">
        <f t="array" ref="H294">IFERROR(INDEX('PORTIFÓLIO'!$H$4:$H$433,MATCH($C294,'PORTIFÓLIO'!$C$4:$C$433,0)),"")</f>
        <v/>
      </c>
      <c r="I294" s="256"/>
      <c r="J294" s="218">
        <f t="shared" si="33"/>
        <v>0</v>
      </c>
      <c r="K294" s="292" t="str">
        <f t="array" ref="K294">IFERROR(I294*INDEX('PORTIFÓLIO'!$S$4:$S$433,MATCH($C294,'PORTIFÓLIO'!$C$4:$C$433,0)),"")</f>
        <v/>
      </c>
      <c r="L294" s="292" t="str">
        <f t="array" ref="L294">IFERROR(J294*INDEX('PORTIFÓLIO'!$S$4:$S$433,MATCH($C294,'PORTIFÓLIO'!$C$4:$C$433,0)),"")</f>
        <v/>
      </c>
      <c r="M294" s="220"/>
      <c r="N294" s="220"/>
      <c r="O294" s="220"/>
      <c r="P294" s="220"/>
      <c r="Q294" s="220"/>
      <c r="R294" s="220"/>
      <c r="S294" s="220"/>
      <c r="T294" s="220"/>
      <c r="U294" s="220"/>
      <c r="V294" s="220"/>
      <c r="W294" s="220"/>
    </row>
    <row r="295" ht="15.75" customHeight="1" outlineLevel="1">
      <c r="A295" s="211"/>
      <c r="B295" s="212"/>
      <c r="C295" s="213"/>
      <c r="D295" s="214" t="str">
        <f>IFERROR(VLOOKUP($C295,'PORTIFÓLIO'!C:V,2,0),"")</f>
        <v/>
      </c>
      <c r="E295" s="211" t="str">
        <f>IFERROR(VLOOKUP($C295,'PORTIFÓLIO'!C:V,3,0),"")</f>
        <v/>
      </c>
      <c r="F295" s="211" t="str">
        <f>IFERROR(VLOOKUP($C295,'PORTIFÓLIO'!C:V,4,0),"")</f>
        <v/>
      </c>
      <c r="G295" s="215" t="str">
        <f>IFERROR(VLOOKUP($C295,'PORTIFÓLIO'!C:V,5,0),"")</f>
        <v/>
      </c>
      <c r="H295" s="254" t="str">
        <f t="array" ref="H295">IFERROR(INDEX('PORTIFÓLIO'!$H$4:$H$433,MATCH($C295,'PORTIFÓLIO'!$C$4:$C$433,0)),"")</f>
        <v/>
      </c>
      <c r="I295" s="256"/>
      <c r="J295" s="218">
        <f t="shared" si="33"/>
        <v>0</v>
      </c>
      <c r="K295" s="292" t="str">
        <f t="array" ref="K295">IFERROR(I295*INDEX('PORTIFÓLIO'!$S$4:$S$433,MATCH($C295,'PORTIFÓLIO'!$C$4:$C$433,0)),"")</f>
        <v/>
      </c>
      <c r="L295" s="292" t="str">
        <f t="array" ref="L295">IFERROR(J295*INDEX('PORTIFÓLIO'!$S$4:$S$433,MATCH($C295,'PORTIFÓLIO'!$C$4:$C$433,0)),"")</f>
        <v/>
      </c>
      <c r="M295" s="220"/>
      <c r="N295" s="220"/>
      <c r="O295" s="220"/>
      <c r="P295" s="220"/>
      <c r="Q295" s="220"/>
      <c r="R295" s="220"/>
      <c r="S295" s="220"/>
      <c r="T295" s="220"/>
      <c r="U295" s="220"/>
      <c r="V295" s="220"/>
      <c r="W295" s="220"/>
    </row>
    <row r="296" ht="15.75" customHeight="1" outlineLevel="1">
      <c r="A296" s="211"/>
      <c r="B296" s="212"/>
      <c r="C296" s="213"/>
      <c r="D296" s="214" t="str">
        <f>IFERROR(VLOOKUP($C296,'PORTIFÓLIO'!C:V,2,0),"")</f>
        <v/>
      </c>
      <c r="E296" s="211" t="str">
        <f>IFERROR(VLOOKUP($C296,'PORTIFÓLIO'!C:V,3,0),"")</f>
        <v/>
      </c>
      <c r="F296" s="211" t="str">
        <f>IFERROR(VLOOKUP($C296,'PORTIFÓLIO'!C:V,4,0),"")</f>
        <v/>
      </c>
      <c r="G296" s="215" t="str">
        <f>IFERROR(VLOOKUP($C296,'PORTIFÓLIO'!C:V,5,0),"")</f>
        <v/>
      </c>
      <c r="H296" s="254" t="str">
        <f t="array" ref="H296">IFERROR(INDEX('PORTIFÓLIO'!$H$4:$H$433,MATCH($C296,'PORTIFÓLIO'!$C$4:$C$433,0)),"")</f>
        <v/>
      </c>
      <c r="I296" s="256"/>
      <c r="J296" s="218">
        <f t="shared" si="33"/>
        <v>0</v>
      </c>
      <c r="K296" s="292" t="str">
        <f t="array" ref="K296">IFERROR(I296*INDEX('PORTIFÓLIO'!$S$4:$S$433,MATCH($C296,'PORTIFÓLIO'!$C$4:$C$433,0)),"")</f>
        <v/>
      </c>
      <c r="L296" s="292" t="str">
        <f t="array" ref="L296">IFERROR(J296*INDEX('PORTIFÓLIO'!$S$4:$S$433,MATCH($C296,'PORTIFÓLIO'!$C$4:$C$433,0)),"")</f>
        <v/>
      </c>
      <c r="M296" s="220"/>
      <c r="N296" s="220"/>
      <c r="O296" s="220"/>
      <c r="P296" s="220"/>
      <c r="Q296" s="220"/>
      <c r="R296" s="220"/>
      <c r="S296" s="220"/>
      <c r="T296" s="220"/>
      <c r="U296" s="220"/>
      <c r="V296" s="220"/>
      <c r="W296" s="220"/>
    </row>
    <row r="297" ht="15.75" customHeight="1" outlineLevel="1">
      <c r="A297" s="211"/>
      <c r="B297" s="212"/>
      <c r="C297" s="213"/>
      <c r="D297" s="214" t="str">
        <f>IFERROR(VLOOKUP($C297,'PORTIFÓLIO'!C:V,2,0),"")</f>
        <v/>
      </c>
      <c r="E297" s="211" t="str">
        <f>IFERROR(VLOOKUP($C297,'PORTIFÓLIO'!C:V,3,0),"")</f>
        <v/>
      </c>
      <c r="F297" s="211" t="str">
        <f>IFERROR(VLOOKUP($C297,'PORTIFÓLIO'!C:V,4,0),"")</f>
        <v/>
      </c>
      <c r="G297" s="215" t="str">
        <f>IFERROR(VLOOKUP($C297,'PORTIFÓLIO'!C:V,5,0),"")</f>
        <v/>
      </c>
      <c r="H297" s="254" t="str">
        <f t="array" ref="H297">IFERROR(INDEX('PORTIFÓLIO'!$H$4:$H$433,MATCH($C297,'PORTIFÓLIO'!$C$4:$C$433,0)),"")</f>
        <v/>
      </c>
      <c r="I297" s="256"/>
      <c r="J297" s="218">
        <f t="shared" si="33"/>
        <v>0</v>
      </c>
      <c r="K297" s="292" t="str">
        <f t="array" ref="K297">IFERROR(I297*INDEX('PORTIFÓLIO'!$S$4:$S$433,MATCH($C297,'PORTIFÓLIO'!$C$4:$C$433,0)),"")</f>
        <v/>
      </c>
      <c r="L297" s="292" t="str">
        <f t="array" ref="L297">IFERROR(J297*INDEX('PORTIFÓLIO'!$S$4:$S$433,MATCH($C297,'PORTIFÓLIO'!$C$4:$C$433,0)),"")</f>
        <v/>
      </c>
      <c r="M297" s="220"/>
      <c r="N297" s="220"/>
      <c r="O297" s="220"/>
      <c r="P297" s="220"/>
      <c r="Q297" s="220"/>
      <c r="R297" s="220"/>
      <c r="S297" s="220"/>
      <c r="T297" s="220"/>
      <c r="U297" s="220"/>
      <c r="V297" s="220"/>
      <c r="W297" s="220"/>
    </row>
    <row r="298" ht="15.75" customHeight="1" outlineLevel="1">
      <c r="A298" s="211"/>
      <c r="B298" s="212"/>
      <c r="C298" s="213"/>
      <c r="D298" s="214" t="str">
        <f>IFERROR(VLOOKUP($C298,'PORTIFÓLIO'!C:V,2,0),"")</f>
        <v/>
      </c>
      <c r="E298" s="211" t="str">
        <f>IFERROR(VLOOKUP($C298,'PORTIFÓLIO'!C:V,3,0),"")</f>
        <v/>
      </c>
      <c r="F298" s="211" t="str">
        <f>IFERROR(VLOOKUP($C298,'PORTIFÓLIO'!C:V,4,0),"")</f>
        <v/>
      </c>
      <c r="G298" s="215" t="str">
        <f>IFERROR(VLOOKUP($C298,'PORTIFÓLIO'!C:V,5,0),"")</f>
        <v/>
      </c>
      <c r="H298" s="254" t="str">
        <f t="array" ref="H298">IFERROR(INDEX('PORTIFÓLIO'!$H$4:$H$433,MATCH($C298,'PORTIFÓLIO'!$C$4:$C$433,0)),"")</f>
        <v/>
      </c>
      <c r="I298" s="256"/>
      <c r="J298" s="218">
        <f t="shared" si="33"/>
        <v>0</v>
      </c>
      <c r="K298" s="292" t="str">
        <f t="array" ref="K298">IFERROR(I298*INDEX('PORTIFÓLIO'!$S$4:$S$433,MATCH($C298,'PORTIFÓLIO'!$C$4:$C$433,0)),"")</f>
        <v/>
      </c>
      <c r="L298" s="292" t="str">
        <f t="array" ref="L298">IFERROR(J298*INDEX('PORTIFÓLIO'!$S$4:$S$433,MATCH($C298,'PORTIFÓLIO'!$C$4:$C$433,0)),"")</f>
        <v/>
      </c>
      <c r="M298" s="220"/>
      <c r="N298" s="220"/>
      <c r="O298" s="220"/>
      <c r="P298" s="220"/>
      <c r="Q298" s="220"/>
      <c r="R298" s="220"/>
      <c r="S298" s="220"/>
      <c r="T298" s="220"/>
      <c r="U298" s="220"/>
      <c r="V298" s="220"/>
      <c r="W298" s="220"/>
    </row>
    <row r="299" ht="15.75" customHeight="1" outlineLevel="1">
      <c r="A299" s="211"/>
      <c r="B299" s="212"/>
      <c r="C299" s="213"/>
      <c r="D299" s="214" t="str">
        <f>IFERROR(VLOOKUP($C299,'PORTIFÓLIO'!C:V,2,0),"")</f>
        <v/>
      </c>
      <c r="E299" s="211" t="str">
        <f>IFERROR(VLOOKUP($C299,'PORTIFÓLIO'!C:V,3,0),"")</f>
        <v/>
      </c>
      <c r="F299" s="211" t="str">
        <f>IFERROR(VLOOKUP($C299,'PORTIFÓLIO'!C:V,4,0),"")</f>
        <v/>
      </c>
      <c r="G299" s="215" t="str">
        <f>IFERROR(VLOOKUP($C299,'PORTIFÓLIO'!C:V,5,0),"")</f>
        <v/>
      </c>
      <c r="H299" s="254" t="str">
        <f t="array" ref="H299">IFERROR(INDEX('PORTIFÓLIO'!$H$4:$H$433,MATCH($C299,'PORTIFÓLIO'!$C$4:$C$433,0)),"")</f>
        <v/>
      </c>
      <c r="I299" s="255"/>
      <c r="J299" s="218">
        <f t="shared" si="33"/>
        <v>0</v>
      </c>
      <c r="K299" s="292" t="str">
        <f t="array" ref="K299">IFERROR(I299*INDEX('PORTIFÓLIO'!$S$4:$S$433,MATCH($C299,'PORTIFÓLIO'!$C$4:$C$433,0)),"")</f>
        <v/>
      </c>
      <c r="L299" s="292" t="str">
        <f t="array" ref="L299">IFERROR(J299*INDEX('PORTIFÓLIO'!$S$4:$S$433,MATCH($C299,'PORTIFÓLIO'!$C$4:$C$433,0)),"")</f>
        <v/>
      </c>
      <c r="M299" s="220"/>
      <c r="N299" s="220"/>
      <c r="O299" s="220"/>
      <c r="P299" s="220"/>
      <c r="Q299" s="220"/>
      <c r="R299" s="220"/>
      <c r="S299" s="220"/>
      <c r="T299" s="220"/>
      <c r="U299" s="220"/>
      <c r="V299" s="220"/>
      <c r="W299" s="220"/>
    </row>
    <row r="300" ht="15.75" customHeight="1" outlineLevel="1">
      <c r="A300" s="211"/>
      <c r="B300" s="212"/>
      <c r="C300" s="213"/>
      <c r="D300" s="214" t="str">
        <f>IFERROR(VLOOKUP($C300,'PORTIFÓLIO'!C:V,2,0),"")</f>
        <v/>
      </c>
      <c r="E300" s="211" t="str">
        <f>IFERROR(VLOOKUP($C300,'PORTIFÓLIO'!C:V,3,0),"")</f>
        <v/>
      </c>
      <c r="F300" s="211" t="str">
        <f>IFERROR(VLOOKUP($C300,'PORTIFÓLIO'!C:V,4,0),"")</f>
        <v/>
      </c>
      <c r="G300" s="215" t="str">
        <f>IFERROR(VLOOKUP($C300,'PORTIFÓLIO'!C:V,5,0),"")</f>
        <v/>
      </c>
      <c r="H300" s="254" t="str">
        <f t="array" ref="H300">IFERROR(INDEX('PORTIFÓLIO'!$H$4:$H$433,MATCH($C300,'PORTIFÓLIO'!$C$4:$C$433,0)),"")</f>
        <v/>
      </c>
      <c r="I300" s="256"/>
      <c r="J300" s="218">
        <f t="shared" si="33"/>
        <v>0</v>
      </c>
      <c r="K300" s="292" t="str">
        <f t="array" ref="K300">IFERROR(I300*INDEX('PORTIFÓLIO'!$S$4:$S$433,MATCH($C300,'PORTIFÓLIO'!$C$4:$C$433,0)),"")</f>
        <v/>
      </c>
      <c r="L300" s="292" t="str">
        <f t="array" ref="L300">IFERROR(J300*INDEX('PORTIFÓLIO'!$S$4:$S$433,MATCH($C300,'PORTIFÓLIO'!$C$4:$C$433,0)),"")</f>
        <v/>
      </c>
      <c r="M300" s="220"/>
      <c r="N300" s="220"/>
      <c r="O300" s="220"/>
      <c r="P300" s="220"/>
      <c r="Q300" s="220"/>
      <c r="R300" s="220"/>
      <c r="S300" s="220"/>
      <c r="T300" s="220"/>
      <c r="U300" s="220"/>
      <c r="V300" s="220"/>
      <c r="W300" s="220"/>
    </row>
    <row r="301" ht="15.75" customHeight="1" outlineLevel="1">
      <c r="A301" s="211"/>
      <c r="B301" s="212"/>
      <c r="C301" s="213"/>
      <c r="D301" s="214" t="str">
        <f>IFERROR(VLOOKUP($C301,'PORTIFÓLIO'!C:V,2,0),"")</f>
        <v/>
      </c>
      <c r="E301" s="211" t="str">
        <f>IFERROR(VLOOKUP($C301,'PORTIFÓLIO'!C:V,3,0),"")</f>
        <v/>
      </c>
      <c r="F301" s="211" t="str">
        <f>IFERROR(VLOOKUP($C301,'PORTIFÓLIO'!C:V,4,0),"")</f>
        <v/>
      </c>
      <c r="G301" s="215" t="str">
        <f>IFERROR(VLOOKUP($C301,'PORTIFÓLIO'!C:V,5,0),"")</f>
        <v/>
      </c>
      <c r="H301" s="254" t="str">
        <f t="array" ref="H301">IFERROR(INDEX('PORTIFÓLIO'!$H$4:$H$433,MATCH($C301,'PORTIFÓLIO'!$C$4:$C$433,0)),"")</f>
        <v/>
      </c>
      <c r="I301" s="256"/>
      <c r="J301" s="218">
        <f t="shared" si="33"/>
        <v>0</v>
      </c>
      <c r="K301" s="292" t="str">
        <f t="array" ref="K301">IFERROR(I301*INDEX('PORTIFÓLIO'!$S$4:$S$433,MATCH($C301,'PORTIFÓLIO'!$C$4:$C$433,0)),"")</f>
        <v/>
      </c>
      <c r="L301" s="292" t="str">
        <f t="array" ref="L301">IFERROR(J301*INDEX('PORTIFÓLIO'!$S$4:$S$433,MATCH($C301,'PORTIFÓLIO'!$C$4:$C$433,0)),"")</f>
        <v/>
      </c>
      <c r="M301" s="220"/>
      <c r="N301" s="220"/>
      <c r="O301" s="220"/>
      <c r="P301" s="220"/>
      <c r="Q301" s="220"/>
      <c r="R301" s="220"/>
      <c r="S301" s="220"/>
      <c r="T301" s="220"/>
      <c r="U301" s="220"/>
      <c r="V301" s="220"/>
      <c r="W301" s="220"/>
    </row>
    <row r="302" ht="15.75" customHeight="1" outlineLevel="1">
      <c r="A302" s="211"/>
      <c r="B302" s="212"/>
      <c r="C302" s="213"/>
      <c r="D302" s="214" t="str">
        <f>IFERROR(VLOOKUP($C302,'PORTIFÓLIO'!C:V,2,0),"")</f>
        <v/>
      </c>
      <c r="E302" s="211" t="str">
        <f>IFERROR(VLOOKUP($C302,'PORTIFÓLIO'!C:V,3,0),"")</f>
        <v/>
      </c>
      <c r="F302" s="211" t="str">
        <f>IFERROR(VLOOKUP($C302,'PORTIFÓLIO'!C:V,4,0),"")</f>
        <v/>
      </c>
      <c r="G302" s="215" t="str">
        <f>IFERROR(VLOOKUP($C302,'PORTIFÓLIO'!C:V,5,0),"")</f>
        <v/>
      </c>
      <c r="H302" s="254" t="str">
        <f t="array" ref="H302">IFERROR(INDEX('PORTIFÓLIO'!$H$4:$H$433,MATCH($C302,'PORTIFÓLIO'!$C$4:$C$433,0)),"")</f>
        <v/>
      </c>
      <c r="I302" s="256"/>
      <c r="J302" s="218">
        <f t="shared" si="33"/>
        <v>0</v>
      </c>
      <c r="K302" s="292" t="str">
        <f t="array" ref="K302">IFERROR(I302*INDEX('PORTIFÓLIO'!$S$4:$S$433,MATCH($C302,'PORTIFÓLIO'!$C$4:$C$433,0)),"")</f>
        <v/>
      </c>
      <c r="L302" s="292" t="str">
        <f t="array" ref="L302">IFERROR(J302*INDEX('PORTIFÓLIO'!$S$4:$S$433,MATCH($C302,'PORTIFÓLIO'!$C$4:$C$433,0)),"")</f>
        <v/>
      </c>
      <c r="M302" s="220"/>
      <c r="N302" s="220"/>
      <c r="O302" s="220"/>
      <c r="P302" s="220"/>
      <c r="Q302" s="220"/>
      <c r="R302" s="220"/>
      <c r="S302" s="220"/>
      <c r="T302" s="220"/>
      <c r="U302" s="220"/>
      <c r="V302" s="220"/>
      <c r="W302" s="220"/>
    </row>
    <row r="303" ht="15.75" customHeight="1" outlineLevel="1">
      <c r="A303" s="211"/>
      <c r="B303" s="212"/>
      <c r="C303" s="213"/>
      <c r="D303" s="214" t="str">
        <f>IFERROR(VLOOKUP($C303,'PORTIFÓLIO'!C:V,2,0),"")</f>
        <v/>
      </c>
      <c r="E303" s="211" t="str">
        <f>IFERROR(VLOOKUP($C303,'PORTIFÓLIO'!C:V,3,0),"")</f>
        <v/>
      </c>
      <c r="F303" s="211" t="str">
        <f>IFERROR(VLOOKUP($C303,'PORTIFÓLIO'!C:V,4,0),"")</f>
        <v/>
      </c>
      <c r="G303" s="215" t="str">
        <f>IFERROR(VLOOKUP($C303,'PORTIFÓLIO'!C:V,5,0),"")</f>
        <v/>
      </c>
      <c r="H303" s="254" t="str">
        <f t="array" ref="H303">IFERROR(INDEX('PORTIFÓLIO'!$H$4:$H$433,MATCH($C303,'PORTIFÓLIO'!$C$4:$C$433,0)),"")</f>
        <v/>
      </c>
      <c r="I303" s="256"/>
      <c r="J303" s="218">
        <f t="shared" si="33"/>
        <v>0</v>
      </c>
      <c r="K303" s="292" t="str">
        <f t="array" ref="K303">IFERROR(I303*INDEX('PORTIFÓLIO'!$S$4:$S$433,MATCH($C303,'PORTIFÓLIO'!$C$4:$C$433,0)),"")</f>
        <v/>
      </c>
      <c r="L303" s="292" t="str">
        <f t="array" ref="L303">IFERROR(J303*INDEX('PORTIFÓLIO'!$S$4:$S$433,MATCH($C303,'PORTIFÓLIO'!$C$4:$C$433,0)),"")</f>
        <v/>
      </c>
      <c r="M303" s="220"/>
      <c r="N303" s="220"/>
      <c r="O303" s="220"/>
      <c r="P303" s="220"/>
      <c r="Q303" s="220"/>
      <c r="R303" s="220"/>
      <c r="S303" s="220"/>
      <c r="T303" s="220"/>
      <c r="U303" s="220"/>
      <c r="V303" s="220"/>
      <c r="W303" s="220"/>
    </row>
    <row r="304" ht="15.75" customHeight="1" outlineLevel="1">
      <c r="A304" s="211"/>
      <c r="B304" s="212"/>
      <c r="C304" s="213"/>
      <c r="D304" s="214" t="str">
        <f>IFERROR(VLOOKUP($C304,'PORTIFÓLIO'!C:V,2,0),"")</f>
        <v/>
      </c>
      <c r="E304" s="211" t="str">
        <f>IFERROR(VLOOKUP($C304,'PORTIFÓLIO'!C:V,3,0),"")</f>
        <v/>
      </c>
      <c r="F304" s="211" t="str">
        <f>IFERROR(VLOOKUP($C304,'PORTIFÓLIO'!C:V,4,0),"")</f>
        <v/>
      </c>
      <c r="G304" s="215" t="str">
        <f>IFERROR(VLOOKUP($C304,'PORTIFÓLIO'!C:V,5,0),"")</f>
        <v/>
      </c>
      <c r="H304" s="254" t="str">
        <f t="array" ref="H304">IFERROR(INDEX('PORTIFÓLIO'!$H$4:$H$433,MATCH($C304,'PORTIFÓLIO'!$C$4:$C$433,0)),"")</f>
        <v/>
      </c>
      <c r="I304" s="256"/>
      <c r="J304" s="218">
        <f t="shared" si="33"/>
        <v>0</v>
      </c>
      <c r="K304" s="292" t="str">
        <f t="array" ref="K304">IFERROR(I304*INDEX('PORTIFÓLIO'!$S$4:$S$433,MATCH($C304,'PORTIFÓLIO'!$C$4:$C$433,0)),"")</f>
        <v/>
      </c>
      <c r="L304" s="292" t="str">
        <f t="array" ref="L304">IFERROR(J304*INDEX('PORTIFÓLIO'!$S$4:$S$433,MATCH($C304,'PORTIFÓLIO'!$C$4:$C$433,0)),"")</f>
        <v/>
      </c>
      <c r="M304" s="220"/>
      <c r="N304" s="220"/>
      <c r="O304" s="220"/>
      <c r="P304" s="220"/>
      <c r="Q304" s="220"/>
      <c r="R304" s="220"/>
      <c r="S304" s="220"/>
      <c r="T304" s="220"/>
      <c r="U304" s="220"/>
      <c r="V304" s="220"/>
      <c r="W304" s="220"/>
    </row>
    <row r="305" ht="15.75" customHeight="1" outlineLevel="1">
      <c r="A305" s="211"/>
      <c r="B305" s="212"/>
      <c r="C305" s="213"/>
      <c r="D305" s="214" t="str">
        <f>IFERROR(VLOOKUP($C305,'PORTIFÓLIO'!C:V,2,0),"")</f>
        <v/>
      </c>
      <c r="E305" s="211" t="str">
        <f>IFERROR(VLOOKUP($C305,'PORTIFÓLIO'!C:V,3,0),"")</f>
        <v/>
      </c>
      <c r="F305" s="211" t="str">
        <f>IFERROR(VLOOKUP($C305,'PORTIFÓLIO'!C:V,4,0),"")</f>
        <v/>
      </c>
      <c r="G305" s="215" t="str">
        <f>IFERROR(VLOOKUP($C305,'PORTIFÓLIO'!C:V,5,0),"")</f>
        <v/>
      </c>
      <c r="H305" s="254" t="str">
        <f t="array" ref="H305">IFERROR(INDEX('PORTIFÓLIO'!$H$4:$H$433,MATCH($C305,'PORTIFÓLIO'!$C$4:$C$433,0)),"")</f>
        <v/>
      </c>
      <c r="I305" s="256"/>
      <c r="J305" s="218">
        <f t="shared" si="33"/>
        <v>0</v>
      </c>
      <c r="K305" s="292" t="str">
        <f t="array" ref="K305">IFERROR(I305*INDEX('PORTIFÓLIO'!$S$4:$S$433,MATCH($C305,'PORTIFÓLIO'!$C$4:$C$433,0)),"")</f>
        <v/>
      </c>
      <c r="L305" s="292" t="str">
        <f t="array" ref="L305">IFERROR(J305*INDEX('PORTIFÓLIO'!$S$4:$S$433,MATCH($C305,'PORTIFÓLIO'!$C$4:$C$433,0)),"")</f>
        <v/>
      </c>
      <c r="M305" s="220"/>
      <c r="N305" s="220"/>
      <c r="O305" s="220"/>
      <c r="P305" s="220"/>
      <c r="Q305" s="220"/>
      <c r="R305" s="220"/>
      <c r="S305" s="220"/>
      <c r="T305" s="220"/>
      <c r="U305" s="220"/>
      <c r="V305" s="220"/>
      <c r="W305" s="220"/>
    </row>
    <row r="306" ht="15.75" customHeight="1" outlineLevel="1">
      <c r="A306" s="211"/>
      <c r="B306" s="212"/>
      <c r="C306" s="213"/>
      <c r="D306" s="214" t="str">
        <f>IFERROR(VLOOKUP($C306,'PORTIFÓLIO'!C:V,2,0),"")</f>
        <v/>
      </c>
      <c r="E306" s="211" t="str">
        <f>IFERROR(VLOOKUP($C306,'PORTIFÓLIO'!C:V,3,0),"")</f>
        <v/>
      </c>
      <c r="F306" s="211" t="str">
        <f>IFERROR(VLOOKUP($C306,'PORTIFÓLIO'!C:V,4,0),"")</f>
        <v/>
      </c>
      <c r="G306" s="215" t="str">
        <f>IFERROR(VLOOKUP($C306,'PORTIFÓLIO'!C:V,5,0),"")</f>
        <v/>
      </c>
      <c r="H306" s="254" t="str">
        <f t="array" ref="H306">IFERROR(INDEX('PORTIFÓLIO'!$H$4:$H$433,MATCH($C306,'PORTIFÓLIO'!$C$4:$C$433,0)),"")</f>
        <v/>
      </c>
      <c r="I306" s="256"/>
      <c r="J306" s="218">
        <f t="shared" si="33"/>
        <v>0</v>
      </c>
      <c r="K306" s="292" t="str">
        <f t="array" ref="K306">IFERROR(I306*INDEX('PORTIFÓLIO'!$S$4:$S$433,MATCH($C306,'PORTIFÓLIO'!$C$4:$C$433,0)),"")</f>
        <v/>
      </c>
      <c r="L306" s="292" t="str">
        <f t="array" ref="L306">IFERROR(J306*INDEX('PORTIFÓLIO'!$S$4:$S$433,MATCH($C306,'PORTIFÓLIO'!$C$4:$C$433,0)),"")</f>
        <v/>
      </c>
      <c r="M306" s="220"/>
      <c r="N306" s="220"/>
      <c r="O306" s="220"/>
      <c r="P306" s="220"/>
      <c r="Q306" s="220"/>
      <c r="R306" s="220"/>
      <c r="S306" s="220"/>
      <c r="T306" s="220"/>
      <c r="U306" s="220"/>
      <c r="V306" s="220"/>
      <c r="W306" s="220"/>
    </row>
    <row r="307" ht="15.75" customHeight="1" outlineLevel="1">
      <c r="A307" s="211"/>
      <c r="B307" s="212"/>
      <c r="C307" s="213"/>
      <c r="D307" s="214" t="str">
        <f>IFERROR(VLOOKUP($C307,'PORTIFÓLIO'!C:V,2,0),"")</f>
        <v/>
      </c>
      <c r="E307" s="211" t="str">
        <f>IFERROR(VLOOKUP($C307,'PORTIFÓLIO'!C:V,3,0),"")</f>
        <v/>
      </c>
      <c r="F307" s="211" t="str">
        <f>IFERROR(VLOOKUP($C307,'PORTIFÓLIO'!C:V,4,0),"")</f>
        <v/>
      </c>
      <c r="G307" s="215" t="str">
        <f>IFERROR(VLOOKUP($C307,'PORTIFÓLIO'!C:V,5,0),"")</f>
        <v/>
      </c>
      <c r="H307" s="254" t="str">
        <f t="array" ref="H307">IFERROR(INDEX('PORTIFÓLIO'!$H$4:$H$433,MATCH($C307,'PORTIFÓLIO'!$C$4:$C$433,0)),"")</f>
        <v/>
      </c>
      <c r="I307" s="256"/>
      <c r="J307" s="218">
        <f t="shared" si="33"/>
        <v>0</v>
      </c>
      <c r="K307" s="292" t="str">
        <f t="array" ref="K307">IFERROR(I307*INDEX('PORTIFÓLIO'!$S$4:$S$433,MATCH($C307,'PORTIFÓLIO'!$C$4:$C$433,0)),"")</f>
        <v/>
      </c>
      <c r="L307" s="292" t="str">
        <f t="array" ref="L307">IFERROR(J307*INDEX('PORTIFÓLIO'!$S$4:$S$433,MATCH($C307,'PORTIFÓLIO'!$C$4:$C$433,0)),"")</f>
        <v/>
      </c>
      <c r="M307" s="220"/>
      <c r="N307" s="220"/>
      <c r="O307" s="220"/>
      <c r="P307" s="220"/>
      <c r="Q307" s="220"/>
      <c r="R307" s="220"/>
      <c r="S307" s="220"/>
      <c r="T307" s="220"/>
      <c r="U307" s="220"/>
      <c r="V307" s="220"/>
      <c r="W307" s="220"/>
    </row>
    <row r="308" ht="15.75" customHeight="1">
      <c r="A308" s="229" t="s">
        <v>1188</v>
      </c>
      <c r="B308" s="230"/>
      <c r="C308" s="231"/>
      <c r="D308" s="232"/>
      <c r="E308" s="231"/>
      <c r="F308" s="231"/>
      <c r="G308" s="233"/>
      <c r="H308" s="233"/>
      <c r="I308" s="258"/>
      <c r="J308" s="236"/>
      <c r="K308" s="237">
        <f t="shared" ref="K308:L308" si="34">SUBTOTAL(9,K309:K322)</f>
        <v>0</v>
      </c>
      <c r="L308" s="237">
        <f t="shared" si="34"/>
        <v>0</v>
      </c>
      <c r="M308" s="220"/>
      <c r="N308" s="220"/>
      <c r="O308" s="220"/>
      <c r="P308" s="220"/>
      <c r="Q308" s="220"/>
      <c r="R308" s="220"/>
      <c r="S308" s="220"/>
      <c r="T308" s="220"/>
      <c r="U308" s="220"/>
      <c r="V308" s="220"/>
      <c r="W308" s="220"/>
    </row>
    <row r="309" ht="15.75" customHeight="1" outlineLevel="1">
      <c r="A309" s="213"/>
      <c r="B309" s="212"/>
      <c r="C309" s="213"/>
      <c r="D309" s="214" t="str">
        <f>IFERROR(VLOOKUP($C309,'PORTIFÓLIO'!C:V,2,0),"")</f>
        <v/>
      </c>
      <c r="E309" s="211" t="str">
        <f>IFERROR(VLOOKUP($C309,'PORTIFÓLIO'!C:V,3,0),"")</f>
        <v/>
      </c>
      <c r="F309" s="211" t="str">
        <f>IFERROR(VLOOKUP($C309,'PORTIFÓLIO'!C:V,4,0),"")</f>
        <v/>
      </c>
      <c r="G309" s="215" t="str">
        <f>IFERROR(VLOOKUP($C309,'PORTIFÓLIO'!C:V,5,0),"")</f>
        <v/>
      </c>
      <c r="H309" s="254" t="str">
        <f t="array" ref="H309">IFERROR(INDEX('PORTIFÓLIO'!$H$4:$H$433,MATCH($C309,'PORTIFÓLIO'!$C$4:$C$433,0)),"")</f>
        <v/>
      </c>
      <c r="I309" s="255"/>
      <c r="J309" s="218">
        <f t="shared" ref="J309:J323" si="35">I309*$B$2</f>
        <v>0</v>
      </c>
      <c r="K309" s="292" t="str">
        <f t="array" ref="K309">IFERROR(I309*INDEX('PORTIFÓLIO'!$S$4:$S$433,MATCH($C309,'PORTIFÓLIO'!$C$4:$C$433,0)),"")</f>
        <v/>
      </c>
      <c r="L309" s="292" t="str">
        <f t="array" ref="L309">IFERROR(J309*INDEX('PORTIFÓLIO'!$S$4:$S$433,MATCH($C309,'PORTIFÓLIO'!$C$4:$C$433,0)),"")</f>
        <v/>
      </c>
      <c r="M309" s="220"/>
      <c r="N309" s="220"/>
      <c r="O309" s="220"/>
      <c r="P309" s="220"/>
      <c r="Q309" s="220"/>
      <c r="R309" s="220"/>
      <c r="S309" s="220"/>
      <c r="T309" s="220"/>
      <c r="U309" s="220"/>
      <c r="V309" s="220"/>
      <c r="W309" s="220"/>
    </row>
    <row r="310" ht="15.75" customHeight="1" outlineLevel="1">
      <c r="A310" s="211"/>
      <c r="B310" s="212"/>
      <c r="C310" s="213"/>
      <c r="D310" s="214" t="str">
        <f>IFERROR(VLOOKUP($C310,'PORTIFÓLIO'!C:V,2,0),"")</f>
        <v/>
      </c>
      <c r="E310" s="211" t="str">
        <f>IFERROR(VLOOKUP($C310,'PORTIFÓLIO'!C:V,3,0),"")</f>
        <v/>
      </c>
      <c r="F310" s="211" t="str">
        <f>IFERROR(VLOOKUP($C310,'PORTIFÓLIO'!C:V,4,0),"")</f>
        <v/>
      </c>
      <c r="G310" s="215" t="str">
        <f>IFERROR(VLOOKUP($C310,'PORTIFÓLIO'!C:V,5,0),"")</f>
        <v/>
      </c>
      <c r="H310" s="254" t="str">
        <f t="array" ref="H310">IFERROR(INDEX('PORTIFÓLIO'!$H$4:$H$433,MATCH($C310,'PORTIFÓLIO'!$C$4:$C$433,0)),"")</f>
        <v/>
      </c>
      <c r="I310" s="256"/>
      <c r="J310" s="218">
        <f t="shared" si="35"/>
        <v>0</v>
      </c>
      <c r="K310" s="292" t="str">
        <f t="array" ref="K310">IFERROR(I310*INDEX('PORTIFÓLIO'!$S$4:$S$433,MATCH($C310,'PORTIFÓLIO'!$C$4:$C$433,0)),"")</f>
        <v/>
      </c>
      <c r="L310" s="292" t="str">
        <f t="array" ref="L310">IFERROR(J310*INDEX('PORTIFÓLIO'!$S$4:$S$433,MATCH($C310,'PORTIFÓLIO'!$C$4:$C$433,0)),"")</f>
        <v/>
      </c>
      <c r="M310" s="220"/>
      <c r="N310" s="220"/>
      <c r="O310" s="220"/>
      <c r="P310" s="220"/>
      <c r="Q310" s="220"/>
      <c r="R310" s="220"/>
      <c r="S310" s="220"/>
      <c r="T310" s="220"/>
      <c r="U310" s="220"/>
      <c r="V310" s="220"/>
      <c r="W310" s="220"/>
    </row>
    <row r="311" ht="15.75" customHeight="1" outlineLevel="1">
      <c r="A311" s="211"/>
      <c r="B311" s="212"/>
      <c r="C311" s="213"/>
      <c r="D311" s="214" t="str">
        <f>IFERROR(VLOOKUP($C311,'PORTIFÓLIO'!C:V,2,0),"")</f>
        <v/>
      </c>
      <c r="E311" s="211" t="str">
        <f>IFERROR(VLOOKUP($C311,'PORTIFÓLIO'!C:V,3,0),"")</f>
        <v/>
      </c>
      <c r="F311" s="211" t="str">
        <f>IFERROR(VLOOKUP($C311,'PORTIFÓLIO'!C:V,4,0),"")</f>
        <v/>
      </c>
      <c r="G311" s="215" t="str">
        <f>IFERROR(VLOOKUP($C311,'PORTIFÓLIO'!C:V,5,0),"")</f>
        <v/>
      </c>
      <c r="H311" s="254" t="str">
        <f t="array" ref="H311">IFERROR(INDEX('PORTIFÓLIO'!$H$4:$H$433,MATCH($C311,'PORTIFÓLIO'!$C$4:$C$433,0)),"")</f>
        <v/>
      </c>
      <c r="I311" s="256"/>
      <c r="J311" s="218">
        <f t="shared" si="35"/>
        <v>0</v>
      </c>
      <c r="K311" s="292" t="str">
        <f t="array" ref="K311">IFERROR(I311*INDEX('PORTIFÓLIO'!$S$4:$S$433,MATCH($C311,'PORTIFÓLIO'!$C$4:$C$433,0)),"")</f>
        <v/>
      </c>
      <c r="L311" s="292" t="str">
        <f t="array" ref="L311">IFERROR(J311*INDEX('PORTIFÓLIO'!$S$4:$S$433,MATCH($C311,'PORTIFÓLIO'!$C$4:$C$433,0)),"")</f>
        <v/>
      </c>
      <c r="M311" s="220"/>
      <c r="N311" s="220"/>
      <c r="O311" s="220"/>
      <c r="P311" s="220"/>
      <c r="Q311" s="220"/>
      <c r="R311" s="220"/>
      <c r="S311" s="220"/>
      <c r="T311" s="220"/>
      <c r="U311" s="220"/>
      <c r="V311" s="220"/>
      <c r="W311" s="220"/>
    </row>
    <row r="312" ht="15.75" customHeight="1" outlineLevel="1">
      <c r="A312" s="211"/>
      <c r="B312" s="212"/>
      <c r="C312" s="213"/>
      <c r="D312" s="214" t="str">
        <f>IFERROR(VLOOKUP($C312,'PORTIFÓLIO'!C:V,2,0),"")</f>
        <v/>
      </c>
      <c r="E312" s="211" t="str">
        <f>IFERROR(VLOOKUP($C312,'PORTIFÓLIO'!C:V,3,0),"")</f>
        <v/>
      </c>
      <c r="F312" s="211" t="str">
        <f>IFERROR(VLOOKUP($C312,'PORTIFÓLIO'!C:V,4,0),"")</f>
        <v/>
      </c>
      <c r="G312" s="215" t="str">
        <f>IFERROR(VLOOKUP($C312,'PORTIFÓLIO'!C:V,5,0),"")</f>
        <v/>
      </c>
      <c r="H312" s="254" t="str">
        <f t="array" ref="H312">IFERROR(INDEX('PORTIFÓLIO'!$H$4:$H$433,MATCH($C312,'PORTIFÓLIO'!$C$4:$C$433,0)),"")</f>
        <v/>
      </c>
      <c r="I312" s="256"/>
      <c r="J312" s="218">
        <f t="shared" si="35"/>
        <v>0</v>
      </c>
      <c r="K312" s="292" t="str">
        <f t="array" ref="K312">IFERROR(I312*INDEX('PORTIFÓLIO'!$S$4:$S$433,MATCH($C312,'PORTIFÓLIO'!$C$4:$C$433,0)),"")</f>
        <v/>
      </c>
      <c r="L312" s="292" t="str">
        <f t="array" ref="L312">IFERROR(J312*INDEX('PORTIFÓLIO'!$S$4:$S$433,MATCH($C312,'PORTIFÓLIO'!$C$4:$C$433,0)),"")</f>
        <v/>
      </c>
      <c r="M312" s="220"/>
      <c r="N312" s="220"/>
      <c r="O312" s="220"/>
      <c r="P312" s="220"/>
      <c r="Q312" s="220"/>
      <c r="R312" s="220"/>
      <c r="S312" s="220"/>
      <c r="T312" s="220"/>
      <c r="U312" s="220"/>
      <c r="V312" s="220"/>
      <c r="W312" s="220"/>
    </row>
    <row r="313" ht="15.75" customHeight="1" outlineLevel="1">
      <c r="A313" s="211"/>
      <c r="B313" s="212"/>
      <c r="C313" s="213"/>
      <c r="D313" s="214" t="str">
        <f>IFERROR(VLOOKUP($C313,'PORTIFÓLIO'!C:V,2,0),"")</f>
        <v/>
      </c>
      <c r="E313" s="211" t="str">
        <f>IFERROR(VLOOKUP($C313,'PORTIFÓLIO'!C:V,3,0),"")</f>
        <v/>
      </c>
      <c r="F313" s="211" t="str">
        <f>IFERROR(VLOOKUP($C313,'PORTIFÓLIO'!C:V,4,0),"")</f>
        <v/>
      </c>
      <c r="G313" s="215" t="str">
        <f>IFERROR(VLOOKUP($C313,'PORTIFÓLIO'!C:V,5,0),"")</f>
        <v/>
      </c>
      <c r="H313" s="254" t="str">
        <f t="array" ref="H313">IFERROR(INDEX('PORTIFÓLIO'!$H$4:$H$433,MATCH($C313,'PORTIFÓLIO'!$C$4:$C$433,0)),"")</f>
        <v/>
      </c>
      <c r="I313" s="256"/>
      <c r="J313" s="218">
        <f t="shared" si="35"/>
        <v>0</v>
      </c>
      <c r="K313" s="292" t="str">
        <f t="array" ref="K313">IFERROR(I313*INDEX('PORTIFÓLIO'!$S$4:$S$433,MATCH($C313,'PORTIFÓLIO'!$C$4:$C$433,0)),"")</f>
        <v/>
      </c>
      <c r="L313" s="292" t="str">
        <f t="array" ref="L313">IFERROR(J313*INDEX('PORTIFÓLIO'!$S$4:$S$433,MATCH($C313,'PORTIFÓLIO'!$C$4:$C$433,0)),"")</f>
        <v/>
      </c>
      <c r="M313" s="220"/>
      <c r="N313" s="220"/>
      <c r="O313" s="220"/>
      <c r="P313" s="220"/>
      <c r="Q313" s="220"/>
      <c r="R313" s="220"/>
      <c r="S313" s="220"/>
      <c r="T313" s="220"/>
      <c r="U313" s="220"/>
      <c r="V313" s="220"/>
      <c r="W313" s="220"/>
    </row>
    <row r="314" ht="15.75" customHeight="1" outlineLevel="1">
      <c r="A314" s="211"/>
      <c r="B314" s="212"/>
      <c r="C314" s="213"/>
      <c r="D314" s="214" t="str">
        <f>IFERROR(VLOOKUP($C314,'PORTIFÓLIO'!C:V,2,0),"")</f>
        <v/>
      </c>
      <c r="E314" s="211" t="str">
        <f>IFERROR(VLOOKUP($C314,'PORTIFÓLIO'!C:V,3,0),"")</f>
        <v/>
      </c>
      <c r="F314" s="211" t="str">
        <f>IFERROR(VLOOKUP($C314,'PORTIFÓLIO'!C:V,4,0),"")</f>
        <v/>
      </c>
      <c r="G314" s="215" t="str">
        <f>IFERROR(VLOOKUP($C314,'PORTIFÓLIO'!C:V,5,0),"")</f>
        <v/>
      </c>
      <c r="H314" s="254" t="str">
        <f t="array" ref="H314">IFERROR(INDEX('PORTIFÓLIO'!$H$4:$H$433,MATCH($C314,'PORTIFÓLIO'!$C$4:$C$433,0)),"")</f>
        <v/>
      </c>
      <c r="I314" s="256"/>
      <c r="J314" s="218">
        <f t="shared" si="35"/>
        <v>0</v>
      </c>
      <c r="K314" s="292" t="str">
        <f t="array" ref="K314">IFERROR(I314*INDEX('PORTIFÓLIO'!$S$4:$S$433,MATCH($C314,'PORTIFÓLIO'!$C$4:$C$433,0)),"")</f>
        <v/>
      </c>
      <c r="L314" s="292" t="str">
        <f t="array" ref="L314">IFERROR(J314*INDEX('PORTIFÓLIO'!$S$4:$S$433,MATCH($C314,'PORTIFÓLIO'!$C$4:$C$433,0)),"")</f>
        <v/>
      </c>
      <c r="M314" s="220"/>
      <c r="N314" s="220"/>
      <c r="O314" s="220"/>
      <c r="P314" s="220"/>
      <c r="Q314" s="220"/>
      <c r="R314" s="220"/>
      <c r="S314" s="220"/>
      <c r="T314" s="220"/>
      <c r="U314" s="220"/>
      <c r="V314" s="220"/>
      <c r="W314" s="220"/>
    </row>
    <row r="315" ht="15.75" customHeight="1" outlineLevel="1">
      <c r="A315" s="211"/>
      <c r="B315" s="212"/>
      <c r="C315" s="213"/>
      <c r="D315" s="214" t="str">
        <f>IFERROR(VLOOKUP($C315,'PORTIFÓLIO'!C:V,2,0),"")</f>
        <v/>
      </c>
      <c r="E315" s="211" t="str">
        <f>IFERROR(VLOOKUP($C315,'PORTIFÓLIO'!C:V,3,0),"")</f>
        <v/>
      </c>
      <c r="F315" s="211" t="str">
        <f>IFERROR(VLOOKUP($C315,'PORTIFÓLIO'!C:V,4,0),"")</f>
        <v/>
      </c>
      <c r="G315" s="215" t="str">
        <f>IFERROR(VLOOKUP($C315,'PORTIFÓLIO'!C:V,5,0),"")</f>
        <v/>
      </c>
      <c r="H315" s="254" t="str">
        <f t="array" ref="H315">IFERROR(INDEX('PORTIFÓLIO'!$H$4:$H$433,MATCH($C315,'PORTIFÓLIO'!$C$4:$C$433,0)),"")</f>
        <v/>
      </c>
      <c r="I315" s="256"/>
      <c r="J315" s="218">
        <f t="shared" si="35"/>
        <v>0</v>
      </c>
      <c r="K315" s="292" t="str">
        <f t="array" ref="K315">IFERROR(I315*INDEX('PORTIFÓLIO'!$S$4:$S$433,MATCH($C315,'PORTIFÓLIO'!$C$4:$C$433,0)),"")</f>
        <v/>
      </c>
      <c r="L315" s="292" t="str">
        <f t="array" ref="L315">IFERROR(J315*INDEX('PORTIFÓLIO'!$S$4:$S$433,MATCH($C315,'PORTIFÓLIO'!$C$4:$C$433,0)),"")</f>
        <v/>
      </c>
      <c r="M315" s="220"/>
      <c r="N315" s="220"/>
      <c r="O315" s="220"/>
      <c r="P315" s="220"/>
      <c r="Q315" s="220"/>
      <c r="R315" s="220"/>
      <c r="S315" s="220"/>
      <c r="T315" s="220"/>
      <c r="U315" s="220"/>
      <c r="V315" s="220"/>
      <c r="W315" s="220"/>
    </row>
    <row r="316" ht="15.75" customHeight="1" outlineLevel="1">
      <c r="A316" s="211"/>
      <c r="B316" s="212"/>
      <c r="C316" s="213"/>
      <c r="D316" s="214" t="str">
        <f>IFERROR(VLOOKUP($C316,'PORTIFÓLIO'!C:V,2,0),"")</f>
        <v/>
      </c>
      <c r="E316" s="211" t="str">
        <f>IFERROR(VLOOKUP($C316,'PORTIFÓLIO'!C:V,3,0),"")</f>
        <v/>
      </c>
      <c r="F316" s="211" t="str">
        <f>IFERROR(VLOOKUP($C316,'PORTIFÓLIO'!C:V,4,0),"")</f>
        <v/>
      </c>
      <c r="G316" s="215" t="str">
        <f>IFERROR(VLOOKUP($C316,'PORTIFÓLIO'!C:V,5,0),"")</f>
        <v/>
      </c>
      <c r="H316" s="254" t="str">
        <f t="array" ref="H316">IFERROR(INDEX('PORTIFÓLIO'!$H$4:$H$433,MATCH($C316,'PORTIFÓLIO'!$C$4:$C$433,0)),"")</f>
        <v/>
      </c>
      <c r="I316" s="256"/>
      <c r="J316" s="218">
        <f t="shared" si="35"/>
        <v>0</v>
      </c>
      <c r="K316" s="292" t="str">
        <f t="array" ref="K316">IFERROR(I316*INDEX('PORTIFÓLIO'!$S$4:$S$433,MATCH($C316,'PORTIFÓLIO'!$C$4:$C$433,0)),"")</f>
        <v/>
      </c>
      <c r="L316" s="292" t="str">
        <f t="array" ref="L316">IFERROR(J316*INDEX('PORTIFÓLIO'!$S$4:$S$433,MATCH($C316,'PORTIFÓLIO'!$C$4:$C$433,0)),"")</f>
        <v/>
      </c>
      <c r="M316" s="220"/>
      <c r="N316" s="220"/>
      <c r="O316" s="220"/>
      <c r="P316" s="220"/>
      <c r="Q316" s="220"/>
      <c r="R316" s="220"/>
      <c r="S316" s="220"/>
      <c r="T316" s="220"/>
      <c r="U316" s="220"/>
      <c r="V316" s="220"/>
      <c r="W316" s="220"/>
    </row>
    <row r="317" ht="15.75" customHeight="1" outlineLevel="1">
      <c r="A317" s="211"/>
      <c r="B317" s="212"/>
      <c r="C317" s="213"/>
      <c r="D317" s="214" t="str">
        <f>IFERROR(VLOOKUP($C317,'PORTIFÓLIO'!C:V,2,0),"")</f>
        <v/>
      </c>
      <c r="E317" s="211" t="str">
        <f>IFERROR(VLOOKUP($C317,'PORTIFÓLIO'!C:V,3,0),"")</f>
        <v/>
      </c>
      <c r="F317" s="211" t="str">
        <f>IFERROR(VLOOKUP($C317,'PORTIFÓLIO'!C:V,4,0),"")</f>
        <v/>
      </c>
      <c r="G317" s="215" t="str">
        <f>IFERROR(VLOOKUP($C317,'PORTIFÓLIO'!C:V,5,0),"")</f>
        <v/>
      </c>
      <c r="H317" s="254" t="str">
        <f t="array" ref="H317">IFERROR(INDEX('PORTIFÓLIO'!$H$4:$H$433,MATCH($C317,'PORTIFÓLIO'!$C$4:$C$433,0)),"")</f>
        <v/>
      </c>
      <c r="I317" s="255"/>
      <c r="J317" s="218">
        <f t="shared" si="35"/>
        <v>0</v>
      </c>
      <c r="K317" s="292" t="str">
        <f t="array" ref="K317">IFERROR(I317*INDEX('PORTIFÓLIO'!$S$4:$S$433,MATCH($C317,'PORTIFÓLIO'!$C$4:$C$433,0)),"")</f>
        <v/>
      </c>
      <c r="L317" s="292" t="str">
        <f t="array" ref="L317">IFERROR(J317*INDEX('PORTIFÓLIO'!$S$4:$S$433,MATCH($C317,'PORTIFÓLIO'!$C$4:$C$433,0)),"")</f>
        <v/>
      </c>
      <c r="M317" s="220"/>
      <c r="N317" s="220"/>
      <c r="O317" s="220"/>
      <c r="P317" s="220"/>
      <c r="Q317" s="220"/>
      <c r="R317" s="220"/>
      <c r="S317" s="220"/>
      <c r="T317" s="220"/>
      <c r="U317" s="220"/>
      <c r="V317" s="220"/>
      <c r="W317" s="220"/>
    </row>
    <row r="318" ht="15.75" customHeight="1" outlineLevel="1">
      <c r="A318" s="211"/>
      <c r="B318" s="212"/>
      <c r="C318" s="213"/>
      <c r="D318" s="214" t="str">
        <f>IFERROR(VLOOKUP($C318,'PORTIFÓLIO'!C:V,2,0),"")</f>
        <v/>
      </c>
      <c r="E318" s="211" t="str">
        <f>IFERROR(VLOOKUP($C318,'PORTIFÓLIO'!C:V,3,0),"")</f>
        <v/>
      </c>
      <c r="F318" s="211" t="str">
        <f>IFERROR(VLOOKUP($C318,'PORTIFÓLIO'!C:V,4,0),"")</f>
        <v/>
      </c>
      <c r="G318" s="215" t="str">
        <f>IFERROR(VLOOKUP($C318,'PORTIFÓLIO'!C:V,5,0),"")</f>
        <v/>
      </c>
      <c r="H318" s="254" t="str">
        <f t="array" ref="H318">IFERROR(INDEX('PORTIFÓLIO'!$H$4:$H$433,MATCH($C318,'PORTIFÓLIO'!$C$4:$C$433,0)),"")</f>
        <v/>
      </c>
      <c r="I318" s="256"/>
      <c r="J318" s="218">
        <f t="shared" si="35"/>
        <v>0</v>
      </c>
      <c r="K318" s="292" t="str">
        <f t="array" ref="K318">IFERROR(I318*INDEX('PORTIFÓLIO'!$S$4:$S$433,MATCH($C318,'PORTIFÓLIO'!$C$4:$C$433,0)),"")</f>
        <v/>
      </c>
      <c r="L318" s="292" t="str">
        <f t="array" ref="L318">IFERROR(J318*INDEX('PORTIFÓLIO'!$S$4:$S$433,MATCH($C318,'PORTIFÓLIO'!$C$4:$C$433,0)),"")</f>
        <v/>
      </c>
      <c r="M318" s="220"/>
      <c r="N318" s="220"/>
      <c r="O318" s="220"/>
      <c r="P318" s="220"/>
      <c r="Q318" s="220"/>
      <c r="R318" s="220"/>
      <c r="S318" s="220"/>
      <c r="T318" s="220"/>
      <c r="U318" s="220"/>
      <c r="V318" s="220"/>
      <c r="W318" s="220"/>
    </row>
    <row r="319" ht="15.75" customHeight="1" outlineLevel="1">
      <c r="A319" s="211"/>
      <c r="B319" s="212"/>
      <c r="C319" s="213"/>
      <c r="D319" s="214" t="str">
        <f>IFERROR(VLOOKUP($C319,'PORTIFÓLIO'!C:V,2,0),"")</f>
        <v/>
      </c>
      <c r="E319" s="211" t="str">
        <f>IFERROR(VLOOKUP($C319,'PORTIFÓLIO'!C:V,3,0),"")</f>
        <v/>
      </c>
      <c r="F319" s="211" t="str">
        <f>IFERROR(VLOOKUP($C319,'PORTIFÓLIO'!C:V,4,0),"")</f>
        <v/>
      </c>
      <c r="G319" s="215" t="str">
        <f>IFERROR(VLOOKUP($C319,'PORTIFÓLIO'!C:V,5,0),"")</f>
        <v/>
      </c>
      <c r="H319" s="254" t="str">
        <f t="array" ref="H319">IFERROR(INDEX('PORTIFÓLIO'!$H$4:$H$433,MATCH($C319,'PORTIFÓLIO'!$C$4:$C$433,0)),"")</f>
        <v/>
      </c>
      <c r="I319" s="256"/>
      <c r="J319" s="218">
        <f t="shared" si="35"/>
        <v>0</v>
      </c>
      <c r="K319" s="292" t="str">
        <f t="array" ref="K319">IFERROR(I319*INDEX('PORTIFÓLIO'!$S$4:$S$433,MATCH($C319,'PORTIFÓLIO'!$C$4:$C$433,0)),"")</f>
        <v/>
      </c>
      <c r="L319" s="292" t="str">
        <f t="array" ref="L319">IFERROR(J319*INDEX('PORTIFÓLIO'!$S$4:$S$433,MATCH($C319,'PORTIFÓLIO'!$C$4:$C$433,0)),"")</f>
        <v/>
      </c>
      <c r="M319" s="220"/>
      <c r="N319" s="220"/>
      <c r="O319" s="220"/>
      <c r="P319" s="220"/>
      <c r="Q319" s="220"/>
      <c r="R319" s="220"/>
      <c r="S319" s="220"/>
      <c r="T319" s="220"/>
      <c r="U319" s="220"/>
      <c r="V319" s="220"/>
      <c r="W319" s="220"/>
    </row>
    <row r="320" ht="15.75" customHeight="1" outlineLevel="1">
      <c r="A320" s="211"/>
      <c r="B320" s="212"/>
      <c r="C320" s="213"/>
      <c r="D320" s="214" t="str">
        <f>IFERROR(VLOOKUP($C320,'PORTIFÓLIO'!C:V,2,0),"")</f>
        <v/>
      </c>
      <c r="E320" s="211" t="str">
        <f>IFERROR(VLOOKUP($C320,'PORTIFÓLIO'!C:V,3,0),"")</f>
        <v/>
      </c>
      <c r="F320" s="211" t="str">
        <f>IFERROR(VLOOKUP($C320,'PORTIFÓLIO'!C:V,4,0),"")</f>
        <v/>
      </c>
      <c r="G320" s="215" t="str">
        <f>IFERROR(VLOOKUP($C320,'PORTIFÓLIO'!C:V,5,0),"")</f>
        <v/>
      </c>
      <c r="H320" s="254" t="str">
        <f t="array" ref="H320">IFERROR(INDEX('PORTIFÓLIO'!$H$4:$H$433,MATCH($C320,'PORTIFÓLIO'!$C$4:$C$433,0)),"")</f>
        <v/>
      </c>
      <c r="I320" s="256"/>
      <c r="J320" s="218">
        <f t="shared" si="35"/>
        <v>0</v>
      </c>
      <c r="K320" s="292" t="str">
        <f t="array" ref="K320">IFERROR(I320*INDEX('PORTIFÓLIO'!$S$4:$S$433,MATCH($C320,'PORTIFÓLIO'!$C$4:$C$433,0)),"")</f>
        <v/>
      </c>
      <c r="L320" s="292" t="str">
        <f t="array" ref="L320">IFERROR(J320*INDEX('PORTIFÓLIO'!$S$4:$S$433,MATCH($C320,'PORTIFÓLIO'!$C$4:$C$433,0)),"")</f>
        <v/>
      </c>
      <c r="M320" s="220"/>
      <c r="N320" s="220"/>
      <c r="O320" s="220"/>
      <c r="P320" s="220"/>
      <c r="Q320" s="220"/>
      <c r="R320" s="220"/>
      <c r="S320" s="220"/>
      <c r="T320" s="220"/>
      <c r="U320" s="220"/>
      <c r="V320" s="220"/>
      <c r="W320" s="220"/>
    </row>
    <row r="321" ht="15.75" customHeight="1" outlineLevel="1">
      <c r="A321" s="211"/>
      <c r="B321" s="212"/>
      <c r="C321" s="213"/>
      <c r="D321" s="214" t="str">
        <f>IFERROR(VLOOKUP($C321,'PORTIFÓLIO'!C:V,2,0),"")</f>
        <v/>
      </c>
      <c r="E321" s="211" t="str">
        <f>IFERROR(VLOOKUP($C321,'PORTIFÓLIO'!C:V,3,0),"")</f>
        <v/>
      </c>
      <c r="F321" s="211" t="str">
        <f>IFERROR(VLOOKUP($C321,'PORTIFÓLIO'!C:V,4,0),"")</f>
        <v/>
      </c>
      <c r="G321" s="215" t="str">
        <f>IFERROR(VLOOKUP($C321,'PORTIFÓLIO'!C:V,5,0),"")</f>
        <v/>
      </c>
      <c r="H321" s="254" t="str">
        <f t="array" ref="H321">IFERROR(INDEX('PORTIFÓLIO'!$H$4:$H$433,MATCH($C321,'PORTIFÓLIO'!$C$4:$C$433,0)),"")</f>
        <v/>
      </c>
      <c r="I321" s="256"/>
      <c r="J321" s="218">
        <f t="shared" si="35"/>
        <v>0</v>
      </c>
      <c r="K321" s="292" t="str">
        <f t="array" ref="K321">IFERROR(I321*INDEX('PORTIFÓLIO'!$S$4:$S$433,MATCH($C321,'PORTIFÓLIO'!$C$4:$C$433,0)),"")</f>
        <v/>
      </c>
      <c r="L321" s="292" t="str">
        <f t="array" ref="L321">IFERROR(J321*INDEX('PORTIFÓLIO'!$S$4:$S$433,MATCH($C321,'PORTIFÓLIO'!$C$4:$C$433,0)),"")</f>
        <v/>
      </c>
      <c r="M321" s="220"/>
      <c r="N321" s="220"/>
      <c r="O321" s="220"/>
      <c r="P321" s="220"/>
      <c r="Q321" s="220"/>
      <c r="R321" s="220"/>
      <c r="S321" s="220"/>
      <c r="T321" s="220"/>
      <c r="U321" s="220"/>
      <c r="V321" s="220"/>
      <c r="W321" s="220"/>
    </row>
    <row r="322" ht="15.75" customHeight="1" outlineLevel="1">
      <c r="A322" s="211"/>
      <c r="B322" s="212"/>
      <c r="C322" s="213"/>
      <c r="D322" s="214" t="str">
        <f>IFERROR(VLOOKUP($C322,'PORTIFÓLIO'!C:V,2,0),"")</f>
        <v/>
      </c>
      <c r="E322" s="211" t="str">
        <f>IFERROR(VLOOKUP($C322,'PORTIFÓLIO'!C:V,3,0),"")</f>
        <v/>
      </c>
      <c r="F322" s="211" t="str">
        <f>IFERROR(VLOOKUP($C322,'PORTIFÓLIO'!C:V,4,0),"")</f>
        <v/>
      </c>
      <c r="G322" s="215" t="str">
        <f>IFERROR(VLOOKUP($C322,'PORTIFÓLIO'!C:V,5,0),"")</f>
        <v/>
      </c>
      <c r="H322" s="254" t="str">
        <f t="array" ref="H322">IFERROR(INDEX('PORTIFÓLIO'!$H$4:$H$433,MATCH($C322,'PORTIFÓLIO'!$C$4:$C$433,0)),"")</f>
        <v/>
      </c>
      <c r="I322" s="256"/>
      <c r="J322" s="218">
        <f t="shared" si="35"/>
        <v>0</v>
      </c>
      <c r="K322" s="292" t="str">
        <f t="array" ref="K322">IFERROR(I322*INDEX('PORTIFÓLIO'!$S$4:$S$433,MATCH($C322,'PORTIFÓLIO'!$C$4:$C$433,0)),"")</f>
        <v/>
      </c>
      <c r="L322" s="292" t="str">
        <f t="array" ref="L322">IFERROR(J322*INDEX('PORTIFÓLIO'!$S$4:$S$433,MATCH($C322,'PORTIFÓLIO'!$C$4:$C$433,0)),"")</f>
        <v/>
      </c>
      <c r="M322" s="220"/>
      <c r="N322" s="220"/>
      <c r="O322" s="220"/>
      <c r="P322" s="220"/>
      <c r="Q322" s="220"/>
      <c r="R322" s="220"/>
      <c r="S322" s="220"/>
      <c r="T322" s="220"/>
      <c r="U322" s="220"/>
      <c r="V322" s="220"/>
      <c r="W322" s="220"/>
    </row>
    <row r="323" ht="15.75" customHeight="1" outlineLevel="1">
      <c r="A323" s="211"/>
      <c r="B323" s="212"/>
      <c r="C323" s="213"/>
      <c r="D323" s="214" t="str">
        <f>IFERROR(VLOOKUP($C323,'PORTIFÓLIO'!C:V,2,0),"")</f>
        <v/>
      </c>
      <c r="E323" s="211" t="str">
        <f>IFERROR(VLOOKUP($C323,'PORTIFÓLIO'!C:V,3,0),"")</f>
        <v/>
      </c>
      <c r="F323" s="211" t="str">
        <f>IFERROR(VLOOKUP($C323,'PORTIFÓLIO'!C:V,4,0),"")</f>
        <v/>
      </c>
      <c r="G323" s="215" t="str">
        <f>IFERROR(VLOOKUP($C323,'PORTIFÓLIO'!C:V,5,0),"")</f>
        <v/>
      </c>
      <c r="H323" s="254" t="str">
        <f t="array" ref="H323">IFERROR(INDEX('PORTIFÓLIO'!$H$4:$H$433,MATCH($C323,'PORTIFÓLIO'!$C$4:$C$433,0)),"")</f>
        <v/>
      </c>
      <c r="I323" s="256"/>
      <c r="J323" s="218">
        <f t="shared" si="35"/>
        <v>0</v>
      </c>
      <c r="K323" s="292" t="str">
        <f t="array" ref="K323">IFERROR(I323*INDEX('PORTIFÓLIO'!$S$4:$S$433,MATCH($C323,'PORTIFÓLIO'!$C$4:$C$433,0)),"")</f>
        <v/>
      </c>
      <c r="L323" s="292" t="str">
        <f t="array" ref="L323">IFERROR(J323*INDEX('PORTIFÓLIO'!$S$4:$S$433,MATCH($C323,'PORTIFÓLIO'!$C$4:$C$433,0)),"")</f>
        <v/>
      </c>
      <c r="M323" s="220"/>
      <c r="N323" s="220"/>
      <c r="O323" s="220"/>
      <c r="P323" s="220"/>
      <c r="Q323" s="220"/>
      <c r="R323" s="220"/>
      <c r="S323" s="220"/>
      <c r="T323" s="220"/>
      <c r="U323" s="220"/>
      <c r="V323" s="220"/>
      <c r="W323" s="220"/>
    </row>
    <row r="324" ht="15.75" customHeight="1">
      <c r="A324" s="229" t="s">
        <v>1189</v>
      </c>
      <c r="B324" s="230"/>
      <c r="C324" s="231"/>
      <c r="D324" s="232"/>
      <c r="E324" s="231"/>
      <c r="F324" s="231"/>
      <c r="G324" s="233"/>
      <c r="H324" s="233"/>
      <c r="I324" s="258"/>
      <c r="J324" s="236"/>
      <c r="K324" s="237">
        <f t="shared" ref="K324:L324" si="36">SUBTOTAL(9,K325:K338)</f>
        <v>0</v>
      </c>
      <c r="L324" s="237">
        <f t="shared" si="36"/>
        <v>0</v>
      </c>
      <c r="M324" s="220"/>
      <c r="N324" s="220"/>
      <c r="O324" s="220"/>
      <c r="P324" s="220"/>
      <c r="Q324" s="220"/>
      <c r="R324" s="220"/>
      <c r="S324" s="220"/>
      <c r="T324" s="220"/>
      <c r="U324" s="220"/>
      <c r="V324" s="220"/>
      <c r="W324" s="220"/>
    </row>
    <row r="325" ht="15.75" customHeight="1" outlineLevel="1">
      <c r="A325" s="213"/>
      <c r="B325" s="212"/>
      <c r="C325" s="213"/>
      <c r="D325" s="214" t="str">
        <f>IFERROR(VLOOKUP($C325,'PORTIFÓLIO'!C:V,2,0),"")</f>
        <v/>
      </c>
      <c r="E325" s="211" t="str">
        <f>IFERROR(VLOOKUP($C325,'PORTIFÓLIO'!C:V,3,0),"")</f>
        <v/>
      </c>
      <c r="F325" s="211" t="str">
        <f>IFERROR(VLOOKUP($C325,'PORTIFÓLIO'!C:V,4,0),"")</f>
        <v/>
      </c>
      <c r="G325" s="215" t="str">
        <f>IFERROR(VLOOKUP($C325,'PORTIFÓLIO'!C:V,5,0),"")</f>
        <v/>
      </c>
      <c r="H325" s="254" t="str">
        <f t="array" ref="H325">IFERROR(INDEX('PORTIFÓLIO'!$H$4:$H$433,MATCH($C325,'PORTIFÓLIO'!$C$4:$C$433,0)),"")</f>
        <v/>
      </c>
      <c r="I325" s="255"/>
      <c r="J325" s="218">
        <f t="shared" ref="J325:J339" si="37">I325*$B$2</f>
        <v>0</v>
      </c>
      <c r="K325" s="292" t="str">
        <f t="array" ref="K325">IFERROR(I325*INDEX('PORTIFÓLIO'!$S$4:$S$433,MATCH($C325,'PORTIFÓLIO'!$C$4:$C$433,0)),"")</f>
        <v/>
      </c>
      <c r="L325" s="292" t="str">
        <f t="array" ref="L325">IFERROR(J325*INDEX('PORTIFÓLIO'!$S$4:$S$433,MATCH($C325,'PORTIFÓLIO'!$C$4:$C$433,0)),"")</f>
        <v/>
      </c>
      <c r="M325" s="220"/>
      <c r="N325" s="220"/>
      <c r="O325" s="220"/>
      <c r="P325" s="220"/>
      <c r="Q325" s="220"/>
      <c r="R325" s="220"/>
      <c r="S325" s="220"/>
      <c r="T325" s="220"/>
      <c r="U325" s="220"/>
      <c r="V325" s="220"/>
      <c r="W325" s="220"/>
    </row>
    <row r="326" ht="15.75" customHeight="1" outlineLevel="1">
      <c r="A326" s="211"/>
      <c r="B326" s="212"/>
      <c r="C326" s="213"/>
      <c r="D326" s="214" t="str">
        <f>IFERROR(VLOOKUP($C326,'PORTIFÓLIO'!C:V,2,0),"")</f>
        <v/>
      </c>
      <c r="E326" s="211" t="str">
        <f>IFERROR(VLOOKUP($C326,'PORTIFÓLIO'!C:V,3,0),"")</f>
        <v/>
      </c>
      <c r="F326" s="211" t="str">
        <f>IFERROR(VLOOKUP($C326,'PORTIFÓLIO'!C:V,4,0),"")</f>
        <v/>
      </c>
      <c r="G326" s="215" t="str">
        <f>IFERROR(VLOOKUP($C326,'PORTIFÓLIO'!C:V,5,0),"")</f>
        <v/>
      </c>
      <c r="H326" s="254" t="str">
        <f t="array" ref="H326">IFERROR(INDEX('PORTIFÓLIO'!$H$4:$H$433,MATCH($C326,'PORTIFÓLIO'!$C$4:$C$433,0)),"")</f>
        <v/>
      </c>
      <c r="I326" s="256"/>
      <c r="J326" s="218">
        <f t="shared" si="37"/>
        <v>0</v>
      </c>
      <c r="K326" s="292" t="str">
        <f t="array" ref="K326">IFERROR(I326*INDEX('PORTIFÓLIO'!$S$4:$S$433,MATCH($C326,'PORTIFÓLIO'!$C$4:$C$433,0)),"")</f>
        <v/>
      </c>
      <c r="L326" s="292" t="str">
        <f t="array" ref="L326">IFERROR(J326*INDEX('PORTIFÓLIO'!$S$4:$S$433,MATCH($C326,'PORTIFÓLIO'!$C$4:$C$433,0)),"")</f>
        <v/>
      </c>
      <c r="M326" s="220"/>
      <c r="N326" s="220"/>
      <c r="O326" s="220"/>
      <c r="P326" s="220"/>
      <c r="Q326" s="220"/>
      <c r="R326" s="220"/>
      <c r="S326" s="220"/>
      <c r="T326" s="220"/>
      <c r="U326" s="220"/>
      <c r="V326" s="220"/>
      <c r="W326" s="220"/>
    </row>
    <row r="327" ht="15.75" customHeight="1" outlineLevel="1">
      <c r="A327" s="211"/>
      <c r="B327" s="212"/>
      <c r="C327" s="213"/>
      <c r="D327" s="214" t="str">
        <f>IFERROR(VLOOKUP($C327,'PORTIFÓLIO'!C:V,2,0),"")</f>
        <v/>
      </c>
      <c r="E327" s="211" t="str">
        <f>IFERROR(VLOOKUP($C327,'PORTIFÓLIO'!C:V,3,0),"")</f>
        <v/>
      </c>
      <c r="F327" s="211" t="str">
        <f>IFERROR(VLOOKUP($C327,'PORTIFÓLIO'!C:V,4,0),"")</f>
        <v/>
      </c>
      <c r="G327" s="215" t="str">
        <f>IFERROR(VLOOKUP($C327,'PORTIFÓLIO'!C:V,5,0),"")</f>
        <v/>
      </c>
      <c r="H327" s="254" t="str">
        <f t="array" ref="H327">IFERROR(INDEX('PORTIFÓLIO'!$H$4:$H$433,MATCH($C327,'PORTIFÓLIO'!$C$4:$C$433,0)),"")</f>
        <v/>
      </c>
      <c r="I327" s="256"/>
      <c r="J327" s="218">
        <f t="shared" si="37"/>
        <v>0</v>
      </c>
      <c r="K327" s="292" t="str">
        <f t="array" ref="K327">IFERROR(I327*INDEX('PORTIFÓLIO'!$S$4:$S$433,MATCH($C327,'PORTIFÓLIO'!$C$4:$C$433,0)),"")</f>
        <v/>
      </c>
      <c r="L327" s="292" t="str">
        <f t="array" ref="L327">IFERROR(J327*INDEX('PORTIFÓLIO'!$S$4:$S$433,MATCH($C327,'PORTIFÓLIO'!$C$4:$C$433,0)),"")</f>
        <v/>
      </c>
      <c r="M327" s="220"/>
      <c r="N327" s="220"/>
      <c r="O327" s="220"/>
      <c r="P327" s="220"/>
      <c r="Q327" s="220"/>
      <c r="R327" s="220"/>
      <c r="S327" s="220"/>
      <c r="T327" s="220"/>
      <c r="U327" s="220"/>
      <c r="V327" s="220"/>
      <c r="W327" s="220"/>
    </row>
    <row r="328" ht="15.75" customHeight="1" outlineLevel="1">
      <c r="A328" s="211"/>
      <c r="B328" s="212"/>
      <c r="C328" s="213"/>
      <c r="D328" s="214" t="str">
        <f>IFERROR(VLOOKUP($C328,'PORTIFÓLIO'!C:V,2,0),"")</f>
        <v/>
      </c>
      <c r="E328" s="211" t="str">
        <f>IFERROR(VLOOKUP($C328,'PORTIFÓLIO'!C:V,3,0),"")</f>
        <v/>
      </c>
      <c r="F328" s="211" t="str">
        <f>IFERROR(VLOOKUP($C328,'PORTIFÓLIO'!C:V,4,0),"")</f>
        <v/>
      </c>
      <c r="G328" s="215" t="str">
        <f>IFERROR(VLOOKUP($C328,'PORTIFÓLIO'!C:V,5,0),"")</f>
        <v/>
      </c>
      <c r="H328" s="254" t="str">
        <f t="array" ref="H328">IFERROR(INDEX('PORTIFÓLIO'!$H$4:$H$433,MATCH($C328,'PORTIFÓLIO'!$C$4:$C$433,0)),"")</f>
        <v/>
      </c>
      <c r="I328" s="256"/>
      <c r="J328" s="218">
        <f t="shared" si="37"/>
        <v>0</v>
      </c>
      <c r="K328" s="292" t="str">
        <f t="array" ref="K328">IFERROR(I328*INDEX('PORTIFÓLIO'!$S$4:$S$433,MATCH($C328,'PORTIFÓLIO'!$C$4:$C$433,0)),"")</f>
        <v/>
      </c>
      <c r="L328" s="292" t="str">
        <f t="array" ref="L328">IFERROR(J328*INDEX('PORTIFÓLIO'!$S$4:$S$433,MATCH($C328,'PORTIFÓLIO'!$C$4:$C$433,0)),"")</f>
        <v/>
      </c>
      <c r="M328" s="220"/>
      <c r="N328" s="220"/>
      <c r="O328" s="220"/>
      <c r="P328" s="220"/>
      <c r="Q328" s="220"/>
      <c r="R328" s="220"/>
      <c r="S328" s="220"/>
      <c r="T328" s="220"/>
      <c r="U328" s="220"/>
      <c r="V328" s="220"/>
      <c r="W328" s="220"/>
    </row>
    <row r="329" ht="15.75" customHeight="1" outlineLevel="1">
      <c r="A329" s="211"/>
      <c r="B329" s="212"/>
      <c r="C329" s="213"/>
      <c r="D329" s="214" t="str">
        <f>IFERROR(VLOOKUP($C329,'PORTIFÓLIO'!C:V,2,0),"")</f>
        <v/>
      </c>
      <c r="E329" s="211" t="str">
        <f>IFERROR(VLOOKUP($C329,'PORTIFÓLIO'!C:V,3,0),"")</f>
        <v/>
      </c>
      <c r="F329" s="211" t="str">
        <f>IFERROR(VLOOKUP($C329,'PORTIFÓLIO'!C:V,4,0),"")</f>
        <v/>
      </c>
      <c r="G329" s="215" t="str">
        <f>IFERROR(VLOOKUP($C329,'PORTIFÓLIO'!C:V,5,0),"")</f>
        <v/>
      </c>
      <c r="H329" s="254" t="str">
        <f t="array" ref="H329">IFERROR(INDEX('PORTIFÓLIO'!$H$4:$H$433,MATCH($C329,'PORTIFÓLIO'!$C$4:$C$433,0)),"")</f>
        <v/>
      </c>
      <c r="I329" s="256"/>
      <c r="J329" s="218">
        <f t="shared" si="37"/>
        <v>0</v>
      </c>
      <c r="K329" s="292" t="str">
        <f t="array" ref="K329">IFERROR(I329*INDEX('PORTIFÓLIO'!$S$4:$S$433,MATCH($C329,'PORTIFÓLIO'!$C$4:$C$433,0)),"")</f>
        <v/>
      </c>
      <c r="L329" s="292" t="str">
        <f t="array" ref="L329">IFERROR(J329*INDEX('PORTIFÓLIO'!$S$4:$S$433,MATCH($C329,'PORTIFÓLIO'!$C$4:$C$433,0)),"")</f>
        <v/>
      </c>
      <c r="M329" s="220"/>
      <c r="N329" s="220"/>
      <c r="O329" s="220"/>
      <c r="P329" s="220"/>
      <c r="Q329" s="220"/>
      <c r="R329" s="220"/>
      <c r="S329" s="220"/>
      <c r="T329" s="220"/>
      <c r="U329" s="220"/>
      <c r="V329" s="220"/>
      <c r="W329" s="220"/>
    </row>
    <row r="330" ht="15.75" customHeight="1" outlineLevel="1">
      <c r="A330" s="211"/>
      <c r="B330" s="212"/>
      <c r="C330" s="213"/>
      <c r="D330" s="214" t="str">
        <f>IFERROR(VLOOKUP($C330,'PORTIFÓLIO'!C:V,2,0),"")</f>
        <v/>
      </c>
      <c r="E330" s="211" t="str">
        <f>IFERROR(VLOOKUP($C330,'PORTIFÓLIO'!C:V,3,0),"")</f>
        <v/>
      </c>
      <c r="F330" s="211" t="str">
        <f>IFERROR(VLOOKUP($C330,'PORTIFÓLIO'!C:V,4,0),"")</f>
        <v/>
      </c>
      <c r="G330" s="215" t="str">
        <f>IFERROR(VLOOKUP($C330,'PORTIFÓLIO'!C:V,5,0),"")</f>
        <v/>
      </c>
      <c r="H330" s="254" t="str">
        <f t="array" ref="H330">IFERROR(INDEX('PORTIFÓLIO'!$H$4:$H$433,MATCH($C330,'PORTIFÓLIO'!$C$4:$C$433,0)),"")</f>
        <v/>
      </c>
      <c r="I330" s="256"/>
      <c r="J330" s="218">
        <f t="shared" si="37"/>
        <v>0</v>
      </c>
      <c r="K330" s="292" t="str">
        <f t="array" ref="K330">IFERROR(I330*INDEX('PORTIFÓLIO'!$S$4:$S$433,MATCH($C330,'PORTIFÓLIO'!$C$4:$C$433,0)),"")</f>
        <v/>
      </c>
      <c r="L330" s="292" t="str">
        <f t="array" ref="L330">IFERROR(J330*INDEX('PORTIFÓLIO'!$S$4:$S$433,MATCH($C330,'PORTIFÓLIO'!$C$4:$C$433,0)),"")</f>
        <v/>
      </c>
      <c r="M330" s="220"/>
      <c r="N330" s="220"/>
      <c r="O330" s="220"/>
      <c r="P330" s="220"/>
      <c r="Q330" s="220"/>
      <c r="R330" s="220"/>
      <c r="S330" s="220"/>
      <c r="T330" s="220"/>
      <c r="U330" s="220"/>
      <c r="V330" s="220"/>
      <c r="W330" s="220"/>
    </row>
    <row r="331" ht="15.75" customHeight="1" outlineLevel="1">
      <c r="A331" s="211"/>
      <c r="B331" s="212"/>
      <c r="C331" s="213"/>
      <c r="D331" s="214" t="str">
        <f>IFERROR(VLOOKUP($C331,'PORTIFÓLIO'!C:V,2,0),"")</f>
        <v/>
      </c>
      <c r="E331" s="211" t="str">
        <f>IFERROR(VLOOKUP($C331,'PORTIFÓLIO'!C:V,3,0),"")</f>
        <v/>
      </c>
      <c r="F331" s="211" t="str">
        <f>IFERROR(VLOOKUP($C331,'PORTIFÓLIO'!C:V,4,0),"")</f>
        <v/>
      </c>
      <c r="G331" s="215" t="str">
        <f>IFERROR(VLOOKUP($C331,'PORTIFÓLIO'!C:V,5,0),"")</f>
        <v/>
      </c>
      <c r="H331" s="254" t="str">
        <f t="array" ref="H331">IFERROR(INDEX('PORTIFÓLIO'!$H$4:$H$433,MATCH($C331,'PORTIFÓLIO'!$C$4:$C$433,0)),"")</f>
        <v/>
      </c>
      <c r="I331" s="256"/>
      <c r="J331" s="218">
        <f t="shared" si="37"/>
        <v>0</v>
      </c>
      <c r="K331" s="292" t="str">
        <f t="array" ref="K331">IFERROR(I331*INDEX('PORTIFÓLIO'!$S$4:$S$433,MATCH($C331,'PORTIFÓLIO'!$C$4:$C$433,0)),"")</f>
        <v/>
      </c>
      <c r="L331" s="292" t="str">
        <f t="array" ref="L331">IFERROR(J331*INDEX('PORTIFÓLIO'!$S$4:$S$433,MATCH($C331,'PORTIFÓLIO'!$C$4:$C$433,0)),"")</f>
        <v/>
      </c>
      <c r="M331" s="220"/>
      <c r="N331" s="220"/>
      <c r="O331" s="220"/>
      <c r="P331" s="220"/>
      <c r="Q331" s="220"/>
      <c r="R331" s="220"/>
      <c r="S331" s="220"/>
      <c r="T331" s="220"/>
      <c r="U331" s="220"/>
      <c r="V331" s="220"/>
      <c r="W331" s="220"/>
    </row>
    <row r="332" ht="15.75" customHeight="1" outlineLevel="1">
      <c r="A332" s="211"/>
      <c r="B332" s="212"/>
      <c r="C332" s="213"/>
      <c r="D332" s="214" t="str">
        <f>IFERROR(VLOOKUP($C332,'PORTIFÓLIO'!C:V,2,0),"")</f>
        <v/>
      </c>
      <c r="E332" s="211" t="str">
        <f>IFERROR(VLOOKUP($C332,'PORTIFÓLIO'!C:V,3,0),"")</f>
        <v/>
      </c>
      <c r="F332" s="211" t="str">
        <f>IFERROR(VLOOKUP($C332,'PORTIFÓLIO'!C:V,4,0),"")</f>
        <v/>
      </c>
      <c r="G332" s="215" t="str">
        <f>IFERROR(VLOOKUP($C332,'PORTIFÓLIO'!C:V,5,0),"")</f>
        <v/>
      </c>
      <c r="H332" s="254" t="str">
        <f t="array" ref="H332">IFERROR(INDEX('PORTIFÓLIO'!$H$4:$H$433,MATCH($C332,'PORTIFÓLIO'!$C$4:$C$433,0)),"")</f>
        <v/>
      </c>
      <c r="I332" s="256"/>
      <c r="J332" s="218">
        <f t="shared" si="37"/>
        <v>0</v>
      </c>
      <c r="K332" s="292" t="str">
        <f t="array" ref="K332">IFERROR(I332*INDEX('PORTIFÓLIO'!$S$4:$S$433,MATCH($C332,'PORTIFÓLIO'!$C$4:$C$433,0)),"")</f>
        <v/>
      </c>
      <c r="L332" s="292" t="str">
        <f t="array" ref="L332">IFERROR(J332*INDEX('PORTIFÓLIO'!$S$4:$S$433,MATCH($C332,'PORTIFÓLIO'!$C$4:$C$433,0)),"")</f>
        <v/>
      </c>
      <c r="M332" s="220"/>
      <c r="N332" s="220"/>
      <c r="O332" s="220"/>
      <c r="P332" s="220"/>
      <c r="Q332" s="220"/>
      <c r="R332" s="220"/>
      <c r="S332" s="220"/>
      <c r="T332" s="220"/>
      <c r="U332" s="220"/>
      <c r="V332" s="220"/>
      <c r="W332" s="220"/>
    </row>
    <row r="333" ht="15.75" customHeight="1" outlineLevel="1">
      <c r="A333" s="211"/>
      <c r="B333" s="212"/>
      <c r="C333" s="213"/>
      <c r="D333" s="214" t="str">
        <f>IFERROR(VLOOKUP($C333,'PORTIFÓLIO'!C:V,2,0),"")</f>
        <v/>
      </c>
      <c r="E333" s="211" t="str">
        <f>IFERROR(VLOOKUP($C333,'PORTIFÓLIO'!C:V,3,0),"")</f>
        <v/>
      </c>
      <c r="F333" s="211" t="str">
        <f>IFERROR(VLOOKUP($C333,'PORTIFÓLIO'!C:V,4,0),"")</f>
        <v/>
      </c>
      <c r="G333" s="215" t="str">
        <f>IFERROR(VLOOKUP($C333,'PORTIFÓLIO'!C:V,5,0),"")</f>
        <v/>
      </c>
      <c r="H333" s="254" t="str">
        <f t="array" ref="H333">IFERROR(INDEX('PORTIFÓLIO'!$H$4:$H$433,MATCH($C333,'PORTIFÓLIO'!$C$4:$C$433,0)),"")</f>
        <v/>
      </c>
      <c r="I333" s="255"/>
      <c r="J333" s="218">
        <f t="shared" si="37"/>
        <v>0</v>
      </c>
      <c r="K333" s="292" t="str">
        <f t="array" ref="K333">IFERROR(I333*INDEX('PORTIFÓLIO'!$S$4:$S$433,MATCH($C333,'PORTIFÓLIO'!$C$4:$C$433,0)),"")</f>
        <v/>
      </c>
      <c r="L333" s="292" t="str">
        <f t="array" ref="L333">IFERROR(J333*INDEX('PORTIFÓLIO'!$S$4:$S$433,MATCH($C333,'PORTIFÓLIO'!$C$4:$C$433,0)),"")</f>
        <v/>
      </c>
      <c r="M333" s="220"/>
      <c r="N333" s="220"/>
      <c r="O333" s="220"/>
      <c r="P333" s="220"/>
      <c r="Q333" s="220"/>
      <c r="R333" s="220"/>
      <c r="S333" s="220"/>
      <c r="T333" s="220"/>
      <c r="U333" s="220"/>
      <c r="V333" s="220"/>
      <c r="W333" s="220"/>
    </row>
    <row r="334" ht="15.75" customHeight="1" outlineLevel="1">
      <c r="A334" s="211"/>
      <c r="B334" s="212"/>
      <c r="C334" s="213"/>
      <c r="D334" s="214" t="str">
        <f>IFERROR(VLOOKUP($C334,'PORTIFÓLIO'!C:V,2,0),"")</f>
        <v/>
      </c>
      <c r="E334" s="211" t="str">
        <f>IFERROR(VLOOKUP($C334,'PORTIFÓLIO'!C:V,3,0),"")</f>
        <v/>
      </c>
      <c r="F334" s="211" t="str">
        <f>IFERROR(VLOOKUP($C334,'PORTIFÓLIO'!C:V,4,0),"")</f>
        <v/>
      </c>
      <c r="G334" s="215" t="str">
        <f>IFERROR(VLOOKUP($C334,'PORTIFÓLIO'!C:V,5,0),"")</f>
        <v/>
      </c>
      <c r="H334" s="254" t="str">
        <f t="array" ref="H334">IFERROR(INDEX('PORTIFÓLIO'!$H$4:$H$433,MATCH($C334,'PORTIFÓLIO'!$C$4:$C$433,0)),"")</f>
        <v/>
      </c>
      <c r="I334" s="256"/>
      <c r="J334" s="218">
        <f t="shared" si="37"/>
        <v>0</v>
      </c>
      <c r="K334" s="292" t="str">
        <f t="array" ref="K334">IFERROR(I334*INDEX('PORTIFÓLIO'!$S$4:$S$433,MATCH($C334,'PORTIFÓLIO'!$C$4:$C$433,0)),"")</f>
        <v/>
      </c>
      <c r="L334" s="292" t="str">
        <f t="array" ref="L334">IFERROR(J334*INDEX('PORTIFÓLIO'!$S$4:$S$433,MATCH($C334,'PORTIFÓLIO'!$C$4:$C$433,0)),"")</f>
        <v/>
      </c>
      <c r="M334" s="220"/>
      <c r="N334" s="220"/>
      <c r="O334" s="220"/>
      <c r="P334" s="220"/>
      <c r="Q334" s="220"/>
      <c r="R334" s="220"/>
      <c r="S334" s="220"/>
      <c r="T334" s="220"/>
      <c r="U334" s="220"/>
      <c r="V334" s="220"/>
      <c r="W334" s="220"/>
    </row>
    <row r="335" ht="15.75" customHeight="1" outlineLevel="1">
      <c r="A335" s="211"/>
      <c r="B335" s="212"/>
      <c r="C335" s="213"/>
      <c r="D335" s="214" t="str">
        <f>IFERROR(VLOOKUP($C335,'PORTIFÓLIO'!C:V,2,0),"")</f>
        <v/>
      </c>
      <c r="E335" s="211" t="str">
        <f>IFERROR(VLOOKUP($C335,'PORTIFÓLIO'!C:V,3,0),"")</f>
        <v/>
      </c>
      <c r="F335" s="211" t="str">
        <f>IFERROR(VLOOKUP($C335,'PORTIFÓLIO'!C:V,4,0),"")</f>
        <v/>
      </c>
      <c r="G335" s="215" t="str">
        <f>IFERROR(VLOOKUP($C335,'PORTIFÓLIO'!C:V,5,0),"")</f>
        <v/>
      </c>
      <c r="H335" s="254" t="str">
        <f t="array" ref="H335">IFERROR(INDEX('PORTIFÓLIO'!$H$4:$H$433,MATCH($C335,'PORTIFÓLIO'!$C$4:$C$433,0)),"")</f>
        <v/>
      </c>
      <c r="I335" s="256"/>
      <c r="J335" s="218">
        <f t="shared" si="37"/>
        <v>0</v>
      </c>
      <c r="K335" s="292" t="str">
        <f t="array" ref="K335">IFERROR(I335*INDEX('PORTIFÓLIO'!$S$4:$S$433,MATCH($C335,'PORTIFÓLIO'!$C$4:$C$433,0)),"")</f>
        <v/>
      </c>
      <c r="L335" s="292" t="str">
        <f t="array" ref="L335">IFERROR(J335*INDEX('PORTIFÓLIO'!$S$4:$S$433,MATCH($C335,'PORTIFÓLIO'!$C$4:$C$433,0)),"")</f>
        <v/>
      </c>
      <c r="M335" s="220"/>
      <c r="N335" s="220"/>
      <c r="O335" s="220"/>
      <c r="P335" s="220"/>
      <c r="Q335" s="220"/>
      <c r="R335" s="220"/>
      <c r="S335" s="220"/>
      <c r="T335" s="220"/>
      <c r="U335" s="220"/>
      <c r="V335" s="220"/>
      <c r="W335" s="220"/>
    </row>
    <row r="336" ht="15.75" customHeight="1" outlineLevel="1">
      <c r="A336" s="211"/>
      <c r="B336" s="212"/>
      <c r="C336" s="213"/>
      <c r="D336" s="214" t="str">
        <f>IFERROR(VLOOKUP($C336,'PORTIFÓLIO'!C:V,2,0),"")</f>
        <v/>
      </c>
      <c r="E336" s="211" t="str">
        <f>IFERROR(VLOOKUP($C336,'PORTIFÓLIO'!C:V,3,0),"")</f>
        <v/>
      </c>
      <c r="F336" s="211" t="str">
        <f>IFERROR(VLOOKUP($C336,'PORTIFÓLIO'!C:V,4,0),"")</f>
        <v/>
      </c>
      <c r="G336" s="215" t="str">
        <f>IFERROR(VLOOKUP($C336,'PORTIFÓLIO'!C:V,5,0),"")</f>
        <v/>
      </c>
      <c r="H336" s="254" t="str">
        <f t="array" ref="H336">IFERROR(INDEX('PORTIFÓLIO'!$H$4:$H$433,MATCH($C336,'PORTIFÓLIO'!$C$4:$C$433,0)),"")</f>
        <v/>
      </c>
      <c r="I336" s="256"/>
      <c r="J336" s="218">
        <f t="shared" si="37"/>
        <v>0</v>
      </c>
      <c r="K336" s="292" t="str">
        <f t="array" ref="K336">IFERROR(I336*INDEX('PORTIFÓLIO'!$S$4:$S$433,MATCH($C336,'PORTIFÓLIO'!$C$4:$C$433,0)),"")</f>
        <v/>
      </c>
      <c r="L336" s="292" t="str">
        <f t="array" ref="L336">IFERROR(J336*INDEX('PORTIFÓLIO'!$S$4:$S$433,MATCH($C336,'PORTIFÓLIO'!$C$4:$C$433,0)),"")</f>
        <v/>
      </c>
      <c r="M336" s="220"/>
      <c r="N336" s="220"/>
      <c r="O336" s="220"/>
      <c r="P336" s="220"/>
      <c r="Q336" s="220"/>
      <c r="R336" s="220"/>
      <c r="S336" s="220"/>
      <c r="T336" s="220"/>
      <c r="U336" s="220"/>
      <c r="V336" s="220"/>
      <c r="W336" s="220"/>
    </row>
    <row r="337" ht="15.75" customHeight="1" outlineLevel="1">
      <c r="A337" s="211"/>
      <c r="B337" s="212"/>
      <c r="C337" s="213"/>
      <c r="D337" s="214" t="str">
        <f>IFERROR(VLOOKUP($C337,'PORTIFÓLIO'!C:V,2,0),"")</f>
        <v/>
      </c>
      <c r="E337" s="211" t="str">
        <f>IFERROR(VLOOKUP($C337,'PORTIFÓLIO'!C:V,3,0),"")</f>
        <v/>
      </c>
      <c r="F337" s="211" t="str">
        <f>IFERROR(VLOOKUP($C337,'PORTIFÓLIO'!C:V,4,0),"")</f>
        <v/>
      </c>
      <c r="G337" s="215" t="str">
        <f>IFERROR(VLOOKUP($C337,'PORTIFÓLIO'!C:V,5,0),"")</f>
        <v/>
      </c>
      <c r="H337" s="254" t="str">
        <f t="array" ref="H337">IFERROR(INDEX('PORTIFÓLIO'!$H$4:$H$433,MATCH($C337,'PORTIFÓLIO'!$C$4:$C$433,0)),"")</f>
        <v/>
      </c>
      <c r="I337" s="256"/>
      <c r="J337" s="218">
        <f t="shared" si="37"/>
        <v>0</v>
      </c>
      <c r="K337" s="292" t="str">
        <f t="array" ref="K337">IFERROR(I337*INDEX('PORTIFÓLIO'!$S$4:$S$433,MATCH($C337,'PORTIFÓLIO'!$C$4:$C$433,0)),"")</f>
        <v/>
      </c>
      <c r="L337" s="292" t="str">
        <f t="array" ref="L337">IFERROR(J337*INDEX('PORTIFÓLIO'!$S$4:$S$433,MATCH($C337,'PORTIFÓLIO'!$C$4:$C$433,0)),"")</f>
        <v/>
      </c>
      <c r="M337" s="220"/>
      <c r="N337" s="220"/>
      <c r="O337" s="220"/>
      <c r="P337" s="220"/>
      <c r="Q337" s="220"/>
      <c r="R337" s="220"/>
      <c r="S337" s="220"/>
      <c r="T337" s="220"/>
      <c r="U337" s="220"/>
      <c r="V337" s="220"/>
      <c r="W337" s="220"/>
    </row>
    <row r="338" ht="15.75" customHeight="1" outlineLevel="1">
      <c r="A338" s="211"/>
      <c r="B338" s="212"/>
      <c r="C338" s="213"/>
      <c r="D338" s="214" t="str">
        <f>IFERROR(VLOOKUP($C338,'PORTIFÓLIO'!C:V,2,0),"")</f>
        <v/>
      </c>
      <c r="E338" s="211" t="str">
        <f>IFERROR(VLOOKUP($C338,'PORTIFÓLIO'!C:V,3,0),"")</f>
        <v/>
      </c>
      <c r="F338" s="211" t="str">
        <f>IFERROR(VLOOKUP($C338,'PORTIFÓLIO'!C:V,4,0),"")</f>
        <v/>
      </c>
      <c r="G338" s="215" t="str">
        <f>IFERROR(VLOOKUP($C338,'PORTIFÓLIO'!C:V,5,0),"")</f>
        <v/>
      </c>
      <c r="H338" s="254" t="str">
        <f t="array" ref="H338">IFERROR(INDEX('PORTIFÓLIO'!$H$4:$H$433,MATCH($C338,'PORTIFÓLIO'!$C$4:$C$433,0)),"")</f>
        <v/>
      </c>
      <c r="I338" s="256"/>
      <c r="J338" s="218">
        <f t="shared" si="37"/>
        <v>0</v>
      </c>
      <c r="K338" s="292" t="str">
        <f t="array" ref="K338">IFERROR(I338*INDEX('PORTIFÓLIO'!$S$4:$S$433,MATCH($C338,'PORTIFÓLIO'!$C$4:$C$433,0)),"")</f>
        <v/>
      </c>
      <c r="L338" s="292" t="str">
        <f t="array" ref="L338">IFERROR(J338*INDEX('PORTIFÓLIO'!$S$4:$S$433,MATCH($C338,'PORTIFÓLIO'!$C$4:$C$433,0)),"")</f>
        <v/>
      </c>
      <c r="M338" s="220"/>
      <c r="N338" s="220"/>
      <c r="O338" s="220"/>
      <c r="P338" s="220"/>
      <c r="Q338" s="220"/>
      <c r="R338" s="220"/>
      <c r="S338" s="220"/>
      <c r="T338" s="220"/>
      <c r="U338" s="220"/>
      <c r="V338" s="220"/>
      <c r="W338" s="220"/>
    </row>
    <row r="339" ht="15.75" customHeight="1" outlineLevel="1">
      <c r="A339" s="211"/>
      <c r="B339" s="212"/>
      <c r="C339" s="213"/>
      <c r="D339" s="214" t="str">
        <f>IFERROR(VLOOKUP($C339,'PORTIFÓLIO'!C:V,2,0),"")</f>
        <v/>
      </c>
      <c r="E339" s="211" t="str">
        <f>IFERROR(VLOOKUP($C339,'PORTIFÓLIO'!C:V,3,0),"")</f>
        <v/>
      </c>
      <c r="F339" s="211" t="str">
        <f>IFERROR(VLOOKUP($C339,'PORTIFÓLIO'!C:V,4,0),"")</f>
        <v/>
      </c>
      <c r="G339" s="215" t="str">
        <f>IFERROR(VLOOKUP($C339,'PORTIFÓLIO'!C:V,5,0),"")</f>
        <v/>
      </c>
      <c r="H339" s="254" t="str">
        <f t="array" ref="H339">IFERROR(INDEX('PORTIFÓLIO'!$H$4:$H$433,MATCH($C339,'PORTIFÓLIO'!$C$4:$C$433,0)),"")</f>
        <v/>
      </c>
      <c r="I339" s="256"/>
      <c r="J339" s="218">
        <f t="shared" si="37"/>
        <v>0</v>
      </c>
      <c r="K339" s="292" t="str">
        <f t="array" ref="K339">IFERROR(I339*INDEX('PORTIFÓLIO'!$S$4:$S$433,MATCH($C339,'PORTIFÓLIO'!$C$4:$C$433,0)),"")</f>
        <v/>
      </c>
      <c r="L339" s="292" t="str">
        <f t="array" ref="L339">IFERROR(J339*INDEX('PORTIFÓLIO'!$S$4:$S$433,MATCH($C339,'PORTIFÓLIO'!$C$4:$C$433,0)),"")</f>
        <v/>
      </c>
      <c r="M339" s="220"/>
      <c r="N339" s="220"/>
      <c r="O339" s="220"/>
      <c r="P339" s="220"/>
      <c r="Q339" s="220"/>
      <c r="R339" s="220"/>
      <c r="S339" s="220"/>
      <c r="T339" s="220"/>
      <c r="U339" s="220"/>
      <c r="V339" s="220"/>
      <c r="W339" s="220"/>
    </row>
    <row r="340" ht="15.75" customHeight="1" outlineLevel="1">
      <c r="A340" s="211"/>
      <c r="B340" s="227"/>
      <c r="C340" s="211"/>
      <c r="D340" s="214" t="str">
        <f>IFERROR(VLOOKUP($C340,'PORTIFÓLIO'!C:V,2,0),"")</f>
        <v/>
      </c>
      <c r="E340" s="211" t="str">
        <f>IFERROR(VLOOKUP($C340,'PORTIFÓLIO'!C:V,3,0),"")</f>
        <v/>
      </c>
      <c r="F340" s="211" t="str">
        <f>IFERROR(VLOOKUP($C340,'PORTIFÓLIO'!C:V,4,0),"")</f>
        <v/>
      </c>
      <c r="G340" s="215" t="str">
        <f>IFERROR(VLOOKUP($C340,'PORTIFÓLIO'!C:V,5,0),"")</f>
        <v/>
      </c>
      <c r="H340" s="254" t="str">
        <f t="array" ref="H340">IFERROR(INDEX('PORTIFÓLIO'!$H$4:$H$433,MATCH($C340,'PORTIFÓLIO'!$C$4:$C$433,0)),"")</f>
        <v/>
      </c>
      <c r="I340" s="256"/>
      <c r="J340" s="218"/>
      <c r="K340" s="292" t="str">
        <f t="array" ref="K340">IFERROR(I340*INDEX('PORTIFÓLIO'!$S$4:$S$433,MATCH($C340,'PORTIFÓLIO'!$C$4:$C$433,0)),"")</f>
        <v/>
      </c>
      <c r="L340" s="292" t="str">
        <f t="array" ref="L340">IFERROR(J340*INDEX('PORTIFÓLIO'!$S$4:$S$433,MATCH($C340,'PORTIFÓLIO'!$C$4:$C$433,0)),"")</f>
        <v/>
      </c>
      <c r="M340" s="220"/>
      <c r="N340" s="220"/>
      <c r="O340" s="220"/>
      <c r="P340" s="220"/>
      <c r="Q340" s="220"/>
      <c r="R340" s="220"/>
      <c r="S340" s="220"/>
      <c r="T340" s="220"/>
      <c r="U340" s="220"/>
      <c r="V340" s="220"/>
      <c r="W340" s="220"/>
    </row>
    <row r="341" ht="15.75" customHeight="1">
      <c r="A341" s="229" t="s">
        <v>1190</v>
      </c>
      <c r="B341" s="230"/>
      <c r="C341" s="231"/>
      <c r="D341" s="232"/>
      <c r="E341" s="231"/>
      <c r="F341" s="231"/>
      <c r="G341" s="233"/>
      <c r="H341" s="233"/>
      <c r="I341" s="258"/>
      <c r="J341" s="236"/>
      <c r="K341" s="237">
        <f t="shared" ref="K341:L341" si="38">SUBTOTAL(9,K342:K355)</f>
        <v>0</v>
      </c>
      <c r="L341" s="237">
        <f t="shared" si="38"/>
        <v>0</v>
      </c>
      <c r="M341" s="220"/>
      <c r="N341" s="220"/>
      <c r="O341" s="220"/>
      <c r="P341" s="220"/>
      <c r="Q341" s="220"/>
      <c r="R341" s="220"/>
      <c r="S341" s="220"/>
      <c r="T341" s="220"/>
      <c r="U341" s="220"/>
      <c r="V341" s="220"/>
      <c r="W341" s="220"/>
    </row>
    <row r="342" ht="15.75" customHeight="1" outlineLevel="1">
      <c r="A342" s="213"/>
      <c r="B342" s="212"/>
      <c r="C342" s="213"/>
      <c r="D342" s="214" t="str">
        <f>IFERROR(VLOOKUP($C342,'PORTIFÓLIO'!C:V,2,0),"")</f>
        <v/>
      </c>
      <c r="E342" s="211" t="str">
        <f>IFERROR(VLOOKUP($C342,'PORTIFÓLIO'!C:V,3,0),"")</f>
        <v/>
      </c>
      <c r="F342" s="211" t="str">
        <f>IFERROR(VLOOKUP($C342,'PORTIFÓLIO'!C:V,4,0),"")</f>
        <v/>
      </c>
      <c r="G342" s="215" t="str">
        <f>IFERROR(VLOOKUP($C342,'PORTIFÓLIO'!C:V,5,0),"")</f>
        <v/>
      </c>
      <c r="H342" s="254" t="str">
        <f t="array" ref="H342">IFERROR(INDEX('PORTIFÓLIO'!$H$4:$H$433,MATCH($C342,'PORTIFÓLIO'!$C$4:$C$433,0)),"")</f>
        <v/>
      </c>
      <c r="I342" s="255"/>
      <c r="J342" s="218">
        <f t="shared" ref="J342:J356" si="39">I342*$B$2</f>
        <v>0</v>
      </c>
      <c r="K342" s="292" t="str">
        <f t="array" ref="K342">IFERROR(I342*INDEX('PORTIFÓLIO'!$S$4:$S$433,MATCH($C342,'PORTIFÓLIO'!$C$4:$C$433,0)),"")</f>
        <v/>
      </c>
      <c r="L342" s="292" t="str">
        <f t="array" ref="L342">IFERROR(J342*INDEX('PORTIFÓLIO'!$S$4:$S$433,MATCH($C342,'PORTIFÓLIO'!$C$4:$C$433,0)),"")</f>
        <v/>
      </c>
      <c r="M342" s="220"/>
      <c r="N342" s="220"/>
      <c r="O342" s="220"/>
      <c r="P342" s="220"/>
      <c r="Q342" s="220"/>
      <c r="R342" s="220"/>
      <c r="S342" s="220"/>
      <c r="T342" s="220"/>
      <c r="U342" s="220"/>
      <c r="V342" s="220"/>
      <c r="W342" s="220"/>
    </row>
    <row r="343" ht="15.75" customHeight="1" outlineLevel="1">
      <c r="A343" s="211"/>
      <c r="B343" s="212"/>
      <c r="C343" s="213"/>
      <c r="D343" s="214" t="str">
        <f>IFERROR(VLOOKUP($C343,'PORTIFÓLIO'!C:V,2,0),"")</f>
        <v/>
      </c>
      <c r="E343" s="211" t="str">
        <f>IFERROR(VLOOKUP($C343,'PORTIFÓLIO'!C:V,3,0),"")</f>
        <v/>
      </c>
      <c r="F343" s="211" t="str">
        <f>IFERROR(VLOOKUP($C343,'PORTIFÓLIO'!C:V,4,0),"")</f>
        <v/>
      </c>
      <c r="G343" s="215" t="str">
        <f>IFERROR(VLOOKUP($C343,'PORTIFÓLIO'!C:V,5,0),"")</f>
        <v/>
      </c>
      <c r="H343" s="254" t="str">
        <f t="array" ref="H343">IFERROR(INDEX('PORTIFÓLIO'!$H$4:$H$433,MATCH($C343,'PORTIFÓLIO'!$C$4:$C$433,0)),"")</f>
        <v/>
      </c>
      <c r="I343" s="256"/>
      <c r="J343" s="218">
        <f t="shared" si="39"/>
        <v>0</v>
      </c>
      <c r="K343" s="292" t="str">
        <f t="array" ref="K343">IFERROR(I343*INDEX('PORTIFÓLIO'!$S$4:$S$433,MATCH($C343,'PORTIFÓLIO'!$C$4:$C$433,0)),"")</f>
        <v/>
      </c>
      <c r="L343" s="292" t="str">
        <f t="array" ref="L343">IFERROR(J343*INDEX('PORTIFÓLIO'!$S$4:$S$433,MATCH($C343,'PORTIFÓLIO'!$C$4:$C$433,0)),"")</f>
        <v/>
      </c>
      <c r="M343" s="220"/>
      <c r="N343" s="220"/>
      <c r="O343" s="220"/>
      <c r="P343" s="220"/>
      <c r="Q343" s="220"/>
      <c r="R343" s="220"/>
      <c r="S343" s="220"/>
      <c r="T343" s="220"/>
      <c r="U343" s="220"/>
      <c r="V343" s="220"/>
      <c r="W343" s="220"/>
    </row>
    <row r="344" ht="15.75" customHeight="1" outlineLevel="1">
      <c r="A344" s="211"/>
      <c r="B344" s="212"/>
      <c r="C344" s="213"/>
      <c r="D344" s="214" t="str">
        <f>IFERROR(VLOOKUP($C344,'PORTIFÓLIO'!C:V,2,0),"")</f>
        <v/>
      </c>
      <c r="E344" s="211" t="str">
        <f>IFERROR(VLOOKUP($C344,'PORTIFÓLIO'!C:V,3,0),"")</f>
        <v/>
      </c>
      <c r="F344" s="211" t="str">
        <f>IFERROR(VLOOKUP($C344,'PORTIFÓLIO'!C:V,4,0),"")</f>
        <v/>
      </c>
      <c r="G344" s="215" t="str">
        <f>IFERROR(VLOOKUP($C344,'PORTIFÓLIO'!C:V,5,0),"")</f>
        <v/>
      </c>
      <c r="H344" s="254" t="str">
        <f t="array" ref="H344">IFERROR(INDEX('PORTIFÓLIO'!$H$4:$H$433,MATCH($C344,'PORTIFÓLIO'!$C$4:$C$433,0)),"")</f>
        <v/>
      </c>
      <c r="I344" s="256"/>
      <c r="J344" s="218">
        <f t="shared" si="39"/>
        <v>0</v>
      </c>
      <c r="K344" s="292" t="str">
        <f t="array" ref="K344">IFERROR(I344*INDEX('PORTIFÓLIO'!$S$4:$S$433,MATCH($C344,'PORTIFÓLIO'!$C$4:$C$433,0)),"")</f>
        <v/>
      </c>
      <c r="L344" s="292" t="str">
        <f t="array" ref="L344">IFERROR(J344*INDEX('PORTIFÓLIO'!$S$4:$S$433,MATCH($C344,'PORTIFÓLIO'!$C$4:$C$433,0)),"")</f>
        <v/>
      </c>
      <c r="M344" s="220"/>
      <c r="N344" s="220"/>
      <c r="O344" s="220"/>
      <c r="P344" s="220"/>
      <c r="Q344" s="220"/>
      <c r="R344" s="220"/>
      <c r="S344" s="220"/>
      <c r="T344" s="220"/>
      <c r="U344" s="220"/>
      <c r="V344" s="220"/>
      <c r="W344" s="220"/>
    </row>
    <row r="345" ht="15.75" customHeight="1" outlineLevel="1">
      <c r="A345" s="211"/>
      <c r="B345" s="212"/>
      <c r="C345" s="213"/>
      <c r="D345" s="214" t="str">
        <f>IFERROR(VLOOKUP($C345,'PORTIFÓLIO'!C:V,2,0),"")</f>
        <v/>
      </c>
      <c r="E345" s="211" t="str">
        <f>IFERROR(VLOOKUP($C345,'PORTIFÓLIO'!C:V,3,0),"")</f>
        <v/>
      </c>
      <c r="F345" s="211" t="str">
        <f>IFERROR(VLOOKUP($C345,'PORTIFÓLIO'!C:V,4,0),"")</f>
        <v/>
      </c>
      <c r="G345" s="215" t="str">
        <f>IFERROR(VLOOKUP($C345,'PORTIFÓLIO'!C:V,5,0),"")</f>
        <v/>
      </c>
      <c r="H345" s="254" t="str">
        <f t="array" ref="H345">IFERROR(INDEX('PORTIFÓLIO'!$H$4:$H$433,MATCH($C345,'PORTIFÓLIO'!$C$4:$C$433,0)),"")</f>
        <v/>
      </c>
      <c r="I345" s="256"/>
      <c r="J345" s="218">
        <f t="shared" si="39"/>
        <v>0</v>
      </c>
      <c r="K345" s="292" t="str">
        <f t="array" ref="K345">IFERROR(I345*INDEX('PORTIFÓLIO'!$S$4:$S$433,MATCH($C345,'PORTIFÓLIO'!$C$4:$C$433,0)),"")</f>
        <v/>
      </c>
      <c r="L345" s="292" t="str">
        <f t="array" ref="L345">IFERROR(J345*INDEX('PORTIFÓLIO'!$S$4:$S$433,MATCH($C345,'PORTIFÓLIO'!$C$4:$C$433,0)),"")</f>
        <v/>
      </c>
      <c r="M345" s="220"/>
      <c r="N345" s="220"/>
      <c r="O345" s="220"/>
      <c r="P345" s="220"/>
      <c r="Q345" s="220"/>
      <c r="R345" s="220"/>
      <c r="S345" s="220"/>
      <c r="T345" s="220"/>
      <c r="U345" s="220"/>
      <c r="V345" s="220"/>
      <c r="W345" s="220"/>
    </row>
    <row r="346" ht="15.75" customHeight="1" outlineLevel="1">
      <c r="A346" s="211"/>
      <c r="B346" s="212"/>
      <c r="C346" s="213"/>
      <c r="D346" s="214" t="str">
        <f>IFERROR(VLOOKUP($C346,'PORTIFÓLIO'!C:V,2,0),"")</f>
        <v/>
      </c>
      <c r="E346" s="211" t="str">
        <f>IFERROR(VLOOKUP($C346,'PORTIFÓLIO'!C:V,3,0),"")</f>
        <v/>
      </c>
      <c r="F346" s="211" t="str">
        <f>IFERROR(VLOOKUP($C346,'PORTIFÓLIO'!C:V,4,0),"")</f>
        <v/>
      </c>
      <c r="G346" s="215" t="str">
        <f>IFERROR(VLOOKUP($C346,'PORTIFÓLIO'!C:V,5,0),"")</f>
        <v/>
      </c>
      <c r="H346" s="254" t="str">
        <f t="array" ref="H346">IFERROR(INDEX('PORTIFÓLIO'!$H$4:$H$433,MATCH($C346,'PORTIFÓLIO'!$C$4:$C$433,0)),"")</f>
        <v/>
      </c>
      <c r="I346" s="256"/>
      <c r="J346" s="218">
        <f t="shared" si="39"/>
        <v>0</v>
      </c>
      <c r="K346" s="292" t="str">
        <f t="array" ref="K346">IFERROR(I346*INDEX('PORTIFÓLIO'!$S$4:$S$433,MATCH($C346,'PORTIFÓLIO'!$C$4:$C$433,0)),"")</f>
        <v/>
      </c>
      <c r="L346" s="292" t="str">
        <f t="array" ref="L346">IFERROR(J346*INDEX('PORTIFÓLIO'!$S$4:$S$433,MATCH($C346,'PORTIFÓLIO'!$C$4:$C$433,0)),"")</f>
        <v/>
      </c>
      <c r="M346" s="220"/>
      <c r="N346" s="220"/>
      <c r="O346" s="220"/>
      <c r="P346" s="220"/>
      <c r="Q346" s="220"/>
      <c r="R346" s="220"/>
      <c r="S346" s="220"/>
      <c r="T346" s="220"/>
      <c r="U346" s="220"/>
      <c r="V346" s="220"/>
      <c r="W346" s="220"/>
    </row>
    <row r="347" ht="15.75" customHeight="1" outlineLevel="1">
      <c r="A347" s="211"/>
      <c r="B347" s="212"/>
      <c r="C347" s="213"/>
      <c r="D347" s="214" t="str">
        <f>IFERROR(VLOOKUP($C347,'PORTIFÓLIO'!C:V,2,0),"")</f>
        <v/>
      </c>
      <c r="E347" s="211" t="str">
        <f>IFERROR(VLOOKUP($C347,'PORTIFÓLIO'!C:V,3,0),"")</f>
        <v/>
      </c>
      <c r="F347" s="211" t="str">
        <f>IFERROR(VLOOKUP($C347,'PORTIFÓLIO'!C:V,4,0),"")</f>
        <v/>
      </c>
      <c r="G347" s="215" t="str">
        <f>IFERROR(VLOOKUP($C347,'PORTIFÓLIO'!C:V,5,0),"")</f>
        <v/>
      </c>
      <c r="H347" s="254" t="str">
        <f t="array" ref="H347">IFERROR(INDEX('PORTIFÓLIO'!$H$4:$H$433,MATCH($C347,'PORTIFÓLIO'!$C$4:$C$433,0)),"")</f>
        <v/>
      </c>
      <c r="I347" s="256"/>
      <c r="J347" s="218">
        <f t="shared" si="39"/>
        <v>0</v>
      </c>
      <c r="K347" s="292" t="str">
        <f t="array" ref="K347">IFERROR(I347*INDEX('PORTIFÓLIO'!$S$4:$S$433,MATCH($C347,'PORTIFÓLIO'!$C$4:$C$433,0)),"")</f>
        <v/>
      </c>
      <c r="L347" s="292" t="str">
        <f t="array" ref="L347">IFERROR(J347*INDEX('PORTIFÓLIO'!$S$4:$S$433,MATCH($C347,'PORTIFÓLIO'!$C$4:$C$433,0)),"")</f>
        <v/>
      </c>
      <c r="M347" s="220"/>
      <c r="N347" s="220"/>
      <c r="O347" s="220"/>
      <c r="P347" s="220"/>
      <c r="Q347" s="220"/>
      <c r="R347" s="220"/>
      <c r="S347" s="220"/>
      <c r="T347" s="220"/>
      <c r="U347" s="220"/>
      <c r="V347" s="220"/>
      <c r="W347" s="220"/>
    </row>
    <row r="348" ht="15.75" customHeight="1" outlineLevel="1">
      <c r="A348" s="211"/>
      <c r="B348" s="212"/>
      <c r="C348" s="213"/>
      <c r="D348" s="214" t="str">
        <f>IFERROR(VLOOKUP($C348,'PORTIFÓLIO'!C:V,2,0),"")</f>
        <v/>
      </c>
      <c r="E348" s="211" t="str">
        <f>IFERROR(VLOOKUP($C348,'PORTIFÓLIO'!C:V,3,0),"")</f>
        <v/>
      </c>
      <c r="F348" s="211" t="str">
        <f>IFERROR(VLOOKUP($C348,'PORTIFÓLIO'!C:V,4,0),"")</f>
        <v/>
      </c>
      <c r="G348" s="215" t="str">
        <f>IFERROR(VLOOKUP($C348,'PORTIFÓLIO'!C:V,5,0),"")</f>
        <v/>
      </c>
      <c r="H348" s="254" t="str">
        <f t="array" ref="H348">IFERROR(INDEX('PORTIFÓLIO'!$H$4:$H$433,MATCH($C348,'PORTIFÓLIO'!$C$4:$C$433,0)),"")</f>
        <v/>
      </c>
      <c r="I348" s="256"/>
      <c r="J348" s="218">
        <f t="shared" si="39"/>
        <v>0</v>
      </c>
      <c r="K348" s="292" t="str">
        <f t="array" ref="K348">IFERROR(I348*INDEX('PORTIFÓLIO'!$S$4:$S$433,MATCH($C348,'PORTIFÓLIO'!$C$4:$C$433,0)),"")</f>
        <v/>
      </c>
      <c r="L348" s="292" t="str">
        <f t="array" ref="L348">IFERROR(J348*INDEX('PORTIFÓLIO'!$S$4:$S$433,MATCH($C348,'PORTIFÓLIO'!$C$4:$C$433,0)),"")</f>
        <v/>
      </c>
      <c r="M348" s="220"/>
      <c r="N348" s="220"/>
      <c r="O348" s="220"/>
      <c r="P348" s="220"/>
      <c r="Q348" s="220"/>
      <c r="R348" s="220"/>
      <c r="S348" s="220"/>
      <c r="T348" s="220"/>
      <c r="U348" s="220"/>
      <c r="V348" s="220"/>
      <c r="W348" s="220"/>
    </row>
    <row r="349" ht="15.75" customHeight="1" outlineLevel="1">
      <c r="A349" s="211"/>
      <c r="B349" s="212"/>
      <c r="C349" s="213"/>
      <c r="D349" s="214" t="str">
        <f>IFERROR(VLOOKUP($C349,'PORTIFÓLIO'!C:V,2,0),"")</f>
        <v/>
      </c>
      <c r="E349" s="211" t="str">
        <f>IFERROR(VLOOKUP($C349,'PORTIFÓLIO'!C:V,3,0),"")</f>
        <v/>
      </c>
      <c r="F349" s="211" t="str">
        <f>IFERROR(VLOOKUP($C349,'PORTIFÓLIO'!C:V,4,0),"")</f>
        <v/>
      </c>
      <c r="G349" s="215" t="str">
        <f>IFERROR(VLOOKUP($C349,'PORTIFÓLIO'!C:V,5,0),"")</f>
        <v/>
      </c>
      <c r="H349" s="254" t="str">
        <f t="array" ref="H349">IFERROR(INDEX('PORTIFÓLIO'!$H$4:$H$433,MATCH($C349,'PORTIFÓLIO'!$C$4:$C$433,0)),"")</f>
        <v/>
      </c>
      <c r="I349" s="256"/>
      <c r="J349" s="218">
        <f t="shared" si="39"/>
        <v>0</v>
      </c>
      <c r="K349" s="292" t="str">
        <f t="array" ref="K349">IFERROR(I349*INDEX('PORTIFÓLIO'!$S$4:$S$433,MATCH($C349,'PORTIFÓLIO'!$C$4:$C$433,0)),"")</f>
        <v/>
      </c>
      <c r="L349" s="292" t="str">
        <f t="array" ref="L349">IFERROR(J349*INDEX('PORTIFÓLIO'!$S$4:$S$433,MATCH($C349,'PORTIFÓLIO'!$C$4:$C$433,0)),"")</f>
        <v/>
      </c>
      <c r="M349" s="220"/>
      <c r="N349" s="220"/>
      <c r="O349" s="220"/>
      <c r="P349" s="220"/>
      <c r="Q349" s="220"/>
      <c r="R349" s="220"/>
      <c r="S349" s="220"/>
      <c r="T349" s="220"/>
      <c r="U349" s="220"/>
      <c r="V349" s="220"/>
      <c r="W349" s="220"/>
    </row>
    <row r="350" ht="15.75" customHeight="1" outlineLevel="1">
      <c r="A350" s="211"/>
      <c r="B350" s="212"/>
      <c r="C350" s="213"/>
      <c r="D350" s="214" t="str">
        <f>IFERROR(VLOOKUP($C350,'PORTIFÓLIO'!C:V,2,0),"")</f>
        <v/>
      </c>
      <c r="E350" s="211" t="str">
        <f>IFERROR(VLOOKUP($C350,'PORTIFÓLIO'!C:V,3,0),"")</f>
        <v/>
      </c>
      <c r="F350" s="211" t="str">
        <f>IFERROR(VLOOKUP($C350,'PORTIFÓLIO'!C:V,4,0),"")</f>
        <v/>
      </c>
      <c r="G350" s="215" t="str">
        <f>IFERROR(VLOOKUP($C350,'PORTIFÓLIO'!C:V,5,0),"")</f>
        <v/>
      </c>
      <c r="H350" s="254" t="str">
        <f t="array" ref="H350">IFERROR(INDEX('PORTIFÓLIO'!$H$4:$H$433,MATCH($C350,'PORTIFÓLIO'!$C$4:$C$433,0)),"")</f>
        <v/>
      </c>
      <c r="I350" s="255"/>
      <c r="J350" s="218">
        <f t="shared" si="39"/>
        <v>0</v>
      </c>
      <c r="K350" s="292" t="str">
        <f t="array" ref="K350">IFERROR(I350*INDEX('PORTIFÓLIO'!$S$4:$S$433,MATCH($C350,'PORTIFÓLIO'!$C$4:$C$433,0)),"")</f>
        <v/>
      </c>
      <c r="L350" s="292" t="str">
        <f t="array" ref="L350">IFERROR(J350*INDEX('PORTIFÓLIO'!$S$4:$S$433,MATCH($C350,'PORTIFÓLIO'!$C$4:$C$433,0)),"")</f>
        <v/>
      </c>
      <c r="M350" s="220"/>
      <c r="N350" s="220"/>
      <c r="O350" s="220"/>
      <c r="P350" s="220"/>
      <c r="Q350" s="220"/>
      <c r="R350" s="220"/>
      <c r="S350" s="220"/>
      <c r="T350" s="220"/>
      <c r="U350" s="220"/>
      <c r="V350" s="220"/>
      <c r="W350" s="220"/>
    </row>
    <row r="351" ht="15.75" customHeight="1" outlineLevel="1">
      <c r="A351" s="211"/>
      <c r="B351" s="212"/>
      <c r="C351" s="213"/>
      <c r="D351" s="214" t="str">
        <f>IFERROR(VLOOKUP($C351,'PORTIFÓLIO'!C:V,2,0),"")</f>
        <v/>
      </c>
      <c r="E351" s="211" t="str">
        <f>IFERROR(VLOOKUP($C351,'PORTIFÓLIO'!C:V,3,0),"")</f>
        <v/>
      </c>
      <c r="F351" s="211" t="str">
        <f>IFERROR(VLOOKUP($C351,'PORTIFÓLIO'!C:V,4,0),"")</f>
        <v/>
      </c>
      <c r="G351" s="215" t="str">
        <f>IFERROR(VLOOKUP($C351,'PORTIFÓLIO'!C:V,5,0),"")</f>
        <v/>
      </c>
      <c r="H351" s="254" t="str">
        <f t="array" ref="H351">IFERROR(INDEX('PORTIFÓLIO'!$H$4:$H$433,MATCH($C351,'PORTIFÓLIO'!$C$4:$C$433,0)),"")</f>
        <v/>
      </c>
      <c r="I351" s="256"/>
      <c r="J351" s="218">
        <f t="shared" si="39"/>
        <v>0</v>
      </c>
      <c r="K351" s="292" t="str">
        <f t="array" ref="K351">IFERROR(I351*INDEX('PORTIFÓLIO'!$S$4:$S$433,MATCH($C351,'PORTIFÓLIO'!$C$4:$C$433,0)),"")</f>
        <v/>
      </c>
      <c r="L351" s="292" t="str">
        <f t="array" ref="L351">IFERROR(J351*INDEX('PORTIFÓLIO'!$S$4:$S$433,MATCH($C351,'PORTIFÓLIO'!$C$4:$C$433,0)),"")</f>
        <v/>
      </c>
      <c r="M351" s="220"/>
      <c r="N351" s="220"/>
      <c r="O351" s="220"/>
      <c r="P351" s="220"/>
      <c r="Q351" s="220"/>
      <c r="R351" s="220"/>
      <c r="S351" s="220"/>
      <c r="T351" s="220"/>
      <c r="U351" s="220"/>
      <c r="V351" s="220"/>
      <c r="W351" s="220"/>
    </row>
    <row r="352" ht="15.75" customHeight="1" outlineLevel="1">
      <c r="A352" s="211"/>
      <c r="B352" s="212"/>
      <c r="C352" s="213"/>
      <c r="D352" s="214" t="str">
        <f>IFERROR(VLOOKUP($C352,'PORTIFÓLIO'!C:V,2,0),"")</f>
        <v/>
      </c>
      <c r="E352" s="211" t="str">
        <f>IFERROR(VLOOKUP($C352,'PORTIFÓLIO'!C:V,3,0),"")</f>
        <v/>
      </c>
      <c r="F352" s="211" t="str">
        <f>IFERROR(VLOOKUP($C352,'PORTIFÓLIO'!C:V,4,0),"")</f>
        <v/>
      </c>
      <c r="G352" s="215" t="str">
        <f>IFERROR(VLOOKUP($C352,'PORTIFÓLIO'!C:V,5,0),"")</f>
        <v/>
      </c>
      <c r="H352" s="254" t="str">
        <f t="array" ref="H352">IFERROR(INDEX('PORTIFÓLIO'!$H$4:$H$433,MATCH($C352,'PORTIFÓLIO'!$C$4:$C$433,0)),"")</f>
        <v/>
      </c>
      <c r="I352" s="256"/>
      <c r="J352" s="218">
        <f t="shared" si="39"/>
        <v>0</v>
      </c>
      <c r="K352" s="292" t="str">
        <f t="array" ref="K352">IFERROR(I352*INDEX('PORTIFÓLIO'!$S$4:$S$433,MATCH($C352,'PORTIFÓLIO'!$C$4:$C$433,0)),"")</f>
        <v/>
      </c>
      <c r="L352" s="292" t="str">
        <f t="array" ref="L352">IFERROR(J352*INDEX('PORTIFÓLIO'!$S$4:$S$433,MATCH($C352,'PORTIFÓLIO'!$C$4:$C$433,0)),"")</f>
        <v/>
      </c>
      <c r="M352" s="220"/>
      <c r="N352" s="220"/>
      <c r="O352" s="220"/>
      <c r="P352" s="220"/>
      <c r="Q352" s="220"/>
      <c r="R352" s="220"/>
      <c r="S352" s="220"/>
      <c r="T352" s="220"/>
      <c r="U352" s="220"/>
      <c r="V352" s="220"/>
      <c r="W352" s="220"/>
    </row>
    <row r="353" ht="15.75" customHeight="1" outlineLevel="1">
      <c r="A353" s="211"/>
      <c r="B353" s="212"/>
      <c r="C353" s="213"/>
      <c r="D353" s="214" t="str">
        <f>IFERROR(VLOOKUP($C353,'PORTIFÓLIO'!C:V,2,0),"")</f>
        <v/>
      </c>
      <c r="E353" s="211" t="str">
        <f>IFERROR(VLOOKUP($C353,'PORTIFÓLIO'!C:V,3,0),"")</f>
        <v/>
      </c>
      <c r="F353" s="211" t="str">
        <f>IFERROR(VLOOKUP($C353,'PORTIFÓLIO'!C:V,4,0),"")</f>
        <v/>
      </c>
      <c r="G353" s="215" t="str">
        <f>IFERROR(VLOOKUP($C353,'PORTIFÓLIO'!C:V,5,0),"")</f>
        <v/>
      </c>
      <c r="H353" s="254" t="str">
        <f t="array" ref="H353">IFERROR(INDEX('PORTIFÓLIO'!$H$4:$H$433,MATCH($C353,'PORTIFÓLIO'!$C$4:$C$433,0)),"")</f>
        <v/>
      </c>
      <c r="I353" s="256"/>
      <c r="J353" s="218">
        <f t="shared" si="39"/>
        <v>0</v>
      </c>
      <c r="K353" s="292" t="str">
        <f t="array" ref="K353">IFERROR(I353*INDEX('PORTIFÓLIO'!$S$4:$S$433,MATCH($C353,'PORTIFÓLIO'!$C$4:$C$433,0)),"")</f>
        <v/>
      </c>
      <c r="L353" s="292" t="str">
        <f t="array" ref="L353">IFERROR(J353*INDEX('PORTIFÓLIO'!$S$4:$S$433,MATCH($C353,'PORTIFÓLIO'!$C$4:$C$433,0)),"")</f>
        <v/>
      </c>
      <c r="M353" s="220"/>
      <c r="N353" s="220"/>
      <c r="O353" s="220"/>
      <c r="P353" s="220"/>
      <c r="Q353" s="220"/>
      <c r="R353" s="220"/>
      <c r="S353" s="220"/>
      <c r="T353" s="220"/>
      <c r="U353" s="220"/>
      <c r="V353" s="220"/>
      <c r="W353" s="220"/>
    </row>
    <row r="354" ht="15.75" customHeight="1" outlineLevel="1">
      <c r="A354" s="211"/>
      <c r="B354" s="212"/>
      <c r="C354" s="213"/>
      <c r="D354" s="214" t="str">
        <f>IFERROR(VLOOKUP($C354,'PORTIFÓLIO'!C:V,2,0),"")</f>
        <v/>
      </c>
      <c r="E354" s="211" t="str">
        <f>IFERROR(VLOOKUP($C354,'PORTIFÓLIO'!C:V,3,0),"")</f>
        <v/>
      </c>
      <c r="F354" s="211" t="str">
        <f>IFERROR(VLOOKUP($C354,'PORTIFÓLIO'!C:V,4,0),"")</f>
        <v/>
      </c>
      <c r="G354" s="215" t="str">
        <f>IFERROR(VLOOKUP($C354,'PORTIFÓLIO'!C:V,5,0),"")</f>
        <v/>
      </c>
      <c r="H354" s="254" t="str">
        <f t="array" ref="H354">IFERROR(INDEX('PORTIFÓLIO'!$H$4:$H$433,MATCH($C354,'PORTIFÓLIO'!$C$4:$C$433,0)),"")</f>
        <v/>
      </c>
      <c r="I354" s="256"/>
      <c r="J354" s="218">
        <f t="shared" si="39"/>
        <v>0</v>
      </c>
      <c r="K354" s="292" t="str">
        <f t="array" ref="K354">IFERROR(I354*INDEX('PORTIFÓLIO'!$S$4:$S$433,MATCH($C354,'PORTIFÓLIO'!$C$4:$C$433,0)),"")</f>
        <v/>
      </c>
      <c r="L354" s="292" t="str">
        <f t="array" ref="L354">IFERROR(J354*INDEX('PORTIFÓLIO'!$S$4:$S$433,MATCH($C354,'PORTIFÓLIO'!$C$4:$C$433,0)),"")</f>
        <v/>
      </c>
      <c r="M354" s="220"/>
      <c r="N354" s="220"/>
      <c r="O354" s="220"/>
      <c r="P354" s="220"/>
      <c r="Q354" s="220"/>
      <c r="R354" s="220"/>
      <c r="S354" s="220"/>
      <c r="T354" s="220"/>
      <c r="U354" s="220"/>
      <c r="V354" s="220"/>
      <c r="W354" s="220"/>
    </row>
    <row r="355" ht="15.75" customHeight="1" outlineLevel="1">
      <c r="A355" s="211"/>
      <c r="B355" s="212"/>
      <c r="C355" s="213"/>
      <c r="D355" s="214" t="str">
        <f>IFERROR(VLOOKUP($C355,'PORTIFÓLIO'!C:V,2,0),"")</f>
        <v/>
      </c>
      <c r="E355" s="211" t="str">
        <f>IFERROR(VLOOKUP($C355,'PORTIFÓLIO'!C:V,3,0),"")</f>
        <v/>
      </c>
      <c r="F355" s="211" t="str">
        <f>IFERROR(VLOOKUP($C355,'PORTIFÓLIO'!C:V,4,0),"")</f>
        <v/>
      </c>
      <c r="G355" s="215" t="str">
        <f>IFERROR(VLOOKUP($C355,'PORTIFÓLIO'!C:V,5,0),"")</f>
        <v/>
      </c>
      <c r="H355" s="254" t="str">
        <f t="array" ref="H355">IFERROR(INDEX('PORTIFÓLIO'!$H$4:$H$433,MATCH($C355,'PORTIFÓLIO'!$C$4:$C$433,0)),"")</f>
        <v/>
      </c>
      <c r="I355" s="256"/>
      <c r="J355" s="218">
        <f t="shared" si="39"/>
        <v>0</v>
      </c>
      <c r="K355" s="292" t="str">
        <f t="array" ref="K355">IFERROR(I355*INDEX('PORTIFÓLIO'!$S$4:$S$433,MATCH($C355,'PORTIFÓLIO'!$C$4:$C$433,0)),"")</f>
        <v/>
      </c>
      <c r="L355" s="292" t="str">
        <f t="array" ref="L355">IFERROR(J355*INDEX('PORTIFÓLIO'!$S$4:$S$433,MATCH($C355,'PORTIFÓLIO'!$C$4:$C$433,0)),"")</f>
        <v/>
      </c>
      <c r="M355" s="220"/>
      <c r="N355" s="220"/>
      <c r="O355" s="220"/>
      <c r="P355" s="220"/>
      <c r="Q355" s="220"/>
      <c r="R355" s="220"/>
      <c r="S355" s="220"/>
      <c r="T355" s="220"/>
      <c r="U355" s="220"/>
      <c r="V355" s="220"/>
      <c r="W355" s="220"/>
    </row>
    <row r="356" ht="15.75" customHeight="1" outlineLevel="1">
      <c r="A356" s="211"/>
      <c r="B356" s="212"/>
      <c r="C356" s="213"/>
      <c r="D356" s="214" t="str">
        <f>IFERROR(VLOOKUP($C356,'PORTIFÓLIO'!C:V,2,0),"")</f>
        <v/>
      </c>
      <c r="E356" s="211" t="str">
        <f>IFERROR(VLOOKUP($C356,'PORTIFÓLIO'!C:V,3,0),"")</f>
        <v/>
      </c>
      <c r="F356" s="211" t="str">
        <f>IFERROR(VLOOKUP($C356,'PORTIFÓLIO'!C:V,4,0),"")</f>
        <v/>
      </c>
      <c r="G356" s="215" t="str">
        <f>IFERROR(VLOOKUP($C356,'PORTIFÓLIO'!C:V,5,0),"")</f>
        <v/>
      </c>
      <c r="H356" s="254" t="str">
        <f t="array" ref="H356">IFERROR(INDEX('PORTIFÓLIO'!$H$4:$H$433,MATCH($C356,'PORTIFÓLIO'!$C$4:$C$433,0)),"")</f>
        <v/>
      </c>
      <c r="I356" s="256"/>
      <c r="J356" s="218">
        <f t="shared" si="39"/>
        <v>0</v>
      </c>
      <c r="K356" s="292" t="str">
        <f t="array" ref="K356">IFERROR(I356*INDEX('PORTIFÓLIO'!$S$4:$S$433,MATCH($C356,'PORTIFÓLIO'!$C$4:$C$433,0)),"")</f>
        <v/>
      </c>
      <c r="L356" s="292" t="str">
        <f t="array" ref="L356">IFERROR(J356*INDEX('PORTIFÓLIO'!$S$4:$S$433,MATCH($C356,'PORTIFÓLIO'!$C$4:$C$433,0)),"")</f>
        <v/>
      </c>
      <c r="M356" s="220"/>
      <c r="N356" s="220"/>
      <c r="O356" s="220"/>
      <c r="P356" s="220"/>
      <c r="Q356" s="220"/>
      <c r="R356" s="220"/>
      <c r="S356" s="220"/>
      <c r="T356" s="220"/>
      <c r="U356" s="220"/>
      <c r="V356" s="220"/>
      <c r="W356" s="220"/>
    </row>
    <row r="357" ht="15.75" customHeight="1" outlineLevel="1">
      <c r="A357" s="211"/>
      <c r="B357" s="227"/>
      <c r="C357" s="211"/>
      <c r="D357" s="214" t="str">
        <f>IFERROR(VLOOKUP($C357,'PORTIFÓLIO'!C:V,2,0),"")</f>
        <v/>
      </c>
      <c r="E357" s="211" t="str">
        <f>IFERROR(VLOOKUP($C357,'PORTIFÓLIO'!C:V,3,0),"")</f>
        <v/>
      </c>
      <c r="F357" s="211" t="str">
        <f>IFERROR(VLOOKUP($C357,'PORTIFÓLIO'!C:V,4,0),"")</f>
        <v/>
      </c>
      <c r="G357" s="215" t="str">
        <f>IFERROR(VLOOKUP($C357,'PORTIFÓLIO'!C:V,5,0),"")</f>
        <v/>
      </c>
      <c r="H357" s="254" t="str">
        <f t="array" ref="H357">IFERROR(INDEX('PORTIFÓLIO'!$H$4:$H$433,MATCH($C357,'PORTIFÓLIO'!$C$4:$C$433,0)),"")</f>
        <v/>
      </c>
      <c r="I357" s="256"/>
      <c r="J357" s="218"/>
      <c r="K357" s="292" t="str">
        <f t="array" ref="K357">IFERROR(I357*INDEX('PORTIFÓLIO'!$S$4:$S$433,MATCH($C357,'PORTIFÓLIO'!$C$4:$C$433,0)),"")</f>
        <v/>
      </c>
      <c r="L357" s="292" t="str">
        <f t="array" ref="L357">IFERROR(J357*INDEX('PORTIFÓLIO'!$S$4:$S$433,MATCH($C357,'PORTIFÓLIO'!$C$4:$C$433,0)),"")</f>
        <v/>
      </c>
      <c r="M357" s="220"/>
      <c r="N357" s="220"/>
      <c r="O357" s="220"/>
      <c r="P357" s="220"/>
      <c r="Q357" s="220"/>
      <c r="R357" s="220"/>
      <c r="S357" s="220"/>
      <c r="T357" s="220"/>
      <c r="U357" s="220"/>
      <c r="V357" s="220"/>
      <c r="W357" s="220"/>
    </row>
    <row r="358" ht="15.75" customHeight="1">
      <c r="A358" s="229" t="s">
        <v>1191</v>
      </c>
      <c r="B358" s="230"/>
      <c r="C358" s="231"/>
      <c r="D358" s="232"/>
      <c r="E358" s="231"/>
      <c r="F358" s="231"/>
      <c r="G358" s="233"/>
      <c r="H358" s="233"/>
      <c r="I358" s="258"/>
      <c r="J358" s="236"/>
      <c r="K358" s="237">
        <f t="shared" ref="K358:L358" si="40">SUBTOTAL(9,K359:K372)</f>
        <v>0</v>
      </c>
      <c r="L358" s="237">
        <f t="shared" si="40"/>
        <v>0</v>
      </c>
      <c r="M358" s="220"/>
      <c r="N358" s="220"/>
      <c r="O358" s="220"/>
      <c r="P358" s="220"/>
      <c r="Q358" s="220"/>
      <c r="R358" s="220"/>
      <c r="S358" s="220"/>
      <c r="T358" s="220"/>
      <c r="U358" s="220"/>
      <c r="V358" s="220"/>
      <c r="W358" s="220"/>
    </row>
    <row r="359" ht="15.75" customHeight="1" outlineLevel="1">
      <c r="A359" s="213"/>
      <c r="B359" s="212"/>
      <c r="C359" s="213"/>
      <c r="D359" s="214" t="str">
        <f>IFERROR(VLOOKUP($C359,'PORTIFÓLIO'!C:V,2,0),"")</f>
        <v/>
      </c>
      <c r="E359" s="211" t="str">
        <f>IFERROR(VLOOKUP($C359,'PORTIFÓLIO'!C:V,3,0),"")</f>
        <v/>
      </c>
      <c r="F359" s="211" t="str">
        <f>IFERROR(VLOOKUP($C359,'PORTIFÓLIO'!C:V,4,0),"")</f>
        <v/>
      </c>
      <c r="G359" s="215" t="str">
        <f>IFERROR(VLOOKUP($C359,'PORTIFÓLIO'!C:V,5,0),"")</f>
        <v/>
      </c>
      <c r="H359" s="254" t="str">
        <f t="array" ref="H359">IFERROR(INDEX('PORTIFÓLIO'!$H$4:$H$433,MATCH($C359,'PORTIFÓLIO'!$C$4:$C$433,0)),"")</f>
        <v/>
      </c>
      <c r="I359" s="255"/>
      <c r="J359" s="218">
        <f t="shared" ref="J359:J373" si="41">I359*$B$2</f>
        <v>0</v>
      </c>
      <c r="K359" s="292" t="str">
        <f t="array" ref="K359">IFERROR(I359*INDEX('PORTIFÓLIO'!$S$4:$S$433,MATCH($C359,'PORTIFÓLIO'!$C$4:$C$433,0)),"")</f>
        <v/>
      </c>
      <c r="L359" s="292" t="str">
        <f t="array" ref="L359">IFERROR(J359*INDEX('PORTIFÓLIO'!$S$4:$S$433,MATCH($C359,'PORTIFÓLIO'!$C$4:$C$433,0)),"")</f>
        <v/>
      </c>
      <c r="M359" s="220"/>
      <c r="N359" s="220"/>
      <c r="O359" s="220"/>
      <c r="P359" s="220"/>
      <c r="Q359" s="220"/>
      <c r="R359" s="220"/>
      <c r="S359" s="220"/>
      <c r="T359" s="220"/>
      <c r="U359" s="220"/>
      <c r="V359" s="220"/>
      <c r="W359" s="220"/>
    </row>
    <row r="360" ht="15.75" customHeight="1" outlineLevel="1">
      <c r="A360" s="211"/>
      <c r="B360" s="212"/>
      <c r="C360" s="213"/>
      <c r="D360" s="214" t="str">
        <f>IFERROR(VLOOKUP($C360,'PORTIFÓLIO'!C:V,2,0),"")</f>
        <v/>
      </c>
      <c r="E360" s="211" t="str">
        <f>IFERROR(VLOOKUP($C360,'PORTIFÓLIO'!C:V,3,0),"")</f>
        <v/>
      </c>
      <c r="F360" s="211" t="str">
        <f>IFERROR(VLOOKUP($C360,'PORTIFÓLIO'!C:V,4,0),"")</f>
        <v/>
      </c>
      <c r="G360" s="215" t="str">
        <f>IFERROR(VLOOKUP($C360,'PORTIFÓLIO'!C:V,5,0),"")</f>
        <v/>
      </c>
      <c r="H360" s="254" t="str">
        <f t="array" ref="H360">IFERROR(INDEX('PORTIFÓLIO'!$H$4:$H$433,MATCH($C360,'PORTIFÓLIO'!$C$4:$C$433,0)),"")</f>
        <v/>
      </c>
      <c r="I360" s="256"/>
      <c r="J360" s="218">
        <f t="shared" si="41"/>
        <v>0</v>
      </c>
      <c r="K360" s="292" t="str">
        <f t="array" ref="K360">IFERROR(I360*INDEX('PORTIFÓLIO'!$S$4:$S$433,MATCH($C360,'PORTIFÓLIO'!$C$4:$C$433,0)),"")</f>
        <v/>
      </c>
      <c r="L360" s="292" t="str">
        <f t="array" ref="L360">IFERROR(J360*INDEX('PORTIFÓLIO'!$S$4:$S$433,MATCH($C360,'PORTIFÓLIO'!$C$4:$C$433,0)),"")</f>
        <v/>
      </c>
      <c r="M360" s="220"/>
      <c r="N360" s="220"/>
      <c r="O360" s="220"/>
      <c r="P360" s="220"/>
      <c r="Q360" s="220"/>
      <c r="R360" s="220"/>
      <c r="S360" s="220"/>
      <c r="T360" s="220"/>
      <c r="U360" s="220"/>
      <c r="V360" s="220"/>
      <c r="W360" s="220"/>
    </row>
    <row r="361" ht="15.75" customHeight="1" outlineLevel="1">
      <c r="A361" s="211"/>
      <c r="B361" s="212"/>
      <c r="C361" s="213"/>
      <c r="D361" s="214" t="str">
        <f>IFERROR(VLOOKUP($C361,'PORTIFÓLIO'!C:V,2,0),"")</f>
        <v/>
      </c>
      <c r="E361" s="211" t="str">
        <f>IFERROR(VLOOKUP($C361,'PORTIFÓLIO'!C:V,3,0),"")</f>
        <v/>
      </c>
      <c r="F361" s="211" t="str">
        <f>IFERROR(VLOOKUP($C361,'PORTIFÓLIO'!C:V,4,0),"")</f>
        <v/>
      </c>
      <c r="G361" s="215" t="str">
        <f>IFERROR(VLOOKUP($C361,'PORTIFÓLIO'!C:V,5,0),"")</f>
        <v/>
      </c>
      <c r="H361" s="254" t="str">
        <f t="array" ref="H361">IFERROR(INDEX('PORTIFÓLIO'!$H$4:$H$433,MATCH($C361,'PORTIFÓLIO'!$C$4:$C$433,0)),"")</f>
        <v/>
      </c>
      <c r="I361" s="256"/>
      <c r="J361" s="218">
        <f t="shared" si="41"/>
        <v>0</v>
      </c>
      <c r="K361" s="292" t="str">
        <f t="array" ref="K361">IFERROR(I361*INDEX('PORTIFÓLIO'!$S$4:$S$433,MATCH($C361,'PORTIFÓLIO'!$C$4:$C$433,0)),"")</f>
        <v/>
      </c>
      <c r="L361" s="292" t="str">
        <f t="array" ref="L361">IFERROR(J361*INDEX('PORTIFÓLIO'!$S$4:$S$433,MATCH($C361,'PORTIFÓLIO'!$C$4:$C$433,0)),"")</f>
        <v/>
      </c>
      <c r="M361" s="220"/>
      <c r="N361" s="220"/>
      <c r="O361" s="220"/>
      <c r="P361" s="220"/>
      <c r="Q361" s="220"/>
      <c r="R361" s="220"/>
      <c r="S361" s="220"/>
      <c r="T361" s="220"/>
      <c r="U361" s="220"/>
      <c r="V361" s="220"/>
      <c r="W361" s="220"/>
    </row>
    <row r="362" ht="15.75" customHeight="1" outlineLevel="1">
      <c r="A362" s="211"/>
      <c r="B362" s="212"/>
      <c r="C362" s="213"/>
      <c r="D362" s="214" t="str">
        <f>IFERROR(VLOOKUP($C362,'PORTIFÓLIO'!C:V,2,0),"")</f>
        <v/>
      </c>
      <c r="E362" s="211" t="str">
        <f>IFERROR(VLOOKUP($C362,'PORTIFÓLIO'!C:V,3,0),"")</f>
        <v/>
      </c>
      <c r="F362" s="211" t="str">
        <f>IFERROR(VLOOKUP($C362,'PORTIFÓLIO'!C:V,4,0),"")</f>
        <v/>
      </c>
      <c r="G362" s="215" t="str">
        <f>IFERROR(VLOOKUP($C362,'PORTIFÓLIO'!C:V,5,0),"")</f>
        <v/>
      </c>
      <c r="H362" s="254" t="str">
        <f t="array" ref="H362">IFERROR(INDEX('PORTIFÓLIO'!$H$4:$H$433,MATCH($C362,'PORTIFÓLIO'!$C$4:$C$433,0)),"")</f>
        <v/>
      </c>
      <c r="I362" s="256"/>
      <c r="J362" s="218">
        <f t="shared" si="41"/>
        <v>0</v>
      </c>
      <c r="K362" s="292" t="str">
        <f t="array" ref="K362">IFERROR(I362*INDEX('PORTIFÓLIO'!$S$4:$S$433,MATCH($C362,'PORTIFÓLIO'!$C$4:$C$433,0)),"")</f>
        <v/>
      </c>
      <c r="L362" s="292" t="str">
        <f t="array" ref="L362">IFERROR(J362*INDEX('PORTIFÓLIO'!$S$4:$S$433,MATCH($C362,'PORTIFÓLIO'!$C$4:$C$433,0)),"")</f>
        <v/>
      </c>
      <c r="M362" s="220"/>
      <c r="N362" s="220"/>
      <c r="O362" s="220"/>
      <c r="P362" s="220"/>
      <c r="Q362" s="220"/>
      <c r="R362" s="220"/>
      <c r="S362" s="220"/>
      <c r="T362" s="220"/>
      <c r="U362" s="220"/>
      <c r="V362" s="220"/>
      <c r="W362" s="220"/>
    </row>
    <row r="363" ht="15.75" customHeight="1" outlineLevel="1">
      <c r="A363" s="211"/>
      <c r="B363" s="212"/>
      <c r="C363" s="213"/>
      <c r="D363" s="214" t="str">
        <f>IFERROR(VLOOKUP($C363,'PORTIFÓLIO'!C:V,2,0),"")</f>
        <v/>
      </c>
      <c r="E363" s="211" t="str">
        <f>IFERROR(VLOOKUP($C363,'PORTIFÓLIO'!C:V,3,0),"")</f>
        <v/>
      </c>
      <c r="F363" s="211" t="str">
        <f>IFERROR(VLOOKUP($C363,'PORTIFÓLIO'!C:V,4,0),"")</f>
        <v/>
      </c>
      <c r="G363" s="215" t="str">
        <f>IFERROR(VLOOKUP($C363,'PORTIFÓLIO'!C:V,5,0),"")</f>
        <v/>
      </c>
      <c r="H363" s="254" t="str">
        <f t="array" ref="H363">IFERROR(INDEX('PORTIFÓLIO'!$H$4:$H$433,MATCH($C363,'PORTIFÓLIO'!$C$4:$C$433,0)),"")</f>
        <v/>
      </c>
      <c r="I363" s="256"/>
      <c r="J363" s="218">
        <f t="shared" si="41"/>
        <v>0</v>
      </c>
      <c r="K363" s="292" t="str">
        <f t="array" ref="K363">IFERROR(I363*INDEX('PORTIFÓLIO'!$S$4:$S$433,MATCH($C363,'PORTIFÓLIO'!$C$4:$C$433,0)),"")</f>
        <v/>
      </c>
      <c r="L363" s="292" t="str">
        <f t="array" ref="L363">IFERROR(J363*INDEX('PORTIFÓLIO'!$S$4:$S$433,MATCH($C363,'PORTIFÓLIO'!$C$4:$C$433,0)),"")</f>
        <v/>
      </c>
      <c r="M363" s="220"/>
      <c r="N363" s="220"/>
      <c r="O363" s="220"/>
      <c r="P363" s="220"/>
      <c r="Q363" s="220"/>
      <c r="R363" s="220"/>
      <c r="S363" s="220"/>
      <c r="T363" s="220"/>
      <c r="U363" s="220"/>
      <c r="V363" s="220"/>
      <c r="W363" s="220"/>
    </row>
    <row r="364" ht="15.75" customHeight="1" outlineLevel="1">
      <c r="A364" s="211"/>
      <c r="B364" s="212"/>
      <c r="C364" s="213"/>
      <c r="D364" s="214" t="str">
        <f>IFERROR(VLOOKUP($C364,'PORTIFÓLIO'!C:V,2,0),"")</f>
        <v/>
      </c>
      <c r="E364" s="211" t="str">
        <f>IFERROR(VLOOKUP($C364,'PORTIFÓLIO'!C:V,3,0),"")</f>
        <v/>
      </c>
      <c r="F364" s="211" t="str">
        <f>IFERROR(VLOOKUP($C364,'PORTIFÓLIO'!C:V,4,0),"")</f>
        <v/>
      </c>
      <c r="G364" s="215" t="str">
        <f>IFERROR(VLOOKUP($C364,'PORTIFÓLIO'!C:V,5,0),"")</f>
        <v/>
      </c>
      <c r="H364" s="254" t="str">
        <f t="array" ref="H364">IFERROR(INDEX('PORTIFÓLIO'!$H$4:$H$433,MATCH($C364,'PORTIFÓLIO'!$C$4:$C$433,0)),"")</f>
        <v/>
      </c>
      <c r="I364" s="256"/>
      <c r="J364" s="218">
        <f t="shared" si="41"/>
        <v>0</v>
      </c>
      <c r="K364" s="292" t="str">
        <f t="array" ref="K364">IFERROR(I364*INDEX('PORTIFÓLIO'!$S$4:$S$433,MATCH($C364,'PORTIFÓLIO'!$C$4:$C$433,0)),"")</f>
        <v/>
      </c>
      <c r="L364" s="292" t="str">
        <f t="array" ref="L364">IFERROR(J364*INDEX('PORTIFÓLIO'!$S$4:$S$433,MATCH($C364,'PORTIFÓLIO'!$C$4:$C$433,0)),"")</f>
        <v/>
      </c>
      <c r="M364" s="220"/>
      <c r="N364" s="220"/>
      <c r="O364" s="220"/>
      <c r="P364" s="220"/>
      <c r="Q364" s="220"/>
      <c r="R364" s="220"/>
      <c r="S364" s="220"/>
      <c r="T364" s="220"/>
      <c r="U364" s="220"/>
      <c r="V364" s="220"/>
      <c r="W364" s="220"/>
    </row>
    <row r="365" ht="15.75" customHeight="1" outlineLevel="1">
      <c r="A365" s="211"/>
      <c r="B365" s="212"/>
      <c r="C365" s="213"/>
      <c r="D365" s="214" t="str">
        <f>IFERROR(VLOOKUP($C365,'PORTIFÓLIO'!C:V,2,0),"")</f>
        <v/>
      </c>
      <c r="E365" s="211" t="str">
        <f>IFERROR(VLOOKUP($C365,'PORTIFÓLIO'!C:V,3,0),"")</f>
        <v/>
      </c>
      <c r="F365" s="211" t="str">
        <f>IFERROR(VLOOKUP($C365,'PORTIFÓLIO'!C:V,4,0),"")</f>
        <v/>
      </c>
      <c r="G365" s="215" t="str">
        <f>IFERROR(VLOOKUP($C365,'PORTIFÓLIO'!C:V,5,0),"")</f>
        <v/>
      </c>
      <c r="H365" s="254" t="str">
        <f t="array" ref="H365">IFERROR(INDEX('PORTIFÓLIO'!$H$4:$H$433,MATCH($C365,'PORTIFÓLIO'!$C$4:$C$433,0)),"")</f>
        <v/>
      </c>
      <c r="I365" s="256"/>
      <c r="J365" s="218">
        <f t="shared" si="41"/>
        <v>0</v>
      </c>
      <c r="K365" s="292" t="str">
        <f t="array" ref="K365">IFERROR(I365*INDEX('PORTIFÓLIO'!$S$4:$S$433,MATCH($C365,'PORTIFÓLIO'!$C$4:$C$433,0)),"")</f>
        <v/>
      </c>
      <c r="L365" s="292" t="str">
        <f t="array" ref="L365">IFERROR(J365*INDEX('PORTIFÓLIO'!$S$4:$S$433,MATCH($C365,'PORTIFÓLIO'!$C$4:$C$433,0)),"")</f>
        <v/>
      </c>
      <c r="M365" s="220"/>
      <c r="N365" s="220"/>
      <c r="O365" s="220"/>
      <c r="P365" s="220"/>
      <c r="Q365" s="220"/>
      <c r="R365" s="220"/>
      <c r="S365" s="220"/>
      <c r="T365" s="220"/>
      <c r="U365" s="220"/>
      <c r="V365" s="220"/>
      <c r="W365" s="220"/>
    </row>
    <row r="366" ht="15.75" customHeight="1" outlineLevel="1">
      <c r="A366" s="211"/>
      <c r="B366" s="212"/>
      <c r="C366" s="213"/>
      <c r="D366" s="214" t="str">
        <f>IFERROR(VLOOKUP($C366,'PORTIFÓLIO'!C:V,2,0),"")</f>
        <v/>
      </c>
      <c r="E366" s="211" t="str">
        <f>IFERROR(VLOOKUP($C366,'PORTIFÓLIO'!C:V,3,0),"")</f>
        <v/>
      </c>
      <c r="F366" s="211" t="str">
        <f>IFERROR(VLOOKUP($C366,'PORTIFÓLIO'!C:V,4,0),"")</f>
        <v/>
      </c>
      <c r="G366" s="215" t="str">
        <f>IFERROR(VLOOKUP($C366,'PORTIFÓLIO'!C:V,5,0),"")</f>
        <v/>
      </c>
      <c r="H366" s="254" t="str">
        <f t="array" ref="H366">IFERROR(INDEX('PORTIFÓLIO'!$H$4:$H$433,MATCH($C366,'PORTIFÓLIO'!$C$4:$C$433,0)),"")</f>
        <v/>
      </c>
      <c r="I366" s="256"/>
      <c r="J366" s="218">
        <f t="shared" si="41"/>
        <v>0</v>
      </c>
      <c r="K366" s="292" t="str">
        <f t="array" ref="K366">IFERROR(I366*INDEX('PORTIFÓLIO'!$S$4:$S$433,MATCH($C366,'PORTIFÓLIO'!$C$4:$C$433,0)),"")</f>
        <v/>
      </c>
      <c r="L366" s="292" t="str">
        <f t="array" ref="L366">IFERROR(J366*INDEX('PORTIFÓLIO'!$S$4:$S$433,MATCH($C366,'PORTIFÓLIO'!$C$4:$C$433,0)),"")</f>
        <v/>
      </c>
      <c r="M366" s="220"/>
      <c r="N366" s="220"/>
      <c r="O366" s="220"/>
      <c r="P366" s="220"/>
      <c r="Q366" s="220"/>
      <c r="R366" s="220"/>
      <c r="S366" s="220"/>
      <c r="T366" s="220"/>
      <c r="U366" s="220"/>
      <c r="V366" s="220"/>
      <c r="W366" s="220"/>
    </row>
    <row r="367" ht="15.75" customHeight="1" outlineLevel="1">
      <c r="A367" s="211"/>
      <c r="B367" s="212"/>
      <c r="C367" s="213"/>
      <c r="D367" s="214" t="str">
        <f>IFERROR(VLOOKUP($C367,'PORTIFÓLIO'!C:V,2,0),"")</f>
        <v/>
      </c>
      <c r="E367" s="211" t="str">
        <f>IFERROR(VLOOKUP($C367,'PORTIFÓLIO'!C:V,3,0),"")</f>
        <v/>
      </c>
      <c r="F367" s="211" t="str">
        <f>IFERROR(VLOOKUP($C367,'PORTIFÓLIO'!C:V,4,0),"")</f>
        <v/>
      </c>
      <c r="G367" s="215" t="str">
        <f>IFERROR(VLOOKUP($C367,'PORTIFÓLIO'!C:V,5,0),"")</f>
        <v/>
      </c>
      <c r="H367" s="254" t="str">
        <f t="array" ref="H367">IFERROR(INDEX('PORTIFÓLIO'!$H$4:$H$433,MATCH($C367,'PORTIFÓLIO'!$C$4:$C$433,0)),"")</f>
        <v/>
      </c>
      <c r="I367" s="255"/>
      <c r="J367" s="218">
        <f t="shared" si="41"/>
        <v>0</v>
      </c>
      <c r="K367" s="292" t="str">
        <f t="array" ref="K367">IFERROR(I367*INDEX('PORTIFÓLIO'!$S$4:$S$433,MATCH($C367,'PORTIFÓLIO'!$C$4:$C$433,0)),"")</f>
        <v/>
      </c>
      <c r="L367" s="292" t="str">
        <f t="array" ref="L367">IFERROR(J367*INDEX('PORTIFÓLIO'!$S$4:$S$433,MATCH($C367,'PORTIFÓLIO'!$C$4:$C$433,0)),"")</f>
        <v/>
      </c>
      <c r="M367" s="220"/>
      <c r="N367" s="220"/>
      <c r="O367" s="220"/>
      <c r="P367" s="220"/>
      <c r="Q367" s="220"/>
      <c r="R367" s="220"/>
      <c r="S367" s="220"/>
      <c r="T367" s="220"/>
      <c r="U367" s="220"/>
      <c r="V367" s="220"/>
      <c r="W367" s="220"/>
    </row>
    <row r="368" ht="15.75" customHeight="1" outlineLevel="1">
      <c r="A368" s="211"/>
      <c r="B368" s="212"/>
      <c r="C368" s="213"/>
      <c r="D368" s="214" t="str">
        <f>IFERROR(VLOOKUP($C368,'PORTIFÓLIO'!C:V,2,0),"")</f>
        <v/>
      </c>
      <c r="E368" s="211" t="str">
        <f>IFERROR(VLOOKUP($C368,'PORTIFÓLIO'!C:V,3,0),"")</f>
        <v/>
      </c>
      <c r="F368" s="211" t="str">
        <f>IFERROR(VLOOKUP($C368,'PORTIFÓLIO'!C:V,4,0),"")</f>
        <v/>
      </c>
      <c r="G368" s="215" t="str">
        <f>IFERROR(VLOOKUP($C368,'PORTIFÓLIO'!C:V,5,0),"")</f>
        <v/>
      </c>
      <c r="H368" s="254" t="str">
        <f t="array" ref="H368">IFERROR(INDEX('PORTIFÓLIO'!$H$4:$H$433,MATCH($C368,'PORTIFÓLIO'!$C$4:$C$433,0)),"")</f>
        <v/>
      </c>
      <c r="I368" s="256"/>
      <c r="J368" s="218">
        <f t="shared" si="41"/>
        <v>0</v>
      </c>
      <c r="K368" s="292" t="str">
        <f t="array" ref="K368">IFERROR(I368*INDEX('PORTIFÓLIO'!$S$4:$S$433,MATCH($C368,'PORTIFÓLIO'!$C$4:$C$433,0)),"")</f>
        <v/>
      </c>
      <c r="L368" s="292" t="str">
        <f t="array" ref="L368">IFERROR(J368*INDEX('PORTIFÓLIO'!$S$4:$S$433,MATCH($C368,'PORTIFÓLIO'!$C$4:$C$433,0)),"")</f>
        <v/>
      </c>
      <c r="M368" s="220"/>
      <c r="N368" s="220"/>
      <c r="O368" s="220"/>
      <c r="P368" s="220"/>
      <c r="Q368" s="220"/>
      <c r="R368" s="220"/>
      <c r="S368" s="220"/>
      <c r="T368" s="220"/>
      <c r="U368" s="220"/>
      <c r="V368" s="220"/>
      <c r="W368" s="220"/>
    </row>
    <row r="369" ht="15.75" customHeight="1" outlineLevel="1">
      <c r="A369" s="211"/>
      <c r="B369" s="212"/>
      <c r="C369" s="213"/>
      <c r="D369" s="214" t="str">
        <f>IFERROR(VLOOKUP($C369,'PORTIFÓLIO'!C:V,2,0),"")</f>
        <v/>
      </c>
      <c r="E369" s="211" t="str">
        <f>IFERROR(VLOOKUP($C369,'PORTIFÓLIO'!C:V,3,0),"")</f>
        <v/>
      </c>
      <c r="F369" s="211" t="str">
        <f>IFERROR(VLOOKUP($C369,'PORTIFÓLIO'!C:V,4,0),"")</f>
        <v/>
      </c>
      <c r="G369" s="215" t="str">
        <f>IFERROR(VLOOKUP($C369,'PORTIFÓLIO'!C:V,5,0),"")</f>
        <v/>
      </c>
      <c r="H369" s="254" t="str">
        <f t="array" ref="H369">IFERROR(INDEX('PORTIFÓLIO'!$H$4:$H$433,MATCH($C369,'PORTIFÓLIO'!$C$4:$C$433,0)),"")</f>
        <v/>
      </c>
      <c r="I369" s="256"/>
      <c r="J369" s="218">
        <f t="shared" si="41"/>
        <v>0</v>
      </c>
      <c r="K369" s="292" t="str">
        <f t="array" ref="K369">IFERROR(I369*INDEX('PORTIFÓLIO'!$S$4:$S$433,MATCH($C369,'PORTIFÓLIO'!$C$4:$C$433,0)),"")</f>
        <v/>
      </c>
      <c r="L369" s="292" t="str">
        <f t="array" ref="L369">IFERROR(J369*INDEX('PORTIFÓLIO'!$S$4:$S$433,MATCH($C369,'PORTIFÓLIO'!$C$4:$C$433,0)),"")</f>
        <v/>
      </c>
      <c r="M369" s="220"/>
      <c r="N369" s="220"/>
      <c r="O369" s="220"/>
      <c r="P369" s="220"/>
      <c r="Q369" s="220"/>
      <c r="R369" s="220"/>
      <c r="S369" s="220"/>
      <c r="T369" s="220"/>
      <c r="U369" s="220"/>
      <c r="V369" s="220"/>
      <c r="W369" s="220"/>
    </row>
    <row r="370" ht="15.75" customHeight="1" outlineLevel="1">
      <c r="A370" s="211"/>
      <c r="B370" s="212"/>
      <c r="C370" s="213"/>
      <c r="D370" s="214" t="str">
        <f>IFERROR(VLOOKUP($C370,'PORTIFÓLIO'!C:V,2,0),"")</f>
        <v/>
      </c>
      <c r="E370" s="211" t="str">
        <f>IFERROR(VLOOKUP($C370,'PORTIFÓLIO'!C:V,3,0),"")</f>
        <v/>
      </c>
      <c r="F370" s="211" t="str">
        <f>IFERROR(VLOOKUP($C370,'PORTIFÓLIO'!C:V,4,0),"")</f>
        <v/>
      </c>
      <c r="G370" s="215" t="str">
        <f>IFERROR(VLOOKUP($C370,'PORTIFÓLIO'!C:V,5,0),"")</f>
        <v/>
      </c>
      <c r="H370" s="254" t="str">
        <f t="array" ref="H370">IFERROR(INDEX('PORTIFÓLIO'!$H$4:$H$433,MATCH($C370,'PORTIFÓLIO'!$C$4:$C$433,0)),"")</f>
        <v/>
      </c>
      <c r="I370" s="256"/>
      <c r="J370" s="218">
        <f t="shared" si="41"/>
        <v>0</v>
      </c>
      <c r="K370" s="292" t="str">
        <f t="array" ref="K370">IFERROR(I370*INDEX('PORTIFÓLIO'!$S$4:$S$433,MATCH($C370,'PORTIFÓLIO'!$C$4:$C$433,0)),"")</f>
        <v/>
      </c>
      <c r="L370" s="292" t="str">
        <f t="array" ref="L370">IFERROR(J370*INDEX('PORTIFÓLIO'!$S$4:$S$433,MATCH($C370,'PORTIFÓLIO'!$C$4:$C$433,0)),"")</f>
        <v/>
      </c>
      <c r="M370" s="220"/>
      <c r="N370" s="220"/>
      <c r="O370" s="220"/>
      <c r="P370" s="220"/>
      <c r="Q370" s="220"/>
      <c r="R370" s="220"/>
      <c r="S370" s="220"/>
      <c r="T370" s="220"/>
      <c r="U370" s="220"/>
      <c r="V370" s="220"/>
      <c r="W370" s="220"/>
    </row>
    <row r="371" ht="15.75" customHeight="1" outlineLevel="1">
      <c r="A371" s="211"/>
      <c r="B371" s="212"/>
      <c r="C371" s="213"/>
      <c r="D371" s="214" t="str">
        <f>IFERROR(VLOOKUP($C371,'PORTIFÓLIO'!C:V,2,0),"")</f>
        <v/>
      </c>
      <c r="E371" s="211" t="str">
        <f>IFERROR(VLOOKUP($C371,'PORTIFÓLIO'!C:V,3,0),"")</f>
        <v/>
      </c>
      <c r="F371" s="211" t="str">
        <f>IFERROR(VLOOKUP($C371,'PORTIFÓLIO'!C:V,4,0),"")</f>
        <v/>
      </c>
      <c r="G371" s="215" t="str">
        <f>IFERROR(VLOOKUP($C371,'PORTIFÓLIO'!C:V,5,0),"")</f>
        <v/>
      </c>
      <c r="H371" s="254" t="str">
        <f t="array" ref="H371">IFERROR(INDEX('PORTIFÓLIO'!$H$4:$H$433,MATCH($C371,'PORTIFÓLIO'!$C$4:$C$433,0)),"")</f>
        <v/>
      </c>
      <c r="I371" s="256"/>
      <c r="J371" s="218">
        <f t="shared" si="41"/>
        <v>0</v>
      </c>
      <c r="K371" s="292" t="str">
        <f t="array" ref="K371">IFERROR(I371*INDEX('PORTIFÓLIO'!$S$4:$S$433,MATCH($C371,'PORTIFÓLIO'!$C$4:$C$433,0)),"")</f>
        <v/>
      </c>
      <c r="L371" s="292" t="str">
        <f t="array" ref="L371">IFERROR(J371*INDEX('PORTIFÓLIO'!$S$4:$S$433,MATCH($C371,'PORTIFÓLIO'!$C$4:$C$433,0)),"")</f>
        <v/>
      </c>
      <c r="M371" s="220"/>
      <c r="N371" s="220"/>
      <c r="O371" s="220"/>
      <c r="P371" s="220"/>
      <c r="Q371" s="220"/>
      <c r="R371" s="220"/>
      <c r="S371" s="220"/>
      <c r="T371" s="220"/>
      <c r="U371" s="220"/>
      <c r="V371" s="220"/>
      <c r="W371" s="220"/>
    </row>
    <row r="372" ht="15.75" customHeight="1" outlineLevel="1">
      <c r="A372" s="211"/>
      <c r="B372" s="212"/>
      <c r="C372" s="213"/>
      <c r="D372" s="214" t="str">
        <f>IFERROR(VLOOKUP($C372,'PORTIFÓLIO'!C:V,2,0),"")</f>
        <v/>
      </c>
      <c r="E372" s="211" t="str">
        <f>IFERROR(VLOOKUP($C372,'PORTIFÓLIO'!C:V,3,0),"")</f>
        <v/>
      </c>
      <c r="F372" s="211" t="str">
        <f>IFERROR(VLOOKUP($C372,'PORTIFÓLIO'!C:V,4,0),"")</f>
        <v/>
      </c>
      <c r="G372" s="215" t="str">
        <f>IFERROR(VLOOKUP($C372,'PORTIFÓLIO'!C:V,5,0),"")</f>
        <v/>
      </c>
      <c r="H372" s="254" t="str">
        <f t="array" ref="H372">IFERROR(INDEX('PORTIFÓLIO'!$H$4:$H$433,MATCH($C372,'PORTIFÓLIO'!$C$4:$C$433,0)),"")</f>
        <v/>
      </c>
      <c r="I372" s="256"/>
      <c r="J372" s="218">
        <f t="shared" si="41"/>
        <v>0</v>
      </c>
      <c r="K372" s="292" t="str">
        <f t="array" ref="K372">IFERROR(I372*INDEX('PORTIFÓLIO'!$S$4:$S$433,MATCH($C372,'PORTIFÓLIO'!$C$4:$C$433,0)),"")</f>
        <v/>
      </c>
      <c r="L372" s="292" t="str">
        <f t="array" ref="L372">IFERROR(J372*INDEX('PORTIFÓLIO'!$S$4:$S$433,MATCH($C372,'PORTIFÓLIO'!$C$4:$C$433,0)),"")</f>
        <v/>
      </c>
      <c r="M372" s="220"/>
      <c r="N372" s="220"/>
      <c r="O372" s="220"/>
      <c r="P372" s="220"/>
      <c r="Q372" s="220"/>
      <c r="R372" s="220"/>
      <c r="S372" s="220"/>
      <c r="T372" s="220"/>
      <c r="U372" s="220"/>
      <c r="V372" s="220"/>
      <c r="W372" s="220"/>
    </row>
    <row r="373" ht="15.75" customHeight="1" outlineLevel="1">
      <c r="A373" s="211"/>
      <c r="B373" s="212"/>
      <c r="C373" s="213"/>
      <c r="D373" s="214" t="str">
        <f>IFERROR(VLOOKUP($C373,'PORTIFÓLIO'!C:V,2,0),"")</f>
        <v/>
      </c>
      <c r="E373" s="211" t="str">
        <f>IFERROR(VLOOKUP($C373,'PORTIFÓLIO'!C:V,3,0),"")</f>
        <v/>
      </c>
      <c r="F373" s="211" t="str">
        <f>IFERROR(VLOOKUP($C373,'PORTIFÓLIO'!C:V,4,0),"")</f>
        <v/>
      </c>
      <c r="G373" s="215" t="str">
        <f>IFERROR(VLOOKUP($C373,'PORTIFÓLIO'!C:V,5,0),"")</f>
        <v/>
      </c>
      <c r="H373" s="254" t="str">
        <f t="array" ref="H373">IFERROR(INDEX('PORTIFÓLIO'!$H$4:$H$433,MATCH($C373,'PORTIFÓLIO'!$C$4:$C$433,0)),"")</f>
        <v/>
      </c>
      <c r="I373" s="256"/>
      <c r="J373" s="218">
        <f t="shared" si="41"/>
        <v>0</v>
      </c>
      <c r="K373" s="292" t="str">
        <f t="array" ref="K373">IFERROR(I373*INDEX('PORTIFÓLIO'!$S$4:$S$433,MATCH($C373,'PORTIFÓLIO'!$C$4:$C$433,0)),"")</f>
        <v/>
      </c>
      <c r="L373" s="292" t="str">
        <f t="array" ref="L373">IFERROR(J373*INDEX('PORTIFÓLIO'!$S$4:$S$433,MATCH($C373,'PORTIFÓLIO'!$C$4:$C$433,0)),"")</f>
        <v/>
      </c>
      <c r="M373" s="220"/>
      <c r="N373" s="220"/>
      <c r="O373" s="220"/>
      <c r="P373" s="220"/>
      <c r="Q373" s="220"/>
      <c r="R373" s="220"/>
      <c r="S373" s="220"/>
      <c r="T373" s="220"/>
      <c r="U373" s="220"/>
      <c r="V373" s="220"/>
      <c r="W373" s="220"/>
    </row>
    <row r="374" ht="15.75" customHeight="1" outlineLevel="1">
      <c r="A374" s="211"/>
      <c r="B374" s="227"/>
      <c r="C374" s="211"/>
      <c r="D374" s="214" t="str">
        <f>IFERROR(VLOOKUP($C374,'PORTIFÓLIO'!C:V,2,0),"")</f>
        <v/>
      </c>
      <c r="E374" s="211" t="str">
        <f>IFERROR(VLOOKUP($C374,'PORTIFÓLIO'!C:V,3,0),"")</f>
        <v/>
      </c>
      <c r="F374" s="211" t="str">
        <f>IFERROR(VLOOKUP($C374,'PORTIFÓLIO'!C:V,4,0),"")</f>
        <v/>
      </c>
      <c r="G374" s="215" t="str">
        <f>IFERROR(VLOOKUP($C374,'PORTIFÓLIO'!C:V,5,0),"")</f>
        <v/>
      </c>
      <c r="H374" s="254" t="str">
        <f t="array" ref="H374">IFERROR(INDEX('PORTIFÓLIO'!$H$4:$H$433,MATCH($C374,'PORTIFÓLIO'!$C$4:$C$433,0)),"")</f>
        <v/>
      </c>
      <c r="I374" s="256"/>
      <c r="J374" s="218"/>
      <c r="K374" s="292" t="str">
        <f t="array" ref="K374">IFERROR(I374*INDEX('PORTIFÓLIO'!$S$4:$S$433,MATCH($C374,'PORTIFÓLIO'!$C$4:$C$433,0)),"")</f>
        <v/>
      </c>
      <c r="L374" s="292" t="str">
        <f t="array" ref="L374">IFERROR(J374*INDEX('PORTIFÓLIO'!$S$4:$S$433,MATCH($C374,'PORTIFÓLIO'!$C$4:$C$433,0)),"")</f>
        <v/>
      </c>
      <c r="M374" s="220"/>
      <c r="N374" s="220"/>
      <c r="O374" s="220"/>
      <c r="P374" s="220"/>
      <c r="Q374" s="220"/>
      <c r="R374" s="220"/>
      <c r="S374" s="220"/>
      <c r="T374" s="220"/>
      <c r="U374" s="220"/>
      <c r="V374" s="220"/>
      <c r="W374" s="220"/>
    </row>
    <row r="375" ht="15.75" customHeight="1">
      <c r="A375" s="229" t="s">
        <v>1192</v>
      </c>
      <c r="B375" s="230"/>
      <c r="C375" s="231"/>
      <c r="D375" s="232"/>
      <c r="E375" s="231"/>
      <c r="F375" s="231"/>
      <c r="G375" s="233"/>
      <c r="H375" s="233"/>
      <c r="I375" s="258"/>
      <c r="J375" s="236"/>
      <c r="K375" s="237">
        <f t="shared" ref="K375:L375" si="42">SUBTOTAL(9,K376:K389)</f>
        <v>0</v>
      </c>
      <c r="L375" s="237">
        <f t="shared" si="42"/>
        <v>0</v>
      </c>
      <c r="M375" s="220"/>
      <c r="N375" s="220"/>
      <c r="O375" s="220"/>
      <c r="P375" s="220"/>
      <c r="Q375" s="220"/>
      <c r="R375" s="220"/>
      <c r="S375" s="220"/>
      <c r="T375" s="220"/>
      <c r="U375" s="220"/>
      <c r="V375" s="220"/>
      <c r="W375" s="220"/>
    </row>
    <row r="376" ht="15.75" customHeight="1" outlineLevel="1">
      <c r="A376" s="213"/>
      <c r="B376" s="212"/>
      <c r="C376" s="213"/>
      <c r="D376" s="214" t="str">
        <f>IFERROR(VLOOKUP($C376,'PORTIFÓLIO'!C:V,2,0),"")</f>
        <v/>
      </c>
      <c r="E376" s="211" t="str">
        <f>IFERROR(VLOOKUP($C376,'PORTIFÓLIO'!C:V,3,0),"")</f>
        <v/>
      </c>
      <c r="F376" s="211" t="str">
        <f>IFERROR(VLOOKUP($C376,'PORTIFÓLIO'!C:V,4,0),"")</f>
        <v/>
      </c>
      <c r="G376" s="215" t="str">
        <f>IFERROR(VLOOKUP($C376,'PORTIFÓLIO'!C:V,5,0),"")</f>
        <v/>
      </c>
      <c r="H376" s="254" t="str">
        <f t="array" ref="H376">IFERROR(INDEX('PORTIFÓLIO'!$H$4:$H$433,MATCH($C376,'PORTIFÓLIO'!$C$4:$C$433,0)),"")</f>
        <v/>
      </c>
      <c r="I376" s="255"/>
      <c r="J376" s="218">
        <f t="shared" ref="J376:J390" si="43">I376*$B$2</f>
        <v>0</v>
      </c>
      <c r="K376" s="292" t="str">
        <f t="array" ref="K376">IFERROR(I376*INDEX('PORTIFÓLIO'!$S$4:$S$433,MATCH($C376,'PORTIFÓLIO'!$C$4:$C$433,0)),"")</f>
        <v/>
      </c>
      <c r="L376" s="292" t="str">
        <f t="array" ref="L376">IFERROR(J376*INDEX('PORTIFÓLIO'!$S$4:$S$433,MATCH($C376,'PORTIFÓLIO'!$C$4:$C$433,0)),"")</f>
        <v/>
      </c>
      <c r="M376" s="220"/>
      <c r="N376" s="220"/>
      <c r="O376" s="220"/>
      <c r="P376" s="220"/>
      <c r="Q376" s="220"/>
      <c r="R376" s="220"/>
      <c r="S376" s="220"/>
      <c r="T376" s="220"/>
      <c r="U376" s="220"/>
      <c r="V376" s="220"/>
      <c r="W376" s="220"/>
    </row>
    <row r="377" ht="15.75" customHeight="1" outlineLevel="1">
      <c r="A377" s="211"/>
      <c r="B377" s="212"/>
      <c r="C377" s="213"/>
      <c r="D377" s="214" t="str">
        <f>IFERROR(VLOOKUP($C377,'PORTIFÓLIO'!C:V,2,0),"")</f>
        <v/>
      </c>
      <c r="E377" s="211" t="str">
        <f>IFERROR(VLOOKUP($C377,'PORTIFÓLIO'!C:V,3,0),"")</f>
        <v/>
      </c>
      <c r="F377" s="211" t="str">
        <f>IFERROR(VLOOKUP($C377,'PORTIFÓLIO'!C:V,4,0),"")</f>
        <v/>
      </c>
      <c r="G377" s="215" t="str">
        <f>IFERROR(VLOOKUP($C377,'PORTIFÓLIO'!C:V,5,0),"")</f>
        <v/>
      </c>
      <c r="H377" s="254" t="str">
        <f t="array" ref="H377">IFERROR(INDEX('PORTIFÓLIO'!$H$4:$H$433,MATCH($C377,'PORTIFÓLIO'!$C$4:$C$433,0)),"")</f>
        <v/>
      </c>
      <c r="I377" s="256"/>
      <c r="J377" s="218">
        <f t="shared" si="43"/>
        <v>0</v>
      </c>
      <c r="K377" s="292" t="str">
        <f t="array" ref="K377">IFERROR(I377*INDEX('PORTIFÓLIO'!$S$4:$S$433,MATCH($C377,'PORTIFÓLIO'!$C$4:$C$433,0)),"")</f>
        <v/>
      </c>
      <c r="L377" s="292" t="str">
        <f t="array" ref="L377">IFERROR(J377*INDEX('PORTIFÓLIO'!$S$4:$S$433,MATCH($C377,'PORTIFÓLIO'!$C$4:$C$433,0)),"")</f>
        <v/>
      </c>
      <c r="M377" s="220"/>
      <c r="N377" s="220"/>
      <c r="O377" s="220"/>
      <c r="P377" s="220"/>
      <c r="Q377" s="220"/>
      <c r="R377" s="220"/>
      <c r="S377" s="220"/>
      <c r="T377" s="220"/>
      <c r="U377" s="220"/>
      <c r="V377" s="220"/>
      <c r="W377" s="220"/>
    </row>
    <row r="378" ht="15.75" customHeight="1" outlineLevel="1">
      <c r="A378" s="211"/>
      <c r="B378" s="212"/>
      <c r="C378" s="213"/>
      <c r="D378" s="214" t="str">
        <f>IFERROR(VLOOKUP($C378,'PORTIFÓLIO'!C:V,2,0),"")</f>
        <v/>
      </c>
      <c r="E378" s="211" t="str">
        <f>IFERROR(VLOOKUP($C378,'PORTIFÓLIO'!C:V,3,0),"")</f>
        <v/>
      </c>
      <c r="F378" s="211" t="str">
        <f>IFERROR(VLOOKUP($C378,'PORTIFÓLIO'!C:V,4,0),"")</f>
        <v/>
      </c>
      <c r="G378" s="215" t="str">
        <f>IFERROR(VLOOKUP($C378,'PORTIFÓLIO'!C:V,5,0),"")</f>
        <v/>
      </c>
      <c r="H378" s="254" t="str">
        <f t="array" ref="H378">IFERROR(INDEX('PORTIFÓLIO'!$H$4:$H$433,MATCH($C378,'PORTIFÓLIO'!$C$4:$C$433,0)),"")</f>
        <v/>
      </c>
      <c r="I378" s="256"/>
      <c r="J378" s="218">
        <f t="shared" si="43"/>
        <v>0</v>
      </c>
      <c r="K378" s="292" t="str">
        <f t="array" ref="K378">IFERROR(I378*INDEX('PORTIFÓLIO'!$S$4:$S$433,MATCH($C378,'PORTIFÓLIO'!$C$4:$C$433,0)),"")</f>
        <v/>
      </c>
      <c r="L378" s="292" t="str">
        <f t="array" ref="L378">IFERROR(J378*INDEX('PORTIFÓLIO'!$S$4:$S$433,MATCH($C378,'PORTIFÓLIO'!$C$4:$C$433,0)),"")</f>
        <v/>
      </c>
      <c r="M378" s="220"/>
      <c r="N378" s="220"/>
      <c r="O378" s="220"/>
      <c r="P378" s="220"/>
      <c r="Q378" s="220"/>
      <c r="R378" s="220"/>
      <c r="S378" s="220"/>
      <c r="T378" s="220"/>
      <c r="U378" s="220"/>
      <c r="V378" s="220"/>
      <c r="W378" s="220"/>
    </row>
    <row r="379" ht="15.75" customHeight="1" outlineLevel="1">
      <c r="A379" s="211"/>
      <c r="B379" s="212"/>
      <c r="C379" s="213"/>
      <c r="D379" s="214" t="str">
        <f>IFERROR(VLOOKUP($C379,'PORTIFÓLIO'!C:V,2,0),"")</f>
        <v/>
      </c>
      <c r="E379" s="211" t="str">
        <f>IFERROR(VLOOKUP($C379,'PORTIFÓLIO'!C:V,3,0),"")</f>
        <v/>
      </c>
      <c r="F379" s="211" t="str">
        <f>IFERROR(VLOOKUP($C379,'PORTIFÓLIO'!C:V,4,0),"")</f>
        <v/>
      </c>
      <c r="G379" s="215" t="str">
        <f>IFERROR(VLOOKUP($C379,'PORTIFÓLIO'!C:V,5,0),"")</f>
        <v/>
      </c>
      <c r="H379" s="254" t="str">
        <f t="array" ref="H379">IFERROR(INDEX('PORTIFÓLIO'!$H$4:$H$433,MATCH($C379,'PORTIFÓLIO'!$C$4:$C$433,0)),"")</f>
        <v/>
      </c>
      <c r="I379" s="256"/>
      <c r="J379" s="218">
        <f t="shared" si="43"/>
        <v>0</v>
      </c>
      <c r="K379" s="292" t="str">
        <f t="array" ref="K379">IFERROR(I379*INDEX('PORTIFÓLIO'!$S$4:$S$433,MATCH($C379,'PORTIFÓLIO'!$C$4:$C$433,0)),"")</f>
        <v/>
      </c>
      <c r="L379" s="292" t="str">
        <f t="array" ref="L379">IFERROR(J379*INDEX('PORTIFÓLIO'!$S$4:$S$433,MATCH($C379,'PORTIFÓLIO'!$C$4:$C$433,0)),"")</f>
        <v/>
      </c>
      <c r="M379" s="220"/>
      <c r="N379" s="220"/>
      <c r="O379" s="220"/>
      <c r="P379" s="220"/>
      <c r="Q379" s="220"/>
      <c r="R379" s="220"/>
      <c r="S379" s="220"/>
      <c r="T379" s="220"/>
      <c r="U379" s="220"/>
      <c r="V379" s="220"/>
      <c r="W379" s="220"/>
    </row>
    <row r="380" ht="15.75" customHeight="1" outlineLevel="1">
      <c r="A380" s="211"/>
      <c r="B380" s="212"/>
      <c r="C380" s="213"/>
      <c r="D380" s="214" t="str">
        <f>IFERROR(VLOOKUP($C380,'PORTIFÓLIO'!C:V,2,0),"")</f>
        <v/>
      </c>
      <c r="E380" s="211" t="str">
        <f>IFERROR(VLOOKUP($C380,'PORTIFÓLIO'!C:V,3,0),"")</f>
        <v/>
      </c>
      <c r="F380" s="211" t="str">
        <f>IFERROR(VLOOKUP($C380,'PORTIFÓLIO'!C:V,4,0),"")</f>
        <v/>
      </c>
      <c r="G380" s="215" t="str">
        <f>IFERROR(VLOOKUP($C380,'PORTIFÓLIO'!C:V,5,0),"")</f>
        <v/>
      </c>
      <c r="H380" s="254" t="str">
        <f t="array" ref="H380">IFERROR(INDEX('PORTIFÓLIO'!$H$4:$H$433,MATCH($C380,'PORTIFÓLIO'!$C$4:$C$433,0)),"")</f>
        <v/>
      </c>
      <c r="I380" s="256"/>
      <c r="J380" s="218">
        <f t="shared" si="43"/>
        <v>0</v>
      </c>
      <c r="K380" s="292" t="str">
        <f t="array" ref="K380">IFERROR(I380*INDEX('PORTIFÓLIO'!$S$4:$S$433,MATCH($C380,'PORTIFÓLIO'!$C$4:$C$433,0)),"")</f>
        <v/>
      </c>
      <c r="L380" s="292" t="str">
        <f t="array" ref="L380">IFERROR(J380*INDEX('PORTIFÓLIO'!$S$4:$S$433,MATCH($C380,'PORTIFÓLIO'!$C$4:$C$433,0)),"")</f>
        <v/>
      </c>
      <c r="M380" s="220"/>
      <c r="N380" s="220"/>
      <c r="O380" s="220"/>
      <c r="P380" s="220"/>
      <c r="Q380" s="220"/>
      <c r="R380" s="220"/>
      <c r="S380" s="220"/>
      <c r="T380" s="220"/>
      <c r="U380" s="220"/>
      <c r="V380" s="220"/>
      <c r="W380" s="220"/>
    </row>
    <row r="381" ht="15.75" customHeight="1" outlineLevel="1">
      <c r="A381" s="211"/>
      <c r="B381" s="212"/>
      <c r="C381" s="213"/>
      <c r="D381" s="214" t="str">
        <f>IFERROR(VLOOKUP($C381,'PORTIFÓLIO'!C:V,2,0),"")</f>
        <v/>
      </c>
      <c r="E381" s="211" t="str">
        <f>IFERROR(VLOOKUP($C381,'PORTIFÓLIO'!C:V,3,0),"")</f>
        <v/>
      </c>
      <c r="F381" s="211" t="str">
        <f>IFERROR(VLOOKUP($C381,'PORTIFÓLIO'!C:V,4,0),"")</f>
        <v/>
      </c>
      <c r="G381" s="215" t="str">
        <f>IFERROR(VLOOKUP($C381,'PORTIFÓLIO'!C:V,5,0),"")</f>
        <v/>
      </c>
      <c r="H381" s="254" t="str">
        <f t="array" ref="H381">IFERROR(INDEX('PORTIFÓLIO'!$H$4:$H$433,MATCH($C381,'PORTIFÓLIO'!$C$4:$C$433,0)),"")</f>
        <v/>
      </c>
      <c r="I381" s="256"/>
      <c r="J381" s="218">
        <f t="shared" si="43"/>
        <v>0</v>
      </c>
      <c r="K381" s="292" t="str">
        <f t="array" ref="K381">IFERROR(I381*INDEX('PORTIFÓLIO'!$S$4:$S$433,MATCH($C381,'PORTIFÓLIO'!$C$4:$C$433,0)),"")</f>
        <v/>
      </c>
      <c r="L381" s="292" t="str">
        <f t="array" ref="L381">IFERROR(J381*INDEX('PORTIFÓLIO'!$S$4:$S$433,MATCH($C381,'PORTIFÓLIO'!$C$4:$C$433,0)),"")</f>
        <v/>
      </c>
      <c r="M381" s="220"/>
      <c r="N381" s="220"/>
      <c r="O381" s="220"/>
      <c r="P381" s="220"/>
      <c r="Q381" s="220"/>
      <c r="R381" s="220"/>
      <c r="S381" s="220"/>
      <c r="T381" s="220"/>
      <c r="U381" s="220"/>
      <c r="V381" s="220"/>
      <c r="W381" s="220"/>
    </row>
    <row r="382" ht="15.75" customHeight="1" outlineLevel="1">
      <c r="A382" s="211"/>
      <c r="B382" s="212"/>
      <c r="C382" s="213"/>
      <c r="D382" s="214" t="str">
        <f>IFERROR(VLOOKUP($C382,'PORTIFÓLIO'!C:V,2,0),"")</f>
        <v/>
      </c>
      <c r="E382" s="211" t="str">
        <f>IFERROR(VLOOKUP($C382,'PORTIFÓLIO'!C:V,3,0),"")</f>
        <v/>
      </c>
      <c r="F382" s="211" t="str">
        <f>IFERROR(VLOOKUP($C382,'PORTIFÓLIO'!C:V,4,0),"")</f>
        <v/>
      </c>
      <c r="G382" s="215" t="str">
        <f>IFERROR(VLOOKUP($C382,'PORTIFÓLIO'!C:V,5,0),"")</f>
        <v/>
      </c>
      <c r="H382" s="254" t="str">
        <f t="array" ref="H382">IFERROR(INDEX('PORTIFÓLIO'!$H$4:$H$433,MATCH($C382,'PORTIFÓLIO'!$C$4:$C$433,0)),"")</f>
        <v/>
      </c>
      <c r="I382" s="256"/>
      <c r="J382" s="218">
        <f t="shared" si="43"/>
        <v>0</v>
      </c>
      <c r="K382" s="292" t="str">
        <f t="array" ref="K382">IFERROR(I382*INDEX('PORTIFÓLIO'!$S$4:$S$433,MATCH($C382,'PORTIFÓLIO'!$C$4:$C$433,0)),"")</f>
        <v/>
      </c>
      <c r="L382" s="292" t="str">
        <f t="array" ref="L382">IFERROR(J382*INDEX('PORTIFÓLIO'!$S$4:$S$433,MATCH($C382,'PORTIFÓLIO'!$C$4:$C$433,0)),"")</f>
        <v/>
      </c>
      <c r="M382" s="220"/>
      <c r="N382" s="220"/>
      <c r="O382" s="220"/>
      <c r="P382" s="220"/>
      <c r="Q382" s="220"/>
      <c r="R382" s="220"/>
      <c r="S382" s="220"/>
      <c r="T382" s="220"/>
      <c r="U382" s="220"/>
      <c r="V382" s="220"/>
      <c r="W382" s="220"/>
    </row>
    <row r="383" ht="15.75" customHeight="1" outlineLevel="1">
      <c r="A383" s="211"/>
      <c r="B383" s="212"/>
      <c r="C383" s="213"/>
      <c r="D383" s="214" t="str">
        <f>IFERROR(VLOOKUP($C383,'PORTIFÓLIO'!C:V,2,0),"")</f>
        <v/>
      </c>
      <c r="E383" s="211" t="str">
        <f>IFERROR(VLOOKUP($C383,'PORTIFÓLIO'!C:V,3,0),"")</f>
        <v/>
      </c>
      <c r="F383" s="211" t="str">
        <f>IFERROR(VLOOKUP($C383,'PORTIFÓLIO'!C:V,4,0),"")</f>
        <v/>
      </c>
      <c r="G383" s="215" t="str">
        <f>IFERROR(VLOOKUP($C383,'PORTIFÓLIO'!C:V,5,0),"")</f>
        <v/>
      </c>
      <c r="H383" s="254" t="str">
        <f t="array" ref="H383">IFERROR(INDEX('PORTIFÓLIO'!$H$4:$H$433,MATCH($C383,'PORTIFÓLIO'!$C$4:$C$433,0)),"")</f>
        <v/>
      </c>
      <c r="I383" s="256"/>
      <c r="J383" s="218">
        <f t="shared" si="43"/>
        <v>0</v>
      </c>
      <c r="K383" s="292" t="str">
        <f t="array" ref="K383">IFERROR(I383*INDEX('PORTIFÓLIO'!$S$4:$S$433,MATCH($C383,'PORTIFÓLIO'!$C$4:$C$433,0)),"")</f>
        <v/>
      </c>
      <c r="L383" s="292" t="str">
        <f t="array" ref="L383">IFERROR(J383*INDEX('PORTIFÓLIO'!$S$4:$S$433,MATCH($C383,'PORTIFÓLIO'!$C$4:$C$433,0)),"")</f>
        <v/>
      </c>
      <c r="M383" s="220"/>
      <c r="N383" s="220"/>
      <c r="O383" s="220"/>
      <c r="P383" s="220"/>
      <c r="Q383" s="220"/>
      <c r="R383" s="220"/>
      <c r="S383" s="220"/>
      <c r="T383" s="220"/>
      <c r="U383" s="220"/>
      <c r="V383" s="220"/>
      <c r="W383" s="220"/>
    </row>
    <row r="384" ht="15.75" customHeight="1" outlineLevel="1">
      <c r="A384" s="211"/>
      <c r="B384" s="212"/>
      <c r="C384" s="213"/>
      <c r="D384" s="214" t="str">
        <f>IFERROR(VLOOKUP($C384,'PORTIFÓLIO'!C:V,2,0),"")</f>
        <v/>
      </c>
      <c r="E384" s="211" t="str">
        <f>IFERROR(VLOOKUP($C384,'PORTIFÓLIO'!C:V,3,0),"")</f>
        <v/>
      </c>
      <c r="F384" s="211" t="str">
        <f>IFERROR(VLOOKUP($C384,'PORTIFÓLIO'!C:V,4,0),"")</f>
        <v/>
      </c>
      <c r="G384" s="215" t="str">
        <f>IFERROR(VLOOKUP($C384,'PORTIFÓLIO'!C:V,5,0),"")</f>
        <v/>
      </c>
      <c r="H384" s="254" t="str">
        <f t="array" ref="H384">IFERROR(INDEX('PORTIFÓLIO'!$H$4:$H$433,MATCH($C384,'PORTIFÓLIO'!$C$4:$C$433,0)),"")</f>
        <v/>
      </c>
      <c r="I384" s="255"/>
      <c r="J384" s="218">
        <f t="shared" si="43"/>
        <v>0</v>
      </c>
      <c r="K384" s="292" t="str">
        <f t="array" ref="K384">IFERROR(I384*INDEX('PORTIFÓLIO'!$S$4:$S$433,MATCH($C384,'PORTIFÓLIO'!$C$4:$C$433,0)),"")</f>
        <v/>
      </c>
      <c r="L384" s="292" t="str">
        <f t="array" ref="L384">IFERROR(J384*INDEX('PORTIFÓLIO'!$S$4:$S$433,MATCH($C384,'PORTIFÓLIO'!$C$4:$C$433,0)),"")</f>
        <v/>
      </c>
      <c r="M384" s="220"/>
      <c r="N384" s="220"/>
      <c r="O384" s="220"/>
      <c r="P384" s="220"/>
      <c r="Q384" s="220"/>
      <c r="R384" s="220"/>
      <c r="S384" s="220"/>
      <c r="T384" s="220"/>
      <c r="U384" s="220"/>
      <c r="V384" s="220"/>
      <c r="W384" s="220"/>
    </row>
    <row r="385" ht="15.75" customHeight="1" outlineLevel="1">
      <c r="A385" s="211"/>
      <c r="B385" s="212"/>
      <c r="C385" s="213"/>
      <c r="D385" s="214" t="str">
        <f>IFERROR(VLOOKUP($C385,'PORTIFÓLIO'!C:V,2,0),"")</f>
        <v/>
      </c>
      <c r="E385" s="211" t="str">
        <f>IFERROR(VLOOKUP($C385,'PORTIFÓLIO'!C:V,3,0),"")</f>
        <v/>
      </c>
      <c r="F385" s="211" t="str">
        <f>IFERROR(VLOOKUP($C385,'PORTIFÓLIO'!C:V,4,0),"")</f>
        <v/>
      </c>
      <c r="G385" s="215" t="str">
        <f>IFERROR(VLOOKUP($C385,'PORTIFÓLIO'!C:V,5,0),"")</f>
        <v/>
      </c>
      <c r="H385" s="254" t="str">
        <f t="array" ref="H385">IFERROR(INDEX('PORTIFÓLIO'!$H$4:$H$433,MATCH($C385,'PORTIFÓLIO'!$C$4:$C$433,0)),"")</f>
        <v/>
      </c>
      <c r="I385" s="256"/>
      <c r="J385" s="218">
        <f t="shared" si="43"/>
        <v>0</v>
      </c>
      <c r="K385" s="292" t="str">
        <f t="array" ref="K385">IFERROR(I385*INDEX('PORTIFÓLIO'!$S$4:$S$433,MATCH($C385,'PORTIFÓLIO'!$C$4:$C$433,0)),"")</f>
        <v/>
      </c>
      <c r="L385" s="292" t="str">
        <f t="array" ref="L385">IFERROR(J385*INDEX('PORTIFÓLIO'!$S$4:$S$433,MATCH($C385,'PORTIFÓLIO'!$C$4:$C$433,0)),"")</f>
        <v/>
      </c>
      <c r="M385" s="220"/>
      <c r="N385" s="220"/>
      <c r="O385" s="220"/>
      <c r="P385" s="220"/>
      <c r="Q385" s="220"/>
      <c r="R385" s="220"/>
      <c r="S385" s="220"/>
      <c r="T385" s="220"/>
      <c r="U385" s="220"/>
      <c r="V385" s="220"/>
      <c r="W385" s="220"/>
    </row>
    <row r="386" ht="15.75" customHeight="1" outlineLevel="1">
      <c r="A386" s="211"/>
      <c r="B386" s="212"/>
      <c r="C386" s="213"/>
      <c r="D386" s="214" t="str">
        <f>IFERROR(VLOOKUP($C386,'PORTIFÓLIO'!C:V,2,0),"")</f>
        <v/>
      </c>
      <c r="E386" s="211" t="str">
        <f>IFERROR(VLOOKUP($C386,'PORTIFÓLIO'!C:V,3,0),"")</f>
        <v/>
      </c>
      <c r="F386" s="211" t="str">
        <f>IFERROR(VLOOKUP($C386,'PORTIFÓLIO'!C:V,4,0),"")</f>
        <v/>
      </c>
      <c r="G386" s="215" t="str">
        <f>IFERROR(VLOOKUP($C386,'PORTIFÓLIO'!C:V,5,0),"")</f>
        <v/>
      </c>
      <c r="H386" s="254" t="str">
        <f t="array" ref="H386">IFERROR(INDEX('PORTIFÓLIO'!$H$4:$H$433,MATCH($C386,'PORTIFÓLIO'!$C$4:$C$433,0)),"")</f>
        <v/>
      </c>
      <c r="I386" s="256"/>
      <c r="J386" s="218">
        <f t="shared" si="43"/>
        <v>0</v>
      </c>
      <c r="K386" s="292" t="str">
        <f t="array" ref="K386">IFERROR(I386*INDEX('PORTIFÓLIO'!$S$4:$S$433,MATCH($C386,'PORTIFÓLIO'!$C$4:$C$433,0)),"")</f>
        <v/>
      </c>
      <c r="L386" s="292" t="str">
        <f t="array" ref="L386">IFERROR(J386*INDEX('PORTIFÓLIO'!$S$4:$S$433,MATCH($C386,'PORTIFÓLIO'!$C$4:$C$433,0)),"")</f>
        <v/>
      </c>
      <c r="M386" s="220"/>
      <c r="N386" s="220"/>
      <c r="O386" s="220"/>
      <c r="P386" s="220"/>
      <c r="Q386" s="220"/>
      <c r="R386" s="220"/>
      <c r="S386" s="220"/>
      <c r="T386" s="220"/>
      <c r="U386" s="220"/>
      <c r="V386" s="220"/>
      <c r="W386" s="220"/>
    </row>
    <row r="387" ht="15.75" customHeight="1" outlineLevel="1">
      <c r="A387" s="211"/>
      <c r="B387" s="212"/>
      <c r="C387" s="213"/>
      <c r="D387" s="214" t="str">
        <f>IFERROR(VLOOKUP($C387,'PORTIFÓLIO'!C:V,2,0),"")</f>
        <v/>
      </c>
      <c r="E387" s="211" t="str">
        <f>IFERROR(VLOOKUP($C387,'PORTIFÓLIO'!C:V,3,0),"")</f>
        <v/>
      </c>
      <c r="F387" s="211" t="str">
        <f>IFERROR(VLOOKUP($C387,'PORTIFÓLIO'!C:V,4,0),"")</f>
        <v/>
      </c>
      <c r="G387" s="215" t="str">
        <f>IFERROR(VLOOKUP($C387,'PORTIFÓLIO'!C:V,5,0),"")</f>
        <v/>
      </c>
      <c r="H387" s="254" t="str">
        <f t="array" ref="H387">IFERROR(INDEX('PORTIFÓLIO'!$H$4:$H$433,MATCH($C387,'PORTIFÓLIO'!$C$4:$C$433,0)),"")</f>
        <v/>
      </c>
      <c r="I387" s="256"/>
      <c r="J387" s="218">
        <f t="shared" si="43"/>
        <v>0</v>
      </c>
      <c r="K387" s="292" t="str">
        <f t="array" ref="K387">IFERROR(I387*INDEX('PORTIFÓLIO'!$S$4:$S$433,MATCH($C387,'PORTIFÓLIO'!$C$4:$C$433,0)),"")</f>
        <v/>
      </c>
      <c r="L387" s="292" t="str">
        <f t="array" ref="L387">IFERROR(J387*INDEX('PORTIFÓLIO'!$S$4:$S$433,MATCH($C387,'PORTIFÓLIO'!$C$4:$C$433,0)),"")</f>
        <v/>
      </c>
      <c r="M387" s="220"/>
      <c r="N387" s="220"/>
      <c r="O387" s="220"/>
      <c r="P387" s="220"/>
      <c r="Q387" s="220"/>
      <c r="R387" s="220"/>
      <c r="S387" s="220"/>
      <c r="T387" s="220"/>
      <c r="U387" s="220"/>
      <c r="V387" s="220"/>
      <c r="W387" s="220"/>
    </row>
    <row r="388" ht="15.75" customHeight="1" outlineLevel="1">
      <c r="A388" s="211"/>
      <c r="B388" s="212"/>
      <c r="C388" s="213"/>
      <c r="D388" s="214" t="str">
        <f>IFERROR(VLOOKUP($C388,'PORTIFÓLIO'!C:V,2,0),"")</f>
        <v/>
      </c>
      <c r="E388" s="211" t="str">
        <f>IFERROR(VLOOKUP($C388,'PORTIFÓLIO'!C:V,3,0),"")</f>
        <v/>
      </c>
      <c r="F388" s="211" t="str">
        <f>IFERROR(VLOOKUP($C388,'PORTIFÓLIO'!C:V,4,0),"")</f>
        <v/>
      </c>
      <c r="G388" s="215" t="str">
        <f>IFERROR(VLOOKUP($C388,'PORTIFÓLIO'!C:V,5,0),"")</f>
        <v/>
      </c>
      <c r="H388" s="254" t="str">
        <f t="array" ref="H388">IFERROR(INDEX('PORTIFÓLIO'!$H$4:$H$433,MATCH($C388,'PORTIFÓLIO'!$C$4:$C$433,0)),"")</f>
        <v/>
      </c>
      <c r="I388" s="256"/>
      <c r="J388" s="218">
        <f t="shared" si="43"/>
        <v>0</v>
      </c>
      <c r="K388" s="292" t="str">
        <f t="array" ref="K388">IFERROR(I388*INDEX('PORTIFÓLIO'!$S$4:$S$433,MATCH($C388,'PORTIFÓLIO'!$C$4:$C$433,0)),"")</f>
        <v/>
      </c>
      <c r="L388" s="292" t="str">
        <f t="array" ref="L388">IFERROR(J388*INDEX('PORTIFÓLIO'!$S$4:$S$433,MATCH($C388,'PORTIFÓLIO'!$C$4:$C$433,0)),"")</f>
        <v/>
      </c>
      <c r="M388" s="220"/>
      <c r="N388" s="220"/>
      <c r="O388" s="220"/>
      <c r="P388" s="220"/>
      <c r="Q388" s="220"/>
      <c r="R388" s="220"/>
      <c r="S388" s="220"/>
      <c r="T388" s="220"/>
      <c r="U388" s="220"/>
      <c r="V388" s="220"/>
      <c r="W388" s="220"/>
    </row>
    <row r="389" ht="15.75" customHeight="1" outlineLevel="1">
      <c r="A389" s="211"/>
      <c r="B389" s="212"/>
      <c r="C389" s="213"/>
      <c r="D389" s="214" t="str">
        <f>IFERROR(VLOOKUP($C389,'PORTIFÓLIO'!C:V,2,0),"")</f>
        <v/>
      </c>
      <c r="E389" s="211" t="str">
        <f>IFERROR(VLOOKUP($C389,'PORTIFÓLIO'!C:V,3,0),"")</f>
        <v/>
      </c>
      <c r="F389" s="211" t="str">
        <f>IFERROR(VLOOKUP($C389,'PORTIFÓLIO'!C:V,4,0),"")</f>
        <v/>
      </c>
      <c r="G389" s="215" t="str">
        <f>IFERROR(VLOOKUP($C389,'PORTIFÓLIO'!C:V,5,0),"")</f>
        <v/>
      </c>
      <c r="H389" s="254" t="str">
        <f t="array" ref="H389">IFERROR(INDEX('PORTIFÓLIO'!$H$4:$H$433,MATCH($C389,'PORTIFÓLIO'!$C$4:$C$433,0)),"")</f>
        <v/>
      </c>
      <c r="I389" s="256"/>
      <c r="J389" s="218">
        <f t="shared" si="43"/>
        <v>0</v>
      </c>
      <c r="K389" s="292" t="str">
        <f t="array" ref="K389">IFERROR(I389*INDEX('PORTIFÓLIO'!$S$4:$S$433,MATCH($C389,'PORTIFÓLIO'!$C$4:$C$433,0)),"")</f>
        <v/>
      </c>
      <c r="L389" s="292" t="str">
        <f t="array" ref="L389">IFERROR(J389*INDEX('PORTIFÓLIO'!$S$4:$S$433,MATCH($C389,'PORTIFÓLIO'!$C$4:$C$433,0)),"")</f>
        <v/>
      </c>
      <c r="M389" s="220"/>
      <c r="N389" s="220"/>
      <c r="O389" s="220"/>
      <c r="P389" s="220"/>
      <c r="Q389" s="220"/>
      <c r="R389" s="220"/>
      <c r="S389" s="220"/>
      <c r="T389" s="220"/>
      <c r="U389" s="220"/>
      <c r="V389" s="220"/>
      <c r="W389" s="220"/>
    </row>
    <row r="390" ht="15.75" customHeight="1" outlineLevel="1">
      <c r="A390" s="211"/>
      <c r="B390" s="212"/>
      <c r="C390" s="213"/>
      <c r="D390" s="214" t="str">
        <f>IFERROR(VLOOKUP($C390,'PORTIFÓLIO'!C:V,2,0),"")</f>
        <v/>
      </c>
      <c r="E390" s="211" t="str">
        <f>IFERROR(VLOOKUP($C390,'PORTIFÓLIO'!C:V,3,0),"")</f>
        <v/>
      </c>
      <c r="F390" s="211" t="str">
        <f>IFERROR(VLOOKUP($C390,'PORTIFÓLIO'!C:V,4,0),"")</f>
        <v/>
      </c>
      <c r="G390" s="215" t="str">
        <f>IFERROR(VLOOKUP($C390,'PORTIFÓLIO'!C:V,5,0),"")</f>
        <v/>
      </c>
      <c r="H390" s="254" t="str">
        <f t="array" ref="H390">IFERROR(INDEX('PORTIFÓLIO'!$H$4:$H$433,MATCH($C390,'PORTIFÓLIO'!$C$4:$C$433,0)),"")</f>
        <v/>
      </c>
      <c r="I390" s="256"/>
      <c r="J390" s="218">
        <f t="shared" si="43"/>
        <v>0</v>
      </c>
      <c r="K390" s="292" t="str">
        <f t="array" ref="K390">IFERROR(I390*INDEX('PORTIFÓLIO'!$S$4:$S$433,MATCH($C390,'PORTIFÓLIO'!$C$4:$C$433,0)),"")</f>
        <v/>
      </c>
      <c r="L390" s="292" t="str">
        <f t="array" ref="L390">IFERROR(J390*INDEX('PORTIFÓLIO'!$S$4:$S$433,MATCH($C390,'PORTIFÓLIO'!$C$4:$C$433,0)),"")</f>
        <v/>
      </c>
      <c r="M390" s="220"/>
      <c r="N390" s="220"/>
      <c r="O390" s="220"/>
      <c r="P390" s="220"/>
      <c r="Q390" s="220"/>
      <c r="R390" s="220"/>
      <c r="S390" s="220"/>
      <c r="T390" s="220"/>
      <c r="U390" s="220"/>
      <c r="V390" s="220"/>
      <c r="W390" s="220"/>
    </row>
    <row r="391" ht="15.75" customHeight="1" outlineLevel="1">
      <c r="A391" s="211"/>
      <c r="B391" s="227"/>
      <c r="C391" s="211"/>
      <c r="D391" s="214" t="str">
        <f>IFERROR(VLOOKUP($C391,'PORTIFÓLIO'!C:V,2,0),"")</f>
        <v/>
      </c>
      <c r="E391" s="211" t="str">
        <f>IFERROR(VLOOKUP($C391,'PORTIFÓLIO'!C:V,3,0),"")</f>
        <v/>
      </c>
      <c r="F391" s="211" t="str">
        <f>IFERROR(VLOOKUP($C391,'PORTIFÓLIO'!C:V,4,0),"")</f>
        <v/>
      </c>
      <c r="G391" s="215" t="str">
        <f>IFERROR(VLOOKUP($C391,'PORTIFÓLIO'!C:V,5,0),"")</f>
        <v/>
      </c>
      <c r="H391" s="254" t="str">
        <f t="array" ref="H391">IFERROR(INDEX('PORTIFÓLIO'!$H$4:$H$433,MATCH($C391,'PORTIFÓLIO'!$C$4:$C$433,0)),"")</f>
        <v/>
      </c>
      <c r="I391" s="256"/>
      <c r="J391" s="218"/>
      <c r="K391" s="292" t="str">
        <f t="array" ref="K391">IFERROR(I391*INDEX('PORTIFÓLIO'!$S$4:$S$433,MATCH($C391,'PORTIFÓLIO'!$C$4:$C$433,0)),"")</f>
        <v/>
      </c>
      <c r="L391" s="292" t="str">
        <f t="array" ref="L391">IFERROR(J391*INDEX('PORTIFÓLIO'!$S$4:$S$433,MATCH($C391,'PORTIFÓLIO'!$C$4:$C$433,0)),"")</f>
        <v/>
      </c>
      <c r="M391" s="220"/>
      <c r="N391" s="220"/>
      <c r="O391" s="220"/>
      <c r="P391" s="220"/>
      <c r="Q391" s="220"/>
      <c r="R391" s="220"/>
      <c r="S391" s="220"/>
      <c r="T391" s="220"/>
      <c r="U391" s="220"/>
      <c r="V391" s="220"/>
      <c r="W391" s="220"/>
    </row>
    <row r="392" ht="15.75" customHeight="1">
      <c r="A392" s="229" t="s">
        <v>1193</v>
      </c>
      <c r="B392" s="230"/>
      <c r="C392" s="231"/>
      <c r="D392" s="232"/>
      <c r="E392" s="231"/>
      <c r="F392" s="231"/>
      <c r="G392" s="233"/>
      <c r="H392" s="233"/>
      <c r="I392" s="258"/>
      <c r="J392" s="236"/>
      <c r="K392" s="237">
        <f t="shared" ref="K392:L392" si="44">SUBTOTAL(9,K393:K406)</f>
        <v>0</v>
      </c>
      <c r="L392" s="237">
        <f t="shared" si="44"/>
        <v>0</v>
      </c>
      <c r="M392" s="220"/>
      <c r="N392" s="220"/>
      <c r="O392" s="220"/>
      <c r="P392" s="220"/>
      <c r="Q392" s="220"/>
      <c r="R392" s="220"/>
      <c r="S392" s="220"/>
      <c r="T392" s="220"/>
      <c r="U392" s="220"/>
      <c r="V392" s="220"/>
      <c r="W392" s="220"/>
    </row>
    <row r="393" ht="15.75" customHeight="1" outlineLevel="1">
      <c r="A393" s="213"/>
      <c r="B393" s="212"/>
      <c r="C393" s="213"/>
      <c r="D393" s="214" t="str">
        <f>IFERROR(VLOOKUP($C393,'PORTIFÓLIO'!C:V,2,0),"")</f>
        <v/>
      </c>
      <c r="E393" s="211" t="str">
        <f>IFERROR(VLOOKUP($C393,'PORTIFÓLIO'!C:V,3,0),"")</f>
        <v/>
      </c>
      <c r="F393" s="211" t="str">
        <f>IFERROR(VLOOKUP($C393,'PORTIFÓLIO'!C:V,4,0),"")</f>
        <v/>
      </c>
      <c r="G393" s="215" t="str">
        <f>IFERROR(VLOOKUP($C393,'PORTIFÓLIO'!C:V,5,0),"")</f>
        <v/>
      </c>
      <c r="H393" s="254" t="str">
        <f t="array" ref="H393">IFERROR(INDEX('PORTIFÓLIO'!$H$4:$H$433,MATCH($C393,'PORTIFÓLIO'!$C$4:$C$433,0)),"")</f>
        <v/>
      </c>
      <c r="I393" s="255"/>
      <c r="J393" s="218">
        <f t="shared" ref="J393:J408" si="45">I393*$B$2</f>
        <v>0</v>
      </c>
      <c r="K393" s="292" t="str">
        <f t="array" ref="K393">IFERROR(I393*INDEX('PORTIFÓLIO'!$S$4:$S$433,MATCH($C393,'PORTIFÓLIO'!$C$4:$C$433,0)),"")</f>
        <v/>
      </c>
      <c r="L393" s="292" t="str">
        <f t="array" ref="L393">IFERROR(J393*INDEX('PORTIFÓLIO'!$S$4:$S$433,MATCH($C393,'PORTIFÓLIO'!$C$4:$C$433,0)),"")</f>
        <v/>
      </c>
      <c r="M393" s="220"/>
      <c r="N393" s="220"/>
      <c r="O393" s="220"/>
      <c r="P393" s="220"/>
      <c r="Q393" s="220"/>
      <c r="R393" s="220"/>
      <c r="S393" s="220"/>
      <c r="T393" s="220"/>
      <c r="U393" s="220"/>
      <c r="V393" s="220"/>
      <c r="W393" s="220"/>
    </row>
    <row r="394" ht="15.75" customHeight="1" outlineLevel="1">
      <c r="A394" s="211"/>
      <c r="B394" s="212"/>
      <c r="C394" s="213"/>
      <c r="D394" s="214" t="str">
        <f>IFERROR(VLOOKUP($C394,'PORTIFÓLIO'!C:V,2,0),"")</f>
        <v/>
      </c>
      <c r="E394" s="211" t="str">
        <f>IFERROR(VLOOKUP($C394,'PORTIFÓLIO'!C:V,3,0),"")</f>
        <v/>
      </c>
      <c r="F394" s="211" t="str">
        <f>IFERROR(VLOOKUP($C394,'PORTIFÓLIO'!C:V,4,0),"")</f>
        <v/>
      </c>
      <c r="G394" s="215" t="str">
        <f>IFERROR(VLOOKUP($C394,'PORTIFÓLIO'!C:V,5,0),"")</f>
        <v/>
      </c>
      <c r="H394" s="254" t="str">
        <f t="array" ref="H394">IFERROR(INDEX('PORTIFÓLIO'!$H$4:$H$433,MATCH($C394,'PORTIFÓLIO'!$C$4:$C$433,0)),"")</f>
        <v/>
      </c>
      <c r="I394" s="256"/>
      <c r="J394" s="218">
        <f t="shared" si="45"/>
        <v>0</v>
      </c>
      <c r="K394" s="292" t="str">
        <f t="array" ref="K394">IFERROR(I394*INDEX('PORTIFÓLIO'!$S$4:$S$433,MATCH($C394,'PORTIFÓLIO'!$C$4:$C$433,0)),"")</f>
        <v/>
      </c>
      <c r="L394" s="292" t="str">
        <f t="array" ref="L394">IFERROR(J394*INDEX('PORTIFÓLIO'!$S$4:$S$433,MATCH($C394,'PORTIFÓLIO'!$C$4:$C$433,0)),"")</f>
        <v/>
      </c>
      <c r="M394" s="220"/>
      <c r="N394" s="220"/>
      <c r="O394" s="220"/>
      <c r="P394" s="220"/>
      <c r="Q394" s="220"/>
      <c r="R394" s="220"/>
      <c r="S394" s="220"/>
      <c r="T394" s="220"/>
      <c r="U394" s="220"/>
      <c r="V394" s="220"/>
      <c r="W394" s="220"/>
    </row>
    <row r="395" ht="15.75" customHeight="1" outlineLevel="1">
      <c r="A395" s="211"/>
      <c r="B395" s="212"/>
      <c r="C395" s="213"/>
      <c r="D395" s="214" t="str">
        <f>IFERROR(VLOOKUP($C395,'PORTIFÓLIO'!C:V,2,0),"")</f>
        <v/>
      </c>
      <c r="E395" s="211" t="str">
        <f>IFERROR(VLOOKUP($C395,'PORTIFÓLIO'!C:V,3,0),"")</f>
        <v/>
      </c>
      <c r="F395" s="211" t="str">
        <f>IFERROR(VLOOKUP($C395,'PORTIFÓLIO'!C:V,4,0),"")</f>
        <v/>
      </c>
      <c r="G395" s="215" t="str">
        <f>IFERROR(VLOOKUP($C395,'PORTIFÓLIO'!C:V,5,0),"")</f>
        <v/>
      </c>
      <c r="H395" s="254" t="str">
        <f t="array" ref="H395">IFERROR(INDEX('PORTIFÓLIO'!$H$4:$H$433,MATCH($C395,'PORTIFÓLIO'!$C$4:$C$433,0)),"")</f>
        <v/>
      </c>
      <c r="I395" s="256"/>
      <c r="J395" s="218">
        <f t="shared" si="45"/>
        <v>0</v>
      </c>
      <c r="K395" s="292" t="str">
        <f t="array" ref="K395">IFERROR(I395*INDEX('PORTIFÓLIO'!$S$4:$S$433,MATCH($C395,'PORTIFÓLIO'!$C$4:$C$433,0)),"")</f>
        <v/>
      </c>
      <c r="L395" s="292" t="str">
        <f t="array" ref="L395">IFERROR(J395*INDEX('PORTIFÓLIO'!$S$4:$S$433,MATCH($C395,'PORTIFÓLIO'!$C$4:$C$433,0)),"")</f>
        <v/>
      </c>
      <c r="M395" s="220"/>
      <c r="N395" s="220"/>
      <c r="O395" s="220"/>
      <c r="P395" s="220"/>
      <c r="Q395" s="220"/>
      <c r="R395" s="220"/>
      <c r="S395" s="220"/>
      <c r="T395" s="220"/>
      <c r="U395" s="220"/>
      <c r="V395" s="220"/>
      <c r="W395" s="220"/>
    </row>
    <row r="396" ht="15.75" customHeight="1" outlineLevel="1">
      <c r="A396" s="211"/>
      <c r="B396" s="212"/>
      <c r="C396" s="213"/>
      <c r="D396" s="214" t="str">
        <f>IFERROR(VLOOKUP($C396,'PORTIFÓLIO'!C:V,2,0),"")</f>
        <v/>
      </c>
      <c r="E396" s="211" t="str">
        <f>IFERROR(VLOOKUP($C396,'PORTIFÓLIO'!C:V,3,0),"")</f>
        <v/>
      </c>
      <c r="F396" s="211" t="str">
        <f>IFERROR(VLOOKUP($C396,'PORTIFÓLIO'!C:V,4,0),"")</f>
        <v/>
      </c>
      <c r="G396" s="215" t="str">
        <f>IFERROR(VLOOKUP($C396,'PORTIFÓLIO'!C:V,5,0),"")</f>
        <v/>
      </c>
      <c r="H396" s="254" t="str">
        <f t="array" ref="H396">IFERROR(INDEX('PORTIFÓLIO'!$H$4:$H$433,MATCH($C396,'PORTIFÓLIO'!$C$4:$C$433,0)),"")</f>
        <v/>
      </c>
      <c r="I396" s="256"/>
      <c r="J396" s="218">
        <f t="shared" si="45"/>
        <v>0</v>
      </c>
      <c r="K396" s="292" t="str">
        <f t="array" ref="K396">IFERROR(I396*INDEX('PORTIFÓLIO'!$S$4:$S$433,MATCH($C396,'PORTIFÓLIO'!$C$4:$C$433,0)),"")</f>
        <v/>
      </c>
      <c r="L396" s="292" t="str">
        <f t="array" ref="L396">IFERROR(J396*INDEX('PORTIFÓLIO'!$S$4:$S$433,MATCH($C396,'PORTIFÓLIO'!$C$4:$C$433,0)),"")</f>
        <v/>
      </c>
      <c r="M396" s="220"/>
      <c r="N396" s="220"/>
      <c r="O396" s="220"/>
      <c r="P396" s="220"/>
      <c r="Q396" s="220"/>
      <c r="R396" s="220"/>
      <c r="S396" s="220"/>
      <c r="T396" s="220"/>
      <c r="U396" s="220"/>
      <c r="V396" s="220"/>
      <c r="W396" s="220"/>
    </row>
    <row r="397" ht="15.75" customHeight="1" outlineLevel="1">
      <c r="A397" s="211"/>
      <c r="B397" s="212"/>
      <c r="C397" s="213"/>
      <c r="D397" s="214" t="str">
        <f>IFERROR(VLOOKUP($C397,'PORTIFÓLIO'!C:V,2,0),"")</f>
        <v/>
      </c>
      <c r="E397" s="211" t="str">
        <f>IFERROR(VLOOKUP($C397,'PORTIFÓLIO'!C:V,3,0),"")</f>
        <v/>
      </c>
      <c r="F397" s="211" t="str">
        <f>IFERROR(VLOOKUP($C397,'PORTIFÓLIO'!C:V,4,0),"")</f>
        <v/>
      </c>
      <c r="G397" s="215" t="str">
        <f>IFERROR(VLOOKUP($C397,'PORTIFÓLIO'!C:V,5,0),"")</f>
        <v/>
      </c>
      <c r="H397" s="254" t="str">
        <f t="array" ref="H397">IFERROR(INDEX('PORTIFÓLIO'!$H$4:$H$433,MATCH($C397,'PORTIFÓLIO'!$C$4:$C$433,0)),"")</f>
        <v/>
      </c>
      <c r="I397" s="256"/>
      <c r="J397" s="218">
        <f t="shared" si="45"/>
        <v>0</v>
      </c>
      <c r="K397" s="292" t="str">
        <f t="array" ref="K397">IFERROR(I397*INDEX('PORTIFÓLIO'!$S$4:$S$433,MATCH($C397,'PORTIFÓLIO'!$C$4:$C$433,0)),"")</f>
        <v/>
      </c>
      <c r="L397" s="292" t="str">
        <f t="array" ref="L397">IFERROR(J397*INDEX('PORTIFÓLIO'!$S$4:$S$433,MATCH($C397,'PORTIFÓLIO'!$C$4:$C$433,0)),"")</f>
        <v/>
      </c>
      <c r="M397" s="220"/>
      <c r="N397" s="220"/>
      <c r="O397" s="220"/>
      <c r="P397" s="220"/>
      <c r="Q397" s="220"/>
      <c r="R397" s="220"/>
      <c r="S397" s="220"/>
      <c r="T397" s="220"/>
      <c r="U397" s="220"/>
      <c r="V397" s="220"/>
      <c r="W397" s="220"/>
    </row>
    <row r="398" ht="15.75" customHeight="1" outlineLevel="1">
      <c r="A398" s="211"/>
      <c r="B398" s="212"/>
      <c r="C398" s="213"/>
      <c r="D398" s="214" t="str">
        <f>IFERROR(VLOOKUP($C398,'PORTIFÓLIO'!C:V,2,0),"")</f>
        <v/>
      </c>
      <c r="E398" s="211" t="str">
        <f>IFERROR(VLOOKUP($C398,'PORTIFÓLIO'!C:V,3,0),"")</f>
        <v/>
      </c>
      <c r="F398" s="211" t="str">
        <f>IFERROR(VLOOKUP($C398,'PORTIFÓLIO'!C:V,4,0),"")</f>
        <v/>
      </c>
      <c r="G398" s="215" t="str">
        <f>IFERROR(VLOOKUP($C398,'PORTIFÓLIO'!C:V,5,0),"")</f>
        <v/>
      </c>
      <c r="H398" s="254" t="str">
        <f t="array" ref="H398">IFERROR(INDEX('PORTIFÓLIO'!$H$4:$H$433,MATCH($C398,'PORTIFÓLIO'!$C$4:$C$433,0)),"")</f>
        <v/>
      </c>
      <c r="I398" s="256"/>
      <c r="J398" s="218">
        <f t="shared" si="45"/>
        <v>0</v>
      </c>
      <c r="K398" s="292" t="str">
        <f t="array" ref="K398">IFERROR(I398*INDEX('PORTIFÓLIO'!$S$4:$S$433,MATCH($C398,'PORTIFÓLIO'!$C$4:$C$433,0)),"")</f>
        <v/>
      </c>
      <c r="L398" s="292" t="str">
        <f t="array" ref="L398">IFERROR(J398*INDEX('PORTIFÓLIO'!$S$4:$S$433,MATCH($C398,'PORTIFÓLIO'!$C$4:$C$433,0)),"")</f>
        <v/>
      </c>
      <c r="M398" s="220"/>
      <c r="N398" s="220"/>
      <c r="O398" s="220"/>
      <c r="P398" s="220"/>
      <c r="Q398" s="220"/>
      <c r="R398" s="220"/>
      <c r="S398" s="220"/>
      <c r="T398" s="220"/>
      <c r="U398" s="220"/>
      <c r="V398" s="220"/>
      <c r="W398" s="220"/>
    </row>
    <row r="399" ht="15.75" customHeight="1" outlineLevel="1">
      <c r="A399" s="211"/>
      <c r="B399" s="212"/>
      <c r="C399" s="213"/>
      <c r="D399" s="214" t="str">
        <f>IFERROR(VLOOKUP($C399,'PORTIFÓLIO'!C:V,2,0),"")</f>
        <v/>
      </c>
      <c r="E399" s="211" t="str">
        <f>IFERROR(VLOOKUP($C399,'PORTIFÓLIO'!C:V,3,0),"")</f>
        <v/>
      </c>
      <c r="F399" s="211" t="str">
        <f>IFERROR(VLOOKUP($C399,'PORTIFÓLIO'!C:V,4,0),"")</f>
        <v/>
      </c>
      <c r="G399" s="215" t="str">
        <f>IFERROR(VLOOKUP($C399,'PORTIFÓLIO'!C:V,5,0),"")</f>
        <v/>
      </c>
      <c r="H399" s="254" t="str">
        <f t="array" ref="H399">IFERROR(INDEX('PORTIFÓLIO'!$H$4:$H$433,MATCH($C399,'PORTIFÓLIO'!$C$4:$C$433,0)),"")</f>
        <v/>
      </c>
      <c r="I399" s="256"/>
      <c r="J399" s="218">
        <f t="shared" si="45"/>
        <v>0</v>
      </c>
      <c r="K399" s="292" t="str">
        <f t="array" ref="K399">IFERROR(I399*INDEX('PORTIFÓLIO'!$S$4:$S$433,MATCH($C399,'PORTIFÓLIO'!$C$4:$C$433,0)),"")</f>
        <v/>
      </c>
      <c r="L399" s="292" t="str">
        <f t="array" ref="L399">IFERROR(J399*INDEX('PORTIFÓLIO'!$S$4:$S$433,MATCH($C399,'PORTIFÓLIO'!$C$4:$C$433,0)),"")</f>
        <v/>
      </c>
      <c r="M399" s="220"/>
      <c r="N399" s="220"/>
      <c r="O399" s="220"/>
      <c r="P399" s="220"/>
      <c r="Q399" s="220"/>
      <c r="R399" s="220"/>
      <c r="S399" s="220"/>
      <c r="T399" s="220"/>
      <c r="U399" s="220"/>
      <c r="V399" s="220"/>
      <c r="W399" s="220"/>
    </row>
    <row r="400" ht="15.75" customHeight="1" outlineLevel="1">
      <c r="A400" s="211"/>
      <c r="B400" s="212"/>
      <c r="C400" s="213"/>
      <c r="D400" s="214" t="str">
        <f>IFERROR(VLOOKUP($C400,'PORTIFÓLIO'!C:V,2,0),"")</f>
        <v/>
      </c>
      <c r="E400" s="211" t="str">
        <f>IFERROR(VLOOKUP($C400,'PORTIFÓLIO'!C:V,3,0),"")</f>
        <v/>
      </c>
      <c r="F400" s="211" t="str">
        <f>IFERROR(VLOOKUP($C400,'PORTIFÓLIO'!C:V,4,0),"")</f>
        <v/>
      </c>
      <c r="G400" s="215" t="str">
        <f>IFERROR(VLOOKUP($C400,'PORTIFÓLIO'!C:V,5,0),"")</f>
        <v/>
      </c>
      <c r="H400" s="254" t="str">
        <f t="array" ref="H400">IFERROR(INDEX('PORTIFÓLIO'!$H$4:$H$433,MATCH($C400,'PORTIFÓLIO'!$C$4:$C$433,0)),"")</f>
        <v/>
      </c>
      <c r="I400" s="256"/>
      <c r="J400" s="218">
        <f t="shared" si="45"/>
        <v>0</v>
      </c>
      <c r="K400" s="292" t="str">
        <f t="array" ref="K400">IFERROR(I400*INDEX('PORTIFÓLIO'!$S$4:$S$433,MATCH($C400,'PORTIFÓLIO'!$C$4:$C$433,0)),"")</f>
        <v/>
      </c>
      <c r="L400" s="292" t="str">
        <f t="array" ref="L400">IFERROR(J400*INDEX('PORTIFÓLIO'!$S$4:$S$433,MATCH($C400,'PORTIFÓLIO'!$C$4:$C$433,0)),"")</f>
        <v/>
      </c>
      <c r="M400" s="220"/>
      <c r="N400" s="220"/>
      <c r="O400" s="220"/>
      <c r="P400" s="220"/>
      <c r="Q400" s="220"/>
      <c r="R400" s="220"/>
      <c r="S400" s="220"/>
      <c r="T400" s="220"/>
      <c r="U400" s="220"/>
      <c r="V400" s="220"/>
      <c r="W400" s="220"/>
    </row>
    <row r="401" ht="15.75" customHeight="1" outlineLevel="1">
      <c r="A401" s="211"/>
      <c r="B401" s="212"/>
      <c r="C401" s="213"/>
      <c r="D401" s="214" t="str">
        <f>IFERROR(VLOOKUP($C401,'PORTIFÓLIO'!C:V,2,0),"")</f>
        <v/>
      </c>
      <c r="E401" s="211" t="str">
        <f>IFERROR(VLOOKUP($C401,'PORTIFÓLIO'!C:V,3,0),"")</f>
        <v/>
      </c>
      <c r="F401" s="211" t="str">
        <f>IFERROR(VLOOKUP($C401,'PORTIFÓLIO'!C:V,4,0),"")</f>
        <v/>
      </c>
      <c r="G401" s="215" t="str">
        <f>IFERROR(VLOOKUP($C401,'PORTIFÓLIO'!C:V,5,0),"")</f>
        <v/>
      </c>
      <c r="H401" s="254" t="str">
        <f t="array" ref="H401">IFERROR(INDEX('PORTIFÓLIO'!$H$4:$H$433,MATCH($C401,'PORTIFÓLIO'!$C$4:$C$433,0)),"")</f>
        <v/>
      </c>
      <c r="I401" s="255"/>
      <c r="J401" s="218">
        <f t="shared" si="45"/>
        <v>0</v>
      </c>
      <c r="K401" s="292" t="str">
        <f t="array" ref="K401">IFERROR(I401*INDEX('PORTIFÓLIO'!$S$4:$S$433,MATCH($C401,'PORTIFÓLIO'!$C$4:$C$433,0)),"")</f>
        <v/>
      </c>
      <c r="L401" s="292" t="str">
        <f t="array" ref="L401">IFERROR(J401*INDEX('PORTIFÓLIO'!$S$4:$S$433,MATCH($C401,'PORTIFÓLIO'!$C$4:$C$433,0)),"")</f>
        <v/>
      </c>
      <c r="M401" s="220"/>
      <c r="N401" s="220"/>
      <c r="O401" s="220"/>
      <c r="P401" s="220"/>
      <c r="Q401" s="220"/>
      <c r="R401" s="220"/>
      <c r="S401" s="220"/>
      <c r="T401" s="220"/>
      <c r="U401" s="220"/>
      <c r="V401" s="220"/>
      <c r="W401" s="220"/>
    </row>
    <row r="402" ht="15.75" customHeight="1" outlineLevel="1">
      <c r="A402" s="211"/>
      <c r="B402" s="212"/>
      <c r="C402" s="213"/>
      <c r="D402" s="214" t="str">
        <f>IFERROR(VLOOKUP($C402,'PORTIFÓLIO'!C:V,2,0),"")</f>
        <v/>
      </c>
      <c r="E402" s="211" t="str">
        <f>IFERROR(VLOOKUP($C402,'PORTIFÓLIO'!C:V,3,0),"")</f>
        <v/>
      </c>
      <c r="F402" s="211" t="str">
        <f>IFERROR(VLOOKUP($C402,'PORTIFÓLIO'!C:V,4,0),"")</f>
        <v/>
      </c>
      <c r="G402" s="215" t="str">
        <f>IFERROR(VLOOKUP($C402,'PORTIFÓLIO'!C:V,5,0),"")</f>
        <v/>
      </c>
      <c r="H402" s="254" t="str">
        <f t="array" ref="H402">IFERROR(INDEX('PORTIFÓLIO'!$H$4:$H$433,MATCH($C402,'PORTIFÓLIO'!$C$4:$C$433,0)),"")</f>
        <v/>
      </c>
      <c r="I402" s="256"/>
      <c r="J402" s="218">
        <f t="shared" si="45"/>
        <v>0</v>
      </c>
      <c r="K402" s="292" t="str">
        <f t="array" ref="K402">IFERROR(I402*INDEX('PORTIFÓLIO'!$S$4:$S$433,MATCH($C402,'PORTIFÓLIO'!$C$4:$C$433,0)),"")</f>
        <v/>
      </c>
      <c r="L402" s="292" t="str">
        <f t="array" ref="L402">IFERROR(J402*INDEX('PORTIFÓLIO'!$S$4:$S$433,MATCH($C402,'PORTIFÓLIO'!$C$4:$C$433,0)),"")</f>
        <v/>
      </c>
      <c r="M402" s="220"/>
      <c r="N402" s="220"/>
      <c r="O402" s="220"/>
      <c r="P402" s="220"/>
      <c r="Q402" s="220"/>
      <c r="R402" s="220"/>
      <c r="S402" s="220"/>
      <c r="T402" s="220"/>
      <c r="U402" s="220"/>
      <c r="V402" s="220"/>
      <c r="W402" s="220"/>
    </row>
    <row r="403" ht="15.75" customHeight="1" outlineLevel="1">
      <c r="A403" s="211"/>
      <c r="B403" s="212"/>
      <c r="C403" s="213"/>
      <c r="D403" s="214" t="str">
        <f>IFERROR(VLOOKUP($C403,'PORTIFÓLIO'!C:V,2,0),"")</f>
        <v/>
      </c>
      <c r="E403" s="211" t="str">
        <f>IFERROR(VLOOKUP($C403,'PORTIFÓLIO'!C:V,3,0),"")</f>
        <v/>
      </c>
      <c r="F403" s="211" t="str">
        <f>IFERROR(VLOOKUP($C403,'PORTIFÓLIO'!C:V,4,0),"")</f>
        <v/>
      </c>
      <c r="G403" s="215" t="str">
        <f>IFERROR(VLOOKUP($C403,'PORTIFÓLIO'!C:V,5,0),"")</f>
        <v/>
      </c>
      <c r="H403" s="254" t="str">
        <f t="array" ref="H403">IFERROR(INDEX('PORTIFÓLIO'!$H$4:$H$433,MATCH($C403,'PORTIFÓLIO'!$C$4:$C$433,0)),"")</f>
        <v/>
      </c>
      <c r="I403" s="256"/>
      <c r="J403" s="218">
        <f t="shared" si="45"/>
        <v>0</v>
      </c>
      <c r="K403" s="292" t="str">
        <f t="array" ref="K403">IFERROR(I403*INDEX('PORTIFÓLIO'!$S$4:$S$433,MATCH($C403,'PORTIFÓLIO'!$C$4:$C$433,0)),"")</f>
        <v/>
      </c>
      <c r="L403" s="292" t="str">
        <f t="array" ref="L403">IFERROR(J403*INDEX('PORTIFÓLIO'!$S$4:$S$433,MATCH($C403,'PORTIFÓLIO'!$C$4:$C$433,0)),"")</f>
        <v/>
      </c>
      <c r="M403" s="220"/>
      <c r="N403" s="220"/>
      <c r="O403" s="220"/>
      <c r="P403" s="220"/>
      <c r="Q403" s="220"/>
      <c r="R403" s="220"/>
      <c r="S403" s="220"/>
      <c r="T403" s="220"/>
      <c r="U403" s="220"/>
      <c r="V403" s="220"/>
      <c r="W403" s="220"/>
    </row>
    <row r="404" ht="15.75" customHeight="1" outlineLevel="1">
      <c r="A404" s="211"/>
      <c r="B404" s="212"/>
      <c r="C404" s="213"/>
      <c r="D404" s="214" t="str">
        <f>IFERROR(VLOOKUP($C404,'PORTIFÓLIO'!C:V,2,0),"")</f>
        <v/>
      </c>
      <c r="E404" s="211" t="str">
        <f>IFERROR(VLOOKUP($C404,'PORTIFÓLIO'!C:V,3,0),"")</f>
        <v/>
      </c>
      <c r="F404" s="211" t="str">
        <f>IFERROR(VLOOKUP($C404,'PORTIFÓLIO'!C:V,4,0),"")</f>
        <v/>
      </c>
      <c r="G404" s="215" t="str">
        <f>IFERROR(VLOOKUP($C404,'PORTIFÓLIO'!C:V,5,0),"")</f>
        <v/>
      </c>
      <c r="H404" s="254" t="str">
        <f t="array" ref="H404">IFERROR(INDEX('PORTIFÓLIO'!$H$4:$H$433,MATCH($C404,'PORTIFÓLIO'!$C$4:$C$433,0)),"")</f>
        <v/>
      </c>
      <c r="I404" s="256"/>
      <c r="J404" s="218">
        <f t="shared" si="45"/>
        <v>0</v>
      </c>
      <c r="K404" s="292" t="str">
        <f t="array" ref="K404">IFERROR(I404*INDEX('PORTIFÓLIO'!$S$4:$S$433,MATCH($C404,'PORTIFÓLIO'!$C$4:$C$433,0)),"")</f>
        <v/>
      </c>
      <c r="L404" s="292" t="str">
        <f t="array" ref="L404">IFERROR(J404*INDEX('PORTIFÓLIO'!$S$4:$S$433,MATCH($C404,'PORTIFÓLIO'!$C$4:$C$433,0)),"")</f>
        <v/>
      </c>
      <c r="M404" s="220"/>
      <c r="N404" s="220"/>
      <c r="O404" s="220"/>
      <c r="P404" s="220"/>
      <c r="Q404" s="220"/>
      <c r="R404" s="220"/>
      <c r="S404" s="220"/>
      <c r="T404" s="220"/>
      <c r="U404" s="220"/>
      <c r="V404" s="220"/>
      <c r="W404" s="220"/>
    </row>
    <row r="405" ht="15.75" customHeight="1" outlineLevel="1">
      <c r="A405" s="211"/>
      <c r="B405" s="212"/>
      <c r="C405" s="213"/>
      <c r="D405" s="214" t="str">
        <f>IFERROR(VLOOKUP($C405,'PORTIFÓLIO'!C:V,2,0),"")</f>
        <v/>
      </c>
      <c r="E405" s="211" t="str">
        <f>IFERROR(VLOOKUP($C405,'PORTIFÓLIO'!C:V,3,0),"")</f>
        <v/>
      </c>
      <c r="F405" s="211" t="str">
        <f>IFERROR(VLOOKUP($C405,'PORTIFÓLIO'!C:V,4,0),"")</f>
        <v/>
      </c>
      <c r="G405" s="215" t="str">
        <f>IFERROR(VLOOKUP($C405,'PORTIFÓLIO'!C:V,5,0),"")</f>
        <v/>
      </c>
      <c r="H405" s="254" t="str">
        <f t="array" ref="H405">IFERROR(INDEX('PORTIFÓLIO'!$H$4:$H$433,MATCH($C405,'PORTIFÓLIO'!$C$4:$C$433,0)),"")</f>
        <v/>
      </c>
      <c r="I405" s="256"/>
      <c r="J405" s="218">
        <f t="shared" si="45"/>
        <v>0</v>
      </c>
      <c r="K405" s="292" t="str">
        <f t="array" ref="K405">IFERROR(I405*INDEX('PORTIFÓLIO'!$S$4:$S$433,MATCH($C405,'PORTIFÓLIO'!$C$4:$C$433,0)),"")</f>
        <v/>
      </c>
      <c r="L405" s="292" t="str">
        <f t="array" ref="L405">IFERROR(J405*INDEX('PORTIFÓLIO'!$S$4:$S$433,MATCH($C405,'PORTIFÓLIO'!$C$4:$C$433,0)),"")</f>
        <v/>
      </c>
      <c r="M405" s="220"/>
      <c r="N405" s="220"/>
      <c r="O405" s="220"/>
      <c r="P405" s="220"/>
      <c r="Q405" s="220"/>
      <c r="R405" s="220"/>
      <c r="S405" s="220"/>
      <c r="T405" s="220"/>
      <c r="U405" s="220"/>
      <c r="V405" s="220"/>
      <c r="W405" s="220"/>
    </row>
    <row r="406" ht="15.75" customHeight="1" outlineLevel="1">
      <c r="A406" s="211"/>
      <c r="B406" s="212"/>
      <c r="C406" s="213"/>
      <c r="D406" s="214" t="str">
        <f>IFERROR(VLOOKUP($C406,'PORTIFÓLIO'!C:V,2,0),"")</f>
        <v/>
      </c>
      <c r="E406" s="211" t="str">
        <f>IFERROR(VLOOKUP($C406,'PORTIFÓLIO'!C:V,3,0),"")</f>
        <v/>
      </c>
      <c r="F406" s="211" t="str">
        <f>IFERROR(VLOOKUP($C406,'PORTIFÓLIO'!C:V,4,0),"")</f>
        <v/>
      </c>
      <c r="G406" s="215" t="str">
        <f>IFERROR(VLOOKUP($C406,'PORTIFÓLIO'!C:V,5,0),"")</f>
        <v/>
      </c>
      <c r="H406" s="254" t="str">
        <f t="array" ref="H406">IFERROR(INDEX('PORTIFÓLIO'!$H$4:$H$433,MATCH($C406,'PORTIFÓLIO'!$C$4:$C$433,0)),"")</f>
        <v/>
      </c>
      <c r="I406" s="256"/>
      <c r="J406" s="218">
        <f t="shared" si="45"/>
        <v>0</v>
      </c>
      <c r="K406" s="292" t="str">
        <f t="array" ref="K406">IFERROR(I406*INDEX('PORTIFÓLIO'!$S$4:$S$433,MATCH($C406,'PORTIFÓLIO'!$C$4:$C$433,0)),"")</f>
        <v/>
      </c>
      <c r="L406" s="292" t="str">
        <f t="array" ref="L406">IFERROR(J406*INDEX('PORTIFÓLIO'!$S$4:$S$433,MATCH($C406,'PORTIFÓLIO'!$C$4:$C$433,0)),"")</f>
        <v/>
      </c>
      <c r="M406" s="220"/>
      <c r="N406" s="220"/>
      <c r="O406" s="220"/>
      <c r="P406" s="220"/>
      <c r="Q406" s="220"/>
      <c r="R406" s="220"/>
      <c r="S406" s="220"/>
      <c r="T406" s="220"/>
      <c r="U406" s="220"/>
      <c r="V406" s="220"/>
      <c r="W406" s="220"/>
    </row>
    <row r="407" ht="15.75" customHeight="1" outlineLevel="1">
      <c r="A407" s="211"/>
      <c r="B407" s="212"/>
      <c r="C407" s="213"/>
      <c r="D407" s="214" t="str">
        <f>IFERROR(VLOOKUP($C407,'PORTIFÓLIO'!C:V,2,0),"")</f>
        <v/>
      </c>
      <c r="E407" s="211" t="str">
        <f>IFERROR(VLOOKUP($C407,'PORTIFÓLIO'!C:V,3,0),"")</f>
        <v/>
      </c>
      <c r="F407" s="211" t="str">
        <f>IFERROR(VLOOKUP($C407,'PORTIFÓLIO'!C:V,4,0),"")</f>
        <v/>
      </c>
      <c r="G407" s="215" t="str">
        <f>IFERROR(VLOOKUP($C407,'PORTIFÓLIO'!C:V,5,0),"")</f>
        <v/>
      </c>
      <c r="H407" s="254" t="str">
        <f t="array" ref="H407">IFERROR(INDEX('PORTIFÓLIO'!$H$4:$H$433,MATCH($C407,'PORTIFÓLIO'!$C$4:$C$433,0)),"")</f>
        <v/>
      </c>
      <c r="I407" s="256"/>
      <c r="J407" s="218">
        <f t="shared" si="45"/>
        <v>0</v>
      </c>
      <c r="K407" s="292" t="str">
        <f t="array" ref="K407">IFERROR(I407*INDEX('PORTIFÓLIO'!$S$4:$S$433,MATCH($C407,'PORTIFÓLIO'!$C$4:$C$433,0)),"")</f>
        <v/>
      </c>
      <c r="L407" s="292" t="str">
        <f t="array" ref="L407">IFERROR(J407*INDEX('PORTIFÓLIO'!$S$4:$S$433,MATCH($C407,'PORTIFÓLIO'!$C$4:$C$433,0)),"")</f>
        <v/>
      </c>
      <c r="M407" s="220"/>
      <c r="N407" s="220"/>
      <c r="O407" s="220"/>
      <c r="P407" s="220"/>
      <c r="Q407" s="220"/>
      <c r="R407" s="220"/>
      <c r="S407" s="220"/>
      <c r="T407" s="220"/>
      <c r="U407" s="220"/>
      <c r="V407" s="220"/>
      <c r="W407" s="220"/>
    </row>
    <row r="408" ht="15.75" customHeight="1" outlineLevel="1">
      <c r="A408" s="211"/>
      <c r="B408" s="227"/>
      <c r="C408" s="211"/>
      <c r="D408" s="214" t="str">
        <f>IFERROR(VLOOKUP($C408,'PORTIFÓLIO'!C:V,2,0),"")</f>
        <v/>
      </c>
      <c r="E408" s="211" t="str">
        <f>IFERROR(VLOOKUP($C408,'PORTIFÓLIO'!C:V,3,0),"")</f>
        <v/>
      </c>
      <c r="F408" s="211" t="str">
        <f>IFERROR(VLOOKUP($C408,'PORTIFÓLIO'!C:V,4,0),"")</f>
        <v/>
      </c>
      <c r="G408" s="215" t="str">
        <f>IFERROR(VLOOKUP($C408,'PORTIFÓLIO'!C:V,5,0),"")</f>
        <v/>
      </c>
      <c r="H408" s="254" t="str">
        <f t="array" ref="H408">IFERROR(INDEX('PORTIFÓLIO'!$H$4:$H$433,MATCH($C408,'PORTIFÓLIO'!$C$4:$C$433,0)),"")</f>
        <v/>
      </c>
      <c r="I408" s="256"/>
      <c r="J408" s="218">
        <f t="shared" si="45"/>
        <v>0</v>
      </c>
      <c r="K408" s="292" t="str">
        <f t="array" ref="K408">IFERROR(I408*INDEX('PORTIFÓLIO'!$S$4:$S$433,MATCH($C408,'PORTIFÓLIO'!$C$4:$C$433,0)),"")</f>
        <v/>
      </c>
      <c r="L408" s="292" t="str">
        <f t="array" ref="L408">IFERROR(J408*INDEX('PORTIFÓLIO'!$S$4:$S$433,MATCH($C408,'PORTIFÓLIO'!$C$4:$C$433,0)),"")</f>
        <v/>
      </c>
      <c r="M408" s="220"/>
      <c r="N408" s="220"/>
      <c r="O408" s="220"/>
      <c r="P408" s="220"/>
      <c r="Q408" s="220"/>
      <c r="R408" s="220"/>
      <c r="S408" s="220"/>
      <c r="T408" s="220"/>
      <c r="U408" s="220"/>
      <c r="V408" s="220"/>
      <c r="W408" s="220"/>
    </row>
    <row r="409" ht="15.75" customHeight="1">
      <c r="A409" s="229" t="s">
        <v>1194</v>
      </c>
      <c r="B409" s="230"/>
      <c r="C409" s="231"/>
      <c r="D409" s="232"/>
      <c r="E409" s="231"/>
      <c r="F409" s="231"/>
      <c r="G409" s="233"/>
      <c r="H409" s="233"/>
      <c r="I409" s="258"/>
      <c r="J409" s="236"/>
      <c r="K409" s="237">
        <f t="shared" ref="K409:L409" si="46">SUBTOTAL(9,K410:K423)</f>
        <v>0</v>
      </c>
      <c r="L409" s="237">
        <f t="shared" si="46"/>
        <v>0</v>
      </c>
      <c r="M409" s="220"/>
      <c r="N409" s="220"/>
      <c r="O409" s="220"/>
      <c r="P409" s="220"/>
      <c r="Q409" s="220"/>
      <c r="R409" s="220"/>
      <c r="S409" s="220"/>
      <c r="T409" s="220"/>
      <c r="U409" s="220"/>
      <c r="V409" s="220"/>
      <c r="W409" s="220"/>
    </row>
    <row r="410" ht="15.75" customHeight="1" outlineLevel="1">
      <c r="A410" s="213"/>
      <c r="B410" s="212"/>
      <c r="C410" s="213"/>
      <c r="D410" s="214" t="str">
        <f>IFERROR(VLOOKUP($C410,'PORTIFÓLIO'!C:V,2,0),"")</f>
        <v/>
      </c>
      <c r="E410" s="211" t="str">
        <f>IFERROR(VLOOKUP($C410,'PORTIFÓLIO'!C:V,3,0),"")</f>
        <v/>
      </c>
      <c r="F410" s="211" t="str">
        <f>IFERROR(VLOOKUP($C410,'PORTIFÓLIO'!C:V,4,0),"")</f>
        <v/>
      </c>
      <c r="G410" s="215" t="str">
        <f>IFERROR(VLOOKUP($C410,'PORTIFÓLIO'!C:V,5,0),"")</f>
        <v/>
      </c>
      <c r="H410" s="254" t="str">
        <f t="array" ref="H410">IFERROR(INDEX('PORTIFÓLIO'!$H$4:$H$433,MATCH($C410,'PORTIFÓLIO'!$C$4:$C$433,0)),"")</f>
        <v/>
      </c>
      <c r="I410" s="255"/>
      <c r="J410" s="218">
        <f t="shared" ref="J410:J426" si="47">I410*$B$2</f>
        <v>0</v>
      </c>
      <c r="K410" s="292" t="str">
        <f t="array" ref="K410">IFERROR(I410*INDEX('PORTIFÓLIO'!$S$4:$S$433,MATCH($C410,'PORTIFÓLIO'!$C$4:$C$433,0)),"")</f>
        <v/>
      </c>
      <c r="L410" s="292" t="str">
        <f t="array" ref="L410">IFERROR(J410*INDEX('PORTIFÓLIO'!$S$4:$S$433,MATCH($C410,'PORTIFÓLIO'!$C$4:$C$433,0)),"")</f>
        <v/>
      </c>
      <c r="M410" s="220"/>
      <c r="N410" s="220"/>
      <c r="O410" s="220"/>
      <c r="P410" s="220"/>
      <c r="Q410" s="220"/>
      <c r="R410" s="220"/>
      <c r="S410" s="220"/>
      <c r="T410" s="220"/>
      <c r="U410" s="220"/>
      <c r="V410" s="220"/>
      <c r="W410" s="220"/>
    </row>
    <row r="411" ht="15.75" customHeight="1" outlineLevel="1">
      <c r="A411" s="211"/>
      <c r="B411" s="212"/>
      <c r="C411" s="213"/>
      <c r="D411" s="214" t="str">
        <f>IFERROR(VLOOKUP($C411,'PORTIFÓLIO'!C:V,2,0),"")</f>
        <v/>
      </c>
      <c r="E411" s="211" t="str">
        <f>IFERROR(VLOOKUP($C411,'PORTIFÓLIO'!C:V,3,0),"")</f>
        <v/>
      </c>
      <c r="F411" s="211" t="str">
        <f>IFERROR(VLOOKUP($C411,'PORTIFÓLIO'!C:V,4,0),"")</f>
        <v/>
      </c>
      <c r="G411" s="215" t="str">
        <f>IFERROR(VLOOKUP($C411,'PORTIFÓLIO'!C:V,5,0),"")</f>
        <v/>
      </c>
      <c r="H411" s="254" t="str">
        <f t="array" ref="H411">IFERROR(INDEX('PORTIFÓLIO'!$H$4:$H$433,MATCH($C411,'PORTIFÓLIO'!$C$4:$C$433,0)),"")</f>
        <v/>
      </c>
      <c r="I411" s="256"/>
      <c r="J411" s="218">
        <f t="shared" si="47"/>
        <v>0</v>
      </c>
      <c r="K411" s="292" t="str">
        <f t="array" ref="K411">IFERROR(I411*INDEX('PORTIFÓLIO'!$S$4:$S$433,MATCH($C411,'PORTIFÓLIO'!$C$4:$C$433,0)),"")</f>
        <v/>
      </c>
      <c r="L411" s="292" t="str">
        <f t="array" ref="L411">IFERROR(J411*INDEX('PORTIFÓLIO'!$S$4:$S$433,MATCH($C411,'PORTIFÓLIO'!$C$4:$C$433,0)),"")</f>
        <v/>
      </c>
      <c r="M411" s="220"/>
      <c r="N411" s="220"/>
      <c r="O411" s="220"/>
      <c r="P411" s="220"/>
      <c r="Q411" s="220"/>
      <c r="R411" s="220"/>
      <c r="S411" s="220"/>
      <c r="T411" s="220"/>
      <c r="U411" s="220"/>
      <c r="V411" s="220"/>
      <c r="W411" s="220"/>
    </row>
    <row r="412" ht="15.75" customHeight="1" outlineLevel="1">
      <c r="A412" s="211"/>
      <c r="B412" s="212"/>
      <c r="C412" s="213"/>
      <c r="D412" s="214" t="str">
        <f>IFERROR(VLOOKUP($C412,'PORTIFÓLIO'!C:V,2,0),"")</f>
        <v/>
      </c>
      <c r="E412" s="211" t="str">
        <f>IFERROR(VLOOKUP($C412,'PORTIFÓLIO'!C:V,3,0),"")</f>
        <v/>
      </c>
      <c r="F412" s="211" t="str">
        <f>IFERROR(VLOOKUP($C412,'PORTIFÓLIO'!C:V,4,0),"")</f>
        <v/>
      </c>
      <c r="G412" s="215" t="str">
        <f>IFERROR(VLOOKUP($C412,'PORTIFÓLIO'!C:V,5,0),"")</f>
        <v/>
      </c>
      <c r="H412" s="254" t="str">
        <f t="array" ref="H412">IFERROR(INDEX('PORTIFÓLIO'!$H$4:$H$433,MATCH($C412,'PORTIFÓLIO'!$C$4:$C$433,0)),"")</f>
        <v/>
      </c>
      <c r="I412" s="256"/>
      <c r="J412" s="218">
        <f t="shared" si="47"/>
        <v>0</v>
      </c>
      <c r="K412" s="292" t="str">
        <f t="array" ref="K412">IFERROR(I412*INDEX('PORTIFÓLIO'!$S$4:$S$433,MATCH($C412,'PORTIFÓLIO'!$C$4:$C$433,0)),"")</f>
        <v/>
      </c>
      <c r="L412" s="292" t="str">
        <f t="array" ref="L412">IFERROR(J412*INDEX('PORTIFÓLIO'!$S$4:$S$433,MATCH($C412,'PORTIFÓLIO'!$C$4:$C$433,0)),"")</f>
        <v/>
      </c>
      <c r="M412" s="220"/>
      <c r="N412" s="220"/>
      <c r="O412" s="220"/>
      <c r="P412" s="220"/>
      <c r="Q412" s="220"/>
      <c r="R412" s="220"/>
      <c r="S412" s="220"/>
      <c r="T412" s="220"/>
      <c r="U412" s="220"/>
      <c r="V412" s="220"/>
      <c r="W412" s="220"/>
    </row>
    <row r="413" ht="15.75" customHeight="1" outlineLevel="1">
      <c r="A413" s="211"/>
      <c r="B413" s="212"/>
      <c r="C413" s="213"/>
      <c r="D413" s="214" t="str">
        <f>IFERROR(VLOOKUP($C413,'PORTIFÓLIO'!C:V,2,0),"")</f>
        <v/>
      </c>
      <c r="E413" s="211" t="str">
        <f>IFERROR(VLOOKUP($C413,'PORTIFÓLIO'!C:V,3,0),"")</f>
        <v/>
      </c>
      <c r="F413" s="211" t="str">
        <f>IFERROR(VLOOKUP($C413,'PORTIFÓLIO'!C:V,4,0),"")</f>
        <v/>
      </c>
      <c r="G413" s="215" t="str">
        <f>IFERROR(VLOOKUP($C413,'PORTIFÓLIO'!C:V,5,0),"")</f>
        <v/>
      </c>
      <c r="H413" s="254" t="str">
        <f t="array" ref="H413">IFERROR(INDEX('PORTIFÓLIO'!$H$4:$H$433,MATCH($C413,'PORTIFÓLIO'!$C$4:$C$433,0)),"")</f>
        <v/>
      </c>
      <c r="I413" s="256"/>
      <c r="J413" s="218">
        <f t="shared" si="47"/>
        <v>0</v>
      </c>
      <c r="K413" s="292" t="str">
        <f t="array" ref="K413">IFERROR(I413*INDEX('PORTIFÓLIO'!$S$4:$S$433,MATCH($C413,'PORTIFÓLIO'!$C$4:$C$433,0)),"")</f>
        <v/>
      </c>
      <c r="L413" s="292" t="str">
        <f t="array" ref="L413">IFERROR(J413*INDEX('PORTIFÓLIO'!$S$4:$S$433,MATCH($C413,'PORTIFÓLIO'!$C$4:$C$433,0)),"")</f>
        <v/>
      </c>
      <c r="M413" s="220"/>
      <c r="N413" s="220"/>
      <c r="O413" s="220"/>
      <c r="P413" s="220"/>
      <c r="Q413" s="220"/>
      <c r="R413" s="220"/>
      <c r="S413" s="220"/>
      <c r="T413" s="220"/>
      <c r="U413" s="220"/>
      <c r="V413" s="220"/>
      <c r="W413" s="220"/>
    </row>
    <row r="414" ht="15.75" customHeight="1" outlineLevel="1">
      <c r="A414" s="211"/>
      <c r="B414" s="212"/>
      <c r="C414" s="213"/>
      <c r="D414" s="214" t="str">
        <f>IFERROR(VLOOKUP($C414,'PORTIFÓLIO'!C:V,2,0),"")</f>
        <v/>
      </c>
      <c r="E414" s="211" t="str">
        <f>IFERROR(VLOOKUP($C414,'PORTIFÓLIO'!C:V,3,0),"")</f>
        <v/>
      </c>
      <c r="F414" s="211" t="str">
        <f>IFERROR(VLOOKUP($C414,'PORTIFÓLIO'!C:V,4,0),"")</f>
        <v/>
      </c>
      <c r="G414" s="215" t="str">
        <f>IFERROR(VLOOKUP($C414,'PORTIFÓLIO'!C:V,5,0),"")</f>
        <v/>
      </c>
      <c r="H414" s="254" t="str">
        <f t="array" ref="H414">IFERROR(INDEX('PORTIFÓLIO'!$H$4:$H$433,MATCH($C414,'PORTIFÓLIO'!$C$4:$C$433,0)),"")</f>
        <v/>
      </c>
      <c r="I414" s="256"/>
      <c r="J414" s="218">
        <f t="shared" si="47"/>
        <v>0</v>
      </c>
      <c r="K414" s="292" t="str">
        <f t="array" ref="K414">IFERROR(I414*INDEX('PORTIFÓLIO'!$S$4:$S$433,MATCH($C414,'PORTIFÓLIO'!$C$4:$C$433,0)),"")</f>
        <v/>
      </c>
      <c r="L414" s="292" t="str">
        <f t="array" ref="L414">IFERROR(J414*INDEX('PORTIFÓLIO'!$S$4:$S$433,MATCH($C414,'PORTIFÓLIO'!$C$4:$C$433,0)),"")</f>
        <v/>
      </c>
      <c r="M414" s="220"/>
      <c r="N414" s="220"/>
      <c r="O414" s="220"/>
      <c r="P414" s="220"/>
      <c r="Q414" s="220"/>
      <c r="R414" s="220"/>
      <c r="S414" s="220"/>
      <c r="T414" s="220"/>
      <c r="U414" s="220"/>
      <c r="V414" s="220"/>
      <c r="W414" s="220"/>
    </row>
    <row r="415" ht="15.75" customHeight="1" outlineLevel="1">
      <c r="A415" s="211"/>
      <c r="B415" s="212"/>
      <c r="C415" s="213"/>
      <c r="D415" s="214" t="str">
        <f>IFERROR(VLOOKUP($C415,'PORTIFÓLIO'!C:V,2,0),"")</f>
        <v/>
      </c>
      <c r="E415" s="211" t="str">
        <f>IFERROR(VLOOKUP($C415,'PORTIFÓLIO'!C:V,3,0),"")</f>
        <v/>
      </c>
      <c r="F415" s="211" t="str">
        <f>IFERROR(VLOOKUP($C415,'PORTIFÓLIO'!C:V,4,0),"")</f>
        <v/>
      </c>
      <c r="G415" s="215" t="str">
        <f>IFERROR(VLOOKUP($C415,'PORTIFÓLIO'!C:V,5,0),"")</f>
        <v/>
      </c>
      <c r="H415" s="254" t="str">
        <f t="array" ref="H415">IFERROR(INDEX('PORTIFÓLIO'!$H$4:$H$433,MATCH($C415,'PORTIFÓLIO'!$C$4:$C$433,0)),"")</f>
        <v/>
      </c>
      <c r="I415" s="256"/>
      <c r="J415" s="218">
        <f t="shared" si="47"/>
        <v>0</v>
      </c>
      <c r="K415" s="292" t="str">
        <f t="array" ref="K415">IFERROR(I415*INDEX('PORTIFÓLIO'!$S$4:$S$433,MATCH($C415,'PORTIFÓLIO'!$C$4:$C$433,0)),"")</f>
        <v/>
      </c>
      <c r="L415" s="292" t="str">
        <f t="array" ref="L415">IFERROR(J415*INDEX('PORTIFÓLIO'!$S$4:$S$433,MATCH($C415,'PORTIFÓLIO'!$C$4:$C$433,0)),"")</f>
        <v/>
      </c>
      <c r="M415" s="220"/>
      <c r="N415" s="220"/>
      <c r="O415" s="220"/>
      <c r="P415" s="220"/>
      <c r="Q415" s="220"/>
      <c r="R415" s="220"/>
      <c r="S415" s="220"/>
      <c r="T415" s="220"/>
      <c r="U415" s="220"/>
      <c r="V415" s="220"/>
      <c r="W415" s="220"/>
    </row>
    <row r="416" ht="15.75" customHeight="1" outlineLevel="1">
      <c r="A416" s="211"/>
      <c r="B416" s="212"/>
      <c r="C416" s="213"/>
      <c r="D416" s="214" t="str">
        <f>IFERROR(VLOOKUP($C416,'PORTIFÓLIO'!C:V,2,0),"")</f>
        <v/>
      </c>
      <c r="E416" s="211" t="str">
        <f>IFERROR(VLOOKUP($C416,'PORTIFÓLIO'!C:V,3,0),"")</f>
        <v/>
      </c>
      <c r="F416" s="211" t="str">
        <f>IFERROR(VLOOKUP($C416,'PORTIFÓLIO'!C:V,4,0),"")</f>
        <v/>
      </c>
      <c r="G416" s="215" t="str">
        <f>IFERROR(VLOOKUP($C416,'PORTIFÓLIO'!C:V,5,0),"")</f>
        <v/>
      </c>
      <c r="H416" s="254" t="str">
        <f t="array" ref="H416">IFERROR(INDEX('PORTIFÓLIO'!$H$4:$H$433,MATCH($C416,'PORTIFÓLIO'!$C$4:$C$433,0)),"")</f>
        <v/>
      </c>
      <c r="I416" s="256"/>
      <c r="J416" s="218">
        <f t="shared" si="47"/>
        <v>0</v>
      </c>
      <c r="K416" s="292" t="str">
        <f t="array" ref="K416">IFERROR(I416*INDEX('PORTIFÓLIO'!$S$4:$S$433,MATCH($C416,'PORTIFÓLIO'!$C$4:$C$433,0)),"")</f>
        <v/>
      </c>
      <c r="L416" s="292" t="str">
        <f t="array" ref="L416">IFERROR(J416*INDEX('PORTIFÓLIO'!$S$4:$S$433,MATCH($C416,'PORTIFÓLIO'!$C$4:$C$433,0)),"")</f>
        <v/>
      </c>
      <c r="M416" s="220"/>
      <c r="N416" s="220"/>
      <c r="O416" s="220"/>
      <c r="P416" s="220"/>
      <c r="Q416" s="220"/>
      <c r="R416" s="220"/>
      <c r="S416" s="220"/>
      <c r="T416" s="220"/>
      <c r="U416" s="220"/>
      <c r="V416" s="220"/>
      <c r="W416" s="220"/>
    </row>
    <row r="417" ht="15.75" customHeight="1" outlineLevel="1">
      <c r="A417" s="211"/>
      <c r="B417" s="212"/>
      <c r="C417" s="213"/>
      <c r="D417" s="214" t="str">
        <f>IFERROR(VLOOKUP($C417,'PORTIFÓLIO'!C:V,2,0),"")</f>
        <v/>
      </c>
      <c r="E417" s="211" t="str">
        <f>IFERROR(VLOOKUP($C417,'PORTIFÓLIO'!C:V,3,0),"")</f>
        <v/>
      </c>
      <c r="F417" s="211" t="str">
        <f>IFERROR(VLOOKUP($C417,'PORTIFÓLIO'!C:V,4,0),"")</f>
        <v/>
      </c>
      <c r="G417" s="215" t="str">
        <f>IFERROR(VLOOKUP($C417,'PORTIFÓLIO'!C:V,5,0),"")</f>
        <v/>
      </c>
      <c r="H417" s="254" t="str">
        <f t="array" ref="H417">IFERROR(INDEX('PORTIFÓLIO'!$H$4:$H$433,MATCH($C417,'PORTIFÓLIO'!$C$4:$C$433,0)),"")</f>
        <v/>
      </c>
      <c r="I417" s="256"/>
      <c r="J417" s="218">
        <f t="shared" si="47"/>
        <v>0</v>
      </c>
      <c r="K417" s="292" t="str">
        <f t="array" ref="K417">IFERROR(I417*INDEX('PORTIFÓLIO'!$S$4:$S$433,MATCH($C417,'PORTIFÓLIO'!$C$4:$C$433,0)),"")</f>
        <v/>
      </c>
      <c r="L417" s="292" t="str">
        <f t="array" ref="L417">IFERROR(J417*INDEX('PORTIFÓLIO'!$S$4:$S$433,MATCH($C417,'PORTIFÓLIO'!$C$4:$C$433,0)),"")</f>
        <v/>
      </c>
      <c r="M417" s="220"/>
      <c r="N417" s="220"/>
      <c r="O417" s="220"/>
      <c r="P417" s="220"/>
      <c r="Q417" s="220"/>
      <c r="R417" s="220"/>
      <c r="S417" s="220"/>
      <c r="T417" s="220"/>
      <c r="U417" s="220"/>
      <c r="V417" s="220"/>
      <c r="W417" s="220"/>
    </row>
    <row r="418" ht="15.75" customHeight="1" outlineLevel="1">
      <c r="A418" s="211"/>
      <c r="B418" s="212"/>
      <c r="C418" s="213"/>
      <c r="D418" s="214" t="str">
        <f>IFERROR(VLOOKUP($C418,'PORTIFÓLIO'!C:V,2,0),"")</f>
        <v/>
      </c>
      <c r="E418" s="211" t="str">
        <f>IFERROR(VLOOKUP($C418,'PORTIFÓLIO'!C:V,3,0),"")</f>
        <v/>
      </c>
      <c r="F418" s="211" t="str">
        <f>IFERROR(VLOOKUP($C418,'PORTIFÓLIO'!C:V,4,0),"")</f>
        <v/>
      </c>
      <c r="G418" s="215" t="str">
        <f>IFERROR(VLOOKUP($C418,'PORTIFÓLIO'!C:V,5,0),"")</f>
        <v/>
      </c>
      <c r="H418" s="254" t="str">
        <f t="array" ref="H418">IFERROR(INDEX('PORTIFÓLIO'!$H$4:$H$433,MATCH($C418,'PORTIFÓLIO'!$C$4:$C$433,0)),"")</f>
        <v/>
      </c>
      <c r="I418" s="255"/>
      <c r="J418" s="218">
        <f t="shared" si="47"/>
        <v>0</v>
      </c>
      <c r="K418" s="292" t="str">
        <f t="array" ref="K418">IFERROR(I418*INDEX('PORTIFÓLIO'!$S$4:$S$433,MATCH($C418,'PORTIFÓLIO'!$C$4:$C$433,0)),"")</f>
        <v/>
      </c>
      <c r="L418" s="292" t="str">
        <f t="array" ref="L418">IFERROR(J418*INDEX('PORTIFÓLIO'!$S$4:$S$433,MATCH($C418,'PORTIFÓLIO'!$C$4:$C$433,0)),"")</f>
        <v/>
      </c>
      <c r="M418" s="220"/>
      <c r="N418" s="220"/>
      <c r="O418" s="220"/>
      <c r="P418" s="220"/>
      <c r="Q418" s="220"/>
      <c r="R418" s="220"/>
      <c r="S418" s="220"/>
      <c r="T418" s="220"/>
      <c r="U418" s="220"/>
      <c r="V418" s="220"/>
      <c r="W418" s="220"/>
    </row>
    <row r="419" ht="15.75" customHeight="1" outlineLevel="1">
      <c r="A419" s="211"/>
      <c r="B419" s="212"/>
      <c r="C419" s="213"/>
      <c r="D419" s="214" t="str">
        <f>IFERROR(VLOOKUP($C419,'PORTIFÓLIO'!C:V,2,0),"")</f>
        <v/>
      </c>
      <c r="E419" s="211" t="str">
        <f>IFERROR(VLOOKUP($C419,'PORTIFÓLIO'!C:V,3,0),"")</f>
        <v/>
      </c>
      <c r="F419" s="211" t="str">
        <f>IFERROR(VLOOKUP($C419,'PORTIFÓLIO'!C:V,4,0),"")</f>
        <v/>
      </c>
      <c r="G419" s="215" t="str">
        <f>IFERROR(VLOOKUP($C419,'PORTIFÓLIO'!C:V,5,0),"")</f>
        <v/>
      </c>
      <c r="H419" s="254" t="str">
        <f t="array" ref="H419">IFERROR(INDEX('PORTIFÓLIO'!$H$4:$H$433,MATCH($C419,'PORTIFÓLIO'!$C$4:$C$433,0)),"")</f>
        <v/>
      </c>
      <c r="I419" s="256"/>
      <c r="J419" s="218">
        <f t="shared" si="47"/>
        <v>0</v>
      </c>
      <c r="K419" s="292" t="str">
        <f t="array" ref="K419">IFERROR(I419*INDEX('PORTIFÓLIO'!$S$4:$S$433,MATCH($C419,'PORTIFÓLIO'!$C$4:$C$433,0)),"")</f>
        <v/>
      </c>
      <c r="L419" s="292" t="str">
        <f t="array" ref="L419">IFERROR(J419*INDEX('PORTIFÓLIO'!$S$4:$S$433,MATCH($C419,'PORTIFÓLIO'!$C$4:$C$433,0)),"")</f>
        <v/>
      </c>
      <c r="M419" s="220"/>
      <c r="N419" s="220"/>
      <c r="O419" s="220"/>
      <c r="P419" s="220"/>
      <c r="Q419" s="220"/>
      <c r="R419" s="220"/>
      <c r="S419" s="220"/>
      <c r="T419" s="220"/>
      <c r="U419" s="220"/>
      <c r="V419" s="220"/>
      <c r="W419" s="220"/>
    </row>
    <row r="420" ht="15.75" customHeight="1" outlineLevel="1">
      <c r="A420" s="211"/>
      <c r="B420" s="212"/>
      <c r="C420" s="213"/>
      <c r="D420" s="214" t="str">
        <f>IFERROR(VLOOKUP($C420,'PORTIFÓLIO'!C:V,2,0),"")</f>
        <v/>
      </c>
      <c r="E420" s="211" t="str">
        <f>IFERROR(VLOOKUP($C420,'PORTIFÓLIO'!C:V,3,0),"")</f>
        <v/>
      </c>
      <c r="F420" s="211" t="str">
        <f>IFERROR(VLOOKUP($C420,'PORTIFÓLIO'!C:V,4,0),"")</f>
        <v/>
      </c>
      <c r="G420" s="215" t="str">
        <f>IFERROR(VLOOKUP($C420,'PORTIFÓLIO'!C:V,5,0),"")</f>
        <v/>
      </c>
      <c r="H420" s="254" t="str">
        <f t="array" ref="H420">IFERROR(INDEX('PORTIFÓLIO'!$H$4:$H$433,MATCH($C420,'PORTIFÓLIO'!$C$4:$C$433,0)),"")</f>
        <v/>
      </c>
      <c r="I420" s="256"/>
      <c r="J420" s="218">
        <f t="shared" si="47"/>
        <v>0</v>
      </c>
      <c r="K420" s="292" t="str">
        <f t="array" ref="K420">IFERROR(I420*INDEX('PORTIFÓLIO'!$S$4:$S$433,MATCH($C420,'PORTIFÓLIO'!$C$4:$C$433,0)),"")</f>
        <v/>
      </c>
      <c r="L420" s="292" t="str">
        <f t="array" ref="L420">IFERROR(J420*INDEX('PORTIFÓLIO'!$S$4:$S$433,MATCH($C420,'PORTIFÓLIO'!$C$4:$C$433,0)),"")</f>
        <v/>
      </c>
      <c r="M420" s="220"/>
      <c r="N420" s="220"/>
      <c r="O420" s="220"/>
      <c r="P420" s="220"/>
      <c r="Q420" s="220"/>
      <c r="R420" s="220"/>
      <c r="S420" s="220"/>
      <c r="T420" s="220"/>
      <c r="U420" s="220"/>
      <c r="V420" s="220"/>
      <c r="W420" s="220"/>
    </row>
    <row r="421" ht="15.75" customHeight="1" outlineLevel="1">
      <c r="A421" s="211"/>
      <c r="B421" s="212"/>
      <c r="C421" s="213"/>
      <c r="D421" s="214" t="str">
        <f>IFERROR(VLOOKUP($C421,'PORTIFÓLIO'!C:V,2,0),"")</f>
        <v/>
      </c>
      <c r="E421" s="211" t="str">
        <f>IFERROR(VLOOKUP($C421,'PORTIFÓLIO'!C:V,3,0),"")</f>
        <v/>
      </c>
      <c r="F421" s="211" t="str">
        <f>IFERROR(VLOOKUP($C421,'PORTIFÓLIO'!C:V,4,0),"")</f>
        <v/>
      </c>
      <c r="G421" s="215" t="str">
        <f>IFERROR(VLOOKUP($C421,'PORTIFÓLIO'!C:V,5,0),"")</f>
        <v/>
      </c>
      <c r="H421" s="254" t="str">
        <f t="array" ref="H421">IFERROR(INDEX('PORTIFÓLIO'!$H$4:$H$433,MATCH($C421,'PORTIFÓLIO'!$C$4:$C$433,0)),"")</f>
        <v/>
      </c>
      <c r="I421" s="256"/>
      <c r="J421" s="218">
        <f t="shared" si="47"/>
        <v>0</v>
      </c>
      <c r="K421" s="292" t="str">
        <f t="array" ref="K421">IFERROR(I421*INDEX('PORTIFÓLIO'!$S$4:$S$433,MATCH($C421,'PORTIFÓLIO'!$C$4:$C$433,0)),"")</f>
        <v/>
      </c>
      <c r="L421" s="292" t="str">
        <f t="array" ref="L421">IFERROR(J421*INDEX('PORTIFÓLIO'!$S$4:$S$433,MATCH($C421,'PORTIFÓLIO'!$C$4:$C$433,0)),"")</f>
        <v/>
      </c>
      <c r="M421" s="220"/>
      <c r="N421" s="220"/>
      <c r="O421" s="220"/>
      <c r="P421" s="220"/>
      <c r="Q421" s="220"/>
      <c r="R421" s="220"/>
      <c r="S421" s="220"/>
      <c r="T421" s="220"/>
      <c r="U421" s="220"/>
      <c r="V421" s="220"/>
      <c r="W421" s="220"/>
    </row>
    <row r="422" ht="15.75" customHeight="1" outlineLevel="1">
      <c r="A422" s="211"/>
      <c r="B422" s="212"/>
      <c r="C422" s="213"/>
      <c r="D422" s="214" t="str">
        <f>IFERROR(VLOOKUP($C422,'PORTIFÓLIO'!C:V,2,0),"")</f>
        <v/>
      </c>
      <c r="E422" s="211" t="str">
        <f>IFERROR(VLOOKUP($C422,'PORTIFÓLIO'!C:V,3,0),"")</f>
        <v/>
      </c>
      <c r="F422" s="211" t="str">
        <f>IFERROR(VLOOKUP($C422,'PORTIFÓLIO'!C:V,4,0),"")</f>
        <v/>
      </c>
      <c r="G422" s="215" t="str">
        <f>IFERROR(VLOOKUP($C422,'PORTIFÓLIO'!C:V,5,0),"")</f>
        <v/>
      </c>
      <c r="H422" s="254" t="str">
        <f t="array" ref="H422">IFERROR(INDEX('PORTIFÓLIO'!$H$4:$H$433,MATCH($C422,'PORTIFÓLIO'!$C$4:$C$433,0)),"")</f>
        <v/>
      </c>
      <c r="I422" s="256"/>
      <c r="J422" s="218">
        <f t="shared" si="47"/>
        <v>0</v>
      </c>
      <c r="K422" s="292" t="str">
        <f t="array" ref="K422">IFERROR(I422*INDEX('PORTIFÓLIO'!$S$4:$S$433,MATCH($C422,'PORTIFÓLIO'!$C$4:$C$433,0)),"")</f>
        <v/>
      </c>
      <c r="L422" s="292" t="str">
        <f t="array" ref="L422">IFERROR(J422*INDEX('PORTIFÓLIO'!$S$4:$S$433,MATCH($C422,'PORTIFÓLIO'!$C$4:$C$433,0)),"")</f>
        <v/>
      </c>
      <c r="M422" s="220"/>
      <c r="N422" s="220"/>
      <c r="O422" s="220"/>
      <c r="P422" s="220"/>
      <c r="Q422" s="220"/>
      <c r="R422" s="220"/>
      <c r="S422" s="220"/>
      <c r="T422" s="220"/>
      <c r="U422" s="220"/>
      <c r="V422" s="220"/>
      <c r="W422" s="220"/>
    </row>
    <row r="423" ht="15.75" customHeight="1" outlineLevel="1">
      <c r="A423" s="211"/>
      <c r="B423" s="212"/>
      <c r="C423" s="213"/>
      <c r="D423" s="214" t="str">
        <f>IFERROR(VLOOKUP($C423,'PORTIFÓLIO'!C:V,2,0),"")</f>
        <v/>
      </c>
      <c r="E423" s="211" t="str">
        <f>IFERROR(VLOOKUP($C423,'PORTIFÓLIO'!C:V,3,0),"")</f>
        <v/>
      </c>
      <c r="F423" s="211" t="str">
        <f>IFERROR(VLOOKUP($C423,'PORTIFÓLIO'!C:V,4,0),"")</f>
        <v/>
      </c>
      <c r="G423" s="215" t="str">
        <f>IFERROR(VLOOKUP($C423,'PORTIFÓLIO'!C:V,5,0),"")</f>
        <v/>
      </c>
      <c r="H423" s="254" t="str">
        <f t="array" ref="H423">IFERROR(INDEX('PORTIFÓLIO'!$H$4:$H$433,MATCH($C423,'PORTIFÓLIO'!$C$4:$C$433,0)),"")</f>
        <v/>
      </c>
      <c r="I423" s="256"/>
      <c r="J423" s="218">
        <f t="shared" si="47"/>
        <v>0</v>
      </c>
      <c r="K423" s="292" t="str">
        <f t="array" ref="K423">IFERROR(I423*INDEX('PORTIFÓLIO'!$S$4:$S$433,MATCH($C423,'PORTIFÓLIO'!$C$4:$C$433,0)),"")</f>
        <v/>
      </c>
      <c r="L423" s="292" t="str">
        <f t="array" ref="L423">IFERROR(J423*INDEX('PORTIFÓLIO'!$S$4:$S$433,MATCH($C423,'PORTIFÓLIO'!$C$4:$C$433,0)),"")</f>
        <v/>
      </c>
      <c r="M423" s="220"/>
      <c r="N423" s="220"/>
      <c r="O423" s="220"/>
      <c r="P423" s="220"/>
      <c r="Q423" s="220"/>
      <c r="R423" s="220"/>
      <c r="S423" s="220"/>
      <c r="T423" s="220"/>
      <c r="U423" s="220"/>
      <c r="V423" s="220"/>
      <c r="W423" s="220"/>
    </row>
    <row r="424" ht="15.75" customHeight="1" outlineLevel="1">
      <c r="A424" s="211"/>
      <c r="B424" s="212"/>
      <c r="C424" s="213"/>
      <c r="D424" s="214" t="str">
        <f>IFERROR(VLOOKUP($C424,'PORTIFÓLIO'!C:V,2,0),"")</f>
        <v/>
      </c>
      <c r="E424" s="211" t="str">
        <f>IFERROR(VLOOKUP($C424,'PORTIFÓLIO'!C:V,3,0),"")</f>
        <v/>
      </c>
      <c r="F424" s="211" t="str">
        <f>IFERROR(VLOOKUP($C424,'PORTIFÓLIO'!C:V,4,0),"")</f>
        <v/>
      </c>
      <c r="G424" s="215" t="str">
        <f>IFERROR(VLOOKUP($C424,'PORTIFÓLIO'!C:V,5,0),"")</f>
        <v/>
      </c>
      <c r="H424" s="254" t="str">
        <f t="array" ref="H424">IFERROR(INDEX('PORTIFÓLIO'!$H$4:$H$433,MATCH($C424,'PORTIFÓLIO'!$C$4:$C$433,0)),"")</f>
        <v/>
      </c>
      <c r="I424" s="256"/>
      <c r="J424" s="218">
        <f t="shared" si="47"/>
        <v>0</v>
      </c>
      <c r="K424" s="292" t="str">
        <f t="array" ref="K424">IFERROR(I424*INDEX('PORTIFÓLIO'!$S$4:$S$433,MATCH($C424,'PORTIFÓLIO'!$C$4:$C$433,0)),"")</f>
        <v/>
      </c>
      <c r="L424" s="292" t="str">
        <f t="array" ref="L424">IFERROR(J424*INDEX('PORTIFÓLIO'!$S$4:$S$433,MATCH($C424,'PORTIFÓLIO'!$C$4:$C$433,0)),"")</f>
        <v/>
      </c>
      <c r="M424" s="220"/>
      <c r="N424" s="220"/>
      <c r="O424" s="220"/>
      <c r="P424" s="220"/>
      <c r="Q424" s="220"/>
      <c r="R424" s="220"/>
      <c r="S424" s="220"/>
      <c r="T424" s="220"/>
      <c r="U424" s="220"/>
      <c r="V424" s="220"/>
      <c r="W424" s="220"/>
    </row>
    <row r="425" ht="15.75" customHeight="1" outlineLevel="1">
      <c r="A425" s="211"/>
      <c r="B425" s="227"/>
      <c r="C425" s="211"/>
      <c r="D425" s="214" t="str">
        <f>IFERROR(VLOOKUP($C425,'PORTIFÓLIO'!C:V,2,0),"")</f>
        <v/>
      </c>
      <c r="E425" s="211" t="str">
        <f>IFERROR(VLOOKUP($C425,'PORTIFÓLIO'!C:V,3,0),"")</f>
        <v/>
      </c>
      <c r="F425" s="211" t="str">
        <f>IFERROR(VLOOKUP($C425,'PORTIFÓLIO'!C:V,4,0),"")</f>
        <v/>
      </c>
      <c r="G425" s="215" t="str">
        <f>IFERROR(VLOOKUP($C425,'PORTIFÓLIO'!C:V,5,0),"")</f>
        <v/>
      </c>
      <c r="H425" s="254" t="str">
        <f t="array" ref="H425">IFERROR(INDEX('PORTIFÓLIO'!$H$4:$H$433,MATCH($C425,'PORTIFÓLIO'!$C$4:$C$433,0)),"")</f>
        <v/>
      </c>
      <c r="I425" s="256"/>
      <c r="J425" s="218">
        <f t="shared" si="47"/>
        <v>0</v>
      </c>
      <c r="K425" s="292" t="str">
        <f t="array" ref="K425">IFERROR(I425*INDEX('PORTIFÓLIO'!$S$4:$S$433,MATCH($C425,'PORTIFÓLIO'!$C$4:$C$433,0)),"")</f>
        <v/>
      </c>
      <c r="L425" s="292" t="str">
        <f t="array" ref="L425">IFERROR(J425*INDEX('PORTIFÓLIO'!$S$4:$S$433,MATCH($C425,'PORTIFÓLIO'!$C$4:$C$433,0)),"")</f>
        <v/>
      </c>
      <c r="M425" s="220"/>
      <c r="N425" s="220"/>
      <c r="O425" s="220"/>
      <c r="P425" s="220"/>
      <c r="Q425" s="220"/>
      <c r="R425" s="220"/>
      <c r="S425" s="220"/>
      <c r="T425" s="220"/>
      <c r="U425" s="220"/>
      <c r="V425" s="220"/>
      <c r="W425" s="220"/>
    </row>
    <row r="426" ht="15.75" customHeight="1" outlineLevel="1">
      <c r="A426" s="211"/>
      <c r="B426" s="227"/>
      <c r="C426" s="211"/>
      <c r="D426" s="214" t="str">
        <f>IFERROR(VLOOKUP($C426,'PORTIFÓLIO'!C:V,2,0),"")</f>
        <v/>
      </c>
      <c r="E426" s="211" t="str">
        <f>IFERROR(VLOOKUP($C426,'PORTIFÓLIO'!C:V,3,0),"")</f>
        <v/>
      </c>
      <c r="F426" s="211" t="str">
        <f>IFERROR(VLOOKUP($C426,'PORTIFÓLIO'!C:V,4,0),"")</f>
        <v/>
      </c>
      <c r="G426" s="215" t="str">
        <f>IFERROR(VLOOKUP($C426,'PORTIFÓLIO'!C:V,5,0),"")</f>
        <v/>
      </c>
      <c r="H426" s="254" t="str">
        <f t="array" ref="H426">IFERROR(INDEX('PORTIFÓLIO'!$H$4:$H$433,MATCH($C426,'PORTIFÓLIO'!$C$4:$C$433,0)),"")</f>
        <v/>
      </c>
      <c r="I426" s="256"/>
      <c r="J426" s="218">
        <f t="shared" si="47"/>
        <v>0</v>
      </c>
      <c r="K426" s="292" t="str">
        <f t="array" ref="K426">IFERROR(I426*INDEX('PORTIFÓLIO'!$S$4:$S$433,MATCH($C426,'PORTIFÓLIO'!$C$4:$C$433,0)),"")</f>
        <v/>
      </c>
      <c r="L426" s="292" t="str">
        <f t="array" ref="L426">IFERROR(J426*INDEX('PORTIFÓLIO'!$S$4:$S$433,MATCH($C426,'PORTIFÓLIO'!$C$4:$C$433,0)),"")</f>
        <v/>
      </c>
      <c r="U426" s="79"/>
    </row>
    <row r="427" ht="15.75" customHeight="1">
      <c r="A427" s="229" t="s">
        <v>1202</v>
      </c>
      <c r="B427" s="230"/>
      <c r="C427" s="231"/>
      <c r="D427" s="232"/>
      <c r="E427" s="231"/>
      <c r="F427" s="231"/>
      <c r="G427" s="233"/>
      <c r="H427" s="233"/>
      <c r="I427" s="258"/>
      <c r="J427" s="236"/>
      <c r="K427" s="237">
        <f t="shared" ref="K427:L427" si="48">SUBTOTAL(9,K428:K441)</f>
        <v>0</v>
      </c>
      <c r="L427" s="237">
        <f t="shared" si="48"/>
        <v>0</v>
      </c>
      <c r="U427" s="79"/>
    </row>
    <row r="428" ht="15.75" customHeight="1" outlineLevel="1">
      <c r="A428" s="213"/>
      <c r="B428" s="212"/>
      <c r="C428" s="213"/>
      <c r="D428" s="214" t="str">
        <f>IFERROR(VLOOKUP($C428,'PORTIFÓLIO'!C:V,2,0),"")</f>
        <v/>
      </c>
      <c r="E428" s="211" t="str">
        <f>IFERROR(VLOOKUP($C428,'PORTIFÓLIO'!C:V,3,0),"")</f>
        <v/>
      </c>
      <c r="F428" s="211" t="str">
        <f>IFERROR(VLOOKUP($C428,'PORTIFÓLIO'!C:V,4,0),"")</f>
        <v/>
      </c>
      <c r="G428" s="215" t="str">
        <f>IFERROR(VLOOKUP($C428,'PORTIFÓLIO'!C:V,5,0),"")</f>
        <v/>
      </c>
      <c r="H428" s="254" t="str">
        <f t="array" ref="H428">IFERROR(INDEX('PORTIFÓLIO'!$H$4:$H$433,MATCH($C428,'PORTIFÓLIO'!$C$4:$C$433,0)),"")</f>
        <v/>
      </c>
      <c r="I428" s="256"/>
      <c r="J428" s="218">
        <f t="shared" ref="J428:J451" si="49">I428*$B$2</f>
        <v>0</v>
      </c>
      <c r="K428" s="292" t="str">
        <f t="array" ref="K428">IFERROR(I428*INDEX('PORTIFÓLIO'!$S$4:$S$433,MATCH($C428,'PORTIFÓLIO'!$C$4:$C$433,0)),"")</f>
        <v/>
      </c>
      <c r="L428" s="292" t="str">
        <f t="array" ref="L428">IFERROR(J428*INDEX('PORTIFÓLIO'!$S$4:$S$433,MATCH($C428,'PORTIFÓLIO'!$C$4:$C$433,0)),"")</f>
        <v/>
      </c>
      <c r="U428" s="79"/>
    </row>
    <row r="429" ht="15.75" customHeight="1" outlineLevel="1">
      <c r="A429" s="211"/>
      <c r="B429" s="212"/>
      <c r="C429" s="213"/>
      <c r="D429" s="214" t="str">
        <f>IFERROR(VLOOKUP($C429,'PORTIFÓLIO'!C:V,2,0),"")</f>
        <v/>
      </c>
      <c r="E429" s="211" t="str">
        <f>IFERROR(VLOOKUP($C429,'PORTIFÓLIO'!C:V,3,0),"")</f>
        <v/>
      </c>
      <c r="F429" s="211" t="str">
        <f>IFERROR(VLOOKUP($C429,'PORTIFÓLIO'!C:V,4,0),"")</f>
        <v/>
      </c>
      <c r="G429" s="215" t="str">
        <f>IFERROR(VLOOKUP($C429,'PORTIFÓLIO'!C:V,5,0),"")</f>
        <v/>
      </c>
      <c r="H429" s="254" t="str">
        <f t="array" ref="H429">IFERROR(INDEX('PORTIFÓLIO'!$H$4:$H$433,MATCH($C429,'PORTIFÓLIO'!$C$4:$C$433,0)),"")</f>
        <v/>
      </c>
      <c r="I429" s="256"/>
      <c r="J429" s="218">
        <f t="shared" si="49"/>
        <v>0</v>
      </c>
      <c r="K429" s="292" t="str">
        <f t="array" ref="K429">IFERROR(I429*INDEX('PORTIFÓLIO'!$S$4:$S$433,MATCH($C429,'PORTIFÓLIO'!$C$4:$C$433,0)),"")</f>
        <v/>
      </c>
      <c r="L429" s="292" t="str">
        <f t="array" ref="L429">IFERROR(J429*INDEX('PORTIFÓLIO'!$S$4:$S$433,MATCH($C429,'PORTIFÓLIO'!$C$4:$C$433,0)),"")</f>
        <v/>
      </c>
      <c r="U429" s="79"/>
    </row>
    <row r="430" ht="15.75" customHeight="1" outlineLevel="1">
      <c r="A430" s="211"/>
      <c r="B430" s="212"/>
      <c r="C430" s="213"/>
      <c r="D430" s="214" t="str">
        <f>IFERROR(VLOOKUP($C430,'PORTIFÓLIO'!C:V,2,0),"")</f>
        <v/>
      </c>
      <c r="E430" s="211" t="str">
        <f>IFERROR(VLOOKUP($C430,'PORTIFÓLIO'!C:V,3,0),"")</f>
        <v/>
      </c>
      <c r="F430" s="211" t="str">
        <f>IFERROR(VLOOKUP($C430,'PORTIFÓLIO'!C:V,4,0),"")</f>
        <v/>
      </c>
      <c r="G430" s="215" t="str">
        <f>IFERROR(VLOOKUP($C430,'PORTIFÓLIO'!C:V,5,0),"")</f>
        <v/>
      </c>
      <c r="H430" s="254" t="str">
        <f t="array" ref="H430">IFERROR(INDEX('PORTIFÓLIO'!$H$4:$H$433,MATCH($C430,'PORTIFÓLIO'!$C$4:$C$433,0)),"")</f>
        <v/>
      </c>
      <c r="I430" s="256"/>
      <c r="J430" s="218">
        <f t="shared" si="49"/>
        <v>0</v>
      </c>
      <c r="K430" s="292" t="str">
        <f t="array" ref="K430">IFERROR(I430*INDEX('PORTIFÓLIO'!$S$4:$S$433,MATCH($C430,'PORTIFÓLIO'!$C$4:$C$433,0)),"")</f>
        <v/>
      </c>
      <c r="L430" s="292" t="str">
        <f t="array" ref="L430">IFERROR(J430*INDEX('PORTIFÓLIO'!$S$4:$S$433,MATCH($C430,'PORTIFÓLIO'!$C$4:$C$433,0)),"")</f>
        <v/>
      </c>
      <c r="U430" s="79"/>
    </row>
    <row r="431" ht="15.75" customHeight="1" outlineLevel="1">
      <c r="A431" s="211"/>
      <c r="B431" s="212"/>
      <c r="C431" s="213"/>
      <c r="D431" s="214" t="str">
        <f>IFERROR(VLOOKUP($C431,'PORTIFÓLIO'!C:V,2,0),"")</f>
        <v/>
      </c>
      <c r="E431" s="211" t="str">
        <f>IFERROR(VLOOKUP($C431,'PORTIFÓLIO'!C:V,3,0),"")</f>
        <v/>
      </c>
      <c r="F431" s="211" t="str">
        <f>IFERROR(VLOOKUP($C431,'PORTIFÓLIO'!C:V,4,0),"")</f>
        <v/>
      </c>
      <c r="G431" s="215" t="str">
        <f>IFERROR(VLOOKUP($C431,'PORTIFÓLIO'!C:V,5,0),"")</f>
        <v/>
      </c>
      <c r="H431" s="254" t="str">
        <f t="array" ref="H431">IFERROR(INDEX('PORTIFÓLIO'!$H$4:$H$433,MATCH($C431,'PORTIFÓLIO'!$C$4:$C$433,0)),"")</f>
        <v/>
      </c>
      <c r="I431" s="256"/>
      <c r="J431" s="218">
        <f t="shared" si="49"/>
        <v>0</v>
      </c>
      <c r="K431" s="292" t="str">
        <f t="array" ref="K431">IFERROR(I431*INDEX('PORTIFÓLIO'!$S$4:$S$433,MATCH($C431,'PORTIFÓLIO'!$C$4:$C$433,0)),"")</f>
        <v/>
      </c>
      <c r="L431" s="292" t="str">
        <f t="array" ref="L431">IFERROR(J431*INDEX('PORTIFÓLIO'!$S$4:$S$433,MATCH($C431,'PORTIFÓLIO'!$C$4:$C$433,0)),"")</f>
        <v/>
      </c>
      <c r="U431" s="79"/>
    </row>
    <row r="432" ht="15.75" customHeight="1" outlineLevel="1">
      <c r="A432" s="211"/>
      <c r="B432" s="212"/>
      <c r="C432" s="213"/>
      <c r="D432" s="214" t="str">
        <f>IFERROR(VLOOKUP($C432,'PORTIFÓLIO'!C:V,2,0),"")</f>
        <v/>
      </c>
      <c r="E432" s="211" t="str">
        <f>IFERROR(VLOOKUP($C432,'PORTIFÓLIO'!C:V,3,0),"")</f>
        <v/>
      </c>
      <c r="F432" s="211" t="str">
        <f>IFERROR(VLOOKUP($C432,'PORTIFÓLIO'!C:V,4,0),"")</f>
        <v/>
      </c>
      <c r="G432" s="215" t="str">
        <f>IFERROR(VLOOKUP($C432,'PORTIFÓLIO'!C:V,5,0),"")</f>
        <v/>
      </c>
      <c r="H432" s="254" t="str">
        <f t="array" ref="H432">IFERROR(INDEX('PORTIFÓLIO'!$H$4:$H$433,MATCH($C432,'PORTIFÓLIO'!$C$4:$C$433,0)),"")</f>
        <v/>
      </c>
      <c r="I432" s="256"/>
      <c r="J432" s="218">
        <f t="shared" si="49"/>
        <v>0</v>
      </c>
      <c r="K432" s="292" t="str">
        <f t="array" ref="K432">IFERROR(I432*INDEX('PORTIFÓLIO'!$S$4:$S$433,MATCH($C432,'PORTIFÓLIO'!$C$4:$C$433,0)),"")</f>
        <v/>
      </c>
      <c r="L432" s="292" t="str">
        <f t="array" ref="L432">IFERROR(J432*INDEX('PORTIFÓLIO'!$S$4:$S$433,MATCH($C432,'PORTIFÓLIO'!$C$4:$C$433,0)),"")</f>
        <v/>
      </c>
      <c r="U432" s="79"/>
    </row>
    <row r="433" ht="15.75" customHeight="1" outlineLevel="1">
      <c r="A433" s="211"/>
      <c r="B433" s="212"/>
      <c r="C433" s="213"/>
      <c r="D433" s="214" t="str">
        <f>IFERROR(VLOOKUP($C433,'PORTIFÓLIO'!C:V,2,0),"")</f>
        <v/>
      </c>
      <c r="E433" s="211" t="str">
        <f>IFERROR(VLOOKUP($C433,'PORTIFÓLIO'!C:V,3,0),"")</f>
        <v/>
      </c>
      <c r="F433" s="211" t="str">
        <f>IFERROR(VLOOKUP($C433,'PORTIFÓLIO'!C:V,4,0),"")</f>
        <v/>
      </c>
      <c r="G433" s="215" t="str">
        <f>IFERROR(VLOOKUP($C433,'PORTIFÓLIO'!C:V,5,0),"")</f>
        <v/>
      </c>
      <c r="H433" s="254" t="str">
        <f t="array" ref="H433">IFERROR(INDEX('PORTIFÓLIO'!$H$4:$H$433,MATCH($C433,'PORTIFÓLIO'!$C$4:$C$433,0)),"")</f>
        <v/>
      </c>
      <c r="I433" s="256"/>
      <c r="J433" s="218">
        <f t="shared" si="49"/>
        <v>0</v>
      </c>
      <c r="K433" s="292" t="str">
        <f t="array" ref="K433">IFERROR(I433*INDEX('PORTIFÓLIO'!$S$4:$S$433,MATCH($C433,'PORTIFÓLIO'!$C$4:$C$433,0)),"")</f>
        <v/>
      </c>
      <c r="L433" s="292" t="str">
        <f t="array" ref="L433">IFERROR(J433*INDEX('PORTIFÓLIO'!$S$4:$S$433,MATCH($C433,'PORTIFÓLIO'!$C$4:$C$433,0)),"")</f>
        <v/>
      </c>
      <c r="U433" s="79"/>
    </row>
    <row r="434" ht="15.75" customHeight="1" outlineLevel="1">
      <c r="A434" s="211"/>
      <c r="B434" s="212"/>
      <c r="C434" s="213"/>
      <c r="D434" s="214" t="str">
        <f>IFERROR(VLOOKUP($C434,'PORTIFÓLIO'!C:V,2,0),"")</f>
        <v/>
      </c>
      <c r="E434" s="211" t="str">
        <f>IFERROR(VLOOKUP($C434,'PORTIFÓLIO'!C:V,3,0),"")</f>
        <v/>
      </c>
      <c r="F434" s="211" t="str">
        <f>IFERROR(VLOOKUP($C434,'PORTIFÓLIO'!C:V,4,0),"")</f>
        <v/>
      </c>
      <c r="G434" s="215" t="str">
        <f>IFERROR(VLOOKUP($C434,'PORTIFÓLIO'!C:V,5,0),"")</f>
        <v/>
      </c>
      <c r="H434" s="254" t="str">
        <f t="array" ref="H434">IFERROR(INDEX('PORTIFÓLIO'!$H$4:$H$433,MATCH($C434,'PORTIFÓLIO'!$C$4:$C$433,0)),"")</f>
        <v/>
      </c>
      <c r="I434" s="256"/>
      <c r="J434" s="218">
        <f t="shared" si="49"/>
        <v>0</v>
      </c>
      <c r="K434" s="292" t="str">
        <f t="array" ref="K434">IFERROR(I434*INDEX('PORTIFÓLIO'!$S$4:$S$433,MATCH($C434,'PORTIFÓLIO'!$C$4:$C$433,0)),"")</f>
        <v/>
      </c>
      <c r="L434" s="292" t="str">
        <f t="array" ref="L434">IFERROR(J434*INDEX('PORTIFÓLIO'!$S$4:$S$433,MATCH($C434,'PORTIFÓLIO'!$C$4:$C$433,0)),"")</f>
        <v/>
      </c>
      <c r="U434" s="79"/>
    </row>
    <row r="435" ht="15.75" customHeight="1" outlineLevel="1">
      <c r="A435" s="211"/>
      <c r="B435" s="212"/>
      <c r="C435" s="213"/>
      <c r="D435" s="214" t="str">
        <f>IFERROR(VLOOKUP($C435,'PORTIFÓLIO'!C:V,2,0),"")</f>
        <v/>
      </c>
      <c r="E435" s="211" t="str">
        <f>IFERROR(VLOOKUP($C435,'PORTIFÓLIO'!C:V,3,0),"")</f>
        <v/>
      </c>
      <c r="F435" s="211" t="str">
        <f>IFERROR(VLOOKUP($C435,'PORTIFÓLIO'!C:V,4,0),"")</f>
        <v/>
      </c>
      <c r="G435" s="215" t="str">
        <f>IFERROR(VLOOKUP($C435,'PORTIFÓLIO'!C:V,5,0),"")</f>
        <v/>
      </c>
      <c r="H435" s="254" t="str">
        <f t="array" ref="H435">IFERROR(INDEX('PORTIFÓLIO'!$H$4:$H$433,MATCH($C435,'PORTIFÓLIO'!$C$4:$C$433,0)),"")</f>
        <v/>
      </c>
      <c r="I435" s="256"/>
      <c r="J435" s="218">
        <f t="shared" si="49"/>
        <v>0</v>
      </c>
      <c r="K435" s="292" t="str">
        <f t="array" ref="K435">IFERROR(I435*INDEX('PORTIFÓLIO'!$S$4:$S$433,MATCH($C435,'PORTIFÓLIO'!$C$4:$C$433,0)),"")</f>
        <v/>
      </c>
      <c r="L435" s="292" t="str">
        <f t="array" ref="L435">IFERROR(J435*INDEX('PORTIFÓLIO'!$S$4:$S$433,MATCH($C435,'PORTIFÓLIO'!$C$4:$C$433,0)),"")</f>
        <v/>
      </c>
      <c r="U435" s="79"/>
    </row>
    <row r="436" ht="15.75" customHeight="1" outlineLevel="1">
      <c r="A436" s="211"/>
      <c r="B436" s="212"/>
      <c r="C436" s="213"/>
      <c r="D436" s="214" t="str">
        <f>IFERROR(VLOOKUP($C436,'PORTIFÓLIO'!C:V,2,0),"")</f>
        <v/>
      </c>
      <c r="E436" s="211" t="str">
        <f>IFERROR(VLOOKUP($C436,'PORTIFÓLIO'!C:V,3,0),"")</f>
        <v/>
      </c>
      <c r="F436" s="211" t="str">
        <f>IFERROR(VLOOKUP($C436,'PORTIFÓLIO'!C:V,4,0),"")</f>
        <v/>
      </c>
      <c r="G436" s="215" t="str">
        <f>IFERROR(VLOOKUP($C436,'PORTIFÓLIO'!C:V,5,0),"")</f>
        <v/>
      </c>
      <c r="H436" s="254" t="str">
        <f t="array" ref="H436">IFERROR(INDEX('PORTIFÓLIO'!$H$4:$H$433,MATCH($C436,'PORTIFÓLIO'!$C$4:$C$433,0)),"")</f>
        <v/>
      </c>
      <c r="I436" s="256"/>
      <c r="J436" s="218">
        <f t="shared" si="49"/>
        <v>0</v>
      </c>
      <c r="K436" s="292" t="str">
        <f t="array" ref="K436">IFERROR(I436*INDEX('PORTIFÓLIO'!$S$4:$S$433,MATCH($C436,'PORTIFÓLIO'!$C$4:$C$433,0)),"")</f>
        <v/>
      </c>
      <c r="L436" s="292" t="str">
        <f t="array" ref="L436">IFERROR(J436*INDEX('PORTIFÓLIO'!$S$4:$S$433,MATCH($C436,'PORTIFÓLIO'!$C$4:$C$433,0)),"")</f>
        <v/>
      </c>
      <c r="U436" s="79"/>
    </row>
    <row r="437" ht="15.75" customHeight="1" outlineLevel="1">
      <c r="A437" s="211"/>
      <c r="B437" s="212"/>
      <c r="C437" s="213"/>
      <c r="D437" s="214" t="str">
        <f>IFERROR(VLOOKUP($C437,'PORTIFÓLIO'!C:V,2,0),"")</f>
        <v/>
      </c>
      <c r="E437" s="211" t="str">
        <f>IFERROR(VLOOKUP($C437,'PORTIFÓLIO'!C:V,3,0),"")</f>
        <v/>
      </c>
      <c r="F437" s="211" t="str">
        <f>IFERROR(VLOOKUP($C437,'PORTIFÓLIO'!C:V,4,0),"")</f>
        <v/>
      </c>
      <c r="G437" s="215" t="str">
        <f>IFERROR(VLOOKUP($C437,'PORTIFÓLIO'!C:V,5,0),"")</f>
        <v/>
      </c>
      <c r="H437" s="254" t="str">
        <f t="array" ref="H437">IFERROR(INDEX('PORTIFÓLIO'!$H$4:$H$433,MATCH($C437,'PORTIFÓLIO'!$C$4:$C$433,0)),"")</f>
        <v/>
      </c>
      <c r="I437" s="256"/>
      <c r="J437" s="218">
        <f t="shared" si="49"/>
        <v>0</v>
      </c>
      <c r="K437" s="292" t="str">
        <f t="array" ref="K437">IFERROR(I437*INDEX('PORTIFÓLIO'!$S$4:$S$433,MATCH($C437,'PORTIFÓLIO'!$C$4:$C$433,0)),"")</f>
        <v/>
      </c>
      <c r="L437" s="292" t="str">
        <f t="array" ref="L437">IFERROR(J437*INDEX('PORTIFÓLIO'!$S$4:$S$433,MATCH($C437,'PORTIFÓLIO'!$C$4:$C$433,0)),"")</f>
        <v/>
      </c>
      <c r="U437" s="79"/>
    </row>
    <row r="438" ht="15.75" customHeight="1" outlineLevel="1">
      <c r="A438" s="211"/>
      <c r="B438" s="212"/>
      <c r="C438" s="213"/>
      <c r="D438" s="214" t="str">
        <f>IFERROR(VLOOKUP($C438,'PORTIFÓLIO'!C:V,2,0),"")</f>
        <v/>
      </c>
      <c r="E438" s="211" t="str">
        <f>IFERROR(VLOOKUP($C438,'PORTIFÓLIO'!C:V,3,0),"")</f>
        <v/>
      </c>
      <c r="F438" s="211" t="str">
        <f>IFERROR(VLOOKUP($C438,'PORTIFÓLIO'!C:V,4,0),"")</f>
        <v/>
      </c>
      <c r="G438" s="215" t="str">
        <f>IFERROR(VLOOKUP($C438,'PORTIFÓLIO'!C:V,5,0),"")</f>
        <v/>
      </c>
      <c r="H438" s="254" t="str">
        <f t="array" ref="H438">IFERROR(INDEX('PORTIFÓLIO'!$H$4:$H$433,MATCH($C438,'PORTIFÓLIO'!$C$4:$C$433,0)),"")</f>
        <v/>
      </c>
      <c r="I438" s="256"/>
      <c r="J438" s="218">
        <f t="shared" si="49"/>
        <v>0</v>
      </c>
      <c r="K438" s="292" t="str">
        <f t="array" ref="K438">IFERROR(I438*INDEX('PORTIFÓLIO'!$S$4:$S$433,MATCH($C438,'PORTIFÓLIO'!$C$4:$C$433,0)),"")</f>
        <v/>
      </c>
      <c r="L438" s="292" t="str">
        <f t="array" ref="L438">IFERROR(J438*INDEX('PORTIFÓLIO'!$S$4:$S$433,MATCH($C438,'PORTIFÓLIO'!$C$4:$C$433,0)),"")</f>
        <v/>
      </c>
      <c r="U438" s="79"/>
    </row>
    <row r="439" ht="15.75" customHeight="1" outlineLevel="1">
      <c r="A439" s="211"/>
      <c r="B439" s="212"/>
      <c r="C439" s="213"/>
      <c r="D439" s="214" t="str">
        <f>IFERROR(VLOOKUP($C439,'PORTIFÓLIO'!C:V,2,0),"")</f>
        <v/>
      </c>
      <c r="E439" s="211" t="str">
        <f>IFERROR(VLOOKUP($C439,'PORTIFÓLIO'!C:V,3,0),"")</f>
        <v/>
      </c>
      <c r="F439" s="211" t="str">
        <f>IFERROR(VLOOKUP($C439,'PORTIFÓLIO'!C:V,4,0),"")</f>
        <v/>
      </c>
      <c r="G439" s="215" t="str">
        <f>IFERROR(VLOOKUP($C439,'PORTIFÓLIO'!C:V,5,0),"")</f>
        <v/>
      </c>
      <c r="H439" s="254" t="str">
        <f t="array" ref="H439">IFERROR(INDEX('PORTIFÓLIO'!$H$4:$H$433,MATCH($C439,'PORTIFÓLIO'!$C$4:$C$433,0)),"")</f>
        <v/>
      </c>
      <c r="I439" s="256"/>
      <c r="J439" s="218">
        <f t="shared" si="49"/>
        <v>0</v>
      </c>
      <c r="K439" s="292" t="str">
        <f t="array" ref="K439">IFERROR(I439*INDEX('PORTIFÓLIO'!$S$4:$S$433,MATCH($C439,'PORTIFÓLIO'!$C$4:$C$433,0)),"")</f>
        <v/>
      </c>
      <c r="L439" s="292" t="str">
        <f t="array" ref="L439">IFERROR(J439*INDEX('PORTIFÓLIO'!$S$4:$S$433,MATCH($C439,'PORTIFÓLIO'!$C$4:$C$433,0)),"")</f>
        <v/>
      </c>
      <c r="U439" s="79"/>
    </row>
    <row r="440" ht="15.75" customHeight="1" outlineLevel="1">
      <c r="A440" s="211"/>
      <c r="B440" s="212"/>
      <c r="C440" s="213"/>
      <c r="D440" s="214" t="str">
        <f>IFERROR(VLOOKUP($C440,'PORTIFÓLIO'!C:V,2,0),"")</f>
        <v/>
      </c>
      <c r="E440" s="211" t="str">
        <f>IFERROR(VLOOKUP($C440,'PORTIFÓLIO'!C:V,3,0),"")</f>
        <v/>
      </c>
      <c r="F440" s="211" t="str">
        <f>IFERROR(VLOOKUP($C440,'PORTIFÓLIO'!C:V,4,0),"")</f>
        <v/>
      </c>
      <c r="G440" s="215" t="str">
        <f>IFERROR(VLOOKUP($C440,'PORTIFÓLIO'!C:V,5,0),"")</f>
        <v/>
      </c>
      <c r="H440" s="254" t="str">
        <f t="array" ref="H440">IFERROR(INDEX('PORTIFÓLIO'!$H$4:$H$433,MATCH($C440,'PORTIFÓLIO'!$C$4:$C$433,0)),"")</f>
        <v/>
      </c>
      <c r="I440" s="256"/>
      <c r="J440" s="218">
        <f t="shared" si="49"/>
        <v>0</v>
      </c>
      <c r="K440" s="292" t="str">
        <f t="array" ref="K440">IFERROR(I440*INDEX('PORTIFÓLIO'!$S$4:$S$433,MATCH($C440,'PORTIFÓLIO'!$C$4:$C$433,0)),"")</f>
        <v/>
      </c>
      <c r="L440" s="292" t="str">
        <f t="array" ref="L440">IFERROR(J440*INDEX('PORTIFÓLIO'!$S$4:$S$433,MATCH($C440,'PORTIFÓLIO'!$C$4:$C$433,0)),"")</f>
        <v/>
      </c>
      <c r="U440" s="79"/>
    </row>
    <row r="441" ht="15.75" customHeight="1" outlineLevel="1">
      <c r="A441" s="211"/>
      <c r="B441" s="212"/>
      <c r="C441" s="213"/>
      <c r="D441" s="214" t="str">
        <f>IFERROR(VLOOKUP($C441,'PORTIFÓLIO'!C:V,2,0),"")</f>
        <v/>
      </c>
      <c r="E441" s="211" t="str">
        <f>IFERROR(VLOOKUP($C441,'PORTIFÓLIO'!C:V,3,0),"")</f>
        <v/>
      </c>
      <c r="F441" s="211" t="str">
        <f>IFERROR(VLOOKUP($C441,'PORTIFÓLIO'!C:V,4,0),"")</f>
        <v/>
      </c>
      <c r="G441" s="215" t="str">
        <f>IFERROR(VLOOKUP($C441,'PORTIFÓLIO'!C:V,5,0),"")</f>
        <v/>
      </c>
      <c r="H441" s="254" t="str">
        <f t="array" ref="H441">IFERROR(INDEX('PORTIFÓLIO'!$H$4:$H$433,MATCH($C441,'PORTIFÓLIO'!$C$4:$C$433,0)),"")</f>
        <v/>
      </c>
      <c r="I441" s="256"/>
      <c r="J441" s="218">
        <f t="shared" si="49"/>
        <v>0</v>
      </c>
      <c r="K441" s="292" t="str">
        <f t="array" ref="K441">IFERROR(I441*INDEX('PORTIFÓLIO'!$S$4:$S$433,MATCH($C441,'PORTIFÓLIO'!$C$4:$C$433,0)),"")</f>
        <v/>
      </c>
      <c r="L441" s="292" t="str">
        <f t="array" ref="L441">IFERROR(J441*INDEX('PORTIFÓLIO'!$S$4:$S$433,MATCH($C441,'PORTIFÓLIO'!$C$4:$C$433,0)),"")</f>
        <v/>
      </c>
      <c r="U441" s="79"/>
    </row>
    <row r="442" ht="15.75" customHeight="1" outlineLevel="1">
      <c r="A442" s="211"/>
      <c r="B442" s="212"/>
      <c r="C442" s="213"/>
      <c r="D442" s="214" t="str">
        <f>IFERROR(VLOOKUP($C442,'PORTIFÓLIO'!C:V,2,0),"")</f>
        <v/>
      </c>
      <c r="E442" s="211" t="str">
        <f>IFERROR(VLOOKUP($C442,'PORTIFÓLIO'!C:V,3,0),"")</f>
        <v/>
      </c>
      <c r="F442" s="211" t="str">
        <f>IFERROR(VLOOKUP($C442,'PORTIFÓLIO'!C:V,4,0),"")</f>
        <v/>
      </c>
      <c r="G442" s="215" t="str">
        <f>IFERROR(VLOOKUP($C442,'PORTIFÓLIO'!C:V,5,0),"")</f>
        <v/>
      </c>
      <c r="H442" s="254" t="str">
        <f t="array" ref="H442">IFERROR(INDEX('PORTIFÓLIO'!$H$4:$H$433,MATCH($C442,'PORTIFÓLIO'!$C$4:$C$433,0)),"")</f>
        <v/>
      </c>
      <c r="I442" s="256"/>
      <c r="J442" s="218">
        <f t="shared" si="49"/>
        <v>0</v>
      </c>
      <c r="K442" s="292" t="str">
        <f t="array" ref="K442">IFERROR(I442*INDEX('PORTIFÓLIO'!$S$4:$S$433,MATCH($C442,'PORTIFÓLIO'!$C$4:$C$433,0)),"")</f>
        <v/>
      </c>
      <c r="L442" s="292" t="str">
        <f t="array" ref="L442">IFERROR(J442*INDEX('PORTIFÓLIO'!$S$4:$S$433,MATCH($C442,'PORTIFÓLIO'!$C$4:$C$433,0)),"")</f>
        <v/>
      </c>
      <c r="U442" s="79"/>
    </row>
    <row r="443" ht="15.75" customHeight="1" outlineLevel="1">
      <c r="A443" s="211"/>
      <c r="B443" s="227"/>
      <c r="C443" s="211"/>
      <c r="D443" s="214" t="str">
        <f>IFERROR(VLOOKUP($C443,'PORTIFÓLIO'!C:V,2,0),"")</f>
        <v/>
      </c>
      <c r="E443" s="211" t="str">
        <f>IFERROR(VLOOKUP($C443,'PORTIFÓLIO'!C:V,3,0),"")</f>
        <v/>
      </c>
      <c r="F443" s="211" t="str">
        <f>IFERROR(VLOOKUP($C443,'PORTIFÓLIO'!C:V,4,0),"")</f>
        <v/>
      </c>
      <c r="G443" s="215" t="str">
        <f>IFERROR(VLOOKUP($C443,'PORTIFÓLIO'!C:V,5,0),"")</f>
        <v/>
      </c>
      <c r="H443" s="254" t="str">
        <f t="array" ref="H443">IFERROR(INDEX('PORTIFÓLIO'!$H$4:$H$433,MATCH($C443,'PORTIFÓLIO'!$C$4:$C$433,0)),"")</f>
        <v/>
      </c>
      <c r="I443" s="256"/>
      <c r="J443" s="218">
        <f t="shared" si="49"/>
        <v>0</v>
      </c>
      <c r="K443" s="292" t="str">
        <f t="array" ref="K443">IFERROR(I443*INDEX('PORTIFÓLIO'!$S$4:$S$433,MATCH($C443,'PORTIFÓLIO'!$C$4:$C$433,0)),"")</f>
        <v/>
      </c>
      <c r="L443" s="292" t="str">
        <f t="array" ref="L443">IFERROR(J443*INDEX('PORTIFÓLIO'!$S$4:$S$433,MATCH($C443,'PORTIFÓLIO'!$C$4:$C$433,0)),"")</f>
        <v/>
      </c>
      <c r="U443" s="79"/>
    </row>
    <row r="444" ht="15.75" customHeight="1" outlineLevel="1">
      <c r="A444" s="211"/>
      <c r="B444" s="227"/>
      <c r="C444" s="211"/>
      <c r="D444" s="214" t="str">
        <f>IFERROR(VLOOKUP($C444,'PORTIFÓLIO'!C:V,2,0),"")</f>
        <v/>
      </c>
      <c r="E444" s="211" t="str">
        <f>IFERROR(VLOOKUP($C444,'PORTIFÓLIO'!C:V,3,0),"")</f>
        <v/>
      </c>
      <c r="F444" s="211" t="str">
        <f>IFERROR(VLOOKUP($C444,'PORTIFÓLIO'!C:V,4,0),"")</f>
        <v/>
      </c>
      <c r="G444" s="215" t="str">
        <f>IFERROR(VLOOKUP($C444,'PORTIFÓLIO'!C:V,5,0),"")</f>
        <v/>
      </c>
      <c r="H444" s="254" t="str">
        <f t="array" ref="H444">IFERROR(INDEX('PORTIFÓLIO'!$H$4:$H$433,MATCH($C444,'PORTIFÓLIO'!$C$4:$C$433,0)),"")</f>
        <v/>
      </c>
      <c r="I444" s="256"/>
      <c r="J444" s="218">
        <f t="shared" si="49"/>
        <v>0</v>
      </c>
      <c r="K444" s="292" t="str">
        <f t="array" ref="K444">IFERROR(I444*INDEX('PORTIFÓLIO'!$S$4:$S$433,MATCH($C444,'PORTIFÓLIO'!$C$4:$C$433,0)),"")</f>
        <v/>
      </c>
      <c r="L444" s="292" t="str">
        <f t="array" ref="L444">IFERROR(J444*INDEX('PORTIFÓLIO'!$S$4:$S$433,MATCH($C444,'PORTIFÓLIO'!$C$4:$C$433,0)),"")</f>
        <v/>
      </c>
      <c r="U444" s="79"/>
    </row>
    <row r="445" ht="15.75" customHeight="1" outlineLevel="1">
      <c r="A445" s="211"/>
      <c r="B445" s="227"/>
      <c r="C445" s="211"/>
      <c r="D445" s="214" t="str">
        <f>IFERROR(VLOOKUP($C445,'PORTIFÓLIO'!C:V,2,0),"")</f>
        <v/>
      </c>
      <c r="E445" s="211" t="str">
        <f>IFERROR(VLOOKUP($C445,'PORTIFÓLIO'!C:V,3,0),"")</f>
        <v/>
      </c>
      <c r="F445" s="211" t="str">
        <f>IFERROR(VLOOKUP($C445,'PORTIFÓLIO'!C:V,4,0),"")</f>
        <v/>
      </c>
      <c r="G445" s="215" t="str">
        <f>IFERROR(VLOOKUP($C445,'PORTIFÓLIO'!C:V,5,0),"")</f>
        <v/>
      </c>
      <c r="H445" s="254" t="str">
        <f t="array" ref="H445">IFERROR(INDEX('PORTIFÓLIO'!$H$4:$H$433,MATCH($C445,'PORTIFÓLIO'!$C$4:$C$433,0)),"")</f>
        <v/>
      </c>
      <c r="I445" s="256"/>
      <c r="J445" s="218">
        <f t="shared" si="49"/>
        <v>0</v>
      </c>
      <c r="K445" s="292" t="str">
        <f t="array" ref="K445">IFERROR(I445*INDEX('PORTIFÓLIO'!$S$4:$S$433,MATCH($C445,'PORTIFÓLIO'!$C$4:$C$433,0)),"")</f>
        <v/>
      </c>
      <c r="L445" s="292" t="str">
        <f t="array" ref="L445">IFERROR(J445*INDEX('PORTIFÓLIO'!$S$4:$S$433,MATCH($C445,'PORTIFÓLIO'!$C$4:$C$433,0)),"")</f>
        <v/>
      </c>
      <c r="U445" s="79"/>
    </row>
    <row r="446" ht="15.75" customHeight="1" outlineLevel="1">
      <c r="A446" s="211"/>
      <c r="B446" s="227"/>
      <c r="C446" s="211"/>
      <c r="D446" s="214" t="str">
        <f>IFERROR(VLOOKUP($C446,'PORTIFÓLIO'!C:V,2,0),"")</f>
        <v/>
      </c>
      <c r="E446" s="211" t="str">
        <f>IFERROR(VLOOKUP($C446,'PORTIFÓLIO'!C:V,3,0),"")</f>
        <v/>
      </c>
      <c r="F446" s="211" t="str">
        <f>IFERROR(VLOOKUP($C446,'PORTIFÓLIO'!C:V,4,0),"")</f>
        <v/>
      </c>
      <c r="G446" s="215" t="str">
        <f>IFERROR(VLOOKUP($C446,'PORTIFÓLIO'!C:V,5,0),"")</f>
        <v/>
      </c>
      <c r="H446" s="254" t="str">
        <f t="array" ref="H446">IFERROR(INDEX('PORTIFÓLIO'!$H$4:$H$433,MATCH($C446,'PORTIFÓLIO'!$C$4:$C$433,0)),"")</f>
        <v/>
      </c>
      <c r="I446" s="256"/>
      <c r="J446" s="218">
        <f t="shared" si="49"/>
        <v>0</v>
      </c>
      <c r="K446" s="292" t="str">
        <f t="array" ref="K446">IFERROR(I446*INDEX('PORTIFÓLIO'!$S$4:$S$433,MATCH($C446,'PORTIFÓLIO'!$C$4:$C$433,0)),"")</f>
        <v/>
      </c>
      <c r="L446" s="292" t="str">
        <f t="array" ref="L446">IFERROR(J446*INDEX('PORTIFÓLIO'!$S$4:$S$433,MATCH($C446,'PORTIFÓLIO'!$C$4:$C$433,0)),"")</f>
        <v/>
      </c>
      <c r="U446" s="79"/>
    </row>
    <row r="447" ht="15.75" customHeight="1" outlineLevel="1">
      <c r="A447" s="211"/>
      <c r="B447" s="227"/>
      <c r="C447" s="211"/>
      <c r="D447" s="214" t="str">
        <f>IFERROR(VLOOKUP($C447,'PORTIFÓLIO'!C:V,2,0),"")</f>
        <v/>
      </c>
      <c r="E447" s="211" t="str">
        <f>IFERROR(VLOOKUP($C447,'PORTIFÓLIO'!C:V,3,0),"")</f>
        <v/>
      </c>
      <c r="F447" s="211" t="str">
        <f>IFERROR(VLOOKUP($C447,'PORTIFÓLIO'!C:V,4,0),"")</f>
        <v/>
      </c>
      <c r="G447" s="215" t="str">
        <f>IFERROR(VLOOKUP($C447,'PORTIFÓLIO'!C:V,5,0),"")</f>
        <v/>
      </c>
      <c r="H447" s="254" t="str">
        <f t="array" ref="H447">IFERROR(INDEX('PORTIFÓLIO'!$H$4:$H$433,MATCH($C447,'PORTIFÓLIO'!$C$4:$C$433,0)),"")</f>
        <v/>
      </c>
      <c r="I447" s="256"/>
      <c r="J447" s="218">
        <f t="shared" si="49"/>
        <v>0</v>
      </c>
      <c r="K447" s="292" t="str">
        <f t="array" ref="K447">IFERROR(I447*INDEX('PORTIFÓLIO'!$S$4:$S$433,MATCH($C447,'PORTIFÓLIO'!$C$4:$C$433,0)),"")</f>
        <v/>
      </c>
      <c r="L447" s="292" t="str">
        <f t="array" ref="L447">IFERROR(J447*INDEX('PORTIFÓLIO'!$S$4:$S$433,MATCH($C447,'PORTIFÓLIO'!$C$4:$C$433,0)),"")</f>
        <v/>
      </c>
      <c r="U447" s="79"/>
    </row>
    <row r="448" ht="15.75" customHeight="1" outlineLevel="1">
      <c r="A448" s="211"/>
      <c r="B448" s="227"/>
      <c r="C448" s="211"/>
      <c r="D448" s="214" t="str">
        <f>IFERROR(VLOOKUP($C448,'PORTIFÓLIO'!C:V,2,0),"")</f>
        <v/>
      </c>
      <c r="E448" s="211" t="str">
        <f>IFERROR(VLOOKUP($C448,'PORTIFÓLIO'!C:V,3,0),"")</f>
        <v/>
      </c>
      <c r="F448" s="211" t="str">
        <f>IFERROR(VLOOKUP($C448,'PORTIFÓLIO'!C:V,4,0),"")</f>
        <v/>
      </c>
      <c r="G448" s="215" t="str">
        <f>IFERROR(VLOOKUP($C448,'PORTIFÓLIO'!C:V,5,0),"")</f>
        <v/>
      </c>
      <c r="H448" s="254" t="str">
        <f t="array" ref="H448">IFERROR(INDEX('PORTIFÓLIO'!$H$4:$H$433,MATCH($C448,'PORTIFÓLIO'!$C$4:$C$433,0)),"")</f>
        <v/>
      </c>
      <c r="I448" s="256"/>
      <c r="J448" s="218">
        <f t="shared" si="49"/>
        <v>0</v>
      </c>
      <c r="K448" s="292" t="str">
        <f t="array" ref="K448">IFERROR(I448*INDEX('PORTIFÓLIO'!$S$4:$S$433,MATCH($C448,'PORTIFÓLIO'!$C$4:$C$433,0)),"")</f>
        <v/>
      </c>
      <c r="L448" s="292" t="str">
        <f t="array" ref="L448">IFERROR(J448*INDEX('PORTIFÓLIO'!$S$4:$S$433,MATCH($C448,'PORTIFÓLIO'!$C$4:$C$433,0)),"")</f>
        <v/>
      </c>
      <c r="U448" s="79"/>
    </row>
    <row r="449" ht="15.75" customHeight="1" outlineLevel="1">
      <c r="A449" s="211"/>
      <c r="B449" s="227"/>
      <c r="C449" s="211"/>
      <c r="D449" s="214" t="str">
        <f>IFERROR(VLOOKUP($C449,'PORTIFÓLIO'!C:V,2,0),"")</f>
        <v/>
      </c>
      <c r="E449" s="211" t="str">
        <f>IFERROR(VLOOKUP($C449,'PORTIFÓLIO'!C:V,3,0),"")</f>
        <v/>
      </c>
      <c r="F449" s="211" t="str">
        <f>IFERROR(VLOOKUP($C449,'PORTIFÓLIO'!C:V,4,0),"")</f>
        <v/>
      </c>
      <c r="G449" s="215" t="str">
        <f>IFERROR(VLOOKUP($C449,'PORTIFÓLIO'!C:V,5,0),"")</f>
        <v/>
      </c>
      <c r="H449" s="254" t="str">
        <f t="array" ref="H449">IFERROR(INDEX('PORTIFÓLIO'!$H$4:$H$433,MATCH($C449,'PORTIFÓLIO'!$C$4:$C$433,0)),"")</f>
        <v/>
      </c>
      <c r="I449" s="256"/>
      <c r="J449" s="218">
        <f t="shared" si="49"/>
        <v>0</v>
      </c>
      <c r="K449" s="292" t="str">
        <f t="array" ref="K449">IFERROR(I449*INDEX('PORTIFÓLIO'!$S$4:$S$433,MATCH($C449,'PORTIFÓLIO'!$C$4:$C$433,0)),"")</f>
        <v/>
      </c>
      <c r="L449" s="292" t="str">
        <f t="array" ref="L449">IFERROR(J449*INDEX('PORTIFÓLIO'!$S$4:$S$433,MATCH($C449,'PORTIFÓLIO'!$C$4:$C$433,0)),"")</f>
        <v/>
      </c>
      <c r="U449" s="79"/>
    </row>
    <row r="450" ht="15.75" customHeight="1" outlineLevel="1">
      <c r="A450" s="211"/>
      <c r="B450" s="227"/>
      <c r="C450" s="211"/>
      <c r="D450" s="214" t="str">
        <f>IFERROR(VLOOKUP($C450,'PORTIFÓLIO'!C:V,2,0),"")</f>
        <v/>
      </c>
      <c r="E450" s="211" t="str">
        <f>IFERROR(VLOOKUP($C450,'PORTIFÓLIO'!C:V,3,0),"")</f>
        <v/>
      </c>
      <c r="F450" s="211" t="str">
        <f>IFERROR(VLOOKUP($C450,'PORTIFÓLIO'!C:V,4,0),"")</f>
        <v/>
      </c>
      <c r="G450" s="215" t="str">
        <f>IFERROR(VLOOKUP($C450,'PORTIFÓLIO'!C:V,5,0),"")</f>
        <v/>
      </c>
      <c r="H450" s="254" t="str">
        <f t="array" ref="H450">IFERROR(INDEX('PORTIFÓLIO'!$H$4:$H$433,MATCH($C450,'PORTIFÓLIO'!$C$4:$C$433,0)),"")</f>
        <v/>
      </c>
      <c r="I450" s="256"/>
      <c r="J450" s="218">
        <f t="shared" si="49"/>
        <v>0</v>
      </c>
      <c r="K450" s="292" t="str">
        <f t="array" ref="K450">IFERROR(I450*INDEX('PORTIFÓLIO'!$S$4:$S$433,MATCH($C450,'PORTIFÓLIO'!$C$4:$C$433,0)),"")</f>
        <v/>
      </c>
      <c r="L450" s="292" t="str">
        <f t="array" ref="L450">IFERROR(J450*INDEX('PORTIFÓLIO'!$S$4:$S$433,MATCH($C450,'PORTIFÓLIO'!$C$4:$C$433,0)),"")</f>
        <v/>
      </c>
      <c r="U450" s="79"/>
    </row>
    <row r="451" ht="15.75" customHeight="1" outlineLevel="1">
      <c r="A451" s="211"/>
      <c r="B451" s="227"/>
      <c r="C451" s="211"/>
      <c r="D451" s="214" t="str">
        <f>IFERROR(VLOOKUP($C451,'PORTIFÓLIO'!C:V,2,0),"")</f>
        <v/>
      </c>
      <c r="E451" s="211" t="str">
        <f>IFERROR(VLOOKUP($C451,'PORTIFÓLIO'!C:V,3,0),"")</f>
        <v/>
      </c>
      <c r="F451" s="211" t="str">
        <f>IFERROR(VLOOKUP($C451,'PORTIFÓLIO'!C:V,4,0),"")</f>
        <v/>
      </c>
      <c r="G451" s="215" t="str">
        <f>IFERROR(VLOOKUP($C451,'PORTIFÓLIO'!C:V,5,0),"")</f>
        <v/>
      </c>
      <c r="H451" s="254" t="str">
        <f t="array" ref="H451">IFERROR(INDEX('PORTIFÓLIO'!$H$4:$H$433,MATCH($C451,'PORTIFÓLIO'!$C$4:$C$433,0)),"")</f>
        <v/>
      </c>
      <c r="I451" s="256"/>
      <c r="J451" s="218">
        <f t="shared" si="49"/>
        <v>0</v>
      </c>
      <c r="K451" s="292" t="str">
        <f t="array" ref="K451">IFERROR(I451*INDEX('PORTIFÓLIO'!$S$4:$S$433,MATCH($C451,'PORTIFÓLIO'!$C$4:$C$433,0)),"")</f>
        <v/>
      </c>
      <c r="L451" s="292" t="str">
        <f t="array" ref="L451">IFERROR(J451*INDEX('PORTIFÓLIO'!$S$4:$S$433,MATCH($C451,'PORTIFÓLIO'!$C$4:$C$433,0)),"")</f>
        <v/>
      </c>
      <c r="U451" s="79"/>
    </row>
    <row r="452" ht="15.75" customHeight="1">
      <c r="A452" s="227"/>
      <c r="B452" s="227"/>
      <c r="C452" s="227"/>
      <c r="D452" s="227"/>
      <c r="E452" s="227"/>
      <c r="F452" s="227"/>
      <c r="G452" s="215"/>
      <c r="H452" s="227"/>
      <c r="I452" s="227"/>
      <c r="J452" s="227"/>
      <c r="K452" s="293">
        <f t="shared" ref="K452:L452" si="50">SUBTOTAL(9,K237:K427)</f>
        <v>0</v>
      </c>
      <c r="L452" s="293">
        <f t="shared" si="50"/>
        <v>0</v>
      </c>
      <c r="U452" s="79"/>
    </row>
    <row r="453" ht="15.75" customHeight="1">
      <c r="U453" s="79"/>
    </row>
    <row r="454" ht="15.75" customHeight="1">
      <c r="U454" s="79"/>
    </row>
    <row r="455" ht="15.75" customHeight="1">
      <c r="U455" s="79"/>
    </row>
    <row r="456" ht="15.75" customHeight="1">
      <c r="U456" s="79"/>
    </row>
    <row r="457" ht="15.75" customHeight="1">
      <c r="U457" s="79"/>
    </row>
    <row r="458" ht="15.75" customHeight="1">
      <c r="U458" s="79"/>
    </row>
    <row r="459" ht="15.75" customHeight="1">
      <c r="U459" s="79"/>
    </row>
    <row r="460" ht="15.75" customHeight="1">
      <c r="U460" s="79"/>
    </row>
    <row r="461" ht="15.75" customHeight="1">
      <c r="U461" s="79"/>
    </row>
    <row r="462" ht="15.75" customHeight="1">
      <c r="U462" s="79"/>
    </row>
    <row r="463" ht="15.75" customHeight="1">
      <c r="U463" s="79"/>
    </row>
    <row r="464" ht="15.75" customHeight="1">
      <c r="U464" s="79"/>
    </row>
    <row r="465" ht="15.75" customHeight="1">
      <c r="U465" s="79"/>
    </row>
    <row r="466" ht="15.75" customHeight="1">
      <c r="U466" s="79"/>
    </row>
    <row r="467" ht="15.75" customHeight="1">
      <c r="U467" s="79"/>
    </row>
    <row r="468" ht="15.75" customHeight="1">
      <c r="U468" s="79"/>
    </row>
    <row r="469" ht="15.75" customHeight="1">
      <c r="U469" s="79"/>
    </row>
    <row r="470" ht="15.75" customHeight="1">
      <c r="U470" s="79"/>
    </row>
    <row r="471" ht="15.75" customHeight="1">
      <c r="U471" s="79"/>
    </row>
    <row r="472" ht="15.75" customHeight="1">
      <c r="U472" s="79"/>
    </row>
    <row r="473" ht="15.75" customHeight="1">
      <c r="U473" s="79"/>
    </row>
    <row r="474" ht="15.75" customHeight="1">
      <c r="U474" s="79"/>
    </row>
    <row r="475" ht="15.75" customHeight="1">
      <c r="U475" s="79"/>
    </row>
    <row r="476" ht="15.75" customHeight="1">
      <c r="U476" s="79"/>
    </row>
    <row r="477" ht="15.75" customHeight="1">
      <c r="U477" s="79"/>
    </row>
    <row r="478" ht="15.75" customHeight="1">
      <c r="U478" s="79"/>
    </row>
    <row r="479" ht="15.75" customHeight="1">
      <c r="U479" s="79"/>
    </row>
    <row r="480" ht="15.75" customHeight="1">
      <c r="U480" s="79"/>
    </row>
    <row r="481" ht="15.75" customHeight="1">
      <c r="U481" s="79"/>
    </row>
    <row r="482" ht="15.75" customHeight="1">
      <c r="U482" s="79"/>
    </row>
    <row r="483" ht="15.75" customHeight="1">
      <c r="U483" s="79"/>
    </row>
    <row r="484" ht="15.75" customHeight="1">
      <c r="U484" s="79"/>
    </row>
    <row r="485" ht="15.75" customHeight="1">
      <c r="U485" s="79"/>
    </row>
    <row r="486" ht="15.75" customHeight="1">
      <c r="U486" s="79"/>
    </row>
    <row r="487" ht="15.75" customHeight="1">
      <c r="U487" s="79"/>
    </row>
    <row r="488" ht="15.75" customHeight="1">
      <c r="U488" s="79"/>
    </row>
    <row r="489" ht="15.75" customHeight="1">
      <c r="U489" s="79"/>
    </row>
    <row r="490" ht="15.75" customHeight="1">
      <c r="U490" s="79"/>
    </row>
    <row r="491" ht="15.75" customHeight="1">
      <c r="U491" s="79"/>
    </row>
    <row r="492" ht="15.75" customHeight="1">
      <c r="U492" s="79"/>
    </row>
    <row r="493" ht="15.75" customHeight="1">
      <c r="U493" s="79"/>
    </row>
    <row r="494" ht="15.75" customHeight="1">
      <c r="U494" s="79"/>
    </row>
    <row r="495" ht="15.75" customHeight="1">
      <c r="U495" s="79"/>
    </row>
    <row r="496" ht="15.75" customHeight="1">
      <c r="U496" s="79"/>
    </row>
    <row r="497" ht="15.75" customHeight="1">
      <c r="U497" s="79"/>
    </row>
    <row r="498" ht="15.75" customHeight="1">
      <c r="U498" s="79"/>
    </row>
    <row r="499" ht="15.75" customHeight="1">
      <c r="U499" s="79"/>
    </row>
    <row r="500" ht="15.75" customHeight="1">
      <c r="U500" s="79"/>
    </row>
    <row r="501" ht="15.75" customHeight="1">
      <c r="U501" s="79"/>
    </row>
    <row r="502" ht="15.75" customHeight="1">
      <c r="U502" s="79"/>
    </row>
    <row r="503" ht="15.75" customHeight="1">
      <c r="U503" s="79"/>
    </row>
    <row r="504" ht="15.75" customHeight="1">
      <c r="U504" s="79"/>
    </row>
    <row r="505" ht="15.75" customHeight="1">
      <c r="U505" s="79"/>
    </row>
    <row r="506" ht="15.75" customHeight="1">
      <c r="U506" s="79"/>
    </row>
    <row r="507" ht="15.75" customHeight="1">
      <c r="U507" s="79"/>
    </row>
    <row r="508" ht="15.75" customHeight="1">
      <c r="U508" s="79"/>
    </row>
    <row r="509" ht="15.75" customHeight="1">
      <c r="U509" s="79"/>
    </row>
    <row r="510" ht="15.75" customHeight="1">
      <c r="U510" s="79"/>
    </row>
    <row r="511" ht="15.75" customHeight="1">
      <c r="U511" s="79"/>
    </row>
    <row r="512" ht="15.75" customHeight="1">
      <c r="U512" s="79"/>
    </row>
    <row r="513" ht="15.75" customHeight="1">
      <c r="U513" s="79"/>
    </row>
    <row r="514" ht="15.75" customHeight="1">
      <c r="U514" s="79"/>
    </row>
    <row r="515" ht="15.75" customHeight="1">
      <c r="U515" s="79"/>
    </row>
    <row r="516" ht="15.75" customHeight="1">
      <c r="U516" s="79"/>
    </row>
    <row r="517" ht="15.75" customHeight="1">
      <c r="U517" s="79"/>
    </row>
    <row r="518" ht="15.75" customHeight="1">
      <c r="U518" s="79"/>
    </row>
    <row r="519" ht="15.75" customHeight="1">
      <c r="U519" s="79"/>
    </row>
    <row r="520" ht="15.75" customHeight="1">
      <c r="U520" s="79"/>
    </row>
    <row r="521" ht="15.75" customHeight="1">
      <c r="U521" s="79"/>
    </row>
    <row r="522" ht="15.75" customHeight="1">
      <c r="U522" s="79"/>
    </row>
    <row r="523" ht="15.75" customHeight="1">
      <c r="U523" s="79"/>
    </row>
    <row r="524" ht="15.75" customHeight="1">
      <c r="U524" s="79"/>
    </row>
    <row r="525" ht="15.75" customHeight="1">
      <c r="U525" s="79"/>
    </row>
    <row r="526" ht="15.75" customHeight="1">
      <c r="U526" s="79"/>
    </row>
    <row r="527" ht="15.75" customHeight="1">
      <c r="U527" s="79"/>
    </row>
    <row r="528" ht="15.75" customHeight="1">
      <c r="U528" s="79"/>
    </row>
    <row r="529" ht="15.75" customHeight="1">
      <c r="U529" s="79"/>
    </row>
    <row r="530" ht="15.75" customHeight="1">
      <c r="U530" s="79"/>
    </row>
    <row r="531" ht="15.75" customHeight="1">
      <c r="U531" s="79"/>
    </row>
    <row r="532" ht="15.75" customHeight="1">
      <c r="U532" s="79"/>
    </row>
    <row r="533" ht="15.75" customHeight="1">
      <c r="U533" s="79"/>
    </row>
    <row r="534" ht="15.75" customHeight="1">
      <c r="U534" s="79"/>
    </row>
    <row r="535" ht="15.75" customHeight="1">
      <c r="U535" s="79"/>
    </row>
    <row r="536" ht="15.75" customHeight="1">
      <c r="U536" s="79"/>
    </row>
    <row r="537" ht="15.75" customHeight="1">
      <c r="U537" s="79"/>
    </row>
    <row r="538" ht="15.75" customHeight="1">
      <c r="U538" s="79"/>
    </row>
    <row r="539" ht="15.75" customHeight="1">
      <c r="U539" s="79"/>
    </row>
    <row r="540" ht="15.75" customHeight="1">
      <c r="U540" s="79"/>
    </row>
    <row r="541" ht="15.75" customHeight="1">
      <c r="U541" s="79"/>
    </row>
    <row r="542" ht="15.75" customHeight="1">
      <c r="U542" s="79"/>
    </row>
    <row r="543" ht="15.75" customHeight="1">
      <c r="U543" s="79"/>
    </row>
    <row r="544" ht="15.75" customHeight="1">
      <c r="U544" s="79"/>
    </row>
    <row r="545" ht="15.75" customHeight="1">
      <c r="U545" s="79"/>
    </row>
    <row r="546" ht="15.75" customHeight="1">
      <c r="U546" s="79"/>
    </row>
    <row r="547" ht="15.75" customHeight="1">
      <c r="U547" s="79"/>
    </row>
    <row r="548" ht="15.75" customHeight="1">
      <c r="U548" s="79"/>
    </row>
    <row r="549" ht="15.75" customHeight="1">
      <c r="U549" s="79"/>
    </row>
    <row r="550" ht="15.75" customHeight="1">
      <c r="U550" s="79"/>
    </row>
    <row r="551" ht="15.75" customHeight="1">
      <c r="U551" s="79"/>
    </row>
    <row r="552" ht="15.75" customHeight="1">
      <c r="U552" s="79"/>
    </row>
    <row r="553" ht="15.75" customHeight="1">
      <c r="U553" s="79"/>
    </row>
    <row r="554" ht="15.75" customHeight="1">
      <c r="U554" s="79"/>
    </row>
    <row r="555" ht="15.75" customHeight="1">
      <c r="U555" s="79"/>
    </row>
    <row r="556" ht="15.75" customHeight="1">
      <c r="U556" s="79"/>
    </row>
    <row r="557" ht="15.75" customHeight="1">
      <c r="U557" s="79"/>
    </row>
    <row r="558" ht="15.75" customHeight="1">
      <c r="U558" s="79"/>
    </row>
    <row r="559" ht="15.75" customHeight="1">
      <c r="U559" s="79"/>
    </row>
    <row r="560" ht="15.75" customHeight="1">
      <c r="U560" s="79"/>
    </row>
    <row r="561" ht="15.75" customHeight="1">
      <c r="U561" s="79"/>
    </row>
    <row r="562" ht="15.75" customHeight="1">
      <c r="U562" s="79"/>
    </row>
    <row r="563" ht="15.75" customHeight="1">
      <c r="U563" s="79"/>
    </row>
    <row r="564" ht="15.75" customHeight="1">
      <c r="U564" s="79"/>
    </row>
    <row r="565" ht="15.75" customHeight="1">
      <c r="U565" s="79"/>
    </row>
    <row r="566" ht="15.75" customHeight="1">
      <c r="U566" s="79"/>
    </row>
    <row r="567" ht="15.75" customHeight="1">
      <c r="U567" s="79"/>
    </row>
    <row r="568" ht="15.75" customHeight="1">
      <c r="U568" s="79"/>
    </row>
    <row r="569" ht="15.75" customHeight="1">
      <c r="U569" s="79"/>
    </row>
    <row r="570" ht="15.75" customHeight="1">
      <c r="U570" s="79"/>
    </row>
    <row r="571" ht="15.75" customHeight="1">
      <c r="U571" s="79"/>
    </row>
    <row r="572" ht="15.75" customHeight="1">
      <c r="U572" s="79"/>
    </row>
    <row r="573" ht="15.75" customHeight="1">
      <c r="U573" s="79"/>
    </row>
    <row r="574" ht="15.75" customHeight="1">
      <c r="U574" s="79"/>
    </row>
    <row r="575" ht="15.75" customHeight="1">
      <c r="U575" s="79"/>
    </row>
    <row r="576" ht="15.75" customHeight="1">
      <c r="U576" s="79"/>
    </row>
    <row r="577" ht="15.75" customHeight="1">
      <c r="U577" s="79"/>
    </row>
    <row r="578" ht="15.75" customHeight="1">
      <c r="U578" s="79"/>
    </row>
    <row r="579" ht="15.75" customHeight="1">
      <c r="U579" s="79"/>
    </row>
    <row r="580" ht="15.75" customHeight="1">
      <c r="U580" s="79"/>
    </row>
    <row r="581" ht="15.75" customHeight="1">
      <c r="U581" s="79"/>
    </row>
    <row r="582" ht="15.75" customHeight="1">
      <c r="U582" s="79"/>
    </row>
    <row r="583" ht="15.75" customHeight="1">
      <c r="U583" s="79"/>
    </row>
    <row r="584" ht="15.75" customHeight="1">
      <c r="U584" s="79"/>
    </row>
    <row r="585" ht="15.75" customHeight="1">
      <c r="U585" s="79"/>
    </row>
    <row r="586" ht="15.75" customHeight="1">
      <c r="U586" s="79"/>
    </row>
    <row r="587" ht="15.75" customHeight="1">
      <c r="U587" s="79"/>
    </row>
    <row r="588" ht="15.75" customHeight="1">
      <c r="U588" s="79"/>
    </row>
    <row r="589" ht="15.75" customHeight="1">
      <c r="U589" s="79"/>
    </row>
    <row r="590" ht="15.75" customHeight="1">
      <c r="U590" s="79"/>
    </row>
    <row r="591" ht="15.75" customHeight="1">
      <c r="U591" s="79"/>
    </row>
    <row r="592" ht="15.75" customHeight="1">
      <c r="U592" s="79"/>
    </row>
    <row r="593" ht="15.75" customHeight="1">
      <c r="U593" s="79"/>
    </row>
    <row r="594" ht="15.75" customHeight="1">
      <c r="U594" s="79"/>
    </row>
    <row r="595" ht="15.75" customHeight="1">
      <c r="U595" s="79"/>
    </row>
    <row r="596" ht="15.75" customHeight="1">
      <c r="U596" s="79"/>
    </row>
    <row r="597" ht="15.75" customHeight="1">
      <c r="U597" s="79"/>
    </row>
    <row r="598" ht="15.75" customHeight="1">
      <c r="U598" s="79"/>
    </row>
    <row r="599" ht="15.75" customHeight="1">
      <c r="U599" s="79"/>
    </row>
    <row r="600" ht="15.75" customHeight="1">
      <c r="U600" s="79"/>
    </row>
    <row r="601" ht="15.75" customHeight="1">
      <c r="U601" s="79"/>
    </row>
    <row r="602" ht="15.75" customHeight="1">
      <c r="U602" s="79"/>
    </row>
    <row r="603" ht="15.75" customHeight="1">
      <c r="U603" s="79"/>
    </row>
    <row r="604" ht="15.75" customHeight="1">
      <c r="U604" s="79"/>
    </row>
    <row r="605" ht="15.75" customHeight="1">
      <c r="U605" s="79"/>
    </row>
    <row r="606" ht="15.75" customHeight="1">
      <c r="U606" s="79"/>
    </row>
    <row r="607" ht="15.75" customHeight="1">
      <c r="U607" s="79"/>
    </row>
    <row r="608" ht="15.75" customHeight="1">
      <c r="U608" s="79"/>
    </row>
    <row r="609" ht="15.75" customHeight="1">
      <c r="U609" s="79"/>
    </row>
    <row r="610" ht="15.75" customHeight="1">
      <c r="U610" s="79"/>
    </row>
    <row r="611" ht="15.75" customHeight="1">
      <c r="U611" s="79"/>
    </row>
    <row r="612" ht="15.75" customHeight="1">
      <c r="U612" s="79"/>
    </row>
    <row r="613" ht="15.75" customHeight="1">
      <c r="U613" s="79"/>
    </row>
    <row r="614" ht="15.75" customHeight="1">
      <c r="U614" s="79"/>
    </row>
    <row r="615" ht="15.75" customHeight="1">
      <c r="U615" s="79"/>
    </row>
    <row r="616" ht="15.75" customHeight="1">
      <c r="U616" s="79"/>
    </row>
    <row r="617" ht="15.75" customHeight="1">
      <c r="U617" s="79"/>
    </row>
    <row r="618" ht="15.75" customHeight="1">
      <c r="U618" s="79"/>
    </row>
    <row r="619" ht="15.75" customHeight="1">
      <c r="U619" s="79"/>
    </row>
    <row r="620" ht="15.75" customHeight="1">
      <c r="U620" s="79"/>
    </row>
    <row r="621" ht="15.75" customHeight="1">
      <c r="U621" s="79"/>
    </row>
    <row r="622" ht="15.75" customHeight="1">
      <c r="U622" s="79"/>
    </row>
    <row r="623" ht="15.75" customHeight="1">
      <c r="U623" s="79"/>
    </row>
    <row r="624" ht="15.75" customHeight="1">
      <c r="U624" s="79"/>
    </row>
    <row r="625" ht="15.75" customHeight="1">
      <c r="U625" s="79"/>
    </row>
    <row r="626" ht="15.75" customHeight="1">
      <c r="U626" s="79"/>
    </row>
    <row r="627" ht="15.75" customHeight="1">
      <c r="U627" s="79"/>
    </row>
    <row r="628" ht="15.75" customHeight="1">
      <c r="U628" s="79"/>
    </row>
    <row r="629" ht="15.75" customHeight="1">
      <c r="U629" s="79"/>
    </row>
    <row r="630" ht="15.75" customHeight="1">
      <c r="U630" s="79"/>
    </row>
    <row r="631" ht="15.75" customHeight="1">
      <c r="U631" s="79"/>
    </row>
    <row r="632" ht="15.75" customHeight="1">
      <c r="U632" s="79"/>
    </row>
    <row r="633" ht="15.75" customHeight="1">
      <c r="U633" s="79"/>
    </row>
    <row r="634" ht="15.75" customHeight="1">
      <c r="U634" s="79"/>
    </row>
    <row r="635" ht="15.75" customHeight="1">
      <c r="U635" s="79"/>
    </row>
    <row r="636" ht="15.75" customHeight="1">
      <c r="U636" s="79"/>
    </row>
    <row r="637" ht="15.75" customHeight="1">
      <c r="U637" s="79"/>
    </row>
    <row r="638" ht="15.75" customHeight="1">
      <c r="U638" s="79"/>
    </row>
    <row r="639" ht="15.75" customHeight="1">
      <c r="U639" s="79"/>
    </row>
    <row r="640" ht="15.75" customHeight="1">
      <c r="U640" s="79"/>
    </row>
    <row r="641" ht="15.75" customHeight="1">
      <c r="U641" s="79"/>
    </row>
    <row r="642" ht="15.75" customHeight="1">
      <c r="U642" s="79"/>
    </row>
    <row r="643" ht="15.75" customHeight="1">
      <c r="U643" s="79"/>
    </row>
    <row r="644" ht="15.75" customHeight="1">
      <c r="U644" s="79"/>
    </row>
    <row r="645" ht="15.75" customHeight="1">
      <c r="U645" s="79"/>
    </row>
    <row r="646" ht="15.75" customHeight="1">
      <c r="U646" s="79"/>
    </row>
    <row r="647" ht="15.75" customHeight="1">
      <c r="U647" s="79"/>
    </row>
    <row r="648" ht="15.75" customHeight="1">
      <c r="U648" s="79"/>
    </row>
    <row r="649" ht="15.75" customHeight="1">
      <c r="U649" s="79"/>
    </row>
    <row r="650" ht="15.75" customHeight="1">
      <c r="U650" s="79"/>
    </row>
    <row r="651" ht="15.75" customHeight="1">
      <c r="U651" s="79"/>
    </row>
    <row r="652" ht="15.75" customHeight="1">
      <c r="U652" s="79"/>
    </row>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K10:L224 K237:L451">
    <cfRule type="cellIs" dxfId="9" priority="1" operator="equal">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2">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3">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4">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5">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6">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7">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8">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9">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0">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1">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2">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3">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4">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5">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6">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7">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8">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9">
      <colorScale>
        <cfvo type="min"/>
        <cfvo type="percentile" val="50"/>
        <cfvo type="max"/>
        <color rgb="FF63BE7B"/>
        <color rgb="FFFCFCFF"/>
        <color rgb="FFF8696B"/>
      </colorScale>
    </cfRule>
  </conditionalFormatting>
  <conditionalFormatting sqref="A64:A67 A82:A85 A98:A101 A115:A118 A132:A135 A149:A152 A166:A169 A183:A186 A201:A204 A290:A294 A309:A312 A325:A328 A342:A345 A359:A362 A376:A379 A393:A396 A410:A413 A428:A431">
    <cfRule type="colorScale" priority="20">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1">
      <colorScale>
        <cfvo type="min"/>
        <cfvo type="percentile" val="50"/>
        <cfvo type="max"/>
        <color rgb="FF63BE7B"/>
        <color rgb="FFFCFCFF"/>
        <color rgb="FFF8696B"/>
      </colorScale>
    </cfRule>
  </conditionalFormatting>
  <conditionalFormatting sqref="A67:A68 A86 A102 A119 A136 A153 A170 A187 A205 A294:A295 A313 A329 A346 A363 A380 A397 A414 A432">
    <cfRule type="colorScale" priority="22">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3">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4">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5">
      <colorScale>
        <cfvo type="min"/>
        <cfvo type="percentile" val="50"/>
        <cfvo type="max"/>
        <color rgb="FF63BE7B"/>
        <color rgb="FFFCFCFF"/>
        <color rgb="FFF8696B"/>
      </colorScale>
    </cfRule>
  </conditionalFormatting>
  <conditionalFormatting sqref="A82:A86 A98:A102 A115:A119 A132:A136 A149:A153 A166:A170 A183:A187 A201:A205 A290 A309:A313 A325:A329 A342:A346 A359:A363 A376:A380 A393:A397 A410:A414 A428:A432">
    <cfRule type="colorScale" priority="26">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7">
      <colorScale>
        <cfvo type="min"/>
        <cfvo type="percentile" val="50"/>
        <cfvo type="max"/>
        <color rgb="FF63BE7B"/>
        <color rgb="FFFCFCFF"/>
        <color rgb="FFF8696B"/>
      </colorScale>
    </cfRule>
  </conditionalFormatting>
  <conditionalFormatting sqref="A87 A103 A120 A137 A154 A171 A188 A206 A314 A330 A347 A364 A381 A398 A415 A433">
    <cfRule type="colorScale" priority="28">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9">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0">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1">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2">
      <colorScale>
        <cfvo type="min"/>
        <cfvo type="percentile" val="50"/>
        <cfvo type="max"/>
        <color rgb="FF63BE7B"/>
        <color rgb="FFFCFCFF"/>
        <color rgb="FFF8696B"/>
      </colorScale>
    </cfRule>
  </conditionalFormatting>
  <conditionalFormatting sqref="A81:A84 A97:A100 A114:A117 A131:A134 A148:A151 A165:A168 A182:A185 A200:A203 A308:A311 A324:A327 A341:A344 A358:A361 A375:A378 A392:A395 A409:A412 A427:A430">
    <cfRule type="colorScale" priority="33">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4">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5">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6">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7">
      <colorScale>
        <cfvo type="min"/>
        <cfvo type="percentile" val="50"/>
        <cfvo type="max"/>
        <color rgb="FF63BE7B"/>
        <color rgb="FFFCFCFF"/>
        <color rgb="FFF8696B"/>
      </colorScale>
    </cfRule>
  </conditionalFormatting>
  <conditionalFormatting sqref="A82:A84 A98:A100 A115:A117 A132:A134 A149:A151 A166:A168 A183:A185 A201:A203 A309:A311 A325:A327 A342:A344 A359:A361 A376:A378 A393:A395 A410:A412 A428:A430">
    <cfRule type="colorScale" priority="38">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9">
      <colorScale>
        <cfvo type="min"/>
        <cfvo type="percentile" val="50"/>
        <cfvo type="max"/>
        <color rgb="FF63BE7B"/>
        <color rgb="FFFCFCFF"/>
        <color rgb="FFF8696B"/>
      </colorScale>
    </cfRule>
  </conditionalFormatting>
  <conditionalFormatting sqref="A85 A101 A118 A135 A152 A169 A186 A204 A312 A328 A345 A362 A379 A396 A413 A431">
    <cfRule type="colorScale" priority="40">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1">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42">
      <colorScale>
        <cfvo type="min"/>
        <cfvo type="percentile" val="50"/>
        <cfvo type="max"/>
        <color rgb="FF63BE7B"/>
        <color rgb="FFFFEB84"/>
        <color rgb="FFF8696B"/>
      </colorScale>
    </cfRule>
  </conditionalFormatting>
  <conditionalFormatting sqref="A98 A325">
    <cfRule type="colorScale" priority="43">
      <colorScale>
        <cfvo type="min"/>
        <cfvo type="percentile" val="50"/>
        <cfvo type="max"/>
        <color rgb="FF63BE7B"/>
        <color rgb="FFFCFCFF"/>
        <color rgb="FFF8696B"/>
      </colorScale>
    </cfRule>
  </conditionalFormatting>
  <conditionalFormatting sqref="A98 A325">
    <cfRule type="colorScale" priority="44">
      <colorScale>
        <cfvo type="min"/>
        <cfvo type="percentile" val="50"/>
        <cfvo type="max"/>
        <color rgb="FF63BE7B"/>
        <color rgb="FFFFEB84"/>
        <color rgb="FFF8696B"/>
      </colorScale>
    </cfRule>
  </conditionalFormatting>
  <conditionalFormatting sqref="A99 A326">
    <cfRule type="colorScale" priority="45">
      <colorScale>
        <cfvo type="min"/>
        <cfvo type="percentile" val="50"/>
        <cfvo type="max"/>
        <color rgb="FF63BE7B"/>
        <color rgb="FFFFEB84"/>
        <color rgb="FFF8696B"/>
      </colorScale>
    </cfRule>
  </conditionalFormatting>
  <conditionalFormatting sqref="A100:A104 A327:A331">
    <cfRule type="colorScale" priority="46">
      <colorScale>
        <cfvo type="min"/>
        <cfvo type="percentile" val="50"/>
        <cfvo type="max"/>
        <color rgb="FF63BE7B"/>
        <color rgb="FFFFEB84"/>
        <color rgb="FFF8696B"/>
      </colorScale>
    </cfRule>
  </conditionalFormatting>
  <conditionalFormatting sqref="A115 A342">
    <cfRule type="colorScale" priority="47">
      <colorScale>
        <cfvo type="min"/>
        <cfvo type="percentile" val="50"/>
        <cfvo type="max"/>
        <color rgb="FF63BE7B"/>
        <color rgb="FFFCFCFF"/>
        <color rgb="FFF8696B"/>
      </colorScale>
    </cfRule>
  </conditionalFormatting>
  <conditionalFormatting sqref="A115 A342">
    <cfRule type="colorScale" priority="48">
      <colorScale>
        <cfvo type="min"/>
        <cfvo type="percentile" val="50"/>
        <cfvo type="max"/>
        <color rgb="FF63BE7B"/>
        <color rgb="FFFFEB84"/>
        <color rgb="FFF8696B"/>
      </colorScale>
    </cfRule>
  </conditionalFormatting>
  <conditionalFormatting sqref="A116:A129 A343:A356">
    <cfRule type="colorScale" priority="49">
      <colorScale>
        <cfvo type="min"/>
        <cfvo type="percentile" val="50"/>
        <cfvo type="max"/>
        <color rgb="FF63BE7B"/>
        <color rgb="FFFFEB84"/>
        <color rgb="FFF8696B"/>
      </colorScale>
    </cfRule>
  </conditionalFormatting>
  <conditionalFormatting sqref="A132:A133 A359:A360">
    <cfRule type="colorScale" priority="50">
      <colorScale>
        <cfvo type="min"/>
        <cfvo type="percentile" val="50"/>
        <cfvo type="max"/>
        <color rgb="FF63BE7B"/>
        <color rgb="FFFFEB84"/>
        <color rgb="FFF8696B"/>
      </colorScale>
    </cfRule>
  </conditionalFormatting>
  <conditionalFormatting sqref="A149:A163 A376:A390">
    <cfRule type="colorScale" priority="51">
      <colorScale>
        <cfvo type="min"/>
        <cfvo type="percentile" val="50"/>
        <cfvo type="max"/>
        <color rgb="FF63BE7B"/>
        <color rgb="FFFFEB84"/>
        <color rgb="FFF8696B"/>
      </colorScale>
    </cfRule>
  </conditionalFormatting>
  <conditionalFormatting sqref="A166:A180 A393:A407">
    <cfRule type="colorScale" priority="52">
      <colorScale>
        <cfvo type="min"/>
        <cfvo type="percentile" val="50"/>
        <cfvo type="max"/>
        <color rgb="FF63BE7B"/>
        <color rgb="FFFFEB84"/>
        <color rgb="FFF8696B"/>
      </colorScale>
    </cfRule>
  </conditionalFormatting>
  <conditionalFormatting sqref="A183:A185 A410:A412">
    <cfRule type="colorScale" priority="53">
      <colorScale>
        <cfvo type="min"/>
        <cfvo type="percentile" val="50"/>
        <cfvo type="max"/>
        <color rgb="FF63BE7B"/>
        <color rgb="FFFFEB84"/>
        <color rgb="FFF8696B"/>
      </colorScale>
    </cfRule>
  </conditionalFormatting>
  <conditionalFormatting sqref="A201:A203 A428:A430">
    <cfRule type="colorScale" priority="54">
      <colorScale>
        <cfvo type="min"/>
        <cfvo type="percentile" val="50"/>
        <cfvo type="max"/>
        <color rgb="FF63BE7B"/>
        <color rgb="FFFFEB84"/>
        <color rgb="FFF8696B"/>
      </colorScale>
    </cfRule>
  </conditionalFormatting>
  <conditionalFormatting sqref="A208:A210 A435:A437">
    <cfRule type="colorScale" priority="55">
      <colorScale>
        <cfvo type="min"/>
        <cfvo type="percentile" val="50"/>
        <cfvo type="max"/>
        <color rgb="FF63BE7B"/>
        <color rgb="FFFFEB84"/>
        <color rgb="FFF8696B"/>
      </colorScale>
    </cfRule>
  </conditionalFormatting>
  <conditionalFormatting sqref="A211:A224 A438:A451">
    <cfRule type="colorScale" priority="56">
      <colorScale>
        <cfvo type="min"/>
        <cfvo type="percentile" val="50"/>
        <cfvo type="max"/>
        <color rgb="FF63BE7B"/>
        <color rgb="FFFFEB84"/>
        <color rgb="FFF8696B"/>
      </colorScale>
    </cfRule>
  </conditionalFormatting>
  <conditionalFormatting sqref="J10:L224 J237:L451">
    <cfRule type="cellIs" dxfId="8" priority="57" operator="equal">
      <formula>0</formula>
    </cfRule>
  </conditionalFormatting>
  <conditionalFormatting sqref="B234">
    <cfRule type="notContainsBlanks" dxfId="10" priority="58">
      <formula>LEN(TRIM(B234))&gt;0</formula>
    </cfRule>
  </conditionalFormatting>
  <dataValidations>
    <dataValidation type="list" allowBlank="1" sqref="C12:C14 C87 C137 C152 C154 C169 C171 C204 C206 C241 C243 C256 C258 C275 C277 C294 C296 C312 C314 C328 C330 C345 C347 C362 C364 C379 C381 C396 C398 C413 C415 C431 C433">
      <formula1>"I-ACTIVE,MAP,KCL 60%,05-37-00,10-46-00 + S,08-42-00,SSP 21,03-15-07 +14%CO,URÉIA,SULFATO DE AMÔNIO,BOROGRAN,SUPER DUO,08-40-00 - 100M,AURUS 500,00-01-00+Cu2 Mn8 Zn7"</formula1>
    </dataValidation>
    <dataValidation type="list" allowBlank="1" sqref="C183">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formula1>
    </dataValidation>
    <dataValidation type="list" allowBlank="1" sqref="C68">
      <formula1>"UTRISHA N,PRESENCE FULL,Now Lock,Now Guard,Now Force,Now Raze,Now Bolt,Now Active,Now React,Now Cover,Now Pulse,Now Sprint,Bio Az,Bio ND,Tec Catp Pro,Bio Elipso,Tec Bug,Solu Shield,Solu Strong,Solu Leaf,Bio Hidric,Bio Bokashi,Bio Oil,Carbon Pro,Essencial "&amp;"Mg,Expelir,Primafert,Reserva,Tec Catp Pro Kit On-farm,Tec Bug Kit On-farm,Solu Shield Kit On-farm,Solu Strong Kit On-farm,Solu Leaf Kit On-farm,Bio Hidric Kit On-farm,Bio Bokashi Kit On-farm,Tec White Kit On-farm,Bio Solubilize Kit On-farm,Bio Release Kit"&amp;" On-farm,Bio Raiz Plus Kit On-farm,Bio Balance Kit On-farm,SoluBio Raiz Performance Kit On-farm,Tec Isaria Kit On-farm"</formula1>
    </dataValidation>
    <dataValidation type="list" allowBlank="1" sqref="C26:C27 C45:C47 C82:C83">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type="custom" allowBlank="1" showDropDown="1" sqref="G10:L224 G237:L451">
      <formula1>AND(ISNUMBER(G10),(NOT(OR(NOT(ISERROR(DATEVALUE(G10))), AND(ISNUMBER(G10), LEFT(CELL("format", G10))="D")))))</formula1>
    </dataValidation>
    <dataValidation type="list" allowBlank="1" sqref="C28 C48 C103 C120 C135 C151">
      <formula1>"RUMBA,ASSIST,MEES,AUREO,JOINT ULTRA,ADGREEN,ENERGIC,EXTRAVON,OCHIMA"</formula1>
    </dataValidation>
    <dataValidation type="list" allowBlank="1" sqref="C67">
      <formula1>"ENDOFUSE,ENDOMAXX,RIZOLIQ LLI,PROVILAR,REVERB,ARVATICO,VERANGO PRIME,FIPRONIL NORTOX MAX,MAXIM ADVANCED,MAXIM XL,VICTRATO,SPECTRO,STANDAK TOP,CRUISER ADVANCED,PLUST,SOMBRERO,CROPSTAR,DERMACOR,OPTERASEED,AVICTA 500 FS,CRUISER 350 FS,FORTENZA 600 FS,ILEVO,P"&amp;"ERMIT STAR"</formula1>
    </dataValidation>
    <dataValidation type="list" allowBlank="1" sqref="C33 C52 C89 C105 C139 C156 C166 C173 C190 C202 C208 C245 C254 C260 C273 C279 C292 C298 C310 C316 C326 C332 C343 C349 C360 C366 C377 C383 C394 C400 C411 C417 C429 C435">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type="list" allowBlank="1" sqref="C17:C18">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formula1>
    </dataValidation>
    <dataValidation type="list" allowBlank="1" sqref="C29:C30 C49 C100:C102 C118:C119 C134">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type="list" allowBlank="1" sqref="C20:C24 C43 C62 C80 C247:C251 C270 C289 C307">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type="list" allowBlank="1" sqref="C11 C88 C138 C155 C172 C207 C244 C259 C278 C297 C315 C331 C348 C365 C382 C399 C416 C434">
      <formula1>"CALCÁRIO DOLOMITICO,GESSO AGRICOLA"</formula1>
    </dataValidation>
    <dataValidation type="list" allowBlank="1" sqref="C19">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formula1>
    </dataValidation>
    <dataValidation type="list" allowBlank="1" sqref="C64 C86 C136 C153 C170 C205 C242 C257 C272 C276 C291 C295 C309 C313 C325 C329 C342 C346 C359 C363 C376 C380 C393 C397 C410 C414 C432">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type="list" allowBlank="1" sqref="C31 C72">
      <formula1>"RADIFARM,MEGAFOL,OCTABORATO,BOP,METAL NUTRE,MONIC,AP MAGNÉSIO,GRANO KMG,AP MANGANÊS,AMINOS Mn,MICROBOX,ACRESECENT ALGA,RAIZ F,ACRESCENTE SOLUS F,SALUT,MATRIZ D,BRAVERO,Glyfort,Fergsum,Spander,Halattus,Sallvare Complex,Zinctaus Complex,Emezine Complex,Bora"&amp;"tus Complex,Magmill Complex,Brave K,Brave Max Up,MAX RAIZ,Polyamine,Sulfato de Magnésio,Map Purificado,MANGAN 10,NHT ZINCO,KELLUS CUPPER,MOLIBIDENIO 16,ZINCO 10,Potenza NiCoMo"</formula1>
    </dataValidation>
    <dataValidation type="list" allowBlank="1" sqref="C85 C167">
      <formula1>"RUMBA,ASSIST,MEES,AUREO EC,JOINT ULTRA,ENERGIC,EXTRAVON,OCHIMA,STRIDES"</formula1>
    </dataValidation>
    <dataValidation type="list" allowBlank="1" sqref="C84 C98 C104 C115 C117 C132:C133 C149:C150">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type="list" allowBlank="1" sqref="C69:C71">
      <formula1>"UTRISHA N,PRESENCE FULL,Now Lock,Now Guard,Now Force,Now Raze,Now Bolt,Now Active,Now React,Now Cover,Now Pulse,Now Sprint,Bio Az,Bio ND,Tec Catp Pro,Bio Elipso,Tec Bug,Solu Shield,Solu Strong,Solu Leaf,Bio Hidric,Bio Bokashi,Bio Oil,Carbon Pro,Essencial "&amp;"Mg,Expelir,Potenza NiCoMo,Primafert,Reserva,Tec White,Bio Solubilize,Bio Release,Bio Raiz Plus,Bio Balance,SoluBio Raiz Performance,Tec Isaria"</formula1>
    </dataValidation>
    <dataValidation type="list" allowBlank="1" showErrorMessage="1" sqref="B10:B224 B237:B451">
      <formula1>#REF!</formula1>
    </dataValidation>
    <dataValidation type="list" allowBlank="1" sqref="C65:C66 C168 C203 C240 C255 C274 C293 C311 C327 C344 C361 C378 C395 C412 C430">
      <formula1>"SOMBRERO,STANDAK TOP,CROPSTAR,DERMACOR,PERMIT STAR,PRESENCE FULL,PLUST,CRUISER 350 FS,CRUISER ADVANCED,FORTENZA 600 FS,MAXIM ADVANCED,MAXIM XL,SPECTRO,BIOZYME,NIMAXXA,VITAVAX-THIRAM 200 SC"</formula1>
    </dataValidation>
    <dataValidation type="list" allowBlank="1" sqref="C184:C189">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formula1>
    </dataValidation>
    <dataValidation type="list" allowBlank="1" sqref="C34 C53:C54 C59 C73 C90:C91 C96 C106:C107 C112 C123:C124 C129 C140:C141 C146 C157:C158 C163 C174:C175 C180 C191:C192 C197 C209:C210 C215 C246 C253 C261:C262 C267 C280:C281 C286 C299:C300 C317:C318 C323 C333:C334 C339 C350:C351 C356 C367:C368 C373 C384:C385 C390 C401:C402 C407 C418:C419 C424 C436:C437 C442">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display="ÁREA PLANTIO" location="'ÁREA PLANTIO'!A1" ref="F1"/>
    <hyperlink display="ÁREA PLANTIO" location="'ÁREA PLANTIO'!A1" ref="F227"/>
  </hyperlinks>
  <printOptions/>
  <pageMargins bottom="0.787401575" footer="0.0" header="0.0" left="0.511811024" right="0.511811024" top="0.787401575"/>
  <pageSetup orientation="landscape"/>
  <drawing r:id="rId1"/>
  <tableParts count="2">
    <tablePart r:id="rId4"/>
    <tablePart r:id="rId5"/>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2.63" defaultRowHeight="15.0" outlineLevelRow="1"/>
  <cols>
    <col customWidth="1" min="1" max="1" width="13.88"/>
    <col customWidth="1" min="2" max="2" width="22.75"/>
    <col customWidth="1" min="3" max="3" width="33.63"/>
    <col customWidth="1" min="4" max="4" width="40.25"/>
    <col customWidth="1" min="5" max="5" width="20.13"/>
    <col customWidth="1" min="6" max="6" width="13.13"/>
    <col customWidth="1" min="7" max="7" width="13.75"/>
    <col customWidth="1" min="8" max="9" width="10.38"/>
    <col customWidth="1" min="10" max="10" width="14.0"/>
    <col customWidth="1" min="11" max="23" width="14.38"/>
  </cols>
  <sheetData>
    <row r="1" ht="15.75" customHeight="1">
      <c r="A1" s="260" t="s">
        <v>1203</v>
      </c>
      <c r="B1" s="261" t="str">
        <f>'ÁREA PLANTIO'!B19</f>
        <v>T01</v>
      </c>
      <c r="C1" s="262" t="s">
        <v>1166</v>
      </c>
      <c r="D1" s="263">
        <f>$K$225</f>
        <v>672.8503708</v>
      </c>
      <c r="E1" s="264"/>
      <c r="F1" s="265" t="s">
        <v>1167</v>
      </c>
      <c r="G1" s="266"/>
      <c r="H1" s="267"/>
      <c r="I1" s="267"/>
      <c r="J1" s="267"/>
      <c r="K1" s="266"/>
      <c r="L1" s="220"/>
      <c r="M1" s="220"/>
      <c r="N1" s="220"/>
      <c r="O1" s="220"/>
      <c r="P1" s="220"/>
      <c r="Q1" s="220"/>
      <c r="R1" s="220"/>
      <c r="S1" s="220"/>
      <c r="T1" s="220"/>
      <c r="U1" s="220"/>
      <c r="V1" s="220"/>
      <c r="W1" s="220"/>
    </row>
    <row r="2" ht="15.75" customHeight="1">
      <c r="A2" s="260" t="s">
        <v>1168</v>
      </c>
      <c r="B2" s="268">
        <f>'ÁREA PLANTIO'!E19</f>
        <v>220</v>
      </c>
      <c r="C2" s="269" t="s">
        <v>1169</v>
      </c>
      <c r="D2" s="270">
        <f>'ÁREA PLANTIO'!D19</f>
        <v>50</v>
      </c>
      <c r="E2" s="264"/>
      <c r="F2" s="264"/>
      <c r="G2" s="266"/>
      <c r="H2" s="267"/>
      <c r="I2" s="267"/>
      <c r="J2" s="267"/>
      <c r="K2" s="266"/>
      <c r="L2" s="220"/>
      <c r="M2" s="220"/>
      <c r="N2" s="220"/>
      <c r="O2" s="220"/>
      <c r="P2" s="220"/>
      <c r="Q2" s="220"/>
      <c r="R2" s="220"/>
      <c r="S2" s="220"/>
      <c r="T2" s="220"/>
      <c r="U2" s="220"/>
      <c r="V2" s="220"/>
      <c r="W2" s="220"/>
    </row>
    <row r="3" ht="15.75" customHeight="1">
      <c r="A3" s="260" t="s">
        <v>1170</v>
      </c>
      <c r="B3" s="267" t="str">
        <f>'ÁREA PLANTIO'!C19</f>
        <v>FE-BRACHIARIA-26/27</v>
      </c>
      <c r="C3" s="269" t="s">
        <v>1171</v>
      </c>
      <c r="D3" s="271">
        <f>D1/D2</f>
        <v>13.45700742</v>
      </c>
      <c r="E3" s="264"/>
      <c r="F3" s="264"/>
      <c r="G3" s="266"/>
      <c r="H3" s="267"/>
      <c r="I3" s="267"/>
      <c r="J3" s="267"/>
      <c r="K3" s="266"/>
      <c r="L3" s="220"/>
      <c r="M3" s="220"/>
      <c r="N3" s="220"/>
      <c r="O3" s="220"/>
      <c r="P3" s="220"/>
      <c r="Q3" s="220"/>
      <c r="R3" s="220"/>
      <c r="S3" s="220"/>
      <c r="T3" s="220"/>
      <c r="U3" s="220"/>
      <c r="V3" s="220"/>
      <c r="W3" s="220"/>
    </row>
    <row r="4" ht="15.75" customHeight="1">
      <c r="A4" s="272" t="s">
        <v>1172</v>
      </c>
      <c r="B4" s="273">
        <v>45606.0</v>
      </c>
      <c r="C4" s="274"/>
      <c r="D4" s="275"/>
      <c r="E4" s="276"/>
      <c r="F4" s="264"/>
      <c r="G4" s="266"/>
      <c r="H4" s="267"/>
      <c r="I4" s="267"/>
      <c r="J4" s="267"/>
      <c r="K4" s="266"/>
      <c r="L4" s="220"/>
      <c r="M4" s="220"/>
      <c r="N4" s="220"/>
      <c r="O4" s="220"/>
      <c r="P4" s="220"/>
      <c r="Q4" s="220"/>
      <c r="R4" s="220"/>
      <c r="S4" s="220"/>
      <c r="T4" s="220"/>
      <c r="U4" s="220"/>
      <c r="V4" s="220"/>
      <c r="W4" s="220"/>
    </row>
    <row r="5" ht="15.75" customHeight="1">
      <c r="E5" s="277"/>
      <c r="F5" s="264"/>
      <c r="G5" s="266"/>
      <c r="H5" s="267"/>
      <c r="I5" s="267"/>
      <c r="J5" s="267"/>
      <c r="K5" s="266"/>
      <c r="L5" s="220"/>
      <c r="M5" s="220"/>
      <c r="N5" s="220"/>
      <c r="O5" s="220"/>
      <c r="P5" s="220"/>
      <c r="Q5" s="220"/>
      <c r="R5" s="220"/>
      <c r="S5" s="220"/>
      <c r="T5" s="220"/>
      <c r="U5" s="220"/>
      <c r="V5" s="220"/>
      <c r="W5" s="220"/>
    </row>
    <row r="6" ht="15.75" customHeight="1">
      <c r="A6" s="260"/>
      <c r="B6" s="267"/>
      <c r="C6" s="264"/>
      <c r="D6" s="264"/>
      <c r="E6" s="264"/>
      <c r="F6" s="264"/>
      <c r="G6" s="266"/>
      <c r="H6" s="267"/>
      <c r="I6" s="267"/>
      <c r="J6" s="267"/>
      <c r="K6" s="266"/>
      <c r="L6" s="220"/>
      <c r="M6" s="220"/>
      <c r="N6" s="220"/>
      <c r="O6" s="220"/>
      <c r="P6" s="220"/>
      <c r="Q6" s="220"/>
      <c r="R6" s="220"/>
      <c r="S6" s="220"/>
      <c r="T6" s="220"/>
      <c r="U6" s="220"/>
      <c r="V6" s="220"/>
      <c r="W6" s="220"/>
    </row>
    <row r="7" ht="15.75" customHeight="1">
      <c r="A7" s="267"/>
      <c r="B7" s="267"/>
      <c r="C7" s="264"/>
      <c r="D7" s="264"/>
      <c r="E7" s="264"/>
      <c r="F7" s="264"/>
      <c r="G7" s="266"/>
      <c r="H7" s="267"/>
      <c r="I7" s="267"/>
      <c r="J7" s="267"/>
      <c r="K7" s="266"/>
      <c r="L7" s="220"/>
      <c r="M7" s="220"/>
      <c r="N7" s="220"/>
      <c r="O7" s="220"/>
      <c r="P7" s="220"/>
      <c r="Q7" s="220"/>
      <c r="R7" s="220"/>
      <c r="S7" s="220"/>
      <c r="T7" s="220"/>
      <c r="U7" s="220"/>
      <c r="V7" s="220"/>
      <c r="W7" s="220"/>
    </row>
    <row r="8" ht="15.75" customHeight="1">
      <c r="A8" s="267"/>
      <c r="B8" s="267"/>
      <c r="C8" s="267"/>
      <c r="D8" s="267"/>
      <c r="E8" s="264"/>
      <c r="F8" s="264"/>
      <c r="G8" s="266"/>
      <c r="H8" s="267"/>
      <c r="I8" s="267"/>
      <c r="J8" s="267"/>
      <c r="K8" s="266"/>
      <c r="L8" s="220"/>
      <c r="M8" s="220"/>
      <c r="N8" s="220"/>
      <c r="O8" s="220"/>
      <c r="P8" s="220"/>
      <c r="Q8" s="220"/>
      <c r="R8" s="220"/>
      <c r="S8" s="220"/>
      <c r="T8" s="220"/>
      <c r="U8" s="220"/>
      <c r="V8" s="220"/>
      <c r="W8" s="220"/>
    </row>
    <row r="9" ht="15.75" customHeight="1">
      <c r="A9" s="211" t="s">
        <v>1173</v>
      </c>
      <c r="B9" s="211" t="s">
        <v>1204</v>
      </c>
      <c r="C9" s="211" t="s">
        <v>1212</v>
      </c>
      <c r="D9" s="211" t="s">
        <v>1176</v>
      </c>
      <c r="E9" s="211" t="s">
        <v>1177</v>
      </c>
      <c r="F9" s="211" t="s">
        <v>1178</v>
      </c>
      <c r="G9" s="278" t="s">
        <v>1179</v>
      </c>
      <c r="H9" s="278" t="s">
        <v>1180</v>
      </c>
      <c r="I9" s="278" t="s">
        <v>1181</v>
      </c>
      <c r="J9" s="279" t="s">
        <v>1134</v>
      </c>
      <c r="K9" s="280" t="s">
        <v>1182</v>
      </c>
      <c r="L9" s="281" t="s">
        <v>339</v>
      </c>
      <c r="M9" s="220"/>
      <c r="N9" s="220"/>
      <c r="O9" s="220"/>
      <c r="P9" s="220"/>
      <c r="Q9" s="220"/>
      <c r="R9" s="220"/>
      <c r="S9" s="220"/>
      <c r="T9" s="220"/>
      <c r="U9" s="220"/>
      <c r="V9" s="220"/>
      <c r="W9" s="220"/>
    </row>
    <row r="10" ht="15.75" customHeight="1">
      <c r="A10" s="231" t="s">
        <v>1183</v>
      </c>
      <c r="B10" s="230"/>
      <c r="C10" s="231"/>
      <c r="D10" s="232" t="s">
        <v>216</v>
      </c>
      <c r="E10" s="231"/>
      <c r="F10" s="231"/>
      <c r="G10" s="233"/>
      <c r="H10" s="282"/>
      <c r="I10" s="258"/>
      <c r="J10" s="236"/>
      <c r="K10" s="237">
        <f t="shared" ref="K10:L10" si="1">SUBTOTAL(9,K11:K24)</f>
        <v>0</v>
      </c>
      <c r="L10" s="237">
        <f t="shared" si="1"/>
        <v>0</v>
      </c>
      <c r="M10" s="220"/>
      <c r="N10" s="220"/>
      <c r="O10" s="220"/>
      <c r="P10" s="220"/>
      <c r="Q10" s="220"/>
      <c r="R10" s="220"/>
      <c r="S10" s="220"/>
      <c r="T10" s="220"/>
      <c r="U10" s="220"/>
      <c r="V10" s="220"/>
      <c r="W10" s="220"/>
    </row>
    <row r="11" outlineLevel="1">
      <c r="A11" s="213"/>
      <c r="B11" s="212" t="s">
        <v>8</v>
      </c>
      <c r="C11" s="213" t="s">
        <v>397</v>
      </c>
      <c r="D11" s="214" t="str">
        <f>IFERROR(VLOOKUP($C11,'PORTIFÓLIO'!C:V,2,0),"")</f>
        <v>CaO 38%  MgO 18%</v>
      </c>
      <c r="E11" s="211" t="str">
        <f>IFERROR(VLOOKUP($C11,'PORTIFÓLIO'!C:V,3,0),"")</f>
        <v/>
      </c>
      <c r="F11" s="211" t="str">
        <f>IFERROR(VLOOKUP($C11,'PORTIFÓLIO'!C:V,4,0),"")</f>
        <v>Ton</v>
      </c>
      <c r="G11" s="215" t="str">
        <f>IFERROR(VLOOKUP($C11,'PORTIFÓLIO'!C:V,5,0),"")</f>
        <v/>
      </c>
      <c r="H11" s="254" t="str">
        <f t="array" ref="H11">IFERROR(INDEX('PORTIFÓLIO'!$H$4:$H$433,MATCH($C11,'PORTIFÓLIO'!$C$4:$C$433,0)),"")</f>
        <v/>
      </c>
      <c r="I11" s="255">
        <v>3.0</v>
      </c>
      <c r="J11" s="218">
        <f t="shared" ref="J11:J24" si="2">I11*$B$2</f>
        <v>660</v>
      </c>
      <c r="K11" s="219">
        <f t="array" ref="K11">IFERROR(I11*INDEX('PORTIFÓLIO'!$S$4:$S$433,MATCH($C11,'PORTIFÓLIO'!$C$4:$C$433,0)),"")</f>
        <v>0</v>
      </c>
      <c r="L11" s="219">
        <f t="array" ref="L11">IFERROR(J11*INDEX('PORTIFÓLIO'!$S$4:$S$433,MATCH($C11,'PORTIFÓLIO'!$C$4:$C$433,0)),"")</f>
        <v>0</v>
      </c>
      <c r="M11" s="220"/>
      <c r="N11" s="220"/>
      <c r="O11" s="220"/>
      <c r="P11" s="220"/>
      <c r="Q11" s="220"/>
      <c r="R11" s="220"/>
      <c r="S11" s="220"/>
      <c r="T11" s="220"/>
      <c r="U11" s="220" t="str">
        <f>IFERROR(__xludf.DUMMYFUNCTION("FILTER('PORTIFÓLIO'!C:C, 'PORTIFÓLIO'!B:B=B11)"),"#REF!")</f>
        <v>#REF!</v>
      </c>
      <c r="V11" s="220"/>
      <c r="W11" s="220"/>
    </row>
    <row r="12" outlineLevel="1">
      <c r="A12" s="213"/>
      <c r="B12" s="212" t="s">
        <v>7</v>
      </c>
      <c r="C12" s="213" t="s">
        <v>423</v>
      </c>
      <c r="D12" s="214" t="str">
        <f>IFERROR(VLOOKUP($C12,'PORTIFÓLIO'!C:V,2,0),"")</f>
        <v>P2O5 14%</v>
      </c>
      <c r="E12" s="211" t="str">
        <f>IFERROR(VLOOKUP($C12,'PORTIFÓLIO'!C:V,3,0),"")</f>
        <v/>
      </c>
      <c r="F12" s="211" t="str">
        <f>IFERROR(VLOOKUP($C12,'PORTIFÓLIO'!C:V,4,0),"")</f>
        <v>Ton</v>
      </c>
      <c r="G12" s="215" t="str">
        <f>IFERROR(VLOOKUP($C12,'PORTIFÓLIO'!C:V,5,0),"")</f>
        <v/>
      </c>
      <c r="H12" s="254" t="str">
        <f t="array" ref="H12">IFERROR(INDEX('PORTIFÓLIO'!$H$4:$H$433,MATCH($C12,'PORTIFÓLIO'!$C$4:$C$433,0)),"")</f>
        <v/>
      </c>
      <c r="I12" s="255">
        <v>0.8</v>
      </c>
      <c r="J12" s="218">
        <f t="shared" si="2"/>
        <v>176</v>
      </c>
      <c r="K12" s="219">
        <f t="array" ref="K12">IFERROR(I12*INDEX('PORTIFÓLIO'!$S$4:$S$433,MATCH($C12,'PORTIFÓLIO'!$C$4:$C$433,0)),"")</f>
        <v>0</v>
      </c>
      <c r="L12" s="219">
        <f t="array" ref="L12">IFERROR(J12*INDEX('PORTIFÓLIO'!$S$4:$S$433,MATCH($C12,'PORTIFÓLIO'!$C$4:$C$433,0)),"")</f>
        <v>0</v>
      </c>
      <c r="M12" s="220"/>
      <c r="N12" s="220"/>
      <c r="O12" s="220"/>
      <c r="P12" s="220"/>
      <c r="Q12" s="220"/>
      <c r="R12" s="220"/>
      <c r="S12" s="220"/>
      <c r="T12" s="220"/>
      <c r="U12" s="220" t="str">
        <f>IFERROR(__xludf.DUMMYFUNCTION("FILTER('PORTIFÓLIO'!C:C, 'PORTIFÓLIO'!B:B=B12)"),"#REF!")</f>
        <v>#REF!</v>
      </c>
      <c r="V12" s="220"/>
      <c r="W12" s="220"/>
    </row>
    <row r="13" outlineLevel="1">
      <c r="A13" s="213"/>
      <c r="B13" s="212" t="s">
        <v>7</v>
      </c>
      <c r="C13" s="213" t="s">
        <v>405</v>
      </c>
      <c r="D13" s="214" t="str">
        <f>IFERROR(VLOOKUP($C13,'PORTIFÓLIO'!C:V,2,0),"")</f>
        <v>K2O 60%</v>
      </c>
      <c r="E13" s="211" t="str">
        <f>IFERROR(VLOOKUP($C13,'PORTIFÓLIO'!C:V,3,0),"")</f>
        <v/>
      </c>
      <c r="F13" s="211" t="str">
        <f>IFERROR(VLOOKUP($C13,'PORTIFÓLIO'!C:V,4,0),"")</f>
        <v>Ton</v>
      </c>
      <c r="G13" s="215" t="str">
        <f>IFERROR(VLOOKUP($C13,'PORTIFÓLIO'!C:V,5,0),"")</f>
        <v/>
      </c>
      <c r="H13" s="254" t="str">
        <f t="array" ref="H13">IFERROR(INDEX('PORTIFÓLIO'!$H$4:$H$433,MATCH($C13,'PORTIFÓLIO'!$C$4:$C$433,0)),"")</f>
        <v/>
      </c>
      <c r="I13" s="255">
        <v>0.25</v>
      </c>
      <c r="J13" s="218">
        <f t="shared" si="2"/>
        <v>55</v>
      </c>
      <c r="K13" s="219">
        <f t="array" ref="K13">IFERROR(I13*INDEX('PORTIFÓLIO'!$S$4:$S$433,MATCH($C13,'PORTIFÓLIO'!$C$4:$C$433,0)),"")</f>
        <v>0</v>
      </c>
      <c r="L13" s="219">
        <f t="array" ref="L13">IFERROR(J13*INDEX('PORTIFÓLIO'!$S$4:$S$433,MATCH($C13,'PORTIFÓLIO'!$C$4:$C$433,0)),"")</f>
        <v>0</v>
      </c>
      <c r="M13" s="220"/>
      <c r="N13" s="220"/>
      <c r="O13" s="220"/>
      <c r="P13" s="220"/>
      <c r="Q13" s="220"/>
      <c r="R13" s="220"/>
      <c r="S13" s="220"/>
      <c r="T13" s="220"/>
      <c r="U13" s="220" t="str">
        <f>IFERROR(__xludf.DUMMYFUNCTION("FILTER('PORTIFÓLIO'!C:C, 'PORTIFÓLIO'!B:B=B13)"),"#REF!")</f>
        <v>#REF!</v>
      </c>
      <c r="V13" s="220"/>
      <c r="W13" s="220"/>
    </row>
    <row r="14" outlineLevel="1">
      <c r="A14" s="211"/>
      <c r="B14" s="212" t="s">
        <v>7</v>
      </c>
      <c r="C14" s="213" t="s">
        <v>429</v>
      </c>
      <c r="D14" s="214" t="str">
        <f>IFERROR(VLOOKUP($C14,'PORTIFÓLIO'!C:V,2,0),"")</f>
        <v>Cu 2% Mn 8% Zn 7% </v>
      </c>
      <c r="E14" s="211" t="str">
        <f>IFERROR(VLOOKUP($C14,'PORTIFÓLIO'!C:V,3,0),"")</f>
        <v/>
      </c>
      <c r="F14" s="211" t="str">
        <f>IFERROR(VLOOKUP($C14,'PORTIFÓLIO'!C:V,4,0),"")</f>
        <v>Ton</v>
      </c>
      <c r="G14" s="215" t="str">
        <f>IFERROR(VLOOKUP($C14,'PORTIFÓLIO'!C:V,5,0),"")</f>
        <v/>
      </c>
      <c r="H14" s="254" t="str">
        <f t="array" ref="H14">IFERROR(INDEX('PORTIFÓLIO'!$H$4:$H$433,MATCH($C14,'PORTIFÓLIO'!$C$4:$C$433,0)),"")</f>
        <v/>
      </c>
      <c r="I14" s="255">
        <v>0.05</v>
      </c>
      <c r="J14" s="218">
        <f t="shared" si="2"/>
        <v>11</v>
      </c>
      <c r="K14" s="219">
        <f t="array" ref="K14">IFERROR(I14*INDEX('PORTIFÓLIO'!$S$4:$S$433,MATCH($C14,'PORTIFÓLIO'!$C$4:$C$433,0)),"")</f>
        <v>0</v>
      </c>
      <c r="L14" s="219">
        <f t="array" ref="L14">IFERROR(J14*INDEX('PORTIFÓLIO'!$S$4:$S$433,MATCH($C14,'PORTIFÓLIO'!$C$4:$C$433,0)),"")</f>
        <v>0</v>
      </c>
      <c r="M14" s="220"/>
      <c r="N14" s="220"/>
      <c r="O14" s="220"/>
      <c r="P14" s="220"/>
      <c r="Q14" s="220"/>
      <c r="R14" s="220"/>
      <c r="S14" s="220"/>
      <c r="T14" s="220"/>
      <c r="U14" s="220" t="str">
        <f>IFERROR(__xludf.DUMMYFUNCTION("FILTER('PORTIFÓLIO'!C:C, 'PORTIFÓLIO'!B:B=B14)"),"#REF!")</f>
        <v>#REF!</v>
      </c>
      <c r="V14" s="220"/>
      <c r="W14" s="220"/>
    </row>
    <row r="15" outlineLevel="1">
      <c r="A15" s="211"/>
      <c r="B15" s="212" t="s">
        <v>7</v>
      </c>
      <c r="C15" s="213" t="s">
        <v>417</v>
      </c>
      <c r="D15" s="214" t="str">
        <f>IFERROR(VLOOKUP($C15,'PORTIFÓLIO'!C:V,2,0),"")</f>
        <v>N 44</v>
      </c>
      <c r="E15" s="211" t="str">
        <f>IFERROR(VLOOKUP($C15,'PORTIFÓLIO'!C:V,3,0),"")</f>
        <v/>
      </c>
      <c r="F15" s="211" t="str">
        <f>IFERROR(VLOOKUP($C15,'PORTIFÓLIO'!C:V,4,0),"")</f>
        <v>Ton</v>
      </c>
      <c r="G15" s="215" t="str">
        <f>IFERROR(VLOOKUP($C15,'PORTIFÓLIO'!C:V,5,0),"")</f>
        <v/>
      </c>
      <c r="H15" s="254" t="str">
        <f t="array" ref="H15">IFERROR(INDEX('PORTIFÓLIO'!$H$4:$H$433,MATCH($C15,'PORTIFÓLIO'!$C$4:$C$433,0)),"")</f>
        <v/>
      </c>
      <c r="I15" s="255">
        <v>0.2</v>
      </c>
      <c r="J15" s="218">
        <f t="shared" si="2"/>
        <v>44</v>
      </c>
      <c r="K15" s="219">
        <f t="array" ref="K15">IFERROR(I15*INDEX('PORTIFÓLIO'!$S$4:$S$433,MATCH($C15,'PORTIFÓLIO'!$C$4:$C$433,0)),"")</f>
        <v>0</v>
      </c>
      <c r="L15" s="219">
        <f t="array" ref="L15">IFERROR(J15*INDEX('PORTIFÓLIO'!$S$4:$S$433,MATCH($C15,'PORTIFÓLIO'!$C$4:$C$433,0)),"")</f>
        <v>0</v>
      </c>
      <c r="M15" s="220"/>
      <c r="N15" s="220"/>
      <c r="O15" s="220"/>
      <c r="P15" s="220"/>
      <c r="Q15" s="220"/>
      <c r="R15" s="220"/>
      <c r="S15" s="220"/>
      <c r="T15" s="220"/>
      <c r="U15" s="220" t="str">
        <f>IFERROR(__xludf.DUMMYFUNCTION("FILTER('PORTIFÓLIO'!C:C, 'PORTIFÓLIO'!B:B=B15)"),"#REF!")</f>
        <v>#REF!</v>
      </c>
      <c r="V15" s="220"/>
      <c r="W15" s="220"/>
    </row>
    <row r="16" outlineLevel="1">
      <c r="A16" s="211"/>
      <c r="B16" s="212" t="s">
        <v>7</v>
      </c>
      <c r="C16" s="213" t="s">
        <v>419</v>
      </c>
      <c r="D16" s="214" t="str">
        <f>IFERROR(VLOOKUP($C16,'PORTIFÓLIO'!C:V,2,0),"")</f>
        <v>N 22</v>
      </c>
      <c r="E16" s="211" t="str">
        <f>IFERROR(VLOOKUP($C16,'PORTIFÓLIO'!C:V,3,0),"")</f>
        <v/>
      </c>
      <c r="F16" s="211" t="str">
        <f>IFERROR(VLOOKUP($C16,'PORTIFÓLIO'!C:V,4,0),"")</f>
        <v>Ton</v>
      </c>
      <c r="G16" s="215" t="str">
        <f>IFERROR(VLOOKUP($C16,'PORTIFÓLIO'!C:V,5,0),"")</f>
        <v/>
      </c>
      <c r="H16" s="254" t="str">
        <f t="array" ref="H16">IFERROR(INDEX('PORTIFÓLIO'!$H$4:$H$433,MATCH($C16,'PORTIFÓLIO'!$C$4:$C$433,0)),"")</f>
        <v/>
      </c>
      <c r="I16" s="255">
        <v>0.25</v>
      </c>
      <c r="J16" s="218">
        <f t="shared" si="2"/>
        <v>55</v>
      </c>
      <c r="K16" s="219">
        <f t="array" ref="K16">IFERROR(I16*INDEX('PORTIFÓLIO'!$S$4:$S$433,MATCH($C16,'PORTIFÓLIO'!$C$4:$C$433,0)),"")</f>
        <v>0</v>
      </c>
      <c r="L16" s="219">
        <f t="array" ref="L16">IFERROR(J16*INDEX('PORTIFÓLIO'!$S$4:$S$433,MATCH($C16,'PORTIFÓLIO'!$C$4:$C$433,0)),"")</f>
        <v>0</v>
      </c>
      <c r="M16" s="220"/>
      <c r="N16" s="220"/>
      <c r="O16" s="220"/>
      <c r="P16" s="220"/>
      <c r="Q16" s="220"/>
      <c r="R16" s="220"/>
      <c r="S16" s="220"/>
      <c r="T16" s="220"/>
      <c r="U16" s="220" t="str">
        <f>IFERROR(__xludf.DUMMYFUNCTION("FILTER('PORTIFÓLIO'!C:C, 'PORTIFÓLIO'!B:B=B16)"),"#REF!")</f>
        <v>#REF!</v>
      </c>
      <c r="V16" s="220"/>
      <c r="W16" s="220"/>
    </row>
    <row r="17" outlineLevel="1">
      <c r="A17" s="211"/>
      <c r="B17" s="212"/>
      <c r="C17" s="213"/>
      <c r="D17" s="214" t="str">
        <f>IFERROR(VLOOKUP($C17,'PORTIFÓLIO'!C:V,2,0),"")</f>
        <v/>
      </c>
      <c r="E17" s="211" t="str">
        <f>IFERROR(VLOOKUP($C17,'PORTIFÓLIO'!C:V,3,0),"")</f>
        <v/>
      </c>
      <c r="F17" s="211" t="str">
        <f>IFERROR(VLOOKUP($C17,'PORTIFÓLIO'!C:V,4,0),"")</f>
        <v/>
      </c>
      <c r="G17" s="215" t="str">
        <f>IFERROR(VLOOKUP($C17,'PORTIFÓLIO'!C:V,5,0),"")</f>
        <v/>
      </c>
      <c r="H17" s="254" t="str">
        <f t="array" ref="H17">IFERROR(INDEX('PORTIFÓLIO'!$H$4:$H$433,MATCH($C17,'PORTIFÓLIO'!$C$4:$C$433,0)),"")</f>
        <v/>
      </c>
      <c r="I17" s="256"/>
      <c r="J17" s="218">
        <f t="shared" si="2"/>
        <v>0</v>
      </c>
      <c r="K17" s="219" t="str">
        <f t="array" ref="K17">IFERROR(I17*INDEX('PORTIFÓLIO'!$S$4:$S$433,MATCH($C17,'PORTIFÓLIO'!$C$4:$C$433,0)),"")</f>
        <v/>
      </c>
      <c r="L17" s="219" t="str">
        <f t="array" ref="L17">IFERROR(J17*INDEX('PORTIFÓLIO'!$S$4:$S$433,MATCH($C17,'PORTIFÓLIO'!$C$4:$C$433,0)),"")</f>
        <v/>
      </c>
      <c r="M17" s="220"/>
      <c r="N17" s="220"/>
      <c r="O17" s="220"/>
      <c r="P17" s="220"/>
      <c r="Q17" s="220"/>
      <c r="R17" s="220"/>
      <c r="S17" s="220"/>
      <c r="T17" s="220"/>
      <c r="U17" s="220" t="str">
        <f>IFERROR(__xludf.DUMMYFUNCTION("FILTER('PORTIFÓLIO'!C:C, 'PORTIFÓLIO'!B:B=B17)"),"#REF!")</f>
        <v>#REF!</v>
      </c>
      <c r="V17" s="220"/>
      <c r="W17" s="220"/>
    </row>
    <row r="18" outlineLevel="1">
      <c r="A18" s="211"/>
      <c r="B18" s="212"/>
      <c r="C18" s="213"/>
      <c r="D18" s="214" t="str">
        <f>IFERROR(VLOOKUP($C18,'PORTIFÓLIO'!C:V,2,0),"")</f>
        <v/>
      </c>
      <c r="E18" s="211" t="str">
        <f>IFERROR(VLOOKUP($C18,'PORTIFÓLIO'!C:V,3,0),"")</f>
        <v/>
      </c>
      <c r="F18" s="211" t="str">
        <f>IFERROR(VLOOKUP($C18,'PORTIFÓLIO'!C:V,4,0),"")</f>
        <v/>
      </c>
      <c r="G18" s="215" t="str">
        <f>IFERROR(VLOOKUP($C18,'PORTIFÓLIO'!C:V,5,0),"")</f>
        <v/>
      </c>
      <c r="H18" s="254" t="str">
        <f t="array" ref="H18">IFERROR(INDEX('PORTIFÓLIO'!$H$4:$H$433,MATCH($C18,'PORTIFÓLIO'!$C$4:$C$433,0)),"")</f>
        <v/>
      </c>
      <c r="I18" s="256"/>
      <c r="J18" s="218">
        <f t="shared" si="2"/>
        <v>0</v>
      </c>
      <c r="K18" s="219" t="str">
        <f t="array" ref="K18">IFERROR(I18*INDEX('PORTIFÓLIO'!$S$4:$S$433,MATCH($C18,'PORTIFÓLIO'!$C$4:$C$433,0)),"")</f>
        <v/>
      </c>
      <c r="L18" s="219" t="str">
        <f t="array" ref="L18">IFERROR(J18*INDEX('PORTIFÓLIO'!$S$4:$S$433,MATCH($C18,'PORTIFÓLIO'!$C$4:$C$433,0)),"")</f>
        <v/>
      </c>
      <c r="M18" s="220"/>
      <c r="N18" s="220"/>
      <c r="O18" s="220"/>
      <c r="P18" s="220"/>
      <c r="Q18" s="220"/>
      <c r="R18" s="220"/>
      <c r="S18" s="220"/>
      <c r="T18" s="220"/>
      <c r="U18" s="220" t="str">
        <f>IFERROR(__xludf.DUMMYFUNCTION("FILTER('PORTIFÓLIO'!C:C, 'PORTIFÓLIO'!B:B=B18)"),"#REF!")</f>
        <v>#REF!</v>
      </c>
      <c r="V18" s="220"/>
      <c r="W18" s="220"/>
    </row>
    <row r="19" outlineLevel="1">
      <c r="A19" s="211"/>
      <c r="B19" s="212"/>
      <c r="C19" s="213"/>
      <c r="D19" s="214" t="str">
        <f>IFERROR(VLOOKUP($C19,'PORTIFÓLIO'!C:V,2,0),"")</f>
        <v/>
      </c>
      <c r="E19" s="211" t="str">
        <f>IFERROR(VLOOKUP($C19,'PORTIFÓLIO'!C:V,3,0),"")</f>
        <v/>
      </c>
      <c r="F19" s="211" t="str">
        <f>IFERROR(VLOOKUP($C19,'PORTIFÓLIO'!C:V,4,0),"")</f>
        <v/>
      </c>
      <c r="G19" s="215" t="str">
        <f>IFERROR(VLOOKUP($C19,'PORTIFÓLIO'!C:V,5,0),"")</f>
        <v/>
      </c>
      <c r="H19" s="254" t="str">
        <f t="array" ref="H19">IFERROR(INDEX('PORTIFÓLIO'!$H$4:$H$433,MATCH($C19,'PORTIFÓLIO'!$C$4:$C$433,0)),"")</f>
        <v/>
      </c>
      <c r="I19" s="255"/>
      <c r="J19" s="218">
        <f t="shared" si="2"/>
        <v>0</v>
      </c>
      <c r="K19" s="219" t="str">
        <f t="array" ref="K19">IFERROR(I19*INDEX('PORTIFÓLIO'!$S$4:$S$433,MATCH($C19,'PORTIFÓLIO'!$C$4:$C$433,0)),"")</f>
        <v/>
      </c>
      <c r="L19" s="219" t="str">
        <f t="array" ref="L19">IFERROR(J19*INDEX('PORTIFÓLIO'!$S$4:$S$433,MATCH($C19,'PORTIFÓLIO'!$C$4:$C$433,0)),"")</f>
        <v/>
      </c>
      <c r="M19" s="220"/>
      <c r="N19" s="220"/>
      <c r="O19" s="220"/>
      <c r="P19" s="220"/>
      <c r="Q19" s="220"/>
      <c r="R19" s="220"/>
      <c r="S19" s="220"/>
      <c r="T19" s="220"/>
      <c r="U19" s="220" t="str">
        <f>IFERROR(__xludf.DUMMYFUNCTION("FILTER('PORTIFÓLIO'!C:C, 'PORTIFÓLIO'!B:B=B19)"),"")</f>
        <v/>
      </c>
      <c r="V19" s="220"/>
      <c r="W19" s="220"/>
    </row>
    <row r="20" outlineLevel="1">
      <c r="A20" s="211"/>
      <c r="B20" s="212"/>
      <c r="C20" s="213"/>
      <c r="D20" s="214" t="str">
        <f>IFERROR(VLOOKUP($C20,'PORTIFÓLIO'!C:V,2,0),"")</f>
        <v/>
      </c>
      <c r="E20" s="211" t="str">
        <f>IFERROR(VLOOKUP($C20,'PORTIFÓLIO'!C:V,3,0),"")</f>
        <v/>
      </c>
      <c r="F20" s="211" t="str">
        <f>IFERROR(VLOOKUP($C20,'PORTIFÓLIO'!C:V,4,0),"")</f>
        <v/>
      </c>
      <c r="G20" s="215" t="str">
        <f>IFERROR(VLOOKUP($C20,'PORTIFÓLIO'!C:V,5,0),"")</f>
        <v/>
      </c>
      <c r="H20" s="254" t="str">
        <f t="array" ref="H20">IFERROR(INDEX('PORTIFÓLIO'!$H$4:$H$433,MATCH($C20,'PORTIFÓLIO'!$C$4:$C$433,0)),"")</f>
        <v/>
      </c>
      <c r="I20" s="255"/>
      <c r="J20" s="218">
        <f t="shared" si="2"/>
        <v>0</v>
      </c>
      <c r="K20" s="219" t="str">
        <f t="array" ref="K20">IFERROR(I20*INDEX('PORTIFÓLIO'!$S$4:$S$433,MATCH($C20,'PORTIFÓLIO'!$C$4:$C$433,0)),"")</f>
        <v/>
      </c>
      <c r="L20" s="219" t="str">
        <f t="array" ref="L20">IFERROR(J20*INDEX('PORTIFÓLIO'!$S$4:$S$433,MATCH($C20,'PORTIFÓLIO'!$C$4:$C$433,0)),"")</f>
        <v/>
      </c>
      <c r="M20" s="220"/>
      <c r="N20" s="220"/>
      <c r="O20" s="220"/>
      <c r="P20" s="220"/>
      <c r="Q20" s="220"/>
      <c r="R20" s="220"/>
      <c r="S20" s="220"/>
      <c r="T20" s="220"/>
      <c r="U20" s="220"/>
      <c r="V20" s="220"/>
      <c r="W20" s="220"/>
    </row>
    <row r="21" ht="15.75" customHeight="1" outlineLevel="1">
      <c r="A21" s="211"/>
      <c r="B21" s="212"/>
      <c r="C21" s="213"/>
      <c r="D21" s="214" t="str">
        <f>IFERROR(VLOOKUP($C21,'PORTIFÓLIO'!C:V,2,0),"")</f>
        <v/>
      </c>
      <c r="E21" s="211" t="str">
        <f>IFERROR(VLOOKUP($C21,'PORTIFÓLIO'!C:V,3,0),"")</f>
        <v/>
      </c>
      <c r="F21" s="211" t="str">
        <f>IFERROR(VLOOKUP($C21,'PORTIFÓLIO'!C:V,4,0),"")</f>
        <v/>
      </c>
      <c r="G21" s="215" t="str">
        <f>IFERROR(VLOOKUP($C21,'PORTIFÓLIO'!C:V,5,0),"")</f>
        <v/>
      </c>
      <c r="H21" s="254" t="str">
        <f t="array" ref="H21">IFERROR(INDEX('PORTIFÓLIO'!$H$4:$H$433,MATCH($C21,'PORTIFÓLIO'!$C$4:$C$433,0)),"")</f>
        <v/>
      </c>
      <c r="I21" s="255"/>
      <c r="J21" s="218">
        <f t="shared" si="2"/>
        <v>0</v>
      </c>
      <c r="K21" s="219" t="str">
        <f t="array" ref="K21">IFERROR(I21*INDEX('PORTIFÓLIO'!$S$4:$S$433,MATCH($C21,'PORTIFÓLIO'!$C$4:$C$433,0)),"")</f>
        <v/>
      </c>
      <c r="L21" s="219" t="str">
        <f t="array" ref="L21">IFERROR(J21*INDEX('PORTIFÓLIO'!$S$4:$S$433,MATCH($C21,'PORTIFÓLIO'!$C$4:$C$433,0)),"")</f>
        <v/>
      </c>
      <c r="M21" s="220"/>
      <c r="N21" s="220"/>
      <c r="O21" s="220"/>
      <c r="P21" s="220"/>
      <c r="Q21" s="220"/>
      <c r="R21" s="220"/>
      <c r="S21" s="220"/>
      <c r="T21" s="220"/>
      <c r="U21" s="220"/>
      <c r="V21" s="220"/>
      <c r="W21" s="220"/>
    </row>
    <row r="22" ht="15.75" customHeight="1" outlineLevel="1">
      <c r="A22" s="211"/>
      <c r="B22" s="212"/>
      <c r="C22" s="213"/>
      <c r="D22" s="214" t="str">
        <f>IFERROR(VLOOKUP($C22,'PORTIFÓLIO'!C:V,2,0),"")</f>
        <v/>
      </c>
      <c r="E22" s="211" t="str">
        <f>IFERROR(VLOOKUP($C22,'PORTIFÓLIO'!C:V,3,0),"")</f>
        <v/>
      </c>
      <c r="F22" s="211" t="str">
        <f>IFERROR(VLOOKUP($C22,'PORTIFÓLIO'!C:V,4,0),"")</f>
        <v/>
      </c>
      <c r="G22" s="215" t="str">
        <f>IFERROR(VLOOKUP($C22,'PORTIFÓLIO'!C:V,5,0),"")</f>
        <v/>
      </c>
      <c r="H22" s="254" t="str">
        <f t="array" ref="H22">IFERROR(INDEX('PORTIFÓLIO'!$H$4:$H$433,MATCH($C22,'PORTIFÓLIO'!$C$4:$C$433,0)),"")</f>
        <v/>
      </c>
      <c r="I22" s="255"/>
      <c r="J22" s="218">
        <f t="shared" si="2"/>
        <v>0</v>
      </c>
      <c r="K22" s="219" t="str">
        <f t="array" ref="K22">IFERROR(I22*INDEX('PORTIFÓLIO'!$S$4:$S$433,MATCH($C22,'PORTIFÓLIO'!$C$4:$C$433,0)),"")</f>
        <v/>
      </c>
      <c r="L22" s="219" t="str">
        <f t="array" ref="L22">IFERROR(J22*INDEX('PORTIFÓLIO'!$S$4:$S$433,MATCH($C22,'PORTIFÓLIO'!$C$4:$C$433,0)),"")</f>
        <v/>
      </c>
      <c r="M22" s="220"/>
      <c r="N22" s="220"/>
      <c r="O22" s="220"/>
      <c r="P22" s="220"/>
      <c r="Q22" s="220"/>
      <c r="R22" s="220"/>
      <c r="S22" s="220"/>
      <c r="T22" s="220"/>
      <c r="U22" s="220"/>
      <c r="V22" s="220"/>
      <c r="W22" s="220"/>
    </row>
    <row r="23" ht="15.75" customHeight="1" outlineLevel="1">
      <c r="A23" s="211"/>
      <c r="B23" s="212"/>
      <c r="C23" s="213"/>
      <c r="D23" s="214" t="str">
        <f>IFERROR(VLOOKUP($C23,'PORTIFÓLIO'!C:V,2,0),"")</f>
        <v/>
      </c>
      <c r="E23" s="211" t="str">
        <f>IFERROR(VLOOKUP($C23,'PORTIFÓLIO'!C:V,3,0),"")</f>
        <v/>
      </c>
      <c r="F23" s="211" t="str">
        <f>IFERROR(VLOOKUP($C23,'PORTIFÓLIO'!C:V,4,0),"")</f>
        <v/>
      </c>
      <c r="G23" s="215" t="str">
        <f>IFERROR(VLOOKUP($C23,'PORTIFÓLIO'!C:V,5,0),"")</f>
        <v/>
      </c>
      <c r="H23" s="254" t="str">
        <f t="array" ref="H23">IFERROR(INDEX('PORTIFÓLIO'!$H$4:$H$433,MATCH($C23,'PORTIFÓLIO'!$C$4:$C$433,0)),"")</f>
        <v/>
      </c>
      <c r="I23" s="255"/>
      <c r="J23" s="218">
        <f t="shared" si="2"/>
        <v>0</v>
      </c>
      <c r="K23" s="219" t="str">
        <f t="array" ref="K23">IFERROR(I23*INDEX('PORTIFÓLIO'!$S$4:$S$433,MATCH($C23,'PORTIFÓLIO'!$C$4:$C$433,0)),"")</f>
        <v/>
      </c>
      <c r="L23" s="219" t="str">
        <f t="array" ref="L23">IFERROR(J23*INDEX('PORTIFÓLIO'!$S$4:$S$433,MATCH($C23,'PORTIFÓLIO'!$C$4:$C$433,0)),"")</f>
        <v/>
      </c>
      <c r="M23" s="220"/>
      <c r="N23" s="220"/>
      <c r="O23" s="220"/>
      <c r="P23" s="220"/>
      <c r="Q23" s="220"/>
      <c r="R23" s="220"/>
      <c r="S23" s="220"/>
      <c r="T23" s="220"/>
      <c r="U23" s="220"/>
      <c r="V23" s="220"/>
      <c r="W23" s="220"/>
    </row>
    <row r="24" ht="15.75" customHeight="1" outlineLevel="1">
      <c r="A24" s="211"/>
      <c r="B24" s="212"/>
      <c r="C24" s="213"/>
      <c r="D24" s="214" t="str">
        <f>IFERROR(VLOOKUP($C24,'PORTIFÓLIO'!C:V,2,0),"")</f>
        <v/>
      </c>
      <c r="E24" s="211" t="str">
        <f>IFERROR(VLOOKUP($C24,'PORTIFÓLIO'!C:V,3,0),"")</f>
        <v/>
      </c>
      <c r="F24" s="211" t="str">
        <f>IFERROR(VLOOKUP($C24,'PORTIFÓLIO'!C:V,4,0),"")</f>
        <v/>
      </c>
      <c r="G24" s="215" t="str">
        <f>IFERROR(VLOOKUP($C24,'PORTIFÓLIO'!C:V,5,0),"")</f>
        <v/>
      </c>
      <c r="H24" s="254" t="str">
        <f t="array" ref="H24">IFERROR(INDEX('PORTIFÓLIO'!$H$4:$H$433,MATCH($C24,'PORTIFÓLIO'!$C$4:$C$433,0)),"")</f>
        <v/>
      </c>
      <c r="I24" s="255"/>
      <c r="J24" s="218">
        <f t="shared" si="2"/>
        <v>0</v>
      </c>
      <c r="K24" s="219" t="str">
        <f t="array" ref="K24">IFERROR(I24*INDEX('PORTIFÓLIO'!$S$4:$S$433,MATCH($C24,'PORTIFÓLIO'!$C$4:$C$433,0)),"")</f>
        <v/>
      </c>
      <c r="L24" s="219" t="str">
        <f t="array" ref="L24">IFERROR(J24*INDEX('PORTIFÓLIO'!$S$4:$S$433,MATCH($C24,'PORTIFÓLIO'!$C$4:$C$433,0)),"")</f>
        <v/>
      </c>
      <c r="M24" s="220"/>
      <c r="N24" s="220"/>
      <c r="O24" s="220"/>
      <c r="P24" s="220"/>
      <c r="Q24" s="220"/>
      <c r="R24" s="220"/>
      <c r="S24" s="220"/>
      <c r="T24" s="220"/>
      <c r="U24" s="220"/>
      <c r="V24" s="220"/>
      <c r="W24" s="220"/>
    </row>
    <row r="25" ht="15.75" customHeight="1">
      <c r="A25" s="229" t="s">
        <v>1184</v>
      </c>
      <c r="B25" s="230"/>
      <c r="C25" s="231"/>
      <c r="D25" s="232"/>
      <c r="E25" s="231"/>
      <c r="F25" s="231"/>
      <c r="G25" s="233"/>
      <c r="H25" s="233"/>
      <c r="I25" s="258"/>
      <c r="J25" s="236"/>
      <c r="K25" s="237">
        <f t="shared" ref="K25:L25" si="3">SUBTOTAL(9,K26:K39)</f>
        <v>85.2905712</v>
      </c>
      <c r="L25" s="237">
        <f t="shared" si="3"/>
        <v>18763.92566</v>
      </c>
      <c r="M25" s="220"/>
      <c r="N25" s="220"/>
      <c r="O25" s="220"/>
      <c r="P25" s="220"/>
      <c r="Q25" s="220"/>
      <c r="R25" s="220"/>
      <c r="S25" s="220"/>
      <c r="T25" s="220"/>
      <c r="U25" s="220"/>
      <c r="V25" s="220"/>
      <c r="W25" s="220"/>
    </row>
    <row r="26" ht="15.75" customHeight="1" outlineLevel="1">
      <c r="A26" s="213"/>
      <c r="B26" s="212" t="s">
        <v>1</v>
      </c>
      <c r="C26" s="213" t="s">
        <v>637</v>
      </c>
      <c r="D26" s="214" t="str">
        <f>IFERROR(VLOOKUP($C26,'PORTIFÓLIO'!C:V,2,0),"")</f>
        <v>GLIFOSATO-SAL DE AMÔNIO</v>
      </c>
      <c r="E26" s="211">
        <f>IFERROR(VLOOKUP($C26,'PORTIFÓLIO'!C:V,3,0),"")</f>
        <v>720</v>
      </c>
      <c r="F26" s="211" t="str">
        <f>IFERROR(VLOOKUP($C26,'PORTIFÓLIO'!C:V,4,0),"")</f>
        <v>L</v>
      </c>
      <c r="G26" s="225" t="str">
        <f>IFERROR(VLOOKUP($C26,'PORTIFÓLIO'!C:V,5,0),"")</f>
        <v>📄 Ver bula</v>
      </c>
      <c r="H26" s="254">
        <f t="array" ref="H26">IFERROR(INDEX('PORTIFÓLIO'!$H$4:$H$433,MATCH($C26,'PORTIFÓLIO'!$C$4:$C$433,0)),"")</f>
        <v>2</v>
      </c>
      <c r="I26" s="255">
        <v>2.0</v>
      </c>
      <c r="J26" s="218">
        <f t="shared" ref="J26:J43" si="4">I26*$B$2</f>
        <v>440</v>
      </c>
      <c r="K26" s="219">
        <f t="array" ref="K26">IFERROR(I26*INDEX('PORTIFÓLIO'!$S$4:$S$433,MATCH($C26,'PORTIFÓLIO'!$C$4:$C$433,0)),"")</f>
        <v>49.16</v>
      </c>
      <c r="L26" s="219">
        <f t="array" ref="L26">IFERROR(J26*INDEX('PORTIFÓLIO'!$S$4:$S$433,MATCH($C26,'PORTIFÓLIO'!$C$4:$C$433,0)),"")</f>
        <v>10815.2</v>
      </c>
      <c r="M26" s="220"/>
      <c r="N26" s="220"/>
      <c r="O26" s="220"/>
      <c r="P26" s="220"/>
      <c r="Q26" s="220"/>
      <c r="R26" s="220"/>
      <c r="S26" s="220"/>
      <c r="T26" s="220"/>
      <c r="U26" s="220"/>
      <c r="V26" s="220"/>
      <c r="W26" s="220"/>
    </row>
    <row r="27" ht="15.75" customHeight="1" outlineLevel="1">
      <c r="A27" s="211"/>
      <c r="B27" s="212" t="s">
        <v>6</v>
      </c>
      <c r="C27" s="213" t="s">
        <v>354</v>
      </c>
      <c r="D27" s="214" t="str">
        <f>IFERROR(VLOOKUP($C27,'PORTIFÓLIO'!C:V,2,0),"")</f>
        <v>OLEO MINERAL</v>
      </c>
      <c r="E27" s="211">
        <f>IFERROR(VLOOKUP($C27,'PORTIFÓLIO'!C:V,3,0),"")</f>
        <v>761</v>
      </c>
      <c r="F27" s="211" t="str">
        <f>IFERROR(VLOOKUP($C27,'PORTIFÓLIO'!C:V,4,0),"")</f>
        <v>L</v>
      </c>
      <c r="G27" s="225" t="str">
        <f>IFERROR(VLOOKUP($C27,'PORTIFÓLIO'!C:V,5,0),"")</f>
        <v>📄 Ver bula</v>
      </c>
      <c r="H27" s="254">
        <f t="array" ref="H27">IFERROR(INDEX('PORTIFÓLIO'!$H$4:$H$433,MATCH($C27,'PORTIFÓLIO'!$C$4:$C$433,0)),"")</f>
        <v>0.2</v>
      </c>
      <c r="I27" s="255">
        <v>0.2</v>
      </c>
      <c r="J27" s="218">
        <f t="shared" si="4"/>
        <v>44</v>
      </c>
      <c r="K27" s="219">
        <f t="array" ref="K27">IFERROR(I27*INDEX('PORTIFÓLIO'!$S$4:$S$433,MATCH($C27,'PORTIFÓLIO'!$C$4:$C$433,0)),"")</f>
        <v>3.206</v>
      </c>
      <c r="L27" s="219">
        <f t="array" ref="L27">IFERROR(J27*INDEX('PORTIFÓLIO'!$S$4:$S$433,MATCH($C27,'PORTIFÓLIO'!$C$4:$C$433,0)),"")</f>
        <v>705.32</v>
      </c>
      <c r="M27" s="220"/>
      <c r="N27" s="220"/>
      <c r="O27" s="220"/>
      <c r="P27" s="220"/>
      <c r="Q27" s="220"/>
      <c r="R27" s="220"/>
      <c r="S27" s="220"/>
      <c r="T27" s="220"/>
      <c r="U27" s="220"/>
      <c r="V27" s="220"/>
      <c r="W27" s="220"/>
    </row>
    <row r="28" ht="15.75" customHeight="1" outlineLevel="1">
      <c r="A28" s="211"/>
      <c r="B28" s="212" t="s">
        <v>1</v>
      </c>
      <c r="C28" s="213" t="s">
        <v>683</v>
      </c>
      <c r="D28" s="214" t="str">
        <f>IFERROR(VLOOKUP($C28,'PORTIFÓLIO'!C:V,2,0),"")</f>
        <v>GLUFOSINATO - SAL DE AMONIO</v>
      </c>
      <c r="E28" s="211">
        <f>IFERROR(VLOOKUP($C28,'PORTIFÓLIO'!C:V,3,0),"")</f>
        <v>880</v>
      </c>
      <c r="F28" s="211" t="str">
        <f>IFERROR(VLOOKUP($C28,'PORTIFÓLIO'!C:V,4,0),"")</f>
        <v>L</v>
      </c>
      <c r="G28" s="225" t="str">
        <f>IFERROR(VLOOKUP($C28,'PORTIFÓLIO'!C:V,5,0),"")</f>
        <v>📄 Ver bula</v>
      </c>
      <c r="H28" s="254">
        <f t="array" ref="H28">IFERROR(INDEX('PORTIFÓLIO'!$H$4:$H$433,MATCH($C28,'PORTIFÓLIO'!$C$4:$C$433,0)),"")</f>
        <v>0.5</v>
      </c>
      <c r="I28" s="255">
        <v>0.5</v>
      </c>
      <c r="J28" s="218">
        <f t="shared" si="4"/>
        <v>110</v>
      </c>
      <c r="K28" s="219">
        <f t="array" ref="K28">IFERROR(I28*INDEX('PORTIFÓLIO'!$S$4:$S$433,MATCH($C28,'PORTIFÓLIO'!$C$4:$C$433,0)),"")</f>
        <v>23.01917</v>
      </c>
      <c r="L28" s="219">
        <f t="array" ref="L28">IFERROR(J28*INDEX('PORTIFÓLIO'!$S$4:$S$433,MATCH($C28,'PORTIFÓLIO'!$C$4:$C$433,0)),"")</f>
        <v>5064.2174</v>
      </c>
      <c r="M28" s="220"/>
      <c r="N28" s="220"/>
      <c r="O28" s="220"/>
      <c r="P28" s="220"/>
      <c r="Q28" s="220"/>
      <c r="R28" s="220"/>
      <c r="S28" s="220"/>
      <c r="T28" s="220"/>
      <c r="U28" s="220"/>
      <c r="V28" s="220"/>
      <c r="W28" s="220"/>
    </row>
    <row r="29" ht="15.75" customHeight="1" outlineLevel="1">
      <c r="A29" s="211"/>
      <c r="B29" s="212" t="s">
        <v>2</v>
      </c>
      <c r="C29" s="213" t="s">
        <v>788</v>
      </c>
      <c r="D29" s="214" t="str">
        <f>IFERROR(VLOOKUP($C29,'PORTIFÓLIO'!C:V,2,0),"")</f>
        <v>FIPRONIL</v>
      </c>
      <c r="E29" s="211">
        <f>IFERROR(VLOOKUP($C29,'PORTIFÓLIO'!C:V,3,0),"")</f>
        <v>800</v>
      </c>
      <c r="F29" s="211" t="str">
        <f>IFERROR(VLOOKUP($C29,'PORTIFÓLIO'!C:V,4,0),"")</f>
        <v>L</v>
      </c>
      <c r="G29" s="225" t="str">
        <f>IFERROR(VLOOKUP($C29,'PORTIFÓLIO'!C:V,5,0),"")</f>
        <v>📄 Ver bula</v>
      </c>
      <c r="H29" s="254">
        <f t="array" ref="H29">IFERROR(INDEX('PORTIFÓLIO'!$H$4:$H$433,MATCH($C29,'PORTIFÓLIO'!$C$4:$C$433,0)),"")</f>
        <v>0.04</v>
      </c>
      <c r="I29" s="255">
        <v>0.04</v>
      </c>
      <c r="J29" s="218">
        <f t="shared" si="4"/>
        <v>8.8</v>
      </c>
      <c r="K29" s="219">
        <f t="array" ref="K29">IFERROR(I29*INDEX('PORTIFÓLIO'!$S$4:$S$433,MATCH($C29,'PORTIFÓLIO'!$C$4:$C$433,0)),"")</f>
        <v>9.9054012</v>
      </c>
      <c r="L29" s="219">
        <f t="array" ref="L29">IFERROR(J29*INDEX('PORTIFÓLIO'!$S$4:$S$433,MATCH($C29,'PORTIFÓLIO'!$C$4:$C$433,0)),"")</f>
        <v>2179.188264</v>
      </c>
      <c r="M29" s="220"/>
      <c r="N29" s="220"/>
      <c r="O29" s="220"/>
      <c r="P29" s="220"/>
      <c r="Q29" s="220"/>
      <c r="R29" s="220"/>
      <c r="S29" s="220"/>
      <c r="T29" s="220"/>
      <c r="U29" s="220"/>
      <c r="V29" s="220"/>
      <c r="W29" s="220"/>
    </row>
    <row r="30" ht="15.75" customHeight="1" outlineLevel="1">
      <c r="A30" s="211"/>
      <c r="B30" s="212"/>
      <c r="C30" s="213"/>
      <c r="D30" s="214" t="str">
        <f>IFERROR(VLOOKUP($C30,'PORTIFÓLIO'!C:V,2,0),"")</f>
        <v/>
      </c>
      <c r="E30" s="211" t="str">
        <f>IFERROR(VLOOKUP($C30,'PORTIFÓLIO'!C:V,3,0),"")</f>
        <v/>
      </c>
      <c r="F30" s="211" t="str">
        <f>IFERROR(VLOOKUP($C30,'PORTIFÓLIO'!C:V,4,0),"")</f>
        <v/>
      </c>
      <c r="G30" s="215" t="str">
        <f>IFERROR(VLOOKUP($C30,'PORTIFÓLIO'!C:V,5,0),"")</f>
        <v/>
      </c>
      <c r="H30" s="254" t="str">
        <f t="array" ref="H30">IFERROR(INDEX('PORTIFÓLIO'!$H$4:$H$433,MATCH($C30,'PORTIFÓLIO'!$C$4:$C$433,0)),"")</f>
        <v/>
      </c>
      <c r="I30" s="255"/>
      <c r="J30" s="218">
        <f t="shared" si="4"/>
        <v>0</v>
      </c>
      <c r="K30" s="219" t="str">
        <f t="array" ref="K30">IFERROR(I30*INDEX('PORTIFÓLIO'!$S$4:$S$433,MATCH($C30,'PORTIFÓLIO'!$C$4:$C$433,0)),"")</f>
        <v/>
      </c>
      <c r="L30" s="219" t="str">
        <f t="array" ref="L30">IFERROR(J30*INDEX('PORTIFÓLIO'!$S$4:$S$433,MATCH($C30,'PORTIFÓLIO'!$C$4:$C$433,0)),"")</f>
        <v/>
      </c>
      <c r="M30" s="220"/>
      <c r="N30" s="220"/>
      <c r="O30" s="220"/>
      <c r="P30" s="220"/>
      <c r="Q30" s="220"/>
      <c r="R30" s="220"/>
      <c r="S30" s="220"/>
      <c r="T30" s="220"/>
      <c r="U30" s="220"/>
      <c r="V30" s="220"/>
      <c r="W30" s="220"/>
    </row>
    <row r="31" ht="15.75" customHeight="1" outlineLevel="1">
      <c r="A31" s="211"/>
      <c r="B31" s="212"/>
      <c r="C31" s="213"/>
      <c r="D31" s="214" t="str">
        <f>IFERROR(VLOOKUP($C31,'PORTIFÓLIO'!C:V,2,0),"")</f>
        <v/>
      </c>
      <c r="E31" s="211" t="str">
        <f>IFERROR(VLOOKUP($C31,'PORTIFÓLIO'!C:V,3,0),"")</f>
        <v/>
      </c>
      <c r="F31" s="211" t="str">
        <f>IFERROR(VLOOKUP($C31,'PORTIFÓLIO'!C:V,4,0),"")</f>
        <v/>
      </c>
      <c r="G31" s="215" t="str">
        <f>IFERROR(VLOOKUP($C31,'PORTIFÓLIO'!C:V,5,0),"")</f>
        <v/>
      </c>
      <c r="H31" s="254" t="str">
        <f t="array" ref="H31">IFERROR(INDEX('PORTIFÓLIO'!$H$4:$H$433,MATCH($C31,'PORTIFÓLIO'!$C$4:$C$433,0)),"")</f>
        <v/>
      </c>
      <c r="I31" s="255"/>
      <c r="J31" s="218">
        <f t="shared" si="4"/>
        <v>0</v>
      </c>
      <c r="K31" s="219" t="str">
        <f t="array" ref="K31">IFERROR(I31*INDEX('PORTIFÓLIO'!$S$4:$S$433,MATCH($C31,'PORTIFÓLIO'!$C$4:$C$433,0)),"")</f>
        <v/>
      </c>
      <c r="L31" s="219" t="str">
        <f t="array" ref="L31">IFERROR(J31*INDEX('PORTIFÓLIO'!$S$4:$S$433,MATCH($C31,'PORTIFÓLIO'!$C$4:$C$433,0)),"")</f>
        <v/>
      </c>
      <c r="M31" s="220"/>
      <c r="N31" s="220"/>
      <c r="O31" s="220"/>
      <c r="P31" s="220"/>
      <c r="Q31" s="220"/>
      <c r="R31" s="220"/>
      <c r="S31" s="220"/>
      <c r="T31" s="220"/>
      <c r="U31" s="220"/>
      <c r="V31" s="220"/>
      <c r="W31" s="220"/>
    </row>
    <row r="32" ht="15.75" customHeight="1" outlineLevel="1">
      <c r="A32" s="211"/>
      <c r="B32" s="212"/>
      <c r="C32" s="213"/>
      <c r="D32" s="214" t="str">
        <f>IFERROR(VLOOKUP($C32,'PORTIFÓLIO'!C:V,2,0),"")</f>
        <v/>
      </c>
      <c r="E32" s="211" t="str">
        <f>IFERROR(VLOOKUP($C32,'PORTIFÓLIO'!C:V,3,0),"")</f>
        <v/>
      </c>
      <c r="F32" s="211" t="str">
        <f>IFERROR(VLOOKUP($C32,'PORTIFÓLIO'!C:V,4,0),"")</f>
        <v/>
      </c>
      <c r="G32" s="215" t="str">
        <f>IFERROR(VLOOKUP($C32,'PORTIFÓLIO'!C:V,5,0),"")</f>
        <v/>
      </c>
      <c r="H32" s="254" t="str">
        <f t="array" ref="H32">IFERROR(INDEX('PORTIFÓLIO'!$H$4:$H$433,MATCH($C32,'PORTIFÓLIO'!$C$4:$C$433,0)),"")</f>
        <v/>
      </c>
      <c r="I32" s="256"/>
      <c r="J32" s="218">
        <f t="shared" si="4"/>
        <v>0</v>
      </c>
      <c r="K32" s="219" t="str">
        <f t="array" ref="K32">IFERROR(I32*INDEX('PORTIFÓLIO'!$S$4:$S$433,MATCH($C32,'PORTIFÓLIO'!$C$4:$C$433,0)),"")</f>
        <v/>
      </c>
      <c r="L32" s="219" t="str">
        <f t="array" ref="L32">IFERROR(J32*INDEX('PORTIFÓLIO'!$S$4:$S$433,MATCH($C32,'PORTIFÓLIO'!$C$4:$C$433,0)),"")</f>
        <v/>
      </c>
      <c r="M32" s="220"/>
      <c r="N32" s="220"/>
      <c r="O32" s="220"/>
      <c r="P32" s="220"/>
      <c r="Q32" s="220"/>
      <c r="R32" s="220"/>
      <c r="S32" s="220"/>
      <c r="T32" s="220"/>
      <c r="U32" s="220"/>
      <c r="V32" s="220"/>
      <c r="W32" s="220"/>
    </row>
    <row r="33" ht="15.75" customHeight="1" outlineLevel="1">
      <c r="A33" s="211"/>
      <c r="B33" s="212"/>
      <c r="C33" s="213"/>
      <c r="D33" s="214" t="str">
        <f>IFERROR(VLOOKUP($C33,'PORTIFÓLIO'!C:V,2,0),"")</f>
        <v/>
      </c>
      <c r="E33" s="211" t="str">
        <f>IFERROR(VLOOKUP($C33,'PORTIFÓLIO'!C:V,3,0),"")</f>
        <v/>
      </c>
      <c r="F33" s="211" t="str">
        <f>IFERROR(VLOOKUP($C33,'PORTIFÓLIO'!C:V,4,0),"")</f>
        <v/>
      </c>
      <c r="G33" s="215" t="str">
        <f>IFERROR(VLOOKUP($C33,'PORTIFÓLIO'!C:V,5,0),"")</f>
        <v/>
      </c>
      <c r="H33" s="254" t="str">
        <f t="array" ref="H33">IFERROR(INDEX('PORTIFÓLIO'!$H$4:$H$433,MATCH($C33,'PORTIFÓLIO'!$C$4:$C$433,0)),"")</f>
        <v/>
      </c>
      <c r="I33" s="256"/>
      <c r="J33" s="218">
        <f t="shared" si="4"/>
        <v>0</v>
      </c>
      <c r="K33" s="219" t="str">
        <f t="array" ref="K33">IFERROR(I33*INDEX('PORTIFÓLIO'!$S$4:$S$433,MATCH($C33,'PORTIFÓLIO'!$C$4:$C$433,0)),"")</f>
        <v/>
      </c>
      <c r="L33" s="219" t="str">
        <f t="array" ref="L33">IFERROR(J33*INDEX('PORTIFÓLIO'!$S$4:$S$433,MATCH($C33,'PORTIFÓLIO'!$C$4:$C$433,0)),"")</f>
        <v/>
      </c>
      <c r="M33" s="220"/>
      <c r="N33" s="220"/>
      <c r="O33" s="220"/>
      <c r="P33" s="220"/>
      <c r="Q33" s="220"/>
      <c r="R33" s="220"/>
      <c r="S33" s="220"/>
      <c r="T33" s="220"/>
      <c r="U33" s="220"/>
      <c r="V33" s="220"/>
      <c r="W33" s="220"/>
    </row>
    <row r="34" ht="15.75" customHeight="1" outlineLevel="1">
      <c r="A34" s="211"/>
      <c r="B34" s="212"/>
      <c r="C34" s="213"/>
      <c r="D34" s="214" t="str">
        <f>IFERROR(VLOOKUP($C34,'PORTIFÓLIO'!C:V,2,0),"")</f>
        <v/>
      </c>
      <c r="E34" s="211" t="str">
        <f>IFERROR(VLOOKUP($C34,'PORTIFÓLIO'!C:V,3,0),"")</f>
        <v/>
      </c>
      <c r="F34" s="211" t="str">
        <f>IFERROR(VLOOKUP($C34,'PORTIFÓLIO'!C:V,4,0),"")</f>
        <v/>
      </c>
      <c r="G34" s="215" t="str">
        <f>IFERROR(VLOOKUP($C34,'PORTIFÓLIO'!C:V,5,0),"")</f>
        <v/>
      </c>
      <c r="H34" s="254" t="str">
        <f t="array" ref="H34">IFERROR(INDEX('PORTIFÓLIO'!$H$4:$H$433,MATCH($C34,'PORTIFÓLIO'!$C$4:$C$433,0)),"")</f>
        <v/>
      </c>
      <c r="I34" s="255"/>
      <c r="J34" s="218">
        <f t="shared" si="4"/>
        <v>0</v>
      </c>
      <c r="K34" s="219" t="str">
        <f t="array" ref="K34">IFERROR(I34*INDEX('PORTIFÓLIO'!$S$4:$S$433,MATCH($C34,'PORTIFÓLIO'!$C$4:$C$433,0)),"")</f>
        <v/>
      </c>
      <c r="L34" s="219" t="str">
        <f t="array" ref="L34">IFERROR(J34*INDEX('PORTIFÓLIO'!$S$4:$S$433,MATCH($C34,'PORTIFÓLIO'!$C$4:$C$433,0)),"")</f>
        <v/>
      </c>
      <c r="M34" s="220"/>
      <c r="N34" s="220"/>
      <c r="O34" s="220"/>
      <c r="P34" s="220"/>
      <c r="Q34" s="220"/>
      <c r="R34" s="220"/>
      <c r="S34" s="220"/>
      <c r="T34" s="220"/>
      <c r="U34" s="220"/>
      <c r="V34" s="220"/>
      <c r="W34" s="220"/>
    </row>
    <row r="35" ht="15.75" customHeight="1" outlineLevel="1">
      <c r="A35" s="211"/>
      <c r="B35" s="212"/>
      <c r="C35" s="213"/>
      <c r="D35" s="214" t="str">
        <f>IFERROR(VLOOKUP($C35,'PORTIFÓLIO'!C:V,2,0),"")</f>
        <v/>
      </c>
      <c r="E35" s="211" t="str">
        <f>IFERROR(VLOOKUP($C35,'PORTIFÓLIO'!C:V,3,0),"")</f>
        <v/>
      </c>
      <c r="F35" s="211" t="str">
        <f>IFERROR(VLOOKUP($C35,'PORTIFÓLIO'!C:V,4,0),"")</f>
        <v/>
      </c>
      <c r="G35" s="215" t="str">
        <f>IFERROR(VLOOKUP($C35,'PORTIFÓLIO'!C:V,5,0),"")</f>
        <v/>
      </c>
      <c r="H35" s="254" t="str">
        <f t="array" ref="H35">IFERROR(INDEX('PORTIFÓLIO'!$H$4:$H$433,MATCH($C35,'PORTIFÓLIO'!$C$4:$C$433,0)),"")</f>
        <v/>
      </c>
      <c r="I35" s="256"/>
      <c r="J35" s="218">
        <f t="shared" si="4"/>
        <v>0</v>
      </c>
      <c r="K35" s="219" t="str">
        <f t="array" ref="K35">IFERROR(I35*INDEX('PORTIFÓLIO'!$S$4:$S$433,MATCH($C35,'PORTIFÓLIO'!$C$4:$C$433,0)),"")</f>
        <v/>
      </c>
      <c r="L35" s="219" t="str">
        <f t="array" ref="L35">IFERROR(J35*INDEX('PORTIFÓLIO'!$S$4:$S$433,MATCH($C35,'PORTIFÓLIO'!$C$4:$C$433,0)),"")</f>
        <v/>
      </c>
      <c r="M35" s="220"/>
      <c r="N35" s="220"/>
      <c r="O35" s="220"/>
      <c r="P35" s="220"/>
      <c r="Q35" s="220"/>
      <c r="R35" s="220"/>
      <c r="S35" s="220"/>
      <c r="T35" s="220"/>
      <c r="U35" s="220"/>
      <c r="V35" s="220"/>
      <c r="W35" s="220"/>
    </row>
    <row r="36" ht="15.75" customHeight="1" outlineLevel="1">
      <c r="A36" s="211"/>
      <c r="B36" s="212"/>
      <c r="C36" s="213"/>
      <c r="D36" s="214" t="str">
        <f>IFERROR(VLOOKUP($C36,'PORTIFÓLIO'!C:V,2,0),"")</f>
        <v/>
      </c>
      <c r="E36" s="211" t="str">
        <f>IFERROR(VLOOKUP($C36,'PORTIFÓLIO'!C:V,3,0),"")</f>
        <v/>
      </c>
      <c r="F36" s="211" t="str">
        <f>IFERROR(VLOOKUP($C36,'PORTIFÓLIO'!C:V,4,0),"")</f>
        <v/>
      </c>
      <c r="G36" s="215" t="str">
        <f>IFERROR(VLOOKUP($C36,'PORTIFÓLIO'!C:V,5,0),"")</f>
        <v/>
      </c>
      <c r="H36" s="254" t="str">
        <f t="array" ref="H36">IFERROR(INDEX('PORTIFÓLIO'!$H$4:$H$433,MATCH($C36,'PORTIFÓLIO'!$C$4:$C$433,0)),"")</f>
        <v/>
      </c>
      <c r="I36" s="256"/>
      <c r="J36" s="218">
        <f t="shared" si="4"/>
        <v>0</v>
      </c>
      <c r="K36" s="219" t="str">
        <f t="array" ref="K36">IFERROR(I36*INDEX('PORTIFÓLIO'!$S$4:$S$433,MATCH($C36,'PORTIFÓLIO'!$C$4:$C$433,0)),"")</f>
        <v/>
      </c>
      <c r="L36" s="219" t="str">
        <f t="array" ref="L36">IFERROR(J36*INDEX('PORTIFÓLIO'!$S$4:$S$433,MATCH($C36,'PORTIFÓLIO'!$C$4:$C$433,0)),"")</f>
        <v/>
      </c>
      <c r="M36" s="220"/>
      <c r="N36" s="220"/>
      <c r="O36" s="220"/>
      <c r="P36" s="220"/>
      <c r="Q36" s="220"/>
      <c r="R36" s="220"/>
      <c r="S36" s="220"/>
      <c r="T36" s="220"/>
      <c r="U36" s="220"/>
      <c r="V36" s="220"/>
      <c r="W36" s="220"/>
    </row>
    <row r="37" ht="15.75" customHeight="1" outlineLevel="1">
      <c r="A37" s="211"/>
      <c r="B37" s="212"/>
      <c r="C37" s="213"/>
      <c r="D37" s="214" t="str">
        <f>IFERROR(VLOOKUP($C37,'PORTIFÓLIO'!C:V,2,0),"")</f>
        <v/>
      </c>
      <c r="E37" s="211" t="str">
        <f>IFERROR(VLOOKUP($C37,'PORTIFÓLIO'!C:V,3,0),"")</f>
        <v/>
      </c>
      <c r="F37" s="211" t="str">
        <f>IFERROR(VLOOKUP($C37,'PORTIFÓLIO'!C:V,4,0),"")</f>
        <v/>
      </c>
      <c r="G37" s="215" t="str">
        <f>IFERROR(VLOOKUP($C37,'PORTIFÓLIO'!C:V,5,0),"")</f>
        <v/>
      </c>
      <c r="H37" s="254" t="str">
        <f t="array" ref="H37">IFERROR(INDEX('PORTIFÓLIO'!$H$4:$H$433,MATCH($C37,'PORTIFÓLIO'!$C$4:$C$433,0)),"")</f>
        <v/>
      </c>
      <c r="I37" s="256"/>
      <c r="J37" s="218">
        <f t="shared" si="4"/>
        <v>0</v>
      </c>
      <c r="K37" s="219" t="str">
        <f t="array" ref="K37">IFERROR(I37*INDEX('PORTIFÓLIO'!$S$4:$S$433,MATCH($C37,'PORTIFÓLIO'!$C$4:$C$433,0)),"")</f>
        <v/>
      </c>
      <c r="L37" s="219" t="str">
        <f t="array" ref="L37">IFERROR(J37*INDEX('PORTIFÓLIO'!$S$4:$S$433,MATCH($C37,'PORTIFÓLIO'!$C$4:$C$433,0)),"")</f>
        <v/>
      </c>
      <c r="M37" s="220"/>
      <c r="N37" s="220"/>
      <c r="O37" s="220"/>
      <c r="P37" s="220"/>
      <c r="Q37" s="220"/>
      <c r="R37" s="220"/>
      <c r="S37" s="220"/>
      <c r="T37" s="220"/>
      <c r="U37" s="220"/>
      <c r="V37" s="220"/>
      <c r="W37" s="220"/>
    </row>
    <row r="38" ht="15.75" customHeight="1" outlineLevel="1">
      <c r="A38" s="211"/>
      <c r="B38" s="212"/>
      <c r="C38" s="213"/>
      <c r="D38" s="214" t="str">
        <f>IFERROR(VLOOKUP($C38,'PORTIFÓLIO'!C:V,2,0),"")</f>
        <v/>
      </c>
      <c r="E38" s="211" t="str">
        <f>IFERROR(VLOOKUP($C38,'PORTIFÓLIO'!C:V,3,0),"")</f>
        <v/>
      </c>
      <c r="F38" s="211" t="str">
        <f>IFERROR(VLOOKUP($C38,'PORTIFÓLIO'!C:V,4,0),"")</f>
        <v/>
      </c>
      <c r="G38" s="215" t="str">
        <f>IFERROR(VLOOKUP($C38,'PORTIFÓLIO'!C:V,5,0),"")</f>
        <v/>
      </c>
      <c r="H38" s="254" t="str">
        <f t="array" ref="H38">IFERROR(INDEX('PORTIFÓLIO'!$H$4:$H$433,MATCH($C38,'PORTIFÓLIO'!$C$4:$C$433,0)),"")</f>
        <v/>
      </c>
      <c r="I38" s="256"/>
      <c r="J38" s="218">
        <f t="shared" si="4"/>
        <v>0</v>
      </c>
      <c r="K38" s="219" t="str">
        <f t="array" ref="K38">IFERROR(I38*INDEX('PORTIFÓLIO'!$S$4:$S$433,MATCH($C38,'PORTIFÓLIO'!$C$4:$C$433,0)),"")</f>
        <v/>
      </c>
      <c r="L38" s="219" t="str">
        <f t="array" ref="L38">IFERROR(J38*INDEX('PORTIFÓLIO'!$S$4:$S$433,MATCH($C38,'PORTIFÓLIO'!$C$4:$C$433,0)),"")</f>
        <v/>
      </c>
      <c r="M38" s="220"/>
      <c r="N38" s="220"/>
      <c r="O38" s="220"/>
      <c r="P38" s="220"/>
      <c r="Q38" s="220"/>
      <c r="R38" s="220"/>
      <c r="S38" s="220"/>
      <c r="T38" s="220"/>
      <c r="U38" s="220"/>
      <c r="V38" s="220"/>
      <c r="W38" s="220"/>
    </row>
    <row r="39" ht="15.75" customHeight="1" outlineLevel="1">
      <c r="A39" s="211"/>
      <c r="B39" s="212"/>
      <c r="C39" s="213"/>
      <c r="D39" s="214" t="str">
        <f>IFERROR(VLOOKUP($C39,'PORTIFÓLIO'!C:V,2,0),"")</f>
        <v/>
      </c>
      <c r="E39" s="211" t="str">
        <f>IFERROR(VLOOKUP($C39,'PORTIFÓLIO'!C:V,3,0),"")</f>
        <v/>
      </c>
      <c r="F39" s="211" t="str">
        <f>IFERROR(VLOOKUP($C39,'PORTIFÓLIO'!C:V,4,0),"")</f>
        <v/>
      </c>
      <c r="G39" s="215" t="str">
        <f>IFERROR(VLOOKUP($C39,'PORTIFÓLIO'!C:V,5,0),"")</f>
        <v/>
      </c>
      <c r="H39" s="254" t="str">
        <f t="array" ref="H39">IFERROR(INDEX('PORTIFÓLIO'!$H$4:$H$433,MATCH($C39,'PORTIFÓLIO'!$C$4:$C$433,0)),"")</f>
        <v/>
      </c>
      <c r="I39" s="256"/>
      <c r="J39" s="218">
        <f t="shared" si="4"/>
        <v>0</v>
      </c>
      <c r="K39" s="219" t="str">
        <f t="array" ref="K39">IFERROR(I39*INDEX('PORTIFÓLIO'!$S$4:$S$433,MATCH($C39,'PORTIFÓLIO'!$C$4:$C$433,0)),"")</f>
        <v/>
      </c>
      <c r="L39" s="219" t="str">
        <f t="array" ref="L39">IFERROR(J39*INDEX('PORTIFÓLIO'!$S$4:$S$433,MATCH($C39,'PORTIFÓLIO'!$C$4:$C$433,0)),"")</f>
        <v/>
      </c>
      <c r="M39" s="220"/>
      <c r="N39" s="220"/>
      <c r="O39" s="220"/>
      <c r="P39" s="220"/>
      <c r="Q39" s="220"/>
      <c r="R39" s="220"/>
      <c r="S39" s="220"/>
      <c r="T39" s="220"/>
      <c r="U39" s="220"/>
      <c r="V39" s="220"/>
      <c r="W39" s="220"/>
    </row>
    <row r="40" ht="15.75" customHeight="1" outlineLevel="1">
      <c r="A40" s="211"/>
      <c r="B40" s="212"/>
      <c r="C40" s="213"/>
      <c r="D40" s="214" t="str">
        <f>IFERROR(VLOOKUP($C40,'PORTIFÓLIO'!C:V,2,0),"")</f>
        <v/>
      </c>
      <c r="E40" s="211" t="str">
        <f>IFERROR(VLOOKUP($C40,'PORTIFÓLIO'!C:V,3,0),"")</f>
        <v/>
      </c>
      <c r="F40" s="211" t="str">
        <f>IFERROR(VLOOKUP($C40,'PORTIFÓLIO'!C:V,4,0),"")</f>
        <v/>
      </c>
      <c r="G40" s="215" t="str">
        <f>IFERROR(VLOOKUP($C40,'PORTIFÓLIO'!C:V,5,0),"")</f>
        <v/>
      </c>
      <c r="H40" s="254" t="str">
        <f t="array" ref="H40">IFERROR(INDEX('PORTIFÓLIO'!$H$4:$H$433,MATCH($C40,'PORTIFÓLIO'!$C$4:$C$433,0)),"")</f>
        <v/>
      </c>
      <c r="I40" s="256"/>
      <c r="J40" s="218">
        <f t="shared" si="4"/>
        <v>0</v>
      </c>
      <c r="K40" s="219" t="str">
        <f t="array" ref="K40">IFERROR(I40*INDEX('PORTIFÓLIO'!$S$4:$S$433,MATCH($C40,'PORTIFÓLIO'!$C$4:$C$433,0)),"")</f>
        <v/>
      </c>
      <c r="L40" s="219" t="str">
        <f t="array" ref="L40">IFERROR(J40*INDEX('PORTIFÓLIO'!$S$4:$S$433,MATCH($C40,'PORTIFÓLIO'!$C$4:$C$433,0)),"")</f>
        <v/>
      </c>
      <c r="M40" s="220"/>
      <c r="N40" s="220"/>
      <c r="O40" s="220"/>
      <c r="P40" s="220"/>
      <c r="Q40" s="220"/>
      <c r="R40" s="220"/>
      <c r="S40" s="220"/>
      <c r="T40" s="220"/>
      <c r="U40" s="220"/>
      <c r="V40" s="220"/>
      <c r="W40" s="220"/>
    </row>
    <row r="41" ht="15.75" customHeight="1" outlineLevel="1">
      <c r="A41" s="211"/>
      <c r="B41" s="212"/>
      <c r="C41" s="213"/>
      <c r="D41" s="214" t="str">
        <f>IFERROR(VLOOKUP($C41,'PORTIFÓLIO'!C:V,2,0),"")</f>
        <v/>
      </c>
      <c r="E41" s="211" t="str">
        <f>IFERROR(VLOOKUP($C41,'PORTIFÓLIO'!C:V,3,0),"")</f>
        <v/>
      </c>
      <c r="F41" s="211" t="str">
        <f>IFERROR(VLOOKUP($C41,'PORTIFÓLIO'!C:V,4,0),"")</f>
        <v/>
      </c>
      <c r="G41" s="215" t="str">
        <f>IFERROR(VLOOKUP($C41,'PORTIFÓLIO'!C:V,5,0),"")</f>
        <v/>
      </c>
      <c r="H41" s="254" t="str">
        <f t="array" ref="H41">IFERROR(INDEX('PORTIFÓLIO'!$H$4:$H$433,MATCH($C41,'PORTIFÓLIO'!$C$4:$C$433,0)),"")</f>
        <v/>
      </c>
      <c r="I41" s="256"/>
      <c r="J41" s="218">
        <f t="shared" si="4"/>
        <v>0</v>
      </c>
      <c r="K41" s="219" t="str">
        <f t="array" ref="K41">IFERROR(I41*INDEX('PORTIFÓLIO'!$S$4:$S$433,MATCH($C41,'PORTIFÓLIO'!$C$4:$C$433,0)),"")</f>
        <v/>
      </c>
      <c r="L41" s="219" t="str">
        <f t="array" ref="L41">IFERROR(J41*INDEX('PORTIFÓLIO'!$S$4:$S$433,MATCH($C41,'PORTIFÓLIO'!$C$4:$C$433,0)),"")</f>
        <v/>
      </c>
      <c r="M41" s="220"/>
      <c r="N41" s="220"/>
      <c r="O41" s="220"/>
      <c r="P41" s="220"/>
      <c r="Q41" s="220"/>
      <c r="R41" s="220"/>
      <c r="S41" s="220"/>
      <c r="T41" s="220"/>
      <c r="U41" s="220"/>
      <c r="V41" s="220"/>
      <c r="W41" s="220"/>
    </row>
    <row r="42" ht="15.75" customHeight="1" outlineLevel="1">
      <c r="A42" s="211"/>
      <c r="B42" s="212"/>
      <c r="C42" s="213"/>
      <c r="D42" s="214" t="str">
        <f>IFERROR(VLOOKUP($C42,'PORTIFÓLIO'!C:V,2,0),"")</f>
        <v/>
      </c>
      <c r="E42" s="211" t="str">
        <f>IFERROR(VLOOKUP($C42,'PORTIFÓLIO'!C:V,3,0),"")</f>
        <v/>
      </c>
      <c r="F42" s="211" t="str">
        <f>IFERROR(VLOOKUP($C42,'PORTIFÓLIO'!C:V,4,0),"")</f>
        <v/>
      </c>
      <c r="G42" s="215" t="str">
        <f>IFERROR(VLOOKUP($C42,'PORTIFÓLIO'!C:V,5,0),"")</f>
        <v/>
      </c>
      <c r="H42" s="254" t="str">
        <f t="array" ref="H42">IFERROR(INDEX('PORTIFÓLIO'!$H$4:$H$433,MATCH($C42,'PORTIFÓLIO'!$C$4:$C$433,0)),"")</f>
        <v/>
      </c>
      <c r="I42" s="256"/>
      <c r="J42" s="218">
        <f t="shared" si="4"/>
        <v>0</v>
      </c>
      <c r="K42" s="219" t="str">
        <f t="array" ref="K42">IFERROR(I42*INDEX('PORTIFÓLIO'!$S$4:$S$433,MATCH($C42,'PORTIFÓLIO'!$C$4:$C$433,0)),"")</f>
        <v/>
      </c>
      <c r="L42" s="219" t="str">
        <f t="array" ref="L42">IFERROR(J42*INDEX('PORTIFÓLIO'!$S$4:$S$433,MATCH($C42,'PORTIFÓLIO'!$C$4:$C$433,0)),"")</f>
        <v/>
      </c>
      <c r="M42" s="220"/>
      <c r="N42" s="220"/>
      <c r="O42" s="220"/>
      <c r="P42" s="220"/>
      <c r="Q42" s="220"/>
      <c r="R42" s="220"/>
      <c r="S42" s="220"/>
      <c r="T42" s="220"/>
      <c r="U42" s="220"/>
      <c r="V42" s="220"/>
      <c r="W42" s="220"/>
    </row>
    <row r="43" ht="15.75" customHeight="1" outlineLevel="1">
      <c r="A43" s="211"/>
      <c r="B43" s="212"/>
      <c r="C43" s="213"/>
      <c r="D43" s="214" t="str">
        <f>IFERROR(VLOOKUP($C43,'PORTIFÓLIO'!C:V,2,0),"")</f>
        <v/>
      </c>
      <c r="E43" s="211" t="str">
        <f>IFERROR(VLOOKUP($C43,'PORTIFÓLIO'!C:V,3,0),"")</f>
        <v/>
      </c>
      <c r="F43" s="211" t="str">
        <f>IFERROR(VLOOKUP($C43,'PORTIFÓLIO'!C:V,4,0),"")</f>
        <v/>
      </c>
      <c r="G43" s="215" t="str">
        <f>IFERROR(VLOOKUP($C43,'PORTIFÓLIO'!C:V,5,0),"")</f>
        <v/>
      </c>
      <c r="H43" s="254" t="str">
        <f t="array" ref="H43">IFERROR(INDEX('PORTIFÓLIO'!$H$4:$H$433,MATCH($C43,'PORTIFÓLIO'!$C$4:$C$433,0)),"")</f>
        <v/>
      </c>
      <c r="I43" s="256"/>
      <c r="J43" s="218">
        <f t="shared" si="4"/>
        <v>0</v>
      </c>
      <c r="K43" s="219" t="str">
        <f t="array" ref="K43">IFERROR(I43*INDEX('PORTIFÓLIO'!$S$4:$S$433,MATCH($C43,'PORTIFÓLIO'!$C$4:$C$433,0)),"")</f>
        <v/>
      </c>
      <c r="L43" s="219" t="str">
        <f t="array" ref="L43">IFERROR(J43*INDEX('PORTIFÓLIO'!$S$4:$S$433,MATCH($C43,'PORTIFÓLIO'!$C$4:$C$433,0)),"")</f>
        <v/>
      </c>
      <c r="M43" s="220"/>
      <c r="N43" s="220"/>
      <c r="O43" s="220"/>
      <c r="P43" s="220"/>
      <c r="Q43" s="220"/>
      <c r="R43" s="220"/>
      <c r="S43" s="220"/>
      <c r="T43" s="220"/>
      <c r="U43" s="220"/>
      <c r="V43" s="220"/>
      <c r="W43" s="220"/>
    </row>
    <row r="44" ht="15.75" customHeight="1">
      <c r="A44" s="229" t="s">
        <v>1185</v>
      </c>
      <c r="B44" s="230"/>
      <c r="C44" s="231"/>
      <c r="D44" s="232" t="s">
        <v>216</v>
      </c>
      <c r="E44" s="231"/>
      <c r="F44" s="231"/>
      <c r="G44" s="233"/>
      <c r="H44" s="233"/>
      <c r="I44" s="258"/>
      <c r="J44" s="236"/>
      <c r="K44" s="237">
        <f t="shared" ref="K44:L44" si="5">SUBTOTAL(9,K45:K58)</f>
        <v>0</v>
      </c>
      <c r="L44" s="237">
        <f t="shared" si="5"/>
        <v>0</v>
      </c>
      <c r="M44" s="220"/>
      <c r="N44" s="220"/>
      <c r="O44" s="220"/>
      <c r="P44" s="220"/>
      <c r="Q44" s="220"/>
      <c r="R44" s="220"/>
      <c r="S44" s="220"/>
      <c r="T44" s="220"/>
      <c r="U44" s="220"/>
      <c r="V44" s="220"/>
      <c r="W44" s="220"/>
    </row>
    <row r="45" ht="15.75" customHeight="1" outlineLevel="1">
      <c r="A45" s="213"/>
      <c r="B45" s="212" t="s">
        <v>5</v>
      </c>
      <c r="C45" s="213" t="s">
        <v>1067</v>
      </c>
      <c r="D45" s="214" t="str">
        <f>IFERROR(VLOOKUP($C45,'PORTIFÓLIO'!C:V,2,0),"")</f>
        <v/>
      </c>
      <c r="E45" s="211" t="str">
        <f>IFERROR(VLOOKUP($C45,'PORTIFÓLIO'!C:V,3,0),"")</f>
        <v/>
      </c>
      <c r="F45" s="211" t="str">
        <f>IFERROR(VLOOKUP($C45,'PORTIFÓLIO'!C:V,4,0),"")</f>
        <v>KG</v>
      </c>
      <c r="G45" s="225" t="str">
        <f>IFERROR(VLOOKUP($C45,'PORTIFÓLIO'!C:V,5,0),"")</f>
        <v>📄 Ver bula</v>
      </c>
      <c r="H45" s="254" t="str">
        <f t="array" ref="H45">IFERROR(INDEX('PORTIFÓLIO'!$H$4:$H$433,MATCH($C45,'PORTIFÓLIO'!$C$4:$C$433,0)),"")</f>
        <v/>
      </c>
      <c r="I45" s="255">
        <v>3.0</v>
      </c>
      <c r="J45" s="218">
        <f t="shared" ref="J45:J62" si="6">I45*$B$2</f>
        <v>660</v>
      </c>
      <c r="K45" s="219">
        <f t="array" ref="K45">IFERROR(I45*INDEX('PORTIFÓLIO'!$S$4:$S$433,MATCH($C45,'PORTIFÓLIO'!$C$4:$C$433,0)),"")</f>
        <v>0</v>
      </c>
      <c r="L45" s="219">
        <f t="array" ref="L45">IFERROR(J45*INDEX('PORTIFÓLIO'!$S$4:$S$433,MATCH($C45,'PORTIFÓLIO'!$C$4:$C$433,0)),"")</f>
        <v>0</v>
      </c>
      <c r="M45" s="220"/>
      <c r="N45" s="220"/>
      <c r="O45" s="220"/>
      <c r="P45" s="220"/>
      <c r="Q45" s="220"/>
      <c r="R45" s="220"/>
      <c r="S45" s="220"/>
      <c r="T45" s="220"/>
      <c r="U45" s="220"/>
      <c r="V45" s="220"/>
      <c r="W45" s="220"/>
    </row>
    <row r="46" ht="15.75" customHeight="1" outlineLevel="1">
      <c r="A46" s="211"/>
      <c r="B46" s="212"/>
      <c r="C46" s="213"/>
      <c r="D46" s="214" t="str">
        <f>IFERROR(VLOOKUP($C46,'PORTIFÓLIO'!C:V,2,0),"")</f>
        <v/>
      </c>
      <c r="E46" s="211" t="str">
        <f>IFERROR(VLOOKUP($C46,'PORTIFÓLIO'!C:V,3,0),"")</f>
        <v/>
      </c>
      <c r="F46" s="211" t="str">
        <f>IFERROR(VLOOKUP($C46,'PORTIFÓLIO'!C:V,4,0),"")</f>
        <v/>
      </c>
      <c r="G46" s="215" t="str">
        <f>IFERROR(VLOOKUP($C46,'PORTIFÓLIO'!C:V,5,0),"")</f>
        <v/>
      </c>
      <c r="H46" s="254" t="str">
        <f t="array" ref="H46">IFERROR(INDEX('PORTIFÓLIO'!$H$4:$H$433,MATCH($C46,'PORTIFÓLIO'!$C$4:$C$433,0)),"")</f>
        <v/>
      </c>
      <c r="I46" s="255"/>
      <c r="J46" s="218">
        <f t="shared" si="6"/>
        <v>0</v>
      </c>
      <c r="K46" s="219" t="str">
        <f t="array" ref="K46">IFERROR(I46*INDEX('PORTIFÓLIO'!$S$4:$S$433,MATCH($C46,'PORTIFÓLIO'!$C$4:$C$433,0)),"")</f>
        <v/>
      </c>
      <c r="L46" s="219" t="str">
        <f t="array" ref="L46">IFERROR(J46*INDEX('PORTIFÓLIO'!$S$4:$S$433,MATCH($C46,'PORTIFÓLIO'!$C$4:$C$433,0)),"")</f>
        <v/>
      </c>
      <c r="M46" s="220"/>
      <c r="N46" s="220"/>
      <c r="O46" s="220"/>
      <c r="P46" s="220"/>
      <c r="Q46" s="220"/>
      <c r="R46" s="220"/>
      <c r="S46" s="220"/>
      <c r="T46" s="220"/>
      <c r="U46" s="220"/>
      <c r="V46" s="220"/>
      <c r="W46" s="220"/>
    </row>
    <row r="47" ht="15.75" customHeight="1" outlineLevel="1">
      <c r="A47" s="211"/>
      <c r="B47" s="212"/>
      <c r="C47" s="213"/>
      <c r="D47" s="214" t="str">
        <f>IFERROR(VLOOKUP($C47,'PORTIFÓLIO'!C:V,2,0),"")</f>
        <v/>
      </c>
      <c r="E47" s="211" t="str">
        <f>IFERROR(VLOOKUP($C47,'PORTIFÓLIO'!C:V,3,0),"")</f>
        <v/>
      </c>
      <c r="F47" s="211" t="str">
        <f>IFERROR(VLOOKUP($C47,'PORTIFÓLIO'!C:V,4,0),"")</f>
        <v/>
      </c>
      <c r="G47" s="215" t="str">
        <f>IFERROR(VLOOKUP($C47,'PORTIFÓLIO'!C:V,5,0),"")</f>
        <v/>
      </c>
      <c r="H47" s="254" t="str">
        <f t="array" ref="H47">IFERROR(INDEX('PORTIFÓLIO'!$H$4:$H$433,MATCH($C47,'PORTIFÓLIO'!$C$4:$C$433,0)),"")</f>
        <v/>
      </c>
      <c r="I47" s="255"/>
      <c r="J47" s="218">
        <f t="shared" si="6"/>
        <v>0</v>
      </c>
      <c r="K47" s="219" t="str">
        <f t="array" ref="K47">IFERROR(I47*INDEX('PORTIFÓLIO'!$S$4:$S$433,MATCH($C47,'PORTIFÓLIO'!$C$4:$C$433,0)),"")</f>
        <v/>
      </c>
      <c r="L47" s="219" t="str">
        <f t="array" ref="L47">IFERROR(J47*INDEX('PORTIFÓLIO'!$S$4:$S$433,MATCH($C47,'PORTIFÓLIO'!$C$4:$C$433,0)),"")</f>
        <v/>
      </c>
      <c r="M47" s="220"/>
      <c r="N47" s="220"/>
      <c r="O47" s="220"/>
      <c r="P47" s="220"/>
      <c r="Q47" s="220"/>
      <c r="R47" s="220"/>
      <c r="S47" s="220"/>
      <c r="T47" s="220"/>
      <c r="U47" s="220"/>
      <c r="V47" s="220"/>
      <c r="W47" s="220"/>
    </row>
    <row r="48" ht="15.75" customHeight="1" outlineLevel="1">
      <c r="A48" s="211"/>
      <c r="B48" s="212"/>
      <c r="C48" s="213"/>
      <c r="D48" s="214" t="str">
        <f>IFERROR(VLOOKUP($C48,'PORTIFÓLIO'!C:V,2,0),"")</f>
        <v/>
      </c>
      <c r="E48" s="211" t="str">
        <f>IFERROR(VLOOKUP($C48,'PORTIFÓLIO'!C:V,3,0),"")</f>
        <v/>
      </c>
      <c r="F48" s="211" t="str">
        <f>IFERROR(VLOOKUP($C48,'PORTIFÓLIO'!C:V,4,0),"")</f>
        <v/>
      </c>
      <c r="G48" s="215" t="str">
        <f>IFERROR(VLOOKUP($C48,'PORTIFÓLIO'!C:V,5,0),"")</f>
        <v/>
      </c>
      <c r="H48" s="254" t="str">
        <f t="array" ref="H48">IFERROR(INDEX('PORTIFÓLIO'!$H$4:$H$433,MATCH($C48,'PORTIFÓLIO'!$C$4:$C$433,0)),"")</f>
        <v/>
      </c>
      <c r="I48" s="255"/>
      <c r="J48" s="218">
        <f t="shared" si="6"/>
        <v>0</v>
      </c>
      <c r="K48" s="219" t="str">
        <f t="array" ref="K48">IFERROR(I48*INDEX('PORTIFÓLIO'!$S$4:$S$433,MATCH($C48,'PORTIFÓLIO'!$C$4:$C$433,0)),"")</f>
        <v/>
      </c>
      <c r="L48" s="219" t="str">
        <f t="array" ref="L48">IFERROR(J48*INDEX('PORTIFÓLIO'!$S$4:$S$433,MATCH($C48,'PORTIFÓLIO'!$C$4:$C$433,0)),"")</f>
        <v/>
      </c>
      <c r="M48" s="220"/>
      <c r="N48" s="220"/>
      <c r="O48" s="220"/>
      <c r="P48" s="220"/>
      <c r="Q48" s="220"/>
      <c r="R48" s="220"/>
      <c r="S48" s="220"/>
      <c r="T48" s="220"/>
      <c r="U48" s="220"/>
      <c r="V48" s="220"/>
      <c r="W48" s="220"/>
    </row>
    <row r="49" ht="15.75" customHeight="1" outlineLevel="1">
      <c r="A49" s="211"/>
      <c r="B49" s="212"/>
      <c r="C49" s="213"/>
      <c r="D49" s="214" t="str">
        <f>IFERROR(VLOOKUP($C49,'PORTIFÓLIO'!C:V,2,0),"")</f>
        <v/>
      </c>
      <c r="E49" s="211" t="str">
        <f>IFERROR(VLOOKUP($C49,'PORTIFÓLIO'!C:V,3,0),"")</f>
        <v/>
      </c>
      <c r="F49" s="211" t="str">
        <f>IFERROR(VLOOKUP($C49,'PORTIFÓLIO'!C:V,4,0),"")</f>
        <v/>
      </c>
      <c r="G49" s="215" t="str">
        <f>IFERROR(VLOOKUP($C49,'PORTIFÓLIO'!C:V,5,0),"")</f>
        <v/>
      </c>
      <c r="H49" s="254" t="str">
        <f t="array" ref="H49">IFERROR(INDEX('PORTIFÓLIO'!$H$4:$H$433,MATCH($C49,'PORTIFÓLIO'!$C$4:$C$433,0)),"")</f>
        <v/>
      </c>
      <c r="I49" s="256"/>
      <c r="J49" s="218">
        <f t="shared" si="6"/>
        <v>0</v>
      </c>
      <c r="K49" s="219" t="str">
        <f t="array" ref="K49">IFERROR(I49*INDEX('PORTIFÓLIO'!$S$4:$S$433,MATCH($C49,'PORTIFÓLIO'!$C$4:$C$433,0)),"")</f>
        <v/>
      </c>
      <c r="L49" s="219" t="str">
        <f t="array" ref="L49">IFERROR(J49*INDEX('PORTIFÓLIO'!$S$4:$S$433,MATCH($C49,'PORTIFÓLIO'!$C$4:$C$433,0)),"")</f>
        <v/>
      </c>
      <c r="M49" s="220"/>
      <c r="N49" s="220"/>
      <c r="O49" s="220"/>
      <c r="P49" s="220"/>
      <c r="Q49" s="220"/>
      <c r="R49" s="220"/>
      <c r="S49" s="220"/>
      <c r="T49" s="220"/>
      <c r="U49" s="220"/>
      <c r="V49" s="220"/>
      <c r="W49" s="220"/>
    </row>
    <row r="50" ht="15.75" customHeight="1" outlineLevel="1">
      <c r="A50" s="211"/>
      <c r="B50" s="212"/>
      <c r="C50" s="213"/>
      <c r="D50" s="214" t="str">
        <f>IFERROR(VLOOKUP($C50,'PORTIFÓLIO'!C:V,2,0),"")</f>
        <v/>
      </c>
      <c r="E50" s="211" t="str">
        <f>IFERROR(VLOOKUP($C50,'PORTIFÓLIO'!C:V,3,0),"")</f>
        <v/>
      </c>
      <c r="F50" s="211" t="str">
        <f>IFERROR(VLOOKUP($C50,'PORTIFÓLIO'!C:V,4,0),"")</f>
        <v/>
      </c>
      <c r="G50" s="215" t="str">
        <f>IFERROR(VLOOKUP($C50,'PORTIFÓLIO'!C:V,5,0),"")</f>
        <v/>
      </c>
      <c r="H50" s="254" t="str">
        <f t="array" ref="H50">IFERROR(INDEX('PORTIFÓLIO'!$H$4:$H$433,MATCH($C50,'PORTIFÓLIO'!$C$4:$C$433,0)),"")</f>
        <v/>
      </c>
      <c r="I50" s="256"/>
      <c r="J50" s="218">
        <f t="shared" si="6"/>
        <v>0</v>
      </c>
      <c r="K50" s="219" t="str">
        <f t="array" ref="K50">IFERROR(I50*INDEX('PORTIFÓLIO'!$S$4:$S$433,MATCH($C50,'PORTIFÓLIO'!$C$4:$C$433,0)),"")</f>
        <v/>
      </c>
      <c r="L50" s="219" t="str">
        <f t="array" ref="L50">IFERROR(J50*INDEX('PORTIFÓLIO'!$S$4:$S$433,MATCH($C50,'PORTIFÓLIO'!$C$4:$C$433,0)),"")</f>
        <v/>
      </c>
      <c r="M50" s="220"/>
      <c r="N50" s="220"/>
      <c r="O50" s="220"/>
      <c r="P50" s="220"/>
      <c r="Q50" s="220"/>
      <c r="R50" s="220"/>
      <c r="S50" s="220"/>
      <c r="T50" s="220"/>
      <c r="U50" s="220"/>
      <c r="V50" s="220"/>
      <c r="W50" s="220"/>
    </row>
    <row r="51" ht="15.75" customHeight="1" outlineLevel="1">
      <c r="A51" s="211"/>
      <c r="B51" s="212"/>
      <c r="C51" s="213"/>
      <c r="D51" s="214" t="str">
        <f>IFERROR(VLOOKUP($C51,'PORTIFÓLIO'!C:V,2,0),"")</f>
        <v/>
      </c>
      <c r="E51" s="211" t="str">
        <f>IFERROR(VLOOKUP($C51,'PORTIFÓLIO'!C:V,3,0),"")</f>
        <v/>
      </c>
      <c r="F51" s="211" t="str">
        <f>IFERROR(VLOOKUP($C51,'PORTIFÓLIO'!C:V,4,0),"")</f>
        <v/>
      </c>
      <c r="G51" s="215" t="str">
        <f>IFERROR(VLOOKUP($C51,'PORTIFÓLIO'!C:V,5,0),"")</f>
        <v/>
      </c>
      <c r="H51" s="254" t="str">
        <f t="array" ref="H51">IFERROR(INDEX('PORTIFÓLIO'!$H$4:$H$433,MATCH($C51,'PORTIFÓLIO'!$C$4:$C$433,0)),"")</f>
        <v/>
      </c>
      <c r="I51" s="256"/>
      <c r="J51" s="218">
        <f t="shared" si="6"/>
        <v>0</v>
      </c>
      <c r="K51" s="219" t="str">
        <f t="array" ref="K51">IFERROR(I51*INDEX('PORTIFÓLIO'!$S$4:$S$433,MATCH($C51,'PORTIFÓLIO'!$C$4:$C$433,0)),"")</f>
        <v/>
      </c>
      <c r="L51" s="219" t="str">
        <f t="array" ref="L51">IFERROR(J51*INDEX('PORTIFÓLIO'!$S$4:$S$433,MATCH($C51,'PORTIFÓLIO'!$C$4:$C$433,0)),"")</f>
        <v/>
      </c>
      <c r="M51" s="220"/>
      <c r="N51" s="220"/>
      <c r="O51" s="220"/>
      <c r="P51" s="220"/>
      <c r="Q51" s="220"/>
      <c r="R51" s="220"/>
      <c r="S51" s="220"/>
      <c r="T51" s="220"/>
      <c r="U51" s="220"/>
      <c r="V51" s="220"/>
      <c r="W51" s="220"/>
    </row>
    <row r="52" ht="15.75" customHeight="1" outlineLevel="1">
      <c r="A52" s="211"/>
      <c r="B52" s="212"/>
      <c r="C52" s="213"/>
      <c r="D52" s="214" t="str">
        <f>IFERROR(VLOOKUP($C52,'PORTIFÓLIO'!C:V,2,0),"")</f>
        <v/>
      </c>
      <c r="E52" s="211" t="str">
        <f>IFERROR(VLOOKUP($C52,'PORTIFÓLIO'!C:V,3,0),"")</f>
        <v/>
      </c>
      <c r="F52" s="211" t="str">
        <f>IFERROR(VLOOKUP($C52,'PORTIFÓLIO'!C:V,4,0),"")</f>
        <v/>
      </c>
      <c r="G52" s="215" t="str">
        <f>IFERROR(VLOOKUP($C52,'PORTIFÓLIO'!C:V,5,0),"")</f>
        <v/>
      </c>
      <c r="H52" s="254" t="str">
        <f t="array" ref="H52">IFERROR(INDEX('PORTIFÓLIO'!$H$4:$H$433,MATCH($C52,'PORTIFÓLIO'!$C$4:$C$433,0)),"")</f>
        <v/>
      </c>
      <c r="I52" s="256"/>
      <c r="J52" s="218">
        <f t="shared" si="6"/>
        <v>0</v>
      </c>
      <c r="K52" s="219" t="str">
        <f t="array" ref="K52">IFERROR(I52*INDEX('PORTIFÓLIO'!$S$4:$S$433,MATCH($C52,'PORTIFÓLIO'!$C$4:$C$433,0)),"")</f>
        <v/>
      </c>
      <c r="L52" s="219" t="str">
        <f t="array" ref="L52">IFERROR(J52*INDEX('PORTIFÓLIO'!$S$4:$S$433,MATCH($C52,'PORTIFÓLIO'!$C$4:$C$433,0)),"")</f>
        <v/>
      </c>
      <c r="M52" s="220"/>
      <c r="N52" s="220"/>
      <c r="O52" s="220"/>
      <c r="P52" s="220"/>
      <c r="Q52" s="220"/>
      <c r="R52" s="220"/>
      <c r="S52" s="220"/>
      <c r="T52" s="220"/>
      <c r="U52" s="220"/>
      <c r="V52" s="220"/>
      <c r="W52" s="220"/>
    </row>
    <row r="53" ht="15.75" customHeight="1" outlineLevel="1">
      <c r="A53" s="211"/>
      <c r="B53" s="212"/>
      <c r="C53" s="213"/>
      <c r="D53" s="214" t="str">
        <f>IFERROR(VLOOKUP($C53,'PORTIFÓLIO'!C:V,2,0),"")</f>
        <v/>
      </c>
      <c r="E53" s="211" t="str">
        <f>IFERROR(VLOOKUP($C53,'PORTIFÓLIO'!C:V,3,0),"")</f>
        <v/>
      </c>
      <c r="F53" s="211" t="str">
        <f>IFERROR(VLOOKUP($C53,'PORTIFÓLIO'!C:V,4,0),"")</f>
        <v/>
      </c>
      <c r="G53" s="215" t="str">
        <f>IFERROR(VLOOKUP($C53,'PORTIFÓLIO'!C:V,5,0),"")</f>
        <v/>
      </c>
      <c r="H53" s="254" t="str">
        <f t="array" ref="H53">IFERROR(INDEX('PORTIFÓLIO'!$H$4:$H$433,MATCH($C53,'PORTIFÓLIO'!$C$4:$C$433,0)),"")</f>
        <v/>
      </c>
      <c r="I53" s="255"/>
      <c r="J53" s="218">
        <f t="shared" si="6"/>
        <v>0</v>
      </c>
      <c r="K53" s="219" t="str">
        <f t="array" ref="K53">IFERROR(I53*INDEX('PORTIFÓLIO'!$S$4:$S$433,MATCH($C53,'PORTIFÓLIO'!$C$4:$C$433,0)),"")</f>
        <v/>
      </c>
      <c r="L53" s="219" t="str">
        <f t="array" ref="L53">IFERROR(J53*INDEX('PORTIFÓLIO'!$S$4:$S$433,MATCH($C53,'PORTIFÓLIO'!$C$4:$C$433,0)),"")</f>
        <v/>
      </c>
      <c r="M53" s="220"/>
      <c r="N53" s="220"/>
      <c r="O53" s="220"/>
      <c r="P53" s="220"/>
      <c r="Q53" s="220"/>
      <c r="R53" s="220"/>
      <c r="S53" s="220"/>
      <c r="T53" s="220"/>
      <c r="U53" s="220"/>
      <c r="V53" s="220"/>
      <c r="W53" s="220"/>
    </row>
    <row r="54" ht="15.75" customHeight="1" outlineLevel="1">
      <c r="A54" s="211"/>
      <c r="B54" s="212"/>
      <c r="C54" s="213"/>
      <c r="D54" s="214" t="str">
        <f>IFERROR(VLOOKUP($C54,'PORTIFÓLIO'!C:V,2,0),"")</f>
        <v/>
      </c>
      <c r="E54" s="211" t="str">
        <f>IFERROR(VLOOKUP($C54,'PORTIFÓLIO'!C:V,3,0),"")</f>
        <v/>
      </c>
      <c r="F54" s="211" t="str">
        <f>IFERROR(VLOOKUP($C54,'PORTIFÓLIO'!C:V,4,0),"")</f>
        <v/>
      </c>
      <c r="G54" s="215" t="str">
        <f>IFERROR(VLOOKUP($C54,'PORTIFÓLIO'!C:V,5,0),"")</f>
        <v/>
      </c>
      <c r="H54" s="254" t="str">
        <f t="array" ref="H54">IFERROR(INDEX('PORTIFÓLIO'!$H$4:$H$433,MATCH($C54,'PORTIFÓLIO'!$C$4:$C$433,0)),"")</f>
        <v/>
      </c>
      <c r="I54" s="256"/>
      <c r="J54" s="218">
        <f t="shared" si="6"/>
        <v>0</v>
      </c>
      <c r="K54" s="219" t="str">
        <f t="array" ref="K54">IFERROR(I54*INDEX('PORTIFÓLIO'!$S$4:$S$433,MATCH($C54,'PORTIFÓLIO'!$C$4:$C$433,0)),"")</f>
        <v/>
      </c>
      <c r="L54" s="219" t="str">
        <f t="array" ref="L54">IFERROR(J54*INDEX('PORTIFÓLIO'!$S$4:$S$433,MATCH($C54,'PORTIFÓLIO'!$C$4:$C$433,0)),"")</f>
        <v/>
      </c>
      <c r="M54" s="220"/>
      <c r="N54" s="220"/>
      <c r="O54" s="220"/>
      <c r="P54" s="220"/>
      <c r="Q54" s="220"/>
      <c r="R54" s="220"/>
      <c r="S54" s="220"/>
      <c r="T54" s="220"/>
      <c r="U54" s="220"/>
      <c r="V54" s="220"/>
      <c r="W54" s="220"/>
    </row>
    <row r="55" ht="15.75" customHeight="1" outlineLevel="1">
      <c r="A55" s="211"/>
      <c r="B55" s="212"/>
      <c r="C55" s="213"/>
      <c r="D55" s="214" t="str">
        <f>IFERROR(VLOOKUP($C55,'PORTIFÓLIO'!C:V,2,0),"")</f>
        <v/>
      </c>
      <c r="E55" s="211" t="str">
        <f>IFERROR(VLOOKUP($C55,'PORTIFÓLIO'!C:V,3,0),"")</f>
        <v/>
      </c>
      <c r="F55" s="211" t="str">
        <f>IFERROR(VLOOKUP($C55,'PORTIFÓLIO'!C:V,4,0),"")</f>
        <v/>
      </c>
      <c r="G55" s="215" t="str">
        <f>IFERROR(VLOOKUP($C55,'PORTIFÓLIO'!C:V,5,0),"")</f>
        <v/>
      </c>
      <c r="H55" s="254" t="str">
        <f t="array" ref="H55">IFERROR(INDEX('PORTIFÓLIO'!$H$4:$H$433,MATCH($C55,'PORTIFÓLIO'!$C$4:$C$433,0)),"")</f>
        <v/>
      </c>
      <c r="I55" s="256"/>
      <c r="J55" s="218">
        <f t="shared" si="6"/>
        <v>0</v>
      </c>
      <c r="K55" s="219" t="str">
        <f t="array" ref="K55">IFERROR(I55*INDEX('PORTIFÓLIO'!$S$4:$S$433,MATCH($C55,'PORTIFÓLIO'!$C$4:$C$433,0)),"")</f>
        <v/>
      </c>
      <c r="L55" s="219" t="str">
        <f t="array" ref="L55">IFERROR(J55*INDEX('PORTIFÓLIO'!$S$4:$S$433,MATCH($C55,'PORTIFÓLIO'!$C$4:$C$433,0)),"")</f>
        <v/>
      </c>
      <c r="M55" s="220"/>
      <c r="N55" s="220"/>
      <c r="O55" s="220"/>
      <c r="P55" s="220"/>
      <c r="Q55" s="220"/>
      <c r="R55" s="220"/>
      <c r="S55" s="220"/>
      <c r="T55" s="220"/>
      <c r="U55" s="220"/>
      <c r="V55" s="220"/>
      <c r="W55" s="220"/>
    </row>
    <row r="56" ht="15.75" customHeight="1" outlineLevel="1">
      <c r="A56" s="211"/>
      <c r="B56" s="212"/>
      <c r="C56" s="213"/>
      <c r="D56" s="214" t="str">
        <f>IFERROR(VLOOKUP($C56,'PORTIFÓLIO'!C:V,2,0),"")</f>
        <v/>
      </c>
      <c r="E56" s="211" t="str">
        <f>IFERROR(VLOOKUP($C56,'PORTIFÓLIO'!C:V,3,0),"")</f>
        <v/>
      </c>
      <c r="F56" s="211" t="str">
        <f>IFERROR(VLOOKUP($C56,'PORTIFÓLIO'!C:V,4,0),"")</f>
        <v/>
      </c>
      <c r="G56" s="215" t="str">
        <f>IFERROR(VLOOKUP($C56,'PORTIFÓLIO'!C:V,5,0),"")</f>
        <v/>
      </c>
      <c r="H56" s="254" t="str">
        <f t="array" ref="H56">IFERROR(INDEX('PORTIFÓLIO'!$H$4:$H$433,MATCH($C56,'PORTIFÓLIO'!$C$4:$C$433,0)),"")</f>
        <v/>
      </c>
      <c r="I56" s="256"/>
      <c r="J56" s="218">
        <f t="shared" si="6"/>
        <v>0</v>
      </c>
      <c r="K56" s="219" t="str">
        <f t="array" ref="K56">IFERROR(I56*INDEX('PORTIFÓLIO'!$S$4:$S$433,MATCH($C56,'PORTIFÓLIO'!$C$4:$C$433,0)),"")</f>
        <v/>
      </c>
      <c r="L56" s="219" t="str">
        <f t="array" ref="L56">IFERROR(J56*INDEX('PORTIFÓLIO'!$S$4:$S$433,MATCH($C56,'PORTIFÓLIO'!$C$4:$C$433,0)),"")</f>
        <v/>
      </c>
      <c r="M56" s="220"/>
      <c r="N56" s="220"/>
      <c r="O56" s="220"/>
      <c r="P56" s="220"/>
      <c r="Q56" s="220"/>
      <c r="R56" s="220"/>
      <c r="S56" s="220"/>
      <c r="T56" s="220"/>
      <c r="U56" s="220"/>
      <c r="V56" s="220"/>
      <c r="W56" s="220"/>
    </row>
    <row r="57" ht="15.75" customHeight="1" outlineLevel="1">
      <c r="A57" s="211"/>
      <c r="B57" s="212"/>
      <c r="C57" s="213"/>
      <c r="D57" s="214" t="str">
        <f>IFERROR(VLOOKUP($C57,'PORTIFÓLIO'!C:V,2,0),"")</f>
        <v/>
      </c>
      <c r="E57" s="211" t="str">
        <f>IFERROR(VLOOKUP($C57,'PORTIFÓLIO'!C:V,3,0),"")</f>
        <v/>
      </c>
      <c r="F57" s="211" t="str">
        <f>IFERROR(VLOOKUP($C57,'PORTIFÓLIO'!C:V,4,0),"")</f>
        <v/>
      </c>
      <c r="G57" s="215" t="str">
        <f>IFERROR(VLOOKUP($C57,'PORTIFÓLIO'!C:V,5,0),"")</f>
        <v/>
      </c>
      <c r="H57" s="254" t="str">
        <f t="array" ref="H57">IFERROR(INDEX('PORTIFÓLIO'!$H$4:$H$433,MATCH($C57,'PORTIFÓLIO'!$C$4:$C$433,0)),"")</f>
        <v/>
      </c>
      <c r="I57" s="256"/>
      <c r="J57" s="218">
        <f t="shared" si="6"/>
        <v>0</v>
      </c>
      <c r="K57" s="219" t="str">
        <f t="array" ref="K57">IFERROR(I57*INDEX('PORTIFÓLIO'!$S$4:$S$433,MATCH($C57,'PORTIFÓLIO'!$C$4:$C$433,0)),"")</f>
        <v/>
      </c>
      <c r="L57" s="219" t="str">
        <f t="array" ref="L57">IFERROR(J57*INDEX('PORTIFÓLIO'!$S$4:$S$433,MATCH($C57,'PORTIFÓLIO'!$C$4:$C$433,0)),"")</f>
        <v/>
      </c>
      <c r="M57" s="220"/>
      <c r="N57" s="220"/>
      <c r="O57" s="220"/>
      <c r="P57" s="220"/>
      <c r="Q57" s="220"/>
      <c r="R57" s="220"/>
      <c r="S57" s="220"/>
      <c r="T57" s="220"/>
      <c r="U57" s="220"/>
      <c r="V57" s="220"/>
      <c r="W57" s="220"/>
    </row>
    <row r="58" ht="15.75" customHeight="1" outlineLevel="1">
      <c r="A58" s="211"/>
      <c r="B58" s="212"/>
      <c r="C58" s="213"/>
      <c r="D58" s="214" t="str">
        <f>IFERROR(VLOOKUP($C58,'PORTIFÓLIO'!C:V,2,0),"")</f>
        <v/>
      </c>
      <c r="E58" s="211" t="str">
        <f>IFERROR(VLOOKUP($C58,'PORTIFÓLIO'!C:V,3,0),"")</f>
        <v/>
      </c>
      <c r="F58" s="211" t="str">
        <f>IFERROR(VLOOKUP($C58,'PORTIFÓLIO'!C:V,4,0),"")</f>
        <v/>
      </c>
      <c r="G58" s="215" t="str">
        <f>IFERROR(VLOOKUP($C58,'PORTIFÓLIO'!C:V,5,0),"")</f>
        <v/>
      </c>
      <c r="H58" s="254" t="str">
        <f t="array" ref="H58">IFERROR(INDEX('PORTIFÓLIO'!$H$4:$H$433,MATCH($C58,'PORTIFÓLIO'!$C$4:$C$433,0)),"")</f>
        <v/>
      </c>
      <c r="I58" s="256"/>
      <c r="J58" s="218">
        <f t="shared" si="6"/>
        <v>0</v>
      </c>
      <c r="K58" s="219" t="str">
        <f t="array" ref="K58">IFERROR(I58*INDEX('PORTIFÓLIO'!$S$4:$S$433,MATCH($C58,'PORTIFÓLIO'!$C$4:$C$433,0)),"")</f>
        <v/>
      </c>
      <c r="L58" s="219" t="str">
        <f t="array" ref="L58">IFERROR(J58*INDEX('PORTIFÓLIO'!$S$4:$S$433,MATCH($C58,'PORTIFÓLIO'!$C$4:$C$433,0)),"")</f>
        <v/>
      </c>
      <c r="M58" s="220"/>
      <c r="N58" s="220"/>
      <c r="O58" s="220"/>
      <c r="P58" s="220"/>
      <c r="Q58" s="220"/>
      <c r="R58" s="220"/>
      <c r="S58" s="220"/>
      <c r="T58" s="220"/>
      <c r="U58" s="220"/>
      <c r="V58" s="220"/>
      <c r="W58" s="220"/>
    </row>
    <row r="59" ht="15.75" customHeight="1" outlineLevel="1">
      <c r="A59" s="211"/>
      <c r="B59" s="212"/>
      <c r="C59" s="213"/>
      <c r="D59" s="214" t="str">
        <f>IFERROR(VLOOKUP($C59,'PORTIFÓLIO'!C:V,2,0),"")</f>
        <v/>
      </c>
      <c r="E59" s="211" t="str">
        <f>IFERROR(VLOOKUP($C59,'PORTIFÓLIO'!C:V,3,0),"")</f>
        <v/>
      </c>
      <c r="F59" s="211" t="str">
        <f>IFERROR(VLOOKUP($C59,'PORTIFÓLIO'!C:V,4,0),"")</f>
        <v/>
      </c>
      <c r="G59" s="215" t="str">
        <f>IFERROR(VLOOKUP($C59,'PORTIFÓLIO'!C:V,5,0),"")</f>
        <v/>
      </c>
      <c r="H59" s="254" t="str">
        <f t="array" ref="H59">IFERROR(INDEX('PORTIFÓLIO'!$H$4:$H$433,MATCH($C59,'PORTIFÓLIO'!$C$4:$C$433,0)),"")</f>
        <v/>
      </c>
      <c r="I59" s="256"/>
      <c r="J59" s="218">
        <f t="shared" si="6"/>
        <v>0</v>
      </c>
      <c r="K59" s="219" t="str">
        <f t="array" ref="K59">IFERROR(I59*INDEX('PORTIFÓLIO'!$S$4:$S$433,MATCH($C59,'PORTIFÓLIO'!$C$4:$C$433,0)),"")</f>
        <v/>
      </c>
      <c r="L59" s="219" t="str">
        <f t="array" ref="L59">IFERROR(J59*INDEX('PORTIFÓLIO'!$S$4:$S$433,MATCH($C59,'PORTIFÓLIO'!$C$4:$C$433,0)),"")</f>
        <v/>
      </c>
      <c r="M59" s="220"/>
      <c r="N59" s="220"/>
      <c r="O59" s="220"/>
      <c r="P59" s="220"/>
      <c r="Q59" s="220"/>
      <c r="R59" s="220"/>
      <c r="S59" s="220"/>
      <c r="T59" s="220"/>
      <c r="U59" s="220"/>
      <c r="V59" s="220"/>
      <c r="W59" s="220"/>
    </row>
    <row r="60" ht="15.75" customHeight="1" outlineLevel="1">
      <c r="A60" s="211"/>
      <c r="B60" s="212"/>
      <c r="C60" s="213"/>
      <c r="D60" s="214" t="str">
        <f>IFERROR(VLOOKUP($C60,'PORTIFÓLIO'!C:V,2,0),"")</f>
        <v/>
      </c>
      <c r="E60" s="211" t="str">
        <f>IFERROR(VLOOKUP($C60,'PORTIFÓLIO'!C:V,3,0),"")</f>
        <v/>
      </c>
      <c r="F60" s="211" t="str">
        <f>IFERROR(VLOOKUP($C60,'PORTIFÓLIO'!C:V,4,0),"")</f>
        <v/>
      </c>
      <c r="G60" s="215" t="str">
        <f>IFERROR(VLOOKUP($C60,'PORTIFÓLIO'!C:V,5,0),"")</f>
        <v/>
      </c>
      <c r="H60" s="254" t="str">
        <f t="array" ref="H60">IFERROR(INDEX('PORTIFÓLIO'!$H$4:$H$433,MATCH($C60,'PORTIFÓLIO'!$C$4:$C$433,0)),"")</f>
        <v/>
      </c>
      <c r="I60" s="256"/>
      <c r="J60" s="218">
        <f t="shared" si="6"/>
        <v>0</v>
      </c>
      <c r="K60" s="219" t="str">
        <f t="array" ref="K60">IFERROR(I60*INDEX('PORTIFÓLIO'!$S$4:$S$433,MATCH($C60,'PORTIFÓLIO'!$C$4:$C$433,0)),"")</f>
        <v/>
      </c>
      <c r="L60" s="219" t="str">
        <f t="array" ref="L60">IFERROR(J60*INDEX('PORTIFÓLIO'!$S$4:$S$433,MATCH($C60,'PORTIFÓLIO'!$C$4:$C$433,0)),"")</f>
        <v/>
      </c>
      <c r="M60" s="220"/>
      <c r="N60" s="220"/>
      <c r="O60" s="220"/>
      <c r="P60" s="220"/>
      <c r="Q60" s="220"/>
      <c r="R60" s="220"/>
      <c r="S60" s="220"/>
      <c r="T60" s="220"/>
      <c r="U60" s="220"/>
      <c r="V60" s="220"/>
      <c r="W60" s="220"/>
    </row>
    <row r="61" ht="15.75" customHeight="1" outlineLevel="1">
      <c r="A61" s="211"/>
      <c r="B61" s="212"/>
      <c r="C61" s="213"/>
      <c r="D61" s="214" t="str">
        <f>IFERROR(VLOOKUP($C61,'PORTIFÓLIO'!C:V,2,0),"")</f>
        <v/>
      </c>
      <c r="E61" s="211" t="str">
        <f>IFERROR(VLOOKUP($C61,'PORTIFÓLIO'!C:V,3,0),"")</f>
        <v/>
      </c>
      <c r="F61" s="211" t="str">
        <f>IFERROR(VLOOKUP($C61,'PORTIFÓLIO'!C:V,4,0),"")</f>
        <v/>
      </c>
      <c r="G61" s="215" t="str">
        <f>IFERROR(VLOOKUP($C61,'PORTIFÓLIO'!C:V,5,0),"")</f>
        <v/>
      </c>
      <c r="H61" s="254" t="str">
        <f t="array" ref="H61">IFERROR(INDEX('PORTIFÓLIO'!$H$4:$H$433,MATCH($C61,'PORTIFÓLIO'!$C$4:$C$433,0)),"")</f>
        <v/>
      </c>
      <c r="I61" s="256"/>
      <c r="J61" s="218">
        <f t="shared" si="6"/>
        <v>0</v>
      </c>
      <c r="K61" s="219" t="str">
        <f t="array" ref="K61">IFERROR(I61*INDEX('PORTIFÓLIO'!$S$4:$S$433,MATCH($C61,'PORTIFÓLIO'!$C$4:$C$433,0)),"")</f>
        <v/>
      </c>
      <c r="L61" s="219" t="str">
        <f t="array" ref="L61">IFERROR(J61*INDEX('PORTIFÓLIO'!$S$4:$S$433,MATCH($C61,'PORTIFÓLIO'!$C$4:$C$433,0)),"")</f>
        <v/>
      </c>
      <c r="M61" s="220"/>
      <c r="N61" s="220"/>
      <c r="O61" s="220"/>
      <c r="P61" s="220"/>
      <c r="Q61" s="220"/>
      <c r="R61" s="220"/>
      <c r="S61" s="220"/>
      <c r="T61" s="220"/>
      <c r="U61" s="220"/>
      <c r="V61" s="220"/>
      <c r="W61" s="220"/>
    </row>
    <row r="62" ht="15.75" customHeight="1" outlineLevel="1">
      <c r="A62" s="211"/>
      <c r="B62" s="212"/>
      <c r="C62" s="213"/>
      <c r="D62" s="214" t="str">
        <f>IFERROR(VLOOKUP($C62,'PORTIFÓLIO'!C:V,2,0),"")</f>
        <v/>
      </c>
      <c r="E62" s="211" t="str">
        <f>IFERROR(VLOOKUP($C62,'PORTIFÓLIO'!C:V,3,0),"")</f>
        <v/>
      </c>
      <c r="F62" s="211" t="str">
        <f>IFERROR(VLOOKUP($C62,'PORTIFÓLIO'!C:V,4,0),"")</f>
        <v/>
      </c>
      <c r="G62" s="215" t="str">
        <f>IFERROR(VLOOKUP($C62,'PORTIFÓLIO'!C:V,5,0),"")</f>
        <v/>
      </c>
      <c r="H62" s="254" t="str">
        <f t="array" ref="H62">IFERROR(INDEX('PORTIFÓLIO'!$H$4:$H$433,MATCH($C62,'PORTIFÓLIO'!$C$4:$C$433,0)),"")</f>
        <v/>
      </c>
      <c r="I62" s="256"/>
      <c r="J62" s="218">
        <f t="shared" si="6"/>
        <v>0</v>
      </c>
      <c r="K62" s="219" t="str">
        <f t="array" ref="K62">IFERROR(I62*INDEX('PORTIFÓLIO'!$S$4:$S$433,MATCH($C62,'PORTIFÓLIO'!$C$4:$C$433,0)),"")</f>
        <v/>
      </c>
      <c r="L62" s="219" t="str">
        <f t="array" ref="L62">IFERROR(J62*INDEX('PORTIFÓLIO'!$S$4:$S$433,MATCH($C62,'PORTIFÓLIO'!$C$4:$C$433,0)),"")</f>
        <v/>
      </c>
      <c r="M62" s="220"/>
      <c r="N62" s="220"/>
      <c r="O62" s="220"/>
      <c r="P62" s="220"/>
      <c r="Q62" s="220"/>
      <c r="R62" s="220"/>
      <c r="S62" s="220"/>
      <c r="T62" s="220"/>
      <c r="U62" s="220"/>
      <c r="V62" s="220"/>
      <c r="W62" s="220"/>
    </row>
    <row r="63" ht="15.75" customHeight="1">
      <c r="A63" s="229" t="s">
        <v>1186</v>
      </c>
      <c r="B63" s="230"/>
      <c r="C63" s="231"/>
      <c r="D63" s="232"/>
      <c r="E63" s="231"/>
      <c r="F63" s="231"/>
      <c r="G63" s="233"/>
      <c r="H63" s="233"/>
      <c r="I63" s="258"/>
      <c r="J63" s="236"/>
      <c r="K63" s="237">
        <f t="shared" ref="K63:L63" si="7">SUBTOTAL(9,K64:K76)</f>
        <v>80.3378706</v>
      </c>
      <c r="L63" s="237">
        <f t="shared" si="7"/>
        <v>17674.33153</v>
      </c>
      <c r="M63" s="220"/>
      <c r="N63" s="220"/>
      <c r="O63" s="220"/>
      <c r="P63" s="220"/>
      <c r="Q63" s="220"/>
      <c r="R63" s="220"/>
      <c r="S63" s="220"/>
      <c r="T63" s="220"/>
      <c r="U63" s="220"/>
      <c r="V63" s="220"/>
      <c r="W63" s="220"/>
    </row>
    <row r="64" ht="15.75" customHeight="1" outlineLevel="1">
      <c r="A64" s="213"/>
      <c r="B64" s="212" t="s">
        <v>1</v>
      </c>
      <c r="C64" s="213" t="s">
        <v>637</v>
      </c>
      <c r="D64" s="214" t="str">
        <f>IFERROR(VLOOKUP($C64,'PORTIFÓLIO'!C:V,2,0),"")</f>
        <v>GLIFOSATO-SAL DE AMÔNIO</v>
      </c>
      <c r="E64" s="211">
        <f>IFERROR(VLOOKUP($C64,'PORTIFÓLIO'!C:V,3,0),"")</f>
        <v>720</v>
      </c>
      <c r="F64" s="211" t="str">
        <f>IFERROR(VLOOKUP($C64,'PORTIFÓLIO'!C:V,4,0),"")</f>
        <v>L</v>
      </c>
      <c r="G64" s="225" t="str">
        <f>IFERROR(VLOOKUP($C64,'PORTIFÓLIO'!C:V,5,0),"")</f>
        <v>📄 Ver bula</v>
      </c>
      <c r="H64" s="254">
        <f t="array" ref="H64">IFERROR(INDEX('PORTIFÓLIO'!$H$4:$H$433,MATCH($C64,'PORTIFÓLIO'!$C$4:$C$433,0)),"")</f>
        <v>2</v>
      </c>
      <c r="I64" s="255">
        <v>2.0</v>
      </c>
      <c r="J64" s="218">
        <f t="shared" ref="J64:J80" si="8">I64*$B$2</f>
        <v>440</v>
      </c>
      <c r="K64" s="219">
        <f t="array" ref="K64">IFERROR(I64*INDEX('PORTIFÓLIO'!$S$4:$S$433,MATCH($C64,'PORTIFÓLIO'!$C$4:$C$433,0)),"")</f>
        <v>49.16</v>
      </c>
      <c r="L64" s="219">
        <f t="array" ref="L64">IFERROR(J64*INDEX('PORTIFÓLIO'!$S$4:$S$433,MATCH($C64,'PORTIFÓLIO'!$C$4:$C$433,0)),"")</f>
        <v>10815.2</v>
      </c>
      <c r="M64" s="220"/>
      <c r="N64" s="220"/>
      <c r="O64" s="220"/>
      <c r="P64" s="220"/>
      <c r="Q64" s="220"/>
      <c r="R64" s="220"/>
      <c r="S64" s="220"/>
      <c r="T64" s="220"/>
      <c r="U64" s="220"/>
      <c r="V64" s="220"/>
      <c r="W64" s="220"/>
    </row>
    <row r="65" ht="15.75" customHeight="1" outlineLevel="1">
      <c r="A65" s="211"/>
      <c r="B65" s="212" t="s">
        <v>6</v>
      </c>
      <c r="C65" s="213" t="s">
        <v>354</v>
      </c>
      <c r="D65" s="214" t="str">
        <f>IFERROR(VLOOKUP($C65,'PORTIFÓLIO'!C:V,2,0),"")</f>
        <v>OLEO MINERAL</v>
      </c>
      <c r="E65" s="211">
        <f>IFERROR(VLOOKUP($C65,'PORTIFÓLIO'!C:V,3,0),"")</f>
        <v>761</v>
      </c>
      <c r="F65" s="211" t="str">
        <f>IFERROR(VLOOKUP($C65,'PORTIFÓLIO'!C:V,4,0),"")</f>
        <v>L</v>
      </c>
      <c r="G65" s="225" t="str">
        <f>IFERROR(VLOOKUP($C65,'PORTIFÓLIO'!C:V,5,0),"")</f>
        <v>📄 Ver bula</v>
      </c>
      <c r="H65" s="254">
        <f t="array" ref="H65">IFERROR(INDEX('PORTIFÓLIO'!$H$4:$H$433,MATCH($C65,'PORTIFÓLIO'!$C$4:$C$433,0)),"")</f>
        <v>0.2</v>
      </c>
      <c r="I65" s="255">
        <v>0.2</v>
      </c>
      <c r="J65" s="218">
        <f t="shared" si="8"/>
        <v>44</v>
      </c>
      <c r="K65" s="219">
        <f t="array" ref="K65">IFERROR(I65*INDEX('PORTIFÓLIO'!$S$4:$S$433,MATCH($C65,'PORTIFÓLIO'!$C$4:$C$433,0)),"")</f>
        <v>3.206</v>
      </c>
      <c r="L65" s="219">
        <f t="array" ref="L65">IFERROR(J65*INDEX('PORTIFÓLIO'!$S$4:$S$433,MATCH($C65,'PORTIFÓLIO'!$C$4:$C$433,0)),"")</f>
        <v>705.32</v>
      </c>
      <c r="M65" s="220"/>
      <c r="N65" s="220"/>
      <c r="O65" s="220"/>
      <c r="P65" s="220"/>
      <c r="Q65" s="220"/>
      <c r="R65" s="220"/>
      <c r="S65" s="220"/>
      <c r="T65" s="220"/>
      <c r="U65" s="220"/>
      <c r="V65" s="220"/>
      <c r="W65" s="220"/>
    </row>
    <row r="66" ht="15.75" customHeight="1" outlineLevel="1">
      <c r="A66" s="211"/>
      <c r="B66" s="212" t="s">
        <v>2</v>
      </c>
      <c r="C66" s="213" t="s">
        <v>788</v>
      </c>
      <c r="D66" s="214" t="str">
        <f>IFERROR(VLOOKUP($C66,'PORTIFÓLIO'!C:V,2,0),"")</f>
        <v>FIPRONIL</v>
      </c>
      <c r="E66" s="211">
        <f>IFERROR(VLOOKUP($C66,'PORTIFÓLIO'!C:V,3,0),"")</f>
        <v>800</v>
      </c>
      <c r="F66" s="211" t="str">
        <f>IFERROR(VLOOKUP($C66,'PORTIFÓLIO'!C:V,4,0),"")</f>
        <v>L</v>
      </c>
      <c r="G66" s="225" t="str">
        <f>IFERROR(VLOOKUP($C66,'PORTIFÓLIO'!C:V,5,0),"")</f>
        <v>📄 Ver bula</v>
      </c>
      <c r="H66" s="254">
        <f t="array" ref="H66">IFERROR(INDEX('PORTIFÓLIO'!$H$4:$H$433,MATCH($C66,'PORTIFÓLIO'!$C$4:$C$433,0)),"")</f>
        <v>0.04</v>
      </c>
      <c r="I66" s="255">
        <v>0.02</v>
      </c>
      <c r="J66" s="218">
        <f t="shared" si="8"/>
        <v>4.4</v>
      </c>
      <c r="K66" s="219">
        <f t="array" ref="K66">IFERROR(I66*INDEX('PORTIFÓLIO'!$S$4:$S$433,MATCH($C66,'PORTIFÓLIO'!$C$4:$C$433,0)),"")</f>
        <v>4.9527006</v>
      </c>
      <c r="L66" s="219">
        <f t="array" ref="L66">IFERROR(J66*INDEX('PORTIFÓLIO'!$S$4:$S$433,MATCH($C66,'PORTIFÓLIO'!$C$4:$C$433,0)),"")</f>
        <v>1089.594132</v>
      </c>
      <c r="M66" s="220"/>
      <c r="N66" s="220"/>
      <c r="O66" s="220"/>
      <c r="P66" s="220"/>
      <c r="Q66" s="220"/>
      <c r="R66" s="220"/>
      <c r="S66" s="220"/>
      <c r="T66" s="220"/>
      <c r="U66" s="220"/>
      <c r="V66" s="220"/>
      <c r="W66" s="220"/>
    </row>
    <row r="67" ht="15.75" customHeight="1" outlineLevel="1">
      <c r="A67" s="211"/>
      <c r="B67" s="212" t="s">
        <v>1</v>
      </c>
      <c r="C67" s="213" t="s">
        <v>683</v>
      </c>
      <c r="D67" s="214" t="str">
        <f>IFERROR(VLOOKUP($C67,'PORTIFÓLIO'!C:V,2,0),"")</f>
        <v>GLUFOSINATO - SAL DE AMONIO</v>
      </c>
      <c r="E67" s="211">
        <f>IFERROR(VLOOKUP($C67,'PORTIFÓLIO'!C:V,3,0),"")</f>
        <v>880</v>
      </c>
      <c r="F67" s="211" t="str">
        <f>IFERROR(VLOOKUP($C67,'PORTIFÓLIO'!C:V,4,0),"")</f>
        <v>L</v>
      </c>
      <c r="G67" s="225" t="str">
        <f>IFERROR(VLOOKUP($C67,'PORTIFÓLIO'!C:V,5,0),"")</f>
        <v>📄 Ver bula</v>
      </c>
      <c r="H67" s="254">
        <f t="array" ref="H67">IFERROR(INDEX('PORTIFÓLIO'!$H$4:$H$433,MATCH($C67,'PORTIFÓLIO'!$C$4:$C$433,0)),"")</f>
        <v>0.5</v>
      </c>
      <c r="I67" s="255">
        <v>0.5</v>
      </c>
      <c r="J67" s="218">
        <f t="shared" si="8"/>
        <v>110</v>
      </c>
      <c r="K67" s="219">
        <f t="array" ref="K67">IFERROR(I67*INDEX('PORTIFÓLIO'!$S$4:$S$433,MATCH($C67,'PORTIFÓLIO'!$C$4:$C$433,0)),"")</f>
        <v>23.01917</v>
      </c>
      <c r="L67" s="219">
        <f t="array" ref="L67">IFERROR(J67*INDEX('PORTIFÓLIO'!$S$4:$S$433,MATCH($C67,'PORTIFÓLIO'!$C$4:$C$433,0)),"")</f>
        <v>5064.2174</v>
      </c>
      <c r="M67" s="220"/>
      <c r="N67" s="220"/>
      <c r="O67" s="220"/>
      <c r="P67" s="220"/>
      <c r="Q67" s="220"/>
      <c r="R67" s="220"/>
      <c r="S67" s="220"/>
      <c r="T67" s="220"/>
      <c r="U67" s="220"/>
      <c r="V67" s="220"/>
      <c r="W67" s="220"/>
    </row>
    <row r="68" ht="15.75" customHeight="1" outlineLevel="1">
      <c r="A68" s="211"/>
      <c r="B68" s="212"/>
      <c r="C68" s="213"/>
      <c r="D68" s="214" t="str">
        <f>IFERROR(VLOOKUP($C68,'PORTIFÓLIO'!C:V,2,0),"")</f>
        <v/>
      </c>
      <c r="E68" s="211" t="str">
        <f>IFERROR(VLOOKUP($C68,'PORTIFÓLIO'!C:V,3,0),"")</f>
        <v/>
      </c>
      <c r="F68" s="211" t="str">
        <f>IFERROR(VLOOKUP($C68,'PORTIFÓLIO'!C:V,4,0),"")</f>
        <v/>
      </c>
      <c r="G68" s="215" t="str">
        <f>IFERROR(VLOOKUP($C68,'PORTIFÓLIO'!C:V,5,0),"")</f>
        <v/>
      </c>
      <c r="H68" s="254" t="str">
        <f t="array" ref="H68">IFERROR(INDEX('PORTIFÓLIO'!$H$4:$H$433,MATCH($C68,'PORTIFÓLIO'!$C$4:$C$433,0)),"")</f>
        <v/>
      </c>
      <c r="I68" s="256"/>
      <c r="J68" s="218">
        <f t="shared" si="8"/>
        <v>0</v>
      </c>
      <c r="K68" s="219" t="str">
        <f t="array" ref="K68">IFERROR(I68*INDEX('PORTIFÓLIO'!$S$4:$S$433,MATCH($C68,'PORTIFÓLIO'!$C$4:$C$433,0)),"")</f>
        <v/>
      </c>
      <c r="L68" s="219" t="str">
        <f t="array" ref="L68">IFERROR(J68*INDEX('PORTIFÓLIO'!$S$4:$S$433,MATCH($C68,'PORTIFÓLIO'!$C$4:$C$433,0)),"")</f>
        <v/>
      </c>
      <c r="M68" s="220"/>
      <c r="N68" s="220"/>
      <c r="O68" s="220"/>
      <c r="P68" s="220"/>
      <c r="Q68" s="220"/>
      <c r="R68" s="220"/>
      <c r="S68" s="220"/>
      <c r="T68" s="220"/>
      <c r="U68" s="220"/>
      <c r="V68" s="220"/>
      <c r="W68" s="220"/>
    </row>
    <row r="69" ht="15.75" customHeight="1" outlineLevel="1">
      <c r="A69" s="211"/>
      <c r="B69" s="212"/>
      <c r="C69" s="213"/>
      <c r="D69" s="214" t="str">
        <f>IFERROR(VLOOKUP($C69,'PORTIFÓLIO'!C:V,2,0),"")</f>
        <v/>
      </c>
      <c r="E69" s="211" t="str">
        <f>IFERROR(VLOOKUP($C69,'PORTIFÓLIO'!C:V,3,0),"")</f>
        <v/>
      </c>
      <c r="F69" s="211" t="str">
        <f>IFERROR(VLOOKUP($C69,'PORTIFÓLIO'!C:V,4,0),"")</f>
        <v/>
      </c>
      <c r="G69" s="215" t="str">
        <f>IFERROR(VLOOKUP($C69,'PORTIFÓLIO'!C:V,5,0),"")</f>
        <v/>
      </c>
      <c r="H69" s="254" t="str">
        <f t="array" ref="H69">IFERROR(INDEX('PORTIFÓLIO'!$H$4:$H$433,MATCH($C69,'PORTIFÓLIO'!$C$4:$C$433,0)),"")</f>
        <v/>
      </c>
      <c r="I69" s="256"/>
      <c r="J69" s="218">
        <f t="shared" si="8"/>
        <v>0</v>
      </c>
      <c r="K69" s="219" t="str">
        <f t="array" ref="K69">IFERROR(I69*INDEX('PORTIFÓLIO'!$S$4:$S$433,MATCH($C69,'PORTIFÓLIO'!$C$4:$C$433,0)),"")</f>
        <v/>
      </c>
      <c r="L69" s="219" t="str">
        <f t="array" ref="L69">IFERROR(J69*INDEX('PORTIFÓLIO'!$S$4:$S$433,MATCH($C69,'PORTIFÓLIO'!$C$4:$C$433,0)),"")</f>
        <v/>
      </c>
      <c r="M69" s="220"/>
      <c r="N69" s="220"/>
      <c r="O69" s="220"/>
      <c r="P69" s="220"/>
      <c r="Q69" s="220"/>
      <c r="R69" s="220"/>
      <c r="S69" s="220"/>
      <c r="T69" s="220"/>
      <c r="U69" s="220"/>
      <c r="V69" s="220"/>
      <c r="W69" s="220"/>
    </row>
    <row r="70" ht="15.75" customHeight="1" outlineLevel="1">
      <c r="A70" s="211"/>
      <c r="B70" s="212"/>
      <c r="C70" s="213"/>
      <c r="D70" s="214" t="str">
        <f>IFERROR(VLOOKUP($C70,'PORTIFÓLIO'!C:V,2,0),"")</f>
        <v/>
      </c>
      <c r="E70" s="211" t="str">
        <f>IFERROR(VLOOKUP($C70,'PORTIFÓLIO'!C:V,3,0),"")</f>
        <v/>
      </c>
      <c r="F70" s="211" t="str">
        <f>IFERROR(VLOOKUP($C70,'PORTIFÓLIO'!C:V,4,0),"")</f>
        <v/>
      </c>
      <c r="G70" s="215" t="str">
        <f>IFERROR(VLOOKUP($C70,'PORTIFÓLIO'!C:V,5,0),"")</f>
        <v/>
      </c>
      <c r="H70" s="254" t="str">
        <f t="array" ref="H70">IFERROR(INDEX('PORTIFÓLIO'!$H$4:$H$433,MATCH($C70,'PORTIFÓLIO'!$C$4:$C$433,0)),"")</f>
        <v/>
      </c>
      <c r="I70" s="256"/>
      <c r="J70" s="218">
        <f t="shared" si="8"/>
        <v>0</v>
      </c>
      <c r="K70" s="219" t="str">
        <f t="array" ref="K70">IFERROR(I70*INDEX('PORTIFÓLIO'!$S$4:$S$433,MATCH($C70,'PORTIFÓLIO'!$C$4:$C$433,0)),"")</f>
        <v/>
      </c>
      <c r="L70" s="219" t="str">
        <f t="array" ref="L70">IFERROR(J70*INDEX('PORTIFÓLIO'!$S$4:$S$433,MATCH($C70,'PORTIFÓLIO'!$C$4:$C$433,0)),"")</f>
        <v/>
      </c>
      <c r="M70" s="220"/>
      <c r="N70" s="220"/>
      <c r="O70" s="220"/>
      <c r="P70" s="220"/>
      <c r="Q70" s="220"/>
      <c r="R70" s="220"/>
      <c r="S70" s="220"/>
      <c r="T70" s="220"/>
      <c r="U70" s="220"/>
      <c r="V70" s="220"/>
      <c r="W70" s="220"/>
    </row>
    <row r="71" ht="15.75" customHeight="1" outlineLevel="1">
      <c r="A71" s="211"/>
      <c r="B71" s="212"/>
      <c r="C71" s="213"/>
      <c r="D71" s="214" t="str">
        <f>IFERROR(VLOOKUP($C71,'PORTIFÓLIO'!C:V,2,0),"")</f>
        <v/>
      </c>
      <c r="E71" s="211" t="str">
        <f>IFERROR(VLOOKUP($C71,'PORTIFÓLIO'!C:V,3,0),"")</f>
        <v/>
      </c>
      <c r="F71" s="211" t="str">
        <f>IFERROR(VLOOKUP($C71,'PORTIFÓLIO'!C:V,4,0),"")</f>
        <v/>
      </c>
      <c r="G71" s="215" t="str">
        <f>IFERROR(VLOOKUP($C71,'PORTIFÓLIO'!C:V,5,0),"")</f>
        <v/>
      </c>
      <c r="H71" s="254" t="str">
        <f t="array" ref="H71">IFERROR(INDEX('PORTIFÓLIO'!$H$4:$H$433,MATCH($C71,'PORTIFÓLIO'!$C$4:$C$433,0)),"")</f>
        <v/>
      </c>
      <c r="I71" s="256"/>
      <c r="J71" s="218">
        <f t="shared" si="8"/>
        <v>0</v>
      </c>
      <c r="K71" s="219" t="str">
        <f t="array" ref="K71">IFERROR(I71*INDEX('PORTIFÓLIO'!$S$4:$S$433,MATCH($C71,'PORTIFÓLIO'!$C$4:$C$433,0)),"")</f>
        <v/>
      </c>
      <c r="L71" s="219" t="str">
        <f t="array" ref="L71">IFERROR(J71*INDEX('PORTIFÓLIO'!$S$4:$S$433,MATCH($C71,'PORTIFÓLIO'!$C$4:$C$433,0)),"")</f>
        <v/>
      </c>
      <c r="M71" s="220"/>
      <c r="N71" s="220"/>
      <c r="O71" s="220"/>
      <c r="P71" s="220"/>
      <c r="Q71" s="220"/>
      <c r="R71" s="220"/>
      <c r="S71" s="220"/>
      <c r="T71" s="220"/>
      <c r="U71" s="220"/>
      <c r="V71" s="220"/>
      <c r="W71" s="220"/>
    </row>
    <row r="72" ht="15.75" customHeight="1" outlineLevel="1">
      <c r="A72" s="211"/>
      <c r="B72" s="212"/>
      <c r="C72" s="213"/>
      <c r="D72" s="214" t="str">
        <f>IFERROR(VLOOKUP($C72,'PORTIFÓLIO'!C:V,2,0),"")</f>
        <v/>
      </c>
      <c r="E72" s="211" t="str">
        <f>IFERROR(VLOOKUP($C72,'PORTIFÓLIO'!C:V,3,0),"")</f>
        <v/>
      </c>
      <c r="F72" s="211" t="str">
        <f>IFERROR(VLOOKUP($C72,'PORTIFÓLIO'!C:V,4,0),"")</f>
        <v/>
      </c>
      <c r="G72" s="215" t="str">
        <f>IFERROR(VLOOKUP($C72,'PORTIFÓLIO'!C:V,5,0),"")</f>
        <v/>
      </c>
      <c r="H72" s="254" t="str">
        <f t="array" ref="H72">IFERROR(INDEX('PORTIFÓLIO'!$H$4:$H$433,MATCH($C72,'PORTIFÓLIO'!$C$4:$C$433,0)),"")</f>
        <v/>
      </c>
      <c r="I72" s="255"/>
      <c r="J72" s="218">
        <f t="shared" si="8"/>
        <v>0</v>
      </c>
      <c r="K72" s="219" t="str">
        <f t="array" ref="K72">IFERROR(I72*INDEX('PORTIFÓLIO'!$S$4:$S$433,MATCH($C72,'PORTIFÓLIO'!$C$4:$C$433,0)),"")</f>
        <v/>
      </c>
      <c r="L72" s="219" t="str">
        <f t="array" ref="L72">IFERROR(J72*INDEX('PORTIFÓLIO'!$S$4:$S$433,MATCH($C72,'PORTIFÓLIO'!$C$4:$C$433,0)),"")</f>
        <v/>
      </c>
      <c r="M72" s="220"/>
      <c r="N72" s="220"/>
      <c r="O72" s="220"/>
      <c r="P72" s="220"/>
      <c r="Q72" s="220"/>
      <c r="R72" s="220"/>
      <c r="S72" s="220"/>
      <c r="T72" s="220"/>
      <c r="U72" s="220"/>
      <c r="V72" s="220"/>
      <c r="W72" s="220"/>
    </row>
    <row r="73" ht="15.75" customHeight="1" outlineLevel="1">
      <c r="A73" s="211"/>
      <c r="B73" s="212"/>
      <c r="C73" s="213"/>
      <c r="D73" s="214" t="str">
        <f>IFERROR(VLOOKUP($C73,'PORTIFÓLIO'!C:V,2,0),"")</f>
        <v/>
      </c>
      <c r="E73" s="211" t="str">
        <f>IFERROR(VLOOKUP($C73,'PORTIFÓLIO'!C:V,3,0),"")</f>
        <v/>
      </c>
      <c r="F73" s="211" t="str">
        <f>IFERROR(VLOOKUP($C73,'PORTIFÓLIO'!C:V,4,0),"")</f>
        <v/>
      </c>
      <c r="G73" s="215" t="str">
        <f>IFERROR(VLOOKUP($C73,'PORTIFÓLIO'!C:V,5,0),"")</f>
        <v/>
      </c>
      <c r="H73" s="254" t="str">
        <f t="array" ref="H73">IFERROR(INDEX('PORTIFÓLIO'!$H$4:$H$433,MATCH($C73,'PORTIFÓLIO'!$C$4:$C$433,0)),"")</f>
        <v/>
      </c>
      <c r="I73" s="256"/>
      <c r="J73" s="218">
        <f t="shared" si="8"/>
        <v>0</v>
      </c>
      <c r="K73" s="219" t="str">
        <f t="array" ref="K73">IFERROR(I73*INDEX('PORTIFÓLIO'!$S$4:$S$433,MATCH($C73,'PORTIFÓLIO'!$C$4:$C$433,0)),"")</f>
        <v/>
      </c>
      <c r="L73" s="219" t="str">
        <f t="array" ref="L73">IFERROR(J73*INDEX('PORTIFÓLIO'!$S$4:$S$433,MATCH($C73,'PORTIFÓLIO'!$C$4:$C$433,0)),"")</f>
        <v/>
      </c>
      <c r="M73" s="220"/>
      <c r="N73" s="220"/>
      <c r="O73" s="220"/>
      <c r="P73" s="220"/>
      <c r="Q73" s="220"/>
      <c r="R73" s="220"/>
      <c r="S73" s="220"/>
      <c r="T73" s="220"/>
      <c r="U73" s="220"/>
      <c r="V73" s="220"/>
      <c r="W73" s="220"/>
    </row>
    <row r="74" ht="15.75" customHeight="1" outlineLevel="1">
      <c r="A74" s="211"/>
      <c r="B74" s="212"/>
      <c r="C74" s="213"/>
      <c r="D74" s="214" t="str">
        <f>IFERROR(VLOOKUP($C74,'PORTIFÓLIO'!C:V,2,0),"")</f>
        <v/>
      </c>
      <c r="E74" s="211" t="str">
        <f>IFERROR(VLOOKUP($C74,'PORTIFÓLIO'!C:V,3,0),"")</f>
        <v/>
      </c>
      <c r="F74" s="211" t="str">
        <f>IFERROR(VLOOKUP($C74,'PORTIFÓLIO'!C:V,4,0),"")</f>
        <v/>
      </c>
      <c r="G74" s="215" t="str">
        <f>IFERROR(VLOOKUP($C74,'PORTIFÓLIO'!C:V,5,0),"")</f>
        <v/>
      </c>
      <c r="H74" s="254" t="str">
        <f t="array" ref="H74">IFERROR(INDEX('PORTIFÓLIO'!$H$4:$H$433,MATCH($C74,'PORTIFÓLIO'!$C$4:$C$433,0)),"")</f>
        <v/>
      </c>
      <c r="I74" s="256"/>
      <c r="J74" s="218">
        <f t="shared" si="8"/>
        <v>0</v>
      </c>
      <c r="K74" s="219" t="str">
        <f t="array" ref="K74">IFERROR(I74*INDEX('PORTIFÓLIO'!$S$4:$S$433,MATCH($C74,'PORTIFÓLIO'!$C$4:$C$433,0)),"")</f>
        <v/>
      </c>
      <c r="L74" s="219" t="str">
        <f t="array" ref="L74">IFERROR(J74*INDEX('PORTIFÓLIO'!$S$4:$S$433,MATCH($C74,'PORTIFÓLIO'!$C$4:$C$433,0)),"")</f>
        <v/>
      </c>
      <c r="M74" s="220"/>
      <c r="N74" s="220"/>
      <c r="O74" s="220"/>
      <c r="P74" s="220"/>
      <c r="Q74" s="220"/>
      <c r="R74" s="220"/>
      <c r="S74" s="220"/>
      <c r="T74" s="220"/>
      <c r="U74" s="220"/>
      <c r="V74" s="220"/>
      <c r="W74" s="220"/>
    </row>
    <row r="75" ht="15.75" customHeight="1" outlineLevel="1">
      <c r="A75" s="211"/>
      <c r="B75" s="212"/>
      <c r="C75" s="213"/>
      <c r="D75" s="214" t="str">
        <f>IFERROR(VLOOKUP($C75,'PORTIFÓLIO'!C:V,2,0),"")</f>
        <v/>
      </c>
      <c r="E75" s="211" t="str">
        <f>IFERROR(VLOOKUP($C75,'PORTIFÓLIO'!C:V,3,0),"")</f>
        <v/>
      </c>
      <c r="F75" s="211" t="str">
        <f>IFERROR(VLOOKUP($C75,'PORTIFÓLIO'!C:V,4,0),"")</f>
        <v/>
      </c>
      <c r="G75" s="215" t="str">
        <f>IFERROR(VLOOKUP($C75,'PORTIFÓLIO'!C:V,5,0),"")</f>
        <v/>
      </c>
      <c r="H75" s="254" t="str">
        <f t="array" ref="H75">IFERROR(INDEX('PORTIFÓLIO'!$H$4:$H$433,MATCH($C75,'PORTIFÓLIO'!$C$4:$C$433,0)),"")</f>
        <v/>
      </c>
      <c r="I75" s="256"/>
      <c r="J75" s="218">
        <f t="shared" si="8"/>
        <v>0</v>
      </c>
      <c r="K75" s="219" t="str">
        <f t="array" ref="K75">IFERROR(I75*INDEX('PORTIFÓLIO'!$S$4:$S$433,MATCH($C75,'PORTIFÓLIO'!$C$4:$C$433,0)),"")</f>
        <v/>
      </c>
      <c r="L75" s="219" t="str">
        <f t="array" ref="L75">IFERROR(J75*INDEX('PORTIFÓLIO'!$S$4:$S$433,MATCH($C75,'PORTIFÓLIO'!$C$4:$C$433,0)),"")</f>
        <v/>
      </c>
      <c r="M75" s="220"/>
      <c r="N75" s="220"/>
      <c r="O75" s="220"/>
      <c r="P75" s="220"/>
      <c r="Q75" s="220"/>
      <c r="R75" s="220"/>
      <c r="S75" s="220"/>
      <c r="T75" s="220"/>
      <c r="U75" s="220"/>
      <c r="V75" s="220"/>
      <c r="W75" s="220"/>
    </row>
    <row r="76" ht="15.75" customHeight="1" outlineLevel="1">
      <c r="A76" s="211"/>
      <c r="B76" s="212"/>
      <c r="C76" s="213"/>
      <c r="D76" s="214" t="str">
        <f>IFERROR(VLOOKUP($C76,'PORTIFÓLIO'!C:V,2,0),"")</f>
        <v/>
      </c>
      <c r="E76" s="211" t="str">
        <f>IFERROR(VLOOKUP($C76,'PORTIFÓLIO'!C:V,3,0),"")</f>
        <v/>
      </c>
      <c r="F76" s="211" t="str">
        <f>IFERROR(VLOOKUP($C76,'PORTIFÓLIO'!C:V,4,0),"")</f>
        <v/>
      </c>
      <c r="G76" s="215" t="str">
        <f>IFERROR(VLOOKUP($C76,'PORTIFÓLIO'!C:V,5,0),"")</f>
        <v/>
      </c>
      <c r="H76" s="254" t="str">
        <f t="array" ref="H76">IFERROR(INDEX('PORTIFÓLIO'!$H$4:$H$433,MATCH($C76,'PORTIFÓLIO'!$C$4:$C$433,0)),"")</f>
        <v/>
      </c>
      <c r="I76" s="256"/>
      <c r="J76" s="218">
        <f t="shared" si="8"/>
        <v>0</v>
      </c>
      <c r="K76" s="219" t="str">
        <f t="array" ref="K76">IFERROR(I76*INDEX('PORTIFÓLIO'!$S$4:$S$433,MATCH($C76,'PORTIFÓLIO'!$C$4:$C$433,0)),"")</f>
        <v/>
      </c>
      <c r="L76" s="219" t="str">
        <f t="array" ref="L76">IFERROR(J76*INDEX('PORTIFÓLIO'!$S$4:$S$433,MATCH($C76,'PORTIFÓLIO'!$C$4:$C$433,0)),"")</f>
        <v/>
      </c>
      <c r="M76" s="220"/>
      <c r="N76" s="220"/>
      <c r="O76" s="220"/>
      <c r="P76" s="220"/>
      <c r="Q76" s="220"/>
      <c r="R76" s="220"/>
      <c r="S76" s="220"/>
      <c r="T76" s="220"/>
      <c r="U76" s="220"/>
      <c r="V76" s="220"/>
      <c r="W76" s="220"/>
    </row>
    <row r="77" ht="15.75" customHeight="1" outlineLevel="1">
      <c r="A77" s="211"/>
      <c r="B77" s="212"/>
      <c r="C77" s="213"/>
      <c r="D77" s="214" t="str">
        <f>IFERROR(VLOOKUP($C77,'PORTIFÓLIO'!C:V,2,0),"")</f>
        <v/>
      </c>
      <c r="E77" s="211" t="str">
        <f>IFERROR(VLOOKUP($C77,'PORTIFÓLIO'!C:V,3,0),"")</f>
        <v/>
      </c>
      <c r="F77" s="211" t="str">
        <f>IFERROR(VLOOKUP($C77,'PORTIFÓLIO'!C:V,4,0),"")</f>
        <v/>
      </c>
      <c r="G77" s="215" t="str">
        <f>IFERROR(VLOOKUP($C77,'PORTIFÓLIO'!C:V,5,0),"")</f>
        <v/>
      </c>
      <c r="H77" s="254" t="str">
        <f t="array" ref="H77">IFERROR(INDEX('PORTIFÓLIO'!$H$4:$H$433,MATCH($C77,'PORTIFÓLIO'!$C$4:$C$433,0)),"")</f>
        <v/>
      </c>
      <c r="I77" s="256"/>
      <c r="J77" s="218">
        <f t="shared" si="8"/>
        <v>0</v>
      </c>
      <c r="K77" s="219" t="str">
        <f t="array" ref="K77">IFERROR(I77*INDEX('PORTIFÓLIO'!$S$4:$S$433,MATCH($C77,'PORTIFÓLIO'!$C$4:$C$433,0)),"")</f>
        <v/>
      </c>
      <c r="L77" s="219" t="str">
        <f t="array" ref="L77">IFERROR(J77*INDEX('PORTIFÓLIO'!$S$4:$S$433,MATCH($C77,'PORTIFÓLIO'!$C$4:$C$433,0)),"")</f>
        <v/>
      </c>
      <c r="M77" s="220"/>
      <c r="N77" s="220"/>
      <c r="O77" s="220"/>
      <c r="P77" s="220"/>
      <c r="Q77" s="220"/>
      <c r="R77" s="220"/>
      <c r="S77" s="220"/>
      <c r="T77" s="220"/>
      <c r="U77" s="220"/>
      <c r="V77" s="220"/>
      <c r="W77" s="220"/>
    </row>
    <row r="78" ht="15.75" customHeight="1" outlineLevel="1">
      <c r="A78" s="211"/>
      <c r="B78" s="212"/>
      <c r="C78" s="213"/>
      <c r="D78" s="214" t="str">
        <f>IFERROR(VLOOKUP($C78,'PORTIFÓLIO'!C:V,2,0),"")</f>
        <v/>
      </c>
      <c r="E78" s="211" t="str">
        <f>IFERROR(VLOOKUP($C78,'PORTIFÓLIO'!C:V,3,0),"")</f>
        <v/>
      </c>
      <c r="F78" s="211" t="str">
        <f>IFERROR(VLOOKUP($C78,'PORTIFÓLIO'!C:V,4,0),"")</f>
        <v/>
      </c>
      <c r="G78" s="215" t="str">
        <f>IFERROR(VLOOKUP($C78,'PORTIFÓLIO'!C:V,5,0),"")</f>
        <v/>
      </c>
      <c r="H78" s="254" t="str">
        <f t="array" ref="H78">IFERROR(INDEX('PORTIFÓLIO'!$H$4:$H$433,MATCH($C78,'PORTIFÓLIO'!$C$4:$C$433,0)),"")</f>
        <v/>
      </c>
      <c r="I78" s="256"/>
      <c r="J78" s="218">
        <f t="shared" si="8"/>
        <v>0</v>
      </c>
      <c r="K78" s="219" t="str">
        <f t="array" ref="K78">IFERROR(I78*INDEX('PORTIFÓLIO'!$S$4:$S$433,MATCH($C78,'PORTIFÓLIO'!$C$4:$C$433,0)),"")</f>
        <v/>
      </c>
      <c r="L78" s="219" t="str">
        <f t="array" ref="L78">IFERROR(J78*INDEX('PORTIFÓLIO'!$S$4:$S$433,MATCH($C78,'PORTIFÓLIO'!$C$4:$C$433,0)),"")</f>
        <v/>
      </c>
      <c r="M78" s="220"/>
      <c r="N78" s="220"/>
      <c r="O78" s="220"/>
      <c r="P78" s="220"/>
      <c r="Q78" s="220"/>
      <c r="R78" s="220"/>
      <c r="S78" s="220"/>
      <c r="T78" s="220"/>
      <c r="U78" s="220"/>
      <c r="V78" s="220"/>
      <c r="W78" s="220"/>
    </row>
    <row r="79" ht="15.75" customHeight="1" outlineLevel="1">
      <c r="A79" s="211"/>
      <c r="B79" s="212"/>
      <c r="C79" s="213"/>
      <c r="D79" s="214" t="str">
        <f>IFERROR(VLOOKUP($C79,'PORTIFÓLIO'!C:V,2,0),"")</f>
        <v/>
      </c>
      <c r="E79" s="211" t="str">
        <f>IFERROR(VLOOKUP($C79,'PORTIFÓLIO'!C:V,3,0),"")</f>
        <v/>
      </c>
      <c r="F79" s="211" t="str">
        <f>IFERROR(VLOOKUP($C79,'PORTIFÓLIO'!C:V,4,0),"")</f>
        <v/>
      </c>
      <c r="G79" s="215" t="str">
        <f>IFERROR(VLOOKUP($C79,'PORTIFÓLIO'!C:V,5,0),"")</f>
        <v/>
      </c>
      <c r="H79" s="254" t="str">
        <f t="array" ref="H79">IFERROR(INDEX('PORTIFÓLIO'!$H$4:$H$433,MATCH($C79,'PORTIFÓLIO'!$C$4:$C$433,0)),"")</f>
        <v/>
      </c>
      <c r="I79" s="256"/>
      <c r="J79" s="218">
        <f t="shared" si="8"/>
        <v>0</v>
      </c>
      <c r="K79" s="219" t="str">
        <f t="array" ref="K79">IFERROR(I79*INDEX('PORTIFÓLIO'!$S$4:$S$433,MATCH($C79,'PORTIFÓLIO'!$C$4:$C$433,0)),"")</f>
        <v/>
      </c>
      <c r="L79" s="219" t="str">
        <f t="array" ref="L79">IFERROR(J79*INDEX('PORTIFÓLIO'!$S$4:$S$433,MATCH($C79,'PORTIFÓLIO'!$C$4:$C$433,0)),"")</f>
        <v/>
      </c>
      <c r="M79" s="220"/>
      <c r="N79" s="220"/>
      <c r="O79" s="220"/>
      <c r="P79" s="220"/>
      <c r="Q79" s="220"/>
      <c r="R79" s="220"/>
      <c r="S79" s="220"/>
      <c r="T79" s="220"/>
      <c r="U79" s="220"/>
      <c r="V79" s="220"/>
      <c r="W79" s="220"/>
    </row>
    <row r="80" ht="15.75" customHeight="1" outlineLevel="1">
      <c r="A80" s="211"/>
      <c r="B80" s="212"/>
      <c r="C80" s="213"/>
      <c r="D80" s="214" t="str">
        <f>IFERROR(VLOOKUP($C80,'PORTIFÓLIO'!C:V,2,0),"")</f>
        <v/>
      </c>
      <c r="E80" s="211" t="str">
        <f>IFERROR(VLOOKUP($C80,'PORTIFÓLIO'!C:V,3,0),"")</f>
        <v/>
      </c>
      <c r="F80" s="211" t="str">
        <f>IFERROR(VLOOKUP($C80,'PORTIFÓLIO'!C:V,4,0),"")</f>
        <v/>
      </c>
      <c r="G80" s="215" t="str">
        <f>IFERROR(VLOOKUP($C80,'PORTIFÓLIO'!C:V,5,0),"")</f>
        <v/>
      </c>
      <c r="H80" s="254" t="str">
        <f t="array" ref="H80">IFERROR(INDEX('PORTIFÓLIO'!$H$4:$H$433,MATCH($C80,'PORTIFÓLIO'!$C$4:$C$433,0)),"")</f>
        <v/>
      </c>
      <c r="I80" s="256"/>
      <c r="J80" s="218">
        <f t="shared" si="8"/>
        <v>0</v>
      </c>
      <c r="K80" s="219" t="str">
        <f t="array" ref="K80">IFERROR(I80*INDEX('PORTIFÓLIO'!$S$4:$S$433,MATCH($C80,'PORTIFÓLIO'!$C$4:$C$433,0)),"")</f>
        <v/>
      </c>
      <c r="L80" s="219" t="str">
        <f t="array" ref="L80">IFERROR(J80*INDEX('PORTIFÓLIO'!$S$4:$S$433,MATCH($C80,'PORTIFÓLIO'!$C$4:$C$433,0)),"")</f>
        <v/>
      </c>
      <c r="M80" s="220"/>
      <c r="N80" s="220"/>
      <c r="O80" s="220"/>
      <c r="P80" s="220"/>
      <c r="Q80" s="220"/>
      <c r="R80" s="220"/>
      <c r="S80" s="220"/>
      <c r="T80" s="220"/>
      <c r="U80" s="220"/>
      <c r="V80" s="220"/>
      <c r="W80" s="220"/>
    </row>
    <row r="81" ht="15.75" customHeight="1">
      <c r="A81" s="229" t="s">
        <v>1188</v>
      </c>
      <c r="B81" s="230"/>
      <c r="C81" s="231"/>
      <c r="D81" s="232" t="s">
        <v>216</v>
      </c>
      <c r="E81" s="231"/>
      <c r="F81" s="231"/>
      <c r="G81" s="233"/>
      <c r="H81" s="233"/>
      <c r="I81" s="258"/>
      <c r="J81" s="236"/>
      <c r="K81" s="237">
        <f t="shared" ref="K81:L81" si="9">SUBTOTAL(9,K82:K95)</f>
        <v>98.11463</v>
      </c>
      <c r="L81" s="237">
        <f t="shared" si="9"/>
        <v>21585.2186</v>
      </c>
      <c r="M81" s="220"/>
      <c r="N81" s="220"/>
      <c r="O81" s="220"/>
      <c r="P81" s="220"/>
      <c r="Q81" s="220"/>
      <c r="R81" s="220"/>
      <c r="S81" s="220"/>
      <c r="T81" s="220"/>
      <c r="U81" s="220"/>
      <c r="V81" s="220"/>
      <c r="W81" s="220"/>
    </row>
    <row r="82" ht="15.75" customHeight="1" outlineLevel="1">
      <c r="A82" s="213"/>
      <c r="B82" s="212" t="s">
        <v>1</v>
      </c>
      <c r="C82" s="213" t="s">
        <v>707</v>
      </c>
      <c r="D82" s="214" t="str">
        <f>IFERROR(VLOOKUP($C82,'PORTIFÓLIO'!C:V,2,0),"")</f>
        <v>IMAZETAPIR</v>
      </c>
      <c r="E82" s="211">
        <f>IFERROR(VLOOKUP($C82,'PORTIFÓLIO'!C:V,3,0),"")</f>
        <v>212</v>
      </c>
      <c r="F82" s="211" t="str">
        <f>IFERROR(VLOOKUP($C82,'PORTIFÓLIO'!C:V,4,0),"")</f>
        <v>L</v>
      </c>
      <c r="G82" s="225" t="str">
        <f>IFERROR(VLOOKUP($C82,'PORTIFÓLIO'!C:V,5,0),"")</f>
        <v>📄 Ver bula</v>
      </c>
      <c r="H82" s="254">
        <f t="array" ref="H82">IFERROR(INDEX('PORTIFÓLIO'!$H$4:$H$433,MATCH($C82,'PORTIFÓLIO'!$C$4:$C$433,0)),"")</f>
        <v>1</v>
      </c>
      <c r="I82" s="255">
        <v>1.0</v>
      </c>
      <c r="J82" s="218">
        <f t="shared" ref="J82:J96" si="10">I82*$B$2</f>
        <v>220</v>
      </c>
      <c r="K82" s="219">
        <f t="array" ref="K82">IFERROR(I82*INDEX('PORTIFÓLIO'!$S$4:$S$433,MATCH($C82,'PORTIFÓLIO'!$C$4:$C$433,0)),"")</f>
        <v>41.36814</v>
      </c>
      <c r="L82" s="219">
        <f t="array" ref="L82">IFERROR(J82*INDEX('PORTIFÓLIO'!$S$4:$S$433,MATCH($C82,'PORTIFÓLIO'!$C$4:$C$433,0)),"")</f>
        <v>9100.9908</v>
      </c>
      <c r="M82" s="220"/>
      <c r="N82" s="220"/>
      <c r="O82" s="220"/>
      <c r="P82" s="220"/>
      <c r="Q82" s="220"/>
      <c r="R82" s="220"/>
      <c r="S82" s="220"/>
      <c r="T82" s="220"/>
      <c r="U82" s="220"/>
      <c r="V82" s="220"/>
      <c r="W82" s="220"/>
    </row>
    <row r="83" ht="15.75" customHeight="1" outlineLevel="1">
      <c r="A83" s="211"/>
      <c r="B83" s="212" t="s">
        <v>1</v>
      </c>
      <c r="C83" s="213" t="s">
        <v>605</v>
      </c>
      <c r="D83" s="214" t="str">
        <f>IFERROR(VLOOKUP($C83,'PORTIFÓLIO'!C:V,2,0),"")</f>
        <v>2,4-D-DIMETILAMINA</v>
      </c>
      <c r="E83" s="211">
        <f>IFERROR(VLOOKUP($C83,'PORTIFÓLIO'!C:V,3,0),"")</f>
        <v>806</v>
      </c>
      <c r="F83" s="211" t="str">
        <f>IFERROR(VLOOKUP($C83,'PORTIFÓLIO'!C:V,4,0),"")</f>
        <v>KG</v>
      </c>
      <c r="G83" s="225" t="str">
        <f>IFERROR(VLOOKUP($C83,'PORTIFÓLIO'!C:V,5,0),"")</f>
        <v>📄 Ver bula</v>
      </c>
      <c r="H83" s="254">
        <f t="array" ref="H83">IFERROR(INDEX('PORTIFÓLIO'!$H$4:$H$433,MATCH($C83,'PORTIFÓLIO'!$C$4:$C$433,0)),"")</f>
        <v>1</v>
      </c>
      <c r="I83" s="255">
        <v>1.0</v>
      </c>
      <c r="J83" s="218">
        <f t="shared" si="10"/>
        <v>220</v>
      </c>
      <c r="K83" s="219">
        <f t="array" ref="K83">IFERROR(I83*INDEX('PORTIFÓLIO'!$S$4:$S$433,MATCH($C83,'PORTIFÓLIO'!$C$4:$C$433,0)),"")</f>
        <v>18.1892</v>
      </c>
      <c r="L83" s="219">
        <f t="array" ref="L83">IFERROR(J83*INDEX('PORTIFÓLIO'!$S$4:$S$433,MATCH($C83,'PORTIFÓLIO'!$C$4:$C$433,0)),"")</f>
        <v>4001.624</v>
      </c>
      <c r="M83" s="220"/>
      <c r="N83" s="220"/>
      <c r="O83" s="220"/>
      <c r="P83" s="220"/>
      <c r="Q83" s="220"/>
      <c r="R83" s="220"/>
      <c r="S83" s="220"/>
      <c r="T83" s="220"/>
      <c r="U83" s="220"/>
      <c r="V83" s="220"/>
      <c r="W83" s="220"/>
    </row>
    <row r="84" ht="15.75" customHeight="1" outlineLevel="1">
      <c r="A84" s="211"/>
      <c r="B84" s="212" t="s">
        <v>2</v>
      </c>
      <c r="C84" s="213" t="s">
        <v>837</v>
      </c>
      <c r="D84" s="214" t="str">
        <f>IFERROR(VLOOKUP($C84,'PORTIFÓLIO'!C:V,2,0),"")</f>
        <v>CLORFENAPIR</v>
      </c>
      <c r="E84" s="211">
        <f>IFERROR(VLOOKUP($C84,'PORTIFÓLIO'!C:V,3,0),"")</f>
        <v>240</v>
      </c>
      <c r="F84" s="211" t="str">
        <f>IFERROR(VLOOKUP($C84,'PORTIFÓLIO'!C:V,4,0),"")</f>
        <v>KG</v>
      </c>
      <c r="G84" s="225" t="str">
        <f>IFERROR(VLOOKUP($C84,'PORTIFÓLIO'!C:V,5,0),"")</f>
        <v>📄 Ver bula</v>
      </c>
      <c r="H84" s="254">
        <f t="array" ref="H84">IFERROR(INDEX('PORTIFÓLIO'!$H$4:$H$433,MATCH($C84,'PORTIFÓLIO'!$C$4:$C$433,0)),"")</f>
        <v>1</v>
      </c>
      <c r="I84" s="255">
        <v>1.0</v>
      </c>
      <c r="J84" s="218">
        <f t="shared" si="10"/>
        <v>220</v>
      </c>
      <c r="K84" s="219">
        <f t="array" ref="K84">IFERROR(I84*INDEX('PORTIFÓLIO'!$S$4:$S$433,MATCH($C84,'PORTIFÓLIO'!$C$4:$C$433,0)),"")</f>
        <v>38.55729</v>
      </c>
      <c r="L84" s="219">
        <f t="array" ref="L84">IFERROR(J84*INDEX('PORTIFÓLIO'!$S$4:$S$433,MATCH($C84,'PORTIFÓLIO'!$C$4:$C$433,0)),"")</f>
        <v>8482.6038</v>
      </c>
      <c r="M84" s="220"/>
      <c r="N84" s="220"/>
      <c r="O84" s="220"/>
      <c r="P84" s="220"/>
      <c r="Q84" s="220"/>
      <c r="R84" s="220"/>
      <c r="S84" s="220"/>
      <c r="T84" s="220"/>
      <c r="U84" s="220"/>
      <c r="V84" s="220"/>
      <c r="W84" s="220"/>
    </row>
    <row r="85" ht="15.75" customHeight="1" outlineLevel="1">
      <c r="A85" s="211"/>
      <c r="B85" s="212"/>
      <c r="C85" s="213"/>
      <c r="D85" s="214" t="str">
        <f>IFERROR(VLOOKUP($C85,'PORTIFÓLIO'!C:V,2,0),"")</f>
        <v/>
      </c>
      <c r="E85" s="211" t="str">
        <f>IFERROR(VLOOKUP($C85,'PORTIFÓLIO'!C:V,3,0),"")</f>
        <v/>
      </c>
      <c r="F85" s="211" t="str">
        <f>IFERROR(VLOOKUP($C85,'PORTIFÓLIO'!C:V,4,0),"")</f>
        <v/>
      </c>
      <c r="G85" s="215" t="str">
        <f>IFERROR(VLOOKUP($C85,'PORTIFÓLIO'!C:V,5,0),"")</f>
        <v/>
      </c>
      <c r="H85" s="254" t="str">
        <f t="array" ref="H85">IFERROR(INDEX('PORTIFÓLIO'!$H$4:$H$433,MATCH($C85,'PORTIFÓLIO'!$C$4:$C$433,0)),"")</f>
        <v/>
      </c>
      <c r="I85" s="255"/>
      <c r="J85" s="218">
        <f t="shared" si="10"/>
        <v>0</v>
      </c>
      <c r="K85" s="219" t="str">
        <f t="array" ref="K85">IFERROR(I85*INDEX('PORTIFÓLIO'!$S$4:$S$433,MATCH($C85,'PORTIFÓLIO'!$C$4:$C$433,0)),"")</f>
        <v/>
      </c>
      <c r="L85" s="219" t="str">
        <f t="array" ref="L85">IFERROR(J85*INDEX('PORTIFÓLIO'!$S$4:$S$433,MATCH($C85,'PORTIFÓLIO'!$C$4:$C$433,0)),"")</f>
        <v/>
      </c>
      <c r="M85" s="220"/>
      <c r="N85" s="220"/>
      <c r="O85" s="220"/>
      <c r="P85" s="220"/>
      <c r="Q85" s="220"/>
      <c r="R85" s="220"/>
      <c r="S85" s="220"/>
      <c r="T85" s="220"/>
      <c r="U85" s="220"/>
      <c r="V85" s="220"/>
      <c r="W85" s="220"/>
    </row>
    <row r="86" ht="15.75" customHeight="1" outlineLevel="1">
      <c r="A86" s="211"/>
      <c r="B86" s="212"/>
      <c r="C86" s="213"/>
      <c r="D86" s="214" t="str">
        <f>IFERROR(VLOOKUP($C86,'PORTIFÓLIO'!C:V,2,0),"")</f>
        <v/>
      </c>
      <c r="E86" s="211" t="str">
        <f>IFERROR(VLOOKUP($C86,'PORTIFÓLIO'!C:V,3,0),"")</f>
        <v/>
      </c>
      <c r="F86" s="211" t="str">
        <f>IFERROR(VLOOKUP($C86,'PORTIFÓLIO'!C:V,4,0),"")</f>
        <v/>
      </c>
      <c r="G86" s="215" t="str">
        <f>IFERROR(VLOOKUP($C86,'PORTIFÓLIO'!C:V,5,0),"")</f>
        <v/>
      </c>
      <c r="H86" s="254" t="str">
        <f t="array" ref="H86">IFERROR(INDEX('PORTIFÓLIO'!$H$4:$H$433,MATCH($C86,'PORTIFÓLIO'!$C$4:$C$433,0)),"")</f>
        <v/>
      </c>
      <c r="I86" s="256"/>
      <c r="J86" s="218">
        <f t="shared" si="10"/>
        <v>0</v>
      </c>
      <c r="K86" s="219" t="str">
        <f t="array" ref="K86">IFERROR(I86*INDEX('PORTIFÓLIO'!$S$4:$S$433,MATCH($C86,'PORTIFÓLIO'!$C$4:$C$433,0)),"")</f>
        <v/>
      </c>
      <c r="L86" s="219" t="str">
        <f t="array" ref="L86">IFERROR(J86*INDEX('PORTIFÓLIO'!$S$4:$S$433,MATCH($C86,'PORTIFÓLIO'!$C$4:$C$433,0)),"")</f>
        <v/>
      </c>
      <c r="M86" s="220"/>
      <c r="N86" s="220"/>
      <c r="O86" s="220"/>
      <c r="P86" s="220"/>
      <c r="Q86" s="220"/>
      <c r="R86" s="220"/>
      <c r="S86" s="220"/>
      <c r="T86" s="220"/>
      <c r="U86" s="220"/>
      <c r="V86" s="220"/>
      <c r="W86" s="220"/>
    </row>
    <row r="87" ht="15.75" customHeight="1" outlineLevel="1">
      <c r="A87" s="211"/>
      <c r="B87" s="212"/>
      <c r="C87" s="213"/>
      <c r="D87" s="214" t="str">
        <f>IFERROR(VLOOKUP($C87,'PORTIFÓLIO'!C:V,2,0),"")</f>
        <v/>
      </c>
      <c r="E87" s="211" t="str">
        <f>IFERROR(VLOOKUP($C87,'PORTIFÓLIO'!C:V,3,0),"")</f>
        <v/>
      </c>
      <c r="F87" s="211" t="str">
        <f>IFERROR(VLOOKUP($C87,'PORTIFÓLIO'!C:V,4,0),"")</f>
        <v/>
      </c>
      <c r="G87" s="215" t="str">
        <f>IFERROR(VLOOKUP($C87,'PORTIFÓLIO'!C:V,5,0),"")</f>
        <v/>
      </c>
      <c r="H87" s="254" t="str">
        <f t="array" ref="H87">IFERROR(INDEX('PORTIFÓLIO'!$H$4:$H$433,MATCH($C87,'PORTIFÓLIO'!$C$4:$C$433,0)),"")</f>
        <v/>
      </c>
      <c r="I87" s="256"/>
      <c r="J87" s="218">
        <f t="shared" si="10"/>
        <v>0</v>
      </c>
      <c r="K87" s="219" t="str">
        <f t="array" ref="K87">IFERROR(I87*INDEX('PORTIFÓLIO'!$S$4:$S$433,MATCH($C87,'PORTIFÓLIO'!$C$4:$C$433,0)),"")</f>
        <v/>
      </c>
      <c r="L87" s="219" t="str">
        <f t="array" ref="L87">IFERROR(J87*INDEX('PORTIFÓLIO'!$S$4:$S$433,MATCH($C87,'PORTIFÓLIO'!$C$4:$C$433,0)),"")</f>
        <v/>
      </c>
      <c r="M87" s="220"/>
      <c r="N87" s="220"/>
      <c r="O87" s="220"/>
      <c r="P87" s="220"/>
      <c r="Q87" s="220"/>
      <c r="R87" s="220"/>
      <c r="S87" s="220"/>
      <c r="T87" s="220"/>
      <c r="U87" s="220"/>
      <c r="V87" s="220"/>
      <c r="W87" s="220"/>
    </row>
    <row r="88" ht="15.75" customHeight="1" outlineLevel="1">
      <c r="A88" s="211"/>
      <c r="B88" s="212"/>
      <c r="C88" s="213"/>
      <c r="D88" s="214" t="str">
        <f>IFERROR(VLOOKUP($C88,'PORTIFÓLIO'!C:V,2,0),"")</f>
        <v/>
      </c>
      <c r="E88" s="211" t="str">
        <f>IFERROR(VLOOKUP($C88,'PORTIFÓLIO'!C:V,3,0),"")</f>
        <v/>
      </c>
      <c r="F88" s="211" t="str">
        <f>IFERROR(VLOOKUP($C88,'PORTIFÓLIO'!C:V,4,0),"")</f>
        <v/>
      </c>
      <c r="G88" s="215" t="str">
        <f>IFERROR(VLOOKUP($C88,'PORTIFÓLIO'!C:V,5,0),"")</f>
        <v/>
      </c>
      <c r="H88" s="254" t="str">
        <f t="array" ref="H88">IFERROR(INDEX('PORTIFÓLIO'!$H$4:$H$433,MATCH($C88,'PORTIFÓLIO'!$C$4:$C$433,0)),"")</f>
        <v/>
      </c>
      <c r="I88" s="256"/>
      <c r="J88" s="218">
        <f t="shared" si="10"/>
        <v>0</v>
      </c>
      <c r="K88" s="219" t="str">
        <f t="array" ref="K88">IFERROR(I88*INDEX('PORTIFÓLIO'!$S$4:$S$433,MATCH($C88,'PORTIFÓLIO'!$C$4:$C$433,0)),"")</f>
        <v/>
      </c>
      <c r="L88" s="219" t="str">
        <f t="array" ref="L88">IFERROR(J88*INDEX('PORTIFÓLIO'!$S$4:$S$433,MATCH($C88,'PORTIFÓLIO'!$C$4:$C$433,0)),"")</f>
        <v/>
      </c>
      <c r="M88" s="220"/>
      <c r="N88" s="220"/>
      <c r="O88" s="220"/>
      <c r="P88" s="220"/>
      <c r="Q88" s="220"/>
      <c r="R88" s="220"/>
      <c r="S88" s="220"/>
      <c r="T88" s="220"/>
      <c r="U88" s="220"/>
      <c r="V88" s="220"/>
      <c r="W88" s="220"/>
    </row>
    <row r="89" ht="15.75" customHeight="1" outlineLevel="1">
      <c r="A89" s="211"/>
      <c r="B89" s="212"/>
      <c r="C89" s="213"/>
      <c r="D89" s="214" t="str">
        <f>IFERROR(VLOOKUP($C89,'PORTIFÓLIO'!C:V,2,0),"")</f>
        <v/>
      </c>
      <c r="E89" s="211" t="str">
        <f>IFERROR(VLOOKUP($C89,'PORTIFÓLIO'!C:V,3,0),"")</f>
        <v/>
      </c>
      <c r="F89" s="211" t="str">
        <f>IFERROR(VLOOKUP($C89,'PORTIFÓLIO'!C:V,4,0),"")</f>
        <v/>
      </c>
      <c r="G89" s="215" t="str">
        <f>IFERROR(VLOOKUP($C89,'PORTIFÓLIO'!C:V,5,0),"")</f>
        <v/>
      </c>
      <c r="H89" s="254" t="str">
        <f t="array" ref="H89">IFERROR(INDEX('PORTIFÓLIO'!$H$4:$H$433,MATCH($C89,'PORTIFÓLIO'!$C$4:$C$433,0)),"")</f>
        <v/>
      </c>
      <c r="I89" s="256"/>
      <c r="J89" s="218">
        <f t="shared" si="10"/>
        <v>0</v>
      </c>
      <c r="K89" s="219" t="str">
        <f t="array" ref="K89">IFERROR(I89*INDEX('PORTIFÓLIO'!$S$4:$S$433,MATCH($C89,'PORTIFÓLIO'!$C$4:$C$433,0)),"")</f>
        <v/>
      </c>
      <c r="L89" s="219" t="str">
        <f t="array" ref="L89">IFERROR(J89*INDEX('PORTIFÓLIO'!$S$4:$S$433,MATCH($C89,'PORTIFÓLIO'!$C$4:$C$433,0)),"")</f>
        <v/>
      </c>
      <c r="M89" s="220"/>
      <c r="N89" s="220"/>
      <c r="O89" s="220"/>
      <c r="P89" s="220"/>
      <c r="Q89" s="220"/>
      <c r="R89" s="220"/>
      <c r="S89" s="220"/>
      <c r="T89" s="220"/>
      <c r="U89" s="220"/>
      <c r="V89" s="220"/>
      <c r="W89" s="220"/>
    </row>
    <row r="90" ht="15.75" customHeight="1" outlineLevel="1">
      <c r="A90" s="211"/>
      <c r="B90" s="212"/>
      <c r="C90" s="213"/>
      <c r="D90" s="214" t="str">
        <f>IFERROR(VLOOKUP($C90,'PORTIFÓLIO'!C:V,2,0),"")</f>
        <v/>
      </c>
      <c r="E90" s="211" t="str">
        <f>IFERROR(VLOOKUP($C90,'PORTIFÓLIO'!C:V,3,0),"")</f>
        <v/>
      </c>
      <c r="F90" s="211" t="str">
        <f>IFERROR(VLOOKUP($C90,'PORTIFÓLIO'!C:V,4,0),"")</f>
        <v/>
      </c>
      <c r="G90" s="215" t="str">
        <f>IFERROR(VLOOKUP($C90,'PORTIFÓLIO'!C:V,5,0),"")</f>
        <v/>
      </c>
      <c r="H90" s="254" t="str">
        <f t="array" ref="H90">IFERROR(INDEX('PORTIFÓLIO'!$H$4:$H$433,MATCH($C90,'PORTIFÓLIO'!$C$4:$C$433,0)),"")</f>
        <v/>
      </c>
      <c r="I90" s="255"/>
      <c r="J90" s="218">
        <f t="shared" si="10"/>
        <v>0</v>
      </c>
      <c r="K90" s="219" t="str">
        <f t="array" ref="K90">IFERROR(I90*INDEX('PORTIFÓLIO'!$S$4:$S$433,MATCH($C90,'PORTIFÓLIO'!$C$4:$C$433,0)),"")</f>
        <v/>
      </c>
      <c r="L90" s="219" t="str">
        <f t="array" ref="L90">IFERROR(J90*INDEX('PORTIFÓLIO'!$S$4:$S$433,MATCH($C90,'PORTIFÓLIO'!$C$4:$C$433,0)),"")</f>
        <v/>
      </c>
      <c r="M90" s="220"/>
      <c r="N90" s="220"/>
      <c r="O90" s="220"/>
      <c r="P90" s="220"/>
      <c r="Q90" s="220"/>
      <c r="R90" s="220"/>
      <c r="S90" s="220"/>
      <c r="T90" s="220"/>
      <c r="U90" s="220"/>
      <c r="V90" s="220"/>
      <c r="W90" s="220"/>
    </row>
    <row r="91" ht="15.75" customHeight="1" outlineLevel="1">
      <c r="A91" s="211"/>
      <c r="B91" s="212"/>
      <c r="C91" s="213"/>
      <c r="D91" s="214" t="str">
        <f>IFERROR(VLOOKUP($C91,'PORTIFÓLIO'!C:V,2,0),"")</f>
        <v/>
      </c>
      <c r="E91" s="211" t="str">
        <f>IFERROR(VLOOKUP($C91,'PORTIFÓLIO'!C:V,3,0),"")</f>
        <v/>
      </c>
      <c r="F91" s="211" t="str">
        <f>IFERROR(VLOOKUP($C91,'PORTIFÓLIO'!C:V,4,0),"")</f>
        <v/>
      </c>
      <c r="G91" s="215" t="str">
        <f>IFERROR(VLOOKUP($C91,'PORTIFÓLIO'!C:V,5,0),"")</f>
        <v/>
      </c>
      <c r="H91" s="254" t="str">
        <f t="array" ref="H91">IFERROR(INDEX('PORTIFÓLIO'!$H$4:$H$433,MATCH($C91,'PORTIFÓLIO'!$C$4:$C$433,0)),"")</f>
        <v/>
      </c>
      <c r="I91" s="256"/>
      <c r="J91" s="218">
        <f t="shared" si="10"/>
        <v>0</v>
      </c>
      <c r="K91" s="219" t="str">
        <f t="array" ref="K91">IFERROR(I91*INDEX('PORTIFÓLIO'!$S$4:$S$433,MATCH($C91,'PORTIFÓLIO'!$C$4:$C$433,0)),"")</f>
        <v/>
      </c>
      <c r="L91" s="219" t="str">
        <f t="array" ref="L91">IFERROR(J91*INDEX('PORTIFÓLIO'!$S$4:$S$433,MATCH($C91,'PORTIFÓLIO'!$C$4:$C$433,0)),"")</f>
        <v/>
      </c>
      <c r="M91" s="220"/>
      <c r="N91" s="220"/>
      <c r="O91" s="220"/>
      <c r="P91" s="220"/>
      <c r="Q91" s="220"/>
      <c r="R91" s="220"/>
      <c r="S91" s="220"/>
      <c r="T91" s="220"/>
      <c r="U91" s="220"/>
      <c r="V91" s="220"/>
      <c r="W91" s="220"/>
    </row>
    <row r="92" ht="15.75" customHeight="1" outlineLevel="1">
      <c r="A92" s="211"/>
      <c r="B92" s="212"/>
      <c r="C92" s="213"/>
      <c r="D92" s="214" t="str">
        <f>IFERROR(VLOOKUP($C92,'PORTIFÓLIO'!C:V,2,0),"")</f>
        <v/>
      </c>
      <c r="E92" s="211" t="str">
        <f>IFERROR(VLOOKUP($C92,'PORTIFÓLIO'!C:V,3,0),"")</f>
        <v/>
      </c>
      <c r="F92" s="211" t="str">
        <f>IFERROR(VLOOKUP($C92,'PORTIFÓLIO'!C:V,4,0),"")</f>
        <v/>
      </c>
      <c r="G92" s="215" t="str">
        <f>IFERROR(VLOOKUP($C92,'PORTIFÓLIO'!C:V,5,0),"")</f>
        <v/>
      </c>
      <c r="H92" s="254" t="str">
        <f t="array" ref="H92">IFERROR(INDEX('PORTIFÓLIO'!$H$4:$H$433,MATCH($C92,'PORTIFÓLIO'!$C$4:$C$433,0)),"")</f>
        <v/>
      </c>
      <c r="I92" s="256"/>
      <c r="J92" s="218">
        <f t="shared" si="10"/>
        <v>0</v>
      </c>
      <c r="K92" s="219" t="str">
        <f t="array" ref="K92">IFERROR(I92*INDEX('PORTIFÓLIO'!$S$4:$S$433,MATCH($C92,'PORTIFÓLIO'!$C$4:$C$433,0)),"")</f>
        <v/>
      </c>
      <c r="L92" s="219" t="str">
        <f t="array" ref="L92">IFERROR(J92*INDEX('PORTIFÓLIO'!$S$4:$S$433,MATCH($C92,'PORTIFÓLIO'!$C$4:$C$433,0)),"")</f>
        <v/>
      </c>
      <c r="M92" s="220"/>
      <c r="N92" s="220"/>
      <c r="O92" s="220"/>
      <c r="P92" s="220"/>
      <c r="Q92" s="220"/>
      <c r="R92" s="220"/>
      <c r="S92" s="220"/>
      <c r="T92" s="220"/>
      <c r="U92" s="220"/>
      <c r="V92" s="220"/>
      <c r="W92" s="220"/>
    </row>
    <row r="93" ht="15.75" customHeight="1" outlineLevel="1">
      <c r="A93" s="211"/>
      <c r="B93" s="212"/>
      <c r="C93" s="213"/>
      <c r="D93" s="214" t="str">
        <f>IFERROR(VLOOKUP($C93,'PORTIFÓLIO'!C:V,2,0),"")</f>
        <v/>
      </c>
      <c r="E93" s="211" t="str">
        <f>IFERROR(VLOOKUP($C93,'PORTIFÓLIO'!C:V,3,0),"")</f>
        <v/>
      </c>
      <c r="F93" s="211" t="str">
        <f>IFERROR(VLOOKUP($C93,'PORTIFÓLIO'!C:V,4,0),"")</f>
        <v/>
      </c>
      <c r="G93" s="215" t="str">
        <f>IFERROR(VLOOKUP($C93,'PORTIFÓLIO'!C:V,5,0),"")</f>
        <v/>
      </c>
      <c r="H93" s="254" t="str">
        <f t="array" ref="H93">IFERROR(INDEX('PORTIFÓLIO'!$H$4:$H$433,MATCH($C93,'PORTIFÓLIO'!$C$4:$C$433,0)),"")</f>
        <v/>
      </c>
      <c r="I93" s="256"/>
      <c r="J93" s="218">
        <f t="shared" si="10"/>
        <v>0</v>
      </c>
      <c r="K93" s="219" t="str">
        <f t="array" ref="K93">IFERROR(I93*INDEX('PORTIFÓLIO'!$S$4:$S$433,MATCH($C93,'PORTIFÓLIO'!$C$4:$C$433,0)),"")</f>
        <v/>
      </c>
      <c r="L93" s="219" t="str">
        <f t="array" ref="L93">IFERROR(J93*INDEX('PORTIFÓLIO'!$S$4:$S$433,MATCH($C93,'PORTIFÓLIO'!$C$4:$C$433,0)),"")</f>
        <v/>
      </c>
      <c r="M93" s="220"/>
      <c r="N93" s="220"/>
      <c r="O93" s="220"/>
      <c r="P93" s="220"/>
      <c r="Q93" s="220"/>
      <c r="R93" s="220"/>
      <c r="S93" s="220"/>
      <c r="T93" s="220"/>
      <c r="U93" s="220"/>
      <c r="V93" s="220"/>
      <c r="W93" s="220"/>
    </row>
    <row r="94" ht="15.75" customHeight="1" outlineLevel="1">
      <c r="A94" s="211"/>
      <c r="B94" s="212"/>
      <c r="C94" s="213"/>
      <c r="D94" s="214" t="str">
        <f>IFERROR(VLOOKUP($C94,'PORTIFÓLIO'!C:V,2,0),"")</f>
        <v/>
      </c>
      <c r="E94" s="211" t="str">
        <f>IFERROR(VLOOKUP($C94,'PORTIFÓLIO'!C:V,3,0),"")</f>
        <v/>
      </c>
      <c r="F94" s="211" t="str">
        <f>IFERROR(VLOOKUP($C94,'PORTIFÓLIO'!C:V,4,0),"")</f>
        <v/>
      </c>
      <c r="G94" s="215" t="str">
        <f>IFERROR(VLOOKUP($C94,'PORTIFÓLIO'!C:V,5,0),"")</f>
        <v/>
      </c>
      <c r="H94" s="254" t="str">
        <f t="array" ref="H94">IFERROR(INDEX('PORTIFÓLIO'!$H$4:$H$433,MATCH($C94,'PORTIFÓLIO'!$C$4:$C$433,0)),"")</f>
        <v/>
      </c>
      <c r="I94" s="256"/>
      <c r="J94" s="218">
        <f t="shared" si="10"/>
        <v>0</v>
      </c>
      <c r="K94" s="219" t="str">
        <f t="array" ref="K94">IFERROR(I94*INDEX('PORTIFÓLIO'!$S$4:$S$433,MATCH($C94,'PORTIFÓLIO'!$C$4:$C$433,0)),"")</f>
        <v/>
      </c>
      <c r="L94" s="219" t="str">
        <f t="array" ref="L94">IFERROR(J94*INDEX('PORTIFÓLIO'!$S$4:$S$433,MATCH($C94,'PORTIFÓLIO'!$C$4:$C$433,0)),"")</f>
        <v/>
      </c>
      <c r="M94" s="220"/>
      <c r="N94" s="220"/>
      <c r="O94" s="220"/>
      <c r="P94" s="220"/>
      <c r="Q94" s="220"/>
      <c r="R94" s="220"/>
      <c r="S94" s="220"/>
      <c r="T94" s="220"/>
      <c r="U94" s="220"/>
      <c r="V94" s="220"/>
      <c r="W94" s="220"/>
    </row>
    <row r="95" ht="15.75" customHeight="1" outlineLevel="1">
      <c r="A95" s="211"/>
      <c r="B95" s="212"/>
      <c r="C95" s="213"/>
      <c r="D95" s="214" t="str">
        <f>IFERROR(VLOOKUP($C95,'PORTIFÓLIO'!C:V,2,0),"")</f>
        <v/>
      </c>
      <c r="E95" s="211" t="str">
        <f>IFERROR(VLOOKUP($C95,'PORTIFÓLIO'!C:V,3,0),"")</f>
        <v/>
      </c>
      <c r="F95" s="211" t="str">
        <f>IFERROR(VLOOKUP($C95,'PORTIFÓLIO'!C:V,4,0),"")</f>
        <v/>
      </c>
      <c r="G95" s="215" t="str">
        <f>IFERROR(VLOOKUP($C95,'PORTIFÓLIO'!C:V,5,0),"")</f>
        <v/>
      </c>
      <c r="H95" s="254" t="str">
        <f t="array" ref="H95">IFERROR(INDEX('PORTIFÓLIO'!$H$4:$H$433,MATCH($C95,'PORTIFÓLIO'!$C$4:$C$433,0)),"")</f>
        <v/>
      </c>
      <c r="I95" s="256"/>
      <c r="J95" s="218">
        <f t="shared" si="10"/>
        <v>0</v>
      </c>
      <c r="K95" s="219" t="str">
        <f t="array" ref="K95">IFERROR(I95*INDEX('PORTIFÓLIO'!$S$4:$S$433,MATCH($C95,'PORTIFÓLIO'!$C$4:$C$433,0)),"")</f>
        <v/>
      </c>
      <c r="L95" s="219" t="str">
        <f t="array" ref="L95">IFERROR(J95*INDEX('PORTIFÓLIO'!$S$4:$S$433,MATCH($C95,'PORTIFÓLIO'!$C$4:$C$433,0)),"")</f>
        <v/>
      </c>
      <c r="M95" s="220"/>
      <c r="N95" s="220"/>
      <c r="O95" s="220"/>
      <c r="P95" s="220"/>
      <c r="Q95" s="220"/>
      <c r="R95" s="220"/>
      <c r="S95" s="220"/>
      <c r="T95" s="220"/>
      <c r="U95" s="220"/>
      <c r="V95" s="220"/>
      <c r="W95" s="220"/>
    </row>
    <row r="96" ht="15.75" customHeight="1" outlineLevel="1">
      <c r="A96" s="211"/>
      <c r="B96" s="212"/>
      <c r="C96" s="213"/>
      <c r="D96" s="214" t="str">
        <f>IFERROR(VLOOKUP($C96,'PORTIFÓLIO'!C:V,2,0),"")</f>
        <v/>
      </c>
      <c r="E96" s="211" t="str">
        <f>IFERROR(VLOOKUP($C96,'PORTIFÓLIO'!C:V,3,0),"")</f>
        <v/>
      </c>
      <c r="F96" s="211" t="str">
        <f>IFERROR(VLOOKUP($C96,'PORTIFÓLIO'!C:V,4,0),"")</f>
        <v/>
      </c>
      <c r="G96" s="215" t="str">
        <f>IFERROR(VLOOKUP($C96,'PORTIFÓLIO'!C:V,5,0),"")</f>
        <v/>
      </c>
      <c r="H96" s="254" t="str">
        <f t="array" ref="H96">IFERROR(INDEX('PORTIFÓLIO'!$H$4:$H$433,MATCH($C96,'PORTIFÓLIO'!$C$4:$C$433,0)),"")</f>
        <v/>
      </c>
      <c r="I96" s="256"/>
      <c r="J96" s="218">
        <f t="shared" si="10"/>
        <v>0</v>
      </c>
      <c r="K96" s="219" t="str">
        <f t="array" ref="K96">IFERROR(I96*INDEX('PORTIFÓLIO'!$S$4:$S$433,MATCH($C96,'PORTIFÓLIO'!$C$4:$C$433,0)),"")</f>
        <v/>
      </c>
      <c r="L96" s="219" t="str">
        <f t="array" ref="L96">IFERROR(J96*INDEX('PORTIFÓLIO'!$S$4:$S$433,MATCH($C96,'PORTIFÓLIO'!$C$4:$C$433,0)),"")</f>
        <v/>
      </c>
      <c r="M96" s="220"/>
      <c r="N96" s="220"/>
      <c r="O96" s="220"/>
      <c r="P96" s="220"/>
      <c r="Q96" s="220"/>
      <c r="R96" s="220"/>
      <c r="S96" s="220"/>
      <c r="T96" s="220"/>
      <c r="U96" s="220"/>
      <c r="V96" s="220"/>
      <c r="W96" s="220"/>
    </row>
    <row r="97" ht="15.75" customHeight="1">
      <c r="A97" s="229" t="s">
        <v>1189</v>
      </c>
      <c r="B97" s="230"/>
      <c r="C97" s="231"/>
      <c r="D97" s="232"/>
      <c r="E97" s="231"/>
      <c r="F97" s="231"/>
      <c r="G97" s="233"/>
      <c r="H97" s="233"/>
      <c r="I97" s="258"/>
      <c r="J97" s="236"/>
      <c r="K97" s="237">
        <f t="shared" ref="K97:L97" si="11">SUBTOTAL(9,K98:K111)</f>
        <v>70.984595</v>
      </c>
      <c r="L97" s="237">
        <f t="shared" si="11"/>
        <v>15616.6109</v>
      </c>
      <c r="M97" s="220"/>
      <c r="N97" s="220"/>
      <c r="O97" s="220"/>
      <c r="P97" s="220"/>
      <c r="Q97" s="220"/>
      <c r="R97" s="220"/>
      <c r="S97" s="220"/>
      <c r="T97" s="220"/>
      <c r="U97" s="220"/>
      <c r="V97" s="220"/>
      <c r="W97" s="220"/>
    </row>
    <row r="98" ht="15.75" customHeight="1" outlineLevel="1">
      <c r="A98" s="213"/>
      <c r="B98" s="212" t="s">
        <v>0</v>
      </c>
      <c r="C98" s="213" t="s">
        <v>434</v>
      </c>
      <c r="D98" s="214" t="str">
        <f>IFERROR(VLOOKUP($C98,'PORTIFÓLIO'!C:V,2,0),"")</f>
        <v>AZOXISTROBINA + TEBUCONAZOL</v>
      </c>
      <c r="E98" s="211" t="str">
        <f>IFERROR(VLOOKUP($C98,'PORTIFÓLIO'!C:V,3,0),"")</f>
        <v>120 + 200</v>
      </c>
      <c r="F98" s="211" t="str">
        <f>IFERROR(VLOOKUP($C98,'PORTIFÓLIO'!C:V,4,0),"")</f>
        <v>L</v>
      </c>
      <c r="G98" s="225" t="str">
        <f>IFERROR(VLOOKUP($C98,'PORTIFÓLIO'!C:V,5,0),"")</f>
        <v>📄 Ver bula</v>
      </c>
      <c r="H98" s="254">
        <f t="array" ref="H98">IFERROR(INDEX('PORTIFÓLIO'!$H$4:$H$433,MATCH($C98,'PORTIFÓLIO'!$C$4:$C$433,0)),"")</f>
        <v>0.5</v>
      </c>
      <c r="I98" s="255">
        <v>0.5</v>
      </c>
      <c r="J98" s="218">
        <f t="shared" ref="J98:J112" si="12">I98*$B$2</f>
        <v>110</v>
      </c>
      <c r="K98" s="219">
        <f t="array" ref="K98">IFERROR(I98*INDEX('PORTIFÓLIO'!$S$4:$S$433,MATCH($C98,'PORTIFÓLIO'!$C$4:$C$433,0)),"")</f>
        <v>17.66448</v>
      </c>
      <c r="L98" s="219">
        <f t="array" ref="L98">IFERROR(J98*INDEX('PORTIFÓLIO'!$S$4:$S$433,MATCH($C98,'PORTIFÓLIO'!$C$4:$C$433,0)),"")</f>
        <v>3886.1856</v>
      </c>
      <c r="M98" s="220"/>
      <c r="N98" s="220"/>
      <c r="O98" s="220"/>
      <c r="P98" s="220"/>
      <c r="Q98" s="220"/>
      <c r="R98" s="220"/>
      <c r="S98" s="220"/>
      <c r="T98" s="220"/>
      <c r="U98" s="220"/>
      <c r="V98" s="220"/>
      <c r="W98" s="220"/>
    </row>
    <row r="99" ht="15.75" customHeight="1" outlineLevel="1">
      <c r="A99" s="211"/>
      <c r="B99" s="212" t="s">
        <v>0</v>
      </c>
      <c r="C99" s="213" t="s">
        <v>484</v>
      </c>
      <c r="D99" s="214" t="str">
        <f>IFERROR(VLOOKUP($C99,'PORTIFÓLIO'!C:V,2,0),"")</f>
        <v>MANCOZEBE</v>
      </c>
      <c r="E99" s="211">
        <f>IFERROR(VLOOKUP($C99,'PORTIFÓLIO'!C:V,3,0),"")</f>
        <v>750</v>
      </c>
      <c r="F99" s="211" t="str">
        <f>IFERROR(VLOOKUP($C99,'PORTIFÓLIO'!C:V,4,0),"")</f>
        <v>L</v>
      </c>
      <c r="G99" s="225" t="str">
        <f>IFERROR(VLOOKUP($C99,'PORTIFÓLIO'!C:V,5,0),"")</f>
        <v>📄 Ver bula</v>
      </c>
      <c r="H99" s="254">
        <f t="array" ref="H99">IFERROR(INDEX('PORTIFÓLIO'!$H$4:$H$433,MATCH($C99,'PORTIFÓLIO'!$C$4:$C$433,0)),"")</f>
        <v>1.5</v>
      </c>
      <c r="I99" s="255">
        <v>1.0</v>
      </c>
      <c r="J99" s="218">
        <f t="shared" si="12"/>
        <v>220</v>
      </c>
      <c r="K99" s="219">
        <f t="array" ref="K99">IFERROR(I99*INDEX('PORTIFÓLIO'!$S$4:$S$433,MATCH($C99,'PORTIFÓLIO'!$C$4:$C$433,0)),"")</f>
        <v>27.68112</v>
      </c>
      <c r="L99" s="219">
        <f t="array" ref="L99">IFERROR(J99*INDEX('PORTIFÓLIO'!$S$4:$S$433,MATCH($C99,'PORTIFÓLIO'!$C$4:$C$433,0)),"")</f>
        <v>6089.8464</v>
      </c>
      <c r="M99" s="220"/>
      <c r="N99" s="220"/>
      <c r="O99" s="220"/>
      <c r="P99" s="220"/>
      <c r="Q99" s="220"/>
      <c r="R99" s="220"/>
      <c r="S99" s="220"/>
      <c r="T99" s="220"/>
      <c r="U99" s="220"/>
      <c r="V99" s="220"/>
      <c r="W99" s="220"/>
    </row>
    <row r="100" ht="15.75" customHeight="1" outlineLevel="1">
      <c r="A100" s="211"/>
      <c r="B100" s="212" t="s">
        <v>2</v>
      </c>
      <c r="C100" s="213" t="s">
        <v>844</v>
      </c>
      <c r="D100" s="214" t="str">
        <f>IFERROR(VLOOKUP($C100,'PORTIFÓLIO'!C:V,2,0),"")</f>
        <v>METOMIL</v>
      </c>
      <c r="E100" s="211">
        <f>IFERROR(VLOOKUP($C100,'PORTIFÓLIO'!C:V,3,0),"")</f>
        <v>215</v>
      </c>
      <c r="F100" s="211" t="str">
        <f>IFERROR(VLOOKUP($C100,'PORTIFÓLIO'!C:V,4,0),"")</f>
        <v>L</v>
      </c>
      <c r="G100" s="225" t="str">
        <f>IFERROR(VLOOKUP($C100,'PORTIFÓLIO'!C:V,5,0),"")</f>
        <v>📄 Ver bula</v>
      </c>
      <c r="H100" s="254">
        <f t="array" ref="H100">IFERROR(INDEX('PORTIFÓLIO'!$H$4:$H$433,MATCH($C100,'PORTIFÓLIO'!$C$4:$C$433,0)),"")</f>
        <v>1</v>
      </c>
      <c r="I100" s="255">
        <v>1.5</v>
      </c>
      <c r="J100" s="218">
        <f t="shared" si="12"/>
        <v>330</v>
      </c>
      <c r="K100" s="219">
        <f t="array" ref="K100">IFERROR(I100*INDEX('PORTIFÓLIO'!$S$4:$S$433,MATCH($C100,'PORTIFÓLIO'!$C$4:$C$433,0)),"")</f>
        <v>22.432995</v>
      </c>
      <c r="L100" s="219">
        <f t="array" ref="L100">IFERROR(J100*INDEX('PORTIFÓLIO'!$S$4:$S$433,MATCH($C100,'PORTIFÓLIO'!$C$4:$C$433,0)),"")</f>
        <v>4935.2589</v>
      </c>
      <c r="M100" s="220"/>
      <c r="N100" s="220"/>
      <c r="O100" s="220"/>
      <c r="P100" s="220"/>
      <c r="Q100" s="220"/>
      <c r="R100" s="220"/>
      <c r="S100" s="220"/>
      <c r="T100" s="220"/>
      <c r="U100" s="220"/>
      <c r="V100" s="220"/>
      <c r="W100" s="220"/>
    </row>
    <row r="101" ht="15.75" customHeight="1" outlineLevel="1">
      <c r="A101" s="211"/>
      <c r="B101" s="212" t="s">
        <v>6</v>
      </c>
      <c r="C101" s="213" t="s">
        <v>354</v>
      </c>
      <c r="D101" s="214" t="str">
        <f>IFERROR(VLOOKUP($C101,'PORTIFÓLIO'!C:V,2,0),"")</f>
        <v>OLEO MINERAL</v>
      </c>
      <c r="E101" s="211">
        <f>IFERROR(VLOOKUP($C101,'PORTIFÓLIO'!C:V,3,0),"")</f>
        <v>761</v>
      </c>
      <c r="F101" s="211" t="str">
        <f>IFERROR(VLOOKUP($C101,'PORTIFÓLIO'!C:V,4,0),"")</f>
        <v>L</v>
      </c>
      <c r="G101" s="225" t="str">
        <f>IFERROR(VLOOKUP($C101,'PORTIFÓLIO'!C:V,5,0),"")</f>
        <v>📄 Ver bula</v>
      </c>
      <c r="H101" s="254">
        <f t="array" ref="H101">IFERROR(INDEX('PORTIFÓLIO'!$H$4:$H$433,MATCH($C101,'PORTIFÓLIO'!$C$4:$C$433,0)),"")</f>
        <v>0.2</v>
      </c>
      <c r="I101" s="255">
        <v>0.2</v>
      </c>
      <c r="J101" s="218">
        <f t="shared" si="12"/>
        <v>44</v>
      </c>
      <c r="K101" s="219">
        <f t="array" ref="K101">IFERROR(I101*INDEX('PORTIFÓLIO'!$S$4:$S$433,MATCH($C101,'PORTIFÓLIO'!$C$4:$C$433,0)),"")</f>
        <v>3.206</v>
      </c>
      <c r="L101" s="219">
        <f t="array" ref="L101">IFERROR(J101*INDEX('PORTIFÓLIO'!$S$4:$S$433,MATCH($C101,'PORTIFÓLIO'!$C$4:$C$433,0)),"")</f>
        <v>705.32</v>
      </c>
      <c r="M101" s="220"/>
      <c r="N101" s="220"/>
      <c r="O101" s="220"/>
      <c r="P101" s="220"/>
      <c r="Q101" s="220"/>
      <c r="R101" s="220"/>
      <c r="S101" s="220"/>
      <c r="T101" s="220"/>
      <c r="U101" s="220"/>
      <c r="V101" s="220"/>
      <c r="W101" s="220"/>
    </row>
    <row r="102" ht="15.75" customHeight="1" outlineLevel="1">
      <c r="A102" s="211"/>
      <c r="B102" s="212"/>
      <c r="C102" s="213"/>
      <c r="D102" s="214" t="str">
        <f>IFERROR(VLOOKUP($C102,'PORTIFÓLIO'!C:V,2,0),"")</f>
        <v/>
      </c>
      <c r="E102" s="211" t="str">
        <f>IFERROR(VLOOKUP($C102,'PORTIFÓLIO'!C:V,3,0),"")</f>
        <v/>
      </c>
      <c r="F102" s="211" t="str">
        <f>IFERROR(VLOOKUP($C102,'PORTIFÓLIO'!C:V,4,0),"")</f>
        <v/>
      </c>
      <c r="G102" s="215" t="str">
        <f>IFERROR(VLOOKUP($C102,'PORTIFÓLIO'!C:V,5,0),"")</f>
        <v/>
      </c>
      <c r="H102" s="254" t="str">
        <f t="array" ref="H102">IFERROR(INDEX('PORTIFÓLIO'!$H$4:$H$433,MATCH($C102,'PORTIFÓLIO'!$C$4:$C$433,0)),"")</f>
        <v/>
      </c>
      <c r="I102" s="256"/>
      <c r="J102" s="218">
        <f t="shared" si="12"/>
        <v>0</v>
      </c>
      <c r="K102" s="219" t="str">
        <f t="array" ref="K102">IFERROR(I102*INDEX('PORTIFÓLIO'!$S$4:$S$433,MATCH($C102,'PORTIFÓLIO'!$C$4:$C$433,0)),"")</f>
        <v/>
      </c>
      <c r="L102" s="219" t="str">
        <f t="array" ref="L102">IFERROR(J102*INDEX('PORTIFÓLIO'!$S$4:$S$433,MATCH($C102,'PORTIFÓLIO'!$C$4:$C$433,0)),"")</f>
        <v/>
      </c>
      <c r="M102" s="220"/>
      <c r="N102" s="220"/>
      <c r="O102" s="220"/>
      <c r="P102" s="220"/>
      <c r="Q102" s="220"/>
      <c r="R102" s="220"/>
      <c r="S102" s="220"/>
      <c r="T102" s="220"/>
      <c r="U102" s="220"/>
      <c r="V102" s="220"/>
      <c r="W102" s="220"/>
    </row>
    <row r="103" ht="15.75" customHeight="1" outlineLevel="1">
      <c r="A103" s="211"/>
      <c r="B103" s="212"/>
      <c r="C103" s="213"/>
      <c r="D103" s="214" t="str">
        <f>IFERROR(VLOOKUP($C103,'PORTIFÓLIO'!C:V,2,0),"")</f>
        <v/>
      </c>
      <c r="E103" s="211" t="str">
        <f>IFERROR(VLOOKUP($C103,'PORTIFÓLIO'!C:V,3,0),"")</f>
        <v/>
      </c>
      <c r="F103" s="211" t="str">
        <f>IFERROR(VLOOKUP($C103,'PORTIFÓLIO'!C:V,4,0),"")</f>
        <v/>
      </c>
      <c r="G103" s="215" t="str">
        <f>IFERROR(VLOOKUP($C103,'PORTIFÓLIO'!C:V,5,0),"")</f>
        <v/>
      </c>
      <c r="H103" s="254" t="str">
        <f t="array" ref="H103">IFERROR(INDEX('PORTIFÓLIO'!$H$4:$H$433,MATCH($C103,'PORTIFÓLIO'!$C$4:$C$433,0)),"")</f>
        <v/>
      </c>
      <c r="I103" s="256"/>
      <c r="J103" s="218">
        <f t="shared" si="12"/>
        <v>0</v>
      </c>
      <c r="K103" s="219" t="str">
        <f t="array" ref="K103">IFERROR(I103*INDEX('PORTIFÓLIO'!$S$4:$S$433,MATCH($C103,'PORTIFÓLIO'!$C$4:$C$433,0)),"")</f>
        <v/>
      </c>
      <c r="L103" s="219" t="str">
        <f t="array" ref="L103">IFERROR(J103*INDEX('PORTIFÓLIO'!$S$4:$S$433,MATCH($C103,'PORTIFÓLIO'!$C$4:$C$433,0)),"")</f>
        <v/>
      </c>
      <c r="M103" s="220"/>
      <c r="N103" s="220"/>
      <c r="O103" s="220"/>
      <c r="P103" s="220"/>
      <c r="Q103" s="220"/>
      <c r="R103" s="220"/>
      <c r="S103" s="220"/>
      <c r="T103" s="220"/>
      <c r="U103" s="220"/>
      <c r="V103" s="220"/>
      <c r="W103" s="220"/>
    </row>
    <row r="104" ht="15.75" customHeight="1" outlineLevel="1">
      <c r="A104" s="211"/>
      <c r="B104" s="212"/>
      <c r="C104" s="213"/>
      <c r="D104" s="214" t="str">
        <f>IFERROR(VLOOKUP($C104,'PORTIFÓLIO'!C:V,2,0),"")</f>
        <v/>
      </c>
      <c r="E104" s="211" t="str">
        <f>IFERROR(VLOOKUP($C104,'PORTIFÓLIO'!C:V,3,0),"")</f>
        <v/>
      </c>
      <c r="F104" s="211" t="str">
        <f>IFERROR(VLOOKUP($C104,'PORTIFÓLIO'!C:V,4,0),"")</f>
        <v/>
      </c>
      <c r="G104" s="215" t="str">
        <f>IFERROR(VLOOKUP($C104,'PORTIFÓLIO'!C:V,5,0),"")</f>
        <v/>
      </c>
      <c r="H104" s="254" t="str">
        <f t="array" ref="H104">IFERROR(INDEX('PORTIFÓLIO'!$H$4:$H$433,MATCH($C104,'PORTIFÓLIO'!$C$4:$C$433,0)),"")</f>
        <v/>
      </c>
      <c r="I104" s="256"/>
      <c r="J104" s="218">
        <f t="shared" si="12"/>
        <v>0</v>
      </c>
      <c r="K104" s="219" t="str">
        <f t="array" ref="K104">IFERROR(I104*INDEX('PORTIFÓLIO'!$S$4:$S$433,MATCH($C104,'PORTIFÓLIO'!$C$4:$C$433,0)),"")</f>
        <v/>
      </c>
      <c r="L104" s="219" t="str">
        <f t="array" ref="L104">IFERROR(J104*INDEX('PORTIFÓLIO'!$S$4:$S$433,MATCH($C104,'PORTIFÓLIO'!$C$4:$C$433,0)),"")</f>
        <v/>
      </c>
      <c r="M104" s="220"/>
      <c r="N104" s="220"/>
      <c r="O104" s="220"/>
      <c r="P104" s="220"/>
      <c r="Q104" s="220"/>
      <c r="R104" s="220"/>
      <c r="S104" s="220"/>
      <c r="T104" s="220"/>
      <c r="U104" s="220"/>
      <c r="V104" s="220"/>
      <c r="W104" s="220"/>
    </row>
    <row r="105" ht="15.75" customHeight="1" outlineLevel="1">
      <c r="A105" s="211"/>
      <c r="B105" s="212"/>
      <c r="C105" s="213"/>
      <c r="D105" s="214" t="str">
        <f>IFERROR(VLOOKUP($C105,'PORTIFÓLIO'!C:V,2,0),"")</f>
        <v/>
      </c>
      <c r="E105" s="211" t="str">
        <f>IFERROR(VLOOKUP($C105,'PORTIFÓLIO'!C:V,3,0),"")</f>
        <v/>
      </c>
      <c r="F105" s="211" t="str">
        <f>IFERROR(VLOOKUP($C105,'PORTIFÓLIO'!C:V,4,0),"")</f>
        <v/>
      </c>
      <c r="G105" s="215" t="str">
        <f>IFERROR(VLOOKUP($C105,'PORTIFÓLIO'!C:V,5,0),"")</f>
        <v/>
      </c>
      <c r="H105" s="254" t="str">
        <f t="array" ref="H105">IFERROR(INDEX('PORTIFÓLIO'!$H$4:$H$433,MATCH($C105,'PORTIFÓLIO'!$C$4:$C$433,0)),"")</f>
        <v/>
      </c>
      <c r="I105" s="256"/>
      <c r="J105" s="218">
        <f t="shared" si="12"/>
        <v>0</v>
      </c>
      <c r="K105" s="219" t="str">
        <f t="array" ref="K105">IFERROR(I105*INDEX('PORTIFÓLIO'!$S$4:$S$433,MATCH($C105,'PORTIFÓLIO'!$C$4:$C$433,0)),"")</f>
        <v/>
      </c>
      <c r="L105" s="219" t="str">
        <f t="array" ref="L105">IFERROR(J105*INDEX('PORTIFÓLIO'!$S$4:$S$433,MATCH($C105,'PORTIFÓLIO'!$C$4:$C$433,0)),"")</f>
        <v/>
      </c>
      <c r="M105" s="220"/>
      <c r="N105" s="220"/>
      <c r="O105" s="220"/>
      <c r="P105" s="220"/>
      <c r="Q105" s="220"/>
      <c r="R105" s="220"/>
      <c r="S105" s="220"/>
      <c r="T105" s="220"/>
      <c r="U105" s="220"/>
      <c r="V105" s="220"/>
      <c r="W105" s="220"/>
    </row>
    <row r="106" ht="15.75" customHeight="1" outlineLevel="1">
      <c r="A106" s="211"/>
      <c r="B106" s="212"/>
      <c r="C106" s="213"/>
      <c r="D106" s="214" t="str">
        <f>IFERROR(VLOOKUP($C106,'PORTIFÓLIO'!C:V,2,0),"")</f>
        <v/>
      </c>
      <c r="E106" s="211" t="str">
        <f>IFERROR(VLOOKUP($C106,'PORTIFÓLIO'!C:V,3,0),"")</f>
        <v/>
      </c>
      <c r="F106" s="211" t="str">
        <f>IFERROR(VLOOKUP($C106,'PORTIFÓLIO'!C:V,4,0),"")</f>
        <v/>
      </c>
      <c r="G106" s="215" t="str">
        <f>IFERROR(VLOOKUP($C106,'PORTIFÓLIO'!C:V,5,0),"")</f>
        <v/>
      </c>
      <c r="H106" s="254" t="str">
        <f t="array" ref="H106">IFERROR(INDEX('PORTIFÓLIO'!$H$4:$H$433,MATCH($C106,'PORTIFÓLIO'!$C$4:$C$433,0)),"")</f>
        <v/>
      </c>
      <c r="I106" s="255"/>
      <c r="J106" s="218">
        <f t="shared" si="12"/>
        <v>0</v>
      </c>
      <c r="K106" s="219" t="str">
        <f t="array" ref="K106">IFERROR(I106*INDEX('PORTIFÓLIO'!$S$4:$S$433,MATCH($C106,'PORTIFÓLIO'!$C$4:$C$433,0)),"")</f>
        <v/>
      </c>
      <c r="L106" s="219" t="str">
        <f t="array" ref="L106">IFERROR(J106*INDEX('PORTIFÓLIO'!$S$4:$S$433,MATCH($C106,'PORTIFÓLIO'!$C$4:$C$433,0)),"")</f>
        <v/>
      </c>
      <c r="M106" s="220"/>
      <c r="N106" s="220"/>
      <c r="O106" s="220"/>
      <c r="P106" s="220"/>
      <c r="Q106" s="220"/>
      <c r="R106" s="220"/>
      <c r="S106" s="220"/>
      <c r="T106" s="220"/>
      <c r="U106" s="220"/>
      <c r="V106" s="220"/>
      <c r="W106" s="220"/>
    </row>
    <row r="107" ht="15.75" customHeight="1" outlineLevel="1">
      <c r="A107" s="211"/>
      <c r="B107" s="212"/>
      <c r="C107" s="213"/>
      <c r="D107" s="214" t="str">
        <f>IFERROR(VLOOKUP($C107,'PORTIFÓLIO'!C:V,2,0),"")</f>
        <v/>
      </c>
      <c r="E107" s="211" t="str">
        <f>IFERROR(VLOOKUP($C107,'PORTIFÓLIO'!C:V,3,0),"")</f>
        <v/>
      </c>
      <c r="F107" s="211" t="str">
        <f>IFERROR(VLOOKUP($C107,'PORTIFÓLIO'!C:V,4,0),"")</f>
        <v/>
      </c>
      <c r="G107" s="215" t="str">
        <f>IFERROR(VLOOKUP($C107,'PORTIFÓLIO'!C:V,5,0),"")</f>
        <v/>
      </c>
      <c r="H107" s="254" t="str">
        <f t="array" ref="H107">IFERROR(INDEX('PORTIFÓLIO'!$H$4:$H$433,MATCH($C107,'PORTIFÓLIO'!$C$4:$C$433,0)),"")</f>
        <v/>
      </c>
      <c r="I107" s="256"/>
      <c r="J107" s="218">
        <f t="shared" si="12"/>
        <v>0</v>
      </c>
      <c r="K107" s="219" t="str">
        <f t="array" ref="K107">IFERROR(I107*INDEX('PORTIFÓLIO'!$S$4:$S$433,MATCH($C107,'PORTIFÓLIO'!$C$4:$C$433,0)),"")</f>
        <v/>
      </c>
      <c r="L107" s="219" t="str">
        <f t="array" ref="L107">IFERROR(J107*INDEX('PORTIFÓLIO'!$S$4:$S$433,MATCH($C107,'PORTIFÓLIO'!$C$4:$C$433,0)),"")</f>
        <v/>
      </c>
      <c r="M107" s="220"/>
      <c r="N107" s="220"/>
      <c r="O107" s="220"/>
      <c r="P107" s="220"/>
      <c r="Q107" s="220"/>
      <c r="R107" s="220"/>
      <c r="S107" s="220"/>
      <c r="T107" s="220"/>
      <c r="U107" s="220"/>
      <c r="V107" s="220"/>
      <c r="W107" s="220"/>
    </row>
    <row r="108" ht="15.75" customHeight="1" outlineLevel="1">
      <c r="A108" s="211"/>
      <c r="B108" s="212"/>
      <c r="C108" s="213"/>
      <c r="D108" s="214" t="str">
        <f>IFERROR(VLOOKUP($C108,'PORTIFÓLIO'!C:V,2,0),"")</f>
        <v/>
      </c>
      <c r="E108" s="211" t="str">
        <f>IFERROR(VLOOKUP($C108,'PORTIFÓLIO'!C:V,3,0),"")</f>
        <v/>
      </c>
      <c r="F108" s="211" t="str">
        <f>IFERROR(VLOOKUP($C108,'PORTIFÓLIO'!C:V,4,0),"")</f>
        <v/>
      </c>
      <c r="G108" s="215" t="str">
        <f>IFERROR(VLOOKUP($C108,'PORTIFÓLIO'!C:V,5,0),"")</f>
        <v/>
      </c>
      <c r="H108" s="254" t="str">
        <f t="array" ref="H108">IFERROR(INDEX('PORTIFÓLIO'!$H$4:$H$433,MATCH($C108,'PORTIFÓLIO'!$C$4:$C$433,0)),"")</f>
        <v/>
      </c>
      <c r="I108" s="256"/>
      <c r="J108" s="218">
        <f t="shared" si="12"/>
        <v>0</v>
      </c>
      <c r="K108" s="219" t="str">
        <f t="array" ref="K108">IFERROR(I108*INDEX('PORTIFÓLIO'!$S$4:$S$433,MATCH($C108,'PORTIFÓLIO'!$C$4:$C$433,0)),"")</f>
        <v/>
      </c>
      <c r="L108" s="219" t="str">
        <f t="array" ref="L108">IFERROR(J108*INDEX('PORTIFÓLIO'!$S$4:$S$433,MATCH($C108,'PORTIFÓLIO'!$C$4:$C$433,0)),"")</f>
        <v/>
      </c>
      <c r="M108" s="220"/>
      <c r="N108" s="220"/>
      <c r="O108" s="220"/>
      <c r="P108" s="220"/>
      <c r="Q108" s="220"/>
      <c r="R108" s="220"/>
      <c r="S108" s="220"/>
      <c r="T108" s="220"/>
      <c r="U108" s="220"/>
      <c r="V108" s="220"/>
      <c r="W108" s="220"/>
    </row>
    <row r="109" ht="15.75" customHeight="1" outlineLevel="1">
      <c r="A109" s="211"/>
      <c r="B109" s="212"/>
      <c r="C109" s="213"/>
      <c r="D109" s="214" t="str">
        <f>IFERROR(VLOOKUP($C109,'PORTIFÓLIO'!C:V,2,0),"")</f>
        <v/>
      </c>
      <c r="E109" s="211" t="str">
        <f>IFERROR(VLOOKUP($C109,'PORTIFÓLIO'!C:V,3,0),"")</f>
        <v/>
      </c>
      <c r="F109" s="211" t="str">
        <f>IFERROR(VLOOKUP($C109,'PORTIFÓLIO'!C:V,4,0),"")</f>
        <v/>
      </c>
      <c r="G109" s="215" t="str">
        <f>IFERROR(VLOOKUP($C109,'PORTIFÓLIO'!C:V,5,0),"")</f>
        <v/>
      </c>
      <c r="H109" s="254" t="str">
        <f t="array" ref="H109">IFERROR(INDEX('PORTIFÓLIO'!$H$4:$H$433,MATCH($C109,'PORTIFÓLIO'!$C$4:$C$433,0)),"")</f>
        <v/>
      </c>
      <c r="I109" s="256"/>
      <c r="J109" s="218">
        <f t="shared" si="12"/>
        <v>0</v>
      </c>
      <c r="K109" s="219" t="str">
        <f t="array" ref="K109">IFERROR(I109*INDEX('PORTIFÓLIO'!$S$4:$S$433,MATCH($C109,'PORTIFÓLIO'!$C$4:$C$433,0)),"")</f>
        <v/>
      </c>
      <c r="L109" s="219" t="str">
        <f t="array" ref="L109">IFERROR(J109*INDEX('PORTIFÓLIO'!$S$4:$S$433,MATCH($C109,'PORTIFÓLIO'!$C$4:$C$433,0)),"")</f>
        <v/>
      </c>
      <c r="M109" s="220"/>
      <c r="N109" s="220"/>
      <c r="O109" s="220"/>
      <c r="P109" s="220"/>
      <c r="Q109" s="220"/>
      <c r="R109" s="220"/>
      <c r="S109" s="220"/>
      <c r="T109" s="220"/>
      <c r="U109" s="220"/>
      <c r="V109" s="220"/>
      <c r="W109" s="220"/>
    </row>
    <row r="110" ht="15.75" customHeight="1" outlineLevel="1">
      <c r="A110" s="211"/>
      <c r="B110" s="212"/>
      <c r="C110" s="213"/>
      <c r="D110" s="214" t="str">
        <f>IFERROR(VLOOKUP($C110,'PORTIFÓLIO'!C:V,2,0),"")</f>
        <v/>
      </c>
      <c r="E110" s="211" t="str">
        <f>IFERROR(VLOOKUP($C110,'PORTIFÓLIO'!C:V,3,0),"")</f>
        <v/>
      </c>
      <c r="F110" s="211" t="str">
        <f>IFERROR(VLOOKUP($C110,'PORTIFÓLIO'!C:V,4,0),"")</f>
        <v/>
      </c>
      <c r="G110" s="215" t="str">
        <f>IFERROR(VLOOKUP($C110,'PORTIFÓLIO'!C:V,5,0),"")</f>
        <v/>
      </c>
      <c r="H110" s="254" t="str">
        <f t="array" ref="H110">IFERROR(INDEX('PORTIFÓLIO'!$H$4:$H$433,MATCH($C110,'PORTIFÓLIO'!$C$4:$C$433,0)),"")</f>
        <v/>
      </c>
      <c r="I110" s="256"/>
      <c r="J110" s="218">
        <f t="shared" si="12"/>
        <v>0</v>
      </c>
      <c r="K110" s="219" t="str">
        <f t="array" ref="K110">IFERROR(I110*INDEX('PORTIFÓLIO'!$S$4:$S$433,MATCH($C110,'PORTIFÓLIO'!$C$4:$C$433,0)),"")</f>
        <v/>
      </c>
      <c r="L110" s="219" t="str">
        <f t="array" ref="L110">IFERROR(J110*INDEX('PORTIFÓLIO'!$S$4:$S$433,MATCH($C110,'PORTIFÓLIO'!$C$4:$C$433,0)),"")</f>
        <v/>
      </c>
      <c r="M110" s="220"/>
      <c r="N110" s="220"/>
      <c r="O110" s="220"/>
      <c r="P110" s="220"/>
      <c r="Q110" s="220"/>
      <c r="R110" s="220"/>
      <c r="S110" s="220"/>
      <c r="T110" s="220"/>
      <c r="U110" s="220"/>
      <c r="V110" s="220"/>
      <c r="W110" s="220"/>
    </row>
    <row r="111" ht="15.75" customHeight="1" outlineLevel="1">
      <c r="A111" s="211"/>
      <c r="B111" s="212"/>
      <c r="C111" s="213"/>
      <c r="D111" s="214" t="str">
        <f>IFERROR(VLOOKUP($C111,'PORTIFÓLIO'!C:V,2,0),"")</f>
        <v/>
      </c>
      <c r="E111" s="211" t="str">
        <f>IFERROR(VLOOKUP($C111,'PORTIFÓLIO'!C:V,3,0),"")</f>
        <v/>
      </c>
      <c r="F111" s="211" t="str">
        <f>IFERROR(VLOOKUP($C111,'PORTIFÓLIO'!C:V,4,0),"")</f>
        <v/>
      </c>
      <c r="G111" s="215" t="str">
        <f>IFERROR(VLOOKUP($C111,'PORTIFÓLIO'!C:V,5,0),"")</f>
        <v/>
      </c>
      <c r="H111" s="254" t="str">
        <f t="array" ref="H111">IFERROR(INDEX('PORTIFÓLIO'!$H$4:$H$433,MATCH($C111,'PORTIFÓLIO'!$C$4:$C$433,0)),"")</f>
        <v/>
      </c>
      <c r="I111" s="256"/>
      <c r="J111" s="218">
        <f t="shared" si="12"/>
        <v>0</v>
      </c>
      <c r="K111" s="219" t="str">
        <f t="array" ref="K111">IFERROR(I111*INDEX('PORTIFÓLIO'!$S$4:$S$433,MATCH($C111,'PORTIFÓLIO'!$C$4:$C$433,0)),"")</f>
        <v/>
      </c>
      <c r="L111" s="219" t="str">
        <f t="array" ref="L111">IFERROR(J111*INDEX('PORTIFÓLIO'!$S$4:$S$433,MATCH($C111,'PORTIFÓLIO'!$C$4:$C$433,0)),"")</f>
        <v/>
      </c>
      <c r="M111" s="220"/>
      <c r="N111" s="220"/>
      <c r="O111" s="220"/>
      <c r="P111" s="220"/>
      <c r="Q111" s="220"/>
      <c r="R111" s="220"/>
      <c r="S111" s="220"/>
      <c r="T111" s="220"/>
      <c r="U111" s="220"/>
      <c r="V111" s="220"/>
      <c r="W111" s="220"/>
    </row>
    <row r="112" ht="15.75" customHeight="1" outlineLevel="1">
      <c r="A112" s="211"/>
      <c r="B112" s="212"/>
      <c r="C112" s="213"/>
      <c r="D112" s="214" t="str">
        <f>IFERROR(VLOOKUP($C112,'PORTIFÓLIO'!C:V,2,0),"")</f>
        <v/>
      </c>
      <c r="E112" s="211" t="str">
        <f>IFERROR(VLOOKUP($C112,'PORTIFÓLIO'!C:V,3,0),"")</f>
        <v/>
      </c>
      <c r="F112" s="211" t="str">
        <f>IFERROR(VLOOKUP($C112,'PORTIFÓLIO'!C:V,4,0),"")</f>
        <v/>
      </c>
      <c r="G112" s="215" t="str">
        <f>IFERROR(VLOOKUP($C112,'PORTIFÓLIO'!C:V,5,0),"")</f>
        <v/>
      </c>
      <c r="H112" s="254" t="str">
        <f t="array" ref="H112">IFERROR(INDEX('PORTIFÓLIO'!$H$4:$H$433,MATCH($C112,'PORTIFÓLIO'!$C$4:$C$433,0)),"")</f>
        <v/>
      </c>
      <c r="I112" s="256"/>
      <c r="J112" s="218">
        <f t="shared" si="12"/>
        <v>0</v>
      </c>
      <c r="K112" s="219" t="str">
        <f t="array" ref="K112">IFERROR(I112*INDEX('PORTIFÓLIO'!$S$4:$S$433,MATCH($C112,'PORTIFÓLIO'!$C$4:$C$433,0)),"")</f>
        <v/>
      </c>
      <c r="L112" s="219" t="str">
        <f t="array" ref="L112">IFERROR(J112*INDEX('PORTIFÓLIO'!$S$4:$S$433,MATCH($C112,'PORTIFÓLIO'!$C$4:$C$433,0)),"")</f>
        <v/>
      </c>
      <c r="M112" s="220"/>
      <c r="N112" s="220"/>
      <c r="O112" s="220"/>
      <c r="P112" s="220"/>
      <c r="Q112" s="220"/>
      <c r="R112" s="220"/>
      <c r="S112" s="220"/>
      <c r="T112" s="220"/>
      <c r="U112" s="220"/>
      <c r="V112" s="220"/>
      <c r="W112" s="220"/>
    </row>
    <row r="113" ht="15.75" customHeight="1" outlineLevel="1">
      <c r="A113" s="211"/>
      <c r="B113" s="212"/>
      <c r="C113" s="211"/>
      <c r="D113" s="214" t="str">
        <f>IFERROR(VLOOKUP($C113,'PORTIFÓLIO'!C:V,2,0),"")</f>
        <v/>
      </c>
      <c r="E113" s="211" t="str">
        <f>IFERROR(VLOOKUP($C113,'PORTIFÓLIO'!C:V,3,0),"")</f>
        <v/>
      </c>
      <c r="F113" s="211" t="str">
        <f>IFERROR(VLOOKUP($C113,'PORTIFÓLIO'!C:V,4,0),"")</f>
        <v/>
      </c>
      <c r="G113" s="215" t="str">
        <f>IFERROR(VLOOKUP($C113,'PORTIFÓLIO'!C:V,5,0),"")</f>
        <v/>
      </c>
      <c r="H113" s="254" t="str">
        <f t="array" ref="H113">IFERROR(INDEX('PORTIFÓLIO'!$H$4:$H$433,MATCH($C113,'PORTIFÓLIO'!$C$4:$C$433,0)),"")</f>
        <v/>
      </c>
      <c r="I113" s="256"/>
      <c r="J113" s="218"/>
      <c r="K113" s="219" t="str">
        <f t="array" ref="K113">IFERROR(I113*INDEX('PORTIFÓLIO'!$S$4:$S$433,MATCH($C113,'PORTIFÓLIO'!$C$4:$C$433,0)),"")</f>
        <v/>
      </c>
      <c r="L113" s="219" t="str">
        <f t="array" ref="L113">IFERROR(J113*INDEX('PORTIFÓLIO'!$S$4:$S$433,MATCH($C113,'PORTIFÓLIO'!$C$4:$C$433,0)),"")</f>
        <v/>
      </c>
      <c r="M113" s="220"/>
      <c r="N113" s="220"/>
      <c r="O113" s="220"/>
      <c r="P113" s="220"/>
      <c r="Q113" s="220"/>
      <c r="R113" s="220"/>
      <c r="S113" s="220"/>
      <c r="T113" s="220"/>
      <c r="U113" s="220"/>
      <c r="V113" s="220"/>
      <c r="W113" s="220"/>
    </row>
    <row r="114" ht="15.75" customHeight="1">
      <c r="A114" s="229" t="s">
        <v>1190</v>
      </c>
      <c r="B114" s="230"/>
      <c r="C114" s="231"/>
      <c r="D114" s="232"/>
      <c r="E114" s="231"/>
      <c r="F114" s="231"/>
      <c r="G114" s="233"/>
      <c r="H114" s="233"/>
      <c r="I114" s="258"/>
      <c r="J114" s="236"/>
      <c r="K114" s="237">
        <f t="shared" ref="K114:L114" si="13">SUBTOTAL(9,K115:K128)</f>
        <v>100.94945</v>
      </c>
      <c r="L114" s="237">
        <f t="shared" si="13"/>
        <v>22208.879</v>
      </c>
      <c r="M114" s="220"/>
      <c r="N114" s="220"/>
      <c r="O114" s="220"/>
      <c r="P114" s="220"/>
      <c r="Q114" s="220"/>
      <c r="R114" s="220"/>
      <c r="S114" s="220"/>
      <c r="T114" s="220"/>
      <c r="U114" s="220"/>
      <c r="V114" s="220"/>
      <c r="W114" s="220"/>
    </row>
    <row r="115" ht="15.75" customHeight="1" outlineLevel="1">
      <c r="A115" s="213"/>
      <c r="B115" s="212" t="s">
        <v>0</v>
      </c>
      <c r="C115" s="283" t="s">
        <v>434</v>
      </c>
      <c r="D115" s="214" t="str">
        <f>IFERROR(VLOOKUP($C115,'PORTIFÓLIO'!C:V,2,0),"")</f>
        <v>AZOXISTROBINA + TEBUCONAZOL</v>
      </c>
      <c r="E115" s="211" t="str">
        <f>IFERROR(VLOOKUP($C115,'PORTIFÓLIO'!C:V,3,0),"")</f>
        <v>120 + 200</v>
      </c>
      <c r="F115" s="211" t="str">
        <f>IFERROR(VLOOKUP($C115,'PORTIFÓLIO'!C:V,4,0),"")</f>
        <v>L</v>
      </c>
      <c r="G115" s="225" t="str">
        <f>IFERROR(VLOOKUP($C115,'PORTIFÓLIO'!C:V,5,0),"")</f>
        <v>📄 Ver bula</v>
      </c>
      <c r="H115" s="254">
        <f t="array" ref="H115">IFERROR(INDEX('PORTIFÓLIO'!$H$4:$H$433,MATCH($C115,'PORTIFÓLIO'!$C$4:$C$433,0)),"")</f>
        <v>0.5</v>
      </c>
      <c r="I115" s="255">
        <v>0.5</v>
      </c>
      <c r="J115" s="218">
        <f t="shared" ref="J115:J129" si="14">I115*$B$2</f>
        <v>110</v>
      </c>
      <c r="K115" s="219">
        <f t="array" ref="K115">IFERROR(I115*INDEX('PORTIFÓLIO'!$S$4:$S$433,MATCH($C115,'PORTIFÓLIO'!$C$4:$C$433,0)),"")</f>
        <v>17.66448</v>
      </c>
      <c r="L115" s="219">
        <f t="array" ref="L115">IFERROR(J115*INDEX('PORTIFÓLIO'!$S$4:$S$433,MATCH($C115,'PORTIFÓLIO'!$C$4:$C$433,0)),"")</f>
        <v>3886.1856</v>
      </c>
      <c r="M115" s="220"/>
      <c r="N115" s="220"/>
      <c r="O115" s="220"/>
      <c r="P115" s="220"/>
      <c r="Q115" s="220"/>
      <c r="R115" s="220"/>
      <c r="S115" s="220"/>
      <c r="T115" s="220"/>
      <c r="U115" s="220"/>
      <c r="V115" s="220"/>
      <c r="W115" s="220"/>
    </row>
    <row r="116" ht="15.75" customHeight="1" outlineLevel="1">
      <c r="A116" s="211"/>
      <c r="B116" s="212" t="s">
        <v>0</v>
      </c>
      <c r="C116" s="283" t="s">
        <v>484</v>
      </c>
      <c r="D116" s="214" t="str">
        <f>IFERROR(VLOOKUP($C116,'PORTIFÓLIO'!C:V,2,0),"")</f>
        <v>MANCOZEBE</v>
      </c>
      <c r="E116" s="211">
        <f>IFERROR(VLOOKUP($C116,'PORTIFÓLIO'!C:V,3,0),"")</f>
        <v>750</v>
      </c>
      <c r="F116" s="211" t="str">
        <f>IFERROR(VLOOKUP($C116,'PORTIFÓLIO'!C:V,4,0),"")</f>
        <v>L</v>
      </c>
      <c r="G116" s="225" t="str">
        <f>IFERROR(VLOOKUP($C116,'PORTIFÓLIO'!C:V,5,0),"")</f>
        <v>📄 Ver bula</v>
      </c>
      <c r="H116" s="254">
        <f t="array" ref="H116">IFERROR(INDEX('PORTIFÓLIO'!$H$4:$H$433,MATCH($C116,'PORTIFÓLIO'!$C$4:$C$433,0)),"")</f>
        <v>1.5</v>
      </c>
      <c r="I116" s="255">
        <v>1.5</v>
      </c>
      <c r="J116" s="218">
        <f t="shared" si="14"/>
        <v>330</v>
      </c>
      <c r="K116" s="219">
        <f t="array" ref="K116">IFERROR(I116*INDEX('PORTIFÓLIO'!$S$4:$S$433,MATCH($C116,'PORTIFÓLIO'!$C$4:$C$433,0)),"")</f>
        <v>41.52168</v>
      </c>
      <c r="L116" s="219">
        <f t="array" ref="L116">IFERROR(J116*INDEX('PORTIFÓLIO'!$S$4:$S$433,MATCH($C116,'PORTIFÓLIO'!$C$4:$C$433,0)),"")</f>
        <v>9134.7696</v>
      </c>
      <c r="M116" s="220"/>
      <c r="N116" s="220"/>
      <c r="O116" s="220"/>
      <c r="P116" s="220"/>
      <c r="Q116" s="220"/>
      <c r="R116" s="220"/>
      <c r="S116" s="220"/>
      <c r="T116" s="220"/>
      <c r="U116" s="220"/>
      <c r="V116" s="220"/>
      <c r="W116" s="220"/>
    </row>
    <row r="117" ht="15.75" customHeight="1" outlineLevel="1">
      <c r="A117" s="211"/>
      <c r="B117" s="212" t="s">
        <v>2</v>
      </c>
      <c r="C117" s="283" t="s">
        <v>837</v>
      </c>
      <c r="D117" s="214" t="str">
        <f>IFERROR(VLOOKUP($C117,'PORTIFÓLIO'!C:V,2,0),"")</f>
        <v>CLORFENAPIR</v>
      </c>
      <c r="E117" s="211">
        <f>IFERROR(VLOOKUP($C117,'PORTIFÓLIO'!C:V,3,0),"")</f>
        <v>240</v>
      </c>
      <c r="F117" s="211" t="str">
        <f>IFERROR(VLOOKUP($C117,'PORTIFÓLIO'!C:V,4,0),"")</f>
        <v>KG</v>
      </c>
      <c r="G117" s="225" t="str">
        <f>IFERROR(VLOOKUP($C117,'PORTIFÓLIO'!C:V,5,0),"")</f>
        <v>📄 Ver bula</v>
      </c>
      <c r="H117" s="254">
        <f t="array" ref="H117">IFERROR(INDEX('PORTIFÓLIO'!$H$4:$H$433,MATCH($C117,'PORTIFÓLIO'!$C$4:$C$433,0)),"")</f>
        <v>1</v>
      </c>
      <c r="I117" s="255">
        <v>1.0</v>
      </c>
      <c r="J117" s="218">
        <f t="shared" si="14"/>
        <v>220</v>
      </c>
      <c r="K117" s="219">
        <f t="array" ref="K117">IFERROR(I117*INDEX('PORTIFÓLIO'!$S$4:$S$433,MATCH($C117,'PORTIFÓLIO'!$C$4:$C$433,0)),"")</f>
        <v>38.55729</v>
      </c>
      <c r="L117" s="219">
        <f t="array" ref="L117">IFERROR(J117*INDEX('PORTIFÓLIO'!$S$4:$S$433,MATCH($C117,'PORTIFÓLIO'!$C$4:$C$433,0)),"")</f>
        <v>8482.6038</v>
      </c>
      <c r="M117" s="220"/>
      <c r="N117" s="220"/>
      <c r="O117" s="220"/>
      <c r="P117" s="220"/>
      <c r="Q117" s="220"/>
      <c r="R117" s="220"/>
      <c r="S117" s="220"/>
      <c r="T117" s="220"/>
      <c r="U117" s="220"/>
      <c r="V117" s="220"/>
      <c r="W117" s="220"/>
    </row>
    <row r="118" ht="15.75" customHeight="1" outlineLevel="1">
      <c r="A118" s="211"/>
      <c r="B118" s="212" t="s">
        <v>6</v>
      </c>
      <c r="C118" s="283" t="s">
        <v>354</v>
      </c>
      <c r="D118" s="214" t="str">
        <f>IFERROR(VLOOKUP($C118,'PORTIFÓLIO'!C:V,2,0),"")</f>
        <v>OLEO MINERAL</v>
      </c>
      <c r="E118" s="211">
        <f>IFERROR(VLOOKUP($C118,'PORTIFÓLIO'!C:V,3,0),"")</f>
        <v>761</v>
      </c>
      <c r="F118" s="211" t="str">
        <f>IFERROR(VLOOKUP($C118,'PORTIFÓLIO'!C:V,4,0),"")</f>
        <v>L</v>
      </c>
      <c r="G118" s="225" t="str">
        <f>IFERROR(VLOOKUP($C118,'PORTIFÓLIO'!C:V,5,0),"")</f>
        <v>📄 Ver bula</v>
      </c>
      <c r="H118" s="254">
        <f t="array" ref="H118">IFERROR(INDEX('PORTIFÓLIO'!$H$4:$H$433,MATCH($C118,'PORTIFÓLIO'!$C$4:$C$433,0)),"")</f>
        <v>0.2</v>
      </c>
      <c r="I118" s="255">
        <v>0.2</v>
      </c>
      <c r="J118" s="218">
        <f t="shared" si="14"/>
        <v>44</v>
      </c>
      <c r="K118" s="219">
        <f t="array" ref="K118">IFERROR(I118*INDEX('PORTIFÓLIO'!$S$4:$S$433,MATCH($C118,'PORTIFÓLIO'!$C$4:$C$433,0)),"")</f>
        <v>3.206</v>
      </c>
      <c r="L118" s="219">
        <f t="array" ref="L118">IFERROR(J118*INDEX('PORTIFÓLIO'!$S$4:$S$433,MATCH($C118,'PORTIFÓLIO'!$C$4:$C$433,0)),"")</f>
        <v>705.32</v>
      </c>
      <c r="M118" s="220"/>
      <c r="N118" s="220"/>
      <c r="O118" s="220"/>
      <c r="P118" s="220"/>
      <c r="Q118" s="220"/>
      <c r="R118" s="220"/>
      <c r="S118" s="220"/>
      <c r="T118" s="220"/>
      <c r="U118" s="220"/>
      <c r="V118" s="220"/>
      <c r="W118" s="220"/>
    </row>
    <row r="119" ht="15.75" customHeight="1" outlineLevel="1">
      <c r="A119" s="211"/>
      <c r="B119" s="212"/>
      <c r="C119" s="283"/>
      <c r="D119" s="214" t="str">
        <f>IFERROR(VLOOKUP($C119,'PORTIFÓLIO'!C:V,2,0),"")</f>
        <v/>
      </c>
      <c r="E119" s="211" t="str">
        <f>IFERROR(VLOOKUP($C119,'PORTIFÓLIO'!C:V,3,0),"")</f>
        <v/>
      </c>
      <c r="F119" s="211" t="str">
        <f>IFERROR(VLOOKUP($C119,'PORTIFÓLIO'!C:V,4,0),"")</f>
        <v/>
      </c>
      <c r="G119" s="215" t="str">
        <f>IFERROR(VLOOKUP($C119,'PORTIFÓLIO'!C:V,5,0),"")</f>
        <v/>
      </c>
      <c r="H119" s="254" t="str">
        <f t="array" ref="H119">IFERROR(INDEX('PORTIFÓLIO'!$H$4:$H$433,MATCH($C119,'PORTIFÓLIO'!$C$4:$C$433,0)),"")</f>
        <v/>
      </c>
      <c r="I119" s="255"/>
      <c r="J119" s="218">
        <f t="shared" si="14"/>
        <v>0</v>
      </c>
      <c r="K119" s="219" t="str">
        <f t="array" ref="K119">IFERROR(I119*INDEX('PORTIFÓLIO'!$S$4:$S$433,MATCH($C119,'PORTIFÓLIO'!$C$4:$C$433,0)),"")</f>
        <v/>
      </c>
      <c r="L119" s="219" t="str">
        <f t="array" ref="L119">IFERROR(J119*INDEX('PORTIFÓLIO'!$S$4:$S$433,MATCH($C119,'PORTIFÓLIO'!$C$4:$C$433,0)),"")</f>
        <v/>
      </c>
      <c r="M119" s="220"/>
      <c r="N119" s="220"/>
      <c r="O119" s="220"/>
      <c r="P119" s="220"/>
      <c r="Q119" s="220"/>
      <c r="R119" s="220"/>
      <c r="S119" s="220"/>
      <c r="T119" s="220"/>
      <c r="U119" s="220"/>
      <c r="V119" s="220"/>
      <c r="W119" s="220"/>
    </row>
    <row r="120" ht="15.75" customHeight="1" outlineLevel="1">
      <c r="A120" s="211"/>
      <c r="B120" s="212"/>
      <c r="C120" s="213"/>
      <c r="D120" s="214" t="str">
        <f>IFERROR(VLOOKUP($C120,'PORTIFÓLIO'!C:V,2,0),"")</f>
        <v/>
      </c>
      <c r="E120" s="211" t="str">
        <f>IFERROR(VLOOKUP($C120,'PORTIFÓLIO'!C:V,3,0),"")</f>
        <v/>
      </c>
      <c r="F120" s="211" t="str">
        <f>IFERROR(VLOOKUP($C120,'PORTIFÓLIO'!C:V,4,0),"")</f>
        <v/>
      </c>
      <c r="G120" s="215" t="str">
        <f>IFERROR(VLOOKUP($C120,'PORTIFÓLIO'!C:V,5,0),"")</f>
        <v/>
      </c>
      <c r="H120" s="254" t="str">
        <f t="array" ref="H120">IFERROR(INDEX('PORTIFÓLIO'!$H$4:$H$433,MATCH($C120,'PORTIFÓLIO'!$C$4:$C$433,0)),"")</f>
        <v/>
      </c>
      <c r="I120" s="255"/>
      <c r="J120" s="218">
        <f t="shared" si="14"/>
        <v>0</v>
      </c>
      <c r="K120" s="219" t="str">
        <f t="array" ref="K120">IFERROR(I120*INDEX('PORTIFÓLIO'!$S$4:$S$433,MATCH($C120,'PORTIFÓLIO'!$C$4:$C$433,0)),"")</f>
        <v/>
      </c>
      <c r="L120" s="219" t="str">
        <f t="array" ref="L120">IFERROR(J120*INDEX('PORTIFÓLIO'!$S$4:$S$433,MATCH($C120,'PORTIFÓLIO'!$C$4:$C$433,0)),"")</f>
        <v/>
      </c>
      <c r="M120" s="220"/>
      <c r="N120" s="220"/>
      <c r="O120" s="220"/>
      <c r="P120" s="220"/>
      <c r="Q120" s="220"/>
      <c r="R120" s="220"/>
      <c r="S120" s="220"/>
      <c r="T120" s="220"/>
      <c r="U120" s="220"/>
      <c r="V120" s="220"/>
      <c r="W120" s="220"/>
    </row>
    <row r="121" ht="15.75" customHeight="1" outlineLevel="1">
      <c r="A121" s="211"/>
      <c r="B121" s="212"/>
      <c r="C121" s="213"/>
      <c r="D121" s="214" t="str">
        <f>IFERROR(VLOOKUP($C121,'PORTIFÓLIO'!C:V,2,0),"")</f>
        <v/>
      </c>
      <c r="E121" s="211" t="str">
        <f>IFERROR(VLOOKUP($C121,'PORTIFÓLIO'!C:V,3,0),"")</f>
        <v/>
      </c>
      <c r="F121" s="211" t="str">
        <f>IFERROR(VLOOKUP($C121,'PORTIFÓLIO'!C:V,4,0),"")</f>
        <v/>
      </c>
      <c r="G121" s="215" t="str">
        <f>IFERROR(VLOOKUP($C121,'PORTIFÓLIO'!C:V,5,0),"")</f>
        <v/>
      </c>
      <c r="H121" s="254" t="str">
        <f t="array" ref="H121">IFERROR(INDEX('PORTIFÓLIO'!$H$4:$H$433,MATCH($C121,'PORTIFÓLIO'!$C$4:$C$433,0)),"")</f>
        <v/>
      </c>
      <c r="I121" s="256"/>
      <c r="J121" s="218">
        <f t="shared" si="14"/>
        <v>0</v>
      </c>
      <c r="K121" s="219" t="str">
        <f t="array" ref="K121">IFERROR(I121*INDEX('PORTIFÓLIO'!$S$4:$S$433,MATCH($C121,'PORTIFÓLIO'!$C$4:$C$433,0)),"")</f>
        <v/>
      </c>
      <c r="L121" s="219" t="str">
        <f t="array" ref="L121">IFERROR(J121*INDEX('PORTIFÓLIO'!$S$4:$S$433,MATCH($C121,'PORTIFÓLIO'!$C$4:$C$433,0)),"")</f>
        <v/>
      </c>
      <c r="M121" s="220"/>
      <c r="N121" s="220"/>
      <c r="O121" s="220"/>
      <c r="P121" s="220"/>
      <c r="Q121" s="220"/>
      <c r="R121" s="220"/>
      <c r="S121" s="220"/>
      <c r="T121" s="220"/>
      <c r="U121" s="220"/>
      <c r="V121" s="220"/>
      <c r="W121" s="220"/>
    </row>
    <row r="122" ht="15.75" customHeight="1" outlineLevel="1">
      <c r="A122" s="211"/>
      <c r="B122" s="212"/>
      <c r="C122" s="213"/>
      <c r="D122" s="214" t="str">
        <f>IFERROR(VLOOKUP($C122,'PORTIFÓLIO'!C:V,2,0),"")</f>
        <v/>
      </c>
      <c r="E122" s="211" t="str">
        <f>IFERROR(VLOOKUP($C122,'PORTIFÓLIO'!C:V,3,0),"")</f>
        <v/>
      </c>
      <c r="F122" s="211" t="str">
        <f>IFERROR(VLOOKUP($C122,'PORTIFÓLIO'!C:V,4,0),"")</f>
        <v/>
      </c>
      <c r="G122" s="215" t="str">
        <f>IFERROR(VLOOKUP($C122,'PORTIFÓLIO'!C:V,5,0),"")</f>
        <v/>
      </c>
      <c r="H122" s="254" t="str">
        <f t="array" ref="H122">IFERROR(INDEX('PORTIFÓLIO'!$H$4:$H$433,MATCH($C122,'PORTIFÓLIO'!$C$4:$C$433,0)),"")</f>
        <v/>
      </c>
      <c r="I122" s="256"/>
      <c r="J122" s="218">
        <f t="shared" si="14"/>
        <v>0</v>
      </c>
      <c r="K122" s="219" t="str">
        <f t="array" ref="K122">IFERROR(I122*INDEX('PORTIFÓLIO'!$S$4:$S$433,MATCH($C122,'PORTIFÓLIO'!$C$4:$C$433,0)),"")</f>
        <v/>
      </c>
      <c r="L122" s="219" t="str">
        <f t="array" ref="L122">IFERROR(J122*INDEX('PORTIFÓLIO'!$S$4:$S$433,MATCH($C122,'PORTIFÓLIO'!$C$4:$C$433,0)),"")</f>
        <v/>
      </c>
      <c r="M122" s="220"/>
      <c r="N122" s="220"/>
      <c r="O122" s="220"/>
      <c r="P122" s="220"/>
      <c r="Q122" s="220"/>
      <c r="R122" s="220"/>
      <c r="S122" s="220"/>
      <c r="T122" s="220"/>
      <c r="U122" s="220"/>
      <c r="V122" s="220"/>
      <c r="W122" s="220"/>
    </row>
    <row r="123" ht="15.75" customHeight="1" outlineLevel="1">
      <c r="A123" s="211"/>
      <c r="B123" s="212"/>
      <c r="C123" s="213"/>
      <c r="D123" s="214" t="str">
        <f>IFERROR(VLOOKUP($C123,'PORTIFÓLIO'!C:V,2,0),"")</f>
        <v/>
      </c>
      <c r="E123" s="211" t="str">
        <f>IFERROR(VLOOKUP($C123,'PORTIFÓLIO'!C:V,3,0),"")</f>
        <v/>
      </c>
      <c r="F123" s="211" t="str">
        <f>IFERROR(VLOOKUP($C123,'PORTIFÓLIO'!C:V,4,0),"")</f>
        <v/>
      </c>
      <c r="G123" s="215" t="str">
        <f>IFERROR(VLOOKUP($C123,'PORTIFÓLIO'!C:V,5,0),"")</f>
        <v/>
      </c>
      <c r="H123" s="254" t="str">
        <f t="array" ref="H123">IFERROR(INDEX('PORTIFÓLIO'!$H$4:$H$433,MATCH($C123,'PORTIFÓLIO'!$C$4:$C$433,0)),"")</f>
        <v/>
      </c>
      <c r="I123" s="255"/>
      <c r="J123" s="218">
        <f t="shared" si="14"/>
        <v>0</v>
      </c>
      <c r="K123" s="219" t="str">
        <f t="array" ref="K123">IFERROR(I123*INDEX('PORTIFÓLIO'!$S$4:$S$433,MATCH($C123,'PORTIFÓLIO'!$C$4:$C$433,0)),"")</f>
        <v/>
      </c>
      <c r="L123" s="219" t="str">
        <f t="array" ref="L123">IFERROR(J123*INDEX('PORTIFÓLIO'!$S$4:$S$433,MATCH($C123,'PORTIFÓLIO'!$C$4:$C$433,0)),"")</f>
        <v/>
      </c>
      <c r="M123" s="220"/>
      <c r="N123" s="220"/>
      <c r="O123" s="220"/>
      <c r="P123" s="220"/>
      <c r="Q123" s="220"/>
      <c r="R123" s="220"/>
      <c r="S123" s="220"/>
      <c r="T123" s="220"/>
      <c r="U123" s="220"/>
      <c r="V123" s="220"/>
      <c r="W123" s="220"/>
    </row>
    <row r="124" ht="15.75" customHeight="1" outlineLevel="1">
      <c r="A124" s="211"/>
      <c r="B124" s="212"/>
      <c r="C124" s="213"/>
      <c r="D124" s="214" t="str">
        <f>IFERROR(VLOOKUP($C124,'PORTIFÓLIO'!C:V,2,0),"")</f>
        <v/>
      </c>
      <c r="E124" s="211" t="str">
        <f>IFERROR(VLOOKUP($C124,'PORTIFÓLIO'!C:V,3,0),"")</f>
        <v/>
      </c>
      <c r="F124" s="211" t="str">
        <f>IFERROR(VLOOKUP($C124,'PORTIFÓLIO'!C:V,4,0),"")</f>
        <v/>
      </c>
      <c r="G124" s="215" t="str">
        <f>IFERROR(VLOOKUP($C124,'PORTIFÓLIO'!C:V,5,0),"")</f>
        <v/>
      </c>
      <c r="H124" s="254" t="str">
        <f t="array" ref="H124">IFERROR(INDEX('PORTIFÓLIO'!$H$4:$H$433,MATCH($C124,'PORTIFÓLIO'!$C$4:$C$433,0)),"")</f>
        <v/>
      </c>
      <c r="I124" s="256"/>
      <c r="J124" s="218">
        <f t="shared" si="14"/>
        <v>0</v>
      </c>
      <c r="K124" s="219" t="str">
        <f t="array" ref="K124">IFERROR(I124*INDEX('PORTIFÓLIO'!$S$4:$S$433,MATCH($C124,'PORTIFÓLIO'!$C$4:$C$433,0)),"")</f>
        <v/>
      </c>
      <c r="L124" s="219" t="str">
        <f t="array" ref="L124">IFERROR(J124*INDEX('PORTIFÓLIO'!$S$4:$S$433,MATCH($C124,'PORTIFÓLIO'!$C$4:$C$433,0)),"")</f>
        <v/>
      </c>
      <c r="M124" s="220"/>
      <c r="N124" s="220"/>
      <c r="O124" s="220"/>
      <c r="P124" s="220"/>
      <c r="Q124" s="220"/>
      <c r="R124" s="220"/>
      <c r="S124" s="220"/>
      <c r="T124" s="220"/>
      <c r="U124" s="220"/>
      <c r="V124" s="220"/>
      <c r="W124" s="220"/>
    </row>
    <row r="125" ht="15.75" customHeight="1" outlineLevel="1">
      <c r="A125" s="211"/>
      <c r="B125" s="212"/>
      <c r="C125" s="213"/>
      <c r="D125" s="214" t="str">
        <f>IFERROR(VLOOKUP($C125,'PORTIFÓLIO'!C:V,2,0),"")</f>
        <v/>
      </c>
      <c r="E125" s="211" t="str">
        <f>IFERROR(VLOOKUP($C125,'PORTIFÓLIO'!C:V,3,0),"")</f>
        <v/>
      </c>
      <c r="F125" s="211" t="str">
        <f>IFERROR(VLOOKUP($C125,'PORTIFÓLIO'!C:V,4,0),"")</f>
        <v/>
      </c>
      <c r="G125" s="215" t="str">
        <f>IFERROR(VLOOKUP($C125,'PORTIFÓLIO'!C:V,5,0),"")</f>
        <v/>
      </c>
      <c r="H125" s="254" t="str">
        <f t="array" ref="H125">IFERROR(INDEX('PORTIFÓLIO'!$H$4:$H$433,MATCH($C125,'PORTIFÓLIO'!$C$4:$C$433,0)),"")</f>
        <v/>
      </c>
      <c r="I125" s="256"/>
      <c r="J125" s="218">
        <f t="shared" si="14"/>
        <v>0</v>
      </c>
      <c r="K125" s="219" t="str">
        <f t="array" ref="K125">IFERROR(I125*INDEX('PORTIFÓLIO'!$S$4:$S$433,MATCH($C125,'PORTIFÓLIO'!$C$4:$C$433,0)),"")</f>
        <v/>
      </c>
      <c r="L125" s="219" t="str">
        <f t="array" ref="L125">IFERROR(J125*INDEX('PORTIFÓLIO'!$S$4:$S$433,MATCH($C125,'PORTIFÓLIO'!$C$4:$C$433,0)),"")</f>
        <v/>
      </c>
      <c r="M125" s="220"/>
      <c r="N125" s="220"/>
      <c r="O125" s="220"/>
      <c r="P125" s="220"/>
      <c r="Q125" s="220"/>
      <c r="R125" s="220"/>
      <c r="S125" s="220"/>
      <c r="T125" s="220"/>
      <c r="U125" s="220"/>
      <c r="V125" s="220"/>
      <c r="W125" s="220"/>
    </row>
    <row r="126" ht="15.75" customHeight="1" outlineLevel="1">
      <c r="A126" s="211"/>
      <c r="B126" s="212"/>
      <c r="C126" s="213"/>
      <c r="D126" s="214" t="str">
        <f>IFERROR(VLOOKUP($C126,'PORTIFÓLIO'!C:V,2,0),"")</f>
        <v/>
      </c>
      <c r="E126" s="211" t="str">
        <f>IFERROR(VLOOKUP($C126,'PORTIFÓLIO'!C:V,3,0),"")</f>
        <v/>
      </c>
      <c r="F126" s="211" t="str">
        <f>IFERROR(VLOOKUP($C126,'PORTIFÓLIO'!C:V,4,0),"")</f>
        <v/>
      </c>
      <c r="G126" s="215" t="str">
        <f>IFERROR(VLOOKUP($C126,'PORTIFÓLIO'!C:V,5,0),"")</f>
        <v/>
      </c>
      <c r="H126" s="254" t="str">
        <f t="array" ref="H126">IFERROR(INDEX('PORTIFÓLIO'!$H$4:$H$433,MATCH($C126,'PORTIFÓLIO'!$C$4:$C$433,0)),"")</f>
        <v/>
      </c>
      <c r="I126" s="256"/>
      <c r="J126" s="218">
        <f t="shared" si="14"/>
        <v>0</v>
      </c>
      <c r="K126" s="219" t="str">
        <f t="array" ref="K126">IFERROR(I126*INDEX('PORTIFÓLIO'!$S$4:$S$433,MATCH($C126,'PORTIFÓLIO'!$C$4:$C$433,0)),"")</f>
        <v/>
      </c>
      <c r="L126" s="219" t="str">
        <f t="array" ref="L126">IFERROR(J126*INDEX('PORTIFÓLIO'!$S$4:$S$433,MATCH($C126,'PORTIFÓLIO'!$C$4:$C$433,0)),"")</f>
        <v/>
      </c>
      <c r="M126" s="220"/>
      <c r="N126" s="220"/>
      <c r="O126" s="220"/>
      <c r="P126" s="220"/>
      <c r="Q126" s="220"/>
      <c r="R126" s="220"/>
      <c r="S126" s="220"/>
      <c r="T126" s="220"/>
      <c r="U126" s="220"/>
      <c r="V126" s="220"/>
      <c r="W126" s="220"/>
    </row>
    <row r="127" ht="15.75" customHeight="1" outlineLevel="1">
      <c r="A127" s="211"/>
      <c r="B127" s="212"/>
      <c r="C127" s="213"/>
      <c r="D127" s="214" t="str">
        <f>IFERROR(VLOOKUP($C127,'PORTIFÓLIO'!C:V,2,0),"")</f>
        <v/>
      </c>
      <c r="E127" s="211" t="str">
        <f>IFERROR(VLOOKUP($C127,'PORTIFÓLIO'!C:V,3,0),"")</f>
        <v/>
      </c>
      <c r="F127" s="211" t="str">
        <f>IFERROR(VLOOKUP($C127,'PORTIFÓLIO'!C:V,4,0),"")</f>
        <v/>
      </c>
      <c r="G127" s="215" t="str">
        <f>IFERROR(VLOOKUP($C127,'PORTIFÓLIO'!C:V,5,0),"")</f>
        <v/>
      </c>
      <c r="H127" s="254" t="str">
        <f t="array" ref="H127">IFERROR(INDEX('PORTIFÓLIO'!$H$4:$H$433,MATCH($C127,'PORTIFÓLIO'!$C$4:$C$433,0)),"")</f>
        <v/>
      </c>
      <c r="I127" s="256"/>
      <c r="J127" s="218">
        <f t="shared" si="14"/>
        <v>0</v>
      </c>
      <c r="K127" s="219" t="str">
        <f t="array" ref="K127">IFERROR(I127*INDEX('PORTIFÓLIO'!$S$4:$S$433,MATCH($C127,'PORTIFÓLIO'!$C$4:$C$433,0)),"")</f>
        <v/>
      </c>
      <c r="L127" s="219" t="str">
        <f t="array" ref="L127">IFERROR(J127*INDEX('PORTIFÓLIO'!$S$4:$S$433,MATCH($C127,'PORTIFÓLIO'!$C$4:$C$433,0)),"")</f>
        <v/>
      </c>
      <c r="M127" s="220"/>
      <c r="N127" s="220"/>
      <c r="O127" s="220"/>
      <c r="P127" s="220"/>
      <c r="Q127" s="220"/>
      <c r="R127" s="220"/>
      <c r="S127" s="220"/>
      <c r="T127" s="220"/>
      <c r="U127" s="220"/>
      <c r="V127" s="220"/>
      <c r="W127" s="220"/>
    </row>
    <row r="128" ht="15.75" customHeight="1" outlineLevel="1">
      <c r="A128" s="211"/>
      <c r="B128" s="212"/>
      <c r="C128" s="213"/>
      <c r="D128" s="214" t="str">
        <f>IFERROR(VLOOKUP($C128,'PORTIFÓLIO'!C:V,2,0),"")</f>
        <v/>
      </c>
      <c r="E128" s="211" t="str">
        <f>IFERROR(VLOOKUP($C128,'PORTIFÓLIO'!C:V,3,0),"")</f>
        <v/>
      </c>
      <c r="F128" s="211" t="str">
        <f>IFERROR(VLOOKUP($C128,'PORTIFÓLIO'!C:V,4,0),"")</f>
        <v/>
      </c>
      <c r="G128" s="215" t="str">
        <f>IFERROR(VLOOKUP($C128,'PORTIFÓLIO'!C:V,5,0),"")</f>
        <v/>
      </c>
      <c r="H128" s="254" t="str">
        <f t="array" ref="H128">IFERROR(INDEX('PORTIFÓLIO'!$H$4:$H$433,MATCH($C128,'PORTIFÓLIO'!$C$4:$C$433,0)),"")</f>
        <v/>
      </c>
      <c r="I128" s="256"/>
      <c r="J128" s="218">
        <f t="shared" si="14"/>
        <v>0</v>
      </c>
      <c r="K128" s="219" t="str">
        <f t="array" ref="K128">IFERROR(I128*INDEX('PORTIFÓLIO'!$S$4:$S$433,MATCH($C128,'PORTIFÓLIO'!$C$4:$C$433,0)),"")</f>
        <v/>
      </c>
      <c r="L128" s="219" t="str">
        <f t="array" ref="L128">IFERROR(J128*INDEX('PORTIFÓLIO'!$S$4:$S$433,MATCH($C128,'PORTIFÓLIO'!$C$4:$C$433,0)),"")</f>
        <v/>
      </c>
      <c r="M128" s="220"/>
      <c r="N128" s="220"/>
      <c r="O128" s="220"/>
      <c r="P128" s="220"/>
      <c r="Q128" s="220"/>
      <c r="R128" s="220"/>
      <c r="S128" s="220"/>
      <c r="T128" s="220"/>
      <c r="U128" s="220"/>
      <c r="V128" s="220"/>
      <c r="W128" s="220"/>
    </row>
    <row r="129" ht="15.75" customHeight="1" outlineLevel="1">
      <c r="A129" s="211"/>
      <c r="B129" s="212"/>
      <c r="C129" s="213"/>
      <c r="D129" s="214" t="str">
        <f>IFERROR(VLOOKUP($C129,'PORTIFÓLIO'!C:V,2,0),"")</f>
        <v/>
      </c>
      <c r="E129" s="211" t="str">
        <f>IFERROR(VLOOKUP($C129,'PORTIFÓLIO'!C:V,3,0),"")</f>
        <v/>
      </c>
      <c r="F129" s="211" t="str">
        <f>IFERROR(VLOOKUP($C129,'PORTIFÓLIO'!C:V,4,0),"")</f>
        <v/>
      </c>
      <c r="G129" s="215" t="str">
        <f>IFERROR(VLOOKUP($C129,'PORTIFÓLIO'!C:V,5,0),"")</f>
        <v/>
      </c>
      <c r="H129" s="254" t="str">
        <f t="array" ref="H129">IFERROR(INDEX('PORTIFÓLIO'!$H$4:$H$433,MATCH($C129,'PORTIFÓLIO'!$C$4:$C$433,0)),"")</f>
        <v/>
      </c>
      <c r="I129" s="256"/>
      <c r="J129" s="218">
        <f t="shared" si="14"/>
        <v>0</v>
      </c>
      <c r="K129" s="219" t="str">
        <f t="array" ref="K129">IFERROR(I129*INDEX('PORTIFÓLIO'!$S$4:$S$433,MATCH($C129,'PORTIFÓLIO'!$C$4:$C$433,0)),"")</f>
        <v/>
      </c>
      <c r="L129" s="219" t="str">
        <f t="array" ref="L129">IFERROR(J129*INDEX('PORTIFÓLIO'!$S$4:$S$433,MATCH($C129,'PORTIFÓLIO'!$C$4:$C$433,0)),"")</f>
        <v/>
      </c>
      <c r="M129" s="220"/>
      <c r="N129" s="220"/>
      <c r="O129" s="220"/>
      <c r="P129" s="220"/>
      <c r="Q129" s="220"/>
      <c r="R129" s="220"/>
      <c r="S129" s="220"/>
      <c r="T129" s="220"/>
      <c r="U129" s="220"/>
      <c r="V129" s="220"/>
      <c r="W129" s="220"/>
    </row>
    <row r="130" ht="15.75" customHeight="1" outlineLevel="1">
      <c r="A130" s="211"/>
      <c r="B130" s="227"/>
      <c r="C130" s="211"/>
      <c r="D130" s="214" t="str">
        <f>IFERROR(VLOOKUP($C130,'PORTIFÓLIO'!C:V,2,0),"")</f>
        <v/>
      </c>
      <c r="E130" s="211" t="str">
        <f>IFERROR(VLOOKUP($C130,'PORTIFÓLIO'!C:V,3,0),"")</f>
        <v/>
      </c>
      <c r="F130" s="211" t="str">
        <f>IFERROR(VLOOKUP($C130,'PORTIFÓLIO'!C:V,4,0),"")</f>
        <v/>
      </c>
      <c r="G130" s="215" t="str">
        <f>IFERROR(VLOOKUP($C130,'PORTIFÓLIO'!C:V,5,0),"")</f>
        <v/>
      </c>
      <c r="H130" s="254" t="str">
        <f t="array" ref="H130">IFERROR(INDEX('PORTIFÓLIO'!$H$4:$H$433,MATCH($C130,'PORTIFÓLIO'!$C$4:$C$433,0)),"")</f>
        <v/>
      </c>
      <c r="I130" s="256"/>
      <c r="J130" s="218"/>
      <c r="K130" s="219" t="str">
        <f t="array" ref="K130">IFERROR(I130*INDEX('PORTIFÓLIO'!$S$4:$S$433,MATCH($C130,'PORTIFÓLIO'!$C$4:$C$433,0)),"")</f>
        <v/>
      </c>
      <c r="L130" s="219" t="str">
        <f t="array" ref="L130">IFERROR(J130*INDEX('PORTIFÓLIO'!$S$4:$S$433,MATCH($C130,'PORTIFÓLIO'!$C$4:$C$433,0)),"")</f>
        <v/>
      </c>
      <c r="M130" s="220"/>
      <c r="N130" s="220"/>
      <c r="O130" s="220"/>
      <c r="P130" s="220"/>
      <c r="Q130" s="220"/>
      <c r="R130" s="220"/>
      <c r="S130" s="220"/>
      <c r="T130" s="220"/>
      <c r="U130" s="220"/>
      <c r="V130" s="220"/>
      <c r="W130" s="220"/>
    </row>
    <row r="131" ht="15.75" customHeight="1">
      <c r="A131" s="229" t="s">
        <v>1191</v>
      </c>
      <c r="B131" s="230"/>
      <c r="C131" s="231"/>
      <c r="D131" s="232"/>
      <c r="E131" s="231"/>
      <c r="F131" s="231"/>
      <c r="G131" s="233"/>
      <c r="H131" s="233"/>
      <c r="I131" s="258"/>
      <c r="J131" s="236"/>
      <c r="K131" s="237">
        <f t="shared" ref="K131:L131" si="15">SUBTOTAL(9,K132:K145)</f>
        <v>137.671094</v>
      </c>
      <c r="L131" s="237">
        <f t="shared" si="15"/>
        <v>30287.64068</v>
      </c>
      <c r="M131" s="220"/>
      <c r="N131" s="220"/>
      <c r="O131" s="220"/>
      <c r="P131" s="220"/>
      <c r="Q131" s="220"/>
      <c r="R131" s="220"/>
      <c r="S131" s="220"/>
      <c r="T131" s="220"/>
      <c r="U131" s="220"/>
      <c r="V131" s="220"/>
      <c r="W131" s="220"/>
    </row>
    <row r="132" ht="15.75" customHeight="1" outlineLevel="1">
      <c r="A132" s="213"/>
      <c r="B132" s="212" t="s">
        <v>0</v>
      </c>
      <c r="C132" s="213" t="s">
        <v>487</v>
      </c>
      <c r="D132" s="214" t="str">
        <f>IFERROR(VLOOKUP($C132,'PORTIFÓLIO'!C:V,2,0),"")</f>
        <v>PICOXISTROBINA + CIPROCONAZOL</v>
      </c>
      <c r="E132" s="211" t="str">
        <f>IFERROR(VLOOKUP($C132,'PORTIFÓLIO'!C:V,3,0),"")</f>
        <v>90 + 40</v>
      </c>
      <c r="F132" s="211" t="str">
        <f>IFERROR(VLOOKUP($C132,'PORTIFÓLIO'!C:V,4,0),"")</f>
        <v>L</v>
      </c>
      <c r="G132" s="225" t="str">
        <f>IFERROR(VLOOKUP($C132,'PORTIFÓLIO'!C:V,5,0),"")</f>
        <v>📄 Ver bula</v>
      </c>
      <c r="H132" s="254">
        <f t="array" ref="H132">IFERROR(INDEX('PORTIFÓLIO'!$H$4:$H$433,MATCH($C132,'PORTIFÓLIO'!$C$4:$C$433,0)),"")</f>
        <v>0.6</v>
      </c>
      <c r="I132" s="255">
        <v>0.6</v>
      </c>
      <c r="J132" s="218">
        <f t="shared" ref="J132:J146" si="16">I132*$B$2</f>
        <v>132</v>
      </c>
      <c r="K132" s="219">
        <f t="array" ref="K132">IFERROR(I132*INDEX('PORTIFÓLIO'!$S$4:$S$433,MATCH($C132,'PORTIFÓLIO'!$C$4:$C$433,0)),"")</f>
        <v>39.349152</v>
      </c>
      <c r="L132" s="219">
        <f t="array" ref="L132">IFERROR(J132*INDEX('PORTIFÓLIO'!$S$4:$S$433,MATCH($C132,'PORTIFÓLIO'!$C$4:$C$433,0)),"")</f>
        <v>8656.81344</v>
      </c>
      <c r="M132" s="220"/>
      <c r="N132" s="220"/>
      <c r="O132" s="220"/>
      <c r="P132" s="220"/>
      <c r="Q132" s="220"/>
      <c r="R132" s="220"/>
      <c r="S132" s="220"/>
      <c r="T132" s="220"/>
      <c r="U132" s="220"/>
      <c r="V132" s="220"/>
      <c r="W132" s="220"/>
    </row>
    <row r="133" ht="15.75" customHeight="1" outlineLevel="1">
      <c r="A133" s="211"/>
      <c r="B133" s="212" t="s">
        <v>0</v>
      </c>
      <c r="C133" s="213" t="s">
        <v>484</v>
      </c>
      <c r="D133" s="214" t="str">
        <f>IFERROR(VLOOKUP($C133,'PORTIFÓLIO'!C:V,2,0),"")</f>
        <v>MANCOZEBE</v>
      </c>
      <c r="E133" s="211">
        <f>IFERROR(VLOOKUP($C133,'PORTIFÓLIO'!C:V,3,0),"")</f>
        <v>750</v>
      </c>
      <c r="F133" s="211" t="str">
        <f>IFERROR(VLOOKUP($C133,'PORTIFÓLIO'!C:V,4,0),"")</f>
        <v>L</v>
      </c>
      <c r="G133" s="225" t="str">
        <f>IFERROR(VLOOKUP($C133,'PORTIFÓLIO'!C:V,5,0),"")</f>
        <v>📄 Ver bula</v>
      </c>
      <c r="H133" s="254">
        <f t="array" ref="H133">IFERROR(INDEX('PORTIFÓLIO'!$H$4:$H$433,MATCH($C133,'PORTIFÓLIO'!$C$4:$C$433,0)),"")</f>
        <v>1.5</v>
      </c>
      <c r="I133" s="255">
        <v>1.5</v>
      </c>
      <c r="J133" s="218">
        <f t="shared" si="16"/>
        <v>330</v>
      </c>
      <c r="K133" s="219">
        <f t="array" ref="K133">IFERROR(I133*INDEX('PORTIFÓLIO'!$S$4:$S$433,MATCH($C133,'PORTIFÓLIO'!$C$4:$C$433,0)),"")</f>
        <v>41.52168</v>
      </c>
      <c r="L133" s="219">
        <f t="array" ref="L133">IFERROR(J133*INDEX('PORTIFÓLIO'!$S$4:$S$433,MATCH($C133,'PORTIFÓLIO'!$C$4:$C$433,0)),"")</f>
        <v>9134.7696</v>
      </c>
      <c r="M133" s="220"/>
      <c r="N133" s="220"/>
      <c r="O133" s="220"/>
      <c r="P133" s="220"/>
      <c r="Q133" s="220"/>
      <c r="R133" s="220"/>
      <c r="S133" s="220"/>
      <c r="T133" s="220"/>
      <c r="U133" s="220"/>
      <c r="V133" s="220"/>
      <c r="W133" s="220"/>
    </row>
    <row r="134" ht="15.75" customHeight="1" outlineLevel="1">
      <c r="A134" s="211"/>
      <c r="B134" s="212" t="s">
        <v>2</v>
      </c>
      <c r="C134" s="213" t="s">
        <v>752</v>
      </c>
      <c r="D134" s="214" t="str">
        <f>IFERROR(VLOOKUP($C134,'PORTIFÓLIO'!C:V,2,0),"")</f>
        <v>ACEFATO</v>
      </c>
      <c r="E134" s="211">
        <f>IFERROR(VLOOKUP($C134,'PORTIFÓLIO'!C:V,3,0),"")</f>
        <v>970</v>
      </c>
      <c r="F134" s="211" t="str">
        <f>IFERROR(VLOOKUP($C134,'PORTIFÓLIO'!C:V,4,0),"")</f>
        <v>L</v>
      </c>
      <c r="G134" s="225" t="str">
        <f>IFERROR(VLOOKUP($C134,'PORTIFÓLIO'!C:V,5,0),"")</f>
        <v>📄 Ver bula</v>
      </c>
      <c r="H134" s="254">
        <f t="array" ref="H134">IFERROR(INDEX('PORTIFÓLIO'!$H$4:$H$433,MATCH($C134,'PORTIFÓLIO'!$C$4:$C$433,0)),"")</f>
        <v>0.6</v>
      </c>
      <c r="I134" s="255">
        <v>1.0</v>
      </c>
      <c r="J134" s="218">
        <f t="shared" si="16"/>
        <v>220</v>
      </c>
      <c r="K134" s="219">
        <f t="array" ref="K134">IFERROR(I134*INDEX('PORTIFÓLIO'!$S$4:$S$433,MATCH($C134,'PORTIFÓLIO'!$C$4:$C$433,0)),"")</f>
        <v>37.11</v>
      </c>
      <c r="L134" s="219">
        <f t="array" ref="L134">IFERROR(J134*INDEX('PORTIFÓLIO'!$S$4:$S$433,MATCH($C134,'PORTIFÓLIO'!$C$4:$C$433,0)),"")</f>
        <v>8164.2</v>
      </c>
      <c r="M134" s="220"/>
      <c r="N134" s="220"/>
      <c r="O134" s="220"/>
      <c r="P134" s="220"/>
      <c r="Q134" s="220"/>
      <c r="R134" s="220"/>
      <c r="S134" s="220"/>
      <c r="T134" s="220"/>
      <c r="U134" s="220"/>
      <c r="V134" s="220"/>
      <c r="W134" s="220"/>
    </row>
    <row r="135" ht="15.75" customHeight="1" outlineLevel="1">
      <c r="A135" s="211"/>
      <c r="B135" s="212" t="s">
        <v>6</v>
      </c>
      <c r="C135" s="213" t="s">
        <v>354</v>
      </c>
      <c r="D135" s="214" t="str">
        <f>IFERROR(VLOOKUP($C135,'PORTIFÓLIO'!C:V,2,0),"")</f>
        <v>OLEO MINERAL</v>
      </c>
      <c r="E135" s="211">
        <f>IFERROR(VLOOKUP($C135,'PORTIFÓLIO'!C:V,3,0),"")</f>
        <v>761</v>
      </c>
      <c r="F135" s="211" t="str">
        <f>IFERROR(VLOOKUP($C135,'PORTIFÓLIO'!C:V,4,0),"")</f>
        <v>L</v>
      </c>
      <c r="G135" s="225" t="str">
        <f>IFERROR(VLOOKUP($C135,'PORTIFÓLIO'!C:V,5,0),"")</f>
        <v>📄 Ver bula</v>
      </c>
      <c r="H135" s="254">
        <f t="array" ref="H135">IFERROR(INDEX('PORTIFÓLIO'!$H$4:$H$433,MATCH($C135,'PORTIFÓLIO'!$C$4:$C$433,0)),"")</f>
        <v>0.2</v>
      </c>
      <c r="I135" s="255">
        <v>0.2</v>
      </c>
      <c r="J135" s="218">
        <f t="shared" si="16"/>
        <v>44</v>
      </c>
      <c r="K135" s="219">
        <f t="array" ref="K135">IFERROR(I135*INDEX('PORTIFÓLIO'!$S$4:$S$433,MATCH($C135,'PORTIFÓLIO'!$C$4:$C$433,0)),"")</f>
        <v>3.206</v>
      </c>
      <c r="L135" s="219">
        <f t="array" ref="L135">IFERROR(J135*INDEX('PORTIFÓLIO'!$S$4:$S$433,MATCH($C135,'PORTIFÓLIO'!$C$4:$C$433,0)),"")</f>
        <v>705.32</v>
      </c>
      <c r="M135" s="220"/>
      <c r="N135" s="220"/>
      <c r="O135" s="220"/>
      <c r="P135" s="220"/>
      <c r="Q135" s="220"/>
      <c r="R135" s="220"/>
      <c r="S135" s="220"/>
      <c r="T135" s="220"/>
      <c r="U135" s="220"/>
      <c r="V135" s="220"/>
      <c r="W135" s="220"/>
    </row>
    <row r="136" ht="15.75" customHeight="1" outlineLevel="1">
      <c r="A136" s="211"/>
      <c r="B136" s="212" t="s">
        <v>2</v>
      </c>
      <c r="C136" s="213" t="s">
        <v>798</v>
      </c>
      <c r="D136" s="214" t="str">
        <f>IFERROR(VLOOKUP($C136,'PORTIFÓLIO'!C:V,2,0),"")</f>
        <v>METOXIFENOZIDA</v>
      </c>
      <c r="E136" s="211">
        <f>IFERROR(VLOOKUP($C136,'PORTIFÓLIO'!C:V,3,0),"")</f>
        <v>240</v>
      </c>
      <c r="F136" s="211" t="str">
        <f>IFERROR(VLOOKUP($C136,'PORTIFÓLIO'!C:V,4,0),"")</f>
        <v>L</v>
      </c>
      <c r="G136" s="225" t="str">
        <f>IFERROR(VLOOKUP($C136,'PORTIFÓLIO'!C:V,5,0),"")</f>
        <v>📄 Ver bula</v>
      </c>
      <c r="H136" s="254">
        <f t="array" ref="H136">IFERROR(INDEX('PORTIFÓLIO'!$H$4:$H$433,MATCH($C136,'PORTIFÓLIO'!$C$4:$C$433,0)),"")</f>
        <v>0.5</v>
      </c>
      <c r="I136" s="255">
        <v>0.2</v>
      </c>
      <c r="J136" s="218">
        <f t="shared" si="16"/>
        <v>44</v>
      </c>
      <c r="K136" s="219">
        <f t="array" ref="K136">IFERROR(I136*INDEX('PORTIFÓLIO'!$S$4:$S$433,MATCH($C136,'PORTIFÓLIO'!$C$4:$C$433,0)),"")</f>
        <v>16.484262</v>
      </c>
      <c r="L136" s="219">
        <f t="array" ref="L136">IFERROR(J136*INDEX('PORTIFÓLIO'!$S$4:$S$433,MATCH($C136,'PORTIFÓLIO'!$C$4:$C$433,0)),"")</f>
        <v>3626.53764</v>
      </c>
      <c r="M136" s="220"/>
      <c r="N136" s="220"/>
      <c r="O136" s="220"/>
      <c r="P136" s="220"/>
      <c r="Q136" s="220"/>
      <c r="R136" s="220"/>
      <c r="S136" s="220"/>
      <c r="T136" s="220"/>
      <c r="U136" s="220"/>
      <c r="V136" s="220"/>
      <c r="W136" s="220"/>
    </row>
    <row r="137" ht="15.75" customHeight="1" outlineLevel="1">
      <c r="A137" s="211"/>
      <c r="B137" s="212"/>
      <c r="C137" s="213"/>
      <c r="D137" s="214" t="str">
        <f>IFERROR(VLOOKUP($C137,'PORTIFÓLIO'!C:V,2,0),"")</f>
        <v/>
      </c>
      <c r="E137" s="211" t="str">
        <f>IFERROR(VLOOKUP($C137,'PORTIFÓLIO'!C:V,3,0),"")</f>
        <v/>
      </c>
      <c r="F137" s="211" t="str">
        <f>IFERROR(VLOOKUP($C137,'PORTIFÓLIO'!C:V,4,0),"")</f>
        <v/>
      </c>
      <c r="G137" s="215" t="str">
        <f>IFERROR(VLOOKUP($C137,'PORTIFÓLIO'!C:V,5,0),"")</f>
        <v/>
      </c>
      <c r="H137" s="254" t="str">
        <f t="array" ref="H137">IFERROR(INDEX('PORTIFÓLIO'!$H$4:$H$433,MATCH($C137,'PORTIFÓLIO'!$C$4:$C$433,0)),"")</f>
        <v/>
      </c>
      <c r="I137" s="256"/>
      <c r="J137" s="218">
        <f t="shared" si="16"/>
        <v>0</v>
      </c>
      <c r="K137" s="219" t="str">
        <f t="array" ref="K137">IFERROR(I137*INDEX('PORTIFÓLIO'!$S$4:$S$433,MATCH($C137,'PORTIFÓLIO'!$C$4:$C$433,0)),"")</f>
        <v/>
      </c>
      <c r="L137" s="219" t="str">
        <f t="array" ref="L137">IFERROR(J137*INDEX('PORTIFÓLIO'!$S$4:$S$433,MATCH($C137,'PORTIFÓLIO'!$C$4:$C$433,0)),"")</f>
        <v/>
      </c>
      <c r="M137" s="220"/>
      <c r="N137" s="220"/>
      <c r="O137" s="220"/>
      <c r="P137" s="220"/>
      <c r="Q137" s="220"/>
      <c r="R137" s="220"/>
      <c r="S137" s="220"/>
      <c r="T137" s="220"/>
      <c r="U137" s="220"/>
      <c r="V137" s="220"/>
      <c r="W137" s="220"/>
    </row>
    <row r="138" ht="15.75" customHeight="1" outlineLevel="1">
      <c r="A138" s="211"/>
      <c r="B138" s="212"/>
      <c r="C138" s="213"/>
      <c r="D138" s="214" t="str">
        <f>IFERROR(VLOOKUP($C138,'PORTIFÓLIO'!C:V,2,0),"")</f>
        <v/>
      </c>
      <c r="E138" s="211" t="str">
        <f>IFERROR(VLOOKUP($C138,'PORTIFÓLIO'!C:V,3,0),"")</f>
        <v/>
      </c>
      <c r="F138" s="211" t="str">
        <f>IFERROR(VLOOKUP($C138,'PORTIFÓLIO'!C:V,4,0),"")</f>
        <v/>
      </c>
      <c r="G138" s="215" t="str">
        <f>IFERROR(VLOOKUP($C138,'PORTIFÓLIO'!C:V,5,0),"")</f>
        <v/>
      </c>
      <c r="H138" s="254" t="str">
        <f t="array" ref="H138">IFERROR(INDEX('PORTIFÓLIO'!$H$4:$H$433,MATCH($C138,'PORTIFÓLIO'!$C$4:$C$433,0)),"")</f>
        <v/>
      </c>
      <c r="I138" s="256"/>
      <c r="J138" s="218">
        <f t="shared" si="16"/>
        <v>0</v>
      </c>
      <c r="K138" s="219" t="str">
        <f t="array" ref="K138">IFERROR(I138*INDEX('PORTIFÓLIO'!$S$4:$S$433,MATCH($C138,'PORTIFÓLIO'!$C$4:$C$433,0)),"")</f>
        <v/>
      </c>
      <c r="L138" s="219" t="str">
        <f t="array" ref="L138">IFERROR(J138*INDEX('PORTIFÓLIO'!$S$4:$S$433,MATCH($C138,'PORTIFÓLIO'!$C$4:$C$433,0)),"")</f>
        <v/>
      </c>
      <c r="M138" s="220"/>
      <c r="N138" s="220"/>
      <c r="O138" s="220"/>
      <c r="P138" s="220"/>
      <c r="Q138" s="220"/>
      <c r="R138" s="220"/>
      <c r="S138" s="220"/>
      <c r="T138" s="220"/>
      <c r="U138" s="220"/>
      <c r="V138" s="220"/>
      <c r="W138" s="220"/>
    </row>
    <row r="139" ht="15.75" customHeight="1" outlineLevel="1">
      <c r="A139" s="211"/>
      <c r="B139" s="212"/>
      <c r="C139" s="213"/>
      <c r="D139" s="214" t="str">
        <f>IFERROR(VLOOKUP($C139,'PORTIFÓLIO'!C:V,2,0),"")</f>
        <v/>
      </c>
      <c r="E139" s="211" t="str">
        <f>IFERROR(VLOOKUP($C139,'PORTIFÓLIO'!C:V,3,0),"")</f>
        <v/>
      </c>
      <c r="F139" s="211" t="str">
        <f>IFERROR(VLOOKUP($C139,'PORTIFÓLIO'!C:V,4,0),"")</f>
        <v/>
      </c>
      <c r="G139" s="215" t="str">
        <f>IFERROR(VLOOKUP($C139,'PORTIFÓLIO'!C:V,5,0),"")</f>
        <v/>
      </c>
      <c r="H139" s="254" t="str">
        <f t="array" ref="H139">IFERROR(INDEX('PORTIFÓLIO'!$H$4:$H$433,MATCH($C139,'PORTIFÓLIO'!$C$4:$C$433,0)),"")</f>
        <v/>
      </c>
      <c r="I139" s="256"/>
      <c r="J139" s="218">
        <f t="shared" si="16"/>
        <v>0</v>
      </c>
      <c r="K139" s="219" t="str">
        <f t="array" ref="K139">IFERROR(I139*INDEX('PORTIFÓLIO'!$S$4:$S$433,MATCH($C139,'PORTIFÓLIO'!$C$4:$C$433,0)),"")</f>
        <v/>
      </c>
      <c r="L139" s="219" t="str">
        <f t="array" ref="L139">IFERROR(J139*INDEX('PORTIFÓLIO'!$S$4:$S$433,MATCH($C139,'PORTIFÓLIO'!$C$4:$C$433,0)),"")</f>
        <v/>
      </c>
      <c r="M139" s="220"/>
      <c r="N139" s="220"/>
      <c r="O139" s="220"/>
      <c r="P139" s="220"/>
      <c r="Q139" s="220"/>
      <c r="R139" s="220"/>
      <c r="S139" s="220"/>
      <c r="T139" s="220"/>
      <c r="U139" s="220"/>
      <c r="V139" s="220"/>
      <c r="W139" s="220"/>
    </row>
    <row r="140" ht="15.75" customHeight="1" outlineLevel="1">
      <c r="A140" s="211"/>
      <c r="B140" s="212"/>
      <c r="C140" s="213"/>
      <c r="D140" s="214" t="str">
        <f>IFERROR(VLOOKUP($C140,'PORTIFÓLIO'!C:V,2,0),"")</f>
        <v/>
      </c>
      <c r="E140" s="211" t="str">
        <f>IFERROR(VLOOKUP($C140,'PORTIFÓLIO'!C:V,3,0),"")</f>
        <v/>
      </c>
      <c r="F140" s="211" t="str">
        <f>IFERROR(VLOOKUP($C140,'PORTIFÓLIO'!C:V,4,0),"")</f>
        <v/>
      </c>
      <c r="G140" s="215" t="str">
        <f>IFERROR(VLOOKUP($C140,'PORTIFÓLIO'!C:V,5,0),"")</f>
        <v/>
      </c>
      <c r="H140" s="254" t="str">
        <f t="array" ref="H140">IFERROR(INDEX('PORTIFÓLIO'!$H$4:$H$433,MATCH($C140,'PORTIFÓLIO'!$C$4:$C$433,0)),"")</f>
        <v/>
      </c>
      <c r="I140" s="255"/>
      <c r="J140" s="218">
        <f t="shared" si="16"/>
        <v>0</v>
      </c>
      <c r="K140" s="219" t="str">
        <f t="array" ref="K140">IFERROR(I140*INDEX('PORTIFÓLIO'!$S$4:$S$433,MATCH($C140,'PORTIFÓLIO'!$C$4:$C$433,0)),"")</f>
        <v/>
      </c>
      <c r="L140" s="219" t="str">
        <f t="array" ref="L140">IFERROR(J140*INDEX('PORTIFÓLIO'!$S$4:$S$433,MATCH($C140,'PORTIFÓLIO'!$C$4:$C$433,0)),"")</f>
        <v/>
      </c>
      <c r="M140" s="220"/>
      <c r="N140" s="220"/>
      <c r="O140" s="220"/>
      <c r="P140" s="220"/>
      <c r="Q140" s="220"/>
      <c r="R140" s="220"/>
      <c r="S140" s="220"/>
      <c r="T140" s="220"/>
      <c r="U140" s="220"/>
      <c r="V140" s="220"/>
      <c r="W140" s="220"/>
    </row>
    <row r="141" ht="15.75" customHeight="1" outlineLevel="1">
      <c r="A141" s="211"/>
      <c r="B141" s="212"/>
      <c r="C141" s="213"/>
      <c r="D141" s="214" t="str">
        <f>IFERROR(VLOOKUP($C141,'PORTIFÓLIO'!C:V,2,0),"")</f>
        <v/>
      </c>
      <c r="E141" s="211" t="str">
        <f>IFERROR(VLOOKUP($C141,'PORTIFÓLIO'!C:V,3,0),"")</f>
        <v/>
      </c>
      <c r="F141" s="211" t="str">
        <f>IFERROR(VLOOKUP($C141,'PORTIFÓLIO'!C:V,4,0),"")</f>
        <v/>
      </c>
      <c r="G141" s="215" t="str">
        <f>IFERROR(VLOOKUP($C141,'PORTIFÓLIO'!C:V,5,0),"")</f>
        <v/>
      </c>
      <c r="H141" s="254" t="str">
        <f t="array" ref="H141">IFERROR(INDEX('PORTIFÓLIO'!$H$4:$H$433,MATCH($C141,'PORTIFÓLIO'!$C$4:$C$433,0)),"")</f>
        <v/>
      </c>
      <c r="I141" s="256"/>
      <c r="J141" s="218">
        <f t="shared" si="16"/>
        <v>0</v>
      </c>
      <c r="K141" s="219" t="str">
        <f t="array" ref="K141">IFERROR(I141*INDEX('PORTIFÓLIO'!$S$4:$S$433,MATCH($C141,'PORTIFÓLIO'!$C$4:$C$433,0)),"")</f>
        <v/>
      </c>
      <c r="L141" s="219" t="str">
        <f t="array" ref="L141">IFERROR(J141*INDEX('PORTIFÓLIO'!$S$4:$S$433,MATCH($C141,'PORTIFÓLIO'!$C$4:$C$433,0)),"")</f>
        <v/>
      </c>
      <c r="M141" s="220"/>
      <c r="N141" s="220"/>
      <c r="O141" s="220"/>
      <c r="P141" s="220"/>
      <c r="Q141" s="220"/>
      <c r="R141" s="220"/>
      <c r="S141" s="220"/>
      <c r="T141" s="220"/>
      <c r="U141" s="220"/>
      <c r="V141" s="220"/>
      <c r="W141" s="220"/>
    </row>
    <row r="142" ht="15.75" customHeight="1" outlineLevel="1">
      <c r="A142" s="211"/>
      <c r="B142" s="212"/>
      <c r="C142" s="213"/>
      <c r="D142" s="214" t="str">
        <f>IFERROR(VLOOKUP($C142,'PORTIFÓLIO'!C:V,2,0),"")</f>
        <v/>
      </c>
      <c r="E142" s="211" t="str">
        <f>IFERROR(VLOOKUP($C142,'PORTIFÓLIO'!C:V,3,0),"")</f>
        <v/>
      </c>
      <c r="F142" s="211" t="str">
        <f>IFERROR(VLOOKUP($C142,'PORTIFÓLIO'!C:V,4,0),"")</f>
        <v/>
      </c>
      <c r="G142" s="215" t="str">
        <f>IFERROR(VLOOKUP($C142,'PORTIFÓLIO'!C:V,5,0),"")</f>
        <v/>
      </c>
      <c r="H142" s="254" t="str">
        <f t="array" ref="H142">IFERROR(INDEX('PORTIFÓLIO'!$H$4:$H$433,MATCH($C142,'PORTIFÓLIO'!$C$4:$C$433,0)),"")</f>
        <v/>
      </c>
      <c r="I142" s="256"/>
      <c r="J142" s="218">
        <f t="shared" si="16"/>
        <v>0</v>
      </c>
      <c r="K142" s="219" t="str">
        <f t="array" ref="K142">IFERROR(I142*INDEX('PORTIFÓLIO'!$S$4:$S$433,MATCH($C142,'PORTIFÓLIO'!$C$4:$C$433,0)),"")</f>
        <v/>
      </c>
      <c r="L142" s="219" t="str">
        <f t="array" ref="L142">IFERROR(J142*INDEX('PORTIFÓLIO'!$S$4:$S$433,MATCH($C142,'PORTIFÓLIO'!$C$4:$C$433,0)),"")</f>
        <v/>
      </c>
      <c r="M142" s="220"/>
      <c r="N142" s="220"/>
      <c r="O142" s="220"/>
      <c r="P142" s="220"/>
      <c r="Q142" s="220"/>
      <c r="R142" s="220"/>
      <c r="S142" s="220"/>
      <c r="T142" s="220"/>
      <c r="U142" s="220"/>
      <c r="V142" s="220"/>
      <c r="W142" s="220"/>
    </row>
    <row r="143" ht="15.75" customHeight="1" outlineLevel="1">
      <c r="A143" s="211"/>
      <c r="B143" s="212"/>
      <c r="C143" s="213"/>
      <c r="D143" s="214" t="str">
        <f>IFERROR(VLOOKUP($C143,'PORTIFÓLIO'!C:V,2,0),"")</f>
        <v/>
      </c>
      <c r="E143" s="211" t="str">
        <f>IFERROR(VLOOKUP($C143,'PORTIFÓLIO'!C:V,3,0),"")</f>
        <v/>
      </c>
      <c r="F143" s="211" t="str">
        <f>IFERROR(VLOOKUP($C143,'PORTIFÓLIO'!C:V,4,0),"")</f>
        <v/>
      </c>
      <c r="G143" s="215" t="str">
        <f>IFERROR(VLOOKUP($C143,'PORTIFÓLIO'!C:V,5,0),"")</f>
        <v/>
      </c>
      <c r="H143" s="254" t="str">
        <f t="array" ref="H143">IFERROR(INDEX('PORTIFÓLIO'!$H$4:$H$433,MATCH($C143,'PORTIFÓLIO'!$C$4:$C$433,0)),"")</f>
        <v/>
      </c>
      <c r="I143" s="256"/>
      <c r="J143" s="218">
        <f t="shared" si="16"/>
        <v>0</v>
      </c>
      <c r="K143" s="219" t="str">
        <f t="array" ref="K143">IFERROR(I143*INDEX('PORTIFÓLIO'!$S$4:$S$433,MATCH($C143,'PORTIFÓLIO'!$C$4:$C$433,0)),"")</f>
        <v/>
      </c>
      <c r="L143" s="219" t="str">
        <f t="array" ref="L143">IFERROR(J143*INDEX('PORTIFÓLIO'!$S$4:$S$433,MATCH($C143,'PORTIFÓLIO'!$C$4:$C$433,0)),"")</f>
        <v/>
      </c>
      <c r="M143" s="220"/>
      <c r="N143" s="220"/>
      <c r="O143" s="220"/>
      <c r="P143" s="220"/>
      <c r="Q143" s="220"/>
      <c r="R143" s="220"/>
      <c r="S143" s="220"/>
      <c r="T143" s="220"/>
      <c r="U143" s="220"/>
      <c r="V143" s="220"/>
      <c r="W143" s="220"/>
    </row>
    <row r="144" ht="15.75" customHeight="1" outlineLevel="1">
      <c r="A144" s="211"/>
      <c r="B144" s="212"/>
      <c r="C144" s="213"/>
      <c r="D144" s="214" t="str">
        <f>IFERROR(VLOOKUP($C144,'PORTIFÓLIO'!C:V,2,0),"")</f>
        <v/>
      </c>
      <c r="E144" s="211" t="str">
        <f>IFERROR(VLOOKUP($C144,'PORTIFÓLIO'!C:V,3,0),"")</f>
        <v/>
      </c>
      <c r="F144" s="211" t="str">
        <f>IFERROR(VLOOKUP($C144,'PORTIFÓLIO'!C:V,4,0),"")</f>
        <v/>
      </c>
      <c r="G144" s="215" t="str">
        <f>IFERROR(VLOOKUP($C144,'PORTIFÓLIO'!C:V,5,0),"")</f>
        <v/>
      </c>
      <c r="H144" s="254" t="str">
        <f t="array" ref="H144">IFERROR(INDEX('PORTIFÓLIO'!$H$4:$H$433,MATCH($C144,'PORTIFÓLIO'!$C$4:$C$433,0)),"")</f>
        <v/>
      </c>
      <c r="I144" s="256"/>
      <c r="J144" s="218">
        <f t="shared" si="16"/>
        <v>0</v>
      </c>
      <c r="K144" s="219" t="str">
        <f t="array" ref="K144">IFERROR(I144*INDEX('PORTIFÓLIO'!$S$4:$S$433,MATCH($C144,'PORTIFÓLIO'!$C$4:$C$433,0)),"")</f>
        <v/>
      </c>
      <c r="L144" s="219" t="str">
        <f t="array" ref="L144">IFERROR(J144*INDEX('PORTIFÓLIO'!$S$4:$S$433,MATCH($C144,'PORTIFÓLIO'!$C$4:$C$433,0)),"")</f>
        <v/>
      </c>
      <c r="M144" s="220"/>
      <c r="N144" s="220"/>
      <c r="O144" s="220"/>
      <c r="P144" s="220"/>
      <c r="Q144" s="220"/>
      <c r="R144" s="220"/>
      <c r="S144" s="220"/>
      <c r="T144" s="220"/>
      <c r="U144" s="220"/>
      <c r="V144" s="220"/>
      <c r="W144" s="220"/>
    </row>
    <row r="145" ht="15.75" customHeight="1" outlineLevel="1">
      <c r="A145" s="211"/>
      <c r="B145" s="212"/>
      <c r="C145" s="213"/>
      <c r="D145" s="214" t="str">
        <f>IFERROR(VLOOKUP($C145,'PORTIFÓLIO'!C:V,2,0),"")</f>
        <v/>
      </c>
      <c r="E145" s="211" t="str">
        <f>IFERROR(VLOOKUP($C145,'PORTIFÓLIO'!C:V,3,0),"")</f>
        <v/>
      </c>
      <c r="F145" s="211" t="str">
        <f>IFERROR(VLOOKUP($C145,'PORTIFÓLIO'!C:V,4,0),"")</f>
        <v/>
      </c>
      <c r="G145" s="215" t="str">
        <f>IFERROR(VLOOKUP($C145,'PORTIFÓLIO'!C:V,5,0),"")</f>
        <v/>
      </c>
      <c r="H145" s="254" t="str">
        <f t="array" ref="H145">IFERROR(INDEX('PORTIFÓLIO'!$H$4:$H$433,MATCH($C145,'PORTIFÓLIO'!$C$4:$C$433,0)),"")</f>
        <v/>
      </c>
      <c r="I145" s="256"/>
      <c r="J145" s="218">
        <f t="shared" si="16"/>
        <v>0</v>
      </c>
      <c r="K145" s="219" t="str">
        <f t="array" ref="K145">IFERROR(I145*INDEX('PORTIFÓLIO'!$S$4:$S$433,MATCH($C145,'PORTIFÓLIO'!$C$4:$C$433,0)),"")</f>
        <v/>
      </c>
      <c r="L145" s="219" t="str">
        <f t="array" ref="L145">IFERROR(J145*INDEX('PORTIFÓLIO'!$S$4:$S$433,MATCH($C145,'PORTIFÓLIO'!$C$4:$C$433,0)),"")</f>
        <v/>
      </c>
      <c r="M145" s="220"/>
      <c r="N145" s="220"/>
      <c r="O145" s="220"/>
      <c r="P145" s="220"/>
      <c r="Q145" s="220"/>
      <c r="R145" s="220"/>
      <c r="S145" s="220"/>
      <c r="T145" s="220"/>
      <c r="U145" s="220"/>
      <c r="V145" s="220"/>
      <c r="W145" s="220"/>
    </row>
    <row r="146" ht="15.75" customHeight="1" outlineLevel="1">
      <c r="A146" s="211"/>
      <c r="B146" s="212"/>
      <c r="C146" s="213"/>
      <c r="D146" s="214" t="str">
        <f>IFERROR(VLOOKUP($C146,'PORTIFÓLIO'!C:V,2,0),"")</f>
        <v/>
      </c>
      <c r="E146" s="211" t="str">
        <f>IFERROR(VLOOKUP($C146,'PORTIFÓLIO'!C:V,3,0),"")</f>
        <v/>
      </c>
      <c r="F146" s="211" t="str">
        <f>IFERROR(VLOOKUP($C146,'PORTIFÓLIO'!C:V,4,0),"")</f>
        <v/>
      </c>
      <c r="G146" s="215" t="str">
        <f>IFERROR(VLOOKUP($C146,'PORTIFÓLIO'!C:V,5,0),"")</f>
        <v/>
      </c>
      <c r="H146" s="254" t="str">
        <f t="array" ref="H146">IFERROR(INDEX('PORTIFÓLIO'!$H$4:$H$433,MATCH($C146,'PORTIFÓLIO'!$C$4:$C$433,0)),"")</f>
        <v/>
      </c>
      <c r="I146" s="256"/>
      <c r="J146" s="218">
        <f t="shared" si="16"/>
        <v>0</v>
      </c>
      <c r="K146" s="219" t="str">
        <f t="array" ref="K146">IFERROR(I146*INDEX('PORTIFÓLIO'!$S$4:$S$433,MATCH($C146,'PORTIFÓLIO'!$C$4:$C$433,0)),"")</f>
        <v/>
      </c>
      <c r="L146" s="219" t="str">
        <f t="array" ref="L146">IFERROR(J146*INDEX('PORTIFÓLIO'!$S$4:$S$433,MATCH($C146,'PORTIFÓLIO'!$C$4:$C$433,0)),"")</f>
        <v/>
      </c>
      <c r="M146" s="220"/>
      <c r="N146" s="220"/>
      <c r="O146" s="220"/>
      <c r="P146" s="220"/>
      <c r="Q146" s="220"/>
      <c r="R146" s="220"/>
      <c r="S146" s="220"/>
      <c r="T146" s="220"/>
      <c r="U146" s="220"/>
      <c r="V146" s="220"/>
      <c r="W146" s="220"/>
    </row>
    <row r="147" ht="15.75" customHeight="1" outlineLevel="1">
      <c r="A147" s="211"/>
      <c r="B147" s="227"/>
      <c r="C147" s="211"/>
      <c r="D147" s="214" t="str">
        <f>IFERROR(VLOOKUP($C147,'PORTIFÓLIO'!C:V,2,0),"")</f>
        <v/>
      </c>
      <c r="E147" s="211" t="str">
        <f>IFERROR(VLOOKUP($C147,'PORTIFÓLIO'!C:V,3,0),"")</f>
        <v/>
      </c>
      <c r="F147" s="211" t="str">
        <f>IFERROR(VLOOKUP($C147,'PORTIFÓLIO'!C:V,4,0),"")</f>
        <v/>
      </c>
      <c r="G147" s="215" t="str">
        <f>IFERROR(VLOOKUP($C147,'PORTIFÓLIO'!C:V,5,0),"")</f>
        <v/>
      </c>
      <c r="H147" s="254" t="str">
        <f t="array" ref="H147">IFERROR(INDEX('PORTIFÓLIO'!$H$4:$H$433,MATCH($C147,'PORTIFÓLIO'!$C$4:$C$433,0)),"")</f>
        <v/>
      </c>
      <c r="I147" s="256"/>
      <c r="J147" s="218"/>
      <c r="K147" s="219" t="str">
        <f t="array" ref="K147">IFERROR(I147*INDEX('PORTIFÓLIO'!$S$4:$S$433,MATCH($C147,'PORTIFÓLIO'!$C$4:$C$433,0)),"")</f>
        <v/>
      </c>
      <c r="L147" s="219" t="str">
        <f t="array" ref="L147">IFERROR(J147*INDEX('PORTIFÓLIO'!$S$4:$S$433,MATCH($C147,'PORTIFÓLIO'!$C$4:$C$433,0)),"")</f>
        <v/>
      </c>
      <c r="M147" s="220"/>
      <c r="N147" s="220"/>
      <c r="O147" s="220"/>
      <c r="P147" s="220"/>
      <c r="Q147" s="220"/>
      <c r="R147" s="220"/>
      <c r="S147" s="220"/>
      <c r="T147" s="220"/>
      <c r="U147" s="220"/>
      <c r="V147" s="220"/>
      <c r="W147" s="220"/>
    </row>
    <row r="148" ht="15.75" customHeight="1">
      <c r="A148" s="229" t="s">
        <v>1192</v>
      </c>
      <c r="B148" s="230"/>
      <c r="C148" s="231"/>
      <c r="D148" s="232"/>
      <c r="E148" s="231"/>
      <c r="F148" s="231"/>
      <c r="G148" s="233"/>
      <c r="H148" s="233"/>
      <c r="I148" s="258"/>
      <c r="J148" s="236"/>
      <c r="K148" s="237">
        <f t="shared" ref="K148:L148" si="17">SUBTOTAL(9,K149:K162)</f>
        <v>99.50216</v>
      </c>
      <c r="L148" s="237">
        <f t="shared" si="17"/>
        <v>21890.4752</v>
      </c>
      <c r="M148" s="220"/>
      <c r="N148" s="220"/>
      <c r="O148" s="220"/>
      <c r="P148" s="220"/>
      <c r="Q148" s="220"/>
      <c r="R148" s="220"/>
      <c r="S148" s="220"/>
      <c r="T148" s="220"/>
      <c r="U148" s="220"/>
      <c r="V148" s="220"/>
      <c r="W148" s="220"/>
    </row>
    <row r="149" ht="15.75" customHeight="1" outlineLevel="1">
      <c r="A149" s="213"/>
      <c r="B149" s="212" t="s">
        <v>0</v>
      </c>
      <c r="C149" s="213" t="s">
        <v>434</v>
      </c>
      <c r="D149" s="214" t="str">
        <f>IFERROR(VLOOKUP($C149,'PORTIFÓLIO'!C:V,2,0),"")</f>
        <v>AZOXISTROBINA + TEBUCONAZOL</v>
      </c>
      <c r="E149" s="211" t="str">
        <f>IFERROR(VLOOKUP($C149,'PORTIFÓLIO'!C:V,3,0),"")</f>
        <v>120 + 200</v>
      </c>
      <c r="F149" s="211" t="str">
        <f>IFERROR(VLOOKUP($C149,'PORTIFÓLIO'!C:V,4,0),"")</f>
        <v>L</v>
      </c>
      <c r="G149" s="225" t="str">
        <f>IFERROR(VLOOKUP($C149,'PORTIFÓLIO'!C:V,5,0),"")</f>
        <v>📄 Ver bula</v>
      </c>
      <c r="H149" s="254">
        <f t="array" ref="H149">IFERROR(INDEX('PORTIFÓLIO'!$H$4:$H$433,MATCH($C149,'PORTIFÓLIO'!$C$4:$C$433,0)),"")</f>
        <v>0.5</v>
      </c>
      <c r="I149" s="255">
        <v>0.5</v>
      </c>
      <c r="J149" s="218">
        <f t="shared" ref="J149:J163" si="18">I149*$B$2</f>
        <v>110</v>
      </c>
      <c r="K149" s="219">
        <f t="array" ref="K149">IFERROR(I149*INDEX('PORTIFÓLIO'!$S$4:$S$433,MATCH($C149,'PORTIFÓLIO'!$C$4:$C$433,0)),"")</f>
        <v>17.66448</v>
      </c>
      <c r="L149" s="219">
        <f t="array" ref="L149">IFERROR(J149*INDEX('PORTIFÓLIO'!$S$4:$S$433,MATCH($C149,'PORTIFÓLIO'!$C$4:$C$433,0)),"")</f>
        <v>3886.1856</v>
      </c>
      <c r="M149" s="220"/>
      <c r="N149" s="220"/>
      <c r="O149" s="220"/>
      <c r="P149" s="220"/>
      <c r="Q149" s="220"/>
      <c r="R149" s="220"/>
      <c r="S149" s="220"/>
      <c r="T149" s="220"/>
      <c r="U149" s="220"/>
      <c r="V149" s="220"/>
      <c r="W149" s="220"/>
    </row>
    <row r="150" ht="15.75" customHeight="1" outlineLevel="1">
      <c r="A150" s="211"/>
      <c r="B150" s="212" t="s">
        <v>0</v>
      </c>
      <c r="C150" s="213" t="s">
        <v>484</v>
      </c>
      <c r="D150" s="214" t="str">
        <f>IFERROR(VLOOKUP($C150,'PORTIFÓLIO'!C:V,2,0),"")</f>
        <v>MANCOZEBE</v>
      </c>
      <c r="E150" s="211">
        <f>IFERROR(VLOOKUP($C150,'PORTIFÓLIO'!C:V,3,0),"")</f>
        <v>750</v>
      </c>
      <c r="F150" s="211" t="str">
        <f>IFERROR(VLOOKUP($C150,'PORTIFÓLIO'!C:V,4,0),"")</f>
        <v>L</v>
      </c>
      <c r="G150" s="225" t="str">
        <f>IFERROR(VLOOKUP($C150,'PORTIFÓLIO'!C:V,5,0),"")</f>
        <v>📄 Ver bula</v>
      </c>
      <c r="H150" s="254">
        <f t="array" ref="H150">IFERROR(INDEX('PORTIFÓLIO'!$H$4:$H$433,MATCH($C150,'PORTIFÓLIO'!$C$4:$C$433,0)),"")</f>
        <v>1.5</v>
      </c>
      <c r="I150" s="255">
        <v>1.5</v>
      </c>
      <c r="J150" s="218">
        <f t="shared" si="18"/>
        <v>330</v>
      </c>
      <c r="K150" s="219">
        <f t="array" ref="K150">IFERROR(I150*INDEX('PORTIFÓLIO'!$S$4:$S$433,MATCH($C150,'PORTIFÓLIO'!$C$4:$C$433,0)),"")</f>
        <v>41.52168</v>
      </c>
      <c r="L150" s="219">
        <f t="array" ref="L150">IFERROR(J150*INDEX('PORTIFÓLIO'!$S$4:$S$433,MATCH($C150,'PORTIFÓLIO'!$C$4:$C$433,0)),"")</f>
        <v>9134.7696</v>
      </c>
      <c r="M150" s="220"/>
      <c r="N150" s="220"/>
      <c r="O150" s="220"/>
      <c r="P150" s="220"/>
      <c r="Q150" s="220"/>
      <c r="R150" s="220"/>
      <c r="S150" s="220"/>
      <c r="T150" s="220"/>
      <c r="U150" s="220"/>
      <c r="V150" s="220"/>
      <c r="W150" s="220"/>
    </row>
    <row r="151" ht="15.75" customHeight="1" outlineLevel="1">
      <c r="A151" s="211"/>
      <c r="B151" s="212" t="s">
        <v>6</v>
      </c>
      <c r="C151" s="213" t="s">
        <v>354</v>
      </c>
      <c r="D151" s="214" t="str">
        <f>IFERROR(VLOOKUP($C151,'PORTIFÓLIO'!C:V,2,0),"")</f>
        <v>OLEO MINERAL</v>
      </c>
      <c r="E151" s="211">
        <f>IFERROR(VLOOKUP($C151,'PORTIFÓLIO'!C:V,3,0),"")</f>
        <v>761</v>
      </c>
      <c r="F151" s="211" t="str">
        <f>IFERROR(VLOOKUP($C151,'PORTIFÓLIO'!C:V,4,0),"")</f>
        <v>L</v>
      </c>
      <c r="G151" s="225" t="str">
        <f>IFERROR(VLOOKUP($C151,'PORTIFÓLIO'!C:V,5,0),"")</f>
        <v>📄 Ver bula</v>
      </c>
      <c r="H151" s="254">
        <f t="array" ref="H151">IFERROR(INDEX('PORTIFÓLIO'!$H$4:$H$433,MATCH($C151,'PORTIFÓLIO'!$C$4:$C$433,0)),"")</f>
        <v>0.2</v>
      </c>
      <c r="I151" s="255">
        <v>0.2</v>
      </c>
      <c r="J151" s="218">
        <f t="shared" si="18"/>
        <v>44</v>
      </c>
      <c r="K151" s="219">
        <f t="array" ref="K151">IFERROR(I151*INDEX('PORTIFÓLIO'!$S$4:$S$433,MATCH($C151,'PORTIFÓLIO'!$C$4:$C$433,0)),"")</f>
        <v>3.206</v>
      </c>
      <c r="L151" s="219">
        <f t="array" ref="L151">IFERROR(J151*INDEX('PORTIFÓLIO'!$S$4:$S$433,MATCH($C151,'PORTIFÓLIO'!$C$4:$C$433,0)),"")</f>
        <v>705.32</v>
      </c>
      <c r="M151" s="220"/>
      <c r="N151" s="220"/>
      <c r="O151" s="220"/>
      <c r="P151" s="220"/>
      <c r="Q151" s="220"/>
      <c r="R151" s="220"/>
      <c r="S151" s="220"/>
      <c r="T151" s="220"/>
      <c r="U151" s="220"/>
      <c r="V151" s="220"/>
      <c r="W151" s="220"/>
    </row>
    <row r="152" ht="15.75" customHeight="1" outlineLevel="1">
      <c r="A152" s="211"/>
      <c r="B152" s="212" t="s">
        <v>2</v>
      </c>
      <c r="C152" s="213" t="s">
        <v>752</v>
      </c>
      <c r="D152" s="214" t="str">
        <f>IFERROR(VLOOKUP($C152,'PORTIFÓLIO'!C:V,2,0),"")</f>
        <v>ACEFATO</v>
      </c>
      <c r="E152" s="211">
        <f>IFERROR(VLOOKUP($C152,'PORTIFÓLIO'!C:V,3,0),"")</f>
        <v>970</v>
      </c>
      <c r="F152" s="211" t="str">
        <f>IFERROR(VLOOKUP($C152,'PORTIFÓLIO'!C:V,4,0),"")</f>
        <v>L</v>
      </c>
      <c r="G152" s="225" t="str">
        <f>IFERROR(VLOOKUP($C152,'PORTIFÓLIO'!C:V,5,0),"")</f>
        <v>📄 Ver bula</v>
      </c>
      <c r="H152" s="254">
        <f t="array" ref="H152">IFERROR(INDEX('PORTIFÓLIO'!$H$4:$H$433,MATCH($C152,'PORTIFÓLIO'!$C$4:$C$433,0)),"")</f>
        <v>0.6</v>
      </c>
      <c r="I152" s="255">
        <v>1.0</v>
      </c>
      <c r="J152" s="218">
        <f t="shared" si="18"/>
        <v>220</v>
      </c>
      <c r="K152" s="219">
        <f t="array" ref="K152">IFERROR(I152*INDEX('PORTIFÓLIO'!$S$4:$S$433,MATCH($C152,'PORTIFÓLIO'!$C$4:$C$433,0)),"")</f>
        <v>37.11</v>
      </c>
      <c r="L152" s="219">
        <f t="array" ref="L152">IFERROR(J152*INDEX('PORTIFÓLIO'!$S$4:$S$433,MATCH($C152,'PORTIFÓLIO'!$C$4:$C$433,0)),"")</f>
        <v>8164.2</v>
      </c>
      <c r="M152" s="220"/>
      <c r="N152" s="220"/>
      <c r="O152" s="220"/>
      <c r="P152" s="220"/>
      <c r="Q152" s="220"/>
      <c r="R152" s="220"/>
      <c r="S152" s="220"/>
      <c r="T152" s="220"/>
      <c r="U152" s="220"/>
      <c r="V152" s="220"/>
      <c r="W152" s="220"/>
    </row>
    <row r="153" ht="15.75" customHeight="1" outlineLevel="1">
      <c r="A153" s="211"/>
      <c r="B153" s="212"/>
      <c r="C153" s="213"/>
      <c r="D153" s="214" t="str">
        <f>IFERROR(VLOOKUP($C153,'PORTIFÓLIO'!C:V,2,0),"")</f>
        <v/>
      </c>
      <c r="E153" s="211" t="str">
        <f>IFERROR(VLOOKUP($C153,'PORTIFÓLIO'!C:V,3,0),"")</f>
        <v/>
      </c>
      <c r="F153" s="211" t="str">
        <f>IFERROR(VLOOKUP($C153,'PORTIFÓLIO'!C:V,4,0),"")</f>
        <v/>
      </c>
      <c r="G153" s="215" t="str">
        <f>IFERROR(VLOOKUP($C153,'PORTIFÓLIO'!C:V,5,0),"")</f>
        <v/>
      </c>
      <c r="H153" s="254" t="str">
        <f t="array" ref="H153">IFERROR(INDEX('PORTIFÓLIO'!$H$4:$H$433,MATCH($C153,'PORTIFÓLIO'!$C$4:$C$433,0)),"")</f>
        <v/>
      </c>
      <c r="I153" s="256"/>
      <c r="J153" s="218">
        <f t="shared" si="18"/>
        <v>0</v>
      </c>
      <c r="K153" s="219" t="str">
        <f t="array" ref="K153">IFERROR(I153*INDEX('PORTIFÓLIO'!$S$4:$S$433,MATCH($C153,'PORTIFÓLIO'!$C$4:$C$433,0)),"")</f>
        <v/>
      </c>
      <c r="L153" s="219" t="str">
        <f t="array" ref="L153">IFERROR(J153*INDEX('PORTIFÓLIO'!$S$4:$S$433,MATCH($C153,'PORTIFÓLIO'!$C$4:$C$433,0)),"")</f>
        <v/>
      </c>
      <c r="M153" s="220"/>
      <c r="N153" s="220"/>
      <c r="O153" s="220"/>
      <c r="P153" s="220"/>
      <c r="Q153" s="220"/>
      <c r="R153" s="220"/>
      <c r="S153" s="220"/>
      <c r="T153" s="220"/>
      <c r="U153" s="220"/>
      <c r="V153" s="220"/>
      <c r="W153" s="220"/>
    </row>
    <row r="154" ht="15.75" customHeight="1" outlineLevel="1">
      <c r="A154" s="211"/>
      <c r="B154" s="212"/>
      <c r="C154" s="213"/>
      <c r="D154" s="214" t="str">
        <f>IFERROR(VLOOKUP($C154,'PORTIFÓLIO'!C:V,2,0),"")</f>
        <v/>
      </c>
      <c r="E154" s="211" t="str">
        <f>IFERROR(VLOOKUP($C154,'PORTIFÓLIO'!C:V,3,0),"")</f>
        <v/>
      </c>
      <c r="F154" s="211" t="str">
        <f>IFERROR(VLOOKUP($C154,'PORTIFÓLIO'!C:V,4,0),"")</f>
        <v/>
      </c>
      <c r="G154" s="215" t="str">
        <f>IFERROR(VLOOKUP($C154,'PORTIFÓLIO'!C:V,5,0),"")</f>
        <v/>
      </c>
      <c r="H154" s="254" t="str">
        <f t="array" ref="H154">IFERROR(INDEX('PORTIFÓLIO'!$H$4:$H$433,MATCH($C154,'PORTIFÓLIO'!$C$4:$C$433,0)),"")</f>
        <v/>
      </c>
      <c r="I154" s="256"/>
      <c r="J154" s="218">
        <f t="shared" si="18"/>
        <v>0</v>
      </c>
      <c r="K154" s="219" t="str">
        <f t="array" ref="K154">IFERROR(I154*INDEX('PORTIFÓLIO'!$S$4:$S$433,MATCH($C154,'PORTIFÓLIO'!$C$4:$C$433,0)),"")</f>
        <v/>
      </c>
      <c r="L154" s="219" t="str">
        <f t="array" ref="L154">IFERROR(J154*INDEX('PORTIFÓLIO'!$S$4:$S$433,MATCH($C154,'PORTIFÓLIO'!$C$4:$C$433,0)),"")</f>
        <v/>
      </c>
      <c r="M154" s="220"/>
      <c r="N154" s="220"/>
      <c r="O154" s="220"/>
      <c r="P154" s="220"/>
      <c r="Q154" s="220"/>
      <c r="R154" s="220"/>
      <c r="S154" s="220"/>
      <c r="T154" s="220"/>
      <c r="U154" s="220"/>
      <c r="V154" s="220"/>
      <c r="W154" s="220"/>
    </row>
    <row r="155" ht="15.75" customHeight="1" outlineLevel="1">
      <c r="A155" s="211"/>
      <c r="B155" s="212"/>
      <c r="C155" s="213"/>
      <c r="D155" s="214" t="str">
        <f>IFERROR(VLOOKUP($C155,'PORTIFÓLIO'!C:V,2,0),"")</f>
        <v/>
      </c>
      <c r="E155" s="211" t="str">
        <f>IFERROR(VLOOKUP($C155,'PORTIFÓLIO'!C:V,3,0),"")</f>
        <v/>
      </c>
      <c r="F155" s="211" t="str">
        <f>IFERROR(VLOOKUP($C155,'PORTIFÓLIO'!C:V,4,0),"")</f>
        <v/>
      </c>
      <c r="G155" s="215" t="str">
        <f>IFERROR(VLOOKUP($C155,'PORTIFÓLIO'!C:V,5,0),"")</f>
        <v/>
      </c>
      <c r="H155" s="254" t="str">
        <f t="array" ref="H155">IFERROR(INDEX('PORTIFÓLIO'!$H$4:$H$433,MATCH($C155,'PORTIFÓLIO'!$C$4:$C$433,0)),"")</f>
        <v/>
      </c>
      <c r="I155" s="256"/>
      <c r="J155" s="218">
        <f t="shared" si="18"/>
        <v>0</v>
      </c>
      <c r="K155" s="219" t="str">
        <f t="array" ref="K155">IFERROR(I155*INDEX('PORTIFÓLIO'!$S$4:$S$433,MATCH($C155,'PORTIFÓLIO'!$C$4:$C$433,0)),"")</f>
        <v/>
      </c>
      <c r="L155" s="219" t="str">
        <f t="array" ref="L155">IFERROR(J155*INDEX('PORTIFÓLIO'!$S$4:$S$433,MATCH($C155,'PORTIFÓLIO'!$C$4:$C$433,0)),"")</f>
        <v/>
      </c>
      <c r="M155" s="220"/>
      <c r="N155" s="220"/>
      <c r="O155" s="220"/>
      <c r="P155" s="220"/>
      <c r="Q155" s="220"/>
      <c r="R155" s="220"/>
      <c r="S155" s="220"/>
      <c r="T155" s="220"/>
      <c r="U155" s="220"/>
      <c r="V155" s="220"/>
      <c r="W155" s="220"/>
    </row>
    <row r="156" ht="15.75" customHeight="1" outlineLevel="1">
      <c r="A156" s="211"/>
      <c r="B156" s="212"/>
      <c r="C156" s="213"/>
      <c r="D156" s="214" t="str">
        <f>IFERROR(VLOOKUP($C156,'PORTIFÓLIO'!C:V,2,0),"")</f>
        <v/>
      </c>
      <c r="E156" s="211" t="str">
        <f>IFERROR(VLOOKUP($C156,'PORTIFÓLIO'!C:V,3,0),"")</f>
        <v/>
      </c>
      <c r="F156" s="211" t="str">
        <f>IFERROR(VLOOKUP($C156,'PORTIFÓLIO'!C:V,4,0),"")</f>
        <v/>
      </c>
      <c r="G156" s="215" t="str">
        <f>IFERROR(VLOOKUP($C156,'PORTIFÓLIO'!C:V,5,0),"")</f>
        <v/>
      </c>
      <c r="H156" s="254" t="str">
        <f t="array" ref="H156">IFERROR(INDEX('PORTIFÓLIO'!$H$4:$H$433,MATCH($C156,'PORTIFÓLIO'!$C$4:$C$433,0)),"")</f>
        <v/>
      </c>
      <c r="I156" s="256"/>
      <c r="J156" s="218">
        <f t="shared" si="18"/>
        <v>0</v>
      </c>
      <c r="K156" s="219" t="str">
        <f t="array" ref="K156">IFERROR(I156*INDEX('PORTIFÓLIO'!$S$4:$S$433,MATCH($C156,'PORTIFÓLIO'!$C$4:$C$433,0)),"")</f>
        <v/>
      </c>
      <c r="L156" s="219" t="str">
        <f t="array" ref="L156">IFERROR(J156*INDEX('PORTIFÓLIO'!$S$4:$S$433,MATCH($C156,'PORTIFÓLIO'!$C$4:$C$433,0)),"")</f>
        <v/>
      </c>
      <c r="M156" s="220"/>
      <c r="N156" s="220"/>
      <c r="O156" s="220"/>
      <c r="P156" s="220"/>
      <c r="Q156" s="220"/>
      <c r="R156" s="220"/>
      <c r="S156" s="220"/>
      <c r="T156" s="220"/>
      <c r="U156" s="220"/>
      <c r="V156" s="220"/>
      <c r="W156" s="220"/>
    </row>
    <row r="157" ht="15.75" customHeight="1" outlineLevel="1">
      <c r="A157" s="211"/>
      <c r="B157" s="212"/>
      <c r="C157" s="213"/>
      <c r="D157" s="214" t="str">
        <f>IFERROR(VLOOKUP($C157,'PORTIFÓLIO'!C:V,2,0),"")</f>
        <v/>
      </c>
      <c r="E157" s="211" t="str">
        <f>IFERROR(VLOOKUP($C157,'PORTIFÓLIO'!C:V,3,0),"")</f>
        <v/>
      </c>
      <c r="F157" s="211" t="str">
        <f>IFERROR(VLOOKUP($C157,'PORTIFÓLIO'!C:V,4,0),"")</f>
        <v/>
      </c>
      <c r="G157" s="215" t="str">
        <f>IFERROR(VLOOKUP($C157,'PORTIFÓLIO'!C:V,5,0),"")</f>
        <v/>
      </c>
      <c r="H157" s="254" t="str">
        <f t="array" ref="H157">IFERROR(INDEX('PORTIFÓLIO'!$H$4:$H$433,MATCH($C157,'PORTIFÓLIO'!$C$4:$C$433,0)),"")</f>
        <v/>
      </c>
      <c r="I157" s="255"/>
      <c r="J157" s="218">
        <f t="shared" si="18"/>
        <v>0</v>
      </c>
      <c r="K157" s="219" t="str">
        <f t="array" ref="K157">IFERROR(I157*INDEX('PORTIFÓLIO'!$S$4:$S$433,MATCH($C157,'PORTIFÓLIO'!$C$4:$C$433,0)),"")</f>
        <v/>
      </c>
      <c r="L157" s="219" t="str">
        <f t="array" ref="L157">IFERROR(J157*INDEX('PORTIFÓLIO'!$S$4:$S$433,MATCH($C157,'PORTIFÓLIO'!$C$4:$C$433,0)),"")</f>
        <v/>
      </c>
      <c r="M157" s="220"/>
      <c r="N157" s="220"/>
      <c r="O157" s="220"/>
      <c r="P157" s="220"/>
      <c r="Q157" s="220"/>
      <c r="R157" s="220"/>
      <c r="S157" s="220"/>
      <c r="T157" s="220"/>
      <c r="U157" s="220"/>
      <c r="V157" s="220"/>
      <c r="W157" s="220"/>
    </row>
    <row r="158" ht="15.75" customHeight="1" outlineLevel="1">
      <c r="A158" s="211"/>
      <c r="B158" s="212"/>
      <c r="C158" s="213"/>
      <c r="D158" s="214" t="str">
        <f>IFERROR(VLOOKUP($C158,'PORTIFÓLIO'!C:V,2,0),"")</f>
        <v/>
      </c>
      <c r="E158" s="211" t="str">
        <f>IFERROR(VLOOKUP($C158,'PORTIFÓLIO'!C:V,3,0),"")</f>
        <v/>
      </c>
      <c r="F158" s="211" t="str">
        <f>IFERROR(VLOOKUP($C158,'PORTIFÓLIO'!C:V,4,0),"")</f>
        <v/>
      </c>
      <c r="G158" s="215" t="str">
        <f>IFERROR(VLOOKUP($C158,'PORTIFÓLIO'!C:V,5,0),"")</f>
        <v/>
      </c>
      <c r="H158" s="254" t="str">
        <f t="array" ref="H158">IFERROR(INDEX('PORTIFÓLIO'!$H$4:$H$433,MATCH($C158,'PORTIFÓLIO'!$C$4:$C$433,0)),"")</f>
        <v/>
      </c>
      <c r="I158" s="256"/>
      <c r="J158" s="218">
        <f t="shared" si="18"/>
        <v>0</v>
      </c>
      <c r="K158" s="219" t="str">
        <f t="array" ref="K158">IFERROR(I158*INDEX('PORTIFÓLIO'!$S$4:$S$433,MATCH($C158,'PORTIFÓLIO'!$C$4:$C$433,0)),"")</f>
        <v/>
      </c>
      <c r="L158" s="219" t="str">
        <f t="array" ref="L158">IFERROR(J158*INDEX('PORTIFÓLIO'!$S$4:$S$433,MATCH($C158,'PORTIFÓLIO'!$C$4:$C$433,0)),"")</f>
        <v/>
      </c>
      <c r="M158" s="220"/>
      <c r="N158" s="220"/>
      <c r="O158" s="220"/>
      <c r="P158" s="220"/>
      <c r="Q158" s="220"/>
      <c r="R158" s="220"/>
      <c r="S158" s="220"/>
      <c r="T158" s="220"/>
      <c r="U158" s="220"/>
      <c r="V158" s="220"/>
      <c r="W158" s="220"/>
    </row>
    <row r="159" ht="15.75" customHeight="1" outlineLevel="1">
      <c r="A159" s="211"/>
      <c r="B159" s="212"/>
      <c r="C159" s="213"/>
      <c r="D159" s="214" t="str">
        <f>IFERROR(VLOOKUP($C159,'PORTIFÓLIO'!C:V,2,0),"")</f>
        <v/>
      </c>
      <c r="E159" s="211" t="str">
        <f>IFERROR(VLOOKUP($C159,'PORTIFÓLIO'!C:V,3,0),"")</f>
        <v/>
      </c>
      <c r="F159" s="211" t="str">
        <f>IFERROR(VLOOKUP($C159,'PORTIFÓLIO'!C:V,4,0),"")</f>
        <v/>
      </c>
      <c r="G159" s="215" t="str">
        <f>IFERROR(VLOOKUP($C159,'PORTIFÓLIO'!C:V,5,0),"")</f>
        <v/>
      </c>
      <c r="H159" s="254" t="str">
        <f t="array" ref="H159">IFERROR(INDEX('PORTIFÓLIO'!$H$4:$H$433,MATCH($C159,'PORTIFÓLIO'!$C$4:$C$433,0)),"")</f>
        <v/>
      </c>
      <c r="I159" s="256"/>
      <c r="J159" s="218">
        <f t="shared" si="18"/>
        <v>0</v>
      </c>
      <c r="K159" s="219" t="str">
        <f t="array" ref="K159">IFERROR(I159*INDEX('PORTIFÓLIO'!$S$4:$S$433,MATCH($C159,'PORTIFÓLIO'!$C$4:$C$433,0)),"")</f>
        <v/>
      </c>
      <c r="L159" s="219" t="str">
        <f t="array" ref="L159">IFERROR(J159*INDEX('PORTIFÓLIO'!$S$4:$S$433,MATCH($C159,'PORTIFÓLIO'!$C$4:$C$433,0)),"")</f>
        <v/>
      </c>
      <c r="M159" s="220"/>
      <c r="N159" s="220"/>
      <c r="O159" s="220"/>
      <c r="P159" s="220"/>
      <c r="Q159" s="220"/>
      <c r="R159" s="220"/>
      <c r="S159" s="220"/>
      <c r="T159" s="220"/>
      <c r="U159" s="220"/>
      <c r="V159" s="220"/>
      <c r="W159" s="220"/>
    </row>
    <row r="160" ht="15.75" customHeight="1" outlineLevel="1">
      <c r="A160" s="211"/>
      <c r="B160" s="212"/>
      <c r="C160" s="213"/>
      <c r="D160" s="214" t="str">
        <f>IFERROR(VLOOKUP($C160,'PORTIFÓLIO'!C:V,2,0),"")</f>
        <v/>
      </c>
      <c r="E160" s="211" t="str">
        <f>IFERROR(VLOOKUP($C160,'PORTIFÓLIO'!C:V,3,0),"")</f>
        <v/>
      </c>
      <c r="F160" s="211" t="str">
        <f>IFERROR(VLOOKUP($C160,'PORTIFÓLIO'!C:V,4,0),"")</f>
        <v/>
      </c>
      <c r="G160" s="215" t="str">
        <f>IFERROR(VLOOKUP($C160,'PORTIFÓLIO'!C:V,5,0),"")</f>
        <v/>
      </c>
      <c r="H160" s="254" t="str">
        <f t="array" ref="H160">IFERROR(INDEX('PORTIFÓLIO'!$H$4:$H$433,MATCH($C160,'PORTIFÓLIO'!$C$4:$C$433,0)),"")</f>
        <v/>
      </c>
      <c r="I160" s="256"/>
      <c r="J160" s="218">
        <f t="shared" si="18"/>
        <v>0</v>
      </c>
      <c r="K160" s="219" t="str">
        <f t="array" ref="K160">IFERROR(I160*INDEX('PORTIFÓLIO'!$S$4:$S$433,MATCH($C160,'PORTIFÓLIO'!$C$4:$C$433,0)),"")</f>
        <v/>
      </c>
      <c r="L160" s="219" t="str">
        <f t="array" ref="L160">IFERROR(J160*INDEX('PORTIFÓLIO'!$S$4:$S$433,MATCH($C160,'PORTIFÓLIO'!$C$4:$C$433,0)),"")</f>
        <v/>
      </c>
      <c r="M160" s="220"/>
      <c r="N160" s="220"/>
      <c r="O160" s="220"/>
      <c r="P160" s="220"/>
      <c r="Q160" s="220"/>
      <c r="R160" s="220"/>
      <c r="S160" s="220"/>
      <c r="T160" s="220"/>
      <c r="U160" s="220"/>
      <c r="V160" s="220"/>
      <c r="W160" s="220"/>
    </row>
    <row r="161" ht="15.75" customHeight="1" outlineLevel="1">
      <c r="A161" s="211"/>
      <c r="B161" s="212"/>
      <c r="C161" s="213"/>
      <c r="D161" s="214" t="str">
        <f>IFERROR(VLOOKUP($C161,'PORTIFÓLIO'!C:V,2,0),"")</f>
        <v/>
      </c>
      <c r="E161" s="211" t="str">
        <f>IFERROR(VLOOKUP($C161,'PORTIFÓLIO'!C:V,3,0),"")</f>
        <v/>
      </c>
      <c r="F161" s="211" t="str">
        <f>IFERROR(VLOOKUP($C161,'PORTIFÓLIO'!C:V,4,0),"")</f>
        <v/>
      </c>
      <c r="G161" s="215" t="str">
        <f>IFERROR(VLOOKUP($C161,'PORTIFÓLIO'!C:V,5,0),"")</f>
        <v/>
      </c>
      <c r="H161" s="254" t="str">
        <f t="array" ref="H161">IFERROR(INDEX('PORTIFÓLIO'!$H$4:$H$433,MATCH($C161,'PORTIFÓLIO'!$C$4:$C$433,0)),"")</f>
        <v/>
      </c>
      <c r="I161" s="256"/>
      <c r="J161" s="218">
        <f t="shared" si="18"/>
        <v>0</v>
      </c>
      <c r="K161" s="219" t="str">
        <f t="array" ref="K161">IFERROR(I161*INDEX('PORTIFÓLIO'!$S$4:$S$433,MATCH($C161,'PORTIFÓLIO'!$C$4:$C$433,0)),"")</f>
        <v/>
      </c>
      <c r="L161" s="219" t="str">
        <f t="array" ref="L161">IFERROR(J161*INDEX('PORTIFÓLIO'!$S$4:$S$433,MATCH($C161,'PORTIFÓLIO'!$C$4:$C$433,0)),"")</f>
        <v/>
      </c>
      <c r="M161" s="220"/>
      <c r="N161" s="220"/>
      <c r="O161" s="220"/>
      <c r="P161" s="220"/>
      <c r="Q161" s="220"/>
      <c r="R161" s="220"/>
      <c r="S161" s="220"/>
      <c r="T161" s="220"/>
      <c r="U161" s="220"/>
      <c r="V161" s="220"/>
      <c r="W161" s="220"/>
    </row>
    <row r="162" ht="15.75" customHeight="1" outlineLevel="1">
      <c r="A162" s="211"/>
      <c r="B162" s="212"/>
      <c r="C162" s="213"/>
      <c r="D162" s="214" t="str">
        <f>IFERROR(VLOOKUP($C162,'PORTIFÓLIO'!C:V,2,0),"")</f>
        <v/>
      </c>
      <c r="E162" s="211" t="str">
        <f>IFERROR(VLOOKUP($C162,'PORTIFÓLIO'!C:V,3,0),"")</f>
        <v/>
      </c>
      <c r="F162" s="211" t="str">
        <f>IFERROR(VLOOKUP($C162,'PORTIFÓLIO'!C:V,4,0),"")</f>
        <v/>
      </c>
      <c r="G162" s="215" t="str">
        <f>IFERROR(VLOOKUP($C162,'PORTIFÓLIO'!C:V,5,0),"")</f>
        <v/>
      </c>
      <c r="H162" s="254" t="str">
        <f t="array" ref="H162">IFERROR(INDEX('PORTIFÓLIO'!$H$4:$H$433,MATCH($C162,'PORTIFÓLIO'!$C$4:$C$433,0)),"")</f>
        <v/>
      </c>
      <c r="I162" s="256"/>
      <c r="J162" s="218">
        <f t="shared" si="18"/>
        <v>0</v>
      </c>
      <c r="K162" s="219" t="str">
        <f t="array" ref="K162">IFERROR(I162*INDEX('PORTIFÓLIO'!$S$4:$S$433,MATCH($C162,'PORTIFÓLIO'!$C$4:$C$433,0)),"")</f>
        <v/>
      </c>
      <c r="L162" s="219" t="str">
        <f t="array" ref="L162">IFERROR(J162*INDEX('PORTIFÓLIO'!$S$4:$S$433,MATCH($C162,'PORTIFÓLIO'!$C$4:$C$433,0)),"")</f>
        <v/>
      </c>
      <c r="M162" s="220"/>
      <c r="N162" s="220"/>
      <c r="O162" s="220"/>
      <c r="P162" s="220"/>
      <c r="Q162" s="220"/>
      <c r="R162" s="220"/>
      <c r="S162" s="220"/>
      <c r="T162" s="220"/>
      <c r="U162" s="220"/>
      <c r="V162" s="220"/>
      <c r="W162" s="220"/>
    </row>
    <row r="163" ht="15.75" customHeight="1" outlineLevel="1">
      <c r="A163" s="211"/>
      <c r="B163" s="212"/>
      <c r="C163" s="213"/>
      <c r="D163" s="214" t="str">
        <f>IFERROR(VLOOKUP($C163,'PORTIFÓLIO'!C:V,2,0),"")</f>
        <v/>
      </c>
      <c r="E163" s="211" t="str">
        <f>IFERROR(VLOOKUP($C163,'PORTIFÓLIO'!C:V,3,0),"")</f>
        <v/>
      </c>
      <c r="F163" s="211" t="str">
        <f>IFERROR(VLOOKUP($C163,'PORTIFÓLIO'!C:V,4,0),"")</f>
        <v/>
      </c>
      <c r="G163" s="215" t="str">
        <f>IFERROR(VLOOKUP($C163,'PORTIFÓLIO'!C:V,5,0),"")</f>
        <v/>
      </c>
      <c r="H163" s="254" t="str">
        <f t="array" ref="H163">IFERROR(INDEX('PORTIFÓLIO'!$H$4:$H$433,MATCH($C163,'PORTIFÓLIO'!$C$4:$C$433,0)),"")</f>
        <v/>
      </c>
      <c r="I163" s="256"/>
      <c r="J163" s="218">
        <f t="shared" si="18"/>
        <v>0</v>
      </c>
      <c r="K163" s="219" t="str">
        <f t="array" ref="K163">IFERROR(I163*INDEX('PORTIFÓLIO'!$S$4:$S$433,MATCH($C163,'PORTIFÓLIO'!$C$4:$C$433,0)),"")</f>
        <v/>
      </c>
      <c r="L163" s="219" t="str">
        <f t="array" ref="L163">IFERROR(J163*INDEX('PORTIFÓLIO'!$S$4:$S$433,MATCH($C163,'PORTIFÓLIO'!$C$4:$C$433,0)),"")</f>
        <v/>
      </c>
      <c r="M163" s="220"/>
      <c r="N163" s="220"/>
      <c r="O163" s="220"/>
      <c r="P163" s="220"/>
      <c r="Q163" s="220"/>
      <c r="R163" s="220"/>
      <c r="S163" s="220"/>
      <c r="T163" s="220"/>
      <c r="U163" s="220"/>
      <c r="V163" s="220"/>
      <c r="W163" s="220"/>
    </row>
    <row r="164" ht="15.75" customHeight="1" outlineLevel="1">
      <c r="A164" s="211"/>
      <c r="B164" s="227"/>
      <c r="C164" s="211"/>
      <c r="D164" s="214" t="str">
        <f>IFERROR(VLOOKUP($C164,'PORTIFÓLIO'!C:V,2,0),"")</f>
        <v/>
      </c>
      <c r="E164" s="211" t="str">
        <f>IFERROR(VLOOKUP($C164,'PORTIFÓLIO'!C:V,3,0),"")</f>
        <v/>
      </c>
      <c r="F164" s="211" t="str">
        <f>IFERROR(VLOOKUP($C164,'PORTIFÓLIO'!C:V,4,0),"")</f>
        <v/>
      </c>
      <c r="G164" s="215" t="str">
        <f>IFERROR(VLOOKUP($C164,'PORTIFÓLIO'!C:V,5,0),"")</f>
        <v/>
      </c>
      <c r="H164" s="254" t="str">
        <f t="array" ref="H164">IFERROR(INDEX('PORTIFÓLIO'!$H$4:$H$433,MATCH($C164,'PORTIFÓLIO'!$C$4:$C$433,0)),"")</f>
        <v/>
      </c>
      <c r="I164" s="256"/>
      <c r="J164" s="218"/>
      <c r="K164" s="219" t="str">
        <f t="array" ref="K164">IFERROR(I164*INDEX('PORTIFÓLIO'!$S$4:$S$433,MATCH($C164,'PORTIFÓLIO'!$C$4:$C$433,0)),"")</f>
        <v/>
      </c>
      <c r="L164" s="219" t="str">
        <f t="array" ref="L164">IFERROR(J164*INDEX('PORTIFÓLIO'!$S$4:$S$433,MATCH($C164,'PORTIFÓLIO'!$C$4:$C$433,0)),"")</f>
        <v/>
      </c>
      <c r="M164" s="220"/>
      <c r="N164" s="220"/>
      <c r="O164" s="220"/>
      <c r="P164" s="220"/>
      <c r="Q164" s="220"/>
      <c r="R164" s="220"/>
      <c r="S164" s="220"/>
      <c r="T164" s="220"/>
      <c r="U164" s="220"/>
      <c r="V164" s="220"/>
      <c r="W164" s="220"/>
    </row>
    <row r="165" ht="15.75" customHeight="1">
      <c r="A165" s="229" t="s">
        <v>1193</v>
      </c>
      <c r="B165" s="230"/>
      <c r="C165" s="231"/>
      <c r="D165" s="232"/>
      <c r="E165" s="231"/>
      <c r="F165" s="231"/>
      <c r="G165" s="233"/>
      <c r="H165" s="233"/>
      <c r="I165" s="258"/>
      <c r="J165" s="236"/>
      <c r="K165" s="237">
        <f t="shared" ref="K165:L165" si="19">SUBTOTAL(9,K166:K179)</f>
        <v>0</v>
      </c>
      <c r="L165" s="237">
        <f t="shared" si="19"/>
        <v>0</v>
      </c>
      <c r="M165" s="220"/>
      <c r="N165" s="220"/>
      <c r="O165" s="220"/>
      <c r="P165" s="220"/>
      <c r="Q165" s="220"/>
      <c r="R165" s="220"/>
      <c r="S165" s="220"/>
      <c r="T165" s="220"/>
      <c r="U165" s="220"/>
      <c r="V165" s="220"/>
      <c r="W165" s="220"/>
    </row>
    <row r="166" ht="15.75" customHeight="1" outlineLevel="1">
      <c r="A166" s="213"/>
      <c r="B166" s="212"/>
      <c r="C166" s="213"/>
      <c r="D166" s="214" t="str">
        <f>IFERROR(VLOOKUP($C166,'PORTIFÓLIO'!C:V,2,0),"")</f>
        <v/>
      </c>
      <c r="E166" s="211" t="str">
        <f>IFERROR(VLOOKUP($C166,'PORTIFÓLIO'!C:V,3,0),"")</f>
        <v/>
      </c>
      <c r="F166" s="211" t="str">
        <f>IFERROR(VLOOKUP($C166,'PORTIFÓLIO'!C:V,4,0),"")</f>
        <v/>
      </c>
      <c r="G166" s="215" t="str">
        <f>IFERROR(VLOOKUP($C166,'PORTIFÓLIO'!C:V,5,0),"")</f>
        <v/>
      </c>
      <c r="H166" s="254" t="str">
        <f t="array" ref="H166">IFERROR(INDEX('PORTIFÓLIO'!$H$4:$H$433,MATCH($C166,'PORTIFÓLIO'!$C$4:$C$433,0)),"")</f>
        <v/>
      </c>
      <c r="I166" s="255"/>
      <c r="J166" s="218">
        <f t="shared" ref="J166:J181" si="20">I166*$B$2</f>
        <v>0</v>
      </c>
      <c r="K166" s="219" t="str">
        <f t="array" ref="K166">IFERROR(I166*INDEX('PORTIFÓLIO'!$S$4:$S$433,MATCH($C166,'PORTIFÓLIO'!$C$4:$C$433,0)),"")</f>
        <v/>
      </c>
      <c r="L166" s="219" t="str">
        <f t="array" ref="L166">IFERROR(J166*INDEX('PORTIFÓLIO'!$S$4:$S$433,MATCH($C166,'PORTIFÓLIO'!$C$4:$C$433,0)),"")</f>
        <v/>
      </c>
      <c r="M166" s="220"/>
      <c r="N166" s="220"/>
      <c r="O166" s="220"/>
      <c r="P166" s="220"/>
      <c r="Q166" s="220"/>
      <c r="R166" s="220"/>
      <c r="S166" s="220"/>
      <c r="T166" s="220"/>
      <c r="U166" s="220"/>
      <c r="V166" s="220"/>
      <c r="W166" s="220"/>
    </row>
    <row r="167" ht="15.75" customHeight="1" outlineLevel="1">
      <c r="A167" s="211"/>
      <c r="B167" s="212"/>
      <c r="C167" s="213"/>
      <c r="D167" s="214" t="str">
        <f>IFERROR(VLOOKUP($C167,'PORTIFÓLIO'!C:V,2,0),"")</f>
        <v/>
      </c>
      <c r="E167" s="211" t="str">
        <f>IFERROR(VLOOKUP($C167,'PORTIFÓLIO'!C:V,3,0),"")</f>
        <v/>
      </c>
      <c r="F167" s="211" t="str">
        <f>IFERROR(VLOOKUP($C167,'PORTIFÓLIO'!C:V,4,0),"")</f>
        <v/>
      </c>
      <c r="G167" s="215" t="str">
        <f>IFERROR(VLOOKUP($C167,'PORTIFÓLIO'!C:V,5,0),"")</f>
        <v/>
      </c>
      <c r="H167" s="254" t="str">
        <f t="array" ref="H167">IFERROR(INDEX('PORTIFÓLIO'!$H$4:$H$433,MATCH($C167,'PORTIFÓLIO'!$C$4:$C$433,0)),"")</f>
        <v/>
      </c>
      <c r="I167" s="255"/>
      <c r="J167" s="218">
        <f t="shared" si="20"/>
        <v>0</v>
      </c>
      <c r="K167" s="219" t="str">
        <f t="array" ref="K167">IFERROR(I167*INDEX('PORTIFÓLIO'!$S$4:$S$433,MATCH($C167,'PORTIFÓLIO'!$C$4:$C$433,0)),"")</f>
        <v/>
      </c>
      <c r="L167" s="219" t="str">
        <f t="array" ref="L167">IFERROR(J167*INDEX('PORTIFÓLIO'!$S$4:$S$433,MATCH($C167,'PORTIFÓLIO'!$C$4:$C$433,0)),"")</f>
        <v/>
      </c>
      <c r="M167" s="220"/>
      <c r="N167" s="220"/>
      <c r="O167" s="220"/>
      <c r="P167" s="220"/>
      <c r="Q167" s="220"/>
      <c r="R167" s="220"/>
      <c r="S167" s="220"/>
      <c r="T167" s="220"/>
      <c r="U167" s="220"/>
      <c r="V167" s="220"/>
      <c r="W167" s="220"/>
    </row>
    <row r="168" ht="15.75" customHeight="1" outlineLevel="1">
      <c r="A168" s="211"/>
      <c r="B168" s="212"/>
      <c r="C168" s="213"/>
      <c r="D168" s="214" t="str">
        <f>IFERROR(VLOOKUP($C168,'PORTIFÓLIO'!C:V,2,0),"")</f>
        <v/>
      </c>
      <c r="E168" s="211" t="str">
        <f>IFERROR(VLOOKUP($C168,'PORTIFÓLIO'!C:V,3,0),"")</f>
        <v/>
      </c>
      <c r="F168" s="211" t="str">
        <f>IFERROR(VLOOKUP($C168,'PORTIFÓLIO'!C:V,4,0),"")</f>
        <v/>
      </c>
      <c r="G168" s="215" t="str">
        <f>IFERROR(VLOOKUP($C168,'PORTIFÓLIO'!C:V,5,0),"")</f>
        <v/>
      </c>
      <c r="H168" s="254" t="str">
        <f t="array" ref="H168">IFERROR(INDEX('PORTIFÓLIO'!$H$4:$H$433,MATCH($C168,'PORTIFÓLIO'!$C$4:$C$433,0)),"")</f>
        <v/>
      </c>
      <c r="I168" s="256"/>
      <c r="J168" s="218">
        <f t="shared" si="20"/>
        <v>0</v>
      </c>
      <c r="K168" s="219" t="str">
        <f t="array" ref="K168">IFERROR(I168*INDEX('PORTIFÓLIO'!$S$4:$S$433,MATCH($C168,'PORTIFÓLIO'!$C$4:$C$433,0)),"")</f>
        <v/>
      </c>
      <c r="L168" s="219" t="str">
        <f t="array" ref="L168">IFERROR(J168*INDEX('PORTIFÓLIO'!$S$4:$S$433,MATCH($C168,'PORTIFÓLIO'!$C$4:$C$433,0)),"")</f>
        <v/>
      </c>
      <c r="M168" s="220"/>
      <c r="N168" s="220"/>
      <c r="O168" s="220"/>
      <c r="P168" s="220"/>
      <c r="Q168" s="220"/>
      <c r="R168" s="220"/>
      <c r="S168" s="220"/>
      <c r="T168" s="220"/>
      <c r="U168" s="220"/>
      <c r="V168" s="220"/>
      <c r="W168" s="220"/>
    </row>
    <row r="169" ht="15.75" customHeight="1" outlineLevel="1">
      <c r="A169" s="211"/>
      <c r="B169" s="212"/>
      <c r="C169" s="213"/>
      <c r="D169" s="214" t="str">
        <f>IFERROR(VLOOKUP($C169,'PORTIFÓLIO'!C:V,2,0),"")</f>
        <v/>
      </c>
      <c r="E169" s="211" t="str">
        <f>IFERROR(VLOOKUP($C169,'PORTIFÓLIO'!C:V,3,0),"")</f>
        <v/>
      </c>
      <c r="F169" s="211" t="str">
        <f>IFERROR(VLOOKUP($C169,'PORTIFÓLIO'!C:V,4,0),"")</f>
        <v/>
      </c>
      <c r="G169" s="215" t="str">
        <f>IFERROR(VLOOKUP($C169,'PORTIFÓLIO'!C:V,5,0),"")</f>
        <v/>
      </c>
      <c r="H169" s="254" t="str">
        <f t="array" ref="H169">IFERROR(INDEX('PORTIFÓLIO'!$H$4:$H$433,MATCH($C169,'PORTIFÓLIO'!$C$4:$C$433,0)),"")</f>
        <v/>
      </c>
      <c r="I169" s="256"/>
      <c r="J169" s="218">
        <f t="shared" si="20"/>
        <v>0</v>
      </c>
      <c r="K169" s="219" t="str">
        <f t="array" ref="K169">IFERROR(I169*INDEX('PORTIFÓLIO'!$S$4:$S$433,MATCH($C169,'PORTIFÓLIO'!$C$4:$C$433,0)),"")</f>
        <v/>
      </c>
      <c r="L169" s="219" t="str">
        <f t="array" ref="L169">IFERROR(J169*INDEX('PORTIFÓLIO'!$S$4:$S$433,MATCH($C169,'PORTIFÓLIO'!$C$4:$C$433,0)),"")</f>
        <v/>
      </c>
      <c r="M169" s="220"/>
      <c r="N169" s="220"/>
      <c r="O169" s="220"/>
      <c r="P169" s="220"/>
      <c r="Q169" s="220"/>
      <c r="R169" s="220"/>
      <c r="S169" s="220"/>
      <c r="T169" s="220"/>
      <c r="U169" s="220"/>
      <c r="V169" s="220"/>
      <c r="W169" s="220"/>
    </row>
    <row r="170" ht="15.75" customHeight="1" outlineLevel="1">
      <c r="A170" s="211"/>
      <c r="B170" s="212"/>
      <c r="C170" s="213"/>
      <c r="D170" s="214" t="str">
        <f>IFERROR(VLOOKUP($C170,'PORTIFÓLIO'!C:V,2,0),"")</f>
        <v/>
      </c>
      <c r="E170" s="211" t="str">
        <f>IFERROR(VLOOKUP($C170,'PORTIFÓLIO'!C:V,3,0),"")</f>
        <v/>
      </c>
      <c r="F170" s="211" t="str">
        <f>IFERROR(VLOOKUP($C170,'PORTIFÓLIO'!C:V,4,0),"")</f>
        <v/>
      </c>
      <c r="G170" s="215" t="str">
        <f>IFERROR(VLOOKUP($C170,'PORTIFÓLIO'!C:V,5,0),"")</f>
        <v/>
      </c>
      <c r="H170" s="254" t="str">
        <f t="array" ref="H170">IFERROR(INDEX('PORTIFÓLIO'!$H$4:$H$433,MATCH($C170,'PORTIFÓLIO'!$C$4:$C$433,0)),"")</f>
        <v/>
      </c>
      <c r="I170" s="256"/>
      <c r="J170" s="218">
        <f t="shared" si="20"/>
        <v>0</v>
      </c>
      <c r="K170" s="219" t="str">
        <f t="array" ref="K170">IFERROR(I170*INDEX('PORTIFÓLIO'!$S$4:$S$433,MATCH($C170,'PORTIFÓLIO'!$C$4:$C$433,0)),"")</f>
        <v/>
      </c>
      <c r="L170" s="219" t="str">
        <f t="array" ref="L170">IFERROR(J170*INDEX('PORTIFÓLIO'!$S$4:$S$433,MATCH($C170,'PORTIFÓLIO'!$C$4:$C$433,0)),"")</f>
        <v/>
      </c>
      <c r="M170" s="220"/>
      <c r="N170" s="220"/>
      <c r="O170" s="220"/>
      <c r="P170" s="220"/>
      <c r="Q170" s="220"/>
      <c r="R170" s="220"/>
      <c r="S170" s="220"/>
      <c r="T170" s="220"/>
      <c r="U170" s="220"/>
      <c r="V170" s="220"/>
      <c r="W170" s="220"/>
    </row>
    <row r="171" ht="15.75" customHeight="1" outlineLevel="1">
      <c r="A171" s="211"/>
      <c r="B171" s="212"/>
      <c r="C171" s="213"/>
      <c r="D171" s="214" t="str">
        <f>IFERROR(VLOOKUP($C171,'PORTIFÓLIO'!C:V,2,0),"")</f>
        <v/>
      </c>
      <c r="E171" s="211" t="str">
        <f>IFERROR(VLOOKUP($C171,'PORTIFÓLIO'!C:V,3,0),"")</f>
        <v/>
      </c>
      <c r="F171" s="211" t="str">
        <f>IFERROR(VLOOKUP($C171,'PORTIFÓLIO'!C:V,4,0),"")</f>
        <v/>
      </c>
      <c r="G171" s="215" t="str">
        <f>IFERROR(VLOOKUP($C171,'PORTIFÓLIO'!C:V,5,0),"")</f>
        <v/>
      </c>
      <c r="H171" s="254" t="str">
        <f t="array" ref="H171">IFERROR(INDEX('PORTIFÓLIO'!$H$4:$H$433,MATCH($C171,'PORTIFÓLIO'!$C$4:$C$433,0)),"")</f>
        <v/>
      </c>
      <c r="I171" s="256"/>
      <c r="J171" s="218">
        <f t="shared" si="20"/>
        <v>0</v>
      </c>
      <c r="K171" s="219" t="str">
        <f t="array" ref="K171">IFERROR(I171*INDEX('PORTIFÓLIO'!$S$4:$S$433,MATCH($C171,'PORTIFÓLIO'!$C$4:$C$433,0)),"")</f>
        <v/>
      </c>
      <c r="L171" s="219" t="str">
        <f t="array" ref="L171">IFERROR(J171*INDEX('PORTIFÓLIO'!$S$4:$S$433,MATCH($C171,'PORTIFÓLIO'!$C$4:$C$433,0)),"")</f>
        <v/>
      </c>
      <c r="M171" s="220"/>
      <c r="N171" s="220"/>
      <c r="O171" s="220"/>
      <c r="P171" s="220"/>
      <c r="Q171" s="220"/>
      <c r="R171" s="220"/>
      <c r="S171" s="220"/>
      <c r="T171" s="220"/>
      <c r="U171" s="220"/>
      <c r="V171" s="220"/>
      <c r="W171" s="220"/>
    </row>
    <row r="172" ht="15.75" customHeight="1" outlineLevel="1">
      <c r="A172" s="211"/>
      <c r="B172" s="212"/>
      <c r="C172" s="213"/>
      <c r="D172" s="214" t="str">
        <f>IFERROR(VLOOKUP($C172,'PORTIFÓLIO'!C:V,2,0),"")</f>
        <v/>
      </c>
      <c r="E172" s="211" t="str">
        <f>IFERROR(VLOOKUP($C172,'PORTIFÓLIO'!C:V,3,0),"")</f>
        <v/>
      </c>
      <c r="F172" s="211" t="str">
        <f>IFERROR(VLOOKUP($C172,'PORTIFÓLIO'!C:V,4,0),"")</f>
        <v/>
      </c>
      <c r="G172" s="215" t="str">
        <f>IFERROR(VLOOKUP($C172,'PORTIFÓLIO'!C:V,5,0),"")</f>
        <v/>
      </c>
      <c r="H172" s="254" t="str">
        <f t="array" ref="H172">IFERROR(INDEX('PORTIFÓLIO'!$H$4:$H$433,MATCH($C172,'PORTIFÓLIO'!$C$4:$C$433,0)),"")</f>
        <v/>
      </c>
      <c r="I172" s="256"/>
      <c r="J172" s="218">
        <f t="shared" si="20"/>
        <v>0</v>
      </c>
      <c r="K172" s="219" t="str">
        <f t="array" ref="K172">IFERROR(I172*INDEX('PORTIFÓLIO'!$S$4:$S$433,MATCH($C172,'PORTIFÓLIO'!$C$4:$C$433,0)),"")</f>
        <v/>
      </c>
      <c r="L172" s="219" t="str">
        <f t="array" ref="L172">IFERROR(J172*INDEX('PORTIFÓLIO'!$S$4:$S$433,MATCH($C172,'PORTIFÓLIO'!$C$4:$C$433,0)),"")</f>
        <v/>
      </c>
      <c r="M172" s="220"/>
      <c r="N172" s="220"/>
      <c r="O172" s="220"/>
      <c r="P172" s="220"/>
      <c r="Q172" s="220"/>
      <c r="R172" s="220"/>
      <c r="S172" s="220"/>
      <c r="T172" s="220"/>
      <c r="U172" s="220"/>
      <c r="V172" s="220"/>
      <c r="W172" s="220"/>
    </row>
    <row r="173" ht="15.75" customHeight="1" outlineLevel="1">
      <c r="A173" s="211"/>
      <c r="B173" s="212"/>
      <c r="C173" s="213"/>
      <c r="D173" s="214" t="str">
        <f>IFERROR(VLOOKUP($C173,'PORTIFÓLIO'!C:V,2,0),"")</f>
        <v/>
      </c>
      <c r="E173" s="211" t="str">
        <f>IFERROR(VLOOKUP($C173,'PORTIFÓLIO'!C:V,3,0),"")</f>
        <v/>
      </c>
      <c r="F173" s="211" t="str">
        <f>IFERROR(VLOOKUP($C173,'PORTIFÓLIO'!C:V,4,0),"")</f>
        <v/>
      </c>
      <c r="G173" s="215" t="str">
        <f>IFERROR(VLOOKUP($C173,'PORTIFÓLIO'!C:V,5,0),"")</f>
        <v/>
      </c>
      <c r="H173" s="254" t="str">
        <f t="array" ref="H173">IFERROR(INDEX('PORTIFÓLIO'!$H$4:$H$433,MATCH($C173,'PORTIFÓLIO'!$C$4:$C$433,0)),"")</f>
        <v/>
      </c>
      <c r="I173" s="256"/>
      <c r="J173" s="218">
        <f t="shared" si="20"/>
        <v>0</v>
      </c>
      <c r="K173" s="219" t="str">
        <f t="array" ref="K173">IFERROR(I173*INDEX('PORTIFÓLIO'!$S$4:$S$433,MATCH($C173,'PORTIFÓLIO'!$C$4:$C$433,0)),"")</f>
        <v/>
      </c>
      <c r="L173" s="219" t="str">
        <f t="array" ref="L173">IFERROR(J173*INDEX('PORTIFÓLIO'!$S$4:$S$433,MATCH($C173,'PORTIFÓLIO'!$C$4:$C$433,0)),"")</f>
        <v/>
      </c>
      <c r="M173" s="220"/>
      <c r="N173" s="220"/>
      <c r="O173" s="220"/>
      <c r="P173" s="220"/>
      <c r="Q173" s="220"/>
      <c r="R173" s="220"/>
      <c r="S173" s="220"/>
      <c r="T173" s="220"/>
      <c r="U173" s="220"/>
      <c r="V173" s="220"/>
      <c r="W173" s="220"/>
    </row>
    <row r="174" ht="15.75" customHeight="1" outlineLevel="1">
      <c r="A174" s="211"/>
      <c r="B174" s="212"/>
      <c r="C174" s="213"/>
      <c r="D174" s="214" t="str">
        <f>IFERROR(VLOOKUP($C174,'PORTIFÓLIO'!C:V,2,0),"")</f>
        <v/>
      </c>
      <c r="E174" s="211" t="str">
        <f>IFERROR(VLOOKUP($C174,'PORTIFÓLIO'!C:V,3,0),"")</f>
        <v/>
      </c>
      <c r="F174" s="211" t="str">
        <f>IFERROR(VLOOKUP($C174,'PORTIFÓLIO'!C:V,4,0),"")</f>
        <v/>
      </c>
      <c r="G174" s="215" t="str">
        <f>IFERROR(VLOOKUP($C174,'PORTIFÓLIO'!C:V,5,0),"")</f>
        <v/>
      </c>
      <c r="H174" s="254" t="str">
        <f t="array" ref="H174">IFERROR(INDEX('PORTIFÓLIO'!$H$4:$H$433,MATCH($C174,'PORTIFÓLIO'!$C$4:$C$433,0)),"")</f>
        <v/>
      </c>
      <c r="I174" s="255"/>
      <c r="J174" s="218">
        <f t="shared" si="20"/>
        <v>0</v>
      </c>
      <c r="K174" s="219" t="str">
        <f t="array" ref="K174">IFERROR(I174*INDEX('PORTIFÓLIO'!$S$4:$S$433,MATCH($C174,'PORTIFÓLIO'!$C$4:$C$433,0)),"")</f>
        <v/>
      </c>
      <c r="L174" s="219" t="str">
        <f t="array" ref="L174">IFERROR(J174*INDEX('PORTIFÓLIO'!$S$4:$S$433,MATCH($C174,'PORTIFÓLIO'!$C$4:$C$433,0)),"")</f>
        <v/>
      </c>
      <c r="M174" s="220"/>
      <c r="N174" s="220"/>
      <c r="O174" s="220"/>
      <c r="P174" s="220"/>
      <c r="Q174" s="220"/>
      <c r="R174" s="220"/>
      <c r="S174" s="220"/>
      <c r="T174" s="220"/>
      <c r="U174" s="220"/>
      <c r="V174" s="220"/>
      <c r="W174" s="220"/>
    </row>
    <row r="175" ht="15.75" customHeight="1" outlineLevel="1">
      <c r="A175" s="211"/>
      <c r="B175" s="212"/>
      <c r="C175" s="213"/>
      <c r="D175" s="214" t="str">
        <f>IFERROR(VLOOKUP($C175,'PORTIFÓLIO'!C:V,2,0),"")</f>
        <v/>
      </c>
      <c r="E175" s="211" t="str">
        <f>IFERROR(VLOOKUP($C175,'PORTIFÓLIO'!C:V,3,0),"")</f>
        <v/>
      </c>
      <c r="F175" s="211" t="str">
        <f>IFERROR(VLOOKUP($C175,'PORTIFÓLIO'!C:V,4,0),"")</f>
        <v/>
      </c>
      <c r="G175" s="215" t="str">
        <f>IFERROR(VLOOKUP($C175,'PORTIFÓLIO'!C:V,5,0),"")</f>
        <v/>
      </c>
      <c r="H175" s="254" t="str">
        <f t="array" ref="H175">IFERROR(INDEX('PORTIFÓLIO'!$H$4:$H$433,MATCH($C175,'PORTIFÓLIO'!$C$4:$C$433,0)),"")</f>
        <v/>
      </c>
      <c r="I175" s="256"/>
      <c r="J175" s="218">
        <f t="shared" si="20"/>
        <v>0</v>
      </c>
      <c r="K175" s="219" t="str">
        <f t="array" ref="K175">IFERROR(I175*INDEX('PORTIFÓLIO'!$S$4:$S$433,MATCH($C175,'PORTIFÓLIO'!$C$4:$C$433,0)),"")</f>
        <v/>
      </c>
      <c r="L175" s="219" t="str">
        <f t="array" ref="L175">IFERROR(J175*INDEX('PORTIFÓLIO'!$S$4:$S$433,MATCH($C175,'PORTIFÓLIO'!$C$4:$C$433,0)),"")</f>
        <v/>
      </c>
      <c r="M175" s="220"/>
      <c r="N175" s="220"/>
      <c r="O175" s="220"/>
      <c r="P175" s="220"/>
      <c r="Q175" s="220"/>
      <c r="R175" s="220"/>
      <c r="S175" s="220"/>
      <c r="T175" s="220"/>
      <c r="U175" s="220"/>
      <c r="V175" s="220"/>
      <c r="W175" s="220"/>
    </row>
    <row r="176" ht="15.75" customHeight="1" outlineLevel="1">
      <c r="A176" s="211"/>
      <c r="B176" s="212"/>
      <c r="C176" s="213"/>
      <c r="D176" s="214" t="str">
        <f>IFERROR(VLOOKUP($C176,'PORTIFÓLIO'!C:V,2,0),"")</f>
        <v/>
      </c>
      <c r="E176" s="211" t="str">
        <f>IFERROR(VLOOKUP($C176,'PORTIFÓLIO'!C:V,3,0),"")</f>
        <v/>
      </c>
      <c r="F176" s="211" t="str">
        <f>IFERROR(VLOOKUP($C176,'PORTIFÓLIO'!C:V,4,0),"")</f>
        <v/>
      </c>
      <c r="G176" s="215" t="str">
        <f>IFERROR(VLOOKUP($C176,'PORTIFÓLIO'!C:V,5,0),"")</f>
        <v/>
      </c>
      <c r="H176" s="254" t="str">
        <f t="array" ref="H176">IFERROR(INDEX('PORTIFÓLIO'!$H$4:$H$433,MATCH($C176,'PORTIFÓLIO'!$C$4:$C$433,0)),"")</f>
        <v/>
      </c>
      <c r="I176" s="256"/>
      <c r="J176" s="218">
        <f t="shared" si="20"/>
        <v>0</v>
      </c>
      <c r="K176" s="219" t="str">
        <f t="array" ref="K176">IFERROR(I176*INDEX('PORTIFÓLIO'!$S$4:$S$433,MATCH($C176,'PORTIFÓLIO'!$C$4:$C$433,0)),"")</f>
        <v/>
      </c>
      <c r="L176" s="219" t="str">
        <f t="array" ref="L176">IFERROR(J176*INDEX('PORTIFÓLIO'!$S$4:$S$433,MATCH($C176,'PORTIFÓLIO'!$C$4:$C$433,0)),"")</f>
        <v/>
      </c>
      <c r="M176" s="220"/>
      <c r="N176" s="220"/>
      <c r="O176" s="220"/>
      <c r="P176" s="220"/>
      <c r="Q176" s="220"/>
      <c r="R176" s="220"/>
      <c r="S176" s="220"/>
      <c r="T176" s="220"/>
      <c r="U176" s="220"/>
      <c r="V176" s="220"/>
      <c r="W176" s="220"/>
    </row>
    <row r="177" ht="15.75" customHeight="1" outlineLevel="1">
      <c r="A177" s="211"/>
      <c r="B177" s="212"/>
      <c r="C177" s="213"/>
      <c r="D177" s="214" t="str">
        <f>IFERROR(VLOOKUP($C177,'PORTIFÓLIO'!C:V,2,0),"")</f>
        <v/>
      </c>
      <c r="E177" s="211" t="str">
        <f>IFERROR(VLOOKUP($C177,'PORTIFÓLIO'!C:V,3,0),"")</f>
        <v/>
      </c>
      <c r="F177" s="211" t="str">
        <f>IFERROR(VLOOKUP($C177,'PORTIFÓLIO'!C:V,4,0),"")</f>
        <v/>
      </c>
      <c r="G177" s="215" t="str">
        <f>IFERROR(VLOOKUP($C177,'PORTIFÓLIO'!C:V,5,0),"")</f>
        <v/>
      </c>
      <c r="H177" s="254" t="str">
        <f t="array" ref="H177">IFERROR(INDEX('PORTIFÓLIO'!$H$4:$H$433,MATCH($C177,'PORTIFÓLIO'!$C$4:$C$433,0)),"")</f>
        <v/>
      </c>
      <c r="I177" s="256"/>
      <c r="J177" s="218">
        <f t="shared" si="20"/>
        <v>0</v>
      </c>
      <c r="K177" s="219" t="str">
        <f t="array" ref="K177">IFERROR(I177*INDEX('PORTIFÓLIO'!$S$4:$S$433,MATCH($C177,'PORTIFÓLIO'!$C$4:$C$433,0)),"")</f>
        <v/>
      </c>
      <c r="L177" s="219" t="str">
        <f t="array" ref="L177">IFERROR(J177*INDEX('PORTIFÓLIO'!$S$4:$S$433,MATCH($C177,'PORTIFÓLIO'!$C$4:$C$433,0)),"")</f>
        <v/>
      </c>
      <c r="M177" s="220"/>
      <c r="N177" s="220"/>
      <c r="O177" s="220"/>
      <c r="P177" s="220"/>
      <c r="Q177" s="220"/>
      <c r="R177" s="220"/>
      <c r="S177" s="220"/>
      <c r="T177" s="220"/>
      <c r="U177" s="220"/>
      <c r="V177" s="220"/>
      <c r="W177" s="220"/>
    </row>
    <row r="178" ht="15.75" customHeight="1" outlineLevel="1">
      <c r="A178" s="211"/>
      <c r="B178" s="212"/>
      <c r="C178" s="213"/>
      <c r="D178" s="214" t="str">
        <f>IFERROR(VLOOKUP($C178,'PORTIFÓLIO'!C:V,2,0),"")</f>
        <v/>
      </c>
      <c r="E178" s="211" t="str">
        <f>IFERROR(VLOOKUP($C178,'PORTIFÓLIO'!C:V,3,0),"")</f>
        <v/>
      </c>
      <c r="F178" s="211" t="str">
        <f>IFERROR(VLOOKUP($C178,'PORTIFÓLIO'!C:V,4,0),"")</f>
        <v/>
      </c>
      <c r="G178" s="215" t="str">
        <f>IFERROR(VLOOKUP($C178,'PORTIFÓLIO'!C:V,5,0),"")</f>
        <v/>
      </c>
      <c r="H178" s="254" t="str">
        <f t="array" ref="H178">IFERROR(INDEX('PORTIFÓLIO'!$H$4:$H$433,MATCH($C178,'PORTIFÓLIO'!$C$4:$C$433,0)),"")</f>
        <v/>
      </c>
      <c r="I178" s="256"/>
      <c r="J178" s="218">
        <f t="shared" si="20"/>
        <v>0</v>
      </c>
      <c r="K178" s="219" t="str">
        <f t="array" ref="K178">IFERROR(I178*INDEX('PORTIFÓLIO'!$S$4:$S$433,MATCH($C178,'PORTIFÓLIO'!$C$4:$C$433,0)),"")</f>
        <v/>
      </c>
      <c r="L178" s="219" t="str">
        <f t="array" ref="L178">IFERROR(J178*INDEX('PORTIFÓLIO'!$S$4:$S$433,MATCH($C178,'PORTIFÓLIO'!$C$4:$C$433,0)),"")</f>
        <v/>
      </c>
      <c r="M178" s="220"/>
      <c r="N178" s="220"/>
      <c r="O178" s="220"/>
      <c r="P178" s="220"/>
      <c r="Q178" s="220"/>
      <c r="R178" s="220"/>
      <c r="S178" s="220"/>
      <c r="T178" s="220"/>
      <c r="U178" s="220"/>
      <c r="V178" s="220"/>
      <c r="W178" s="220"/>
    </row>
    <row r="179" ht="15.75" customHeight="1" outlineLevel="1">
      <c r="A179" s="211"/>
      <c r="B179" s="212"/>
      <c r="C179" s="213"/>
      <c r="D179" s="214" t="str">
        <f>IFERROR(VLOOKUP($C179,'PORTIFÓLIO'!C:V,2,0),"")</f>
        <v/>
      </c>
      <c r="E179" s="211" t="str">
        <f>IFERROR(VLOOKUP($C179,'PORTIFÓLIO'!C:V,3,0),"")</f>
        <v/>
      </c>
      <c r="F179" s="211" t="str">
        <f>IFERROR(VLOOKUP($C179,'PORTIFÓLIO'!C:V,4,0),"")</f>
        <v/>
      </c>
      <c r="G179" s="215" t="str">
        <f>IFERROR(VLOOKUP($C179,'PORTIFÓLIO'!C:V,5,0),"")</f>
        <v/>
      </c>
      <c r="H179" s="254" t="str">
        <f t="array" ref="H179">IFERROR(INDEX('PORTIFÓLIO'!$H$4:$H$433,MATCH($C179,'PORTIFÓLIO'!$C$4:$C$433,0)),"")</f>
        <v/>
      </c>
      <c r="I179" s="256"/>
      <c r="J179" s="218">
        <f t="shared" si="20"/>
        <v>0</v>
      </c>
      <c r="K179" s="219" t="str">
        <f t="array" ref="K179">IFERROR(I179*INDEX('PORTIFÓLIO'!$S$4:$S$433,MATCH($C179,'PORTIFÓLIO'!$C$4:$C$433,0)),"")</f>
        <v/>
      </c>
      <c r="L179" s="219" t="str">
        <f t="array" ref="L179">IFERROR(J179*INDEX('PORTIFÓLIO'!$S$4:$S$433,MATCH($C179,'PORTIFÓLIO'!$C$4:$C$433,0)),"")</f>
        <v/>
      </c>
      <c r="M179" s="220"/>
      <c r="N179" s="220"/>
      <c r="O179" s="220"/>
      <c r="P179" s="220"/>
      <c r="Q179" s="220"/>
      <c r="R179" s="220"/>
      <c r="S179" s="220"/>
      <c r="T179" s="220"/>
      <c r="U179" s="220"/>
      <c r="V179" s="220"/>
      <c r="W179" s="220"/>
    </row>
    <row r="180" ht="15.75" customHeight="1" outlineLevel="1">
      <c r="A180" s="211"/>
      <c r="B180" s="212"/>
      <c r="C180" s="213"/>
      <c r="D180" s="214" t="str">
        <f>IFERROR(VLOOKUP($C180,'PORTIFÓLIO'!C:V,2,0),"")</f>
        <v/>
      </c>
      <c r="E180" s="211" t="str">
        <f>IFERROR(VLOOKUP($C180,'PORTIFÓLIO'!C:V,3,0),"")</f>
        <v/>
      </c>
      <c r="F180" s="211" t="str">
        <f>IFERROR(VLOOKUP($C180,'PORTIFÓLIO'!C:V,4,0),"")</f>
        <v/>
      </c>
      <c r="G180" s="215" t="str">
        <f>IFERROR(VLOOKUP($C180,'PORTIFÓLIO'!C:V,5,0),"")</f>
        <v/>
      </c>
      <c r="H180" s="254" t="str">
        <f t="array" ref="H180">IFERROR(INDEX('PORTIFÓLIO'!$H$4:$H$433,MATCH($C180,'PORTIFÓLIO'!$C$4:$C$433,0)),"")</f>
        <v/>
      </c>
      <c r="I180" s="256"/>
      <c r="J180" s="218">
        <f t="shared" si="20"/>
        <v>0</v>
      </c>
      <c r="K180" s="219" t="str">
        <f t="array" ref="K180">IFERROR(I180*INDEX('PORTIFÓLIO'!$S$4:$S$433,MATCH($C180,'PORTIFÓLIO'!$C$4:$C$433,0)),"")</f>
        <v/>
      </c>
      <c r="L180" s="219" t="str">
        <f t="array" ref="L180">IFERROR(J180*INDEX('PORTIFÓLIO'!$S$4:$S$433,MATCH($C180,'PORTIFÓLIO'!$C$4:$C$433,0)),"")</f>
        <v/>
      </c>
      <c r="M180" s="220"/>
      <c r="N180" s="220"/>
      <c r="O180" s="220"/>
      <c r="P180" s="220"/>
      <c r="Q180" s="220"/>
      <c r="R180" s="220"/>
      <c r="S180" s="220"/>
      <c r="T180" s="220"/>
      <c r="U180" s="220"/>
      <c r="V180" s="220"/>
      <c r="W180" s="220"/>
    </row>
    <row r="181" ht="15.75" customHeight="1" outlineLevel="1">
      <c r="A181" s="211"/>
      <c r="B181" s="227"/>
      <c r="C181" s="211"/>
      <c r="D181" s="214" t="str">
        <f>IFERROR(VLOOKUP($C181,'PORTIFÓLIO'!C:V,2,0),"")</f>
        <v/>
      </c>
      <c r="E181" s="211" t="str">
        <f>IFERROR(VLOOKUP($C181,'PORTIFÓLIO'!C:V,3,0),"")</f>
        <v/>
      </c>
      <c r="F181" s="211" t="str">
        <f>IFERROR(VLOOKUP($C181,'PORTIFÓLIO'!C:V,4,0),"")</f>
        <v/>
      </c>
      <c r="G181" s="215" t="str">
        <f>IFERROR(VLOOKUP($C181,'PORTIFÓLIO'!C:V,5,0),"")</f>
        <v/>
      </c>
      <c r="H181" s="254" t="str">
        <f t="array" ref="H181">IFERROR(INDEX('PORTIFÓLIO'!$H$4:$H$433,MATCH($C181,'PORTIFÓLIO'!$C$4:$C$433,0)),"")</f>
        <v/>
      </c>
      <c r="I181" s="256"/>
      <c r="J181" s="218">
        <f t="shared" si="20"/>
        <v>0</v>
      </c>
      <c r="K181" s="219" t="str">
        <f t="array" ref="K181">IFERROR(I181*INDEX('PORTIFÓLIO'!$S$4:$S$433,MATCH($C181,'PORTIFÓLIO'!$C$4:$C$433,0)),"")</f>
        <v/>
      </c>
      <c r="L181" s="219" t="str">
        <f t="array" ref="L181">IFERROR(J181*INDEX('PORTIFÓLIO'!$S$4:$S$433,MATCH($C181,'PORTIFÓLIO'!$C$4:$C$433,0)),"")</f>
        <v/>
      </c>
      <c r="M181" s="220"/>
      <c r="N181" s="220"/>
      <c r="O181" s="220"/>
      <c r="P181" s="220"/>
      <c r="Q181" s="220"/>
      <c r="R181" s="220"/>
      <c r="S181" s="220"/>
      <c r="T181" s="220"/>
      <c r="U181" s="220"/>
      <c r="V181" s="220"/>
      <c r="W181" s="220"/>
    </row>
    <row r="182" ht="15.75" customHeight="1">
      <c r="A182" s="229" t="s">
        <v>1194</v>
      </c>
      <c r="B182" s="230"/>
      <c r="C182" s="231"/>
      <c r="D182" s="232"/>
      <c r="E182" s="231"/>
      <c r="F182" s="231"/>
      <c r="G182" s="233"/>
      <c r="H182" s="233"/>
      <c r="I182" s="258"/>
      <c r="J182" s="236"/>
      <c r="K182" s="237">
        <f t="shared" ref="K182:L182" si="21">SUBTOTAL(9,K183:K196)</f>
        <v>0</v>
      </c>
      <c r="L182" s="237">
        <f t="shared" si="21"/>
        <v>0</v>
      </c>
      <c r="M182" s="220"/>
      <c r="N182" s="220"/>
      <c r="O182" s="220"/>
      <c r="P182" s="220"/>
      <c r="Q182" s="220"/>
      <c r="R182" s="220"/>
      <c r="S182" s="220"/>
      <c r="T182" s="220"/>
      <c r="U182" s="220"/>
      <c r="V182" s="220"/>
      <c r="W182" s="220"/>
    </row>
    <row r="183" ht="15.75" customHeight="1" outlineLevel="1">
      <c r="A183" s="213"/>
      <c r="B183" s="212"/>
      <c r="C183" s="213"/>
      <c r="D183" s="214" t="str">
        <f>IFERROR(VLOOKUP($C183,'PORTIFÓLIO'!C:V,2,0),"")</f>
        <v/>
      </c>
      <c r="E183" s="211" t="str">
        <f>IFERROR(VLOOKUP($C183,'PORTIFÓLIO'!C:V,3,0),"")</f>
        <v/>
      </c>
      <c r="F183" s="211" t="str">
        <f>IFERROR(VLOOKUP($C183,'PORTIFÓLIO'!C:V,4,0),"")</f>
        <v/>
      </c>
      <c r="G183" s="215" t="str">
        <f t="array" ref="G183">IFERROR(INDEX('PORTIFÓLIO'!$H$4:$H$433,MATCH($C183,'PORTIFÓLIO'!$C$4:$C$433,0)),"")</f>
        <v/>
      </c>
      <c r="H183" s="254" t="str">
        <f t="array" ref="H183">IFERROR(INDEX('PORTIFÓLIO'!$H$4:$H$433,MATCH($C183,'PORTIFÓLIO'!$C$4:$C$433,0)),"")</f>
        <v/>
      </c>
      <c r="I183" s="255"/>
      <c r="J183" s="218">
        <f t="shared" ref="J183:J199" si="22">I183*$B$2</f>
        <v>0</v>
      </c>
      <c r="K183" s="219" t="str">
        <f t="array" ref="K183">IFERROR(I183*INDEX('PORTIFÓLIO'!$S$4:$S$433,MATCH($C183,'PORTIFÓLIO'!$C$4:$C$433,0)),"")</f>
        <v/>
      </c>
      <c r="L183" s="219" t="str">
        <f t="array" ref="L183">IFERROR(J183*INDEX('PORTIFÓLIO'!$S$4:$S$433,MATCH($C183,'PORTIFÓLIO'!$C$4:$C$433,0)),"")</f>
        <v/>
      </c>
      <c r="M183" s="220"/>
      <c r="N183" s="220"/>
      <c r="O183" s="220"/>
      <c r="P183" s="220"/>
      <c r="Q183" s="220"/>
      <c r="R183" s="220"/>
      <c r="S183" s="220"/>
      <c r="T183" s="220"/>
      <c r="U183" s="220"/>
      <c r="V183" s="220"/>
      <c r="W183" s="220"/>
    </row>
    <row r="184" ht="15.75" customHeight="1" outlineLevel="1">
      <c r="A184" s="211"/>
      <c r="B184" s="212"/>
      <c r="C184" s="213"/>
      <c r="D184" s="214" t="str">
        <f>IFERROR(VLOOKUP($C184,'PORTIFÓLIO'!C:V,2,0),"")</f>
        <v/>
      </c>
      <c r="E184" s="211" t="str">
        <f>IFERROR(VLOOKUP($C184,'PORTIFÓLIO'!C:V,3,0),"")</f>
        <v/>
      </c>
      <c r="F184" s="211" t="str">
        <f>IFERROR(VLOOKUP($C184,'PORTIFÓLIO'!C:V,4,0),"")</f>
        <v/>
      </c>
      <c r="G184" s="215" t="str">
        <f t="array" ref="G184">IFERROR(INDEX('PORTIFÓLIO'!$H$4:$H$433,MATCH($C184,'PORTIFÓLIO'!$C$4:$C$433,0)),"")</f>
        <v/>
      </c>
      <c r="H184" s="254" t="str">
        <f t="array" ref="H184">IFERROR(INDEX('PORTIFÓLIO'!$H$4:$H$433,MATCH($C184,'PORTIFÓLIO'!$C$4:$C$433,0)),"")</f>
        <v/>
      </c>
      <c r="I184" s="256"/>
      <c r="J184" s="218">
        <f t="shared" si="22"/>
        <v>0</v>
      </c>
      <c r="K184" s="219" t="str">
        <f t="array" ref="K184">IFERROR(I184*INDEX('PORTIFÓLIO'!$S$4:$S$433,MATCH($C184,'PORTIFÓLIO'!$C$4:$C$433,0)),"")</f>
        <v/>
      </c>
      <c r="L184" s="219" t="str">
        <f t="array" ref="L184">IFERROR(J184*INDEX('PORTIFÓLIO'!$S$4:$S$433,MATCH($C184,'PORTIFÓLIO'!$C$4:$C$433,0)),"")</f>
        <v/>
      </c>
      <c r="M184" s="220"/>
      <c r="N184" s="220"/>
      <c r="O184" s="220"/>
      <c r="P184" s="220"/>
      <c r="Q184" s="220"/>
      <c r="R184" s="220"/>
      <c r="S184" s="220"/>
      <c r="T184" s="220"/>
      <c r="U184" s="220"/>
      <c r="V184" s="220"/>
      <c r="W184" s="220"/>
    </row>
    <row r="185" ht="15.75" customHeight="1" outlineLevel="1">
      <c r="A185" s="211"/>
      <c r="B185" s="212"/>
      <c r="C185" s="213"/>
      <c r="D185" s="214" t="str">
        <f>IFERROR(VLOOKUP($C185,'PORTIFÓLIO'!C:V,2,0),"")</f>
        <v/>
      </c>
      <c r="E185" s="211" t="str">
        <f>IFERROR(VLOOKUP($C185,'PORTIFÓLIO'!C:V,3,0),"")</f>
        <v/>
      </c>
      <c r="F185" s="211" t="str">
        <f>IFERROR(VLOOKUP($C185,'PORTIFÓLIO'!C:V,4,0),"")</f>
        <v/>
      </c>
      <c r="G185" s="215" t="str">
        <f t="array" ref="G185">IFERROR(INDEX('PORTIFÓLIO'!$H$4:$H$433,MATCH($C185,'PORTIFÓLIO'!$C$4:$C$433,0)),"")</f>
        <v/>
      </c>
      <c r="H185" s="254" t="str">
        <f t="array" ref="H185">IFERROR(INDEX('PORTIFÓLIO'!$H$4:$H$433,MATCH($C185,'PORTIFÓLIO'!$C$4:$C$433,0)),"")</f>
        <v/>
      </c>
      <c r="I185" s="256"/>
      <c r="J185" s="218">
        <f t="shared" si="22"/>
        <v>0</v>
      </c>
      <c r="K185" s="219" t="str">
        <f t="array" ref="K185">IFERROR(I185*INDEX('PORTIFÓLIO'!$S$4:$S$433,MATCH($C185,'PORTIFÓLIO'!$C$4:$C$433,0)),"")</f>
        <v/>
      </c>
      <c r="L185" s="219" t="str">
        <f t="array" ref="L185">IFERROR(J185*INDEX('PORTIFÓLIO'!$S$4:$S$433,MATCH($C185,'PORTIFÓLIO'!$C$4:$C$433,0)),"")</f>
        <v/>
      </c>
      <c r="M185" s="220"/>
      <c r="N185" s="220"/>
      <c r="O185" s="220"/>
      <c r="P185" s="220"/>
      <c r="Q185" s="220"/>
      <c r="R185" s="220"/>
      <c r="S185" s="220"/>
      <c r="T185" s="220"/>
      <c r="U185" s="220"/>
      <c r="V185" s="220"/>
      <c r="W185" s="220"/>
    </row>
    <row r="186" ht="15.75" customHeight="1" outlineLevel="1">
      <c r="A186" s="211"/>
      <c r="B186" s="212"/>
      <c r="C186" s="213"/>
      <c r="D186" s="214" t="str">
        <f>IFERROR(VLOOKUP($C186,'PORTIFÓLIO'!C:V,2,0),"")</f>
        <v/>
      </c>
      <c r="E186" s="211" t="str">
        <f>IFERROR(VLOOKUP($C186,'PORTIFÓLIO'!C:V,3,0),"")</f>
        <v/>
      </c>
      <c r="F186" s="211" t="str">
        <f>IFERROR(VLOOKUP($C186,'PORTIFÓLIO'!C:V,4,0),"")</f>
        <v/>
      </c>
      <c r="G186" s="215" t="str">
        <f t="array" ref="G186">IFERROR(INDEX('PORTIFÓLIO'!$H$4:$H$433,MATCH($C186,'PORTIFÓLIO'!$C$4:$C$433,0)),"")</f>
        <v/>
      </c>
      <c r="H186" s="254" t="str">
        <f t="array" ref="H186">IFERROR(INDEX('PORTIFÓLIO'!$H$4:$H$433,MATCH($C186,'PORTIFÓLIO'!$C$4:$C$433,0)),"")</f>
        <v/>
      </c>
      <c r="I186" s="256"/>
      <c r="J186" s="218">
        <f t="shared" si="22"/>
        <v>0</v>
      </c>
      <c r="K186" s="219" t="str">
        <f t="array" ref="K186">IFERROR(I186*INDEX('PORTIFÓLIO'!$S$4:$S$433,MATCH($C186,'PORTIFÓLIO'!$C$4:$C$433,0)),"")</f>
        <v/>
      </c>
      <c r="L186" s="219" t="str">
        <f t="array" ref="L186">IFERROR(J186*INDEX('PORTIFÓLIO'!$S$4:$S$433,MATCH($C186,'PORTIFÓLIO'!$C$4:$C$433,0)),"")</f>
        <v/>
      </c>
      <c r="M186" s="220"/>
      <c r="N186" s="220"/>
      <c r="O186" s="220"/>
      <c r="P186" s="220"/>
      <c r="Q186" s="220"/>
      <c r="R186" s="220"/>
      <c r="S186" s="220"/>
      <c r="T186" s="220"/>
      <c r="U186" s="220"/>
      <c r="V186" s="220"/>
      <c r="W186" s="220"/>
    </row>
    <row r="187" ht="15.75" customHeight="1" outlineLevel="1">
      <c r="A187" s="211"/>
      <c r="B187" s="212"/>
      <c r="C187" s="213"/>
      <c r="D187" s="214" t="str">
        <f>IFERROR(VLOOKUP($C187,'PORTIFÓLIO'!C:V,2,0),"")</f>
        <v/>
      </c>
      <c r="E187" s="211" t="str">
        <f>IFERROR(VLOOKUP($C187,'PORTIFÓLIO'!C:V,3,0),"")</f>
        <v/>
      </c>
      <c r="F187" s="211" t="str">
        <f>IFERROR(VLOOKUP($C187,'PORTIFÓLIO'!C:V,4,0),"")</f>
        <v/>
      </c>
      <c r="G187" s="215" t="str">
        <f t="array" ref="G187">IFERROR(INDEX('PORTIFÓLIO'!$H$4:$H$433,MATCH($C187,'PORTIFÓLIO'!$C$4:$C$433,0)),"")</f>
        <v/>
      </c>
      <c r="H187" s="254" t="str">
        <f t="array" ref="H187">IFERROR(INDEX('PORTIFÓLIO'!$H$4:$H$433,MATCH($C187,'PORTIFÓLIO'!$C$4:$C$433,0)),"")</f>
        <v/>
      </c>
      <c r="I187" s="256"/>
      <c r="J187" s="218">
        <f t="shared" si="22"/>
        <v>0</v>
      </c>
      <c r="K187" s="219" t="str">
        <f t="array" ref="K187">IFERROR(I187*INDEX('PORTIFÓLIO'!$S$4:$S$433,MATCH($C187,'PORTIFÓLIO'!$C$4:$C$433,0)),"")</f>
        <v/>
      </c>
      <c r="L187" s="219" t="str">
        <f t="array" ref="L187">IFERROR(J187*INDEX('PORTIFÓLIO'!$S$4:$S$433,MATCH($C187,'PORTIFÓLIO'!$C$4:$C$433,0)),"")</f>
        <v/>
      </c>
      <c r="M187" s="220"/>
      <c r="N187" s="220"/>
      <c r="O187" s="220"/>
      <c r="P187" s="220"/>
      <c r="Q187" s="220"/>
      <c r="R187" s="220"/>
      <c r="S187" s="220"/>
      <c r="T187" s="220"/>
      <c r="U187" s="220"/>
      <c r="V187" s="220"/>
      <c r="W187" s="220"/>
    </row>
    <row r="188" ht="15.75" customHeight="1" outlineLevel="1">
      <c r="A188" s="211"/>
      <c r="B188" s="212"/>
      <c r="C188" s="213"/>
      <c r="D188" s="214" t="str">
        <f>IFERROR(VLOOKUP($C188,'PORTIFÓLIO'!C:V,2,0),"")</f>
        <v/>
      </c>
      <c r="E188" s="211" t="str">
        <f>IFERROR(VLOOKUP($C188,'PORTIFÓLIO'!C:V,3,0),"")</f>
        <v/>
      </c>
      <c r="F188" s="211" t="str">
        <f>IFERROR(VLOOKUP($C188,'PORTIFÓLIO'!C:V,4,0),"")</f>
        <v/>
      </c>
      <c r="G188" s="215" t="str">
        <f t="array" ref="G188">IFERROR(INDEX('PORTIFÓLIO'!$H$4:$H$433,MATCH($C188,'PORTIFÓLIO'!$C$4:$C$433,0)),"")</f>
        <v/>
      </c>
      <c r="H188" s="254" t="str">
        <f t="array" ref="H188">IFERROR(INDEX('PORTIFÓLIO'!$H$4:$H$433,MATCH($C188,'PORTIFÓLIO'!$C$4:$C$433,0)),"")</f>
        <v/>
      </c>
      <c r="I188" s="256"/>
      <c r="J188" s="218">
        <f t="shared" si="22"/>
        <v>0</v>
      </c>
      <c r="K188" s="219" t="str">
        <f t="array" ref="K188">IFERROR(I188*INDEX('PORTIFÓLIO'!$S$4:$S$433,MATCH($C188,'PORTIFÓLIO'!$C$4:$C$433,0)),"")</f>
        <v/>
      </c>
      <c r="L188" s="219" t="str">
        <f t="array" ref="L188">IFERROR(J188*INDEX('PORTIFÓLIO'!$S$4:$S$433,MATCH($C188,'PORTIFÓLIO'!$C$4:$C$433,0)),"")</f>
        <v/>
      </c>
      <c r="M188" s="220"/>
      <c r="N188" s="220"/>
      <c r="O188" s="220"/>
      <c r="P188" s="220"/>
      <c r="Q188" s="220"/>
      <c r="R188" s="220"/>
      <c r="S188" s="220"/>
      <c r="T188" s="220"/>
      <c r="U188" s="220"/>
      <c r="V188" s="220"/>
      <c r="W188" s="220"/>
    </row>
    <row r="189" ht="15.75" customHeight="1" outlineLevel="1">
      <c r="A189" s="211"/>
      <c r="B189" s="212"/>
      <c r="C189" s="213"/>
      <c r="D189" s="214" t="str">
        <f>IFERROR(VLOOKUP($C189,'PORTIFÓLIO'!C:V,2,0),"")</f>
        <v/>
      </c>
      <c r="E189" s="211" t="str">
        <f>IFERROR(VLOOKUP($C189,'PORTIFÓLIO'!C:V,3,0),"")</f>
        <v/>
      </c>
      <c r="F189" s="211" t="str">
        <f>IFERROR(VLOOKUP($C189,'PORTIFÓLIO'!C:V,4,0),"")</f>
        <v/>
      </c>
      <c r="G189" s="215" t="str">
        <f t="array" ref="G189">IFERROR(INDEX('PORTIFÓLIO'!$H$4:$H$433,MATCH($C189,'PORTIFÓLIO'!$C$4:$C$433,0)),"")</f>
        <v/>
      </c>
      <c r="H189" s="254" t="str">
        <f t="array" ref="H189">IFERROR(INDEX('PORTIFÓLIO'!$H$4:$H$433,MATCH($C189,'PORTIFÓLIO'!$C$4:$C$433,0)),"")</f>
        <v/>
      </c>
      <c r="I189" s="256"/>
      <c r="J189" s="218">
        <f t="shared" si="22"/>
        <v>0</v>
      </c>
      <c r="K189" s="219" t="str">
        <f t="array" ref="K189">IFERROR(I189*INDEX('PORTIFÓLIO'!$S$4:$S$433,MATCH($C189,'PORTIFÓLIO'!$C$4:$C$433,0)),"")</f>
        <v/>
      </c>
      <c r="L189" s="219" t="str">
        <f t="array" ref="L189">IFERROR(J189*INDEX('PORTIFÓLIO'!$S$4:$S$433,MATCH($C189,'PORTIFÓLIO'!$C$4:$C$433,0)),"")</f>
        <v/>
      </c>
      <c r="M189" s="220"/>
      <c r="N189" s="220"/>
      <c r="O189" s="220"/>
      <c r="P189" s="220"/>
      <c r="Q189" s="220"/>
      <c r="R189" s="220"/>
      <c r="S189" s="220"/>
      <c r="T189" s="220"/>
      <c r="U189" s="220"/>
      <c r="V189" s="220"/>
      <c r="W189" s="220"/>
    </row>
    <row r="190" ht="15.75" customHeight="1" outlineLevel="1">
      <c r="A190" s="211"/>
      <c r="B190" s="212"/>
      <c r="C190" s="213"/>
      <c r="D190" s="214" t="str">
        <f>IFERROR(VLOOKUP($C190,'PORTIFÓLIO'!C:V,2,0),"")</f>
        <v/>
      </c>
      <c r="E190" s="211" t="str">
        <f>IFERROR(VLOOKUP($C190,'PORTIFÓLIO'!C:V,3,0),"")</f>
        <v/>
      </c>
      <c r="F190" s="211" t="str">
        <f>IFERROR(VLOOKUP($C190,'PORTIFÓLIO'!C:V,4,0),"")</f>
        <v/>
      </c>
      <c r="G190" s="215" t="str">
        <f>IFERROR(VLOOKUP($C190,'PORTIFÓLIO'!C:V,5,0),"")</f>
        <v/>
      </c>
      <c r="H190" s="254" t="str">
        <f t="array" ref="H190">IFERROR(INDEX('PORTIFÓLIO'!$H$4:$H$433,MATCH($C190,'PORTIFÓLIO'!$C$4:$C$433,0)),"")</f>
        <v/>
      </c>
      <c r="I190" s="256"/>
      <c r="J190" s="218">
        <f t="shared" si="22"/>
        <v>0</v>
      </c>
      <c r="K190" s="219" t="str">
        <f t="array" ref="K190">IFERROR(I190*INDEX('PORTIFÓLIO'!$S$4:$S$433,MATCH($C190,'PORTIFÓLIO'!$C$4:$C$433,0)),"")</f>
        <v/>
      </c>
      <c r="L190" s="219" t="str">
        <f t="array" ref="L190">IFERROR(J190*INDEX('PORTIFÓLIO'!$S$4:$S$433,MATCH($C190,'PORTIFÓLIO'!$C$4:$C$433,0)),"")</f>
        <v/>
      </c>
      <c r="M190" s="220"/>
      <c r="N190" s="220"/>
      <c r="O190" s="220"/>
      <c r="P190" s="220"/>
      <c r="Q190" s="220"/>
      <c r="R190" s="220"/>
      <c r="S190" s="220"/>
      <c r="T190" s="220"/>
      <c r="U190" s="220"/>
      <c r="V190" s="220"/>
      <c r="W190" s="220"/>
    </row>
    <row r="191" ht="15.75" customHeight="1" outlineLevel="1">
      <c r="A191" s="211"/>
      <c r="B191" s="212"/>
      <c r="C191" s="213"/>
      <c r="D191" s="214" t="str">
        <f>IFERROR(VLOOKUP($C191,'PORTIFÓLIO'!C:V,2,0),"")</f>
        <v/>
      </c>
      <c r="E191" s="211" t="str">
        <f>IFERROR(VLOOKUP($C191,'PORTIFÓLIO'!C:V,3,0),"")</f>
        <v/>
      </c>
      <c r="F191" s="211" t="str">
        <f>IFERROR(VLOOKUP($C191,'PORTIFÓLIO'!C:V,4,0),"")</f>
        <v/>
      </c>
      <c r="G191" s="215" t="str">
        <f>IFERROR(VLOOKUP($C191,'PORTIFÓLIO'!C:V,5,0),"")</f>
        <v/>
      </c>
      <c r="H191" s="254" t="str">
        <f t="array" ref="H191">IFERROR(INDEX('PORTIFÓLIO'!$H$4:$H$433,MATCH($C191,'PORTIFÓLIO'!$C$4:$C$433,0)),"")</f>
        <v/>
      </c>
      <c r="I191" s="255"/>
      <c r="J191" s="218">
        <f t="shared" si="22"/>
        <v>0</v>
      </c>
      <c r="K191" s="219" t="str">
        <f t="array" ref="K191">IFERROR(I191*INDEX('PORTIFÓLIO'!$S$4:$S$433,MATCH($C191,'PORTIFÓLIO'!$C$4:$C$433,0)),"")</f>
        <v/>
      </c>
      <c r="L191" s="219" t="str">
        <f t="array" ref="L191">IFERROR(J191*INDEX('PORTIFÓLIO'!$S$4:$S$433,MATCH($C191,'PORTIFÓLIO'!$C$4:$C$433,0)),"")</f>
        <v/>
      </c>
      <c r="M191" s="220"/>
      <c r="N191" s="220"/>
      <c r="O191" s="220"/>
      <c r="P191" s="220"/>
      <c r="Q191" s="220"/>
      <c r="R191" s="220"/>
      <c r="S191" s="220"/>
      <c r="T191" s="220"/>
      <c r="U191" s="220"/>
      <c r="V191" s="220"/>
      <c r="W191" s="220"/>
    </row>
    <row r="192" ht="15.75" customHeight="1" outlineLevel="1">
      <c r="A192" s="211"/>
      <c r="B192" s="212"/>
      <c r="C192" s="213"/>
      <c r="D192" s="214" t="str">
        <f>IFERROR(VLOOKUP($C192,'PORTIFÓLIO'!C:V,2,0),"")</f>
        <v/>
      </c>
      <c r="E192" s="211" t="str">
        <f>IFERROR(VLOOKUP($C192,'PORTIFÓLIO'!C:V,3,0),"")</f>
        <v/>
      </c>
      <c r="F192" s="211" t="str">
        <f>IFERROR(VLOOKUP($C192,'PORTIFÓLIO'!C:V,4,0),"")</f>
        <v/>
      </c>
      <c r="G192" s="215" t="str">
        <f>IFERROR(VLOOKUP($C192,'PORTIFÓLIO'!C:V,5,0),"")</f>
        <v/>
      </c>
      <c r="H192" s="254" t="str">
        <f t="array" ref="H192">IFERROR(INDEX('PORTIFÓLIO'!$H$4:$H$433,MATCH($C192,'PORTIFÓLIO'!$C$4:$C$433,0)),"")</f>
        <v/>
      </c>
      <c r="I192" s="256"/>
      <c r="J192" s="218">
        <f t="shared" si="22"/>
        <v>0</v>
      </c>
      <c r="K192" s="219" t="str">
        <f t="array" ref="K192">IFERROR(I192*INDEX('PORTIFÓLIO'!$S$4:$S$433,MATCH($C192,'PORTIFÓLIO'!$C$4:$C$433,0)),"")</f>
        <v/>
      </c>
      <c r="L192" s="219" t="str">
        <f t="array" ref="L192">IFERROR(J192*INDEX('PORTIFÓLIO'!$S$4:$S$433,MATCH($C192,'PORTIFÓLIO'!$C$4:$C$433,0)),"")</f>
        <v/>
      </c>
      <c r="M192" s="220"/>
      <c r="N192" s="220"/>
      <c r="O192" s="220"/>
      <c r="P192" s="220"/>
      <c r="Q192" s="220"/>
      <c r="R192" s="220"/>
      <c r="S192" s="220"/>
      <c r="T192" s="220"/>
      <c r="U192" s="220"/>
      <c r="V192" s="220"/>
      <c r="W192" s="220"/>
    </row>
    <row r="193" ht="15.75" customHeight="1" outlineLevel="1">
      <c r="A193" s="211"/>
      <c r="B193" s="212"/>
      <c r="C193" s="213"/>
      <c r="D193" s="214" t="str">
        <f>IFERROR(VLOOKUP($C193,'PORTIFÓLIO'!C:V,2,0),"")</f>
        <v/>
      </c>
      <c r="E193" s="211" t="str">
        <f>IFERROR(VLOOKUP($C193,'PORTIFÓLIO'!C:V,3,0),"")</f>
        <v/>
      </c>
      <c r="F193" s="211" t="str">
        <f>IFERROR(VLOOKUP($C193,'PORTIFÓLIO'!C:V,4,0),"")</f>
        <v/>
      </c>
      <c r="G193" s="215" t="str">
        <f>IFERROR(VLOOKUP($C193,'PORTIFÓLIO'!C:V,5,0),"")</f>
        <v/>
      </c>
      <c r="H193" s="254" t="str">
        <f t="array" ref="H193">IFERROR(INDEX('PORTIFÓLIO'!$H$4:$H$433,MATCH($C193,'PORTIFÓLIO'!$C$4:$C$433,0)),"")</f>
        <v/>
      </c>
      <c r="I193" s="256"/>
      <c r="J193" s="218">
        <f t="shared" si="22"/>
        <v>0</v>
      </c>
      <c r="K193" s="219" t="str">
        <f t="array" ref="K193">IFERROR(I193*INDEX('PORTIFÓLIO'!$S$4:$S$433,MATCH($C193,'PORTIFÓLIO'!$C$4:$C$433,0)),"")</f>
        <v/>
      </c>
      <c r="L193" s="219" t="str">
        <f t="array" ref="L193">IFERROR(J193*INDEX('PORTIFÓLIO'!$S$4:$S$433,MATCH($C193,'PORTIFÓLIO'!$C$4:$C$433,0)),"")</f>
        <v/>
      </c>
      <c r="M193" s="220"/>
      <c r="N193" s="220"/>
      <c r="O193" s="220"/>
      <c r="P193" s="220"/>
      <c r="Q193" s="220"/>
      <c r="R193" s="220"/>
      <c r="S193" s="220"/>
      <c r="T193" s="220"/>
      <c r="U193" s="220"/>
      <c r="V193" s="220"/>
      <c r="W193" s="220"/>
    </row>
    <row r="194" ht="15.75" customHeight="1" outlineLevel="1">
      <c r="A194" s="211"/>
      <c r="B194" s="212"/>
      <c r="C194" s="213"/>
      <c r="D194" s="214" t="str">
        <f>IFERROR(VLOOKUP($C194,'PORTIFÓLIO'!C:V,2,0),"")</f>
        <v/>
      </c>
      <c r="E194" s="211" t="str">
        <f>IFERROR(VLOOKUP($C194,'PORTIFÓLIO'!C:V,3,0),"")</f>
        <v/>
      </c>
      <c r="F194" s="211" t="str">
        <f>IFERROR(VLOOKUP($C194,'PORTIFÓLIO'!C:V,4,0),"")</f>
        <v/>
      </c>
      <c r="G194" s="215" t="str">
        <f>IFERROR(VLOOKUP($C194,'PORTIFÓLIO'!C:V,5,0),"")</f>
        <v/>
      </c>
      <c r="H194" s="254" t="str">
        <f t="array" ref="H194">IFERROR(INDEX('PORTIFÓLIO'!$H$4:$H$433,MATCH($C194,'PORTIFÓLIO'!$C$4:$C$433,0)),"")</f>
        <v/>
      </c>
      <c r="I194" s="256"/>
      <c r="J194" s="218">
        <f t="shared" si="22"/>
        <v>0</v>
      </c>
      <c r="K194" s="219" t="str">
        <f t="array" ref="K194">IFERROR(I194*INDEX('PORTIFÓLIO'!$S$4:$S$433,MATCH($C194,'PORTIFÓLIO'!$C$4:$C$433,0)),"")</f>
        <v/>
      </c>
      <c r="L194" s="219" t="str">
        <f t="array" ref="L194">IFERROR(J194*INDEX('PORTIFÓLIO'!$S$4:$S$433,MATCH($C194,'PORTIFÓLIO'!$C$4:$C$433,0)),"")</f>
        <v/>
      </c>
      <c r="M194" s="220"/>
      <c r="N194" s="220"/>
      <c r="O194" s="220"/>
      <c r="P194" s="220"/>
      <c r="Q194" s="220"/>
      <c r="R194" s="220"/>
      <c r="S194" s="220"/>
      <c r="T194" s="220"/>
      <c r="U194" s="220"/>
      <c r="V194" s="220"/>
      <c r="W194" s="220"/>
    </row>
    <row r="195" ht="15.75" customHeight="1" outlineLevel="1">
      <c r="A195" s="211"/>
      <c r="B195" s="212"/>
      <c r="C195" s="213"/>
      <c r="D195" s="214" t="str">
        <f>IFERROR(VLOOKUP($C195,'PORTIFÓLIO'!C:V,2,0),"")</f>
        <v/>
      </c>
      <c r="E195" s="211" t="str">
        <f>IFERROR(VLOOKUP($C195,'PORTIFÓLIO'!C:V,3,0),"")</f>
        <v/>
      </c>
      <c r="F195" s="211" t="str">
        <f>IFERROR(VLOOKUP($C195,'PORTIFÓLIO'!C:V,4,0),"")</f>
        <v/>
      </c>
      <c r="G195" s="215" t="str">
        <f>IFERROR(VLOOKUP($C195,'PORTIFÓLIO'!C:V,5,0),"")</f>
        <v/>
      </c>
      <c r="H195" s="254" t="str">
        <f t="array" ref="H195">IFERROR(INDEX('PORTIFÓLIO'!$H$4:$H$433,MATCH($C195,'PORTIFÓLIO'!$C$4:$C$433,0)),"")</f>
        <v/>
      </c>
      <c r="I195" s="256"/>
      <c r="J195" s="218">
        <f t="shared" si="22"/>
        <v>0</v>
      </c>
      <c r="K195" s="219" t="str">
        <f t="array" ref="K195">IFERROR(I195*INDEX('PORTIFÓLIO'!$S$4:$S$433,MATCH($C195,'PORTIFÓLIO'!$C$4:$C$433,0)),"")</f>
        <v/>
      </c>
      <c r="L195" s="219" t="str">
        <f t="array" ref="L195">IFERROR(J195*INDEX('PORTIFÓLIO'!$S$4:$S$433,MATCH($C195,'PORTIFÓLIO'!$C$4:$C$433,0)),"")</f>
        <v/>
      </c>
      <c r="M195" s="220"/>
      <c r="N195" s="220"/>
      <c r="O195" s="220"/>
      <c r="P195" s="220"/>
      <c r="Q195" s="220"/>
      <c r="R195" s="220"/>
      <c r="S195" s="220"/>
      <c r="T195" s="220"/>
      <c r="U195" s="220"/>
      <c r="V195" s="220"/>
      <c r="W195" s="220"/>
    </row>
    <row r="196" ht="15.75" customHeight="1" outlineLevel="1">
      <c r="A196" s="211"/>
      <c r="B196" s="212"/>
      <c r="C196" s="213"/>
      <c r="D196" s="214" t="str">
        <f>IFERROR(VLOOKUP($C196,'PORTIFÓLIO'!C:V,2,0),"")</f>
        <v/>
      </c>
      <c r="E196" s="211" t="str">
        <f>IFERROR(VLOOKUP($C196,'PORTIFÓLIO'!C:V,3,0),"")</f>
        <v/>
      </c>
      <c r="F196" s="211" t="str">
        <f>IFERROR(VLOOKUP($C196,'PORTIFÓLIO'!C:V,4,0),"")</f>
        <v/>
      </c>
      <c r="G196" s="215" t="str">
        <f>IFERROR(VLOOKUP($C196,'PORTIFÓLIO'!C:V,5,0),"")</f>
        <v/>
      </c>
      <c r="H196" s="254" t="str">
        <f t="array" ref="H196">IFERROR(INDEX('PORTIFÓLIO'!$H$4:$H$433,MATCH($C196,'PORTIFÓLIO'!$C$4:$C$433,0)),"")</f>
        <v/>
      </c>
      <c r="I196" s="256"/>
      <c r="J196" s="218">
        <f t="shared" si="22"/>
        <v>0</v>
      </c>
      <c r="K196" s="219" t="str">
        <f t="array" ref="K196">IFERROR(I196*INDEX('PORTIFÓLIO'!$S$4:$S$433,MATCH($C196,'PORTIFÓLIO'!$C$4:$C$433,0)),"")</f>
        <v/>
      </c>
      <c r="L196" s="219" t="str">
        <f t="array" ref="L196">IFERROR(J196*INDEX('PORTIFÓLIO'!$S$4:$S$433,MATCH($C196,'PORTIFÓLIO'!$C$4:$C$433,0)),"")</f>
        <v/>
      </c>
      <c r="M196" s="220"/>
      <c r="N196" s="220"/>
      <c r="O196" s="220"/>
      <c r="P196" s="220"/>
      <c r="Q196" s="220"/>
      <c r="R196" s="220"/>
      <c r="S196" s="220"/>
      <c r="T196" s="220"/>
      <c r="U196" s="220"/>
      <c r="V196" s="220"/>
      <c r="W196" s="220"/>
    </row>
    <row r="197" ht="15.75" customHeight="1" outlineLevel="1">
      <c r="A197" s="211"/>
      <c r="B197" s="212"/>
      <c r="C197" s="213"/>
      <c r="D197" s="214" t="str">
        <f>IFERROR(VLOOKUP($C197,'PORTIFÓLIO'!C:V,2,0),"")</f>
        <v/>
      </c>
      <c r="E197" s="211" t="str">
        <f>IFERROR(VLOOKUP($C197,'PORTIFÓLIO'!C:V,3,0),"")</f>
        <v/>
      </c>
      <c r="F197" s="211" t="str">
        <f>IFERROR(VLOOKUP($C197,'PORTIFÓLIO'!C:V,4,0),"")</f>
        <v/>
      </c>
      <c r="G197" s="215" t="str">
        <f>IFERROR(VLOOKUP($C197,'PORTIFÓLIO'!C:V,5,0),"")</f>
        <v/>
      </c>
      <c r="H197" s="254" t="str">
        <f t="array" ref="H197">IFERROR(INDEX('PORTIFÓLIO'!$H$4:$H$433,MATCH($C197,'PORTIFÓLIO'!$C$4:$C$433,0)),"")</f>
        <v/>
      </c>
      <c r="I197" s="256"/>
      <c r="J197" s="218">
        <f t="shared" si="22"/>
        <v>0</v>
      </c>
      <c r="K197" s="219" t="str">
        <f t="array" ref="K197">IFERROR(I197*INDEX('PORTIFÓLIO'!$S$4:$S$433,MATCH($C197,'PORTIFÓLIO'!$C$4:$C$433,0)),"")</f>
        <v/>
      </c>
      <c r="L197" s="219" t="str">
        <f t="array" ref="L197">IFERROR(J197*INDEX('PORTIFÓLIO'!$S$4:$S$433,MATCH($C197,'PORTIFÓLIO'!$C$4:$C$433,0)),"")</f>
        <v/>
      </c>
      <c r="M197" s="220"/>
      <c r="N197" s="220"/>
      <c r="O197" s="220"/>
      <c r="P197" s="220"/>
      <c r="Q197" s="220"/>
      <c r="R197" s="220"/>
      <c r="S197" s="220"/>
      <c r="T197" s="220"/>
      <c r="U197" s="220"/>
      <c r="V197" s="220"/>
      <c r="W197" s="220"/>
    </row>
    <row r="198" ht="15.75" customHeight="1" outlineLevel="1">
      <c r="A198" s="211"/>
      <c r="B198" s="227"/>
      <c r="C198" s="211"/>
      <c r="D198" s="214" t="str">
        <f>IFERROR(VLOOKUP($C198,'PORTIFÓLIO'!C:V,2,0),"")</f>
        <v/>
      </c>
      <c r="E198" s="211" t="str">
        <f>IFERROR(VLOOKUP($C198,'PORTIFÓLIO'!C:V,3,0),"")</f>
        <v/>
      </c>
      <c r="F198" s="211" t="str">
        <f>IFERROR(VLOOKUP($C198,'PORTIFÓLIO'!C:V,4,0),"")</f>
        <v/>
      </c>
      <c r="G198" s="215" t="str">
        <f>IFERROR(VLOOKUP($C198,'PORTIFÓLIO'!C:V,5,0),"")</f>
        <v/>
      </c>
      <c r="H198" s="254" t="str">
        <f t="array" ref="H198">IFERROR(INDEX('PORTIFÓLIO'!$H$4:$H$433,MATCH($C198,'PORTIFÓLIO'!$C$4:$C$433,0)),"")</f>
        <v/>
      </c>
      <c r="I198" s="256"/>
      <c r="J198" s="218">
        <f t="shared" si="22"/>
        <v>0</v>
      </c>
      <c r="K198" s="219" t="str">
        <f t="array" ref="K198">IFERROR(I198*INDEX('PORTIFÓLIO'!$S$4:$S$433,MATCH($C198,'PORTIFÓLIO'!$C$4:$C$433,0)),"")</f>
        <v/>
      </c>
      <c r="L198" s="219" t="str">
        <f t="array" ref="L198">IFERROR(J198*INDEX('PORTIFÓLIO'!$S$4:$S$433,MATCH($C198,'PORTIFÓLIO'!$C$4:$C$433,0)),"")</f>
        <v/>
      </c>
      <c r="M198" s="220"/>
      <c r="N198" s="220"/>
      <c r="O198" s="220"/>
      <c r="P198" s="220"/>
      <c r="Q198" s="220"/>
      <c r="R198" s="220"/>
      <c r="S198" s="220"/>
      <c r="T198" s="220"/>
      <c r="U198" s="220"/>
      <c r="V198" s="220"/>
      <c r="W198" s="220"/>
    </row>
    <row r="199" ht="15.75" customHeight="1" outlineLevel="1">
      <c r="A199" s="211"/>
      <c r="B199" s="227"/>
      <c r="C199" s="211"/>
      <c r="D199" s="214" t="str">
        <f>IFERROR(VLOOKUP($C199,'PORTIFÓLIO'!C:V,2,0),"")</f>
        <v/>
      </c>
      <c r="E199" s="211" t="str">
        <f>IFERROR(VLOOKUP($C199,'PORTIFÓLIO'!C:V,3,0),"")</f>
        <v/>
      </c>
      <c r="F199" s="211" t="str">
        <f>IFERROR(VLOOKUP($C199,'PORTIFÓLIO'!C:V,4,0),"")</f>
        <v/>
      </c>
      <c r="G199" s="215" t="str">
        <f>IFERROR(VLOOKUP($C199,'PORTIFÓLIO'!C:V,5,0),"")</f>
        <v/>
      </c>
      <c r="H199" s="254" t="str">
        <f t="array" ref="H199">IFERROR(INDEX('PORTIFÓLIO'!$H$4:$H$433,MATCH($C199,'PORTIFÓLIO'!$C$4:$C$433,0)),"")</f>
        <v/>
      </c>
      <c r="I199" s="256"/>
      <c r="J199" s="218">
        <f t="shared" si="22"/>
        <v>0</v>
      </c>
      <c r="K199" s="219" t="str">
        <f t="array" ref="K199">IFERROR(I199*INDEX('PORTIFÓLIO'!$S$4:$S$433,MATCH($C199,'PORTIFÓLIO'!$C$4:$C$433,0)),"")</f>
        <v/>
      </c>
      <c r="L199" s="219" t="str">
        <f t="array" ref="L199">IFERROR(J199*INDEX('PORTIFÓLIO'!$S$4:$S$433,MATCH($C199,'PORTIFÓLIO'!$C$4:$C$433,0)),"")</f>
        <v/>
      </c>
      <c r="M199" s="220"/>
      <c r="N199" s="220"/>
      <c r="O199" s="220"/>
      <c r="P199" s="220"/>
      <c r="Q199" s="220"/>
      <c r="R199" s="220"/>
      <c r="S199" s="220"/>
      <c r="T199" s="220"/>
      <c r="U199" s="220"/>
      <c r="V199" s="220"/>
      <c r="W199" s="220"/>
    </row>
    <row r="200" ht="15.75" customHeight="1">
      <c r="A200" s="229" t="s">
        <v>1202</v>
      </c>
      <c r="B200" s="230"/>
      <c r="C200" s="231"/>
      <c r="D200" s="232"/>
      <c r="E200" s="231"/>
      <c r="F200" s="231"/>
      <c r="G200" s="233"/>
      <c r="H200" s="233"/>
      <c r="I200" s="258"/>
      <c r="J200" s="236"/>
      <c r="K200" s="237">
        <f t="shared" ref="K200:L200" si="23">SUBTOTAL(9,K201:K214)</f>
        <v>0</v>
      </c>
      <c r="L200" s="237">
        <f t="shared" si="23"/>
        <v>0</v>
      </c>
      <c r="M200" s="220"/>
      <c r="N200" s="220"/>
      <c r="O200" s="220"/>
      <c r="P200" s="220"/>
      <c r="Q200" s="220"/>
      <c r="R200" s="220"/>
      <c r="S200" s="220"/>
      <c r="T200" s="220"/>
      <c r="U200" s="220"/>
      <c r="V200" s="220"/>
      <c r="W200" s="220"/>
    </row>
    <row r="201" ht="15.75" customHeight="1" outlineLevel="1">
      <c r="A201" s="213"/>
      <c r="B201" s="212"/>
      <c r="C201" s="213"/>
      <c r="D201" s="214" t="str">
        <f>IFERROR(VLOOKUP($C201,'PORTIFÓLIO'!C:V,2,0),"")</f>
        <v/>
      </c>
      <c r="E201" s="211" t="str">
        <f>IFERROR(VLOOKUP($C201,'PORTIFÓLIO'!C:V,3,0),"")</f>
        <v/>
      </c>
      <c r="F201" s="211" t="str">
        <f>IFERROR(VLOOKUP($C201,'PORTIFÓLIO'!C:V,4,0),"")</f>
        <v/>
      </c>
      <c r="G201" s="215" t="str">
        <f>IFERROR(VLOOKUP($C201,'PORTIFÓLIO'!C:V,5,0),"")</f>
        <v/>
      </c>
      <c r="H201" s="254" t="str">
        <f t="array" ref="H201">IFERROR(INDEX('PORTIFÓLIO'!$H$4:$H$433,MATCH($C201,'PORTIFÓLIO'!$C$4:$C$433,0)),"")</f>
        <v/>
      </c>
      <c r="I201" s="256"/>
      <c r="J201" s="218">
        <f t="shared" ref="J201:J224" si="24">I201*$B$2</f>
        <v>0</v>
      </c>
      <c r="K201" s="219" t="str">
        <f>IFERROR(I201* VLOOKUP($C201,'PORTIFÓLIO'!C:V,10,0),"")</f>
        <v/>
      </c>
      <c r="L201" s="219" t="str">
        <f>IFERROR(J201* VLOOKUP($C201,'PORTIFÓLIO'!C:V,10,0),"")</f>
        <v/>
      </c>
      <c r="M201" s="220"/>
      <c r="N201" s="220"/>
      <c r="O201" s="220"/>
      <c r="P201" s="220"/>
      <c r="Q201" s="220"/>
      <c r="R201" s="220"/>
      <c r="S201" s="220"/>
      <c r="T201" s="220"/>
      <c r="U201" s="220"/>
      <c r="V201" s="220"/>
      <c r="W201" s="220"/>
    </row>
    <row r="202" ht="15.75" customHeight="1" outlineLevel="1">
      <c r="A202" s="211"/>
      <c r="B202" s="212"/>
      <c r="C202" s="213"/>
      <c r="D202" s="214" t="str">
        <f>IFERROR(VLOOKUP($C202,'PORTIFÓLIO'!C:V,2,0),"")</f>
        <v/>
      </c>
      <c r="E202" s="211" t="str">
        <f>IFERROR(VLOOKUP($C202,'PORTIFÓLIO'!C:V,3,0),"")</f>
        <v/>
      </c>
      <c r="F202" s="211" t="str">
        <f>IFERROR(VLOOKUP($C202,'PORTIFÓLIO'!C:V,4,0),"")</f>
        <v/>
      </c>
      <c r="G202" s="215" t="str">
        <f>IFERROR(VLOOKUP($C202,'PORTIFÓLIO'!C:V,5,0),"")</f>
        <v/>
      </c>
      <c r="H202" s="254" t="str">
        <f t="array" ref="H202">IFERROR(INDEX('PORTIFÓLIO'!$H$4:$H$433,MATCH($C202,'PORTIFÓLIO'!$C$4:$C$433,0)),"")</f>
        <v/>
      </c>
      <c r="I202" s="256"/>
      <c r="J202" s="218">
        <f t="shared" si="24"/>
        <v>0</v>
      </c>
      <c r="K202" s="219" t="str">
        <f>IFERROR(I202* VLOOKUP($C202,'PORTIFÓLIO'!C:V,10,0),"")</f>
        <v/>
      </c>
      <c r="L202" s="219" t="str">
        <f>IFERROR(J202* VLOOKUP($C202,'PORTIFÓLIO'!C:V,10,0),"")</f>
        <v/>
      </c>
      <c r="M202" s="220"/>
      <c r="N202" s="220"/>
      <c r="O202" s="220"/>
      <c r="P202" s="220"/>
      <c r="Q202" s="220"/>
      <c r="R202" s="220"/>
      <c r="S202" s="220"/>
      <c r="T202" s="220"/>
      <c r="U202" s="220"/>
      <c r="V202" s="220"/>
      <c r="W202" s="220"/>
    </row>
    <row r="203" ht="15.75" customHeight="1" outlineLevel="1">
      <c r="A203" s="211"/>
      <c r="B203" s="212"/>
      <c r="C203" s="213"/>
      <c r="D203" s="214" t="str">
        <f>IFERROR(VLOOKUP($C203,'PORTIFÓLIO'!C:V,2,0),"")</f>
        <v/>
      </c>
      <c r="E203" s="211" t="str">
        <f>IFERROR(VLOOKUP($C203,'PORTIFÓLIO'!C:V,3,0),"")</f>
        <v/>
      </c>
      <c r="F203" s="211" t="str">
        <f>IFERROR(VLOOKUP($C203,'PORTIFÓLIO'!C:V,4,0),"")</f>
        <v/>
      </c>
      <c r="G203" s="215" t="str">
        <f>IFERROR(VLOOKUP($C203,'PORTIFÓLIO'!C:V,5,0),"")</f>
        <v/>
      </c>
      <c r="H203" s="254" t="str">
        <f t="array" ref="H203">IFERROR(INDEX('PORTIFÓLIO'!$H$4:$H$433,MATCH($C203,'PORTIFÓLIO'!$C$4:$C$433,0)),"")</f>
        <v/>
      </c>
      <c r="I203" s="256"/>
      <c r="J203" s="218">
        <f t="shared" si="24"/>
        <v>0</v>
      </c>
      <c r="K203" s="219" t="str">
        <f>IFERROR(I203* VLOOKUP($C203,'PORTIFÓLIO'!C:V,10,0),"")</f>
        <v/>
      </c>
      <c r="L203" s="219" t="str">
        <f>IFERROR(J203* VLOOKUP($C203,'PORTIFÓLIO'!C:V,10,0),"")</f>
        <v/>
      </c>
      <c r="M203" s="220"/>
      <c r="N203" s="220"/>
      <c r="O203" s="220"/>
      <c r="P203" s="220"/>
      <c r="Q203" s="220"/>
      <c r="R203" s="220"/>
      <c r="S203" s="220"/>
      <c r="T203" s="220"/>
      <c r="U203" s="220"/>
      <c r="V203" s="220"/>
      <c r="W203" s="220"/>
    </row>
    <row r="204" ht="15.75" customHeight="1" outlineLevel="1">
      <c r="A204" s="211"/>
      <c r="B204" s="212"/>
      <c r="C204" s="213"/>
      <c r="D204" s="214" t="str">
        <f>IFERROR(VLOOKUP($C204,'PORTIFÓLIO'!C:V,2,0),"")</f>
        <v/>
      </c>
      <c r="E204" s="211" t="str">
        <f>IFERROR(VLOOKUP($C204,'PORTIFÓLIO'!C:V,3,0),"")</f>
        <v/>
      </c>
      <c r="F204" s="211" t="str">
        <f>IFERROR(VLOOKUP($C204,'PORTIFÓLIO'!C:V,4,0),"")</f>
        <v/>
      </c>
      <c r="G204" s="215" t="str">
        <f>IFERROR(VLOOKUP($C204,'PORTIFÓLIO'!C:V,5,0),"")</f>
        <v/>
      </c>
      <c r="H204" s="254" t="str">
        <f t="array" ref="H204">IFERROR(INDEX('PORTIFÓLIO'!$H$4:$H$433,MATCH($C204,'PORTIFÓLIO'!$C$4:$C$433,0)),"")</f>
        <v/>
      </c>
      <c r="I204" s="256"/>
      <c r="J204" s="218">
        <f t="shared" si="24"/>
        <v>0</v>
      </c>
      <c r="K204" s="219" t="str">
        <f>IFERROR(I204* VLOOKUP($C204,'PORTIFÓLIO'!C:V,10,0),"")</f>
        <v/>
      </c>
      <c r="L204" s="219" t="str">
        <f>IFERROR(J204* VLOOKUP($C204,'PORTIFÓLIO'!C:V,10,0),"")</f>
        <v/>
      </c>
      <c r="M204" s="220"/>
      <c r="N204" s="220"/>
      <c r="O204" s="220"/>
      <c r="P204" s="220"/>
      <c r="Q204" s="220"/>
      <c r="R204" s="220"/>
      <c r="S204" s="220"/>
      <c r="T204" s="220"/>
      <c r="U204" s="220"/>
      <c r="V204" s="220"/>
      <c r="W204" s="220"/>
    </row>
    <row r="205" ht="15.75" customHeight="1" outlineLevel="1">
      <c r="A205" s="211"/>
      <c r="B205" s="212"/>
      <c r="C205" s="213"/>
      <c r="D205" s="214" t="str">
        <f>IFERROR(VLOOKUP($C205,'PORTIFÓLIO'!C:V,2,0),"")</f>
        <v/>
      </c>
      <c r="E205" s="211" t="str">
        <f>IFERROR(VLOOKUP($C205,'PORTIFÓLIO'!C:V,3,0),"")</f>
        <v/>
      </c>
      <c r="F205" s="211" t="str">
        <f>IFERROR(VLOOKUP($C205,'PORTIFÓLIO'!C:V,4,0),"")</f>
        <v/>
      </c>
      <c r="G205" s="215" t="str">
        <f>IFERROR(VLOOKUP($C205,'PORTIFÓLIO'!C:V,5,0),"")</f>
        <v/>
      </c>
      <c r="H205" s="254" t="str">
        <f t="array" ref="H205">IFERROR(INDEX('PORTIFÓLIO'!$H$4:$H$433,MATCH($C205,'PORTIFÓLIO'!$C$4:$C$433,0)),"")</f>
        <v/>
      </c>
      <c r="I205" s="256"/>
      <c r="J205" s="218">
        <f t="shared" si="24"/>
        <v>0</v>
      </c>
      <c r="K205" s="219" t="str">
        <f>IFERROR(I205* VLOOKUP($C205,'PORTIFÓLIO'!C:V,10,0),"")</f>
        <v/>
      </c>
      <c r="L205" s="219" t="str">
        <f>IFERROR(J205* VLOOKUP($C205,'PORTIFÓLIO'!C:V,10,0),"")</f>
        <v/>
      </c>
      <c r="M205" s="220"/>
      <c r="N205" s="220"/>
      <c r="O205" s="220"/>
      <c r="P205" s="220"/>
      <c r="Q205" s="220"/>
      <c r="R205" s="220"/>
      <c r="S205" s="220"/>
      <c r="T205" s="220"/>
      <c r="U205" s="220"/>
      <c r="V205" s="220"/>
      <c r="W205" s="220"/>
    </row>
    <row r="206" ht="15.75" customHeight="1" outlineLevel="1">
      <c r="A206" s="211"/>
      <c r="B206" s="212"/>
      <c r="C206" s="213"/>
      <c r="D206" s="214" t="str">
        <f>IFERROR(VLOOKUP($C206,'PORTIFÓLIO'!C:V,2,0),"")</f>
        <v/>
      </c>
      <c r="E206" s="211" t="str">
        <f>IFERROR(VLOOKUP($C206,'PORTIFÓLIO'!C:V,3,0),"")</f>
        <v/>
      </c>
      <c r="F206" s="211" t="str">
        <f>IFERROR(VLOOKUP($C206,'PORTIFÓLIO'!C:V,4,0),"")</f>
        <v/>
      </c>
      <c r="G206" s="215" t="str">
        <f>IFERROR(VLOOKUP($C206,'PORTIFÓLIO'!C:V,5,0),"")</f>
        <v/>
      </c>
      <c r="H206" s="254" t="str">
        <f t="array" ref="H206">IFERROR(INDEX('PORTIFÓLIO'!$H$4:$H$433,MATCH($C206,'PORTIFÓLIO'!$C$4:$C$433,0)),"")</f>
        <v/>
      </c>
      <c r="I206" s="256"/>
      <c r="J206" s="218">
        <f t="shared" si="24"/>
        <v>0</v>
      </c>
      <c r="K206" s="219" t="str">
        <f>IFERROR(I206* VLOOKUP($C206,'PORTIFÓLIO'!C:V,10,0),"")</f>
        <v/>
      </c>
      <c r="L206" s="219" t="str">
        <f>IFERROR(J206* VLOOKUP($C206,'PORTIFÓLIO'!C:V,10,0),"")</f>
        <v/>
      </c>
      <c r="M206" s="220"/>
      <c r="N206" s="220"/>
      <c r="O206" s="220"/>
      <c r="P206" s="220"/>
      <c r="Q206" s="220"/>
      <c r="R206" s="220"/>
      <c r="S206" s="220"/>
      <c r="T206" s="220"/>
      <c r="U206" s="220"/>
      <c r="V206" s="220"/>
      <c r="W206" s="220"/>
    </row>
    <row r="207" ht="15.75" customHeight="1" outlineLevel="1">
      <c r="A207" s="211"/>
      <c r="B207" s="212"/>
      <c r="C207" s="213"/>
      <c r="D207" s="214" t="str">
        <f>IFERROR(VLOOKUP($C207,'PORTIFÓLIO'!C:V,2,0),"")</f>
        <v/>
      </c>
      <c r="E207" s="211" t="str">
        <f>IFERROR(VLOOKUP($C207,'PORTIFÓLIO'!C:V,3,0),"")</f>
        <v/>
      </c>
      <c r="F207" s="211" t="str">
        <f>IFERROR(VLOOKUP($C207,'PORTIFÓLIO'!C:V,4,0),"")</f>
        <v/>
      </c>
      <c r="G207" s="215" t="str">
        <f>IFERROR(VLOOKUP($C207,'PORTIFÓLIO'!C:V,5,0),"")</f>
        <v/>
      </c>
      <c r="H207" s="254" t="str">
        <f t="array" ref="H207">IFERROR(INDEX('PORTIFÓLIO'!$H$4:$H$433,MATCH($C207,'PORTIFÓLIO'!$C$4:$C$433,0)),"")</f>
        <v/>
      </c>
      <c r="I207" s="256"/>
      <c r="J207" s="218">
        <f t="shared" si="24"/>
        <v>0</v>
      </c>
      <c r="K207" s="219" t="str">
        <f>IFERROR(I207* VLOOKUP($C207,'PORTIFÓLIO'!C:V,10,0),"")</f>
        <v/>
      </c>
      <c r="L207" s="219" t="str">
        <f>IFERROR(J207* VLOOKUP($C207,'PORTIFÓLIO'!C:V,10,0),"")</f>
        <v/>
      </c>
      <c r="M207" s="220"/>
      <c r="N207" s="220"/>
      <c r="O207" s="220"/>
      <c r="P207" s="220"/>
      <c r="Q207" s="220"/>
      <c r="R207" s="220"/>
      <c r="S207" s="220"/>
      <c r="T207" s="220"/>
      <c r="U207" s="220"/>
      <c r="V207" s="220"/>
      <c r="W207" s="220"/>
    </row>
    <row r="208" ht="15.75" customHeight="1" outlineLevel="1">
      <c r="A208" s="211"/>
      <c r="B208" s="212"/>
      <c r="C208" s="213"/>
      <c r="D208" s="214" t="str">
        <f>IFERROR(VLOOKUP($C208,'PORTIFÓLIO'!C:V,2,0),"")</f>
        <v/>
      </c>
      <c r="E208" s="211" t="str">
        <f>IFERROR(VLOOKUP($C208,'PORTIFÓLIO'!C:V,3,0),"")</f>
        <v/>
      </c>
      <c r="F208" s="211" t="str">
        <f>IFERROR(VLOOKUP($C208,'PORTIFÓLIO'!C:V,4,0),"")</f>
        <v/>
      </c>
      <c r="G208" s="215" t="str">
        <f>IFERROR(VLOOKUP($C208,'PORTIFÓLIO'!C:V,5,0),"")</f>
        <v/>
      </c>
      <c r="H208" s="254" t="str">
        <f t="array" ref="H208">IFERROR(INDEX('PORTIFÓLIO'!$H$4:$H$433,MATCH($C208,'PORTIFÓLIO'!$C$4:$C$433,0)),"")</f>
        <v/>
      </c>
      <c r="I208" s="256"/>
      <c r="J208" s="218">
        <f t="shared" si="24"/>
        <v>0</v>
      </c>
      <c r="K208" s="219" t="str">
        <f>IFERROR(I208* VLOOKUP($C208,'PORTIFÓLIO'!C:V,10,0),"")</f>
        <v/>
      </c>
      <c r="L208" s="219" t="str">
        <f>IFERROR(J208* VLOOKUP($C208,'PORTIFÓLIO'!C:V,10,0),"")</f>
        <v/>
      </c>
      <c r="M208" s="220"/>
      <c r="N208" s="220"/>
      <c r="O208" s="220"/>
      <c r="P208" s="220"/>
      <c r="Q208" s="220"/>
      <c r="R208" s="220"/>
      <c r="S208" s="220"/>
      <c r="T208" s="220"/>
      <c r="U208" s="220"/>
      <c r="V208" s="220"/>
      <c r="W208" s="220"/>
    </row>
    <row r="209" ht="15.75" customHeight="1" outlineLevel="1">
      <c r="A209" s="211"/>
      <c r="B209" s="212"/>
      <c r="C209" s="213"/>
      <c r="D209" s="214" t="str">
        <f>IFERROR(VLOOKUP($C209,'PORTIFÓLIO'!C:V,2,0),"")</f>
        <v/>
      </c>
      <c r="E209" s="211" t="str">
        <f>IFERROR(VLOOKUP($C209,'PORTIFÓLIO'!C:V,3,0),"")</f>
        <v/>
      </c>
      <c r="F209" s="211" t="str">
        <f>IFERROR(VLOOKUP($C209,'PORTIFÓLIO'!C:V,4,0),"")</f>
        <v/>
      </c>
      <c r="G209" s="215" t="str">
        <f>IFERROR(VLOOKUP($C209,'PORTIFÓLIO'!C:V,5,0),"")</f>
        <v/>
      </c>
      <c r="H209" s="254" t="str">
        <f t="array" ref="H209">IFERROR(INDEX('PORTIFÓLIO'!$H$4:$H$433,MATCH($C209,'PORTIFÓLIO'!$C$4:$C$433,0)),"")</f>
        <v/>
      </c>
      <c r="I209" s="256"/>
      <c r="J209" s="218">
        <f t="shared" si="24"/>
        <v>0</v>
      </c>
      <c r="K209" s="219" t="str">
        <f>IFERROR(I209* VLOOKUP($C209,'PORTIFÓLIO'!C:V,10,0),"")</f>
        <v/>
      </c>
      <c r="L209" s="219" t="str">
        <f>IFERROR(J209* VLOOKUP($C209,'PORTIFÓLIO'!C:V,10,0),"")</f>
        <v/>
      </c>
      <c r="M209" s="220"/>
      <c r="N209" s="220"/>
      <c r="O209" s="220"/>
      <c r="P209" s="220"/>
      <c r="Q209" s="220"/>
      <c r="R209" s="220"/>
      <c r="S209" s="220"/>
      <c r="T209" s="220"/>
      <c r="U209" s="220"/>
      <c r="V209" s="220"/>
      <c r="W209" s="220"/>
    </row>
    <row r="210" ht="15.75" customHeight="1" outlineLevel="1">
      <c r="A210" s="211"/>
      <c r="B210" s="212"/>
      <c r="C210" s="213"/>
      <c r="D210" s="214" t="str">
        <f>IFERROR(VLOOKUP($C210,'PORTIFÓLIO'!C:V,2,0),"")</f>
        <v/>
      </c>
      <c r="E210" s="211" t="str">
        <f>IFERROR(VLOOKUP($C210,'PORTIFÓLIO'!C:V,3,0),"")</f>
        <v/>
      </c>
      <c r="F210" s="211" t="str">
        <f>IFERROR(VLOOKUP($C210,'PORTIFÓLIO'!C:V,4,0),"")</f>
        <v/>
      </c>
      <c r="G210" s="215" t="str">
        <f>IFERROR(VLOOKUP($C210,'PORTIFÓLIO'!C:V,5,0),"")</f>
        <v/>
      </c>
      <c r="H210" s="254" t="str">
        <f t="array" ref="H210">IFERROR(INDEX('PORTIFÓLIO'!$H$4:$H$433,MATCH($C210,'PORTIFÓLIO'!$C$4:$C$433,0)),"")</f>
        <v/>
      </c>
      <c r="I210" s="256"/>
      <c r="J210" s="218">
        <f t="shared" si="24"/>
        <v>0</v>
      </c>
      <c r="K210" s="219" t="str">
        <f>IFERROR(I210* VLOOKUP($C210,'PORTIFÓLIO'!C:V,10,0),"")</f>
        <v/>
      </c>
      <c r="L210" s="219" t="str">
        <f>IFERROR(J210* VLOOKUP($C210,'PORTIFÓLIO'!C:V,10,0),"")</f>
        <v/>
      </c>
      <c r="M210" s="220"/>
      <c r="N210" s="220"/>
      <c r="O210" s="220"/>
      <c r="P210" s="220"/>
      <c r="Q210" s="220"/>
      <c r="R210" s="220"/>
      <c r="S210" s="220"/>
      <c r="T210" s="220"/>
      <c r="U210" s="220"/>
      <c r="V210" s="220"/>
      <c r="W210" s="220"/>
    </row>
    <row r="211" ht="15.75" customHeight="1" outlineLevel="1">
      <c r="A211" s="211"/>
      <c r="B211" s="212"/>
      <c r="C211" s="213"/>
      <c r="D211" s="214" t="str">
        <f>IFERROR(VLOOKUP($C211,'PORTIFÓLIO'!C:V,2,0),"")</f>
        <v/>
      </c>
      <c r="E211" s="211" t="str">
        <f>IFERROR(VLOOKUP($C211,'PORTIFÓLIO'!C:V,3,0),"")</f>
        <v/>
      </c>
      <c r="F211" s="211" t="str">
        <f>IFERROR(VLOOKUP($C211,'PORTIFÓLIO'!C:V,4,0),"")</f>
        <v/>
      </c>
      <c r="G211" s="215" t="str">
        <f>IFERROR(VLOOKUP($C211,'PORTIFÓLIO'!C:V,5,0),"")</f>
        <v/>
      </c>
      <c r="H211" s="254" t="str">
        <f t="array" ref="H211">IFERROR(INDEX('PORTIFÓLIO'!$H$4:$H$433,MATCH($C211,'PORTIFÓLIO'!$C$4:$C$433,0)),"")</f>
        <v/>
      </c>
      <c r="I211" s="256"/>
      <c r="J211" s="218">
        <f t="shared" si="24"/>
        <v>0</v>
      </c>
      <c r="K211" s="219" t="str">
        <f>IFERROR(I211* VLOOKUP($C211,'PORTIFÓLIO'!C:V,10,0),"")</f>
        <v/>
      </c>
      <c r="L211" s="219" t="str">
        <f>IFERROR(J211* VLOOKUP($C211,'PORTIFÓLIO'!C:V,10,0),"")</f>
        <v/>
      </c>
      <c r="M211" s="220"/>
      <c r="N211" s="220"/>
      <c r="O211" s="220"/>
      <c r="P211" s="220"/>
      <c r="Q211" s="220"/>
      <c r="R211" s="220"/>
      <c r="S211" s="220"/>
      <c r="T211" s="220"/>
      <c r="U211" s="220"/>
      <c r="V211" s="220"/>
      <c r="W211" s="220"/>
    </row>
    <row r="212" ht="15.75" customHeight="1" outlineLevel="1">
      <c r="A212" s="211"/>
      <c r="B212" s="212"/>
      <c r="C212" s="213"/>
      <c r="D212" s="214" t="str">
        <f>IFERROR(VLOOKUP($C212,'PORTIFÓLIO'!C:V,2,0),"")</f>
        <v/>
      </c>
      <c r="E212" s="211" t="str">
        <f>IFERROR(VLOOKUP($C212,'PORTIFÓLIO'!C:V,3,0),"")</f>
        <v/>
      </c>
      <c r="F212" s="211" t="str">
        <f>IFERROR(VLOOKUP($C212,'PORTIFÓLIO'!C:V,4,0),"")</f>
        <v/>
      </c>
      <c r="G212" s="215" t="str">
        <f>IFERROR(VLOOKUP($C212,'PORTIFÓLIO'!C:V,5,0),"")</f>
        <v/>
      </c>
      <c r="H212" s="254" t="str">
        <f t="array" ref="H212">IFERROR(INDEX('PORTIFÓLIO'!$H$4:$H$433,MATCH($C212,'PORTIFÓLIO'!$C$4:$C$433,0)),"")</f>
        <v/>
      </c>
      <c r="I212" s="256"/>
      <c r="J212" s="218">
        <f t="shared" si="24"/>
        <v>0</v>
      </c>
      <c r="K212" s="219" t="str">
        <f>IFERROR(I212* VLOOKUP($C212,'PORTIFÓLIO'!C:V,10,0),"")</f>
        <v/>
      </c>
      <c r="L212" s="219" t="str">
        <f>IFERROR(J212* VLOOKUP($C212,'PORTIFÓLIO'!C:V,10,0),"")</f>
        <v/>
      </c>
      <c r="M212" s="220"/>
      <c r="N212" s="220"/>
      <c r="O212" s="220"/>
      <c r="P212" s="220"/>
      <c r="Q212" s="220"/>
      <c r="R212" s="220"/>
      <c r="S212" s="220"/>
      <c r="T212" s="220"/>
      <c r="U212" s="220"/>
      <c r="V212" s="220"/>
      <c r="W212" s="220"/>
    </row>
    <row r="213" ht="15.75" customHeight="1" outlineLevel="1">
      <c r="A213" s="211"/>
      <c r="B213" s="212"/>
      <c r="C213" s="213"/>
      <c r="D213" s="214" t="str">
        <f>IFERROR(VLOOKUP($C213,'PORTIFÓLIO'!C:V,2,0),"")</f>
        <v/>
      </c>
      <c r="E213" s="211" t="str">
        <f>IFERROR(VLOOKUP($C213,'PORTIFÓLIO'!C:V,3,0),"")</f>
        <v/>
      </c>
      <c r="F213" s="211" t="str">
        <f>IFERROR(VLOOKUP($C213,'PORTIFÓLIO'!C:V,4,0),"")</f>
        <v/>
      </c>
      <c r="G213" s="215" t="str">
        <f>IFERROR(VLOOKUP($C213,'PORTIFÓLIO'!C:V,5,0),"")</f>
        <v/>
      </c>
      <c r="H213" s="254" t="str">
        <f t="array" ref="H213">IFERROR(INDEX('PORTIFÓLIO'!$H$4:$H$433,MATCH($C213,'PORTIFÓLIO'!$C$4:$C$433,0)),"")</f>
        <v/>
      </c>
      <c r="I213" s="256"/>
      <c r="J213" s="218">
        <f t="shared" si="24"/>
        <v>0</v>
      </c>
      <c r="K213" s="219" t="str">
        <f>IFERROR(I213* VLOOKUP($C213,'PORTIFÓLIO'!C:V,10,0),"")</f>
        <v/>
      </c>
      <c r="L213" s="219" t="str">
        <f>IFERROR(J213* VLOOKUP($C213,'PORTIFÓLIO'!C:V,10,0),"")</f>
        <v/>
      </c>
      <c r="M213" s="220"/>
      <c r="N213" s="220"/>
      <c r="O213" s="220"/>
      <c r="P213" s="220"/>
      <c r="Q213" s="220"/>
      <c r="R213" s="220"/>
      <c r="S213" s="220"/>
      <c r="T213" s="220"/>
      <c r="U213" s="220"/>
      <c r="V213" s="220"/>
      <c r="W213" s="220"/>
    </row>
    <row r="214" ht="15.75" customHeight="1" outlineLevel="1">
      <c r="A214" s="211"/>
      <c r="B214" s="212"/>
      <c r="C214" s="213"/>
      <c r="D214" s="214" t="str">
        <f>IFERROR(VLOOKUP($C214,'PORTIFÓLIO'!C:V,2,0),"")</f>
        <v/>
      </c>
      <c r="E214" s="211" t="str">
        <f>IFERROR(VLOOKUP($C214,'PORTIFÓLIO'!C:V,3,0),"")</f>
        <v/>
      </c>
      <c r="F214" s="211" t="str">
        <f>IFERROR(VLOOKUP($C214,'PORTIFÓLIO'!C:V,4,0),"")</f>
        <v/>
      </c>
      <c r="G214" s="215" t="str">
        <f>IFERROR(VLOOKUP($C214,'PORTIFÓLIO'!C:V,5,0),"")</f>
        <v/>
      </c>
      <c r="H214" s="254" t="str">
        <f t="array" ref="H214">IFERROR(INDEX('PORTIFÓLIO'!$H$4:$H$433,MATCH($C214,'PORTIFÓLIO'!$C$4:$C$433,0)),"")</f>
        <v/>
      </c>
      <c r="I214" s="256"/>
      <c r="J214" s="218">
        <f t="shared" si="24"/>
        <v>0</v>
      </c>
      <c r="K214" s="219" t="str">
        <f>IFERROR(I214* VLOOKUP($C214,'PORTIFÓLIO'!C:V,10,0),"")</f>
        <v/>
      </c>
      <c r="L214" s="219" t="str">
        <f>IFERROR(J214* VLOOKUP($C214,'PORTIFÓLIO'!C:V,10,0),"")</f>
        <v/>
      </c>
      <c r="M214" s="220"/>
      <c r="N214" s="220"/>
      <c r="O214" s="220"/>
      <c r="P214" s="220"/>
      <c r="Q214" s="220"/>
      <c r="R214" s="220"/>
      <c r="S214" s="220"/>
      <c r="T214" s="220"/>
      <c r="U214" s="220"/>
      <c r="V214" s="220"/>
      <c r="W214" s="220"/>
    </row>
    <row r="215" ht="15.75" customHeight="1" outlineLevel="1">
      <c r="A215" s="211"/>
      <c r="B215" s="212"/>
      <c r="C215" s="213"/>
      <c r="D215" s="214" t="str">
        <f>IFERROR(VLOOKUP($C215,'PORTIFÓLIO'!C:V,2,0),"")</f>
        <v/>
      </c>
      <c r="E215" s="211" t="str">
        <f>IFERROR(VLOOKUP($C215,'PORTIFÓLIO'!C:V,3,0),"")</f>
        <v/>
      </c>
      <c r="F215" s="211" t="str">
        <f>IFERROR(VLOOKUP($C215,'PORTIFÓLIO'!C:V,4,0),"")</f>
        <v/>
      </c>
      <c r="G215" s="215" t="str">
        <f>IFERROR(VLOOKUP($C215,'PORTIFÓLIO'!C:V,5,0),"")</f>
        <v/>
      </c>
      <c r="H215" s="254" t="str">
        <f t="array" ref="H215">IFERROR(INDEX('PORTIFÓLIO'!$H$4:$H$433,MATCH($C215,'PORTIFÓLIO'!$C$4:$C$433,0)),"")</f>
        <v/>
      </c>
      <c r="I215" s="256"/>
      <c r="J215" s="218">
        <f t="shared" si="24"/>
        <v>0</v>
      </c>
      <c r="K215" s="219" t="str">
        <f>IFERROR(I215* VLOOKUP($C215,'PORTIFÓLIO'!C:V,10,0),"")</f>
        <v/>
      </c>
      <c r="L215" s="219" t="str">
        <f>IFERROR(J215* VLOOKUP($C215,'PORTIFÓLIO'!C:V,10,0),"")</f>
        <v/>
      </c>
      <c r="M215" s="220"/>
      <c r="N215" s="220"/>
      <c r="O215" s="220"/>
      <c r="P215" s="220"/>
      <c r="Q215" s="220"/>
      <c r="R215" s="220"/>
      <c r="S215" s="220"/>
      <c r="T215" s="220"/>
      <c r="U215" s="220"/>
      <c r="V215" s="220"/>
      <c r="W215" s="220"/>
    </row>
    <row r="216" ht="15.75" customHeight="1" outlineLevel="1">
      <c r="A216" s="211"/>
      <c r="B216" s="227"/>
      <c r="C216" s="211"/>
      <c r="D216" s="214" t="str">
        <f>IFERROR(VLOOKUP($C216,'PORTIFÓLIO'!C:V,2,0),"")</f>
        <v/>
      </c>
      <c r="E216" s="211" t="str">
        <f>IFERROR(VLOOKUP($C216,'PORTIFÓLIO'!C:V,3,0),"")</f>
        <v/>
      </c>
      <c r="F216" s="211" t="str">
        <f>IFERROR(VLOOKUP($C216,'PORTIFÓLIO'!C:V,4,0),"")</f>
        <v/>
      </c>
      <c r="G216" s="215" t="str">
        <f>IFERROR(VLOOKUP($C216,'PORTIFÓLIO'!C:V,5,0),"")</f>
        <v/>
      </c>
      <c r="H216" s="254" t="str">
        <f t="array" ref="H216">IFERROR(INDEX('PORTIFÓLIO'!$H$4:$H$433,MATCH($C216,'PORTIFÓLIO'!$C$4:$C$433,0)),"")</f>
        <v/>
      </c>
      <c r="I216" s="256"/>
      <c r="J216" s="218">
        <f t="shared" si="24"/>
        <v>0</v>
      </c>
      <c r="K216" s="219" t="str">
        <f>IFERROR(I216* VLOOKUP($C216,'PORTIFÓLIO'!C:V,10,0),"")</f>
        <v/>
      </c>
      <c r="L216" s="219" t="str">
        <f>IFERROR(J216* VLOOKUP($C216,'PORTIFÓLIO'!C:V,10,0),"")</f>
        <v/>
      </c>
      <c r="M216" s="220"/>
      <c r="N216" s="220"/>
      <c r="O216" s="220"/>
      <c r="P216" s="220"/>
      <c r="Q216" s="220"/>
      <c r="R216" s="220"/>
      <c r="S216" s="220"/>
      <c r="T216" s="220"/>
      <c r="U216" s="220"/>
      <c r="V216" s="220"/>
      <c r="W216" s="220"/>
    </row>
    <row r="217" ht="15.75" customHeight="1" outlineLevel="1">
      <c r="A217" s="211"/>
      <c r="B217" s="227"/>
      <c r="C217" s="211"/>
      <c r="D217" s="214" t="str">
        <f>IFERROR(VLOOKUP($C217,'PORTIFÓLIO'!C:V,2,0),"")</f>
        <v/>
      </c>
      <c r="E217" s="211" t="str">
        <f>IFERROR(VLOOKUP($C217,'PORTIFÓLIO'!C:V,3,0),"")</f>
        <v/>
      </c>
      <c r="F217" s="211" t="str">
        <f>IFERROR(VLOOKUP($C217,'PORTIFÓLIO'!C:V,4,0),"")</f>
        <v/>
      </c>
      <c r="G217" s="215" t="str">
        <f>IFERROR(VLOOKUP($C217,'PORTIFÓLIO'!C:V,5,0),"")</f>
        <v/>
      </c>
      <c r="H217" s="254" t="str">
        <f t="array" ref="H217">IFERROR(INDEX('PORTIFÓLIO'!$H$4:$H$433,MATCH($C217,'PORTIFÓLIO'!$C$4:$C$433,0)),"")</f>
        <v/>
      </c>
      <c r="I217" s="256"/>
      <c r="J217" s="218">
        <f t="shared" si="24"/>
        <v>0</v>
      </c>
      <c r="K217" s="219" t="str">
        <f>IFERROR(I217* VLOOKUP($C217,'PORTIFÓLIO'!C:V,10,0),"")</f>
        <v/>
      </c>
      <c r="L217" s="219" t="str">
        <f>IFERROR(J217* VLOOKUP($C217,'PORTIFÓLIO'!C:V,10,0),"")</f>
        <v/>
      </c>
      <c r="M217" s="220"/>
      <c r="N217" s="220"/>
      <c r="O217" s="220"/>
      <c r="P217" s="220"/>
      <c r="Q217" s="220"/>
      <c r="R217" s="220"/>
      <c r="S217" s="220"/>
      <c r="T217" s="220"/>
      <c r="U217" s="220"/>
      <c r="V217" s="220"/>
      <c r="W217" s="220"/>
    </row>
    <row r="218" ht="15.75" customHeight="1" outlineLevel="1">
      <c r="A218" s="211"/>
      <c r="B218" s="227"/>
      <c r="C218" s="211"/>
      <c r="D218" s="214" t="str">
        <f>IFERROR(VLOOKUP($C218,'PORTIFÓLIO'!C:V,2,0),"")</f>
        <v/>
      </c>
      <c r="E218" s="211" t="str">
        <f>IFERROR(VLOOKUP($C218,'PORTIFÓLIO'!C:V,3,0),"")</f>
        <v/>
      </c>
      <c r="F218" s="211" t="str">
        <f>IFERROR(VLOOKUP($C218,'PORTIFÓLIO'!C:V,4,0),"")</f>
        <v/>
      </c>
      <c r="G218" s="215" t="str">
        <f>IFERROR(VLOOKUP($C218,'PORTIFÓLIO'!C:V,5,0),"")</f>
        <v/>
      </c>
      <c r="H218" s="254" t="str">
        <f t="array" ref="H218">IFERROR(INDEX('PORTIFÓLIO'!$H$4:$H$433,MATCH($C218,'PORTIFÓLIO'!$C$4:$C$433,0)),"")</f>
        <v/>
      </c>
      <c r="I218" s="256"/>
      <c r="J218" s="218">
        <f t="shared" si="24"/>
        <v>0</v>
      </c>
      <c r="K218" s="219" t="str">
        <f>IFERROR(I218* VLOOKUP($C218,'PORTIFÓLIO'!C:V,10,0),"")</f>
        <v/>
      </c>
      <c r="L218" s="219" t="str">
        <f>IFERROR(J218* VLOOKUP($C218,'PORTIFÓLIO'!C:V,10,0),"")</f>
        <v/>
      </c>
      <c r="M218" s="220"/>
      <c r="N218" s="220"/>
      <c r="O218" s="220"/>
      <c r="P218" s="220"/>
      <c r="Q218" s="220"/>
      <c r="R218" s="220"/>
      <c r="S218" s="220"/>
      <c r="T218" s="220"/>
      <c r="U218" s="220"/>
      <c r="V218" s="220"/>
      <c r="W218" s="220"/>
    </row>
    <row r="219" ht="15.75" customHeight="1" outlineLevel="1">
      <c r="A219" s="211"/>
      <c r="B219" s="227"/>
      <c r="C219" s="211"/>
      <c r="D219" s="214" t="str">
        <f>IFERROR(VLOOKUP($C219,'PORTIFÓLIO'!C:V,2,0),"")</f>
        <v/>
      </c>
      <c r="E219" s="211" t="str">
        <f>IFERROR(VLOOKUP($C219,'PORTIFÓLIO'!C:V,3,0),"")</f>
        <v/>
      </c>
      <c r="F219" s="211" t="str">
        <f>IFERROR(VLOOKUP($C219,'PORTIFÓLIO'!C:V,4,0),"")</f>
        <v/>
      </c>
      <c r="G219" s="215" t="str">
        <f>IFERROR(VLOOKUP($C219,'PORTIFÓLIO'!C:V,5,0),"")</f>
        <v/>
      </c>
      <c r="H219" s="254" t="str">
        <f t="array" ref="H219">IFERROR(INDEX('PORTIFÓLIO'!$H$4:$H$433,MATCH($C219,'PORTIFÓLIO'!$C$4:$C$433,0)),"")</f>
        <v/>
      </c>
      <c r="I219" s="256"/>
      <c r="J219" s="218">
        <f t="shared" si="24"/>
        <v>0</v>
      </c>
      <c r="K219" s="219" t="str">
        <f>IFERROR(I219* VLOOKUP($C219,'PORTIFÓLIO'!C:V,10,0),"")</f>
        <v/>
      </c>
      <c r="L219" s="219" t="str">
        <f>IFERROR(J219* VLOOKUP($C219,'PORTIFÓLIO'!C:V,10,0),"")</f>
        <v/>
      </c>
      <c r="M219" s="220"/>
      <c r="N219" s="220"/>
      <c r="O219" s="220"/>
      <c r="P219" s="220"/>
      <c r="Q219" s="220"/>
      <c r="R219" s="220"/>
      <c r="S219" s="220"/>
      <c r="T219" s="220"/>
      <c r="U219" s="220"/>
      <c r="V219" s="220"/>
      <c r="W219" s="220"/>
    </row>
    <row r="220" ht="15.75" customHeight="1" outlineLevel="1">
      <c r="A220" s="211"/>
      <c r="B220" s="227"/>
      <c r="C220" s="211"/>
      <c r="D220" s="214" t="str">
        <f>IFERROR(VLOOKUP($C220,'PORTIFÓLIO'!C:V,2,0),"")</f>
        <v/>
      </c>
      <c r="E220" s="211" t="str">
        <f>IFERROR(VLOOKUP($C220,'PORTIFÓLIO'!C:V,3,0),"")</f>
        <v/>
      </c>
      <c r="F220" s="211" t="str">
        <f>IFERROR(VLOOKUP($C220,'PORTIFÓLIO'!C:V,4,0),"")</f>
        <v/>
      </c>
      <c r="G220" s="215" t="str">
        <f>IFERROR(VLOOKUP($C220,'PORTIFÓLIO'!C:V,5,0),"")</f>
        <v/>
      </c>
      <c r="H220" s="254" t="str">
        <f t="array" ref="H220">IFERROR(INDEX('PORTIFÓLIO'!$H$4:$H$433,MATCH($C220,'PORTIFÓLIO'!$C$4:$C$433,0)),"")</f>
        <v/>
      </c>
      <c r="I220" s="256"/>
      <c r="J220" s="218">
        <f t="shared" si="24"/>
        <v>0</v>
      </c>
      <c r="K220" s="219" t="str">
        <f>IFERROR(I220* VLOOKUP($C220,'PORTIFÓLIO'!C:V,10,0),"")</f>
        <v/>
      </c>
      <c r="L220" s="219" t="str">
        <f>IFERROR(J220* VLOOKUP($C220,'PORTIFÓLIO'!C:V,10,0),"")</f>
        <v/>
      </c>
      <c r="M220" s="220"/>
      <c r="N220" s="220"/>
      <c r="O220" s="220"/>
      <c r="P220" s="220"/>
      <c r="Q220" s="220"/>
      <c r="R220" s="220"/>
      <c r="S220" s="220"/>
      <c r="T220" s="220"/>
      <c r="U220" s="220"/>
      <c r="V220" s="220"/>
      <c r="W220" s="220"/>
    </row>
    <row r="221" ht="15.75" customHeight="1" outlineLevel="1">
      <c r="A221" s="211"/>
      <c r="B221" s="227"/>
      <c r="C221" s="211"/>
      <c r="D221" s="214" t="str">
        <f>IFERROR(VLOOKUP($C221,'PORTIFÓLIO'!C:V,2,0),"")</f>
        <v/>
      </c>
      <c r="E221" s="211" t="str">
        <f>IFERROR(VLOOKUP($C221,'PORTIFÓLIO'!C:V,3,0),"")</f>
        <v/>
      </c>
      <c r="F221" s="211" t="str">
        <f>IFERROR(VLOOKUP($C221,'PORTIFÓLIO'!C:V,4,0),"")</f>
        <v/>
      </c>
      <c r="G221" s="215" t="str">
        <f>IFERROR(VLOOKUP($C221,'PORTIFÓLIO'!C:V,5,0),"")</f>
        <v/>
      </c>
      <c r="H221" s="254" t="str">
        <f t="array" ref="H221">IFERROR(INDEX('PORTIFÓLIO'!$H$4:$H$433,MATCH($C221,'PORTIFÓLIO'!$C$4:$C$433,0)),"")</f>
        <v/>
      </c>
      <c r="I221" s="256"/>
      <c r="J221" s="218">
        <f t="shared" si="24"/>
        <v>0</v>
      </c>
      <c r="K221" s="219" t="str">
        <f>IFERROR(I221* VLOOKUP($C221,'PORTIFÓLIO'!C:V,10,0),"")</f>
        <v/>
      </c>
      <c r="L221" s="219" t="str">
        <f>IFERROR(J221* VLOOKUP($C221,'PORTIFÓLIO'!C:V,10,0),"")</f>
        <v/>
      </c>
      <c r="M221" s="220"/>
      <c r="N221" s="220"/>
      <c r="O221" s="220"/>
      <c r="P221" s="220"/>
      <c r="Q221" s="220"/>
      <c r="R221" s="220"/>
      <c r="S221" s="220"/>
      <c r="T221" s="220"/>
      <c r="U221" s="220"/>
      <c r="V221" s="220"/>
      <c r="W221" s="220"/>
    </row>
    <row r="222" ht="15.75" customHeight="1" outlineLevel="1">
      <c r="A222" s="211"/>
      <c r="B222" s="227"/>
      <c r="C222" s="211"/>
      <c r="D222" s="214" t="str">
        <f>IFERROR(VLOOKUP($C222,'PORTIFÓLIO'!C:V,2,0),"")</f>
        <v/>
      </c>
      <c r="E222" s="211" t="str">
        <f>IFERROR(VLOOKUP($C222,'PORTIFÓLIO'!C:V,3,0),"")</f>
        <v/>
      </c>
      <c r="F222" s="211" t="str">
        <f>IFERROR(VLOOKUP($C222,'PORTIFÓLIO'!C:V,4,0),"")</f>
        <v/>
      </c>
      <c r="G222" s="215" t="str">
        <f>IFERROR(VLOOKUP($C222,'PORTIFÓLIO'!C:V,5,0),"")</f>
        <v/>
      </c>
      <c r="H222" s="254" t="str">
        <f t="array" ref="H222">IFERROR(INDEX('PORTIFÓLIO'!$H$4:$H$433,MATCH($C222,'PORTIFÓLIO'!$C$4:$C$433,0)),"")</f>
        <v/>
      </c>
      <c r="I222" s="256"/>
      <c r="J222" s="218">
        <f t="shared" si="24"/>
        <v>0</v>
      </c>
      <c r="K222" s="219" t="str">
        <f>IFERROR(I222* VLOOKUP($C222,'PORTIFÓLIO'!C:V,10,0),"")</f>
        <v/>
      </c>
      <c r="L222" s="219" t="str">
        <f>IFERROR(J222* VLOOKUP($C222,'PORTIFÓLIO'!C:V,10,0),"")</f>
        <v/>
      </c>
      <c r="M222" s="220"/>
      <c r="N222" s="220"/>
      <c r="O222" s="220"/>
      <c r="P222" s="220"/>
      <c r="Q222" s="220"/>
      <c r="R222" s="220"/>
      <c r="S222" s="220"/>
      <c r="T222" s="220"/>
      <c r="U222" s="220"/>
      <c r="V222" s="220"/>
      <c r="W222" s="220"/>
    </row>
    <row r="223" ht="15.75" customHeight="1" outlineLevel="1">
      <c r="A223" s="211"/>
      <c r="B223" s="227"/>
      <c r="C223" s="211"/>
      <c r="D223" s="214" t="str">
        <f>IFERROR(VLOOKUP($C223,'PORTIFÓLIO'!C:V,2,0),"")</f>
        <v/>
      </c>
      <c r="E223" s="211" t="str">
        <f>IFERROR(VLOOKUP($C223,'PORTIFÓLIO'!C:V,3,0),"")</f>
        <v/>
      </c>
      <c r="F223" s="211" t="str">
        <f>IFERROR(VLOOKUP($C223,'PORTIFÓLIO'!C:V,4,0),"")</f>
        <v/>
      </c>
      <c r="G223" s="215" t="str">
        <f>IFERROR(VLOOKUP($C223,'PORTIFÓLIO'!C:V,5,0),"")</f>
        <v/>
      </c>
      <c r="H223" s="254" t="str">
        <f t="array" ref="H223">IFERROR(INDEX('PORTIFÓLIO'!$H$4:$H$433,MATCH($C223,'PORTIFÓLIO'!$C$4:$C$433,0)),"")</f>
        <v/>
      </c>
      <c r="I223" s="256"/>
      <c r="J223" s="218">
        <f t="shared" si="24"/>
        <v>0</v>
      </c>
      <c r="K223" s="219" t="str">
        <f>IFERROR(I223* VLOOKUP($C223,'PORTIFÓLIO'!C:V,10,0),"")</f>
        <v/>
      </c>
      <c r="L223" s="219" t="str">
        <f>IFERROR(J223* VLOOKUP($C223,'PORTIFÓLIO'!C:V,10,0),"")</f>
        <v/>
      </c>
      <c r="M223" s="220"/>
      <c r="N223" s="220"/>
      <c r="O223" s="220"/>
      <c r="P223" s="220"/>
      <c r="Q223" s="220"/>
      <c r="R223" s="220"/>
      <c r="S223" s="220"/>
      <c r="T223" s="220"/>
      <c r="U223" s="220"/>
      <c r="V223" s="220"/>
      <c r="W223" s="220"/>
    </row>
    <row r="224" ht="15.75" customHeight="1" outlineLevel="1">
      <c r="A224" s="211"/>
      <c r="B224" s="227"/>
      <c r="C224" s="211"/>
      <c r="D224" s="214" t="str">
        <f>IFERROR(VLOOKUP($C224,'PORTIFÓLIO'!C:V,2,0),"")</f>
        <v/>
      </c>
      <c r="E224" s="211" t="str">
        <f>IFERROR(VLOOKUP($C224,'PORTIFÓLIO'!C:V,3,0),"")</f>
        <v/>
      </c>
      <c r="F224" s="211" t="str">
        <f>IFERROR(VLOOKUP($C224,'PORTIFÓLIO'!C:V,4,0),"")</f>
        <v/>
      </c>
      <c r="G224" s="215" t="str">
        <f>IFERROR(VLOOKUP($C224,'PORTIFÓLIO'!C:V,5,0),"")</f>
        <v/>
      </c>
      <c r="H224" s="254" t="str">
        <f t="array" ref="H224">IFERROR(INDEX('PORTIFÓLIO'!$H$4:$H$433,MATCH($C224,'PORTIFÓLIO'!$C$4:$C$433,0)),"")</f>
        <v/>
      </c>
      <c r="I224" s="256"/>
      <c r="J224" s="218">
        <f t="shared" si="24"/>
        <v>0</v>
      </c>
      <c r="K224" s="219" t="str">
        <f>IFERROR(I224* VLOOKUP($C224,'PORTIFÓLIO'!C:V,10,0),"")</f>
        <v/>
      </c>
      <c r="L224" s="219" t="str">
        <f>IFERROR(J224* VLOOKUP($C224,'PORTIFÓLIO'!C:V,10,0),"")</f>
        <v/>
      </c>
      <c r="M224" s="220"/>
      <c r="N224" s="220"/>
      <c r="O224" s="220"/>
      <c r="P224" s="220"/>
      <c r="Q224" s="220"/>
      <c r="R224" s="220"/>
      <c r="S224" s="220"/>
      <c r="T224" s="220"/>
      <c r="U224" s="220"/>
      <c r="V224" s="220"/>
      <c r="W224" s="220"/>
    </row>
    <row r="225" ht="15.75" customHeight="1">
      <c r="A225" s="227"/>
      <c r="B225" s="227"/>
      <c r="C225" s="227"/>
      <c r="D225" s="227"/>
      <c r="E225" s="227"/>
      <c r="F225" s="227"/>
      <c r="G225" s="215"/>
      <c r="H225" s="278" t="str">
        <f t="array" ref="H225">IFERROR(INDEX('PORTIFÓLIO'!$H$4:$H$433,MATCH($C225,'PORTIFÓLIO'!$C$4:$C$433,0)),"")</f>
        <v/>
      </c>
      <c r="I225" s="227"/>
      <c r="J225" s="227"/>
      <c r="K225" s="284">
        <f t="shared" ref="K225:L225" si="25">SUBTOTAL(9,K10:K200)</f>
        <v>672.8503708</v>
      </c>
      <c r="L225" s="284">
        <f t="shared" si="25"/>
        <v>148027.0816</v>
      </c>
      <c r="M225" s="220"/>
      <c r="N225" s="220"/>
      <c r="O225" s="220"/>
      <c r="P225" s="220"/>
      <c r="Q225" s="220"/>
      <c r="R225" s="220"/>
      <c r="S225" s="220"/>
      <c r="T225" s="220"/>
      <c r="U225" s="220"/>
      <c r="V225" s="220"/>
      <c r="W225" s="220"/>
    </row>
    <row r="226" ht="15.75" customHeight="1">
      <c r="A226" s="285"/>
      <c r="B226" s="285"/>
      <c r="C226" s="285"/>
      <c r="D226" s="285"/>
      <c r="E226" s="285"/>
      <c r="F226" s="285"/>
      <c r="G226" s="286"/>
      <c r="H226" s="286"/>
      <c r="I226" s="285"/>
      <c r="J226" s="285"/>
      <c r="K226" s="285"/>
      <c r="L226" s="285"/>
      <c r="M226" s="285"/>
      <c r="N226" s="285"/>
      <c r="O226" s="285"/>
      <c r="P226" s="285"/>
      <c r="Q226" s="285"/>
      <c r="R226" s="285"/>
      <c r="S226" s="285"/>
      <c r="T226" s="285"/>
      <c r="U226" s="285"/>
      <c r="V226" s="285"/>
      <c r="W226" s="285"/>
    </row>
    <row r="227" ht="15.75" customHeight="1">
      <c r="A227" s="260" t="s">
        <v>1203</v>
      </c>
      <c r="B227" s="261" t="str">
        <f>'ÁREA PLANTIO'!B19</f>
        <v>T01</v>
      </c>
      <c r="C227" s="262" t="s">
        <v>1166</v>
      </c>
      <c r="D227" s="263">
        <f>$K$452</f>
        <v>0</v>
      </c>
      <c r="E227" s="264"/>
      <c r="F227" s="265" t="s">
        <v>1167</v>
      </c>
      <c r="G227" s="266"/>
      <c r="H227" s="287" t="str">
        <f t="array" ref="H227">IFERROR(INDEX('PORTIFÓLIO'!$H$4:$H$433,MATCH($C227,'PORTIFÓLIO'!$C$4:$C$433,0)),"")</f>
        <v/>
      </c>
      <c r="I227" s="267"/>
      <c r="J227" s="267"/>
      <c r="K227" s="266"/>
      <c r="L227" s="220"/>
      <c r="M227" s="220"/>
      <c r="N227" s="220"/>
      <c r="O227" s="220"/>
      <c r="P227" s="220"/>
      <c r="Q227" s="220"/>
      <c r="R227" s="220"/>
      <c r="S227" s="220"/>
      <c r="T227" s="220"/>
      <c r="U227" s="220"/>
      <c r="V227" s="220"/>
      <c r="W227" s="220"/>
    </row>
    <row r="228" ht="15.75" customHeight="1">
      <c r="A228" s="260" t="s">
        <v>1168</v>
      </c>
      <c r="B228" s="268">
        <f>'ÁREA PLANTIO'!E19</f>
        <v>220</v>
      </c>
      <c r="C228" s="269" t="s">
        <v>1169</v>
      </c>
      <c r="D228" s="270" t="str">
        <f>'ÁREA PLANTIO'!I19</f>
        <v/>
      </c>
      <c r="E228" s="264"/>
      <c r="F228" s="264"/>
      <c r="G228" s="266"/>
      <c r="H228" s="287" t="str">
        <f t="array" ref="H228">IFERROR(INDEX('PORTIFÓLIO'!$H$4:$H$433,MATCH($C228,'PORTIFÓLIO'!$C$4:$C$433,0)),"")</f>
        <v/>
      </c>
      <c r="I228" s="267"/>
      <c r="J228" s="267"/>
      <c r="K228" s="266"/>
      <c r="L228" s="220"/>
      <c r="M228" s="220"/>
      <c r="N228" s="220"/>
      <c r="O228" s="220"/>
      <c r="P228" s="220"/>
      <c r="Q228" s="220"/>
      <c r="R228" s="220"/>
      <c r="S228" s="220"/>
      <c r="T228" s="220"/>
      <c r="U228" s="220"/>
      <c r="V228" s="220"/>
      <c r="W228" s="220"/>
    </row>
    <row r="229" ht="15.75" customHeight="1">
      <c r="A229" s="260" t="s">
        <v>1170</v>
      </c>
      <c r="B229" s="267" t="str">
        <f>'ÁREA PLANTIO'!H17</f>
        <v/>
      </c>
      <c r="C229" s="269" t="s">
        <v>1171</v>
      </c>
      <c r="D229" s="271" t="str">
        <f>D227/D228</f>
        <v>#DIV/0!</v>
      </c>
      <c r="E229" s="264"/>
      <c r="F229" s="264"/>
      <c r="G229" s="266"/>
      <c r="H229" s="287" t="str">
        <f t="array" ref="H229">IFERROR(INDEX('PORTIFÓLIO'!$H$4:$H$433,MATCH($C229,'PORTIFÓLIO'!$C$4:$C$433,0)),"")</f>
        <v/>
      </c>
      <c r="I229" s="267"/>
      <c r="J229" s="267"/>
      <c r="K229" s="266"/>
      <c r="L229" s="220"/>
      <c r="M229" s="220"/>
      <c r="N229" s="220"/>
      <c r="O229" s="220"/>
      <c r="P229" s="220"/>
      <c r="Q229" s="220"/>
      <c r="R229" s="220"/>
      <c r="S229" s="220"/>
      <c r="T229" s="220"/>
      <c r="U229" s="220"/>
      <c r="V229" s="220"/>
      <c r="W229" s="220"/>
    </row>
    <row r="230" ht="15.75" customHeight="1">
      <c r="A230" s="272" t="s">
        <v>1172</v>
      </c>
      <c r="B230" s="273">
        <v>45606.0</v>
      </c>
      <c r="C230" s="274"/>
      <c r="D230" s="275"/>
      <c r="E230" s="276"/>
      <c r="F230" s="264"/>
      <c r="G230" s="266"/>
      <c r="H230" s="287" t="str">
        <f t="array" ref="H230">IFERROR(INDEX('PORTIFÓLIO'!$H$4:$H$433,MATCH($C230,'PORTIFÓLIO'!$C$4:$C$433,0)),"")</f>
        <v/>
      </c>
      <c r="I230" s="267"/>
      <c r="J230" s="267"/>
      <c r="K230" s="266"/>
      <c r="L230" s="220"/>
      <c r="M230" s="220"/>
      <c r="N230" s="220"/>
      <c r="O230" s="220"/>
      <c r="P230" s="220"/>
      <c r="Q230" s="220"/>
      <c r="R230" s="220"/>
      <c r="S230" s="220"/>
      <c r="T230" s="220"/>
      <c r="U230" s="220"/>
      <c r="V230" s="220"/>
      <c r="W230" s="220"/>
    </row>
    <row r="231" ht="15.75" customHeight="1">
      <c r="E231" s="277"/>
      <c r="F231" s="264"/>
      <c r="G231" s="266"/>
      <c r="H231" s="287" t="str">
        <f t="array" ref="H231">IFERROR(INDEX('PORTIFÓLIO'!$H$4:$H$433,MATCH($C231,'PORTIFÓLIO'!$C$4:$C$433,0)),"")</f>
        <v/>
      </c>
      <c r="I231" s="267"/>
      <c r="J231" s="267"/>
      <c r="K231" s="266"/>
      <c r="L231" s="220"/>
      <c r="M231" s="220"/>
      <c r="N231" s="220"/>
      <c r="O231" s="220"/>
      <c r="P231" s="220"/>
      <c r="Q231" s="220"/>
      <c r="R231" s="220"/>
      <c r="S231" s="220"/>
      <c r="T231" s="220"/>
      <c r="U231" s="220"/>
      <c r="V231" s="220"/>
      <c r="W231" s="220"/>
    </row>
    <row r="232" ht="15.75" customHeight="1">
      <c r="A232" s="260"/>
      <c r="B232" s="267"/>
      <c r="C232" s="264"/>
      <c r="D232" s="264"/>
      <c r="E232" s="264"/>
      <c r="F232" s="264"/>
      <c r="G232" s="266"/>
      <c r="H232" s="287" t="str">
        <f t="array" ref="H232">IFERROR(INDEX('PORTIFÓLIO'!$H$4:$H$433,MATCH($C232,'PORTIFÓLIO'!$C$4:$C$433,0)),"")</f>
        <v/>
      </c>
      <c r="I232" s="267"/>
      <c r="J232" s="267"/>
      <c r="K232" s="266"/>
      <c r="L232" s="220"/>
      <c r="M232" s="220"/>
      <c r="N232" s="220"/>
      <c r="O232" s="220"/>
      <c r="P232" s="220"/>
      <c r="Q232" s="220"/>
      <c r="R232" s="220"/>
      <c r="S232" s="220"/>
      <c r="T232" s="220"/>
      <c r="U232" s="220"/>
      <c r="V232" s="220"/>
      <c r="W232" s="220"/>
    </row>
    <row r="233" ht="15.75" customHeight="1">
      <c r="A233" s="267"/>
      <c r="B233" s="267"/>
      <c r="C233" s="264"/>
      <c r="D233" s="264"/>
      <c r="E233" s="264"/>
      <c r="F233" s="264"/>
      <c r="G233" s="266"/>
      <c r="H233" s="287" t="str">
        <f t="array" ref="H233">IFERROR(INDEX('PORTIFÓLIO'!$H$4:$H$433,MATCH($C233,'PORTIFÓLIO'!$C$4:$C$433,0)),"")</f>
        <v/>
      </c>
      <c r="I233" s="267"/>
      <c r="J233" s="267"/>
      <c r="K233" s="266"/>
      <c r="L233" s="220"/>
      <c r="M233" s="220"/>
      <c r="N233" s="220"/>
      <c r="O233" s="220"/>
      <c r="P233" s="220"/>
      <c r="Q233" s="220"/>
      <c r="R233" s="220"/>
      <c r="S233" s="220"/>
      <c r="T233" s="220"/>
      <c r="U233" s="220"/>
      <c r="V233" s="220"/>
      <c r="W233" s="220"/>
    </row>
    <row r="234" ht="15.75" customHeight="1">
      <c r="A234" s="267"/>
      <c r="B234" s="267"/>
      <c r="C234" s="267"/>
      <c r="D234" s="267"/>
      <c r="E234" s="264"/>
      <c r="F234" s="264"/>
      <c r="G234" s="266"/>
      <c r="H234" s="287" t="str">
        <f t="array" ref="H234">IFERROR(INDEX('PORTIFÓLIO'!$H$4:$H$433,MATCH($C234,'PORTIFÓLIO'!$C$4:$C$433,0)),"")</f>
        <v/>
      </c>
      <c r="I234" s="267"/>
      <c r="J234" s="267"/>
      <c r="K234" s="266"/>
      <c r="L234" s="220"/>
      <c r="M234" s="220"/>
      <c r="N234" s="220"/>
      <c r="O234" s="220"/>
      <c r="P234" s="220"/>
      <c r="Q234" s="220"/>
      <c r="R234" s="220"/>
      <c r="S234" s="220"/>
      <c r="T234" s="220"/>
      <c r="U234" s="220"/>
      <c r="V234" s="220"/>
      <c r="W234" s="220"/>
    </row>
    <row r="235" ht="15.75" customHeight="1">
      <c r="A235" s="267"/>
      <c r="B235" s="267"/>
      <c r="C235" s="267"/>
      <c r="D235" s="267"/>
      <c r="E235" s="267"/>
      <c r="F235" s="267"/>
      <c r="G235" s="266"/>
      <c r="H235" s="287"/>
      <c r="I235" s="287"/>
      <c r="J235" s="288"/>
      <c r="K235" s="289"/>
      <c r="L235" s="290"/>
      <c r="M235" s="220"/>
      <c r="N235" s="220"/>
      <c r="O235" s="220"/>
      <c r="P235" s="220"/>
      <c r="Q235" s="220"/>
      <c r="R235" s="220"/>
      <c r="S235" s="220"/>
      <c r="T235" s="220"/>
      <c r="U235" s="220"/>
      <c r="V235" s="220"/>
      <c r="W235" s="220"/>
    </row>
    <row r="236" ht="15.75" customHeight="1">
      <c r="A236" s="211" t="s">
        <v>1173</v>
      </c>
      <c r="B236" s="213" t="s">
        <v>1174</v>
      </c>
      <c r="C236" s="213" t="s">
        <v>1175</v>
      </c>
      <c r="D236" s="211" t="s">
        <v>1176</v>
      </c>
      <c r="E236" s="211" t="s">
        <v>1177</v>
      </c>
      <c r="F236" s="211" t="s">
        <v>1178</v>
      </c>
      <c r="G236" s="291" t="s">
        <v>1180</v>
      </c>
      <c r="H236" s="278" t="s">
        <v>1179</v>
      </c>
      <c r="I236" s="278" t="s">
        <v>1181</v>
      </c>
      <c r="J236" s="279" t="s">
        <v>1134</v>
      </c>
      <c r="K236" s="280" t="s">
        <v>1182</v>
      </c>
      <c r="L236" s="281" t="s">
        <v>339</v>
      </c>
      <c r="M236" s="220"/>
      <c r="N236" s="220"/>
      <c r="O236" s="220"/>
      <c r="P236" s="220"/>
      <c r="Q236" s="220"/>
      <c r="R236" s="220"/>
      <c r="S236" s="220"/>
      <c r="T236" s="220"/>
      <c r="U236" s="220"/>
      <c r="V236" s="220"/>
      <c r="W236" s="220"/>
    </row>
    <row r="237" ht="15.75" customHeight="1">
      <c r="A237" s="231" t="s">
        <v>1183</v>
      </c>
      <c r="B237" s="230"/>
      <c r="C237" s="231"/>
      <c r="D237" s="232"/>
      <c r="E237" s="231"/>
      <c r="F237" s="231"/>
      <c r="G237" s="233"/>
      <c r="H237" s="233"/>
      <c r="I237" s="258"/>
      <c r="J237" s="236"/>
      <c r="K237" s="237">
        <f t="shared" ref="K237:L237" si="26">SUBTOTAL(9,K238:K251)</f>
        <v>0</v>
      </c>
      <c r="L237" s="237">
        <f t="shared" si="26"/>
        <v>0</v>
      </c>
      <c r="M237" s="220"/>
      <c r="N237" s="220"/>
      <c r="O237" s="220"/>
      <c r="P237" s="220"/>
      <c r="Q237" s="220"/>
      <c r="R237" s="220"/>
      <c r="S237" s="220"/>
      <c r="T237" s="220"/>
      <c r="U237" s="220"/>
      <c r="V237" s="220"/>
      <c r="W237" s="220"/>
    </row>
    <row r="238" ht="15.75" customHeight="1" outlineLevel="1">
      <c r="A238" s="211"/>
      <c r="B238" s="212"/>
      <c r="C238" s="213"/>
      <c r="D238" s="214" t="str">
        <f>IFERROR(VLOOKUP($C238,'PORTIFÓLIO'!C:V,2,0),"")</f>
        <v/>
      </c>
      <c r="E238" s="211" t="str">
        <f>IFERROR(VLOOKUP($C238,'PORTIFÓLIO'!C:V,3,0),"")</f>
        <v/>
      </c>
      <c r="F238" s="211" t="str">
        <f>IFERROR(VLOOKUP($C238,'PORTIFÓLIO'!C:V,4,0),"")</f>
        <v/>
      </c>
      <c r="G238" s="215" t="str">
        <f>IFERROR(VLOOKUP($C238,'PORTIFÓLIO'!C:V,5,0),"")</f>
        <v/>
      </c>
      <c r="H238" s="254" t="str">
        <f t="array" ref="H238">IFERROR(INDEX('PORTIFÓLIO'!$H$4:$H$433,MATCH($C238,'PORTIFÓLIO'!$C$4:$C$433,0)),"")</f>
        <v/>
      </c>
      <c r="I238" s="255"/>
      <c r="J238" s="218">
        <f t="shared" ref="J238:J251" si="27">I238*$B$2</f>
        <v>0</v>
      </c>
      <c r="K238" s="219" t="str">
        <f t="array" ref="K238">IFERROR(I238*INDEX('PORTIFÓLIO'!$S$4:$S$433,MATCH($C238,'PORTIFÓLIO'!$C$4:$C$433,0)),"")</f>
        <v/>
      </c>
      <c r="L238" s="219" t="str">
        <f t="array" ref="L238">IFERROR(J238*INDEX('PORTIFÓLIO'!$S$4:$S$433,MATCH($C238,'PORTIFÓLIO'!$C$4:$C$433,0)),"")</f>
        <v/>
      </c>
      <c r="M238" s="220"/>
      <c r="N238" s="220"/>
      <c r="O238" s="220"/>
      <c r="P238" s="220"/>
      <c r="Q238" s="220"/>
      <c r="R238" s="220"/>
      <c r="S238" s="220"/>
      <c r="T238" s="220"/>
      <c r="U238" s="220"/>
      <c r="V238" s="220"/>
      <c r="W238" s="220"/>
    </row>
    <row r="239" ht="15.75" customHeight="1" outlineLevel="1">
      <c r="A239" s="211"/>
      <c r="B239" s="212"/>
      <c r="C239" s="213"/>
      <c r="D239" s="214" t="str">
        <f>IFERROR(VLOOKUP($C239,'PORTIFÓLIO'!C:V,2,0),"")</f>
        <v/>
      </c>
      <c r="E239" s="211" t="str">
        <f>IFERROR(VLOOKUP($C239,'PORTIFÓLIO'!C:V,3,0),"")</f>
        <v/>
      </c>
      <c r="F239" s="211" t="str">
        <f>IFERROR(VLOOKUP($C239,'PORTIFÓLIO'!C:V,4,0),"")</f>
        <v/>
      </c>
      <c r="G239" s="215" t="str">
        <f>IFERROR(VLOOKUP($C239,'PORTIFÓLIO'!C:V,5,0),"")</f>
        <v/>
      </c>
      <c r="H239" s="254" t="str">
        <f t="array" ref="H239">IFERROR(INDEX('PORTIFÓLIO'!$H$4:$H$433,MATCH($C239,'PORTIFÓLIO'!$C$4:$C$433,0)),"")</f>
        <v/>
      </c>
      <c r="I239" s="255"/>
      <c r="J239" s="218">
        <f t="shared" si="27"/>
        <v>0</v>
      </c>
      <c r="K239" s="219" t="str">
        <f t="array" ref="K239">IFERROR(I239*INDEX('PORTIFÓLIO'!$S$4:$S$433,MATCH($C239,'PORTIFÓLIO'!$C$4:$C$433,0)),"")</f>
        <v/>
      </c>
      <c r="L239" s="219" t="str">
        <f t="array" ref="L239">IFERROR(J239*INDEX('PORTIFÓLIO'!$S$4:$S$433,MATCH($C239,'PORTIFÓLIO'!$C$4:$C$433,0)),"")</f>
        <v/>
      </c>
      <c r="M239" s="220"/>
      <c r="N239" s="220"/>
      <c r="O239" s="220"/>
      <c r="P239" s="220"/>
      <c r="Q239" s="220"/>
      <c r="R239" s="220"/>
      <c r="S239" s="220"/>
      <c r="T239" s="220"/>
      <c r="U239" s="220"/>
      <c r="V239" s="220"/>
      <c r="W239" s="220"/>
    </row>
    <row r="240" ht="15.75" customHeight="1" outlineLevel="1">
      <c r="A240" s="211"/>
      <c r="B240" s="212"/>
      <c r="C240" s="213"/>
      <c r="D240" s="214" t="str">
        <f>IFERROR(VLOOKUP($C240,'PORTIFÓLIO'!C:V,2,0),"")</f>
        <v/>
      </c>
      <c r="E240" s="211" t="str">
        <f>IFERROR(VLOOKUP($C240,'PORTIFÓLIO'!C:V,3,0),"")</f>
        <v/>
      </c>
      <c r="F240" s="211" t="str">
        <f>IFERROR(VLOOKUP($C240,'PORTIFÓLIO'!C:V,4,0),"")</f>
        <v/>
      </c>
      <c r="G240" s="215" t="str">
        <f>IFERROR(VLOOKUP($C240,'PORTIFÓLIO'!C:V,5,0),"")</f>
        <v/>
      </c>
      <c r="H240" s="254" t="str">
        <f t="array" ref="H240">IFERROR(INDEX('PORTIFÓLIO'!$H$4:$H$433,MATCH($C240,'PORTIFÓLIO'!$C$4:$C$433,0)),"")</f>
        <v/>
      </c>
      <c r="I240" s="256"/>
      <c r="J240" s="218">
        <f t="shared" si="27"/>
        <v>0</v>
      </c>
      <c r="K240" s="219" t="str">
        <f t="array" ref="K240">IFERROR(I240*INDEX('PORTIFÓLIO'!$S$4:$S$433,MATCH($C240,'PORTIFÓLIO'!$C$4:$C$433,0)),"")</f>
        <v/>
      </c>
      <c r="L240" s="219" t="str">
        <f t="array" ref="L240">IFERROR(J240*INDEX('PORTIFÓLIO'!$S$4:$S$433,MATCH($C240,'PORTIFÓLIO'!$C$4:$C$433,0)),"")</f>
        <v/>
      </c>
      <c r="M240" s="220"/>
      <c r="N240" s="220"/>
      <c r="O240" s="220"/>
      <c r="P240" s="220"/>
      <c r="Q240" s="220"/>
      <c r="R240" s="220"/>
      <c r="S240" s="220"/>
      <c r="T240" s="220"/>
      <c r="U240" s="220"/>
      <c r="V240" s="220"/>
      <c r="W240" s="220"/>
    </row>
    <row r="241" ht="15.75" customHeight="1" outlineLevel="1">
      <c r="A241" s="211"/>
      <c r="B241" s="212"/>
      <c r="C241" s="213"/>
      <c r="D241" s="214" t="str">
        <f>IFERROR(VLOOKUP($C241,'PORTIFÓLIO'!C:V,2,0),"")</f>
        <v/>
      </c>
      <c r="E241" s="211" t="str">
        <f>IFERROR(VLOOKUP($C241,'PORTIFÓLIO'!C:V,3,0),"")</f>
        <v/>
      </c>
      <c r="F241" s="211" t="str">
        <f>IFERROR(VLOOKUP($C241,'PORTIFÓLIO'!C:V,4,0),"")</f>
        <v/>
      </c>
      <c r="G241" s="215" t="str">
        <f>IFERROR(VLOOKUP($C241,'PORTIFÓLIO'!C:V,5,0),"")</f>
        <v/>
      </c>
      <c r="H241" s="254" t="str">
        <f t="array" ref="H241">IFERROR(INDEX('PORTIFÓLIO'!$H$4:$H$433,MATCH($C241,'PORTIFÓLIO'!$C$4:$C$433,0)),"")</f>
        <v/>
      </c>
      <c r="I241" s="256"/>
      <c r="J241" s="218">
        <f t="shared" si="27"/>
        <v>0</v>
      </c>
      <c r="K241" s="219" t="str">
        <f t="array" ref="K241">IFERROR(I241*INDEX('PORTIFÓLIO'!$S$4:$S$433,MATCH($C241,'PORTIFÓLIO'!$C$4:$C$433,0)),"")</f>
        <v/>
      </c>
      <c r="L241" s="219" t="str">
        <f t="array" ref="L241">IFERROR(J241*INDEX('PORTIFÓLIO'!$S$4:$S$433,MATCH($C241,'PORTIFÓLIO'!$C$4:$C$433,0)),"")</f>
        <v/>
      </c>
      <c r="M241" s="220"/>
      <c r="N241" s="220"/>
      <c r="O241" s="220"/>
      <c r="P241" s="220"/>
      <c r="Q241" s="220"/>
      <c r="R241" s="220"/>
      <c r="S241" s="220"/>
      <c r="T241" s="220"/>
      <c r="U241" s="220"/>
      <c r="V241" s="220"/>
      <c r="W241" s="220"/>
    </row>
    <row r="242" ht="15.75" customHeight="1" outlineLevel="1">
      <c r="A242" s="211"/>
      <c r="B242" s="212"/>
      <c r="C242" s="213"/>
      <c r="D242" s="214" t="str">
        <f>IFERROR(VLOOKUP($C242,'PORTIFÓLIO'!C:V,2,0),"")</f>
        <v/>
      </c>
      <c r="E242" s="211" t="str">
        <f>IFERROR(VLOOKUP($C242,'PORTIFÓLIO'!C:V,3,0),"")</f>
        <v/>
      </c>
      <c r="F242" s="211" t="str">
        <f>IFERROR(VLOOKUP($C242,'PORTIFÓLIO'!C:V,4,0),"")</f>
        <v/>
      </c>
      <c r="G242" s="215" t="str">
        <f>IFERROR(VLOOKUP($C242,'PORTIFÓLIO'!C:V,5,0),"")</f>
        <v/>
      </c>
      <c r="H242" s="254" t="str">
        <f t="array" ref="H242">IFERROR(INDEX('PORTIFÓLIO'!$H$4:$H$433,MATCH($C242,'PORTIFÓLIO'!$C$4:$C$433,0)),"")</f>
        <v/>
      </c>
      <c r="I242" s="255"/>
      <c r="J242" s="218">
        <f t="shared" si="27"/>
        <v>0</v>
      </c>
      <c r="K242" s="219" t="str">
        <f t="array" ref="K242">IFERROR(I242*INDEX('PORTIFÓLIO'!$S$4:$S$433,MATCH($C242,'PORTIFÓLIO'!$C$4:$C$433,0)),"")</f>
        <v/>
      </c>
      <c r="L242" s="219" t="str">
        <f t="array" ref="L242">IFERROR(J242*INDEX('PORTIFÓLIO'!$S$4:$S$433,MATCH($C242,'PORTIFÓLIO'!$C$4:$C$433,0)),"")</f>
        <v/>
      </c>
      <c r="M242" s="220"/>
      <c r="N242" s="220"/>
      <c r="O242" s="220"/>
      <c r="P242" s="220"/>
      <c r="Q242" s="220"/>
      <c r="R242" s="220"/>
      <c r="S242" s="220"/>
      <c r="T242" s="220"/>
      <c r="U242" s="220"/>
      <c r="V242" s="220"/>
      <c r="W242" s="220"/>
    </row>
    <row r="243" ht="15.75" customHeight="1" outlineLevel="1">
      <c r="A243" s="211"/>
      <c r="B243" s="212"/>
      <c r="C243" s="213"/>
      <c r="D243" s="214" t="str">
        <f>IFERROR(VLOOKUP($C243,'PORTIFÓLIO'!C:V,2,0),"")</f>
        <v/>
      </c>
      <c r="E243" s="211" t="str">
        <f>IFERROR(VLOOKUP($C243,'PORTIFÓLIO'!C:V,3,0),"")</f>
        <v/>
      </c>
      <c r="F243" s="211" t="str">
        <f>IFERROR(VLOOKUP($C243,'PORTIFÓLIO'!C:V,4,0),"")</f>
        <v/>
      </c>
      <c r="G243" s="215" t="str">
        <f>IFERROR(VLOOKUP($C243,'PORTIFÓLIO'!C:V,5,0),"")</f>
        <v/>
      </c>
      <c r="H243" s="254" t="str">
        <f t="array" ref="H243">IFERROR(INDEX('PORTIFÓLIO'!$H$4:$H$433,MATCH($C243,'PORTIFÓLIO'!$C$4:$C$433,0)),"")</f>
        <v/>
      </c>
      <c r="I243" s="256"/>
      <c r="J243" s="218">
        <f t="shared" si="27"/>
        <v>0</v>
      </c>
      <c r="K243" s="219" t="str">
        <f t="array" ref="K243">IFERROR(I243*INDEX('PORTIFÓLIO'!$S$4:$S$433,MATCH($C243,'PORTIFÓLIO'!$C$4:$C$433,0)),"")</f>
        <v/>
      </c>
      <c r="L243" s="219" t="str">
        <f t="array" ref="L243">IFERROR(J243*INDEX('PORTIFÓLIO'!$S$4:$S$433,MATCH($C243,'PORTIFÓLIO'!$C$4:$C$433,0)),"")</f>
        <v/>
      </c>
      <c r="M243" s="220"/>
      <c r="N243" s="220"/>
      <c r="O243" s="220"/>
      <c r="P243" s="220"/>
      <c r="Q243" s="220"/>
      <c r="R243" s="220"/>
      <c r="S243" s="220"/>
      <c r="T243" s="220"/>
      <c r="U243" s="220"/>
      <c r="V243" s="220"/>
      <c r="W243" s="220"/>
    </row>
    <row r="244" ht="15.75" customHeight="1" outlineLevel="1">
      <c r="A244" s="211"/>
      <c r="B244" s="212"/>
      <c r="C244" s="213"/>
      <c r="D244" s="214" t="str">
        <f>IFERROR(VLOOKUP($C244,'PORTIFÓLIO'!C:V,2,0),"")</f>
        <v/>
      </c>
      <c r="E244" s="211" t="str">
        <f>IFERROR(VLOOKUP($C244,'PORTIFÓLIO'!C:V,3,0),"")</f>
        <v/>
      </c>
      <c r="F244" s="211" t="str">
        <f>IFERROR(VLOOKUP($C244,'PORTIFÓLIO'!C:V,4,0),"")</f>
        <v/>
      </c>
      <c r="G244" s="215" t="str">
        <f>IFERROR(VLOOKUP($C244,'PORTIFÓLIO'!C:V,5,0),"")</f>
        <v/>
      </c>
      <c r="H244" s="254" t="str">
        <f t="array" ref="H244">IFERROR(INDEX('PORTIFÓLIO'!$H$4:$H$433,MATCH($C244,'PORTIFÓLIO'!$C$4:$C$433,0)),"")</f>
        <v/>
      </c>
      <c r="I244" s="256"/>
      <c r="J244" s="218">
        <f t="shared" si="27"/>
        <v>0</v>
      </c>
      <c r="K244" s="219" t="str">
        <f t="array" ref="K244">IFERROR(I244*INDEX('PORTIFÓLIO'!$S$4:$S$433,MATCH($C244,'PORTIFÓLIO'!$C$4:$C$433,0)),"")</f>
        <v/>
      </c>
      <c r="L244" s="219" t="str">
        <f t="array" ref="L244">IFERROR(J244*INDEX('PORTIFÓLIO'!$S$4:$S$433,MATCH($C244,'PORTIFÓLIO'!$C$4:$C$433,0)),"")</f>
        <v/>
      </c>
      <c r="M244" s="220"/>
      <c r="N244" s="220"/>
      <c r="O244" s="220"/>
      <c r="P244" s="220"/>
      <c r="Q244" s="220"/>
      <c r="R244" s="220"/>
      <c r="S244" s="220"/>
      <c r="T244" s="220"/>
      <c r="U244" s="220"/>
      <c r="V244" s="220"/>
      <c r="W244" s="220"/>
    </row>
    <row r="245" ht="15.75" customHeight="1" outlineLevel="1">
      <c r="A245" s="211"/>
      <c r="B245" s="212"/>
      <c r="C245" s="213"/>
      <c r="D245" s="214" t="str">
        <f>IFERROR(VLOOKUP($C245,'PORTIFÓLIO'!C:V,2,0),"")</f>
        <v/>
      </c>
      <c r="E245" s="211" t="str">
        <f>IFERROR(VLOOKUP($C245,'PORTIFÓLIO'!C:V,3,0),"")</f>
        <v/>
      </c>
      <c r="F245" s="211" t="str">
        <f>IFERROR(VLOOKUP($C245,'PORTIFÓLIO'!C:V,4,0),"")</f>
        <v/>
      </c>
      <c r="G245" s="215" t="str">
        <f>IFERROR(VLOOKUP($C245,'PORTIFÓLIO'!C:V,5,0),"")</f>
        <v/>
      </c>
      <c r="H245" s="254" t="str">
        <f t="array" ref="H245">IFERROR(INDEX('PORTIFÓLIO'!$H$4:$H$433,MATCH($C245,'PORTIFÓLIO'!$C$4:$C$433,0)),"")</f>
        <v/>
      </c>
      <c r="I245" s="256"/>
      <c r="J245" s="218">
        <f t="shared" si="27"/>
        <v>0</v>
      </c>
      <c r="K245" s="219" t="str">
        <f t="array" ref="K245">IFERROR(I245*INDEX('PORTIFÓLIO'!$S$4:$S$433,MATCH($C245,'PORTIFÓLIO'!$C$4:$C$433,0)),"")</f>
        <v/>
      </c>
      <c r="L245" s="219" t="str">
        <f t="array" ref="L245">IFERROR(J245*INDEX('PORTIFÓLIO'!$S$4:$S$433,MATCH($C245,'PORTIFÓLIO'!$C$4:$C$433,0)),"")</f>
        <v/>
      </c>
      <c r="M245" s="220"/>
      <c r="N245" s="220"/>
      <c r="O245" s="220"/>
      <c r="P245" s="220"/>
      <c r="Q245" s="220"/>
      <c r="R245" s="220"/>
      <c r="S245" s="220"/>
      <c r="T245" s="220"/>
      <c r="U245" s="220"/>
      <c r="V245" s="220"/>
      <c r="W245" s="220"/>
    </row>
    <row r="246" ht="15.75" customHeight="1" outlineLevel="1">
      <c r="A246" s="211"/>
      <c r="B246" s="212"/>
      <c r="C246" s="213"/>
      <c r="D246" s="214" t="str">
        <f>IFERROR(VLOOKUP($C246,'PORTIFÓLIO'!C:V,2,0),"")</f>
        <v/>
      </c>
      <c r="E246" s="211" t="str">
        <f>IFERROR(VLOOKUP($C246,'PORTIFÓLIO'!C:V,3,0),"")</f>
        <v/>
      </c>
      <c r="F246" s="211" t="str">
        <f>IFERROR(VLOOKUP($C246,'PORTIFÓLIO'!C:V,4,0),"")</f>
        <v/>
      </c>
      <c r="G246" s="215" t="str">
        <f>IFERROR(VLOOKUP($C246,'PORTIFÓLIO'!C:V,5,0),"")</f>
        <v/>
      </c>
      <c r="H246" s="254" t="str">
        <f t="array" ref="H246">IFERROR(INDEX('PORTIFÓLIO'!$H$4:$H$433,MATCH($C246,'PORTIFÓLIO'!$C$4:$C$433,0)),"")</f>
        <v/>
      </c>
      <c r="I246" s="255"/>
      <c r="J246" s="218">
        <f t="shared" si="27"/>
        <v>0</v>
      </c>
      <c r="K246" s="219" t="str">
        <f t="array" ref="K246">IFERROR(I246*INDEX('PORTIFÓLIO'!$S$4:$S$433,MATCH($C246,'PORTIFÓLIO'!$C$4:$C$433,0)),"")</f>
        <v/>
      </c>
      <c r="L246" s="219" t="str">
        <f t="array" ref="L246">IFERROR(J246*INDEX('PORTIFÓLIO'!$S$4:$S$433,MATCH($C246,'PORTIFÓLIO'!$C$4:$C$433,0)),"")</f>
        <v/>
      </c>
      <c r="M246" s="220"/>
      <c r="N246" s="220"/>
      <c r="O246" s="220"/>
      <c r="P246" s="220"/>
      <c r="Q246" s="220"/>
      <c r="R246" s="220"/>
      <c r="S246" s="220"/>
      <c r="T246" s="220"/>
      <c r="U246" s="220"/>
      <c r="V246" s="220"/>
      <c r="W246" s="220"/>
    </row>
    <row r="247" ht="15.75" customHeight="1" outlineLevel="1">
      <c r="A247" s="211"/>
      <c r="B247" s="212"/>
      <c r="C247" s="213"/>
      <c r="D247" s="214" t="str">
        <f>IFERROR(VLOOKUP($C247,'PORTIFÓLIO'!C:V,2,0),"")</f>
        <v/>
      </c>
      <c r="E247" s="211" t="str">
        <f>IFERROR(VLOOKUP($C247,'PORTIFÓLIO'!C:V,3,0),"")</f>
        <v/>
      </c>
      <c r="F247" s="211" t="str">
        <f>IFERROR(VLOOKUP($C247,'PORTIFÓLIO'!C:V,4,0),"")</f>
        <v/>
      </c>
      <c r="G247" s="215" t="str">
        <f>IFERROR(VLOOKUP($C247,'PORTIFÓLIO'!C:V,5,0),"")</f>
        <v/>
      </c>
      <c r="H247" s="254" t="str">
        <f t="array" ref="H247">IFERROR(INDEX('PORTIFÓLIO'!$H$4:$H$433,MATCH($C247,'PORTIFÓLIO'!$C$4:$C$433,0)),"")</f>
        <v/>
      </c>
      <c r="I247" s="255"/>
      <c r="J247" s="218">
        <f t="shared" si="27"/>
        <v>0</v>
      </c>
      <c r="K247" s="219" t="str">
        <f t="array" ref="K247">IFERROR(I247*INDEX('PORTIFÓLIO'!$S$4:$S$433,MATCH($C247,'PORTIFÓLIO'!$C$4:$C$433,0)),"")</f>
        <v/>
      </c>
      <c r="L247" s="219" t="str">
        <f t="array" ref="L247">IFERROR(J247*INDEX('PORTIFÓLIO'!$S$4:$S$433,MATCH($C247,'PORTIFÓLIO'!$C$4:$C$433,0)),"")</f>
        <v/>
      </c>
      <c r="M247" s="220"/>
      <c r="N247" s="220"/>
      <c r="O247" s="220"/>
      <c r="P247" s="220"/>
      <c r="Q247" s="220"/>
      <c r="R247" s="220"/>
      <c r="S247" s="220"/>
      <c r="T247" s="220"/>
      <c r="U247" s="220"/>
      <c r="V247" s="220"/>
      <c r="W247" s="220"/>
    </row>
    <row r="248" ht="15.75" customHeight="1" outlineLevel="1">
      <c r="A248" s="211"/>
      <c r="B248" s="212"/>
      <c r="C248" s="213"/>
      <c r="D248" s="214" t="str">
        <f>IFERROR(VLOOKUP($C248,'PORTIFÓLIO'!C:V,2,0),"")</f>
        <v/>
      </c>
      <c r="E248" s="211" t="str">
        <f>IFERROR(VLOOKUP($C248,'PORTIFÓLIO'!C:V,3,0),"")</f>
        <v/>
      </c>
      <c r="F248" s="211" t="str">
        <f>IFERROR(VLOOKUP($C248,'PORTIFÓLIO'!C:V,4,0),"")</f>
        <v/>
      </c>
      <c r="G248" s="215" t="str">
        <f>IFERROR(VLOOKUP($C248,'PORTIFÓLIO'!C:V,5,0),"")</f>
        <v/>
      </c>
      <c r="H248" s="254" t="str">
        <f t="array" ref="H248">IFERROR(INDEX('PORTIFÓLIO'!$H$4:$H$433,MATCH($C248,'PORTIFÓLIO'!$C$4:$C$433,0)),"")</f>
        <v/>
      </c>
      <c r="I248" s="255"/>
      <c r="J248" s="218">
        <f t="shared" si="27"/>
        <v>0</v>
      </c>
      <c r="K248" s="219" t="str">
        <f t="array" ref="K248">IFERROR(I248*INDEX('PORTIFÓLIO'!$S$4:$S$433,MATCH($C248,'PORTIFÓLIO'!$C$4:$C$433,0)),"")</f>
        <v/>
      </c>
      <c r="L248" s="219" t="str">
        <f t="array" ref="L248">IFERROR(J248*INDEX('PORTIFÓLIO'!$S$4:$S$433,MATCH($C248,'PORTIFÓLIO'!$C$4:$C$433,0)),"")</f>
        <v/>
      </c>
      <c r="M248" s="220"/>
      <c r="N248" s="220"/>
      <c r="O248" s="220"/>
      <c r="P248" s="220"/>
      <c r="Q248" s="220"/>
      <c r="R248" s="220"/>
      <c r="S248" s="220"/>
      <c r="T248" s="220"/>
      <c r="U248" s="220"/>
      <c r="V248" s="220"/>
      <c r="W248" s="220"/>
    </row>
    <row r="249" ht="15.75" customHeight="1" outlineLevel="1">
      <c r="A249" s="211"/>
      <c r="B249" s="212"/>
      <c r="C249" s="213"/>
      <c r="D249" s="214" t="str">
        <f>IFERROR(VLOOKUP($C249,'PORTIFÓLIO'!C:V,2,0),"")</f>
        <v/>
      </c>
      <c r="E249" s="211" t="str">
        <f>IFERROR(VLOOKUP($C249,'PORTIFÓLIO'!C:V,3,0),"")</f>
        <v/>
      </c>
      <c r="F249" s="211" t="str">
        <f>IFERROR(VLOOKUP($C249,'PORTIFÓLIO'!C:V,4,0),"")</f>
        <v/>
      </c>
      <c r="G249" s="215" t="str">
        <f>IFERROR(VLOOKUP($C249,'PORTIFÓLIO'!C:V,5,0),"")</f>
        <v/>
      </c>
      <c r="H249" s="254" t="str">
        <f t="array" ref="H249">IFERROR(INDEX('PORTIFÓLIO'!$H$4:$H$433,MATCH($C249,'PORTIFÓLIO'!$C$4:$C$433,0)),"")</f>
        <v/>
      </c>
      <c r="I249" s="255"/>
      <c r="J249" s="218">
        <f t="shared" si="27"/>
        <v>0</v>
      </c>
      <c r="K249" s="219" t="str">
        <f t="array" ref="K249">IFERROR(I249*INDEX('PORTIFÓLIO'!$S$4:$S$433,MATCH($C249,'PORTIFÓLIO'!$C$4:$C$433,0)),"")</f>
        <v/>
      </c>
      <c r="L249" s="219" t="str">
        <f t="array" ref="L249">IFERROR(J249*INDEX('PORTIFÓLIO'!$S$4:$S$433,MATCH($C249,'PORTIFÓLIO'!$C$4:$C$433,0)),"")</f>
        <v/>
      </c>
      <c r="M249" s="220"/>
      <c r="N249" s="220"/>
      <c r="O249" s="220"/>
      <c r="P249" s="220"/>
      <c r="Q249" s="220"/>
      <c r="R249" s="220"/>
      <c r="S249" s="220"/>
      <c r="T249" s="220"/>
      <c r="U249" s="220"/>
      <c r="V249" s="220"/>
      <c r="W249" s="220"/>
    </row>
    <row r="250" ht="15.75" customHeight="1" outlineLevel="1">
      <c r="A250" s="211"/>
      <c r="B250" s="212"/>
      <c r="C250" s="213"/>
      <c r="D250" s="214" t="str">
        <f>IFERROR(VLOOKUP($C250,'PORTIFÓLIO'!C:V,2,0),"")</f>
        <v/>
      </c>
      <c r="E250" s="211" t="str">
        <f>IFERROR(VLOOKUP($C250,'PORTIFÓLIO'!C:V,3,0),"")</f>
        <v/>
      </c>
      <c r="F250" s="211" t="str">
        <f>IFERROR(VLOOKUP($C250,'PORTIFÓLIO'!C:V,4,0),"")</f>
        <v/>
      </c>
      <c r="G250" s="215" t="str">
        <f>IFERROR(VLOOKUP($C250,'PORTIFÓLIO'!C:V,5,0),"")</f>
        <v/>
      </c>
      <c r="H250" s="254" t="str">
        <f t="array" ref="H250">IFERROR(INDEX('PORTIFÓLIO'!$H$4:$H$433,MATCH($C250,'PORTIFÓLIO'!$C$4:$C$433,0)),"")</f>
        <v/>
      </c>
      <c r="I250" s="255"/>
      <c r="J250" s="218">
        <f t="shared" si="27"/>
        <v>0</v>
      </c>
      <c r="K250" s="219" t="str">
        <f t="array" ref="K250">IFERROR(I250*INDEX('PORTIFÓLIO'!$S$4:$S$433,MATCH($C250,'PORTIFÓLIO'!$C$4:$C$433,0)),"")</f>
        <v/>
      </c>
      <c r="L250" s="219" t="str">
        <f t="array" ref="L250">IFERROR(J250*INDEX('PORTIFÓLIO'!$S$4:$S$433,MATCH($C250,'PORTIFÓLIO'!$C$4:$C$433,0)),"")</f>
        <v/>
      </c>
      <c r="M250" s="220"/>
      <c r="N250" s="220"/>
      <c r="O250" s="220"/>
      <c r="P250" s="220"/>
      <c r="Q250" s="220"/>
      <c r="R250" s="220"/>
      <c r="S250" s="220"/>
      <c r="T250" s="220"/>
      <c r="U250" s="220"/>
      <c r="V250" s="220"/>
      <c r="W250" s="220"/>
    </row>
    <row r="251" ht="15.75" customHeight="1" outlineLevel="1">
      <c r="A251" s="211"/>
      <c r="B251" s="212"/>
      <c r="C251" s="213"/>
      <c r="D251" s="214" t="str">
        <f>IFERROR(VLOOKUP($C251,'PORTIFÓLIO'!C:V,2,0),"")</f>
        <v/>
      </c>
      <c r="E251" s="211" t="str">
        <f>IFERROR(VLOOKUP($C251,'PORTIFÓLIO'!C:V,3,0),"")</f>
        <v/>
      </c>
      <c r="F251" s="211" t="str">
        <f>IFERROR(VLOOKUP($C251,'PORTIFÓLIO'!C:V,4,0),"")</f>
        <v/>
      </c>
      <c r="G251" s="215" t="str">
        <f>IFERROR(VLOOKUP($C251,'PORTIFÓLIO'!C:V,5,0),"")</f>
        <v/>
      </c>
      <c r="H251" s="254" t="str">
        <f t="array" ref="H251">IFERROR(INDEX('PORTIFÓLIO'!$H$4:$H$433,MATCH($C251,'PORTIFÓLIO'!$C$4:$C$433,0)),"")</f>
        <v/>
      </c>
      <c r="I251" s="255"/>
      <c r="J251" s="218">
        <f t="shared" si="27"/>
        <v>0</v>
      </c>
      <c r="K251" s="219" t="str">
        <f t="array" ref="K251">IFERROR(I251*INDEX('PORTIFÓLIO'!$S$4:$S$433,MATCH($C251,'PORTIFÓLIO'!$C$4:$C$433,0)),"")</f>
        <v/>
      </c>
      <c r="L251" s="219" t="str">
        <f t="array" ref="L251">IFERROR(J251*INDEX('PORTIFÓLIO'!$S$4:$S$433,MATCH($C251,'PORTIFÓLIO'!$C$4:$C$433,0)),"")</f>
        <v/>
      </c>
      <c r="M251" s="220"/>
      <c r="N251" s="220"/>
      <c r="O251" s="220"/>
      <c r="P251" s="220"/>
      <c r="Q251" s="220"/>
      <c r="R251" s="220"/>
      <c r="S251" s="220"/>
      <c r="T251" s="220"/>
      <c r="U251" s="220"/>
      <c r="V251" s="220"/>
      <c r="W251" s="220"/>
    </row>
    <row r="252" ht="15.75" customHeight="1">
      <c r="A252" s="229" t="s">
        <v>1184</v>
      </c>
      <c r="B252" s="230"/>
      <c r="C252" s="231"/>
      <c r="D252" s="232"/>
      <c r="E252" s="231"/>
      <c r="F252" s="231"/>
      <c r="G252" s="233"/>
      <c r="H252" s="233"/>
      <c r="I252" s="258"/>
      <c r="J252" s="236"/>
      <c r="K252" s="237">
        <f t="shared" ref="K252:L252" si="28">SUBTOTAL(9,K253:K266)</f>
        <v>0</v>
      </c>
      <c r="L252" s="237">
        <f t="shared" si="28"/>
        <v>0</v>
      </c>
      <c r="M252" s="220"/>
      <c r="N252" s="220"/>
      <c r="O252" s="220"/>
      <c r="P252" s="220"/>
      <c r="Q252" s="220"/>
      <c r="R252" s="220"/>
      <c r="S252" s="220"/>
      <c r="T252" s="220"/>
      <c r="U252" s="220"/>
      <c r="V252" s="220"/>
      <c r="W252" s="220"/>
    </row>
    <row r="253" ht="15.75" customHeight="1" outlineLevel="1">
      <c r="A253" s="213"/>
      <c r="B253" s="212"/>
      <c r="C253" s="213"/>
      <c r="D253" s="214" t="str">
        <f>IFERROR(VLOOKUP($C253,'PORTIFÓLIO'!C:V,2,0),"")</f>
        <v/>
      </c>
      <c r="E253" s="211" t="str">
        <f>IFERROR(VLOOKUP($C253,'PORTIFÓLIO'!C:V,3,0),"")</f>
        <v/>
      </c>
      <c r="F253" s="211" t="str">
        <f>IFERROR(VLOOKUP($C253,'PORTIFÓLIO'!C:V,4,0),"")</f>
        <v/>
      </c>
      <c r="G253" s="215" t="str">
        <f>IFERROR(VLOOKUP($C253,'PORTIFÓLIO'!C:V,5,0),"")</f>
        <v/>
      </c>
      <c r="H253" s="254" t="str">
        <f t="array" ref="H253">IFERROR(INDEX('PORTIFÓLIO'!$H$4:$H$433,MATCH($C253,'PORTIFÓLIO'!$C$4:$C$433,0)),"")</f>
        <v/>
      </c>
      <c r="I253" s="255"/>
      <c r="J253" s="218">
        <f t="shared" ref="J253:J270" si="29">I253*$B$2</f>
        <v>0</v>
      </c>
      <c r="K253" s="292" t="str">
        <f t="array" ref="K253">IFERROR(I253*INDEX('PORTIFÓLIO'!$S$4:$S$433,MATCH($C253,'PORTIFÓLIO'!$C$4:$C$433,0)),"")</f>
        <v/>
      </c>
      <c r="L253" s="292" t="str">
        <f t="array" ref="L253">IFERROR(J253*INDEX('PORTIFÓLIO'!$S$4:$S$433,MATCH($C253,'PORTIFÓLIO'!$C$4:$C$433,0)),"")</f>
        <v/>
      </c>
      <c r="M253" s="220"/>
      <c r="N253" s="220"/>
      <c r="O253" s="220"/>
      <c r="P253" s="220"/>
      <c r="Q253" s="220"/>
      <c r="R253" s="220"/>
      <c r="S253" s="220"/>
      <c r="T253" s="220"/>
      <c r="U253" s="220"/>
      <c r="V253" s="220"/>
      <c r="W253" s="220"/>
    </row>
    <row r="254" ht="15.75" customHeight="1" outlineLevel="1">
      <c r="A254" s="211"/>
      <c r="B254" s="212"/>
      <c r="C254" s="213"/>
      <c r="D254" s="214" t="str">
        <f>IFERROR(VLOOKUP($C254,'PORTIFÓLIO'!C:V,2,0),"")</f>
        <v/>
      </c>
      <c r="E254" s="211" t="str">
        <f>IFERROR(VLOOKUP($C254,'PORTIFÓLIO'!C:V,3,0),"")</f>
        <v/>
      </c>
      <c r="F254" s="211" t="str">
        <f>IFERROR(VLOOKUP($C254,'PORTIFÓLIO'!C:V,4,0),"")</f>
        <v/>
      </c>
      <c r="G254" s="215" t="str">
        <f>IFERROR(VLOOKUP($C254,'PORTIFÓLIO'!C:V,5,0),"")</f>
        <v/>
      </c>
      <c r="H254" s="254" t="str">
        <f t="array" ref="H254">IFERROR(INDEX('PORTIFÓLIO'!$H$4:$H$433,MATCH($C254,'PORTIFÓLIO'!$C$4:$C$433,0)),"")</f>
        <v/>
      </c>
      <c r="I254" s="255"/>
      <c r="J254" s="218">
        <f t="shared" si="29"/>
        <v>0</v>
      </c>
      <c r="K254" s="292" t="str">
        <f t="array" ref="K254">IFERROR(I254*INDEX('PORTIFÓLIO'!$S$4:$S$433,MATCH($C254,'PORTIFÓLIO'!$C$4:$C$433,0)),"")</f>
        <v/>
      </c>
      <c r="L254" s="292" t="str">
        <f t="array" ref="L254">IFERROR(J254*INDEX('PORTIFÓLIO'!$S$4:$S$433,MATCH($C254,'PORTIFÓLIO'!$C$4:$C$433,0)),"")</f>
        <v/>
      </c>
      <c r="M254" s="220"/>
      <c r="N254" s="220"/>
      <c r="O254" s="220"/>
      <c r="P254" s="220"/>
      <c r="Q254" s="220"/>
      <c r="R254" s="220"/>
      <c r="S254" s="220"/>
      <c r="T254" s="220"/>
      <c r="U254" s="220"/>
      <c r="V254" s="220"/>
      <c r="W254" s="220"/>
    </row>
    <row r="255" ht="15.75" customHeight="1" outlineLevel="1">
      <c r="A255" s="211"/>
      <c r="B255" s="212"/>
      <c r="C255" s="213"/>
      <c r="D255" s="214" t="str">
        <f>IFERROR(VLOOKUP($C255,'PORTIFÓLIO'!C:V,2,0),"")</f>
        <v/>
      </c>
      <c r="E255" s="211" t="str">
        <f>IFERROR(VLOOKUP($C255,'PORTIFÓLIO'!C:V,3,0),"")</f>
        <v/>
      </c>
      <c r="F255" s="211" t="str">
        <f>IFERROR(VLOOKUP($C255,'PORTIFÓLIO'!C:V,4,0),"")</f>
        <v/>
      </c>
      <c r="G255" s="215" t="str">
        <f>IFERROR(VLOOKUP($C255,'PORTIFÓLIO'!C:V,5,0),"")</f>
        <v/>
      </c>
      <c r="H255" s="254" t="str">
        <f t="array" ref="H255">IFERROR(INDEX('PORTIFÓLIO'!$H$4:$H$433,MATCH($C255,'PORTIFÓLIO'!$C$4:$C$433,0)),"")</f>
        <v/>
      </c>
      <c r="I255" s="256"/>
      <c r="J255" s="218">
        <f t="shared" si="29"/>
        <v>0</v>
      </c>
      <c r="K255" s="292" t="str">
        <f t="array" ref="K255">IFERROR(I255*INDEX('PORTIFÓLIO'!$S$4:$S$433,MATCH($C255,'PORTIFÓLIO'!$C$4:$C$433,0)),"")</f>
        <v/>
      </c>
      <c r="L255" s="292" t="str">
        <f t="array" ref="L255">IFERROR(J255*INDEX('PORTIFÓLIO'!$S$4:$S$433,MATCH($C255,'PORTIFÓLIO'!$C$4:$C$433,0)),"")</f>
        <v/>
      </c>
      <c r="M255" s="220"/>
      <c r="N255" s="220"/>
      <c r="O255" s="220"/>
      <c r="P255" s="220"/>
      <c r="Q255" s="220"/>
      <c r="R255" s="220"/>
      <c r="S255" s="220"/>
      <c r="T255" s="220"/>
      <c r="U255" s="220"/>
      <c r="V255" s="220"/>
      <c r="W255" s="220"/>
    </row>
    <row r="256" ht="15.75" customHeight="1" outlineLevel="1">
      <c r="A256" s="211"/>
      <c r="B256" s="212"/>
      <c r="C256" s="213"/>
      <c r="D256" s="214" t="str">
        <f>IFERROR(VLOOKUP($C256,'PORTIFÓLIO'!C:V,2,0),"")</f>
        <v/>
      </c>
      <c r="E256" s="211" t="str">
        <f>IFERROR(VLOOKUP($C256,'PORTIFÓLIO'!C:V,3,0),"")</f>
        <v/>
      </c>
      <c r="F256" s="211" t="str">
        <f>IFERROR(VLOOKUP($C256,'PORTIFÓLIO'!C:V,4,0),"")</f>
        <v/>
      </c>
      <c r="G256" s="215" t="str">
        <f>IFERROR(VLOOKUP($C256,'PORTIFÓLIO'!C:V,5,0),"")</f>
        <v/>
      </c>
      <c r="H256" s="254" t="str">
        <f t="array" ref="H256">IFERROR(INDEX('PORTIFÓLIO'!$H$4:$H$433,MATCH($C256,'PORTIFÓLIO'!$C$4:$C$433,0)),"")</f>
        <v/>
      </c>
      <c r="I256" s="255"/>
      <c r="J256" s="218">
        <f t="shared" si="29"/>
        <v>0</v>
      </c>
      <c r="K256" s="292" t="str">
        <f t="array" ref="K256">IFERROR(I256*INDEX('PORTIFÓLIO'!$S$4:$S$433,MATCH($C256,'PORTIFÓLIO'!$C$4:$C$433,0)),"")</f>
        <v/>
      </c>
      <c r="L256" s="292" t="str">
        <f t="array" ref="L256">IFERROR(J256*INDEX('PORTIFÓLIO'!$S$4:$S$433,MATCH($C256,'PORTIFÓLIO'!$C$4:$C$433,0)),"")</f>
        <v/>
      </c>
      <c r="M256" s="220"/>
      <c r="N256" s="220"/>
      <c r="O256" s="220"/>
      <c r="P256" s="220"/>
      <c r="Q256" s="220"/>
      <c r="R256" s="220"/>
      <c r="S256" s="220"/>
      <c r="T256" s="220"/>
      <c r="U256" s="220"/>
      <c r="V256" s="220"/>
      <c r="W256" s="220"/>
    </row>
    <row r="257" ht="15.75" customHeight="1" outlineLevel="1">
      <c r="A257" s="211"/>
      <c r="B257" s="212"/>
      <c r="C257" s="213"/>
      <c r="D257" s="214" t="str">
        <f>IFERROR(VLOOKUP($C257,'PORTIFÓLIO'!C:V,2,0),"")</f>
        <v/>
      </c>
      <c r="E257" s="211" t="str">
        <f>IFERROR(VLOOKUP($C257,'PORTIFÓLIO'!C:V,3,0),"")</f>
        <v/>
      </c>
      <c r="F257" s="211" t="str">
        <f>IFERROR(VLOOKUP($C257,'PORTIFÓLIO'!C:V,4,0),"")</f>
        <v/>
      </c>
      <c r="G257" s="215" t="str">
        <f>IFERROR(VLOOKUP($C257,'PORTIFÓLIO'!C:V,5,0),"")</f>
        <v/>
      </c>
      <c r="H257" s="254" t="str">
        <f t="array" ref="H257">IFERROR(INDEX('PORTIFÓLIO'!$H$4:$H$433,MATCH($C257,'PORTIFÓLIO'!$C$4:$C$433,0)),"")</f>
        <v/>
      </c>
      <c r="I257" s="256"/>
      <c r="J257" s="218">
        <f t="shared" si="29"/>
        <v>0</v>
      </c>
      <c r="K257" s="292" t="str">
        <f t="array" ref="K257">IFERROR(I257*INDEX('PORTIFÓLIO'!$S$4:$S$433,MATCH($C257,'PORTIFÓLIO'!$C$4:$C$433,0)),"")</f>
        <v/>
      </c>
      <c r="L257" s="292" t="str">
        <f t="array" ref="L257">IFERROR(J257*INDEX('PORTIFÓLIO'!$S$4:$S$433,MATCH($C257,'PORTIFÓLIO'!$C$4:$C$433,0)),"")</f>
        <v/>
      </c>
      <c r="M257" s="220"/>
      <c r="N257" s="220"/>
      <c r="O257" s="220"/>
      <c r="P257" s="220"/>
      <c r="Q257" s="220"/>
      <c r="R257" s="220"/>
      <c r="S257" s="220"/>
      <c r="T257" s="220"/>
      <c r="U257" s="220"/>
      <c r="V257" s="220"/>
      <c r="W257" s="220"/>
    </row>
    <row r="258" ht="15.75" customHeight="1" outlineLevel="1">
      <c r="A258" s="211"/>
      <c r="B258" s="212"/>
      <c r="C258" s="213"/>
      <c r="D258" s="214" t="str">
        <f>IFERROR(VLOOKUP($C258,'PORTIFÓLIO'!C:V,2,0),"")</f>
        <v/>
      </c>
      <c r="E258" s="211" t="str">
        <f>IFERROR(VLOOKUP($C258,'PORTIFÓLIO'!C:V,3,0),"")</f>
        <v/>
      </c>
      <c r="F258" s="211" t="str">
        <f>IFERROR(VLOOKUP($C258,'PORTIFÓLIO'!C:V,4,0),"")</f>
        <v/>
      </c>
      <c r="G258" s="215" t="str">
        <f>IFERROR(VLOOKUP($C258,'PORTIFÓLIO'!C:V,5,0),"")</f>
        <v/>
      </c>
      <c r="H258" s="254" t="str">
        <f t="array" ref="H258">IFERROR(INDEX('PORTIFÓLIO'!$H$4:$H$433,MATCH($C258,'PORTIFÓLIO'!$C$4:$C$433,0)),"")</f>
        <v/>
      </c>
      <c r="I258" s="256"/>
      <c r="J258" s="218">
        <f t="shared" si="29"/>
        <v>0</v>
      </c>
      <c r="K258" s="292" t="str">
        <f t="array" ref="K258">IFERROR(I258*INDEX('PORTIFÓLIO'!$S$4:$S$433,MATCH($C258,'PORTIFÓLIO'!$C$4:$C$433,0)),"")</f>
        <v/>
      </c>
      <c r="L258" s="292" t="str">
        <f t="array" ref="L258">IFERROR(J258*INDEX('PORTIFÓLIO'!$S$4:$S$433,MATCH($C258,'PORTIFÓLIO'!$C$4:$C$433,0)),"")</f>
        <v/>
      </c>
      <c r="M258" s="220"/>
      <c r="N258" s="220"/>
      <c r="O258" s="220"/>
      <c r="P258" s="220"/>
      <c r="Q258" s="220"/>
      <c r="R258" s="220"/>
      <c r="S258" s="220"/>
      <c r="T258" s="220"/>
      <c r="U258" s="220"/>
      <c r="V258" s="220"/>
      <c r="W258" s="220"/>
    </row>
    <row r="259" ht="15.75" customHeight="1" outlineLevel="1">
      <c r="A259" s="211"/>
      <c r="B259" s="212"/>
      <c r="C259" s="213"/>
      <c r="D259" s="214" t="str">
        <f>IFERROR(VLOOKUP($C259,'PORTIFÓLIO'!C:V,2,0),"")</f>
        <v/>
      </c>
      <c r="E259" s="211" t="str">
        <f>IFERROR(VLOOKUP($C259,'PORTIFÓLIO'!C:V,3,0),"")</f>
        <v/>
      </c>
      <c r="F259" s="211" t="str">
        <f>IFERROR(VLOOKUP($C259,'PORTIFÓLIO'!C:V,4,0),"")</f>
        <v/>
      </c>
      <c r="G259" s="215" t="str">
        <f>IFERROR(VLOOKUP($C259,'PORTIFÓLIO'!C:V,5,0),"")</f>
        <v/>
      </c>
      <c r="H259" s="254" t="str">
        <f t="array" ref="H259">IFERROR(INDEX('PORTIFÓLIO'!$H$4:$H$433,MATCH($C259,'PORTIFÓLIO'!$C$4:$C$433,0)),"")</f>
        <v/>
      </c>
      <c r="I259" s="256"/>
      <c r="J259" s="218">
        <f t="shared" si="29"/>
        <v>0</v>
      </c>
      <c r="K259" s="292" t="str">
        <f t="array" ref="K259">IFERROR(I259*INDEX('PORTIFÓLIO'!$S$4:$S$433,MATCH($C259,'PORTIFÓLIO'!$C$4:$C$433,0)),"")</f>
        <v/>
      </c>
      <c r="L259" s="292" t="str">
        <f t="array" ref="L259">IFERROR(J259*INDEX('PORTIFÓLIO'!$S$4:$S$433,MATCH($C259,'PORTIFÓLIO'!$C$4:$C$433,0)),"")</f>
        <v/>
      </c>
      <c r="M259" s="220"/>
      <c r="N259" s="220"/>
      <c r="O259" s="220"/>
      <c r="P259" s="220"/>
      <c r="Q259" s="220"/>
      <c r="R259" s="220"/>
      <c r="S259" s="220"/>
      <c r="T259" s="220"/>
      <c r="U259" s="220"/>
      <c r="V259" s="220"/>
      <c r="W259" s="220"/>
    </row>
    <row r="260" ht="15.75" customHeight="1" outlineLevel="1">
      <c r="A260" s="211"/>
      <c r="B260" s="212"/>
      <c r="C260" s="213"/>
      <c r="D260" s="214" t="str">
        <f>IFERROR(VLOOKUP($C260,'PORTIFÓLIO'!C:V,2,0),"")</f>
        <v/>
      </c>
      <c r="E260" s="211" t="str">
        <f>IFERROR(VLOOKUP($C260,'PORTIFÓLIO'!C:V,3,0),"")</f>
        <v/>
      </c>
      <c r="F260" s="211" t="str">
        <f>IFERROR(VLOOKUP($C260,'PORTIFÓLIO'!C:V,4,0),"")</f>
        <v/>
      </c>
      <c r="G260" s="215" t="str">
        <f>IFERROR(VLOOKUP($C260,'PORTIFÓLIO'!C:V,5,0),"")</f>
        <v/>
      </c>
      <c r="H260" s="254" t="str">
        <f t="array" ref="H260">IFERROR(INDEX('PORTIFÓLIO'!$H$4:$H$433,MATCH($C260,'PORTIFÓLIO'!$C$4:$C$433,0)),"")</f>
        <v/>
      </c>
      <c r="I260" s="256"/>
      <c r="J260" s="218">
        <f t="shared" si="29"/>
        <v>0</v>
      </c>
      <c r="K260" s="292" t="str">
        <f t="array" ref="K260">IFERROR(I260*INDEX('PORTIFÓLIO'!$S$4:$S$433,MATCH($C260,'PORTIFÓLIO'!$C$4:$C$433,0)),"")</f>
        <v/>
      </c>
      <c r="L260" s="292" t="str">
        <f t="array" ref="L260">IFERROR(J260*INDEX('PORTIFÓLIO'!$S$4:$S$433,MATCH($C260,'PORTIFÓLIO'!$C$4:$C$433,0)),"")</f>
        <v/>
      </c>
      <c r="M260" s="220"/>
      <c r="N260" s="220"/>
      <c r="O260" s="220"/>
      <c r="P260" s="220"/>
      <c r="Q260" s="220"/>
      <c r="R260" s="220"/>
      <c r="S260" s="220"/>
      <c r="T260" s="220"/>
      <c r="U260" s="220"/>
      <c r="V260" s="220"/>
      <c r="W260" s="220"/>
    </row>
    <row r="261" ht="15.75" customHeight="1" outlineLevel="1">
      <c r="A261" s="211"/>
      <c r="B261" s="212"/>
      <c r="C261" s="213"/>
      <c r="D261" s="214" t="str">
        <f>IFERROR(VLOOKUP($C261,'PORTIFÓLIO'!C:V,2,0),"")</f>
        <v/>
      </c>
      <c r="E261" s="211" t="str">
        <f>IFERROR(VLOOKUP($C261,'PORTIFÓLIO'!C:V,3,0),"")</f>
        <v/>
      </c>
      <c r="F261" s="211" t="str">
        <f>IFERROR(VLOOKUP($C261,'PORTIFÓLIO'!C:V,4,0),"")</f>
        <v/>
      </c>
      <c r="G261" s="215" t="str">
        <f>IFERROR(VLOOKUP($C261,'PORTIFÓLIO'!C:V,5,0),"")</f>
        <v/>
      </c>
      <c r="H261" s="254" t="str">
        <f t="array" ref="H261">IFERROR(INDEX('PORTIFÓLIO'!$H$4:$H$433,MATCH($C261,'PORTIFÓLIO'!$C$4:$C$433,0)),"")</f>
        <v/>
      </c>
      <c r="I261" s="255"/>
      <c r="J261" s="218">
        <f t="shared" si="29"/>
        <v>0</v>
      </c>
      <c r="K261" s="292" t="str">
        <f t="array" ref="K261">IFERROR(I261*INDEX('PORTIFÓLIO'!$S$4:$S$433,MATCH($C261,'PORTIFÓLIO'!$C$4:$C$433,0)),"")</f>
        <v/>
      </c>
      <c r="L261" s="292" t="str">
        <f t="array" ref="L261">IFERROR(J261*INDEX('PORTIFÓLIO'!$S$4:$S$433,MATCH($C261,'PORTIFÓLIO'!$C$4:$C$433,0)),"")</f>
        <v/>
      </c>
      <c r="M261" s="220"/>
      <c r="N261" s="220"/>
      <c r="O261" s="220"/>
      <c r="P261" s="220"/>
      <c r="Q261" s="220"/>
      <c r="R261" s="220"/>
      <c r="S261" s="220"/>
      <c r="T261" s="220"/>
      <c r="U261" s="220"/>
      <c r="V261" s="220"/>
      <c r="W261" s="220"/>
    </row>
    <row r="262" ht="15.75" customHeight="1" outlineLevel="1">
      <c r="A262" s="211"/>
      <c r="B262" s="212"/>
      <c r="C262" s="213"/>
      <c r="D262" s="214" t="str">
        <f>IFERROR(VLOOKUP($C262,'PORTIFÓLIO'!C:V,2,0),"")</f>
        <v/>
      </c>
      <c r="E262" s="211" t="str">
        <f>IFERROR(VLOOKUP($C262,'PORTIFÓLIO'!C:V,3,0),"")</f>
        <v/>
      </c>
      <c r="F262" s="211" t="str">
        <f>IFERROR(VLOOKUP($C262,'PORTIFÓLIO'!C:V,4,0),"")</f>
        <v/>
      </c>
      <c r="G262" s="215" t="str">
        <f>IFERROR(VLOOKUP($C262,'PORTIFÓLIO'!C:V,5,0),"")</f>
        <v/>
      </c>
      <c r="H262" s="254" t="str">
        <f t="array" ref="H262">IFERROR(INDEX('PORTIFÓLIO'!$H$4:$H$433,MATCH($C262,'PORTIFÓLIO'!$C$4:$C$433,0)),"")</f>
        <v/>
      </c>
      <c r="I262" s="256"/>
      <c r="J262" s="218">
        <f t="shared" si="29"/>
        <v>0</v>
      </c>
      <c r="K262" s="292" t="str">
        <f t="array" ref="K262">IFERROR(I262*INDEX('PORTIFÓLIO'!$S$4:$S$433,MATCH($C262,'PORTIFÓLIO'!$C$4:$C$433,0)),"")</f>
        <v/>
      </c>
      <c r="L262" s="292" t="str">
        <f t="array" ref="L262">IFERROR(J262*INDEX('PORTIFÓLIO'!$S$4:$S$433,MATCH($C262,'PORTIFÓLIO'!$C$4:$C$433,0)),"")</f>
        <v/>
      </c>
      <c r="M262" s="220"/>
      <c r="N262" s="220"/>
      <c r="O262" s="220"/>
      <c r="P262" s="220"/>
      <c r="Q262" s="220"/>
      <c r="R262" s="220"/>
      <c r="S262" s="220"/>
      <c r="T262" s="220"/>
      <c r="U262" s="220"/>
      <c r="V262" s="220"/>
      <c r="W262" s="220"/>
    </row>
    <row r="263" ht="15.75" customHeight="1" outlineLevel="1">
      <c r="A263" s="211"/>
      <c r="B263" s="212"/>
      <c r="C263" s="213"/>
      <c r="D263" s="214" t="str">
        <f>IFERROR(VLOOKUP($C263,'PORTIFÓLIO'!C:V,2,0),"")</f>
        <v/>
      </c>
      <c r="E263" s="211" t="str">
        <f>IFERROR(VLOOKUP($C263,'PORTIFÓLIO'!C:V,3,0),"")</f>
        <v/>
      </c>
      <c r="F263" s="211" t="str">
        <f>IFERROR(VLOOKUP($C263,'PORTIFÓLIO'!C:V,4,0),"")</f>
        <v/>
      </c>
      <c r="G263" s="215" t="str">
        <f>IFERROR(VLOOKUP($C263,'PORTIFÓLIO'!C:V,5,0),"")</f>
        <v/>
      </c>
      <c r="H263" s="254" t="str">
        <f t="array" ref="H263">IFERROR(INDEX('PORTIFÓLIO'!$H$4:$H$433,MATCH($C263,'PORTIFÓLIO'!$C$4:$C$433,0)),"")</f>
        <v/>
      </c>
      <c r="I263" s="256"/>
      <c r="J263" s="218">
        <f t="shared" si="29"/>
        <v>0</v>
      </c>
      <c r="K263" s="292" t="str">
        <f t="array" ref="K263">IFERROR(I263*INDEX('PORTIFÓLIO'!$S$4:$S$433,MATCH($C263,'PORTIFÓLIO'!$C$4:$C$433,0)),"")</f>
        <v/>
      </c>
      <c r="L263" s="292" t="str">
        <f t="array" ref="L263">IFERROR(J263*INDEX('PORTIFÓLIO'!$S$4:$S$433,MATCH($C263,'PORTIFÓLIO'!$C$4:$C$433,0)),"")</f>
        <v/>
      </c>
      <c r="M263" s="220"/>
      <c r="N263" s="220"/>
      <c r="O263" s="220"/>
      <c r="P263" s="220"/>
      <c r="Q263" s="220"/>
      <c r="R263" s="220"/>
      <c r="S263" s="220"/>
      <c r="T263" s="220"/>
      <c r="U263" s="220"/>
      <c r="V263" s="220"/>
      <c r="W263" s="220"/>
    </row>
    <row r="264" ht="15.75" customHeight="1" outlineLevel="1">
      <c r="A264" s="211"/>
      <c r="B264" s="212"/>
      <c r="C264" s="213"/>
      <c r="D264" s="214" t="str">
        <f>IFERROR(VLOOKUP($C264,'PORTIFÓLIO'!C:V,2,0),"")</f>
        <v/>
      </c>
      <c r="E264" s="211" t="str">
        <f>IFERROR(VLOOKUP($C264,'PORTIFÓLIO'!C:V,3,0),"")</f>
        <v/>
      </c>
      <c r="F264" s="211" t="str">
        <f>IFERROR(VLOOKUP($C264,'PORTIFÓLIO'!C:V,4,0),"")</f>
        <v/>
      </c>
      <c r="G264" s="215" t="str">
        <f>IFERROR(VLOOKUP($C264,'PORTIFÓLIO'!C:V,5,0),"")</f>
        <v/>
      </c>
      <c r="H264" s="254" t="str">
        <f t="array" ref="H264">IFERROR(INDEX('PORTIFÓLIO'!$H$4:$H$433,MATCH($C264,'PORTIFÓLIO'!$C$4:$C$433,0)),"")</f>
        <v/>
      </c>
      <c r="I264" s="256"/>
      <c r="J264" s="218">
        <f t="shared" si="29"/>
        <v>0</v>
      </c>
      <c r="K264" s="292" t="str">
        <f t="array" ref="K264">IFERROR(I264*INDEX('PORTIFÓLIO'!$S$4:$S$433,MATCH($C264,'PORTIFÓLIO'!$C$4:$C$433,0)),"")</f>
        <v/>
      </c>
      <c r="L264" s="292" t="str">
        <f t="array" ref="L264">IFERROR(J264*INDEX('PORTIFÓLIO'!$S$4:$S$433,MATCH($C264,'PORTIFÓLIO'!$C$4:$C$433,0)),"")</f>
        <v/>
      </c>
      <c r="M264" s="220"/>
      <c r="N264" s="220"/>
      <c r="O264" s="220"/>
      <c r="P264" s="220"/>
      <c r="Q264" s="220"/>
      <c r="R264" s="220"/>
      <c r="S264" s="220"/>
      <c r="T264" s="220"/>
      <c r="U264" s="220"/>
      <c r="V264" s="220"/>
      <c r="W264" s="220"/>
    </row>
    <row r="265" ht="15.75" customHeight="1" outlineLevel="1">
      <c r="A265" s="211"/>
      <c r="B265" s="212"/>
      <c r="C265" s="213"/>
      <c r="D265" s="214" t="str">
        <f>IFERROR(VLOOKUP($C265,'PORTIFÓLIO'!C:V,2,0),"")</f>
        <v/>
      </c>
      <c r="E265" s="211" t="str">
        <f>IFERROR(VLOOKUP($C265,'PORTIFÓLIO'!C:V,3,0),"")</f>
        <v/>
      </c>
      <c r="F265" s="211" t="str">
        <f>IFERROR(VLOOKUP($C265,'PORTIFÓLIO'!C:V,4,0),"")</f>
        <v/>
      </c>
      <c r="G265" s="215" t="str">
        <f>IFERROR(VLOOKUP($C265,'PORTIFÓLIO'!C:V,5,0),"")</f>
        <v/>
      </c>
      <c r="H265" s="254" t="str">
        <f t="array" ref="H265">IFERROR(INDEX('PORTIFÓLIO'!$H$4:$H$433,MATCH($C265,'PORTIFÓLIO'!$C$4:$C$433,0)),"")</f>
        <v/>
      </c>
      <c r="I265" s="256"/>
      <c r="J265" s="218">
        <f t="shared" si="29"/>
        <v>0</v>
      </c>
      <c r="K265" s="292" t="str">
        <f t="array" ref="K265">IFERROR(I265*INDEX('PORTIFÓLIO'!$S$4:$S$433,MATCH($C265,'PORTIFÓLIO'!$C$4:$C$433,0)),"")</f>
        <v/>
      </c>
      <c r="L265" s="292" t="str">
        <f t="array" ref="L265">IFERROR(J265*INDEX('PORTIFÓLIO'!$S$4:$S$433,MATCH($C265,'PORTIFÓLIO'!$C$4:$C$433,0)),"")</f>
        <v/>
      </c>
      <c r="M265" s="220"/>
      <c r="N265" s="220"/>
      <c r="O265" s="220"/>
      <c r="P265" s="220"/>
      <c r="Q265" s="220"/>
      <c r="R265" s="220"/>
      <c r="S265" s="220"/>
      <c r="T265" s="220"/>
      <c r="U265" s="220"/>
      <c r="V265" s="220"/>
      <c r="W265" s="220"/>
    </row>
    <row r="266" ht="15.75" customHeight="1" outlineLevel="1">
      <c r="A266" s="211"/>
      <c r="B266" s="212"/>
      <c r="C266" s="213"/>
      <c r="D266" s="214" t="str">
        <f>IFERROR(VLOOKUP($C266,'PORTIFÓLIO'!C:V,2,0),"")</f>
        <v/>
      </c>
      <c r="E266" s="211" t="str">
        <f>IFERROR(VLOOKUP($C266,'PORTIFÓLIO'!C:V,3,0),"")</f>
        <v/>
      </c>
      <c r="F266" s="211" t="str">
        <f>IFERROR(VLOOKUP($C266,'PORTIFÓLIO'!C:V,4,0),"")</f>
        <v/>
      </c>
      <c r="G266" s="215" t="str">
        <f>IFERROR(VLOOKUP($C266,'PORTIFÓLIO'!C:V,5,0),"")</f>
        <v/>
      </c>
      <c r="H266" s="254" t="str">
        <f t="array" ref="H266">IFERROR(INDEX('PORTIFÓLIO'!$H$4:$H$433,MATCH($C266,'PORTIFÓLIO'!$C$4:$C$433,0)),"")</f>
        <v/>
      </c>
      <c r="I266" s="256"/>
      <c r="J266" s="218">
        <f t="shared" si="29"/>
        <v>0</v>
      </c>
      <c r="K266" s="292" t="str">
        <f t="array" ref="K266">IFERROR(I266*INDEX('PORTIFÓLIO'!$S$4:$S$433,MATCH($C266,'PORTIFÓLIO'!$C$4:$C$433,0)),"")</f>
        <v/>
      </c>
      <c r="L266" s="292" t="str">
        <f t="array" ref="L266">IFERROR(J266*INDEX('PORTIFÓLIO'!$S$4:$S$433,MATCH($C266,'PORTIFÓLIO'!$C$4:$C$433,0)),"")</f>
        <v/>
      </c>
      <c r="M266" s="220"/>
      <c r="N266" s="220"/>
      <c r="O266" s="220"/>
      <c r="P266" s="220"/>
      <c r="Q266" s="220"/>
      <c r="R266" s="220"/>
      <c r="S266" s="220"/>
      <c r="T266" s="220"/>
      <c r="U266" s="220"/>
      <c r="V266" s="220"/>
      <c r="W266" s="220"/>
    </row>
    <row r="267" ht="15.75" customHeight="1" outlineLevel="1">
      <c r="A267" s="211"/>
      <c r="B267" s="212"/>
      <c r="C267" s="213"/>
      <c r="D267" s="214" t="str">
        <f>IFERROR(VLOOKUP($C267,'PORTIFÓLIO'!C:V,2,0),"")</f>
        <v/>
      </c>
      <c r="E267" s="211" t="str">
        <f>IFERROR(VLOOKUP($C267,'PORTIFÓLIO'!C:V,3,0),"")</f>
        <v/>
      </c>
      <c r="F267" s="211" t="str">
        <f>IFERROR(VLOOKUP($C267,'PORTIFÓLIO'!C:V,4,0),"")</f>
        <v/>
      </c>
      <c r="G267" s="215" t="str">
        <f>IFERROR(VLOOKUP($C267,'PORTIFÓLIO'!C:V,5,0),"")</f>
        <v/>
      </c>
      <c r="H267" s="254" t="str">
        <f t="array" ref="H267">IFERROR(INDEX('PORTIFÓLIO'!$H$4:$H$433,MATCH($C267,'PORTIFÓLIO'!$C$4:$C$433,0)),"")</f>
        <v/>
      </c>
      <c r="I267" s="256"/>
      <c r="J267" s="218">
        <f t="shared" si="29"/>
        <v>0</v>
      </c>
      <c r="K267" s="292" t="str">
        <f t="array" ref="K267">IFERROR(I267*INDEX('PORTIFÓLIO'!$S$4:$S$433,MATCH($C267,'PORTIFÓLIO'!$C$4:$C$433,0)),"")</f>
        <v/>
      </c>
      <c r="L267" s="292" t="str">
        <f t="array" ref="L267">IFERROR(J267*INDEX('PORTIFÓLIO'!$S$4:$S$433,MATCH($C267,'PORTIFÓLIO'!$C$4:$C$433,0)),"")</f>
        <v/>
      </c>
      <c r="M267" s="220"/>
      <c r="N267" s="220"/>
      <c r="O267" s="220"/>
      <c r="P267" s="220"/>
      <c r="Q267" s="220"/>
      <c r="R267" s="220"/>
      <c r="S267" s="220"/>
      <c r="T267" s="220"/>
      <c r="U267" s="220"/>
      <c r="V267" s="220"/>
      <c r="W267" s="220"/>
    </row>
    <row r="268" ht="15.75" customHeight="1" outlineLevel="1">
      <c r="A268" s="211"/>
      <c r="B268" s="212"/>
      <c r="C268" s="213"/>
      <c r="D268" s="214" t="str">
        <f>IFERROR(VLOOKUP($C268,'PORTIFÓLIO'!C:V,2,0),"")</f>
        <v/>
      </c>
      <c r="E268" s="211" t="str">
        <f>IFERROR(VLOOKUP($C268,'PORTIFÓLIO'!C:V,3,0),"")</f>
        <v/>
      </c>
      <c r="F268" s="211" t="str">
        <f>IFERROR(VLOOKUP($C268,'PORTIFÓLIO'!C:V,4,0),"")</f>
        <v/>
      </c>
      <c r="G268" s="215" t="str">
        <f>IFERROR(VLOOKUP($C268,'PORTIFÓLIO'!C:V,5,0),"")</f>
        <v/>
      </c>
      <c r="H268" s="254" t="str">
        <f t="array" ref="H268">IFERROR(INDEX('PORTIFÓLIO'!$H$4:$H$433,MATCH($C268,'PORTIFÓLIO'!$C$4:$C$433,0)),"")</f>
        <v/>
      </c>
      <c r="I268" s="256"/>
      <c r="J268" s="218">
        <f t="shared" si="29"/>
        <v>0</v>
      </c>
      <c r="K268" s="292" t="str">
        <f t="array" ref="K268">IFERROR(I268*INDEX('PORTIFÓLIO'!$S$4:$S$433,MATCH($C268,'PORTIFÓLIO'!$C$4:$C$433,0)),"")</f>
        <v/>
      </c>
      <c r="L268" s="292" t="str">
        <f t="array" ref="L268">IFERROR(J268*INDEX('PORTIFÓLIO'!$S$4:$S$433,MATCH($C268,'PORTIFÓLIO'!$C$4:$C$433,0)),"")</f>
        <v/>
      </c>
      <c r="M268" s="220"/>
      <c r="N268" s="220"/>
      <c r="O268" s="220"/>
      <c r="P268" s="220"/>
      <c r="Q268" s="220"/>
      <c r="R268" s="220"/>
      <c r="S268" s="220"/>
      <c r="T268" s="220"/>
      <c r="U268" s="220"/>
      <c r="V268" s="220"/>
      <c r="W268" s="220"/>
    </row>
    <row r="269" ht="15.75" customHeight="1" outlineLevel="1">
      <c r="A269" s="211"/>
      <c r="B269" s="212"/>
      <c r="C269" s="213"/>
      <c r="D269" s="214" t="str">
        <f>IFERROR(VLOOKUP($C269,'PORTIFÓLIO'!C:V,2,0),"")</f>
        <v/>
      </c>
      <c r="E269" s="211" t="str">
        <f>IFERROR(VLOOKUP($C269,'PORTIFÓLIO'!C:V,3,0),"")</f>
        <v/>
      </c>
      <c r="F269" s="211" t="str">
        <f>IFERROR(VLOOKUP($C269,'PORTIFÓLIO'!C:V,4,0),"")</f>
        <v/>
      </c>
      <c r="G269" s="215" t="str">
        <f>IFERROR(VLOOKUP($C269,'PORTIFÓLIO'!C:V,5,0),"")</f>
        <v/>
      </c>
      <c r="H269" s="254" t="str">
        <f t="array" ref="H269">IFERROR(INDEX('PORTIFÓLIO'!$H$4:$H$433,MATCH($C269,'PORTIFÓLIO'!$C$4:$C$433,0)),"")</f>
        <v/>
      </c>
      <c r="I269" s="256"/>
      <c r="J269" s="218">
        <f t="shared" si="29"/>
        <v>0</v>
      </c>
      <c r="K269" s="292" t="str">
        <f t="array" ref="K269">IFERROR(I269*INDEX('PORTIFÓLIO'!$S$4:$S$433,MATCH($C269,'PORTIFÓLIO'!$C$4:$C$433,0)),"")</f>
        <v/>
      </c>
      <c r="L269" s="292" t="str">
        <f t="array" ref="L269">IFERROR(J269*INDEX('PORTIFÓLIO'!$S$4:$S$433,MATCH($C269,'PORTIFÓLIO'!$C$4:$C$433,0)),"")</f>
        <v/>
      </c>
      <c r="M269" s="220"/>
      <c r="N269" s="220"/>
      <c r="O269" s="220"/>
      <c r="P269" s="220"/>
      <c r="Q269" s="220"/>
      <c r="R269" s="220"/>
      <c r="S269" s="220"/>
      <c r="T269" s="220"/>
      <c r="U269" s="220"/>
      <c r="V269" s="220"/>
      <c r="W269" s="220"/>
    </row>
    <row r="270" ht="15.75" customHeight="1" outlineLevel="1">
      <c r="A270" s="211"/>
      <c r="B270" s="212"/>
      <c r="C270" s="213"/>
      <c r="D270" s="214" t="str">
        <f>IFERROR(VLOOKUP($C270,'PORTIFÓLIO'!C:V,2,0),"")</f>
        <v/>
      </c>
      <c r="E270" s="211" t="str">
        <f>IFERROR(VLOOKUP($C270,'PORTIFÓLIO'!C:V,3,0),"")</f>
        <v/>
      </c>
      <c r="F270" s="211" t="str">
        <f>IFERROR(VLOOKUP($C270,'PORTIFÓLIO'!C:V,4,0),"")</f>
        <v/>
      </c>
      <c r="G270" s="215" t="str">
        <f>IFERROR(VLOOKUP($C270,'PORTIFÓLIO'!C:V,5,0),"")</f>
        <v/>
      </c>
      <c r="H270" s="254" t="str">
        <f t="array" ref="H270">IFERROR(INDEX('PORTIFÓLIO'!$H$4:$H$433,MATCH($C270,'PORTIFÓLIO'!$C$4:$C$433,0)),"")</f>
        <v/>
      </c>
      <c r="I270" s="256"/>
      <c r="J270" s="218">
        <f t="shared" si="29"/>
        <v>0</v>
      </c>
      <c r="K270" s="292" t="str">
        <f t="array" ref="K270">IFERROR(I270*INDEX('PORTIFÓLIO'!$S$4:$S$433,MATCH($C270,'PORTIFÓLIO'!$C$4:$C$433,0)),"")</f>
        <v/>
      </c>
      <c r="L270" s="292" t="str">
        <f t="array" ref="L270">IFERROR(J270*INDEX('PORTIFÓLIO'!$S$4:$S$433,MATCH($C270,'PORTIFÓLIO'!$C$4:$C$433,0)),"")</f>
        <v/>
      </c>
      <c r="M270" s="220"/>
      <c r="N270" s="220"/>
      <c r="O270" s="220"/>
      <c r="P270" s="220"/>
      <c r="Q270" s="220"/>
      <c r="R270" s="220"/>
      <c r="S270" s="220"/>
      <c r="T270" s="220"/>
      <c r="U270" s="220"/>
      <c r="V270" s="220"/>
      <c r="W270" s="220"/>
    </row>
    <row r="271" ht="15.75" customHeight="1">
      <c r="A271" s="229" t="s">
        <v>1185</v>
      </c>
      <c r="B271" s="230"/>
      <c r="C271" s="231"/>
      <c r="D271" s="232"/>
      <c r="E271" s="231"/>
      <c r="F271" s="231"/>
      <c r="G271" s="233"/>
      <c r="H271" s="233"/>
      <c r="I271" s="258"/>
      <c r="J271" s="236"/>
      <c r="K271" s="237">
        <f t="shared" ref="K271:L271" si="30">SUBTOTAL(9,K272:K285)</f>
        <v>0</v>
      </c>
      <c r="L271" s="237">
        <f t="shared" si="30"/>
        <v>0</v>
      </c>
      <c r="M271" s="220"/>
      <c r="N271" s="220"/>
      <c r="O271" s="220"/>
      <c r="P271" s="220"/>
      <c r="Q271" s="220"/>
      <c r="R271" s="220"/>
      <c r="S271" s="220"/>
      <c r="T271" s="220"/>
      <c r="U271" s="220"/>
      <c r="V271" s="220"/>
      <c r="W271" s="220"/>
    </row>
    <row r="272" ht="15.75" customHeight="1" outlineLevel="1">
      <c r="A272" s="213"/>
      <c r="B272" s="212"/>
      <c r="C272" s="213"/>
      <c r="D272" s="214" t="str">
        <f>IFERROR(VLOOKUP($C272,'PORTIFÓLIO'!C:V,2,0),"")</f>
        <v/>
      </c>
      <c r="E272" s="211" t="str">
        <f>IFERROR(VLOOKUP($C272,'PORTIFÓLIO'!C:V,3,0),"")</f>
        <v/>
      </c>
      <c r="F272" s="211" t="str">
        <f>IFERROR(VLOOKUP($C272,'PORTIFÓLIO'!C:V,4,0),"")</f>
        <v/>
      </c>
      <c r="G272" s="215" t="str">
        <f>IFERROR(VLOOKUP($C272,'PORTIFÓLIO'!C:V,5,0),"")</f>
        <v/>
      </c>
      <c r="H272" s="254" t="str">
        <f t="array" ref="H272">IFERROR(INDEX('PORTIFÓLIO'!$H$4:$H$433,MATCH($C272,'PORTIFÓLIO'!$C$4:$C$433,0)),"")</f>
        <v/>
      </c>
      <c r="I272" s="255"/>
      <c r="J272" s="218">
        <f t="shared" ref="J272:J289" si="31">I272*$B$2</f>
        <v>0</v>
      </c>
      <c r="K272" s="292" t="str">
        <f t="array" ref="K272">IFERROR(I272*INDEX('PORTIFÓLIO'!$S$4:$S$433,MATCH($C272,'PORTIFÓLIO'!$C$4:$C$433,0)),"")</f>
        <v/>
      </c>
      <c r="L272" s="292" t="str">
        <f t="array" ref="L272">IFERROR(J272*INDEX('PORTIFÓLIO'!$S$4:$S$433,MATCH($C272,'PORTIFÓLIO'!$C$4:$C$433,0)),"")</f>
        <v/>
      </c>
      <c r="M272" s="220"/>
      <c r="N272" s="220"/>
      <c r="O272" s="220"/>
      <c r="P272" s="220"/>
      <c r="Q272" s="220"/>
      <c r="R272" s="220"/>
      <c r="S272" s="220"/>
      <c r="T272" s="220"/>
      <c r="U272" s="220"/>
      <c r="V272" s="220"/>
      <c r="W272" s="220"/>
    </row>
    <row r="273" ht="15.75" customHeight="1" outlineLevel="1">
      <c r="A273" s="211"/>
      <c r="B273" s="212"/>
      <c r="C273" s="213"/>
      <c r="D273" s="214" t="str">
        <f>IFERROR(VLOOKUP($C273,'PORTIFÓLIO'!C:V,2,0),"")</f>
        <v/>
      </c>
      <c r="E273" s="211" t="str">
        <f>IFERROR(VLOOKUP($C273,'PORTIFÓLIO'!C:V,3,0),"")</f>
        <v/>
      </c>
      <c r="F273" s="211" t="str">
        <f>IFERROR(VLOOKUP($C273,'PORTIFÓLIO'!C:V,4,0),"")</f>
        <v/>
      </c>
      <c r="G273" s="215" t="str">
        <f>IFERROR(VLOOKUP($C273,'PORTIFÓLIO'!C:V,5,0),"")</f>
        <v/>
      </c>
      <c r="H273" s="254" t="str">
        <f t="array" ref="H273">IFERROR(INDEX('PORTIFÓLIO'!$H$4:$H$433,MATCH($C273,'PORTIFÓLIO'!$C$4:$C$433,0)),"")</f>
        <v/>
      </c>
      <c r="I273" s="256"/>
      <c r="J273" s="218">
        <f t="shared" si="31"/>
        <v>0</v>
      </c>
      <c r="K273" s="292" t="str">
        <f t="array" ref="K273">IFERROR(I273*INDEX('PORTIFÓLIO'!$S$4:$S$433,MATCH($C273,'PORTIFÓLIO'!$C$4:$C$433,0)),"")</f>
        <v/>
      </c>
      <c r="L273" s="292" t="str">
        <f t="array" ref="L273">IFERROR(J273*INDEX('PORTIFÓLIO'!$S$4:$S$433,MATCH($C273,'PORTIFÓLIO'!$C$4:$C$433,0)),"")</f>
        <v/>
      </c>
      <c r="M273" s="220"/>
      <c r="N273" s="220"/>
      <c r="O273" s="220"/>
      <c r="P273" s="220"/>
      <c r="Q273" s="220"/>
      <c r="R273" s="220"/>
      <c r="S273" s="220"/>
      <c r="T273" s="220"/>
      <c r="U273" s="220"/>
      <c r="V273" s="220"/>
      <c r="W273" s="220"/>
    </row>
    <row r="274" ht="15.75" customHeight="1" outlineLevel="1">
      <c r="A274" s="211"/>
      <c r="B274" s="212"/>
      <c r="C274" s="213"/>
      <c r="D274" s="214" t="str">
        <f>IFERROR(VLOOKUP($C274,'PORTIFÓLIO'!C:V,2,0),"")</f>
        <v/>
      </c>
      <c r="E274" s="211" t="str">
        <f>IFERROR(VLOOKUP($C274,'PORTIFÓLIO'!C:V,3,0),"")</f>
        <v/>
      </c>
      <c r="F274" s="211" t="str">
        <f>IFERROR(VLOOKUP($C274,'PORTIFÓLIO'!C:V,4,0),"")</f>
        <v/>
      </c>
      <c r="G274" s="215" t="str">
        <f>IFERROR(VLOOKUP($C274,'PORTIFÓLIO'!C:V,5,0),"")</f>
        <v/>
      </c>
      <c r="H274" s="254" t="str">
        <f t="array" ref="H274">IFERROR(INDEX('PORTIFÓLIO'!$H$4:$H$433,MATCH($C274,'PORTIFÓLIO'!$C$4:$C$433,0)),"")</f>
        <v/>
      </c>
      <c r="I274" s="256"/>
      <c r="J274" s="218">
        <f t="shared" si="31"/>
        <v>0</v>
      </c>
      <c r="K274" s="292" t="str">
        <f t="array" ref="K274">IFERROR(I274*INDEX('PORTIFÓLIO'!$S$4:$S$433,MATCH($C274,'PORTIFÓLIO'!$C$4:$C$433,0)),"")</f>
        <v/>
      </c>
      <c r="L274" s="292" t="str">
        <f t="array" ref="L274">IFERROR(J274*INDEX('PORTIFÓLIO'!$S$4:$S$433,MATCH($C274,'PORTIFÓLIO'!$C$4:$C$433,0)),"")</f>
        <v/>
      </c>
      <c r="M274" s="220"/>
      <c r="N274" s="220"/>
      <c r="O274" s="220"/>
      <c r="P274" s="220"/>
      <c r="Q274" s="220"/>
      <c r="R274" s="220"/>
      <c r="S274" s="220"/>
      <c r="T274" s="220"/>
      <c r="U274" s="220"/>
      <c r="V274" s="220"/>
      <c r="W274" s="220"/>
    </row>
    <row r="275" ht="15.75" customHeight="1" outlineLevel="1">
      <c r="A275" s="211"/>
      <c r="B275" s="212"/>
      <c r="C275" s="213"/>
      <c r="D275" s="214" t="str">
        <f>IFERROR(VLOOKUP($C275,'PORTIFÓLIO'!C:V,2,0),"")</f>
        <v/>
      </c>
      <c r="E275" s="211" t="str">
        <f>IFERROR(VLOOKUP($C275,'PORTIFÓLIO'!C:V,3,0),"")</f>
        <v/>
      </c>
      <c r="F275" s="211" t="str">
        <f>IFERROR(VLOOKUP($C275,'PORTIFÓLIO'!C:V,4,0),"")</f>
        <v/>
      </c>
      <c r="G275" s="215" t="str">
        <f>IFERROR(VLOOKUP($C275,'PORTIFÓLIO'!C:V,5,0),"")</f>
        <v/>
      </c>
      <c r="H275" s="254" t="str">
        <f t="array" ref="H275">IFERROR(INDEX('PORTIFÓLIO'!$H$4:$H$433,MATCH($C275,'PORTIFÓLIO'!$C$4:$C$433,0)),"")</f>
        <v/>
      </c>
      <c r="I275" s="256"/>
      <c r="J275" s="218">
        <f t="shared" si="31"/>
        <v>0</v>
      </c>
      <c r="K275" s="292" t="str">
        <f t="array" ref="K275">IFERROR(I275*INDEX('PORTIFÓLIO'!$S$4:$S$433,MATCH($C275,'PORTIFÓLIO'!$C$4:$C$433,0)),"")</f>
        <v/>
      </c>
      <c r="L275" s="292" t="str">
        <f t="array" ref="L275">IFERROR(J275*INDEX('PORTIFÓLIO'!$S$4:$S$433,MATCH($C275,'PORTIFÓLIO'!$C$4:$C$433,0)),"")</f>
        <v/>
      </c>
      <c r="M275" s="220"/>
      <c r="N275" s="220"/>
      <c r="O275" s="220"/>
      <c r="P275" s="220"/>
      <c r="Q275" s="220"/>
      <c r="R275" s="220"/>
      <c r="S275" s="220"/>
      <c r="T275" s="220"/>
      <c r="U275" s="220"/>
      <c r="V275" s="220"/>
      <c r="W275" s="220"/>
    </row>
    <row r="276" ht="15.75" customHeight="1" outlineLevel="1">
      <c r="A276" s="211"/>
      <c r="B276" s="212"/>
      <c r="C276" s="213"/>
      <c r="D276" s="214" t="str">
        <f>IFERROR(VLOOKUP($C276,'PORTIFÓLIO'!C:V,2,0),"")</f>
        <v/>
      </c>
      <c r="E276" s="211" t="str">
        <f>IFERROR(VLOOKUP($C276,'PORTIFÓLIO'!C:V,3,0),"")</f>
        <v/>
      </c>
      <c r="F276" s="211" t="str">
        <f>IFERROR(VLOOKUP($C276,'PORTIFÓLIO'!C:V,4,0),"")</f>
        <v/>
      </c>
      <c r="G276" s="215" t="str">
        <f>IFERROR(VLOOKUP($C276,'PORTIFÓLIO'!C:V,5,0),"")</f>
        <v/>
      </c>
      <c r="H276" s="254" t="str">
        <f t="array" ref="H276">IFERROR(INDEX('PORTIFÓLIO'!$H$4:$H$433,MATCH($C276,'PORTIFÓLIO'!$C$4:$C$433,0)),"")</f>
        <v/>
      </c>
      <c r="I276" s="256"/>
      <c r="J276" s="218">
        <f t="shared" si="31"/>
        <v>0</v>
      </c>
      <c r="K276" s="292" t="str">
        <f t="array" ref="K276">IFERROR(I276*INDEX('PORTIFÓLIO'!$S$4:$S$433,MATCH($C276,'PORTIFÓLIO'!$C$4:$C$433,0)),"")</f>
        <v/>
      </c>
      <c r="L276" s="292" t="str">
        <f t="array" ref="L276">IFERROR(J276*INDEX('PORTIFÓLIO'!$S$4:$S$433,MATCH($C276,'PORTIFÓLIO'!$C$4:$C$433,0)),"")</f>
        <v/>
      </c>
      <c r="M276" s="220"/>
      <c r="N276" s="220"/>
      <c r="O276" s="220"/>
      <c r="P276" s="220"/>
      <c r="Q276" s="220"/>
      <c r="R276" s="220"/>
      <c r="S276" s="220"/>
      <c r="T276" s="220"/>
      <c r="U276" s="220"/>
      <c r="V276" s="220"/>
      <c r="W276" s="220"/>
    </row>
    <row r="277" ht="15.75" customHeight="1" outlineLevel="1">
      <c r="A277" s="211"/>
      <c r="B277" s="212"/>
      <c r="C277" s="213"/>
      <c r="D277" s="214" t="str">
        <f>IFERROR(VLOOKUP($C277,'PORTIFÓLIO'!C:V,2,0),"")</f>
        <v/>
      </c>
      <c r="E277" s="211" t="str">
        <f>IFERROR(VLOOKUP($C277,'PORTIFÓLIO'!C:V,3,0),"")</f>
        <v/>
      </c>
      <c r="F277" s="211" t="str">
        <f>IFERROR(VLOOKUP($C277,'PORTIFÓLIO'!C:V,4,0),"")</f>
        <v/>
      </c>
      <c r="G277" s="215" t="str">
        <f>IFERROR(VLOOKUP($C277,'PORTIFÓLIO'!C:V,5,0),"")</f>
        <v/>
      </c>
      <c r="H277" s="254" t="str">
        <f t="array" ref="H277">IFERROR(INDEX('PORTIFÓLIO'!$H$4:$H$433,MATCH($C277,'PORTIFÓLIO'!$C$4:$C$433,0)),"")</f>
        <v/>
      </c>
      <c r="I277" s="256"/>
      <c r="J277" s="218">
        <f t="shared" si="31"/>
        <v>0</v>
      </c>
      <c r="K277" s="292" t="str">
        <f t="array" ref="K277">IFERROR(I277*INDEX('PORTIFÓLIO'!$S$4:$S$433,MATCH($C277,'PORTIFÓLIO'!$C$4:$C$433,0)),"")</f>
        <v/>
      </c>
      <c r="L277" s="292" t="str">
        <f t="array" ref="L277">IFERROR(J277*INDEX('PORTIFÓLIO'!$S$4:$S$433,MATCH($C277,'PORTIFÓLIO'!$C$4:$C$433,0)),"")</f>
        <v/>
      </c>
      <c r="M277" s="220"/>
      <c r="N277" s="220"/>
      <c r="O277" s="220"/>
      <c r="P277" s="220"/>
      <c r="Q277" s="220"/>
      <c r="R277" s="220"/>
      <c r="S277" s="220"/>
      <c r="T277" s="220"/>
      <c r="U277" s="220"/>
      <c r="V277" s="220"/>
      <c r="W277" s="220"/>
    </row>
    <row r="278" ht="15.75" customHeight="1" outlineLevel="1">
      <c r="A278" s="211"/>
      <c r="B278" s="212"/>
      <c r="C278" s="213"/>
      <c r="D278" s="214" t="str">
        <f>IFERROR(VLOOKUP($C278,'PORTIFÓLIO'!C:V,2,0),"")</f>
        <v/>
      </c>
      <c r="E278" s="211" t="str">
        <f>IFERROR(VLOOKUP($C278,'PORTIFÓLIO'!C:V,3,0),"")</f>
        <v/>
      </c>
      <c r="F278" s="211" t="str">
        <f>IFERROR(VLOOKUP($C278,'PORTIFÓLIO'!C:V,4,0),"")</f>
        <v/>
      </c>
      <c r="G278" s="215" t="str">
        <f>IFERROR(VLOOKUP($C278,'PORTIFÓLIO'!C:V,5,0),"")</f>
        <v/>
      </c>
      <c r="H278" s="254" t="str">
        <f t="array" ref="H278">IFERROR(INDEX('PORTIFÓLIO'!$H$4:$H$433,MATCH($C278,'PORTIFÓLIO'!$C$4:$C$433,0)),"")</f>
        <v/>
      </c>
      <c r="I278" s="256"/>
      <c r="J278" s="218">
        <f t="shared" si="31"/>
        <v>0</v>
      </c>
      <c r="K278" s="292" t="str">
        <f t="array" ref="K278">IFERROR(I278*INDEX('PORTIFÓLIO'!$S$4:$S$433,MATCH($C278,'PORTIFÓLIO'!$C$4:$C$433,0)),"")</f>
        <v/>
      </c>
      <c r="L278" s="292" t="str">
        <f t="array" ref="L278">IFERROR(J278*INDEX('PORTIFÓLIO'!$S$4:$S$433,MATCH($C278,'PORTIFÓLIO'!$C$4:$C$433,0)),"")</f>
        <v/>
      </c>
      <c r="M278" s="220"/>
      <c r="N278" s="220"/>
      <c r="O278" s="220"/>
      <c r="P278" s="220"/>
      <c r="Q278" s="220"/>
      <c r="R278" s="220"/>
      <c r="S278" s="220"/>
      <c r="T278" s="220"/>
      <c r="U278" s="220"/>
      <c r="V278" s="220"/>
      <c r="W278" s="220"/>
    </row>
    <row r="279" ht="15.75" customHeight="1" outlineLevel="1">
      <c r="A279" s="211"/>
      <c r="B279" s="212"/>
      <c r="C279" s="213"/>
      <c r="D279" s="214" t="str">
        <f>IFERROR(VLOOKUP($C279,'PORTIFÓLIO'!C:V,2,0),"")</f>
        <v/>
      </c>
      <c r="E279" s="211" t="str">
        <f>IFERROR(VLOOKUP($C279,'PORTIFÓLIO'!C:V,3,0),"")</f>
        <v/>
      </c>
      <c r="F279" s="211" t="str">
        <f>IFERROR(VLOOKUP($C279,'PORTIFÓLIO'!C:V,4,0),"")</f>
        <v/>
      </c>
      <c r="G279" s="215" t="str">
        <f>IFERROR(VLOOKUP($C279,'PORTIFÓLIO'!C:V,5,0),"")</f>
        <v/>
      </c>
      <c r="H279" s="254" t="str">
        <f t="array" ref="H279">IFERROR(INDEX('PORTIFÓLIO'!$H$4:$H$433,MATCH($C279,'PORTIFÓLIO'!$C$4:$C$433,0)),"")</f>
        <v/>
      </c>
      <c r="I279" s="256"/>
      <c r="J279" s="218">
        <f t="shared" si="31"/>
        <v>0</v>
      </c>
      <c r="K279" s="292" t="str">
        <f t="array" ref="K279">IFERROR(I279*INDEX('PORTIFÓLIO'!$S$4:$S$433,MATCH($C279,'PORTIFÓLIO'!$C$4:$C$433,0)),"")</f>
        <v/>
      </c>
      <c r="L279" s="292" t="str">
        <f t="array" ref="L279">IFERROR(J279*INDEX('PORTIFÓLIO'!$S$4:$S$433,MATCH($C279,'PORTIFÓLIO'!$C$4:$C$433,0)),"")</f>
        <v/>
      </c>
      <c r="M279" s="220"/>
      <c r="N279" s="220"/>
      <c r="O279" s="220"/>
      <c r="P279" s="220"/>
      <c r="Q279" s="220"/>
      <c r="R279" s="220"/>
      <c r="S279" s="220"/>
      <c r="T279" s="220"/>
      <c r="U279" s="220"/>
      <c r="V279" s="220"/>
      <c r="W279" s="220"/>
    </row>
    <row r="280" ht="15.75" customHeight="1" outlineLevel="1">
      <c r="A280" s="211"/>
      <c r="B280" s="212"/>
      <c r="C280" s="213"/>
      <c r="D280" s="214" t="str">
        <f>IFERROR(VLOOKUP($C280,'PORTIFÓLIO'!C:V,2,0),"")</f>
        <v/>
      </c>
      <c r="E280" s="211" t="str">
        <f>IFERROR(VLOOKUP($C280,'PORTIFÓLIO'!C:V,3,0),"")</f>
        <v/>
      </c>
      <c r="F280" s="211" t="str">
        <f>IFERROR(VLOOKUP($C280,'PORTIFÓLIO'!C:V,4,0),"")</f>
        <v/>
      </c>
      <c r="G280" s="215" t="str">
        <f>IFERROR(VLOOKUP($C280,'PORTIFÓLIO'!C:V,5,0),"")</f>
        <v/>
      </c>
      <c r="H280" s="254" t="str">
        <f t="array" ref="H280">IFERROR(INDEX('PORTIFÓLIO'!$H$4:$H$433,MATCH($C280,'PORTIFÓLIO'!$C$4:$C$433,0)),"")</f>
        <v/>
      </c>
      <c r="I280" s="255"/>
      <c r="J280" s="218">
        <f t="shared" si="31"/>
        <v>0</v>
      </c>
      <c r="K280" s="292" t="str">
        <f t="array" ref="K280">IFERROR(I280*INDEX('PORTIFÓLIO'!$S$4:$S$433,MATCH($C280,'PORTIFÓLIO'!$C$4:$C$433,0)),"")</f>
        <v/>
      </c>
      <c r="L280" s="292" t="str">
        <f t="array" ref="L280">IFERROR(J280*INDEX('PORTIFÓLIO'!$S$4:$S$433,MATCH($C280,'PORTIFÓLIO'!$C$4:$C$433,0)),"")</f>
        <v/>
      </c>
      <c r="M280" s="220"/>
      <c r="N280" s="220"/>
      <c r="O280" s="220"/>
      <c r="P280" s="220"/>
      <c r="Q280" s="220"/>
      <c r="R280" s="220"/>
      <c r="S280" s="220"/>
      <c r="T280" s="220"/>
      <c r="U280" s="220"/>
      <c r="V280" s="220"/>
      <c r="W280" s="220"/>
    </row>
    <row r="281" ht="15.75" customHeight="1" outlineLevel="1">
      <c r="A281" s="211"/>
      <c r="B281" s="212"/>
      <c r="C281" s="213"/>
      <c r="D281" s="214" t="str">
        <f>IFERROR(VLOOKUP($C281,'PORTIFÓLIO'!C:V,2,0),"")</f>
        <v/>
      </c>
      <c r="E281" s="211" t="str">
        <f>IFERROR(VLOOKUP($C281,'PORTIFÓLIO'!C:V,3,0),"")</f>
        <v/>
      </c>
      <c r="F281" s="211" t="str">
        <f>IFERROR(VLOOKUP($C281,'PORTIFÓLIO'!C:V,4,0),"")</f>
        <v/>
      </c>
      <c r="G281" s="215" t="str">
        <f>IFERROR(VLOOKUP($C281,'PORTIFÓLIO'!C:V,5,0),"")</f>
        <v/>
      </c>
      <c r="H281" s="254" t="str">
        <f t="array" ref="H281">IFERROR(INDEX('PORTIFÓLIO'!$H$4:$H$433,MATCH($C281,'PORTIFÓLIO'!$C$4:$C$433,0)),"")</f>
        <v/>
      </c>
      <c r="I281" s="256"/>
      <c r="J281" s="218">
        <f t="shared" si="31"/>
        <v>0</v>
      </c>
      <c r="K281" s="292" t="str">
        <f t="array" ref="K281">IFERROR(I281*INDEX('PORTIFÓLIO'!$S$4:$S$433,MATCH($C281,'PORTIFÓLIO'!$C$4:$C$433,0)),"")</f>
        <v/>
      </c>
      <c r="L281" s="292" t="str">
        <f t="array" ref="L281">IFERROR(J281*INDEX('PORTIFÓLIO'!$S$4:$S$433,MATCH($C281,'PORTIFÓLIO'!$C$4:$C$433,0)),"")</f>
        <v/>
      </c>
      <c r="M281" s="220"/>
      <c r="N281" s="220"/>
      <c r="O281" s="220"/>
      <c r="P281" s="220"/>
      <c r="Q281" s="220"/>
      <c r="R281" s="220"/>
      <c r="S281" s="220"/>
      <c r="T281" s="220"/>
      <c r="U281" s="220"/>
      <c r="V281" s="220"/>
      <c r="W281" s="220"/>
    </row>
    <row r="282" ht="15.75" customHeight="1" outlineLevel="1">
      <c r="A282" s="211"/>
      <c r="B282" s="212"/>
      <c r="C282" s="213"/>
      <c r="D282" s="214" t="str">
        <f>IFERROR(VLOOKUP($C282,'PORTIFÓLIO'!C:V,2,0),"")</f>
        <v/>
      </c>
      <c r="E282" s="211" t="str">
        <f>IFERROR(VLOOKUP($C282,'PORTIFÓLIO'!C:V,3,0),"")</f>
        <v/>
      </c>
      <c r="F282" s="211" t="str">
        <f>IFERROR(VLOOKUP($C282,'PORTIFÓLIO'!C:V,4,0),"")</f>
        <v/>
      </c>
      <c r="G282" s="215" t="str">
        <f>IFERROR(VLOOKUP($C282,'PORTIFÓLIO'!C:V,5,0),"")</f>
        <v/>
      </c>
      <c r="H282" s="254" t="str">
        <f t="array" ref="H282">IFERROR(INDEX('PORTIFÓLIO'!$H$4:$H$433,MATCH($C282,'PORTIFÓLIO'!$C$4:$C$433,0)),"")</f>
        <v/>
      </c>
      <c r="I282" s="256"/>
      <c r="J282" s="218">
        <f t="shared" si="31"/>
        <v>0</v>
      </c>
      <c r="K282" s="292" t="str">
        <f t="array" ref="K282">IFERROR(I282*INDEX('PORTIFÓLIO'!$S$4:$S$433,MATCH($C282,'PORTIFÓLIO'!$C$4:$C$433,0)),"")</f>
        <v/>
      </c>
      <c r="L282" s="292" t="str">
        <f t="array" ref="L282">IFERROR(J282*INDEX('PORTIFÓLIO'!$S$4:$S$433,MATCH($C282,'PORTIFÓLIO'!$C$4:$C$433,0)),"")</f>
        <v/>
      </c>
      <c r="M282" s="220"/>
      <c r="N282" s="220"/>
      <c r="O282" s="220"/>
      <c r="P282" s="220"/>
      <c r="Q282" s="220"/>
      <c r="R282" s="220"/>
      <c r="S282" s="220"/>
      <c r="T282" s="220"/>
      <c r="U282" s="220"/>
      <c r="V282" s="220"/>
      <c r="W282" s="220"/>
    </row>
    <row r="283" ht="15.75" customHeight="1" outlineLevel="1">
      <c r="A283" s="211"/>
      <c r="B283" s="212"/>
      <c r="C283" s="213"/>
      <c r="D283" s="214" t="str">
        <f>IFERROR(VLOOKUP($C283,'PORTIFÓLIO'!C:V,2,0),"")</f>
        <v/>
      </c>
      <c r="E283" s="211" t="str">
        <f>IFERROR(VLOOKUP($C283,'PORTIFÓLIO'!C:V,3,0),"")</f>
        <v/>
      </c>
      <c r="F283" s="211" t="str">
        <f>IFERROR(VLOOKUP($C283,'PORTIFÓLIO'!C:V,4,0),"")</f>
        <v/>
      </c>
      <c r="G283" s="215" t="str">
        <f>IFERROR(VLOOKUP($C283,'PORTIFÓLIO'!C:V,5,0),"")</f>
        <v/>
      </c>
      <c r="H283" s="254" t="str">
        <f t="array" ref="H283">IFERROR(INDEX('PORTIFÓLIO'!$H$4:$H$433,MATCH($C283,'PORTIFÓLIO'!$C$4:$C$433,0)),"")</f>
        <v/>
      </c>
      <c r="I283" s="256"/>
      <c r="J283" s="218">
        <f t="shared" si="31"/>
        <v>0</v>
      </c>
      <c r="K283" s="292" t="str">
        <f t="array" ref="K283">IFERROR(I283*INDEX('PORTIFÓLIO'!$S$4:$S$433,MATCH($C283,'PORTIFÓLIO'!$C$4:$C$433,0)),"")</f>
        <v/>
      </c>
      <c r="L283" s="292" t="str">
        <f t="array" ref="L283">IFERROR(J283*INDEX('PORTIFÓLIO'!$S$4:$S$433,MATCH($C283,'PORTIFÓLIO'!$C$4:$C$433,0)),"")</f>
        <v/>
      </c>
      <c r="M283" s="220"/>
      <c r="N283" s="220"/>
      <c r="O283" s="220"/>
      <c r="P283" s="220"/>
      <c r="Q283" s="220"/>
      <c r="R283" s="220"/>
      <c r="S283" s="220"/>
      <c r="T283" s="220"/>
      <c r="U283" s="220"/>
      <c r="V283" s="220"/>
      <c r="W283" s="220"/>
    </row>
    <row r="284" ht="15.75" customHeight="1" outlineLevel="1">
      <c r="A284" s="211"/>
      <c r="B284" s="212"/>
      <c r="C284" s="213"/>
      <c r="D284" s="214" t="str">
        <f>IFERROR(VLOOKUP($C284,'PORTIFÓLIO'!C:V,2,0),"")</f>
        <v/>
      </c>
      <c r="E284" s="211" t="str">
        <f>IFERROR(VLOOKUP($C284,'PORTIFÓLIO'!C:V,3,0),"")</f>
        <v/>
      </c>
      <c r="F284" s="211" t="str">
        <f>IFERROR(VLOOKUP($C284,'PORTIFÓLIO'!C:V,4,0),"")</f>
        <v/>
      </c>
      <c r="G284" s="215" t="str">
        <f>IFERROR(VLOOKUP($C284,'PORTIFÓLIO'!C:V,5,0),"")</f>
        <v/>
      </c>
      <c r="H284" s="254" t="str">
        <f t="array" ref="H284">IFERROR(INDEX('PORTIFÓLIO'!$H$4:$H$433,MATCH($C284,'PORTIFÓLIO'!$C$4:$C$433,0)),"")</f>
        <v/>
      </c>
      <c r="I284" s="256"/>
      <c r="J284" s="218">
        <f t="shared" si="31"/>
        <v>0</v>
      </c>
      <c r="K284" s="292" t="str">
        <f t="array" ref="K284">IFERROR(I284*INDEX('PORTIFÓLIO'!$S$4:$S$433,MATCH($C284,'PORTIFÓLIO'!$C$4:$C$433,0)),"")</f>
        <v/>
      </c>
      <c r="L284" s="292" t="str">
        <f t="array" ref="L284">IFERROR(J284*INDEX('PORTIFÓLIO'!$S$4:$S$433,MATCH($C284,'PORTIFÓLIO'!$C$4:$C$433,0)),"")</f>
        <v/>
      </c>
      <c r="M284" s="220"/>
      <c r="N284" s="220"/>
      <c r="O284" s="220"/>
      <c r="P284" s="220"/>
      <c r="Q284" s="220"/>
      <c r="R284" s="220"/>
      <c r="S284" s="220"/>
      <c r="T284" s="220"/>
      <c r="U284" s="220"/>
      <c r="V284" s="220"/>
      <c r="W284" s="220"/>
    </row>
    <row r="285" ht="15.75" customHeight="1" outlineLevel="1">
      <c r="A285" s="211"/>
      <c r="B285" s="212"/>
      <c r="C285" s="213"/>
      <c r="D285" s="214" t="str">
        <f>IFERROR(VLOOKUP($C285,'PORTIFÓLIO'!C:V,2,0),"")</f>
        <v/>
      </c>
      <c r="E285" s="211" t="str">
        <f>IFERROR(VLOOKUP($C285,'PORTIFÓLIO'!C:V,3,0),"")</f>
        <v/>
      </c>
      <c r="F285" s="211" t="str">
        <f>IFERROR(VLOOKUP($C285,'PORTIFÓLIO'!C:V,4,0),"")</f>
        <v/>
      </c>
      <c r="G285" s="215" t="str">
        <f>IFERROR(VLOOKUP($C285,'PORTIFÓLIO'!C:V,5,0),"")</f>
        <v/>
      </c>
      <c r="H285" s="254" t="str">
        <f t="array" ref="H285">IFERROR(INDEX('PORTIFÓLIO'!$H$4:$H$433,MATCH($C285,'PORTIFÓLIO'!$C$4:$C$433,0)),"")</f>
        <v/>
      </c>
      <c r="I285" s="256"/>
      <c r="J285" s="218">
        <f t="shared" si="31"/>
        <v>0</v>
      </c>
      <c r="K285" s="292" t="str">
        <f t="array" ref="K285">IFERROR(I285*INDEX('PORTIFÓLIO'!$S$4:$S$433,MATCH($C285,'PORTIFÓLIO'!$C$4:$C$433,0)),"")</f>
        <v/>
      </c>
      <c r="L285" s="292" t="str">
        <f t="array" ref="L285">IFERROR(J285*INDEX('PORTIFÓLIO'!$S$4:$S$433,MATCH($C285,'PORTIFÓLIO'!$C$4:$C$433,0)),"")</f>
        <v/>
      </c>
      <c r="M285" s="220"/>
      <c r="N285" s="220"/>
      <c r="O285" s="220"/>
      <c r="P285" s="220"/>
      <c r="Q285" s="220"/>
      <c r="R285" s="220"/>
      <c r="S285" s="220"/>
      <c r="T285" s="220"/>
      <c r="U285" s="220"/>
      <c r="V285" s="220"/>
      <c r="W285" s="220"/>
    </row>
    <row r="286" ht="15.75" customHeight="1" outlineLevel="1">
      <c r="A286" s="211"/>
      <c r="B286" s="212"/>
      <c r="C286" s="213"/>
      <c r="D286" s="214" t="str">
        <f>IFERROR(VLOOKUP($C286,'PORTIFÓLIO'!C:V,2,0),"")</f>
        <v/>
      </c>
      <c r="E286" s="211" t="str">
        <f>IFERROR(VLOOKUP($C286,'PORTIFÓLIO'!C:V,3,0),"")</f>
        <v/>
      </c>
      <c r="F286" s="211" t="str">
        <f>IFERROR(VLOOKUP($C286,'PORTIFÓLIO'!C:V,4,0),"")</f>
        <v/>
      </c>
      <c r="G286" s="215" t="str">
        <f>IFERROR(VLOOKUP($C286,'PORTIFÓLIO'!C:V,5,0),"")</f>
        <v/>
      </c>
      <c r="H286" s="254" t="str">
        <f t="array" ref="H286">IFERROR(INDEX('PORTIFÓLIO'!$H$4:$H$433,MATCH($C286,'PORTIFÓLIO'!$C$4:$C$433,0)),"")</f>
        <v/>
      </c>
      <c r="I286" s="256"/>
      <c r="J286" s="218">
        <f t="shared" si="31"/>
        <v>0</v>
      </c>
      <c r="K286" s="292" t="str">
        <f t="array" ref="K286">IFERROR(I286*INDEX('PORTIFÓLIO'!$S$4:$S$433,MATCH($C286,'PORTIFÓLIO'!$C$4:$C$433,0)),"")</f>
        <v/>
      </c>
      <c r="L286" s="292" t="str">
        <f t="array" ref="L286">IFERROR(J286*INDEX('PORTIFÓLIO'!$S$4:$S$433,MATCH($C286,'PORTIFÓLIO'!$C$4:$C$433,0)),"")</f>
        <v/>
      </c>
      <c r="M286" s="220"/>
      <c r="N286" s="220"/>
      <c r="O286" s="220"/>
      <c r="P286" s="220"/>
      <c r="Q286" s="220"/>
      <c r="R286" s="220"/>
      <c r="S286" s="220"/>
      <c r="T286" s="220"/>
      <c r="U286" s="220"/>
      <c r="V286" s="220"/>
      <c r="W286" s="220"/>
    </row>
    <row r="287" ht="15.75" customHeight="1" outlineLevel="1">
      <c r="A287" s="211"/>
      <c r="B287" s="212"/>
      <c r="C287" s="213"/>
      <c r="D287" s="214" t="str">
        <f>IFERROR(VLOOKUP($C287,'PORTIFÓLIO'!C:V,2,0),"")</f>
        <v/>
      </c>
      <c r="E287" s="211" t="str">
        <f>IFERROR(VLOOKUP($C287,'PORTIFÓLIO'!C:V,3,0),"")</f>
        <v/>
      </c>
      <c r="F287" s="211" t="str">
        <f>IFERROR(VLOOKUP($C287,'PORTIFÓLIO'!C:V,4,0),"")</f>
        <v/>
      </c>
      <c r="G287" s="215" t="str">
        <f>IFERROR(VLOOKUP($C287,'PORTIFÓLIO'!C:V,5,0),"")</f>
        <v/>
      </c>
      <c r="H287" s="254" t="str">
        <f t="array" ref="H287">IFERROR(INDEX('PORTIFÓLIO'!$H$4:$H$433,MATCH($C287,'PORTIFÓLIO'!$C$4:$C$433,0)),"")</f>
        <v/>
      </c>
      <c r="I287" s="256"/>
      <c r="J287" s="218">
        <f t="shared" si="31"/>
        <v>0</v>
      </c>
      <c r="K287" s="292" t="str">
        <f t="array" ref="K287">IFERROR(I287*INDEX('PORTIFÓLIO'!$S$4:$S$433,MATCH($C287,'PORTIFÓLIO'!$C$4:$C$433,0)),"")</f>
        <v/>
      </c>
      <c r="L287" s="292" t="str">
        <f t="array" ref="L287">IFERROR(J287*INDEX('PORTIFÓLIO'!$S$4:$S$433,MATCH($C287,'PORTIFÓLIO'!$C$4:$C$433,0)),"")</f>
        <v/>
      </c>
      <c r="M287" s="220"/>
      <c r="N287" s="220"/>
      <c r="O287" s="220"/>
      <c r="P287" s="220"/>
      <c r="Q287" s="220"/>
      <c r="R287" s="220"/>
      <c r="S287" s="220"/>
      <c r="T287" s="220"/>
      <c r="U287" s="220"/>
      <c r="V287" s="220"/>
      <c r="W287" s="220"/>
    </row>
    <row r="288" ht="15.75" customHeight="1" outlineLevel="1">
      <c r="A288" s="211"/>
      <c r="B288" s="212"/>
      <c r="C288" s="213"/>
      <c r="D288" s="214" t="str">
        <f>IFERROR(VLOOKUP($C288,'PORTIFÓLIO'!C:V,2,0),"")</f>
        <v/>
      </c>
      <c r="E288" s="211" t="str">
        <f>IFERROR(VLOOKUP($C288,'PORTIFÓLIO'!C:V,3,0),"")</f>
        <v/>
      </c>
      <c r="F288" s="211" t="str">
        <f>IFERROR(VLOOKUP($C288,'PORTIFÓLIO'!C:V,4,0),"")</f>
        <v/>
      </c>
      <c r="G288" s="215" t="str">
        <f>IFERROR(VLOOKUP($C288,'PORTIFÓLIO'!C:V,5,0),"")</f>
        <v/>
      </c>
      <c r="H288" s="254" t="str">
        <f t="array" ref="H288">IFERROR(INDEX('PORTIFÓLIO'!$H$4:$H$433,MATCH($C288,'PORTIFÓLIO'!$C$4:$C$433,0)),"")</f>
        <v/>
      </c>
      <c r="I288" s="256"/>
      <c r="J288" s="218">
        <f t="shared" si="31"/>
        <v>0</v>
      </c>
      <c r="K288" s="292" t="str">
        <f t="array" ref="K288">IFERROR(I288*INDEX('PORTIFÓLIO'!$S$4:$S$433,MATCH($C288,'PORTIFÓLIO'!$C$4:$C$433,0)),"")</f>
        <v/>
      </c>
      <c r="L288" s="292" t="str">
        <f t="array" ref="L288">IFERROR(J288*INDEX('PORTIFÓLIO'!$S$4:$S$433,MATCH($C288,'PORTIFÓLIO'!$C$4:$C$433,0)),"")</f>
        <v/>
      </c>
      <c r="M288" s="220"/>
      <c r="N288" s="220"/>
      <c r="O288" s="220"/>
      <c r="P288" s="220"/>
      <c r="Q288" s="220"/>
      <c r="R288" s="220"/>
      <c r="S288" s="220"/>
      <c r="T288" s="220"/>
      <c r="U288" s="220"/>
      <c r="V288" s="220"/>
      <c r="W288" s="220"/>
    </row>
    <row r="289" ht="15.75" customHeight="1" outlineLevel="1">
      <c r="A289" s="211"/>
      <c r="B289" s="212"/>
      <c r="C289" s="213"/>
      <c r="D289" s="214" t="str">
        <f>IFERROR(VLOOKUP($C289,'PORTIFÓLIO'!C:V,2,0),"")</f>
        <v/>
      </c>
      <c r="E289" s="211" t="str">
        <f>IFERROR(VLOOKUP($C289,'PORTIFÓLIO'!C:V,3,0),"")</f>
        <v/>
      </c>
      <c r="F289" s="211" t="str">
        <f>IFERROR(VLOOKUP($C289,'PORTIFÓLIO'!C:V,4,0),"")</f>
        <v/>
      </c>
      <c r="G289" s="215" t="str">
        <f>IFERROR(VLOOKUP($C289,'PORTIFÓLIO'!C:V,5,0),"")</f>
        <v/>
      </c>
      <c r="H289" s="254" t="str">
        <f t="array" ref="H289">IFERROR(INDEX('PORTIFÓLIO'!$H$4:$H$433,MATCH($C289,'PORTIFÓLIO'!$C$4:$C$433,0)),"")</f>
        <v/>
      </c>
      <c r="I289" s="256"/>
      <c r="J289" s="218">
        <f t="shared" si="31"/>
        <v>0</v>
      </c>
      <c r="K289" s="292" t="str">
        <f t="array" ref="K289">IFERROR(I289*INDEX('PORTIFÓLIO'!$S$4:$S$433,MATCH($C289,'PORTIFÓLIO'!$C$4:$C$433,0)),"")</f>
        <v/>
      </c>
      <c r="L289" s="292" t="str">
        <f t="array" ref="L289">IFERROR(J289*INDEX('PORTIFÓLIO'!$S$4:$S$433,MATCH($C289,'PORTIFÓLIO'!$C$4:$C$433,0)),"")</f>
        <v/>
      </c>
      <c r="M289" s="220"/>
      <c r="N289" s="220"/>
      <c r="O289" s="220"/>
      <c r="P289" s="220"/>
      <c r="Q289" s="220"/>
      <c r="R289" s="220"/>
      <c r="S289" s="220"/>
      <c r="T289" s="220"/>
      <c r="U289" s="220"/>
      <c r="V289" s="220"/>
      <c r="W289" s="220"/>
    </row>
    <row r="290" ht="15.75" customHeight="1">
      <c r="A290" s="229" t="s">
        <v>1186</v>
      </c>
      <c r="B290" s="230"/>
      <c r="C290" s="231"/>
      <c r="D290" s="232"/>
      <c r="E290" s="231"/>
      <c r="F290" s="231"/>
      <c r="G290" s="233"/>
      <c r="H290" s="233"/>
      <c r="I290" s="258"/>
      <c r="J290" s="236"/>
      <c r="K290" s="237">
        <f t="shared" ref="K290:L290" si="32">SUBTOTAL(9,K291:K304)</f>
        <v>0</v>
      </c>
      <c r="L290" s="237">
        <f t="shared" si="32"/>
        <v>0</v>
      </c>
      <c r="M290" s="220"/>
      <c r="N290" s="220"/>
      <c r="O290" s="220"/>
      <c r="P290" s="220"/>
      <c r="Q290" s="220"/>
      <c r="R290" s="220"/>
      <c r="S290" s="220"/>
      <c r="T290" s="220"/>
      <c r="U290" s="220"/>
      <c r="V290" s="220"/>
      <c r="W290" s="220"/>
    </row>
    <row r="291" ht="15.75" customHeight="1" outlineLevel="1">
      <c r="A291" s="213"/>
      <c r="B291" s="212"/>
      <c r="C291" s="213"/>
      <c r="D291" s="214" t="str">
        <f>IFERROR(VLOOKUP($C291,'PORTIFÓLIO'!C:V,2,0),"")</f>
        <v/>
      </c>
      <c r="E291" s="211" t="str">
        <f>IFERROR(VLOOKUP($C291,'PORTIFÓLIO'!C:V,3,0),"")</f>
        <v/>
      </c>
      <c r="F291" s="211" t="str">
        <f>IFERROR(VLOOKUP($C291,'PORTIFÓLIO'!C:V,4,0),"")</f>
        <v/>
      </c>
      <c r="G291" s="215" t="str">
        <f>IFERROR(VLOOKUP($C291,'PORTIFÓLIO'!C:V,5,0),"")</f>
        <v/>
      </c>
      <c r="H291" s="254" t="str">
        <f t="array" ref="H291">IFERROR(INDEX('PORTIFÓLIO'!$H$4:$H$433,MATCH($C291,'PORTIFÓLIO'!$C$4:$C$433,0)),"")</f>
        <v/>
      </c>
      <c r="I291" s="255"/>
      <c r="J291" s="218">
        <f t="shared" ref="J291:J307" si="33">I291*$B$2</f>
        <v>0</v>
      </c>
      <c r="K291" s="292" t="str">
        <f t="array" ref="K291">IFERROR(I291*INDEX('PORTIFÓLIO'!$S$4:$S$433,MATCH($C291,'PORTIFÓLIO'!$C$4:$C$433,0)),"")</f>
        <v/>
      </c>
      <c r="L291" s="292" t="str">
        <f t="array" ref="L291">IFERROR(J291*INDEX('PORTIFÓLIO'!$S$4:$S$433,MATCH($C291,'PORTIFÓLIO'!$C$4:$C$433,0)),"")</f>
        <v/>
      </c>
      <c r="M291" s="220"/>
      <c r="N291" s="220"/>
      <c r="O291" s="220"/>
      <c r="P291" s="220"/>
      <c r="Q291" s="220"/>
      <c r="R291" s="220"/>
      <c r="S291" s="220"/>
      <c r="T291" s="220"/>
      <c r="U291" s="220"/>
      <c r="V291" s="220"/>
      <c r="W291" s="220"/>
    </row>
    <row r="292" ht="15.75" customHeight="1" outlineLevel="1">
      <c r="A292" s="211"/>
      <c r="B292" s="212"/>
      <c r="C292" s="213"/>
      <c r="D292" s="214" t="str">
        <f>IFERROR(VLOOKUP($C292,'PORTIFÓLIO'!C:V,2,0),"")</f>
        <v/>
      </c>
      <c r="E292" s="211" t="str">
        <f>IFERROR(VLOOKUP($C292,'PORTIFÓLIO'!C:V,3,0),"")</f>
        <v/>
      </c>
      <c r="F292" s="211" t="str">
        <f>IFERROR(VLOOKUP($C292,'PORTIFÓLIO'!C:V,4,0),"")</f>
        <v/>
      </c>
      <c r="G292" s="215" t="str">
        <f>IFERROR(VLOOKUP($C292,'PORTIFÓLIO'!C:V,5,0),"")</f>
        <v/>
      </c>
      <c r="H292" s="254" t="str">
        <f t="array" ref="H292">IFERROR(INDEX('PORTIFÓLIO'!$H$4:$H$433,MATCH($C292,'PORTIFÓLIO'!$C$4:$C$433,0)),"")</f>
        <v/>
      </c>
      <c r="I292" s="256"/>
      <c r="J292" s="218">
        <f t="shared" si="33"/>
        <v>0</v>
      </c>
      <c r="K292" s="292" t="str">
        <f t="array" ref="K292">IFERROR(I292*INDEX('PORTIFÓLIO'!$S$4:$S$433,MATCH($C292,'PORTIFÓLIO'!$C$4:$C$433,0)),"")</f>
        <v/>
      </c>
      <c r="L292" s="292" t="str">
        <f t="array" ref="L292">IFERROR(J292*INDEX('PORTIFÓLIO'!$S$4:$S$433,MATCH($C292,'PORTIFÓLIO'!$C$4:$C$433,0)),"")</f>
        <v/>
      </c>
      <c r="M292" s="220"/>
      <c r="N292" s="220"/>
      <c r="O292" s="220"/>
      <c r="P292" s="220"/>
      <c r="Q292" s="220"/>
      <c r="R292" s="220"/>
      <c r="S292" s="220"/>
      <c r="T292" s="220"/>
      <c r="U292" s="220"/>
      <c r="V292" s="220"/>
      <c r="W292" s="220"/>
    </row>
    <row r="293" ht="15.75" customHeight="1" outlineLevel="1">
      <c r="A293" s="211"/>
      <c r="B293" s="212"/>
      <c r="C293" s="213"/>
      <c r="D293" s="214" t="str">
        <f>IFERROR(VLOOKUP($C293,'PORTIFÓLIO'!C:V,2,0),"")</f>
        <v/>
      </c>
      <c r="E293" s="211" t="str">
        <f>IFERROR(VLOOKUP($C293,'PORTIFÓLIO'!C:V,3,0),"")</f>
        <v/>
      </c>
      <c r="F293" s="211" t="str">
        <f>IFERROR(VLOOKUP($C293,'PORTIFÓLIO'!C:V,4,0),"")</f>
        <v/>
      </c>
      <c r="G293" s="215" t="str">
        <f>IFERROR(VLOOKUP($C293,'PORTIFÓLIO'!C:V,5,0),"")</f>
        <v/>
      </c>
      <c r="H293" s="254" t="str">
        <f t="array" ref="H293">IFERROR(INDEX('PORTIFÓLIO'!$H$4:$H$433,MATCH($C293,'PORTIFÓLIO'!$C$4:$C$433,0)),"")</f>
        <v/>
      </c>
      <c r="I293" s="256"/>
      <c r="J293" s="218">
        <f t="shared" si="33"/>
        <v>0</v>
      </c>
      <c r="K293" s="292" t="str">
        <f t="array" ref="K293">IFERROR(I293*INDEX('PORTIFÓLIO'!$S$4:$S$433,MATCH($C293,'PORTIFÓLIO'!$C$4:$C$433,0)),"")</f>
        <v/>
      </c>
      <c r="L293" s="292" t="str">
        <f t="array" ref="L293">IFERROR(J293*INDEX('PORTIFÓLIO'!$S$4:$S$433,MATCH($C293,'PORTIFÓLIO'!$C$4:$C$433,0)),"")</f>
        <v/>
      </c>
      <c r="M293" s="220"/>
      <c r="N293" s="220"/>
      <c r="O293" s="220"/>
      <c r="P293" s="220"/>
      <c r="Q293" s="220"/>
      <c r="R293" s="220"/>
      <c r="S293" s="220"/>
      <c r="T293" s="220"/>
      <c r="U293" s="220"/>
      <c r="V293" s="220"/>
      <c r="W293" s="220"/>
    </row>
    <row r="294" ht="15.75" customHeight="1" outlineLevel="1">
      <c r="A294" s="211"/>
      <c r="B294" s="212"/>
      <c r="C294" s="213"/>
      <c r="D294" s="214" t="str">
        <f>IFERROR(VLOOKUP($C294,'PORTIFÓLIO'!C:V,2,0),"")</f>
        <v/>
      </c>
      <c r="E294" s="211" t="str">
        <f>IFERROR(VLOOKUP($C294,'PORTIFÓLIO'!C:V,3,0),"")</f>
        <v/>
      </c>
      <c r="F294" s="211" t="str">
        <f>IFERROR(VLOOKUP($C294,'PORTIFÓLIO'!C:V,4,0),"")</f>
        <v/>
      </c>
      <c r="G294" s="215" t="str">
        <f>IFERROR(VLOOKUP($C294,'PORTIFÓLIO'!C:V,5,0),"")</f>
        <v/>
      </c>
      <c r="H294" s="254" t="str">
        <f t="array" ref="H294">IFERROR(INDEX('PORTIFÓLIO'!$H$4:$H$433,MATCH($C294,'PORTIFÓLIO'!$C$4:$C$433,0)),"")</f>
        <v/>
      </c>
      <c r="I294" s="256"/>
      <c r="J294" s="218">
        <f t="shared" si="33"/>
        <v>0</v>
      </c>
      <c r="K294" s="292" t="str">
        <f t="array" ref="K294">IFERROR(I294*INDEX('PORTIFÓLIO'!$S$4:$S$433,MATCH($C294,'PORTIFÓLIO'!$C$4:$C$433,0)),"")</f>
        <v/>
      </c>
      <c r="L294" s="292" t="str">
        <f t="array" ref="L294">IFERROR(J294*INDEX('PORTIFÓLIO'!$S$4:$S$433,MATCH($C294,'PORTIFÓLIO'!$C$4:$C$433,0)),"")</f>
        <v/>
      </c>
      <c r="M294" s="220"/>
      <c r="N294" s="220"/>
      <c r="O294" s="220"/>
      <c r="P294" s="220"/>
      <c r="Q294" s="220"/>
      <c r="R294" s="220"/>
      <c r="S294" s="220"/>
      <c r="T294" s="220"/>
      <c r="U294" s="220"/>
      <c r="V294" s="220"/>
      <c r="W294" s="220"/>
    </row>
    <row r="295" ht="15.75" customHeight="1" outlineLevel="1">
      <c r="A295" s="211"/>
      <c r="B295" s="212"/>
      <c r="C295" s="213"/>
      <c r="D295" s="214" t="str">
        <f>IFERROR(VLOOKUP($C295,'PORTIFÓLIO'!C:V,2,0),"")</f>
        <v/>
      </c>
      <c r="E295" s="211" t="str">
        <f>IFERROR(VLOOKUP($C295,'PORTIFÓLIO'!C:V,3,0),"")</f>
        <v/>
      </c>
      <c r="F295" s="211" t="str">
        <f>IFERROR(VLOOKUP($C295,'PORTIFÓLIO'!C:V,4,0),"")</f>
        <v/>
      </c>
      <c r="G295" s="215" t="str">
        <f>IFERROR(VLOOKUP($C295,'PORTIFÓLIO'!C:V,5,0),"")</f>
        <v/>
      </c>
      <c r="H295" s="254" t="str">
        <f t="array" ref="H295">IFERROR(INDEX('PORTIFÓLIO'!$H$4:$H$433,MATCH($C295,'PORTIFÓLIO'!$C$4:$C$433,0)),"")</f>
        <v/>
      </c>
      <c r="I295" s="256"/>
      <c r="J295" s="218">
        <f t="shared" si="33"/>
        <v>0</v>
      </c>
      <c r="K295" s="292" t="str">
        <f t="array" ref="K295">IFERROR(I295*INDEX('PORTIFÓLIO'!$S$4:$S$433,MATCH($C295,'PORTIFÓLIO'!$C$4:$C$433,0)),"")</f>
        <v/>
      </c>
      <c r="L295" s="292" t="str">
        <f t="array" ref="L295">IFERROR(J295*INDEX('PORTIFÓLIO'!$S$4:$S$433,MATCH($C295,'PORTIFÓLIO'!$C$4:$C$433,0)),"")</f>
        <v/>
      </c>
      <c r="M295" s="220"/>
      <c r="N295" s="220"/>
      <c r="O295" s="220"/>
      <c r="P295" s="220"/>
      <c r="Q295" s="220"/>
      <c r="R295" s="220"/>
      <c r="S295" s="220"/>
      <c r="T295" s="220"/>
      <c r="U295" s="220"/>
      <c r="V295" s="220"/>
      <c r="W295" s="220"/>
    </row>
    <row r="296" ht="15.75" customHeight="1" outlineLevel="1">
      <c r="A296" s="211"/>
      <c r="B296" s="212"/>
      <c r="C296" s="213"/>
      <c r="D296" s="214" t="str">
        <f>IFERROR(VLOOKUP($C296,'PORTIFÓLIO'!C:V,2,0),"")</f>
        <v/>
      </c>
      <c r="E296" s="211" t="str">
        <f>IFERROR(VLOOKUP($C296,'PORTIFÓLIO'!C:V,3,0),"")</f>
        <v/>
      </c>
      <c r="F296" s="211" t="str">
        <f>IFERROR(VLOOKUP($C296,'PORTIFÓLIO'!C:V,4,0),"")</f>
        <v/>
      </c>
      <c r="G296" s="215" t="str">
        <f>IFERROR(VLOOKUP($C296,'PORTIFÓLIO'!C:V,5,0),"")</f>
        <v/>
      </c>
      <c r="H296" s="254" t="str">
        <f t="array" ref="H296">IFERROR(INDEX('PORTIFÓLIO'!$H$4:$H$433,MATCH($C296,'PORTIFÓLIO'!$C$4:$C$433,0)),"")</f>
        <v/>
      </c>
      <c r="I296" s="256"/>
      <c r="J296" s="218">
        <f t="shared" si="33"/>
        <v>0</v>
      </c>
      <c r="K296" s="292" t="str">
        <f t="array" ref="K296">IFERROR(I296*INDEX('PORTIFÓLIO'!$S$4:$S$433,MATCH($C296,'PORTIFÓLIO'!$C$4:$C$433,0)),"")</f>
        <v/>
      </c>
      <c r="L296" s="292" t="str">
        <f t="array" ref="L296">IFERROR(J296*INDEX('PORTIFÓLIO'!$S$4:$S$433,MATCH($C296,'PORTIFÓLIO'!$C$4:$C$433,0)),"")</f>
        <v/>
      </c>
      <c r="M296" s="220"/>
      <c r="N296" s="220"/>
      <c r="O296" s="220"/>
      <c r="P296" s="220"/>
      <c r="Q296" s="220"/>
      <c r="R296" s="220"/>
      <c r="S296" s="220"/>
      <c r="T296" s="220"/>
      <c r="U296" s="220"/>
      <c r="V296" s="220"/>
      <c r="W296" s="220"/>
    </row>
    <row r="297" ht="15.75" customHeight="1" outlineLevel="1">
      <c r="A297" s="211"/>
      <c r="B297" s="212"/>
      <c r="C297" s="213"/>
      <c r="D297" s="214" t="str">
        <f>IFERROR(VLOOKUP($C297,'PORTIFÓLIO'!C:V,2,0),"")</f>
        <v/>
      </c>
      <c r="E297" s="211" t="str">
        <f>IFERROR(VLOOKUP($C297,'PORTIFÓLIO'!C:V,3,0),"")</f>
        <v/>
      </c>
      <c r="F297" s="211" t="str">
        <f>IFERROR(VLOOKUP($C297,'PORTIFÓLIO'!C:V,4,0),"")</f>
        <v/>
      </c>
      <c r="G297" s="215" t="str">
        <f>IFERROR(VLOOKUP($C297,'PORTIFÓLIO'!C:V,5,0),"")</f>
        <v/>
      </c>
      <c r="H297" s="254" t="str">
        <f t="array" ref="H297">IFERROR(INDEX('PORTIFÓLIO'!$H$4:$H$433,MATCH($C297,'PORTIFÓLIO'!$C$4:$C$433,0)),"")</f>
        <v/>
      </c>
      <c r="I297" s="256"/>
      <c r="J297" s="218">
        <f t="shared" si="33"/>
        <v>0</v>
      </c>
      <c r="K297" s="292" t="str">
        <f t="array" ref="K297">IFERROR(I297*INDEX('PORTIFÓLIO'!$S$4:$S$433,MATCH($C297,'PORTIFÓLIO'!$C$4:$C$433,0)),"")</f>
        <v/>
      </c>
      <c r="L297" s="292" t="str">
        <f t="array" ref="L297">IFERROR(J297*INDEX('PORTIFÓLIO'!$S$4:$S$433,MATCH($C297,'PORTIFÓLIO'!$C$4:$C$433,0)),"")</f>
        <v/>
      </c>
      <c r="M297" s="220"/>
      <c r="N297" s="220"/>
      <c r="O297" s="220"/>
      <c r="P297" s="220"/>
      <c r="Q297" s="220"/>
      <c r="R297" s="220"/>
      <c r="S297" s="220"/>
      <c r="T297" s="220"/>
      <c r="U297" s="220"/>
      <c r="V297" s="220"/>
      <c r="W297" s="220"/>
    </row>
    <row r="298" ht="15.75" customHeight="1" outlineLevel="1">
      <c r="A298" s="211"/>
      <c r="B298" s="212"/>
      <c r="C298" s="213"/>
      <c r="D298" s="214" t="str">
        <f>IFERROR(VLOOKUP($C298,'PORTIFÓLIO'!C:V,2,0),"")</f>
        <v/>
      </c>
      <c r="E298" s="211" t="str">
        <f>IFERROR(VLOOKUP($C298,'PORTIFÓLIO'!C:V,3,0),"")</f>
        <v/>
      </c>
      <c r="F298" s="211" t="str">
        <f>IFERROR(VLOOKUP($C298,'PORTIFÓLIO'!C:V,4,0),"")</f>
        <v/>
      </c>
      <c r="G298" s="215" t="str">
        <f>IFERROR(VLOOKUP($C298,'PORTIFÓLIO'!C:V,5,0),"")</f>
        <v/>
      </c>
      <c r="H298" s="254" t="str">
        <f t="array" ref="H298">IFERROR(INDEX('PORTIFÓLIO'!$H$4:$H$433,MATCH($C298,'PORTIFÓLIO'!$C$4:$C$433,0)),"")</f>
        <v/>
      </c>
      <c r="I298" s="256"/>
      <c r="J298" s="218">
        <f t="shared" si="33"/>
        <v>0</v>
      </c>
      <c r="K298" s="292" t="str">
        <f t="array" ref="K298">IFERROR(I298*INDEX('PORTIFÓLIO'!$S$4:$S$433,MATCH($C298,'PORTIFÓLIO'!$C$4:$C$433,0)),"")</f>
        <v/>
      </c>
      <c r="L298" s="292" t="str">
        <f t="array" ref="L298">IFERROR(J298*INDEX('PORTIFÓLIO'!$S$4:$S$433,MATCH($C298,'PORTIFÓLIO'!$C$4:$C$433,0)),"")</f>
        <v/>
      </c>
      <c r="M298" s="220"/>
      <c r="N298" s="220"/>
      <c r="O298" s="220"/>
      <c r="P298" s="220"/>
      <c r="Q298" s="220"/>
      <c r="R298" s="220"/>
      <c r="S298" s="220"/>
      <c r="T298" s="220"/>
      <c r="U298" s="220"/>
      <c r="V298" s="220"/>
      <c r="W298" s="220"/>
    </row>
    <row r="299" ht="15.75" customHeight="1" outlineLevel="1">
      <c r="A299" s="211"/>
      <c r="B299" s="212"/>
      <c r="C299" s="213"/>
      <c r="D299" s="214" t="str">
        <f>IFERROR(VLOOKUP($C299,'PORTIFÓLIO'!C:V,2,0),"")</f>
        <v/>
      </c>
      <c r="E299" s="211" t="str">
        <f>IFERROR(VLOOKUP($C299,'PORTIFÓLIO'!C:V,3,0),"")</f>
        <v/>
      </c>
      <c r="F299" s="211" t="str">
        <f>IFERROR(VLOOKUP($C299,'PORTIFÓLIO'!C:V,4,0),"")</f>
        <v/>
      </c>
      <c r="G299" s="215" t="str">
        <f>IFERROR(VLOOKUP($C299,'PORTIFÓLIO'!C:V,5,0),"")</f>
        <v/>
      </c>
      <c r="H299" s="254" t="str">
        <f t="array" ref="H299">IFERROR(INDEX('PORTIFÓLIO'!$H$4:$H$433,MATCH($C299,'PORTIFÓLIO'!$C$4:$C$433,0)),"")</f>
        <v/>
      </c>
      <c r="I299" s="255"/>
      <c r="J299" s="218">
        <f t="shared" si="33"/>
        <v>0</v>
      </c>
      <c r="K299" s="292" t="str">
        <f t="array" ref="K299">IFERROR(I299*INDEX('PORTIFÓLIO'!$S$4:$S$433,MATCH($C299,'PORTIFÓLIO'!$C$4:$C$433,0)),"")</f>
        <v/>
      </c>
      <c r="L299" s="292" t="str">
        <f t="array" ref="L299">IFERROR(J299*INDEX('PORTIFÓLIO'!$S$4:$S$433,MATCH($C299,'PORTIFÓLIO'!$C$4:$C$433,0)),"")</f>
        <v/>
      </c>
      <c r="M299" s="220"/>
      <c r="N299" s="220"/>
      <c r="O299" s="220"/>
      <c r="P299" s="220"/>
      <c r="Q299" s="220"/>
      <c r="R299" s="220"/>
      <c r="S299" s="220"/>
      <c r="T299" s="220"/>
      <c r="U299" s="220"/>
      <c r="V299" s="220"/>
      <c r="W299" s="220"/>
    </row>
    <row r="300" ht="15.75" customHeight="1" outlineLevel="1">
      <c r="A300" s="211"/>
      <c r="B300" s="212"/>
      <c r="C300" s="213"/>
      <c r="D300" s="214" t="str">
        <f>IFERROR(VLOOKUP($C300,'PORTIFÓLIO'!C:V,2,0),"")</f>
        <v/>
      </c>
      <c r="E300" s="211" t="str">
        <f>IFERROR(VLOOKUP($C300,'PORTIFÓLIO'!C:V,3,0),"")</f>
        <v/>
      </c>
      <c r="F300" s="211" t="str">
        <f>IFERROR(VLOOKUP($C300,'PORTIFÓLIO'!C:V,4,0),"")</f>
        <v/>
      </c>
      <c r="G300" s="215" t="str">
        <f>IFERROR(VLOOKUP($C300,'PORTIFÓLIO'!C:V,5,0),"")</f>
        <v/>
      </c>
      <c r="H300" s="254" t="str">
        <f t="array" ref="H300">IFERROR(INDEX('PORTIFÓLIO'!$H$4:$H$433,MATCH($C300,'PORTIFÓLIO'!$C$4:$C$433,0)),"")</f>
        <v/>
      </c>
      <c r="I300" s="256"/>
      <c r="J300" s="218">
        <f t="shared" si="33"/>
        <v>0</v>
      </c>
      <c r="K300" s="292" t="str">
        <f t="array" ref="K300">IFERROR(I300*INDEX('PORTIFÓLIO'!$S$4:$S$433,MATCH($C300,'PORTIFÓLIO'!$C$4:$C$433,0)),"")</f>
        <v/>
      </c>
      <c r="L300" s="292" t="str">
        <f t="array" ref="L300">IFERROR(J300*INDEX('PORTIFÓLIO'!$S$4:$S$433,MATCH($C300,'PORTIFÓLIO'!$C$4:$C$433,0)),"")</f>
        <v/>
      </c>
      <c r="M300" s="220"/>
      <c r="N300" s="220"/>
      <c r="O300" s="220"/>
      <c r="P300" s="220"/>
      <c r="Q300" s="220"/>
      <c r="R300" s="220"/>
      <c r="S300" s="220"/>
      <c r="T300" s="220"/>
      <c r="U300" s="220"/>
      <c r="V300" s="220"/>
      <c r="W300" s="220"/>
    </row>
    <row r="301" ht="15.75" customHeight="1" outlineLevel="1">
      <c r="A301" s="211"/>
      <c r="B301" s="212"/>
      <c r="C301" s="213"/>
      <c r="D301" s="214" t="str">
        <f>IFERROR(VLOOKUP($C301,'PORTIFÓLIO'!C:V,2,0),"")</f>
        <v/>
      </c>
      <c r="E301" s="211" t="str">
        <f>IFERROR(VLOOKUP($C301,'PORTIFÓLIO'!C:V,3,0),"")</f>
        <v/>
      </c>
      <c r="F301" s="211" t="str">
        <f>IFERROR(VLOOKUP($C301,'PORTIFÓLIO'!C:V,4,0),"")</f>
        <v/>
      </c>
      <c r="G301" s="215" t="str">
        <f>IFERROR(VLOOKUP($C301,'PORTIFÓLIO'!C:V,5,0),"")</f>
        <v/>
      </c>
      <c r="H301" s="254" t="str">
        <f t="array" ref="H301">IFERROR(INDEX('PORTIFÓLIO'!$H$4:$H$433,MATCH($C301,'PORTIFÓLIO'!$C$4:$C$433,0)),"")</f>
        <v/>
      </c>
      <c r="I301" s="256"/>
      <c r="J301" s="218">
        <f t="shared" si="33"/>
        <v>0</v>
      </c>
      <c r="K301" s="292" t="str">
        <f t="array" ref="K301">IFERROR(I301*INDEX('PORTIFÓLIO'!$S$4:$S$433,MATCH($C301,'PORTIFÓLIO'!$C$4:$C$433,0)),"")</f>
        <v/>
      </c>
      <c r="L301" s="292" t="str">
        <f t="array" ref="L301">IFERROR(J301*INDEX('PORTIFÓLIO'!$S$4:$S$433,MATCH($C301,'PORTIFÓLIO'!$C$4:$C$433,0)),"")</f>
        <v/>
      </c>
      <c r="M301" s="220"/>
      <c r="N301" s="220"/>
      <c r="O301" s="220"/>
      <c r="P301" s="220"/>
      <c r="Q301" s="220"/>
      <c r="R301" s="220"/>
      <c r="S301" s="220"/>
      <c r="T301" s="220"/>
      <c r="U301" s="220"/>
      <c r="V301" s="220"/>
      <c r="W301" s="220"/>
    </row>
    <row r="302" ht="15.75" customHeight="1" outlineLevel="1">
      <c r="A302" s="211"/>
      <c r="B302" s="212"/>
      <c r="C302" s="213"/>
      <c r="D302" s="214" t="str">
        <f>IFERROR(VLOOKUP($C302,'PORTIFÓLIO'!C:V,2,0),"")</f>
        <v/>
      </c>
      <c r="E302" s="211" t="str">
        <f>IFERROR(VLOOKUP($C302,'PORTIFÓLIO'!C:V,3,0),"")</f>
        <v/>
      </c>
      <c r="F302" s="211" t="str">
        <f>IFERROR(VLOOKUP($C302,'PORTIFÓLIO'!C:V,4,0),"")</f>
        <v/>
      </c>
      <c r="G302" s="215" t="str">
        <f>IFERROR(VLOOKUP($C302,'PORTIFÓLIO'!C:V,5,0),"")</f>
        <v/>
      </c>
      <c r="H302" s="254" t="str">
        <f t="array" ref="H302">IFERROR(INDEX('PORTIFÓLIO'!$H$4:$H$433,MATCH($C302,'PORTIFÓLIO'!$C$4:$C$433,0)),"")</f>
        <v/>
      </c>
      <c r="I302" s="256"/>
      <c r="J302" s="218">
        <f t="shared" si="33"/>
        <v>0</v>
      </c>
      <c r="K302" s="292" t="str">
        <f t="array" ref="K302">IFERROR(I302*INDEX('PORTIFÓLIO'!$S$4:$S$433,MATCH($C302,'PORTIFÓLIO'!$C$4:$C$433,0)),"")</f>
        <v/>
      </c>
      <c r="L302" s="292" t="str">
        <f t="array" ref="L302">IFERROR(J302*INDEX('PORTIFÓLIO'!$S$4:$S$433,MATCH($C302,'PORTIFÓLIO'!$C$4:$C$433,0)),"")</f>
        <v/>
      </c>
      <c r="M302" s="220"/>
      <c r="N302" s="220"/>
      <c r="O302" s="220"/>
      <c r="P302" s="220"/>
      <c r="Q302" s="220"/>
      <c r="R302" s="220"/>
      <c r="S302" s="220"/>
      <c r="T302" s="220"/>
      <c r="U302" s="220"/>
      <c r="V302" s="220"/>
      <c r="W302" s="220"/>
    </row>
    <row r="303" ht="15.75" customHeight="1" outlineLevel="1">
      <c r="A303" s="211"/>
      <c r="B303" s="212"/>
      <c r="C303" s="213"/>
      <c r="D303" s="214" t="str">
        <f>IFERROR(VLOOKUP($C303,'PORTIFÓLIO'!C:V,2,0),"")</f>
        <v/>
      </c>
      <c r="E303" s="211" t="str">
        <f>IFERROR(VLOOKUP($C303,'PORTIFÓLIO'!C:V,3,0),"")</f>
        <v/>
      </c>
      <c r="F303" s="211" t="str">
        <f>IFERROR(VLOOKUP($C303,'PORTIFÓLIO'!C:V,4,0),"")</f>
        <v/>
      </c>
      <c r="G303" s="215" t="str">
        <f>IFERROR(VLOOKUP($C303,'PORTIFÓLIO'!C:V,5,0),"")</f>
        <v/>
      </c>
      <c r="H303" s="254" t="str">
        <f t="array" ref="H303">IFERROR(INDEX('PORTIFÓLIO'!$H$4:$H$433,MATCH($C303,'PORTIFÓLIO'!$C$4:$C$433,0)),"")</f>
        <v/>
      </c>
      <c r="I303" s="256"/>
      <c r="J303" s="218">
        <f t="shared" si="33"/>
        <v>0</v>
      </c>
      <c r="K303" s="292" t="str">
        <f t="array" ref="K303">IFERROR(I303*INDEX('PORTIFÓLIO'!$S$4:$S$433,MATCH($C303,'PORTIFÓLIO'!$C$4:$C$433,0)),"")</f>
        <v/>
      </c>
      <c r="L303" s="292" t="str">
        <f t="array" ref="L303">IFERROR(J303*INDEX('PORTIFÓLIO'!$S$4:$S$433,MATCH($C303,'PORTIFÓLIO'!$C$4:$C$433,0)),"")</f>
        <v/>
      </c>
      <c r="M303" s="220"/>
      <c r="N303" s="220"/>
      <c r="O303" s="220"/>
      <c r="P303" s="220"/>
      <c r="Q303" s="220"/>
      <c r="R303" s="220"/>
      <c r="S303" s="220"/>
      <c r="T303" s="220"/>
      <c r="U303" s="220"/>
      <c r="V303" s="220"/>
      <c r="W303" s="220"/>
    </row>
    <row r="304" ht="15.75" customHeight="1" outlineLevel="1">
      <c r="A304" s="211"/>
      <c r="B304" s="212"/>
      <c r="C304" s="213"/>
      <c r="D304" s="214" t="str">
        <f>IFERROR(VLOOKUP($C304,'PORTIFÓLIO'!C:V,2,0),"")</f>
        <v/>
      </c>
      <c r="E304" s="211" t="str">
        <f>IFERROR(VLOOKUP($C304,'PORTIFÓLIO'!C:V,3,0),"")</f>
        <v/>
      </c>
      <c r="F304" s="211" t="str">
        <f>IFERROR(VLOOKUP($C304,'PORTIFÓLIO'!C:V,4,0),"")</f>
        <v/>
      </c>
      <c r="G304" s="215" t="str">
        <f>IFERROR(VLOOKUP($C304,'PORTIFÓLIO'!C:V,5,0),"")</f>
        <v/>
      </c>
      <c r="H304" s="254" t="str">
        <f t="array" ref="H304">IFERROR(INDEX('PORTIFÓLIO'!$H$4:$H$433,MATCH($C304,'PORTIFÓLIO'!$C$4:$C$433,0)),"")</f>
        <v/>
      </c>
      <c r="I304" s="256"/>
      <c r="J304" s="218">
        <f t="shared" si="33"/>
        <v>0</v>
      </c>
      <c r="K304" s="292" t="str">
        <f t="array" ref="K304">IFERROR(I304*INDEX('PORTIFÓLIO'!$S$4:$S$433,MATCH($C304,'PORTIFÓLIO'!$C$4:$C$433,0)),"")</f>
        <v/>
      </c>
      <c r="L304" s="292" t="str">
        <f t="array" ref="L304">IFERROR(J304*INDEX('PORTIFÓLIO'!$S$4:$S$433,MATCH($C304,'PORTIFÓLIO'!$C$4:$C$433,0)),"")</f>
        <v/>
      </c>
      <c r="M304" s="220"/>
      <c r="N304" s="220"/>
      <c r="O304" s="220"/>
      <c r="P304" s="220"/>
      <c r="Q304" s="220"/>
      <c r="R304" s="220"/>
      <c r="S304" s="220"/>
      <c r="T304" s="220"/>
      <c r="U304" s="220"/>
      <c r="V304" s="220"/>
      <c r="W304" s="220"/>
    </row>
    <row r="305" ht="15.75" customHeight="1" outlineLevel="1">
      <c r="A305" s="211"/>
      <c r="B305" s="212"/>
      <c r="C305" s="213"/>
      <c r="D305" s="214" t="str">
        <f>IFERROR(VLOOKUP($C305,'PORTIFÓLIO'!C:V,2,0),"")</f>
        <v/>
      </c>
      <c r="E305" s="211" t="str">
        <f>IFERROR(VLOOKUP($C305,'PORTIFÓLIO'!C:V,3,0),"")</f>
        <v/>
      </c>
      <c r="F305" s="211" t="str">
        <f>IFERROR(VLOOKUP($C305,'PORTIFÓLIO'!C:V,4,0),"")</f>
        <v/>
      </c>
      <c r="G305" s="215" t="str">
        <f>IFERROR(VLOOKUP($C305,'PORTIFÓLIO'!C:V,5,0),"")</f>
        <v/>
      </c>
      <c r="H305" s="254" t="str">
        <f t="array" ref="H305">IFERROR(INDEX('PORTIFÓLIO'!$H$4:$H$433,MATCH($C305,'PORTIFÓLIO'!$C$4:$C$433,0)),"")</f>
        <v/>
      </c>
      <c r="I305" s="256"/>
      <c r="J305" s="218">
        <f t="shared" si="33"/>
        <v>0</v>
      </c>
      <c r="K305" s="292" t="str">
        <f t="array" ref="K305">IFERROR(I305*INDEX('PORTIFÓLIO'!$S$4:$S$433,MATCH($C305,'PORTIFÓLIO'!$C$4:$C$433,0)),"")</f>
        <v/>
      </c>
      <c r="L305" s="292" t="str">
        <f t="array" ref="L305">IFERROR(J305*INDEX('PORTIFÓLIO'!$S$4:$S$433,MATCH($C305,'PORTIFÓLIO'!$C$4:$C$433,0)),"")</f>
        <v/>
      </c>
      <c r="M305" s="220"/>
      <c r="N305" s="220"/>
      <c r="O305" s="220"/>
      <c r="P305" s="220"/>
      <c r="Q305" s="220"/>
      <c r="R305" s="220"/>
      <c r="S305" s="220"/>
      <c r="T305" s="220"/>
      <c r="U305" s="220"/>
      <c r="V305" s="220"/>
      <c r="W305" s="220"/>
    </row>
    <row r="306" ht="15.75" customHeight="1" outlineLevel="1">
      <c r="A306" s="211"/>
      <c r="B306" s="212"/>
      <c r="C306" s="213"/>
      <c r="D306" s="214" t="str">
        <f>IFERROR(VLOOKUP($C306,'PORTIFÓLIO'!C:V,2,0),"")</f>
        <v/>
      </c>
      <c r="E306" s="211" t="str">
        <f>IFERROR(VLOOKUP($C306,'PORTIFÓLIO'!C:V,3,0),"")</f>
        <v/>
      </c>
      <c r="F306" s="211" t="str">
        <f>IFERROR(VLOOKUP($C306,'PORTIFÓLIO'!C:V,4,0),"")</f>
        <v/>
      </c>
      <c r="G306" s="215" t="str">
        <f>IFERROR(VLOOKUP($C306,'PORTIFÓLIO'!C:V,5,0),"")</f>
        <v/>
      </c>
      <c r="H306" s="254" t="str">
        <f t="array" ref="H306">IFERROR(INDEX('PORTIFÓLIO'!$H$4:$H$433,MATCH($C306,'PORTIFÓLIO'!$C$4:$C$433,0)),"")</f>
        <v/>
      </c>
      <c r="I306" s="256"/>
      <c r="J306" s="218">
        <f t="shared" si="33"/>
        <v>0</v>
      </c>
      <c r="K306" s="292" t="str">
        <f t="array" ref="K306">IFERROR(I306*INDEX('PORTIFÓLIO'!$S$4:$S$433,MATCH($C306,'PORTIFÓLIO'!$C$4:$C$433,0)),"")</f>
        <v/>
      </c>
      <c r="L306" s="292" t="str">
        <f t="array" ref="L306">IFERROR(J306*INDEX('PORTIFÓLIO'!$S$4:$S$433,MATCH($C306,'PORTIFÓLIO'!$C$4:$C$433,0)),"")</f>
        <v/>
      </c>
      <c r="M306" s="220"/>
      <c r="N306" s="220"/>
      <c r="O306" s="220"/>
      <c r="P306" s="220"/>
      <c r="Q306" s="220"/>
      <c r="R306" s="220"/>
      <c r="S306" s="220"/>
      <c r="T306" s="220"/>
      <c r="U306" s="220"/>
      <c r="V306" s="220"/>
      <c r="W306" s="220"/>
    </row>
    <row r="307" ht="15.75" customHeight="1" outlineLevel="1">
      <c r="A307" s="211"/>
      <c r="B307" s="212"/>
      <c r="C307" s="213"/>
      <c r="D307" s="214" t="str">
        <f>IFERROR(VLOOKUP($C307,'PORTIFÓLIO'!C:V,2,0),"")</f>
        <v/>
      </c>
      <c r="E307" s="211" t="str">
        <f>IFERROR(VLOOKUP($C307,'PORTIFÓLIO'!C:V,3,0),"")</f>
        <v/>
      </c>
      <c r="F307" s="211" t="str">
        <f>IFERROR(VLOOKUP($C307,'PORTIFÓLIO'!C:V,4,0),"")</f>
        <v/>
      </c>
      <c r="G307" s="215" t="str">
        <f>IFERROR(VLOOKUP($C307,'PORTIFÓLIO'!C:V,5,0),"")</f>
        <v/>
      </c>
      <c r="H307" s="254" t="str">
        <f t="array" ref="H307">IFERROR(INDEX('PORTIFÓLIO'!$H$4:$H$433,MATCH($C307,'PORTIFÓLIO'!$C$4:$C$433,0)),"")</f>
        <v/>
      </c>
      <c r="I307" s="256"/>
      <c r="J307" s="218">
        <f t="shared" si="33"/>
        <v>0</v>
      </c>
      <c r="K307" s="292" t="str">
        <f t="array" ref="K307">IFERROR(I307*INDEX('PORTIFÓLIO'!$S$4:$S$433,MATCH($C307,'PORTIFÓLIO'!$C$4:$C$433,0)),"")</f>
        <v/>
      </c>
      <c r="L307" s="292" t="str">
        <f t="array" ref="L307">IFERROR(J307*INDEX('PORTIFÓLIO'!$S$4:$S$433,MATCH($C307,'PORTIFÓLIO'!$C$4:$C$433,0)),"")</f>
        <v/>
      </c>
      <c r="M307" s="220"/>
      <c r="N307" s="220"/>
      <c r="O307" s="220"/>
      <c r="P307" s="220"/>
      <c r="Q307" s="220"/>
      <c r="R307" s="220"/>
      <c r="S307" s="220"/>
      <c r="T307" s="220"/>
      <c r="U307" s="220"/>
      <c r="V307" s="220"/>
      <c r="W307" s="220"/>
    </row>
    <row r="308" ht="15.75" customHeight="1">
      <c r="A308" s="229" t="s">
        <v>1188</v>
      </c>
      <c r="B308" s="230"/>
      <c r="C308" s="231"/>
      <c r="D308" s="232"/>
      <c r="E308" s="231"/>
      <c r="F308" s="231"/>
      <c r="G308" s="233"/>
      <c r="H308" s="233"/>
      <c r="I308" s="258"/>
      <c r="J308" s="236"/>
      <c r="K308" s="237">
        <f t="shared" ref="K308:L308" si="34">SUBTOTAL(9,K309:K322)</f>
        <v>0</v>
      </c>
      <c r="L308" s="237">
        <f t="shared" si="34"/>
        <v>0</v>
      </c>
      <c r="M308" s="220"/>
      <c r="N308" s="220"/>
      <c r="O308" s="220"/>
      <c r="P308" s="220"/>
      <c r="Q308" s="220"/>
      <c r="R308" s="220"/>
      <c r="S308" s="220"/>
      <c r="T308" s="220"/>
      <c r="U308" s="220"/>
      <c r="V308" s="220"/>
      <c r="W308" s="220"/>
    </row>
    <row r="309" ht="15.75" customHeight="1" outlineLevel="1">
      <c r="A309" s="213"/>
      <c r="B309" s="212"/>
      <c r="C309" s="213"/>
      <c r="D309" s="214" t="str">
        <f>IFERROR(VLOOKUP($C309,'PORTIFÓLIO'!C:V,2,0),"")</f>
        <v/>
      </c>
      <c r="E309" s="211" t="str">
        <f>IFERROR(VLOOKUP($C309,'PORTIFÓLIO'!C:V,3,0),"")</f>
        <v/>
      </c>
      <c r="F309" s="211" t="str">
        <f>IFERROR(VLOOKUP($C309,'PORTIFÓLIO'!C:V,4,0),"")</f>
        <v/>
      </c>
      <c r="G309" s="215" t="str">
        <f>IFERROR(VLOOKUP($C309,'PORTIFÓLIO'!C:V,5,0),"")</f>
        <v/>
      </c>
      <c r="H309" s="254" t="str">
        <f t="array" ref="H309">IFERROR(INDEX('PORTIFÓLIO'!$H$4:$H$433,MATCH($C309,'PORTIFÓLIO'!$C$4:$C$433,0)),"")</f>
        <v/>
      </c>
      <c r="I309" s="255"/>
      <c r="J309" s="218">
        <f t="shared" ref="J309:J323" si="35">I309*$B$2</f>
        <v>0</v>
      </c>
      <c r="K309" s="292" t="str">
        <f t="array" ref="K309">IFERROR(I309*INDEX('PORTIFÓLIO'!$S$4:$S$433,MATCH($C309,'PORTIFÓLIO'!$C$4:$C$433,0)),"")</f>
        <v/>
      </c>
      <c r="L309" s="292" t="str">
        <f t="array" ref="L309">IFERROR(J309*INDEX('PORTIFÓLIO'!$S$4:$S$433,MATCH($C309,'PORTIFÓLIO'!$C$4:$C$433,0)),"")</f>
        <v/>
      </c>
      <c r="M309" s="220"/>
      <c r="N309" s="220"/>
      <c r="O309" s="220"/>
      <c r="P309" s="220"/>
      <c r="Q309" s="220"/>
      <c r="R309" s="220"/>
      <c r="S309" s="220"/>
      <c r="T309" s="220"/>
      <c r="U309" s="220"/>
      <c r="V309" s="220"/>
      <c r="W309" s="220"/>
    </row>
    <row r="310" ht="15.75" customHeight="1" outlineLevel="1">
      <c r="A310" s="211"/>
      <c r="B310" s="212"/>
      <c r="C310" s="213"/>
      <c r="D310" s="214" t="str">
        <f>IFERROR(VLOOKUP($C310,'PORTIFÓLIO'!C:V,2,0),"")</f>
        <v/>
      </c>
      <c r="E310" s="211" t="str">
        <f>IFERROR(VLOOKUP($C310,'PORTIFÓLIO'!C:V,3,0),"")</f>
        <v/>
      </c>
      <c r="F310" s="211" t="str">
        <f>IFERROR(VLOOKUP($C310,'PORTIFÓLIO'!C:V,4,0),"")</f>
        <v/>
      </c>
      <c r="G310" s="215" t="str">
        <f>IFERROR(VLOOKUP($C310,'PORTIFÓLIO'!C:V,5,0),"")</f>
        <v/>
      </c>
      <c r="H310" s="254" t="str">
        <f t="array" ref="H310">IFERROR(INDEX('PORTIFÓLIO'!$H$4:$H$433,MATCH($C310,'PORTIFÓLIO'!$C$4:$C$433,0)),"")</f>
        <v/>
      </c>
      <c r="I310" s="256"/>
      <c r="J310" s="218">
        <f t="shared" si="35"/>
        <v>0</v>
      </c>
      <c r="K310" s="292" t="str">
        <f t="array" ref="K310">IFERROR(I310*INDEX('PORTIFÓLIO'!$S$4:$S$433,MATCH($C310,'PORTIFÓLIO'!$C$4:$C$433,0)),"")</f>
        <v/>
      </c>
      <c r="L310" s="292" t="str">
        <f t="array" ref="L310">IFERROR(J310*INDEX('PORTIFÓLIO'!$S$4:$S$433,MATCH($C310,'PORTIFÓLIO'!$C$4:$C$433,0)),"")</f>
        <v/>
      </c>
      <c r="M310" s="220"/>
      <c r="N310" s="220"/>
      <c r="O310" s="220"/>
      <c r="P310" s="220"/>
      <c r="Q310" s="220"/>
      <c r="R310" s="220"/>
      <c r="S310" s="220"/>
      <c r="T310" s="220"/>
      <c r="U310" s="220"/>
      <c r="V310" s="220"/>
      <c r="W310" s="220"/>
    </row>
    <row r="311" ht="15.75" customHeight="1" outlineLevel="1">
      <c r="A311" s="211"/>
      <c r="B311" s="212"/>
      <c r="C311" s="213"/>
      <c r="D311" s="214" t="str">
        <f>IFERROR(VLOOKUP($C311,'PORTIFÓLIO'!C:V,2,0),"")</f>
        <v/>
      </c>
      <c r="E311" s="211" t="str">
        <f>IFERROR(VLOOKUP($C311,'PORTIFÓLIO'!C:V,3,0),"")</f>
        <v/>
      </c>
      <c r="F311" s="211" t="str">
        <f>IFERROR(VLOOKUP($C311,'PORTIFÓLIO'!C:V,4,0),"")</f>
        <v/>
      </c>
      <c r="G311" s="215" t="str">
        <f>IFERROR(VLOOKUP($C311,'PORTIFÓLIO'!C:V,5,0),"")</f>
        <v/>
      </c>
      <c r="H311" s="254" t="str">
        <f t="array" ref="H311">IFERROR(INDEX('PORTIFÓLIO'!$H$4:$H$433,MATCH($C311,'PORTIFÓLIO'!$C$4:$C$433,0)),"")</f>
        <v/>
      </c>
      <c r="I311" s="256"/>
      <c r="J311" s="218">
        <f t="shared" si="35"/>
        <v>0</v>
      </c>
      <c r="K311" s="292" t="str">
        <f t="array" ref="K311">IFERROR(I311*INDEX('PORTIFÓLIO'!$S$4:$S$433,MATCH($C311,'PORTIFÓLIO'!$C$4:$C$433,0)),"")</f>
        <v/>
      </c>
      <c r="L311" s="292" t="str">
        <f t="array" ref="L311">IFERROR(J311*INDEX('PORTIFÓLIO'!$S$4:$S$433,MATCH($C311,'PORTIFÓLIO'!$C$4:$C$433,0)),"")</f>
        <v/>
      </c>
      <c r="M311" s="220"/>
      <c r="N311" s="220"/>
      <c r="O311" s="220"/>
      <c r="P311" s="220"/>
      <c r="Q311" s="220"/>
      <c r="R311" s="220"/>
      <c r="S311" s="220"/>
      <c r="T311" s="220"/>
      <c r="U311" s="220"/>
      <c r="V311" s="220"/>
      <c r="W311" s="220"/>
    </row>
    <row r="312" ht="15.75" customHeight="1" outlineLevel="1">
      <c r="A312" s="211"/>
      <c r="B312" s="212"/>
      <c r="C312" s="213"/>
      <c r="D312" s="214" t="str">
        <f>IFERROR(VLOOKUP($C312,'PORTIFÓLIO'!C:V,2,0),"")</f>
        <v/>
      </c>
      <c r="E312" s="211" t="str">
        <f>IFERROR(VLOOKUP($C312,'PORTIFÓLIO'!C:V,3,0),"")</f>
        <v/>
      </c>
      <c r="F312" s="211" t="str">
        <f>IFERROR(VLOOKUP($C312,'PORTIFÓLIO'!C:V,4,0),"")</f>
        <v/>
      </c>
      <c r="G312" s="215" t="str">
        <f>IFERROR(VLOOKUP($C312,'PORTIFÓLIO'!C:V,5,0),"")</f>
        <v/>
      </c>
      <c r="H312" s="254" t="str">
        <f t="array" ref="H312">IFERROR(INDEX('PORTIFÓLIO'!$H$4:$H$433,MATCH($C312,'PORTIFÓLIO'!$C$4:$C$433,0)),"")</f>
        <v/>
      </c>
      <c r="I312" s="256"/>
      <c r="J312" s="218">
        <f t="shared" si="35"/>
        <v>0</v>
      </c>
      <c r="K312" s="292" t="str">
        <f t="array" ref="K312">IFERROR(I312*INDEX('PORTIFÓLIO'!$S$4:$S$433,MATCH($C312,'PORTIFÓLIO'!$C$4:$C$433,0)),"")</f>
        <v/>
      </c>
      <c r="L312" s="292" t="str">
        <f t="array" ref="L312">IFERROR(J312*INDEX('PORTIFÓLIO'!$S$4:$S$433,MATCH($C312,'PORTIFÓLIO'!$C$4:$C$433,0)),"")</f>
        <v/>
      </c>
      <c r="M312" s="220"/>
      <c r="N312" s="220"/>
      <c r="O312" s="220"/>
      <c r="P312" s="220"/>
      <c r="Q312" s="220"/>
      <c r="R312" s="220"/>
      <c r="S312" s="220"/>
      <c r="T312" s="220"/>
      <c r="U312" s="220"/>
      <c r="V312" s="220"/>
      <c r="W312" s="220"/>
    </row>
    <row r="313" ht="15.75" customHeight="1" outlineLevel="1">
      <c r="A313" s="211"/>
      <c r="B313" s="212"/>
      <c r="C313" s="213"/>
      <c r="D313" s="214" t="str">
        <f>IFERROR(VLOOKUP($C313,'PORTIFÓLIO'!C:V,2,0),"")</f>
        <v/>
      </c>
      <c r="E313" s="211" t="str">
        <f>IFERROR(VLOOKUP($C313,'PORTIFÓLIO'!C:V,3,0),"")</f>
        <v/>
      </c>
      <c r="F313" s="211" t="str">
        <f>IFERROR(VLOOKUP($C313,'PORTIFÓLIO'!C:V,4,0),"")</f>
        <v/>
      </c>
      <c r="G313" s="215" t="str">
        <f>IFERROR(VLOOKUP($C313,'PORTIFÓLIO'!C:V,5,0),"")</f>
        <v/>
      </c>
      <c r="H313" s="254" t="str">
        <f t="array" ref="H313">IFERROR(INDEX('PORTIFÓLIO'!$H$4:$H$433,MATCH($C313,'PORTIFÓLIO'!$C$4:$C$433,0)),"")</f>
        <v/>
      </c>
      <c r="I313" s="256"/>
      <c r="J313" s="218">
        <f t="shared" si="35"/>
        <v>0</v>
      </c>
      <c r="K313" s="292" t="str">
        <f t="array" ref="K313">IFERROR(I313*INDEX('PORTIFÓLIO'!$S$4:$S$433,MATCH($C313,'PORTIFÓLIO'!$C$4:$C$433,0)),"")</f>
        <v/>
      </c>
      <c r="L313" s="292" t="str">
        <f t="array" ref="L313">IFERROR(J313*INDEX('PORTIFÓLIO'!$S$4:$S$433,MATCH($C313,'PORTIFÓLIO'!$C$4:$C$433,0)),"")</f>
        <v/>
      </c>
      <c r="M313" s="220"/>
      <c r="N313" s="220"/>
      <c r="O313" s="220"/>
      <c r="P313" s="220"/>
      <c r="Q313" s="220"/>
      <c r="R313" s="220"/>
      <c r="S313" s="220"/>
      <c r="T313" s="220"/>
      <c r="U313" s="220"/>
      <c r="V313" s="220"/>
      <c r="W313" s="220"/>
    </row>
    <row r="314" ht="15.75" customHeight="1" outlineLevel="1">
      <c r="A314" s="211"/>
      <c r="B314" s="212"/>
      <c r="C314" s="213"/>
      <c r="D314" s="214" t="str">
        <f>IFERROR(VLOOKUP($C314,'PORTIFÓLIO'!C:V,2,0),"")</f>
        <v/>
      </c>
      <c r="E314" s="211" t="str">
        <f>IFERROR(VLOOKUP($C314,'PORTIFÓLIO'!C:V,3,0),"")</f>
        <v/>
      </c>
      <c r="F314" s="211" t="str">
        <f>IFERROR(VLOOKUP($C314,'PORTIFÓLIO'!C:V,4,0),"")</f>
        <v/>
      </c>
      <c r="G314" s="215" t="str">
        <f>IFERROR(VLOOKUP($C314,'PORTIFÓLIO'!C:V,5,0),"")</f>
        <v/>
      </c>
      <c r="H314" s="254" t="str">
        <f t="array" ref="H314">IFERROR(INDEX('PORTIFÓLIO'!$H$4:$H$433,MATCH($C314,'PORTIFÓLIO'!$C$4:$C$433,0)),"")</f>
        <v/>
      </c>
      <c r="I314" s="256"/>
      <c r="J314" s="218">
        <f t="shared" si="35"/>
        <v>0</v>
      </c>
      <c r="K314" s="292" t="str">
        <f t="array" ref="K314">IFERROR(I314*INDEX('PORTIFÓLIO'!$S$4:$S$433,MATCH($C314,'PORTIFÓLIO'!$C$4:$C$433,0)),"")</f>
        <v/>
      </c>
      <c r="L314" s="292" t="str">
        <f t="array" ref="L314">IFERROR(J314*INDEX('PORTIFÓLIO'!$S$4:$S$433,MATCH($C314,'PORTIFÓLIO'!$C$4:$C$433,0)),"")</f>
        <v/>
      </c>
      <c r="M314" s="220"/>
      <c r="N314" s="220"/>
      <c r="O314" s="220"/>
      <c r="P314" s="220"/>
      <c r="Q314" s="220"/>
      <c r="R314" s="220"/>
      <c r="S314" s="220"/>
      <c r="T314" s="220"/>
      <c r="U314" s="220"/>
      <c r="V314" s="220"/>
      <c r="W314" s="220"/>
    </row>
    <row r="315" ht="15.75" customHeight="1" outlineLevel="1">
      <c r="A315" s="211"/>
      <c r="B315" s="212"/>
      <c r="C315" s="213"/>
      <c r="D315" s="214" t="str">
        <f>IFERROR(VLOOKUP($C315,'PORTIFÓLIO'!C:V,2,0),"")</f>
        <v/>
      </c>
      <c r="E315" s="211" t="str">
        <f>IFERROR(VLOOKUP($C315,'PORTIFÓLIO'!C:V,3,0),"")</f>
        <v/>
      </c>
      <c r="F315" s="211" t="str">
        <f>IFERROR(VLOOKUP($C315,'PORTIFÓLIO'!C:V,4,0),"")</f>
        <v/>
      </c>
      <c r="G315" s="215" t="str">
        <f>IFERROR(VLOOKUP($C315,'PORTIFÓLIO'!C:V,5,0),"")</f>
        <v/>
      </c>
      <c r="H315" s="254" t="str">
        <f t="array" ref="H315">IFERROR(INDEX('PORTIFÓLIO'!$H$4:$H$433,MATCH($C315,'PORTIFÓLIO'!$C$4:$C$433,0)),"")</f>
        <v/>
      </c>
      <c r="I315" s="256"/>
      <c r="J315" s="218">
        <f t="shared" si="35"/>
        <v>0</v>
      </c>
      <c r="K315" s="292" t="str">
        <f t="array" ref="K315">IFERROR(I315*INDEX('PORTIFÓLIO'!$S$4:$S$433,MATCH($C315,'PORTIFÓLIO'!$C$4:$C$433,0)),"")</f>
        <v/>
      </c>
      <c r="L315" s="292" t="str">
        <f t="array" ref="L315">IFERROR(J315*INDEX('PORTIFÓLIO'!$S$4:$S$433,MATCH($C315,'PORTIFÓLIO'!$C$4:$C$433,0)),"")</f>
        <v/>
      </c>
      <c r="M315" s="220"/>
      <c r="N315" s="220"/>
      <c r="O315" s="220"/>
      <c r="P315" s="220"/>
      <c r="Q315" s="220"/>
      <c r="R315" s="220"/>
      <c r="S315" s="220"/>
      <c r="T315" s="220"/>
      <c r="U315" s="220"/>
      <c r="V315" s="220"/>
      <c r="W315" s="220"/>
    </row>
    <row r="316" ht="15.75" customHeight="1" outlineLevel="1">
      <c r="A316" s="211"/>
      <c r="B316" s="212"/>
      <c r="C316" s="213"/>
      <c r="D316" s="214" t="str">
        <f>IFERROR(VLOOKUP($C316,'PORTIFÓLIO'!C:V,2,0),"")</f>
        <v/>
      </c>
      <c r="E316" s="211" t="str">
        <f>IFERROR(VLOOKUP($C316,'PORTIFÓLIO'!C:V,3,0),"")</f>
        <v/>
      </c>
      <c r="F316" s="211" t="str">
        <f>IFERROR(VLOOKUP($C316,'PORTIFÓLIO'!C:V,4,0),"")</f>
        <v/>
      </c>
      <c r="G316" s="215" t="str">
        <f>IFERROR(VLOOKUP($C316,'PORTIFÓLIO'!C:V,5,0),"")</f>
        <v/>
      </c>
      <c r="H316" s="254" t="str">
        <f t="array" ref="H316">IFERROR(INDEX('PORTIFÓLIO'!$H$4:$H$433,MATCH($C316,'PORTIFÓLIO'!$C$4:$C$433,0)),"")</f>
        <v/>
      </c>
      <c r="I316" s="256"/>
      <c r="J316" s="218">
        <f t="shared" si="35"/>
        <v>0</v>
      </c>
      <c r="K316" s="292" t="str">
        <f t="array" ref="K316">IFERROR(I316*INDEX('PORTIFÓLIO'!$S$4:$S$433,MATCH($C316,'PORTIFÓLIO'!$C$4:$C$433,0)),"")</f>
        <v/>
      </c>
      <c r="L316" s="292" t="str">
        <f t="array" ref="L316">IFERROR(J316*INDEX('PORTIFÓLIO'!$S$4:$S$433,MATCH($C316,'PORTIFÓLIO'!$C$4:$C$433,0)),"")</f>
        <v/>
      </c>
      <c r="M316" s="220"/>
      <c r="N316" s="220"/>
      <c r="O316" s="220"/>
      <c r="P316" s="220"/>
      <c r="Q316" s="220"/>
      <c r="R316" s="220"/>
      <c r="S316" s="220"/>
      <c r="T316" s="220"/>
      <c r="U316" s="220"/>
      <c r="V316" s="220"/>
      <c r="W316" s="220"/>
    </row>
    <row r="317" ht="15.75" customHeight="1" outlineLevel="1">
      <c r="A317" s="211"/>
      <c r="B317" s="212"/>
      <c r="C317" s="213"/>
      <c r="D317" s="214" t="str">
        <f>IFERROR(VLOOKUP($C317,'PORTIFÓLIO'!C:V,2,0),"")</f>
        <v/>
      </c>
      <c r="E317" s="211" t="str">
        <f>IFERROR(VLOOKUP($C317,'PORTIFÓLIO'!C:V,3,0),"")</f>
        <v/>
      </c>
      <c r="F317" s="211" t="str">
        <f>IFERROR(VLOOKUP($C317,'PORTIFÓLIO'!C:V,4,0),"")</f>
        <v/>
      </c>
      <c r="G317" s="215" t="str">
        <f>IFERROR(VLOOKUP($C317,'PORTIFÓLIO'!C:V,5,0),"")</f>
        <v/>
      </c>
      <c r="H317" s="254" t="str">
        <f t="array" ref="H317">IFERROR(INDEX('PORTIFÓLIO'!$H$4:$H$433,MATCH($C317,'PORTIFÓLIO'!$C$4:$C$433,0)),"")</f>
        <v/>
      </c>
      <c r="I317" s="255"/>
      <c r="J317" s="218">
        <f t="shared" si="35"/>
        <v>0</v>
      </c>
      <c r="K317" s="292" t="str">
        <f t="array" ref="K317">IFERROR(I317*INDEX('PORTIFÓLIO'!$S$4:$S$433,MATCH($C317,'PORTIFÓLIO'!$C$4:$C$433,0)),"")</f>
        <v/>
      </c>
      <c r="L317" s="292" t="str">
        <f t="array" ref="L317">IFERROR(J317*INDEX('PORTIFÓLIO'!$S$4:$S$433,MATCH($C317,'PORTIFÓLIO'!$C$4:$C$433,0)),"")</f>
        <v/>
      </c>
      <c r="M317" s="220"/>
      <c r="N317" s="220"/>
      <c r="O317" s="220"/>
      <c r="P317" s="220"/>
      <c r="Q317" s="220"/>
      <c r="R317" s="220"/>
      <c r="S317" s="220"/>
      <c r="T317" s="220"/>
      <c r="U317" s="220"/>
      <c r="V317" s="220"/>
      <c r="W317" s="220"/>
    </row>
    <row r="318" ht="15.75" customHeight="1" outlineLevel="1">
      <c r="A318" s="211"/>
      <c r="B318" s="212"/>
      <c r="C318" s="213"/>
      <c r="D318" s="214" t="str">
        <f>IFERROR(VLOOKUP($C318,'PORTIFÓLIO'!C:V,2,0),"")</f>
        <v/>
      </c>
      <c r="E318" s="211" t="str">
        <f>IFERROR(VLOOKUP($C318,'PORTIFÓLIO'!C:V,3,0),"")</f>
        <v/>
      </c>
      <c r="F318" s="211" t="str">
        <f>IFERROR(VLOOKUP($C318,'PORTIFÓLIO'!C:V,4,0),"")</f>
        <v/>
      </c>
      <c r="G318" s="215" t="str">
        <f>IFERROR(VLOOKUP($C318,'PORTIFÓLIO'!C:V,5,0),"")</f>
        <v/>
      </c>
      <c r="H318" s="254" t="str">
        <f t="array" ref="H318">IFERROR(INDEX('PORTIFÓLIO'!$H$4:$H$433,MATCH($C318,'PORTIFÓLIO'!$C$4:$C$433,0)),"")</f>
        <v/>
      </c>
      <c r="I318" s="256"/>
      <c r="J318" s="218">
        <f t="shared" si="35"/>
        <v>0</v>
      </c>
      <c r="K318" s="292" t="str">
        <f t="array" ref="K318">IFERROR(I318*INDEX('PORTIFÓLIO'!$S$4:$S$433,MATCH($C318,'PORTIFÓLIO'!$C$4:$C$433,0)),"")</f>
        <v/>
      </c>
      <c r="L318" s="292" t="str">
        <f t="array" ref="L318">IFERROR(J318*INDEX('PORTIFÓLIO'!$S$4:$S$433,MATCH($C318,'PORTIFÓLIO'!$C$4:$C$433,0)),"")</f>
        <v/>
      </c>
      <c r="M318" s="220"/>
      <c r="N318" s="220"/>
      <c r="O318" s="220"/>
      <c r="P318" s="220"/>
      <c r="Q318" s="220"/>
      <c r="R318" s="220"/>
      <c r="S318" s="220"/>
      <c r="T318" s="220"/>
      <c r="U318" s="220"/>
      <c r="V318" s="220"/>
      <c r="W318" s="220"/>
    </row>
    <row r="319" ht="15.75" customHeight="1" outlineLevel="1">
      <c r="A319" s="211"/>
      <c r="B319" s="212"/>
      <c r="C319" s="213"/>
      <c r="D319" s="214" t="str">
        <f>IFERROR(VLOOKUP($C319,'PORTIFÓLIO'!C:V,2,0),"")</f>
        <v/>
      </c>
      <c r="E319" s="211" t="str">
        <f>IFERROR(VLOOKUP($C319,'PORTIFÓLIO'!C:V,3,0),"")</f>
        <v/>
      </c>
      <c r="F319" s="211" t="str">
        <f>IFERROR(VLOOKUP($C319,'PORTIFÓLIO'!C:V,4,0),"")</f>
        <v/>
      </c>
      <c r="G319" s="215" t="str">
        <f>IFERROR(VLOOKUP($C319,'PORTIFÓLIO'!C:V,5,0),"")</f>
        <v/>
      </c>
      <c r="H319" s="254" t="str">
        <f t="array" ref="H319">IFERROR(INDEX('PORTIFÓLIO'!$H$4:$H$433,MATCH($C319,'PORTIFÓLIO'!$C$4:$C$433,0)),"")</f>
        <v/>
      </c>
      <c r="I319" s="256"/>
      <c r="J319" s="218">
        <f t="shared" si="35"/>
        <v>0</v>
      </c>
      <c r="K319" s="292" t="str">
        <f t="array" ref="K319">IFERROR(I319*INDEX('PORTIFÓLIO'!$S$4:$S$433,MATCH($C319,'PORTIFÓLIO'!$C$4:$C$433,0)),"")</f>
        <v/>
      </c>
      <c r="L319" s="292" t="str">
        <f t="array" ref="L319">IFERROR(J319*INDEX('PORTIFÓLIO'!$S$4:$S$433,MATCH($C319,'PORTIFÓLIO'!$C$4:$C$433,0)),"")</f>
        <v/>
      </c>
      <c r="M319" s="220"/>
      <c r="N319" s="220"/>
      <c r="O319" s="220"/>
      <c r="P319" s="220"/>
      <c r="Q319" s="220"/>
      <c r="R319" s="220"/>
      <c r="S319" s="220"/>
      <c r="T319" s="220"/>
      <c r="U319" s="220"/>
      <c r="V319" s="220"/>
      <c r="W319" s="220"/>
    </row>
    <row r="320" ht="15.75" customHeight="1" outlineLevel="1">
      <c r="A320" s="211"/>
      <c r="B320" s="212"/>
      <c r="C320" s="213"/>
      <c r="D320" s="214" t="str">
        <f>IFERROR(VLOOKUP($C320,'PORTIFÓLIO'!C:V,2,0),"")</f>
        <v/>
      </c>
      <c r="E320" s="211" t="str">
        <f>IFERROR(VLOOKUP($C320,'PORTIFÓLIO'!C:V,3,0),"")</f>
        <v/>
      </c>
      <c r="F320" s="211" t="str">
        <f>IFERROR(VLOOKUP($C320,'PORTIFÓLIO'!C:V,4,0),"")</f>
        <v/>
      </c>
      <c r="G320" s="215" t="str">
        <f>IFERROR(VLOOKUP($C320,'PORTIFÓLIO'!C:V,5,0),"")</f>
        <v/>
      </c>
      <c r="H320" s="254" t="str">
        <f t="array" ref="H320">IFERROR(INDEX('PORTIFÓLIO'!$H$4:$H$433,MATCH($C320,'PORTIFÓLIO'!$C$4:$C$433,0)),"")</f>
        <v/>
      </c>
      <c r="I320" s="256"/>
      <c r="J320" s="218">
        <f t="shared" si="35"/>
        <v>0</v>
      </c>
      <c r="K320" s="292" t="str">
        <f t="array" ref="K320">IFERROR(I320*INDEX('PORTIFÓLIO'!$S$4:$S$433,MATCH($C320,'PORTIFÓLIO'!$C$4:$C$433,0)),"")</f>
        <v/>
      </c>
      <c r="L320" s="292" t="str">
        <f t="array" ref="L320">IFERROR(J320*INDEX('PORTIFÓLIO'!$S$4:$S$433,MATCH($C320,'PORTIFÓLIO'!$C$4:$C$433,0)),"")</f>
        <v/>
      </c>
      <c r="M320" s="220"/>
      <c r="N320" s="220"/>
      <c r="O320" s="220"/>
      <c r="P320" s="220"/>
      <c r="Q320" s="220"/>
      <c r="R320" s="220"/>
      <c r="S320" s="220"/>
      <c r="T320" s="220"/>
      <c r="U320" s="220"/>
      <c r="V320" s="220"/>
      <c r="W320" s="220"/>
    </row>
    <row r="321" ht="15.75" customHeight="1" outlineLevel="1">
      <c r="A321" s="211"/>
      <c r="B321" s="212"/>
      <c r="C321" s="213"/>
      <c r="D321" s="214" t="str">
        <f>IFERROR(VLOOKUP($C321,'PORTIFÓLIO'!C:V,2,0),"")</f>
        <v/>
      </c>
      <c r="E321" s="211" t="str">
        <f>IFERROR(VLOOKUP($C321,'PORTIFÓLIO'!C:V,3,0),"")</f>
        <v/>
      </c>
      <c r="F321" s="211" t="str">
        <f>IFERROR(VLOOKUP($C321,'PORTIFÓLIO'!C:V,4,0),"")</f>
        <v/>
      </c>
      <c r="G321" s="215" t="str">
        <f>IFERROR(VLOOKUP($C321,'PORTIFÓLIO'!C:V,5,0),"")</f>
        <v/>
      </c>
      <c r="H321" s="254" t="str">
        <f t="array" ref="H321">IFERROR(INDEX('PORTIFÓLIO'!$H$4:$H$433,MATCH($C321,'PORTIFÓLIO'!$C$4:$C$433,0)),"")</f>
        <v/>
      </c>
      <c r="I321" s="256"/>
      <c r="J321" s="218">
        <f t="shared" si="35"/>
        <v>0</v>
      </c>
      <c r="K321" s="292" t="str">
        <f t="array" ref="K321">IFERROR(I321*INDEX('PORTIFÓLIO'!$S$4:$S$433,MATCH($C321,'PORTIFÓLIO'!$C$4:$C$433,0)),"")</f>
        <v/>
      </c>
      <c r="L321" s="292" t="str">
        <f t="array" ref="L321">IFERROR(J321*INDEX('PORTIFÓLIO'!$S$4:$S$433,MATCH($C321,'PORTIFÓLIO'!$C$4:$C$433,0)),"")</f>
        <v/>
      </c>
      <c r="M321" s="220"/>
      <c r="N321" s="220"/>
      <c r="O321" s="220"/>
      <c r="P321" s="220"/>
      <c r="Q321" s="220"/>
      <c r="R321" s="220"/>
      <c r="S321" s="220"/>
      <c r="T321" s="220"/>
      <c r="U321" s="220"/>
      <c r="V321" s="220"/>
      <c r="W321" s="220"/>
    </row>
    <row r="322" ht="15.75" customHeight="1" outlineLevel="1">
      <c r="A322" s="211"/>
      <c r="B322" s="212"/>
      <c r="C322" s="213"/>
      <c r="D322" s="214" t="str">
        <f>IFERROR(VLOOKUP($C322,'PORTIFÓLIO'!C:V,2,0),"")</f>
        <v/>
      </c>
      <c r="E322" s="211" t="str">
        <f>IFERROR(VLOOKUP($C322,'PORTIFÓLIO'!C:V,3,0),"")</f>
        <v/>
      </c>
      <c r="F322" s="211" t="str">
        <f>IFERROR(VLOOKUP($C322,'PORTIFÓLIO'!C:V,4,0),"")</f>
        <v/>
      </c>
      <c r="G322" s="215" t="str">
        <f>IFERROR(VLOOKUP($C322,'PORTIFÓLIO'!C:V,5,0),"")</f>
        <v/>
      </c>
      <c r="H322" s="254" t="str">
        <f t="array" ref="H322">IFERROR(INDEX('PORTIFÓLIO'!$H$4:$H$433,MATCH($C322,'PORTIFÓLIO'!$C$4:$C$433,0)),"")</f>
        <v/>
      </c>
      <c r="I322" s="256"/>
      <c r="J322" s="218">
        <f t="shared" si="35"/>
        <v>0</v>
      </c>
      <c r="K322" s="292" t="str">
        <f t="array" ref="K322">IFERROR(I322*INDEX('PORTIFÓLIO'!$S$4:$S$433,MATCH($C322,'PORTIFÓLIO'!$C$4:$C$433,0)),"")</f>
        <v/>
      </c>
      <c r="L322" s="292" t="str">
        <f t="array" ref="L322">IFERROR(J322*INDEX('PORTIFÓLIO'!$S$4:$S$433,MATCH($C322,'PORTIFÓLIO'!$C$4:$C$433,0)),"")</f>
        <v/>
      </c>
      <c r="M322" s="220"/>
      <c r="N322" s="220"/>
      <c r="O322" s="220"/>
      <c r="P322" s="220"/>
      <c r="Q322" s="220"/>
      <c r="R322" s="220"/>
      <c r="S322" s="220"/>
      <c r="T322" s="220"/>
      <c r="U322" s="220"/>
      <c r="V322" s="220"/>
      <c r="W322" s="220"/>
    </row>
    <row r="323" ht="15.75" customHeight="1" outlineLevel="1">
      <c r="A323" s="211"/>
      <c r="B323" s="212"/>
      <c r="C323" s="213"/>
      <c r="D323" s="214" t="str">
        <f>IFERROR(VLOOKUP($C323,'PORTIFÓLIO'!C:V,2,0),"")</f>
        <v/>
      </c>
      <c r="E323" s="211" t="str">
        <f>IFERROR(VLOOKUP($C323,'PORTIFÓLIO'!C:V,3,0),"")</f>
        <v/>
      </c>
      <c r="F323" s="211" t="str">
        <f>IFERROR(VLOOKUP($C323,'PORTIFÓLIO'!C:V,4,0),"")</f>
        <v/>
      </c>
      <c r="G323" s="215" t="str">
        <f>IFERROR(VLOOKUP($C323,'PORTIFÓLIO'!C:V,5,0),"")</f>
        <v/>
      </c>
      <c r="H323" s="254" t="str">
        <f t="array" ref="H323">IFERROR(INDEX('PORTIFÓLIO'!$H$4:$H$433,MATCH($C323,'PORTIFÓLIO'!$C$4:$C$433,0)),"")</f>
        <v/>
      </c>
      <c r="I323" s="256"/>
      <c r="J323" s="218">
        <f t="shared" si="35"/>
        <v>0</v>
      </c>
      <c r="K323" s="292" t="str">
        <f t="array" ref="K323">IFERROR(I323*INDEX('PORTIFÓLIO'!$S$4:$S$433,MATCH($C323,'PORTIFÓLIO'!$C$4:$C$433,0)),"")</f>
        <v/>
      </c>
      <c r="L323" s="292" t="str">
        <f t="array" ref="L323">IFERROR(J323*INDEX('PORTIFÓLIO'!$S$4:$S$433,MATCH($C323,'PORTIFÓLIO'!$C$4:$C$433,0)),"")</f>
        <v/>
      </c>
      <c r="M323" s="220"/>
      <c r="N323" s="220"/>
      <c r="O323" s="220"/>
      <c r="P323" s="220"/>
      <c r="Q323" s="220"/>
      <c r="R323" s="220"/>
      <c r="S323" s="220"/>
      <c r="T323" s="220"/>
      <c r="U323" s="220"/>
      <c r="V323" s="220"/>
      <c r="W323" s="220"/>
    </row>
    <row r="324" ht="15.75" customHeight="1">
      <c r="A324" s="229" t="s">
        <v>1189</v>
      </c>
      <c r="B324" s="230"/>
      <c r="C324" s="231"/>
      <c r="D324" s="232"/>
      <c r="E324" s="231"/>
      <c r="F324" s="231"/>
      <c r="G324" s="233"/>
      <c r="H324" s="233"/>
      <c r="I324" s="258"/>
      <c r="J324" s="236"/>
      <c r="K324" s="237">
        <f t="shared" ref="K324:L324" si="36">SUBTOTAL(9,K325:K338)</f>
        <v>0</v>
      </c>
      <c r="L324" s="237">
        <f t="shared" si="36"/>
        <v>0</v>
      </c>
      <c r="M324" s="220"/>
      <c r="N324" s="220"/>
      <c r="O324" s="220"/>
      <c r="P324" s="220"/>
      <c r="Q324" s="220"/>
      <c r="R324" s="220"/>
      <c r="S324" s="220"/>
      <c r="T324" s="220"/>
      <c r="U324" s="220"/>
      <c r="V324" s="220"/>
      <c r="W324" s="220"/>
    </row>
    <row r="325" ht="15.75" customHeight="1" outlineLevel="1">
      <c r="A325" s="213"/>
      <c r="B325" s="212"/>
      <c r="C325" s="213"/>
      <c r="D325" s="214" t="str">
        <f>IFERROR(VLOOKUP($C325,'PORTIFÓLIO'!C:V,2,0),"")</f>
        <v/>
      </c>
      <c r="E325" s="211" t="str">
        <f>IFERROR(VLOOKUP($C325,'PORTIFÓLIO'!C:V,3,0),"")</f>
        <v/>
      </c>
      <c r="F325" s="211" t="str">
        <f>IFERROR(VLOOKUP($C325,'PORTIFÓLIO'!C:V,4,0),"")</f>
        <v/>
      </c>
      <c r="G325" s="215" t="str">
        <f>IFERROR(VLOOKUP($C325,'PORTIFÓLIO'!C:V,5,0),"")</f>
        <v/>
      </c>
      <c r="H325" s="254" t="str">
        <f t="array" ref="H325">IFERROR(INDEX('PORTIFÓLIO'!$H$4:$H$433,MATCH($C325,'PORTIFÓLIO'!$C$4:$C$433,0)),"")</f>
        <v/>
      </c>
      <c r="I325" s="255"/>
      <c r="J325" s="218">
        <f t="shared" ref="J325:J339" si="37">I325*$B$2</f>
        <v>0</v>
      </c>
      <c r="K325" s="292" t="str">
        <f t="array" ref="K325">IFERROR(I325*INDEX('PORTIFÓLIO'!$S$4:$S$433,MATCH($C325,'PORTIFÓLIO'!$C$4:$C$433,0)),"")</f>
        <v/>
      </c>
      <c r="L325" s="292" t="str">
        <f t="array" ref="L325">IFERROR(J325*INDEX('PORTIFÓLIO'!$S$4:$S$433,MATCH($C325,'PORTIFÓLIO'!$C$4:$C$433,0)),"")</f>
        <v/>
      </c>
      <c r="M325" s="220"/>
      <c r="N325" s="220"/>
      <c r="O325" s="220"/>
      <c r="P325" s="220"/>
      <c r="Q325" s="220"/>
      <c r="R325" s="220"/>
      <c r="S325" s="220"/>
      <c r="T325" s="220"/>
      <c r="U325" s="220"/>
      <c r="V325" s="220"/>
      <c r="W325" s="220"/>
    </row>
    <row r="326" ht="15.75" customHeight="1" outlineLevel="1">
      <c r="A326" s="211"/>
      <c r="B326" s="212"/>
      <c r="C326" s="213"/>
      <c r="D326" s="214" t="str">
        <f>IFERROR(VLOOKUP($C326,'PORTIFÓLIO'!C:V,2,0),"")</f>
        <v/>
      </c>
      <c r="E326" s="211" t="str">
        <f>IFERROR(VLOOKUP($C326,'PORTIFÓLIO'!C:V,3,0),"")</f>
        <v/>
      </c>
      <c r="F326" s="211" t="str">
        <f>IFERROR(VLOOKUP($C326,'PORTIFÓLIO'!C:V,4,0),"")</f>
        <v/>
      </c>
      <c r="G326" s="215" t="str">
        <f>IFERROR(VLOOKUP($C326,'PORTIFÓLIO'!C:V,5,0),"")</f>
        <v/>
      </c>
      <c r="H326" s="254" t="str">
        <f t="array" ref="H326">IFERROR(INDEX('PORTIFÓLIO'!$H$4:$H$433,MATCH($C326,'PORTIFÓLIO'!$C$4:$C$433,0)),"")</f>
        <v/>
      </c>
      <c r="I326" s="256"/>
      <c r="J326" s="218">
        <f t="shared" si="37"/>
        <v>0</v>
      </c>
      <c r="K326" s="292" t="str">
        <f t="array" ref="K326">IFERROR(I326*INDEX('PORTIFÓLIO'!$S$4:$S$433,MATCH($C326,'PORTIFÓLIO'!$C$4:$C$433,0)),"")</f>
        <v/>
      </c>
      <c r="L326" s="292" t="str">
        <f t="array" ref="L326">IFERROR(J326*INDEX('PORTIFÓLIO'!$S$4:$S$433,MATCH($C326,'PORTIFÓLIO'!$C$4:$C$433,0)),"")</f>
        <v/>
      </c>
      <c r="M326" s="220"/>
      <c r="N326" s="220"/>
      <c r="O326" s="220"/>
      <c r="P326" s="220"/>
      <c r="Q326" s="220"/>
      <c r="R326" s="220"/>
      <c r="S326" s="220"/>
      <c r="T326" s="220"/>
      <c r="U326" s="220"/>
      <c r="V326" s="220"/>
      <c r="W326" s="220"/>
    </row>
    <row r="327" ht="15.75" customHeight="1" outlineLevel="1">
      <c r="A327" s="211"/>
      <c r="B327" s="212"/>
      <c r="C327" s="213"/>
      <c r="D327" s="214" t="str">
        <f>IFERROR(VLOOKUP($C327,'PORTIFÓLIO'!C:V,2,0),"")</f>
        <v/>
      </c>
      <c r="E327" s="211" t="str">
        <f>IFERROR(VLOOKUP($C327,'PORTIFÓLIO'!C:V,3,0),"")</f>
        <v/>
      </c>
      <c r="F327" s="211" t="str">
        <f>IFERROR(VLOOKUP($C327,'PORTIFÓLIO'!C:V,4,0),"")</f>
        <v/>
      </c>
      <c r="G327" s="215" t="str">
        <f>IFERROR(VLOOKUP($C327,'PORTIFÓLIO'!C:V,5,0),"")</f>
        <v/>
      </c>
      <c r="H327" s="254" t="str">
        <f t="array" ref="H327">IFERROR(INDEX('PORTIFÓLIO'!$H$4:$H$433,MATCH($C327,'PORTIFÓLIO'!$C$4:$C$433,0)),"")</f>
        <v/>
      </c>
      <c r="I327" s="256"/>
      <c r="J327" s="218">
        <f t="shared" si="37"/>
        <v>0</v>
      </c>
      <c r="K327" s="292" t="str">
        <f t="array" ref="K327">IFERROR(I327*INDEX('PORTIFÓLIO'!$S$4:$S$433,MATCH($C327,'PORTIFÓLIO'!$C$4:$C$433,0)),"")</f>
        <v/>
      </c>
      <c r="L327" s="292" t="str">
        <f t="array" ref="L327">IFERROR(J327*INDEX('PORTIFÓLIO'!$S$4:$S$433,MATCH($C327,'PORTIFÓLIO'!$C$4:$C$433,0)),"")</f>
        <v/>
      </c>
      <c r="M327" s="220"/>
      <c r="N327" s="220"/>
      <c r="O327" s="220"/>
      <c r="P327" s="220"/>
      <c r="Q327" s="220"/>
      <c r="R327" s="220"/>
      <c r="S327" s="220"/>
      <c r="T327" s="220"/>
      <c r="U327" s="220"/>
      <c r="V327" s="220"/>
      <c r="W327" s="220"/>
    </row>
    <row r="328" ht="15.75" customHeight="1" outlineLevel="1">
      <c r="A328" s="211"/>
      <c r="B328" s="212"/>
      <c r="C328" s="213"/>
      <c r="D328" s="214" t="str">
        <f>IFERROR(VLOOKUP($C328,'PORTIFÓLIO'!C:V,2,0),"")</f>
        <v/>
      </c>
      <c r="E328" s="211" t="str">
        <f>IFERROR(VLOOKUP($C328,'PORTIFÓLIO'!C:V,3,0),"")</f>
        <v/>
      </c>
      <c r="F328" s="211" t="str">
        <f>IFERROR(VLOOKUP($C328,'PORTIFÓLIO'!C:V,4,0),"")</f>
        <v/>
      </c>
      <c r="G328" s="215" t="str">
        <f>IFERROR(VLOOKUP($C328,'PORTIFÓLIO'!C:V,5,0),"")</f>
        <v/>
      </c>
      <c r="H328" s="254" t="str">
        <f t="array" ref="H328">IFERROR(INDEX('PORTIFÓLIO'!$H$4:$H$433,MATCH($C328,'PORTIFÓLIO'!$C$4:$C$433,0)),"")</f>
        <v/>
      </c>
      <c r="I328" s="256"/>
      <c r="J328" s="218">
        <f t="shared" si="37"/>
        <v>0</v>
      </c>
      <c r="K328" s="292" t="str">
        <f t="array" ref="K328">IFERROR(I328*INDEX('PORTIFÓLIO'!$S$4:$S$433,MATCH($C328,'PORTIFÓLIO'!$C$4:$C$433,0)),"")</f>
        <v/>
      </c>
      <c r="L328" s="292" t="str">
        <f t="array" ref="L328">IFERROR(J328*INDEX('PORTIFÓLIO'!$S$4:$S$433,MATCH($C328,'PORTIFÓLIO'!$C$4:$C$433,0)),"")</f>
        <v/>
      </c>
      <c r="M328" s="220"/>
      <c r="N328" s="220"/>
      <c r="O328" s="220"/>
      <c r="P328" s="220"/>
      <c r="Q328" s="220"/>
      <c r="R328" s="220"/>
      <c r="S328" s="220"/>
      <c r="T328" s="220"/>
      <c r="U328" s="220"/>
      <c r="V328" s="220"/>
      <c r="W328" s="220"/>
    </row>
    <row r="329" ht="15.75" customHeight="1" outlineLevel="1">
      <c r="A329" s="211"/>
      <c r="B329" s="212"/>
      <c r="C329" s="213"/>
      <c r="D329" s="214" t="str">
        <f>IFERROR(VLOOKUP($C329,'PORTIFÓLIO'!C:V,2,0),"")</f>
        <v/>
      </c>
      <c r="E329" s="211" t="str">
        <f>IFERROR(VLOOKUP($C329,'PORTIFÓLIO'!C:V,3,0),"")</f>
        <v/>
      </c>
      <c r="F329" s="211" t="str">
        <f>IFERROR(VLOOKUP($C329,'PORTIFÓLIO'!C:V,4,0),"")</f>
        <v/>
      </c>
      <c r="G329" s="215" t="str">
        <f>IFERROR(VLOOKUP($C329,'PORTIFÓLIO'!C:V,5,0),"")</f>
        <v/>
      </c>
      <c r="H329" s="254" t="str">
        <f t="array" ref="H329">IFERROR(INDEX('PORTIFÓLIO'!$H$4:$H$433,MATCH($C329,'PORTIFÓLIO'!$C$4:$C$433,0)),"")</f>
        <v/>
      </c>
      <c r="I329" s="256"/>
      <c r="J329" s="218">
        <f t="shared" si="37"/>
        <v>0</v>
      </c>
      <c r="K329" s="292" t="str">
        <f t="array" ref="K329">IFERROR(I329*INDEX('PORTIFÓLIO'!$S$4:$S$433,MATCH($C329,'PORTIFÓLIO'!$C$4:$C$433,0)),"")</f>
        <v/>
      </c>
      <c r="L329" s="292" t="str">
        <f t="array" ref="L329">IFERROR(J329*INDEX('PORTIFÓLIO'!$S$4:$S$433,MATCH($C329,'PORTIFÓLIO'!$C$4:$C$433,0)),"")</f>
        <v/>
      </c>
      <c r="M329" s="220"/>
      <c r="N329" s="220"/>
      <c r="O329" s="220"/>
      <c r="P329" s="220"/>
      <c r="Q329" s="220"/>
      <c r="R329" s="220"/>
      <c r="S329" s="220"/>
      <c r="T329" s="220"/>
      <c r="U329" s="220"/>
      <c r="V329" s="220"/>
      <c r="W329" s="220"/>
    </row>
    <row r="330" ht="15.75" customHeight="1" outlineLevel="1">
      <c r="A330" s="211"/>
      <c r="B330" s="212"/>
      <c r="C330" s="213"/>
      <c r="D330" s="214" t="str">
        <f>IFERROR(VLOOKUP($C330,'PORTIFÓLIO'!C:V,2,0),"")</f>
        <v/>
      </c>
      <c r="E330" s="211" t="str">
        <f>IFERROR(VLOOKUP($C330,'PORTIFÓLIO'!C:V,3,0),"")</f>
        <v/>
      </c>
      <c r="F330" s="211" t="str">
        <f>IFERROR(VLOOKUP($C330,'PORTIFÓLIO'!C:V,4,0),"")</f>
        <v/>
      </c>
      <c r="G330" s="215" t="str">
        <f>IFERROR(VLOOKUP($C330,'PORTIFÓLIO'!C:V,5,0),"")</f>
        <v/>
      </c>
      <c r="H330" s="254" t="str">
        <f t="array" ref="H330">IFERROR(INDEX('PORTIFÓLIO'!$H$4:$H$433,MATCH($C330,'PORTIFÓLIO'!$C$4:$C$433,0)),"")</f>
        <v/>
      </c>
      <c r="I330" s="256"/>
      <c r="J330" s="218">
        <f t="shared" si="37"/>
        <v>0</v>
      </c>
      <c r="K330" s="292" t="str">
        <f t="array" ref="K330">IFERROR(I330*INDEX('PORTIFÓLIO'!$S$4:$S$433,MATCH($C330,'PORTIFÓLIO'!$C$4:$C$433,0)),"")</f>
        <v/>
      </c>
      <c r="L330" s="292" t="str">
        <f t="array" ref="L330">IFERROR(J330*INDEX('PORTIFÓLIO'!$S$4:$S$433,MATCH($C330,'PORTIFÓLIO'!$C$4:$C$433,0)),"")</f>
        <v/>
      </c>
      <c r="M330" s="220"/>
      <c r="N330" s="220"/>
      <c r="O330" s="220"/>
      <c r="P330" s="220"/>
      <c r="Q330" s="220"/>
      <c r="R330" s="220"/>
      <c r="S330" s="220"/>
      <c r="T330" s="220"/>
      <c r="U330" s="220"/>
      <c r="V330" s="220"/>
      <c r="W330" s="220"/>
    </row>
    <row r="331" ht="15.75" customHeight="1" outlineLevel="1">
      <c r="A331" s="211"/>
      <c r="B331" s="212"/>
      <c r="C331" s="213"/>
      <c r="D331" s="214" t="str">
        <f>IFERROR(VLOOKUP($C331,'PORTIFÓLIO'!C:V,2,0),"")</f>
        <v/>
      </c>
      <c r="E331" s="211" t="str">
        <f>IFERROR(VLOOKUP($C331,'PORTIFÓLIO'!C:V,3,0),"")</f>
        <v/>
      </c>
      <c r="F331" s="211" t="str">
        <f>IFERROR(VLOOKUP($C331,'PORTIFÓLIO'!C:V,4,0),"")</f>
        <v/>
      </c>
      <c r="G331" s="215" t="str">
        <f>IFERROR(VLOOKUP($C331,'PORTIFÓLIO'!C:V,5,0),"")</f>
        <v/>
      </c>
      <c r="H331" s="254" t="str">
        <f t="array" ref="H331">IFERROR(INDEX('PORTIFÓLIO'!$H$4:$H$433,MATCH($C331,'PORTIFÓLIO'!$C$4:$C$433,0)),"")</f>
        <v/>
      </c>
      <c r="I331" s="256"/>
      <c r="J331" s="218">
        <f t="shared" si="37"/>
        <v>0</v>
      </c>
      <c r="K331" s="292" t="str">
        <f t="array" ref="K331">IFERROR(I331*INDEX('PORTIFÓLIO'!$S$4:$S$433,MATCH($C331,'PORTIFÓLIO'!$C$4:$C$433,0)),"")</f>
        <v/>
      </c>
      <c r="L331" s="292" t="str">
        <f t="array" ref="L331">IFERROR(J331*INDEX('PORTIFÓLIO'!$S$4:$S$433,MATCH($C331,'PORTIFÓLIO'!$C$4:$C$433,0)),"")</f>
        <v/>
      </c>
      <c r="M331" s="220"/>
      <c r="N331" s="220"/>
      <c r="O331" s="220"/>
      <c r="P331" s="220"/>
      <c r="Q331" s="220"/>
      <c r="R331" s="220"/>
      <c r="S331" s="220"/>
      <c r="T331" s="220"/>
      <c r="U331" s="220"/>
      <c r="V331" s="220"/>
      <c r="W331" s="220"/>
    </row>
    <row r="332" ht="15.75" customHeight="1" outlineLevel="1">
      <c r="A332" s="211"/>
      <c r="B332" s="212"/>
      <c r="C332" s="213"/>
      <c r="D332" s="214" t="str">
        <f>IFERROR(VLOOKUP($C332,'PORTIFÓLIO'!C:V,2,0),"")</f>
        <v/>
      </c>
      <c r="E332" s="211" t="str">
        <f>IFERROR(VLOOKUP($C332,'PORTIFÓLIO'!C:V,3,0),"")</f>
        <v/>
      </c>
      <c r="F332" s="211" t="str">
        <f>IFERROR(VLOOKUP($C332,'PORTIFÓLIO'!C:V,4,0),"")</f>
        <v/>
      </c>
      <c r="G332" s="215" t="str">
        <f>IFERROR(VLOOKUP($C332,'PORTIFÓLIO'!C:V,5,0),"")</f>
        <v/>
      </c>
      <c r="H332" s="254" t="str">
        <f t="array" ref="H332">IFERROR(INDEX('PORTIFÓLIO'!$H$4:$H$433,MATCH($C332,'PORTIFÓLIO'!$C$4:$C$433,0)),"")</f>
        <v/>
      </c>
      <c r="I332" s="256"/>
      <c r="J332" s="218">
        <f t="shared" si="37"/>
        <v>0</v>
      </c>
      <c r="K332" s="292" t="str">
        <f t="array" ref="K332">IFERROR(I332*INDEX('PORTIFÓLIO'!$S$4:$S$433,MATCH($C332,'PORTIFÓLIO'!$C$4:$C$433,0)),"")</f>
        <v/>
      </c>
      <c r="L332" s="292" t="str">
        <f t="array" ref="L332">IFERROR(J332*INDEX('PORTIFÓLIO'!$S$4:$S$433,MATCH($C332,'PORTIFÓLIO'!$C$4:$C$433,0)),"")</f>
        <v/>
      </c>
      <c r="M332" s="220"/>
      <c r="N332" s="220"/>
      <c r="O332" s="220"/>
      <c r="P332" s="220"/>
      <c r="Q332" s="220"/>
      <c r="R332" s="220"/>
      <c r="S332" s="220"/>
      <c r="T332" s="220"/>
      <c r="U332" s="220"/>
      <c r="V332" s="220"/>
      <c r="W332" s="220"/>
    </row>
    <row r="333" ht="15.75" customHeight="1" outlineLevel="1">
      <c r="A333" s="211"/>
      <c r="B333" s="212"/>
      <c r="C333" s="213"/>
      <c r="D333" s="214" t="str">
        <f>IFERROR(VLOOKUP($C333,'PORTIFÓLIO'!C:V,2,0),"")</f>
        <v/>
      </c>
      <c r="E333" s="211" t="str">
        <f>IFERROR(VLOOKUP($C333,'PORTIFÓLIO'!C:V,3,0),"")</f>
        <v/>
      </c>
      <c r="F333" s="211" t="str">
        <f>IFERROR(VLOOKUP($C333,'PORTIFÓLIO'!C:V,4,0),"")</f>
        <v/>
      </c>
      <c r="G333" s="215" t="str">
        <f>IFERROR(VLOOKUP($C333,'PORTIFÓLIO'!C:V,5,0),"")</f>
        <v/>
      </c>
      <c r="H333" s="254" t="str">
        <f t="array" ref="H333">IFERROR(INDEX('PORTIFÓLIO'!$H$4:$H$433,MATCH($C333,'PORTIFÓLIO'!$C$4:$C$433,0)),"")</f>
        <v/>
      </c>
      <c r="I333" s="255"/>
      <c r="J333" s="218">
        <f t="shared" si="37"/>
        <v>0</v>
      </c>
      <c r="K333" s="292" t="str">
        <f t="array" ref="K333">IFERROR(I333*INDEX('PORTIFÓLIO'!$S$4:$S$433,MATCH($C333,'PORTIFÓLIO'!$C$4:$C$433,0)),"")</f>
        <v/>
      </c>
      <c r="L333" s="292" t="str">
        <f t="array" ref="L333">IFERROR(J333*INDEX('PORTIFÓLIO'!$S$4:$S$433,MATCH($C333,'PORTIFÓLIO'!$C$4:$C$433,0)),"")</f>
        <v/>
      </c>
      <c r="M333" s="220"/>
      <c r="N333" s="220"/>
      <c r="O333" s="220"/>
      <c r="P333" s="220"/>
      <c r="Q333" s="220"/>
      <c r="R333" s="220"/>
      <c r="S333" s="220"/>
      <c r="T333" s="220"/>
      <c r="U333" s="220"/>
      <c r="V333" s="220"/>
      <c r="W333" s="220"/>
    </row>
    <row r="334" ht="15.75" customHeight="1" outlineLevel="1">
      <c r="A334" s="211"/>
      <c r="B334" s="212"/>
      <c r="C334" s="213"/>
      <c r="D334" s="214" t="str">
        <f>IFERROR(VLOOKUP($C334,'PORTIFÓLIO'!C:V,2,0),"")</f>
        <v/>
      </c>
      <c r="E334" s="211" t="str">
        <f>IFERROR(VLOOKUP($C334,'PORTIFÓLIO'!C:V,3,0),"")</f>
        <v/>
      </c>
      <c r="F334" s="211" t="str">
        <f>IFERROR(VLOOKUP($C334,'PORTIFÓLIO'!C:V,4,0),"")</f>
        <v/>
      </c>
      <c r="G334" s="215" t="str">
        <f>IFERROR(VLOOKUP($C334,'PORTIFÓLIO'!C:V,5,0),"")</f>
        <v/>
      </c>
      <c r="H334" s="254" t="str">
        <f t="array" ref="H334">IFERROR(INDEX('PORTIFÓLIO'!$H$4:$H$433,MATCH($C334,'PORTIFÓLIO'!$C$4:$C$433,0)),"")</f>
        <v/>
      </c>
      <c r="I334" s="256"/>
      <c r="J334" s="218">
        <f t="shared" si="37"/>
        <v>0</v>
      </c>
      <c r="K334" s="292" t="str">
        <f t="array" ref="K334">IFERROR(I334*INDEX('PORTIFÓLIO'!$S$4:$S$433,MATCH($C334,'PORTIFÓLIO'!$C$4:$C$433,0)),"")</f>
        <v/>
      </c>
      <c r="L334" s="292" t="str">
        <f t="array" ref="L334">IFERROR(J334*INDEX('PORTIFÓLIO'!$S$4:$S$433,MATCH($C334,'PORTIFÓLIO'!$C$4:$C$433,0)),"")</f>
        <v/>
      </c>
      <c r="M334" s="220"/>
      <c r="N334" s="220"/>
      <c r="O334" s="220"/>
      <c r="P334" s="220"/>
      <c r="Q334" s="220"/>
      <c r="R334" s="220"/>
      <c r="S334" s="220"/>
      <c r="T334" s="220"/>
      <c r="U334" s="220"/>
      <c r="V334" s="220"/>
      <c r="W334" s="220"/>
    </row>
    <row r="335" ht="15.75" customHeight="1" outlineLevel="1">
      <c r="A335" s="211"/>
      <c r="B335" s="212"/>
      <c r="C335" s="213"/>
      <c r="D335" s="214" t="str">
        <f>IFERROR(VLOOKUP($C335,'PORTIFÓLIO'!C:V,2,0),"")</f>
        <v/>
      </c>
      <c r="E335" s="211" t="str">
        <f>IFERROR(VLOOKUP($C335,'PORTIFÓLIO'!C:V,3,0),"")</f>
        <v/>
      </c>
      <c r="F335" s="211" t="str">
        <f>IFERROR(VLOOKUP($C335,'PORTIFÓLIO'!C:V,4,0),"")</f>
        <v/>
      </c>
      <c r="G335" s="215" t="str">
        <f>IFERROR(VLOOKUP($C335,'PORTIFÓLIO'!C:V,5,0),"")</f>
        <v/>
      </c>
      <c r="H335" s="254" t="str">
        <f t="array" ref="H335">IFERROR(INDEX('PORTIFÓLIO'!$H$4:$H$433,MATCH($C335,'PORTIFÓLIO'!$C$4:$C$433,0)),"")</f>
        <v/>
      </c>
      <c r="I335" s="256"/>
      <c r="J335" s="218">
        <f t="shared" si="37"/>
        <v>0</v>
      </c>
      <c r="K335" s="292" t="str">
        <f t="array" ref="K335">IFERROR(I335*INDEX('PORTIFÓLIO'!$S$4:$S$433,MATCH($C335,'PORTIFÓLIO'!$C$4:$C$433,0)),"")</f>
        <v/>
      </c>
      <c r="L335" s="292" t="str">
        <f t="array" ref="L335">IFERROR(J335*INDEX('PORTIFÓLIO'!$S$4:$S$433,MATCH($C335,'PORTIFÓLIO'!$C$4:$C$433,0)),"")</f>
        <v/>
      </c>
      <c r="M335" s="220"/>
      <c r="N335" s="220"/>
      <c r="O335" s="220"/>
      <c r="P335" s="220"/>
      <c r="Q335" s="220"/>
      <c r="R335" s="220"/>
      <c r="S335" s="220"/>
      <c r="T335" s="220"/>
      <c r="U335" s="220"/>
      <c r="V335" s="220"/>
      <c r="W335" s="220"/>
    </row>
    <row r="336" ht="15.75" customHeight="1" outlineLevel="1">
      <c r="A336" s="211"/>
      <c r="B336" s="212"/>
      <c r="C336" s="213"/>
      <c r="D336" s="214" t="str">
        <f>IFERROR(VLOOKUP($C336,'PORTIFÓLIO'!C:V,2,0),"")</f>
        <v/>
      </c>
      <c r="E336" s="211" t="str">
        <f>IFERROR(VLOOKUP($C336,'PORTIFÓLIO'!C:V,3,0),"")</f>
        <v/>
      </c>
      <c r="F336" s="211" t="str">
        <f>IFERROR(VLOOKUP($C336,'PORTIFÓLIO'!C:V,4,0),"")</f>
        <v/>
      </c>
      <c r="G336" s="215" t="str">
        <f>IFERROR(VLOOKUP($C336,'PORTIFÓLIO'!C:V,5,0),"")</f>
        <v/>
      </c>
      <c r="H336" s="254" t="str">
        <f t="array" ref="H336">IFERROR(INDEX('PORTIFÓLIO'!$H$4:$H$433,MATCH($C336,'PORTIFÓLIO'!$C$4:$C$433,0)),"")</f>
        <v/>
      </c>
      <c r="I336" s="256"/>
      <c r="J336" s="218">
        <f t="shared" si="37"/>
        <v>0</v>
      </c>
      <c r="K336" s="292" t="str">
        <f t="array" ref="K336">IFERROR(I336*INDEX('PORTIFÓLIO'!$S$4:$S$433,MATCH($C336,'PORTIFÓLIO'!$C$4:$C$433,0)),"")</f>
        <v/>
      </c>
      <c r="L336" s="292" t="str">
        <f t="array" ref="L336">IFERROR(J336*INDEX('PORTIFÓLIO'!$S$4:$S$433,MATCH($C336,'PORTIFÓLIO'!$C$4:$C$433,0)),"")</f>
        <v/>
      </c>
      <c r="M336" s="220"/>
      <c r="N336" s="220"/>
      <c r="O336" s="220"/>
      <c r="P336" s="220"/>
      <c r="Q336" s="220"/>
      <c r="R336" s="220"/>
      <c r="S336" s="220"/>
      <c r="T336" s="220"/>
      <c r="U336" s="220"/>
      <c r="V336" s="220"/>
      <c r="W336" s="220"/>
    </row>
    <row r="337" ht="15.75" customHeight="1" outlineLevel="1">
      <c r="A337" s="211"/>
      <c r="B337" s="212"/>
      <c r="C337" s="213"/>
      <c r="D337" s="214" t="str">
        <f>IFERROR(VLOOKUP($C337,'PORTIFÓLIO'!C:V,2,0),"")</f>
        <v/>
      </c>
      <c r="E337" s="211" t="str">
        <f>IFERROR(VLOOKUP($C337,'PORTIFÓLIO'!C:V,3,0),"")</f>
        <v/>
      </c>
      <c r="F337" s="211" t="str">
        <f>IFERROR(VLOOKUP($C337,'PORTIFÓLIO'!C:V,4,0),"")</f>
        <v/>
      </c>
      <c r="G337" s="215" t="str">
        <f>IFERROR(VLOOKUP($C337,'PORTIFÓLIO'!C:V,5,0),"")</f>
        <v/>
      </c>
      <c r="H337" s="254" t="str">
        <f t="array" ref="H337">IFERROR(INDEX('PORTIFÓLIO'!$H$4:$H$433,MATCH($C337,'PORTIFÓLIO'!$C$4:$C$433,0)),"")</f>
        <v/>
      </c>
      <c r="I337" s="256"/>
      <c r="J337" s="218">
        <f t="shared" si="37"/>
        <v>0</v>
      </c>
      <c r="K337" s="292" t="str">
        <f t="array" ref="K337">IFERROR(I337*INDEX('PORTIFÓLIO'!$S$4:$S$433,MATCH($C337,'PORTIFÓLIO'!$C$4:$C$433,0)),"")</f>
        <v/>
      </c>
      <c r="L337" s="292" t="str">
        <f t="array" ref="L337">IFERROR(J337*INDEX('PORTIFÓLIO'!$S$4:$S$433,MATCH($C337,'PORTIFÓLIO'!$C$4:$C$433,0)),"")</f>
        <v/>
      </c>
      <c r="M337" s="220"/>
      <c r="N337" s="220"/>
      <c r="O337" s="220"/>
      <c r="P337" s="220"/>
      <c r="Q337" s="220"/>
      <c r="R337" s="220"/>
      <c r="S337" s="220"/>
      <c r="T337" s="220"/>
      <c r="U337" s="220"/>
      <c r="V337" s="220"/>
      <c r="W337" s="220"/>
    </row>
    <row r="338" ht="15.75" customHeight="1" outlineLevel="1">
      <c r="A338" s="211"/>
      <c r="B338" s="212"/>
      <c r="C338" s="213"/>
      <c r="D338" s="214" t="str">
        <f>IFERROR(VLOOKUP($C338,'PORTIFÓLIO'!C:V,2,0),"")</f>
        <v/>
      </c>
      <c r="E338" s="211" t="str">
        <f>IFERROR(VLOOKUP($C338,'PORTIFÓLIO'!C:V,3,0),"")</f>
        <v/>
      </c>
      <c r="F338" s="211" t="str">
        <f>IFERROR(VLOOKUP($C338,'PORTIFÓLIO'!C:V,4,0),"")</f>
        <v/>
      </c>
      <c r="G338" s="215" t="str">
        <f>IFERROR(VLOOKUP($C338,'PORTIFÓLIO'!C:V,5,0),"")</f>
        <v/>
      </c>
      <c r="H338" s="254" t="str">
        <f t="array" ref="H338">IFERROR(INDEX('PORTIFÓLIO'!$H$4:$H$433,MATCH($C338,'PORTIFÓLIO'!$C$4:$C$433,0)),"")</f>
        <v/>
      </c>
      <c r="I338" s="256"/>
      <c r="J338" s="218">
        <f t="shared" si="37"/>
        <v>0</v>
      </c>
      <c r="K338" s="292" t="str">
        <f t="array" ref="K338">IFERROR(I338*INDEX('PORTIFÓLIO'!$S$4:$S$433,MATCH($C338,'PORTIFÓLIO'!$C$4:$C$433,0)),"")</f>
        <v/>
      </c>
      <c r="L338" s="292" t="str">
        <f t="array" ref="L338">IFERROR(J338*INDEX('PORTIFÓLIO'!$S$4:$S$433,MATCH($C338,'PORTIFÓLIO'!$C$4:$C$433,0)),"")</f>
        <v/>
      </c>
      <c r="M338" s="220"/>
      <c r="N338" s="220"/>
      <c r="O338" s="220"/>
      <c r="P338" s="220"/>
      <c r="Q338" s="220"/>
      <c r="R338" s="220"/>
      <c r="S338" s="220"/>
      <c r="T338" s="220"/>
      <c r="U338" s="220"/>
      <c r="V338" s="220"/>
      <c r="W338" s="220"/>
    </row>
    <row r="339" ht="15.75" customHeight="1" outlineLevel="1">
      <c r="A339" s="211"/>
      <c r="B339" s="212"/>
      <c r="C339" s="213"/>
      <c r="D339" s="214" t="str">
        <f>IFERROR(VLOOKUP($C339,'PORTIFÓLIO'!C:V,2,0),"")</f>
        <v/>
      </c>
      <c r="E339" s="211" t="str">
        <f>IFERROR(VLOOKUP($C339,'PORTIFÓLIO'!C:V,3,0),"")</f>
        <v/>
      </c>
      <c r="F339" s="211" t="str">
        <f>IFERROR(VLOOKUP($C339,'PORTIFÓLIO'!C:V,4,0),"")</f>
        <v/>
      </c>
      <c r="G339" s="215" t="str">
        <f>IFERROR(VLOOKUP($C339,'PORTIFÓLIO'!C:V,5,0),"")</f>
        <v/>
      </c>
      <c r="H339" s="254" t="str">
        <f t="array" ref="H339">IFERROR(INDEX('PORTIFÓLIO'!$H$4:$H$433,MATCH($C339,'PORTIFÓLIO'!$C$4:$C$433,0)),"")</f>
        <v/>
      </c>
      <c r="I339" s="256"/>
      <c r="J339" s="218">
        <f t="shared" si="37"/>
        <v>0</v>
      </c>
      <c r="K339" s="292" t="str">
        <f t="array" ref="K339">IFERROR(I339*INDEX('PORTIFÓLIO'!$S$4:$S$433,MATCH($C339,'PORTIFÓLIO'!$C$4:$C$433,0)),"")</f>
        <v/>
      </c>
      <c r="L339" s="292" t="str">
        <f t="array" ref="L339">IFERROR(J339*INDEX('PORTIFÓLIO'!$S$4:$S$433,MATCH($C339,'PORTIFÓLIO'!$C$4:$C$433,0)),"")</f>
        <v/>
      </c>
      <c r="M339" s="220"/>
      <c r="N339" s="220"/>
      <c r="O339" s="220"/>
      <c r="P339" s="220"/>
      <c r="Q339" s="220"/>
      <c r="R339" s="220"/>
      <c r="S339" s="220"/>
      <c r="T339" s="220"/>
      <c r="U339" s="220"/>
      <c r="V339" s="220"/>
      <c r="W339" s="220"/>
    </row>
    <row r="340" ht="15.75" customHeight="1" outlineLevel="1">
      <c r="A340" s="211"/>
      <c r="B340" s="227"/>
      <c r="C340" s="211"/>
      <c r="D340" s="214" t="str">
        <f>IFERROR(VLOOKUP($C340,'PORTIFÓLIO'!C:V,2,0),"")</f>
        <v/>
      </c>
      <c r="E340" s="211" t="str">
        <f>IFERROR(VLOOKUP($C340,'PORTIFÓLIO'!C:V,3,0),"")</f>
        <v/>
      </c>
      <c r="F340" s="211" t="str">
        <f>IFERROR(VLOOKUP($C340,'PORTIFÓLIO'!C:V,4,0),"")</f>
        <v/>
      </c>
      <c r="G340" s="215" t="str">
        <f>IFERROR(VLOOKUP($C340,'PORTIFÓLIO'!C:V,5,0),"")</f>
        <v/>
      </c>
      <c r="H340" s="254" t="str">
        <f t="array" ref="H340">IFERROR(INDEX('PORTIFÓLIO'!$H$4:$H$433,MATCH($C340,'PORTIFÓLIO'!$C$4:$C$433,0)),"")</f>
        <v/>
      </c>
      <c r="I340" s="256"/>
      <c r="J340" s="218"/>
      <c r="K340" s="292" t="str">
        <f t="array" ref="K340">IFERROR(I340*INDEX('PORTIFÓLIO'!$S$4:$S$433,MATCH($C340,'PORTIFÓLIO'!$C$4:$C$433,0)),"")</f>
        <v/>
      </c>
      <c r="L340" s="292" t="str">
        <f t="array" ref="L340">IFERROR(J340*INDEX('PORTIFÓLIO'!$S$4:$S$433,MATCH($C340,'PORTIFÓLIO'!$C$4:$C$433,0)),"")</f>
        <v/>
      </c>
      <c r="M340" s="220"/>
      <c r="N340" s="220"/>
      <c r="O340" s="220"/>
      <c r="P340" s="220"/>
      <c r="Q340" s="220"/>
      <c r="R340" s="220"/>
      <c r="S340" s="220"/>
      <c r="T340" s="220"/>
      <c r="U340" s="220"/>
      <c r="V340" s="220"/>
      <c r="W340" s="220"/>
    </row>
    <row r="341" ht="15.75" customHeight="1">
      <c r="A341" s="229" t="s">
        <v>1190</v>
      </c>
      <c r="B341" s="230"/>
      <c r="C341" s="231"/>
      <c r="D341" s="232"/>
      <c r="E341" s="231"/>
      <c r="F341" s="231"/>
      <c r="G341" s="233"/>
      <c r="H341" s="233"/>
      <c r="I341" s="258"/>
      <c r="J341" s="236"/>
      <c r="K341" s="237">
        <f t="shared" ref="K341:L341" si="38">SUBTOTAL(9,K342:K355)</f>
        <v>0</v>
      </c>
      <c r="L341" s="237">
        <f t="shared" si="38"/>
        <v>0</v>
      </c>
      <c r="M341" s="220"/>
      <c r="N341" s="220"/>
      <c r="O341" s="220"/>
      <c r="P341" s="220"/>
      <c r="Q341" s="220"/>
      <c r="R341" s="220"/>
      <c r="S341" s="220"/>
      <c r="T341" s="220"/>
      <c r="U341" s="220"/>
      <c r="V341" s="220"/>
      <c r="W341" s="220"/>
    </row>
    <row r="342" ht="15.75" customHeight="1" outlineLevel="1">
      <c r="A342" s="213"/>
      <c r="B342" s="212"/>
      <c r="C342" s="213"/>
      <c r="D342" s="214" t="str">
        <f>IFERROR(VLOOKUP($C342,'PORTIFÓLIO'!C:V,2,0),"")</f>
        <v/>
      </c>
      <c r="E342" s="211" t="str">
        <f>IFERROR(VLOOKUP($C342,'PORTIFÓLIO'!C:V,3,0),"")</f>
        <v/>
      </c>
      <c r="F342" s="211" t="str">
        <f>IFERROR(VLOOKUP($C342,'PORTIFÓLIO'!C:V,4,0),"")</f>
        <v/>
      </c>
      <c r="G342" s="215" t="str">
        <f>IFERROR(VLOOKUP($C342,'PORTIFÓLIO'!C:V,5,0),"")</f>
        <v/>
      </c>
      <c r="H342" s="254" t="str">
        <f t="array" ref="H342">IFERROR(INDEX('PORTIFÓLIO'!$H$4:$H$433,MATCH($C342,'PORTIFÓLIO'!$C$4:$C$433,0)),"")</f>
        <v/>
      </c>
      <c r="I342" s="255"/>
      <c r="J342" s="218">
        <f t="shared" ref="J342:J356" si="39">I342*$B$2</f>
        <v>0</v>
      </c>
      <c r="K342" s="292" t="str">
        <f t="array" ref="K342">IFERROR(I342*INDEX('PORTIFÓLIO'!$S$4:$S$433,MATCH($C342,'PORTIFÓLIO'!$C$4:$C$433,0)),"")</f>
        <v/>
      </c>
      <c r="L342" s="292" t="str">
        <f t="array" ref="L342">IFERROR(J342*INDEX('PORTIFÓLIO'!$S$4:$S$433,MATCH($C342,'PORTIFÓLIO'!$C$4:$C$433,0)),"")</f>
        <v/>
      </c>
      <c r="M342" s="220"/>
      <c r="N342" s="220"/>
      <c r="O342" s="220"/>
      <c r="P342" s="220"/>
      <c r="Q342" s="220"/>
      <c r="R342" s="220"/>
      <c r="S342" s="220"/>
      <c r="T342" s="220"/>
      <c r="U342" s="220"/>
      <c r="V342" s="220"/>
      <c r="W342" s="220"/>
    </row>
    <row r="343" ht="15.75" customHeight="1" outlineLevel="1">
      <c r="A343" s="211"/>
      <c r="B343" s="212"/>
      <c r="C343" s="213"/>
      <c r="D343" s="214" t="str">
        <f>IFERROR(VLOOKUP($C343,'PORTIFÓLIO'!C:V,2,0),"")</f>
        <v/>
      </c>
      <c r="E343" s="211" t="str">
        <f>IFERROR(VLOOKUP($C343,'PORTIFÓLIO'!C:V,3,0),"")</f>
        <v/>
      </c>
      <c r="F343" s="211" t="str">
        <f>IFERROR(VLOOKUP($C343,'PORTIFÓLIO'!C:V,4,0),"")</f>
        <v/>
      </c>
      <c r="G343" s="215" t="str">
        <f>IFERROR(VLOOKUP($C343,'PORTIFÓLIO'!C:V,5,0),"")</f>
        <v/>
      </c>
      <c r="H343" s="254" t="str">
        <f t="array" ref="H343">IFERROR(INDEX('PORTIFÓLIO'!$H$4:$H$433,MATCH($C343,'PORTIFÓLIO'!$C$4:$C$433,0)),"")</f>
        <v/>
      </c>
      <c r="I343" s="256"/>
      <c r="J343" s="218">
        <f t="shared" si="39"/>
        <v>0</v>
      </c>
      <c r="K343" s="292" t="str">
        <f t="array" ref="K343">IFERROR(I343*INDEX('PORTIFÓLIO'!$S$4:$S$433,MATCH($C343,'PORTIFÓLIO'!$C$4:$C$433,0)),"")</f>
        <v/>
      </c>
      <c r="L343" s="292" t="str">
        <f t="array" ref="L343">IFERROR(J343*INDEX('PORTIFÓLIO'!$S$4:$S$433,MATCH($C343,'PORTIFÓLIO'!$C$4:$C$433,0)),"")</f>
        <v/>
      </c>
      <c r="M343" s="220"/>
      <c r="N343" s="220"/>
      <c r="O343" s="220"/>
      <c r="P343" s="220"/>
      <c r="Q343" s="220"/>
      <c r="R343" s="220"/>
      <c r="S343" s="220"/>
      <c r="T343" s="220"/>
      <c r="U343" s="220"/>
      <c r="V343" s="220"/>
      <c r="W343" s="220"/>
    </row>
    <row r="344" ht="15.75" customHeight="1" outlineLevel="1">
      <c r="A344" s="211"/>
      <c r="B344" s="212"/>
      <c r="C344" s="213"/>
      <c r="D344" s="214" t="str">
        <f>IFERROR(VLOOKUP($C344,'PORTIFÓLIO'!C:V,2,0),"")</f>
        <v/>
      </c>
      <c r="E344" s="211" t="str">
        <f>IFERROR(VLOOKUP($C344,'PORTIFÓLIO'!C:V,3,0),"")</f>
        <v/>
      </c>
      <c r="F344" s="211" t="str">
        <f>IFERROR(VLOOKUP($C344,'PORTIFÓLIO'!C:V,4,0),"")</f>
        <v/>
      </c>
      <c r="G344" s="215" t="str">
        <f>IFERROR(VLOOKUP($C344,'PORTIFÓLIO'!C:V,5,0),"")</f>
        <v/>
      </c>
      <c r="H344" s="254" t="str">
        <f t="array" ref="H344">IFERROR(INDEX('PORTIFÓLIO'!$H$4:$H$433,MATCH($C344,'PORTIFÓLIO'!$C$4:$C$433,0)),"")</f>
        <v/>
      </c>
      <c r="I344" s="256"/>
      <c r="J344" s="218">
        <f t="shared" si="39"/>
        <v>0</v>
      </c>
      <c r="K344" s="292" t="str">
        <f t="array" ref="K344">IFERROR(I344*INDEX('PORTIFÓLIO'!$S$4:$S$433,MATCH($C344,'PORTIFÓLIO'!$C$4:$C$433,0)),"")</f>
        <v/>
      </c>
      <c r="L344" s="292" t="str">
        <f t="array" ref="L344">IFERROR(J344*INDEX('PORTIFÓLIO'!$S$4:$S$433,MATCH($C344,'PORTIFÓLIO'!$C$4:$C$433,0)),"")</f>
        <v/>
      </c>
      <c r="M344" s="220"/>
      <c r="N344" s="220"/>
      <c r="O344" s="220"/>
      <c r="P344" s="220"/>
      <c r="Q344" s="220"/>
      <c r="R344" s="220"/>
      <c r="S344" s="220"/>
      <c r="T344" s="220"/>
      <c r="U344" s="220"/>
      <c r="V344" s="220"/>
      <c r="W344" s="220"/>
    </row>
    <row r="345" ht="15.75" customHeight="1" outlineLevel="1">
      <c r="A345" s="211"/>
      <c r="B345" s="212"/>
      <c r="C345" s="213"/>
      <c r="D345" s="214" t="str">
        <f>IFERROR(VLOOKUP($C345,'PORTIFÓLIO'!C:V,2,0),"")</f>
        <v/>
      </c>
      <c r="E345" s="211" t="str">
        <f>IFERROR(VLOOKUP($C345,'PORTIFÓLIO'!C:V,3,0),"")</f>
        <v/>
      </c>
      <c r="F345" s="211" t="str">
        <f>IFERROR(VLOOKUP($C345,'PORTIFÓLIO'!C:V,4,0),"")</f>
        <v/>
      </c>
      <c r="G345" s="215" t="str">
        <f>IFERROR(VLOOKUP($C345,'PORTIFÓLIO'!C:V,5,0),"")</f>
        <v/>
      </c>
      <c r="H345" s="254" t="str">
        <f t="array" ref="H345">IFERROR(INDEX('PORTIFÓLIO'!$H$4:$H$433,MATCH($C345,'PORTIFÓLIO'!$C$4:$C$433,0)),"")</f>
        <v/>
      </c>
      <c r="I345" s="256"/>
      <c r="J345" s="218">
        <f t="shared" si="39"/>
        <v>0</v>
      </c>
      <c r="K345" s="292" t="str">
        <f t="array" ref="K345">IFERROR(I345*INDEX('PORTIFÓLIO'!$S$4:$S$433,MATCH($C345,'PORTIFÓLIO'!$C$4:$C$433,0)),"")</f>
        <v/>
      </c>
      <c r="L345" s="292" t="str">
        <f t="array" ref="L345">IFERROR(J345*INDEX('PORTIFÓLIO'!$S$4:$S$433,MATCH($C345,'PORTIFÓLIO'!$C$4:$C$433,0)),"")</f>
        <v/>
      </c>
      <c r="M345" s="220"/>
      <c r="N345" s="220"/>
      <c r="O345" s="220"/>
      <c r="P345" s="220"/>
      <c r="Q345" s="220"/>
      <c r="R345" s="220"/>
      <c r="S345" s="220"/>
      <c r="T345" s="220"/>
      <c r="U345" s="220"/>
      <c r="V345" s="220"/>
      <c r="W345" s="220"/>
    </row>
    <row r="346" ht="15.75" customHeight="1" outlineLevel="1">
      <c r="A346" s="211"/>
      <c r="B346" s="212"/>
      <c r="C346" s="213"/>
      <c r="D346" s="214" t="str">
        <f>IFERROR(VLOOKUP($C346,'PORTIFÓLIO'!C:V,2,0),"")</f>
        <v/>
      </c>
      <c r="E346" s="211" t="str">
        <f>IFERROR(VLOOKUP($C346,'PORTIFÓLIO'!C:V,3,0),"")</f>
        <v/>
      </c>
      <c r="F346" s="211" t="str">
        <f>IFERROR(VLOOKUP($C346,'PORTIFÓLIO'!C:V,4,0),"")</f>
        <v/>
      </c>
      <c r="G346" s="215" t="str">
        <f>IFERROR(VLOOKUP($C346,'PORTIFÓLIO'!C:V,5,0),"")</f>
        <v/>
      </c>
      <c r="H346" s="254" t="str">
        <f t="array" ref="H346">IFERROR(INDEX('PORTIFÓLIO'!$H$4:$H$433,MATCH($C346,'PORTIFÓLIO'!$C$4:$C$433,0)),"")</f>
        <v/>
      </c>
      <c r="I346" s="256"/>
      <c r="J346" s="218">
        <f t="shared" si="39"/>
        <v>0</v>
      </c>
      <c r="K346" s="292" t="str">
        <f t="array" ref="K346">IFERROR(I346*INDEX('PORTIFÓLIO'!$S$4:$S$433,MATCH($C346,'PORTIFÓLIO'!$C$4:$C$433,0)),"")</f>
        <v/>
      </c>
      <c r="L346" s="292" t="str">
        <f t="array" ref="L346">IFERROR(J346*INDEX('PORTIFÓLIO'!$S$4:$S$433,MATCH($C346,'PORTIFÓLIO'!$C$4:$C$433,0)),"")</f>
        <v/>
      </c>
      <c r="M346" s="220"/>
      <c r="N346" s="220"/>
      <c r="O346" s="220"/>
      <c r="P346" s="220"/>
      <c r="Q346" s="220"/>
      <c r="R346" s="220"/>
      <c r="S346" s="220"/>
      <c r="T346" s="220"/>
      <c r="U346" s="220"/>
      <c r="V346" s="220"/>
      <c r="W346" s="220"/>
    </row>
    <row r="347" ht="15.75" customHeight="1" outlineLevel="1">
      <c r="A347" s="211"/>
      <c r="B347" s="212"/>
      <c r="C347" s="213"/>
      <c r="D347" s="214" t="str">
        <f>IFERROR(VLOOKUP($C347,'PORTIFÓLIO'!C:V,2,0),"")</f>
        <v/>
      </c>
      <c r="E347" s="211" t="str">
        <f>IFERROR(VLOOKUP($C347,'PORTIFÓLIO'!C:V,3,0),"")</f>
        <v/>
      </c>
      <c r="F347" s="211" t="str">
        <f>IFERROR(VLOOKUP($C347,'PORTIFÓLIO'!C:V,4,0),"")</f>
        <v/>
      </c>
      <c r="G347" s="215" t="str">
        <f>IFERROR(VLOOKUP($C347,'PORTIFÓLIO'!C:V,5,0),"")</f>
        <v/>
      </c>
      <c r="H347" s="254" t="str">
        <f t="array" ref="H347">IFERROR(INDEX('PORTIFÓLIO'!$H$4:$H$433,MATCH($C347,'PORTIFÓLIO'!$C$4:$C$433,0)),"")</f>
        <v/>
      </c>
      <c r="I347" s="256"/>
      <c r="J347" s="218">
        <f t="shared" si="39"/>
        <v>0</v>
      </c>
      <c r="K347" s="292" t="str">
        <f t="array" ref="K347">IFERROR(I347*INDEX('PORTIFÓLIO'!$S$4:$S$433,MATCH($C347,'PORTIFÓLIO'!$C$4:$C$433,0)),"")</f>
        <v/>
      </c>
      <c r="L347" s="292" t="str">
        <f t="array" ref="L347">IFERROR(J347*INDEX('PORTIFÓLIO'!$S$4:$S$433,MATCH($C347,'PORTIFÓLIO'!$C$4:$C$433,0)),"")</f>
        <v/>
      </c>
      <c r="M347" s="220"/>
      <c r="N347" s="220"/>
      <c r="O347" s="220"/>
      <c r="P347" s="220"/>
      <c r="Q347" s="220"/>
      <c r="R347" s="220"/>
      <c r="S347" s="220"/>
      <c r="T347" s="220"/>
      <c r="U347" s="220"/>
      <c r="V347" s="220"/>
      <c r="W347" s="220"/>
    </row>
    <row r="348" ht="15.75" customHeight="1" outlineLevel="1">
      <c r="A348" s="211"/>
      <c r="B348" s="212"/>
      <c r="C348" s="213"/>
      <c r="D348" s="214" t="str">
        <f>IFERROR(VLOOKUP($C348,'PORTIFÓLIO'!C:V,2,0),"")</f>
        <v/>
      </c>
      <c r="E348" s="211" t="str">
        <f>IFERROR(VLOOKUP($C348,'PORTIFÓLIO'!C:V,3,0),"")</f>
        <v/>
      </c>
      <c r="F348" s="211" t="str">
        <f>IFERROR(VLOOKUP($C348,'PORTIFÓLIO'!C:V,4,0),"")</f>
        <v/>
      </c>
      <c r="G348" s="215" t="str">
        <f>IFERROR(VLOOKUP($C348,'PORTIFÓLIO'!C:V,5,0),"")</f>
        <v/>
      </c>
      <c r="H348" s="254" t="str">
        <f t="array" ref="H348">IFERROR(INDEX('PORTIFÓLIO'!$H$4:$H$433,MATCH($C348,'PORTIFÓLIO'!$C$4:$C$433,0)),"")</f>
        <v/>
      </c>
      <c r="I348" s="256"/>
      <c r="J348" s="218">
        <f t="shared" si="39"/>
        <v>0</v>
      </c>
      <c r="K348" s="292" t="str">
        <f t="array" ref="K348">IFERROR(I348*INDEX('PORTIFÓLIO'!$S$4:$S$433,MATCH($C348,'PORTIFÓLIO'!$C$4:$C$433,0)),"")</f>
        <v/>
      </c>
      <c r="L348" s="292" t="str">
        <f t="array" ref="L348">IFERROR(J348*INDEX('PORTIFÓLIO'!$S$4:$S$433,MATCH($C348,'PORTIFÓLIO'!$C$4:$C$433,0)),"")</f>
        <v/>
      </c>
      <c r="M348" s="220"/>
      <c r="N348" s="220"/>
      <c r="O348" s="220"/>
      <c r="P348" s="220"/>
      <c r="Q348" s="220"/>
      <c r="R348" s="220"/>
      <c r="S348" s="220"/>
      <c r="T348" s="220"/>
      <c r="U348" s="220"/>
      <c r="V348" s="220"/>
      <c r="W348" s="220"/>
    </row>
    <row r="349" ht="15.75" customHeight="1" outlineLevel="1">
      <c r="A349" s="211"/>
      <c r="B349" s="212"/>
      <c r="C349" s="213"/>
      <c r="D349" s="214" t="str">
        <f>IFERROR(VLOOKUP($C349,'PORTIFÓLIO'!C:V,2,0),"")</f>
        <v/>
      </c>
      <c r="E349" s="211" t="str">
        <f>IFERROR(VLOOKUP($C349,'PORTIFÓLIO'!C:V,3,0),"")</f>
        <v/>
      </c>
      <c r="F349" s="211" t="str">
        <f>IFERROR(VLOOKUP($C349,'PORTIFÓLIO'!C:V,4,0),"")</f>
        <v/>
      </c>
      <c r="G349" s="215" t="str">
        <f>IFERROR(VLOOKUP($C349,'PORTIFÓLIO'!C:V,5,0),"")</f>
        <v/>
      </c>
      <c r="H349" s="254" t="str">
        <f t="array" ref="H349">IFERROR(INDEX('PORTIFÓLIO'!$H$4:$H$433,MATCH($C349,'PORTIFÓLIO'!$C$4:$C$433,0)),"")</f>
        <v/>
      </c>
      <c r="I349" s="256"/>
      <c r="J349" s="218">
        <f t="shared" si="39"/>
        <v>0</v>
      </c>
      <c r="K349" s="292" t="str">
        <f t="array" ref="K349">IFERROR(I349*INDEX('PORTIFÓLIO'!$S$4:$S$433,MATCH($C349,'PORTIFÓLIO'!$C$4:$C$433,0)),"")</f>
        <v/>
      </c>
      <c r="L349" s="292" t="str">
        <f t="array" ref="L349">IFERROR(J349*INDEX('PORTIFÓLIO'!$S$4:$S$433,MATCH($C349,'PORTIFÓLIO'!$C$4:$C$433,0)),"")</f>
        <v/>
      </c>
      <c r="M349" s="220"/>
      <c r="N349" s="220"/>
      <c r="O349" s="220"/>
      <c r="P349" s="220"/>
      <c r="Q349" s="220"/>
      <c r="R349" s="220"/>
      <c r="S349" s="220"/>
      <c r="T349" s="220"/>
      <c r="U349" s="220"/>
      <c r="V349" s="220"/>
      <c r="W349" s="220"/>
    </row>
    <row r="350" ht="15.75" customHeight="1" outlineLevel="1">
      <c r="A350" s="211"/>
      <c r="B350" s="212"/>
      <c r="C350" s="213"/>
      <c r="D350" s="214" t="str">
        <f>IFERROR(VLOOKUP($C350,'PORTIFÓLIO'!C:V,2,0),"")</f>
        <v/>
      </c>
      <c r="E350" s="211" t="str">
        <f>IFERROR(VLOOKUP($C350,'PORTIFÓLIO'!C:V,3,0),"")</f>
        <v/>
      </c>
      <c r="F350" s="211" t="str">
        <f>IFERROR(VLOOKUP($C350,'PORTIFÓLIO'!C:V,4,0),"")</f>
        <v/>
      </c>
      <c r="G350" s="215" t="str">
        <f>IFERROR(VLOOKUP($C350,'PORTIFÓLIO'!C:V,5,0),"")</f>
        <v/>
      </c>
      <c r="H350" s="254" t="str">
        <f t="array" ref="H350">IFERROR(INDEX('PORTIFÓLIO'!$H$4:$H$433,MATCH($C350,'PORTIFÓLIO'!$C$4:$C$433,0)),"")</f>
        <v/>
      </c>
      <c r="I350" s="255"/>
      <c r="J350" s="218">
        <f t="shared" si="39"/>
        <v>0</v>
      </c>
      <c r="K350" s="292" t="str">
        <f t="array" ref="K350">IFERROR(I350*INDEX('PORTIFÓLIO'!$S$4:$S$433,MATCH($C350,'PORTIFÓLIO'!$C$4:$C$433,0)),"")</f>
        <v/>
      </c>
      <c r="L350" s="292" t="str">
        <f t="array" ref="L350">IFERROR(J350*INDEX('PORTIFÓLIO'!$S$4:$S$433,MATCH($C350,'PORTIFÓLIO'!$C$4:$C$433,0)),"")</f>
        <v/>
      </c>
      <c r="M350" s="220"/>
      <c r="N350" s="220"/>
      <c r="O350" s="220"/>
      <c r="P350" s="220"/>
      <c r="Q350" s="220"/>
      <c r="R350" s="220"/>
      <c r="S350" s="220"/>
      <c r="T350" s="220"/>
      <c r="U350" s="220"/>
      <c r="V350" s="220"/>
      <c r="W350" s="220"/>
    </row>
    <row r="351" ht="15.75" customHeight="1" outlineLevel="1">
      <c r="A351" s="211"/>
      <c r="B351" s="212"/>
      <c r="C351" s="213"/>
      <c r="D351" s="214" t="str">
        <f>IFERROR(VLOOKUP($C351,'PORTIFÓLIO'!C:V,2,0),"")</f>
        <v/>
      </c>
      <c r="E351" s="211" t="str">
        <f>IFERROR(VLOOKUP($C351,'PORTIFÓLIO'!C:V,3,0),"")</f>
        <v/>
      </c>
      <c r="F351" s="211" t="str">
        <f>IFERROR(VLOOKUP($C351,'PORTIFÓLIO'!C:V,4,0),"")</f>
        <v/>
      </c>
      <c r="G351" s="215" t="str">
        <f>IFERROR(VLOOKUP($C351,'PORTIFÓLIO'!C:V,5,0),"")</f>
        <v/>
      </c>
      <c r="H351" s="254" t="str">
        <f t="array" ref="H351">IFERROR(INDEX('PORTIFÓLIO'!$H$4:$H$433,MATCH($C351,'PORTIFÓLIO'!$C$4:$C$433,0)),"")</f>
        <v/>
      </c>
      <c r="I351" s="256"/>
      <c r="J351" s="218">
        <f t="shared" si="39"/>
        <v>0</v>
      </c>
      <c r="K351" s="292" t="str">
        <f t="array" ref="K351">IFERROR(I351*INDEX('PORTIFÓLIO'!$S$4:$S$433,MATCH($C351,'PORTIFÓLIO'!$C$4:$C$433,0)),"")</f>
        <v/>
      </c>
      <c r="L351" s="292" t="str">
        <f t="array" ref="L351">IFERROR(J351*INDEX('PORTIFÓLIO'!$S$4:$S$433,MATCH($C351,'PORTIFÓLIO'!$C$4:$C$433,0)),"")</f>
        <v/>
      </c>
      <c r="M351" s="220"/>
      <c r="N351" s="220"/>
      <c r="O351" s="220"/>
      <c r="P351" s="220"/>
      <c r="Q351" s="220"/>
      <c r="R351" s="220"/>
      <c r="S351" s="220"/>
      <c r="T351" s="220"/>
      <c r="U351" s="220"/>
      <c r="V351" s="220"/>
      <c r="W351" s="220"/>
    </row>
    <row r="352" ht="15.75" customHeight="1" outlineLevel="1">
      <c r="A352" s="211"/>
      <c r="B352" s="212"/>
      <c r="C352" s="213"/>
      <c r="D352" s="214" t="str">
        <f>IFERROR(VLOOKUP($C352,'PORTIFÓLIO'!C:V,2,0),"")</f>
        <v/>
      </c>
      <c r="E352" s="211" t="str">
        <f>IFERROR(VLOOKUP($C352,'PORTIFÓLIO'!C:V,3,0),"")</f>
        <v/>
      </c>
      <c r="F352" s="211" t="str">
        <f>IFERROR(VLOOKUP($C352,'PORTIFÓLIO'!C:V,4,0),"")</f>
        <v/>
      </c>
      <c r="G352" s="215" t="str">
        <f>IFERROR(VLOOKUP($C352,'PORTIFÓLIO'!C:V,5,0),"")</f>
        <v/>
      </c>
      <c r="H352" s="254" t="str">
        <f t="array" ref="H352">IFERROR(INDEX('PORTIFÓLIO'!$H$4:$H$433,MATCH($C352,'PORTIFÓLIO'!$C$4:$C$433,0)),"")</f>
        <v/>
      </c>
      <c r="I352" s="256"/>
      <c r="J352" s="218">
        <f t="shared" si="39"/>
        <v>0</v>
      </c>
      <c r="K352" s="292" t="str">
        <f t="array" ref="K352">IFERROR(I352*INDEX('PORTIFÓLIO'!$S$4:$S$433,MATCH($C352,'PORTIFÓLIO'!$C$4:$C$433,0)),"")</f>
        <v/>
      </c>
      <c r="L352" s="292" t="str">
        <f t="array" ref="L352">IFERROR(J352*INDEX('PORTIFÓLIO'!$S$4:$S$433,MATCH($C352,'PORTIFÓLIO'!$C$4:$C$433,0)),"")</f>
        <v/>
      </c>
      <c r="M352" s="220"/>
      <c r="N352" s="220"/>
      <c r="O352" s="220"/>
      <c r="P352" s="220"/>
      <c r="Q352" s="220"/>
      <c r="R352" s="220"/>
      <c r="S352" s="220"/>
      <c r="T352" s="220"/>
      <c r="U352" s="220"/>
      <c r="V352" s="220"/>
      <c r="W352" s="220"/>
    </row>
    <row r="353" ht="15.75" customHeight="1" outlineLevel="1">
      <c r="A353" s="211"/>
      <c r="B353" s="212"/>
      <c r="C353" s="213"/>
      <c r="D353" s="214" t="str">
        <f>IFERROR(VLOOKUP($C353,'PORTIFÓLIO'!C:V,2,0),"")</f>
        <v/>
      </c>
      <c r="E353" s="211" t="str">
        <f>IFERROR(VLOOKUP($C353,'PORTIFÓLIO'!C:V,3,0),"")</f>
        <v/>
      </c>
      <c r="F353" s="211" t="str">
        <f>IFERROR(VLOOKUP($C353,'PORTIFÓLIO'!C:V,4,0),"")</f>
        <v/>
      </c>
      <c r="G353" s="215" t="str">
        <f>IFERROR(VLOOKUP($C353,'PORTIFÓLIO'!C:V,5,0),"")</f>
        <v/>
      </c>
      <c r="H353" s="254" t="str">
        <f t="array" ref="H353">IFERROR(INDEX('PORTIFÓLIO'!$H$4:$H$433,MATCH($C353,'PORTIFÓLIO'!$C$4:$C$433,0)),"")</f>
        <v/>
      </c>
      <c r="I353" s="256"/>
      <c r="J353" s="218">
        <f t="shared" si="39"/>
        <v>0</v>
      </c>
      <c r="K353" s="292" t="str">
        <f t="array" ref="K353">IFERROR(I353*INDEX('PORTIFÓLIO'!$S$4:$S$433,MATCH($C353,'PORTIFÓLIO'!$C$4:$C$433,0)),"")</f>
        <v/>
      </c>
      <c r="L353" s="292" t="str">
        <f t="array" ref="L353">IFERROR(J353*INDEX('PORTIFÓLIO'!$S$4:$S$433,MATCH($C353,'PORTIFÓLIO'!$C$4:$C$433,0)),"")</f>
        <v/>
      </c>
      <c r="M353" s="220"/>
      <c r="N353" s="220"/>
      <c r="O353" s="220"/>
      <c r="P353" s="220"/>
      <c r="Q353" s="220"/>
      <c r="R353" s="220"/>
      <c r="S353" s="220"/>
      <c r="T353" s="220"/>
      <c r="U353" s="220"/>
      <c r="V353" s="220"/>
      <c r="W353" s="220"/>
    </row>
    <row r="354" ht="15.75" customHeight="1" outlineLevel="1">
      <c r="A354" s="211"/>
      <c r="B354" s="212"/>
      <c r="C354" s="213"/>
      <c r="D354" s="214" t="str">
        <f>IFERROR(VLOOKUP($C354,'PORTIFÓLIO'!C:V,2,0),"")</f>
        <v/>
      </c>
      <c r="E354" s="211" t="str">
        <f>IFERROR(VLOOKUP($C354,'PORTIFÓLIO'!C:V,3,0),"")</f>
        <v/>
      </c>
      <c r="F354" s="211" t="str">
        <f>IFERROR(VLOOKUP($C354,'PORTIFÓLIO'!C:V,4,0),"")</f>
        <v/>
      </c>
      <c r="G354" s="215" t="str">
        <f>IFERROR(VLOOKUP($C354,'PORTIFÓLIO'!C:V,5,0),"")</f>
        <v/>
      </c>
      <c r="H354" s="254" t="str">
        <f t="array" ref="H354">IFERROR(INDEX('PORTIFÓLIO'!$H$4:$H$433,MATCH($C354,'PORTIFÓLIO'!$C$4:$C$433,0)),"")</f>
        <v/>
      </c>
      <c r="I354" s="256"/>
      <c r="J354" s="218">
        <f t="shared" si="39"/>
        <v>0</v>
      </c>
      <c r="K354" s="292" t="str">
        <f t="array" ref="K354">IFERROR(I354*INDEX('PORTIFÓLIO'!$S$4:$S$433,MATCH($C354,'PORTIFÓLIO'!$C$4:$C$433,0)),"")</f>
        <v/>
      </c>
      <c r="L354" s="292" t="str">
        <f t="array" ref="L354">IFERROR(J354*INDEX('PORTIFÓLIO'!$S$4:$S$433,MATCH($C354,'PORTIFÓLIO'!$C$4:$C$433,0)),"")</f>
        <v/>
      </c>
      <c r="M354" s="220"/>
      <c r="N354" s="220"/>
      <c r="O354" s="220"/>
      <c r="P354" s="220"/>
      <c r="Q354" s="220"/>
      <c r="R354" s="220"/>
      <c r="S354" s="220"/>
      <c r="T354" s="220"/>
      <c r="U354" s="220"/>
      <c r="V354" s="220"/>
      <c r="W354" s="220"/>
    </row>
    <row r="355" ht="15.75" customHeight="1" outlineLevel="1">
      <c r="A355" s="211"/>
      <c r="B355" s="212"/>
      <c r="C355" s="213"/>
      <c r="D355" s="214" t="str">
        <f>IFERROR(VLOOKUP($C355,'PORTIFÓLIO'!C:V,2,0),"")</f>
        <v/>
      </c>
      <c r="E355" s="211" t="str">
        <f>IFERROR(VLOOKUP($C355,'PORTIFÓLIO'!C:V,3,0),"")</f>
        <v/>
      </c>
      <c r="F355" s="211" t="str">
        <f>IFERROR(VLOOKUP($C355,'PORTIFÓLIO'!C:V,4,0),"")</f>
        <v/>
      </c>
      <c r="G355" s="215" t="str">
        <f>IFERROR(VLOOKUP($C355,'PORTIFÓLIO'!C:V,5,0),"")</f>
        <v/>
      </c>
      <c r="H355" s="254" t="str">
        <f t="array" ref="H355">IFERROR(INDEX('PORTIFÓLIO'!$H$4:$H$433,MATCH($C355,'PORTIFÓLIO'!$C$4:$C$433,0)),"")</f>
        <v/>
      </c>
      <c r="I355" s="256"/>
      <c r="J355" s="218">
        <f t="shared" si="39"/>
        <v>0</v>
      </c>
      <c r="K355" s="292" t="str">
        <f t="array" ref="K355">IFERROR(I355*INDEX('PORTIFÓLIO'!$S$4:$S$433,MATCH($C355,'PORTIFÓLIO'!$C$4:$C$433,0)),"")</f>
        <v/>
      </c>
      <c r="L355" s="292" t="str">
        <f t="array" ref="L355">IFERROR(J355*INDEX('PORTIFÓLIO'!$S$4:$S$433,MATCH($C355,'PORTIFÓLIO'!$C$4:$C$433,0)),"")</f>
        <v/>
      </c>
      <c r="M355" s="220"/>
      <c r="N355" s="220"/>
      <c r="O355" s="220"/>
      <c r="P355" s="220"/>
      <c r="Q355" s="220"/>
      <c r="R355" s="220"/>
      <c r="S355" s="220"/>
      <c r="T355" s="220"/>
      <c r="U355" s="220"/>
      <c r="V355" s="220"/>
      <c r="W355" s="220"/>
    </row>
    <row r="356" ht="15.75" customHeight="1" outlineLevel="1">
      <c r="A356" s="211"/>
      <c r="B356" s="212"/>
      <c r="C356" s="213"/>
      <c r="D356" s="214" t="str">
        <f>IFERROR(VLOOKUP($C356,'PORTIFÓLIO'!C:V,2,0),"")</f>
        <v/>
      </c>
      <c r="E356" s="211" t="str">
        <f>IFERROR(VLOOKUP($C356,'PORTIFÓLIO'!C:V,3,0),"")</f>
        <v/>
      </c>
      <c r="F356" s="211" t="str">
        <f>IFERROR(VLOOKUP($C356,'PORTIFÓLIO'!C:V,4,0),"")</f>
        <v/>
      </c>
      <c r="G356" s="215" t="str">
        <f>IFERROR(VLOOKUP($C356,'PORTIFÓLIO'!C:V,5,0),"")</f>
        <v/>
      </c>
      <c r="H356" s="254" t="str">
        <f t="array" ref="H356">IFERROR(INDEX('PORTIFÓLIO'!$H$4:$H$433,MATCH($C356,'PORTIFÓLIO'!$C$4:$C$433,0)),"")</f>
        <v/>
      </c>
      <c r="I356" s="256"/>
      <c r="J356" s="218">
        <f t="shared" si="39"/>
        <v>0</v>
      </c>
      <c r="K356" s="292" t="str">
        <f t="array" ref="K356">IFERROR(I356*INDEX('PORTIFÓLIO'!$S$4:$S$433,MATCH($C356,'PORTIFÓLIO'!$C$4:$C$433,0)),"")</f>
        <v/>
      </c>
      <c r="L356" s="292" t="str">
        <f t="array" ref="L356">IFERROR(J356*INDEX('PORTIFÓLIO'!$S$4:$S$433,MATCH($C356,'PORTIFÓLIO'!$C$4:$C$433,0)),"")</f>
        <v/>
      </c>
      <c r="M356" s="220"/>
      <c r="N356" s="220"/>
      <c r="O356" s="220"/>
      <c r="P356" s="220"/>
      <c r="Q356" s="220"/>
      <c r="R356" s="220"/>
      <c r="S356" s="220"/>
      <c r="T356" s="220"/>
      <c r="U356" s="220"/>
      <c r="V356" s="220"/>
      <c r="W356" s="220"/>
    </row>
    <row r="357" ht="15.75" customHeight="1" outlineLevel="1">
      <c r="A357" s="211"/>
      <c r="B357" s="227"/>
      <c r="C357" s="211"/>
      <c r="D357" s="214" t="str">
        <f>IFERROR(VLOOKUP($C357,'PORTIFÓLIO'!C:V,2,0),"")</f>
        <v/>
      </c>
      <c r="E357" s="211" t="str">
        <f>IFERROR(VLOOKUP($C357,'PORTIFÓLIO'!C:V,3,0),"")</f>
        <v/>
      </c>
      <c r="F357" s="211" t="str">
        <f>IFERROR(VLOOKUP($C357,'PORTIFÓLIO'!C:V,4,0),"")</f>
        <v/>
      </c>
      <c r="G357" s="215" t="str">
        <f>IFERROR(VLOOKUP($C357,'PORTIFÓLIO'!C:V,5,0),"")</f>
        <v/>
      </c>
      <c r="H357" s="254" t="str">
        <f t="array" ref="H357">IFERROR(INDEX('PORTIFÓLIO'!$H$4:$H$433,MATCH($C357,'PORTIFÓLIO'!$C$4:$C$433,0)),"")</f>
        <v/>
      </c>
      <c r="I357" s="256"/>
      <c r="J357" s="218"/>
      <c r="K357" s="292" t="str">
        <f t="array" ref="K357">IFERROR(I357*INDEX('PORTIFÓLIO'!$S$4:$S$433,MATCH($C357,'PORTIFÓLIO'!$C$4:$C$433,0)),"")</f>
        <v/>
      </c>
      <c r="L357" s="292" t="str">
        <f t="array" ref="L357">IFERROR(J357*INDEX('PORTIFÓLIO'!$S$4:$S$433,MATCH($C357,'PORTIFÓLIO'!$C$4:$C$433,0)),"")</f>
        <v/>
      </c>
      <c r="M357" s="220"/>
      <c r="N357" s="220"/>
      <c r="O357" s="220"/>
      <c r="P357" s="220"/>
      <c r="Q357" s="220"/>
      <c r="R357" s="220"/>
      <c r="S357" s="220"/>
      <c r="T357" s="220"/>
      <c r="U357" s="220"/>
      <c r="V357" s="220"/>
      <c r="W357" s="220"/>
    </row>
    <row r="358" ht="15.75" customHeight="1">
      <c r="A358" s="229" t="s">
        <v>1191</v>
      </c>
      <c r="B358" s="230"/>
      <c r="C358" s="231"/>
      <c r="D358" s="232"/>
      <c r="E358" s="231"/>
      <c r="F358" s="231"/>
      <c r="G358" s="233"/>
      <c r="H358" s="233"/>
      <c r="I358" s="258"/>
      <c r="J358" s="236"/>
      <c r="K358" s="237">
        <f t="shared" ref="K358:L358" si="40">SUBTOTAL(9,K359:K372)</f>
        <v>0</v>
      </c>
      <c r="L358" s="237">
        <f t="shared" si="40"/>
        <v>0</v>
      </c>
      <c r="M358" s="220"/>
      <c r="N358" s="220"/>
      <c r="O358" s="220"/>
      <c r="P358" s="220"/>
      <c r="Q358" s="220"/>
      <c r="R358" s="220"/>
      <c r="S358" s="220"/>
      <c r="T358" s="220"/>
      <c r="U358" s="220"/>
      <c r="V358" s="220"/>
      <c r="W358" s="220"/>
    </row>
    <row r="359" ht="15.75" customHeight="1" outlineLevel="1">
      <c r="A359" s="213"/>
      <c r="B359" s="212"/>
      <c r="C359" s="213"/>
      <c r="D359" s="214" t="str">
        <f>IFERROR(VLOOKUP($C359,'PORTIFÓLIO'!C:V,2,0),"")</f>
        <v/>
      </c>
      <c r="E359" s="211" t="str">
        <f>IFERROR(VLOOKUP($C359,'PORTIFÓLIO'!C:V,3,0),"")</f>
        <v/>
      </c>
      <c r="F359" s="211" t="str">
        <f>IFERROR(VLOOKUP($C359,'PORTIFÓLIO'!C:V,4,0),"")</f>
        <v/>
      </c>
      <c r="G359" s="215" t="str">
        <f>IFERROR(VLOOKUP($C359,'PORTIFÓLIO'!C:V,5,0),"")</f>
        <v/>
      </c>
      <c r="H359" s="254" t="str">
        <f t="array" ref="H359">IFERROR(INDEX('PORTIFÓLIO'!$H$4:$H$433,MATCH($C359,'PORTIFÓLIO'!$C$4:$C$433,0)),"")</f>
        <v/>
      </c>
      <c r="I359" s="255"/>
      <c r="J359" s="218">
        <f t="shared" ref="J359:J373" si="41">I359*$B$2</f>
        <v>0</v>
      </c>
      <c r="K359" s="292" t="str">
        <f t="array" ref="K359">IFERROR(I359*INDEX('PORTIFÓLIO'!$S$4:$S$433,MATCH($C359,'PORTIFÓLIO'!$C$4:$C$433,0)),"")</f>
        <v/>
      </c>
      <c r="L359" s="292" t="str">
        <f t="array" ref="L359">IFERROR(J359*INDEX('PORTIFÓLIO'!$S$4:$S$433,MATCH($C359,'PORTIFÓLIO'!$C$4:$C$433,0)),"")</f>
        <v/>
      </c>
      <c r="M359" s="220"/>
      <c r="N359" s="220"/>
      <c r="O359" s="220"/>
      <c r="P359" s="220"/>
      <c r="Q359" s="220"/>
      <c r="R359" s="220"/>
      <c r="S359" s="220"/>
      <c r="T359" s="220"/>
      <c r="U359" s="220"/>
      <c r="V359" s="220"/>
      <c r="W359" s="220"/>
    </row>
    <row r="360" ht="15.75" customHeight="1" outlineLevel="1">
      <c r="A360" s="211"/>
      <c r="B360" s="212"/>
      <c r="C360" s="213"/>
      <c r="D360" s="214" t="str">
        <f>IFERROR(VLOOKUP($C360,'PORTIFÓLIO'!C:V,2,0),"")</f>
        <v/>
      </c>
      <c r="E360" s="211" t="str">
        <f>IFERROR(VLOOKUP($C360,'PORTIFÓLIO'!C:V,3,0),"")</f>
        <v/>
      </c>
      <c r="F360" s="211" t="str">
        <f>IFERROR(VLOOKUP($C360,'PORTIFÓLIO'!C:V,4,0),"")</f>
        <v/>
      </c>
      <c r="G360" s="215" t="str">
        <f>IFERROR(VLOOKUP($C360,'PORTIFÓLIO'!C:V,5,0),"")</f>
        <v/>
      </c>
      <c r="H360" s="254" t="str">
        <f t="array" ref="H360">IFERROR(INDEX('PORTIFÓLIO'!$H$4:$H$433,MATCH($C360,'PORTIFÓLIO'!$C$4:$C$433,0)),"")</f>
        <v/>
      </c>
      <c r="I360" s="256"/>
      <c r="J360" s="218">
        <f t="shared" si="41"/>
        <v>0</v>
      </c>
      <c r="K360" s="292" t="str">
        <f t="array" ref="K360">IFERROR(I360*INDEX('PORTIFÓLIO'!$S$4:$S$433,MATCH($C360,'PORTIFÓLIO'!$C$4:$C$433,0)),"")</f>
        <v/>
      </c>
      <c r="L360" s="292" t="str">
        <f t="array" ref="L360">IFERROR(J360*INDEX('PORTIFÓLIO'!$S$4:$S$433,MATCH($C360,'PORTIFÓLIO'!$C$4:$C$433,0)),"")</f>
        <v/>
      </c>
      <c r="M360" s="220"/>
      <c r="N360" s="220"/>
      <c r="O360" s="220"/>
      <c r="P360" s="220"/>
      <c r="Q360" s="220"/>
      <c r="R360" s="220"/>
      <c r="S360" s="220"/>
      <c r="T360" s="220"/>
      <c r="U360" s="220"/>
      <c r="V360" s="220"/>
      <c r="W360" s="220"/>
    </row>
    <row r="361" ht="15.75" customHeight="1" outlineLevel="1">
      <c r="A361" s="211"/>
      <c r="B361" s="212"/>
      <c r="C361" s="213"/>
      <c r="D361" s="214" t="str">
        <f>IFERROR(VLOOKUP($C361,'PORTIFÓLIO'!C:V,2,0),"")</f>
        <v/>
      </c>
      <c r="E361" s="211" t="str">
        <f>IFERROR(VLOOKUP($C361,'PORTIFÓLIO'!C:V,3,0),"")</f>
        <v/>
      </c>
      <c r="F361" s="211" t="str">
        <f>IFERROR(VLOOKUP($C361,'PORTIFÓLIO'!C:V,4,0),"")</f>
        <v/>
      </c>
      <c r="G361" s="215" t="str">
        <f>IFERROR(VLOOKUP($C361,'PORTIFÓLIO'!C:V,5,0),"")</f>
        <v/>
      </c>
      <c r="H361" s="254" t="str">
        <f t="array" ref="H361">IFERROR(INDEX('PORTIFÓLIO'!$H$4:$H$433,MATCH($C361,'PORTIFÓLIO'!$C$4:$C$433,0)),"")</f>
        <v/>
      </c>
      <c r="I361" s="256"/>
      <c r="J361" s="218">
        <f t="shared" si="41"/>
        <v>0</v>
      </c>
      <c r="K361" s="292" t="str">
        <f t="array" ref="K361">IFERROR(I361*INDEX('PORTIFÓLIO'!$S$4:$S$433,MATCH($C361,'PORTIFÓLIO'!$C$4:$C$433,0)),"")</f>
        <v/>
      </c>
      <c r="L361" s="292" t="str">
        <f t="array" ref="L361">IFERROR(J361*INDEX('PORTIFÓLIO'!$S$4:$S$433,MATCH($C361,'PORTIFÓLIO'!$C$4:$C$433,0)),"")</f>
        <v/>
      </c>
      <c r="M361" s="220"/>
      <c r="N361" s="220"/>
      <c r="O361" s="220"/>
      <c r="P361" s="220"/>
      <c r="Q361" s="220"/>
      <c r="R361" s="220"/>
      <c r="S361" s="220"/>
      <c r="T361" s="220"/>
      <c r="U361" s="220"/>
      <c r="V361" s="220"/>
      <c r="W361" s="220"/>
    </row>
    <row r="362" ht="15.75" customHeight="1" outlineLevel="1">
      <c r="A362" s="211"/>
      <c r="B362" s="212"/>
      <c r="C362" s="213"/>
      <c r="D362" s="214" t="str">
        <f>IFERROR(VLOOKUP($C362,'PORTIFÓLIO'!C:V,2,0),"")</f>
        <v/>
      </c>
      <c r="E362" s="211" t="str">
        <f>IFERROR(VLOOKUP($C362,'PORTIFÓLIO'!C:V,3,0),"")</f>
        <v/>
      </c>
      <c r="F362" s="211" t="str">
        <f>IFERROR(VLOOKUP($C362,'PORTIFÓLIO'!C:V,4,0),"")</f>
        <v/>
      </c>
      <c r="G362" s="215" t="str">
        <f>IFERROR(VLOOKUP($C362,'PORTIFÓLIO'!C:V,5,0),"")</f>
        <v/>
      </c>
      <c r="H362" s="254" t="str">
        <f t="array" ref="H362">IFERROR(INDEX('PORTIFÓLIO'!$H$4:$H$433,MATCH($C362,'PORTIFÓLIO'!$C$4:$C$433,0)),"")</f>
        <v/>
      </c>
      <c r="I362" s="256"/>
      <c r="J362" s="218">
        <f t="shared" si="41"/>
        <v>0</v>
      </c>
      <c r="K362" s="292" t="str">
        <f t="array" ref="K362">IFERROR(I362*INDEX('PORTIFÓLIO'!$S$4:$S$433,MATCH($C362,'PORTIFÓLIO'!$C$4:$C$433,0)),"")</f>
        <v/>
      </c>
      <c r="L362" s="292" t="str">
        <f t="array" ref="L362">IFERROR(J362*INDEX('PORTIFÓLIO'!$S$4:$S$433,MATCH($C362,'PORTIFÓLIO'!$C$4:$C$433,0)),"")</f>
        <v/>
      </c>
      <c r="M362" s="220"/>
      <c r="N362" s="220"/>
      <c r="O362" s="220"/>
      <c r="P362" s="220"/>
      <c r="Q362" s="220"/>
      <c r="R362" s="220"/>
      <c r="S362" s="220"/>
      <c r="T362" s="220"/>
      <c r="U362" s="220"/>
      <c r="V362" s="220"/>
      <c r="W362" s="220"/>
    </row>
    <row r="363" ht="15.75" customHeight="1" outlineLevel="1">
      <c r="A363" s="211"/>
      <c r="B363" s="212"/>
      <c r="C363" s="213"/>
      <c r="D363" s="214" t="str">
        <f>IFERROR(VLOOKUP($C363,'PORTIFÓLIO'!C:V,2,0),"")</f>
        <v/>
      </c>
      <c r="E363" s="211" t="str">
        <f>IFERROR(VLOOKUP($C363,'PORTIFÓLIO'!C:V,3,0),"")</f>
        <v/>
      </c>
      <c r="F363" s="211" t="str">
        <f>IFERROR(VLOOKUP($C363,'PORTIFÓLIO'!C:V,4,0),"")</f>
        <v/>
      </c>
      <c r="G363" s="215" t="str">
        <f>IFERROR(VLOOKUP($C363,'PORTIFÓLIO'!C:V,5,0),"")</f>
        <v/>
      </c>
      <c r="H363" s="254" t="str">
        <f t="array" ref="H363">IFERROR(INDEX('PORTIFÓLIO'!$H$4:$H$433,MATCH($C363,'PORTIFÓLIO'!$C$4:$C$433,0)),"")</f>
        <v/>
      </c>
      <c r="I363" s="256"/>
      <c r="J363" s="218">
        <f t="shared" si="41"/>
        <v>0</v>
      </c>
      <c r="K363" s="292" t="str">
        <f t="array" ref="K363">IFERROR(I363*INDEX('PORTIFÓLIO'!$S$4:$S$433,MATCH($C363,'PORTIFÓLIO'!$C$4:$C$433,0)),"")</f>
        <v/>
      </c>
      <c r="L363" s="292" t="str">
        <f t="array" ref="L363">IFERROR(J363*INDEX('PORTIFÓLIO'!$S$4:$S$433,MATCH($C363,'PORTIFÓLIO'!$C$4:$C$433,0)),"")</f>
        <v/>
      </c>
      <c r="M363" s="220"/>
      <c r="N363" s="220"/>
      <c r="O363" s="220"/>
      <c r="P363" s="220"/>
      <c r="Q363" s="220"/>
      <c r="R363" s="220"/>
      <c r="S363" s="220"/>
      <c r="T363" s="220"/>
      <c r="U363" s="220"/>
      <c r="V363" s="220"/>
      <c r="W363" s="220"/>
    </row>
    <row r="364" ht="15.75" customHeight="1" outlineLevel="1">
      <c r="A364" s="211"/>
      <c r="B364" s="212"/>
      <c r="C364" s="213"/>
      <c r="D364" s="214" t="str">
        <f>IFERROR(VLOOKUP($C364,'PORTIFÓLIO'!C:V,2,0),"")</f>
        <v/>
      </c>
      <c r="E364" s="211" t="str">
        <f>IFERROR(VLOOKUP($C364,'PORTIFÓLIO'!C:V,3,0),"")</f>
        <v/>
      </c>
      <c r="F364" s="211" t="str">
        <f>IFERROR(VLOOKUP($C364,'PORTIFÓLIO'!C:V,4,0),"")</f>
        <v/>
      </c>
      <c r="G364" s="215" t="str">
        <f>IFERROR(VLOOKUP($C364,'PORTIFÓLIO'!C:V,5,0),"")</f>
        <v/>
      </c>
      <c r="H364" s="254" t="str">
        <f t="array" ref="H364">IFERROR(INDEX('PORTIFÓLIO'!$H$4:$H$433,MATCH($C364,'PORTIFÓLIO'!$C$4:$C$433,0)),"")</f>
        <v/>
      </c>
      <c r="I364" s="256"/>
      <c r="J364" s="218">
        <f t="shared" si="41"/>
        <v>0</v>
      </c>
      <c r="K364" s="292" t="str">
        <f t="array" ref="K364">IFERROR(I364*INDEX('PORTIFÓLIO'!$S$4:$S$433,MATCH($C364,'PORTIFÓLIO'!$C$4:$C$433,0)),"")</f>
        <v/>
      </c>
      <c r="L364" s="292" t="str">
        <f t="array" ref="L364">IFERROR(J364*INDEX('PORTIFÓLIO'!$S$4:$S$433,MATCH($C364,'PORTIFÓLIO'!$C$4:$C$433,0)),"")</f>
        <v/>
      </c>
      <c r="M364" s="220"/>
      <c r="N364" s="220"/>
      <c r="O364" s="220"/>
      <c r="P364" s="220"/>
      <c r="Q364" s="220"/>
      <c r="R364" s="220"/>
      <c r="S364" s="220"/>
      <c r="T364" s="220"/>
      <c r="U364" s="220"/>
      <c r="V364" s="220"/>
      <c r="W364" s="220"/>
    </row>
    <row r="365" ht="15.75" customHeight="1" outlineLevel="1">
      <c r="A365" s="211"/>
      <c r="B365" s="212"/>
      <c r="C365" s="213"/>
      <c r="D365" s="214" t="str">
        <f>IFERROR(VLOOKUP($C365,'PORTIFÓLIO'!C:V,2,0),"")</f>
        <v/>
      </c>
      <c r="E365" s="211" t="str">
        <f>IFERROR(VLOOKUP($C365,'PORTIFÓLIO'!C:V,3,0),"")</f>
        <v/>
      </c>
      <c r="F365" s="211" t="str">
        <f>IFERROR(VLOOKUP($C365,'PORTIFÓLIO'!C:V,4,0),"")</f>
        <v/>
      </c>
      <c r="G365" s="215" t="str">
        <f>IFERROR(VLOOKUP($C365,'PORTIFÓLIO'!C:V,5,0),"")</f>
        <v/>
      </c>
      <c r="H365" s="254" t="str">
        <f t="array" ref="H365">IFERROR(INDEX('PORTIFÓLIO'!$H$4:$H$433,MATCH($C365,'PORTIFÓLIO'!$C$4:$C$433,0)),"")</f>
        <v/>
      </c>
      <c r="I365" s="256"/>
      <c r="J365" s="218">
        <f t="shared" si="41"/>
        <v>0</v>
      </c>
      <c r="K365" s="292" t="str">
        <f t="array" ref="K365">IFERROR(I365*INDEX('PORTIFÓLIO'!$S$4:$S$433,MATCH($C365,'PORTIFÓLIO'!$C$4:$C$433,0)),"")</f>
        <v/>
      </c>
      <c r="L365" s="292" t="str">
        <f t="array" ref="L365">IFERROR(J365*INDEX('PORTIFÓLIO'!$S$4:$S$433,MATCH($C365,'PORTIFÓLIO'!$C$4:$C$433,0)),"")</f>
        <v/>
      </c>
      <c r="M365" s="220"/>
      <c r="N365" s="220"/>
      <c r="O365" s="220"/>
      <c r="P365" s="220"/>
      <c r="Q365" s="220"/>
      <c r="R365" s="220"/>
      <c r="S365" s="220"/>
      <c r="T365" s="220"/>
      <c r="U365" s="220"/>
      <c r="V365" s="220"/>
      <c r="W365" s="220"/>
    </row>
    <row r="366" ht="15.75" customHeight="1" outlineLevel="1">
      <c r="A366" s="211"/>
      <c r="B366" s="212"/>
      <c r="C366" s="213"/>
      <c r="D366" s="214" t="str">
        <f>IFERROR(VLOOKUP($C366,'PORTIFÓLIO'!C:V,2,0),"")</f>
        <v/>
      </c>
      <c r="E366" s="211" t="str">
        <f>IFERROR(VLOOKUP($C366,'PORTIFÓLIO'!C:V,3,0),"")</f>
        <v/>
      </c>
      <c r="F366" s="211" t="str">
        <f>IFERROR(VLOOKUP($C366,'PORTIFÓLIO'!C:V,4,0),"")</f>
        <v/>
      </c>
      <c r="G366" s="215" t="str">
        <f>IFERROR(VLOOKUP($C366,'PORTIFÓLIO'!C:V,5,0),"")</f>
        <v/>
      </c>
      <c r="H366" s="254" t="str">
        <f t="array" ref="H366">IFERROR(INDEX('PORTIFÓLIO'!$H$4:$H$433,MATCH($C366,'PORTIFÓLIO'!$C$4:$C$433,0)),"")</f>
        <v/>
      </c>
      <c r="I366" s="256"/>
      <c r="J366" s="218">
        <f t="shared" si="41"/>
        <v>0</v>
      </c>
      <c r="K366" s="292" t="str">
        <f t="array" ref="K366">IFERROR(I366*INDEX('PORTIFÓLIO'!$S$4:$S$433,MATCH($C366,'PORTIFÓLIO'!$C$4:$C$433,0)),"")</f>
        <v/>
      </c>
      <c r="L366" s="292" t="str">
        <f t="array" ref="L366">IFERROR(J366*INDEX('PORTIFÓLIO'!$S$4:$S$433,MATCH($C366,'PORTIFÓLIO'!$C$4:$C$433,0)),"")</f>
        <v/>
      </c>
      <c r="M366" s="220"/>
      <c r="N366" s="220"/>
      <c r="O366" s="220"/>
      <c r="P366" s="220"/>
      <c r="Q366" s="220"/>
      <c r="R366" s="220"/>
      <c r="S366" s="220"/>
      <c r="T366" s="220"/>
      <c r="U366" s="220"/>
      <c r="V366" s="220"/>
      <c r="W366" s="220"/>
    </row>
    <row r="367" ht="15.75" customHeight="1" outlineLevel="1">
      <c r="A367" s="211"/>
      <c r="B367" s="212"/>
      <c r="C367" s="213"/>
      <c r="D367" s="214" t="str">
        <f>IFERROR(VLOOKUP($C367,'PORTIFÓLIO'!C:V,2,0),"")</f>
        <v/>
      </c>
      <c r="E367" s="211" t="str">
        <f>IFERROR(VLOOKUP($C367,'PORTIFÓLIO'!C:V,3,0),"")</f>
        <v/>
      </c>
      <c r="F367" s="211" t="str">
        <f>IFERROR(VLOOKUP($C367,'PORTIFÓLIO'!C:V,4,0),"")</f>
        <v/>
      </c>
      <c r="G367" s="215" t="str">
        <f>IFERROR(VLOOKUP($C367,'PORTIFÓLIO'!C:V,5,0),"")</f>
        <v/>
      </c>
      <c r="H367" s="254" t="str">
        <f t="array" ref="H367">IFERROR(INDEX('PORTIFÓLIO'!$H$4:$H$433,MATCH($C367,'PORTIFÓLIO'!$C$4:$C$433,0)),"")</f>
        <v/>
      </c>
      <c r="I367" s="255"/>
      <c r="J367" s="218">
        <f t="shared" si="41"/>
        <v>0</v>
      </c>
      <c r="K367" s="292" t="str">
        <f t="array" ref="K367">IFERROR(I367*INDEX('PORTIFÓLIO'!$S$4:$S$433,MATCH($C367,'PORTIFÓLIO'!$C$4:$C$433,0)),"")</f>
        <v/>
      </c>
      <c r="L367" s="292" t="str">
        <f t="array" ref="L367">IFERROR(J367*INDEX('PORTIFÓLIO'!$S$4:$S$433,MATCH($C367,'PORTIFÓLIO'!$C$4:$C$433,0)),"")</f>
        <v/>
      </c>
      <c r="M367" s="220"/>
      <c r="N367" s="220"/>
      <c r="O367" s="220"/>
      <c r="P367" s="220"/>
      <c r="Q367" s="220"/>
      <c r="R367" s="220"/>
      <c r="S367" s="220"/>
      <c r="T367" s="220"/>
      <c r="U367" s="220"/>
      <c r="V367" s="220"/>
      <c r="W367" s="220"/>
    </row>
    <row r="368" ht="15.75" customHeight="1" outlineLevel="1">
      <c r="A368" s="211"/>
      <c r="B368" s="212"/>
      <c r="C368" s="213"/>
      <c r="D368" s="214" t="str">
        <f>IFERROR(VLOOKUP($C368,'PORTIFÓLIO'!C:V,2,0),"")</f>
        <v/>
      </c>
      <c r="E368" s="211" t="str">
        <f>IFERROR(VLOOKUP($C368,'PORTIFÓLIO'!C:V,3,0),"")</f>
        <v/>
      </c>
      <c r="F368" s="211" t="str">
        <f>IFERROR(VLOOKUP($C368,'PORTIFÓLIO'!C:V,4,0),"")</f>
        <v/>
      </c>
      <c r="G368" s="215" t="str">
        <f>IFERROR(VLOOKUP($C368,'PORTIFÓLIO'!C:V,5,0),"")</f>
        <v/>
      </c>
      <c r="H368" s="254" t="str">
        <f t="array" ref="H368">IFERROR(INDEX('PORTIFÓLIO'!$H$4:$H$433,MATCH($C368,'PORTIFÓLIO'!$C$4:$C$433,0)),"")</f>
        <v/>
      </c>
      <c r="I368" s="256"/>
      <c r="J368" s="218">
        <f t="shared" si="41"/>
        <v>0</v>
      </c>
      <c r="K368" s="292" t="str">
        <f t="array" ref="K368">IFERROR(I368*INDEX('PORTIFÓLIO'!$S$4:$S$433,MATCH($C368,'PORTIFÓLIO'!$C$4:$C$433,0)),"")</f>
        <v/>
      </c>
      <c r="L368" s="292" t="str">
        <f t="array" ref="L368">IFERROR(J368*INDEX('PORTIFÓLIO'!$S$4:$S$433,MATCH($C368,'PORTIFÓLIO'!$C$4:$C$433,0)),"")</f>
        <v/>
      </c>
      <c r="M368" s="220"/>
      <c r="N368" s="220"/>
      <c r="O368" s="220"/>
      <c r="P368" s="220"/>
      <c r="Q368" s="220"/>
      <c r="R368" s="220"/>
      <c r="S368" s="220"/>
      <c r="T368" s="220"/>
      <c r="U368" s="220"/>
      <c r="V368" s="220"/>
      <c r="W368" s="220"/>
    </row>
    <row r="369" ht="15.75" customHeight="1" outlineLevel="1">
      <c r="A369" s="211"/>
      <c r="B369" s="212"/>
      <c r="C369" s="213"/>
      <c r="D369" s="214" t="str">
        <f>IFERROR(VLOOKUP($C369,'PORTIFÓLIO'!C:V,2,0),"")</f>
        <v/>
      </c>
      <c r="E369" s="211" t="str">
        <f>IFERROR(VLOOKUP($C369,'PORTIFÓLIO'!C:V,3,0),"")</f>
        <v/>
      </c>
      <c r="F369" s="211" t="str">
        <f>IFERROR(VLOOKUP($C369,'PORTIFÓLIO'!C:V,4,0),"")</f>
        <v/>
      </c>
      <c r="G369" s="215" t="str">
        <f>IFERROR(VLOOKUP($C369,'PORTIFÓLIO'!C:V,5,0),"")</f>
        <v/>
      </c>
      <c r="H369" s="254" t="str">
        <f t="array" ref="H369">IFERROR(INDEX('PORTIFÓLIO'!$H$4:$H$433,MATCH($C369,'PORTIFÓLIO'!$C$4:$C$433,0)),"")</f>
        <v/>
      </c>
      <c r="I369" s="256"/>
      <c r="J369" s="218">
        <f t="shared" si="41"/>
        <v>0</v>
      </c>
      <c r="K369" s="292" t="str">
        <f t="array" ref="K369">IFERROR(I369*INDEX('PORTIFÓLIO'!$S$4:$S$433,MATCH($C369,'PORTIFÓLIO'!$C$4:$C$433,0)),"")</f>
        <v/>
      </c>
      <c r="L369" s="292" t="str">
        <f t="array" ref="L369">IFERROR(J369*INDEX('PORTIFÓLIO'!$S$4:$S$433,MATCH($C369,'PORTIFÓLIO'!$C$4:$C$433,0)),"")</f>
        <v/>
      </c>
      <c r="M369" s="220"/>
      <c r="N369" s="220"/>
      <c r="O369" s="220"/>
      <c r="P369" s="220"/>
      <c r="Q369" s="220"/>
      <c r="R369" s="220"/>
      <c r="S369" s="220"/>
      <c r="T369" s="220"/>
      <c r="U369" s="220"/>
      <c r="V369" s="220"/>
      <c r="W369" s="220"/>
    </row>
    <row r="370" ht="15.75" customHeight="1" outlineLevel="1">
      <c r="A370" s="211"/>
      <c r="B370" s="212"/>
      <c r="C370" s="213"/>
      <c r="D370" s="214" t="str">
        <f>IFERROR(VLOOKUP($C370,'PORTIFÓLIO'!C:V,2,0),"")</f>
        <v/>
      </c>
      <c r="E370" s="211" t="str">
        <f>IFERROR(VLOOKUP($C370,'PORTIFÓLIO'!C:V,3,0),"")</f>
        <v/>
      </c>
      <c r="F370" s="211" t="str">
        <f>IFERROR(VLOOKUP($C370,'PORTIFÓLIO'!C:V,4,0),"")</f>
        <v/>
      </c>
      <c r="G370" s="215" t="str">
        <f>IFERROR(VLOOKUP($C370,'PORTIFÓLIO'!C:V,5,0),"")</f>
        <v/>
      </c>
      <c r="H370" s="254" t="str">
        <f t="array" ref="H370">IFERROR(INDEX('PORTIFÓLIO'!$H$4:$H$433,MATCH($C370,'PORTIFÓLIO'!$C$4:$C$433,0)),"")</f>
        <v/>
      </c>
      <c r="I370" s="256"/>
      <c r="J370" s="218">
        <f t="shared" si="41"/>
        <v>0</v>
      </c>
      <c r="K370" s="292" t="str">
        <f t="array" ref="K370">IFERROR(I370*INDEX('PORTIFÓLIO'!$S$4:$S$433,MATCH($C370,'PORTIFÓLIO'!$C$4:$C$433,0)),"")</f>
        <v/>
      </c>
      <c r="L370" s="292" t="str">
        <f t="array" ref="L370">IFERROR(J370*INDEX('PORTIFÓLIO'!$S$4:$S$433,MATCH($C370,'PORTIFÓLIO'!$C$4:$C$433,0)),"")</f>
        <v/>
      </c>
      <c r="M370" s="220"/>
      <c r="N370" s="220"/>
      <c r="O370" s="220"/>
      <c r="P370" s="220"/>
      <c r="Q370" s="220"/>
      <c r="R370" s="220"/>
      <c r="S370" s="220"/>
      <c r="T370" s="220"/>
      <c r="U370" s="220"/>
      <c r="V370" s="220"/>
      <c r="W370" s="220"/>
    </row>
    <row r="371" ht="15.75" customHeight="1" outlineLevel="1">
      <c r="A371" s="211"/>
      <c r="B371" s="212"/>
      <c r="C371" s="213"/>
      <c r="D371" s="214" t="str">
        <f>IFERROR(VLOOKUP($C371,'PORTIFÓLIO'!C:V,2,0),"")</f>
        <v/>
      </c>
      <c r="E371" s="211" t="str">
        <f>IFERROR(VLOOKUP($C371,'PORTIFÓLIO'!C:V,3,0),"")</f>
        <v/>
      </c>
      <c r="F371" s="211" t="str">
        <f>IFERROR(VLOOKUP($C371,'PORTIFÓLIO'!C:V,4,0),"")</f>
        <v/>
      </c>
      <c r="G371" s="215" t="str">
        <f>IFERROR(VLOOKUP($C371,'PORTIFÓLIO'!C:V,5,0),"")</f>
        <v/>
      </c>
      <c r="H371" s="254" t="str">
        <f t="array" ref="H371">IFERROR(INDEX('PORTIFÓLIO'!$H$4:$H$433,MATCH($C371,'PORTIFÓLIO'!$C$4:$C$433,0)),"")</f>
        <v/>
      </c>
      <c r="I371" s="256"/>
      <c r="J371" s="218">
        <f t="shared" si="41"/>
        <v>0</v>
      </c>
      <c r="K371" s="292" t="str">
        <f t="array" ref="K371">IFERROR(I371*INDEX('PORTIFÓLIO'!$S$4:$S$433,MATCH($C371,'PORTIFÓLIO'!$C$4:$C$433,0)),"")</f>
        <v/>
      </c>
      <c r="L371" s="292" t="str">
        <f t="array" ref="L371">IFERROR(J371*INDEX('PORTIFÓLIO'!$S$4:$S$433,MATCH($C371,'PORTIFÓLIO'!$C$4:$C$433,0)),"")</f>
        <v/>
      </c>
      <c r="M371" s="220"/>
      <c r="N371" s="220"/>
      <c r="O371" s="220"/>
      <c r="P371" s="220"/>
      <c r="Q371" s="220"/>
      <c r="R371" s="220"/>
      <c r="S371" s="220"/>
      <c r="T371" s="220"/>
      <c r="U371" s="220"/>
      <c r="V371" s="220"/>
      <c r="W371" s="220"/>
    </row>
    <row r="372" ht="15.75" customHeight="1" outlineLevel="1">
      <c r="A372" s="211"/>
      <c r="B372" s="212"/>
      <c r="C372" s="213"/>
      <c r="D372" s="214" t="str">
        <f>IFERROR(VLOOKUP($C372,'PORTIFÓLIO'!C:V,2,0),"")</f>
        <v/>
      </c>
      <c r="E372" s="211" t="str">
        <f>IFERROR(VLOOKUP($C372,'PORTIFÓLIO'!C:V,3,0),"")</f>
        <v/>
      </c>
      <c r="F372" s="211" t="str">
        <f>IFERROR(VLOOKUP($C372,'PORTIFÓLIO'!C:V,4,0),"")</f>
        <v/>
      </c>
      <c r="G372" s="215" t="str">
        <f>IFERROR(VLOOKUP($C372,'PORTIFÓLIO'!C:V,5,0),"")</f>
        <v/>
      </c>
      <c r="H372" s="254" t="str">
        <f t="array" ref="H372">IFERROR(INDEX('PORTIFÓLIO'!$H$4:$H$433,MATCH($C372,'PORTIFÓLIO'!$C$4:$C$433,0)),"")</f>
        <v/>
      </c>
      <c r="I372" s="256"/>
      <c r="J372" s="218">
        <f t="shared" si="41"/>
        <v>0</v>
      </c>
      <c r="K372" s="292" t="str">
        <f t="array" ref="K372">IFERROR(I372*INDEX('PORTIFÓLIO'!$S$4:$S$433,MATCH($C372,'PORTIFÓLIO'!$C$4:$C$433,0)),"")</f>
        <v/>
      </c>
      <c r="L372" s="292" t="str">
        <f t="array" ref="L372">IFERROR(J372*INDEX('PORTIFÓLIO'!$S$4:$S$433,MATCH($C372,'PORTIFÓLIO'!$C$4:$C$433,0)),"")</f>
        <v/>
      </c>
      <c r="M372" s="220"/>
      <c r="N372" s="220"/>
      <c r="O372" s="220"/>
      <c r="P372" s="220"/>
      <c r="Q372" s="220"/>
      <c r="R372" s="220"/>
      <c r="S372" s="220"/>
      <c r="T372" s="220"/>
      <c r="U372" s="220"/>
      <c r="V372" s="220"/>
      <c r="W372" s="220"/>
    </row>
    <row r="373" ht="15.75" customHeight="1" outlineLevel="1">
      <c r="A373" s="211"/>
      <c r="B373" s="212"/>
      <c r="C373" s="213"/>
      <c r="D373" s="214" t="str">
        <f>IFERROR(VLOOKUP($C373,'PORTIFÓLIO'!C:V,2,0),"")</f>
        <v/>
      </c>
      <c r="E373" s="211" t="str">
        <f>IFERROR(VLOOKUP($C373,'PORTIFÓLIO'!C:V,3,0),"")</f>
        <v/>
      </c>
      <c r="F373" s="211" t="str">
        <f>IFERROR(VLOOKUP($C373,'PORTIFÓLIO'!C:V,4,0),"")</f>
        <v/>
      </c>
      <c r="G373" s="215" t="str">
        <f>IFERROR(VLOOKUP($C373,'PORTIFÓLIO'!C:V,5,0),"")</f>
        <v/>
      </c>
      <c r="H373" s="254" t="str">
        <f t="array" ref="H373">IFERROR(INDEX('PORTIFÓLIO'!$H$4:$H$433,MATCH($C373,'PORTIFÓLIO'!$C$4:$C$433,0)),"")</f>
        <v/>
      </c>
      <c r="I373" s="256"/>
      <c r="J373" s="218">
        <f t="shared" si="41"/>
        <v>0</v>
      </c>
      <c r="K373" s="292" t="str">
        <f t="array" ref="K373">IFERROR(I373*INDEX('PORTIFÓLIO'!$S$4:$S$433,MATCH($C373,'PORTIFÓLIO'!$C$4:$C$433,0)),"")</f>
        <v/>
      </c>
      <c r="L373" s="292" t="str">
        <f t="array" ref="L373">IFERROR(J373*INDEX('PORTIFÓLIO'!$S$4:$S$433,MATCH($C373,'PORTIFÓLIO'!$C$4:$C$433,0)),"")</f>
        <v/>
      </c>
      <c r="M373" s="220"/>
      <c r="N373" s="220"/>
      <c r="O373" s="220"/>
      <c r="P373" s="220"/>
      <c r="Q373" s="220"/>
      <c r="R373" s="220"/>
      <c r="S373" s="220"/>
      <c r="T373" s="220"/>
      <c r="U373" s="220"/>
      <c r="V373" s="220"/>
      <c r="W373" s="220"/>
    </row>
    <row r="374" ht="15.75" customHeight="1" outlineLevel="1">
      <c r="A374" s="211"/>
      <c r="B374" s="227"/>
      <c r="C374" s="211"/>
      <c r="D374" s="214" t="str">
        <f>IFERROR(VLOOKUP($C374,'PORTIFÓLIO'!C:V,2,0),"")</f>
        <v/>
      </c>
      <c r="E374" s="211" t="str">
        <f>IFERROR(VLOOKUP($C374,'PORTIFÓLIO'!C:V,3,0),"")</f>
        <v/>
      </c>
      <c r="F374" s="211" t="str">
        <f>IFERROR(VLOOKUP($C374,'PORTIFÓLIO'!C:V,4,0),"")</f>
        <v/>
      </c>
      <c r="G374" s="215" t="str">
        <f>IFERROR(VLOOKUP($C374,'PORTIFÓLIO'!C:V,5,0),"")</f>
        <v/>
      </c>
      <c r="H374" s="254" t="str">
        <f t="array" ref="H374">IFERROR(INDEX('PORTIFÓLIO'!$H$4:$H$433,MATCH($C374,'PORTIFÓLIO'!$C$4:$C$433,0)),"")</f>
        <v/>
      </c>
      <c r="I374" s="256"/>
      <c r="J374" s="218"/>
      <c r="K374" s="292" t="str">
        <f t="array" ref="K374">IFERROR(I374*INDEX('PORTIFÓLIO'!$S$4:$S$433,MATCH($C374,'PORTIFÓLIO'!$C$4:$C$433,0)),"")</f>
        <v/>
      </c>
      <c r="L374" s="292" t="str">
        <f t="array" ref="L374">IFERROR(J374*INDEX('PORTIFÓLIO'!$S$4:$S$433,MATCH($C374,'PORTIFÓLIO'!$C$4:$C$433,0)),"")</f>
        <v/>
      </c>
      <c r="M374" s="220"/>
      <c r="N374" s="220"/>
      <c r="O374" s="220"/>
      <c r="P374" s="220"/>
      <c r="Q374" s="220"/>
      <c r="R374" s="220"/>
      <c r="S374" s="220"/>
      <c r="T374" s="220"/>
      <c r="U374" s="220"/>
      <c r="V374" s="220"/>
      <c r="W374" s="220"/>
    </row>
    <row r="375" ht="15.75" customHeight="1">
      <c r="A375" s="229" t="s">
        <v>1192</v>
      </c>
      <c r="B375" s="230"/>
      <c r="C375" s="231"/>
      <c r="D375" s="232"/>
      <c r="E375" s="231"/>
      <c r="F375" s="231"/>
      <c r="G375" s="233"/>
      <c r="H375" s="233"/>
      <c r="I375" s="258"/>
      <c r="J375" s="236"/>
      <c r="K375" s="237">
        <f t="shared" ref="K375:L375" si="42">SUBTOTAL(9,K376:K389)</f>
        <v>0</v>
      </c>
      <c r="L375" s="237">
        <f t="shared" si="42"/>
        <v>0</v>
      </c>
      <c r="M375" s="220"/>
      <c r="N375" s="220"/>
      <c r="O375" s="220"/>
      <c r="P375" s="220"/>
      <c r="Q375" s="220"/>
      <c r="R375" s="220"/>
      <c r="S375" s="220"/>
      <c r="T375" s="220"/>
      <c r="U375" s="220"/>
      <c r="V375" s="220"/>
      <c r="W375" s="220"/>
    </row>
    <row r="376" ht="15.75" customHeight="1" outlineLevel="1">
      <c r="A376" s="213"/>
      <c r="B376" s="212"/>
      <c r="C376" s="213"/>
      <c r="D376" s="214" t="str">
        <f>IFERROR(VLOOKUP($C376,'PORTIFÓLIO'!C:V,2,0),"")</f>
        <v/>
      </c>
      <c r="E376" s="211" t="str">
        <f>IFERROR(VLOOKUP($C376,'PORTIFÓLIO'!C:V,3,0),"")</f>
        <v/>
      </c>
      <c r="F376" s="211" t="str">
        <f>IFERROR(VLOOKUP($C376,'PORTIFÓLIO'!C:V,4,0),"")</f>
        <v/>
      </c>
      <c r="G376" s="215" t="str">
        <f>IFERROR(VLOOKUP($C376,'PORTIFÓLIO'!C:V,5,0),"")</f>
        <v/>
      </c>
      <c r="H376" s="254" t="str">
        <f t="array" ref="H376">IFERROR(INDEX('PORTIFÓLIO'!$H$4:$H$433,MATCH($C376,'PORTIFÓLIO'!$C$4:$C$433,0)),"")</f>
        <v/>
      </c>
      <c r="I376" s="255"/>
      <c r="J376" s="218">
        <f t="shared" ref="J376:J390" si="43">I376*$B$2</f>
        <v>0</v>
      </c>
      <c r="K376" s="292" t="str">
        <f t="array" ref="K376">IFERROR(I376*INDEX('PORTIFÓLIO'!$S$4:$S$433,MATCH($C376,'PORTIFÓLIO'!$C$4:$C$433,0)),"")</f>
        <v/>
      </c>
      <c r="L376" s="292" t="str">
        <f t="array" ref="L376">IFERROR(J376*INDEX('PORTIFÓLIO'!$S$4:$S$433,MATCH($C376,'PORTIFÓLIO'!$C$4:$C$433,0)),"")</f>
        <v/>
      </c>
      <c r="M376" s="220"/>
      <c r="N376" s="220"/>
      <c r="O376" s="220"/>
      <c r="P376" s="220"/>
      <c r="Q376" s="220"/>
      <c r="R376" s="220"/>
      <c r="S376" s="220"/>
      <c r="T376" s="220"/>
      <c r="U376" s="220"/>
      <c r="V376" s="220"/>
      <c r="W376" s="220"/>
    </row>
    <row r="377" ht="15.75" customHeight="1" outlineLevel="1">
      <c r="A377" s="211"/>
      <c r="B377" s="212"/>
      <c r="C377" s="213"/>
      <c r="D377" s="214" t="str">
        <f>IFERROR(VLOOKUP($C377,'PORTIFÓLIO'!C:V,2,0),"")</f>
        <v/>
      </c>
      <c r="E377" s="211" t="str">
        <f>IFERROR(VLOOKUP($C377,'PORTIFÓLIO'!C:V,3,0),"")</f>
        <v/>
      </c>
      <c r="F377" s="211" t="str">
        <f>IFERROR(VLOOKUP($C377,'PORTIFÓLIO'!C:V,4,0),"")</f>
        <v/>
      </c>
      <c r="G377" s="215" t="str">
        <f>IFERROR(VLOOKUP($C377,'PORTIFÓLIO'!C:V,5,0),"")</f>
        <v/>
      </c>
      <c r="H377" s="254" t="str">
        <f t="array" ref="H377">IFERROR(INDEX('PORTIFÓLIO'!$H$4:$H$433,MATCH($C377,'PORTIFÓLIO'!$C$4:$C$433,0)),"")</f>
        <v/>
      </c>
      <c r="I377" s="256"/>
      <c r="J377" s="218">
        <f t="shared" si="43"/>
        <v>0</v>
      </c>
      <c r="K377" s="292" t="str">
        <f t="array" ref="K377">IFERROR(I377*INDEX('PORTIFÓLIO'!$S$4:$S$433,MATCH($C377,'PORTIFÓLIO'!$C$4:$C$433,0)),"")</f>
        <v/>
      </c>
      <c r="L377" s="292" t="str">
        <f t="array" ref="L377">IFERROR(J377*INDEX('PORTIFÓLIO'!$S$4:$S$433,MATCH($C377,'PORTIFÓLIO'!$C$4:$C$433,0)),"")</f>
        <v/>
      </c>
      <c r="M377" s="220"/>
      <c r="N377" s="220"/>
      <c r="O377" s="220"/>
      <c r="P377" s="220"/>
      <c r="Q377" s="220"/>
      <c r="R377" s="220"/>
      <c r="S377" s="220"/>
      <c r="T377" s="220"/>
      <c r="U377" s="220"/>
      <c r="V377" s="220"/>
      <c r="W377" s="220"/>
    </row>
    <row r="378" ht="15.75" customHeight="1" outlineLevel="1">
      <c r="A378" s="211"/>
      <c r="B378" s="212"/>
      <c r="C378" s="213"/>
      <c r="D378" s="214" t="str">
        <f>IFERROR(VLOOKUP($C378,'PORTIFÓLIO'!C:V,2,0),"")</f>
        <v/>
      </c>
      <c r="E378" s="211" t="str">
        <f>IFERROR(VLOOKUP($C378,'PORTIFÓLIO'!C:V,3,0),"")</f>
        <v/>
      </c>
      <c r="F378" s="211" t="str">
        <f>IFERROR(VLOOKUP($C378,'PORTIFÓLIO'!C:V,4,0),"")</f>
        <v/>
      </c>
      <c r="G378" s="215" t="str">
        <f>IFERROR(VLOOKUP($C378,'PORTIFÓLIO'!C:V,5,0),"")</f>
        <v/>
      </c>
      <c r="H378" s="254" t="str">
        <f t="array" ref="H378">IFERROR(INDEX('PORTIFÓLIO'!$H$4:$H$433,MATCH($C378,'PORTIFÓLIO'!$C$4:$C$433,0)),"")</f>
        <v/>
      </c>
      <c r="I378" s="256"/>
      <c r="J378" s="218">
        <f t="shared" si="43"/>
        <v>0</v>
      </c>
      <c r="K378" s="292" t="str">
        <f t="array" ref="K378">IFERROR(I378*INDEX('PORTIFÓLIO'!$S$4:$S$433,MATCH($C378,'PORTIFÓLIO'!$C$4:$C$433,0)),"")</f>
        <v/>
      </c>
      <c r="L378" s="292" t="str">
        <f t="array" ref="L378">IFERROR(J378*INDEX('PORTIFÓLIO'!$S$4:$S$433,MATCH($C378,'PORTIFÓLIO'!$C$4:$C$433,0)),"")</f>
        <v/>
      </c>
      <c r="M378" s="220"/>
      <c r="N378" s="220"/>
      <c r="O378" s="220"/>
      <c r="P378" s="220"/>
      <c r="Q378" s="220"/>
      <c r="R378" s="220"/>
      <c r="S378" s="220"/>
      <c r="T378" s="220"/>
      <c r="U378" s="220"/>
      <c r="V378" s="220"/>
      <c r="W378" s="220"/>
    </row>
    <row r="379" ht="15.75" customHeight="1" outlineLevel="1">
      <c r="A379" s="211"/>
      <c r="B379" s="212"/>
      <c r="C379" s="213"/>
      <c r="D379" s="214" t="str">
        <f>IFERROR(VLOOKUP($C379,'PORTIFÓLIO'!C:V,2,0),"")</f>
        <v/>
      </c>
      <c r="E379" s="211" t="str">
        <f>IFERROR(VLOOKUP($C379,'PORTIFÓLIO'!C:V,3,0),"")</f>
        <v/>
      </c>
      <c r="F379" s="211" t="str">
        <f>IFERROR(VLOOKUP($C379,'PORTIFÓLIO'!C:V,4,0),"")</f>
        <v/>
      </c>
      <c r="G379" s="215" t="str">
        <f>IFERROR(VLOOKUP($C379,'PORTIFÓLIO'!C:V,5,0),"")</f>
        <v/>
      </c>
      <c r="H379" s="254" t="str">
        <f t="array" ref="H379">IFERROR(INDEX('PORTIFÓLIO'!$H$4:$H$433,MATCH($C379,'PORTIFÓLIO'!$C$4:$C$433,0)),"")</f>
        <v/>
      </c>
      <c r="I379" s="256"/>
      <c r="J379" s="218">
        <f t="shared" si="43"/>
        <v>0</v>
      </c>
      <c r="K379" s="292" t="str">
        <f t="array" ref="K379">IFERROR(I379*INDEX('PORTIFÓLIO'!$S$4:$S$433,MATCH($C379,'PORTIFÓLIO'!$C$4:$C$433,0)),"")</f>
        <v/>
      </c>
      <c r="L379" s="292" t="str">
        <f t="array" ref="L379">IFERROR(J379*INDEX('PORTIFÓLIO'!$S$4:$S$433,MATCH($C379,'PORTIFÓLIO'!$C$4:$C$433,0)),"")</f>
        <v/>
      </c>
      <c r="M379" s="220"/>
      <c r="N379" s="220"/>
      <c r="O379" s="220"/>
      <c r="P379" s="220"/>
      <c r="Q379" s="220"/>
      <c r="R379" s="220"/>
      <c r="S379" s="220"/>
      <c r="T379" s="220"/>
      <c r="U379" s="220"/>
      <c r="V379" s="220"/>
      <c r="W379" s="220"/>
    </row>
    <row r="380" ht="15.75" customHeight="1" outlineLevel="1">
      <c r="A380" s="211"/>
      <c r="B380" s="212"/>
      <c r="C380" s="213"/>
      <c r="D380" s="214" t="str">
        <f>IFERROR(VLOOKUP($C380,'PORTIFÓLIO'!C:V,2,0),"")</f>
        <v/>
      </c>
      <c r="E380" s="211" t="str">
        <f>IFERROR(VLOOKUP($C380,'PORTIFÓLIO'!C:V,3,0),"")</f>
        <v/>
      </c>
      <c r="F380" s="211" t="str">
        <f>IFERROR(VLOOKUP($C380,'PORTIFÓLIO'!C:V,4,0),"")</f>
        <v/>
      </c>
      <c r="G380" s="215" t="str">
        <f>IFERROR(VLOOKUP($C380,'PORTIFÓLIO'!C:V,5,0),"")</f>
        <v/>
      </c>
      <c r="H380" s="254" t="str">
        <f t="array" ref="H380">IFERROR(INDEX('PORTIFÓLIO'!$H$4:$H$433,MATCH($C380,'PORTIFÓLIO'!$C$4:$C$433,0)),"")</f>
        <v/>
      </c>
      <c r="I380" s="256"/>
      <c r="J380" s="218">
        <f t="shared" si="43"/>
        <v>0</v>
      </c>
      <c r="K380" s="292" t="str">
        <f t="array" ref="K380">IFERROR(I380*INDEX('PORTIFÓLIO'!$S$4:$S$433,MATCH($C380,'PORTIFÓLIO'!$C$4:$C$433,0)),"")</f>
        <v/>
      </c>
      <c r="L380" s="292" t="str">
        <f t="array" ref="L380">IFERROR(J380*INDEX('PORTIFÓLIO'!$S$4:$S$433,MATCH($C380,'PORTIFÓLIO'!$C$4:$C$433,0)),"")</f>
        <v/>
      </c>
      <c r="M380" s="220"/>
      <c r="N380" s="220"/>
      <c r="O380" s="220"/>
      <c r="P380" s="220"/>
      <c r="Q380" s="220"/>
      <c r="R380" s="220"/>
      <c r="S380" s="220"/>
      <c r="T380" s="220"/>
      <c r="U380" s="220"/>
      <c r="V380" s="220"/>
      <c r="W380" s="220"/>
    </row>
    <row r="381" ht="15.75" customHeight="1" outlineLevel="1">
      <c r="A381" s="211"/>
      <c r="B381" s="212"/>
      <c r="C381" s="213"/>
      <c r="D381" s="214" t="str">
        <f>IFERROR(VLOOKUP($C381,'PORTIFÓLIO'!C:V,2,0),"")</f>
        <v/>
      </c>
      <c r="E381" s="211" t="str">
        <f>IFERROR(VLOOKUP($C381,'PORTIFÓLIO'!C:V,3,0),"")</f>
        <v/>
      </c>
      <c r="F381" s="211" t="str">
        <f>IFERROR(VLOOKUP($C381,'PORTIFÓLIO'!C:V,4,0),"")</f>
        <v/>
      </c>
      <c r="G381" s="215" t="str">
        <f>IFERROR(VLOOKUP($C381,'PORTIFÓLIO'!C:V,5,0),"")</f>
        <v/>
      </c>
      <c r="H381" s="254" t="str">
        <f t="array" ref="H381">IFERROR(INDEX('PORTIFÓLIO'!$H$4:$H$433,MATCH($C381,'PORTIFÓLIO'!$C$4:$C$433,0)),"")</f>
        <v/>
      </c>
      <c r="I381" s="256"/>
      <c r="J381" s="218">
        <f t="shared" si="43"/>
        <v>0</v>
      </c>
      <c r="K381" s="292" t="str">
        <f t="array" ref="K381">IFERROR(I381*INDEX('PORTIFÓLIO'!$S$4:$S$433,MATCH($C381,'PORTIFÓLIO'!$C$4:$C$433,0)),"")</f>
        <v/>
      </c>
      <c r="L381" s="292" t="str">
        <f t="array" ref="L381">IFERROR(J381*INDEX('PORTIFÓLIO'!$S$4:$S$433,MATCH($C381,'PORTIFÓLIO'!$C$4:$C$433,0)),"")</f>
        <v/>
      </c>
      <c r="M381" s="220"/>
      <c r="N381" s="220"/>
      <c r="O381" s="220"/>
      <c r="P381" s="220"/>
      <c r="Q381" s="220"/>
      <c r="R381" s="220"/>
      <c r="S381" s="220"/>
      <c r="T381" s="220"/>
      <c r="U381" s="220"/>
      <c r="V381" s="220"/>
      <c r="W381" s="220"/>
    </row>
    <row r="382" ht="15.75" customHeight="1" outlineLevel="1">
      <c r="A382" s="211"/>
      <c r="B382" s="212"/>
      <c r="C382" s="213"/>
      <c r="D382" s="214" t="str">
        <f>IFERROR(VLOOKUP($C382,'PORTIFÓLIO'!C:V,2,0),"")</f>
        <v/>
      </c>
      <c r="E382" s="211" t="str">
        <f>IFERROR(VLOOKUP($C382,'PORTIFÓLIO'!C:V,3,0),"")</f>
        <v/>
      </c>
      <c r="F382" s="211" t="str">
        <f>IFERROR(VLOOKUP($C382,'PORTIFÓLIO'!C:V,4,0),"")</f>
        <v/>
      </c>
      <c r="G382" s="215" t="str">
        <f>IFERROR(VLOOKUP($C382,'PORTIFÓLIO'!C:V,5,0),"")</f>
        <v/>
      </c>
      <c r="H382" s="254" t="str">
        <f t="array" ref="H382">IFERROR(INDEX('PORTIFÓLIO'!$H$4:$H$433,MATCH($C382,'PORTIFÓLIO'!$C$4:$C$433,0)),"")</f>
        <v/>
      </c>
      <c r="I382" s="256"/>
      <c r="J382" s="218">
        <f t="shared" si="43"/>
        <v>0</v>
      </c>
      <c r="K382" s="292" t="str">
        <f t="array" ref="K382">IFERROR(I382*INDEX('PORTIFÓLIO'!$S$4:$S$433,MATCH($C382,'PORTIFÓLIO'!$C$4:$C$433,0)),"")</f>
        <v/>
      </c>
      <c r="L382" s="292" t="str">
        <f t="array" ref="L382">IFERROR(J382*INDEX('PORTIFÓLIO'!$S$4:$S$433,MATCH($C382,'PORTIFÓLIO'!$C$4:$C$433,0)),"")</f>
        <v/>
      </c>
      <c r="M382" s="220"/>
      <c r="N382" s="220"/>
      <c r="O382" s="220"/>
      <c r="P382" s="220"/>
      <c r="Q382" s="220"/>
      <c r="R382" s="220"/>
      <c r="S382" s="220"/>
      <c r="T382" s="220"/>
      <c r="U382" s="220"/>
      <c r="V382" s="220"/>
      <c r="W382" s="220"/>
    </row>
    <row r="383" ht="15.75" customHeight="1" outlineLevel="1">
      <c r="A383" s="211"/>
      <c r="B383" s="212"/>
      <c r="C383" s="213"/>
      <c r="D383" s="214" t="str">
        <f>IFERROR(VLOOKUP($C383,'PORTIFÓLIO'!C:V,2,0),"")</f>
        <v/>
      </c>
      <c r="E383" s="211" t="str">
        <f>IFERROR(VLOOKUP($C383,'PORTIFÓLIO'!C:V,3,0),"")</f>
        <v/>
      </c>
      <c r="F383" s="211" t="str">
        <f>IFERROR(VLOOKUP($C383,'PORTIFÓLIO'!C:V,4,0),"")</f>
        <v/>
      </c>
      <c r="G383" s="215" t="str">
        <f>IFERROR(VLOOKUP($C383,'PORTIFÓLIO'!C:V,5,0),"")</f>
        <v/>
      </c>
      <c r="H383" s="254" t="str">
        <f t="array" ref="H383">IFERROR(INDEX('PORTIFÓLIO'!$H$4:$H$433,MATCH($C383,'PORTIFÓLIO'!$C$4:$C$433,0)),"")</f>
        <v/>
      </c>
      <c r="I383" s="256"/>
      <c r="J383" s="218">
        <f t="shared" si="43"/>
        <v>0</v>
      </c>
      <c r="K383" s="292" t="str">
        <f t="array" ref="K383">IFERROR(I383*INDEX('PORTIFÓLIO'!$S$4:$S$433,MATCH($C383,'PORTIFÓLIO'!$C$4:$C$433,0)),"")</f>
        <v/>
      </c>
      <c r="L383" s="292" t="str">
        <f t="array" ref="L383">IFERROR(J383*INDEX('PORTIFÓLIO'!$S$4:$S$433,MATCH($C383,'PORTIFÓLIO'!$C$4:$C$433,0)),"")</f>
        <v/>
      </c>
      <c r="M383" s="220"/>
      <c r="N383" s="220"/>
      <c r="O383" s="220"/>
      <c r="P383" s="220"/>
      <c r="Q383" s="220"/>
      <c r="R383" s="220"/>
      <c r="S383" s="220"/>
      <c r="T383" s="220"/>
      <c r="U383" s="220"/>
      <c r="V383" s="220"/>
      <c r="W383" s="220"/>
    </row>
    <row r="384" ht="15.75" customHeight="1" outlineLevel="1">
      <c r="A384" s="211"/>
      <c r="B384" s="212"/>
      <c r="C384" s="213"/>
      <c r="D384" s="214" t="str">
        <f>IFERROR(VLOOKUP($C384,'PORTIFÓLIO'!C:V,2,0),"")</f>
        <v/>
      </c>
      <c r="E384" s="211" t="str">
        <f>IFERROR(VLOOKUP($C384,'PORTIFÓLIO'!C:V,3,0),"")</f>
        <v/>
      </c>
      <c r="F384" s="211" t="str">
        <f>IFERROR(VLOOKUP($C384,'PORTIFÓLIO'!C:V,4,0),"")</f>
        <v/>
      </c>
      <c r="G384" s="215" t="str">
        <f>IFERROR(VLOOKUP($C384,'PORTIFÓLIO'!C:V,5,0),"")</f>
        <v/>
      </c>
      <c r="H384" s="254" t="str">
        <f t="array" ref="H384">IFERROR(INDEX('PORTIFÓLIO'!$H$4:$H$433,MATCH($C384,'PORTIFÓLIO'!$C$4:$C$433,0)),"")</f>
        <v/>
      </c>
      <c r="I384" s="255"/>
      <c r="J384" s="218">
        <f t="shared" si="43"/>
        <v>0</v>
      </c>
      <c r="K384" s="292" t="str">
        <f t="array" ref="K384">IFERROR(I384*INDEX('PORTIFÓLIO'!$S$4:$S$433,MATCH($C384,'PORTIFÓLIO'!$C$4:$C$433,0)),"")</f>
        <v/>
      </c>
      <c r="L384" s="292" t="str">
        <f t="array" ref="L384">IFERROR(J384*INDEX('PORTIFÓLIO'!$S$4:$S$433,MATCH($C384,'PORTIFÓLIO'!$C$4:$C$433,0)),"")</f>
        <v/>
      </c>
      <c r="M384" s="220"/>
      <c r="N384" s="220"/>
      <c r="O384" s="220"/>
      <c r="P384" s="220"/>
      <c r="Q384" s="220"/>
      <c r="R384" s="220"/>
      <c r="S384" s="220"/>
      <c r="T384" s="220"/>
      <c r="U384" s="220"/>
      <c r="V384" s="220"/>
      <c r="W384" s="220"/>
    </row>
    <row r="385" ht="15.75" customHeight="1" outlineLevel="1">
      <c r="A385" s="211"/>
      <c r="B385" s="212"/>
      <c r="C385" s="213"/>
      <c r="D385" s="214" t="str">
        <f>IFERROR(VLOOKUP($C385,'PORTIFÓLIO'!C:V,2,0),"")</f>
        <v/>
      </c>
      <c r="E385" s="211" t="str">
        <f>IFERROR(VLOOKUP($C385,'PORTIFÓLIO'!C:V,3,0),"")</f>
        <v/>
      </c>
      <c r="F385" s="211" t="str">
        <f>IFERROR(VLOOKUP($C385,'PORTIFÓLIO'!C:V,4,0),"")</f>
        <v/>
      </c>
      <c r="G385" s="215" t="str">
        <f>IFERROR(VLOOKUP($C385,'PORTIFÓLIO'!C:V,5,0),"")</f>
        <v/>
      </c>
      <c r="H385" s="254" t="str">
        <f t="array" ref="H385">IFERROR(INDEX('PORTIFÓLIO'!$H$4:$H$433,MATCH($C385,'PORTIFÓLIO'!$C$4:$C$433,0)),"")</f>
        <v/>
      </c>
      <c r="I385" s="256"/>
      <c r="J385" s="218">
        <f t="shared" si="43"/>
        <v>0</v>
      </c>
      <c r="K385" s="292" t="str">
        <f t="array" ref="K385">IFERROR(I385*INDEX('PORTIFÓLIO'!$S$4:$S$433,MATCH($C385,'PORTIFÓLIO'!$C$4:$C$433,0)),"")</f>
        <v/>
      </c>
      <c r="L385" s="292" t="str">
        <f t="array" ref="L385">IFERROR(J385*INDEX('PORTIFÓLIO'!$S$4:$S$433,MATCH($C385,'PORTIFÓLIO'!$C$4:$C$433,0)),"")</f>
        <v/>
      </c>
      <c r="M385" s="220"/>
      <c r="N385" s="220"/>
      <c r="O385" s="220"/>
      <c r="P385" s="220"/>
      <c r="Q385" s="220"/>
      <c r="R385" s="220"/>
      <c r="S385" s="220"/>
      <c r="T385" s="220"/>
      <c r="U385" s="220"/>
      <c r="V385" s="220"/>
      <c r="W385" s="220"/>
    </row>
    <row r="386" ht="15.75" customHeight="1" outlineLevel="1">
      <c r="A386" s="211"/>
      <c r="B386" s="212"/>
      <c r="C386" s="213"/>
      <c r="D386" s="214" t="str">
        <f>IFERROR(VLOOKUP($C386,'PORTIFÓLIO'!C:V,2,0),"")</f>
        <v/>
      </c>
      <c r="E386" s="211" t="str">
        <f>IFERROR(VLOOKUP($C386,'PORTIFÓLIO'!C:V,3,0),"")</f>
        <v/>
      </c>
      <c r="F386" s="211" t="str">
        <f>IFERROR(VLOOKUP($C386,'PORTIFÓLIO'!C:V,4,0),"")</f>
        <v/>
      </c>
      <c r="G386" s="215" t="str">
        <f>IFERROR(VLOOKUP($C386,'PORTIFÓLIO'!C:V,5,0),"")</f>
        <v/>
      </c>
      <c r="H386" s="254" t="str">
        <f t="array" ref="H386">IFERROR(INDEX('PORTIFÓLIO'!$H$4:$H$433,MATCH($C386,'PORTIFÓLIO'!$C$4:$C$433,0)),"")</f>
        <v/>
      </c>
      <c r="I386" s="256"/>
      <c r="J386" s="218">
        <f t="shared" si="43"/>
        <v>0</v>
      </c>
      <c r="K386" s="292" t="str">
        <f t="array" ref="K386">IFERROR(I386*INDEX('PORTIFÓLIO'!$S$4:$S$433,MATCH($C386,'PORTIFÓLIO'!$C$4:$C$433,0)),"")</f>
        <v/>
      </c>
      <c r="L386" s="292" t="str">
        <f t="array" ref="L386">IFERROR(J386*INDEX('PORTIFÓLIO'!$S$4:$S$433,MATCH($C386,'PORTIFÓLIO'!$C$4:$C$433,0)),"")</f>
        <v/>
      </c>
      <c r="M386" s="220"/>
      <c r="N386" s="220"/>
      <c r="O386" s="220"/>
      <c r="P386" s="220"/>
      <c r="Q386" s="220"/>
      <c r="R386" s="220"/>
      <c r="S386" s="220"/>
      <c r="T386" s="220"/>
      <c r="U386" s="220"/>
      <c r="V386" s="220"/>
      <c r="W386" s="220"/>
    </row>
    <row r="387" ht="15.75" customHeight="1" outlineLevel="1">
      <c r="A387" s="211"/>
      <c r="B387" s="212"/>
      <c r="C387" s="213"/>
      <c r="D387" s="214" t="str">
        <f>IFERROR(VLOOKUP($C387,'PORTIFÓLIO'!C:V,2,0),"")</f>
        <v/>
      </c>
      <c r="E387" s="211" t="str">
        <f>IFERROR(VLOOKUP($C387,'PORTIFÓLIO'!C:V,3,0),"")</f>
        <v/>
      </c>
      <c r="F387" s="211" t="str">
        <f>IFERROR(VLOOKUP($C387,'PORTIFÓLIO'!C:V,4,0),"")</f>
        <v/>
      </c>
      <c r="G387" s="215" t="str">
        <f>IFERROR(VLOOKUP($C387,'PORTIFÓLIO'!C:V,5,0),"")</f>
        <v/>
      </c>
      <c r="H387" s="254" t="str">
        <f t="array" ref="H387">IFERROR(INDEX('PORTIFÓLIO'!$H$4:$H$433,MATCH($C387,'PORTIFÓLIO'!$C$4:$C$433,0)),"")</f>
        <v/>
      </c>
      <c r="I387" s="256"/>
      <c r="J387" s="218">
        <f t="shared" si="43"/>
        <v>0</v>
      </c>
      <c r="K387" s="292" t="str">
        <f t="array" ref="K387">IFERROR(I387*INDEX('PORTIFÓLIO'!$S$4:$S$433,MATCH($C387,'PORTIFÓLIO'!$C$4:$C$433,0)),"")</f>
        <v/>
      </c>
      <c r="L387" s="292" t="str">
        <f t="array" ref="L387">IFERROR(J387*INDEX('PORTIFÓLIO'!$S$4:$S$433,MATCH($C387,'PORTIFÓLIO'!$C$4:$C$433,0)),"")</f>
        <v/>
      </c>
      <c r="M387" s="220"/>
      <c r="N387" s="220"/>
      <c r="O387" s="220"/>
      <c r="P387" s="220"/>
      <c r="Q387" s="220"/>
      <c r="R387" s="220"/>
      <c r="S387" s="220"/>
      <c r="T387" s="220"/>
      <c r="U387" s="220"/>
      <c r="V387" s="220"/>
      <c r="W387" s="220"/>
    </row>
    <row r="388" ht="15.75" customHeight="1" outlineLevel="1">
      <c r="A388" s="211"/>
      <c r="B388" s="212"/>
      <c r="C388" s="213"/>
      <c r="D388" s="214" t="str">
        <f>IFERROR(VLOOKUP($C388,'PORTIFÓLIO'!C:V,2,0),"")</f>
        <v/>
      </c>
      <c r="E388" s="211" t="str">
        <f>IFERROR(VLOOKUP($C388,'PORTIFÓLIO'!C:V,3,0),"")</f>
        <v/>
      </c>
      <c r="F388" s="211" t="str">
        <f>IFERROR(VLOOKUP($C388,'PORTIFÓLIO'!C:V,4,0),"")</f>
        <v/>
      </c>
      <c r="G388" s="215" t="str">
        <f>IFERROR(VLOOKUP($C388,'PORTIFÓLIO'!C:V,5,0),"")</f>
        <v/>
      </c>
      <c r="H388" s="254" t="str">
        <f t="array" ref="H388">IFERROR(INDEX('PORTIFÓLIO'!$H$4:$H$433,MATCH($C388,'PORTIFÓLIO'!$C$4:$C$433,0)),"")</f>
        <v/>
      </c>
      <c r="I388" s="256"/>
      <c r="J388" s="218">
        <f t="shared" si="43"/>
        <v>0</v>
      </c>
      <c r="K388" s="292" t="str">
        <f t="array" ref="K388">IFERROR(I388*INDEX('PORTIFÓLIO'!$S$4:$S$433,MATCH($C388,'PORTIFÓLIO'!$C$4:$C$433,0)),"")</f>
        <v/>
      </c>
      <c r="L388" s="292" t="str">
        <f t="array" ref="L388">IFERROR(J388*INDEX('PORTIFÓLIO'!$S$4:$S$433,MATCH($C388,'PORTIFÓLIO'!$C$4:$C$433,0)),"")</f>
        <v/>
      </c>
      <c r="M388" s="220"/>
      <c r="N388" s="220"/>
      <c r="O388" s="220"/>
      <c r="P388" s="220"/>
      <c r="Q388" s="220"/>
      <c r="R388" s="220"/>
      <c r="S388" s="220"/>
      <c r="T388" s="220"/>
      <c r="U388" s="220"/>
      <c r="V388" s="220"/>
      <c r="W388" s="220"/>
    </row>
    <row r="389" ht="15.75" customHeight="1" outlineLevel="1">
      <c r="A389" s="211"/>
      <c r="B389" s="212"/>
      <c r="C389" s="213"/>
      <c r="D389" s="214" t="str">
        <f>IFERROR(VLOOKUP($C389,'PORTIFÓLIO'!C:V,2,0),"")</f>
        <v/>
      </c>
      <c r="E389" s="211" t="str">
        <f>IFERROR(VLOOKUP($C389,'PORTIFÓLIO'!C:V,3,0),"")</f>
        <v/>
      </c>
      <c r="F389" s="211" t="str">
        <f>IFERROR(VLOOKUP($C389,'PORTIFÓLIO'!C:V,4,0),"")</f>
        <v/>
      </c>
      <c r="G389" s="215" t="str">
        <f>IFERROR(VLOOKUP($C389,'PORTIFÓLIO'!C:V,5,0),"")</f>
        <v/>
      </c>
      <c r="H389" s="254" t="str">
        <f t="array" ref="H389">IFERROR(INDEX('PORTIFÓLIO'!$H$4:$H$433,MATCH($C389,'PORTIFÓLIO'!$C$4:$C$433,0)),"")</f>
        <v/>
      </c>
      <c r="I389" s="256"/>
      <c r="J389" s="218">
        <f t="shared" si="43"/>
        <v>0</v>
      </c>
      <c r="K389" s="292" t="str">
        <f t="array" ref="K389">IFERROR(I389*INDEX('PORTIFÓLIO'!$S$4:$S$433,MATCH($C389,'PORTIFÓLIO'!$C$4:$C$433,0)),"")</f>
        <v/>
      </c>
      <c r="L389" s="292" t="str">
        <f t="array" ref="L389">IFERROR(J389*INDEX('PORTIFÓLIO'!$S$4:$S$433,MATCH($C389,'PORTIFÓLIO'!$C$4:$C$433,0)),"")</f>
        <v/>
      </c>
      <c r="M389" s="220"/>
      <c r="N389" s="220"/>
      <c r="O389" s="220"/>
      <c r="P389" s="220"/>
      <c r="Q389" s="220"/>
      <c r="R389" s="220"/>
      <c r="S389" s="220"/>
      <c r="T389" s="220"/>
      <c r="U389" s="220"/>
      <c r="V389" s="220"/>
      <c r="W389" s="220"/>
    </row>
    <row r="390" ht="15.75" customHeight="1" outlineLevel="1">
      <c r="A390" s="211"/>
      <c r="B390" s="212"/>
      <c r="C390" s="213"/>
      <c r="D390" s="214" t="str">
        <f>IFERROR(VLOOKUP($C390,'PORTIFÓLIO'!C:V,2,0),"")</f>
        <v/>
      </c>
      <c r="E390" s="211" t="str">
        <f>IFERROR(VLOOKUP($C390,'PORTIFÓLIO'!C:V,3,0),"")</f>
        <v/>
      </c>
      <c r="F390" s="211" t="str">
        <f>IFERROR(VLOOKUP($C390,'PORTIFÓLIO'!C:V,4,0),"")</f>
        <v/>
      </c>
      <c r="G390" s="215" t="str">
        <f>IFERROR(VLOOKUP($C390,'PORTIFÓLIO'!C:V,5,0),"")</f>
        <v/>
      </c>
      <c r="H390" s="254" t="str">
        <f t="array" ref="H390">IFERROR(INDEX('PORTIFÓLIO'!$H$4:$H$433,MATCH($C390,'PORTIFÓLIO'!$C$4:$C$433,0)),"")</f>
        <v/>
      </c>
      <c r="I390" s="256"/>
      <c r="J390" s="218">
        <f t="shared" si="43"/>
        <v>0</v>
      </c>
      <c r="K390" s="292" t="str">
        <f t="array" ref="K390">IFERROR(I390*INDEX('PORTIFÓLIO'!$S$4:$S$433,MATCH($C390,'PORTIFÓLIO'!$C$4:$C$433,0)),"")</f>
        <v/>
      </c>
      <c r="L390" s="292" t="str">
        <f t="array" ref="L390">IFERROR(J390*INDEX('PORTIFÓLIO'!$S$4:$S$433,MATCH($C390,'PORTIFÓLIO'!$C$4:$C$433,0)),"")</f>
        <v/>
      </c>
      <c r="M390" s="220"/>
      <c r="N390" s="220"/>
      <c r="O390" s="220"/>
      <c r="P390" s="220"/>
      <c r="Q390" s="220"/>
      <c r="R390" s="220"/>
      <c r="S390" s="220"/>
      <c r="T390" s="220"/>
      <c r="U390" s="220"/>
      <c r="V390" s="220"/>
      <c r="W390" s="220"/>
    </row>
    <row r="391" ht="15.75" customHeight="1" outlineLevel="1">
      <c r="A391" s="211"/>
      <c r="B391" s="227"/>
      <c r="C391" s="211"/>
      <c r="D391" s="214" t="str">
        <f>IFERROR(VLOOKUP($C391,'PORTIFÓLIO'!C:V,2,0),"")</f>
        <v/>
      </c>
      <c r="E391" s="211" t="str">
        <f>IFERROR(VLOOKUP($C391,'PORTIFÓLIO'!C:V,3,0),"")</f>
        <v/>
      </c>
      <c r="F391" s="211" t="str">
        <f>IFERROR(VLOOKUP($C391,'PORTIFÓLIO'!C:V,4,0),"")</f>
        <v/>
      </c>
      <c r="G391" s="215" t="str">
        <f>IFERROR(VLOOKUP($C391,'PORTIFÓLIO'!C:V,5,0),"")</f>
        <v/>
      </c>
      <c r="H391" s="254" t="str">
        <f t="array" ref="H391">IFERROR(INDEX('PORTIFÓLIO'!$H$4:$H$433,MATCH($C391,'PORTIFÓLIO'!$C$4:$C$433,0)),"")</f>
        <v/>
      </c>
      <c r="I391" s="256"/>
      <c r="J391" s="218"/>
      <c r="K391" s="292" t="str">
        <f t="array" ref="K391">IFERROR(I391*INDEX('PORTIFÓLIO'!$S$4:$S$433,MATCH($C391,'PORTIFÓLIO'!$C$4:$C$433,0)),"")</f>
        <v/>
      </c>
      <c r="L391" s="292" t="str">
        <f t="array" ref="L391">IFERROR(J391*INDEX('PORTIFÓLIO'!$S$4:$S$433,MATCH($C391,'PORTIFÓLIO'!$C$4:$C$433,0)),"")</f>
        <v/>
      </c>
      <c r="M391" s="220"/>
      <c r="N391" s="220"/>
      <c r="O391" s="220"/>
      <c r="P391" s="220"/>
      <c r="Q391" s="220"/>
      <c r="R391" s="220"/>
      <c r="S391" s="220"/>
      <c r="T391" s="220"/>
      <c r="U391" s="220"/>
      <c r="V391" s="220"/>
      <c r="W391" s="220"/>
    </row>
    <row r="392" ht="15.75" customHeight="1">
      <c r="A392" s="229" t="s">
        <v>1193</v>
      </c>
      <c r="B392" s="230"/>
      <c r="C392" s="231"/>
      <c r="D392" s="232"/>
      <c r="E392" s="231"/>
      <c r="F392" s="231"/>
      <c r="G392" s="233"/>
      <c r="H392" s="233"/>
      <c r="I392" s="258"/>
      <c r="J392" s="236"/>
      <c r="K392" s="237">
        <f t="shared" ref="K392:L392" si="44">SUBTOTAL(9,K393:K406)</f>
        <v>0</v>
      </c>
      <c r="L392" s="237">
        <f t="shared" si="44"/>
        <v>0</v>
      </c>
      <c r="M392" s="220"/>
      <c r="N392" s="220"/>
      <c r="O392" s="220"/>
      <c r="P392" s="220"/>
      <c r="Q392" s="220"/>
      <c r="R392" s="220"/>
      <c r="S392" s="220"/>
      <c r="T392" s="220"/>
      <c r="U392" s="220"/>
      <c r="V392" s="220"/>
      <c r="W392" s="220"/>
    </row>
    <row r="393" ht="15.75" customHeight="1" outlineLevel="1">
      <c r="A393" s="213"/>
      <c r="B393" s="212"/>
      <c r="C393" s="213"/>
      <c r="D393" s="214" t="str">
        <f>IFERROR(VLOOKUP($C393,'PORTIFÓLIO'!C:V,2,0),"")</f>
        <v/>
      </c>
      <c r="E393" s="211" t="str">
        <f>IFERROR(VLOOKUP($C393,'PORTIFÓLIO'!C:V,3,0),"")</f>
        <v/>
      </c>
      <c r="F393" s="211" t="str">
        <f>IFERROR(VLOOKUP($C393,'PORTIFÓLIO'!C:V,4,0),"")</f>
        <v/>
      </c>
      <c r="G393" s="215" t="str">
        <f>IFERROR(VLOOKUP($C393,'PORTIFÓLIO'!C:V,5,0),"")</f>
        <v/>
      </c>
      <c r="H393" s="254" t="str">
        <f t="array" ref="H393">IFERROR(INDEX('PORTIFÓLIO'!$H$4:$H$433,MATCH($C393,'PORTIFÓLIO'!$C$4:$C$433,0)),"")</f>
        <v/>
      </c>
      <c r="I393" s="255"/>
      <c r="J393" s="218">
        <f t="shared" ref="J393:J408" si="45">I393*$B$2</f>
        <v>0</v>
      </c>
      <c r="K393" s="292" t="str">
        <f t="array" ref="K393">IFERROR(I393*INDEX('PORTIFÓLIO'!$S$4:$S$433,MATCH($C393,'PORTIFÓLIO'!$C$4:$C$433,0)),"")</f>
        <v/>
      </c>
      <c r="L393" s="292" t="str">
        <f t="array" ref="L393">IFERROR(J393*INDEX('PORTIFÓLIO'!$S$4:$S$433,MATCH($C393,'PORTIFÓLIO'!$C$4:$C$433,0)),"")</f>
        <v/>
      </c>
      <c r="M393" s="220"/>
      <c r="N393" s="220"/>
      <c r="O393" s="220"/>
      <c r="P393" s="220"/>
      <c r="Q393" s="220"/>
      <c r="R393" s="220"/>
      <c r="S393" s="220"/>
      <c r="T393" s="220"/>
      <c r="U393" s="220"/>
      <c r="V393" s="220"/>
      <c r="W393" s="220"/>
    </row>
    <row r="394" ht="15.75" customHeight="1" outlineLevel="1">
      <c r="A394" s="211"/>
      <c r="B394" s="212"/>
      <c r="C394" s="213"/>
      <c r="D394" s="214" t="str">
        <f>IFERROR(VLOOKUP($C394,'PORTIFÓLIO'!C:V,2,0),"")</f>
        <v/>
      </c>
      <c r="E394" s="211" t="str">
        <f>IFERROR(VLOOKUP($C394,'PORTIFÓLIO'!C:V,3,0),"")</f>
        <v/>
      </c>
      <c r="F394" s="211" t="str">
        <f>IFERROR(VLOOKUP($C394,'PORTIFÓLIO'!C:V,4,0),"")</f>
        <v/>
      </c>
      <c r="G394" s="215" t="str">
        <f>IFERROR(VLOOKUP($C394,'PORTIFÓLIO'!C:V,5,0),"")</f>
        <v/>
      </c>
      <c r="H394" s="254" t="str">
        <f t="array" ref="H394">IFERROR(INDEX('PORTIFÓLIO'!$H$4:$H$433,MATCH($C394,'PORTIFÓLIO'!$C$4:$C$433,0)),"")</f>
        <v/>
      </c>
      <c r="I394" s="256"/>
      <c r="J394" s="218">
        <f t="shared" si="45"/>
        <v>0</v>
      </c>
      <c r="K394" s="292" t="str">
        <f t="array" ref="K394">IFERROR(I394*INDEX('PORTIFÓLIO'!$S$4:$S$433,MATCH($C394,'PORTIFÓLIO'!$C$4:$C$433,0)),"")</f>
        <v/>
      </c>
      <c r="L394" s="292" t="str">
        <f t="array" ref="L394">IFERROR(J394*INDEX('PORTIFÓLIO'!$S$4:$S$433,MATCH($C394,'PORTIFÓLIO'!$C$4:$C$433,0)),"")</f>
        <v/>
      </c>
      <c r="M394" s="220"/>
      <c r="N394" s="220"/>
      <c r="O394" s="220"/>
      <c r="P394" s="220"/>
      <c r="Q394" s="220"/>
      <c r="R394" s="220"/>
      <c r="S394" s="220"/>
      <c r="T394" s="220"/>
      <c r="U394" s="220"/>
      <c r="V394" s="220"/>
      <c r="W394" s="220"/>
    </row>
    <row r="395" ht="15.75" customHeight="1" outlineLevel="1">
      <c r="A395" s="211"/>
      <c r="B395" s="212"/>
      <c r="C395" s="213"/>
      <c r="D395" s="214" t="str">
        <f>IFERROR(VLOOKUP($C395,'PORTIFÓLIO'!C:V,2,0),"")</f>
        <v/>
      </c>
      <c r="E395" s="211" t="str">
        <f>IFERROR(VLOOKUP($C395,'PORTIFÓLIO'!C:V,3,0),"")</f>
        <v/>
      </c>
      <c r="F395" s="211" t="str">
        <f>IFERROR(VLOOKUP($C395,'PORTIFÓLIO'!C:V,4,0),"")</f>
        <v/>
      </c>
      <c r="G395" s="215" t="str">
        <f>IFERROR(VLOOKUP($C395,'PORTIFÓLIO'!C:V,5,0),"")</f>
        <v/>
      </c>
      <c r="H395" s="254" t="str">
        <f t="array" ref="H395">IFERROR(INDEX('PORTIFÓLIO'!$H$4:$H$433,MATCH($C395,'PORTIFÓLIO'!$C$4:$C$433,0)),"")</f>
        <v/>
      </c>
      <c r="I395" s="256"/>
      <c r="J395" s="218">
        <f t="shared" si="45"/>
        <v>0</v>
      </c>
      <c r="K395" s="292" t="str">
        <f t="array" ref="K395">IFERROR(I395*INDEX('PORTIFÓLIO'!$S$4:$S$433,MATCH($C395,'PORTIFÓLIO'!$C$4:$C$433,0)),"")</f>
        <v/>
      </c>
      <c r="L395" s="292" t="str">
        <f t="array" ref="L395">IFERROR(J395*INDEX('PORTIFÓLIO'!$S$4:$S$433,MATCH($C395,'PORTIFÓLIO'!$C$4:$C$433,0)),"")</f>
        <v/>
      </c>
      <c r="M395" s="220"/>
      <c r="N395" s="220"/>
      <c r="O395" s="220"/>
      <c r="P395" s="220"/>
      <c r="Q395" s="220"/>
      <c r="R395" s="220"/>
      <c r="S395" s="220"/>
      <c r="T395" s="220"/>
      <c r="U395" s="220"/>
      <c r="V395" s="220"/>
      <c r="W395" s="220"/>
    </row>
    <row r="396" ht="15.75" customHeight="1" outlineLevel="1">
      <c r="A396" s="211"/>
      <c r="B396" s="212"/>
      <c r="C396" s="213"/>
      <c r="D396" s="214" t="str">
        <f>IFERROR(VLOOKUP($C396,'PORTIFÓLIO'!C:V,2,0),"")</f>
        <v/>
      </c>
      <c r="E396" s="211" t="str">
        <f>IFERROR(VLOOKUP($C396,'PORTIFÓLIO'!C:V,3,0),"")</f>
        <v/>
      </c>
      <c r="F396" s="211" t="str">
        <f>IFERROR(VLOOKUP($C396,'PORTIFÓLIO'!C:V,4,0),"")</f>
        <v/>
      </c>
      <c r="G396" s="215" t="str">
        <f>IFERROR(VLOOKUP($C396,'PORTIFÓLIO'!C:V,5,0),"")</f>
        <v/>
      </c>
      <c r="H396" s="254" t="str">
        <f t="array" ref="H396">IFERROR(INDEX('PORTIFÓLIO'!$H$4:$H$433,MATCH($C396,'PORTIFÓLIO'!$C$4:$C$433,0)),"")</f>
        <v/>
      </c>
      <c r="I396" s="256"/>
      <c r="J396" s="218">
        <f t="shared" si="45"/>
        <v>0</v>
      </c>
      <c r="K396" s="292" t="str">
        <f t="array" ref="K396">IFERROR(I396*INDEX('PORTIFÓLIO'!$S$4:$S$433,MATCH($C396,'PORTIFÓLIO'!$C$4:$C$433,0)),"")</f>
        <v/>
      </c>
      <c r="L396" s="292" t="str">
        <f t="array" ref="L396">IFERROR(J396*INDEX('PORTIFÓLIO'!$S$4:$S$433,MATCH($C396,'PORTIFÓLIO'!$C$4:$C$433,0)),"")</f>
        <v/>
      </c>
      <c r="M396" s="220"/>
      <c r="N396" s="220"/>
      <c r="O396" s="220"/>
      <c r="P396" s="220"/>
      <c r="Q396" s="220"/>
      <c r="R396" s="220"/>
      <c r="S396" s="220"/>
      <c r="T396" s="220"/>
      <c r="U396" s="220"/>
      <c r="V396" s="220"/>
      <c r="W396" s="220"/>
    </row>
    <row r="397" ht="15.75" customHeight="1" outlineLevel="1">
      <c r="A397" s="211"/>
      <c r="B397" s="212"/>
      <c r="C397" s="213"/>
      <c r="D397" s="214" t="str">
        <f>IFERROR(VLOOKUP($C397,'PORTIFÓLIO'!C:V,2,0),"")</f>
        <v/>
      </c>
      <c r="E397" s="211" t="str">
        <f>IFERROR(VLOOKUP($C397,'PORTIFÓLIO'!C:V,3,0),"")</f>
        <v/>
      </c>
      <c r="F397" s="211" t="str">
        <f>IFERROR(VLOOKUP($C397,'PORTIFÓLIO'!C:V,4,0),"")</f>
        <v/>
      </c>
      <c r="G397" s="215" t="str">
        <f>IFERROR(VLOOKUP($C397,'PORTIFÓLIO'!C:V,5,0),"")</f>
        <v/>
      </c>
      <c r="H397" s="254" t="str">
        <f t="array" ref="H397">IFERROR(INDEX('PORTIFÓLIO'!$H$4:$H$433,MATCH($C397,'PORTIFÓLIO'!$C$4:$C$433,0)),"")</f>
        <v/>
      </c>
      <c r="I397" s="256"/>
      <c r="J397" s="218">
        <f t="shared" si="45"/>
        <v>0</v>
      </c>
      <c r="K397" s="292" t="str">
        <f t="array" ref="K397">IFERROR(I397*INDEX('PORTIFÓLIO'!$S$4:$S$433,MATCH($C397,'PORTIFÓLIO'!$C$4:$C$433,0)),"")</f>
        <v/>
      </c>
      <c r="L397" s="292" t="str">
        <f t="array" ref="L397">IFERROR(J397*INDEX('PORTIFÓLIO'!$S$4:$S$433,MATCH($C397,'PORTIFÓLIO'!$C$4:$C$433,0)),"")</f>
        <v/>
      </c>
      <c r="M397" s="220"/>
      <c r="N397" s="220"/>
      <c r="O397" s="220"/>
      <c r="P397" s="220"/>
      <c r="Q397" s="220"/>
      <c r="R397" s="220"/>
      <c r="S397" s="220"/>
      <c r="T397" s="220"/>
      <c r="U397" s="220"/>
      <c r="V397" s="220"/>
      <c r="W397" s="220"/>
    </row>
    <row r="398" ht="15.75" customHeight="1" outlineLevel="1">
      <c r="A398" s="211"/>
      <c r="B398" s="212"/>
      <c r="C398" s="213"/>
      <c r="D398" s="214" t="str">
        <f>IFERROR(VLOOKUP($C398,'PORTIFÓLIO'!C:V,2,0),"")</f>
        <v/>
      </c>
      <c r="E398" s="211" t="str">
        <f>IFERROR(VLOOKUP($C398,'PORTIFÓLIO'!C:V,3,0),"")</f>
        <v/>
      </c>
      <c r="F398" s="211" t="str">
        <f>IFERROR(VLOOKUP($C398,'PORTIFÓLIO'!C:V,4,0),"")</f>
        <v/>
      </c>
      <c r="G398" s="215" t="str">
        <f>IFERROR(VLOOKUP($C398,'PORTIFÓLIO'!C:V,5,0),"")</f>
        <v/>
      </c>
      <c r="H398" s="254" t="str">
        <f t="array" ref="H398">IFERROR(INDEX('PORTIFÓLIO'!$H$4:$H$433,MATCH($C398,'PORTIFÓLIO'!$C$4:$C$433,0)),"")</f>
        <v/>
      </c>
      <c r="I398" s="256"/>
      <c r="J398" s="218">
        <f t="shared" si="45"/>
        <v>0</v>
      </c>
      <c r="K398" s="292" t="str">
        <f t="array" ref="K398">IFERROR(I398*INDEX('PORTIFÓLIO'!$S$4:$S$433,MATCH($C398,'PORTIFÓLIO'!$C$4:$C$433,0)),"")</f>
        <v/>
      </c>
      <c r="L398" s="292" t="str">
        <f t="array" ref="L398">IFERROR(J398*INDEX('PORTIFÓLIO'!$S$4:$S$433,MATCH($C398,'PORTIFÓLIO'!$C$4:$C$433,0)),"")</f>
        <v/>
      </c>
      <c r="M398" s="220"/>
      <c r="N398" s="220"/>
      <c r="O398" s="220"/>
      <c r="P398" s="220"/>
      <c r="Q398" s="220"/>
      <c r="R398" s="220"/>
      <c r="S398" s="220"/>
      <c r="T398" s="220"/>
      <c r="U398" s="220"/>
      <c r="V398" s="220"/>
      <c r="W398" s="220"/>
    </row>
    <row r="399" ht="15.75" customHeight="1" outlineLevel="1">
      <c r="A399" s="211"/>
      <c r="B399" s="212"/>
      <c r="C399" s="213"/>
      <c r="D399" s="214" t="str">
        <f>IFERROR(VLOOKUP($C399,'PORTIFÓLIO'!C:V,2,0),"")</f>
        <v/>
      </c>
      <c r="E399" s="211" t="str">
        <f>IFERROR(VLOOKUP($C399,'PORTIFÓLIO'!C:V,3,0),"")</f>
        <v/>
      </c>
      <c r="F399" s="211" t="str">
        <f>IFERROR(VLOOKUP($C399,'PORTIFÓLIO'!C:V,4,0),"")</f>
        <v/>
      </c>
      <c r="G399" s="215" t="str">
        <f>IFERROR(VLOOKUP($C399,'PORTIFÓLIO'!C:V,5,0),"")</f>
        <v/>
      </c>
      <c r="H399" s="254" t="str">
        <f t="array" ref="H399">IFERROR(INDEX('PORTIFÓLIO'!$H$4:$H$433,MATCH($C399,'PORTIFÓLIO'!$C$4:$C$433,0)),"")</f>
        <v/>
      </c>
      <c r="I399" s="256"/>
      <c r="J399" s="218">
        <f t="shared" si="45"/>
        <v>0</v>
      </c>
      <c r="K399" s="292" t="str">
        <f t="array" ref="K399">IFERROR(I399*INDEX('PORTIFÓLIO'!$S$4:$S$433,MATCH($C399,'PORTIFÓLIO'!$C$4:$C$433,0)),"")</f>
        <v/>
      </c>
      <c r="L399" s="292" t="str">
        <f t="array" ref="L399">IFERROR(J399*INDEX('PORTIFÓLIO'!$S$4:$S$433,MATCH($C399,'PORTIFÓLIO'!$C$4:$C$433,0)),"")</f>
        <v/>
      </c>
      <c r="M399" s="220"/>
      <c r="N399" s="220"/>
      <c r="O399" s="220"/>
      <c r="P399" s="220"/>
      <c r="Q399" s="220"/>
      <c r="R399" s="220"/>
      <c r="S399" s="220"/>
      <c r="T399" s="220"/>
      <c r="U399" s="220"/>
      <c r="V399" s="220"/>
      <c r="W399" s="220"/>
    </row>
    <row r="400" ht="15.75" customHeight="1" outlineLevel="1">
      <c r="A400" s="211"/>
      <c r="B400" s="212"/>
      <c r="C400" s="213"/>
      <c r="D400" s="214" t="str">
        <f>IFERROR(VLOOKUP($C400,'PORTIFÓLIO'!C:V,2,0),"")</f>
        <v/>
      </c>
      <c r="E400" s="211" t="str">
        <f>IFERROR(VLOOKUP($C400,'PORTIFÓLIO'!C:V,3,0),"")</f>
        <v/>
      </c>
      <c r="F400" s="211" t="str">
        <f>IFERROR(VLOOKUP($C400,'PORTIFÓLIO'!C:V,4,0),"")</f>
        <v/>
      </c>
      <c r="G400" s="215" t="str">
        <f>IFERROR(VLOOKUP($C400,'PORTIFÓLIO'!C:V,5,0),"")</f>
        <v/>
      </c>
      <c r="H400" s="254" t="str">
        <f t="array" ref="H400">IFERROR(INDEX('PORTIFÓLIO'!$H$4:$H$433,MATCH($C400,'PORTIFÓLIO'!$C$4:$C$433,0)),"")</f>
        <v/>
      </c>
      <c r="I400" s="256"/>
      <c r="J400" s="218">
        <f t="shared" si="45"/>
        <v>0</v>
      </c>
      <c r="K400" s="292" t="str">
        <f t="array" ref="K400">IFERROR(I400*INDEX('PORTIFÓLIO'!$S$4:$S$433,MATCH($C400,'PORTIFÓLIO'!$C$4:$C$433,0)),"")</f>
        <v/>
      </c>
      <c r="L400" s="292" t="str">
        <f t="array" ref="L400">IFERROR(J400*INDEX('PORTIFÓLIO'!$S$4:$S$433,MATCH($C400,'PORTIFÓLIO'!$C$4:$C$433,0)),"")</f>
        <v/>
      </c>
      <c r="M400" s="220"/>
      <c r="N400" s="220"/>
      <c r="O400" s="220"/>
      <c r="P400" s="220"/>
      <c r="Q400" s="220"/>
      <c r="R400" s="220"/>
      <c r="S400" s="220"/>
      <c r="T400" s="220"/>
      <c r="U400" s="220"/>
      <c r="V400" s="220"/>
      <c r="W400" s="220"/>
    </row>
    <row r="401" ht="15.75" customHeight="1" outlineLevel="1">
      <c r="A401" s="211"/>
      <c r="B401" s="212"/>
      <c r="C401" s="213"/>
      <c r="D401" s="214" t="str">
        <f>IFERROR(VLOOKUP($C401,'PORTIFÓLIO'!C:V,2,0),"")</f>
        <v/>
      </c>
      <c r="E401" s="211" t="str">
        <f>IFERROR(VLOOKUP($C401,'PORTIFÓLIO'!C:V,3,0),"")</f>
        <v/>
      </c>
      <c r="F401" s="211" t="str">
        <f>IFERROR(VLOOKUP($C401,'PORTIFÓLIO'!C:V,4,0),"")</f>
        <v/>
      </c>
      <c r="G401" s="215" t="str">
        <f>IFERROR(VLOOKUP($C401,'PORTIFÓLIO'!C:V,5,0),"")</f>
        <v/>
      </c>
      <c r="H401" s="254" t="str">
        <f t="array" ref="H401">IFERROR(INDEX('PORTIFÓLIO'!$H$4:$H$433,MATCH($C401,'PORTIFÓLIO'!$C$4:$C$433,0)),"")</f>
        <v/>
      </c>
      <c r="I401" s="255"/>
      <c r="J401" s="218">
        <f t="shared" si="45"/>
        <v>0</v>
      </c>
      <c r="K401" s="292" t="str">
        <f t="array" ref="K401">IFERROR(I401*INDEX('PORTIFÓLIO'!$S$4:$S$433,MATCH($C401,'PORTIFÓLIO'!$C$4:$C$433,0)),"")</f>
        <v/>
      </c>
      <c r="L401" s="292" t="str">
        <f t="array" ref="L401">IFERROR(J401*INDEX('PORTIFÓLIO'!$S$4:$S$433,MATCH($C401,'PORTIFÓLIO'!$C$4:$C$433,0)),"")</f>
        <v/>
      </c>
      <c r="M401" s="220"/>
      <c r="N401" s="220"/>
      <c r="O401" s="220"/>
      <c r="P401" s="220"/>
      <c r="Q401" s="220"/>
      <c r="R401" s="220"/>
      <c r="S401" s="220"/>
      <c r="T401" s="220"/>
      <c r="U401" s="220"/>
      <c r="V401" s="220"/>
      <c r="W401" s="220"/>
    </row>
    <row r="402" ht="15.75" customHeight="1" outlineLevel="1">
      <c r="A402" s="211"/>
      <c r="B402" s="212"/>
      <c r="C402" s="213"/>
      <c r="D402" s="214" t="str">
        <f>IFERROR(VLOOKUP($C402,'PORTIFÓLIO'!C:V,2,0),"")</f>
        <v/>
      </c>
      <c r="E402" s="211" t="str">
        <f>IFERROR(VLOOKUP($C402,'PORTIFÓLIO'!C:V,3,0),"")</f>
        <v/>
      </c>
      <c r="F402" s="211" t="str">
        <f>IFERROR(VLOOKUP($C402,'PORTIFÓLIO'!C:V,4,0),"")</f>
        <v/>
      </c>
      <c r="G402" s="215" t="str">
        <f>IFERROR(VLOOKUP($C402,'PORTIFÓLIO'!C:V,5,0),"")</f>
        <v/>
      </c>
      <c r="H402" s="254" t="str">
        <f t="array" ref="H402">IFERROR(INDEX('PORTIFÓLIO'!$H$4:$H$433,MATCH($C402,'PORTIFÓLIO'!$C$4:$C$433,0)),"")</f>
        <v/>
      </c>
      <c r="I402" s="256"/>
      <c r="J402" s="218">
        <f t="shared" si="45"/>
        <v>0</v>
      </c>
      <c r="K402" s="292" t="str">
        <f t="array" ref="K402">IFERROR(I402*INDEX('PORTIFÓLIO'!$S$4:$S$433,MATCH($C402,'PORTIFÓLIO'!$C$4:$C$433,0)),"")</f>
        <v/>
      </c>
      <c r="L402" s="292" t="str">
        <f t="array" ref="L402">IFERROR(J402*INDEX('PORTIFÓLIO'!$S$4:$S$433,MATCH($C402,'PORTIFÓLIO'!$C$4:$C$433,0)),"")</f>
        <v/>
      </c>
      <c r="M402" s="220"/>
      <c r="N402" s="220"/>
      <c r="O402" s="220"/>
      <c r="P402" s="220"/>
      <c r="Q402" s="220"/>
      <c r="R402" s="220"/>
      <c r="S402" s="220"/>
      <c r="T402" s="220"/>
      <c r="U402" s="220"/>
      <c r="V402" s="220"/>
      <c r="W402" s="220"/>
    </row>
    <row r="403" ht="15.75" customHeight="1" outlineLevel="1">
      <c r="A403" s="211"/>
      <c r="B403" s="212"/>
      <c r="C403" s="213"/>
      <c r="D403" s="214" t="str">
        <f>IFERROR(VLOOKUP($C403,'PORTIFÓLIO'!C:V,2,0),"")</f>
        <v/>
      </c>
      <c r="E403" s="211" t="str">
        <f>IFERROR(VLOOKUP($C403,'PORTIFÓLIO'!C:V,3,0),"")</f>
        <v/>
      </c>
      <c r="F403" s="211" t="str">
        <f>IFERROR(VLOOKUP($C403,'PORTIFÓLIO'!C:V,4,0),"")</f>
        <v/>
      </c>
      <c r="G403" s="215" t="str">
        <f>IFERROR(VLOOKUP($C403,'PORTIFÓLIO'!C:V,5,0),"")</f>
        <v/>
      </c>
      <c r="H403" s="254" t="str">
        <f t="array" ref="H403">IFERROR(INDEX('PORTIFÓLIO'!$H$4:$H$433,MATCH($C403,'PORTIFÓLIO'!$C$4:$C$433,0)),"")</f>
        <v/>
      </c>
      <c r="I403" s="256"/>
      <c r="J403" s="218">
        <f t="shared" si="45"/>
        <v>0</v>
      </c>
      <c r="K403" s="292" t="str">
        <f t="array" ref="K403">IFERROR(I403*INDEX('PORTIFÓLIO'!$S$4:$S$433,MATCH($C403,'PORTIFÓLIO'!$C$4:$C$433,0)),"")</f>
        <v/>
      </c>
      <c r="L403" s="292" t="str">
        <f t="array" ref="L403">IFERROR(J403*INDEX('PORTIFÓLIO'!$S$4:$S$433,MATCH($C403,'PORTIFÓLIO'!$C$4:$C$433,0)),"")</f>
        <v/>
      </c>
      <c r="M403" s="220"/>
      <c r="N403" s="220"/>
      <c r="O403" s="220"/>
      <c r="P403" s="220"/>
      <c r="Q403" s="220"/>
      <c r="R403" s="220"/>
      <c r="S403" s="220"/>
      <c r="T403" s="220"/>
      <c r="U403" s="220"/>
      <c r="V403" s="220"/>
      <c r="W403" s="220"/>
    </row>
    <row r="404" ht="15.75" customHeight="1" outlineLevel="1">
      <c r="A404" s="211"/>
      <c r="B404" s="212"/>
      <c r="C404" s="213"/>
      <c r="D404" s="214" t="str">
        <f>IFERROR(VLOOKUP($C404,'PORTIFÓLIO'!C:V,2,0),"")</f>
        <v/>
      </c>
      <c r="E404" s="211" t="str">
        <f>IFERROR(VLOOKUP($C404,'PORTIFÓLIO'!C:V,3,0),"")</f>
        <v/>
      </c>
      <c r="F404" s="211" t="str">
        <f>IFERROR(VLOOKUP($C404,'PORTIFÓLIO'!C:V,4,0),"")</f>
        <v/>
      </c>
      <c r="G404" s="215" t="str">
        <f>IFERROR(VLOOKUP($C404,'PORTIFÓLIO'!C:V,5,0),"")</f>
        <v/>
      </c>
      <c r="H404" s="254" t="str">
        <f t="array" ref="H404">IFERROR(INDEX('PORTIFÓLIO'!$H$4:$H$433,MATCH($C404,'PORTIFÓLIO'!$C$4:$C$433,0)),"")</f>
        <v/>
      </c>
      <c r="I404" s="256"/>
      <c r="J404" s="218">
        <f t="shared" si="45"/>
        <v>0</v>
      </c>
      <c r="K404" s="292" t="str">
        <f t="array" ref="K404">IFERROR(I404*INDEX('PORTIFÓLIO'!$S$4:$S$433,MATCH($C404,'PORTIFÓLIO'!$C$4:$C$433,0)),"")</f>
        <v/>
      </c>
      <c r="L404" s="292" t="str">
        <f t="array" ref="L404">IFERROR(J404*INDEX('PORTIFÓLIO'!$S$4:$S$433,MATCH($C404,'PORTIFÓLIO'!$C$4:$C$433,0)),"")</f>
        <v/>
      </c>
      <c r="M404" s="220"/>
      <c r="N404" s="220"/>
      <c r="O404" s="220"/>
      <c r="P404" s="220"/>
      <c r="Q404" s="220"/>
      <c r="R404" s="220"/>
      <c r="S404" s="220"/>
      <c r="T404" s="220"/>
      <c r="U404" s="220"/>
      <c r="V404" s="220"/>
      <c r="W404" s="220"/>
    </row>
    <row r="405" ht="15.75" customHeight="1" outlineLevel="1">
      <c r="A405" s="211"/>
      <c r="B405" s="212"/>
      <c r="C405" s="213"/>
      <c r="D405" s="214" t="str">
        <f>IFERROR(VLOOKUP($C405,'PORTIFÓLIO'!C:V,2,0),"")</f>
        <v/>
      </c>
      <c r="E405" s="211" t="str">
        <f>IFERROR(VLOOKUP($C405,'PORTIFÓLIO'!C:V,3,0),"")</f>
        <v/>
      </c>
      <c r="F405" s="211" t="str">
        <f>IFERROR(VLOOKUP($C405,'PORTIFÓLIO'!C:V,4,0),"")</f>
        <v/>
      </c>
      <c r="G405" s="215" t="str">
        <f>IFERROR(VLOOKUP($C405,'PORTIFÓLIO'!C:V,5,0),"")</f>
        <v/>
      </c>
      <c r="H405" s="254" t="str">
        <f t="array" ref="H405">IFERROR(INDEX('PORTIFÓLIO'!$H$4:$H$433,MATCH($C405,'PORTIFÓLIO'!$C$4:$C$433,0)),"")</f>
        <v/>
      </c>
      <c r="I405" s="256"/>
      <c r="J405" s="218">
        <f t="shared" si="45"/>
        <v>0</v>
      </c>
      <c r="K405" s="292" t="str">
        <f t="array" ref="K405">IFERROR(I405*INDEX('PORTIFÓLIO'!$S$4:$S$433,MATCH($C405,'PORTIFÓLIO'!$C$4:$C$433,0)),"")</f>
        <v/>
      </c>
      <c r="L405" s="292" t="str">
        <f t="array" ref="L405">IFERROR(J405*INDEX('PORTIFÓLIO'!$S$4:$S$433,MATCH($C405,'PORTIFÓLIO'!$C$4:$C$433,0)),"")</f>
        <v/>
      </c>
      <c r="M405" s="220"/>
      <c r="N405" s="220"/>
      <c r="O405" s="220"/>
      <c r="P405" s="220"/>
      <c r="Q405" s="220"/>
      <c r="R405" s="220"/>
      <c r="S405" s="220"/>
      <c r="T405" s="220"/>
      <c r="U405" s="220"/>
      <c r="V405" s="220"/>
      <c r="W405" s="220"/>
    </row>
    <row r="406" ht="15.75" customHeight="1" outlineLevel="1">
      <c r="A406" s="211"/>
      <c r="B406" s="212"/>
      <c r="C406" s="213"/>
      <c r="D406" s="214" t="str">
        <f>IFERROR(VLOOKUP($C406,'PORTIFÓLIO'!C:V,2,0),"")</f>
        <v/>
      </c>
      <c r="E406" s="211" t="str">
        <f>IFERROR(VLOOKUP($C406,'PORTIFÓLIO'!C:V,3,0),"")</f>
        <v/>
      </c>
      <c r="F406" s="211" t="str">
        <f>IFERROR(VLOOKUP($C406,'PORTIFÓLIO'!C:V,4,0),"")</f>
        <v/>
      </c>
      <c r="G406" s="215" t="str">
        <f>IFERROR(VLOOKUP($C406,'PORTIFÓLIO'!C:V,5,0),"")</f>
        <v/>
      </c>
      <c r="H406" s="254" t="str">
        <f t="array" ref="H406">IFERROR(INDEX('PORTIFÓLIO'!$H$4:$H$433,MATCH($C406,'PORTIFÓLIO'!$C$4:$C$433,0)),"")</f>
        <v/>
      </c>
      <c r="I406" s="256"/>
      <c r="J406" s="218">
        <f t="shared" si="45"/>
        <v>0</v>
      </c>
      <c r="K406" s="292" t="str">
        <f t="array" ref="K406">IFERROR(I406*INDEX('PORTIFÓLIO'!$S$4:$S$433,MATCH($C406,'PORTIFÓLIO'!$C$4:$C$433,0)),"")</f>
        <v/>
      </c>
      <c r="L406" s="292" t="str">
        <f t="array" ref="L406">IFERROR(J406*INDEX('PORTIFÓLIO'!$S$4:$S$433,MATCH($C406,'PORTIFÓLIO'!$C$4:$C$433,0)),"")</f>
        <v/>
      </c>
      <c r="M406" s="220"/>
      <c r="N406" s="220"/>
      <c r="O406" s="220"/>
      <c r="P406" s="220"/>
      <c r="Q406" s="220"/>
      <c r="R406" s="220"/>
      <c r="S406" s="220"/>
      <c r="T406" s="220"/>
      <c r="U406" s="220"/>
      <c r="V406" s="220"/>
      <c r="W406" s="220"/>
    </row>
    <row r="407" ht="15.75" customHeight="1" outlineLevel="1">
      <c r="A407" s="211"/>
      <c r="B407" s="212"/>
      <c r="C407" s="213"/>
      <c r="D407" s="214" t="str">
        <f>IFERROR(VLOOKUP($C407,'PORTIFÓLIO'!C:V,2,0),"")</f>
        <v/>
      </c>
      <c r="E407" s="211" t="str">
        <f>IFERROR(VLOOKUP($C407,'PORTIFÓLIO'!C:V,3,0),"")</f>
        <v/>
      </c>
      <c r="F407" s="211" t="str">
        <f>IFERROR(VLOOKUP($C407,'PORTIFÓLIO'!C:V,4,0),"")</f>
        <v/>
      </c>
      <c r="G407" s="215" t="str">
        <f>IFERROR(VLOOKUP($C407,'PORTIFÓLIO'!C:V,5,0),"")</f>
        <v/>
      </c>
      <c r="H407" s="254" t="str">
        <f t="array" ref="H407">IFERROR(INDEX('PORTIFÓLIO'!$H$4:$H$433,MATCH($C407,'PORTIFÓLIO'!$C$4:$C$433,0)),"")</f>
        <v/>
      </c>
      <c r="I407" s="256"/>
      <c r="J407" s="218">
        <f t="shared" si="45"/>
        <v>0</v>
      </c>
      <c r="K407" s="292" t="str">
        <f t="array" ref="K407">IFERROR(I407*INDEX('PORTIFÓLIO'!$S$4:$S$433,MATCH($C407,'PORTIFÓLIO'!$C$4:$C$433,0)),"")</f>
        <v/>
      </c>
      <c r="L407" s="292" t="str">
        <f t="array" ref="L407">IFERROR(J407*INDEX('PORTIFÓLIO'!$S$4:$S$433,MATCH($C407,'PORTIFÓLIO'!$C$4:$C$433,0)),"")</f>
        <v/>
      </c>
      <c r="M407" s="220"/>
      <c r="N407" s="220"/>
      <c r="O407" s="220"/>
      <c r="P407" s="220"/>
      <c r="Q407" s="220"/>
      <c r="R407" s="220"/>
      <c r="S407" s="220"/>
      <c r="T407" s="220"/>
      <c r="U407" s="220"/>
      <c r="V407" s="220"/>
      <c r="W407" s="220"/>
    </row>
    <row r="408" ht="15.75" customHeight="1" outlineLevel="1">
      <c r="A408" s="211"/>
      <c r="B408" s="227"/>
      <c r="C408" s="211"/>
      <c r="D408" s="214" t="str">
        <f>IFERROR(VLOOKUP($C408,'PORTIFÓLIO'!C:V,2,0),"")</f>
        <v/>
      </c>
      <c r="E408" s="211" t="str">
        <f>IFERROR(VLOOKUP($C408,'PORTIFÓLIO'!C:V,3,0),"")</f>
        <v/>
      </c>
      <c r="F408" s="211" t="str">
        <f>IFERROR(VLOOKUP($C408,'PORTIFÓLIO'!C:V,4,0),"")</f>
        <v/>
      </c>
      <c r="G408" s="215" t="str">
        <f>IFERROR(VLOOKUP($C408,'PORTIFÓLIO'!C:V,5,0),"")</f>
        <v/>
      </c>
      <c r="H408" s="254" t="str">
        <f t="array" ref="H408">IFERROR(INDEX('PORTIFÓLIO'!$H$4:$H$433,MATCH($C408,'PORTIFÓLIO'!$C$4:$C$433,0)),"")</f>
        <v/>
      </c>
      <c r="I408" s="256"/>
      <c r="J408" s="218">
        <f t="shared" si="45"/>
        <v>0</v>
      </c>
      <c r="K408" s="292" t="str">
        <f t="array" ref="K408">IFERROR(I408*INDEX('PORTIFÓLIO'!$S$4:$S$433,MATCH($C408,'PORTIFÓLIO'!$C$4:$C$433,0)),"")</f>
        <v/>
      </c>
      <c r="L408" s="292" t="str">
        <f t="array" ref="L408">IFERROR(J408*INDEX('PORTIFÓLIO'!$S$4:$S$433,MATCH($C408,'PORTIFÓLIO'!$C$4:$C$433,0)),"")</f>
        <v/>
      </c>
      <c r="M408" s="220"/>
      <c r="N408" s="220"/>
      <c r="O408" s="220"/>
      <c r="P408" s="220"/>
      <c r="Q408" s="220"/>
      <c r="R408" s="220"/>
      <c r="S408" s="220"/>
      <c r="T408" s="220"/>
      <c r="U408" s="220"/>
      <c r="V408" s="220"/>
      <c r="W408" s="220"/>
    </row>
    <row r="409" ht="15.75" customHeight="1">
      <c r="A409" s="229" t="s">
        <v>1194</v>
      </c>
      <c r="B409" s="230"/>
      <c r="C409" s="231"/>
      <c r="D409" s="232"/>
      <c r="E409" s="231"/>
      <c r="F409" s="231"/>
      <c r="G409" s="233"/>
      <c r="H409" s="233"/>
      <c r="I409" s="258"/>
      <c r="J409" s="236"/>
      <c r="K409" s="237">
        <f t="shared" ref="K409:L409" si="46">SUBTOTAL(9,K410:K423)</f>
        <v>0</v>
      </c>
      <c r="L409" s="237">
        <f t="shared" si="46"/>
        <v>0</v>
      </c>
      <c r="M409" s="220"/>
      <c r="N409" s="220"/>
      <c r="O409" s="220"/>
      <c r="P409" s="220"/>
      <c r="Q409" s="220"/>
      <c r="R409" s="220"/>
      <c r="S409" s="220"/>
      <c r="T409" s="220"/>
      <c r="U409" s="220"/>
      <c r="V409" s="220"/>
      <c r="W409" s="220"/>
    </row>
    <row r="410" ht="15.75" customHeight="1" outlineLevel="1">
      <c r="A410" s="213"/>
      <c r="B410" s="212"/>
      <c r="C410" s="213"/>
      <c r="D410" s="214" t="str">
        <f>IFERROR(VLOOKUP($C410,'PORTIFÓLIO'!C:V,2,0),"")</f>
        <v/>
      </c>
      <c r="E410" s="211" t="str">
        <f>IFERROR(VLOOKUP($C410,'PORTIFÓLIO'!C:V,3,0),"")</f>
        <v/>
      </c>
      <c r="F410" s="211" t="str">
        <f>IFERROR(VLOOKUP($C410,'PORTIFÓLIO'!C:V,4,0),"")</f>
        <v/>
      </c>
      <c r="G410" s="215" t="str">
        <f>IFERROR(VLOOKUP($C410,'PORTIFÓLIO'!C:V,5,0),"")</f>
        <v/>
      </c>
      <c r="H410" s="254" t="str">
        <f t="array" ref="H410">IFERROR(INDEX('PORTIFÓLIO'!$H$4:$H$433,MATCH($C410,'PORTIFÓLIO'!$C$4:$C$433,0)),"")</f>
        <v/>
      </c>
      <c r="I410" s="255"/>
      <c r="J410" s="218">
        <f t="shared" ref="J410:J426" si="47">I410*$B$2</f>
        <v>0</v>
      </c>
      <c r="K410" s="292" t="str">
        <f t="array" ref="K410">IFERROR(I410*INDEX('PORTIFÓLIO'!$S$4:$S$433,MATCH($C410,'PORTIFÓLIO'!$C$4:$C$433,0)),"")</f>
        <v/>
      </c>
      <c r="L410" s="292" t="str">
        <f t="array" ref="L410">IFERROR(J410*INDEX('PORTIFÓLIO'!$S$4:$S$433,MATCH($C410,'PORTIFÓLIO'!$C$4:$C$433,0)),"")</f>
        <v/>
      </c>
      <c r="M410" s="220"/>
      <c r="N410" s="220"/>
      <c r="O410" s="220"/>
      <c r="P410" s="220"/>
      <c r="Q410" s="220"/>
      <c r="R410" s="220"/>
      <c r="S410" s="220"/>
      <c r="T410" s="220"/>
      <c r="U410" s="220"/>
      <c r="V410" s="220"/>
      <c r="W410" s="220"/>
    </row>
    <row r="411" ht="15.75" customHeight="1" outlineLevel="1">
      <c r="A411" s="211"/>
      <c r="B411" s="212"/>
      <c r="C411" s="213"/>
      <c r="D411" s="214" t="str">
        <f>IFERROR(VLOOKUP($C411,'PORTIFÓLIO'!C:V,2,0),"")</f>
        <v/>
      </c>
      <c r="E411" s="211" t="str">
        <f>IFERROR(VLOOKUP($C411,'PORTIFÓLIO'!C:V,3,0),"")</f>
        <v/>
      </c>
      <c r="F411" s="211" t="str">
        <f>IFERROR(VLOOKUP($C411,'PORTIFÓLIO'!C:V,4,0),"")</f>
        <v/>
      </c>
      <c r="G411" s="215" t="str">
        <f>IFERROR(VLOOKUP($C411,'PORTIFÓLIO'!C:V,5,0),"")</f>
        <v/>
      </c>
      <c r="H411" s="254" t="str">
        <f t="array" ref="H411">IFERROR(INDEX('PORTIFÓLIO'!$H$4:$H$433,MATCH($C411,'PORTIFÓLIO'!$C$4:$C$433,0)),"")</f>
        <v/>
      </c>
      <c r="I411" s="256"/>
      <c r="J411" s="218">
        <f t="shared" si="47"/>
        <v>0</v>
      </c>
      <c r="K411" s="292" t="str">
        <f t="array" ref="K411">IFERROR(I411*INDEX('PORTIFÓLIO'!$S$4:$S$433,MATCH($C411,'PORTIFÓLIO'!$C$4:$C$433,0)),"")</f>
        <v/>
      </c>
      <c r="L411" s="292" t="str">
        <f t="array" ref="L411">IFERROR(J411*INDEX('PORTIFÓLIO'!$S$4:$S$433,MATCH($C411,'PORTIFÓLIO'!$C$4:$C$433,0)),"")</f>
        <v/>
      </c>
      <c r="M411" s="220"/>
      <c r="N411" s="220"/>
      <c r="O411" s="220"/>
      <c r="P411" s="220"/>
      <c r="Q411" s="220"/>
      <c r="R411" s="220"/>
      <c r="S411" s="220"/>
      <c r="T411" s="220"/>
      <c r="U411" s="220"/>
      <c r="V411" s="220"/>
      <c r="W411" s="220"/>
    </row>
    <row r="412" ht="15.75" customHeight="1" outlineLevel="1">
      <c r="A412" s="211"/>
      <c r="B412" s="212"/>
      <c r="C412" s="213"/>
      <c r="D412" s="214" t="str">
        <f>IFERROR(VLOOKUP($C412,'PORTIFÓLIO'!C:V,2,0),"")</f>
        <v/>
      </c>
      <c r="E412" s="211" t="str">
        <f>IFERROR(VLOOKUP($C412,'PORTIFÓLIO'!C:V,3,0),"")</f>
        <v/>
      </c>
      <c r="F412" s="211" t="str">
        <f>IFERROR(VLOOKUP($C412,'PORTIFÓLIO'!C:V,4,0),"")</f>
        <v/>
      </c>
      <c r="G412" s="215" t="str">
        <f>IFERROR(VLOOKUP($C412,'PORTIFÓLIO'!C:V,5,0),"")</f>
        <v/>
      </c>
      <c r="H412" s="254" t="str">
        <f t="array" ref="H412">IFERROR(INDEX('PORTIFÓLIO'!$H$4:$H$433,MATCH($C412,'PORTIFÓLIO'!$C$4:$C$433,0)),"")</f>
        <v/>
      </c>
      <c r="I412" s="256"/>
      <c r="J412" s="218">
        <f t="shared" si="47"/>
        <v>0</v>
      </c>
      <c r="K412" s="292" t="str">
        <f t="array" ref="K412">IFERROR(I412*INDEX('PORTIFÓLIO'!$S$4:$S$433,MATCH($C412,'PORTIFÓLIO'!$C$4:$C$433,0)),"")</f>
        <v/>
      </c>
      <c r="L412" s="292" t="str">
        <f t="array" ref="L412">IFERROR(J412*INDEX('PORTIFÓLIO'!$S$4:$S$433,MATCH($C412,'PORTIFÓLIO'!$C$4:$C$433,0)),"")</f>
        <v/>
      </c>
      <c r="M412" s="220"/>
      <c r="N412" s="220"/>
      <c r="O412" s="220"/>
      <c r="P412" s="220"/>
      <c r="Q412" s="220"/>
      <c r="R412" s="220"/>
      <c r="S412" s="220"/>
      <c r="T412" s="220"/>
      <c r="U412" s="220"/>
      <c r="V412" s="220"/>
      <c r="W412" s="220"/>
    </row>
    <row r="413" ht="15.75" customHeight="1" outlineLevel="1">
      <c r="A413" s="211"/>
      <c r="B413" s="212"/>
      <c r="C413" s="213"/>
      <c r="D413" s="214" t="str">
        <f>IFERROR(VLOOKUP($C413,'PORTIFÓLIO'!C:V,2,0),"")</f>
        <v/>
      </c>
      <c r="E413" s="211" t="str">
        <f>IFERROR(VLOOKUP($C413,'PORTIFÓLIO'!C:V,3,0),"")</f>
        <v/>
      </c>
      <c r="F413" s="211" t="str">
        <f>IFERROR(VLOOKUP($C413,'PORTIFÓLIO'!C:V,4,0),"")</f>
        <v/>
      </c>
      <c r="G413" s="215" t="str">
        <f>IFERROR(VLOOKUP($C413,'PORTIFÓLIO'!C:V,5,0),"")</f>
        <v/>
      </c>
      <c r="H413" s="254" t="str">
        <f t="array" ref="H413">IFERROR(INDEX('PORTIFÓLIO'!$H$4:$H$433,MATCH($C413,'PORTIFÓLIO'!$C$4:$C$433,0)),"")</f>
        <v/>
      </c>
      <c r="I413" s="256"/>
      <c r="J413" s="218">
        <f t="shared" si="47"/>
        <v>0</v>
      </c>
      <c r="K413" s="292" t="str">
        <f t="array" ref="K413">IFERROR(I413*INDEX('PORTIFÓLIO'!$S$4:$S$433,MATCH($C413,'PORTIFÓLIO'!$C$4:$C$433,0)),"")</f>
        <v/>
      </c>
      <c r="L413" s="292" t="str">
        <f t="array" ref="L413">IFERROR(J413*INDEX('PORTIFÓLIO'!$S$4:$S$433,MATCH($C413,'PORTIFÓLIO'!$C$4:$C$433,0)),"")</f>
        <v/>
      </c>
      <c r="M413" s="220"/>
      <c r="N413" s="220"/>
      <c r="O413" s="220"/>
      <c r="P413" s="220"/>
      <c r="Q413" s="220"/>
      <c r="R413" s="220"/>
      <c r="S413" s="220"/>
      <c r="T413" s="220"/>
      <c r="U413" s="220"/>
      <c r="V413" s="220"/>
      <c r="W413" s="220"/>
    </row>
    <row r="414" ht="15.75" customHeight="1" outlineLevel="1">
      <c r="A414" s="211"/>
      <c r="B414" s="212"/>
      <c r="C414" s="213"/>
      <c r="D414" s="214" t="str">
        <f>IFERROR(VLOOKUP($C414,'PORTIFÓLIO'!C:V,2,0),"")</f>
        <v/>
      </c>
      <c r="E414" s="211" t="str">
        <f>IFERROR(VLOOKUP($C414,'PORTIFÓLIO'!C:V,3,0),"")</f>
        <v/>
      </c>
      <c r="F414" s="211" t="str">
        <f>IFERROR(VLOOKUP($C414,'PORTIFÓLIO'!C:V,4,0),"")</f>
        <v/>
      </c>
      <c r="G414" s="215" t="str">
        <f>IFERROR(VLOOKUP($C414,'PORTIFÓLIO'!C:V,5,0),"")</f>
        <v/>
      </c>
      <c r="H414" s="254" t="str">
        <f t="array" ref="H414">IFERROR(INDEX('PORTIFÓLIO'!$H$4:$H$433,MATCH($C414,'PORTIFÓLIO'!$C$4:$C$433,0)),"")</f>
        <v/>
      </c>
      <c r="I414" s="256"/>
      <c r="J414" s="218">
        <f t="shared" si="47"/>
        <v>0</v>
      </c>
      <c r="K414" s="292" t="str">
        <f t="array" ref="K414">IFERROR(I414*INDEX('PORTIFÓLIO'!$S$4:$S$433,MATCH($C414,'PORTIFÓLIO'!$C$4:$C$433,0)),"")</f>
        <v/>
      </c>
      <c r="L414" s="292" t="str">
        <f t="array" ref="L414">IFERROR(J414*INDEX('PORTIFÓLIO'!$S$4:$S$433,MATCH($C414,'PORTIFÓLIO'!$C$4:$C$433,0)),"")</f>
        <v/>
      </c>
      <c r="M414" s="220"/>
      <c r="N414" s="220"/>
      <c r="O414" s="220"/>
      <c r="P414" s="220"/>
      <c r="Q414" s="220"/>
      <c r="R414" s="220"/>
      <c r="S414" s="220"/>
      <c r="T414" s="220"/>
      <c r="U414" s="220"/>
      <c r="V414" s="220"/>
      <c r="W414" s="220"/>
    </row>
    <row r="415" ht="15.75" customHeight="1" outlineLevel="1">
      <c r="A415" s="211"/>
      <c r="B415" s="212"/>
      <c r="C415" s="213"/>
      <c r="D415" s="214" t="str">
        <f>IFERROR(VLOOKUP($C415,'PORTIFÓLIO'!C:V,2,0),"")</f>
        <v/>
      </c>
      <c r="E415" s="211" t="str">
        <f>IFERROR(VLOOKUP($C415,'PORTIFÓLIO'!C:V,3,0),"")</f>
        <v/>
      </c>
      <c r="F415" s="211" t="str">
        <f>IFERROR(VLOOKUP($C415,'PORTIFÓLIO'!C:V,4,0),"")</f>
        <v/>
      </c>
      <c r="G415" s="215" t="str">
        <f>IFERROR(VLOOKUP($C415,'PORTIFÓLIO'!C:V,5,0),"")</f>
        <v/>
      </c>
      <c r="H415" s="254" t="str">
        <f t="array" ref="H415">IFERROR(INDEX('PORTIFÓLIO'!$H$4:$H$433,MATCH($C415,'PORTIFÓLIO'!$C$4:$C$433,0)),"")</f>
        <v/>
      </c>
      <c r="I415" s="256"/>
      <c r="J415" s="218">
        <f t="shared" si="47"/>
        <v>0</v>
      </c>
      <c r="K415" s="292" t="str">
        <f t="array" ref="K415">IFERROR(I415*INDEX('PORTIFÓLIO'!$S$4:$S$433,MATCH($C415,'PORTIFÓLIO'!$C$4:$C$433,0)),"")</f>
        <v/>
      </c>
      <c r="L415" s="292" t="str">
        <f t="array" ref="L415">IFERROR(J415*INDEX('PORTIFÓLIO'!$S$4:$S$433,MATCH($C415,'PORTIFÓLIO'!$C$4:$C$433,0)),"")</f>
        <v/>
      </c>
      <c r="M415" s="220"/>
      <c r="N415" s="220"/>
      <c r="O415" s="220"/>
      <c r="P415" s="220"/>
      <c r="Q415" s="220"/>
      <c r="R415" s="220"/>
      <c r="S415" s="220"/>
      <c r="T415" s="220"/>
      <c r="U415" s="220"/>
      <c r="V415" s="220"/>
      <c r="W415" s="220"/>
    </row>
    <row r="416" ht="15.75" customHeight="1" outlineLevel="1">
      <c r="A416" s="211"/>
      <c r="B416" s="212"/>
      <c r="C416" s="213"/>
      <c r="D416" s="214" t="str">
        <f>IFERROR(VLOOKUP($C416,'PORTIFÓLIO'!C:V,2,0),"")</f>
        <v/>
      </c>
      <c r="E416" s="211" t="str">
        <f>IFERROR(VLOOKUP($C416,'PORTIFÓLIO'!C:V,3,0),"")</f>
        <v/>
      </c>
      <c r="F416" s="211" t="str">
        <f>IFERROR(VLOOKUP($C416,'PORTIFÓLIO'!C:V,4,0),"")</f>
        <v/>
      </c>
      <c r="G416" s="215" t="str">
        <f>IFERROR(VLOOKUP($C416,'PORTIFÓLIO'!C:V,5,0),"")</f>
        <v/>
      </c>
      <c r="H416" s="254" t="str">
        <f t="array" ref="H416">IFERROR(INDEX('PORTIFÓLIO'!$H$4:$H$433,MATCH($C416,'PORTIFÓLIO'!$C$4:$C$433,0)),"")</f>
        <v/>
      </c>
      <c r="I416" s="256"/>
      <c r="J416" s="218">
        <f t="shared" si="47"/>
        <v>0</v>
      </c>
      <c r="K416" s="292" t="str">
        <f t="array" ref="K416">IFERROR(I416*INDEX('PORTIFÓLIO'!$S$4:$S$433,MATCH($C416,'PORTIFÓLIO'!$C$4:$C$433,0)),"")</f>
        <v/>
      </c>
      <c r="L416" s="292" t="str">
        <f t="array" ref="L416">IFERROR(J416*INDEX('PORTIFÓLIO'!$S$4:$S$433,MATCH($C416,'PORTIFÓLIO'!$C$4:$C$433,0)),"")</f>
        <v/>
      </c>
      <c r="M416" s="220"/>
      <c r="N416" s="220"/>
      <c r="O416" s="220"/>
      <c r="P416" s="220"/>
      <c r="Q416" s="220"/>
      <c r="R416" s="220"/>
      <c r="S416" s="220"/>
      <c r="T416" s="220"/>
      <c r="U416" s="220"/>
      <c r="V416" s="220"/>
      <c r="W416" s="220"/>
    </row>
    <row r="417" ht="15.75" customHeight="1" outlineLevel="1">
      <c r="A417" s="211"/>
      <c r="B417" s="212"/>
      <c r="C417" s="213"/>
      <c r="D417" s="214" t="str">
        <f>IFERROR(VLOOKUP($C417,'PORTIFÓLIO'!C:V,2,0),"")</f>
        <v/>
      </c>
      <c r="E417" s="211" t="str">
        <f>IFERROR(VLOOKUP($C417,'PORTIFÓLIO'!C:V,3,0),"")</f>
        <v/>
      </c>
      <c r="F417" s="211" t="str">
        <f>IFERROR(VLOOKUP($C417,'PORTIFÓLIO'!C:V,4,0),"")</f>
        <v/>
      </c>
      <c r="G417" s="215" t="str">
        <f>IFERROR(VLOOKUP($C417,'PORTIFÓLIO'!C:V,5,0),"")</f>
        <v/>
      </c>
      <c r="H417" s="254" t="str">
        <f t="array" ref="H417">IFERROR(INDEX('PORTIFÓLIO'!$H$4:$H$433,MATCH($C417,'PORTIFÓLIO'!$C$4:$C$433,0)),"")</f>
        <v/>
      </c>
      <c r="I417" s="256"/>
      <c r="J417" s="218">
        <f t="shared" si="47"/>
        <v>0</v>
      </c>
      <c r="K417" s="292" t="str">
        <f t="array" ref="K417">IFERROR(I417*INDEX('PORTIFÓLIO'!$S$4:$S$433,MATCH($C417,'PORTIFÓLIO'!$C$4:$C$433,0)),"")</f>
        <v/>
      </c>
      <c r="L417" s="292" t="str">
        <f t="array" ref="L417">IFERROR(J417*INDEX('PORTIFÓLIO'!$S$4:$S$433,MATCH($C417,'PORTIFÓLIO'!$C$4:$C$433,0)),"")</f>
        <v/>
      </c>
      <c r="M417" s="220"/>
      <c r="N417" s="220"/>
      <c r="O417" s="220"/>
      <c r="P417" s="220"/>
      <c r="Q417" s="220"/>
      <c r="R417" s="220"/>
      <c r="S417" s="220"/>
      <c r="T417" s="220"/>
      <c r="U417" s="220"/>
      <c r="V417" s="220"/>
      <c r="W417" s="220"/>
    </row>
    <row r="418" ht="15.75" customHeight="1" outlineLevel="1">
      <c r="A418" s="211"/>
      <c r="B418" s="212"/>
      <c r="C418" s="213"/>
      <c r="D418" s="214" t="str">
        <f>IFERROR(VLOOKUP($C418,'PORTIFÓLIO'!C:V,2,0),"")</f>
        <v/>
      </c>
      <c r="E418" s="211" t="str">
        <f>IFERROR(VLOOKUP($C418,'PORTIFÓLIO'!C:V,3,0),"")</f>
        <v/>
      </c>
      <c r="F418" s="211" t="str">
        <f>IFERROR(VLOOKUP($C418,'PORTIFÓLIO'!C:V,4,0),"")</f>
        <v/>
      </c>
      <c r="G418" s="215" t="str">
        <f>IFERROR(VLOOKUP($C418,'PORTIFÓLIO'!C:V,5,0),"")</f>
        <v/>
      </c>
      <c r="H418" s="254" t="str">
        <f t="array" ref="H418">IFERROR(INDEX('PORTIFÓLIO'!$H$4:$H$433,MATCH($C418,'PORTIFÓLIO'!$C$4:$C$433,0)),"")</f>
        <v/>
      </c>
      <c r="I418" s="255"/>
      <c r="J418" s="218">
        <f t="shared" si="47"/>
        <v>0</v>
      </c>
      <c r="K418" s="292" t="str">
        <f t="array" ref="K418">IFERROR(I418*INDEX('PORTIFÓLIO'!$S$4:$S$433,MATCH($C418,'PORTIFÓLIO'!$C$4:$C$433,0)),"")</f>
        <v/>
      </c>
      <c r="L418" s="292" t="str">
        <f t="array" ref="L418">IFERROR(J418*INDEX('PORTIFÓLIO'!$S$4:$S$433,MATCH($C418,'PORTIFÓLIO'!$C$4:$C$433,0)),"")</f>
        <v/>
      </c>
      <c r="M418" s="220"/>
      <c r="N418" s="220"/>
      <c r="O418" s="220"/>
      <c r="P418" s="220"/>
      <c r="Q418" s="220"/>
      <c r="R418" s="220"/>
      <c r="S418" s="220"/>
      <c r="T418" s="220"/>
      <c r="U418" s="220"/>
      <c r="V418" s="220"/>
      <c r="W418" s="220"/>
    </row>
    <row r="419" ht="15.75" customHeight="1" outlineLevel="1">
      <c r="A419" s="211"/>
      <c r="B419" s="212"/>
      <c r="C419" s="213"/>
      <c r="D419" s="214" t="str">
        <f>IFERROR(VLOOKUP($C419,'PORTIFÓLIO'!C:V,2,0),"")</f>
        <v/>
      </c>
      <c r="E419" s="211" t="str">
        <f>IFERROR(VLOOKUP($C419,'PORTIFÓLIO'!C:V,3,0),"")</f>
        <v/>
      </c>
      <c r="F419" s="211" t="str">
        <f>IFERROR(VLOOKUP($C419,'PORTIFÓLIO'!C:V,4,0),"")</f>
        <v/>
      </c>
      <c r="G419" s="215" t="str">
        <f>IFERROR(VLOOKUP($C419,'PORTIFÓLIO'!C:V,5,0),"")</f>
        <v/>
      </c>
      <c r="H419" s="254" t="str">
        <f t="array" ref="H419">IFERROR(INDEX('PORTIFÓLIO'!$H$4:$H$433,MATCH($C419,'PORTIFÓLIO'!$C$4:$C$433,0)),"")</f>
        <v/>
      </c>
      <c r="I419" s="256"/>
      <c r="J419" s="218">
        <f t="shared" si="47"/>
        <v>0</v>
      </c>
      <c r="K419" s="292" t="str">
        <f t="array" ref="K419">IFERROR(I419*INDEX('PORTIFÓLIO'!$S$4:$S$433,MATCH($C419,'PORTIFÓLIO'!$C$4:$C$433,0)),"")</f>
        <v/>
      </c>
      <c r="L419" s="292" t="str">
        <f t="array" ref="L419">IFERROR(J419*INDEX('PORTIFÓLIO'!$S$4:$S$433,MATCH($C419,'PORTIFÓLIO'!$C$4:$C$433,0)),"")</f>
        <v/>
      </c>
      <c r="M419" s="220"/>
      <c r="N419" s="220"/>
      <c r="O419" s="220"/>
      <c r="P419" s="220"/>
      <c r="Q419" s="220"/>
      <c r="R419" s="220"/>
      <c r="S419" s="220"/>
      <c r="T419" s="220"/>
      <c r="U419" s="220"/>
      <c r="V419" s="220"/>
      <c r="W419" s="220"/>
    </row>
    <row r="420" ht="15.75" customHeight="1" outlineLevel="1">
      <c r="A420" s="211"/>
      <c r="B420" s="212"/>
      <c r="C420" s="213"/>
      <c r="D420" s="214" t="str">
        <f>IFERROR(VLOOKUP($C420,'PORTIFÓLIO'!C:V,2,0),"")</f>
        <v/>
      </c>
      <c r="E420" s="211" t="str">
        <f>IFERROR(VLOOKUP($C420,'PORTIFÓLIO'!C:V,3,0),"")</f>
        <v/>
      </c>
      <c r="F420" s="211" t="str">
        <f>IFERROR(VLOOKUP($C420,'PORTIFÓLIO'!C:V,4,0),"")</f>
        <v/>
      </c>
      <c r="G420" s="215" t="str">
        <f>IFERROR(VLOOKUP($C420,'PORTIFÓLIO'!C:V,5,0),"")</f>
        <v/>
      </c>
      <c r="H420" s="254" t="str">
        <f t="array" ref="H420">IFERROR(INDEX('PORTIFÓLIO'!$H$4:$H$433,MATCH($C420,'PORTIFÓLIO'!$C$4:$C$433,0)),"")</f>
        <v/>
      </c>
      <c r="I420" s="256"/>
      <c r="J420" s="218">
        <f t="shared" si="47"/>
        <v>0</v>
      </c>
      <c r="K420" s="292" t="str">
        <f t="array" ref="K420">IFERROR(I420*INDEX('PORTIFÓLIO'!$S$4:$S$433,MATCH($C420,'PORTIFÓLIO'!$C$4:$C$433,0)),"")</f>
        <v/>
      </c>
      <c r="L420" s="292" t="str">
        <f t="array" ref="L420">IFERROR(J420*INDEX('PORTIFÓLIO'!$S$4:$S$433,MATCH($C420,'PORTIFÓLIO'!$C$4:$C$433,0)),"")</f>
        <v/>
      </c>
      <c r="M420" s="220"/>
      <c r="N420" s="220"/>
      <c r="O420" s="220"/>
      <c r="P420" s="220"/>
      <c r="Q420" s="220"/>
      <c r="R420" s="220"/>
      <c r="S420" s="220"/>
      <c r="T420" s="220"/>
      <c r="U420" s="220"/>
      <c r="V420" s="220"/>
      <c r="W420" s="220"/>
    </row>
    <row r="421" ht="15.75" customHeight="1" outlineLevel="1">
      <c r="A421" s="211"/>
      <c r="B421" s="212"/>
      <c r="C421" s="213"/>
      <c r="D421" s="214" t="str">
        <f>IFERROR(VLOOKUP($C421,'PORTIFÓLIO'!C:V,2,0),"")</f>
        <v/>
      </c>
      <c r="E421" s="211" t="str">
        <f>IFERROR(VLOOKUP($C421,'PORTIFÓLIO'!C:V,3,0),"")</f>
        <v/>
      </c>
      <c r="F421" s="211" t="str">
        <f>IFERROR(VLOOKUP($C421,'PORTIFÓLIO'!C:V,4,0),"")</f>
        <v/>
      </c>
      <c r="G421" s="215" t="str">
        <f>IFERROR(VLOOKUP($C421,'PORTIFÓLIO'!C:V,5,0),"")</f>
        <v/>
      </c>
      <c r="H421" s="254" t="str">
        <f t="array" ref="H421">IFERROR(INDEX('PORTIFÓLIO'!$H$4:$H$433,MATCH($C421,'PORTIFÓLIO'!$C$4:$C$433,0)),"")</f>
        <v/>
      </c>
      <c r="I421" s="256"/>
      <c r="J421" s="218">
        <f t="shared" si="47"/>
        <v>0</v>
      </c>
      <c r="K421" s="292" t="str">
        <f t="array" ref="K421">IFERROR(I421*INDEX('PORTIFÓLIO'!$S$4:$S$433,MATCH($C421,'PORTIFÓLIO'!$C$4:$C$433,0)),"")</f>
        <v/>
      </c>
      <c r="L421" s="292" t="str">
        <f t="array" ref="L421">IFERROR(J421*INDEX('PORTIFÓLIO'!$S$4:$S$433,MATCH($C421,'PORTIFÓLIO'!$C$4:$C$433,0)),"")</f>
        <v/>
      </c>
      <c r="M421" s="220"/>
      <c r="N421" s="220"/>
      <c r="O421" s="220"/>
      <c r="P421" s="220"/>
      <c r="Q421" s="220"/>
      <c r="R421" s="220"/>
      <c r="S421" s="220"/>
      <c r="T421" s="220"/>
      <c r="U421" s="220"/>
      <c r="V421" s="220"/>
      <c r="W421" s="220"/>
    </row>
    <row r="422" ht="15.75" customHeight="1" outlineLevel="1">
      <c r="A422" s="211"/>
      <c r="B422" s="212"/>
      <c r="C422" s="213"/>
      <c r="D422" s="214" t="str">
        <f>IFERROR(VLOOKUP($C422,'PORTIFÓLIO'!C:V,2,0),"")</f>
        <v/>
      </c>
      <c r="E422" s="211" t="str">
        <f>IFERROR(VLOOKUP($C422,'PORTIFÓLIO'!C:V,3,0),"")</f>
        <v/>
      </c>
      <c r="F422" s="211" t="str">
        <f>IFERROR(VLOOKUP($C422,'PORTIFÓLIO'!C:V,4,0),"")</f>
        <v/>
      </c>
      <c r="G422" s="215" t="str">
        <f>IFERROR(VLOOKUP($C422,'PORTIFÓLIO'!C:V,5,0),"")</f>
        <v/>
      </c>
      <c r="H422" s="254" t="str">
        <f t="array" ref="H422">IFERROR(INDEX('PORTIFÓLIO'!$H$4:$H$433,MATCH($C422,'PORTIFÓLIO'!$C$4:$C$433,0)),"")</f>
        <v/>
      </c>
      <c r="I422" s="256"/>
      <c r="J422" s="218">
        <f t="shared" si="47"/>
        <v>0</v>
      </c>
      <c r="K422" s="292" t="str">
        <f t="array" ref="K422">IFERROR(I422*INDEX('PORTIFÓLIO'!$S$4:$S$433,MATCH($C422,'PORTIFÓLIO'!$C$4:$C$433,0)),"")</f>
        <v/>
      </c>
      <c r="L422" s="292" t="str">
        <f t="array" ref="L422">IFERROR(J422*INDEX('PORTIFÓLIO'!$S$4:$S$433,MATCH($C422,'PORTIFÓLIO'!$C$4:$C$433,0)),"")</f>
        <v/>
      </c>
      <c r="M422" s="220"/>
      <c r="N422" s="220"/>
      <c r="O422" s="220"/>
      <c r="P422" s="220"/>
      <c r="Q422" s="220"/>
      <c r="R422" s="220"/>
      <c r="S422" s="220"/>
      <c r="T422" s="220"/>
      <c r="U422" s="220"/>
      <c r="V422" s="220"/>
      <c r="W422" s="220"/>
    </row>
    <row r="423" ht="15.75" customHeight="1" outlineLevel="1">
      <c r="A423" s="211"/>
      <c r="B423" s="212"/>
      <c r="C423" s="213"/>
      <c r="D423" s="214" t="str">
        <f>IFERROR(VLOOKUP($C423,'PORTIFÓLIO'!C:V,2,0),"")</f>
        <v/>
      </c>
      <c r="E423" s="211" t="str">
        <f>IFERROR(VLOOKUP($C423,'PORTIFÓLIO'!C:V,3,0),"")</f>
        <v/>
      </c>
      <c r="F423" s="211" t="str">
        <f>IFERROR(VLOOKUP($C423,'PORTIFÓLIO'!C:V,4,0),"")</f>
        <v/>
      </c>
      <c r="G423" s="215" t="str">
        <f>IFERROR(VLOOKUP($C423,'PORTIFÓLIO'!C:V,5,0),"")</f>
        <v/>
      </c>
      <c r="H423" s="254" t="str">
        <f t="array" ref="H423">IFERROR(INDEX('PORTIFÓLIO'!$H$4:$H$433,MATCH($C423,'PORTIFÓLIO'!$C$4:$C$433,0)),"")</f>
        <v/>
      </c>
      <c r="I423" s="256"/>
      <c r="J423" s="218">
        <f t="shared" si="47"/>
        <v>0</v>
      </c>
      <c r="K423" s="292" t="str">
        <f t="array" ref="K423">IFERROR(I423*INDEX('PORTIFÓLIO'!$S$4:$S$433,MATCH($C423,'PORTIFÓLIO'!$C$4:$C$433,0)),"")</f>
        <v/>
      </c>
      <c r="L423" s="292" t="str">
        <f t="array" ref="L423">IFERROR(J423*INDEX('PORTIFÓLIO'!$S$4:$S$433,MATCH($C423,'PORTIFÓLIO'!$C$4:$C$433,0)),"")</f>
        <v/>
      </c>
      <c r="M423" s="220"/>
      <c r="N423" s="220"/>
      <c r="O423" s="220"/>
      <c r="P423" s="220"/>
      <c r="Q423" s="220"/>
      <c r="R423" s="220"/>
      <c r="S423" s="220"/>
      <c r="T423" s="220"/>
      <c r="U423" s="220"/>
      <c r="V423" s="220"/>
      <c r="W423" s="220"/>
    </row>
    <row r="424" ht="15.75" customHeight="1" outlineLevel="1">
      <c r="A424" s="211"/>
      <c r="B424" s="212"/>
      <c r="C424" s="213"/>
      <c r="D424" s="214" t="str">
        <f>IFERROR(VLOOKUP($C424,'PORTIFÓLIO'!C:V,2,0),"")</f>
        <v/>
      </c>
      <c r="E424" s="211" t="str">
        <f>IFERROR(VLOOKUP($C424,'PORTIFÓLIO'!C:V,3,0),"")</f>
        <v/>
      </c>
      <c r="F424" s="211" t="str">
        <f>IFERROR(VLOOKUP($C424,'PORTIFÓLIO'!C:V,4,0),"")</f>
        <v/>
      </c>
      <c r="G424" s="215" t="str">
        <f>IFERROR(VLOOKUP($C424,'PORTIFÓLIO'!C:V,5,0),"")</f>
        <v/>
      </c>
      <c r="H424" s="254" t="str">
        <f t="array" ref="H424">IFERROR(INDEX('PORTIFÓLIO'!$H$4:$H$433,MATCH($C424,'PORTIFÓLIO'!$C$4:$C$433,0)),"")</f>
        <v/>
      </c>
      <c r="I424" s="256"/>
      <c r="J424" s="218">
        <f t="shared" si="47"/>
        <v>0</v>
      </c>
      <c r="K424" s="292" t="str">
        <f t="array" ref="K424">IFERROR(I424*INDEX('PORTIFÓLIO'!$S$4:$S$433,MATCH($C424,'PORTIFÓLIO'!$C$4:$C$433,0)),"")</f>
        <v/>
      </c>
      <c r="L424" s="292" t="str">
        <f t="array" ref="L424">IFERROR(J424*INDEX('PORTIFÓLIO'!$S$4:$S$433,MATCH($C424,'PORTIFÓLIO'!$C$4:$C$433,0)),"")</f>
        <v/>
      </c>
      <c r="M424" s="220"/>
      <c r="N424" s="220"/>
      <c r="O424" s="220"/>
      <c r="P424" s="220"/>
      <c r="Q424" s="220"/>
      <c r="R424" s="220"/>
      <c r="S424" s="220"/>
      <c r="T424" s="220"/>
      <c r="U424" s="220"/>
      <c r="V424" s="220"/>
      <c r="W424" s="220"/>
    </row>
    <row r="425" ht="15.75" customHeight="1" outlineLevel="1">
      <c r="A425" s="211"/>
      <c r="B425" s="227"/>
      <c r="C425" s="211"/>
      <c r="D425" s="214" t="str">
        <f>IFERROR(VLOOKUP($C425,'PORTIFÓLIO'!C:V,2,0),"")</f>
        <v/>
      </c>
      <c r="E425" s="211" t="str">
        <f>IFERROR(VLOOKUP($C425,'PORTIFÓLIO'!C:V,3,0),"")</f>
        <v/>
      </c>
      <c r="F425" s="211" t="str">
        <f>IFERROR(VLOOKUP($C425,'PORTIFÓLIO'!C:V,4,0),"")</f>
        <v/>
      </c>
      <c r="G425" s="215" t="str">
        <f>IFERROR(VLOOKUP($C425,'PORTIFÓLIO'!C:V,5,0),"")</f>
        <v/>
      </c>
      <c r="H425" s="254" t="str">
        <f t="array" ref="H425">IFERROR(INDEX('PORTIFÓLIO'!$H$4:$H$433,MATCH($C425,'PORTIFÓLIO'!$C$4:$C$433,0)),"")</f>
        <v/>
      </c>
      <c r="I425" s="256"/>
      <c r="J425" s="218">
        <f t="shared" si="47"/>
        <v>0</v>
      </c>
      <c r="K425" s="292" t="str">
        <f t="array" ref="K425">IFERROR(I425*INDEX('PORTIFÓLIO'!$S$4:$S$433,MATCH($C425,'PORTIFÓLIO'!$C$4:$C$433,0)),"")</f>
        <v/>
      </c>
      <c r="L425" s="292" t="str">
        <f t="array" ref="L425">IFERROR(J425*INDEX('PORTIFÓLIO'!$S$4:$S$433,MATCH($C425,'PORTIFÓLIO'!$C$4:$C$433,0)),"")</f>
        <v/>
      </c>
      <c r="M425" s="220"/>
      <c r="N425" s="220"/>
      <c r="O425" s="220"/>
      <c r="P425" s="220"/>
      <c r="Q425" s="220"/>
      <c r="R425" s="220"/>
      <c r="S425" s="220"/>
      <c r="T425" s="220"/>
      <c r="U425" s="220"/>
      <c r="V425" s="220"/>
      <c r="W425" s="220"/>
    </row>
    <row r="426" ht="15.75" customHeight="1" outlineLevel="1">
      <c r="A426" s="211"/>
      <c r="B426" s="227"/>
      <c r="C426" s="211"/>
      <c r="D426" s="214" t="str">
        <f>IFERROR(VLOOKUP($C426,'PORTIFÓLIO'!C:V,2,0),"")</f>
        <v/>
      </c>
      <c r="E426" s="211" t="str">
        <f>IFERROR(VLOOKUP($C426,'PORTIFÓLIO'!C:V,3,0),"")</f>
        <v/>
      </c>
      <c r="F426" s="211" t="str">
        <f>IFERROR(VLOOKUP($C426,'PORTIFÓLIO'!C:V,4,0),"")</f>
        <v/>
      </c>
      <c r="G426" s="215" t="str">
        <f>IFERROR(VLOOKUP($C426,'PORTIFÓLIO'!C:V,5,0),"")</f>
        <v/>
      </c>
      <c r="H426" s="254" t="str">
        <f t="array" ref="H426">IFERROR(INDEX('PORTIFÓLIO'!$H$4:$H$433,MATCH($C426,'PORTIFÓLIO'!$C$4:$C$433,0)),"")</f>
        <v/>
      </c>
      <c r="I426" s="256"/>
      <c r="J426" s="218">
        <f t="shared" si="47"/>
        <v>0</v>
      </c>
      <c r="K426" s="292" t="str">
        <f t="array" ref="K426">IFERROR(I426*INDEX('PORTIFÓLIO'!$S$4:$S$433,MATCH($C426,'PORTIFÓLIO'!$C$4:$C$433,0)),"")</f>
        <v/>
      </c>
      <c r="L426" s="292" t="str">
        <f t="array" ref="L426">IFERROR(J426*INDEX('PORTIFÓLIO'!$S$4:$S$433,MATCH($C426,'PORTIFÓLIO'!$C$4:$C$433,0)),"")</f>
        <v/>
      </c>
      <c r="U426" s="79"/>
    </row>
    <row r="427" ht="15.75" customHeight="1">
      <c r="A427" s="229" t="s">
        <v>1202</v>
      </c>
      <c r="B427" s="230"/>
      <c r="C427" s="231"/>
      <c r="D427" s="232"/>
      <c r="E427" s="231"/>
      <c r="F427" s="231"/>
      <c r="G427" s="233"/>
      <c r="H427" s="233"/>
      <c r="I427" s="258"/>
      <c r="J427" s="236"/>
      <c r="K427" s="237">
        <f t="shared" ref="K427:L427" si="48">SUBTOTAL(9,K428:K441)</f>
        <v>0</v>
      </c>
      <c r="L427" s="237">
        <f t="shared" si="48"/>
        <v>0</v>
      </c>
      <c r="U427" s="79"/>
    </row>
    <row r="428" ht="15.75" customHeight="1" outlineLevel="1">
      <c r="A428" s="213"/>
      <c r="B428" s="212"/>
      <c r="C428" s="213"/>
      <c r="D428" s="214" t="str">
        <f>IFERROR(VLOOKUP($C428,'PORTIFÓLIO'!C:V,2,0),"")</f>
        <v/>
      </c>
      <c r="E428" s="211" t="str">
        <f>IFERROR(VLOOKUP($C428,'PORTIFÓLIO'!C:V,3,0),"")</f>
        <v/>
      </c>
      <c r="F428" s="211" t="str">
        <f>IFERROR(VLOOKUP($C428,'PORTIFÓLIO'!C:V,4,0),"")</f>
        <v/>
      </c>
      <c r="G428" s="215" t="str">
        <f>IFERROR(VLOOKUP($C428,'PORTIFÓLIO'!C:V,5,0),"")</f>
        <v/>
      </c>
      <c r="H428" s="254" t="str">
        <f t="array" ref="H428">IFERROR(INDEX('PORTIFÓLIO'!$H$4:$H$433,MATCH($C428,'PORTIFÓLIO'!$C$4:$C$433,0)),"")</f>
        <v/>
      </c>
      <c r="I428" s="256"/>
      <c r="J428" s="218">
        <f t="shared" ref="J428:J451" si="49">I428*$B$2</f>
        <v>0</v>
      </c>
      <c r="K428" s="292" t="str">
        <f t="array" ref="K428">IFERROR(I428*INDEX('PORTIFÓLIO'!$S$4:$S$433,MATCH($C428,'PORTIFÓLIO'!$C$4:$C$433,0)),"")</f>
        <v/>
      </c>
      <c r="L428" s="292" t="str">
        <f t="array" ref="L428">IFERROR(J428*INDEX('PORTIFÓLIO'!$S$4:$S$433,MATCH($C428,'PORTIFÓLIO'!$C$4:$C$433,0)),"")</f>
        <v/>
      </c>
      <c r="U428" s="79"/>
    </row>
    <row r="429" ht="15.75" customHeight="1" outlineLevel="1">
      <c r="A429" s="211"/>
      <c r="B429" s="212"/>
      <c r="C429" s="213"/>
      <c r="D429" s="214" t="str">
        <f>IFERROR(VLOOKUP($C429,'PORTIFÓLIO'!C:V,2,0),"")</f>
        <v/>
      </c>
      <c r="E429" s="211" t="str">
        <f>IFERROR(VLOOKUP($C429,'PORTIFÓLIO'!C:V,3,0),"")</f>
        <v/>
      </c>
      <c r="F429" s="211" t="str">
        <f>IFERROR(VLOOKUP($C429,'PORTIFÓLIO'!C:V,4,0),"")</f>
        <v/>
      </c>
      <c r="G429" s="215" t="str">
        <f>IFERROR(VLOOKUP($C429,'PORTIFÓLIO'!C:V,5,0),"")</f>
        <v/>
      </c>
      <c r="H429" s="254" t="str">
        <f t="array" ref="H429">IFERROR(INDEX('PORTIFÓLIO'!$H$4:$H$433,MATCH($C429,'PORTIFÓLIO'!$C$4:$C$433,0)),"")</f>
        <v/>
      </c>
      <c r="I429" s="256"/>
      <c r="J429" s="218">
        <f t="shared" si="49"/>
        <v>0</v>
      </c>
      <c r="K429" s="292" t="str">
        <f t="array" ref="K429">IFERROR(I429*INDEX('PORTIFÓLIO'!$S$4:$S$433,MATCH($C429,'PORTIFÓLIO'!$C$4:$C$433,0)),"")</f>
        <v/>
      </c>
      <c r="L429" s="292" t="str">
        <f t="array" ref="L429">IFERROR(J429*INDEX('PORTIFÓLIO'!$S$4:$S$433,MATCH($C429,'PORTIFÓLIO'!$C$4:$C$433,0)),"")</f>
        <v/>
      </c>
      <c r="U429" s="79"/>
    </row>
    <row r="430" ht="15.75" customHeight="1" outlineLevel="1">
      <c r="A430" s="211"/>
      <c r="B430" s="212"/>
      <c r="C430" s="213"/>
      <c r="D430" s="214" t="str">
        <f>IFERROR(VLOOKUP($C430,'PORTIFÓLIO'!C:V,2,0),"")</f>
        <v/>
      </c>
      <c r="E430" s="211" t="str">
        <f>IFERROR(VLOOKUP($C430,'PORTIFÓLIO'!C:V,3,0),"")</f>
        <v/>
      </c>
      <c r="F430" s="211" t="str">
        <f>IFERROR(VLOOKUP($C430,'PORTIFÓLIO'!C:V,4,0),"")</f>
        <v/>
      </c>
      <c r="G430" s="215" t="str">
        <f>IFERROR(VLOOKUP($C430,'PORTIFÓLIO'!C:V,5,0),"")</f>
        <v/>
      </c>
      <c r="H430" s="254" t="str">
        <f t="array" ref="H430">IFERROR(INDEX('PORTIFÓLIO'!$H$4:$H$433,MATCH($C430,'PORTIFÓLIO'!$C$4:$C$433,0)),"")</f>
        <v/>
      </c>
      <c r="I430" s="256"/>
      <c r="J430" s="218">
        <f t="shared" si="49"/>
        <v>0</v>
      </c>
      <c r="K430" s="292" t="str">
        <f t="array" ref="K430">IFERROR(I430*INDEX('PORTIFÓLIO'!$S$4:$S$433,MATCH($C430,'PORTIFÓLIO'!$C$4:$C$433,0)),"")</f>
        <v/>
      </c>
      <c r="L430" s="292" t="str">
        <f t="array" ref="L430">IFERROR(J430*INDEX('PORTIFÓLIO'!$S$4:$S$433,MATCH($C430,'PORTIFÓLIO'!$C$4:$C$433,0)),"")</f>
        <v/>
      </c>
      <c r="U430" s="79"/>
    </row>
    <row r="431" ht="15.75" customHeight="1" outlineLevel="1">
      <c r="A431" s="211"/>
      <c r="B431" s="212"/>
      <c r="C431" s="213"/>
      <c r="D431" s="214" t="str">
        <f>IFERROR(VLOOKUP($C431,'PORTIFÓLIO'!C:V,2,0),"")</f>
        <v/>
      </c>
      <c r="E431" s="211" t="str">
        <f>IFERROR(VLOOKUP($C431,'PORTIFÓLIO'!C:V,3,0),"")</f>
        <v/>
      </c>
      <c r="F431" s="211" t="str">
        <f>IFERROR(VLOOKUP($C431,'PORTIFÓLIO'!C:V,4,0),"")</f>
        <v/>
      </c>
      <c r="G431" s="215" t="str">
        <f>IFERROR(VLOOKUP($C431,'PORTIFÓLIO'!C:V,5,0),"")</f>
        <v/>
      </c>
      <c r="H431" s="254" t="str">
        <f t="array" ref="H431">IFERROR(INDEX('PORTIFÓLIO'!$H$4:$H$433,MATCH($C431,'PORTIFÓLIO'!$C$4:$C$433,0)),"")</f>
        <v/>
      </c>
      <c r="I431" s="256"/>
      <c r="J431" s="218">
        <f t="shared" si="49"/>
        <v>0</v>
      </c>
      <c r="K431" s="292" t="str">
        <f t="array" ref="K431">IFERROR(I431*INDEX('PORTIFÓLIO'!$S$4:$S$433,MATCH($C431,'PORTIFÓLIO'!$C$4:$C$433,0)),"")</f>
        <v/>
      </c>
      <c r="L431" s="292" t="str">
        <f t="array" ref="L431">IFERROR(J431*INDEX('PORTIFÓLIO'!$S$4:$S$433,MATCH($C431,'PORTIFÓLIO'!$C$4:$C$433,0)),"")</f>
        <v/>
      </c>
      <c r="U431" s="79"/>
    </row>
    <row r="432" ht="15.75" customHeight="1" outlineLevel="1">
      <c r="A432" s="211"/>
      <c r="B432" s="212"/>
      <c r="C432" s="213"/>
      <c r="D432" s="214" t="str">
        <f>IFERROR(VLOOKUP($C432,'PORTIFÓLIO'!C:V,2,0),"")</f>
        <v/>
      </c>
      <c r="E432" s="211" t="str">
        <f>IFERROR(VLOOKUP($C432,'PORTIFÓLIO'!C:V,3,0),"")</f>
        <v/>
      </c>
      <c r="F432" s="211" t="str">
        <f>IFERROR(VLOOKUP($C432,'PORTIFÓLIO'!C:V,4,0),"")</f>
        <v/>
      </c>
      <c r="G432" s="215" t="str">
        <f>IFERROR(VLOOKUP($C432,'PORTIFÓLIO'!C:V,5,0),"")</f>
        <v/>
      </c>
      <c r="H432" s="254" t="str">
        <f t="array" ref="H432">IFERROR(INDEX('PORTIFÓLIO'!$H$4:$H$433,MATCH($C432,'PORTIFÓLIO'!$C$4:$C$433,0)),"")</f>
        <v/>
      </c>
      <c r="I432" s="256"/>
      <c r="J432" s="218">
        <f t="shared" si="49"/>
        <v>0</v>
      </c>
      <c r="K432" s="292" t="str">
        <f t="array" ref="K432">IFERROR(I432*INDEX('PORTIFÓLIO'!$S$4:$S$433,MATCH($C432,'PORTIFÓLIO'!$C$4:$C$433,0)),"")</f>
        <v/>
      </c>
      <c r="L432" s="292" t="str">
        <f t="array" ref="L432">IFERROR(J432*INDEX('PORTIFÓLIO'!$S$4:$S$433,MATCH($C432,'PORTIFÓLIO'!$C$4:$C$433,0)),"")</f>
        <v/>
      </c>
      <c r="U432" s="79"/>
    </row>
    <row r="433" ht="15.75" customHeight="1" outlineLevel="1">
      <c r="A433" s="211"/>
      <c r="B433" s="212"/>
      <c r="C433" s="213"/>
      <c r="D433" s="214" t="str">
        <f>IFERROR(VLOOKUP($C433,'PORTIFÓLIO'!C:V,2,0),"")</f>
        <v/>
      </c>
      <c r="E433" s="211" t="str">
        <f>IFERROR(VLOOKUP($C433,'PORTIFÓLIO'!C:V,3,0),"")</f>
        <v/>
      </c>
      <c r="F433" s="211" t="str">
        <f>IFERROR(VLOOKUP($C433,'PORTIFÓLIO'!C:V,4,0),"")</f>
        <v/>
      </c>
      <c r="G433" s="215" t="str">
        <f>IFERROR(VLOOKUP($C433,'PORTIFÓLIO'!C:V,5,0),"")</f>
        <v/>
      </c>
      <c r="H433" s="254" t="str">
        <f t="array" ref="H433">IFERROR(INDEX('PORTIFÓLIO'!$H$4:$H$433,MATCH($C433,'PORTIFÓLIO'!$C$4:$C$433,0)),"")</f>
        <v/>
      </c>
      <c r="I433" s="256"/>
      <c r="J433" s="218">
        <f t="shared" si="49"/>
        <v>0</v>
      </c>
      <c r="K433" s="292" t="str">
        <f t="array" ref="K433">IFERROR(I433*INDEX('PORTIFÓLIO'!$S$4:$S$433,MATCH($C433,'PORTIFÓLIO'!$C$4:$C$433,0)),"")</f>
        <v/>
      </c>
      <c r="L433" s="292" t="str">
        <f t="array" ref="L433">IFERROR(J433*INDEX('PORTIFÓLIO'!$S$4:$S$433,MATCH($C433,'PORTIFÓLIO'!$C$4:$C$433,0)),"")</f>
        <v/>
      </c>
      <c r="U433" s="79"/>
    </row>
    <row r="434" ht="15.75" customHeight="1" outlineLevel="1">
      <c r="A434" s="211"/>
      <c r="B434" s="212"/>
      <c r="C434" s="213"/>
      <c r="D434" s="214" t="str">
        <f>IFERROR(VLOOKUP($C434,'PORTIFÓLIO'!C:V,2,0),"")</f>
        <v/>
      </c>
      <c r="E434" s="211" t="str">
        <f>IFERROR(VLOOKUP($C434,'PORTIFÓLIO'!C:V,3,0),"")</f>
        <v/>
      </c>
      <c r="F434" s="211" t="str">
        <f>IFERROR(VLOOKUP($C434,'PORTIFÓLIO'!C:V,4,0),"")</f>
        <v/>
      </c>
      <c r="G434" s="215" t="str">
        <f>IFERROR(VLOOKUP($C434,'PORTIFÓLIO'!C:V,5,0),"")</f>
        <v/>
      </c>
      <c r="H434" s="254" t="str">
        <f t="array" ref="H434">IFERROR(INDEX('PORTIFÓLIO'!$H$4:$H$433,MATCH($C434,'PORTIFÓLIO'!$C$4:$C$433,0)),"")</f>
        <v/>
      </c>
      <c r="I434" s="256"/>
      <c r="J434" s="218">
        <f t="shared" si="49"/>
        <v>0</v>
      </c>
      <c r="K434" s="292" t="str">
        <f t="array" ref="K434">IFERROR(I434*INDEX('PORTIFÓLIO'!$S$4:$S$433,MATCH($C434,'PORTIFÓLIO'!$C$4:$C$433,0)),"")</f>
        <v/>
      </c>
      <c r="L434" s="292" t="str">
        <f t="array" ref="L434">IFERROR(J434*INDEX('PORTIFÓLIO'!$S$4:$S$433,MATCH($C434,'PORTIFÓLIO'!$C$4:$C$433,0)),"")</f>
        <v/>
      </c>
      <c r="U434" s="79"/>
    </row>
    <row r="435" ht="15.75" customHeight="1" outlineLevel="1">
      <c r="A435" s="211"/>
      <c r="B435" s="212"/>
      <c r="C435" s="213"/>
      <c r="D435" s="214" t="str">
        <f>IFERROR(VLOOKUP($C435,'PORTIFÓLIO'!C:V,2,0),"")</f>
        <v/>
      </c>
      <c r="E435" s="211" t="str">
        <f>IFERROR(VLOOKUP($C435,'PORTIFÓLIO'!C:V,3,0),"")</f>
        <v/>
      </c>
      <c r="F435" s="211" t="str">
        <f>IFERROR(VLOOKUP($C435,'PORTIFÓLIO'!C:V,4,0),"")</f>
        <v/>
      </c>
      <c r="G435" s="215" t="str">
        <f>IFERROR(VLOOKUP($C435,'PORTIFÓLIO'!C:V,5,0),"")</f>
        <v/>
      </c>
      <c r="H435" s="254" t="str">
        <f t="array" ref="H435">IFERROR(INDEX('PORTIFÓLIO'!$H$4:$H$433,MATCH($C435,'PORTIFÓLIO'!$C$4:$C$433,0)),"")</f>
        <v/>
      </c>
      <c r="I435" s="256"/>
      <c r="J435" s="218">
        <f t="shared" si="49"/>
        <v>0</v>
      </c>
      <c r="K435" s="292" t="str">
        <f t="array" ref="K435">IFERROR(I435*INDEX('PORTIFÓLIO'!$S$4:$S$433,MATCH($C435,'PORTIFÓLIO'!$C$4:$C$433,0)),"")</f>
        <v/>
      </c>
      <c r="L435" s="292" t="str">
        <f t="array" ref="L435">IFERROR(J435*INDEX('PORTIFÓLIO'!$S$4:$S$433,MATCH($C435,'PORTIFÓLIO'!$C$4:$C$433,0)),"")</f>
        <v/>
      </c>
      <c r="U435" s="79"/>
    </row>
    <row r="436" ht="15.75" customHeight="1" outlineLevel="1">
      <c r="A436" s="211"/>
      <c r="B436" s="212"/>
      <c r="C436" s="213"/>
      <c r="D436" s="214" t="str">
        <f>IFERROR(VLOOKUP($C436,'PORTIFÓLIO'!C:V,2,0),"")</f>
        <v/>
      </c>
      <c r="E436" s="211" t="str">
        <f>IFERROR(VLOOKUP($C436,'PORTIFÓLIO'!C:V,3,0),"")</f>
        <v/>
      </c>
      <c r="F436" s="211" t="str">
        <f>IFERROR(VLOOKUP($C436,'PORTIFÓLIO'!C:V,4,0),"")</f>
        <v/>
      </c>
      <c r="G436" s="215" t="str">
        <f>IFERROR(VLOOKUP($C436,'PORTIFÓLIO'!C:V,5,0),"")</f>
        <v/>
      </c>
      <c r="H436" s="254" t="str">
        <f t="array" ref="H436">IFERROR(INDEX('PORTIFÓLIO'!$H$4:$H$433,MATCH($C436,'PORTIFÓLIO'!$C$4:$C$433,0)),"")</f>
        <v/>
      </c>
      <c r="I436" s="256"/>
      <c r="J436" s="218">
        <f t="shared" si="49"/>
        <v>0</v>
      </c>
      <c r="K436" s="292" t="str">
        <f t="array" ref="K436">IFERROR(I436*INDEX('PORTIFÓLIO'!$S$4:$S$433,MATCH($C436,'PORTIFÓLIO'!$C$4:$C$433,0)),"")</f>
        <v/>
      </c>
      <c r="L436" s="292" t="str">
        <f t="array" ref="L436">IFERROR(J436*INDEX('PORTIFÓLIO'!$S$4:$S$433,MATCH($C436,'PORTIFÓLIO'!$C$4:$C$433,0)),"")</f>
        <v/>
      </c>
      <c r="U436" s="79"/>
    </row>
    <row r="437" ht="15.75" customHeight="1" outlineLevel="1">
      <c r="A437" s="211"/>
      <c r="B437" s="212"/>
      <c r="C437" s="213"/>
      <c r="D437" s="214" t="str">
        <f>IFERROR(VLOOKUP($C437,'PORTIFÓLIO'!C:V,2,0),"")</f>
        <v/>
      </c>
      <c r="E437" s="211" t="str">
        <f>IFERROR(VLOOKUP($C437,'PORTIFÓLIO'!C:V,3,0),"")</f>
        <v/>
      </c>
      <c r="F437" s="211" t="str">
        <f>IFERROR(VLOOKUP($C437,'PORTIFÓLIO'!C:V,4,0),"")</f>
        <v/>
      </c>
      <c r="G437" s="215" t="str">
        <f>IFERROR(VLOOKUP($C437,'PORTIFÓLIO'!C:V,5,0),"")</f>
        <v/>
      </c>
      <c r="H437" s="254" t="str">
        <f t="array" ref="H437">IFERROR(INDEX('PORTIFÓLIO'!$H$4:$H$433,MATCH($C437,'PORTIFÓLIO'!$C$4:$C$433,0)),"")</f>
        <v/>
      </c>
      <c r="I437" s="256"/>
      <c r="J437" s="218">
        <f t="shared" si="49"/>
        <v>0</v>
      </c>
      <c r="K437" s="292" t="str">
        <f t="array" ref="K437">IFERROR(I437*INDEX('PORTIFÓLIO'!$S$4:$S$433,MATCH($C437,'PORTIFÓLIO'!$C$4:$C$433,0)),"")</f>
        <v/>
      </c>
      <c r="L437" s="292" t="str">
        <f t="array" ref="L437">IFERROR(J437*INDEX('PORTIFÓLIO'!$S$4:$S$433,MATCH($C437,'PORTIFÓLIO'!$C$4:$C$433,0)),"")</f>
        <v/>
      </c>
      <c r="U437" s="79"/>
    </row>
    <row r="438" ht="15.75" customHeight="1" outlineLevel="1">
      <c r="A438" s="211"/>
      <c r="B438" s="212"/>
      <c r="C438" s="213"/>
      <c r="D438" s="214" t="str">
        <f>IFERROR(VLOOKUP($C438,'PORTIFÓLIO'!C:V,2,0),"")</f>
        <v/>
      </c>
      <c r="E438" s="211" t="str">
        <f>IFERROR(VLOOKUP($C438,'PORTIFÓLIO'!C:V,3,0),"")</f>
        <v/>
      </c>
      <c r="F438" s="211" t="str">
        <f>IFERROR(VLOOKUP($C438,'PORTIFÓLIO'!C:V,4,0),"")</f>
        <v/>
      </c>
      <c r="G438" s="215" t="str">
        <f>IFERROR(VLOOKUP($C438,'PORTIFÓLIO'!C:V,5,0),"")</f>
        <v/>
      </c>
      <c r="H438" s="254" t="str">
        <f t="array" ref="H438">IFERROR(INDEX('PORTIFÓLIO'!$H$4:$H$433,MATCH($C438,'PORTIFÓLIO'!$C$4:$C$433,0)),"")</f>
        <v/>
      </c>
      <c r="I438" s="256"/>
      <c r="J438" s="218">
        <f t="shared" si="49"/>
        <v>0</v>
      </c>
      <c r="K438" s="292" t="str">
        <f t="array" ref="K438">IFERROR(I438*INDEX('PORTIFÓLIO'!$S$4:$S$433,MATCH($C438,'PORTIFÓLIO'!$C$4:$C$433,0)),"")</f>
        <v/>
      </c>
      <c r="L438" s="292" t="str">
        <f t="array" ref="L438">IFERROR(J438*INDEX('PORTIFÓLIO'!$S$4:$S$433,MATCH($C438,'PORTIFÓLIO'!$C$4:$C$433,0)),"")</f>
        <v/>
      </c>
      <c r="U438" s="79"/>
    </row>
    <row r="439" ht="15.75" customHeight="1" outlineLevel="1">
      <c r="A439" s="211"/>
      <c r="B439" s="212"/>
      <c r="C439" s="213"/>
      <c r="D439" s="214" t="str">
        <f>IFERROR(VLOOKUP($C439,'PORTIFÓLIO'!C:V,2,0),"")</f>
        <v/>
      </c>
      <c r="E439" s="211" t="str">
        <f>IFERROR(VLOOKUP($C439,'PORTIFÓLIO'!C:V,3,0),"")</f>
        <v/>
      </c>
      <c r="F439" s="211" t="str">
        <f>IFERROR(VLOOKUP($C439,'PORTIFÓLIO'!C:V,4,0),"")</f>
        <v/>
      </c>
      <c r="G439" s="215" t="str">
        <f>IFERROR(VLOOKUP($C439,'PORTIFÓLIO'!C:V,5,0),"")</f>
        <v/>
      </c>
      <c r="H439" s="254" t="str">
        <f t="array" ref="H439">IFERROR(INDEX('PORTIFÓLIO'!$H$4:$H$433,MATCH($C439,'PORTIFÓLIO'!$C$4:$C$433,0)),"")</f>
        <v/>
      </c>
      <c r="I439" s="256"/>
      <c r="J439" s="218">
        <f t="shared" si="49"/>
        <v>0</v>
      </c>
      <c r="K439" s="292" t="str">
        <f t="array" ref="K439">IFERROR(I439*INDEX('PORTIFÓLIO'!$S$4:$S$433,MATCH($C439,'PORTIFÓLIO'!$C$4:$C$433,0)),"")</f>
        <v/>
      </c>
      <c r="L439" s="292" t="str">
        <f t="array" ref="L439">IFERROR(J439*INDEX('PORTIFÓLIO'!$S$4:$S$433,MATCH($C439,'PORTIFÓLIO'!$C$4:$C$433,0)),"")</f>
        <v/>
      </c>
      <c r="U439" s="79"/>
    </row>
    <row r="440" ht="15.75" customHeight="1" outlineLevel="1">
      <c r="A440" s="211"/>
      <c r="B440" s="212"/>
      <c r="C440" s="213"/>
      <c r="D440" s="214" t="str">
        <f>IFERROR(VLOOKUP($C440,'PORTIFÓLIO'!C:V,2,0),"")</f>
        <v/>
      </c>
      <c r="E440" s="211" t="str">
        <f>IFERROR(VLOOKUP($C440,'PORTIFÓLIO'!C:V,3,0),"")</f>
        <v/>
      </c>
      <c r="F440" s="211" t="str">
        <f>IFERROR(VLOOKUP($C440,'PORTIFÓLIO'!C:V,4,0),"")</f>
        <v/>
      </c>
      <c r="G440" s="215" t="str">
        <f>IFERROR(VLOOKUP($C440,'PORTIFÓLIO'!C:V,5,0),"")</f>
        <v/>
      </c>
      <c r="H440" s="254" t="str">
        <f t="array" ref="H440">IFERROR(INDEX('PORTIFÓLIO'!$H$4:$H$433,MATCH($C440,'PORTIFÓLIO'!$C$4:$C$433,0)),"")</f>
        <v/>
      </c>
      <c r="I440" s="256"/>
      <c r="J440" s="218">
        <f t="shared" si="49"/>
        <v>0</v>
      </c>
      <c r="K440" s="292" t="str">
        <f t="array" ref="K440">IFERROR(I440*INDEX('PORTIFÓLIO'!$S$4:$S$433,MATCH($C440,'PORTIFÓLIO'!$C$4:$C$433,0)),"")</f>
        <v/>
      </c>
      <c r="L440" s="292" t="str">
        <f t="array" ref="L440">IFERROR(J440*INDEX('PORTIFÓLIO'!$S$4:$S$433,MATCH($C440,'PORTIFÓLIO'!$C$4:$C$433,0)),"")</f>
        <v/>
      </c>
      <c r="U440" s="79"/>
    </row>
    <row r="441" ht="15.75" customHeight="1" outlineLevel="1">
      <c r="A441" s="211"/>
      <c r="B441" s="212"/>
      <c r="C441" s="213"/>
      <c r="D441" s="214" t="str">
        <f>IFERROR(VLOOKUP($C441,'PORTIFÓLIO'!C:V,2,0),"")</f>
        <v/>
      </c>
      <c r="E441" s="211" t="str">
        <f>IFERROR(VLOOKUP($C441,'PORTIFÓLIO'!C:V,3,0),"")</f>
        <v/>
      </c>
      <c r="F441" s="211" t="str">
        <f>IFERROR(VLOOKUP($C441,'PORTIFÓLIO'!C:V,4,0),"")</f>
        <v/>
      </c>
      <c r="G441" s="215" t="str">
        <f>IFERROR(VLOOKUP($C441,'PORTIFÓLIO'!C:V,5,0),"")</f>
        <v/>
      </c>
      <c r="H441" s="254" t="str">
        <f t="array" ref="H441">IFERROR(INDEX('PORTIFÓLIO'!$H$4:$H$433,MATCH($C441,'PORTIFÓLIO'!$C$4:$C$433,0)),"")</f>
        <v/>
      </c>
      <c r="I441" s="256"/>
      <c r="J441" s="218">
        <f t="shared" si="49"/>
        <v>0</v>
      </c>
      <c r="K441" s="292" t="str">
        <f t="array" ref="K441">IFERROR(I441*INDEX('PORTIFÓLIO'!$S$4:$S$433,MATCH($C441,'PORTIFÓLIO'!$C$4:$C$433,0)),"")</f>
        <v/>
      </c>
      <c r="L441" s="292" t="str">
        <f t="array" ref="L441">IFERROR(J441*INDEX('PORTIFÓLIO'!$S$4:$S$433,MATCH($C441,'PORTIFÓLIO'!$C$4:$C$433,0)),"")</f>
        <v/>
      </c>
      <c r="U441" s="79"/>
    </row>
    <row r="442" ht="15.75" customHeight="1" outlineLevel="1">
      <c r="A442" s="211"/>
      <c r="B442" s="212"/>
      <c r="C442" s="213"/>
      <c r="D442" s="214" t="str">
        <f>IFERROR(VLOOKUP($C442,'PORTIFÓLIO'!C:V,2,0),"")</f>
        <v/>
      </c>
      <c r="E442" s="211" t="str">
        <f>IFERROR(VLOOKUP($C442,'PORTIFÓLIO'!C:V,3,0),"")</f>
        <v/>
      </c>
      <c r="F442" s="211" t="str">
        <f>IFERROR(VLOOKUP($C442,'PORTIFÓLIO'!C:V,4,0),"")</f>
        <v/>
      </c>
      <c r="G442" s="215" t="str">
        <f>IFERROR(VLOOKUP($C442,'PORTIFÓLIO'!C:V,5,0),"")</f>
        <v/>
      </c>
      <c r="H442" s="254" t="str">
        <f t="array" ref="H442">IFERROR(INDEX('PORTIFÓLIO'!$H$4:$H$433,MATCH($C442,'PORTIFÓLIO'!$C$4:$C$433,0)),"")</f>
        <v/>
      </c>
      <c r="I442" s="256"/>
      <c r="J442" s="218">
        <f t="shared" si="49"/>
        <v>0</v>
      </c>
      <c r="K442" s="292" t="str">
        <f t="array" ref="K442">IFERROR(I442*INDEX('PORTIFÓLIO'!$S$4:$S$433,MATCH($C442,'PORTIFÓLIO'!$C$4:$C$433,0)),"")</f>
        <v/>
      </c>
      <c r="L442" s="292" t="str">
        <f t="array" ref="L442">IFERROR(J442*INDEX('PORTIFÓLIO'!$S$4:$S$433,MATCH($C442,'PORTIFÓLIO'!$C$4:$C$433,0)),"")</f>
        <v/>
      </c>
      <c r="U442" s="79"/>
    </row>
    <row r="443" ht="15.75" customHeight="1" outlineLevel="1">
      <c r="A443" s="211"/>
      <c r="B443" s="227"/>
      <c r="C443" s="211"/>
      <c r="D443" s="214" t="str">
        <f>IFERROR(VLOOKUP($C443,'PORTIFÓLIO'!C:V,2,0),"")</f>
        <v/>
      </c>
      <c r="E443" s="211" t="str">
        <f>IFERROR(VLOOKUP($C443,'PORTIFÓLIO'!C:V,3,0),"")</f>
        <v/>
      </c>
      <c r="F443" s="211" t="str">
        <f>IFERROR(VLOOKUP($C443,'PORTIFÓLIO'!C:V,4,0),"")</f>
        <v/>
      </c>
      <c r="G443" s="215" t="str">
        <f>IFERROR(VLOOKUP($C443,'PORTIFÓLIO'!C:V,5,0),"")</f>
        <v/>
      </c>
      <c r="H443" s="254" t="str">
        <f t="array" ref="H443">IFERROR(INDEX('PORTIFÓLIO'!$H$4:$H$433,MATCH($C443,'PORTIFÓLIO'!$C$4:$C$433,0)),"")</f>
        <v/>
      </c>
      <c r="I443" s="256"/>
      <c r="J443" s="218">
        <f t="shared" si="49"/>
        <v>0</v>
      </c>
      <c r="K443" s="292" t="str">
        <f t="array" ref="K443">IFERROR(I443*INDEX('PORTIFÓLIO'!$S$4:$S$433,MATCH($C443,'PORTIFÓLIO'!$C$4:$C$433,0)),"")</f>
        <v/>
      </c>
      <c r="L443" s="292" t="str">
        <f t="array" ref="L443">IFERROR(J443*INDEX('PORTIFÓLIO'!$S$4:$S$433,MATCH($C443,'PORTIFÓLIO'!$C$4:$C$433,0)),"")</f>
        <v/>
      </c>
      <c r="U443" s="79"/>
    </row>
    <row r="444" ht="15.75" customHeight="1" outlineLevel="1">
      <c r="A444" s="211"/>
      <c r="B444" s="227"/>
      <c r="C444" s="211"/>
      <c r="D444" s="214" t="str">
        <f>IFERROR(VLOOKUP($C444,'PORTIFÓLIO'!C:V,2,0),"")</f>
        <v/>
      </c>
      <c r="E444" s="211" t="str">
        <f>IFERROR(VLOOKUP($C444,'PORTIFÓLIO'!C:V,3,0),"")</f>
        <v/>
      </c>
      <c r="F444" s="211" t="str">
        <f>IFERROR(VLOOKUP($C444,'PORTIFÓLIO'!C:V,4,0),"")</f>
        <v/>
      </c>
      <c r="G444" s="215" t="str">
        <f>IFERROR(VLOOKUP($C444,'PORTIFÓLIO'!C:V,5,0),"")</f>
        <v/>
      </c>
      <c r="H444" s="254" t="str">
        <f t="array" ref="H444">IFERROR(INDEX('PORTIFÓLIO'!$H$4:$H$433,MATCH($C444,'PORTIFÓLIO'!$C$4:$C$433,0)),"")</f>
        <v/>
      </c>
      <c r="I444" s="256"/>
      <c r="J444" s="218">
        <f t="shared" si="49"/>
        <v>0</v>
      </c>
      <c r="K444" s="292" t="str">
        <f t="array" ref="K444">IFERROR(I444*INDEX('PORTIFÓLIO'!$S$4:$S$433,MATCH($C444,'PORTIFÓLIO'!$C$4:$C$433,0)),"")</f>
        <v/>
      </c>
      <c r="L444" s="292" t="str">
        <f t="array" ref="L444">IFERROR(J444*INDEX('PORTIFÓLIO'!$S$4:$S$433,MATCH($C444,'PORTIFÓLIO'!$C$4:$C$433,0)),"")</f>
        <v/>
      </c>
      <c r="U444" s="79"/>
    </row>
    <row r="445" ht="15.75" customHeight="1" outlineLevel="1">
      <c r="A445" s="211"/>
      <c r="B445" s="227"/>
      <c r="C445" s="211"/>
      <c r="D445" s="214" t="str">
        <f>IFERROR(VLOOKUP($C445,'PORTIFÓLIO'!C:V,2,0),"")</f>
        <v/>
      </c>
      <c r="E445" s="211" t="str">
        <f>IFERROR(VLOOKUP($C445,'PORTIFÓLIO'!C:V,3,0),"")</f>
        <v/>
      </c>
      <c r="F445" s="211" t="str">
        <f>IFERROR(VLOOKUP($C445,'PORTIFÓLIO'!C:V,4,0),"")</f>
        <v/>
      </c>
      <c r="G445" s="215" t="str">
        <f>IFERROR(VLOOKUP($C445,'PORTIFÓLIO'!C:V,5,0),"")</f>
        <v/>
      </c>
      <c r="H445" s="254" t="str">
        <f t="array" ref="H445">IFERROR(INDEX('PORTIFÓLIO'!$H$4:$H$433,MATCH($C445,'PORTIFÓLIO'!$C$4:$C$433,0)),"")</f>
        <v/>
      </c>
      <c r="I445" s="256"/>
      <c r="J445" s="218">
        <f t="shared" si="49"/>
        <v>0</v>
      </c>
      <c r="K445" s="292" t="str">
        <f t="array" ref="K445">IFERROR(I445*INDEX('PORTIFÓLIO'!$S$4:$S$433,MATCH($C445,'PORTIFÓLIO'!$C$4:$C$433,0)),"")</f>
        <v/>
      </c>
      <c r="L445" s="292" t="str">
        <f t="array" ref="L445">IFERROR(J445*INDEX('PORTIFÓLIO'!$S$4:$S$433,MATCH($C445,'PORTIFÓLIO'!$C$4:$C$433,0)),"")</f>
        <v/>
      </c>
      <c r="U445" s="79"/>
    </row>
    <row r="446" ht="15.75" customHeight="1" outlineLevel="1">
      <c r="A446" s="211"/>
      <c r="B446" s="227"/>
      <c r="C446" s="211"/>
      <c r="D446" s="214" t="str">
        <f>IFERROR(VLOOKUP($C446,'PORTIFÓLIO'!C:V,2,0),"")</f>
        <v/>
      </c>
      <c r="E446" s="211" t="str">
        <f>IFERROR(VLOOKUP($C446,'PORTIFÓLIO'!C:V,3,0),"")</f>
        <v/>
      </c>
      <c r="F446" s="211" t="str">
        <f>IFERROR(VLOOKUP($C446,'PORTIFÓLIO'!C:V,4,0),"")</f>
        <v/>
      </c>
      <c r="G446" s="215" t="str">
        <f>IFERROR(VLOOKUP($C446,'PORTIFÓLIO'!C:V,5,0),"")</f>
        <v/>
      </c>
      <c r="H446" s="254" t="str">
        <f t="array" ref="H446">IFERROR(INDEX('PORTIFÓLIO'!$H$4:$H$433,MATCH($C446,'PORTIFÓLIO'!$C$4:$C$433,0)),"")</f>
        <v/>
      </c>
      <c r="I446" s="256"/>
      <c r="J446" s="218">
        <f t="shared" si="49"/>
        <v>0</v>
      </c>
      <c r="K446" s="292" t="str">
        <f t="array" ref="K446">IFERROR(I446*INDEX('PORTIFÓLIO'!$S$4:$S$433,MATCH($C446,'PORTIFÓLIO'!$C$4:$C$433,0)),"")</f>
        <v/>
      </c>
      <c r="L446" s="292" t="str">
        <f t="array" ref="L446">IFERROR(J446*INDEX('PORTIFÓLIO'!$S$4:$S$433,MATCH($C446,'PORTIFÓLIO'!$C$4:$C$433,0)),"")</f>
        <v/>
      </c>
      <c r="U446" s="79"/>
    </row>
    <row r="447" ht="15.75" customHeight="1" outlineLevel="1">
      <c r="A447" s="211"/>
      <c r="B447" s="227"/>
      <c r="C447" s="211"/>
      <c r="D447" s="214" t="str">
        <f>IFERROR(VLOOKUP($C447,'PORTIFÓLIO'!C:V,2,0),"")</f>
        <v/>
      </c>
      <c r="E447" s="211" t="str">
        <f>IFERROR(VLOOKUP($C447,'PORTIFÓLIO'!C:V,3,0),"")</f>
        <v/>
      </c>
      <c r="F447" s="211" t="str">
        <f>IFERROR(VLOOKUP($C447,'PORTIFÓLIO'!C:V,4,0),"")</f>
        <v/>
      </c>
      <c r="G447" s="215" t="str">
        <f>IFERROR(VLOOKUP($C447,'PORTIFÓLIO'!C:V,5,0),"")</f>
        <v/>
      </c>
      <c r="H447" s="254" t="str">
        <f t="array" ref="H447">IFERROR(INDEX('PORTIFÓLIO'!$H$4:$H$433,MATCH($C447,'PORTIFÓLIO'!$C$4:$C$433,0)),"")</f>
        <v/>
      </c>
      <c r="I447" s="256"/>
      <c r="J447" s="218">
        <f t="shared" si="49"/>
        <v>0</v>
      </c>
      <c r="K447" s="292" t="str">
        <f t="array" ref="K447">IFERROR(I447*INDEX('PORTIFÓLIO'!$S$4:$S$433,MATCH($C447,'PORTIFÓLIO'!$C$4:$C$433,0)),"")</f>
        <v/>
      </c>
      <c r="L447" s="292" t="str">
        <f t="array" ref="L447">IFERROR(J447*INDEX('PORTIFÓLIO'!$S$4:$S$433,MATCH($C447,'PORTIFÓLIO'!$C$4:$C$433,0)),"")</f>
        <v/>
      </c>
      <c r="U447" s="79"/>
    </row>
    <row r="448" ht="15.75" customHeight="1" outlineLevel="1">
      <c r="A448" s="211"/>
      <c r="B448" s="227"/>
      <c r="C448" s="211"/>
      <c r="D448" s="214" t="str">
        <f>IFERROR(VLOOKUP($C448,'PORTIFÓLIO'!C:V,2,0),"")</f>
        <v/>
      </c>
      <c r="E448" s="211" t="str">
        <f>IFERROR(VLOOKUP($C448,'PORTIFÓLIO'!C:V,3,0),"")</f>
        <v/>
      </c>
      <c r="F448" s="211" t="str">
        <f>IFERROR(VLOOKUP($C448,'PORTIFÓLIO'!C:V,4,0),"")</f>
        <v/>
      </c>
      <c r="G448" s="215" t="str">
        <f>IFERROR(VLOOKUP($C448,'PORTIFÓLIO'!C:V,5,0),"")</f>
        <v/>
      </c>
      <c r="H448" s="254" t="str">
        <f t="array" ref="H448">IFERROR(INDEX('PORTIFÓLIO'!$H$4:$H$433,MATCH($C448,'PORTIFÓLIO'!$C$4:$C$433,0)),"")</f>
        <v/>
      </c>
      <c r="I448" s="256"/>
      <c r="J448" s="218">
        <f t="shared" si="49"/>
        <v>0</v>
      </c>
      <c r="K448" s="292" t="str">
        <f t="array" ref="K448">IFERROR(I448*INDEX('PORTIFÓLIO'!$S$4:$S$433,MATCH($C448,'PORTIFÓLIO'!$C$4:$C$433,0)),"")</f>
        <v/>
      </c>
      <c r="L448" s="292" t="str">
        <f t="array" ref="L448">IFERROR(J448*INDEX('PORTIFÓLIO'!$S$4:$S$433,MATCH($C448,'PORTIFÓLIO'!$C$4:$C$433,0)),"")</f>
        <v/>
      </c>
      <c r="U448" s="79"/>
    </row>
    <row r="449" ht="15.75" customHeight="1" outlineLevel="1">
      <c r="A449" s="211"/>
      <c r="B449" s="227"/>
      <c r="C449" s="211"/>
      <c r="D449" s="214" t="str">
        <f>IFERROR(VLOOKUP($C449,'PORTIFÓLIO'!C:V,2,0),"")</f>
        <v/>
      </c>
      <c r="E449" s="211" t="str">
        <f>IFERROR(VLOOKUP($C449,'PORTIFÓLIO'!C:V,3,0),"")</f>
        <v/>
      </c>
      <c r="F449" s="211" t="str">
        <f>IFERROR(VLOOKUP($C449,'PORTIFÓLIO'!C:V,4,0),"")</f>
        <v/>
      </c>
      <c r="G449" s="215" t="str">
        <f>IFERROR(VLOOKUP($C449,'PORTIFÓLIO'!C:V,5,0),"")</f>
        <v/>
      </c>
      <c r="H449" s="254" t="str">
        <f t="array" ref="H449">IFERROR(INDEX('PORTIFÓLIO'!$H$4:$H$433,MATCH($C449,'PORTIFÓLIO'!$C$4:$C$433,0)),"")</f>
        <v/>
      </c>
      <c r="I449" s="256"/>
      <c r="J449" s="218">
        <f t="shared" si="49"/>
        <v>0</v>
      </c>
      <c r="K449" s="292" t="str">
        <f t="array" ref="K449">IFERROR(I449*INDEX('PORTIFÓLIO'!$S$4:$S$433,MATCH($C449,'PORTIFÓLIO'!$C$4:$C$433,0)),"")</f>
        <v/>
      </c>
      <c r="L449" s="292" t="str">
        <f t="array" ref="L449">IFERROR(J449*INDEX('PORTIFÓLIO'!$S$4:$S$433,MATCH($C449,'PORTIFÓLIO'!$C$4:$C$433,0)),"")</f>
        <v/>
      </c>
      <c r="U449" s="79"/>
    </row>
    <row r="450" ht="15.75" customHeight="1" outlineLevel="1">
      <c r="A450" s="211"/>
      <c r="B450" s="227"/>
      <c r="C450" s="211"/>
      <c r="D450" s="214" t="str">
        <f>IFERROR(VLOOKUP($C450,'PORTIFÓLIO'!C:V,2,0),"")</f>
        <v/>
      </c>
      <c r="E450" s="211" t="str">
        <f>IFERROR(VLOOKUP($C450,'PORTIFÓLIO'!C:V,3,0),"")</f>
        <v/>
      </c>
      <c r="F450" s="211" t="str">
        <f>IFERROR(VLOOKUP($C450,'PORTIFÓLIO'!C:V,4,0),"")</f>
        <v/>
      </c>
      <c r="G450" s="215" t="str">
        <f>IFERROR(VLOOKUP($C450,'PORTIFÓLIO'!C:V,5,0),"")</f>
        <v/>
      </c>
      <c r="H450" s="254" t="str">
        <f t="array" ref="H450">IFERROR(INDEX('PORTIFÓLIO'!$H$4:$H$433,MATCH($C450,'PORTIFÓLIO'!$C$4:$C$433,0)),"")</f>
        <v/>
      </c>
      <c r="I450" s="256"/>
      <c r="J450" s="218">
        <f t="shared" si="49"/>
        <v>0</v>
      </c>
      <c r="K450" s="292" t="str">
        <f t="array" ref="K450">IFERROR(I450*INDEX('PORTIFÓLIO'!$S$4:$S$433,MATCH($C450,'PORTIFÓLIO'!$C$4:$C$433,0)),"")</f>
        <v/>
      </c>
      <c r="L450" s="292" t="str">
        <f t="array" ref="L450">IFERROR(J450*INDEX('PORTIFÓLIO'!$S$4:$S$433,MATCH($C450,'PORTIFÓLIO'!$C$4:$C$433,0)),"")</f>
        <v/>
      </c>
      <c r="U450" s="79"/>
    </row>
    <row r="451" ht="15.75" customHeight="1" outlineLevel="1">
      <c r="A451" s="211"/>
      <c r="B451" s="227"/>
      <c r="C451" s="211"/>
      <c r="D451" s="214" t="str">
        <f>IFERROR(VLOOKUP($C451,'PORTIFÓLIO'!C:V,2,0),"")</f>
        <v/>
      </c>
      <c r="E451" s="211" t="str">
        <f>IFERROR(VLOOKUP($C451,'PORTIFÓLIO'!C:V,3,0),"")</f>
        <v/>
      </c>
      <c r="F451" s="211" t="str">
        <f>IFERROR(VLOOKUP($C451,'PORTIFÓLIO'!C:V,4,0),"")</f>
        <v/>
      </c>
      <c r="G451" s="215" t="str">
        <f>IFERROR(VLOOKUP($C451,'PORTIFÓLIO'!C:V,5,0),"")</f>
        <v/>
      </c>
      <c r="H451" s="254" t="str">
        <f t="array" ref="H451">IFERROR(INDEX('PORTIFÓLIO'!$H$4:$H$433,MATCH($C451,'PORTIFÓLIO'!$C$4:$C$433,0)),"")</f>
        <v/>
      </c>
      <c r="I451" s="256"/>
      <c r="J451" s="218">
        <f t="shared" si="49"/>
        <v>0</v>
      </c>
      <c r="K451" s="292" t="str">
        <f t="array" ref="K451">IFERROR(I451*INDEX('PORTIFÓLIO'!$S$4:$S$433,MATCH($C451,'PORTIFÓLIO'!$C$4:$C$433,0)),"")</f>
        <v/>
      </c>
      <c r="L451" s="292" t="str">
        <f t="array" ref="L451">IFERROR(J451*INDEX('PORTIFÓLIO'!$S$4:$S$433,MATCH($C451,'PORTIFÓLIO'!$C$4:$C$433,0)),"")</f>
        <v/>
      </c>
      <c r="U451" s="79"/>
    </row>
    <row r="452" ht="15.75" customHeight="1">
      <c r="A452" s="227"/>
      <c r="B452" s="227"/>
      <c r="C452" s="227"/>
      <c r="D452" s="227"/>
      <c r="E452" s="227"/>
      <c r="F452" s="227"/>
      <c r="G452" s="215"/>
      <c r="H452" s="227"/>
      <c r="I452" s="227"/>
      <c r="J452" s="227"/>
      <c r="K452" s="293">
        <f t="shared" ref="K452:L452" si="50">SUBTOTAL(9,K237:K427)</f>
        <v>0</v>
      </c>
      <c r="L452" s="293">
        <f t="shared" si="50"/>
        <v>0</v>
      </c>
      <c r="U452" s="79"/>
    </row>
    <row r="453" ht="15.75" customHeight="1">
      <c r="U453" s="79"/>
    </row>
    <row r="454" ht="15.75" customHeight="1">
      <c r="U454" s="79"/>
    </row>
    <row r="455" ht="15.75" customHeight="1">
      <c r="U455" s="79"/>
    </row>
    <row r="456" ht="15.75" customHeight="1">
      <c r="U456" s="79"/>
    </row>
    <row r="457" ht="15.75" customHeight="1">
      <c r="U457" s="79"/>
    </row>
    <row r="458" ht="15.75" customHeight="1">
      <c r="U458" s="79"/>
    </row>
    <row r="459" ht="15.75" customHeight="1">
      <c r="U459" s="79"/>
    </row>
    <row r="460" ht="15.75" customHeight="1">
      <c r="U460" s="79"/>
    </row>
    <row r="461" ht="15.75" customHeight="1">
      <c r="U461" s="79"/>
    </row>
    <row r="462" ht="15.75" customHeight="1">
      <c r="U462" s="79"/>
    </row>
    <row r="463" ht="15.75" customHeight="1">
      <c r="U463" s="79"/>
    </row>
    <row r="464" ht="15.75" customHeight="1">
      <c r="U464" s="79"/>
    </row>
    <row r="465" ht="15.75" customHeight="1">
      <c r="U465" s="79"/>
    </row>
    <row r="466" ht="15.75" customHeight="1">
      <c r="U466" s="79"/>
    </row>
    <row r="467" ht="15.75" customHeight="1">
      <c r="U467" s="79"/>
    </row>
    <row r="468" ht="15.75" customHeight="1">
      <c r="U468" s="79"/>
    </row>
    <row r="469" ht="15.75" customHeight="1">
      <c r="U469" s="79"/>
    </row>
    <row r="470" ht="15.75" customHeight="1">
      <c r="U470" s="79"/>
    </row>
    <row r="471" ht="15.75" customHeight="1">
      <c r="U471" s="79"/>
    </row>
    <row r="472" ht="15.75" customHeight="1">
      <c r="U472" s="79"/>
    </row>
    <row r="473" ht="15.75" customHeight="1">
      <c r="U473" s="79"/>
    </row>
    <row r="474" ht="15.75" customHeight="1">
      <c r="U474" s="79"/>
    </row>
    <row r="475" ht="15.75" customHeight="1">
      <c r="U475" s="79"/>
    </row>
    <row r="476" ht="15.75" customHeight="1">
      <c r="U476" s="79"/>
    </row>
    <row r="477" ht="15.75" customHeight="1">
      <c r="U477" s="79"/>
    </row>
    <row r="478" ht="15.75" customHeight="1">
      <c r="U478" s="79"/>
    </row>
    <row r="479" ht="15.75" customHeight="1">
      <c r="U479" s="79"/>
    </row>
    <row r="480" ht="15.75" customHeight="1">
      <c r="U480" s="79"/>
    </row>
    <row r="481" ht="15.75" customHeight="1">
      <c r="U481" s="79"/>
    </row>
    <row r="482" ht="15.75" customHeight="1">
      <c r="U482" s="79"/>
    </row>
    <row r="483" ht="15.75" customHeight="1">
      <c r="U483" s="79"/>
    </row>
    <row r="484" ht="15.75" customHeight="1">
      <c r="U484" s="79"/>
    </row>
    <row r="485" ht="15.75" customHeight="1">
      <c r="U485" s="79"/>
    </row>
    <row r="486" ht="15.75" customHeight="1">
      <c r="U486" s="79"/>
    </row>
    <row r="487" ht="15.75" customHeight="1">
      <c r="U487" s="79"/>
    </row>
    <row r="488" ht="15.75" customHeight="1">
      <c r="U488" s="79"/>
    </row>
    <row r="489" ht="15.75" customHeight="1">
      <c r="U489" s="79"/>
    </row>
    <row r="490" ht="15.75" customHeight="1">
      <c r="U490" s="79"/>
    </row>
    <row r="491" ht="15.75" customHeight="1">
      <c r="U491" s="79"/>
    </row>
    <row r="492" ht="15.75" customHeight="1">
      <c r="U492" s="79"/>
    </row>
    <row r="493" ht="15.75" customHeight="1">
      <c r="U493" s="79"/>
    </row>
    <row r="494" ht="15.75" customHeight="1">
      <c r="U494" s="79"/>
    </row>
    <row r="495" ht="15.75" customHeight="1">
      <c r="U495" s="79"/>
    </row>
    <row r="496" ht="15.75" customHeight="1">
      <c r="U496" s="79"/>
    </row>
    <row r="497" ht="15.75" customHeight="1">
      <c r="U497" s="79"/>
    </row>
    <row r="498" ht="15.75" customHeight="1">
      <c r="U498" s="79"/>
    </row>
    <row r="499" ht="15.75" customHeight="1">
      <c r="U499" s="79"/>
    </row>
    <row r="500" ht="15.75" customHeight="1">
      <c r="U500" s="79"/>
    </row>
    <row r="501" ht="15.75" customHeight="1">
      <c r="U501" s="79"/>
    </row>
    <row r="502" ht="15.75" customHeight="1">
      <c r="U502" s="79"/>
    </row>
    <row r="503" ht="15.75" customHeight="1">
      <c r="U503" s="79"/>
    </row>
    <row r="504" ht="15.75" customHeight="1">
      <c r="U504" s="79"/>
    </row>
    <row r="505" ht="15.75" customHeight="1">
      <c r="U505" s="79"/>
    </row>
    <row r="506" ht="15.75" customHeight="1">
      <c r="U506" s="79"/>
    </row>
    <row r="507" ht="15.75" customHeight="1">
      <c r="U507" s="79"/>
    </row>
    <row r="508" ht="15.75" customHeight="1">
      <c r="U508" s="79"/>
    </row>
    <row r="509" ht="15.75" customHeight="1">
      <c r="U509" s="79"/>
    </row>
    <row r="510" ht="15.75" customHeight="1">
      <c r="U510" s="79"/>
    </row>
    <row r="511" ht="15.75" customHeight="1">
      <c r="U511" s="79"/>
    </row>
    <row r="512" ht="15.75" customHeight="1">
      <c r="U512" s="79"/>
    </row>
    <row r="513" ht="15.75" customHeight="1">
      <c r="U513" s="79"/>
    </row>
    <row r="514" ht="15.75" customHeight="1">
      <c r="U514" s="79"/>
    </row>
    <row r="515" ht="15.75" customHeight="1">
      <c r="U515" s="79"/>
    </row>
    <row r="516" ht="15.75" customHeight="1">
      <c r="U516" s="79"/>
    </row>
    <row r="517" ht="15.75" customHeight="1">
      <c r="U517" s="79"/>
    </row>
    <row r="518" ht="15.75" customHeight="1">
      <c r="U518" s="79"/>
    </row>
    <row r="519" ht="15.75" customHeight="1">
      <c r="U519" s="79"/>
    </row>
    <row r="520" ht="15.75" customHeight="1">
      <c r="U520" s="79"/>
    </row>
    <row r="521" ht="15.75" customHeight="1">
      <c r="U521" s="79"/>
    </row>
    <row r="522" ht="15.75" customHeight="1">
      <c r="U522" s="79"/>
    </row>
    <row r="523" ht="15.75" customHeight="1">
      <c r="U523" s="79"/>
    </row>
    <row r="524" ht="15.75" customHeight="1">
      <c r="U524" s="79"/>
    </row>
    <row r="525" ht="15.75" customHeight="1">
      <c r="U525" s="79"/>
    </row>
    <row r="526" ht="15.75" customHeight="1">
      <c r="U526" s="79"/>
    </row>
    <row r="527" ht="15.75" customHeight="1">
      <c r="U527" s="79"/>
    </row>
    <row r="528" ht="15.75" customHeight="1">
      <c r="U528" s="79"/>
    </row>
    <row r="529" ht="15.75" customHeight="1">
      <c r="U529" s="79"/>
    </row>
    <row r="530" ht="15.75" customHeight="1">
      <c r="U530" s="79"/>
    </row>
    <row r="531" ht="15.75" customHeight="1">
      <c r="U531" s="79"/>
    </row>
    <row r="532" ht="15.75" customHeight="1">
      <c r="U532" s="79"/>
    </row>
    <row r="533" ht="15.75" customHeight="1">
      <c r="U533" s="79"/>
    </row>
    <row r="534" ht="15.75" customHeight="1">
      <c r="U534" s="79"/>
    </row>
    <row r="535" ht="15.75" customHeight="1">
      <c r="U535" s="79"/>
    </row>
    <row r="536" ht="15.75" customHeight="1">
      <c r="U536" s="79"/>
    </row>
    <row r="537" ht="15.75" customHeight="1">
      <c r="U537" s="79"/>
    </row>
    <row r="538" ht="15.75" customHeight="1">
      <c r="U538" s="79"/>
    </row>
    <row r="539" ht="15.75" customHeight="1">
      <c r="U539" s="79"/>
    </row>
    <row r="540" ht="15.75" customHeight="1">
      <c r="U540" s="79"/>
    </row>
    <row r="541" ht="15.75" customHeight="1">
      <c r="U541" s="79"/>
    </row>
    <row r="542" ht="15.75" customHeight="1">
      <c r="U542" s="79"/>
    </row>
    <row r="543" ht="15.75" customHeight="1">
      <c r="U543" s="79"/>
    </row>
    <row r="544" ht="15.75" customHeight="1">
      <c r="U544" s="79"/>
    </row>
    <row r="545" ht="15.75" customHeight="1">
      <c r="U545" s="79"/>
    </row>
    <row r="546" ht="15.75" customHeight="1">
      <c r="U546" s="79"/>
    </row>
    <row r="547" ht="15.75" customHeight="1">
      <c r="U547" s="79"/>
    </row>
    <row r="548" ht="15.75" customHeight="1">
      <c r="U548" s="79"/>
    </row>
    <row r="549" ht="15.75" customHeight="1">
      <c r="U549" s="79"/>
    </row>
    <row r="550" ht="15.75" customHeight="1">
      <c r="U550" s="79"/>
    </row>
    <row r="551" ht="15.75" customHeight="1">
      <c r="U551" s="79"/>
    </row>
    <row r="552" ht="15.75" customHeight="1">
      <c r="U552" s="79"/>
    </row>
    <row r="553" ht="15.75" customHeight="1">
      <c r="U553" s="79"/>
    </row>
    <row r="554" ht="15.75" customHeight="1">
      <c r="U554" s="79"/>
    </row>
    <row r="555" ht="15.75" customHeight="1">
      <c r="U555" s="79"/>
    </row>
    <row r="556" ht="15.75" customHeight="1">
      <c r="U556" s="79"/>
    </row>
    <row r="557" ht="15.75" customHeight="1">
      <c r="U557" s="79"/>
    </row>
    <row r="558" ht="15.75" customHeight="1">
      <c r="U558" s="79"/>
    </row>
    <row r="559" ht="15.75" customHeight="1">
      <c r="U559" s="79"/>
    </row>
    <row r="560" ht="15.75" customHeight="1">
      <c r="U560" s="79"/>
    </row>
    <row r="561" ht="15.75" customHeight="1">
      <c r="U561" s="79"/>
    </row>
    <row r="562" ht="15.75" customHeight="1">
      <c r="U562" s="79"/>
    </row>
    <row r="563" ht="15.75" customHeight="1">
      <c r="U563" s="79"/>
    </row>
    <row r="564" ht="15.75" customHeight="1">
      <c r="U564" s="79"/>
    </row>
    <row r="565" ht="15.75" customHeight="1">
      <c r="U565" s="79"/>
    </row>
    <row r="566" ht="15.75" customHeight="1">
      <c r="U566" s="79"/>
    </row>
    <row r="567" ht="15.75" customHeight="1">
      <c r="U567" s="79"/>
    </row>
    <row r="568" ht="15.75" customHeight="1">
      <c r="U568" s="79"/>
    </row>
    <row r="569" ht="15.75" customHeight="1">
      <c r="U569" s="79"/>
    </row>
    <row r="570" ht="15.75" customHeight="1">
      <c r="U570" s="79"/>
    </row>
    <row r="571" ht="15.75" customHeight="1">
      <c r="U571" s="79"/>
    </row>
    <row r="572" ht="15.75" customHeight="1">
      <c r="U572" s="79"/>
    </row>
    <row r="573" ht="15.75" customHeight="1">
      <c r="U573" s="79"/>
    </row>
    <row r="574" ht="15.75" customHeight="1">
      <c r="U574" s="79"/>
    </row>
    <row r="575" ht="15.75" customHeight="1">
      <c r="U575" s="79"/>
    </row>
    <row r="576" ht="15.75" customHeight="1">
      <c r="U576" s="79"/>
    </row>
    <row r="577" ht="15.75" customHeight="1">
      <c r="U577" s="79"/>
    </row>
    <row r="578" ht="15.75" customHeight="1">
      <c r="U578" s="79"/>
    </row>
    <row r="579" ht="15.75" customHeight="1">
      <c r="U579" s="79"/>
    </row>
    <row r="580" ht="15.75" customHeight="1">
      <c r="U580" s="79"/>
    </row>
    <row r="581" ht="15.75" customHeight="1">
      <c r="U581" s="79"/>
    </row>
    <row r="582" ht="15.75" customHeight="1">
      <c r="U582" s="79"/>
    </row>
    <row r="583" ht="15.75" customHeight="1">
      <c r="U583" s="79"/>
    </row>
    <row r="584" ht="15.75" customHeight="1">
      <c r="U584" s="79"/>
    </row>
    <row r="585" ht="15.75" customHeight="1">
      <c r="U585" s="79"/>
    </row>
    <row r="586" ht="15.75" customHeight="1">
      <c r="U586" s="79"/>
    </row>
    <row r="587" ht="15.75" customHeight="1">
      <c r="U587" s="79"/>
    </row>
    <row r="588" ht="15.75" customHeight="1">
      <c r="U588" s="79"/>
    </row>
    <row r="589" ht="15.75" customHeight="1">
      <c r="U589" s="79"/>
    </row>
    <row r="590" ht="15.75" customHeight="1">
      <c r="U590" s="79"/>
    </row>
    <row r="591" ht="15.75" customHeight="1">
      <c r="U591" s="79"/>
    </row>
    <row r="592" ht="15.75" customHeight="1">
      <c r="U592" s="79"/>
    </row>
    <row r="593" ht="15.75" customHeight="1">
      <c r="U593" s="79"/>
    </row>
    <row r="594" ht="15.75" customHeight="1">
      <c r="U594" s="79"/>
    </row>
    <row r="595" ht="15.75" customHeight="1">
      <c r="U595" s="79"/>
    </row>
    <row r="596" ht="15.75" customHeight="1">
      <c r="U596" s="79"/>
    </row>
    <row r="597" ht="15.75" customHeight="1">
      <c r="U597" s="79"/>
    </row>
    <row r="598" ht="15.75" customHeight="1">
      <c r="U598" s="79"/>
    </row>
    <row r="599" ht="15.75" customHeight="1">
      <c r="U599" s="79"/>
    </row>
    <row r="600" ht="15.75" customHeight="1">
      <c r="U600" s="79"/>
    </row>
    <row r="601" ht="15.75" customHeight="1">
      <c r="U601" s="79"/>
    </row>
    <row r="602" ht="15.75" customHeight="1">
      <c r="U602" s="79"/>
    </row>
    <row r="603" ht="15.75" customHeight="1">
      <c r="U603" s="79"/>
    </row>
    <row r="604" ht="15.75" customHeight="1">
      <c r="U604" s="79"/>
    </row>
    <row r="605" ht="15.75" customHeight="1">
      <c r="U605" s="79"/>
    </row>
    <row r="606" ht="15.75" customHeight="1">
      <c r="U606" s="79"/>
    </row>
    <row r="607" ht="15.75" customHeight="1">
      <c r="U607" s="79"/>
    </row>
    <row r="608" ht="15.75" customHeight="1">
      <c r="U608" s="79"/>
    </row>
    <row r="609" ht="15.75" customHeight="1">
      <c r="U609" s="79"/>
    </row>
    <row r="610" ht="15.75" customHeight="1">
      <c r="U610" s="79"/>
    </row>
    <row r="611" ht="15.75" customHeight="1">
      <c r="U611" s="79"/>
    </row>
    <row r="612" ht="15.75" customHeight="1">
      <c r="U612" s="79"/>
    </row>
    <row r="613" ht="15.75" customHeight="1">
      <c r="U613" s="79"/>
    </row>
    <row r="614" ht="15.75" customHeight="1">
      <c r="U614" s="79"/>
    </row>
    <row r="615" ht="15.75" customHeight="1">
      <c r="U615" s="79"/>
    </row>
    <row r="616" ht="15.75" customHeight="1">
      <c r="U616" s="79"/>
    </row>
    <row r="617" ht="15.75" customHeight="1">
      <c r="U617" s="79"/>
    </row>
    <row r="618" ht="15.75" customHeight="1">
      <c r="U618" s="79"/>
    </row>
    <row r="619" ht="15.75" customHeight="1">
      <c r="U619" s="79"/>
    </row>
    <row r="620" ht="15.75" customHeight="1">
      <c r="U620" s="79"/>
    </row>
    <row r="621" ht="15.75" customHeight="1">
      <c r="U621" s="79"/>
    </row>
    <row r="622" ht="15.75" customHeight="1">
      <c r="U622" s="79"/>
    </row>
    <row r="623" ht="15.75" customHeight="1">
      <c r="U623" s="79"/>
    </row>
    <row r="624" ht="15.75" customHeight="1">
      <c r="U624" s="79"/>
    </row>
    <row r="625" ht="15.75" customHeight="1">
      <c r="U625" s="79"/>
    </row>
    <row r="626" ht="15.75" customHeight="1">
      <c r="U626" s="79"/>
    </row>
    <row r="627" ht="15.75" customHeight="1">
      <c r="U627" s="79"/>
    </row>
    <row r="628" ht="15.75" customHeight="1">
      <c r="U628" s="79"/>
    </row>
    <row r="629" ht="15.75" customHeight="1">
      <c r="U629" s="79"/>
    </row>
    <row r="630" ht="15.75" customHeight="1">
      <c r="U630" s="79"/>
    </row>
    <row r="631" ht="15.75" customHeight="1">
      <c r="U631" s="79"/>
    </row>
    <row r="632" ht="15.75" customHeight="1">
      <c r="U632" s="79"/>
    </row>
    <row r="633" ht="15.75" customHeight="1">
      <c r="U633" s="79"/>
    </row>
    <row r="634" ht="15.75" customHeight="1">
      <c r="U634" s="79"/>
    </row>
    <row r="635" ht="15.75" customHeight="1">
      <c r="U635" s="79"/>
    </row>
    <row r="636" ht="15.75" customHeight="1">
      <c r="U636" s="79"/>
    </row>
    <row r="637" ht="15.75" customHeight="1">
      <c r="U637" s="79"/>
    </row>
    <row r="638" ht="15.75" customHeight="1">
      <c r="U638" s="79"/>
    </row>
    <row r="639" ht="15.75" customHeight="1">
      <c r="U639" s="79"/>
    </row>
    <row r="640" ht="15.75" customHeight="1">
      <c r="U640" s="79"/>
    </row>
    <row r="641" ht="15.75" customHeight="1">
      <c r="U641" s="79"/>
    </row>
    <row r="642" ht="15.75" customHeight="1">
      <c r="U642" s="79"/>
    </row>
    <row r="643" ht="15.75" customHeight="1">
      <c r="U643" s="79"/>
    </row>
    <row r="644" ht="15.75" customHeight="1">
      <c r="U644" s="79"/>
    </row>
    <row r="645" ht="15.75" customHeight="1">
      <c r="U645" s="79"/>
    </row>
    <row r="646" ht="15.75" customHeight="1">
      <c r="U646" s="79"/>
    </row>
    <row r="647" ht="15.75" customHeight="1">
      <c r="U647" s="79"/>
    </row>
    <row r="648" ht="15.75" customHeight="1">
      <c r="U648" s="79"/>
    </row>
    <row r="649" ht="15.75" customHeight="1">
      <c r="U649" s="79"/>
    </row>
    <row r="650" ht="15.75" customHeight="1">
      <c r="U650" s="79"/>
    </row>
    <row r="651" ht="15.75" customHeight="1">
      <c r="U651" s="79"/>
    </row>
    <row r="652" ht="15.75" customHeight="1">
      <c r="U652" s="79"/>
    </row>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K10:L224 K237:L451">
    <cfRule type="cellIs" dxfId="9" priority="1" operator="equal">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2">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3">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4">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5">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6">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7">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8">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9">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0">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1">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2">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3">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4">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5">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6">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7">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8">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9">
      <colorScale>
        <cfvo type="min"/>
        <cfvo type="percentile" val="50"/>
        <cfvo type="max"/>
        <color rgb="FF63BE7B"/>
        <color rgb="FFFCFCFF"/>
        <color rgb="FFF8696B"/>
      </colorScale>
    </cfRule>
  </conditionalFormatting>
  <conditionalFormatting sqref="A64:A67 A82:A85 A98:A101 A115:A118 A132:A135 A149:A152 A166:A169 A183:A186 A201:A204 A290:A294 A309:A312 A325:A328 A342:A345 A359:A362 A376:A379 A393:A396 A410:A413 A428:A431">
    <cfRule type="colorScale" priority="20">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1">
      <colorScale>
        <cfvo type="min"/>
        <cfvo type="percentile" val="50"/>
        <cfvo type="max"/>
        <color rgb="FF63BE7B"/>
        <color rgb="FFFCFCFF"/>
        <color rgb="FFF8696B"/>
      </colorScale>
    </cfRule>
  </conditionalFormatting>
  <conditionalFormatting sqref="A67:A68 A86 A102 A119 A136 A153 A170 A187 A205 A294:A295 A313 A329 A346 A363 A380 A397 A414 A432">
    <cfRule type="colorScale" priority="22">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3">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4">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5">
      <colorScale>
        <cfvo type="min"/>
        <cfvo type="percentile" val="50"/>
        <cfvo type="max"/>
        <color rgb="FF63BE7B"/>
        <color rgb="FFFCFCFF"/>
        <color rgb="FFF8696B"/>
      </colorScale>
    </cfRule>
  </conditionalFormatting>
  <conditionalFormatting sqref="A82:A86 A98:A102 A115:A119 A132:A136 A149:A153 A166:A170 A183:A187 A201:A205 A290 A309:A313 A325:A329 A342:A346 A359:A363 A376:A380 A393:A397 A410:A414 A428:A432">
    <cfRule type="colorScale" priority="26">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7">
      <colorScale>
        <cfvo type="min"/>
        <cfvo type="percentile" val="50"/>
        <cfvo type="max"/>
        <color rgb="FF63BE7B"/>
        <color rgb="FFFCFCFF"/>
        <color rgb="FFF8696B"/>
      </colorScale>
    </cfRule>
  </conditionalFormatting>
  <conditionalFormatting sqref="A87 A103 A120 A137 A154 A171 A188 A206 A314 A330 A347 A364 A381 A398 A415 A433">
    <cfRule type="colorScale" priority="28">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9">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0">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1">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2">
      <colorScale>
        <cfvo type="min"/>
        <cfvo type="percentile" val="50"/>
        <cfvo type="max"/>
        <color rgb="FF63BE7B"/>
        <color rgb="FFFCFCFF"/>
        <color rgb="FFF8696B"/>
      </colorScale>
    </cfRule>
  </conditionalFormatting>
  <conditionalFormatting sqref="A81:A84 A97:A100 A114:A117 A131:A134 A148:A151 A165:A168 A182:A185 A200:A203 A308:A311 A324:A327 A341:A344 A358:A361 A375:A378 A392:A395 A409:A412 A427:A430">
    <cfRule type="colorScale" priority="33">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4">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5">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6">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7">
      <colorScale>
        <cfvo type="min"/>
        <cfvo type="percentile" val="50"/>
        <cfvo type="max"/>
        <color rgb="FF63BE7B"/>
        <color rgb="FFFCFCFF"/>
        <color rgb="FFF8696B"/>
      </colorScale>
    </cfRule>
  </conditionalFormatting>
  <conditionalFormatting sqref="A82:A84 A98:A100 A115:A117 A132:A134 A149:A151 A166:A168 A183:A185 A201:A203 A309:A311 A325:A327 A342:A344 A359:A361 A376:A378 A393:A395 A410:A412 A428:A430">
    <cfRule type="colorScale" priority="38">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9">
      <colorScale>
        <cfvo type="min"/>
        <cfvo type="percentile" val="50"/>
        <cfvo type="max"/>
        <color rgb="FF63BE7B"/>
        <color rgb="FFFCFCFF"/>
        <color rgb="FFF8696B"/>
      </colorScale>
    </cfRule>
  </conditionalFormatting>
  <conditionalFormatting sqref="A85 A101 A118 A135 A152 A169 A186 A204 A312 A328 A345 A362 A379 A396 A413 A431">
    <cfRule type="colorScale" priority="40">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1">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42">
      <colorScale>
        <cfvo type="min"/>
        <cfvo type="percentile" val="50"/>
        <cfvo type="max"/>
        <color rgb="FF63BE7B"/>
        <color rgb="FFFFEB84"/>
        <color rgb="FFF8696B"/>
      </colorScale>
    </cfRule>
  </conditionalFormatting>
  <conditionalFormatting sqref="A98 A325">
    <cfRule type="colorScale" priority="43">
      <colorScale>
        <cfvo type="min"/>
        <cfvo type="percentile" val="50"/>
        <cfvo type="max"/>
        <color rgb="FF63BE7B"/>
        <color rgb="FFFCFCFF"/>
        <color rgb="FFF8696B"/>
      </colorScale>
    </cfRule>
  </conditionalFormatting>
  <conditionalFormatting sqref="A98 A325">
    <cfRule type="colorScale" priority="44">
      <colorScale>
        <cfvo type="min"/>
        <cfvo type="percentile" val="50"/>
        <cfvo type="max"/>
        <color rgb="FF63BE7B"/>
        <color rgb="FFFFEB84"/>
        <color rgb="FFF8696B"/>
      </colorScale>
    </cfRule>
  </conditionalFormatting>
  <conditionalFormatting sqref="A99 A326">
    <cfRule type="colorScale" priority="45">
      <colorScale>
        <cfvo type="min"/>
        <cfvo type="percentile" val="50"/>
        <cfvo type="max"/>
        <color rgb="FF63BE7B"/>
        <color rgb="FFFFEB84"/>
        <color rgb="FFF8696B"/>
      </colorScale>
    </cfRule>
  </conditionalFormatting>
  <conditionalFormatting sqref="A100:A104 A327:A331">
    <cfRule type="colorScale" priority="46">
      <colorScale>
        <cfvo type="min"/>
        <cfvo type="percentile" val="50"/>
        <cfvo type="max"/>
        <color rgb="FF63BE7B"/>
        <color rgb="FFFFEB84"/>
        <color rgb="FFF8696B"/>
      </colorScale>
    </cfRule>
  </conditionalFormatting>
  <conditionalFormatting sqref="A115 A342">
    <cfRule type="colorScale" priority="47">
      <colorScale>
        <cfvo type="min"/>
        <cfvo type="percentile" val="50"/>
        <cfvo type="max"/>
        <color rgb="FF63BE7B"/>
        <color rgb="FFFCFCFF"/>
        <color rgb="FFF8696B"/>
      </colorScale>
    </cfRule>
  </conditionalFormatting>
  <conditionalFormatting sqref="A115 A342">
    <cfRule type="colorScale" priority="48">
      <colorScale>
        <cfvo type="min"/>
        <cfvo type="percentile" val="50"/>
        <cfvo type="max"/>
        <color rgb="FF63BE7B"/>
        <color rgb="FFFFEB84"/>
        <color rgb="FFF8696B"/>
      </colorScale>
    </cfRule>
  </conditionalFormatting>
  <conditionalFormatting sqref="A116:A129 A343:A356">
    <cfRule type="colorScale" priority="49">
      <colorScale>
        <cfvo type="min"/>
        <cfvo type="percentile" val="50"/>
        <cfvo type="max"/>
        <color rgb="FF63BE7B"/>
        <color rgb="FFFFEB84"/>
        <color rgb="FFF8696B"/>
      </colorScale>
    </cfRule>
  </conditionalFormatting>
  <conditionalFormatting sqref="A132:A133 A359:A360">
    <cfRule type="colorScale" priority="50">
      <colorScale>
        <cfvo type="min"/>
        <cfvo type="percentile" val="50"/>
        <cfvo type="max"/>
        <color rgb="FF63BE7B"/>
        <color rgb="FFFFEB84"/>
        <color rgb="FFF8696B"/>
      </colorScale>
    </cfRule>
  </conditionalFormatting>
  <conditionalFormatting sqref="A149:A163 A376:A390">
    <cfRule type="colorScale" priority="51">
      <colorScale>
        <cfvo type="min"/>
        <cfvo type="percentile" val="50"/>
        <cfvo type="max"/>
        <color rgb="FF63BE7B"/>
        <color rgb="FFFFEB84"/>
        <color rgb="FFF8696B"/>
      </colorScale>
    </cfRule>
  </conditionalFormatting>
  <conditionalFormatting sqref="A166:A180 A393:A407">
    <cfRule type="colorScale" priority="52">
      <colorScale>
        <cfvo type="min"/>
        <cfvo type="percentile" val="50"/>
        <cfvo type="max"/>
        <color rgb="FF63BE7B"/>
        <color rgb="FFFFEB84"/>
        <color rgb="FFF8696B"/>
      </colorScale>
    </cfRule>
  </conditionalFormatting>
  <conditionalFormatting sqref="A183:A185 A410:A412">
    <cfRule type="colorScale" priority="53">
      <colorScale>
        <cfvo type="min"/>
        <cfvo type="percentile" val="50"/>
        <cfvo type="max"/>
        <color rgb="FF63BE7B"/>
        <color rgb="FFFFEB84"/>
        <color rgb="FFF8696B"/>
      </colorScale>
    </cfRule>
  </conditionalFormatting>
  <conditionalFormatting sqref="A201:A203 A428:A430">
    <cfRule type="colorScale" priority="54">
      <colorScale>
        <cfvo type="min"/>
        <cfvo type="percentile" val="50"/>
        <cfvo type="max"/>
        <color rgb="FF63BE7B"/>
        <color rgb="FFFFEB84"/>
        <color rgb="FFF8696B"/>
      </colorScale>
    </cfRule>
  </conditionalFormatting>
  <conditionalFormatting sqref="A208:A210 A435:A437">
    <cfRule type="colorScale" priority="55">
      <colorScale>
        <cfvo type="min"/>
        <cfvo type="percentile" val="50"/>
        <cfvo type="max"/>
        <color rgb="FF63BE7B"/>
        <color rgb="FFFFEB84"/>
        <color rgb="FFF8696B"/>
      </colorScale>
    </cfRule>
  </conditionalFormatting>
  <conditionalFormatting sqref="A211:A224 A438:A451">
    <cfRule type="colorScale" priority="56">
      <colorScale>
        <cfvo type="min"/>
        <cfvo type="percentile" val="50"/>
        <cfvo type="max"/>
        <color rgb="FF63BE7B"/>
        <color rgb="FFFFEB84"/>
        <color rgb="FFF8696B"/>
      </colorScale>
    </cfRule>
  </conditionalFormatting>
  <conditionalFormatting sqref="J10:L224 J237:L451">
    <cfRule type="cellIs" dxfId="8" priority="57" operator="equal">
      <formula>0</formula>
    </cfRule>
  </conditionalFormatting>
  <dataValidations>
    <dataValidation type="list" allowBlank="1" sqref="C12:C16 C50 C69 C87 C103 C137 C154 C169 C171 C186 C188 C204 C206 C241 C243 C256 C258 C275 C277 C294 C296 C312 C314 C328 C330 C345 C347 C362 C364 C379 C381 C396 C398 C413 C415 C431 C433">
      <formula1>"I-ACTIVE,MAP,KCL 60%,05-37-00,10-46-00 + S,08-42-00,SSP 21,03-15-07 +14%CO,URÉIA,SULFATO DE AMÔNIO,BOROGRAN,SUPER DUO,08-40-00 - 100M,AURUS 500,00-01-00+Cu2 Mn8 Zn7"</formula1>
    </dataValidation>
    <dataValidation type="list" allowBlank="1" sqref="C28 C64 C67 C83">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type="custom" allowBlank="1" showDropDown="1" sqref="G10:L224 G237:L451">
      <formula1>AND(ISNUMBER(G10),(NOT(OR(NOT(ISERROR(DATEVALUE(G10))), AND(ISNUMBER(G10), LEFT(CELL("format", G10))="D")))))</formula1>
    </dataValidation>
    <dataValidation type="list" allowBlank="1" sqref="C18 C26 C33 C46 C52 C71 C82 C89 C105 C122 C139 C156 C173 C184 C190 C202 C208 C245 C254 C260 C273 C279 C292 C298 C310 C316 C326 C332 C343 C349 C360 C366 C377 C383 C394 C400 C411 C417 C429 C435">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type="list" allowBlank="1" sqref="C29 C66 C100 C134 C136 C152">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type="list" allowBlank="1" sqref="C20:C24 C43 C62 C80 C98 C115 C132 C149 C247:C251 C270 C289 C307">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type="list" allowBlank="1" sqref="C11 C17 C51 C70 C88 C104 C121 C138 C155 C172 C189 C207 C244 C259 C278 C297 C315 C331 C348 C365 C382 C399 C416 C434">
      <formula1>"CALCÁRIO DOLOMITICO,GESSO AGRICOLA"</formula1>
    </dataValidation>
    <dataValidation type="list" allowBlank="1" sqref="C45 C49 C68 C86 C102 C153 C170 C183 C187 C205 C242 C257 C272 C276 C291 C295 C309 C313 C325 C329 C342 C346 C359 C363 C376 C380 C393 C397 C410 C414 C432">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type="list" allowBlank="1" sqref="C27 C31 C47 C65 C85 C101 C118 C135 C151 C167">
      <formula1>"RUMBA,ASSIST,MEES,AUREO EC,JOINT ULTRA,ENERGIC,EXTRAVON,OCHIMA,STRIDES"</formula1>
    </dataValidation>
    <dataValidation type="list" allowBlank="1" sqref="C99 C116 C133 C150">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type="list" allowBlank="1" showErrorMessage="1" sqref="B10:B224 B237:B451">
      <formula1>#REF!</formula1>
    </dataValidation>
    <dataValidation type="list" allowBlank="1" sqref="C168 C185 C203 C240 C255 C274 C293 C311 C327 C344 C361 C378 C395 C412 C430">
      <formula1>"SOMBRERO,STANDAK TOP,CROPSTAR,DERMACOR,PERMIT STAR,PRESENCE FULL,PLUST,CRUISER 350 FS,CRUISER ADVANCED,FORTENZA 600 FS,MAXIM ADVANCED,MAXIM XL,SPECTRO,BIOZYME,NIMAXXA,VITAVAX-THIRAM 200 SC"</formula1>
    </dataValidation>
    <dataValidation type="list" allowBlank="1" sqref="C19 C30 C34 C48 C53:C54 C59 C72:C73 C84 C90:C91 C96 C106:C107 C112 C117 C123:C124 C129 C140:C141 C146 C157:C158 C163 C174:C175 C180 C191:C192 C197 C209:C210 C215 C246 C253 C261:C262 C267 C280:C281 C286 C299:C300 C317:C318 C323 C333:C334 C339 C350:C351 C356 C367:C368 C373 C384:C385 C390 C401:C402 C407 C418:C419 C424 C436:C437 C442">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display="ÁREA PLANTIO" location="'ÁREA PLANTIO'!A1" ref="F1"/>
    <hyperlink display="ÁREA PLANTIO" location="'ÁREA PLANTIO'!A1" ref="F227"/>
  </hyperlinks>
  <printOptions/>
  <pageMargins bottom="0.787401575" footer="0.0" header="0.0" left="0.511811024" right="0.511811024" top="0.787401575"/>
  <pageSetup orientation="landscape"/>
  <drawing r:id="rId1"/>
  <tableParts count="2">
    <tablePart r:id="rId4"/>
    <tablePart r:id="rId5"/>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2.63" defaultRowHeight="15.0" outlineLevelRow="1"/>
  <cols>
    <col customWidth="1" min="1" max="1" width="13.88"/>
    <col customWidth="1" min="2" max="2" width="22.75"/>
    <col customWidth="1" min="3" max="3" width="33.63"/>
    <col customWidth="1" min="4" max="4" width="40.25"/>
    <col customWidth="1" min="5" max="5" width="20.13"/>
    <col customWidth="1" min="6" max="6" width="13.13"/>
    <col customWidth="1" min="7" max="7" width="13.75"/>
    <col customWidth="1" min="8" max="9" width="10.38"/>
    <col customWidth="1" min="10" max="10" width="14.0"/>
    <col customWidth="1" min="11" max="23" width="14.38"/>
  </cols>
  <sheetData>
    <row r="1" ht="15.75" customHeight="1">
      <c r="A1" s="260" t="s">
        <v>1203</v>
      </c>
      <c r="B1" s="261" t="str">
        <f>'ÁREA PLANTIO'!B20</f>
        <v>T02</v>
      </c>
      <c r="C1" s="262" t="s">
        <v>1166</v>
      </c>
      <c r="D1" s="263">
        <f>$K$225</f>
        <v>1706.749074</v>
      </c>
      <c r="E1" s="264"/>
      <c r="F1" s="265" t="s">
        <v>1167</v>
      </c>
      <c r="G1" s="266"/>
      <c r="H1" s="267"/>
      <c r="I1" s="267"/>
      <c r="J1" s="267"/>
      <c r="K1" s="266"/>
      <c r="L1" s="220"/>
      <c r="M1" s="220"/>
      <c r="N1" s="220"/>
      <c r="O1" s="220"/>
      <c r="P1" s="220"/>
      <c r="Q1" s="220"/>
      <c r="R1" s="220"/>
      <c r="S1" s="220"/>
      <c r="T1" s="220"/>
      <c r="U1" s="220"/>
      <c r="V1" s="220"/>
      <c r="W1" s="220"/>
    </row>
    <row r="2" ht="15.75" customHeight="1">
      <c r="A2" s="260" t="s">
        <v>1168</v>
      </c>
      <c r="B2" s="268">
        <f>'ÁREA PLANTIO'!E20</f>
        <v>220</v>
      </c>
      <c r="C2" s="269" t="s">
        <v>1169</v>
      </c>
      <c r="D2" s="270">
        <f>'ÁREA PLANTIO'!D20</f>
        <v>50</v>
      </c>
      <c r="E2" s="264"/>
      <c r="F2" s="264"/>
      <c r="G2" s="266"/>
      <c r="H2" s="267"/>
      <c r="I2" s="267"/>
      <c r="J2" s="267"/>
      <c r="K2" s="266"/>
      <c r="L2" s="220"/>
      <c r="M2" s="220"/>
      <c r="N2" s="220"/>
      <c r="O2" s="220"/>
      <c r="P2" s="220"/>
      <c r="Q2" s="220"/>
      <c r="R2" s="220"/>
      <c r="S2" s="220"/>
      <c r="T2" s="220"/>
      <c r="U2" s="220"/>
      <c r="V2" s="220"/>
      <c r="W2" s="220"/>
    </row>
    <row r="3" ht="15.75" customHeight="1">
      <c r="A3" s="260" t="s">
        <v>1170</v>
      </c>
      <c r="B3" s="267" t="str">
        <f>'ÁREA PLANTIO'!C20</f>
        <v>FE-SOJA SEQUEIRO-26/27</v>
      </c>
      <c r="C3" s="269" t="s">
        <v>1171</v>
      </c>
      <c r="D3" s="271">
        <f>D1/D2</f>
        <v>34.13498147</v>
      </c>
      <c r="E3" s="264"/>
      <c r="F3" s="264"/>
      <c r="G3" s="266"/>
      <c r="H3" s="267"/>
      <c r="I3" s="267"/>
      <c r="J3" s="267"/>
      <c r="K3" s="266"/>
      <c r="L3" s="220"/>
      <c r="M3" s="220"/>
      <c r="N3" s="220"/>
      <c r="O3" s="220"/>
      <c r="P3" s="220"/>
      <c r="Q3" s="220"/>
      <c r="R3" s="220"/>
      <c r="S3" s="220"/>
      <c r="T3" s="220"/>
      <c r="U3" s="220"/>
      <c r="V3" s="220"/>
      <c r="W3" s="220"/>
    </row>
    <row r="4" ht="15.75" customHeight="1">
      <c r="A4" s="272" t="s">
        <v>1172</v>
      </c>
      <c r="B4" s="273">
        <v>45606.0</v>
      </c>
      <c r="C4" s="274"/>
      <c r="D4" s="275"/>
      <c r="E4" s="276"/>
      <c r="F4" s="264"/>
      <c r="G4" s="266"/>
      <c r="H4" s="267"/>
      <c r="I4" s="267"/>
      <c r="J4" s="267"/>
      <c r="K4" s="266"/>
      <c r="L4" s="220"/>
      <c r="M4" s="220"/>
      <c r="N4" s="220"/>
      <c r="O4" s="220"/>
      <c r="P4" s="220"/>
      <c r="Q4" s="220"/>
      <c r="R4" s="220"/>
      <c r="S4" s="220"/>
      <c r="T4" s="220"/>
      <c r="U4" s="220"/>
      <c r="V4" s="220"/>
      <c r="W4" s="220"/>
    </row>
    <row r="5" ht="15.75" customHeight="1">
      <c r="E5" s="277"/>
      <c r="F5" s="264"/>
      <c r="G5" s="266"/>
      <c r="H5" s="267"/>
      <c r="I5" s="267"/>
      <c r="J5" s="267"/>
      <c r="K5" s="266"/>
      <c r="L5" s="220"/>
      <c r="M5" s="220"/>
      <c r="N5" s="220"/>
      <c r="O5" s="220"/>
      <c r="P5" s="220"/>
      <c r="Q5" s="220"/>
      <c r="R5" s="220"/>
      <c r="S5" s="220"/>
      <c r="T5" s="220"/>
      <c r="U5" s="220"/>
      <c r="V5" s="220"/>
      <c r="W5" s="220"/>
    </row>
    <row r="6" ht="15.75" customHeight="1">
      <c r="A6" s="260"/>
      <c r="B6" s="267"/>
      <c r="C6" s="264"/>
      <c r="D6" s="264"/>
      <c r="E6" s="264"/>
      <c r="F6" s="264"/>
      <c r="G6" s="266"/>
      <c r="H6" s="267"/>
      <c r="I6" s="267"/>
      <c r="J6" s="267"/>
      <c r="K6" s="266"/>
      <c r="L6" s="220"/>
      <c r="M6" s="220"/>
      <c r="N6" s="220"/>
      <c r="O6" s="220"/>
      <c r="P6" s="220"/>
      <c r="Q6" s="220"/>
      <c r="R6" s="220"/>
      <c r="S6" s="220"/>
      <c r="T6" s="220"/>
      <c r="U6" s="220"/>
      <c r="V6" s="220"/>
      <c r="W6" s="220"/>
    </row>
    <row r="7" ht="15.75" customHeight="1">
      <c r="A7" s="267"/>
      <c r="B7" s="267"/>
      <c r="C7" s="264"/>
      <c r="D7" s="264"/>
      <c r="E7" s="264"/>
      <c r="F7" s="264"/>
      <c r="G7" s="266"/>
      <c r="H7" s="267"/>
      <c r="I7" s="267"/>
      <c r="J7" s="267"/>
      <c r="K7" s="266"/>
      <c r="L7" s="220"/>
      <c r="M7" s="220"/>
      <c r="N7" s="220"/>
      <c r="O7" s="220"/>
      <c r="P7" s="220"/>
      <c r="Q7" s="220"/>
      <c r="R7" s="220"/>
      <c r="S7" s="220"/>
      <c r="T7" s="220"/>
      <c r="U7" s="220"/>
      <c r="V7" s="220"/>
      <c r="W7" s="220"/>
    </row>
    <row r="8" ht="15.75" customHeight="1">
      <c r="A8" s="267"/>
      <c r="B8" s="267"/>
      <c r="C8" s="267"/>
      <c r="D8" s="267"/>
      <c r="E8" s="264"/>
      <c r="F8" s="264"/>
      <c r="G8" s="266"/>
      <c r="H8" s="267"/>
      <c r="I8" s="267"/>
      <c r="J8" s="267"/>
      <c r="K8" s="266"/>
      <c r="L8" s="220"/>
      <c r="M8" s="220"/>
      <c r="N8" s="220"/>
      <c r="O8" s="220"/>
      <c r="P8" s="220"/>
      <c r="Q8" s="220"/>
      <c r="R8" s="220"/>
      <c r="S8" s="220"/>
      <c r="T8" s="220"/>
      <c r="U8" s="220"/>
      <c r="V8" s="220"/>
      <c r="W8" s="220"/>
    </row>
    <row r="9" ht="15.75" customHeight="1">
      <c r="A9" s="211" t="s">
        <v>1173</v>
      </c>
      <c r="B9" s="213" t="s">
        <v>1174</v>
      </c>
      <c r="C9" s="213" t="s">
        <v>1175</v>
      </c>
      <c r="D9" s="211" t="s">
        <v>1176</v>
      </c>
      <c r="E9" s="211" t="s">
        <v>1177</v>
      </c>
      <c r="F9" s="211" t="s">
        <v>1178</v>
      </c>
      <c r="G9" s="278" t="s">
        <v>1179</v>
      </c>
      <c r="H9" s="278" t="s">
        <v>1180</v>
      </c>
      <c r="I9" s="278" t="s">
        <v>1181</v>
      </c>
      <c r="J9" s="279" t="s">
        <v>1134</v>
      </c>
      <c r="K9" s="280" t="s">
        <v>1182</v>
      </c>
      <c r="L9" s="281" t="s">
        <v>339</v>
      </c>
      <c r="M9" s="220"/>
      <c r="N9" s="220"/>
      <c r="O9" s="220"/>
      <c r="P9" s="220"/>
      <c r="Q9" s="220"/>
      <c r="R9" s="220"/>
      <c r="S9" s="220"/>
      <c r="T9" s="220"/>
      <c r="U9" s="220"/>
      <c r="V9" s="220"/>
      <c r="W9" s="220"/>
    </row>
    <row r="10" ht="15.75" customHeight="1">
      <c r="A10" s="231" t="s">
        <v>1183</v>
      </c>
      <c r="B10" s="230"/>
      <c r="C10" s="231"/>
      <c r="D10" s="232" t="s">
        <v>216</v>
      </c>
      <c r="E10" s="231"/>
      <c r="F10" s="231"/>
      <c r="G10" s="233"/>
      <c r="H10" s="282"/>
      <c r="I10" s="258"/>
      <c r="J10" s="236"/>
      <c r="K10" s="237">
        <f t="shared" ref="K10:L10" si="1">SUBTOTAL(9,K11:K24)</f>
        <v>0</v>
      </c>
      <c r="L10" s="237">
        <f t="shared" si="1"/>
        <v>0</v>
      </c>
      <c r="M10" s="220"/>
      <c r="N10" s="220"/>
      <c r="O10" s="220"/>
      <c r="P10" s="220"/>
      <c r="Q10" s="220"/>
      <c r="R10" s="220"/>
      <c r="S10" s="220"/>
      <c r="T10" s="220"/>
      <c r="U10" s="220"/>
      <c r="V10" s="220"/>
      <c r="W10" s="220"/>
    </row>
    <row r="11" outlineLevel="1">
      <c r="A11" s="213"/>
      <c r="B11" s="212" t="s">
        <v>8</v>
      </c>
      <c r="C11" s="213" t="s">
        <v>397</v>
      </c>
      <c r="D11" s="214" t="str">
        <f>IFERROR(VLOOKUP($C11,'PORTIFÓLIO'!C:V,2,0),"")</f>
        <v>CaO 38%  MgO 18%</v>
      </c>
      <c r="E11" s="211" t="str">
        <f>IFERROR(VLOOKUP($C11,'PORTIFÓLIO'!C:V,3,0),"")</f>
        <v/>
      </c>
      <c r="F11" s="211" t="str">
        <f>IFERROR(VLOOKUP($C11,'PORTIFÓLIO'!C:V,4,0),"")</f>
        <v>Ton</v>
      </c>
      <c r="G11" s="215" t="str">
        <f>IFERROR(VLOOKUP($C11,'PORTIFÓLIO'!C:V,5,0),"")</f>
        <v/>
      </c>
      <c r="H11" s="254" t="str">
        <f t="array" ref="H11">IFERROR(INDEX('PORTIFÓLIO'!$H$4:$H$433,MATCH($C11,'PORTIFÓLIO'!$C$4:$C$433,0)),"")</f>
        <v/>
      </c>
      <c r="I11" s="255">
        <v>3.0</v>
      </c>
      <c r="J11" s="218">
        <f t="shared" ref="J11:J24" si="2">I11*$B$2</f>
        <v>660</v>
      </c>
      <c r="K11" s="219">
        <f t="array" ref="K11">IFERROR(I11*INDEX('PORTIFÓLIO'!$S$4:$S$433,MATCH($C11,'PORTIFÓLIO'!$C$4:$C$433,0)),"")</f>
        <v>0</v>
      </c>
      <c r="L11" s="219">
        <f t="array" ref="L11">IFERROR(J11*INDEX('PORTIFÓLIO'!$S$4:$S$433,MATCH($C11,'PORTIFÓLIO'!$C$4:$C$433,0)),"")</f>
        <v>0</v>
      </c>
      <c r="M11" s="220"/>
      <c r="N11" s="220"/>
      <c r="O11" s="220"/>
      <c r="P11" s="220"/>
      <c r="Q11" s="220"/>
      <c r="R11" s="220"/>
      <c r="S11" s="220"/>
      <c r="T11" s="220"/>
      <c r="U11" s="220" t="str">
        <f>IFERROR(__xludf.DUMMYFUNCTION("FILTER('PORTIFÓLIO'!C:C, 'PORTIFÓLIO'!B:B=B11)"),"#REF!")</f>
        <v>#REF!</v>
      </c>
      <c r="V11" s="220"/>
      <c r="W11" s="220"/>
    </row>
    <row r="12" outlineLevel="1">
      <c r="A12" s="213"/>
      <c r="B12" s="212" t="s">
        <v>7</v>
      </c>
      <c r="C12" s="213" t="s">
        <v>413</v>
      </c>
      <c r="D12" s="214" t="str">
        <f>IFERROR(VLOOKUP($C12,'PORTIFÓLIO'!C:V,2,0),"")</f>
        <v>P 21%</v>
      </c>
      <c r="E12" s="211" t="str">
        <f>IFERROR(VLOOKUP($C12,'PORTIFÓLIO'!C:V,3,0),"")</f>
        <v/>
      </c>
      <c r="F12" s="211" t="str">
        <f>IFERROR(VLOOKUP($C12,'PORTIFÓLIO'!C:V,4,0),"")</f>
        <v>Ton</v>
      </c>
      <c r="G12" s="215" t="str">
        <f>IFERROR(VLOOKUP($C12,'PORTIFÓLIO'!C:V,5,0),"")</f>
        <v/>
      </c>
      <c r="H12" s="254" t="str">
        <f t="array" ref="H12">IFERROR(INDEX('PORTIFÓLIO'!$H$4:$H$433,MATCH($C12,'PORTIFÓLIO'!$C$4:$C$433,0)),"")</f>
        <v/>
      </c>
      <c r="I12" s="255">
        <v>0.2</v>
      </c>
      <c r="J12" s="218">
        <f t="shared" si="2"/>
        <v>44</v>
      </c>
      <c r="K12" s="219">
        <f t="array" ref="K12">IFERROR(I12*INDEX('PORTIFÓLIO'!$S$4:$S$433,MATCH($C12,'PORTIFÓLIO'!$C$4:$C$433,0)),"")</f>
        <v>0</v>
      </c>
      <c r="L12" s="219">
        <f t="array" ref="L12">IFERROR(J12*INDEX('PORTIFÓLIO'!$S$4:$S$433,MATCH($C12,'PORTIFÓLIO'!$C$4:$C$433,0)),"")</f>
        <v>0</v>
      </c>
      <c r="M12" s="220"/>
      <c r="N12" s="220"/>
      <c r="O12" s="220"/>
      <c r="P12" s="220"/>
      <c r="Q12" s="220"/>
      <c r="R12" s="220"/>
      <c r="S12" s="220"/>
      <c r="T12" s="220"/>
      <c r="U12" s="220" t="str">
        <f>IFERROR(__xludf.DUMMYFUNCTION("FILTER('PORTIFÓLIO'!C:C, 'PORTIFÓLIO'!B:B=B12)"),"#REF!")</f>
        <v>#REF!</v>
      </c>
      <c r="V12" s="220"/>
      <c r="W12" s="220"/>
    </row>
    <row r="13" outlineLevel="1">
      <c r="A13" s="213"/>
      <c r="B13" s="212" t="s">
        <v>7</v>
      </c>
      <c r="C13" s="213" t="s">
        <v>405</v>
      </c>
      <c r="D13" s="214" t="str">
        <f>IFERROR(VLOOKUP($C13,'PORTIFÓLIO'!C:V,2,0),"")</f>
        <v>K2O 60%</v>
      </c>
      <c r="E13" s="211" t="str">
        <f>IFERROR(VLOOKUP($C13,'PORTIFÓLIO'!C:V,3,0),"")</f>
        <v/>
      </c>
      <c r="F13" s="211" t="str">
        <f>IFERROR(VLOOKUP($C13,'PORTIFÓLIO'!C:V,4,0),"")</f>
        <v>Ton</v>
      </c>
      <c r="G13" s="215" t="str">
        <f>IFERROR(VLOOKUP($C13,'PORTIFÓLIO'!C:V,5,0),"")</f>
        <v/>
      </c>
      <c r="H13" s="254" t="str">
        <f t="array" ref="H13">IFERROR(INDEX('PORTIFÓLIO'!$H$4:$H$433,MATCH($C13,'PORTIFÓLIO'!$C$4:$C$433,0)),"")</f>
        <v/>
      </c>
      <c r="I13" s="255">
        <v>0.3</v>
      </c>
      <c r="J13" s="218">
        <f t="shared" si="2"/>
        <v>66</v>
      </c>
      <c r="K13" s="219">
        <f t="array" ref="K13">IFERROR(I13*INDEX('PORTIFÓLIO'!$S$4:$S$433,MATCH($C13,'PORTIFÓLIO'!$C$4:$C$433,0)),"")</f>
        <v>0</v>
      </c>
      <c r="L13" s="219">
        <f t="array" ref="L13">IFERROR(J13*INDEX('PORTIFÓLIO'!$S$4:$S$433,MATCH($C13,'PORTIFÓLIO'!$C$4:$C$433,0)),"")</f>
        <v>0</v>
      </c>
      <c r="M13" s="220"/>
      <c r="N13" s="220"/>
      <c r="O13" s="220"/>
      <c r="P13" s="220"/>
      <c r="Q13" s="220"/>
      <c r="R13" s="220"/>
      <c r="S13" s="220"/>
      <c r="T13" s="220"/>
      <c r="U13" s="220" t="str">
        <f>IFERROR(__xludf.DUMMYFUNCTION("FILTER('PORTIFÓLIO'!C:C, 'PORTIFÓLIO'!B:B=B13)"),"#REF!")</f>
        <v>#REF!</v>
      </c>
      <c r="V13" s="220"/>
      <c r="W13" s="220"/>
    </row>
    <row r="14" outlineLevel="1">
      <c r="A14" s="211"/>
      <c r="B14" s="212" t="s">
        <v>7</v>
      </c>
      <c r="C14" s="213" t="s">
        <v>429</v>
      </c>
      <c r="D14" s="214" t="str">
        <f>IFERROR(VLOOKUP($C14,'PORTIFÓLIO'!C:V,2,0),"")</f>
        <v>Cu 2% Mn 8% Zn 7% </v>
      </c>
      <c r="E14" s="211" t="str">
        <f>IFERROR(VLOOKUP($C14,'PORTIFÓLIO'!C:V,3,0),"")</f>
        <v/>
      </c>
      <c r="F14" s="211" t="str">
        <f>IFERROR(VLOOKUP($C14,'PORTIFÓLIO'!C:V,4,0),"")</f>
        <v>Ton</v>
      </c>
      <c r="G14" s="215" t="str">
        <f>IFERROR(VLOOKUP($C14,'PORTIFÓLIO'!C:V,5,0),"")</f>
        <v/>
      </c>
      <c r="H14" s="254" t="str">
        <f t="array" ref="H14">IFERROR(INDEX('PORTIFÓLIO'!$H$4:$H$433,MATCH($C14,'PORTIFÓLIO'!$C$4:$C$433,0)),"")</f>
        <v/>
      </c>
      <c r="I14" s="255">
        <v>0.05</v>
      </c>
      <c r="J14" s="218">
        <f t="shared" si="2"/>
        <v>11</v>
      </c>
      <c r="K14" s="219">
        <f t="array" ref="K14">IFERROR(I14*INDEX('PORTIFÓLIO'!$S$4:$S$433,MATCH($C14,'PORTIFÓLIO'!$C$4:$C$433,0)),"")</f>
        <v>0</v>
      </c>
      <c r="L14" s="219">
        <f t="array" ref="L14">IFERROR(J14*INDEX('PORTIFÓLIO'!$S$4:$S$433,MATCH($C14,'PORTIFÓLIO'!$C$4:$C$433,0)),"")</f>
        <v>0</v>
      </c>
      <c r="M14" s="220"/>
      <c r="N14" s="220"/>
      <c r="O14" s="220"/>
      <c r="P14" s="220"/>
      <c r="Q14" s="220"/>
      <c r="R14" s="220"/>
      <c r="S14" s="220"/>
      <c r="T14" s="220"/>
      <c r="U14" s="220" t="str">
        <f>IFERROR(__xludf.DUMMYFUNCTION("FILTER('PORTIFÓLIO'!C:C, 'PORTIFÓLIO'!B:B=B14)"),"#REF!")</f>
        <v>#REF!</v>
      </c>
      <c r="V14" s="220"/>
      <c r="W14" s="220"/>
    </row>
    <row r="15" outlineLevel="1">
      <c r="A15" s="211"/>
      <c r="B15" s="212"/>
      <c r="C15" s="213"/>
      <c r="D15" s="214" t="str">
        <f>IFERROR(VLOOKUP($C15,'PORTIFÓLIO'!C:V,2,0),"")</f>
        <v/>
      </c>
      <c r="E15" s="211" t="str">
        <f>IFERROR(VLOOKUP($C15,'PORTIFÓLIO'!C:V,3,0),"")</f>
        <v/>
      </c>
      <c r="F15" s="211" t="str">
        <f>IFERROR(VLOOKUP($C15,'PORTIFÓLIO'!C:V,4,0),"")</f>
        <v/>
      </c>
      <c r="G15" s="215" t="str">
        <f>IFERROR(VLOOKUP($C15,'PORTIFÓLIO'!C:V,5,0),"")</f>
        <v/>
      </c>
      <c r="H15" s="254" t="str">
        <f t="array" ref="H15">IFERROR(INDEX('PORTIFÓLIO'!$H$4:$H$433,MATCH($C15,'PORTIFÓLIO'!$C$4:$C$433,0)),"")</f>
        <v/>
      </c>
      <c r="I15" s="255"/>
      <c r="J15" s="218">
        <f t="shared" si="2"/>
        <v>0</v>
      </c>
      <c r="K15" s="219" t="str">
        <f t="array" ref="K15">IFERROR(I15*INDEX('PORTIFÓLIO'!$S$4:$S$433,MATCH($C15,'PORTIFÓLIO'!$C$4:$C$433,0)),"")</f>
        <v/>
      </c>
      <c r="L15" s="219" t="str">
        <f t="array" ref="L15">IFERROR(J15*INDEX('PORTIFÓLIO'!$S$4:$S$433,MATCH($C15,'PORTIFÓLIO'!$C$4:$C$433,0)),"")</f>
        <v/>
      </c>
      <c r="M15" s="220"/>
      <c r="N15" s="220"/>
      <c r="O15" s="220"/>
      <c r="P15" s="220"/>
      <c r="Q15" s="220"/>
      <c r="R15" s="220"/>
      <c r="S15" s="220"/>
      <c r="T15" s="220"/>
      <c r="U15" s="220" t="str">
        <f>IFERROR(__xludf.DUMMYFUNCTION("FILTER('PORTIFÓLIO'!C:C, 'PORTIFÓLIO'!B:B=B15)"),"#REF!")</f>
        <v>#REF!</v>
      </c>
      <c r="V15" s="220"/>
      <c r="W15" s="220"/>
    </row>
    <row r="16" outlineLevel="1">
      <c r="A16" s="211"/>
      <c r="B16" s="212"/>
      <c r="C16" s="213"/>
      <c r="D16" s="214" t="str">
        <f>IFERROR(VLOOKUP($C16,'PORTIFÓLIO'!C:V,2,0),"")</f>
        <v/>
      </c>
      <c r="E16" s="211" t="str">
        <f>IFERROR(VLOOKUP($C16,'PORTIFÓLIO'!C:V,3,0),"")</f>
        <v/>
      </c>
      <c r="F16" s="211" t="str">
        <f>IFERROR(VLOOKUP($C16,'PORTIFÓLIO'!C:V,4,0),"")</f>
        <v/>
      </c>
      <c r="G16" s="215" t="str">
        <f>IFERROR(VLOOKUP($C16,'PORTIFÓLIO'!C:V,5,0),"")</f>
        <v/>
      </c>
      <c r="H16" s="254" t="str">
        <f t="array" ref="H16">IFERROR(INDEX('PORTIFÓLIO'!$H$4:$H$433,MATCH($C16,'PORTIFÓLIO'!$C$4:$C$433,0)),"")</f>
        <v/>
      </c>
      <c r="I16" s="255"/>
      <c r="J16" s="218">
        <f t="shared" si="2"/>
        <v>0</v>
      </c>
      <c r="K16" s="219" t="str">
        <f t="array" ref="K16">IFERROR(I16*INDEX('PORTIFÓLIO'!$S$4:$S$433,MATCH($C16,'PORTIFÓLIO'!$C$4:$C$433,0)),"")</f>
        <v/>
      </c>
      <c r="L16" s="219" t="str">
        <f t="array" ref="L16">IFERROR(J16*INDEX('PORTIFÓLIO'!$S$4:$S$433,MATCH($C16,'PORTIFÓLIO'!$C$4:$C$433,0)),"")</f>
        <v/>
      </c>
      <c r="M16" s="220"/>
      <c r="N16" s="220"/>
      <c r="O16" s="220"/>
      <c r="P16" s="220"/>
      <c r="Q16" s="220"/>
      <c r="R16" s="220"/>
      <c r="S16" s="220"/>
      <c r="T16" s="220"/>
      <c r="U16" s="220" t="str">
        <f>IFERROR(__xludf.DUMMYFUNCTION("FILTER('PORTIFÓLIO'!C:C, 'PORTIFÓLIO'!B:B=B16)"),"#REF!")</f>
        <v>#REF!</v>
      </c>
      <c r="V16" s="220"/>
      <c r="W16" s="220"/>
    </row>
    <row r="17" outlineLevel="1">
      <c r="A17" s="211"/>
      <c r="B17" s="212"/>
      <c r="C17" s="213"/>
      <c r="D17" s="214" t="str">
        <f>IFERROR(VLOOKUP($C17,'PORTIFÓLIO'!C:V,2,0),"")</f>
        <v/>
      </c>
      <c r="E17" s="211" t="str">
        <f>IFERROR(VLOOKUP($C17,'PORTIFÓLIO'!C:V,3,0),"")</f>
        <v/>
      </c>
      <c r="F17" s="211" t="str">
        <f>IFERROR(VLOOKUP($C17,'PORTIFÓLIO'!C:V,4,0),"")</f>
        <v/>
      </c>
      <c r="G17" s="215" t="str">
        <f>IFERROR(VLOOKUP($C17,'PORTIFÓLIO'!C:V,5,0),"")</f>
        <v/>
      </c>
      <c r="H17" s="254" t="str">
        <f t="array" ref="H17">IFERROR(INDEX('PORTIFÓLIO'!$H$4:$H$433,MATCH($C17,'PORTIFÓLIO'!$C$4:$C$433,0)),"")</f>
        <v/>
      </c>
      <c r="I17" s="255"/>
      <c r="J17" s="218">
        <f t="shared" si="2"/>
        <v>0</v>
      </c>
      <c r="K17" s="219" t="str">
        <f t="array" ref="K17">IFERROR(I17*INDEX('PORTIFÓLIO'!$S$4:$S$433,MATCH($C17,'PORTIFÓLIO'!$C$4:$C$433,0)),"")</f>
        <v/>
      </c>
      <c r="L17" s="219" t="str">
        <f t="array" ref="L17">IFERROR(J17*INDEX('PORTIFÓLIO'!$S$4:$S$433,MATCH($C17,'PORTIFÓLIO'!$C$4:$C$433,0)),"")</f>
        <v/>
      </c>
      <c r="M17" s="220"/>
      <c r="N17" s="220"/>
      <c r="O17" s="220"/>
      <c r="P17" s="220"/>
      <c r="Q17" s="220"/>
      <c r="R17" s="220"/>
      <c r="S17" s="220"/>
      <c r="T17" s="220"/>
      <c r="U17" s="220" t="str">
        <f>IFERROR(__xludf.DUMMYFUNCTION("FILTER('PORTIFÓLIO'!C:C, 'PORTIFÓLIO'!B:B=B17)"),"#REF!")</f>
        <v>#REF!</v>
      </c>
      <c r="V17" s="220"/>
      <c r="W17" s="220"/>
    </row>
    <row r="18" outlineLevel="1">
      <c r="A18" s="211"/>
      <c r="B18" s="212"/>
      <c r="C18" s="213"/>
      <c r="D18" s="214" t="str">
        <f>IFERROR(VLOOKUP($C18,'PORTIFÓLIO'!C:V,2,0),"")</f>
        <v/>
      </c>
      <c r="E18" s="211" t="str">
        <f>IFERROR(VLOOKUP($C18,'PORTIFÓLIO'!C:V,3,0),"")</f>
        <v/>
      </c>
      <c r="F18" s="211" t="str">
        <f>IFERROR(VLOOKUP($C18,'PORTIFÓLIO'!C:V,4,0),"")</f>
        <v/>
      </c>
      <c r="G18" s="215" t="str">
        <f>IFERROR(VLOOKUP($C18,'PORTIFÓLIO'!C:V,5,0),"")</f>
        <v/>
      </c>
      <c r="H18" s="254" t="str">
        <f t="array" ref="H18">IFERROR(INDEX('PORTIFÓLIO'!$H$4:$H$433,MATCH($C18,'PORTIFÓLIO'!$C$4:$C$433,0)),"")</f>
        <v/>
      </c>
      <c r="I18" s="255"/>
      <c r="J18" s="218">
        <f t="shared" si="2"/>
        <v>0</v>
      </c>
      <c r="K18" s="219" t="str">
        <f t="array" ref="K18">IFERROR(I18*INDEX('PORTIFÓLIO'!$S$4:$S$433,MATCH($C18,'PORTIFÓLIO'!$C$4:$C$433,0)),"")</f>
        <v/>
      </c>
      <c r="L18" s="219" t="str">
        <f t="array" ref="L18">IFERROR(J18*INDEX('PORTIFÓLIO'!$S$4:$S$433,MATCH($C18,'PORTIFÓLIO'!$C$4:$C$433,0)),"")</f>
        <v/>
      </c>
      <c r="M18" s="220"/>
      <c r="N18" s="220"/>
      <c r="O18" s="220"/>
      <c r="P18" s="220"/>
      <c r="Q18" s="220"/>
      <c r="R18" s="220"/>
      <c r="S18" s="220"/>
      <c r="T18" s="220"/>
      <c r="U18" s="220" t="str">
        <f>IFERROR(__xludf.DUMMYFUNCTION("FILTER('PORTIFÓLIO'!C:C, 'PORTIFÓLIO'!B:B=B18)"),"#REF!")</f>
        <v>#REF!</v>
      </c>
      <c r="V18" s="220"/>
      <c r="W18" s="220"/>
    </row>
    <row r="19" outlineLevel="1">
      <c r="A19" s="211"/>
      <c r="B19" s="212"/>
      <c r="C19" s="213"/>
      <c r="D19" s="214" t="str">
        <f>IFERROR(VLOOKUP($C19,'PORTIFÓLIO'!C:V,2,0),"")</f>
        <v/>
      </c>
      <c r="E19" s="211" t="str">
        <f>IFERROR(VLOOKUP($C19,'PORTIFÓLIO'!C:V,3,0),"")</f>
        <v/>
      </c>
      <c r="F19" s="211" t="str">
        <f>IFERROR(VLOOKUP($C19,'PORTIFÓLIO'!C:V,4,0),"")</f>
        <v/>
      </c>
      <c r="G19" s="215" t="str">
        <f>IFERROR(VLOOKUP($C19,'PORTIFÓLIO'!C:V,5,0),"")</f>
        <v/>
      </c>
      <c r="H19" s="254" t="str">
        <f t="array" ref="H19">IFERROR(INDEX('PORTIFÓLIO'!$H$4:$H$433,MATCH($C19,'PORTIFÓLIO'!$C$4:$C$433,0)),"")</f>
        <v/>
      </c>
      <c r="I19" s="255"/>
      <c r="J19" s="218">
        <f t="shared" si="2"/>
        <v>0</v>
      </c>
      <c r="K19" s="219" t="str">
        <f t="array" ref="K19">IFERROR(I19*INDEX('PORTIFÓLIO'!$S$4:$S$433,MATCH($C19,'PORTIFÓLIO'!$C$4:$C$433,0)),"")</f>
        <v/>
      </c>
      <c r="L19" s="219" t="str">
        <f t="array" ref="L19">IFERROR(J19*INDEX('PORTIFÓLIO'!$S$4:$S$433,MATCH($C19,'PORTIFÓLIO'!$C$4:$C$433,0)),"")</f>
        <v/>
      </c>
      <c r="M19" s="220"/>
      <c r="N19" s="220"/>
      <c r="O19" s="220"/>
      <c r="P19" s="220"/>
      <c r="Q19" s="220"/>
      <c r="R19" s="220"/>
      <c r="S19" s="220"/>
      <c r="T19" s="220"/>
      <c r="U19" s="220" t="str">
        <f>IFERROR(__xludf.DUMMYFUNCTION("FILTER('PORTIFÓLIO'!C:C, 'PORTIFÓLIO'!B:B=B19)"),"")</f>
        <v/>
      </c>
      <c r="V19" s="220"/>
      <c r="W19" s="220"/>
    </row>
    <row r="20" outlineLevel="1">
      <c r="A20" s="211"/>
      <c r="B20" s="212"/>
      <c r="C20" s="213"/>
      <c r="D20" s="214" t="str">
        <f>IFERROR(VLOOKUP($C20,'PORTIFÓLIO'!C:V,2,0),"")</f>
        <v/>
      </c>
      <c r="E20" s="211" t="str">
        <f>IFERROR(VLOOKUP($C20,'PORTIFÓLIO'!C:V,3,0),"")</f>
        <v/>
      </c>
      <c r="F20" s="211" t="str">
        <f>IFERROR(VLOOKUP($C20,'PORTIFÓLIO'!C:V,4,0),"")</f>
        <v/>
      </c>
      <c r="G20" s="215" t="str">
        <f>IFERROR(VLOOKUP($C20,'PORTIFÓLIO'!C:V,5,0),"")</f>
        <v/>
      </c>
      <c r="H20" s="254" t="str">
        <f t="array" ref="H20">IFERROR(INDEX('PORTIFÓLIO'!$H$4:$H$433,MATCH($C20,'PORTIFÓLIO'!$C$4:$C$433,0)),"")</f>
        <v/>
      </c>
      <c r="I20" s="255"/>
      <c r="J20" s="218">
        <f t="shared" si="2"/>
        <v>0</v>
      </c>
      <c r="K20" s="219" t="str">
        <f t="array" ref="K20">IFERROR(I20*INDEX('PORTIFÓLIO'!$S$4:$S$433,MATCH($C20,'PORTIFÓLIO'!$C$4:$C$433,0)),"")</f>
        <v/>
      </c>
      <c r="L20" s="219" t="str">
        <f t="array" ref="L20">IFERROR(J20*INDEX('PORTIFÓLIO'!$S$4:$S$433,MATCH($C20,'PORTIFÓLIO'!$C$4:$C$433,0)),"")</f>
        <v/>
      </c>
      <c r="M20" s="220"/>
      <c r="N20" s="220"/>
      <c r="O20" s="220"/>
      <c r="P20" s="220"/>
      <c r="Q20" s="220"/>
      <c r="R20" s="220"/>
      <c r="S20" s="220"/>
      <c r="T20" s="220"/>
      <c r="U20" s="220"/>
      <c r="V20" s="220"/>
      <c r="W20" s="220"/>
    </row>
    <row r="21" ht="15.75" customHeight="1" outlineLevel="1">
      <c r="A21" s="211"/>
      <c r="B21" s="212"/>
      <c r="C21" s="213"/>
      <c r="D21" s="214" t="str">
        <f>IFERROR(VLOOKUP($C21,'PORTIFÓLIO'!C:V,2,0),"")</f>
        <v/>
      </c>
      <c r="E21" s="211" t="str">
        <f>IFERROR(VLOOKUP($C21,'PORTIFÓLIO'!C:V,3,0),"")</f>
        <v/>
      </c>
      <c r="F21" s="211" t="str">
        <f>IFERROR(VLOOKUP($C21,'PORTIFÓLIO'!C:V,4,0),"")</f>
        <v/>
      </c>
      <c r="G21" s="215" t="str">
        <f>IFERROR(VLOOKUP($C21,'PORTIFÓLIO'!C:V,5,0),"")</f>
        <v/>
      </c>
      <c r="H21" s="254" t="str">
        <f t="array" ref="H21">IFERROR(INDEX('PORTIFÓLIO'!$H$4:$H$433,MATCH($C21,'PORTIFÓLIO'!$C$4:$C$433,0)),"")</f>
        <v/>
      </c>
      <c r="I21" s="255"/>
      <c r="J21" s="218">
        <f t="shared" si="2"/>
        <v>0</v>
      </c>
      <c r="K21" s="219" t="str">
        <f t="array" ref="K21">IFERROR(I21*INDEX('PORTIFÓLIO'!$S$4:$S$433,MATCH($C21,'PORTIFÓLIO'!$C$4:$C$433,0)),"")</f>
        <v/>
      </c>
      <c r="L21" s="219" t="str">
        <f t="array" ref="L21">IFERROR(J21*INDEX('PORTIFÓLIO'!$S$4:$S$433,MATCH($C21,'PORTIFÓLIO'!$C$4:$C$433,0)),"")</f>
        <v/>
      </c>
      <c r="M21" s="220"/>
      <c r="N21" s="220"/>
      <c r="O21" s="220"/>
      <c r="P21" s="220"/>
      <c r="Q21" s="220"/>
      <c r="R21" s="220"/>
      <c r="S21" s="220"/>
      <c r="T21" s="220"/>
      <c r="U21" s="220"/>
      <c r="V21" s="220"/>
      <c r="W21" s="220"/>
    </row>
    <row r="22" ht="15.75" customHeight="1" outlineLevel="1">
      <c r="A22" s="211"/>
      <c r="B22" s="212"/>
      <c r="C22" s="213"/>
      <c r="D22" s="214" t="str">
        <f>IFERROR(VLOOKUP($C22,'PORTIFÓLIO'!C:V,2,0),"")</f>
        <v/>
      </c>
      <c r="E22" s="211" t="str">
        <f>IFERROR(VLOOKUP($C22,'PORTIFÓLIO'!C:V,3,0),"")</f>
        <v/>
      </c>
      <c r="F22" s="211" t="str">
        <f>IFERROR(VLOOKUP($C22,'PORTIFÓLIO'!C:V,4,0),"")</f>
        <v/>
      </c>
      <c r="G22" s="215" t="str">
        <f>IFERROR(VLOOKUP($C22,'PORTIFÓLIO'!C:V,5,0),"")</f>
        <v/>
      </c>
      <c r="H22" s="254" t="str">
        <f t="array" ref="H22">IFERROR(INDEX('PORTIFÓLIO'!$H$4:$H$433,MATCH($C22,'PORTIFÓLIO'!$C$4:$C$433,0)),"")</f>
        <v/>
      </c>
      <c r="I22" s="255"/>
      <c r="J22" s="218">
        <f t="shared" si="2"/>
        <v>0</v>
      </c>
      <c r="K22" s="219" t="str">
        <f t="array" ref="K22">IFERROR(I22*INDEX('PORTIFÓLIO'!$S$4:$S$433,MATCH($C22,'PORTIFÓLIO'!$C$4:$C$433,0)),"")</f>
        <v/>
      </c>
      <c r="L22" s="219" t="str">
        <f t="array" ref="L22">IFERROR(J22*INDEX('PORTIFÓLIO'!$S$4:$S$433,MATCH($C22,'PORTIFÓLIO'!$C$4:$C$433,0)),"")</f>
        <v/>
      </c>
      <c r="M22" s="220"/>
      <c r="N22" s="220"/>
      <c r="O22" s="220"/>
      <c r="P22" s="220"/>
      <c r="Q22" s="220"/>
      <c r="R22" s="220"/>
      <c r="S22" s="220"/>
      <c r="T22" s="220"/>
      <c r="U22" s="220"/>
      <c r="V22" s="220"/>
      <c r="W22" s="220"/>
    </row>
    <row r="23" ht="15.75" customHeight="1" outlineLevel="1">
      <c r="A23" s="211"/>
      <c r="B23" s="212"/>
      <c r="C23" s="213"/>
      <c r="D23" s="214" t="str">
        <f>IFERROR(VLOOKUP($C23,'PORTIFÓLIO'!C:V,2,0),"")</f>
        <v/>
      </c>
      <c r="E23" s="211" t="str">
        <f>IFERROR(VLOOKUP($C23,'PORTIFÓLIO'!C:V,3,0),"")</f>
        <v/>
      </c>
      <c r="F23" s="211" t="str">
        <f>IFERROR(VLOOKUP($C23,'PORTIFÓLIO'!C:V,4,0),"")</f>
        <v/>
      </c>
      <c r="G23" s="215" t="str">
        <f>IFERROR(VLOOKUP($C23,'PORTIFÓLIO'!C:V,5,0),"")</f>
        <v/>
      </c>
      <c r="H23" s="254" t="str">
        <f t="array" ref="H23">IFERROR(INDEX('PORTIFÓLIO'!$H$4:$H$433,MATCH($C23,'PORTIFÓLIO'!$C$4:$C$433,0)),"")</f>
        <v/>
      </c>
      <c r="I23" s="255"/>
      <c r="J23" s="218">
        <f t="shared" si="2"/>
        <v>0</v>
      </c>
      <c r="K23" s="219" t="str">
        <f t="array" ref="K23">IFERROR(I23*INDEX('PORTIFÓLIO'!$S$4:$S$433,MATCH($C23,'PORTIFÓLIO'!$C$4:$C$433,0)),"")</f>
        <v/>
      </c>
      <c r="L23" s="219" t="str">
        <f t="array" ref="L23">IFERROR(J23*INDEX('PORTIFÓLIO'!$S$4:$S$433,MATCH($C23,'PORTIFÓLIO'!$C$4:$C$433,0)),"")</f>
        <v/>
      </c>
      <c r="M23" s="220"/>
      <c r="N23" s="220"/>
      <c r="O23" s="220"/>
      <c r="P23" s="220"/>
      <c r="Q23" s="220"/>
      <c r="R23" s="220"/>
      <c r="S23" s="220"/>
      <c r="T23" s="220"/>
      <c r="U23" s="220"/>
      <c r="V23" s="220"/>
      <c r="W23" s="220"/>
    </row>
    <row r="24" ht="15.75" customHeight="1" outlineLevel="1">
      <c r="A24" s="211"/>
      <c r="B24" s="212"/>
      <c r="C24" s="213"/>
      <c r="D24" s="214" t="str">
        <f>IFERROR(VLOOKUP($C24,'PORTIFÓLIO'!C:V,2,0),"")</f>
        <v/>
      </c>
      <c r="E24" s="211" t="str">
        <f>IFERROR(VLOOKUP($C24,'PORTIFÓLIO'!C:V,3,0),"")</f>
        <v/>
      </c>
      <c r="F24" s="211" t="str">
        <f>IFERROR(VLOOKUP($C24,'PORTIFÓLIO'!C:V,4,0),"")</f>
        <v/>
      </c>
      <c r="G24" s="215" t="str">
        <f>IFERROR(VLOOKUP($C24,'PORTIFÓLIO'!C:V,5,0),"")</f>
        <v/>
      </c>
      <c r="H24" s="254" t="str">
        <f t="array" ref="H24">IFERROR(INDEX('PORTIFÓLIO'!$H$4:$H$433,MATCH($C24,'PORTIFÓLIO'!$C$4:$C$433,0)),"")</f>
        <v/>
      </c>
      <c r="I24" s="255"/>
      <c r="J24" s="218">
        <f t="shared" si="2"/>
        <v>0</v>
      </c>
      <c r="K24" s="219" t="str">
        <f t="array" ref="K24">IFERROR(I24*INDEX('PORTIFÓLIO'!$S$4:$S$433,MATCH($C24,'PORTIFÓLIO'!$C$4:$C$433,0)),"")</f>
        <v/>
      </c>
      <c r="L24" s="219" t="str">
        <f t="array" ref="L24">IFERROR(J24*INDEX('PORTIFÓLIO'!$S$4:$S$433,MATCH($C24,'PORTIFÓLIO'!$C$4:$C$433,0)),"")</f>
        <v/>
      </c>
      <c r="M24" s="220"/>
      <c r="N24" s="220"/>
      <c r="O24" s="220"/>
      <c r="P24" s="220"/>
      <c r="Q24" s="220"/>
      <c r="R24" s="220"/>
      <c r="S24" s="220"/>
      <c r="T24" s="220"/>
      <c r="U24" s="220"/>
      <c r="V24" s="220"/>
      <c r="W24" s="220"/>
    </row>
    <row r="25" ht="15.75" customHeight="1">
      <c r="A25" s="229" t="s">
        <v>1184</v>
      </c>
      <c r="B25" s="230"/>
      <c r="C25" s="231"/>
      <c r="D25" s="232"/>
      <c r="E25" s="231"/>
      <c r="F25" s="231"/>
      <c r="G25" s="233"/>
      <c r="H25" s="233"/>
      <c r="I25" s="258"/>
      <c r="J25" s="236"/>
      <c r="K25" s="237">
        <f t="shared" ref="K25:L25" si="3">SUBTOTAL(9,K26:K39)</f>
        <v>168.51349</v>
      </c>
      <c r="L25" s="237">
        <f t="shared" si="3"/>
        <v>37072.9678</v>
      </c>
      <c r="M25" s="220"/>
      <c r="N25" s="220"/>
      <c r="O25" s="220"/>
      <c r="P25" s="220"/>
      <c r="Q25" s="220"/>
      <c r="R25" s="220"/>
      <c r="S25" s="220"/>
      <c r="T25" s="220"/>
      <c r="U25" s="220"/>
      <c r="V25" s="220"/>
      <c r="W25" s="220"/>
    </row>
    <row r="26" ht="15.75" customHeight="1" outlineLevel="1">
      <c r="A26" s="213"/>
      <c r="B26" s="212" t="s">
        <v>1</v>
      </c>
      <c r="C26" s="213" t="s">
        <v>637</v>
      </c>
      <c r="D26" s="214" t="str">
        <f>IFERROR(VLOOKUP($C26,'PORTIFÓLIO'!C:V,2,0),"")</f>
        <v>GLIFOSATO-SAL DE AMÔNIO</v>
      </c>
      <c r="E26" s="211">
        <f>IFERROR(VLOOKUP($C26,'PORTIFÓLIO'!C:V,3,0),"")</f>
        <v>720</v>
      </c>
      <c r="F26" s="211" t="str">
        <f>IFERROR(VLOOKUP($C26,'PORTIFÓLIO'!C:V,4,0),"")</f>
        <v>L</v>
      </c>
      <c r="G26" s="225" t="str">
        <f>IFERROR(VLOOKUP($C26,'PORTIFÓLIO'!C:V,5,0),"")</f>
        <v>📄 Ver bula</v>
      </c>
      <c r="H26" s="254">
        <f t="array" ref="H26">IFERROR(INDEX('PORTIFÓLIO'!$H$4:$H$433,MATCH($C26,'PORTIFÓLIO'!$C$4:$C$433,0)),"")</f>
        <v>2</v>
      </c>
      <c r="I26" s="255">
        <v>2.0</v>
      </c>
      <c r="J26" s="218">
        <f t="shared" ref="J26:J43" si="4">I26*$B$2</f>
        <v>440</v>
      </c>
      <c r="K26" s="219">
        <f t="array" ref="K26">IFERROR(I26*INDEX('PORTIFÓLIO'!$S$4:$S$433,MATCH($C26,'PORTIFÓLIO'!$C$4:$C$433,0)),"")</f>
        <v>49.16</v>
      </c>
      <c r="L26" s="219">
        <f t="array" ref="L26">IFERROR(J26*INDEX('PORTIFÓLIO'!$S$4:$S$433,MATCH($C26,'PORTIFÓLIO'!$C$4:$C$433,0)),"")</f>
        <v>10815.2</v>
      </c>
      <c r="M26" s="220"/>
      <c r="N26" s="220"/>
      <c r="O26" s="220"/>
      <c r="P26" s="220"/>
      <c r="Q26" s="220"/>
      <c r="R26" s="220"/>
      <c r="S26" s="220"/>
      <c r="T26" s="220"/>
      <c r="U26" s="220"/>
      <c r="V26" s="220"/>
      <c r="W26" s="220"/>
    </row>
    <row r="27" ht="15.75" customHeight="1" outlineLevel="1">
      <c r="A27" s="211"/>
      <c r="B27" s="212" t="s">
        <v>1</v>
      </c>
      <c r="C27" s="213" t="s">
        <v>610</v>
      </c>
      <c r="D27" s="214" t="str">
        <f>IFERROR(VLOOKUP($C27,'PORTIFÓLIO'!C:V,2,0),"")</f>
        <v>CLETODIM + FLUROXIPIR-MEPTÍLICO</v>
      </c>
      <c r="E27" s="211" t="str">
        <f>IFERROR(VLOOKUP($C27,'PORTIFÓLIO'!C:V,3,0),"")</f>
        <v>140 + 288</v>
      </c>
      <c r="F27" s="211" t="str">
        <f>IFERROR(VLOOKUP($C27,'PORTIFÓLIO'!C:V,4,0),"")</f>
        <v>L</v>
      </c>
      <c r="G27" s="225" t="str">
        <f>IFERROR(VLOOKUP($C27,'PORTIFÓLIO'!C:V,5,0),"")</f>
        <v>📄 Ver bula</v>
      </c>
      <c r="H27" s="254">
        <f t="array" ref="H27">IFERROR(INDEX('PORTIFÓLIO'!$H$4:$H$433,MATCH($C27,'PORTIFÓLIO'!$C$4:$C$433,0)),"")</f>
        <v>1</v>
      </c>
      <c r="I27" s="255">
        <v>1.0</v>
      </c>
      <c r="J27" s="218">
        <f t="shared" si="4"/>
        <v>220</v>
      </c>
      <c r="K27" s="219">
        <f t="array" ref="K27">IFERROR(I27*INDEX('PORTIFÓLIO'!$S$4:$S$433,MATCH($C27,'PORTIFÓLIO'!$C$4:$C$433,0)),"")</f>
        <v>60.04894</v>
      </c>
      <c r="L27" s="219">
        <f t="array" ref="L27">IFERROR(J27*INDEX('PORTIFÓLIO'!$S$4:$S$433,MATCH($C27,'PORTIFÓLIO'!$C$4:$C$433,0)),"")</f>
        <v>13210.7668</v>
      </c>
      <c r="M27" s="220"/>
      <c r="N27" s="220"/>
      <c r="O27" s="220"/>
      <c r="P27" s="220"/>
      <c r="Q27" s="220"/>
      <c r="R27" s="220"/>
      <c r="S27" s="220"/>
      <c r="T27" s="220"/>
      <c r="U27" s="220"/>
      <c r="V27" s="220"/>
      <c r="W27" s="220"/>
    </row>
    <row r="28" ht="15.75" customHeight="1" outlineLevel="1">
      <c r="A28" s="211"/>
      <c r="B28" s="212" t="s">
        <v>6</v>
      </c>
      <c r="C28" s="213" t="s">
        <v>354</v>
      </c>
      <c r="D28" s="214" t="str">
        <f>IFERROR(VLOOKUP($C28,'PORTIFÓLIO'!C:V,2,0),"")</f>
        <v>OLEO MINERAL</v>
      </c>
      <c r="E28" s="211">
        <f>IFERROR(VLOOKUP($C28,'PORTIFÓLIO'!C:V,3,0),"")</f>
        <v>761</v>
      </c>
      <c r="F28" s="211" t="str">
        <f>IFERROR(VLOOKUP($C28,'PORTIFÓLIO'!C:V,4,0),"")</f>
        <v>L</v>
      </c>
      <c r="G28" s="225" t="str">
        <f>IFERROR(VLOOKUP($C28,'PORTIFÓLIO'!C:V,5,0),"")</f>
        <v>📄 Ver bula</v>
      </c>
      <c r="H28" s="254">
        <f t="array" ref="H28">IFERROR(INDEX('PORTIFÓLIO'!$H$4:$H$433,MATCH($C28,'PORTIFÓLIO'!$C$4:$C$433,0)),"")</f>
        <v>0.2</v>
      </c>
      <c r="I28" s="255">
        <v>0.2</v>
      </c>
      <c r="J28" s="218">
        <f t="shared" si="4"/>
        <v>44</v>
      </c>
      <c r="K28" s="219">
        <f t="array" ref="K28">IFERROR(I28*INDEX('PORTIFÓLIO'!$S$4:$S$433,MATCH($C28,'PORTIFÓLIO'!$C$4:$C$433,0)),"")</f>
        <v>3.206</v>
      </c>
      <c r="L28" s="219">
        <f t="array" ref="L28">IFERROR(J28*INDEX('PORTIFÓLIO'!$S$4:$S$433,MATCH($C28,'PORTIFÓLIO'!$C$4:$C$433,0)),"")</f>
        <v>705.32</v>
      </c>
      <c r="M28" s="220"/>
      <c r="N28" s="220"/>
      <c r="O28" s="220"/>
      <c r="P28" s="220"/>
      <c r="Q28" s="220"/>
      <c r="R28" s="220"/>
      <c r="S28" s="220"/>
      <c r="T28" s="220"/>
      <c r="U28" s="220"/>
      <c r="V28" s="220"/>
      <c r="W28" s="220"/>
    </row>
    <row r="29" ht="15.75" customHeight="1" outlineLevel="1">
      <c r="A29" s="211"/>
      <c r="B29" s="212" t="s">
        <v>2</v>
      </c>
      <c r="C29" s="213" t="s">
        <v>824</v>
      </c>
      <c r="D29" s="214" t="str">
        <f>IFERROR(VLOOKUP($C29,'PORTIFÓLIO'!C:V,2,0),"")</f>
        <v>CLORANTRANILIPROLE</v>
      </c>
      <c r="E29" s="211">
        <f>IFERROR(VLOOKUP($C29,'PORTIFÓLIO'!C:V,3,0),"")</f>
        <v>200</v>
      </c>
      <c r="F29" s="211" t="str">
        <f>IFERROR(VLOOKUP($C29,'PORTIFÓLIO'!C:V,4,0),"")</f>
        <v>L</v>
      </c>
      <c r="G29" s="225" t="str">
        <f>IFERROR(VLOOKUP($C29,'PORTIFÓLIO'!C:V,5,0),"")</f>
        <v>📄 Ver bula</v>
      </c>
      <c r="H29" s="254">
        <f t="array" ref="H29">IFERROR(INDEX('PORTIFÓLIO'!$H$4:$H$433,MATCH($C29,'PORTIFÓLIO'!$C$4:$C$433,0)),"")</f>
        <v>0.1</v>
      </c>
      <c r="I29" s="255">
        <v>0.04</v>
      </c>
      <c r="J29" s="218">
        <f t="shared" si="4"/>
        <v>8.8</v>
      </c>
      <c r="K29" s="219">
        <f t="array" ref="K29">IFERROR(I29*INDEX('PORTIFÓLIO'!$S$4:$S$433,MATCH($C29,'PORTIFÓLIO'!$C$4:$C$433,0)),"")</f>
        <v>11.31855</v>
      </c>
      <c r="L29" s="219">
        <f t="array" ref="L29">IFERROR(J29*INDEX('PORTIFÓLIO'!$S$4:$S$433,MATCH($C29,'PORTIFÓLIO'!$C$4:$C$433,0)),"")</f>
        <v>2490.081</v>
      </c>
      <c r="M29" s="220"/>
      <c r="N29" s="220"/>
      <c r="O29" s="220"/>
      <c r="P29" s="220"/>
      <c r="Q29" s="220"/>
      <c r="R29" s="220"/>
      <c r="S29" s="220"/>
      <c r="T29" s="220"/>
      <c r="U29" s="220"/>
      <c r="V29" s="220"/>
      <c r="W29" s="220"/>
    </row>
    <row r="30" ht="15.75" customHeight="1" outlineLevel="1">
      <c r="A30" s="211"/>
      <c r="B30" s="212" t="s">
        <v>9</v>
      </c>
      <c r="C30" s="213" t="s">
        <v>933</v>
      </c>
      <c r="D30" s="214" t="str">
        <f>IFERROR(VLOOKUP($C30,'PORTIFÓLIO'!C:V,2,0),"")</f>
        <v>N1%;B9,5%</v>
      </c>
      <c r="E30" s="211" t="str">
        <f>IFERROR(VLOOKUP($C30,'PORTIFÓLIO'!C:V,3,0),"")</f>
        <v>13,8g/l + 131,1g/l</v>
      </c>
      <c r="F30" s="211" t="str">
        <f>IFERROR(VLOOKUP($C30,'PORTIFÓLIO'!C:V,4,0),"")</f>
        <v>L</v>
      </c>
      <c r="G30" s="215" t="str">
        <f>IFERROR(VLOOKUP($C30,'PORTIFÓLIO'!C:V,5,0),"")</f>
        <v/>
      </c>
      <c r="H30" s="254">
        <f t="array" ref="H30">IFERROR(INDEX('PORTIFÓLIO'!$H$4:$H$433,MATCH($C30,'PORTIFÓLIO'!$C$4:$C$433,0)),"")</f>
        <v>2</v>
      </c>
      <c r="I30" s="255">
        <v>1.0</v>
      </c>
      <c r="J30" s="218">
        <f t="shared" si="4"/>
        <v>220</v>
      </c>
      <c r="K30" s="219">
        <f t="array" ref="K30">IFERROR(I30*INDEX('PORTIFÓLIO'!$S$4:$S$433,MATCH($C30,'PORTIFÓLIO'!$C$4:$C$433,0)),"")</f>
        <v>44.78</v>
      </c>
      <c r="L30" s="219">
        <f t="array" ref="L30">IFERROR(J30*INDEX('PORTIFÓLIO'!$S$4:$S$433,MATCH($C30,'PORTIFÓLIO'!$C$4:$C$433,0)),"")</f>
        <v>9851.6</v>
      </c>
      <c r="M30" s="220"/>
      <c r="N30" s="220"/>
      <c r="O30" s="220"/>
      <c r="P30" s="220"/>
      <c r="Q30" s="220"/>
      <c r="R30" s="220"/>
      <c r="S30" s="220"/>
      <c r="T30" s="220"/>
      <c r="U30" s="220"/>
      <c r="V30" s="220"/>
      <c r="W30" s="220"/>
    </row>
    <row r="31" ht="15.75" customHeight="1" outlineLevel="1">
      <c r="A31" s="211"/>
      <c r="B31" s="212"/>
      <c r="C31" s="213"/>
      <c r="D31" s="214" t="str">
        <f>IFERROR(VLOOKUP($C31,'PORTIFÓLIO'!C:V,2,0),"")</f>
        <v/>
      </c>
      <c r="E31" s="211" t="str">
        <f>IFERROR(VLOOKUP($C31,'PORTIFÓLIO'!C:V,3,0),"")</f>
        <v/>
      </c>
      <c r="F31" s="211" t="str">
        <f>IFERROR(VLOOKUP($C31,'PORTIFÓLIO'!C:V,4,0),"")</f>
        <v/>
      </c>
      <c r="G31" s="215" t="str">
        <f>IFERROR(VLOOKUP($C31,'PORTIFÓLIO'!C:V,5,0),"")</f>
        <v/>
      </c>
      <c r="H31" s="254" t="str">
        <f t="array" ref="H31">IFERROR(INDEX('PORTIFÓLIO'!$H$4:$H$433,MATCH($C31,'PORTIFÓLIO'!$C$4:$C$433,0)),"")</f>
        <v/>
      </c>
      <c r="I31" s="255"/>
      <c r="J31" s="218">
        <f t="shared" si="4"/>
        <v>0</v>
      </c>
      <c r="K31" s="219" t="str">
        <f t="array" ref="K31">IFERROR(I31*INDEX('PORTIFÓLIO'!$S$4:$S$433,MATCH($C31,'PORTIFÓLIO'!$C$4:$C$433,0)),"")</f>
        <v/>
      </c>
      <c r="L31" s="219" t="str">
        <f t="array" ref="L31">IFERROR(J31*INDEX('PORTIFÓLIO'!$S$4:$S$433,MATCH($C31,'PORTIFÓLIO'!$C$4:$C$433,0)),"")</f>
        <v/>
      </c>
      <c r="M31" s="220"/>
      <c r="N31" s="220"/>
      <c r="O31" s="220"/>
      <c r="P31" s="220"/>
      <c r="Q31" s="220"/>
      <c r="R31" s="220"/>
      <c r="S31" s="220"/>
      <c r="T31" s="220"/>
      <c r="U31" s="220"/>
      <c r="V31" s="220"/>
      <c r="W31" s="220"/>
    </row>
    <row r="32" ht="15.75" customHeight="1" outlineLevel="1">
      <c r="A32" s="211"/>
      <c r="B32" s="212"/>
      <c r="C32" s="213"/>
      <c r="D32" s="214" t="str">
        <f>IFERROR(VLOOKUP($C32,'PORTIFÓLIO'!C:V,2,0),"")</f>
        <v/>
      </c>
      <c r="E32" s="211" t="str">
        <f>IFERROR(VLOOKUP($C32,'PORTIFÓLIO'!C:V,3,0),"")</f>
        <v/>
      </c>
      <c r="F32" s="211" t="str">
        <f>IFERROR(VLOOKUP($C32,'PORTIFÓLIO'!C:V,4,0),"")</f>
        <v/>
      </c>
      <c r="G32" s="215" t="str">
        <f>IFERROR(VLOOKUP($C32,'PORTIFÓLIO'!C:V,5,0),"")</f>
        <v/>
      </c>
      <c r="H32" s="254" t="str">
        <f t="array" ref="H32">IFERROR(INDEX('PORTIFÓLIO'!$H$4:$H$433,MATCH($C32,'PORTIFÓLIO'!$C$4:$C$433,0)),"")</f>
        <v/>
      </c>
      <c r="I32" s="256"/>
      <c r="J32" s="218">
        <f t="shared" si="4"/>
        <v>0</v>
      </c>
      <c r="K32" s="219" t="str">
        <f t="array" ref="K32">IFERROR(I32*INDEX('PORTIFÓLIO'!$S$4:$S$433,MATCH($C32,'PORTIFÓLIO'!$C$4:$C$433,0)),"")</f>
        <v/>
      </c>
      <c r="L32" s="219" t="str">
        <f t="array" ref="L32">IFERROR(J32*INDEX('PORTIFÓLIO'!$S$4:$S$433,MATCH($C32,'PORTIFÓLIO'!$C$4:$C$433,0)),"")</f>
        <v/>
      </c>
      <c r="M32" s="220"/>
      <c r="N32" s="220"/>
      <c r="O32" s="220"/>
      <c r="P32" s="220"/>
      <c r="Q32" s="220"/>
      <c r="R32" s="220"/>
      <c r="S32" s="220"/>
      <c r="T32" s="220"/>
      <c r="U32" s="220"/>
      <c r="V32" s="220"/>
      <c r="W32" s="220"/>
    </row>
    <row r="33" ht="15.75" customHeight="1" outlineLevel="1">
      <c r="A33" s="211"/>
      <c r="B33" s="212"/>
      <c r="C33" s="213"/>
      <c r="D33" s="214" t="str">
        <f>IFERROR(VLOOKUP($C33,'PORTIFÓLIO'!C:V,2,0),"")</f>
        <v/>
      </c>
      <c r="E33" s="211" t="str">
        <f>IFERROR(VLOOKUP($C33,'PORTIFÓLIO'!C:V,3,0),"")</f>
        <v/>
      </c>
      <c r="F33" s="211" t="str">
        <f>IFERROR(VLOOKUP($C33,'PORTIFÓLIO'!C:V,4,0),"")</f>
        <v/>
      </c>
      <c r="G33" s="215" t="str">
        <f>IFERROR(VLOOKUP($C33,'PORTIFÓLIO'!C:V,5,0),"")</f>
        <v/>
      </c>
      <c r="H33" s="254" t="str">
        <f t="array" ref="H33">IFERROR(INDEX('PORTIFÓLIO'!$H$4:$H$433,MATCH($C33,'PORTIFÓLIO'!$C$4:$C$433,0)),"")</f>
        <v/>
      </c>
      <c r="I33" s="256"/>
      <c r="J33" s="218">
        <f t="shared" si="4"/>
        <v>0</v>
      </c>
      <c r="K33" s="219" t="str">
        <f t="array" ref="K33">IFERROR(I33*INDEX('PORTIFÓLIO'!$S$4:$S$433,MATCH($C33,'PORTIFÓLIO'!$C$4:$C$433,0)),"")</f>
        <v/>
      </c>
      <c r="L33" s="219" t="str">
        <f t="array" ref="L33">IFERROR(J33*INDEX('PORTIFÓLIO'!$S$4:$S$433,MATCH($C33,'PORTIFÓLIO'!$C$4:$C$433,0)),"")</f>
        <v/>
      </c>
      <c r="M33" s="220"/>
      <c r="N33" s="220"/>
      <c r="O33" s="220"/>
      <c r="P33" s="220"/>
      <c r="Q33" s="220"/>
      <c r="R33" s="220"/>
      <c r="S33" s="220"/>
      <c r="T33" s="220"/>
      <c r="U33" s="220"/>
      <c r="V33" s="220"/>
      <c r="W33" s="220"/>
    </row>
    <row r="34" ht="15.75" customHeight="1" outlineLevel="1">
      <c r="A34" s="211"/>
      <c r="B34" s="212"/>
      <c r="C34" s="213"/>
      <c r="D34" s="214" t="str">
        <f>IFERROR(VLOOKUP($C34,'PORTIFÓLIO'!C:V,2,0),"")</f>
        <v/>
      </c>
      <c r="E34" s="211" t="str">
        <f>IFERROR(VLOOKUP($C34,'PORTIFÓLIO'!C:V,3,0),"")</f>
        <v/>
      </c>
      <c r="F34" s="211" t="str">
        <f>IFERROR(VLOOKUP($C34,'PORTIFÓLIO'!C:V,4,0),"")</f>
        <v/>
      </c>
      <c r="G34" s="215" t="str">
        <f>IFERROR(VLOOKUP($C34,'PORTIFÓLIO'!C:V,5,0),"")</f>
        <v/>
      </c>
      <c r="H34" s="254" t="str">
        <f t="array" ref="H34">IFERROR(INDEX('PORTIFÓLIO'!$H$4:$H$433,MATCH($C34,'PORTIFÓLIO'!$C$4:$C$433,0)),"")</f>
        <v/>
      </c>
      <c r="I34" s="255"/>
      <c r="J34" s="218">
        <f t="shared" si="4"/>
        <v>0</v>
      </c>
      <c r="K34" s="219" t="str">
        <f t="array" ref="K34">IFERROR(I34*INDEX('PORTIFÓLIO'!$S$4:$S$433,MATCH($C34,'PORTIFÓLIO'!$C$4:$C$433,0)),"")</f>
        <v/>
      </c>
      <c r="L34" s="219" t="str">
        <f t="array" ref="L34">IFERROR(J34*INDEX('PORTIFÓLIO'!$S$4:$S$433,MATCH($C34,'PORTIFÓLIO'!$C$4:$C$433,0)),"")</f>
        <v/>
      </c>
      <c r="M34" s="220"/>
      <c r="N34" s="220"/>
      <c r="O34" s="220"/>
      <c r="P34" s="220"/>
      <c r="Q34" s="220"/>
      <c r="R34" s="220"/>
      <c r="S34" s="220"/>
      <c r="T34" s="220"/>
      <c r="U34" s="220"/>
      <c r="V34" s="220"/>
      <c r="W34" s="220"/>
    </row>
    <row r="35" ht="15.75" customHeight="1" outlineLevel="1">
      <c r="A35" s="211"/>
      <c r="B35" s="212"/>
      <c r="C35" s="213"/>
      <c r="D35" s="214" t="str">
        <f>IFERROR(VLOOKUP($C35,'PORTIFÓLIO'!C:V,2,0),"")</f>
        <v/>
      </c>
      <c r="E35" s="211" t="str">
        <f>IFERROR(VLOOKUP($C35,'PORTIFÓLIO'!C:V,3,0),"")</f>
        <v/>
      </c>
      <c r="F35" s="211" t="str">
        <f>IFERROR(VLOOKUP($C35,'PORTIFÓLIO'!C:V,4,0),"")</f>
        <v/>
      </c>
      <c r="G35" s="215" t="str">
        <f>IFERROR(VLOOKUP($C35,'PORTIFÓLIO'!C:V,5,0),"")</f>
        <v/>
      </c>
      <c r="H35" s="254" t="str">
        <f t="array" ref="H35">IFERROR(INDEX('PORTIFÓLIO'!$H$4:$H$433,MATCH($C35,'PORTIFÓLIO'!$C$4:$C$433,0)),"")</f>
        <v/>
      </c>
      <c r="I35" s="256"/>
      <c r="J35" s="218">
        <f t="shared" si="4"/>
        <v>0</v>
      </c>
      <c r="K35" s="219" t="str">
        <f t="array" ref="K35">IFERROR(I35*INDEX('PORTIFÓLIO'!$S$4:$S$433,MATCH($C35,'PORTIFÓLIO'!$C$4:$C$433,0)),"")</f>
        <v/>
      </c>
      <c r="L35" s="219" t="str">
        <f t="array" ref="L35">IFERROR(J35*INDEX('PORTIFÓLIO'!$S$4:$S$433,MATCH($C35,'PORTIFÓLIO'!$C$4:$C$433,0)),"")</f>
        <v/>
      </c>
      <c r="M35" s="220"/>
      <c r="N35" s="220"/>
      <c r="O35" s="220"/>
      <c r="P35" s="220"/>
      <c r="Q35" s="220"/>
      <c r="R35" s="220"/>
      <c r="S35" s="220"/>
      <c r="T35" s="220"/>
      <c r="U35" s="220"/>
      <c r="V35" s="220"/>
      <c r="W35" s="220"/>
    </row>
    <row r="36" ht="15.75" customHeight="1" outlineLevel="1">
      <c r="A36" s="211"/>
      <c r="B36" s="212"/>
      <c r="C36" s="213"/>
      <c r="D36" s="214" t="str">
        <f>IFERROR(VLOOKUP($C36,'PORTIFÓLIO'!C:V,2,0),"")</f>
        <v/>
      </c>
      <c r="E36" s="211" t="str">
        <f>IFERROR(VLOOKUP($C36,'PORTIFÓLIO'!C:V,3,0),"")</f>
        <v/>
      </c>
      <c r="F36" s="211" t="str">
        <f>IFERROR(VLOOKUP($C36,'PORTIFÓLIO'!C:V,4,0),"")</f>
        <v/>
      </c>
      <c r="G36" s="215" t="str">
        <f>IFERROR(VLOOKUP($C36,'PORTIFÓLIO'!C:V,5,0),"")</f>
        <v/>
      </c>
      <c r="H36" s="254" t="str">
        <f t="array" ref="H36">IFERROR(INDEX('PORTIFÓLIO'!$H$4:$H$433,MATCH($C36,'PORTIFÓLIO'!$C$4:$C$433,0)),"")</f>
        <v/>
      </c>
      <c r="I36" s="256"/>
      <c r="J36" s="218">
        <f t="shared" si="4"/>
        <v>0</v>
      </c>
      <c r="K36" s="219" t="str">
        <f t="array" ref="K36">IFERROR(I36*INDEX('PORTIFÓLIO'!$S$4:$S$433,MATCH($C36,'PORTIFÓLIO'!$C$4:$C$433,0)),"")</f>
        <v/>
      </c>
      <c r="L36" s="219" t="str">
        <f t="array" ref="L36">IFERROR(J36*INDEX('PORTIFÓLIO'!$S$4:$S$433,MATCH($C36,'PORTIFÓLIO'!$C$4:$C$433,0)),"")</f>
        <v/>
      </c>
      <c r="M36" s="220"/>
      <c r="N36" s="220"/>
      <c r="O36" s="220"/>
      <c r="P36" s="220"/>
      <c r="Q36" s="220"/>
      <c r="R36" s="220"/>
      <c r="S36" s="220"/>
      <c r="T36" s="220"/>
      <c r="U36" s="220"/>
      <c r="V36" s="220"/>
      <c r="W36" s="220"/>
    </row>
    <row r="37" ht="15.75" customHeight="1" outlineLevel="1">
      <c r="A37" s="211"/>
      <c r="B37" s="212"/>
      <c r="C37" s="213"/>
      <c r="D37" s="214" t="str">
        <f>IFERROR(VLOOKUP($C37,'PORTIFÓLIO'!C:V,2,0),"")</f>
        <v/>
      </c>
      <c r="E37" s="211" t="str">
        <f>IFERROR(VLOOKUP($C37,'PORTIFÓLIO'!C:V,3,0),"")</f>
        <v/>
      </c>
      <c r="F37" s="211" t="str">
        <f>IFERROR(VLOOKUP($C37,'PORTIFÓLIO'!C:V,4,0),"")</f>
        <v/>
      </c>
      <c r="G37" s="215" t="str">
        <f>IFERROR(VLOOKUP($C37,'PORTIFÓLIO'!C:V,5,0),"")</f>
        <v/>
      </c>
      <c r="H37" s="254" t="str">
        <f t="array" ref="H37">IFERROR(INDEX('PORTIFÓLIO'!$H$4:$H$433,MATCH($C37,'PORTIFÓLIO'!$C$4:$C$433,0)),"")</f>
        <v/>
      </c>
      <c r="I37" s="256"/>
      <c r="J37" s="218">
        <f t="shared" si="4"/>
        <v>0</v>
      </c>
      <c r="K37" s="219" t="str">
        <f t="array" ref="K37">IFERROR(I37*INDEX('PORTIFÓLIO'!$S$4:$S$433,MATCH($C37,'PORTIFÓLIO'!$C$4:$C$433,0)),"")</f>
        <v/>
      </c>
      <c r="L37" s="219" t="str">
        <f t="array" ref="L37">IFERROR(J37*INDEX('PORTIFÓLIO'!$S$4:$S$433,MATCH($C37,'PORTIFÓLIO'!$C$4:$C$433,0)),"")</f>
        <v/>
      </c>
      <c r="M37" s="220"/>
      <c r="N37" s="220"/>
      <c r="O37" s="220"/>
      <c r="P37" s="220"/>
      <c r="Q37" s="220"/>
      <c r="R37" s="220"/>
      <c r="S37" s="220"/>
      <c r="T37" s="220"/>
      <c r="U37" s="220"/>
      <c r="V37" s="220"/>
      <c r="W37" s="220"/>
    </row>
    <row r="38" ht="15.75" customHeight="1" outlineLevel="1">
      <c r="A38" s="211"/>
      <c r="B38" s="212"/>
      <c r="C38" s="213"/>
      <c r="D38" s="214" t="str">
        <f>IFERROR(VLOOKUP($C38,'PORTIFÓLIO'!C:V,2,0),"")</f>
        <v/>
      </c>
      <c r="E38" s="211" t="str">
        <f>IFERROR(VLOOKUP($C38,'PORTIFÓLIO'!C:V,3,0),"")</f>
        <v/>
      </c>
      <c r="F38" s="211" t="str">
        <f>IFERROR(VLOOKUP($C38,'PORTIFÓLIO'!C:V,4,0),"")</f>
        <v/>
      </c>
      <c r="G38" s="215" t="str">
        <f>IFERROR(VLOOKUP($C38,'PORTIFÓLIO'!C:V,5,0),"")</f>
        <v/>
      </c>
      <c r="H38" s="254" t="str">
        <f t="array" ref="H38">IFERROR(INDEX('PORTIFÓLIO'!$H$4:$H$433,MATCH($C38,'PORTIFÓLIO'!$C$4:$C$433,0)),"")</f>
        <v/>
      </c>
      <c r="I38" s="256"/>
      <c r="J38" s="218">
        <f t="shared" si="4"/>
        <v>0</v>
      </c>
      <c r="K38" s="219" t="str">
        <f t="array" ref="K38">IFERROR(I38*INDEX('PORTIFÓLIO'!$S$4:$S$433,MATCH($C38,'PORTIFÓLIO'!$C$4:$C$433,0)),"")</f>
        <v/>
      </c>
      <c r="L38" s="219" t="str">
        <f t="array" ref="L38">IFERROR(J38*INDEX('PORTIFÓLIO'!$S$4:$S$433,MATCH($C38,'PORTIFÓLIO'!$C$4:$C$433,0)),"")</f>
        <v/>
      </c>
      <c r="M38" s="220"/>
      <c r="N38" s="220"/>
      <c r="O38" s="220"/>
      <c r="P38" s="220"/>
      <c r="Q38" s="220"/>
      <c r="R38" s="220"/>
      <c r="S38" s="220"/>
      <c r="T38" s="220"/>
      <c r="U38" s="220"/>
      <c r="V38" s="220"/>
      <c r="W38" s="220"/>
    </row>
    <row r="39" ht="15.75" customHeight="1" outlineLevel="1">
      <c r="A39" s="211"/>
      <c r="B39" s="212"/>
      <c r="C39" s="213"/>
      <c r="D39" s="214" t="str">
        <f>IFERROR(VLOOKUP($C39,'PORTIFÓLIO'!C:V,2,0),"")</f>
        <v/>
      </c>
      <c r="E39" s="211" t="str">
        <f>IFERROR(VLOOKUP($C39,'PORTIFÓLIO'!C:V,3,0),"")</f>
        <v/>
      </c>
      <c r="F39" s="211" t="str">
        <f>IFERROR(VLOOKUP($C39,'PORTIFÓLIO'!C:V,4,0),"")</f>
        <v/>
      </c>
      <c r="G39" s="215" t="str">
        <f>IFERROR(VLOOKUP($C39,'PORTIFÓLIO'!C:V,5,0),"")</f>
        <v/>
      </c>
      <c r="H39" s="254" t="str">
        <f t="array" ref="H39">IFERROR(INDEX('PORTIFÓLIO'!$H$4:$H$433,MATCH($C39,'PORTIFÓLIO'!$C$4:$C$433,0)),"")</f>
        <v/>
      </c>
      <c r="I39" s="256"/>
      <c r="J39" s="218">
        <f t="shared" si="4"/>
        <v>0</v>
      </c>
      <c r="K39" s="219" t="str">
        <f t="array" ref="K39">IFERROR(I39*INDEX('PORTIFÓLIO'!$S$4:$S$433,MATCH($C39,'PORTIFÓLIO'!$C$4:$C$433,0)),"")</f>
        <v/>
      </c>
      <c r="L39" s="219" t="str">
        <f t="array" ref="L39">IFERROR(J39*INDEX('PORTIFÓLIO'!$S$4:$S$433,MATCH($C39,'PORTIFÓLIO'!$C$4:$C$433,0)),"")</f>
        <v/>
      </c>
      <c r="M39" s="220"/>
      <c r="N39" s="220"/>
      <c r="O39" s="220"/>
      <c r="P39" s="220"/>
      <c r="Q39" s="220"/>
      <c r="R39" s="220"/>
      <c r="S39" s="220"/>
      <c r="T39" s="220"/>
      <c r="U39" s="220"/>
      <c r="V39" s="220"/>
      <c r="W39" s="220"/>
    </row>
    <row r="40" ht="15.75" customHeight="1" outlineLevel="1">
      <c r="A40" s="211"/>
      <c r="B40" s="212"/>
      <c r="C40" s="213"/>
      <c r="D40" s="214" t="str">
        <f>IFERROR(VLOOKUP($C40,'PORTIFÓLIO'!C:V,2,0),"")</f>
        <v/>
      </c>
      <c r="E40" s="211" t="str">
        <f>IFERROR(VLOOKUP($C40,'PORTIFÓLIO'!C:V,3,0),"")</f>
        <v/>
      </c>
      <c r="F40" s="211" t="str">
        <f>IFERROR(VLOOKUP($C40,'PORTIFÓLIO'!C:V,4,0),"")</f>
        <v/>
      </c>
      <c r="G40" s="215" t="str">
        <f>IFERROR(VLOOKUP($C40,'PORTIFÓLIO'!C:V,5,0),"")</f>
        <v/>
      </c>
      <c r="H40" s="254" t="str">
        <f t="array" ref="H40">IFERROR(INDEX('PORTIFÓLIO'!$H$4:$H$433,MATCH($C40,'PORTIFÓLIO'!$C$4:$C$433,0)),"")</f>
        <v/>
      </c>
      <c r="I40" s="256"/>
      <c r="J40" s="218">
        <f t="shared" si="4"/>
        <v>0</v>
      </c>
      <c r="K40" s="219" t="str">
        <f t="array" ref="K40">IFERROR(I40*INDEX('PORTIFÓLIO'!$S$4:$S$433,MATCH($C40,'PORTIFÓLIO'!$C$4:$C$433,0)),"")</f>
        <v/>
      </c>
      <c r="L40" s="219" t="str">
        <f t="array" ref="L40">IFERROR(J40*INDEX('PORTIFÓLIO'!$S$4:$S$433,MATCH($C40,'PORTIFÓLIO'!$C$4:$C$433,0)),"")</f>
        <v/>
      </c>
      <c r="M40" s="220"/>
      <c r="N40" s="220"/>
      <c r="O40" s="220"/>
      <c r="P40" s="220"/>
      <c r="Q40" s="220"/>
      <c r="R40" s="220"/>
      <c r="S40" s="220"/>
      <c r="T40" s="220"/>
      <c r="U40" s="220"/>
      <c r="V40" s="220"/>
      <c r="W40" s="220"/>
    </row>
    <row r="41" ht="15.75" customHeight="1" outlineLevel="1">
      <c r="A41" s="211"/>
      <c r="B41" s="212"/>
      <c r="C41" s="213"/>
      <c r="D41" s="214" t="str">
        <f>IFERROR(VLOOKUP($C41,'PORTIFÓLIO'!C:V,2,0),"")</f>
        <v/>
      </c>
      <c r="E41" s="211" t="str">
        <f>IFERROR(VLOOKUP($C41,'PORTIFÓLIO'!C:V,3,0),"")</f>
        <v/>
      </c>
      <c r="F41" s="211" t="str">
        <f>IFERROR(VLOOKUP($C41,'PORTIFÓLIO'!C:V,4,0),"")</f>
        <v/>
      </c>
      <c r="G41" s="215" t="str">
        <f>IFERROR(VLOOKUP($C41,'PORTIFÓLIO'!C:V,5,0),"")</f>
        <v/>
      </c>
      <c r="H41" s="254" t="str">
        <f t="array" ref="H41">IFERROR(INDEX('PORTIFÓLIO'!$H$4:$H$433,MATCH($C41,'PORTIFÓLIO'!$C$4:$C$433,0)),"")</f>
        <v/>
      </c>
      <c r="I41" s="256"/>
      <c r="J41" s="218">
        <f t="shared" si="4"/>
        <v>0</v>
      </c>
      <c r="K41" s="219" t="str">
        <f t="array" ref="K41">IFERROR(I41*INDEX('PORTIFÓLIO'!$S$4:$S$433,MATCH($C41,'PORTIFÓLIO'!$C$4:$C$433,0)),"")</f>
        <v/>
      </c>
      <c r="L41" s="219" t="str">
        <f t="array" ref="L41">IFERROR(J41*INDEX('PORTIFÓLIO'!$S$4:$S$433,MATCH($C41,'PORTIFÓLIO'!$C$4:$C$433,0)),"")</f>
        <v/>
      </c>
      <c r="M41" s="220"/>
      <c r="N41" s="220"/>
      <c r="O41" s="220"/>
      <c r="P41" s="220"/>
      <c r="Q41" s="220"/>
      <c r="R41" s="220"/>
      <c r="S41" s="220"/>
      <c r="T41" s="220"/>
      <c r="U41" s="220"/>
      <c r="V41" s="220"/>
      <c r="W41" s="220"/>
    </row>
    <row r="42" ht="15.75" customHeight="1" outlineLevel="1">
      <c r="A42" s="211"/>
      <c r="B42" s="212"/>
      <c r="C42" s="213"/>
      <c r="D42" s="214" t="str">
        <f>IFERROR(VLOOKUP($C42,'PORTIFÓLIO'!C:V,2,0),"")</f>
        <v/>
      </c>
      <c r="E42" s="211" t="str">
        <f>IFERROR(VLOOKUP($C42,'PORTIFÓLIO'!C:V,3,0),"")</f>
        <v/>
      </c>
      <c r="F42" s="211" t="str">
        <f>IFERROR(VLOOKUP($C42,'PORTIFÓLIO'!C:V,4,0),"")</f>
        <v/>
      </c>
      <c r="G42" s="215" t="str">
        <f>IFERROR(VLOOKUP($C42,'PORTIFÓLIO'!C:V,5,0),"")</f>
        <v/>
      </c>
      <c r="H42" s="254" t="str">
        <f t="array" ref="H42">IFERROR(INDEX('PORTIFÓLIO'!$H$4:$H$433,MATCH($C42,'PORTIFÓLIO'!$C$4:$C$433,0)),"")</f>
        <v/>
      </c>
      <c r="I42" s="256"/>
      <c r="J42" s="218">
        <f t="shared" si="4"/>
        <v>0</v>
      </c>
      <c r="K42" s="219" t="str">
        <f t="array" ref="K42">IFERROR(I42*INDEX('PORTIFÓLIO'!$S$4:$S$433,MATCH($C42,'PORTIFÓLIO'!$C$4:$C$433,0)),"")</f>
        <v/>
      </c>
      <c r="L42" s="219" t="str">
        <f t="array" ref="L42">IFERROR(J42*INDEX('PORTIFÓLIO'!$S$4:$S$433,MATCH($C42,'PORTIFÓLIO'!$C$4:$C$433,0)),"")</f>
        <v/>
      </c>
      <c r="M42" s="220"/>
      <c r="N42" s="220"/>
      <c r="O42" s="220"/>
      <c r="P42" s="220"/>
      <c r="Q42" s="220"/>
      <c r="R42" s="220"/>
      <c r="S42" s="220"/>
      <c r="T42" s="220"/>
      <c r="U42" s="220"/>
      <c r="V42" s="220"/>
      <c r="W42" s="220"/>
    </row>
    <row r="43" ht="15.75" customHeight="1" outlineLevel="1">
      <c r="A43" s="211"/>
      <c r="B43" s="212"/>
      <c r="C43" s="213"/>
      <c r="D43" s="214" t="str">
        <f>IFERROR(VLOOKUP($C43,'PORTIFÓLIO'!C:V,2,0),"")</f>
        <v/>
      </c>
      <c r="E43" s="211" t="str">
        <f>IFERROR(VLOOKUP($C43,'PORTIFÓLIO'!C:V,3,0),"")</f>
        <v/>
      </c>
      <c r="F43" s="211" t="str">
        <f>IFERROR(VLOOKUP($C43,'PORTIFÓLIO'!C:V,4,0),"")</f>
        <v/>
      </c>
      <c r="G43" s="215" t="str">
        <f>IFERROR(VLOOKUP($C43,'PORTIFÓLIO'!C:V,5,0),"")</f>
        <v/>
      </c>
      <c r="H43" s="254" t="str">
        <f t="array" ref="H43">IFERROR(INDEX('PORTIFÓLIO'!$H$4:$H$433,MATCH($C43,'PORTIFÓLIO'!$C$4:$C$433,0)),"")</f>
        <v/>
      </c>
      <c r="I43" s="256"/>
      <c r="J43" s="218">
        <f t="shared" si="4"/>
        <v>0</v>
      </c>
      <c r="K43" s="219" t="str">
        <f t="array" ref="K43">IFERROR(I43*INDEX('PORTIFÓLIO'!$S$4:$S$433,MATCH($C43,'PORTIFÓLIO'!$C$4:$C$433,0)),"")</f>
        <v/>
      </c>
      <c r="L43" s="219" t="str">
        <f t="array" ref="L43">IFERROR(J43*INDEX('PORTIFÓLIO'!$S$4:$S$433,MATCH($C43,'PORTIFÓLIO'!$C$4:$C$433,0)),"")</f>
        <v/>
      </c>
      <c r="M43" s="220"/>
      <c r="N43" s="220"/>
      <c r="O43" s="220"/>
      <c r="P43" s="220"/>
      <c r="Q43" s="220"/>
      <c r="R43" s="220"/>
      <c r="S43" s="220"/>
      <c r="T43" s="220"/>
      <c r="U43" s="220"/>
      <c r="V43" s="220"/>
      <c r="W43" s="220"/>
    </row>
    <row r="44" ht="15.75" customHeight="1">
      <c r="A44" s="229" t="s">
        <v>1185</v>
      </c>
      <c r="B44" s="230"/>
      <c r="C44" s="231"/>
      <c r="D44" s="232" t="s">
        <v>216</v>
      </c>
      <c r="E44" s="231"/>
      <c r="F44" s="231"/>
      <c r="G44" s="233"/>
      <c r="H44" s="233"/>
      <c r="I44" s="258"/>
      <c r="J44" s="236"/>
      <c r="K44" s="237">
        <f t="shared" ref="K44:L44" si="5">SUBTOTAL(9,K45:K58)</f>
        <v>110.47258</v>
      </c>
      <c r="L44" s="237">
        <f t="shared" si="5"/>
        <v>24303.9676</v>
      </c>
      <c r="M44" s="220"/>
      <c r="N44" s="220"/>
      <c r="O44" s="220"/>
      <c r="P44" s="220"/>
      <c r="Q44" s="220"/>
      <c r="R44" s="220"/>
      <c r="S44" s="220"/>
      <c r="T44" s="220"/>
      <c r="U44" s="220"/>
      <c r="V44" s="220"/>
      <c r="W44" s="220"/>
    </row>
    <row r="45" ht="15.75" customHeight="1" outlineLevel="1">
      <c r="A45" s="213"/>
      <c r="B45" s="212" t="s">
        <v>1</v>
      </c>
      <c r="C45" s="213" t="s">
        <v>683</v>
      </c>
      <c r="D45" s="214" t="str">
        <f>IFERROR(VLOOKUP($C45,'PORTIFÓLIO'!C:V,2,0),"")</f>
        <v>GLUFOSINATO - SAL DE AMONIO</v>
      </c>
      <c r="E45" s="211">
        <f>IFERROR(VLOOKUP($C45,'PORTIFÓLIO'!C:V,3,0),"")</f>
        <v>880</v>
      </c>
      <c r="F45" s="211" t="str">
        <f>IFERROR(VLOOKUP($C45,'PORTIFÓLIO'!C:V,4,0),"")</f>
        <v>L</v>
      </c>
      <c r="G45" s="225" t="str">
        <f>IFERROR(VLOOKUP($C45,'PORTIFÓLIO'!C:V,5,0),"")</f>
        <v>📄 Ver bula</v>
      </c>
      <c r="H45" s="254">
        <f t="array" ref="H45">IFERROR(INDEX('PORTIFÓLIO'!$H$4:$H$433,MATCH($C45,'PORTIFÓLIO'!$C$4:$C$433,0)),"")</f>
        <v>0.5</v>
      </c>
      <c r="I45" s="255">
        <v>0.5</v>
      </c>
      <c r="J45" s="218">
        <f t="shared" ref="J45:J62" si="6">I45*$B$2</f>
        <v>110</v>
      </c>
      <c r="K45" s="219">
        <f t="array" ref="K45">IFERROR(I45*INDEX('PORTIFÓLIO'!$S$4:$S$433,MATCH($C45,'PORTIFÓLIO'!$C$4:$C$433,0)),"")</f>
        <v>23.01917</v>
      </c>
      <c r="L45" s="219">
        <f t="array" ref="L45">IFERROR(J45*INDEX('PORTIFÓLIO'!$S$4:$S$433,MATCH($C45,'PORTIFÓLIO'!$C$4:$C$433,0)),"")</f>
        <v>5064.2174</v>
      </c>
      <c r="M45" s="220"/>
      <c r="N45" s="220"/>
      <c r="O45" s="220"/>
      <c r="P45" s="220"/>
      <c r="Q45" s="220"/>
      <c r="R45" s="220"/>
      <c r="S45" s="220"/>
      <c r="T45" s="220"/>
      <c r="U45" s="220"/>
      <c r="V45" s="220"/>
      <c r="W45" s="220"/>
    </row>
    <row r="46" ht="15.75" customHeight="1" outlineLevel="1">
      <c r="A46" s="211"/>
      <c r="B46" s="212" t="s">
        <v>1</v>
      </c>
      <c r="C46" s="213" t="s">
        <v>693</v>
      </c>
      <c r="D46" s="214" t="str">
        <f>IFERROR(VLOOKUP($C46,'PORTIFÓLIO'!C:V,2,0),"")</f>
        <v>CLOMAZONA</v>
      </c>
      <c r="E46" s="211">
        <f>IFERROR(VLOOKUP($C46,'PORTIFÓLIO'!C:V,3,0),"")</f>
        <v>360</v>
      </c>
      <c r="F46" s="211" t="str">
        <f>IFERROR(VLOOKUP($C46,'PORTIFÓLIO'!C:V,4,0),"")</f>
        <v>L</v>
      </c>
      <c r="G46" s="225" t="str">
        <f>IFERROR(VLOOKUP($C46,'PORTIFÓLIO'!C:V,5,0),"")</f>
        <v>📄 Ver bula</v>
      </c>
      <c r="H46" s="254">
        <f t="array" ref="H46">IFERROR(INDEX('PORTIFÓLIO'!$H$4:$H$433,MATCH($C46,'PORTIFÓLIO'!$C$4:$C$433,0)),"")</f>
        <v>1</v>
      </c>
      <c r="I46" s="255">
        <v>1.0</v>
      </c>
      <c r="J46" s="218">
        <f t="shared" si="6"/>
        <v>220</v>
      </c>
      <c r="K46" s="219">
        <f t="array" ref="K46">IFERROR(I46*INDEX('PORTIFÓLIO'!$S$4:$S$433,MATCH($C46,'PORTIFÓLIO'!$C$4:$C$433,0)),"")</f>
        <v>43.80156</v>
      </c>
      <c r="L46" s="219">
        <f t="array" ref="L46">IFERROR(J46*INDEX('PORTIFÓLIO'!$S$4:$S$433,MATCH($C46,'PORTIFÓLIO'!$C$4:$C$433,0)),"")</f>
        <v>9636.3432</v>
      </c>
      <c r="M46" s="220"/>
      <c r="N46" s="220"/>
      <c r="O46" s="220"/>
      <c r="P46" s="220"/>
      <c r="Q46" s="220"/>
      <c r="R46" s="220"/>
      <c r="S46" s="220"/>
      <c r="T46" s="220"/>
      <c r="U46" s="220"/>
      <c r="V46" s="220"/>
      <c r="W46" s="220"/>
    </row>
    <row r="47" ht="15.75" customHeight="1" outlineLevel="1">
      <c r="A47" s="211"/>
      <c r="B47" s="212" t="s">
        <v>1</v>
      </c>
      <c r="C47" s="213" t="s">
        <v>728</v>
      </c>
      <c r="D47" s="214" t="str">
        <f>IFERROR(VLOOKUP($C47,'PORTIFÓLIO'!C:V,2,0),"")</f>
        <v>S-METOLACLORO</v>
      </c>
      <c r="E47" s="211">
        <f>IFERROR(VLOOKUP($C47,'PORTIFÓLIO'!C:V,3,0),"")</f>
        <v>960</v>
      </c>
      <c r="F47" s="211" t="str">
        <f>IFERROR(VLOOKUP($C47,'PORTIFÓLIO'!C:V,4,0),"")</f>
        <v>KG</v>
      </c>
      <c r="G47" s="225" t="str">
        <f>IFERROR(VLOOKUP($C47,'PORTIFÓLIO'!C:V,5,0),"")</f>
        <v>📄 Ver bula</v>
      </c>
      <c r="H47" s="254">
        <f t="array" ref="H47">IFERROR(INDEX('PORTIFÓLIO'!$H$4:$H$433,MATCH($C47,'PORTIFÓLIO'!$C$4:$C$433,0)),"")</f>
        <v>2</v>
      </c>
      <c r="I47" s="255">
        <v>1.0</v>
      </c>
      <c r="J47" s="218">
        <f t="shared" si="6"/>
        <v>220</v>
      </c>
      <c r="K47" s="219">
        <f t="array" ref="K47">IFERROR(I47*INDEX('PORTIFÓLIO'!$S$4:$S$433,MATCH($C47,'PORTIFÓLIO'!$C$4:$C$433,0)),"")</f>
        <v>29.1273</v>
      </c>
      <c r="L47" s="219">
        <f t="array" ref="L47">IFERROR(J47*INDEX('PORTIFÓLIO'!$S$4:$S$433,MATCH($C47,'PORTIFÓLIO'!$C$4:$C$433,0)),"")</f>
        <v>6408.006</v>
      </c>
      <c r="M47" s="220"/>
      <c r="N47" s="220"/>
      <c r="O47" s="220"/>
      <c r="P47" s="220"/>
      <c r="Q47" s="220"/>
      <c r="R47" s="220"/>
      <c r="S47" s="220"/>
      <c r="T47" s="220"/>
      <c r="U47" s="220"/>
      <c r="V47" s="220"/>
      <c r="W47" s="220"/>
    </row>
    <row r="48" ht="15.75" customHeight="1" outlineLevel="1">
      <c r="A48" s="211"/>
      <c r="B48" s="212" t="s">
        <v>6</v>
      </c>
      <c r="C48" s="213" t="s">
        <v>354</v>
      </c>
      <c r="D48" s="214" t="str">
        <f>IFERROR(VLOOKUP($C48,'PORTIFÓLIO'!C:V,2,0),"")</f>
        <v>OLEO MINERAL</v>
      </c>
      <c r="E48" s="211">
        <f>IFERROR(VLOOKUP($C48,'PORTIFÓLIO'!C:V,3,0),"")</f>
        <v>761</v>
      </c>
      <c r="F48" s="211" t="str">
        <f>IFERROR(VLOOKUP($C48,'PORTIFÓLIO'!C:V,4,0),"")</f>
        <v>L</v>
      </c>
      <c r="G48" s="225" t="str">
        <f>IFERROR(VLOOKUP($C48,'PORTIFÓLIO'!C:V,5,0),"")</f>
        <v>📄 Ver bula</v>
      </c>
      <c r="H48" s="254">
        <f t="array" ref="H48">IFERROR(INDEX('PORTIFÓLIO'!$H$4:$H$433,MATCH($C48,'PORTIFÓLIO'!$C$4:$C$433,0)),"")</f>
        <v>0.2</v>
      </c>
      <c r="I48" s="255">
        <v>0.2</v>
      </c>
      <c r="J48" s="218">
        <f t="shared" si="6"/>
        <v>44</v>
      </c>
      <c r="K48" s="219">
        <f t="array" ref="K48">IFERROR(I48*INDEX('PORTIFÓLIO'!$S$4:$S$433,MATCH($C48,'PORTIFÓLIO'!$C$4:$C$433,0)),"")</f>
        <v>3.206</v>
      </c>
      <c r="L48" s="219">
        <f t="array" ref="L48">IFERROR(J48*INDEX('PORTIFÓLIO'!$S$4:$S$433,MATCH($C48,'PORTIFÓLIO'!$C$4:$C$433,0)),"")</f>
        <v>705.32</v>
      </c>
      <c r="M48" s="220"/>
      <c r="N48" s="220"/>
      <c r="O48" s="220"/>
      <c r="P48" s="220"/>
      <c r="Q48" s="220"/>
      <c r="R48" s="220"/>
      <c r="S48" s="220"/>
      <c r="T48" s="220"/>
      <c r="U48" s="220"/>
      <c r="V48" s="220"/>
      <c r="W48" s="220"/>
    </row>
    <row r="49" ht="15.75" customHeight="1" outlineLevel="1">
      <c r="A49" s="211"/>
      <c r="B49" s="212" t="s">
        <v>2</v>
      </c>
      <c r="C49" s="213" t="s">
        <v>824</v>
      </c>
      <c r="D49" s="214" t="str">
        <f>IFERROR(VLOOKUP($C49,'PORTIFÓLIO'!C:V,2,0),"")</f>
        <v>CLORANTRANILIPROLE</v>
      </c>
      <c r="E49" s="211">
        <f>IFERROR(VLOOKUP($C49,'PORTIFÓLIO'!C:V,3,0),"")</f>
        <v>200</v>
      </c>
      <c r="F49" s="211" t="str">
        <f>IFERROR(VLOOKUP($C49,'PORTIFÓLIO'!C:V,4,0),"")</f>
        <v>L</v>
      </c>
      <c r="G49" s="225" t="str">
        <f>IFERROR(VLOOKUP($C49,'PORTIFÓLIO'!C:V,5,0),"")</f>
        <v>📄 Ver bula</v>
      </c>
      <c r="H49" s="254">
        <f t="array" ref="H49">IFERROR(INDEX('PORTIFÓLIO'!$H$4:$H$433,MATCH($C49,'PORTIFÓLIO'!$C$4:$C$433,0)),"")</f>
        <v>0.1</v>
      </c>
      <c r="I49" s="255">
        <v>0.04</v>
      </c>
      <c r="J49" s="218">
        <f t="shared" si="6"/>
        <v>8.8</v>
      </c>
      <c r="K49" s="219">
        <f t="array" ref="K49">IFERROR(I49*INDEX('PORTIFÓLIO'!$S$4:$S$433,MATCH($C49,'PORTIFÓLIO'!$C$4:$C$433,0)),"")</f>
        <v>11.31855</v>
      </c>
      <c r="L49" s="219">
        <f t="array" ref="L49">IFERROR(J49*INDEX('PORTIFÓLIO'!$S$4:$S$433,MATCH($C49,'PORTIFÓLIO'!$C$4:$C$433,0)),"")</f>
        <v>2490.081</v>
      </c>
      <c r="M49" s="220"/>
      <c r="N49" s="220"/>
      <c r="O49" s="220"/>
      <c r="P49" s="220"/>
      <c r="Q49" s="220"/>
      <c r="R49" s="220"/>
      <c r="S49" s="220"/>
      <c r="T49" s="220"/>
      <c r="U49" s="220"/>
      <c r="V49" s="220"/>
      <c r="W49" s="220"/>
    </row>
    <row r="50" ht="15.75" customHeight="1" outlineLevel="1">
      <c r="A50" s="211"/>
      <c r="B50" s="212"/>
      <c r="C50" s="213"/>
      <c r="D50" s="214" t="str">
        <f>IFERROR(VLOOKUP($C50,'PORTIFÓLIO'!C:V,2,0),"")</f>
        <v/>
      </c>
      <c r="E50" s="211" t="str">
        <f>IFERROR(VLOOKUP($C50,'PORTIFÓLIO'!C:V,3,0),"")</f>
        <v/>
      </c>
      <c r="F50" s="211" t="str">
        <f>IFERROR(VLOOKUP($C50,'PORTIFÓLIO'!C:V,4,0),"")</f>
        <v/>
      </c>
      <c r="G50" s="215" t="str">
        <f>IFERROR(VLOOKUP($C50,'PORTIFÓLIO'!C:V,5,0),"")</f>
        <v/>
      </c>
      <c r="H50" s="254" t="str">
        <f t="array" ref="H50">IFERROR(INDEX('PORTIFÓLIO'!$H$4:$H$433,MATCH($C50,'PORTIFÓLIO'!$C$4:$C$433,0)),"")</f>
        <v/>
      </c>
      <c r="I50" s="255"/>
      <c r="J50" s="218">
        <f t="shared" si="6"/>
        <v>0</v>
      </c>
      <c r="K50" s="219" t="str">
        <f t="array" ref="K50">IFERROR(I50*INDEX('PORTIFÓLIO'!$S$4:$S$433,MATCH($C50,'PORTIFÓLIO'!$C$4:$C$433,0)),"")</f>
        <v/>
      </c>
      <c r="L50" s="219" t="str">
        <f t="array" ref="L50">IFERROR(J50*INDEX('PORTIFÓLIO'!$S$4:$S$433,MATCH($C50,'PORTIFÓLIO'!$C$4:$C$433,0)),"")</f>
        <v/>
      </c>
      <c r="M50" s="220"/>
      <c r="N50" s="220"/>
      <c r="O50" s="220"/>
      <c r="P50" s="220"/>
      <c r="Q50" s="220"/>
      <c r="R50" s="220"/>
      <c r="S50" s="220"/>
      <c r="T50" s="220"/>
      <c r="U50" s="220"/>
      <c r="V50" s="220"/>
      <c r="W50" s="220"/>
    </row>
    <row r="51" ht="15.75" customHeight="1" outlineLevel="1">
      <c r="A51" s="211"/>
      <c r="B51" s="212"/>
      <c r="C51" s="213"/>
      <c r="D51" s="214" t="str">
        <f>IFERROR(VLOOKUP($C51,'PORTIFÓLIO'!C:V,2,0),"")</f>
        <v/>
      </c>
      <c r="E51" s="211" t="str">
        <f>IFERROR(VLOOKUP($C51,'PORTIFÓLIO'!C:V,3,0),"")</f>
        <v/>
      </c>
      <c r="F51" s="211" t="str">
        <f>IFERROR(VLOOKUP($C51,'PORTIFÓLIO'!C:V,4,0),"")</f>
        <v/>
      </c>
      <c r="G51" s="215" t="str">
        <f>IFERROR(VLOOKUP($C51,'PORTIFÓLIO'!C:V,5,0),"")</f>
        <v/>
      </c>
      <c r="H51" s="254" t="str">
        <f t="array" ref="H51">IFERROR(INDEX('PORTIFÓLIO'!$H$4:$H$433,MATCH($C51,'PORTIFÓLIO'!$C$4:$C$433,0)),"")</f>
        <v/>
      </c>
      <c r="I51" s="255"/>
      <c r="J51" s="218">
        <f t="shared" si="6"/>
        <v>0</v>
      </c>
      <c r="K51" s="219" t="str">
        <f t="array" ref="K51">IFERROR(I51*INDEX('PORTIFÓLIO'!$S$4:$S$433,MATCH($C51,'PORTIFÓLIO'!$C$4:$C$433,0)),"")</f>
        <v/>
      </c>
      <c r="L51" s="219" t="str">
        <f t="array" ref="L51">IFERROR(J51*INDEX('PORTIFÓLIO'!$S$4:$S$433,MATCH($C51,'PORTIFÓLIO'!$C$4:$C$433,0)),"")</f>
        <v/>
      </c>
      <c r="M51" s="220"/>
      <c r="N51" s="220"/>
      <c r="O51" s="220"/>
      <c r="P51" s="220"/>
      <c r="Q51" s="220"/>
      <c r="R51" s="220"/>
      <c r="S51" s="220"/>
      <c r="T51" s="220"/>
      <c r="U51" s="220"/>
      <c r="V51" s="220"/>
      <c r="W51" s="220"/>
    </row>
    <row r="52" ht="15.75" customHeight="1" outlineLevel="1">
      <c r="A52" s="211"/>
      <c r="B52" s="212"/>
      <c r="C52" s="213"/>
      <c r="D52" s="214" t="str">
        <f>IFERROR(VLOOKUP($C52,'PORTIFÓLIO'!C:V,2,0),"")</f>
        <v/>
      </c>
      <c r="E52" s="211" t="str">
        <f>IFERROR(VLOOKUP($C52,'PORTIFÓLIO'!C:V,3,0),"")</f>
        <v/>
      </c>
      <c r="F52" s="211" t="str">
        <f>IFERROR(VLOOKUP($C52,'PORTIFÓLIO'!C:V,4,0),"")</f>
        <v/>
      </c>
      <c r="G52" s="215" t="str">
        <f>IFERROR(VLOOKUP($C52,'PORTIFÓLIO'!C:V,5,0),"")</f>
        <v/>
      </c>
      <c r="H52" s="254" t="str">
        <f t="array" ref="H52">IFERROR(INDEX('PORTIFÓLIO'!$H$4:$H$433,MATCH($C52,'PORTIFÓLIO'!$C$4:$C$433,0)),"")</f>
        <v/>
      </c>
      <c r="I52" s="256"/>
      <c r="J52" s="218">
        <f t="shared" si="6"/>
        <v>0</v>
      </c>
      <c r="K52" s="219" t="str">
        <f t="array" ref="K52">IFERROR(I52*INDEX('PORTIFÓLIO'!$S$4:$S$433,MATCH($C52,'PORTIFÓLIO'!$C$4:$C$433,0)),"")</f>
        <v/>
      </c>
      <c r="L52" s="219" t="str">
        <f t="array" ref="L52">IFERROR(J52*INDEX('PORTIFÓLIO'!$S$4:$S$433,MATCH($C52,'PORTIFÓLIO'!$C$4:$C$433,0)),"")</f>
        <v/>
      </c>
      <c r="M52" s="220"/>
      <c r="N52" s="220"/>
      <c r="O52" s="220"/>
      <c r="P52" s="220"/>
      <c r="Q52" s="220"/>
      <c r="R52" s="220"/>
      <c r="S52" s="220"/>
      <c r="T52" s="220"/>
      <c r="U52" s="220"/>
      <c r="V52" s="220"/>
      <c r="W52" s="220"/>
    </row>
    <row r="53" ht="15.75" customHeight="1" outlineLevel="1">
      <c r="A53" s="211"/>
      <c r="B53" s="212"/>
      <c r="C53" s="213"/>
      <c r="D53" s="214" t="str">
        <f>IFERROR(VLOOKUP($C53,'PORTIFÓLIO'!C:V,2,0),"")</f>
        <v/>
      </c>
      <c r="E53" s="211" t="str">
        <f>IFERROR(VLOOKUP($C53,'PORTIFÓLIO'!C:V,3,0),"")</f>
        <v/>
      </c>
      <c r="F53" s="211" t="str">
        <f>IFERROR(VLOOKUP($C53,'PORTIFÓLIO'!C:V,4,0),"")</f>
        <v/>
      </c>
      <c r="G53" s="215" t="str">
        <f>IFERROR(VLOOKUP($C53,'PORTIFÓLIO'!C:V,5,0),"")</f>
        <v/>
      </c>
      <c r="H53" s="254" t="str">
        <f t="array" ref="H53">IFERROR(INDEX('PORTIFÓLIO'!$H$4:$H$433,MATCH($C53,'PORTIFÓLIO'!$C$4:$C$433,0)),"")</f>
        <v/>
      </c>
      <c r="I53" s="255"/>
      <c r="J53" s="218">
        <f t="shared" si="6"/>
        <v>0</v>
      </c>
      <c r="K53" s="219" t="str">
        <f t="array" ref="K53">IFERROR(I53*INDEX('PORTIFÓLIO'!$S$4:$S$433,MATCH($C53,'PORTIFÓLIO'!$C$4:$C$433,0)),"")</f>
        <v/>
      </c>
      <c r="L53" s="219" t="str">
        <f t="array" ref="L53">IFERROR(J53*INDEX('PORTIFÓLIO'!$S$4:$S$433,MATCH($C53,'PORTIFÓLIO'!$C$4:$C$433,0)),"")</f>
        <v/>
      </c>
      <c r="M53" s="220"/>
      <c r="N53" s="220"/>
      <c r="O53" s="220"/>
      <c r="P53" s="220"/>
      <c r="Q53" s="220"/>
      <c r="R53" s="220"/>
      <c r="S53" s="220"/>
      <c r="T53" s="220"/>
      <c r="U53" s="220"/>
      <c r="V53" s="220"/>
      <c r="W53" s="220"/>
    </row>
    <row r="54" ht="15.75" customHeight="1" outlineLevel="1">
      <c r="A54" s="211"/>
      <c r="B54" s="212"/>
      <c r="C54" s="213"/>
      <c r="D54" s="214" t="str">
        <f>IFERROR(VLOOKUP($C54,'PORTIFÓLIO'!C:V,2,0),"")</f>
        <v/>
      </c>
      <c r="E54" s="211" t="str">
        <f>IFERROR(VLOOKUP($C54,'PORTIFÓLIO'!C:V,3,0),"")</f>
        <v/>
      </c>
      <c r="F54" s="211" t="str">
        <f>IFERROR(VLOOKUP($C54,'PORTIFÓLIO'!C:V,4,0),"")</f>
        <v/>
      </c>
      <c r="G54" s="215" t="str">
        <f>IFERROR(VLOOKUP($C54,'PORTIFÓLIO'!C:V,5,0),"")</f>
        <v/>
      </c>
      <c r="H54" s="254" t="str">
        <f t="array" ref="H54">IFERROR(INDEX('PORTIFÓLIO'!$H$4:$H$433,MATCH($C54,'PORTIFÓLIO'!$C$4:$C$433,0)),"")</f>
        <v/>
      </c>
      <c r="I54" s="256"/>
      <c r="J54" s="218">
        <f t="shared" si="6"/>
        <v>0</v>
      </c>
      <c r="K54" s="219" t="str">
        <f t="array" ref="K54">IFERROR(I54*INDEX('PORTIFÓLIO'!$S$4:$S$433,MATCH($C54,'PORTIFÓLIO'!$C$4:$C$433,0)),"")</f>
        <v/>
      </c>
      <c r="L54" s="219" t="str">
        <f t="array" ref="L54">IFERROR(J54*INDEX('PORTIFÓLIO'!$S$4:$S$433,MATCH($C54,'PORTIFÓLIO'!$C$4:$C$433,0)),"")</f>
        <v/>
      </c>
      <c r="M54" s="220"/>
      <c r="N54" s="220"/>
      <c r="O54" s="220"/>
      <c r="P54" s="220"/>
      <c r="Q54" s="220"/>
      <c r="R54" s="220"/>
      <c r="S54" s="220"/>
      <c r="T54" s="220"/>
      <c r="U54" s="220"/>
      <c r="V54" s="220"/>
      <c r="W54" s="220"/>
    </row>
    <row r="55" ht="15.75" customHeight="1" outlineLevel="1">
      <c r="A55" s="211"/>
      <c r="B55" s="212"/>
      <c r="C55" s="213"/>
      <c r="D55" s="214" t="str">
        <f>IFERROR(VLOOKUP($C55,'PORTIFÓLIO'!C:V,2,0),"")</f>
        <v/>
      </c>
      <c r="E55" s="211" t="str">
        <f>IFERROR(VLOOKUP($C55,'PORTIFÓLIO'!C:V,3,0),"")</f>
        <v/>
      </c>
      <c r="F55" s="211" t="str">
        <f>IFERROR(VLOOKUP($C55,'PORTIFÓLIO'!C:V,4,0),"")</f>
        <v/>
      </c>
      <c r="G55" s="215" t="str">
        <f>IFERROR(VLOOKUP($C55,'PORTIFÓLIO'!C:V,5,0),"")</f>
        <v/>
      </c>
      <c r="H55" s="254" t="str">
        <f t="array" ref="H55">IFERROR(INDEX('PORTIFÓLIO'!$H$4:$H$433,MATCH($C55,'PORTIFÓLIO'!$C$4:$C$433,0)),"")</f>
        <v/>
      </c>
      <c r="I55" s="256"/>
      <c r="J55" s="218">
        <f t="shared" si="6"/>
        <v>0</v>
      </c>
      <c r="K55" s="219" t="str">
        <f t="array" ref="K55">IFERROR(I55*INDEX('PORTIFÓLIO'!$S$4:$S$433,MATCH($C55,'PORTIFÓLIO'!$C$4:$C$433,0)),"")</f>
        <v/>
      </c>
      <c r="L55" s="219" t="str">
        <f t="array" ref="L55">IFERROR(J55*INDEX('PORTIFÓLIO'!$S$4:$S$433,MATCH($C55,'PORTIFÓLIO'!$C$4:$C$433,0)),"")</f>
        <v/>
      </c>
      <c r="M55" s="220"/>
      <c r="N55" s="220"/>
      <c r="O55" s="220"/>
      <c r="P55" s="220"/>
      <c r="Q55" s="220"/>
      <c r="R55" s="220"/>
      <c r="S55" s="220"/>
      <c r="T55" s="220"/>
      <c r="U55" s="220"/>
      <c r="V55" s="220"/>
      <c r="W55" s="220"/>
    </row>
    <row r="56" ht="15.75" customHeight="1" outlineLevel="1">
      <c r="A56" s="211"/>
      <c r="B56" s="212"/>
      <c r="C56" s="213"/>
      <c r="D56" s="214" t="str">
        <f>IFERROR(VLOOKUP($C56,'PORTIFÓLIO'!C:V,2,0),"")</f>
        <v/>
      </c>
      <c r="E56" s="211" t="str">
        <f>IFERROR(VLOOKUP($C56,'PORTIFÓLIO'!C:V,3,0),"")</f>
        <v/>
      </c>
      <c r="F56" s="211" t="str">
        <f>IFERROR(VLOOKUP($C56,'PORTIFÓLIO'!C:V,4,0),"")</f>
        <v/>
      </c>
      <c r="G56" s="215" t="str">
        <f>IFERROR(VLOOKUP($C56,'PORTIFÓLIO'!C:V,5,0),"")</f>
        <v/>
      </c>
      <c r="H56" s="254" t="str">
        <f t="array" ref="H56">IFERROR(INDEX('PORTIFÓLIO'!$H$4:$H$433,MATCH($C56,'PORTIFÓLIO'!$C$4:$C$433,0)),"")</f>
        <v/>
      </c>
      <c r="I56" s="256"/>
      <c r="J56" s="218">
        <f t="shared" si="6"/>
        <v>0</v>
      </c>
      <c r="K56" s="219" t="str">
        <f t="array" ref="K56">IFERROR(I56*INDEX('PORTIFÓLIO'!$S$4:$S$433,MATCH($C56,'PORTIFÓLIO'!$C$4:$C$433,0)),"")</f>
        <v/>
      </c>
      <c r="L56" s="219" t="str">
        <f t="array" ref="L56">IFERROR(J56*INDEX('PORTIFÓLIO'!$S$4:$S$433,MATCH($C56,'PORTIFÓLIO'!$C$4:$C$433,0)),"")</f>
        <v/>
      </c>
      <c r="M56" s="220"/>
      <c r="N56" s="220"/>
      <c r="O56" s="220"/>
      <c r="P56" s="220"/>
      <c r="Q56" s="220"/>
      <c r="R56" s="220"/>
      <c r="S56" s="220"/>
      <c r="T56" s="220"/>
      <c r="U56" s="220"/>
      <c r="V56" s="220"/>
      <c r="W56" s="220"/>
    </row>
    <row r="57" ht="15.75" customHeight="1" outlineLevel="1">
      <c r="A57" s="211"/>
      <c r="B57" s="212"/>
      <c r="C57" s="213"/>
      <c r="D57" s="214" t="str">
        <f>IFERROR(VLOOKUP($C57,'PORTIFÓLIO'!C:V,2,0),"")</f>
        <v/>
      </c>
      <c r="E57" s="211" t="str">
        <f>IFERROR(VLOOKUP($C57,'PORTIFÓLIO'!C:V,3,0),"")</f>
        <v/>
      </c>
      <c r="F57" s="211" t="str">
        <f>IFERROR(VLOOKUP($C57,'PORTIFÓLIO'!C:V,4,0),"")</f>
        <v/>
      </c>
      <c r="G57" s="215" t="str">
        <f>IFERROR(VLOOKUP($C57,'PORTIFÓLIO'!C:V,5,0),"")</f>
        <v/>
      </c>
      <c r="H57" s="254" t="str">
        <f t="array" ref="H57">IFERROR(INDEX('PORTIFÓLIO'!$H$4:$H$433,MATCH($C57,'PORTIFÓLIO'!$C$4:$C$433,0)),"")</f>
        <v/>
      </c>
      <c r="I57" s="256"/>
      <c r="J57" s="218">
        <f t="shared" si="6"/>
        <v>0</v>
      </c>
      <c r="K57" s="219" t="str">
        <f t="array" ref="K57">IFERROR(I57*INDEX('PORTIFÓLIO'!$S$4:$S$433,MATCH($C57,'PORTIFÓLIO'!$C$4:$C$433,0)),"")</f>
        <v/>
      </c>
      <c r="L57" s="219" t="str">
        <f t="array" ref="L57">IFERROR(J57*INDEX('PORTIFÓLIO'!$S$4:$S$433,MATCH($C57,'PORTIFÓLIO'!$C$4:$C$433,0)),"")</f>
        <v/>
      </c>
      <c r="M57" s="220"/>
      <c r="N57" s="220"/>
      <c r="O57" s="220"/>
      <c r="P57" s="220"/>
      <c r="Q57" s="220"/>
      <c r="R57" s="220"/>
      <c r="S57" s="220"/>
      <c r="T57" s="220"/>
      <c r="U57" s="220"/>
      <c r="V57" s="220"/>
      <c r="W57" s="220"/>
    </row>
    <row r="58" ht="15.75" customHeight="1" outlineLevel="1">
      <c r="A58" s="211"/>
      <c r="B58" s="212"/>
      <c r="C58" s="213"/>
      <c r="D58" s="214" t="str">
        <f>IFERROR(VLOOKUP($C58,'PORTIFÓLIO'!C:V,2,0),"")</f>
        <v/>
      </c>
      <c r="E58" s="211" t="str">
        <f>IFERROR(VLOOKUP($C58,'PORTIFÓLIO'!C:V,3,0),"")</f>
        <v/>
      </c>
      <c r="F58" s="211" t="str">
        <f>IFERROR(VLOOKUP($C58,'PORTIFÓLIO'!C:V,4,0),"")</f>
        <v/>
      </c>
      <c r="G58" s="215" t="str">
        <f>IFERROR(VLOOKUP($C58,'PORTIFÓLIO'!C:V,5,0),"")</f>
        <v/>
      </c>
      <c r="H58" s="254" t="str">
        <f t="array" ref="H58">IFERROR(INDEX('PORTIFÓLIO'!$H$4:$H$433,MATCH($C58,'PORTIFÓLIO'!$C$4:$C$433,0)),"")</f>
        <v/>
      </c>
      <c r="I58" s="256"/>
      <c r="J58" s="218">
        <f t="shared" si="6"/>
        <v>0</v>
      </c>
      <c r="K58" s="219" t="str">
        <f t="array" ref="K58">IFERROR(I58*INDEX('PORTIFÓLIO'!$S$4:$S$433,MATCH($C58,'PORTIFÓLIO'!$C$4:$C$433,0)),"")</f>
        <v/>
      </c>
      <c r="L58" s="219" t="str">
        <f t="array" ref="L58">IFERROR(J58*INDEX('PORTIFÓLIO'!$S$4:$S$433,MATCH($C58,'PORTIFÓLIO'!$C$4:$C$433,0)),"")</f>
        <v/>
      </c>
      <c r="M58" s="220"/>
      <c r="N58" s="220"/>
      <c r="O58" s="220"/>
      <c r="P58" s="220"/>
      <c r="Q58" s="220"/>
      <c r="R58" s="220"/>
      <c r="S58" s="220"/>
      <c r="T58" s="220"/>
      <c r="U58" s="220"/>
      <c r="V58" s="220"/>
      <c r="W58" s="220"/>
    </row>
    <row r="59" ht="15.75" customHeight="1" outlineLevel="1">
      <c r="A59" s="211"/>
      <c r="B59" s="212"/>
      <c r="C59" s="213"/>
      <c r="D59" s="214" t="str">
        <f>IFERROR(VLOOKUP($C59,'PORTIFÓLIO'!C:V,2,0),"")</f>
        <v/>
      </c>
      <c r="E59" s="211" t="str">
        <f>IFERROR(VLOOKUP($C59,'PORTIFÓLIO'!C:V,3,0),"")</f>
        <v/>
      </c>
      <c r="F59" s="211" t="str">
        <f>IFERROR(VLOOKUP($C59,'PORTIFÓLIO'!C:V,4,0),"")</f>
        <v/>
      </c>
      <c r="G59" s="215" t="str">
        <f>IFERROR(VLOOKUP($C59,'PORTIFÓLIO'!C:V,5,0),"")</f>
        <v/>
      </c>
      <c r="H59" s="254" t="str">
        <f t="array" ref="H59">IFERROR(INDEX('PORTIFÓLIO'!$H$4:$H$433,MATCH($C59,'PORTIFÓLIO'!$C$4:$C$433,0)),"")</f>
        <v/>
      </c>
      <c r="I59" s="256"/>
      <c r="J59" s="218">
        <f t="shared" si="6"/>
        <v>0</v>
      </c>
      <c r="K59" s="219" t="str">
        <f t="array" ref="K59">IFERROR(I59*INDEX('PORTIFÓLIO'!$S$4:$S$433,MATCH($C59,'PORTIFÓLIO'!$C$4:$C$433,0)),"")</f>
        <v/>
      </c>
      <c r="L59" s="219" t="str">
        <f t="array" ref="L59">IFERROR(J59*INDEX('PORTIFÓLIO'!$S$4:$S$433,MATCH($C59,'PORTIFÓLIO'!$C$4:$C$433,0)),"")</f>
        <v/>
      </c>
      <c r="M59" s="220"/>
      <c r="N59" s="220"/>
      <c r="O59" s="220"/>
      <c r="P59" s="220"/>
      <c r="Q59" s="220"/>
      <c r="R59" s="220"/>
      <c r="S59" s="220"/>
      <c r="T59" s="220"/>
      <c r="U59" s="220"/>
      <c r="V59" s="220"/>
      <c r="W59" s="220"/>
    </row>
    <row r="60" ht="15.75" customHeight="1" outlineLevel="1">
      <c r="A60" s="211"/>
      <c r="B60" s="212"/>
      <c r="C60" s="213"/>
      <c r="D60" s="214" t="str">
        <f>IFERROR(VLOOKUP($C60,'PORTIFÓLIO'!C:V,2,0),"")</f>
        <v/>
      </c>
      <c r="E60" s="211" t="str">
        <f>IFERROR(VLOOKUP($C60,'PORTIFÓLIO'!C:V,3,0),"")</f>
        <v/>
      </c>
      <c r="F60" s="211" t="str">
        <f>IFERROR(VLOOKUP($C60,'PORTIFÓLIO'!C:V,4,0),"")</f>
        <v/>
      </c>
      <c r="G60" s="215" t="str">
        <f>IFERROR(VLOOKUP($C60,'PORTIFÓLIO'!C:V,5,0),"")</f>
        <v/>
      </c>
      <c r="H60" s="254" t="str">
        <f t="array" ref="H60">IFERROR(INDEX('PORTIFÓLIO'!$H$4:$H$433,MATCH($C60,'PORTIFÓLIO'!$C$4:$C$433,0)),"")</f>
        <v/>
      </c>
      <c r="I60" s="256"/>
      <c r="J60" s="218">
        <f t="shared" si="6"/>
        <v>0</v>
      </c>
      <c r="K60" s="219" t="str">
        <f t="array" ref="K60">IFERROR(I60*INDEX('PORTIFÓLIO'!$S$4:$S$433,MATCH($C60,'PORTIFÓLIO'!$C$4:$C$433,0)),"")</f>
        <v/>
      </c>
      <c r="L60" s="219" t="str">
        <f t="array" ref="L60">IFERROR(J60*INDEX('PORTIFÓLIO'!$S$4:$S$433,MATCH($C60,'PORTIFÓLIO'!$C$4:$C$433,0)),"")</f>
        <v/>
      </c>
      <c r="M60" s="220"/>
      <c r="N60" s="220"/>
      <c r="O60" s="220"/>
      <c r="P60" s="220"/>
      <c r="Q60" s="220"/>
      <c r="R60" s="220"/>
      <c r="S60" s="220"/>
      <c r="T60" s="220"/>
      <c r="U60" s="220"/>
      <c r="V60" s="220"/>
      <c r="W60" s="220"/>
    </row>
    <row r="61" ht="15.75" customHeight="1" outlineLevel="1">
      <c r="A61" s="211"/>
      <c r="B61" s="212"/>
      <c r="C61" s="213"/>
      <c r="D61" s="214" t="str">
        <f>IFERROR(VLOOKUP($C61,'PORTIFÓLIO'!C:V,2,0),"")</f>
        <v/>
      </c>
      <c r="E61" s="211" t="str">
        <f>IFERROR(VLOOKUP($C61,'PORTIFÓLIO'!C:V,3,0),"")</f>
        <v/>
      </c>
      <c r="F61" s="211" t="str">
        <f>IFERROR(VLOOKUP($C61,'PORTIFÓLIO'!C:V,4,0),"")</f>
        <v/>
      </c>
      <c r="G61" s="215" t="str">
        <f>IFERROR(VLOOKUP($C61,'PORTIFÓLIO'!C:V,5,0),"")</f>
        <v/>
      </c>
      <c r="H61" s="254" t="str">
        <f t="array" ref="H61">IFERROR(INDEX('PORTIFÓLIO'!$H$4:$H$433,MATCH($C61,'PORTIFÓLIO'!$C$4:$C$433,0)),"")</f>
        <v/>
      </c>
      <c r="I61" s="256"/>
      <c r="J61" s="218">
        <f t="shared" si="6"/>
        <v>0</v>
      </c>
      <c r="K61" s="219" t="str">
        <f t="array" ref="K61">IFERROR(I61*INDEX('PORTIFÓLIO'!$S$4:$S$433,MATCH($C61,'PORTIFÓLIO'!$C$4:$C$433,0)),"")</f>
        <v/>
      </c>
      <c r="L61" s="219" t="str">
        <f t="array" ref="L61">IFERROR(J61*INDEX('PORTIFÓLIO'!$S$4:$S$433,MATCH($C61,'PORTIFÓLIO'!$C$4:$C$433,0)),"")</f>
        <v/>
      </c>
      <c r="M61" s="220"/>
      <c r="N61" s="220"/>
      <c r="O61" s="220"/>
      <c r="P61" s="220"/>
      <c r="Q61" s="220"/>
      <c r="R61" s="220"/>
      <c r="S61" s="220"/>
      <c r="T61" s="220"/>
      <c r="U61" s="220"/>
      <c r="V61" s="220"/>
      <c r="W61" s="220"/>
    </row>
    <row r="62" ht="15.75" customHeight="1" outlineLevel="1">
      <c r="A62" s="211"/>
      <c r="B62" s="212"/>
      <c r="C62" s="213"/>
      <c r="D62" s="214" t="str">
        <f>IFERROR(VLOOKUP($C62,'PORTIFÓLIO'!C:V,2,0),"")</f>
        <v/>
      </c>
      <c r="E62" s="211" t="str">
        <f>IFERROR(VLOOKUP($C62,'PORTIFÓLIO'!C:V,3,0),"")</f>
        <v/>
      </c>
      <c r="F62" s="211" t="str">
        <f>IFERROR(VLOOKUP($C62,'PORTIFÓLIO'!C:V,4,0),"")</f>
        <v/>
      </c>
      <c r="G62" s="215" t="str">
        <f>IFERROR(VLOOKUP($C62,'PORTIFÓLIO'!C:V,5,0),"")</f>
        <v/>
      </c>
      <c r="H62" s="254" t="str">
        <f t="array" ref="H62">IFERROR(INDEX('PORTIFÓLIO'!$H$4:$H$433,MATCH($C62,'PORTIFÓLIO'!$C$4:$C$433,0)),"")</f>
        <v/>
      </c>
      <c r="I62" s="256"/>
      <c r="J62" s="218">
        <f t="shared" si="6"/>
        <v>0</v>
      </c>
      <c r="K62" s="219" t="str">
        <f t="array" ref="K62">IFERROR(I62*INDEX('PORTIFÓLIO'!$S$4:$S$433,MATCH($C62,'PORTIFÓLIO'!$C$4:$C$433,0)),"")</f>
        <v/>
      </c>
      <c r="L62" s="219" t="str">
        <f t="array" ref="L62">IFERROR(J62*INDEX('PORTIFÓLIO'!$S$4:$S$433,MATCH($C62,'PORTIFÓLIO'!$C$4:$C$433,0)),"")</f>
        <v/>
      </c>
      <c r="M62" s="220"/>
      <c r="N62" s="220"/>
      <c r="O62" s="220"/>
      <c r="P62" s="220"/>
      <c r="Q62" s="220"/>
      <c r="R62" s="220"/>
      <c r="S62" s="220"/>
      <c r="T62" s="220"/>
      <c r="U62" s="220"/>
      <c r="V62" s="220"/>
      <c r="W62" s="220"/>
    </row>
    <row r="63" ht="15.75" customHeight="1">
      <c r="A63" s="229" t="s">
        <v>1186</v>
      </c>
      <c r="B63" s="230"/>
      <c r="C63" s="231"/>
      <c r="D63" s="232"/>
      <c r="E63" s="231"/>
      <c r="F63" s="231"/>
      <c r="G63" s="233"/>
      <c r="H63" s="233"/>
      <c r="I63" s="258"/>
      <c r="J63" s="236"/>
      <c r="K63" s="237">
        <f t="shared" ref="K63:L63" si="7">SUBTOTAL(9,K64:K76)</f>
        <v>442.19122</v>
      </c>
      <c r="L63" s="237">
        <f t="shared" si="7"/>
        <v>97282.0684</v>
      </c>
      <c r="M63" s="220"/>
      <c r="N63" s="220"/>
      <c r="O63" s="220"/>
      <c r="P63" s="220"/>
      <c r="Q63" s="220"/>
      <c r="R63" s="220"/>
      <c r="S63" s="220"/>
      <c r="T63" s="220"/>
      <c r="U63" s="220"/>
      <c r="V63" s="220"/>
      <c r="W63" s="220"/>
    </row>
    <row r="64" ht="15.75" customHeight="1" outlineLevel="1">
      <c r="A64" s="213"/>
      <c r="B64" s="212" t="s">
        <v>5</v>
      </c>
      <c r="C64" s="213" t="s">
        <v>1057</v>
      </c>
      <c r="D64" s="214" t="str">
        <f>IFERROR(VLOOKUP($C64,'PORTIFÓLIO'!C:V,2,0),"")</f>
        <v/>
      </c>
      <c r="E64" s="211" t="str">
        <f>IFERROR(VLOOKUP($C64,'PORTIFÓLIO'!C:V,3,0),"")</f>
        <v/>
      </c>
      <c r="F64" s="211" t="str">
        <f>IFERROR(VLOOKUP($C64,'PORTIFÓLIO'!C:V,4,0),"")</f>
        <v>5MM</v>
      </c>
      <c r="G64" s="225" t="str">
        <f>IFERROR(VLOOKUP($C64,'PORTIFÓLIO'!C:V,5,0),"")</f>
        <v>📄 Ver bula</v>
      </c>
      <c r="H64" s="254" t="str">
        <f t="array" ref="H64">IFERROR(INDEX('PORTIFÓLIO'!$H$4:$H$433,MATCH($C64,'PORTIFÓLIO'!$C$4:$C$433,0)),"")</f>
        <v/>
      </c>
      <c r="I64" s="255">
        <v>0.04</v>
      </c>
      <c r="J64" s="218">
        <f t="shared" ref="J64:J80" si="8">I64*$B$2</f>
        <v>8.8</v>
      </c>
      <c r="K64" s="219">
        <f t="array" ref="K64">IFERROR(I64*INDEX('PORTIFÓLIO'!$S$4:$S$433,MATCH($C64,'PORTIFÓLIO'!$C$4:$C$433,0)),"")</f>
        <v>0</v>
      </c>
      <c r="L64" s="219">
        <f t="array" ref="L64">IFERROR(J64*INDEX('PORTIFÓLIO'!$S$4:$S$433,MATCH($C64,'PORTIFÓLIO'!$C$4:$C$433,0)),"")</f>
        <v>0</v>
      </c>
      <c r="M64" s="220"/>
      <c r="N64" s="220"/>
      <c r="O64" s="220"/>
      <c r="P64" s="220"/>
      <c r="Q64" s="220"/>
      <c r="R64" s="220"/>
      <c r="S64" s="220"/>
      <c r="T64" s="220"/>
      <c r="U64" s="220"/>
      <c r="V64" s="220"/>
      <c r="W64" s="220"/>
    </row>
    <row r="65" ht="15.75" customHeight="1" outlineLevel="1">
      <c r="A65" s="211"/>
      <c r="B65" s="212" t="s">
        <v>3</v>
      </c>
      <c r="C65" s="213" t="s">
        <v>1011</v>
      </c>
      <c r="D65" s="214" t="str">
        <f>IFERROR(VLOOKUP($C65,'PORTIFÓLIO'!C:V,2,0),"")</f>
        <v>METALAXIL-M + TIABENDAZOL + FLUDIOXONIL +
 TIAMETOXAM</v>
      </c>
      <c r="E65" s="211" t="str">
        <f>IFERROR(VLOOKUP($C65,'PORTIFÓLIO'!C:V,3,0),"")</f>
        <v>20 + 150 + 25 + 350</v>
      </c>
      <c r="F65" s="211" t="str">
        <f>IFERROR(VLOOKUP($C65,'PORTIFÓLIO'!C:V,4,0),"")</f>
        <v/>
      </c>
      <c r="G65" s="225" t="str">
        <f>IFERROR(VLOOKUP($C65,'PORTIFÓLIO'!C:V,5,0),"")</f>
        <v>📄 Ver bula</v>
      </c>
      <c r="H65" s="254">
        <f t="array" ref="H65">IFERROR(INDEX('PORTIFÓLIO'!$H$4:$H$433,MATCH($C65,'PORTIFÓLIO'!$C$4:$C$433,0)),"")</f>
        <v>0.05</v>
      </c>
      <c r="I65" s="255">
        <v>0.05</v>
      </c>
      <c r="J65" s="218">
        <f t="shared" si="8"/>
        <v>11</v>
      </c>
      <c r="K65" s="219">
        <f t="array" ref="K65">IFERROR(I65*INDEX('PORTIFÓLIO'!$S$4:$S$433,MATCH($C65,'PORTIFÓLIO'!$C$4:$C$433,0)),"")</f>
        <v>25.27</v>
      </c>
      <c r="L65" s="219">
        <f t="array" ref="L65">IFERROR(J65*INDEX('PORTIFÓLIO'!$S$4:$S$433,MATCH($C65,'PORTIFÓLIO'!$C$4:$C$433,0)),"")</f>
        <v>5559.4</v>
      </c>
      <c r="M65" s="220"/>
      <c r="N65" s="220"/>
      <c r="O65" s="220"/>
      <c r="P65" s="220"/>
      <c r="Q65" s="220"/>
      <c r="R65" s="220"/>
      <c r="S65" s="220"/>
      <c r="T65" s="220"/>
      <c r="U65" s="220"/>
      <c r="V65" s="220"/>
      <c r="W65" s="220"/>
    </row>
    <row r="66" ht="15.75" customHeight="1" outlineLevel="1">
      <c r="A66" s="211"/>
      <c r="B66" s="212" t="s">
        <v>3</v>
      </c>
      <c r="C66" s="213" t="s">
        <v>1007</v>
      </c>
      <c r="D66" s="214" t="str">
        <f>IFERROR(VLOOKUP($C66,'PORTIFÓLIO'!C:V,2,0),"")</f>
        <v>DIFENOCONAZOL</v>
      </c>
      <c r="E66" s="211">
        <f>IFERROR(VLOOKUP($C66,'PORTIFÓLIO'!C:V,3,0),"")</f>
        <v>150</v>
      </c>
      <c r="F66" s="211" t="str">
        <f>IFERROR(VLOOKUP($C66,'PORTIFÓLIO'!C:V,4,0),"")</f>
        <v/>
      </c>
      <c r="G66" s="225" t="str">
        <f>IFERROR(VLOOKUP($C66,'PORTIFÓLIO'!C:V,5,0),"")</f>
        <v>📄 Ver bula</v>
      </c>
      <c r="H66" s="254">
        <f t="array" ref="H66">IFERROR(INDEX('PORTIFÓLIO'!$H$4:$H$433,MATCH($C66,'PORTIFÓLIO'!$C$4:$C$433,0)),"")</f>
        <v>0.015</v>
      </c>
      <c r="I66" s="255">
        <v>0.02</v>
      </c>
      <c r="J66" s="218">
        <f t="shared" si="8"/>
        <v>4.4</v>
      </c>
      <c r="K66" s="219">
        <f t="array" ref="K66">IFERROR(I66*INDEX('PORTIFÓLIO'!$S$4:$S$433,MATCH($C66,'PORTIFÓLIO'!$C$4:$C$433,0)),"")</f>
        <v>1.78486</v>
      </c>
      <c r="L66" s="219">
        <f t="array" ref="L66">IFERROR(J66*INDEX('PORTIFÓLIO'!$S$4:$S$433,MATCH($C66,'PORTIFÓLIO'!$C$4:$C$433,0)),"")</f>
        <v>392.6692</v>
      </c>
      <c r="M66" s="220"/>
      <c r="N66" s="220"/>
      <c r="O66" s="220"/>
      <c r="P66" s="220"/>
      <c r="Q66" s="220"/>
      <c r="R66" s="220"/>
      <c r="S66" s="220"/>
      <c r="T66" s="220"/>
      <c r="U66" s="220"/>
      <c r="V66" s="220"/>
      <c r="W66" s="220"/>
    </row>
    <row r="67" ht="15.75" customHeight="1" outlineLevel="1">
      <c r="A67" s="211"/>
      <c r="B67" s="212" t="s">
        <v>3</v>
      </c>
      <c r="C67" s="213" t="s">
        <v>1005</v>
      </c>
      <c r="D67" s="214" t="str">
        <f>IFERROR(VLOOKUP($C67,'PORTIFÓLIO'!C:V,2,0),"")</f>
        <v>CICLOBUTRIFLURAM</v>
      </c>
      <c r="E67" s="211">
        <f>IFERROR(VLOOKUP($C67,'PORTIFÓLIO'!C:V,3,0),"")</f>
        <v>500</v>
      </c>
      <c r="F67" s="211" t="str">
        <f>IFERROR(VLOOKUP($C67,'PORTIFÓLIO'!C:V,4,0),"")</f>
        <v/>
      </c>
      <c r="G67" s="225" t="str">
        <f>IFERROR(VLOOKUP($C67,'PORTIFÓLIO'!C:V,5,0),"")</f>
        <v>📄 Ver bula</v>
      </c>
      <c r="H67" s="254">
        <f t="array" ref="H67">IFERROR(INDEX('PORTIFÓLIO'!$H$4:$H$433,MATCH($C67,'PORTIFÓLIO'!$C$4:$C$433,0)),"")</f>
        <v>0.02</v>
      </c>
      <c r="I67" s="255">
        <v>0.04</v>
      </c>
      <c r="J67" s="218">
        <f t="shared" si="8"/>
        <v>8.8</v>
      </c>
      <c r="K67" s="219">
        <f t="array" ref="K67">IFERROR(I67*INDEX('PORTIFÓLIO'!$S$4:$S$433,MATCH($C67,'PORTIFÓLIO'!$C$4:$C$433,0)),"")</f>
        <v>175.41636</v>
      </c>
      <c r="L67" s="219">
        <f t="array" ref="L67">IFERROR(J67*INDEX('PORTIFÓLIO'!$S$4:$S$433,MATCH($C67,'PORTIFÓLIO'!$C$4:$C$433,0)),"")</f>
        <v>38591.5992</v>
      </c>
      <c r="M67" s="220"/>
      <c r="N67" s="220"/>
      <c r="O67" s="220"/>
      <c r="P67" s="220"/>
      <c r="Q67" s="220"/>
      <c r="R67" s="220"/>
      <c r="S67" s="220"/>
      <c r="T67" s="220"/>
      <c r="U67" s="220"/>
      <c r="V67" s="220"/>
      <c r="W67" s="220"/>
    </row>
    <row r="68" ht="15.75" customHeight="1" outlineLevel="1">
      <c r="A68" s="211"/>
      <c r="B68" s="212" t="s">
        <v>4</v>
      </c>
      <c r="C68" s="213" t="s">
        <v>1094</v>
      </c>
      <c r="D68" s="214" t="str">
        <f>IFERROR(VLOOKUP($C68,'PORTIFÓLIO'!C:V,2,0),"")</f>
        <v>Bradyrhizobium sp.</v>
      </c>
      <c r="E68" s="211" t="str">
        <f>IFERROR(VLOOKUP($C68,'PORTIFÓLIO'!C:V,3,0),"")</f>
        <v/>
      </c>
      <c r="F68" s="211" t="str">
        <f>IFERROR(VLOOKUP($C68,'PORTIFÓLIO'!C:V,4,0),"")</f>
        <v>L</v>
      </c>
      <c r="G68" s="225" t="str">
        <f>IFERROR(VLOOKUP($C68,'PORTIFÓLIO'!C:V,5,0),"")</f>
        <v>📄 Ver bula</v>
      </c>
      <c r="H68" s="254">
        <f t="array" ref="H68">IFERROR(INDEX('PORTIFÓLIO'!$H$4:$H$433,MATCH($C68,'PORTIFÓLIO'!$C$4:$C$433,0)),"")</f>
        <v>2</v>
      </c>
      <c r="I68" s="255">
        <v>4.0</v>
      </c>
      <c r="J68" s="218">
        <f t="shared" si="8"/>
        <v>880</v>
      </c>
      <c r="K68" s="219">
        <f t="array" ref="K68">IFERROR(I68*INDEX('PORTIFÓLIO'!$S$4:$S$433,MATCH($C68,'PORTIFÓLIO'!$C$4:$C$433,0)),"")</f>
        <v>104</v>
      </c>
      <c r="L68" s="219">
        <f t="array" ref="L68">IFERROR(J68*INDEX('PORTIFÓLIO'!$S$4:$S$433,MATCH($C68,'PORTIFÓLIO'!$C$4:$C$433,0)),"")</f>
        <v>22880</v>
      </c>
      <c r="M68" s="220"/>
      <c r="N68" s="220"/>
      <c r="O68" s="220"/>
      <c r="P68" s="220"/>
      <c r="Q68" s="220"/>
      <c r="R68" s="220"/>
      <c r="S68" s="220"/>
      <c r="T68" s="220"/>
      <c r="U68" s="220"/>
      <c r="V68" s="220"/>
      <c r="W68" s="220"/>
    </row>
    <row r="69" ht="15.75" customHeight="1" outlineLevel="1">
      <c r="A69" s="211"/>
      <c r="B69" s="212" t="s">
        <v>4</v>
      </c>
      <c r="C69" s="213" t="s">
        <v>1092</v>
      </c>
      <c r="D69" s="214" t="str">
        <f>IFERROR(VLOOKUP($C69,'PORTIFÓLIO'!C:V,2,0),"")</f>
        <v>Azospirillum brasiliense</v>
      </c>
      <c r="E69" s="211" t="str">
        <f>IFERROR(VLOOKUP($C69,'PORTIFÓLIO'!C:V,3,0),"")</f>
        <v/>
      </c>
      <c r="F69" s="211" t="str">
        <f>IFERROR(VLOOKUP($C69,'PORTIFÓLIO'!C:V,4,0),"")</f>
        <v>L</v>
      </c>
      <c r="G69" s="225" t="str">
        <f>IFERROR(VLOOKUP($C69,'PORTIFÓLIO'!C:V,5,0),"")</f>
        <v>📄 Ver bula</v>
      </c>
      <c r="H69" s="254">
        <f t="array" ref="H69">IFERROR(INDEX('PORTIFÓLIO'!$H$4:$H$433,MATCH($C69,'PORTIFÓLIO'!$C$4:$C$433,0)),"")</f>
        <v>2</v>
      </c>
      <c r="I69" s="255">
        <v>1.0</v>
      </c>
      <c r="J69" s="218">
        <f t="shared" si="8"/>
        <v>220</v>
      </c>
      <c r="K69" s="219">
        <f t="array" ref="K69">IFERROR(I69*INDEX('PORTIFÓLIO'!$S$4:$S$433,MATCH($C69,'PORTIFÓLIO'!$C$4:$C$433,0)),"")</f>
        <v>36.4</v>
      </c>
      <c r="L69" s="219">
        <f t="array" ref="L69">IFERROR(J69*INDEX('PORTIFÓLIO'!$S$4:$S$433,MATCH($C69,'PORTIFÓLIO'!$C$4:$C$433,0)),"")</f>
        <v>8008</v>
      </c>
      <c r="M69" s="220"/>
      <c r="N69" s="220"/>
      <c r="O69" s="220"/>
      <c r="P69" s="220"/>
      <c r="Q69" s="220"/>
      <c r="R69" s="220"/>
      <c r="S69" s="220"/>
      <c r="T69" s="220"/>
      <c r="U69" s="220"/>
      <c r="V69" s="220"/>
      <c r="W69" s="220"/>
    </row>
    <row r="70" ht="15.75" customHeight="1" outlineLevel="1">
      <c r="A70" s="211"/>
      <c r="B70" s="212" t="s">
        <v>4</v>
      </c>
      <c r="C70" s="213" t="s">
        <v>1107</v>
      </c>
      <c r="D70" s="214" t="str">
        <f>IFERROR(VLOOKUP($C70,'PORTIFÓLIO'!C:V,2,0),"")</f>
        <v>Priestia aryabhattai</v>
      </c>
      <c r="E70" s="211" t="str">
        <f>IFERROR(VLOOKUP($C70,'PORTIFÓLIO'!C:V,3,0),"")</f>
        <v/>
      </c>
      <c r="F70" s="211" t="str">
        <f>IFERROR(VLOOKUP($C70,'PORTIFÓLIO'!C:V,4,0),"")</f>
        <v/>
      </c>
      <c r="G70" s="225" t="str">
        <f>IFERROR(VLOOKUP($C70,'PORTIFÓLIO'!C:V,5,0),"")</f>
        <v>📄 Ver bula</v>
      </c>
      <c r="H70" s="254">
        <f t="array" ref="H70">IFERROR(INDEX('PORTIFÓLIO'!$H$4:$H$433,MATCH($C70,'PORTIFÓLIO'!$C$4:$C$433,0)),"")</f>
        <v>2</v>
      </c>
      <c r="I70" s="255">
        <v>1.0</v>
      </c>
      <c r="J70" s="218">
        <f t="shared" si="8"/>
        <v>220</v>
      </c>
      <c r="K70" s="219">
        <f t="array" ref="K70">IFERROR(I70*INDEX('PORTIFÓLIO'!$S$4:$S$433,MATCH($C70,'PORTIFÓLIO'!$C$4:$C$433,0)),"")</f>
        <v>81.12</v>
      </c>
      <c r="L70" s="219">
        <f t="array" ref="L70">IFERROR(J70*INDEX('PORTIFÓLIO'!$S$4:$S$433,MATCH($C70,'PORTIFÓLIO'!$C$4:$C$433,0)),"")</f>
        <v>17846.4</v>
      </c>
      <c r="M70" s="220"/>
      <c r="N70" s="220"/>
      <c r="O70" s="220"/>
      <c r="P70" s="220"/>
      <c r="Q70" s="220"/>
      <c r="R70" s="220"/>
      <c r="S70" s="220"/>
      <c r="T70" s="220"/>
      <c r="U70" s="220"/>
      <c r="V70" s="220"/>
      <c r="W70" s="220"/>
    </row>
    <row r="71" ht="15.75" customHeight="1" outlineLevel="1">
      <c r="A71" s="211"/>
      <c r="B71" s="212" t="s">
        <v>4</v>
      </c>
      <c r="C71" s="213" t="s">
        <v>1187</v>
      </c>
      <c r="D71" s="214" t="str">
        <f>IFERROR(VLOOKUP($C71,'PORTIFÓLIO'!C:V,2,0),"")</f>
        <v/>
      </c>
      <c r="E71" s="211" t="str">
        <f>IFERROR(VLOOKUP($C71,'PORTIFÓLIO'!C:V,3,0),"")</f>
        <v/>
      </c>
      <c r="F71" s="211" t="str">
        <f>IFERROR(VLOOKUP($C71,'PORTIFÓLIO'!C:V,4,0),"")</f>
        <v/>
      </c>
      <c r="G71" s="215" t="str">
        <f>IFERROR(VLOOKUP($C71,'PORTIFÓLIO'!C:V,5,0),"")</f>
        <v/>
      </c>
      <c r="H71" s="254" t="str">
        <f t="array" ref="H71">IFERROR(INDEX('PORTIFÓLIO'!$H$4:$H$433,MATCH($C71,'PORTIFÓLIO'!$C$4:$C$433,0)),"")</f>
        <v/>
      </c>
      <c r="I71" s="255">
        <v>1.0</v>
      </c>
      <c r="J71" s="218">
        <f t="shared" si="8"/>
        <v>220</v>
      </c>
      <c r="K71" s="219" t="str">
        <f t="array" ref="K71">IFERROR(I71*INDEX('PORTIFÓLIO'!$S$4:$S$433,MATCH($C71,'PORTIFÓLIO'!$C$4:$C$433,0)),"")</f>
        <v/>
      </c>
      <c r="L71" s="219" t="str">
        <f t="array" ref="L71">IFERROR(J71*INDEX('PORTIFÓLIO'!$S$4:$S$433,MATCH($C71,'PORTIFÓLIO'!$C$4:$C$433,0)),"")</f>
        <v/>
      </c>
      <c r="M71" s="220"/>
      <c r="N71" s="220"/>
      <c r="O71" s="220"/>
      <c r="P71" s="220"/>
      <c r="Q71" s="220"/>
      <c r="R71" s="220"/>
      <c r="S71" s="220"/>
      <c r="T71" s="220"/>
      <c r="U71" s="220"/>
      <c r="V71" s="220"/>
      <c r="W71" s="220"/>
    </row>
    <row r="72" ht="15.75" customHeight="1" outlineLevel="1">
      <c r="A72" s="211"/>
      <c r="B72" s="212" t="s">
        <v>9</v>
      </c>
      <c r="C72" s="213" t="s">
        <v>1115</v>
      </c>
      <c r="D72" s="214" t="str">
        <f>IFERROR(VLOOKUP($C72,'PORTIFÓLIO'!C:V,2,0),"")</f>
        <v>Nutrifarm</v>
      </c>
      <c r="E72" s="211" t="str">
        <f>IFERROR(VLOOKUP($C72,'PORTIFÓLIO'!C:V,3,0),"")</f>
        <v/>
      </c>
      <c r="F72" s="211" t="str">
        <f>IFERROR(VLOOKUP($C72,'PORTIFÓLIO'!C:V,4,0),"")</f>
        <v>L</v>
      </c>
      <c r="G72" s="225" t="str">
        <f>IFERROR(VLOOKUP($C72,'PORTIFÓLIO'!C:V,5,0),"")</f>
        <v>📄 Ver bula</v>
      </c>
      <c r="H72" s="254">
        <f t="array" ref="H72">IFERROR(INDEX('PORTIFÓLIO'!$H$4:$H$433,MATCH($C72,'PORTIFÓLIO'!$C$4:$C$433,0)),"")</f>
        <v>0.2</v>
      </c>
      <c r="I72" s="255">
        <v>0.1</v>
      </c>
      <c r="J72" s="218">
        <f t="shared" si="8"/>
        <v>22</v>
      </c>
      <c r="K72" s="219">
        <f t="array" ref="K72">IFERROR(I72*INDEX('PORTIFÓLIO'!$S$4:$S$433,MATCH($C72,'PORTIFÓLIO'!$C$4:$C$433,0)),"")</f>
        <v>18.2</v>
      </c>
      <c r="L72" s="219">
        <f t="array" ref="L72">IFERROR(J72*INDEX('PORTIFÓLIO'!$S$4:$S$433,MATCH($C72,'PORTIFÓLIO'!$C$4:$C$433,0)),"")</f>
        <v>4004</v>
      </c>
      <c r="M72" s="220"/>
      <c r="N72" s="220"/>
      <c r="O72" s="220"/>
      <c r="P72" s="220"/>
      <c r="Q72" s="220"/>
      <c r="R72" s="220"/>
      <c r="S72" s="220"/>
      <c r="T72" s="220"/>
      <c r="U72" s="220"/>
      <c r="V72" s="220"/>
      <c r="W72" s="220"/>
    </row>
    <row r="73" ht="15.75" customHeight="1" outlineLevel="1">
      <c r="A73" s="211"/>
      <c r="B73" s="212"/>
      <c r="C73" s="213"/>
      <c r="D73" s="214" t="str">
        <f>IFERROR(VLOOKUP($C73,'PORTIFÓLIO'!C:V,2,0),"")</f>
        <v/>
      </c>
      <c r="E73" s="211" t="str">
        <f>IFERROR(VLOOKUP($C73,'PORTIFÓLIO'!C:V,3,0),"")</f>
        <v/>
      </c>
      <c r="F73" s="211" t="str">
        <f>IFERROR(VLOOKUP($C73,'PORTIFÓLIO'!C:V,4,0),"")</f>
        <v/>
      </c>
      <c r="G73" s="215" t="str">
        <f>IFERROR(VLOOKUP($C73,'PORTIFÓLIO'!C:V,5,0),"")</f>
        <v/>
      </c>
      <c r="H73" s="254" t="str">
        <f t="array" ref="H73">IFERROR(INDEX('PORTIFÓLIO'!$H$4:$H$433,MATCH($C73,'PORTIFÓLIO'!$C$4:$C$433,0)),"")</f>
        <v/>
      </c>
      <c r="I73" s="256"/>
      <c r="J73" s="218">
        <f t="shared" si="8"/>
        <v>0</v>
      </c>
      <c r="K73" s="219" t="str">
        <f t="array" ref="K73">IFERROR(I73*INDEX('PORTIFÓLIO'!$S$4:$S$433,MATCH($C73,'PORTIFÓLIO'!$C$4:$C$433,0)),"")</f>
        <v/>
      </c>
      <c r="L73" s="219" t="str">
        <f t="array" ref="L73">IFERROR(J73*INDEX('PORTIFÓLIO'!$S$4:$S$433,MATCH($C73,'PORTIFÓLIO'!$C$4:$C$433,0)),"")</f>
        <v/>
      </c>
      <c r="M73" s="220"/>
      <c r="N73" s="220"/>
      <c r="O73" s="220"/>
      <c r="P73" s="220"/>
      <c r="Q73" s="220"/>
      <c r="R73" s="220"/>
      <c r="S73" s="220"/>
      <c r="T73" s="220"/>
      <c r="U73" s="220"/>
      <c r="V73" s="220"/>
      <c r="W73" s="220"/>
    </row>
    <row r="74" ht="15.75" customHeight="1" outlineLevel="1">
      <c r="A74" s="211"/>
      <c r="B74" s="212"/>
      <c r="C74" s="213"/>
      <c r="D74" s="214" t="str">
        <f>IFERROR(VLOOKUP($C74,'PORTIFÓLIO'!C:V,2,0),"")</f>
        <v/>
      </c>
      <c r="E74" s="211" t="str">
        <f>IFERROR(VLOOKUP($C74,'PORTIFÓLIO'!C:V,3,0),"")</f>
        <v/>
      </c>
      <c r="F74" s="211" t="str">
        <f>IFERROR(VLOOKUP($C74,'PORTIFÓLIO'!C:V,4,0),"")</f>
        <v/>
      </c>
      <c r="G74" s="215" t="str">
        <f>IFERROR(VLOOKUP($C74,'PORTIFÓLIO'!C:V,5,0),"")</f>
        <v/>
      </c>
      <c r="H74" s="254" t="str">
        <f t="array" ref="H74">IFERROR(INDEX('PORTIFÓLIO'!$H$4:$H$433,MATCH($C74,'PORTIFÓLIO'!$C$4:$C$433,0)),"")</f>
        <v/>
      </c>
      <c r="I74" s="256"/>
      <c r="J74" s="218">
        <f t="shared" si="8"/>
        <v>0</v>
      </c>
      <c r="K74" s="219" t="str">
        <f t="array" ref="K74">IFERROR(I74*INDEX('PORTIFÓLIO'!$S$4:$S$433,MATCH($C74,'PORTIFÓLIO'!$C$4:$C$433,0)),"")</f>
        <v/>
      </c>
      <c r="L74" s="219" t="str">
        <f t="array" ref="L74">IFERROR(J74*INDEX('PORTIFÓLIO'!$S$4:$S$433,MATCH($C74,'PORTIFÓLIO'!$C$4:$C$433,0)),"")</f>
        <v/>
      </c>
      <c r="M74" s="220"/>
      <c r="N74" s="220"/>
      <c r="O74" s="220"/>
      <c r="P74" s="220"/>
      <c r="Q74" s="220"/>
      <c r="R74" s="220"/>
      <c r="S74" s="220"/>
      <c r="T74" s="220"/>
      <c r="U74" s="220"/>
      <c r="V74" s="220"/>
      <c r="W74" s="220"/>
    </row>
    <row r="75" ht="15.75" customHeight="1" outlineLevel="1">
      <c r="A75" s="211"/>
      <c r="B75" s="212"/>
      <c r="C75" s="213"/>
      <c r="D75" s="214" t="str">
        <f>IFERROR(VLOOKUP($C75,'PORTIFÓLIO'!C:V,2,0),"")</f>
        <v/>
      </c>
      <c r="E75" s="211" t="str">
        <f>IFERROR(VLOOKUP($C75,'PORTIFÓLIO'!C:V,3,0),"")</f>
        <v/>
      </c>
      <c r="F75" s="211" t="str">
        <f>IFERROR(VLOOKUP($C75,'PORTIFÓLIO'!C:V,4,0),"")</f>
        <v/>
      </c>
      <c r="G75" s="215" t="str">
        <f>IFERROR(VLOOKUP($C75,'PORTIFÓLIO'!C:V,5,0),"")</f>
        <v/>
      </c>
      <c r="H75" s="254" t="str">
        <f t="array" ref="H75">IFERROR(INDEX('PORTIFÓLIO'!$H$4:$H$433,MATCH($C75,'PORTIFÓLIO'!$C$4:$C$433,0)),"")</f>
        <v/>
      </c>
      <c r="I75" s="256"/>
      <c r="J75" s="218">
        <f t="shared" si="8"/>
        <v>0</v>
      </c>
      <c r="K75" s="219" t="str">
        <f t="array" ref="K75">IFERROR(I75*INDEX('PORTIFÓLIO'!$S$4:$S$433,MATCH($C75,'PORTIFÓLIO'!$C$4:$C$433,0)),"")</f>
        <v/>
      </c>
      <c r="L75" s="219" t="str">
        <f t="array" ref="L75">IFERROR(J75*INDEX('PORTIFÓLIO'!$S$4:$S$433,MATCH($C75,'PORTIFÓLIO'!$C$4:$C$433,0)),"")</f>
        <v/>
      </c>
      <c r="M75" s="220"/>
      <c r="N75" s="220"/>
      <c r="O75" s="220"/>
      <c r="P75" s="220"/>
      <c r="Q75" s="220"/>
      <c r="R75" s="220"/>
      <c r="S75" s="220"/>
      <c r="T75" s="220"/>
      <c r="U75" s="220"/>
      <c r="V75" s="220"/>
      <c r="W75" s="220"/>
    </row>
    <row r="76" ht="15.75" customHeight="1" outlineLevel="1">
      <c r="A76" s="211"/>
      <c r="B76" s="212"/>
      <c r="C76" s="213"/>
      <c r="D76" s="214" t="str">
        <f>IFERROR(VLOOKUP($C76,'PORTIFÓLIO'!C:V,2,0),"")</f>
        <v/>
      </c>
      <c r="E76" s="211" t="str">
        <f>IFERROR(VLOOKUP($C76,'PORTIFÓLIO'!C:V,3,0),"")</f>
        <v/>
      </c>
      <c r="F76" s="211" t="str">
        <f>IFERROR(VLOOKUP($C76,'PORTIFÓLIO'!C:V,4,0),"")</f>
        <v/>
      </c>
      <c r="G76" s="215" t="str">
        <f>IFERROR(VLOOKUP($C76,'PORTIFÓLIO'!C:V,5,0),"")</f>
        <v/>
      </c>
      <c r="H76" s="254" t="str">
        <f t="array" ref="H76">IFERROR(INDEX('PORTIFÓLIO'!$H$4:$H$433,MATCH($C76,'PORTIFÓLIO'!$C$4:$C$433,0)),"")</f>
        <v/>
      </c>
      <c r="I76" s="256"/>
      <c r="J76" s="218">
        <f t="shared" si="8"/>
        <v>0</v>
      </c>
      <c r="K76" s="219" t="str">
        <f t="array" ref="K76">IFERROR(I76*INDEX('PORTIFÓLIO'!$S$4:$S$433,MATCH($C76,'PORTIFÓLIO'!$C$4:$C$433,0)),"")</f>
        <v/>
      </c>
      <c r="L76" s="219" t="str">
        <f t="array" ref="L76">IFERROR(J76*INDEX('PORTIFÓLIO'!$S$4:$S$433,MATCH($C76,'PORTIFÓLIO'!$C$4:$C$433,0)),"")</f>
        <v/>
      </c>
      <c r="M76" s="220"/>
      <c r="N76" s="220"/>
      <c r="O76" s="220"/>
      <c r="P76" s="220"/>
      <c r="Q76" s="220"/>
      <c r="R76" s="220"/>
      <c r="S76" s="220"/>
      <c r="T76" s="220"/>
      <c r="U76" s="220"/>
      <c r="V76" s="220"/>
      <c r="W76" s="220"/>
    </row>
    <row r="77" ht="15.75" customHeight="1" outlineLevel="1">
      <c r="A77" s="211"/>
      <c r="B77" s="212"/>
      <c r="C77" s="213"/>
      <c r="D77" s="214" t="str">
        <f>IFERROR(VLOOKUP($C77,'PORTIFÓLIO'!C:V,2,0),"")</f>
        <v/>
      </c>
      <c r="E77" s="211" t="str">
        <f>IFERROR(VLOOKUP($C77,'PORTIFÓLIO'!C:V,3,0),"")</f>
        <v/>
      </c>
      <c r="F77" s="211" t="str">
        <f>IFERROR(VLOOKUP($C77,'PORTIFÓLIO'!C:V,4,0),"")</f>
        <v/>
      </c>
      <c r="G77" s="215" t="str">
        <f>IFERROR(VLOOKUP($C77,'PORTIFÓLIO'!C:V,5,0),"")</f>
        <v/>
      </c>
      <c r="H77" s="254" t="str">
        <f t="array" ref="H77">IFERROR(INDEX('PORTIFÓLIO'!$H$4:$H$433,MATCH($C77,'PORTIFÓLIO'!$C$4:$C$433,0)),"")</f>
        <v/>
      </c>
      <c r="I77" s="256"/>
      <c r="J77" s="218">
        <f t="shared" si="8"/>
        <v>0</v>
      </c>
      <c r="K77" s="219" t="str">
        <f t="array" ref="K77">IFERROR(I77*INDEX('PORTIFÓLIO'!$S$4:$S$433,MATCH($C77,'PORTIFÓLIO'!$C$4:$C$433,0)),"")</f>
        <v/>
      </c>
      <c r="L77" s="219" t="str">
        <f t="array" ref="L77">IFERROR(J77*INDEX('PORTIFÓLIO'!$S$4:$S$433,MATCH($C77,'PORTIFÓLIO'!$C$4:$C$433,0)),"")</f>
        <v/>
      </c>
      <c r="M77" s="220"/>
      <c r="N77" s="220"/>
      <c r="O77" s="220"/>
      <c r="P77" s="220"/>
      <c r="Q77" s="220"/>
      <c r="R77" s="220"/>
      <c r="S77" s="220"/>
      <c r="T77" s="220"/>
      <c r="U77" s="220"/>
      <c r="V77" s="220"/>
      <c r="W77" s="220"/>
    </row>
    <row r="78" ht="15.75" customHeight="1" outlineLevel="1">
      <c r="A78" s="211"/>
      <c r="B78" s="212"/>
      <c r="C78" s="213"/>
      <c r="D78" s="214" t="str">
        <f>IFERROR(VLOOKUP($C78,'PORTIFÓLIO'!C:V,2,0),"")</f>
        <v/>
      </c>
      <c r="E78" s="211" t="str">
        <f>IFERROR(VLOOKUP($C78,'PORTIFÓLIO'!C:V,3,0),"")</f>
        <v/>
      </c>
      <c r="F78" s="211" t="str">
        <f>IFERROR(VLOOKUP($C78,'PORTIFÓLIO'!C:V,4,0),"")</f>
        <v/>
      </c>
      <c r="G78" s="215" t="str">
        <f>IFERROR(VLOOKUP($C78,'PORTIFÓLIO'!C:V,5,0),"")</f>
        <v/>
      </c>
      <c r="H78" s="254" t="str">
        <f t="array" ref="H78">IFERROR(INDEX('PORTIFÓLIO'!$H$4:$H$433,MATCH($C78,'PORTIFÓLIO'!$C$4:$C$433,0)),"")</f>
        <v/>
      </c>
      <c r="I78" s="256"/>
      <c r="J78" s="218">
        <f t="shared" si="8"/>
        <v>0</v>
      </c>
      <c r="K78" s="219" t="str">
        <f t="array" ref="K78">IFERROR(I78*INDEX('PORTIFÓLIO'!$S$4:$S$433,MATCH($C78,'PORTIFÓLIO'!$C$4:$C$433,0)),"")</f>
        <v/>
      </c>
      <c r="L78" s="219" t="str">
        <f t="array" ref="L78">IFERROR(J78*INDEX('PORTIFÓLIO'!$S$4:$S$433,MATCH($C78,'PORTIFÓLIO'!$C$4:$C$433,0)),"")</f>
        <v/>
      </c>
      <c r="M78" s="220"/>
      <c r="N78" s="220"/>
      <c r="O78" s="220"/>
      <c r="P78" s="220"/>
      <c r="Q78" s="220"/>
      <c r="R78" s="220"/>
      <c r="S78" s="220"/>
      <c r="T78" s="220"/>
      <c r="U78" s="220"/>
      <c r="V78" s="220"/>
      <c r="W78" s="220"/>
    </row>
    <row r="79" ht="15.75" customHeight="1" outlineLevel="1">
      <c r="A79" s="211"/>
      <c r="B79" s="212"/>
      <c r="C79" s="213"/>
      <c r="D79" s="214" t="str">
        <f>IFERROR(VLOOKUP($C79,'PORTIFÓLIO'!C:V,2,0),"")</f>
        <v/>
      </c>
      <c r="E79" s="211" t="str">
        <f>IFERROR(VLOOKUP($C79,'PORTIFÓLIO'!C:V,3,0),"")</f>
        <v/>
      </c>
      <c r="F79" s="211" t="str">
        <f>IFERROR(VLOOKUP($C79,'PORTIFÓLIO'!C:V,4,0),"")</f>
        <v/>
      </c>
      <c r="G79" s="215" t="str">
        <f>IFERROR(VLOOKUP($C79,'PORTIFÓLIO'!C:V,5,0),"")</f>
        <v/>
      </c>
      <c r="H79" s="254" t="str">
        <f t="array" ref="H79">IFERROR(INDEX('PORTIFÓLIO'!$H$4:$H$433,MATCH($C79,'PORTIFÓLIO'!$C$4:$C$433,0)),"")</f>
        <v/>
      </c>
      <c r="I79" s="256"/>
      <c r="J79" s="218">
        <f t="shared" si="8"/>
        <v>0</v>
      </c>
      <c r="K79" s="219" t="str">
        <f t="array" ref="K79">IFERROR(I79*INDEX('PORTIFÓLIO'!$S$4:$S$433,MATCH($C79,'PORTIFÓLIO'!$C$4:$C$433,0)),"")</f>
        <v/>
      </c>
      <c r="L79" s="219" t="str">
        <f t="array" ref="L79">IFERROR(J79*INDEX('PORTIFÓLIO'!$S$4:$S$433,MATCH($C79,'PORTIFÓLIO'!$C$4:$C$433,0)),"")</f>
        <v/>
      </c>
      <c r="M79" s="220"/>
      <c r="N79" s="220"/>
      <c r="O79" s="220"/>
      <c r="P79" s="220"/>
      <c r="Q79" s="220"/>
      <c r="R79" s="220"/>
      <c r="S79" s="220"/>
      <c r="T79" s="220"/>
      <c r="U79" s="220"/>
      <c r="V79" s="220"/>
      <c r="W79" s="220"/>
    </row>
    <row r="80" ht="15.75" customHeight="1" outlineLevel="1">
      <c r="A80" s="211"/>
      <c r="B80" s="212"/>
      <c r="C80" s="213"/>
      <c r="D80" s="214" t="str">
        <f>IFERROR(VLOOKUP($C80,'PORTIFÓLIO'!C:V,2,0),"")</f>
        <v/>
      </c>
      <c r="E80" s="211" t="str">
        <f>IFERROR(VLOOKUP($C80,'PORTIFÓLIO'!C:V,3,0),"")</f>
        <v/>
      </c>
      <c r="F80" s="211" t="str">
        <f>IFERROR(VLOOKUP($C80,'PORTIFÓLIO'!C:V,4,0),"")</f>
        <v/>
      </c>
      <c r="G80" s="215" t="str">
        <f>IFERROR(VLOOKUP($C80,'PORTIFÓLIO'!C:V,5,0),"")</f>
        <v/>
      </c>
      <c r="H80" s="254" t="str">
        <f t="array" ref="H80">IFERROR(INDEX('PORTIFÓLIO'!$H$4:$H$433,MATCH($C80,'PORTIFÓLIO'!$C$4:$C$433,0)),"")</f>
        <v/>
      </c>
      <c r="I80" s="256"/>
      <c r="J80" s="218">
        <f t="shared" si="8"/>
        <v>0</v>
      </c>
      <c r="K80" s="219" t="str">
        <f t="array" ref="K80">IFERROR(I80*INDEX('PORTIFÓLIO'!$S$4:$S$433,MATCH($C80,'PORTIFÓLIO'!$C$4:$C$433,0)),"")</f>
        <v/>
      </c>
      <c r="L80" s="219" t="str">
        <f t="array" ref="L80">IFERROR(J80*INDEX('PORTIFÓLIO'!$S$4:$S$433,MATCH($C80,'PORTIFÓLIO'!$C$4:$C$433,0)),"")</f>
        <v/>
      </c>
      <c r="M80" s="220"/>
      <c r="N80" s="220"/>
      <c r="O80" s="220"/>
      <c r="P80" s="220"/>
      <c r="Q80" s="220"/>
      <c r="R80" s="220"/>
      <c r="S80" s="220"/>
      <c r="T80" s="220"/>
      <c r="U80" s="220"/>
      <c r="V80" s="220"/>
      <c r="W80" s="220"/>
    </row>
    <row r="81" ht="15.75" customHeight="1">
      <c r="A81" s="229" t="s">
        <v>1188</v>
      </c>
      <c r="B81" s="230"/>
      <c r="C81" s="231"/>
      <c r="D81" s="232" t="s">
        <v>216</v>
      </c>
      <c r="E81" s="231"/>
      <c r="F81" s="231"/>
      <c r="G81" s="233"/>
      <c r="H81" s="233"/>
      <c r="I81" s="258"/>
      <c r="J81" s="236"/>
      <c r="K81" s="237">
        <f t="shared" ref="K81:L81" si="9">SUBTOTAL(9,K82:K95)</f>
        <v>83.234856</v>
      </c>
      <c r="L81" s="237">
        <f t="shared" si="9"/>
        <v>18311.66832</v>
      </c>
      <c r="M81" s="220"/>
      <c r="N81" s="220"/>
      <c r="O81" s="220"/>
      <c r="P81" s="220"/>
      <c r="Q81" s="220"/>
      <c r="R81" s="220"/>
      <c r="S81" s="220"/>
      <c r="T81" s="220"/>
      <c r="U81" s="220"/>
      <c r="V81" s="220"/>
      <c r="W81" s="220"/>
    </row>
    <row r="82" ht="15.75" customHeight="1" outlineLevel="1">
      <c r="A82" s="213"/>
      <c r="B82" s="212" t="s">
        <v>1</v>
      </c>
      <c r="C82" s="213" t="s">
        <v>637</v>
      </c>
      <c r="D82" s="214" t="str">
        <f>IFERROR(VLOOKUP($C82,'PORTIFÓLIO'!C:V,2,0),"")</f>
        <v>GLIFOSATO-SAL DE AMÔNIO</v>
      </c>
      <c r="E82" s="211">
        <f>IFERROR(VLOOKUP($C82,'PORTIFÓLIO'!C:V,3,0),"")</f>
        <v>720</v>
      </c>
      <c r="F82" s="211" t="str">
        <f>IFERROR(VLOOKUP($C82,'PORTIFÓLIO'!C:V,4,0),"")</f>
        <v>L</v>
      </c>
      <c r="G82" s="225" t="str">
        <f>IFERROR(VLOOKUP($C82,'PORTIFÓLIO'!C:V,5,0),"")</f>
        <v>📄 Ver bula</v>
      </c>
      <c r="H82" s="254">
        <f t="array" ref="H82">IFERROR(INDEX('PORTIFÓLIO'!$H$4:$H$433,MATCH($C82,'PORTIFÓLIO'!$C$4:$C$433,0)),"")</f>
        <v>2</v>
      </c>
      <c r="I82" s="255">
        <v>2.0</v>
      </c>
      <c r="J82" s="218">
        <f t="shared" ref="J82:J96" si="10">I82*$B$2</f>
        <v>440</v>
      </c>
      <c r="K82" s="219">
        <f t="array" ref="K82">IFERROR(I82*INDEX('PORTIFÓLIO'!$S$4:$S$433,MATCH($C82,'PORTIFÓLIO'!$C$4:$C$433,0)),"")</f>
        <v>49.16</v>
      </c>
      <c r="L82" s="219">
        <f t="array" ref="L82">IFERROR(J82*INDEX('PORTIFÓLIO'!$S$4:$S$433,MATCH($C82,'PORTIFÓLIO'!$C$4:$C$433,0)),"")</f>
        <v>10815.2</v>
      </c>
      <c r="M82" s="220"/>
      <c r="N82" s="220"/>
      <c r="O82" s="220"/>
      <c r="P82" s="220"/>
      <c r="Q82" s="220"/>
      <c r="R82" s="220"/>
      <c r="S82" s="220"/>
      <c r="T82" s="220"/>
      <c r="U82" s="220"/>
      <c r="V82" s="220"/>
      <c r="W82" s="220"/>
    </row>
    <row r="83" ht="15.75" customHeight="1" outlineLevel="1">
      <c r="A83" s="211"/>
      <c r="B83" s="212" t="s">
        <v>1</v>
      </c>
      <c r="C83" s="213" t="s">
        <v>616</v>
      </c>
      <c r="D83" s="214" t="str">
        <f>IFERROR(VLOOKUP($C83,'PORTIFÓLIO'!C:V,2,0),"")</f>
        <v>CLETODIM</v>
      </c>
      <c r="E83" s="211">
        <f>IFERROR(VLOOKUP($C83,'PORTIFÓLIO'!C:V,3,0),"")</f>
        <v>240</v>
      </c>
      <c r="F83" s="211" t="str">
        <f>IFERROR(VLOOKUP($C83,'PORTIFÓLIO'!C:V,4,0),"")</f>
        <v>L</v>
      </c>
      <c r="G83" s="225" t="str">
        <f>IFERROR(VLOOKUP($C83,'PORTIFÓLIO'!C:V,5,0),"")</f>
        <v>📄 Ver bula</v>
      </c>
      <c r="H83" s="254">
        <f t="array" ref="H83">IFERROR(INDEX('PORTIFÓLIO'!$H$4:$H$433,MATCH($C83,'PORTIFÓLIO'!$C$4:$C$433,0)),"")</f>
        <v>0.4</v>
      </c>
      <c r="I83" s="255">
        <v>0.4</v>
      </c>
      <c r="J83" s="218">
        <f t="shared" si="10"/>
        <v>88</v>
      </c>
      <c r="K83" s="219">
        <f t="array" ref="K83">IFERROR(I83*INDEX('PORTIFÓLIO'!$S$4:$S$433,MATCH($C83,'PORTIFÓLIO'!$C$4:$C$433,0)),"")</f>
        <v>13.204376</v>
      </c>
      <c r="L83" s="219">
        <f t="array" ref="L83">IFERROR(J83*INDEX('PORTIFÓLIO'!$S$4:$S$433,MATCH($C83,'PORTIFÓLIO'!$C$4:$C$433,0)),"")</f>
        <v>2904.96272</v>
      </c>
      <c r="M83" s="220"/>
      <c r="N83" s="220"/>
      <c r="O83" s="220"/>
      <c r="P83" s="220"/>
      <c r="Q83" s="220"/>
      <c r="R83" s="220"/>
      <c r="S83" s="220"/>
      <c r="T83" s="220"/>
      <c r="U83" s="220"/>
      <c r="V83" s="220"/>
      <c r="W83" s="220"/>
    </row>
    <row r="84" ht="15.75" customHeight="1" outlineLevel="1">
      <c r="A84" s="211"/>
      <c r="B84" s="212" t="s">
        <v>0</v>
      </c>
      <c r="C84" s="213" t="s">
        <v>434</v>
      </c>
      <c r="D84" s="214" t="str">
        <f>IFERROR(VLOOKUP($C84,'PORTIFÓLIO'!C:V,2,0),"")</f>
        <v>AZOXISTROBINA + TEBUCONAZOL</v>
      </c>
      <c r="E84" s="211" t="str">
        <f>IFERROR(VLOOKUP($C84,'PORTIFÓLIO'!C:V,3,0),"")</f>
        <v>120 + 200</v>
      </c>
      <c r="F84" s="211" t="str">
        <f>IFERROR(VLOOKUP($C84,'PORTIFÓLIO'!C:V,4,0),"")</f>
        <v>L</v>
      </c>
      <c r="G84" s="225" t="str">
        <f>IFERROR(VLOOKUP($C84,'PORTIFÓLIO'!C:V,5,0),"")</f>
        <v>📄 Ver bula</v>
      </c>
      <c r="H84" s="254">
        <f t="array" ref="H84">IFERROR(INDEX('PORTIFÓLIO'!$H$4:$H$433,MATCH($C84,'PORTIFÓLIO'!$C$4:$C$433,0)),"")</f>
        <v>0.5</v>
      </c>
      <c r="I84" s="255">
        <v>0.5</v>
      </c>
      <c r="J84" s="218">
        <f t="shared" si="10"/>
        <v>110</v>
      </c>
      <c r="K84" s="219">
        <f t="array" ref="K84">IFERROR(I84*INDEX('PORTIFÓLIO'!$S$4:$S$433,MATCH($C84,'PORTIFÓLIO'!$C$4:$C$433,0)),"")</f>
        <v>17.66448</v>
      </c>
      <c r="L84" s="219">
        <f t="array" ref="L84">IFERROR(J84*INDEX('PORTIFÓLIO'!$S$4:$S$433,MATCH($C84,'PORTIFÓLIO'!$C$4:$C$433,0)),"")</f>
        <v>3886.1856</v>
      </c>
      <c r="M84" s="220"/>
      <c r="N84" s="220"/>
      <c r="O84" s="220"/>
      <c r="P84" s="220"/>
      <c r="Q84" s="220"/>
      <c r="R84" s="220"/>
      <c r="S84" s="220"/>
      <c r="T84" s="220"/>
      <c r="U84" s="220"/>
      <c r="V84" s="220"/>
      <c r="W84" s="220"/>
    </row>
    <row r="85" ht="15.75" customHeight="1" outlineLevel="1">
      <c r="A85" s="211"/>
      <c r="B85" s="212" t="s">
        <v>6</v>
      </c>
      <c r="C85" s="213" t="s">
        <v>354</v>
      </c>
      <c r="D85" s="214" t="str">
        <f>IFERROR(VLOOKUP($C85,'PORTIFÓLIO'!C:V,2,0),"")</f>
        <v>OLEO MINERAL</v>
      </c>
      <c r="E85" s="211">
        <f>IFERROR(VLOOKUP($C85,'PORTIFÓLIO'!C:V,3,0),"")</f>
        <v>761</v>
      </c>
      <c r="F85" s="211" t="str">
        <f>IFERROR(VLOOKUP($C85,'PORTIFÓLIO'!C:V,4,0),"")</f>
        <v>L</v>
      </c>
      <c r="G85" s="225" t="str">
        <f>IFERROR(VLOOKUP($C85,'PORTIFÓLIO'!C:V,5,0),"")</f>
        <v>📄 Ver bula</v>
      </c>
      <c r="H85" s="254">
        <f t="array" ref="H85">IFERROR(INDEX('PORTIFÓLIO'!$H$4:$H$433,MATCH($C85,'PORTIFÓLIO'!$C$4:$C$433,0)),"")</f>
        <v>0.2</v>
      </c>
      <c r="I85" s="255">
        <v>0.2</v>
      </c>
      <c r="J85" s="218">
        <f t="shared" si="10"/>
        <v>44</v>
      </c>
      <c r="K85" s="219">
        <f t="array" ref="K85">IFERROR(I85*INDEX('PORTIFÓLIO'!$S$4:$S$433,MATCH($C85,'PORTIFÓLIO'!$C$4:$C$433,0)),"")</f>
        <v>3.206</v>
      </c>
      <c r="L85" s="219">
        <f t="array" ref="L85">IFERROR(J85*INDEX('PORTIFÓLIO'!$S$4:$S$433,MATCH($C85,'PORTIFÓLIO'!$C$4:$C$433,0)),"")</f>
        <v>705.32</v>
      </c>
      <c r="M85" s="220"/>
      <c r="N85" s="220"/>
      <c r="O85" s="220"/>
      <c r="P85" s="220"/>
      <c r="Q85" s="220"/>
      <c r="R85" s="220"/>
      <c r="S85" s="220"/>
      <c r="T85" s="220"/>
      <c r="U85" s="220"/>
      <c r="V85" s="220"/>
      <c r="W85" s="220"/>
    </row>
    <row r="86" ht="15.75" customHeight="1" outlineLevel="1">
      <c r="A86" s="211"/>
      <c r="B86" s="212"/>
      <c r="C86" s="213"/>
      <c r="D86" s="214" t="str">
        <f>IFERROR(VLOOKUP($C86,'PORTIFÓLIO'!C:V,2,0),"")</f>
        <v/>
      </c>
      <c r="E86" s="211" t="str">
        <f>IFERROR(VLOOKUP($C86,'PORTIFÓLIO'!C:V,3,0),"")</f>
        <v/>
      </c>
      <c r="F86" s="211" t="str">
        <f>IFERROR(VLOOKUP($C86,'PORTIFÓLIO'!C:V,4,0),"")</f>
        <v/>
      </c>
      <c r="G86" s="215" t="str">
        <f>IFERROR(VLOOKUP($C86,'PORTIFÓLIO'!C:V,5,0),"")</f>
        <v/>
      </c>
      <c r="H86" s="254" t="str">
        <f t="array" ref="H86">IFERROR(INDEX('PORTIFÓLIO'!$H$4:$H$433,MATCH($C86,'PORTIFÓLIO'!$C$4:$C$433,0)),"")</f>
        <v/>
      </c>
      <c r="I86" s="256"/>
      <c r="J86" s="218">
        <f t="shared" si="10"/>
        <v>0</v>
      </c>
      <c r="K86" s="219" t="str">
        <f t="array" ref="K86">IFERROR(I86*INDEX('PORTIFÓLIO'!$S$4:$S$433,MATCH($C86,'PORTIFÓLIO'!$C$4:$C$433,0)),"")</f>
        <v/>
      </c>
      <c r="L86" s="219" t="str">
        <f t="array" ref="L86">IFERROR(J86*INDEX('PORTIFÓLIO'!$S$4:$S$433,MATCH($C86,'PORTIFÓLIO'!$C$4:$C$433,0)),"")</f>
        <v/>
      </c>
      <c r="M86" s="220"/>
      <c r="N86" s="220"/>
      <c r="O86" s="220"/>
      <c r="P86" s="220"/>
      <c r="Q86" s="220"/>
      <c r="R86" s="220"/>
      <c r="S86" s="220"/>
      <c r="T86" s="220"/>
      <c r="U86" s="220"/>
      <c r="V86" s="220"/>
      <c r="W86" s="220"/>
    </row>
    <row r="87" ht="15.75" customHeight="1" outlineLevel="1">
      <c r="A87" s="211"/>
      <c r="B87" s="212"/>
      <c r="C87" s="213"/>
      <c r="D87" s="214" t="str">
        <f>IFERROR(VLOOKUP($C87,'PORTIFÓLIO'!C:V,2,0),"")</f>
        <v/>
      </c>
      <c r="E87" s="211" t="str">
        <f>IFERROR(VLOOKUP($C87,'PORTIFÓLIO'!C:V,3,0),"")</f>
        <v/>
      </c>
      <c r="F87" s="211" t="str">
        <f>IFERROR(VLOOKUP($C87,'PORTIFÓLIO'!C:V,4,0),"")</f>
        <v/>
      </c>
      <c r="G87" s="215" t="str">
        <f>IFERROR(VLOOKUP($C87,'PORTIFÓLIO'!C:V,5,0),"")</f>
        <v/>
      </c>
      <c r="H87" s="254" t="str">
        <f t="array" ref="H87">IFERROR(INDEX('PORTIFÓLIO'!$H$4:$H$433,MATCH($C87,'PORTIFÓLIO'!$C$4:$C$433,0)),"")</f>
        <v/>
      </c>
      <c r="I87" s="256"/>
      <c r="J87" s="218">
        <f t="shared" si="10"/>
        <v>0</v>
      </c>
      <c r="K87" s="219" t="str">
        <f t="array" ref="K87">IFERROR(I87*INDEX('PORTIFÓLIO'!$S$4:$S$433,MATCH($C87,'PORTIFÓLIO'!$C$4:$C$433,0)),"")</f>
        <v/>
      </c>
      <c r="L87" s="219" t="str">
        <f t="array" ref="L87">IFERROR(J87*INDEX('PORTIFÓLIO'!$S$4:$S$433,MATCH($C87,'PORTIFÓLIO'!$C$4:$C$433,0)),"")</f>
        <v/>
      </c>
      <c r="M87" s="220"/>
      <c r="N87" s="220"/>
      <c r="O87" s="220"/>
      <c r="P87" s="220"/>
      <c r="Q87" s="220"/>
      <c r="R87" s="220"/>
      <c r="S87" s="220"/>
      <c r="T87" s="220"/>
      <c r="U87" s="220"/>
      <c r="V87" s="220"/>
      <c r="W87" s="220"/>
    </row>
    <row r="88" ht="15.75" customHeight="1" outlineLevel="1">
      <c r="A88" s="211"/>
      <c r="B88" s="212"/>
      <c r="C88" s="213"/>
      <c r="D88" s="214" t="str">
        <f>IFERROR(VLOOKUP($C88,'PORTIFÓLIO'!C:V,2,0),"")</f>
        <v/>
      </c>
      <c r="E88" s="211" t="str">
        <f>IFERROR(VLOOKUP($C88,'PORTIFÓLIO'!C:V,3,0),"")</f>
        <v/>
      </c>
      <c r="F88" s="211" t="str">
        <f>IFERROR(VLOOKUP($C88,'PORTIFÓLIO'!C:V,4,0),"")</f>
        <v/>
      </c>
      <c r="G88" s="215" t="str">
        <f>IFERROR(VLOOKUP($C88,'PORTIFÓLIO'!C:V,5,0),"")</f>
        <v/>
      </c>
      <c r="H88" s="254" t="str">
        <f t="array" ref="H88">IFERROR(INDEX('PORTIFÓLIO'!$H$4:$H$433,MATCH($C88,'PORTIFÓLIO'!$C$4:$C$433,0)),"")</f>
        <v/>
      </c>
      <c r="I88" s="256"/>
      <c r="J88" s="218">
        <f t="shared" si="10"/>
        <v>0</v>
      </c>
      <c r="K88" s="219" t="str">
        <f t="array" ref="K88">IFERROR(I88*INDEX('PORTIFÓLIO'!$S$4:$S$433,MATCH($C88,'PORTIFÓLIO'!$C$4:$C$433,0)),"")</f>
        <v/>
      </c>
      <c r="L88" s="219" t="str">
        <f t="array" ref="L88">IFERROR(J88*INDEX('PORTIFÓLIO'!$S$4:$S$433,MATCH($C88,'PORTIFÓLIO'!$C$4:$C$433,0)),"")</f>
        <v/>
      </c>
      <c r="M88" s="220"/>
      <c r="N88" s="220"/>
      <c r="O88" s="220"/>
      <c r="P88" s="220"/>
      <c r="Q88" s="220"/>
      <c r="R88" s="220"/>
      <c r="S88" s="220"/>
      <c r="T88" s="220"/>
      <c r="U88" s="220"/>
      <c r="V88" s="220"/>
      <c r="W88" s="220"/>
    </row>
    <row r="89" ht="15.75" customHeight="1" outlineLevel="1">
      <c r="A89" s="211"/>
      <c r="B89" s="212"/>
      <c r="C89" s="213"/>
      <c r="D89" s="214" t="str">
        <f>IFERROR(VLOOKUP($C89,'PORTIFÓLIO'!C:V,2,0),"")</f>
        <v/>
      </c>
      <c r="E89" s="211" t="str">
        <f>IFERROR(VLOOKUP($C89,'PORTIFÓLIO'!C:V,3,0),"")</f>
        <v/>
      </c>
      <c r="F89" s="211" t="str">
        <f>IFERROR(VLOOKUP($C89,'PORTIFÓLIO'!C:V,4,0),"")</f>
        <v/>
      </c>
      <c r="G89" s="215" t="str">
        <f>IFERROR(VLOOKUP($C89,'PORTIFÓLIO'!C:V,5,0),"")</f>
        <v/>
      </c>
      <c r="H89" s="254" t="str">
        <f t="array" ref="H89">IFERROR(INDEX('PORTIFÓLIO'!$H$4:$H$433,MATCH($C89,'PORTIFÓLIO'!$C$4:$C$433,0)),"")</f>
        <v/>
      </c>
      <c r="I89" s="256"/>
      <c r="J89" s="218">
        <f t="shared" si="10"/>
        <v>0</v>
      </c>
      <c r="K89" s="219" t="str">
        <f t="array" ref="K89">IFERROR(I89*INDEX('PORTIFÓLIO'!$S$4:$S$433,MATCH($C89,'PORTIFÓLIO'!$C$4:$C$433,0)),"")</f>
        <v/>
      </c>
      <c r="L89" s="219" t="str">
        <f t="array" ref="L89">IFERROR(J89*INDEX('PORTIFÓLIO'!$S$4:$S$433,MATCH($C89,'PORTIFÓLIO'!$C$4:$C$433,0)),"")</f>
        <v/>
      </c>
      <c r="M89" s="220"/>
      <c r="N89" s="220"/>
      <c r="O89" s="220"/>
      <c r="P89" s="220"/>
      <c r="Q89" s="220"/>
      <c r="R89" s="220"/>
      <c r="S89" s="220"/>
      <c r="T89" s="220"/>
      <c r="U89" s="220"/>
      <c r="V89" s="220"/>
      <c r="W89" s="220"/>
    </row>
    <row r="90" ht="15.75" customHeight="1" outlineLevel="1">
      <c r="A90" s="211"/>
      <c r="B90" s="212"/>
      <c r="C90" s="213"/>
      <c r="D90" s="214" t="str">
        <f>IFERROR(VLOOKUP($C90,'PORTIFÓLIO'!C:V,2,0),"")</f>
        <v/>
      </c>
      <c r="E90" s="211" t="str">
        <f>IFERROR(VLOOKUP($C90,'PORTIFÓLIO'!C:V,3,0),"")</f>
        <v/>
      </c>
      <c r="F90" s="211" t="str">
        <f>IFERROR(VLOOKUP($C90,'PORTIFÓLIO'!C:V,4,0),"")</f>
        <v/>
      </c>
      <c r="G90" s="215" t="str">
        <f>IFERROR(VLOOKUP($C90,'PORTIFÓLIO'!C:V,5,0),"")</f>
        <v/>
      </c>
      <c r="H90" s="254" t="str">
        <f t="array" ref="H90">IFERROR(INDEX('PORTIFÓLIO'!$H$4:$H$433,MATCH($C90,'PORTIFÓLIO'!$C$4:$C$433,0)),"")</f>
        <v/>
      </c>
      <c r="I90" s="255"/>
      <c r="J90" s="218">
        <f t="shared" si="10"/>
        <v>0</v>
      </c>
      <c r="K90" s="219" t="str">
        <f t="array" ref="K90">IFERROR(I90*INDEX('PORTIFÓLIO'!$S$4:$S$433,MATCH($C90,'PORTIFÓLIO'!$C$4:$C$433,0)),"")</f>
        <v/>
      </c>
      <c r="L90" s="219" t="str">
        <f t="array" ref="L90">IFERROR(J90*INDEX('PORTIFÓLIO'!$S$4:$S$433,MATCH($C90,'PORTIFÓLIO'!$C$4:$C$433,0)),"")</f>
        <v/>
      </c>
      <c r="M90" s="220"/>
      <c r="N90" s="220"/>
      <c r="O90" s="220"/>
      <c r="P90" s="220"/>
      <c r="Q90" s="220"/>
      <c r="R90" s="220"/>
      <c r="S90" s="220"/>
      <c r="T90" s="220"/>
      <c r="U90" s="220"/>
      <c r="V90" s="220"/>
      <c r="W90" s="220"/>
    </row>
    <row r="91" ht="15.75" customHeight="1" outlineLevel="1">
      <c r="A91" s="211"/>
      <c r="B91" s="212"/>
      <c r="C91" s="213"/>
      <c r="D91" s="214" t="str">
        <f>IFERROR(VLOOKUP($C91,'PORTIFÓLIO'!C:V,2,0),"")</f>
        <v/>
      </c>
      <c r="E91" s="211" t="str">
        <f>IFERROR(VLOOKUP($C91,'PORTIFÓLIO'!C:V,3,0),"")</f>
        <v/>
      </c>
      <c r="F91" s="211" t="str">
        <f>IFERROR(VLOOKUP($C91,'PORTIFÓLIO'!C:V,4,0),"")</f>
        <v/>
      </c>
      <c r="G91" s="215" t="str">
        <f>IFERROR(VLOOKUP($C91,'PORTIFÓLIO'!C:V,5,0),"")</f>
        <v/>
      </c>
      <c r="H91" s="254" t="str">
        <f t="array" ref="H91">IFERROR(INDEX('PORTIFÓLIO'!$H$4:$H$433,MATCH($C91,'PORTIFÓLIO'!$C$4:$C$433,0)),"")</f>
        <v/>
      </c>
      <c r="I91" s="256"/>
      <c r="J91" s="218">
        <f t="shared" si="10"/>
        <v>0</v>
      </c>
      <c r="K91" s="219" t="str">
        <f t="array" ref="K91">IFERROR(I91*INDEX('PORTIFÓLIO'!$S$4:$S$433,MATCH($C91,'PORTIFÓLIO'!$C$4:$C$433,0)),"")</f>
        <v/>
      </c>
      <c r="L91" s="219" t="str">
        <f t="array" ref="L91">IFERROR(J91*INDEX('PORTIFÓLIO'!$S$4:$S$433,MATCH($C91,'PORTIFÓLIO'!$C$4:$C$433,0)),"")</f>
        <v/>
      </c>
      <c r="M91" s="220"/>
      <c r="N91" s="220"/>
      <c r="O91" s="220"/>
      <c r="P91" s="220"/>
      <c r="Q91" s="220"/>
      <c r="R91" s="220"/>
      <c r="S91" s="220"/>
      <c r="T91" s="220"/>
      <c r="U91" s="220"/>
      <c r="V91" s="220"/>
      <c r="W91" s="220"/>
    </row>
    <row r="92" ht="15.75" customHeight="1" outlineLevel="1">
      <c r="A92" s="211"/>
      <c r="B92" s="212"/>
      <c r="C92" s="213"/>
      <c r="D92" s="214" t="str">
        <f>IFERROR(VLOOKUP($C92,'PORTIFÓLIO'!C:V,2,0),"")</f>
        <v/>
      </c>
      <c r="E92" s="211" t="str">
        <f>IFERROR(VLOOKUP($C92,'PORTIFÓLIO'!C:V,3,0),"")</f>
        <v/>
      </c>
      <c r="F92" s="211" t="str">
        <f>IFERROR(VLOOKUP($C92,'PORTIFÓLIO'!C:V,4,0),"")</f>
        <v/>
      </c>
      <c r="G92" s="215" t="str">
        <f>IFERROR(VLOOKUP($C92,'PORTIFÓLIO'!C:V,5,0),"")</f>
        <v/>
      </c>
      <c r="H92" s="254" t="str">
        <f t="array" ref="H92">IFERROR(INDEX('PORTIFÓLIO'!$H$4:$H$433,MATCH($C92,'PORTIFÓLIO'!$C$4:$C$433,0)),"")</f>
        <v/>
      </c>
      <c r="I92" s="256"/>
      <c r="J92" s="218">
        <f t="shared" si="10"/>
        <v>0</v>
      </c>
      <c r="K92" s="219" t="str">
        <f t="array" ref="K92">IFERROR(I92*INDEX('PORTIFÓLIO'!$S$4:$S$433,MATCH($C92,'PORTIFÓLIO'!$C$4:$C$433,0)),"")</f>
        <v/>
      </c>
      <c r="L92" s="219" t="str">
        <f t="array" ref="L92">IFERROR(J92*INDEX('PORTIFÓLIO'!$S$4:$S$433,MATCH($C92,'PORTIFÓLIO'!$C$4:$C$433,0)),"")</f>
        <v/>
      </c>
      <c r="M92" s="220"/>
      <c r="N92" s="220"/>
      <c r="O92" s="220"/>
      <c r="P92" s="220"/>
      <c r="Q92" s="220"/>
      <c r="R92" s="220"/>
      <c r="S92" s="220"/>
      <c r="T92" s="220"/>
      <c r="U92" s="220"/>
      <c r="V92" s="220"/>
      <c r="W92" s="220"/>
    </row>
    <row r="93" ht="15.75" customHeight="1" outlineLevel="1">
      <c r="A93" s="211"/>
      <c r="B93" s="212"/>
      <c r="C93" s="213"/>
      <c r="D93" s="214" t="str">
        <f>IFERROR(VLOOKUP($C93,'PORTIFÓLIO'!C:V,2,0),"")</f>
        <v/>
      </c>
      <c r="E93" s="211" t="str">
        <f>IFERROR(VLOOKUP($C93,'PORTIFÓLIO'!C:V,3,0),"")</f>
        <v/>
      </c>
      <c r="F93" s="211" t="str">
        <f>IFERROR(VLOOKUP($C93,'PORTIFÓLIO'!C:V,4,0),"")</f>
        <v/>
      </c>
      <c r="G93" s="215" t="str">
        <f>IFERROR(VLOOKUP($C93,'PORTIFÓLIO'!C:V,5,0),"")</f>
        <v/>
      </c>
      <c r="H93" s="254" t="str">
        <f t="array" ref="H93">IFERROR(INDEX('PORTIFÓLIO'!$H$4:$H$433,MATCH($C93,'PORTIFÓLIO'!$C$4:$C$433,0)),"")</f>
        <v/>
      </c>
      <c r="I93" s="256"/>
      <c r="J93" s="218">
        <f t="shared" si="10"/>
        <v>0</v>
      </c>
      <c r="K93" s="219" t="str">
        <f t="array" ref="K93">IFERROR(I93*INDEX('PORTIFÓLIO'!$S$4:$S$433,MATCH($C93,'PORTIFÓLIO'!$C$4:$C$433,0)),"")</f>
        <v/>
      </c>
      <c r="L93" s="219" t="str">
        <f t="array" ref="L93">IFERROR(J93*INDEX('PORTIFÓLIO'!$S$4:$S$433,MATCH($C93,'PORTIFÓLIO'!$C$4:$C$433,0)),"")</f>
        <v/>
      </c>
      <c r="M93" s="220"/>
      <c r="N93" s="220"/>
      <c r="O93" s="220"/>
      <c r="P93" s="220"/>
      <c r="Q93" s="220"/>
      <c r="R93" s="220"/>
      <c r="S93" s="220"/>
      <c r="T93" s="220"/>
      <c r="U93" s="220"/>
      <c r="V93" s="220"/>
      <c r="W93" s="220"/>
    </row>
    <row r="94" ht="15.75" customHeight="1" outlineLevel="1">
      <c r="A94" s="211"/>
      <c r="B94" s="212"/>
      <c r="C94" s="213"/>
      <c r="D94" s="214" t="str">
        <f>IFERROR(VLOOKUP($C94,'PORTIFÓLIO'!C:V,2,0),"")</f>
        <v/>
      </c>
      <c r="E94" s="211" t="str">
        <f>IFERROR(VLOOKUP($C94,'PORTIFÓLIO'!C:V,3,0),"")</f>
        <v/>
      </c>
      <c r="F94" s="211" t="str">
        <f>IFERROR(VLOOKUP($C94,'PORTIFÓLIO'!C:V,4,0),"")</f>
        <v/>
      </c>
      <c r="G94" s="215" t="str">
        <f>IFERROR(VLOOKUP($C94,'PORTIFÓLIO'!C:V,5,0),"")</f>
        <v/>
      </c>
      <c r="H94" s="254" t="str">
        <f t="array" ref="H94">IFERROR(INDEX('PORTIFÓLIO'!$H$4:$H$433,MATCH($C94,'PORTIFÓLIO'!$C$4:$C$433,0)),"")</f>
        <v/>
      </c>
      <c r="I94" s="256"/>
      <c r="J94" s="218">
        <f t="shared" si="10"/>
        <v>0</v>
      </c>
      <c r="K94" s="219" t="str">
        <f t="array" ref="K94">IFERROR(I94*INDEX('PORTIFÓLIO'!$S$4:$S$433,MATCH($C94,'PORTIFÓLIO'!$C$4:$C$433,0)),"")</f>
        <v/>
      </c>
      <c r="L94" s="219" t="str">
        <f t="array" ref="L94">IFERROR(J94*INDEX('PORTIFÓLIO'!$S$4:$S$433,MATCH($C94,'PORTIFÓLIO'!$C$4:$C$433,0)),"")</f>
        <v/>
      </c>
      <c r="M94" s="220"/>
      <c r="N94" s="220"/>
      <c r="O94" s="220"/>
      <c r="P94" s="220"/>
      <c r="Q94" s="220"/>
      <c r="R94" s="220"/>
      <c r="S94" s="220"/>
      <c r="T94" s="220"/>
      <c r="U94" s="220"/>
      <c r="V94" s="220"/>
      <c r="W94" s="220"/>
    </row>
    <row r="95" ht="15.75" customHeight="1" outlineLevel="1">
      <c r="A95" s="211"/>
      <c r="B95" s="212"/>
      <c r="C95" s="213"/>
      <c r="D95" s="214" t="str">
        <f>IFERROR(VLOOKUP($C95,'PORTIFÓLIO'!C:V,2,0),"")</f>
        <v/>
      </c>
      <c r="E95" s="211" t="str">
        <f>IFERROR(VLOOKUP($C95,'PORTIFÓLIO'!C:V,3,0),"")</f>
        <v/>
      </c>
      <c r="F95" s="211" t="str">
        <f>IFERROR(VLOOKUP($C95,'PORTIFÓLIO'!C:V,4,0),"")</f>
        <v/>
      </c>
      <c r="G95" s="215" t="str">
        <f>IFERROR(VLOOKUP($C95,'PORTIFÓLIO'!C:V,5,0),"")</f>
        <v/>
      </c>
      <c r="H95" s="254" t="str">
        <f t="array" ref="H95">IFERROR(INDEX('PORTIFÓLIO'!$H$4:$H$433,MATCH($C95,'PORTIFÓLIO'!$C$4:$C$433,0)),"")</f>
        <v/>
      </c>
      <c r="I95" s="256"/>
      <c r="J95" s="218">
        <f t="shared" si="10"/>
        <v>0</v>
      </c>
      <c r="K95" s="219" t="str">
        <f t="array" ref="K95">IFERROR(I95*INDEX('PORTIFÓLIO'!$S$4:$S$433,MATCH($C95,'PORTIFÓLIO'!$C$4:$C$433,0)),"")</f>
        <v/>
      </c>
      <c r="L95" s="219" t="str">
        <f t="array" ref="L95">IFERROR(J95*INDEX('PORTIFÓLIO'!$S$4:$S$433,MATCH($C95,'PORTIFÓLIO'!$C$4:$C$433,0)),"")</f>
        <v/>
      </c>
      <c r="M95" s="220"/>
      <c r="N95" s="220"/>
      <c r="O95" s="220"/>
      <c r="P95" s="220"/>
      <c r="Q95" s="220"/>
      <c r="R95" s="220"/>
      <c r="S95" s="220"/>
      <c r="T95" s="220"/>
      <c r="U95" s="220"/>
      <c r="V95" s="220"/>
      <c r="W95" s="220"/>
    </row>
    <row r="96" ht="15.75" customHeight="1" outlineLevel="1">
      <c r="A96" s="211"/>
      <c r="B96" s="212"/>
      <c r="C96" s="213"/>
      <c r="D96" s="214" t="str">
        <f>IFERROR(VLOOKUP($C96,'PORTIFÓLIO'!C:V,2,0),"")</f>
        <v/>
      </c>
      <c r="E96" s="211" t="str">
        <f>IFERROR(VLOOKUP($C96,'PORTIFÓLIO'!C:V,3,0),"")</f>
        <v/>
      </c>
      <c r="F96" s="211" t="str">
        <f>IFERROR(VLOOKUP($C96,'PORTIFÓLIO'!C:V,4,0),"")</f>
        <v/>
      </c>
      <c r="G96" s="215" t="str">
        <f>IFERROR(VLOOKUP($C96,'PORTIFÓLIO'!C:V,5,0),"")</f>
        <v/>
      </c>
      <c r="H96" s="254" t="str">
        <f t="array" ref="H96">IFERROR(INDEX('PORTIFÓLIO'!$H$4:$H$433,MATCH($C96,'PORTIFÓLIO'!$C$4:$C$433,0)),"")</f>
        <v/>
      </c>
      <c r="I96" s="256"/>
      <c r="J96" s="218">
        <f t="shared" si="10"/>
        <v>0</v>
      </c>
      <c r="K96" s="219" t="str">
        <f t="array" ref="K96">IFERROR(I96*INDEX('PORTIFÓLIO'!$S$4:$S$433,MATCH($C96,'PORTIFÓLIO'!$C$4:$C$433,0)),"")</f>
        <v/>
      </c>
      <c r="L96" s="219" t="str">
        <f t="array" ref="L96">IFERROR(J96*INDEX('PORTIFÓLIO'!$S$4:$S$433,MATCH($C96,'PORTIFÓLIO'!$C$4:$C$433,0)),"")</f>
        <v/>
      </c>
      <c r="M96" s="220"/>
      <c r="N96" s="220"/>
      <c r="O96" s="220"/>
      <c r="P96" s="220"/>
      <c r="Q96" s="220"/>
      <c r="R96" s="220"/>
      <c r="S96" s="220"/>
      <c r="T96" s="220"/>
      <c r="U96" s="220"/>
      <c r="V96" s="220"/>
      <c r="W96" s="220"/>
    </row>
    <row r="97" ht="15.75" customHeight="1">
      <c r="A97" s="229" t="s">
        <v>1189</v>
      </c>
      <c r="B97" s="230"/>
      <c r="C97" s="231"/>
      <c r="D97" s="232"/>
      <c r="E97" s="231"/>
      <c r="F97" s="231"/>
      <c r="G97" s="233"/>
      <c r="H97" s="233"/>
      <c r="I97" s="258"/>
      <c r="J97" s="236"/>
      <c r="K97" s="237">
        <f t="shared" ref="K97:L97" si="11">SUBTOTAL(9,K98:K111)</f>
        <v>184.2679845</v>
      </c>
      <c r="L97" s="237">
        <f t="shared" si="11"/>
        <v>40538.95659</v>
      </c>
      <c r="M97" s="220"/>
      <c r="N97" s="220"/>
      <c r="O97" s="220"/>
      <c r="P97" s="220"/>
      <c r="Q97" s="220"/>
      <c r="R97" s="220"/>
      <c r="S97" s="220"/>
      <c r="T97" s="220"/>
      <c r="U97" s="220"/>
      <c r="V97" s="220"/>
      <c r="W97" s="220"/>
    </row>
    <row r="98" ht="15.75" customHeight="1" outlineLevel="1">
      <c r="A98" s="213"/>
      <c r="B98" s="212" t="s">
        <v>0</v>
      </c>
      <c r="C98" s="213" t="s">
        <v>443</v>
      </c>
      <c r="D98" s="214" t="str">
        <f>IFERROR(VLOOKUP($C98,'PORTIFÓLIO'!C:V,2,0),"")</f>
        <v>MEFENTRIFLUCONAZOL + PIRACLOSTROBINA +
 FLUXAPIROXADE</v>
      </c>
      <c r="E98" s="211" t="str">
        <f>IFERROR(VLOOKUP($C98,'PORTIFÓLIO'!C:V,3,0),"")</f>
        <v>133,3 + 177,8 + 88,9</v>
      </c>
      <c r="F98" s="211" t="str">
        <f>IFERROR(VLOOKUP($C98,'PORTIFÓLIO'!C:V,4,0),"")</f>
        <v>L</v>
      </c>
      <c r="G98" s="225" t="str">
        <f>IFERROR(VLOOKUP($C98,'PORTIFÓLIO'!C:V,5,0),"")</f>
        <v>📄 Ver bula</v>
      </c>
      <c r="H98" s="254">
        <f t="array" ref="H98">IFERROR(INDEX('PORTIFÓLIO'!$H$4:$H$433,MATCH($C98,'PORTIFÓLIO'!$C$4:$C$433,0)),"")</f>
        <v>0.7</v>
      </c>
      <c r="I98" s="255">
        <v>0.7</v>
      </c>
      <c r="J98" s="218">
        <f t="shared" ref="J98:J112" si="12">I98*$B$2</f>
        <v>154</v>
      </c>
      <c r="K98" s="219">
        <f t="array" ref="K98">IFERROR(I98*INDEX('PORTIFÓLIO'!$S$4:$S$433,MATCH($C98,'PORTIFÓLIO'!$C$4:$C$433,0)),"")</f>
        <v>119.38752</v>
      </c>
      <c r="L98" s="219">
        <f t="array" ref="L98">IFERROR(J98*INDEX('PORTIFÓLIO'!$S$4:$S$433,MATCH($C98,'PORTIFÓLIO'!$C$4:$C$433,0)),"")</f>
        <v>26265.2544</v>
      </c>
      <c r="M98" s="220"/>
      <c r="N98" s="220"/>
      <c r="O98" s="220"/>
      <c r="P98" s="220"/>
      <c r="Q98" s="220"/>
      <c r="R98" s="220"/>
      <c r="S98" s="220"/>
      <c r="T98" s="220"/>
      <c r="U98" s="220"/>
      <c r="V98" s="220"/>
      <c r="W98" s="220"/>
    </row>
    <row r="99" ht="15.75" customHeight="1" outlineLevel="1">
      <c r="A99" s="211"/>
      <c r="B99" s="212"/>
      <c r="C99" s="213"/>
      <c r="D99" s="214" t="str">
        <f>IFERROR(VLOOKUP($C99,'PORTIFÓLIO'!C:V,2,0),"")</f>
        <v/>
      </c>
      <c r="E99" s="211" t="str">
        <f>IFERROR(VLOOKUP($C99,'PORTIFÓLIO'!C:V,3,0),"")</f>
        <v/>
      </c>
      <c r="F99" s="211" t="str">
        <f>IFERROR(VLOOKUP($C99,'PORTIFÓLIO'!C:V,4,0),"")</f>
        <v/>
      </c>
      <c r="G99" s="215" t="str">
        <f>IFERROR(VLOOKUP($C99,'PORTIFÓLIO'!C:V,5,0),"")</f>
        <v/>
      </c>
      <c r="H99" s="254" t="str">
        <f t="array" ref="H99">IFERROR(INDEX('PORTIFÓLIO'!$H$4:$H$433,MATCH($C99,'PORTIFÓLIO'!$C$4:$C$433,0)),"")</f>
        <v/>
      </c>
      <c r="I99" s="255"/>
      <c r="J99" s="218">
        <f t="shared" si="12"/>
        <v>0</v>
      </c>
      <c r="K99" s="219" t="str">
        <f t="array" ref="K99">IFERROR(I99*INDEX('PORTIFÓLIO'!$S$4:$S$433,MATCH($C99,'PORTIFÓLIO'!$C$4:$C$433,0)),"")</f>
        <v/>
      </c>
      <c r="L99" s="219" t="str">
        <f t="array" ref="L99">IFERROR(J99*INDEX('PORTIFÓLIO'!$S$4:$S$433,MATCH($C99,'PORTIFÓLIO'!$C$4:$C$433,0)),"")</f>
        <v/>
      </c>
      <c r="M99" s="220"/>
      <c r="N99" s="220"/>
      <c r="O99" s="220"/>
      <c r="P99" s="220"/>
      <c r="Q99" s="220"/>
      <c r="R99" s="220"/>
      <c r="S99" s="220"/>
      <c r="T99" s="220"/>
      <c r="U99" s="220"/>
      <c r="V99" s="220"/>
      <c r="W99" s="220"/>
    </row>
    <row r="100" ht="15.75" customHeight="1" outlineLevel="1">
      <c r="A100" s="211"/>
      <c r="B100" s="212" t="s">
        <v>2</v>
      </c>
      <c r="C100" s="213" t="s">
        <v>829</v>
      </c>
      <c r="D100" s="214" t="str">
        <f>IFERROR(VLOOKUP($C100,'PORTIFÓLIO'!C:V,2,0),"")</f>
        <v>BIFENTRINA</v>
      </c>
      <c r="E100" s="211">
        <f>IFERROR(VLOOKUP($C100,'PORTIFÓLIO'!C:V,3,0),"")</f>
        <v>400</v>
      </c>
      <c r="F100" s="211" t="str">
        <f>IFERROR(VLOOKUP($C100,'PORTIFÓLIO'!C:V,4,0),"")</f>
        <v>L</v>
      </c>
      <c r="G100" s="225" t="str">
        <f>IFERROR(VLOOKUP($C100,'PORTIFÓLIO'!C:V,5,0),"")</f>
        <v>📄 Ver bula</v>
      </c>
      <c r="H100" s="254">
        <f t="array" ref="H100">IFERROR(INDEX('PORTIFÓLIO'!$H$4:$H$433,MATCH($C100,'PORTIFÓLIO'!$C$4:$C$433,0)),"")</f>
        <v>0.05</v>
      </c>
      <c r="I100" s="255">
        <v>0.05</v>
      </c>
      <c r="J100" s="218">
        <f t="shared" si="12"/>
        <v>11</v>
      </c>
      <c r="K100" s="219">
        <f t="array" ref="K100">IFERROR(I100*INDEX('PORTIFÓLIO'!$S$4:$S$433,MATCH($C100,'PORTIFÓLIO'!$C$4:$C$433,0)),"")</f>
        <v>3.076419</v>
      </c>
      <c r="L100" s="219">
        <f t="array" ref="L100">IFERROR(J100*INDEX('PORTIFÓLIO'!$S$4:$S$433,MATCH($C100,'PORTIFÓLIO'!$C$4:$C$433,0)),"")</f>
        <v>676.81218</v>
      </c>
      <c r="M100" s="220"/>
      <c r="N100" s="220"/>
      <c r="O100" s="220"/>
      <c r="P100" s="220"/>
      <c r="Q100" s="220"/>
      <c r="R100" s="220"/>
      <c r="S100" s="220"/>
      <c r="T100" s="220"/>
      <c r="U100" s="220"/>
      <c r="V100" s="220"/>
      <c r="W100" s="220"/>
    </row>
    <row r="101" ht="15.75" customHeight="1" outlineLevel="1">
      <c r="A101" s="211"/>
      <c r="B101" s="212" t="s">
        <v>2</v>
      </c>
      <c r="C101" s="213" t="s">
        <v>842</v>
      </c>
      <c r="D101" s="214" t="str">
        <f>IFERROR(VLOOKUP($C101,'PORTIFÓLIO'!C:V,2,0),"")</f>
        <v>IMIDACLOPRIDO</v>
      </c>
      <c r="E101" s="211">
        <f>IFERROR(VLOOKUP($C101,'PORTIFÓLIO'!C:V,3,0),"")</f>
        <v>480</v>
      </c>
      <c r="F101" s="211" t="str">
        <f>IFERROR(VLOOKUP($C101,'PORTIFÓLIO'!C:V,4,0),"")</f>
        <v>L</v>
      </c>
      <c r="G101" s="225" t="str">
        <f>IFERROR(VLOOKUP($C101,'PORTIFÓLIO'!C:V,5,0),"")</f>
        <v>📄 Ver bula</v>
      </c>
      <c r="H101" s="254">
        <f t="array" ref="H101">IFERROR(INDEX('PORTIFÓLIO'!$H$4:$H$433,MATCH($C101,'PORTIFÓLIO'!$C$4:$C$433,0)),"")</f>
        <v>0.25</v>
      </c>
      <c r="I101" s="255">
        <v>0.25</v>
      </c>
      <c r="J101" s="218">
        <f t="shared" si="12"/>
        <v>55</v>
      </c>
      <c r="K101" s="219">
        <f t="array" ref="K101">IFERROR(I101*INDEX('PORTIFÓLIO'!$S$4:$S$433,MATCH($C101,'PORTIFÓLIO'!$C$4:$C$433,0)),"")</f>
        <v>14.0554125</v>
      </c>
      <c r="L101" s="219">
        <f t="array" ref="L101">IFERROR(J101*INDEX('PORTIFÓLIO'!$S$4:$S$433,MATCH($C101,'PORTIFÓLIO'!$C$4:$C$433,0)),"")</f>
        <v>3092.19075</v>
      </c>
      <c r="M101" s="220"/>
      <c r="N101" s="220"/>
      <c r="O101" s="220"/>
      <c r="P101" s="220"/>
      <c r="Q101" s="220"/>
      <c r="R101" s="220"/>
      <c r="S101" s="220"/>
      <c r="T101" s="220"/>
      <c r="U101" s="220"/>
      <c r="V101" s="220"/>
      <c r="W101" s="220"/>
    </row>
    <row r="102" ht="15.75" customHeight="1" outlineLevel="1">
      <c r="A102" s="211"/>
      <c r="B102" s="212" t="s">
        <v>2</v>
      </c>
      <c r="C102" s="213" t="s">
        <v>786</v>
      </c>
      <c r="D102" s="214" t="str">
        <f>IFERROR(VLOOKUP($C102,'PORTIFÓLIO'!C:V,2,0),"")</f>
        <v>DIFLUBENZUROM</v>
      </c>
      <c r="E102" s="211">
        <f>IFERROR(VLOOKUP($C102,'PORTIFÓLIO'!C:V,3,0),"")</f>
        <v>480</v>
      </c>
      <c r="F102" s="211" t="str">
        <f>IFERROR(VLOOKUP($C102,'PORTIFÓLIO'!C:V,4,0),"")</f>
        <v>KG</v>
      </c>
      <c r="G102" s="225" t="str">
        <f>IFERROR(VLOOKUP($C102,'PORTIFÓLIO'!C:V,5,0),"")</f>
        <v>📄 Ver bula</v>
      </c>
      <c r="H102" s="254">
        <f t="array" ref="H102">IFERROR(INDEX('PORTIFÓLIO'!$H$4:$H$433,MATCH($C102,'PORTIFÓLIO'!$C$4:$C$433,0)),"")</f>
        <v>0.04</v>
      </c>
      <c r="I102" s="255">
        <v>0.05</v>
      </c>
      <c r="J102" s="218">
        <f t="shared" si="12"/>
        <v>11</v>
      </c>
      <c r="K102" s="219">
        <f t="array" ref="K102">IFERROR(I102*INDEX('PORTIFÓLIO'!$S$4:$S$433,MATCH($C102,'PORTIFÓLIO'!$C$4:$C$433,0)),"")</f>
        <v>2.927979</v>
      </c>
      <c r="L102" s="219">
        <f t="array" ref="L102">IFERROR(J102*INDEX('PORTIFÓLIO'!$S$4:$S$433,MATCH($C102,'PORTIFÓLIO'!$C$4:$C$433,0)),"")</f>
        <v>644.15538</v>
      </c>
      <c r="M102" s="220"/>
      <c r="N102" s="220"/>
      <c r="O102" s="220"/>
      <c r="P102" s="220"/>
      <c r="Q102" s="220"/>
      <c r="R102" s="220"/>
      <c r="S102" s="220"/>
      <c r="T102" s="220"/>
      <c r="U102" s="220"/>
      <c r="V102" s="220"/>
      <c r="W102" s="220"/>
    </row>
    <row r="103" ht="15.75" customHeight="1" outlineLevel="1">
      <c r="A103" s="211"/>
      <c r="B103" s="212" t="s">
        <v>6</v>
      </c>
      <c r="C103" s="213" t="s">
        <v>341</v>
      </c>
      <c r="D103" s="214" t="str">
        <f>IFERROR(VLOOKUP($C103,'PORTIFÓLIO'!C:V,2,0),"")</f>
        <v>ESTER METILICO DE SOJA</v>
      </c>
      <c r="E103" s="211">
        <f>IFERROR(VLOOKUP($C103,'PORTIFÓLIO'!C:V,3,0),"")</f>
        <v>765</v>
      </c>
      <c r="F103" s="211" t="str">
        <f>IFERROR(VLOOKUP($C103,'PORTIFÓLIO'!C:V,4,0),"")</f>
        <v>L</v>
      </c>
      <c r="G103" s="225" t="str">
        <f>IFERROR(VLOOKUP($C103,'PORTIFÓLIO'!C:V,5,0),"")</f>
        <v>📄 Ver bula</v>
      </c>
      <c r="H103" s="254">
        <f t="array" ref="H103">IFERROR(INDEX('PORTIFÓLIO'!$H$4:$H$433,MATCH($C103,'PORTIFÓLIO'!$C$4:$C$433,0)),"")</f>
        <v>0.2</v>
      </c>
      <c r="I103" s="255">
        <v>0.2</v>
      </c>
      <c r="J103" s="218">
        <f t="shared" si="12"/>
        <v>44</v>
      </c>
      <c r="K103" s="219">
        <f t="array" ref="K103">IFERROR(I103*INDEX('PORTIFÓLIO'!$S$4:$S$433,MATCH($C103,'PORTIFÓLIO'!$C$4:$C$433,0)),"")</f>
        <v>3.298974</v>
      </c>
      <c r="L103" s="219">
        <f t="array" ref="L103">IFERROR(J103*INDEX('PORTIFÓLIO'!$S$4:$S$433,MATCH($C103,'PORTIFÓLIO'!$C$4:$C$433,0)),"")</f>
        <v>725.77428</v>
      </c>
      <c r="M103" s="220"/>
      <c r="N103" s="220"/>
      <c r="O103" s="220"/>
      <c r="P103" s="220"/>
      <c r="Q103" s="220"/>
      <c r="R103" s="220"/>
      <c r="S103" s="220"/>
      <c r="T103" s="220"/>
      <c r="U103" s="220"/>
      <c r="V103" s="220"/>
      <c r="W103" s="220"/>
    </row>
    <row r="104" ht="15.75" customHeight="1" outlineLevel="1">
      <c r="A104" s="211"/>
      <c r="B104" s="212" t="s">
        <v>0</v>
      </c>
      <c r="C104" s="213" t="s">
        <v>484</v>
      </c>
      <c r="D104" s="214" t="str">
        <f>IFERROR(VLOOKUP($C104,'PORTIFÓLIO'!C:V,2,0),"")</f>
        <v>MANCOZEBE</v>
      </c>
      <c r="E104" s="211">
        <f>IFERROR(VLOOKUP($C104,'PORTIFÓLIO'!C:V,3,0),"")</f>
        <v>750</v>
      </c>
      <c r="F104" s="211" t="str">
        <f>IFERROR(VLOOKUP($C104,'PORTIFÓLIO'!C:V,4,0),"")</f>
        <v>L</v>
      </c>
      <c r="G104" s="225" t="str">
        <f>IFERROR(VLOOKUP($C104,'PORTIFÓLIO'!C:V,5,0),"")</f>
        <v>📄 Ver bula</v>
      </c>
      <c r="H104" s="254">
        <f t="array" ref="H104">IFERROR(INDEX('PORTIFÓLIO'!$H$4:$H$433,MATCH($C104,'PORTIFÓLIO'!$C$4:$C$433,0)),"")</f>
        <v>1.5</v>
      </c>
      <c r="I104" s="255">
        <v>1.5</v>
      </c>
      <c r="J104" s="218">
        <f t="shared" si="12"/>
        <v>330</v>
      </c>
      <c r="K104" s="219">
        <f t="array" ref="K104">IFERROR(I104*INDEX('PORTIFÓLIO'!$S$4:$S$433,MATCH($C104,'PORTIFÓLIO'!$C$4:$C$433,0)),"")</f>
        <v>41.52168</v>
      </c>
      <c r="L104" s="219">
        <f t="array" ref="L104">IFERROR(J104*INDEX('PORTIFÓLIO'!$S$4:$S$433,MATCH($C104,'PORTIFÓLIO'!$C$4:$C$433,0)),"")</f>
        <v>9134.7696</v>
      </c>
      <c r="M104" s="220"/>
      <c r="N104" s="220"/>
      <c r="O104" s="220"/>
      <c r="P104" s="220"/>
      <c r="Q104" s="220"/>
      <c r="R104" s="220"/>
      <c r="S104" s="220"/>
      <c r="T104" s="220"/>
      <c r="U104" s="220"/>
      <c r="V104" s="220"/>
      <c r="W104" s="220"/>
    </row>
    <row r="105" ht="15.75" customHeight="1" outlineLevel="1">
      <c r="A105" s="211"/>
      <c r="B105" s="212"/>
      <c r="C105" s="213"/>
      <c r="D105" s="214" t="str">
        <f>IFERROR(VLOOKUP($C105,'PORTIFÓLIO'!C:V,2,0),"")</f>
        <v/>
      </c>
      <c r="E105" s="211" t="str">
        <f>IFERROR(VLOOKUP($C105,'PORTIFÓLIO'!C:V,3,0),"")</f>
        <v/>
      </c>
      <c r="F105" s="211" t="str">
        <f>IFERROR(VLOOKUP($C105,'PORTIFÓLIO'!C:V,4,0),"")</f>
        <v/>
      </c>
      <c r="G105" s="215" t="str">
        <f>IFERROR(VLOOKUP($C105,'PORTIFÓLIO'!C:V,5,0),"")</f>
        <v/>
      </c>
      <c r="H105" s="254" t="str">
        <f t="array" ref="H105">IFERROR(INDEX('PORTIFÓLIO'!$H$4:$H$433,MATCH($C105,'PORTIFÓLIO'!$C$4:$C$433,0)),"")</f>
        <v/>
      </c>
      <c r="I105" s="256"/>
      <c r="J105" s="218">
        <f t="shared" si="12"/>
        <v>0</v>
      </c>
      <c r="K105" s="219" t="str">
        <f t="array" ref="K105">IFERROR(I105*INDEX('PORTIFÓLIO'!$S$4:$S$433,MATCH($C105,'PORTIFÓLIO'!$C$4:$C$433,0)),"")</f>
        <v/>
      </c>
      <c r="L105" s="219" t="str">
        <f t="array" ref="L105">IFERROR(J105*INDEX('PORTIFÓLIO'!$S$4:$S$433,MATCH($C105,'PORTIFÓLIO'!$C$4:$C$433,0)),"")</f>
        <v/>
      </c>
      <c r="M105" s="220"/>
      <c r="N105" s="220"/>
      <c r="O105" s="220"/>
      <c r="P105" s="220"/>
      <c r="Q105" s="220"/>
      <c r="R105" s="220"/>
      <c r="S105" s="220"/>
      <c r="T105" s="220"/>
      <c r="U105" s="220"/>
      <c r="V105" s="220"/>
      <c r="W105" s="220"/>
    </row>
    <row r="106" ht="15.75" customHeight="1" outlineLevel="1">
      <c r="A106" s="211"/>
      <c r="B106" s="212"/>
      <c r="C106" s="213"/>
      <c r="D106" s="214" t="str">
        <f>IFERROR(VLOOKUP($C106,'PORTIFÓLIO'!C:V,2,0),"")</f>
        <v/>
      </c>
      <c r="E106" s="211" t="str">
        <f>IFERROR(VLOOKUP($C106,'PORTIFÓLIO'!C:V,3,0),"")</f>
        <v/>
      </c>
      <c r="F106" s="211" t="str">
        <f>IFERROR(VLOOKUP($C106,'PORTIFÓLIO'!C:V,4,0),"")</f>
        <v/>
      </c>
      <c r="G106" s="215" t="str">
        <f>IFERROR(VLOOKUP($C106,'PORTIFÓLIO'!C:V,5,0),"")</f>
        <v/>
      </c>
      <c r="H106" s="254" t="str">
        <f t="array" ref="H106">IFERROR(INDEX('PORTIFÓLIO'!$H$4:$H$433,MATCH($C106,'PORTIFÓLIO'!$C$4:$C$433,0)),"")</f>
        <v/>
      </c>
      <c r="I106" s="255"/>
      <c r="J106" s="218">
        <f t="shared" si="12"/>
        <v>0</v>
      </c>
      <c r="K106" s="219" t="str">
        <f t="array" ref="K106">IFERROR(I106*INDEX('PORTIFÓLIO'!$S$4:$S$433,MATCH($C106,'PORTIFÓLIO'!$C$4:$C$433,0)),"")</f>
        <v/>
      </c>
      <c r="L106" s="219" t="str">
        <f t="array" ref="L106">IFERROR(J106*INDEX('PORTIFÓLIO'!$S$4:$S$433,MATCH($C106,'PORTIFÓLIO'!$C$4:$C$433,0)),"")</f>
        <v/>
      </c>
      <c r="M106" s="220"/>
      <c r="N106" s="220"/>
      <c r="O106" s="220"/>
      <c r="P106" s="220"/>
      <c r="Q106" s="220"/>
      <c r="R106" s="220"/>
      <c r="S106" s="220"/>
      <c r="T106" s="220"/>
      <c r="U106" s="220"/>
      <c r="V106" s="220"/>
      <c r="W106" s="220"/>
    </row>
    <row r="107" ht="15.75" customHeight="1" outlineLevel="1">
      <c r="A107" s="211"/>
      <c r="B107" s="212"/>
      <c r="C107" s="213"/>
      <c r="D107" s="214" t="str">
        <f>IFERROR(VLOOKUP($C107,'PORTIFÓLIO'!C:V,2,0),"")</f>
        <v/>
      </c>
      <c r="E107" s="211" t="str">
        <f>IFERROR(VLOOKUP($C107,'PORTIFÓLIO'!C:V,3,0),"")</f>
        <v/>
      </c>
      <c r="F107" s="211" t="str">
        <f>IFERROR(VLOOKUP($C107,'PORTIFÓLIO'!C:V,4,0),"")</f>
        <v/>
      </c>
      <c r="G107" s="215" t="str">
        <f>IFERROR(VLOOKUP($C107,'PORTIFÓLIO'!C:V,5,0),"")</f>
        <v/>
      </c>
      <c r="H107" s="254" t="str">
        <f t="array" ref="H107">IFERROR(INDEX('PORTIFÓLIO'!$H$4:$H$433,MATCH($C107,'PORTIFÓLIO'!$C$4:$C$433,0)),"")</f>
        <v/>
      </c>
      <c r="I107" s="256"/>
      <c r="J107" s="218">
        <f t="shared" si="12"/>
        <v>0</v>
      </c>
      <c r="K107" s="219" t="str">
        <f t="array" ref="K107">IFERROR(I107*INDEX('PORTIFÓLIO'!$S$4:$S$433,MATCH($C107,'PORTIFÓLIO'!$C$4:$C$433,0)),"")</f>
        <v/>
      </c>
      <c r="L107" s="219" t="str">
        <f t="array" ref="L107">IFERROR(J107*INDEX('PORTIFÓLIO'!$S$4:$S$433,MATCH($C107,'PORTIFÓLIO'!$C$4:$C$433,0)),"")</f>
        <v/>
      </c>
      <c r="M107" s="220"/>
      <c r="N107" s="220"/>
      <c r="O107" s="220"/>
      <c r="P107" s="220"/>
      <c r="Q107" s="220"/>
      <c r="R107" s="220"/>
      <c r="S107" s="220"/>
      <c r="T107" s="220"/>
      <c r="U107" s="220"/>
      <c r="V107" s="220"/>
      <c r="W107" s="220"/>
    </row>
    <row r="108" ht="15.75" customHeight="1" outlineLevel="1">
      <c r="A108" s="211"/>
      <c r="B108" s="212"/>
      <c r="C108" s="213"/>
      <c r="D108" s="214" t="str">
        <f>IFERROR(VLOOKUP($C108,'PORTIFÓLIO'!C:V,2,0),"")</f>
        <v/>
      </c>
      <c r="E108" s="211" t="str">
        <f>IFERROR(VLOOKUP($C108,'PORTIFÓLIO'!C:V,3,0),"")</f>
        <v/>
      </c>
      <c r="F108" s="211" t="str">
        <f>IFERROR(VLOOKUP($C108,'PORTIFÓLIO'!C:V,4,0),"")</f>
        <v/>
      </c>
      <c r="G108" s="215" t="str">
        <f>IFERROR(VLOOKUP($C108,'PORTIFÓLIO'!C:V,5,0),"")</f>
        <v/>
      </c>
      <c r="H108" s="254" t="str">
        <f t="array" ref="H108">IFERROR(INDEX('PORTIFÓLIO'!$H$4:$H$433,MATCH($C108,'PORTIFÓLIO'!$C$4:$C$433,0)),"")</f>
        <v/>
      </c>
      <c r="I108" s="256"/>
      <c r="J108" s="218">
        <f t="shared" si="12"/>
        <v>0</v>
      </c>
      <c r="K108" s="219" t="str">
        <f t="array" ref="K108">IFERROR(I108*INDEX('PORTIFÓLIO'!$S$4:$S$433,MATCH($C108,'PORTIFÓLIO'!$C$4:$C$433,0)),"")</f>
        <v/>
      </c>
      <c r="L108" s="219" t="str">
        <f t="array" ref="L108">IFERROR(J108*INDEX('PORTIFÓLIO'!$S$4:$S$433,MATCH($C108,'PORTIFÓLIO'!$C$4:$C$433,0)),"")</f>
        <v/>
      </c>
      <c r="M108" s="220"/>
      <c r="N108" s="220"/>
      <c r="O108" s="220"/>
      <c r="P108" s="220"/>
      <c r="Q108" s="220"/>
      <c r="R108" s="220"/>
      <c r="S108" s="220"/>
      <c r="T108" s="220"/>
      <c r="U108" s="220"/>
      <c r="V108" s="220"/>
      <c r="W108" s="220"/>
    </row>
    <row r="109" ht="15.75" customHeight="1" outlineLevel="1">
      <c r="A109" s="211"/>
      <c r="B109" s="212"/>
      <c r="C109" s="213"/>
      <c r="D109" s="214" t="str">
        <f>IFERROR(VLOOKUP($C109,'PORTIFÓLIO'!C:V,2,0),"")</f>
        <v/>
      </c>
      <c r="E109" s="211" t="str">
        <f>IFERROR(VLOOKUP($C109,'PORTIFÓLIO'!C:V,3,0),"")</f>
        <v/>
      </c>
      <c r="F109" s="211" t="str">
        <f>IFERROR(VLOOKUP($C109,'PORTIFÓLIO'!C:V,4,0),"")</f>
        <v/>
      </c>
      <c r="G109" s="215" t="str">
        <f>IFERROR(VLOOKUP($C109,'PORTIFÓLIO'!C:V,5,0),"")</f>
        <v/>
      </c>
      <c r="H109" s="254" t="str">
        <f t="array" ref="H109">IFERROR(INDEX('PORTIFÓLIO'!$H$4:$H$433,MATCH($C109,'PORTIFÓLIO'!$C$4:$C$433,0)),"")</f>
        <v/>
      </c>
      <c r="I109" s="256"/>
      <c r="J109" s="218">
        <f t="shared" si="12"/>
        <v>0</v>
      </c>
      <c r="K109" s="219" t="str">
        <f t="array" ref="K109">IFERROR(I109*INDEX('PORTIFÓLIO'!$S$4:$S$433,MATCH($C109,'PORTIFÓLIO'!$C$4:$C$433,0)),"")</f>
        <v/>
      </c>
      <c r="L109" s="219" t="str">
        <f t="array" ref="L109">IFERROR(J109*INDEX('PORTIFÓLIO'!$S$4:$S$433,MATCH($C109,'PORTIFÓLIO'!$C$4:$C$433,0)),"")</f>
        <v/>
      </c>
      <c r="M109" s="220"/>
      <c r="N109" s="220"/>
      <c r="O109" s="220"/>
      <c r="P109" s="220"/>
      <c r="Q109" s="220"/>
      <c r="R109" s="220"/>
      <c r="S109" s="220"/>
      <c r="T109" s="220"/>
      <c r="U109" s="220"/>
      <c r="V109" s="220"/>
      <c r="W109" s="220"/>
    </row>
    <row r="110" ht="15.75" customHeight="1" outlineLevel="1">
      <c r="A110" s="211"/>
      <c r="B110" s="212"/>
      <c r="C110" s="213"/>
      <c r="D110" s="214" t="str">
        <f>IFERROR(VLOOKUP($C110,'PORTIFÓLIO'!C:V,2,0),"")</f>
        <v/>
      </c>
      <c r="E110" s="211" t="str">
        <f>IFERROR(VLOOKUP($C110,'PORTIFÓLIO'!C:V,3,0),"")</f>
        <v/>
      </c>
      <c r="F110" s="211" t="str">
        <f>IFERROR(VLOOKUP($C110,'PORTIFÓLIO'!C:V,4,0),"")</f>
        <v/>
      </c>
      <c r="G110" s="215" t="str">
        <f>IFERROR(VLOOKUP($C110,'PORTIFÓLIO'!C:V,5,0),"")</f>
        <v/>
      </c>
      <c r="H110" s="254" t="str">
        <f t="array" ref="H110">IFERROR(INDEX('PORTIFÓLIO'!$H$4:$H$433,MATCH($C110,'PORTIFÓLIO'!$C$4:$C$433,0)),"")</f>
        <v/>
      </c>
      <c r="I110" s="256"/>
      <c r="J110" s="218">
        <f t="shared" si="12"/>
        <v>0</v>
      </c>
      <c r="K110" s="219" t="str">
        <f t="array" ref="K110">IFERROR(I110*INDEX('PORTIFÓLIO'!$S$4:$S$433,MATCH($C110,'PORTIFÓLIO'!$C$4:$C$433,0)),"")</f>
        <v/>
      </c>
      <c r="L110" s="219" t="str">
        <f t="array" ref="L110">IFERROR(J110*INDEX('PORTIFÓLIO'!$S$4:$S$433,MATCH($C110,'PORTIFÓLIO'!$C$4:$C$433,0)),"")</f>
        <v/>
      </c>
      <c r="M110" s="220"/>
      <c r="N110" s="220"/>
      <c r="O110" s="220"/>
      <c r="P110" s="220"/>
      <c r="Q110" s="220"/>
      <c r="R110" s="220"/>
      <c r="S110" s="220"/>
      <c r="T110" s="220"/>
      <c r="U110" s="220"/>
      <c r="V110" s="220"/>
      <c r="W110" s="220"/>
    </row>
    <row r="111" ht="15.75" customHeight="1" outlineLevel="1">
      <c r="A111" s="211"/>
      <c r="B111" s="212"/>
      <c r="C111" s="213"/>
      <c r="D111" s="214" t="str">
        <f>IFERROR(VLOOKUP($C111,'PORTIFÓLIO'!C:V,2,0),"")</f>
        <v/>
      </c>
      <c r="E111" s="211" t="str">
        <f>IFERROR(VLOOKUP($C111,'PORTIFÓLIO'!C:V,3,0),"")</f>
        <v/>
      </c>
      <c r="F111" s="211" t="str">
        <f>IFERROR(VLOOKUP($C111,'PORTIFÓLIO'!C:V,4,0),"")</f>
        <v/>
      </c>
      <c r="G111" s="215" t="str">
        <f>IFERROR(VLOOKUP($C111,'PORTIFÓLIO'!C:V,5,0),"")</f>
        <v/>
      </c>
      <c r="H111" s="254" t="str">
        <f t="array" ref="H111">IFERROR(INDEX('PORTIFÓLIO'!$H$4:$H$433,MATCH($C111,'PORTIFÓLIO'!$C$4:$C$433,0)),"")</f>
        <v/>
      </c>
      <c r="I111" s="256"/>
      <c r="J111" s="218">
        <f t="shared" si="12"/>
        <v>0</v>
      </c>
      <c r="K111" s="219" t="str">
        <f t="array" ref="K111">IFERROR(I111*INDEX('PORTIFÓLIO'!$S$4:$S$433,MATCH($C111,'PORTIFÓLIO'!$C$4:$C$433,0)),"")</f>
        <v/>
      </c>
      <c r="L111" s="219" t="str">
        <f t="array" ref="L111">IFERROR(J111*INDEX('PORTIFÓLIO'!$S$4:$S$433,MATCH($C111,'PORTIFÓLIO'!$C$4:$C$433,0)),"")</f>
        <v/>
      </c>
      <c r="M111" s="220"/>
      <c r="N111" s="220"/>
      <c r="O111" s="220"/>
      <c r="P111" s="220"/>
      <c r="Q111" s="220"/>
      <c r="R111" s="220"/>
      <c r="S111" s="220"/>
      <c r="T111" s="220"/>
      <c r="U111" s="220"/>
      <c r="V111" s="220"/>
      <c r="W111" s="220"/>
    </row>
    <row r="112" ht="15.75" customHeight="1" outlineLevel="1">
      <c r="A112" s="211"/>
      <c r="B112" s="212"/>
      <c r="C112" s="213"/>
      <c r="D112" s="214" t="str">
        <f>IFERROR(VLOOKUP($C112,'PORTIFÓLIO'!C:V,2,0),"")</f>
        <v/>
      </c>
      <c r="E112" s="211" t="str">
        <f>IFERROR(VLOOKUP($C112,'PORTIFÓLIO'!C:V,3,0),"")</f>
        <v/>
      </c>
      <c r="F112" s="211" t="str">
        <f>IFERROR(VLOOKUP($C112,'PORTIFÓLIO'!C:V,4,0),"")</f>
        <v/>
      </c>
      <c r="G112" s="215" t="str">
        <f>IFERROR(VLOOKUP($C112,'PORTIFÓLIO'!C:V,5,0),"")</f>
        <v/>
      </c>
      <c r="H112" s="254" t="str">
        <f t="array" ref="H112">IFERROR(INDEX('PORTIFÓLIO'!$H$4:$H$433,MATCH($C112,'PORTIFÓLIO'!$C$4:$C$433,0)),"")</f>
        <v/>
      </c>
      <c r="I112" s="256"/>
      <c r="J112" s="218">
        <f t="shared" si="12"/>
        <v>0</v>
      </c>
      <c r="K112" s="219" t="str">
        <f t="array" ref="K112">IFERROR(I112*INDEX('PORTIFÓLIO'!$S$4:$S$433,MATCH($C112,'PORTIFÓLIO'!$C$4:$C$433,0)),"")</f>
        <v/>
      </c>
      <c r="L112" s="219" t="str">
        <f t="array" ref="L112">IFERROR(J112*INDEX('PORTIFÓLIO'!$S$4:$S$433,MATCH($C112,'PORTIFÓLIO'!$C$4:$C$433,0)),"")</f>
        <v/>
      </c>
      <c r="M112" s="220"/>
      <c r="N112" s="220"/>
      <c r="O112" s="220"/>
      <c r="P112" s="220"/>
      <c r="Q112" s="220"/>
      <c r="R112" s="220"/>
      <c r="S112" s="220"/>
      <c r="T112" s="220"/>
      <c r="U112" s="220"/>
      <c r="V112" s="220"/>
      <c r="W112" s="220"/>
    </row>
    <row r="113" ht="15.75" customHeight="1" outlineLevel="1">
      <c r="A113" s="211"/>
      <c r="B113" s="212"/>
      <c r="C113" s="211"/>
      <c r="D113" s="214" t="str">
        <f>IFERROR(VLOOKUP($C113,'PORTIFÓLIO'!C:V,2,0),"")</f>
        <v/>
      </c>
      <c r="E113" s="211" t="str">
        <f>IFERROR(VLOOKUP($C113,'PORTIFÓLIO'!C:V,3,0),"")</f>
        <v/>
      </c>
      <c r="F113" s="211" t="str">
        <f>IFERROR(VLOOKUP($C113,'PORTIFÓLIO'!C:V,4,0),"")</f>
        <v/>
      </c>
      <c r="G113" s="215" t="str">
        <f>IFERROR(VLOOKUP($C113,'PORTIFÓLIO'!C:V,5,0),"")</f>
        <v/>
      </c>
      <c r="H113" s="254" t="str">
        <f t="array" ref="H113">IFERROR(INDEX('PORTIFÓLIO'!$H$4:$H$433,MATCH($C113,'PORTIFÓLIO'!$C$4:$C$433,0)),"")</f>
        <v/>
      </c>
      <c r="I113" s="256"/>
      <c r="J113" s="218"/>
      <c r="K113" s="219" t="str">
        <f t="array" ref="K113">IFERROR(I113*INDEX('PORTIFÓLIO'!$S$4:$S$433,MATCH($C113,'PORTIFÓLIO'!$C$4:$C$433,0)),"")</f>
        <v/>
      </c>
      <c r="L113" s="219" t="str">
        <f t="array" ref="L113">IFERROR(J113*INDEX('PORTIFÓLIO'!$S$4:$S$433,MATCH($C113,'PORTIFÓLIO'!$C$4:$C$433,0)),"")</f>
        <v/>
      </c>
      <c r="M113" s="220"/>
      <c r="N113" s="220"/>
      <c r="O113" s="220"/>
      <c r="P113" s="220"/>
      <c r="Q113" s="220"/>
      <c r="R113" s="220"/>
      <c r="S113" s="220"/>
      <c r="T113" s="220"/>
      <c r="U113" s="220"/>
      <c r="V113" s="220"/>
      <c r="W113" s="220"/>
    </row>
    <row r="114" ht="15.75" customHeight="1">
      <c r="A114" s="229" t="s">
        <v>1190</v>
      </c>
      <c r="B114" s="230"/>
      <c r="C114" s="231"/>
      <c r="D114" s="232"/>
      <c r="E114" s="231"/>
      <c r="F114" s="231"/>
      <c r="G114" s="233"/>
      <c r="H114" s="233"/>
      <c r="I114" s="258"/>
      <c r="J114" s="236"/>
      <c r="K114" s="237">
        <f t="shared" ref="K114:L114" si="13">SUBTOTAL(9,K115:K128)</f>
        <v>169.005179</v>
      </c>
      <c r="L114" s="237">
        <f t="shared" si="13"/>
        <v>37181.13938</v>
      </c>
      <c r="M114" s="220"/>
      <c r="N114" s="220"/>
      <c r="O114" s="220"/>
      <c r="P114" s="220"/>
      <c r="Q114" s="220"/>
      <c r="R114" s="220"/>
      <c r="S114" s="220"/>
      <c r="T114" s="220"/>
      <c r="U114" s="220"/>
      <c r="V114" s="220"/>
      <c r="W114" s="220"/>
    </row>
    <row r="115" ht="15.75" customHeight="1" outlineLevel="1">
      <c r="A115" s="213"/>
      <c r="B115" s="212" t="s">
        <v>0</v>
      </c>
      <c r="C115" s="283" t="s">
        <v>467</v>
      </c>
      <c r="D115" s="214" t="str">
        <f>IFERROR(VLOOKUP($C115,'PORTIFÓLIO'!C:V,2,0),"")</f>
        <v>BIXAFEM + PROTIOCONAZOL + TRIFLOXISTROBINA</v>
      </c>
      <c r="E115" s="211" t="str">
        <f>IFERROR(VLOOKUP($C115,'PORTIFÓLIO'!C:V,3,0),"")</f>
        <v>125 + 175 + 150</v>
      </c>
      <c r="F115" s="211" t="str">
        <f>IFERROR(VLOOKUP($C115,'PORTIFÓLIO'!C:V,4,0),"")</f>
        <v>L</v>
      </c>
      <c r="G115" s="225" t="str">
        <f>IFERROR(VLOOKUP($C115,'PORTIFÓLIO'!C:V,5,0),"")</f>
        <v>📄 Ver bula</v>
      </c>
      <c r="H115" s="254">
        <f t="array" ref="H115">IFERROR(INDEX('PORTIFÓLIO'!$H$4:$H$433,MATCH($C115,'PORTIFÓLIO'!$C$4:$C$433,0)),"")</f>
        <v>0.5</v>
      </c>
      <c r="I115" s="255">
        <v>0.5</v>
      </c>
      <c r="J115" s="218">
        <f t="shared" ref="J115:J129" si="14">I115*$B$2</f>
        <v>110</v>
      </c>
      <c r="K115" s="219">
        <f t="array" ref="K115">IFERROR(I115*INDEX('PORTIFÓLIO'!$S$4:$S$433,MATCH($C115,'PORTIFÓLIO'!$C$4:$C$433,0)),"")</f>
        <v>99.08352</v>
      </c>
      <c r="L115" s="219">
        <f t="array" ref="L115">IFERROR(J115*INDEX('PORTIFÓLIO'!$S$4:$S$433,MATCH($C115,'PORTIFÓLIO'!$C$4:$C$433,0)),"")</f>
        <v>21798.3744</v>
      </c>
      <c r="M115" s="220"/>
      <c r="N115" s="220"/>
      <c r="O115" s="220"/>
      <c r="P115" s="220"/>
      <c r="Q115" s="220"/>
      <c r="R115" s="220"/>
      <c r="S115" s="220"/>
      <c r="T115" s="220"/>
      <c r="U115" s="220"/>
      <c r="V115" s="220"/>
      <c r="W115" s="220"/>
    </row>
    <row r="116" ht="15.75" customHeight="1" outlineLevel="1">
      <c r="A116" s="211"/>
      <c r="B116" s="212"/>
      <c r="C116" s="283"/>
      <c r="D116" s="214" t="str">
        <f>IFERROR(VLOOKUP($C116,'PORTIFÓLIO'!C:V,2,0),"")</f>
        <v/>
      </c>
      <c r="E116" s="211" t="str">
        <f>IFERROR(VLOOKUP($C116,'PORTIFÓLIO'!C:V,3,0),"")</f>
        <v/>
      </c>
      <c r="F116" s="211" t="str">
        <f>IFERROR(VLOOKUP($C116,'PORTIFÓLIO'!C:V,4,0),"")</f>
        <v/>
      </c>
      <c r="G116" s="215" t="str">
        <f>IFERROR(VLOOKUP($C116,'PORTIFÓLIO'!C:V,5,0),"")</f>
        <v/>
      </c>
      <c r="H116" s="254" t="str">
        <f t="array" ref="H116">IFERROR(INDEX('PORTIFÓLIO'!$H$4:$H$433,MATCH($C116,'PORTIFÓLIO'!$C$4:$C$433,0)),"")</f>
        <v/>
      </c>
      <c r="I116" s="255"/>
      <c r="J116" s="218">
        <f t="shared" si="14"/>
        <v>0</v>
      </c>
      <c r="K116" s="219" t="str">
        <f t="array" ref="K116">IFERROR(I116*INDEX('PORTIFÓLIO'!$S$4:$S$433,MATCH($C116,'PORTIFÓLIO'!$C$4:$C$433,0)),"")</f>
        <v/>
      </c>
      <c r="L116" s="219" t="str">
        <f t="array" ref="L116">IFERROR(J116*INDEX('PORTIFÓLIO'!$S$4:$S$433,MATCH($C116,'PORTIFÓLIO'!$C$4:$C$433,0)),"")</f>
        <v/>
      </c>
      <c r="M116" s="220"/>
      <c r="N116" s="220"/>
      <c r="O116" s="220"/>
      <c r="P116" s="220"/>
      <c r="Q116" s="220"/>
      <c r="R116" s="220"/>
      <c r="S116" s="220"/>
      <c r="T116" s="220"/>
      <c r="U116" s="220"/>
      <c r="V116" s="220"/>
      <c r="W116" s="220"/>
    </row>
    <row r="117" ht="15.75" customHeight="1" outlineLevel="1">
      <c r="A117" s="211"/>
      <c r="B117" s="212" t="s">
        <v>0</v>
      </c>
      <c r="C117" s="283" t="s">
        <v>484</v>
      </c>
      <c r="D117" s="214" t="str">
        <f>IFERROR(VLOOKUP($C117,'PORTIFÓLIO'!C:V,2,0),"")</f>
        <v>MANCOZEBE</v>
      </c>
      <c r="E117" s="211">
        <f>IFERROR(VLOOKUP($C117,'PORTIFÓLIO'!C:V,3,0),"")</f>
        <v>750</v>
      </c>
      <c r="F117" s="211" t="str">
        <f>IFERROR(VLOOKUP($C117,'PORTIFÓLIO'!C:V,4,0),"")</f>
        <v>L</v>
      </c>
      <c r="G117" s="225" t="str">
        <f>IFERROR(VLOOKUP($C117,'PORTIFÓLIO'!C:V,5,0),"")</f>
        <v>📄 Ver bula</v>
      </c>
      <c r="H117" s="254">
        <f t="array" ref="H117">IFERROR(INDEX('PORTIFÓLIO'!$H$4:$H$433,MATCH($C117,'PORTIFÓLIO'!$C$4:$C$433,0)),"")</f>
        <v>1.5</v>
      </c>
      <c r="I117" s="255">
        <v>1.5</v>
      </c>
      <c r="J117" s="218">
        <f t="shared" si="14"/>
        <v>330</v>
      </c>
      <c r="K117" s="219">
        <f t="array" ref="K117">IFERROR(I117*INDEX('PORTIFÓLIO'!$S$4:$S$433,MATCH($C117,'PORTIFÓLIO'!$C$4:$C$433,0)),"")</f>
        <v>41.52168</v>
      </c>
      <c r="L117" s="219">
        <f t="array" ref="L117">IFERROR(J117*INDEX('PORTIFÓLIO'!$S$4:$S$433,MATCH($C117,'PORTIFÓLIO'!$C$4:$C$433,0)),"")</f>
        <v>9134.7696</v>
      </c>
      <c r="M117" s="220"/>
      <c r="N117" s="220"/>
      <c r="O117" s="220"/>
      <c r="P117" s="220"/>
      <c r="Q117" s="220"/>
      <c r="R117" s="220"/>
      <c r="S117" s="220"/>
      <c r="T117" s="220"/>
      <c r="U117" s="220"/>
      <c r="V117" s="220"/>
      <c r="W117" s="220"/>
    </row>
    <row r="118" ht="15.75" customHeight="1" outlineLevel="1">
      <c r="A118" s="211"/>
      <c r="B118" s="212" t="s">
        <v>2</v>
      </c>
      <c r="C118" s="283" t="s">
        <v>752</v>
      </c>
      <c r="D118" s="214" t="str">
        <f>IFERROR(VLOOKUP($C118,'PORTIFÓLIO'!C:V,2,0),"")</f>
        <v>ACEFATO</v>
      </c>
      <c r="E118" s="211">
        <f>IFERROR(VLOOKUP($C118,'PORTIFÓLIO'!C:V,3,0),"")</f>
        <v>970</v>
      </c>
      <c r="F118" s="211" t="str">
        <f>IFERROR(VLOOKUP($C118,'PORTIFÓLIO'!C:V,4,0),"")</f>
        <v>L</v>
      </c>
      <c r="G118" s="225" t="str">
        <f>IFERROR(VLOOKUP($C118,'PORTIFÓLIO'!C:V,5,0),"")</f>
        <v>📄 Ver bula</v>
      </c>
      <c r="H118" s="254">
        <f t="array" ref="H118">IFERROR(INDEX('PORTIFÓLIO'!$H$4:$H$433,MATCH($C118,'PORTIFÓLIO'!$C$4:$C$433,0)),"")</f>
        <v>0.6</v>
      </c>
      <c r="I118" s="255">
        <v>0.6</v>
      </c>
      <c r="J118" s="218">
        <f t="shared" si="14"/>
        <v>132</v>
      </c>
      <c r="K118" s="219">
        <f t="array" ref="K118">IFERROR(I118*INDEX('PORTIFÓLIO'!$S$4:$S$433,MATCH($C118,'PORTIFÓLIO'!$C$4:$C$433,0)),"")</f>
        <v>22.266</v>
      </c>
      <c r="L118" s="219">
        <f t="array" ref="L118">IFERROR(J118*INDEX('PORTIFÓLIO'!$S$4:$S$433,MATCH($C118,'PORTIFÓLIO'!$C$4:$C$433,0)),"")</f>
        <v>4898.52</v>
      </c>
      <c r="M118" s="220"/>
      <c r="N118" s="220"/>
      <c r="O118" s="220"/>
      <c r="P118" s="220"/>
      <c r="Q118" s="220"/>
      <c r="R118" s="220"/>
      <c r="S118" s="220"/>
      <c r="T118" s="220"/>
      <c r="U118" s="220"/>
      <c r="V118" s="220"/>
      <c r="W118" s="220"/>
    </row>
    <row r="119" ht="15.75" customHeight="1" outlineLevel="1">
      <c r="A119" s="211"/>
      <c r="B119" s="212" t="s">
        <v>2</v>
      </c>
      <c r="C119" s="283" t="s">
        <v>786</v>
      </c>
      <c r="D119" s="214" t="str">
        <f>IFERROR(VLOOKUP($C119,'PORTIFÓLIO'!C:V,2,0),"")</f>
        <v>DIFLUBENZUROM</v>
      </c>
      <c r="E119" s="211">
        <f>IFERROR(VLOOKUP($C119,'PORTIFÓLIO'!C:V,3,0),"")</f>
        <v>480</v>
      </c>
      <c r="F119" s="211" t="str">
        <f>IFERROR(VLOOKUP($C119,'PORTIFÓLIO'!C:V,4,0),"")</f>
        <v>KG</v>
      </c>
      <c r="G119" s="225" t="str">
        <f>IFERROR(VLOOKUP($C119,'PORTIFÓLIO'!C:V,5,0),"")</f>
        <v>📄 Ver bula</v>
      </c>
      <c r="H119" s="254">
        <f t="array" ref="H119">IFERROR(INDEX('PORTIFÓLIO'!$H$4:$H$433,MATCH($C119,'PORTIFÓLIO'!$C$4:$C$433,0)),"")</f>
        <v>0.04</v>
      </c>
      <c r="I119" s="255">
        <v>0.05</v>
      </c>
      <c r="J119" s="218">
        <f t="shared" si="14"/>
        <v>11</v>
      </c>
      <c r="K119" s="219">
        <f t="array" ref="K119">IFERROR(I119*INDEX('PORTIFÓLIO'!$S$4:$S$433,MATCH($C119,'PORTIFÓLIO'!$C$4:$C$433,0)),"")</f>
        <v>2.927979</v>
      </c>
      <c r="L119" s="219">
        <f t="array" ref="L119">IFERROR(J119*INDEX('PORTIFÓLIO'!$S$4:$S$433,MATCH($C119,'PORTIFÓLIO'!$C$4:$C$433,0)),"")</f>
        <v>644.15538</v>
      </c>
      <c r="M119" s="220"/>
      <c r="N119" s="220"/>
      <c r="O119" s="220"/>
      <c r="P119" s="220"/>
      <c r="Q119" s="220"/>
      <c r="R119" s="220"/>
      <c r="S119" s="220"/>
      <c r="T119" s="220"/>
      <c r="U119" s="220"/>
      <c r="V119" s="220"/>
      <c r="W119" s="220"/>
    </row>
    <row r="120" ht="15.75" customHeight="1" outlineLevel="1">
      <c r="A120" s="211"/>
      <c r="B120" s="212" t="s">
        <v>6</v>
      </c>
      <c r="C120" s="213" t="s">
        <v>354</v>
      </c>
      <c r="D120" s="214" t="str">
        <f>IFERROR(VLOOKUP($C120,'PORTIFÓLIO'!C:V,2,0),"")</f>
        <v>OLEO MINERAL</v>
      </c>
      <c r="E120" s="211">
        <f>IFERROR(VLOOKUP($C120,'PORTIFÓLIO'!C:V,3,0),"")</f>
        <v>761</v>
      </c>
      <c r="F120" s="211" t="str">
        <f>IFERROR(VLOOKUP($C120,'PORTIFÓLIO'!C:V,4,0),"")</f>
        <v>L</v>
      </c>
      <c r="G120" s="225" t="str">
        <f>IFERROR(VLOOKUP($C120,'PORTIFÓLIO'!C:V,5,0),"")</f>
        <v>📄 Ver bula</v>
      </c>
      <c r="H120" s="254">
        <f t="array" ref="H120">IFERROR(INDEX('PORTIFÓLIO'!$H$4:$H$433,MATCH($C120,'PORTIFÓLIO'!$C$4:$C$433,0)),"")</f>
        <v>0.2</v>
      </c>
      <c r="I120" s="255">
        <v>0.2</v>
      </c>
      <c r="J120" s="218">
        <f t="shared" si="14"/>
        <v>44</v>
      </c>
      <c r="K120" s="219">
        <f t="array" ref="K120">IFERROR(I120*INDEX('PORTIFÓLIO'!$S$4:$S$433,MATCH($C120,'PORTIFÓLIO'!$C$4:$C$433,0)),"")</f>
        <v>3.206</v>
      </c>
      <c r="L120" s="219">
        <f t="array" ref="L120">IFERROR(J120*INDEX('PORTIFÓLIO'!$S$4:$S$433,MATCH($C120,'PORTIFÓLIO'!$C$4:$C$433,0)),"")</f>
        <v>705.32</v>
      </c>
      <c r="M120" s="220"/>
      <c r="N120" s="220"/>
      <c r="O120" s="220"/>
      <c r="P120" s="220"/>
      <c r="Q120" s="220"/>
      <c r="R120" s="220"/>
      <c r="S120" s="220"/>
      <c r="T120" s="220"/>
      <c r="U120" s="220"/>
      <c r="V120" s="220"/>
      <c r="W120" s="220"/>
    </row>
    <row r="121" ht="15.75" customHeight="1" outlineLevel="1">
      <c r="A121" s="211"/>
      <c r="B121" s="212"/>
      <c r="C121" s="213"/>
      <c r="D121" s="214" t="str">
        <f>IFERROR(VLOOKUP($C121,'PORTIFÓLIO'!C:V,2,0),"")</f>
        <v/>
      </c>
      <c r="E121" s="211" t="str">
        <f>IFERROR(VLOOKUP($C121,'PORTIFÓLIO'!C:V,3,0),"")</f>
        <v/>
      </c>
      <c r="F121" s="211" t="str">
        <f>IFERROR(VLOOKUP($C121,'PORTIFÓLIO'!C:V,4,0),"")</f>
        <v/>
      </c>
      <c r="G121" s="215" t="str">
        <f>IFERROR(VLOOKUP($C121,'PORTIFÓLIO'!C:V,5,0),"")</f>
        <v/>
      </c>
      <c r="H121" s="254" t="str">
        <f t="array" ref="H121">IFERROR(INDEX('PORTIFÓLIO'!$H$4:$H$433,MATCH($C121,'PORTIFÓLIO'!$C$4:$C$433,0)),"")</f>
        <v/>
      </c>
      <c r="I121" s="255"/>
      <c r="J121" s="218">
        <f t="shared" si="14"/>
        <v>0</v>
      </c>
      <c r="K121" s="219" t="str">
        <f t="array" ref="K121">IFERROR(I121*INDEX('PORTIFÓLIO'!$S$4:$S$433,MATCH($C121,'PORTIFÓLIO'!$C$4:$C$433,0)),"")</f>
        <v/>
      </c>
      <c r="L121" s="219" t="str">
        <f t="array" ref="L121">IFERROR(J121*INDEX('PORTIFÓLIO'!$S$4:$S$433,MATCH($C121,'PORTIFÓLIO'!$C$4:$C$433,0)),"")</f>
        <v/>
      </c>
      <c r="M121" s="220"/>
      <c r="N121" s="220"/>
      <c r="O121" s="220"/>
      <c r="P121" s="220"/>
      <c r="Q121" s="220"/>
      <c r="R121" s="220"/>
      <c r="S121" s="220"/>
      <c r="T121" s="220"/>
      <c r="U121" s="220"/>
      <c r="V121" s="220"/>
      <c r="W121" s="220"/>
    </row>
    <row r="122" ht="15.75" customHeight="1" outlineLevel="1">
      <c r="A122" s="211"/>
      <c r="B122" s="212"/>
      <c r="C122" s="213"/>
      <c r="D122" s="214" t="str">
        <f>IFERROR(VLOOKUP($C122,'PORTIFÓLIO'!C:V,2,0),"")</f>
        <v/>
      </c>
      <c r="E122" s="211" t="str">
        <f>IFERROR(VLOOKUP($C122,'PORTIFÓLIO'!C:V,3,0),"")</f>
        <v/>
      </c>
      <c r="F122" s="211" t="str">
        <f>IFERROR(VLOOKUP($C122,'PORTIFÓLIO'!C:V,4,0),"")</f>
        <v/>
      </c>
      <c r="G122" s="215" t="str">
        <f>IFERROR(VLOOKUP($C122,'PORTIFÓLIO'!C:V,5,0),"")</f>
        <v/>
      </c>
      <c r="H122" s="254" t="str">
        <f t="array" ref="H122">IFERROR(INDEX('PORTIFÓLIO'!$H$4:$H$433,MATCH($C122,'PORTIFÓLIO'!$C$4:$C$433,0)),"")</f>
        <v/>
      </c>
      <c r="I122" s="255"/>
      <c r="J122" s="218">
        <f t="shared" si="14"/>
        <v>0</v>
      </c>
      <c r="K122" s="219" t="str">
        <f t="array" ref="K122">IFERROR(I122*INDEX('PORTIFÓLIO'!$S$4:$S$433,MATCH($C122,'PORTIFÓLIO'!$C$4:$C$433,0)),"")</f>
        <v/>
      </c>
      <c r="L122" s="219" t="str">
        <f t="array" ref="L122">IFERROR(J122*INDEX('PORTIFÓLIO'!$S$4:$S$433,MATCH($C122,'PORTIFÓLIO'!$C$4:$C$433,0)),"")</f>
        <v/>
      </c>
      <c r="M122" s="220"/>
      <c r="N122" s="220"/>
      <c r="O122" s="220"/>
      <c r="P122" s="220"/>
      <c r="Q122" s="220"/>
      <c r="R122" s="220"/>
      <c r="S122" s="220"/>
      <c r="T122" s="220"/>
      <c r="U122" s="220"/>
      <c r="V122" s="220"/>
      <c r="W122" s="220"/>
    </row>
    <row r="123" ht="15.75" customHeight="1" outlineLevel="1">
      <c r="A123" s="211"/>
      <c r="B123" s="212"/>
      <c r="C123" s="213"/>
      <c r="D123" s="214" t="str">
        <f>IFERROR(VLOOKUP($C123,'PORTIFÓLIO'!C:V,2,0),"")</f>
        <v/>
      </c>
      <c r="E123" s="211" t="str">
        <f>IFERROR(VLOOKUP($C123,'PORTIFÓLIO'!C:V,3,0),"")</f>
        <v/>
      </c>
      <c r="F123" s="211" t="str">
        <f>IFERROR(VLOOKUP($C123,'PORTIFÓLIO'!C:V,4,0),"")</f>
        <v/>
      </c>
      <c r="G123" s="215" t="str">
        <f>IFERROR(VLOOKUP($C123,'PORTIFÓLIO'!C:V,5,0),"")</f>
        <v/>
      </c>
      <c r="H123" s="254" t="str">
        <f t="array" ref="H123">IFERROR(INDEX('PORTIFÓLIO'!$H$4:$H$433,MATCH($C123,'PORTIFÓLIO'!$C$4:$C$433,0)),"")</f>
        <v/>
      </c>
      <c r="I123" s="255"/>
      <c r="J123" s="218">
        <f t="shared" si="14"/>
        <v>0</v>
      </c>
      <c r="K123" s="219" t="str">
        <f t="array" ref="K123">IFERROR(I123*INDEX('PORTIFÓLIO'!$S$4:$S$433,MATCH($C123,'PORTIFÓLIO'!$C$4:$C$433,0)),"")</f>
        <v/>
      </c>
      <c r="L123" s="219" t="str">
        <f t="array" ref="L123">IFERROR(J123*INDEX('PORTIFÓLIO'!$S$4:$S$433,MATCH($C123,'PORTIFÓLIO'!$C$4:$C$433,0)),"")</f>
        <v/>
      </c>
      <c r="M123" s="220"/>
      <c r="N123" s="220"/>
      <c r="O123" s="220"/>
      <c r="P123" s="220"/>
      <c r="Q123" s="220"/>
      <c r="R123" s="220"/>
      <c r="S123" s="220"/>
      <c r="T123" s="220"/>
      <c r="U123" s="220"/>
      <c r="V123" s="220"/>
      <c r="W123" s="220"/>
    </row>
    <row r="124" ht="15.75" customHeight="1" outlineLevel="1">
      <c r="A124" s="211"/>
      <c r="B124" s="212"/>
      <c r="C124" s="213"/>
      <c r="D124" s="214" t="str">
        <f>IFERROR(VLOOKUP($C124,'PORTIFÓLIO'!C:V,2,0),"")</f>
        <v/>
      </c>
      <c r="E124" s="211" t="str">
        <f>IFERROR(VLOOKUP($C124,'PORTIFÓLIO'!C:V,3,0),"")</f>
        <v/>
      </c>
      <c r="F124" s="211" t="str">
        <f>IFERROR(VLOOKUP($C124,'PORTIFÓLIO'!C:V,4,0),"")</f>
        <v/>
      </c>
      <c r="G124" s="215" t="str">
        <f>IFERROR(VLOOKUP($C124,'PORTIFÓLIO'!C:V,5,0),"")</f>
        <v/>
      </c>
      <c r="H124" s="254" t="str">
        <f t="array" ref="H124">IFERROR(INDEX('PORTIFÓLIO'!$H$4:$H$433,MATCH($C124,'PORTIFÓLIO'!$C$4:$C$433,0)),"")</f>
        <v/>
      </c>
      <c r="I124" s="256"/>
      <c r="J124" s="218">
        <f t="shared" si="14"/>
        <v>0</v>
      </c>
      <c r="K124" s="219" t="str">
        <f t="array" ref="K124">IFERROR(I124*INDEX('PORTIFÓLIO'!$S$4:$S$433,MATCH($C124,'PORTIFÓLIO'!$C$4:$C$433,0)),"")</f>
        <v/>
      </c>
      <c r="L124" s="219" t="str">
        <f t="array" ref="L124">IFERROR(J124*INDEX('PORTIFÓLIO'!$S$4:$S$433,MATCH($C124,'PORTIFÓLIO'!$C$4:$C$433,0)),"")</f>
        <v/>
      </c>
      <c r="M124" s="220"/>
      <c r="N124" s="220"/>
      <c r="O124" s="220"/>
      <c r="P124" s="220"/>
      <c r="Q124" s="220"/>
      <c r="R124" s="220"/>
      <c r="S124" s="220"/>
      <c r="T124" s="220"/>
      <c r="U124" s="220"/>
      <c r="V124" s="220"/>
      <c r="W124" s="220"/>
    </row>
    <row r="125" ht="15.75" customHeight="1" outlineLevel="1">
      <c r="A125" s="211"/>
      <c r="B125" s="212"/>
      <c r="C125" s="213"/>
      <c r="D125" s="214" t="str">
        <f>IFERROR(VLOOKUP($C125,'PORTIFÓLIO'!C:V,2,0),"")</f>
        <v/>
      </c>
      <c r="E125" s="211" t="str">
        <f>IFERROR(VLOOKUP($C125,'PORTIFÓLIO'!C:V,3,0),"")</f>
        <v/>
      </c>
      <c r="F125" s="211" t="str">
        <f>IFERROR(VLOOKUP($C125,'PORTIFÓLIO'!C:V,4,0),"")</f>
        <v/>
      </c>
      <c r="G125" s="215" t="str">
        <f>IFERROR(VLOOKUP($C125,'PORTIFÓLIO'!C:V,5,0),"")</f>
        <v/>
      </c>
      <c r="H125" s="254" t="str">
        <f t="array" ref="H125">IFERROR(INDEX('PORTIFÓLIO'!$H$4:$H$433,MATCH($C125,'PORTIFÓLIO'!$C$4:$C$433,0)),"")</f>
        <v/>
      </c>
      <c r="I125" s="256"/>
      <c r="J125" s="218">
        <f t="shared" si="14"/>
        <v>0</v>
      </c>
      <c r="K125" s="219" t="str">
        <f t="array" ref="K125">IFERROR(I125*INDEX('PORTIFÓLIO'!$S$4:$S$433,MATCH($C125,'PORTIFÓLIO'!$C$4:$C$433,0)),"")</f>
        <v/>
      </c>
      <c r="L125" s="219" t="str">
        <f t="array" ref="L125">IFERROR(J125*INDEX('PORTIFÓLIO'!$S$4:$S$433,MATCH($C125,'PORTIFÓLIO'!$C$4:$C$433,0)),"")</f>
        <v/>
      </c>
      <c r="M125" s="220"/>
      <c r="N125" s="220"/>
      <c r="O125" s="220"/>
      <c r="P125" s="220"/>
      <c r="Q125" s="220"/>
      <c r="R125" s="220"/>
      <c r="S125" s="220"/>
      <c r="T125" s="220"/>
      <c r="U125" s="220"/>
      <c r="V125" s="220"/>
      <c r="W125" s="220"/>
    </row>
    <row r="126" ht="15.75" customHeight="1" outlineLevel="1">
      <c r="A126" s="211"/>
      <c r="B126" s="212"/>
      <c r="C126" s="213"/>
      <c r="D126" s="214" t="str">
        <f>IFERROR(VLOOKUP($C126,'PORTIFÓLIO'!C:V,2,0),"")</f>
        <v/>
      </c>
      <c r="E126" s="211" t="str">
        <f>IFERROR(VLOOKUP($C126,'PORTIFÓLIO'!C:V,3,0),"")</f>
        <v/>
      </c>
      <c r="F126" s="211" t="str">
        <f>IFERROR(VLOOKUP($C126,'PORTIFÓLIO'!C:V,4,0),"")</f>
        <v/>
      </c>
      <c r="G126" s="215" t="str">
        <f>IFERROR(VLOOKUP($C126,'PORTIFÓLIO'!C:V,5,0),"")</f>
        <v/>
      </c>
      <c r="H126" s="254" t="str">
        <f t="array" ref="H126">IFERROR(INDEX('PORTIFÓLIO'!$H$4:$H$433,MATCH($C126,'PORTIFÓLIO'!$C$4:$C$433,0)),"")</f>
        <v/>
      </c>
      <c r="I126" s="256"/>
      <c r="J126" s="218">
        <f t="shared" si="14"/>
        <v>0</v>
      </c>
      <c r="K126" s="219" t="str">
        <f t="array" ref="K126">IFERROR(I126*INDEX('PORTIFÓLIO'!$S$4:$S$433,MATCH($C126,'PORTIFÓLIO'!$C$4:$C$433,0)),"")</f>
        <v/>
      </c>
      <c r="L126" s="219" t="str">
        <f t="array" ref="L126">IFERROR(J126*INDEX('PORTIFÓLIO'!$S$4:$S$433,MATCH($C126,'PORTIFÓLIO'!$C$4:$C$433,0)),"")</f>
        <v/>
      </c>
      <c r="M126" s="220"/>
      <c r="N126" s="220"/>
      <c r="O126" s="220"/>
      <c r="P126" s="220"/>
      <c r="Q126" s="220"/>
      <c r="R126" s="220"/>
      <c r="S126" s="220"/>
      <c r="T126" s="220"/>
      <c r="U126" s="220"/>
      <c r="V126" s="220"/>
      <c r="W126" s="220"/>
    </row>
    <row r="127" ht="15.75" customHeight="1" outlineLevel="1">
      <c r="A127" s="211"/>
      <c r="B127" s="212"/>
      <c r="C127" s="213"/>
      <c r="D127" s="214" t="str">
        <f>IFERROR(VLOOKUP($C127,'PORTIFÓLIO'!C:V,2,0),"")</f>
        <v/>
      </c>
      <c r="E127" s="211" t="str">
        <f>IFERROR(VLOOKUP($C127,'PORTIFÓLIO'!C:V,3,0),"")</f>
        <v/>
      </c>
      <c r="F127" s="211" t="str">
        <f>IFERROR(VLOOKUP($C127,'PORTIFÓLIO'!C:V,4,0),"")</f>
        <v/>
      </c>
      <c r="G127" s="215" t="str">
        <f>IFERROR(VLOOKUP($C127,'PORTIFÓLIO'!C:V,5,0),"")</f>
        <v/>
      </c>
      <c r="H127" s="254" t="str">
        <f t="array" ref="H127">IFERROR(INDEX('PORTIFÓLIO'!$H$4:$H$433,MATCH($C127,'PORTIFÓLIO'!$C$4:$C$433,0)),"")</f>
        <v/>
      </c>
      <c r="I127" s="256"/>
      <c r="J127" s="218">
        <f t="shared" si="14"/>
        <v>0</v>
      </c>
      <c r="K127" s="219" t="str">
        <f t="array" ref="K127">IFERROR(I127*INDEX('PORTIFÓLIO'!$S$4:$S$433,MATCH($C127,'PORTIFÓLIO'!$C$4:$C$433,0)),"")</f>
        <v/>
      </c>
      <c r="L127" s="219" t="str">
        <f t="array" ref="L127">IFERROR(J127*INDEX('PORTIFÓLIO'!$S$4:$S$433,MATCH($C127,'PORTIFÓLIO'!$C$4:$C$433,0)),"")</f>
        <v/>
      </c>
      <c r="M127" s="220"/>
      <c r="N127" s="220"/>
      <c r="O127" s="220"/>
      <c r="P127" s="220"/>
      <c r="Q127" s="220"/>
      <c r="R127" s="220"/>
      <c r="S127" s="220"/>
      <c r="T127" s="220"/>
      <c r="U127" s="220"/>
      <c r="V127" s="220"/>
      <c r="W127" s="220"/>
    </row>
    <row r="128" ht="15.75" customHeight="1" outlineLevel="1">
      <c r="A128" s="211"/>
      <c r="B128" s="212"/>
      <c r="C128" s="213"/>
      <c r="D128" s="214" t="str">
        <f>IFERROR(VLOOKUP($C128,'PORTIFÓLIO'!C:V,2,0),"")</f>
        <v/>
      </c>
      <c r="E128" s="211" t="str">
        <f>IFERROR(VLOOKUP($C128,'PORTIFÓLIO'!C:V,3,0),"")</f>
        <v/>
      </c>
      <c r="F128" s="211" t="str">
        <f>IFERROR(VLOOKUP($C128,'PORTIFÓLIO'!C:V,4,0),"")</f>
        <v/>
      </c>
      <c r="G128" s="215" t="str">
        <f>IFERROR(VLOOKUP($C128,'PORTIFÓLIO'!C:V,5,0),"")</f>
        <v/>
      </c>
      <c r="H128" s="254" t="str">
        <f t="array" ref="H128">IFERROR(INDEX('PORTIFÓLIO'!$H$4:$H$433,MATCH($C128,'PORTIFÓLIO'!$C$4:$C$433,0)),"")</f>
        <v/>
      </c>
      <c r="I128" s="256"/>
      <c r="J128" s="218">
        <f t="shared" si="14"/>
        <v>0</v>
      </c>
      <c r="K128" s="219" t="str">
        <f t="array" ref="K128">IFERROR(I128*INDEX('PORTIFÓLIO'!$S$4:$S$433,MATCH($C128,'PORTIFÓLIO'!$C$4:$C$433,0)),"")</f>
        <v/>
      </c>
      <c r="L128" s="219" t="str">
        <f t="array" ref="L128">IFERROR(J128*INDEX('PORTIFÓLIO'!$S$4:$S$433,MATCH($C128,'PORTIFÓLIO'!$C$4:$C$433,0)),"")</f>
        <v/>
      </c>
      <c r="M128" s="220"/>
      <c r="N128" s="220"/>
      <c r="O128" s="220"/>
      <c r="P128" s="220"/>
      <c r="Q128" s="220"/>
      <c r="R128" s="220"/>
      <c r="S128" s="220"/>
      <c r="T128" s="220"/>
      <c r="U128" s="220"/>
      <c r="V128" s="220"/>
      <c r="W128" s="220"/>
    </row>
    <row r="129" ht="15.75" customHeight="1" outlineLevel="1">
      <c r="A129" s="211"/>
      <c r="B129" s="212"/>
      <c r="C129" s="213"/>
      <c r="D129" s="214" t="str">
        <f>IFERROR(VLOOKUP($C129,'PORTIFÓLIO'!C:V,2,0),"")</f>
        <v/>
      </c>
      <c r="E129" s="211" t="str">
        <f>IFERROR(VLOOKUP($C129,'PORTIFÓLIO'!C:V,3,0),"")</f>
        <v/>
      </c>
      <c r="F129" s="211" t="str">
        <f>IFERROR(VLOOKUP($C129,'PORTIFÓLIO'!C:V,4,0),"")</f>
        <v/>
      </c>
      <c r="G129" s="215" t="str">
        <f>IFERROR(VLOOKUP($C129,'PORTIFÓLIO'!C:V,5,0),"")</f>
        <v/>
      </c>
      <c r="H129" s="254" t="str">
        <f t="array" ref="H129">IFERROR(INDEX('PORTIFÓLIO'!$H$4:$H$433,MATCH($C129,'PORTIFÓLIO'!$C$4:$C$433,0)),"")</f>
        <v/>
      </c>
      <c r="I129" s="256"/>
      <c r="J129" s="218">
        <f t="shared" si="14"/>
        <v>0</v>
      </c>
      <c r="K129" s="219" t="str">
        <f t="array" ref="K129">IFERROR(I129*INDEX('PORTIFÓLIO'!$S$4:$S$433,MATCH($C129,'PORTIFÓLIO'!$C$4:$C$433,0)),"")</f>
        <v/>
      </c>
      <c r="L129" s="219" t="str">
        <f t="array" ref="L129">IFERROR(J129*INDEX('PORTIFÓLIO'!$S$4:$S$433,MATCH($C129,'PORTIFÓLIO'!$C$4:$C$433,0)),"")</f>
        <v/>
      </c>
      <c r="M129" s="220"/>
      <c r="N129" s="220"/>
      <c r="O129" s="220"/>
      <c r="P129" s="220"/>
      <c r="Q129" s="220"/>
      <c r="R129" s="220"/>
      <c r="S129" s="220"/>
      <c r="T129" s="220"/>
      <c r="U129" s="220"/>
      <c r="V129" s="220"/>
      <c r="W129" s="220"/>
    </row>
    <row r="130" ht="15.75" customHeight="1" outlineLevel="1">
      <c r="A130" s="211"/>
      <c r="B130" s="227"/>
      <c r="C130" s="211"/>
      <c r="D130" s="214" t="str">
        <f>IFERROR(VLOOKUP($C130,'PORTIFÓLIO'!C:V,2,0),"")</f>
        <v/>
      </c>
      <c r="E130" s="211" t="str">
        <f>IFERROR(VLOOKUP($C130,'PORTIFÓLIO'!C:V,3,0),"")</f>
        <v/>
      </c>
      <c r="F130" s="211" t="str">
        <f>IFERROR(VLOOKUP($C130,'PORTIFÓLIO'!C:V,4,0),"")</f>
        <v/>
      </c>
      <c r="G130" s="215" t="str">
        <f>IFERROR(VLOOKUP($C130,'PORTIFÓLIO'!C:V,5,0),"")</f>
        <v/>
      </c>
      <c r="H130" s="254" t="str">
        <f t="array" ref="H130">IFERROR(INDEX('PORTIFÓLIO'!$H$4:$H$433,MATCH($C130,'PORTIFÓLIO'!$C$4:$C$433,0)),"")</f>
        <v/>
      </c>
      <c r="I130" s="256"/>
      <c r="J130" s="218"/>
      <c r="K130" s="219" t="str">
        <f t="array" ref="K130">IFERROR(I130*INDEX('PORTIFÓLIO'!$S$4:$S$433,MATCH($C130,'PORTIFÓLIO'!$C$4:$C$433,0)),"")</f>
        <v/>
      </c>
      <c r="L130" s="219" t="str">
        <f t="array" ref="L130">IFERROR(J130*INDEX('PORTIFÓLIO'!$S$4:$S$433,MATCH($C130,'PORTIFÓLIO'!$C$4:$C$433,0)),"")</f>
        <v/>
      </c>
      <c r="M130" s="220"/>
      <c r="N130" s="220"/>
      <c r="O130" s="220"/>
      <c r="P130" s="220"/>
      <c r="Q130" s="220"/>
      <c r="R130" s="220"/>
      <c r="S130" s="220"/>
      <c r="T130" s="220"/>
      <c r="U130" s="220"/>
      <c r="V130" s="220"/>
      <c r="W130" s="220"/>
    </row>
    <row r="131" ht="15.75" customHeight="1">
      <c r="A131" s="229" t="s">
        <v>1191</v>
      </c>
      <c r="B131" s="230"/>
      <c r="C131" s="231"/>
      <c r="D131" s="232"/>
      <c r="E131" s="231"/>
      <c r="F131" s="231"/>
      <c r="G131" s="233"/>
      <c r="H131" s="233"/>
      <c r="I131" s="258"/>
      <c r="J131" s="236"/>
      <c r="K131" s="237">
        <f t="shared" ref="K131:L131" si="15">SUBTOTAL(9,K132:K145)</f>
        <v>101.229074</v>
      </c>
      <c r="L131" s="237">
        <f t="shared" si="15"/>
        <v>22270.39628</v>
      </c>
      <c r="M131" s="220"/>
      <c r="N131" s="220"/>
      <c r="O131" s="220"/>
      <c r="P131" s="220"/>
      <c r="Q131" s="220"/>
      <c r="R131" s="220"/>
      <c r="S131" s="220"/>
      <c r="T131" s="220"/>
      <c r="U131" s="220"/>
      <c r="V131" s="220"/>
      <c r="W131" s="220"/>
    </row>
    <row r="132" ht="15.75" customHeight="1" outlineLevel="1">
      <c r="A132" s="213"/>
      <c r="B132" s="212" t="s">
        <v>0</v>
      </c>
      <c r="C132" s="213" t="s">
        <v>487</v>
      </c>
      <c r="D132" s="214" t="str">
        <f>IFERROR(VLOOKUP($C132,'PORTIFÓLIO'!C:V,2,0),"")</f>
        <v>PICOXISTROBINA + CIPROCONAZOL</v>
      </c>
      <c r="E132" s="211" t="str">
        <f>IFERROR(VLOOKUP($C132,'PORTIFÓLIO'!C:V,3,0),"")</f>
        <v>90 + 40</v>
      </c>
      <c r="F132" s="211" t="str">
        <f>IFERROR(VLOOKUP($C132,'PORTIFÓLIO'!C:V,4,0),"")</f>
        <v>L</v>
      </c>
      <c r="G132" s="225" t="str">
        <f>IFERROR(VLOOKUP($C132,'PORTIFÓLIO'!C:V,5,0),"")</f>
        <v>📄 Ver bula</v>
      </c>
      <c r="H132" s="254">
        <f t="array" ref="H132">IFERROR(INDEX('PORTIFÓLIO'!$H$4:$H$433,MATCH($C132,'PORTIFÓLIO'!$C$4:$C$433,0)),"")</f>
        <v>0.6</v>
      </c>
      <c r="I132" s="255">
        <v>0.6</v>
      </c>
      <c r="J132" s="218">
        <f t="shared" ref="J132:J146" si="16">I132*$B$2</f>
        <v>132</v>
      </c>
      <c r="K132" s="219">
        <f t="array" ref="K132">IFERROR(I132*INDEX('PORTIFÓLIO'!$S$4:$S$433,MATCH($C132,'PORTIFÓLIO'!$C$4:$C$433,0)),"")</f>
        <v>39.349152</v>
      </c>
      <c r="L132" s="219">
        <f t="array" ref="L132">IFERROR(J132*INDEX('PORTIFÓLIO'!$S$4:$S$433,MATCH($C132,'PORTIFÓLIO'!$C$4:$C$433,0)),"")</f>
        <v>8656.81344</v>
      </c>
      <c r="M132" s="220"/>
      <c r="N132" s="220"/>
      <c r="O132" s="220"/>
      <c r="P132" s="220"/>
      <c r="Q132" s="220"/>
      <c r="R132" s="220"/>
      <c r="S132" s="220"/>
      <c r="T132" s="220"/>
      <c r="U132" s="220"/>
      <c r="V132" s="220"/>
      <c r="W132" s="220"/>
    </row>
    <row r="133" ht="15.75" customHeight="1" outlineLevel="1">
      <c r="A133" s="211"/>
      <c r="B133" s="212" t="s">
        <v>0</v>
      </c>
      <c r="C133" s="213" t="s">
        <v>484</v>
      </c>
      <c r="D133" s="214" t="str">
        <f>IFERROR(VLOOKUP($C133,'PORTIFÓLIO'!C:V,2,0),"")</f>
        <v>MANCOZEBE</v>
      </c>
      <c r="E133" s="211">
        <f>IFERROR(VLOOKUP($C133,'PORTIFÓLIO'!C:V,3,0),"")</f>
        <v>750</v>
      </c>
      <c r="F133" s="211" t="str">
        <f>IFERROR(VLOOKUP($C133,'PORTIFÓLIO'!C:V,4,0),"")</f>
        <v>L</v>
      </c>
      <c r="G133" s="225" t="str">
        <f>IFERROR(VLOOKUP($C133,'PORTIFÓLIO'!C:V,5,0),"")</f>
        <v>📄 Ver bula</v>
      </c>
      <c r="H133" s="254">
        <f t="array" ref="H133">IFERROR(INDEX('PORTIFÓLIO'!$H$4:$H$433,MATCH($C133,'PORTIFÓLIO'!$C$4:$C$433,0)),"")</f>
        <v>1.5</v>
      </c>
      <c r="I133" s="255">
        <v>1.5</v>
      </c>
      <c r="J133" s="218">
        <f t="shared" si="16"/>
        <v>330</v>
      </c>
      <c r="K133" s="219">
        <f t="array" ref="K133">IFERROR(I133*INDEX('PORTIFÓLIO'!$S$4:$S$433,MATCH($C133,'PORTIFÓLIO'!$C$4:$C$433,0)),"")</f>
        <v>41.52168</v>
      </c>
      <c r="L133" s="219">
        <f t="array" ref="L133">IFERROR(J133*INDEX('PORTIFÓLIO'!$S$4:$S$433,MATCH($C133,'PORTIFÓLIO'!$C$4:$C$433,0)),"")</f>
        <v>9134.7696</v>
      </c>
      <c r="M133" s="220"/>
      <c r="N133" s="220"/>
      <c r="O133" s="220"/>
      <c r="P133" s="220"/>
      <c r="Q133" s="220"/>
      <c r="R133" s="220"/>
      <c r="S133" s="220"/>
      <c r="T133" s="220"/>
      <c r="U133" s="220"/>
      <c r="V133" s="220"/>
      <c r="W133" s="220"/>
    </row>
    <row r="134" ht="15.75" customHeight="1" outlineLevel="1">
      <c r="A134" s="211"/>
      <c r="B134" s="212" t="s">
        <v>2</v>
      </c>
      <c r="C134" s="213" t="s">
        <v>881</v>
      </c>
      <c r="D134" s="214" t="str">
        <f>IFERROR(VLOOKUP($C134,'PORTIFÓLIO'!C:V,2,0),"")</f>
        <v>TIAMETOXAM + LAMBDA-CIALOTRINA</v>
      </c>
      <c r="E134" s="211" t="str">
        <f>IFERROR(VLOOKUP($C134,'PORTIFÓLIO'!C:V,3,0),"")</f>
        <v>141 + 106</v>
      </c>
      <c r="F134" s="211" t="str">
        <f>IFERROR(VLOOKUP($C134,'PORTIFÓLIO'!C:V,4,0),"")</f>
        <v>L</v>
      </c>
      <c r="G134" s="225" t="str">
        <f>IFERROR(VLOOKUP($C134,'PORTIFÓLIO'!C:V,5,0),"")</f>
        <v>📄 Ver bula</v>
      </c>
      <c r="H134" s="254">
        <f t="array" ref="H134">IFERROR(INDEX('PORTIFÓLIO'!$H$4:$H$433,MATCH($C134,'PORTIFÓLIO'!$C$4:$C$433,0)),"")</f>
        <v>0.2</v>
      </c>
      <c r="I134" s="255">
        <v>0.2</v>
      </c>
      <c r="J134" s="218">
        <f t="shared" si="16"/>
        <v>44</v>
      </c>
      <c r="K134" s="219">
        <f t="array" ref="K134">IFERROR(I134*INDEX('PORTIFÓLIO'!$S$4:$S$433,MATCH($C134,'PORTIFÓLIO'!$C$4:$C$433,0)),"")</f>
        <v>17.152242</v>
      </c>
      <c r="L134" s="219">
        <f t="array" ref="L134">IFERROR(J134*INDEX('PORTIFÓLIO'!$S$4:$S$433,MATCH($C134,'PORTIFÓLIO'!$C$4:$C$433,0)),"")</f>
        <v>3773.49324</v>
      </c>
      <c r="M134" s="220"/>
      <c r="N134" s="220"/>
      <c r="O134" s="220"/>
      <c r="P134" s="220"/>
      <c r="Q134" s="220"/>
      <c r="R134" s="220"/>
      <c r="S134" s="220"/>
      <c r="T134" s="220"/>
      <c r="U134" s="220"/>
      <c r="V134" s="220"/>
      <c r="W134" s="220"/>
    </row>
    <row r="135" ht="15.75" customHeight="1" outlineLevel="1">
      <c r="A135" s="211"/>
      <c r="B135" s="212" t="s">
        <v>6</v>
      </c>
      <c r="C135" s="213" t="s">
        <v>354</v>
      </c>
      <c r="D135" s="214" t="str">
        <f>IFERROR(VLOOKUP($C135,'PORTIFÓLIO'!C:V,2,0),"")</f>
        <v>OLEO MINERAL</v>
      </c>
      <c r="E135" s="211">
        <f>IFERROR(VLOOKUP($C135,'PORTIFÓLIO'!C:V,3,0),"")</f>
        <v>761</v>
      </c>
      <c r="F135" s="211" t="str">
        <f>IFERROR(VLOOKUP($C135,'PORTIFÓLIO'!C:V,4,0),"")</f>
        <v>L</v>
      </c>
      <c r="G135" s="225" t="str">
        <f>IFERROR(VLOOKUP($C135,'PORTIFÓLIO'!C:V,5,0),"")</f>
        <v>📄 Ver bula</v>
      </c>
      <c r="H135" s="254">
        <f t="array" ref="H135">IFERROR(INDEX('PORTIFÓLIO'!$H$4:$H$433,MATCH($C135,'PORTIFÓLIO'!$C$4:$C$433,0)),"")</f>
        <v>0.2</v>
      </c>
      <c r="I135" s="255">
        <v>0.2</v>
      </c>
      <c r="J135" s="218">
        <f t="shared" si="16"/>
        <v>44</v>
      </c>
      <c r="K135" s="219">
        <f t="array" ref="K135">IFERROR(I135*INDEX('PORTIFÓLIO'!$S$4:$S$433,MATCH($C135,'PORTIFÓLIO'!$C$4:$C$433,0)),"")</f>
        <v>3.206</v>
      </c>
      <c r="L135" s="219">
        <f t="array" ref="L135">IFERROR(J135*INDEX('PORTIFÓLIO'!$S$4:$S$433,MATCH($C135,'PORTIFÓLIO'!$C$4:$C$433,0)),"")</f>
        <v>705.32</v>
      </c>
      <c r="M135" s="220"/>
      <c r="N135" s="220"/>
      <c r="O135" s="220"/>
      <c r="P135" s="220"/>
      <c r="Q135" s="220"/>
      <c r="R135" s="220"/>
      <c r="S135" s="220"/>
      <c r="T135" s="220"/>
      <c r="U135" s="220"/>
      <c r="V135" s="220"/>
      <c r="W135" s="220"/>
    </row>
    <row r="136" ht="15.75" customHeight="1" outlineLevel="1">
      <c r="A136" s="211"/>
      <c r="B136" s="212"/>
      <c r="C136" s="213"/>
      <c r="D136" s="214" t="str">
        <f>IFERROR(VLOOKUP($C136,'PORTIFÓLIO'!C:V,2,0),"")</f>
        <v/>
      </c>
      <c r="E136" s="211" t="str">
        <f>IFERROR(VLOOKUP($C136,'PORTIFÓLIO'!C:V,3,0),"")</f>
        <v/>
      </c>
      <c r="F136" s="211" t="str">
        <f>IFERROR(VLOOKUP($C136,'PORTIFÓLIO'!C:V,4,0),"")</f>
        <v/>
      </c>
      <c r="G136" s="215" t="str">
        <f>IFERROR(VLOOKUP($C136,'PORTIFÓLIO'!C:V,5,0),"")</f>
        <v/>
      </c>
      <c r="H136" s="254" t="str">
        <f t="array" ref="H136">IFERROR(INDEX('PORTIFÓLIO'!$H$4:$H$433,MATCH($C136,'PORTIFÓLIO'!$C$4:$C$433,0)),"")</f>
        <v/>
      </c>
      <c r="I136" s="256"/>
      <c r="J136" s="218">
        <f t="shared" si="16"/>
        <v>0</v>
      </c>
      <c r="K136" s="219" t="str">
        <f t="array" ref="K136">IFERROR(I136*INDEX('PORTIFÓLIO'!$S$4:$S$433,MATCH($C136,'PORTIFÓLIO'!$C$4:$C$433,0)),"")</f>
        <v/>
      </c>
      <c r="L136" s="219" t="str">
        <f t="array" ref="L136">IFERROR(J136*INDEX('PORTIFÓLIO'!$S$4:$S$433,MATCH($C136,'PORTIFÓLIO'!$C$4:$C$433,0)),"")</f>
        <v/>
      </c>
      <c r="M136" s="220"/>
      <c r="N136" s="220"/>
      <c r="O136" s="220"/>
      <c r="P136" s="220"/>
      <c r="Q136" s="220"/>
      <c r="R136" s="220"/>
      <c r="S136" s="220"/>
      <c r="T136" s="220"/>
      <c r="U136" s="220"/>
      <c r="V136" s="220"/>
      <c r="W136" s="220"/>
    </row>
    <row r="137" ht="15.75" customHeight="1" outlineLevel="1">
      <c r="A137" s="211"/>
      <c r="B137" s="212"/>
      <c r="C137" s="213"/>
      <c r="D137" s="214" t="str">
        <f>IFERROR(VLOOKUP($C137,'PORTIFÓLIO'!C:V,2,0),"")</f>
        <v/>
      </c>
      <c r="E137" s="211" t="str">
        <f>IFERROR(VLOOKUP($C137,'PORTIFÓLIO'!C:V,3,0),"")</f>
        <v/>
      </c>
      <c r="F137" s="211" t="str">
        <f>IFERROR(VLOOKUP($C137,'PORTIFÓLIO'!C:V,4,0),"")</f>
        <v/>
      </c>
      <c r="G137" s="215" t="str">
        <f>IFERROR(VLOOKUP($C137,'PORTIFÓLIO'!C:V,5,0),"")</f>
        <v/>
      </c>
      <c r="H137" s="254" t="str">
        <f t="array" ref="H137">IFERROR(INDEX('PORTIFÓLIO'!$H$4:$H$433,MATCH($C137,'PORTIFÓLIO'!$C$4:$C$433,0)),"")</f>
        <v/>
      </c>
      <c r="I137" s="256"/>
      <c r="J137" s="218">
        <f t="shared" si="16"/>
        <v>0</v>
      </c>
      <c r="K137" s="219" t="str">
        <f t="array" ref="K137">IFERROR(I137*INDEX('PORTIFÓLIO'!$S$4:$S$433,MATCH($C137,'PORTIFÓLIO'!$C$4:$C$433,0)),"")</f>
        <v/>
      </c>
      <c r="L137" s="219" t="str">
        <f t="array" ref="L137">IFERROR(J137*INDEX('PORTIFÓLIO'!$S$4:$S$433,MATCH($C137,'PORTIFÓLIO'!$C$4:$C$433,0)),"")</f>
        <v/>
      </c>
      <c r="M137" s="220"/>
      <c r="N137" s="220"/>
      <c r="O137" s="220"/>
      <c r="P137" s="220"/>
      <c r="Q137" s="220"/>
      <c r="R137" s="220"/>
      <c r="S137" s="220"/>
      <c r="T137" s="220"/>
      <c r="U137" s="220"/>
      <c r="V137" s="220"/>
      <c r="W137" s="220"/>
    </row>
    <row r="138" ht="15.75" customHeight="1" outlineLevel="1">
      <c r="A138" s="211"/>
      <c r="B138" s="212"/>
      <c r="C138" s="213"/>
      <c r="D138" s="214" t="str">
        <f>IFERROR(VLOOKUP($C138,'PORTIFÓLIO'!C:V,2,0),"")</f>
        <v/>
      </c>
      <c r="E138" s="211" t="str">
        <f>IFERROR(VLOOKUP($C138,'PORTIFÓLIO'!C:V,3,0),"")</f>
        <v/>
      </c>
      <c r="F138" s="211" t="str">
        <f>IFERROR(VLOOKUP($C138,'PORTIFÓLIO'!C:V,4,0),"")</f>
        <v/>
      </c>
      <c r="G138" s="215" t="str">
        <f>IFERROR(VLOOKUP($C138,'PORTIFÓLIO'!C:V,5,0),"")</f>
        <v/>
      </c>
      <c r="H138" s="254" t="str">
        <f t="array" ref="H138">IFERROR(INDEX('PORTIFÓLIO'!$H$4:$H$433,MATCH($C138,'PORTIFÓLIO'!$C$4:$C$433,0)),"")</f>
        <v/>
      </c>
      <c r="I138" s="256"/>
      <c r="J138" s="218">
        <f t="shared" si="16"/>
        <v>0</v>
      </c>
      <c r="K138" s="219" t="str">
        <f t="array" ref="K138">IFERROR(I138*INDEX('PORTIFÓLIO'!$S$4:$S$433,MATCH($C138,'PORTIFÓLIO'!$C$4:$C$433,0)),"")</f>
        <v/>
      </c>
      <c r="L138" s="219" t="str">
        <f t="array" ref="L138">IFERROR(J138*INDEX('PORTIFÓLIO'!$S$4:$S$433,MATCH($C138,'PORTIFÓLIO'!$C$4:$C$433,0)),"")</f>
        <v/>
      </c>
      <c r="M138" s="220"/>
      <c r="N138" s="220"/>
      <c r="O138" s="220"/>
      <c r="P138" s="220"/>
      <c r="Q138" s="220"/>
      <c r="R138" s="220"/>
      <c r="S138" s="220"/>
      <c r="T138" s="220"/>
      <c r="U138" s="220"/>
      <c r="V138" s="220"/>
      <c r="W138" s="220"/>
    </row>
    <row r="139" ht="15.75" customHeight="1" outlineLevel="1">
      <c r="A139" s="211"/>
      <c r="B139" s="212"/>
      <c r="C139" s="213"/>
      <c r="D139" s="214" t="str">
        <f>IFERROR(VLOOKUP($C139,'PORTIFÓLIO'!C:V,2,0),"")</f>
        <v/>
      </c>
      <c r="E139" s="211" t="str">
        <f>IFERROR(VLOOKUP($C139,'PORTIFÓLIO'!C:V,3,0),"")</f>
        <v/>
      </c>
      <c r="F139" s="211" t="str">
        <f>IFERROR(VLOOKUP($C139,'PORTIFÓLIO'!C:V,4,0),"")</f>
        <v/>
      </c>
      <c r="G139" s="215" t="str">
        <f>IFERROR(VLOOKUP($C139,'PORTIFÓLIO'!C:V,5,0),"")</f>
        <v/>
      </c>
      <c r="H139" s="254" t="str">
        <f t="array" ref="H139">IFERROR(INDEX('PORTIFÓLIO'!$H$4:$H$433,MATCH($C139,'PORTIFÓLIO'!$C$4:$C$433,0)),"")</f>
        <v/>
      </c>
      <c r="I139" s="256"/>
      <c r="J139" s="218">
        <f t="shared" si="16"/>
        <v>0</v>
      </c>
      <c r="K139" s="219" t="str">
        <f t="array" ref="K139">IFERROR(I139*INDEX('PORTIFÓLIO'!$S$4:$S$433,MATCH($C139,'PORTIFÓLIO'!$C$4:$C$433,0)),"")</f>
        <v/>
      </c>
      <c r="L139" s="219" t="str">
        <f t="array" ref="L139">IFERROR(J139*INDEX('PORTIFÓLIO'!$S$4:$S$433,MATCH($C139,'PORTIFÓLIO'!$C$4:$C$433,0)),"")</f>
        <v/>
      </c>
      <c r="M139" s="220"/>
      <c r="N139" s="220"/>
      <c r="O139" s="220"/>
      <c r="P139" s="220"/>
      <c r="Q139" s="220"/>
      <c r="R139" s="220"/>
      <c r="S139" s="220"/>
      <c r="T139" s="220"/>
      <c r="U139" s="220"/>
      <c r="V139" s="220"/>
      <c r="W139" s="220"/>
    </row>
    <row r="140" ht="15.75" customHeight="1" outlineLevel="1">
      <c r="A140" s="211"/>
      <c r="B140" s="212"/>
      <c r="C140" s="213"/>
      <c r="D140" s="214" t="str">
        <f>IFERROR(VLOOKUP($C140,'PORTIFÓLIO'!C:V,2,0),"")</f>
        <v/>
      </c>
      <c r="E140" s="211" t="str">
        <f>IFERROR(VLOOKUP($C140,'PORTIFÓLIO'!C:V,3,0),"")</f>
        <v/>
      </c>
      <c r="F140" s="211" t="str">
        <f>IFERROR(VLOOKUP($C140,'PORTIFÓLIO'!C:V,4,0),"")</f>
        <v/>
      </c>
      <c r="G140" s="215" t="str">
        <f>IFERROR(VLOOKUP($C140,'PORTIFÓLIO'!C:V,5,0),"")</f>
        <v/>
      </c>
      <c r="H140" s="254" t="str">
        <f t="array" ref="H140">IFERROR(INDEX('PORTIFÓLIO'!$H$4:$H$433,MATCH($C140,'PORTIFÓLIO'!$C$4:$C$433,0)),"")</f>
        <v/>
      </c>
      <c r="I140" s="255"/>
      <c r="J140" s="218">
        <f t="shared" si="16"/>
        <v>0</v>
      </c>
      <c r="K140" s="219" t="str">
        <f t="array" ref="K140">IFERROR(I140*INDEX('PORTIFÓLIO'!$S$4:$S$433,MATCH($C140,'PORTIFÓLIO'!$C$4:$C$433,0)),"")</f>
        <v/>
      </c>
      <c r="L140" s="219" t="str">
        <f t="array" ref="L140">IFERROR(J140*INDEX('PORTIFÓLIO'!$S$4:$S$433,MATCH($C140,'PORTIFÓLIO'!$C$4:$C$433,0)),"")</f>
        <v/>
      </c>
      <c r="M140" s="220"/>
      <c r="N140" s="220"/>
      <c r="O140" s="220"/>
      <c r="P140" s="220"/>
      <c r="Q140" s="220"/>
      <c r="R140" s="220"/>
      <c r="S140" s="220"/>
      <c r="T140" s="220"/>
      <c r="U140" s="220"/>
      <c r="V140" s="220"/>
      <c r="W140" s="220"/>
    </row>
    <row r="141" ht="15.75" customHeight="1" outlineLevel="1">
      <c r="A141" s="211"/>
      <c r="B141" s="212"/>
      <c r="C141" s="213"/>
      <c r="D141" s="214" t="str">
        <f>IFERROR(VLOOKUP($C141,'PORTIFÓLIO'!C:V,2,0),"")</f>
        <v/>
      </c>
      <c r="E141" s="211" t="str">
        <f>IFERROR(VLOOKUP($C141,'PORTIFÓLIO'!C:V,3,0),"")</f>
        <v/>
      </c>
      <c r="F141" s="211" t="str">
        <f>IFERROR(VLOOKUP($C141,'PORTIFÓLIO'!C:V,4,0),"")</f>
        <v/>
      </c>
      <c r="G141" s="215" t="str">
        <f>IFERROR(VLOOKUP($C141,'PORTIFÓLIO'!C:V,5,0),"")</f>
        <v/>
      </c>
      <c r="H141" s="254" t="str">
        <f t="array" ref="H141">IFERROR(INDEX('PORTIFÓLIO'!$H$4:$H$433,MATCH($C141,'PORTIFÓLIO'!$C$4:$C$433,0)),"")</f>
        <v/>
      </c>
      <c r="I141" s="256"/>
      <c r="J141" s="218">
        <f t="shared" si="16"/>
        <v>0</v>
      </c>
      <c r="K141" s="219" t="str">
        <f t="array" ref="K141">IFERROR(I141*INDEX('PORTIFÓLIO'!$S$4:$S$433,MATCH($C141,'PORTIFÓLIO'!$C$4:$C$433,0)),"")</f>
        <v/>
      </c>
      <c r="L141" s="219" t="str">
        <f t="array" ref="L141">IFERROR(J141*INDEX('PORTIFÓLIO'!$S$4:$S$433,MATCH($C141,'PORTIFÓLIO'!$C$4:$C$433,0)),"")</f>
        <v/>
      </c>
      <c r="M141" s="220"/>
      <c r="N141" s="220"/>
      <c r="O141" s="220"/>
      <c r="P141" s="220"/>
      <c r="Q141" s="220"/>
      <c r="R141" s="220"/>
      <c r="S141" s="220"/>
      <c r="T141" s="220"/>
      <c r="U141" s="220"/>
      <c r="V141" s="220"/>
      <c r="W141" s="220"/>
    </row>
    <row r="142" ht="15.75" customHeight="1" outlineLevel="1">
      <c r="A142" s="211"/>
      <c r="B142" s="212"/>
      <c r="C142" s="213"/>
      <c r="D142" s="214" t="str">
        <f>IFERROR(VLOOKUP($C142,'PORTIFÓLIO'!C:V,2,0),"")</f>
        <v/>
      </c>
      <c r="E142" s="211" t="str">
        <f>IFERROR(VLOOKUP($C142,'PORTIFÓLIO'!C:V,3,0),"")</f>
        <v/>
      </c>
      <c r="F142" s="211" t="str">
        <f>IFERROR(VLOOKUP($C142,'PORTIFÓLIO'!C:V,4,0),"")</f>
        <v/>
      </c>
      <c r="G142" s="215" t="str">
        <f>IFERROR(VLOOKUP($C142,'PORTIFÓLIO'!C:V,5,0),"")</f>
        <v/>
      </c>
      <c r="H142" s="254" t="str">
        <f t="array" ref="H142">IFERROR(INDEX('PORTIFÓLIO'!$H$4:$H$433,MATCH($C142,'PORTIFÓLIO'!$C$4:$C$433,0)),"")</f>
        <v/>
      </c>
      <c r="I142" s="256"/>
      <c r="J142" s="218">
        <f t="shared" si="16"/>
        <v>0</v>
      </c>
      <c r="K142" s="219" t="str">
        <f t="array" ref="K142">IFERROR(I142*INDEX('PORTIFÓLIO'!$S$4:$S$433,MATCH($C142,'PORTIFÓLIO'!$C$4:$C$433,0)),"")</f>
        <v/>
      </c>
      <c r="L142" s="219" t="str">
        <f t="array" ref="L142">IFERROR(J142*INDEX('PORTIFÓLIO'!$S$4:$S$433,MATCH($C142,'PORTIFÓLIO'!$C$4:$C$433,0)),"")</f>
        <v/>
      </c>
      <c r="M142" s="220"/>
      <c r="N142" s="220"/>
      <c r="O142" s="220"/>
      <c r="P142" s="220"/>
      <c r="Q142" s="220"/>
      <c r="R142" s="220"/>
      <c r="S142" s="220"/>
      <c r="T142" s="220"/>
      <c r="U142" s="220"/>
      <c r="V142" s="220"/>
      <c r="W142" s="220"/>
    </row>
    <row r="143" ht="15.75" customHeight="1" outlineLevel="1">
      <c r="A143" s="211"/>
      <c r="B143" s="212"/>
      <c r="C143" s="213"/>
      <c r="D143" s="214" t="str">
        <f>IFERROR(VLOOKUP($C143,'PORTIFÓLIO'!C:V,2,0),"")</f>
        <v/>
      </c>
      <c r="E143" s="211" t="str">
        <f>IFERROR(VLOOKUP($C143,'PORTIFÓLIO'!C:V,3,0),"")</f>
        <v/>
      </c>
      <c r="F143" s="211" t="str">
        <f>IFERROR(VLOOKUP($C143,'PORTIFÓLIO'!C:V,4,0),"")</f>
        <v/>
      </c>
      <c r="G143" s="215" t="str">
        <f>IFERROR(VLOOKUP($C143,'PORTIFÓLIO'!C:V,5,0),"")</f>
        <v/>
      </c>
      <c r="H143" s="254" t="str">
        <f t="array" ref="H143">IFERROR(INDEX('PORTIFÓLIO'!$H$4:$H$433,MATCH($C143,'PORTIFÓLIO'!$C$4:$C$433,0)),"")</f>
        <v/>
      </c>
      <c r="I143" s="256"/>
      <c r="J143" s="218">
        <f t="shared" si="16"/>
        <v>0</v>
      </c>
      <c r="K143" s="219" t="str">
        <f t="array" ref="K143">IFERROR(I143*INDEX('PORTIFÓLIO'!$S$4:$S$433,MATCH($C143,'PORTIFÓLIO'!$C$4:$C$433,0)),"")</f>
        <v/>
      </c>
      <c r="L143" s="219" t="str">
        <f t="array" ref="L143">IFERROR(J143*INDEX('PORTIFÓLIO'!$S$4:$S$433,MATCH($C143,'PORTIFÓLIO'!$C$4:$C$433,0)),"")</f>
        <v/>
      </c>
      <c r="M143" s="220"/>
      <c r="N143" s="220"/>
      <c r="O143" s="220"/>
      <c r="P143" s="220"/>
      <c r="Q143" s="220"/>
      <c r="R143" s="220"/>
      <c r="S143" s="220"/>
      <c r="T143" s="220"/>
      <c r="U143" s="220"/>
      <c r="V143" s="220"/>
      <c r="W143" s="220"/>
    </row>
    <row r="144" ht="15.75" customHeight="1" outlineLevel="1">
      <c r="A144" s="211"/>
      <c r="B144" s="212"/>
      <c r="C144" s="213"/>
      <c r="D144" s="214" t="str">
        <f>IFERROR(VLOOKUP($C144,'PORTIFÓLIO'!C:V,2,0),"")</f>
        <v/>
      </c>
      <c r="E144" s="211" t="str">
        <f>IFERROR(VLOOKUP($C144,'PORTIFÓLIO'!C:V,3,0),"")</f>
        <v/>
      </c>
      <c r="F144" s="211" t="str">
        <f>IFERROR(VLOOKUP($C144,'PORTIFÓLIO'!C:V,4,0),"")</f>
        <v/>
      </c>
      <c r="G144" s="215" t="str">
        <f>IFERROR(VLOOKUP($C144,'PORTIFÓLIO'!C:V,5,0),"")</f>
        <v/>
      </c>
      <c r="H144" s="254" t="str">
        <f t="array" ref="H144">IFERROR(INDEX('PORTIFÓLIO'!$H$4:$H$433,MATCH($C144,'PORTIFÓLIO'!$C$4:$C$433,0)),"")</f>
        <v/>
      </c>
      <c r="I144" s="256"/>
      <c r="J144" s="218">
        <f t="shared" si="16"/>
        <v>0</v>
      </c>
      <c r="K144" s="219" t="str">
        <f t="array" ref="K144">IFERROR(I144*INDEX('PORTIFÓLIO'!$S$4:$S$433,MATCH($C144,'PORTIFÓLIO'!$C$4:$C$433,0)),"")</f>
        <v/>
      </c>
      <c r="L144" s="219" t="str">
        <f t="array" ref="L144">IFERROR(J144*INDEX('PORTIFÓLIO'!$S$4:$S$433,MATCH($C144,'PORTIFÓLIO'!$C$4:$C$433,0)),"")</f>
        <v/>
      </c>
      <c r="M144" s="220"/>
      <c r="N144" s="220"/>
      <c r="O144" s="220"/>
      <c r="P144" s="220"/>
      <c r="Q144" s="220"/>
      <c r="R144" s="220"/>
      <c r="S144" s="220"/>
      <c r="T144" s="220"/>
      <c r="U144" s="220"/>
      <c r="V144" s="220"/>
      <c r="W144" s="220"/>
    </row>
    <row r="145" ht="15.75" customHeight="1" outlineLevel="1">
      <c r="A145" s="211"/>
      <c r="B145" s="212"/>
      <c r="C145" s="213"/>
      <c r="D145" s="214" t="str">
        <f>IFERROR(VLOOKUP($C145,'PORTIFÓLIO'!C:V,2,0),"")</f>
        <v/>
      </c>
      <c r="E145" s="211" t="str">
        <f>IFERROR(VLOOKUP($C145,'PORTIFÓLIO'!C:V,3,0),"")</f>
        <v/>
      </c>
      <c r="F145" s="211" t="str">
        <f>IFERROR(VLOOKUP($C145,'PORTIFÓLIO'!C:V,4,0),"")</f>
        <v/>
      </c>
      <c r="G145" s="215" t="str">
        <f>IFERROR(VLOOKUP($C145,'PORTIFÓLIO'!C:V,5,0),"")</f>
        <v/>
      </c>
      <c r="H145" s="254" t="str">
        <f t="array" ref="H145">IFERROR(INDEX('PORTIFÓLIO'!$H$4:$H$433,MATCH($C145,'PORTIFÓLIO'!$C$4:$C$433,0)),"")</f>
        <v/>
      </c>
      <c r="I145" s="256"/>
      <c r="J145" s="218">
        <f t="shared" si="16"/>
        <v>0</v>
      </c>
      <c r="K145" s="219" t="str">
        <f t="array" ref="K145">IFERROR(I145*INDEX('PORTIFÓLIO'!$S$4:$S$433,MATCH($C145,'PORTIFÓLIO'!$C$4:$C$433,0)),"")</f>
        <v/>
      </c>
      <c r="L145" s="219" t="str">
        <f t="array" ref="L145">IFERROR(J145*INDEX('PORTIFÓLIO'!$S$4:$S$433,MATCH($C145,'PORTIFÓLIO'!$C$4:$C$433,0)),"")</f>
        <v/>
      </c>
      <c r="M145" s="220"/>
      <c r="N145" s="220"/>
      <c r="O145" s="220"/>
      <c r="P145" s="220"/>
      <c r="Q145" s="220"/>
      <c r="R145" s="220"/>
      <c r="S145" s="220"/>
      <c r="T145" s="220"/>
      <c r="U145" s="220"/>
      <c r="V145" s="220"/>
      <c r="W145" s="220"/>
    </row>
    <row r="146" ht="15.75" customHeight="1" outlineLevel="1">
      <c r="A146" s="211"/>
      <c r="B146" s="212"/>
      <c r="C146" s="213"/>
      <c r="D146" s="214" t="str">
        <f>IFERROR(VLOOKUP($C146,'PORTIFÓLIO'!C:V,2,0),"")</f>
        <v/>
      </c>
      <c r="E146" s="211" t="str">
        <f>IFERROR(VLOOKUP($C146,'PORTIFÓLIO'!C:V,3,0),"")</f>
        <v/>
      </c>
      <c r="F146" s="211" t="str">
        <f>IFERROR(VLOOKUP($C146,'PORTIFÓLIO'!C:V,4,0),"")</f>
        <v/>
      </c>
      <c r="G146" s="215" t="str">
        <f>IFERROR(VLOOKUP($C146,'PORTIFÓLIO'!C:V,5,0),"")</f>
        <v/>
      </c>
      <c r="H146" s="254" t="str">
        <f t="array" ref="H146">IFERROR(INDEX('PORTIFÓLIO'!$H$4:$H$433,MATCH($C146,'PORTIFÓLIO'!$C$4:$C$433,0)),"")</f>
        <v/>
      </c>
      <c r="I146" s="256"/>
      <c r="J146" s="218">
        <f t="shared" si="16"/>
        <v>0</v>
      </c>
      <c r="K146" s="219" t="str">
        <f t="array" ref="K146">IFERROR(I146*INDEX('PORTIFÓLIO'!$S$4:$S$433,MATCH($C146,'PORTIFÓLIO'!$C$4:$C$433,0)),"")</f>
        <v/>
      </c>
      <c r="L146" s="219" t="str">
        <f t="array" ref="L146">IFERROR(J146*INDEX('PORTIFÓLIO'!$S$4:$S$433,MATCH($C146,'PORTIFÓLIO'!$C$4:$C$433,0)),"")</f>
        <v/>
      </c>
      <c r="M146" s="220"/>
      <c r="N146" s="220"/>
      <c r="O146" s="220"/>
      <c r="P146" s="220"/>
      <c r="Q146" s="220"/>
      <c r="R146" s="220"/>
      <c r="S146" s="220"/>
      <c r="T146" s="220"/>
      <c r="U146" s="220"/>
      <c r="V146" s="220"/>
      <c r="W146" s="220"/>
    </row>
    <row r="147" ht="15.75" customHeight="1" outlineLevel="1">
      <c r="A147" s="211"/>
      <c r="B147" s="227"/>
      <c r="C147" s="211"/>
      <c r="D147" s="214" t="str">
        <f>IFERROR(VLOOKUP($C147,'PORTIFÓLIO'!C:V,2,0),"")</f>
        <v/>
      </c>
      <c r="E147" s="211" t="str">
        <f>IFERROR(VLOOKUP($C147,'PORTIFÓLIO'!C:V,3,0),"")</f>
        <v/>
      </c>
      <c r="F147" s="211" t="str">
        <f>IFERROR(VLOOKUP($C147,'PORTIFÓLIO'!C:V,4,0),"")</f>
        <v/>
      </c>
      <c r="G147" s="215" t="str">
        <f>IFERROR(VLOOKUP($C147,'PORTIFÓLIO'!C:V,5,0),"")</f>
        <v/>
      </c>
      <c r="H147" s="254" t="str">
        <f t="array" ref="H147">IFERROR(INDEX('PORTIFÓLIO'!$H$4:$H$433,MATCH($C147,'PORTIFÓLIO'!$C$4:$C$433,0)),"")</f>
        <v/>
      </c>
      <c r="I147" s="256"/>
      <c r="J147" s="218"/>
      <c r="K147" s="219" t="str">
        <f t="array" ref="K147">IFERROR(I147*INDEX('PORTIFÓLIO'!$S$4:$S$433,MATCH($C147,'PORTIFÓLIO'!$C$4:$C$433,0)),"")</f>
        <v/>
      </c>
      <c r="L147" s="219" t="str">
        <f t="array" ref="L147">IFERROR(J147*INDEX('PORTIFÓLIO'!$S$4:$S$433,MATCH($C147,'PORTIFÓLIO'!$C$4:$C$433,0)),"")</f>
        <v/>
      </c>
      <c r="M147" s="220"/>
      <c r="N147" s="220"/>
      <c r="O147" s="220"/>
      <c r="P147" s="220"/>
      <c r="Q147" s="220"/>
      <c r="R147" s="220"/>
      <c r="S147" s="220"/>
      <c r="T147" s="220"/>
      <c r="U147" s="220"/>
      <c r="V147" s="220"/>
      <c r="W147" s="220"/>
    </row>
    <row r="148" ht="15.75" customHeight="1">
      <c r="A148" s="229" t="s">
        <v>1192</v>
      </c>
      <c r="B148" s="230"/>
      <c r="C148" s="231"/>
      <c r="D148" s="232"/>
      <c r="E148" s="231"/>
      <c r="F148" s="231"/>
      <c r="G148" s="233"/>
      <c r="H148" s="233"/>
      <c r="I148" s="258"/>
      <c r="J148" s="236"/>
      <c r="K148" s="237">
        <f t="shared" ref="K148:L148" si="17">SUBTOTAL(9,K149:K162)</f>
        <v>57.21464</v>
      </c>
      <c r="L148" s="237">
        <f t="shared" si="17"/>
        <v>12587.2208</v>
      </c>
      <c r="M148" s="220"/>
      <c r="N148" s="220"/>
      <c r="O148" s="220"/>
      <c r="P148" s="220"/>
      <c r="Q148" s="220"/>
      <c r="R148" s="220"/>
      <c r="S148" s="220"/>
      <c r="T148" s="220"/>
      <c r="U148" s="220"/>
      <c r="V148" s="220"/>
      <c r="W148" s="220"/>
    </row>
    <row r="149" ht="15.75" customHeight="1" outlineLevel="1">
      <c r="A149" s="213"/>
      <c r="B149" s="212" t="s">
        <v>0</v>
      </c>
      <c r="C149" s="213" t="s">
        <v>434</v>
      </c>
      <c r="D149" s="214" t="str">
        <f>IFERROR(VLOOKUP($C149,'PORTIFÓLIO'!C:V,2,0),"")</f>
        <v>AZOXISTROBINA + TEBUCONAZOL</v>
      </c>
      <c r="E149" s="211" t="str">
        <f>IFERROR(VLOOKUP($C149,'PORTIFÓLIO'!C:V,3,0),"")</f>
        <v>120 + 200</v>
      </c>
      <c r="F149" s="211" t="str">
        <f>IFERROR(VLOOKUP($C149,'PORTIFÓLIO'!C:V,4,0),"")</f>
        <v>L</v>
      </c>
      <c r="G149" s="225" t="str">
        <f>IFERROR(VLOOKUP($C149,'PORTIFÓLIO'!C:V,5,0),"")</f>
        <v>📄 Ver bula</v>
      </c>
      <c r="H149" s="254">
        <f t="array" ref="H149">IFERROR(INDEX('PORTIFÓLIO'!$H$4:$H$433,MATCH($C149,'PORTIFÓLIO'!$C$4:$C$433,0)),"")</f>
        <v>0.5</v>
      </c>
      <c r="I149" s="255">
        <v>0.5</v>
      </c>
      <c r="J149" s="218">
        <f t="shared" ref="J149:J163" si="18">I149*$B$2</f>
        <v>110</v>
      </c>
      <c r="K149" s="219">
        <f t="array" ref="K149">IFERROR(I149*INDEX('PORTIFÓLIO'!$S$4:$S$433,MATCH($C149,'PORTIFÓLIO'!$C$4:$C$433,0)),"")</f>
        <v>17.66448</v>
      </c>
      <c r="L149" s="219">
        <f t="array" ref="L149">IFERROR(J149*INDEX('PORTIFÓLIO'!$S$4:$S$433,MATCH($C149,'PORTIFÓLIO'!$C$4:$C$433,0)),"")</f>
        <v>3886.1856</v>
      </c>
      <c r="M149" s="220"/>
      <c r="N149" s="220"/>
      <c r="O149" s="220"/>
      <c r="P149" s="220"/>
      <c r="Q149" s="220"/>
      <c r="R149" s="220"/>
      <c r="S149" s="220"/>
      <c r="T149" s="220"/>
      <c r="U149" s="220"/>
      <c r="V149" s="220"/>
      <c r="W149" s="220"/>
    </row>
    <row r="150" ht="15.75" customHeight="1" outlineLevel="1">
      <c r="A150" s="211"/>
      <c r="B150" s="212" t="s">
        <v>0</v>
      </c>
      <c r="C150" s="213" t="s">
        <v>572</v>
      </c>
      <c r="D150" s="214" t="str">
        <f>IFERROR(VLOOKUP($C150,'PORTIFÓLIO'!C:V,2,0),"")</f>
        <v>CLOROTALONIL</v>
      </c>
      <c r="E150" s="211">
        <f>IFERROR(VLOOKUP($C150,'PORTIFÓLIO'!C:V,3,0),"")</f>
        <v>720</v>
      </c>
      <c r="F150" s="211" t="str">
        <f>IFERROR(VLOOKUP($C150,'PORTIFÓLIO'!C:V,4,0),"")</f>
        <v>KG</v>
      </c>
      <c r="G150" s="225" t="str">
        <f>IFERROR(VLOOKUP($C150,'PORTIFÓLIO'!C:V,5,0),"")</f>
        <v>📄 Ver bula</v>
      </c>
      <c r="H150" s="254">
        <f t="array" ref="H150">IFERROR(INDEX('PORTIFÓLIO'!$H$4:$H$433,MATCH($C150,'PORTIFÓLIO'!$C$4:$C$433,0)),"")</f>
        <v>1.5</v>
      </c>
      <c r="I150" s="255">
        <v>1.5</v>
      </c>
      <c r="J150" s="218">
        <f t="shared" si="18"/>
        <v>330</v>
      </c>
      <c r="K150" s="219">
        <f t="array" ref="K150">IFERROR(I150*INDEX('PORTIFÓLIO'!$S$4:$S$433,MATCH($C150,'PORTIFÓLIO'!$C$4:$C$433,0)),"")</f>
        <v>36.34416</v>
      </c>
      <c r="L150" s="219">
        <f t="array" ref="L150">IFERROR(J150*INDEX('PORTIFÓLIO'!$S$4:$S$433,MATCH($C150,'PORTIFÓLIO'!$C$4:$C$433,0)),"")</f>
        <v>7995.7152</v>
      </c>
      <c r="M150" s="220"/>
      <c r="N150" s="220"/>
      <c r="O150" s="220"/>
      <c r="P150" s="220"/>
      <c r="Q150" s="220"/>
      <c r="R150" s="220"/>
      <c r="S150" s="220"/>
      <c r="T150" s="220"/>
      <c r="U150" s="220"/>
      <c r="V150" s="220"/>
      <c r="W150" s="220"/>
    </row>
    <row r="151" ht="15.75" customHeight="1" outlineLevel="1">
      <c r="A151" s="211"/>
      <c r="B151" s="212" t="s">
        <v>6</v>
      </c>
      <c r="C151" s="213" t="s">
        <v>354</v>
      </c>
      <c r="D151" s="214" t="str">
        <f>IFERROR(VLOOKUP($C151,'PORTIFÓLIO'!C:V,2,0),"")</f>
        <v>OLEO MINERAL</v>
      </c>
      <c r="E151" s="211">
        <f>IFERROR(VLOOKUP($C151,'PORTIFÓLIO'!C:V,3,0),"")</f>
        <v>761</v>
      </c>
      <c r="F151" s="211" t="str">
        <f>IFERROR(VLOOKUP($C151,'PORTIFÓLIO'!C:V,4,0),"")</f>
        <v>L</v>
      </c>
      <c r="G151" s="225" t="str">
        <f>IFERROR(VLOOKUP($C151,'PORTIFÓLIO'!C:V,5,0),"")</f>
        <v>📄 Ver bula</v>
      </c>
      <c r="H151" s="254">
        <f t="array" ref="H151">IFERROR(INDEX('PORTIFÓLIO'!$H$4:$H$433,MATCH($C151,'PORTIFÓLIO'!$C$4:$C$433,0)),"")</f>
        <v>0.2</v>
      </c>
      <c r="I151" s="255">
        <v>0.2</v>
      </c>
      <c r="J151" s="218">
        <f t="shared" si="18"/>
        <v>44</v>
      </c>
      <c r="K151" s="219">
        <f t="array" ref="K151">IFERROR(I151*INDEX('PORTIFÓLIO'!$S$4:$S$433,MATCH($C151,'PORTIFÓLIO'!$C$4:$C$433,0)),"")</f>
        <v>3.206</v>
      </c>
      <c r="L151" s="219">
        <f t="array" ref="L151">IFERROR(J151*INDEX('PORTIFÓLIO'!$S$4:$S$433,MATCH($C151,'PORTIFÓLIO'!$C$4:$C$433,0)),"")</f>
        <v>705.32</v>
      </c>
      <c r="M151" s="220"/>
      <c r="N151" s="220"/>
      <c r="O151" s="220"/>
      <c r="P151" s="220"/>
      <c r="Q151" s="220"/>
      <c r="R151" s="220"/>
      <c r="S151" s="220"/>
      <c r="T151" s="220"/>
      <c r="U151" s="220"/>
      <c r="V151" s="220"/>
      <c r="W151" s="220"/>
    </row>
    <row r="152" ht="15.75" customHeight="1" outlineLevel="1">
      <c r="A152" s="211"/>
      <c r="B152" s="212"/>
      <c r="C152" s="213"/>
      <c r="D152" s="214" t="str">
        <f>IFERROR(VLOOKUP($C152,'PORTIFÓLIO'!C:V,2,0),"")</f>
        <v/>
      </c>
      <c r="E152" s="211" t="str">
        <f>IFERROR(VLOOKUP($C152,'PORTIFÓLIO'!C:V,3,0),"")</f>
        <v/>
      </c>
      <c r="F152" s="211" t="str">
        <f>IFERROR(VLOOKUP($C152,'PORTIFÓLIO'!C:V,4,0),"")</f>
        <v/>
      </c>
      <c r="G152" s="215" t="str">
        <f>IFERROR(VLOOKUP($C152,'PORTIFÓLIO'!C:V,5,0),"")</f>
        <v/>
      </c>
      <c r="H152" s="254" t="str">
        <f t="array" ref="H152">IFERROR(INDEX('PORTIFÓLIO'!$H$4:$H$433,MATCH($C152,'PORTIFÓLIO'!$C$4:$C$433,0)),"")</f>
        <v/>
      </c>
      <c r="I152" s="256"/>
      <c r="J152" s="218">
        <f t="shared" si="18"/>
        <v>0</v>
      </c>
      <c r="K152" s="219" t="str">
        <f t="array" ref="K152">IFERROR(I152*INDEX('PORTIFÓLIO'!$S$4:$S$433,MATCH($C152,'PORTIFÓLIO'!$C$4:$C$433,0)),"")</f>
        <v/>
      </c>
      <c r="L152" s="219" t="str">
        <f t="array" ref="L152">IFERROR(J152*INDEX('PORTIFÓLIO'!$S$4:$S$433,MATCH($C152,'PORTIFÓLIO'!$C$4:$C$433,0)),"")</f>
        <v/>
      </c>
      <c r="M152" s="220"/>
      <c r="N152" s="220"/>
      <c r="O152" s="220"/>
      <c r="P152" s="220"/>
      <c r="Q152" s="220"/>
      <c r="R152" s="220"/>
      <c r="S152" s="220"/>
      <c r="T152" s="220"/>
      <c r="U152" s="220"/>
      <c r="V152" s="220"/>
      <c r="W152" s="220"/>
    </row>
    <row r="153" ht="15.75" customHeight="1" outlineLevel="1">
      <c r="A153" s="211"/>
      <c r="B153" s="212"/>
      <c r="C153" s="213"/>
      <c r="D153" s="214" t="str">
        <f>IFERROR(VLOOKUP($C153,'PORTIFÓLIO'!C:V,2,0),"")</f>
        <v/>
      </c>
      <c r="E153" s="211" t="str">
        <f>IFERROR(VLOOKUP($C153,'PORTIFÓLIO'!C:V,3,0),"")</f>
        <v/>
      </c>
      <c r="F153" s="211" t="str">
        <f>IFERROR(VLOOKUP($C153,'PORTIFÓLIO'!C:V,4,0),"")</f>
        <v/>
      </c>
      <c r="G153" s="215" t="str">
        <f>IFERROR(VLOOKUP($C153,'PORTIFÓLIO'!C:V,5,0),"")</f>
        <v/>
      </c>
      <c r="H153" s="254" t="str">
        <f t="array" ref="H153">IFERROR(INDEX('PORTIFÓLIO'!$H$4:$H$433,MATCH($C153,'PORTIFÓLIO'!$C$4:$C$433,0)),"")</f>
        <v/>
      </c>
      <c r="I153" s="256"/>
      <c r="J153" s="218">
        <f t="shared" si="18"/>
        <v>0</v>
      </c>
      <c r="K153" s="219" t="str">
        <f t="array" ref="K153">IFERROR(I153*INDEX('PORTIFÓLIO'!$S$4:$S$433,MATCH($C153,'PORTIFÓLIO'!$C$4:$C$433,0)),"")</f>
        <v/>
      </c>
      <c r="L153" s="219" t="str">
        <f t="array" ref="L153">IFERROR(J153*INDEX('PORTIFÓLIO'!$S$4:$S$433,MATCH($C153,'PORTIFÓLIO'!$C$4:$C$433,0)),"")</f>
        <v/>
      </c>
      <c r="M153" s="220"/>
      <c r="N153" s="220"/>
      <c r="O153" s="220"/>
      <c r="P153" s="220"/>
      <c r="Q153" s="220"/>
      <c r="R153" s="220"/>
      <c r="S153" s="220"/>
      <c r="T153" s="220"/>
      <c r="U153" s="220"/>
      <c r="V153" s="220"/>
      <c r="W153" s="220"/>
    </row>
    <row r="154" ht="15.75" customHeight="1" outlineLevel="1">
      <c r="A154" s="211"/>
      <c r="B154" s="212"/>
      <c r="C154" s="213"/>
      <c r="D154" s="214" t="str">
        <f>IFERROR(VLOOKUP($C154,'PORTIFÓLIO'!C:V,2,0),"")</f>
        <v/>
      </c>
      <c r="E154" s="211" t="str">
        <f>IFERROR(VLOOKUP($C154,'PORTIFÓLIO'!C:V,3,0),"")</f>
        <v/>
      </c>
      <c r="F154" s="211" t="str">
        <f>IFERROR(VLOOKUP($C154,'PORTIFÓLIO'!C:V,4,0),"")</f>
        <v/>
      </c>
      <c r="G154" s="215" t="str">
        <f>IFERROR(VLOOKUP($C154,'PORTIFÓLIO'!C:V,5,0),"")</f>
        <v/>
      </c>
      <c r="H154" s="254" t="str">
        <f t="array" ref="H154">IFERROR(INDEX('PORTIFÓLIO'!$H$4:$H$433,MATCH($C154,'PORTIFÓLIO'!$C$4:$C$433,0)),"")</f>
        <v/>
      </c>
      <c r="I154" s="256"/>
      <c r="J154" s="218">
        <f t="shared" si="18"/>
        <v>0</v>
      </c>
      <c r="K154" s="219" t="str">
        <f t="array" ref="K154">IFERROR(I154*INDEX('PORTIFÓLIO'!$S$4:$S$433,MATCH($C154,'PORTIFÓLIO'!$C$4:$C$433,0)),"")</f>
        <v/>
      </c>
      <c r="L154" s="219" t="str">
        <f t="array" ref="L154">IFERROR(J154*INDEX('PORTIFÓLIO'!$S$4:$S$433,MATCH($C154,'PORTIFÓLIO'!$C$4:$C$433,0)),"")</f>
        <v/>
      </c>
      <c r="M154" s="220"/>
      <c r="N154" s="220"/>
      <c r="O154" s="220"/>
      <c r="P154" s="220"/>
      <c r="Q154" s="220"/>
      <c r="R154" s="220"/>
      <c r="S154" s="220"/>
      <c r="T154" s="220"/>
      <c r="U154" s="220"/>
      <c r="V154" s="220"/>
      <c r="W154" s="220"/>
    </row>
    <row r="155" ht="15.75" customHeight="1" outlineLevel="1">
      <c r="A155" s="211"/>
      <c r="B155" s="212"/>
      <c r="C155" s="213"/>
      <c r="D155" s="214" t="str">
        <f>IFERROR(VLOOKUP($C155,'PORTIFÓLIO'!C:V,2,0),"")</f>
        <v/>
      </c>
      <c r="E155" s="211" t="str">
        <f>IFERROR(VLOOKUP($C155,'PORTIFÓLIO'!C:V,3,0),"")</f>
        <v/>
      </c>
      <c r="F155" s="211" t="str">
        <f>IFERROR(VLOOKUP($C155,'PORTIFÓLIO'!C:V,4,0),"")</f>
        <v/>
      </c>
      <c r="G155" s="215" t="str">
        <f>IFERROR(VLOOKUP($C155,'PORTIFÓLIO'!C:V,5,0),"")</f>
        <v/>
      </c>
      <c r="H155" s="254" t="str">
        <f t="array" ref="H155">IFERROR(INDEX('PORTIFÓLIO'!$H$4:$H$433,MATCH($C155,'PORTIFÓLIO'!$C$4:$C$433,0)),"")</f>
        <v/>
      </c>
      <c r="I155" s="256"/>
      <c r="J155" s="218">
        <f t="shared" si="18"/>
        <v>0</v>
      </c>
      <c r="K155" s="219" t="str">
        <f t="array" ref="K155">IFERROR(I155*INDEX('PORTIFÓLIO'!$S$4:$S$433,MATCH($C155,'PORTIFÓLIO'!$C$4:$C$433,0)),"")</f>
        <v/>
      </c>
      <c r="L155" s="219" t="str">
        <f t="array" ref="L155">IFERROR(J155*INDEX('PORTIFÓLIO'!$S$4:$S$433,MATCH($C155,'PORTIFÓLIO'!$C$4:$C$433,0)),"")</f>
        <v/>
      </c>
      <c r="M155" s="220"/>
      <c r="N155" s="220"/>
      <c r="O155" s="220"/>
      <c r="P155" s="220"/>
      <c r="Q155" s="220"/>
      <c r="R155" s="220"/>
      <c r="S155" s="220"/>
      <c r="T155" s="220"/>
      <c r="U155" s="220"/>
      <c r="V155" s="220"/>
      <c r="W155" s="220"/>
    </row>
    <row r="156" ht="15.75" customHeight="1" outlineLevel="1">
      <c r="A156" s="211"/>
      <c r="B156" s="212"/>
      <c r="C156" s="213"/>
      <c r="D156" s="214" t="str">
        <f>IFERROR(VLOOKUP($C156,'PORTIFÓLIO'!C:V,2,0),"")</f>
        <v/>
      </c>
      <c r="E156" s="211" t="str">
        <f>IFERROR(VLOOKUP($C156,'PORTIFÓLIO'!C:V,3,0),"")</f>
        <v/>
      </c>
      <c r="F156" s="211" t="str">
        <f>IFERROR(VLOOKUP($C156,'PORTIFÓLIO'!C:V,4,0),"")</f>
        <v/>
      </c>
      <c r="G156" s="215" t="str">
        <f>IFERROR(VLOOKUP($C156,'PORTIFÓLIO'!C:V,5,0),"")</f>
        <v/>
      </c>
      <c r="H156" s="254" t="str">
        <f t="array" ref="H156">IFERROR(INDEX('PORTIFÓLIO'!$H$4:$H$433,MATCH($C156,'PORTIFÓLIO'!$C$4:$C$433,0)),"")</f>
        <v/>
      </c>
      <c r="I156" s="256"/>
      <c r="J156" s="218">
        <f t="shared" si="18"/>
        <v>0</v>
      </c>
      <c r="K156" s="219" t="str">
        <f t="array" ref="K156">IFERROR(I156*INDEX('PORTIFÓLIO'!$S$4:$S$433,MATCH($C156,'PORTIFÓLIO'!$C$4:$C$433,0)),"")</f>
        <v/>
      </c>
      <c r="L156" s="219" t="str">
        <f t="array" ref="L156">IFERROR(J156*INDEX('PORTIFÓLIO'!$S$4:$S$433,MATCH($C156,'PORTIFÓLIO'!$C$4:$C$433,0)),"")</f>
        <v/>
      </c>
      <c r="M156" s="220"/>
      <c r="N156" s="220"/>
      <c r="O156" s="220"/>
      <c r="P156" s="220"/>
      <c r="Q156" s="220"/>
      <c r="R156" s="220"/>
      <c r="S156" s="220"/>
      <c r="T156" s="220"/>
      <c r="U156" s="220"/>
      <c r="V156" s="220"/>
      <c r="W156" s="220"/>
    </row>
    <row r="157" ht="15.75" customHeight="1" outlineLevel="1">
      <c r="A157" s="211"/>
      <c r="B157" s="212"/>
      <c r="C157" s="213"/>
      <c r="D157" s="214" t="str">
        <f>IFERROR(VLOOKUP($C157,'PORTIFÓLIO'!C:V,2,0),"")</f>
        <v/>
      </c>
      <c r="E157" s="211" t="str">
        <f>IFERROR(VLOOKUP($C157,'PORTIFÓLIO'!C:V,3,0),"")</f>
        <v/>
      </c>
      <c r="F157" s="211" t="str">
        <f>IFERROR(VLOOKUP($C157,'PORTIFÓLIO'!C:V,4,0),"")</f>
        <v/>
      </c>
      <c r="G157" s="215" t="str">
        <f>IFERROR(VLOOKUP($C157,'PORTIFÓLIO'!C:V,5,0),"")</f>
        <v/>
      </c>
      <c r="H157" s="254" t="str">
        <f t="array" ref="H157">IFERROR(INDEX('PORTIFÓLIO'!$H$4:$H$433,MATCH($C157,'PORTIFÓLIO'!$C$4:$C$433,0)),"")</f>
        <v/>
      </c>
      <c r="I157" s="255"/>
      <c r="J157" s="218">
        <f t="shared" si="18"/>
        <v>0</v>
      </c>
      <c r="K157" s="219" t="str">
        <f t="array" ref="K157">IFERROR(I157*INDEX('PORTIFÓLIO'!$S$4:$S$433,MATCH($C157,'PORTIFÓLIO'!$C$4:$C$433,0)),"")</f>
        <v/>
      </c>
      <c r="L157" s="219" t="str">
        <f t="array" ref="L157">IFERROR(J157*INDEX('PORTIFÓLIO'!$S$4:$S$433,MATCH($C157,'PORTIFÓLIO'!$C$4:$C$433,0)),"")</f>
        <v/>
      </c>
      <c r="M157" s="220"/>
      <c r="N157" s="220"/>
      <c r="O157" s="220"/>
      <c r="P157" s="220"/>
      <c r="Q157" s="220"/>
      <c r="R157" s="220"/>
      <c r="S157" s="220"/>
      <c r="T157" s="220"/>
      <c r="U157" s="220"/>
      <c r="V157" s="220"/>
      <c r="W157" s="220"/>
    </row>
    <row r="158" ht="15.75" customHeight="1" outlineLevel="1">
      <c r="A158" s="211"/>
      <c r="B158" s="212"/>
      <c r="C158" s="213"/>
      <c r="D158" s="214" t="str">
        <f>IFERROR(VLOOKUP($C158,'PORTIFÓLIO'!C:V,2,0),"")</f>
        <v/>
      </c>
      <c r="E158" s="211" t="str">
        <f>IFERROR(VLOOKUP($C158,'PORTIFÓLIO'!C:V,3,0),"")</f>
        <v/>
      </c>
      <c r="F158" s="211" t="str">
        <f>IFERROR(VLOOKUP($C158,'PORTIFÓLIO'!C:V,4,0),"")</f>
        <v/>
      </c>
      <c r="G158" s="215" t="str">
        <f>IFERROR(VLOOKUP($C158,'PORTIFÓLIO'!C:V,5,0),"")</f>
        <v/>
      </c>
      <c r="H158" s="254" t="str">
        <f t="array" ref="H158">IFERROR(INDEX('PORTIFÓLIO'!$H$4:$H$433,MATCH($C158,'PORTIFÓLIO'!$C$4:$C$433,0)),"")</f>
        <v/>
      </c>
      <c r="I158" s="256"/>
      <c r="J158" s="218">
        <f t="shared" si="18"/>
        <v>0</v>
      </c>
      <c r="K158" s="219" t="str">
        <f t="array" ref="K158">IFERROR(I158*INDEX('PORTIFÓLIO'!$S$4:$S$433,MATCH($C158,'PORTIFÓLIO'!$C$4:$C$433,0)),"")</f>
        <v/>
      </c>
      <c r="L158" s="219" t="str">
        <f t="array" ref="L158">IFERROR(J158*INDEX('PORTIFÓLIO'!$S$4:$S$433,MATCH($C158,'PORTIFÓLIO'!$C$4:$C$433,0)),"")</f>
        <v/>
      </c>
      <c r="M158" s="220"/>
      <c r="N158" s="220"/>
      <c r="O158" s="220"/>
      <c r="P158" s="220"/>
      <c r="Q158" s="220"/>
      <c r="R158" s="220"/>
      <c r="S158" s="220"/>
      <c r="T158" s="220"/>
      <c r="U158" s="220"/>
      <c r="V158" s="220"/>
      <c r="W158" s="220"/>
    </row>
    <row r="159" ht="15.75" customHeight="1" outlineLevel="1">
      <c r="A159" s="211"/>
      <c r="B159" s="212"/>
      <c r="C159" s="213"/>
      <c r="D159" s="214" t="str">
        <f>IFERROR(VLOOKUP($C159,'PORTIFÓLIO'!C:V,2,0),"")</f>
        <v/>
      </c>
      <c r="E159" s="211" t="str">
        <f>IFERROR(VLOOKUP($C159,'PORTIFÓLIO'!C:V,3,0),"")</f>
        <v/>
      </c>
      <c r="F159" s="211" t="str">
        <f>IFERROR(VLOOKUP($C159,'PORTIFÓLIO'!C:V,4,0),"")</f>
        <v/>
      </c>
      <c r="G159" s="215" t="str">
        <f>IFERROR(VLOOKUP($C159,'PORTIFÓLIO'!C:V,5,0),"")</f>
        <v/>
      </c>
      <c r="H159" s="254" t="str">
        <f t="array" ref="H159">IFERROR(INDEX('PORTIFÓLIO'!$H$4:$H$433,MATCH($C159,'PORTIFÓLIO'!$C$4:$C$433,0)),"")</f>
        <v/>
      </c>
      <c r="I159" s="256"/>
      <c r="J159" s="218">
        <f t="shared" si="18"/>
        <v>0</v>
      </c>
      <c r="K159" s="219" t="str">
        <f t="array" ref="K159">IFERROR(I159*INDEX('PORTIFÓLIO'!$S$4:$S$433,MATCH($C159,'PORTIFÓLIO'!$C$4:$C$433,0)),"")</f>
        <v/>
      </c>
      <c r="L159" s="219" t="str">
        <f t="array" ref="L159">IFERROR(J159*INDEX('PORTIFÓLIO'!$S$4:$S$433,MATCH($C159,'PORTIFÓLIO'!$C$4:$C$433,0)),"")</f>
        <v/>
      </c>
      <c r="M159" s="220"/>
      <c r="N159" s="220"/>
      <c r="O159" s="220"/>
      <c r="P159" s="220"/>
      <c r="Q159" s="220"/>
      <c r="R159" s="220"/>
      <c r="S159" s="220"/>
      <c r="T159" s="220"/>
      <c r="U159" s="220"/>
      <c r="V159" s="220"/>
      <c r="W159" s="220"/>
    </row>
    <row r="160" ht="15.75" customHeight="1" outlineLevel="1">
      <c r="A160" s="211"/>
      <c r="B160" s="212"/>
      <c r="C160" s="213"/>
      <c r="D160" s="214" t="str">
        <f>IFERROR(VLOOKUP($C160,'PORTIFÓLIO'!C:V,2,0),"")</f>
        <v/>
      </c>
      <c r="E160" s="211" t="str">
        <f>IFERROR(VLOOKUP($C160,'PORTIFÓLIO'!C:V,3,0),"")</f>
        <v/>
      </c>
      <c r="F160" s="211" t="str">
        <f>IFERROR(VLOOKUP($C160,'PORTIFÓLIO'!C:V,4,0),"")</f>
        <v/>
      </c>
      <c r="G160" s="215" t="str">
        <f>IFERROR(VLOOKUP($C160,'PORTIFÓLIO'!C:V,5,0),"")</f>
        <v/>
      </c>
      <c r="H160" s="254" t="str">
        <f t="array" ref="H160">IFERROR(INDEX('PORTIFÓLIO'!$H$4:$H$433,MATCH($C160,'PORTIFÓLIO'!$C$4:$C$433,0)),"")</f>
        <v/>
      </c>
      <c r="I160" s="256"/>
      <c r="J160" s="218">
        <f t="shared" si="18"/>
        <v>0</v>
      </c>
      <c r="K160" s="219" t="str">
        <f t="array" ref="K160">IFERROR(I160*INDEX('PORTIFÓLIO'!$S$4:$S$433,MATCH($C160,'PORTIFÓLIO'!$C$4:$C$433,0)),"")</f>
        <v/>
      </c>
      <c r="L160" s="219" t="str">
        <f t="array" ref="L160">IFERROR(J160*INDEX('PORTIFÓLIO'!$S$4:$S$433,MATCH($C160,'PORTIFÓLIO'!$C$4:$C$433,0)),"")</f>
        <v/>
      </c>
      <c r="M160" s="220"/>
      <c r="N160" s="220"/>
      <c r="O160" s="220"/>
      <c r="P160" s="220"/>
      <c r="Q160" s="220"/>
      <c r="R160" s="220"/>
      <c r="S160" s="220"/>
      <c r="T160" s="220"/>
      <c r="U160" s="220"/>
      <c r="V160" s="220"/>
      <c r="W160" s="220"/>
    </row>
    <row r="161" ht="15.75" customHeight="1" outlineLevel="1">
      <c r="A161" s="211"/>
      <c r="B161" s="212"/>
      <c r="C161" s="213"/>
      <c r="D161" s="214" t="str">
        <f>IFERROR(VLOOKUP($C161,'PORTIFÓLIO'!C:V,2,0),"")</f>
        <v/>
      </c>
      <c r="E161" s="211" t="str">
        <f>IFERROR(VLOOKUP($C161,'PORTIFÓLIO'!C:V,3,0),"")</f>
        <v/>
      </c>
      <c r="F161" s="211" t="str">
        <f>IFERROR(VLOOKUP($C161,'PORTIFÓLIO'!C:V,4,0),"")</f>
        <v/>
      </c>
      <c r="G161" s="215" t="str">
        <f>IFERROR(VLOOKUP($C161,'PORTIFÓLIO'!C:V,5,0),"")</f>
        <v/>
      </c>
      <c r="H161" s="254" t="str">
        <f t="array" ref="H161">IFERROR(INDEX('PORTIFÓLIO'!$H$4:$H$433,MATCH($C161,'PORTIFÓLIO'!$C$4:$C$433,0)),"")</f>
        <v/>
      </c>
      <c r="I161" s="256"/>
      <c r="J161" s="218">
        <f t="shared" si="18"/>
        <v>0</v>
      </c>
      <c r="K161" s="219" t="str">
        <f t="array" ref="K161">IFERROR(I161*INDEX('PORTIFÓLIO'!$S$4:$S$433,MATCH($C161,'PORTIFÓLIO'!$C$4:$C$433,0)),"")</f>
        <v/>
      </c>
      <c r="L161" s="219" t="str">
        <f t="array" ref="L161">IFERROR(J161*INDEX('PORTIFÓLIO'!$S$4:$S$433,MATCH($C161,'PORTIFÓLIO'!$C$4:$C$433,0)),"")</f>
        <v/>
      </c>
      <c r="M161" s="220"/>
      <c r="N161" s="220"/>
      <c r="O161" s="220"/>
      <c r="P161" s="220"/>
      <c r="Q161" s="220"/>
      <c r="R161" s="220"/>
      <c r="S161" s="220"/>
      <c r="T161" s="220"/>
      <c r="U161" s="220"/>
      <c r="V161" s="220"/>
      <c r="W161" s="220"/>
    </row>
    <row r="162" ht="15.75" customHeight="1" outlineLevel="1">
      <c r="A162" s="211"/>
      <c r="B162" s="212"/>
      <c r="C162" s="213"/>
      <c r="D162" s="214" t="str">
        <f>IFERROR(VLOOKUP($C162,'PORTIFÓLIO'!C:V,2,0),"")</f>
        <v/>
      </c>
      <c r="E162" s="211" t="str">
        <f>IFERROR(VLOOKUP($C162,'PORTIFÓLIO'!C:V,3,0),"")</f>
        <v/>
      </c>
      <c r="F162" s="211" t="str">
        <f>IFERROR(VLOOKUP($C162,'PORTIFÓLIO'!C:V,4,0),"")</f>
        <v/>
      </c>
      <c r="G162" s="215" t="str">
        <f>IFERROR(VLOOKUP($C162,'PORTIFÓLIO'!C:V,5,0),"")</f>
        <v/>
      </c>
      <c r="H162" s="254" t="str">
        <f t="array" ref="H162">IFERROR(INDEX('PORTIFÓLIO'!$H$4:$H$433,MATCH($C162,'PORTIFÓLIO'!$C$4:$C$433,0)),"")</f>
        <v/>
      </c>
      <c r="I162" s="256"/>
      <c r="J162" s="218">
        <f t="shared" si="18"/>
        <v>0</v>
      </c>
      <c r="K162" s="219" t="str">
        <f t="array" ref="K162">IFERROR(I162*INDEX('PORTIFÓLIO'!$S$4:$S$433,MATCH($C162,'PORTIFÓLIO'!$C$4:$C$433,0)),"")</f>
        <v/>
      </c>
      <c r="L162" s="219" t="str">
        <f t="array" ref="L162">IFERROR(J162*INDEX('PORTIFÓLIO'!$S$4:$S$433,MATCH($C162,'PORTIFÓLIO'!$C$4:$C$433,0)),"")</f>
        <v/>
      </c>
      <c r="M162" s="220"/>
      <c r="N162" s="220"/>
      <c r="O162" s="220"/>
      <c r="P162" s="220"/>
      <c r="Q162" s="220"/>
      <c r="R162" s="220"/>
      <c r="S162" s="220"/>
      <c r="T162" s="220"/>
      <c r="U162" s="220"/>
      <c r="V162" s="220"/>
      <c r="W162" s="220"/>
    </row>
    <row r="163" ht="15.75" customHeight="1" outlineLevel="1">
      <c r="A163" s="211"/>
      <c r="B163" s="212"/>
      <c r="C163" s="213"/>
      <c r="D163" s="214" t="str">
        <f>IFERROR(VLOOKUP($C163,'PORTIFÓLIO'!C:V,2,0),"")</f>
        <v/>
      </c>
      <c r="E163" s="211" t="str">
        <f>IFERROR(VLOOKUP($C163,'PORTIFÓLIO'!C:V,3,0),"")</f>
        <v/>
      </c>
      <c r="F163" s="211" t="str">
        <f>IFERROR(VLOOKUP($C163,'PORTIFÓLIO'!C:V,4,0),"")</f>
        <v/>
      </c>
      <c r="G163" s="215" t="str">
        <f>IFERROR(VLOOKUP($C163,'PORTIFÓLIO'!C:V,5,0),"")</f>
        <v/>
      </c>
      <c r="H163" s="254" t="str">
        <f t="array" ref="H163">IFERROR(INDEX('PORTIFÓLIO'!$H$4:$H$433,MATCH($C163,'PORTIFÓLIO'!$C$4:$C$433,0)),"")</f>
        <v/>
      </c>
      <c r="I163" s="256"/>
      <c r="J163" s="218">
        <f t="shared" si="18"/>
        <v>0</v>
      </c>
      <c r="K163" s="219" t="str">
        <f t="array" ref="K163">IFERROR(I163*INDEX('PORTIFÓLIO'!$S$4:$S$433,MATCH($C163,'PORTIFÓLIO'!$C$4:$C$433,0)),"")</f>
        <v/>
      </c>
      <c r="L163" s="219" t="str">
        <f t="array" ref="L163">IFERROR(J163*INDEX('PORTIFÓLIO'!$S$4:$S$433,MATCH($C163,'PORTIFÓLIO'!$C$4:$C$433,0)),"")</f>
        <v/>
      </c>
      <c r="M163" s="220"/>
      <c r="N163" s="220"/>
      <c r="O163" s="220"/>
      <c r="P163" s="220"/>
      <c r="Q163" s="220"/>
      <c r="R163" s="220"/>
      <c r="S163" s="220"/>
      <c r="T163" s="220"/>
      <c r="U163" s="220"/>
      <c r="V163" s="220"/>
      <c r="W163" s="220"/>
    </row>
    <row r="164" ht="15.75" customHeight="1" outlineLevel="1">
      <c r="A164" s="211"/>
      <c r="B164" s="227"/>
      <c r="C164" s="211"/>
      <c r="D164" s="214" t="str">
        <f>IFERROR(VLOOKUP($C164,'PORTIFÓLIO'!C:V,2,0),"")</f>
        <v/>
      </c>
      <c r="E164" s="211" t="str">
        <f>IFERROR(VLOOKUP($C164,'PORTIFÓLIO'!C:V,3,0),"")</f>
        <v/>
      </c>
      <c r="F164" s="211" t="str">
        <f>IFERROR(VLOOKUP($C164,'PORTIFÓLIO'!C:V,4,0),"")</f>
        <v/>
      </c>
      <c r="G164" s="215" t="str">
        <f>IFERROR(VLOOKUP($C164,'PORTIFÓLIO'!C:V,5,0),"")</f>
        <v/>
      </c>
      <c r="H164" s="254" t="str">
        <f t="array" ref="H164">IFERROR(INDEX('PORTIFÓLIO'!$H$4:$H$433,MATCH($C164,'PORTIFÓLIO'!$C$4:$C$433,0)),"")</f>
        <v/>
      </c>
      <c r="I164" s="256"/>
      <c r="J164" s="218"/>
      <c r="K164" s="219" t="str">
        <f t="array" ref="K164">IFERROR(I164*INDEX('PORTIFÓLIO'!$S$4:$S$433,MATCH($C164,'PORTIFÓLIO'!$C$4:$C$433,0)),"")</f>
        <v/>
      </c>
      <c r="L164" s="219" t="str">
        <f t="array" ref="L164">IFERROR(J164*INDEX('PORTIFÓLIO'!$S$4:$S$433,MATCH($C164,'PORTIFÓLIO'!$C$4:$C$433,0)),"")</f>
        <v/>
      </c>
      <c r="M164" s="220"/>
      <c r="N164" s="220"/>
      <c r="O164" s="220"/>
      <c r="P164" s="220"/>
      <c r="Q164" s="220"/>
      <c r="R164" s="220"/>
      <c r="S164" s="220"/>
      <c r="T164" s="220"/>
      <c r="U164" s="220"/>
      <c r="V164" s="220"/>
      <c r="W164" s="220"/>
    </row>
    <row r="165" ht="15.75" customHeight="1">
      <c r="A165" s="229" t="s">
        <v>1193</v>
      </c>
      <c r="B165" s="230"/>
      <c r="C165" s="231"/>
      <c r="D165" s="232"/>
      <c r="E165" s="231"/>
      <c r="F165" s="231"/>
      <c r="G165" s="233"/>
      <c r="H165" s="233"/>
      <c r="I165" s="258"/>
      <c r="J165" s="236"/>
      <c r="K165" s="237">
        <f t="shared" ref="K165:L165" si="19">SUBTOTAL(9,K166:K179)</f>
        <v>50.69456</v>
      </c>
      <c r="L165" s="237">
        <f t="shared" si="19"/>
        <v>11152.8032</v>
      </c>
      <c r="M165" s="220"/>
      <c r="N165" s="220"/>
      <c r="O165" s="220"/>
      <c r="P165" s="220"/>
      <c r="Q165" s="220"/>
      <c r="R165" s="220"/>
      <c r="S165" s="220"/>
      <c r="T165" s="220"/>
      <c r="U165" s="220"/>
      <c r="V165" s="220"/>
      <c r="W165" s="220"/>
    </row>
    <row r="166" ht="15.75" customHeight="1" outlineLevel="1">
      <c r="A166" s="213"/>
      <c r="B166" s="212" t="s">
        <v>1</v>
      </c>
      <c r="C166" s="213" t="s">
        <v>742</v>
      </c>
      <c r="D166" s="214" t="str">
        <f>IFERROR(VLOOKUP($C166,'PORTIFÓLIO'!C:V,2,0),"")</f>
        <v>DIQUATE</v>
      </c>
      <c r="E166" s="211">
        <f>IFERROR(VLOOKUP($C166,'PORTIFÓLIO'!C:V,3,0),"")</f>
        <v>200</v>
      </c>
      <c r="F166" s="211" t="str">
        <f>IFERROR(VLOOKUP($C166,'PORTIFÓLIO'!C:V,4,0),"")</f>
        <v>L</v>
      </c>
      <c r="G166" s="225" t="str">
        <f>IFERROR(VLOOKUP($C166,'PORTIFÓLIO'!C:V,5,0),"")</f>
        <v>📄 Ver bula</v>
      </c>
      <c r="H166" s="254">
        <f t="array" ref="H166">IFERROR(INDEX('PORTIFÓLIO'!$H$4:$H$433,MATCH($C166,'PORTIFÓLIO'!$C$4:$C$433,0)),"")</f>
        <v>2</v>
      </c>
      <c r="I166" s="255">
        <v>2.0</v>
      </c>
      <c r="J166" s="218">
        <f t="shared" ref="J166:J181" si="20">I166*$B$2</f>
        <v>440</v>
      </c>
      <c r="K166" s="219">
        <f t="array" ref="K166">IFERROR(I166*INDEX('PORTIFÓLIO'!$S$4:$S$433,MATCH($C166,'PORTIFÓLIO'!$C$4:$C$433,0)),"")</f>
        <v>47.48856</v>
      </c>
      <c r="L166" s="219">
        <f t="array" ref="L166">IFERROR(J166*INDEX('PORTIFÓLIO'!$S$4:$S$433,MATCH($C166,'PORTIFÓLIO'!$C$4:$C$433,0)),"")</f>
        <v>10447.4832</v>
      </c>
      <c r="M166" s="220"/>
      <c r="N166" s="220"/>
      <c r="O166" s="220"/>
      <c r="P166" s="220"/>
      <c r="Q166" s="220"/>
      <c r="R166" s="220"/>
      <c r="S166" s="220"/>
      <c r="T166" s="220"/>
      <c r="U166" s="220"/>
      <c r="V166" s="220"/>
      <c r="W166" s="220"/>
    </row>
    <row r="167" ht="15.75" customHeight="1" outlineLevel="1">
      <c r="A167" s="211"/>
      <c r="B167" s="212" t="s">
        <v>6</v>
      </c>
      <c r="C167" s="213" t="s">
        <v>354</v>
      </c>
      <c r="D167" s="214" t="str">
        <f>IFERROR(VLOOKUP($C167,'PORTIFÓLIO'!C:V,2,0),"")</f>
        <v>OLEO MINERAL</v>
      </c>
      <c r="E167" s="211">
        <f>IFERROR(VLOOKUP($C167,'PORTIFÓLIO'!C:V,3,0),"")</f>
        <v>761</v>
      </c>
      <c r="F167" s="211" t="str">
        <f>IFERROR(VLOOKUP($C167,'PORTIFÓLIO'!C:V,4,0),"")</f>
        <v>L</v>
      </c>
      <c r="G167" s="225" t="str">
        <f>IFERROR(VLOOKUP($C167,'PORTIFÓLIO'!C:V,5,0),"")</f>
        <v>📄 Ver bula</v>
      </c>
      <c r="H167" s="254">
        <f t="array" ref="H167">IFERROR(INDEX('PORTIFÓLIO'!$H$4:$H$433,MATCH($C167,'PORTIFÓLIO'!$C$4:$C$433,0)),"")</f>
        <v>0.2</v>
      </c>
      <c r="I167" s="255">
        <v>0.2</v>
      </c>
      <c r="J167" s="218">
        <f t="shared" si="20"/>
        <v>44</v>
      </c>
      <c r="K167" s="219">
        <f t="array" ref="K167">IFERROR(I167*INDEX('PORTIFÓLIO'!$S$4:$S$433,MATCH($C167,'PORTIFÓLIO'!$C$4:$C$433,0)),"")</f>
        <v>3.206</v>
      </c>
      <c r="L167" s="219">
        <f t="array" ref="L167">IFERROR(J167*INDEX('PORTIFÓLIO'!$S$4:$S$433,MATCH($C167,'PORTIFÓLIO'!$C$4:$C$433,0)),"")</f>
        <v>705.32</v>
      </c>
      <c r="M167" s="220"/>
      <c r="N167" s="220"/>
      <c r="O167" s="220"/>
      <c r="P167" s="220"/>
      <c r="Q167" s="220"/>
      <c r="R167" s="220"/>
      <c r="S167" s="220"/>
      <c r="T167" s="220"/>
      <c r="U167" s="220"/>
      <c r="V167" s="220"/>
      <c r="W167" s="220"/>
    </row>
    <row r="168" ht="15.75" customHeight="1" outlineLevel="1">
      <c r="A168" s="211"/>
      <c r="B168" s="212"/>
      <c r="C168" s="213"/>
      <c r="D168" s="214" t="str">
        <f>IFERROR(VLOOKUP($C168,'PORTIFÓLIO'!C:V,2,0),"")</f>
        <v/>
      </c>
      <c r="E168" s="211" t="str">
        <f>IFERROR(VLOOKUP($C168,'PORTIFÓLIO'!C:V,3,0),"")</f>
        <v/>
      </c>
      <c r="F168" s="211" t="str">
        <f>IFERROR(VLOOKUP($C168,'PORTIFÓLIO'!C:V,4,0),"")</f>
        <v/>
      </c>
      <c r="G168" s="215" t="str">
        <f>IFERROR(VLOOKUP($C168,'PORTIFÓLIO'!C:V,5,0),"")</f>
        <v/>
      </c>
      <c r="H168" s="254" t="str">
        <f t="array" ref="H168">IFERROR(INDEX('PORTIFÓLIO'!$H$4:$H$433,MATCH($C168,'PORTIFÓLIO'!$C$4:$C$433,0)),"")</f>
        <v/>
      </c>
      <c r="I168" s="256"/>
      <c r="J168" s="218">
        <f t="shared" si="20"/>
        <v>0</v>
      </c>
      <c r="K168" s="219" t="str">
        <f t="array" ref="K168">IFERROR(I168*INDEX('PORTIFÓLIO'!$S$4:$S$433,MATCH($C168,'PORTIFÓLIO'!$C$4:$C$433,0)),"")</f>
        <v/>
      </c>
      <c r="L168" s="219" t="str">
        <f t="array" ref="L168">IFERROR(J168*INDEX('PORTIFÓLIO'!$S$4:$S$433,MATCH($C168,'PORTIFÓLIO'!$C$4:$C$433,0)),"")</f>
        <v/>
      </c>
      <c r="M168" s="220"/>
      <c r="N168" s="220"/>
      <c r="O168" s="220"/>
      <c r="P168" s="220"/>
      <c r="Q168" s="220"/>
      <c r="R168" s="220"/>
      <c r="S168" s="220"/>
      <c r="T168" s="220"/>
      <c r="U168" s="220"/>
      <c r="V168" s="220"/>
      <c r="W168" s="220"/>
    </row>
    <row r="169" ht="15.75" customHeight="1" outlineLevel="1">
      <c r="A169" s="211"/>
      <c r="B169" s="212"/>
      <c r="C169" s="213"/>
      <c r="D169" s="214" t="str">
        <f>IFERROR(VLOOKUP($C169,'PORTIFÓLIO'!C:V,2,0),"")</f>
        <v/>
      </c>
      <c r="E169" s="211" t="str">
        <f>IFERROR(VLOOKUP($C169,'PORTIFÓLIO'!C:V,3,0),"")</f>
        <v/>
      </c>
      <c r="F169" s="211" t="str">
        <f>IFERROR(VLOOKUP($C169,'PORTIFÓLIO'!C:V,4,0),"")</f>
        <v/>
      </c>
      <c r="G169" s="215" t="str">
        <f>IFERROR(VLOOKUP($C169,'PORTIFÓLIO'!C:V,5,0),"")</f>
        <v/>
      </c>
      <c r="H169" s="254" t="str">
        <f t="array" ref="H169">IFERROR(INDEX('PORTIFÓLIO'!$H$4:$H$433,MATCH($C169,'PORTIFÓLIO'!$C$4:$C$433,0)),"")</f>
        <v/>
      </c>
      <c r="I169" s="256"/>
      <c r="J169" s="218">
        <f t="shared" si="20"/>
        <v>0</v>
      </c>
      <c r="K169" s="219" t="str">
        <f t="array" ref="K169">IFERROR(I169*INDEX('PORTIFÓLIO'!$S$4:$S$433,MATCH($C169,'PORTIFÓLIO'!$C$4:$C$433,0)),"")</f>
        <v/>
      </c>
      <c r="L169" s="219" t="str">
        <f t="array" ref="L169">IFERROR(J169*INDEX('PORTIFÓLIO'!$S$4:$S$433,MATCH($C169,'PORTIFÓLIO'!$C$4:$C$433,0)),"")</f>
        <v/>
      </c>
      <c r="M169" s="220"/>
      <c r="N169" s="220"/>
      <c r="O169" s="220"/>
      <c r="P169" s="220"/>
      <c r="Q169" s="220"/>
      <c r="R169" s="220"/>
      <c r="S169" s="220"/>
      <c r="T169" s="220"/>
      <c r="U169" s="220"/>
      <c r="V169" s="220"/>
      <c r="W169" s="220"/>
    </row>
    <row r="170" ht="15.75" customHeight="1" outlineLevel="1">
      <c r="A170" s="211"/>
      <c r="B170" s="212"/>
      <c r="C170" s="213"/>
      <c r="D170" s="214" t="str">
        <f>IFERROR(VLOOKUP($C170,'PORTIFÓLIO'!C:V,2,0),"")</f>
        <v/>
      </c>
      <c r="E170" s="211" t="str">
        <f>IFERROR(VLOOKUP($C170,'PORTIFÓLIO'!C:V,3,0),"")</f>
        <v/>
      </c>
      <c r="F170" s="211" t="str">
        <f>IFERROR(VLOOKUP($C170,'PORTIFÓLIO'!C:V,4,0),"")</f>
        <v/>
      </c>
      <c r="G170" s="215" t="str">
        <f>IFERROR(VLOOKUP($C170,'PORTIFÓLIO'!C:V,5,0),"")</f>
        <v/>
      </c>
      <c r="H170" s="254" t="str">
        <f t="array" ref="H170">IFERROR(INDEX('PORTIFÓLIO'!$H$4:$H$433,MATCH($C170,'PORTIFÓLIO'!$C$4:$C$433,0)),"")</f>
        <v/>
      </c>
      <c r="I170" s="256"/>
      <c r="J170" s="218">
        <f t="shared" si="20"/>
        <v>0</v>
      </c>
      <c r="K170" s="219" t="str">
        <f t="array" ref="K170">IFERROR(I170*INDEX('PORTIFÓLIO'!$S$4:$S$433,MATCH($C170,'PORTIFÓLIO'!$C$4:$C$433,0)),"")</f>
        <v/>
      </c>
      <c r="L170" s="219" t="str">
        <f t="array" ref="L170">IFERROR(J170*INDEX('PORTIFÓLIO'!$S$4:$S$433,MATCH($C170,'PORTIFÓLIO'!$C$4:$C$433,0)),"")</f>
        <v/>
      </c>
      <c r="M170" s="220"/>
      <c r="N170" s="220"/>
      <c r="O170" s="220"/>
      <c r="P170" s="220"/>
      <c r="Q170" s="220"/>
      <c r="R170" s="220"/>
      <c r="S170" s="220"/>
      <c r="T170" s="220"/>
      <c r="U170" s="220"/>
      <c r="V170" s="220"/>
      <c r="W170" s="220"/>
    </row>
    <row r="171" ht="15.75" customHeight="1" outlineLevel="1">
      <c r="A171" s="211"/>
      <c r="B171" s="212"/>
      <c r="C171" s="213"/>
      <c r="D171" s="214" t="str">
        <f>IFERROR(VLOOKUP($C171,'PORTIFÓLIO'!C:V,2,0),"")</f>
        <v/>
      </c>
      <c r="E171" s="211" t="str">
        <f>IFERROR(VLOOKUP($C171,'PORTIFÓLIO'!C:V,3,0),"")</f>
        <v/>
      </c>
      <c r="F171" s="211" t="str">
        <f>IFERROR(VLOOKUP($C171,'PORTIFÓLIO'!C:V,4,0),"")</f>
        <v/>
      </c>
      <c r="G171" s="215" t="str">
        <f>IFERROR(VLOOKUP($C171,'PORTIFÓLIO'!C:V,5,0),"")</f>
        <v/>
      </c>
      <c r="H171" s="254" t="str">
        <f t="array" ref="H171">IFERROR(INDEX('PORTIFÓLIO'!$H$4:$H$433,MATCH($C171,'PORTIFÓLIO'!$C$4:$C$433,0)),"")</f>
        <v/>
      </c>
      <c r="I171" s="256"/>
      <c r="J171" s="218">
        <f t="shared" si="20"/>
        <v>0</v>
      </c>
      <c r="K171" s="219" t="str">
        <f t="array" ref="K171">IFERROR(I171*INDEX('PORTIFÓLIO'!$S$4:$S$433,MATCH($C171,'PORTIFÓLIO'!$C$4:$C$433,0)),"")</f>
        <v/>
      </c>
      <c r="L171" s="219" t="str">
        <f t="array" ref="L171">IFERROR(J171*INDEX('PORTIFÓLIO'!$S$4:$S$433,MATCH($C171,'PORTIFÓLIO'!$C$4:$C$433,0)),"")</f>
        <v/>
      </c>
      <c r="M171" s="220"/>
      <c r="N171" s="220"/>
      <c r="O171" s="220"/>
      <c r="P171" s="220"/>
      <c r="Q171" s="220"/>
      <c r="R171" s="220"/>
      <c r="S171" s="220"/>
      <c r="T171" s="220"/>
      <c r="U171" s="220"/>
      <c r="V171" s="220"/>
      <c r="W171" s="220"/>
    </row>
    <row r="172" ht="15.75" customHeight="1" outlineLevel="1">
      <c r="A172" s="211"/>
      <c r="B172" s="212"/>
      <c r="C172" s="213"/>
      <c r="D172" s="214" t="str">
        <f>IFERROR(VLOOKUP($C172,'PORTIFÓLIO'!C:V,2,0),"")</f>
        <v/>
      </c>
      <c r="E172" s="211" t="str">
        <f>IFERROR(VLOOKUP($C172,'PORTIFÓLIO'!C:V,3,0),"")</f>
        <v/>
      </c>
      <c r="F172" s="211" t="str">
        <f>IFERROR(VLOOKUP($C172,'PORTIFÓLIO'!C:V,4,0),"")</f>
        <v/>
      </c>
      <c r="G172" s="215" t="str">
        <f>IFERROR(VLOOKUP($C172,'PORTIFÓLIO'!C:V,5,0),"")</f>
        <v/>
      </c>
      <c r="H172" s="254" t="str">
        <f t="array" ref="H172">IFERROR(INDEX('PORTIFÓLIO'!$H$4:$H$433,MATCH($C172,'PORTIFÓLIO'!$C$4:$C$433,0)),"")</f>
        <v/>
      </c>
      <c r="I172" s="256"/>
      <c r="J172" s="218">
        <f t="shared" si="20"/>
        <v>0</v>
      </c>
      <c r="K172" s="219" t="str">
        <f t="array" ref="K172">IFERROR(I172*INDEX('PORTIFÓLIO'!$S$4:$S$433,MATCH($C172,'PORTIFÓLIO'!$C$4:$C$433,0)),"")</f>
        <v/>
      </c>
      <c r="L172" s="219" t="str">
        <f t="array" ref="L172">IFERROR(J172*INDEX('PORTIFÓLIO'!$S$4:$S$433,MATCH($C172,'PORTIFÓLIO'!$C$4:$C$433,0)),"")</f>
        <v/>
      </c>
      <c r="M172" s="220"/>
      <c r="N172" s="220"/>
      <c r="O172" s="220"/>
      <c r="P172" s="220"/>
      <c r="Q172" s="220"/>
      <c r="R172" s="220"/>
      <c r="S172" s="220"/>
      <c r="T172" s="220"/>
      <c r="U172" s="220"/>
      <c r="V172" s="220"/>
      <c r="W172" s="220"/>
    </row>
    <row r="173" ht="15.75" customHeight="1" outlineLevel="1">
      <c r="A173" s="211"/>
      <c r="B173" s="212"/>
      <c r="C173" s="213"/>
      <c r="D173" s="214" t="str">
        <f>IFERROR(VLOOKUP($C173,'PORTIFÓLIO'!C:V,2,0),"")</f>
        <v/>
      </c>
      <c r="E173" s="211" t="str">
        <f>IFERROR(VLOOKUP($C173,'PORTIFÓLIO'!C:V,3,0),"")</f>
        <v/>
      </c>
      <c r="F173" s="211" t="str">
        <f>IFERROR(VLOOKUP($C173,'PORTIFÓLIO'!C:V,4,0),"")</f>
        <v/>
      </c>
      <c r="G173" s="215" t="str">
        <f>IFERROR(VLOOKUP($C173,'PORTIFÓLIO'!C:V,5,0),"")</f>
        <v/>
      </c>
      <c r="H173" s="254" t="str">
        <f t="array" ref="H173">IFERROR(INDEX('PORTIFÓLIO'!$H$4:$H$433,MATCH($C173,'PORTIFÓLIO'!$C$4:$C$433,0)),"")</f>
        <v/>
      </c>
      <c r="I173" s="256"/>
      <c r="J173" s="218">
        <f t="shared" si="20"/>
        <v>0</v>
      </c>
      <c r="K173" s="219" t="str">
        <f t="array" ref="K173">IFERROR(I173*INDEX('PORTIFÓLIO'!$S$4:$S$433,MATCH($C173,'PORTIFÓLIO'!$C$4:$C$433,0)),"")</f>
        <v/>
      </c>
      <c r="L173" s="219" t="str">
        <f t="array" ref="L173">IFERROR(J173*INDEX('PORTIFÓLIO'!$S$4:$S$433,MATCH($C173,'PORTIFÓLIO'!$C$4:$C$433,0)),"")</f>
        <v/>
      </c>
      <c r="M173" s="220"/>
      <c r="N173" s="220"/>
      <c r="O173" s="220"/>
      <c r="P173" s="220"/>
      <c r="Q173" s="220"/>
      <c r="R173" s="220"/>
      <c r="S173" s="220"/>
      <c r="T173" s="220"/>
      <c r="U173" s="220"/>
      <c r="V173" s="220"/>
      <c r="W173" s="220"/>
    </row>
    <row r="174" ht="15.75" customHeight="1" outlineLevel="1">
      <c r="A174" s="211"/>
      <c r="B174" s="212"/>
      <c r="C174" s="213"/>
      <c r="D174" s="214" t="str">
        <f>IFERROR(VLOOKUP($C174,'PORTIFÓLIO'!C:V,2,0),"")</f>
        <v/>
      </c>
      <c r="E174" s="211" t="str">
        <f>IFERROR(VLOOKUP($C174,'PORTIFÓLIO'!C:V,3,0),"")</f>
        <v/>
      </c>
      <c r="F174" s="211" t="str">
        <f>IFERROR(VLOOKUP($C174,'PORTIFÓLIO'!C:V,4,0),"")</f>
        <v/>
      </c>
      <c r="G174" s="215" t="str">
        <f>IFERROR(VLOOKUP($C174,'PORTIFÓLIO'!C:V,5,0),"")</f>
        <v/>
      </c>
      <c r="H174" s="254" t="str">
        <f t="array" ref="H174">IFERROR(INDEX('PORTIFÓLIO'!$H$4:$H$433,MATCH($C174,'PORTIFÓLIO'!$C$4:$C$433,0)),"")</f>
        <v/>
      </c>
      <c r="I174" s="255"/>
      <c r="J174" s="218">
        <f t="shared" si="20"/>
        <v>0</v>
      </c>
      <c r="K174" s="219" t="str">
        <f t="array" ref="K174">IFERROR(I174*INDEX('PORTIFÓLIO'!$S$4:$S$433,MATCH($C174,'PORTIFÓLIO'!$C$4:$C$433,0)),"")</f>
        <v/>
      </c>
      <c r="L174" s="219" t="str">
        <f t="array" ref="L174">IFERROR(J174*INDEX('PORTIFÓLIO'!$S$4:$S$433,MATCH($C174,'PORTIFÓLIO'!$C$4:$C$433,0)),"")</f>
        <v/>
      </c>
      <c r="M174" s="220"/>
      <c r="N174" s="220"/>
      <c r="O174" s="220"/>
      <c r="P174" s="220"/>
      <c r="Q174" s="220"/>
      <c r="R174" s="220"/>
      <c r="S174" s="220"/>
      <c r="T174" s="220"/>
      <c r="U174" s="220"/>
      <c r="V174" s="220"/>
      <c r="W174" s="220"/>
    </row>
    <row r="175" ht="15.75" customHeight="1" outlineLevel="1">
      <c r="A175" s="211"/>
      <c r="B175" s="212"/>
      <c r="C175" s="213"/>
      <c r="D175" s="214" t="str">
        <f>IFERROR(VLOOKUP($C175,'PORTIFÓLIO'!C:V,2,0),"")</f>
        <v/>
      </c>
      <c r="E175" s="211" t="str">
        <f>IFERROR(VLOOKUP($C175,'PORTIFÓLIO'!C:V,3,0),"")</f>
        <v/>
      </c>
      <c r="F175" s="211" t="str">
        <f>IFERROR(VLOOKUP($C175,'PORTIFÓLIO'!C:V,4,0),"")</f>
        <v/>
      </c>
      <c r="G175" s="215" t="str">
        <f>IFERROR(VLOOKUP($C175,'PORTIFÓLIO'!C:V,5,0),"")</f>
        <v/>
      </c>
      <c r="H175" s="254" t="str">
        <f t="array" ref="H175">IFERROR(INDEX('PORTIFÓLIO'!$H$4:$H$433,MATCH($C175,'PORTIFÓLIO'!$C$4:$C$433,0)),"")</f>
        <v/>
      </c>
      <c r="I175" s="256"/>
      <c r="J175" s="218">
        <f t="shared" si="20"/>
        <v>0</v>
      </c>
      <c r="K175" s="219" t="str">
        <f t="array" ref="K175">IFERROR(I175*INDEX('PORTIFÓLIO'!$S$4:$S$433,MATCH($C175,'PORTIFÓLIO'!$C$4:$C$433,0)),"")</f>
        <v/>
      </c>
      <c r="L175" s="219" t="str">
        <f t="array" ref="L175">IFERROR(J175*INDEX('PORTIFÓLIO'!$S$4:$S$433,MATCH($C175,'PORTIFÓLIO'!$C$4:$C$433,0)),"")</f>
        <v/>
      </c>
      <c r="M175" s="220"/>
      <c r="N175" s="220"/>
      <c r="O175" s="220"/>
      <c r="P175" s="220"/>
      <c r="Q175" s="220"/>
      <c r="R175" s="220"/>
      <c r="S175" s="220"/>
      <c r="T175" s="220"/>
      <c r="U175" s="220"/>
      <c r="V175" s="220"/>
      <c r="W175" s="220"/>
    </row>
    <row r="176" ht="15.75" customHeight="1" outlineLevel="1">
      <c r="A176" s="211"/>
      <c r="B176" s="212"/>
      <c r="C176" s="213"/>
      <c r="D176" s="214" t="str">
        <f>IFERROR(VLOOKUP($C176,'PORTIFÓLIO'!C:V,2,0),"")</f>
        <v/>
      </c>
      <c r="E176" s="211" t="str">
        <f>IFERROR(VLOOKUP($C176,'PORTIFÓLIO'!C:V,3,0),"")</f>
        <v/>
      </c>
      <c r="F176" s="211" t="str">
        <f>IFERROR(VLOOKUP($C176,'PORTIFÓLIO'!C:V,4,0),"")</f>
        <v/>
      </c>
      <c r="G176" s="215" t="str">
        <f>IFERROR(VLOOKUP($C176,'PORTIFÓLIO'!C:V,5,0),"")</f>
        <v/>
      </c>
      <c r="H176" s="254" t="str">
        <f t="array" ref="H176">IFERROR(INDEX('PORTIFÓLIO'!$H$4:$H$433,MATCH($C176,'PORTIFÓLIO'!$C$4:$C$433,0)),"")</f>
        <v/>
      </c>
      <c r="I176" s="256"/>
      <c r="J176" s="218">
        <f t="shared" si="20"/>
        <v>0</v>
      </c>
      <c r="K176" s="219" t="str">
        <f t="array" ref="K176">IFERROR(I176*INDEX('PORTIFÓLIO'!$S$4:$S$433,MATCH($C176,'PORTIFÓLIO'!$C$4:$C$433,0)),"")</f>
        <v/>
      </c>
      <c r="L176" s="219" t="str">
        <f t="array" ref="L176">IFERROR(J176*INDEX('PORTIFÓLIO'!$S$4:$S$433,MATCH($C176,'PORTIFÓLIO'!$C$4:$C$433,0)),"")</f>
        <v/>
      </c>
      <c r="M176" s="220"/>
      <c r="N176" s="220"/>
      <c r="O176" s="220"/>
      <c r="P176" s="220"/>
      <c r="Q176" s="220"/>
      <c r="R176" s="220"/>
      <c r="S176" s="220"/>
      <c r="T176" s="220"/>
      <c r="U176" s="220"/>
      <c r="V176" s="220"/>
      <c r="W176" s="220"/>
    </row>
    <row r="177" ht="15.75" customHeight="1" outlineLevel="1">
      <c r="A177" s="211"/>
      <c r="B177" s="212"/>
      <c r="C177" s="213"/>
      <c r="D177" s="214" t="str">
        <f>IFERROR(VLOOKUP($C177,'PORTIFÓLIO'!C:V,2,0),"")</f>
        <v/>
      </c>
      <c r="E177" s="211" t="str">
        <f>IFERROR(VLOOKUP($C177,'PORTIFÓLIO'!C:V,3,0),"")</f>
        <v/>
      </c>
      <c r="F177" s="211" t="str">
        <f>IFERROR(VLOOKUP($C177,'PORTIFÓLIO'!C:V,4,0),"")</f>
        <v/>
      </c>
      <c r="G177" s="215" t="str">
        <f>IFERROR(VLOOKUP($C177,'PORTIFÓLIO'!C:V,5,0),"")</f>
        <v/>
      </c>
      <c r="H177" s="254" t="str">
        <f t="array" ref="H177">IFERROR(INDEX('PORTIFÓLIO'!$H$4:$H$433,MATCH($C177,'PORTIFÓLIO'!$C$4:$C$433,0)),"")</f>
        <v/>
      </c>
      <c r="I177" s="256"/>
      <c r="J177" s="218">
        <f t="shared" si="20"/>
        <v>0</v>
      </c>
      <c r="K177" s="219" t="str">
        <f t="array" ref="K177">IFERROR(I177*INDEX('PORTIFÓLIO'!$S$4:$S$433,MATCH($C177,'PORTIFÓLIO'!$C$4:$C$433,0)),"")</f>
        <v/>
      </c>
      <c r="L177" s="219" t="str">
        <f t="array" ref="L177">IFERROR(J177*INDEX('PORTIFÓLIO'!$S$4:$S$433,MATCH($C177,'PORTIFÓLIO'!$C$4:$C$433,0)),"")</f>
        <v/>
      </c>
      <c r="M177" s="220"/>
      <c r="N177" s="220"/>
      <c r="O177" s="220"/>
      <c r="P177" s="220"/>
      <c r="Q177" s="220"/>
      <c r="R177" s="220"/>
      <c r="S177" s="220"/>
      <c r="T177" s="220"/>
      <c r="U177" s="220"/>
      <c r="V177" s="220"/>
      <c r="W177" s="220"/>
    </row>
    <row r="178" ht="15.75" customHeight="1" outlineLevel="1">
      <c r="A178" s="211"/>
      <c r="B178" s="212"/>
      <c r="C178" s="213"/>
      <c r="D178" s="214" t="str">
        <f>IFERROR(VLOOKUP($C178,'PORTIFÓLIO'!C:V,2,0),"")</f>
        <v/>
      </c>
      <c r="E178" s="211" t="str">
        <f>IFERROR(VLOOKUP($C178,'PORTIFÓLIO'!C:V,3,0),"")</f>
        <v/>
      </c>
      <c r="F178" s="211" t="str">
        <f>IFERROR(VLOOKUP($C178,'PORTIFÓLIO'!C:V,4,0),"")</f>
        <v/>
      </c>
      <c r="G178" s="215" t="str">
        <f>IFERROR(VLOOKUP($C178,'PORTIFÓLIO'!C:V,5,0),"")</f>
        <v/>
      </c>
      <c r="H178" s="254" t="str">
        <f t="array" ref="H178">IFERROR(INDEX('PORTIFÓLIO'!$H$4:$H$433,MATCH($C178,'PORTIFÓLIO'!$C$4:$C$433,0)),"")</f>
        <v/>
      </c>
      <c r="I178" s="256"/>
      <c r="J178" s="218">
        <f t="shared" si="20"/>
        <v>0</v>
      </c>
      <c r="K178" s="219" t="str">
        <f t="array" ref="K178">IFERROR(I178*INDEX('PORTIFÓLIO'!$S$4:$S$433,MATCH($C178,'PORTIFÓLIO'!$C$4:$C$433,0)),"")</f>
        <v/>
      </c>
      <c r="L178" s="219" t="str">
        <f t="array" ref="L178">IFERROR(J178*INDEX('PORTIFÓLIO'!$S$4:$S$433,MATCH($C178,'PORTIFÓLIO'!$C$4:$C$433,0)),"")</f>
        <v/>
      </c>
      <c r="M178" s="220"/>
      <c r="N178" s="220"/>
      <c r="O178" s="220"/>
      <c r="P178" s="220"/>
      <c r="Q178" s="220"/>
      <c r="R178" s="220"/>
      <c r="S178" s="220"/>
      <c r="T178" s="220"/>
      <c r="U178" s="220"/>
      <c r="V178" s="220"/>
      <c r="W178" s="220"/>
    </row>
    <row r="179" ht="15.75" customHeight="1" outlineLevel="1">
      <c r="A179" s="211"/>
      <c r="B179" s="212"/>
      <c r="C179" s="213"/>
      <c r="D179" s="214" t="str">
        <f>IFERROR(VLOOKUP($C179,'PORTIFÓLIO'!C:V,2,0),"")</f>
        <v/>
      </c>
      <c r="E179" s="211" t="str">
        <f>IFERROR(VLOOKUP($C179,'PORTIFÓLIO'!C:V,3,0),"")</f>
        <v/>
      </c>
      <c r="F179" s="211" t="str">
        <f>IFERROR(VLOOKUP($C179,'PORTIFÓLIO'!C:V,4,0),"")</f>
        <v/>
      </c>
      <c r="G179" s="215" t="str">
        <f>IFERROR(VLOOKUP($C179,'PORTIFÓLIO'!C:V,5,0),"")</f>
        <v/>
      </c>
      <c r="H179" s="254" t="str">
        <f t="array" ref="H179">IFERROR(INDEX('PORTIFÓLIO'!$H$4:$H$433,MATCH($C179,'PORTIFÓLIO'!$C$4:$C$433,0)),"")</f>
        <v/>
      </c>
      <c r="I179" s="256"/>
      <c r="J179" s="218">
        <f t="shared" si="20"/>
        <v>0</v>
      </c>
      <c r="K179" s="219" t="str">
        <f t="array" ref="K179">IFERROR(I179*INDEX('PORTIFÓLIO'!$S$4:$S$433,MATCH($C179,'PORTIFÓLIO'!$C$4:$C$433,0)),"")</f>
        <v/>
      </c>
      <c r="L179" s="219" t="str">
        <f t="array" ref="L179">IFERROR(J179*INDEX('PORTIFÓLIO'!$S$4:$S$433,MATCH($C179,'PORTIFÓLIO'!$C$4:$C$433,0)),"")</f>
        <v/>
      </c>
      <c r="M179" s="220"/>
      <c r="N179" s="220"/>
      <c r="O179" s="220"/>
      <c r="P179" s="220"/>
      <c r="Q179" s="220"/>
      <c r="R179" s="220"/>
      <c r="S179" s="220"/>
      <c r="T179" s="220"/>
      <c r="U179" s="220"/>
      <c r="V179" s="220"/>
      <c r="W179" s="220"/>
    </row>
    <row r="180" ht="15.75" customHeight="1" outlineLevel="1">
      <c r="A180" s="211"/>
      <c r="B180" s="212"/>
      <c r="C180" s="213"/>
      <c r="D180" s="214" t="str">
        <f>IFERROR(VLOOKUP($C180,'PORTIFÓLIO'!C:V,2,0),"")</f>
        <v/>
      </c>
      <c r="E180" s="211" t="str">
        <f>IFERROR(VLOOKUP($C180,'PORTIFÓLIO'!C:V,3,0),"")</f>
        <v/>
      </c>
      <c r="F180" s="211" t="str">
        <f>IFERROR(VLOOKUP($C180,'PORTIFÓLIO'!C:V,4,0),"")</f>
        <v/>
      </c>
      <c r="G180" s="215" t="str">
        <f>IFERROR(VLOOKUP($C180,'PORTIFÓLIO'!C:V,5,0),"")</f>
        <v/>
      </c>
      <c r="H180" s="254" t="str">
        <f t="array" ref="H180">IFERROR(INDEX('PORTIFÓLIO'!$H$4:$H$433,MATCH($C180,'PORTIFÓLIO'!$C$4:$C$433,0)),"")</f>
        <v/>
      </c>
      <c r="I180" s="256"/>
      <c r="J180" s="218">
        <f t="shared" si="20"/>
        <v>0</v>
      </c>
      <c r="K180" s="219" t="str">
        <f t="array" ref="K180">IFERROR(I180*INDEX('PORTIFÓLIO'!$S$4:$S$433,MATCH($C180,'PORTIFÓLIO'!$C$4:$C$433,0)),"")</f>
        <v/>
      </c>
      <c r="L180" s="219" t="str">
        <f t="array" ref="L180">IFERROR(J180*INDEX('PORTIFÓLIO'!$S$4:$S$433,MATCH($C180,'PORTIFÓLIO'!$C$4:$C$433,0)),"")</f>
        <v/>
      </c>
      <c r="M180" s="220"/>
      <c r="N180" s="220"/>
      <c r="O180" s="220"/>
      <c r="P180" s="220"/>
      <c r="Q180" s="220"/>
      <c r="R180" s="220"/>
      <c r="S180" s="220"/>
      <c r="T180" s="220"/>
      <c r="U180" s="220"/>
      <c r="V180" s="220"/>
      <c r="W180" s="220"/>
    </row>
    <row r="181" ht="15.75" customHeight="1" outlineLevel="1">
      <c r="A181" s="211"/>
      <c r="B181" s="227"/>
      <c r="C181" s="211"/>
      <c r="D181" s="214" t="str">
        <f>IFERROR(VLOOKUP($C181,'PORTIFÓLIO'!C:V,2,0),"")</f>
        <v/>
      </c>
      <c r="E181" s="211" t="str">
        <f>IFERROR(VLOOKUP($C181,'PORTIFÓLIO'!C:V,3,0),"")</f>
        <v/>
      </c>
      <c r="F181" s="211" t="str">
        <f>IFERROR(VLOOKUP($C181,'PORTIFÓLIO'!C:V,4,0),"")</f>
        <v/>
      </c>
      <c r="G181" s="215" t="str">
        <f>IFERROR(VLOOKUP($C181,'PORTIFÓLIO'!C:V,5,0),"")</f>
        <v/>
      </c>
      <c r="H181" s="254" t="str">
        <f t="array" ref="H181">IFERROR(INDEX('PORTIFÓLIO'!$H$4:$H$433,MATCH($C181,'PORTIFÓLIO'!$C$4:$C$433,0)),"")</f>
        <v/>
      </c>
      <c r="I181" s="256"/>
      <c r="J181" s="218">
        <f t="shared" si="20"/>
        <v>0</v>
      </c>
      <c r="K181" s="219" t="str">
        <f t="array" ref="K181">IFERROR(I181*INDEX('PORTIFÓLIO'!$S$4:$S$433,MATCH($C181,'PORTIFÓLIO'!$C$4:$C$433,0)),"")</f>
        <v/>
      </c>
      <c r="L181" s="219" t="str">
        <f t="array" ref="L181">IFERROR(J181*INDEX('PORTIFÓLIO'!$S$4:$S$433,MATCH($C181,'PORTIFÓLIO'!$C$4:$C$433,0)),"")</f>
        <v/>
      </c>
      <c r="M181" s="220"/>
      <c r="N181" s="220"/>
      <c r="O181" s="220"/>
      <c r="P181" s="220"/>
      <c r="Q181" s="220"/>
      <c r="R181" s="220"/>
      <c r="S181" s="220"/>
      <c r="T181" s="220"/>
      <c r="U181" s="220"/>
      <c r="V181" s="220"/>
      <c r="W181" s="220"/>
    </row>
    <row r="182" ht="15.75" customHeight="1">
      <c r="A182" s="229" t="s">
        <v>1194</v>
      </c>
      <c r="B182" s="230"/>
      <c r="C182" s="231"/>
      <c r="D182" s="232"/>
      <c r="E182" s="231"/>
      <c r="F182" s="231"/>
      <c r="G182" s="233"/>
      <c r="H182" s="233"/>
      <c r="I182" s="258"/>
      <c r="J182" s="236"/>
      <c r="K182" s="237">
        <f t="shared" ref="K182:L182" si="21">SUBTOTAL(9,K183:K196)</f>
        <v>339.9254902</v>
      </c>
      <c r="L182" s="237">
        <f t="shared" si="21"/>
        <v>74783.60784</v>
      </c>
      <c r="M182" s="220"/>
      <c r="N182" s="220"/>
      <c r="O182" s="220"/>
      <c r="P182" s="220"/>
      <c r="Q182" s="220"/>
      <c r="R182" s="220"/>
      <c r="S182" s="220"/>
      <c r="T182" s="220"/>
      <c r="U182" s="220"/>
      <c r="V182" s="220"/>
      <c r="W182" s="220"/>
    </row>
    <row r="183" ht="15.75" customHeight="1" outlineLevel="1">
      <c r="A183" s="213"/>
      <c r="B183" s="212" t="s">
        <v>10</v>
      </c>
      <c r="C183" s="213" t="s">
        <v>1195</v>
      </c>
      <c r="D183" s="214" t="str">
        <f>IFERROR(VLOOKUP($C183,'PORTIFÓLIO'!C:V,2,0),"")</f>
        <v/>
      </c>
      <c r="E183" s="211" t="str">
        <f>IFERROR(VLOOKUP($C183,'PORTIFÓLIO'!C:V,3,0),"")</f>
        <v/>
      </c>
      <c r="F183" s="211" t="str">
        <f>IFERROR(VLOOKUP($C183,'PORTIFÓLIO'!C:V,4,0),"")</f>
        <v>R$/Ha</v>
      </c>
      <c r="G183" s="215">
        <f t="array" ref="G183">IFERROR(INDEX('PORTIFÓLIO'!$H$4:$H$433,MATCH($C183,'PORTIFÓLIO'!$C$4:$C$433,0)),"")</f>
        <v>0.3267973856</v>
      </c>
      <c r="H183" s="254">
        <f t="array" ref="H183">IFERROR(INDEX('PORTIFÓLIO'!$H$4:$H$433,MATCH($C183,'PORTIFÓLIO'!$C$4:$C$433,0)),"")</f>
        <v>0.3267973856</v>
      </c>
      <c r="I183" s="255">
        <v>0.32</v>
      </c>
      <c r="J183" s="218">
        <f t="shared" ref="J183:J199" si="22">I183*$B$2</f>
        <v>70.4</v>
      </c>
      <c r="K183" s="219">
        <f t="array" ref="K183">IFERROR(I183*INDEX('PORTIFÓLIO'!$S$4:$S$433,MATCH($C183,'PORTIFÓLIO'!$C$4:$C$433,0)),"")</f>
        <v>36</v>
      </c>
      <c r="L183" s="219">
        <f t="array" ref="L183">IFERROR(J183*INDEX('PORTIFÓLIO'!$S$4:$S$433,MATCH($C183,'PORTIFÓLIO'!$C$4:$C$433,0)),"")</f>
        <v>7920</v>
      </c>
      <c r="M183" s="220"/>
      <c r="N183" s="220"/>
      <c r="O183" s="220"/>
      <c r="P183" s="220"/>
      <c r="Q183" s="220"/>
      <c r="R183" s="220"/>
      <c r="S183" s="220"/>
      <c r="T183" s="220"/>
      <c r="U183" s="220"/>
      <c r="V183" s="220"/>
      <c r="W183" s="220"/>
    </row>
    <row r="184" ht="15.75" customHeight="1" outlineLevel="1">
      <c r="A184" s="211"/>
      <c r="B184" s="212" t="s">
        <v>10</v>
      </c>
      <c r="C184" s="213" t="s">
        <v>1196</v>
      </c>
      <c r="D184" s="214" t="str">
        <f>IFERROR(VLOOKUP($C184,'PORTIFÓLIO'!C:V,2,0),"")</f>
        <v/>
      </c>
      <c r="E184" s="211" t="str">
        <f>IFERROR(VLOOKUP($C184,'PORTIFÓLIO'!C:V,3,0),"")</f>
        <v/>
      </c>
      <c r="F184" s="211" t="str">
        <f>IFERROR(VLOOKUP($C184,'PORTIFÓLIO'!C:V,4,0),"")</f>
        <v>R$/Ha</v>
      </c>
      <c r="G184" s="215">
        <f t="array" ref="G184">IFERROR(INDEX('PORTIFÓLIO'!$H$4:$H$433,MATCH($C184,'PORTIFÓLIO'!$C$4:$C$433,0)),"")</f>
        <v>0.04901960784</v>
      </c>
      <c r="H184" s="254">
        <f t="array" ref="H184">IFERROR(INDEX('PORTIFÓLIO'!$H$4:$H$433,MATCH($C184,'PORTIFÓLIO'!$C$4:$C$433,0)),"")</f>
        <v>0.04901960784</v>
      </c>
      <c r="I184" s="256">
        <f>G184*4</f>
        <v>0.1960784314</v>
      </c>
      <c r="J184" s="218">
        <f t="shared" si="22"/>
        <v>43.1372549</v>
      </c>
      <c r="K184" s="219">
        <f t="array" ref="K184">IFERROR(I184*INDEX('PORTIFÓLIO'!$S$4:$S$433,MATCH($C184,'PORTIFÓLIO'!$C$4:$C$433,0)),"")</f>
        <v>22.05882353</v>
      </c>
      <c r="L184" s="219">
        <f t="array" ref="L184">IFERROR(J184*INDEX('PORTIFÓLIO'!$S$4:$S$433,MATCH($C184,'PORTIFÓLIO'!$C$4:$C$433,0)),"")</f>
        <v>4852.941176</v>
      </c>
      <c r="M184" s="220"/>
      <c r="N184" s="220"/>
      <c r="O184" s="220"/>
      <c r="P184" s="220"/>
      <c r="Q184" s="220"/>
      <c r="R184" s="220"/>
      <c r="S184" s="220"/>
      <c r="T184" s="220"/>
      <c r="U184" s="220"/>
      <c r="V184" s="220"/>
      <c r="W184" s="220"/>
    </row>
    <row r="185" ht="15.75" customHeight="1" outlineLevel="1">
      <c r="A185" s="211"/>
      <c r="B185" s="212" t="s">
        <v>10</v>
      </c>
      <c r="C185" s="213" t="s">
        <v>1197</v>
      </c>
      <c r="D185" s="214" t="str">
        <f>IFERROR(VLOOKUP($C185,'PORTIFÓLIO'!C:V,2,0),"")</f>
        <v/>
      </c>
      <c r="E185" s="211" t="str">
        <f>IFERROR(VLOOKUP($C185,'PORTIFÓLIO'!C:V,3,0),"")</f>
        <v/>
      </c>
      <c r="F185" s="211" t="str">
        <f>IFERROR(VLOOKUP($C185,'PORTIFÓLIO'!C:V,4,0),"")</f>
        <v>R$/Ha</v>
      </c>
      <c r="G185" s="215">
        <f t="array" ref="G185">IFERROR(INDEX('PORTIFÓLIO'!$H$4:$H$433,MATCH($C185,'PORTIFÓLIO'!$C$4:$C$433,0)),"")</f>
        <v>0.01960784314</v>
      </c>
      <c r="H185" s="254">
        <f t="array" ref="H185">IFERROR(INDEX('PORTIFÓLIO'!$H$4:$H$433,MATCH($C185,'PORTIFÓLIO'!$C$4:$C$433,0)),"")</f>
        <v>0.01960784314</v>
      </c>
      <c r="I185" s="256">
        <f>G185*3</f>
        <v>0.05882352941</v>
      </c>
      <c r="J185" s="218">
        <f t="shared" si="22"/>
        <v>12.94117647</v>
      </c>
      <c r="K185" s="219">
        <f t="array" ref="K185">IFERROR(I185*INDEX('PORTIFÓLIO'!$S$4:$S$433,MATCH($C185,'PORTIFÓLIO'!$C$4:$C$433,0)),"")</f>
        <v>7.5</v>
      </c>
      <c r="L185" s="219">
        <f t="array" ref="L185">IFERROR(J185*INDEX('PORTIFÓLIO'!$S$4:$S$433,MATCH($C185,'PORTIFÓLIO'!$C$4:$C$433,0)),"")</f>
        <v>1650</v>
      </c>
      <c r="M185" s="220"/>
      <c r="N185" s="220"/>
      <c r="O185" s="220"/>
      <c r="P185" s="220"/>
      <c r="Q185" s="220"/>
      <c r="R185" s="220"/>
      <c r="S185" s="220"/>
      <c r="T185" s="220"/>
      <c r="U185" s="220"/>
      <c r="V185" s="220"/>
      <c r="W185" s="220"/>
    </row>
    <row r="186" ht="15.75" customHeight="1" outlineLevel="1">
      <c r="A186" s="211"/>
      <c r="B186" s="212" t="s">
        <v>10</v>
      </c>
      <c r="C186" s="213" t="s">
        <v>1198</v>
      </c>
      <c r="D186" s="214" t="str">
        <f>IFERROR(VLOOKUP($C186,'PORTIFÓLIO'!C:V,2,0),"")</f>
        <v/>
      </c>
      <c r="E186" s="211" t="str">
        <f>IFERROR(VLOOKUP($C186,'PORTIFÓLIO'!C:V,3,0),"")</f>
        <v/>
      </c>
      <c r="F186" s="211" t="str">
        <f>IFERROR(VLOOKUP($C186,'PORTIFÓLIO'!C:V,4,0),"")</f>
        <v>R$/Ha</v>
      </c>
      <c r="G186" s="215">
        <f t="array" ref="G186">IFERROR(INDEX('PORTIFÓLIO'!$H$4:$H$433,MATCH($C186,'PORTIFÓLIO'!$C$4:$C$433,0)),"")</f>
        <v>0.006666666667</v>
      </c>
      <c r="H186" s="254">
        <f t="array" ref="H186">IFERROR(INDEX('PORTIFÓLIO'!$H$4:$H$433,MATCH($C186,'PORTIFÓLIO'!$C$4:$C$433,0)),"")</f>
        <v>0.006666666667</v>
      </c>
      <c r="I186" s="256">
        <f>G186*5</f>
        <v>0.03333333333</v>
      </c>
      <c r="J186" s="218">
        <f t="shared" si="22"/>
        <v>7.333333333</v>
      </c>
      <c r="K186" s="219">
        <f t="array" ref="K186">IFERROR(I186*INDEX('PORTIFÓLIO'!$S$4:$S$433,MATCH($C186,'PORTIFÓLIO'!$C$4:$C$433,0)),"")</f>
        <v>166.6666667</v>
      </c>
      <c r="L186" s="219">
        <f t="array" ref="L186">IFERROR(J186*INDEX('PORTIFÓLIO'!$S$4:$S$433,MATCH($C186,'PORTIFÓLIO'!$C$4:$C$433,0)),"")</f>
        <v>36666.66667</v>
      </c>
      <c r="M186" s="220"/>
      <c r="N186" s="220"/>
      <c r="O186" s="220"/>
      <c r="P186" s="220"/>
      <c r="Q186" s="220"/>
      <c r="R186" s="220"/>
      <c r="S186" s="220"/>
      <c r="T186" s="220"/>
      <c r="U186" s="220"/>
      <c r="V186" s="220"/>
      <c r="W186" s="220"/>
    </row>
    <row r="187" ht="15.75" customHeight="1" outlineLevel="1">
      <c r="A187" s="211"/>
      <c r="B187" s="212" t="s">
        <v>10</v>
      </c>
      <c r="C187" s="213" t="s">
        <v>1199</v>
      </c>
      <c r="D187" s="214" t="str">
        <f>IFERROR(VLOOKUP($C187,'PORTIFÓLIO'!C:V,2,0),"")</f>
        <v/>
      </c>
      <c r="E187" s="211" t="str">
        <f>IFERROR(VLOOKUP($C187,'PORTIFÓLIO'!C:V,3,0),"")</f>
        <v/>
      </c>
      <c r="F187" s="211" t="str">
        <f>IFERROR(VLOOKUP($C187,'PORTIFÓLIO'!C:V,4,0),"")</f>
        <v>R$/Ha</v>
      </c>
      <c r="G187" s="215">
        <f t="array" ref="G187">IFERROR(INDEX('PORTIFÓLIO'!$H$4:$H$433,MATCH($C187,'PORTIFÓLIO'!$C$4:$C$433,0)),"")</f>
        <v>0.08169934641</v>
      </c>
      <c r="H187" s="254">
        <f t="array" ref="H187">IFERROR(INDEX('PORTIFÓLIO'!$H$4:$H$433,MATCH($C187,'PORTIFÓLIO'!$C$4:$C$433,0)),"")</f>
        <v>0.08169934641</v>
      </c>
      <c r="I187" s="255">
        <v>0.081</v>
      </c>
      <c r="J187" s="218">
        <f t="shared" si="22"/>
        <v>17.82</v>
      </c>
      <c r="K187" s="219">
        <f t="array" ref="K187">IFERROR(I187*INDEX('PORTIFÓLIO'!$S$4:$S$433,MATCH($C187,'PORTIFÓLIO'!$C$4:$C$433,0)),"")</f>
        <v>36.45</v>
      </c>
      <c r="L187" s="219">
        <f t="array" ref="L187">IFERROR(J187*INDEX('PORTIFÓLIO'!$S$4:$S$433,MATCH($C187,'PORTIFÓLIO'!$C$4:$C$433,0)),"")</f>
        <v>8019</v>
      </c>
      <c r="M187" s="220"/>
      <c r="N187" s="220"/>
      <c r="O187" s="220"/>
      <c r="P187" s="220"/>
      <c r="Q187" s="220"/>
      <c r="R187" s="220"/>
      <c r="S187" s="220"/>
      <c r="T187" s="220"/>
      <c r="U187" s="220"/>
      <c r="V187" s="220"/>
      <c r="W187" s="220"/>
    </row>
    <row r="188" ht="15.75" customHeight="1" outlineLevel="1">
      <c r="A188" s="211"/>
      <c r="B188" s="212" t="s">
        <v>10</v>
      </c>
      <c r="C188" s="213" t="s">
        <v>1200</v>
      </c>
      <c r="D188" s="214" t="str">
        <f>IFERROR(VLOOKUP($C188,'PORTIFÓLIO'!C:V,2,0),"")</f>
        <v/>
      </c>
      <c r="E188" s="211" t="str">
        <f>IFERROR(VLOOKUP($C188,'PORTIFÓLIO'!C:V,3,0),"")</f>
        <v/>
      </c>
      <c r="F188" s="211" t="str">
        <f>IFERROR(VLOOKUP($C188,'PORTIFÓLIO'!C:V,4,0),"")</f>
        <v>R$/Ha</v>
      </c>
      <c r="G188" s="215">
        <f t="array" ref="G188">IFERROR(INDEX('PORTIFÓLIO'!$H$4:$H$433,MATCH($C188,'PORTIFÓLIO'!$C$4:$C$433,0)),"")</f>
        <v>0.1508295626</v>
      </c>
      <c r="H188" s="254">
        <f t="array" ref="H188">IFERROR(INDEX('PORTIFÓLIO'!$H$4:$H$433,MATCH($C188,'PORTIFÓLIO'!$C$4:$C$433,0)),"")</f>
        <v>0.1508295626</v>
      </c>
      <c r="I188" s="255">
        <v>0.15</v>
      </c>
      <c r="J188" s="218">
        <f t="shared" si="22"/>
        <v>33</v>
      </c>
      <c r="K188" s="219">
        <f t="array" ref="K188">IFERROR(I188*INDEX('PORTIFÓLIO'!$S$4:$S$433,MATCH($C188,'PORTIFÓLIO'!$C$4:$C$433,0)),"")</f>
        <v>56.25</v>
      </c>
      <c r="L188" s="219">
        <f t="array" ref="L188">IFERROR(J188*INDEX('PORTIFÓLIO'!$S$4:$S$433,MATCH($C188,'PORTIFÓLIO'!$C$4:$C$433,0)),"")</f>
        <v>12375</v>
      </c>
      <c r="M188" s="220"/>
      <c r="N188" s="220"/>
      <c r="O188" s="220"/>
      <c r="P188" s="220"/>
      <c r="Q188" s="220"/>
      <c r="R188" s="220"/>
      <c r="S188" s="220"/>
      <c r="T188" s="220"/>
      <c r="U188" s="220"/>
      <c r="V188" s="220"/>
      <c r="W188" s="220"/>
    </row>
    <row r="189" ht="15.75" customHeight="1" outlineLevel="1">
      <c r="A189" s="211"/>
      <c r="B189" s="212" t="s">
        <v>10</v>
      </c>
      <c r="C189" s="213" t="s">
        <v>1201</v>
      </c>
      <c r="D189" s="214" t="str">
        <f>IFERROR(VLOOKUP($C189,'PORTIFÓLIO'!C:V,2,0),"")</f>
        <v/>
      </c>
      <c r="E189" s="211" t="str">
        <f>IFERROR(VLOOKUP($C189,'PORTIFÓLIO'!C:V,3,0),"")</f>
        <v/>
      </c>
      <c r="F189" s="211" t="str">
        <f>IFERROR(VLOOKUP($C189,'PORTIFÓLIO'!C:V,4,0),"")</f>
        <v>R$/Ha</v>
      </c>
      <c r="G189" s="215">
        <f t="array" ref="G189">IFERROR(INDEX('PORTIFÓLIO'!$H$4:$H$433,MATCH($C189,'PORTIFÓLIO'!$C$4:$C$433,0)),"")</f>
        <v>0.001367989056</v>
      </c>
      <c r="H189" s="254">
        <f t="array" ref="H189">IFERROR(INDEX('PORTIFÓLIO'!$H$4:$H$433,MATCH($C189,'PORTIFÓLIO'!$C$4:$C$433,0)),"")</f>
        <v>0.001367989056</v>
      </c>
      <c r="I189" s="255">
        <v>0.1</v>
      </c>
      <c r="J189" s="218">
        <f t="shared" si="22"/>
        <v>22</v>
      </c>
      <c r="K189" s="219">
        <f t="array" ref="K189">IFERROR(I189*INDEX('PORTIFÓLIO'!$S$4:$S$433,MATCH($C189,'PORTIFÓLIO'!$C$4:$C$433,0)),"")</f>
        <v>15</v>
      </c>
      <c r="L189" s="219">
        <f t="array" ref="L189">IFERROR(J189*INDEX('PORTIFÓLIO'!$S$4:$S$433,MATCH($C189,'PORTIFÓLIO'!$C$4:$C$433,0)),"")</f>
        <v>3300</v>
      </c>
      <c r="M189" s="220"/>
      <c r="N189" s="220"/>
      <c r="O189" s="220"/>
      <c r="P189" s="220"/>
      <c r="Q189" s="220"/>
      <c r="R189" s="220"/>
      <c r="S189" s="220"/>
      <c r="T189" s="220"/>
      <c r="U189" s="220"/>
      <c r="V189" s="220"/>
      <c r="W189" s="220"/>
    </row>
    <row r="190" ht="15.75" customHeight="1" outlineLevel="1">
      <c r="A190" s="211"/>
      <c r="B190" s="212"/>
      <c r="C190" s="213"/>
      <c r="D190" s="214" t="str">
        <f>IFERROR(VLOOKUP($C190,'PORTIFÓLIO'!C:V,2,0),"")</f>
        <v/>
      </c>
      <c r="E190" s="211" t="str">
        <f>IFERROR(VLOOKUP($C190,'PORTIFÓLIO'!C:V,3,0),"")</f>
        <v/>
      </c>
      <c r="F190" s="211" t="str">
        <f>IFERROR(VLOOKUP($C190,'PORTIFÓLIO'!C:V,4,0),"")</f>
        <v/>
      </c>
      <c r="G190" s="215" t="str">
        <f>IFERROR(VLOOKUP($C190,'PORTIFÓLIO'!C:V,5,0),"")</f>
        <v/>
      </c>
      <c r="H190" s="254" t="str">
        <f t="array" ref="H190">IFERROR(INDEX('PORTIFÓLIO'!$H$4:$H$433,MATCH($C190,'PORTIFÓLIO'!$C$4:$C$433,0)),"")</f>
        <v/>
      </c>
      <c r="I190" s="256"/>
      <c r="J190" s="218">
        <f t="shared" si="22"/>
        <v>0</v>
      </c>
      <c r="K190" s="219" t="str">
        <f t="array" ref="K190">IFERROR(I190*INDEX('PORTIFÓLIO'!$S$4:$S$433,MATCH($C190,'PORTIFÓLIO'!$C$4:$C$433,0)),"")</f>
        <v/>
      </c>
      <c r="L190" s="219" t="str">
        <f t="array" ref="L190">IFERROR(J190*INDEX('PORTIFÓLIO'!$S$4:$S$433,MATCH($C190,'PORTIFÓLIO'!$C$4:$C$433,0)),"")</f>
        <v/>
      </c>
      <c r="M190" s="220"/>
      <c r="N190" s="220"/>
      <c r="O190" s="220"/>
      <c r="P190" s="220"/>
      <c r="Q190" s="220"/>
      <c r="R190" s="220"/>
      <c r="S190" s="220"/>
      <c r="T190" s="220"/>
      <c r="U190" s="220"/>
      <c r="V190" s="220"/>
      <c r="W190" s="220"/>
    </row>
    <row r="191" ht="15.75" customHeight="1" outlineLevel="1">
      <c r="A191" s="211"/>
      <c r="B191" s="212"/>
      <c r="C191" s="213"/>
      <c r="D191" s="214" t="str">
        <f>IFERROR(VLOOKUP($C191,'PORTIFÓLIO'!C:V,2,0),"")</f>
        <v/>
      </c>
      <c r="E191" s="211" t="str">
        <f>IFERROR(VLOOKUP($C191,'PORTIFÓLIO'!C:V,3,0),"")</f>
        <v/>
      </c>
      <c r="F191" s="211" t="str">
        <f>IFERROR(VLOOKUP($C191,'PORTIFÓLIO'!C:V,4,0),"")</f>
        <v/>
      </c>
      <c r="G191" s="215" t="str">
        <f>IFERROR(VLOOKUP($C191,'PORTIFÓLIO'!C:V,5,0),"")</f>
        <v/>
      </c>
      <c r="H191" s="254" t="str">
        <f t="array" ref="H191">IFERROR(INDEX('PORTIFÓLIO'!$H$4:$H$433,MATCH($C191,'PORTIFÓLIO'!$C$4:$C$433,0)),"")</f>
        <v/>
      </c>
      <c r="I191" s="255"/>
      <c r="J191" s="218">
        <f t="shared" si="22"/>
        <v>0</v>
      </c>
      <c r="K191" s="219" t="str">
        <f t="array" ref="K191">IFERROR(I191*INDEX('PORTIFÓLIO'!$S$4:$S$433,MATCH($C191,'PORTIFÓLIO'!$C$4:$C$433,0)),"")</f>
        <v/>
      </c>
      <c r="L191" s="219" t="str">
        <f t="array" ref="L191">IFERROR(J191*INDEX('PORTIFÓLIO'!$S$4:$S$433,MATCH($C191,'PORTIFÓLIO'!$C$4:$C$433,0)),"")</f>
        <v/>
      </c>
      <c r="M191" s="220"/>
      <c r="N191" s="220"/>
      <c r="O191" s="220"/>
      <c r="P191" s="220"/>
      <c r="Q191" s="220"/>
      <c r="R191" s="220"/>
      <c r="S191" s="220"/>
      <c r="T191" s="220"/>
      <c r="U191" s="220"/>
      <c r="V191" s="220"/>
      <c r="W191" s="220"/>
    </row>
    <row r="192" ht="15.75" customHeight="1" outlineLevel="1">
      <c r="A192" s="211"/>
      <c r="B192" s="212"/>
      <c r="C192" s="213"/>
      <c r="D192" s="214" t="str">
        <f>IFERROR(VLOOKUP($C192,'PORTIFÓLIO'!C:V,2,0),"")</f>
        <v/>
      </c>
      <c r="E192" s="211" t="str">
        <f>IFERROR(VLOOKUP($C192,'PORTIFÓLIO'!C:V,3,0),"")</f>
        <v/>
      </c>
      <c r="F192" s="211" t="str">
        <f>IFERROR(VLOOKUP($C192,'PORTIFÓLIO'!C:V,4,0),"")</f>
        <v/>
      </c>
      <c r="G192" s="215" t="str">
        <f>IFERROR(VLOOKUP($C192,'PORTIFÓLIO'!C:V,5,0),"")</f>
        <v/>
      </c>
      <c r="H192" s="254" t="str">
        <f t="array" ref="H192">IFERROR(INDEX('PORTIFÓLIO'!$H$4:$H$433,MATCH($C192,'PORTIFÓLIO'!$C$4:$C$433,0)),"")</f>
        <v/>
      </c>
      <c r="I192" s="256"/>
      <c r="J192" s="218">
        <f t="shared" si="22"/>
        <v>0</v>
      </c>
      <c r="K192" s="219" t="str">
        <f t="array" ref="K192">IFERROR(I192*INDEX('PORTIFÓLIO'!$S$4:$S$433,MATCH($C192,'PORTIFÓLIO'!$C$4:$C$433,0)),"")</f>
        <v/>
      </c>
      <c r="L192" s="219" t="str">
        <f t="array" ref="L192">IFERROR(J192*INDEX('PORTIFÓLIO'!$S$4:$S$433,MATCH($C192,'PORTIFÓLIO'!$C$4:$C$433,0)),"")</f>
        <v/>
      </c>
      <c r="M192" s="220"/>
      <c r="N192" s="220"/>
      <c r="O192" s="220"/>
      <c r="P192" s="220"/>
      <c r="Q192" s="220"/>
      <c r="R192" s="220"/>
      <c r="S192" s="220"/>
      <c r="T192" s="220"/>
      <c r="U192" s="220"/>
      <c r="V192" s="220"/>
      <c r="W192" s="220"/>
    </row>
    <row r="193" ht="15.75" customHeight="1" outlineLevel="1">
      <c r="A193" s="211"/>
      <c r="B193" s="212"/>
      <c r="C193" s="213"/>
      <c r="D193" s="214" t="str">
        <f>IFERROR(VLOOKUP($C193,'PORTIFÓLIO'!C:V,2,0),"")</f>
        <v/>
      </c>
      <c r="E193" s="211" t="str">
        <f>IFERROR(VLOOKUP($C193,'PORTIFÓLIO'!C:V,3,0),"")</f>
        <v/>
      </c>
      <c r="F193" s="211" t="str">
        <f>IFERROR(VLOOKUP($C193,'PORTIFÓLIO'!C:V,4,0),"")</f>
        <v/>
      </c>
      <c r="G193" s="215" t="str">
        <f>IFERROR(VLOOKUP($C193,'PORTIFÓLIO'!C:V,5,0),"")</f>
        <v/>
      </c>
      <c r="H193" s="254" t="str">
        <f t="array" ref="H193">IFERROR(INDEX('PORTIFÓLIO'!$H$4:$H$433,MATCH($C193,'PORTIFÓLIO'!$C$4:$C$433,0)),"")</f>
        <v/>
      </c>
      <c r="I193" s="256"/>
      <c r="J193" s="218">
        <f t="shared" si="22"/>
        <v>0</v>
      </c>
      <c r="K193" s="219" t="str">
        <f t="array" ref="K193">IFERROR(I193*INDEX('PORTIFÓLIO'!$S$4:$S$433,MATCH($C193,'PORTIFÓLIO'!$C$4:$C$433,0)),"")</f>
        <v/>
      </c>
      <c r="L193" s="219" t="str">
        <f t="array" ref="L193">IFERROR(J193*INDEX('PORTIFÓLIO'!$S$4:$S$433,MATCH($C193,'PORTIFÓLIO'!$C$4:$C$433,0)),"")</f>
        <v/>
      </c>
      <c r="M193" s="220"/>
      <c r="N193" s="220"/>
      <c r="O193" s="220"/>
      <c r="P193" s="220"/>
      <c r="Q193" s="220"/>
      <c r="R193" s="220"/>
      <c r="S193" s="220"/>
      <c r="T193" s="220"/>
      <c r="U193" s="220"/>
      <c r="V193" s="220"/>
      <c r="W193" s="220"/>
    </row>
    <row r="194" ht="15.75" customHeight="1" outlineLevel="1">
      <c r="A194" s="211"/>
      <c r="B194" s="212"/>
      <c r="C194" s="213"/>
      <c r="D194" s="214" t="str">
        <f>IFERROR(VLOOKUP($C194,'PORTIFÓLIO'!C:V,2,0),"")</f>
        <v/>
      </c>
      <c r="E194" s="211" t="str">
        <f>IFERROR(VLOOKUP($C194,'PORTIFÓLIO'!C:V,3,0),"")</f>
        <v/>
      </c>
      <c r="F194" s="211" t="str">
        <f>IFERROR(VLOOKUP($C194,'PORTIFÓLIO'!C:V,4,0),"")</f>
        <v/>
      </c>
      <c r="G194" s="215" t="str">
        <f>IFERROR(VLOOKUP($C194,'PORTIFÓLIO'!C:V,5,0),"")</f>
        <v/>
      </c>
      <c r="H194" s="254" t="str">
        <f t="array" ref="H194">IFERROR(INDEX('PORTIFÓLIO'!$H$4:$H$433,MATCH($C194,'PORTIFÓLIO'!$C$4:$C$433,0)),"")</f>
        <v/>
      </c>
      <c r="I194" s="256"/>
      <c r="J194" s="218">
        <f t="shared" si="22"/>
        <v>0</v>
      </c>
      <c r="K194" s="219" t="str">
        <f t="array" ref="K194">IFERROR(I194*INDEX('PORTIFÓLIO'!$S$4:$S$433,MATCH($C194,'PORTIFÓLIO'!$C$4:$C$433,0)),"")</f>
        <v/>
      </c>
      <c r="L194" s="219" t="str">
        <f t="array" ref="L194">IFERROR(J194*INDEX('PORTIFÓLIO'!$S$4:$S$433,MATCH($C194,'PORTIFÓLIO'!$C$4:$C$433,0)),"")</f>
        <v/>
      </c>
      <c r="M194" s="220"/>
      <c r="N194" s="220"/>
      <c r="O194" s="220"/>
      <c r="P194" s="220"/>
      <c r="Q194" s="220"/>
      <c r="R194" s="220"/>
      <c r="S194" s="220"/>
      <c r="T194" s="220"/>
      <c r="U194" s="220"/>
      <c r="V194" s="220"/>
      <c r="W194" s="220"/>
    </row>
    <row r="195" ht="15.75" customHeight="1" outlineLevel="1">
      <c r="A195" s="211"/>
      <c r="B195" s="212"/>
      <c r="C195" s="213"/>
      <c r="D195" s="214" t="str">
        <f>IFERROR(VLOOKUP($C195,'PORTIFÓLIO'!C:V,2,0),"")</f>
        <v/>
      </c>
      <c r="E195" s="211" t="str">
        <f>IFERROR(VLOOKUP($C195,'PORTIFÓLIO'!C:V,3,0),"")</f>
        <v/>
      </c>
      <c r="F195" s="211" t="str">
        <f>IFERROR(VLOOKUP($C195,'PORTIFÓLIO'!C:V,4,0),"")</f>
        <v/>
      </c>
      <c r="G195" s="215" t="str">
        <f>IFERROR(VLOOKUP($C195,'PORTIFÓLIO'!C:V,5,0),"")</f>
        <v/>
      </c>
      <c r="H195" s="254" t="str">
        <f t="array" ref="H195">IFERROR(INDEX('PORTIFÓLIO'!$H$4:$H$433,MATCH($C195,'PORTIFÓLIO'!$C$4:$C$433,0)),"")</f>
        <v/>
      </c>
      <c r="I195" s="256"/>
      <c r="J195" s="218">
        <f t="shared" si="22"/>
        <v>0</v>
      </c>
      <c r="K195" s="219" t="str">
        <f t="array" ref="K195">IFERROR(I195*INDEX('PORTIFÓLIO'!$S$4:$S$433,MATCH($C195,'PORTIFÓLIO'!$C$4:$C$433,0)),"")</f>
        <v/>
      </c>
      <c r="L195" s="219" t="str">
        <f t="array" ref="L195">IFERROR(J195*INDEX('PORTIFÓLIO'!$S$4:$S$433,MATCH($C195,'PORTIFÓLIO'!$C$4:$C$433,0)),"")</f>
        <v/>
      </c>
      <c r="M195" s="220"/>
      <c r="N195" s="220"/>
      <c r="O195" s="220"/>
      <c r="P195" s="220"/>
      <c r="Q195" s="220"/>
      <c r="R195" s="220"/>
      <c r="S195" s="220"/>
      <c r="T195" s="220"/>
      <c r="U195" s="220"/>
      <c r="V195" s="220"/>
      <c r="W195" s="220"/>
    </row>
    <row r="196" ht="15.75" customHeight="1" outlineLevel="1">
      <c r="A196" s="211"/>
      <c r="B196" s="212"/>
      <c r="C196" s="213"/>
      <c r="D196" s="214" t="str">
        <f>IFERROR(VLOOKUP($C196,'PORTIFÓLIO'!C:V,2,0),"")</f>
        <v/>
      </c>
      <c r="E196" s="211" t="str">
        <f>IFERROR(VLOOKUP($C196,'PORTIFÓLIO'!C:V,3,0),"")</f>
        <v/>
      </c>
      <c r="F196" s="211" t="str">
        <f>IFERROR(VLOOKUP($C196,'PORTIFÓLIO'!C:V,4,0),"")</f>
        <v/>
      </c>
      <c r="G196" s="215" t="str">
        <f>IFERROR(VLOOKUP($C196,'PORTIFÓLIO'!C:V,5,0),"")</f>
        <v/>
      </c>
      <c r="H196" s="254" t="str">
        <f t="array" ref="H196">IFERROR(INDEX('PORTIFÓLIO'!$H$4:$H$433,MATCH($C196,'PORTIFÓLIO'!$C$4:$C$433,0)),"")</f>
        <v/>
      </c>
      <c r="I196" s="256"/>
      <c r="J196" s="218">
        <f t="shared" si="22"/>
        <v>0</v>
      </c>
      <c r="K196" s="219" t="str">
        <f t="array" ref="K196">IFERROR(I196*INDEX('PORTIFÓLIO'!$S$4:$S$433,MATCH($C196,'PORTIFÓLIO'!$C$4:$C$433,0)),"")</f>
        <v/>
      </c>
      <c r="L196" s="219" t="str">
        <f t="array" ref="L196">IFERROR(J196*INDEX('PORTIFÓLIO'!$S$4:$S$433,MATCH($C196,'PORTIFÓLIO'!$C$4:$C$433,0)),"")</f>
        <v/>
      </c>
      <c r="M196" s="220"/>
      <c r="N196" s="220"/>
      <c r="O196" s="220"/>
      <c r="P196" s="220"/>
      <c r="Q196" s="220"/>
      <c r="R196" s="220"/>
      <c r="S196" s="220"/>
      <c r="T196" s="220"/>
      <c r="U196" s="220"/>
      <c r="V196" s="220"/>
      <c r="W196" s="220"/>
    </row>
    <row r="197" ht="15.75" customHeight="1" outlineLevel="1">
      <c r="A197" s="211"/>
      <c r="B197" s="212"/>
      <c r="C197" s="213"/>
      <c r="D197" s="214" t="str">
        <f>IFERROR(VLOOKUP($C197,'PORTIFÓLIO'!C:V,2,0),"")</f>
        <v/>
      </c>
      <c r="E197" s="211" t="str">
        <f>IFERROR(VLOOKUP($C197,'PORTIFÓLIO'!C:V,3,0),"")</f>
        <v/>
      </c>
      <c r="F197" s="211" t="str">
        <f>IFERROR(VLOOKUP($C197,'PORTIFÓLIO'!C:V,4,0),"")</f>
        <v/>
      </c>
      <c r="G197" s="215" t="str">
        <f>IFERROR(VLOOKUP($C197,'PORTIFÓLIO'!C:V,5,0),"")</f>
        <v/>
      </c>
      <c r="H197" s="254" t="str">
        <f t="array" ref="H197">IFERROR(INDEX('PORTIFÓLIO'!$H$4:$H$433,MATCH($C197,'PORTIFÓLIO'!$C$4:$C$433,0)),"")</f>
        <v/>
      </c>
      <c r="I197" s="256"/>
      <c r="J197" s="218">
        <f t="shared" si="22"/>
        <v>0</v>
      </c>
      <c r="K197" s="219" t="str">
        <f t="array" ref="K197">IFERROR(I197*INDEX('PORTIFÓLIO'!$S$4:$S$433,MATCH($C197,'PORTIFÓLIO'!$C$4:$C$433,0)),"")</f>
        <v/>
      </c>
      <c r="L197" s="219" t="str">
        <f t="array" ref="L197">IFERROR(J197*INDEX('PORTIFÓLIO'!$S$4:$S$433,MATCH($C197,'PORTIFÓLIO'!$C$4:$C$433,0)),"")</f>
        <v/>
      </c>
      <c r="M197" s="220"/>
      <c r="N197" s="220"/>
      <c r="O197" s="220"/>
      <c r="P197" s="220"/>
      <c r="Q197" s="220"/>
      <c r="R197" s="220"/>
      <c r="S197" s="220"/>
      <c r="T197" s="220"/>
      <c r="U197" s="220"/>
      <c r="V197" s="220"/>
      <c r="W197" s="220"/>
    </row>
    <row r="198" ht="15.75" customHeight="1" outlineLevel="1">
      <c r="A198" s="211"/>
      <c r="B198" s="227"/>
      <c r="C198" s="211"/>
      <c r="D198" s="214" t="str">
        <f>IFERROR(VLOOKUP($C198,'PORTIFÓLIO'!C:V,2,0),"")</f>
        <v/>
      </c>
      <c r="E198" s="211" t="str">
        <f>IFERROR(VLOOKUP($C198,'PORTIFÓLIO'!C:V,3,0),"")</f>
        <v/>
      </c>
      <c r="F198" s="211" t="str">
        <f>IFERROR(VLOOKUP($C198,'PORTIFÓLIO'!C:V,4,0),"")</f>
        <v/>
      </c>
      <c r="G198" s="215" t="str">
        <f>IFERROR(VLOOKUP($C198,'PORTIFÓLIO'!C:V,5,0),"")</f>
        <v/>
      </c>
      <c r="H198" s="254" t="str">
        <f t="array" ref="H198">IFERROR(INDEX('PORTIFÓLIO'!$H$4:$H$433,MATCH($C198,'PORTIFÓLIO'!$C$4:$C$433,0)),"")</f>
        <v/>
      </c>
      <c r="I198" s="256"/>
      <c r="J198" s="218">
        <f t="shared" si="22"/>
        <v>0</v>
      </c>
      <c r="K198" s="219" t="str">
        <f t="array" ref="K198">IFERROR(I198*INDEX('PORTIFÓLIO'!$S$4:$S$433,MATCH($C198,'PORTIFÓLIO'!$C$4:$C$433,0)),"")</f>
        <v/>
      </c>
      <c r="L198" s="219" t="str">
        <f t="array" ref="L198">IFERROR(J198*INDEX('PORTIFÓLIO'!$S$4:$S$433,MATCH($C198,'PORTIFÓLIO'!$C$4:$C$433,0)),"")</f>
        <v/>
      </c>
      <c r="M198" s="220"/>
      <c r="N198" s="220"/>
      <c r="O198" s="220"/>
      <c r="P198" s="220"/>
      <c r="Q198" s="220"/>
      <c r="R198" s="220"/>
      <c r="S198" s="220"/>
      <c r="T198" s="220"/>
      <c r="U198" s="220"/>
      <c r="V198" s="220"/>
      <c r="W198" s="220"/>
    </row>
    <row r="199" ht="15.75" customHeight="1" outlineLevel="1">
      <c r="A199" s="211"/>
      <c r="B199" s="227"/>
      <c r="C199" s="211"/>
      <c r="D199" s="214" t="str">
        <f>IFERROR(VLOOKUP($C199,'PORTIFÓLIO'!C:V,2,0),"")</f>
        <v/>
      </c>
      <c r="E199" s="211" t="str">
        <f>IFERROR(VLOOKUP($C199,'PORTIFÓLIO'!C:V,3,0),"")</f>
        <v/>
      </c>
      <c r="F199" s="211" t="str">
        <f>IFERROR(VLOOKUP($C199,'PORTIFÓLIO'!C:V,4,0),"")</f>
        <v/>
      </c>
      <c r="G199" s="215" t="str">
        <f>IFERROR(VLOOKUP($C199,'PORTIFÓLIO'!C:V,5,0),"")</f>
        <v/>
      </c>
      <c r="H199" s="254" t="str">
        <f t="array" ref="H199">IFERROR(INDEX('PORTIFÓLIO'!$H$4:$H$433,MATCH($C199,'PORTIFÓLIO'!$C$4:$C$433,0)),"")</f>
        <v/>
      </c>
      <c r="I199" s="256"/>
      <c r="J199" s="218">
        <f t="shared" si="22"/>
        <v>0</v>
      </c>
      <c r="K199" s="219" t="str">
        <f t="array" ref="K199">IFERROR(I199*INDEX('PORTIFÓLIO'!$S$4:$S$433,MATCH($C199,'PORTIFÓLIO'!$C$4:$C$433,0)),"")</f>
        <v/>
      </c>
      <c r="L199" s="219" t="str">
        <f t="array" ref="L199">IFERROR(J199*INDEX('PORTIFÓLIO'!$S$4:$S$433,MATCH($C199,'PORTIFÓLIO'!$C$4:$C$433,0)),"")</f>
        <v/>
      </c>
      <c r="M199" s="220"/>
      <c r="N199" s="220"/>
      <c r="O199" s="220"/>
      <c r="P199" s="220"/>
      <c r="Q199" s="220"/>
      <c r="R199" s="220"/>
      <c r="S199" s="220"/>
      <c r="T199" s="220"/>
      <c r="U199" s="220"/>
      <c r="V199" s="220"/>
      <c r="W199" s="220"/>
    </row>
    <row r="200" ht="15.75" customHeight="1">
      <c r="A200" s="229" t="s">
        <v>1202</v>
      </c>
      <c r="B200" s="230"/>
      <c r="C200" s="231"/>
      <c r="D200" s="232"/>
      <c r="E200" s="231"/>
      <c r="F200" s="231"/>
      <c r="G200" s="233"/>
      <c r="H200" s="233"/>
      <c r="I200" s="258"/>
      <c r="J200" s="236"/>
      <c r="K200" s="237">
        <f t="shared" ref="K200:L200" si="23">SUBTOTAL(9,K201:K214)</f>
        <v>0</v>
      </c>
      <c r="L200" s="237">
        <f t="shared" si="23"/>
        <v>0</v>
      </c>
      <c r="M200" s="220"/>
      <c r="N200" s="220"/>
      <c r="O200" s="220"/>
      <c r="P200" s="220"/>
      <c r="Q200" s="220"/>
      <c r="R200" s="220"/>
      <c r="S200" s="220"/>
      <c r="T200" s="220"/>
      <c r="U200" s="220"/>
      <c r="V200" s="220"/>
      <c r="W200" s="220"/>
    </row>
    <row r="201" ht="15.75" customHeight="1" outlineLevel="1">
      <c r="A201" s="213"/>
      <c r="B201" s="212"/>
      <c r="C201" s="213"/>
      <c r="D201" s="214" t="str">
        <f>IFERROR(VLOOKUP($C201,'PORTIFÓLIO'!C:V,2,0),"")</f>
        <v/>
      </c>
      <c r="E201" s="211" t="str">
        <f>IFERROR(VLOOKUP($C201,'PORTIFÓLIO'!C:V,3,0),"")</f>
        <v/>
      </c>
      <c r="F201" s="211" t="str">
        <f>IFERROR(VLOOKUP($C201,'PORTIFÓLIO'!C:V,4,0),"")</f>
        <v/>
      </c>
      <c r="G201" s="215" t="str">
        <f>IFERROR(VLOOKUP($C201,'PORTIFÓLIO'!C:V,5,0),"")</f>
        <v/>
      </c>
      <c r="H201" s="254" t="str">
        <f t="array" ref="H201">IFERROR(INDEX('PORTIFÓLIO'!$H$4:$H$433,MATCH($C201,'PORTIFÓLIO'!$C$4:$C$433,0)),"")</f>
        <v/>
      </c>
      <c r="I201" s="256"/>
      <c r="J201" s="218">
        <f t="shared" ref="J201:J224" si="24">I201*$B$2</f>
        <v>0</v>
      </c>
      <c r="K201" s="219" t="str">
        <f>IFERROR(I201* VLOOKUP($C201,'PORTIFÓLIO'!C:V,10,0),"")</f>
        <v/>
      </c>
      <c r="L201" s="219" t="str">
        <f>IFERROR(J201* VLOOKUP($C201,'PORTIFÓLIO'!C:V,10,0),"")</f>
        <v/>
      </c>
      <c r="M201" s="220"/>
      <c r="N201" s="220"/>
      <c r="O201" s="220"/>
      <c r="P201" s="220"/>
      <c r="Q201" s="220"/>
      <c r="R201" s="220"/>
      <c r="S201" s="220"/>
      <c r="T201" s="220"/>
      <c r="U201" s="220"/>
      <c r="V201" s="220"/>
      <c r="W201" s="220"/>
    </row>
    <row r="202" ht="15.75" customHeight="1" outlineLevel="1">
      <c r="A202" s="211"/>
      <c r="B202" s="212"/>
      <c r="C202" s="213"/>
      <c r="D202" s="214" t="str">
        <f>IFERROR(VLOOKUP($C202,'PORTIFÓLIO'!C:V,2,0),"")</f>
        <v/>
      </c>
      <c r="E202" s="211" t="str">
        <f>IFERROR(VLOOKUP($C202,'PORTIFÓLIO'!C:V,3,0),"")</f>
        <v/>
      </c>
      <c r="F202" s="211" t="str">
        <f>IFERROR(VLOOKUP($C202,'PORTIFÓLIO'!C:V,4,0),"")</f>
        <v/>
      </c>
      <c r="G202" s="215" t="str">
        <f>IFERROR(VLOOKUP($C202,'PORTIFÓLIO'!C:V,5,0),"")</f>
        <v/>
      </c>
      <c r="H202" s="254" t="str">
        <f t="array" ref="H202">IFERROR(INDEX('PORTIFÓLIO'!$H$4:$H$433,MATCH($C202,'PORTIFÓLIO'!$C$4:$C$433,0)),"")</f>
        <v/>
      </c>
      <c r="I202" s="256"/>
      <c r="J202" s="218">
        <f t="shared" si="24"/>
        <v>0</v>
      </c>
      <c r="K202" s="219" t="str">
        <f>IFERROR(I202* VLOOKUP($C202,'PORTIFÓLIO'!C:V,10,0),"")</f>
        <v/>
      </c>
      <c r="L202" s="219" t="str">
        <f>IFERROR(J202* VLOOKUP($C202,'PORTIFÓLIO'!C:V,10,0),"")</f>
        <v/>
      </c>
      <c r="M202" s="220"/>
      <c r="N202" s="220"/>
      <c r="O202" s="220"/>
      <c r="P202" s="220"/>
      <c r="Q202" s="220"/>
      <c r="R202" s="220"/>
      <c r="S202" s="220"/>
      <c r="T202" s="220"/>
      <c r="U202" s="220"/>
      <c r="V202" s="220"/>
      <c r="W202" s="220"/>
    </row>
    <row r="203" ht="15.75" customHeight="1" outlineLevel="1">
      <c r="A203" s="211"/>
      <c r="B203" s="212"/>
      <c r="C203" s="213"/>
      <c r="D203" s="214" t="str">
        <f>IFERROR(VLOOKUP($C203,'PORTIFÓLIO'!C:V,2,0),"")</f>
        <v/>
      </c>
      <c r="E203" s="211" t="str">
        <f>IFERROR(VLOOKUP($C203,'PORTIFÓLIO'!C:V,3,0),"")</f>
        <v/>
      </c>
      <c r="F203" s="211" t="str">
        <f>IFERROR(VLOOKUP($C203,'PORTIFÓLIO'!C:V,4,0),"")</f>
        <v/>
      </c>
      <c r="G203" s="215" t="str">
        <f>IFERROR(VLOOKUP($C203,'PORTIFÓLIO'!C:V,5,0),"")</f>
        <v/>
      </c>
      <c r="H203" s="254" t="str">
        <f t="array" ref="H203">IFERROR(INDEX('PORTIFÓLIO'!$H$4:$H$433,MATCH($C203,'PORTIFÓLIO'!$C$4:$C$433,0)),"")</f>
        <v/>
      </c>
      <c r="I203" s="256"/>
      <c r="J203" s="218">
        <f t="shared" si="24"/>
        <v>0</v>
      </c>
      <c r="K203" s="219" t="str">
        <f>IFERROR(I203* VLOOKUP($C203,'PORTIFÓLIO'!C:V,10,0),"")</f>
        <v/>
      </c>
      <c r="L203" s="219" t="str">
        <f>IFERROR(J203* VLOOKUP($C203,'PORTIFÓLIO'!C:V,10,0),"")</f>
        <v/>
      </c>
      <c r="M203" s="220"/>
      <c r="N203" s="220"/>
      <c r="O203" s="220"/>
      <c r="P203" s="220"/>
      <c r="Q203" s="220"/>
      <c r="R203" s="220"/>
      <c r="S203" s="220"/>
      <c r="T203" s="220"/>
      <c r="U203" s="220"/>
      <c r="V203" s="220"/>
      <c r="W203" s="220"/>
    </row>
    <row r="204" ht="15.75" customHeight="1" outlineLevel="1">
      <c r="A204" s="211"/>
      <c r="B204" s="212"/>
      <c r="C204" s="213"/>
      <c r="D204" s="214" t="str">
        <f>IFERROR(VLOOKUP($C204,'PORTIFÓLIO'!C:V,2,0),"")</f>
        <v/>
      </c>
      <c r="E204" s="211" t="str">
        <f>IFERROR(VLOOKUP($C204,'PORTIFÓLIO'!C:V,3,0),"")</f>
        <v/>
      </c>
      <c r="F204" s="211" t="str">
        <f>IFERROR(VLOOKUP($C204,'PORTIFÓLIO'!C:V,4,0),"")</f>
        <v/>
      </c>
      <c r="G204" s="215" t="str">
        <f>IFERROR(VLOOKUP($C204,'PORTIFÓLIO'!C:V,5,0),"")</f>
        <v/>
      </c>
      <c r="H204" s="254" t="str">
        <f t="array" ref="H204">IFERROR(INDEX('PORTIFÓLIO'!$H$4:$H$433,MATCH($C204,'PORTIFÓLIO'!$C$4:$C$433,0)),"")</f>
        <v/>
      </c>
      <c r="I204" s="256"/>
      <c r="J204" s="218">
        <f t="shared" si="24"/>
        <v>0</v>
      </c>
      <c r="K204" s="219" t="str">
        <f>IFERROR(I204* VLOOKUP($C204,'PORTIFÓLIO'!C:V,10,0),"")</f>
        <v/>
      </c>
      <c r="L204" s="219" t="str">
        <f>IFERROR(J204* VLOOKUP($C204,'PORTIFÓLIO'!C:V,10,0),"")</f>
        <v/>
      </c>
      <c r="M204" s="220"/>
      <c r="N204" s="220"/>
      <c r="O204" s="220"/>
      <c r="P204" s="220"/>
      <c r="Q204" s="220"/>
      <c r="R204" s="220"/>
      <c r="S204" s="220"/>
      <c r="T204" s="220"/>
      <c r="U204" s="220"/>
      <c r="V204" s="220"/>
      <c r="W204" s="220"/>
    </row>
    <row r="205" ht="15.75" customHeight="1" outlineLevel="1">
      <c r="A205" s="211"/>
      <c r="B205" s="212"/>
      <c r="C205" s="213"/>
      <c r="D205" s="214" t="str">
        <f>IFERROR(VLOOKUP($C205,'PORTIFÓLIO'!C:V,2,0),"")</f>
        <v/>
      </c>
      <c r="E205" s="211" t="str">
        <f>IFERROR(VLOOKUP($C205,'PORTIFÓLIO'!C:V,3,0),"")</f>
        <v/>
      </c>
      <c r="F205" s="211" t="str">
        <f>IFERROR(VLOOKUP($C205,'PORTIFÓLIO'!C:V,4,0),"")</f>
        <v/>
      </c>
      <c r="G205" s="215" t="str">
        <f>IFERROR(VLOOKUP($C205,'PORTIFÓLIO'!C:V,5,0),"")</f>
        <v/>
      </c>
      <c r="H205" s="254" t="str">
        <f t="array" ref="H205">IFERROR(INDEX('PORTIFÓLIO'!$H$4:$H$433,MATCH($C205,'PORTIFÓLIO'!$C$4:$C$433,0)),"")</f>
        <v/>
      </c>
      <c r="I205" s="256"/>
      <c r="J205" s="218">
        <f t="shared" si="24"/>
        <v>0</v>
      </c>
      <c r="K205" s="219" t="str">
        <f>IFERROR(I205* VLOOKUP($C205,'PORTIFÓLIO'!C:V,10,0),"")</f>
        <v/>
      </c>
      <c r="L205" s="219" t="str">
        <f>IFERROR(J205* VLOOKUP($C205,'PORTIFÓLIO'!C:V,10,0),"")</f>
        <v/>
      </c>
      <c r="M205" s="220"/>
      <c r="N205" s="220"/>
      <c r="O205" s="220"/>
      <c r="P205" s="220"/>
      <c r="Q205" s="220"/>
      <c r="R205" s="220"/>
      <c r="S205" s="220"/>
      <c r="T205" s="220"/>
      <c r="U205" s="220"/>
      <c r="V205" s="220"/>
      <c r="W205" s="220"/>
    </row>
    <row r="206" ht="15.75" customHeight="1" outlineLevel="1">
      <c r="A206" s="211"/>
      <c r="B206" s="212"/>
      <c r="C206" s="213"/>
      <c r="D206" s="214" t="str">
        <f>IFERROR(VLOOKUP($C206,'PORTIFÓLIO'!C:V,2,0),"")</f>
        <v/>
      </c>
      <c r="E206" s="211" t="str">
        <f>IFERROR(VLOOKUP($C206,'PORTIFÓLIO'!C:V,3,0),"")</f>
        <v/>
      </c>
      <c r="F206" s="211" t="str">
        <f>IFERROR(VLOOKUP($C206,'PORTIFÓLIO'!C:V,4,0),"")</f>
        <v/>
      </c>
      <c r="G206" s="215" t="str">
        <f>IFERROR(VLOOKUP($C206,'PORTIFÓLIO'!C:V,5,0),"")</f>
        <v/>
      </c>
      <c r="H206" s="254" t="str">
        <f t="array" ref="H206">IFERROR(INDEX('PORTIFÓLIO'!$H$4:$H$433,MATCH($C206,'PORTIFÓLIO'!$C$4:$C$433,0)),"")</f>
        <v/>
      </c>
      <c r="I206" s="256"/>
      <c r="J206" s="218">
        <f t="shared" si="24"/>
        <v>0</v>
      </c>
      <c r="K206" s="219" t="str">
        <f>IFERROR(I206* VLOOKUP($C206,'PORTIFÓLIO'!C:V,10,0),"")</f>
        <v/>
      </c>
      <c r="L206" s="219" t="str">
        <f>IFERROR(J206* VLOOKUP($C206,'PORTIFÓLIO'!C:V,10,0),"")</f>
        <v/>
      </c>
      <c r="M206" s="220"/>
      <c r="N206" s="220"/>
      <c r="O206" s="220"/>
      <c r="P206" s="220"/>
      <c r="Q206" s="220"/>
      <c r="R206" s="220"/>
      <c r="S206" s="220"/>
      <c r="T206" s="220"/>
      <c r="U206" s="220"/>
      <c r="V206" s="220"/>
      <c r="W206" s="220"/>
    </row>
    <row r="207" ht="15.75" customHeight="1" outlineLevel="1">
      <c r="A207" s="211"/>
      <c r="B207" s="212"/>
      <c r="C207" s="213"/>
      <c r="D207" s="214" t="str">
        <f>IFERROR(VLOOKUP($C207,'PORTIFÓLIO'!C:V,2,0),"")</f>
        <v/>
      </c>
      <c r="E207" s="211" t="str">
        <f>IFERROR(VLOOKUP($C207,'PORTIFÓLIO'!C:V,3,0),"")</f>
        <v/>
      </c>
      <c r="F207" s="211" t="str">
        <f>IFERROR(VLOOKUP($C207,'PORTIFÓLIO'!C:V,4,0),"")</f>
        <v/>
      </c>
      <c r="G207" s="215" t="str">
        <f>IFERROR(VLOOKUP($C207,'PORTIFÓLIO'!C:V,5,0),"")</f>
        <v/>
      </c>
      <c r="H207" s="254" t="str">
        <f t="array" ref="H207">IFERROR(INDEX('PORTIFÓLIO'!$H$4:$H$433,MATCH($C207,'PORTIFÓLIO'!$C$4:$C$433,0)),"")</f>
        <v/>
      </c>
      <c r="I207" s="256"/>
      <c r="J207" s="218">
        <f t="shared" si="24"/>
        <v>0</v>
      </c>
      <c r="K207" s="219" t="str">
        <f>IFERROR(I207* VLOOKUP($C207,'PORTIFÓLIO'!C:V,10,0),"")</f>
        <v/>
      </c>
      <c r="L207" s="219" t="str">
        <f>IFERROR(J207* VLOOKUP($C207,'PORTIFÓLIO'!C:V,10,0),"")</f>
        <v/>
      </c>
      <c r="M207" s="220"/>
      <c r="N207" s="220"/>
      <c r="O207" s="220"/>
      <c r="P207" s="220"/>
      <c r="Q207" s="220"/>
      <c r="R207" s="220"/>
      <c r="S207" s="220"/>
      <c r="T207" s="220"/>
      <c r="U207" s="220"/>
      <c r="V207" s="220"/>
      <c r="W207" s="220"/>
    </row>
    <row r="208" ht="15.75" customHeight="1" outlineLevel="1">
      <c r="A208" s="211"/>
      <c r="B208" s="212"/>
      <c r="C208" s="213"/>
      <c r="D208" s="214" t="str">
        <f>IFERROR(VLOOKUP($C208,'PORTIFÓLIO'!C:V,2,0),"")</f>
        <v/>
      </c>
      <c r="E208" s="211" t="str">
        <f>IFERROR(VLOOKUP($C208,'PORTIFÓLIO'!C:V,3,0),"")</f>
        <v/>
      </c>
      <c r="F208" s="211" t="str">
        <f>IFERROR(VLOOKUP($C208,'PORTIFÓLIO'!C:V,4,0),"")</f>
        <v/>
      </c>
      <c r="G208" s="215" t="str">
        <f>IFERROR(VLOOKUP($C208,'PORTIFÓLIO'!C:V,5,0),"")</f>
        <v/>
      </c>
      <c r="H208" s="254" t="str">
        <f t="array" ref="H208">IFERROR(INDEX('PORTIFÓLIO'!$H$4:$H$433,MATCH($C208,'PORTIFÓLIO'!$C$4:$C$433,0)),"")</f>
        <v/>
      </c>
      <c r="I208" s="256"/>
      <c r="J208" s="218">
        <f t="shared" si="24"/>
        <v>0</v>
      </c>
      <c r="K208" s="219" t="str">
        <f>IFERROR(I208* VLOOKUP($C208,'PORTIFÓLIO'!C:V,10,0),"")</f>
        <v/>
      </c>
      <c r="L208" s="219" t="str">
        <f>IFERROR(J208* VLOOKUP($C208,'PORTIFÓLIO'!C:V,10,0),"")</f>
        <v/>
      </c>
      <c r="M208" s="220"/>
      <c r="N208" s="220"/>
      <c r="O208" s="220"/>
      <c r="P208" s="220"/>
      <c r="Q208" s="220"/>
      <c r="R208" s="220"/>
      <c r="S208" s="220"/>
      <c r="T208" s="220"/>
      <c r="U208" s="220"/>
      <c r="V208" s="220"/>
      <c r="W208" s="220"/>
    </row>
    <row r="209" ht="15.75" customHeight="1" outlineLevel="1">
      <c r="A209" s="211"/>
      <c r="B209" s="212"/>
      <c r="C209" s="213"/>
      <c r="D209" s="214" t="str">
        <f>IFERROR(VLOOKUP($C209,'PORTIFÓLIO'!C:V,2,0),"")</f>
        <v/>
      </c>
      <c r="E209" s="211" t="str">
        <f>IFERROR(VLOOKUP($C209,'PORTIFÓLIO'!C:V,3,0),"")</f>
        <v/>
      </c>
      <c r="F209" s="211" t="str">
        <f>IFERROR(VLOOKUP($C209,'PORTIFÓLIO'!C:V,4,0),"")</f>
        <v/>
      </c>
      <c r="G209" s="215" t="str">
        <f>IFERROR(VLOOKUP($C209,'PORTIFÓLIO'!C:V,5,0),"")</f>
        <v/>
      </c>
      <c r="H209" s="254" t="str">
        <f t="array" ref="H209">IFERROR(INDEX('PORTIFÓLIO'!$H$4:$H$433,MATCH($C209,'PORTIFÓLIO'!$C$4:$C$433,0)),"")</f>
        <v/>
      </c>
      <c r="I209" s="256"/>
      <c r="J209" s="218">
        <f t="shared" si="24"/>
        <v>0</v>
      </c>
      <c r="K209" s="219" t="str">
        <f>IFERROR(I209* VLOOKUP($C209,'PORTIFÓLIO'!C:V,10,0),"")</f>
        <v/>
      </c>
      <c r="L209" s="219" t="str">
        <f>IFERROR(J209* VLOOKUP($C209,'PORTIFÓLIO'!C:V,10,0),"")</f>
        <v/>
      </c>
      <c r="M209" s="220"/>
      <c r="N209" s="220"/>
      <c r="O209" s="220"/>
      <c r="P209" s="220"/>
      <c r="Q209" s="220"/>
      <c r="R209" s="220"/>
      <c r="S209" s="220"/>
      <c r="T209" s="220"/>
      <c r="U209" s="220"/>
      <c r="V209" s="220"/>
      <c r="W209" s="220"/>
    </row>
    <row r="210" ht="15.75" customHeight="1" outlineLevel="1">
      <c r="A210" s="211"/>
      <c r="B210" s="212"/>
      <c r="C210" s="213"/>
      <c r="D210" s="214" t="str">
        <f>IFERROR(VLOOKUP($C210,'PORTIFÓLIO'!C:V,2,0),"")</f>
        <v/>
      </c>
      <c r="E210" s="211" t="str">
        <f>IFERROR(VLOOKUP($C210,'PORTIFÓLIO'!C:V,3,0),"")</f>
        <v/>
      </c>
      <c r="F210" s="211" t="str">
        <f>IFERROR(VLOOKUP($C210,'PORTIFÓLIO'!C:V,4,0),"")</f>
        <v/>
      </c>
      <c r="G210" s="215" t="str">
        <f>IFERROR(VLOOKUP($C210,'PORTIFÓLIO'!C:V,5,0),"")</f>
        <v/>
      </c>
      <c r="H210" s="254" t="str">
        <f t="array" ref="H210">IFERROR(INDEX('PORTIFÓLIO'!$H$4:$H$433,MATCH($C210,'PORTIFÓLIO'!$C$4:$C$433,0)),"")</f>
        <v/>
      </c>
      <c r="I210" s="256"/>
      <c r="J210" s="218">
        <f t="shared" si="24"/>
        <v>0</v>
      </c>
      <c r="K210" s="219" t="str">
        <f>IFERROR(I210* VLOOKUP($C210,'PORTIFÓLIO'!C:V,10,0),"")</f>
        <v/>
      </c>
      <c r="L210" s="219" t="str">
        <f>IFERROR(J210* VLOOKUP($C210,'PORTIFÓLIO'!C:V,10,0),"")</f>
        <v/>
      </c>
      <c r="M210" s="220"/>
      <c r="N210" s="220"/>
      <c r="O210" s="220"/>
      <c r="P210" s="220"/>
      <c r="Q210" s="220"/>
      <c r="R210" s="220"/>
      <c r="S210" s="220"/>
      <c r="T210" s="220"/>
      <c r="U210" s="220"/>
      <c r="V210" s="220"/>
      <c r="W210" s="220"/>
    </row>
    <row r="211" ht="15.75" customHeight="1" outlineLevel="1">
      <c r="A211" s="211"/>
      <c r="B211" s="212"/>
      <c r="C211" s="213"/>
      <c r="D211" s="214" t="str">
        <f>IFERROR(VLOOKUP($C211,'PORTIFÓLIO'!C:V,2,0),"")</f>
        <v/>
      </c>
      <c r="E211" s="211" t="str">
        <f>IFERROR(VLOOKUP($C211,'PORTIFÓLIO'!C:V,3,0),"")</f>
        <v/>
      </c>
      <c r="F211" s="211" t="str">
        <f>IFERROR(VLOOKUP($C211,'PORTIFÓLIO'!C:V,4,0),"")</f>
        <v/>
      </c>
      <c r="G211" s="215" t="str">
        <f>IFERROR(VLOOKUP($C211,'PORTIFÓLIO'!C:V,5,0),"")</f>
        <v/>
      </c>
      <c r="H211" s="254" t="str">
        <f t="array" ref="H211">IFERROR(INDEX('PORTIFÓLIO'!$H$4:$H$433,MATCH($C211,'PORTIFÓLIO'!$C$4:$C$433,0)),"")</f>
        <v/>
      </c>
      <c r="I211" s="256"/>
      <c r="J211" s="218">
        <f t="shared" si="24"/>
        <v>0</v>
      </c>
      <c r="K211" s="219" t="str">
        <f>IFERROR(I211* VLOOKUP($C211,'PORTIFÓLIO'!C:V,10,0),"")</f>
        <v/>
      </c>
      <c r="L211" s="219" t="str">
        <f>IFERROR(J211* VLOOKUP($C211,'PORTIFÓLIO'!C:V,10,0),"")</f>
        <v/>
      </c>
      <c r="M211" s="220"/>
      <c r="N211" s="220"/>
      <c r="O211" s="220"/>
      <c r="P211" s="220"/>
      <c r="Q211" s="220"/>
      <c r="R211" s="220"/>
      <c r="S211" s="220"/>
      <c r="T211" s="220"/>
      <c r="U211" s="220"/>
      <c r="V211" s="220"/>
      <c r="W211" s="220"/>
    </row>
    <row r="212" ht="15.75" customHeight="1" outlineLevel="1">
      <c r="A212" s="211"/>
      <c r="B212" s="212"/>
      <c r="C212" s="213"/>
      <c r="D212" s="214" t="str">
        <f>IFERROR(VLOOKUP($C212,'PORTIFÓLIO'!C:V,2,0),"")</f>
        <v/>
      </c>
      <c r="E212" s="211" t="str">
        <f>IFERROR(VLOOKUP($C212,'PORTIFÓLIO'!C:V,3,0),"")</f>
        <v/>
      </c>
      <c r="F212" s="211" t="str">
        <f>IFERROR(VLOOKUP($C212,'PORTIFÓLIO'!C:V,4,0),"")</f>
        <v/>
      </c>
      <c r="G212" s="215" t="str">
        <f>IFERROR(VLOOKUP($C212,'PORTIFÓLIO'!C:V,5,0),"")</f>
        <v/>
      </c>
      <c r="H212" s="254" t="str">
        <f t="array" ref="H212">IFERROR(INDEX('PORTIFÓLIO'!$H$4:$H$433,MATCH($C212,'PORTIFÓLIO'!$C$4:$C$433,0)),"")</f>
        <v/>
      </c>
      <c r="I212" s="256"/>
      <c r="J212" s="218">
        <f t="shared" si="24"/>
        <v>0</v>
      </c>
      <c r="K212" s="219" t="str">
        <f>IFERROR(I212* VLOOKUP($C212,'PORTIFÓLIO'!C:V,10,0),"")</f>
        <v/>
      </c>
      <c r="L212" s="219" t="str">
        <f>IFERROR(J212* VLOOKUP($C212,'PORTIFÓLIO'!C:V,10,0),"")</f>
        <v/>
      </c>
      <c r="M212" s="220"/>
      <c r="N212" s="220"/>
      <c r="O212" s="220"/>
      <c r="P212" s="220"/>
      <c r="Q212" s="220"/>
      <c r="R212" s="220"/>
      <c r="S212" s="220"/>
      <c r="T212" s="220"/>
      <c r="U212" s="220"/>
      <c r="V212" s="220"/>
      <c r="W212" s="220"/>
    </row>
    <row r="213" ht="15.75" customHeight="1" outlineLevel="1">
      <c r="A213" s="211"/>
      <c r="B213" s="212"/>
      <c r="C213" s="213"/>
      <c r="D213" s="214" t="str">
        <f>IFERROR(VLOOKUP($C213,'PORTIFÓLIO'!C:V,2,0),"")</f>
        <v/>
      </c>
      <c r="E213" s="211" t="str">
        <f>IFERROR(VLOOKUP($C213,'PORTIFÓLIO'!C:V,3,0),"")</f>
        <v/>
      </c>
      <c r="F213" s="211" t="str">
        <f>IFERROR(VLOOKUP($C213,'PORTIFÓLIO'!C:V,4,0),"")</f>
        <v/>
      </c>
      <c r="G213" s="215" t="str">
        <f>IFERROR(VLOOKUP($C213,'PORTIFÓLIO'!C:V,5,0),"")</f>
        <v/>
      </c>
      <c r="H213" s="254" t="str">
        <f t="array" ref="H213">IFERROR(INDEX('PORTIFÓLIO'!$H$4:$H$433,MATCH($C213,'PORTIFÓLIO'!$C$4:$C$433,0)),"")</f>
        <v/>
      </c>
      <c r="I213" s="256"/>
      <c r="J213" s="218">
        <f t="shared" si="24"/>
        <v>0</v>
      </c>
      <c r="K213" s="219" t="str">
        <f>IFERROR(I213* VLOOKUP($C213,'PORTIFÓLIO'!C:V,10,0),"")</f>
        <v/>
      </c>
      <c r="L213" s="219" t="str">
        <f>IFERROR(J213* VLOOKUP($C213,'PORTIFÓLIO'!C:V,10,0),"")</f>
        <v/>
      </c>
      <c r="M213" s="220"/>
      <c r="N213" s="220"/>
      <c r="O213" s="220"/>
      <c r="P213" s="220"/>
      <c r="Q213" s="220"/>
      <c r="R213" s="220"/>
      <c r="S213" s="220"/>
      <c r="T213" s="220"/>
      <c r="U213" s="220"/>
      <c r="V213" s="220"/>
      <c r="W213" s="220"/>
    </row>
    <row r="214" ht="15.75" customHeight="1" outlineLevel="1">
      <c r="A214" s="211"/>
      <c r="B214" s="212"/>
      <c r="C214" s="213"/>
      <c r="D214" s="214" t="str">
        <f>IFERROR(VLOOKUP($C214,'PORTIFÓLIO'!C:V,2,0),"")</f>
        <v/>
      </c>
      <c r="E214" s="211" t="str">
        <f>IFERROR(VLOOKUP($C214,'PORTIFÓLIO'!C:V,3,0),"")</f>
        <v/>
      </c>
      <c r="F214" s="211" t="str">
        <f>IFERROR(VLOOKUP($C214,'PORTIFÓLIO'!C:V,4,0),"")</f>
        <v/>
      </c>
      <c r="G214" s="215" t="str">
        <f>IFERROR(VLOOKUP($C214,'PORTIFÓLIO'!C:V,5,0),"")</f>
        <v/>
      </c>
      <c r="H214" s="254" t="str">
        <f t="array" ref="H214">IFERROR(INDEX('PORTIFÓLIO'!$H$4:$H$433,MATCH($C214,'PORTIFÓLIO'!$C$4:$C$433,0)),"")</f>
        <v/>
      </c>
      <c r="I214" s="256"/>
      <c r="J214" s="218">
        <f t="shared" si="24"/>
        <v>0</v>
      </c>
      <c r="K214" s="219" t="str">
        <f>IFERROR(I214* VLOOKUP($C214,'PORTIFÓLIO'!C:V,10,0),"")</f>
        <v/>
      </c>
      <c r="L214" s="219" t="str">
        <f>IFERROR(J214* VLOOKUP($C214,'PORTIFÓLIO'!C:V,10,0),"")</f>
        <v/>
      </c>
      <c r="M214" s="220"/>
      <c r="N214" s="220"/>
      <c r="O214" s="220"/>
      <c r="P214" s="220"/>
      <c r="Q214" s="220"/>
      <c r="R214" s="220"/>
      <c r="S214" s="220"/>
      <c r="T214" s="220"/>
      <c r="U214" s="220"/>
      <c r="V214" s="220"/>
      <c r="W214" s="220"/>
    </row>
    <row r="215" ht="15.75" customHeight="1" outlineLevel="1">
      <c r="A215" s="211"/>
      <c r="B215" s="212"/>
      <c r="C215" s="213"/>
      <c r="D215" s="214" t="str">
        <f>IFERROR(VLOOKUP($C215,'PORTIFÓLIO'!C:V,2,0),"")</f>
        <v/>
      </c>
      <c r="E215" s="211" t="str">
        <f>IFERROR(VLOOKUP($C215,'PORTIFÓLIO'!C:V,3,0),"")</f>
        <v/>
      </c>
      <c r="F215" s="211" t="str">
        <f>IFERROR(VLOOKUP($C215,'PORTIFÓLIO'!C:V,4,0),"")</f>
        <v/>
      </c>
      <c r="G215" s="215" t="str">
        <f>IFERROR(VLOOKUP($C215,'PORTIFÓLIO'!C:V,5,0),"")</f>
        <v/>
      </c>
      <c r="H215" s="254" t="str">
        <f t="array" ref="H215">IFERROR(INDEX('PORTIFÓLIO'!$H$4:$H$433,MATCH($C215,'PORTIFÓLIO'!$C$4:$C$433,0)),"")</f>
        <v/>
      </c>
      <c r="I215" s="256"/>
      <c r="J215" s="218">
        <f t="shared" si="24"/>
        <v>0</v>
      </c>
      <c r="K215" s="219" t="str">
        <f>IFERROR(I215* VLOOKUP($C215,'PORTIFÓLIO'!C:V,10,0),"")</f>
        <v/>
      </c>
      <c r="L215" s="219" t="str">
        <f>IFERROR(J215* VLOOKUP($C215,'PORTIFÓLIO'!C:V,10,0),"")</f>
        <v/>
      </c>
      <c r="M215" s="220"/>
      <c r="N215" s="220"/>
      <c r="O215" s="220"/>
      <c r="P215" s="220"/>
      <c r="Q215" s="220"/>
      <c r="R215" s="220"/>
      <c r="S215" s="220"/>
      <c r="T215" s="220"/>
      <c r="U215" s="220"/>
      <c r="V215" s="220"/>
      <c r="W215" s="220"/>
    </row>
    <row r="216" ht="15.75" customHeight="1" outlineLevel="1">
      <c r="A216" s="211"/>
      <c r="B216" s="227"/>
      <c r="C216" s="211"/>
      <c r="D216" s="214" t="str">
        <f>IFERROR(VLOOKUP($C216,'PORTIFÓLIO'!C:V,2,0),"")</f>
        <v/>
      </c>
      <c r="E216" s="211" t="str">
        <f>IFERROR(VLOOKUP($C216,'PORTIFÓLIO'!C:V,3,0),"")</f>
        <v/>
      </c>
      <c r="F216" s="211" t="str">
        <f>IFERROR(VLOOKUP($C216,'PORTIFÓLIO'!C:V,4,0),"")</f>
        <v/>
      </c>
      <c r="G216" s="215" t="str">
        <f>IFERROR(VLOOKUP($C216,'PORTIFÓLIO'!C:V,5,0),"")</f>
        <v/>
      </c>
      <c r="H216" s="254" t="str">
        <f t="array" ref="H216">IFERROR(INDEX('PORTIFÓLIO'!$H$4:$H$433,MATCH($C216,'PORTIFÓLIO'!$C$4:$C$433,0)),"")</f>
        <v/>
      </c>
      <c r="I216" s="256"/>
      <c r="J216" s="218">
        <f t="shared" si="24"/>
        <v>0</v>
      </c>
      <c r="K216" s="219" t="str">
        <f>IFERROR(I216* VLOOKUP($C216,'PORTIFÓLIO'!C:V,10,0),"")</f>
        <v/>
      </c>
      <c r="L216" s="219" t="str">
        <f>IFERROR(J216* VLOOKUP($C216,'PORTIFÓLIO'!C:V,10,0),"")</f>
        <v/>
      </c>
      <c r="M216" s="220"/>
      <c r="N216" s="220"/>
      <c r="O216" s="220"/>
      <c r="P216" s="220"/>
      <c r="Q216" s="220"/>
      <c r="R216" s="220"/>
      <c r="S216" s="220"/>
      <c r="T216" s="220"/>
      <c r="U216" s="220"/>
      <c r="V216" s="220"/>
      <c r="W216" s="220"/>
    </row>
    <row r="217" ht="15.75" customHeight="1" outlineLevel="1">
      <c r="A217" s="211"/>
      <c r="B217" s="227"/>
      <c r="C217" s="211"/>
      <c r="D217" s="214" t="str">
        <f>IFERROR(VLOOKUP($C217,'PORTIFÓLIO'!C:V,2,0),"")</f>
        <v/>
      </c>
      <c r="E217" s="211" t="str">
        <f>IFERROR(VLOOKUP($C217,'PORTIFÓLIO'!C:V,3,0),"")</f>
        <v/>
      </c>
      <c r="F217" s="211" t="str">
        <f>IFERROR(VLOOKUP($C217,'PORTIFÓLIO'!C:V,4,0),"")</f>
        <v/>
      </c>
      <c r="G217" s="215" t="str">
        <f>IFERROR(VLOOKUP($C217,'PORTIFÓLIO'!C:V,5,0),"")</f>
        <v/>
      </c>
      <c r="H217" s="254" t="str">
        <f t="array" ref="H217">IFERROR(INDEX('PORTIFÓLIO'!$H$4:$H$433,MATCH($C217,'PORTIFÓLIO'!$C$4:$C$433,0)),"")</f>
        <v/>
      </c>
      <c r="I217" s="256"/>
      <c r="J217" s="218">
        <f t="shared" si="24"/>
        <v>0</v>
      </c>
      <c r="K217" s="219" t="str">
        <f>IFERROR(I217* VLOOKUP($C217,'PORTIFÓLIO'!C:V,10,0),"")</f>
        <v/>
      </c>
      <c r="L217" s="219" t="str">
        <f>IFERROR(J217* VLOOKUP($C217,'PORTIFÓLIO'!C:V,10,0),"")</f>
        <v/>
      </c>
      <c r="M217" s="220"/>
      <c r="N217" s="220"/>
      <c r="O217" s="220"/>
      <c r="P217" s="220"/>
      <c r="Q217" s="220"/>
      <c r="R217" s="220"/>
      <c r="S217" s="220"/>
      <c r="T217" s="220"/>
      <c r="U217" s="220"/>
      <c r="V217" s="220"/>
      <c r="W217" s="220"/>
    </row>
    <row r="218" ht="15.75" customHeight="1" outlineLevel="1">
      <c r="A218" s="211"/>
      <c r="B218" s="227"/>
      <c r="C218" s="211"/>
      <c r="D218" s="214" t="str">
        <f>IFERROR(VLOOKUP($C218,'PORTIFÓLIO'!C:V,2,0),"")</f>
        <v/>
      </c>
      <c r="E218" s="211" t="str">
        <f>IFERROR(VLOOKUP($C218,'PORTIFÓLIO'!C:V,3,0),"")</f>
        <v/>
      </c>
      <c r="F218" s="211" t="str">
        <f>IFERROR(VLOOKUP($C218,'PORTIFÓLIO'!C:V,4,0),"")</f>
        <v/>
      </c>
      <c r="G218" s="215" t="str">
        <f>IFERROR(VLOOKUP($C218,'PORTIFÓLIO'!C:V,5,0),"")</f>
        <v/>
      </c>
      <c r="H218" s="254" t="str">
        <f t="array" ref="H218">IFERROR(INDEX('PORTIFÓLIO'!$H$4:$H$433,MATCH($C218,'PORTIFÓLIO'!$C$4:$C$433,0)),"")</f>
        <v/>
      </c>
      <c r="I218" s="256"/>
      <c r="J218" s="218">
        <f t="shared" si="24"/>
        <v>0</v>
      </c>
      <c r="K218" s="219" t="str">
        <f>IFERROR(I218* VLOOKUP($C218,'PORTIFÓLIO'!C:V,10,0),"")</f>
        <v/>
      </c>
      <c r="L218" s="219" t="str">
        <f>IFERROR(J218* VLOOKUP($C218,'PORTIFÓLIO'!C:V,10,0),"")</f>
        <v/>
      </c>
      <c r="M218" s="220"/>
      <c r="N218" s="220"/>
      <c r="O218" s="220"/>
      <c r="P218" s="220"/>
      <c r="Q218" s="220"/>
      <c r="R218" s="220"/>
      <c r="S218" s="220"/>
      <c r="T218" s="220"/>
      <c r="U218" s="220"/>
      <c r="V218" s="220"/>
      <c r="W218" s="220"/>
    </row>
    <row r="219" ht="15.75" customHeight="1" outlineLevel="1">
      <c r="A219" s="211"/>
      <c r="B219" s="227"/>
      <c r="C219" s="211"/>
      <c r="D219" s="214" t="str">
        <f>IFERROR(VLOOKUP($C219,'PORTIFÓLIO'!C:V,2,0),"")</f>
        <v/>
      </c>
      <c r="E219" s="211" t="str">
        <f>IFERROR(VLOOKUP($C219,'PORTIFÓLIO'!C:V,3,0),"")</f>
        <v/>
      </c>
      <c r="F219" s="211" t="str">
        <f>IFERROR(VLOOKUP($C219,'PORTIFÓLIO'!C:V,4,0),"")</f>
        <v/>
      </c>
      <c r="G219" s="215" t="str">
        <f>IFERROR(VLOOKUP($C219,'PORTIFÓLIO'!C:V,5,0),"")</f>
        <v/>
      </c>
      <c r="H219" s="254" t="str">
        <f t="array" ref="H219">IFERROR(INDEX('PORTIFÓLIO'!$H$4:$H$433,MATCH($C219,'PORTIFÓLIO'!$C$4:$C$433,0)),"")</f>
        <v/>
      </c>
      <c r="I219" s="256"/>
      <c r="J219" s="218">
        <f t="shared" si="24"/>
        <v>0</v>
      </c>
      <c r="K219" s="219" t="str">
        <f>IFERROR(I219* VLOOKUP($C219,'PORTIFÓLIO'!C:V,10,0),"")</f>
        <v/>
      </c>
      <c r="L219" s="219" t="str">
        <f>IFERROR(J219* VLOOKUP($C219,'PORTIFÓLIO'!C:V,10,0),"")</f>
        <v/>
      </c>
      <c r="M219" s="220"/>
      <c r="N219" s="220"/>
      <c r="O219" s="220"/>
      <c r="P219" s="220"/>
      <c r="Q219" s="220"/>
      <c r="R219" s="220"/>
      <c r="S219" s="220"/>
      <c r="T219" s="220"/>
      <c r="U219" s="220"/>
      <c r="V219" s="220"/>
      <c r="W219" s="220"/>
    </row>
    <row r="220" ht="15.75" customHeight="1" outlineLevel="1">
      <c r="A220" s="211"/>
      <c r="B220" s="227"/>
      <c r="C220" s="211"/>
      <c r="D220" s="214" t="str">
        <f>IFERROR(VLOOKUP($C220,'PORTIFÓLIO'!C:V,2,0),"")</f>
        <v/>
      </c>
      <c r="E220" s="211" t="str">
        <f>IFERROR(VLOOKUP($C220,'PORTIFÓLIO'!C:V,3,0),"")</f>
        <v/>
      </c>
      <c r="F220" s="211" t="str">
        <f>IFERROR(VLOOKUP($C220,'PORTIFÓLIO'!C:V,4,0),"")</f>
        <v/>
      </c>
      <c r="G220" s="215" t="str">
        <f>IFERROR(VLOOKUP($C220,'PORTIFÓLIO'!C:V,5,0),"")</f>
        <v/>
      </c>
      <c r="H220" s="254" t="str">
        <f t="array" ref="H220">IFERROR(INDEX('PORTIFÓLIO'!$H$4:$H$433,MATCH($C220,'PORTIFÓLIO'!$C$4:$C$433,0)),"")</f>
        <v/>
      </c>
      <c r="I220" s="256"/>
      <c r="J220" s="218">
        <f t="shared" si="24"/>
        <v>0</v>
      </c>
      <c r="K220" s="219" t="str">
        <f>IFERROR(I220* VLOOKUP($C220,'PORTIFÓLIO'!C:V,10,0),"")</f>
        <v/>
      </c>
      <c r="L220" s="219" t="str">
        <f>IFERROR(J220* VLOOKUP($C220,'PORTIFÓLIO'!C:V,10,0),"")</f>
        <v/>
      </c>
      <c r="M220" s="220"/>
      <c r="N220" s="220"/>
      <c r="O220" s="220"/>
      <c r="P220" s="220"/>
      <c r="Q220" s="220"/>
      <c r="R220" s="220"/>
      <c r="S220" s="220"/>
      <c r="T220" s="220"/>
      <c r="U220" s="220"/>
      <c r="V220" s="220"/>
      <c r="W220" s="220"/>
    </row>
    <row r="221" ht="15.75" customHeight="1" outlineLevel="1">
      <c r="A221" s="211"/>
      <c r="B221" s="227"/>
      <c r="C221" s="211"/>
      <c r="D221" s="214" t="str">
        <f>IFERROR(VLOOKUP($C221,'PORTIFÓLIO'!C:V,2,0),"")</f>
        <v/>
      </c>
      <c r="E221" s="211" t="str">
        <f>IFERROR(VLOOKUP($C221,'PORTIFÓLIO'!C:V,3,0),"")</f>
        <v/>
      </c>
      <c r="F221" s="211" t="str">
        <f>IFERROR(VLOOKUP($C221,'PORTIFÓLIO'!C:V,4,0),"")</f>
        <v/>
      </c>
      <c r="G221" s="215" t="str">
        <f>IFERROR(VLOOKUP($C221,'PORTIFÓLIO'!C:V,5,0),"")</f>
        <v/>
      </c>
      <c r="H221" s="254" t="str">
        <f t="array" ref="H221">IFERROR(INDEX('PORTIFÓLIO'!$H$4:$H$433,MATCH($C221,'PORTIFÓLIO'!$C$4:$C$433,0)),"")</f>
        <v/>
      </c>
      <c r="I221" s="256"/>
      <c r="J221" s="218">
        <f t="shared" si="24"/>
        <v>0</v>
      </c>
      <c r="K221" s="219" t="str">
        <f>IFERROR(I221* VLOOKUP($C221,'PORTIFÓLIO'!C:V,10,0),"")</f>
        <v/>
      </c>
      <c r="L221" s="219" t="str">
        <f>IFERROR(J221* VLOOKUP($C221,'PORTIFÓLIO'!C:V,10,0),"")</f>
        <v/>
      </c>
      <c r="M221" s="220"/>
      <c r="N221" s="220"/>
      <c r="O221" s="220"/>
      <c r="P221" s="220"/>
      <c r="Q221" s="220"/>
      <c r="R221" s="220"/>
      <c r="S221" s="220"/>
      <c r="T221" s="220"/>
      <c r="U221" s="220"/>
      <c r="V221" s="220"/>
      <c r="W221" s="220"/>
    </row>
    <row r="222" ht="15.75" customHeight="1" outlineLevel="1">
      <c r="A222" s="211"/>
      <c r="B222" s="227"/>
      <c r="C222" s="211"/>
      <c r="D222" s="214" t="str">
        <f>IFERROR(VLOOKUP($C222,'PORTIFÓLIO'!C:V,2,0),"")</f>
        <v/>
      </c>
      <c r="E222" s="211" t="str">
        <f>IFERROR(VLOOKUP($C222,'PORTIFÓLIO'!C:V,3,0),"")</f>
        <v/>
      </c>
      <c r="F222" s="211" t="str">
        <f>IFERROR(VLOOKUP($C222,'PORTIFÓLIO'!C:V,4,0),"")</f>
        <v/>
      </c>
      <c r="G222" s="215" t="str">
        <f>IFERROR(VLOOKUP($C222,'PORTIFÓLIO'!C:V,5,0),"")</f>
        <v/>
      </c>
      <c r="H222" s="254" t="str">
        <f t="array" ref="H222">IFERROR(INDEX('PORTIFÓLIO'!$H$4:$H$433,MATCH($C222,'PORTIFÓLIO'!$C$4:$C$433,0)),"")</f>
        <v/>
      </c>
      <c r="I222" s="256"/>
      <c r="J222" s="218">
        <f t="shared" si="24"/>
        <v>0</v>
      </c>
      <c r="K222" s="219" t="str">
        <f>IFERROR(I222* VLOOKUP($C222,'PORTIFÓLIO'!C:V,10,0),"")</f>
        <v/>
      </c>
      <c r="L222" s="219" t="str">
        <f>IFERROR(J222* VLOOKUP($C222,'PORTIFÓLIO'!C:V,10,0),"")</f>
        <v/>
      </c>
      <c r="M222" s="220"/>
      <c r="N222" s="220"/>
      <c r="O222" s="220"/>
      <c r="P222" s="220"/>
      <c r="Q222" s="220"/>
      <c r="R222" s="220"/>
      <c r="S222" s="220"/>
      <c r="T222" s="220"/>
      <c r="U222" s="220"/>
      <c r="V222" s="220"/>
      <c r="W222" s="220"/>
    </row>
    <row r="223" ht="15.75" customHeight="1" outlineLevel="1">
      <c r="A223" s="211"/>
      <c r="B223" s="227"/>
      <c r="C223" s="211"/>
      <c r="D223" s="214" t="str">
        <f>IFERROR(VLOOKUP($C223,'PORTIFÓLIO'!C:V,2,0),"")</f>
        <v/>
      </c>
      <c r="E223" s="211" t="str">
        <f>IFERROR(VLOOKUP($C223,'PORTIFÓLIO'!C:V,3,0),"")</f>
        <v/>
      </c>
      <c r="F223" s="211" t="str">
        <f>IFERROR(VLOOKUP($C223,'PORTIFÓLIO'!C:V,4,0),"")</f>
        <v/>
      </c>
      <c r="G223" s="215" t="str">
        <f>IFERROR(VLOOKUP($C223,'PORTIFÓLIO'!C:V,5,0),"")</f>
        <v/>
      </c>
      <c r="H223" s="254" t="str">
        <f t="array" ref="H223">IFERROR(INDEX('PORTIFÓLIO'!$H$4:$H$433,MATCH($C223,'PORTIFÓLIO'!$C$4:$C$433,0)),"")</f>
        <v/>
      </c>
      <c r="I223" s="256"/>
      <c r="J223" s="218">
        <f t="shared" si="24"/>
        <v>0</v>
      </c>
      <c r="K223" s="219" t="str">
        <f>IFERROR(I223* VLOOKUP($C223,'PORTIFÓLIO'!C:V,10,0),"")</f>
        <v/>
      </c>
      <c r="L223" s="219" t="str">
        <f>IFERROR(J223* VLOOKUP($C223,'PORTIFÓLIO'!C:V,10,0),"")</f>
        <v/>
      </c>
      <c r="M223" s="220"/>
      <c r="N223" s="220"/>
      <c r="O223" s="220"/>
      <c r="P223" s="220"/>
      <c r="Q223" s="220"/>
      <c r="R223" s="220"/>
      <c r="S223" s="220"/>
      <c r="T223" s="220"/>
      <c r="U223" s="220"/>
      <c r="V223" s="220"/>
      <c r="W223" s="220"/>
    </row>
    <row r="224" ht="15.75" customHeight="1" outlineLevel="1">
      <c r="A224" s="211"/>
      <c r="B224" s="227"/>
      <c r="C224" s="211"/>
      <c r="D224" s="214" t="str">
        <f>IFERROR(VLOOKUP($C224,'PORTIFÓLIO'!C:V,2,0),"")</f>
        <v/>
      </c>
      <c r="E224" s="211" t="str">
        <f>IFERROR(VLOOKUP($C224,'PORTIFÓLIO'!C:V,3,0),"")</f>
        <v/>
      </c>
      <c r="F224" s="211" t="str">
        <f>IFERROR(VLOOKUP($C224,'PORTIFÓLIO'!C:V,4,0),"")</f>
        <v/>
      </c>
      <c r="G224" s="215" t="str">
        <f>IFERROR(VLOOKUP($C224,'PORTIFÓLIO'!C:V,5,0),"")</f>
        <v/>
      </c>
      <c r="H224" s="254" t="str">
        <f t="array" ref="H224">IFERROR(INDEX('PORTIFÓLIO'!$H$4:$H$433,MATCH($C224,'PORTIFÓLIO'!$C$4:$C$433,0)),"")</f>
        <v/>
      </c>
      <c r="I224" s="256"/>
      <c r="J224" s="218">
        <f t="shared" si="24"/>
        <v>0</v>
      </c>
      <c r="K224" s="219" t="str">
        <f>IFERROR(I224* VLOOKUP($C224,'PORTIFÓLIO'!C:V,10,0),"")</f>
        <v/>
      </c>
      <c r="L224" s="219" t="str">
        <f>IFERROR(J224* VLOOKUP($C224,'PORTIFÓLIO'!C:V,10,0),"")</f>
        <v/>
      </c>
      <c r="M224" s="220"/>
      <c r="N224" s="220"/>
      <c r="O224" s="220"/>
      <c r="P224" s="220"/>
      <c r="Q224" s="220"/>
      <c r="R224" s="220"/>
      <c r="S224" s="220"/>
      <c r="T224" s="220"/>
      <c r="U224" s="220"/>
      <c r="V224" s="220"/>
      <c r="W224" s="220"/>
    </row>
    <row r="225" ht="15.75" customHeight="1">
      <c r="A225" s="227"/>
      <c r="B225" s="227"/>
      <c r="C225" s="227"/>
      <c r="D225" s="227"/>
      <c r="E225" s="227"/>
      <c r="F225" s="227"/>
      <c r="G225" s="215"/>
      <c r="H225" s="278" t="str">
        <f t="array" ref="H225">IFERROR(INDEX('PORTIFÓLIO'!$H$4:$H$433,MATCH($C225,'PORTIFÓLIO'!$C$4:$C$433,0)),"")</f>
        <v/>
      </c>
      <c r="I225" s="227"/>
      <c r="J225" s="227"/>
      <c r="K225" s="284">
        <f t="shared" ref="K225:L225" si="25">SUBTOTAL(9,K10:K200)</f>
        <v>1706.749074</v>
      </c>
      <c r="L225" s="284">
        <f t="shared" si="25"/>
        <v>375484.7962</v>
      </c>
      <c r="M225" s="220"/>
      <c r="N225" s="220"/>
      <c r="O225" s="220"/>
      <c r="P225" s="220"/>
      <c r="Q225" s="220"/>
      <c r="R225" s="220"/>
      <c r="S225" s="220"/>
      <c r="T225" s="220"/>
      <c r="U225" s="220"/>
      <c r="V225" s="220"/>
      <c r="W225" s="220"/>
    </row>
    <row r="226" ht="15.75" customHeight="1">
      <c r="A226" s="285"/>
      <c r="B226" s="285"/>
      <c r="C226" s="285"/>
      <c r="D226" s="285"/>
      <c r="E226" s="285"/>
      <c r="F226" s="285"/>
      <c r="G226" s="286"/>
      <c r="H226" s="286"/>
      <c r="I226" s="285"/>
      <c r="J226" s="285"/>
      <c r="K226" s="285"/>
      <c r="L226" s="285"/>
      <c r="M226" s="285"/>
      <c r="N226" s="285"/>
      <c r="O226" s="285"/>
      <c r="P226" s="285"/>
      <c r="Q226" s="285"/>
      <c r="R226" s="285"/>
      <c r="S226" s="285"/>
      <c r="T226" s="285"/>
      <c r="U226" s="285"/>
      <c r="V226" s="285"/>
      <c r="W226" s="285"/>
    </row>
    <row r="227" ht="15.75" customHeight="1">
      <c r="A227" s="260" t="s">
        <v>1203</v>
      </c>
      <c r="B227" s="261" t="str">
        <f>'ÁREA PLANTIO'!B20</f>
        <v>T02</v>
      </c>
      <c r="C227" s="262" t="s">
        <v>1166</v>
      </c>
      <c r="D227" s="263">
        <f>$K$452</f>
        <v>0</v>
      </c>
      <c r="E227" s="264"/>
      <c r="F227" s="265" t="s">
        <v>1167</v>
      </c>
      <c r="G227" s="266"/>
      <c r="H227" s="287" t="str">
        <f t="array" ref="H227">IFERROR(INDEX('PORTIFÓLIO'!$H$4:$H$433,MATCH($C227,'PORTIFÓLIO'!$C$4:$C$433,0)),"")</f>
        <v/>
      </c>
      <c r="I227" s="267"/>
      <c r="J227" s="267"/>
      <c r="K227" s="266"/>
      <c r="L227" s="220"/>
      <c r="M227" s="220"/>
      <c r="N227" s="220"/>
      <c r="O227" s="220"/>
      <c r="P227" s="220"/>
      <c r="Q227" s="220"/>
      <c r="R227" s="220"/>
      <c r="S227" s="220"/>
      <c r="T227" s="220"/>
      <c r="U227" s="220"/>
      <c r="V227" s="220"/>
      <c r="W227" s="220"/>
    </row>
    <row r="228" ht="15.75" customHeight="1">
      <c r="A228" s="260" t="s">
        <v>1168</v>
      </c>
      <c r="B228" s="268">
        <f>'ÁREA PLANTIO'!E20</f>
        <v>220</v>
      </c>
      <c r="C228" s="269" t="s">
        <v>1169</v>
      </c>
      <c r="D228" s="270" t="str">
        <f>'ÁREA PLANTIO'!I20</f>
        <v/>
      </c>
      <c r="E228" s="264"/>
      <c r="F228" s="264"/>
      <c r="G228" s="266"/>
      <c r="H228" s="287" t="str">
        <f t="array" ref="H228">IFERROR(INDEX('PORTIFÓLIO'!$H$4:$H$433,MATCH($C228,'PORTIFÓLIO'!$C$4:$C$433,0)),"")</f>
        <v/>
      </c>
      <c r="I228" s="267"/>
      <c r="J228" s="267"/>
      <c r="K228" s="266"/>
      <c r="L228" s="220"/>
      <c r="M228" s="220"/>
      <c r="N228" s="220"/>
      <c r="O228" s="220"/>
      <c r="P228" s="220"/>
      <c r="Q228" s="220"/>
      <c r="R228" s="220"/>
      <c r="S228" s="220"/>
      <c r="T228" s="220"/>
      <c r="U228" s="220"/>
      <c r="V228" s="220"/>
      <c r="W228" s="220"/>
    </row>
    <row r="229" ht="15.75" customHeight="1">
      <c r="A229" s="260" t="s">
        <v>1170</v>
      </c>
      <c r="B229" s="267" t="str">
        <f>'ÁREA PLANTIO'!H18</f>
        <v/>
      </c>
      <c r="C229" s="269" t="s">
        <v>1171</v>
      </c>
      <c r="D229" s="271" t="str">
        <f>D227/D228</f>
        <v>#DIV/0!</v>
      </c>
      <c r="E229" s="264"/>
      <c r="F229" s="264"/>
      <c r="G229" s="266"/>
      <c r="H229" s="287" t="str">
        <f t="array" ref="H229">IFERROR(INDEX('PORTIFÓLIO'!$H$4:$H$433,MATCH($C229,'PORTIFÓLIO'!$C$4:$C$433,0)),"")</f>
        <v/>
      </c>
      <c r="I229" s="267"/>
      <c r="J229" s="267"/>
      <c r="K229" s="266"/>
      <c r="L229" s="220"/>
      <c r="M229" s="220"/>
      <c r="N229" s="220"/>
      <c r="O229" s="220"/>
      <c r="P229" s="220"/>
      <c r="Q229" s="220"/>
      <c r="R229" s="220"/>
      <c r="S229" s="220"/>
      <c r="T229" s="220"/>
      <c r="U229" s="220"/>
      <c r="V229" s="220"/>
      <c r="W229" s="220"/>
    </row>
    <row r="230" ht="15.75" customHeight="1">
      <c r="A230" s="272" t="s">
        <v>1172</v>
      </c>
      <c r="B230" s="273">
        <v>45606.0</v>
      </c>
      <c r="C230" s="274"/>
      <c r="D230" s="275"/>
      <c r="E230" s="276"/>
      <c r="F230" s="264"/>
      <c r="G230" s="266"/>
      <c r="H230" s="287" t="str">
        <f t="array" ref="H230">IFERROR(INDEX('PORTIFÓLIO'!$H$4:$H$433,MATCH($C230,'PORTIFÓLIO'!$C$4:$C$433,0)),"")</f>
        <v/>
      </c>
      <c r="I230" s="267"/>
      <c r="J230" s="267"/>
      <c r="K230" s="266"/>
      <c r="L230" s="220"/>
      <c r="M230" s="220"/>
      <c r="N230" s="220"/>
      <c r="O230" s="220"/>
      <c r="P230" s="220"/>
      <c r="Q230" s="220"/>
      <c r="R230" s="220"/>
      <c r="S230" s="220"/>
      <c r="T230" s="220"/>
      <c r="U230" s="220"/>
      <c r="V230" s="220"/>
      <c r="W230" s="220"/>
    </row>
    <row r="231" ht="15.75" customHeight="1">
      <c r="E231" s="277"/>
      <c r="F231" s="264"/>
      <c r="G231" s="266"/>
      <c r="H231" s="287" t="str">
        <f t="array" ref="H231">IFERROR(INDEX('PORTIFÓLIO'!$H$4:$H$433,MATCH($C231,'PORTIFÓLIO'!$C$4:$C$433,0)),"")</f>
        <v/>
      </c>
      <c r="I231" s="267"/>
      <c r="J231" s="267"/>
      <c r="K231" s="266"/>
      <c r="L231" s="220"/>
      <c r="M231" s="220"/>
      <c r="N231" s="220"/>
      <c r="O231" s="220"/>
      <c r="P231" s="220"/>
      <c r="Q231" s="220"/>
      <c r="R231" s="220"/>
      <c r="S231" s="220"/>
      <c r="T231" s="220"/>
      <c r="U231" s="220"/>
      <c r="V231" s="220"/>
      <c r="W231" s="220"/>
    </row>
    <row r="232" ht="15.75" customHeight="1">
      <c r="A232" s="260"/>
      <c r="B232" s="267"/>
      <c r="C232" s="264"/>
      <c r="D232" s="264"/>
      <c r="E232" s="264"/>
      <c r="F232" s="264"/>
      <c r="G232" s="266"/>
      <c r="H232" s="287" t="str">
        <f t="array" ref="H232">IFERROR(INDEX('PORTIFÓLIO'!$H$4:$H$433,MATCH($C232,'PORTIFÓLIO'!$C$4:$C$433,0)),"")</f>
        <v/>
      </c>
      <c r="I232" s="267"/>
      <c r="J232" s="267"/>
      <c r="K232" s="266"/>
      <c r="L232" s="220"/>
      <c r="M232" s="220"/>
      <c r="N232" s="220"/>
      <c r="O232" s="220"/>
      <c r="P232" s="220"/>
      <c r="Q232" s="220"/>
      <c r="R232" s="220"/>
      <c r="S232" s="220"/>
      <c r="T232" s="220"/>
      <c r="U232" s="220"/>
      <c r="V232" s="220"/>
      <c r="W232" s="220"/>
    </row>
    <row r="233" ht="15.75" customHeight="1">
      <c r="A233" s="267"/>
      <c r="B233" s="267"/>
      <c r="C233" s="264"/>
      <c r="D233" s="264"/>
      <c r="E233" s="264"/>
      <c r="F233" s="264"/>
      <c r="G233" s="266"/>
      <c r="H233" s="287" t="str">
        <f t="array" ref="H233">IFERROR(INDEX('PORTIFÓLIO'!$H$4:$H$433,MATCH($C233,'PORTIFÓLIO'!$C$4:$C$433,0)),"")</f>
        <v/>
      </c>
      <c r="I233" s="267"/>
      <c r="J233" s="267"/>
      <c r="K233" s="266"/>
      <c r="L233" s="220"/>
      <c r="M233" s="220"/>
      <c r="N233" s="220"/>
      <c r="O233" s="220"/>
      <c r="P233" s="220"/>
      <c r="Q233" s="220"/>
      <c r="R233" s="220"/>
      <c r="S233" s="220"/>
      <c r="T233" s="220"/>
      <c r="U233" s="220"/>
      <c r="V233" s="220"/>
      <c r="W233" s="220"/>
    </row>
    <row r="234" ht="15.75" customHeight="1">
      <c r="A234" s="267"/>
      <c r="B234" s="267"/>
      <c r="C234" s="267"/>
      <c r="D234" s="267"/>
      <c r="E234" s="264"/>
      <c r="F234" s="264"/>
      <c r="G234" s="266"/>
      <c r="H234" s="287" t="str">
        <f t="array" ref="H234">IFERROR(INDEX('PORTIFÓLIO'!$H$4:$H$433,MATCH($C234,'PORTIFÓLIO'!$C$4:$C$433,0)),"")</f>
        <v/>
      </c>
      <c r="I234" s="267"/>
      <c r="J234" s="267"/>
      <c r="K234" s="266"/>
      <c r="L234" s="220"/>
      <c r="M234" s="220"/>
      <c r="N234" s="220"/>
      <c r="O234" s="220"/>
      <c r="P234" s="220"/>
      <c r="Q234" s="220"/>
      <c r="R234" s="220"/>
      <c r="S234" s="220"/>
      <c r="T234" s="220"/>
      <c r="U234" s="220"/>
      <c r="V234" s="220"/>
      <c r="W234" s="220"/>
    </row>
    <row r="235" ht="15.75" customHeight="1">
      <c r="A235" s="267"/>
      <c r="B235" s="267"/>
      <c r="C235" s="267"/>
      <c r="D235" s="267"/>
      <c r="E235" s="267"/>
      <c r="F235" s="267"/>
      <c r="G235" s="266"/>
      <c r="H235" s="287"/>
      <c r="I235" s="287"/>
      <c r="J235" s="288"/>
      <c r="K235" s="289"/>
      <c r="L235" s="290"/>
      <c r="M235" s="220"/>
      <c r="N235" s="220"/>
      <c r="O235" s="220"/>
      <c r="P235" s="220"/>
      <c r="Q235" s="220"/>
      <c r="R235" s="220"/>
      <c r="S235" s="220"/>
      <c r="T235" s="220"/>
      <c r="U235" s="220"/>
      <c r="V235" s="220"/>
      <c r="W235" s="220"/>
    </row>
    <row r="236" ht="15.75" customHeight="1">
      <c r="A236" s="211" t="s">
        <v>1173</v>
      </c>
      <c r="B236" s="213" t="s">
        <v>1174</v>
      </c>
      <c r="C236" s="213" t="s">
        <v>1175</v>
      </c>
      <c r="D236" s="211" t="s">
        <v>1176</v>
      </c>
      <c r="E236" s="211" t="s">
        <v>1177</v>
      </c>
      <c r="F236" s="211" t="s">
        <v>1178</v>
      </c>
      <c r="G236" s="291" t="s">
        <v>1180</v>
      </c>
      <c r="H236" s="278" t="s">
        <v>1179</v>
      </c>
      <c r="I236" s="278" t="s">
        <v>1181</v>
      </c>
      <c r="J236" s="279" t="s">
        <v>1134</v>
      </c>
      <c r="K236" s="280" t="s">
        <v>1182</v>
      </c>
      <c r="L236" s="281" t="s">
        <v>339</v>
      </c>
      <c r="M236" s="220"/>
      <c r="N236" s="220"/>
      <c r="O236" s="220"/>
      <c r="P236" s="220"/>
      <c r="Q236" s="220"/>
      <c r="R236" s="220"/>
      <c r="S236" s="220"/>
      <c r="T236" s="220"/>
      <c r="U236" s="220"/>
      <c r="V236" s="220"/>
      <c r="W236" s="220"/>
    </row>
    <row r="237" ht="15.75" customHeight="1">
      <c r="A237" s="231" t="s">
        <v>1183</v>
      </c>
      <c r="B237" s="230"/>
      <c r="C237" s="231"/>
      <c r="D237" s="232"/>
      <c r="E237" s="231"/>
      <c r="F237" s="231"/>
      <c r="G237" s="233"/>
      <c r="H237" s="233"/>
      <c r="I237" s="258"/>
      <c r="J237" s="236"/>
      <c r="K237" s="237">
        <f t="shared" ref="K237:L237" si="26">SUBTOTAL(9,K238:K251)</f>
        <v>0</v>
      </c>
      <c r="L237" s="237">
        <f t="shared" si="26"/>
        <v>0</v>
      </c>
      <c r="M237" s="220"/>
      <c r="N237" s="220"/>
      <c r="O237" s="220"/>
      <c r="P237" s="220"/>
      <c r="Q237" s="220"/>
      <c r="R237" s="220"/>
      <c r="S237" s="220"/>
      <c r="T237" s="220"/>
      <c r="U237" s="220"/>
      <c r="V237" s="220"/>
      <c r="W237" s="220"/>
    </row>
    <row r="238" ht="15.75" customHeight="1" outlineLevel="1">
      <c r="A238" s="211"/>
      <c r="B238" s="212"/>
      <c r="C238" s="213"/>
      <c r="D238" s="214" t="str">
        <f>IFERROR(VLOOKUP($C238,'PORTIFÓLIO'!C:V,2,0),"")</f>
        <v/>
      </c>
      <c r="E238" s="211" t="str">
        <f>IFERROR(VLOOKUP($C238,'PORTIFÓLIO'!C:V,3,0),"")</f>
        <v/>
      </c>
      <c r="F238" s="211" t="str">
        <f>IFERROR(VLOOKUP($C238,'PORTIFÓLIO'!C:V,4,0),"")</f>
        <v/>
      </c>
      <c r="G238" s="215" t="str">
        <f>IFERROR(VLOOKUP($C238,'PORTIFÓLIO'!C:V,5,0),"")</f>
        <v/>
      </c>
      <c r="H238" s="254" t="str">
        <f t="array" ref="H238">IFERROR(INDEX('PORTIFÓLIO'!$H$4:$H$433,MATCH($C238,'PORTIFÓLIO'!$C$4:$C$433,0)),"")</f>
        <v/>
      </c>
      <c r="I238" s="255"/>
      <c r="J238" s="218">
        <f t="shared" ref="J238:J251" si="27">I238*$B$2</f>
        <v>0</v>
      </c>
      <c r="K238" s="219" t="str">
        <f t="array" ref="K238">IFERROR(I238*INDEX('PORTIFÓLIO'!$S$4:$S$433,MATCH($C238,'PORTIFÓLIO'!$C$4:$C$433,0)),"")</f>
        <v/>
      </c>
      <c r="L238" s="219" t="str">
        <f t="array" ref="L238">IFERROR(J238*INDEX('PORTIFÓLIO'!$S$4:$S$433,MATCH($C238,'PORTIFÓLIO'!$C$4:$C$433,0)),"")</f>
        <v/>
      </c>
      <c r="M238" s="220"/>
      <c r="N238" s="220"/>
      <c r="O238" s="220"/>
      <c r="P238" s="220"/>
      <c r="Q238" s="220"/>
      <c r="R238" s="220"/>
      <c r="S238" s="220"/>
      <c r="T238" s="220"/>
      <c r="U238" s="220"/>
      <c r="V238" s="220"/>
      <c r="W238" s="220"/>
    </row>
    <row r="239" ht="15.75" customHeight="1" outlineLevel="1">
      <c r="A239" s="211"/>
      <c r="B239" s="212"/>
      <c r="C239" s="213"/>
      <c r="D239" s="214" t="str">
        <f>IFERROR(VLOOKUP($C239,'PORTIFÓLIO'!C:V,2,0),"")</f>
        <v/>
      </c>
      <c r="E239" s="211" t="str">
        <f>IFERROR(VLOOKUP($C239,'PORTIFÓLIO'!C:V,3,0),"")</f>
        <v/>
      </c>
      <c r="F239" s="211" t="str">
        <f>IFERROR(VLOOKUP($C239,'PORTIFÓLIO'!C:V,4,0),"")</f>
        <v/>
      </c>
      <c r="G239" s="215" t="str">
        <f>IFERROR(VLOOKUP($C239,'PORTIFÓLIO'!C:V,5,0),"")</f>
        <v/>
      </c>
      <c r="H239" s="254" t="str">
        <f t="array" ref="H239">IFERROR(INDEX('PORTIFÓLIO'!$H$4:$H$433,MATCH($C239,'PORTIFÓLIO'!$C$4:$C$433,0)),"")</f>
        <v/>
      </c>
      <c r="I239" s="255"/>
      <c r="J239" s="218">
        <f t="shared" si="27"/>
        <v>0</v>
      </c>
      <c r="K239" s="219" t="str">
        <f t="array" ref="K239">IFERROR(I239*INDEX('PORTIFÓLIO'!$S$4:$S$433,MATCH($C239,'PORTIFÓLIO'!$C$4:$C$433,0)),"")</f>
        <v/>
      </c>
      <c r="L239" s="219" t="str">
        <f t="array" ref="L239">IFERROR(J239*INDEX('PORTIFÓLIO'!$S$4:$S$433,MATCH($C239,'PORTIFÓLIO'!$C$4:$C$433,0)),"")</f>
        <v/>
      </c>
      <c r="M239" s="220"/>
      <c r="N239" s="220"/>
      <c r="O239" s="220"/>
      <c r="P239" s="220"/>
      <c r="Q239" s="220"/>
      <c r="R239" s="220"/>
      <c r="S239" s="220"/>
      <c r="T239" s="220"/>
      <c r="U239" s="220"/>
      <c r="V239" s="220"/>
      <c r="W239" s="220"/>
    </row>
    <row r="240" ht="15.75" customHeight="1" outlineLevel="1">
      <c r="A240" s="211"/>
      <c r="B240" s="212"/>
      <c r="C240" s="213"/>
      <c r="D240" s="214" t="str">
        <f>IFERROR(VLOOKUP($C240,'PORTIFÓLIO'!C:V,2,0),"")</f>
        <v/>
      </c>
      <c r="E240" s="211" t="str">
        <f>IFERROR(VLOOKUP($C240,'PORTIFÓLIO'!C:V,3,0),"")</f>
        <v/>
      </c>
      <c r="F240" s="211" t="str">
        <f>IFERROR(VLOOKUP($C240,'PORTIFÓLIO'!C:V,4,0),"")</f>
        <v/>
      </c>
      <c r="G240" s="215" t="str">
        <f>IFERROR(VLOOKUP($C240,'PORTIFÓLIO'!C:V,5,0),"")</f>
        <v/>
      </c>
      <c r="H240" s="254" t="str">
        <f t="array" ref="H240">IFERROR(INDEX('PORTIFÓLIO'!$H$4:$H$433,MATCH($C240,'PORTIFÓLIO'!$C$4:$C$433,0)),"")</f>
        <v/>
      </c>
      <c r="I240" s="256"/>
      <c r="J240" s="218">
        <f t="shared" si="27"/>
        <v>0</v>
      </c>
      <c r="K240" s="219" t="str">
        <f t="array" ref="K240">IFERROR(I240*INDEX('PORTIFÓLIO'!$S$4:$S$433,MATCH($C240,'PORTIFÓLIO'!$C$4:$C$433,0)),"")</f>
        <v/>
      </c>
      <c r="L240" s="219" t="str">
        <f t="array" ref="L240">IFERROR(J240*INDEX('PORTIFÓLIO'!$S$4:$S$433,MATCH($C240,'PORTIFÓLIO'!$C$4:$C$433,0)),"")</f>
        <v/>
      </c>
      <c r="M240" s="220"/>
      <c r="N240" s="220"/>
      <c r="O240" s="220"/>
      <c r="P240" s="220"/>
      <c r="Q240" s="220"/>
      <c r="R240" s="220"/>
      <c r="S240" s="220"/>
      <c r="T240" s="220"/>
      <c r="U240" s="220"/>
      <c r="V240" s="220"/>
      <c r="W240" s="220"/>
    </row>
    <row r="241" ht="15.75" customHeight="1" outlineLevel="1">
      <c r="A241" s="211"/>
      <c r="B241" s="212"/>
      <c r="C241" s="213"/>
      <c r="D241" s="214" t="str">
        <f>IFERROR(VLOOKUP($C241,'PORTIFÓLIO'!C:V,2,0),"")</f>
        <v/>
      </c>
      <c r="E241" s="211" t="str">
        <f>IFERROR(VLOOKUP($C241,'PORTIFÓLIO'!C:V,3,0),"")</f>
        <v/>
      </c>
      <c r="F241" s="211" t="str">
        <f>IFERROR(VLOOKUP($C241,'PORTIFÓLIO'!C:V,4,0),"")</f>
        <v/>
      </c>
      <c r="G241" s="215" t="str">
        <f>IFERROR(VLOOKUP($C241,'PORTIFÓLIO'!C:V,5,0),"")</f>
        <v/>
      </c>
      <c r="H241" s="254" t="str">
        <f t="array" ref="H241">IFERROR(INDEX('PORTIFÓLIO'!$H$4:$H$433,MATCH($C241,'PORTIFÓLIO'!$C$4:$C$433,0)),"")</f>
        <v/>
      </c>
      <c r="I241" s="256"/>
      <c r="J241" s="218">
        <f t="shared" si="27"/>
        <v>0</v>
      </c>
      <c r="K241" s="219" t="str">
        <f t="array" ref="K241">IFERROR(I241*INDEX('PORTIFÓLIO'!$S$4:$S$433,MATCH($C241,'PORTIFÓLIO'!$C$4:$C$433,0)),"")</f>
        <v/>
      </c>
      <c r="L241" s="219" t="str">
        <f t="array" ref="L241">IFERROR(J241*INDEX('PORTIFÓLIO'!$S$4:$S$433,MATCH($C241,'PORTIFÓLIO'!$C$4:$C$433,0)),"")</f>
        <v/>
      </c>
      <c r="M241" s="220"/>
      <c r="N241" s="220"/>
      <c r="O241" s="220"/>
      <c r="P241" s="220"/>
      <c r="Q241" s="220"/>
      <c r="R241" s="220"/>
      <c r="S241" s="220"/>
      <c r="T241" s="220"/>
      <c r="U241" s="220"/>
      <c r="V241" s="220"/>
      <c r="W241" s="220"/>
    </row>
    <row r="242" ht="15.75" customHeight="1" outlineLevel="1">
      <c r="A242" s="211"/>
      <c r="B242" s="212"/>
      <c r="C242" s="213"/>
      <c r="D242" s="214" t="str">
        <f>IFERROR(VLOOKUP($C242,'PORTIFÓLIO'!C:V,2,0),"")</f>
        <v/>
      </c>
      <c r="E242" s="211" t="str">
        <f>IFERROR(VLOOKUP($C242,'PORTIFÓLIO'!C:V,3,0),"")</f>
        <v/>
      </c>
      <c r="F242" s="211" t="str">
        <f>IFERROR(VLOOKUP($C242,'PORTIFÓLIO'!C:V,4,0),"")</f>
        <v/>
      </c>
      <c r="G242" s="215" t="str">
        <f>IFERROR(VLOOKUP($C242,'PORTIFÓLIO'!C:V,5,0),"")</f>
        <v/>
      </c>
      <c r="H242" s="254" t="str">
        <f t="array" ref="H242">IFERROR(INDEX('PORTIFÓLIO'!$H$4:$H$433,MATCH($C242,'PORTIFÓLIO'!$C$4:$C$433,0)),"")</f>
        <v/>
      </c>
      <c r="I242" s="255"/>
      <c r="J242" s="218">
        <f t="shared" si="27"/>
        <v>0</v>
      </c>
      <c r="K242" s="219" t="str">
        <f t="array" ref="K242">IFERROR(I242*INDEX('PORTIFÓLIO'!$S$4:$S$433,MATCH($C242,'PORTIFÓLIO'!$C$4:$C$433,0)),"")</f>
        <v/>
      </c>
      <c r="L242" s="219" t="str">
        <f t="array" ref="L242">IFERROR(J242*INDEX('PORTIFÓLIO'!$S$4:$S$433,MATCH($C242,'PORTIFÓLIO'!$C$4:$C$433,0)),"")</f>
        <v/>
      </c>
      <c r="M242" s="220"/>
      <c r="N242" s="220"/>
      <c r="O242" s="220"/>
      <c r="P242" s="220"/>
      <c r="Q242" s="220"/>
      <c r="R242" s="220"/>
      <c r="S242" s="220"/>
      <c r="T242" s="220"/>
      <c r="U242" s="220"/>
      <c r="V242" s="220"/>
      <c r="W242" s="220"/>
    </row>
    <row r="243" ht="15.75" customHeight="1" outlineLevel="1">
      <c r="A243" s="211"/>
      <c r="B243" s="212"/>
      <c r="C243" s="213"/>
      <c r="D243" s="214" t="str">
        <f>IFERROR(VLOOKUP($C243,'PORTIFÓLIO'!C:V,2,0),"")</f>
        <v/>
      </c>
      <c r="E243" s="211" t="str">
        <f>IFERROR(VLOOKUP($C243,'PORTIFÓLIO'!C:V,3,0),"")</f>
        <v/>
      </c>
      <c r="F243" s="211" t="str">
        <f>IFERROR(VLOOKUP($C243,'PORTIFÓLIO'!C:V,4,0),"")</f>
        <v/>
      </c>
      <c r="G243" s="215" t="str">
        <f>IFERROR(VLOOKUP($C243,'PORTIFÓLIO'!C:V,5,0),"")</f>
        <v/>
      </c>
      <c r="H243" s="254" t="str">
        <f t="array" ref="H243">IFERROR(INDEX('PORTIFÓLIO'!$H$4:$H$433,MATCH($C243,'PORTIFÓLIO'!$C$4:$C$433,0)),"")</f>
        <v/>
      </c>
      <c r="I243" s="256"/>
      <c r="J243" s="218">
        <f t="shared" si="27"/>
        <v>0</v>
      </c>
      <c r="K243" s="219" t="str">
        <f t="array" ref="K243">IFERROR(I243*INDEX('PORTIFÓLIO'!$S$4:$S$433,MATCH($C243,'PORTIFÓLIO'!$C$4:$C$433,0)),"")</f>
        <v/>
      </c>
      <c r="L243" s="219" t="str">
        <f t="array" ref="L243">IFERROR(J243*INDEX('PORTIFÓLIO'!$S$4:$S$433,MATCH($C243,'PORTIFÓLIO'!$C$4:$C$433,0)),"")</f>
        <v/>
      </c>
      <c r="M243" s="220"/>
      <c r="N243" s="220"/>
      <c r="O243" s="220"/>
      <c r="P243" s="220"/>
      <c r="Q243" s="220"/>
      <c r="R243" s="220"/>
      <c r="S243" s="220"/>
      <c r="T243" s="220"/>
      <c r="U243" s="220"/>
      <c r="V243" s="220"/>
      <c r="W243" s="220"/>
    </row>
    <row r="244" ht="15.75" customHeight="1" outlineLevel="1">
      <c r="A244" s="211"/>
      <c r="B244" s="212"/>
      <c r="C244" s="213"/>
      <c r="D244" s="214" t="str">
        <f>IFERROR(VLOOKUP($C244,'PORTIFÓLIO'!C:V,2,0),"")</f>
        <v/>
      </c>
      <c r="E244" s="211" t="str">
        <f>IFERROR(VLOOKUP($C244,'PORTIFÓLIO'!C:V,3,0),"")</f>
        <v/>
      </c>
      <c r="F244" s="211" t="str">
        <f>IFERROR(VLOOKUP($C244,'PORTIFÓLIO'!C:V,4,0),"")</f>
        <v/>
      </c>
      <c r="G244" s="215" t="str">
        <f>IFERROR(VLOOKUP($C244,'PORTIFÓLIO'!C:V,5,0),"")</f>
        <v/>
      </c>
      <c r="H244" s="254" t="str">
        <f t="array" ref="H244">IFERROR(INDEX('PORTIFÓLIO'!$H$4:$H$433,MATCH($C244,'PORTIFÓLIO'!$C$4:$C$433,0)),"")</f>
        <v/>
      </c>
      <c r="I244" s="256"/>
      <c r="J244" s="218">
        <f t="shared" si="27"/>
        <v>0</v>
      </c>
      <c r="K244" s="219" t="str">
        <f t="array" ref="K244">IFERROR(I244*INDEX('PORTIFÓLIO'!$S$4:$S$433,MATCH($C244,'PORTIFÓLIO'!$C$4:$C$433,0)),"")</f>
        <v/>
      </c>
      <c r="L244" s="219" t="str">
        <f t="array" ref="L244">IFERROR(J244*INDEX('PORTIFÓLIO'!$S$4:$S$433,MATCH($C244,'PORTIFÓLIO'!$C$4:$C$433,0)),"")</f>
        <v/>
      </c>
      <c r="M244" s="220"/>
      <c r="N244" s="220"/>
      <c r="O244" s="220"/>
      <c r="P244" s="220"/>
      <c r="Q244" s="220"/>
      <c r="R244" s="220"/>
      <c r="S244" s="220"/>
      <c r="T244" s="220"/>
      <c r="U244" s="220"/>
      <c r="V244" s="220"/>
      <c r="W244" s="220"/>
    </row>
    <row r="245" ht="15.75" customHeight="1" outlineLevel="1">
      <c r="A245" s="211"/>
      <c r="B245" s="212"/>
      <c r="C245" s="213"/>
      <c r="D245" s="214" t="str">
        <f>IFERROR(VLOOKUP($C245,'PORTIFÓLIO'!C:V,2,0),"")</f>
        <v/>
      </c>
      <c r="E245" s="211" t="str">
        <f>IFERROR(VLOOKUP($C245,'PORTIFÓLIO'!C:V,3,0),"")</f>
        <v/>
      </c>
      <c r="F245" s="211" t="str">
        <f>IFERROR(VLOOKUP($C245,'PORTIFÓLIO'!C:V,4,0),"")</f>
        <v/>
      </c>
      <c r="G245" s="215" t="str">
        <f>IFERROR(VLOOKUP($C245,'PORTIFÓLIO'!C:V,5,0),"")</f>
        <v/>
      </c>
      <c r="H245" s="254" t="str">
        <f t="array" ref="H245">IFERROR(INDEX('PORTIFÓLIO'!$H$4:$H$433,MATCH($C245,'PORTIFÓLIO'!$C$4:$C$433,0)),"")</f>
        <v/>
      </c>
      <c r="I245" s="256"/>
      <c r="J245" s="218">
        <f t="shared" si="27"/>
        <v>0</v>
      </c>
      <c r="K245" s="219" t="str">
        <f t="array" ref="K245">IFERROR(I245*INDEX('PORTIFÓLIO'!$S$4:$S$433,MATCH($C245,'PORTIFÓLIO'!$C$4:$C$433,0)),"")</f>
        <v/>
      </c>
      <c r="L245" s="219" t="str">
        <f t="array" ref="L245">IFERROR(J245*INDEX('PORTIFÓLIO'!$S$4:$S$433,MATCH($C245,'PORTIFÓLIO'!$C$4:$C$433,0)),"")</f>
        <v/>
      </c>
      <c r="M245" s="220"/>
      <c r="N245" s="220"/>
      <c r="O245" s="220"/>
      <c r="P245" s="220"/>
      <c r="Q245" s="220"/>
      <c r="R245" s="220"/>
      <c r="S245" s="220"/>
      <c r="T245" s="220"/>
      <c r="U245" s="220"/>
      <c r="V245" s="220"/>
      <c r="W245" s="220"/>
    </row>
    <row r="246" ht="15.75" customHeight="1" outlineLevel="1">
      <c r="A246" s="211"/>
      <c r="B246" s="212"/>
      <c r="C246" s="213"/>
      <c r="D246" s="214" t="str">
        <f>IFERROR(VLOOKUP($C246,'PORTIFÓLIO'!C:V,2,0),"")</f>
        <v/>
      </c>
      <c r="E246" s="211" t="str">
        <f>IFERROR(VLOOKUP($C246,'PORTIFÓLIO'!C:V,3,0),"")</f>
        <v/>
      </c>
      <c r="F246" s="211" t="str">
        <f>IFERROR(VLOOKUP($C246,'PORTIFÓLIO'!C:V,4,0),"")</f>
        <v/>
      </c>
      <c r="G246" s="215" t="str">
        <f>IFERROR(VLOOKUP($C246,'PORTIFÓLIO'!C:V,5,0),"")</f>
        <v/>
      </c>
      <c r="H246" s="254" t="str">
        <f t="array" ref="H246">IFERROR(INDEX('PORTIFÓLIO'!$H$4:$H$433,MATCH($C246,'PORTIFÓLIO'!$C$4:$C$433,0)),"")</f>
        <v/>
      </c>
      <c r="I246" s="255"/>
      <c r="J246" s="218">
        <f t="shared" si="27"/>
        <v>0</v>
      </c>
      <c r="K246" s="219" t="str">
        <f t="array" ref="K246">IFERROR(I246*INDEX('PORTIFÓLIO'!$S$4:$S$433,MATCH($C246,'PORTIFÓLIO'!$C$4:$C$433,0)),"")</f>
        <v/>
      </c>
      <c r="L246" s="219" t="str">
        <f t="array" ref="L246">IFERROR(J246*INDEX('PORTIFÓLIO'!$S$4:$S$433,MATCH($C246,'PORTIFÓLIO'!$C$4:$C$433,0)),"")</f>
        <v/>
      </c>
      <c r="M246" s="220"/>
      <c r="N246" s="220"/>
      <c r="O246" s="220"/>
      <c r="P246" s="220"/>
      <c r="Q246" s="220"/>
      <c r="R246" s="220"/>
      <c r="S246" s="220"/>
      <c r="T246" s="220"/>
      <c r="U246" s="220"/>
      <c r="V246" s="220"/>
      <c r="W246" s="220"/>
    </row>
    <row r="247" ht="15.75" customHeight="1" outlineLevel="1">
      <c r="A247" s="211"/>
      <c r="B247" s="212"/>
      <c r="C247" s="213"/>
      <c r="D247" s="214" t="str">
        <f>IFERROR(VLOOKUP($C247,'PORTIFÓLIO'!C:V,2,0),"")</f>
        <v/>
      </c>
      <c r="E247" s="211" t="str">
        <f>IFERROR(VLOOKUP($C247,'PORTIFÓLIO'!C:V,3,0),"")</f>
        <v/>
      </c>
      <c r="F247" s="211" t="str">
        <f>IFERROR(VLOOKUP($C247,'PORTIFÓLIO'!C:V,4,0),"")</f>
        <v/>
      </c>
      <c r="G247" s="215" t="str">
        <f>IFERROR(VLOOKUP($C247,'PORTIFÓLIO'!C:V,5,0),"")</f>
        <v/>
      </c>
      <c r="H247" s="254" t="str">
        <f t="array" ref="H247">IFERROR(INDEX('PORTIFÓLIO'!$H$4:$H$433,MATCH($C247,'PORTIFÓLIO'!$C$4:$C$433,0)),"")</f>
        <v/>
      </c>
      <c r="I247" s="255"/>
      <c r="J247" s="218">
        <f t="shared" si="27"/>
        <v>0</v>
      </c>
      <c r="K247" s="219" t="str">
        <f t="array" ref="K247">IFERROR(I247*INDEX('PORTIFÓLIO'!$S$4:$S$433,MATCH($C247,'PORTIFÓLIO'!$C$4:$C$433,0)),"")</f>
        <v/>
      </c>
      <c r="L247" s="219" t="str">
        <f t="array" ref="L247">IFERROR(J247*INDEX('PORTIFÓLIO'!$S$4:$S$433,MATCH($C247,'PORTIFÓLIO'!$C$4:$C$433,0)),"")</f>
        <v/>
      </c>
      <c r="M247" s="220"/>
      <c r="N247" s="220"/>
      <c r="O247" s="220"/>
      <c r="P247" s="220"/>
      <c r="Q247" s="220"/>
      <c r="R247" s="220"/>
      <c r="S247" s="220"/>
      <c r="T247" s="220"/>
      <c r="U247" s="220"/>
      <c r="V247" s="220"/>
      <c r="W247" s="220"/>
    </row>
    <row r="248" ht="15.75" customHeight="1" outlineLevel="1">
      <c r="A248" s="211"/>
      <c r="B248" s="212"/>
      <c r="C248" s="213"/>
      <c r="D248" s="214" t="str">
        <f>IFERROR(VLOOKUP($C248,'PORTIFÓLIO'!C:V,2,0),"")</f>
        <v/>
      </c>
      <c r="E248" s="211" t="str">
        <f>IFERROR(VLOOKUP($C248,'PORTIFÓLIO'!C:V,3,0),"")</f>
        <v/>
      </c>
      <c r="F248" s="211" t="str">
        <f>IFERROR(VLOOKUP($C248,'PORTIFÓLIO'!C:V,4,0),"")</f>
        <v/>
      </c>
      <c r="G248" s="215" t="str">
        <f>IFERROR(VLOOKUP($C248,'PORTIFÓLIO'!C:V,5,0),"")</f>
        <v/>
      </c>
      <c r="H248" s="254" t="str">
        <f t="array" ref="H248">IFERROR(INDEX('PORTIFÓLIO'!$H$4:$H$433,MATCH($C248,'PORTIFÓLIO'!$C$4:$C$433,0)),"")</f>
        <v/>
      </c>
      <c r="I248" s="255"/>
      <c r="J248" s="218">
        <f t="shared" si="27"/>
        <v>0</v>
      </c>
      <c r="K248" s="219" t="str">
        <f t="array" ref="K248">IFERROR(I248*INDEX('PORTIFÓLIO'!$S$4:$S$433,MATCH($C248,'PORTIFÓLIO'!$C$4:$C$433,0)),"")</f>
        <v/>
      </c>
      <c r="L248" s="219" t="str">
        <f t="array" ref="L248">IFERROR(J248*INDEX('PORTIFÓLIO'!$S$4:$S$433,MATCH($C248,'PORTIFÓLIO'!$C$4:$C$433,0)),"")</f>
        <v/>
      </c>
      <c r="M248" s="220"/>
      <c r="N248" s="220"/>
      <c r="O248" s="220"/>
      <c r="P248" s="220"/>
      <c r="Q248" s="220"/>
      <c r="R248" s="220"/>
      <c r="S248" s="220"/>
      <c r="T248" s="220"/>
      <c r="U248" s="220"/>
      <c r="V248" s="220"/>
      <c r="W248" s="220"/>
    </row>
    <row r="249" ht="15.75" customHeight="1" outlineLevel="1">
      <c r="A249" s="211"/>
      <c r="B249" s="212"/>
      <c r="C249" s="213"/>
      <c r="D249" s="214" t="str">
        <f>IFERROR(VLOOKUP($C249,'PORTIFÓLIO'!C:V,2,0),"")</f>
        <v/>
      </c>
      <c r="E249" s="211" t="str">
        <f>IFERROR(VLOOKUP($C249,'PORTIFÓLIO'!C:V,3,0),"")</f>
        <v/>
      </c>
      <c r="F249" s="211" t="str">
        <f>IFERROR(VLOOKUP($C249,'PORTIFÓLIO'!C:V,4,0),"")</f>
        <v/>
      </c>
      <c r="G249" s="215" t="str">
        <f>IFERROR(VLOOKUP($C249,'PORTIFÓLIO'!C:V,5,0),"")</f>
        <v/>
      </c>
      <c r="H249" s="254" t="str">
        <f t="array" ref="H249">IFERROR(INDEX('PORTIFÓLIO'!$H$4:$H$433,MATCH($C249,'PORTIFÓLIO'!$C$4:$C$433,0)),"")</f>
        <v/>
      </c>
      <c r="I249" s="255"/>
      <c r="J249" s="218">
        <f t="shared" si="27"/>
        <v>0</v>
      </c>
      <c r="K249" s="219" t="str">
        <f t="array" ref="K249">IFERROR(I249*INDEX('PORTIFÓLIO'!$S$4:$S$433,MATCH($C249,'PORTIFÓLIO'!$C$4:$C$433,0)),"")</f>
        <v/>
      </c>
      <c r="L249" s="219" t="str">
        <f t="array" ref="L249">IFERROR(J249*INDEX('PORTIFÓLIO'!$S$4:$S$433,MATCH($C249,'PORTIFÓLIO'!$C$4:$C$433,0)),"")</f>
        <v/>
      </c>
      <c r="M249" s="220"/>
      <c r="N249" s="220"/>
      <c r="O249" s="220"/>
      <c r="P249" s="220"/>
      <c r="Q249" s="220"/>
      <c r="R249" s="220"/>
      <c r="S249" s="220"/>
      <c r="T249" s="220"/>
      <c r="U249" s="220"/>
      <c r="V249" s="220"/>
      <c r="W249" s="220"/>
    </row>
    <row r="250" ht="15.75" customHeight="1" outlineLevel="1">
      <c r="A250" s="211"/>
      <c r="B250" s="212"/>
      <c r="C250" s="213"/>
      <c r="D250" s="214" t="str">
        <f>IFERROR(VLOOKUP($C250,'PORTIFÓLIO'!C:V,2,0),"")</f>
        <v/>
      </c>
      <c r="E250" s="211" t="str">
        <f>IFERROR(VLOOKUP($C250,'PORTIFÓLIO'!C:V,3,0),"")</f>
        <v/>
      </c>
      <c r="F250" s="211" t="str">
        <f>IFERROR(VLOOKUP($C250,'PORTIFÓLIO'!C:V,4,0),"")</f>
        <v/>
      </c>
      <c r="G250" s="215" t="str">
        <f>IFERROR(VLOOKUP($C250,'PORTIFÓLIO'!C:V,5,0),"")</f>
        <v/>
      </c>
      <c r="H250" s="254" t="str">
        <f t="array" ref="H250">IFERROR(INDEX('PORTIFÓLIO'!$H$4:$H$433,MATCH($C250,'PORTIFÓLIO'!$C$4:$C$433,0)),"")</f>
        <v/>
      </c>
      <c r="I250" s="255"/>
      <c r="J250" s="218">
        <f t="shared" si="27"/>
        <v>0</v>
      </c>
      <c r="K250" s="219" t="str">
        <f t="array" ref="K250">IFERROR(I250*INDEX('PORTIFÓLIO'!$S$4:$S$433,MATCH($C250,'PORTIFÓLIO'!$C$4:$C$433,0)),"")</f>
        <v/>
      </c>
      <c r="L250" s="219" t="str">
        <f t="array" ref="L250">IFERROR(J250*INDEX('PORTIFÓLIO'!$S$4:$S$433,MATCH($C250,'PORTIFÓLIO'!$C$4:$C$433,0)),"")</f>
        <v/>
      </c>
      <c r="M250" s="220"/>
      <c r="N250" s="220"/>
      <c r="O250" s="220"/>
      <c r="P250" s="220"/>
      <c r="Q250" s="220"/>
      <c r="R250" s="220"/>
      <c r="S250" s="220"/>
      <c r="T250" s="220"/>
      <c r="U250" s="220"/>
      <c r="V250" s="220"/>
      <c r="W250" s="220"/>
    </row>
    <row r="251" ht="15.75" customHeight="1" outlineLevel="1">
      <c r="A251" s="211"/>
      <c r="B251" s="212"/>
      <c r="C251" s="213"/>
      <c r="D251" s="214" t="str">
        <f>IFERROR(VLOOKUP($C251,'PORTIFÓLIO'!C:V,2,0),"")</f>
        <v/>
      </c>
      <c r="E251" s="211" t="str">
        <f>IFERROR(VLOOKUP($C251,'PORTIFÓLIO'!C:V,3,0),"")</f>
        <v/>
      </c>
      <c r="F251" s="211" t="str">
        <f>IFERROR(VLOOKUP($C251,'PORTIFÓLIO'!C:V,4,0),"")</f>
        <v/>
      </c>
      <c r="G251" s="215" t="str">
        <f>IFERROR(VLOOKUP($C251,'PORTIFÓLIO'!C:V,5,0),"")</f>
        <v/>
      </c>
      <c r="H251" s="254" t="str">
        <f t="array" ref="H251">IFERROR(INDEX('PORTIFÓLIO'!$H$4:$H$433,MATCH($C251,'PORTIFÓLIO'!$C$4:$C$433,0)),"")</f>
        <v/>
      </c>
      <c r="I251" s="255"/>
      <c r="J251" s="218">
        <f t="shared" si="27"/>
        <v>0</v>
      </c>
      <c r="K251" s="219" t="str">
        <f t="array" ref="K251">IFERROR(I251*INDEX('PORTIFÓLIO'!$S$4:$S$433,MATCH($C251,'PORTIFÓLIO'!$C$4:$C$433,0)),"")</f>
        <v/>
      </c>
      <c r="L251" s="219" t="str">
        <f t="array" ref="L251">IFERROR(J251*INDEX('PORTIFÓLIO'!$S$4:$S$433,MATCH($C251,'PORTIFÓLIO'!$C$4:$C$433,0)),"")</f>
        <v/>
      </c>
      <c r="M251" s="220"/>
      <c r="N251" s="220"/>
      <c r="O251" s="220"/>
      <c r="P251" s="220"/>
      <c r="Q251" s="220"/>
      <c r="R251" s="220"/>
      <c r="S251" s="220"/>
      <c r="T251" s="220"/>
      <c r="U251" s="220"/>
      <c r="V251" s="220"/>
      <c r="W251" s="220"/>
    </row>
    <row r="252" ht="15.75" customHeight="1">
      <c r="A252" s="229" t="s">
        <v>1184</v>
      </c>
      <c r="B252" s="230"/>
      <c r="C252" s="231"/>
      <c r="D252" s="232"/>
      <c r="E252" s="231"/>
      <c r="F252" s="231"/>
      <c r="G252" s="233"/>
      <c r="H252" s="233"/>
      <c r="I252" s="258"/>
      <c r="J252" s="236"/>
      <c r="K252" s="237">
        <f t="shared" ref="K252:L252" si="28">SUBTOTAL(9,K253:K266)</f>
        <v>0</v>
      </c>
      <c r="L252" s="237">
        <f t="shared" si="28"/>
        <v>0</v>
      </c>
      <c r="M252" s="220"/>
      <c r="N252" s="220"/>
      <c r="O252" s="220"/>
      <c r="P252" s="220"/>
      <c r="Q252" s="220"/>
      <c r="R252" s="220"/>
      <c r="S252" s="220"/>
      <c r="T252" s="220"/>
      <c r="U252" s="220"/>
      <c r="V252" s="220"/>
      <c r="W252" s="220"/>
    </row>
    <row r="253" ht="15.75" customHeight="1" outlineLevel="1">
      <c r="A253" s="213"/>
      <c r="B253" s="212"/>
      <c r="C253" s="213"/>
      <c r="D253" s="214" t="str">
        <f>IFERROR(VLOOKUP($C253,'PORTIFÓLIO'!C:V,2,0),"")</f>
        <v/>
      </c>
      <c r="E253" s="211" t="str">
        <f>IFERROR(VLOOKUP($C253,'PORTIFÓLIO'!C:V,3,0),"")</f>
        <v/>
      </c>
      <c r="F253" s="211" t="str">
        <f>IFERROR(VLOOKUP($C253,'PORTIFÓLIO'!C:V,4,0),"")</f>
        <v/>
      </c>
      <c r="G253" s="215" t="str">
        <f>IFERROR(VLOOKUP($C253,'PORTIFÓLIO'!C:V,5,0),"")</f>
        <v/>
      </c>
      <c r="H253" s="254" t="str">
        <f t="array" ref="H253">IFERROR(INDEX('PORTIFÓLIO'!$H$4:$H$433,MATCH($C253,'PORTIFÓLIO'!$C$4:$C$433,0)),"")</f>
        <v/>
      </c>
      <c r="I253" s="255"/>
      <c r="J253" s="218">
        <f t="shared" ref="J253:J270" si="29">I253*$B$2</f>
        <v>0</v>
      </c>
      <c r="K253" s="292" t="str">
        <f t="array" ref="K253">IFERROR(I253*INDEX('PORTIFÓLIO'!$S$4:$S$433,MATCH($C253,'PORTIFÓLIO'!$C$4:$C$433,0)),"")</f>
        <v/>
      </c>
      <c r="L253" s="292" t="str">
        <f t="array" ref="L253">IFERROR(J253*INDEX('PORTIFÓLIO'!$S$4:$S$433,MATCH($C253,'PORTIFÓLIO'!$C$4:$C$433,0)),"")</f>
        <v/>
      </c>
      <c r="M253" s="220"/>
      <c r="N253" s="220"/>
      <c r="O253" s="220"/>
      <c r="P253" s="220"/>
      <c r="Q253" s="220"/>
      <c r="R253" s="220"/>
      <c r="S253" s="220"/>
      <c r="T253" s="220"/>
      <c r="U253" s="220"/>
      <c r="V253" s="220"/>
      <c r="W253" s="220"/>
    </row>
    <row r="254" ht="15.75" customHeight="1" outlineLevel="1">
      <c r="A254" s="211"/>
      <c r="B254" s="212"/>
      <c r="C254" s="213"/>
      <c r="D254" s="214" t="str">
        <f>IFERROR(VLOOKUP($C254,'PORTIFÓLIO'!C:V,2,0),"")</f>
        <v/>
      </c>
      <c r="E254" s="211" t="str">
        <f>IFERROR(VLOOKUP($C254,'PORTIFÓLIO'!C:V,3,0),"")</f>
        <v/>
      </c>
      <c r="F254" s="211" t="str">
        <f>IFERROR(VLOOKUP($C254,'PORTIFÓLIO'!C:V,4,0),"")</f>
        <v/>
      </c>
      <c r="G254" s="215" t="str">
        <f>IFERROR(VLOOKUP($C254,'PORTIFÓLIO'!C:V,5,0),"")</f>
        <v/>
      </c>
      <c r="H254" s="254" t="str">
        <f t="array" ref="H254">IFERROR(INDEX('PORTIFÓLIO'!$H$4:$H$433,MATCH($C254,'PORTIFÓLIO'!$C$4:$C$433,0)),"")</f>
        <v/>
      </c>
      <c r="I254" s="255"/>
      <c r="J254" s="218">
        <f t="shared" si="29"/>
        <v>0</v>
      </c>
      <c r="K254" s="292" t="str">
        <f t="array" ref="K254">IFERROR(I254*INDEX('PORTIFÓLIO'!$S$4:$S$433,MATCH($C254,'PORTIFÓLIO'!$C$4:$C$433,0)),"")</f>
        <v/>
      </c>
      <c r="L254" s="292" t="str">
        <f t="array" ref="L254">IFERROR(J254*INDEX('PORTIFÓLIO'!$S$4:$S$433,MATCH($C254,'PORTIFÓLIO'!$C$4:$C$433,0)),"")</f>
        <v/>
      </c>
      <c r="M254" s="220"/>
      <c r="N254" s="220"/>
      <c r="O254" s="220"/>
      <c r="P254" s="220"/>
      <c r="Q254" s="220"/>
      <c r="R254" s="220"/>
      <c r="S254" s="220"/>
      <c r="T254" s="220"/>
      <c r="U254" s="220"/>
      <c r="V254" s="220"/>
      <c r="W254" s="220"/>
    </row>
    <row r="255" ht="15.75" customHeight="1" outlineLevel="1">
      <c r="A255" s="211"/>
      <c r="B255" s="212"/>
      <c r="C255" s="213"/>
      <c r="D255" s="214" t="str">
        <f>IFERROR(VLOOKUP($C255,'PORTIFÓLIO'!C:V,2,0),"")</f>
        <v/>
      </c>
      <c r="E255" s="211" t="str">
        <f>IFERROR(VLOOKUP($C255,'PORTIFÓLIO'!C:V,3,0),"")</f>
        <v/>
      </c>
      <c r="F255" s="211" t="str">
        <f>IFERROR(VLOOKUP($C255,'PORTIFÓLIO'!C:V,4,0),"")</f>
        <v/>
      </c>
      <c r="G255" s="215" t="str">
        <f>IFERROR(VLOOKUP($C255,'PORTIFÓLIO'!C:V,5,0),"")</f>
        <v/>
      </c>
      <c r="H255" s="254" t="str">
        <f t="array" ref="H255">IFERROR(INDEX('PORTIFÓLIO'!$H$4:$H$433,MATCH($C255,'PORTIFÓLIO'!$C$4:$C$433,0)),"")</f>
        <v/>
      </c>
      <c r="I255" s="256"/>
      <c r="J255" s="218">
        <f t="shared" si="29"/>
        <v>0</v>
      </c>
      <c r="K255" s="292" t="str">
        <f t="array" ref="K255">IFERROR(I255*INDEX('PORTIFÓLIO'!$S$4:$S$433,MATCH($C255,'PORTIFÓLIO'!$C$4:$C$433,0)),"")</f>
        <v/>
      </c>
      <c r="L255" s="292" t="str">
        <f t="array" ref="L255">IFERROR(J255*INDEX('PORTIFÓLIO'!$S$4:$S$433,MATCH($C255,'PORTIFÓLIO'!$C$4:$C$433,0)),"")</f>
        <v/>
      </c>
      <c r="M255" s="220"/>
      <c r="N255" s="220"/>
      <c r="O255" s="220"/>
      <c r="P255" s="220"/>
      <c r="Q255" s="220"/>
      <c r="R255" s="220"/>
      <c r="S255" s="220"/>
      <c r="T255" s="220"/>
      <c r="U255" s="220"/>
      <c r="V255" s="220"/>
      <c r="W255" s="220"/>
    </row>
    <row r="256" ht="15.75" customHeight="1" outlineLevel="1">
      <c r="A256" s="211"/>
      <c r="B256" s="212"/>
      <c r="C256" s="213"/>
      <c r="D256" s="214" t="str">
        <f>IFERROR(VLOOKUP($C256,'PORTIFÓLIO'!C:V,2,0),"")</f>
        <v/>
      </c>
      <c r="E256" s="211" t="str">
        <f>IFERROR(VLOOKUP($C256,'PORTIFÓLIO'!C:V,3,0),"")</f>
        <v/>
      </c>
      <c r="F256" s="211" t="str">
        <f>IFERROR(VLOOKUP($C256,'PORTIFÓLIO'!C:V,4,0),"")</f>
        <v/>
      </c>
      <c r="G256" s="215" t="str">
        <f>IFERROR(VLOOKUP($C256,'PORTIFÓLIO'!C:V,5,0),"")</f>
        <v/>
      </c>
      <c r="H256" s="254" t="str">
        <f t="array" ref="H256">IFERROR(INDEX('PORTIFÓLIO'!$H$4:$H$433,MATCH($C256,'PORTIFÓLIO'!$C$4:$C$433,0)),"")</f>
        <v/>
      </c>
      <c r="I256" s="255"/>
      <c r="J256" s="218">
        <f t="shared" si="29"/>
        <v>0</v>
      </c>
      <c r="K256" s="292" t="str">
        <f t="array" ref="K256">IFERROR(I256*INDEX('PORTIFÓLIO'!$S$4:$S$433,MATCH($C256,'PORTIFÓLIO'!$C$4:$C$433,0)),"")</f>
        <v/>
      </c>
      <c r="L256" s="292" t="str">
        <f t="array" ref="L256">IFERROR(J256*INDEX('PORTIFÓLIO'!$S$4:$S$433,MATCH($C256,'PORTIFÓLIO'!$C$4:$C$433,0)),"")</f>
        <v/>
      </c>
      <c r="M256" s="220"/>
      <c r="N256" s="220"/>
      <c r="O256" s="220"/>
      <c r="P256" s="220"/>
      <c r="Q256" s="220"/>
      <c r="R256" s="220"/>
      <c r="S256" s="220"/>
      <c r="T256" s="220"/>
      <c r="U256" s="220"/>
      <c r="V256" s="220"/>
      <c r="W256" s="220"/>
    </row>
    <row r="257" ht="15.75" customHeight="1" outlineLevel="1">
      <c r="A257" s="211"/>
      <c r="B257" s="212"/>
      <c r="C257" s="213"/>
      <c r="D257" s="214" t="str">
        <f>IFERROR(VLOOKUP($C257,'PORTIFÓLIO'!C:V,2,0),"")</f>
        <v/>
      </c>
      <c r="E257" s="211" t="str">
        <f>IFERROR(VLOOKUP($C257,'PORTIFÓLIO'!C:V,3,0),"")</f>
        <v/>
      </c>
      <c r="F257" s="211" t="str">
        <f>IFERROR(VLOOKUP($C257,'PORTIFÓLIO'!C:V,4,0),"")</f>
        <v/>
      </c>
      <c r="G257" s="215" t="str">
        <f>IFERROR(VLOOKUP($C257,'PORTIFÓLIO'!C:V,5,0),"")</f>
        <v/>
      </c>
      <c r="H257" s="254" t="str">
        <f t="array" ref="H257">IFERROR(INDEX('PORTIFÓLIO'!$H$4:$H$433,MATCH($C257,'PORTIFÓLIO'!$C$4:$C$433,0)),"")</f>
        <v/>
      </c>
      <c r="I257" s="256"/>
      <c r="J257" s="218">
        <f t="shared" si="29"/>
        <v>0</v>
      </c>
      <c r="K257" s="292" t="str">
        <f t="array" ref="K257">IFERROR(I257*INDEX('PORTIFÓLIO'!$S$4:$S$433,MATCH($C257,'PORTIFÓLIO'!$C$4:$C$433,0)),"")</f>
        <v/>
      </c>
      <c r="L257" s="292" t="str">
        <f t="array" ref="L257">IFERROR(J257*INDEX('PORTIFÓLIO'!$S$4:$S$433,MATCH($C257,'PORTIFÓLIO'!$C$4:$C$433,0)),"")</f>
        <v/>
      </c>
      <c r="M257" s="220"/>
      <c r="N257" s="220"/>
      <c r="O257" s="220"/>
      <c r="P257" s="220"/>
      <c r="Q257" s="220"/>
      <c r="R257" s="220"/>
      <c r="S257" s="220"/>
      <c r="T257" s="220"/>
      <c r="U257" s="220"/>
      <c r="V257" s="220"/>
      <c r="W257" s="220"/>
    </row>
    <row r="258" ht="15.75" customHeight="1" outlineLevel="1">
      <c r="A258" s="211"/>
      <c r="B258" s="212"/>
      <c r="C258" s="213"/>
      <c r="D258" s="214" t="str">
        <f>IFERROR(VLOOKUP($C258,'PORTIFÓLIO'!C:V,2,0),"")</f>
        <v/>
      </c>
      <c r="E258" s="211" t="str">
        <f>IFERROR(VLOOKUP($C258,'PORTIFÓLIO'!C:V,3,0),"")</f>
        <v/>
      </c>
      <c r="F258" s="211" t="str">
        <f>IFERROR(VLOOKUP($C258,'PORTIFÓLIO'!C:V,4,0),"")</f>
        <v/>
      </c>
      <c r="G258" s="215" t="str">
        <f>IFERROR(VLOOKUP($C258,'PORTIFÓLIO'!C:V,5,0),"")</f>
        <v/>
      </c>
      <c r="H258" s="254" t="str">
        <f t="array" ref="H258">IFERROR(INDEX('PORTIFÓLIO'!$H$4:$H$433,MATCH($C258,'PORTIFÓLIO'!$C$4:$C$433,0)),"")</f>
        <v/>
      </c>
      <c r="I258" s="256"/>
      <c r="J258" s="218">
        <f t="shared" si="29"/>
        <v>0</v>
      </c>
      <c r="K258" s="292" t="str">
        <f t="array" ref="K258">IFERROR(I258*INDEX('PORTIFÓLIO'!$S$4:$S$433,MATCH($C258,'PORTIFÓLIO'!$C$4:$C$433,0)),"")</f>
        <v/>
      </c>
      <c r="L258" s="292" t="str">
        <f t="array" ref="L258">IFERROR(J258*INDEX('PORTIFÓLIO'!$S$4:$S$433,MATCH($C258,'PORTIFÓLIO'!$C$4:$C$433,0)),"")</f>
        <v/>
      </c>
      <c r="M258" s="220"/>
      <c r="N258" s="220"/>
      <c r="O258" s="220"/>
      <c r="P258" s="220"/>
      <c r="Q258" s="220"/>
      <c r="R258" s="220"/>
      <c r="S258" s="220"/>
      <c r="T258" s="220"/>
      <c r="U258" s="220"/>
      <c r="V258" s="220"/>
      <c r="W258" s="220"/>
    </row>
    <row r="259" ht="15.75" customHeight="1" outlineLevel="1">
      <c r="A259" s="211"/>
      <c r="B259" s="212"/>
      <c r="C259" s="213"/>
      <c r="D259" s="214" t="str">
        <f>IFERROR(VLOOKUP($C259,'PORTIFÓLIO'!C:V,2,0),"")</f>
        <v/>
      </c>
      <c r="E259" s="211" t="str">
        <f>IFERROR(VLOOKUP($C259,'PORTIFÓLIO'!C:V,3,0),"")</f>
        <v/>
      </c>
      <c r="F259" s="211" t="str">
        <f>IFERROR(VLOOKUP($C259,'PORTIFÓLIO'!C:V,4,0),"")</f>
        <v/>
      </c>
      <c r="G259" s="215" t="str">
        <f>IFERROR(VLOOKUP($C259,'PORTIFÓLIO'!C:V,5,0),"")</f>
        <v/>
      </c>
      <c r="H259" s="254" t="str">
        <f t="array" ref="H259">IFERROR(INDEX('PORTIFÓLIO'!$H$4:$H$433,MATCH($C259,'PORTIFÓLIO'!$C$4:$C$433,0)),"")</f>
        <v/>
      </c>
      <c r="I259" s="256"/>
      <c r="J259" s="218">
        <f t="shared" si="29"/>
        <v>0</v>
      </c>
      <c r="K259" s="292" t="str">
        <f t="array" ref="K259">IFERROR(I259*INDEX('PORTIFÓLIO'!$S$4:$S$433,MATCH($C259,'PORTIFÓLIO'!$C$4:$C$433,0)),"")</f>
        <v/>
      </c>
      <c r="L259" s="292" t="str">
        <f t="array" ref="L259">IFERROR(J259*INDEX('PORTIFÓLIO'!$S$4:$S$433,MATCH($C259,'PORTIFÓLIO'!$C$4:$C$433,0)),"")</f>
        <v/>
      </c>
      <c r="M259" s="220"/>
      <c r="N259" s="220"/>
      <c r="O259" s="220"/>
      <c r="P259" s="220"/>
      <c r="Q259" s="220"/>
      <c r="R259" s="220"/>
      <c r="S259" s="220"/>
      <c r="T259" s="220"/>
      <c r="U259" s="220"/>
      <c r="V259" s="220"/>
      <c r="W259" s="220"/>
    </row>
    <row r="260" ht="15.75" customHeight="1" outlineLevel="1">
      <c r="A260" s="211"/>
      <c r="B260" s="212"/>
      <c r="C260" s="213"/>
      <c r="D260" s="214" t="str">
        <f>IFERROR(VLOOKUP($C260,'PORTIFÓLIO'!C:V,2,0),"")</f>
        <v/>
      </c>
      <c r="E260" s="211" t="str">
        <f>IFERROR(VLOOKUP($C260,'PORTIFÓLIO'!C:V,3,0),"")</f>
        <v/>
      </c>
      <c r="F260" s="211" t="str">
        <f>IFERROR(VLOOKUP($C260,'PORTIFÓLIO'!C:V,4,0),"")</f>
        <v/>
      </c>
      <c r="G260" s="215" t="str">
        <f>IFERROR(VLOOKUP($C260,'PORTIFÓLIO'!C:V,5,0),"")</f>
        <v/>
      </c>
      <c r="H260" s="254" t="str">
        <f t="array" ref="H260">IFERROR(INDEX('PORTIFÓLIO'!$H$4:$H$433,MATCH($C260,'PORTIFÓLIO'!$C$4:$C$433,0)),"")</f>
        <v/>
      </c>
      <c r="I260" s="256"/>
      <c r="J260" s="218">
        <f t="shared" si="29"/>
        <v>0</v>
      </c>
      <c r="K260" s="292" t="str">
        <f t="array" ref="K260">IFERROR(I260*INDEX('PORTIFÓLIO'!$S$4:$S$433,MATCH($C260,'PORTIFÓLIO'!$C$4:$C$433,0)),"")</f>
        <v/>
      </c>
      <c r="L260" s="292" t="str">
        <f t="array" ref="L260">IFERROR(J260*INDEX('PORTIFÓLIO'!$S$4:$S$433,MATCH($C260,'PORTIFÓLIO'!$C$4:$C$433,0)),"")</f>
        <v/>
      </c>
      <c r="M260" s="220"/>
      <c r="N260" s="220"/>
      <c r="O260" s="220"/>
      <c r="P260" s="220"/>
      <c r="Q260" s="220"/>
      <c r="R260" s="220"/>
      <c r="S260" s="220"/>
      <c r="T260" s="220"/>
      <c r="U260" s="220"/>
      <c r="V260" s="220"/>
      <c r="W260" s="220"/>
    </row>
    <row r="261" ht="15.75" customHeight="1" outlineLevel="1">
      <c r="A261" s="211"/>
      <c r="B261" s="212"/>
      <c r="C261" s="213"/>
      <c r="D261" s="214" t="str">
        <f>IFERROR(VLOOKUP($C261,'PORTIFÓLIO'!C:V,2,0),"")</f>
        <v/>
      </c>
      <c r="E261" s="211" t="str">
        <f>IFERROR(VLOOKUP($C261,'PORTIFÓLIO'!C:V,3,0),"")</f>
        <v/>
      </c>
      <c r="F261" s="211" t="str">
        <f>IFERROR(VLOOKUP($C261,'PORTIFÓLIO'!C:V,4,0),"")</f>
        <v/>
      </c>
      <c r="G261" s="215" t="str">
        <f>IFERROR(VLOOKUP($C261,'PORTIFÓLIO'!C:V,5,0),"")</f>
        <v/>
      </c>
      <c r="H261" s="254" t="str">
        <f t="array" ref="H261">IFERROR(INDEX('PORTIFÓLIO'!$H$4:$H$433,MATCH($C261,'PORTIFÓLIO'!$C$4:$C$433,0)),"")</f>
        <v/>
      </c>
      <c r="I261" s="255"/>
      <c r="J261" s="218">
        <f t="shared" si="29"/>
        <v>0</v>
      </c>
      <c r="K261" s="292" t="str">
        <f t="array" ref="K261">IFERROR(I261*INDEX('PORTIFÓLIO'!$S$4:$S$433,MATCH($C261,'PORTIFÓLIO'!$C$4:$C$433,0)),"")</f>
        <v/>
      </c>
      <c r="L261" s="292" t="str">
        <f t="array" ref="L261">IFERROR(J261*INDEX('PORTIFÓLIO'!$S$4:$S$433,MATCH($C261,'PORTIFÓLIO'!$C$4:$C$433,0)),"")</f>
        <v/>
      </c>
      <c r="M261" s="220"/>
      <c r="N261" s="220"/>
      <c r="O261" s="220"/>
      <c r="P261" s="220"/>
      <c r="Q261" s="220"/>
      <c r="R261" s="220"/>
      <c r="S261" s="220"/>
      <c r="T261" s="220"/>
      <c r="U261" s="220"/>
      <c r="V261" s="220"/>
      <c r="W261" s="220"/>
    </row>
    <row r="262" ht="15.75" customHeight="1" outlineLevel="1">
      <c r="A262" s="211"/>
      <c r="B262" s="212"/>
      <c r="C262" s="213"/>
      <c r="D262" s="214" t="str">
        <f>IFERROR(VLOOKUP($C262,'PORTIFÓLIO'!C:V,2,0),"")</f>
        <v/>
      </c>
      <c r="E262" s="211" t="str">
        <f>IFERROR(VLOOKUP($C262,'PORTIFÓLIO'!C:V,3,0),"")</f>
        <v/>
      </c>
      <c r="F262" s="211" t="str">
        <f>IFERROR(VLOOKUP($C262,'PORTIFÓLIO'!C:V,4,0),"")</f>
        <v/>
      </c>
      <c r="G262" s="215" t="str">
        <f>IFERROR(VLOOKUP($C262,'PORTIFÓLIO'!C:V,5,0),"")</f>
        <v/>
      </c>
      <c r="H262" s="254" t="str">
        <f t="array" ref="H262">IFERROR(INDEX('PORTIFÓLIO'!$H$4:$H$433,MATCH($C262,'PORTIFÓLIO'!$C$4:$C$433,0)),"")</f>
        <v/>
      </c>
      <c r="I262" s="256"/>
      <c r="J262" s="218">
        <f t="shared" si="29"/>
        <v>0</v>
      </c>
      <c r="K262" s="292" t="str">
        <f t="array" ref="K262">IFERROR(I262*INDEX('PORTIFÓLIO'!$S$4:$S$433,MATCH($C262,'PORTIFÓLIO'!$C$4:$C$433,0)),"")</f>
        <v/>
      </c>
      <c r="L262" s="292" t="str">
        <f t="array" ref="L262">IFERROR(J262*INDEX('PORTIFÓLIO'!$S$4:$S$433,MATCH($C262,'PORTIFÓLIO'!$C$4:$C$433,0)),"")</f>
        <v/>
      </c>
      <c r="M262" s="220"/>
      <c r="N262" s="220"/>
      <c r="O262" s="220"/>
      <c r="P262" s="220"/>
      <c r="Q262" s="220"/>
      <c r="R262" s="220"/>
      <c r="S262" s="220"/>
      <c r="T262" s="220"/>
      <c r="U262" s="220"/>
      <c r="V262" s="220"/>
      <c r="W262" s="220"/>
    </row>
    <row r="263" ht="15.75" customHeight="1" outlineLevel="1">
      <c r="A263" s="211"/>
      <c r="B263" s="212"/>
      <c r="C263" s="213"/>
      <c r="D263" s="214" t="str">
        <f>IFERROR(VLOOKUP($C263,'PORTIFÓLIO'!C:V,2,0),"")</f>
        <v/>
      </c>
      <c r="E263" s="211" t="str">
        <f>IFERROR(VLOOKUP($C263,'PORTIFÓLIO'!C:V,3,0),"")</f>
        <v/>
      </c>
      <c r="F263" s="211" t="str">
        <f>IFERROR(VLOOKUP($C263,'PORTIFÓLIO'!C:V,4,0),"")</f>
        <v/>
      </c>
      <c r="G263" s="215" t="str">
        <f>IFERROR(VLOOKUP($C263,'PORTIFÓLIO'!C:V,5,0),"")</f>
        <v/>
      </c>
      <c r="H263" s="254" t="str">
        <f t="array" ref="H263">IFERROR(INDEX('PORTIFÓLIO'!$H$4:$H$433,MATCH($C263,'PORTIFÓLIO'!$C$4:$C$433,0)),"")</f>
        <v/>
      </c>
      <c r="I263" s="256"/>
      <c r="J263" s="218">
        <f t="shared" si="29"/>
        <v>0</v>
      </c>
      <c r="K263" s="292" t="str">
        <f t="array" ref="K263">IFERROR(I263*INDEX('PORTIFÓLIO'!$S$4:$S$433,MATCH($C263,'PORTIFÓLIO'!$C$4:$C$433,0)),"")</f>
        <v/>
      </c>
      <c r="L263" s="292" t="str">
        <f t="array" ref="L263">IFERROR(J263*INDEX('PORTIFÓLIO'!$S$4:$S$433,MATCH($C263,'PORTIFÓLIO'!$C$4:$C$433,0)),"")</f>
        <v/>
      </c>
      <c r="M263" s="220"/>
      <c r="N263" s="220"/>
      <c r="O263" s="220"/>
      <c r="P263" s="220"/>
      <c r="Q263" s="220"/>
      <c r="R263" s="220"/>
      <c r="S263" s="220"/>
      <c r="T263" s="220"/>
      <c r="U263" s="220"/>
      <c r="V263" s="220"/>
      <c r="W263" s="220"/>
    </row>
    <row r="264" ht="15.75" customHeight="1" outlineLevel="1">
      <c r="A264" s="211"/>
      <c r="B264" s="212"/>
      <c r="C264" s="213"/>
      <c r="D264" s="214" t="str">
        <f>IFERROR(VLOOKUP($C264,'PORTIFÓLIO'!C:V,2,0),"")</f>
        <v/>
      </c>
      <c r="E264" s="211" t="str">
        <f>IFERROR(VLOOKUP($C264,'PORTIFÓLIO'!C:V,3,0),"")</f>
        <v/>
      </c>
      <c r="F264" s="211" t="str">
        <f>IFERROR(VLOOKUP($C264,'PORTIFÓLIO'!C:V,4,0),"")</f>
        <v/>
      </c>
      <c r="G264" s="215" t="str">
        <f>IFERROR(VLOOKUP($C264,'PORTIFÓLIO'!C:V,5,0),"")</f>
        <v/>
      </c>
      <c r="H264" s="254" t="str">
        <f t="array" ref="H264">IFERROR(INDEX('PORTIFÓLIO'!$H$4:$H$433,MATCH($C264,'PORTIFÓLIO'!$C$4:$C$433,0)),"")</f>
        <v/>
      </c>
      <c r="I264" s="256"/>
      <c r="J264" s="218">
        <f t="shared" si="29"/>
        <v>0</v>
      </c>
      <c r="K264" s="292" t="str">
        <f t="array" ref="K264">IFERROR(I264*INDEX('PORTIFÓLIO'!$S$4:$S$433,MATCH($C264,'PORTIFÓLIO'!$C$4:$C$433,0)),"")</f>
        <v/>
      </c>
      <c r="L264" s="292" t="str">
        <f t="array" ref="L264">IFERROR(J264*INDEX('PORTIFÓLIO'!$S$4:$S$433,MATCH($C264,'PORTIFÓLIO'!$C$4:$C$433,0)),"")</f>
        <v/>
      </c>
      <c r="M264" s="220"/>
      <c r="N264" s="220"/>
      <c r="O264" s="220"/>
      <c r="P264" s="220"/>
      <c r="Q264" s="220"/>
      <c r="R264" s="220"/>
      <c r="S264" s="220"/>
      <c r="T264" s="220"/>
      <c r="U264" s="220"/>
      <c r="V264" s="220"/>
      <c r="W264" s="220"/>
    </row>
    <row r="265" ht="15.75" customHeight="1" outlineLevel="1">
      <c r="A265" s="211"/>
      <c r="B265" s="212"/>
      <c r="C265" s="213"/>
      <c r="D265" s="214" t="str">
        <f>IFERROR(VLOOKUP($C265,'PORTIFÓLIO'!C:V,2,0),"")</f>
        <v/>
      </c>
      <c r="E265" s="211" t="str">
        <f>IFERROR(VLOOKUP($C265,'PORTIFÓLIO'!C:V,3,0),"")</f>
        <v/>
      </c>
      <c r="F265" s="211" t="str">
        <f>IFERROR(VLOOKUP($C265,'PORTIFÓLIO'!C:V,4,0),"")</f>
        <v/>
      </c>
      <c r="G265" s="215" t="str">
        <f>IFERROR(VLOOKUP($C265,'PORTIFÓLIO'!C:V,5,0),"")</f>
        <v/>
      </c>
      <c r="H265" s="254" t="str">
        <f t="array" ref="H265">IFERROR(INDEX('PORTIFÓLIO'!$H$4:$H$433,MATCH($C265,'PORTIFÓLIO'!$C$4:$C$433,0)),"")</f>
        <v/>
      </c>
      <c r="I265" s="256"/>
      <c r="J265" s="218">
        <f t="shared" si="29"/>
        <v>0</v>
      </c>
      <c r="K265" s="292" t="str">
        <f t="array" ref="K265">IFERROR(I265*INDEX('PORTIFÓLIO'!$S$4:$S$433,MATCH($C265,'PORTIFÓLIO'!$C$4:$C$433,0)),"")</f>
        <v/>
      </c>
      <c r="L265" s="292" t="str">
        <f t="array" ref="L265">IFERROR(J265*INDEX('PORTIFÓLIO'!$S$4:$S$433,MATCH($C265,'PORTIFÓLIO'!$C$4:$C$433,0)),"")</f>
        <v/>
      </c>
      <c r="M265" s="220"/>
      <c r="N265" s="220"/>
      <c r="O265" s="220"/>
      <c r="P265" s="220"/>
      <c r="Q265" s="220"/>
      <c r="R265" s="220"/>
      <c r="S265" s="220"/>
      <c r="T265" s="220"/>
      <c r="U265" s="220"/>
      <c r="V265" s="220"/>
      <c r="W265" s="220"/>
    </row>
    <row r="266" ht="15.75" customHeight="1" outlineLevel="1">
      <c r="A266" s="211"/>
      <c r="B266" s="212"/>
      <c r="C266" s="213"/>
      <c r="D266" s="214" t="str">
        <f>IFERROR(VLOOKUP($C266,'PORTIFÓLIO'!C:V,2,0),"")</f>
        <v/>
      </c>
      <c r="E266" s="211" t="str">
        <f>IFERROR(VLOOKUP($C266,'PORTIFÓLIO'!C:V,3,0),"")</f>
        <v/>
      </c>
      <c r="F266" s="211" t="str">
        <f>IFERROR(VLOOKUP($C266,'PORTIFÓLIO'!C:V,4,0),"")</f>
        <v/>
      </c>
      <c r="G266" s="215" t="str">
        <f>IFERROR(VLOOKUP($C266,'PORTIFÓLIO'!C:V,5,0),"")</f>
        <v/>
      </c>
      <c r="H266" s="254" t="str">
        <f t="array" ref="H266">IFERROR(INDEX('PORTIFÓLIO'!$H$4:$H$433,MATCH($C266,'PORTIFÓLIO'!$C$4:$C$433,0)),"")</f>
        <v/>
      </c>
      <c r="I266" s="256"/>
      <c r="J266" s="218">
        <f t="shared" si="29"/>
        <v>0</v>
      </c>
      <c r="K266" s="292" t="str">
        <f t="array" ref="K266">IFERROR(I266*INDEX('PORTIFÓLIO'!$S$4:$S$433,MATCH($C266,'PORTIFÓLIO'!$C$4:$C$433,0)),"")</f>
        <v/>
      </c>
      <c r="L266" s="292" t="str">
        <f t="array" ref="L266">IFERROR(J266*INDEX('PORTIFÓLIO'!$S$4:$S$433,MATCH($C266,'PORTIFÓLIO'!$C$4:$C$433,0)),"")</f>
        <v/>
      </c>
      <c r="M266" s="220"/>
      <c r="N266" s="220"/>
      <c r="O266" s="220"/>
      <c r="P266" s="220"/>
      <c r="Q266" s="220"/>
      <c r="R266" s="220"/>
      <c r="S266" s="220"/>
      <c r="T266" s="220"/>
      <c r="U266" s="220"/>
      <c r="V266" s="220"/>
      <c r="W266" s="220"/>
    </row>
    <row r="267" ht="15.75" customHeight="1" outlineLevel="1">
      <c r="A267" s="211"/>
      <c r="B267" s="212"/>
      <c r="C267" s="213"/>
      <c r="D267" s="214" t="str">
        <f>IFERROR(VLOOKUP($C267,'PORTIFÓLIO'!C:V,2,0),"")</f>
        <v/>
      </c>
      <c r="E267" s="211" t="str">
        <f>IFERROR(VLOOKUP($C267,'PORTIFÓLIO'!C:V,3,0),"")</f>
        <v/>
      </c>
      <c r="F267" s="211" t="str">
        <f>IFERROR(VLOOKUP($C267,'PORTIFÓLIO'!C:V,4,0),"")</f>
        <v/>
      </c>
      <c r="G267" s="215" t="str">
        <f>IFERROR(VLOOKUP($C267,'PORTIFÓLIO'!C:V,5,0),"")</f>
        <v/>
      </c>
      <c r="H267" s="254" t="str">
        <f t="array" ref="H267">IFERROR(INDEX('PORTIFÓLIO'!$H$4:$H$433,MATCH($C267,'PORTIFÓLIO'!$C$4:$C$433,0)),"")</f>
        <v/>
      </c>
      <c r="I267" s="256"/>
      <c r="J267" s="218">
        <f t="shared" si="29"/>
        <v>0</v>
      </c>
      <c r="K267" s="292" t="str">
        <f t="array" ref="K267">IFERROR(I267*INDEX('PORTIFÓLIO'!$S$4:$S$433,MATCH($C267,'PORTIFÓLIO'!$C$4:$C$433,0)),"")</f>
        <v/>
      </c>
      <c r="L267" s="292" t="str">
        <f t="array" ref="L267">IFERROR(J267*INDEX('PORTIFÓLIO'!$S$4:$S$433,MATCH($C267,'PORTIFÓLIO'!$C$4:$C$433,0)),"")</f>
        <v/>
      </c>
      <c r="M267" s="220"/>
      <c r="N267" s="220"/>
      <c r="O267" s="220"/>
      <c r="P267" s="220"/>
      <c r="Q267" s="220"/>
      <c r="R267" s="220"/>
      <c r="S267" s="220"/>
      <c r="T267" s="220"/>
      <c r="U267" s="220"/>
      <c r="V267" s="220"/>
      <c r="W267" s="220"/>
    </row>
    <row r="268" ht="15.75" customHeight="1" outlineLevel="1">
      <c r="A268" s="211"/>
      <c r="B268" s="212"/>
      <c r="C268" s="213"/>
      <c r="D268" s="214" t="str">
        <f>IFERROR(VLOOKUP($C268,'PORTIFÓLIO'!C:V,2,0),"")</f>
        <v/>
      </c>
      <c r="E268" s="211" t="str">
        <f>IFERROR(VLOOKUP($C268,'PORTIFÓLIO'!C:V,3,0),"")</f>
        <v/>
      </c>
      <c r="F268" s="211" t="str">
        <f>IFERROR(VLOOKUP($C268,'PORTIFÓLIO'!C:V,4,0),"")</f>
        <v/>
      </c>
      <c r="G268" s="215" t="str">
        <f>IFERROR(VLOOKUP($C268,'PORTIFÓLIO'!C:V,5,0),"")</f>
        <v/>
      </c>
      <c r="H268" s="254" t="str">
        <f t="array" ref="H268">IFERROR(INDEX('PORTIFÓLIO'!$H$4:$H$433,MATCH($C268,'PORTIFÓLIO'!$C$4:$C$433,0)),"")</f>
        <v/>
      </c>
      <c r="I268" s="256"/>
      <c r="J268" s="218">
        <f t="shared" si="29"/>
        <v>0</v>
      </c>
      <c r="K268" s="292" t="str">
        <f t="array" ref="K268">IFERROR(I268*INDEX('PORTIFÓLIO'!$S$4:$S$433,MATCH($C268,'PORTIFÓLIO'!$C$4:$C$433,0)),"")</f>
        <v/>
      </c>
      <c r="L268" s="292" t="str">
        <f t="array" ref="L268">IFERROR(J268*INDEX('PORTIFÓLIO'!$S$4:$S$433,MATCH($C268,'PORTIFÓLIO'!$C$4:$C$433,0)),"")</f>
        <v/>
      </c>
      <c r="M268" s="220"/>
      <c r="N268" s="220"/>
      <c r="O268" s="220"/>
      <c r="P268" s="220"/>
      <c r="Q268" s="220"/>
      <c r="R268" s="220"/>
      <c r="S268" s="220"/>
      <c r="T268" s="220"/>
      <c r="U268" s="220"/>
      <c r="V268" s="220"/>
      <c r="W268" s="220"/>
    </row>
    <row r="269" ht="15.75" customHeight="1" outlineLevel="1">
      <c r="A269" s="211"/>
      <c r="B269" s="212"/>
      <c r="C269" s="213"/>
      <c r="D269" s="214" t="str">
        <f>IFERROR(VLOOKUP($C269,'PORTIFÓLIO'!C:V,2,0),"")</f>
        <v/>
      </c>
      <c r="E269" s="211" t="str">
        <f>IFERROR(VLOOKUP($C269,'PORTIFÓLIO'!C:V,3,0),"")</f>
        <v/>
      </c>
      <c r="F269" s="211" t="str">
        <f>IFERROR(VLOOKUP($C269,'PORTIFÓLIO'!C:V,4,0),"")</f>
        <v/>
      </c>
      <c r="G269" s="215" t="str">
        <f>IFERROR(VLOOKUP($C269,'PORTIFÓLIO'!C:V,5,0),"")</f>
        <v/>
      </c>
      <c r="H269" s="254" t="str">
        <f t="array" ref="H269">IFERROR(INDEX('PORTIFÓLIO'!$H$4:$H$433,MATCH($C269,'PORTIFÓLIO'!$C$4:$C$433,0)),"")</f>
        <v/>
      </c>
      <c r="I269" s="256"/>
      <c r="J269" s="218">
        <f t="shared" si="29"/>
        <v>0</v>
      </c>
      <c r="K269" s="292" t="str">
        <f t="array" ref="K269">IFERROR(I269*INDEX('PORTIFÓLIO'!$S$4:$S$433,MATCH($C269,'PORTIFÓLIO'!$C$4:$C$433,0)),"")</f>
        <v/>
      </c>
      <c r="L269" s="292" t="str">
        <f t="array" ref="L269">IFERROR(J269*INDEX('PORTIFÓLIO'!$S$4:$S$433,MATCH($C269,'PORTIFÓLIO'!$C$4:$C$433,0)),"")</f>
        <v/>
      </c>
      <c r="M269" s="220"/>
      <c r="N269" s="220"/>
      <c r="O269" s="220"/>
      <c r="P269" s="220"/>
      <c r="Q269" s="220"/>
      <c r="R269" s="220"/>
      <c r="S269" s="220"/>
      <c r="T269" s="220"/>
      <c r="U269" s="220"/>
      <c r="V269" s="220"/>
      <c r="W269" s="220"/>
    </row>
    <row r="270" ht="15.75" customHeight="1" outlineLevel="1">
      <c r="A270" s="211"/>
      <c r="B270" s="212"/>
      <c r="C270" s="213"/>
      <c r="D270" s="214" t="str">
        <f>IFERROR(VLOOKUP($C270,'PORTIFÓLIO'!C:V,2,0),"")</f>
        <v/>
      </c>
      <c r="E270" s="211" t="str">
        <f>IFERROR(VLOOKUP($C270,'PORTIFÓLIO'!C:V,3,0),"")</f>
        <v/>
      </c>
      <c r="F270" s="211" t="str">
        <f>IFERROR(VLOOKUP($C270,'PORTIFÓLIO'!C:V,4,0),"")</f>
        <v/>
      </c>
      <c r="G270" s="215" t="str">
        <f>IFERROR(VLOOKUP($C270,'PORTIFÓLIO'!C:V,5,0),"")</f>
        <v/>
      </c>
      <c r="H270" s="254" t="str">
        <f t="array" ref="H270">IFERROR(INDEX('PORTIFÓLIO'!$H$4:$H$433,MATCH($C270,'PORTIFÓLIO'!$C$4:$C$433,0)),"")</f>
        <v/>
      </c>
      <c r="I270" s="256"/>
      <c r="J270" s="218">
        <f t="shared" si="29"/>
        <v>0</v>
      </c>
      <c r="K270" s="292" t="str">
        <f t="array" ref="K270">IFERROR(I270*INDEX('PORTIFÓLIO'!$S$4:$S$433,MATCH($C270,'PORTIFÓLIO'!$C$4:$C$433,0)),"")</f>
        <v/>
      </c>
      <c r="L270" s="292" t="str">
        <f t="array" ref="L270">IFERROR(J270*INDEX('PORTIFÓLIO'!$S$4:$S$433,MATCH($C270,'PORTIFÓLIO'!$C$4:$C$433,0)),"")</f>
        <v/>
      </c>
      <c r="M270" s="220"/>
      <c r="N270" s="220"/>
      <c r="O270" s="220"/>
      <c r="P270" s="220"/>
      <c r="Q270" s="220"/>
      <c r="R270" s="220"/>
      <c r="S270" s="220"/>
      <c r="T270" s="220"/>
      <c r="U270" s="220"/>
      <c r="V270" s="220"/>
      <c r="W270" s="220"/>
    </row>
    <row r="271" ht="15.75" customHeight="1">
      <c r="A271" s="229" t="s">
        <v>1185</v>
      </c>
      <c r="B271" s="230"/>
      <c r="C271" s="231"/>
      <c r="D271" s="232"/>
      <c r="E271" s="231"/>
      <c r="F271" s="231"/>
      <c r="G271" s="233"/>
      <c r="H271" s="233"/>
      <c r="I271" s="258"/>
      <c r="J271" s="236"/>
      <c r="K271" s="237">
        <f t="shared" ref="K271:L271" si="30">SUBTOTAL(9,K272:K285)</f>
        <v>0</v>
      </c>
      <c r="L271" s="237">
        <f t="shared" si="30"/>
        <v>0</v>
      </c>
      <c r="M271" s="220"/>
      <c r="N271" s="220"/>
      <c r="O271" s="220"/>
      <c r="P271" s="220"/>
      <c r="Q271" s="220"/>
      <c r="R271" s="220"/>
      <c r="S271" s="220"/>
      <c r="T271" s="220"/>
      <c r="U271" s="220"/>
      <c r="V271" s="220"/>
      <c r="W271" s="220"/>
    </row>
    <row r="272" ht="15.75" customHeight="1" outlineLevel="1">
      <c r="A272" s="213"/>
      <c r="B272" s="212"/>
      <c r="C272" s="213"/>
      <c r="D272" s="214" t="str">
        <f>IFERROR(VLOOKUP($C272,'PORTIFÓLIO'!C:V,2,0),"")</f>
        <v/>
      </c>
      <c r="E272" s="211" t="str">
        <f>IFERROR(VLOOKUP($C272,'PORTIFÓLIO'!C:V,3,0),"")</f>
        <v/>
      </c>
      <c r="F272" s="211" t="str">
        <f>IFERROR(VLOOKUP($C272,'PORTIFÓLIO'!C:V,4,0),"")</f>
        <v/>
      </c>
      <c r="G272" s="215" t="str">
        <f>IFERROR(VLOOKUP($C272,'PORTIFÓLIO'!C:V,5,0),"")</f>
        <v/>
      </c>
      <c r="H272" s="254" t="str">
        <f t="array" ref="H272">IFERROR(INDEX('PORTIFÓLIO'!$H$4:$H$433,MATCH($C272,'PORTIFÓLIO'!$C$4:$C$433,0)),"")</f>
        <v/>
      </c>
      <c r="I272" s="255"/>
      <c r="J272" s="218">
        <f t="shared" ref="J272:J289" si="31">I272*$B$2</f>
        <v>0</v>
      </c>
      <c r="K272" s="292" t="str">
        <f t="array" ref="K272">IFERROR(I272*INDEX('PORTIFÓLIO'!$S$4:$S$433,MATCH($C272,'PORTIFÓLIO'!$C$4:$C$433,0)),"")</f>
        <v/>
      </c>
      <c r="L272" s="292" t="str">
        <f t="array" ref="L272">IFERROR(J272*INDEX('PORTIFÓLIO'!$S$4:$S$433,MATCH($C272,'PORTIFÓLIO'!$C$4:$C$433,0)),"")</f>
        <v/>
      </c>
      <c r="M272" s="220"/>
      <c r="N272" s="220"/>
      <c r="O272" s="220"/>
      <c r="P272" s="220"/>
      <c r="Q272" s="220"/>
      <c r="R272" s="220"/>
      <c r="S272" s="220"/>
      <c r="T272" s="220"/>
      <c r="U272" s="220"/>
      <c r="V272" s="220"/>
      <c r="W272" s="220"/>
    </row>
    <row r="273" ht="15.75" customHeight="1" outlineLevel="1">
      <c r="A273" s="211"/>
      <c r="B273" s="212"/>
      <c r="C273" s="213"/>
      <c r="D273" s="214" t="str">
        <f>IFERROR(VLOOKUP($C273,'PORTIFÓLIO'!C:V,2,0),"")</f>
        <v/>
      </c>
      <c r="E273" s="211" t="str">
        <f>IFERROR(VLOOKUP($C273,'PORTIFÓLIO'!C:V,3,0),"")</f>
        <v/>
      </c>
      <c r="F273" s="211" t="str">
        <f>IFERROR(VLOOKUP($C273,'PORTIFÓLIO'!C:V,4,0),"")</f>
        <v/>
      </c>
      <c r="G273" s="215" t="str">
        <f>IFERROR(VLOOKUP($C273,'PORTIFÓLIO'!C:V,5,0),"")</f>
        <v/>
      </c>
      <c r="H273" s="254" t="str">
        <f t="array" ref="H273">IFERROR(INDEX('PORTIFÓLIO'!$H$4:$H$433,MATCH($C273,'PORTIFÓLIO'!$C$4:$C$433,0)),"")</f>
        <v/>
      </c>
      <c r="I273" s="256"/>
      <c r="J273" s="218">
        <f t="shared" si="31"/>
        <v>0</v>
      </c>
      <c r="K273" s="292" t="str">
        <f t="array" ref="K273">IFERROR(I273*INDEX('PORTIFÓLIO'!$S$4:$S$433,MATCH($C273,'PORTIFÓLIO'!$C$4:$C$433,0)),"")</f>
        <v/>
      </c>
      <c r="L273" s="292" t="str">
        <f t="array" ref="L273">IFERROR(J273*INDEX('PORTIFÓLIO'!$S$4:$S$433,MATCH($C273,'PORTIFÓLIO'!$C$4:$C$433,0)),"")</f>
        <v/>
      </c>
      <c r="M273" s="220"/>
      <c r="N273" s="220"/>
      <c r="O273" s="220"/>
      <c r="P273" s="220"/>
      <c r="Q273" s="220"/>
      <c r="R273" s="220"/>
      <c r="S273" s="220"/>
      <c r="T273" s="220"/>
      <c r="U273" s="220"/>
      <c r="V273" s="220"/>
      <c r="W273" s="220"/>
    </row>
    <row r="274" ht="15.75" customHeight="1" outlineLevel="1">
      <c r="A274" s="211"/>
      <c r="B274" s="212"/>
      <c r="C274" s="213"/>
      <c r="D274" s="214" t="str">
        <f>IFERROR(VLOOKUP($C274,'PORTIFÓLIO'!C:V,2,0),"")</f>
        <v/>
      </c>
      <c r="E274" s="211" t="str">
        <f>IFERROR(VLOOKUP($C274,'PORTIFÓLIO'!C:V,3,0),"")</f>
        <v/>
      </c>
      <c r="F274" s="211" t="str">
        <f>IFERROR(VLOOKUP($C274,'PORTIFÓLIO'!C:V,4,0),"")</f>
        <v/>
      </c>
      <c r="G274" s="215" t="str">
        <f>IFERROR(VLOOKUP($C274,'PORTIFÓLIO'!C:V,5,0),"")</f>
        <v/>
      </c>
      <c r="H274" s="254" t="str">
        <f t="array" ref="H274">IFERROR(INDEX('PORTIFÓLIO'!$H$4:$H$433,MATCH($C274,'PORTIFÓLIO'!$C$4:$C$433,0)),"")</f>
        <v/>
      </c>
      <c r="I274" s="256"/>
      <c r="J274" s="218">
        <f t="shared" si="31"/>
        <v>0</v>
      </c>
      <c r="K274" s="292" t="str">
        <f t="array" ref="K274">IFERROR(I274*INDEX('PORTIFÓLIO'!$S$4:$S$433,MATCH($C274,'PORTIFÓLIO'!$C$4:$C$433,0)),"")</f>
        <v/>
      </c>
      <c r="L274" s="292" t="str">
        <f t="array" ref="L274">IFERROR(J274*INDEX('PORTIFÓLIO'!$S$4:$S$433,MATCH($C274,'PORTIFÓLIO'!$C$4:$C$433,0)),"")</f>
        <v/>
      </c>
      <c r="M274" s="220"/>
      <c r="N274" s="220"/>
      <c r="O274" s="220"/>
      <c r="P274" s="220"/>
      <c r="Q274" s="220"/>
      <c r="R274" s="220"/>
      <c r="S274" s="220"/>
      <c r="T274" s="220"/>
      <c r="U274" s="220"/>
      <c r="V274" s="220"/>
      <c r="W274" s="220"/>
    </row>
    <row r="275" ht="15.75" customHeight="1" outlineLevel="1">
      <c r="A275" s="211"/>
      <c r="B275" s="212"/>
      <c r="C275" s="213"/>
      <c r="D275" s="214" t="str">
        <f>IFERROR(VLOOKUP($C275,'PORTIFÓLIO'!C:V,2,0),"")</f>
        <v/>
      </c>
      <c r="E275" s="211" t="str">
        <f>IFERROR(VLOOKUP($C275,'PORTIFÓLIO'!C:V,3,0),"")</f>
        <v/>
      </c>
      <c r="F275" s="211" t="str">
        <f>IFERROR(VLOOKUP($C275,'PORTIFÓLIO'!C:V,4,0),"")</f>
        <v/>
      </c>
      <c r="G275" s="215" t="str">
        <f>IFERROR(VLOOKUP($C275,'PORTIFÓLIO'!C:V,5,0),"")</f>
        <v/>
      </c>
      <c r="H275" s="254" t="str">
        <f t="array" ref="H275">IFERROR(INDEX('PORTIFÓLIO'!$H$4:$H$433,MATCH($C275,'PORTIFÓLIO'!$C$4:$C$433,0)),"")</f>
        <v/>
      </c>
      <c r="I275" s="256"/>
      <c r="J275" s="218">
        <f t="shared" si="31"/>
        <v>0</v>
      </c>
      <c r="K275" s="292" t="str">
        <f t="array" ref="K275">IFERROR(I275*INDEX('PORTIFÓLIO'!$S$4:$S$433,MATCH($C275,'PORTIFÓLIO'!$C$4:$C$433,0)),"")</f>
        <v/>
      </c>
      <c r="L275" s="292" t="str">
        <f t="array" ref="L275">IFERROR(J275*INDEX('PORTIFÓLIO'!$S$4:$S$433,MATCH($C275,'PORTIFÓLIO'!$C$4:$C$433,0)),"")</f>
        <v/>
      </c>
      <c r="M275" s="220"/>
      <c r="N275" s="220"/>
      <c r="O275" s="220"/>
      <c r="P275" s="220"/>
      <c r="Q275" s="220"/>
      <c r="R275" s="220"/>
      <c r="S275" s="220"/>
      <c r="T275" s="220"/>
      <c r="U275" s="220"/>
      <c r="V275" s="220"/>
      <c r="W275" s="220"/>
    </row>
    <row r="276" ht="15.75" customHeight="1" outlineLevel="1">
      <c r="A276" s="211"/>
      <c r="B276" s="212"/>
      <c r="C276" s="213"/>
      <c r="D276" s="214" t="str">
        <f>IFERROR(VLOOKUP($C276,'PORTIFÓLIO'!C:V,2,0),"")</f>
        <v/>
      </c>
      <c r="E276" s="211" t="str">
        <f>IFERROR(VLOOKUP($C276,'PORTIFÓLIO'!C:V,3,0),"")</f>
        <v/>
      </c>
      <c r="F276" s="211" t="str">
        <f>IFERROR(VLOOKUP($C276,'PORTIFÓLIO'!C:V,4,0),"")</f>
        <v/>
      </c>
      <c r="G276" s="215" t="str">
        <f>IFERROR(VLOOKUP($C276,'PORTIFÓLIO'!C:V,5,0),"")</f>
        <v/>
      </c>
      <c r="H276" s="254" t="str">
        <f t="array" ref="H276">IFERROR(INDEX('PORTIFÓLIO'!$H$4:$H$433,MATCH($C276,'PORTIFÓLIO'!$C$4:$C$433,0)),"")</f>
        <v/>
      </c>
      <c r="I276" s="256"/>
      <c r="J276" s="218">
        <f t="shared" si="31"/>
        <v>0</v>
      </c>
      <c r="K276" s="292" t="str">
        <f t="array" ref="K276">IFERROR(I276*INDEX('PORTIFÓLIO'!$S$4:$S$433,MATCH($C276,'PORTIFÓLIO'!$C$4:$C$433,0)),"")</f>
        <v/>
      </c>
      <c r="L276" s="292" t="str">
        <f t="array" ref="L276">IFERROR(J276*INDEX('PORTIFÓLIO'!$S$4:$S$433,MATCH($C276,'PORTIFÓLIO'!$C$4:$C$433,0)),"")</f>
        <v/>
      </c>
      <c r="M276" s="220"/>
      <c r="N276" s="220"/>
      <c r="O276" s="220"/>
      <c r="P276" s="220"/>
      <c r="Q276" s="220"/>
      <c r="R276" s="220"/>
      <c r="S276" s="220"/>
      <c r="T276" s="220"/>
      <c r="U276" s="220"/>
      <c r="V276" s="220"/>
      <c r="W276" s="220"/>
    </row>
    <row r="277" ht="15.75" customHeight="1" outlineLevel="1">
      <c r="A277" s="211"/>
      <c r="B277" s="212"/>
      <c r="C277" s="213"/>
      <c r="D277" s="214" t="str">
        <f>IFERROR(VLOOKUP($C277,'PORTIFÓLIO'!C:V,2,0),"")</f>
        <v/>
      </c>
      <c r="E277" s="211" t="str">
        <f>IFERROR(VLOOKUP($C277,'PORTIFÓLIO'!C:V,3,0),"")</f>
        <v/>
      </c>
      <c r="F277" s="211" t="str">
        <f>IFERROR(VLOOKUP($C277,'PORTIFÓLIO'!C:V,4,0),"")</f>
        <v/>
      </c>
      <c r="G277" s="215" t="str">
        <f>IFERROR(VLOOKUP($C277,'PORTIFÓLIO'!C:V,5,0),"")</f>
        <v/>
      </c>
      <c r="H277" s="254" t="str">
        <f t="array" ref="H277">IFERROR(INDEX('PORTIFÓLIO'!$H$4:$H$433,MATCH($C277,'PORTIFÓLIO'!$C$4:$C$433,0)),"")</f>
        <v/>
      </c>
      <c r="I277" s="256"/>
      <c r="J277" s="218">
        <f t="shared" si="31"/>
        <v>0</v>
      </c>
      <c r="K277" s="292" t="str">
        <f t="array" ref="K277">IFERROR(I277*INDEX('PORTIFÓLIO'!$S$4:$S$433,MATCH($C277,'PORTIFÓLIO'!$C$4:$C$433,0)),"")</f>
        <v/>
      </c>
      <c r="L277" s="292" t="str">
        <f t="array" ref="L277">IFERROR(J277*INDEX('PORTIFÓLIO'!$S$4:$S$433,MATCH($C277,'PORTIFÓLIO'!$C$4:$C$433,0)),"")</f>
        <v/>
      </c>
      <c r="M277" s="220"/>
      <c r="N277" s="220"/>
      <c r="O277" s="220"/>
      <c r="P277" s="220"/>
      <c r="Q277" s="220"/>
      <c r="R277" s="220"/>
      <c r="S277" s="220"/>
      <c r="T277" s="220"/>
      <c r="U277" s="220"/>
      <c r="V277" s="220"/>
      <c r="W277" s="220"/>
    </row>
    <row r="278" ht="15.75" customHeight="1" outlineLevel="1">
      <c r="A278" s="211"/>
      <c r="B278" s="212"/>
      <c r="C278" s="213"/>
      <c r="D278" s="214" t="str">
        <f>IFERROR(VLOOKUP($C278,'PORTIFÓLIO'!C:V,2,0),"")</f>
        <v/>
      </c>
      <c r="E278" s="211" t="str">
        <f>IFERROR(VLOOKUP($C278,'PORTIFÓLIO'!C:V,3,0),"")</f>
        <v/>
      </c>
      <c r="F278" s="211" t="str">
        <f>IFERROR(VLOOKUP($C278,'PORTIFÓLIO'!C:V,4,0),"")</f>
        <v/>
      </c>
      <c r="G278" s="215" t="str">
        <f>IFERROR(VLOOKUP($C278,'PORTIFÓLIO'!C:V,5,0),"")</f>
        <v/>
      </c>
      <c r="H278" s="254" t="str">
        <f t="array" ref="H278">IFERROR(INDEX('PORTIFÓLIO'!$H$4:$H$433,MATCH($C278,'PORTIFÓLIO'!$C$4:$C$433,0)),"")</f>
        <v/>
      </c>
      <c r="I278" s="256"/>
      <c r="J278" s="218">
        <f t="shared" si="31"/>
        <v>0</v>
      </c>
      <c r="K278" s="292" t="str">
        <f t="array" ref="K278">IFERROR(I278*INDEX('PORTIFÓLIO'!$S$4:$S$433,MATCH($C278,'PORTIFÓLIO'!$C$4:$C$433,0)),"")</f>
        <v/>
      </c>
      <c r="L278" s="292" t="str">
        <f t="array" ref="L278">IFERROR(J278*INDEX('PORTIFÓLIO'!$S$4:$S$433,MATCH($C278,'PORTIFÓLIO'!$C$4:$C$433,0)),"")</f>
        <v/>
      </c>
      <c r="M278" s="220"/>
      <c r="N278" s="220"/>
      <c r="O278" s="220"/>
      <c r="P278" s="220"/>
      <c r="Q278" s="220"/>
      <c r="R278" s="220"/>
      <c r="S278" s="220"/>
      <c r="T278" s="220"/>
      <c r="U278" s="220"/>
      <c r="V278" s="220"/>
      <c r="W278" s="220"/>
    </row>
    <row r="279" ht="15.75" customHeight="1" outlineLevel="1">
      <c r="A279" s="211"/>
      <c r="B279" s="212"/>
      <c r="C279" s="213"/>
      <c r="D279" s="214" t="str">
        <f>IFERROR(VLOOKUP($C279,'PORTIFÓLIO'!C:V,2,0),"")</f>
        <v/>
      </c>
      <c r="E279" s="211" t="str">
        <f>IFERROR(VLOOKUP($C279,'PORTIFÓLIO'!C:V,3,0),"")</f>
        <v/>
      </c>
      <c r="F279" s="211" t="str">
        <f>IFERROR(VLOOKUP($C279,'PORTIFÓLIO'!C:V,4,0),"")</f>
        <v/>
      </c>
      <c r="G279" s="215" t="str">
        <f>IFERROR(VLOOKUP($C279,'PORTIFÓLIO'!C:V,5,0),"")</f>
        <v/>
      </c>
      <c r="H279" s="254" t="str">
        <f t="array" ref="H279">IFERROR(INDEX('PORTIFÓLIO'!$H$4:$H$433,MATCH($C279,'PORTIFÓLIO'!$C$4:$C$433,0)),"")</f>
        <v/>
      </c>
      <c r="I279" s="256"/>
      <c r="J279" s="218">
        <f t="shared" si="31"/>
        <v>0</v>
      </c>
      <c r="K279" s="292" t="str">
        <f t="array" ref="K279">IFERROR(I279*INDEX('PORTIFÓLIO'!$S$4:$S$433,MATCH($C279,'PORTIFÓLIO'!$C$4:$C$433,0)),"")</f>
        <v/>
      </c>
      <c r="L279" s="292" t="str">
        <f t="array" ref="L279">IFERROR(J279*INDEX('PORTIFÓLIO'!$S$4:$S$433,MATCH($C279,'PORTIFÓLIO'!$C$4:$C$433,0)),"")</f>
        <v/>
      </c>
      <c r="M279" s="220"/>
      <c r="N279" s="220"/>
      <c r="O279" s="220"/>
      <c r="P279" s="220"/>
      <c r="Q279" s="220"/>
      <c r="R279" s="220"/>
      <c r="S279" s="220"/>
      <c r="T279" s="220"/>
      <c r="U279" s="220"/>
      <c r="V279" s="220"/>
      <c r="W279" s="220"/>
    </row>
    <row r="280" ht="15.75" customHeight="1" outlineLevel="1">
      <c r="A280" s="211"/>
      <c r="B280" s="212"/>
      <c r="C280" s="213"/>
      <c r="D280" s="214" t="str">
        <f>IFERROR(VLOOKUP($C280,'PORTIFÓLIO'!C:V,2,0),"")</f>
        <v/>
      </c>
      <c r="E280" s="211" t="str">
        <f>IFERROR(VLOOKUP($C280,'PORTIFÓLIO'!C:V,3,0),"")</f>
        <v/>
      </c>
      <c r="F280" s="211" t="str">
        <f>IFERROR(VLOOKUP($C280,'PORTIFÓLIO'!C:V,4,0),"")</f>
        <v/>
      </c>
      <c r="G280" s="215" t="str">
        <f>IFERROR(VLOOKUP($C280,'PORTIFÓLIO'!C:V,5,0),"")</f>
        <v/>
      </c>
      <c r="H280" s="254" t="str">
        <f t="array" ref="H280">IFERROR(INDEX('PORTIFÓLIO'!$H$4:$H$433,MATCH($C280,'PORTIFÓLIO'!$C$4:$C$433,0)),"")</f>
        <v/>
      </c>
      <c r="I280" s="255"/>
      <c r="J280" s="218">
        <f t="shared" si="31"/>
        <v>0</v>
      </c>
      <c r="K280" s="292" t="str">
        <f t="array" ref="K280">IFERROR(I280*INDEX('PORTIFÓLIO'!$S$4:$S$433,MATCH($C280,'PORTIFÓLIO'!$C$4:$C$433,0)),"")</f>
        <v/>
      </c>
      <c r="L280" s="292" t="str">
        <f t="array" ref="L280">IFERROR(J280*INDEX('PORTIFÓLIO'!$S$4:$S$433,MATCH($C280,'PORTIFÓLIO'!$C$4:$C$433,0)),"")</f>
        <v/>
      </c>
      <c r="M280" s="220"/>
      <c r="N280" s="220"/>
      <c r="O280" s="220"/>
      <c r="P280" s="220"/>
      <c r="Q280" s="220"/>
      <c r="R280" s="220"/>
      <c r="S280" s="220"/>
      <c r="T280" s="220"/>
      <c r="U280" s="220"/>
      <c r="V280" s="220"/>
      <c r="W280" s="220"/>
    </row>
    <row r="281" ht="15.75" customHeight="1" outlineLevel="1">
      <c r="A281" s="211"/>
      <c r="B281" s="212"/>
      <c r="C281" s="213"/>
      <c r="D281" s="214" t="str">
        <f>IFERROR(VLOOKUP($C281,'PORTIFÓLIO'!C:V,2,0),"")</f>
        <v/>
      </c>
      <c r="E281" s="211" t="str">
        <f>IFERROR(VLOOKUP($C281,'PORTIFÓLIO'!C:V,3,0),"")</f>
        <v/>
      </c>
      <c r="F281" s="211" t="str">
        <f>IFERROR(VLOOKUP($C281,'PORTIFÓLIO'!C:V,4,0),"")</f>
        <v/>
      </c>
      <c r="G281" s="215" t="str">
        <f>IFERROR(VLOOKUP($C281,'PORTIFÓLIO'!C:V,5,0),"")</f>
        <v/>
      </c>
      <c r="H281" s="254" t="str">
        <f t="array" ref="H281">IFERROR(INDEX('PORTIFÓLIO'!$H$4:$H$433,MATCH($C281,'PORTIFÓLIO'!$C$4:$C$433,0)),"")</f>
        <v/>
      </c>
      <c r="I281" s="256"/>
      <c r="J281" s="218">
        <f t="shared" si="31"/>
        <v>0</v>
      </c>
      <c r="K281" s="292" t="str">
        <f t="array" ref="K281">IFERROR(I281*INDEX('PORTIFÓLIO'!$S$4:$S$433,MATCH($C281,'PORTIFÓLIO'!$C$4:$C$433,0)),"")</f>
        <v/>
      </c>
      <c r="L281" s="292" t="str">
        <f t="array" ref="L281">IFERROR(J281*INDEX('PORTIFÓLIO'!$S$4:$S$433,MATCH($C281,'PORTIFÓLIO'!$C$4:$C$433,0)),"")</f>
        <v/>
      </c>
      <c r="M281" s="220"/>
      <c r="N281" s="220"/>
      <c r="O281" s="220"/>
      <c r="P281" s="220"/>
      <c r="Q281" s="220"/>
      <c r="R281" s="220"/>
      <c r="S281" s="220"/>
      <c r="T281" s="220"/>
      <c r="U281" s="220"/>
      <c r="V281" s="220"/>
      <c r="W281" s="220"/>
    </row>
    <row r="282" ht="15.75" customHeight="1" outlineLevel="1">
      <c r="A282" s="211"/>
      <c r="B282" s="212"/>
      <c r="C282" s="213"/>
      <c r="D282" s="214" t="str">
        <f>IFERROR(VLOOKUP($C282,'PORTIFÓLIO'!C:V,2,0),"")</f>
        <v/>
      </c>
      <c r="E282" s="211" t="str">
        <f>IFERROR(VLOOKUP($C282,'PORTIFÓLIO'!C:V,3,0),"")</f>
        <v/>
      </c>
      <c r="F282" s="211" t="str">
        <f>IFERROR(VLOOKUP($C282,'PORTIFÓLIO'!C:V,4,0),"")</f>
        <v/>
      </c>
      <c r="G282" s="215" t="str">
        <f>IFERROR(VLOOKUP($C282,'PORTIFÓLIO'!C:V,5,0),"")</f>
        <v/>
      </c>
      <c r="H282" s="254" t="str">
        <f t="array" ref="H282">IFERROR(INDEX('PORTIFÓLIO'!$H$4:$H$433,MATCH($C282,'PORTIFÓLIO'!$C$4:$C$433,0)),"")</f>
        <v/>
      </c>
      <c r="I282" s="256"/>
      <c r="J282" s="218">
        <f t="shared" si="31"/>
        <v>0</v>
      </c>
      <c r="K282" s="292" t="str">
        <f t="array" ref="K282">IFERROR(I282*INDEX('PORTIFÓLIO'!$S$4:$S$433,MATCH($C282,'PORTIFÓLIO'!$C$4:$C$433,0)),"")</f>
        <v/>
      </c>
      <c r="L282" s="292" t="str">
        <f t="array" ref="L282">IFERROR(J282*INDEX('PORTIFÓLIO'!$S$4:$S$433,MATCH($C282,'PORTIFÓLIO'!$C$4:$C$433,0)),"")</f>
        <v/>
      </c>
      <c r="M282" s="220"/>
      <c r="N282" s="220"/>
      <c r="O282" s="220"/>
      <c r="P282" s="220"/>
      <c r="Q282" s="220"/>
      <c r="R282" s="220"/>
      <c r="S282" s="220"/>
      <c r="T282" s="220"/>
      <c r="U282" s="220"/>
      <c r="V282" s="220"/>
      <c r="W282" s="220"/>
    </row>
    <row r="283" ht="15.75" customHeight="1" outlineLevel="1">
      <c r="A283" s="211"/>
      <c r="B283" s="212"/>
      <c r="C283" s="213"/>
      <c r="D283" s="214" t="str">
        <f>IFERROR(VLOOKUP($C283,'PORTIFÓLIO'!C:V,2,0),"")</f>
        <v/>
      </c>
      <c r="E283" s="211" t="str">
        <f>IFERROR(VLOOKUP($C283,'PORTIFÓLIO'!C:V,3,0),"")</f>
        <v/>
      </c>
      <c r="F283" s="211" t="str">
        <f>IFERROR(VLOOKUP($C283,'PORTIFÓLIO'!C:V,4,0),"")</f>
        <v/>
      </c>
      <c r="G283" s="215" t="str">
        <f>IFERROR(VLOOKUP($C283,'PORTIFÓLIO'!C:V,5,0),"")</f>
        <v/>
      </c>
      <c r="H283" s="254" t="str">
        <f t="array" ref="H283">IFERROR(INDEX('PORTIFÓLIO'!$H$4:$H$433,MATCH($C283,'PORTIFÓLIO'!$C$4:$C$433,0)),"")</f>
        <v/>
      </c>
      <c r="I283" s="256"/>
      <c r="J283" s="218">
        <f t="shared" si="31"/>
        <v>0</v>
      </c>
      <c r="K283" s="292" t="str">
        <f t="array" ref="K283">IFERROR(I283*INDEX('PORTIFÓLIO'!$S$4:$S$433,MATCH($C283,'PORTIFÓLIO'!$C$4:$C$433,0)),"")</f>
        <v/>
      </c>
      <c r="L283" s="292" t="str">
        <f t="array" ref="L283">IFERROR(J283*INDEX('PORTIFÓLIO'!$S$4:$S$433,MATCH($C283,'PORTIFÓLIO'!$C$4:$C$433,0)),"")</f>
        <v/>
      </c>
      <c r="M283" s="220"/>
      <c r="N283" s="220"/>
      <c r="O283" s="220"/>
      <c r="P283" s="220"/>
      <c r="Q283" s="220"/>
      <c r="R283" s="220"/>
      <c r="S283" s="220"/>
      <c r="T283" s="220"/>
      <c r="U283" s="220"/>
      <c r="V283" s="220"/>
      <c r="W283" s="220"/>
    </row>
    <row r="284" ht="15.75" customHeight="1" outlineLevel="1">
      <c r="A284" s="211"/>
      <c r="B284" s="212"/>
      <c r="C284" s="213"/>
      <c r="D284" s="214" t="str">
        <f>IFERROR(VLOOKUP($C284,'PORTIFÓLIO'!C:V,2,0),"")</f>
        <v/>
      </c>
      <c r="E284" s="211" t="str">
        <f>IFERROR(VLOOKUP($C284,'PORTIFÓLIO'!C:V,3,0),"")</f>
        <v/>
      </c>
      <c r="F284" s="211" t="str">
        <f>IFERROR(VLOOKUP($C284,'PORTIFÓLIO'!C:V,4,0),"")</f>
        <v/>
      </c>
      <c r="G284" s="215" t="str">
        <f>IFERROR(VLOOKUP($C284,'PORTIFÓLIO'!C:V,5,0),"")</f>
        <v/>
      </c>
      <c r="H284" s="254" t="str">
        <f t="array" ref="H284">IFERROR(INDEX('PORTIFÓLIO'!$H$4:$H$433,MATCH($C284,'PORTIFÓLIO'!$C$4:$C$433,0)),"")</f>
        <v/>
      </c>
      <c r="I284" s="256"/>
      <c r="J284" s="218">
        <f t="shared" si="31"/>
        <v>0</v>
      </c>
      <c r="K284" s="292" t="str">
        <f t="array" ref="K284">IFERROR(I284*INDEX('PORTIFÓLIO'!$S$4:$S$433,MATCH($C284,'PORTIFÓLIO'!$C$4:$C$433,0)),"")</f>
        <v/>
      </c>
      <c r="L284" s="292" t="str">
        <f t="array" ref="L284">IFERROR(J284*INDEX('PORTIFÓLIO'!$S$4:$S$433,MATCH($C284,'PORTIFÓLIO'!$C$4:$C$433,0)),"")</f>
        <v/>
      </c>
      <c r="M284" s="220"/>
      <c r="N284" s="220"/>
      <c r="O284" s="220"/>
      <c r="P284" s="220"/>
      <c r="Q284" s="220"/>
      <c r="R284" s="220"/>
      <c r="S284" s="220"/>
      <c r="T284" s="220"/>
      <c r="U284" s="220"/>
      <c r="V284" s="220"/>
      <c r="W284" s="220"/>
    </row>
    <row r="285" ht="15.75" customHeight="1" outlineLevel="1">
      <c r="A285" s="211"/>
      <c r="B285" s="212"/>
      <c r="C285" s="213"/>
      <c r="D285" s="214" t="str">
        <f>IFERROR(VLOOKUP($C285,'PORTIFÓLIO'!C:V,2,0),"")</f>
        <v/>
      </c>
      <c r="E285" s="211" t="str">
        <f>IFERROR(VLOOKUP($C285,'PORTIFÓLIO'!C:V,3,0),"")</f>
        <v/>
      </c>
      <c r="F285" s="211" t="str">
        <f>IFERROR(VLOOKUP($C285,'PORTIFÓLIO'!C:V,4,0),"")</f>
        <v/>
      </c>
      <c r="G285" s="215" t="str">
        <f>IFERROR(VLOOKUP($C285,'PORTIFÓLIO'!C:V,5,0),"")</f>
        <v/>
      </c>
      <c r="H285" s="254" t="str">
        <f t="array" ref="H285">IFERROR(INDEX('PORTIFÓLIO'!$H$4:$H$433,MATCH($C285,'PORTIFÓLIO'!$C$4:$C$433,0)),"")</f>
        <v/>
      </c>
      <c r="I285" s="256"/>
      <c r="J285" s="218">
        <f t="shared" si="31"/>
        <v>0</v>
      </c>
      <c r="K285" s="292" t="str">
        <f t="array" ref="K285">IFERROR(I285*INDEX('PORTIFÓLIO'!$S$4:$S$433,MATCH($C285,'PORTIFÓLIO'!$C$4:$C$433,0)),"")</f>
        <v/>
      </c>
      <c r="L285" s="292" t="str">
        <f t="array" ref="L285">IFERROR(J285*INDEX('PORTIFÓLIO'!$S$4:$S$433,MATCH($C285,'PORTIFÓLIO'!$C$4:$C$433,0)),"")</f>
        <v/>
      </c>
      <c r="M285" s="220"/>
      <c r="N285" s="220"/>
      <c r="O285" s="220"/>
      <c r="P285" s="220"/>
      <c r="Q285" s="220"/>
      <c r="R285" s="220"/>
      <c r="S285" s="220"/>
      <c r="T285" s="220"/>
      <c r="U285" s="220"/>
      <c r="V285" s="220"/>
      <c r="W285" s="220"/>
    </row>
    <row r="286" ht="15.75" customHeight="1" outlineLevel="1">
      <c r="A286" s="211"/>
      <c r="B286" s="212"/>
      <c r="C286" s="213"/>
      <c r="D286" s="214" t="str">
        <f>IFERROR(VLOOKUP($C286,'PORTIFÓLIO'!C:V,2,0),"")</f>
        <v/>
      </c>
      <c r="E286" s="211" t="str">
        <f>IFERROR(VLOOKUP($C286,'PORTIFÓLIO'!C:V,3,0),"")</f>
        <v/>
      </c>
      <c r="F286" s="211" t="str">
        <f>IFERROR(VLOOKUP($C286,'PORTIFÓLIO'!C:V,4,0),"")</f>
        <v/>
      </c>
      <c r="G286" s="215" t="str">
        <f>IFERROR(VLOOKUP($C286,'PORTIFÓLIO'!C:V,5,0),"")</f>
        <v/>
      </c>
      <c r="H286" s="254" t="str">
        <f t="array" ref="H286">IFERROR(INDEX('PORTIFÓLIO'!$H$4:$H$433,MATCH($C286,'PORTIFÓLIO'!$C$4:$C$433,0)),"")</f>
        <v/>
      </c>
      <c r="I286" s="256"/>
      <c r="J286" s="218">
        <f t="shared" si="31"/>
        <v>0</v>
      </c>
      <c r="K286" s="292" t="str">
        <f t="array" ref="K286">IFERROR(I286*INDEX('PORTIFÓLIO'!$S$4:$S$433,MATCH($C286,'PORTIFÓLIO'!$C$4:$C$433,0)),"")</f>
        <v/>
      </c>
      <c r="L286" s="292" t="str">
        <f t="array" ref="L286">IFERROR(J286*INDEX('PORTIFÓLIO'!$S$4:$S$433,MATCH($C286,'PORTIFÓLIO'!$C$4:$C$433,0)),"")</f>
        <v/>
      </c>
      <c r="M286" s="220"/>
      <c r="N286" s="220"/>
      <c r="O286" s="220"/>
      <c r="P286" s="220"/>
      <c r="Q286" s="220"/>
      <c r="R286" s="220"/>
      <c r="S286" s="220"/>
      <c r="T286" s="220"/>
      <c r="U286" s="220"/>
      <c r="V286" s="220"/>
      <c r="W286" s="220"/>
    </row>
    <row r="287" ht="15.75" customHeight="1" outlineLevel="1">
      <c r="A287" s="211"/>
      <c r="B287" s="212"/>
      <c r="C287" s="213"/>
      <c r="D287" s="214" t="str">
        <f>IFERROR(VLOOKUP($C287,'PORTIFÓLIO'!C:V,2,0),"")</f>
        <v/>
      </c>
      <c r="E287" s="211" t="str">
        <f>IFERROR(VLOOKUP($C287,'PORTIFÓLIO'!C:V,3,0),"")</f>
        <v/>
      </c>
      <c r="F287" s="211" t="str">
        <f>IFERROR(VLOOKUP($C287,'PORTIFÓLIO'!C:V,4,0),"")</f>
        <v/>
      </c>
      <c r="G287" s="215" t="str">
        <f>IFERROR(VLOOKUP($C287,'PORTIFÓLIO'!C:V,5,0),"")</f>
        <v/>
      </c>
      <c r="H287" s="254" t="str">
        <f t="array" ref="H287">IFERROR(INDEX('PORTIFÓLIO'!$H$4:$H$433,MATCH($C287,'PORTIFÓLIO'!$C$4:$C$433,0)),"")</f>
        <v/>
      </c>
      <c r="I287" s="256"/>
      <c r="J287" s="218">
        <f t="shared" si="31"/>
        <v>0</v>
      </c>
      <c r="K287" s="292" t="str">
        <f t="array" ref="K287">IFERROR(I287*INDEX('PORTIFÓLIO'!$S$4:$S$433,MATCH($C287,'PORTIFÓLIO'!$C$4:$C$433,0)),"")</f>
        <v/>
      </c>
      <c r="L287" s="292" t="str">
        <f t="array" ref="L287">IFERROR(J287*INDEX('PORTIFÓLIO'!$S$4:$S$433,MATCH($C287,'PORTIFÓLIO'!$C$4:$C$433,0)),"")</f>
        <v/>
      </c>
      <c r="M287" s="220"/>
      <c r="N287" s="220"/>
      <c r="O287" s="220"/>
      <c r="P287" s="220"/>
      <c r="Q287" s="220"/>
      <c r="R287" s="220"/>
      <c r="S287" s="220"/>
      <c r="T287" s="220"/>
      <c r="U287" s="220"/>
      <c r="V287" s="220"/>
      <c r="W287" s="220"/>
    </row>
    <row r="288" ht="15.75" customHeight="1" outlineLevel="1">
      <c r="A288" s="211"/>
      <c r="B288" s="212"/>
      <c r="C288" s="213"/>
      <c r="D288" s="214" t="str">
        <f>IFERROR(VLOOKUP($C288,'PORTIFÓLIO'!C:V,2,0),"")</f>
        <v/>
      </c>
      <c r="E288" s="211" t="str">
        <f>IFERROR(VLOOKUP($C288,'PORTIFÓLIO'!C:V,3,0),"")</f>
        <v/>
      </c>
      <c r="F288" s="211" t="str">
        <f>IFERROR(VLOOKUP($C288,'PORTIFÓLIO'!C:V,4,0),"")</f>
        <v/>
      </c>
      <c r="G288" s="215" t="str">
        <f>IFERROR(VLOOKUP($C288,'PORTIFÓLIO'!C:V,5,0),"")</f>
        <v/>
      </c>
      <c r="H288" s="254" t="str">
        <f t="array" ref="H288">IFERROR(INDEX('PORTIFÓLIO'!$H$4:$H$433,MATCH($C288,'PORTIFÓLIO'!$C$4:$C$433,0)),"")</f>
        <v/>
      </c>
      <c r="I288" s="256"/>
      <c r="J288" s="218">
        <f t="shared" si="31"/>
        <v>0</v>
      </c>
      <c r="K288" s="292" t="str">
        <f t="array" ref="K288">IFERROR(I288*INDEX('PORTIFÓLIO'!$S$4:$S$433,MATCH($C288,'PORTIFÓLIO'!$C$4:$C$433,0)),"")</f>
        <v/>
      </c>
      <c r="L288" s="292" t="str">
        <f t="array" ref="L288">IFERROR(J288*INDEX('PORTIFÓLIO'!$S$4:$S$433,MATCH($C288,'PORTIFÓLIO'!$C$4:$C$433,0)),"")</f>
        <v/>
      </c>
      <c r="M288" s="220"/>
      <c r="N288" s="220"/>
      <c r="O288" s="220"/>
      <c r="P288" s="220"/>
      <c r="Q288" s="220"/>
      <c r="R288" s="220"/>
      <c r="S288" s="220"/>
      <c r="T288" s="220"/>
      <c r="U288" s="220"/>
      <c r="V288" s="220"/>
      <c r="W288" s="220"/>
    </row>
    <row r="289" ht="15.75" customHeight="1" outlineLevel="1">
      <c r="A289" s="211"/>
      <c r="B289" s="212"/>
      <c r="C289" s="213"/>
      <c r="D289" s="214" t="str">
        <f>IFERROR(VLOOKUP($C289,'PORTIFÓLIO'!C:V,2,0),"")</f>
        <v/>
      </c>
      <c r="E289" s="211" t="str">
        <f>IFERROR(VLOOKUP($C289,'PORTIFÓLIO'!C:V,3,0),"")</f>
        <v/>
      </c>
      <c r="F289" s="211" t="str">
        <f>IFERROR(VLOOKUP($C289,'PORTIFÓLIO'!C:V,4,0),"")</f>
        <v/>
      </c>
      <c r="G289" s="215" t="str">
        <f>IFERROR(VLOOKUP($C289,'PORTIFÓLIO'!C:V,5,0),"")</f>
        <v/>
      </c>
      <c r="H289" s="254" t="str">
        <f t="array" ref="H289">IFERROR(INDEX('PORTIFÓLIO'!$H$4:$H$433,MATCH($C289,'PORTIFÓLIO'!$C$4:$C$433,0)),"")</f>
        <v/>
      </c>
      <c r="I289" s="256"/>
      <c r="J289" s="218">
        <f t="shared" si="31"/>
        <v>0</v>
      </c>
      <c r="K289" s="292" t="str">
        <f t="array" ref="K289">IFERROR(I289*INDEX('PORTIFÓLIO'!$S$4:$S$433,MATCH($C289,'PORTIFÓLIO'!$C$4:$C$433,0)),"")</f>
        <v/>
      </c>
      <c r="L289" s="292" t="str">
        <f t="array" ref="L289">IFERROR(J289*INDEX('PORTIFÓLIO'!$S$4:$S$433,MATCH($C289,'PORTIFÓLIO'!$C$4:$C$433,0)),"")</f>
        <v/>
      </c>
      <c r="M289" s="220"/>
      <c r="N289" s="220"/>
      <c r="O289" s="220"/>
      <c r="P289" s="220"/>
      <c r="Q289" s="220"/>
      <c r="R289" s="220"/>
      <c r="S289" s="220"/>
      <c r="T289" s="220"/>
      <c r="U289" s="220"/>
      <c r="V289" s="220"/>
      <c r="W289" s="220"/>
    </row>
    <row r="290" ht="15.75" customHeight="1">
      <c r="A290" s="229" t="s">
        <v>1186</v>
      </c>
      <c r="B290" s="230"/>
      <c r="C290" s="231"/>
      <c r="D290" s="232"/>
      <c r="E290" s="231"/>
      <c r="F290" s="231"/>
      <c r="G290" s="233"/>
      <c r="H290" s="233"/>
      <c r="I290" s="258"/>
      <c r="J290" s="236"/>
      <c r="K290" s="237">
        <f t="shared" ref="K290:L290" si="32">SUBTOTAL(9,K291:K304)</f>
        <v>0</v>
      </c>
      <c r="L290" s="237">
        <f t="shared" si="32"/>
        <v>0</v>
      </c>
      <c r="M290" s="220"/>
      <c r="N290" s="220"/>
      <c r="O290" s="220"/>
      <c r="P290" s="220"/>
      <c r="Q290" s="220"/>
      <c r="R290" s="220"/>
      <c r="S290" s="220"/>
      <c r="T290" s="220"/>
      <c r="U290" s="220"/>
      <c r="V290" s="220"/>
      <c r="W290" s="220"/>
    </row>
    <row r="291" ht="15.75" customHeight="1" outlineLevel="1">
      <c r="A291" s="213"/>
      <c r="B291" s="212"/>
      <c r="C291" s="213"/>
      <c r="D291" s="214" t="str">
        <f>IFERROR(VLOOKUP($C291,'PORTIFÓLIO'!C:V,2,0),"")</f>
        <v/>
      </c>
      <c r="E291" s="211" t="str">
        <f>IFERROR(VLOOKUP($C291,'PORTIFÓLIO'!C:V,3,0),"")</f>
        <v/>
      </c>
      <c r="F291" s="211" t="str">
        <f>IFERROR(VLOOKUP($C291,'PORTIFÓLIO'!C:V,4,0),"")</f>
        <v/>
      </c>
      <c r="G291" s="215" t="str">
        <f>IFERROR(VLOOKUP($C291,'PORTIFÓLIO'!C:V,5,0),"")</f>
        <v/>
      </c>
      <c r="H291" s="254" t="str">
        <f t="array" ref="H291">IFERROR(INDEX('PORTIFÓLIO'!$H$4:$H$433,MATCH($C291,'PORTIFÓLIO'!$C$4:$C$433,0)),"")</f>
        <v/>
      </c>
      <c r="I291" s="255"/>
      <c r="J291" s="218">
        <f t="shared" ref="J291:J307" si="33">I291*$B$2</f>
        <v>0</v>
      </c>
      <c r="K291" s="292" t="str">
        <f t="array" ref="K291">IFERROR(I291*INDEX('PORTIFÓLIO'!$S$4:$S$433,MATCH($C291,'PORTIFÓLIO'!$C$4:$C$433,0)),"")</f>
        <v/>
      </c>
      <c r="L291" s="292" t="str">
        <f t="array" ref="L291">IFERROR(J291*INDEX('PORTIFÓLIO'!$S$4:$S$433,MATCH($C291,'PORTIFÓLIO'!$C$4:$C$433,0)),"")</f>
        <v/>
      </c>
      <c r="M291" s="220"/>
      <c r="N291" s="220"/>
      <c r="O291" s="220"/>
      <c r="P291" s="220"/>
      <c r="Q291" s="220"/>
      <c r="R291" s="220"/>
      <c r="S291" s="220"/>
      <c r="T291" s="220"/>
      <c r="U291" s="220"/>
      <c r="V291" s="220"/>
      <c r="W291" s="220"/>
    </row>
    <row r="292" ht="15.75" customHeight="1" outlineLevel="1">
      <c r="A292" s="211"/>
      <c r="B292" s="212"/>
      <c r="C292" s="213"/>
      <c r="D292" s="214" t="str">
        <f>IFERROR(VLOOKUP($C292,'PORTIFÓLIO'!C:V,2,0),"")</f>
        <v/>
      </c>
      <c r="E292" s="211" t="str">
        <f>IFERROR(VLOOKUP($C292,'PORTIFÓLIO'!C:V,3,0),"")</f>
        <v/>
      </c>
      <c r="F292" s="211" t="str">
        <f>IFERROR(VLOOKUP($C292,'PORTIFÓLIO'!C:V,4,0),"")</f>
        <v/>
      </c>
      <c r="G292" s="215" t="str">
        <f>IFERROR(VLOOKUP($C292,'PORTIFÓLIO'!C:V,5,0),"")</f>
        <v/>
      </c>
      <c r="H292" s="254" t="str">
        <f t="array" ref="H292">IFERROR(INDEX('PORTIFÓLIO'!$H$4:$H$433,MATCH($C292,'PORTIFÓLIO'!$C$4:$C$433,0)),"")</f>
        <v/>
      </c>
      <c r="I292" s="256"/>
      <c r="J292" s="218">
        <f t="shared" si="33"/>
        <v>0</v>
      </c>
      <c r="K292" s="292" t="str">
        <f t="array" ref="K292">IFERROR(I292*INDEX('PORTIFÓLIO'!$S$4:$S$433,MATCH($C292,'PORTIFÓLIO'!$C$4:$C$433,0)),"")</f>
        <v/>
      </c>
      <c r="L292" s="292" t="str">
        <f t="array" ref="L292">IFERROR(J292*INDEX('PORTIFÓLIO'!$S$4:$S$433,MATCH($C292,'PORTIFÓLIO'!$C$4:$C$433,0)),"")</f>
        <v/>
      </c>
      <c r="M292" s="220"/>
      <c r="N292" s="220"/>
      <c r="O292" s="220"/>
      <c r="P292" s="220"/>
      <c r="Q292" s="220"/>
      <c r="R292" s="220"/>
      <c r="S292" s="220"/>
      <c r="T292" s="220"/>
      <c r="U292" s="220"/>
      <c r="V292" s="220"/>
      <c r="W292" s="220"/>
    </row>
    <row r="293" ht="15.75" customHeight="1" outlineLevel="1">
      <c r="A293" s="211"/>
      <c r="B293" s="212"/>
      <c r="C293" s="213"/>
      <c r="D293" s="214" t="str">
        <f>IFERROR(VLOOKUP($C293,'PORTIFÓLIO'!C:V,2,0),"")</f>
        <v/>
      </c>
      <c r="E293" s="211" t="str">
        <f>IFERROR(VLOOKUP($C293,'PORTIFÓLIO'!C:V,3,0),"")</f>
        <v/>
      </c>
      <c r="F293" s="211" t="str">
        <f>IFERROR(VLOOKUP($C293,'PORTIFÓLIO'!C:V,4,0),"")</f>
        <v/>
      </c>
      <c r="G293" s="215" t="str">
        <f>IFERROR(VLOOKUP($C293,'PORTIFÓLIO'!C:V,5,0),"")</f>
        <v/>
      </c>
      <c r="H293" s="254" t="str">
        <f t="array" ref="H293">IFERROR(INDEX('PORTIFÓLIO'!$H$4:$H$433,MATCH($C293,'PORTIFÓLIO'!$C$4:$C$433,0)),"")</f>
        <v/>
      </c>
      <c r="I293" s="256"/>
      <c r="J293" s="218">
        <f t="shared" si="33"/>
        <v>0</v>
      </c>
      <c r="K293" s="292" t="str">
        <f t="array" ref="K293">IFERROR(I293*INDEX('PORTIFÓLIO'!$S$4:$S$433,MATCH($C293,'PORTIFÓLIO'!$C$4:$C$433,0)),"")</f>
        <v/>
      </c>
      <c r="L293" s="292" t="str">
        <f t="array" ref="L293">IFERROR(J293*INDEX('PORTIFÓLIO'!$S$4:$S$433,MATCH($C293,'PORTIFÓLIO'!$C$4:$C$433,0)),"")</f>
        <v/>
      </c>
      <c r="M293" s="220"/>
      <c r="N293" s="220"/>
      <c r="O293" s="220"/>
      <c r="P293" s="220"/>
      <c r="Q293" s="220"/>
      <c r="R293" s="220"/>
      <c r="S293" s="220"/>
      <c r="T293" s="220"/>
      <c r="U293" s="220"/>
      <c r="V293" s="220"/>
      <c r="W293" s="220"/>
    </row>
    <row r="294" ht="15.75" customHeight="1" outlineLevel="1">
      <c r="A294" s="211"/>
      <c r="B294" s="212"/>
      <c r="C294" s="213"/>
      <c r="D294" s="214" t="str">
        <f>IFERROR(VLOOKUP($C294,'PORTIFÓLIO'!C:V,2,0),"")</f>
        <v/>
      </c>
      <c r="E294" s="211" t="str">
        <f>IFERROR(VLOOKUP($C294,'PORTIFÓLIO'!C:V,3,0),"")</f>
        <v/>
      </c>
      <c r="F294" s="211" t="str">
        <f>IFERROR(VLOOKUP($C294,'PORTIFÓLIO'!C:V,4,0),"")</f>
        <v/>
      </c>
      <c r="G294" s="215" t="str">
        <f>IFERROR(VLOOKUP($C294,'PORTIFÓLIO'!C:V,5,0),"")</f>
        <v/>
      </c>
      <c r="H294" s="254" t="str">
        <f t="array" ref="H294">IFERROR(INDEX('PORTIFÓLIO'!$H$4:$H$433,MATCH($C294,'PORTIFÓLIO'!$C$4:$C$433,0)),"")</f>
        <v/>
      </c>
      <c r="I294" s="256"/>
      <c r="J294" s="218">
        <f t="shared" si="33"/>
        <v>0</v>
      </c>
      <c r="K294" s="292" t="str">
        <f t="array" ref="K294">IFERROR(I294*INDEX('PORTIFÓLIO'!$S$4:$S$433,MATCH($C294,'PORTIFÓLIO'!$C$4:$C$433,0)),"")</f>
        <v/>
      </c>
      <c r="L294" s="292" t="str">
        <f t="array" ref="L294">IFERROR(J294*INDEX('PORTIFÓLIO'!$S$4:$S$433,MATCH($C294,'PORTIFÓLIO'!$C$4:$C$433,0)),"")</f>
        <v/>
      </c>
      <c r="M294" s="220"/>
      <c r="N294" s="220"/>
      <c r="O294" s="220"/>
      <c r="P294" s="220"/>
      <c r="Q294" s="220"/>
      <c r="R294" s="220"/>
      <c r="S294" s="220"/>
      <c r="T294" s="220"/>
      <c r="U294" s="220"/>
      <c r="V294" s="220"/>
      <c r="W294" s="220"/>
    </row>
    <row r="295" ht="15.75" customHeight="1" outlineLevel="1">
      <c r="A295" s="211"/>
      <c r="B295" s="212"/>
      <c r="C295" s="213"/>
      <c r="D295" s="214" t="str">
        <f>IFERROR(VLOOKUP($C295,'PORTIFÓLIO'!C:V,2,0),"")</f>
        <v/>
      </c>
      <c r="E295" s="211" t="str">
        <f>IFERROR(VLOOKUP($C295,'PORTIFÓLIO'!C:V,3,0),"")</f>
        <v/>
      </c>
      <c r="F295" s="211" t="str">
        <f>IFERROR(VLOOKUP($C295,'PORTIFÓLIO'!C:V,4,0),"")</f>
        <v/>
      </c>
      <c r="G295" s="215" t="str">
        <f>IFERROR(VLOOKUP($C295,'PORTIFÓLIO'!C:V,5,0),"")</f>
        <v/>
      </c>
      <c r="H295" s="254" t="str">
        <f t="array" ref="H295">IFERROR(INDEX('PORTIFÓLIO'!$H$4:$H$433,MATCH($C295,'PORTIFÓLIO'!$C$4:$C$433,0)),"")</f>
        <v/>
      </c>
      <c r="I295" s="256"/>
      <c r="J295" s="218">
        <f t="shared" si="33"/>
        <v>0</v>
      </c>
      <c r="K295" s="292" t="str">
        <f t="array" ref="K295">IFERROR(I295*INDEX('PORTIFÓLIO'!$S$4:$S$433,MATCH($C295,'PORTIFÓLIO'!$C$4:$C$433,0)),"")</f>
        <v/>
      </c>
      <c r="L295" s="292" t="str">
        <f t="array" ref="L295">IFERROR(J295*INDEX('PORTIFÓLIO'!$S$4:$S$433,MATCH($C295,'PORTIFÓLIO'!$C$4:$C$433,0)),"")</f>
        <v/>
      </c>
      <c r="M295" s="220"/>
      <c r="N295" s="220"/>
      <c r="O295" s="220"/>
      <c r="P295" s="220"/>
      <c r="Q295" s="220"/>
      <c r="R295" s="220"/>
      <c r="S295" s="220"/>
      <c r="T295" s="220"/>
      <c r="U295" s="220"/>
      <c r="V295" s="220"/>
      <c r="W295" s="220"/>
    </row>
    <row r="296" ht="15.75" customHeight="1" outlineLevel="1">
      <c r="A296" s="211"/>
      <c r="B296" s="212"/>
      <c r="C296" s="213"/>
      <c r="D296" s="214" t="str">
        <f>IFERROR(VLOOKUP($C296,'PORTIFÓLIO'!C:V,2,0),"")</f>
        <v/>
      </c>
      <c r="E296" s="211" t="str">
        <f>IFERROR(VLOOKUP($C296,'PORTIFÓLIO'!C:V,3,0),"")</f>
        <v/>
      </c>
      <c r="F296" s="211" t="str">
        <f>IFERROR(VLOOKUP($C296,'PORTIFÓLIO'!C:V,4,0),"")</f>
        <v/>
      </c>
      <c r="G296" s="215" t="str">
        <f>IFERROR(VLOOKUP($C296,'PORTIFÓLIO'!C:V,5,0),"")</f>
        <v/>
      </c>
      <c r="H296" s="254" t="str">
        <f t="array" ref="H296">IFERROR(INDEX('PORTIFÓLIO'!$H$4:$H$433,MATCH($C296,'PORTIFÓLIO'!$C$4:$C$433,0)),"")</f>
        <v/>
      </c>
      <c r="I296" s="256"/>
      <c r="J296" s="218">
        <f t="shared" si="33"/>
        <v>0</v>
      </c>
      <c r="K296" s="292" t="str">
        <f t="array" ref="K296">IFERROR(I296*INDEX('PORTIFÓLIO'!$S$4:$S$433,MATCH($C296,'PORTIFÓLIO'!$C$4:$C$433,0)),"")</f>
        <v/>
      </c>
      <c r="L296" s="292" t="str">
        <f t="array" ref="L296">IFERROR(J296*INDEX('PORTIFÓLIO'!$S$4:$S$433,MATCH($C296,'PORTIFÓLIO'!$C$4:$C$433,0)),"")</f>
        <v/>
      </c>
      <c r="M296" s="220"/>
      <c r="N296" s="220"/>
      <c r="O296" s="220"/>
      <c r="P296" s="220"/>
      <c r="Q296" s="220"/>
      <c r="R296" s="220"/>
      <c r="S296" s="220"/>
      <c r="T296" s="220"/>
      <c r="U296" s="220"/>
      <c r="V296" s="220"/>
      <c r="W296" s="220"/>
    </row>
    <row r="297" ht="15.75" customHeight="1" outlineLevel="1">
      <c r="A297" s="211"/>
      <c r="B297" s="212"/>
      <c r="C297" s="213"/>
      <c r="D297" s="214" t="str">
        <f>IFERROR(VLOOKUP($C297,'PORTIFÓLIO'!C:V,2,0),"")</f>
        <v/>
      </c>
      <c r="E297" s="211" t="str">
        <f>IFERROR(VLOOKUP($C297,'PORTIFÓLIO'!C:V,3,0),"")</f>
        <v/>
      </c>
      <c r="F297" s="211" t="str">
        <f>IFERROR(VLOOKUP($C297,'PORTIFÓLIO'!C:V,4,0),"")</f>
        <v/>
      </c>
      <c r="G297" s="215" t="str">
        <f>IFERROR(VLOOKUP($C297,'PORTIFÓLIO'!C:V,5,0),"")</f>
        <v/>
      </c>
      <c r="H297" s="254" t="str">
        <f t="array" ref="H297">IFERROR(INDEX('PORTIFÓLIO'!$H$4:$H$433,MATCH($C297,'PORTIFÓLIO'!$C$4:$C$433,0)),"")</f>
        <v/>
      </c>
      <c r="I297" s="256"/>
      <c r="J297" s="218">
        <f t="shared" si="33"/>
        <v>0</v>
      </c>
      <c r="K297" s="292" t="str">
        <f t="array" ref="K297">IFERROR(I297*INDEX('PORTIFÓLIO'!$S$4:$S$433,MATCH($C297,'PORTIFÓLIO'!$C$4:$C$433,0)),"")</f>
        <v/>
      </c>
      <c r="L297" s="292" t="str">
        <f t="array" ref="L297">IFERROR(J297*INDEX('PORTIFÓLIO'!$S$4:$S$433,MATCH($C297,'PORTIFÓLIO'!$C$4:$C$433,0)),"")</f>
        <v/>
      </c>
      <c r="M297" s="220"/>
      <c r="N297" s="220"/>
      <c r="O297" s="220"/>
      <c r="P297" s="220"/>
      <c r="Q297" s="220"/>
      <c r="R297" s="220"/>
      <c r="S297" s="220"/>
      <c r="T297" s="220"/>
      <c r="U297" s="220"/>
      <c r="V297" s="220"/>
      <c r="W297" s="220"/>
    </row>
    <row r="298" ht="15.75" customHeight="1" outlineLevel="1">
      <c r="A298" s="211"/>
      <c r="B298" s="212"/>
      <c r="C298" s="213"/>
      <c r="D298" s="214" t="str">
        <f>IFERROR(VLOOKUP($C298,'PORTIFÓLIO'!C:V,2,0),"")</f>
        <v/>
      </c>
      <c r="E298" s="211" t="str">
        <f>IFERROR(VLOOKUP($C298,'PORTIFÓLIO'!C:V,3,0),"")</f>
        <v/>
      </c>
      <c r="F298" s="211" t="str">
        <f>IFERROR(VLOOKUP($C298,'PORTIFÓLIO'!C:V,4,0),"")</f>
        <v/>
      </c>
      <c r="G298" s="215" t="str">
        <f>IFERROR(VLOOKUP($C298,'PORTIFÓLIO'!C:V,5,0),"")</f>
        <v/>
      </c>
      <c r="H298" s="254" t="str">
        <f t="array" ref="H298">IFERROR(INDEX('PORTIFÓLIO'!$H$4:$H$433,MATCH($C298,'PORTIFÓLIO'!$C$4:$C$433,0)),"")</f>
        <v/>
      </c>
      <c r="I298" s="256"/>
      <c r="J298" s="218">
        <f t="shared" si="33"/>
        <v>0</v>
      </c>
      <c r="K298" s="292" t="str">
        <f t="array" ref="K298">IFERROR(I298*INDEX('PORTIFÓLIO'!$S$4:$S$433,MATCH($C298,'PORTIFÓLIO'!$C$4:$C$433,0)),"")</f>
        <v/>
      </c>
      <c r="L298" s="292" t="str">
        <f t="array" ref="L298">IFERROR(J298*INDEX('PORTIFÓLIO'!$S$4:$S$433,MATCH($C298,'PORTIFÓLIO'!$C$4:$C$433,0)),"")</f>
        <v/>
      </c>
      <c r="M298" s="220"/>
      <c r="N298" s="220"/>
      <c r="O298" s="220"/>
      <c r="P298" s="220"/>
      <c r="Q298" s="220"/>
      <c r="R298" s="220"/>
      <c r="S298" s="220"/>
      <c r="T298" s="220"/>
      <c r="U298" s="220"/>
      <c r="V298" s="220"/>
      <c r="W298" s="220"/>
    </row>
    <row r="299" ht="15.75" customHeight="1" outlineLevel="1">
      <c r="A299" s="211"/>
      <c r="B299" s="212"/>
      <c r="C299" s="213"/>
      <c r="D299" s="214" t="str">
        <f>IFERROR(VLOOKUP($C299,'PORTIFÓLIO'!C:V,2,0),"")</f>
        <v/>
      </c>
      <c r="E299" s="211" t="str">
        <f>IFERROR(VLOOKUP($C299,'PORTIFÓLIO'!C:V,3,0),"")</f>
        <v/>
      </c>
      <c r="F299" s="211" t="str">
        <f>IFERROR(VLOOKUP($C299,'PORTIFÓLIO'!C:V,4,0),"")</f>
        <v/>
      </c>
      <c r="G299" s="215" t="str">
        <f>IFERROR(VLOOKUP($C299,'PORTIFÓLIO'!C:V,5,0),"")</f>
        <v/>
      </c>
      <c r="H299" s="254" t="str">
        <f t="array" ref="H299">IFERROR(INDEX('PORTIFÓLIO'!$H$4:$H$433,MATCH($C299,'PORTIFÓLIO'!$C$4:$C$433,0)),"")</f>
        <v/>
      </c>
      <c r="I299" s="255"/>
      <c r="J299" s="218">
        <f t="shared" si="33"/>
        <v>0</v>
      </c>
      <c r="K299" s="292" t="str">
        <f t="array" ref="K299">IFERROR(I299*INDEX('PORTIFÓLIO'!$S$4:$S$433,MATCH($C299,'PORTIFÓLIO'!$C$4:$C$433,0)),"")</f>
        <v/>
      </c>
      <c r="L299" s="292" t="str">
        <f t="array" ref="L299">IFERROR(J299*INDEX('PORTIFÓLIO'!$S$4:$S$433,MATCH($C299,'PORTIFÓLIO'!$C$4:$C$433,0)),"")</f>
        <v/>
      </c>
      <c r="M299" s="220"/>
      <c r="N299" s="220"/>
      <c r="O299" s="220"/>
      <c r="P299" s="220"/>
      <c r="Q299" s="220"/>
      <c r="R299" s="220"/>
      <c r="S299" s="220"/>
      <c r="T299" s="220"/>
      <c r="U299" s="220"/>
      <c r="V299" s="220"/>
      <c r="W299" s="220"/>
    </row>
    <row r="300" ht="15.75" customHeight="1" outlineLevel="1">
      <c r="A300" s="211"/>
      <c r="B300" s="212"/>
      <c r="C300" s="213"/>
      <c r="D300" s="214" t="str">
        <f>IFERROR(VLOOKUP($C300,'PORTIFÓLIO'!C:V,2,0),"")</f>
        <v/>
      </c>
      <c r="E300" s="211" t="str">
        <f>IFERROR(VLOOKUP($C300,'PORTIFÓLIO'!C:V,3,0),"")</f>
        <v/>
      </c>
      <c r="F300" s="211" t="str">
        <f>IFERROR(VLOOKUP($C300,'PORTIFÓLIO'!C:V,4,0),"")</f>
        <v/>
      </c>
      <c r="G300" s="215" t="str">
        <f>IFERROR(VLOOKUP($C300,'PORTIFÓLIO'!C:V,5,0),"")</f>
        <v/>
      </c>
      <c r="H300" s="254" t="str">
        <f t="array" ref="H300">IFERROR(INDEX('PORTIFÓLIO'!$H$4:$H$433,MATCH($C300,'PORTIFÓLIO'!$C$4:$C$433,0)),"")</f>
        <v/>
      </c>
      <c r="I300" s="256"/>
      <c r="J300" s="218">
        <f t="shared" si="33"/>
        <v>0</v>
      </c>
      <c r="K300" s="292" t="str">
        <f t="array" ref="K300">IFERROR(I300*INDEX('PORTIFÓLIO'!$S$4:$S$433,MATCH($C300,'PORTIFÓLIO'!$C$4:$C$433,0)),"")</f>
        <v/>
      </c>
      <c r="L300" s="292" t="str">
        <f t="array" ref="L300">IFERROR(J300*INDEX('PORTIFÓLIO'!$S$4:$S$433,MATCH($C300,'PORTIFÓLIO'!$C$4:$C$433,0)),"")</f>
        <v/>
      </c>
      <c r="M300" s="220"/>
      <c r="N300" s="220"/>
      <c r="O300" s="220"/>
      <c r="P300" s="220"/>
      <c r="Q300" s="220"/>
      <c r="R300" s="220"/>
      <c r="S300" s="220"/>
      <c r="T300" s="220"/>
      <c r="U300" s="220"/>
      <c r="V300" s="220"/>
      <c r="W300" s="220"/>
    </row>
    <row r="301" ht="15.75" customHeight="1" outlineLevel="1">
      <c r="A301" s="211"/>
      <c r="B301" s="212"/>
      <c r="C301" s="213"/>
      <c r="D301" s="214" t="str">
        <f>IFERROR(VLOOKUP($C301,'PORTIFÓLIO'!C:V,2,0),"")</f>
        <v/>
      </c>
      <c r="E301" s="211" t="str">
        <f>IFERROR(VLOOKUP($C301,'PORTIFÓLIO'!C:V,3,0),"")</f>
        <v/>
      </c>
      <c r="F301" s="211" t="str">
        <f>IFERROR(VLOOKUP($C301,'PORTIFÓLIO'!C:V,4,0),"")</f>
        <v/>
      </c>
      <c r="G301" s="215" t="str">
        <f>IFERROR(VLOOKUP($C301,'PORTIFÓLIO'!C:V,5,0),"")</f>
        <v/>
      </c>
      <c r="H301" s="254" t="str">
        <f t="array" ref="H301">IFERROR(INDEX('PORTIFÓLIO'!$H$4:$H$433,MATCH($C301,'PORTIFÓLIO'!$C$4:$C$433,0)),"")</f>
        <v/>
      </c>
      <c r="I301" s="256"/>
      <c r="J301" s="218">
        <f t="shared" si="33"/>
        <v>0</v>
      </c>
      <c r="K301" s="292" t="str">
        <f t="array" ref="K301">IFERROR(I301*INDEX('PORTIFÓLIO'!$S$4:$S$433,MATCH($C301,'PORTIFÓLIO'!$C$4:$C$433,0)),"")</f>
        <v/>
      </c>
      <c r="L301" s="292" t="str">
        <f t="array" ref="L301">IFERROR(J301*INDEX('PORTIFÓLIO'!$S$4:$S$433,MATCH($C301,'PORTIFÓLIO'!$C$4:$C$433,0)),"")</f>
        <v/>
      </c>
      <c r="M301" s="220"/>
      <c r="N301" s="220"/>
      <c r="O301" s="220"/>
      <c r="P301" s="220"/>
      <c r="Q301" s="220"/>
      <c r="R301" s="220"/>
      <c r="S301" s="220"/>
      <c r="T301" s="220"/>
      <c r="U301" s="220"/>
      <c r="V301" s="220"/>
      <c r="W301" s="220"/>
    </row>
    <row r="302" ht="15.75" customHeight="1" outlineLevel="1">
      <c r="A302" s="211"/>
      <c r="B302" s="212"/>
      <c r="C302" s="213"/>
      <c r="D302" s="214" t="str">
        <f>IFERROR(VLOOKUP($C302,'PORTIFÓLIO'!C:V,2,0),"")</f>
        <v/>
      </c>
      <c r="E302" s="211" t="str">
        <f>IFERROR(VLOOKUP($C302,'PORTIFÓLIO'!C:V,3,0),"")</f>
        <v/>
      </c>
      <c r="F302" s="211" t="str">
        <f>IFERROR(VLOOKUP($C302,'PORTIFÓLIO'!C:V,4,0),"")</f>
        <v/>
      </c>
      <c r="G302" s="215" t="str">
        <f>IFERROR(VLOOKUP($C302,'PORTIFÓLIO'!C:V,5,0),"")</f>
        <v/>
      </c>
      <c r="H302" s="254" t="str">
        <f t="array" ref="H302">IFERROR(INDEX('PORTIFÓLIO'!$H$4:$H$433,MATCH($C302,'PORTIFÓLIO'!$C$4:$C$433,0)),"")</f>
        <v/>
      </c>
      <c r="I302" s="256"/>
      <c r="J302" s="218">
        <f t="shared" si="33"/>
        <v>0</v>
      </c>
      <c r="K302" s="292" t="str">
        <f t="array" ref="K302">IFERROR(I302*INDEX('PORTIFÓLIO'!$S$4:$S$433,MATCH($C302,'PORTIFÓLIO'!$C$4:$C$433,0)),"")</f>
        <v/>
      </c>
      <c r="L302" s="292" t="str">
        <f t="array" ref="L302">IFERROR(J302*INDEX('PORTIFÓLIO'!$S$4:$S$433,MATCH($C302,'PORTIFÓLIO'!$C$4:$C$433,0)),"")</f>
        <v/>
      </c>
      <c r="M302" s="220"/>
      <c r="N302" s="220"/>
      <c r="O302" s="220"/>
      <c r="P302" s="220"/>
      <c r="Q302" s="220"/>
      <c r="R302" s="220"/>
      <c r="S302" s="220"/>
      <c r="T302" s="220"/>
      <c r="U302" s="220"/>
      <c r="V302" s="220"/>
      <c r="W302" s="220"/>
    </row>
    <row r="303" ht="15.75" customHeight="1" outlineLevel="1">
      <c r="A303" s="211"/>
      <c r="B303" s="212"/>
      <c r="C303" s="213"/>
      <c r="D303" s="214" t="str">
        <f>IFERROR(VLOOKUP($C303,'PORTIFÓLIO'!C:V,2,0),"")</f>
        <v/>
      </c>
      <c r="E303" s="211" t="str">
        <f>IFERROR(VLOOKUP($C303,'PORTIFÓLIO'!C:V,3,0),"")</f>
        <v/>
      </c>
      <c r="F303" s="211" t="str">
        <f>IFERROR(VLOOKUP($C303,'PORTIFÓLIO'!C:V,4,0),"")</f>
        <v/>
      </c>
      <c r="G303" s="215" t="str">
        <f>IFERROR(VLOOKUP($C303,'PORTIFÓLIO'!C:V,5,0),"")</f>
        <v/>
      </c>
      <c r="H303" s="254" t="str">
        <f t="array" ref="H303">IFERROR(INDEX('PORTIFÓLIO'!$H$4:$H$433,MATCH($C303,'PORTIFÓLIO'!$C$4:$C$433,0)),"")</f>
        <v/>
      </c>
      <c r="I303" s="256"/>
      <c r="J303" s="218">
        <f t="shared" si="33"/>
        <v>0</v>
      </c>
      <c r="K303" s="292" t="str">
        <f t="array" ref="K303">IFERROR(I303*INDEX('PORTIFÓLIO'!$S$4:$S$433,MATCH($C303,'PORTIFÓLIO'!$C$4:$C$433,0)),"")</f>
        <v/>
      </c>
      <c r="L303" s="292" t="str">
        <f t="array" ref="L303">IFERROR(J303*INDEX('PORTIFÓLIO'!$S$4:$S$433,MATCH($C303,'PORTIFÓLIO'!$C$4:$C$433,0)),"")</f>
        <v/>
      </c>
      <c r="M303" s="220"/>
      <c r="N303" s="220"/>
      <c r="O303" s="220"/>
      <c r="P303" s="220"/>
      <c r="Q303" s="220"/>
      <c r="R303" s="220"/>
      <c r="S303" s="220"/>
      <c r="T303" s="220"/>
      <c r="U303" s="220"/>
      <c r="V303" s="220"/>
      <c r="W303" s="220"/>
    </row>
    <row r="304" ht="15.75" customHeight="1" outlineLevel="1">
      <c r="A304" s="211"/>
      <c r="B304" s="212"/>
      <c r="C304" s="213"/>
      <c r="D304" s="214" t="str">
        <f>IFERROR(VLOOKUP($C304,'PORTIFÓLIO'!C:V,2,0),"")</f>
        <v/>
      </c>
      <c r="E304" s="211" t="str">
        <f>IFERROR(VLOOKUP($C304,'PORTIFÓLIO'!C:V,3,0),"")</f>
        <v/>
      </c>
      <c r="F304" s="211" t="str">
        <f>IFERROR(VLOOKUP($C304,'PORTIFÓLIO'!C:V,4,0),"")</f>
        <v/>
      </c>
      <c r="G304" s="215" t="str">
        <f>IFERROR(VLOOKUP($C304,'PORTIFÓLIO'!C:V,5,0),"")</f>
        <v/>
      </c>
      <c r="H304" s="254" t="str">
        <f t="array" ref="H304">IFERROR(INDEX('PORTIFÓLIO'!$H$4:$H$433,MATCH($C304,'PORTIFÓLIO'!$C$4:$C$433,0)),"")</f>
        <v/>
      </c>
      <c r="I304" s="256"/>
      <c r="J304" s="218">
        <f t="shared" si="33"/>
        <v>0</v>
      </c>
      <c r="K304" s="292" t="str">
        <f t="array" ref="K304">IFERROR(I304*INDEX('PORTIFÓLIO'!$S$4:$S$433,MATCH($C304,'PORTIFÓLIO'!$C$4:$C$433,0)),"")</f>
        <v/>
      </c>
      <c r="L304" s="292" t="str">
        <f t="array" ref="L304">IFERROR(J304*INDEX('PORTIFÓLIO'!$S$4:$S$433,MATCH($C304,'PORTIFÓLIO'!$C$4:$C$433,0)),"")</f>
        <v/>
      </c>
      <c r="M304" s="220"/>
      <c r="N304" s="220"/>
      <c r="O304" s="220"/>
      <c r="P304" s="220"/>
      <c r="Q304" s="220"/>
      <c r="R304" s="220"/>
      <c r="S304" s="220"/>
      <c r="T304" s="220"/>
      <c r="U304" s="220"/>
      <c r="V304" s="220"/>
      <c r="W304" s="220"/>
    </row>
    <row r="305" ht="15.75" customHeight="1" outlineLevel="1">
      <c r="A305" s="211"/>
      <c r="B305" s="212"/>
      <c r="C305" s="213"/>
      <c r="D305" s="214" t="str">
        <f>IFERROR(VLOOKUP($C305,'PORTIFÓLIO'!C:V,2,0),"")</f>
        <v/>
      </c>
      <c r="E305" s="211" t="str">
        <f>IFERROR(VLOOKUP($C305,'PORTIFÓLIO'!C:V,3,0),"")</f>
        <v/>
      </c>
      <c r="F305" s="211" t="str">
        <f>IFERROR(VLOOKUP($C305,'PORTIFÓLIO'!C:V,4,0),"")</f>
        <v/>
      </c>
      <c r="G305" s="215" t="str">
        <f>IFERROR(VLOOKUP($C305,'PORTIFÓLIO'!C:V,5,0),"")</f>
        <v/>
      </c>
      <c r="H305" s="254" t="str">
        <f t="array" ref="H305">IFERROR(INDEX('PORTIFÓLIO'!$H$4:$H$433,MATCH($C305,'PORTIFÓLIO'!$C$4:$C$433,0)),"")</f>
        <v/>
      </c>
      <c r="I305" s="256"/>
      <c r="J305" s="218">
        <f t="shared" si="33"/>
        <v>0</v>
      </c>
      <c r="K305" s="292" t="str">
        <f t="array" ref="K305">IFERROR(I305*INDEX('PORTIFÓLIO'!$S$4:$S$433,MATCH($C305,'PORTIFÓLIO'!$C$4:$C$433,0)),"")</f>
        <v/>
      </c>
      <c r="L305" s="292" t="str">
        <f t="array" ref="L305">IFERROR(J305*INDEX('PORTIFÓLIO'!$S$4:$S$433,MATCH($C305,'PORTIFÓLIO'!$C$4:$C$433,0)),"")</f>
        <v/>
      </c>
      <c r="M305" s="220"/>
      <c r="N305" s="220"/>
      <c r="O305" s="220"/>
      <c r="P305" s="220"/>
      <c r="Q305" s="220"/>
      <c r="R305" s="220"/>
      <c r="S305" s="220"/>
      <c r="T305" s="220"/>
      <c r="U305" s="220"/>
      <c r="V305" s="220"/>
      <c r="W305" s="220"/>
    </row>
    <row r="306" ht="15.75" customHeight="1" outlineLevel="1">
      <c r="A306" s="211"/>
      <c r="B306" s="212"/>
      <c r="C306" s="213"/>
      <c r="D306" s="214" t="str">
        <f>IFERROR(VLOOKUP($C306,'PORTIFÓLIO'!C:V,2,0),"")</f>
        <v/>
      </c>
      <c r="E306" s="211" t="str">
        <f>IFERROR(VLOOKUP($C306,'PORTIFÓLIO'!C:V,3,0),"")</f>
        <v/>
      </c>
      <c r="F306" s="211" t="str">
        <f>IFERROR(VLOOKUP($C306,'PORTIFÓLIO'!C:V,4,0),"")</f>
        <v/>
      </c>
      <c r="G306" s="215" t="str">
        <f>IFERROR(VLOOKUP($C306,'PORTIFÓLIO'!C:V,5,0),"")</f>
        <v/>
      </c>
      <c r="H306" s="254" t="str">
        <f t="array" ref="H306">IFERROR(INDEX('PORTIFÓLIO'!$H$4:$H$433,MATCH($C306,'PORTIFÓLIO'!$C$4:$C$433,0)),"")</f>
        <v/>
      </c>
      <c r="I306" s="256"/>
      <c r="J306" s="218">
        <f t="shared" si="33"/>
        <v>0</v>
      </c>
      <c r="K306" s="292" t="str">
        <f t="array" ref="K306">IFERROR(I306*INDEX('PORTIFÓLIO'!$S$4:$S$433,MATCH($C306,'PORTIFÓLIO'!$C$4:$C$433,0)),"")</f>
        <v/>
      </c>
      <c r="L306" s="292" t="str">
        <f t="array" ref="L306">IFERROR(J306*INDEX('PORTIFÓLIO'!$S$4:$S$433,MATCH($C306,'PORTIFÓLIO'!$C$4:$C$433,0)),"")</f>
        <v/>
      </c>
      <c r="M306" s="220"/>
      <c r="N306" s="220"/>
      <c r="O306" s="220"/>
      <c r="P306" s="220"/>
      <c r="Q306" s="220"/>
      <c r="R306" s="220"/>
      <c r="S306" s="220"/>
      <c r="T306" s="220"/>
      <c r="U306" s="220"/>
      <c r="V306" s="220"/>
      <c r="W306" s="220"/>
    </row>
    <row r="307" ht="15.75" customHeight="1" outlineLevel="1">
      <c r="A307" s="211"/>
      <c r="B307" s="212"/>
      <c r="C307" s="213"/>
      <c r="D307" s="214" t="str">
        <f>IFERROR(VLOOKUP($C307,'PORTIFÓLIO'!C:V,2,0),"")</f>
        <v/>
      </c>
      <c r="E307" s="211" t="str">
        <f>IFERROR(VLOOKUP($C307,'PORTIFÓLIO'!C:V,3,0),"")</f>
        <v/>
      </c>
      <c r="F307" s="211" t="str">
        <f>IFERROR(VLOOKUP($C307,'PORTIFÓLIO'!C:V,4,0),"")</f>
        <v/>
      </c>
      <c r="G307" s="215" t="str">
        <f>IFERROR(VLOOKUP($C307,'PORTIFÓLIO'!C:V,5,0),"")</f>
        <v/>
      </c>
      <c r="H307" s="254" t="str">
        <f t="array" ref="H307">IFERROR(INDEX('PORTIFÓLIO'!$H$4:$H$433,MATCH($C307,'PORTIFÓLIO'!$C$4:$C$433,0)),"")</f>
        <v/>
      </c>
      <c r="I307" s="256"/>
      <c r="J307" s="218">
        <f t="shared" si="33"/>
        <v>0</v>
      </c>
      <c r="K307" s="292" t="str">
        <f t="array" ref="K307">IFERROR(I307*INDEX('PORTIFÓLIO'!$S$4:$S$433,MATCH($C307,'PORTIFÓLIO'!$C$4:$C$433,0)),"")</f>
        <v/>
      </c>
      <c r="L307" s="292" t="str">
        <f t="array" ref="L307">IFERROR(J307*INDEX('PORTIFÓLIO'!$S$4:$S$433,MATCH($C307,'PORTIFÓLIO'!$C$4:$C$433,0)),"")</f>
        <v/>
      </c>
      <c r="M307" s="220"/>
      <c r="N307" s="220"/>
      <c r="O307" s="220"/>
      <c r="P307" s="220"/>
      <c r="Q307" s="220"/>
      <c r="R307" s="220"/>
      <c r="S307" s="220"/>
      <c r="T307" s="220"/>
      <c r="U307" s="220"/>
      <c r="V307" s="220"/>
      <c r="W307" s="220"/>
    </row>
    <row r="308" ht="15.75" customHeight="1">
      <c r="A308" s="229" t="s">
        <v>1188</v>
      </c>
      <c r="B308" s="230"/>
      <c r="C308" s="231"/>
      <c r="D308" s="232"/>
      <c r="E308" s="231"/>
      <c r="F308" s="231"/>
      <c r="G308" s="233"/>
      <c r="H308" s="233"/>
      <c r="I308" s="258"/>
      <c r="J308" s="236"/>
      <c r="K308" s="237">
        <f t="shared" ref="K308:L308" si="34">SUBTOTAL(9,K309:K322)</f>
        <v>0</v>
      </c>
      <c r="L308" s="237">
        <f t="shared" si="34"/>
        <v>0</v>
      </c>
      <c r="M308" s="220"/>
      <c r="N308" s="220"/>
      <c r="O308" s="220"/>
      <c r="P308" s="220"/>
      <c r="Q308" s="220"/>
      <c r="R308" s="220"/>
      <c r="S308" s="220"/>
      <c r="T308" s="220"/>
      <c r="U308" s="220"/>
      <c r="V308" s="220"/>
      <c r="W308" s="220"/>
    </row>
    <row r="309" ht="15.75" customHeight="1" outlineLevel="1">
      <c r="A309" s="213"/>
      <c r="B309" s="212"/>
      <c r="C309" s="213"/>
      <c r="D309" s="214" t="str">
        <f>IFERROR(VLOOKUP($C309,'PORTIFÓLIO'!C:V,2,0),"")</f>
        <v/>
      </c>
      <c r="E309" s="211" t="str">
        <f>IFERROR(VLOOKUP($C309,'PORTIFÓLIO'!C:V,3,0),"")</f>
        <v/>
      </c>
      <c r="F309" s="211" t="str">
        <f>IFERROR(VLOOKUP($C309,'PORTIFÓLIO'!C:V,4,0),"")</f>
        <v/>
      </c>
      <c r="G309" s="215" t="str">
        <f>IFERROR(VLOOKUP($C309,'PORTIFÓLIO'!C:V,5,0),"")</f>
        <v/>
      </c>
      <c r="H309" s="254" t="str">
        <f t="array" ref="H309">IFERROR(INDEX('PORTIFÓLIO'!$H$4:$H$433,MATCH($C309,'PORTIFÓLIO'!$C$4:$C$433,0)),"")</f>
        <v/>
      </c>
      <c r="I309" s="255"/>
      <c r="J309" s="218">
        <f t="shared" ref="J309:J323" si="35">I309*$B$2</f>
        <v>0</v>
      </c>
      <c r="K309" s="292" t="str">
        <f t="array" ref="K309">IFERROR(I309*INDEX('PORTIFÓLIO'!$S$4:$S$433,MATCH($C309,'PORTIFÓLIO'!$C$4:$C$433,0)),"")</f>
        <v/>
      </c>
      <c r="L309" s="292" t="str">
        <f t="array" ref="L309">IFERROR(J309*INDEX('PORTIFÓLIO'!$S$4:$S$433,MATCH($C309,'PORTIFÓLIO'!$C$4:$C$433,0)),"")</f>
        <v/>
      </c>
      <c r="M309" s="220"/>
      <c r="N309" s="220"/>
      <c r="O309" s="220"/>
      <c r="P309" s="220"/>
      <c r="Q309" s="220"/>
      <c r="R309" s="220"/>
      <c r="S309" s="220"/>
      <c r="T309" s="220"/>
      <c r="U309" s="220"/>
      <c r="V309" s="220"/>
      <c r="W309" s="220"/>
    </row>
    <row r="310" ht="15.75" customHeight="1" outlineLevel="1">
      <c r="A310" s="211"/>
      <c r="B310" s="212"/>
      <c r="C310" s="213"/>
      <c r="D310" s="214" t="str">
        <f>IFERROR(VLOOKUP($C310,'PORTIFÓLIO'!C:V,2,0),"")</f>
        <v/>
      </c>
      <c r="E310" s="211" t="str">
        <f>IFERROR(VLOOKUP($C310,'PORTIFÓLIO'!C:V,3,0),"")</f>
        <v/>
      </c>
      <c r="F310" s="211" t="str">
        <f>IFERROR(VLOOKUP($C310,'PORTIFÓLIO'!C:V,4,0),"")</f>
        <v/>
      </c>
      <c r="G310" s="215" t="str">
        <f>IFERROR(VLOOKUP($C310,'PORTIFÓLIO'!C:V,5,0),"")</f>
        <v/>
      </c>
      <c r="H310" s="254" t="str">
        <f t="array" ref="H310">IFERROR(INDEX('PORTIFÓLIO'!$H$4:$H$433,MATCH($C310,'PORTIFÓLIO'!$C$4:$C$433,0)),"")</f>
        <v/>
      </c>
      <c r="I310" s="256"/>
      <c r="J310" s="218">
        <f t="shared" si="35"/>
        <v>0</v>
      </c>
      <c r="K310" s="292" t="str">
        <f t="array" ref="K310">IFERROR(I310*INDEX('PORTIFÓLIO'!$S$4:$S$433,MATCH($C310,'PORTIFÓLIO'!$C$4:$C$433,0)),"")</f>
        <v/>
      </c>
      <c r="L310" s="292" t="str">
        <f t="array" ref="L310">IFERROR(J310*INDEX('PORTIFÓLIO'!$S$4:$S$433,MATCH($C310,'PORTIFÓLIO'!$C$4:$C$433,0)),"")</f>
        <v/>
      </c>
      <c r="M310" s="220"/>
      <c r="N310" s="220"/>
      <c r="O310" s="220"/>
      <c r="P310" s="220"/>
      <c r="Q310" s="220"/>
      <c r="R310" s="220"/>
      <c r="S310" s="220"/>
      <c r="T310" s="220"/>
      <c r="U310" s="220"/>
      <c r="V310" s="220"/>
      <c r="W310" s="220"/>
    </row>
    <row r="311" ht="15.75" customHeight="1" outlineLevel="1">
      <c r="A311" s="211"/>
      <c r="B311" s="212"/>
      <c r="C311" s="213"/>
      <c r="D311" s="214" t="str">
        <f>IFERROR(VLOOKUP($C311,'PORTIFÓLIO'!C:V,2,0),"")</f>
        <v/>
      </c>
      <c r="E311" s="211" t="str">
        <f>IFERROR(VLOOKUP($C311,'PORTIFÓLIO'!C:V,3,0),"")</f>
        <v/>
      </c>
      <c r="F311" s="211" t="str">
        <f>IFERROR(VLOOKUP($C311,'PORTIFÓLIO'!C:V,4,0),"")</f>
        <v/>
      </c>
      <c r="G311" s="215" t="str">
        <f>IFERROR(VLOOKUP($C311,'PORTIFÓLIO'!C:V,5,0),"")</f>
        <v/>
      </c>
      <c r="H311" s="254" t="str">
        <f t="array" ref="H311">IFERROR(INDEX('PORTIFÓLIO'!$H$4:$H$433,MATCH($C311,'PORTIFÓLIO'!$C$4:$C$433,0)),"")</f>
        <v/>
      </c>
      <c r="I311" s="256"/>
      <c r="J311" s="218">
        <f t="shared" si="35"/>
        <v>0</v>
      </c>
      <c r="K311" s="292" t="str">
        <f t="array" ref="K311">IFERROR(I311*INDEX('PORTIFÓLIO'!$S$4:$S$433,MATCH($C311,'PORTIFÓLIO'!$C$4:$C$433,0)),"")</f>
        <v/>
      </c>
      <c r="L311" s="292" t="str">
        <f t="array" ref="L311">IFERROR(J311*INDEX('PORTIFÓLIO'!$S$4:$S$433,MATCH($C311,'PORTIFÓLIO'!$C$4:$C$433,0)),"")</f>
        <v/>
      </c>
      <c r="M311" s="220"/>
      <c r="N311" s="220"/>
      <c r="O311" s="220"/>
      <c r="P311" s="220"/>
      <c r="Q311" s="220"/>
      <c r="R311" s="220"/>
      <c r="S311" s="220"/>
      <c r="T311" s="220"/>
      <c r="U311" s="220"/>
      <c r="V311" s="220"/>
      <c r="W311" s="220"/>
    </row>
    <row r="312" ht="15.75" customHeight="1" outlineLevel="1">
      <c r="A312" s="211"/>
      <c r="B312" s="212"/>
      <c r="C312" s="213"/>
      <c r="D312" s="214" t="str">
        <f>IFERROR(VLOOKUP($C312,'PORTIFÓLIO'!C:V,2,0),"")</f>
        <v/>
      </c>
      <c r="E312" s="211" t="str">
        <f>IFERROR(VLOOKUP($C312,'PORTIFÓLIO'!C:V,3,0),"")</f>
        <v/>
      </c>
      <c r="F312" s="211" t="str">
        <f>IFERROR(VLOOKUP($C312,'PORTIFÓLIO'!C:V,4,0),"")</f>
        <v/>
      </c>
      <c r="G312" s="215" t="str">
        <f>IFERROR(VLOOKUP($C312,'PORTIFÓLIO'!C:V,5,0),"")</f>
        <v/>
      </c>
      <c r="H312" s="254" t="str">
        <f t="array" ref="H312">IFERROR(INDEX('PORTIFÓLIO'!$H$4:$H$433,MATCH($C312,'PORTIFÓLIO'!$C$4:$C$433,0)),"")</f>
        <v/>
      </c>
      <c r="I312" s="256"/>
      <c r="J312" s="218">
        <f t="shared" si="35"/>
        <v>0</v>
      </c>
      <c r="K312" s="292" t="str">
        <f t="array" ref="K312">IFERROR(I312*INDEX('PORTIFÓLIO'!$S$4:$S$433,MATCH($C312,'PORTIFÓLIO'!$C$4:$C$433,0)),"")</f>
        <v/>
      </c>
      <c r="L312" s="292" t="str">
        <f t="array" ref="L312">IFERROR(J312*INDEX('PORTIFÓLIO'!$S$4:$S$433,MATCH($C312,'PORTIFÓLIO'!$C$4:$C$433,0)),"")</f>
        <v/>
      </c>
      <c r="M312" s="220"/>
      <c r="N312" s="220"/>
      <c r="O312" s="220"/>
      <c r="P312" s="220"/>
      <c r="Q312" s="220"/>
      <c r="R312" s="220"/>
      <c r="S312" s="220"/>
      <c r="T312" s="220"/>
      <c r="U312" s="220"/>
      <c r="V312" s="220"/>
      <c r="W312" s="220"/>
    </row>
    <row r="313" ht="15.75" customHeight="1" outlineLevel="1">
      <c r="A313" s="211"/>
      <c r="B313" s="212"/>
      <c r="C313" s="213"/>
      <c r="D313" s="214" t="str">
        <f>IFERROR(VLOOKUP($C313,'PORTIFÓLIO'!C:V,2,0),"")</f>
        <v/>
      </c>
      <c r="E313" s="211" t="str">
        <f>IFERROR(VLOOKUP($C313,'PORTIFÓLIO'!C:V,3,0),"")</f>
        <v/>
      </c>
      <c r="F313" s="211" t="str">
        <f>IFERROR(VLOOKUP($C313,'PORTIFÓLIO'!C:V,4,0),"")</f>
        <v/>
      </c>
      <c r="G313" s="215" t="str">
        <f>IFERROR(VLOOKUP($C313,'PORTIFÓLIO'!C:V,5,0),"")</f>
        <v/>
      </c>
      <c r="H313" s="254" t="str">
        <f t="array" ref="H313">IFERROR(INDEX('PORTIFÓLIO'!$H$4:$H$433,MATCH($C313,'PORTIFÓLIO'!$C$4:$C$433,0)),"")</f>
        <v/>
      </c>
      <c r="I313" s="256"/>
      <c r="J313" s="218">
        <f t="shared" si="35"/>
        <v>0</v>
      </c>
      <c r="K313" s="292" t="str">
        <f t="array" ref="K313">IFERROR(I313*INDEX('PORTIFÓLIO'!$S$4:$S$433,MATCH($C313,'PORTIFÓLIO'!$C$4:$C$433,0)),"")</f>
        <v/>
      </c>
      <c r="L313" s="292" t="str">
        <f t="array" ref="L313">IFERROR(J313*INDEX('PORTIFÓLIO'!$S$4:$S$433,MATCH($C313,'PORTIFÓLIO'!$C$4:$C$433,0)),"")</f>
        <v/>
      </c>
      <c r="M313" s="220"/>
      <c r="N313" s="220"/>
      <c r="O313" s="220"/>
      <c r="P313" s="220"/>
      <c r="Q313" s="220"/>
      <c r="R313" s="220"/>
      <c r="S313" s="220"/>
      <c r="T313" s="220"/>
      <c r="U313" s="220"/>
      <c r="V313" s="220"/>
      <c r="W313" s="220"/>
    </row>
    <row r="314" ht="15.75" customHeight="1" outlineLevel="1">
      <c r="A314" s="211"/>
      <c r="B314" s="212"/>
      <c r="C314" s="213"/>
      <c r="D314" s="214" t="str">
        <f>IFERROR(VLOOKUP($C314,'PORTIFÓLIO'!C:V,2,0),"")</f>
        <v/>
      </c>
      <c r="E314" s="211" t="str">
        <f>IFERROR(VLOOKUP($C314,'PORTIFÓLIO'!C:V,3,0),"")</f>
        <v/>
      </c>
      <c r="F314" s="211" t="str">
        <f>IFERROR(VLOOKUP($C314,'PORTIFÓLIO'!C:V,4,0),"")</f>
        <v/>
      </c>
      <c r="G314" s="215" t="str">
        <f>IFERROR(VLOOKUP($C314,'PORTIFÓLIO'!C:V,5,0),"")</f>
        <v/>
      </c>
      <c r="H314" s="254" t="str">
        <f t="array" ref="H314">IFERROR(INDEX('PORTIFÓLIO'!$H$4:$H$433,MATCH($C314,'PORTIFÓLIO'!$C$4:$C$433,0)),"")</f>
        <v/>
      </c>
      <c r="I314" s="256"/>
      <c r="J314" s="218">
        <f t="shared" si="35"/>
        <v>0</v>
      </c>
      <c r="K314" s="292" t="str">
        <f t="array" ref="K314">IFERROR(I314*INDEX('PORTIFÓLIO'!$S$4:$S$433,MATCH($C314,'PORTIFÓLIO'!$C$4:$C$433,0)),"")</f>
        <v/>
      </c>
      <c r="L314" s="292" t="str">
        <f t="array" ref="L314">IFERROR(J314*INDEX('PORTIFÓLIO'!$S$4:$S$433,MATCH($C314,'PORTIFÓLIO'!$C$4:$C$433,0)),"")</f>
        <v/>
      </c>
      <c r="M314" s="220"/>
      <c r="N314" s="220"/>
      <c r="O314" s="220"/>
      <c r="P314" s="220"/>
      <c r="Q314" s="220"/>
      <c r="R314" s="220"/>
      <c r="S314" s="220"/>
      <c r="T314" s="220"/>
      <c r="U314" s="220"/>
      <c r="V314" s="220"/>
      <c r="W314" s="220"/>
    </row>
    <row r="315" ht="15.75" customHeight="1" outlineLevel="1">
      <c r="A315" s="211"/>
      <c r="B315" s="212"/>
      <c r="C315" s="213"/>
      <c r="D315" s="214" t="str">
        <f>IFERROR(VLOOKUP($C315,'PORTIFÓLIO'!C:V,2,0),"")</f>
        <v/>
      </c>
      <c r="E315" s="211" t="str">
        <f>IFERROR(VLOOKUP($C315,'PORTIFÓLIO'!C:V,3,0),"")</f>
        <v/>
      </c>
      <c r="F315" s="211" t="str">
        <f>IFERROR(VLOOKUP($C315,'PORTIFÓLIO'!C:V,4,0),"")</f>
        <v/>
      </c>
      <c r="G315" s="215" t="str">
        <f>IFERROR(VLOOKUP($C315,'PORTIFÓLIO'!C:V,5,0),"")</f>
        <v/>
      </c>
      <c r="H315" s="254" t="str">
        <f t="array" ref="H315">IFERROR(INDEX('PORTIFÓLIO'!$H$4:$H$433,MATCH($C315,'PORTIFÓLIO'!$C$4:$C$433,0)),"")</f>
        <v/>
      </c>
      <c r="I315" s="256"/>
      <c r="J315" s="218">
        <f t="shared" si="35"/>
        <v>0</v>
      </c>
      <c r="K315" s="292" t="str">
        <f t="array" ref="K315">IFERROR(I315*INDEX('PORTIFÓLIO'!$S$4:$S$433,MATCH($C315,'PORTIFÓLIO'!$C$4:$C$433,0)),"")</f>
        <v/>
      </c>
      <c r="L315" s="292" t="str">
        <f t="array" ref="L315">IFERROR(J315*INDEX('PORTIFÓLIO'!$S$4:$S$433,MATCH($C315,'PORTIFÓLIO'!$C$4:$C$433,0)),"")</f>
        <v/>
      </c>
      <c r="M315" s="220"/>
      <c r="N315" s="220"/>
      <c r="O315" s="220"/>
      <c r="P315" s="220"/>
      <c r="Q315" s="220"/>
      <c r="R315" s="220"/>
      <c r="S315" s="220"/>
      <c r="T315" s="220"/>
      <c r="U315" s="220"/>
      <c r="V315" s="220"/>
      <c r="W315" s="220"/>
    </row>
    <row r="316" ht="15.75" customHeight="1" outlineLevel="1">
      <c r="A316" s="211"/>
      <c r="B316" s="212"/>
      <c r="C316" s="213"/>
      <c r="D316" s="214" t="str">
        <f>IFERROR(VLOOKUP($C316,'PORTIFÓLIO'!C:V,2,0),"")</f>
        <v/>
      </c>
      <c r="E316" s="211" t="str">
        <f>IFERROR(VLOOKUP($C316,'PORTIFÓLIO'!C:V,3,0),"")</f>
        <v/>
      </c>
      <c r="F316" s="211" t="str">
        <f>IFERROR(VLOOKUP($C316,'PORTIFÓLIO'!C:V,4,0),"")</f>
        <v/>
      </c>
      <c r="G316" s="215" t="str">
        <f>IFERROR(VLOOKUP($C316,'PORTIFÓLIO'!C:V,5,0),"")</f>
        <v/>
      </c>
      <c r="H316" s="254" t="str">
        <f t="array" ref="H316">IFERROR(INDEX('PORTIFÓLIO'!$H$4:$H$433,MATCH($C316,'PORTIFÓLIO'!$C$4:$C$433,0)),"")</f>
        <v/>
      </c>
      <c r="I316" s="256"/>
      <c r="J316" s="218">
        <f t="shared" si="35"/>
        <v>0</v>
      </c>
      <c r="K316" s="292" t="str">
        <f t="array" ref="K316">IFERROR(I316*INDEX('PORTIFÓLIO'!$S$4:$S$433,MATCH($C316,'PORTIFÓLIO'!$C$4:$C$433,0)),"")</f>
        <v/>
      </c>
      <c r="L316" s="292" t="str">
        <f t="array" ref="L316">IFERROR(J316*INDEX('PORTIFÓLIO'!$S$4:$S$433,MATCH($C316,'PORTIFÓLIO'!$C$4:$C$433,0)),"")</f>
        <v/>
      </c>
      <c r="M316" s="220"/>
      <c r="N316" s="220"/>
      <c r="O316" s="220"/>
      <c r="P316" s="220"/>
      <c r="Q316" s="220"/>
      <c r="R316" s="220"/>
      <c r="S316" s="220"/>
      <c r="T316" s="220"/>
      <c r="U316" s="220"/>
      <c r="V316" s="220"/>
      <c r="W316" s="220"/>
    </row>
    <row r="317" ht="15.75" customHeight="1" outlineLevel="1">
      <c r="A317" s="211"/>
      <c r="B317" s="212"/>
      <c r="C317" s="213"/>
      <c r="D317" s="214" t="str">
        <f>IFERROR(VLOOKUP($C317,'PORTIFÓLIO'!C:V,2,0),"")</f>
        <v/>
      </c>
      <c r="E317" s="211" t="str">
        <f>IFERROR(VLOOKUP($C317,'PORTIFÓLIO'!C:V,3,0),"")</f>
        <v/>
      </c>
      <c r="F317" s="211" t="str">
        <f>IFERROR(VLOOKUP($C317,'PORTIFÓLIO'!C:V,4,0),"")</f>
        <v/>
      </c>
      <c r="G317" s="215" t="str">
        <f>IFERROR(VLOOKUP($C317,'PORTIFÓLIO'!C:V,5,0),"")</f>
        <v/>
      </c>
      <c r="H317" s="254" t="str">
        <f t="array" ref="H317">IFERROR(INDEX('PORTIFÓLIO'!$H$4:$H$433,MATCH($C317,'PORTIFÓLIO'!$C$4:$C$433,0)),"")</f>
        <v/>
      </c>
      <c r="I317" s="255"/>
      <c r="J317" s="218">
        <f t="shared" si="35"/>
        <v>0</v>
      </c>
      <c r="K317" s="292" t="str">
        <f t="array" ref="K317">IFERROR(I317*INDEX('PORTIFÓLIO'!$S$4:$S$433,MATCH($C317,'PORTIFÓLIO'!$C$4:$C$433,0)),"")</f>
        <v/>
      </c>
      <c r="L317" s="292" t="str">
        <f t="array" ref="L317">IFERROR(J317*INDEX('PORTIFÓLIO'!$S$4:$S$433,MATCH($C317,'PORTIFÓLIO'!$C$4:$C$433,0)),"")</f>
        <v/>
      </c>
      <c r="M317" s="220"/>
      <c r="N317" s="220"/>
      <c r="O317" s="220"/>
      <c r="P317" s="220"/>
      <c r="Q317" s="220"/>
      <c r="R317" s="220"/>
      <c r="S317" s="220"/>
      <c r="T317" s="220"/>
      <c r="U317" s="220"/>
      <c r="V317" s="220"/>
      <c r="W317" s="220"/>
    </row>
    <row r="318" ht="15.75" customHeight="1" outlineLevel="1">
      <c r="A318" s="211"/>
      <c r="B318" s="212"/>
      <c r="C318" s="213"/>
      <c r="D318" s="214" t="str">
        <f>IFERROR(VLOOKUP($C318,'PORTIFÓLIO'!C:V,2,0),"")</f>
        <v/>
      </c>
      <c r="E318" s="211" t="str">
        <f>IFERROR(VLOOKUP($C318,'PORTIFÓLIO'!C:V,3,0),"")</f>
        <v/>
      </c>
      <c r="F318" s="211" t="str">
        <f>IFERROR(VLOOKUP($C318,'PORTIFÓLIO'!C:V,4,0),"")</f>
        <v/>
      </c>
      <c r="G318" s="215" t="str">
        <f>IFERROR(VLOOKUP($C318,'PORTIFÓLIO'!C:V,5,0),"")</f>
        <v/>
      </c>
      <c r="H318" s="254" t="str">
        <f t="array" ref="H318">IFERROR(INDEX('PORTIFÓLIO'!$H$4:$H$433,MATCH($C318,'PORTIFÓLIO'!$C$4:$C$433,0)),"")</f>
        <v/>
      </c>
      <c r="I318" s="256"/>
      <c r="J318" s="218">
        <f t="shared" si="35"/>
        <v>0</v>
      </c>
      <c r="K318" s="292" t="str">
        <f t="array" ref="K318">IFERROR(I318*INDEX('PORTIFÓLIO'!$S$4:$S$433,MATCH($C318,'PORTIFÓLIO'!$C$4:$C$433,0)),"")</f>
        <v/>
      </c>
      <c r="L318" s="292" t="str">
        <f t="array" ref="L318">IFERROR(J318*INDEX('PORTIFÓLIO'!$S$4:$S$433,MATCH($C318,'PORTIFÓLIO'!$C$4:$C$433,0)),"")</f>
        <v/>
      </c>
      <c r="M318" s="220"/>
      <c r="N318" s="220"/>
      <c r="O318" s="220"/>
      <c r="P318" s="220"/>
      <c r="Q318" s="220"/>
      <c r="R318" s="220"/>
      <c r="S318" s="220"/>
      <c r="T318" s="220"/>
      <c r="U318" s="220"/>
      <c r="V318" s="220"/>
      <c r="W318" s="220"/>
    </row>
    <row r="319" ht="15.75" customHeight="1" outlineLevel="1">
      <c r="A319" s="211"/>
      <c r="B319" s="212"/>
      <c r="C319" s="213"/>
      <c r="D319" s="214" t="str">
        <f>IFERROR(VLOOKUP($C319,'PORTIFÓLIO'!C:V,2,0),"")</f>
        <v/>
      </c>
      <c r="E319" s="211" t="str">
        <f>IFERROR(VLOOKUP($C319,'PORTIFÓLIO'!C:V,3,0),"")</f>
        <v/>
      </c>
      <c r="F319" s="211" t="str">
        <f>IFERROR(VLOOKUP($C319,'PORTIFÓLIO'!C:V,4,0),"")</f>
        <v/>
      </c>
      <c r="G319" s="215" t="str">
        <f>IFERROR(VLOOKUP($C319,'PORTIFÓLIO'!C:V,5,0),"")</f>
        <v/>
      </c>
      <c r="H319" s="254" t="str">
        <f t="array" ref="H319">IFERROR(INDEX('PORTIFÓLIO'!$H$4:$H$433,MATCH($C319,'PORTIFÓLIO'!$C$4:$C$433,0)),"")</f>
        <v/>
      </c>
      <c r="I319" s="256"/>
      <c r="J319" s="218">
        <f t="shared" si="35"/>
        <v>0</v>
      </c>
      <c r="K319" s="292" t="str">
        <f t="array" ref="K319">IFERROR(I319*INDEX('PORTIFÓLIO'!$S$4:$S$433,MATCH($C319,'PORTIFÓLIO'!$C$4:$C$433,0)),"")</f>
        <v/>
      </c>
      <c r="L319" s="292" t="str">
        <f t="array" ref="L319">IFERROR(J319*INDEX('PORTIFÓLIO'!$S$4:$S$433,MATCH($C319,'PORTIFÓLIO'!$C$4:$C$433,0)),"")</f>
        <v/>
      </c>
      <c r="M319" s="220"/>
      <c r="N319" s="220"/>
      <c r="O319" s="220"/>
      <c r="P319" s="220"/>
      <c r="Q319" s="220"/>
      <c r="R319" s="220"/>
      <c r="S319" s="220"/>
      <c r="T319" s="220"/>
      <c r="U319" s="220"/>
      <c r="V319" s="220"/>
      <c r="W319" s="220"/>
    </row>
    <row r="320" ht="15.75" customHeight="1" outlineLevel="1">
      <c r="A320" s="211"/>
      <c r="B320" s="212"/>
      <c r="C320" s="213"/>
      <c r="D320" s="214" t="str">
        <f>IFERROR(VLOOKUP($C320,'PORTIFÓLIO'!C:V,2,0),"")</f>
        <v/>
      </c>
      <c r="E320" s="211" t="str">
        <f>IFERROR(VLOOKUP($C320,'PORTIFÓLIO'!C:V,3,0),"")</f>
        <v/>
      </c>
      <c r="F320" s="211" t="str">
        <f>IFERROR(VLOOKUP($C320,'PORTIFÓLIO'!C:V,4,0),"")</f>
        <v/>
      </c>
      <c r="G320" s="215" t="str">
        <f>IFERROR(VLOOKUP($C320,'PORTIFÓLIO'!C:V,5,0),"")</f>
        <v/>
      </c>
      <c r="H320" s="254" t="str">
        <f t="array" ref="H320">IFERROR(INDEX('PORTIFÓLIO'!$H$4:$H$433,MATCH($C320,'PORTIFÓLIO'!$C$4:$C$433,0)),"")</f>
        <v/>
      </c>
      <c r="I320" s="256"/>
      <c r="J320" s="218">
        <f t="shared" si="35"/>
        <v>0</v>
      </c>
      <c r="K320" s="292" t="str">
        <f t="array" ref="K320">IFERROR(I320*INDEX('PORTIFÓLIO'!$S$4:$S$433,MATCH($C320,'PORTIFÓLIO'!$C$4:$C$433,0)),"")</f>
        <v/>
      </c>
      <c r="L320" s="292" t="str">
        <f t="array" ref="L320">IFERROR(J320*INDEX('PORTIFÓLIO'!$S$4:$S$433,MATCH($C320,'PORTIFÓLIO'!$C$4:$C$433,0)),"")</f>
        <v/>
      </c>
      <c r="M320" s="220"/>
      <c r="N320" s="220"/>
      <c r="O320" s="220"/>
      <c r="P320" s="220"/>
      <c r="Q320" s="220"/>
      <c r="R320" s="220"/>
      <c r="S320" s="220"/>
      <c r="T320" s="220"/>
      <c r="U320" s="220"/>
      <c r="V320" s="220"/>
      <c r="W320" s="220"/>
    </row>
    <row r="321" ht="15.75" customHeight="1" outlineLevel="1">
      <c r="A321" s="211"/>
      <c r="B321" s="212"/>
      <c r="C321" s="213"/>
      <c r="D321" s="214" t="str">
        <f>IFERROR(VLOOKUP($C321,'PORTIFÓLIO'!C:V,2,0),"")</f>
        <v/>
      </c>
      <c r="E321" s="211" t="str">
        <f>IFERROR(VLOOKUP($C321,'PORTIFÓLIO'!C:V,3,0),"")</f>
        <v/>
      </c>
      <c r="F321" s="211" t="str">
        <f>IFERROR(VLOOKUP($C321,'PORTIFÓLIO'!C:V,4,0),"")</f>
        <v/>
      </c>
      <c r="G321" s="215" t="str">
        <f>IFERROR(VLOOKUP($C321,'PORTIFÓLIO'!C:V,5,0),"")</f>
        <v/>
      </c>
      <c r="H321" s="254" t="str">
        <f t="array" ref="H321">IFERROR(INDEX('PORTIFÓLIO'!$H$4:$H$433,MATCH($C321,'PORTIFÓLIO'!$C$4:$C$433,0)),"")</f>
        <v/>
      </c>
      <c r="I321" s="256"/>
      <c r="J321" s="218">
        <f t="shared" si="35"/>
        <v>0</v>
      </c>
      <c r="K321" s="292" t="str">
        <f t="array" ref="K321">IFERROR(I321*INDEX('PORTIFÓLIO'!$S$4:$S$433,MATCH($C321,'PORTIFÓLIO'!$C$4:$C$433,0)),"")</f>
        <v/>
      </c>
      <c r="L321" s="292" t="str">
        <f t="array" ref="L321">IFERROR(J321*INDEX('PORTIFÓLIO'!$S$4:$S$433,MATCH($C321,'PORTIFÓLIO'!$C$4:$C$433,0)),"")</f>
        <v/>
      </c>
      <c r="M321" s="220"/>
      <c r="N321" s="220"/>
      <c r="O321" s="220"/>
      <c r="P321" s="220"/>
      <c r="Q321" s="220"/>
      <c r="R321" s="220"/>
      <c r="S321" s="220"/>
      <c r="T321" s="220"/>
      <c r="U321" s="220"/>
      <c r="V321" s="220"/>
      <c r="W321" s="220"/>
    </row>
    <row r="322" ht="15.75" customHeight="1" outlineLevel="1">
      <c r="A322" s="211"/>
      <c r="B322" s="212"/>
      <c r="C322" s="213"/>
      <c r="D322" s="214" t="str">
        <f>IFERROR(VLOOKUP($C322,'PORTIFÓLIO'!C:V,2,0),"")</f>
        <v/>
      </c>
      <c r="E322" s="211" t="str">
        <f>IFERROR(VLOOKUP($C322,'PORTIFÓLIO'!C:V,3,0),"")</f>
        <v/>
      </c>
      <c r="F322" s="211" t="str">
        <f>IFERROR(VLOOKUP($C322,'PORTIFÓLIO'!C:V,4,0),"")</f>
        <v/>
      </c>
      <c r="G322" s="215" t="str">
        <f>IFERROR(VLOOKUP($C322,'PORTIFÓLIO'!C:V,5,0),"")</f>
        <v/>
      </c>
      <c r="H322" s="254" t="str">
        <f t="array" ref="H322">IFERROR(INDEX('PORTIFÓLIO'!$H$4:$H$433,MATCH($C322,'PORTIFÓLIO'!$C$4:$C$433,0)),"")</f>
        <v/>
      </c>
      <c r="I322" s="256"/>
      <c r="J322" s="218">
        <f t="shared" si="35"/>
        <v>0</v>
      </c>
      <c r="K322" s="292" t="str">
        <f t="array" ref="K322">IFERROR(I322*INDEX('PORTIFÓLIO'!$S$4:$S$433,MATCH($C322,'PORTIFÓLIO'!$C$4:$C$433,0)),"")</f>
        <v/>
      </c>
      <c r="L322" s="292" t="str">
        <f t="array" ref="L322">IFERROR(J322*INDEX('PORTIFÓLIO'!$S$4:$S$433,MATCH($C322,'PORTIFÓLIO'!$C$4:$C$433,0)),"")</f>
        <v/>
      </c>
      <c r="M322" s="220"/>
      <c r="N322" s="220"/>
      <c r="O322" s="220"/>
      <c r="P322" s="220"/>
      <c r="Q322" s="220"/>
      <c r="R322" s="220"/>
      <c r="S322" s="220"/>
      <c r="T322" s="220"/>
      <c r="U322" s="220"/>
      <c r="V322" s="220"/>
      <c r="W322" s="220"/>
    </row>
    <row r="323" ht="15.75" customHeight="1" outlineLevel="1">
      <c r="A323" s="211"/>
      <c r="B323" s="212"/>
      <c r="C323" s="213"/>
      <c r="D323" s="214" t="str">
        <f>IFERROR(VLOOKUP($C323,'PORTIFÓLIO'!C:V,2,0),"")</f>
        <v/>
      </c>
      <c r="E323" s="211" t="str">
        <f>IFERROR(VLOOKUP($C323,'PORTIFÓLIO'!C:V,3,0),"")</f>
        <v/>
      </c>
      <c r="F323" s="211" t="str">
        <f>IFERROR(VLOOKUP($C323,'PORTIFÓLIO'!C:V,4,0),"")</f>
        <v/>
      </c>
      <c r="G323" s="215" t="str">
        <f>IFERROR(VLOOKUP($C323,'PORTIFÓLIO'!C:V,5,0),"")</f>
        <v/>
      </c>
      <c r="H323" s="254" t="str">
        <f t="array" ref="H323">IFERROR(INDEX('PORTIFÓLIO'!$H$4:$H$433,MATCH($C323,'PORTIFÓLIO'!$C$4:$C$433,0)),"")</f>
        <v/>
      </c>
      <c r="I323" s="256"/>
      <c r="J323" s="218">
        <f t="shared" si="35"/>
        <v>0</v>
      </c>
      <c r="K323" s="292" t="str">
        <f t="array" ref="K323">IFERROR(I323*INDEX('PORTIFÓLIO'!$S$4:$S$433,MATCH($C323,'PORTIFÓLIO'!$C$4:$C$433,0)),"")</f>
        <v/>
      </c>
      <c r="L323" s="292" t="str">
        <f t="array" ref="L323">IFERROR(J323*INDEX('PORTIFÓLIO'!$S$4:$S$433,MATCH($C323,'PORTIFÓLIO'!$C$4:$C$433,0)),"")</f>
        <v/>
      </c>
      <c r="M323" s="220"/>
      <c r="N323" s="220"/>
      <c r="O323" s="220"/>
      <c r="P323" s="220"/>
      <c r="Q323" s="220"/>
      <c r="R323" s="220"/>
      <c r="S323" s="220"/>
      <c r="T323" s="220"/>
      <c r="U323" s="220"/>
      <c r="V323" s="220"/>
      <c r="W323" s="220"/>
    </row>
    <row r="324" ht="15.75" customHeight="1">
      <c r="A324" s="229" t="s">
        <v>1189</v>
      </c>
      <c r="B324" s="230"/>
      <c r="C324" s="231"/>
      <c r="D324" s="232"/>
      <c r="E324" s="231"/>
      <c r="F324" s="231"/>
      <c r="G324" s="233"/>
      <c r="H324" s="233"/>
      <c r="I324" s="258"/>
      <c r="J324" s="236"/>
      <c r="K324" s="237">
        <f t="shared" ref="K324:L324" si="36">SUBTOTAL(9,K325:K338)</f>
        <v>0</v>
      </c>
      <c r="L324" s="237">
        <f t="shared" si="36"/>
        <v>0</v>
      </c>
      <c r="M324" s="220"/>
      <c r="N324" s="220"/>
      <c r="O324" s="220"/>
      <c r="P324" s="220"/>
      <c r="Q324" s="220"/>
      <c r="R324" s="220"/>
      <c r="S324" s="220"/>
      <c r="T324" s="220"/>
      <c r="U324" s="220"/>
      <c r="V324" s="220"/>
      <c r="W324" s="220"/>
    </row>
    <row r="325" ht="15.75" customHeight="1" outlineLevel="1">
      <c r="A325" s="213"/>
      <c r="B325" s="212"/>
      <c r="C325" s="213"/>
      <c r="D325" s="214" t="str">
        <f>IFERROR(VLOOKUP($C325,'PORTIFÓLIO'!C:V,2,0),"")</f>
        <v/>
      </c>
      <c r="E325" s="211" t="str">
        <f>IFERROR(VLOOKUP($C325,'PORTIFÓLIO'!C:V,3,0),"")</f>
        <v/>
      </c>
      <c r="F325" s="211" t="str">
        <f>IFERROR(VLOOKUP($C325,'PORTIFÓLIO'!C:V,4,0),"")</f>
        <v/>
      </c>
      <c r="G325" s="215" t="str">
        <f>IFERROR(VLOOKUP($C325,'PORTIFÓLIO'!C:V,5,0),"")</f>
        <v/>
      </c>
      <c r="H325" s="254" t="str">
        <f t="array" ref="H325">IFERROR(INDEX('PORTIFÓLIO'!$H$4:$H$433,MATCH($C325,'PORTIFÓLIO'!$C$4:$C$433,0)),"")</f>
        <v/>
      </c>
      <c r="I325" s="255"/>
      <c r="J325" s="218">
        <f t="shared" ref="J325:J339" si="37">I325*$B$2</f>
        <v>0</v>
      </c>
      <c r="K325" s="292" t="str">
        <f t="array" ref="K325">IFERROR(I325*INDEX('PORTIFÓLIO'!$S$4:$S$433,MATCH($C325,'PORTIFÓLIO'!$C$4:$C$433,0)),"")</f>
        <v/>
      </c>
      <c r="L325" s="292" t="str">
        <f t="array" ref="L325">IFERROR(J325*INDEX('PORTIFÓLIO'!$S$4:$S$433,MATCH($C325,'PORTIFÓLIO'!$C$4:$C$433,0)),"")</f>
        <v/>
      </c>
      <c r="M325" s="220"/>
      <c r="N325" s="220"/>
      <c r="O325" s="220"/>
      <c r="P325" s="220"/>
      <c r="Q325" s="220"/>
      <c r="R325" s="220"/>
      <c r="S325" s="220"/>
      <c r="T325" s="220"/>
      <c r="U325" s="220"/>
      <c r="V325" s="220"/>
      <c r="W325" s="220"/>
    </row>
    <row r="326" ht="15.75" customHeight="1" outlineLevel="1">
      <c r="A326" s="211"/>
      <c r="B326" s="212"/>
      <c r="C326" s="213"/>
      <c r="D326" s="214" t="str">
        <f>IFERROR(VLOOKUP($C326,'PORTIFÓLIO'!C:V,2,0),"")</f>
        <v/>
      </c>
      <c r="E326" s="211" t="str">
        <f>IFERROR(VLOOKUP($C326,'PORTIFÓLIO'!C:V,3,0),"")</f>
        <v/>
      </c>
      <c r="F326" s="211" t="str">
        <f>IFERROR(VLOOKUP($C326,'PORTIFÓLIO'!C:V,4,0),"")</f>
        <v/>
      </c>
      <c r="G326" s="215" t="str">
        <f>IFERROR(VLOOKUP($C326,'PORTIFÓLIO'!C:V,5,0),"")</f>
        <v/>
      </c>
      <c r="H326" s="254" t="str">
        <f t="array" ref="H326">IFERROR(INDEX('PORTIFÓLIO'!$H$4:$H$433,MATCH($C326,'PORTIFÓLIO'!$C$4:$C$433,0)),"")</f>
        <v/>
      </c>
      <c r="I326" s="256"/>
      <c r="J326" s="218">
        <f t="shared" si="37"/>
        <v>0</v>
      </c>
      <c r="K326" s="292" t="str">
        <f t="array" ref="K326">IFERROR(I326*INDEX('PORTIFÓLIO'!$S$4:$S$433,MATCH($C326,'PORTIFÓLIO'!$C$4:$C$433,0)),"")</f>
        <v/>
      </c>
      <c r="L326" s="292" t="str">
        <f t="array" ref="L326">IFERROR(J326*INDEX('PORTIFÓLIO'!$S$4:$S$433,MATCH($C326,'PORTIFÓLIO'!$C$4:$C$433,0)),"")</f>
        <v/>
      </c>
      <c r="M326" s="220"/>
      <c r="N326" s="220"/>
      <c r="O326" s="220"/>
      <c r="P326" s="220"/>
      <c r="Q326" s="220"/>
      <c r="R326" s="220"/>
      <c r="S326" s="220"/>
      <c r="T326" s="220"/>
      <c r="U326" s="220"/>
      <c r="V326" s="220"/>
      <c r="W326" s="220"/>
    </row>
    <row r="327" ht="15.75" customHeight="1" outlineLevel="1">
      <c r="A327" s="211"/>
      <c r="B327" s="212"/>
      <c r="C327" s="213"/>
      <c r="D327" s="214" t="str">
        <f>IFERROR(VLOOKUP($C327,'PORTIFÓLIO'!C:V,2,0),"")</f>
        <v/>
      </c>
      <c r="E327" s="211" t="str">
        <f>IFERROR(VLOOKUP($C327,'PORTIFÓLIO'!C:V,3,0),"")</f>
        <v/>
      </c>
      <c r="F327" s="211" t="str">
        <f>IFERROR(VLOOKUP($C327,'PORTIFÓLIO'!C:V,4,0),"")</f>
        <v/>
      </c>
      <c r="G327" s="215" t="str">
        <f>IFERROR(VLOOKUP($C327,'PORTIFÓLIO'!C:V,5,0),"")</f>
        <v/>
      </c>
      <c r="H327" s="254" t="str">
        <f t="array" ref="H327">IFERROR(INDEX('PORTIFÓLIO'!$H$4:$H$433,MATCH($C327,'PORTIFÓLIO'!$C$4:$C$433,0)),"")</f>
        <v/>
      </c>
      <c r="I327" s="256"/>
      <c r="J327" s="218">
        <f t="shared" si="37"/>
        <v>0</v>
      </c>
      <c r="K327" s="292" t="str">
        <f t="array" ref="K327">IFERROR(I327*INDEX('PORTIFÓLIO'!$S$4:$S$433,MATCH($C327,'PORTIFÓLIO'!$C$4:$C$433,0)),"")</f>
        <v/>
      </c>
      <c r="L327" s="292" t="str">
        <f t="array" ref="L327">IFERROR(J327*INDEX('PORTIFÓLIO'!$S$4:$S$433,MATCH($C327,'PORTIFÓLIO'!$C$4:$C$433,0)),"")</f>
        <v/>
      </c>
      <c r="M327" s="220"/>
      <c r="N327" s="220"/>
      <c r="O327" s="220"/>
      <c r="P327" s="220"/>
      <c r="Q327" s="220"/>
      <c r="R327" s="220"/>
      <c r="S327" s="220"/>
      <c r="T327" s="220"/>
      <c r="U327" s="220"/>
      <c r="V327" s="220"/>
      <c r="W327" s="220"/>
    </row>
    <row r="328" ht="15.75" customHeight="1" outlineLevel="1">
      <c r="A328" s="211"/>
      <c r="B328" s="212"/>
      <c r="C328" s="213"/>
      <c r="D328" s="214" t="str">
        <f>IFERROR(VLOOKUP($C328,'PORTIFÓLIO'!C:V,2,0),"")</f>
        <v/>
      </c>
      <c r="E328" s="211" t="str">
        <f>IFERROR(VLOOKUP($C328,'PORTIFÓLIO'!C:V,3,0),"")</f>
        <v/>
      </c>
      <c r="F328" s="211" t="str">
        <f>IFERROR(VLOOKUP($C328,'PORTIFÓLIO'!C:V,4,0),"")</f>
        <v/>
      </c>
      <c r="G328" s="215" t="str">
        <f>IFERROR(VLOOKUP($C328,'PORTIFÓLIO'!C:V,5,0),"")</f>
        <v/>
      </c>
      <c r="H328" s="254" t="str">
        <f t="array" ref="H328">IFERROR(INDEX('PORTIFÓLIO'!$H$4:$H$433,MATCH($C328,'PORTIFÓLIO'!$C$4:$C$433,0)),"")</f>
        <v/>
      </c>
      <c r="I328" s="256"/>
      <c r="J328" s="218">
        <f t="shared" si="37"/>
        <v>0</v>
      </c>
      <c r="K328" s="292" t="str">
        <f t="array" ref="K328">IFERROR(I328*INDEX('PORTIFÓLIO'!$S$4:$S$433,MATCH($C328,'PORTIFÓLIO'!$C$4:$C$433,0)),"")</f>
        <v/>
      </c>
      <c r="L328" s="292" t="str">
        <f t="array" ref="L328">IFERROR(J328*INDEX('PORTIFÓLIO'!$S$4:$S$433,MATCH($C328,'PORTIFÓLIO'!$C$4:$C$433,0)),"")</f>
        <v/>
      </c>
      <c r="M328" s="220"/>
      <c r="N328" s="220"/>
      <c r="O328" s="220"/>
      <c r="P328" s="220"/>
      <c r="Q328" s="220"/>
      <c r="R328" s="220"/>
      <c r="S328" s="220"/>
      <c r="T328" s="220"/>
      <c r="U328" s="220"/>
      <c r="V328" s="220"/>
      <c r="W328" s="220"/>
    </row>
    <row r="329" ht="15.75" customHeight="1" outlineLevel="1">
      <c r="A329" s="211"/>
      <c r="B329" s="212"/>
      <c r="C329" s="213"/>
      <c r="D329" s="214" t="str">
        <f>IFERROR(VLOOKUP($C329,'PORTIFÓLIO'!C:V,2,0),"")</f>
        <v/>
      </c>
      <c r="E329" s="211" t="str">
        <f>IFERROR(VLOOKUP($C329,'PORTIFÓLIO'!C:V,3,0),"")</f>
        <v/>
      </c>
      <c r="F329" s="211" t="str">
        <f>IFERROR(VLOOKUP($C329,'PORTIFÓLIO'!C:V,4,0),"")</f>
        <v/>
      </c>
      <c r="G329" s="215" t="str">
        <f>IFERROR(VLOOKUP($C329,'PORTIFÓLIO'!C:V,5,0),"")</f>
        <v/>
      </c>
      <c r="H329" s="254" t="str">
        <f t="array" ref="H329">IFERROR(INDEX('PORTIFÓLIO'!$H$4:$H$433,MATCH($C329,'PORTIFÓLIO'!$C$4:$C$433,0)),"")</f>
        <v/>
      </c>
      <c r="I329" s="256"/>
      <c r="J329" s="218">
        <f t="shared" si="37"/>
        <v>0</v>
      </c>
      <c r="K329" s="292" t="str">
        <f t="array" ref="K329">IFERROR(I329*INDEX('PORTIFÓLIO'!$S$4:$S$433,MATCH($C329,'PORTIFÓLIO'!$C$4:$C$433,0)),"")</f>
        <v/>
      </c>
      <c r="L329" s="292" t="str">
        <f t="array" ref="L329">IFERROR(J329*INDEX('PORTIFÓLIO'!$S$4:$S$433,MATCH($C329,'PORTIFÓLIO'!$C$4:$C$433,0)),"")</f>
        <v/>
      </c>
      <c r="M329" s="220"/>
      <c r="N329" s="220"/>
      <c r="O329" s="220"/>
      <c r="P329" s="220"/>
      <c r="Q329" s="220"/>
      <c r="R329" s="220"/>
      <c r="S329" s="220"/>
      <c r="T329" s="220"/>
      <c r="U329" s="220"/>
      <c r="V329" s="220"/>
      <c r="W329" s="220"/>
    </row>
    <row r="330" ht="15.75" customHeight="1" outlineLevel="1">
      <c r="A330" s="211"/>
      <c r="B330" s="212"/>
      <c r="C330" s="213"/>
      <c r="D330" s="214" t="str">
        <f>IFERROR(VLOOKUP($C330,'PORTIFÓLIO'!C:V,2,0),"")</f>
        <v/>
      </c>
      <c r="E330" s="211" t="str">
        <f>IFERROR(VLOOKUP($C330,'PORTIFÓLIO'!C:V,3,0),"")</f>
        <v/>
      </c>
      <c r="F330" s="211" t="str">
        <f>IFERROR(VLOOKUP($C330,'PORTIFÓLIO'!C:V,4,0),"")</f>
        <v/>
      </c>
      <c r="G330" s="215" t="str">
        <f>IFERROR(VLOOKUP($C330,'PORTIFÓLIO'!C:V,5,0),"")</f>
        <v/>
      </c>
      <c r="H330" s="254" t="str">
        <f t="array" ref="H330">IFERROR(INDEX('PORTIFÓLIO'!$H$4:$H$433,MATCH($C330,'PORTIFÓLIO'!$C$4:$C$433,0)),"")</f>
        <v/>
      </c>
      <c r="I330" s="256"/>
      <c r="J330" s="218">
        <f t="shared" si="37"/>
        <v>0</v>
      </c>
      <c r="K330" s="292" t="str">
        <f t="array" ref="K330">IFERROR(I330*INDEX('PORTIFÓLIO'!$S$4:$S$433,MATCH($C330,'PORTIFÓLIO'!$C$4:$C$433,0)),"")</f>
        <v/>
      </c>
      <c r="L330" s="292" t="str">
        <f t="array" ref="L330">IFERROR(J330*INDEX('PORTIFÓLIO'!$S$4:$S$433,MATCH($C330,'PORTIFÓLIO'!$C$4:$C$433,0)),"")</f>
        <v/>
      </c>
      <c r="M330" s="220"/>
      <c r="N330" s="220"/>
      <c r="O330" s="220"/>
      <c r="P330" s="220"/>
      <c r="Q330" s="220"/>
      <c r="R330" s="220"/>
      <c r="S330" s="220"/>
      <c r="T330" s="220"/>
      <c r="U330" s="220"/>
      <c r="V330" s="220"/>
      <c r="W330" s="220"/>
    </row>
    <row r="331" ht="15.75" customHeight="1" outlineLevel="1">
      <c r="A331" s="211"/>
      <c r="B331" s="212"/>
      <c r="C331" s="213"/>
      <c r="D331" s="214" t="str">
        <f>IFERROR(VLOOKUP($C331,'PORTIFÓLIO'!C:V,2,0),"")</f>
        <v/>
      </c>
      <c r="E331" s="211" t="str">
        <f>IFERROR(VLOOKUP($C331,'PORTIFÓLIO'!C:V,3,0),"")</f>
        <v/>
      </c>
      <c r="F331" s="211" t="str">
        <f>IFERROR(VLOOKUP($C331,'PORTIFÓLIO'!C:V,4,0),"")</f>
        <v/>
      </c>
      <c r="G331" s="215" t="str">
        <f>IFERROR(VLOOKUP($C331,'PORTIFÓLIO'!C:V,5,0),"")</f>
        <v/>
      </c>
      <c r="H331" s="254" t="str">
        <f t="array" ref="H331">IFERROR(INDEX('PORTIFÓLIO'!$H$4:$H$433,MATCH($C331,'PORTIFÓLIO'!$C$4:$C$433,0)),"")</f>
        <v/>
      </c>
      <c r="I331" s="256"/>
      <c r="J331" s="218">
        <f t="shared" si="37"/>
        <v>0</v>
      </c>
      <c r="K331" s="292" t="str">
        <f t="array" ref="K331">IFERROR(I331*INDEX('PORTIFÓLIO'!$S$4:$S$433,MATCH($C331,'PORTIFÓLIO'!$C$4:$C$433,0)),"")</f>
        <v/>
      </c>
      <c r="L331" s="292" t="str">
        <f t="array" ref="L331">IFERROR(J331*INDEX('PORTIFÓLIO'!$S$4:$S$433,MATCH($C331,'PORTIFÓLIO'!$C$4:$C$433,0)),"")</f>
        <v/>
      </c>
      <c r="M331" s="220"/>
      <c r="N331" s="220"/>
      <c r="O331" s="220"/>
      <c r="P331" s="220"/>
      <c r="Q331" s="220"/>
      <c r="R331" s="220"/>
      <c r="S331" s="220"/>
      <c r="T331" s="220"/>
      <c r="U331" s="220"/>
      <c r="V331" s="220"/>
      <c r="W331" s="220"/>
    </row>
    <row r="332" ht="15.75" customHeight="1" outlineLevel="1">
      <c r="A332" s="211"/>
      <c r="B332" s="212"/>
      <c r="C332" s="213"/>
      <c r="D332" s="214" t="str">
        <f>IFERROR(VLOOKUP($C332,'PORTIFÓLIO'!C:V,2,0),"")</f>
        <v/>
      </c>
      <c r="E332" s="211" t="str">
        <f>IFERROR(VLOOKUP($C332,'PORTIFÓLIO'!C:V,3,0),"")</f>
        <v/>
      </c>
      <c r="F332" s="211" t="str">
        <f>IFERROR(VLOOKUP($C332,'PORTIFÓLIO'!C:V,4,0),"")</f>
        <v/>
      </c>
      <c r="G332" s="215" t="str">
        <f>IFERROR(VLOOKUP($C332,'PORTIFÓLIO'!C:V,5,0),"")</f>
        <v/>
      </c>
      <c r="H332" s="254" t="str">
        <f t="array" ref="H332">IFERROR(INDEX('PORTIFÓLIO'!$H$4:$H$433,MATCH($C332,'PORTIFÓLIO'!$C$4:$C$433,0)),"")</f>
        <v/>
      </c>
      <c r="I332" s="256"/>
      <c r="J332" s="218">
        <f t="shared" si="37"/>
        <v>0</v>
      </c>
      <c r="K332" s="292" t="str">
        <f t="array" ref="K332">IFERROR(I332*INDEX('PORTIFÓLIO'!$S$4:$S$433,MATCH($C332,'PORTIFÓLIO'!$C$4:$C$433,0)),"")</f>
        <v/>
      </c>
      <c r="L332" s="292" t="str">
        <f t="array" ref="L332">IFERROR(J332*INDEX('PORTIFÓLIO'!$S$4:$S$433,MATCH($C332,'PORTIFÓLIO'!$C$4:$C$433,0)),"")</f>
        <v/>
      </c>
      <c r="M332" s="220"/>
      <c r="N332" s="220"/>
      <c r="O332" s="220"/>
      <c r="P332" s="220"/>
      <c r="Q332" s="220"/>
      <c r="R332" s="220"/>
      <c r="S332" s="220"/>
      <c r="T332" s="220"/>
      <c r="U332" s="220"/>
      <c r="V332" s="220"/>
      <c r="W332" s="220"/>
    </row>
    <row r="333" ht="15.75" customHeight="1" outlineLevel="1">
      <c r="A333" s="211"/>
      <c r="B333" s="212"/>
      <c r="C333" s="213"/>
      <c r="D333" s="214" t="str">
        <f>IFERROR(VLOOKUP($C333,'PORTIFÓLIO'!C:V,2,0),"")</f>
        <v/>
      </c>
      <c r="E333" s="211" t="str">
        <f>IFERROR(VLOOKUP($C333,'PORTIFÓLIO'!C:V,3,0),"")</f>
        <v/>
      </c>
      <c r="F333" s="211" t="str">
        <f>IFERROR(VLOOKUP($C333,'PORTIFÓLIO'!C:V,4,0),"")</f>
        <v/>
      </c>
      <c r="G333" s="215" t="str">
        <f>IFERROR(VLOOKUP($C333,'PORTIFÓLIO'!C:V,5,0),"")</f>
        <v/>
      </c>
      <c r="H333" s="254" t="str">
        <f t="array" ref="H333">IFERROR(INDEX('PORTIFÓLIO'!$H$4:$H$433,MATCH($C333,'PORTIFÓLIO'!$C$4:$C$433,0)),"")</f>
        <v/>
      </c>
      <c r="I333" s="255"/>
      <c r="J333" s="218">
        <f t="shared" si="37"/>
        <v>0</v>
      </c>
      <c r="K333" s="292" t="str">
        <f t="array" ref="K333">IFERROR(I333*INDEX('PORTIFÓLIO'!$S$4:$S$433,MATCH($C333,'PORTIFÓLIO'!$C$4:$C$433,0)),"")</f>
        <v/>
      </c>
      <c r="L333" s="292" t="str">
        <f t="array" ref="L333">IFERROR(J333*INDEX('PORTIFÓLIO'!$S$4:$S$433,MATCH($C333,'PORTIFÓLIO'!$C$4:$C$433,0)),"")</f>
        <v/>
      </c>
      <c r="M333" s="220"/>
      <c r="N333" s="220"/>
      <c r="O333" s="220"/>
      <c r="P333" s="220"/>
      <c r="Q333" s="220"/>
      <c r="R333" s="220"/>
      <c r="S333" s="220"/>
      <c r="T333" s="220"/>
      <c r="U333" s="220"/>
      <c r="V333" s="220"/>
      <c r="W333" s="220"/>
    </row>
    <row r="334" ht="15.75" customHeight="1" outlineLevel="1">
      <c r="A334" s="211"/>
      <c r="B334" s="212"/>
      <c r="C334" s="213"/>
      <c r="D334" s="214" t="str">
        <f>IFERROR(VLOOKUP($C334,'PORTIFÓLIO'!C:V,2,0),"")</f>
        <v/>
      </c>
      <c r="E334" s="211" t="str">
        <f>IFERROR(VLOOKUP($C334,'PORTIFÓLIO'!C:V,3,0),"")</f>
        <v/>
      </c>
      <c r="F334" s="211" t="str">
        <f>IFERROR(VLOOKUP($C334,'PORTIFÓLIO'!C:V,4,0),"")</f>
        <v/>
      </c>
      <c r="G334" s="215" t="str">
        <f>IFERROR(VLOOKUP($C334,'PORTIFÓLIO'!C:V,5,0),"")</f>
        <v/>
      </c>
      <c r="H334" s="254" t="str">
        <f t="array" ref="H334">IFERROR(INDEX('PORTIFÓLIO'!$H$4:$H$433,MATCH($C334,'PORTIFÓLIO'!$C$4:$C$433,0)),"")</f>
        <v/>
      </c>
      <c r="I334" s="256"/>
      <c r="J334" s="218">
        <f t="shared" si="37"/>
        <v>0</v>
      </c>
      <c r="K334" s="292" t="str">
        <f t="array" ref="K334">IFERROR(I334*INDEX('PORTIFÓLIO'!$S$4:$S$433,MATCH($C334,'PORTIFÓLIO'!$C$4:$C$433,0)),"")</f>
        <v/>
      </c>
      <c r="L334" s="292" t="str">
        <f t="array" ref="L334">IFERROR(J334*INDEX('PORTIFÓLIO'!$S$4:$S$433,MATCH($C334,'PORTIFÓLIO'!$C$4:$C$433,0)),"")</f>
        <v/>
      </c>
      <c r="M334" s="220"/>
      <c r="N334" s="220"/>
      <c r="O334" s="220"/>
      <c r="P334" s="220"/>
      <c r="Q334" s="220"/>
      <c r="R334" s="220"/>
      <c r="S334" s="220"/>
      <c r="T334" s="220"/>
      <c r="U334" s="220"/>
      <c r="V334" s="220"/>
      <c r="W334" s="220"/>
    </row>
    <row r="335" ht="15.75" customHeight="1" outlineLevel="1">
      <c r="A335" s="211"/>
      <c r="B335" s="212"/>
      <c r="C335" s="213"/>
      <c r="D335" s="214" t="str">
        <f>IFERROR(VLOOKUP($C335,'PORTIFÓLIO'!C:V,2,0),"")</f>
        <v/>
      </c>
      <c r="E335" s="211" t="str">
        <f>IFERROR(VLOOKUP($C335,'PORTIFÓLIO'!C:V,3,0),"")</f>
        <v/>
      </c>
      <c r="F335" s="211" t="str">
        <f>IFERROR(VLOOKUP($C335,'PORTIFÓLIO'!C:V,4,0),"")</f>
        <v/>
      </c>
      <c r="G335" s="215" t="str">
        <f>IFERROR(VLOOKUP($C335,'PORTIFÓLIO'!C:V,5,0),"")</f>
        <v/>
      </c>
      <c r="H335" s="254" t="str">
        <f t="array" ref="H335">IFERROR(INDEX('PORTIFÓLIO'!$H$4:$H$433,MATCH($C335,'PORTIFÓLIO'!$C$4:$C$433,0)),"")</f>
        <v/>
      </c>
      <c r="I335" s="256"/>
      <c r="J335" s="218">
        <f t="shared" si="37"/>
        <v>0</v>
      </c>
      <c r="K335" s="292" t="str">
        <f t="array" ref="K335">IFERROR(I335*INDEX('PORTIFÓLIO'!$S$4:$S$433,MATCH($C335,'PORTIFÓLIO'!$C$4:$C$433,0)),"")</f>
        <v/>
      </c>
      <c r="L335" s="292" t="str">
        <f t="array" ref="L335">IFERROR(J335*INDEX('PORTIFÓLIO'!$S$4:$S$433,MATCH($C335,'PORTIFÓLIO'!$C$4:$C$433,0)),"")</f>
        <v/>
      </c>
      <c r="M335" s="220"/>
      <c r="N335" s="220"/>
      <c r="O335" s="220"/>
      <c r="P335" s="220"/>
      <c r="Q335" s="220"/>
      <c r="R335" s="220"/>
      <c r="S335" s="220"/>
      <c r="T335" s="220"/>
      <c r="U335" s="220"/>
      <c r="V335" s="220"/>
      <c r="W335" s="220"/>
    </row>
    <row r="336" ht="15.75" customHeight="1" outlineLevel="1">
      <c r="A336" s="211"/>
      <c r="B336" s="212"/>
      <c r="C336" s="213"/>
      <c r="D336" s="214" t="str">
        <f>IFERROR(VLOOKUP($C336,'PORTIFÓLIO'!C:V,2,0),"")</f>
        <v/>
      </c>
      <c r="E336" s="211" t="str">
        <f>IFERROR(VLOOKUP($C336,'PORTIFÓLIO'!C:V,3,0),"")</f>
        <v/>
      </c>
      <c r="F336" s="211" t="str">
        <f>IFERROR(VLOOKUP($C336,'PORTIFÓLIO'!C:V,4,0),"")</f>
        <v/>
      </c>
      <c r="G336" s="215" t="str">
        <f>IFERROR(VLOOKUP($C336,'PORTIFÓLIO'!C:V,5,0),"")</f>
        <v/>
      </c>
      <c r="H336" s="254" t="str">
        <f t="array" ref="H336">IFERROR(INDEX('PORTIFÓLIO'!$H$4:$H$433,MATCH($C336,'PORTIFÓLIO'!$C$4:$C$433,0)),"")</f>
        <v/>
      </c>
      <c r="I336" s="256"/>
      <c r="J336" s="218">
        <f t="shared" si="37"/>
        <v>0</v>
      </c>
      <c r="K336" s="292" t="str">
        <f t="array" ref="K336">IFERROR(I336*INDEX('PORTIFÓLIO'!$S$4:$S$433,MATCH($C336,'PORTIFÓLIO'!$C$4:$C$433,0)),"")</f>
        <v/>
      </c>
      <c r="L336" s="292" t="str">
        <f t="array" ref="L336">IFERROR(J336*INDEX('PORTIFÓLIO'!$S$4:$S$433,MATCH($C336,'PORTIFÓLIO'!$C$4:$C$433,0)),"")</f>
        <v/>
      </c>
      <c r="M336" s="220"/>
      <c r="N336" s="220"/>
      <c r="O336" s="220"/>
      <c r="P336" s="220"/>
      <c r="Q336" s="220"/>
      <c r="R336" s="220"/>
      <c r="S336" s="220"/>
      <c r="T336" s="220"/>
      <c r="U336" s="220"/>
      <c r="V336" s="220"/>
      <c r="W336" s="220"/>
    </row>
    <row r="337" ht="15.75" customHeight="1" outlineLevel="1">
      <c r="A337" s="211"/>
      <c r="B337" s="212"/>
      <c r="C337" s="213"/>
      <c r="D337" s="214" t="str">
        <f>IFERROR(VLOOKUP($C337,'PORTIFÓLIO'!C:V,2,0),"")</f>
        <v/>
      </c>
      <c r="E337" s="211" t="str">
        <f>IFERROR(VLOOKUP($C337,'PORTIFÓLIO'!C:V,3,0),"")</f>
        <v/>
      </c>
      <c r="F337" s="211" t="str">
        <f>IFERROR(VLOOKUP($C337,'PORTIFÓLIO'!C:V,4,0),"")</f>
        <v/>
      </c>
      <c r="G337" s="215" t="str">
        <f>IFERROR(VLOOKUP($C337,'PORTIFÓLIO'!C:V,5,0),"")</f>
        <v/>
      </c>
      <c r="H337" s="254" t="str">
        <f t="array" ref="H337">IFERROR(INDEX('PORTIFÓLIO'!$H$4:$H$433,MATCH($C337,'PORTIFÓLIO'!$C$4:$C$433,0)),"")</f>
        <v/>
      </c>
      <c r="I337" s="256"/>
      <c r="J337" s="218">
        <f t="shared" si="37"/>
        <v>0</v>
      </c>
      <c r="K337" s="292" t="str">
        <f t="array" ref="K337">IFERROR(I337*INDEX('PORTIFÓLIO'!$S$4:$S$433,MATCH($C337,'PORTIFÓLIO'!$C$4:$C$433,0)),"")</f>
        <v/>
      </c>
      <c r="L337" s="292" t="str">
        <f t="array" ref="L337">IFERROR(J337*INDEX('PORTIFÓLIO'!$S$4:$S$433,MATCH($C337,'PORTIFÓLIO'!$C$4:$C$433,0)),"")</f>
        <v/>
      </c>
      <c r="M337" s="220"/>
      <c r="N337" s="220"/>
      <c r="O337" s="220"/>
      <c r="P337" s="220"/>
      <c r="Q337" s="220"/>
      <c r="R337" s="220"/>
      <c r="S337" s="220"/>
      <c r="T337" s="220"/>
      <c r="U337" s="220"/>
      <c r="V337" s="220"/>
      <c r="W337" s="220"/>
    </row>
    <row r="338" ht="15.75" customHeight="1" outlineLevel="1">
      <c r="A338" s="211"/>
      <c r="B338" s="212"/>
      <c r="C338" s="213"/>
      <c r="D338" s="214" t="str">
        <f>IFERROR(VLOOKUP($C338,'PORTIFÓLIO'!C:V,2,0),"")</f>
        <v/>
      </c>
      <c r="E338" s="211" t="str">
        <f>IFERROR(VLOOKUP($C338,'PORTIFÓLIO'!C:V,3,0),"")</f>
        <v/>
      </c>
      <c r="F338" s="211" t="str">
        <f>IFERROR(VLOOKUP($C338,'PORTIFÓLIO'!C:V,4,0),"")</f>
        <v/>
      </c>
      <c r="G338" s="215" t="str">
        <f>IFERROR(VLOOKUP($C338,'PORTIFÓLIO'!C:V,5,0),"")</f>
        <v/>
      </c>
      <c r="H338" s="254" t="str">
        <f t="array" ref="H338">IFERROR(INDEX('PORTIFÓLIO'!$H$4:$H$433,MATCH($C338,'PORTIFÓLIO'!$C$4:$C$433,0)),"")</f>
        <v/>
      </c>
      <c r="I338" s="256"/>
      <c r="J338" s="218">
        <f t="shared" si="37"/>
        <v>0</v>
      </c>
      <c r="K338" s="292" t="str">
        <f t="array" ref="K338">IFERROR(I338*INDEX('PORTIFÓLIO'!$S$4:$S$433,MATCH($C338,'PORTIFÓLIO'!$C$4:$C$433,0)),"")</f>
        <v/>
      </c>
      <c r="L338" s="292" t="str">
        <f t="array" ref="L338">IFERROR(J338*INDEX('PORTIFÓLIO'!$S$4:$S$433,MATCH($C338,'PORTIFÓLIO'!$C$4:$C$433,0)),"")</f>
        <v/>
      </c>
      <c r="M338" s="220"/>
      <c r="N338" s="220"/>
      <c r="O338" s="220"/>
      <c r="P338" s="220"/>
      <c r="Q338" s="220"/>
      <c r="R338" s="220"/>
      <c r="S338" s="220"/>
      <c r="T338" s="220"/>
      <c r="U338" s="220"/>
      <c r="V338" s="220"/>
      <c r="W338" s="220"/>
    </row>
    <row r="339" ht="15.75" customHeight="1" outlineLevel="1">
      <c r="A339" s="211"/>
      <c r="B339" s="212"/>
      <c r="C339" s="213"/>
      <c r="D339" s="214" t="str">
        <f>IFERROR(VLOOKUP($C339,'PORTIFÓLIO'!C:V,2,0),"")</f>
        <v/>
      </c>
      <c r="E339" s="211" t="str">
        <f>IFERROR(VLOOKUP($C339,'PORTIFÓLIO'!C:V,3,0),"")</f>
        <v/>
      </c>
      <c r="F339" s="211" t="str">
        <f>IFERROR(VLOOKUP($C339,'PORTIFÓLIO'!C:V,4,0),"")</f>
        <v/>
      </c>
      <c r="G339" s="215" t="str">
        <f>IFERROR(VLOOKUP($C339,'PORTIFÓLIO'!C:V,5,0),"")</f>
        <v/>
      </c>
      <c r="H339" s="254" t="str">
        <f t="array" ref="H339">IFERROR(INDEX('PORTIFÓLIO'!$H$4:$H$433,MATCH($C339,'PORTIFÓLIO'!$C$4:$C$433,0)),"")</f>
        <v/>
      </c>
      <c r="I339" s="256"/>
      <c r="J339" s="218">
        <f t="shared" si="37"/>
        <v>0</v>
      </c>
      <c r="K339" s="292" t="str">
        <f t="array" ref="K339">IFERROR(I339*INDEX('PORTIFÓLIO'!$S$4:$S$433,MATCH($C339,'PORTIFÓLIO'!$C$4:$C$433,0)),"")</f>
        <v/>
      </c>
      <c r="L339" s="292" t="str">
        <f t="array" ref="L339">IFERROR(J339*INDEX('PORTIFÓLIO'!$S$4:$S$433,MATCH($C339,'PORTIFÓLIO'!$C$4:$C$433,0)),"")</f>
        <v/>
      </c>
      <c r="M339" s="220"/>
      <c r="N339" s="220"/>
      <c r="O339" s="220"/>
      <c r="P339" s="220"/>
      <c r="Q339" s="220"/>
      <c r="R339" s="220"/>
      <c r="S339" s="220"/>
      <c r="T339" s="220"/>
      <c r="U339" s="220"/>
      <c r="V339" s="220"/>
      <c r="W339" s="220"/>
    </row>
    <row r="340" ht="15.75" customHeight="1" outlineLevel="1">
      <c r="A340" s="211"/>
      <c r="B340" s="227"/>
      <c r="C340" s="211"/>
      <c r="D340" s="214" t="str">
        <f>IFERROR(VLOOKUP($C340,'PORTIFÓLIO'!C:V,2,0),"")</f>
        <v/>
      </c>
      <c r="E340" s="211" t="str">
        <f>IFERROR(VLOOKUP($C340,'PORTIFÓLIO'!C:V,3,0),"")</f>
        <v/>
      </c>
      <c r="F340" s="211" t="str">
        <f>IFERROR(VLOOKUP($C340,'PORTIFÓLIO'!C:V,4,0),"")</f>
        <v/>
      </c>
      <c r="G340" s="215" t="str">
        <f>IFERROR(VLOOKUP($C340,'PORTIFÓLIO'!C:V,5,0),"")</f>
        <v/>
      </c>
      <c r="H340" s="254" t="str">
        <f t="array" ref="H340">IFERROR(INDEX('PORTIFÓLIO'!$H$4:$H$433,MATCH($C340,'PORTIFÓLIO'!$C$4:$C$433,0)),"")</f>
        <v/>
      </c>
      <c r="I340" s="256"/>
      <c r="J340" s="218"/>
      <c r="K340" s="292" t="str">
        <f t="array" ref="K340">IFERROR(I340*INDEX('PORTIFÓLIO'!$S$4:$S$433,MATCH($C340,'PORTIFÓLIO'!$C$4:$C$433,0)),"")</f>
        <v/>
      </c>
      <c r="L340" s="292" t="str">
        <f t="array" ref="L340">IFERROR(J340*INDEX('PORTIFÓLIO'!$S$4:$S$433,MATCH($C340,'PORTIFÓLIO'!$C$4:$C$433,0)),"")</f>
        <v/>
      </c>
      <c r="M340" s="220"/>
      <c r="N340" s="220"/>
      <c r="O340" s="220"/>
      <c r="P340" s="220"/>
      <c r="Q340" s="220"/>
      <c r="R340" s="220"/>
      <c r="S340" s="220"/>
      <c r="T340" s="220"/>
      <c r="U340" s="220"/>
      <c r="V340" s="220"/>
      <c r="W340" s="220"/>
    </row>
    <row r="341" ht="15.75" customHeight="1">
      <c r="A341" s="229" t="s">
        <v>1190</v>
      </c>
      <c r="B341" s="230"/>
      <c r="C341" s="231"/>
      <c r="D341" s="232"/>
      <c r="E341" s="231"/>
      <c r="F341" s="231"/>
      <c r="G341" s="233"/>
      <c r="H341" s="233"/>
      <c r="I341" s="258"/>
      <c r="J341" s="236"/>
      <c r="K341" s="237">
        <f t="shared" ref="K341:L341" si="38">SUBTOTAL(9,K342:K355)</f>
        <v>0</v>
      </c>
      <c r="L341" s="237">
        <f t="shared" si="38"/>
        <v>0</v>
      </c>
      <c r="M341" s="220"/>
      <c r="N341" s="220"/>
      <c r="O341" s="220"/>
      <c r="P341" s="220"/>
      <c r="Q341" s="220"/>
      <c r="R341" s="220"/>
      <c r="S341" s="220"/>
      <c r="T341" s="220"/>
      <c r="U341" s="220"/>
      <c r="V341" s="220"/>
      <c r="W341" s="220"/>
    </row>
    <row r="342" ht="15.75" customHeight="1" outlineLevel="1">
      <c r="A342" s="213"/>
      <c r="B342" s="212"/>
      <c r="C342" s="213"/>
      <c r="D342" s="214" t="str">
        <f>IFERROR(VLOOKUP($C342,'PORTIFÓLIO'!C:V,2,0),"")</f>
        <v/>
      </c>
      <c r="E342" s="211" t="str">
        <f>IFERROR(VLOOKUP($C342,'PORTIFÓLIO'!C:V,3,0),"")</f>
        <v/>
      </c>
      <c r="F342" s="211" t="str">
        <f>IFERROR(VLOOKUP($C342,'PORTIFÓLIO'!C:V,4,0),"")</f>
        <v/>
      </c>
      <c r="G342" s="215" t="str">
        <f>IFERROR(VLOOKUP($C342,'PORTIFÓLIO'!C:V,5,0),"")</f>
        <v/>
      </c>
      <c r="H342" s="254" t="str">
        <f t="array" ref="H342">IFERROR(INDEX('PORTIFÓLIO'!$H$4:$H$433,MATCH($C342,'PORTIFÓLIO'!$C$4:$C$433,0)),"")</f>
        <v/>
      </c>
      <c r="I342" s="255"/>
      <c r="J342" s="218">
        <f t="shared" ref="J342:J356" si="39">I342*$B$2</f>
        <v>0</v>
      </c>
      <c r="K342" s="292" t="str">
        <f t="array" ref="K342">IFERROR(I342*INDEX('PORTIFÓLIO'!$S$4:$S$433,MATCH($C342,'PORTIFÓLIO'!$C$4:$C$433,0)),"")</f>
        <v/>
      </c>
      <c r="L342" s="292" t="str">
        <f t="array" ref="L342">IFERROR(J342*INDEX('PORTIFÓLIO'!$S$4:$S$433,MATCH($C342,'PORTIFÓLIO'!$C$4:$C$433,0)),"")</f>
        <v/>
      </c>
      <c r="M342" s="220"/>
      <c r="N342" s="220"/>
      <c r="O342" s="220"/>
      <c r="P342" s="220"/>
      <c r="Q342" s="220"/>
      <c r="R342" s="220"/>
      <c r="S342" s="220"/>
      <c r="T342" s="220"/>
      <c r="U342" s="220"/>
      <c r="V342" s="220"/>
      <c r="W342" s="220"/>
    </row>
    <row r="343" ht="15.75" customHeight="1" outlineLevel="1">
      <c r="A343" s="211"/>
      <c r="B343" s="212"/>
      <c r="C343" s="213"/>
      <c r="D343" s="214" t="str">
        <f>IFERROR(VLOOKUP($C343,'PORTIFÓLIO'!C:V,2,0),"")</f>
        <v/>
      </c>
      <c r="E343" s="211" t="str">
        <f>IFERROR(VLOOKUP($C343,'PORTIFÓLIO'!C:V,3,0),"")</f>
        <v/>
      </c>
      <c r="F343" s="211" t="str">
        <f>IFERROR(VLOOKUP($C343,'PORTIFÓLIO'!C:V,4,0),"")</f>
        <v/>
      </c>
      <c r="G343" s="215" t="str">
        <f>IFERROR(VLOOKUP($C343,'PORTIFÓLIO'!C:V,5,0),"")</f>
        <v/>
      </c>
      <c r="H343" s="254" t="str">
        <f t="array" ref="H343">IFERROR(INDEX('PORTIFÓLIO'!$H$4:$H$433,MATCH($C343,'PORTIFÓLIO'!$C$4:$C$433,0)),"")</f>
        <v/>
      </c>
      <c r="I343" s="256"/>
      <c r="J343" s="218">
        <f t="shared" si="39"/>
        <v>0</v>
      </c>
      <c r="K343" s="292" t="str">
        <f t="array" ref="K343">IFERROR(I343*INDEX('PORTIFÓLIO'!$S$4:$S$433,MATCH($C343,'PORTIFÓLIO'!$C$4:$C$433,0)),"")</f>
        <v/>
      </c>
      <c r="L343" s="292" t="str">
        <f t="array" ref="L343">IFERROR(J343*INDEX('PORTIFÓLIO'!$S$4:$S$433,MATCH($C343,'PORTIFÓLIO'!$C$4:$C$433,0)),"")</f>
        <v/>
      </c>
      <c r="M343" s="220"/>
      <c r="N343" s="220"/>
      <c r="O343" s="220"/>
      <c r="P343" s="220"/>
      <c r="Q343" s="220"/>
      <c r="R343" s="220"/>
      <c r="S343" s="220"/>
      <c r="T343" s="220"/>
      <c r="U343" s="220"/>
      <c r="V343" s="220"/>
      <c r="W343" s="220"/>
    </row>
    <row r="344" ht="15.75" customHeight="1" outlineLevel="1">
      <c r="A344" s="211"/>
      <c r="B344" s="212"/>
      <c r="C344" s="213"/>
      <c r="D344" s="214" t="str">
        <f>IFERROR(VLOOKUP($C344,'PORTIFÓLIO'!C:V,2,0),"")</f>
        <v/>
      </c>
      <c r="E344" s="211" t="str">
        <f>IFERROR(VLOOKUP($C344,'PORTIFÓLIO'!C:V,3,0),"")</f>
        <v/>
      </c>
      <c r="F344" s="211" t="str">
        <f>IFERROR(VLOOKUP($C344,'PORTIFÓLIO'!C:V,4,0),"")</f>
        <v/>
      </c>
      <c r="G344" s="215" t="str">
        <f>IFERROR(VLOOKUP($C344,'PORTIFÓLIO'!C:V,5,0),"")</f>
        <v/>
      </c>
      <c r="H344" s="254" t="str">
        <f t="array" ref="H344">IFERROR(INDEX('PORTIFÓLIO'!$H$4:$H$433,MATCH($C344,'PORTIFÓLIO'!$C$4:$C$433,0)),"")</f>
        <v/>
      </c>
      <c r="I344" s="256"/>
      <c r="J344" s="218">
        <f t="shared" si="39"/>
        <v>0</v>
      </c>
      <c r="K344" s="292" t="str">
        <f t="array" ref="K344">IFERROR(I344*INDEX('PORTIFÓLIO'!$S$4:$S$433,MATCH($C344,'PORTIFÓLIO'!$C$4:$C$433,0)),"")</f>
        <v/>
      </c>
      <c r="L344" s="292" t="str">
        <f t="array" ref="L344">IFERROR(J344*INDEX('PORTIFÓLIO'!$S$4:$S$433,MATCH($C344,'PORTIFÓLIO'!$C$4:$C$433,0)),"")</f>
        <v/>
      </c>
      <c r="M344" s="220"/>
      <c r="N344" s="220"/>
      <c r="O344" s="220"/>
      <c r="P344" s="220"/>
      <c r="Q344" s="220"/>
      <c r="R344" s="220"/>
      <c r="S344" s="220"/>
      <c r="T344" s="220"/>
      <c r="U344" s="220"/>
      <c r="V344" s="220"/>
      <c r="W344" s="220"/>
    </row>
    <row r="345" ht="15.75" customHeight="1" outlineLevel="1">
      <c r="A345" s="211"/>
      <c r="B345" s="212"/>
      <c r="C345" s="213"/>
      <c r="D345" s="214" t="str">
        <f>IFERROR(VLOOKUP($C345,'PORTIFÓLIO'!C:V,2,0),"")</f>
        <v/>
      </c>
      <c r="E345" s="211" t="str">
        <f>IFERROR(VLOOKUP($C345,'PORTIFÓLIO'!C:V,3,0),"")</f>
        <v/>
      </c>
      <c r="F345" s="211" t="str">
        <f>IFERROR(VLOOKUP($C345,'PORTIFÓLIO'!C:V,4,0),"")</f>
        <v/>
      </c>
      <c r="G345" s="215" t="str">
        <f>IFERROR(VLOOKUP($C345,'PORTIFÓLIO'!C:V,5,0),"")</f>
        <v/>
      </c>
      <c r="H345" s="254" t="str">
        <f t="array" ref="H345">IFERROR(INDEX('PORTIFÓLIO'!$H$4:$H$433,MATCH($C345,'PORTIFÓLIO'!$C$4:$C$433,0)),"")</f>
        <v/>
      </c>
      <c r="I345" s="256"/>
      <c r="J345" s="218">
        <f t="shared" si="39"/>
        <v>0</v>
      </c>
      <c r="K345" s="292" t="str">
        <f t="array" ref="K345">IFERROR(I345*INDEX('PORTIFÓLIO'!$S$4:$S$433,MATCH($C345,'PORTIFÓLIO'!$C$4:$C$433,0)),"")</f>
        <v/>
      </c>
      <c r="L345" s="292" t="str">
        <f t="array" ref="L345">IFERROR(J345*INDEX('PORTIFÓLIO'!$S$4:$S$433,MATCH($C345,'PORTIFÓLIO'!$C$4:$C$433,0)),"")</f>
        <v/>
      </c>
      <c r="M345" s="220"/>
      <c r="N345" s="220"/>
      <c r="O345" s="220"/>
      <c r="P345" s="220"/>
      <c r="Q345" s="220"/>
      <c r="R345" s="220"/>
      <c r="S345" s="220"/>
      <c r="T345" s="220"/>
      <c r="U345" s="220"/>
      <c r="V345" s="220"/>
      <c r="W345" s="220"/>
    </row>
    <row r="346" ht="15.75" customHeight="1" outlineLevel="1">
      <c r="A346" s="211"/>
      <c r="B346" s="212"/>
      <c r="C346" s="213"/>
      <c r="D346" s="214" t="str">
        <f>IFERROR(VLOOKUP($C346,'PORTIFÓLIO'!C:V,2,0),"")</f>
        <v/>
      </c>
      <c r="E346" s="211" t="str">
        <f>IFERROR(VLOOKUP($C346,'PORTIFÓLIO'!C:V,3,0),"")</f>
        <v/>
      </c>
      <c r="F346" s="211" t="str">
        <f>IFERROR(VLOOKUP($C346,'PORTIFÓLIO'!C:V,4,0),"")</f>
        <v/>
      </c>
      <c r="G346" s="215" t="str">
        <f>IFERROR(VLOOKUP($C346,'PORTIFÓLIO'!C:V,5,0),"")</f>
        <v/>
      </c>
      <c r="H346" s="254" t="str">
        <f t="array" ref="H346">IFERROR(INDEX('PORTIFÓLIO'!$H$4:$H$433,MATCH($C346,'PORTIFÓLIO'!$C$4:$C$433,0)),"")</f>
        <v/>
      </c>
      <c r="I346" s="256"/>
      <c r="J346" s="218">
        <f t="shared" si="39"/>
        <v>0</v>
      </c>
      <c r="K346" s="292" t="str">
        <f t="array" ref="K346">IFERROR(I346*INDEX('PORTIFÓLIO'!$S$4:$S$433,MATCH($C346,'PORTIFÓLIO'!$C$4:$C$433,0)),"")</f>
        <v/>
      </c>
      <c r="L346" s="292" t="str">
        <f t="array" ref="L346">IFERROR(J346*INDEX('PORTIFÓLIO'!$S$4:$S$433,MATCH($C346,'PORTIFÓLIO'!$C$4:$C$433,0)),"")</f>
        <v/>
      </c>
      <c r="M346" s="220"/>
      <c r="N346" s="220"/>
      <c r="O346" s="220"/>
      <c r="P346" s="220"/>
      <c r="Q346" s="220"/>
      <c r="R346" s="220"/>
      <c r="S346" s="220"/>
      <c r="T346" s="220"/>
      <c r="U346" s="220"/>
      <c r="V346" s="220"/>
      <c r="W346" s="220"/>
    </row>
    <row r="347" ht="15.75" customHeight="1" outlineLevel="1">
      <c r="A347" s="211"/>
      <c r="B347" s="212"/>
      <c r="C347" s="213"/>
      <c r="D347" s="214" t="str">
        <f>IFERROR(VLOOKUP($C347,'PORTIFÓLIO'!C:V,2,0),"")</f>
        <v/>
      </c>
      <c r="E347" s="211" t="str">
        <f>IFERROR(VLOOKUP($C347,'PORTIFÓLIO'!C:V,3,0),"")</f>
        <v/>
      </c>
      <c r="F347" s="211" t="str">
        <f>IFERROR(VLOOKUP($C347,'PORTIFÓLIO'!C:V,4,0),"")</f>
        <v/>
      </c>
      <c r="G347" s="215" t="str">
        <f>IFERROR(VLOOKUP($C347,'PORTIFÓLIO'!C:V,5,0),"")</f>
        <v/>
      </c>
      <c r="H347" s="254" t="str">
        <f t="array" ref="H347">IFERROR(INDEX('PORTIFÓLIO'!$H$4:$H$433,MATCH($C347,'PORTIFÓLIO'!$C$4:$C$433,0)),"")</f>
        <v/>
      </c>
      <c r="I347" s="256"/>
      <c r="J347" s="218">
        <f t="shared" si="39"/>
        <v>0</v>
      </c>
      <c r="K347" s="292" t="str">
        <f t="array" ref="K347">IFERROR(I347*INDEX('PORTIFÓLIO'!$S$4:$S$433,MATCH($C347,'PORTIFÓLIO'!$C$4:$C$433,0)),"")</f>
        <v/>
      </c>
      <c r="L347" s="292" t="str">
        <f t="array" ref="L347">IFERROR(J347*INDEX('PORTIFÓLIO'!$S$4:$S$433,MATCH($C347,'PORTIFÓLIO'!$C$4:$C$433,0)),"")</f>
        <v/>
      </c>
      <c r="M347" s="220"/>
      <c r="N347" s="220"/>
      <c r="O347" s="220"/>
      <c r="P347" s="220"/>
      <c r="Q347" s="220"/>
      <c r="R347" s="220"/>
      <c r="S347" s="220"/>
      <c r="T347" s="220"/>
      <c r="U347" s="220"/>
      <c r="V347" s="220"/>
      <c r="W347" s="220"/>
    </row>
    <row r="348" ht="15.75" customHeight="1" outlineLevel="1">
      <c r="A348" s="211"/>
      <c r="B348" s="212"/>
      <c r="C348" s="213"/>
      <c r="D348" s="214" t="str">
        <f>IFERROR(VLOOKUP($C348,'PORTIFÓLIO'!C:V,2,0),"")</f>
        <v/>
      </c>
      <c r="E348" s="211" t="str">
        <f>IFERROR(VLOOKUP($C348,'PORTIFÓLIO'!C:V,3,0),"")</f>
        <v/>
      </c>
      <c r="F348" s="211" t="str">
        <f>IFERROR(VLOOKUP($C348,'PORTIFÓLIO'!C:V,4,0),"")</f>
        <v/>
      </c>
      <c r="G348" s="215" t="str">
        <f>IFERROR(VLOOKUP($C348,'PORTIFÓLIO'!C:V,5,0),"")</f>
        <v/>
      </c>
      <c r="H348" s="254" t="str">
        <f t="array" ref="H348">IFERROR(INDEX('PORTIFÓLIO'!$H$4:$H$433,MATCH($C348,'PORTIFÓLIO'!$C$4:$C$433,0)),"")</f>
        <v/>
      </c>
      <c r="I348" s="256"/>
      <c r="J348" s="218">
        <f t="shared" si="39"/>
        <v>0</v>
      </c>
      <c r="K348" s="292" t="str">
        <f t="array" ref="K348">IFERROR(I348*INDEX('PORTIFÓLIO'!$S$4:$S$433,MATCH($C348,'PORTIFÓLIO'!$C$4:$C$433,0)),"")</f>
        <v/>
      </c>
      <c r="L348" s="292" t="str">
        <f t="array" ref="L348">IFERROR(J348*INDEX('PORTIFÓLIO'!$S$4:$S$433,MATCH($C348,'PORTIFÓLIO'!$C$4:$C$433,0)),"")</f>
        <v/>
      </c>
      <c r="M348" s="220"/>
      <c r="N348" s="220"/>
      <c r="O348" s="220"/>
      <c r="P348" s="220"/>
      <c r="Q348" s="220"/>
      <c r="R348" s="220"/>
      <c r="S348" s="220"/>
      <c r="T348" s="220"/>
      <c r="U348" s="220"/>
      <c r="V348" s="220"/>
      <c r="W348" s="220"/>
    </row>
    <row r="349" ht="15.75" customHeight="1" outlineLevel="1">
      <c r="A349" s="211"/>
      <c r="B349" s="212"/>
      <c r="C349" s="213"/>
      <c r="D349" s="214" t="str">
        <f>IFERROR(VLOOKUP($C349,'PORTIFÓLIO'!C:V,2,0),"")</f>
        <v/>
      </c>
      <c r="E349" s="211" t="str">
        <f>IFERROR(VLOOKUP($C349,'PORTIFÓLIO'!C:V,3,0),"")</f>
        <v/>
      </c>
      <c r="F349" s="211" t="str">
        <f>IFERROR(VLOOKUP($C349,'PORTIFÓLIO'!C:V,4,0),"")</f>
        <v/>
      </c>
      <c r="G349" s="215" t="str">
        <f>IFERROR(VLOOKUP($C349,'PORTIFÓLIO'!C:V,5,0),"")</f>
        <v/>
      </c>
      <c r="H349" s="254" t="str">
        <f t="array" ref="H349">IFERROR(INDEX('PORTIFÓLIO'!$H$4:$H$433,MATCH($C349,'PORTIFÓLIO'!$C$4:$C$433,0)),"")</f>
        <v/>
      </c>
      <c r="I349" s="256"/>
      <c r="J349" s="218">
        <f t="shared" si="39"/>
        <v>0</v>
      </c>
      <c r="K349" s="292" t="str">
        <f t="array" ref="K349">IFERROR(I349*INDEX('PORTIFÓLIO'!$S$4:$S$433,MATCH($C349,'PORTIFÓLIO'!$C$4:$C$433,0)),"")</f>
        <v/>
      </c>
      <c r="L349" s="292" t="str">
        <f t="array" ref="L349">IFERROR(J349*INDEX('PORTIFÓLIO'!$S$4:$S$433,MATCH($C349,'PORTIFÓLIO'!$C$4:$C$433,0)),"")</f>
        <v/>
      </c>
      <c r="M349" s="220"/>
      <c r="N349" s="220"/>
      <c r="O349" s="220"/>
      <c r="P349" s="220"/>
      <c r="Q349" s="220"/>
      <c r="R349" s="220"/>
      <c r="S349" s="220"/>
      <c r="T349" s="220"/>
      <c r="U349" s="220"/>
      <c r="V349" s="220"/>
      <c r="W349" s="220"/>
    </row>
    <row r="350" ht="15.75" customHeight="1" outlineLevel="1">
      <c r="A350" s="211"/>
      <c r="B350" s="212"/>
      <c r="C350" s="213"/>
      <c r="D350" s="214" t="str">
        <f>IFERROR(VLOOKUP($C350,'PORTIFÓLIO'!C:V,2,0),"")</f>
        <v/>
      </c>
      <c r="E350" s="211" t="str">
        <f>IFERROR(VLOOKUP($C350,'PORTIFÓLIO'!C:V,3,0),"")</f>
        <v/>
      </c>
      <c r="F350" s="211" t="str">
        <f>IFERROR(VLOOKUP($C350,'PORTIFÓLIO'!C:V,4,0),"")</f>
        <v/>
      </c>
      <c r="G350" s="215" t="str">
        <f>IFERROR(VLOOKUP($C350,'PORTIFÓLIO'!C:V,5,0),"")</f>
        <v/>
      </c>
      <c r="H350" s="254" t="str">
        <f t="array" ref="H350">IFERROR(INDEX('PORTIFÓLIO'!$H$4:$H$433,MATCH($C350,'PORTIFÓLIO'!$C$4:$C$433,0)),"")</f>
        <v/>
      </c>
      <c r="I350" s="255"/>
      <c r="J350" s="218">
        <f t="shared" si="39"/>
        <v>0</v>
      </c>
      <c r="K350" s="292" t="str">
        <f t="array" ref="K350">IFERROR(I350*INDEX('PORTIFÓLIO'!$S$4:$S$433,MATCH($C350,'PORTIFÓLIO'!$C$4:$C$433,0)),"")</f>
        <v/>
      </c>
      <c r="L350" s="292" t="str">
        <f t="array" ref="L350">IFERROR(J350*INDEX('PORTIFÓLIO'!$S$4:$S$433,MATCH($C350,'PORTIFÓLIO'!$C$4:$C$433,0)),"")</f>
        <v/>
      </c>
      <c r="M350" s="220"/>
      <c r="N350" s="220"/>
      <c r="O350" s="220"/>
      <c r="P350" s="220"/>
      <c r="Q350" s="220"/>
      <c r="R350" s="220"/>
      <c r="S350" s="220"/>
      <c r="T350" s="220"/>
      <c r="U350" s="220"/>
      <c r="V350" s="220"/>
      <c r="W350" s="220"/>
    </row>
    <row r="351" ht="15.75" customHeight="1" outlineLevel="1">
      <c r="A351" s="211"/>
      <c r="B351" s="212"/>
      <c r="C351" s="213"/>
      <c r="D351" s="214" t="str">
        <f>IFERROR(VLOOKUP($C351,'PORTIFÓLIO'!C:V,2,0),"")</f>
        <v/>
      </c>
      <c r="E351" s="211" t="str">
        <f>IFERROR(VLOOKUP($C351,'PORTIFÓLIO'!C:V,3,0),"")</f>
        <v/>
      </c>
      <c r="F351" s="211" t="str">
        <f>IFERROR(VLOOKUP($C351,'PORTIFÓLIO'!C:V,4,0),"")</f>
        <v/>
      </c>
      <c r="G351" s="215" t="str">
        <f>IFERROR(VLOOKUP($C351,'PORTIFÓLIO'!C:V,5,0),"")</f>
        <v/>
      </c>
      <c r="H351" s="254" t="str">
        <f t="array" ref="H351">IFERROR(INDEX('PORTIFÓLIO'!$H$4:$H$433,MATCH($C351,'PORTIFÓLIO'!$C$4:$C$433,0)),"")</f>
        <v/>
      </c>
      <c r="I351" s="256"/>
      <c r="J351" s="218">
        <f t="shared" si="39"/>
        <v>0</v>
      </c>
      <c r="K351" s="292" t="str">
        <f t="array" ref="K351">IFERROR(I351*INDEX('PORTIFÓLIO'!$S$4:$S$433,MATCH($C351,'PORTIFÓLIO'!$C$4:$C$433,0)),"")</f>
        <v/>
      </c>
      <c r="L351" s="292" t="str">
        <f t="array" ref="L351">IFERROR(J351*INDEX('PORTIFÓLIO'!$S$4:$S$433,MATCH($C351,'PORTIFÓLIO'!$C$4:$C$433,0)),"")</f>
        <v/>
      </c>
      <c r="M351" s="220"/>
      <c r="N351" s="220"/>
      <c r="O351" s="220"/>
      <c r="P351" s="220"/>
      <c r="Q351" s="220"/>
      <c r="R351" s="220"/>
      <c r="S351" s="220"/>
      <c r="T351" s="220"/>
      <c r="U351" s="220"/>
      <c r="V351" s="220"/>
      <c r="W351" s="220"/>
    </row>
    <row r="352" ht="15.75" customHeight="1" outlineLevel="1">
      <c r="A352" s="211"/>
      <c r="B352" s="212"/>
      <c r="C352" s="213"/>
      <c r="D352" s="214" t="str">
        <f>IFERROR(VLOOKUP($C352,'PORTIFÓLIO'!C:V,2,0),"")</f>
        <v/>
      </c>
      <c r="E352" s="211" t="str">
        <f>IFERROR(VLOOKUP($C352,'PORTIFÓLIO'!C:V,3,0),"")</f>
        <v/>
      </c>
      <c r="F352" s="211" t="str">
        <f>IFERROR(VLOOKUP($C352,'PORTIFÓLIO'!C:V,4,0),"")</f>
        <v/>
      </c>
      <c r="G352" s="215" t="str">
        <f>IFERROR(VLOOKUP($C352,'PORTIFÓLIO'!C:V,5,0),"")</f>
        <v/>
      </c>
      <c r="H352" s="254" t="str">
        <f t="array" ref="H352">IFERROR(INDEX('PORTIFÓLIO'!$H$4:$H$433,MATCH($C352,'PORTIFÓLIO'!$C$4:$C$433,0)),"")</f>
        <v/>
      </c>
      <c r="I352" s="256"/>
      <c r="J352" s="218">
        <f t="shared" si="39"/>
        <v>0</v>
      </c>
      <c r="K352" s="292" t="str">
        <f t="array" ref="K352">IFERROR(I352*INDEX('PORTIFÓLIO'!$S$4:$S$433,MATCH($C352,'PORTIFÓLIO'!$C$4:$C$433,0)),"")</f>
        <v/>
      </c>
      <c r="L352" s="292" t="str">
        <f t="array" ref="L352">IFERROR(J352*INDEX('PORTIFÓLIO'!$S$4:$S$433,MATCH($C352,'PORTIFÓLIO'!$C$4:$C$433,0)),"")</f>
        <v/>
      </c>
      <c r="M352" s="220"/>
      <c r="N352" s="220"/>
      <c r="O352" s="220"/>
      <c r="P352" s="220"/>
      <c r="Q352" s="220"/>
      <c r="R352" s="220"/>
      <c r="S352" s="220"/>
      <c r="T352" s="220"/>
      <c r="U352" s="220"/>
      <c r="V352" s="220"/>
      <c r="W352" s="220"/>
    </row>
    <row r="353" ht="15.75" customHeight="1" outlineLevel="1">
      <c r="A353" s="211"/>
      <c r="B353" s="212"/>
      <c r="C353" s="213"/>
      <c r="D353" s="214" t="str">
        <f>IFERROR(VLOOKUP($C353,'PORTIFÓLIO'!C:V,2,0),"")</f>
        <v/>
      </c>
      <c r="E353" s="211" t="str">
        <f>IFERROR(VLOOKUP($C353,'PORTIFÓLIO'!C:V,3,0),"")</f>
        <v/>
      </c>
      <c r="F353" s="211" t="str">
        <f>IFERROR(VLOOKUP($C353,'PORTIFÓLIO'!C:V,4,0),"")</f>
        <v/>
      </c>
      <c r="G353" s="215" t="str">
        <f>IFERROR(VLOOKUP($C353,'PORTIFÓLIO'!C:V,5,0),"")</f>
        <v/>
      </c>
      <c r="H353" s="254" t="str">
        <f t="array" ref="H353">IFERROR(INDEX('PORTIFÓLIO'!$H$4:$H$433,MATCH($C353,'PORTIFÓLIO'!$C$4:$C$433,0)),"")</f>
        <v/>
      </c>
      <c r="I353" s="256"/>
      <c r="J353" s="218">
        <f t="shared" si="39"/>
        <v>0</v>
      </c>
      <c r="K353" s="292" t="str">
        <f t="array" ref="K353">IFERROR(I353*INDEX('PORTIFÓLIO'!$S$4:$S$433,MATCH($C353,'PORTIFÓLIO'!$C$4:$C$433,0)),"")</f>
        <v/>
      </c>
      <c r="L353" s="292" t="str">
        <f t="array" ref="L353">IFERROR(J353*INDEX('PORTIFÓLIO'!$S$4:$S$433,MATCH($C353,'PORTIFÓLIO'!$C$4:$C$433,0)),"")</f>
        <v/>
      </c>
      <c r="M353" s="220"/>
      <c r="N353" s="220"/>
      <c r="O353" s="220"/>
      <c r="P353" s="220"/>
      <c r="Q353" s="220"/>
      <c r="R353" s="220"/>
      <c r="S353" s="220"/>
      <c r="T353" s="220"/>
      <c r="U353" s="220"/>
      <c r="V353" s="220"/>
      <c r="W353" s="220"/>
    </row>
    <row r="354" ht="15.75" customHeight="1" outlineLevel="1">
      <c r="A354" s="211"/>
      <c r="B354" s="212"/>
      <c r="C354" s="213"/>
      <c r="D354" s="214" t="str">
        <f>IFERROR(VLOOKUP($C354,'PORTIFÓLIO'!C:V,2,0),"")</f>
        <v/>
      </c>
      <c r="E354" s="211" t="str">
        <f>IFERROR(VLOOKUP($C354,'PORTIFÓLIO'!C:V,3,0),"")</f>
        <v/>
      </c>
      <c r="F354" s="211" t="str">
        <f>IFERROR(VLOOKUP($C354,'PORTIFÓLIO'!C:V,4,0),"")</f>
        <v/>
      </c>
      <c r="G354" s="215" t="str">
        <f>IFERROR(VLOOKUP($C354,'PORTIFÓLIO'!C:V,5,0),"")</f>
        <v/>
      </c>
      <c r="H354" s="254" t="str">
        <f t="array" ref="H354">IFERROR(INDEX('PORTIFÓLIO'!$H$4:$H$433,MATCH($C354,'PORTIFÓLIO'!$C$4:$C$433,0)),"")</f>
        <v/>
      </c>
      <c r="I354" s="256"/>
      <c r="J354" s="218">
        <f t="shared" si="39"/>
        <v>0</v>
      </c>
      <c r="K354" s="292" t="str">
        <f t="array" ref="K354">IFERROR(I354*INDEX('PORTIFÓLIO'!$S$4:$S$433,MATCH($C354,'PORTIFÓLIO'!$C$4:$C$433,0)),"")</f>
        <v/>
      </c>
      <c r="L354" s="292" t="str">
        <f t="array" ref="L354">IFERROR(J354*INDEX('PORTIFÓLIO'!$S$4:$S$433,MATCH($C354,'PORTIFÓLIO'!$C$4:$C$433,0)),"")</f>
        <v/>
      </c>
      <c r="M354" s="220"/>
      <c r="N354" s="220"/>
      <c r="O354" s="220"/>
      <c r="P354" s="220"/>
      <c r="Q354" s="220"/>
      <c r="R354" s="220"/>
      <c r="S354" s="220"/>
      <c r="T354" s="220"/>
      <c r="U354" s="220"/>
      <c r="V354" s="220"/>
      <c r="W354" s="220"/>
    </row>
    <row r="355" ht="15.75" customHeight="1" outlineLevel="1">
      <c r="A355" s="211"/>
      <c r="B355" s="212"/>
      <c r="C355" s="213"/>
      <c r="D355" s="214" t="str">
        <f>IFERROR(VLOOKUP($C355,'PORTIFÓLIO'!C:V,2,0),"")</f>
        <v/>
      </c>
      <c r="E355" s="211" t="str">
        <f>IFERROR(VLOOKUP($C355,'PORTIFÓLIO'!C:V,3,0),"")</f>
        <v/>
      </c>
      <c r="F355" s="211" t="str">
        <f>IFERROR(VLOOKUP($C355,'PORTIFÓLIO'!C:V,4,0),"")</f>
        <v/>
      </c>
      <c r="G355" s="215" t="str">
        <f>IFERROR(VLOOKUP($C355,'PORTIFÓLIO'!C:V,5,0),"")</f>
        <v/>
      </c>
      <c r="H355" s="254" t="str">
        <f t="array" ref="H355">IFERROR(INDEX('PORTIFÓLIO'!$H$4:$H$433,MATCH($C355,'PORTIFÓLIO'!$C$4:$C$433,0)),"")</f>
        <v/>
      </c>
      <c r="I355" s="256"/>
      <c r="J355" s="218">
        <f t="shared" si="39"/>
        <v>0</v>
      </c>
      <c r="K355" s="292" t="str">
        <f t="array" ref="K355">IFERROR(I355*INDEX('PORTIFÓLIO'!$S$4:$S$433,MATCH($C355,'PORTIFÓLIO'!$C$4:$C$433,0)),"")</f>
        <v/>
      </c>
      <c r="L355" s="292" t="str">
        <f t="array" ref="L355">IFERROR(J355*INDEX('PORTIFÓLIO'!$S$4:$S$433,MATCH($C355,'PORTIFÓLIO'!$C$4:$C$433,0)),"")</f>
        <v/>
      </c>
      <c r="M355" s="220"/>
      <c r="N355" s="220"/>
      <c r="O355" s="220"/>
      <c r="P355" s="220"/>
      <c r="Q355" s="220"/>
      <c r="R355" s="220"/>
      <c r="S355" s="220"/>
      <c r="T355" s="220"/>
      <c r="U355" s="220"/>
      <c r="V355" s="220"/>
      <c r="W355" s="220"/>
    </row>
    <row r="356" ht="15.75" customHeight="1" outlineLevel="1">
      <c r="A356" s="211"/>
      <c r="B356" s="212"/>
      <c r="C356" s="213"/>
      <c r="D356" s="214" t="str">
        <f>IFERROR(VLOOKUP($C356,'PORTIFÓLIO'!C:V,2,0),"")</f>
        <v/>
      </c>
      <c r="E356" s="211" t="str">
        <f>IFERROR(VLOOKUP($C356,'PORTIFÓLIO'!C:V,3,0),"")</f>
        <v/>
      </c>
      <c r="F356" s="211" t="str">
        <f>IFERROR(VLOOKUP($C356,'PORTIFÓLIO'!C:V,4,0),"")</f>
        <v/>
      </c>
      <c r="G356" s="215" t="str">
        <f>IFERROR(VLOOKUP($C356,'PORTIFÓLIO'!C:V,5,0),"")</f>
        <v/>
      </c>
      <c r="H356" s="254" t="str">
        <f t="array" ref="H356">IFERROR(INDEX('PORTIFÓLIO'!$H$4:$H$433,MATCH($C356,'PORTIFÓLIO'!$C$4:$C$433,0)),"")</f>
        <v/>
      </c>
      <c r="I356" s="256"/>
      <c r="J356" s="218">
        <f t="shared" si="39"/>
        <v>0</v>
      </c>
      <c r="K356" s="292" t="str">
        <f t="array" ref="K356">IFERROR(I356*INDEX('PORTIFÓLIO'!$S$4:$S$433,MATCH($C356,'PORTIFÓLIO'!$C$4:$C$433,0)),"")</f>
        <v/>
      </c>
      <c r="L356" s="292" t="str">
        <f t="array" ref="L356">IFERROR(J356*INDEX('PORTIFÓLIO'!$S$4:$S$433,MATCH($C356,'PORTIFÓLIO'!$C$4:$C$433,0)),"")</f>
        <v/>
      </c>
      <c r="M356" s="220"/>
      <c r="N356" s="220"/>
      <c r="O356" s="220"/>
      <c r="P356" s="220"/>
      <c r="Q356" s="220"/>
      <c r="R356" s="220"/>
      <c r="S356" s="220"/>
      <c r="T356" s="220"/>
      <c r="U356" s="220"/>
      <c r="V356" s="220"/>
      <c r="W356" s="220"/>
    </row>
    <row r="357" ht="15.75" customHeight="1" outlineLevel="1">
      <c r="A357" s="211"/>
      <c r="B357" s="227"/>
      <c r="C357" s="211"/>
      <c r="D357" s="214" t="str">
        <f>IFERROR(VLOOKUP($C357,'PORTIFÓLIO'!C:V,2,0),"")</f>
        <v/>
      </c>
      <c r="E357" s="211" t="str">
        <f>IFERROR(VLOOKUP($C357,'PORTIFÓLIO'!C:V,3,0),"")</f>
        <v/>
      </c>
      <c r="F357" s="211" t="str">
        <f>IFERROR(VLOOKUP($C357,'PORTIFÓLIO'!C:V,4,0),"")</f>
        <v/>
      </c>
      <c r="G357" s="215" t="str">
        <f>IFERROR(VLOOKUP($C357,'PORTIFÓLIO'!C:V,5,0),"")</f>
        <v/>
      </c>
      <c r="H357" s="254" t="str">
        <f t="array" ref="H357">IFERROR(INDEX('PORTIFÓLIO'!$H$4:$H$433,MATCH($C357,'PORTIFÓLIO'!$C$4:$C$433,0)),"")</f>
        <v/>
      </c>
      <c r="I357" s="256"/>
      <c r="J357" s="218"/>
      <c r="K357" s="292" t="str">
        <f t="array" ref="K357">IFERROR(I357*INDEX('PORTIFÓLIO'!$S$4:$S$433,MATCH($C357,'PORTIFÓLIO'!$C$4:$C$433,0)),"")</f>
        <v/>
      </c>
      <c r="L357" s="292" t="str">
        <f t="array" ref="L357">IFERROR(J357*INDEX('PORTIFÓLIO'!$S$4:$S$433,MATCH($C357,'PORTIFÓLIO'!$C$4:$C$433,0)),"")</f>
        <v/>
      </c>
      <c r="M357" s="220"/>
      <c r="N357" s="220"/>
      <c r="O357" s="220"/>
      <c r="P357" s="220"/>
      <c r="Q357" s="220"/>
      <c r="R357" s="220"/>
      <c r="S357" s="220"/>
      <c r="T357" s="220"/>
      <c r="U357" s="220"/>
      <c r="V357" s="220"/>
      <c r="W357" s="220"/>
    </row>
    <row r="358" ht="15.75" customHeight="1">
      <c r="A358" s="229" t="s">
        <v>1191</v>
      </c>
      <c r="B358" s="230"/>
      <c r="C358" s="231"/>
      <c r="D358" s="232"/>
      <c r="E358" s="231"/>
      <c r="F358" s="231"/>
      <c r="G358" s="233"/>
      <c r="H358" s="233"/>
      <c r="I358" s="258"/>
      <c r="J358" s="236"/>
      <c r="K358" s="237">
        <f t="shared" ref="K358:L358" si="40">SUBTOTAL(9,K359:K372)</f>
        <v>0</v>
      </c>
      <c r="L358" s="237">
        <f t="shared" si="40"/>
        <v>0</v>
      </c>
      <c r="M358" s="220"/>
      <c r="N358" s="220"/>
      <c r="O358" s="220"/>
      <c r="P358" s="220"/>
      <c r="Q358" s="220"/>
      <c r="R358" s="220"/>
      <c r="S358" s="220"/>
      <c r="T358" s="220"/>
      <c r="U358" s="220"/>
      <c r="V358" s="220"/>
      <c r="W358" s="220"/>
    </row>
    <row r="359" ht="15.75" customHeight="1" outlineLevel="1">
      <c r="A359" s="213"/>
      <c r="B359" s="212"/>
      <c r="C359" s="213"/>
      <c r="D359" s="214" t="str">
        <f>IFERROR(VLOOKUP($C359,'PORTIFÓLIO'!C:V,2,0),"")</f>
        <v/>
      </c>
      <c r="E359" s="211" t="str">
        <f>IFERROR(VLOOKUP($C359,'PORTIFÓLIO'!C:V,3,0),"")</f>
        <v/>
      </c>
      <c r="F359" s="211" t="str">
        <f>IFERROR(VLOOKUP($C359,'PORTIFÓLIO'!C:V,4,0),"")</f>
        <v/>
      </c>
      <c r="G359" s="215" t="str">
        <f>IFERROR(VLOOKUP($C359,'PORTIFÓLIO'!C:V,5,0),"")</f>
        <v/>
      </c>
      <c r="H359" s="254" t="str">
        <f t="array" ref="H359">IFERROR(INDEX('PORTIFÓLIO'!$H$4:$H$433,MATCH($C359,'PORTIFÓLIO'!$C$4:$C$433,0)),"")</f>
        <v/>
      </c>
      <c r="I359" s="255"/>
      <c r="J359" s="218">
        <f t="shared" ref="J359:J373" si="41">I359*$B$2</f>
        <v>0</v>
      </c>
      <c r="K359" s="292" t="str">
        <f t="array" ref="K359">IFERROR(I359*INDEX('PORTIFÓLIO'!$S$4:$S$433,MATCH($C359,'PORTIFÓLIO'!$C$4:$C$433,0)),"")</f>
        <v/>
      </c>
      <c r="L359" s="292" t="str">
        <f t="array" ref="L359">IFERROR(J359*INDEX('PORTIFÓLIO'!$S$4:$S$433,MATCH($C359,'PORTIFÓLIO'!$C$4:$C$433,0)),"")</f>
        <v/>
      </c>
      <c r="M359" s="220"/>
      <c r="N359" s="220"/>
      <c r="O359" s="220"/>
      <c r="P359" s="220"/>
      <c r="Q359" s="220"/>
      <c r="R359" s="220"/>
      <c r="S359" s="220"/>
      <c r="T359" s="220"/>
      <c r="U359" s="220"/>
      <c r="V359" s="220"/>
      <c r="W359" s="220"/>
    </row>
    <row r="360" ht="15.75" customHeight="1" outlineLevel="1">
      <c r="A360" s="211"/>
      <c r="B360" s="212"/>
      <c r="C360" s="213"/>
      <c r="D360" s="214" t="str">
        <f>IFERROR(VLOOKUP($C360,'PORTIFÓLIO'!C:V,2,0),"")</f>
        <v/>
      </c>
      <c r="E360" s="211" t="str">
        <f>IFERROR(VLOOKUP($C360,'PORTIFÓLIO'!C:V,3,0),"")</f>
        <v/>
      </c>
      <c r="F360" s="211" t="str">
        <f>IFERROR(VLOOKUP($C360,'PORTIFÓLIO'!C:V,4,0),"")</f>
        <v/>
      </c>
      <c r="G360" s="215" t="str">
        <f>IFERROR(VLOOKUP($C360,'PORTIFÓLIO'!C:V,5,0),"")</f>
        <v/>
      </c>
      <c r="H360" s="254" t="str">
        <f t="array" ref="H360">IFERROR(INDEX('PORTIFÓLIO'!$H$4:$H$433,MATCH($C360,'PORTIFÓLIO'!$C$4:$C$433,0)),"")</f>
        <v/>
      </c>
      <c r="I360" s="256"/>
      <c r="J360" s="218">
        <f t="shared" si="41"/>
        <v>0</v>
      </c>
      <c r="K360" s="292" t="str">
        <f t="array" ref="K360">IFERROR(I360*INDEX('PORTIFÓLIO'!$S$4:$S$433,MATCH($C360,'PORTIFÓLIO'!$C$4:$C$433,0)),"")</f>
        <v/>
      </c>
      <c r="L360" s="292" t="str">
        <f t="array" ref="L360">IFERROR(J360*INDEX('PORTIFÓLIO'!$S$4:$S$433,MATCH($C360,'PORTIFÓLIO'!$C$4:$C$433,0)),"")</f>
        <v/>
      </c>
      <c r="M360" s="220"/>
      <c r="N360" s="220"/>
      <c r="O360" s="220"/>
      <c r="P360" s="220"/>
      <c r="Q360" s="220"/>
      <c r="R360" s="220"/>
      <c r="S360" s="220"/>
      <c r="T360" s="220"/>
      <c r="U360" s="220"/>
      <c r="V360" s="220"/>
      <c r="W360" s="220"/>
    </row>
    <row r="361" ht="15.75" customHeight="1" outlineLevel="1">
      <c r="A361" s="211"/>
      <c r="B361" s="212"/>
      <c r="C361" s="213"/>
      <c r="D361" s="214" t="str">
        <f>IFERROR(VLOOKUP($C361,'PORTIFÓLIO'!C:V,2,0),"")</f>
        <v/>
      </c>
      <c r="E361" s="211" t="str">
        <f>IFERROR(VLOOKUP($C361,'PORTIFÓLIO'!C:V,3,0),"")</f>
        <v/>
      </c>
      <c r="F361" s="211" t="str">
        <f>IFERROR(VLOOKUP($C361,'PORTIFÓLIO'!C:V,4,0),"")</f>
        <v/>
      </c>
      <c r="G361" s="215" t="str">
        <f>IFERROR(VLOOKUP($C361,'PORTIFÓLIO'!C:V,5,0),"")</f>
        <v/>
      </c>
      <c r="H361" s="254" t="str">
        <f t="array" ref="H361">IFERROR(INDEX('PORTIFÓLIO'!$H$4:$H$433,MATCH($C361,'PORTIFÓLIO'!$C$4:$C$433,0)),"")</f>
        <v/>
      </c>
      <c r="I361" s="256"/>
      <c r="J361" s="218">
        <f t="shared" si="41"/>
        <v>0</v>
      </c>
      <c r="K361" s="292" t="str">
        <f t="array" ref="K361">IFERROR(I361*INDEX('PORTIFÓLIO'!$S$4:$S$433,MATCH($C361,'PORTIFÓLIO'!$C$4:$C$433,0)),"")</f>
        <v/>
      </c>
      <c r="L361" s="292" t="str">
        <f t="array" ref="L361">IFERROR(J361*INDEX('PORTIFÓLIO'!$S$4:$S$433,MATCH($C361,'PORTIFÓLIO'!$C$4:$C$433,0)),"")</f>
        <v/>
      </c>
      <c r="M361" s="220"/>
      <c r="N361" s="220"/>
      <c r="O361" s="220"/>
      <c r="P361" s="220"/>
      <c r="Q361" s="220"/>
      <c r="R361" s="220"/>
      <c r="S361" s="220"/>
      <c r="T361" s="220"/>
      <c r="U361" s="220"/>
      <c r="V361" s="220"/>
      <c r="W361" s="220"/>
    </row>
    <row r="362" ht="15.75" customHeight="1" outlineLevel="1">
      <c r="A362" s="211"/>
      <c r="B362" s="212"/>
      <c r="C362" s="213"/>
      <c r="D362" s="214" t="str">
        <f>IFERROR(VLOOKUP($C362,'PORTIFÓLIO'!C:V,2,0),"")</f>
        <v/>
      </c>
      <c r="E362" s="211" t="str">
        <f>IFERROR(VLOOKUP($C362,'PORTIFÓLIO'!C:V,3,0),"")</f>
        <v/>
      </c>
      <c r="F362" s="211" t="str">
        <f>IFERROR(VLOOKUP($C362,'PORTIFÓLIO'!C:V,4,0),"")</f>
        <v/>
      </c>
      <c r="G362" s="215" t="str">
        <f>IFERROR(VLOOKUP($C362,'PORTIFÓLIO'!C:V,5,0),"")</f>
        <v/>
      </c>
      <c r="H362" s="254" t="str">
        <f t="array" ref="H362">IFERROR(INDEX('PORTIFÓLIO'!$H$4:$H$433,MATCH($C362,'PORTIFÓLIO'!$C$4:$C$433,0)),"")</f>
        <v/>
      </c>
      <c r="I362" s="256"/>
      <c r="J362" s="218">
        <f t="shared" si="41"/>
        <v>0</v>
      </c>
      <c r="K362" s="292" t="str">
        <f t="array" ref="K362">IFERROR(I362*INDEX('PORTIFÓLIO'!$S$4:$S$433,MATCH($C362,'PORTIFÓLIO'!$C$4:$C$433,0)),"")</f>
        <v/>
      </c>
      <c r="L362" s="292" t="str">
        <f t="array" ref="L362">IFERROR(J362*INDEX('PORTIFÓLIO'!$S$4:$S$433,MATCH($C362,'PORTIFÓLIO'!$C$4:$C$433,0)),"")</f>
        <v/>
      </c>
      <c r="M362" s="220"/>
      <c r="N362" s="220"/>
      <c r="O362" s="220"/>
      <c r="P362" s="220"/>
      <c r="Q362" s="220"/>
      <c r="R362" s="220"/>
      <c r="S362" s="220"/>
      <c r="T362" s="220"/>
      <c r="U362" s="220"/>
      <c r="V362" s="220"/>
      <c r="W362" s="220"/>
    </row>
    <row r="363" ht="15.75" customHeight="1" outlineLevel="1">
      <c r="A363" s="211"/>
      <c r="B363" s="212"/>
      <c r="C363" s="213"/>
      <c r="D363" s="214" t="str">
        <f>IFERROR(VLOOKUP($C363,'PORTIFÓLIO'!C:V,2,0),"")</f>
        <v/>
      </c>
      <c r="E363" s="211" t="str">
        <f>IFERROR(VLOOKUP($C363,'PORTIFÓLIO'!C:V,3,0),"")</f>
        <v/>
      </c>
      <c r="F363" s="211" t="str">
        <f>IFERROR(VLOOKUP($C363,'PORTIFÓLIO'!C:V,4,0),"")</f>
        <v/>
      </c>
      <c r="G363" s="215" t="str">
        <f>IFERROR(VLOOKUP($C363,'PORTIFÓLIO'!C:V,5,0),"")</f>
        <v/>
      </c>
      <c r="H363" s="254" t="str">
        <f t="array" ref="H363">IFERROR(INDEX('PORTIFÓLIO'!$H$4:$H$433,MATCH($C363,'PORTIFÓLIO'!$C$4:$C$433,0)),"")</f>
        <v/>
      </c>
      <c r="I363" s="256"/>
      <c r="J363" s="218">
        <f t="shared" si="41"/>
        <v>0</v>
      </c>
      <c r="K363" s="292" t="str">
        <f t="array" ref="K363">IFERROR(I363*INDEX('PORTIFÓLIO'!$S$4:$S$433,MATCH($C363,'PORTIFÓLIO'!$C$4:$C$433,0)),"")</f>
        <v/>
      </c>
      <c r="L363" s="292" t="str">
        <f t="array" ref="L363">IFERROR(J363*INDEX('PORTIFÓLIO'!$S$4:$S$433,MATCH($C363,'PORTIFÓLIO'!$C$4:$C$433,0)),"")</f>
        <v/>
      </c>
      <c r="M363" s="220"/>
      <c r="N363" s="220"/>
      <c r="O363" s="220"/>
      <c r="P363" s="220"/>
      <c r="Q363" s="220"/>
      <c r="R363" s="220"/>
      <c r="S363" s="220"/>
      <c r="T363" s="220"/>
      <c r="U363" s="220"/>
      <c r="V363" s="220"/>
      <c r="W363" s="220"/>
    </row>
    <row r="364" ht="15.75" customHeight="1" outlineLevel="1">
      <c r="A364" s="211"/>
      <c r="B364" s="212"/>
      <c r="C364" s="213"/>
      <c r="D364" s="214" t="str">
        <f>IFERROR(VLOOKUP($C364,'PORTIFÓLIO'!C:V,2,0),"")</f>
        <v/>
      </c>
      <c r="E364" s="211" t="str">
        <f>IFERROR(VLOOKUP($C364,'PORTIFÓLIO'!C:V,3,0),"")</f>
        <v/>
      </c>
      <c r="F364" s="211" t="str">
        <f>IFERROR(VLOOKUP($C364,'PORTIFÓLIO'!C:V,4,0),"")</f>
        <v/>
      </c>
      <c r="G364" s="215" t="str">
        <f>IFERROR(VLOOKUP($C364,'PORTIFÓLIO'!C:V,5,0),"")</f>
        <v/>
      </c>
      <c r="H364" s="254" t="str">
        <f t="array" ref="H364">IFERROR(INDEX('PORTIFÓLIO'!$H$4:$H$433,MATCH($C364,'PORTIFÓLIO'!$C$4:$C$433,0)),"")</f>
        <v/>
      </c>
      <c r="I364" s="256"/>
      <c r="J364" s="218">
        <f t="shared" si="41"/>
        <v>0</v>
      </c>
      <c r="K364" s="292" t="str">
        <f t="array" ref="K364">IFERROR(I364*INDEX('PORTIFÓLIO'!$S$4:$S$433,MATCH($C364,'PORTIFÓLIO'!$C$4:$C$433,0)),"")</f>
        <v/>
      </c>
      <c r="L364" s="292" t="str">
        <f t="array" ref="L364">IFERROR(J364*INDEX('PORTIFÓLIO'!$S$4:$S$433,MATCH($C364,'PORTIFÓLIO'!$C$4:$C$433,0)),"")</f>
        <v/>
      </c>
      <c r="M364" s="220"/>
      <c r="N364" s="220"/>
      <c r="O364" s="220"/>
      <c r="P364" s="220"/>
      <c r="Q364" s="220"/>
      <c r="R364" s="220"/>
      <c r="S364" s="220"/>
      <c r="T364" s="220"/>
      <c r="U364" s="220"/>
      <c r="V364" s="220"/>
      <c r="W364" s="220"/>
    </row>
    <row r="365" ht="15.75" customHeight="1" outlineLevel="1">
      <c r="A365" s="211"/>
      <c r="B365" s="212"/>
      <c r="C365" s="213"/>
      <c r="D365" s="214" t="str">
        <f>IFERROR(VLOOKUP($C365,'PORTIFÓLIO'!C:V,2,0),"")</f>
        <v/>
      </c>
      <c r="E365" s="211" t="str">
        <f>IFERROR(VLOOKUP($C365,'PORTIFÓLIO'!C:V,3,0),"")</f>
        <v/>
      </c>
      <c r="F365" s="211" t="str">
        <f>IFERROR(VLOOKUP($C365,'PORTIFÓLIO'!C:V,4,0),"")</f>
        <v/>
      </c>
      <c r="G365" s="215" t="str">
        <f>IFERROR(VLOOKUP($C365,'PORTIFÓLIO'!C:V,5,0),"")</f>
        <v/>
      </c>
      <c r="H365" s="254" t="str">
        <f t="array" ref="H365">IFERROR(INDEX('PORTIFÓLIO'!$H$4:$H$433,MATCH($C365,'PORTIFÓLIO'!$C$4:$C$433,0)),"")</f>
        <v/>
      </c>
      <c r="I365" s="256"/>
      <c r="J365" s="218">
        <f t="shared" si="41"/>
        <v>0</v>
      </c>
      <c r="K365" s="292" t="str">
        <f t="array" ref="K365">IFERROR(I365*INDEX('PORTIFÓLIO'!$S$4:$S$433,MATCH($C365,'PORTIFÓLIO'!$C$4:$C$433,0)),"")</f>
        <v/>
      </c>
      <c r="L365" s="292" t="str">
        <f t="array" ref="L365">IFERROR(J365*INDEX('PORTIFÓLIO'!$S$4:$S$433,MATCH($C365,'PORTIFÓLIO'!$C$4:$C$433,0)),"")</f>
        <v/>
      </c>
      <c r="M365" s="220"/>
      <c r="N365" s="220"/>
      <c r="O365" s="220"/>
      <c r="P365" s="220"/>
      <c r="Q365" s="220"/>
      <c r="R365" s="220"/>
      <c r="S365" s="220"/>
      <c r="T365" s="220"/>
      <c r="U365" s="220"/>
      <c r="V365" s="220"/>
      <c r="W365" s="220"/>
    </row>
    <row r="366" ht="15.75" customHeight="1" outlineLevel="1">
      <c r="A366" s="211"/>
      <c r="B366" s="212"/>
      <c r="C366" s="213"/>
      <c r="D366" s="214" t="str">
        <f>IFERROR(VLOOKUP($C366,'PORTIFÓLIO'!C:V,2,0),"")</f>
        <v/>
      </c>
      <c r="E366" s="211" t="str">
        <f>IFERROR(VLOOKUP($C366,'PORTIFÓLIO'!C:V,3,0),"")</f>
        <v/>
      </c>
      <c r="F366" s="211" t="str">
        <f>IFERROR(VLOOKUP($C366,'PORTIFÓLIO'!C:V,4,0),"")</f>
        <v/>
      </c>
      <c r="G366" s="215" t="str">
        <f>IFERROR(VLOOKUP($C366,'PORTIFÓLIO'!C:V,5,0),"")</f>
        <v/>
      </c>
      <c r="H366" s="254" t="str">
        <f t="array" ref="H366">IFERROR(INDEX('PORTIFÓLIO'!$H$4:$H$433,MATCH($C366,'PORTIFÓLIO'!$C$4:$C$433,0)),"")</f>
        <v/>
      </c>
      <c r="I366" s="256"/>
      <c r="J366" s="218">
        <f t="shared" si="41"/>
        <v>0</v>
      </c>
      <c r="K366" s="292" t="str">
        <f t="array" ref="K366">IFERROR(I366*INDEX('PORTIFÓLIO'!$S$4:$S$433,MATCH($C366,'PORTIFÓLIO'!$C$4:$C$433,0)),"")</f>
        <v/>
      </c>
      <c r="L366" s="292" t="str">
        <f t="array" ref="L366">IFERROR(J366*INDEX('PORTIFÓLIO'!$S$4:$S$433,MATCH($C366,'PORTIFÓLIO'!$C$4:$C$433,0)),"")</f>
        <v/>
      </c>
      <c r="M366" s="220"/>
      <c r="N366" s="220"/>
      <c r="O366" s="220"/>
      <c r="P366" s="220"/>
      <c r="Q366" s="220"/>
      <c r="R366" s="220"/>
      <c r="S366" s="220"/>
      <c r="T366" s="220"/>
      <c r="U366" s="220"/>
      <c r="V366" s="220"/>
      <c r="W366" s="220"/>
    </row>
    <row r="367" ht="15.75" customHeight="1" outlineLevel="1">
      <c r="A367" s="211"/>
      <c r="B367" s="212"/>
      <c r="C367" s="213"/>
      <c r="D367" s="214" t="str">
        <f>IFERROR(VLOOKUP($C367,'PORTIFÓLIO'!C:V,2,0),"")</f>
        <v/>
      </c>
      <c r="E367" s="211" t="str">
        <f>IFERROR(VLOOKUP($C367,'PORTIFÓLIO'!C:V,3,0),"")</f>
        <v/>
      </c>
      <c r="F367" s="211" t="str">
        <f>IFERROR(VLOOKUP($C367,'PORTIFÓLIO'!C:V,4,0),"")</f>
        <v/>
      </c>
      <c r="G367" s="215" t="str">
        <f>IFERROR(VLOOKUP($C367,'PORTIFÓLIO'!C:V,5,0),"")</f>
        <v/>
      </c>
      <c r="H367" s="254" t="str">
        <f t="array" ref="H367">IFERROR(INDEX('PORTIFÓLIO'!$H$4:$H$433,MATCH($C367,'PORTIFÓLIO'!$C$4:$C$433,0)),"")</f>
        <v/>
      </c>
      <c r="I367" s="255"/>
      <c r="J367" s="218">
        <f t="shared" si="41"/>
        <v>0</v>
      </c>
      <c r="K367" s="292" t="str">
        <f t="array" ref="K367">IFERROR(I367*INDEX('PORTIFÓLIO'!$S$4:$S$433,MATCH($C367,'PORTIFÓLIO'!$C$4:$C$433,0)),"")</f>
        <v/>
      </c>
      <c r="L367" s="292" t="str">
        <f t="array" ref="L367">IFERROR(J367*INDEX('PORTIFÓLIO'!$S$4:$S$433,MATCH($C367,'PORTIFÓLIO'!$C$4:$C$433,0)),"")</f>
        <v/>
      </c>
      <c r="M367" s="220"/>
      <c r="N367" s="220"/>
      <c r="O367" s="220"/>
      <c r="P367" s="220"/>
      <c r="Q367" s="220"/>
      <c r="R367" s="220"/>
      <c r="S367" s="220"/>
      <c r="T367" s="220"/>
      <c r="U367" s="220"/>
      <c r="V367" s="220"/>
      <c r="W367" s="220"/>
    </row>
    <row r="368" ht="15.75" customHeight="1" outlineLevel="1">
      <c r="A368" s="211"/>
      <c r="B368" s="212"/>
      <c r="C368" s="213"/>
      <c r="D368" s="214" t="str">
        <f>IFERROR(VLOOKUP($C368,'PORTIFÓLIO'!C:V,2,0),"")</f>
        <v/>
      </c>
      <c r="E368" s="211" t="str">
        <f>IFERROR(VLOOKUP($C368,'PORTIFÓLIO'!C:V,3,0),"")</f>
        <v/>
      </c>
      <c r="F368" s="211" t="str">
        <f>IFERROR(VLOOKUP($C368,'PORTIFÓLIO'!C:V,4,0),"")</f>
        <v/>
      </c>
      <c r="G368" s="215" t="str">
        <f>IFERROR(VLOOKUP($C368,'PORTIFÓLIO'!C:V,5,0),"")</f>
        <v/>
      </c>
      <c r="H368" s="254" t="str">
        <f t="array" ref="H368">IFERROR(INDEX('PORTIFÓLIO'!$H$4:$H$433,MATCH($C368,'PORTIFÓLIO'!$C$4:$C$433,0)),"")</f>
        <v/>
      </c>
      <c r="I368" s="256"/>
      <c r="J368" s="218">
        <f t="shared" si="41"/>
        <v>0</v>
      </c>
      <c r="K368" s="292" t="str">
        <f t="array" ref="K368">IFERROR(I368*INDEX('PORTIFÓLIO'!$S$4:$S$433,MATCH($C368,'PORTIFÓLIO'!$C$4:$C$433,0)),"")</f>
        <v/>
      </c>
      <c r="L368" s="292" t="str">
        <f t="array" ref="L368">IFERROR(J368*INDEX('PORTIFÓLIO'!$S$4:$S$433,MATCH($C368,'PORTIFÓLIO'!$C$4:$C$433,0)),"")</f>
        <v/>
      </c>
      <c r="M368" s="220"/>
      <c r="N368" s="220"/>
      <c r="O368" s="220"/>
      <c r="P368" s="220"/>
      <c r="Q368" s="220"/>
      <c r="R368" s="220"/>
      <c r="S368" s="220"/>
      <c r="T368" s="220"/>
      <c r="U368" s="220"/>
      <c r="V368" s="220"/>
      <c r="W368" s="220"/>
    </row>
    <row r="369" ht="15.75" customHeight="1" outlineLevel="1">
      <c r="A369" s="211"/>
      <c r="B369" s="212"/>
      <c r="C369" s="213"/>
      <c r="D369" s="214" t="str">
        <f>IFERROR(VLOOKUP($C369,'PORTIFÓLIO'!C:V,2,0),"")</f>
        <v/>
      </c>
      <c r="E369" s="211" t="str">
        <f>IFERROR(VLOOKUP($C369,'PORTIFÓLIO'!C:V,3,0),"")</f>
        <v/>
      </c>
      <c r="F369" s="211" t="str">
        <f>IFERROR(VLOOKUP($C369,'PORTIFÓLIO'!C:V,4,0),"")</f>
        <v/>
      </c>
      <c r="G369" s="215" t="str">
        <f>IFERROR(VLOOKUP($C369,'PORTIFÓLIO'!C:V,5,0),"")</f>
        <v/>
      </c>
      <c r="H369" s="254" t="str">
        <f t="array" ref="H369">IFERROR(INDEX('PORTIFÓLIO'!$H$4:$H$433,MATCH($C369,'PORTIFÓLIO'!$C$4:$C$433,0)),"")</f>
        <v/>
      </c>
      <c r="I369" s="256"/>
      <c r="J369" s="218">
        <f t="shared" si="41"/>
        <v>0</v>
      </c>
      <c r="K369" s="292" t="str">
        <f t="array" ref="K369">IFERROR(I369*INDEX('PORTIFÓLIO'!$S$4:$S$433,MATCH($C369,'PORTIFÓLIO'!$C$4:$C$433,0)),"")</f>
        <v/>
      </c>
      <c r="L369" s="292" t="str">
        <f t="array" ref="L369">IFERROR(J369*INDEX('PORTIFÓLIO'!$S$4:$S$433,MATCH($C369,'PORTIFÓLIO'!$C$4:$C$433,0)),"")</f>
        <v/>
      </c>
      <c r="M369" s="220"/>
      <c r="N369" s="220"/>
      <c r="O369" s="220"/>
      <c r="P369" s="220"/>
      <c r="Q369" s="220"/>
      <c r="R369" s="220"/>
      <c r="S369" s="220"/>
      <c r="T369" s="220"/>
      <c r="U369" s="220"/>
      <c r="V369" s="220"/>
      <c r="W369" s="220"/>
    </row>
    <row r="370" ht="15.75" customHeight="1" outlineLevel="1">
      <c r="A370" s="211"/>
      <c r="B370" s="212"/>
      <c r="C370" s="213"/>
      <c r="D370" s="214" t="str">
        <f>IFERROR(VLOOKUP($C370,'PORTIFÓLIO'!C:V,2,0),"")</f>
        <v/>
      </c>
      <c r="E370" s="211" t="str">
        <f>IFERROR(VLOOKUP($C370,'PORTIFÓLIO'!C:V,3,0),"")</f>
        <v/>
      </c>
      <c r="F370" s="211" t="str">
        <f>IFERROR(VLOOKUP($C370,'PORTIFÓLIO'!C:V,4,0),"")</f>
        <v/>
      </c>
      <c r="G370" s="215" t="str">
        <f>IFERROR(VLOOKUP($C370,'PORTIFÓLIO'!C:V,5,0),"")</f>
        <v/>
      </c>
      <c r="H370" s="254" t="str">
        <f t="array" ref="H370">IFERROR(INDEX('PORTIFÓLIO'!$H$4:$H$433,MATCH($C370,'PORTIFÓLIO'!$C$4:$C$433,0)),"")</f>
        <v/>
      </c>
      <c r="I370" s="256"/>
      <c r="J370" s="218">
        <f t="shared" si="41"/>
        <v>0</v>
      </c>
      <c r="K370" s="292" t="str">
        <f t="array" ref="K370">IFERROR(I370*INDEX('PORTIFÓLIO'!$S$4:$S$433,MATCH($C370,'PORTIFÓLIO'!$C$4:$C$433,0)),"")</f>
        <v/>
      </c>
      <c r="L370" s="292" t="str">
        <f t="array" ref="L370">IFERROR(J370*INDEX('PORTIFÓLIO'!$S$4:$S$433,MATCH($C370,'PORTIFÓLIO'!$C$4:$C$433,0)),"")</f>
        <v/>
      </c>
      <c r="M370" s="220"/>
      <c r="N370" s="220"/>
      <c r="O370" s="220"/>
      <c r="P370" s="220"/>
      <c r="Q370" s="220"/>
      <c r="R370" s="220"/>
      <c r="S370" s="220"/>
      <c r="T370" s="220"/>
      <c r="U370" s="220"/>
      <c r="V370" s="220"/>
      <c r="W370" s="220"/>
    </row>
    <row r="371" ht="15.75" customHeight="1" outlineLevel="1">
      <c r="A371" s="211"/>
      <c r="B371" s="212"/>
      <c r="C371" s="213"/>
      <c r="D371" s="214" t="str">
        <f>IFERROR(VLOOKUP($C371,'PORTIFÓLIO'!C:V,2,0),"")</f>
        <v/>
      </c>
      <c r="E371" s="211" t="str">
        <f>IFERROR(VLOOKUP($C371,'PORTIFÓLIO'!C:V,3,0),"")</f>
        <v/>
      </c>
      <c r="F371" s="211" t="str">
        <f>IFERROR(VLOOKUP($C371,'PORTIFÓLIO'!C:V,4,0),"")</f>
        <v/>
      </c>
      <c r="G371" s="215" t="str">
        <f>IFERROR(VLOOKUP($C371,'PORTIFÓLIO'!C:V,5,0),"")</f>
        <v/>
      </c>
      <c r="H371" s="254" t="str">
        <f t="array" ref="H371">IFERROR(INDEX('PORTIFÓLIO'!$H$4:$H$433,MATCH($C371,'PORTIFÓLIO'!$C$4:$C$433,0)),"")</f>
        <v/>
      </c>
      <c r="I371" s="256"/>
      <c r="J371" s="218">
        <f t="shared" si="41"/>
        <v>0</v>
      </c>
      <c r="K371" s="292" t="str">
        <f t="array" ref="K371">IFERROR(I371*INDEX('PORTIFÓLIO'!$S$4:$S$433,MATCH($C371,'PORTIFÓLIO'!$C$4:$C$433,0)),"")</f>
        <v/>
      </c>
      <c r="L371" s="292" t="str">
        <f t="array" ref="L371">IFERROR(J371*INDEX('PORTIFÓLIO'!$S$4:$S$433,MATCH($C371,'PORTIFÓLIO'!$C$4:$C$433,0)),"")</f>
        <v/>
      </c>
      <c r="M371" s="220"/>
      <c r="N371" s="220"/>
      <c r="O371" s="220"/>
      <c r="P371" s="220"/>
      <c r="Q371" s="220"/>
      <c r="R371" s="220"/>
      <c r="S371" s="220"/>
      <c r="T371" s="220"/>
      <c r="U371" s="220"/>
      <c r="V371" s="220"/>
      <c r="W371" s="220"/>
    </row>
    <row r="372" ht="15.75" customHeight="1" outlineLevel="1">
      <c r="A372" s="211"/>
      <c r="B372" s="212"/>
      <c r="C372" s="213"/>
      <c r="D372" s="214" t="str">
        <f>IFERROR(VLOOKUP($C372,'PORTIFÓLIO'!C:V,2,0),"")</f>
        <v/>
      </c>
      <c r="E372" s="211" t="str">
        <f>IFERROR(VLOOKUP($C372,'PORTIFÓLIO'!C:V,3,0),"")</f>
        <v/>
      </c>
      <c r="F372" s="211" t="str">
        <f>IFERROR(VLOOKUP($C372,'PORTIFÓLIO'!C:V,4,0),"")</f>
        <v/>
      </c>
      <c r="G372" s="215" t="str">
        <f>IFERROR(VLOOKUP($C372,'PORTIFÓLIO'!C:V,5,0),"")</f>
        <v/>
      </c>
      <c r="H372" s="254" t="str">
        <f t="array" ref="H372">IFERROR(INDEX('PORTIFÓLIO'!$H$4:$H$433,MATCH($C372,'PORTIFÓLIO'!$C$4:$C$433,0)),"")</f>
        <v/>
      </c>
      <c r="I372" s="256"/>
      <c r="J372" s="218">
        <f t="shared" si="41"/>
        <v>0</v>
      </c>
      <c r="K372" s="292" t="str">
        <f t="array" ref="K372">IFERROR(I372*INDEX('PORTIFÓLIO'!$S$4:$S$433,MATCH($C372,'PORTIFÓLIO'!$C$4:$C$433,0)),"")</f>
        <v/>
      </c>
      <c r="L372" s="292" t="str">
        <f t="array" ref="L372">IFERROR(J372*INDEX('PORTIFÓLIO'!$S$4:$S$433,MATCH($C372,'PORTIFÓLIO'!$C$4:$C$433,0)),"")</f>
        <v/>
      </c>
      <c r="M372" s="220"/>
      <c r="N372" s="220"/>
      <c r="O372" s="220"/>
      <c r="P372" s="220"/>
      <c r="Q372" s="220"/>
      <c r="R372" s="220"/>
      <c r="S372" s="220"/>
      <c r="T372" s="220"/>
      <c r="U372" s="220"/>
      <c r="V372" s="220"/>
      <c r="W372" s="220"/>
    </row>
    <row r="373" ht="15.75" customHeight="1" outlineLevel="1">
      <c r="A373" s="211"/>
      <c r="B373" s="212"/>
      <c r="C373" s="213"/>
      <c r="D373" s="214" t="str">
        <f>IFERROR(VLOOKUP($C373,'PORTIFÓLIO'!C:V,2,0),"")</f>
        <v/>
      </c>
      <c r="E373" s="211" t="str">
        <f>IFERROR(VLOOKUP($C373,'PORTIFÓLIO'!C:V,3,0),"")</f>
        <v/>
      </c>
      <c r="F373" s="211" t="str">
        <f>IFERROR(VLOOKUP($C373,'PORTIFÓLIO'!C:V,4,0),"")</f>
        <v/>
      </c>
      <c r="G373" s="215" t="str">
        <f>IFERROR(VLOOKUP($C373,'PORTIFÓLIO'!C:V,5,0),"")</f>
        <v/>
      </c>
      <c r="H373" s="254" t="str">
        <f t="array" ref="H373">IFERROR(INDEX('PORTIFÓLIO'!$H$4:$H$433,MATCH($C373,'PORTIFÓLIO'!$C$4:$C$433,0)),"")</f>
        <v/>
      </c>
      <c r="I373" s="256"/>
      <c r="J373" s="218">
        <f t="shared" si="41"/>
        <v>0</v>
      </c>
      <c r="K373" s="292" t="str">
        <f t="array" ref="K373">IFERROR(I373*INDEX('PORTIFÓLIO'!$S$4:$S$433,MATCH($C373,'PORTIFÓLIO'!$C$4:$C$433,0)),"")</f>
        <v/>
      </c>
      <c r="L373" s="292" t="str">
        <f t="array" ref="L373">IFERROR(J373*INDEX('PORTIFÓLIO'!$S$4:$S$433,MATCH($C373,'PORTIFÓLIO'!$C$4:$C$433,0)),"")</f>
        <v/>
      </c>
      <c r="M373" s="220"/>
      <c r="N373" s="220"/>
      <c r="O373" s="220"/>
      <c r="P373" s="220"/>
      <c r="Q373" s="220"/>
      <c r="R373" s="220"/>
      <c r="S373" s="220"/>
      <c r="T373" s="220"/>
      <c r="U373" s="220"/>
      <c r="V373" s="220"/>
      <c r="W373" s="220"/>
    </row>
    <row r="374" ht="15.75" customHeight="1" outlineLevel="1">
      <c r="A374" s="211"/>
      <c r="B374" s="227"/>
      <c r="C374" s="211"/>
      <c r="D374" s="214" t="str">
        <f>IFERROR(VLOOKUP($C374,'PORTIFÓLIO'!C:V,2,0),"")</f>
        <v/>
      </c>
      <c r="E374" s="211" t="str">
        <f>IFERROR(VLOOKUP($C374,'PORTIFÓLIO'!C:V,3,0),"")</f>
        <v/>
      </c>
      <c r="F374" s="211" t="str">
        <f>IFERROR(VLOOKUP($C374,'PORTIFÓLIO'!C:V,4,0),"")</f>
        <v/>
      </c>
      <c r="G374" s="215" t="str">
        <f>IFERROR(VLOOKUP($C374,'PORTIFÓLIO'!C:V,5,0),"")</f>
        <v/>
      </c>
      <c r="H374" s="254" t="str">
        <f t="array" ref="H374">IFERROR(INDEX('PORTIFÓLIO'!$H$4:$H$433,MATCH($C374,'PORTIFÓLIO'!$C$4:$C$433,0)),"")</f>
        <v/>
      </c>
      <c r="I374" s="256"/>
      <c r="J374" s="218"/>
      <c r="K374" s="292" t="str">
        <f t="array" ref="K374">IFERROR(I374*INDEX('PORTIFÓLIO'!$S$4:$S$433,MATCH($C374,'PORTIFÓLIO'!$C$4:$C$433,0)),"")</f>
        <v/>
      </c>
      <c r="L374" s="292" t="str">
        <f t="array" ref="L374">IFERROR(J374*INDEX('PORTIFÓLIO'!$S$4:$S$433,MATCH($C374,'PORTIFÓLIO'!$C$4:$C$433,0)),"")</f>
        <v/>
      </c>
      <c r="M374" s="220"/>
      <c r="N374" s="220"/>
      <c r="O374" s="220"/>
      <c r="P374" s="220"/>
      <c r="Q374" s="220"/>
      <c r="R374" s="220"/>
      <c r="S374" s="220"/>
      <c r="T374" s="220"/>
      <c r="U374" s="220"/>
      <c r="V374" s="220"/>
      <c r="W374" s="220"/>
    </row>
    <row r="375" ht="15.75" customHeight="1">
      <c r="A375" s="229" t="s">
        <v>1192</v>
      </c>
      <c r="B375" s="230"/>
      <c r="C375" s="231"/>
      <c r="D375" s="232"/>
      <c r="E375" s="231"/>
      <c r="F375" s="231"/>
      <c r="G375" s="233"/>
      <c r="H375" s="233"/>
      <c r="I375" s="258"/>
      <c r="J375" s="236"/>
      <c r="K375" s="237">
        <f t="shared" ref="K375:L375" si="42">SUBTOTAL(9,K376:K389)</f>
        <v>0</v>
      </c>
      <c r="L375" s="237">
        <f t="shared" si="42"/>
        <v>0</v>
      </c>
      <c r="M375" s="220"/>
      <c r="N375" s="220"/>
      <c r="O375" s="220"/>
      <c r="P375" s="220"/>
      <c r="Q375" s="220"/>
      <c r="R375" s="220"/>
      <c r="S375" s="220"/>
      <c r="T375" s="220"/>
      <c r="U375" s="220"/>
      <c r="V375" s="220"/>
      <c r="W375" s="220"/>
    </row>
    <row r="376" ht="15.75" customHeight="1" outlineLevel="1">
      <c r="A376" s="213"/>
      <c r="B376" s="212"/>
      <c r="C376" s="213"/>
      <c r="D376" s="214" t="str">
        <f>IFERROR(VLOOKUP($C376,'PORTIFÓLIO'!C:V,2,0),"")</f>
        <v/>
      </c>
      <c r="E376" s="211" t="str">
        <f>IFERROR(VLOOKUP($C376,'PORTIFÓLIO'!C:V,3,0),"")</f>
        <v/>
      </c>
      <c r="F376" s="211" t="str">
        <f>IFERROR(VLOOKUP($C376,'PORTIFÓLIO'!C:V,4,0),"")</f>
        <v/>
      </c>
      <c r="G376" s="215" t="str">
        <f>IFERROR(VLOOKUP($C376,'PORTIFÓLIO'!C:V,5,0),"")</f>
        <v/>
      </c>
      <c r="H376" s="254" t="str">
        <f t="array" ref="H376">IFERROR(INDEX('PORTIFÓLIO'!$H$4:$H$433,MATCH($C376,'PORTIFÓLIO'!$C$4:$C$433,0)),"")</f>
        <v/>
      </c>
      <c r="I376" s="255"/>
      <c r="J376" s="218">
        <f t="shared" ref="J376:J390" si="43">I376*$B$2</f>
        <v>0</v>
      </c>
      <c r="K376" s="292" t="str">
        <f t="array" ref="K376">IFERROR(I376*INDEX('PORTIFÓLIO'!$S$4:$S$433,MATCH($C376,'PORTIFÓLIO'!$C$4:$C$433,0)),"")</f>
        <v/>
      </c>
      <c r="L376" s="292" t="str">
        <f t="array" ref="L376">IFERROR(J376*INDEX('PORTIFÓLIO'!$S$4:$S$433,MATCH($C376,'PORTIFÓLIO'!$C$4:$C$433,0)),"")</f>
        <v/>
      </c>
      <c r="M376" s="220"/>
      <c r="N376" s="220"/>
      <c r="O376" s="220"/>
      <c r="P376" s="220"/>
      <c r="Q376" s="220"/>
      <c r="R376" s="220"/>
      <c r="S376" s="220"/>
      <c r="T376" s="220"/>
      <c r="U376" s="220"/>
      <c r="V376" s="220"/>
      <c r="W376" s="220"/>
    </row>
    <row r="377" ht="15.75" customHeight="1" outlineLevel="1">
      <c r="A377" s="211"/>
      <c r="B377" s="212"/>
      <c r="C377" s="213"/>
      <c r="D377" s="214" t="str">
        <f>IFERROR(VLOOKUP($C377,'PORTIFÓLIO'!C:V,2,0),"")</f>
        <v/>
      </c>
      <c r="E377" s="211" t="str">
        <f>IFERROR(VLOOKUP($C377,'PORTIFÓLIO'!C:V,3,0),"")</f>
        <v/>
      </c>
      <c r="F377" s="211" t="str">
        <f>IFERROR(VLOOKUP($C377,'PORTIFÓLIO'!C:V,4,0),"")</f>
        <v/>
      </c>
      <c r="G377" s="215" t="str">
        <f>IFERROR(VLOOKUP($C377,'PORTIFÓLIO'!C:V,5,0),"")</f>
        <v/>
      </c>
      <c r="H377" s="254" t="str">
        <f t="array" ref="H377">IFERROR(INDEX('PORTIFÓLIO'!$H$4:$H$433,MATCH($C377,'PORTIFÓLIO'!$C$4:$C$433,0)),"")</f>
        <v/>
      </c>
      <c r="I377" s="256"/>
      <c r="J377" s="218">
        <f t="shared" si="43"/>
        <v>0</v>
      </c>
      <c r="K377" s="292" t="str">
        <f t="array" ref="K377">IFERROR(I377*INDEX('PORTIFÓLIO'!$S$4:$S$433,MATCH($C377,'PORTIFÓLIO'!$C$4:$C$433,0)),"")</f>
        <v/>
      </c>
      <c r="L377" s="292" t="str">
        <f t="array" ref="L377">IFERROR(J377*INDEX('PORTIFÓLIO'!$S$4:$S$433,MATCH($C377,'PORTIFÓLIO'!$C$4:$C$433,0)),"")</f>
        <v/>
      </c>
      <c r="M377" s="220"/>
      <c r="N377" s="220"/>
      <c r="O377" s="220"/>
      <c r="P377" s="220"/>
      <c r="Q377" s="220"/>
      <c r="R377" s="220"/>
      <c r="S377" s="220"/>
      <c r="T377" s="220"/>
      <c r="U377" s="220"/>
      <c r="V377" s="220"/>
      <c r="W377" s="220"/>
    </row>
    <row r="378" ht="15.75" customHeight="1" outlineLevel="1">
      <c r="A378" s="211"/>
      <c r="B378" s="212"/>
      <c r="C378" s="213"/>
      <c r="D378" s="214" t="str">
        <f>IFERROR(VLOOKUP($C378,'PORTIFÓLIO'!C:V,2,0),"")</f>
        <v/>
      </c>
      <c r="E378" s="211" t="str">
        <f>IFERROR(VLOOKUP($C378,'PORTIFÓLIO'!C:V,3,0),"")</f>
        <v/>
      </c>
      <c r="F378" s="211" t="str">
        <f>IFERROR(VLOOKUP($C378,'PORTIFÓLIO'!C:V,4,0),"")</f>
        <v/>
      </c>
      <c r="G378" s="215" t="str">
        <f>IFERROR(VLOOKUP($C378,'PORTIFÓLIO'!C:V,5,0),"")</f>
        <v/>
      </c>
      <c r="H378" s="254" t="str">
        <f t="array" ref="H378">IFERROR(INDEX('PORTIFÓLIO'!$H$4:$H$433,MATCH($C378,'PORTIFÓLIO'!$C$4:$C$433,0)),"")</f>
        <v/>
      </c>
      <c r="I378" s="256"/>
      <c r="J378" s="218">
        <f t="shared" si="43"/>
        <v>0</v>
      </c>
      <c r="K378" s="292" t="str">
        <f t="array" ref="K378">IFERROR(I378*INDEX('PORTIFÓLIO'!$S$4:$S$433,MATCH($C378,'PORTIFÓLIO'!$C$4:$C$433,0)),"")</f>
        <v/>
      </c>
      <c r="L378" s="292" t="str">
        <f t="array" ref="L378">IFERROR(J378*INDEX('PORTIFÓLIO'!$S$4:$S$433,MATCH($C378,'PORTIFÓLIO'!$C$4:$C$433,0)),"")</f>
        <v/>
      </c>
      <c r="M378" s="220"/>
      <c r="N378" s="220"/>
      <c r="O378" s="220"/>
      <c r="P378" s="220"/>
      <c r="Q378" s="220"/>
      <c r="R378" s="220"/>
      <c r="S378" s="220"/>
      <c r="T378" s="220"/>
      <c r="U378" s="220"/>
      <c r="V378" s="220"/>
      <c r="W378" s="220"/>
    </row>
    <row r="379" ht="15.75" customHeight="1" outlineLevel="1">
      <c r="A379" s="211"/>
      <c r="B379" s="212"/>
      <c r="C379" s="213"/>
      <c r="D379" s="214" t="str">
        <f>IFERROR(VLOOKUP($C379,'PORTIFÓLIO'!C:V,2,0),"")</f>
        <v/>
      </c>
      <c r="E379" s="211" t="str">
        <f>IFERROR(VLOOKUP($C379,'PORTIFÓLIO'!C:V,3,0),"")</f>
        <v/>
      </c>
      <c r="F379" s="211" t="str">
        <f>IFERROR(VLOOKUP($C379,'PORTIFÓLIO'!C:V,4,0),"")</f>
        <v/>
      </c>
      <c r="G379" s="215" t="str">
        <f>IFERROR(VLOOKUP($C379,'PORTIFÓLIO'!C:V,5,0),"")</f>
        <v/>
      </c>
      <c r="H379" s="254" t="str">
        <f t="array" ref="H379">IFERROR(INDEX('PORTIFÓLIO'!$H$4:$H$433,MATCH($C379,'PORTIFÓLIO'!$C$4:$C$433,0)),"")</f>
        <v/>
      </c>
      <c r="I379" s="256"/>
      <c r="J379" s="218">
        <f t="shared" si="43"/>
        <v>0</v>
      </c>
      <c r="K379" s="292" t="str">
        <f t="array" ref="K379">IFERROR(I379*INDEX('PORTIFÓLIO'!$S$4:$S$433,MATCH($C379,'PORTIFÓLIO'!$C$4:$C$433,0)),"")</f>
        <v/>
      </c>
      <c r="L379" s="292" t="str">
        <f t="array" ref="L379">IFERROR(J379*INDEX('PORTIFÓLIO'!$S$4:$S$433,MATCH($C379,'PORTIFÓLIO'!$C$4:$C$433,0)),"")</f>
        <v/>
      </c>
      <c r="M379" s="220"/>
      <c r="N379" s="220"/>
      <c r="O379" s="220"/>
      <c r="P379" s="220"/>
      <c r="Q379" s="220"/>
      <c r="R379" s="220"/>
      <c r="S379" s="220"/>
      <c r="T379" s="220"/>
      <c r="U379" s="220"/>
      <c r="V379" s="220"/>
      <c r="W379" s="220"/>
    </row>
    <row r="380" ht="15.75" customHeight="1" outlineLevel="1">
      <c r="A380" s="211"/>
      <c r="B380" s="212"/>
      <c r="C380" s="213"/>
      <c r="D380" s="214" t="str">
        <f>IFERROR(VLOOKUP($C380,'PORTIFÓLIO'!C:V,2,0),"")</f>
        <v/>
      </c>
      <c r="E380" s="211" t="str">
        <f>IFERROR(VLOOKUP($C380,'PORTIFÓLIO'!C:V,3,0),"")</f>
        <v/>
      </c>
      <c r="F380" s="211" t="str">
        <f>IFERROR(VLOOKUP($C380,'PORTIFÓLIO'!C:V,4,0),"")</f>
        <v/>
      </c>
      <c r="G380" s="215" t="str">
        <f>IFERROR(VLOOKUP($C380,'PORTIFÓLIO'!C:V,5,0),"")</f>
        <v/>
      </c>
      <c r="H380" s="254" t="str">
        <f t="array" ref="H380">IFERROR(INDEX('PORTIFÓLIO'!$H$4:$H$433,MATCH($C380,'PORTIFÓLIO'!$C$4:$C$433,0)),"")</f>
        <v/>
      </c>
      <c r="I380" s="256"/>
      <c r="J380" s="218">
        <f t="shared" si="43"/>
        <v>0</v>
      </c>
      <c r="K380" s="292" t="str">
        <f t="array" ref="K380">IFERROR(I380*INDEX('PORTIFÓLIO'!$S$4:$S$433,MATCH($C380,'PORTIFÓLIO'!$C$4:$C$433,0)),"")</f>
        <v/>
      </c>
      <c r="L380" s="292" t="str">
        <f t="array" ref="L380">IFERROR(J380*INDEX('PORTIFÓLIO'!$S$4:$S$433,MATCH($C380,'PORTIFÓLIO'!$C$4:$C$433,0)),"")</f>
        <v/>
      </c>
      <c r="M380" s="220"/>
      <c r="N380" s="220"/>
      <c r="O380" s="220"/>
      <c r="P380" s="220"/>
      <c r="Q380" s="220"/>
      <c r="R380" s="220"/>
      <c r="S380" s="220"/>
      <c r="T380" s="220"/>
      <c r="U380" s="220"/>
      <c r="V380" s="220"/>
      <c r="W380" s="220"/>
    </row>
    <row r="381" ht="15.75" customHeight="1" outlineLevel="1">
      <c r="A381" s="211"/>
      <c r="B381" s="212"/>
      <c r="C381" s="213"/>
      <c r="D381" s="214" t="str">
        <f>IFERROR(VLOOKUP($C381,'PORTIFÓLIO'!C:V,2,0),"")</f>
        <v/>
      </c>
      <c r="E381" s="211" t="str">
        <f>IFERROR(VLOOKUP($C381,'PORTIFÓLIO'!C:V,3,0),"")</f>
        <v/>
      </c>
      <c r="F381" s="211" t="str">
        <f>IFERROR(VLOOKUP($C381,'PORTIFÓLIO'!C:V,4,0),"")</f>
        <v/>
      </c>
      <c r="G381" s="215" t="str">
        <f>IFERROR(VLOOKUP($C381,'PORTIFÓLIO'!C:V,5,0),"")</f>
        <v/>
      </c>
      <c r="H381" s="254" t="str">
        <f t="array" ref="H381">IFERROR(INDEX('PORTIFÓLIO'!$H$4:$H$433,MATCH($C381,'PORTIFÓLIO'!$C$4:$C$433,0)),"")</f>
        <v/>
      </c>
      <c r="I381" s="256"/>
      <c r="J381" s="218">
        <f t="shared" si="43"/>
        <v>0</v>
      </c>
      <c r="K381" s="292" t="str">
        <f t="array" ref="K381">IFERROR(I381*INDEX('PORTIFÓLIO'!$S$4:$S$433,MATCH($C381,'PORTIFÓLIO'!$C$4:$C$433,0)),"")</f>
        <v/>
      </c>
      <c r="L381" s="292" t="str">
        <f t="array" ref="L381">IFERROR(J381*INDEX('PORTIFÓLIO'!$S$4:$S$433,MATCH($C381,'PORTIFÓLIO'!$C$4:$C$433,0)),"")</f>
        <v/>
      </c>
      <c r="M381" s="220"/>
      <c r="N381" s="220"/>
      <c r="O381" s="220"/>
      <c r="P381" s="220"/>
      <c r="Q381" s="220"/>
      <c r="R381" s="220"/>
      <c r="S381" s="220"/>
      <c r="T381" s="220"/>
      <c r="U381" s="220"/>
      <c r="V381" s="220"/>
      <c r="W381" s="220"/>
    </row>
    <row r="382" ht="15.75" customHeight="1" outlineLevel="1">
      <c r="A382" s="211"/>
      <c r="B382" s="212"/>
      <c r="C382" s="213"/>
      <c r="D382" s="214" t="str">
        <f>IFERROR(VLOOKUP($C382,'PORTIFÓLIO'!C:V,2,0),"")</f>
        <v/>
      </c>
      <c r="E382" s="211" t="str">
        <f>IFERROR(VLOOKUP($C382,'PORTIFÓLIO'!C:V,3,0),"")</f>
        <v/>
      </c>
      <c r="F382" s="211" t="str">
        <f>IFERROR(VLOOKUP($C382,'PORTIFÓLIO'!C:V,4,0),"")</f>
        <v/>
      </c>
      <c r="G382" s="215" t="str">
        <f>IFERROR(VLOOKUP($C382,'PORTIFÓLIO'!C:V,5,0),"")</f>
        <v/>
      </c>
      <c r="H382" s="254" t="str">
        <f t="array" ref="H382">IFERROR(INDEX('PORTIFÓLIO'!$H$4:$H$433,MATCH($C382,'PORTIFÓLIO'!$C$4:$C$433,0)),"")</f>
        <v/>
      </c>
      <c r="I382" s="256"/>
      <c r="J382" s="218">
        <f t="shared" si="43"/>
        <v>0</v>
      </c>
      <c r="K382" s="292" t="str">
        <f t="array" ref="K382">IFERROR(I382*INDEX('PORTIFÓLIO'!$S$4:$S$433,MATCH($C382,'PORTIFÓLIO'!$C$4:$C$433,0)),"")</f>
        <v/>
      </c>
      <c r="L382" s="292" t="str">
        <f t="array" ref="L382">IFERROR(J382*INDEX('PORTIFÓLIO'!$S$4:$S$433,MATCH($C382,'PORTIFÓLIO'!$C$4:$C$433,0)),"")</f>
        <v/>
      </c>
      <c r="M382" s="220"/>
      <c r="N382" s="220"/>
      <c r="O382" s="220"/>
      <c r="P382" s="220"/>
      <c r="Q382" s="220"/>
      <c r="R382" s="220"/>
      <c r="S382" s="220"/>
      <c r="T382" s="220"/>
      <c r="U382" s="220"/>
      <c r="V382" s="220"/>
      <c r="W382" s="220"/>
    </row>
    <row r="383" ht="15.75" customHeight="1" outlineLevel="1">
      <c r="A383" s="211"/>
      <c r="B383" s="212"/>
      <c r="C383" s="213"/>
      <c r="D383" s="214" t="str">
        <f>IFERROR(VLOOKUP($C383,'PORTIFÓLIO'!C:V,2,0),"")</f>
        <v/>
      </c>
      <c r="E383" s="211" t="str">
        <f>IFERROR(VLOOKUP($C383,'PORTIFÓLIO'!C:V,3,0),"")</f>
        <v/>
      </c>
      <c r="F383" s="211" t="str">
        <f>IFERROR(VLOOKUP($C383,'PORTIFÓLIO'!C:V,4,0),"")</f>
        <v/>
      </c>
      <c r="G383" s="215" t="str">
        <f>IFERROR(VLOOKUP($C383,'PORTIFÓLIO'!C:V,5,0),"")</f>
        <v/>
      </c>
      <c r="H383" s="254" t="str">
        <f t="array" ref="H383">IFERROR(INDEX('PORTIFÓLIO'!$H$4:$H$433,MATCH($C383,'PORTIFÓLIO'!$C$4:$C$433,0)),"")</f>
        <v/>
      </c>
      <c r="I383" s="256"/>
      <c r="J383" s="218">
        <f t="shared" si="43"/>
        <v>0</v>
      </c>
      <c r="K383" s="292" t="str">
        <f t="array" ref="K383">IFERROR(I383*INDEX('PORTIFÓLIO'!$S$4:$S$433,MATCH($C383,'PORTIFÓLIO'!$C$4:$C$433,0)),"")</f>
        <v/>
      </c>
      <c r="L383" s="292" t="str">
        <f t="array" ref="L383">IFERROR(J383*INDEX('PORTIFÓLIO'!$S$4:$S$433,MATCH($C383,'PORTIFÓLIO'!$C$4:$C$433,0)),"")</f>
        <v/>
      </c>
      <c r="M383" s="220"/>
      <c r="N383" s="220"/>
      <c r="O383" s="220"/>
      <c r="P383" s="220"/>
      <c r="Q383" s="220"/>
      <c r="R383" s="220"/>
      <c r="S383" s="220"/>
      <c r="T383" s="220"/>
      <c r="U383" s="220"/>
      <c r="V383" s="220"/>
      <c r="W383" s="220"/>
    </row>
    <row r="384" ht="15.75" customHeight="1" outlineLevel="1">
      <c r="A384" s="211"/>
      <c r="B384" s="212"/>
      <c r="C384" s="213"/>
      <c r="D384" s="214" t="str">
        <f>IFERROR(VLOOKUP($C384,'PORTIFÓLIO'!C:V,2,0),"")</f>
        <v/>
      </c>
      <c r="E384" s="211" t="str">
        <f>IFERROR(VLOOKUP($C384,'PORTIFÓLIO'!C:V,3,0),"")</f>
        <v/>
      </c>
      <c r="F384" s="211" t="str">
        <f>IFERROR(VLOOKUP($C384,'PORTIFÓLIO'!C:V,4,0),"")</f>
        <v/>
      </c>
      <c r="G384" s="215" t="str">
        <f>IFERROR(VLOOKUP($C384,'PORTIFÓLIO'!C:V,5,0),"")</f>
        <v/>
      </c>
      <c r="H384" s="254" t="str">
        <f t="array" ref="H384">IFERROR(INDEX('PORTIFÓLIO'!$H$4:$H$433,MATCH($C384,'PORTIFÓLIO'!$C$4:$C$433,0)),"")</f>
        <v/>
      </c>
      <c r="I384" s="255"/>
      <c r="J384" s="218">
        <f t="shared" si="43"/>
        <v>0</v>
      </c>
      <c r="K384" s="292" t="str">
        <f t="array" ref="K384">IFERROR(I384*INDEX('PORTIFÓLIO'!$S$4:$S$433,MATCH($C384,'PORTIFÓLIO'!$C$4:$C$433,0)),"")</f>
        <v/>
      </c>
      <c r="L384" s="292" t="str">
        <f t="array" ref="L384">IFERROR(J384*INDEX('PORTIFÓLIO'!$S$4:$S$433,MATCH($C384,'PORTIFÓLIO'!$C$4:$C$433,0)),"")</f>
        <v/>
      </c>
      <c r="M384" s="220"/>
      <c r="N384" s="220"/>
      <c r="O384" s="220"/>
      <c r="P384" s="220"/>
      <c r="Q384" s="220"/>
      <c r="R384" s="220"/>
      <c r="S384" s="220"/>
      <c r="T384" s="220"/>
      <c r="U384" s="220"/>
      <c r="V384" s="220"/>
      <c r="W384" s="220"/>
    </row>
    <row r="385" ht="15.75" customHeight="1" outlineLevel="1">
      <c r="A385" s="211"/>
      <c r="B385" s="212"/>
      <c r="C385" s="213"/>
      <c r="D385" s="214" t="str">
        <f>IFERROR(VLOOKUP($C385,'PORTIFÓLIO'!C:V,2,0),"")</f>
        <v/>
      </c>
      <c r="E385" s="211" t="str">
        <f>IFERROR(VLOOKUP($C385,'PORTIFÓLIO'!C:V,3,0),"")</f>
        <v/>
      </c>
      <c r="F385" s="211" t="str">
        <f>IFERROR(VLOOKUP($C385,'PORTIFÓLIO'!C:V,4,0),"")</f>
        <v/>
      </c>
      <c r="G385" s="215" t="str">
        <f>IFERROR(VLOOKUP($C385,'PORTIFÓLIO'!C:V,5,0),"")</f>
        <v/>
      </c>
      <c r="H385" s="254" t="str">
        <f t="array" ref="H385">IFERROR(INDEX('PORTIFÓLIO'!$H$4:$H$433,MATCH($C385,'PORTIFÓLIO'!$C$4:$C$433,0)),"")</f>
        <v/>
      </c>
      <c r="I385" s="256"/>
      <c r="J385" s="218">
        <f t="shared" si="43"/>
        <v>0</v>
      </c>
      <c r="K385" s="292" t="str">
        <f t="array" ref="K385">IFERROR(I385*INDEX('PORTIFÓLIO'!$S$4:$S$433,MATCH($C385,'PORTIFÓLIO'!$C$4:$C$433,0)),"")</f>
        <v/>
      </c>
      <c r="L385" s="292" t="str">
        <f t="array" ref="L385">IFERROR(J385*INDEX('PORTIFÓLIO'!$S$4:$S$433,MATCH($C385,'PORTIFÓLIO'!$C$4:$C$433,0)),"")</f>
        <v/>
      </c>
      <c r="M385" s="220"/>
      <c r="N385" s="220"/>
      <c r="O385" s="220"/>
      <c r="P385" s="220"/>
      <c r="Q385" s="220"/>
      <c r="R385" s="220"/>
      <c r="S385" s="220"/>
      <c r="T385" s="220"/>
      <c r="U385" s="220"/>
      <c r="V385" s="220"/>
      <c r="W385" s="220"/>
    </row>
    <row r="386" ht="15.75" customHeight="1" outlineLevel="1">
      <c r="A386" s="211"/>
      <c r="B386" s="212"/>
      <c r="C386" s="213"/>
      <c r="D386" s="214" t="str">
        <f>IFERROR(VLOOKUP($C386,'PORTIFÓLIO'!C:V,2,0),"")</f>
        <v/>
      </c>
      <c r="E386" s="211" t="str">
        <f>IFERROR(VLOOKUP($C386,'PORTIFÓLIO'!C:V,3,0),"")</f>
        <v/>
      </c>
      <c r="F386" s="211" t="str">
        <f>IFERROR(VLOOKUP($C386,'PORTIFÓLIO'!C:V,4,0),"")</f>
        <v/>
      </c>
      <c r="G386" s="215" t="str">
        <f>IFERROR(VLOOKUP($C386,'PORTIFÓLIO'!C:V,5,0),"")</f>
        <v/>
      </c>
      <c r="H386" s="254" t="str">
        <f t="array" ref="H386">IFERROR(INDEX('PORTIFÓLIO'!$H$4:$H$433,MATCH($C386,'PORTIFÓLIO'!$C$4:$C$433,0)),"")</f>
        <v/>
      </c>
      <c r="I386" s="256"/>
      <c r="J386" s="218">
        <f t="shared" si="43"/>
        <v>0</v>
      </c>
      <c r="K386" s="292" t="str">
        <f t="array" ref="K386">IFERROR(I386*INDEX('PORTIFÓLIO'!$S$4:$S$433,MATCH($C386,'PORTIFÓLIO'!$C$4:$C$433,0)),"")</f>
        <v/>
      </c>
      <c r="L386" s="292" t="str">
        <f t="array" ref="L386">IFERROR(J386*INDEX('PORTIFÓLIO'!$S$4:$S$433,MATCH($C386,'PORTIFÓLIO'!$C$4:$C$433,0)),"")</f>
        <v/>
      </c>
      <c r="M386" s="220"/>
      <c r="N386" s="220"/>
      <c r="O386" s="220"/>
      <c r="P386" s="220"/>
      <c r="Q386" s="220"/>
      <c r="R386" s="220"/>
      <c r="S386" s="220"/>
      <c r="T386" s="220"/>
      <c r="U386" s="220"/>
      <c r="V386" s="220"/>
      <c r="W386" s="220"/>
    </row>
    <row r="387" ht="15.75" customHeight="1" outlineLevel="1">
      <c r="A387" s="211"/>
      <c r="B387" s="212"/>
      <c r="C387" s="213"/>
      <c r="D387" s="214" t="str">
        <f>IFERROR(VLOOKUP($C387,'PORTIFÓLIO'!C:V,2,0),"")</f>
        <v/>
      </c>
      <c r="E387" s="211" t="str">
        <f>IFERROR(VLOOKUP($C387,'PORTIFÓLIO'!C:V,3,0),"")</f>
        <v/>
      </c>
      <c r="F387" s="211" t="str">
        <f>IFERROR(VLOOKUP($C387,'PORTIFÓLIO'!C:V,4,0),"")</f>
        <v/>
      </c>
      <c r="G387" s="215" t="str">
        <f>IFERROR(VLOOKUP($C387,'PORTIFÓLIO'!C:V,5,0),"")</f>
        <v/>
      </c>
      <c r="H387" s="254" t="str">
        <f t="array" ref="H387">IFERROR(INDEX('PORTIFÓLIO'!$H$4:$H$433,MATCH($C387,'PORTIFÓLIO'!$C$4:$C$433,0)),"")</f>
        <v/>
      </c>
      <c r="I387" s="256"/>
      <c r="J387" s="218">
        <f t="shared" si="43"/>
        <v>0</v>
      </c>
      <c r="K387" s="292" t="str">
        <f t="array" ref="K387">IFERROR(I387*INDEX('PORTIFÓLIO'!$S$4:$S$433,MATCH($C387,'PORTIFÓLIO'!$C$4:$C$433,0)),"")</f>
        <v/>
      </c>
      <c r="L387" s="292" t="str">
        <f t="array" ref="L387">IFERROR(J387*INDEX('PORTIFÓLIO'!$S$4:$S$433,MATCH($C387,'PORTIFÓLIO'!$C$4:$C$433,0)),"")</f>
        <v/>
      </c>
      <c r="M387" s="220"/>
      <c r="N387" s="220"/>
      <c r="O387" s="220"/>
      <c r="P387" s="220"/>
      <c r="Q387" s="220"/>
      <c r="R387" s="220"/>
      <c r="S387" s="220"/>
      <c r="T387" s="220"/>
      <c r="U387" s="220"/>
      <c r="V387" s="220"/>
      <c r="W387" s="220"/>
    </row>
    <row r="388" ht="15.75" customHeight="1" outlineLevel="1">
      <c r="A388" s="211"/>
      <c r="B388" s="212"/>
      <c r="C388" s="213"/>
      <c r="D388" s="214" t="str">
        <f>IFERROR(VLOOKUP($C388,'PORTIFÓLIO'!C:V,2,0),"")</f>
        <v/>
      </c>
      <c r="E388" s="211" t="str">
        <f>IFERROR(VLOOKUP($C388,'PORTIFÓLIO'!C:V,3,0),"")</f>
        <v/>
      </c>
      <c r="F388" s="211" t="str">
        <f>IFERROR(VLOOKUP($C388,'PORTIFÓLIO'!C:V,4,0),"")</f>
        <v/>
      </c>
      <c r="G388" s="215" t="str">
        <f>IFERROR(VLOOKUP($C388,'PORTIFÓLIO'!C:V,5,0),"")</f>
        <v/>
      </c>
      <c r="H388" s="254" t="str">
        <f t="array" ref="H388">IFERROR(INDEX('PORTIFÓLIO'!$H$4:$H$433,MATCH($C388,'PORTIFÓLIO'!$C$4:$C$433,0)),"")</f>
        <v/>
      </c>
      <c r="I388" s="256"/>
      <c r="J388" s="218">
        <f t="shared" si="43"/>
        <v>0</v>
      </c>
      <c r="K388" s="292" t="str">
        <f t="array" ref="K388">IFERROR(I388*INDEX('PORTIFÓLIO'!$S$4:$S$433,MATCH($C388,'PORTIFÓLIO'!$C$4:$C$433,0)),"")</f>
        <v/>
      </c>
      <c r="L388" s="292" t="str">
        <f t="array" ref="L388">IFERROR(J388*INDEX('PORTIFÓLIO'!$S$4:$S$433,MATCH($C388,'PORTIFÓLIO'!$C$4:$C$433,0)),"")</f>
        <v/>
      </c>
      <c r="M388" s="220"/>
      <c r="N388" s="220"/>
      <c r="O388" s="220"/>
      <c r="P388" s="220"/>
      <c r="Q388" s="220"/>
      <c r="R388" s="220"/>
      <c r="S388" s="220"/>
      <c r="T388" s="220"/>
      <c r="U388" s="220"/>
      <c r="V388" s="220"/>
      <c r="W388" s="220"/>
    </row>
    <row r="389" ht="15.75" customHeight="1" outlineLevel="1">
      <c r="A389" s="211"/>
      <c r="B389" s="212"/>
      <c r="C389" s="213"/>
      <c r="D389" s="214" t="str">
        <f>IFERROR(VLOOKUP($C389,'PORTIFÓLIO'!C:V,2,0),"")</f>
        <v/>
      </c>
      <c r="E389" s="211" t="str">
        <f>IFERROR(VLOOKUP($C389,'PORTIFÓLIO'!C:V,3,0),"")</f>
        <v/>
      </c>
      <c r="F389" s="211" t="str">
        <f>IFERROR(VLOOKUP($C389,'PORTIFÓLIO'!C:V,4,0),"")</f>
        <v/>
      </c>
      <c r="G389" s="215" t="str">
        <f>IFERROR(VLOOKUP($C389,'PORTIFÓLIO'!C:V,5,0),"")</f>
        <v/>
      </c>
      <c r="H389" s="254" t="str">
        <f t="array" ref="H389">IFERROR(INDEX('PORTIFÓLIO'!$H$4:$H$433,MATCH($C389,'PORTIFÓLIO'!$C$4:$C$433,0)),"")</f>
        <v/>
      </c>
      <c r="I389" s="256"/>
      <c r="J389" s="218">
        <f t="shared" si="43"/>
        <v>0</v>
      </c>
      <c r="K389" s="292" t="str">
        <f t="array" ref="K389">IFERROR(I389*INDEX('PORTIFÓLIO'!$S$4:$S$433,MATCH($C389,'PORTIFÓLIO'!$C$4:$C$433,0)),"")</f>
        <v/>
      </c>
      <c r="L389" s="292" t="str">
        <f t="array" ref="L389">IFERROR(J389*INDEX('PORTIFÓLIO'!$S$4:$S$433,MATCH($C389,'PORTIFÓLIO'!$C$4:$C$433,0)),"")</f>
        <v/>
      </c>
      <c r="M389" s="220"/>
      <c r="N389" s="220"/>
      <c r="O389" s="220"/>
      <c r="P389" s="220"/>
      <c r="Q389" s="220"/>
      <c r="R389" s="220"/>
      <c r="S389" s="220"/>
      <c r="T389" s="220"/>
      <c r="U389" s="220"/>
      <c r="V389" s="220"/>
      <c r="W389" s="220"/>
    </row>
    <row r="390" ht="15.75" customHeight="1" outlineLevel="1">
      <c r="A390" s="211"/>
      <c r="B390" s="212"/>
      <c r="C390" s="213"/>
      <c r="D390" s="214" t="str">
        <f>IFERROR(VLOOKUP($C390,'PORTIFÓLIO'!C:V,2,0),"")</f>
        <v/>
      </c>
      <c r="E390" s="211" t="str">
        <f>IFERROR(VLOOKUP($C390,'PORTIFÓLIO'!C:V,3,0),"")</f>
        <v/>
      </c>
      <c r="F390" s="211" t="str">
        <f>IFERROR(VLOOKUP($C390,'PORTIFÓLIO'!C:V,4,0),"")</f>
        <v/>
      </c>
      <c r="G390" s="215" t="str">
        <f>IFERROR(VLOOKUP($C390,'PORTIFÓLIO'!C:V,5,0),"")</f>
        <v/>
      </c>
      <c r="H390" s="254" t="str">
        <f t="array" ref="H390">IFERROR(INDEX('PORTIFÓLIO'!$H$4:$H$433,MATCH($C390,'PORTIFÓLIO'!$C$4:$C$433,0)),"")</f>
        <v/>
      </c>
      <c r="I390" s="256"/>
      <c r="J390" s="218">
        <f t="shared" si="43"/>
        <v>0</v>
      </c>
      <c r="K390" s="292" t="str">
        <f t="array" ref="K390">IFERROR(I390*INDEX('PORTIFÓLIO'!$S$4:$S$433,MATCH($C390,'PORTIFÓLIO'!$C$4:$C$433,0)),"")</f>
        <v/>
      </c>
      <c r="L390" s="292" t="str">
        <f t="array" ref="L390">IFERROR(J390*INDEX('PORTIFÓLIO'!$S$4:$S$433,MATCH($C390,'PORTIFÓLIO'!$C$4:$C$433,0)),"")</f>
        <v/>
      </c>
      <c r="M390" s="220"/>
      <c r="N390" s="220"/>
      <c r="O390" s="220"/>
      <c r="P390" s="220"/>
      <c r="Q390" s="220"/>
      <c r="R390" s="220"/>
      <c r="S390" s="220"/>
      <c r="T390" s="220"/>
      <c r="U390" s="220"/>
      <c r="V390" s="220"/>
      <c r="W390" s="220"/>
    </row>
    <row r="391" ht="15.75" customHeight="1" outlineLevel="1">
      <c r="A391" s="211"/>
      <c r="B391" s="227"/>
      <c r="C391" s="211"/>
      <c r="D391" s="214" t="str">
        <f>IFERROR(VLOOKUP($C391,'PORTIFÓLIO'!C:V,2,0),"")</f>
        <v/>
      </c>
      <c r="E391" s="211" t="str">
        <f>IFERROR(VLOOKUP($C391,'PORTIFÓLIO'!C:V,3,0),"")</f>
        <v/>
      </c>
      <c r="F391" s="211" t="str">
        <f>IFERROR(VLOOKUP($C391,'PORTIFÓLIO'!C:V,4,0),"")</f>
        <v/>
      </c>
      <c r="G391" s="215" t="str">
        <f>IFERROR(VLOOKUP($C391,'PORTIFÓLIO'!C:V,5,0),"")</f>
        <v/>
      </c>
      <c r="H391" s="254" t="str">
        <f t="array" ref="H391">IFERROR(INDEX('PORTIFÓLIO'!$H$4:$H$433,MATCH($C391,'PORTIFÓLIO'!$C$4:$C$433,0)),"")</f>
        <v/>
      </c>
      <c r="I391" s="256"/>
      <c r="J391" s="218"/>
      <c r="K391" s="292" t="str">
        <f t="array" ref="K391">IFERROR(I391*INDEX('PORTIFÓLIO'!$S$4:$S$433,MATCH($C391,'PORTIFÓLIO'!$C$4:$C$433,0)),"")</f>
        <v/>
      </c>
      <c r="L391" s="292" t="str">
        <f t="array" ref="L391">IFERROR(J391*INDEX('PORTIFÓLIO'!$S$4:$S$433,MATCH($C391,'PORTIFÓLIO'!$C$4:$C$433,0)),"")</f>
        <v/>
      </c>
      <c r="M391" s="220"/>
      <c r="N391" s="220"/>
      <c r="O391" s="220"/>
      <c r="P391" s="220"/>
      <c r="Q391" s="220"/>
      <c r="R391" s="220"/>
      <c r="S391" s="220"/>
      <c r="T391" s="220"/>
      <c r="U391" s="220"/>
      <c r="V391" s="220"/>
      <c r="W391" s="220"/>
    </row>
    <row r="392" ht="15.75" customHeight="1">
      <c r="A392" s="229" t="s">
        <v>1193</v>
      </c>
      <c r="B392" s="230"/>
      <c r="C392" s="231"/>
      <c r="D392" s="232"/>
      <c r="E392" s="231"/>
      <c r="F392" s="231"/>
      <c r="G392" s="233"/>
      <c r="H392" s="233"/>
      <c r="I392" s="258"/>
      <c r="J392" s="236"/>
      <c r="K392" s="237">
        <f t="shared" ref="K392:L392" si="44">SUBTOTAL(9,K393:K406)</f>
        <v>0</v>
      </c>
      <c r="L392" s="237">
        <f t="shared" si="44"/>
        <v>0</v>
      </c>
      <c r="M392" s="220"/>
      <c r="N392" s="220"/>
      <c r="O392" s="220"/>
      <c r="P392" s="220"/>
      <c r="Q392" s="220"/>
      <c r="R392" s="220"/>
      <c r="S392" s="220"/>
      <c r="T392" s="220"/>
      <c r="U392" s="220"/>
      <c r="V392" s="220"/>
      <c r="W392" s="220"/>
    </row>
    <row r="393" ht="15.75" customHeight="1" outlineLevel="1">
      <c r="A393" s="213"/>
      <c r="B393" s="212"/>
      <c r="C393" s="213"/>
      <c r="D393" s="214" t="str">
        <f>IFERROR(VLOOKUP($C393,'PORTIFÓLIO'!C:V,2,0),"")</f>
        <v/>
      </c>
      <c r="E393" s="211" t="str">
        <f>IFERROR(VLOOKUP($C393,'PORTIFÓLIO'!C:V,3,0),"")</f>
        <v/>
      </c>
      <c r="F393" s="211" t="str">
        <f>IFERROR(VLOOKUP($C393,'PORTIFÓLIO'!C:V,4,0),"")</f>
        <v/>
      </c>
      <c r="G393" s="215" t="str">
        <f>IFERROR(VLOOKUP($C393,'PORTIFÓLIO'!C:V,5,0),"")</f>
        <v/>
      </c>
      <c r="H393" s="254" t="str">
        <f t="array" ref="H393">IFERROR(INDEX('PORTIFÓLIO'!$H$4:$H$433,MATCH($C393,'PORTIFÓLIO'!$C$4:$C$433,0)),"")</f>
        <v/>
      </c>
      <c r="I393" s="255"/>
      <c r="J393" s="218">
        <f t="shared" ref="J393:J408" si="45">I393*$B$2</f>
        <v>0</v>
      </c>
      <c r="K393" s="292" t="str">
        <f t="array" ref="K393">IFERROR(I393*INDEX('PORTIFÓLIO'!$S$4:$S$433,MATCH($C393,'PORTIFÓLIO'!$C$4:$C$433,0)),"")</f>
        <v/>
      </c>
      <c r="L393" s="292" t="str">
        <f t="array" ref="L393">IFERROR(J393*INDEX('PORTIFÓLIO'!$S$4:$S$433,MATCH($C393,'PORTIFÓLIO'!$C$4:$C$433,0)),"")</f>
        <v/>
      </c>
      <c r="M393" s="220"/>
      <c r="N393" s="220"/>
      <c r="O393" s="220"/>
      <c r="P393" s="220"/>
      <c r="Q393" s="220"/>
      <c r="R393" s="220"/>
      <c r="S393" s="220"/>
      <c r="T393" s="220"/>
      <c r="U393" s="220"/>
      <c r="V393" s="220"/>
      <c r="W393" s="220"/>
    </row>
    <row r="394" ht="15.75" customHeight="1" outlineLevel="1">
      <c r="A394" s="211"/>
      <c r="B394" s="212"/>
      <c r="C394" s="213"/>
      <c r="D394" s="214" t="str">
        <f>IFERROR(VLOOKUP($C394,'PORTIFÓLIO'!C:V,2,0),"")</f>
        <v/>
      </c>
      <c r="E394" s="211" t="str">
        <f>IFERROR(VLOOKUP($C394,'PORTIFÓLIO'!C:V,3,0),"")</f>
        <v/>
      </c>
      <c r="F394" s="211" t="str">
        <f>IFERROR(VLOOKUP($C394,'PORTIFÓLIO'!C:V,4,0),"")</f>
        <v/>
      </c>
      <c r="G394" s="215" t="str">
        <f>IFERROR(VLOOKUP($C394,'PORTIFÓLIO'!C:V,5,0),"")</f>
        <v/>
      </c>
      <c r="H394" s="254" t="str">
        <f t="array" ref="H394">IFERROR(INDEX('PORTIFÓLIO'!$H$4:$H$433,MATCH($C394,'PORTIFÓLIO'!$C$4:$C$433,0)),"")</f>
        <v/>
      </c>
      <c r="I394" s="256"/>
      <c r="J394" s="218">
        <f t="shared" si="45"/>
        <v>0</v>
      </c>
      <c r="K394" s="292" t="str">
        <f t="array" ref="K394">IFERROR(I394*INDEX('PORTIFÓLIO'!$S$4:$S$433,MATCH($C394,'PORTIFÓLIO'!$C$4:$C$433,0)),"")</f>
        <v/>
      </c>
      <c r="L394" s="292" t="str">
        <f t="array" ref="L394">IFERROR(J394*INDEX('PORTIFÓLIO'!$S$4:$S$433,MATCH($C394,'PORTIFÓLIO'!$C$4:$C$433,0)),"")</f>
        <v/>
      </c>
      <c r="M394" s="220"/>
      <c r="N394" s="220"/>
      <c r="O394" s="220"/>
      <c r="P394" s="220"/>
      <c r="Q394" s="220"/>
      <c r="R394" s="220"/>
      <c r="S394" s="220"/>
      <c r="T394" s="220"/>
      <c r="U394" s="220"/>
      <c r="V394" s="220"/>
      <c r="W394" s="220"/>
    </row>
    <row r="395" ht="15.75" customHeight="1" outlineLevel="1">
      <c r="A395" s="211"/>
      <c r="B395" s="212"/>
      <c r="C395" s="213"/>
      <c r="D395" s="214" t="str">
        <f>IFERROR(VLOOKUP($C395,'PORTIFÓLIO'!C:V,2,0),"")</f>
        <v/>
      </c>
      <c r="E395" s="211" t="str">
        <f>IFERROR(VLOOKUP($C395,'PORTIFÓLIO'!C:V,3,0),"")</f>
        <v/>
      </c>
      <c r="F395" s="211" t="str">
        <f>IFERROR(VLOOKUP($C395,'PORTIFÓLIO'!C:V,4,0),"")</f>
        <v/>
      </c>
      <c r="G395" s="215" t="str">
        <f>IFERROR(VLOOKUP($C395,'PORTIFÓLIO'!C:V,5,0),"")</f>
        <v/>
      </c>
      <c r="H395" s="254" t="str">
        <f t="array" ref="H395">IFERROR(INDEX('PORTIFÓLIO'!$H$4:$H$433,MATCH($C395,'PORTIFÓLIO'!$C$4:$C$433,0)),"")</f>
        <v/>
      </c>
      <c r="I395" s="256"/>
      <c r="J395" s="218">
        <f t="shared" si="45"/>
        <v>0</v>
      </c>
      <c r="K395" s="292" t="str">
        <f t="array" ref="K395">IFERROR(I395*INDEX('PORTIFÓLIO'!$S$4:$S$433,MATCH($C395,'PORTIFÓLIO'!$C$4:$C$433,0)),"")</f>
        <v/>
      </c>
      <c r="L395" s="292" t="str">
        <f t="array" ref="L395">IFERROR(J395*INDEX('PORTIFÓLIO'!$S$4:$S$433,MATCH($C395,'PORTIFÓLIO'!$C$4:$C$433,0)),"")</f>
        <v/>
      </c>
      <c r="M395" s="220"/>
      <c r="N395" s="220"/>
      <c r="O395" s="220"/>
      <c r="P395" s="220"/>
      <c r="Q395" s="220"/>
      <c r="R395" s="220"/>
      <c r="S395" s="220"/>
      <c r="T395" s="220"/>
      <c r="U395" s="220"/>
      <c r="V395" s="220"/>
      <c r="W395" s="220"/>
    </row>
    <row r="396" ht="15.75" customHeight="1" outlineLevel="1">
      <c r="A396" s="211"/>
      <c r="B396" s="212"/>
      <c r="C396" s="213"/>
      <c r="D396" s="214" t="str">
        <f>IFERROR(VLOOKUP($C396,'PORTIFÓLIO'!C:V,2,0),"")</f>
        <v/>
      </c>
      <c r="E396" s="211" t="str">
        <f>IFERROR(VLOOKUP($C396,'PORTIFÓLIO'!C:V,3,0),"")</f>
        <v/>
      </c>
      <c r="F396" s="211" t="str">
        <f>IFERROR(VLOOKUP($C396,'PORTIFÓLIO'!C:V,4,0),"")</f>
        <v/>
      </c>
      <c r="G396" s="215" t="str">
        <f>IFERROR(VLOOKUP($C396,'PORTIFÓLIO'!C:V,5,0),"")</f>
        <v/>
      </c>
      <c r="H396" s="254" t="str">
        <f t="array" ref="H396">IFERROR(INDEX('PORTIFÓLIO'!$H$4:$H$433,MATCH($C396,'PORTIFÓLIO'!$C$4:$C$433,0)),"")</f>
        <v/>
      </c>
      <c r="I396" s="256"/>
      <c r="J396" s="218">
        <f t="shared" si="45"/>
        <v>0</v>
      </c>
      <c r="K396" s="292" t="str">
        <f t="array" ref="K396">IFERROR(I396*INDEX('PORTIFÓLIO'!$S$4:$S$433,MATCH($C396,'PORTIFÓLIO'!$C$4:$C$433,0)),"")</f>
        <v/>
      </c>
      <c r="L396" s="292" t="str">
        <f t="array" ref="L396">IFERROR(J396*INDEX('PORTIFÓLIO'!$S$4:$S$433,MATCH($C396,'PORTIFÓLIO'!$C$4:$C$433,0)),"")</f>
        <v/>
      </c>
      <c r="M396" s="220"/>
      <c r="N396" s="220"/>
      <c r="O396" s="220"/>
      <c r="P396" s="220"/>
      <c r="Q396" s="220"/>
      <c r="R396" s="220"/>
      <c r="S396" s="220"/>
      <c r="T396" s="220"/>
      <c r="U396" s="220"/>
      <c r="V396" s="220"/>
      <c r="W396" s="220"/>
    </row>
    <row r="397" ht="15.75" customHeight="1" outlineLevel="1">
      <c r="A397" s="211"/>
      <c r="B397" s="212"/>
      <c r="C397" s="213"/>
      <c r="D397" s="214" t="str">
        <f>IFERROR(VLOOKUP($C397,'PORTIFÓLIO'!C:V,2,0),"")</f>
        <v/>
      </c>
      <c r="E397" s="211" t="str">
        <f>IFERROR(VLOOKUP($C397,'PORTIFÓLIO'!C:V,3,0),"")</f>
        <v/>
      </c>
      <c r="F397" s="211" t="str">
        <f>IFERROR(VLOOKUP($C397,'PORTIFÓLIO'!C:V,4,0),"")</f>
        <v/>
      </c>
      <c r="G397" s="215" t="str">
        <f>IFERROR(VLOOKUP($C397,'PORTIFÓLIO'!C:V,5,0),"")</f>
        <v/>
      </c>
      <c r="H397" s="254" t="str">
        <f t="array" ref="H397">IFERROR(INDEX('PORTIFÓLIO'!$H$4:$H$433,MATCH($C397,'PORTIFÓLIO'!$C$4:$C$433,0)),"")</f>
        <v/>
      </c>
      <c r="I397" s="256"/>
      <c r="J397" s="218">
        <f t="shared" si="45"/>
        <v>0</v>
      </c>
      <c r="K397" s="292" t="str">
        <f t="array" ref="K397">IFERROR(I397*INDEX('PORTIFÓLIO'!$S$4:$S$433,MATCH($C397,'PORTIFÓLIO'!$C$4:$C$433,0)),"")</f>
        <v/>
      </c>
      <c r="L397" s="292" t="str">
        <f t="array" ref="L397">IFERROR(J397*INDEX('PORTIFÓLIO'!$S$4:$S$433,MATCH($C397,'PORTIFÓLIO'!$C$4:$C$433,0)),"")</f>
        <v/>
      </c>
      <c r="M397" s="220"/>
      <c r="N397" s="220"/>
      <c r="O397" s="220"/>
      <c r="P397" s="220"/>
      <c r="Q397" s="220"/>
      <c r="R397" s="220"/>
      <c r="S397" s="220"/>
      <c r="T397" s="220"/>
      <c r="U397" s="220"/>
      <c r="V397" s="220"/>
      <c r="W397" s="220"/>
    </row>
    <row r="398" ht="15.75" customHeight="1" outlineLevel="1">
      <c r="A398" s="211"/>
      <c r="B398" s="212"/>
      <c r="C398" s="213"/>
      <c r="D398" s="214" t="str">
        <f>IFERROR(VLOOKUP($C398,'PORTIFÓLIO'!C:V,2,0),"")</f>
        <v/>
      </c>
      <c r="E398" s="211" t="str">
        <f>IFERROR(VLOOKUP($C398,'PORTIFÓLIO'!C:V,3,0),"")</f>
        <v/>
      </c>
      <c r="F398" s="211" t="str">
        <f>IFERROR(VLOOKUP($C398,'PORTIFÓLIO'!C:V,4,0),"")</f>
        <v/>
      </c>
      <c r="G398" s="215" t="str">
        <f>IFERROR(VLOOKUP($C398,'PORTIFÓLIO'!C:V,5,0),"")</f>
        <v/>
      </c>
      <c r="H398" s="254" t="str">
        <f t="array" ref="H398">IFERROR(INDEX('PORTIFÓLIO'!$H$4:$H$433,MATCH($C398,'PORTIFÓLIO'!$C$4:$C$433,0)),"")</f>
        <v/>
      </c>
      <c r="I398" s="256"/>
      <c r="J398" s="218">
        <f t="shared" si="45"/>
        <v>0</v>
      </c>
      <c r="K398" s="292" t="str">
        <f t="array" ref="K398">IFERROR(I398*INDEX('PORTIFÓLIO'!$S$4:$S$433,MATCH($C398,'PORTIFÓLIO'!$C$4:$C$433,0)),"")</f>
        <v/>
      </c>
      <c r="L398" s="292" t="str">
        <f t="array" ref="L398">IFERROR(J398*INDEX('PORTIFÓLIO'!$S$4:$S$433,MATCH($C398,'PORTIFÓLIO'!$C$4:$C$433,0)),"")</f>
        <v/>
      </c>
      <c r="M398" s="220"/>
      <c r="N398" s="220"/>
      <c r="O398" s="220"/>
      <c r="P398" s="220"/>
      <c r="Q398" s="220"/>
      <c r="R398" s="220"/>
      <c r="S398" s="220"/>
      <c r="T398" s="220"/>
      <c r="U398" s="220"/>
      <c r="V398" s="220"/>
      <c r="W398" s="220"/>
    </row>
    <row r="399" ht="15.75" customHeight="1" outlineLevel="1">
      <c r="A399" s="211"/>
      <c r="B399" s="212"/>
      <c r="C399" s="213"/>
      <c r="D399" s="214" t="str">
        <f>IFERROR(VLOOKUP($C399,'PORTIFÓLIO'!C:V,2,0),"")</f>
        <v/>
      </c>
      <c r="E399" s="211" t="str">
        <f>IFERROR(VLOOKUP($C399,'PORTIFÓLIO'!C:V,3,0),"")</f>
        <v/>
      </c>
      <c r="F399" s="211" t="str">
        <f>IFERROR(VLOOKUP($C399,'PORTIFÓLIO'!C:V,4,0),"")</f>
        <v/>
      </c>
      <c r="G399" s="215" t="str">
        <f>IFERROR(VLOOKUP($C399,'PORTIFÓLIO'!C:V,5,0),"")</f>
        <v/>
      </c>
      <c r="H399" s="254" t="str">
        <f t="array" ref="H399">IFERROR(INDEX('PORTIFÓLIO'!$H$4:$H$433,MATCH($C399,'PORTIFÓLIO'!$C$4:$C$433,0)),"")</f>
        <v/>
      </c>
      <c r="I399" s="256"/>
      <c r="J399" s="218">
        <f t="shared" si="45"/>
        <v>0</v>
      </c>
      <c r="K399" s="292" t="str">
        <f t="array" ref="K399">IFERROR(I399*INDEX('PORTIFÓLIO'!$S$4:$S$433,MATCH($C399,'PORTIFÓLIO'!$C$4:$C$433,0)),"")</f>
        <v/>
      </c>
      <c r="L399" s="292" t="str">
        <f t="array" ref="L399">IFERROR(J399*INDEX('PORTIFÓLIO'!$S$4:$S$433,MATCH($C399,'PORTIFÓLIO'!$C$4:$C$433,0)),"")</f>
        <v/>
      </c>
      <c r="M399" s="220"/>
      <c r="N399" s="220"/>
      <c r="O399" s="220"/>
      <c r="P399" s="220"/>
      <c r="Q399" s="220"/>
      <c r="R399" s="220"/>
      <c r="S399" s="220"/>
      <c r="T399" s="220"/>
      <c r="U399" s="220"/>
      <c r="V399" s="220"/>
      <c r="W399" s="220"/>
    </row>
    <row r="400" ht="15.75" customHeight="1" outlineLevel="1">
      <c r="A400" s="211"/>
      <c r="B400" s="212"/>
      <c r="C400" s="213"/>
      <c r="D400" s="214" t="str">
        <f>IFERROR(VLOOKUP($C400,'PORTIFÓLIO'!C:V,2,0),"")</f>
        <v/>
      </c>
      <c r="E400" s="211" t="str">
        <f>IFERROR(VLOOKUP($C400,'PORTIFÓLIO'!C:V,3,0),"")</f>
        <v/>
      </c>
      <c r="F400" s="211" t="str">
        <f>IFERROR(VLOOKUP($C400,'PORTIFÓLIO'!C:V,4,0),"")</f>
        <v/>
      </c>
      <c r="G400" s="215" t="str">
        <f>IFERROR(VLOOKUP($C400,'PORTIFÓLIO'!C:V,5,0),"")</f>
        <v/>
      </c>
      <c r="H400" s="254" t="str">
        <f t="array" ref="H400">IFERROR(INDEX('PORTIFÓLIO'!$H$4:$H$433,MATCH($C400,'PORTIFÓLIO'!$C$4:$C$433,0)),"")</f>
        <v/>
      </c>
      <c r="I400" s="256"/>
      <c r="J400" s="218">
        <f t="shared" si="45"/>
        <v>0</v>
      </c>
      <c r="K400" s="292" t="str">
        <f t="array" ref="K400">IFERROR(I400*INDEX('PORTIFÓLIO'!$S$4:$S$433,MATCH($C400,'PORTIFÓLIO'!$C$4:$C$433,0)),"")</f>
        <v/>
      </c>
      <c r="L400" s="292" t="str">
        <f t="array" ref="L400">IFERROR(J400*INDEX('PORTIFÓLIO'!$S$4:$S$433,MATCH($C400,'PORTIFÓLIO'!$C$4:$C$433,0)),"")</f>
        <v/>
      </c>
      <c r="M400" s="220"/>
      <c r="N400" s="220"/>
      <c r="O400" s="220"/>
      <c r="P400" s="220"/>
      <c r="Q400" s="220"/>
      <c r="R400" s="220"/>
      <c r="S400" s="220"/>
      <c r="T400" s="220"/>
      <c r="U400" s="220"/>
      <c r="V400" s="220"/>
      <c r="W400" s="220"/>
    </row>
    <row r="401" ht="15.75" customHeight="1" outlineLevel="1">
      <c r="A401" s="211"/>
      <c r="B401" s="212"/>
      <c r="C401" s="213"/>
      <c r="D401" s="214" t="str">
        <f>IFERROR(VLOOKUP($C401,'PORTIFÓLIO'!C:V,2,0),"")</f>
        <v/>
      </c>
      <c r="E401" s="211" t="str">
        <f>IFERROR(VLOOKUP($C401,'PORTIFÓLIO'!C:V,3,0),"")</f>
        <v/>
      </c>
      <c r="F401" s="211" t="str">
        <f>IFERROR(VLOOKUP($C401,'PORTIFÓLIO'!C:V,4,0),"")</f>
        <v/>
      </c>
      <c r="G401" s="215" t="str">
        <f>IFERROR(VLOOKUP($C401,'PORTIFÓLIO'!C:V,5,0),"")</f>
        <v/>
      </c>
      <c r="H401" s="254" t="str">
        <f t="array" ref="H401">IFERROR(INDEX('PORTIFÓLIO'!$H$4:$H$433,MATCH($C401,'PORTIFÓLIO'!$C$4:$C$433,0)),"")</f>
        <v/>
      </c>
      <c r="I401" s="255"/>
      <c r="J401" s="218">
        <f t="shared" si="45"/>
        <v>0</v>
      </c>
      <c r="K401" s="292" t="str">
        <f t="array" ref="K401">IFERROR(I401*INDEX('PORTIFÓLIO'!$S$4:$S$433,MATCH($C401,'PORTIFÓLIO'!$C$4:$C$433,0)),"")</f>
        <v/>
      </c>
      <c r="L401" s="292" t="str">
        <f t="array" ref="L401">IFERROR(J401*INDEX('PORTIFÓLIO'!$S$4:$S$433,MATCH($C401,'PORTIFÓLIO'!$C$4:$C$433,0)),"")</f>
        <v/>
      </c>
      <c r="M401" s="220"/>
      <c r="N401" s="220"/>
      <c r="O401" s="220"/>
      <c r="P401" s="220"/>
      <c r="Q401" s="220"/>
      <c r="R401" s="220"/>
      <c r="S401" s="220"/>
      <c r="T401" s="220"/>
      <c r="U401" s="220"/>
      <c r="V401" s="220"/>
      <c r="W401" s="220"/>
    </row>
    <row r="402" ht="15.75" customHeight="1" outlineLevel="1">
      <c r="A402" s="211"/>
      <c r="B402" s="212"/>
      <c r="C402" s="213"/>
      <c r="D402" s="214" t="str">
        <f>IFERROR(VLOOKUP($C402,'PORTIFÓLIO'!C:V,2,0),"")</f>
        <v/>
      </c>
      <c r="E402" s="211" t="str">
        <f>IFERROR(VLOOKUP($C402,'PORTIFÓLIO'!C:V,3,0),"")</f>
        <v/>
      </c>
      <c r="F402" s="211" t="str">
        <f>IFERROR(VLOOKUP($C402,'PORTIFÓLIO'!C:V,4,0),"")</f>
        <v/>
      </c>
      <c r="G402" s="215" t="str">
        <f>IFERROR(VLOOKUP($C402,'PORTIFÓLIO'!C:V,5,0),"")</f>
        <v/>
      </c>
      <c r="H402" s="254" t="str">
        <f t="array" ref="H402">IFERROR(INDEX('PORTIFÓLIO'!$H$4:$H$433,MATCH($C402,'PORTIFÓLIO'!$C$4:$C$433,0)),"")</f>
        <v/>
      </c>
      <c r="I402" s="256"/>
      <c r="J402" s="218">
        <f t="shared" si="45"/>
        <v>0</v>
      </c>
      <c r="K402" s="292" t="str">
        <f t="array" ref="K402">IFERROR(I402*INDEX('PORTIFÓLIO'!$S$4:$S$433,MATCH($C402,'PORTIFÓLIO'!$C$4:$C$433,0)),"")</f>
        <v/>
      </c>
      <c r="L402" s="292" t="str">
        <f t="array" ref="L402">IFERROR(J402*INDEX('PORTIFÓLIO'!$S$4:$S$433,MATCH($C402,'PORTIFÓLIO'!$C$4:$C$433,0)),"")</f>
        <v/>
      </c>
      <c r="M402" s="220"/>
      <c r="N402" s="220"/>
      <c r="O402" s="220"/>
      <c r="P402" s="220"/>
      <c r="Q402" s="220"/>
      <c r="R402" s="220"/>
      <c r="S402" s="220"/>
      <c r="T402" s="220"/>
      <c r="U402" s="220"/>
      <c r="V402" s="220"/>
      <c r="W402" s="220"/>
    </row>
    <row r="403" ht="15.75" customHeight="1" outlineLevel="1">
      <c r="A403" s="211"/>
      <c r="B403" s="212"/>
      <c r="C403" s="213"/>
      <c r="D403" s="214" t="str">
        <f>IFERROR(VLOOKUP($C403,'PORTIFÓLIO'!C:V,2,0),"")</f>
        <v/>
      </c>
      <c r="E403" s="211" t="str">
        <f>IFERROR(VLOOKUP($C403,'PORTIFÓLIO'!C:V,3,0),"")</f>
        <v/>
      </c>
      <c r="F403" s="211" t="str">
        <f>IFERROR(VLOOKUP($C403,'PORTIFÓLIO'!C:V,4,0),"")</f>
        <v/>
      </c>
      <c r="G403" s="215" t="str">
        <f>IFERROR(VLOOKUP($C403,'PORTIFÓLIO'!C:V,5,0),"")</f>
        <v/>
      </c>
      <c r="H403" s="254" t="str">
        <f t="array" ref="H403">IFERROR(INDEX('PORTIFÓLIO'!$H$4:$H$433,MATCH($C403,'PORTIFÓLIO'!$C$4:$C$433,0)),"")</f>
        <v/>
      </c>
      <c r="I403" s="256"/>
      <c r="J403" s="218">
        <f t="shared" si="45"/>
        <v>0</v>
      </c>
      <c r="K403" s="292" t="str">
        <f t="array" ref="K403">IFERROR(I403*INDEX('PORTIFÓLIO'!$S$4:$S$433,MATCH($C403,'PORTIFÓLIO'!$C$4:$C$433,0)),"")</f>
        <v/>
      </c>
      <c r="L403" s="292" t="str">
        <f t="array" ref="L403">IFERROR(J403*INDEX('PORTIFÓLIO'!$S$4:$S$433,MATCH($C403,'PORTIFÓLIO'!$C$4:$C$433,0)),"")</f>
        <v/>
      </c>
      <c r="M403" s="220"/>
      <c r="N403" s="220"/>
      <c r="O403" s="220"/>
      <c r="P403" s="220"/>
      <c r="Q403" s="220"/>
      <c r="R403" s="220"/>
      <c r="S403" s="220"/>
      <c r="T403" s="220"/>
      <c r="U403" s="220"/>
      <c r="V403" s="220"/>
      <c r="W403" s="220"/>
    </row>
    <row r="404" ht="15.75" customHeight="1" outlineLevel="1">
      <c r="A404" s="211"/>
      <c r="B404" s="212"/>
      <c r="C404" s="213"/>
      <c r="D404" s="214" t="str">
        <f>IFERROR(VLOOKUP($C404,'PORTIFÓLIO'!C:V,2,0),"")</f>
        <v/>
      </c>
      <c r="E404" s="211" t="str">
        <f>IFERROR(VLOOKUP($C404,'PORTIFÓLIO'!C:V,3,0),"")</f>
        <v/>
      </c>
      <c r="F404" s="211" t="str">
        <f>IFERROR(VLOOKUP($C404,'PORTIFÓLIO'!C:V,4,0),"")</f>
        <v/>
      </c>
      <c r="G404" s="215" t="str">
        <f>IFERROR(VLOOKUP($C404,'PORTIFÓLIO'!C:V,5,0),"")</f>
        <v/>
      </c>
      <c r="H404" s="254" t="str">
        <f t="array" ref="H404">IFERROR(INDEX('PORTIFÓLIO'!$H$4:$H$433,MATCH($C404,'PORTIFÓLIO'!$C$4:$C$433,0)),"")</f>
        <v/>
      </c>
      <c r="I404" s="256"/>
      <c r="J404" s="218">
        <f t="shared" si="45"/>
        <v>0</v>
      </c>
      <c r="K404" s="292" t="str">
        <f t="array" ref="K404">IFERROR(I404*INDEX('PORTIFÓLIO'!$S$4:$S$433,MATCH($C404,'PORTIFÓLIO'!$C$4:$C$433,0)),"")</f>
        <v/>
      </c>
      <c r="L404" s="292" t="str">
        <f t="array" ref="L404">IFERROR(J404*INDEX('PORTIFÓLIO'!$S$4:$S$433,MATCH($C404,'PORTIFÓLIO'!$C$4:$C$433,0)),"")</f>
        <v/>
      </c>
      <c r="M404" s="220"/>
      <c r="N404" s="220"/>
      <c r="O404" s="220"/>
      <c r="P404" s="220"/>
      <c r="Q404" s="220"/>
      <c r="R404" s="220"/>
      <c r="S404" s="220"/>
      <c r="T404" s="220"/>
      <c r="U404" s="220"/>
      <c r="V404" s="220"/>
      <c r="W404" s="220"/>
    </row>
    <row r="405" ht="15.75" customHeight="1" outlineLevel="1">
      <c r="A405" s="211"/>
      <c r="B405" s="212"/>
      <c r="C405" s="213"/>
      <c r="D405" s="214" t="str">
        <f>IFERROR(VLOOKUP($C405,'PORTIFÓLIO'!C:V,2,0),"")</f>
        <v/>
      </c>
      <c r="E405" s="211" t="str">
        <f>IFERROR(VLOOKUP($C405,'PORTIFÓLIO'!C:V,3,0),"")</f>
        <v/>
      </c>
      <c r="F405" s="211" t="str">
        <f>IFERROR(VLOOKUP($C405,'PORTIFÓLIO'!C:V,4,0),"")</f>
        <v/>
      </c>
      <c r="G405" s="215" t="str">
        <f>IFERROR(VLOOKUP($C405,'PORTIFÓLIO'!C:V,5,0),"")</f>
        <v/>
      </c>
      <c r="H405" s="254" t="str">
        <f t="array" ref="H405">IFERROR(INDEX('PORTIFÓLIO'!$H$4:$H$433,MATCH($C405,'PORTIFÓLIO'!$C$4:$C$433,0)),"")</f>
        <v/>
      </c>
      <c r="I405" s="256"/>
      <c r="J405" s="218">
        <f t="shared" si="45"/>
        <v>0</v>
      </c>
      <c r="K405" s="292" t="str">
        <f t="array" ref="K405">IFERROR(I405*INDEX('PORTIFÓLIO'!$S$4:$S$433,MATCH($C405,'PORTIFÓLIO'!$C$4:$C$433,0)),"")</f>
        <v/>
      </c>
      <c r="L405" s="292" t="str">
        <f t="array" ref="L405">IFERROR(J405*INDEX('PORTIFÓLIO'!$S$4:$S$433,MATCH($C405,'PORTIFÓLIO'!$C$4:$C$433,0)),"")</f>
        <v/>
      </c>
      <c r="M405" s="220"/>
      <c r="N405" s="220"/>
      <c r="O405" s="220"/>
      <c r="P405" s="220"/>
      <c r="Q405" s="220"/>
      <c r="R405" s="220"/>
      <c r="S405" s="220"/>
      <c r="T405" s="220"/>
      <c r="U405" s="220"/>
      <c r="V405" s="220"/>
      <c r="W405" s="220"/>
    </row>
    <row r="406" ht="15.75" customHeight="1" outlineLevel="1">
      <c r="A406" s="211"/>
      <c r="B406" s="212"/>
      <c r="C406" s="213"/>
      <c r="D406" s="214" t="str">
        <f>IFERROR(VLOOKUP($C406,'PORTIFÓLIO'!C:V,2,0),"")</f>
        <v/>
      </c>
      <c r="E406" s="211" t="str">
        <f>IFERROR(VLOOKUP($C406,'PORTIFÓLIO'!C:V,3,0),"")</f>
        <v/>
      </c>
      <c r="F406" s="211" t="str">
        <f>IFERROR(VLOOKUP($C406,'PORTIFÓLIO'!C:V,4,0),"")</f>
        <v/>
      </c>
      <c r="G406" s="215" t="str">
        <f>IFERROR(VLOOKUP($C406,'PORTIFÓLIO'!C:V,5,0),"")</f>
        <v/>
      </c>
      <c r="H406" s="254" t="str">
        <f t="array" ref="H406">IFERROR(INDEX('PORTIFÓLIO'!$H$4:$H$433,MATCH($C406,'PORTIFÓLIO'!$C$4:$C$433,0)),"")</f>
        <v/>
      </c>
      <c r="I406" s="256"/>
      <c r="J406" s="218">
        <f t="shared" si="45"/>
        <v>0</v>
      </c>
      <c r="K406" s="292" t="str">
        <f t="array" ref="K406">IFERROR(I406*INDEX('PORTIFÓLIO'!$S$4:$S$433,MATCH($C406,'PORTIFÓLIO'!$C$4:$C$433,0)),"")</f>
        <v/>
      </c>
      <c r="L406" s="292" t="str">
        <f t="array" ref="L406">IFERROR(J406*INDEX('PORTIFÓLIO'!$S$4:$S$433,MATCH($C406,'PORTIFÓLIO'!$C$4:$C$433,0)),"")</f>
        <v/>
      </c>
      <c r="M406" s="220"/>
      <c r="N406" s="220"/>
      <c r="O406" s="220"/>
      <c r="P406" s="220"/>
      <c r="Q406" s="220"/>
      <c r="R406" s="220"/>
      <c r="S406" s="220"/>
      <c r="T406" s="220"/>
      <c r="U406" s="220"/>
      <c r="V406" s="220"/>
      <c r="W406" s="220"/>
    </row>
    <row r="407" ht="15.75" customHeight="1" outlineLevel="1">
      <c r="A407" s="211"/>
      <c r="B407" s="212"/>
      <c r="C407" s="213"/>
      <c r="D407" s="214" t="str">
        <f>IFERROR(VLOOKUP($C407,'PORTIFÓLIO'!C:V,2,0),"")</f>
        <v/>
      </c>
      <c r="E407" s="211" t="str">
        <f>IFERROR(VLOOKUP($C407,'PORTIFÓLIO'!C:V,3,0),"")</f>
        <v/>
      </c>
      <c r="F407" s="211" t="str">
        <f>IFERROR(VLOOKUP($C407,'PORTIFÓLIO'!C:V,4,0),"")</f>
        <v/>
      </c>
      <c r="G407" s="215" t="str">
        <f>IFERROR(VLOOKUP($C407,'PORTIFÓLIO'!C:V,5,0),"")</f>
        <v/>
      </c>
      <c r="H407" s="254" t="str">
        <f t="array" ref="H407">IFERROR(INDEX('PORTIFÓLIO'!$H$4:$H$433,MATCH($C407,'PORTIFÓLIO'!$C$4:$C$433,0)),"")</f>
        <v/>
      </c>
      <c r="I407" s="256"/>
      <c r="J407" s="218">
        <f t="shared" si="45"/>
        <v>0</v>
      </c>
      <c r="K407" s="292" t="str">
        <f t="array" ref="K407">IFERROR(I407*INDEX('PORTIFÓLIO'!$S$4:$S$433,MATCH($C407,'PORTIFÓLIO'!$C$4:$C$433,0)),"")</f>
        <v/>
      </c>
      <c r="L407" s="292" t="str">
        <f t="array" ref="L407">IFERROR(J407*INDEX('PORTIFÓLIO'!$S$4:$S$433,MATCH($C407,'PORTIFÓLIO'!$C$4:$C$433,0)),"")</f>
        <v/>
      </c>
      <c r="M407" s="220"/>
      <c r="N407" s="220"/>
      <c r="O407" s="220"/>
      <c r="P407" s="220"/>
      <c r="Q407" s="220"/>
      <c r="R407" s="220"/>
      <c r="S407" s="220"/>
      <c r="T407" s="220"/>
      <c r="U407" s="220"/>
      <c r="V407" s="220"/>
      <c r="W407" s="220"/>
    </row>
    <row r="408" ht="15.75" customHeight="1" outlineLevel="1">
      <c r="A408" s="211"/>
      <c r="B408" s="227"/>
      <c r="C408" s="211"/>
      <c r="D408" s="214" t="str">
        <f>IFERROR(VLOOKUP($C408,'PORTIFÓLIO'!C:V,2,0),"")</f>
        <v/>
      </c>
      <c r="E408" s="211" t="str">
        <f>IFERROR(VLOOKUP($C408,'PORTIFÓLIO'!C:V,3,0),"")</f>
        <v/>
      </c>
      <c r="F408" s="211" t="str">
        <f>IFERROR(VLOOKUP($C408,'PORTIFÓLIO'!C:V,4,0),"")</f>
        <v/>
      </c>
      <c r="G408" s="215" t="str">
        <f>IFERROR(VLOOKUP($C408,'PORTIFÓLIO'!C:V,5,0),"")</f>
        <v/>
      </c>
      <c r="H408" s="254" t="str">
        <f t="array" ref="H408">IFERROR(INDEX('PORTIFÓLIO'!$H$4:$H$433,MATCH($C408,'PORTIFÓLIO'!$C$4:$C$433,0)),"")</f>
        <v/>
      </c>
      <c r="I408" s="256"/>
      <c r="J408" s="218">
        <f t="shared" si="45"/>
        <v>0</v>
      </c>
      <c r="K408" s="292" t="str">
        <f t="array" ref="K408">IFERROR(I408*INDEX('PORTIFÓLIO'!$S$4:$S$433,MATCH($C408,'PORTIFÓLIO'!$C$4:$C$433,0)),"")</f>
        <v/>
      </c>
      <c r="L408" s="292" t="str">
        <f t="array" ref="L408">IFERROR(J408*INDEX('PORTIFÓLIO'!$S$4:$S$433,MATCH($C408,'PORTIFÓLIO'!$C$4:$C$433,0)),"")</f>
        <v/>
      </c>
      <c r="M408" s="220"/>
      <c r="N408" s="220"/>
      <c r="O408" s="220"/>
      <c r="P408" s="220"/>
      <c r="Q408" s="220"/>
      <c r="R408" s="220"/>
      <c r="S408" s="220"/>
      <c r="T408" s="220"/>
      <c r="U408" s="220"/>
      <c r="V408" s="220"/>
      <c r="W408" s="220"/>
    </row>
    <row r="409" ht="15.75" customHeight="1">
      <c r="A409" s="229" t="s">
        <v>1194</v>
      </c>
      <c r="B409" s="230"/>
      <c r="C409" s="231"/>
      <c r="D409" s="232"/>
      <c r="E409" s="231"/>
      <c r="F409" s="231"/>
      <c r="G409" s="233"/>
      <c r="H409" s="233"/>
      <c r="I409" s="258"/>
      <c r="J409" s="236"/>
      <c r="K409" s="237">
        <f t="shared" ref="K409:L409" si="46">SUBTOTAL(9,K410:K423)</f>
        <v>0</v>
      </c>
      <c r="L409" s="237">
        <f t="shared" si="46"/>
        <v>0</v>
      </c>
      <c r="M409" s="220"/>
      <c r="N409" s="220"/>
      <c r="O409" s="220"/>
      <c r="P409" s="220"/>
      <c r="Q409" s="220"/>
      <c r="R409" s="220"/>
      <c r="S409" s="220"/>
      <c r="T409" s="220"/>
      <c r="U409" s="220"/>
      <c r="V409" s="220"/>
      <c r="W409" s="220"/>
    </row>
    <row r="410" ht="15.75" customHeight="1" outlineLevel="1">
      <c r="A410" s="213"/>
      <c r="B410" s="212"/>
      <c r="C410" s="213"/>
      <c r="D410" s="214" t="str">
        <f>IFERROR(VLOOKUP($C410,'PORTIFÓLIO'!C:V,2,0),"")</f>
        <v/>
      </c>
      <c r="E410" s="211" t="str">
        <f>IFERROR(VLOOKUP($C410,'PORTIFÓLIO'!C:V,3,0),"")</f>
        <v/>
      </c>
      <c r="F410" s="211" t="str">
        <f>IFERROR(VLOOKUP($C410,'PORTIFÓLIO'!C:V,4,0),"")</f>
        <v/>
      </c>
      <c r="G410" s="215" t="str">
        <f>IFERROR(VLOOKUP($C410,'PORTIFÓLIO'!C:V,5,0),"")</f>
        <v/>
      </c>
      <c r="H410" s="254" t="str">
        <f t="array" ref="H410">IFERROR(INDEX('PORTIFÓLIO'!$H$4:$H$433,MATCH($C410,'PORTIFÓLIO'!$C$4:$C$433,0)),"")</f>
        <v/>
      </c>
      <c r="I410" s="255"/>
      <c r="J410" s="218">
        <f t="shared" ref="J410:J426" si="47">I410*$B$2</f>
        <v>0</v>
      </c>
      <c r="K410" s="292" t="str">
        <f t="array" ref="K410">IFERROR(I410*INDEX('PORTIFÓLIO'!$S$4:$S$433,MATCH($C410,'PORTIFÓLIO'!$C$4:$C$433,0)),"")</f>
        <v/>
      </c>
      <c r="L410" s="292" t="str">
        <f t="array" ref="L410">IFERROR(J410*INDEX('PORTIFÓLIO'!$S$4:$S$433,MATCH($C410,'PORTIFÓLIO'!$C$4:$C$433,0)),"")</f>
        <v/>
      </c>
      <c r="M410" s="220"/>
      <c r="N410" s="220"/>
      <c r="O410" s="220"/>
      <c r="P410" s="220"/>
      <c r="Q410" s="220"/>
      <c r="R410" s="220"/>
      <c r="S410" s="220"/>
      <c r="T410" s="220"/>
      <c r="U410" s="220"/>
      <c r="V410" s="220"/>
      <c r="W410" s="220"/>
    </row>
    <row r="411" ht="15.75" customHeight="1" outlineLevel="1">
      <c r="A411" s="211"/>
      <c r="B411" s="212"/>
      <c r="C411" s="213"/>
      <c r="D411" s="214" t="str">
        <f>IFERROR(VLOOKUP($C411,'PORTIFÓLIO'!C:V,2,0),"")</f>
        <v/>
      </c>
      <c r="E411" s="211" t="str">
        <f>IFERROR(VLOOKUP($C411,'PORTIFÓLIO'!C:V,3,0),"")</f>
        <v/>
      </c>
      <c r="F411" s="211" t="str">
        <f>IFERROR(VLOOKUP($C411,'PORTIFÓLIO'!C:V,4,0),"")</f>
        <v/>
      </c>
      <c r="G411" s="215" t="str">
        <f>IFERROR(VLOOKUP($C411,'PORTIFÓLIO'!C:V,5,0),"")</f>
        <v/>
      </c>
      <c r="H411" s="254" t="str">
        <f t="array" ref="H411">IFERROR(INDEX('PORTIFÓLIO'!$H$4:$H$433,MATCH($C411,'PORTIFÓLIO'!$C$4:$C$433,0)),"")</f>
        <v/>
      </c>
      <c r="I411" s="256"/>
      <c r="J411" s="218">
        <f t="shared" si="47"/>
        <v>0</v>
      </c>
      <c r="K411" s="292" t="str">
        <f t="array" ref="K411">IFERROR(I411*INDEX('PORTIFÓLIO'!$S$4:$S$433,MATCH($C411,'PORTIFÓLIO'!$C$4:$C$433,0)),"")</f>
        <v/>
      </c>
      <c r="L411" s="292" t="str">
        <f t="array" ref="L411">IFERROR(J411*INDEX('PORTIFÓLIO'!$S$4:$S$433,MATCH($C411,'PORTIFÓLIO'!$C$4:$C$433,0)),"")</f>
        <v/>
      </c>
      <c r="M411" s="220"/>
      <c r="N411" s="220"/>
      <c r="O411" s="220"/>
      <c r="P411" s="220"/>
      <c r="Q411" s="220"/>
      <c r="R411" s="220"/>
      <c r="S411" s="220"/>
      <c r="T411" s="220"/>
      <c r="U411" s="220"/>
      <c r="V411" s="220"/>
      <c r="W411" s="220"/>
    </row>
    <row r="412" ht="15.75" customHeight="1" outlineLevel="1">
      <c r="A412" s="211"/>
      <c r="B412" s="212"/>
      <c r="C412" s="213"/>
      <c r="D412" s="214" t="str">
        <f>IFERROR(VLOOKUP($C412,'PORTIFÓLIO'!C:V,2,0),"")</f>
        <v/>
      </c>
      <c r="E412" s="211" t="str">
        <f>IFERROR(VLOOKUP($C412,'PORTIFÓLIO'!C:V,3,0),"")</f>
        <v/>
      </c>
      <c r="F412" s="211" t="str">
        <f>IFERROR(VLOOKUP($C412,'PORTIFÓLIO'!C:V,4,0),"")</f>
        <v/>
      </c>
      <c r="G412" s="215" t="str">
        <f>IFERROR(VLOOKUP($C412,'PORTIFÓLIO'!C:V,5,0),"")</f>
        <v/>
      </c>
      <c r="H412" s="254" t="str">
        <f t="array" ref="H412">IFERROR(INDEX('PORTIFÓLIO'!$H$4:$H$433,MATCH($C412,'PORTIFÓLIO'!$C$4:$C$433,0)),"")</f>
        <v/>
      </c>
      <c r="I412" s="256"/>
      <c r="J412" s="218">
        <f t="shared" si="47"/>
        <v>0</v>
      </c>
      <c r="K412" s="292" t="str">
        <f t="array" ref="K412">IFERROR(I412*INDEX('PORTIFÓLIO'!$S$4:$S$433,MATCH($C412,'PORTIFÓLIO'!$C$4:$C$433,0)),"")</f>
        <v/>
      </c>
      <c r="L412" s="292" t="str">
        <f t="array" ref="L412">IFERROR(J412*INDEX('PORTIFÓLIO'!$S$4:$S$433,MATCH($C412,'PORTIFÓLIO'!$C$4:$C$433,0)),"")</f>
        <v/>
      </c>
      <c r="M412" s="220"/>
      <c r="N412" s="220"/>
      <c r="O412" s="220"/>
      <c r="P412" s="220"/>
      <c r="Q412" s="220"/>
      <c r="R412" s="220"/>
      <c r="S412" s="220"/>
      <c r="T412" s="220"/>
      <c r="U412" s="220"/>
      <c r="V412" s="220"/>
      <c r="W412" s="220"/>
    </row>
    <row r="413" ht="15.75" customHeight="1" outlineLevel="1">
      <c r="A413" s="211"/>
      <c r="B413" s="212"/>
      <c r="C413" s="213"/>
      <c r="D413" s="214" t="str">
        <f>IFERROR(VLOOKUP($C413,'PORTIFÓLIO'!C:V,2,0),"")</f>
        <v/>
      </c>
      <c r="E413" s="211" t="str">
        <f>IFERROR(VLOOKUP($C413,'PORTIFÓLIO'!C:V,3,0),"")</f>
        <v/>
      </c>
      <c r="F413" s="211" t="str">
        <f>IFERROR(VLOOKUP($C413,'PORTIFÓLIO'!C:V,4,0),"")</f>
        <v/>
      </c>
      <c r="G413" s="215" t="str">
        <f>IFERROR(VLOOKUP($C413,'PORTIFÓLIO'!C:V,5,0),"")</f>
        <v/>
      </c>
      <c r="H413" s="254" t="str">
        <f t="array" ref="H413">IFERROR(INDEX('PORTIFÓLIO'!$H$4:$H$433,MATCH($C413,'PORTIFÓLIO'!$C$4:$C$433,0)),"")</f>
        <v/>
      </c>
      <c r="I413" s="256"/>
      <c r="J413" s="218">
        <f t="shared" si="47"/>
        <v>0</v>
      </c>
      <c r="K413" s="292" t="str">
        <f t="array" ref="K413">IFERROR(I413*INDEX('PORTIFÓLIO'!$S$4:$S$433,MATCH($C413,'PORTIFÓLIO'!$C$4:$C$433,0)),"")</f>
        <v/>
      </c>
      <c r="L413" s="292" t="str">
        <f t="array" ref="L413">IFERROR(J413*INDEX('PORTIFÓLIO'!$S$4:$S$433,MATCH($C413,'PORTIFÓLIO'!$C$4:$C$433,0)),"")</f>
        <v/>
      </c>
      <c r="M413" s="220"/>
      <c r="N413" s="220"/>
      <c r="O413" s="220"/>
      <c r="P413" s="220"/>
      <c r="Q413" s="220"/>
      <c r="R413" s="220"/>
      <c r="S413" s="220"/>
      <c r="T413" s="220"/>
      <c r="U413" s="220"/>
      <c r="V413" s="220"/>
      <c r="W413" s="220"/>
    </row>
    <row r="414" ht="15.75" customHeight="1" outlineLevel="1">
      <c r="A414" s="211"/>
      <c r="B414" s="212"/>
      <c r="C414" s="213"/>
      <c r="D414" s="214" t="str">
        <f>IFERROR(VLOOKUP($C414,'PORTIFÓLIO'!C:V,2,0),"")</f>
        <v/>
      </c>
      <c r="E414" s="211" t="str">
        <f>IFERROR(VLOOKUP($C414,'PORTIFÓLIO'!C:V,3,0),"")</f>
        <v/>
      </c>
      <c r="F414" s="211" t="str">
        <f>IFERROR(VLOOKUP($C414,'PORTIFÓLIO'!C:V,4,0),"")</f>
        <v/>
      </c>
      <c r="G414" s="215" t="str">
        <f>IFERROR(VLOOKUP($C414,'PORTIFÓLIO'!C:V,5,0),"")</f>
        <v/>
      </c>
      <c r="H414" s="254" t="str">
        <f t="array" ref="H414">IFERROR(INDEX('PORTIFÓLIO'!$H$4:$H$433,MATCH($C414,'PORTIFÓLIO'!$C$4:$C$433,0)),"")</f>
        <v/>
      </c>
      <c r="I414" s="256"/>
      <c r="J414" s="218">
        <f t="shared" si="47"/>
        <v>0</v>
      </c>
      <c r="K414" s="292" t="str">
        <f t="array" ref="K414">IFERROR(I414*INDEX('PORTIFÓLIO'!$S$4:$S$433,MATCH($C414,'PORTIFÓLIO'!$C$4:$C$433,0)),"")</f>
        <v/>
      </c>
      <c r="L414" s="292" t="str">
        <f t="array" ref="L414">IFERROR(J414*INDEX('PORTIFÓLIO'!$S$4:$S$433,MATCH($C414,'PORTIFÓLIO'!$C$4:$C$433,0)),"")</f>
        <v/>
      </c>
      <c r="M414" s="220"/>
      <c r="N414" s="220"/>
      <c r="O414" s="220"/>
      <c r="P414" s="220"/>
      <c r="Q414" s="220"/>
      <c r="R414" s="220"/>
      <c r="S414" s="220"/>
      <c r="T414" s="220"/>
      <c r="U414" s="220"/>
      <c r="V414" s="220"/>
      <c r="W414" s="220"/>
    </row>
    <row r="415" ht="15.75" customHeight="1" outlineLevel="1">
      <c r="A415" s="211"/>
      <c r="B415" s="212"/>
      <c r="C415" s="213"/>
      <c r="D415" s="214" t="str">
        <f>IFERROR(VLOOKUP($C415,'PORTIFÓLIO'!C:V,2,0),"")</f>
        <v/>
      </c>
      <c r="E415" s="211" t="str">
        <f>IFERROR(VLOOKUP($C415,'PORTIFÓLIO'!C:V,3,0),"")</f>
        <v/>
      </c>
      <c r="F415" s="211" t="str">
        <f>IFERROR(VLOOKUP($C415,'PORTIFÓLIO'!C:V,4,0),"")</f>
        <v/>
      </c>
      <c r="G415" s="215" t="str">
        <f>IFERROR(VLOOKUP($C415,'PORTIFÓLIO'!C:V,5,0),"")</f>
        <v/>
      </c>
      <c r="H415" s="254" t="str">
        <f t="array" ref="H415">IFERROR(INDEX('PORTIFÓLIO'!$H$4:$H$433,MATCH($C415,'PORTIFÓLIO'!$C$4:$C$433,0)),"")</f>
        <v/>
      </c>
      <c r="I415" s="256"/>
      <c r="J415" s="218">
        <f t="shared" si="47"/>
        <v>0</v>
      </c>
      <c r="K415" s="292" t="str">
        <f t="array" ref="K415">IFERROR(I415*INDEX('PORTIFÓLIO'!$S$4:$S$433,MATCH($C415,'PORTIFÓLIO'!$C$4:$C$433,0)),"")</f>
        <v/>
      </c>
      <c r="L415" s="292" t="str">
        <f t="array" ref="L415">IFERROR(J415*INDEX('PORTIFÓLIO'!$S$4:$S$433,MATCH($C415,'PORTIFÓLIO'!$C$4:$C$433,0)),"")</f>
        <v/>
      </c>
      <c r="M415" s="220"/>
      <c r="N415" s="220"/>
      <c r="O415" s="220"/>
      <c r="P415" s="220"/>
      <c r="Q415" s="220"/>
      <c r="R415" s="220"/>
      <c r="S415" s="220"/>
      <c r="T415" s="220"/>
      <c r="U415" s="220"/>
      <c r="V415" s="220"/>
      <c r="W415" s="220"/>
    </row>
    <row r="416" ht="15.75" customHeight="1" outlineLevel="1">
      <c r="A416" s="211"/>
      <c r="B416" s="212"/>
      <c r="C416" s="213"/>
      <c r="D416" s="214" t="str">
        <f>IFERROR(VLOOKUP($C416,'PORTIFÓLIO'!C:V,2,0),"")</f>
        <v/>
      </c>
      <c r="E416" s="211" t="str">
        <f>IFERROR(VLOOKUP($C416,'PORTIFÓLIO'!C:V,3,0),"")</f>
        <v/>
      </c>
      <c r="F416" s="211" t="str">
        <f>IFERROR(VLOOKUP($C416,'PORTIFÓLIO'!C:V,4,0),"")</f>
        <v/>
      </c>
      <c r="G416" s="215" t="str">
        <f>IFERROR(VLOOKUP($C416,'PORTIFÓLIO'!C:V,5,0),"")</f>
        <v/>
      </c>
      <c r="H416" s="254" t="str">
        <f t="array" ref="H416">IFERROR(INDEX('PORTIFÓLIO'!$H$4:$H$433,MATCH($C416,'PORTIFÓLIO'!$C$4:$C$433,0)),"")</f>
        <v/>
      </c>
      <c r="I416" s="256"/>
      <c r="J416" s="218">
        <f t="shared" si="47"/>
        <v>0</v>
      </c>
      <c r="K416" s="292" t="str">
        <f t="array" ref="K416">IFERROR(I416*INDEX('PORTIFÓLIO'!$S$4:$S$433,MATCH($C416,'PORTIFÓLIO'!$C$4:$C$433,0)),"")</f>
        <v/>
      </c>
      <c r="L416" s="292" t="str">
        <f t="array" ref="L416">IFERROR(J416*INDEX('PORTIFÓLIO'!$S$4:$S$433,MATCH($C416,'PORTIFÓLIO'!$C$4:$C$433,0)),"")</f>
        <v/>
      </c>
      <c r="M416" s="220"/>
      <c r="N416" s="220"/>
      <c r="O416" s="220"/>
      <c r="P416" s="220"/>
      <c r="Q416" s="220"/>
      <c r="R416" s="220"/>
      <c r="S416" s="220"/>
      <c r="T416" s="220"/>
      <c r="U416" s="220"/>
      <c r="V416" s="220"/>
      <c r="W416" s="220"/>
    </row>
    <row r="417" ht="15.75" customHeight="1" outlineLevel="1">
      <c r="A417" s="211"/>
      <c r="B417" s="212"/>
      <c r="C417" s="213"/>
      <c r="D417" s="214" t="str">
        <f>IFERROR(VLOOKUP($C417,'PORTIFÓLIO'!C:V,2,0),"")</f>
        <v/>
      </c>
      <c r="E417" s="211" t="str">
        <f>IFERROR(VLOOKUP($C417,'PORTIFÓLIO'!C:V,3,0),"")</f>
        <v/>
      </c>
      <c r="F417" s="211" t="str">
        <f>IFERROR(VLOOKUP($C417,'PORTIFÓLIO'!C:V,4,0),"")</f>
        <v/>
      </c>
      <c r="G417" s="215" t="str">
        <f>IFERROR(VLOOKUP($C417,'PORTIFÓLIO'!C:V,5,0),"")</f>
        <v/>
      </c>
      <c r="H417" s="254" t="str">
        <f t="array" ref="H417">IFERROR(INDEX('PORTIFÓLIO'!$H$4:$H$433,MATCH($C417,'PORTIFÓLIO'!$C$4:$C$433,0)),"")</f>
        <v/>
      </c>
      <c r="I417" s="256"/>
      <c r="J417" s="218">
        <f t="shared" si="47"/>
        <v>0</v>
      </c>
      <c r="K417" s="292" t="str">
        <f t="array" ref="K417">IFERROR(I417*INDEX('PORTIFÓLIO'!$S$4:$S$433,MATCH($C417,'PORTIFÓLIO'!$C$4:$C$433,0)),"")</f>
        <v/>
      </c>
      <c r="L417" s="292" t="str">
        <f t="array" ref="L417">IFERROR(J417*INDEX('PORTIFÓLIO'!$S$4:$S$433,MATCH($C417,'PORTIFÓLIO'!$C$4:$C$433,0)),"")</f>
        <v/>
      </c>
      <c r="M417" s="220"/>
      <c r="N417" s="220"/>
      <c r="O417" s="220"/>
      <c r="P417" s="220"/>
      <c r="Q417" s="220"/>
      <c r="R417" s="220"/>
      <c r="S417" s="220"/>
      <c r="T417" s="220"/>
      <c r="U417" s="220"/>
      <c r="V417" s="220"/>
      <c r="W417" s="220"/>
    </row>
    <row r="418" ht="15.75" customHeight="1" outlineLevel="1">
      <c r="A418" s="211"/>
      <c r="B418" s="212"/>
      <c r="C418" s="213"/>
      <c r="D418" s="214" t="str">
        <f>IFERROR(VLOOKUP($C418,'PORTIFÓLIO'!C:V,2,0),"")</f>
        <v/>
      </c>
      <c r="E418" s="211" t="str">
        <f>IFERROR(VLOOKUP($C418,'PORTIFÓLIO'!C:V,3,0),"")</f>
        <v/>
      </c>
      <c r="F418" s="211" t="str">
        <f>IFERROR(VLOOKUP($C418,'PORTIFÓLIO'!C:V,4,0),"")</f>
        <v/>
      </c>
      <c r="G418" s="215" t="str">
        <f>IFERROR(VLOOKUP($C418,'PORTIFÓLIO'!C:V,5,0),"")</f>
        <v/>
      </c>
      <c r="H418" s="254" t="str">
        <f t="array" ref="H418">IFERROR(INDEX('PORTIFÓLIO'!$H$4:$H$433,MATCH($C418,'PORTIFÓLIO'!$C$4:$C$433,0)),"")</f>
        <v/>
      </c>
      <c r="I418" s="255"/>
      <c r="J418" s="218">
        <f t="shared" si="47"/>
        <v>0</v>
      </c>
      <c r="K418" s="292" t="str">
        <f t="array" ref="K418">IFERROR(I418*INDEX('PORTIFÓLIO'!$S$4:$S$433,MATCH($C418,'PORTIFÓLIO'!$C$4:$C$433,0)),"")</f>
        <v/>
      </c>
      <c r="L418" s="292" t="str">
        <f t="array" ref="L418">IFERROR(J418*INDEX('PORTIFÓLIO'!$S$4:$S$433,MATCH($C418,'PORTIFÓLIO'!$C$4:$C$433,0)),"")</f>
        <v/>
      </c>
      <c r="M418" s="220"/>
      <c r="N418" s="220"/>
      <c r="O418" s="220"/>
      <c r="P418" s="220"/>
      <c r="Q418" s="220"/>
      <c r="R418" s="220"/>
      <c r="S418" s="220"/>
      <c r="T418" s="220"/>
      <c r="U418" s="220"/>
      <c r="V418" s="220"/>
      <c r="W418" s="220"/>
    </row>
    <row r="419" ht="15.75" customHeight="1" outlineLevel="1">
      <c r="A419" s="211"/>
      <c r="B419" s="212"/>
      <c r="C419" s="213"/>
      <c r="D419" s="214" t="str">
        <f>IFERROR(VLOOKUP($C419,'PORTIFÓLIO'!C:V,2,0),"")</f>
        <v/>
      </c>
      <c r="E419" s="211" t="str">
        <f>IFERROR(VLOOKUP($C419,'PORTIFÓLIO'!C:V,3,0),"")</f>
        <v/>
      </c>
      <c r="F419" s="211" t="str">
        <f>IFERROR(VLOOKUP($C419,'PORTIFÓLIO'!C:V,4,0),"")</f>
        <v/>
      </c>
      <c r="G419" s="215" t="str">
        <f>IFERROR(VLOOKUP($C419,'PORTIFÓLIO'!C:V,5,0),"")</f>
        <v/>
      </c>
      <c r="H419" s="254" t="str">
        <f t="array" ref="H419">IFERROR(INDEX('PORTIFÓLIO'!$H$4:$H$433,MATCH($C419,'PORTIFÓLIO'!$C$4:$C$433,0)),"")</f>
        <v/>
      </c>
      <c r="I419" s="256"/>
      <c r="J419" s="218">
        <f t="shared" si="47"/>
        <v>0</v>
      </c>
      <c r="K419" s="292" t="str">
        <f t="array" ref="K419">IFERROR(I419*INDEX('PORTIFÓLIO'!$S$4:$S$433,MATCH($C419,'PORTIFÓLIO'!$C$4:$C$433,0)),"")</f>
        <v/>
      </c>
      <c r="L419" s="292" t="str">
        <f t="array" ref="L419">IFERROR(J419*INDEX('PORTIFÓLIO'!$S$4:$S$433,MATCH($C419,'PORTIFÓLIO'!$C$4:$C$433,0)),"")</f>
        <v/>
      </c>
      <c r="M419" s="220"/>
      <c r="N419" s="220"/>
      <c r="O419" s="220"/>
      <c r="P419" s="220"/>
      <c r="Q419" s="220"/>
      <c r="R419" s="220"/>
      <c r="S419" s="220"/>
      <c r="T419" s="220"/>
      <c r="U419" s="220"/>
      <c r="V419" s="220"/>
      <c r="W419" s="220"/>
    </row>
    <row r="420" ht="15.75" customHeight="1" outlineLevel="1">
      <c r="A420" s="211"/>
      <c r="B420" s="212"/>
      <c r="C420" s="213"/>
      <c r="D420" s="214" t="str">
        <f>IFERROR(VLOOKUP($C420,'PORTIFÓLIO'!C:V,2,0),"")</f>
        <v/>
      </c>
      <c r="E420" s="211" t="str">
        <f>IFERROR(VLOOKUP($C420,'PORTIFÓLIO'!C:V,3,0),"")</f>
        <v/>
      </c>
      <c r="F420" s="211" t="str">
        <f>IFERROR(VLOOKUP($C420,'PORTIFÓLIO'!C:V,4,0),"")</f>
        <v/>
      </c>
      <c r="G420" s="215" t="str">
        <f>IFERROR(VLOOKUP($C420,'PORTIFÓLIO'!C:V,5,0),"")</f>
        <v/>
      </c>
      <c r="H420" s="254" t="str">
        <f t="array" ref="H420">IFERROR(INDEX('PORTIFÓLIO'!$H$4:$H$433,MATCH($C420,'PORTIFÓLIO'!$C$4:$C$433,0)),"")</f>
        <v/>
      </c>
      <c r="I420" s="256"/>
      <c r="J420" s="218">
        <f t="shared" si="47"/>
        <v>0</v>
      </c>
      <c r="K420" s="292" t="str">
        <f t="array" ref="K420">IFERROR(I420*INDEX('PORTIFÓLIO'!$S$4:$S$433,MATCH($C420,'PORTIFÓLIO'!$C$4:$C$433,0)),"")</f>
        <v/>
      </c>
      <c r="L420" s="292" t="str">
        <f t="array" ref="L420">IFERROR(J420*INDEX('PORTIFÓLIO'!$S$4:$S$433,MATCH($C420,'PORTIFÓLIO'!$C$4:$C$433,0)),"")</f>
        <v/>
      </c>
      <c r="M420" s="220"/>
      <c r="N420" s="220"/>
      <c r="O420" s="220"/>
      <c r="P420" s="220"/>
      <c r="Q420" s="220"/>
      <c r="R420" s="220"/>
      <c r="S420" s="220"/>
      <c r="T420" s="220"/>
      <c r="U420" s="220"/>
      <c r="V420" s="220"/>
      <c r="W420" s="220"/>
    </row>
    <row r="421" ht="15.75" customHeight="1" outlineLevel="1">
      <c r="A421" s="211"/>
      <c r="B421" s="212"/>
      <c r="C421" s="213"/>
      <c r="D421" s="214" t="str">
        <f>IFERROR(VLOOKUP($C421,'PORTIFÓLIO'!C:V,2,0),"")</f>
        <v/>
      </c>
      <c r="E421" s="211" t="str">
        <f>IFERROR(VLOOKUP($C421,'PORTIFÓLIO'!C:V,3,0),"")</f>
        <v/>
      </c>
      <c r="F421" s="211" t="str">
        <f>IFERROR(VLOOKUP($C421,'PORTIFÓLIO'!C:V,4,0),"")</f>
        <v/>
      </c>
      <c r="G421" s="215" t="str">
        <f>IFERROR(VLOOKUP($C421,'PORTIFÓLIO'!C:V,5,0),"")</f>
        <v/>
      </c>
      <c r="H421" s="254" t="str">
        <f t="array" ref="H421">IFERROR(INDEX('PORTIFÓLIO'!$H$4:$H$433,MATCH($C421,'PORTIFÓLIO'!$C$4:$C$433,0)),"")</f>
        <v/>
      </c>
      <c r="I421" s="256"/>
      <c r="J421" s="218">
        <f t="shared" si="47"/>
        <v>0</v>
      </c>
      <c r="K421" s="292" t="str">
        <f t="array" ref="K421">IFERROR(I421*INDEX('PORTIFÓLIO'!$S$4:$S$433,MATCH($C421,'PORTIFÓLIO'!$C$4:$C$433,0)),"")</f>
        <v/>
      </c>
      <c r="L421" s="292" t="str">
        <f t="array" ref="L421">IFERROR(J421*INDEX('PORTIFÓLIO'!$S$4:$S$433,MATCH($C421,'PORTIFÓLIO'!$C$4:$C$433,0)),"")</f>
        <v/>
      </c>
      <c r="M421" s="220"/>
      <c r="N421" s="220"/>
      <c r="O421" s="220"/>
      <c r="P421" s="220"/>
      <c r="Q421" s="220"/>
      <c r="R421" s="220"/>
      <c r="S421" s="220"/>
      <c r="T421" s="220"/>
      <c r="U421" s="220"/>
      <c r="V421" s="220"/>
      <c r="W421" s="220"/>
    </row>
    <row r="422" ht="15.75" customHeight="1" outlineLevel="1">
      <c r="A422" s="211"/>
      <c r="B422" s="212"/>
      <c r="C422" s="213"/>
      <c r="D422" s="214" t="str">
        <f>IFERROR(VLOOKUP($C422,'PORTIFÓLIO'!C:V,2,0),"")</f>
        <v/>
      </c>
      <c r="E422" s="211" t="str">
        <f>IFERROR(VLOOKUP($C422,'PORTIFÓLIO'!C:V,3,0),"")</f>
        <v/>
      </c>
      <c r="F422" s="211" t="str">
        <f>IFERROR(VLOOKUP($C422,'PORTIFÓLIO'!C:V,4,0),"")</f>
        <v/>
      </c>
      <c r="G422" s="215" t="str">
        <f>IFERROR(VLOOKUP($C422,'PORTIFÓLIO'!C:V,5,0),"")</f>
        <v/>
      </c>
      <c r="H422" s="254" t="str">
        <f t="array" ref="H422">IFERROR(INDEX('PORTIFÓLIO'!$H$4:$H$433,MATCH($C422,'PORTIFÓLIO'!$C$4:$C$433,0)),"")</f>
        <v/>
      </c>
      <c r="I422" s="256"/>
      <c r="J422" s="218">
        <f t="shared" si="47"/>
        <v>0</v>
      </c>
      <c r="K422" s="292" t="str">
        <f t="array" ref="K422">IFERROR(I422*INDEX('PORTIFÓLIO'!$S$4:$S$433,MATCH($C422,'PORTIFÓLIO'!$C$4:$C$433,0)),"")</f>
        <v/>
      </c>
      <c r="L422" s="292" t="str">
        <f t="array" ref="L422">IFERROR(J422*INDEX('PORTIFÓLIO'!$S$4:$S$433,MATCH($C422,'PORTIFÓLIO'!$C$4:$C$433,0)),"")</f>
        <v/>
      </c>
      <c r="M422" s="220"/>
      <c r="N422" s="220"/>
      <c r="O422" s="220"/>
      <c r="P422" s="220"/>
      <c r="Q422" s="220"/>
      <c r="R422" s="220"/>
      <c r="S422" s="220"/>
      <c r="T422" s="220"/>
      <c r="U422" s="220"/>
      <c r="V422" s="220"/>
      <c r="W422" s="220"/>
    </row>
    <row r="423" ht="15.75" customHeight="1" outlineLevel="1">
      <c r="A423" s="211"/>
      <c r="B423" s="212"/>
      <c r="C423" s="213"/>
      <c r="D423" s="214" t="str">
        <f>IFERROR(VLOOKUP($C423,'PORTIFÓLIO'!C:V,2,0),"")</f>
        <v/>
      </c>
      <c r="E423" s="211" t="str">
        <f>IFERROR(VLOOKUP($C423,'PORTIFÓLIO'!C:V,3,0),"")</f>
        <v/>
      </c>
      <c r="F423" s="211" t="str">
        <f>IFERROR(VLOOKUP($C423,'PORTIFÓLIO'!C:V,4,0),"")</f>
        <v/>
      </c>
      <c r="G423" s="215" t="str">
        <f>IFERROR(VLOOKUP($C423,'PORTIFÓLIO'!C:V,5,0),"")</f>
        <v/>
      </c>
      <c r="H423" s="254" t="str">
        <f t="array" ref="H423">IFERROR(INDEX('PORTIFÓLIO'!$H$4:$H$433,MATCH($C423,'PORTIFÓLIO'!$C$4:$C$433,0)),"")</f>
        <v/>
      </c>
      <c r="I423" s="256"/>
      <c r="J423" s="218">
        <f t="shared" si="47"/>
        <v>0</v>
      </c>
      <c r="K423" s="292" t="str">
        <f t="array" ref="K423">IFERROR(I423*INDEX('PORTIFÓLIO'!$S$4:$S$433,MATCH($C423,'PORTIFÓLIO'!$C$4:$C$433,0)),"")</f>
        <v/>
      </c>
      <c r="L423" s="292" t="str">
        <f t="array" ref="L423">IFERROR(J423*INDEX('PORTIFÓLIO'!$S$4:$S$433,MATCH($C423,'PORTIFÓLIO'!$C$4:$C$433,0)),"")</f>
        <v/>
      </c>
      <c r="M423" s="220"/>
      <c r="N423" s="220"/>
      <c r="O423" s="220"/>
      <c r="P423" s="220"/>
      <c r="Q423" s="220"/>
      <c r="R423" s="220"/>
      <c r="S423" s="220"/>
      <c r="T423" s="220"/>
      <c r="U423" s="220"/>
      <c r="V423" s="220"/>
      <c r="W423" s="220"/>
    </row>
    <row r="424" ht="15.75" customHeight="1" outlineLevel="1">
      <c r="A424" s="211"/>
      <c r="B424" s="212"/>
      <c r="C424" s="213"/>
      <c r="D424" s="214" t="str">
        <f>IFERROR(VLOOKUP($C424,'PORTIFÓLIO'!C:V,2,0),"")</f>
        <v/>
      </c>
      <c r="E424" s="211" t="str">
        <f>IFERROR(VLOOKUP($C424,'PORTIFÓLIO'!C:V,3,0),"")</f>
        <v/>
      </c>
      <c r="F424" s="211" t="str">
        <f>IFERROR(VLOOKUP($C424,'PORTIFÓLIO'!C:V,4,0),"")</f>
        <v/>
      </c>
      <c r="G424" s="215" t="str">
        <f>IFERROR(VLOOKUP($C424,'PORTIFÓLIO'!C:V,5,0),"")</f>
        <v/>
      </c>
      <c r="H424" s="254" t="str">
        <f t="array" ref="H424">IFERROR(INDEX('PORTIFÓLIO'!$H$4:$H$433,MATCH($C424,'PORTIFÓLIO'!$C$4:$C$433,0)),"")</f>
        <v/>
      </c>
      <c r="I424" s="256"/>
      <c r="J424" s="218">
        <f t="shared" si="47"/>
        <v>0</v>
      </c>
      <c r="K424" s="292" t="str">
        <f t="array" ref="K424">IFERROR(I424*INDEX('PORTIFÓLIO'!$S$4:$S$433,MATCH($C424,'PORTIFÓLIO'!$C$4:$C$433,0)),"")</f>
        <v/>
      </c>
      <c r="L424" s="292" t="str">
        <f t="array" ref="L424">IFERROR(J424*INDEX('PORTIFÓLIO'!$S$4:$S$433,MATCH($C424,'PORTIFÓLIO'!$C$4:$C$433,0)),"")</f>
        <v/>
      </c>
      <c r="M424" s="220"/>
      <c r="N424" s="220"/>
      <c r="O424" s="220"/>
      <c r="P424" s="220"/>
      <c r="Q424" s="220"/>
      <c r="R424" s="220"/>
      <c r="S424" s="220"/>
      <c r="T424" s="220"/>
      <c r="U424" s="220"/>
      <c r="V424" s="220"/>
      <c r="W424" s="220"/>
    </row>
    <row r="425" ht="15.75" customHeight="1" outlineLevel="1">
      <c r="A425" s="211"/>
      <c r="B425" s="227"/>
      <c r="C425" s="211"/>
      <c r="D425" s="214" t="str">
        <f>IFERROR(VLOOKUP($C425,'PORTIFÓLIO'!C:V,2,0),"")</f>
        <v/>
      </c>
      <c r="E425" s="211" t="str">
        <f>IFERROR(VLOOKUP($C425,'PORTIFÓLIO'!C:V,3,0),"")</f>
        <v/>
      </c>
      <c r="F425" s="211" t="str">
        <f>IFERROR(VLOOKUP($C425,'PORTIFÓLIO'!C:V,4,0),"")</f>
        <v/>
      </c>
      <c r="G425" s="215" t="str">
        <f>IFERROR(VLOOKUP($C425,'PORTIFÓLIO'!C:V,5,0),"")</f>
        <v/>
      </c>
      <c r="H425" s="254" t="str">
        <f t="array" ref="H425">IFERROR(INDEX('PORTIFÓLIO'!$H$4:$H$433,MATCH($C425,'PORTIFÓLIO'!$C$4:$C$433,0)),"")</f>
        <v/>
      </c>
      <c r="I425" s="256"/>
      <c r="J425" s="218">
        <f t="shared" si="47"/>
        <v>0</v>
      </c>
      <c r="K425" s="292" t="str">
        <f t="array" ref="K425">IFERROR(I425*INDEX('PORTIFÓLIO'!$S$4:$S$433,MATCH($C425,'PORTIFÓLIO'!$C$4:$C$433,0)),"")</f>
        <v/>
      </c>
      <c r="L425" s="292" t="str">
        <f t="array" ref="L425">IFERROR(J425*INDEX('PORTIFÓLIO'!$S$4:$S$433,MATCH($C425,'PORTIFÓLIO'!$C$4:$C$433,0)),"")</f>
        <v/>
      </c>
      <c r="M425" s="220"/>
      <c r="N425" s="220"/>
      <c r="O425" s="220"/>
      <c r="P425" s="220"/>
      <c r="Q425" s="220"/>
      <c r="R425" s="220"/>
      <c r="S425" s="220"/>
      <c r="T425" s="220"/>
      <c r="U425" s="220"/>
      <c r="V425" s="220"/>
      <c r="W425" s="220"/>
    </row>
    <row r="426" ht="15.75" customHeight="1" outlineLevel="1">
      <c r="A426" s="211"/>
      <c r="B426" s="227"/>
      <c r="C426" s="211"/>
      <c r="D426" s="214" t="str">
        <f>IFERROR(VLOOKUP($C426,'PORTIFÓLIO'!C:V,2,0),"")</f>
        <v/>
      </c>
      <c r="E426" s="211" t="str">
        <f>IFERROR(VLOOKUP($C426,'PORTIFÓLIO'!C:V,3,0),"")</f>
        <v/>
      </c>
      <c r="F426" s="211" t="str">
        <f>IFERROR(VLOOKUP($C426,'PORTIFÓLIO'!C:V,4,0),"")</f>
        <v/>
      </c>
      <c r="G426" s="215" t="str">
        <f>IFERROR(VLOOKUP($C426,'PORTIFÓLIO'!C:V,5,0),"")</f>
        <v/>
      </c>
      <c r="H426" s="254" t="str">
        <f t="array" ref="H426">IFERROR(INDEX('PORTIFÓLIO'!$H$4:$H$433,MATCH($C426,'PORTIFÓLIO'!$C$4:$C$433,0)),"")</f>
        <v/>
      </c>
      <c r="I426" s="256"/>
      <c r="J426" s="218">
        <f t="shared" si="47"/>
        <v>0</v>
      </c>
      <c r="K426" s="292" t="str">
        <f t="array" ref="K426">IFERROR(I426*INDEX('PORTIFÓLIO'!$S$4:$S$433,MATCH($C426,'PORTIFÓLIO'!$C$4:$C$433,0)),"")</f>
        <v/>
      </c>
      <c r="L426" s="292" t="str">
        <f t="array" ref="L426">IFERROR(J426*INDEX('PORTIFÓLIO'!$S$4:$S$433,MATCH($C426,'PORTIFÓLIO'!$C$4:$C$433,0)),"")</f>
        <v/>
      </c>
      <c r="U426" s="79"/>
    </row>
    <row r="427" ht="15.75" customHeight="1">
      <c r="A427" s="229" t="s">
        <v>1202</v>
      </c>
      <c r="B427" s="230"/>
      <c r="C427" s="231"/>
      <c r="D427" s="232"/>
      <c r="E427" s="231"/>
      <c r="F427" s="231"/>
      <c r="G427" s="233"/>
      <c r="H427" s="233"/>
      <c r="I427" s="258"/>
      <c r="J427" s="236"/>
      <c r="K427" s="237">
        <f t="shared" ref="K427:L427" si="48">SUBTOTAL(9,K428:K441)</f>
        <v>0</v>
      </c>
      <c r="L427" s="237">
        <f t="shared" si="48"/>
        <v>0</v>
      </c>
      <c r="U427" s="79"/>
    </row>
    <row r="428" ht="15.75" customHeight="1" outlineLevel="1">
      <c r="A428" s="213"/>
      <c r="B428" s="212"/>
      <c r="C428" s="213"/>
      <c r="D428" s="214" t="str">
        <f>IFERROR(VLOOKUP($C428,'PORTIFÓLIO'!C:V,2,0),"")</f>
        <v/>
      </c>
      <c r="E428" s="211" t="str">
        <f>IFERROR(VLOOKUP($C428,'PORTIFÓLIO'!C:V,3,0),"")</f>
        <v/>
      </c>
      <c r="F428" s="211" t="str">
        <f>IFERROR(VLOOKUP($C428,'PORTIFÓLIO'!C:V,4,0),"")</f>
        <v/>
      </c>
      <c r="G428" s="215" t="str">
        <f>IFERROR(VLOOKUP($C428,'PORTIFÓLIO'!C:V,5,0),"")</f>
        <v/>
      </c>
      <c r="H428" s="254" t="str">
        <f t="array" ref="H428">IFERROR(INDEX('PORTIFÓLIO'!$H$4:$H$433,MATCH($C428,'PORTIFÓLIO'!$C$4:$C$433,0)),"")</f>
        <v/>
      </c>
      <c r="I428" s="256"/>
      <c r="J428" s="218">
        <f t="shared" ref="J428:J451" si="49">I428*$B$2</f>
        <v>0</v>
      </c>
      <c r="K428" s="292" t="str">
        <f t="array" ref="K428">IFERROR(I428*INDEX('PORTIFÓLIO'!$S$4:$S$433,MATCH($C428,'PORTIFÓLIO'!$C$4:$C$433,0)),"")</f>
        <v/>
      </c>
      <c r="L428" s="292" t="str">
        <f t="array" ref="L428">IFERROR(J428*INDEX('PORTIFÓLIO'!$S$4:$S$433,MATCH($C428,'PORTIFÓLIO'!$C$4:$C$433,0)),"")</f>
        <v/>
      </c>
      <c r="U428" s="79"/>
    </row>
    <row r="429" ht="15.75" customHeight="1" outlineLevel="1">
      <c r="A429" s="211"/>
      <c r="B429" s="212"/>
      <c r="C429" s="213"/>
      <c r="D429" s="214" t="str">
        <f>IFERROR(VLOOKUP($C429,'PORTIFÓLIO'!C:V,2,0),"")</f>
        <v/>
      </c>
      <c r="E429" s="211" t="str">
        <f>IFERROR(VLOOKUP($C429,'PORTIFÓLIO'!C:V,3,0),"")</f>
        <v/>
      </c>
      <c r="F429" s="211" t="str">
        <f>IFERROR(VLOOKUP($C429,'PORTIFÓLIO'!C:V,4,0),"")</f>
        <v/>
      </c>
      <c r="G429" s="215" t="str">
        <f>IFERROR(VLOOKUP($C429,'PORTIFÓLIO'!C:V,5,0),"")</f>
        <v/>
      </c>
      <c r="H429" s="254" t="str">
        <f t="array" ref="H429">IFERROR(INDEX('PORTIFÓLIO'!$H$4:$H$433,MATCH($C429,'PORTIFÓLIO'!$C$4:$C$433,0)),"")</f>
        <v/>
      </c>
      <c r="I429" s="256"/>
      <c r="J429" s="218">
        <f t="shared" si="49"/>
        <v>0</v>
      </c>
      <c r="K429" s="292" t="str">
        <f t="array" ref="K429">IFERROR(I429*INDEX('PORTIFÓLIO'!$S$4:$S$433,MATCH($C429,'PORTIFÓLIO'!$C$4:$C$433,0)),"")</f>
        <v/>
      </c>
      <c r="L429" s="292" t="str">
        <f t="array" ref="L429">IFERROR(J429*INDEX('PORTIFÓLIO'!$S$4:$S$433,MATCH($C429,'PORTIFÓLIO'!$C$4:$C$433,0)),"")</f>
        <v/>
      </c>
      <c r="U429" s="79"/>
    </row>
    <row r="430" ht="15.75" customHeight="1" outlineLevel="1">
      <c r="A430" s="211"/>
      <c r="B430" s="212"/>
      <c r="C430" s="213"/>
      <c r="D430" s="214" t="str">
        <f>IFERROR(VLOOKUP($C430,'PORTIFÓLIO'!C:V,2,0),"")</f>
        <v/>
      </c>
      <c r="E430" s="211" t="str">
        <f>IFERROR(VLOOKUP($C430,'PORTIFÓLIO'!C:V,3,0),"")</f>
        <v/>
      </c>
      <c r="F430" s="211" t="str">
        <f>IFERROR(VLOOKUP($C430,'PORTIFÓLIO'!C:V,4,0),"")</f>
        <v/>
      </c>
      <c r="G430" s="215" t="str">
        <f>IFERROR(VLOOKUP($C430,'PORTIFÓLIO'!C:V,5,0),"")</f>
        <v/>
      </c>
      <c r="H430" s="254" t="str">
        <f t="array" ref="H430">IFERROR(INDEX('PORTIFÓLIO'!$H$4:$H$433,MATCH($C430,'PORTIFÓLIO'!$C$4:$C$433,0)),"")</f>
        <v/>
      </c>
      <c r="I430" s="256"/>
      <c r="J430" s="218">
        <f t="shared" si="49"/>
        <v>0</v>
      </c>
      <c r="K430" s="292" t="str">
        <f t="array" ref="K430">IFERROR(I430*INDEX('PORTIFÓLIO'!$S$4:$S$433,MATCH($C430,'PORTIFÓLIO'!$C$4:$C$433,0)),"")</f>
        <v/>
      </c>
      <c r="L430" s="292" t="str">
        <f t="array" ref="L430">IFERROR(J430*INDEX('PORTIFÓLIO'!$S$4:$S$433,MATCH($C430,'PORTIFÓLIO'!$C$4:$C$433,0)),"")</f>
        <v/>
      </c>
      <c r="U430" s="79"/>
    </row>
    <row r="431" ht="15.75" customHeight="1" outlineLevel="1">
      <c r="A431" s="211"/>
      <c r="B431" s="212"/>
      <c r="C431" s="213"/>
      <c r="D431" s="214" t="str">
        <f>IFERROR(VLOOKUP($C431,'PORTIFÓLIO'!C:V,2,0),"")</f>
        <v/>
      </c>
      <c r="E431" s="211" t="str">
        <f>IFERROR(VLOOKUP($C431,'PORTIFÓLIO'!C:V,3,0),"")</f>
        <v/>
      </c>
      <c r="F431" s="211" t="str">
        <f>IFERROR(VLOOKUP($C431,'PORTIFÓLIO'!C:V,4,0),"")</f>
        <v/>
      </c>
      <c r="G431" s="215" t="str">
        <f>IFERROR(VLOOKUP($C431,'PORTIFÓLIO'!C:V,5,0),"")</f>
        <v/>
      </c>
      <c r="H431" s="254" t="str">
        <f t="array" ref="H431">IFERROR(INDEX('PORTIFÓLIO'!$H$4:$H$433,MATCH($C431,'PORTIFÓLIO'!$C$4:$C$433,0)),"")</f>
        <v/>
      </c>
      <c r="I431" s="256"/>
      <c r="J431" s="218">
        <f t="shared" si="49"/>
        <v>0</v>
      </c>
      <c r="K431" s="292" t="str">
        <f t="array" ref="K431">IFERROR(I431*INDEX('PORTIFÓLIO'!$S$4:$S$433,MATCH($C431,'PORTIFÓLIO'!$C$4:$C$433,0)),"")</f>
        <v/>
      </c>
      <c r="L431" s="292" t="str">
        <f t="array" ref="L431">IFERROR(J431*INDEX('PORTIFÓLIO'!$S$4:$S$433,MATCH($C431,'PORTIFÓLIO'!$C$4:$C$433,0)),"")</f>
        <v/>
      </c>
      <c r="U431" s="79"/>
    </row>
    <row r="432" ht="15.75" customHeight="1" outlineLevel="1">
      <c r="A432" s="211"/>
      <c r="B432" s="212"/>
      <c r="C432" s="213"/>
      <c r="D432" s="214" t="str">
        <f>IFERROR(VLOOKUP($C432,'PORTIFÓLIO'!C:V,2,0),"")</f>
        <v/>
      </c>
      <c r="E432" s="211" t="str">
        <f>IFERROR(VLOOKUP($C432,'PORTIFÓLIO'!C:V,3,0),"")</f>
        <v/>
      </c>
      <c r="F432" s="211" t="str">
        <f>IFERROR(VLOOKUP($C432,'PORTIFÓLIO'!C:V,4,0),"")</f>
        <v/>
      </c>
      <c r="G432" s="215" t="str">
        <f>IFERROR(VLOOKUP($C432,'PORTIFÓLIO'!C:V,5,0),"")</f>
        <v/>
      </c>
      <c r="H432" s="254" t="str">
        <f t="array" ref="H432">IFERROR(INDEX('PORTIFÓLIO'!$H$4:$H$433,MATCH($C432,'PORTIFÓLIO'!$C$4:$C$433,0)),"")</f>
        <v/>
      </c>
      <c r="I432" s="256"/>
      <c r="J432" s="218">
        <f t="shared" si="49"/>
        <v>0</v>
      </c>
      <c r="K432" s="292" t="str">
        <f t="array" ref="K432">IFERROR(I432*INDEX('PORTIFÓLIO'!$S$4:$S$433,MATCH($C432,'PORTIFÓLIO'!$C$4:$C$433,0)),"")</f>
        <v/>
      </c>
      <c r="L432" s="292" t="str">
        <f t="array" ref="L432">IFERROR(J432*INDEX('PORTIFÓLIO'!$S$4:$S$433,MATCH($C432,'PORTIFÓLIO'!$C$4:$C$433,0)),"")</f>
        <v/>
      </c>
      <c r="U432" s="79"/>
    </row>
    <row r="433" ht="15.75" customHeight="1" outlineLevel="1">
      <c r="A433" s="211"/>
      <c r="B433" s="212"/>
      <c r="C433" s="213"/>
      <c r="D433" s="214" t="str">
        <f>IFERROR(VLOOKUP($C433,'PORTIFÓLIO'!C:V,2,0),"")</f>
        <v/>
      </c>
      <c r="E433" s="211" t="str">
        <f>IFERROR(VLOOKUP($C433,'PORTIFÓLIO'!C:V,3,0),"")</f>
        <v/>
      </c>
      <c r="F433" s="211" t="str">
        <f>IFERROR(VLOOKUP($C433,'PORTIFÓLIO'!C:V,4,0),"")</f>
        <v/>
      </c>
      <c r="G433" s="215" t="str">
        <f>IFERROR(VLOOKUP($C433,'PORTIFÓLIO'!C:V,5,0),"")</f>
        <v/>
      </c>
      <c r="H433" s="254" t="str">
        <f t="array" ref="H433">IFERROR(INDEX('PORTIFÓLIO'!$H$4:$H$433,MATCH($C433,'PORTIFÓLIO'!$C$4:$C$433,0)),"")</f>
        <v/>
      </c>
      <c r="I433" s="256"/>
      <c r="J433" s="218">
        <f t="shared" si="49"/>
        <v>0</v>
      </c>
      <c r="K433" s="292" t="str">
        <f t="array" ref="K433">IFERROR(I433*INDEX('PORTIFÓLIO'!$S$4:$S$433,MATCH($C433,'PORTIFÓLIO'!$C$4:$C$433,0)),"")</f>
        <v/>
      </c>
      <c r="L433" s="292" t="str">
        <f t="array" ref="L433">IFERROR(J433*INDEX('PORTIFÓLIO'!$S$4:$S$433,MATCH($C433,'PORTIFÓLIO'!$C$4:$C$433,0)),"")</f>
        <v/>
      </c>
      <c r="U433" s="79"/>
    </row>
    <row r="434" ht="15.75" customHeight="1" outlineLevel="1">
      <c r="A434" s="211"/>
      <c r="B434" s="212"/>
      <c r="C434" s="213"/>
      <c r="D434" s="214" t="str">
        <f>IFERROR(VLOOKUP($C434,'PORTIFÓLIO'!C:V,2,0),"")</f>
        <v/>
      </c>
      <c r="E434" s="211" t="str">
        <f>IFERROR(VLOOKUP($C434,'PORTIFÓLIO'!C:V,3,0),"")</f>
        <v/>
      </c>
      <c r="F434" s="211" t="str">
        <f>IFERROR(VLOOKUP($C434,'PORTIFÓLIO'!C:V,4,0),"")</f>
        <v/>
      </c>
      <c r="G434" s="215" t="str">
        <f>IFERROR(VLOOKUP($C434,'PORTIFÓLIO'!C:V,5,0),"")</f>
        <v/>
      </c>
      <c r="H434" s="254" t="str">
        <f t="array" ref="H434">IFERROR(INDEX('PORTIFÓLIO'!$H$4:$H$433,MATCH($C434,'PORTIFÓLIO'!$C$4:$C$433,0)),"")</f>
        <v/>
      </c>
      <c r="I434" s="256"/>
      <c r="J434" s="218">
        <f t="shared" si="49"/>
        <v>0</v>
      </c>
      <c r="K434" s="292" t="str">
        <f t="array" ref="K434">IFERROR(I434*INDEX('PORTIFÓLIO'!$S$4:$S$433,MATCH($C434,'PORTIFÓLIO'!$C$4:$C$433,0)),"")</f>
        <v/>
      </c>
      <c r="L434" s="292" t="str">
        <f t="array" ref="L434">IFERROR(J434*INDEX('PORTIFÓLIO'!$S$4:$S$433,MATCH($C434,'PORTIFÓLIO'!$C$4:$C$433,0)),"")</f>
        <v/>
      </c>
      <c r="U434" s="79"/>
    </row>
    <row r="435" ht="15.75" customHeight="1" outlineLevel="1">
      <c r="A435" s="211"/>
      <c r="B435" s="212"/>
      <c r="C435" s="213"/>
      <c r="D435" s="214" t="str">
        <f>IFERROR(VLOOKUP($C435,'PORTIFÓLIO'!C:V,2,0),"")</f>
        <v/>
      </c>
      <c r="E435" s="211" t="str">
        <f>IFERROR(VLOOKUP($C435,'PORTIFÓLIO'!C:V,3,0),"")</f>
        <v/>
      </c>
      <c r="F435" s="211" t="str">
        <f>IFERROR(VLOOKUP($C435,'PORTIFÓLIO'!C:V,4,0),"")</f>
        <v/>
      </c>
      <c r="G435" s="215" t="str">
        <f>IFERROR(VLOOKUP($C435,'PORTIFÓLIO'!C:V,5,0),"")</f>
        <v/>
      </c>
      <c r="H435" s="254" t="str">
        <f t="array" ref="H435">IFERROR(INDEX('PORTIFÓLIO'!$H$4:$H$433,MATCH($C435,'PORTIFÓLIO'!$C$4:$C$433,0)),"")</f>
        <v/>
      </c>
      <c r="I435" s="256"/>
      <c r="J435" s="218">
        <f t="shared" si="49"/>
        <v>0</v>
      </c>
      <c r="K435" s="292" t="str">
        <f t="array" ref="K435">IFERROR(I435*INDEX('PORTIFÓLIO'!$S$4:$S$433,MATCH($C435,'PORTIFÓLIO'!$C$4:$C$433,0)),"")</f>
        <v/>
      </c>
      <c r="L435" s="292" t="str">
        <f t="array" ref="L435">IFERROR(J435*INDEX('PORTIFÓLIO'!$S$4:$S$433,MATCH($C435,'PORTIFÓLIO'!$C$4:$C$433,0)),"")</f>
        <v/>
      </c>
      <c r="U435" s="79"/>
    </row>
    <row r="436" ht="15.75" customHeight="1" outlineLevel="1">
      <c r="A436" s="211"/>
      <c r="B436" s="212"/>
      <c r="C436" s="213"/>
      <c r="D436" s="214" t="str">
        <f>IFERROR(VLOOKUP($C436,'PORTIFÓLIO'!C:V,2,0),"")</f>
        <v/>
      </c>
      <c r="E436" s="211" t="str">
        <f>IFERROR(VLOOKUP($C436,'PORTIFÓLIO'!C:V,3,0),"")</f>
        <v/>
      </c>
      <c r="F436" s="211" t="str">
        <f>IFERROR(VLOOKUP($C436,'PORTIFÓLIO'!C:V,4,0),"")</f>
        <v/>
      </c>
      <c r="G436" s="215" t="str">
        <f>IFERROR(VLOOKUP($C436,'PORTIFÓLIO'!C:V,5,0),"")</f>
        <v/>
      </c>
      <c r="H436" s="254" t="str">
        <f t="array" ref="H436">IFERROR(INDEX('PORTIFÓLIO'!$H$4:$H$433,MATCH($C436,'PORTIFÓLIO'!$C$4:$C$433,0)),"")</f>
        <v/>
      </c>
      <c r="I436" s="256"/>
      <c r="J436" s="218">
        <f t="shared" si="49"/>
        <v>0</v>
      </c>
      <c r="K436" s="292" t="str">
        <f t="array" ref="K436">IFERROR(I436*INDEX('PORTIFÓLIO'!$S$4:$S$433,MATCH($C436,'PORTIFÓLIO'!$C$4:$C$433,0)),"")</f>
        <v/>
      </c>
      <c r="L436" s="292" t="str">
        <f t="array" ref="L436">IFERROR(J436*INDEX('PORTIFÓLIO'!$S$4:$S$433,MATCH($C436,'PORTIFÓLIO'!$C$4:$C$433,0)),"")</f>
        <v/>
      </c>
      <c r="U436" s="79"/>
    </row>
    <row r="437" ht="15.75" customHeight="1" outlineLevel="1">
      <c r="A437" s="211"/>
      <c r="B437" s="212"/>
      <c r="C437" s="213"/>
      <c r="D437" s="214" t="str">
        <f>IFERROR(VLOOKUP($C437,'PORTIFÓLIO'!C:V,2,0),"")</f>
        <v/>
      </c>
      <c r="E437" s="211" t="str">
        <f>IFERROR(VLOOKUP($C437,'PORTIFÓLIO'!C:V,3,0),"")</f>
        <v/>
      </c>
      <c r="F437" s="211" t="str">
        <f>IFERROR(VLOOKUP($C437,'PORTIFÓLIO'!C:V,4,0),"")</f>
        <v/>
      </c>
      <c r="G437" s="215" t="str">
        <f>IFERROR(VLOOKUP($C437,'PORTIFÓLIO'!C:V,5,0),"")</f>
        <v/>
      </c>
      <c r="H437" s="254" t="str">
        <f t="array" ref="H437">IFERROR(INDEX('PORTIFÓLIO'!$H$4:$H$433,MATCH($C437,'PORTIFÓLIO'!$C$4:$C$433,0)),"")</f>
        <v/>
      </c>
      <c r="I437" s="256"/>
      <c r="J437" s="218">
        <f t="shared" si="49"/>
        <v>0</v>
      </c>
      <c r="K437" s="292" t="str">
        <f t="array" ref="K437">IFERROR(I437*INDEX('PORTIFÓLIO'!$S$4:$S$433,MATCH($C437,'PORTIFÓLIO'!$C$4:$C$433,0)),"")</f>
        <v/>
      </c>
      <c r="L437" s="292" t="str">
        <f t="array" ref="L437">IFERROR(J437*INDEX('PORTIFÓLIO'!$S$4:$S$433,MATCH($C437,'PORTIFÓLIO'!$C$4:$C$433,0)),"")</f>
        <v/>
      </c>
      <c r="U437" s="79"/>
    </row>
    <row r="438" ht="15.75" customHeight="1" outlineLevel="1">
      <c r="A438" s="211"/>
      <c r="B438" s="212"/>
      <c r="C438" s="213"/>
      <c r="D438" s="214" t="str">
        <f>IFERROR(VLOOKUP($C438,'PORTIFÓLIO'!C:V,2,0),"")</f>
        <v/>
      </c>
      <c r="E438" s="211" t="str">
        <f>IFERROR(VLOOKUP($C438,'PORTIFÓLIO'!C:V,3,0),"")</f>
        <v/>
      </c>
      <c r="F438" s="211" t="str">
        <f>IFERROR(VLOOKUP($C438,'PORTIFÓLIO'!C:V,4,0),"")</f>
        <v/>
      </c>
      <c r="G438" s="215" t="str">
        <f>IFERROR(VLOOKUP($C438,'PORTIFÓLIO'!C:V,5,0),"")</f>
        <v/>
      </c>
      <c r="H438" s="254" t="str">
        <f t="array" ref="H438">IFERROR(INDEX('PORTIFÓLIO'!$H$4:$H$433,MATCH($C438,'PORTIFÓLIO'!$C$4:$C$433,0)),"")</f>
        <v/>
      </c>
      <c r="I438" s="256"/>
      <c r="J438" s="218">
        <f t="shared" si="49"/>
        <v>0</v>
      </c>
      <c r="K438" s="292" t="str">
        <f t="array" ref="K438">IFERROR(I438*INDEX('PORTIFÓLIO'!$S$4:$S$433,MATCH($C438,'PORTIFÓLIO'!$C$4:$C$433,0)),"")</f>
        <v/>
      </c>
      <c r="L438" s="292" t="str">
        <f t="array" ref="L438">IFERROR(J438*INDEX('PORTIFÓLIO'!$S$4:$S$433,MATCH($C438,'PORTIFÓLIO'!$C$4:$C$433,0)),"")</f>
        <v/>
      </c>
      <c r="U438" s="79"/>
    </row>
    <row r="439" ht="15.75" customHeight="1" outlineLevel="1">
      <c r="A439" s="211"/>
      <c r="B439" s="212"/>
      <c r="C439" s="213"/>
      <c r="D439" s="214" t="str">
        <f>IFERROR(VLOOKUP($C439,'PORTIFÓLIO'!C:V,2,0),"")</f>
        <v/>
      </c>
      <c r="E439" s="211" t="str">
        <f>IFERROR(VLOOKUP($C439,'PORTIFÓLIO'!C:V,3,0),"")</f>
        <v/>
      </c>
      <c r="F439" s="211" t="str">
        <f>IFERROR(VLOOKUP($C439,'PORTIFÓLIO'!C:V,4,0),"")</f>
        <v/>
      </c>
      <c r="G439" s="215" t="str">
        <f>IFERROR(VLOOKUP($C439,'PORTIFÓLIO'!C:V,5,0),"")</f>
        <v/>
      </c>
      <c r="H439" s="254" t="str">
        <f t="array" ref="H439">IFERROR(INDEX('PORTIFÓLIO'!$H$4:$H$433,MATCH($C439,'PORTIFÓLIO'!$C$4:$C$433,0)),"")</f>
        <v/>
      </c>
      <c r="I439" s="256"/>
      <c r="J439" s="218">
        <f t="shared" si="49"/>
        <v>0</v>
      </c>
      <c r="K439" s="292" t="str">
        <f t="array" ref="K439">IFERROR(I439*INDEX('PORTIFÓLIO'!$S$4:$S$433,MATCH($C439,'PORTIFÓLIO'!$C$4:$C$433,0)),"")</f>
        <v/>
      </c>
      <c r="L439" s="292" t="str">
        <f t="array" ref="L439">IFERROR(J439*INDEX('PORTIFÓLIO'!$S$4:$S$433,MATCH($C439,'PORTIFÓLIO'!$C$4:$C$433,0)),"")</f>
        <v/>
      </c>
      <c r="U439" s="79"/>
    </row>
    <row r="440" ht="15.75" customHeight="1" outlineLevel="1">
      <c r="A440" s="211"/>
      <c r="B440" s="212"/>
      <c r="C440" s="213"/>
      <c r="D440" s="214" t="str">
        <f>IFERROR(VLOOKUP($C440,'PORTIFÓLIO'!C:V,2,0),"")</f>
        <v/>
      </c>
      <c r="E440" s="211" t="str">
        <f>IFERROR(VLOOKUP($C440,'PORTIFÓLIO'!C:V,3,0),"")</f>
        <v/>
      </c>
      <c r="F440" s="211" t="str">
        <f>IFERROR(VLOOKUP($C440,'PORTIFÓLIO'!C:V,4,0),"")</f>
        <v/>
      </c>
      <c r="G440" s="215" t="str">
        <f>IFERROR(VLOOKUP($C440,'PORTIFÓLIO'!C:V,5,0),"")</f>
        <v/>
      </c>
      <c r="H440" s="254" t="str">
        <f t="array" ref="H440">IFERROR(INDEX('PORTIFÓLIO'!$H$4:$H$433,MATCH($C440,'PORTIFÓLIO'!$C$4:$C$433,0)),"")</f>
        <v/>
      </c>
      <c r="I440" s="256"/>
      <c r="J440" s="218">
        <f t="shared" si="49"/>
        <v>0</v>
      </c>
      <c r="K440" s="292" t="str">
        <f t="array" ref="K440">IFERROR(I440*INDEX('PORTIFÓLIO'!$S$4:$S$433,MATCH($C440,'PORTIFÓLIO'!$C$4:$C$433,0)),"")</f>
        <v/>
      </c>
      <c r="L440" s="292" t="str">
        <f t="array" ref="L440">IFERROR(J440*INDEX('PORTIFÓLIO'!$S$4:$S$433,MATCH($C440,'PORTIFÓLIO'!$C$4:$C$433,0)),"")</f>
        <v/>
      </c>
      <c r="U440" s="79"/>
    </row>
    <row r="441" ht="15.75" customHeight="1" outlineLevel="1">
      <c r="A441" s="211"/>
      <c r="B441" s="212"/>
      <c r="C441" s="213"/>
      <c r="D441" s="214" t="str">
        <f>IFERROR(VLOOKUP($C441,'PORTIFÓLIO'!C:V,2,0),"")</f>
        <v/>
      </c>
      <c r="E441" s="211" t="str">
        <f>IFERROR(VLOOKUP($C441,'PORTIFÓLIO'!C:V,3,0),"")</f>
        <v/>
      </c>
      <c r="F441" s="211" t="str">
        <f>IFERROR(VLOOKUP($C441,'PORTIFÓLIO'!C:V,4,0),"")</f>
        <v/>
      </c>
      <c r="G441" s="215" t="str">
        <f>IFERROR(VLOOKUP($C441,'PORTIFÓLIO'!C:V,5,0),"")</f>
        <v/>
      </c>
      <c r="H441" s="254" t="str">
        <f t="array" ref="H441">IFERROR(INDEX('PORTIFÓLIO'!$H$4:$H$433,MATCH($C441,'PORTIFÓLIO'!$C$4:$C$433,0)),"")</f>
        <v/>
      </c>
      <c r="I441" s="256"/>
      <c r="J441" s="218">
        <f t="shared" si="49"/>
        <v>0</v>
      </c>
      <c r="K441" s="292" t="str">
        <f t="array" ref="K441">IFERROR(I441*INDEX('PORTIFÓLIO'!$S$4:$S$433,MATCH($C441,'PORTIFÓLIO'!$C$4:$C$433,0)),"")</f>
        <v/>
      </c>
      <c r="L441" s="292" t="str">
        <f t="array" ref="L441">IFERROR(J441*INDEX('PORTIFÓLIO'!$S$4:$S$433,MATCH($C441,'PORTIFÓLIO'!$C$4:$C$433,0)),"")</f>
        <v/>
      </c>
      <c r="U441" s="79"/>
    </row>
    <row r="442" ht="15.75" customHeight="1" outlineLevel="1">
      <c r="A442" s="211"/>
      <c r="B442" s="212"/>
      <c r="C442" s="213"/>
      <c r="D442" s="214" t="str">
        <f>IFERROR(VLOOKUP($C442,'PORTIFÓLIO'!C:V,2,0),"")</f>
        <v/>
      </c>
      <c r="E442" s="211" t="str">
        <f>IFERROR(VLOOKUP($C442,'PORTIFÓLIO'!C:V,3,0),"")</f>
        <v/>
      </c>
      <c r="F442" s="211" t="str">
        <f>IFERROR(VLOOKUP($C442,'PORTIFÓLIO'!C:V,4,0),"")</f>
        <v/>
      </c>
      <c r="G442" s="215" t="str">
        <f>IFERROR(VLOOKUP($C442,'PORTIFÓLIO'!C:V,5,0),"")</f>
        <v/>
      </c>
      <c r="H442" s="254" t="str">
        <f t="array" ref="H442">IFERROR(INDEX('PORTIFÓLIO'!$H$4:$H$433,MATCH($C442,'PORTIFÓLIO'!$C$4:$C$433,0)),"")</f>
        <v/>
      </c>
      <c r="I442" s="256"/>
      <c r="J442" s="218">
        <f t="shared" si="49"/>
        <v>0</v>
      </c>
      <c r="K442" s="292" t="str">
        <f t="array" ref="K442">IFERROR(I442*INDEX('PORTIFÓLIO'!$S$4:$S$433,MATCH($C442,'PORTIFÓLIO'!$C$4:$C$433,0)),"")</f>
        <v/>
      </c>
      <c r="L442" s="292" t="str">
        <f t="array" ref="L442">IFERROR(J442*INDEX('PORTIFÓLIO'!$S$4:$S$433,MATCH($C442,'PORTIFÓLIO'!$C$4:$C$433,0)),"")</f>
        <v/>
      </c>
      <c r="U442" s="79"/>
    </row>
    <row r="443" ht="15.75" customHeight="1" outlineLevel="1">
      <c r="A443" s="211"/>
      <c r="B443" s="227"/>
      <c r="C443" s="211"/>
      <c r="D443" s="214" t="str">
        <f>IFERROR(VLOOKUP($C443,'PORTIFÓLIO'!C:V,2,0),"")</f>
        <v/>
      </c>
      <c r="E443" s="211" t="str">
        <f>IFERROR(VLOOKUP($C443,'PORTIFÓLIO'!C:V,3,0),"")</f>
        <v/>
      </c>
      <c r="F443" s="211" t="str">
        <f>IFERROR(VLOOKUP($C443,'PORTIFÓLIO'!C:V,4,0),"")</f>
        <v/>
      </c>
      <c r="G443" s="215" t="str">
        <f>IFERROR(VLOOKUP($C443,'PORTIFÓLIO'!C:V,5,0),"")</f>
        <v/>
      </c>
      <c r="H443" s="254" t="str">
        <f t="array" ref="H443">IFERROR(INDEX('PORTIFÓLIO'!$H$4:$H$433,MATCH($C443,'PORTIFÓLIO'!$C$4:$C$433,0)),"")</f>
        <v/>
      </c>
      <c r="I443" s="256"/>
      <c r="J443" s="218">
        <f t="shared" si="49"/>
        <v>0</v>
      </c>
      <c r="K443" s="292" t="str">
        <f t="array" ref="K443">IFERROR(I443*INDEX('PORTIFÓLIO'!$S$4:$S$433,MATCH($C443,'PORTIFÓLIO'!$C$4:$C$433,0)),"")</f>
        <v/>
      </c>
      <c r="L443" s="292" t="str">
        <f t="array" ref="L443">IFERROR(J443*INDEX('PORTIFÓLIO'!$S$4:$S$433,MATCH($C443,'PORTIFÓLIO'!$C$4:$C$433,0)),"")</f>
        <v/>
      </c>
      <c r="U443" s="79"/>
    </row>
    <row r="444" ht="15.75" customHeight="1" outlineLevel="1">
      <c r="A444" s="211"/>
      <c r="B444" s="227"/>
      <c r="C444" s="211"/>
      <c r="D444" s="214" t="str">
        <f>IFERROR(VLOOKUP($C444,'PORTIFÓLIO'!C:V,2,0),"")</f>
        <v/>
      </c>
      <c r="E444" s="211" t="str">
        <f>IFERROR(VLOOKUP($C444,'PORTIFÓLIO'!C:V,3,0),"")</f>
        <v/>
      </c>
      <c r="F444" s="211" t="str">
        <f>IFERROR(VLOOKUP($C444,'PORTIFÓLIO'!C:V,4,0),"")</f>
        <v/>
      </c>
      <c r="G444" s="215" t="str">
        <f>IFERROR(VLOOKUP($C444,'PORTIFÓLIO'!C:V,5,0),"")</f>
        <v/>
      </c>
      <c r="H444" s="254" t="str">
        <f t="array" ref="H444">IFERROR(INDEX('PORTIFÓLIO'!$H$4:$H$433,MATCH($C444,'PORTIFÓLIO'!$C$4:$C$433,0)),"")</f>
        <v/>
      </c>
      <c r="I444" s="256"/>
      <c r="J444" s="218">
        <f t="shared" si="49"/>
        <v>0</v>
      </c>
      <c r="K444" s="292" t="str">
        <f t="array" ref="K444">IFERROR(I444*INDEX('PORTIFÓLIO'!$S$4:$S$433,MATCH($C444,'PORTIFÓLIO'!$C$4:$C$433,0)),"")</f>
        <v/>
      </c>
      <c r="L444" s="292" t="str">
        <f t="array" ref="L444">IFERROR(J444*INDEX('PORTIFÓLIO'!$S$4:$S$433,MATCH($C444,'PORTIFÓLIO'!$C$4:$C$433,0)),"")</f>
        <v/>
      </c>
      <c r="U444" s="79"/>
    </row>
    <row r="445" ht="15.75" customHeight="1" outlineLevel="1">
      <c r="A445" s="211"/>
      <c r="B445" s="227"/>
      <c r="C445" s="211"/>
      <c r="D445" s="214" t="str">
        <f>IFERROR(VLOOKUP($C445,'PORTIFÓLIO'!C:V,2,0),"")</f>
        <v/>
      </c>
      <c r="E445" s="211" t="str">
        <f>IFERROR(VLOOKUP($C445,'PORTIFÓLIO'!C:V,3,0),"")</f>
        <v/>
      </c>
      <c r="F445" s="211" t="str">
        <f>IFERROR(VLOOKUP($C445,'PORTIFÓLIO'!C:V,4,0),"")</f>
        <v/>
      </c>
      <c r="G445" s="215" t="str">
        <f>IFERROR(VLOOKUP($C445,'PORTIFÓLIO'!C:V,5,0),"")</f>
        <v/>
      </c>
      <c r="H445" s="254" t="str">
        <f t="array" ref="H445">IFERROR(INDEX('PORTIFÓLIO'!$H$4:$H$433,MATCH($C445,'PORTIFÓLIO'!$C$4:$C$433,0)),"")</f>
        <v/>
      </c>
      <c r="I445" s="256"/>
      <c r="J445" s="218">
        <f t="shared" si="49"/>
        <v>0</v>
      </c>
      <c r="K445" s="292" t="str">
        <f t="array" ref="K445">IFERROR(I445*INDEX('PORTIFÓLIO'!$S$4:$S$433,MATCH($C445,'PORTIFÓLIO'!$C$4:$C$433,0)),"")</f>
        <v/>
      </c>
      <c r="L445" s="292" t="str">
        <f t="array" ref="L445">IFERROR(J445*INDEX('PORTIFÓLIO'!$S$4:$S$433,MATCH($C445,'PORTIFÓLIO'!$C$4:$C$433,0)),"")</f>
        <v/>
      </c>
      <c r="U445" s="79"/>
    </row>
    <row r="446" ht="15.75" customHeight="1" outlineLevel="1">
      <c r="A446" s="211"/>
      <c r="B446" s="227"/>
      <c r="C446" s="211"/>
      <c r="D446" s="214" t="str">
        <f>IFERROR(VLOOKUP($C446,'PORTIFÓLIO'!C:V,2,0),"")</f>
        <v/>
      </c>
      <c r="E446" s="211" t="str">
        <f>IFERROR(VLOOKUP($C446,'PORTIFÓLIO'!C:V,3,0),"")</f>
        <v/>
      </c>
      <c r="F446" s="211" t="str">
        <f>IFERROR(VLOOKUP($C446,'PORTIFÓLIO'!C:V,4,0),"")</f>
        <v/>
      </c>
      <c r="G446" s="215" t="str">
        <f>IFERROR(VLOOKUP($C446,'PORTIFÓLIO'!C:V,5,0),"")</f>
        <v/>
      </c>
      <c r="H446" s="254" t="str">
        <f t="array" ref="H446">IFERROR(INDEX('PORTIFÓLIO'!$H$4:$H$433,MATCH($C446,'PORTIFÓLIO'!$C$4:$C$433,0)),"")</f>
        <v/>
      </c>
      <c r="I446" s="256"/>
      <c r="J446" s="218">
        <f t="shared" si="49"/>
        <v>0</v>
      </c>
      <c r="K446" s="292" t="str">
        <f t="array" ref="K446">IFERROR(I446*INDEX('PORTIFÓLIO'!$S$4:$S$433,MATCH($C446,'PORTIFÓLIO'!$C$4:$C$433,0)),"")</f>
        <v/>
      </c>
      <c r="L446" s="292" t="str">
        <f t="array" ref="L446">IFERROR(J446*INDEX('PORTIFÓLIO'!$S$4:$S$433,MATCH($C446,'PORTIFÓLIO'!$C$4:$C$433,0)),"")</f>
        <v/>
      </c>
      <c r="U446" s="79"/>
    </row>
    <row r="447" ht="15.75" customHeight="1" outlineLevel="1">
      <c r="A447" s="211"/>
      <c r="B447" s="227"/>
      <c r="C447" s="211"/>
      <c r="D447" s="214" t="str">
        <f>IFERROR(VLOOKUP($C447,'PORTIFÓLIO'!C:V,2,0),"")</f>
        <v/>
      </c>
      <c r="E447" s="211" t="str">
        <f>IFERROR(VLOOKUP($C447,'PORTIFÓLIO'!C:V,3,0),"")</f>
        <v/>
      </c>
      <c r="F447" s="211" t="str">
        <f>IFERROR(VLOOKUP($C447,'PORTIFÓLIO'!C:V,4,0),"")</f>
        <v/>
      </c>
      <c r="G447" s="215" t="str">
        <f>IFERROR(VLOOKUP($C447,'PORTIFÓLIO'!C:V,5,0),"")</f>
        <v/>
      </c>
      <c r="H447" s="254" t="str">
        <f t="array" ref="H447">IFERROR(INDEX('PORTIFÓLIO'!$H$4:$H$433,MATCH($C447,'PORTIFÓLIO'!$C$4:$C$433,0)),"")</f>
        <v/>
      </c>
      <c r="I447" s="256"/>
      <c r="J447" s="218">
        <f t="shared" si="49"/>
        <v>0</v>
      </c>
      <c r="K447" s="292" t="str">
        <f t="array" ref="K447">IFERROR(I447*INDEX('PORTIFÓLIO'!$S$4:$S$433,MATCH($C447,'PORTIFÓLIO'!$C$4:$C$433,0)),"")</f>
        <v/>
      </c>
      <c r="L447" s="292" t="str">
        <f t="array" ref="L447">IFERROR(J447*INDEX('PORTIFÓLIO'!$S$4:$S$433,MATCH($C447,'PORTIFÓLIO'!$C$4:$C$433,0)),"")</f>
        <v/>
      </c>
      <c r="U447" s="79"/>
    </row>
    <row r="448" ht="15.75" customHeight="1" outlineLevel="1">
      <c r="A448" s="211"/>
      <c r="B448" s="227"/>
      <c r="C448" s="211"/>
      <c r="D448" s="214" t="str">
        <f>IFERROR(VLOOKUP($C448,'PORTIFÓLIO'!C:V,2,0),"")</f>
        <v/>
      </c>
      <c r="E448" s="211" t="str">
        <f>IFERROR(VLOOKUP($C448,'PORTIFÓLIO'!C:V,3,0),"")</f>
        <v/>
      </c>
      <c r="F448" s="211" t="str">
        <f>IFERROR(VLOOKUP($C448,'PORTIFÓLIO'!C:V,4,0),"")</f>
        <v/>
      </c>
      <c r="G448" s="215" t="str">
        <f>IFERROR(VLOOKUP($C448,'PORTIFÓLIO'!C:V,5,0),"")</f>
        <v/>
      </c>
      <c r="H448" s="254" t="str">
        <f t="array" ref="H448">IFERROR(INDEX('PORTIFÓLIO'!$H$4:$H$433,MATCH($C448,'PORTIFÓLIO'!$C$4:$C$433,0)),"")</f>
        <v/>
      </c>
      <c r="I448" s="256"/>
      <c r="J448" s="218">
        <f t="shared" si="49"/>
        <v>0</v>
      </c>
      <c r="K448" s="292" t="str">
        <f t="array" ref="K448">IFERROR(I448*INDEX('PORTIFÓLIO'!$S$4:$S$433,MATCH($C448,'PORTIFÓLIO'!$C$4:$C$433,0)),"")</f>
        <v/>
      </c>
      <c r="L448" s="292" t="str">
        <f t="array" ref="L448">IFERROR(J448*INDEX('PORTIFÓLIO'!$S$4:$S$433,MATCH($C448,'PORTIFÓLIO'!$C$4:$C$433,0)),"")</f>
        <v/>
      </c>
      <c r="U448" s="79"/>
    </row>
    <row r="449" ht="15.75" customHeight="1" outlineLevel="1">
      <c r="A449" s="211"/>
      <c r="B449" s="227"/>
      <c r="C449" s="211"/>
      <c r="D449" s="214" t="str">
        <f>IFERROR(VLOOKUP($C449,'PORTIFÓLIO'!C:V,2,0),"")</f>
        <v/>
      </c>
      <c r="E449" s="211" t="str">
        <f>IFERROR(VLOOKUP($C449,'PORTIFÓLIO'!C:V,3,0),"")</f>
        <v/>
      </c>
      <c r="F449" s="211" t="str">
        <f>IFERROR(VLOOKUP($C449,'PORTIFÓLIO'!C:V,4,0),"")</f>
        <v/>
      </c>
      <c r="G449" s="215" t="str">
        <f>IFERROR(VLOOKUP($C449,'PORTIFÓLIO'!C:V,5,0),"")</f>
        <v/>
      </c>
      <c r="H449" s="254" t="str">
        <f t="array" ref="H449">IFERROR(INDEX('PORTIFÓLIO'!$H$4:$H$433,MATCH($C449,'PORTIFÓLIO'!$C$4:$C$433,0)),"")</f>
        <v/>
      </c>
      <c r="I449" s="256"/>
      <c r="J449" s="218">
        <f t="shared" si="49"/>
        <v>0</v>
      </c>
      <c r="K449" s="292" t="str">
        <f t="array" ref="K449">IFERROR(I449*INDEX('PORTIFÓLIO'!$S$4:$S$433,MATCH($C449,'PORTIFÓLIO'!$C$4:$C$433,0)),"")</f>
        <v/>
      </c>
      <c r="L449" s="292" t="str">
        <f t="array" ref="L449">IFERROR(J449*INDEX('PORTIFÓLIO'!$S$4:$S$433,MATCH($C449,'PORTIFÓLIO'!$C$4:$C$433,0)),"")</f>
        <v/>
      </c>
      <c r="U449" s="79"/>
    </row>
    <row r="450" ht="15.75" customHeight="1" outlineLevel="1">
      <c r="A450" s="211"/>
      <c r="B450" s="227"/>
      <c r="C450" s="211"/>
      <c r="D450" s="214" t="str">
        <f>IFERROR(VLOOKUP($C450,'PORTIFÓLIO'!C:V,2,0),"")</f>
        <v/>
      </c>
      <c r="E450" s="211" t="str">
        <f>IFERROR(VLOOKUP($C450,'PORTIFÓLIO'!C:V,3,0),"")</f>
        <v/>
      </c>
      <c r="F450" s="211" t="str">
        <f>IFERROR(VLOOKUP($C450,'PORTIFÓLIO'!C:V,4,0),"")</f>
        <v/>
      </c>
      <c r="G450" s="215" t="str">
        <f>IFERROR(VLOOKUP($C450,'PORTIFÓLIO'!C:V,5,0),"")</f>
        <v/>
      </c>
      <c r="H450" s="254" t="str">
        <f t="array" ref="H450">IFERROR(INDEX('PORTIFÓLIO'!$H$4:$H$433,MATCH($C450,'PORTIFÓLIO'!$C$4:$C$433,0)),"")</f>
        <v/>
      </c>
      <c r="I450" s="256"/>
      <c r="J450" s="218">
        <f t="shared" si="49"/>
        <v>0</v>
      </c>
      <c r="K450" s="292" t="str">
        <f t="array" ref="K450">IFERROR(I450*INDEX('PORTIFÓLIO'!$S$4:$S$433,MATCH($C450,'PORTIFÓLIO'!$C$4:$C$433,0)),"")</f>
        <v/>
      </c>
      <c r="L450" s="292" t="str">
        <f t="array" ref="L450">IFERROR(J450*INDEX('PORTIFÓLIO'!$S$4:$S$433,MATCH($C450,'PORTIFÓLIO'!$C$4:$C$433,0)),"")</f>
        <v/>
      </c>
      <c r="U450" s="79"/>
    </row>
    <row r="451" ht="15.75" customHeight="1" outlineLevel="1">
      <c r="A451" s="211"/>
      <c r="B451" s="227"/>
      <c r="C451" s="211"/>
      <c r="D451" s="214" t="str">
        <f>IFERROR(VLOOKUP($C451,'PORTIFÓLIO'!C:V,2,0),"")</f>
        <v/>
      </c>
      <c r="E451" s="211" t="str">
        <f>IFERROR(VLOOKUP($C451,'PORTIFÓLIO'!C:V,3,0),"")</f>
        <v/>
      </c>
      <c r="F451" s="211" t="str">
        <f>IFERROR(VLOOKUP($C451,'PORTIFÓLIO'!C:V,4,0),"")</f>
        <v/>
      </c>
      <c r="G451" s="215" t="str">
        <f>IFERROR(VLOOKUP($C451,'PORTIFÓLIO'!C:V,5,0),"")</f>
        <v/>
      </c>
      <c r="H451" s="254" t="str">
        <f t="array" ref="H451">IFERROR(INDEX('PORTIFÓLIO'!$H$4:$H$433,MATCH($C451,'PORTIFÓLIO'!$C$4:$C$433,0)),"")</f>
        <v/>
      </c>
      <c r="I451" s="256"/>
      <c r="J451" s="218">
        <f t="shared" si="49"/>
        <v>0</v>
      </c>
      <c r="K451" s="292" t="str">
        <f t="array" ref="K451">IFERROR(I451*INDEX('PORTIFÓLIO'!$S$4:$S$433,MATCH($C451,'PORTIFÓLIO'!$C$4:$C$433,0)),"")</f>
        <v/>
      </c>
      <c r="L451" s="292" t="str">
        <f t="array" ref="L451">IFERROR(J451*INDEX('PORTIFÓLIO'!$S$4:$S$433,MATCH($C451,'PORTIFÓLIO'!$C$4:$C$433,0)),"")</f>
        <v/>
      </c>
      <c r="U451" s="79"/>
    </row>
    <row r="452" ht="15.75" customHeight="1">
      <c r="A452" s="227"/>
      <c r="B452" s="227"/>
      <c r="C452" s="227"/>
      <c r="D452" s="227"/>
      <c r="E452" s="227"/>
      <c r="F452" s="227"/>
      <c r="G452" s="215"/>
      <c r="H452" s="227"/>
      <c r="I452" s="227"/>
      <c r="J452" s="227"/>
      <c r="K452" s="293">
        <f t="shared" ref="K452:L452" si="50">SUBTOTAL(9,K237:K427)</f>
        <v>0</v>
      </c>
      <c r="L452" s="293">
        <f t="shared" si="50"/>
        <v>0</v>
      </c>
      <c r="U452" s="79"/>
    </row>
    <row r="453" ht="15.75" customHeight="1">
      <c r="U453" s="79"/>
    </row>
    <row r="454" ht="15.75" customHeight="1">
      <c r="U454" s="79"/>
    </row>
    <row r="455" ht="15.75" customHeight="1">
      <c r="U455" s="79"/>
    </row>
    <row r="456" ht="15.75" customHeight="1">
      <c r="U456" s="79"/>
    </row>
    <row r="457" ht="15.75" customHeight="1">
      <c r="U457" s="79"/>
    </row>
    <row r="458" ht="15.75" customHeight="1">
      <c r="U458" s="79"/>
    </row>
    <row r="459" ht="15.75" customHeight="1">
      <c r="U459" s="79"/>
    </row>
    <row r="460" ht="15.75" customHeight="1">
      <c r="U460" s="79"/>
    </row>
    <row r="461" ht="15.75" customHeight="1">
      <c r="U461" s="79"/>
    </row>
    <row r="462" ht="15.75" customHeight="1">
      <c r="U462" s="79"/>
    </row>
    <row r="463" ht="15.75" customHeight="1">
      <c r="U463" s="79"/>
    </row>
    <row r="464" ht="15.75" customHeight="1">
      <c r="U464" s="79"/>
    </row>
    <row r="465" ht="15.75" customHeight="1">
      <c r="U465" s="79"/>
    </row>
    <row r="466" ht="15.75" customHeight="1">
      <c r="U466" s="79"/>
    </row>
    <row r="467" ht="15.75" customHeight="1">
      <c r="U467" s="79"/>
    </row>
    <row r="468" ht="15.75" customHeight="1">
      <c r="U468" s="79"/>
    </row>
    <row r="469" ht="15.75" customHeight="1">
      <c r="U469" s="79"/>
    </row>
    <row r="470" ht="15.75" customHeight="1">
      <c r="U470" s="79"/>
    </row>
    <row r="471" ht="15.75" customHeight="1">
      <c r="U471" s="79"/>
    </row>
    <row r="472" ht="15.75" customHeight="1">
      <c r="U472" s="79"/>
    </row>
    <row r="473" ht="15.75" customHeight="1">
      <c r="U473" s="79"/>
    </row>
    <row r="474" ht="15.75" customHeight="1">
      <c r="U474" s="79"/>
    </row>
    <row r="475" ht="15.75" customHeight="1">
      <c r="U475" s="79"/>
    </row>
    <row r="476" ht="15.75" customHeight="1">
      <c r="U476" s="79"/>
    </row>
    <row r="477" ht="15.75" customHeight="1">
      <c r="U477" s="79"/>
    </row>
    <row r="478" ht="15.75" customHeight="1">
      <c r="U478" s="79"/>
    </row>
    <row r="479" ht="15.75" customHeight="1">
      <c r="U479" s="79"/>
    </row>
    <row r="480" ht="15.75" customHeight="1">
      <c r="U480" s="79"/>
    </row>
    <row r="481" ht="15.75" customHeight="1">
      <c r="U481" s="79"/>
    </row>
    <row r="482" ht="15.75" customHeight="1">
      <c r="U482" s="79"/>
    </row>
    <row r="483" ht="15.75" customHeight="1">
      <c r="U483" s="79"/>
    </row>
    <row r="484" ht="15.75" customHeight="1">
      <c r="U484" s="79"/>
    </row>
    <row r="485" ht="15.75" customHeight="1">
      <c r="U485" s="79"/>
    </row>
    <row r="486" ht="15.75" customHeight="1">
      <c r="U486" s="79"/>
    </row>
    <row r="487" ht="15.75" customHeight="1">
      <c r="U487" s="79"/>
    </row>
    <row r="488" ht="15.75" customHeight="1">
      <c r="U488" s="79"/>
    </row>
    <row r="489" ht="15.75" customHeight="1">
      <c r="U489" s="79"/>
    </row>
    <row r="490" ht="15.75" customHeight="1">
      <c r="U490" s="79"/>
    </row>
    <row r="491" ht="15.75" customHeight="1">
      <c r="U491" s="79"/>
    </row>
    <row r="492" ht="15.75" customHeight="1">
      <c r="U492" s="79"/>
    </row>
    <row r="493" ht="15.75" customHeight="1">
      <c r="U493" s="79"/>
    </row>
    <row r="494" ht="15.75" customHeight="1">
      <c r="U494" s="79"/>
    </row>
    <row r="495" ht="15.75" customHeight="1">
      <c r="U495" s="79"/>
    </row>
    <row r="496" ht="15.75" customHeight="1">
      <c r="U496" s="79"/>
    </row>
    <row r="497" ht="15.75" customHeight="1">
      <c r="U497" s="79"/>
    </row>
    <row r="498" ht="15.75" customHeight="1">
      <c r="U498" s="79"/>
    </row>
    <row r="499" ht="15.75" customHeight="1">
      <c r="U499" s="79"/>
    </row>
    <row r="500" ht="15.75" customHeight="1">
      <c r="U500" s="79"/>
    </row>
    <row r="501" ht="15.75" customHeight="1">
      <c r="U501" s="79"/>
    </row>
    <row r="502" ht="15.75" customHeight="1">
      <c r="U502" s="79"/>
    </row>
    <row r="503" ht="15.75" customHeight="1">
      <c r="U503" s="79"/>
    </row>
    <row r="504" ht="15.75" customHeight="1">
      <c r="U504" s="79"/>
    </row>
    <row r="505" ht="15.75" customHeight="1">
      <c r="U505" s="79"/>
    </row>
    <row r="506" ht="15.75" customHeight="1">
      <c r="U506" s="79"/>
    </row>
    <row r="507" ht="15.75" customHeight="1">
      <c r="U507" s="79"/>
    </row>
    <row r="508" ht="15.75" customHeight="1">
      <c r="U508" s="79"/>
    </row>
    <row r="509" ht="15.75" customHeight="1">
      <c r="U509" s="79"/>
    </row>
    <row r="510" ht="15.75" customHeight="1">
      <c r="U510" s="79"/>
    </row>
    <row r="511" ht="15.75" customHeight="1">
      <c r="U511" s="79"/>
    </row>
    <row r="512" ht="15.75" customHeight="1">
      <c r="U512" s="79"/>
    </row>
    <row r="513" ht="15.75" customHeight="1">
      <c r="U513" s="79"/>
    </row>
    <row r="514" ht="15.75" customHeight="1">
      <c r="U514" s="79"/>
    </row>
    <row r="515" ht="15.75" customHeight="1">
      <c r="U515" s="79"/>
    </row>
    <row r="516" ht="15.75" customHeight="1">
      <c r="U516" s="79"/>
    </row>
    <row r="517" ht="15.75" customHeight="1">
      <c r="U517" s="79"/>
    </row>
    <row r="518" ht="15.75" customHeight="1">
      <c r="U518" s="79"/>
    </row>
    <row r="519" ht="15.75" customHeight="1">
      <c r="U519" s="79"/>
    </row>
    <row r="520" ht="15.75" customHeight="1">
      <c r="U520" s="79"/>
    </row>
    <row r="521" ht="15.75" customHeight="1">
      <c r="U521" s="79"/>
    </row>
    <row r="522" ht="15.75" customHeight="1">
      <c r="U522" s="79"/>
    </row>
    <row r="523" ht="15.75" customHeight="1">
      <c r="U523" s="79"/>
    </row>
    <row r="524" ht="15.75" customHeight="1">
      <c r="U524" s="79"/>
    </row>
    <row r="525" ht="15.75" customHeight="1">
      <c r="U525" s="79"/>
    </row>
    <row r="526" ht="15.75" customHeight="1">
      <c r="U526" s="79"/>
    </row>
    <row r="527" ht="15.75" customHeight="1">
      <c r="U527" s="79"/>
    </row>
    <row r="528" ht="15.75" customHeight="1">
      <c r="U528" s="79"/>
    </row>
    <row r="529" ht="15.75" customHeight="1">
      <c r="U529" s="79"/>
    </row>
    <row r="530" ht="15.75" customHeight="1">
      <c r="U530" s="79"/>
    </row>
    <row r="531" ht="15.75" customHeight="1">
      <c r="U531" s="79"/>
    </row>
    <row r="532" ht="15.75" customHeight="1">
      <c r="U532" s="79"/>
    </row>
    <row r="533" ht="15.75" customHeight="1">
      <c r="U533" s="79"/>
    </row>
    <row r="534" ht="15.75" customHeight="1">
      <c r="U534" s="79"/>
    </row>
    <row r="535" ht="15.75" customHeight="1">
      <c r="U535" s="79"/>
    </row>
    <row r="536" ht="15.75" customHeight="1">
      <c r="U536" s="79"/>
    </row>
    <row r="537" ht="15.75" customHeight="1">
      <c r="U537" s="79"/>
    </row>
    <row r="538" ht="15.75" customHeight="1">
      <c r="U538" s="79"/>
    </row>
    <row r="539" ht="15.75" customHeight="1">
      <c r="U539" s="79"/>
    </row>
    <row r="540" ht="15.75" customHeight="1">
      <c r="U540" s="79"/>
    </row>
    <row r="541" ht="15.75" customHeight="1">
      <c r="U541" s="79"/>
    </row>
    <row r="542" ht="15.75" customHeight="1">
      <c r="U542" s="79"/>
    </row>
    <row r="543" ht="15.75" customHeight="1">
      <c r="U543" s="79"/>
    </row>
    <row r="544" ht="15.75" customHeight="1">
      <c r="U544" s="79"/>
    </row>
    <row r="545" ht="15.75" customHeight="1">
      <c r="U545" s="79"/>
    </row>
    <row r="546" ht="15.75" customHeight="1">
      <c r="U546" s="79"/>
    </row>
    <row r="547" ht="15.75" customHeight="1">
      <c r="U547" s="79"/>
    </row>
    <row r="548" ht="15.75" customHeight="1">
      <c r="U548" s="79"/>
    </row>
    <row r="549" ht="15.75" customHeight="1">
      <c r="U549" s="79"/>
    </row>
    <row r="550" ht="15.75" customHeight="1">
      <c r="U550" s="79"/>
    </row>
    <row r="551" ht="15.75" customHeight="1">
      <c r="U551" s="79"/>
    </row>
    <row r="552" ht="15.75" customHeight="1">
      <c r="U552" s="79"/>
    </row>
    <row r="553" ht="15.75" customHeight="1">
      <c r="U553" s="79"/>
    </row>
    <row r="554" ht="15.75" customHeight="1">
      <c r="U554" s="79"/>
    </row>
    <row r="555" ht="15.75" customHeight="1">
      <c r="U555" s="79"/>
    </row>
    <row r="556" ht="15.75" customHeight="1">
      <c r="U556" s="79"/>
    </row>
    <row r="557" ht="15.75" customHeight="1">
      <c r="U557" s="79"/>
    </row>
    <row r="558" ht="15.75" customHeight="1">
      <c r="U558" s="79"/>
    </row>
    <row r="559" ht="15.75" customHeight="1">
      <c r="U559" s="79"/>
    </row>
    <row r="560" ht="15.75" customHeight="1">
      <c r="U560" s="79"/>
    </row>
    <row r="561" ht="15.75" customHeight="1">
      <c r="U561" s="79"/>
    </row>
    <row r="562" ht="15.75" customHeight="1">
      <c r="U562" s="79"/>
    </row>
    <row r="563" ht="15.75" customHeight="1">
      <c r="U563" s="79"/>
    </row>
    <row r="564" ht="15.75" customHeight="1">
      <c r="U564" s="79"/>
    </row>
    <row r="565" ht="15.75" customHeight="1">
      <c r="U565" s="79"/>
    </row>
    <row r="566" ht="15.75" customHeight="1">
      <c r="U566" s="79"/>
    </row>
    <row r="567" ht="15.75" customHeight="1">
      <c r="U567" s="79"/>
    </row>
    <row r="568" ht="15.75" customHeight="1">
      <c r="U568" s="79"/>
    </row>
    <row r="569" ht="15.75" customHeight="1">
      <c r="U569" s="79"/>
    </row>
    <row r="570" ht="15.75" customHeight="1">
      <c r="U570" s="79"/>
    </row>
    <row r="571" ht="15.75" customHeight="1">
      <c r="U571" s="79"/>
    </row>
    <row r="572" ht="15.75" customHeight="1">
      <c r="U572" s="79"/>
    </row>
    <row r="573" ht="15.75" customHeight="1">
      <c r="U573" s="79"/>
    </row>
    <row r="574" ht="15.75" customHeight="1">
      <c r="U574" s="79"/>
    </row>
    <row r="575" ht="15.75" customHeight="1">
      <c r="U575" s="79"/>
    </row>
    <row r="576" ht="15.75" customHeight="1">
      <c r="U576" s="79"/>
    </row>
    <row r="577" ht="15.75" customHeight="1">
      <c r="U577" s="79"/>
    </row>
    <row r="578" ht="15.75" customHeight="1">
      <c r="U578" s="79"/>
    </row>
    <row r="579" ht="15.75" customHeight="1">
      <c r="U579" s="79"/>
    </row>
    <row r="580" ht="15.75" customHeight="1">
      <c r="U580" s="79"/>
    </row>
    <row r="581" ht="15.75" customHeight="1">
      <c r="U581" s="79"/>
    </row>
    <row r="582" ht="15.75" customHeight="1">
      <c r="U582" s="79"/>
    </row>
    <row r="583" ht="15.75" customHeight="1">
      <c r="U583" s="79"/>
    </row>
    <row r="584" ht="15.75" customHeight="1">
      <c r="U584" s="79"/>
    </row>
    <row r="585" ht="15.75" customHeight="1">
      <c r="U585" s="79"/>
    </row>
    <row r="586" ht="15.75" customHeight="1">
      <c r="U586" s="79"/>
    </row>
    <row r="587" ht="15.75" customHeight="1">
      <c r="U587" s="79"/>
    </row>
    <row r="588" ht="15.75" customHeight="1">
      <c r="U588" s="79"/>
    </row>
    <row r="589" ht="15.75" customHeight="1">
      <c r="U589" s="79"/>
    </row>
    <row r="590" ht="15.75" customHeight="1">
      <c r="U590" s="79"/>
    </row>
    <row r="591" ht="15.75" customHeight="1">
      <c r="U591" s="79"/>
    </row>
    <row r="592" ht="15.75" customHeight="1">
      <c r="U592" s="79"/>
    </row>
    <row r="593" ht="15.75" customHeight="1">
      <c r="U593" s="79"/>
    </row>
    <row r="594" ht="15.75" customHeight="1">
      <c r="U594" s="79"/>
    </row>
    <row r="595" ht="15.75" customHeight="1">
      <c r="U595" s="79"/>
    </row>
    <row r="596" ht="15.75" customHeight="1">
      <c r="U596" s="79"/>
    </row>
    <row r="597" ht="15.75" customHeight="1">
      <c r="U597" s="79"/>
    </row>
    <row r="598" ht="15.75" customHeight="1">
      <c r="U598" s="79"/>
    </row>
    <row r="599" ht="15.75" customHeight="1">
      <c r="U599" s="79"/>
    </row>
    <row r="600" ht="15.75" customHeight="1">
      <c r="U600" s="79"/>
    </row>
    <row r="601" ht="15.75" customHeight="1">
      <c r="U601" s="79"/>
    </row>
    <row r="602" ht="15.75" customHeight="1">
      <c r="U602" s="79"/>
    </row>
    <row r="603" ht="15.75" customHeight="1">
      <c r="U603" s="79"/>
    </row>
    <row r="604" ht="15.75" customHeight="1">
      <c r="U604" s="79"/>
    </row>
    <row r="605" ht="15.75" customHeight="1">
      <c r="U605" s="79"/>
    </row>
    <row r="606" ht="15.75" customHeight="1">
      <c r="U606" s="79"/>
    </row>
    <row r="607" ht="15.75" customHeight="1">
      <c r="U607" s="79"/>
    </row>
    <row r="608" ht="15.75" customHeight="1">
      <c r="U608" s="79"/>
    </row>
    <row r="609" ht="15.75" customHeight="1">
      <c r="U609" s="79"/>
    </row>
    <row r="610" ht="15.75" customHeight="1">
      <c r="U610" s="79"/>
    </row>
    <row r="611" ht="15.75" customHeight="1">
      <c r="U611" s="79"/>
    </row>
    <row r="612" ht="15.75" customHeight="1">
      <c r="U612" s="79"/>
    </row>
    <row r="613" ht="15.75" customHeight="1">
      <c r="U613" s="79"/>
    </row>
    <row r="614" ht="15.75" customHeight="1">
      <c r="U614" s="79"/>
    </row>
    <row r="615" ht="15.75" customHeight="1">
      <c r="U615" s="79"/>
    </row>
    <row r="616" ht="15.75" customHeight="1">
      <c r="U616" s="79"/>
    </row>
    <row r="617" ht="15.75" customHeight="1">
      <c r="U617" s="79"/>
    </row>
    <row r="618" ht="15.75" customHeight="1">
      <c r="U618" s="79"/>
    </row>
    <row r="619" ht="15.75" customHeight="1">
      <c r="U619" s="79"/>
    </row>
    <row r="620" ht="15.75" customHeight="1">
      <c r="U620" s="79"/>
    </row>
    <row r="621" ht="15.75" customHeight="1">
      <c r="U621" s="79"/>
    </row>
    <row r="622" ht="15.75" customHeight="1">
      <c r="U622" s="79"/>
    </row>
    <row r="623" ht="15.75" customHeight="1">
      <c r="U623" s="79"/>
    </row>
    <row r="624" ht="15.75" customHeight="1">
      <c r="U624" s="79"/>
    </row>
    <row r="625" ht="15.75" customHeight="1">
      <c r="U625" s="79"/>
    </row>
    <row r="626" ht="15.75" customHeight="1">
      <c r="U626" s="79"/>
    </row>
    <row r="627" ht="15.75" customHeight="1">
      <c r="U627" s="79"/>
    </row>
    <row r="628" ht="15.75" customHeight="1">
      <c r="U628" s="79"/>
    </row>
    <row r="629" ht="15.75" customHeight="1">
      <c r="U629" s="79"/>
    </row>
    <row r="630" ht="15.75" customHeight="1">
      <c r="U630" s="79"/>
    </row>
    <row r="631" ht="15.75" customHeight="1">
      <c r="U631" s="79"/>
    </row>
    <row r="632" ht="15.75" customHeight="1">
      <c r="U632" s="79"/>
    </row>
    <row r="633" ht="15.75" customHeight="1">
      <c r="U633" s="79"/>
    </row>
    <row r="634" ht="15.75" customHeight="1">
      <c r="U634" s="79"/>
    </row>
    <row r="635" ht="15.75" customHeight="1">
      <c r="U635" s="79"/>
    </row>
    <row r="636" ht="15.75" customHeight="1">
      <c r="U636" s="79"/>
    </row>
    <row r="637" ht="15.75" customHeight="1">
      <c r="U637" s="79"/>
    </row>
    <row r="638" ht="15.75" customHeight="1">
      <c r="U638" s="79"/>
    </row>
    <row r="639" ht="15.75" customHeight="1">
      <c r="U639" s="79"/>
    </row>
    <row r="640" ht="15.75" customHeight="1">
      <c r="U640" s="79"/>
    </row>
    <row r="641" ht="15.75" customHeight="1">
      <c r="U641" s="79"/>
    </row>
    <row r="642" ht="15.75" customHeight="1">
      <c r="U642" s="79"/>
    </row>
    <row r="643" ht="15.75" customHeight="1">
      <c r="U643" s="79"/>
    </row>
    <row r="644" ht="15.75" customHeight="1">
      <c r="U644" s="79"/>
    </row>
    <row r="645" ht="15.75" customHeight="1">
      <c r="U645" s="79"/>
    </row>
    <row r="646" ht="15.75" customHeight="1">
      <c r="U646" s="79"/>
    </row>
    <row r="647" ht="15.75" customHeight="1">
      <c r="U647" s="79"/>
    </row>
    <row r="648" ht="15.75" customHeight="1">
      <c r="U648" s="79"/>
    </row>
    <row r="649" ht="15.75" customHeight="1">
      <c r="U649" s="79"/>
    </row>
    <row r="650" ht="15.75" customHeight="1">
      <c r="U650" s="79"/>
    </row>
    <row r="651" ht="15.75" customHeight="1">
      <c r="U651" s="79"/>
    </row>
    <row r="652" ht="15.75" customHeight="1">
      <c r="U652" s="79"/>
    </row>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K10:L224 K237:L451">
    <cfRule type="cellIs" dxfId="9" priority="1" operator="equal">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2">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3">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4">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5">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6">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7">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8">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9">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0">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1">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2">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3">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4">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5">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6">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7">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8">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9">
      <colorScale>
        <cfvo type="min"/>
        <cfvo type="percentile" val="50"/>
        <cfvo type="max"/>
        <color rgb="FF63BE7B"/>
        <color rgb="FFFCFCFF"/>
        <color rgb="FFF8696B"/>
      </colorScale>
    </cfRule>
  </conditionalFormatting>
  <conditionalFormatting sqref="A64:A67 A82:A85 A98:A101 A115:A118 A132:A135 A149:A152 A166:A169 A183:A186 A201:A204 A290:A294 A309:A312 A325:A328 A342:A345 A359:A362 A376:A379 A393:A396 A410:A413 A428:A431">
    <cfRule type="colorScale" priority="20">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1">
      <colorScale>
        <cfvo type="min"/>
        <cfvo type="percentile" val="50"/>
        <cfvo type="max"/>
        <color rgb="FF63BE7B"/>
        <color rgb="FFFCFCFF"/>
        <color rgb="FFF8696B"/>
      </colorScale>
    </cfRule>
  </conditionalFormatting>
  <conditionalFormatting sqref="A67:A68 A86 A102 A119 A136 A153 A170 A187 A205 A294:A295 A313 A329 A346 A363 A380 A397 A414 A432">
    <cfRule type="colorScale" priority="22">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3">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4">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5">
      <colorScale>
        <cfvo type="min"/>
        <cfvo type="percentile" val="50"/>
        <cfvo type="max"/>
        <color rgb="FF63BE7B"/>
        <color rgb="FFFCFCFF"/>
        <color rgb="FFF8696B"/>
      </colorScale>
    </cfRule>
  </conditionalFormatting>
  <conditionalFormatting sqref="A82:A86 A98:A102 A115:A119 A132:A136 A149:A153 A166:A170 A183:A187 A201:A205 A290 A309:A313 A325:A329 A342:A346 A359:A363 A376:A380 A393:A397 A410:A414 A428:A432">
    <cfRule type="colorScale" priority="26">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7">
      <colorScale>
        <cfvo type="min"/>
        <cfvo type="percentile" val="50"/>
        <cfvo type="max"/>
        <color rgb="FF63BE7B"/>
        <color rgb="FFFCFCFF"/>
        <color rgb="FFF8696B"/>
      </colorScale>
    </cfRule>
  </conditionalFormatting>
  <conditionalFormatting sqref="A87 A103 A120 A137 A154 A171 A188 A206 A314 A330 A347 A364 A381 A398 A415 A433">
    <cfRule type="colorScale" priority="28">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9">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0">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1">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2">
      <colorScale>
        <cfvo type="min"/>
        <cfvo type="percentile" val="50"/>
        <cfvo type="max"/>
        <color rgb="FF63BE7B"/>
        <color rgb="FFFCFCFF"/>
        <color rgb="FFF8696B"/>
      </colorScale>
    </cfRule>
  </conditionalFormatting>
  <conditionalFormatting sqref="A81:A84 A97:A100 A114:A117 A131:A134 A148:A151 A165:A168 A182:A185 A200:A203 A308:A311 A324:A327 A341:A344 A358:A361 A375:A378 A392:A395 A409:A412 A427:A430">
    <cfRule type="colorScale" priority="33">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4">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5">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6">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7">
      <colorScale>
        <cfvo type="min"/>
        <cfvo type="percentile" val="50"/>
        <cfvo type="max"/>
        <color rgb="FF63BE7B"/>
        <color rgb="FFFCFCFF"/>
        <color rgb="FFF8696B"/>
      </colorScale>
    </cfRule>
  </conditionalFormatting>
  <conditionalFormatting sqref="A82:A84 A98:A100 A115:A117 A132:A134 A149:A151 A166:A168 A183:A185 A201:A203 A309:A311 A325:A327 A342:A344 A359:A361 A376:A378 A393:A395 A410:A412 A428:A430">
    <cfRule type="colorScale" priority="38">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9">
      <colorScale>
        <cfvo type="min"/>
        <cfvo type="percentile" val="50"/>
        <cfvo type="max"/>
        <color rgb="FF63BE7B"/>
        <color rgb="FFFCFCFF"/>
        <color rgb="FFF8696B"/>
      </colorScale>
    </cfRule>
  </conditionalFormatting>
  <conditionalFormatting sqref="A85 A101 A118 A135 A152 A169 A186 A204 A312 A328 A345 A362 A379 A396 A413 A431">
    <cfRule type="colorScale" priority="40">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1">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42">
      <colorScale>
        <cfvo type="min"/>
        <cfvo type="percentile" val="50"/>
        <cfvo type="max"/>
        <color rgb="FF63BE7B"/>
        <color rgb="FFFFEB84"/>
        <color rgb="FFF8696B"/>
      </colorScale>
    </cfRule>
  </conditionalFormatting>
  <conditionalFormatting sqref="A98 A325">
    <cfRule type="colorScale" priority="43">
      <colorScale>
        <cfvo type="min"/>
        <cfvo type="percentile" val="50"/>
        <cfvo type="max"/>
        <color rgb="FF63BE7B"/>
        <color rgb="FFFCFCFF"/>
        <color rgb="FFF8696B"/>
      </colorScale>
    </cfRule>
  </conditionalFormatting>
  <conditionalFormatting sqref="A98 A325">
    <cfRule type="colorScale" priority="44">
      <colorScale>
        <cfvo type="min"/>
        <cfvo type="percentile" val="50"/>
        <cfvo type="max"/>
        <color rgb="FF63BE7B"/>
        <color rgb="FFFFEB84"/>
        <color rgb="FFF8696B"/>
      </colorScale>
    </cfRule>
  </conditionalFormatting>
  <conditionalFormatting sqref="A99 A326">
    <cfRule type="colorScale" priority="45">
      <colorScale>
        <cfvo type="min"/>
        <cfvo type="percentile" val="50"/>
        <cfvo type="max"/>
        <color rgb="FF63BE7B"/>
        <color rgb="FFFFEB84"/>
        <color rgb="FFF8696B"/>
      </colorScale>
    </cfRule>
  </conditionalFormatting>
  <conditionalFormatting sqref="A100:A104 A327:A331">
    <cfRule type="colorScale" priority="46">
      <colorScale>
        <cfvo type="min"/>
        <cfvo type="percentile" val="50"/>
        <cfvo type="max"/>
        <color rgb="FF63BE7B"/>
        <color rgb="FFFFEB84"/>
        <color rgb="FFF8696B"/>
      </colorScale>
    </cfRule>
  </conditionalFormatting>
  <conditionalFormatting sqref="A115 A342">
    <cfRule type="colorScale" priority="47">
      <colorScale>
        <cfvo type="min"/>
        <cfvo type="percentile" val="50"/>
        <cfvo type="max"/>
        <color rgb="FF63BE7B"/>
        <color rgb="FFFCFCFF"/>
        <color rgb="FFF8696B"/>
      </colorScale>
    </cfRule>
  </conditionalFormatting>
  <conditionalFormatting sqref="A115 A342">
    <cfRule type="colorScale" priority="48">
      <colorScale>
        <cfvo type="min"/>
        <cfvo type="percentile" val="50"/>
        <cfvo type="max"/>
        <color rgb="FF63BE7B"/>
        <color rgb="FFFFEB84"/>
        <color rgb="FFF8696B"/>
      </colorScale>
    </cfRule>
  </conditionalFormatting>
  <conditionalFormatting sqref="A116:A129 A343:A356">
    <cfRule type="colorScale" priority="49">
      <colorScale>
        <cfvo type="min"/>
        <cfvo type="percentile" val="50"/>
        <cfvo type="max"/>
        <color rgb="FF63BE7B"/>
        <color rgb="FFFFEB84"/>
        <color rgb="FFF8696B"/>
      </colorScale>
    </cfRule>
  </conditionalFormatting>
  <conditionalFormatting sqref="A132:A133 A359:A360">
    <cfRule type="colorScale" priority="50">
      <colorScale>
        <cfvo type="min"/>
        <cfvo type="percentile" val="50"/>
        <cfvo type="max"/>
        <color rgb="FF63BE7B"/>
        <color rgb="FFFFEB84"/>
        <color rgb="FFF8696B"/>
      </colorScale>
    </cfRule>
  </conditionalFormatting>
  <conditionalFormatting sqref="A149:A163 A376:A390">
    <cfRule type="colorScale" priority="51">
      <colorScale>
        <cfvo type="min"/>
        <cfvo type="percentile" val="50"/>
        <cfvo type="max"/>
        <color rgb="FF63BE7B"/>
        <color rgb="FFFFEB84"/>
        <color rgb="FFF8696B"/>
      </colorScale>
    </cfRule>
  </conditionalFormatting>
  <conditionalFormatting sqref="A166:A180 A393:A407">
    <cfRule type="colorScale" priority="52">
      <colorScale>
        <cfvo type="min"/>
        <cfvo type="percentile" val="50"/>
        <cfvo type="max"/>
        <color rgb="FF63BE7B"/>
        <color rgb="FFFFEB84"/>
        <color rgb="FFF8696B"/>
      </colorScale>
    </cfRule>
  </conditionalFormatting>
  <conditionalFormatting sqref="A183:A185 A410:A412">
    <cfRule type="colorScale" priority="53">
      <colorScale>
        <cfvo type="min"/>
        <cfvo type="percentile" val="50"/>
        <cfvo type="max"/>
        <color rgb="FF63BE7B"/>
        <color rgb="FFFFEB84"/>
        <color rgb="FFF8696B"/>
      </colorScale>
    </cfRule>
  </conditionalFormatting>
  <conditionalFormatting sqref="A201:A203 A428:A430">
    <cfRule type="colorScale" priority="54">
      <colorScale>
        <cfvo type="min"/>
        <cfvo type="percentile" val="50"/>
        <cfvo type="max"/>
        <color rgb="FF63BE7B"/>
        <color rgb="FFFFEB84"/>
        <color rgb="FFF8696B"/>
      </colorScale>
    </cfRule>
  </conditionalFormatting>
  <conditionalFormatting sqref="A208:A210 A435:A437">
    <cfRule type="colorScale" priority="55">
      <colorScale>
        <cfvo type="min"/>
        <cfvo type="percentile" val="50"/>
        <cfvo type="max"/>
        <color rgb="FF63BE7B"/>
        <color rgb="FFFFEB84"/>
        <color rgb="FFF8696B"/>
      </colorScale>
    </cfRule>
  </conditionalFormatting>
  <conditionalFormatting sqref="A211:A224 A438:A451">
    <cfRule type="colorScale" priority="56">
      <colorScale>
        <cfvo type="min"/>
        <cfvo type="percentile" val="50"/>
        <cfvo type="max"/>
        <color rgb="FF63BE7B"/>
        <color rgb="FFFFEB84"/>
        <color rgb="FFF8696B"/>
      </colorScale>
    </cfRule>
  </conditionalFormatting>
  <conditionalFormatting sqref="J10:L224 J237:L451">
    <cfRule type="cellIs" dxfId="8" priority="57" operator="equal">
      <formula>0</formula>
    </cfRule>
  </conditionalFormatting>
  <dataValidations>
    <dataValidation type="list" allowBlank="1" sqref="C12:C14 C87 C137 C152 C154 C169 C171 C204 C206 C241 C243 C256 C258 C275 C277 C294 C296 C312 C314 C328 C330 C345 C347 C362 C364 C379 C381 C396 C398 C413 C415 C431 C433">
      <formula1>"I-ACTIVE,MAP,KCL 60%,05-37-00,10-46-00 + S,08-42-00,SSP 21,03-15-07 +14%CO,URÉIA,SULFATO DE AMÔNIO,BOROGRAN,SUPER DUO,08-40-00 - 100M,AURUS 500,00-01-00+Cu2 Mn8 Zn7"</formula1>
    </dataValidation>
    <dataValidation type="list" allowBlank="1" sqref="C183">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formula1>
    </dataValidation>
    <dataValidation type="list" allowBlank="1" sqref="C68">
      <formula1>"UTRISHA N,PRESENCE FULL,Now Lock,Now Guard,Now Force,Now Raze,Now Bolt,Now Active,Now React,Now Cover,Now Pulse,Now Sprint,Bio Az,Bio ND,Tec Catp Pro,Bio Elipso,Tec Bug,Solu Shield,Solu Strong,Solu Leaf,Bio Hidric,Bio Bokashi,Bio Oil,Carbon Pro,Essencial "&amp;"Mg,Expelir,Primafert,Reserva,Tec Catp Pro Kit On-farm,Tec Bug Kit On-farm,Solu Shield Kit On-farm,Solu Strong Kit On-farm,Solu Leaf Kit On-farm,Bio Hidric Kit On-farm,Bio Bokashi Kit On-farm,Tec White Kit On-farm,Bio Solubilize Kit On-farm,Bio Release Kit"&amp;" On-farm,Bio Raiz Plus Kit On-farm,Bio Balance Kit On-farm,SoluBio Raiz Performance Kit On-farm,Tec Isaria Kit On-farm"</formula1>
    </dataValidation>
    <dataValidation type="list" allowBlank="1" sqref="C26:C27 C45:C47 C82:C83">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type="custom" allowBlank="1" showDropDown="1" sqref="G10:L224 G237:L451">
      <formula1>AND(ISNUMBER(G10),(NOT(OR(NOT(ISERROR(DATEVALUE(G10))), AND(ISNUMBER(G10), LEFT(CELL("format", G10))="D")))))</formula1>
    </dataValidation>
    <dataValidation type="list" allowBlank="1" sqref="C28 C48 C103 C120 C135 C151">
      <formula1>"RUMBA,ASSIST,MEES,AUREO,JOINT ULTRA,ADGREEN,ENERGIC,EXTRAVON,OCHIMA"</formula1>
    </dataValidation>
    <dataValidation type="list" allowBlank="1" sqref="C67">
      <formula1>"ENDOFUSE,ENDOMAXX,RIZOLIQ LLI,PROVILAR,REVERB,ARVATICO,VERANGO PRIME,FIPRONIL NORTOX MAX,MAXIM ADVANCED,MAXIM XL,VICTRATO,SPECTRO,STANDAK TOP,CRUISER ADVANCED,PLUST,SOMBRERO,CROPSTAR,DERMACOR,OPTERASEED,AVICTA 500 FS,CRUISER 350 FS,FORTENZA 600 FS,ILEVO,P"&amp;"ERMIT STAR"</formula1>
    </dataValidation>
    <dataValidation type="list" allowBlank="1" sqref="C52 C89 C105 C139 C156 C166 C173 C190 C202 C208 C245 C254 C260 C273 C279 C292 C298 C310 C316 C326 C332 C343 C349 C360 C366 C377 C383 C394 C400 C411 C417 C429 C435">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type="list" allowBlank="1" sqref="C17:C18">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formula1>
    </dataValidation>
    <dataValidation type="list" allowBlank="1" sqref="C29 C49:C50 C100:C102 C118:C119 C122 C134">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type="list" allowBlank="1" sqref="C20:C24 C43 C62 C80 C98 C247:C251 C270 C289 C307">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type="list" allowBlank="1" sqref="C11 C88 C138 C155 C172 C207 C244 C259 C278 C297 C315 C331 C348 C365 C382 C399 C416 C434">
      <formula1>"CALCÁRIO DOLOMITICO,GESSO AGRICOLA"</formula1>
    </dataValidation>
    <dataValidation type="list" allowBlank="1" sqref="C19">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formula1>
    </dataValidation>
    <dataValidation type="list" allowBlank="1" sqref="C64 C86 C136 C153 C170 C205 C242 C257 C272 C276 C291 C295 C309 C313 C325 C329 C342 C346 C359 C363 C376 C380 C393 C397 C410 C414 C432">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type="list" allowBlank="1" sqref="C30 C72">
      <formula1>"RADIFARM,MEGAFOL,OCTABORATO,BOP,METAL NUTRE,MONIC,AP MAGNÉSIO,GRANO KMG,AP MANGANÊS,AMINOS Mn,MICROBOX,ACRESECENT ALGA,RAIZ F,ACRESCENTE SOLUS F,SALUT,MATRIZ D,BRAVERO,Glyfort,Fergsum,Spander,Halattus,Sallvare Complex,Zinctaus Complex,Emezine Complex,Bora"&amp;"tus Complex,Magmill Complex,Brave K,Brave Max Up,MAX RAIZ,Polyamine,Sulfato de Magnésio,Map Purificado,MANGAN 10,NHT ZINCO,KELLUS CUPPER,MOLIBIDENIO 16,ZINCO 10,Potenza NiCoMo"</formula1>
    </dataValidation>
    <dataValidation type="list" allowBlank="1" sqref="C85 C167">
      <formula1>"RUMBA,ASSIST,MEES,AUREO EC,JOINT ULTRA,ENERGIC,EXTRAVON,OCHIMA,STRIDES"</formula1>
    </dataValidation>
    <dataValidation type="list" allowBlank="1" sqref="C84 C99 C104 C115:C117 C132:C133 C149:C150">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type="list" allowBlank="1" sqref="C69:C71">
      <formula1>"UTRISHA N,PRESENCE FULL,Now Lock,Now Guard,Now Force,Now Raze,Now Bolt,Now Active,Now React,Now Cover,Now Pulse,Now Sprint,Bio Az,Bio ND,Tec Catp Pro,Bio Elipso,Tec Bug,Solu Shield,Solu Strong,Solu Leaf,Bio Hidric,Bio Bokashi,Bio Oil,Carbon Pro,Essencial "&amp;"Mg,Expelir,Potenza NiCoMo,Primafert,Reserva,Tec White,Bio Solubilize,Bio Release,Bio Raiz Plus,Bio Balance,SoluBio Raiz Performance,Tec Isaria"</formula1>
    </dataValidation>
    <dataValidation type="list" allowBlank="1" showErrorMessage="1" sqref="B10:B224 B237:B451">
      <formula1>#REF!</formula1>
    </dataValidation>
    <dataValidation type="list" allowBlank="1" sqref="C65:C66 C168 C203 C240 C255 C274 C293 C311 C327 C344 C361 C378 C395 C412 C430">
      <formula1>"SOMBRERO,STANDAK TOP,CROPSTAR,DERMACOR,PERMIT STAR,PRESENCE FULL,PLUST,CRUISER 350 FS,CRUISER ADVANCED,FORTENZA 600 FS,MAXIM ADVANCED,MAXIM XL,SPECTRO,BIOZYME,NIMAXXA,VITAVAX-THIRAM 200 SC"</formula1>
    </dataValidation>
    <dataValidation type="list" allowBlank="1" sqref="C184:C189">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formula1>
    </dataValidation>
    <dataValidation type="list" allowBlank="1" sqref="C53:C54 C59 C73 C90:C91 C96 C106:C107 C112 C123:C124 C129 C140:C141 C146 C157:C158 C163 C174:C175 C180 C191:C192 C197 C209:C210 C215 C246 C253 C261:C262 C267 C280:C281 C286 C299:C300 C317:C318 C323 C333:C334 C339 C350:C351 C356 C367:C368 C373 C384:C385 C390 C401:C402 C407 C418:C419 C424 C436:C437 C442">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display="ÁREA PLANTIO" location="'ÁREA PLANTIO'!A1" ref="F1"/>
    <hyperlink display="ÁREA PLANTIO" location="'ÁREA PLANTIO'!A1" ref="F227"/>
  </hyperlinks>
  <printOptions/>
  <pageMargins bottom="0.787401575" footer="0.0" header="0.0" left="0.511811024" right="0.511811024" top="0.787401575"/>
  <pageSetup orientation="landscape"/>
  <drawing r:id="rId1"/>
  <tableParts count="2">
    <tablePart r:id="rId4"/>
    <tablePart r:id="rId5"/>
  </tableParts>
</worksheet>
</file>